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011"/>
  <workbookPr/>
  <mc:AlternateContent xmlns:mc="http://schemas.openxmlformats.org/markup-compatibility/2006">
    <mc:Choice Requires="x15">
      <x15ac:absPath xmlns:x15ac="http://schemas.microsoft.com/office/spreadsheetml/2010/11/ac" url="/Users/franklin/Desktop/实验室工作/2023-9新工作/llm_test_code/assets/"/>
    </mc:Choice>
  </mc:AlternateContent>
  <xr:revisionPtr revIDLastSave="0" documentId="13_ncr:1_{8FE6044B-925F-B944-8AAE-1DD29A3FF727}" xr6:coauthVersionLast="47" xr6:coauthVersionMax="47" xr10:uidLastSave="{00000000-0000-0000-0000-000000000000}"/>
  <bookViews>
    <workbookView xWindow="0" yWindow="460" windowWidth="27060" windowHeight="16820" xr2:uid="{00000000-000D-0000-FFFF-FFFF00000000}"/>
  </bookViews>
  <sheets>
    <sheet name="Sheet1" sheetId="1" r:id="rId1"/>
  </sheets>
  <definedNames>
    <definedName name="_xlnm._FilterDatabase" localSheetId="0" hidden="1">Sheet1!$A$1:$F$10844</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F10844" i="1" l="1"/>
  <c r="E10844" i="1"/>
  <c r="D10844" i="1"/>
  <c r="F10843" i="1"/>
  <c r="E10843" i="1"/>
  <c r="D10843" i="1"/>
  <c r="F10842" i="1"/>
  <c r="E10842" i="1"/>
  <c r="D10842" i="1"/>
  <c r="F10841" i="1"/>
  <c r="E10841" i="1"/>
  <c r="D10841" i="1"/>
  <c r="F10840" i="1"/>
  <c r="E10840" i="1"/>
  <c r="D10840" i="1"/>
  <c r="F10839" i="1"/>
  <c r="E10839" i="1"/>
  <c r="D10839" i="1"/>
  <c r="F10838" i="1"/>
  <c r="E10838" i="1"/>
  <c r="D10838" i="1"/>
  <c r="F10837" i="1"/>
  <c r="E10837" i="1"/>
  <c r="D10837" i="1"/>
  <c r="F10836" i="1"/>
  <c r="E10836" i="1"/>
  <c r="D10836" i="1"/>
  <c r="F10835" i="1"/>
  <c r="E10835" i="1"/>
  <c r="D10835" i="1"/>
  <c r="F10834" i="1"/>
  <c r="E10834" i="1"/>
  <c r="D10834" i="1"/>
  <c r="F10833" i="1"/>
  <c r="E10833" i="1"/>
  <c r="D10833" i="1"/>
  <c r="F10832" i="1"/>
  <c r="E10832" i="1"/>
  <c r="D10832" i="1"/>
  <c r="F10831" i="1"/>
  <c r="E10831" i="1"/>
  <c r="D10831" i="1"/>
  <c r="F10830" i="1"/>
  <c r="E10830" i="1"/>
  <c r="D10830" i="1"/>
  <c r="F10829" i="1"/>
  <c r="E10829" i="1"/>
  <c r="D10829" i="1"/>
  <c r="F10828" i="1"/>
  <c r="E10828" i="1"/>
  <c r="D10828" i="1"/>
  <c r="F10827" i="1"/>
  <c r="E10827" i="1"/>
  <c r="D10827" i="1"/>
  <c r="F10826" i="1"/>
  <c r="E10826" i="1"/>
  <c r="D10826" i="1"/>
  <c r="F10825" i="1"/>
  <c r="E10825" i="1"/>
  <c r="D10825" i="1"/>
  <c r="F10824" i="1"/>
  <c r="E10824" i="1"/>
  <c r="D10824" i="1"/>
  <c r="F10823" i="1"/>
  <c r="E10823" i="1"/>
  <c r="D10823" i="1"/>
  <c r="F10822" i="1"/>
  <c r="E10822" i="1"/>
  <c r="D10822" i="1"/>
  <c r="F10821" i="1"/>
  <c r="E10821" i="1"/>
  <c r="D10821" i="1"/>
  <c r="F10820" i="1"/>
  <c r="E10820" i="1"/>
  <c r="D10820" i="1"/>
  <c r="F10819" i="1"/>
  <c r="E10819" i="1"/>
  <c r="D10819" i="1"/>
  <c r="F10818" i="1"/>
  <c r="E10818" i="1"/>
  <c r="D10818" i="1"/>
  <c r="F10817" i="1"/>
  <c r="E10817" i="1"/>
  <c r="D10817" i="1"/>
  <c r="F10816" i="1"/>
  <c r="E10816" i="1"/>
  <c r="D10816" i="1"/>
  <c r="F10815" i="1"/>
  <c r="E10815" i="1"/>
  <c r="D10815" i="1"/>
  <c r="F10814" i="1"/>
  <c r="E10814" i="1"/>
  <c r="D10814" i="1"/>
  <c r="F10813" i="1"/>
  <c r="E10813" i="1"/>
  <c r="D10813" i="1"/>
  <c r="F10812" i="1"/>
  <c r="E10812" i="1"/>
  <c r="D10812" i="1"/>
  <c r="F10811" i="1"/>
  <c r="E10811" i="1"/>
  <c r="D10811" i="1"/>
  <c r="F10810" i="1"/>
  <c r="E10810" i="1"/>
  <c r="D10810" i="1"/>
  <c r="F10809" i="1"/>
  <c r="E10809" i="1"/>
  <c r="D10809" i="1"/>
  <c r="F10808" i="1"/>
  <c r="E10808" i="1"/>
  <c r="D10808" i="1"/>
  <c r="F10807" i="1"/>
  <c r="E10807" i="1"/>
  <c r="D10807" i="1"/>
  <c r="F10806" i="1"/>
  <c r="E10806" i="1"/>
  <c r="D10806" i="1"/>
  <c r="F10805" i="1"/>
  <c r="E10805" i="1"/>
  <c r="D10805" i="1"/>
  <c r="F10804" i="1"/>
  <c r="E10804" i="1"/>
  <c r="D10804" i="1"/>
  <c r="F10803" i="1"/>
  <c r="E10803" i="1"/>
  <c r="D10803" i="1"/>
  <c r="F10802" i="1"/>
  <c r="E10802" i="1"/>
  <c r="D10802" i="1"/>
  <c r="F10801" i="1"/>
  <c r="E10801" i="1"/>
  <c r="D10801" i="1"/>
  <c r="F10800" i="1"/>
  <c r="E10800" i="1"/>
  <c r="D10800" i="1"/>
  <c r="F10799" i="1"/>
  <c r="E10799" i="1"/>
  <c r="D10799" i="1"/>
  <c r="F10798" i="1"/>
  <c r="E10798" i="1"/>
  <c r="D10798" i="1"/>
  <c r="F10797" i="1"/>
  <c r="E10797" i="1"/>
  <c r="D10797" i="1"/>
  <c r="F10796" i="1"/>
  <c r="E10796" i="1"/>
  <c r="D10796" i="1"/>
  <c r="F10795" i="1"/>
  <c r="E10795" i="1"/>
  <c r="D10795" i="1"/>
  <c r="F10794" i="1"/>
  <c r="E10794" i="1"/>
  <c r="D10794" i="1"/>
  <c r="F10793" i="1"/>
  <c r="E10793" i="1"/>
  <c r="D10793" i="1"/>
  <c r="F10792" i="1"/>
  <c r="E10792" i="1"/>
  <c r="D10792" i="1"/>
  <c r="F10791" i="1"/>
  <c r="E10791" i="1"/>
  <c r="D10791" i="1"/>
  <c r="F10790" i="1"/>
  <c r="E10790" i="1"/>
  <c r="D10790" i="1"/>
  <c r="F10789" i="1"/>
  <c r="E10789" i="1"/>
  <c r="D10789" i="1"/>
  <c r="F10788" i="1"/>
  <c r="E10788" i="1"/>
  <c r="D10788" i="1"/>
  <c r="F10787" i="1"/>
  <c r="E10787" i="1"/>
  <c r="D10787" i="1"/>
  <c r="F10786" i="1"/>
  <c r="E10786" i="1"/>
  <c r="D10786" i="1"/>
  <c r="F10785" i="1"/>
  <c r="E10785" i="1"/>
  <c r="D10785" i="1"/>
  <c r="F10784" i="1"/>
  <c r="E10784" i="1"/>
  <c r="D10784" i="1"/>
  <c r="F10783" i="1"/>
  <c r="E10783" i="1"/>
  <c r="D10783" i="1"/>
  <c r="F10782" i="1"/>
  <c r="E10782" i="1"/>
  <c r="D10782" i="1"/>
  <c r="F10781" i="1"/>
  <c r="E10781" i="1"/>
  <c r="D10781" i="1"/>
  <c r="F10780" i="1"/>
  <c r="E10780" i="1"/>
  <c r="D10780" i="1"/>
  <c r="F10779" i="1"/>
  <c r="E10779" i="1"/>
  <c r="D10779" i="1"/>
  <c r="F10778" i="1"/>
  <c r="E10778" i="1"/>
  <c r="D10778" i="1"/>
  <c r="F10777" i="1"/>
  <c r="E10777" i="1"/>
  <c r="D10777" i="1"/>
  <c r="F10776" i="1"/>
  <c r="E10776" i="1"/>
  <c r="D10776" i="1"/>
  <c r="F10775" i="1"/>
  <c r="E10775" i="1"/>
  <c r="D10775" i="1"/>
  <c r="F10774" i="1"/>
  <c r="E10774" i="1"/>
  <c r="D10774" i="1"/>
  <c r="F10773" i="1"/>
  <c r="E10773" i="1"/>
  <c r="D10773" i="1"/>
  <c r="F10772" i="1"/>
  <c r="E10772" i="1"/>
  <c r="D10772" i="1"/>
  <c r="F10771" i="1"/>
  <c r="E10771" i="1"/>
  <c r="D10771" i="1"/>
  <c r="F10770" i="1"/>
  <c r="E10770" i="1"/>
  <c r="D10770" i="1"/>
  <c r="F10769" i="1"/>
  <c r="E10769" i="1"/>
  <c r="D10769" i="1"/>
  <c r="F10768" i="1"/>
  <c r="E10768" i="1"/>
  <c r="D10768" i="1"/>
  <c r="F10767" i="1"/>
  <c r="E10767" i="1"/>
  <c r="D10767" i="1"/>
  <c r="F10766" i="1"/>
  <c r="E10766" i="1"/>
  <c r="D10766" i="1"/>
  <c r="F10765" i="1"/>
  <c r="E10765" i="1"/>
  <c r="D10765" i="1"/>
  <c r="F10764" i="1"/>
  <c r="E10764" i="1"/>
  <c r="D10764" i="1"/>
  <c r="F10763" i="1"/>
  <c r="E10763" i="1"/>
  <c r="D10763" i="1"/>
  <c r="F10762" i="1"/>
  <c r="E10762" i="1"/>
  <c r="D10762" i="1"/>
  <c r="F10761" i="1"/>
  <c r="E10761" i="1"/>
  <c r="D10761" i="1"/>
  <c r="F10760" i="1"/>
  <c r="E10760" i="1"/>
  <c r="D10760" i="1"/>
  <c r="F10759" i="1"/>
  <c r="E10759" i="1"/>
  <c r="D10759" i="1"/>
  <c r="F10758" i="1"/>
  <c r="E10758" i="1"/>
  <c r="D10758" i="1"/>
  <c r="F10757" i="1"/>
  <c r="E10757" i="1"/>
  <c r="D10757" i="1"/>
  <c r="F10756" i="1"/>
  <c r="E10756" i="1"/>
  <c r="D10756" i="1"/>
  <c r="F10755" i="1"/>
  <c r="E10755" i="1"/>
  <c r="D10755" i="1"/>
  <c r="F10754" i="1"/>
  <c r="E10754" i="1"/>
  <c r="D10754" i="1"/>
  <c r="F10753" i="1"/>
  <c r="E10753" i="1"/>
  <c r="D10753" i="1"/>
  <c r="F10752" i="1"/>
  <c r="E10752" i="1"/>
  <c r="D10752" i="1"/>
  <c r="F10751" i="1"/>
  <c r="E10751" i="1"/>
  <c r="D10751" i="1"/>
  <c r="F10750" i="1"/>
  <c r="E10750" i="1"/>
  <c r="D10750" i="1"/>
  <c r="F10749" i="1"/>
  <c r="E10749" i="1"/>
  <c r="D10749" i="1"/>
  <c r="F10748" i="1"/>
  <c r="E10748" i="1"/>
  <c r="D10748" i="1"/>
  <c r="F10747" i="1"/>
  <c r="E10747" i="1"/>
  <c r="D10747" i="1"/>
  <c r="F10746" i="1"/>
  <c r="E10746" i="1"/>
  <c r="D10746" i="1"/>
  <c r="F10745" i="1"/>
  <c r="E10745" i="1"/>
  <c r="D10745" i="1"/>
  <c r="F10744" i="1"/>
  <c r="E10744" i="1"/>
  <c r="D10744" i="1"/>
  <c r="F10743" i="1"/>
  <c r="E10743" i="1"/>
  <c r="D10743" i="1"/>
  <c r="F10742" i="1"/>
  <c r="E10742" i="1"/>
  <c r="D10742" i="1"/>
  <c r="F10741" i="1"/>
  <c r="E10741" i="1"/>
  <c r="D10741" i="1"/>
  <c r="F10740" i="1"/>
  <c r="E10740" i="1"/>
  <c r="D10740" i="1"/>
  <c r="F10739" i="1"/>
  <c r="E10739" i="1"/>
  <c r="D10739" i="1"/>
  <c r="F10738" i="1"/>
  <c r="E10738" i="1"/>
  <c r="D10738" i="1"/>
  <c r="F10737" i="1"/>
  <c r="E10737" i="1"/>
  <c r="D10737" i="1"/>
  <c r="F10736" i="1"/>
  <c r="E10736" i="1"/>
  <c r="D10736" i="1"/>
  <c r="F10735" i="1"/>
  <c r="E10735" i="1"/>
  <c r="D10735" i="1"/>
  <c r="F10734" i="1"/>
  <c r="E10734" i="1"/>
  <c r="D10734" i="1"/>
  <c r="F10733" i="1"/>
  <c r="E10733" i="1"/>
  <c r="D10733" i="1"/>
  <c r="F10732" i="1"/>
  <c r="E10732" i="1"/>
  <c r="D10732" i="1"/>
  <c r="F10731" i="1"/>
  <c r="E10731" i="1"/>
  <c r="D10731" i="1"/>
  <c r="F10730" i="1"/>
  <c r="E10730" i="1"/>
  <c r="D10730" i="1"/>
  <c r="F10729" i="1"/>
  <c r="E10729" i="1"/>
  <c r="D10729" i="1"/>
  <c r="F10728" i="1"/>
  <c r="E10728" i="1"/>
  <c r="D10728" i="1"/>
  <c r="F10727" i="1"/>
  <c r="E10727" i="1"/>
  <c r="D10727" i="1"/>
  <c r="F10726" i="1"/>
  <c r="E10726" i="1"/>
  <c r="D10726" i="1"/>
  <c r="F10725" i="1"/>
  <c r="E10725" i="1"/>
  <c r="D10725" i="1"/>
  <c r="F10724" i="1"/>
  <c r="E10724" i="1"/>
  <c r="D10724" i="1"/>
  <c r="F10723" i="1"/>
  <c r="E10723" i="1"/>
  <c r="D10723" i="1"/>
  <c r="F10722" i="1"/>
  <c r="E10722" i="1"/>
  <c r="D10722" i="1"/>
  <c r="F10721" i="1"/>
  <c r="E10721" i="1"/>
  <c r="D10721" i="1"/>
  <c r="F10720" i="1"/>
  <c r="E10720" i="1"/>
  <c r="D10720" i="1"/>
  <c r="F10719" i="1"/>
  <c r="E10719" i="1"/>
  <c r="D10719" i="1"/>
  <c r="F10718" i="1"/>
  <c r="E10718" i="1"/>
  <c r="D10718" i="1"/>
  <c r="F10717" i="1"/>
  <c r="E10717" i="1"/>
  <c r="D10717" i="1"/>
  <c r="F10716" i="1"/>
  <c r="E10716" i="1"/>
  <c r="D10716" i="1"/>
  <c r="F10715" i="1"/>
  <c r="E10715" i="1"/>
  <c r="D10715" i="1"/>
  <c r="F10714" i="1"/>
  <c r="E10714" i="1"/>
  <c r="D10714" i="1"/>
  <c r="F10713" i="1"/>
  <c r="E10713" i="1"/>
  <c r="D10713" i="1"/>
  <c r="F10712" i="1"/>
  <c r="E10712" i="1"/>
  <c r="D10712" i="1"/>
  <c r="F10711" i="1"/>
  <c r="E10711" i="1"/>
  <c r="D10711" i="1"/>
  <c r="F10710" i="1"/>
  <c r="E10710" i="1"/>
  <c r="D10710" i="1"/>
  <c r="F10709" i="1"/>
  <c r="E10709" i="1"/>
  <c r="D10709" i="1"/>
  <c r="F10708" i="1"/>
  <c r="E10708" i="1"/>
  <c r="D10708" i="1"/>
  <c r="F10707" i="1"/>
  <c r="E10707" i="1"/>
  <c r="D10707" i="1"/>
  <c r="F10706" i="1"/>
  <c r="E10706" i="1"/>
  <c r="D10706" i="1"/>
  <c r="F10705" i="1"/>
  <c r="E10705" i="1"/>
  <c r="D10705" i="1"/>
  <c r="F10704" i="1"/>
  <c r="E10704" i="1"/>
  <c r="D10704" i="1"/>
  <c r="F10703" i="1"/>
  <c r="E10703" i="1"/>
  <c r="D10703" i="1"/>
  <c r="F10702" i="1"/>
  <c r="E10702" i="1"/>
  <c r="D10702" i="1"/>
  <c r="F10701" i="1"/>
  <c r="E10701" i="1"/>
  <c r="D10701" i="1"/>
  <c r="F10700" i="1"/>
  <c r="E10700" i="1"/>
  <c r="D10700" i="1"/>
  <c r="F10699" i="1"/>
  <c r="E10699" i="1"/>
  <c r="D10699" i="1"/>
  <c r="F10698" i="1"/>
  <c r="E10698" i="1"/>
  <c r="D10698" i="1"/>
  <c r="F10697" i="1"/>
  <c r="E10697" i="1"/>
  <c r="D10697" i="1"/>
  <c r="F10696" i="1"/>
  <c r="E10696" i="1"/>
  <c r="D10696" i="1"/>
  <c r="F10695" i="1"/>
  <c r="E10695" i="1"/>
  <c r="D10695" i="1"/>
  <c r="F10694" i="1"/>
  <c r="E10694" i="1"/>
  <c r="D10694" i="1"/>
  <c r="F10693" i="1"/>
  <c r="E10693" i="1"/>
  <c r="D10693" i="1"/>
  <c r="F10692" i="1"/>
  <c r="E10692" i="1"/>
  <c r="D10692" i="1"/>
  <c r="F10691" i="1"/>
  <c r="E10691" i="1"/>
  <c r="D10691" i="1"/>
  <c r="F10690" i="1"/>
  <c r="E10690" i="1"/>
  <c r="D10690" i="1"/>
  <c r="F10689" i="1"/>
  <c r="E10689" i="1"/>
  <c r="D10689" i="1"/>
  <c r="F10688" i="1"/>
  <c r="E10688" i="1"/>
  <c r="D10688" i="1"/>
  <c r="F10687" i="1"/>
  <c r="E10687" i="1"/>
  <c r="D10687" i="1"/>
  <c r="F10686" i="1"/>
  <c r="E10686" i="1"/>
  <c r="D10686" i="1"/>
  <c r="F10685" i="1"/>
  <c r="E10685" i="1"/>
  <c r="D10685" i="1"/>
  <c r="F10684" i="1"/>
  <c r="E10684" i="1"/>
  <c r="D10684" i="1"/>
  <c r="F10683" i="1"/>
  <c r="E10683" i="1"/>
  <c r="D10683" i="1"/>
  <c r="F10682" i="1"/>
  <c r="E10682" i="1"/>
  <c r="D10682" i="1"/>
  <c r="F10681" i="1"/>
  <c r="E10681" i="1"/>
  <c r="D10681" i="1"/>
  <c r="F10680" i="1"/>
  <c r="E10680" i="1"/>
  <c r="D10680" i="1"/>
  <c r="F10679" i="1"/>
  <c r="E10679" i="1"/>
  <c r="D10679" i="1"/>
  <c r="F10678" i="1"/>
  <c r="E10678" i="1"/>
  <c r="D10678" i="1"/>
  <c r="F10677" i="1"/>
  <c r="E10677" i="1"/>
  <c r="D10677" i="1"/>
  <c r="F10676" i="1"/>
  <c r="E10676" i="1"/>
  <c r="D10676" i="1"/>
  <c r="F10675" i="1"/>
  <c r="E10675" i="1"/>
  <c r="D10675" i="1"/>
  <c r="F10674" i="1"/>
  <c r="E10674" i="1"/>
  <c r="D10674" i="1"/>
  <c r="F10673" i="1"/>
  <c r="E10673" i="1"/>
  <c r="D10673" i="1"/>
  <c r="F10672" i="1"/>
  <c r="E10672" i="1"/>
  <c r="D10672" i="1"/>
  <c r="F10671" i="1"/>
  <c r="E10671" i="1"/>
  <c r="D10671" i="1"/>
  <c r="F10670" i="1"/>
  <c r="E10670" i="1"/>
  <c r="D10670" i="1"/>
  <c r="F10669" i="1"/>
  <c r="E10669" i="1"/>
  <c r="D10669" i="1"/>
  <c r="F10668" i="1"/>
  <c r="E10668" i="1"/>
  <c r="D10668" i="1"/>
  <c r="F10667" i="1"/>
  <c r="E10667" i="1"/>
  <c r="D10667" i="1"/>
  <c r="F10666" i="1"/>
  <c r="E10666" i="1"/>
  <c r="D10666" i="1"/>
  <c r="F10665" i="1"/>
  <c r="E10665" i="1"/>
  <c r="D10665" i="1"/>
  <c r="F10664" i="1"/>
  <c r="E10664" i="1"/>
  <c r="D10664" i="1"/>
  <c r="F10663" i="1"/>
  <c r="E10663" i="1"/>
  <c r="D10663" i="1"/>
  <c r="F10662" i="1"/>
  <c r="E10662" i="1"/>
  <c r="D10662" i="1"/>
  <c r="F10661" i="1"/>
  <c r="E10661" i="1"/>
  <c r="D10661" i="1"/>
  <c r="F10660" i="1"/>
  <c r="E10660" i="1"/>
  <c r="D10660" i="1"/>
  <c r="F10659" i="1"/>
  <c r="E10659" i="1"/>
  <c r="D10659" i="1"/>
  <c r="F10658" i="1"/>
  <c r="E10658" i="1"/>
  <c r="D10658" i="1"/>
  <c r="F10657" i="1"/>
  <c r="E10657" i="1"/>
  <c r="D10657" i="1"/>
  <c r="F10656" i="1"/>
  <c r="E10656" i="1"/>
  <c r="D10656" i="1"/>
  <c r="F10655" i="1"/>
  <c r="E10655" i="1"/>
  <c r="D10655" i="1"/>
  <c r="F10654" i="1"/>
  <c r="E10654" i="1"/>
  <c r="D10654" i="1"/>
  <c r="F10653" i="1"/>
  <c r="E10653" i="1"/>
  <c r="D10653" i="1"/>
  <c r="F10652" i="1"/>
  <c r="E10652" i="1"/>
  <c r="D10652" i="1"/>
  <c r="F10651" i="1"/>
  <c r="E10651" i="1"/>
  <c r="D10651" i="1"/>
  <c r="F10650" i="1"/>
  <c r="E10650" i="1"/>
  <c r="D10650" i="1"/>
  <c r="F10649" i="1"/>
  <c r="E10649" i="1"/>
  <c r="D10649" i="1"/>
  <c r="F10648" i="1"/>
  <c r="E10648" i="1"/>
  <c r="D10648" i="1"/>
  <c r="F10647" i="1"/>
  <c r="E10647" i="1"/>
  <c r="D10647" i="1"/>
  <c r="F10646" i="1"/>
  <c r="E10646" i="1"/>
  <c r="D10646" i="1"/>
  <c r="F10645" i="1"/>
  <c r="E10645" i="1"/>
  <c r="D10645" i="1"/>
  <c r="F10644" i="1"/>
  <c r="E10644" i="1"/>
  <c r="D10644" i="1"/>
  <c r="F10643" i="1"/>
  <c r="E10643" i="1"/>
  <c r="D10643" i="1"/>
  <c r="F10642" i="1"/>
  <c r="E10642" i="1"/>
  <c r="D10642" i="1"/>
  <c r="F10641" i="1"/>
  <c r="E10641" i="1"/>
  <c r="D10641" i="1"/>
  <c r="F10640" i="1"/>
  <c r="E10640" i="1"/>
  <c r="D10640" i="1"/>
  <c r="F10639" i="1"/>
  <c r="E10639" i="1"/>
  <c r="D10639" i="1"/>
  <c r="F10638" i="1"/>
  <c r="E10638" i="1"/>
  <c r="D10638" i="1"/>
  <c r="F10637" i="1"/>
  <c r="E10637" i="1"/>
  <c r="D10637" i="1"/>
  <c r="F10636" i="1"/>
  <c r="E10636" i="1"/>
  <c r="D10636" i="1"/>
  <c r="F10635" i="1"/>
  <c r="E10635" i="1"/>
  <c r="D10635" i="1"/>
  <c r="F10634" i="1"/>
  <c r="E10634" i="1"/>
  <c r="D10634" i="1"/>
  <c r="F10633" i="1"/>
  <c r="E10633" i="1"/>
  <c r="D10633" i="1"/>
  <c r="F10632" i="1"/>
  <c r="E10632" i="1"/>
  <c r="D10632" i="1"/>
  <c r="F10631" i="1"/>
  <c r="E10631" i="1"/>
  <c r="D10631" i="1"/>
  <c r="F10630" i="1"/>
  <c r="E10630" i="1"/>
  <c r="D10630" i="1"/>
  <c r="F10629" i="1"/>
  <c r="E10629" i="1"/>
  <c r="D10629" i="1"/>
  <c r="F10628" i="1"/>
  <c r="E10628" i="1"/>
  <c r="D10628" i="1"/>
  <c r="F10627" i="1"/>
  <c r="E10627" i="1"/>
  <c r="D10627" i="1"/>
  <c r="F10626" i="1"/>
  <c r="E10626" i="1"/>
  <c r="D10626" i="1"/>
  <c r="F10625" i="1"/>
  <c r="E10625" i="1"/>
  <c r="D10625" i="1"/>
  <c r="F10624" i="1"/>
  <c r="E10624" i="1"/>
  <c r="D10624" i="1"/>
  <c r="F10623" i="1"/>
  <c r="E10623" i="1"/>
  <c r="D10623" i="1"/>
  <c r="F10622" i="1"/>
  <c r="E10622" i="1"/>
  <c r="D10622" i="1"/>
  <c r="F10621" i="1"/>
  <c r="E10621" i="1"/>
  <c r="D10621" i="1"/>
  <c r="F10620" i="1"/>
  <c r="E10620" i="1"/>
  <c r="D10620" i="1"/>
  <c r="F10619" i="1"/>
  <c r="E10619" i="1"/>
  <c r="D10619" i="1"/>
  <c r="F10618" i="1"/>
  <c r="E10618" i="1"/>
  <c r="D10618" i="1"/>
  <c r="F10617" i="1"/>
  <c r="E10617" i="1"/>
  <c r="D10617" i="1"/>
  <c r="F10616" i="1"/>
  <c r="E10616" i="1"/>
  <c r="D10616" i="1"/>
  <c r="F10615" i="1"/>
  <c r="E10615" i="1"/>
  <c r="D10615" i="1"/>
  <c r="F10614" i="1"/>
  <c r="E10614" i="1"/>
  <c r="D10614" i="1"/>
  <c r="F10613" i="1"/>
  <c r="E10613" i="1"/>
  <c r="D10613" i="1"/>
  <c r="F10612" i="1"/>
  <c r="E10612" i="1"/>
  <c r="D10612" i="1"/>
  <c r="F10611" i="1"/>
  <c r="E10611" i="1"/>
  <c r="D10611" i="1"/>
  <c r="F10610" i="1"/>
  <c r="E10610" i="1"/>
  <c r="D10610" i="1"/>
  <c r="F10609" i="1"/>
  <c r="E10609" i="1"/>
  <c r="D10609" i="1"/>
  <c r="F10608" i="1"/>
  <c r="E10608" i="1"/>
  <c r="D10608" i="1"/>
  <c r="F10607" i="1"/>
  <c r="E10607" i="1"/>
  <c r="D10607" i="1"/>
  <c r="F10606" i="1"/>
  <c r="E10606" i="1"/>
  <c r="D10606" i="1"/>
  <c r="F10605" i="1"/>
  <c r="E10605" i="1"/>
  <c r="D10605" i="1"/>
  <c r="F10604" i="1"/>
  <c r="E10604" i="1"/>
  <c r="D10604" i="1"/>
  <c r="F10603" i="1"/>
  <c r="E10603" i="1"/>
  <c r="D10603" i="1"/>
  <c r="F10602" i="1"/>
  <c r="E10602" i="1"/>
  <c r="D10602" i="1"/>
  <c r="F10601" i="1"/>
  <c r="E10601" i="1"/>
  <c r="D10601" i="1"/>
  <c r="F10600" i="1"/>
  <c r="E10600" i="1"/>
  <c r="D10600" i="1"/>
  <c r="F10599" i="1"/>
  <c r="E10599" i="1"/>
  <c r="D10599" i="1"/>
  <c r="F10598" i="1"/>
  <c r="E10598" i="1"/>
  <c r="D10598" i="1"/>
  <c r="F10597" i="1"/>
  <c r="E10597" i="1"/>
  <c r="D10597" i="1"/>
  <c r="F10596" i="1"/>
  <c r="E10596" i="1"/>
  <c r="D10596" i="1"/>
  <c r="F10595" i="1"/>
  <c r="E10595" i="1"/>
  <c r="D10595" i="1"/>
  <c r="F10594" i="1"/>
  <c r="E10594" i="1"/>
  <c r="D10594" i="1"/>
  <c r="F10593" i="1"/>
  <c r="E10593" i="1"/>
  <c r="D10593" i="1"/>
  <c r="F10592" i="1"/>
  <c r="E10592" i="1"/>
  <c r="D10592" i="1"/>
  <c r="F10591" i="1"/>
  <c r="E10591" i="1"/>
  <c r="D10591" i="1"/>
  <c r="F10590" i="1"/>
  <c r="E10590" i="1"/>
  <c r="D10590" i="1"/>
  <c r="F10589" i="1"/>
  <c r="E10589" i="1"/>
  <c r="D10589" i="1"/>
  <c r="F10588" i="1"/>
  <c r="E10588" i="1"/>
  <c r="D10588" i="1"/>
  <c r="F10587" i="1"/>
  <c r="E10587" i="1"/>
  <c r="D10587" i="1"/>
  <c r="F10586" i="1"/>
  <c r="E10586" i="1"/>
  <c r="D10586" i="1"/>
  <c r="F10585" i="1"/>
  <c r="E10585" i="1"/>
  <c r="D10585" i="1"/>
  <c r="F10584" i="1"/>
  <c r="E10584" i="1"/>
  <c r="D10584" i="1"/>
  <c r="F10583" i="1"/>
  <c r="E10583" i="1"/>
  <c r="D10583" i="1"/>
  <c r="F10582" i="1"/>
  <c r="E10582" i="1"/>
  <c r="D10582" i="1"/>
  <c r="F10581" i="1"/>
  <c r="E10581" i="1"/>
  <c r="D10581" i="1"/>
  <c r="F10580" i="1"/>
  <c r="E10580" i="1"/>
  <c r="D10580" i="1"/>
  <c r="F10579" i="1"/>
  <c r="E10579" i="1"/>
  <c r="D10579" i="1"/>
  <c r="F10578" i="1"/>
  <c r="E10578" i="1"/>
  <c r="D10578" i="1"/>
  <c r="F10577" i="1"/>
  <c r="E10577" i="1"/>
  <c r="D10577" i="1"/>
  <c r="F10576" i="1"/>
  <c r="E10576" i="1"/>
  <c r="D10576" i="1"/>
  <c r="F10575" i="1"/>
  <c r="E10575" i="1"/>
  <c r="D10575" i="1"/>
  <c r="F10574" i="1"/>
  <c r="E10574" i="1"/>
  <c r="D10574" i="1"/>
  <c r="F10573" i="1"/>
  <c r="E10573" i="1"/>
  <c r="D10573" i="1"/>
  <c r="F10572" i="1"/>
  <c r="E10572" i="1"/>
  <c r="D10572" i="1"/>
  <c r="F10571" i="1"/>
  <c r="E10571" i="1"/>
  <c r="D10571" i="1"/>
  <c r="F10570" i="1"/>
  <c r="E10570" i="1"/>
  <c r="D10570" i="1"/>
  <c r="F10569" i="1"/>
  <c r="E10569" i="1"/>
  <c r="D10569" i="1"/>
  <c r="F10568" i="1"/>
  <c r="E10568" i="1"/>
  <c r="D10568" i="1"/>
  <c r="F10567" i="1"/>
  <c r="E10567" i="1"/>
  <c r="D10567" i="1"/>
  <c r="F10566" i="1"/>
  <c r="E10566" i="1"/>
  <c r="D10566" i="1"/>
  <c r="F10565" i="1"/>
  <c r="E10565" i="1"/>
  <c r="D10565" i="1"/>
  <c r="F10564" i="1"/>
  <c r="E10564" i="1"/>
  <c r="D10564" i="1"/>
  <c r="F10563" i="1"/>
  <c r="E10563" i="1"/>
  <c r="D10563" i="1"/>
  <c r="F10562" i="1"/>
  <c r="E10562" i="1"/>
  <c r="D10562" i="1"/>
  <c r="F10561" i="1"/>
  <c r="E10561" i="1"/>
  <c r="D10561" i="1"/>
  <c r="F10560" i="1"/>
  <c r="E10560" i="1"/>
  <c r="D10560" i="1"/>
  <c r="F10559" i="1"/>
  <c r="E10559" i="1"/>
  <c r="D10559" i="1"/>
  <c r="F10558" i="1"/>
  <c r="E10558" i="1"/>
  <c r="D10558" i="1"/>
  <c r="F10557" i="1"/>
  <c r="E10557" i="1"/>
  <c r="D10557" i="1"/>
  <c r="F10556" i="1"/>
  <c r="E10556" i="1"/>
  <c r="D10556" i="1"/>
  <c r="F10555" i="1"/>
  <c r="E10555" i="1"/>
  <c r="D10555" i="1"/>
  <c r="F10554" i="1"/>
  <c r="E10554" i="1"/>
  <c r="D10554" i="1"/>
  <c r="F10553" i="1"/>
  <c r="E10553" i="1"/>
  <c r="D10553" i="1"/>
  <c r="F10552" i="1"/>
  <c r="E10552" i="1"/>
  <c r="D10552" i="1"/>
  <c r="F10551" i="1"/>
  <c r="E10551" i="1"/>
  <c r="D10551" i="1"/>
  <c r="F10550" i="1"/>
  <c r="E10550" i="1"/>
  <c r="D10550" i="1"/>
  <c r="F10549" i="1"/>
  <c r="E10549" i="1"/>
  <c r="D10549" i="1"/>
  <c r="F10548" i="1"/>
  <c r="E10548" i="1"/>
  <c r="D10548" i="1"/>
  <c r="F10547" i="1"/>
  <c r="E10547" i="1"/>
  <c r="D10547" i="1"/>
  <c r="F10546" i="1"/>
  <c r="E10546" i="1"/>
  <c r="D10546" i="1"/>
  <c r="F10545" i="1"/>
  <c r="E10545" i="1"/>
  <c r="D10545" i="1"/>
  <c r="F10544" i="1"/>
  <c r="E10544" i="1"/>
  <c r="D10544" i="1"/>
  <c r="F10543" i="1"/>
  <c r="E10543" i="1"/>
  <c r="D10543" i="1"/>
  <c r="F10542" i="1"/>
  <c r="E10542" i="1"/>
  <c r="D10542" i="1"/>
  <c r="F10541" i="1"/>
  <c r="E10541" i="1"/>
  <c r="D10541" i="1"/>
  <c r="F10540" i="1"/>
  <c r="E10540" i="1"/>
  <c r="D10540" i="1"/>
  <c r="F10539" i="1"/>
  <c r="E10539" i="1"/>
  <c r="D10539" i="1"/>
  <c r="F10538" i="1"/>
  <c r="E10538" i="1"/>
  <c r="D10538" i="1"/>
  <c r="F10537" i="1"/>
  <c r="E10537" i="1"/>
  <c r="D10537" i="1"/>
  <c r="F10536" i="1"/>
  <c r="E10536" i="1"/>
  <c r="D10536" i="1"/>
  <c r="F10535" i="1"/>
  <c r="E10535" i="1"/>
  <c r="D10535" i="1"/>
  <c r="F10534" i="1"/>
  <c r="E10534" i="1"/>
  <c r="D10534" i="1"/>
  <c r="F10533" i="1"/>
  <c r="E10533" i="1"/>
  <c r="D10533" i="1"/>
  <c r="F10532" i="1"/>
  <c r="E10532" i="1"/>
  <c r="D10532" i="1"/>
  <c r="F10531" i="1"/>
  <c r="E10531" i="1"/>
  <c r="D10531" i="1"/>
  <c r="F10530" i="1"/>
  <c r="E10530" i="1"/>
  <c r="D10530" i="1"/>
  <c r="F10529" i="1"/>
  <c r="E10529" i="1"/>
  <c r="D10529" i="1"/>
  <c r="F10528" i="1"/>
  <c r="E10528" i="1"/>
  <c r="D10528" i="1"/>
  <c r="F10527" i="1"/>
  <c r="E10527" i="1"/>
  <c r="D10527" i="1"/>
  <c r="F10526" i="1"/>
  <c r="E10526" i="1"/>
  <c r="D10526" i="1"/>
  <c r="F10525" i="1"/>
  <c r="E10525" i="1"/>
  <c r="D10525" i="1"/>
  <c r="F10524" i="1"/>
  <c r="E10524" i="1"/>
  <c r="D10524" i="1"/>
  <c r="F10523" i="1"/>
  <c r="E10523" i="1"/>
  <c r="D10523" i="1"/>
  <c r="F10522" i="1"/>
  <c r="E10522" i="1"/>
  <c r="D10522" i="1"/>
  <c r="F10521" i="1"/>
  <c r="E10521" i="1"/>
  <c r="D10521" i="1"/>
  <c r="F10520" i="1"/>
  <c r="E10520" i="1"/>
  <c r="D10520" i="1"/>
  <c r="F10519" i="1"/>
  <c r="E10519" i="1"/>
  <c r="D10519" i="1"/>
  <c r="F10518" i="1"/>
  <c r="E10518" i="1"/>
  <c r="D10518" i="1"/>
  <c r="F10517" i="1"/>
  <c r="E10517" i="1"/>
  <c r="D10517" i="1"/>
  <c r="F10516" i="1"/>
  <c r="E10516" i="1"/>
  <c r="D10516" i="1"/>
  <c r="F10515" i="1"/>
  <c r="E10515" i="1"/>
  <c r="D10515" i="1"/>
  <c r="F10514" i="1"/>
  <c r="E10514" i="1"/>
  <c r="D10514" i="1"/>
  <c r="F10513" i="1"/>
  <c r="E10513" i="1"/>
  <c r="D10513" i="1"/>
  <c r="F10512" i="1"/>
  <c r="E10512" i="1"/>
  <c r="D10512" i="1"/>
  <c r="F10511" i="1"/>
  <c r="E10511" i="1"/>
  <c r="D10511" i="1"/>
  <c r="F10510" i="1"/>
  <c r="E10510" i="1"/>
  <c r="D10510" i="1"/>
  <c r="F10509" i="1"/>
  <c r="E10509" i="1"/>
  <c r="D10509" i="1"/>
  <c r="F10508" i="1"/>
  <c r="E10508" i="1"/>
  <c r="D10508" i="1"/>
  <c r="F10507" i="1"/>
  <c r="E10507" i="1"/>
  <c r="D10507" i="1"/>
  <c r="F10506" i="1"/>
  <c r="E10506" i="1"/>
  <c r="D10506" i="1"/>
  <c r="F10505" i="1"/>
  <c r="E10505" i="1"/>
  <c r="D10505" i="1"/>
  <c r="F10504" i="1"/>
  <c r="E10504" i="1"/>
  <c r="D10504" i="1"/>
  <c r="F10503" i="1"/>
  <c r="E10503" i="1"/>
  <c r="D10503" i="1"/>
  <c r="F10502" i="1"/>
  <c r="E10502" i="1"/>
  <c r="D10502" i="1"/>
  <c r="F10501" i="1"/>
  <c r="E10501" i="1"/>
  <c r="D10501" i="1"/>
  <c r="F10500" i="1"/>
  <c r="E10500" i="1"/>
  <c r="D10500" i="1"/>
  <c r="F10499" i="1"/>
  <c r="E10499" i="1"/>
  <c r="D10499" i="1"/>
  <c r="F10498" i="1"/>
  <c r="E10498" i="1"/>
  <c r="D10498" i="1"/>
  <c r="F10497" i="1"/>
  <c r="E10497" i="1"/>
  <c r="D10497" i="1"/>
  <c r="F10496" i="1"/>
  <c r="E10496" i="1"/>
  <c r="D10496" i="1"/>
  <c r="F10495" i="1"/>
  <c r="E10495" i="1"/>
  <c r="D10495" i="1"/>
  <c r="F10494" i="1"/>
  <c r="E10494" i="1"/>
  <c r="D10494" i="1"/>
  <c r="F10493" i="1"/>
  <c r="E10493" i="1"/>
  <c r="D10493" i="1"/>
  <c r="F10492" i="1"/>
  <c r="E10492" i="1"/>
  <c r="D10492" i="1"/>
  <c r="F10491" i="1"/>
  <c r="E10491" i="1"/>
  <c r="D10491" i="1"/>
  <c r="F10490" i="1"/>
  <c r="E10490" i="1"/>
  <c r="D10490" i="1"/>
  <c r="F10489" i="1"/>
  <c r="E10489" i="1"/>
  <c r="D10489" i="1"/>
  <c r="F10488" i="1"/>
  <c r="E10488" i="1"/>
  <c r="D10488" i="1"/>
  <c r="F10487" i="1"/>
  <c r="E10487" i="1"/>
  <c r="D10487" i="1"/>
  <c r="F10486" i="1"/>
  <c r="E10486" i="1"/>
  <c r="D10486" i="1"/>
  <c r="F10485" i="1"/>
  <c r="E10485" i="1"/>
  <c r="D10485" i="1"/>
  <c r="F10484" i="1"/>
  <c r="E10484" i="1"/>
  <c r="D10484" i="1"/>
  <c r="F10483" i="1"/>
  <c r="E10483" i="1"/>
  <c r="D10483" i="1"/>
  <c r="F10482" i="1"/>
  <c r="E10482" i="1"/>
  <c r="D10482" i="1"/>
  <c r="F10481" i="1"/>
  <c r="E10481" i="1"/>
  <c r="D10481" i="1"/>
  <c r="F10480" i="1"/>
  <c r="E10480" i="1"/>
  <c r="D10480" i="1"/>
  <c r="F10479" i="1"/>
  <c r="E10479" i="1"/>
  <c r="D10479" i="1"/>
  <c r="F10478" i="1"/>
  <c r="E10478" i="1"/>
  <c r="D10478" i="1"/>
  <c r="F10477" i="1"/>
  <c r="E10477" i="1"/>
  <c r="D10477" i="1"/>
  <c r="F10476" i="1"/>
  <c r="E10476" i="1"/>
  <c r="D10476" i="1"/>
  <c r="F10475" i="1"/>
  <c r="E10475" i="1"/>
  <c r="D10475" i="1"/>
  <c r="F10474" i="1"/>
  <c r="E10474" i="1"/>
  <c r="D10474" i="1"/>
  <c r="F10473" i="1"/>
  <c r="E10473" i="1"/>
  <c r="D10473" i="1"/>
  <c r="F10472" i="1"/>
  <c r="E10472" i="1"/>
  <c r="D10472" i="1"/>
  <c r="F10471" i="1"/>
  <c r="E10471" i="1"/>
  <c r="D10471" i="1"/>
  <c r="F10470" i="1"/>
  <c r="E10470" i="1"/>
  <c r="D10470" i="1"/>
  <c r="F10469" i="1"/>
  <c r="E10469" i="1"/>
  <c r="D10469" i="1"/>
  <c r="F10468" i="1"/>
  <c r="E10468" i="1"/>
  <c r="D10468" i="1"/>
  <c r="F10467" i="1"/>
  <c r="E10467" i="1"/>
  <c r="D10467" i="1"/>
  <c r="F10466" i="1"/>
  <c r="E10466" i="1"/>
  <c r="D10466" i="1"/>
  <c r="F10465" i="1"/>
  <c r="E10465" i="1"/>
  <c r="D10465" i="1"/>
  <c r="F10464" i="1"/>
  <c r="E10464" i="1"/>
  <c r="D10464" i="1"/>
  <c r="F10463" i="1"/>
  <c r="E10463" i="1"/>
  <c r="D10463" i="1"/>
  <c r="F10462" i="1"/>
  <c r="E10462" i="1"/>
  <c r="D10462" i="1"/>
  <c r="F10461" i="1"/>
  <c r="E10461" i="1"/>
  <c r="D10461" i="1"/>
  <c r="F10460" i="1"/>
  <c r="E10460" i="1"/>
  <c r="D10460" i="1"/>
  <c r="F10459" i="1"/>
  <c r="E10459" i="1"/>
  <c r="D10459" i="1"/>
  <c r="F10458" i="1"/>
  <c r="E10458" i="1"/>
  <c r="D10458" i="1"/>
  <c r="F10457" i="1"/>
  <c r="E10457" i="1"/>
  <c r="D10457" i="1"/>
  <c r="F10456" i="1"/>
  <c r="E10456" i="1"/>
  <c r="D10456" i="1"/>
  <c r="F10455" i="1"/>
  <c r="E10455" i="1"/>
  <c r="D10455" i="1"/>
  <c r="F10454" i="1"/>
  <c r="E10454" i="1"/>
  <c r="D10454" i="1"/>
  <c r="F10453" i="1"/>
  <c r="E10453" i="1"/>
  <c r="D10453" i="1"/>
  <c r="F10452" i="1"/>
  <c r="E10452" i="1"/>
  <c r="D10452" i="1"/>
  <c r="F10451" i="1"/>
  <c r="E10451" i="1"/>
  <c r="D10451" i="1"/>
  <c r="F10450" i="1"/>
  <c r="E10450" i="1"/>
  <c r="D10450" i="1"/>
  <c r="F10449" i="1"/>
  <c r="E10449" i="1"/>
  <c r="D10449" i="1"/>
  <c r="F10448" i="1"/>
  <c r="E10448" i="1"/>
  <c r="D10448" i="1"/>
  <c r="F10447" i="1"/>
  <c r="E10447" i="1"/>
  <c r="D10447" i="1"/>
  <c r="F10446" i="1"/>
  <c r="E10446" i="1"/>
  <c r="D10446" i="1"/>
  <c r="F10445" i="1"/>
  <c r="E10445" i="1"/>
  <c r="D10445" i="1"/>
  <c r="F10444" i="1"/>
  <c r="E10444" i="1"/>
  <c r="D10444" i="1"/>
  <c r="F10443" i="1"/>
  <c r="E10443" i="1"/>
  <c r="D10443" i="1"/>
  <c r="F10442" i="1"/>
  <c r="E10442" i="1"/>
  <c r="D10442" i="1"/>
  <c r="F10441" i="1"/>
  <c r="E10441" i="1"/>
  <c r="D10441" i="1"/>
  <c r="F10440" i="1"/>
  <c r="E10440" i="1"/>
  <c r="D10440" i="1"/>
  <c r="F10439" i="1"/>
  <c r="E10439" i="1"/>
  <c r="D10439" i="1"/>
  <c r="F10438" i="1"/>
  <c r="E10438" i="1"/>
  <c r="D10438" i="1"/>
  <c r="F10437" i="1"/>
  <c r="E10437" i="1"/>
  <c r="D10437" i="1"/>
  <c r="F10436" i="1"/>
  <c r="E10436" i="1"/>
  <c r="D10436" i="1"/>
  <c r="F10435" i="1"/>
  <c r="E10435" i="1"/>
  <c r="D10435" i="1"/>
  <c r="F10434" i="1"/>
  <c r="E10434" i="1"/>
  <c r="D10434" i="1"/>
  <c r="F10433" i="1"/>
  <c r="E10433" i="1"/>
  <c r="D10433" i="1"/>
  <c r="F10432" i="1"/>
  <c r="E10432" i="1"/>
  <c r="D10432" i="1"/>
  <c r="F10431" i="1"/>
  <c r="E10431" i="1"/>
  <c r="D10431" i="1"/>
  <c r="F10430" i="1"/>
  <c r="E10430" i="1"/>
  <c r="D10430" i="1"/>
  <c r="F10429" i="1"/>
  <c r="E10429" i="1"/>
  <c r="D10429" i="1"/>
  <c r="F10428" i="1"/>
  <c r="E10428" i="1"/>
  <c r="D10428" i="1"/>
  <c r="F10427" i="1"/>
  <c r="E10427" i="1"/>
  <c r="D10427" i="1"/>
  <c r="F10426" i="1"/>
  <c r="E10426" i="1"/>
  <c r="D10426" i="1"/>
  <c r="F10425" i="1"/>
  <c r="E10425" i="1"/>
  <c r="D10425" i="1"/>
  <c r="F10424" i="1"/>
  <c r="E10424" i="1"/>
  <c r="D10424" i="1"/>
  <c r="F10423" i="1"/>
  <c r="E10423" i="1"/>
  <c r="D10423" i="1"/>
  <c r="F10422" i="1"/>
  <c r="E10422" i="1"/>
  <c r="D10422" i="1"/>
  <c r="F10421" i="1"/>
  <c r="E10421" i="1"/>
  <c r="D10421" i="1"/>
  <c r="F10420" i="1"/>
  <c r="E10420" i="1"/>
  <c r="D10420" i="1"/>
  <c r="F10419" i="1"/>
  <c r="E10419" i="1"/>
  <c r="D10419" i="1"/>
  <c r="F10418" i="1"/>
  <c r="E10418" i="1"/>
  <c r="D10418" i="1"/>
  <c r="F10417" i="1"/>
  <c r="E10417" i="1"/>
  <c r="D10417" i="1"/>
  <c r="F10416" i="1"/>
  <c r="E10416" i="1"/>
  <c r="D10416" i="1"/>
  <c r="F10415" i="1"/>
  <c r="E10415" i="1"/>
  <c r="D10415" i="1"/>
  <c r="F10414" i="1"/>
  <c r="E10414" i="1"/>
  <c r="D10414" i="1"/>
  <c r="F10413" i="1"/>
  <c r="E10413" i="1"/>
  <c r="D10413" i="1"/>
  <c r="F10412" i="1"/>
  <c r="E10412" i="1"/>
  <c r="D10412" i="1"/>
  <c r="F10411" i="1"/>
  <c r="E10411" i="1"/>
  <c r="D10411" i="1"/>
  <c r="F10410" i="1"/>
  <c r="E10410" i="1"/>
  <c r="D10410" i="1"/>
  <c r="F10409" i="1"/>
  <c r="E10409" i="1"/>
  <c r="D10409" i="1"/>
  <c r="F10408" i="1"/>
  <c r="E10408" i="1"/>
  <c r="D10408" i="1"/>
  <c r="F10407" i="1"/>
  <c r="E10407" i="1"/>
  <c r="D10407" i="1"/>
  <c r="F10406" i="1"/>
  <c r="E10406" i="1"/>
  <c r="D10406" i="1"/>
  <c r="F10405" i="1"/>
  <c r="E10405" i="1"/>
  <c r="D10405" i="1"/>
  <c r="F10404" i="1"/>
  <c r="E10404" i="1"/>
  <c r="D10404" i="1"/>
  <c r="F10403" i="1"/>
  <c r="E10403" i="1"/>
  <c r="D10403" i="1"/>
  <c r="F10402" i="1"/>
  <c r="E10402" i="1"/>
  <c r="D10402" i="1"/>
  <c r="F10401" i="1"/>
  <c r="E10401" i="1"/>
  <c r="D10401" i="1"/>
  <c r="F10400" i="1"/>
  <c r="E10400" i="1"/>
  <c r="D10400" i="1"/>
  <c r="F10399" i="1"/>
  <c r="E10399" i="1"/>
  <c r="D10399" i="1"/>
  <c r="F10398" i="1"/>
  <c r="E10398" i="1"/>
  <c r="D10398" i="1"/>
  <c r="F10397" i="1"/>
  <c r="E10397" i="1"/>
  <c r="D10397" i="1"/>
  <c r="F10396" i="1"/>
  <c r="E10396" i="1"/>
  <c r="D10396" i="1"/>
  <c r="F10395" i="1"/>
  <c r="E10395" i="1"/>
  <c r="D10395" i="1"/>
  <c r="F10394" i="1"/>
  <c r="E10394" i="1"/>
  <c r="D10394" i="1"/>
  <c r="F10393" i="1"/>
  <c r="E10393" i="1"/>
  <c r="D10393" i="1"/>
  <c r="F10392" i="1"/>
  <c r="E10392" i="1"/>
  <c r="D10392" i="1"/>
  <c r="F10391" i="1"/>
  <c r="E10391" i="1"/>
  <c r="D10391" i="1"/>
  <c r="F10390" i="1"/>
  <c r="E10390" i="1"/>
  <c r="D10390" i="1"/>
  <c r="F10389" i="1"/>
  <c r="E10389" i="1"/>
  <c r="D10389" i="1"/>
  <c r="F10388" i="1"/>
  <c r="E10388" i="1"/>
  <c r="D10388" i="1"/>
  <c r="F10387" i="1"/>
  <c r="E10387" i="1"/>
  <c r="D10387" i="1"/>
  <c r="F10386" i="1"/>
  <c r="E10386" i="1"/>
  <c r="D10386" i="1"/>
  <c r="F10385" i="1"/>
  <c r="E10385" i="1"/>
  <c r="D10385" i="1"/>
  <c r="F10384" i="1"/>
  <c r="E10384" i="1"/>
  <c r="D10384" i="1"/>
  <c r="F10383" i="1"/>
  <c r="E10383" i="1"/>
  <c r="D10383" i="1"/>
  <c r="F10382" i="1"/>
  <c r="E10382" i="1"/>
  <c r="D10382" i="1"/>
  <c r="F10381" i="1"/>
  <c r="E10381" i="1"/>
  <c r="D10381" i="1"/>
  <c r="F10380" i="1"/>
  <c r="E10380" i="1"/>
  <c r="D10380" i="1"/>
  <c r="F10379" i="1"/>
  <c r="E10379" i="1"/>
  <c r="D10379" i="1"/>
  <c r="F10378" i="1"/>
  <c r="E10378" i="1"/>
  <c r="D10378" i="1"/>
  <c r="F10377" i="1"/>
  <c r="E10377" i="1"/>
  <c r="D10377" i="1"/>
  <c r="F10376" i="1"/>
  <c r="E10376" i="1"/>
  <c r="D10376" i="1"/>
  <c r="F10375" i="1"/>
  <c r="E10375" i="1"/>
  <c r="D10375" i="1"/>
  <c r="F10374" i="1"/>
  <c r="E10374" i="1"/>
  <c r="D10374" i="1"/>
  <c r="F10373" i="1"/>
  <c r="E10373" i="1"/>
  <c r="D10373" i="1"/>
  <c r="F10372" i="1"/>
  <c r="E10372" i="1"/>
  <c r="D10372" i="1"/>
  <c r="F10371" i="1"/>
  <c r="E10371" i="1"/>
  <c r="D10371" i="1"/>
  <c r="F10370" i="1"/>
  <c r="E10370" i="1"/>
  <c r="D10370" i="1"/>
  <c r="F10369" i="1"/>
  <c r="E10369" i="1"/>
  <c r="D10369" i="1"/>
  <c r="F10368" i="1"/>
  <c r="E10368" i="1"/>
  <c r="D10368" i="1"/>
  <c r="F10367" i="1"/>
  <c r="E10367" i="1"/>
  <c r="D10367" i="1"/>
  <c r="F10366" i="1"/>
  <c r="E10366" i="1"/>
  <c r="D10366" i="1"/>
  <c r="F10365" i="1"/>
  <c r="E10365" i="1"/>
  <c r="D10365" i="1"/>
  <c r="F10364" i="1"/>
  <c r="E10364" i="1"/>
  <c r="D10364" i="1"/>
  <c r="F10363" i="1"/>
  <c r="E10363" i="1"/>
  <c r="D10363" i="1"/>
  <c r="F10362" i="1"/>
  <c r="E10362" i="1"/>
  <c r="D10362" i="1"/>
  <c r="F10361" i="1"/>
  <c r="E10361" i="1"/>
  <c r="D10361" i="1"/>
  <c r="F10360" i="1"/>
  <c r="E10360" i="1"/>
  <c r="D10360" i="1"/>
  <c r="F10359" i="1"/>
  <c r="E10359" i="1"/>
  <c r="D10359" i="1"/>
  <c r="F10358" i="1"/>
  <c r="E10358" i="1"/>
  <c r="D10358" i="1"/>
  <c r="F10357" i="1"/>
  <c r="E10357" i="1"/>
  <c r="D10357" i="1"/>
  <c r="F10356" i="1"/>
  <c r="E10356" i="1"/>
  <c r="D10356" i="1"/>
  <c r="F10355" i="1"/>
  <c r="E10355" i="1"/>
  <c r="D10355" i="1"/>
  <c r="F10354" i="1"/>
  <c r="E10354" i="1"/>
  <c r="D10354" i="1"/>
  <c r="F10353" i="1"/>
  <c r="E10353" i="1"/>
  <c r="D10353" i="1"/>
  <c r="F10352" i="1"/>
  <c r="E10352" i="1"/>
  <c r="D10352" i="1"/>
  <c r="F10351" i="1"/>
  <c r="E10351" i="1"/>
  <c r="D10351" i="1"/>
  <c r="F10350" i="1"/>
  <c r="E10350" i="1"/>
  <c r="D10350" i="1"/>
  <c r="F10349" i="1"/>
  <c r="E10349" i="1"/>
  <c r="D10349" i="1"/>
  <c r="F10348" i="1"/>
  <c r="E10348" i="1"/>
  <c r="D10348" i="1"/>
  <c r="F10347" i="1"/>
  <c r="E10347" i="1"/>
  <c r="D10347" i="1"/>
  <c r="F10346" i="1"/>
  <c r="E10346" i="1"/>
  <c r="D10346" i="1"/>
  <c r="F10345" i="1"/>
  <c r="E10345" i="1"/>
  <c r="D10345" i="1"/>
  <c r="F10344" i="1"/>
  <c r="E10344" i="1"/>
  <c r="D10344" i="1"/>
  <c r="F10343" i="1"/>
  <c r="E10343" i="1"/>
  <c r="D10343" i="1"/>
  <c r="F10342" i="1"/>
  <c r="E10342" i="1"/>
  <c r="D10342" i="1"/>
  <c r="F10341" i="1"/>
  <c r="E10341" i="1"/>
  <c r="D10341" i="1"/>
  <c r="F10340" i="1"/>
  <c r="E10340" i="1"/>
  <c r="D10340" i="1"/>
  <c r="F10339" i="1"/>
  <c r="E10339" i="1"/>
  <c r="D10339" i="1"/>
  <c r="F10338" i="1"/>
  <c r="E10338" i="1"/>
  <c r="D10338" i="1"/>
  <c r="F10337" i="1"/>
  <c r="E10337" i="1"/>
  <c r="D10337" i="1"/>
  <c r="F10336" i="1"/>
  <c r="E10336" i="1"/>
  <c r="D10336" i="1"/>
  <c r="F10335" i="1"/>
  <c r="E10335" i="1"/>
  <c r="D10335" i="1"/>
  <c r="F10334" i="1"/>
  <c r="E10334" i="1"/>
  <c r="D10334" i="1"/>
  <c r="F10333" i="1"/>
  <c r="E10333" i="1"/>
  <c r="D10333" i="1"/>
  <c r="F10332" i="1"/>
  <c r="E10332" i="1"/>
  <c r="D10332" i="1"/>
  <c r="F10331" i="1"/>
  <c r="E10331" i="1"/>
  <c r="D10331" i="1"/>
  <c r="F10330" i="1"/>
  <c r="E10330" i="1"/>
  <c r="D10330" i="1"/>
  <c r="F10329" i="1"/>
  <c r="E10329" i="1"/>
  <c r="D10329" i="1"/>
  <c r="F10328" i="1"/>
  <c r="E10328" i="1"/>
  <c r="D10328" i="1"/>
  <c r="F10327" i="1"/>
  <c r="E10327" i="1"/>
  <c r="D10327" i="1"/>
  <c r="F10326" i="1"/>
  <c r="E10326" i="1"/>
  <c r="D10326" i="1"/>
  <c r="F10325" i="1"/>
  <c r="E10325" i="1"/>
  <c r="D10325" i="1"/>
  <c r="F10324" i="1"/>
  <c r="E10324" i="1"/>
  <c r="D10324" i="1"/>
  <c r="F10323" i="1"/>
  <c r="E10323" i="1"/>
  <c r="D10323" i="1"/>
  <c r="F10322" i="1"/>
  <c r="E10322" i="1"/>
  <c r="D10322" i="1"/>
  <c r="F10321" i="1"/>
  <c r="E10321" i="1"/>
  <c r="D10321" i="1"/>
  <c r="F10320" i="1"/>
  <c r="E10320" i="1"/>
  <c r="D10320" i="1"/>
  <c r="F10319" i="1"/>
  <c r="E10319" i="1"/>
  <c r="D10319" i="1"/>
  <c r="F10318" i="1"/>
  <c r="E10318" i="1"/>
  <c r="D10318" i="1"/>
  <c r="F10317" i="1"/>
  <c r="E10317" i="1"/>
  <c r="D10317" i="1"/>
  <c r="F10316" i="1"/>
  <c r="E10316" i="1"/>
  <c r="D10316" i="1"/>
  <c r="F10315" i="1"/>
  <c r="E10315" i="1"/>
  <c r="D10315" i="1"/>
  <c r="F10314" i="1"/>
  <c r="E10314" i="1"/>
  <c r="D10314" i="1"/>
  <c r="F10313" i="1"/>
  <c r="E10313" i="1"/>
  <c r="D10313" i="1"/>
  <c r="F10312" i="1"/>
  <c r="E10312" i="1"/>
  <c r="D10312" i="1"/>
  <c r="F10311" i="1"/>
  <c r="E10311" i="1"/>
  <c r="D10311" i="1"/>
  <c r="F10310" i="1"/>
  <c r="E10310" i="1"/>
  <c r="D10310" i="1"/>
  <c r="F10309" i="1"/>
  <c r="E10309" i="1"/>
  <c r="D10309" i="1"/>
  <c r="F10308" i="1"/>
  <c r="E10308" i="1"/>
  <c r="D10308" i="1"/>
  <c r="F10307" i="1"/>
  <c r="E10307" i="1"/>
  <c r="D10307" i="1"/>
  <c r="F10306" i="1"/>
  <c r="E10306" i="1"/>
  <c r="D10306" i="1"/>
  <c r="F10305" i="1"/>
  <c r="E10305" i="1"/>
  <c r="D10305" i="1"/>
  <c r="F10304" i="1"/>
  <c r="E10304" i="1"/>
  <c r="D10304" i="1"/>
  <c r="F10303" i="1"/>
  <c r="E10303" i="1"/>
  <c r="D10303" i="1"/>
  <c r="F10302" i="1"/>
  <c r="E10302" i="1"/>
  <c r="D10302" i="1"/>
  <c r="F10301" i="1"/>
  <c r="E10301" i="1"/>
  <c r="D10301" i="1"/>
  <c r="F10300" i="1"/>
  <c r="E10300" i="1"/>
  <c r="D10300" i="1"/>
  <c r="F10299" i="1"/>
  <c r="E10299" i="1"/>
  <c r="D10299" i="1"/>
  <c r="F10298" i="1"/>
  <c r="E10298" i="1"/>
  <c r="D10298" i="1"/>
  <c r="F10297" i="1"/>
  <c r="E10297" i="1"/>
  <c r="D10297" i="1"/>
  <c r="F10296" i="1"/>
  <c r="E10296" i="1"/>
  <c r="D10296" i="1"/>
  <c r="F10295" i="1"/>
  <c r="E10295" i="1"/>
  <c r="D10295" i="1"/>
  <c r="F10294" i="1"/>
  <c r="E10294" i="1"/>
  <c r="D10294" i="1"/>
  <c r="F10293" i="1"/>
  <c r="E10293" i="1"/>
  <c r="D10293" i="1"/>
  <c r="F10292" i="1"/>
  <c r="E10292" i="1"/>
  <c r="D10292" i="1"/>
  <c r="F10291" i="1"/>
  <c r="E10291" i="1"/>
  <c r="D10291" i="1"/>
  <c r="F10290" i="1"/>
  <c r="E10290" i="1"/>
  <c r="D10290" i="1"/>
  <c r="F10289" i="1"/>
  <c r="E10289" i="1"/>
  <c r="D10289" i="1"/>
  <c r="F10288" i="1"/>
  <c r="E10288" i="1"/>
  <c r="D10288" i="1"/>
  <c r="F10287" i="1"/>
  <c r="E10287" i="1"/>
  <c r="D10287" i="1"/>
  <c r="F10286" i="1"/>
  <c r="E10286" i="1"/>
  <c r="D10286" i="1"/>
  <c r="F10285" i="1"/>
  <c r="E10285" i="1"/>
  <c r="D10285" i="1"/>
  <c r="F10284" i="1"/>
  <c r="E10284" i="1"/>
  <c r="D10284" i="1"/>
  <c r="F10283" i="1"/>
  <c r="E10283" i="1"/>
  <c r="D10283" i="1"/>
  <c r="F10282" i="1"/>
  <c r="E10282" i="1"/>
  <c r="D10282" i="1"/>
  <c r="F10281" i="1"/>
  <c r="E10281" i="1"/>
  <c r="D10281" i="1"/>
  <c r="F10280" i="1"/>
  <c r="E10280" i="1"/>
  <c r="D10280" i="1"/>
  <c r="F10279" i="1"/>
  <c r="E10279" i="1"/>
  <c r="D10279" i="1"/>
  <c r="F10278" i="1"/>
  <c r="E10278" i="1"/>
  <c r="D10278" i="1"/>
  <c r="F10277" i="1"/>
  <c r="E10277" i="1"/>
  <c r="D10277" i="1"/>
  <c r="F10276" i="1"/>
  <c r="E10276" i="1"/>
  <c r="D10276" i="1"/>
  <c r="F10275" i="1"/>
  <c r="E10275" i="1"/>
  <c r="D10275" i="1"/>
  <c r="F10274" i="1"/>
  <c r="E10274" i="1"/>
  <c r="D10274" i="1"/>
  <c r="F10273" i="1"/>
  <c r="E10273" i="1"/>
  <c r="D10273" i="1"/>
  <c r="F10272" i="1"/>
  <c r="E10272" i="1"/>
  <c r="D10272" i="1"/>
  <c r="F10271" i="1"/>
  <c r="E10271" i="1"/>
  <c r="D10271" i="1"/>
  <c r="F10270" i="1"/>
  <c r="E10270" i="1"/>
  <c r="D10270" i="1"/>
  <c r="F10269" i="1"/>
  <c r="E10269" i="1"/>
  <c r="D10269" i="1"/>
  <c r="F10268" i="1"/>
  <c r="E10268" i="1"/>
  <c r="D10268" i="1"/>
  <c r="F10267" i="1"/>
  <c r="E10267" i="1"/>
  <c r="D10267" i="1"/>
  <c r="F10266" i="1"/>
  <c r="E10266" i="1"/>
  <c r="D10266" i="1"/>
  <c r="F10265" i="1"/>
  <c r="E10265" i="1"/>
  <c r="D10265" i="1"/>
  <c r="F10264" i="1"/>
  <c r="E10264" i="1"/>
  <c r="D10264" i="1"/>
  <c r="F10263" i="1"/>
  <c r="E10263" i="1"/>
  <c r="D10263" i="1"/>
  <c r="F10262" i="1"/>
  <c r="E10262" i="1"/>
  <c r="D10262" i="1"/>
  <c r="F10261" i="1"/>
  <c r="E10261" i="1"/>
  <c r="D10261" i="1"/>
  <c r="F10260" i="1"/>
  <c r="E10260" i="1"/>
  <c r="D10260" i="1"/>
  <c r="F10259" i="1"/>
  <c r="E10259" i="1"/>
  <c r="D10259" i="1"/>
  <c r="F10258" i="1"/>
  <c r="E10258" i="1"/>
  <c r="D10258" i="1"/>
  <c r="F10257" i="1"/>
  <c r="E10257" i="1"/>
  <c r="D10257" i="1"/>
  <c r="F10256" i="1"/>
  <c r="E10256" i="1"/>
  <c r="D10256" i="1"/>
  <c r="F10255" i="1"/>
  <c r="E10255" i="1"/>
  <c r="D10255" i="1"/>
  <c r="F10254" i="1"/>
  <c r="E10254" i="1"/>
  <c r="D10254" i="1"/>
  <c r="F10253" i="1"/>
  <c r="E10253" i="1"/>
  <c r="D10253" i="1"/>
  <c r="F10252" i="1"/>
  <c r="E10252" i="1"/>
  <c r="D10252" i="1"/>
  <c r="F10251" i="1"/>
  <c r="E10251" i="1"/>
  <c r="D10251" i="1"/>
  <c r="F10250" i="1"/>
  <c r="E10250" i="1"/>
  <c r="D10250" i="1"/>
  <c r="F10249" i="1"/>
  <c r="E10249" i="1"/>
  <c r="D10249" i="1"/>
  <c r="F10248" i="1"/>
  <c r="E10248" i="1"/>
  <c r="D10248" i="1"/>
  <c r="F10247" i="1"/>
  <c r="E10247" i="1"/>
  <c r="D10247" i="1"/>
  <c r="F10246" i="1"/>
  <c r="E10246" i="1"/>
  <c r="D10246" i="1"/>
  <c r="F10245" i="1"/>
  <c r="E10245" i="1"/>
  <c r="D10245" i="1"/>
  <c r="F10244" i="1"/>
  <c r="E10244" i="1"/>
  <c r="D10244" i="1"/>
  <c r="F10243" i="1"/>
  <c r="E10243" i="1"/>
  <c r="D10243" i="1"/>
  <c r="F10242" i="1"/>
  <c r="E10242" i="1"/>
  <c r="D10242" i="1"/>
  <c r="F10241" i="1"/>
  <c r="E10241" i="1"/>
  <c r="D10241" i="1"/>
  <c r="F10240" i="1"/>
  <c r="E10240" i="1"/>
  <c r="D10240" i="1"/>
  <c r="F10239" i="1"/>
  <c r="E10239" i="1"/>
  <c r="D10239" i="1"/>
  <c r="F10238" i="1"/>
  <c r="E10238" i="1"/>
  <c r="D10238" i="1"/>
  <c r="F10237" i="1"/>
  <c r="E10237" i="1"/>
  <c r="D10237" i="1"/>
  <c r="F10236" i="1"/>
  <c r="E10236" i="1"/>
  <c r="D10236" i="1"/>
  <c r="F10235" i="1"/>
  <c r="E10235" i="1"/>
  <c r="D10235" i="1"/>
  <c r="F10234" i="1"/>
  <c r="E10234" i="1"/>
  <c r="D10234" i="1"/>
  <c r="F10233" i="1"/>
  <c r="E10233" i="1"/>
  <c r="D10233" i="1"/>
  <c r="F10232" i="1"/>
  <c r="E10232" i="1"/>
  <c r="D10232" i="1"/>
  <c r="F10231" i="1"/>
  <c r="E10231" i="1"/>
  <c r="D10231" i="1"/>
  <c r="F10230" i="1"/>
  <c r="E10230" i="1"/>
  <c r="D10230" i="1"/>
  <c r="F10229" i="1"/>
  <c r="E10229" i="1"/>
  <c r="D10229" i="1"/>
  <c r="F10228" i="1"/>
  <c r="E10228" i="1"/>
  <c r="D10228" i="1"/>
  <c r="F10227" i="1"/>
  <c r="E10227" i="1"/>
  <c r="D10227" i="1"/>
  <c r="F10226" i="1"/>
  <c r="E10226" i="1"/>
  <c r="D10226" i="1"/>
  <c r="F10225" i="1"/>
  <c r="E10225" i="1"/>
  <c r="D10225" i="1"/>
  <c r="F10224" i="1"/>
  <c r="E10224" i="1"/>
  <c r="D10224" i="1"/>
  <c r="F10223" i="1"/>
  <c r="E10223" i="1"/>
  <c r="D10223" i="1"/>
  <c r="F10222" i="1"/>
  <c r="E10222" i="1"/>
  <c r="D10222" i="1"/>
  <c r="F10221" i="1"/>
  <c r="E10221" i="1"/>
  <c r="D10221" i="1"/>
  <c r="F10220" i="1"/>
  <c r="E10220" i="1"/>
  <c r="D10220" i="1"/>
  <c r="F10219" i="1"/>
  <c r="E10219" i="1"/>
  <c r="D10219" i="1"/>
  <c r="F10218" i="1"/>
  <c r="E10218" i="1"/>
  <c r="D10218" i="1"/>
  <c r="F10217" i="1"/>
  <c r="E10217" i="1"/>
  <c r="D10217" i="1"/>
  <c r="F10216" i="1"/>
  <c r="E10216" i="1"/>
  <c r="D10216" i="1"/>
  <c r="F10215" i="1"/>
  <c r="E10215" i="1"/>
  <c r="D10215" i="1"/>
  <c r="F10214" i="1"/>
  <c r="E10214" i="1"/>
  <c r="D10214" i="1"/>
  <c r="F10213" i="1"/>
  <c r="E10213" i="1"/>
  <c r="D10213" i="1"/>
  <c r="F10212" i="1"/>
  <c r="E10212" i="1"/>
  <c r="D10212" i="1"/>
  <c r="F10211" i="1"/>
  <c r="E10211" i="1"/>
  <c r="D10211" i="1"/>
  <c r="F10210" i="1"/>
  <c r="E10210" i="1"/>
  <c r="D10210" i="1"/>
  <c r="F10209" i="1"/>
  <c r="E10209" i="1"/>
  <c r="D10209" i="1"/>
  <c r="F10208" i="1"/>
  <c r="E10208" i="1"/>
  <c r="D10208" i="1"/>
  <c r="F10207" i="1"/>
  <c r="E10207" i="1"/>
  <c r="D10207" i="1"/>
  <c r="F10206" i="1"/>
  <c r="E10206" i="1"/>
  <c r="D10206" i="1"/>
  <c r="F10205" i="1"/>
  <c r="E10205" i="1"/>
  <c r="D10205" i="1"/>
  <c r="F10204" i="1"/>
  <c r="E10204" i="1"/>
  <c r="D10204" i="1"/>
  <c r="F10203" i="1"/>
  <c r="E10203" i="1"/>
  <c r="D10203" i="1"/>
  <c r="F10202" i="1"/>
  <c r="E10202" i="1"/>
  <c r="D10202" i="1"/>
  <c r="F10201" i="1"/>
  <c r="E10201" i="1"/>
  <c r="D10201" i="1"/>
  <c r="F10200" i="1"/>
  <c r="E10200" i="1"/>
  <c r="D10200" i="1"/>
  <c r="F10199" i="1"/>
  <c r="E10199" i="1"/>
  <c r="D10199" i="1"/>
  <c r="F10198" i="1"/>
  <c r="E10198" i="1"/>
  <c r="D10198" i="1"/>
  <c r="F10197" i="1"/>
  <c r="E10197" i="1"/>
  <c r="D10197" i="1"/>
  <c r="F10196" i="1"/>
  <c r="E10196" i="1"/>
  <c r="D10196" i="1"/>
  <c r="F10195" i="1"/>
  <c r="E10195" i="1"/>
  <c r="D10195" i="1"/>
  <c r="F10194" i="1"/>
  <c r="E10194" i="1"/>
  <c r="D10194" i="1"/>
  <c r="F10193" i="1"/>
  <c r="E10193" i="1"/>
  <c r="D10193" i="1"/>
  <c r="F10192" i="1"/>
  <c r="E10192" i="1"/>
  <c r="D10192" i="1"/>
  <c r="F10191" i="1"/>
  <c r="E10191" i="1"/>
  <c r="D10191" i="1"/>
  <c r="F10190" i="1"/>
  <c r="E10190" i="1"/>
  <c r="D10190" i="1"/>
  <c r="F10189" i="1"/>
  <c r="E10189" i="1"/>
  <c r="D10189" i="1"/>
  <c r="F10188" i="1"/>
  <c r="E10188" i="1"/>
  <c r="D10188" i="1"/>
  <c r="F10187" i="1"/>
  <c r="E10187" i="1"/>
  <c r="D10187" i="1"/>
  <c r="F10186" i="1"/>
  <c r="E10186" i="1"/>
  <c r="D10186" i="1"/>
  <c r="F10185" i="1"/>
  <c r="E10185" i="1"/>
  <c r="D10185" i="1"/>
  <c r="F10184" i="1"/>
  <c r="E10184" i="1"/>
  <c r="D10184" i="1"/>
  <c r="F10183" i="1"/>
  <c r="E10183" i="1"/>
  <c r="D10183" i="1"/>
  <c r="F10182" i="1"/>
  <c r="E10182" i="1"/>
  <c r="D10182" i="1"/>
  <c r="F10181" i="1"/>
  <c r="E10181" i="1"/>
  <c r="D10181" i="1"/>
  <c r="F10180" i="1"/>
  <c r="E10180" i="1"/>
  <c r="D10180" i="1"/>
  <c r="F10179" i="1"/>
  <c r="E10179" i="1"/>
  <c r="D10179" i="1"/>
  <c r="F10178" i="1"/>
  <c r="E10178" i="1"/>
  <c r="D10178" i="1"/>
  <c r="F10177" i="1"/>
  <c r="E10177" i="1"/>
  <c r="D10177" i="1"/>
  <c r="F10176" i="1"/>
  <c r="E10176" i="1"/>
  <c r="D10176" i="1"/>
  <c r="F10175" i="1"/>
  <c r="E10175" i="1"/>
  <c r="D10175" i="1"/>
  <c r="F10174" i="1"/>
  <c r="E10174" i="1"/>
  <c r="D10174" i="1"/>
  <c r="F10173" i="1"/>
  <c r="E10173" i="1"/>
  <c r="D10173" i="1"/>
  <c r="F10172" i="1"/>
  <c r="E10172" i="1"/>
  <c r="D10172" i="1"/>
  <c r="F10171" i="1"/>
  <c r="E10171" i="1"/>
  <c r="D10171" i="1"/>
  <c r="F10170" i="1"/>
  <c r="E10170" i="1"/>
  <c r="D10170" i="1"/>
  <c r="F10169" i="1"/>
  <c r="E10169" i="1"/>
  <c r="D10169" i="1"/>
  <c r="F10168" i="1"/>
  <c r="E10168" i="1"/>
  <c r="D10168" i="1"/>
  <c r="F10167" i="1"/>
  <c r="E10167" i="1"/>
  <c r="D10167" i="1"/>
  <c r="F10166" i="1"/>
  <c r="E10166" i="1"/>
  <c r="D10166" i="1"/>
  <c r="F10165" i="1"/>
  <c r="E10165" i="1"/>
  <c r="D10165" i="1"/>
  <c r="F10164" i="1"/>
  <c r="E10164" i="1"/>
  <c r="D10164" i="1"/>
  <c r="F10163" i="1"/>
  <c r="E10163" i="1"/>
  <c r="D10163" i="1"/>
  <c r="F10162" i="1"/>
  <c r="E10162" i="1"/>
  <c r="D10162" i="1"/>
  <c r="F10161" i="1"/>
  <c r="E10161" i="1"/>
  <c r="D10161" i="1"/>
  <c r="F10160" i="1"/>
  <c r="E10160" i="1"/>
  <c r="D10160" i="1"/>
  <c r="F10159" i="1"/>
  <c r="E10159" i="1"/>
  <c r="D10159" i="1"/>
  <c r="F10158" i="1"/>
  <c r="E10158" i="1"/>
  <c r="D10158" i="1"/>
  <c r="F10157" i="1"/>
  <c r="E10157" i="1"/>
  <c r="D10157" i="1"/>
  <c r="F10156" i="1"/>
  <c r="E10156" i="1"/>
  <c r="D10156" i="1"/>
  <c r="F10155" i="1"/>
  <c r="E10155" i="1"/>
  <c r="D10155" i="1"/>
  <c r="F10154" i="1"/>
  <c r="E10154" i="1"/>
  <c r="D10154" i="1"/>
  <c r="F10153" i="1"/>
  <c r="E10153" i="1"/>
  <c r="D10153" i="1"/>
  <c r="F10152" i="1"/>
  <c r="E10152" i="1"/>
  <c r="D10152" i="1"/>
  <c r="F10151" i="1"/>
  <c r="E10151" i="1"/>
  <c r="D10151" i="1"/>
  <c r="F10150" i="1"/>
  <c r="E10150" i="1"/>
  <c r="D10150" i="1"/>
  <c r="F10149" i="1"/>
  <c r="E10149" i="1"/>
  <c r="D10149" i="1"/>
  <c r="F10148" i="1"/>
  <c r="E10148" i="1"/>
  <c r="D10148" i="1"/>
  <c r="F10147" i="1"/>
  <c r="E10147" i="1"/>
  <c r="D10147" i="1"/>
  <c r="F10146" i="1"/>
  <c r="E10146" i="1"/>
  <c r="D10146" i="1"/>
  <c r="F10145" i="1"/>
  <c r="E10145" i="1"/>
  <c r="D10145" i="1"/>
  <c r="F10144" i="1"/>
  <c r="E10144" i="1"/>
  <c r="D10144" i="1"/>
  <c r="F10143" i="1"/>
  <c r="E10143" i="1"/>
  <c r="D10143" i="1"/>
  <c r="F10142" i="1"/>
  <c r="E10142" i="1"/>
  <c r="D10142" i="1"/>
  <c r="F10141" i="1"/>
  <c r="E10141" i="1"/>
  <c r="D10141" i="1"/>
  <c r="F10140" i="1"/>
  <c r="E10140" i="1"/>
  <c r="D10140" i="1"/>
  <c r="F10139" i="1"/>
  <c r="E10139" i="1"/>
  <c r="D10139" i="1"/>
  <c r="F10138" i="1"/>
  <c r="E10138" i="1"/>
  <c r="D10138" i="1"/>
  <c r="F10137" i="1"/>
  <c r="E10137" i="1"/>
  <c r="D10137" i="1"/>
  <c r="F10136" i="1"/>
  <c r="E10136" i="1"/>
  <c r="D10136" i="1"/>
  <c r="F10135" i="1"/>
  <c r="E10135" i="1"/>
  <c r="D10135" i="1"/>
  <c r="F10134" i="1"/>
  <c r="E10134" i="1"/>
  <c r="D10134" i="1"/>
  <c r="F10133" i="1"/>
  <c r="E10133" i="1"/>
  <c r="D10133" i="1"/>
  <c r="F10132" i="1"/>
  <c r="E10132" i="1"/>
  <c r="D10132" i="1"/>
  <c r="F10131" i="1"/>
  <c r="E10131" i="1"/>
  <c r="D10131" i="1"/>
  <c r="F10130" i="1"/>
  <c r="E10130" i="1"/>
  <c r="D10130" i="1"/>
  <c r="F10129" i="1"/>
  <c r="E10129" i="1"/>
  <c r="D10129" i="1"/>
  <c r="F10128" i="1"/>
  <c r="E10128" i="1"/>
  <c r="D10128" i="1"/>
  <c r="F10127" i="1"/>
  <c r="E10127" i="1"/>
  <c r="D10127" i="1"/>
  <c r="F10126" i="1"/>
  <c r="E10126" i="1"/>
  <c r="D10126" i="1"/>
  <c r="F10125" i="1"/>
  <c r="E10125" i="1"/>
  <c r="D10125" i="1"/>
  <c r="F10124" i="1"/>
  <c r="E10124" i="1"/>
  <c r="D10124" i="1"/>
  <c r="F10123" i="1"/>
  <c r="E10123" i="1"/>
  <c r="D10123" i="1"/>
  <c r="F10122" i="1"/>
  <c r="E10122" i="1"/>
  <c r="D10122" i="1"/>
  <c r="F10121" i="1"/>
  <c r="E10121" i="1"/>
  <c r="D10121" i="1"/>
  <c r="F10120" i="1"/>
  <c r="E10120" i="1"/>
  <c r="D10120" i="1"/>
  <c r="F10119" i="1"/>
  <c r="E10119" i="1"/>
  <c r="D10119" i="1"/>
  <c r="F10118" i="1"/>
  <c r="E10118" i="1"/>
  <c r="D10118" i="1"/>
  <c r="F10117" i="1"/>
  <c r="E10117" i="1"/>
  <c r="D10117" i="1"/>
  <c r="F10116" i="1"/>
  <c r="E10116" i="1"/>
  <c r="D10116" i="1"/>
  <c r="F10115" i="1"/>
  <c r="E10115" i="1"/>
  <c r="D10115" i="1"/>
  <c r="F10114" i="1"/>
  <c r="E10114" i="1"/>
  <c r="D10114" i="1"/>
  <c r="F10113" i="1"/>
  <c r="E10113" i="1"/>
  <c r="D10113" i="1"/>
  <c r="F10112" i="1"/>
  <c r="E10112" i="1"/>
  <c r="D10112" i="1"/>
  <c r="F10111" i="1"/>
  <c r="E10111" i="1"/>
  <c r="D10111" i="1"/>
  <c r="F10110" i="1"/>
  <c r="E10110" i="1"/>
  <c r="D10110" i="1"/>
  <c r="F10109" i="1"/>
  <c r="E10109" i="1"/>
  <c r="D10109" i="1"/>
  <c r="F10108" i="1"/>
  <c r="E10108" i="1"/>
  <c r="D10108" i="1"/>
  <c r="F10107" i="1"/>
  <c r="E10107" i="1"/>
  <c r="D10107" i="1"/>
  <c r="F10106" i="1"/>
  <c r="E10106" i="1"/>
  <c r="D10106" i="1"/>
  <c r="F10105" i="1"/>
  <c r="E10105" i="1"/>
  <c r="D10105" i="1"/>
  <c r="F10104" i="1"/>
  <c r="E10104" i="1"/>
  <c r="D10104" i="1"/>
  <c r="F10103" i="1"/>
  <c r="E10103" i="1"/>
  <c r="D10103" i="1"/>
  <c r="F10102" i="1"/>
  <c r="E10102" i="1"/>
  <c r="D10102" i="1"/>
  <c r="F10101" i="1"/>
  <c r="E10101" i="1"/>
  <c r="D10101" i="1"/>
  <c r="F10100" i="1"/>
  <c r="E10100" i="1"/>
  <c r="D10100" i="1"/>
  <c r="F10099" i="1"/>
  <c r="E10099" i="1"/>
  <c r="D10099" i="1"/>
  <c r="F10098" i="1"/>
  <c r="E10098" i="1"/>
  <c r="D10098" i="1"/>
  <c r="F10097" i="1"/>
  <c r="E10097" i="1"/>
  <c r="D10097" i="1"/>
  <c r="F10096" i="1"/>
  <c r="E10096" i="1"/>
  <c r="D10096" i="1"/>
  <c r="F10095" i="1"/>
  <c r="E10095" i="1"/>
  <c r="D10095" i="1"/>
  <c r="F10094" i="1"/>
  <c r="E10094" i="1"/>
  <c r="D10094" i="1"/>
  <c r="F10093" i="1"/>
  <c r="E10093" i="1"/>
  <c r="D10093" i="1"/>
  <c r="F10092" i="1"/>
  <c r="E10092" i="1"/>
  <c r="D10092" i="1"/>
  <c r="F10091" i="1"/>
  <c r="E10091" i="1"/>
  <c r="D10091" i="1"/>
  <c r="F10090" i="1"/>
  <c r="E10090" i="1"/>
  <c r="D10090" i="1"/>
  <c r="F10089" i="1"/>
  <c r="E10089" i="1"/>
  <c r="D10089" i="1"/>
  <c r="F10088" i="1"/>
  <c r="E10088" i="1"/>
  <c r="D10088" i="1"/>
  <c r="F10087" i="1"/>
  <c r="E10087" i="1"/>
  <c r="D10087" i="1"/>
  <c r="F10086" i="1"/>
  <c r="E10086" i="1"/>
  <c r="D10086" i="1"/>
  <c r="F10085" i="1"/>
  <c r="E10085" i="1"/>
  <c r="D10085" i="1"/>
  <c r="F10084" i="1"/>
  <c r="E10084" i="1"/>
  <c r="D10084" i="1"/>
  <c r="F10083" i="1"/>
  <c r="E10083" i="1"/>
  <c r="D10083" i="1"/>
  <c r="F10082" i="1"/>
  <c r="E10082" i="1"/>
  <c r="D10082" i="1"/>
  <c r="F10081" i="1"/>
  <c r="E10081" i="1"/>
  <c r="D10081" i="1"/>
  <c r="F10080" i="1"/>
  <c r="E10080" i="1"/>
  <c r="D10080" i="1"/>
  <c r="F10079" i="1"/>
  <c r="E10079" i="1"/>
  <c r="D10079" i="1"/>
  <c r="F10078" i="1"/>
  <c r="E10078" i="1"/>
  <c r="D10078" i="1"/>
  <c r="F10077" i="1"/>
  <c r="E10077" i="1"/>
  <c r="D10077" i="1"/>
  <c r="F10076" i="1"/>
  <c r="E10076" i="1"/>
  <c r="D10076" i="1"/>
  <c r="F10075" i="1"/>
  <c r="E10075" i="1"/>
  <c r="D10075" i="1"/>
  <c r="F10074" i="1"/>
  <c r="E10074" i="1"/>
  <c r="D10074" i="1"/>
  <c r="F10073" i="1"/>
  <c r="E10073" i="1"/>
  <c r="D10073" i="1"/>
  <c r="F10072" i="1"/>
  <c r="E10072" i="1"/>
  <c r="D10072" i="1"/>
  <c r="F10071" i="1"/>
  <c r="E10071" i="1"/>
  <c r="D10071" i="1"/>
  <c r="F10070" i="1"/>
  <c r="E10070" i="1"/>
  <c r="D10070" i="1"/>
  <c r="F10069" i="1"/>
  <c r="E10069" i="1"/>
  <c r="D10069" i="1"/>
  <c r="F10068" i="1"/>
  <c r="E10068" i="1"/>
  <c r="D10068" i="1"/>
  <c r="F10067" i="1"/>
  <c r="E10067" i="1"/>
  <c r="D10067" i="1"/>
  <c r="F10066" i="1"/>
  <c r="E10066" i="1"/>
  <c r="D10066" i="1"/>
  <c r="F10065" i="1"/>
  <c r="E10065" i="1"/>
  <c r="D10065" i="1"/>
  <c r="F10064" i="1"/>
  <c r="E10064" i="1"/>
  <c r="D10064" i="1"/>
  <c r="F10063" i="1"/>
  <c r="E10063" i="1"/>
  <c r="D10063" i="1"/>
  <c r="F10062" i="1"/>
  <c r="E10062" i="1"/>
  <c r="D10062" i="1"/>
  <c r="F10061" i="1"/>
  <c r="E10061" i="1"/>
  <c r="D10061" i="1"/>
  <c r="F10060" i="1"/>
  <c r="E10060" i="1"/>
  <c r="D10060" i="1"/>
  <c r="F10059" i="1"/>
  <c r="E10059" i="1"/>
  <c r="D10059" i="1"/>
  <c r="F10058" i="1"/>
  <c r="E10058" i="1"/>
  <c r="D10058" i="1"/>
  <c r="F10057" i="1"/>
  <c r="E10057" i="1"/>
  <c r="D10057" i="1"/>
  <c r="F10056" i="1"/>
  <c r="E10056" i="1"/>
  <c r="D10056" i="1"/>
  <c r="F10055" i="1"/>
  <c r="E10055" i="1"/>
  <c r="D10055" i="1"/>
  <c r="F10054" i="1"/>
  <c r="E10054" i="1"/>
  <c r="D10054" i="1"/>
  <c r="F10053" i="1"/>
  <c r="E10053" i="1"/>
  <c r="D10053" i="1"/>
  <c r="F10052" i="1"/>
  <c r="E10052" i="1"/>
  <c r="D10052" i="1"/>
  <c r="F10051" i="1"/>
  <c r="E10051" i="1"/>
  <c r="D10051" i="1"/>
  <c r="F10050" i="1"/>
  <c r="E10050" i="1"/>
  <c r="D10050" i="1"/>
  <c r="F10049" i="1"/>
  <c r="E10049" i="1"/>
  <c r="D10049" i="1"/>
  <c r="F10048" i="1"/>
  <c r="E10048" i="1"/>
  <c r="D10048" i="1"/>
  <c r="F10047" i="1"/>
  <c r="E10047" i="1"/>
  <c r="D10047" i="1"/>
  <c r="F10046" i="1"/>
  <c r="E10046" i="1"/>
  <c r="D10046" i="1"/>
  <c r="F10045" i="1"/>
  <c r="E10045" i="1"/>
  <c r="D10045" i="1"/>
  <c r="F10044" i="1"/>
  <c r="E10044" i="1"/>
  <c r="D10044" i="1"/>
  <c r="F10043" i="1"/>
  <c r="E10043" i="1"/>
  <c r="D10043" i="1"/>
  <c r="F10042" i="1"/>
  <c r="E10042" i="1"/>
  <c r="D10042" i="1"/>
  <c r="F10041" i="1"/>
  <c r="E10041" i="1"/>
  <c r="D10041" i="1"/>
  <c r="F10040" i="1"/>
  <c r="E10040" i="1"/>
  <c r="D10040" i="1"/>
  <c r="F10039" i="1"/>
  <c r="E10039" i="1"/>
  <c r="D10039" i="1"/>
  <c r="F10038" i="1"/>
  <c r="E10038" i="1"/>
  <c r="D10038" i="1"/>
  <c r="F10037" i="1"/>
  <c r="E10037" i="1"/>
  <c r="D10037" i="1"/>
  <c r="F10036" i="1"/>
  <c r="E10036" i="1"/>
  <c r="D10036" i="1"/>
  <c r="F10035" i="1"/>
  <c r="E10035" i="1"/>
  <c r="D10035" i="1"/>
  <c r="F10034" i="1"/>
  <c r="E10034" i="1"/>
  <c r="D10034" i="1"/>
  <c r="F10033" i="1"/>
  <c r="E10033" i="1"/>
  <c r="D10033" i="1"/>
  <c r="F10032" i="1"/>
  <c r="E10032" i="1"/>
  <c r="D10032" i="1"/>
  <c r="F10031" i="1"/>
  <c r="E10031" i="1"/>
  <c r="D10031" i="1"/>
  <c r="F10030" i="1"/>
  <c r="E10030" i="1"/>
  <c r="D10030" i="1"/>
  <c r="F10029" i="1"/>
  <c r="E10029" i="1"/>
  <c r="D10029" i="1"/>
  <c r="F10028" i="1"/>
  <c r="E10028" i="1"/>
  <c r="D10028" i="1"/>
  <c r="F10027" i="1"/>
  <c r="E10027" i="1"/>
  <c r="D10027" i="1"/>
  <c r="F10026" i="1"/>
  <c r="E10026" i="1"/>
  <c r="D10026" i="1"/>
  <c r="F10025" i="1"/>
  <c r="E10025" i="1"/>
  <c r="D10025" i="1"/>
  <c r="F10024" i="1"/>
  <c r="E10024" i="1"/>
  <c r="D10024" i="1"/>
  <c r="F10023" i="1"/>
  <c r="E10023" i="1"/>
  <c r="D10023" i="1"/>
  <c r="F10022" i="1"/>
  <c r="E10022" i="1"/>
  <c r="D10022" i="1"/>
  <c r="F10021" i="1"/>
  <c r="E10021" i="1"/>
  <c r="D10021" i="1"/>
  <c r="F10020" i="1"/>
  <c r="E10020" i="1"/>
  <c r="D10020" i="1"/>
  <c r="F10019" i="1"/>
  <c r="E10019" i="1"/>
  <c r="D10019" i="1"/>
  <c r="F10018" i="1"/>
  <c r="E10018" i="1"/>
  <c r="D10018" i="1"/>
  <c r="F10017" i="1"/>
  <c r="E10017" i="1"/>
  <c r="D10017" i="1"/>
  <c r="F10016" i="1"/>
  <c r="E10016" i="1"/>
  <c r="D10016" i="1"/>
  <c r="F10015" i="1"/>
  <c r="E10015" i="1"/>
  <c r="D10015" i="1"/>
  <c r="F10014" i="1"/>
  <c r="E10014" i="1"/>
  <c r="D10014" i="1"/>
  <c r="F10013" i="1"/>
  <c r="E10013" i="1"/>
  <c r="D10013" i="1"/>
  <c r="F10012" i="1"/>
  <c r="E10012" i="1"/>
  <c r="D10012" i="1"/>
  <c r="F10011" i="1"/>
  <c r="E10011" i="1"/>
  <c r="D10011" i="1"/>
  <c r="F10010" i="1"/>
  <c r="E10010" i="1"/>
  <c r="D10010" i="1"/>
  <c r="F10009" i="1"/>
  <c r="E10009" i="1"/>
  <c r="D10009" i="1"/>
  <c r="F10008" i="1"/>
  <c r="E10008" i="1"/>
  <c r="D10008" i="1"/>
  <c r="F10007" i="1"/>
  <c r="E10007" i="1"/>
  <c r="D10007" i="1"/>
  <c r="F10006" i="1"/>
  <c r="E10006" i="1"/>
  <c r="D10006" i="1"/>
  <c r="F10005" i="1"/>
  <c r="E10005" i="1"/>
  <c r="D10005" i="1"/>
  <c r="F10004" i="1"/>
  <c r="E10004" i="1"/>
  <c r="D10004" i="1"/>
  <c r="F10003" i="1"/>
  <c r="E10003" i="1"/>
  <c r="D10003" i="1"/>
  <c r="F10002" i="1"/>
  <c r="E10002" i="1"/>
  <c r="D10002" i="1"/>
  <c r="F10001" i="1"/>
  <c r="E10001" i="1"/>
  <c r="D10001" i="1"/>
  <c r="F10000" i="1"/>
  <c r="E10000" i="1"/>
  <c r="D10000" i="1"/>
  <c r="F9999" i="1"/>
  <c r="E9999" i="1"/>
  <c r="D9999" i="1"/>
  <c r="F9998" i="1"/>
  <c r="E9998" i="1"/>
  <c r="D9998" i="1"/>
  <c r="F9997" i="1"/>
  <c r="E9997" i="1"/>
  <c r="D9997" i="1"/>
  <c r="F9996" i="1"/>
  <c r="E9996" i="1"/>
  <c r="D9996" i="1"/>
  <c r="F9995" i="1"/>
  <c r="E9995" i="1"/>
  <c r="D9995" i="1"/>
  <c r="F9994" i="1"/>
  <c r="E9994" i="1"/>
  <c r="D9994" i="1"/>
  <c r="F9993" i="1"/>
  <c r="E9993" i="1"/>
  <c r="D9993" i="1"/>
  <c r="F9992" i="1"/>
  <c r="E9992" i="1"/>
  <c r="D9992" i="1"/>
  <c r="F9991" i="1"/>
  <c r="E9991" i="1"/>
  <c r="D9991" i="1"/>
  <c r="F9990" i="1"/>
  <c r="E9990" i="1"/>
  <c r="D9990" i="1"/>
  <c r="F9989" i="1"/>
  <c r="E9989" i="1"/>
  <c r="D9989" i="1"/>
  <c r="F9988" i="1"/>
  <c r="E9988" i="1"/>
  <c r="D9988" i="1"/>
  <c r="F9987" i="1"/>
  <c r="E9987" i="1"/>
  <c r="D9987" i="1"/>
  <c r="F9986" i="1"/>
  <c r="E9986" i="1"/>
  <c r="D9986" i="1"/>
  <c r="F9985" i="1"/>
  <c r="E9985" i="1"/>
  <c r="D9985" i="1"/>
  <c r="F9984" i="1"/>
  <c r="E9984" i="1"/>
  <c r="D9984" i="1"/>
  <c r="F9983" i="1"/>
  <c r="E9983" i="1"/>
  <c r="D9983" i="1"/>
  <c r="F9982" i="1"/>
  <c r="E9982" i="1"/>
  <c r="D9982" i="1"/>
  <c r="F9981" i="1"/>
  <c r="E9981" i="1"/>
  <c r="D9981" i="1"/>
  <c r="F9980" i="1"/>
  <c r="E9980" i="1"/>
  <c r="D9980" i="1"/>
  <c r="F9979" i="1"/>
  <c r="E9979" i="1"/>
  <c r="D9979" i="1"/>
  <c r="F9978" i="1"/>
  <c r="E9978" i="1"/>
  <c r="D9978" i="1"/>
  <c r="F9977" i="1"/>
  <c r="E9977" i="1"/>
  <c r="D9977" i="1"/>
  <c r="F9976" i="1"/>
  <c r="E9976" i="1"/>
  <c r="D9976" i="1"/>
  <c r="F9975" i="1"/>
  <c r="E9975" i="1"/>
  <c r="D9975" i="1"/>
  <c r="F9974" i="1"/>
  <c r="E9974" i="1"/>
  <c r="D9974" i="1"/>
  <c r="F9973" i="1"/>
  <c r="E9973" i="1"/>
  <c r="D9973" i="1"/>
  <c r="F9972" i="1"/>
  <c r="E9972" i="1"/>
  <c r="D9972" i="1"/>
  <c r="F9971" i="1"/>
  <c r="E9971" i="1"/>
  <c r="D9971" i="1"/>
  <c r="F9970" i="1"/>
  <c r="E9970" i="1"/>
  <c r="D9970" i="1"/>
  <c r="F9969" i="1"/>
  <c r="E9969" i="1"/>
  <c r="D9969" i="1"/>
  <c r="F9968" i="1"/>
  <c r="E9968" i="1"/>
  <c r="D9968" i="1"/>
  <c r="F9967" i="1"/>
  <c r="E9967" i="1"/>
  <c r="D9967" i="1"/>
  <c r="F9966" i="1"/>
  <c r="E9966" i="1"/>
  <c r="D9966" i="1"/>
  <c r="F9965" i="1"/>
  <c r="E9965" i="1"/>
  <c r="D9965" i="1"/>
  <c r="F9964" i="1"/>
  <c r="E9964" i="1"/>
  <c r="D9964" i="1"/>
  <c r="F9963" i="1"/>
  <c r="E9963" i="1"/>
  <c r="D9963" i="1"/>
  <c r="F9962" i="1"/>
  <c r="E9962" i="1"/>
  <c r="D9962" i="1"/>
  <c r="F9961" i="1"/>
  <c r="E9961" i="1"/>
  <c r="D9961" i="1"/>
  <c r="F9960" i="1"/>
  <c r="E9960" i="1"/>
  <c r="D9960" i="1"/>
  <c r="F9959" i="1"/>
  <c r="E9959" i="1"/>
  <c r="D9959" i="1"/>
  <c r="F9958" i="1"/>
  <c r="E9958" i="1"/>
  <c r="D9958" i="1"/>
  <c r="F9957" i="1"/>
  <c r="E9957" i="1"/>
  <c r="D9957" i="1"/>
  <c r="F9956" i="1"/>
  <c r="E9956" i="1"/>
  <c r="D9956" i="1"/>
  <c r="F9955" i="1"/>
  <c r="E9955" i="1"/>
  <c r="D9955" i="1"/>
  <c r="F9954" i="1"/>
  <c r="E9954" i="1"/>
  <c r="D9954" i="1"/>
  <c r="F9953" i="1"/>
  <c r="E9953" i="1"/>
  <c r="D9953" i="1"/>
  <c r="F9952" i="1"/>
  <c r="E9952" i="1"/>
  <c r="D9952" i="1"/>
  <c r="F9951" i="1"/>
  <c r="E9951" i="1"/>
  <c r="D9951" i="1"/>
  <c r="F9950" i="1"/>
  <c r="E9950" i="1"/>
  <c r="D9950" i="1"/>
  <c r="F9949" i="1"/>
  <c r="E9949" i="1"/>
  <c r="D9949" i="1"/>
  <c r="F9948" i="1"/>
  <c r="E9948" i="1"/>
  <c r="D9948" i="1"/>
  <c r="F9947" i="1"/>
  <c r="E9947" i="1"/>
  <c r="D9947" i="1"/>
  <c r="F9946" i="1"/>
  <c r="E9946" i="1"/>
  <c r="D9946" i="1"/>
  <c r="F9945" i="1"/>
  <c r="E9945" i="1"/>
  <c r="D9945" i="1"/>
  <c r="F9944" i="1"/>
  <c r="E9944" i="1"/>
  <c r="D9944" i="1"/>
  <c r="F9943" i="1"/>
  <c r="E9943" i="1"/>
  <c r="D9943" i="1"/>
  <c r="F9942" i="1"/>
  <c r="E9942" i="1"/>
  <c r="D9942" i="1"/>
  <c r="F9941" i="1"/>
  <c r="E9941" i="1"/>
  <c r="D9941" i="1"/>
  <c r="F9940" i="1"/>
  <c r="E9940" i="1"/>
  <c r="D9940" i="1"/>
  <c r="F9939" i="1"/>
  <c r="E9939" i="1"/>
  <c r="D9939" i="1"/>
  <c r="F9938" i="1"/>
  <c r="E9938" i="1"/>
  <c r="D9938" i="1"/>
  <c r="F9937" i="1"/>
  <c r="E9937" i="1"/>
  <c r="D9937" i="1"/>
  <c r="F9936" i="1"/>
  <c r="E9936" i="1"/>
  <c r="D9936" i="1"/>
  <c r="F9935" i="1"/>
  <c r="E9935" i="1"/>
  <c r="D9935" i="1"/>
  <c r="F9934" i="1"/>
  <c r="E9934" i="1"/>
  <c r="D9934" i="1"/>
  <c r="F9933" i="1"/>
  <c r="E9933" i="1"/>
  <c r="D9933" i="1"/>
  <c r="F9932" i="1"/>
  <c r="E9932" i="1"/>
  <c r="D9932" i="1"/>
  <c r="F9931" i="1"/>
  <c r="E9931" i="1"/>
  <c r="D9931" i="1"/>
  <c r="F9930" i="1"/>
  <c r="E9930" i="1"/>
  <c r="D9930" i="1"/>
  <c r="F9929" i="1"/>
  <c r="E9929" i="1"/>
  <c r="D9929" i="1"/>
  <c r="F9928" i="1"/>
  <c r="E9928" i="1"/>
  <c r="D9928" i="1"/>
  <c r="F9927" i="1"/>
  <c r="E9927" i="1"/>
  <c r="D9927" i="1"/>
  <c r="F9926" i="1"/>
  <c r="E9926" i="1"/>
  <c r="D9926" i="1"/>
  <c r="F9925" i="1"/>
  <c r="E9925" i="1"/>
  <c r="D9925" i="1"/>
  <c r="F9924" i="1"/>
  <c r="E9924" i="1"/>
  <c r="D9924" i="1"/>
  <c r="F9923" i="1"/>
  <c r="E9923" i="1"/>
  <c r="D9923" i="1"/>
  <c r="F9922" i="1"/>
  <c r="E9922" i="1"/>
  <c r="D9922" i="1"/>
  <c r="F9921" i="1"/>
  <c r="E9921" i="1"/>
  <c r="D9921" i="1"/>
  <c r="F9920" i="1"/>
  <c r="E9920" i="1"/>
  <c r="D9920" i="1"/>
  <c r="F9919" i="1"/>
  <c r="E9919" i="1"/>
  <c r="D9919" i="1"/>
  <c r="F9918" i="1"/>
  <c r="E9918" i="1"/>
  <c r="D9918" i="1"/>
  <c r="F9917" i="1"/>
  <c r="E9917" i="1"/>
  <c r="D9917" i="1"/>
  <c r="F9916" i="1"/>
  <c r="E9916" i="1"/>
  <c r="D9916" i="1"/>
  <c r="F9915" i="1"/>
  <c r="E9915" i="1"/>
  <c r="D9915" i="1"/>
  <c r="F9914" i="1"/>
  <c r="E9914" i="1"/>
  <c r="D9914" i="1"/>
  <c r="F9913" i="1"/>
  <c r="E9913" i="1"/>
  <c r="D9913" i="1"/>
  <c r="F9912" i="1"/>
  <c r="E9912" i="1"/>
  <c r="D9912" i="1"/>
  <c r="F9911" i="1"/>
  <c r="E9911" i="1"/>
  <c r="D9911" i="1"/>
  <c r="F9910" i="1"/>
  <c r="E9910" i="1"/>
  <c r="D9910" i="1"/>
  <c r="F9909" i="1"/>
  <c r="E9909" i="1"/>
  <c r="D9909" i="1"/>
  <c r="F9908" i="1"/>
  <c r="E9908" i="1"/>
  <c r="D9908" i="1"/>
  <c r="F9907" i="1"/>
  <c r="E9907" i="1"/>
  <c r="D9907" i="1"/>
  <c r="F9906" i="1"/>
  <c r="E9906" i="1"/>
  <c r="D9906" i="1"/>
  <c r="F9905" i="1"/>
  <c r="E9905" i="1"/>
  <c r="D9905" i="1"/>
  <c r="F9904" i="1"/>
  <c r="E9904" i="1"/>
  <c r="D9904" i="1"/>
  <c r="F9903" i="1"/>
  <c r="E9903" i="1"/>
  <c r="D9903" i="1"/>
  <c r="F9902" i="1"/>
  <c r="E9902" i="1"/>
  <c r="D9902" i="1"/>
  <c r="F9901" i="1"/>
  <c r="E9901" i="1"/>
  <c r="D9901" i="1"/>
  <c r="F9900" i="1"/>
  <c r="E9900" i="1"/>
  <c r="D9900" i="1"/>
  <c r="F9899" i="1"/>
  <c r="E9899" i="1"/>
  <c r="D9899" i="1"/>
  <c r="F9898" i="1"/>
  <c r="E9898" i="1"/>
  <c r="D9898" i="1"/>
  <c r="F9897" i="1"/>
  <c r="E9897" i="1"/>
  <c r="D9897" i="1"/>
  <c r="F9896" i="1"/>
  <c r="E9896" i="1"/>
  <c r="D9896" i="1"/>
  <c r="F9895" i="1"/>
  <c r="E9895" i="1"/>
  <c r="D9895" i="1"/>
  <c r="F9894" i="1"/>
  <c r="E9894" i="1"/>
  <c r="D9894" i="1"/>
  <c r="F9893" i="1"/>
  <c r="E9893" i="1"/>
  <c r="D9893" i="1"/>
  <c r="F9892" i="1"/>
  <c r="E9892" i="1"/>
  <c r="D9892" i="1"/>
  <c r="F9891" i="1"/>
  <c r="E9891" i="1"/>
  <c r="D9891" i="1"/>
  <c r="F9890" i="1"/>
  <c r="E9890" i="1"/>
  <c r="D9890" i="1"/>
  <c r="F9889" i="1"/>
  <c r="E9889" i="1"/>
  <c r="D9889" i="1"/>
  <c r="F9888" i="1"/>
  <c r="E9888" i="1"/>
  <c r="D9888" i="1"/>
  <c r="F9887" i="1"/>
  <c r="E9887" i="1"/>
  <c r="D9887" i="1"/>
  <c r="F9886" i="1"/>
  <c r="E9886" i="1"/>
  <c r="D9886" i="1"/>
  <c r="F9885" i="1"/>
  <c r="E9885" i="1"/>
  <c r="D9885" i="1"/>
  <c r="F9884" i="1"/>
  <c r="E9884" i="1"/>
  <c r="D9884" i="1"/>
  <c r="F9883" i="1"/>
  <c r="E9883" i="1"/>
  <c r="D9883" i="1"/>
  <c r="F9882" i="1"/>
  <c r="E9882" i="1"/>
  <c r="D9882" i="1"/>
  <c r="F9881" i="1"/>
  <c r="E9881" i="1"/>
  <c r="D9881" i="1"/>
  <c r="F9880" i="1"/>
  <c r="E9880" i="1"/>
  <c r="D9880" i="1"/>
  <c r="F9879" i="1"/>
  <c r="E9879" i="1"/>
  <c r="D9879" i="1"/>
  <c r="F9878" i="1"/>
  <c r="E9878" i="1"/>
  <c r="D9878" i="1"/>
  <c r="F9877" i="1"/>
  <c r="E9877" i="1"/>
  <c r="D9877" i="1"/>
  <c r="F9876" i="1"/>
  <c r="E9876" i="1"/>
  <c r="D9876" i="1"/>
  <c r="F9875" i="1"/>
  <c r="E9875" i="1"/>
  <c r="D9875" i="1"/>
  <c r="F9874" i="1"/>
  <c r="E9874" i="1"/>
  <c r="D9874" i="1"/>
  <c r="F9873" i="1"/>
  <c r="E9873" i="1"/>
  <c r="D9873" i="1"/>
  <c r="F9872" i="1"/>
  <c r="E9872" i="1"/>
  <c r="D9872" i="1"/>
  <c r="F9871" i="1"/>
  <c r="E9871" i="1"/>
  <c r="D9871" i="1"/>
  <c r="F9870" i="1"/>
  <c r="E9870" i="1"/>
  <c r="D9870" i="1"/>
  <c r="F9869" i="1"/>
  <c r="E9869" i="1"/>
  <c r="D9869" i="1"/>
  <c r="F9868" i="1"/>
  <c r="E9868" i="1"/>
  <c r="D9868" i="1"/>
  <c r="F9867" i="1"/>
  <c r="E9867" i="1"/>
  <c r="D9867" i="1"/>
  <c r="F9866" i="1"/>
  <c r="E9866" i="1"/>
  <c r="D9866" i="1"/>
  <c r="F9865" i="1"/>
  <c r="E9865" i="1"/>
  <c r="D9865" i="1"/>
  <c r="F9864" i="1"/>
  <c r="E9864" i="1"/>
  <c r="D9864" i="1"/>
  <c r="F9863" i="1"/>
  <c r="E9863" i="1"/>
  <c r="D9863" i="1"/>
  <c r="F9862" i="1"/>
  <c r="E9862" i="1"/>
  <c r="D9862" i="1"/>
  <c r="F9861" i="1"/>
  <c r="E9861" i="1"/>
  <c r="D9861" i="1"/>
  <c r="F9860" i="1"/>
  <c r="E9860" i="1"/>
  <c r="D9860" i="1"/>
  <c r="F9859" i="1"/>
  <c r="E9859" i="1"/>
  <c r="D9859" i="1"/>
  <c r="F9858" i="1"/>
  <c r="E9858" i="1"/>
  <c r="D9858" i="1"/>
  <c r="F9857" i="1"/>
  <c r="E9857" i="1"/>
  <c r="D9857" i="1"/>
  <c r="F9856" i="1"/>
  <c r="E9856" i="1"/>
  <c r="D9856" i="1"/>
  <c r="F9855" i="1"/>
  <c r="E9855" i="1"/>
  <c r="D9855" i="1"/>
  <c r="F9854" i="1"/>
  <c r="E9854" i="1"/>
  <c r="D9854" i="1"/>
  <c r="F9853" i="1"/>
  <c r="E9853" i="1"/>
  <c r="D9853" i="1"/>
  <c r="F9852" i="1"/>
  <c r="E9852" i="1"/>
  <c r="D9852" i="1"/>
  <c r="F9851" i="1"/>
  <c r="E9851" i="1"/>
  <c r="D9851" i="1"/>
  <c r="F9850" i="1"/>
  <c r="E9850" i="1"/>
  <c r="D9850" i="1"/>
  <c r="F9849" i="1"/>
  <c r="E9849" i="1"/>
  <c r="D9849" i="1"/>
  <c r="F9848" i="1"/>
  <c r="E9848" i="1"/>
  <c r="D9848" i="1"/>
  <c r="F9847" i="1"/>
  <c r="E9847" i="1"/>
  <c r="D9847" i="1"/>
  <c r="F9846" i="1"/>
  <c r="E9846" i="1"/>
  <c r="D9846" i="1"/>
  <c r="F9845" i="1"/>
  <c r="E9845" i="1"/>
  <c r="D9845" i="1"/>
  <c r="F9844" i="1"/>
  <c r="E9844" i="1"/>
  <c r="D9844" i="1"/>
  <c r="F9843" i="1"/>
  <c r="E9843" i="1"/>
  <c r="D9843" i="1"/>
  <c r="F9842" i="1"/>
  <c r="E9842" i="1"/>
  <c r="D9842" i="1"/>
  <c r="F9841" i="1"/>
  <c r="E9841" i="1"/>
  <c r="D9841" i="1"/>
  <c r="F9840" i="1"/>
  <c r="E9840" i="1"/>
  <c r="D9840" i="1"/>
  <c r="F9839" i="1"/>
  <c r="E9839" i="1"/>
  <c r="D9839" i="1"/>
  <c r="F9838" i="1"/>
  <c r="E9838" i="1"/>
  <c r="D9838" i="1"/>
  <c r="F9837" i="1"/>
  <c r="E9837" i="1"/>
  <c r="D9837" i="1"/>
  <c r="F9836" i="1"/>
  <c r="E9836" i="1"/>
  <c r="D9836" i="1"/>
  <c r="F9835" i="1"/>
  <c r="E9835" i="1"/>
  <c r="D9835" i="1"/>
  <c r="F9834" i="1"/>
  <c r="E9834" i="1"/>
  <c r="D9834" i="1"/>
  <c r="F9833" i="1"/>
  <c r="E9833" i="1"/>
  <c r="D9833" i="1"/>
  <c r="F9832" i="1"/>
  <c r="E9832" i="1"/>
  <c r="D9832" i="1"/>
  <c r="F9831" i="1"/>
  <c r="E9831" i="1"/>
  <c r="D9831" i="1"/>
  <c r="F9830" i="1"/>
  <c r="E9830" i="1"/>
  <c r="D9830" i="1"/>
  <c r="F9829" i="1"/>
  <c r="E9829" i="1"/>
  <c r="D9829" i="1"/>
  <c r="F9828" i="1"/>
  <c r="E9828" i="1"/>
  <c r="D9828" i="1"/>
  <c r="F9827" i="1"/>
  <c r="E9827" i="1"/>
  <c r="D9827" i="1"/>
  <c r="F9826" i="1"/>
  <c r="E9826" i="1"/>
  <c r="D9826" i="1"/>
  <c r="F9825" i="1"/>
  <c r="E9825" i="1"/>
  <c r="D9825" i="1"/>
  <c r="F9824" i="1"/>
  <c r="E9824" i="1"/>
  <c r="D9824" i="1"/>
  <c r="F9823" i="1"/>
  <c r="E9823" i="1"/>
  <c r="D9823" i="1"/>
  <c r="F9822" i="1"/>
  <c r="E9822" i="1"/>
  <c r="D9822" i="1"/>
  <c r="F9821" i="1"/>
  <c r="E9821" i="1"/>
  <c r="D9821" i="1"/>
  <c r="F9820" i="1"/>
  <c r="E9820" i="1"/>
  <c r="D9820" i="1"/>
  <c r="F9819" i="1"/>
  <c r="E9819" i="1"/>
  <c r="D9819" i="1"/>
  <c r="F9818" i="1"/>
  <c r="E9818" i="1"/>
  <c r="D9818" i="1"/>
  <c r="F9817" i="1"/>
  <c r="E9817" i="1"/>
  <c r="D9817" i="1"/>
  <c r="F9816" i="1"/>
  <c r="E9816" i="1"/>
  <c r="D9816" i="1"/>
  <c r="F9815" i="1"/>
  <c r="E9815" i="1"/>
  <c r="D9815" i="1"/>
  <c r="F9814" i="1"/>
  <c r="E9814" i="1"/>
  <c r="D9814" i="1"/>
  <c r="F9813" i="1"/>
  <c r="E9813" i="1"/>
  <c r="D9813" i="1"/>
  <c r="F9812" i="1"/>
  <c r="E9812" i="1"/>
  <c r="D9812" i="1"/>
  <c r="F9811" i="1"/>
  <c r="E9811" i="1"/>
  <c r="D9811" i="1"/>
  <c r="F9810" i="1"/>
  <c r="E9810" i="1"/>
  <c r="D9810" i="1"/>
  <c r="F9809" i="1"/>
  <c r="E9809" i="1"/>
  <c r="D9809" i="1"/>
  <c r="F9808" i="1"/>
  <c r="E9808" i="1"/>
  <c r="D9808" i="1"/>
  <c r="F9807" i="1"/>
  <c r="E9807" i="1"/>
  <c r="D9807" i="1"/>
  <c r="F9806" i="1"/>
  <c r="E9806" i="1"/>
  <c r="D9806" i="1"/>
  <c r="F9805" i="1"/>
  <c r="E9805" i="1"/>
  <c r="D9805" i="1"/>
  <c r="F9804" i="1"/>
  <c r="E9804" i="1"/>
  <c r="D9804" i="1"/>
  <c r="F9803" i="1"/>
  <c r="E9803" i="1"/>
  <c r="D9803" i="1"/>
  <c r="F9802" i="1"/>
  <c r="E9802" i="1"/>
  <c r="D9802" i="1"/>
  <c r="F9801" i="1"/>
  <c r="E9801" i="1"/>
  <c r="D9801" i="1"/>
  <c r="F9800" i="1"/>
  <c r="E9800" i="1"/>
  <c r="D9800" i="1"/>
  <c r="F9799" i="1"/>
  <c r="E9799" i="1"/>
  <c r="D9799" i="1"/>
  <c r="F9798" i="1"/>
  <c r="E9798" i="1"/>
  <c r="D9798" i="1"/>
  <c r="F9797" i="1"/>
  <c r="E9797" i="1"/>
  <c r="D9797" i="1"/>
  <c r="F9796" i="1"/>
  <c r="E9796" i="1"/>
  <c r="D9796" i="1"/>
  <c r="F9795" i="1"/>
  <c r="E9795" i="1"/>
  <c r="D9795" i="1"/>
  <c r="F9794" i="1"/>
  <c r="E9794" i="1"/>
  <c r="D9794" i="1"/>
  <c r="F9793" i="1"/>
  <c r="E9793" i="1"/>
  <c r="D9793" i="1"/>
  <c r="F9792" i="1"/>
  <c r="E9792" i="1"/>
  <c r="D9792" i="1"/>
  <c r="F9791" i="1"/>
  <c r="E9791" i="1"/>
  <c r="D9791" i="1"/>
  <c r="F9790" i="1"/>
  <c r="E9790" i="1"/>
  <c r="D9790" i="1"/>
  <c r="F9789" i="1"/>
  <c r="E9789" i="1"/>
  <c r="D9789" i="1"/>
  <c r="F9788" i="1"/>
  <c r="E9788" i="1"/>
  <c r="D9788" i="1"/>
  <c r="F9787" i="1"/>
  <c r="E9787" i="1"/>
  <c r="D9787" i="1"/>
  <c r="F9786" i="1"/>
  <c r="E9786" i="1"/>
  <c r="D9786" i="1"/>
  <c r="F9785" i="1"/>
  <c r="E9785" i="1"/>
  <c r="D9785" i="1"/>
  <c r="F9784" i="1"/>
  <c r="E9784" i="1"/>
  <c r="D9784" i="1"/>
  <c r="F9783" i="1"/>
  <c r="E9783" i="1"/>
  <c r="D9783" i="1"/>
  <c r="F9782" i="1"/>
  <c r="E9782" i="1"/>
  <c r="D9782" i="1"/>
  <c r="F9781" i="1"/>
  <c r="E9781" i="1"/>
  <c r="D9781" i="1"/>
  <c r="F9780" i="1"/>
  <c r="E9780" i="1"/>
  <c r="D9780" i="1"/>
  <c r="F9779" i="1"/>
  <c r="E9779" i="1"/>
  <c r="D9779" i="1"/>
  <c r="F9778" i="1"/>
  <c r="E9778" i="1"/>
  <c r="D9778" i="1"/>
  <c r="F9777" i="1"/>
  <c r="E9777" i="1"/>
  <c r="D9777" i="1"/>
  <c r="F9776" i="1"/>
  <c r="E9776" i="1"/>
  <c r="D9776" i="1"/>
  <c r="F9775" i="1"/>
  <c r="E9775" i="1"/>
  <c r="D9775" i="1"/>
  <c r="F9774" i="1"/>
  <c r="E9774" i="1"/>
  <c r="D9774" i="1"/>
  <c r="F9773" i="1"/>
  <c r="E9773" i="1"/>
  <c r="D9773" i="1"/>
  <c r="F9772" i="1"/>
  <c r="E9772" i="1"/>
  <c r="D9772" i="1"/>
  <c r="F9771" i="1"/>
  <c r="E9771" i="1"/>
  <c r="D9771" i="1"/>
  <c r="F9770" i="1"/>
  <c r="E9770" i="1"/>
  <c r="D9770" i="1"/>
  <c r="F9769" i="1"/>
  <c r="E9769" i="1"/>
  <c r="D9769" i="1"/>
  <c r="F9768" i="1"/>
  <c r="E9768" i="1"/>
  <c r="D9768" i="1"/>
  <c r="F9767" i="1"/>
  <c r="E9767" i="1"/>
  <c r="D9767" i="1"/>
  <c r="F9766" i="1"/>
  <c r="E9766" i="1"/>
  <c r="D9766" i="1"/>
  <c r="F9765" i="1"/>
  <c r="E9765" i="1"/>
  <c r="D9765" i="1"/>
  <c r="F9764" i="1"/>
  <c r="E9764" i="1"/>
  <c r="D9764" i="1"/>
  <c r="F9763" i="1"/>
  <c r="E9763" i="1"/>
  <c r="D9763" i="1"/>
  <c r="F9762" i="1"/>
  <c r="E9762" i="1"/>
  <c r="D9762" i="1"/>
  <c r="F9761" i="1"/>
  <c r="E9761" i="1"/>
  <c r="D9761" i="1"/>
  <c r="F9760" i="1"/>
  <c r="E9760" i="1"/>
  <c r="D9760" i="1"/>
  <c r="F9759" i="1"/>
  <c r="E9759" i="1"/>
  <c r="D9759" i="1"/>
  <c r="F9758" i="1"/>
  <c r="E9758" i="1"/>
  <c r="D9758" i="1"/>
  <c r="F9757" i="1"/>
  <c r="E9757" i="1"/>
  <c r="D9757" i="1"/>
  <c r="F9756" i="1"/>
  <c r="E9756" i="1"/>
  <c r="D9756" i="1"/>
  <c r="F9755" i="1"/>
  <c r="E9755" i="1"/>
  <c r="D9755" i="1"/>
  <c r="F9754" i="1"/>
  <c r="E9754" i="1"/>
  <c r="D9754" i="1"/>
  <c r="F9753" i="1"/>
  <c r="E9753" i="1"/>
  <c r="D9753" i="1"/>
  <c r="F9752" i="1"/>
  <c r="E9752" i="1"/>
  <c r="D9752" i="1"/>
  <c r="F9751" i="1"/>
  <c r="E9751" i="1"/>
  <c r="D9751" i="1"/>
  <c r="F9750" i="1"/>
  <c r="E9750" i="1"/>
  <c r="D9750" i="1"/>
  <c r="F9749" i="1"/>
  <c r="E9749" i="1"/>
  <c r="D9749" i="1"/>
  <c r="F9748" i="1"/>
  <c r="E9748" i="1"/>
  <c r="D9748" i="1"/>
  <c r="F9747" i="1"/>
  <c r="E9747" i="1"/>
  <c r="D9747" i="1"/>
  <c r="F9746" i="1"/>
  <c r="E9746" i="1"/>
  <c r="D9746" i="1"/>
  <c r="F9745" i="1"/>
  <c r="E9745" i="1"/>
  <c r="D9745" i="1"/>
  <c r="F9744" i="1"/>
  <c r="E9744" i="1"/>
  <c r="D9744" i="1"/>
  <c r="F9743" i="1"/>
  <c r="E9743" i="1"/>
  <c r="D9743" i="1"/>
  <c r="F9742" i="1"/>
  <c r="E9742" i="1"/>
  <c r="D9742" i="1"/>
  <c r="F9741" i="1"/>
  <c r="E9741" i="1"/>
  <c r="D9741" i="1"/>
  <c r="F9740" i="1"/>
  <c r="E9740" i="1"/>
  <c r="D9740" i="1"/>
  <c r="F9739" i="1"/>
  <c r="E9739" i="1"/>
  <c r="D9739" i="1"/>
  <c r="F9738" i="1"/>
  <c r="E9738" i="1"/>
  <c r="D9738" i="1"/>
  <c r="F9737" i="1"/>
  <c r="E9737" i="1"/>
  <c r="D9737" i="1"/>
  <c r="F9736" i="1"/>
  <c r="E9736" i="1"/>
  <c r="D9736" i="1"/>
  <c r="F9735" i="1"/>
  <c r="E9735" i="1"/>
  <c r="D9735" i="1"/>
  <c r="F9734" i="1"/>
  <c r="E9734" i="1"/>
  <c r="D9734" i="1"/>
  <c r="F9733" i="1"/>
  <c r="E9733" i="1"/>
  <c r="D9733" i="1"/>
  <c r="F9732" i="1"/>
  <c r="E9732" i="1"/>
  <c r="D9732" i="1"/>
  <c r="F9731" i="1"/>
  <c r="E9731" i="1"/>
  <c r="D9731" i="1"/>
  <c r="F9730" i="1"/>
  <c r="E9730" i="1"/>
  <c r="D9730" i="1"/>
  <c r="F9729" i="1"/>
  <c r="E9729" i="1"/>
  <c r="D9729" i="1"/>
  <c r="F9728" i="1"/>
  <c r="E9728" i="1"/>
  <c r="D9728" i="1"/>
  <c r="F9727" i="1"/>
  <c r="E9727" i="1"/>
  <c r="D9727" i="1"/>
  <c r="F9726" i="1"/>
  <c r="E9726" i="1"/>
  <c r="D9726" i="1"/>
  <c r="F9725" i="1"/>
  <c r="E9725" i="1"/>
  <c r="D9725" i="1"/>
  <c r="F9724" i="1"/>
  <c r="E9724" i="1"/>
  <c r="D9724" i="1"/>
  <c r="F9723" i="1"/>
  <c r="E9723" i="1"/>
  <c r="D9723" i="1"/>
  <c r="F9722" i="1"/>
  <c r="E9722" i="1"/>
  <c r="D9722" i="1"/>
  <c r="F9721" i="1"/>
  <c r="E9721" i="1"/>
  <c r="D9721" i="1"/>
  <c r="F9720" i="1"/>
  <c r="E9720" i="1"/>
  <c r="D9720" i="1"/>
  <c r="F9719" i="1"/>
  <c r="E9719" i="1"/>
  <c r="D9719" i="1"/>
  <c r="F9718" i="1"/>
  <c r="E9718" i="1"/>
  <c r="D9718" i="1"/>
  <c r="F9717" i="1"/>
  <c r="E9717" i="1"/>
  <c r="D9717" i="1"/>
  <c r="F9716" i="1"/>
  <c r="E9716" i="1"/>
  <c r="D9716" i="1"/>
  <c r="F9715" i="1"/>
  <c r="E9715" i="1"/>
  <c r="D9715" i="1"/>
  <c r="F9714" i="1"/>
  <c r="E9714" i="1"/>
  <c r="D9714" i="1"/>
  <c r="F9713" i="1"/>
  <c r="E9713" i="1"/>
  <c r="D9713" i="1"/>
  <c r="F9712" i="1"/>
  <c r="E9712" i="1"/>
  <c r="D9712" i="1"/>
  <c r="F9711" i="1"/>
  <c r="E9711" i="1"/>
  <c r="D9711" i="1"/>
  <c r="F9710" i="1"/>
  <c r="E9710" i="1"/>
  <c r="D9710" i="1"/>
  <c r="F9709" i="1"/>
  <c r="E9709" i="1"/>
  <c r="D9709" i="1"/>
  <c r="F9708" i="1"/>
  <c r="E9708" i="1"/>
  <c r="D9708" i="1"/>
  <c r="F9707" i="1"/>
  <c r="E9707" i="1"/>
  <c r="D9707" i="1"/>
  <c r="F9706" i="1"/>
  <c r="E9706" i="1"/>
  <c r="D9706" i="1"/>
  <c r="F9705" i="1"/>
  <c r="E9705" i="1"/>
  <c r="D9705" i="1"/>
  <c r="F9704" i="1"/>
  <c r="E9704" i="1"/>
  <c r="D9704" i="1"/>
  <c r="F9703" i="1"/>
  <c r="E9703" i="1"/>
  <c r="D9703" i="1"/>
  <c r="F9702" i="1"/>
  <c r="E9702" i="1"/>
  <c r="D9702" i="1"/>
  <c r="F9701" i="1"/>
  <c r="E9701" i="1"/>
  <c r="D9701" i="1"/>
  <c r="F9700" i="1"/>
  <c r="E9700" i="1"/>
  <c r="D9700" i="1"/>
  <c r="F9699" i="1"/>
  <c r="E9699" i="1"/>
  <c r="D9699" i="1"/>
  <c r="F9698" i="1"/>
  <c r="E9698" i="1"/>
  <c r="D9698" i="1"/>
  <c r="F9697" i="1"/>
  <c r="E9697" i="1"/>
  <c r="D9697" i="1"/>
  <c r="F9696" i="1"/>
  <c r="E9696" i="1"/>
  <c r="D9696" i="1"/>
  <c r="F9695" i="1"/>
  <c r="E9695" i="1"/>
  <c r="D9695" i="1"/>
  <c r="F9694" i="1"/>
  <c r="E9694" i="1"/>
  <c r="D9694" i="1"/>
  <c r="F9693" i="1"/>
  <c r="E9693" i="1"/>
  <c r="D9693" i="1"/>
  <c r="F9692" i="1"/>
  <c r="E9692" i="1"/>
  <c r="D9692" i="1"/>
  <c r="F9691" i="1"/>
  <c r="E9691" i="1"/>
  <c r="D9691" i="1"/>
  <c r="F9690" i="1"/>
  <c r="E9690" i="1"/>
  <c r="D9690" i="1"/>
  <c r="F9689" i="1"/>
  <c r="E9689" i="1"/>
  <c r="D9689" i="1"/>
  <c r="F9688" i="1"/>
  <c r="E9688" i="1"/>
  <c r="D9688" i="1"/>
  <c r="F9687" i="1"/>
  <c r="E9687" i="1"/>
  <c r="D9687" i="1"/>
  <c r="F9686" i="1"/>
  <c r="E9686" i="1"/>
  <c r="D9686" i="1"/>
  <c r="F9685" i="1"/>
  <c r="E9685" i="1"/>
  <c r="D9685" i="1"/>
  <c r="F9684" i="1"/>
  <c r="E9684" i="1"/>
  <c r="D9684" i="1"/>
  <c r="F9683" i="1"/>
  <c r="E9683" i="1"/>
  <c r="D9683" i="1"/>
  <c r="F9682" i="1"/>
  <c r="E9682" i="1"/>
  <c r="D9682" i="1"/>
  <c r="F9681" i="1"/>
  <c r="E9681" i="1"/>
  <c r="D9681" i="1"/>
  <c r="F9680" i="1"/>
  <c r="E9680" i="1"/>
  <c r="D9680" i="1"/>
  <c r="F9679" i="1"/>
  <c r="E9679" i="1"/>
  <c r="D9679" i="1"/>
  <c r="F9678" i="1"/>
  <c r="E9678" i="1"/>
  <c r="D9678" i="1"/>
  <c r="F9677" i="1"/>
  <c r="E9677" i="1"/>
  <c r="D9677" i="1"/>
  <c r="F9676" i="1"/>
  <c r="E9676" i="1"/>
  <c r="D9676" i="1"/>
  <c r="F9675" i="1"/>
  <c r="E9675" i="1"/>
  <c r="D9675" i="1"/>
  <c r="F9674" i="1"/>
  <c r="E9674" i="1"/>
  <c r="D9674" i="1"/>
  <c r="F9673" i="1"/>
  <c r="E9673" i="1"/>
  <c r="D9673" i="1"/>
  <c r="F9672" i="1"/>
  <c r="E9672" i="1"/>
  <c r="D9672" i="1"/>
  <c r="F9671" i="1"/>
  <c r="E9671" i="1"/>
  <c r="D9671" i="1"/>
  <c r="F9670" i="1"/>
  <c r="E9670" i="1"/>
  <c r="D9670" i="1"/>
  <c r="F9669" i="1"/>
  <c r="E9669" i="1"/>
  <c r="D9669" i="1"/>
  <c r="F9668" i="1"/>
  <c r="E9668" i="1"/>
  <c r="D9668" i="1"/>
  <c r="F9667" i="1"/>
  <c r="E9667" i="1"/>
  <c r="D9667" i="1"/>
  <c r="F9666" i="1"/>
  <c r="E9666" i="1"/>
  <c r="D9666" i="1"/>
  <c r="F9665" i="1"/>
  <c r="E9665" i="1"/>
  <c r="D9665" i="1"/>
  <c r="F9664" i="1"/>
  <c r="E9664" i="1"/>
  <c r="D9664" i="1"/>
  <c r="F9663" i="1"/>
  <c r="E9663" i="1"/>
  <c r="D9663" i="1"/>
  <c r="F9662" i="1"/>
  <c r="E9662" i="1"/>
  <c r="D9662" i="1"/>
  <c r="F9661" i="1"/>
  <c r="E9661" i="1"/>
  <c r="D9661" i="1"/>
  <c r="F9660" i="1"/>
  <c r="E9660" i="1"/>
  <c r="D9660" i="1"/>
  <c r="F9659" i="1"/>
  <c r="E9659" i="1"/>
  <c r="D9659" i="1"/>
  <c r="F9658" i="1"/>
  <c r="E9658" i="1"/>
  <c r="D9658" i="1"/>
  <c r="F9657" i="1"/>
  <c r="E9657" i="1"/>
  <c r="D9657" i="1"/>
  <c r="F9656" i="1"/>
  <c r="E9656" i="1"/>
  <c r="D9656" i="1"/>
  <c r="F9655" i="1"/>
  <c r="E9655" i="1"/>
  <c r="D9655" i="1"/>
  <c r="F9654" i="1"/>
  <c r="E9654" i="1"/>
  <c r="D9654" i="1"/>
  <c r="F9653" i="1"/>
  <c r="E9653" i="1"/>
  <c r="D9653" i="1"/>
  <c r="F9652" i="1"/>
  <c r="E9652" i="1"/>
  <c r="D9652" i="1"/>
  <c r="F9651" i="1"/>
  <c r="E9651" i="1"/>
  <c r="D9651" i="1"/>
  <c r="F9650" i="1"/>
  <c r="E9650" i="1"/>
  <c r="D9650" i="1"/>
  <c r="F9649" i="1"/>
  <c r="E9649" i="1"/>
  <c r="D9649" i="1"/>
  <c r="F9648" i="1"/>
  <c r="E9648" i="1"/>
  <c r="D9648" i="1"/>
  <c r="F9647" i="1"/>
  <c r="E9647" i="1"/>
  <c r="D9647" i="1"/>
  <c r="F9646" i="1"/>
  <c r="E9646" i="1"/>
  <c r="D9646" i="1"/>
  <c r="F9645" i="1"/>
  <c r="E9645" i="1"/>
  <c r="D9645" i="1"/>
  <c r="F9644" i="1"/>
  <c r="E9644" i="1"/>
  <c r="D9644" i="1"/>
  <c r="F9643" i="1"/>
  <c r="E9643" i="1"/>
  <c r="D9643" i="1"/>
  <c r="F9642" i="1"/>
  <c r="E9642" i="1"/>
  <c r="D9642" i="1"/>
  <c r="F9641" i="1"/>
  <c r="E9641" i="1"/>
  <c r="D9641" i="1"/>
  <c r="F9640" i="1"/>
  <c r="E9640" i="1"/>
  <c r="D9640" i="1"/>
  <c r="F9639" i="1"/>
  <c r="E9639" i="1"/>
  <c r="D9639" i="1"/>
  <c r="F9638" i="1"/>
  <c r="E9638" i="1"/>
  <c r="D9638" i="1"/>
  <c r="F9637" i="1"/>
  <c r="E9637" i="1"/>
  <c r="D9637" i="1"/>
  <c r="F9636" i="1"/>
  <c r="E9636" i="1"/>
  <c r="D9636" i="1"/>
  <c r="F9635" i="1"/>
  <c r="E9635" i="1"/>
  <c r="D9635" i="1"/>
  <c r="F9634" i="1"/>
  <c r="E9634" i="1"/>
  <c r="D9634" i="1"/>
  <c r="F9633" i="1"/>
  <c r="E9633" i="1"/>
  <c r="D9633" i="1"/>
  <c r="F9632" i="1"/>
  <c r="E9632" i="1"/>
  <c r="D9632" i="1"/>
  <c r="F9631" i="1"/>
  <c r="E9631" i="1"/>
  <c r="D9631" i="1"/>
  <c r="F9630" i="1"/>
  <c r="E9630" i="1"/>
  <c r="D9630" i="1"/>
  <c r="F9629" i="1"/>
  <c r="E9629" i="1"/>
  <c r="D9629" i="1"/>
  <c r="F9628" i="1"/>
  <c r="E9628" i="1"/>
  <c r="D9628" i="1"/>
  <c r="F9627" i="1"/>
  <c r="E9627" i="1"/>
  <c r="D9627" i="1"/>
  <c r="F9626" i="1"/>
  <c r="E9626" i="1"/>
  <c r="D9626" i="1"/>
  <c r="F9625" i="1"/>
  <c r="E9625" i="1"/>
  <c r="D9625" i="1"/>
  <c r="F9624" i="1"/>
  <c r="E9624" i="1"/>
  <c r="D9624" i="1"/>
  <c r="F9623" i="1"/>
  <c r="E9623" i="1"/>
  <c r="D9623" i="1"/>
  <c r="F9622" i="1"/>
  <c r="E9622" i="1"/>
  <c r="D9622" i="1"/>
  <c r="F9621" i="1"/>
  <c r="E9621" i="1"/>
  <c r="D9621" i="1"/>
  <c r="F9620" i="1"/>
  <c r="E9620" i="1"/>
  <c r="D9620" i="1"/>
  <c r="F9619" i="1"/>
  <c r="E9619" i="1"/>
  <c r="D9619" i="1"/>
  <c r="F9618" i="1"/>
  <c r="E9618" i="1"/>
  <c r="D9618" i="1"/>
  <c r="F9617" i="1"/>
  <c r="E9617" i="1"/>
  <c r="D9617" i="1"/>
  <c r="F9616" i="1"/>
  <c r="E9616" i="1"/>
  <c r="D9616" i="1"/>
  <c r="F9615" i="1"/>
  <c r="E9615" i="1"/>
  <c r="D9615" i="1"/>
  <c r="F9614" i="1"/>
  <c r="E9614" i="1"/>
  <c r="D9614" i="1"/>
  <c r="F9613" i="1"/>
  <c r="E9613" i="1"/>
  <c r="D9613" i="1"/>
  <c r="F9612" i="1"/>
  <c r="E9612" i="1"/>
  <c r="D9612" i="1"/>
  <c r="F9611" i="1"/>
  <c r="E9611" i="1"/>
  <c r="D9611" i="1"/>
  <c r="F9610" i="1"/>
  <c r="E9610" i="1"/>
  <c r="D9610" i="1"/>
  <c r="F9609" i="1"/>
  <c r="E9609" i="1"/>
  <c r="D9609" i="1"/>
  <c r="F9608" i="1"/>
  <c r="E9608" i="1"/>
  <c r="D9608" i="1"/>
  <c r="F9607" i="1"/>
  <c r="E9607" i="1"/>
  <c r="D9607" i="1"/>
  <c r="F9606" i="1"/>
  <c r="E9606" i="1"/>
  <c r="D9606" i="1"/>
  <c r="F9605" i="1"/>
  <c r="E9605" i="1"/>
  <c r="D9605" i="1"/>
  <c r="F9604" i="1"/>
  <c r="E9604" i="1"/>
  <c r="D9604" i="1"/>
  <c r="F9603" i="1"/>
  <c r="E9603" i="1"/>
  <c r="D9603" i="1"/>
  <c r="F9602" i="1"/>
  <c r="E9602" i="1"/>
  <c r="D9602" i="1"/>
  <c r="F9601" i="1"/>
  <c r="E9601" i="1"/>
  <c r="D9601" i="1"/>
  <c r="F9600" i="1"/>
  <c r="E9600" i="1"/>
  <c r="D9600" i="1"/>
  <c r="F9599" i="1"/>
  <c r="E9599" i="1"/>
  <c r="D9599" i="1"/>
  <c r="F9598" i="1"/>
  <c r="E9598" i="1"/>
  <c r="D9598" i="1"/>
  <c r="F9597" i="1"/>
  <c r="E9597" i="1"/>
  <c r="D9597" i="1"/>
  <c r="F9596" i="1"/>
  <c r="E9596" i="1"/>
  <c r="D9596" i="1"/>
  <c r="F9595" i="1"/>
  <c r="E9595" i="1"/>
  <c r="D9595" i="1"/>
  <c r="F9594" i="1"/>
  <c r="E9594" i="1"/>
  <c r="D9594" i="1"/>
  <c r="F9593" i="1"/>
  <c r="E9593" i="1"/>
  <c r="D9593" i="1"/>
  <c r="F9592" i="1"/>
  <c r="E9592" i="1"/>
  <c r="D9592" i="1"/>
  <c r="F9591" i="1"/>
  <c r="E9591" i="1"/>
  <c r="D9591" i="1"/>
  <c r="F9590" i="1"/>
  <c r="E9590" i="1"/>
  <c r="D9590" i="1"/>
  <c r="F9589" i="1"/>
  <c r="E9589" i="1"/>
  <c r="D9589" i="1"/>
  <c r="F9588" i="1"/>
  <c r="E9588" i="1"/>
  <c r="D9588" i="1"/>
  <c r="F9587" i="1"/>
  <c r="E9587" i="1"/>
  <c r="D9587" i="1"/>
  <c r="F9586" i="1"/>
  <c r="E9586" i="1"/>
  <c r="D9586" i="1"/>
  <c r="F9585" i="1"/>
  <c r="E9585" i="1"/>
  <c r="D9585" i="1"/>
  <c r="F9584" i="1"/>
  <c r="E9584" i="1"/>
  <c r="D9584" i="1"/>
  <c r="F9583" i="1"/>
  <c r="E9583" i="1"/>
  <c r="D9583" i="1"/>
  <c r="F9582" i="1"/>
  <c r="E9582" i="1"/>
  <c r="D9582" i="1"/>
  <c r="F9581" i="1"/>
  <c r="E9581" i="1"/>
  <c r="D9581" i="1"/>
  <c r="F9580" i="1"/>
  <c r="E9580" i="1"/>
  <c r="D9580" i="1"/>
  <c r="F9579" i="1"/>
  <c r="E9579" i="1"/>
  <c r="D9579" i="1"/>
  <c r="F9578" i="1"/>
  <c r="E9578" i="1"/>
  <c r="D9578" i="1"/>
  <c r="F9577" i="1"/>
  <c r="E9577" i="1"/>
  <c r="D9577" i="1"/>
  <c r="F9576" i="1"/>
  <c r="E9576" i="1"/>
  <c r="D9576" i="1"/>
  <c r="F9575" i="1"/>
  <c r="E9575" i="1"/>
  <c r="D9575" i="1"/>
  <c r="F9574" i="1"/>
  <c r="E9574" i="1"/>
  <c r="D9574" i="1"/>
  <c r="F9573" i="1"/>
  <c r="E9573" i="1"/>
  <c r="D9573" i="1"/>
  <c r="F9572" i="1"/>
  <c r="E9572" i="1"/>
  <c r="D9572" i="1"/>
  <c r="F9571" i="1"/>
  <c r="E9571" i="1"/>
  <c r="D9571" i="1"/>
  <c r="F9570" i="1"/>
  <c r="E9570" i="1"/>
  <c r="D9570" i="1"/>
  <c r="F9569" i="1"/>
  <c r="E9569" i="1"/>
  <c r="D9569" i="1"/>
  <c r="F9568" i="1"/>
  <c r="E9568" i="1"/>
  <c r="D9568" i="1"/>
  <c r="F9567" i="1"/>
  <c r="E9567" i="1"/>
  <c r="D9567" i="1"/>
  <c r="F9566" i="1"/>
  <c r="E9566" i="1"/>
  <c r="D9566" i="1"/>
  <c r="F9565" i="1"/>
  <c r="E9565" i="1"/>
  <c r="D9565" i="1"/>
  <c r="F9564" i="1"/>
  <c r="E9564" i="1"/>
  <c r="D9564" i="1"/>
  <c r="F9563" i="1"/>
  <c r="E9563" i="1"/>
  <c r="D9563" i="1"/>
  <c r="F9562" i="1"/>
  <c r="E9562" i="1"/>
  <c r="D9562" i="1"/>
  <c r="F9561" i="1"/>
  <c r="E9561" i="1"/>
  <c r="D9561" i="1"/>
  <c r="F9560" i="1"/>
  <c r="E9560" i="1"/>
  <c r="D9560" i="1"/>
  <c r="F9559" i="1"/>
  <c r="E9559" i="1"/>
  <c r="D9559" i="1"/>
  <c r="F9558" i="1"/>
  <c r="E9558" i="1"/>
  <c r="D9558" i="1"/>
  <c r="F9557" i="1"/>
  <c r="E9557" i="1"/>
  <c r="D9557" i="1"/>
  <c r="F9556" i="1"/>
  <c r="E9556" i="1"/>
  <c r="D9556" i="1"/>
  <c r="F9555" i="1"/>
  <c r="E9555" i="1"/>
  <c r="D9555" i="1"/>
  <c r="F9554" i="1"/>
  <c r="E9554" i="1"/>
  <c r="D9554" i="1"/>
  <c r="F9553" i="1"/>
  <c r="E9553" i="1"/>
  <c r="D9553" i="1"/>
  <c r="F9552" i="1"/>
  <c r="E9552" i="1"/>
  <c r="D9552" i="1"/>
  <c r="F9551" i="1"/>
  <c r="E9551" i="1"/>
  <c r="D9551" i="1"/>
  <c r="F9550" i="1"/>
  <c r="E9550" i="1"/>
  <c r="D9550" i="1"/>
  <c r="F9549" i="1"/>
  <c r="E9549" i="1"/>
  <c r="D9549" i="1"/>
  <c r="F9548" i="1"/>
  <c r="E9548" i="1"/>
  <c r="D9548" i="1"/>
  <c r="F9547" i="1"/>
  <c r="E9547" i="1"/>
  <c r="D9547" i="1"/>
  <c r="F9546" i="1"/>
  <c r="E9546" i="1"/>
  <c r="D9546" i="1"/>
  <c r="F9545" i="1"/>
  <c r="E9545" i="1"/>
  <c r="D9545" i="1"/>
  <c r="F9544" i="1"/>
  <c r="E9544" i="1"/>
  <c r="D9544" i="1"/>
  <c r="F9543" i="1"/>
  <c r="E9543" i="1"/>
  <c r="D9543" i="1"/>
  <c r="F9542" i="1"/>
  <c r="E9542" i="1"/>
  <c r="D9542" i="1"/>
  <c r="F9541" i="1"/>
  <c r="E9541" i="1"/>
  <c r="D9541" i="1"/>
  <c r="F9540" i="1"/>
  <c r="E9540" i="1"/>
  <c r="D9540" i="1"/>
  <c r="F9539" i="1"/>
  <c r="E9539" i="1"/>
  <c r="D9539" i="1"/>
  <c r="F9538" i="1"/>
  <c r="E9538" i="1"/>
  <c r="D9538" i="1"/>
  <c r="F9537" i="1"/>
  <c r="E9537" i="1"/>
  <c r="D9537" i="1"/>
  <c r="F9536" i="1"/>
  <c r="E9536" i="1"/>
  <c r="D9536" i="1"/>
  <c r="F9535" i="1"/>
  <c r="E9535" i="1"/>
  <c r="D9535" i="1"/>
  <c r="F9534" i="1"/>
  <c r="E9534" i="1"/>
  <c r="D9534" i="1"/>
  <c r="F9533" i="1"/>
  <c r="E9533" i="1"/>
  <c r="D9533" i="1"/>
  <c r="F9532" i="1"/>
  <c r="E9532" i="1"/>
  <c r="D9532" i="1"/>
  <c r="F9531" i="1"/>
  <c r="E9531" i="1"/>
  <c r="D9531" i="1"/>
  <c r="F9530" i="1"/>
  <c r="E9530" i="1"/>
  <c r="D9530" i="1"/>
  <c r="F9529" i="1"/>
  <c r="E9529" i="1"/>
  <c r="D9529" i="1"/>
  <c r="F9528" i="1"/>
  <c r="E9528" i="1"/>
  <c r="D9528" i="1"/>
  <c r="F9527" i="1"/>
  <c r="E9527" i="1"/>
  <c r="D9527" i="1"/>
  <c r="F9526" i="1"/>
  <c r="E9526" i="1"/>
  <c r="D9526" i="1"/>
  <c r="F9525" i="1"/>
  <c r="E9525" i="1"/>
  <c r="D9525" i="1"/>
  <c r="F9524" i="1"/>
  <c r="E9524" i="1"/>
  <c r="D9524" i="1"/>
  <c r="F9523" i="1"/>
  <c r="E9523" i="1"/>
  <c r="D9523" i="1"/>
  <c r="F9522" i="1"/>
  <c r="E9522" i="1"/>
  <c r="D9522" i="1"/>
  <c r="F9521" i="1"/>
  <c r="E9521" i="1"/>
  <c r="D9521" i="1"/>
  <c r="F9520" i="1"/>
  <c r="E9520" i="1"/>
  <c r="D9520" i="1"/>
  <c r="F9519" i="1"/>
  <c r="E9519" i="1"/>
  <c r="D9519" i="1"/>
  <c r="F9518" i="1"/>
  <c r="E9518" i="1"/>
  <c r="D9518" i="1"/>
  <c r="F9517" i="1"/>
  <c r="E9517" i="1"/>
  <c r="D9517" i="1"/>
  <c r="F9516" i="1"/>
  <c r="E9516" i="1"/>
  <c r="D9516" i="1"/>
  <c r="F9515" i="1"/>
  <c r="E9515" i="1"/>
  <c r="D9515" i="1"/>
  <c r="F9514" i="1"/>
  <c r="E9514" i="1"/>
  <c r="D9514" i="1"/>
  <c r="F9513" i="1"/>
  <c r="E9513" i="1"/>
  <c r="D9513" i="1"/>
  <c r="F9512" i="1"/>
  <c r="E9512" i="1"/>
  <c r="D9512" i="1"/>
  <c r="F9511" i="1"/>
  <c r="E9511" i="1"/>
  <c r="D9511" i="1"/>
  <c r="F9510" i="1"/>
  <c r="E9510" i="1"/>
  <c r="D9510" i="1"/>
  <c r="F9509" i="1"/>
  <c r="E9509" i="1"/>
  <c r="D9509" i="1"/>
  <c r="F9508" i="1"/>
  <c r="E9508" i="1"/>
  <c r="D9508" i="1"/>
  <c r="F9507" i="1"/>
  <c r="E9507" i="1"/>
  <c r="D9507" i="1"/>
  <c r="F9506" i="1"/>
  <c r="E9506" i="1"/>
  <c r="D9506" i="1"/>
  <c r="F9505" i="1"/>
  <c r="E9505" i="1"/>
  <c r="D9505" i="1"/>
  <c r="F9504" i="1"/>
  <c r="E9504" i="1"/>
  <c r="D9504" i="1"/>
  <c r="F9503" i="1"/>
  <c r="E9503" i="1"/>
  <c r="D9503" i="1"/>
  <c r="F9502" i="1"/>
  <c r="E9502" i="1"/>
  <c r="D9502" i="1"/>
  <c r="F9501" i="1"/>
  <c r="E9501" i="1"/>
  <c r="D9501" i="1"/>
  <c r="F9500" i="1"/>
  <c r="E9500" i="1"/>
  <c r="D9500" i="1"/>
  <c r="F9499" i="1"/>
  <c r="E9499" i="1"/>
  <c r="D9499" i="1"/>
  <c r="F9498" i="1"/>
  <c r="E9498" i="1"/>
  <c r="D9498" i="1"/>
  <c r="F9497" i="1"/>
  <c r="E9497" i="1"/>
  <c r="D9497" i="1"/>
  <c r="F9496" i="1"/>
  <c r="E9496" i="1"/>
  <c r="D9496" i="1"/>
  <c r="F9495" i="1"/>
  <c r="E9495" i="1"/>
  <c r="D9495" i="1"/>
  <c r="F9494" i="1"/>
  <c r="E9494" i="1"/>
  <c r="D9494" i="1"/>
  <c r="F9493" i="1"/>
  <c r="E9493" i="1"/>
  <c r="D9493" i="1"/>
  <c r="F9492" i="1"/>
  <c r="E9492" i="1"/>
  <c r="D9492" i="1"/>
  <c r="F9491" i="1"/>
  <c r="E9491" i="1"/>
  <c r="D9491" i="1"/>
  <c r="F9490" i="1"/>
  <c r="E9490" i="1"/>
  <c r="D9490" i="1"/>
  <c r="F9489" i="1"/>
  <c r="E9489" i="1"/>
  <c r="D9489" i="1"/>
  <c r="F9488" i="1"/>
  <c r="E9488" i="1"/>
  <c r="D9488" i="1"/>
  <c r="F9487" i="1"/>
  <c r="E9487" i="1"/>
  <c r="D9487" i="1"/>
  <c r="F9486" i="1"/>
  <c r="E9486" i="1"/>
  <c r="D9486" i="1"/>
  <c r="F9485" i="1"/>
  <c r="E9485" i="1"/>
  <c r="D9485" i="1"/>
  <c r="F9484" i="1"/>
  <c r="E9484" i="1"/>
  <c r="D9484" i="1"/>
  <c r="F9483" i="1"/>
  <c r="E9483" i="1"/>
  <c r="D9483" i="1"/>
  <c r="F9482" i="1"/>
  <c r="E9482" i="1"/>
  <c r="D9482" i="1"/>
  <c r="F9481" i="1"/>
  <c r="E9481" i="1"/>
  <c r="D9481" i="1"/>
  <c r="F9480" i="1"/>
  <c r="E9480" i="1"/>
  <c r="D9480" i="1"/>
  <c r="F9479" i="1"/>
  <c r="E9479" i="1"/>
  <c r="D9479" i="1"/>
  <c r="F9478" i="1"/>
  <c r="E9478" i="1"/>
  <c r="D9478" i="1"/>
  <c r="F9477" i="1"/>
  <c r="E9477" i="1"/>
  <c r="D9477" i="1"/>
  <c r="F9476" i="1"/>
  <c r="E9476" i="1"/>
  <c r="D9476" i="1"/>
  <c r="F9475" i="1"/>
  <c r="E9475" i="1"/>
  <c r="D9475" i="1"/>
  <c r="F9474" i="1"/>
  <c r="E9474" i="1"/>
  <c r="D9474" i="1"/>
  <c r="F9473" i="1"/>
  <c r="E9473" i="1"/>
  <c r="D9473" i="1"/>
  <c r="F9472" i="1"/>
  <c r="E9472" i="1"/>
  <c r="D9472" i="1"/>
  <c r="F9471" i="1"/>
  <c r="E9471" i="1"/>
  <c r="D9471" i="1"/>
  <c r="F9470" i="1"/>
  <c r="E9470" i="1"/>
  <c r="D9470" i="1"/>
  <c r="F9469" i="1"/>
  <c r="E9469" i="1"/>
  <c r="D9469" i="1"/>
  <c r="F9468" i="1"/>
  <c r="E9468" i="1"/>
  <c r="D9468" i="1"/>
  <c r="F9467" i="1"/>
  <c r="E9467" i="1"/>
  <c r="D9467" i="1"/>
  <c r="F9466" i="1"/>
  <c r="E9466" i="1"/>
  <c r="D9466" i="1"/>
  <c r="F9465" i="1"/>
  <c r="E9465" i="1"/>
  <c r="D9465" i="1"/>
  <c r="F9464" i="1"/>
  <c r="E9464" i="1"/>
  <c r="D9464" i="1"/>
  <c r="F9463" i="1"/>
  <c r="E9463" i="1"/>
  <c r="D9463" i="1"/>
  <c r="F9462" i="1"/>
  <c r="E9462" i="1"/>
  <c r="D9462" i="1"/>
  <c r="F9461" i="1"/>
  <c r="E9461" i="1"/>
  <c r="D9461" i="1"/>
  <c r="F9460" i="1"/>
  <c r="E9460" i="1"/>
  <c r="D9460" i="1"/>
  <c r="F9459" i="1"/>
  <c r="E9459" i="1"/>
  <c r="D9459" i="1"/>
  <c r="F9458" i="1"/>
  <c r="E9458" i="1"/>
  <c r="D9458" i="1"/>
  <c r="F9457" i="1"/>
  <c r="E9457" i="1"/>
  <c r="D9457" i="1"/>
  <c r="F9456" i="1"/>
  <c r="E9456" i="1"/>
  <c r="D9456" i="1"/>
  <c r="F9455" i="1"/>
  <c r="E9455" i="1"/>
  <c r="D9455" i="1"/>
  <c r="F9454" i="1"/>
  <c r="E9454" i="1"/>
  <c r="D9454" i="1"/>
  <c r="F9453" i="1"/>
  <c r="E9453" i="1"/>
  <c r="D9453" i="1"/>
  <c r="F9452" i="1"/>
  <c r="E9452" i="1"/>
  <c r="D9452" i="1"/>
  <c r="F9451" i="1"/>
  <c r="E9451" i="1"/>
  <c r="D9451" i="1"/>
  <c r="F9450" i="1"/>
  <c r="E9450" i="1"/>
  <c r="D9450" i="1"/>
  <c r="F9449" i="1"/>
  <c r="E9449" i="1"/>
  <c r="D9449" i="1"/>
  <c r="F9448" i="1"/>
  <c r="E9448" i="1"/>
  <c r="D9448" i="1"/>
  <c r="F9447" i="1"/>
  <c r="E9447" i="1"/>
  <c r="D9447" i="1"/>
  <c r="F9446" i="1"/>
  <c r="E9446" i="1"/>
  <c r="D9446" i="1"/>
  <c r="F9445" i="1"/>
  <c r="E9445" i="1"/>
  <c r="D9445" i="1"/>
  <c r="F9444" i="1"/>
  <c r="E9444" i="1"/>
  <c r="D9444" i="1"/>
  <c r="F9443" i="1"/>
  <c r="E9443" i="1"/>
  <c r="D9443" i="1"/>
  <c r="F9442" i="1"/>
  <c r="E9442" i="1"/>
  <c r="D9442" i="1"/>
  <c r="F9441" i="1"/>
  <c r="E9441" i="1"/>
  <c r="D9441" i="1"/>
  <c r="F9440" i="1"/>
  <c r="E9440" i="1"/>
  <c r="D9440" i="1"/>
  <c r="F9439" i="1"/>
  <c r="E9439" i="1"/>
  <c r="D9439" i="1"/>
  <c r="F9438" i="1"/>
  <c r="E9438" i="1"/>
  <c r="D9438" i="1"/>
  <c r="F9437" i="1"/>
  <c r="E9437" i="1"/>
  <c r="D9437" i="1"/>
  <c r="F9436" i="1"/>
  <c r="E9436" i="1"/>
  <c r="D9436" i="1"/>
  <c r="F9435" i="1"/>
  <c r="E9435" i="1"/>
  <c r="D9435" i="1"/>
  <c r="F9434" i="1"/>
  <c r="E9434" i="1"/>
  <c r="D9434" i="1"/>
  <c r="F9433" i="1"/>
  <c r="E9433" i="1"/>
  <c r="D9433" i="1"/>
  <c r="F9432" i="1"/>
  <c r="E9432" i="1"/>
  <c r="D9432" i="1"/>
  <c r="F9431" i="1"/>
  <c r="E9431" i="1"/>
  <c r="D9431" i="1"/>
  <c r="F9430" i="1"/>
  <c r="E9430" i="1"/>
  <c r="D9430" i="1"/>
  <c r="F9429" i="1"/>
  <c r="E9429" i="1"/>
  <c r="D9429" i="1"/>
  <c r="F9428" i="1"/>
  <c r="E9428" i="1"/>
  <c r="D9428" i="1"/>
  <c r="F9427" i="1"/>
  <c r="E9427" i="1"/>
  <c r="D9427" i="1"/>
  <c r="F9426" i="1"/>
  <c r="E9426" i="1"/>
  <c r="D9426" i="1"/>
  <c r="F9425" i="1"/>
  <c r="E9425" i="1"/>
  <c r="D9425" i="1"/>
  <c r="F9424" i="1"/>
  <c r="E9424" i="1"/>
  <c r="D9424" i="1"/>
  <c r="F9423" i="1"/>
  <c r="E9423" i="1"/>
  <c r="D9423" i="1"/>
  <c r="F9422" i="1"/>
  <c r="E9422" i="1"/>
  <c r="D9422" i="1"/>
  <c r="F9421" i="1"/>
  <c r="E9421" i="1"/>
  <c r="D9421" i="1"/>
  <c r="F9420" i="1"/>
  <c r="E9420" i="1"/>
  <c r="D9420" i="1"/>
  <c r="F9419" i="1"/>
  <c r="E9419" i="1"/>
  <c r="D9419" i="1"/>
  <c r="F9418" i="1"/>
  <c r="E9418" i="1"/>
  <c r="D9418" i="1"/>
  <c r="F9417" i="1"/>
  <c r="E9417" i="1"/>
  <c r="D9417" i="1"/>
  <c r="F9416" i="1"/>
  <c r="E9416" i="1"/>
  <c r="D9416" i="1"/>
  <c r="F9415" i="1"/>
  <c r="E9415" i="1"/>
  <c r="D9415" i="1"/>
  <c r="F9414" i="1"/>
  <c r="E9414" i="1"/>
  <c r="D9414" i="1"/>
  <c r="F9413" i="1"/>
  <c r="E9413" i="1"/>
  <c r="D9413" i="1"/>
  <c r="F9412" i="1"/>
  <c r="E9412" i="1"/>
  <c r="D9412" i="1"/>
  <c r="F9411" i="1"/>
  <c r="E9411" i="1"/>
  <c r="D9411" i="1"/>
  <c r="F9410" i="1"/>
  <c r="E9410" i="1"/>
  <c r="D9410" i="1"/>
  <c r="F9409" i="1"/>
  <c r="E9409" i="1"/>
  <c r="D9409" i="1"/>
  <c r="F9408" i="1"/>
  <c r="E9408" i="1"/>
  <c r="D9408" i="1"/>
  <c r="F9407" i="1"/>
  <c r="E9407" i="1"/>
  <c r="D9407" i="1"/>
  <c r="F9406" i="1"/>
  <c r="E9406" i="1"/>
  <c r="D9406" i="1"/>
  <c r="F9405" i="1"/>
  <c r="E9405" i="1"/>
  <c r="D9405" i="1"/>
  <c r="F9404" i="1"/>
  <c r="E9404" i="1"/>
  <c r="D9404" i="1"/>
  <c r="F9403" i="1"/>
  <c r="E9403" i="1"/>
  <c r="D9403" i="1"/>
  <c r="F9402" i="1"/>
  <c r="E9402" i="1"/>
  <c r="D9402" i="1"/>
  <c r="F9401" i="1"/>
  <c r="E9401" i="1"/>
  <c r="D9401" i="1"/>
  <c r="F9400" i="1"/>
  <c r="E9400" i="1"/>
  <c r="D9400" i="1"/>
  <c r="F9399" i="1"/>
  <c r="E9399" i="1"/>
  <c r="D9399" i="1"/>
  <c r="F9398" i="1"/>
  <c r="E9398" i="1"/>
  <c r="D9398" i="1"/>
  <c r="F9397" i="1"/>
  <c r="E9397" i="1"/>
  <c r="D9397" i="1"/>
  <c r="F9396" i="1"/>
  <c r="E9396" i="1"/>
  <c r="D9396" i="1"/>
  <c r="F9395" i="1"/>
  <c r="E9395" i="1"/>
  <c r="D9395" i="1"/>
  <c r="F9394" i="1"/>
  <c r="E9394" i="1"/>
  <c r="D9394" i="1"/>
  <c r="F9393" i="1"/>
  <c r="E9393" i="1"/>
  <c r="D9393" i="1"/>
  <c r="F9392" i="1"/>
  <c r="E9392" i="1"/>
  <c r="D9392" i="1"/>
  <c r="F9391" i="1"/>
  <c r="E9391" i="1"/>
  <c r="D9391" i="1"/>
  <c r="F9390" i="1"/>
  <c r="E9390" i="1"/>
  <c r="D9390" i="1"/>
  <c r="F9389" i="1"/>
  <c r="E9389" i="1"/>
  <c r="D9389" i="1"/>
  <c r="F9388" i="1"/>
  <c r="E9388" i="1"/>
  <c r="D9388" i="1"/>
  <c r="F9387" i="1"/>
  <c r="E9387" i="1"/>
  <c r="D9387" i="1"/>
  <c r="F9386" i="1"/>
  <c r="E9386" i="1"/>
  <c r="D9386" i="1"/>
  <c r="F9385" i="1"/>
  <c r="E9385" i="1"/>
  <c r="D9385" i="1"/>
  <c r="F9384" i="1"/>
  <c r="E9384" i="1"/>
  <c r="D9384" i="1"/>
  <c r="F9383" i="1"/>
  <c r="E9383" i="1"/>
  <c r="D9383" i="1"/>
  <c r="F9382" i="1"/>
  <c r="E9382" i="1"/>
  <c r="D9382" i="1"/>
  <c r="F9381" i="1"/>
  <c r="E9381" i="1"/>
  <c r="D9381" i="1"/>
  <c r="F9380" i="1"/>
  <c r="E9380" i="1"/>
  <c r="D9380" i="1"/>
  <c r="F9379" i="1"/>
  <c r="E9379" i="1"/>
  <c r="D9379" i="1"/>
  <c r="F9378" i="1"/>
  <c r="E9378" i="1"/>
  <c r="D9378" i="1"/>
  <c r="F9377" i="1"/>
  <c r="E9377" i="1"/>
  <c r="D9377" i="1"/>
  <c r="F9376" i="1"/>
  <c r="E9376" i="1"/>
  <c r="D9376" i="1"/>
  <c r="F9375" i="1"/>
  <c r="E9375" i="1"/>
  <c r="D9375" i="1"/>
  <c r="F9374" i="1"/>
  <c r="E9374" i="1"/>
  <c r="D9374" i="1"/>
  <c r="F9373" i="1"/>
  <c r="E9373" i="1"/>
  <c r="D9373" i="1"/>
  <c r="F9372" i="1"/>
  <c r="E9372" i="1"/>
  <c r="D9372" i="1"/>
  <c r="F9371" i="1"/>
  <c r="E9371" i="1"/>
  <c r="D9371" i="1"/>
  <c r="F9370" i="1"/>
  <c r="E9370" i="1"/>
  <c r="D9370" i="1"/>
  <c r="F9369" i="1"/>
  <c r="E9369" i="1"/>
  <c r="D9369" i="1"/>
  <c r="F9368" i="1"/>
  <c r="E9368" i="1"/>
  <c r="D9368" i="1"/>
  <c r="F9367" i="1"/>
  <c r="E9367" i="1"/>
  <c r="D9367" i="1"/>
  <c r="F9366" i="1"/>
  <c r="E9366" i="1"/>
  <c r="D9366" i="1"/>
  <c r="F9365" i="1"/>
  <c r="E9365" i="1"/>
  <c r="D9365" i="1"/>
  <c r="F9364" i="1"/>
  <c r="E9364" i="1"/>
  <c r="D9364" i="1"/>
  <c r="F9363" i="1"/>
  <c r="E9363" i="1"/>
  <c r="D9363" i="1"/>
  <c r="F9362" i="1"/>
  <c r="E9362" i="1"/>
  <c r="D9362" i="1"/>
  <c r="F9361" i="1"/>
  <c r="E9361" i="1"/>
  <c r="D9361" i="1"/>
  <c r="F9360" i="1"/>
  <c r="E9360" i="1"/>
  <c r="D9360" i="1"/>
  <c r="F9359" i="1"/>
  <c r="E9359" i="1"/>
  <c r="D9359" i="1"/>
  <c r="F9358" i="1"/>
  <c r="E9358" i="1"/>
  <c r="D9358" i="1"/>
  <c r="F9357" i="1"/>
  <c r="E9357" i="1"/>
  <c r="D9357" i="1"/>
  <c r="F9356" i="1"/>
  <c r="E9356" i="1"/>
  <c r="D9356" i="1"/>
  <c r="F9355" i="1"/>
  <c r="E9355" i="1"/>
  <c r="D9355" i="1"/>
  <c r="F9354" i="1"/>
  <c r="E9354" i="1"/>
  <c r="D9354" i="1"/>
  <c r="F9353" i="1"/>
  <c r="E9353" i="1"/>
  <c r="D9353" i="1"/>
  <c r="F9352" i="1"/>
  <c r="E9352" i="1"/>
  <c r="D9352" i="1"/>
  <c r="F9351" i="1"/>
  <c r="E9351" i="1"/>
  <c r="D9351" i="1"/>
  <c r="F9350" i="1"/>
  <c r="E9350" i="1"/>
  <c r="D9350" i="1"/>
  <c r="F9349" i="1"/>
  <c r="E9349" i="1"/>
  <c r="D9349" i="1"/>
  <c r="F9348" i="1"/>
  <c r="E9348" i="1"/>
  <c r="D9348" i="1"/>
  <c r="F9347" i="1"/>
  <c r="E9347" i="1"/>
  <c r="D9347" i="1"/>
  <c r="F9346" i="1"/>
  <c r="E9346" i="1"/>
  <c r="D9346" i="1"/>
  <c r="F9345" i="1"/>
  <c r="E9345" i="1"/>
  <c r="D9345" i="1"/>
  <c r="F9344" i="1"/>
  <c r="E9344" i="1"/>
  <c r="D9344" i="1"/>
  <c r="F9343" i="1"/>
  <c r="E9343" i="1"/>
  <c r="D9343" i="1"/>
  <c r="F9342" i="1"/>
  <c r="E9342" i="1"/>
  <c r="D9342" i="1"/>
  <c r="F9341" i="1"/>
  <c r="E9341" i="1"/>
  <c r="D9341" i="1"/>
  <c r="F9340" i="1"/>
  <c r="E9340" i="1"/>
  <c r="D9340" i="1"/>
  <c r="F9339" i="1"/>
  <c r="E9339" i="1"/>
  <c r="D9339" i="1"/>
  <c r="F9338" i="1"/>
  <c r="E9338" i="1"/>
  <c r="D9338" i="1"/>
  <c r="F9337" i="1"/>
  <c r="E9337" i="1"/>
  <c r="D9337" i="1"/>
  <c r="F9336" i="1"/>
  <c r="E9336" i="1"/>
  <c r="D9336" i="1"/>
  <c r="F9335" i="1"/>
  <c r="E9335" i="1"/>
  <c r="D9335" i="1"/>
  <c r="F9334" i="1"/>
  <c r="E9334" i="1"/>
  <c r="D9334" i="1"/>
  <c r="F9333" i="1"/>
  <c r="E9333" i="1"/>
  <c r="D9333" i="1"/>
  <c r="F9332" i="1"/>
  <c r="E9332" i="1"/>
  <c r="D9332" i="1"/>
  <c r="F9331" i="1"/>
  <c r="E9331" i="1"/>
  <c r="D9331" i="1"/>
  <c r="F9330" i="1"/>
  <c r="E9330" i="1"/>
  <c r="D9330" i="1"/>
  <c r="F9329" i="1"/>
  <c r="E9329" i="1"/>
  <c r="D9329" i="1"/>
  <c r="F9328" i="1"/>
  <c r="E9328" i="1"/>
  <c r="D9328" i="1"/>
  <c r="F9327" i="1"/>
  <c r="E9327" i="1"/>
  <c r="D9327" i="1"/>
  <c r="F9326" i="1"/>
  <c r="E9326" i="1"/>
  <c r="D9326" i="1"/>
  <c r="F9325" i="1"/>
  <c r="E9325" i="1"/>
  <c r="D9325" i="1"/>
  <c r="F9324" i="1"/>
  <c r="E9324" i="1"/>
  <c r="D9324" i="1"/>
  <c r="F9323" i="1"/>
  <c r="E9323" i="1"/>
  <c r="D9323" i="1"/>
  <c r="F9322" i="1"/>
  <c r="E9322" i="1"/>
  <c r="D9322" i="1"/>
  <c r="F9321" i="1"/>
  <c r="E9321" i="1"/>
  <c r="D9321" i="1"/>
  <c r="F9320" i="1"/>
  <c r="E9320" i="1"/>
  <c r="D9320" i="1"/>
  <c r="F9319" i="1"/>
  <c r="E9319" i="1"/>
  <c r="D9319" i="1"/>
  <c r="F9318" i="1"/>
  <c r="E9318" i="1"/>
  <c r="D9318" i="1"/>
  <c r="F9317" i="1"/>
  <c r="E9317" i="1"/>
  <c r="D9317" i="1"/>
  <c r="F9316" i="1"/>
  <c r="E9316" i="1"/>
  <c r="D9316" i="1"/>
  <c r="F9315" i="1"/>
  <c r="E9315" i="1"/>
  <c r="D9315" i="1"/>
  <c r="F9314" i="1"/>
  <c r="E9314" i="1"/>
  <c r="D9314" i="1"/>
  <c r="F9313" i="1"/>
  <c r="E9313" i="1"/>
  <c r="D9313" i="1"/>
  <c r="F9312" i="1"/>
  <c r="E9312" i="1"/>
  <c r="D9312" i="1"/>
  <c r="F9311" i="1"/>
  <c r="E9311" i="1"/>
  <c r="D9311" i="1"/>
  <c r="F9310" i="1"/>
  <c r="E9310" i="1"/>
  <c r="D9310" i="1"/>
  <c r="F9309" i="1"/>
  <c r="E9309" i="1"/>
  <c r="D9309" i="1"/>
  <c r="F9308" i="1"/>
  <c r="E9308" i="1"/>
  <c r="D9308" i="1"/>
  <c r="F9307" i="1"/>
  <c r="E9307" i="1"/>
  <c r="D9307" i="1"/>
  <c r="F9306" i="1"/>
  <c r="E9306" i="1"/>
  <c r="D9306" i="1"/>
  <c r="F9305" i="1"/>
  <c r="E9305" i="1"/>
  <c r="D9305" i="1"/>
  <c r="F9304" i="1"/>
  <c r="E9304" i="1"/>
  <c r="D9304" i="1"/>
  <c r="F9303" i="1"/>
  <c r="E9303" i="1"/>
  <c r="D9303" i="1"/>
  <c r="F9302" i="1"/>
  <c r="E9302" i="1"/>
  <c r="D9302" i="1"/>
  <c r="F9301" i="1"/>
  <c r="E9301" i="1"/>
  <c r="D9301" i="1"/>
  <c r="F9300" i="1"/>
  <c r="E9300" i="1"/>
  <c r="D9300" i="1"/>
  <c r="F9299" i="1"/>
  <c r="E9299" i="1"/>
  <c r="D9299" i="1"/>
  <c r="F9298" i="1"/>
  <c r="E9298" i="1"/>
  <c r="D9298" i="1"/>
  <c r="F9297" i="1"/>
  <c r="E9297" i="1"/>
  <c r="D9297" i="1"/>
  <c r="F9296" i="1"/>
  <c r="E9296" i="1"/>
  <c r="D9296" i="1"/>
  <c r="F9295" i="1"/>
  <c r="E9295" i="1"/>
  <c r="D9295" i="1"/>
  <c r="F9294" i="1"/>
  <c r="E9294" i="1"/>
  <c r="D9294" i="1"/>
  <c r="F9293" i="1"/>
  <c r="E9293" i="1"/>
  <c r="D9293" i="1"/>
  <c r="F9292" i="1"/>
  <c r="E9292" i="1"/>
  <c r="D9292" i="1"/>
  <c r="F9291" i="1"/>
  <c r="E9291" i="1"/>
  <c r="D9291" i="1"/>
  <c r="F9290" i="1"/>
  <c r="E9290" i="1"/>
  <c r="D9290" i="1"/>
  <c r="F9289" i="1"/>
  <c r="E9289" i="1"/>
  <c r="D9289" i="1"/>
  <c r="F9288" i="1"/>
  <c r="E9288" i="1"/>
  <c r="D9288" i="1"/>
  <c r="F9287" i="1"/>
  <c r="E9287" i="1"/>
  <c r="D9287" i="1"/>
  <c r="F9286" i="1"/>
  <c r="E9286" i="1"/>
  <c r="D9286" i="1"/>
  <c r="F9285" i="1"/>
  <c r="E9285" i="1"/>
  <c r="D9285" i="1"/>
  <c r="F9284" i="1"/>
  <c r="E9284" i="1"/>
  <c r="D9284" i="1"/>
  <c r="F9283" i="1"/>
  <c r="E9283" i="1"/>
  <c r="D9283" i="1"/>
  <c r="F9282" i="1"/>
  <c r="E9282" i="1"/>
  <c r="D9282" i="1"/>
  <c r="F9281" i="1"/>
  <c r="E9281" i="1"/>
  <c r="D9281" i="1"/>
  <c r="F9280" i="1"/>
  <c r="E9280" i="1"/>
  <c r="D9280" i="1"/>
  <c r="F9279" i="1"/>
  <c r="E9279" i="1"/>
  <c r="D9279" i="1"/>
  <c r="F9278" i="1"/>
  <c r="E9278" i="1"/>
  <c r="D9278" i="1"/>
  <c r="F9277" i="1"/>
  <c r="E9277" i="1"/>
  <c r="D9277" i="1"/>
  <c r="F9276" i="1"/>
  <c r="E9276" i="1"/>
  <c r="D9276" i="1"/>
  <c r="F9275" i="1"/>
  <c r="E9275" i="1"/>
  <c r="D9275" i="1"/>
  <c r="F9274" i="1"/>
  <c r="E9274" i="1"/>
  <c r="D9274" i="1"/>
  <c r="F9273" i="1"/>
  <c r="E9273" i="1"/>
  <c r="D9273" i="1"/>
  <c r="F9272" i="1"/>
  <c r="E9272" i="1"/>
  <c r="D9272" i="1"/>
  <c r="F9271" i="1"/>
  <c r="E9271" i="1"/>
  <c r="D9271" i="1"/>
  <c r="F9270" i="1"/>
  <c r="E9270" i="1"/>
  <c r="D9270" i="1"/>
  <c r="F9269" i="1"/>
  <c r="E9269" i="1"/>
  <c r="D9269" i="1"/>
  <c r="F9268" i="1"/>
  <c r="E9268" i="1"/>
  <c r="D9268" i="1"/>
  <c r="F9267" i="1"/>
  <c r="E9267" i="1"/>
  <c r="D9267" i="1"/>
  <c r="F9266" i="1"/>
  <c r="E9266" i="1"/>
  <c r="D9266" i="1"/>
  <c r="F9265" i="1"/>
  <c r="E9265" i="1"/>
  <c r="D9265" i="1"/>
  <c r="F9264" i="1"/>
  <c r="E9264" i="1"/>
  <c r="D9264" i="1"/>
  <c r="F9263" i="1"/>
  <c r="E9263" i="1"/>
  <c r="D9263" i="1"/>
  <c r="F9262" i="1"/>
  <c r="E9262" i="1"/>
  <c r="D9262" i="1"/>
  <c r="F9261" i="1"/>
  <c r="E9261" i="1"/>
  <c r="D9261" i="1"/>
  <c r="F9260" i="1"/>
  <c r="E9260" i="1"/>
  <c r="D9260" i="1"/>
  <c r="F9259" i="1"/>
  <c r="E9259" i="1"/>
  <c r="D9259" i="1"/>
  <c r="F9258" i="1"/>
  <c r="E9258" i="1"/>
  <c r="D9258" i="1"/>
  <c r="F9257" i="1"/>
  <c r="E9257" i="1"/>
  <c r="D9257" i="1"/>
  <c r="F9256" i="1"/>
  <c r="E9256" i="1"/>
  <c r="D9256" i="1"/>
  <c r="F9255" i="1"/>
  <c r="E9255" i="1"/>
  <c r="D9255" i="1"/>
  <c r="F9254" i="1"/>
  <c r="E9254" i="1"/>
  <c r="D9254" i="1"/>
  <c r="F9253" i="1"/>
  <c r="E9253" i="1"/>
  <c r="D9253" i="1"/>
  <c r="F9252" i="1"/>
  <c r="E9252" i="1"/>
  <c r="D9252" i="1"/>
  <c r="F9251" i="1"/>
  <c r="E9251" i="1"/>
  <c r="D9251" i="1"/>
  <c r="F9250" i="1"/>
  <c r="E9250" i="1"/>
  <c r="D9250" i="1"/>
  <c r="F9249" i="1"/>
  <c r="E9249" i="1"/>
  <c r="D9249" i="1"/>
  <c r="F9248" i="1"/>
  <c r="E9248" i="1"/>
  <c r="D9248" i="1"/>
  <c r="F9247" i="1"/>
  <c r="E9247" i="1"/>
  <c r="D9247" i="1"/>
  <c r="F9246" i="1"/>
  <c r="E9246" i="1"/>
  <c r="D9246" i="1"/>
  <c r="F9245" i="1"/>
  <c r="E9245" i="1"/>
  <c r="D9245" i="1"/>
  <c r="F9244" i="1"/>
  <c r="E9244" i="1"/>
  <c r="D9244" i="1"/>
  <c r="F9243" i="1"/>
  <c r="E9243" i="1"/>
  <c r="D9243" i="1"/>
  <c r="F9242" i="1"/>
  <c r="E9242" i="1"/>
  <c r="D9242" i="1"/>
  <c r="F9241" i="1"/>
  <c r="E9241" i="1"/>
  <c r="D9241" i="1"/>
  <c r="F9240" i="1"/>
  <c r="E9240" i="1"/>
  <c r="D9240" i="1"/>
  <c r="F9239" i="1"/>
  <c r="E9239" i="1"/>
  <c r="D9239" i="1"/>
  <c r="F9238" i="1"/>
  <c r="E9238" i="1"/>
  <c r="D9238" i="1"/>
  <c r="F9237" i="1"/>
  <c r="E9237" i="1"/>
  <c r="D9237" i="1"/>
  <c r="F9236" i="1"/>
  <c r="E9236" i="1"/>
  <c r="D9236" i="1"/>
  <c r="F9235" i="1"/>
  <c r="E9235" i="1"/>
  <c r="D9235" i="1"/>
  <c r="F9234" i="1"/>
  <c r="E9234" i="1"/>
  <c r="D9234" i="1"/>
  <c r="F9233" i="1"/>
  <c r="E9233" i="1"/>
  <c r="D9233" i="1"/>
  <c r="F9232" i="1"/>
  <c r="E9232" i="1"/>
  <c r="D9232" i="1"/>
  <c r="F9231" i="1"/>
  <c r="E9231" i="1"/>
  <c r="D9231" i="1"/>
  <c r="F9230" i="1"/>
  <c r="E9230" i="1"/>
  <c r="D9230" i="1"/>
  <c r="F9229" i="1"/>
  <c r="E9229" i="1"/>
  <c r="D9229" i="1"/>
  <c r="F9228" i="1"/>
  <c r="E9228" i="1"/>
  <c r="D9228" i="1"/>
  <c r="F9227" i="1"/>
  <c r="E9227" i="1"/>
  <c r="D9227" i="1"/>
  <c r="F9226" i="1"/>
  <c r="E9226" i="1"/>
  <c r="D9226" i="1"/>
  <c r="F9225" i="1"/>
  <c r="E9225" i="1"/>
  <c r="D9225" i="1"/>
  <c r="F9224" i="1"/>
  <c r="E9224" i="1"/>
  <c r="D9224" i="1"/>
  <c r="F9223" i="1"/>
  <c r="E9223" i="1"/>
  <c r="D9223" i="1"/>
  <c r="F9222" i="1"/>
  <c r="E9222" i="1"/>
  <c r="D9222" i="1"/>
  <c r="F9221" i="1"/>
  <c r="E9221" i="1"/>
  <c r="D9221" i="1"/>
  <c r="F9220" i="1"/>
  <c r="E9220" i="1"/>
  <c r="D9220" i="1"/>
  <c r="F9219" i="1"/>
  <c r="E9219" i="1"/>
  <c r="D9219" i="1"/>
  <c r="F9218" i="1"/>
  <c r="E9218" i="1"/>
  <c r="D9218" i="1"/>
  <c r="F9217" i="1"/>
  <c r="E9217" i="1"/>
  <c r="D9217" i="1"/>
  <c r="F9216" i="1"/>
  <c r="E9216" i="1"/>
  <c r="D9216" i="1"/>
  <c r="F9215" i="1"/>
  <c r="E9215" i="1"/>
  <c r="D9215" i="1"/>
  <c r="F9214" i="1"/>
  <c r="E9214" i="1"/>
  <c r="D9214" i="1"/>
  <c r="F9213" i="1"/>
  <c r="E9213" i="1"/>
  <c r="D9213" i="1"/>
  <c r="F9212" i="1"/>
  <c r="E9212" i="1"/>
  <c r="D9212" i="1"/>
  <c r="F9211" i="1"/>
  <c r="E9211" i="1"/>
  <c r="D9211" i="1"/>
  <c r="F9210" i="1"/>
  <c r="E9210" i="1"/>
  <c r="D9210" i="1"/>
  <c r="F9209" i="1"/>
  <c r="E9209" i="1"/>
  <c r="D9209" i="1"/>
  <c r="F9208" i="1"/>
  <c r="E9208" i="1"/>
  <c r="D9208" i="1"/>
  <c r="F9207" i="1"/>
  <c r="E9207" i="1"/>
  <c r="D9207" i="1"/>
  <c r="F9206" i="1"/>
  <c r="E9206" i="1"/>
  <c r="D9206" i="1"/>
  <c r="F9205" i="1"/>
  <c r="E9205" i="1"/>
  <c r="D9205" i="1"/>
  <c r="F9204" i="1"/>
  <c r="E9204" i="1"/>
  <c r="D9204" i="1"/>
  <c r="F9203" i="1"/>
  <c r="E9203" i="1"/>
  <c r="D9203" i="1"/>
  <c r="F9202" i="1"/>
  <c r="E9202" i="1"/>
  <c r="D9202" i="1"/>
  <c r="F9201" i="1"/>
  <c r="E9201" i="1"/>
  <c r="D9201" i="1"/>
  <c r="F9200" i="1"/>
  <c r="E9200" i="1"/>
  <c r="D9200" i="1"/>
  <c r="F9199" i="1"/>
  <c r="E9199" i="1"/>
  <c r="D9199" i="1"/>
  <c r="F9198" i="1"/>
  <c r="E9198" i="1"/>
  <c r="D9198" i="1"/>
  <c r="F9197" i="1"/>
  <c r="E9197" i="1"/>
  <c r="D9197" i="1"/>
  <c r="F9196" i="1"/>
  <c r="E9196" i="1"/>
  <c r="D9196" i="1"/>
  <c r="F9195" i="1"/>
  <c r="E9195" i="1"/>
  <c r="D9195" i="1"/>
  <c r="F9194" i="1"/>
  <c r="E9194" i="1"/>
  <c r="D9194" i="1"/>
  <c r="F9193" i="1"/>
  <c r="E9193" i="1"/>
  <c r="D9193" i="1"/>
  <c r="F9192" i="1"/>
  <c r="E9192" i="1"/>
  <c r="D9192" i="1"/>
  <c r="F9191" i="1"/>
  <c r="E9191" i="1"/>
  <c r="D9191" i="1"/>
  <c r="F9190" i="1"/>
  <c r="E9190" i="1"/>
  <c r="D9190" i="1"/>
  <c r="F9189" i="1"/>
  <c r="E9189" i="1"/>
  <c r="D9189" i="1"/>
  <c r="F9188" i="1"/>
  <c r="E9188" i="1"/>
  <c r="D9188" i="1"/>
  <c r="F9187" i="1"/>
  <c r="E9187" i="1"/>
  <c r="D9187" i="1"/>
  <c r="F9186" i="1"/>
  <c r="E9186" i="1"/>
  <c r="D9186" i="1"/>
  <c r="F9185" i="1"/>
  <c r="E9185" i="1"/>
  <c r="D9185" i="1"/>
  <c r="F9184" i="1"/>
  <c r="E9184" i="1"/>
  <c r="D9184" i="1"/>
  <c r="F9183" i="1"/>
  <c r="E9183" i="1"/>
  <c r="D9183" i="1"/>
  <c r="F9182" i="1"/>
  <c r="E9182" i="1"/>
  <c r="D9182" i="1"/>
  <c r="F9181" i="1"/>
  <c r="E9181" i="1"/>
  <c r="D9181" i="1"/>
  <c r="F9180" i="1"/>
  <c r="E9180" i="1"/>
  <c r="D9180" i="1"/>
  <c r="F9179" i="1"/>
  <c r="E9179" i="1"/>
  <c r="D9179" i="1"/>
  <c r="F9178" i="1"/>
  <c r="E9178" i="1"/>
  <c r="D9178" i="1"/>
  <c r="F9177" i="1"/>
  <c r="E9177" i="1"/>
  <c r="D9177" i="1"/>
  <c r="F9176" i="1"/>
  <c r="E9176" i="1"/>
  <c r="D9176" i="1"/>
  <c r="F9175" i="1"/>
  <c r="E9175" i="1"/>
  <c r="D9175" i="1"/>
  <c r="F9174" i="1"/>
  <c r="E9174" i="1"/>
  <c r="D9174" i="1"/>
  <c r="F9173" i="1"/>
  <c r="E9173" i="1"/>
  <c r="D9173" i="1"/>
  <c r="F9172" i="1"/>
  <c r="E9172" i="1"/>
  <c r="D9172" i="1"/>
  <c r="F9171" i="1"/>
  <c r="E9171" i="1"/>
  <c r="D9171" i="1"/>
  <c r="F9170" i="1"/>
  <c r="E9170" i="1"/>
  <c r="D9170" i="1"/>
  <c r="F9169" i="1"/>
  <c r="E9169" i="1"/>
  <c r="D9169" i="1"/>
  <c r="F9168" i="1"/>
  <c r="E9168" i="1"/>
  <c r="D9168" i="1"/>
  <c r="F9167" i="1"/>
  <c r="E9167" i="1"/>
  <c r="D9167" i="1"/>
  <c r="F9166" i="1"/>
  <c r="E9166" i="1"/>
  <c r="D9166" i="1"/>
  <c r="F9165" i="1"/>
  <c r="E9165" i="1"/>
  <c r="D9165" i="1"/>
  <c r="F9164" i="1"/>
  <c r="E9164" i="1"/>
  <c r="D9164" i="1"/>
  <c r="F9163" i="1"/>
  <c r="E9163" i="1"/>
  <c r="D9163" i="1"/>
  <c r="F9162" i="1"/>
  <c r="E9162" i="1"/>
  <c r="D9162" i="1"/>
  <c r="F9161" i="1"/>
  <c r="E9161" i="1"/>
  <c r="D9161" i="1"/>
  <c r="F9160" i="1"/>
  <c r="E9160" i="1"/>
  <c r="D9160" i="1"/>
  <c r="F9159" i="1"/>
  <c r="E9159" i="1"/>
  <c r="D9159" i="1"/>
  <c r="F9158" i="1"/>
  <c r="E9158" i="1"/>
  <c r="D9158" i="1"/>
  <c r="F9157" i="1"/>
  <c r="E9157" i="1"/>
  <c r="D9157" i="1"/>
  <c r="F9156" i="1"/>
  <c r="E9156" i="1"/>
  <c r="D9156" i="1"/>
  <c r="F9155" i="1"/>
  <c r="E9155" i="1"/>
  <c r="D9155" i="1"/>
  <c r="F9154" i="1"/>
  <c r="E9154" i="1"/>
  <c r="D9154" i="1"/>
  <c r="F9153" i="1"/>
  <c r="E9153" i="1"/>
  <c r="D9153" i="1"/>
  <c r="F9152" i="1"/>
  <c r="E9152" i="1"/>
  <c r="D9152" i="1"/>
  <c r="F9151" i="1"/>
  <c r="E9151" i="1"/>
  <c r="D9151" i="1"/>
  <c r="F9150" i="1"/>
  <c r="E9150" i="1"/>
  <c r="D9150" i="1"/>
  <c r="F9149" i="1"/>
  <c r="E9149" i="1"/>
  <c r="D9149" i="1"/>
  <c r="F9148" i="1"/>
  <c r="E9148" i="1"/>
  <c r="D9148" i="1"/>
  <c r="F9147" i="1"/>
  <c r="E9147" i="1"/>
  <c r="D9147" i="1"/>
  <c r="F9146" i="1"/>
  <c r="E9146" i="1"/>
  <c r="D9146" i="1"/>
  <c r="F9145" i="1"/>
  <c r="E9145" i="1"/>
  <c r="D9145" i="1"/>
  <c r="F9144" i="1"/>
  <c r="E9144" i="1"/>
  <c r="D9144" i="1"/>
  <c r="F9143" i="1"/>
  <c r="E9143" i="1"/>
  <c r="D9143" i="1"/>
  <c r="F9142" i="1"/>
  <c r="E9142" i="1"/>
  <c r="D9142" i="1"/>
  <c r="F9141" i="1"/>
  <c r="E9141" i="1"/>
  <c r="D9141" i="1"/>
  <c r="F9140" i="1"/>
  <c r="E9140" i="1"/>
  <c r="D9140" i="1"/>
  <c r="F9139" i="1"/>
  <c r="E9139" i="1"/>
  <c r="D9139" i="1"/>
  <c r="F9138" i="1"/>
  <c r="E9138" i="1"/>
  <c r="D9138" i="1"/>
  <c r="F9137" i="1"/>
  <c r="E9137" i="1"/>
  <c r="D9137" i="1"/>
  <c r="F9136" i="1"/>
  <c r="E9136" i="1"/>
  <c r="D9136" i="1"/>
  <c r="F9135" i="1"/>
  <c r="E9135" i="1"/>
  <c r="D9135" i="1"/>
  <c r="F9134" i="1"/>
  <c r="E9134" i="1"/>
  <c r="D9134" i="1"/>
  <c r="F9133" i="1"/>
  <c r="E9133" i="1"/>
  <c r="D9133" i="1"/>
  <c r="F9132" i="1"/>
  <c r="E9132" i="1"/>
  <c r="D9132" i="1"/>
  <c r="F9131" i="1"/>
  <c r="E9131" i="1"/>
  <c r="D9131" i="1"/>
  <c r="F9130" i="1"/>
  <c r="E9130" i="1"/>
  <c r="D9130" i="1"/>
  <c r="F9129" i="1"/>
  <c r="E9129" i="1"/>
  <c r="D9129" i="1"/>
  <c r="F9128" i="1"/>
  <c r="E9128" i="1"/>
  <c r="D9128" i="1"/>
  <c r="F9127" i="1"/>
  <c r="E9127" i="1"/>
  <c r="D9127" i="1"/>
  <c r="F9126" i="1"/>
  <c r="E9126" i="1"/>
  <c r="D9126" i="1"/>
  <c r="F9125" i="1"/>
  <c r="E9125" i="1"/>
  <c r="D9125" i="1"/>
  <c r="F9124" i="1"/>
  <c r="E9124" i="1"/>
  <c r="D9124" i="1"/>
  <c r="F9123" i="1"/>
  <c r="E9123" i="1"/>
  <c r="D9123" i="1"/>
  <c r="F9122" i="1"/>
  <c r="E9122" i="1"/>
  <c r="D9122" i="1"/>
  <c r="F9121" i="1"/>
  <c r="E9121" i="1"/>
  <c r="D9121" i="1"/>
  <c r="F9120" i="1"/>
  <c r="E9120" i="1"/>
  <c r="D9120" i="1"/>
  <c r="F9119" i="1"/>
  <c r="E9119" i="1"/>
  <c r="D9119" i="1"/>
  <c r="F9118" i="1"/>
  <c r="E9118" i="1"/>
  <c r="D9118" i="1"/>
  <c r="F9117" i="1"/>
  <c r="E9117" i="1"/>
  <c r="D9117" i="1"/>
  <c r="F9116" i="1"/>
  <c r="E9116" i="1"/>
  <c r="D9116" i="1"/>
  <c r="F9115" i="1"/>
  <c r="E9115" i="1"/>
  <c r="D9115" i="1"/>
  <c r="F9114" i="1"/>
  <c r="E9114" i="1"/>
  <c r="D9114" i="1"/>
  <c r="F9113" i="1"/>
  <c r="E9113" i="1"/>
  <c r="D9113" i="1"/>
  <c r="F9112" i="1"/>
  <c r="E9112" i="1"/>
  <c r="D9112" i="1"/>
  <c r="F9111" i="1"/>
  <c r="E9111" i="1"/>
  <c r="D9111" i="1"/>
  <c r="F9110" i="1"/>
  <c r="E9110" i="1"/>
  <c r="D9110" i="1"/>
  <c r="F9109" i="1"/>
  <c r="E9109" i="1"/>
  <c r="D9109" i="1"/>
  <c r="F9108" i="1"/>
  <c r="E9108" i="1"/>
  <c r="D9108" i="1"/>
  <c r="F9107" i="1"/>
  <c r="E9107" i="1"/>
  <c r="D9107" i="1"/>
  <c r="F9106" i="1"/>
  <c r="E9106" i="1"/>
  <c r="D9106" i="1"/>
  <c r="F9105" i="1"/>
  <c r="E9105" i="1"/>
  <c r="D9105" i="1"/>
  <c r="F9104" i="1"/>
  <c r="E9104" i="1"/>
  <c r="D9104" i="1"/>
  <c r="F9103" i="1"/>
  <c r="E9103" i="1"/>
  <c r="D9103" i="1"/>
  <c r="F9102" i="1"/>
  <c r="E9102" i="1"/>
  <c r="D9102" i="1"/>
  <c r="F9101" i="1"/>
  <c r="E9101" i="1"/>
  <c r="D9101" i="1"/>
  <c r="F9100" i="1"/>
  <c r="E9100" i="1"/>
  <c r="D9100" i="1"/>
  <c r="F9099" i="1"/>
  <c r="E9099" i="1"/>
  <c r="D9099" i="1"/>
  <c r="F9098" i="1"/>
  <c r="E9098" i="1"/>
  <c r="D9098" i="1"/>
  <c r="F9097" i="1"/>
  <c r="E9097" i="1"/>
  <c r="D9097" i="1"/>
  <c r="F9096" i="1"/>
  <c r="E9096" i="1"/>
  <c r="D9096" i="1"/>
  <c r="F9095" i="1"/>
  <c r="E9095" i="1"/>
  <c r="D9095" i="1"/>
  <c r="F9094" i="1"/>
  <c r="E9094" i="1"/>
  <c r="D9094" i="1"/>
  <c r="F9093" i="1"/>
  <c r="E9093" i="1"/>
  <c r="D9093" i="1"/>
  <c r="F9092" i="1"/>
  <c r="E9092" i="1"/>
  <c r="D9092" i="1"/>
  <c r="F9091" i="1"/>
  <c r="E9091" i="1"/>
  <c r="D9091" i="1"/>
  <c r="F9090" i="1"/>
  <c r="E9090" i="1"/>
  <c r="D9090" i="1"/>
  <c r="F9089" i="1"/>
  <c r="E9089" i="1"/>
  <c r="D9089" i="1"/>
  <c r="F9088" i="1"/>
  <c r="E9088" i="1"/>
  <c r="D9088" i="1"/>
  <c r="F9087" i="1"/>
  <c r="E9087" i="1"/>
  <c r="D9087" i="1"/>
  <c r="F9086" i="1"/>
  <c r="E9086" i="1"/>
  <c r="D9086" i="1"/>
  <c r="F9085" i="1"/>
  <c r="E9085" i="1"/>
  <c r="D9085" i="1"/>
  <c r="F9084" i="1"/>
  <c r="E9084" i="1"/>
  <c r="D9084" i="1"/>
  <c r="F9083" i="1"/>
  <c r="E9083" i="1"/>
  <c r="D9083" i="1"/>
  <c r="F9082" i="1"/>
  <c r="E9082" i="1"/>
  <c r="D9082" i="1"/>
  <c r="F9081" i="1"/>
  <c r="E9081" i="1"/>
  <c r="D9081" i="1"/>
  <c r="F9080" i="1"/>
  <c r="E9080" i="1"/>
  <c r="D9080" i="1"/>
  <c r="F9079" i="1"/>
  <c r="E9079" i="1"/>
  <c r="D9079" i="1"/>
  <c r="F9078" i="1"/>
  <c r="E9078" i="1"/>
  <c r="D9078" i="1"/>
  <c r="F9077" i="1"/>
  <c r="E9077" i="1"/>
  <c r="D9077" i="1"/>
  <c r="F9076" i="1"/>
  <c r="E9076" i="1"/>
  <c r="D9076" i="1"/>
  <c r="F9075" i="1"/>
  <c r="E9075" i="1"/>
  <c r="D9075" i="1"/>
  <c r="F9074" i="1"/>
  <c r="E9074" i="1"/>
  <c r="D9074" i="1"/>
  <c r="F9073" i="1"/>
  <c r="E9073" i="1"/>
  <c r="D9073" i="1"/>
  <c r="F9072" i="1"/>
  <c r="E9072" i="1"/>
  <c r="D9072" i="1"/>
  <c r="F9071" i="1"/>
  <c r="E9071" i="1"/>
  <c r="D9071" i="1"/>
  <c r="F9070" i="1"/>
  <c r="E9070" i="1"/>
  <c r="D9070" i="1"/>
  <c r="F9069" i="1"/>
  <c r="E9069" i="1"/>
  <c r="D9069" i="1"/>
  <c r="F9068" i="1"/>
  <c r="E9068" i="1"/>
  <c r="D9068" i="1"/>
  <c r="F9067" i="1"/>
  <c r="E9067" i="1"/>
  <c r="D9067" i="1"/>
  <c r="F9066" i="1"/>
  <c r="E9066" i="1"/>
  <c r="D9066" i="1"/>
  <c r="F9065" i="1"/>
  <c r="E9065" i="1"/>
  <c r="D9065" i="1"/>
  <c r="F9064" i="1"/>
  <c r="E9064" i="1"/>
  <c r="D9064" i="1"/>
  <c r="F9063" i="1"/>
  <c r="E9063" i="1"/>
  <c r="D9063" i="1"/>
  <c r="F9062" i="1"/>
  <c r="E9062" i="1"/>
  <c r="D9062" i="1"/>
  <c r="F9061" i="1"/>
  <c r="E9061" i="1"/>
  <c r="D9061" i="1"/>
  <c r="F9060" i="1"/>
  <c r="E9060" i="1"/>
  <c r="D9060" i="1"/>
  <c r="F9059" i="1"/>
  <c r="E9059" i="1"/>
  <c r="D9059" i="1"/>
  <c r="F9058" i="1"/>
  <c r="E9058" i="1"/>
  <c r="D9058" i="1"/>
  <c r="F9057" i="1"/>
  <c r="E9057" i="1"/>
  <c r="D9057" i="1"/>
  <c r="F9056" i="1"/>
  <c r="E9056" i="1"/>
  <c r="D9056" i="1"/>
  <c r="F9055" i="1"/>
  <c r="E9055" i="1"/>
  <c r="D9055" i="1"/>
  <c r="F9054" i="1"/>
  <c r="E9054" i="1"/>
  <c r="D9054" i="1"/>
  <c r="F9053" i="1"/>
  <c r="E9053" i="1"/>
  <c r="D9053" i="1"/>
  <c r="F9052" i="1"/>
  <c r="E9052" i="1"/>
  <c r="D9052" i="1"/>
  <c r="F9051" i="1"/>
  <c r="E9051" i="1"/>
  <c r="D9051" i="1"/>
  <c r="F9050" i="1"/>
  <c r="E9050" i="1"/>
  <c r="D9050" i="1"/>
  <c r="F9049" i="1"/>
  <c r="E9049" i="1"/>
  <c r="D9049" i="1"/>
  <c r="F9048" i="1"/>
  <c r="E9048" i="1"/>
  <c r="D9048" i="1"/>
  <c r="F9047" i="1"/>
  <c r="E9047" i="1"/>
  <c r="D9047" i="1"/>
  <c r="F9046" i="1"/>
  <c r="E9046" i="1"/>
  <c r="D9046" i="1"/>
  <c r="F9045" i="1"/>
  <c r="E9045" i="1"/>
  <c r="D9045" i="1"/>
  <c r="F9044" i="1"/>
  <c r="E9044" i="1"/>
  <c r="D9044" i="1"/>
  <c r="F9043" i="1"/>
  <c r="E9043" i="1"/>
  <c r="D9043" i="1"/>
  <c r="F9042" i="1"/>
  <c r="E9042" i="1"/>
  <c r="D9042" i="1"/>
  <c r="F9041" i="1"/>
  <c r="E9041" i="1"/>
  <c r="D9041" i="1"/>
  <c r="F9040" i="1"/>
  <c r="E9040" i="1"/>
  <c r="D9040" i="1"/>
  <c r="F9039" i="1"/>
  <c r="E9039" i="1"/>
  <c r="D9039" i="1"/>
  <c r="F9038" i="1"/>
  <c r="E9038" i="1"/>
  <c r="D9038" i="1"/>
  <c r="F9037" i="1"/>
  <c r="E9037" i="1"/>
  <c r="D9037" i="1"/>
  <c r="F9036" i="1"/>
  <c r="E9036" i="1"/>
  <c r="D9036" i="1"/>
  <c r="F9035" i="1"/>
  <c r="E9035" i="1"/>
  <c r="D9035" i="1"/>
  <c r="F9034" i="1"/>
  <c r="E9034" i="1"/>
  <c r="D9034" i="1"/>
  <c r="F9033" i="1"/>
  <c r="E9033" i="1"/>
  <c r="D9033" i="1"/>
  <c r="F9032" i="1"/>
  <c r="E9032" i="1"/>
  <c r="D9032" i="1"/>
  <c r="F9031" i="1"/>
  <c r="E9031" i="1"/>
  <c r="D9031" i="1"/>
  <c r="F9030" i="1"/>
  <c r="E9030" i="1"/>
  <c r="D9030" i="1"/>
  <c r="F9029" i="1"/>
  <c r="E9029" i="1"/>
  <c r="D9029" i="1"/>
  <c r="F9028" i="1"/>
  <c r="E9028" i="1"/>
  <c r="D9028" i="1"/>
  <c r="F9027" i="1"/>
  <c r="E9027" i="1"/>
  <c r="D9027" i="1"/>
  <c r="F9026" i="1"/>
  <c r="E9026" i="1"/>
  <c r="D9026" i="1"/>
  <c r="F9025" i="1"/>
  <c r="E9025" i="1"/>
  <c r="D9025" i="1"/>
  <c r="F9024" i="1"/>
  <c r="E9024" i="1"/>
  <c r="D9024" i="1"/>
  <c r="F9023" i="1"/>
  <c r="E9023" i="1"/>
  <c r="D9023" i="1"/>
  <c r="F9022" i="1"/>
  <c r="E9022" i="1"/>
  <c r="D9022" i="1"/>
  <c r="F9021" i="1"/>
  <c r="E9021" i="1"/>
  <c r="D9021" i="1"/>
  <c r="F9020" i="1"/>
  <c r="E9020" i="1"/>
  <c r="D9020" i="1"/>
  <c r="F9019" i="1"/>
  <c r="E9019" i="1"/>
  <c r="D9019" i="1"/>
  <c r="F9018" i="1"/>
  <c r="E9018" i="1"/>
  <c r="D9018" i="1"/>
  <c r="F9017" i="1"/>
  <c r="E9017" i="1"/>
  <c r="D9017" i="1"/>
  <c r="F9016" i="1"/>
  <c r="E9016" i="1"/>
  <c r="D9016" i="1"/>
  <c r="F9015" i="1"/>
  <c r="E9015" i="1"/>
  <c r="D9015" i="1"/>
  <c r="F9014" i="1"/>
  <c r="E9014" i="1"/>
  <c r="D9014" i="1"/>
  <c r="F9013" i="1"/>
  <c r="E9013" i="1"/>
  <c r="D9013" i="1"/>
  <c r="F9012" i="1"/>
  <c r="E9012" i="1"/>
  <c r="D9012" i="1"/>
  <c r="F9011" i="1"/>
  <c r="E9011" i="1"/>
  <c r="D9011" i="1"/>
  <c r="F9010" i="1"/>
  <c r="E9010" i="1"/>
  <c r="D9010" i="1"/>
  <c r="F9009" i="1"/>
  <c r="E9009" i="1"/>
  <c r="D9009" i="1"/>
  <c r="F9008" i="1"/>
  <c r="E9008" i="1"/>
  <c r="D9008" i="1"/>
  <c r="F9007" i="1"/>
  <c r="E9007" i="1"/>
  <c r="D9007" i="1"/>
  <c r="F9006" i="1"/>
  <c r="E9006" i="1"/>
  <c r="D9006" i="1"/>
  <c r="F9005" i="1"/>
  <c r="E9005" i="1"/>
  <c r="D9005" i="1"/>
  <c r="F9004" i="1"/>
  <c r="E9004" i="1"/>
  <c r="D9004" i="1"/>
  <c r="F9003" i="1"/>
  <c r="E9003" i="1"/>
  <c r="D9003" i="1"/>
  <c r="F9002" i="1"/>
  <c r="E9002" i="1"/>
  <c r="D9002" i="1"/>
  <c r="F9001" i="1"/>
  <c r="E9001" i="1"/>
  <c r="D9001" i="1"/>
  <c r="F9000" i="1"/>
  <c r="E9000" i="1"/>
  <c r="D9000" i="1"/>
  <c r="F8999" i="1"/>
  <c r="E8999" i="1"/>
  <c r="D8999" i="1"/>
  <c r="F8998" i="1"/>
  <c r="E8998" i="1"/>
  <c r="D8998" i="1"/>
  <c r="F8997" i="1"/>
  <c r="E8997" i="1"/>
  <c r="D8997" i="1"/>
  <c r="F8996" i="1"/>
  <c r="E8996" i="1"/>
  <c r="D8996" i="1"/>
  <c r="F8995" i="1"/>
  <c r="E8995" i="1"/>
  <c r="D8995" i="1"/>
  <c r="F8994" i="1"/>
  <c r="E8994" i="1"/>
  <c r="D8994" i="1"/>
  <c r="F8993" i="1"/>
  <c r="E8993" i="1"/>
  <c r="D8993" i="1"/>
  <c r="F8992" i="1"/>
  <c r="E8992" i="1"/>
  <c r="D8992" i="1"/>
  <c r="F8991" i="1"/>
  <c r="E8991" i="1"/>
  <c r="D8991" i="1"/>
  <c r="F8990" i="1"/>
  <c r="E8990" i="1"/>
  <c r="D8990" i="1"/>
  <c r="F8989" i="1"/>
  <c r="E8989" i="1"/>
  <c r="D8989" i="1"/>
  <c r="F8988" i="1"/>
  <c r="E8988" i="1"/>
  <c r="D8988" i="1"/>
  <c r="F8987" i="1"/>
  <c r="E8987" i="1"/>
  <c r="D8987" i="1"/>
  <c r="F8986" i="1"/>
  <c r="E8986" i="1"/>
  <c r="D8986" i="1"/>
  <c r="F8985" i="1"/>
  <c r="E8985" i="1"/>
  <c r="D8985" i="1"/>
  <c r="F8984" i="1"/>
  <c r="E8984" i="1"/>
  <c r="D8984" i="1"/>
  <c r="F8983" i="1"/>
  <c r="E8983" i="1"/>
  <c r="D8983" i="1"/>
  <c r="F8982" i="1"/>
  <c r="E8982" i="1"/>
  <c r="D8982" i="1"/>
  <c r="F8981" i="1"/>
  <c r="E8981" i="1"/>
  <c r="D8981" i="1"/>
  <c r="F8980" i="1"/>
  <c r="E8980" i="1"/>
  <c r="D8980" i="1"/>
  <c r="F8979" i="1"/>
  <c r="E8979" i="1"/>
  <c r="D8979" i="1"/>
  <c r="F8978" i="1"/>
  <c r="E8978" i="1"/>
  <c r="D8978" i="1"/>
  <c r="F8977" i="1"/>
  <c r="E8977" i="1"/>
  <c r="D8977" i="1"/>
  <c r="F8976" i="1"/>
  <c r="E8976" i="1"/>
  <c r="D8976" i="1"/>
  <c r="F8975" i="1"/>
  <c r="E8975" i="1"/>
  <c r="D8975" i="1"/>
  <c r="F8974" i="1"/>
  <c r="E8974" i="1"/>
  <c r="D8974" i="1"/>
  <c r="F8973" i="1"/>
  <c r="E8973" i="1"/>
  <c r="D8973" i="1"/>
  <c r="F8972" i="1"/>
  <c r="E8972" i="1"/>
  <c r="D8972" i="1"/>
  <c r="F8971" i="1"/>
  <c r="E8971" i="1"/>
  <c r="D8971" i="1"/>
  <c r="F8970" i="1"/>
  <c r="E8970" i="1"/>
  <c r="D8970" i="1"/>
  <c r="F8969" i="1"/>
  <c r="E8969" i="1"/>
  <c r="D8969" i="1"/>
  <c r="F8968" i="1"/>
  <c r="E8968" i="1"/>
  <c r="D8968" i="1"/>
  <c r="F8967" i="1"/>
  <c r="E8967" i="1"/>
  <c r="D8967" i="1"/>
  <c r="F8966" i="1"/>
  <c r="E8966" i="1"/>
  <c r="D8966" i="1"/>
  <c r="F8965" i="1"/>
  <c r="E8965" i="1"/>
  <c r="D8965" i="1"/>
  <c r="F8964" i="1"/>
  <c r="E8964" i="1"/>
  <c r="D8964" i="1"/>
  <c r="F8963" i="1"/>
  <c r="E8963" i="1"/>
  <c r="D8963" i="1"/>
  <c r="F8962" i="1"/>
  <c r="E8962" i="1"/>
  <c r="D8962" i="1"/>
  <c r="F8961" i="1"/>
  <c r="E8961" i="1"/>
  <c r="D8961" i="1"/>
  <c r="F8960" i="1"/>
  <c r="E8960" i="1"/>
  <c r="D8960" i="1"/>
  <c r="F8959" i="1"/>
  <c r="E8959" i="1"/>
  <c r="D8959" i="1"/>
  <c r="F8958" i="1"/>
  <c r="E8958" i="1"/>
  <c r="D8958" i="1"/>
  <c r="F8957" i="1"/>
  <c r="E8957" i="1"/>
  <c r="D8957" i="1"/>
  <c r="F8956" i="1"/>
  <c r="E8956" i="1"/>
  <c r="D8956" i="1"/>
  <c r="F8955" i="1"/>
  <c r="E8955" i="1"/>
  <c r="D8955" i="1"/>
  <c r="F8954" i="1"/>
  <c r="E8954" i="1"/>
  <c r="D8954" i="1"/>
  <c r="F8953" i="1"/>
  <c r="E8953" i="1"/>
  <c r="D8953" i="1"/>
  <c r="F8952" i="1"/>
  <c r="E8952" i="1"/>
  <c r="D8952" i="1"/>
  <c r="F8951" i="1"/>
  <c r="E8951" i="1"/>
  <c r="D8951" i="1"/>
  <c r="F8950" i="1"/>
  <c r="E8950" i="1"/>
  <c r="D8950" i="1"/>
  <c r="F8949" i="1"/>
  <c r="E8949" i="1"/>
  <c r="D8949" i="1"/>
  <c r="F8948" i="1"/>
  <c r="E8948" i="1"/>
  <c r="D8948" i="1"/>
  <c r="F8947" i="1"/>
  <c r="E8947" i="1"/>
  <c r="D8947" i="1"/>
  <c r="F8946" i="1"/>
  <c r="E8946" i="1"/>
  <c r="D8946" i="1"/>
  <c r="F8945" i="1"/>
  <c r="E8945" i="1"/>
  <c r="D8945" i="1"/>
  <c r="F8944" i="1"/>
  <c r="E8944" i="1"/>
  <c r="D8944" i="1"/>
  <c r="F8943" i="1"/>
  <c r="E8943" i="1"/>
  <c r="D8943" i="1"/>
  <c r="F8942" i="1"/>
  <c r="E8942" i="1"/>
  <c r="D8942" i="1"/>
  <c r="F8941" i="1"/>
  <c r="E8941" i="1"/>
  <c r="D8941" i="1"/>
  <c r="F8940" i="1"/>
  <c r="E8940" i="1"/>
  <c r="D8940" i="1"/>
  <c r="F8939" i="1"/>
  <c r="E8939" i="1"/>
  <c r="D8939" i="1"/>
  <c r="F8938" i="1"/>
  <c r="E8938" i="1"/>
  <c r="D8938" i="1"/>
  <c r="F8937" i="1"/>
  <c r="E8937" i="1"/>
  <c r="D8937" i="1"/>
  <c r="F8936" i="1"/>
  <c r="E8936" i="1"/>
  <c r="D8936" i="1"/>
  <c r="F8935" i="1"/>
  <c r="E8935" i="1"/>
  <c r="D8935" i="1"/>
  <c r="F8934" i="1"/>
  <c r="E8934" i="1"/>
  <c r="D8934" i="1"/>
  <c r="F8933" i="1"/>
  <c r="E8933" i="1"/>
  <c r="D8933" i="1"/>
  <c r="F8932" i="1"/>
  <c r="E8932" i="1"/>
  <c r="D8932" i="1"/>
  <c r="F8931" i="1"/>
  <c r="E8931" i="1"/>
  <c r="D8931" i="1"/>
  <c r="F8930" i="1"/>
  <c r="E8930" i="1"/>
  <c r="D8930" i="1"/>
  <c r="F8929" i="1"/>
  <c r="E8929" i="1"/>
  <c r="D8929" i="1"/>
  <c r="F8928" i="1"/>
  <c r="E8928" i="1"/>
  <c r="D8928" i="1"/>
  <c r="F8927" i="1"/>
  <c r="E8927" i="1"/>
  <c r="D8927" i="1"/>
  <c r="F8926" i="1"/>
  <c r="E8926" i="1"/>
  <c r="D8926" i="1"/>
  <c r="F8925" i="1"/>
  <c r="E8925" i="1"/>
  <c r="D8925" i="1"/>
  <c r="F8924" i="1"/>
  <c r="E8924" i="1"/>
  <c r="D8924" i="1"/>
  <c r="F8923" i="1"/>
  <c r="E8923" i="1"/>
  <c r="D8923" i="1"/>
  <c r="F8922" i="1"/>
  <c r="E8922" i="1"/>
  <c r="D8922" i="1"/>
  <c r="F8921" i="1"/>
  <c r="E8921" i="1"/>
  <c r="D8921" i="1"/>
  <c r="F8920" i="1"/>
  <c r="E8920" i="1"/>
  <c r="D8920" i="1"/>
  <c r="F8919" i="1"/>
  <c r="E8919" i="1"/>
  <c r="D8919" i="1"/>
  <c r="F8918" i="1"/>
  <c r="E8918" i="1"/>
  <c r="D8918" i="1"/>
  <c r="F8917" i="1"/>
  <c r="E8917" i="1"/>
  <c r="D8917" i="1"/>
  <c r="F8916" i="1"/>
  <c r="E8916" i="1"/>
  <c r="D8916" i="1"/>
  <c r="F8915" i="1"/>
  <c r="E8915" i="1"/>
  <c r="D8915" i="1"/>
  <c r="F8914" i="1"/>
  <c r="E8914" i="1"/>
  <c r="D8914" i="1"/>
  <c r="F8913" i="1"/>
  <c r="E8913" i="1"/>
  <c r="D8913" i="1"/>
  <c r="F8912" i="1"/>
  <c r="E8912" i="1"/>
  <c r="D8912" i="1"/>
  <c r="F8911" i="1"/>
  <c r="E8911" i="1"/>
  <c r="D8911" i="1"/>
  <c r="F8910" i="1"/>
  <c r="E8910" i="1"/>
  <c r="D8910" i="1"/>
  <c r="F8909" i="1"/>
  <c r="E8909" i="1"/>
  <c r="D8909" i="1"/>
  <c r="F8908" i="1"/>
  <c r="E8908" i="1"/>
  <c r="D8908" i="1"/>
  <c r="F8907" i="1"/>
  <c r="E8907" i="1"/>
  <c r="D8907" i="1"/>
  <c r="F8906" i="1"/>
  <c r="E8906" i="1"/>
  <c r="D8906" i="1"/>
  <c r="F8905" i="1"/>
  <c r="E8905" i="1"/>
  <c r="D8905" i="1"/>
  <c r="F8904" i="1"/>
  <c r="E8904" i="1"/>
  <c r="D8904" i="1"/>
  <c r="F8903" i="1"/>
  <c r="E8903" i="1"/>
  <c r="D8903" i="1"/>
  <c r="F8902" i="1"/>
  <c r="E8902" i="1"/>
  <c r="D8902" i="1"/>
  <c r="F8901" i="1"/>
  <c r="E8901" i="1"/>
  <c r="D8901" i="1"/>
  <c r="F8900" i="1"/>
  <c r="E8900" i="1"/>
  <c r="D8900" i="1"/>
  <c r="F8899" i="1"/>
  <c r="E8899" i="1"/>
  <c r="D8899" i="1"/>
  <c r="F8898" i="1"/>
  <c r="E8898" i="1"/>
  <c r="D8898" i="1"/>
  <c r="F8897" i="1"/>
  <c r="E8897" i="1"/>
  <c r="D8897" i="1"/>
  <c r="F8896" i="1"/>
  <c r="E8896" i="1"/>
  <c r="D8896" i="1"/>
  <c r="F8895" i="1"/>
  <c r="E8895" i="1"/>
  <c r="D8895" i="1"/>
  <c r="F8894" i="1"/>
  <c r="E8894" i="1"/>
  <c r="D8894" i="1"/>
  <c r="F8893" i="1"/>
  <c r="E8893" i="1"/>
  <c r="D8893" i="1"/>
  <c r="F8892" i="1"/>
  <c r="E8892" i="1"/>
  <c r="D8892" i="1"/>
  <c r="F8891" i="1"/>
  <c r="E8891" i="1"/>
  <c r="D8891" i="1"/>
  <c r="F8890" i="1"/>
  <c r="E8890" i="1"/>
  <c r="D8890" i="1"/>
  <c r="F8889" i="1"/>
  <c r="E8889" i="1"/>
  <c r="D8889" i="1"/>
  <c r="F8888" i="1"/>
  <c r="E8888" i="1"/>
  <c r="D8888" i="1"/>
  <c r="F8887" i="1"/>
  <c r="E8887" i="1"/>
  <c r="D8887" i="1"/>
  <c r="F8886" i="1"/>
  <c r="E8886" i="1"/>
  <c r="D8886" i="1"/>
  <c r="F8885" i="1"/>
  <c r="E8885" i="1"/>
  <c r="D8885" i="1"/>
  <c r="F8884" i="1"/>
  <c r="E8884" i="1"/>
  <c r="D8884" i="1"/>
  <c r="F8883" i="1"/>
  <c r="E8883" i="1"/>
  <c r="D8883" i="1"/>
  <c r="F8882" i="1"/>
  <c r="E8882" i="1"/>
  <c r="D8882" i="1"/>
  <c r="F8881" i="1"/>
  <c r="E8881" i="1"/>
  <c r="D8881" i="1"/>
  <c r="F8880" i="1"/>
  <c r="E8880" i="1"/>
  <c r="D8880" i="1"/>
  <c r="F8879" i="1"/>
  <c r="E8879" i="1"/>
  <c r="D8879" i="1"/>
  <c r="F8878" i="1"/>
  <c r="E8878" i="1"/>
  <c r="D8878" i="1"/>
  <c r="F8877" i="1"/>
  <c r="E8877" i="1"/>
  <c r="D8877" i="1"/>
  <c r="F8876" i="1"/>
  <c r="E8876" i="1"/>
  <c r="D8876" i="1"/>
  <c r="F8875" i="1"/>
  <c r="E8875" i="1"/>
  <c r="D8875" i="1"/>
  <c r="F8874" i="1"/>
  <c r="E8874" i="1"/>
  <c r="D8874" i="1"/>
  <c r="F8873" i="1"/>
  <c r="E8873" i="1"/>
  <c r="D8873" i="1"/>
  <c r="F8872" i="1"/>
  <c r="E8872" i="1"/>
  <c r="D8872" i="1"/>
  <c r="F8871" i="1"/>
  <c r="E8871" i="1"/>
  <c r="D8871" i="1"/>
  <c r="F8870" i="1"/>
  <c r="E8870" i="1"/>
  <c r="D8870" i="1"/>
  <c r="F8869" i="1"/>
  <c r="E8869" i="1"/>
  <c r="D8869" i="1"/>
  <c r="F8868" i="1"/>
  <c r="E8868" i="1"/>
  <c r="D8868" i="1"/>
  <c r="F8867" i="1"/>
  <c r="E8867" i="1"/>
  <c r="D8867" i="1"/>
  <c r="F8866" i="1"/>
  <c r="E8866" i="1"/>
  <c r="D8866" i="1"/>
  <c r="F8865" i="1"/>
  <c r="E8865" i="1"/>
  <c r="D8865" i="1"/>
  <c r="F8864" i="1"/>
  <c r="E8864" i="1"/>
  <c r="D8864" i="1"/>
  <c r="F8863" i="1"/>
  <c r="E8863" i="1"/>
  <c r="D8863" i="1"/>
  <c r="F8862" i="1"/>
  <c r="E8862" i="1"/>
  <c r="D8862" i="1"/>
  <c r="F8861" i="1"/>
  <c r="E8861" i="1"/>
  <c r="D8861" i="1"/>
  <c r="F8860" i="1"/>
  <c r="E8860" i="1"/>
  <c r="D8860" i="1"/>
  <c r="F8859" i="1"/>
  <c r="E8859" i="1"/>
  <c r="D8859" i="1"/>
  <c r="F8858" i="1"/>
  <c r="E8858" i="1"/>
  <c r="D8858" i="1"/>
  <c r="F8857" i="1"/>
  <c r="E8857" i="1"/>
  <c r="D8857" i="1"/>
  <c r="F8856" i="1"/>
  <c r="E8856" i="1"/>
  <c r="D8856" i="1"/>
  <c r="F8855" i="1"/>
  <c r="E8855" i="1"/>
  <c r="D8855" i="1"/>
  <c r="F8854" i="1"/>
  <c r="E8854" i="1"/>
  <c r="D8854" i="1"/>
  <c r="F8853" i="1"/>
  <c r="E8853" i="1"/>
  <c r="D8853" i="1"/>
  <c r="F8852" i="1"/>
  <c r="E8852" i="1"/>
  <c r="D8852" i="1"/>
  <c r="F8851" i="1"/>
  <c r="E8851" i="1"/>
  <c r="D8851" i="1"/>
  <c r="F8850" i="1"/>
  <c r="E8850" i="1"/>
  <c r="D8850" i="1"/>
  <c r="F8849" i="1"/>
  <c r="E8849" i="1"/>
  <c r="D8849" i="1"/>
  <c r="F8848" i="1"/>
  <c r="E8848" i="1"/>
  <c r="D8848" i="1"/>
  <c r="F8847" i="1"/>
  <c r="E8847" i="1"/>
  <c r="D8847" i="1"/>
  <c r="F8846" i="1"/>
  <c r="E8846" i="1"/>
  <c r="D8846" i="1"/>
  <c r="F8845" i="1"/>
  <c r="E8845" i="1"/>
  <c r="D8845" i="1"/>
  <c r="F8844" i="1"/>
  <c r="E8844" i="1"/>
  <c r="D8844" i="1"/>
  <c r="F8843" i="1"/>
  <c r="E8843" i="1"/>
  <c r="D8843" i="1"/>
  <c r="F8842" i="1"/>
  <c r="E8842" i="1"/>
  <c r="D8842" i="1"/>
  <c r="F8841" i="1"/>
  <c r="E8841" i="1"/>
  <c r="D8841" i="1"/>
  <c r="F8840" i="1"/>
  <c r="E8840" i="1"/>
  <c r="D8840" i="1"/>
  <c r="F8839" i="1"/>
  <c r="E8839" i="1"/>
  <c r="D8839" i="1"/>
  <c r="F8838" i="1"/>
  <c r="E8838" i="1"/>
  <c r="D8838" i="1"/>
  <c r="F8837" i="1"/>
  <c r="E8837" i="1"/>
  <c r="D8837" i="1"/>
  <c r="F8836" i="1"/>
  <c r="E8836" i="1"/>
  <c r="D8836" i="1"/>
  <c r="F8835" i="1"/>
  <c r="E8835" i="1"/>
  <c r="D8835" i="1"/>
  <c r="F8834" i="1"/>
  <c r="E8834" i="1"/>
  <c r="D8834" i="1"/>
  <c r="F8833" i="1"/>
  <c r="E8833" i="1"/>
  <c r="D8833" i="1"/>
  <c r="F8832" i="1"/>
  <c r="E8832" i="1"/>
  <c r="D8832" i="1"/>
  <c r="F8831" i="1"/>
  <c r="E8831" i="1"/>
  <c r="D8831" i="1"/>
  <c r="F8830" i="1"/>
  <c r="E8830" i="1"/>
  <c r="D8830" i="1"/>
  <c r="F8829" i="1"/>
  <c r="E8829" i="1"/>
  <c r="D8829" i="1"/>
  <c r="F8828" i="1"/>
  <c r="E8828" i="1"/>
  <c r="D8828" i="1"/>
  <c r="F8827" i="1"/>
  <c r="E8827" i="1"/>
  <c r="D8827" i="1"/>
  <c r="F8826" i="1"/>
  <c r="E8826" i="1"/>
  <c r="D8826" i="1"/>
  <c r="F8825" i="1"/>
  <c r="E8825" i="1"/>
  <c r="D8825" i="1"/>
  <c r="F8824" i="1"/>
  <c r="E8824" i="1"/>
  <c r="D8824" i="1"/>
  <c r="F8823" i="1"/>
  <c r="E8823" i="1"/>
  <c r="D8823" i="1"/>
  <c r="F8822" i="1"/>
  <c r="E8822" i="1"/>
  <c r="D8822" i="1"/>
  <c r="F8821" i="1"/>
  <c r="E8821" i="1"/>
  <c r="D8821" i="1"/>
  <c r="F8820" i="1"/>
  <c r="E8820" i="1"/>
  <c r="D8820" i="1"/>
  <c r="F8819" i="1"/>
  <c r="E8819" i="1"/>
  <c r="D8819" i="1"/>
  <c r="F8818" i="1"/>
  <c r="E8818" i="1"/>
  <c r="D8818" i="1"/>
  <c r="F8817" i="1"/>
  <c r="E8817" i="1"/>
  <c r="D8817" i="1"/>
  <c r="F8816" i="1"/>
  <c r="E8816" i="1"/>
  <c r="D8816" i="1"/>
  <c r="F8815" i="1"/>
  <c r="E8815" i="1"/>
  <c r="D8815" i="1"/>
  <c r="F8814" i="1"/>
  <c r="E8814" i="1"/>
  <c r="D8814" i="1"/>
  <c r="F8813" i="1"/>
  <c r="E8813" i="1"/>
  <c r="D8813" i="1"/>
  <c r="F8812" i="1"/>
  <c r="E8812" i="1"/>
  <c r="D8812" i="1"/>
  <c r="F8811" i="1"/>
  <c r="E8811" i="1"/>
  <c r="D8811" i="1"/>
  <c r="F8810" i="1"/>
  <c r="E8810" i="1"/>
  <c r="D8810" i="1"/>
  <c r="F8809" i="1"/>
  <c r="E8809" i="1"/>
  <c r="D8809" i="1"/>
  <c r="F8808" i="1"/>
  <c r="E8808" i="1"/>
  <c r="D8808" i="1"/>
  <c r="F8807" i="1"/>
  <c r="E8807" i="1"/>
  <c r="D8807" i="1"/>
  <c r="F8806" i="1"/>
  <c r="E8806" i="1"/>
  <c r="D8806" i="1"/>
  <c r="F8805" i="1"/>
  <c r="E8805" i="1"/>
  <c r="D8805" i="1"/>
  <c r="F8804" i="1"/>
  <c r="E8804" i="1"/>
  <c r="D8804" i="1"/>
  <c r="F8803" i="1"/>
  <c r="E8803" i="1"/>
  <c r="D8803" i="1"/>
  <c r="F8802" i="1"/>
  <c r="E8802" i="1"/>
  <c r="D8802" i="1"/>
  <c r="F8801" i="1"/>
  <c r="E8801" i="1"/>
  <c r="D8801" i="1"/>
  <c r="F8800" i="1"/>
  <c r="E8800" i="1"/>
  <c r="D8800" i="1"/>
  <c r="F8799" i="1"/>
  <c r="E8799" i="1"/>
  <c r="D8799" i="1"/>
  <c r="F8798" i="1"/>
  <c r="E8798" i="1"/>
  <c r="D8798" i="1"/>
  <c r="F8797" i="1"/>
  <c r="E8797" i="1"/>
  <c r="D8797" i="1"/>
  <c r="F8796" i="1"/>
  <c r="E8796" i="1"/>
  <c r="D8796" i="1"/>
  <c r="F8795" i="1"/>
  <c r="E8795" i="1"/>
  <c r="D8795" i="1"/>
  <c r="F8794" i="1"/>
  <c r="E8794" i="1"/>
  <c r="D8794" i="1"/>
  <c r="F8793" i="1"/>
  <c r="E8793" i="1"/>
  <c r="D8793" i="1"/>
  <c r="F8792" i="1"/>
  <c r="E8792" i="1"/>
  <c r="D8792" i="1"/>
  <c r="F8791" i="1"/>
  <c r="E8791" i="1"/>
  <c r="D8791" i="1"/>
  <c r="F8790" i="1"/>
  <c r="E8790" i="1"/>
  <c r="D8790" i="1"/>
  <c r="F8789" i="1"/>
  <c r="E8789" i="1"/>
  <c r="D8789" i="1"/>
  <c r="F8788" i="1"/>
  <c r="E8788" i="1"/>
  <c r="D8788" i="1"/>
  <c r="F8787" i="1"/>
  <c r="E8787" i="1"/>
  <c r="D8787" i="1"/>
  <c r="F8786" i="1"/>
  <c r="E8786" i="1"/>
  <c r="D8786" i="1"/>
  <c r="F8785" i="1"/>
  <c r="E8785" i="1"/>
  <c r="D8785" i="1"/>
  <c r="F8784" i="1"/>
  <c r="E8784" i="1"/>
  <c r="D8784" i="1"/>
  <c r="F8783" i="1"/>
  <c r="E8783" i="1"/>
  <c r="D8783" i="1"/>
  <c r="F8782" i="1"/>
  <c r="E8782" i="1"/>
  <c r="D8782" i="1"/>
  <c r="F8781" i="1"/>
  <c r="E8781" i="1"/>
  <c r="D8781" i="1"/>
  <c r="F8780" i="1"/>
  <c r="E8780" i="1"/>
  <c r="D8780" i="1"/>
  <c r="F8779" i="1"/>
  <c r="E8779" i="1"/>
  <c r="D8779" i="1"/>
  <c r="F8778" i="1"/>
  <c r="E8778" i="1"/>
  <c r="D8778" i="1"/>
  <c r="F8777" i="1"/>
  <c r="E8777" i="1"/>
  <c r="D8777" i="1"/>
  <c r="F8776" i="1"/>
  <c r="E8776" i="1"/>
  <c r="D8776" i="1"/>
  <c r="F8775" i="1"/>
  <c r="E8775" i="1"/>
  <c r="D8775" i="1"/>
  <c r="F8774" i="1"/>
  <c r="E8774" i="1"/>
  <c r="D8774" i="1"/>
  <c r="F8773" i="1"/>
  <c r="E8773" i="1"/>
  <c r="D8773" i="1"/>
  <c r="F8772" i="1"/>
  <c r="E8772" i="1"/>
  <c r="D8772" i="1"/>
  <c r="F8771" i="1"/>
  <c r="E8771" i="1"/>
  <c r="D8771" i="1"/>
  <c r="F8770" i="1"/>
  <c r="E8770" i="1"/>
  <c r="D8770" i="1"/>
  <c r="F8769" i="1"/>
  <c r="E8769" i="1"/>
  <c r="D8769" i="1"/>
  <c r="F8768" i="1"/>
  <c r="E8768" i="1"/>
  <c r="D8768" i="1"/>
  <c r="F8767" i="1"/>
  <c r="E8767" i="1"/>
  <c r="D8767" i="1"/>
  <c r="F8766" i="1"/>
  <c r="E8766" i="1"/>
  <c r="D8766" i="1"/>
  <c r="F8765" i="1"/>
  <c r="E8765" i="1"/>
  <c r="D8765" i="1"/>
  <c r="F8764" i="1"/>
  <c r="E8764" i="1"/>
  <c r="D8764" i="1"/>
  <c r="F8763" i="1"/>
  <c r="E8763" i="1"/>
  <c r="D8763" i="1"/>
  <c r="F8762" i="1"/>
  <c r="E8762" i="1"/>
  <c r="D8762" i="1"/>
  <c r="F8761" i="1"/>
  <c r="E8761" i="1"/>
  <c r="D8761" i="1"/>
  <c r="F8760" i="1"/>
  <c r="E8760" i="1"/>
  <c r="D8760" i="1"/>
  <c r="F8759" i="1"/>
  <c r="E8759" i="1"/>
  <c r="D8759" i="1"/>
  <c r="F8758" i="1"/>
  <c r="E8758" i="1"/>
  <c r="D8758" i="1"/>
  <c r="F8757" i="1"/>
  <c r="E8757" i="1"/>
  <c r="D8757" i="1"/>
  <c r="F8756" i="1"/>
  <c r="E8756" i="1"/>
  <c r="D8756" i="1"/>
  <c r="F8755" i="1"/>
  <c r="E8755" i="1"/>
  <c r="D8755" i="1"/>
  <c r="F8754" i="1"/>
  <c r="E8754" i="1"/>
  <c r="D8754" i="1"/>
  <c r="F8753" i="1"/>
  <c r="E8753" i="1"/>
  <c r="D8753" i="1"/>
  <c r="F8752" i="1"/>
  <c r="E8752" i="1"/>
  <c r="D8752" i="1"/>
  <c r="F8751" i="1"/>
  <c r="E8751" i="1"/>
  <c r="D8751" i="1"/>
  <c r="F8750" i="1"/>
  <c r="E8750" i="1"/>
  <c r="D8750" i="1"/>
  <c r="F8749" i="1"/>
  <c r="E8749" i="1"/>
  <c r="D8749" i="1"/>
  <c r="F8748" i="1"/>
  <c r="E8748" i="1"/>
  <c r="D8748" i="1"/>
  <c r="F8747" i="1"/>
  <c r="E8747" i="1"/>
  <c r="D8747" i="1"/>
  <c r="F8746" i="1"/>
  <c r="E8746" i="1"/>
  <c r="D8746" i="1"/>
  <c r="F8745" i="1"/>
  <c r="E8745" i="1"/>
  <c r="D8745" i="1"/>
  <c r="F8744" i="1"/>
  <c r="E8744" i="1"/>
  <c r="D8744" i="1"/>
  <c r="F8743" i="1"/>
  <c r="E8743" i="1"/>
  <c r="D8743" i="1"/>
  <c r="F8742" i="1"/>
  <c r="E8742" i="1"/>
  <c r="D8742" i="1"/>
  <c r="F8741" i="1"/>
  <c r="E8741" i="1"/>
  <c r="D8741" i="1"/>
  <c r="F8740" i="1"/>
  <c r="E8740" i="1"/>
  <c r="D8740" i="1"/>
  <c r="F8739" i="1"/>
  <c r="E8739" i="1"/>
  <c r="D8739" i="1"/>
  <c r="F8738" i="1"/>
  <c r="E8738" i="1"/>
  <c r="D8738" i="1"/>
  <c r="F8737" i="1"/>
  <c r="E8737" i="1"/>
  <c r="D8737" i="1"/>
  <c r="F8736" i="1"/>
  <c r="E8736" i="1"/>
  <c r="D8736" i="1"/>
  <c r="F8735" i="1"/>
  <c r="E8735" i="1"/>
  <c r="D8735" i="1"/>
  <c r="F8734" i="1"/>
  <c r="E8734" i="1"/>
  <c r="D8734" i="1"/>
  <c r="F8733" i="1"/>
  <c r="E8733" i="1"/>
  <c r="D8733" i="1"/>
  <c r="F8732" i="1"/>
  <c r="E8732" i="1"/>
  <c r="D8732" i="1"/>
  <c r="F8731" i="1"/>
  <c r="E8731" i="1"/>
  <c r="D8731" i="1"/>
  <c r="F8730" i="1"/>
  <c r="E8730" i="1"/>
  <c r="D8730" i="1"/>
  <c r="F8729" i="1"/>
  <c r="E8729" i="1"/>
  <c r="D8729" i="1"/>
  <c r="F8728" i="1"/>
  <c r="E8728" i="1"/>
  <c r="D8728" i="1"/>
  <c r="F8727" i="1"/>
  <c r="E8727" i="1"/>
  <c r="D8727" i="1"/>
  <c r="F8726" i="1"/>
  <c r="E8726" i="1"/>
  <c r="D8726" i="1"/>
  <c r="F8725" i="1"/>
  <c r="E8725" i="1"/>
  <c r="D8725" i="1"/>
  <c r="F8724" i="1"/>
  <c r="E8724" i="1"/>
  <c r="D8724" i="1"/>
  <c r="F8723" i="1"/>
  <c r="E8723" i="1"/>
  <c r="D8723" i="1"/>
  <c r="F8722" i="1"/>
  <c r="E8722" i="1"/>
  <c r="D8722" i="1"/>
  <c r="F8721" i="1"/>
  <c r="E8721" i="1"/>
  <c r="D8721" i="1"/>
  <c r="F8720" i="1"/>
  <c r="E8720" i="1"/>
  <c r="D8720" i="1"/>
  <c r="F8719" i="1"/>
  <c r="E8719" i="1"/>
  <c r="D8719" i="1"/>
  <c r="F8718" i="1"/>
  <c r="E8718" i="1"/>
  <c r="D8718" i="1"/>
  <c r="F8717" i="1"/>
  <c r="E8717" i="1"/>
  <c r="D8717" i="1"/>
  <c r="F8716" i="1"/>
  <c r="E8716" i="1"/>
  <c r="D8716" i="1"/>
  <c r="F8715" i="1"/>
  <c r="E8715" i="1"/>
  <c r="D8715" i="1"/>
  <c r="F8714" i="1"/>
  <c r="E8714" i="1"/>
  <c r="D8714" i="1"/>
  <c r="F8713" i="1"/>
  <c r="E8713" i="1"/>
  <c r="D8713" i="1"/>
  <c r="F8712" i="1"/>
  <c r="E8712" i="1"/>
  <c r="D8712" i="1"/>
  <c r="F8711" i="1"/>
  <c r="E8711" i="1"/>
  <c r="D8711" i="1"/>
  <c r="F8710" i="1"/>
  <c r="E8710" i="1"/>
  <c r="D8710" i="1"/>
  <c r="F8709" i="1"/>
  <c r="E8709" i="1"/>
  <c r="D8709" i="1"/>
  <c r="F8708" i="1"/>
  <c r="E8708" i="1"/>
  <c r="D8708" i="1"/>
  <c r="F8707" i="1"/>
  <c r="E8707" i="1"/>
  <c r="D8707" i="1"/>
  <c r="F8706" i="1"/>
  <c r="E8706" i="1"/>
  <c r="D8706" i="1"/>
  <c r="F8705" i="1"/>
  <c r="E8705" i="1"/>
  <c r="D8705" i="1"/>
  <c r="F8704" i="1"/>
  <c r="E8704" i="1"/>
  <c r="D8704" i="1"/>
  <c r="F8703" i="1"/>
  <c r="E8703" i="1"/>
  <c r="D8703" i="1"/>
  <c r="F8702" i="1"/>
  <c r="E8702" i="1"/>
  <c r="D8702" i="1"/>
  <c r="F8701" i="1"/>
  <c r="E8701" i="1"/>
  <c r="D8701" i="1"/>
  <c r="F8700" i="1"/>
  <c r="E8700" i="1"/>
  <c r="D8700" i="1"/>
  <c r="F8699" i="1"/>
  <c r="E8699" i="1"/>
  <c r="D8699" i="1"/>
  <c r="F8698" i="1"/>
  <c r="E8698" i="1"/>
  <c r="D8698" i="1"/>
  <c r="F8697" i="1"/>
  <c r="E8697" i="1"/>
  <c r="D8697" i="1"/>
  <c r="F8696" i="1"/>
  <c r="E8696" i="1"/>
  <c r="D8696" i="1"/>
  <c r="F8695" i="1"/>
  <c r="E8695" i="1"/>
  <c r="D8695" i="1"/>
  <c r="F8694" i="1"/>
  <c r="E8694" i="1"/>
  <c r="D8694" i="1"/>
  <c r="F8693" i="1"/>
  <c r="E8693" i="1"/>
  <c r="D8693" i="1"/>
  <c r="F8692" i="1"/>
  <c r="E8692" i="1"/>
  <c r="D8692" i="1"/>
  <c r="F8691" i="1"/>
  <c r="E8691" i="1"/>
  <c r="D8691" i="1"/>
  <c r="F8690" i="1"/>
  <c r="E8690" i="1"/>
  <c r="D8690" i="1"/>
  <c r="F8689" i="1"/>
  <c r="E8689" i="1"/>
  <c r="D8689" i="1"/>
  <c r="F8688" i="1"/>
  <c r="E8688" i="1"/>
  <c r="D8688" i="1"/>
  <c r="F8687" i="1"/>
  <c r="E8687" i="1"/>
  <c r="D8687" i="1"/>
  <c r="F8686" i="1"/>
  <c r="E8686" i="1"/>
  <c r="D8686" i="1"/>
  <c r="F8685" i="1"/>
  <c r="E8685" i="1"/>
  <c r="D8685" i="1"/>
  <c r="F8684" i="1"/>
  <c r="E8684" i="1"/>
  <c r="D8684" i="1"/>
  <c r="F8683" i="1"/>
  <c r="E8683" i="1"/>
  <c r="D8683" i="1"/>
  <c r="F8682" i="1"/>
  <c r="E8682" i="1"/>
  <c r="D8682" i="1"/>
  <c r="F8681" i="1"/>
  <c r="E8681" i="1"/>
  <c r="D8681" i="1"/>
  <c r="F8680" i="1"/>
  <c r="E8680" i="1"/>
  <c r="D8680" i="1"/>
  <c r="F8679" i="1"/>
  <c r="E8679" i="1"/>
  <c r="D8679" i="1"/>
  <c r="F8678" i="1"/>
  <c r="E8678" i="1"/>
  <c r="D8678" i="1"/>
  <c r="F8677" i="1"/>
  <c r="E8677" i="1"/>
  <c r="D8677" i="1"/>
  <c r="F8676" i="1"/>
  <c r="E8676" i="1"/>
  <c r="D8676" i="1"/>
  <c r="F8675" i="1"/>
  <c r="E8675" i="1"/>
  <c r="D8675" i="1"/>
  <c r="F8674" i="1"/>
  <c r="E8674" i="1"/>
  <c r="D8674" i="1"/>
  <c r="F8673" i="1"/>
  <c r="E8673" i="1"/>
  <c r="D8673" i="1"/>
  <c r="F8672" i="1"/>
  <c r="E8672" i="1"/>
  <c r="D8672" i="1"/>
  <c r="F8671" i="1"/>
  <c r="E8671" i="1"/>
  <c r="D8671" i="1"/>
  <c r="F8670" i="1"/>
  <c r="E8670" i="1"/>
  <c r="D8670" i="1"/>
  <c r="F8669" i="1"/>
  <c r="E8669" i="1"/>
  <c r="D8669" i="1"/>
  <c r="F8668" i="1"/>
  <c r="E8668" i="1"/>
  <c r="D8668" i="1"/>
  <c r="F8667" i="1"/>
  <c r="E8667" i="1"/>
  <c r="D8667" i="1"/>
  <c r="F8666" i="1"/>
  <c r="E8666" i="1"/>
  <c r="D8666" i="1"/>
  <c r="F8665" i="1"/>
  <c r="E8665" i="1"/>
  <c r="D8665" i="1"/>
  <c r="F8664" i="1"/>
  <c r="E8664" i="1"/>
  <c r="D8664" i="1"/>
  <c r="F8663" i="1"/>
  <c r="E8663" i="1"/>
  <c r="D8663" i="1"/>
  <c r="F8662" i="1"/>
  <c r="E8662" i="1"/>
  <c r="D8662" i="1"/>
  <c r="F8661" i="1"/>
  <c r="E8661" i="1"/>
  <c r="D8661" i="1"/>
  <c r="F8660" i="1"/>
  <c r="E8660" i="1"/>
  <c r="D8660" i="1"/>
  <c r="F8659" i="1"/>
  <c r="E8659" i="1"/>
  <c r="D8659" i="1"/>
  <c r="F8658" i="1"/>
  <c r="E8658" i="1"/>
  <c r="D8658" i="1"/>
  <c r="F8657" i="1"/>
  <c r="E8657" i="1"/>
  <c r="D8657" i="1"/>
  <c r="F8656" i="1"/>
  <c r="E8656" i="1"/>
  <c r="D8656" i="1"/>
  <c r="F8655" i="1"/>
  <c r="E8655" i="1"/>
  <c r="D8655" i="1"/>
  <c r="F8654" i="1"/>
  <c r="E8654" i="1"/>
  <c r="D8654" i="1"/>
  <c r="F8653" i="1"/>
  <c r="E8653" i="1"/>
  <c r="D8653" i="1"/>
  <c r="F8652" i="1"/>
  <c r="E8652" i="1"/>
  <c r="D8652" i="1"/>
  <c r="F8651" i="1"/>
  <c r="E8651" i="1"/>
  <c r="D8651" i="1"/>
  <c r="F8650" i="1"/>
  <c r="E8650" i="1"/>
  <c r="D8650" i="1"/>
  <c r="F8649" i="1"/>
  <c r="E8649" i="1"/>
  <c r="D8649" i="1"/>
  <c r="F8648" i="1"/>
  <c r="E8648" i="1"/>
  <c r="D8648" i="1"/>
  <c r="F8647" i="1"/>
  <c r="E8647" i="1"/>
  <c r="D8647" i="1"/>
  <c r="F8646" i="1"/>
  <c r="E8646" i="1"/>
  <c r="D8646" i="1"/>
  <c r="F8645" i="1"/>
  <c r="E8645" i="1"/>
  <c r="D8645" i="1"/>
  <c r="F8644" i="1"/>
  <c r="E8644" i="1"/>
  <c r="D8644" i="1"/>
  <c r="F8643" i="1"/>
  <c r="E8643" i="1"/>
  <c r="D8643" i="1"/>
  <c r="F8642" i="1"/>
  <c r="E8642" i="1"/>
  <c r="D8642" i="1"/>
  <c r="F8641" i="1"/>
  <c r="E8641" i="1"/>
  <c r="D8641" i="1"/>
  <c r="F8640" i="1"/>
  <c r="E8640" i="1"/>
  <c r="D8640" i="1"/>
  <c r="F8639" i="1"/>
  <c r="E8639" i="1"/>
  <c r="D8639" i="1"/>
  <c r="F8638" i="1"/>
  <c r="E8638" i="1"/>
  <c r="D8638" i="1"/>
  <c r="F8637" i="1"/>
  <c r="E8637" i="1"/>
  <c r="D8637" i="1"/>
  <c r="F8636" i="1"/>
  <c r="E8636" i="1"/>
  <c r="D8636" i="1"/>
  <c r="F8635" i="1"/>
  <c r="E8635" i="1"/>
  <c r="D8635" i="1"/>
  <c r="F8634" i="1"/>
  <c r="E8634" i="1"/>
  <c r="D8634" i="1"/>
  <c r="F8633" i="1"/>
  <c r="E8633" i="1"/>
  <c r="D8633" i="1"/>
  <c r="F8632" i="1"/>
  <c r="E8632" i="1"/>
  <c r="D8632" i="1"/>
  <c r="F8631" i="1"/>
  <c r="E8631" i="1"/>
  <c r="D8631" i="1"/>
  <c r="F8630" i="1"/>
  <c r="E8630" i="1"/>
  <c r="D8630" i="1"/>
  <c r="F8629" i="1"/>
  <c r="E8629" i="1"/>
  <c r="D8629" i="1"/>
  <c r="F8628" i="1"/>
  <c r="E8628" i="1"/>
  <c r="D8628" i="1"/>
  <c r="F8627" i="1"/>
  <c r="E8627" i="1"/>
  <c r="D8627" i="1"/>
  <c r="F8626" i="1"/>
  <c r="E8626" i="1"/>
  <c r="D8626" i="1"/>
  <c r="F8625" i="1"/>
  <c r="E8625" i="1"/>
  <c r="D8625" i="1"/>
  <c r="F8624" i="1"/>
  <c r="E8624" i="1"/>
  <c r="D8624" i="1"/>
  <c r="F8623" i="1"/>
  <c r="E8623" i="1"/>
  <c r="D8623" i="1"/>
  <c r="F8622" i="1"/>
  <c r="E8622" i="1"/>
  <c r="D8622" i="1"/>
  <c r="F8621" i="1"/>
  <c r="E8621" i="1"/>
  <c r="D8621" i="1"/>
  <c r="F8620" i="1"/>
  <c r="E8620" i="1"/>
  <c r="D8620" i="1"/>
  <c r="F8619" i="1"/>
  <c r="E8619" i="1"/>
  <c r="D8619" i="1"/>
  <c r="F8618" i="1"/>
  <c r="E8618" i="1"/>
  <c r="D8618" i="1"/>
  <c r="F8617" i="1"/>
  <c r="E8617" i="1"/>
  <c r="D8617" i="1"/>
  <c r="F8616" i="1"/>
  <c r="E8616" i="1"/>
  <c r="D8616" i="1"/>
  <c r="F8615" i="1"/>
  <c r="E8615" i="1"/>
  <c r="D8615" i="1"/>
  <c r="F8614" i="1"/>
  <c r="E8614" i="1"/>
  <c r="D8614" i="1"/>
  <c r="F8613" i="1"/>
  <c r="E8613" i="1"/>
  <c r="D8613" i="1"/>
  <c r="F8612" i="1"/>
  <c r="E8612" i="1"/>
  <c r="D8612" i="1"/>
  <c r="F8611" i="1"/>
  <c r="E8611" i="1"/>
  <c r="D8611" i="1"/>
  <c r="F8610" i="1"/>
  <c r="E8610" i="1"/>
  <c r="D8610" i="1"/>
  <c r="F8609" i="1"/>
  <c r="E8609" i="1"/>
  <c r="D8609" i="1"/>
  <c r="F8608" i="1"/>
  <c r="E8608" i="1"/>
  <c r="D8608" i="1"/>
  <c r="F8607" i="1"/>
  <c r="E8607" i="1"/>
  <c r="D8607" i="1"/>
  <c r="F8606" i="1"/>
  <c r="E8606" i="1"/>
  <c r="D8606" i="1"/>
  <c r="F8605" i="1"/>
  <c r="E8605" i="1"/>
  <c r="D8605" i="1"/>
  <c r="F8604" i="1"/>
  <c r="E8604" i="1"/>
  <c r="D8604" i="1"/>
  <c r="F8603" i="1"/>
  <c r="E8603" i="1"/>
  <c r="D8603" i="1"/>
  <c r="F8602" i="1"/>
  <c r="E8602" i="1"/>
  <c r="D8602" i="1"/>
  <c r="F8601" i="1"/>
  <c r="E8601" i="1"/>
  <c r="D8601" i="1"/>
  <c r="F8600" i="1"/>
  <c r="E8600" i="1"/>
  <c r="D8600" i="1"/>
  <c r="F8599" i="1"/>
  <c r="E8599" i="1"/>
  <c r="D8599" i="1"/>
  <c r="F8598" i="1"/>
  <c r="E8598" i="1"/>
  <c r="D8598" i="1"/>
  <c r="F8597" i="1"/>
  <c r="E8597" i="1"/>
  <c r="D8597" i="1"/>
  <c r="F8596" i="1"/>
  <c r="E8596" i="1"/>
  <c r="D8596" i="1"/>
  <c r="F8595" i="1"/>
  <c r="E8595" i="1"/>
  <c r="D8595" i="1"/>
  <c r="F8594" i="1"/>
  <c r="E8594" i="1"/>
  <c r="D8594" i="1"/>
  <c r="F8593" i="1"/>
  <c r="E8593" i="1"/>
  <c r="D8593" i="1"/>
  <c r="F8592" i="1"/>
  <c r="E8592" i="1"/>
  <c r="D8592" i="1"/>
  <c r="F8591" i="1"/>
  <c r="E8591" i="1"/>
  <c r="D8591" i="1"/>
  <c r="F8590" i="1"/>
  <c r="E8590" i="1"/>
  <c r="D8590" i="1"/>
  <c r="F8589" i="1"/>
  <c r="E8589" i="1"/>
  <c r="D8589" i="1"/>
  <c r="F8588" i="1"/>
  <c r="E8588" i="1"/>
  <c r="D8588" i="1"/>
  <c r="F8587" i="1"/>
  <c r="E8587" i="1"/>
  <c r="D8587" i="1"/>
  <c r="F8586" i="1"/>
  <c r="E8586" i="1"/>
  <c r="D8586" i="1"/>
  <c r="F8585" i="1"/>
  <c r="E8585" i="1"/>
  <c r="D8585" i="1"/>
  <c r="F8584" i="1"/>
  <c r="E8584" i="1"/>
  <c r="D8584" i="1"/>
  <c r="F8583" i="1"/>
  <c r="E8583" i="1"/>
  <c r="D8583" i="1"/>
  <c r="F8582" i="1"/>
  <c r="E8582" i="1"/>
  <c r="D8582" i="1"/>
  <c r="F8581" i="1"/>
  <c r="E8581" i="1"/>
  <c r="D8581" i="1"/>
  <c r="F8580" i="1"/>
  <c r="E8580" i="1"/>
  <c r="D8580" i="1"/>
  <c r="F8579" i="1"/>
  <c r="E8579" i="1"/>
  <c r="D8579" i="1"/>
  <c r="F8578" i="1"/>
  <c r="E8578" i="1"/>
  <c r="D8578" i="1"/>
  <c r="F8577" i="1"/>
  <c r="E8577" i="1"/>
  <c r="D8577" i="1"/>
  <c r="F8576" i="1"/>
  <c r="E8576" i="1"/>
  <c r="D8576" i="1"/>
  <c r="F8575" i="1"/>
  <c r="E8575" i="1"/>
  <c r="D8575" i="1"/>
  <c r="F8574" i="1"/>
  <c r="E8574" i="1"/>
  <c r="D8574" i="1"/>
  <c r="F8573" i="1"/>
  <c r="E8573" i="1"/>
  <c r="D8573" i="1"/>
  <c r="F8572" i="1"/>
  <c r="E8572" i="1"/>
  <c r="D8572" i="1"/>
  <c r="F8571" i="1"/>
  <c r="E8571" i="1"/>
  <c r="D8571" i="1"/>
  <c r="F8570" i="1"/>
  <c r="E8570" i="1"/>
  <c r="D8570" i="1"/>
  <c r="F8569" i="1"/>
  <c r="E8569" i="1"/>
  <c r="D8569" i="1"/>
  <c r="F8568" i="1"/>
  <c r="E8568" i="1"/>
  <c r="D8568" i="1"/>
  <c r="F8567" i="1"/>
  <c r="E8567" i="1"/>
  <c r="D8567" i="1"/>
  <c r="F8566" i="1"/>
  <c r="E8566" i="1"/>
  <c r="D8566" i="1"/>
  <c r="F8565" i="1"/>
  <c r="E8565" i="1"/>
  <c r="D8565" i="1"/>
  <c r="F8564" i="1"/>
  <c r="E8564" i="1"/>
  <c r="D8564" i="1"/>
  <c r="F8563" i="1"/>
  <c r="E8563" i="1"/>
  <c r="D8563" i="1"/>
  <c r="F8562" i="1"/>
  <c r="E8562" i="1"/>
  <c r="D8562" i="1"/>
  <c r="F8561" i="1"/>
  <c r="E8561" i="1"/>
  <c r="D8561" i="1"/>
  <c r="F8560" i="1"/>
  <c r="E8560" i="1"/>
  <c r="D8560" i="1"/>
  <c r="F8559" i="1"/>
  <c r="E8559" i="1"/>
  <c r="D8559" i="1"/>
  <c r="F8558" i="1"/>
  <c r="E8558" i="1"/>
  <c r="D8558" i="1"/>
  <c r="F8557" i="1"/>
  <c r="E8557" i="1"/>
  <c r="D8557" i="1"/>
  <c r="F8556" i="1"/>
  <c r="E8556" i="1"/>
  <c r="D8556" i="1"/>
  <c r="F8555" i="1"/>
  <c r="E8555" i="1"/>
  <c r="D8555" i="1"/>
  <c r="F8554" i="1"/>
  <c r="E8554" i="1"/>
  <c r="D8554" i="1"/>
  <c r="F8553" i="1"/>
  <c r="E8553" i="1"/>
  <c r="D8553" i="1"/>
  <c r="F8552" i="1"/>
  <c r="E8552" i="1"/>
  <c r="D8552" i="1"/>
  <c r="F8551" i="1"/>
  <c r="E8551" i="1"/>
  <c r="D8551" i="1"/>
  <c r="F8550" i="1"/>
  <c r="E8550" i="1"/>
  <c r="D8550" i="1"/>
  <c r="F8549" i="1"/>
  <c r="E8549" i="1"/>
  <c r="D8549" i="1"/>
  <c r="F8548" i="1"/>
  <c r="E8548" i="1"/>
  <c r="D8548" i="1"/>
  <c r="F8547" i="1"/>
  <c r="E8547" i="1"/>
  <c r="D8547" i="1"/>
  <c r="F8546" i="1"/>
  <c r="E8546" i="1"/>
  <c r="D8546" i="1"/>
  <c r="F8545" i="1"/>
  <c r="E8545" i="1"/>
  <c r="D8545" i="1"/>
  <c r="F8544" i="1"/>
  <c r="E8544" i="1"/>
  <c r="D8544" i="1"/>
  <c r="F8543" i="1"/>
  <c r="E8543" i="1"/>
  <c r="D8543" i="1"/>
  <c r="F8542" i="1"/>
  <c r="E8542" i="1"/>
  <c r="D8542" i="1"/>
  <c r="F8541" i="1"/>
  <c r="E8541" i="1"/>
  <c r="D8541" i="1"/>
  <c r="F8540" i="1"/>
  <c r="E8540" i="1"/>
  <c r="D8540" i="1"/>
  <c r="F8539" i="1"/>
  <c r="E8539" i="1"/>
  <c r="D8539" i="1"/>
  <c r="F8538" i="1"/>
  <c r="E8538" i="1"/>
  <c r="D8538" i="1"/>
  <c r="F8537" i="1"/>
  <c r="E8537" i="1"/>
  <c r="D8537" i="1"/>
  <c r="F8536" i="1"/>
  <c r="E8536" i="1"/>
  <c r="D8536" i="1"/>
  <c r="F8535" i="1"/>
  <c r="E8535" i="1"/>
  <c r="D8535" i="1"/>
  <c r="F8534" i="1"/>
  <c r="E8534" i="1"/>
  <c r="D8534" i="1"/>
  <c r="F8533" i="1"/>
  <c r="E8533" i="1"/>
  <c r="D8533" i="1"/>
  <c r="F8532" i="1"/>
  <c r="E8532" i="1"/>
  <c r="D8532" i="1"/>
  <c r="F8531" i="1"/>
  <c r="E8531" i="1"/>
  <c r="D8531" i="1"/>
  <c r="F8530" i="1"/>
  <c r="E8530" i="1"/>
  <c r="D8530" i="1"/>
  <c r="F8529" i="1"/>
  <c r="E8529" i="1"/>
  <c r="D8529" i="1"/>
  <c r="F8528" i="1"/>
  <c r="E8528" i="1"/>
  <c r="D8528" i="1"/>
  <c r="F8527" i="1"/>
  <c r="E8527" i="1"/>
  <c r="D8527" i="1"/>
  <c r="F8526" i="1"/>
  <c r="E8526" i="1"/>
  <c r="D8526" i="1"/>
  <c r="F8525" i="1"/>
  <c r="E8525" i="1"/>
  <c r="D8525" i="1"/>
  <c r="F8524" i="1"/>
  <c r="E8524" i="1"/>
  <c r="D8524" i="1"/>
  <c r="F8523" i="1"/>
  <c r="E8523" i="1"/>
  <c r="D8523" i="1"/>
  <c r="F8522" i="1"/>
  <c r="E8522" i="1"/>
  <c r="D8522" i="1"/>
  <c r="F8521" i="1"/>
  <c r="E8521" i="1"/>
  <c r="D8521" i="1"/>
  <c r="F8520" i="1"/>
  <c r="E8520" i="1"/>
  <c r="D8520" i="1"/>
  <c r="F8519" i="1"/>
  <c r="E8519" i="1"/>
  <c r="D8519" i="1"/>
  <c r="F8518" i="1"/>
  <c r="E8518" i="1"/>
  <c r="D8518" i="1"/>
  <c r="F8517" i="1"/>
  <c r="E8517" i="1"/>
  <c r="D8517" i="1"/>
  <c r="F8516" i="1"/>
  <c r="E8516" i="1"/>
  <c r="D8516" i="1"/>
  <c r="F8515" i="1"/>
  <c r="E8515" i="1"/>
  <c r="D8515" i="1"/>
  <c r="F8514" i="1"/>
  <c r="E8514" i="1"/>
  <c r="D8514" i="1"/>
  <c r="F8513" i="1"/>
  <c r="E8513" i="1"/>
  <c r="D8513" i="1"/>
  <c r="F8512" i="1"/>
  <c r="E8512" i="1"/>
  <c r="D8512" i="1"/>
  <c r="F8511" i="1"/>
  <c r="E8511" i="1"/>
  <c r="D8511" i="1"/>
  <c r="F8510" i="1"/>
  <c r="E8510" i="1"/>
  <c r="D8510" i="1"/>
  <c r="F8509" i="1"/>
  <c r="E8509" i="1"/>
  <c r="D8509" i="1"/>
  <c r="F8508" i="1"/>
  <c r="E8508" i="1"/>
  <c r="D8508" i="1"/>
  <c r="F8507" i="1"/>
  <c r="E8507" i="1"/>
  <c r="D8507" i="1"/>
  <c r="F8506" i="1"/>
  <c r="E8506" i="1"/>
  <c r="D8506" i="1"/>
  <c r="F8505" i="1"/>
  <c r="E8505" i="1"/>
  <c r="D8505" i="1"/>
  <c r="F8504" i="1"/>
  <c r="E8504" i="1"/>
  <c r="D8504" i="1"/>
  <c r="F8503" i="1"/>
  <c r="E8503" i="1"/>
  <c r="D8503" i="1"/>
  <c r="F8502" i="1"/>
  <c r="E8502" i="1"/>
  <c r="D8502" i="1"/>
  <c r="F8501" i="1"/>
  <c r="E8501" i="1"/>
  <c r="D8501" i="1"/>
  <c r="F8500" i="1"/>
  <c r="E8500" i="1"/>
  <c r="D8500" i="1"/>
  <c r="F8499" i="1"/>
  <c r="E8499" i="1"/>
  <c r="D8499" i="1"/>
  <c r="F8498" i="1"/>
  <c r="E8498" i="1"/>
  <c r="D8498" i="1"/>
  <c r="F8497" i="1"/>
  <c r="E8497" i="1"/>
  <c r="D8497" i="1"/>
  <c r="F8496" i="1"/>
  <c r="E8496" i="1"/>
  <c r="D8496" i="1"/>
  <c r="F8495" i="1"/>
  <c r="E8495" i="1"/>
  <c r="D8495" i="1"/>
  <c r="F8494" i="1"/>
  <c r="E8494" i="1"/>
  <c r="D8494" i="1"/>
  <c r="F8493" i="1"/>
  <c r="E8493" i="1"/>
  <c r="D8493" i="1"/>
  <c r="F8492" i="1"/>
  <c r="E8492" i="1"/>
  <c r="D8492" i="1"/>
  <c r="F8491" i="1"/>
  <c r="E8491" i="1"/>
  <c r="D8491" i="1"/>
  <c r="F8490" i="1"/>
  <c r="E8490" i="1"/>
  <c r="D8490" i="1"/>
  <c r="F8489" i="1"/>
  <c r="E8489" i="1"/>
  <c r="D8489" i="1"/>
  <c r="F8488" i="1"/>
  <c r="E8488" i="1"/>
  <c r="D8488" i="1"/>
  <c r="F8487" i="1"/>
  <c r="E8487" i="1"/>
  <c r="D8487" i="1"/>
  <c r="F8486" i="1"/>
  <c r="E8486" i="1"/>
  <c r="D8486" i="1"/>
  <c r="F8485" i="1"/>
  <c r="E8485" i="1"/>
  <c r="D8485" i="1"/>
  <c r="F8484" i="1"/>
  <c r="E8484" i="1"/>
  <c r="D8484" i="1"/>
  <c r="F8483" i="1"/>
  <c r="E8483" i="1"/>
  <c r="D8483" i="1"/>
  <c r="F8482" i="1"/>
  <c r="E8482" i="1"/>
  <c r="D8482" i="1"/>
  <c r="F8481" i="1"/>
  <c r="E8481" i="1"/>
  <c r="D8481" i="1"/>
  <c r="F8480" i="1"/>
  <c r="E8480" i="1"/>
  <c r="D8480" i="1"/>
  <c r="F8479" i="1"/>
  <c r="E8479" i="1"/>
  <c r="D8479" i="1"/>
  <c r="F8478" i="1"/>
  <c r="E8478" i="1"/>
  <c r="D8478" i="1"/>
  <c r="F8477" i="1"/>
  <c r="E8477" i="1"/>
  <c r="D8477" i="1"/>
  <c r="F8476" i="1"/>
  <c r="E8476" i="1"/>
  <c r="D8476" i="1"/>
  <c r="F8475" i="1"/>
  <c r="E8475" i="1"/>
  <c r="D8475" i="1"/>
  <c r="F8474" i="1"/>
  <c r="E8474" i="1"/>
  <c r="D8474" i="1"/>
  <c r="F8473" i="1"/>
  <c r="E8473" i="1"/>
  <c r="D8473" i="1"/>
  <c r="F8472" i="1"/>
  <c r="E8472" i="1"/>
  <c r="D8472" i="1"/>
  <c r="F8471" i="1"/>
  <c r="E8471" i="1"/>
  <c r="D8471" i="1"/>
  <c r="F8470" i="1"/>
  <c r="E8470" i="1"/>
  <c r="D8470" i="1"/>
  <c r="F8469" i="1"/>
  <c r="E8469" i="1"/>
  <c r="D8469" i="1"/>
  <c r="F8468" i="1"/>
  <c r="E8468" i="1"/>
  <c r="D8468" i="1"/>
  <c r="F8467" i="1"/>
  <c r="E8467" i="1"/>
  <c r="D8467" i="1"/>
  <c r="F8466" i="1"/>
  <c r="E8466" i="1"/>
  <c r="D8466" i="1"/>
  <c r="F8465" i="1"/>
  <c r="E8465" i="1"/>
  <c r="D8465" i="1"/>
  <c r="F8464" i="1"/>
  <c r="E8464" i="1"/>
  <c r="D8464" i="1"/>
  <c r="F8463" i="1"/>
  <c r="E8463" i="1"/>
  <c r="D8463" i="1"/>
  <c r="F8462" i="1"/>
  <c r="E8462" i="1"/>
  <c r="D8462" i="1"/>
  <c r="F8461" i="1"/>
  <c r="E8461" i="1"/>
  <c r="D8461" i="1"/>
  <c r="F8460" i="1"/>
  <c r="E8460" i="1"/>
  <c r="D8460" i="1"/>
  <c r="F8459" i="1"/>
  <c r="E8459" i="1"/>
  <c r="D8459" i="1"/>
  <c r="F8458" i="1"/>
  <c r="E8458" i="1"/>
  <c r="D8458" i="1"/>
  <c r="F8457" i="1"/>
  <c r="E8457" i="1"/>
  <c r="D8457" i="1"/>
  <c r="F8456" i="1"/>
  <c r="E8456" i="1"/>
  <c r="D8456" i="1"/>
  <c r="F8455" i="1"/>
  <c r="E8455" i="1"/>
  <c r="D8455" i="1"/>
  <c r="F8454" i="1"/>
  <c r="E8454" i="1"/>
  <c r="D8454" i="1"/>
  <c r="F8453" i="1"/>
  <c r="E8453" i="1"/>
  <c r="D8453" i="1"/>
  <c r="F8452" i="1"/>
  <c r="E8452" i="1"/>
  <c r="D8452" i="1"/>
  <c r="F8451" i="1"/>
  <c r="E8451" i="1"/>
  <c r="D8451" i="1"/>
  <c r="F8450" i="1"/>
  <c r="E8450" i="1"/>
  <c r="D8450" i="1"/>
  <c r="F8449" i="1"/>
  <c r="E8449" i="1"/>
  <c r="D8449" i="1"/>
  <c r="F8448" i="1"/>
  <c r="E8448" i="1"/>
  <c r="D8448" i="1"/>
  <c r="F8447" i="1"/>
  <c r="E8447" i="1"/>
  <c r="D8447" i="1"/>
  <c r="F8446" i="1"/>
  <c r="E8446" i="1"/>
  <c r="D8446" i="1"/>
  <c r="F8445" i="1"/>
  <c r="E8445" i="1"/>
  <c r="D8445" i="1"/>
  <c r="F8444" i="1"/>
  <c r="E8444" i="1"/>
  <c r="D8444" i="1"/>
  <c r="F8443" i="1"/>
  <c r="E8443" i="1"/>
  <c r="D8443" i="1"/>
  <c r="F8442" i="1"/>
  <c r="E8442" i="1"/>
  <c r="D8442" i="1"/>
  <c r="F8441" i="1"/>
  <c r="E8441" i="1"/>
  <c r="D8441" i="1"/>
  <c r="F8440" i="1"/>
  <c r="E8440" i="1"/>
  <c r="D8440" i="1"/>
  <c r="F8439" i="1"/>
  <c r="E8439" i="1"/>
  <c r="D8439" i="1"/>
  <c r="F8438" i="1"/>
  <c r="E8438" i="1"/>
  <c r="D8438" i="1"/>
  <c r="F8437" i="1"/>
  <c r="E8437" i="1"/>
  <c r="D8437" i="1"/>
  <c r="F8436" i="1"/>
  <c r="E8436" i="1"/>
  <c r="D8436" i="1"/>
  <c r="F8435" i="1"/>
  <c r="E8435" i="1"/>
  <c r="D8435" i="1"/>
  <c r="F8434" i="1"/>
  <c r="E8434" i="1"/>
  <c r="D8434" i="1"/>
  <c r="F8433" i="1"/>
  <c r="E8433" i="1"/>
  <c r="D8433" i="1"/>
  <c r="F8432" i="1"/>
  <c r="E8432" i="1"/>
  <c r="D8432" i="1"/>
  <c r="F8431" i="1"/>
  <c r="E8431" i="1"/>
  <c r="D8431" i="1"/>
  <c r="F8430" i="1"/>
  <c r="E8430" i="1"/>
  <c r="D8430" i="1"/>
  <c r="F8429" i="1"/>
  <c r="E8429" i="1"/>
  <c r="D8429" i="1"/>
  <c r="F8428" i="1"/>
  <c r="E8428" i="1"/>
  <c r="D8428" i="1"/>
  <c r="F8427" i="1"/>
  <c r="E8427" i="1"/>
  <c r="D8427" i="1"/>
  <c r="F8426" i="1"/>
  <c r="E8426" i="1"/>
  <c r="D8426" i="1"/>
  <c r="F8425" i="1"/>
  <c r="E8425" i="1"/>
  <c r="D8425" i="1"/>
  <c r="F8424" i="1"/>
  <c r="E8424" i="1"/>
  <c r="D8424" i="1"/>
  <c r="F8423" i="1"/>
  <c r="E8423" i="1"/>
  <c r="D8423" i="1"/>
  <c r="F8422" i="1"/>
  <c r="E8422" i="1"/>
  <c r="D8422" i="1"/>
  <c r="F8421" i="1"/>
  <c r="E8421" i="1"/>
  <c r="D8421" i="1"/>
  <c r="F8420" i="1"/>
  <c r="E8420" i="1"/>
  <c r="D8420" i="1"/>
  <c r="F8419" i="1"/>
  <c r="E8419" i="1"/>
  <c r="D8419" i="1"/>
  <c r="F8418" i="1"/>
  <c r="E8418" i="1"/>
  <c r="D8418" i="1"/>
  <c r="F8417" i="1"/>
  <c r="E8417" i="1"/>
  <c r="D8417" i="1"/>
  <c r="F8416" i="1"/>
  <c r="E8416" i="1"/>
  <c r="D8416" i="1"/>
  <c r="F8415" i="1"/>
  <c r="E8415" i="1"/>
  <c r="D8415" i="1"/>
  <c r="F8414" i="1"/>
  <c r="E8414" i="1"/>
  <c r="D8414" i="1"/>
  <c r="F8413" i="1"/>
  <c r="E8413" i="1"/>
  <c r="D8413" i="1"/>
  <c r="F8412" i="1"/>
  <c r="E8412" i="1"/>
  <c r="D8412" i="1"/>
  <c r="F8411" i="1"/>
  <c r="E8411" i="1"/>
  <c r="D8411" i="1"/>
  <c r="F8410" i="1"/>
  <c r="E8410" i="1"/>
  <c r="D8410" i="1"/>
  <c r="F8409" i="1"/>
  <c r="E8409" i="1"/>
  <c r="D8409" i="1"/>
  <c r="F8408" i="1"/>
  <c r="E8408" i="1"/>
  <c r="D8408" i="1"/>
  <c r="F8407" i="1"/>
  <c r="E8407" i="1"/>
  <c r="D8407" i="1"/>
  <c r="F8406" i="1"/>
  <c r="E8406" i="1"/>
  <c r="D8406" i="1"/>
  <c r="F8405" i="1"/>
  <c r="E8405" i="1"/>
  <c r="D8405" i="1"/>
  <c r="F8404" i="1"/>
  <c r="E8404" i="1"/>
  <c r="D8404" i="1"/>
  <c r="F8403" i="1"/>
  <c r="E8403" i="1"/>
  <c r="D8403" i="1"/>
  <c r="F8402" i="1"/>
  <c r="E8402" i="1"/>
  <c r="D8402" i="1"/>
  <c r="F8401" i="1"/>
  <c r="E8401" i="1"/>
  <c r="D8401" i="1"/>
  <c r="F8400" i="1"/>
  <c r="E8400" i="1"/>
  <c r="D8400" i="1"/>
  <c r="F8399" i="1"/>
  <c r="E8399" i="1"/>
  <c r="D8399" i="1"/>
  <c r="F8398" i="1"/>
  <c r="E8398" i="1"/>
  <c r="D8398" i="1"/>
  <c r="F8397" i="1"/>
  <c r="E8397" i="1"/>
  <c r="D8397" i="1"/>
  <c r="F8396" i="1"/>
  <c r="E8396" i="1"/>
  <c r="D8396" i="1"/>
  <c r="F8395" i="1"/>
  <c r="E8395" i="1"/>
  <c r="D8395" i="1"/>
  <c r="F8394" i="1"/>
  <c r="E8394" i="1"/>
  <c r="D8394" i="1"/>
  <c r="F8393" i="1"/>
  <c r="E8393" i="1"/>
  <c r="D8393" i="1"/>
  <c r="F8392" i="1"/>
  <c r="E8392" i="1"/>
  <c r="D8392" i="1"/>
  <c r="F8391" i="1"/>
  <c r="E8391" i="1"/>
  <c r="D8391" i="1"/>
  <c r="F8390" i="1"/>
  <c r="E8390" i="1"/>
  <c r="D8390" i="1"/>
  <c r="F8389" i="1"/>
  <c r="E8389" i="1"/>
  <c r="D8389" i="1"/>
  <c r="F8388" i="1"/>
  <c r="E8388" i="1"/>
  <c r="D8388" i="1"/>
  <c r="F8387" i="1"/>
  <c r="E8387" i="1"/>
  <c r="D8387" i="1"/>
  <c r="F8386" i="1"/>
  <c r="E8386" i="1"/>
  <c r="D8386" i="1"/>
  <c r="F8385" i="1"/>
  <c r="E8385" i="1"/>
  <c r="D8385" i="1"/>
  <c r="F8384" i="1"/>
  <c r="E8384" i="1"/>
  <c r="D8384" i="1"/>
  <c r="F8383" i="1"/>
  <c r="E8383" i="1"/>
  <c r="D8383" i="1"/>
  <c r="F8382" i="1"/>
  <c r="E8382" i="1"/>
  <c r="D8382" i="1"/>
  <c r="F8381" i="1"/>
  <c r="E8381" i="1"/>
  <c r="D8381" i="1"/>
  <c r="F8380" i="1"/>
  <c r="E8380" i="1"/>
  <c r="D8380" i="1"/>
  <c r="F8379" i="1"/>
  <c r="E8379" i="1"/>
  <c r="D8379" i="1"/>
  <c r="F8378" i="1"/>
  <c r="E8378" i="1"/>
  <c r="D8378" i="1"/>
  <c r="F8377" i="1"/>
  <c r="E8377" i="1"/>
  <c r="D8377" i="1"/>
  <c r="F8376" i="1"/>
  <c r="E8376" i="1"/>
  <c r="D8376" i="1"/>
  <c r="F8375" i="1"/>
  <c r="E8375" i="1"/>
  <c r="D8375" i="1"/>
  <c r="F8374" i="1"/>
  <c r="E8374" i="1"/>
  <c r="D8374" i="1"/>
  <c r="F8373" i="1"/>
  <c r="E8373" i="1"/>
  <c r="D8373" i="1"/>
  <c r="F8372" i="1"/>
  <c r="E8372" i="1"/>
  <c r="D8372" i="1"/>
  <c r="F8371" i="1"/>
  <c r="E8371" i="1"/>
  <c r="D8371" i="1"/>
  <c r="F8370" i="1"/>
  <c r="E8370" i="1"/>
  <c r="D8370" i="1"/>
  <c r="F8369" i="1"/>
  <c r="E8369" i="1"/>
  <c r="D8369" i="1"/>
  <c r="F8368" i="1"/>
  <c r="E8368" i="1"/>
  <c r="D8368" i="1"/>
  <c r="F8367" i="1"/>
  <c r="E8367" i="1"/>
  <c r="D8367" i="1"/>
  <c r="F8366" i="1"/>
  <c r="E8366" i="1"/>
  <c r="D8366" i="1"/>
  <c r="F8365" i="1"/>
  <c r="E8365" i="1"/>
  <c r="D8365" i="1"/>
  <c r="F8364" i="1"/>
  <c r="E8364" i="1"/>
  <c r="D8364" i="1"/>
  <c r="F8363" i="1"/>
  <c r="E8363" i="1"/>
  <c r="D8363" i="1"/>
  <c r="F8362" i="1"/>
  <c r="E8362" i="1"/>
  <c r="D8362" i="1"/>
  <c r="F8361" i="1"/>
  <c r="E8361" i="1"/>
  <c r="D8361" i="1"/>
  <c r="F8360" i="1"/>
  <c r="E8360" i="1"/>
  <c r="D8360" i="1"/>
  <c r="F8359" i="1"/>
  <c r="E8359" i="1"/>
  <c r="D8359" i="1"/>
  <c r="F8358" i="1"/>
  <c r="E8358" i="1"/>
  <c r="D8358" i="1"/>
  <c r="F8357" i="1"/>
  <c r="E8357" i="1"/>
  <c r="D8357" i="1"/>
  <c r="F8356" i="1"/>
  <c r="E8356" i="1"/>
  <c r="D8356" i="1"/>
  <c r="F8355" i="1"/>
  <c r="E8355" i="1"/>
  <c r="D8355" i="1"/>
  <c r="F8354" i="1"/>
  <c r="E8354" i="1"/>
  <c r="D8354" i="1"/>
  <c r="F8353" i="1"/>
  <c r="E8353" i="1"/>
  <c r="D8353" i="1"/>
  <c r="F8352" i="1"/>
  <c r="E8352" i="1"/>
  <c r="D8352" i="1"/>
  <c r="F8351" i="1"/>
  <c r="E8351" i="1"/>
  <c r="D8351" i="1"/>
  <c r="F8350" i="1"/>
  <c r="E8350" i="1"/>
  <c r="D8350" i="1"/>
  <c r="F8349" i="1"/>
  <c r="E8349" i="1"/>
  <c r="D8349" i="1"/>
  <c r="F8348" i="1"/>
  <c r="E8348" i="1"/>
  <c r="D8348" i="1"/>
  <c r="F8347" i="1"/>
  <c r="E8347" i="1"/>
  <c r="D8347" i="1"/>
  <c r="F8346" i="1"/>
  <c r="E8346" i="1"/>
  <c r="D8346" i="1"/>
  <c r="F8345" i="1"/>
  <c r="E8345" i="1"/>
  <c r="D8345" i="1"/>
  <c r="F8344" i="1"/>
  <c r="E8344" i="1"/>
  <c r="D8344" i="1"/>
  <c r="F8343" i="1"/>
  <c r="E8343" i="1"/>
  <c r="D8343" i="1"/>
  <c r="F8342" i="1"/>
  <c r="E8342" i="1"/>
  <c r="D8342" i="1"/>
  <c r="F8341" i="1"/>
  <c r="E8341" i="1"/>
  <c r="D8341" i="1"/>
  <c r="F8340" i="1"/>
  <c r="E8340" i="1"/>
  <c r="D8340" i="1"/>
  <c r="F8339" i="1"/>
  <c r="E8339" i="1"/>
  <c r="D8339" i="1"/>
  <c r="F8338" i="1"/>
  <c r="E8338" i="1"/>
  <c r="D8338" i="1"/>
  <c r="F8337" i="1"/>
  <c r="E8337" i="1"/>
  <c r="D8337" i="1"/>
  <c r="F8336" i="1"/>
  <c r="E8336" i="1"/>
  <c r="D8336" i="1"/>
  <c r="F8335" i="1"/>
  <c r="E8335" i="1"/>
  <c r="D8335" i="1"/>
  <c r="F8334" i="1"/>
  <c r="E8334" i="1"/>
  <c r="D8334" i="1"/>
  <c r="F8333" i="1"/>
  <c r="E8333" i="1"/>
  <c r="D8333" i="1"/>
  <c r="F8332" i="1"/>
  <c r="E8332" i="1"/>
  <c r="D8332" i="1"/>
  <c r="F8331" i="1"/>
  <c r="E8331" i="1"/>
  <c r="D8331" i="1"/>
  <c r="F8330" i="1"/>
  <c r="E8330" i="1"/>
  <c r="D8330" i="1"/>
  <c r="F8329" i="1"/>
  <c r="E8329" i="1"/>
  <c r="D8329" i="1"/>
  <c r="F8328" i="1"/>
  <c r="E8328" i="1"/>
  <c r="D8328" i="1"/>
  <c r="F8327" i="1"/>
  <c r="E8327" i="1"/>
  <c r="D8327" i="1"/>
  <c r="F8326" i="1"/>
  <c r="E8326" i="1"/>
  <c r="D8326" i="1"/>
  <c r="F8325" i="1"/>
  <c r="E8325" i="1"/>
  <c r="D8325" i="1"/>
  <c r="F8324" i="1"/>
  <c r="E8324" i="1"/>
  <c r="D8324" i="1"/>
  <c r="F8323" i="1"/>
  <c r="E8323" i="1"/>
  <c r="D8323" i="1"/>
  <c r="F8322" i="1"/>
  <c r="E8322" i="1"/>
  <c r="D8322" i="1"/>
  <c r="F8321" i="1"/>
  <c r="E8321" i="1"/>
  <c r="D8321" i="1"/>
  <c r="F8320" i="1"/>
  <c r="E8320" i="1"/>
  <c r="D8320" i="1"/>
  <c r="F8319" i="1"/>
  <c r="E8319" i="1"/>
  <c r="D8319" i="1"/>
  <c r="F8318" i="1"/>
  <c r="E8318" i="1"/>
  <c r="D8318" i="1"/>
  <c r="F8317" i="1"/>
  <c r="E8317" i="1"/>
  <c r="D8317" i="1"/>
  <c r="F8316" i="1"/>
  <c r="E8316" i="1"/>
  <c r="D8316" i="1"/>
  <c r="F8315" i="1"/>
  <c r="E8315" i="1"/>
  <c r="D8315" i="1"/>
  <c r="F8314" i="1"/>
  <c r="E8314" i="1"/>
  <c r="D8314" i="1"/>
  <c r="F8313" i="1"/>
  <c r="E8313" i="1"/>
  <c r="D8313" i="1"/>
  <c r="F8312" i="1"/>
  <c r="E8312" i="1"/>
  <c r="D8312" i="1"/>
  <c r="F8311" i="1"/>
  <c r="E8311" i="1"/>
  <c r="D8311" i="1"/>
  <c r="F8310" i="1"/>
  <c r="E8310" i="1"/>
  <c r="D8310" i="1"/>
  <c r="F8309" i="1"/>
  <c r="E8309" i="1"/>
  <c r="D8309" i="1"/>
  <c r="F8308" i="1"/>
  <c r="E8308" i="1"/>
  <c r="D8308" i="1"/>
  <c r="F8307" i="1"/>
  <c r="E8307" i="1"/>
  <c r="D8307" i="1"/>
  <c r="F8306" i="1"/>
  <c r="E8306" i="1"/>
  <c r="D8306" i="1"/>
  <c r="F8305" i="1"/>
  <c r="E8305" i="1"/>
  <c r="D8305" i="1"/>
  <c r="F8304" i="1"/>
  <c r="E8304" i="1"/>
  <c r="D8304" i="1"/>
  <c r="F8303" i="1"/>
  <c r="E8303" i="1"/>
  <c r="D8303" i="1"/>
  <c r="F8302" i="1"/>
  <c r="E8302" i="1"/>
  <c r="D8302" i="1"/>
  <c r="F8301" i="1"/>
  <c r="E8301" i="1"/>
  <c r="D8301" i="1"/>
  <c r="F8300" i="1"/>
  <c r="E8300" i="1"/>
  <c r="D8300" i="1"/>
  <c r="F8299" i="1"/>
  <c r="E8299" i="1"/>
  <c r="D8299" i="1"/>
  <c r="F8298" i="1"/>
  <c r="E8298" i="1"/>
  <c r="D8298" i="1"/>
  <c r="F8297" i="1"/>
  <c r="E8297" i="1"/>
  <c r="D8297" i="1"/>
  <c r="F8296" i="1"/>
  <c r="E8296" i="1"/>
  <c r="D8296" i="1"/>
  <c r="F8295" i="1"/>
  <c r="E8295" i="1"/>
  <c r="D8295" i="1"/>
  <c r="F8294" i="1"/>
  <c r="E8294" i="1"/>
  <c r="D8294" i="1"/>
  <c r="F8293" i="1"/>
  <c r="E8293" i="1"/>
  <c r="D8293" i="1"/>
  <c r="F8292" i="1"/>
  <c r="E8292" i="1"/>
  <c r="D8292" i="1"/>
  <c r="F8291" i="1"/>
  <c r="E8291" i="1"/>
  <c r="D8291" i="1"/>
  <c r="F8290" i="1"/>
  <c r="E8290" i="1"/>
  <c r="D8290" i="1"/>
  <c r="F8289" i="1"/>
  <c r="E8289" i="1"/>
  <c r="D8289" i="1"/>
  <c r="F8288" i="1"/>
  <c r="E8288" i="1"/>
  <c r="D8288" i="1"/>
  <c r="F8287" i="1"/>
  <c r="E8287" i="1"/>
  <c r="D8287" i="1"/>
  <c r="F8286" i="1"/>
  <c r="E8286" i="1"/>
  <c r="D8286" i="1"/>
  <c r="F8285" i="1"/>
  <c r="E8285" i="1"/>
  <c r="D8285" i="1"/>
  <c r="F8284" i="1"/>
  <c r="E8284" i="1"/>
  <c r="D8284" i="1"/>
  <c r="F8283" i="1"/>
  <c r="E8283" i="1"/>
  <c r="D8283" i="1"/>
  <c r="F8282" i="1"/>
  <c r="E8282" i="1"/>
  <c r="D8282" i="1"/>
  <c r="F8281" i="1"/>
  <c r="E8281" i="1"/>
  <c r="D8281" i="1"/>
  <c r="F8280" i="1"/>
  <c r="E8280" i="1"/>
  <c r="D8280" i="1"/>
  <c r="F8279" i="1"/>
  <c r="E8279" i="1"/>
  <c r="D8279" i="1"/>
  <c r="F8278" i="1"/>
  <c r="E8278" i="1"/>
  <c r="D8278" i="1"/>
  <c r="F8277" i="1"/>
  <c r="E8277" i="1"/>
  <c r="D8277" i="1"/>
  <c r="F8276" i="1"/>
  <c r="E8276" i="1"/>
  <c r="D8276" i="1"/>
  <c r="F8275" i="1"/>
  <c r="E8275" i="1"/>
  <c r="D8275" i="1"/>
  <c r="F8274" i="1"/>
  <c r="E8274" i="1"/>
  <c r="D8274" i="1"/>
  <c r="F8273" i="1"/>
  <c r="E8273" i="1"/>
  <c r="D8273" i="1"/>
  <c r="F8272" i="1"/>
  <c r="E8272" i="1"/>
  <c r="D8272" i="1"/>
  <c r="F8271" i="1"/>
  <c r="E8271" i="1"/>
  <c r="D8271" i="1"/>
  <c r="F8270" i="1"/>
  <c r="E8270" i="1"/>
  <c r="D8270" i="1"/>
  <c r="F8269" i="1"/>
  <c r="E8269" i="1"/>
  <c r="D8269" i="1"/>
  <c r="F8268" i="1"/>
  <c r="E8268" i="1"/>
  <c r="D8268" i="1"/>
  <c r="F8267" i="1"/>
  <c r="E8267" i="1"/>
  <c r="D8267" i="1"/>
  <c r="F8266" i="1"/>
  <c r="E8266" i="1"/>
  <c r="D8266" i="1"/>
  <c r="F8265" i="1"/>
  <c r="E8265" i="1"/>
  <c r="D8265" i="1"/>
  <c r="F8264" i="1"/>
  <c r="E8264" i="1"/>
  <c r="D8264" i="1"/>
  <c r="F8263" i="1"/>
  <c r="E8263" i="1"/>
  <c r="D8263" i="1"/>
  <c r="F8262" i="1"/>
  <c r="E8262" i="1"/>
  <c r="D8262" i="1"/>
  <c r="F8261" i="1"/>
  <c r="E8261" i="1"/>
  <c r="D8261" i="1"/>
  <c r="F8260" i="1"/>
  <c r="E8260" i="1"/>
  <c r="D8260" i="1"/>
  <c r="F8259" i="1"/>
  <c r="E8259" i="1"/>
  <c r="D8259" i="1"/>
  <c r="F8258" i="1"/>
  <c r="E8258" i="1"/>
  <c r="D8258" i="1"/>
  <c r="F8257" i="1"/>
  <c r="E8257" i="1"/>
  <c r="D8257" i="1"/>
  <c r="F8256" i="1"/>
  <c r="E8256" i="1"/>
  <c r="D8256" i="1"/>
  <c r="F8255" i="1"/>
  <c r="E8255" i="1"/>
  <c r="D8255" i="1"/>
  <c r="F8254" i="1"/>
  <c r="E8254" i="1"/>
  <c r="D8254" i="1"/>
  <c r="F8253" i="1"/>
  <c r="E8253" i="1"/>
  <c r="D8253" i="1"/>
  <c r="F8252" i="1"/>
  <c r="E8252" i="1"/>
  <c r="D8252" i="1"/>
  <c r="F8251" i="1"/>
  <c r="E8251" i="1"/>
  <c r="D8251" i="1"/>
  <c r="F8250" i="1"/>
  <c r="E8250" i="1"/>
  <c r="D8250" i="1"/>
  <c r="F8249" i="1"/>
  <c r="E8249" i="1"/>
  <c r="D8249" i="1"/>
  <c r="F8248" i="1"/>
  <c r="E8248" i="1"/>
  <c r="D8248" i="1"/>
  <c r="F8247" i="1"/>
  <c r="E8247" i="1"/>
  <c r="D8247" i="1"/>
  <c r="F8246" i="1"/>
  <c r="E8246" i="1"/>
  <c r="D8246" i="1"/>
  <c r="F8245" i="1"/>
  <c r="E8245" i="1"/>
  <c r="D8245" i="1"/>
  <c r="F8244" i="1"/>
  <c r="E8244" i="1"/>
  <c r="D8244" i="1"/>
  <c r="F8243" i="1"/>
  <c r="E8243" i="1"/>
  <c r="D8243" i="1"/>
  <c r="F8242" i="1"/>
  <c r="E8242" i="1"/>
  <c r="D8242" i="1"/>
  <c r="F8241" i="1"/>
  <c r="E8241" i="1"/>
  <c r="D8241" i="1"/>
  <c r="F8240" i="1"/>
  <c r="E8240" i="1"/>
  <c r="D8240" i="1"/>
  <c r="F8239" i="1"/>
  <c r="E8239" i="1"/>
  <c r="D8239" i="1"/>
  <c r="F8238" i="1"/>
  <c r="E8238" i="1"/>
  <c r="D8238" i="1"/>
  <c r="F8237" i="1"/>
  <c r="E8237" i="1"/>
  <c r="D8237" i="1"/>
  <c r="F8236" i="1"/>
  <c r="E8236" i="1"/>
  <c r="D8236" i="1"/>
  <c r="F8235" i="1"/>
  <c r="E8235" i="1"/>
  <c r="D8235" i="1"/>
  <c r="F8234" i="1"/>
  <c r="E8234" i="1"/>
  <c r="D8234" i="1"/>
  <c r="F8233" i="1"/>
  <c r="E8233" i="1"/>
  <c r="D8233" i="1"/>
  <c r="F8232" i="1"/>
  <c r="E8232" i="1"/>
  <c r="D8232" i="1"/>
  <c r="F8231" i="1"/>
  <c r="E8231" i="1"/>
  <c r="D8231" i="1"/>
  <c r="F8230" i="1"/>
  <c r="E8230" i="1"/>
  <c r="D8230" i="1"/>
  <c r="F8229" i="1"/>
  <c r="E8229" i="1"/>
  <c r="D8229" i="1"/>
  <c r="F8228" i="1"/>
  <c r="E8228" i="1"/>
  <c r="D8228" i="1"/>
  <c r="F8227" i="1"/>
  <c r="E8227" i="1"/>
  <c r="D8227" i="1"/>
  <c r="F8226" i="1"/>
  <c r="E8226" i="1"/>
  <c r="D8226" i="1"/>
  <c r="F8225" i="1"/>
  <c r="E8225" i="1"/>
  <c r="D8225" i="1"/>
  <c r="F8224" i="1"/>
  <c r="E8224" i="1"/>
  <c r="D8224" i="1"/>
  <c r="F8223" i="1"/>
  <c r="E8223" i="1"/>
  <c r="D8223" i="1"/>
  <c r="F8222" i="1"/>
  <c r="E8222" i="1"/>
  <c r="D8222" i="1"/>
  <c r="F8221" i="1"/>
  <c r="E8221" i="1"/>
  <c r="D8221" i="1"/>
  <c r="F8220" i="1"/>
  <c r="E8220" i="1"/>
  <c r="D8220" i="1"/>
  <c r="F8219" i="1"/>
  <c r="E8219" i="1"/>
  <c r="D8219" i="1"/>
  <c r="F8218" i="1"/>
  <c r="E8218" i="1"/>
  <c r="D8218" i="1"/>
  <c r="F8217" i="1"/>
  <c r="E8217" i="1"/>
  <c r="D8217" i="1"/>
  <c r="F8216" i="1"/>
  <c r="E8216" i="1"/>
  <c r="D8216" i="1"/>
  <c r="F8215" i="1"/>
  <c r="E8215" i="1"/>
  <c r="D8215" i="1"/>
  <c r="F8214" i="1"/>
  <c r="E8214" i="1"/>
  <c r="D8214" i="1"/>
  <c r="F8213" i="1"/>
  <c r="E8213" i="1"/>
  <c r="D8213" i="1"/>
  <c r="F8212" i="1"/>
  <c r="E8212" i="1"/>
  <c r="D8212" i="1"/>
  <c r="F8211" i="1"/>
  <c r="E8211" i="1"/>
  <c r="D8211" i="1"/>
  <c r="F8210" i="1"/>
  <c r="E8210" i="1"/>
  <c r="D8210" i="1"/>
  <c r="F8209" i="1"/>
  <c r="E8209" i="1"/>
  <c r="D8209" i="1"/>
  <c r="F8208" i="1"/>
  <c r="E8208" i="1"/>
  <c r="D8208" i="1"/>
  <c r="F8207" i="1"/>
  <c r="E8207" i="1"/>
  <c r="D8207" i="1"/>
  <c r="F8206" i="1"/>
  <c r="E8206" i="1"/>
  <c r="D8206" i="1"/>
  <c r="F8205" i="1"/>
  <c r="E8205" i="1"/>
  <c r="D8205" i="1"/>
  <c r="F8204" i="1"/>
  <c r="E8204" i="1"/>
  <c r="D8204" i="1"/>
  <c r="F8203" i="1"/>
  <c r="E8203" i="1"/>
  <c r="D8203" i="1"/>
  <c r="F8202" i="1"/>
  <c r="E8202" i="1"/>
  <c r="D8202" i="1"/>
  <c r="F8201" i="1"/>
  <c r="E8201" i="1"/>
  <c r="D8201" i="1"/>
  <c r="F8200" i="1"/>
  <c r="E8200" i="1"/>
  <c r="D8200" i="1"/>
  <c r="F8199" i="1"/>
  <c r="E8199" i="1"/>
  <c r="D8199" i="1"/>
  <c r="F8198" i="1"/>
  <c r="E8198" i="1"/>
  <c r="D8198" i="1"/>
  <c r="F8197" i="1"/>
  <c r="E8197" i="1"/>
  <c r="D8197" i="1"/>
  <c r="F8196" i="1"/>
  <c r="E8196" i="1"/>
  <c r="D8196" i="1"/>
  <c r="F8195" i="1"/>
  <c r="E8195" i="1"/>
  <c r="D8195" i="1"/>
  <c r="F8194" i="1"/>
  <c r="E8194" i="1"/>
  <c r="D8194" i="1"/>
  <c r="F8193" i="1"/>
  <c r="E8193" i="1"/>
  <c r="D8193" i="1"/>
  <c r="F8192" i="1"/>
  <c r="E8192" i="1"/>
  <c r="D8192" i="1"/>
  <c r="F8191" i="1"/>
  <c r="E8191" i="1"/>
  <c r="D8191" i="1"/>
  <c r="F8190" i="1"/>
  <c r="E8190" i="1"/>
  <c r="D8190" i="1"/>
  <c r="F8189" i="1"/>
  <c r="E8189" i="1"/>
  <c r="D8189" i="1"/>
  <c r="F8188" i="1"/>
  <c r="E8188" i="1"/>
  <c r="D8188" i="1"/>
  <c r="F8187" i="1"/>
  <c r="E8187" i="1"/>
  <c r="D8187" i="1"/>
  <c r="F8186" i="1"/>
  <c r="E8186" i="1"/>
  <c r="D8186" i="1"/>
  <c r="F8185" i="1"/>
  <c r="E8185" i="1"/>
  <c r="D8185" i="1"/>
  <c r="F8184" i="1"/>
  <c r="E8184" i="1"/>
  <c r="D8184" i="1"/>
  <c r="F8183" i="1"/>
  <c r="E8183" i="1"/>
  <c r="D8183" i="1"/>
  <c r="F8182" i="1"/>
  <c r="E8182" i="1"/>
  <c r="D8182" i="1"/>
  <c r="F8181" i="1"/>
  <c r="E8181" i="1"/>
  <c r="D8181" i="1"/>
  <c r="F8180" i="1"/>
  <c r="E8180" i="1"/>
  <c r="D8180" i="1"/>
  <c r="F8179" i="1"/>
  <c r="E8179" i="1"/>
  <c r="D8179" i="1"/>
  <c r="F8178" i="1"/>
  <c r="E8178" i="1"/>
  <c r="D8178" i="1"/>
  <c r="F8177" i="1"/>
  <c r="E8177" i="1"/>
  <c r="D8177" i="1"/>
  <c r="F8176" i="1"/>
  <c r="E8176" i="1"/>
  <c r="D8176" i="1"/>
  <c r="F8175" i="1"/>
  <c r="E8175" i="1"/>
  <c r="D8175" i="1"/>
  <c r="F8174" i="1"/>
  <c r="E8174" i="1"/>
  <c r="D8174" i="1"/>
  <c r="F8173" i="1"/>
  <c r="E8173" i="1"/>
  <c r="D8173" i="1"/>
  <c r="F8172" i="1"/>
  <c r="E8172" i="1"/>
  <c r="D8172" i="1"/>
  <c r="F8171" i="1"/>
  <c r="E8171" i="1"/>
  <c r="D8171" i="1"/>
  <c r="F8170" i="1"/>
  <c r="E8170" i="1"/>
  <c r="D8170" i="1"/>
  <c r="F8169" i="1"/>
  <c r="E8169" i="1"/>
  <c r="D8169" i="1"/>
  <c r="F8168" i="1"/>
  <c r="E8168" i="1"/>
  <c r="D8168" i="1"/>
  <c r="F8167" i="1"/>
  <c r="E8167" i="1"/>
  <c r="D8167" i="1"/>
  <c r="F8166" i="1"/>
  <c r="E8166" i="1"/>
  <c r="D8166" i="1"/>
  <c r="F8165" i="1"/>
  <c r="E8165" i="1"/>
  <c r="D8165" i="1"/>
  <c r="F8164" i="1"/>
  <c r="E8164" i="1"/>
  <c r="D8164" i="1"/>
  <c r="F8163" i="1"/>
  <c r="E8163" i="1"/>
  <c r="D8163" i="1"/>
  <c r="F8162" i="1"/>
  <c r="E8162" i="1"/>
  <c r="D8162" i="1"/>
  <c r="F8161" i="1"/>
  <c r="E8161" i="1"/>
  <c r="D8161" i="1"/>
  <c r="F8160" i="1"/>
  <c r="E8160" i="1"/>
  <c r="D8160" i="1"/>
  <c r="F8159" i="1"/>
  <c r="E8159" i="1"/>
  <c r="D8159" i="1"/>
  <c r="F8158" i="1"/>
  <c r="E8158" i="1"/>
  <c r="D8158" i="1"/>
  <c r="F8157" i="1"/>
  <c r="E8157" i="1"/>
  <c r="D8157" i="1"/>
  <c r="F8156" i="1"/>
  <c r="E8156" i="1"/>
  <c r="D8156" i="1"/>
  <c r="F8155" i="1"/>
  <c r="E8155" i="1"/>
  <c r="D8155" i="1"/>
  <c r="F8154" i="1"/>
  <c r="E8154" i="1"/>
  <c r="D8154" i="1"/>
  <c r="F8153" i="1"/>
  <c r="E8153" i="1"/>
  <c r="D8153" i="1"/>
  <c r="F8152" i="1"/>
  <c r="E8152" i="1"/>
  <c r="D8152" i="1"/>
  <c r="F8151" i="1"/>
  <c r="E8151" i="1"/>
  <c r="D8151" i="1"/>
  <c r="F8150" i="1"/>
  <c r="E8150" i="1"/>
  <c r="D8150" i="1"/>
  <c r="F8149" i="1"/>
  <c r="E8149" i="1"/>
  <c r="D8149" i="1"/>
  <c r="F8148" i="1"/>
  <c r="E8148" i="1"/>
  <c r="D8148" i="1"/>
  <c r="F8147" i="1"/>
  <c r="E8147" i="1"/>
  <c r="D8147" i="1"/>
  <c r="F8146" i="1"/>
  <c r="E8146" i="1"/>
  <c r="D8146" i="1"/>
  <c r="F8145" i="1"/>
  <c r="E8145" i="1"/>
  <c r="D8145" i="1"/>
  <c r="F8144" i="1"/>
  <c r="E8144" i="1"/>
  <c r="D8144" i="1"/>
  <c r="F8143" i="1"/>
  <c r="E8143" i="1"/>
  <c r="D8143" i="1"/>
  <c r="F8142" i="1"/>
  <c r="E8142" i="1"/>
  <c r="D8142" i="1"/>
  <c r="F8141" i="1"/>
  <c r="E8141" i="1"/>
  <c r="D8141" i="1"/>
  <c r="F8140" i="1"/>
  <c r="E8140" i="1"/>
  <c r="D8140" i="1"/>
  <c r="F8139" i="1"/>
  <c r="E8139" i="1"/>
  <c r="D8139" i="1"/>
  <c r="F8138" i="1"/>
  <c r="E8138" i="1"/>
  <c r="D8138" i="1"/>
  <c r="F8137" i="1"/>
  <c r="E8137" i="1"/>
  <c r="D8137" i="1"/>
  <c r="F8136" i="1"/>
  <c r="E8136" i="1"/>
  <c r="D8136" i="1"/>
  <c r="F8135" i="1"/>
  <c r="E8135" i="1"/>
  <c r="D8135" i="1"/>
  <c r="F8134" i="1"/>
  <c r="E8134" i="1"/>
  <c r="D8134" i="1"/>
  <c r="F8133" i="1"/>
  <c r="E8133" i="1"/>
  <c r="D8133" i="1"/>
  <c r="F8132" i="1"/>
  <c r="E8132" i="1"/>
  <c r="D8132" i="1"/>
  <c r="F8131" i="1"/>
  <c r="E8131" i="1"/>
  <c r="D8131" i="1"/>
  <c r="F8130" i="1"/>
  <c r="E8130" i="1"/>
  <c r="D8130" i="1"/>
  <c r="F8129" i="1"/>
  <c r="E8129" i="1"/>
  <c r="D8129" i="1"/>
  <c r="F8128" i="1"/>
  <c r="E8128" i="1"/>
  <c r="D8128" i="1"/>
  <c r="F8127" i="1"/>
  <c r="E8127" i="1"/>
  <c r="D8127" i="1"/>
  <c r="F8126" i="1"/>
  <c r="E8126" i="1"/>
  <c r="D8126" i="1"/>
  <c r="F8125" i="1"/>
  <c r="E8125" i="1"/>
  <c r="D8125" i="1"/>
  <c r="F8124" i="1"/>
  <c r="E8124" i="1"/>
  <c r="D8124" i="1"/>
  <c r="F8123" i="1"/>
  <c r="E8123" i="1"/>
  <c r="D8123" i="1"/>
  <c r="F8122" i="1"/>
  <c r="E8122" i="1"/>
  <c r="D8122" i="1"/>
  <c r="F8121" i="1"/>
  <c r="E8121" i="1"/>
  <c r="D8121" i="1"/>
  <c r="F8120" i="1"/>
  <c r="E8120" i="1"/>
  <c r="D8120" i="1"/>
  <c r="F8119" i="1"/>
  <c r="E8119" i="1"/>
  <c r="D8119" i="1"/>
  <c r="F8118" i="1"/>
  <c r="E8118" i="1"/>
  <c r="D8118" i="1"/>
  <c r="F8117" i="1"/>
  <c r="E8117" i="1"/>
  <c r="D8117" i="1"/>
  <c r="F8116" i="1"/>
  <c r="E8116" i="1"/>
  <c r="D8116" i="1"/>
  <c r="F8115" i="1"/>
  <c r="E8115" i="1"/>
  <c r="D8115" i="1"/>
  <c r="F8114" i="1"/>
  <c r="E8114" i="1"/>
  <c r="D8114" i="1"/>
  <c r="F8113" i="1"/>
  <c r="E8113" i="1"/>
  <c r="D8113" i="1"/>
  <c r="F8112" i="1"/>
  <c r="E8112" i="1"/>
  <c r="D8112" i="1"/>
  <c r="F8111" i="1"/>
  <c r="E8111" i="1"/>
  <c r="D8111" i="1"/>
  <c r="F8110" i="1"/>
  <c r="E8110" i="1"/>
  <c r="D8110" i="1"/>
  <c r="F8109" i="1"/>
  <c r="E8109" i="1"/>
  <c r="D8109" i="1"/>
  <c r="F8108" i="1"/>
  <c r="E8108" i="1"/>
  <c r="D8108" i="1"/>
  <c r="F8107" i="1"/>
  <c r="E8107" i="1"/>
  <c r="D8107" i="1"/>
  <c r="F8106" i="1"/>
  <c r="E8106" i="1"/>
  <c r="D8106" i="1"/>
  <c r="F8105" i="1"/>
  <c r="E8105" i="1"/>
  <c r="D8105" i="1"/>
  <c r="F8104" i="1"/>
  <c r="E8104" i="1"/>
  <c r="D8104" i="1"/>
  <c r="F8103" i="1"/>
  <c r="E8103" i="1"/>
  <c r="D8103" i="1"/>
  <c r="F8102" i="1"/>
  <c r="E8102" i="1"/>
  <c r="D8102" i="1"/>
  <c r="F8101" i="1"/>
  <c r="E8101" i="1"/>
  <c r="D8101" i="1"/>
  <c r="F8100" i="1"/>
  <c r="E8100" i="1"/>
  <c r="D8100" i="1"/>
  <c r="F8099" i="1"/>
  <c r="E8099" i="1"/>
  <c r="D8099" i="1"/>
  <c r="F8098" i="1"/>
  <c r="E8098" i="1"/>
  <c r="D8098" i="1"/>
  <c r="F8097" i="1"/>
  <c r="E8097" i="1"/>
  <c r="D8097" i="1"/>
  <c r="F8096" i="1"/>
  <c r="E8096" i="1"/>
  <c r="D8096" i="1"/>
  <c r="F8095" i="1"/>
  <c r="E8095" i="1"/>
  <c r="D8095" i="1"/>
  <c r="F8094" i="1"/>
  <c r="E8094" i="1"/>
  <c r="D8094" i="1"/>
  <c r="F8093" i="1"/>
  <c r="E8093" i="1"/>
  <c r="D8093" i="1"/>
  <c r="F8092" i="1"/>
  <c r="E8092" i="1"/>
  <c r="D8092" i="1"/>
  <c r="F8091" i="1"/>
  <c r="E8091" i="1"/>
  <c r="D8091" i="1"/>
  <c r="F8090" i="1"/>
  <c r="E8090" i="1"/>
  <c r="D8090" i="1"/>
  <c r="F8089" i="1"/>
  <c r="E8089" i="1"/>
  <c r="D8089" i="1"/>
  <c r="F8088" i="1"/>
  <c r="E8088" i="1"/>
  <c r="D8088" i="1"/>
  <c r="F8087" i="1"/>
  <c r="E8087" i="1"/>
  <c r="D8087" i="1"/>
  <c r="F8086" i="1"/>
  <c r="E8086" i="1"/>
  <c r="D8086" i="1"/>
  <c r="F8085" i="1"/>
  <c r="E8085" i="1"/>
  <c r="D8085" i="1"/>
  <c r="F8084" i="1"/>
  <c r="E8084" i="1"/>
  <c r="D8084" i="1"/>
  <c r="F8083" i="1"/>
  <c r="E8083" i="1"/>
  <c r="D8083" i="1"/>
  <c r="F8082" i="1"/>
  <c r="E8082" i="1"/>
  <c r="D8082" i="1"/>
  <c r="F8081" i="1"/>
  <c r="E8081" i="1"/>
  <c r="D8081" i="1"/>
  <c r="F8080" i="1"/>
  <c r="E8080" i="1"/>
  <c r="D8080" i="1"/>
  <c r="F8079" i="1"/>
  <c r="E8079" i="1"/>
  <c r="D8079" i="1"/>
  <c r="F8078" i="1"/>
  <c r="E8078" i="1"/>
  <c r="D8078" i="1"/>
  <c r="F8077" i="1"/>
  <c r="E8077" i="1"/>
  <c r="D8077" i="1"/>
  <c r="F8076" i="1"/>
  <c r="E8076" i="1"/>
  <c r="D8076" i="1"/>
  <c r="F8075" i="1"/>
  <c r="E8075" i="1"/>
  <c r="D8075" i="1"/>
  <c r="F8074" i="1"/>
  <c r="E8074" i="1"/>
  <c r="D8074" i="1"/>
  <c r="F8073" i="1"/>
  <c r="E8073" i="1"/>
  <c r="D8073" i="1"/>
  <c r="F8072" i="1"/>
  <c r="E8072" i="1"/>
  <c r="D8072" i="1"/>
  <c r="F8071" i="1"/>
  <c r="E8071" i="1"/>
  <c r="D8071" i="1"/>
  <c r="F8070" i="1"/>
  <c r="E8070" i="1"/>
  <c r="D8070" i="1"/>
  <c r="F8069" i="1"/>
  <c r="E8069" i="1"/>
  <c r="D8069" i="1"/>
  <c r="F8068" i="1"/>
  <c r="E8068" i="1"/>
  <c r="D8068" i="1"/>
  <c r="F8067" i="1"/>
  <c r="E8067" i="1"/>
  <c r="D8067" i="1"/>
  <c r="F8066" i="1"/>
  <c r="E8066" i="1"/>
  <c r="D8066" i="1"/>
  <c r="F8065" i="1"/>
  <c r="E8065" i="1"/>
  <c r="D8065" i="1"/>
  <c r="F8064" i="1"/>
  <c r="E8064" i="1"/>
  <c r="D8064" i="1"/>
  <c r="F8063" i="1"/>
  <c r="E8063" i="1"/>
  <c r="D8063" i="1"/>
  <c r="F8062" i="1"/>
  <c r="E8062" i="1"/>
  <c r="D8062" i="1"/>
  <c r="F8061" i="1"/>
  <c r="E8061" i="1"/>
  <c r="D8061" i="1"/>
  <c r="F8060" i="1"/>
  <c r="E8060" i="1"/>
  <c r="D8060" i="1"/>
  <c r="F8059" i="1"/>
  <c r="E8059" i="1"/>
  <c r="D8059" i="1"/>
  <c r="F8058" i="1"/>
  <c r="E8058" i="1"/>
  <c r="D8058" i="1"/>
  <c r="F8057" i="1"/>
  <c r="E8057" i="1"/>
  <c r="D8057" i="1"/>
  <c r="F8056" i="1"/>
  <c r="E8056" i="1"/>
  <c r="D8056" i="1"/>
  <c r="F8055" i="1"/>
  <c r="E8055" i="1"/>
  <c r="D8055" i="1"/>
  <c r="F8054" i="1"/>
  <c r="E8054" i="1"/>
  <c r="D8054" i="1"/>
  <c r="F8053" i="1"/>
  <c r="E8053" i="1"/>
  <c r="D8053" i="1"/>
  <c r="F8052" i="1"/>
  <c r="E8052" i="1"/>
  <c r="D8052" i="1"/>
  <c r="F8051" i="1"/>
  <c r="E8051" i="1"/>
  <c r="D8051" i="1"/>
  <c r="F8050" i="1"/>
  <c r="E8050" i="1"/>
  <c r="D8050" i="1"/>
  <c r="F8049" i="1"/>
  <c r="E8049" i="1"/>
  <c r="D8049" i="1"/>
  <c r="F8048" i="1"/>
  <c r="E8048" i="1"/>
  <c r="D8048" i="1"/>
  <c r="F8047" i="1"/>
  <c r="E8047" i="1"/>
  <c r="D8047" i="1"/>
  <c r="F8046" i="1"/>
  <c r="E8046" i="1"/>
  <c r="D8046" i="1"/>
  <c r="F8045" i="1"/>
  <c r="E8045" i="1"/>
  <c r="D8045" i="1"/>
  <c r="F8044" i="1"/>
  <c r="E8044" i="1"/>
  <c r="D8044" i="1"/>
  <c r="F8043" i="1"/>
  <c r="E8043" i="1"/>
  <c r="D8043" i="1"/>
  <c r="F8042" i="1"/>
  <c r="E8042" i="1"/>
  <c r="D8042" i="1"/>
  <c r="F8041" i="1"/>
  <c r="E8041" i="1"/>
  <c r="D8041" i="1"/>
  <c r="F8040" i="1"/>
  <c r="E8040" i="1"/>
  <c r="D8040" i="1"/>
  <c r="F8039" i="1"/>
  <c r="E8039" i="1"/>
  <c r="D8039" i="1"/>
  <c r="F8038" i="1"/>
  <c r="E8038" i="1"/>
  <c r="D8038" i="1"/>
  <c r="F8037" i="1"/>
  <c r="E8037" i="1"/>
  <c r="D8037" i="1"/>
  <c r="F8036" i="1"/>
  <c r="E8036" i="1"/>
  <c r="D8036" i="1"/>
  <c r="F8035" i="1"/>
  <c r="E8035" i="1"/>
  <c r="D8035" i="1"/>
  <c r="F8034" i="1"/>
  <c r="E8034" i="1"/>
  <c r="D8034" i="1"/>
  <c r="F8033" i="1"/>
  <c r="E8033" i="1"/>
  <c r="D8033" i="1"/>
  <c r="F8032" i="1"/>
  <c r="E8032" i="1"/>
  <c r="D8032" i="1"/>
  <c r="F8031" i="1"/>
  <c r="E8031" i="1"/>
  <c r="D8031" i="1"/>
  <c r="F8030" i="1"/>
  <c r="E8030" i="1"/>
  <c r="D8030" i="1"/>
  <c r="F8029" i="1"/>
  <c r="E8029" i="1"/>
  <c r="D8029" i="1"/>
  <c r="F8028" i="1"/>
  <c r="E8028" i="1"/>
  <c r="D8028" i="1"/>
  <c r="F8027" i="1"/>
  <c r="E8027" i="1"/>
  <c r="D8027" i="1"/>
  <c r="F8026" i="1"/>
  <c r="E8026" i="1"/>
  <c r="D8026" i="1"/>
  <c r="F8025" i="1"/>
  <c r="E8025" i="1"/>
  <c r="D8025" i="1"/>
  <c r="F8024" i="1"/>
  <c r="E8024" i="1"/>
  <c r="D8024" i="1"/>
  <c r="F8023" i="1"/>
  <c r="E8023" i="1"/>
  <c r="D8023" i="1"/>
  <c r="F8022" i="1"/>
  <c r="E8022" i="1"/>
  <c r="D8022" i="1"/>
  <c r="F8021" i="1"/>
  <c r="E8021" i="1"/>
  <c r="D8021" i="1"/>
  <c r="F8020" i="1"/>
  <c r="E8020" i="1"/>
  <c r="D8020" i="1"/>
  <c r="F8019" i="1"/>
  <c r="E8019" i="1"/>
  <c r="D8019" i="1"/>
  <c r="F8018" i="1"/>
  <c r="E8018" i="1"/>
  <c r="D8018" i="1"/>
  <c r="F8017" i="1"/>
  <c r="E8017" i="1"/>
  <c r="D8017" i="1"/>
  <c r="F8016" i="1"/>
  <c r="E8016" i="1"/>
  <c r="D8016" i="1"/>
  <c r="F8015" i="1"/>
  <c r="E8015" i="1"/>
  <c r="D8015" i="1"/>
  <c r="F8014" i="1"/>
  <c r="E8014" i="1"/>
  <c r="D8014" i="1"/>
  <c r="F8013" i="1"/>
  <c r="E8013" i="1"/>
  <c r="D8013" i="1"/>
  <c r="F8012" i="1"/>
  <c r="E8012" i="1"/>
  <c r="D8012" i="1"/>
  <c r="F8011" i="1"/>
  <c r="E8011" i="1"/>
  <c r="D8011" i="1"/>
  <c r="F8010" i="1"/>
  <c r="E8010" i="1"/>
  <c r="D8010" i="1"/>
  <c r="F8009" i="1"/>
  <c r="E8009" i="1"/>
  <c r="D8009" i="1"/>
  <c r="F8008" i="1"/>
  <c r="E8008" i="1"/>
  <c r="D8008" i="1"/>
  <c r="F8007" i="1"/>
  <c r="E8007" i="1"/>
  <c r="D8007" i="1"/>
  <c r="F8006" i="1"/>
  <c r="E8006" i="1"/>
  <c r="D8006" i="1"/>
  <c r="F8005" i="1"/>
  <c r="E8005" i="1"/>
  <c r="D8005" i="1"/>
  <c r="F8004" i="1"/>
  <c r="E8004" i="1"/>
  <c r="D8004" i="1"/>
  <c r="F8003" i="1"/>
  <c r="E8003" i="1"/>
  <c r="D8003" i="1"/>
  <c r="F8002" i="1"/>
  <c r="E8002" i="1"/>
  <c r="D8002" i="1"/>
  <c r="F8001" i="1"/>
  <c r="E8001" i="1"/>
  <c r="D8001" i="1"/>
  <c r="F8000" i="1"/>
  <c r="E8000" i="1"/>
  <c r="D8000" i="1"/>
  <c r="F7999" i="1"/>
  <c r="E7999" i="1"/>
  <c r="D7999" i="1"/>
  <c r="F7998" i="1"/>
  <c r="E7998" i="1"/>
  <c r="D7998" i="1"/>
  <c r="F7997" i="1"/>
  <c r="E7997" i="1"/>
  <c r="D7997" i="1"/>
  <c r="F7996" i="1"/>
  <c r="E7996" i="1"/>
  <c r="D7996" i="1"/>
  <c r="F7995" i="1"/>
  <c r="E7995" i="1"/>
  <c r="D7995" i="1"/>
  <c r="F7994" i="1"/>
  <c r="E7994" i="1"/>
  <c r="D7994" i="1"/>
  <c r="F7993" i="1"/>
  <c r="E7993" i="1"/>
  <c r="D7993" i="1"/>
  <c r="F7992" i="1"/>
  <c r="E7992" i="1"/>
  <c r="D7992" i="1"/>
  <c r="F7991" i="1"/>
  <c r="E7991" i="1"/>
  <c r="D7991" i="1"/>
  <c r="F7990" i="1"/>
  <c r="E7990" i="1"/>
  <c r="D7990" i="1"/>
  <c r="F7989" i="1"/>
  <c r="E7989" i="1"/>
  <c r="D7989" i="1"/>
  <c r="F7988" i="1"/>
  <c r="E7988" i="1"/>
  <c r="D7988" i="1"/>
  <c r="F7987" i="1"/>
  <c r="E7987" i="1"/>
  <c r="D7987" i="1"/>
  <c r="F7986" i="1"/>
  <c r="E7986" i="1"/>
  <c r="D7986" i="1"/>
  <c r="F7985" i="1"/>
  <c r="E7985" i="1"/>
  <c r="D7985" i="1"/>
  <c r="F7984" i="1"/>
  <c r="E7984" i="1"/>
  <c r="D7984" i="1"/>
  <c r="F7983" i="1"/>
  <c r="E7983" i="1"/>
  <c r="D7983" i="1"/>
  <c r="F7982" i="1"/>
  <c r="E7982" i="1"/>
  <c r="D7982" i="1"/>
  <c r="F7981" i="1"/>
  <c r="E7981" i="1"/>
  <c r="D7981" i="1"/>
  <c r="F7980" i="1"/>
  <c r="E7980" i="1"/>
  <c r="D7980" i="1"/>
  <c r="F7979" i="1"/>
  <c r="E7979" i="1"/>
  <c r="D7979" i="1"/>
  <c r="F7978" i="1"/>
  <c r="E7978" i="1"/>
  <c r="D7978" i="1"/>
  <c r="F7977" i="1"/>
  <c r="E7977" i="1"/>
  <c r="D7977" i="1"/>
  <c r="F7976" i="1"/>
  <c r="E7976" i="1"/>
  <c r="D7976" i="1"/>
  <c r="F7975" i="1"/>
  <c r="E7975" i="1"/>
  <c r="D7975" i="1"/>
  <c r="F7974" i="1"/>
  <c r="E7974" i="1"/>
  <c r="D7974" i="1"/>
  <c r="F7973" i="1"/>
  <c r="E7973" i="1"/>
  <c r="D7973" i="1"/>
  <c r="F7972" i="1"/>
  <c r="E7972" i="1"/>
  <c r="D7972" i="1"/>
  <c r="F7971" i="1"/>
  <c r="E7971" i="1"/>
  <c r="D7971" i="1"/>
  <c r="F7970" i="1"/>
  <c r="E7970" i="1"/>
  <c r="D7970" i="1"/>
  <c r="F7969" i="1"/>
  <c r="E7969" i="1"/>
  <c r="D7969" i="1"/>
  <c r="F7968" i="1"/>
  <c r="E7968" i="1"/>
  <c r="D7968" i="1"/>
  <c r="F7967" i="1"/>
  <c r="E7967" i="1"/>
  <c r="D7967" i="1"/>
  <c r="F7966" i="1"/>
  <c r="E7966" i="1"/>
  <c r="D7966" i="1"/>
  <c r="F7965" i="1"/>
  <c r="E7965" i="1"/>
  <c r="D7965" i="1"/>
  <c r="F7964" i="1"/>
  <c r="E7964" i="1"/>
  <c r="D7964" i="1"/>
  <c r="F7963" i="1"/>
  <c r="E7963" i="1"/>
  <c r="D7963" i="1"/>
  <c r="F7962" i="1"/>
  <c r="E7962" i="1"/>
  <c r="D7962" i="1"/>
  <c r="F7961" i="1"/>
  <c r="E7961" i="1"/>
  <c r="D7961" i="1"/>
  <c r="F7960" i="1"/>
  <c r="E7960" i="1"/>
  <c r="D7960" i="1"/>
  <c r="F7959" i="1"/>
  <c r="E7959" i="1"/>
  <c r="D7959" i="1"/>
  <c r="F7958" i="1"/>
  <c r="E7958" i="1"/>
  <c r="D7958" i="1"/>
  <c r="F7957" i="1"/>
  <c r="E7957" i="1"/>
  <c r="D7957" i="1"/>
  <c r="F7956" i="1"/>
  <c r="E7956" i="1"/>
  <c r="D7956" i="1"/>
  <c r="F7955" i="1"/>
  <c r="E7955" i="1"/>
  <c r="D7955" i="1"/>
  <c r="F7954" i="1"/>
  <c r="E7954" i="1"/>
  <c r="D7954" i="1"/>
  <c r="F7953" i="1"/>
  <c r="E7953" i="1"/>
  <c r="D7953" i="1"/>
  <c r="F7952" i="1"/>
  <c r="E7952" i="1"/>
  <c r="D7952" i="1"/>
  <c r="F7951" i="1"/>
  <c r="E7951" i="1"/>
  <c r="D7951" i="1"/>
  <c r="F7950" i="1"/>
  <c r="E7950" i="1"/>
  <c r="D7950" i="1"/>
  <c r="F7949" i="1"/>
  <c r="E7949" i="1"/>
  <c r="D7949" i="1"/>
  <c r="F7948" i="1"/>
  <c r="E7948" i="1"/>
  <c r="D7948" i="1"/>
  <c r="F7947" i="1"/>
  <c r="E7947" i="1"/>
  <c r="D7947" i="1"/>
  <c r="F7946" i="1"/>
  <c r="E7946" i="1"/>
  <c r="D7946" i="1"/>
  <c r="F7945" i="1"/>
  <c r="E7945" i="1"/>
  <c r="D7945" i="1"/>
  <c r="F7944" i="1"/>
  <c r="E7944" i="1"/>
  <c r="D7944" i="1"/>
  <c r="F7943" i="1"/>
  <c r="E7943" i="1"/>
  <c r="D7943" i="1"/>
  <c r="F7942" i="1"/>
  <c r="E7942" i="1"/>
  <c r="D7942" i="1"/>
  <c r="F7941" i="1"/>
  <c r="E7941" i="1"/>
  <c r="D7941" i="1"/>
  <c r="F7940" i="1"/>
  <c r="E7940" i="1"/>
  <c r="D7940" i="1"/>
  <c r="F7939" i="1"/>
  <c r="E7939" i="1"/>
  <c r="D7939" i="1"/>
  <c r="F7938" i="1"/>
  <c r="E7938" i="1"/>
  <c r="D7938" i="1"/>
  <c r="F7937" i="1"/>
  <c r="E7937" i="1"/>
  <c r="D7937" i="1"/>
  <c r="F7936" i="1"/>
  <c r="E7936" i="1"/>
  <c r="D7936" i="1"/>
  <c r="F7935" i="1"/>
  <c r="E7935" i="1"/>
  <c r="D7935" i="1"/>
  <c r="F7934" i="1"/>
  <c r="E7934" i="1"/>
  <c r="D7934" i="1"/>
  <c r="F7933" i="1"/>
  <c r="E7933" i="1"/>
  <c r="D7933" i="1"/>
  <c r="F7932" i="1"/>
  <c r="E7932" i="1"/>
  <c r="D7932" i="1"/>
  <c r="F7931" i="1"/>
  <c r="E7931" i="1"/>
  <c r="D7931" i="1"/>
  <c r="F7930" i="1"/>
  <c r="E7930" i="1"/>
  <c r="D7930" i="1"/>
  <c r="F7929" i="1"/>
  <c r="E7929" i="1"/>
  <c r="D7929" i="1"/>
  <c r="F7928" i="1"/>
  <c r="E7928" i="1"/>
  <c r="D7928" i="1"/>
  <c r="F7927" i="1"/>
  <c r="E7927" i="1"/>
  <c r="D7927" i="1"/>
  <c r="F7926" i="1"/>
  <c r="E7926" i="1"/>
  <c r="D7926" i="1"/>
  <c r="F7925" i="1"/>
  <c r="E7925" i="1"/>
  <c r="D7925" i="1"/>
  <c r="F7924" i="1"/>
  <c r="E7924" i="1"/>
  <c r="D7924" i="1"/>
  <c r="F7923" i="1"/>
  <c r="E7923" i="1"/>
  <c r="D7923" i="1"/>
  <c r="F7922" i="1"/>
  <c r="E7922" i="1"/>
  <c r="D7922" i="1"/>
  <c r="F7921" i="1"/>
  <c r="E7921" i="1"/>
  <c r="D7921" i="1"/>
  <c r="F7920" i="1"/>
  <c r="E7920" i="1"/>
  <c r="D7920" i="1"/>
  <c r="F7919" i="1"/>
  <c r="E7919" i="1"/>
  <c r="D7919" i="1"/>
  <c r="F7918" i="1"/>
  <c r="E7918" i="1"/>
  <c r="D7918" i="1"/>
  <c r="F7917" i="1"/>
  <c r="E7917" i="1"/>
  <c r="D7917" i="1"/>
  <c r="F7916" i="1"/>
  <c r="E7916" i="1"/>
  <c r="D7916" i="1"/>
  <c r="F7915" i="1"/>
  <c r="E7915" i="1"/>
  <c r="D7915" i="1"/>
  <c r="F7914" i="1"/>
  <c r="E7914" i="1"/>
  <c r="D7914" i="1"/>
  <c r="F7913" i="1"/>
  <c r="E7913" i="1"/>
  <c r="D7913" i="1"/>
  <c r="F7912" i="1"/>
  <c r="E7912" i="1"/>
  <c r="D7912" i="1"/>
  <c r="F7911" i="1"/>
  <c r="E7911" i="1"/>
  <c r="D7911" i="1"/>
  <c r="F7910" i="1"/>
  <c r="E7910" i="1"/>
  <c r="D7910" i="1"/>
  <c r="F7909" i="1"/>
  <c r="E7909" i="1"/>
  <c r="D7909" i="1"/>
  <c r="F7908" i="1"/>
  <c r="E7908" i="1"/>
  <c r="D7908" i="1"/>
  <c r="F7907" i="1"/>
  <c r="E7907" i="1"/>
  <c r="D7907" i="1"/>
  <c r="F7906" i="1"/>
  <c r="E7906" i="1"/>
  <c r="D7906" i="1"/>
  <c r="F7905" i="1"/>
  <c r="E7905" i="1"/>
  <c r="D7905" i="1"/>
  <c r="F7904" i="1"/>
  <c r="E7904" i="1"/>
  <c r="D7904" i="1"/>
  <c r="F7903" i="1"/>
  <c r="E7903" i="1"/>
  <c r="D7903" i="1"/>
  <c r="F7902" i="1"/>
  <c r="E7902" i="1"/>
  <c r="D7902" i="1"/>
  <c r="F7901" i="1"/>
  <c r="E7901" i="1"/>
  <c r="D7901" i="1"/>
  <c r="F7900" i="1"/>
  <c r="E7900" i="1"/>
  <c r="D7900" i="1"/>
  <c r="F7899" i="1"/>
  <c r="E7899" i="1"/>
  <c r="D7899" i="1"/>
  <c r="F7898" i="1"/>
  <c r="E7898" i="1"/>
  <c r="D7898" i="1"/>
  <c r="F7897" i="1"/>
  <c r="E7897" i="1"/>
  <c r="D7897" i="1"/>
  <c r="F7896" i="1"/>
  <c r="E7896" i="1"/>
  <c r="D7896" i="1"/>
  <c r="F7895" i="1"/>
  <c r="E7895" i="1"/>
  <c r="D7895" i="1"/>
  <c r="F7894" i="1"/>
  <c r="E7894" i="1"/>
  <c r="D7894" i="1"/>
  <c r="F7893" i="1"/>
  <c r="E7893" i="1"/>
  <c r="D7893" i="1"/>
  <c r="F7892" i="1"/>
  <c r="E7892" i="1"/>
  <c r="D7892" i="1"/>
  <c r="F7891" i="1"/>
  <c r="E7891" i="1"/>
  <c r="D7891" i="1"/>
  <c r="F7890" i="1"/>
  <c r="E7890" i="1"/>
  <c r="D7890" i="1"/>
  <c r="F7889" i="1"/>
  <c r="E7889" i="1"/>
  <c r="D7889" i="1"/>
  <c r="F7888" i="1"/>
  <c r="E7888" i="1"/>
  <c r="D7888" i="1"/>
  <c r="F7887" i="1"/>
  <c r="E7887" i="1"/>
  <c r="D7887" i="1"/>
  <c r="F7886" i="1"/>
  <c r="E7886" i="1"/>
  <c r="D7886" i="1"/>
  <c r="F7885" i="1"/>
  <c r="E7885" i="1"/>
  <c r="D7885" i="1"/>
  <c r="F7884" i="1"/>
  <c r="E7884" i="1"/>
  <c r="D7884" i="1"/>
  <c r="F7883" i="1"/>
  <c r="E7883" i="1"/>
  <c r="D7883" i="1"/>
  <c r="F7882" i="1"/>
  <c r="E7882" i="1"/>
  <c r="D7882" i="1"/>
  <c r="F7881" i="1"/>
  <c r="E7881" i="1"/>
  <c r="D7881" i="1"/>
  <c r="F7880" i="1"/>
  <c r="E7880" i="1"/>
  <c r="D7880" i="1"/>
  <c r="F7879" i="1"/>
  <c r="E7879" i="1"/>
  <c r="D7879" i="1"/>
  <c r="F7878" i="1"/>
  <c r="E7878" i="1"/>
  <c r="D7878" i="1"/>
  <c r="F7877" i="1"/>
  <c r="E7877" i="1"/>
  <c r="D7877" i="1"/>
  <c r="F7876" i="1"/>
  <c r="E7876" i="1"/>
  <c r="D7876" i="1"/>
  <c r="F7875" i="1"/>
  <c r="E7875" i="1"/>
  <c r="D7875" i="1"/>
  <c r="F7874" i="1"/>
  <c r="E7874" i="1"/>
  <c r="D7874" i="1"/>
  <c r="F7873" i="1"/>
  <c r="E7873" i="1"/>
  <c r="D7873" i="1"/>
  <c r="F7872" i="1"/>
  <c r="E7872" i="1"/>
  <c r="D7872" i="1"/>
  <c r="F7871" i="1"/>
  <c r="E7871" i="1"/>
  <c r="D7871" i="1"/>
  <c r="F7870" i="1"/>
  <c r="E7870" i="1"/>
  <c r="D7870" i="1"/>
  <c r="F7869" i="1"/>
  <c r="E7869" i="1"/>
  <c r="D7869" i="1"/>
  <c r="F7868" i="1"/>
  <c r="E7868" i="1"/>
  <c r="D7868" i="1"/>
  <c r="F7867" i="1"/>
  <c r="E7867" i="1"/>
  <c r="D7867" i="1"/>
  <c r="F7866" i="1"/>
  <c r="E7866" i="1"/>
  <c r="D7866" i="1"/>
  <c r="F7865" i="1"/>
  <c r="E7865" i="1"/>
  <c r="D7865" i="1"/>
  <c r="F7864" i="1"/>
  <c r="E7864" i="1"/>
  <c r="D7864" i="1"/>
  <c r="F7863" i="1"/>
  <c r="E7863" i="1"/>
  <c r="D7863" i="1"/>
  <c r="F7862" i="1"/>
  <c r="E7862" i="1"/>
  <c r="D7862" i="1"/>
  <c r="F7861" i="1"/>
  <c r="E7861" i="1"/>
  <c r="D7861" i="1"/>
  <c r="F7860" i="1"/>
  <c r="E7860" i="1"/>
  <c r="D7860" i="1"/>
  <c r="F7859" i="1"/>
  <c r="E7859" i="1"/>
  <c r="D7859" i="1"/>
  <c r="F7858" i="1"/>
  <c r="E7858" i="1"/>
  <c r="D7858" i="1"/>
  <c r="F7857" i="1"/>
  <c r="E7857" i="1"/>
  <c r="D7857" i="1"/>
  <c r="F7856" i="1"/>
  <c r="E7856" i="1"/>
  <c r="D7856" i="1"/>
  <c r="F7855" i="1"/>
  <c r="E7855" i="1"/>
  <c r="D7855" i="1"/>
  <c r="F7854" i="1"/>
  <c r="E7854" i="1"/>
  <c r="D7854" i="1"/>
  <c r="F7853" i="1"/>
  <c r="E7853" i="1"/>
  <c r="D7853" i="1"/>
  <c r="F7852" i="1"/>
  <c r="E7852" i="1"/>
  <c r="D7852" i="1"/>
  <c r="F7851" i="1"/>
  <c r="E7851" i="1"/>
  <c r="D7851" i="1"/>
  <c r="F7850" i="1"/>
  <c r="E7850" i="1"/>
  <c r="D7850" i="1"/>
  <c r="F7849" i="1"/>
  <c r="E7849" i="1"/>
  <c r="D7849" i="1"/>
  <c r="F7848" i="1"/>
  <c r="E7848" i="1"/>
  <c r="D7848" i="1"/>
  <c r="F7847" i="1"/>
  <c r="E7847" i="1"/>
  <c r="D7847" i="1"/>
  <c r="F7846" i="1"/>
  <c r="E7846" i="1"/>
  <c r="D7846" i="1"/>
  <c r="F7845" i="1"/>
  <c r="E7845" i="1"/>
  <c r="D7845" i="1"/>
  <c r="F7844" i="1"/>
  <c r="E7844" i="1"/>
  <c r="D7844" i="1"/>
  <c r="F7843" i="1"/>
  <c r="E7843" i="1"/>
  <c r="D7843" i="1"/>
  <c r="F7842" i="1"/>
  <c r="E7842" i="1"/>
  <c r="D7842" i="1"/>
  <c r="F7841" i="1"/>
  <c r="E7841" i="1"/>
  <c r="D7841" i="1"/>
  <c r="F7840" i="1"/>
  <c r="E7840" i="1"/>
  <c r="D7840" i="1"/>
  <c r="F7839" i="1"/>
  <c r="E7839" i="1"/>
  <c r="D7839" i="1"/>
  <c r="F7838" i="1"/>
  <c r="E7838" i="1"/>
  <c r="D7838" i="1"/>
  <c r="F7837" i="1"/>
  <c r="E7837" i="1"/>
  <c r="D7837" i="1"/>
  <c r="F7836" i="1"/>
  <c r="E7836" i="1"/>
  <c r="D7836" i="1"/>
  <c r="F7835" i="1"/>
  <c r="E7835" i="1"/>
  <c r="D7835" i="1"/>
  <c r="F7834" i="1"/>
  <c r="E7834" i="1"/>
  <c r="D7834" i="1"/>
  <c r="F7833" i="1"/>
  <c r="E7833" i="1"/>
  <c r="D7833" i="1"/>
  <c r="F7832" i="1"/>
  <c r="E7832" i="1"/>
  <c r="D7832" i="1"/>
  <c r="F7831" i="1"/>
  <c r="E7831" i="1"/>
  <c r="D7831" i="1"/>
  <c r="F7830" i="1"/>
  <c r="E7830" i="1"/>
  <c r="D7830" i="1"/>
  <c r="F7829" i="1"/>
  <c r="E7829" i="1"/>
  <c r="D7829" i="1"/>
  <c r="F7828" i="1"/>
  <c r="E7828" i="1"/>
  <c r="D7828" i="1"/>
  <c r="F7827" i="1"/>
  <c r="E7827" i="1"/>
  <c r="D7827" i="1"/>
  <c r="F7826" i="1"/>
  <c r="E7826" i="1"/>
  <c r="D7826" i="1"/>
  <c r="F7825" i="1"/>
  <c r="E7825" i="1"/>
  <c r="D7825" i="1"/>
  <c r="F7824" i="1"/>
  <c r="E7824" i="1"/>
  <c r="D7824" i="1"/>
  <c r="F7823" i="1"/>
  <c r="E7823" i="1"/>
  <c r="D7823" i="1"/>
  <c r="F7822" i="1"/>
  <c r="E7822" i="1"/>
  <c r="D7822" i="1"/>
  <c r="F7821" i="1"/>
  <c r="E7821" i="1"/>
  <c r="D7821" i="1"/>
  <c r="F7820" i="1"/>
  <c r="E7820" i="1"/>
  <c r="D7820" i="1"/>
  <c r="F7819" i="1"/>
  <c r="E7819" i="1"/>
  <c r="D7819" i="1"/>
  <c r="F7818" i="1"/>
  <c r="E7818" i="1"/>
  <c r="D7818" i="1"/>
  <c r="F7817" i="1"/>
  <c r="E7817" i="1"/>
  <c r="D7817" i="1"/>
  <c r="F7816" i="1"/>
  <c r="E7816" i="1"/>
  <c r="D7816" i="1"/>
  <c r="F7815" i="1"/>
  <c r="E7815" i="1"/>
  <c r="D7815" i="1"/>
  <c r="F7814" i="1"/>
  <c r="E7814" i="1"/>
  <c r="D7814" i="1"/>
  <c r="F7813" i="1"/>
  <c r="E7813" i="1"/>
  <c r="D7813" i="1"/>
  <c r="F7812" i="1"/>
  <c r="E7812" i="1"/>
  <c r="D7812" i="1"/>
  <c r="F7811" i="1"/>
  <c r="E7811" i="1"/>
  <c r="D7811" i="1"/>
  <c r="F7810" i="1"/>
  <c r="E7810" i="1"/>
  <c r="D7810" i="1"/>
  <c r="F7809" i="1"/>
  <c r="E7809" i="1"/>
  <c r="D7809" i="1"/>
  <c r="F7808" i="1"/>
  <c r="E7808" i="1"/>
  <c r="D7808" i="1"/>
  <c r="F7807" i="1"/>
  <c r="E7807" i="1"/>
  <c r="D7807" i="1"/>
  <c r="F7806" i="1"/>
  <c r="E7806" i="1"/>
  <c r="D7806" i="1"/>
  <c r="F7805" i="1"/>
  <c r="E7805" i="1"/>
  <c r="D7805" i="1"/>
  <c r="F7804" i="1"/>
  <c r="E7804" i="1"/>
  <c r="D7804" i="1"/>
  <c r="F7803" i="1"/>
  <c r="E7803" i="1"/>
  <c r="D7803" i="1"/>
  <c r="F7802" i="1"/>
  <c r="E7802" i="1"/>
  <c r="D7802" i="1"/>
  <c r="F7801" i="1"/>
  <c r="E7801" i="1"/>
  <c r="D7801" i="1"/>
  <c r="F7800" i="1"/>
  <c r="E7800" i="1"/>
  <c r="D7800" i="1"/>
  <c r="F7799" i="1"/>
  <c r="E7799" i="1"/>
  <c r="D7799" i="1"/>
  <c r="F7798" i="1"/>
  <c r="E7798" i="1"/>
  <c r="D7798" i="1"/>
  <c r="F7797" i="1"/>
  <c r="E7797" i="1"/>
  <c r="D7797" i="1"/>
  <c r="F7796" i="1"/>
  <c r="E7796" i="1"/>
  <c r="D7796" i="1"/>
  <c r="F7795" i="1"/>
  <c r="E7795" i="1"/>
  <c r="D7795" i="1"/>
  <c r="F7794" i="1"/>
  <c r="E7794" i="1"/>
  <c r="D7794" i="1"/>
  <c r="F7793" i="1"/>
  <c r="E7793" i="1"/>
  <c r="D7793" i="1"/>
  <c r="F7792" i="1"/>
  <c r="E7792" i="1"/>
  <c r="D7792" i="1"/>
  <c r="F7791" i="1"/>
  <c r="E7791" i="1"/>
  <c r="D7791" i="1"/>
  <c r="F7790" i="1"/>
  <c r="E7790" i="1"/>
  <c r="D7790" i="1"/>
  <c r="F7789" i="1"/>
  <c r="E7789" i="1"/>
  <c r="D7789" i="1"/>
  <c r="F7788" i="1"/>
  <c r="E7788" i="1"/>
  <c r="D7788" i="1"/>
  <c r="F7787" i="1"/>
  <c r="E7787" i="1"/>
  <c r="D7787" i="1"/>
  <c r="F7786" i="1"/>
  <c r="E7786" i="1"/>
  <c r="D7786" i="1"/>
  <c r="F7785" i="1"/>
  <c r="E7785" i="1"/>
  <c r="D7785" i="1"/>
  <c r="F7784" i="1"/>
  <c r="E7784" i="1"/>
  <c r="D7784" i="1"/>
  <c r="F7783" i="1"/>
  <c r="E7783" i="1"/>
  <c r="D7783" i="1"/>
  <c r="F7782" i="1"/>
  <c r="E7782" i="1"/>
  <c r="D7782" i="1"/>
  <c r="F7781" i="1"/>
  <c r="E7781" i="1"/>
  <c r="D7781" i="1"/>
  <c r="F7780" i="1"/>
  <c r="E7780" i="1"/>
  <c r="D7780" i="1"/>
  <c r="F7779" i="1"/>
  <c r="E7779" i="1"/>
  <c r="D7779" i="1"/>
  <c r="F7778" i="1"/>
  <c r="E7778" i="1"/>
  <c r="D7778" i="1"/>
  <c r="F7777" i="1"/>
  <c r="E7777" i="1"/>
  <c r="D7777" i="1"/>
  <c r="F7776" i="1"/>
  <c r="E7776" i="1"/>
  <c r="D7776" i="1"/>
  <c r="F7775" i="1"/>
  <c r="E7775" i="1"/>
  <c r="D7775" i="1"/>
  <c r="F7774" i="1"/>
  <c r="E7774" i="1"/>
  <c r="D7774" i="1"/>
  <c r="F7773" i="1"/>
  <c r="E7773" i="1"/>
  <c r="D7773" i="1"/>
  <c r="F7772" i="1"/>
  <c r="E7772" i="1"/>
  <c r="D7772" i="1"/>
  <c r="F7771" i="1"/>
  <c r="E7771" i="1"/>
  <c r="D7771" i="1"/>
  <c r="F7770" i="1"/>
  <c r="E7770" i="1"/>
  <c r="D7770" i="1"/>
  <c r="F7769" i="1"/>
  <c r="E7769" i="1"/>
  <c r="D7769" i="1"/>
  <c r="F7768" i="1"/>
  <c r="E7768" i="1"/>
  <c r="D7768" i="1"/>
  <c r="F7767" i="1"/>
  <c r="E7767" i="1"/>
  <c r="D7767" i="1"/>
  <c r="F7766" i="1"/>
  <c r="E7766" i="1"/>
  <c r="D7766" i="1"/>
  <c r="F7765" i="1"/>
  <c r="E7765" i="1"/>
  <c r="D7765" i="1"/>
  <c r="F7764" i="1"/>
  <c r="E7764" i="1"/>
  <c r="D7764" i="1"/>
  <c r="F7763" i="1"/>
  <c r="E7763" i="1"/>
  <c r="D7763" i="1"/>
  <c r="F7762" i="1"/>
  <c r="E7762" i="1"/>
  <c r="D7762" i="1"/>
  <c r="F7761" i="1"/>
  <c r="E7761" i="1"/>
  <c r="D7761" i="1"/>
  <c r="F7760" i="1"/>
  <c r="E7760" i="1"/>
  <c r="D7760" i="1"/>
  <c r="F7759" i="1"/>
  <c r="E7759" i="1"/>
  <c r="D7759" i="1"/>
  <c r="F7758" i="1"/>
  <c r="E7758" i="1"/>
  <c r="D7758" i="1"/>
  <c r="F7757" i="1"/>
  <c r="E7757" i="1"/>
  <c r="D7757" i="1"/>
  <c r="F7756" i="1"/>
  <c r="E7756" i="1"/>
  <c r="D7756" i="1"/>
  <c r="F7755" i="1"/>
  <c r="E7755" i="1"/>
  <c r="D7755" i="1"/>
  <c r="F7754" i="1"/>
  <c r="E7754" i="1"/>
  <c r="D7754" i="1"/>
  <c r="F7753" i="1"/>
  <c r="E7753" i="1"/>
  <c r="D7753" i="1"/>
  <c r="F7752" i="1"/>
  <c r="E7752" i="1"/>
  <c r="D7752" i="1"/>
  <c r="F7751" i="1"/>
  <c r="E7751" i="1"/>
  <c r="D7751" i="1"/>
  <c r="F7750" i="1"/>
  <c r="E7750" i="1"/>
  <c r="D7750" i="1"/>
  <c r="F7749" i="1"/>
  <c r="E7749" i="1"/>
  <c r="D7749" i="1"/>
  <c r="F7748" i="1"/>
  <c r="E7748" i="1"/>
  <c r="D7748" i="1"/>
  <c r="F7747" i="1"/>
  <c r="E7747" i="1"/>
  <c r="D7747" i="1"/>
  <c r="F7746" i="1"/>
  <c r="E7746" i="1"/>
  <c r="D7746" i="1"/>
  <c r="F7745" i="1"/>
  <c r="E7745" i="1"/>
  <c r="D7745" i="1"/>
  <c r="F7744" i="1"/>
  <c r="E7744" i="1"/>
  <c r="D7744" i="1"/>
  <c r="F7743" i="1"/>
  <c r="E7743" i="1"/>
  <c r="D7743" i="1"/>
  <c r="F7742" i="1"/>
  <c r="E7742" i="1"/>
  <c r="D7742" i="1"/>
  <c r="F7741" i="1"/>
  <c r="E7741" i="1"/>
  <c r="D7741" i="1"/>
  <c r="F7740" i="1"/>
  <c r="E7740" i="1"/>
  <c r="D7740" i="1"/>
  <c r="F7739" i="1"/>
  <c r="E7739" i="1"/>
  <c r="D7739" i="1"/>
  <c r="F7738" i="1"/>
  <c r="E7738" i="1"/>
  <c r="D7738" i="1"/>
  <c r="F7737" i="1"/>
  <c r="E7737" i="1"/>
  <c r="D7737" i="1"/>
  <c r="F7736" i="1"/>
  <c r="E7736" i="1"/>
  <c r="D7736" i="1"/>
  <c r="F7735" i="1"/>
  <c r="E7735" i="1"/>
  <c r="D7735" i="1"/>
  <c r="F7734" i="1"/>
  <c r="E7734" i="1"/>
  <c r="D7734" i="1"/>
  <c r="F7733" i="1"/>
  <c r="E7733" i="1"/>
  <c r="D7733" i="1"/>
  <c r="F7732" i="1"/>
  <c r="E7732" i="1"/>
  <c r="D7732" i="1"/>
  <c r="F7731" i="1"/>
  <c r="E7731" i="1"/>
  <c r="D7731" i="1"/>
  <c r="F7730" i="1"/>
  <c r="E7730" i="1"/>
  <c r="D7730" i="1"/>
  <c r="F7729" i="1"/>
  <c r="E7729" i="1"/>
  <c r="D7729" i="1"/>
  <c r="F7728" i="1"/>
  <c r="E7728" i="1"/>
  <c r="D7728" i="1"/>
  <c r="F7727" i="1"/>
  <c r="E7727" i="1"/>
  <c r="D7727" i="1"/>
  <c r="F7726" i="1"/>
  <c r="E7726" i="1"/>
  <c r="D7726" i="1"/>
  <c r="F7725" i="1"/>
  <c r="E7725" i="1"/>
  <c r="D7725" i="1"/>
  <c r="F7724" i="1"/>
  <c r="E7724" i="1"/>
  <c r="D7724" i="1"/>
  <c r="F7723" i="1"/>
  <c r="E7723" i="1"/>
  <c r="D7723" i="1"/>
  <c r="F7722" i="1"/>
  <c r="E7722" i="1"/>
  <c r="D7722" i="1"/>
  <c r="F7721" i="1"/>
  <c r="E7721" i="1"/>
  <c r="D7721" i="1"/>
  <c r="F7720" i="1"/>
  <c r="E7720" i="1"/>
  <c r="D7720" i="1"/>
  <c r="F7719" i="1"/>
  <c r="E7719" i="1"/>
  <c r="D7719" i="1"/>
  <c r="F7718" i="1"/>
  <c r="E7718" i="1"/>
  <c r="D7718" i="1"/>
  <c r="F7717" i="1"/>
  <c r="E7717" i="1"/>
  <c r="D7717" i="1"/>
  <c r="F7716" i="1"/>
  <c r="E7716" i="1"/>
  <c r="D7716" i="1"/>
  <c r="F7715" i="1"/>
  <c r="E7715" i="1"/>
  <c r="D7715" i="1"/>
  <c r="F7714" i="1"/>
  <c r="E7714" i="1"/>
  <c r="D7714" i="1"/>
  <c r="F7713" i="1"/>
  <c r="E7713" i="1"/>
  <c r="D7713" i="1"/>
  <c r="F7712" i="1"/>
  <c r="E7712" i="1"/>
  <c r="D7712" i="1"/>
  <c r="F7711" i="1"/>
  <c r="E7711" i="1"/>
  <c r="D7711" i="1"/>
  <c r="F7710" i="1"/>
  <c r="E7710" i="1"/>
  <c r="D7710" i="1"/>
  <c r="F7709" i="1"/>
  <c r="E7709" i="1"/>
  <c r="D7709" i="1"/>
  <c r="F7708" i="1"/>
  <c r="E7708" i="1"/>
  <c r="D7708" i="1"/>
  <c r="F7707" i="1"/>
  <c r="E7707" i="1"/>
  <c r="D7707" i="1"/>
  <c r="F7706" i="1"/>
  <c r="E7706" i="1"/>
  <c r="D7706" i="1"/>
  <c r="F7705" i="1"/>
  <c r="E7705" i="1"/>
  <c r="D7705" i="1"/>
  <c r="F7704" i="1"/>
  <c r="E7704" i="1"/>
  <c r="D7704" i="1"/>
  <c r="F7703" i="1"/>
  <c r="E7703" i="1"/>
  <c r="D7703" i="1"/>
  <c r="F7702" i="1"/>
  <c r="E7702" i="1"/>
  <c r="D7702" i="1"/>
  <c r="F7701" i="1"/>
  <c r="E7701" i="1"/>
  <c r="D7701" i="1"/>
  <c r="F7700" i="1"/>
  <c r="E7700" i="1"/>
  <c r="D7700" i="1"/>
  <c r="F7699" i="1"/>
  <c r="E7699" i="1"/>
  <c r="D7699" i="1"/>
  <c r="F7698" i="1"/>
  <c r="E7698" i="1"/>
  <c r="D7698" i="1"/>
  <c r="F7697" i="1"/>
  <c r="E7697" i="1"/>
  <c r="D7697" i="1"/>
  <c r="F7696" i="1"/>
  <c r="E7696" i="1"/>
  <c r="D7696" i="1"/>
  <c r="F7695" i="1"/>
  <c r="E7695" i="1"/>
  <c r="D7695" i="1"/>
  <c r="F7694" i="1"/>
  <c r="E7694" i="1"/>
  <c r="D7694" i="1"/>
  <c r="F7693" i="1"/>
  <c r="E7693" i="1"/>
  <c r="D7693" i="1"/>
  <c r="F7692" i="1"/>
  <c r="E7692" i="1"/>
  <c r="D7692" i="1"/>
  <c r="F7691" i="1"/>
  <c r="E7691" i="1"/>
  <c r="D7691" i="1"/>
  <c r="F7690" i="1"/>
  <c r="E7690" i="1"/>
  <c r="D7690" i="1"/>
  <c r="F7689" i="1"/>
  <c r="E7689" i="1"/>
  <c r="D7689" i="1"/>
  <c r="F7688" i="1"/>
  <c r="E7688" i="1"/>
  <c r="D7688" i="1"/>
  <c r="F7687" i="1"/>
  <c r="E7687" i="1"/>
  <c r="D7687" i="1"/>
  <c r="F7686" i="1"/>
  <c r="E7686" i="1"/>
  <c r="D7686" i="1"/>
  <c r="F7685" i="1"/>
  <c r="E7685" i="1"/>
  <c r="D7685" i="1"/>
  <c r="F7684" i="1"/>
  <c r="E7684" i="1"/>
  <c r="D7684" i="1"/>
  <c r="F7683" i="1"/>
  <c r="E7683" i="1"/>
  <c r="D7683" i="1"/>
  <c r="F7682" i="1"/>
  <c r="E7682" i="1"/>
  <c r="D7682" i="1"/>
  <c r="F7681" i="1"/>
  <c r="E7681" i="1"/>
  <c r="D7681" i="1"/>
  <c r="F7680" i="1"/>
  <c r="E7680" i="1"/>
  <c r="D7680" i="1"/>
  <c r="F7679" i="1"/>
  <c r="E7679" i="1"/>
  <c r="D7679" i="1"/>
  <c r="F7678" i="1"/>
  <c r="E7678" i="1"/>
  <c r="D7678" i="1"/>
  <c r="F7677" i="1"/>
  <c r="E7677" i="1"/>
  <c r="D7677" i="1"/>
  <c r="F7676" i="1"/>
  <c r="E7676" i="1"/>
  <c r="D7676" i="1"/>
  <c r="F7675" i="1"/>
  <c r="E7675" i="1"/>
  <c r="D7675" i="1"/>
  <c r="F7674" i="1"/>
  <c r="E7674" i="1"/>
  <c r="D7674" i="1"/>
  <c r="F7673" i="1"/>
  <c r="E7673" i="1"/>
  <c r="D7673" i="1"/>
  <c r="F7672" i="1"/>
  <c r="E7672" i="1"/>
  <c r="D7672" i="1"/>
  <c r="F7671" i="1"/>
  <c r="E7671" i="1"/>
  <c r="D7671" i="1"/>
  <c r="F7670" i="1"/>
  <c r="E7670" i="1"/>
  <c r="D7670" i="1"/>
  <c r="F7669" i="1"/>
  <c r="E7669" i="1"/>
  <c r="D7669" i="1"/>
  <c r="F7668" i="1"/>
  <c r="E7668" i="1"/>
  <c r="D7668" i="1"/>
  <c r="F7667" i="1"/>
  <c r="E7667" i="1"/>
  <c r="D7667" i="1"/>
  <c r="F7666" i="1"/>
  <c r="E7666" i="1"/>
  <c r="D7666" i="1"/>
  <c r="F7665" i="1"/>
  <c r="E7665" i="1"/>
  <c r="D7665" i="1"/>
  <c r="F7664" i="1"/>
  <c r="E7664" i="1"/>
  <c r="D7664" i="1"/>
  <c r="F7663" i="1"/>
  <c r="E7663" i="1"/>
  <c r="D7663" i="1"/>
  <c r="F7662" i="1"/>
  <c r="E7662" i="1"/>
  <c r="D7662" i="1"/>
  <c r="F7661" i="1"/>
  <c r="E7661" i="1"/>
  <c r="D7661" i="1"/>
  <c r="F7660" i="1"/>
  <c r="E7660" i="1"/>
  <c r="D7660" i="1"/>
  <c r="F7659" i="1"/>
  <c r="E7659" i="1"/>
  <c r="D7659" i="1"/>
  <c r="F7658" i="1"/>
  <c r="E7658" i="1"/>
  <c r="D7658" i="1"/>
  <c r="F7657" i="1"/>
  <c r="E7657" i="1"/>
  <c r="D7657" i="1"/>
  <c r="F7656" i="1"/>
  <c r="E7656" i="1"/>
  <c r="D7656" i="1"/>
  <c r="F7655" i="1"/>
  <c r="E7655" i="1"/>
  <c r="D7655" i="1"/>
  <c r="F7654" i="1"/>
  <c r="E7654" i="1"/>
  <c r="D7654" i="1"/>
  <c r="F7653" i="1"/>
  <c r="E7653" i="1"/>
  <c r="D7653" i="1"/>
  <c r="F7652" i="1"/>
  <c r="E7652" i="1"/>
  <c r="D7652" i="1"/>
  <c r="F7651" i="1"/>
  <c r="E7651" i="1"/>
  <c r="D7651" i="1"/>
  <c r="F7650" i="1"/>
  <c r="E7650" i="1"/>
  <c r="D7650" i="1"/>
  <c r="F7649" i="1"/>
  <c r="E7649" i="1"/>
  <c r="D7649" i="1"/>
  <c r="F7648" i="1"/>
  <c r="E7648" i="1"/>
  <c r="D7648" i="1"/>
  <c r="F7647" i="1"/>
  <c r="E7647" i="1"/>
  <c r="D7647" i="1"/>
  <c r="F7646" i="1"/>
  <c r="E7646" i="1"/>
  <c r="D7646" i="1"/>
  <c r="F7645" i="1"/>
  <c r="E7645" i="1"/>
  <c r="D7645" i="1"/>
  <c r="F7644" i="1"/>
  <c r="E7644" i="1"/>
  <c r="D7644" i="1"/>
  <c r="F7643" i="1"/>
  <c r="E7643" i="1"/>
  <c r="D7643" i="1"/>
  <c r="F7642" i="1"/>
  <c r="E7642" i="1"/>
  <c r="D7642" i="1"/>
  <c r="F7641" i="1"/>
  <c r="E7641" i="1"/>
  <c r="D7641" i="1"/>
  <c r="F7640" i="1"/>
  <c r="E7640" i="1"/>
  <c r="D7640" i="1"/>
  <c r="F7639" i="1"/>
  <c r="E7639" i="1"/>
  <c r="D7639" i="1"/>
  <c r="F7638" i="1"/>
  <c r="E7638" i="1"/>
  <c r="D7638" i="1"/>
  <c r="F7637" i="1"/>
  <c r="E7637" i="1"/>
  <c r="D7637" i="1"/>
  <c r="F7636" i="1"/>
  <c r="E7636" i="1"/>
  <c r="D7636" i="1"/>
  <c r="F7635" i="1"/>
  <c r="E7635" i="1"/>
  <c r="D7635" i="1"/>
  <c r="F7634" i="1"/>
  <c r="E7634" i="1"/>
  <c r="D7634" i="1"/>
  <c r="F7633" i="1"/>
  <c r="E7633" i="1"/>
  <c r="D7633" i="1"/>
  <c r="F7632" i="1"/>
  <c r="E7632" i="1"/>
  <c r="D7632" i="1"/>
  <c r="F7631" i="1"/>
  <c r="E7631" i="1"/>
  <c r="D7631" i="1"/>
  <c r="F7630" i="1"/>
  <c r="E7630" i="1"/>
  <c r="D7630" i="1"/>
  <c r="F7629" i="1"/>
  <c r="E7629" i="1"/>
  <c r="D7629" i="1"/>
  <c r="F7628" i="1"/>
  <c r="E7628" i="1"/>
  <c r="D7628" i="1"/>
  <c r="F7627" i="1"/>
  <c r="E7627" i="1"/>
  <c r="D7627" i="1"/>
  <c r="F7626" i="1"/>
  <c r="E7626" i="1"/>
  <c r="D7626" i="1"/>
  <c r="F7625" i="1"/>
  <c r="E7625" i="1"/>
  <c r="D7625" i="1"/>
  <c r="F7624" i="1"/>
  <c r="E7624" i="1"/>
  <c r="D7624" i="1"/>
  <c r="F7623" i="1"/>
  <c r="E7623" i="1"/>
  <c r="D7623" i="1"/>
  <c r="F7622" i="1"/>
  <c r="E7622" i="1"/>
  <c r="D7622" i="1"/>
  <c r="F7621" i="1"/>
  <c r="E7621" i="1"/>
  <c r="D7621" i="1"/>
  <c r="F7620" i="1"/>
  <c r="E7620" i="1"/>
  <c r="D7620" i="1"/>
  <c r="F7619" i="1"/>
  <c r="E7619" i="1"/>
  <c r="D7619" i="1"/>
  <c r="F7618" i="1"/>
  <c r="E7618" i="1"/>
  <c r="D7618" i="1"/>
  <c r="F7617" i="1"/>
  <c r="E7617" i="1"/>
  <c r="D7617" i="1"/>
  <c r="F7616" i="1"/>
  <c r="E7616" i="1"/>
  <c r="D7616" i="1"/>
  <c r="F7615" i="1"/>
  <c r="E7615" i="1"/>
  <c r="D7615" i="1"/>
  <c r="F7614" i="1"/>
  <c r="E7614" i="1"/>
  <c r="D7614" i="1"/>
  <c r="F7613" i="1"/>
  <c r="E7613" i="1"/>
  <c r="D7613" i="1"/>
  <c r="F7612" i="1"/>
  <c r="E7612" i="1"/>
  <c r="D7612" i="1"/>
  <c r="F7611" i="1"/>
  <c r="E7611" i="1"/>
  <c r="D7611" i="1"/>
  <c r="F7610" i="1"/>
  <c r="E7610" i="1"/>
  <c r="D7610" i="1"/>
  <c r="F7609" i="1"/>
  <c r="E7609" i="1"/>
  <c r="D7609" i="1"/>
  <c r="F7608" i="1"/>
  <c r="E7608" i="1"/>
  <c r="D7608" i="1"/>
  <c r="F7607" i="1"/>
  <c r="E7607" i="1"/>
  <c r="D7607" i="1"/>
  <c r="F7606" i="1"/>
  <c r="E7606" i="1"/>
  <c r="D7606" i="1"/>
  <c r="F7605" i="1"/>
  <c r="E7605" i="1"/>
  <c r="D7605" i="1"/>
  <c r="F7604" i="1"/>
  <c r="E7604" i="1"/>
  <c r="D7604" i="1"/>
  <c r="F7603" i="1"/>
  <c r="E7603" i="1"/>
  <c r="D7603" i="1"/>
  <c r="F7602" i="1"/>
  <c r="E7602" i="1"/>
  <c r="D7602" i="1"/>
  <c r="F7601" i="1"/>
  <c r="E7601" i="1"/>
  <c r="D7601" i="1"/>
  <c r="F7600" i="1"/>
  <c r="E7600" i="1"/>
  <c r="D7600" i="1"/>
  <c r="F7599" i="1"/>
  <c r="E7599" i="1"/>
  <c r="D7599" i="1"/>
  <c r="F7598" i="1"/>
  <c r="E7598" i="1"/>
  <c r="D7598" i="1"/>
  <c r="F7597" i="1"/>
  <c r="E7597" i="1"/>
  <c r="D7597" i="1"/>
  <c r="F7596" i="1"/>
  <c r="E7596" i="1"/>
  <c r="D7596" i="1"/>
  <c r="F7595" i="1"/>
  <c r="E7595" i="1"/>
  <c r="D7595" i="1"/>
  <c r="F7594" i="1"/>
  <c r="E7594" i="1"/>
  <c r="D7594" i="1"/>
  <c r="F7593" i="1"/>
  <c r="E7593" i="1"/>
  <c r="D7593" i="1"/>
  <c r="F7592" i="1"/>
  <c r="E7592" i="1"/>
  <c r="D7592" i="1"/>
  <c r="F7591" i="1"/>
  <c r="E7591" i="1"/>
  <c r="D7591" i="1"/>
  <c r="F7590" i="1"/>
  <c r="E7590" i="1"/>
  <c r="D7590" i="1"/>
  <c r="F7589" i="1"/>
  <c r="E7589" i="1"/>
  <c r="D7589" i="1"/>
  <c r="F7588" i="1"/>
  <c r="E7588" i="1"/>
  <c r="D7588" i="1"/>
  <c r="F7587" i="1"/>
  <c r="E7587" i="1"/>
  <c r="D7587" i="1"/>
  <c r="F7586" i="1"/>
  <c r="E7586" i="1"/>
  <c r="D7586" i="1"/>
  <c r="F7585" i="1"/>
  <c r="E7585" i="1"/>
  <c r="D7585" i="1"/>
  <c r="F7584" i="1"/>
  <c r="E7584" i="1"/>
  <c r="D7584" i="1"/>
  <c r="F7583" i="1"/>
  <c r="E7583" i="1"/>
  <c r="D7583" i="1"/>
  <c r="F7582" i="1"/>
  <c r="E7582" i="1"/>
  <c r="D7582" i="1"/>
  <c r="F7581" i="1"/>
  <c r="E7581" i="1"/>
  <c r="D7581" i="1"/>
  <c r="F7580" i="1"/>
  <c r="E7580" i="1"/>
  <c r="D7580" i="1"/>
  <c r="F7579" i="1"/>
  <c r="E7579" i="1"/>
  <c r="D7579" i="1"/>
  <c r="F7578" i="1"/>
  <c r="E7578" i="1"/>
  <c r="D7578" i="1"/>
  <c r="F7577" i="1"/>
  <c r="E7577" i="1"/>
  <c r="D7577" i="1"/>
  <c r="F7576" i="1"/>
  <c r="E7576" i="1"/>
  <c r="D7576" i="1"/>
  <c r="F7575" i="1"/>
  <c r="E7575" i="1"/>
  <c r="D7575" i="1"/>
  <c r="F7574" i="1"/>
  <c r="E7574" i="1"/>
  <c r="D7574" i="1"/>
  <c r="F7573" i="1"/>
  <c r="E7573" i="1"/>
  <c r="D7573" i="1"/>
  <c r="F7572" i="1"/>
  <c r="E7572" i="1"/>
  <c r="D7572" i="1"/>
  <c r="F7571" i="1"/>
  <c r="E7571" i="1"/>
  <c r="D7571" i="1"/>
  <c r="F7570" i="1"/>
  <c r="E7570" i="1"/>
  <c r="D7570" i="1"/>
  <c r="F7569" i="1"/>
  <c r="E7569" i="1"/>
  <c r="D7569" i="1"/>
  <c r="F7568" i="1"/>
  <c r="E7568" i="1"/>
  <c r="D7568" i="1"/>
  <c r="F7567" i="1"/>
  <c r="E7567" i="1"/>
  <c r="D7567" i="1"/>
  <c r="F7566" i="1"/>
  <c r="E7566" i="1"/>
  <c r="D7566" i="1"/>
  <c r="F7565" i="1"/>
  <c r="E7565" i="1"/>
  <c r="D7565" i="1"/>
  <c r="F7564" i="1"/>
  <c r="E7564" i="1"/>
  <c r="D7564" i="1"/>
  <c r="F7563" i="1"/>
  <c r="E7563" i="1"/>
  <c r="D7563" i="1"/>
  <c r="F7562" i="1"/>
  <c r="E7562" i="1"/>
  <c r="D7562" i="1"/>
  <c r="F7561" i="1"/>
  <c r="E7561" i="1"/>
  <c r="D7561" i="1"/>
  <c r="F7560" i="1"/>
  <c r="E7560" i="1"/>
  <c r="D7560" i="1"/>
  <c r="F7559" i="1"/>
  <c r="E7559" i="1"/>
  <c r="D7559" i="1"/>
  <c r="F7558" i="1"/>
  <c r="E7558" i="1"/>
  <c r="D7558" i="1"/>
  <c r="F7557" i="1"/>
  <c r="E7557" i="1"/>
  <c r="D7557" i="1"/>
  <c r="F7556" i="1"/>
  <c r="E7556" i="1"/>
  <c r="D7556" i="1"/>
  <c r="F7555" i="1"/>
  <c r="E7555" i="1"/>
  <c r="D7555" i="1"/>
  <c r="F7554" i="1"/>
  <c r="E7554" i="1"/>
  <c r="D7554" i="1"/>
  <c r="F7553" i="1"/>
  <c r="E7553" i="1"/>
  <c r="D7553" i="1"/>
  <c r="F7552" i="1"/>
  <c r="E7552" i="1"/>
  <c r="D7552" i="1"/>
  <c r="F7551" i="1"/>
  <c r="E7551" i="1"/>
  <c r="D7551" i="1"/>
  <c r="F7550" i="1"/>
  <c r="E7550" i="1"/>
  <c r="D7550" i="1"/>
  <c r="F7549" i="1"/>
  <c r="E7549" i="1"/>
  <c r="D7549" i="1"/>
  <c r="F7548" i="1"/>
  <c r="E7548" i="1"/>
  <c r="D7548" i="1"/>
  <c r="F7547" i="1"/>
  <c r="E7547" i="1"/>
  <c r="D7547" i="1"/>
  <c r="F7546" i="1"/>
  <c r="E7546" i="1"/>
  <c r="D7546" i="1"/>
  <c r="F7545" i="1"/>
  <c r="E7545" i="1"/>
  <c r="D7545" i="1"/>
  <c r="F7544" i="1"/>
  <c r="E7544" i="1"/>
  <c r="D7544" i="1"/>
  <c r="F7543" i="1"/>
  <c r="E7543" i="1"/>
  <c r="D7543" i="1"/>
  <c r="F7542" i="1"/>
  <c r="E7542" i="1"/>
  <c r="D7542" i="1"/>
  <c r="F7541" i="1"/>
  <c r="E7541" i="1"/>
  <c r="D7541" i="1"/>
  <c r="F7540" i="1"/>
  <c r="E7540" i="1"/>
  <c r="D7540" i="1"/>
  <c r="F7539" i="1"/>
  <c r="E7539" i="1"/>
  <c r="D7539" i="1"/>
  <c r="F7538" i="1"/>
  <c r="E7538" i="1"/>
  <c r="D7538" i="1"/>
  <c r="F7537" i="1"/>
  <c r="E7537" i="1"/>
  <c r="D7537" i="1"/>
  <c r="F7536" i="1"/>
  <c r="E7536" i="1"/>
  <c r="D7536" i="1"/>
  <c r="F7535" i="1"/>
  <c r="E7535" i="1"/>
  <c r="D7535" i="1"/>
  <c r="F7534" i="1"/>
  <c r="E7534" i="1"/>
  <c r="D7534" i="1"/>
  <c r="F7533" i="1"/>
  <c r="E7533" i="1"/>
  <c r="D7533" i="1"/>
  <c r="F7532" i="1"/>
  <c r="E7532" i="1"/>
  <c r="D7532" i="1"/>
  <c r="F7531" i="1"/>
  <c r="E7531" i="1"/>
  <c r="D7531" i="1"/>
  <c r="F7530" i="1"/>
  <c r="E7530" i="1"/>
  <c r="D7530" i="1"/>
  <c r="F7529" i="1"/>
  <c r="E7529" i="1"/>
  <c r="D7529" i="1"/>
  <c r="F7528" i="1"/>
  <c r="E7528" i="1"/>
  <c r="D7528" i="1"/>
  <c r="F7527" i="1"/>
  <c r="E7527" i="1"/>
  <c r="D7527" i="1"/>
  <c r="F7526" i="1"/>
  <c r="E7526" i="1"/>
  <c r="D7526" i="1"/>
  <c r="F7525" i="1"/>
  <c r="E7525" i="1"/>
  <c r="D7525" i="1"/>
  <c r="F7524" i="1"/>
  <c r="E7524" i="1"/>
  <c r="D7524" i="1"/>
  <c r="F7523" i="1"/>
  <c r="E7523" i="1"/>
  <c r="D7523" i="1"/>
  <c r="F7522" i="1"/>
  <c r="E7522" i="1"/>
  <c r="D7522" i="1"/>
  <c r="F7521" i="1"/>
  <c r="E7521" i="1"/>
  <c r="D7521" i="1"/>
  <c r="F7520" i="1"/>
  <c r="E7520" i="1"/>
  <c r="D7520" i="1"/>
  <c r="F7519" i="1"/>
  <c r="E7519" i="1"/>
  <c r="D7519" i="1"/>
  <c r="F7518" i="1"/>
  <c r="E7518" i="1"/>
  <c r="D7518" i="1"/>
  <c r="F7517" i="1"/>
  <c r="E7517" i="1"/>
  <c r="D7517" i="1"/>
  <c r="F7516" i="1"/>
  <c r="E7516" i="1"/>
  <c r="D7516" i="1"/>
  <c r="F7515" i="1"/>
  <c r="E7515" i="1"/>
  <c r="D7515" i="1"/>
  <c r="F7514" i="1"/>
  <c r="E7514" i="1"/>
  <c r="D7514" i="1"/>
  <c r="F7513" i="1"/>
  <c r="E7513" i="1"/>
  <c r="D7513" i="1"/>
  <c r="F7512" i="1"/>
  <c r="E7512" i="1"/>
  <c r="D7512" i="1"/>
  <c r="F7511" i="1"/>
  <c r="E7511" i="1"/>
  <c r="D7511" i="1"/>
  <c r="F7510" i="1"/>
  <c r="E7510" i="1"/>
  <c r="D7510" i="1"/>
  <c r="F7509" i="1"/>
  <c r="E7509" i="1"/>
  <c r="D7509" i="1"/>
  <c r="F7508" i="1"/>
  <c r="E7508" i="1"/>
  <c r="D7508" i="1"/>
  <c r="F7507" i="1"/>
  <c r="E7507" i="1"/>
  <c r="D7507" i="1"/>
  <c r="F7506" i="1"/>
  <c r="E7506" i="1"/>
  <c r="D7506" i="1"/>
  <c r="F7505" i="1"/>
  <c r="E7505" i="1"/>
  <c r="D7505" i="1"/>
  <c r="F7504" i="1"/>
  <c r="E7504" i="1"/>
  <c r="D7504" i="1"/>
  <c r="F7503" i="1"/>
  <c r="E7503" i="1"/>
  <c r="D7503" i="1"/>
  <c r="F7502" i="1"/>
  <c r="E7502" i="1"/>
  <c r="D7502" i="1"/>
  <c r="F7501" i="1"/>
  <c r="E7501" i="1"/>
  <c r="D7501" i="1"/>
  <c r="F7500" i="1"/>
  <c r="E7500" i="1"/>
  <c r="D7500" i="1"/>
  <c r="F7499" i="1"/>
  <c r="E7499" i="1"/>
  <c r="D7499" i="1"/>
  <c r="F7498" i="1"/>
  <c r="E7498" i="1"/>
  <c r="D7498" i="1"/>
  <c r="F7497" i="1"/>
  <c r="E7497" i="1"/>
  <c r="D7497" i="1"/>
  <c r="F7496" i="1"/>
  <c r="E7496" i="1"/>
  <c r="D7496" i="1"/>
  <c r="F7495" i="1"/>
  <c r="E7495" i="1"/>
  <c r="D7495" i="1"/>
  <c r="F7494" i="1"/>
  <c r="E7494" i="1"/>
  <c r="D7494" i="1"/>
  <c r="F7493" i="1"/>
  <c r="E7493" i="1"/>
  <c r="D7493" i="1"/>
  <c r="F7492" i="1"/>
  <c r="E7492" i="1"/>
  <c r="D7492" i="1"/>
  <c r="F7491" i="1"/>
  <c r="E7491" i="1"/>
  <c r="D7491" i="1"/>
  <c r="F7490" i="1"/>
  <c r="E7490" i="1"/>
  <c r="D7490" i="1"/>
  <c r="F7489" i="1"/>
  <c r="E7489" i="1"/>
  <c r="D7489" i="1"/>
  <c r="F7488" i="1"/>
  <c r="E7488" i="1"/>
  <c r="D7488" i="1"/>
  <c r="F7487" i="1"/>
  <c r="E7487" i="1"/>
  <c r="D7487" i="1"/>
  <c r="F7486" i="1"/>
  <c r="E7486" i="1"/>
  <c r="D7486" i="1"/>
  <c r="F7485" i="1"/>
  <c r="E7485" i="1"/>
  <c r="D7485" i="1"/>
  <c r="F7484" i="1"/>
  <c r="E7484" i="1"/>
  <c r="D7484" i="1"/>
  <c r="F7483" i="1"/>
  <c r="E7483" i="1"/>
  <c r="D7483" i="1"/>
  <c r="F7482" i="1"/>
  <c r="E7482" i="1"/>
  <c r="D7482" i="1"/>
  <c r="F7481" i="1"/>
  <c r="E7481" i="1"/>
  <c r="D7481" i="1"/>
  <c r="F7480" i="1"/>
  <c r="E7480" i="1"/>
  <c r="D7480" i="1"/>
  <c r="F7479" i="1"/>
  <c r="E7479" i="1"/>
  <c r="D7479" i="1"/>
  <c r="F7478" i="1"/>
  <c r="E7478" i="1"/>
  <c r="D7478" i="1"/>
  <c r="F7477" i="1"/>
  <c r="E7477" i="1"/>
  <c r="D7477" i="1"/>
  <c r="F7476" i="1"/>
  <c r="E7476" i="1"/>
  <c r="D7476" i="1"/>
  <c r="F7475" i="1"/>
  <c r="E7475" i="1"/>
  <c r="D7475" i="1"/>
  <c r="F7474" i="1"/>
  <c r="E7474" i="1"/>
  <c r="D7474" i="1"/>
  <c r="F7473" i="1"/>
  <c r="E7473" i="1"/>
  <c r="D7473" i="1"/>
  <c r="F7472" i="1"/>
  <c r="E7472" i="1"/>
  <c r="D7472" i="1"/>
  <c r="F7471" i="1"/>
  <c r="E7471" i="1"/>
  <c r="D7471" i="1"/>
  <c r="F7470" i="1"/>
  <c r="E7470" i="1"/>
  <c r="D7470" i="1"/>
  <c r="F7469" i="1"/>
  <c r="E7469" i="1"/>
  <c r="D7469" i="1"/>
  <c r="F7468" i="1"/>
  <c r="E7468" i="1"/>
  <c r="D7468" i="1"/>
  <c r="F7467" i="1"/>
  <c r="E7467" i="1"/>
  <c r="D7467" i="1"/>
  <c r="F7466" i="1"/>
  <c r="E7466" i="1"/>
  <c r="D7466" i="1"/>
  <c r="F7465" i="1"/>
  <c r="E7465" i="1"/>
  <c r="D7465" i="1"/>
  <c r="F7464" i="1"/>
  <c r="E7464" i="1"/>
  <c r="D7464" i="1"/>
  <c r="F7463" i="1"/>
  <c r="E7463" i="1"/>
  <c r="D7463" i="1"/>
  <c r="F7462" i="1"/>
  <c r="E7462" i="1"/>
  <c r="D7462" i="1"/>
  <c r="F7461" i="1"/>
  <c r="E7461" i="1"/>
  <c r="D7461" i="1"/>
  <c r="F7460" i="1"/>
  <c r="E7460" i="1"/>
  <c r="D7460" i="1"/>
  <c r="F7459" i="1"/>
  <c r="E7459" i="1"/>
  <c r="D7459" i="1"/>
  <c r="F7458" i="1"/>
  <c r="E7458" i="1"/>
  <c r="D7458" i="1"/>
  <c r="F7457" i="1"/>
  <c r="E7457" i="1"/>
  <c r="D7457" i="1"/>
  <c r="F7456" i="1"/>
  <c r="E7456" i="1"/>
  <c r="D7456" i="1"/>
  <c r="F7455" i="1"/>
  <c r="E7455" i="1"/>
  <c r="D7455" i="1"/>
  <c r="F7454" i="1"/>
  <c r="E7454" i="1"/>
  <c r="D7454" i="1"/>
  <c r="F7453" i="1"/>
  <c r="E7453" i="1"/>
  <c r="D7453" i="1"/>
  <c r="F7452" i="1"/>
  <c r="E7452" i="1"/>
  <c r="D7452" i="1"/>
  <c r="F7451" i="1"/>
  <c r="E7451" i="1"/>
  <c r="D7451" i="1"/>
  <c r="F7450" i="1"/>
  <c r="E7450" i="1"/>
  <c r="D7450" i="1"/>
  <c r="F7449" i="1"/>
  <c r="E7449" i="1"/>
  <c r="D7449" i="1"/>
  <c r="F7448" i="1"/>
  <c r="E7448" i="1"/>
  <c r="D7448" i="1"/>
  <c r="F7447" i="1"/>
  <c r="E7447" i="1"/>
  <c r="D7447" i="1"/>
  <c r="F7446" i="1"/>
  <c r="E7446" i="1"/>
  <c r="D7446" i="1"/>
  <c r="F7445" i="1"/>
  <c r="E7445" i="1"/>
  <c r="D7445" i="1"/>
  <c r="F7444" i="1"/>
  <c r="E7444" i="1"/>
  <c r="D7444" i="1"/>
  <c r="F7443" i="1"/>
  <c r="E7443" i="1"/>
  <c r="D7443" i="1"/>
  <c r="F7442" i="1"/>
  <c r="E7442" i="1"/>
  <c r="D7442" i="1"/>
  <c r="F7441" i="1"/>
  <c r="E7441" i="1"/>
  <c r="D7441" i="1"/>
  <c r="F7440" i="1"/>
  <c r="E7440" i="1"/>
  <c r="D7440" i="1"/>
  <c r="F7439" i="1"/>
  <c r="E7439" i="1"/>
  <c r="D7439" i="1"/>
  <c r="F7438" i="1"/>
  <c r="E7438" i="1"/>
  <c r="D7438" i="1"/>
  <c r="F7437" i="1"/>
  <c r="E7437" i="1"/>
  <c r="D7437" i="1"/>
  <c r="F7436" i="1"/>
  <c r="E7436" i="1"/>
  <c r="D7436" i="1"/>
  <c r="F7435" i="1"/>
  <c r="E7435" i="1"/>
  <c r="D7435" i="1"/>
  <c r="F7434" i="1"/>
  <c r="E7434" i="1"/>
  <c r="D7434" i="1"/>
  <c r="F7433" i="1"/>
  <c r="E7433" i="1"/>
  <c r="D7433" i="1"/>
  <c r="F7432" i="1"/>
  <c r="E7432" i="1"/>
  <c r="D7432" i="1"/>
  <c r="F7431" i="1"/>
  <c r="E7431" i="1"/>
  <c r="D7431" i="1"/>
  <c r="F7430" i="1"/>
  <c r="E7430" i="1"/>
  <c r="D7430" i="1"/>
  <c r="F7429" i="1"/>
  <c r="E7429" i="1"/>
  <c r="D7429" i="1"/>
  <c r="F7428" i="1"/>
  <c r="E7428" i="1"/>
  <c r="D7428" i="1"/>
  <c r="F7427" i="1"/>
  <c r="E7427" i="1"/>
  <c r="D7427" i="1"/>
  <c r="F7426" i="1"/>
  <c r="E7426" i="1"/>
  <c r="D7426" i="1"/>
  <c r="F7425" i="1"/>
  <c r="E7425" i="1"/>
  <c r="D7425" i="1"/>
  <c r="F7424" i="1"/>
  <c r="E7424" i="1"/>
  <c r="D7424" i="1"/>
  <c r="F7423" i="1"/>
  <c r="E7423" i="1"/>
  <c r="D7423" i="1"/>
  <c r="F7422" i="1"/>
  <c r="E7422" i="1"/>
  <c r="D7422" i="1"/>
  <c r="F7421" i="1"/>
  <c r="E7421" i="1"/>
  <c r="D7421" i="1"/>
  <c r="F7420" i="1"/>
  <c r="E7420" i="1"/>
  <c r="D7420" i="1"/>
  <c r="F7419" i="1"/>
  <c r="E7419" i="1"/>
  <c r="D7419" i="1"/>
  <c r="F7418" i="1"/>
  <c r="E7418" i="1"/>
  <c r="D7418" i="1"/>
  <c r="F7417" i="1"/>
  <c r="E7417" i="1"/>
  <c r="D7417" i="1"/>
  <c r="F7416" i="1"/>
  <c r="E7416" i="1"/>
  <c r="D7416" i="1"/>
  <c r="F7415" i="1"/>
  <c r="E7415" i="1"/>
  <c r="D7415" i="1"/>
  <c r="F7414" i="1"/>
  <c r="E7414" i="1"/>
  <c r="D7414" i="1"/>
  <c r="F7413" i="1"/>
  <c r="E7413" i="1"/>
  <c r="D7413" i="1"/>
  <c r="F7412" i="1"/>
  <c r="E7412" i="1"/>
  <c r="D7412" i="1"/>
  <c r="F7411" i="1"/>
  <c r="E7411" i="1"/>
  <c r="D7411" i="1"/>
  <c r="F7410" i="1"/>
  <c r="E7410" i="1"/>
  <c r="D7410" i="1"/>
  <c r="F7409" i="1"/>
  <c r="E7409" i="1"/>
  <c r="D7409" i="1"/>
  <c r="F7408" i="1"/>
  <c r="E7408" i="1"/>
  <c r="D7408" i="1"/>
  <c r="F7407" i="1"/>
  <c r="E7407" i="1"/>
  <c r="D7407" i="1"/>
  <c r="F7406" i="1"/>
  <c r="E7406" i="1"/>
  <c r="D7406" i="1"/>
  <c r="F7405" i="1"/>
  <c r="E7405" i="1"/>
  <c r="D7405" i="1"/>
  <c r="F7404" i="1"/>
  <c r="E7404" i="1"/>
  <c r="D7404" i="1"/>
  <c r="F7403" i="1"/>
  <c r="E7403" i="1"/>
  <c r="D7403" i="1"/>
  <c r="F7402" i="1"/>
  <c r="E7402" i="1"/>
  <c r="D7402" i="1"/>
  <c r="F7401" i="1"/>
  <c r="E7401" i="1"/>
  <c r="D7401" i="1"/>
  <c r="F7400" i="1"/>
  <c r="E7400" i="1"/>
  <c r="D7400" i="1"/>
  <c r="F7399" i="1"/>
  <c r="E7399" i="1"/>
  <c r="D7399" i="1"/>
  <c r="F7398" i="1"/>
  <c r="E7398" i="1"/>
  <c r="D7398" i="1"/>
  <c r="F7397" i="1"/>
  <c r="E7397" i="1"/>
  <c r="D7397" i="1"/>
  <c r="F7396" i="1"/>
  <c r="E7396" i="1"/>
  <c r="D7396" i="1"/>
  <c r="F7395" i="1"/>
  <c r="E7395" i="1"/>
  <c r="D7395" i="1"/>
  <c r="F7394" i="1"/>
  <c r="E7394" i="1"/>
  <c r="D7394" i="1"/>
  <c r="F7393" i="1"/>
  <c r="E7393" i="1"/>
  <c r="D7393" i="1"/>
  <c r="F7392" i="1"/>
  <c r="E7392" i="1"/>
  <c r="D7392" i="1"/>
  <c r="F7391" i="1"/>
  <c r="E7391" i="1"/>
  <c r="D7391" i="1"/>
  <c r="F7390" i="1"/>
  <c r="E7390" i="1"/>
  <c r="D7390" i="1"/>
  <c r="F7389" i="1"/>
  <c r="E7389" i="1"/>
  <c r="D7389" i="1"/>
  <c r="F7388" i="1"/>
  <c r="E7388" i="1"/>
  <c r="D7388" i="1"/>
  <c r="F7387" i="1"/>
  <c r="E7387" i="1"/>
  <c r="D7387" i="1"/>
  <c r="F7386" i="1"/>
  <c r="E7386" i="1"/>
  <c r="D7386" i="1"/>
  <c r="F7385" i="1"/>
  <c r="E7385" i="1"/>
  <c r="D7385" i="1"/>
  <c r="F7384" i="1"/>
  <c r="E7384" i="1"/>
  <c r="D7384" i="1"/>
  <c r="F7383" i="1"/>
  <c r="E7383" i="1"/>
  <c r="D7383" i="1"/>
  <c r="F7382" i="1"/>
  <c r="E7382" i="1"/>
  <c r="D7382" i="1"/>
  <c r="F7381" i="1"/>
  <c r="E7381" i="1"/>
  <c r="D7381" i="1"/>
  <c r="F7380" i="1"/>
  <c r="E7380" i="1"/>
  <c r="D7380" i="1"/>
  <c r="F7379" i="1"/>
  <c r="E7379" i="1"/>
  <c r="D7379" i="1"/>
  <c r="F7378" i="1"/>
  <c r="E7378" i="1"/>
  <c r="D7378" i="1"/>
  <c r="F7377" i="1"/>
  <c r="E7377" i="1"/>
  <c r="D7377" i="1"/>
  <c r="F7376" i="1"/>
  <c r="E7376" i="1"/>
  <c r="D7376" i="1"/>
  <c r="F7375" i="1"/>
  <c r="E7375" i="1"/>
  <c r="D7375" i="1"/>
  <c r="F7374" i="1"/>
  <c r="E7374" i="1"/>
  <c r="D7374" i="1"/>
  <c r="F7373" i="1"/>
  <c r="E7373" i="1"/>
  <c r="D7373" i="1"/>
  <c r="F7372" i="1"/>
  <c r="E7372" i="1"/>
  <c r="D7372" i="1"/>
  <c r="F7371" i="1"/>
  <c r="E7371" i="1"/>
  <c r="D7371" i="1"/>
  <c r="F7370" i="1"/>
  <c r="E7370" i="1"/>
  <c r="D7370" i="1"/>
  <c r="F7369" i="1"/>
  <c r="E7369" i="1"/>
  <c r="D7369" i="1"/>
  <c r="F7368" i="1"/>
  <c r="E7368" i="1"/>
  <c r="D7368" i="1"/>
  <c r="F7367" i="1"/>
  <c r="E7367" i="1"/>
  <c r="D7367" i="1"/>
  <c r="F7366" i="1"/>
  <c r="E7366" i="1"/>
  <c r="D7366" i="1"/>
  <c r="F7365" i="1"/>
  <c r="E7365" i="1"/>
  <c r="D7365" i="1"/>
  <c r="F7364" i="1"/>
  <c r="E7364" i="1"/>
  <c r="D7364" i="1"/>
  <c r="F7363" i="1"/>
  <c r="E7363" i="1"/>
  <c r="D7363" i="1"/>
  <c r="F7362" i="1"/>
  <c r="E7362" i="1"/>
  <c r="D7362" i="1"/>
  <c r="F7361" i="1"/>
  <c r="E7361" i="1"/>
  <c r="D7361" i="1"/>
  <c r="F7360" i="1"/>
  <c r="E7360" i="1"/>
  <c r="D7360" i="1"/>
  <c r="F7359" i="1"/>
  <c r="E7359" i="1"/>
  <c r="D7359" i="1"/>
  <c r="F7358" i="1"/>
  <c r="E7358" i="1"/>
  <c r="D7358" i="1"/>
  <c r="F7357" i="1"/>
  <c r="E7357" i="1"/>
  <c r="D7357" i="1"/>
  <c r="F7356" i="1"/>
  <c r="E7356" i="1"/>
  <c r="D7356" i="1"/>
  <c r="F7355" i="1"/>
  <c r="E7355" i="1"/>
  <c r="D7355" i="1"/>
  <c r="F7354" i="1"/>
  <c r="E7354" i="1"/>
  <c r="D7354" i="1"/>
  <c r="F7353" i="1"/>
  <c r="E7353" i="1"/>
  <c r="D7353" i="1"/>
  <c r="F7352" i="1"/>
  <c r="E7352" i="1"/>
  <c r="D7352" i="1"/>
  <c r="F7351" i="1"/>
  <c r="E7351" i="1"/>
  <c r="D7351" i="1"/>
  <c r="F7350" i="1"/>
  <c r="E7350" i="1"/>
  <c r="D7350" i="1"/>
  <c r="F7349" i="1"/>
  <c r="E7349" i="1"/>
  <c r="D7349" i="1"/>
  <c r="F7348" i="1"/>
  <c r="E7348" i="1"/>
  <c r="D7348" i="1"/>
  <c r="F7347" i="1"/>
  <c r="E7347" i="1"/>
  <c r="D7347" i="1"/>
  <c r="F7346" i="1"/>
  <c r="E7346" i="1"/>
  <c r="D7346" i="1"/>
  <c r="F7345" i="1"/>
  <c r="E7345" i="1"/>
  <c r="D7345" i="1"/>
  <c r="F7344" i="1"/>
  <c r="E7344" i="1"/>
  <c r="D7344" i="1"/>
  <c r="F7343" i="1"/>
  <c r="E7343" i="1"/>
  <c r="D7343" i="1"/>
  <c r="F7342" i="1"/>
  <c r="E7342" i="1"/>
  <c r="D7342" i="1"/>
  <c r="F7341" i="1"/>
  <c r="E7341" i="1"/>
  <c r="D7341" i="1"/>
  <c r="F7340" i="1"/>
  <c r="E7340" i="1"/>
  <c r="D7340" i="1"/>
  <c r="F7339" i="1"/>
  <c r="E7339" i="1"/>
  <c r="D7339" i="1"/>
  <c r="F7338" i="1"/>
  <c r="E7338" i="1"/>
  <c r="D7338" i="1"/>
  <c r="F7337" i="1"/>
  <c r="E7337" i="1"/>
  <c r="D7337" i="1"/>
  <c r="F7336" i="1"/>
  <c r="E7336" i="1"/>
  <c r="D7336" i="1"/>
  <c r="F7335" i="1"/>
  <c r="E7335" i="1"/>
  <c r="D7335" i="1"/>
  <c r="F7334" i="1"/>
  <c r="E7334" i="1"/>
  <c r="D7334" i="1"/>
  <c r="F7333" i="1"/>
  <c r="E7333" i="1"/>
  <c r="D7333" i="1"/>
  <c r="F7332" i="1"/>
  <c r="E7332" i="1"/>
  <c r="D7332" i="1"/>
  <c r="F7331" i="1"/>
  <c r="E7331" i="1"/>
  <c r="D7331" i="1"/>
  <c r="F7330" i="1"/>
  <c r="E7330" i="1"/>
  <c r="D7330" i="1"/>
  <c r="F7329" i="1"/>
  <c r="E7329" i="1"/>
  <c r="D7329" i="1"/>
  <c r="F7328" i="1"/>
  <c r="E7328" i="1"/>
  <c r="D7328" i="1"/>
  <c r="F7327" i="1"/>
  <c r="E7327" i="1"/>
  <c r="D7327" i="1"/>
  <c r="F7326" i="1"/>
  <c r="E7326" i="1"/>
  <c r="D7326" i="1"/>
  <c r="F7325" i="1"/>
  <c r="E7325" i="1"/>
  <c r="D7325" i="1"/>
  <c r="F7324" i="1"/>
  <c r="E7324" i="1"/>
  <c r="D7324" i="1"/>
  <c r="F7323" i="1"/>
  <c r="E7323" i="1"/>
  <c r="D7323" i="1"/>
  <c r="F7322" i="1"/>
  <c r="E7322" i="1"/>
  <c r="D7322" i="1"/>
  <c r="F7321" i="1"/>
  <c r="E7321" i="1"/>
  <c r="D7321" i="1"/>
  <c r="F7320" i="1"/>
  <c r="E7320" i="1"/>
  <c r="D7320" i="1"/>
  <c r="F7319" i="1"/>
  <c r="E7319" i="1"/>
  <c r="D7319" i="1"/>
  <c r="F7318" i="1"/>
  <c r="E7318" i="1"/>
  <c r="D7318" i="1"/>
  <c r="F7317" i="1"/>
  <c r="E7317" i="1"/>
  <c r="D7317" i="1"/>
  <c r="F7316" i="1"/>
  <c r="E7316" i="1"/>
  <c r="D7316" i="1"/>
  <c r="F7315" i="1"/>
  <c r="E7315" i="1"/>
  <c r="D7315" i="1"/>
  <c r="F7314" i="1"/>
  <c r="E7314" i="1"/>
  <c r="D7314" i="1"/>
  <c r="F7313" i="1"/>
  <c r="E7313" i="1"/>
  <c r="D7313" i="1"/>
  <c r="F7312" i="1"/>
  <c r="E7312" i="1"/>
  <c r="D7312" i="1"/>
  <c r="F7311" i="1"/>
  <c r="E7311" i="1"/>
  <c r="D7311" i="1"/>
  <c r="F7310" i="1"/>
  <c r="E7310" i="1"/>
  <c r="D7310" i="1"/>
  <c r="F7309" i="1"/>
  <c r="E7309" i="1"/>
  <c r="D7309" i="1"/>
  <c r="F7308" i="1"/>
  <c r="E7308" i="1"/>
  <c r="D7308" i="1"/>
  <c r="F7307" i="1"/>
  <c r="E7307" i="1"/>
  <c r="D7307" i="1"/>
  <c r="F7306" i="1"/>
  <c r="E7306" i="1"/>
  <c r="D7306" i="1"/>
  <c r="F7305" i="1"/>
  <c r="E7305" i="1"/>
  <c r="D7305" i="1"/>
  <c r="F7304" i="1"/>
  <c r="E7304" i="1"/>
  <c r="D7304" i="1"/>
  <c r="F7303" i="1"/>
  <c r="E7303" i="1"/>
  <c r="D7303" i="1"/>
  <c r="F7302" i="1"/>
  <c r="E7302" i="1"/>
  <c r="D7302" i="1"/>
  <c r="F7301" i="1"/>
  <c r="E7301" i="1"/>
  <c r="D7301" i="1"/>
  <c r="F7300" i="1"/>
  <c r="E7300" i="1"/>
  <c r="D7300" i="1"/>
  <c r="F7299" i="1"/>
  <c r="E7299" i="1"/>
  <c r="D7299" i="1"/>
  <c r="F7298" i="1"/>
  <c r="E7298" i="1"/>
  <c r="D7298" i="1"/>
  <c r="F7297" i="1"/>
  <c r="E7297" i="1"/>
  <c r="D7297" i="1"/>
  <c r="F7296" i="1"/>
  <c r="E7296" i="1"/>
  <c r="D7296" i="1"/>
  <c r="F7295" i="1"/>
  <c r="E7295" i="1"/>
  <c r="D7295" i="1"/>
  <c r="F7294" i="1"/>
  <c r="E7294" i="1"/>
  <c r="D7294" i="1"/>
  <c r="F7293" i="1"/>
  <c r="E7293" i="1"/>
  <c r="D7293" i="1"/>
  <c r="F7292" i="1"/>
  <c r="E7292" i="1"/>
  <c r="D7292" i="1"/>
  <c r="F7291" i="1"/>
  <c r="E7291" i="1"/>
  <c r="D7291" i="1"/>
  <c r="F7290" i="1"/>
  <c r="E7290" i="1"/>
  <c r="D7290" i="1"/>
  <c r="F7289" i="1"/>
  <c r="E7289" i="1"/>
  <c r="D7289" i="1"/>
  <c r="F7288" i="1"/>
  <c r="E7288" i="1"/>
  <c r="D7288" i="1"/>
  <c r="F7287" i="1"/>
  <c r="E7287" i="1"/>
  <c r="D7287" i="1"/>
  <c r="F7286" i="1"/>
  <c r="E7286" i="1"/>
  <c r="D7286" i="1"/>
  <c r="F7285" i="1"/>
  <c r="E7285" i="1"/>
  <c r="D7285" i="1"/>
  <c r="F7284" i="1"/>
  <c r="E7284" i="1"/>
  <c r="D7284" i="1"/>
  <c r="F7283" i="1"/>
  <c r="E7283" i="1"/>
  <c r="D7283" i="1"/>
  <c r="F7282" i="1"/>
  <c r="E7282" i="1"/>
  <c r="D7282" i="1"/>
  <c r="F7281" i="1"/>
  <c r="E7281" i="1"/>
  <c r="D7281" i="1"/>
  <c r="F7280" i="1"/>
  <c r="E7280" i="1"/>
  <c r="D7280" i="1"/>
  <c r="F7279" i="1"/>
  <c r="E7279" i="1"/>
  <c r="D7279" i="1"/>
  <c r="F7278" i="1"/>
  <c r="E7278" i="1"/>
  <c r="D7278" i="1"/>
  <c r="F7277" i="1"/>
  <c r="E7277" i="1"/>
  <c r="D7277" i="1"/>
  <c r="F7276" i="1"/>
  <c r="E7276" i="1"/>
  <c r="D7276" i="1"/>
  <c r="F7275" i="1"/>
  <c r="E7275" i="1"/>
  <c r="D7275" i="1"/>
  <c r="F7274" i="1"/>
  <c r="E7274" i="1"/>
  <c r="D7274" i="1"/>
  <c r="F7273" i="1"/>
  <c r="E7273" i="1"/>
  <c r="D7273" i="1"/>
  <c r="F7272" i="1"/>
  <c r="E7272" i="1"/>
  <c r="D7272" i="1"/>
  <c r="F7271" i="1"/>
  <c r="E7271" i="1"/>
  <c r="D7271" i="1"/>
  <c r="F7270" i="1"/>
  <c r="E7270" i="1"/>
  <c r="D7270" i="1"/>
  <c r="F7269" i="1"/>
  <c r="E7269" i="1"/>
  <c r="D7269" i="1"/>
  <c r="F7268" i="1"/>
  <c r="E7268" i="1"/>
  <c r="D7268" i="1"/>
  <c r="F7267" i="1"/>
  <c r="E7267" i="1"/>
  <c r="D7267" i="1"/>
  <c r="F7266" i="1"/>
  <c r="E7266" i="1"/>
  <c r="D7266" i="1"/>
  <c r="F7265" i="1"/>
  <c r="E7265" i="1"/>
  <c r="D7265" i="1"/>
  <c r="F7264" i="1"/>
  <c r="E7264" i="1"/>
  <c r="D7264" i="1"/>
  <c r="F7263" i="1"/>
  <c r="E7263" i="1"/>
  <c r="D7263" i="1"/>
  <c r="F7262" i="1"/>
  <c r="E7262" i="1"/>
  <c r="D7262" i="1"/>
  <c r="F7261" i="1"/>
  <c r="E7261" i="1"/>
  <c r="D7261" i="1"/>
  <c r="F7260" i="1"/>
  <c r="E7260" i="1"/>
  <c r="D7260" i="1"/>
  <c r="F7259" i="1"/>
  <c r="E7259" i="1"/>
  <c r="D7259" i="1"/>
  <c r="F7258" i="1"/>
  <c r="E7258" i="1"/>
  <c r="D7258" i="1"/>
  <c r="F7257" i="1"/>
  <c r="E7257" i="1"/>
  <c r="D7257" i="1"/>
  <c r="F7256" i="1"/>
  <c r="E7256" i="1"/>
  <c r="D7256" i="1"/>
  <c r="F7255" i="1"/>
  <c r="E7255" i="1"/>
  <c r="D7255" i="1"/>
  <c r="F7254" i="1"/>
  <c r="E7254" i="1"/>
  <c r="D7254" i="1"/>
  <c r="F7253" i="1"/>
  <c r="E7253" i="1"/>
  <c r="D7253" i="1"/>
  <c r="F7252" i="1"/>
  <c r="E7252" i="1"/>
  <c r="D7252" i="1"/>
  <c r="F7251" i="1"/>
  <c r="E7251" i="1"/>
  <c r="D7251" i="1"/>
  <c r="F7250" i="1"/>
  <c r="E7250" i="1"/>
  <c r="D7250" i="1"/>
  <c r="F7249" i="1"/>
  <c r="E7249" i="1"/>
  <c r="D7249" i="1"/>
  <c r="F7248" i="1"/>
  <c r="E7248" i="1"/>
  <c r="D7248" i="1"/>
  <c r="F7247" i="1"/>
  <c r="E7247" i="1"/>
  <c r="D7247" i="1"/>
  <c r="F7246" i="1"/>
  <c r="E7246" i="1"/>
  <c r="D7246" i="1"/>
  <c r="F7245" i="1"/>
  <c r="E7245" i="1"/>
  <c r="D7245" i="1"/>
  <c r="F7244" i="1"/>
  <c r="E7244" i="1"/>
  <c r="D7244" i="1"/>
  <c r="F7243" i="1"/>
  <c r="E7243" i="1"/>
  <c r="D7243" i="1"/>
  <c r="F7242" i="1"/>
  <c r="E7242" i="1"/>
  <c r="D7242" i="1"/>
  <c r="F7241" i="1"/>
  <c r="E7241" i="1"/>
  <c r="D7241" i="1"/>
  <c r="F7240" i="1"/>
  <c r="E7240" i="1"/>
  <c r="D7240" i="1"/>
  <c r="F7239" i="1"/>
  <c r="E7239" i="1"/>
  <c r="D7239" i="1"/>
  <c r="F7238" i="1"/>
  <c r="E7238" i="1"/>
  <c r="D7238" i="1"/>
  <c r="F7237" i="1"/>
  <c r="E7237" i="1"/>
  <c r="D7237" i="1"/>
  <c r="F7236" i="1"/>
  <c r="E7236" i="1"/>
  <c r="D7236" i="1"/>
  <c r="F7235" i="1"/>
  <c r="E7235" i="1"/>
  <c r="D7235" i="1"/>
  <c r="F7234" i="1"/>
  <c r="E7234" i="1"/>
  <c r="D7234" i="1"/>
  <c r="F7233" i="1"/>
  <c r="E7233" i="1"/>
  <c r="D7233" i="1"/>
  <c r="F7232" i="1"/>
  <c r="E7232" i="1"/>
  <c r="D7232" i="1"/>
  <c r="F7231" i="1"/>
  <c r="E7231" i="1"/>
  <c r="D7231" i="1"/>
  <c r="F7230" i="1"/>
  <c r="E7230" i="1"/>
  <c r="D7230" i="1"/>
  <c r="F7229" i="1"/>
  <c r="E7229" i="1"/>
  <c r="D7229" i="1"/>
  <c r="F7228" i="1"/>
  <c r="E7228" i="1"/>
  <c r="D7228" i="1"/>
  <c r="F7227" i="1"/>
  <c r="E7227" i="1"/>
  <c r="D7227" i="1"/>
  <c r="F7226" i="1"/>
  <c r="E7226" i="1"/>
  <c r="D7226" i="1"/>
  <c r="F7225" i="1"/>
  <c r="E7225" i="1"/>
  <c r="D7225" i="1"/>
  <c r="F7224" i="1"/>
  <c r="E7224" i="1"/>
  <c r="D7224" i="1"/>
  <c r="F7223" i="1"/>
  <c r="E7223" i="1"/>
  <c r="D7223" i="1"/>
  <c r="F7222" i="1"/>
  <c r="E7222" i="1"/>
  <c r="D7222" i="1"/>
  <c r="F7221" i="1"/>
  <c r="E7221" i="1"/>
  <c r="D7221" i="1"/>
  <c r="F7220" i="1"/>
  <c r="E7220" i="1"/>
  <c r="D7220" i="1"/>
  <c r="F7219" i="1"/>
  <c r="E7219" i="1"/>
  <c r="D7219" i="1"/>
  <c r="F7218" i="1"/>
  <c r="E7218" i="1"/>
  <c r="D7218" i="1"/>
  <c r="F7217" i="1"/>
  <c r="E7217" i="1"/>
  <c r="D7217" i="1"/>
  <c r="F7216" i="1"/>
  <c r="E7216" i="1"/>
  <c r="D7216" i="1"/>
  <c r="F7215" i="1"/>
  <c r="E7215" i="1"/>
  <c r="D7215" i="1"/>
  <c r="F7214" i="1"/>
  <c r="E7214" i="1"/>
  <c r="D7214" i="1"/>
  <c r="F7213" i="1"/>
  <c r="E7213" i="1"/>
  <c r="D7213" i="1"/>
  <c r="F7212" i="1"/>
  <c r="E7212" i="1"/>
  <c r="D7212" i="1"/>
  <c r="F7211" i="1"/>
  <c r="E7211" i="1"/>
  <c r="D7211" i="1"/>
  <c r="F7210" i="1"/>
  <c r="E7210" i="1"/>
  <c r="D7210" i="1"/>
  <c r="F7209" i="1"/>
  <c r="E7209" i="1"/>
  <c r="D7209" i="1"/>
  <c r="F7208" i="1"/>
  <c r="E7208" i="1"/>
  <c r="D7208" i="1"/>
  <c r="F7207" i="1"/>
  <c r="E7207" i="1"/>
  <c r="D7207" i="1"/>
  <c r="F7206" i="1"/>
  <c r="E7206" i="1"/>
  <c r="D7206" i="1"/>
  <c r="F7205" i="1"/>
  <c r="E7205" i="1"/>
  <c r="D7205" i="1"/>
  <c r="F7204" i="1"/>
  <c r="E7204" i="1"/>
  <c r="D7204" i="1"/>
  <c r="F7203" i="1"/>
  <c r="E7203" i="1"/>
  <c r="D7203" i="1"/>
  <c r="F7202" i="1"/>
  <c r="E7202" i="1"/>
  <c r="D7202" i="1"/>
  <c r="F7201" i="1"/>
  <c r="E7201" i="1"/>
  <c r="D7201" i="1"/>
  <c r="F7200" i="1"/>
  <c r="E7200" i="1"/>
  <c r="D7200" i="1"/>
  <c r="F7199" i="1"/>
  <c r="E7199" i="1"/>
  <c r="D7199" i="1"/>
  <c r="F7198" i="1"/>
  <c r="E7198" i="1"/>
  <c r="D7198" i="1"/>
  <c r="F7197" i="1"/>
  <c r="E7197" i="1"/>
  <c r="D7197" i="1"/>
  <c r="F7196" i="1"/>
  <c r="E7196" i="1"/>
  <c r="D7196" i="1"/>
  <c r="F7195" i="1"/>
  <c r="E7195" i="1"/>
  <c r="D7195" i="1"/>
  <c r="F7194" i="1"/>
  <c r="E7194" i="1"/>
  <c r="D7194" i="1"/>
  <c r="F7193" i="1"/>
  <c r="E7193" i="1"/>
  <c r="D7193" i="1"/>
  <c r="F7192" i="1"/>
  <c r="E7192" i="1"/>
  <c r="D7192" i="1"/>
  <c r="F7191" i="1"/>
  <c r="E7191" i="1"/>
  <c r="D7191" i="1"/>
  <c r="F7190" i="1"/>
  <c r="E7190" i="1"/>
  <c r="D7190" i="1"/>
  <c r="F7189" i="1"/>
  <c r="E7189" i="1"/>
  <c r="D7189" i="1"/>
  <c r="F7188" i="1"/>
  <c r="E7188" i="1"/>
  <c r="D7188" i="1"/>
  <c r="F7187" i="1"/>
  <c r="E7187" i="1"/>
  <c r="D7187" i="1"/>
  <c r="F7186" i="1"/>
  <c r="E7186" i="1"/>
  <c r="D7186" i="1"/>
  <c r="F7185" i="1"/>
  <c r="E7185" i="1"/>
  <c r="D7185" i="1"/>
  <c r="F7184" i="1"/>
  <c r="E7184" i="1"/>
  <c r="D7184" i="1"/>
  <c r="F7183" i="1"/>
  <c r="E7183" i="1"/>
  <c r="D7183" i="1"/>
  <c r="F7182" i="1"/>
  <c r="E7182" i="1"/>
  <c r="D7182" i="1"/>
  <c r="F7181" i="1"/>
  <c r="E7181" i="1"/>
  <c r="D7181" i="1"/>
  <c r="F7180" i="1"/>
  <c r="E7180" i="1"/>
  <c r="D7180" i="1"/>
  <c r="F7179" i="1"/>
  <c r="E7179" i="1"/>
  <c r="D7179" i="1"/>
  <c r="F7178" i="1"/>
  <c r="E7178" i="1"/>
  <c r="D7178" i="1"/>
  <c r="F7177" i="1"/>
  <c r="E7177" i="1"/>
  <c r="D7177" i="1"/>
  <c r="F7176" i="1"/>
  <c r="E7176" i="1"/>
  <c r="D7176" i="1"/>
  <c r="F7175" i="1"/>
  <c r="E7175" i="1"/>
  <c r="D7175" i="1"/>
  <c r="F7174" i="1"/>
  <c r="E7174" i="1"/>
  <c r="D7174" i="1"/>
  <c r="F7173" i="1"/>
  <c r="E7173" i="1"/>
  <c r="D7173" i="1"/>
  <c r="F7172" i="1"/>
  <c r="E7172" i="1"/>
  <c r="D7172" i="1"/>
  <c r="F7171" i="1"/>
  <c r="E7171" i="1"/>
  <c r="D7171" i="1"/>
  <c r="F7170" i="1"/>
  <c r="E7170" i="1"/>
  <c r="D7170" i="1"/>
  <c r="F7169" i="1"/>
  <c r="E7169" i="1"/>
  <c r="D7169" i="1"/>
  <c r="F7168" i="1"/>
  <c r="E7168" i="1"/>
  <c r="D7168" i="1"/>
  <c r="F7167" i="1"/>
  <c r="E7167" i="1"/>
  <c r="D7167" i="1"/>
  <c r="F7166" i="1"/>
  <c r="E7166" i="1"/>
  <c r="D7166" i="1"/>
  <c r="F7165" i="1"/>
  <c r="E7165" i="1"/>
  <c r="D7165" i="1"/>
  <c r="F7164" i="1"/>
  <c r="E7164" i="1"/>
  <c r="D7164" i="1"/>
  <c r="F7163" i="1"/>
  <c r="E7163" i="1"/>
  <c r="D7163" i="1"/>
  <c r="F7162" i="1"/>
  <c r="E7162" i="1"/>
  <c r="D7162" i="1"/>
  <c r="F7161" i="1"/>
  <c r="E7161" i="1"/>
  <c r="D7161" i="1"/>
  <c r="F7160" i="1"/>
  <c r="E7160" i="1"/>
  <c r="D7160" i="1"/>
  <c r="F7159" i="1"/>
  <c r="E7159" i="1"/>
  <c r="D7159" i="1"/>
  <c r="F7158" i="1"/>
  <c r="E7158" i="1"/>
  <c r="D7158" i="1"/>
  <c r="F7157" i="1"/>
  <c r="E7157" i="1"/>
  <c r="D7157" i="1"/>
  <c r="F7156" i="1"/>
  <c r="E7156" i="1"/>
  <c r="D7156" i="1"/>
  <c r="F7155" i="1"/>
  <c r="E7155" i="1"/>
  <c r="D7155" i="1"/>
  <c r="F7154" i="1"/>
  <c r="E7154" i="1"/>
  <c r="D7154" i="1"/>
  <c r="F7153" i="1"/>
  <c r="E7153" i="1"/>
  <c r="D7153" i="1"/>
  <c r="F7152" i="1"/>
  <c r="E7152" i="1"/>
  <c r="D7152" i="1"/>
  <c r="F7151" i="1"/>
  <c r="E7151" i="1"/>
  <c r="D7151" i="1"/>
  <c r="F7150" i="1"/>
  <c r="E7150" i="1"/>
  <c r="D7150" i="1"/>
  <c r="F7149" i="1"/>
  <c r="E7149" i="1"/>
  <c r="D7149" i="1"/>
  <c r="F7148" i="1"/>
  <c r="E7148" i="1"/>
  <c r="D7148" i="1"/>
  <c r="F7147" i="1"/>
  <c r="E7147" i="1"/>
  <c r="D7147" i="1"/>
  <c r="F7146" i="1"/>
  <c r="E7146" i="1"/>
  <c r="D7146" i="1"/>
  <c r="F7145" i="1"/>
  <c r="E7145" i="1"/>
  <c r="D7145" i="1"/>
  <c r="F7144" i="1"/>
  <c r="E7144" i="1"/>
  <c r="D7144" i="1"/>
  <c r="F7143" i="1"/>
  <c r="E7143" i="1"/>
  <c r="D7143" i="1"/>
  <c r="F7142" i="1"/>
  <c r="E7142" i="1"/>
  <c r="D7142" i="1"/>
  <c r="F7141" i="1"/>
  <c r="E7141" i="1"/>
  <c r="D7141" i="1"/>
  <c r="F7140" i="1"/>
  <c r="E7140" i="1"/>
  <c r="D7140" i="1"/>
  <c r="F7139" i="1"/>
  <c r="E7139" i="1"/>
  <c r="D7139" i="1"/>
  <c r="F7138" i="1"/>
  <c r="E7138" i="1"/>
  <c r="D7138" i="1"/>
  <c r="F7137" i="1"/>
  <c r="E7137" i="1"/>
  <c r="D7137" i="1"/>
  <c r="F7136" i="1"/>
  <c r="E7136" i="1"/>
  <c r="D7136" i="1"/>
  <c r="F7135" i="1"/>
  <c r="E7135" i="1"/>
  <c r="D7135" i="1"/>
  <c r="F7134" i="1"/>
  <c r="E7134" i="1"/>
  <c r="D7134" i="1"/>
  <c r="F7133" i="1"/>
  <c r="E7133" i="1"/>
  <c r="D7133" i="1"/>
  <c r="F7132" i="1"/>
  <c r="E7132" i="1"/>
  <c r="D7132" i="1"/>
  <c r="F7131" i="1"/>
  <c r="E7131" i="1"/>
  <c r="D7131" i="1"/>
  <c r="F7130" i="1"/>
  <c r="E7130" i="1"/>
  <c r="D7130" i="1"/>
  <c r="F7129" i="1"/>
  <c r="E7129" i="1"/>
  <c r="D7129" i="1"/>
  <c r="F7128" i="1"/>
  <c r="E7128" i="1"/>
  <c r="D7128" i="1"/>
  <c r="F7127" i="1"/>
  <c r="E7127" i="1"/>
  <c r="D7127" i="1"/>
  <c r="F7126" i="1"/>
  <c r="E7126" i="1"/>
  <c r="D7126" i="1"/>
  <c r="F7125" i="1"/>
  <c r="E7125" i="1"/>
  <c r="D7125" i="1"/>
  <c r="F7124" i="1"/>
  <c r="E7124" i="1"/>
  <c r="D7124" i="1"/>
  <c r="F7123" i="1"/>
  <c r="E7123" i="1"/>
  <c r="D7123" i="1"/>
  <c r="F7122" i="1"/>
  <c r="E7122" i="1"/>
  <c r="D7122" i="1"/>
  <c r="F7121" i="1"/>
  <c r="E7121" i="1"/>
  <c r="D7121" i="1"/>
  <c r="F7120" i="1"/>
  <c r="E7120" i="1"/>
  <c r="D7120" i="1"/>
  <c r="F7119" i="1"/>
  <c r="E7119" i="1"/>
  <c r="D7119" i="1"/>
  <c r="F7118" i="1"/>
  <c r="E7118" i="1"/>
  <c r="D7118" i="1"/>
  <c r="F7117" i="1"/>
  <c r="E7117" i="1"/>
  <c r="D7117" i="1"/>
  <c r="F7116" i="1"/>
  <c r="E7116" i="1"/>
  <c r="D7116" i="1"/>
  <c r="F7115" i="1"/>
  <c r="E7115" i="1"/>
  <c r="D7115" i="1"/>
  <c r="F7114" i="1"/>
  <c r="E7114" i="1"/>
  <c r="D7114" i="1"/>
  <c r="F7113" i="1"/>
  <c r="E7113" i="1"/>
  <c r="D7113" i="1"/>
  <c r="F7112" i="1"/>
  <c r="E7112" i="1"/>
  <c r="D7112" i="1"/>
  <c r="F7111" i="1"/>
  <c r="E7111" i="1"/>
  <c r="D7111" i="1"/>
  <c r="F7110" i="1"/>
  <c r="E7110" i="1"/>
  <c r="D7110" i="1"/>
  <c r="F7109" i="1"/>
  <c r="E7109" i="1"/>
  <c r="D7109" i="1"/>
  <c r="F7108" i="1"/>
  <c r="E7108" i="1"/>
  <c r="D7108" i="1"/>
  <c r="F7107" i="1"/>
  <c r="E7107" i="1"/>
  <c r="D7107" i="1"/>
  <c r="F7106" i="1"/>
  <c r="E7106" i="1"/>
  <c r="D7106" i="1"/>
  <c r="F7105" i="1"/>
  <c r="E7105" i="1"/>
  <c r="D7105" i="1"/>
  <c r="F7104" i="1"/>
  <c r="E7104" i="1"/>
  <c r="D7104" i="1"/>
  <c r="F7103" i="1"/>
  <c r="E7103" i="1"/>
  <c r="D7103" i="1"/>
  <c r="F7102" i="1"/>
  <c r="E7102" i="1"/>
  <c r="D7102" i="1"/>
  <c r="F7101" i="1"/>
  <c r="E7101" i="1"/>
  <c r="D7101" i="1"/>
  <c r="F7100" i="1"/>
  <c r="E7100" i="1"/>
  <c r="D7100" i="1"/>
  <c r="F7099" i="1"/>
  <c r="E7099" i="1"/>
  <c r="D7099" i="1"/>
  <c r="F7098" i="1"/>
  <c r="E7098" i="1"/>
  <c r="D7098" i="1"/>
  <c r="F7097" i="1"/>
  <c r="E7097" i="1"/>
  <c r="D7097" i="1"/>
  <c r="F7096" i="1"/>
  <c r="E7096" i="1"/>
  <c r="D7096" i="1"/>
  <c r="F7095" i="1"/>
  <c r="E7095" i="1"/>
  <c r="D7095" i="1"/>
  <c r="F7094" i="1"/>
  <c r="E7094" i="1"/>
  <c r="D7094" i="1"/>
  <c r="F7093" i="1"/>
  <c r="E7093" i="1"/>
  <c r="D7093" i="1"/>
  <c r="F7092" i="1"/>
  <c r="E7092" i="1"/>
  <c r="D7092" i="1"/>
  <c r="F7091" i="1"/>
  <c r="E7091" i="1"/>
  <c r="D7091" i="1"/>
  <c r="F7090" i="1"/>
  <c r="E7090" i="1"/>
  <c r="D7090" i="1"/>
  <c r="F7089" i="1"/>
  <c r="E7089" i="1"/>
  <c r="D7089" i="1"/>
  <c r="F7088" i="1"/>
  <c r="E7088" i="1"/>
  <c r="D7088" i="1"/>
  <c r="F7087" i="1"/>
  <c r="E7087" i="1"/>
  <c r="D7087" i="1"/>
  <c r="F7086" i="1"/>
  <c r="E7086" i="1"/>
  <c r="D7086" i="1"/>
  <c r="F7085" i="1"/>
  <c r="E7085" i="1"/>
  <c r="D7085" i="1"/>
  <c r="F7084" i="1"/>
  <c r="E7084" i="1"/>
  <c r="D7084" i="1"/>
  <c r="F7083" i="1"/>
  <c r="E7083" i="1"/>
  <c r="D7083" i="1"/>
  <c r="F7082" i="1"/>
  <c r="E7082" i="1"/>
  <c r="D7082" i="1"/>
  <c r="F7081" i="1"/>
  <c r="E7081" i="1"/>
  <c r="D7081" i="1"/>
  <c r="F7080" i="1"/>
  <c r="E7080" i="1"/>
  <c r="D7080" i="1"/>
  <c r="F7079" i="1"/>
  <c r="E7079" i="1"/>
  <c r="D7079" i="1"/>
  <c r="F7078" i="1"/>
  <c r="E7078" i="1"/>
  <c r="D7078" i="1"/>
  <c r="F7077" i="1"/>
  <c r="E7077" i="1"/>
  <c r="D7077" i="1"/>
  <c r="F7076" i="1"/>
  <c r="E7076" i="1"/>
  <c r="D7076" i="1"/>
  <c r="F7075" i="1"/>
  <c r="E7075" i="1"/>
  <c r="D7075" i="1"/>
  <c r="F7074" i="1"/>
  <c r="E7074" i="1"/>
  <c r="D7074" i="1"/>
  <c r="F7073" i="1"/>
  <c r="E7073" i="1"/>
  <c r="D7073" i="1"/>
  <c r="F7072" i="1"/>
  <c r="E7072" i="1"/>
  <c r="D7072" i="1"/>
  <c r="F7071" i="1"/>
  <c r="E7071" i="1"/>
  <c r="D7071" i="1"/>
  <c r="F7070" i="1"/>
  <c r="E7070" i="1"/>
  <c r="D7070" i="1"/>
  <c r="F7069" i="1"/>
  <c r="E7069" i="1"/>
  <c r="D7069" i="1"/>
  <c r="F7068" i="1"/>
  <c r="E7068" i="1"/>
  <c r="D7068" i="1"/>
  <c r="F7067" i="1"/>
  <c r="E7067" i="1"/>
  <c r="D7067" i="1"/>
  <c r="F7066" i="1"/>
  <c r="E7066" i="1"/>
  <c r="D7066" i="1"/>
  <c r="F7065" i="1"/>
  <c r="E7065" i="1"/>
  <c r="D7065" i="1"/>
  <c r="F7064" i="1"/>
  <c r="E7064" i="1"/>
  <c r="D7064" i="1"/>
  <c r="F7063" i="1"/>
  <c r="E7063" i="1"/>
  <c r="D7063" i="1"/>
  <c r="F7062" i="1"/>
  <c r="E7062" i="1"/>
  <c r="D7062" i="1"/>
  <c r="F7061" i="1"/>
  <c r="E7061" i="1"/>
  <c r="D7061" i="1"/>
  <c r="F7060" i="1"/>
  <c r="E7060" i="1"/>
  <c r="D7060" i="1"/>
  <c r="F7059" i="1"/>
  <c r="E7059" i="1"/>
  <c r="D7059" i="1"/>
  <c r="F7058" i="1"/>
  <c r="E7058" i="1"/>
  <c r="D7058" i="1"/>
  <c r="F7057" i="1"/>
  <c r="E7057" i="1"/>
  <c r="D7057" i="1"/>
  <c r="F7056" i="1"/>
  <c r="E7056" i="1"/>
  <c r="D7056" i="1"/>
  <c r="F7055" i="1"/>
  <c r="E7055" i="1"/>
  <c r="D7055" i="1"/>
  <c r="F7054" i="1"/>
  <c r="E7054" i="1"/>
  <c r="D7054" i="1"/>
  <c r="F7053" i="1"/>
  <c r="E7053" i="1"/>
  <c r="D7053" i="1"/>
  <c r="F7052" i="1"/>
  <c r="E7052" i="1"/>
  <c r="D7052" i="1"/>
  <c r="F7051" i="1"/>
  <c r="E7051" i="1"/>
  <c r="D7051" i="1"/>
  <c r="F7050" i="1"/>
  <c r="E7050" i="1"/>
  <c r="D7050" i="1"/>
  <c r="F7049" i="1"/>
  <c r="E7049" i="1"/>
  <c r="D7049" i="1"/>
  <c r="F7048" i="1"/>
  <c r="E7048" i="1"/>
  <c r="D7048" i="1"/>
  <c r="F7047" i="1"/>
  <c r="E7047" i="1"/>
  <c r="D7047" i="1"/>
  <c r="F7046" i="1"/>
  <c r="E7046" i="1"/>
  <c r="D7046" i="1"/>
  <c r="F7045" i="1"/>
  <c r="E7045" i="1"/>
  <c r="D7045" i="1"/>
  <c r="F7044" i="1"/>
  <c r="E7044" i="1"/>
  <c r="D7044" i="1"/>
  <c r="F7043" i="1"/>
  <c r="E7043" i="1"/>
  <c r="D7043" i="1"/>
  <c r="F7042" i="1"/>
  <c r="E7042" i="1"/>
  <c r="D7042" i="1"/>
  <c r="F7041" i="1"/>
  <c r="E7041" i="1"/>
  <c r="D7041" i="1"/>
  <c r="F7040" i="1"/>
  <c r="E7040" i="1"/>
  <c r="D7040" i="1"/>
  <c r="F7039" i="1"/>
  <c r="E7039" i="1"/>
  <c r="D7039" i="1"/>
  <c r="F7038" i="1"/>
  <c r="E7038" i="1"/>
  <c r="D7038" i="1"/>
  <c r="F7037" i="1"/>
  <c r="E7037" i="1"/>
  <c r="D7037" i="1"/>
  <c r="F7036" i="1"/>
  <c r="E7036" i="1"/>
  <c r="D7036" i="1"/>
  <c r="F7035" i="1"/>
  <c r="E7035" i="1"/>
  <c r="D7035" i="1"/>
  <c r="F7034" i="1"/>
  <c r="E7034" i="1"/>
  <c r="D7034" i="1"/>
  <c r="F7033" i="1"/>
  <c r="E7033" i="1"/>
  <c r="D7033" i="1"/>
  <c r="F7032" i="1"/>
  <c r="E7032" i="1"/>
  <c r="D7032" i="1"/>
  <c r="F7031" i="1"/>
  <c r="E7031" i="1"/>
  <c r="D7031" i="1"/>
  <c r="F7030" i="1"/>
  <c r="E7030" i="1"/>
  <c r="D7030" i="1"/>
  <c r="F7029" i="1"/>
  <c r="E7029" i="1"/>
  <c r="D7029" i="1"/>
  <c r="F7028" i="1"/>
  <c r="E7028" i="1"/>
  <c r="D7028" i="1"/>
  <c r="F7027" i="1"/>
  <c r="E7027" i="1"/>
  <c r="D7027" i="1"/>
  <c r="F7026" i="1"/>
  <c r="E7026" i="1"/>
  <c r="D7026" i="1"/>
  <c r="F7025" i="1"/>
  <c r="E7025" i="1"/>
  <c r="D7025" i="1"/>
  <c r="F7024" i="1"/>
  <c r="E7024" i="1"/>
  <c r="D7024" i="1"/>
  <c r="F7023" i="1"/>
  <c r="E7023" i="1"/>
  <c r="D7023" i="1"/>
  <c r="F7022" i="1"/>
  <c r="E7022" i="1"/>
  <c r="D7022" i="1"/>
  <c r="F7021" i="1"/>
  <c r="E7021" i="1"/>
  <c r="D7021" i="1"/>
  <c r="F7020" i="1"/>
  <c r="E7020" i="1"/>
  <c r="D7020" i="1"/>
  <c r="F7019" i="1"/>
  <c r="E7019" i="1"/>
  <c r="D7019" i="1"/>
  <c r="F7018" i="1"/>
  <c r="E7018" i="1"/>
  <c r="D7018" i="1"/>
  <c r="F7017" i="1"/>
  <c r="E7017" i="1"/>
  <c r="D7017" i="1"/>
  <c r="F7016" i="1"/>
  <c r="E7016" i="1"/>
  <c r="D7016" i="1"/>
  <c r="F7015" i="1"/>
  <c r="E7015" i="1"/>
  <c r="D7015" i="1"/>
  <c r="F7014" i="1"/>
  <c r="E7014" i="1"/>
  <c r="D7014" i="1"/>
  <c r="F7013" i="1"/>
  <c r="E7013" i="1"/>
  <c r="D7013" i="1"/>
  <c r="F7012" i="1"/>
  <c r="E7012" i="1"/>
  <c r="D7012" i="1"/>
  <c r="F7011" i="1"/>
  <c r="E7011" i="1"/>
  <c r="D7011" i="1"/>
  <c r="F7010" i="1"/>
  <c r="E7010" i="1"/>
  <c r="D7010" i="1"/>
  <c r="F7009" i="1"/>
  <c r="E7009" i="1"/>
  <c r="D7009" i="1"/>
  <c r="F7008" i="1"/>
  <c r="E7008" i="1"/>
  <c r="D7008" i="1"/>
  <c r="F7007" i="1"/>
  <c r="E7007" i="1"/>
  <c r="D7007" i="1"/>
  <c r="F7006" i="1"/>
  <c r="E7006" i="1"/>
  <c r="D7006" i="1"/>
  <c r="F7005" i="1"/>
  <c r="E7005" i="1"/>
  <c r="D7005" i="1"/>
  <c r="F7004" i="1"/>
  <c r="E7004" i="1"/>
  <c r="D7004" i="1"/>
  <c r="F7003" i="1"/>
  <c r="E7003" i="1"/>
  <c r="D7003" i="1"/>
  <c r="F7002" i="1"/>
  <c r="E7002" i="1"/>
  <c r="D7002" i="1"/>
  <c r="F7001" i="1"/>
  <c r="E7001" i="1"/>
  <c r="D7001" i="1"/>
  <c r="F7000" i="1"/>
  <c r="E7000" i="1"/>
  <c r="D7000" i="1"/>
  <c r="F6999" i="1"/>
  <c r="E6999" i="1"/>
  <c r="D6999" i="1"/>
  <c r="F6998" i="1"/>
  <c r="E6998" i="1"/>
  <c r="D6998" i="1"/>
  <c r="F6997" i="1"/>
  <c r="E6997" i="1"/>
  <c r="D6997" i="1"/>
  <c r="F6996" i="1"/>
  <c r="E6996" i="1"/>
  <c r="D6996" i="1"/>
  <c r="F6995" i="1"/>
  <c r="E6995" i="1"/>
  <c r="D6995" i="1"/>
  <c r="F6994" i="1"/>
  <c r="E6994" i="1"/>
  <c r="D6994" i="1"/>
  <c r="F6993" i="1"/>
  <c r="E6993" i="1"/>
  <c r="D6993" i="1"/>
  <c r="F6992" i="1"/>
  <c r="E6992" i="1"/>
  <c r="D6992" i="1"/>
  <c r="F6991" i="1"/>
  <c r="E6991" i="1"/>
  <c r="D6991" i="1"/>
  <c r="F6990" i="1"/>
  <c r="E6990" i="1"/>
  <c r="D6990" i="1"/>
  <c r="F6989" i="1"/>
  <c r="E6989" i="1"/>
  <c r="D6989" i="1"/>
  <c r="F6988" i="1"/>
  <c r="E6988" i="1"/>
  <c r="D6988" i="1"/>
  <c r="F6987" i="1"/>
  <c r="E6987" i="1"/>
  <c r="D6987" i="1"/>
  <c r="F6986" i="1"/>
  <c r="E6986" i="1"/>
  <c r="D6986" i="1"/>
  <c r="F6985" i="1"/>
  <c r="E6985" i="1"/>
  <c r="D6985" i="1"/>
  <c r="F6984" i="1"/>
  <c r="E6984" i="1"/>
  <c r="D6984" i="1"/>
  <c r="F6983" i="1"/>
  <c r="E6983" i="1"/>
  <c r="D6983" i="1"/>
  <c r="F6982" i="1"/>
  <c r="E6982" i="1"/>
  <c r="D6982" i="1"/>
  <c r="F6981" i="1"/>
  <c r="E6981" i="1"/>
  <c r="D6981" i="1"/>
  <c r="F6980" i="1"/>
  <c r="E6980" i="1"/>
  <c r="D6980" i="1"/>
  <c r="F6979" i="1"/>
  <c r="E6979" i="1"/>
  <c r="D6979" i="1"/>
  <c r="F6978" i="1"/>
  <c r="E6978" i="1"/>
  <c r="D6978" i="1"/>
  <c r="F6977" i="1"/>
  <c r="E6977" i="1"/>
  <c r="D6977" i="1"/>
  <c r="F6976" i="1"/>
  <c r="E6976" i="1"/>
  <c r="D6976" i="1"/>
  <c r="F6975" i="1"/>
  <c r="E6975" i="1"/>
  <c r="D6975" i="1"/>
  <c r="F6974" i="1"/>
  <c r="E6974" i="1"/>
  <c r="D6974" i="1"/>
  <c r="F6973" i="1"/>
  <c r="E6973" i="1"/>
  <c r="D6973" i="1"/>
  <c r="F6972" i="1"/>
  <c r="E6972" i="1"/>
  <c r="D6972" i="1"/>
  <c r="F6971" i="1"/>
  <c r="E6971" i="1"/>
  <c r="D6971" i="1"/>
  <c r="F6970" i="1"/>
  <c r="E6970" i="1"/>
  <c r="D6970" i="1"/>
  <c r="F6969" i="1"/>
  <c r="E6969" i="1"/>
  <c r="D6969" i="1"/>
  <c r="F6968" i="1"/>
  <c r="E6968" i="1"/>
  <c r="D6968" i="1"/>
  <c r="F6967" i="1"/>
  <c r="E6967" i="1"/>
  <c r="D6967" i="1"/>
  <c r="F6966" i="1"/>
  <c r="E6966" i="1"/>
  <c r="D6966" i="1"/>
  <c r="F6965" i="1"/>
  <c r="E6965" i="1"/>
  <c r="D6965" i="1"/>
  <c r="F6964" i="1"/>
  <c r="E6964" i="1"/>
  <c r="D6964" i="1"/>
  <c r="F6963" i="1"/>
  <c r="E6963" i="1"/>
  <c r="D6963" i="1"/>
  <c r="F6962" i="1"/>
  <c r="E6962" i="1"/>
  <c r="D6962" i="1"/>
  <c r="F6961" i="1"/>
  <c r="E6961" i="1"/>
  <c r="D6961" i="1"/>
  <c r="F6960" i="1"/>
  <c r="E6960" i="1"/>
  <c r="D6960" i="1"/>
  <c r="F6959" i="1"/>
  <c r="E6959" i="1"/>
  <c r="D6959" i="1"/>
  <c r="F6958" i="1"/>
  <c r="E6958" i="1"/>
  <c r="D6958" i="1"/>
  <c r="F6957" i="1"/>
  <c r="E6957" i="1"/>
  <c r="D6957" i="1"/>
  <c r="F6956" i="1"/>
  <c r="E6956" i="1"/>
  <c r="D6956" i="1"/>
  <c r="F6955" i="1"/>
  <c r="E6955" i="1"/>
  <c r="D6955" i="1"/>
  <c r="F6954" i="1"/>
  <c r="E6954" i="1"/>
  <c r="D6954" i="1"/>
  <c r="F6953" i="1"/>
  <c r="E6953" i="1"/>
  <c r="D6953" i="1"/>
  <c r="F6952" i="1"/>
  <c r="E6952" i="1"/>
  <c r="D6952" i="1"/>
  <c r="F6951" i="1"/>
  <c r="E6951" i="1"/>
  <c r="D6951" i="1"/>
  <c r="F6950" i="1"/>
  <c r="E6950" i="1"/>
  <c r="D6950" i="1"/>
  <c r="F6949" i="1"/>
  <c r="E6949" i="1"/>
  <c r="D6949" i="1"/>
  <c r="F6948" i="1"/>
  <c r="E6948" i="1"/>
  <c r="D6948" i="1"/>
  <c r="F6947" i="1"/>
  <c r="E6947" i="1"/>
  <c r="D6947" i="1"/>
  <c r="F6946" i="1"/>
  <c r="E6946" i="1"/>
  <c r="D6946" i="1"/>
  <c r="F6945" i="1"/>
  <c r="E6945" i="1"/>
  <c r="D6945" i="1"/>
  <c r="F6944" i="1"/>
  <c r="E6944" i="1"/>
  <c r="D6944" i="1"/>
  <c r="F6943" i="1"/>
  <c r="E6943" i="1"/>
  <c r="D6943" i="1"/>
  <c r="F6942" i="1"/>
  <c r="E6942" i="1"/>
  <c r="D6942" i="1"/>
  <c r="F6941" i="1"/>
  <c r="E6941" i="1"/>
  <c r="D6941" i="1"/>
  <c r="F6940" i="1"/>
  <c r="E6940" i="1"/>
  <c r="D6940" i="1"/>
  <c r="F6939" i="1"/>
  <c r="E6939" i="1"/>
  <c r="D6939" i="1"/>
  <c r="F6938" i="1"/>
  <c r="E6938" i="1"/>
  <c r="D6938" i="1"/>
  <c r="F6937" i="1"/>
  <c r="E6937" i="1"/>
  <c r="D6937" i="1"/>
  <c r="F6936" i="1"/>
  <c r="E6936" i="1"/>
  <c r="D6936" i="1"/>
  <c r="F6935" i="1"/>
  <c r="E6935" i="1"/>
  <c r="D6935" i="1"/>
  <c r="F6934" i="1"/>
  <c r="E6934" i="1"/>
  <c r="D6934" i="1"/>
  <c r="F6933" i="1"/>
  <c r="E6933" i="1"/>
  <c r="D6933" i="1"/>
  <c r="F6932" i="1"/>
  <c r="E6932" i="1"/>
  <c r="D6932" i="1"/>
  <c r="F6931" i="1"/>
  <c r="E6931" i="1"/>
  <c r="D6931" i="1"/>
  <c r="F6930" i="1"/>
  <c r="E6930" i="1"/>
  <c r="D6930" i="1"/>
  <c r="F6929" i="1"/>
  <c r="E6929" i="1"/>
  <c r="D6929" i="1"/>
  <c r="F6928" i="1"/>
  <c r="E6928" i="1"/>
  <c r="D6928" i="1"/>
  <c r="F6927" i="1"/>
  <c r="E6927" i="1"/>
  <c r="D6927" i="1"/>
  <c r="F6926" i="1"/>
  <c r="E6926" i="1"/>
  <c r="D6926" i="1"/>
  <c r="F6925" i="1"/>
  <c r="E6925" i="1"/>
  <c r="D6925" i="1"/>
  <c r="F6924" i="1"/>
  <c r="E6924" i="1"/>
  <c r="D6924" i="1"/>
  <c r="F6923" i="1"/>
  <c r="E6923" i="1"/>
  <c r="D6923" i="1"/>
  <c r="F6922" i="1"/>
  <c r="E6922" i="1"/>
  <c r="D6922" i="1"/>
  <c r="F6921" i="1"/>
  <c r="E6921" i="1"/>
  <c r="D6921" i="1"/>
  <c r="F6920" i="1"/>
  <c r="E6920" i="1"/>
  <c r="D6920" i="1"/>
  <c r="F6919" i="1"/>
  <c r="E6919" i="1"/>
  <c r="D6919" i="1"/>
  <c r="F6918" i="1"/>
  <c r="E6918" i="1"/>
  <c r="D6918" i="1"/>
  <c r="F6917" i="1"/>
  <c r="E6917" i="1"/>
  <c r="D6917" i="1"/>
  <c r="F6916" i="1"/>
  <c r="E6916" i="1"/>
  <c r="D6916" i="1"/>
  <c r="F6915" i="1"/>
  <c r="E6915" i="1"/>
  <c r="D6915" i="1"/>
  <c r="F6914" i="1"/>
  <c r="E6914" i="1"/>
  <c r="D6914" i="1"/>
  <c r="F6913" i="1"/>
  <c r="E6913" i="1"/>
  <c r="D6913" i="1"/>
  <c r="F6912" i="1"/>
  <c r="E6912" i="1"/>
  <c r="D6912" i="1"/>
  <c r="F6911" i="1"/>
  <c r="E6911" i="1"/>
  <c r="D6911" i="1"/>
  <c r="F6910" i="1"/>
  <c r="E6910" i="1"/>
  <c r="D6910" i="1"/>
  <c r="F6909" i="1"/>
  <c r="E6909" i="1"/>
  <c r="D6909" i="1"/>
  <c r="F6908" i="1"/>
  <c r="E6908" i="1"/>
  <c r="D6908" i="1"/>
  <c r="F6907" i="1"/>
  <c r="E6907" i="1"/>
  <c r="D6907" i="1"/>
  <c r="F6906" i="1"/>
  <c r="E6906" i="1"/>
  <c r="D6906" i="1"/>
  <c r="F6905" i="1"/>
  <c r="E6905" i="1"/>
  <c r="D6905" i="1"/>
  <c r="F6904" i="1"/>
  <c r="E6904" i="1"/>
  <c r="D6904" i="1"/>
  <c r="F6903" i="1"/>
  <c r="E6903" i="1"/>
  <c r="D6903" i="1"/>
  <c r="F6902" i="1"/>
  <c r="E6902" i="1"/>
  <c r="D6902" i="1"/>
  <c r="F6901" i="1"/>
  <c r="E6901" i="1"/>
  <c r="D6901" i="1"/>
  <c r="F6900" i="1"/>
  <c r="E6900" i="1"/>
  <c r="D6900" i="1"/>
  <c r="F6899" i="1"/>
  <c r="E6899" i="1"/>
  <c r="D6899" i="1"/>
  <c r="F6898" i="1"/>
  <c r="E6898" i="1"/>
  <c r="D6898" i="1"/>
  <c r="F6897" i="1"/>
  <c r="E6897" i="1"/>
  <c r="D6897" i="1"/>
  <c r="F6896" i="1"/>
  <c r="E6896" i="1"/>
  <c r="D6896" i="1"/>
  <c r="F6895" i="1"/>
  <c r="E6895" i="1"/>
  <c r="D6895" i="1"/>
  <c r="F6894" i="1"/>
  <c r="E6894" i="1"/>
  <c r="D6894" i="1"/>
  <c r="F6893" i="1"/>
  <c r="E6893" i="1"/>
  <c r="D6893" i="1"/>
  <c r="F6892" i="1"/>
  <c r="E6892" i="1"/>
  <c r="D6892" i="1"/>
  <c r="F6891" i="1"/>
  <c r="E6891" i="1"/>
  <c r="D6891" i="1"/>
  <c r="F6890" i="1"/>
  <c r="E6890" i="1"/>
  <c r="D6890" i="1"/>
  <c r="F6889" i="1"/>
  <c r="E6889" i="1"/>
  <c r="D6889" i="1"/>
  <c r="F6888" i="1"/>
  <c r="E6888" i="1"/>
  <c r="D6888" i="1"/>
  <c r="F6887" i="1"/>
  <c r="E6887" i="1"/>
  <c r="D6887" i="1"/>
  <c r="F6886" i="1"/>
  <c r="E6886" i="1"/>
  <c r="D6886" i="1"/>
  <c r="F6885" i="1"/>
  <c r="E6885" i="1"/>
  <c r="D6885" i="1"/>
  <c r="F6884" i="1"/>
  <c r="E6884" i="1"/>
  <c r="D6884" i="1"/>
  <c r="F6883" i="1"/>
  <c r="E6883" i="1"/>
  <c r="D6883" i="1"/>
  <c r="F6882" i="1"/>
  <c r="E6882" i="1"/>
  <c r="D6882" i="1"/>
  <c r="F6881" i="1"/>
  <c r="E6881" i="1"/>
  <c r="D6881" i="1"/>
  <c r="F6880" i="1"/>
  <c r="E6880" i="1"/>
  <c r="D6880" i="1"/>
  <c r="F6879" i="1"/>
  <c r="E6879" i="1"/>
  <c r="D6879" i="1"/>
  <c r="F6878" i="1"/>
  <c r="E6878" i="1"/>
  <c r="D6878" i="1"/>
  <c r="F6877" i="1"/>
  <c r="E6877" i="1"/>
  <c r="D6877" i="1"/>
  <c r="F6876" i="1"/>
  <c r="E6876" i="1"/>
  <c r="D6876" i="1"/>
  <c r="F6875" i="1"/>
  <c r="E6875" i="1"/>
  <c r="D6875" i="1"/>
  <c r="F6874" i="1"/>
  <c r="E6874" i="1"/>
  <c r="D6874" i="1"/>
  <c r="F6873" i="1"/>
  <c r="E6873" i="1"/>
  <c r="D6873" i="1"/>
  <c r="F6872" i="1"/>
  <c r="E6872" i="1"/>
  <c r="D6872" i="1"/>
  <c r="F6871" i="1"/>
  <c r="E6871" i="1"/>
  <c r="D6871" i="1"/>
  <c r="F6870" i="1"/>
  <c r="E6870" i="1"/>
  <c r="D6870" i="1"/>
  <c r="F6869" i="1"/>
  <c r="E6869" i="1"/>
  <c r="D6869" i="1"/>
  <c r="F6868" i="1"/>
  <c r="E6868" i="1"/>
  <c r="D6868" i="1"/>
  <c r="F6867" i="1"/>
  <c r="E6867" i="1"/>
  <c r="D6867" i="1"/>
  <c r="F6866" i="1"/>
  <c r="E6866" i="1"/>
  <c r="D6866" i="1"/>
  <c r="F6865" i="1"/>
  <c r="E6865" i="1"/>
  <c r="D6865" i="1"/>
  <c r="F6864" i="1"/>
  <c r="E6864" i="1"/>
  <c r="D6864" i="1"/>
  <c r="F6863" i="1"/>
  <c r="E6863" i="1"/>
  <c r="D6863" i="1"/>
  <c r="F6862" i="1"/>
  <c r="E6862" i="1"/>
  <c r="D6862" i="1"/>
  <c r="F6861" i="1"/>
  <c r="E6861" i="1"/>
  <c r="D6861" i="1"/>
  <c r="F6860" i="1"/>
  <c r="E6860" i="1"/>
  <c r="D6860" i="1"/>
  <c r="F6859" i="1"/>
  <c r="E6859" i="1"/>
  <c r="D6859" i="1"/>
  <c r="F6858" i="1"/>
  <c r="E6858" i="1"/>
  <c r="D6858" i="1"/>
  <c r="F6857" i="1"/>
  <c r="E6857" i="1"/>
  <c r="D6857" i="1"/>
  <c r="F6856" i="1"/>
  <c r="E6856" i="1"/>
  <c r="D6856" i="1"/>
  <c r="F6855" i="1"/>
  <c r="E6855" i="1"/>
  <c r="D6855" i="1"/>
  <c r="F6854" i="1"/>
  <c r="E6854" i="1"/>
  <c r="D6854" i="1"/>
  <c r="F6853" i="1"/>
  <c r="E6853" i="1"/>
  <c r="D6853" i="1"/>
  <c r="F6852" i="1"/>
  <c r="E6852" i="1"/>
  <c r="D6852" i="1"/>
  <c r="F6851" i="1"/>
  <c r="E6851" i="1"/>
  <c r="D6851" i="1"/>
  <c r="F6850" i="1"/>
  <c r="E6850" i="1"/>
  <c r="D6850" i="1"/>
  <c r="F6849" i="1"/>
  <c r="E6849" i="1"/>
  <c r="D6849" i="1"/>
  <c r="F6848" i="1"/>
  <c r="E6848" i="1"/>
  <c r="D6848" i="1"/>
  <c r="F6847" i="1"/>
  <c r="E6847" i="1"/>
  <c r="D6847" i="1"/>
  <c r="F6846" i="1"/>
  <c r="E6846" i="1"/>
  <c r="D6846" i="1"/>
  <c r="F6845" i="1"/>
  <c r="E6845" i="1"/>
  <c r="D6845" i="1"/>
  <c r="F6844" i="1"/>
  <c r="E6844" i="1"/>
  <c r="D6844" i="1"/>
  <c r="F6843" i="1"/>
  <c r="E6843" i="1"/>
  <c r="D6843" i="1"/>
  <c r="F6842" i="1"/>
  <c r="E6842" i="1"/>
  <c r="D6842" i="1"/>
  <c r="F6841" i="1"/>
  <c r="E6841" i="1"/>
  <c r="D6841" i="1"/>
  <c r="F6840" i="1"/>
  <c r="E6840" i="1"/>
  <c r="D6840" i="1"/>
  <c r="F6839" i="1"/>
  <c r="E6839" i="1"/>
  <c r="D6839" i="1"/>
  <c r="F6838" i="1"/>
  <c r="E6838" i="1"/>
  <c r="D6838" i="1"/>
  <c r="F6837" i="1"/>
  <c r="E6837" i="1"/>
  <c r="D6837" i="1"/>
  <c r="F6836" i="1"/>
  <c r="E6836" i="1"/>
  <c r="D6836" i="1"/>
  <c r="F6835" i="1"/>
  <c r="E6835" i="1"/>
  <c r="D6835" i="1"/>
  <c r="F6834" i="1"/>
  <c r="E6834" i="1"/>
  <c r="D6834" i="1"/>
  <c r="F6833" i="1"/>
  <c r="E6833" i="1"/>
  <c r="D6833" i="1"/>
  <c r="F6832" i="1"/>
  <c r="E6832" i="1"/>
  <c r="D6832" i="1"/>
  <c r="F6831" i="1"/>
  <c r="E6831" i="1"/>
  <c r="D6831" i="1"/>
  <c r="F6830" i="1"/>
  <c r="E6830" i="1"/>
  <c r="D6830" i="1"/>
  <c r="F6829" i="1"/>
  <c r="E6829" i="1"/>
  <c r="D6829" i="1"/>
  <c r="F6828" i="1"/>
  <c r="E6828" i="1"/>
  <c r="D6828" i="1"/>
  <c r="F6827" i="1"/>
  <c r="E6827" i="1"/>
  <c r="D6827" i="1"/>
  <c r="F6826" i="1"/>
  <c r="E6826" i="1"/>
  <c r="D6826" i="1"/>
  <c r="F6825" i="1"/>
  <c r="E6825" i="1"/>
  <c r="D6825" i="1"/>
  <c r="F6824" i="1"/>
  <c r="E6824" i="1"/>
  <c r="D6824" i="1"/>
  <c r="F6823" i="1"/>
  <c r="E6823" i="1"/>
  <c r="D6823" i="1"/>
  <c r="F6822" i="1"/>
  <c r="E6822" i="1"/>
  <c r="D6822" i="1"/>
  <c r="F6821" i="1"/>
  <c r="E6821" i="1"/>
  <c r="D6821" i="1"/>
  <c r="F6820" i="1"/>
  <c r="E6820" i="1"/>
  <c r="D6820" i="1"/>
  <c r="F6819" i="1"/>
  <c r="E6819" i="1"/>
  <c r="D6819" i="1"/>
  <c r="F6818" i="1"/>
  <c r="E6818" i="1"/>
  <c r="D6818" i="1"/>
  <c r="F6817" i="1"/>
  <c r="E6817" i="1"/>
  <c r="D6817" i="1"/>
  <c r="F6816" i="1"/>
  <c r="E6816" i="1"/>
  <c r="D6816" i="1"/>
  <c r="F6815" i="1"/>
  <c r="E6815" i="1"/>
  <c r="D6815" i="1"/>
  <c r="F6814" i="1"/>
  <c r="E6814" i="1"/>
  <c r="D6814" i="1"/>
  <c r="F6813" i="1"/>
  <c r="E6813" i="1"/>
  <c r="D6813" i="1"/>
  <c r="F6812" i="1"/>
  <c r="E6812" i="1"/>
  <c r="D6812" i="1"/>
  <c r="F6811" i="1"/>
  <c r="E6811" i="1"/>
  <c r="D6811" i="1"/>
  <c r="F6810" i="1"/>
  <c r="E6810" i="1"/>
  <c r="D6810" i="1"/>
  <c r="F6809" i="1"/>
  <c r="E6809" i="1"/>
  <c r="D6809" i="1"/>
  <c r="F6808" i="1"/>
  <c r="E6808" i="1"/>
  <c r="D6808" i="1"/>
  <c r="F6807" i="1"/>
  <c r="E6807" i="1"/>
  <c r="D6807" i="1"/>
  <c r="F6806" i="1"/>
  <c r="E6806" i="1"/>
  <c r="D6806" i="1"/>
  <c r="F6805" i="1"/>
  <c r="E6805" i="1"/>
  <c r="D6805" i="1"/>
  <c r="F6804" i="1"/>
  <c r="E6804" i="1"/>
  <c r="D6804" i="1"/>
  <c r="F6803" i="1"/>
  <c r="E6803" i="1"/>
  <c r="D6803" i="1"/>
  <c r="F6802" i="1"/>
  <c r="E6802" i="1"/>
  <c r="D6802" i="1"/>
  <c r="F6801" i="1"/>
  <c r="E6801" i="1"/>
  <c r="D6801" i="1"/>
  <c r="F6800" i="1"/>
  <c r="E6800" i="1"/>
  <c r="D6800" i="1"/>
  <c r="F6799" i="1"/>
  <c r="E6799" i="1"/>
  <c r="D6799" i="1"/>
  <c r="F6798" i="1"/>
  <c r="E6798" i="1"/>
  <c r="D6798" i="1"/>
  <c r="F6797" i="1"/>
  <c r="E6797" i="1"/>
  <c r="D6797" i="1"/>
  <c r="F6796" i="1"/>
  <c r="E6796" i="1"/>
  <c r="D6796" i="1"/>
  <c r="F6795" i="1"/>
  <c r="E6795" i="1"/>
  <c r="D6795" i="1"/>
  <c r="F6794" i="1"/>
  <c r="E6794" i="1"/>
  <c r="D6794" i="1"/>
  <c r="F6793" i="1"/>
  <c r="E6793" i="1"/>
  <c r="D6793" i="1"/>
  <c r="F6792" i="1"/>
  <c r="E6792" i="1"/>
  <c r="D6792" i="1"/>
  <c r="F6791" i="1"/>
  <c r="E6791" i="1"/>
  <c r="D6791" i="1"/>
  <c r="F6790" i="1"/>
  <c r="E6790" i="1"/>
  <c r="D6790" i="1"/>
  <c r="F6789" i="1"/>
  <c r="E6789" i="1"/>
  <c r="D6789" i="1"/>
  <c r="F6788" i="1"/>
  <c r="E6788" i="1"/>
  <c r="D6788" i="1"/>
  <c r="F6787" i="1"/>
  <c r="E6787" i="1"/>
  <c r="D6787" i="1"/>
  <c r="F6786" i="1"/>
  <c r="E6786" i="1"/>
  <c r="D6786" i="1"/>
  <c r="F6785" i="1"/>
  <c r="E6785" i="1"/>
  <c r="D6785" i="1"/>
  <c r="F6784" i="1"/>
  <c r="E6784" i="1"/>
  <c r="D6784" i="1"/>
  <c r="F6783" i="1"/>
  <c r="E6783" i="1"/>
  <c r="D6783" i="1"/>
  <c r="F6782" i="1"/>
  <c r="E6782" i="1"/>
  <c r="D6782" i="1"/>
  <c r="F6781" i="1"/>
  <c r="E6781" i="1"/>
  <c r="D6781" i="1"/>
  <c r="F6780" i="1"/>
  <c r="E6780" i="1"/>
  <c r="D6780" i="1"/>
  <c r="F6779" i="1"/>
  <c r="E6779" i="1"/>
  <c r="D6779" i="1"/>
  <c r="F6778" i="1"/>
  <c r="E6778" i="1"/>
  <c r="D6778" i="1"/>
  <c r="F6777" i="1"/>
  <c r="E6777" i="1"/>
  <c r="D6777" i="1"/>
  <c r="F6776" i="1"/>
  <c r="E6776" i="1"/>
  <c r="D6776" i="1"/>
  <c r="F6775" i="1"/>
  <c r="E6775" i="1"/>
  <c r="D6775" i="1"/>
  <c r="F6774" i="1"/>
  <c r="E6774" i="1"/>
  <c r="D6774" i="1"/>
  <c r="F6773" i="1"/>
  <c r="E6773" i="1"/>
  <c r="D6773" i="1"/>
  <c r="F6772" i="1"/>
  <c r="E6772" i="1"/>
  <c r="D6772" i="1"/>
  <c r="F6771" i="1"/>
  <c r="E6771" i="1"/>
  <c r="D6771" i="1"/>
  <c r="F6770" i="1"/>
  <c r="E6770" i="1"/>
  <c r="D6770" i="1"/>
  <c r="F6769" i="1"/>
  <c r="E6769" i="1"/>
  <c r="D6769" i="1"/>
  <c r="F6768" i="1"/>
  <c r="E6768" i="1"/>
  <c r="D6768" i="1"/>
  <c r="F6767" i="1"/>
  <c r="E6767" i="1"/>
  <c r="D6767" i="1"/>
  <c r="F6766" i="1"/>
  <c r="E6766" i="1"/>
  <c r="D6766" i="1"/>
  <c r="F6765" i="1"/>
  <c r="E6765" i="1"/>
  <c r="D6765" i="1"/>
  <c r="F6764" i="1"/>
  <c r="E6764" i="1"/>
  <c r="D6764" i="1"/>
  <c r="F6763" i="1"/>
  <c r="E6763" i="1"/>
  <c r="D6763" i="1"/>
  <c r="F6762" i="1"/>
  <c r="E6762" i="1"/>
  <c r="D6762" i="1"/>
  <c r="F6761" i="1"/>
  <c r="E6761" i="1"/>
  <c r="D6761" i="1"/>
  <c r="F6760" i="1"/>
  <c r="E6760" i="1"/>
  <c r="D6760" i="1"/>
  <c r="F6759" i="1"/>
  <c r="E6759" i="1"/>
  <c r="D6759" i="1"/>
  <c r="F6758" i="1"/>
  <c r="E6758" i="1"/>
  <c r="D6758" i="1"/>
  <c r="F6757" i="1"/>
  <c r="E6757" i="1"/>
  <c r="D6757" i="1"/>
  <c r="F6756" i="1"/>
  <c r="E6756" i="1"/>
  <c r="D6756" i="1"/>
  <c r="F6755" i="1"/>
  <c r="E6755" i="1"/>
  <c r="D6755" i="1"/>
  <c r="F6754" i="1"/>
  <c r="E6754" i="1"/>
  <c r="D6754" i="1"/>
  <c r="F6753" i="1"/>
  <c r="E6753" i="1"/>
  <c r="D6753" i="1"/>
  <c r="F6752" i="1"/>
  <c r="E6752" i="1"/>
  <c r="D6752" i="1"/>
  <c r="F6751" i="1"/>
  <c r="E6751" i="1"/>
  <c r="D6751" i="1"/>
  <c r="F6750" i="1"/>
  <c r="E6750" i="1"/>
  <c r="D6750" i="1"/>
  <c r="F6749" i="1"/>
  <c r="E6749" i="1"/>
  <c r="D6749" i="1"/>
  <c r="F6748" i="1"/>
  <c r="E6748" i="1"/>
  <c r="D6748" i="1"/>
  <c r="F6747" i="1"/>
  <c r="E6747" i="1"/>
  <c r="D6747" i="1"/>
  <c r="F6746" i="1"/>
  <c r="E6746" i="1"/>
  <c r="D6746" i="1"/>
  <c r="F6745" i="1"/>
  <c r="E6745" i="1"/>
  <c r="D6745" i="1"/>
  <c r="F6744" i="1"/>
  <c r="E6744" i="1"/>
  <c r="D6744" i="1"/>
  <c r="F6743" i="1"/>
  <c r="E6743" i="1"/>
  <c r="D6743" i="1"/>
  <c r="F6742" i="1"/>
  <c r="E6742" i="1"/>
  <c r="D6742" i="1"/>
  <c r="F6741" i="1"/>
  <c r="E6741" i="1"/>
  <c r="D6741" i="1"/>
  <c r="F6740" i="1"/>
  <c r="E6740" i="1"/>
  <c r="D6740" i="1"/>
  <c r="F6739" i="1"/>
  <c r="E6739" i="1"/>
  <c r="D6739" i="1"/>
  <c r="F6738" i="1"/>
  <c r="E6738" i="1"/>
  <c r="D6738" i="1"/>
  <c r="F6737" i="1"/>
  <c r="E6737" i="1"/>
  <c r="D6737" i="1"/>
  <c r="F6736" i="1"/>
  <c r="E6736" i="1"/>
  <c r="D6736" i="1"/>
  <c r="F6735" i="1"/>
  <c r="E6735" i="1"/>
  <c r="D6735" i="1"/>
  <c r="F6734" i="1"/>
  <c r="E6734" i="1"/>
  <c r="D6734" i="1"/>
  <c r="F6733" i="1"/>
  <c r="E6733" i="1"/>
  <c r="D6733" i="1"/>
  <c r="F6732" i="1"/>
  <c r="E6732" i="1"/>
  <c r="D6732" i="1"/>
  <c r="F6731" i="1"/>
  <c r="E6731" i="1"/>
  <c r="D6731" i="1"/>
  <c r="F6730" i="1"/>
  <c r="E6730" i="1"/>
  <c r="D6730" i="1"/>
  <c r="F6729" i="1"/>
  <c r="E6729" i="1"/>
  <c r="D6729" i="1"/>
  <c r="F6728" i="1"/>
  <c r="E6728" i="1"/>
  <c r="D6728" i="1"/>
  <c r="F6727" i="1"/>
  <c r="E6727" i="1"/>
  <c r="D6727" i="1"/>
  <c r="F6726" i="1"/>
  <c r="E6726" i="1"/>
  <c r="D6726" i="1"/>
  <c r="F6725" i="1"/>
  <c r="E6725" i="1"/>
  <c r="D6725" i="1"/>
  <c r="F6724" i="1"/>
  <c r="E6724" i="1"/>
  <c r="D6724" i="1"/>
  <c r="F6723" i="1"/>
  <c r="E6723" i="1"/>
  <c r="D6723" i="1"/>
  <c r="F6722" i="1"/>
  <c r="E6722" i="1"/>
  <c r="D6722" i="1"/>
  <c r="F6721" i="1"/>
  <c r="E6721" i="1"/>
  <c r="D6721" i="1"/>
  <c r="F6720" i="1"/>
  <c r="E6720" i="1"/>
  <c r="D6720" i="1"/>
  <c r="F6719" i="1"/>
  <c r="E6719" i="1"/>
  <c r="D6719" i="1"/>
  <c r="F6718" i="1"/>
  <c r="E6718" i="1"/>
  <c r="D6718" i="1"/>
  <c r="F6717" i="1"/>
  <c r="E6717" i="1"/>
  <c r="D6717" i="1"/>
  <c r="F6716" i="1"/>
  <c r="E6716" i="1"/>
  <c r="D6716" i="1"/>
  <c r="F6715" i="1"/>
  <c r="E6715" i="1"/>
  <c r="D6715" i="1"/>
  <c r="F6714" i="1"/>
  <c r="E6714" i="1"/>
  <c r="D6714" i="1"/>
  <c r="F6713" i="1"/>
  <c r="E6713" i="1"/>
  <c r="D6713" i="1"/>
  <c r="F6712" i="1"/>
  <c r="E6712" i="1"/>
  <c r="D6712" i="1"/>
  <c r="F6711" i="1"/>
  <c r="E6711" i="1"/>
  <c r="D6711" i="1"/>
  <c r="F6710" i="1"/>
  <c r="E6710" i="1"/>
  <c r="D6710" i="1"/>
  <c r="F6709" i="1"/>
  <c r="E6709" i="1"/>
  <c r="D6709" i="1"/>
  <c r="F6708" i="1"/>
  <c r="E6708" i="1"/>
  <c r="D6708" i="1"/>
  <c r="F6707" i="1"/>
  <c r="E6707" i="1"/>
  <c r="D6707" i="1"/>
  <c r="F6706" i="1"/>
  <c r="E6706" i="1"/>
  <c r="D6706" i="1"/>
  <c r="F6705" i="1"/>
  <c r="E6705" i="1"/>
  <c r="D6705" i="1"/>
  <c r="F6704" i="1"/>
  <c r="E6704" i="1"/>
  <c r="D6704" i="1"/>
  <c r="F6703" i="1"/>
  <c r="E6703" i="1"/>
  <c r="D6703" i="1"/>
  <c r="F6702" i="1"/>
  <c r="E6702" i="1"/>
  <c r="D6702" i="1"/>
  <c r="F6701" i="1"/>
  <c r="E6701" i="1"/>
  <c r="D6701" i="1"/>
  <c r="F6700" i="1"/>
  <c r="E6700" i="1"/>
  <c r="D6700" i="1"/>
  <c r="F6699" i="1"/>
  <c r="E6699" i="1"/>
  <c r="D6699" i="1"/>
  <c r="F6698" i="1"/>
  <c r="E6698" i="1"/>
  <c r="D6698" i="1"/>
  <c r="F6697" i="1"/>
  <c r="E6697" i="1"/>
  <c r="D6697" i="1"/>
  <c r="F6696" i="1"/>
  <c r="E6696" i="1"/>
  <c r="D6696" i="1"/>
  <c r="F6695" i="1"/>
  <c r="E6695" i="1"/>
  <c r="D6695" i="1"/>
  <c r="F6694" i="1"/>
  <c r="E6694" i="1"/>
  <c r="D6694" i="1"/>
  <c r="F6693" i="1"/>
  <c r="E6693" i="1"/>
  <c r="D6693" i="1"/>
  <c r="F6692" i="1"/>
  <c r="E6692" i="1"/>
  <c r="D6692" i="1"/>
  <c r="F6691" i="1"/>
  <c r="E6691" i="1"/>
  <c r="D6691" i="1"/>
  <c r="F6690" i="1"/>
  <c r="E6690" i="1"/>
  <c r="D6690" i="1"/>
  <c r="F6689" i="1"/>
  <c r="E6689" i="1"/>
  <c r="D6689" i="1"/>
  <c r="F6688" i="1"/>
  <c r="E6688" i="1"/>
  <c r="D6688" i="1"/>
  <c r="F6687" i="1"/>
  <c r="E6687" i="1"/>
  <c r="D6687" i="1"/>
  <c r="F6686" i="1"/>
  <c r="E6686" i="1"/>
  <c r="D6686" i="1"/>
  <c r="F6685" i="1"/>
  <c r="E6685" i="1"/>
  <c r="D6685" i="1"/>
  <c r="F6684" i="1"/>
  <c r="E6684" i="1"/>
  <c r="D6684" i="1"/>
  <c r="F6683" i="1"/>
  <c r="E6683" i="1"/>
  <c r="D6683" i="1"/>
  <c r="F6682" i="1"/>
  <c r="E6682" i="1"/>
  <c r="D6682" i="1"/>
  <c r="F6681" i="1"/>
  <c r="E6681" i="1"/>
  <c r="D6681" i="1"/>
  <c r="F6680" i="1"/>
  <c r="E6680" i="1"/>
  <c r="D6680" i="1"/>
  <c r="F6679" i="1"/>
  <c r="E6679" i="1"/>
  <c r="D6679" i="1"/>
  <c r="F6678" i="1"/>
  <c r="E6678" i="1"/>
  <c r="D6678" i="1"/>
  <c r="F6677" i="1"/>
  <c r="E6677" i="1"/>
  <c r="D6677" i="1"/>
  <c r="F6676" i="1"/>
  <c r="E6676" i="1"/>
  <c r="D6676" i="1"/>
  <c r="F6675" i="1"/>
  <c r="E6675" i="1"/>
  <c r="D6675" i="1"/>
  <c r="F6674" i="1"/>
  <c r="E6674" i="1"/>
  <c r="D6674" i="1"/>
  <c r="F6673" i="1"/>
  <c r="E6673" i="1"/>
  <c r="D6673" i="1"/>
  <c r="F6672" i="1"/>
  <c r="E6672" i="1"/>
  <c r="D6672" i="1"/>
  <c r="F6671" i="1"/>
  <c r="E6671" i="1"/>
  <c r="D6671" i="1"/>
  <c r="F6670" i="1"/>
  <c r="E6670" i="1"/>
  <c r="D6670" i="1"/>
  <c r="F6669" i="1"/>
  <c r="E6669" i="1"/>
  <c r="D6669" i="1"/>
  <c r="F6668" i="1"/>
  <c r="E6668" i="1"/>
  <c r="D6668" i="1"/>
  <c r="F6667" i="1"/>
  <c r="E6667" i="1"/>
  <c r="D6667" i="1"/>
  <c r="F6666" i="1"/>
  <c r="E6666" i="1"/>
  <c r="D6666" i="1"/>
  <c r="F6665" i="1"/>
  <c r="E6665" i="1"/>
  <c r="D6665" i="1"/>
  <c r="F6664" i="1"/>
  <c r="E6664" i="1"/>
  <c r="D6664" i="1"/>
  <c r="F6663" i="1"/>
  <c r="E6663" i="1"/>
  <c r="D6663" i="1"/>
  <c r="F6662" i="1"/>
  <c r="E6662" i="1"/>
  <c r="D6662" i="1"/>
  <c r="F6661" i="1"/>
  <c r="E6661" i="1"/>
  <c r="D6661" i="1"/>
  <c r="F6660" i="1"/>
  <c r="E6660" i="1"/>
  <c r="D6660" i="1"/>
  <c r="F6659" i="1"/>
  <c r="E6659" i="1"/>
  <c r="D6659" i="1"/>
  <c r="F6658" i="1"/>
  <c r="E6658" i="1"/>
  <c r="D6658" i="1"/>
  <c r="F6657" i="1"/>
  <c r="E6657" i="1"/>
  <c r="D6657" i="1"/>
  <c r="F6656" i="1"/>
  <c r="E6656" i="1"/>
  <c r="D6656" i="1"/>
  <c r="F6655" i="1"/>
  <c r="E6655" i="1"/>
  <c r="D6655" i="1"/>
  <c r="F6654" i="1"/>
  <c r="E6654" i="1"/>
  <c r="D6654" i="1"/>
  <c r="F6653" i="1"/>
  <c r="E6653" i="1"/>
  <c r="D6653" i="1"/>
  <c r="F6652" i="1"/>
  <c r="E6652" i="1"/>
  <c r="D6652" i="1"/>
  <c r="F6651" i="1"/>
  <c r="E6651" i="1"/>
  <c r="D6651" i="1"/>
  <c r="F6650" i="1"/>
  <c r="E6650" i="1"/>
  <c r="D6650" i="1"/>
  <c r="F6649" i="1"/>
  <c r="E6649" i="1"/>
  <c r="D6649" i="1"/>
  <c r="F6648" i="1"/>
  <c r="E6648" i="1"/>
  <c r="D6648" i="1"/>
  <c r="F6647" i="1"/>
  <c r="E6647" i="1"/>
  <c r="D6647" i="1"/>
  <c r="F6646" i="1"/>
  <c r="E6646" i="1"/>
  <c r="D6646" i="1"/>
  <c r="F6645" i="1"/>
  <c r="E6645" i="1"/>
  <c r="D6645" i="1"/>
  <c r="F6644" i="1"/>
  <c r="E6644" i="1"/>
  <c r="D6644" i="1"/>
  <c r="F6643" i="1"/>
  <c r="E6643" i="1"/>
  <c r="D6643" i="1"/>
  <c r="F6642" i="1"/>
  <c r="E6642" i="1"/>
  <c r="D6642" i="1"/>
  <c r="F6641" i="1"/>
  <c r="E6641" i="1"/>
  <c r="D6641" i="1"/>
  <c r="F6640" i="1"/>
  <c r="E6640" i="1"/>
  <c r="D6640" i="1"/>
  <c r="F6639" i="1"/>
  <c r="E6639" i="1"/>
  <c r="D6639" i="1"/>
  <c r="F6638" i="1"/>
  <c r="E6638" i="1"/>
  <c r="D6638" i="1"/>
  <c r="F6637" i="1"/>
  <c r="E6637" i="1"/>
  <c r="D6637" i="1"/>
  <c r="F6636" i="1"/>
  <c r="E6636" i="1"/>
  <c r="D6636" i="1"/>
  <c r="F6635" i="1"/>
  <c r="E6635" i="1"/>
  <c r="D6635" i="1"/>
  <c r="F6634" i="1"/>
  <c r="E6634" i="1"/>
  <c r="D6634" i="1"/>
  <c r="F6633" i="1"/>
  <c r="E6633" i="1"/>
  <c r="D6633" i="1"/>
  <c r="F6632" i="1"/>
  <c r="E6632" i="1"/>
  <c r="D6632" i="1"/>
  <c r="F6631" i="1"/>
  <c r="E6631" i="1"/>
  <c r="D6631" i="1"/>
  <c r="F6630" i="1"/>
  <c r="E6630" i="1"/>
  <c r="D6630" i="1"/>
  <c r="F6629" i="1"/>
  <c r="E6629" i="1"/>
  <c r="D6629" i="1"/>
  <c r="F6628" i="1"/>
  <c r="E6628" i="1"/>
  <c r="D6628" i="1"/>
  <c r="F6627" i="1"/>
  <c r="E6627" i="1"/>
  <c r="D6627" i="1"/>
  <c r="F6626" i="1"/>
  <c r="E6626" i="1"/>
  <c r="D6626" i="1"/>
  <c r="F6625" i="1"/>
  <c r="E6625" i="1"/>
  <c r="D6625" i="1"/>
  <c r="F6624" i="1"/>
  <c r="E6624" i="1"/>
  <c r="D6624" i="1"/>
  <c r="F6623" i="1"/>
  <c r="E6623" i="1"/>
  <c r="D6623" i="1"/>
  <c r="F6622" i="1"/>
  <c r="E6622" i="1"/>
  <c r="D6622" i="1"/>
  <c r="F6621" i="1"/>
  <c r="E6621" i="1"/>
  <c r="D6621" i="1"/>
  <c r="F6620" i="1"/>
  <c r="E6620" i="1"/>
  <c r="D6620" i="1"/>
  <c r="F6619" i="1"/>
  <c r="E6619" i="1"/>
  <c r="D6619" i="1"/>
  <c r="F6618" i="1"/>
  <c r="E6618" i="1"/>
  <c r="D6618" i="1"/>
  <c r="F6617" i="1"/>
  <c r="E6617" i="1"/>
  <c r="D6617" i="1"/>
  <c r="F6616" i="1"/>
  <c r="E6616" i="1"/>
  <c r="D6616" i="1"/>
  <c r="F6615" i="1"/>
  <c r="E6615" i="1"/>
  <c r="D6615" i="1"/>
  <c r="F6614" i="1"/>
  <c r="E6614" i="1"/>
  <c r="D6614" i="1"/>
  <c r="F6613" i="1"/>
  <c r="E6613" i="1"/>
  <c r="D6613" i="1"/>
  <c r="F6612" i="1"/>
  <c r="E6612" i="1"/>
  <c r="D6612" i="1"/>
  <c r="F6611" i="1"/>
  <c r="E6611" i="1"/>
  <c r="D6611" i="1"/>
  <c r="F6610" i="1"/>
  <c r="E6610" i="1"/>
  <c r="D6610" i="1"/>
  <c r="F6609" i="1"/>
  <c r="E6609" i="1"/>
  <c r="D6609" i="1"/>
  <c r="F6608" i="1"/>
  <c r="E6608" i="1"/>
  <c r="D6608" i="1"/>
  <c r="F6607" i="1"/>
  <c r="E6607" i="1"/>
  <c r="D6607" i="1"/>
  <c r="F6606" i="1"/>
  <c r="E6606" i="1"/>
  <c r="D6606" i="1"/>
  <c r="F6605" i="1"/>
  <c r="E6605" i="1"/>
  <c r="D6605" i="1"/>
  <c r="F6604" i="1"/>
  <c r="E6604" i="1"/>
  <c r="D6604" i="1"/>
  <c r="F6603" i="1"/>
  <c r="E6603" i="1"/>
  <c r="D6603" i="1"/>
  <c r="F6602" i="1"/>
  <c r="E6602" i="1"/>
  <c r="D6602" i="1"/>
  <c r="F6601" i="1"/>
  <c r="E6601" i="1"/>
  <c r="D6601" i="1"/>
  <c r="F6600" i="1"/>
  <c r="E6600" i="1"/>
  <c r="D6600" i="1"/>
  <c r="F6599" i="1"/>
  <c r="E6599" i="1"/>
  <c r="D6599" i="1"/>
  <c r="F6598" i="1"/>
  <c r="E6598" i="1"/>
  <c r="D6598" i="1"/>
  <c r="F6597" i="1"/>
  <c r="E6597" i="1"/>
  <c r="D6597" i="1"/>
  <c r="F6596" i="1"/>
  <c r="E6596" i="1"/>
  <c r="D6596" i="1"/>
  <c r="F6595" i="1"/>
  <c r="E6595" i="1"/>
  <c r="D6595" i="1"/>
  <c r="F6594" i="1"/>
  <c r="E6594" i="1"/>
  <c r="D6594" i="1"/>
  <c r="F6593" i="1"/>
  <c r="E6593" i="1"/>
  <c r="D6593" i="1"/>
  <c r="F6592" i="1"/>
  <c r="E6592" i="1"/>
  <c r="D6592" i="1"/>
  <c r="F6591" i="1"/>
  <c r="E6591" i="1"/>
  <c r="D6591" i="1"/>
  <c r="F6590" i="1"/>
  <c r="E6590" i="1"/>
  <c r="D6590" i="1"/>
  <c r="F6589" i="1"/>
  <c r="E6589" i="1"/>
  <c r="D6589" i="1"/>
  <c r="F6588" i="1"/>
  <c r="E6588" i="1"/>
  <c r="D6588" i="1"/>
  <c r="F6587" i="1"/>
  <c r="E6587" i="1"/>
  <c r="D6587" i="1"/>
  <c r="F6586" i="1"/>
  <c r="E6586" i="1"/>
  <c r="D6586" i="1"/>
  <c r="F6585" i="1"/>
  <c r="E6585" i="1"/>
  <c r="D6585" i="1"/>
  <c r="F6584" i="1"/>
  <c r="E6584" i="1"/>
  <c r="D6584" i="1"/>
  <c r="F6583" i="1"/>
  <c r="E6583" i="1"/>
  <c r="D6583" i="1"/>
  <c r="F6582" i="1"/>
  <c r="E6582" i="1"/>
  <c r="D6582" i="1"/>
  <c r="F6581" i="1"/>
  <c r="E6581" i="1"/>
  <c r="D6581" i="1"/>
  <c r="F6580" i="1"/>
  <c r="E6580" i="1"/>
  <c r="D6580" i="1"/>
  <c r="F6579" i="1"/>
  <c r="E6579" i="1"/>
  <c r="D6579" i="1"/>
  <c r="F6578" i="1"/>
  <c r="E6578" i="1"/>
  <c r="D6578" i="1"/>
  <c r="F6577" i="1"/>
  <c r="E6577" i="1"/>
  <c r="D6577" i="1"/>
  <c r="F6576" i="1"/>
  <c r="E6576" i="1"/>
  <c r="D6576" i="1"/>
  <c r="F6575" i="1"/>
  <c r="E6575" i="1"/>
  <c r="D6575" i="1"/>
  <c r="F6574" i="1"/>
  <c r="E6574" i="1"/>
  <c r="D6574" i="1"/>
  <c r="F6573" i="1"/>
  <c r="E6573" i="1"/>
  <c r="D6573" i="1"/>
  <c r="F6572" i="1"/>
  <c r="E6572" i="1"/>
  <c r="D6572" i="1"/>
  <c r="F6571" i="1"/>
  <c r="E6571" i="1"/>
  <c r="D6571" i="1"/>
  <c r="F6570" i="1"/>
  <c r="E6570" i="1"/>
  <c r="D6570" i="1"/>
  <c r="F6569" i="1"/>
  <c r="E6569" i="1"/>
  <c r="D6569" i="1"/>
  <c r="F6568" i="1"/>
  <c r="E6568" i="1"/>
  <c r="D6568" i="1"/>
  <c r="F6567" i="1"/>
  <c r="E6567" i="1"/>
  <c r="D6567" i="1"/>
  <c r="F6566" i="1"/>
  <c r="E6566" i="1"/>
  <c r="D6566" i="1"/>
  <c r="F6565" i="1"/>
  <c r="E6565" i="1"/>
  <c r="D6565" i="1"/>
  <c r="F6564" i="1"/>
  <c r="E6564" i="1"/>
  <c r="D6564" i="1"/>
  <c r="F6563" i="1"/>
  <c r="E6563" i="1"/>
  <c r="D6563" i="1"/>
  <c r="F6562" i="1"/>
  <c r="E6562" i="1"/>
  <c r="D6562" i="1"/>
  <c r="F6561" i="1"/>
  <c r="E6561" i="1"/>
  <c r="D6561" i="1"/>
  <c r="F6560" i="1"/>
  <c r="E6560" i="1"/>
  <c r="D6560" i="1"/>
  <c r="F6559" i="1"/>
  <c r="E6559" i="1"/>
  <c r="D6559" i="1"/>
  <c r="F6558" i="1"/>
  <c r="E6558" i="1"/>
  <c r="D6558" i="1"/>
  <c r="F6557" i="1"/>
  <c r="E6557" i="1"/>
  <c r="D6557" i="1"/>
  <c r="F6556" i="1"/>
  <c r="E6556" i="1"/>
  <c r="D6556" i="1"/>
  <c r="F6555" i="1"/>
  <c r="E6555" i="1"/>
  <c r="D6555" i="1"/>
  <c r="F6554" i="1"/>
  <c r="E6554" i="1"/>
  <c r="D6554" i="1"/>
  <c r="F6553" i="1"/>
  <c r="E6553" i="1"/>
  <c r="D6553" i="1"/>
  <c r="F6552" i="1"/>
  <c r="E6552" i="1"/>
  <c r="D6552" i="1"/>
  <c r="F6551" i="1"/>
  <c r="E6551" i="1"/>
  <c r="D6551" i="1"/>
  <c r="F6550" i="1"/>
  <c r="E6550" i="1"/>
  <c r="D6550" i="1"/>
  <c r="F6549" i="1"/>
  <c r="E6549" i="1"/>
  <c r="D6549" i="1"/>
  <c r="F6548" i="1"/>
  <c r="E6548" i="1"/>
  <c r="D6548" i="1"/>
  <c r="F6547" i="1"/>
  <c r="E6547" i="1"/>
  <c r="D6547" i="1"/>
  <c r="F6546" i="1"/>
  <c r="E6546" i="1"/>
  <c r="D6546" i="1"/>
  <c r="F6545" i="1"/>
  <c r="E6545" i="1"/>
  <c r="D6545" i="1"/>
  <c r="F6544" i="1"/>
  <c r="E6544" i="1"/>
  <c r="D6544" i="1"/>
  <c r="F6543" i="1"/>
  <c r="E6543" i="1"/>
  <c r="D6543" i="1"/>
  <c r="F6542" i="1"/>
  <c r="E6542" i="1"/>
  <c r="D6542" i="1"/>
  <c r="F6541" i="1"/>
  <c r="E6541" i="1"/>
  <c r="D6541" i="1"/>
  <c r="F6540" i="1"/>
  <c r="E6540" i="1"/>
  <c r="D6540" i="1"/>
  <c r="F6539" i="1"/>
  <c r="E6539" i="1"/>
  <c r="D6539" i="1"/>
  <c r="F6538" i="1"/>
  <c r="E6538" i="1"/>
  <c r="D6538" i="1"/>
  <c r="F6537" i="1"/>
  <c r="E6537" i="1"/>
  <c r="D6537" i="1"/>
  <c r="F6536" i="1"/>
  <c r="E6536" i="1"/>
  <c r="D6536" i="1"/>
  <c r="F6535" i="1"/>
  <c r="E6535" i="1"/>
  <c r="D6535" i="1"/>
  <c r="F6534" i="1"/>
  <c r="E6534" i="1"/>
  <c r="D6534" i="1"/>
  <c r="F6533" i="1"/>
  <c r="E6533" i="1"/>
  <c r="D6533" i="1"/>
  <c r="F6532" i="1"/>
  <c r="E6532" i="1"/>
  <c r="D6532" i="1"/>
  <c r="F6531" i="1"/>
  <c r="E6531" i="1"/>
  <c r="D6531" i="1"/>
  <c r="F6530" i="1"/>
  <c r="E6530" i="1"/>
  <c r="D6530" i="1"/>
  <c r="F6529" i="1"/>
  <c r="E6529" i="1"/>
  <c r="D6529" i="1"/>
  <c r="F6528" i="1"/>
  <c r="E6528" i="1"/>
  <c r="D6528" i="1"/>
  <c r="F6527" i="1"/>
  <c r="E6527" i="1"/>
  <c r="D6527" i="1"/>
  <c r="F6526" i="1"/>
  <c r="E6526" i="1"/>
  <c r="D6526" i="1"/>
  <c r="F6525" i="1"/>
  <c r="E6525" i="1"/>
  <c r="D6525" i="1"/>
  <c r="F6524" i="1"/>
  <c r="E6524" i="1"/>
  <c r="D6524" i="1"/>
  <c r="F6523" i="1"/>
  <c r="E6523" i="1"/>
  <c r="D6523" i="1"/>
  <c r="F6522" i="1"/>
  <c r="E6522" i="1"/>
  <c r="D6522" i="1"/>
  <c r="F6521" i="1"/>
  <c r="E6521" i="1"/>
  <c r="D6521" i="1"/>
  <c r="F6520" i="1"/>
  <c r="E6520" i="1"/>
  <c r="D6520" i="1"/>
  <c r="F6519" i="1"/>
  <c r="E6519" i="1"/>
  <c r="D6519" i="1"/>
  <c r="F6518" i="1"/>
  <c r="E6518" i="1"/>
  <c r="D6518" i="1"/>
  <c r="F6517" i="1"/>
  <c r="E6517" i="1"/>
  <c r="D6517" i="1"/>
  <c r="F6516" i="1"/>
  <c r="E6516" i="1"/>
  <c r="D6516" i="1"/>
  <c r="F6515" i="1"/>
  <c r="E6515" i="1"/>
  <c r="D6515" i="1"/>
  <c r="F6514" i="1"/>
  <c r="E6514" i="1"/>
  <c r="D6514" i="1"/>
  <c r="F6513" i="1"/>
  <c r="E6513" i="1"/>
  <c r="D6513" i="1"/>
  <c r="F6512" i="1"/>
  <c r="E6512" i="1"/>
  <c r="D6512" i="1"/>
  <c r="F6511" i="1"/>
  <c r="E6511" i="1"/>
  <c r="D6511" i="1"/>
  <c r="F6510" i="1"/>
  <c r="E6510" i="1"/>
  <c r="D6510" i="1"/>
  <c r="F6509" i="1"/>
  <c r="E6509" i="1"/>
  <c r="D6509" i="1"/>
  <c r="F6508" i="1"/>
  <c r="E6508" i="1"/>
  <c r="D6508" i="1"/>
  <c r="F6507" i="1"/>
  <c r="E6507" i="1"/>
  <c r="D6507" i="1"/>
  <c r="F6506" i="1"/>
  <c r="E6506" i="1"/>
  <c r="D6506" i="1"/>
  <c r="F6505" i="1"/>
  <c r="E6505" i="1"/>
  <c r="D6505" i="1"/>
  <c r="F6504" i="1"/>
  <c r="E6504" i="1"/>
  <c r="D6504" i="1"/>
  <c r="F6503" i="1"/>
  <c r="E6503" i="1"/>
  <c r="D6503" i="1"/>
  <c r="F6502" i="1"/>
  <c r="E6502" i="1"/>
  <c r="D6502" i="1"/>
  <c r="F6501" i="1"/>
  <c r="E6501" i="1"/>
  <c r="D6501" i="1"/>
  <c r="F6500" i="1"/>
  <c r="E6500" i="1"/>
  <c r="D6500" i="1"/>
  <c r="F6499" i="1"/>
  <c r="E6499" i="1"/>
  <c r="D6499" i="1"/>
  <c r="F6498" i="1"/>
  <c r="E6498" i="1"/>
  <c r="D6498" i="1"/>
  <c r="F6497" i="1"/>
  <c r="E6497" i="1"/>
  <c r="D6497" i="1"/>
  <c r="F6496" i="1"/>
  <c r="E6496" i="1"/>
  <c r="D6496" i="1"/>
  <c r="F6495" i="1"/>
  <c r="E6495" i="1"/>
  <c r="D6495" i="1"/>
  <c r="F6494" i="1"/>
  <c r="E6494" i="1"/>
  <c r="D6494" i="1"/>
  <c r="F6493" i="1"/>
  <c r="E6493" i="1"/>
  <c r="D6493" i="1"/>
  <c r="F6492" i="1"/>
  <c r="E6492" i="1"/>
  <c r="D6492" i="1"/>
  <c r="F6491" i="1"/>
  <c r="E6491" i="1"/>
  <c r="D6491" i="1"/>
  <c r="F6490" i="1"/>
  <c r="E6490" i="1"/>
  <c r="D6490" i="1"/>
  <c r="F6489" i="1"/>
  <c r="E6489" i="1"/>
  <c r="D6489" i="1"/>
  <c r="F6488" i="1"/>
  <c r="E6488" i="1"/>
  <c r="D6488" i="1"/>
  <c r="F6487" i="1"/>
  <c r="E6487" i="1"/>
  <c r="D6487" i="1"/>
  <c r="F6486" i="1"/>
  <c r="E6486" i="1"/>
  <c r="D6486" i="1"/>
  <c r="F6485" i="1"/>
  <c r="E6485" i="1"/>
  <c r="D6485" i="1"/>
  <c r="F6484" i="1"/>
  <c r="E6484" i="1"/>
  <c r="D6484" i="1"/>
  <c r="F6483" i="1"/>
  <c r="E6483" i="1"/>
  <c r="D6483" i="1"/>
  <c r="F6482" i="1"/>
  <c r="E6482" i="1"/>
  <c r="D6482" i="1"/>
  <c r="F6481" i="1"/>
  <c r="E6481" i="1"/>
  <c r="D6481" i="1"/>
  <c r="F6480" i="1"/>
  <c r="E6480" i="1"/>
  <c r="D6480" i="1"/>
  <c r="F6479" i="1"/>
  <c r="E6479" i="1"/>
  <c r="D6479" i="1"/>
  <c r="F6478" i="1"/>
  <c r="E6478" i="1"/>
  <c r="D6478" i="1"/>
  <c r="F6477" i="1"/>
  <c r="E6477" i="1"/>
  <c r="D6477" i="1"/>
  <c r="F6476" i="1"/>
  <c r="E6476" i="1"/>
  <c r="D6476" i="1"/>
  <c r="F6475" i="1"/>
  <c r="E6475" i="1"/>
  <c r="D6475" i="1"/>
  <c r="F6474" i="1"/>
  <c r="E6474" i="1"/>
  <c r="D6474" i="1"/>
  <c r="F6473" i="1"/>
  <c r="E6473" i="1"/>
  <c r="D6473" i="1"/>
  <c r="F6472" i="1"/>
  <c r="E6472" i="1"/>
  <c r="D6472" i="1"/>
  <c r="F6471" i="1"/>
  <c r="E6471" i="1"/>
  <c r="D6471" i="1"/>
  <c r="F6470" i="1"/>
  <c r="E6470" i="1"/>
  <c r="D6470" i="1"/>
  <c r="F6469" i="1"/>
  <c r="E6469" i="1"/>
  <c r="D6469" i="1"/>
  <c r="F6468" i="1"/>
  <c r="E6468" i="1"/>
  <c r="D6468" i="1"/>
  <c r="F6467" i="1"/>
  <c r="E6467" i="1"/>
  <c r="D6467" i="1"/>
  <c r="F6466" i="1"/>
  <c r="E6466" i="1"/>
  <c r="D6466" i="1"/>
  <c r="F6465" i="1"/>
  <c r="E6465" i="1"/>
  <c r="D6465" i="1"/>
  <c r="F6464" i="1"/>
  <c r="E6464" i="1"/>
  <c r="D6464" i="1"/>
  <c r="F6463" i="1"/>
  <c r="E6463" i="1"/>
  <c r="D6463" i="1"/>
  <c r="F6462" i="1"/>
  <c r="E6462" i="1"/>
  <c r="D6462" i="1"/>
  <c r="F6461" i="1"/>
  <c r="E6461" i="1"/>
  <c r="D6461" i="1"/>
  <c r="F6460" i="1"/>
  <c r="E6460" i="1"/>
  <c r="D6460" i="1"/>
  <c r="F6459" i="1"/>
  <c r="E6459" i="1"/>
  <c r="D6459" i="1"/>
  <c r="F6458" i="1"/>
  <c r="E6458" i="1"/>
  <c r="D6458" i="1"/>
  <c r="F6457" i="1"/>
  <c r="E6457" i="1"/>
  <c r="D6457" i="1"/>
  <c r="F6456" i="1"/>
  <c r="E6456" i="1"/>
  <c r="D6456" i="1"/>
  <c r="F6455" i="1"/>
  <c r="E6455" i="1"/>
  <c r="D6455" i="1"/>
  <c r="F6454" i="1"/>
  <c r="E6454" i="1"/>
  <c r="D6454" i="1"/>
  <c r="F6453" i="1"/>
  <c r="E6453" i="1"/>
  <c r="D6453" i="1"/>
  <c r="F6452" i="1"/>
  <c r="E6452" i="1"/>
  <c r="D6452" i="1"/>
  <c r="F6451" i="1"/>
  <c r="E6451" i="1"/>
  <c r="D6451" i="1"/>
  <c r="F6450" i="1"/>
  <c r="E6450" i="1"/>
  <c r="D6450" i="1"/>
  <c r="F6449" i="1"/>
  <c r="E6449" i="1"/>
  <c r="D6449" i="1"/>
  <c r="F6448" i="1"/>
  <c r="E6448" i="1"/>
  <c r="D6448" i="1"/>
  <c r="F6447" i="1"/>
  <c r="E6447" i="1"/>
  <c r="D6447" i="1"/>
  <c r="F6446" i="1"/>
  <c r="E6446" i="1"/>
  <c r="D6446" i="1"/>
  <c r="F6445" i="1"/>
  <c r="E6445" i="1"/>
  <c r="D6445" i="1"/>
  <c r="F6444" i="1"/>
  <c r="E6444" i="1"/>
  <c r="D6444" i="1"/>
  <c r="F6443" i="1"/>
  <c r="E6443" i="1"/>
  <c r="D6443" i="1"/>
  <c r="F6442" i="1"/>
  <c r="E6442" i="1"/>
  <c r="D6442" i="1"/>
  <c r="F6441" i="1"/>
  <c r="E6441" i="1"/>
  <c r="D6441" i="1"/>
  <c r="F6440" i="1"/>
  <c r="E6440" i="1"/>
  <c r="D6440" i="1"/>
  <c r="F6439" i="1"/>
  <c r="E6439" i="1"/>
  <c r="D6439" i="1"/>
  <c r="F6438" i="1"/>
  <c r="E6438" i="1"/>
  <c r="D6438" i="1"/>
  <c r="F6437" i="1"/>
  <c r="E6437" i="1"/>
  <c r="D6437" i="1"/>
  <c r="F6436" i="1"/>
  <c r="E6436" i="1"/>
  <c r="D6436" i="1"/>
  <c r="F6435" i="1"/>
  <c r="E6435" i="1"/>
  <c r="D6435" i="1"/>
  <c r="F6434" i="1"/>
  <c r="E6434" i="1"/>
  <c r="D6434" i="1"/>
  <c r="F6433" i="1"/>
  <c r="E6433" i="1"/>
  <c r="D6433" i="1"/>
  <c r="F6432" i="1"/>
  <c r="E6432" i="1"/>
  <c r="D6432" i="1"/>
  <c r="F6431" i="1"/>
  <c r="E6431" i="1"/>
  <c r="D6431" i="1"/>
  <c r="F6430" i="1"/>
  <c r="E6430" i="1"/>
  <c r="D6430" i="1"/>
  <c r="F6429" i="1"/>
  <c r="E6429" i="1"/>
  <c r="D6429" i="1"/>
  <c r="F6428" i="1"/>
  <c r="E6428" i="1"/>
  <c r="D6428" i="1"/>
  <c r="F6427" i="1"/>
  <c r="E6427" i="1"/>
  <c r="D6427" i="1"/>
  <c r="F6426" i="1"/>
  <c r="E6426" i="1"/>
  <c r="D6426" i="1"/>
  <c r="F6425" i="1"/>
  <c r="E6425" i="1"/>
  <c r="D6425" i="1"/>
  <c r="F6424" i="1"/>
  <c r="E6424" i="1"/>
  <c r="D6424" i="1"/>
  <c r="F6423" i="1"/>
  <c r="E6423" i="1"/>
  <c r="D6423" i="1"/>
  <c r="F6422" i="1"/>
  <c r="E6422" i="1"/>
  <c r="D6422" i="1"/>
  <c r="F6421" i="1"/>
  <c r="E6421" i="1"/>
  <c r="D6421" i="1"/>
  <c r="F6420" i="1"/>
  <c r="E6420" i="1"/>
  <c r="D6420" i="1"/>
  <c r="F6419" i="1"/>
  <c r="E6419" i="1"/>
  <c r="D6419" i="1"/>
  <c r="F6418" i="1"/>
  <c r="E6418" i="1"/>
  <c r="D6418" i="1"/>
  <c r="F6417" i="1"/>
  <c r="E6417" i="1"/>
  <c r="D6417" i="1"/>
  <c r="F6416" i="1"/>
  <c r="E6416" i="1"/>
  <c r="D6416" i="1"/>
  <c r="F6415" i="1"/>
  <c r="E6415" i="1"/>
  <c r="D6415" i="1"/>
  <c r="F6414" i="1"/>
  <c r="E6414" i="1"/>
  <c r="D6414" i="1"/>
  <c r="F6413" i="1"/>
  <c r="E6413" i="1"/>
  <c r="D6413" i="1"/>
  <c r="F6412" i="1"/>
  <c r="E6412" i="1"/>
  <c r="D6412" i="1"/>
  <c r="F6411" i="1"/>
  <c r="E6411" i="1"/>
  <c r="D6411" i="1"/>
  <c r="F6410" i="1"/>
  <c r="E6410" i="1"/>
  <c r="D6410" i="1"/>
  <c r="F6409" i="1"/>
  <c r="E6409" i="1"/>
  <c r="D6409" i="1"/>
  <c r="F6408" i="1"/>
  <c r="E6408" i="1"/>
  <c r="D6408" i="1"/>
  <c r="F6407" i="1"/>
  <c r="E6407" i="1"/>
  <c r="D6407" i="1"/>
  <c r="F6406" i="1"/>
  <c r="E6406" i="1"/>
  <c r="D6406" i="1"/>
  <c r="F6405" i="1"/>
  <c r="E6405" i="1"/>
  <c r="D6405" i="1"/>
  <c r="F6404" i="1"/>
  <c r="D6404" i="1"/>
  <c r="F6403" i="1"/>
  <c r="E6403" i="1"/>
  <c r="D6403" i="1"/>
  <c r="F6402" i="1"/>
  <c r="E6402" i="1"/>
  <c r="D6402" i="1"/>
  <c r="F6401" i="1"/>
  <c r="E6401" i="1"/>
  <c r="D6401" i="1"/>
  <c r="F6400" i="1"/>
  <c r="E6400" i="1"/>
  <c r="D6400" i="1"/>
  <c r="F6399" i="1"/>
  <c r="E6399" i="1"/>
  <c r="D6399" i="1"/>
  <c r="F6398" i="1"/>
  <c r="E6398" i="1"/>
  <c r="D6398" i="1"/>
  <c r="F6397" i="1"/>
  <c r="E6397" i="1"/>
  <c r="D6397" i="1"/>
  <c r="F6396" i="1"/>
  <c r="E6396" i="1"/>
  <c r="D6396" i="1"/>
  <c r="F6395" i="1"/>
  <c r="E6395" i="1"/>
  <c r="D6395" i="1"/>
  <c r="F6394" i="1"/>
  <c r="E6394" i="1"/>
  <c r="D6394" i="1"/>
  <c r="F6393" i="1"/>
  <c r="E6393" i="1"/>
  <c r="D6393" i="1"/>
  <c r="F6392" i="1"/>
  <c r="E6392" i="1"/>
  <c r="D6392" i="1"/>
  <c r="F6391" i="1"/>
  <c r="E6391" i="1"/>
  <c r="D6391" i="1"/>
  <c r="F6390" i="1"/>
  <c r="E6390" i="1"/>
  <c r="D6390" i="1"/>
  <c r="F6389" i="1"/>
  <c r="E6389" i="1"/>
  <c r="D6389" i="1"/>
  <c r="F6388" i="1"/>
  <c r="E6388" i="1"/>
  <c r="D6388" i="1"/>
  <c r="F6387" i="1"/>
  <c r="E6387" i="1"/>
  <c r="D6387" i="1"/>
  <c r="F6386" i="1"/>
  <c r="E6386" i="1"/>
  <c r="D6386" i="1"/>
  <c r="F6385" i="1"/>
  <c r="E6385" i="1"/>
  <c r="D6385" i="1"/>
  <c r="F6384" i="1"/>
  <c r="E6384" i="1"/>
  <c r="D6384" i="1"/>
  <c r="F6383" i="1"/>
  <c r="E6383" i="1"/>
  <c r="D6383" i="1"/>
  <c r="F6382" i="1"/>
  <c r="E6382" i="1"/>
  <c r="D6382" i="1"/>
  <c r="F6381" i="1"/>
  <c r="E6381" i="1"/>
  <c r="D6381" i="1"/>
  <c r="F6380" i="1"/>
  <c r="E6380" i="1"/>
  <c r="D6380" i="1"/>
  <c r="F6379" i="1"/>
  <c r="E6379" i="1"/>
  <c r="D6379" i="1"/>
  <c r="F6378" i="1"/>
  <c r="E6378" i="1"/>
  <c r="D6378" i="1"/>
  <c r="F6377" i="1"/>
  <c r="E6377" i="1"/>
  <c r="D6377" i="1"/>
  <c r="F6376" i="1"/>
  <c r="E6376" i="1"/>
  <c r="D6376" i="1"/>
  <c r="F6375" i="1"/>
  <c r="E6375" i="1"/>
  <c r="D6375" i="1"/>
  <c r="F6374" i="1"/>
  <c r="E6374" i="1"/>
  <c r="D6374" i="1"/>
  <c r="F6373" i="1"/>
  <c r="E6373" i="1"/>
  <c r="D6373" i="1"/>
  <c r="F6372" i="1"/>
  <c r="E6372" i="1"/>
  <c r="D6372" i="1"/>
  <c r="F6371" i="1"/>
  <c r="E6371" i="1"/>
  <c r="D6371" i="1"/>
  <c r="F6370" i="1"/>
  <c r="E6370" i="1"/>
  <c r="D6370" i="1"/>
  <c r="F6369" i="1"/>
  <c r="E6369" i="1"/>
  <c r="D6369" i="1"/>
  <c r="F6368" i="1"/>
  <c r="E6368" i="1"/>
  <c r="D6368" i="1"/>
  <c r="F6367" i="1"/>
  <c r="E6367" i="1"/>
  <c r="D6367" i="1"/>
  <c r="F6366" i="1"/>
  <c r="E6366" i="1"/>
  <c r="D6366" i="1"/>
  <c r="F6365" i="1"/>
  <c r="E6365" i="1"/>
  <c r="D6365" i="1"/>
  <c r="F6364" i="1"/>
  <c r="E6364" i="1"/>
  <c r="D6364" i="1"/>
  <c r="F6363" i="1"/>
  <c r="E6363" i="1"/>
  <c r="D6363" i="1"/>
  <c r="F6362" i="1"/>
  <c r="E6362" i="1"/>
  <c r="D6362" i="1"/>
  <c r="F6361" i="1"/>
  <c r="E6361" i="1"/>
  <c r="D6361" i="1"/>
  <c r="F6360" i="1"/>
  <c r="E6360" i="1"/>
  <c r="D6360" i="1"/>
  <c r="F6359" i="1"/>
  <c r="E6359" i="1"/>
  <c r="D6359" i="1"/>
  <c r="F6358" i="1"/>
  <c r="E6358" i="1"/>
  <c r="D6358" i="1"/>
  <c r="F6357" i="1"/>
  <c r="E6357" i="1"/>
  <c r="D6357" i="1"/>
  <c r="F6356" i="1"/>
  <c r="E6356" i="1"/>
  <c r="D6356" i="1"/>
  <c r="F6355" i="1"/>
  <c r="E6355" i="1"/>
  <c r="D6355" i="1"/>
  <c r="F6354" i="1"/>
  <c r="E6354" i="1"/>
  <c r="D6354" i="1"/>
  <c r="F6353" i="1"/>
  <c r="E6353" i="1"/>
  <c r="D6353" i="1"/>
  <c r="F6352" i="1"/>
  <c r="E6352" i="1"/>
  <c r="D6352" i="1"/>
  <c r="F6351" i="1"/>
  <c r="E6351" i="1"/>
  <c r="D6351" i="1"/>
  <c r="F6350" i="1"/>
  <c r="E6350" i="1"/>
  <c r="D6350" i="1"/>
  <c r="F6349" i="1"/>
  <c r="E6349" i="1"/>
  <c r="D6349" i="1"/>
  <c r="F6348" i="1"/>
  <c r="E6348" i="1"/>
  <c r="D6348" i="1"/>
  <c r="F6347" i="1"/>
  <c r="E6347" i="1"/>
  <c r="D6347" i="1"/>
  <c r="F6346" i="1"/>
  <c r="E6346" i="1"/>
  <c r="D6346" i="1"/>
  <c r="F6345" i="1"/>
  <c r="E6345" i="1"/>
  <c r="D6345" i="1"/>
  <c r="F6344" i="1"/>
  <c r="E6344" i="1"/>
  <c r="D6344" i="1"/>
  <c r="F6343" i="1"/>
  <c r="E6343" i="1"/>
  <c r="D6343" i="1"/>
  <c r="F6342" i="1"/>
  <c r="E6342" i="1"/>
  <c r="D6342" i="1"/>
  <c r="F6341" i="1"/>
  <c r="E6341" i="1"/>
  <c r="D6341" i="1"/>
  <c r="F6340" i="1"/>
  <c r="E6340" i="1"/>
  <c r="D6340" i="1"/>
  <c r="F6339" i="1"/>
  <c r="E6339" i="1"/>
  <c r="D6339" i="1"/>
  <c r="F6338" i="1"/>
  <c r="E6338" i="1"/>
  <c r="D6338" i="1"/>
  <c r="F6337" i="1"/>
  <c r="E6337" i="1"/>
  <c r="D6337" i="1"/>
  <c r="F6336" i="1"/>
  <c r="E6336" i="1"/>
  <c r="D6336" i="1"/>
  <c r="F6335" i="1"/>
  <c r="E6335" i="1"/>
  <c r="D6335" i="1"/>
  <c r="F6334" i="1"/>
  <c r="E6334" i="1"/>
  <c r="D6334" i="1"/>
  <c r="F6333" i="1"/>
  <c r="E6333" i="1"/>
  <c r="D6333" i="1"/>
  <c r="F6332" i="1"/>
  <c r="E6332" i="1"/>
  <c r="D6332" i="1"/>
  <c r="F6331" i="1"/>
  <c r="E6331" i="1"/>
  <c r="D6331" i="1"/>
  <c r="F6330" i="1"/>
  <c r="E6330" i="1"/>
  <c r="D6330" i="1"/>
  <c r="F6329" i="1"/>
  <c r="E6329" i="1"/>
  <c r="D6329" i="1"/>
  <c r="F6328" i="1"/>
  <c r="E6328" i="1"/>
  <c r="D6328" i="1"/>
  <c r="F6327" i="1"/>
  <c r="E6327" i="1"/>
  <c r="D6327" i="1"/>
  <c r="F6326" i="1"/>
  <c r="E6326" i="1"/>
  <c r="D6326" i="1"/>
  <c r="F6325" i="1"/>
  <c r="E6325" i="1"/>
  <c r="D6325" i="1"/>
  <c r="F6324" i="1"/>
  <c r="E6324" i="1"/>
  <c r="D6324" i="1"/>
  <c r="F6323" i="1"/>
  <c r="E6323" i="1"/>
  <c r="D6323" i="1"/>
  <c r="F6322" i="1"/>
  <c r="E6322" i="1"/>
  <c r="D6322" i="1"/>
  <c r="F6321" i="1"/>
  <c r="E6321" i="1"/>
  <c r="D6321" i="1"/>
  <c r="F6320" i="1"/>
  <c r="E6320" i="1"/>
  <c r="D6320" i="1"/>
  <c r="F6319" i="1"/>
  <c r="E6319" i="1"/>
  <c r="D6319" i="1"/>
  <c r="F6318" i="1"/>
  <c r="E6318" i="1"/>
  <c r="D6318" i="1"/>
  <c r="F6317" i="1"/>
  <c r="E6317" i="1"/>
  <c r="D6317" i="1"/>
  <c r="F6316" i="1"/>
  <c r="E6316" i="1"/>
  <c r="D6316" i="1"/>
  <c r="F6315" i="1"/>
  <c r="E6315" i="1"/>
  <c r="D6315" i="1"/>
  <c r="F6314" i="1"/>
  <c r="E6314" i="1"/>
  <c r="D6314" i="1"/>
  <c r="F6313" i="1"/>
  <c r="E6313" i="1"/>
  <c r="D6313" i="1"/>
  <c r="F6312" i="1"/>
  <c r="E6312" i="1"/>
  <c r="D6312" i="1"/>
  <c r="F6311" i="1"/>
  <c r="E6311" i="1"/>
  <c r="D6311" i="1"/>
  <c r="F6310" i="1"/>
  <c r="E6310" i="1"/>
  <c r="D6310" i="1"/>
  <c r="F6309" i="1"/>
  <c r="E6309" i="1"/>
  <c r="D6309" i="1"/>
  <c r="F6308" i="1"/>
  <c r="E6308" i="1"/>
  <c r="D6308" i="1"/>
  <c r="F6307" i="1"/>
  <c r="E6307" i="1"/>
  <c r="D6307" i="1"/>
  <c r="F6306" i="1"/>
  <c r="E6306" i="1"/>
  <c r="D6306" i="1"/>
  <c r="F6305" i="1"/>
  <c r="E6305" i="1"/>
  <c r="D6305" i="1"/>
  <c r="F6304" i="1"/>
  <c r="E6304" i="1"/>
  <c r="D6304" i="1"/>
  <c r="F6303" i="1"/>
  <c r="E6303" i="1"/>
  <c r="D6303" i="1"/>
  <c r="F6302" i="1"/>
  <c r="E6302" i="1"/>
  <c r="D6302" i="1"/>
  <c r="F6301" i="1"/>
  <c r="E6301" i="1"/>
  <c r="D6301" i="1"/>
  <c r="F6300" i="1"/>
  <c r="E6300" i="1"/>
  <c r="D6300" i="1"/>
  <c r="F6299" i="1"/>
  <c r="E6299" i="1"/>
  <c r="D6299" i="1"/>
  <c r="F6298" i="1"/>
  <c r="E6298" i="1"/>
  <c r="D6298" i="1"/>
  <c r="F6297" i="1"/>
  <c r="E6297" i="1"/>
  <c r="D6297" i="1"/>
  <c r="F6296" i="1"/>
  <c r="E6296" i="1"/>
  <c r="D6296" i="1"/>
  <c r="F6295" i="1"/>
  <c r="E6295" i="1"/>
  <c r="D6295" i="1"/>
  <c r="F6294" i="1"/>
  <c r="E6294" i="1"/>
  <c r="D6294" i="1"/>
  <c r="F6293" i="1"/>
  <c r="E6293" i="1"/>
  <c r="D6293" i="1"/>
  <c r="F6292" i="1"/>
  <c r="E6292" i="1"/>
  <c r="D6292" i="1"/>
  <c r="F6291" i="1"/>
  <c r="E6291" i="1"/>
  <c r="D6291" i="1"/>
  <c r="F6290" i="1"/>
  <c r="E6290" i="1"/>
  <c r="D6290" i="1"/>
  <c r="F6289" i="1"/>
  <c r="E6289" i="1"/>
  <c r="D6289" i="1"/>
  <c r="F6288" i="1"/>
  <c r="E6288" i="1"/>
  <c r="D6288" i="1"/>
  <c r="F6287" i="1"/>
  <c r="E6287" i="1"/>
  <c r="D6287" i="1"/>
  <c r="F6286" i="1"/>
  <c r="E6286" i="1"/>
  <c r="D6286" i="1"/>
  <c r="F6285" i="1"/>
  <c r="E6285" i="1"/>
  <c r="D6285" i="1"/>
  <c r="F6284" i="1"/>
  <c r="E6284" i="1"/>
  <c r="D6284" i="1"/>
  <c r="F6283" i="1"/>
  <c r="E6283" i="1"/>
  <c r="D6283" i="1"/>
  <c r="F6282" i="1"/>
  <c r="E6282" i="1"/>
  <c r="D6282" i="1"/>
  <c r="F6281" i="1"/>
  <c r="E6281" i="1"/>
  <c r="D6281" i="1"/>
  <c r="F6280" i="1"/>
  <c r="E6280" i="1"/>
  <c r="D6280" i="1"/>
  <c r="F6279" i="1"/>
  <c r="E6279" i="1"/>
  <c r="D6279" i="1"/>
  <c r="F6278" i="1"/>
  <c r="E6278" i="1"/>
  <c r="D6278" i="1"/>
  <c r="F6277" i="1"/>
  <c r="E6277" i="1"/>
  <c r="D6277" i="1"/>
  <c r="F6276" i="1"/>
  <c r="E6276" i="1"/>
  <c r="D6276" i="1"/>
  <c r="F6275" i="1"/>
  <c r="E6275" i="1"/>
  <c r="D6275" i="1"/>
  <c r="F6274" i="1"/>
  <c r="E6274" i="1"/>
  <c r="D6274" i="1"/>
  <c r="F6273" i="1"/>
  <c r="E6273" i="1"/>
  <c r="D6273" i="1"/>
  <c r="F6272" i="1"/>
  <c r="E6272" i="1"/>
  <c r="D6272" i="1"/>
  <c r="F6271" i="1"/>
  <c r="E6271" i="1"/>
  <c r="D6271" i="1"/>
  <c r="F6270" i="1"/>
  <c r="E6270" i="1"/>
  <c r="D6270" i="1"/>
  <c r="F6269" i="1"/>
  <c r="E6269" i="1"/>
  <c r="D6269" i="1"/>
  <c r="F6268" i="1"/>
  <c r="E6268" i="1"/>
  <c r="D6268" i="1"/>
  <c r="F6267" i="1"/>
  <c r="E6267" i="1"/>
  <c r="D6267" i="1"/>
  <c r="F6266" i="1"/>
  <c r="E6266" i="1"/>
  <c r="D6266" i="1"/>
  <c r="F6265" i="1"/>
  <c r="E6265" i="1"/>
  <c r="D6265" i="1"/>
  <c r="F6264" i="1"/>
  <c r="E6264" i="1"/>
  <c r="D6264" i="1"/>
  <c r="F6263" i="1"/>
  <c r="E6263" i="1"/>
  <c r="D6263" i="1"/>
  <c r="F6262" i="1"/>
  <c r="E6262" i="1"/>
  <c r="D6262" i="1"/>
  <c r="F6261" i="1"/>
  <c r="E6261" i="1"/>
  <c r="D6261" i="1"/>
  <c r="F6260" i="1"/>
  <c r="E6260" i="1"/>
  <c r="D6260" i="1"/>
  <c r="F6259" i="1"/>
  <c r="E6259" i="1"/>
  <c r="D6259" i="1"/>
  <c r="F6258" i="1"/>
  <c r="E6258" i="1"/>
  <c r="D6258" i="1"/>
  <c r="F6257" i="1"/>
  <c r="E6257" i="1"/>
  <c r="D6257" i="1"/>
  <c r="F6256" i="1"/>
  <c r="E6256" i="1"/>
  <c r="D6256" i="1"/>
  <c r="F6255" i="1"/>
  <c r="E6255" i="1"/>
  <c r="D6255" i="1"/>
  <c r="F6254" i="1"/>
  <c r="E6254" i="1"/>
  <c r="D6254" i="1"/>
  <c r="F6253" i="1"/>
  <c r="E6253" i="1"/>
  <c r="D6253" i="1"/>
  <c r="F6252" i="1"/>
  <c r="E6252" i="1"/>
  <c r="D6252" i="1"/>
  <c r="F6251" i="1"/>
  <c r="E6251" i="1"/>
  <c r="D6251" i="1"/>
  <c r="F6250" i="1"/>
  <c r="E6250" i="1"/>
  <c r="D6250" i="1"/>
  <c r="F6249" i="1"/>
  <c r="E6249" i="1"/>
  <c r="D6249" i="1"/>
  <c r="F6248" i="1"/>
  <c r="E6248" i="1"/>
  <c r="D6248" i="1"/>
  <c r="F6247" i="1"/>
  <c r="E6247" i="1"/>
  <c r="D6247" i="1"/>
  <c r="F6246" i="1"/>
  <c r="E6246" i="1"/>
  <c r="D6246" i="1"/>
  <c r="F6245" i="1"/>
  <c r="E6245" i="1"/>
  <c r="D6245" i="1"/>
  <c r="F6244" i="1"/>
  <c r="E6244" i="1"/>
  <c r="D6244" i="1"/>
  <c r="F6243" i="1"/>
  <c r="E6243" i="1"/>
  <c r="D6243" i="1"/>
  <c r="F6242" i="1"/>
  <c r="E6242" i="1"/>
  <c r="D6242" i="1"/>
  <c r="F6241" i="1"/>
  <c r="E6241" i="1"/>
  <c r="D6241" i="1"/>
  <c r="F6240" i="1"/>
  <c r="E6240" i="1"/>
  <c r="D6240" i="1"/>
  <c r="F6239" i="1"/>
  <c r="E6239" i="1"/>
  <c r="D6239" i="1"/>
  <c r="F6238" i="1"/>
  <c r="E6238" i="1"/>
  <c r="D6238" i="1"/>
  <c r="F6237" i="1"/>
  <c r="E6237" i="1"/>
  <c r="D6237" i="1"/>
  <c r="F6236" i="1"/>
  <c r="E6236" i="1"/>
  <c r="D6236" i="1"/>
  <c r="F6235" i="1"/>
  <c r="E6235" i="1"/>
  <c r="D6235" i="1"/>
  <c r="F6234" i="1"/>
  <c r="E6234" i="1"/>
  <c r="D6234" i="1"/>
  <c r="F6233" i="1"/>
  <c r="E6233" i="1"/>
  <c r="D6233" i="1"/>
  <c r="F6232" i="1"/>
  <c r="E6232" i="1"/>
  <c r="D6232" i="1"/>
  <c r="F6231" i="1"/>
  <c r="E6231" i="1"/>
  <c r="D6231" i="1"/>
  <c r="F6230" i="1"/>
  <c r="E6230" i="1"/>
  <c r="D6230" i="1"/>
  <c r="F6229" i="1"/>
  <c r="E6229" i="1"/>
  <c r="D6229" i="1"/>
  <c r="F6228" i="1"/>
  <c r="E6228" i="1"/>
  <c r="D6228" i="1"/>
  <c r="F6227" i="1"/>
  <c r="E6227" i="1"/>
  <c r="D6227" i="1"/>
  <c r="F6226" i="1"/>
  <c r="E6226" i="1"/>
  <c r="D6226" i="1"/>
  <c r="F6225" i="1"/>
  <c r="E6225" i="1"/>
  <c r="D6225" i="1"/>
  <c r="F6224" i="1"/>
  <c r="E6224" i="1"/>
  <c r="D6224" i="1"/>
  <c r="F6223" i="1"/>
  <c r="E6223" i="1"/>
  <c r="D6223" i="1"/>
  <c r="F6222" i="1"/>
  <c r="E6222" i="1"/>
  <c r="D6222" i="1"/>
  <c r="F6221" i="1"/>
  <c r="E6221" i="1"/>
  <c r="D6221" i="1"/>
  <c r="F6220" i="1"/>
  <c r="E6220" i="1"/>
  <c r="D6220" i="1"/>
  <c r="F6219" i="1"/>
  <c r="E6219" i="1"/>
  <c r="D6219" i="1"/>
  <c r="F6218" i="1"/>
  <c r="E6218" i="1"/>
  <c r="D6218" i="1"/>
  <c r="F6217" i="1"/>
  <c r="E6217" i="1"/>
  <c r="D6217" i="1"/>
  <c r="F6216" i="1"/>
  <c r="E6216" i="1"/>
  <c r="D6216" i="1"/>
  <c r="F6215" i="1"/>
  <c r="E6215" i="1"/>
  <c r="D6215" i="1"/>
  <c r="F6214" i="1"/>
  <c r="E6214" i="1"/>
  <c r="D6214" i="1"/>
  <c r="F6213" i="1"/>
  <c r="E6213" i="1"/>
  <c r="D6213" i="1"/>
  <c r="F6212" i="1"/>
  <c r="E6212" i="1"/>
  <c r="D6212" i="1"/>
  <c r="F6211" i="1"/>
  <c r="E6211" i="1"/>
  <c r="D6211" i="1"/>
  <c r="F6210" i="1"/>
  <c r="E6210" i="1"/>
  <c r="D6210" i="1"/>
  <c r="F6209" i="1"/>
  <c r="E6209" i="1"/>
  <c r="D6209" i="1"/>
  <c r="F6208" i="1"/>
  <c r="E6208" i="1"/>
  <c r="D6208" i="1"/>
  <c r="F6207" i="1"/>
  <c r="E6207" i="1"/>
  <c r="D6207" i="1"/>
  <c r="F6206" i="1"/>
  <c r="E6206" i="1"/>
  <c r="D6206" i="1"/>
  <c r="F6205" i="1"/>
  <c r="E6205" i="1"/>
  <c r="D6205" i="1"/>
  <c r="F6204" i="1"/>
  <c r="E6204" i="1"/>
  <c r="D6204" i="1"/>
  <c r="F6203" i="1"/>
  <c r="E6203" i="1"/>
  <c r="D6203" i="1"/>
  <c r="F6202" i="1"/>
  <c r="E6202" i="1"/>
  <c r="D6202" i="1"/>
  <c r="F6201" i="1"/>
  <c r="E6201" i="1"/>
  <c r="D6201" i="1"/>
  <c r="F6200" i="1"/>
  <c r="E6200" i="1"/>
  <c r="D6200" i="1"/>
  <c r="F6199" i="1"/>
  <c r="E6199" i="1"/>
  <c r="D6199" i="1"/>
  <c r="F6198" i="1"/>
  <c r="E6198" i="1"/>
  <c r="D6198" i="1"/>
  <c r="F6197" i="1"/>
  <c r="E6197" i="1"/>
  <c r="D6197" i="1"/>
  <c r="F6196" i="1"/>
  <c r="E6196" i="1"/>
  <c r="D6196" i="1"/>
  <c r="F6195" i="1"/>
  <c r="E6195" i="1"/>
  <c r="D6195" i="1"/>
  <c r="F6194" i="1"/>
  <c r="E6194" i="1"/>
  <c r="D6194" i="1"/>
  <c r="F6193" i="1"/>
  <c r="E6193" i="1"/>
  <c r="D6193" i="1"/>
  <c r="F6192" i="1"/>
  <c r="E6192" i="1"/>
  <c r="D6192" i="1"/>
  <c r="F6191" i="1"/>
  <c r="E6191" i="1"/>
  <c r="D6191" i="1"/>
  <c r="F6190" i="1"/>
  <c r="E6190" i="1"/>
  <c r="D6190" i="1"/>
  <c r="F6189" i="1"/>
  <c r="E6189" i="1"/>
  <c r="D6189" i="1"/>
  <c r="F6188" i="1"/>
  <c r="E6188" i="1"/>
  <c r="D6188" i="1"/>
  <c r="F6187" i="1"/>
  <c r="E6187" i="1"/>
  <c r="D6187" i="1"/>
  <c r="F6186" i="1"/>
  <c r="E6186" i="1"/>
  <c r="D6186" i="1"/>
  <c r="F6185" i="1"/>
  <c r="E6185" i="1"/>
  <c r="D6185" i="1"/>
  <c r="F6184" i="1"/>
  <c r="E6184" i="1"/>
  <c r="D6184" i="1"/>
  <c r="F6183" i="1"/>
  <c r="E6183" i="1"/>
  <c r="D6183" i="1"/>
  <c r="F6182" i="1"/>
  <c r="E6182" i="1"/>
  <c r="D6182" i="1"/>
  <c r="F6181" i="1"/>
  <c r="E6181" i="1"/>
  <c r="D6181" i="1"/>
  <c r="F6180" i="1"/>
  <c r="E6180" i="1"/>
  <c r="D6180" i="1"/>
  <c r="F6179" i="1"/>
  <c r="E6179" i="1"/>
  <c r="D6179" i="1"/>
  <c r="F6178" i="1"/>
  <c r="E6178" i="1"/>
  <c r="D6178" i="1"/>
  <c r="F6177" i="1"/>
  <c r="E6177" i="1"/>
  <c r="D6177" i="1"/>
  <c r="F6176" i="1"/>
  <c r="E6176" i="1"/>
  <c r="D6176" i="1"/>
  <c r="F6175" i="1"/>
  <c r="E6175" i="1"/>
  <c r="D6175" i="1"/>
  <c r="F6174" i="1"/>
  <c r="E6174" i="1"/>
  <c r="D6174" i="1"/>
  <c r="F6173" i="1"/>
  <c r="E6173" i="1"/>
  <c r="D6173" i="1"/>
  <c r="F6172" i="1"/>
  <c r="E6172" i="1"/>
  <c r="D6172" i="1"/>
  <c r="F6171" i="1"/>
  <c r="E6171" i="1"/>
  <c r="D6171" i="1"/>
  <c r="F6170" i="1"/>
  <c r="E6170" i="1"/>
  <c r="D6170" i="1"/>
  <c r="F6169" i="1"/>
  <c r="E6169" i="1"/>
  <c r="D6169" i="1"/>
  <c r="F6168" i="1"/>
  <c r="E6168" i="1"/>
  <c r="D6168" i="1"/>
  <c r="F6167" i="1"/>
  <c r="E6167" i="1"/>
  <c r="D6167" i="1"/>
  <c r="F6166" i="1"/>
  <c r="E6166" i="1"/>
  <c r="D6166" i="1"/>
  <c r="F6165" i="1"/>
  <c r="E6165" i="1"/>
  <c r="D6165" i="1"/>
  <c r="F6164" i="1"/>
  <c r="E6164" i="1"/>
  <c r="D6164" i="1"/>
  <c r="F6163" i="1"/>
  <c r="E6163" i="1"/>
  <c r="D6163" i="1"/>
  <c r="F6162" i="1"/>
  <c r="E6162" i="1"/>
  <c r="D6162" i="1"/>
  <c r="F6161" i="1"/>
  <c r="E6161" i="1"/>
  <c r="D6161" i="1"/>
  <c r="F6160" i="1"/>
  <c r="E6160" i="1"/>
  <c r="D6160" i="1"/>
  <c r="F6159" i="1"/>
  <c r="E6159" i="1"/>
  <c r="D6159" i="1"/>
  <c r="F6158" i="1"/>
  <c r="E6158" i="1"/>
  <c r="D6158" i="1"/>
  <c r="F6157" i="1"/>
  <c r="E6157" i="1"/>
  <c r="D6157" i="1"/>
  <c r="F6156" i="1"/>
  <c r="E6156" i="1"/>
  <c r="D6156" i="1"/>
  <c r="F6155" i="1"/>
  <c r="E6155" i="1"/>
  <c r="D6155" i="1"/>
  <c r="F6154" i="1"/>
  <c r="E6154" i="1"/>
  <c r="D6154" i="1"/>
  <c r="F6153" i="1"/>
  <c r="E6153" i="1"/>
  <c r="D6153" i="1"/>
  <c r="F6152" i="1"/>
  <c r="E6152" i="1"/>
  <c r="D6152" i="1"/>
  <c r="F6151" i="1"/>
  <c r="E6151" i="1"/>
  <c r="D6151" i="1"/>
  <c r="F6150" i="1"/>
  <c r="E6150" i="1"/>
  <c r="D6150" i="1"/>
  <c r="F6149" i="1"/>
  <c r="E6149" i="1"/>
  <c r="D6149" i="1"/>
  <c r="F6148" i="1"/>
  <c r="E6148" i="1"/>
  <c r="D6148" i="1"/>
  <c r="F6147" i="1"/>
  <c r="E6147" i="1"/>
  <c r="D6147" i="1"/>
  <c r="F6146" i="1"/>
  <c r="E6146" i="1"/>
  <c r="D6146" i="1"/>
  <c r="F6145" i="1"/>
  <c r="E6145" i="1"/>
  <c r="D6145" i="1"/>
  <c r="F6144" i="1"/>
  <c r="E6144" i="1"/>
  <c r="D6144" i="1"/>
  <c r="F6143" i="1"/>
  <c r="E6143" i="1"/>
  <c r="D6143" i="1"/>
  <c r="F6142" i="1"/>
  <c r="E6142" i="1"/>
  <c r="D6142" i="1"/>
  <c r="F6141" i="1"/>
  <c r="E6141" i="1"/>
  <c r="D6141" i="1"/>
  <c r="F6140" i="1"/>
  <c r="E6140" i="1"/>
  <c r="D6140" i="1"/>
  <c r="F6139" i="1"/>
  <c r="E6139" i="1"/>
  <c r="D6139" i="1"/>
  <c r="F6138" i="1"/>
  <c r="E6138" i="1"/>
  <c r="D6138" i="1"/>
  <c r="F6137" i="1"/>
  <c r="E6137" i="1"/>
  <c r="D6137" i="1"/>
  <c r="F6136" i="1"/>
  <c r="E6136" i="1"/>
  <c r="D6136" i="1"/>
  <c r="F6135" i="1"/>
  <c r="E6135" i="1"/>
  <c r="D6135" i="1"/>
  <c r="F6134" i="1"/>
  <c r="E6134" i="1"/>
  <c r="D6134" i="1"/>
  <c r="F6133" i="1"/>
  <c r="E6133" i="1"/>
  <c r="D6133" i="1"/>
  <c r="F6132" i="1"/>
  <c r="E6132" i="1"/>
  <c r="D6132" i="1"/>
  <c r="F6131" i="1"/>
  <c r="E6131" i="1"/>
  <c r="D6131" i="1"/>
  <c r="F6130" i="1"/>
  <c r="E6130" i="1"/>
  <c r="D6130" i="1"/>
  <c r="F6129" i="1"/>
  <c r="E6129" i="1"/>
  <c r="D6129" i="1"/>
  <c r="F6128" i="1"/>
  <c r="E6128" i="1"/>
  <c r="D6128" i="1"/>
  <c r="F6127" i="1"/>
  <c r="E6127" i="1"/>
  <c r="D6127" i="1"/>
  <c r="F6126" i="1"/>
  <c r="E6126" i="1"/>
  <c r="D6126" i="1"/>
  <c r="F6125" i="1"/>
  <c r="E6125" i="1"/>
  <c r="D6125" i="1"/>
  <c r="F6124" i="1"/>
  <c r="E6124" i="1"/>
  <c r="D6124" i="1"/>
  <c r="F6123" i="1"/>
  <c r="E6123" i="1"/>
  <c r="D6123" i="1"/>
  <c r="F6122" i="1"/>
  <c r="E6122" i="1"/>
  <c r="D6122" i="1"/>
  <c r="F6121" i="1"/>
  <c r="E6121" i="1"/>
  <c r="D6121" i="1"/>
  <c r="F6120" i="1"/>
  <c r="E6120" i="1"/>
  <c r="D6120" i="1"/>
  <c r="F6119" i="1"/>
  <c r="E6119" i="1"/>
  <c r="D6119" i="1"/>
  <c r="F6118" i="1"/>
  <c r="E6118" i="1"/>
  <c r="D6118" i="1"/>
  <c r="F6117" i="1"/>
  <c r="E6117" i="1"/>
  <c r="D6117" i="1"/>
  <c r="F6116" i="1"/>
  <c r="E6116" i="1"/>
  <c r="D6116" i="1"/>
  <c r="F6115" i="1"/>
  <c r="E6115" i="1"/>
  <c r="D6115" i="1"/>
  <c r="F6114" i="1"/>
  <c r="E6114" i="1"/>
  <c r="D6114" i="1"/>
  <c r="F6113" i="1"/>
  <c r="E6113" i="1"/>
  <c r="D6113" i="1"/>
  <c r="F6112" i="1"/>
  <c r="E6112" i="1"/>
  <c r="D6112" i="1"/>
  <c r="F6111" i="1"/>
  <c r="E6111" i="1"/>
  <c r="D6111" i="1"/>
  <c r="F6110" i="1"/>
  <c r="E6110" i="1"/>
  <c r="D6110" i="1"/>
  <c r="F6109" i="1"/>
  <c r="E6109" i="1"/>
  <c r="D6109" i="1"/>
  <c r="F6108" i="1"/>
  <c r="E6108" i="1"/>
  <c r="D6108" i="1"/>
  <c r="F6107" i="1"/>
  <c r="E6107" i="1"/>
  <c r="D6107" i="1"/>
  <c r="F6106" i="1"/>
  <c r="E6106" i="1"/>
  <c r="D6106" i="1"/>
  <c r="F6105" i="1"/>
  <c r="E6105" i="1"/>
  <c r="D6105" i="1"/>
  <c r="F6104" i="1"/>
  <c r="E6104" i="1"/>
  <c r="D6104" i="1"/>
  <c r="F6103" i="1"/>
  <c r="E6103" i="1"/>
  <c r="D6103" i="1"/>
  <c r="F6102" i="1"/>
  <c r="E6102" i="1"/>
  <c r="D6102" i="1"/>
  <c r="F6101" i="1"/>
  <c r="E6101" i="1"/>
  <c r="D6101" i="1"/>
  <c r="F6100" i="1"/>
  <c r="E6100" i="1"/>
  <c r="D6100" i="1"/>
  <c r="F6099" i="1"/>
  <c r="E6099" i="1"/>
  <c r="D6099" i="1"/>
  <c r="F6098" i="1"/>
  <c r="E6098" i="1"/>
  <c r="D6098" i="1"/>
  <c r="F6097" i="1"/>
  <c r="E6097" i="1"/>
  <c r="D6097" i="1"/>
  <c r="F6096" i="1"/>
  <c r="E6096" i="1"/>
  <c r="D6096" i="1"/>
  <c r="F6095" i="1"/>
  <c r="E6095" i="1"/>
  <c r="D6095" i="1"/>
  <c r="F6094" i="1"/>
  <c r="E6094" i="1"/>
  <c r="D6094" i="1"/>
  <c r="F6093" i="1"/>
  <c r="E6093" i="1"/>
  <c r="D6093" i="1"/>
  <c r="F6092" i="1"/>
  <c r="E6092" i="1"/>
  <c r="D6092" i="1"/>
  <c r="F6091" i="1"/>
  <c r="E6091" i="1"/>
  <c r="D6091" i="1"/>
  <c r="F6090" i="1"/>
  <c r="E6090" i="1"/>
  <c r="D6090" i="1"/>
  <c r="F6089" i="1"/>
  <c r="E6089" i="1"/>
  <c r="D6089" i="1"/>
  <c r="F6088" i="1"/>
  <c r="E6088" i="1"/>
  <c r="D6088" i="1"/>
  <c r="F6087" i="1"/>
  <c r="E6087" i="1"/>
  <c r="D6087" i="1"/>
  <c r="F6086" i="1"/>
  <c r="E6086" i="1"/>
  <c r="D6086" i="1"/>
  <c r="F6085" i="1"/>
  <c r="E6085" i="1"/>
  <c r="D6085" i="1"/>
  <c r="F6084" i="1"/>
  <c r="E6084" i="1"/>
  <c r="D6084" i="1"/>
  <c r="F6083" i="1"/>
  <c r="E6083" i="1"/>
  <c r="D6083" i="1"/>
  <c r="F6082" i="1"/>
  <c r="E6082" i="1"/>
  <c r="D6082" i="1"/>
  <c r="F6081" i="1"/>
  <c r="E6081" i="1"/>
  <c r="D6081" i="1"/>
  <c r="F6080" i="1"/>
  <c r="E6080" i="1"/>
  <c r="D6080" i="1"/>
  <c r="F6079" i="1"/>
  <c r="E6079" i="1"/>
  <c r="D6079" i="1"/>
  <c r="F6078" i="1"/>
  <c r="E6078" i="1"/>
  <c r="D6078" i="1"/>
  <c r="F6077" i="1"/>
  <c r="E6077" i="1"/>
  <c r="D6077" i="1"/>
  <c r="F6076" i="1"/>
  <c r="E6076" i="1"/>
  <c r="D6076" i="1"/>
  <c r="F6075" i="1"/>
  <c r="E6075" i="1"/>
  <c r="D6075" i="1"/>
  <c r="F6074" i="1"/>
  <c r="E6074" i="1"/>
  <c r="D6074" i="1"/>
  <c r="F6073" i="1"/>
  <c r="E6073" i="1"/>
  <c r="D6073" i="1"/>
  <c r="F6072" i="1"/>
  <c r="E6072" i="1"/>
  <c r="D6072" i="1"/>
  <c r="F6071" i="1"/>
  <c r="E6071" i="1"/>
  <c r="D6071" i="1"/>
  <c r="F6070" i="1"/>
  <c r="E6070" i="1"/>
  <c r="D6070" i="1"/>
  <c r="F6069" i="1"/>
  <c r="E6069" i="1"/>
  <c r="D6069" i="1"/>
  <c r="F6068" i="1"/>
  <c r="E6068" i="1"/>
  <c r="D6068" i="1"/>
  <c r="F6067" i="1"/>
  <c r="E6067" i="1"/>
  <c r="D6067" i="1"/>
  <c r="F6066" i="1"/>
  <c r="E6066" i="1"/>
  <c r="D6066" i="1"/>
  <c r="F6065" i="1"/>
  <c r="E6065" i="1"/>
  <c r="D6065" i="1"/>
  <c r="F6064" i="1"/>
  <c r="E6064" i="1"/>
  <c r="D6064" i="1"/>
  <c r="F6063" i="1"/>
  <c r="E6063" i="1"/>
  <c r="D6063" i="1"/>
  <c r="F6062" i="1"/>
  <c r="E6062" i="1"/>
  <c r="D6062" i="1"/>
  <c r="F6061" i="1"/>
  <c r="E6061" i="1"/>
  <c r="D6061" i="1"/>
  <c r="F6060" i="1"/>
  <c r="E6060" i="1"/>
  <c r="D6060" i="1"/>
  <c r="F6059" i="1"/>
  <c r="E6059" i="1"/>
  <c r="D6059" i="1"/>
  <c r="F6058" i="1"/>
  <c r="E6058" i="1"/>
  <c r="D6058" i="1"/>
  <c r="F6057" i="1"/>
  <c r="E6057" i="1"/>
  <c r="D6057" i="1"/>
  <c r="F6056" i="1"/>
  <c r="E6056" i="1"/>
  <c r="D6056" i="1"/>
  <c r="F6055" i="1"/>
  <c r="E6055" i="1"/>
  <c r="D6055" i="1"/>
  <c r="F6054" i="1"/>
  <c r="E6054" i="1"/>
  <c r="D6054" i="1"/>
  <c r="F6053" i="1"/>
  <c r="E6053" i="1"/>
  <c r="D6053" i="1"/>
  <c r="F6052" i="1"/>
  <c r="E6052" i="1"/>
  <c r="D6052" i="1"/>
  <c r="F6051" i="1"/>
  <c r="E6051" i="1"/>
  <c r="D6051" i="1"/>
  <c r="F6050" i="1"/>
  <c r="E6050" i="1"/>
  <c r="D6050" i="1"/>
  <c r="F6049" i="1"/>
  <c r="E6049" i="1"/>
  <c r="D6049" i="1"/>
  <c r="F6048" i="1"/>
  <c r="E6048" i="1"/>
  <c r="D6048" i="1"/>
  <c r="F6047" i="1"/>
  <c r="E6047" i="1"/>
  <c r="D6047" i="1"/>
  <c r="F6046" i="1"/>
  <c r="E6046" i="1"/>
  <c r="D6046" i="1"/>
  <c r="F6045" i="1"/>
  <c r="E6045" i="1"/>
  <c r="D6045" i="1"/>
  <c r="F6044" i="1"/>
  <c r="E6044" i="1"/>
  <c r="D6044" i="1"/>
  <c r="F6043" i="1"/>
  <c r="E6043" i="1"/>
  <c r="D6043" i="1"/>
  <c r="F6042" i="1"/>
  <c r="E6042" i="1"/>
  <c r="D6042" i="1"/>
  <c r="F6041" i="1"/>
  <c r="E6041" i="1"/>
  <c r="D6041" i="1"/>
  <c r="F6040" i="1"/>
  <c r="E6040" i="1"/>
  <c r="D6040" i="1"/>
  <c r="F6039" i="1"/>
  <c r="E6039" i="1"/>
  <c r="D6039" i="1"/>
  <c r="F6038" i="1"/>
  <c r="E6038" i="1"/>
  <c r="D6038" i="1"/>
  <c r="F6037" i="1"/>
  <c r="E6037" i="1"/>
  <c r="D6037" i="1"/>
  <c r="F6036" i="1"/>
  <c r="E6036" i="1"/>
  <c r="D6036" i="1"/>
  <c r="F6035" i="1"/>
  <c r="E6035" i="1"/>
  <c r="D6035" i="1"/>
  <c r="F6034" i="1"/>
  <c r="E6034" i="1"/>
  <c r="D6034" i="1"/>
  <c r="F6033" i="1"/>
  <c r="E6033" i="1"/>
  <c r="D6033" i="1"/>
  <c r="F6032" i="1"/>
  <c r="E6032" i="1"/>
  <c r="D6032" i="1"/>
  <c r="F6031" i="1"/>
  <c r="E6031" i="1"/>
  <c r="D6031" i="1"/>
  <c r="F6030" i="1"/>
  <c r="E6030" i="1"/>
  <c r="D6030" i="1"/>
  <c r="F6029" i="1"/>
  <c r="E6029" i="1"/>
  <c r="D6029" i="1"/>
  <c r="F6028" i="1"/>
  <c r="E6028" i="1"/>
  <c r="D6028" i="1"/>
  <c r="F6027" i="1"/>
  <c r="E6027" i="1"/>
  <c r="D6027" i="1"/>
  <c r="F6026" i="1"/>
  <c r="E6026" i="1"/>
  <c r="D6026" i="1"/>
  <c r="F6025" i="1"/>
  <c r="E6025" i="1"/>
  <c r="D6025" i="1"/>
  <c r="F6024" i="1"/>
  <c r="E6024" i="1"/>
  <c r="D6024" i="1"/>
  <c r="F6023" i="1"/>
  <c r="E6023" i="1"/>
  <c r="D6023" i="1"/>
  <c r="F6022" i="1"/>
  <c r="E6022" i="1"/>
  <c r="D6022" i="1"/>
  <c r="F6021" i="1"/>
  <c r="E6021" i="1"/>
  <c r="D6021" i="1"/>
  <c r="F6020" i="1"/>
  <c r="E6020" i="1"/>
  <c r="D6020" i="1"/>
  <c r="F6019" i="1"/>
  <c r="E6019" i="1"/>
  <c r="D6019" i="1"/>
  <c r="F6018" i="1"/>
  <c r="E6018" i="1"/>
  <c r="D6018" i="1"/>
  <c r="F6017" i="1"/>
  <c r="E6017" i="1"/>
  <c r="D6017" i="1"/>
  <c r="F6016" i="1"/>
  <c r="E6016" i="1"/>
  <c r="D6016" i="1"/>
  <c r="F6015" i="1"/>
  <c r="E6015" i="1"/>
  <c r="D6015" i="1"/>
  <c r="F6014" i="1"/>
  <c r="E6014" i="1"/>
  <c r="D6014" i="1"/>
  <c r="F6013" i="1"/>
  <c r="E6013" i="1"/>
  <c r="D6013" i="1"/>
  <c r="F6012" i="1"/>
  <c r="E6012" i="1"/>
  <c r="D6012" i="1"/>
  <c r="F6011" i="1"/>
  <c r="E6011" i="1"/>
  <c r="D6011" i="1"/>
  <c r="F6010" i="1"/>
  <c r="E6010" i="1"/>
  <c r="D6010" i="1"/>
  <c r="F6009" i="1"/>
  <c r="E6009" i="1"/>
  <c r="D6009" i="1"/>
  <c r="F6008" i="1"/>
  <c r="E6008" i="1"/>
  <c r="D6008" i="1"/>
  <c r="F6007" i="1"/>
  <c r="E6007" i="1"/>
  <c r="D6007" i="1"/>
  <c r="F6006" i="1"/>
  <c r="E6006" i="1"/>
  <c r="D6006" i="1"/>
  <c r="F6005" i="1"/>
  <c r="E6005" i="1"/>
  <c r="D6005" i="1"/>
  <c r="F6004" i="1"/>
  <c r="E6004" i="1"/>
  <c r="D6004" i="1"/>
  <c r="F6003" i="1"/>
  <c r="E6003" i="1"/>
  <c r="D6003" i="1"/>
  <c r="F6002" i="1"/>
  <c r="E6002" i="1"/>
  <c r="D6002" i="1"/>
  <c r="F6001" i="1"/>
  <c r="E6001" i="1"/>
  <c r="D6001" i="1"/>
  <c r="F6000" i="1"/>
  <c r="E6000" i="1"/>
  <c r="D6000" i="1"/>
  <c r="F5999" i="1"/>
  <c r="E5999" i="1"/>
  <c r="D5999" i="1"/>
  <c r="F5998" i="1"/>
  <c r="E5998" i="1"/>
  <c r="D5998" i="1"/>
  <c r="F5997" i="1"/>
  <c r="E5997" i="1"/>
  <c r="D5997" i="1"/>
  <c r="F5996" i="1"/>
  <c r="E5996" i="1"/>
  <c r="D5996" i="1"/>
  <c r="F5995" i="1"/>
  <c r="E5995" i="1"/>
  <c r="D5995" i="1"/>
  <c r="F5994" i="1"/>
  <c r="E5994" i="1"/>
  <c r="D5994" i="1"/>
  <c r="F5993" i="1"/>
  <c r="E5993" i="1"/>
  <c r="D5993" i="1"/>
  <c r="F5992" i="1"/>
  <c r="E5992" i="1"/>
  <c r="D5992" i="1"/>
  <c r="F5991" i="1"/>
  <c r="E5991" i="1"/>
  <c r="D5991" i="1"/>
  <c r="F5990" i="1"/>
  <c r="E5990" i="1"/>
  <c r="D5990" i="1"/>
  <c r="F5989" i="1"/>
  <c r="E5989" i="1"/>
  <c r="D5989" i="1"/>
  <c r="F5988" i="1"/>
  <c r="E5988" i="1"/>
  <c r="D5988" i="1"/>
  <c r="F5987" i="1"/>
  <c r="E5987" i="1"/>
  <c r="D5987" i="1"/>
  <c r="F5986" i="1"/>
  <c r="E5986" i="1"/>
  <c r="D5986" i="1"/>
  <c r="F5985" i="1"/>
  <c r="E5985" i="1"/>
  <c r="D5985" i="1"/>
  <c r="F5984" i="1"/>
  <c r="E5984" i="1"/>
  <c r="D5984" i="1"/>
  <c r="F5983" i="1"/>
  <c r="E5983" i="1"/>
  <c r="D5983" i="1"/>
  <c r="F5982" i="1"/>
  <c r="E5982" i="1"/>
  <c r="D5982" i="1"/>
  <c r="F5981" i="1"/>
  <c r="E5981" i="1"/>
  <c r="D5981" i="1"/>
  <c r="F5980" i="1"/>
  <c r="E5980" i="1"/>
  <c r="D5980" i="1"/>
  <c r="F5979" i="1"/>
  <c r="E5979" i="1"/>
  <c r="D5979" i="1"/>
  <c r="F5978" i="1"/>
  <c r="E5978" i="1"/>
  <c r="D5978" i="1"/>
  <c r="F5977" i="1"/>
  <c r="E5977" i="1"/>
  <c r="D5977" i="1"/>
  <c r="F5976" i="1"/>
  <c r="E5976" i="1"/>
  <c r="D5976" i="1"/>
  <c r="F5975" i="1"/>
  <c r="E5975" i="1"/>
  <c r="D5975" i="1"/>
  <c r="F5974" i="1"/>
  <c r="E5974" i="1"/>
  <c r="D5974" i="1"/>
  <c r="F5973" i="1"/>
  <c r="E5973" i="1"/>
  <c r="D5973" i="1"/>
  <c r="F5972" i="1"/>
  <c r="E5972" i="1"/>
  <c r="D5972" i="1"/>
  <c r="F5971" i="1"/>
  <c r="E5971" i="1"/>
  <c r="D5971" i="1"/>
  <c r="F5970" i="1"/>
  <c r="E5970" i="1"/>
  <c r="D5970" i="1"/>
  <c r="F5969" i="1"/>
  <c r="E5969" i="1"/>
  <c r="D5969" i="1"/>
  <c r="F5968" i="1"/>
  <c r="E5968" i="1"/>
  <c r="D5968" i="1"/>
  <c r="F5967" i="1"/>
  <c r="E5967" i="1"/>
  <c r="D5967" i="1"/>
  <c r="F5966" i="1"/>
  <c r="E5966" i="1"/>
  <c r="D5966" i="1"/>
  <c r="F5965" i="1"/>
  <c r="E5965" i="1"/>
  <c r="D5965" i="1"/>
  <c r="F5964" i="1"/>
  <c r="E5964" i="1"/>
  <c r="D5964" i="1"/>
  <c r="F5963" i="1"/>
  <c r="E5963" i="1"/>
  <c r="D5963" i="1"/>
  <c r="F5962" i="1"/>
  <c r="E5962" i="1"/>
  <c r="D5962" i="1"/>
  <c r="F5961" i="1"/>
  <c r="E5961" i="1"/>
  <c r="D5961" i="1"/>
  <c r="F5960" i="1"/>
  <c r="E5960" i="1"/>
  <c r="D5960" i="1"/>
  <c r="F5959" i="1"/>
  <c r="E5959" i="1"/>
  <c r="D5959" i="1"/>
  <c r="F5958" i="1"/>
  <c r="E5958" i="1"/>
  <c r="D5958" i="1"/>
  <c r="F5957" i="1"/>
  <c r="E5957" i="1"/>
  <c r="D5957" i="1"/>
  <c r="F5956" i="1"/>
  <c r="E5956" i="1"/>
  <c r="D5956" i="1"/>
  <c r="F5955" i="1"/>
  <c r="E5955" i="1"/>
  <c r="D5955" i="1"/>
  <c r="F5954" i="1"/>
  <c r="E5954" i="1"/>
  <c r="D5954" i="1"/>
  <c r="F5953" i="1"/>
  <c r="E5953" i="1"/>
  <c r="D5953" i="1"/>
  <c r="F5952" i="1"/>
  <c r="E5952" i="1"/>
  <c r="D5952" i="1"/>
  <c r="F5951" i="1"/>
  <c r="E5951" i="1"/>
  <c r="D5951" i="1"/>
  <c r="F5950" i="1"/>
  <c r="E5950" i="1"/>
  <c r="D5950" i="1"/>
  <c r="F5949" i="1"/>
  <c r="E5949" i="1"/>
  <c r="D5949" i="1"/>
  <c r="F5948" i="1"/>
  <c r="E5948" i="1"/>
  <c r="D5948" i="1"/>
  <c r="F5947" i="1"/>
  <c r="E5947" i="1"/>
  <c r="D5947" i="1"/>
  <c r="F5946" i="1"/>
  <c r="E5946" i="1"/>
  <c r="D5946" i="1"/>
  <c r="F5945" i="1"/>
  <c r="E5945" i="1"/>
  <c r="D5945" i="1"/>
  <c r="F5944" i="1"/>
  <c r="E5944" i="1"/>
  <c r="D5944" i="1"/>
  <c r="F5943" i="1"/>
  <c r="E5943" i="1"/>
  <c r="D5943" i="1"/>
  <c r="F5942" i="1"/>
  <c r="E5942" i="1"/>
  <c r="D5942" i="1"/>
  <c r="F5941" i="1"/>
  <c r="E5941" i="1"/>
  <c r="D5941" i="1"/>
  <c r="F5940" i="1"/>
  <c r="E5940" i="1"/>
  <c r="D5940" i="1"/>
  <c r="F5939" i="1"/>
  <c r="E5939" i="1"/>
  <c r="D5939" i="1"/>
  <c r="F5938" i="1"/>
  <c r="E5938" i="1"/>
  <c r="D5938" i="1"/>
  <c r="F5937" i="1"/>
  <c r="E5937" i="1"/>
  <c r="D5937" i="1"/>
  <c r="F5936" i="1"/>
  <c r="E5936" i="1"/>
  <c r="D5936" i="1"/>
  <c r="F5935" i="1"/>
  <c r="E5935" i="1"/>
  <c r="D5935" i="1"/>
  <c r="F5934" i="1"/>
  <c r="E5934" i="1"/>
  <c r="D5934" i="1"/>
  <c r="F5933" i="1"/>
  <c r="E5933" i="1"/>
  <c r="D5933" i="1"/>
  <c r="F5932" i="1"/>
  <c r="E5932" i="1"/>
  <c r="D5932" i="1"/>
  <c r="F5931" i="1"/>
  <c r="E5931" i="1"/>
  <c r="D5931" i="1"/>
  <c r="F5930" i="1"/>
  <c r="E5930" i="1"/>
  <c r="D5930" i="1"/>
  <c r="F5929" i="1"/>
  <c r="E5929" i="1"/>
  <c r="D5929" i="1"/>
  <c r="F5928" i="1"/>
  <c r="E5928" i="1"/>
  <c r="D5928" i="1"/>
  <c r="F5927" i="1"/>
  <c r="E5927" i="1"/>
  <c r="D5927" i="1"/>
  <c r="F5926" i="1"/>
  <c r="E5926" i="1"/>
  <c r="D5926" i="1"/>
  <c r="F5925" i="1"/>
  <c r="E5925" i="1"/>
  <c r="D5925" i="1"/>
  <c r="F5924" i="1"/>
  <c r="E5924" i="1"/>
  <c r="D5924" i="1"/>
  <c r="F5923" i="1"/>
  <c r="E5923" i="1"/>
  <c r="D5923" i="1"/>
  <c r="F5922" i="1"/>
  <c r="E5922" i="1"/>
  <c r="D5922" i="1"/>
  <c r="F5921" i="1"/>
  <c r="E5921" i="1"/>
  <c r="D5921" i="1"/>
  <c r="F5920" i="1"/>
  <c r="E5920" i="1"/>
  <c r="D5920" i="1"/>
  <c r="F5919" i="1"/>
  <c r="E5919" i="1"/>
  <c r="D5919" i="1"/>
  <c r="F5918" i="1"/>
  <c r="E5918" i="1"/>
  <c r="D5918" i="1"/>
  <c r="F5917" i="1"/>
  <c r="E5917" i="1"/>
  <c r="D5917" i="1"/>
  <c r="F5916" i="1"/>
  <c r="E5916" i="1"/>
  <c r="D5916" i="1"/>
  <c r="F5915" i="1"/>
  <c r="E5915" i="1"/>
  <c r="D5915" i="1"/>
  <c r="F5914" i="1"/>
  <c r="E5914" i="1"/>
  <c r="D5914" i="1"/>
  <c r="F5913" i="1"/>
  <c r="E5913" i="1"/>
  <c r="D5913" i="1"/>
  <c r="F5912" i="1"/>
  <c r="E5912" i="1"/>
  <c r="D5912" i="1"/>
  <c r="F5911" i="1"/>
  <c r="E5911" i="1"/>
  <c r="D5911" i="1"/>
  <c r="F5910" i="1"/>
  <c r="E5910" i="1"/>
  <c r="D5910" i="1"/>
  <c r="F5909" i="1"/>
  <c r="E5909" i="1"/>
  <c r="D5909" i="1"/>
  <c r="F5908" i="1"/>
  <c r="E5908" i="1"/>
  <c r="D5908" i="1"/>
  <c r="F5907" i="1"/>
  <c r="E5907" i="1"/>
  <c r="D5907" i="1"/>
  <c r="F5906" i="1"/>
  <c r="E5906" i="1"/>
  <c r="D5906" i="1"/>
  <c r="F5905" i="1"/>
  <c r="E5905" i="1"/>
  <c r="D5905" i="1"/>
  <c r="F5904" i="1"/>
  <c r="E5904" i="1"/>
  <c r="D5904" i="1"/>
  <c r="F5903" i="1"/>
  <c r="E5903" i="1"/>
  <c r="D5903" i="1"/>
  <c r="F5902" i="1"/>
  <c r="E5902" i="1"/>
  <c r="D5902" i="1"/>
  <c r="F5901" i="1"/>
  <c r="E5901" i="1"/>
  <c r="D5901" i="1"/>
  <c r="F5900" i="1"/>
  <c r="E5900" i="1"/>
  <c r="D5900" i="1"/>
  <c r="F5899" i="1"/>
  <c r="E5899" i="1"/>
  <c r="D5899" i="1"/>
  <c r="F5898" i="1"/>
  <c r="E5898" i="1"/>
  <c r="D5898" i="1"/>
  <c r="F5897" i="1"/>
  <c r="E5897" i="1"/>
  <c r="D5897" i="1"/>
  <c r="F5896" i="1"/>
  <c r="E5896" i="1"/>
  <c r="D5896" i="1"/>
  <c r="F5895" i="1"/>
  <c r="E5895" i="1"/>
  <c r="D5895" i="1"/>
  <c r="F5894" i="1"/>
  <c r="E5894" i="1"/>
  <c r="D5894" i="1"/>
  <c r="F5893" i="1"/>
  <c r="E5893" i="1"/>
  <c r="D5893" i="1"/>
  <c r="F5892" i="1"/>
  <c r="E5892" i="1"/>
  <c r="D5892" i="1"/>
  <c r="F5891" i="1"/>
  <c r="E5891" i="1"/>
  <c r="D5891" i="1"/>
  <c r="F5890" i="1"/>
  <c r="E5890" i="1"/>
  <c r="D5890" i="1"/>
  <c r="F5889" i="1"/>
  <c r="E5889" i="1"/>
  <c r="D5889" i="1"/>
  <c r="F5888" i="1"/>
  <c r="E5888" i="1"/>
  <c r="D5888" i="1"/>
  <c r="F5887" i="1"/>
  <c r="E5887" i="1"/>
  <c r="D5887" i="1"/>
  <c r="F5886" i="1"/>
  <c r="E5886" i="1"/>
  <c r="D5886" i="1"/>
  <c r="F5885" i="1"/>
  <c r="E5885" i="1"/>
  <c r="D5885" i="1"/>
  <c r="F5884" i="1"/>
  <c r="E5884" i="1"/>
  <c r="D5884" i="1"/>
  <c r="F5883" i="1"/>
  <c r="E5883" i="1"/>
  <c r="D5883" i="1"/>
  <c r="F5882" i="1"/>
  <c r="E5882" i="1"/>
  <c r="D5882" i="1"/>
  <c r="F5881" i="1"/>
  <c r="E5881" i="1"/>
  <c r="D5881" i="1"/>
  <c r="F5880" i="1"/>
  <c r="E5880" i="1"/>
  <c r="D5880" i="1"/>
  <c r="F5879" i="1"/>
  <c r="E5879" i="1"/>
  <c r="D5879" i="1"/>
  <c r="F5878" i="1"/>
  <c r="E5878" i="1"/>
  <c r="D5878" i="1"/>
  <c r="F5877" i="1"/>
  <c r="E5877" i="1"/>
  <c r="D5877" i="1"/>
  <c r="F5876" i="1"/>
  <c r="E5876" i="1"/>
  <c r="D5876" i="1"/>
  <c r="F5875" i="1"/>
  <c r="E5875" i="1"/>
  <c r="D5875" i="1"/>
  <c r="F5874" i="1"/>
  <c r="E5874" i="1"/>
  <c r="D5874" i="1"/>
  <c r="F5873" i="1"/>
  <c r="E5873" i="1"/>
  <c r="D5873" i="1"/>
  <c r="F5872" i="1"/>
  <c r="E5872" i="1"/>
  <c r="D5872" i="1"/>
  <c r="F5871" i="1"/>
  <c r="E5871" i="1"/>
  <c r="D5871" i="1"/>
  <c r="F5870" i="1"/>
  <c r="E5870" i="1"/>
  <c r="D5870" i="1"/>
  <c r="F5869" i="1"/>
  <c r="E5869" i="1"/>
  <c r="D5869" i="1"/>
  <c r="F5868" i="1"/>
  <c r="E5868" i="1"/>
  <c r="D5868" i="1"/>
  <c r="F5867" i="1"/>
  <c r="E5867" i="1"/>
  <c r="D5867" i="1"/>
  <c r="F5866" i="1"/>
  <c r="E5866" i="1"/>
  <c r="D5866" i="1"/>
  <c r="F5865" i="1"/>
  <c r="E5865" i="1"/>
  <c r="D5865" i="1"/>
  <c r="F5864" i="1"/>
  <c r="E5864" i="1"/>
  <c r="D5864" i="1"/>
  <c r="F5863" i="1"/>
  <c r="E5863" i="1"/>
  <c r="D5863" i="1"/>
  <c r="F5862" i="1"/>
  <c r="E5862" i="1"/>
  <c r="D5862" i="1"/>
  <c r="F5861" i="1"/>
  <c r="E5861" i="1"/>
  <c r="D5861" i="1"/>
  <c r="F5860" i="1"/>
  <c r="E5860" i="1"/>
  <c r="D5860" i="1"/>
  <c r="F5859" i="1"/>
  <c r="E5859" i="1"/>
  <c r="D5859" i="1"/>
  <c r="F5858" i="1"/>
  <c r="E5858" i="1"/>
  <c r="D5858" i="1"/>
  <c r="F5857" i="1"/>
  <c r="E5857" i="1"/>
  <c r="D5857" i="1"/>
  <c r="F5856" i="1"/>
  <c r="E5856" i="1"/>
  <c r="D5856" i="1"/>
  <c r="F5855" i="1"/>
  <c r="E5855" i="1"/>
  <c r="D5855" i="1"/>
  <c r="F5854" i="1"/>
  <c r="E5854" i="1"/>
  <c r="D5854" i="1"/>
  <c r="F5853" i="1"/>
  <c r="E5853" i="1"/>
  <c r="D5853" i="1"/>
  <c r="F5852" i="1"/>
  <c r="E5852" i="1"/>
  <c r="D5852" i="1"/>
  <c r="F5851" i="1"/>
  <c r="E5851" i="1"/>
  <c r="D5851" i="1"/>
  <c r="F5850" i="1"/>
  <c r="E5850" i="1"/>
  <c r="D5850" i="1"/>
  <c r="F5849" i="1"/>
  <c r="E5849" i="1"/>
  <c r="D5849" i="1"/>
  <c r="F5848" i="1"/>
  <c r="E5848" i="1"/>
  <c r="D5848" i="1"/>
  <c r="F5847" i="1"/>
  <c r="E5847" i="1"/>
  <c r="D5847" i="1"/>
  <c r="F5846" i="1"/>
  <c r="E5846" i="1"/>
  <c r="D5846" i="1"/>
  <c r="F5845" i="1"/>
  <c r="E5845" i="1"/>
  <c r="D5845" i="1"/>
  <c r="F5844" i="1"/>
  <c r="E5844" i="1"/>
  <c r="D5844" i="1"/>
  <c r="F5843" i="1"/>
  <c r="E5843" i="1"/>
  <c r="D5843" i="1"/>
  <c r="F5842" i="1"/>
  <c r="E5842" i="1"/>
  <c r="D5842" i="1"/>
  <c r="F5841" i="1"/>
  <c r="E5841" i="1"/>
  <c r="D5841" i="1"/>
  <c r="F5840" i="1"/>
  <c r="E5840" i="1"/>
  <c r="D5840" i="1"/>
  <c r="F5839" i="1"/>
  <c r="E5839" i="1"/>
  <c r="D5839" i="1"/>
  <c r="F5838" i="1"/>
  <c r="E5838" i="1"/>
  <c r="D5838" i="1"/>
  <c r="F5837" i="1"/>
  <c r="E5837" i="1"/>
  <c r="D5837" i="1"/>
  <c r="F5836" i="1"/>
  <c r="E5836" i="1"/>
  <c r="D5836" i="1"/>
  <c r="F5835" i="1"/>
  <c r="E5835" i="1"/>
  <c r="D5835" i="1"/>
  <c r="F5834" i="1"/>
  <c r="E5834" i="1"/>
  <c r="D5834" i="1"/>
  <c r="F5833" i="1"/>
  <c r="E5833" i="1"/>
  <c r="D5833" i="1"/>
  <c r="F5832" i="1"/>
  <c r="E5832" i="1"/>
  <c r="D5832" i="1"/>
  <c r="F5831" i="1"/>
  <c r="E5831" i="1"/>
  <c r="D5831" i="1"/>
  <c r="F5830" i="1"/>
  <c r="E5830" i="1"/>
  <c r="D5830" i="1"/>
  <c r="F5829" i="1"/>
  <c r="E5829" i="1"/>
  <c r="D5829" i="1"/>
  <c r="F5828" i="1"/>
  <c r="E5828" i="1"/>
  <c r="D5828" i="1"/>
  <c r="F5827" i="1"/>
  <c r="E5827" i="1"/>
  <c r="D5827" i="1"/>
  <c r="F5826" i="1"/>
  <c r="E5826" i="1"/>
  <c r="D5826" i="1"/>
  <c r="F5825" i="1"/>
  <c r="E5825" i="1"/>
  <c r="D5825" i="1"/>
  <c r="F5824" i="1"/>
  <c r="E5824" i="1"/>
  <c r="D5824" i="1"/>
  <c r="F5823" i="1"/>
  <c r="E5823" i="1"/>
  <c r="D5823" i="1"/>
  <c r="F5822" i="1"/>
  <c r="E5822" i="1"/>
  <c r="D5822" i="1"/>
  <c r="F5821" i="1"/>
  <c r="E5821" i="1"/>
  <c r="D5821" i="1"/>
  <c r="F5820" i="1"/>
  <c r="E5820" i="1"/>
  <c r="D5820" i="1"/>
  <c r="F5819" i="1"/>
  <c r="E5819" i="1"/>
  <c r="D5819" i="1"/>
  <c r="F5818" i="1"/>
  <c r="E5818" i="1"/>
  <c r="D5818" i="1"/>
  <c r="F5817" i="1"/>
  <c r="E5817" i="1"/>
  <c r="D5817" i="1"/>
  <c r="F5816" i="1"/>
  <c r="E5816" i="1"/>
  <c r="D5816" i="1"/>
  <c r="F5815" i="1"/>
  <c r="E5815" i="1"/>
  <c r="D5815" i="1"/>
  <c r="F5814" i="1"/>
  <c r="E5814" i="1"/>
  <c r="D5814" i="1"/>
  <c r="F5813" i="1"/>
  <c r="E5813" i="1"/>
  <c r="D5813" i="1"/>
  <c r="F5812" i="1"/>
  <c r="E5812" i="1"/>
  <c r="D5812" i="1"/>
  <c r="F5811" i="1"/>
  <c r="E5811" i="1"/>
  <c r="D5811" i="1"/>
  <c r="F5810" i="1"/>
  <c r="E5810" i="1"/>
  <c r="D5810" i="1"/>
  <c r="F5809" i="1"/>
  <c r="E5809" i="1"/>
  <c r="D5809" i="1"/>
  <c r="F5808" i="1"/>
  <c r="E5808" i="1"/>
  <c r="D5808" i="1"/>
  <c r="F5807" i="1"/>
  <c r="E5807" i="1"/>
  <c r="D5807" i="1"/>
  <c r="F5806" i="1"/>
  <c r="E5806" i="1"/>
  <c r="D5806" i="1"/>
  <c r="F5805" i="1"/>
  <c r="E5805" i="1"/>
  <c r="D5805" i="1"/>
  <c r="F5804" i="1"/>
  <c r="E5804" i="1"/>
  <c r="D5804" i="1"/>
  <c r="F5803" i="1"/>
  <c r="E5803" i="1"/>
  <c r="D5803" i="1"/>
  <c r="F5802" i="1"/>
  <c r="E5802" i="1"/>
  <c r="D5802" i="1"/>
  <c r="F5801" i="1"/>
  <c r="E5801" i="1"/>
  <c r="D5801" i="1"/>
  <c r="F5800" i="1"/>
  <c r="E5800" i="1"/>
  <c r="D5800" i="1"/>
  <c r="F5799" i="1"/>
  <c r="E5799" i="1"/>
  <c r="D5799" i="1"/>
  <c r="F5798" i="1"/>
  <c r="E5798" i="1"/>
  <c r="D5798" i="1"/>
  <c r="F5797" i="1"/>
  <c r="E5797" i="1"/>
  <c r="D5797" i="1"/>
  <c r="F5796" i="1"/>
  <c r="E5796" i="1"/>
  <c r="D5796" i="1"/>
  <c r="F5795" i="1"/>
  <c r="E5795" i="1"/>
  <c r="D5795" i="1"/>
  <c r="F5794" i="1"/>
  <c r="E5794" i="1"/>
  <c r="D5794" i="1"/>
  <c r="F5793" i="1"/>
  <c r="E5793" i="1"/>
  <c r="D5793" i="1"/>
  <c r="F5792" i="1"/>
  <c r="E5792" i="1"/>
  <c r="D5792" i="1"/>
  <c r="F5791" i="1"/>
  <c r="E5791" i="1"/>
  <c r="D5791" i="1"/>
  <c r="F5790" i="1"/>
  <c r="E5790" i="1"/>
  <c r="D5790" i="1"/>
  <c r="F5789" i="1"/>
  <c r="E5789" i="1"/>
  <c r="D5789" i="1"/>
  <c r="F5788" i="1"/>
  <c r="E5788" i="1"/>
  <c r="D5788" i="1"/>
  <c r="F5787" i="1"/>
  <c r="E5787" i="1"/>
  <c r="D5787" i="1"/>
  <c r="F5786" i="1"/>
  <c r="E5786" i="1"/>
  <c r="D5786" i="1"/>
  <c r="F5785" i="1"/>
  <c r="E5785" i="1"/>
  <c r="D5785" i="1"/>
  <c r="F5784" i="1"/>
  <c r="E5784" i="1"/>
  <c r="D5784" i="1"/>
  <c r="F5783" i="1"/>
  <c r="E5783" i="1"/>
  <c r="D5783" i="1"/>
  <c r="F5782" i="1"/>
  <c r="E5782" i="1"/>
  <c r="D5782" i="1"/>
  <c r="F5781" i="1"/>
  <c r="E5781" i="1"/>
  <c r="D5781" i="1"/>
  <c r="F5780" i="1"/>
  <c r="E5780" i="1"/>
  <c r="D5780" i="1"/>
  <c r="F5779" i="1"/>
  <c r="E5779" i="1"/>
  <c r="D5779" i="1"/>
  <c r="F5778" i="1"/>
  <c r="E5778" i="1"/>
  <c r="D5778" i="1"/>
  <c r="F5777" i="1"/>
  <c r="E5777" i="1"/>
  <c r="D5777" i="1"/>
  <c r="F5776" i="1"/>
  <c r="E5776" i="1"/>
  <c r="D5776" i="1"/>
  <c r="F5775" i="1"/>
  <c r="E5775" i="1"/>
  <c r="D5775" i="1"/>
  <c r="F5774" i="1"/>
  <c r="E5774" i="1"/>
  <c r="D5774" i="1"/>
  <c r="F5773" i="1"/>
  <c r="E5773" i="1"/>
  <c r="D5773" i="1"/>
  <c r="F5772" i="1"/>
  <c r="E5772" i="1"/>
  <c r="D5772" i="1"/>
  <c r="F5771" i="1"/>
  <c r="E5771" i="1"/>
  <c r="D5771" i="1"/>
  <c r="F5770" i="1"/>
  <c r="E5770" i="1"/>
  <c r="D5770" i="1"/>
  <c r="F5769" i="1"/>
  <c r="E5769" i="1"/>
  <c r="D5769" i="1"/>
  <c r="F5768" i="1"/>
  <c r="E5768" i="1"/>
  <c r="D5768" i="1"/>
  <c r="F5767" i="1"/>
  <c r="E5767" i="1"/>
  <c r="D5767" i="1"/>
  <c r="F5766" i="1"/>
  <c r="E5766" i="1"/>
  <c r="D5766" i="1"/>
  <c r="F5765" i="1"/>
  <c r="E5765" i="1"/>
  <c r="D5765" i="1"/>
  <c r="F5764" i="1"/>
  <c r="E5764" i="1"/>
  <c r="D5764" i="1"/>
  <c r="F5763" i="1"/>
  <c r="E5763" i="1"/>
  <c r="D5763" i="1"/>
  <c r="F5762" i="1"/>
  <c r="E5762" i="1"/>
  <c r="D5762" i="1"/>
  <c r="F5761" i="1"/>
  <c r="E5761" i="1"/>
  <c r="D5761" i="1"/>
  <c r="F5760" i="1"/>
  <c r="E5760" i="1"/>
  <c r="D5760" i="1"/>
  <c r="F5759" i="1"/>
  <c r="E5759" i="1"/>
  <c r="D5759" i="1"/>
  <c r="F5758" i="1"/>
  <c r="E5758" i="1"/>
  <c r="D5758" i="1"/>
  <c r="F5757" i="1"/>
  <c r="E5757" i="1"/>
  <c r="D5757" i="1"/>
  <c r="F5756" i="1"/>
  <c r="E5756" i="1"/>
  <c r="D5756" i="1"/>
  <c r="F5755" i="1"/>
  <c r="E5755" i="1"/>
  <c r="D5755" i="1"/>
  <c r="F5754" i="1"/>
  <c r="E5754" i="1"/>
  <c r="D5754" i="1"/>
  <c r="F5753" i="1"/>
  <c r="E5753" i="1"/>
  <c r="D5753" i="1"/>
  <c r="F5752" i="1"/>
  <c r="E5752" i="1"/>
  <c r="D5752" i="1"/>
  <c r="F5751" i="1"/>
  <c r="E5751" i="1"/>
  <c r="D5751" i="1"/>
  <c r="F5750" i="1"/>
  <c r="E5750" i="1"/>
  <c r="D5750" i="1"/>
  <c r="F5749" i="1"/>
  <c r="E5749" i="1"/>
  <c r="D5749" i="1"/>
  <c r="F5748" i="1"/>
  <c r="E5748" i="1"/>
  <c r="D5748" i="1"/>
  <c r="F5747" i="1"/>
  <c r="E5747" i="1"/>
  <c r="D5747" i="1"/>
  <c r="F5746" i="1"/>
  <c r="E5746" i="1"/>
  <c r="D5746" i="1"/>
  <c r="F5745" i="1"/>
  <c r="E5745" i="1"/>
  <c r="D5745" i="1"/>
  <c r="F5744" i="1"/>
  <c r="E5744" i="1"/>
  <c r="D5744" i="1"/>
  <c r="F5743" i="1"/>
  <c r="E5743" i="1"/>
  <c r="D5743" i="1"/>
  <c r="F5742" i="1"/>
  <c r="E5742" i="1"/>
  <c r="D5742" i="1"/>
  <c r="F5741" i="1"/>
  <c r="E5741" i="1"/>
  <c r="D5741" i="1"/>
  <c r="F5740" i="1"/>
  <c r="E5740" i="1"/>
  <c r="D5740" i="1"/>
  <c r="F5739" i="1"/>
  <c r="E5739" i="1"/>
  <c r="D5739" i="1"/>
  <c r="F5738" i="1"/>
  <c r="E5738" i="1"/>
  <c r="D5738" i="1"/>
  <c r="F5737" i="1"/>
  <c r="E5737" i="1"/>
  <c r="D5737" i="1"/>
  <c r="F5736" i="1"/>
  <c r="E5736" i="1"/>
  <c r="D5736" i="1"/>
  <c r="F5735" i="1"/>
  <c r="E5735" i="1"/>
  <c r="D5735" i="1"/>
  <c r="F5734" i="1"/>
  <c r="E5734" i="1"/>
  <c r="D5734" i="1"/>
  <c r="F5733" i="1"/>
  <c r="E5733" i="1"/>
  <c r="D5733" i="1"/>
  <c r="F5732" i="1"/>
  <c r="E5732" i="1"/>
  <c r="D5732" i="1"/>
  <c r="F5731" i="1"/>
  <c r="E5731" i="1"/>
  <c r="D5731" i="1"/>
  <c r="F5730" i="1"/>
  <c r="E5730" i="1"/>
  <c r="D5730" i="1"/>
  <c r="F5729" i="1"/>
  <c r="E5729" i="1"/>
  <c r="D5729" i="1"/>
  <c r="F5728" i="1"/>
  <c r="E5728" i="1"/>
  <c r="D5728" i="1"/>
  <c r="F5727" i="1"/>
  <c r="E5727" i="1"/>
  <c r="D5727" i="1"/>
  <c r="F5726" i="1"/>
  <c r="E5726" i="1"/>
  <c r="D5726" i="1"/>
  <c r="F5725" i="1"/>
  <c r="E5725" i="1"/>
  <c r="D5725" i="1"/>
  <c r="F5724" i="1"/>
  <c r="E5724" i="1"/>
  <c r="D5724" i="1"/>
  <c r="F5723" i="1"/>
  <c r="E5723" i="1"/>
  <c r="D5723" i="1"/>
  <c r="F5722" i="1"/>
  <c r="E5722" i="1"/>
  <c r="D5722" i="1"/>
  <c r="F5721" i="1"/>
  <c r="E5721" i="1"/>
  <c r="D5721" i="1"/>
  <c r="F5720" i="1"/>
  <c r="E5720" i="1"/>
  <c r="D5720" i="1"/>
  <c r="F5719" i="1"/>
  <c r="E5719" i="1"/>
  <c r="D5719" i="1"/>
  <c r="F5718" i="1"/>
  <c r="E5718" i="1"/>
  <c r="D5718" i="1"/>
  <c r="F5717" i="1"/>
  <c r="E5717" i="1"/>
  <c r="D5717" i="1"/>
  <c r="F5716" i="1"/>
  <c r="E5716" i="1"/>
  <c r="D5716" i="1"/>
  <c r="F5715" i="1"/>
  <c r="E5715" i="1"/>
  <c r="D5715" i="1"/>
  <c r="F5714" i="1"/>
  <c r="E5714" i="1"/>
  <c r="D5714" i="1"/>
  <c r="F5713" i="1"/>
  <c r="E5713" i="1"/>
  <c r="D5713" i="1"/>
  <c r="F5712" i="1"/>
  <c r="E5712" i="1"/>
  <c r="D5712" i="1"/>
  <c r="F5711" i="1"/>
  <c r="E5711" i="1"/>
  <c r="D5711" i="1"/>
  <c r="F5710" i="1"/>
  <c r="E5710" i="1"/>
  <c r="D5710" i="1"/>
  <c r="F5709" i="1"/>
  <c r="E5709" i="1"/>
  <c r="D5709" i="1"/>
  <c r="F5708" i="1"/>
  <c r="E5708" i="1"/>
  <c r="D5708" i="1"/>
  <c r="F5707" i="1"/>
  <c r="E5707" i="1"/>
  <c r="D5707" i="1"/>
  <c r="F5706" i="1"/>
  <c r="E5706" i="1"/>
  <c r="D5706" i="1"/>
  <c r="F5705" i="1"/>
  <c r="E5705" i="1"/>
  <c r="D5705" i="1"/>
  <c r="F5704" i="1"/>
  <c r="E5704" i="1"/>
  <c r="D5704" i="1"/>
  <c r="F5703" i="1"/>
  <c r="E5703" i="1"/>
  <c r="D5703" i="1"/>
  <c r="F5702" i="1"/>
  <c r="E5702" i="1"/>
  <c r="D5702" i="1"/>
  <c r="F5701" i="1"/>
  <c r="E5701" i="1"/>
  <c r="D5701" i="1"/>
  <c r="F5700" i="1"/>
  <c r="E5700" i="1"/>
  <c r="D5700" i="1"/>
  <c r="F5699" i="1"/>
  <c r="E5699" i="1"/>
  <c r="D5699" i="1"/>
  <c r="F5698" i="1"/>
  <c r="E5698" i="1"/>
  <c r="D5698" i="1"/>
  <c r="F5697" i="1"/>
  <c r="E5697" i="1"/>
  <c r="D5697" i="1"/>
  <c r="F5696" i="1"/>
  <c r="E5696" i="1"/>
  <c r="D5696" i="1"/>
  <c r="F5695" i="1"/>
  <c r="E5695" i="1"/>
  <c r="D5695" i="1"/>
  <c r="F5694" i="1"/>
  <c r="E5694" i="1"/>
  <c r="D5694" i="1"/>
  <c r="F5693" i="1"/>
  <c r="E5693" i="1"/>
  <c r="D5693" i="1"/>
  <c r="F5692" i="1"/>
  <c r="E5692" i="1"/>
  <c r="D5692" i="1"/>
  <c r="F5691" i="1"/>
  <c r="E5691" i="1"/>
  <c r="D5691" i="1"/>
  <c r="F5690" i="1"/>
  <c r="E5690" i="1"/>
  <c r="D5690" i="1"/>
  <c r="F5689" i="1"/>
  <c r="E5689" i="1"/>
  <c r="D5689" i="1"/>
  <c r="F5688" i="1"/>
  <c r="E5688" i="1"/>
  <c r="D5688" i="1"/>
  <c r="F5687" i="1"/>
  <c r="E5687" i="1"/>
  <c r="D5687" i="1"/>
  <c r="F5686" i="1"/>
  <c r="E5686" i="1"/>
  <c r="D5686" i="1"/>
  <c r="F5685" i="1"/>
  <c r="E5685" i="1"/>
  <c r="D5685" i="1"/>
  <c r="F5684" i="1"/>
  <c r="E5684" i="1"/>
  <c r="D5684" i="1"/>
  <c r="F5683" i="1"/>
  <c r="E5683" i="1"/>
  <c r="D5683" i="1"/>
  <c r="F5682" i="1"/>
  <c r="E5682" i="1"/>
  <c r="D5682" i="1"/>
  <c r="F5681" i="1"/>
  <c r="E5681" i="1"/>
  <c r="D5681" i="1"/>
  <c r="F5680" i="1"/>
  <c r="E5680" i="1"/>
  <c r="D5680" i="1"/>
  <c r="F5679" i="1"/>
  <c r="E5679" i="1"/>
  <c r="D5679" i="1"/>
  <c r="F5678" i="1"/>
  <c r="E5678" i="1"/>
  <c r="D5678" i="1"/>
  <c r="F5677" i="1"/>
  <c r="E5677" i="1"/>
  <c r="D5677" i="1"/>
  <c r="F5676" i="1"/>
  <c r="E5676" i="1"/>
  <c r="D5676" i="1"/>
  <c r="F5675" i="1"/>
  <c r="E5675" i="1"/>
  <c r="D5675" i="1"/>
  <c r="F5674" i="1"/>
  <c r="E5674" i="1"/>
  <c r="D5674" i="1"/>
  <c r="F5673" i="1"/>
  <c r="E5673" i="1"/>
  <c r="D5673" i="1"/>
  <c r="F5672" i="1"/>
  <c r="E5672" i="1"/>
  <c r="D5672" i="1"/>
  <c r="F5671" i="1"/>
  <c r="E5671" i="1"/>
  <c r="D5671" i="1"/>
  <c r="F5670" i="1"/>
  <c r="E5670" i="1"/>
  <c r="D5670" i="1"/>
  <c r="F5669" i="1"/>
  <c r="E5669" i="1"/>
  <c r="D5669" i="1"/>
  <c r="F5668" i="1"/>
  <c r="E5668" i="1"/>
  <c r="D5668" i="1"/>
  <c r="F5667" i="1"/>
  <c r="E5667" i="1"/>
  <c r="D5667" i="1"/>
  <c r="F5666" i="1"/>
  <c r="E5666" i="1"/>
  <c r="D5666" i="1"/>
  <c r="F5665" i="1"/>
  <c r="E5665" i="1"/>
  <c r="D5665" i="1"/>
  <c r="F5664" i="1"/>
  <c r="E5664" i="1"/>
  <c r="D5664" i="1"/>
  <c r="F5663" i="1"/>
  <c r="E5663" i="1"/>
  <c r="D5663" i="1"/>
  <c r="F5662" i="1"/>
  <c r="E5662" i="1"/>
  <c r="D5662" i="1"/>
  <c r="F5661" i="1"/>
  <c r="E5661" i="1"/>
  <c r="D5661" i="1"/>
  <c r="F5660" i="1"/>
  <c r="E5660" i="1"/>
  <c r="D5660" i="1"/>
  <c r="F5659" i="1"/>
  <c r="E5659" i="1"/>
  <c r="D5659" i="1"/>
  <c r="F5658" i="1"/>
  <c r="E5658" i="1"/>
  <c r="D5658" i="1"/>
  <c r="F5657" i="1"/>
  <c r="E5657" i="1"/>
  <c r="D5657" i="1"/>
  <c r="F5656" i="1"/>
  <c r="E5656" i="1"/>
  <c r="D5656" i="1"/>
  <c r="F5655" i="1"/>
  <c r="E5655" i="1"/>
  <c r="D5655" i="1"/>
  <c r="F5654" i="1"/>
  <c r="E5654" i="1"/>
  <c r="D5654" i="1"/>
  <c r="F5653" i="1"/>
  <c r="E5653" i="1"/>
  <c r="D5653" i="1"/>
  <c r="F5652" i="1"/>
  <c r="E5652" i="1"/>
  <c r="D5652" i="1"/>
  <c r="F5651" i="1"/>
  <c r="E5651" i="1"/>
  <c r="D5651" i="1"/>
  <c r="F5650" i="1"/>
  <c r="E5650" i="1"/>
  <c r="D5650" i="1"/>
  <c r="F5649" i="1"/>
  <c r="E5649" i="1"/>
  <c r="D5649" i="1"/>
  <c r="F5648" i="1"/>
  <c r="E5648" i="1"/>
  <c r="D5648" i="1"/>
  <c r="F5647" i="1"/>
  <c r="E5647" i="1"/>
  <c r="D5647" i="1"/>
  <c r="F5646" i="1"/>
  <c r="E5646" i="1"/>
  <c r="D5646" i="1"/>
  <c r="F5645" i="1"/>
  <c r="E5645" i="1"/>
  <c r="D5645" i="1"/>
  <c r="F5644" i="1"/>
  <c r="E5644" i="1"/>
  <c r="D5644" i="1"/>
  <c r="F5643" i="1"/>
  <c r="E5643" i="1"/>
  <c r="D5643" i="1"/>
  <c r="F5642" i="1"/>
  <c r="E5642" i="1"/>
  <c r="D5642" i="1"/>
  <c r="F5641" i="1"/>
  <c r="E5641" i="1"/>
  <c r="D5641" i="1"/>
  <c r="F5640" i="1"/>
  <c r="E5640" i="1"/>
  <c r="D5640" i="1"/>
  <c r="F5639" i="1"/>
  <c r="E5639" i="1"/>
  <c r="D5639" i="1"/>
  <c r="F5638" i="1"/>
  <c r="E5638" i="1"/>
  <c r="D5638" i="1"/>
  <c r="F5637" i="1"/>
  <c r="E5637" i="1"/>
  <c r="D5637" i="1"/>
  <c r="F5636" i="1"/>
  <c r="E5636" i="1"/>
  <c r="D5636" i="1"/>
  <c r="F5635" i="1"/>
  <c r="E5635" i="1"/>
  <c r="D5635" i="1"/>
  <c r="F5634" i="1"/>
  <c r="E5634" i="1"/>
  <c r="D5634" i="1"/>
  <c r="F5633" i="1"/>
  <c r="E5633" i="1"/>
  <c r="D5633" i="1"/>
  <c r="F5632" i="1"/>
  <c r="E5632" i="1"/>
  <c r="D5632" i="1"/>
  <c r="F5631" i="1"/>
  <c r="E5631" i="1"/>
  <c r="D5631" i="1"/>
  <c r="F5630" i="1"/>
  <c r="E5630" i="1"/>
  <c r="D5630" i="1"/>
  <c r="F5629" i="1"/>
  <c r="E5629" i="1"/>
  <c r="D5629" i="1"/>
  <c r="F5628" i="1"/>
  <c r="E5628" i="1"/>
  <c r="D5628" i="1"/>
  <c r="F5627" i="1"/>
  <c r="E5627" i="1"/>
  <c r="D5627" i="1"/>
  <c r="F5626" i="1"/>
  <c r="E5626" i="1"/>
  <c r="D5626" i="1"/>
  <c r="F5625" i="1"/>
  <c r="E5625" i="1"/>
  <c r="D5625" i="1"/>
  <c r="F5624" i="1"/>
  <c r="E5624" i="1"/>
  <c r="D5624" i="1"/>
  <c r="F5623" i="1"/>
  <c r="E5623" i="1"/>
  <c r="D5623" i="1"/>
  <c r="F5622" i="1"/>
  <c r="E5622" i="1"/>
  <c r="D5622" i="1"/>
  <c r="F5621" i="1"/>
  <c r="E5621" i="1"/>
  <c r="D5621" i="1"/>
  <c r="F5620" i="1"/>
  <c r="E5620" i="1"/>
  <c r="D5620" i="1"/>
  <c r="F5619" i="1"/>
  <c r="E5619" i="1"/>
  <c r="D5619" i="1"/>
  <c r="F5618" i="1"/>
  <c r="E5618" i="1"/>
  <c r="D5618" i="1"/>
  <c r="F5617" i="1"/>
  <c r="E5617" i="1"/>
  <c r="D5617" i="1"/>
  <c r="F5616" i="1"/>
  <c r="E5616" i="1"/>
  <c r="D5616" i="1"/>
  <c r="F5615" i="1"/>
  <c r="E5615" i="1"/>
  <c r="D5615" i="1"/>
  <c r="F5614" i="1"/>
  <c r="E5614" i="1"/>
  <c r="D5614" i="1"/>
  <c r="F5613" i="1"/>
  <c r="E5613" i="1"/>
  <c r="D5613" i="1"/>
  <c r="F5612" i="1"/>
  <c r="E5612" i="1"/>
  <c r="D5612" i="1"/>
  <c r="F5611" i="1"/>
  <c r="E5611" i="1"/>
  <c r="D5611" i="1"/>
  <c r="F5610" i="1"/>
  <c r="E5610" i="1"/>
  <c r="D5610" i="1"/>
  <c r="F5609" i="1"/>
  <c r="E5609" i="1"/>
  <c r="D5609" i="1"/>
  <c r="F5608" i="1"/>
  <c r="E5608" i="1"/>
  <c r="D5608" i="1"/>
  <c r="F5607" i="1"/>
  <c r="E5607" i="1"/>
  <c r="D5607" i="1"/>
  <c r="F5606" i="1"/>
  <c r="E5606" i="1"/>
  <c r="D5606" i="1"/>
  <c r="F5605" i="1"/>
  <c r="E5605" i="1"/>
  <c r="D5605" i="1"/>
  <c r="F5604" i="1"/>
  <c r="E5604" i="1"/>
  <c r="D5604" i="1"/>
  <c r="F5603" i="1"/>
  <c r="E5603" i="1"/>
  <c r="D5603" i="1"/>
  <c r="F5602" i="1"/>
  <c r="E5602" i="1"/>
  <c r="D5602" i="1"/>
  <c r="F5601" i="1"/>
  <c r="E5601" i="1"/>
  <c r="D5601" i="1"/>
  <c r="F5600" i="1"/>
  <c r="E5600" i="1"/>
  <c r="D5600" i="1"/>
  <c r="F5599" i="1"/>
  <c r="E5599" i="1"/>
  <c r="D5599" i="1"/>
  <c r="F5598" i="1"/>
  <c r="E5598" i="1"/>
  <c r="D5598" i="1"/>
  <c r="F5597" i="1"/>
  <c r="E5597" i="1"/>
  <c r="D5597" i="1"/>
  <c r="F5596" i="1"/>
  <c r="E5596" i="1"/>
  <c r="D5596" i="1"/>
  <c r="F5595" i="1"/>
  <c r="E5595" i="1"/>
  <c r="D5595" i="1"/>
  <c r="F5594" i="1"/>
  <c r="E5594" i="1"/>
  <c r="D5594" i="1"/>
  <c r="F5593" i="1"/>
  <c r="E5593" i="1"/>
  <c r="D5593" i="1"/>
  <c r="F5592" i="1"/>
  <c r="E5592" i="1"/>
  <c r="D5592" i="1"/>
  <c r="F5591" i="1"/>
  <c r="E5591" i="1"/>
  <c r="D5591" i="1"/>
  <c r="F5590" i="1"/>
  <c r="E5590" i="1"/>
  <c r="D5590" i="1"/>
  <c r="F5589" i="1"/>
  <c r="E5589" i="1"/>
  <c r="D5589" i="1"/>
  <c r="F5588" i="1"/>
  <c r="E5588" i="1"/>
  <c r="D5588" i="1"/>
  <c r="F5587" i="1"/>
  <c r="E5587" i="1"/>
  <c r="D5587" i="1"/>
  <c r="F5586" i="1"/>
  <c r="E5586" i="1"/>
  <c r="D5586" i="1"/>
  <c r="F5585" i="1"/>
  <c r="E5585" i="1"/>
  <c r="D5585" i="1"/>
  <c r="F5584" i="1"/>
  <c r="E5584" i="1"/>
  <c r="D5584" i="1"/>
  <c r="F5583" i="1"/>
  <c r="E5583" i="1"/>
  <c r="D5583" i="1"/>
  <c r="F5582" i="1"/>
  <c r="E5582" i="1"/>
  <c r="D5582" i="1"/>
  <c r="F5581" i="1"/>
  <c r="E5581" i="1"/>
  <c r="D5581" i="1"/>
  <c r="F5580" i="1"/>
  <c r="E5580" i="1"/>
  <c r="D5580" i="1"/>
  <c r="F5579" i="1"/>
  <c r="E5579" i="1"/>
  <c r="D5579" i="1"/>
  <c r="F5578" i="1"/>
  <c r="E5578" i="1"/>
  <c r="D5578" i="1"/>
  <c r="F5577" i="1"/>
  <c r="E5577" i="1"/>
  <c r="D5577" i="1"/>
  <c r="F5576" i="1"/>
  <c r="E5576" i="1"/>
  <c r="D5576" i="1"/>
  <c r="F5575" i="1"/>
  <c r="E5575" i="1"/>
  <c r="D5575" i="1"/>
  <c r="F5574" i="1"/>
  <c r="E5574" i="1"/>
  <c r="D5574" i="1"/>
  <c r="F5573" i="1"/>
  <c r="E5573" i="1"/>
  <c r="D5573" i="1"/>
  <c r="F5572" i="1"/>
  <c r="E5572" i="1"/>
  <c r="D5572" i="1"/>
  <c r="F5571" i="1"/>
  <c r="E5571" i="1"/>
  <c r="D5571" i="1"/>
  <c r="F5570" i="1"/>
  <c r="E5570" i="1"/>
  <c r="D5570" i="1"/>
  <c r="F5569" i="1"/>
  <c r="E5569" i="1"/>
  <c r="D5569" i="1"/>
  <c r="F5568" i="1"/>
  <c r="E5568" i="1"/>
  <c r="D5568" i="1"/>
  <c r="F5567" i="1"/>
  <c r="E5567" i="1"/>
  <c r="D5567" i="1"/>
  <c r="F5566" i="1"/>
  <c r="E5566" i="1"/>
  <c r="D5566" i="1"/>
  <c r="F5565" i="1"/>
  <c r="E5565" i="1"/>
  <c r="D5565" i="1"/>
  <c r="F5564" i="1"/>
  <c r="E5564" i="1"/>
  <c r="D5564" i="1"/>
  <c r="F5563" i="1"/>
  <c r="E5563" i="1"/>
  <c r="D5563" i="1"/>
  <c r="F5562" i="1"/>
  <c r="E5562" i="1"/>
  <c r="D5562" i="1"/>
  <c r="F5561" i="1"/>
  <c r="E5561" i="1"/>
  <c r="D5561" i="1"/>
  <c r="F5560" i="1"/>
  <c r="E5560" i="1"/>
  <c r="D5560" i="1"/>
  <c r="F5559" i="1"/>
  <c r="E5559" i="1"/>
  <c r="D5559" i="1"/>
  <c r="F5558" i="1"/>
  <c r="E5558" i="1"/>
  <c r="D5558" i="1"/>
  <c r="F5557" i="1"/>
  <c r="E5557" i="1"/>
  <c r="D5557" i="1"/>
  <c r="F5556" i="1"/>
  <c r="E5556" i="1"/>
  <c r="D5556" i="1"/>
  <c r="F5555" i="1"/>
  <c r="E5555" i="1"/>
  <c r="D5555" i="1"/>
  <c r="F5554" i="1"/>
  <c r="E5554" i="1"/>
  <c r="D5554" i="1"/>
  <c r="F5553" i="1"/>
  <c r="E5553" i="1"/>
  <c r="D5553" i="1"/>
  <c r="F5552" i="1"/>
  <c r="E5552" i="1"/>
  <c r="D5552" i="1"/>
  <c r="F5551" i="1"/>
  <c r="E5551" i="1"/>
  <c r="D5551" i="1"/>
  <c r="F5550" i="1"/>
  <c r="E5550" i="1"/>
  <c r="D5550" i="1"/>
  <c r="F5549" i="1"/>
  <c r="E5549" i="1"/>
  <c r="D5549" i="1"/>
  <c r="F5548" i="1"/>
  <c r="E5548" i="1"/>
  <c r="D5548" i="1"/>
  <c r="F5547" i="1"/>
  <c r="E5547" i="1"/>
  <c r="D5547" i="1"/>
  <c r="F5546" i="1"/>
  <c r="E5546" i="1"/>
  <c r="D5546" i="1"/>
  <c r="F5545" i="1"/>
  <c r="E5545" i="1"/>
  <c r="D5545" i="1"/>
  <c r="F5544" i="1"/>
  <c r="E5544" i="1"/>
  <c r="D5544" i="1"/>
  <c r="F5543" i="1"/>
  <c r="E5543" i="1"/>
  <c r="D5543" i="1"/>
  <c r="F5542" i="1"/>
  <c r="E5542" i="1"/>
  <c r="D5542" i="1"/>
  <c r="F5541" i="1"/>
  <c r="E5541" i="1"/>
  <c r="D5541" i="1"/>
  <c r="F5540" i="1"/>
  <c r="E5540" i="1"/>
  <c r="D5540" i="1"/>
  <c r="F5539" i="1"/>
  <c r="E5539" i="1"/>
  <c r="D5539" i="1"/>
  <c r="F5538" i="1"/>
  <c r="E5538" i="1"/>
  <c r="D5538" i="1"/>
  <c r="F5537" i="1"/>
  <c r="E5537" i="1"/>
  <c r="D5537" i="1"/>
  <c r="F5536" i="1"/>
  <c r="E5536" i="1"/>
  <c r="D5536" i="1"/>
  <c r="F5535" i="1"/>
  <c r="E5535" i="1"/>
  <c r="D5535" i="1"/>
  <c r="F5534" i="1"/>
  <c r="E5534" i="1"/>
  <c r="D5534" i="1"/>
  <c r="F5533" i="1"/>
  <c r="E5533" i="1"/>
  <c r="D5533" i="1"/>
  <c r="F5532" i="1"/>
  <c r="E5532" i="1"/>
  <c r="D5532" i="1"/>
  <c r="F5531" i="1"/>
  <c r="E5531" i="1"/>
  <c r="D5531" i="1"/>
  <c r="F5530" i="1"/>
  <c r="E5530" i="1"/>
  <c r="D5530" i="1"/>
  <c r="F5529" i="1"/>
  <c r="E5529" i="1"/>
  <c r="D5529" i="1"/>
  <c r="F5528" i="1"/>
  <c r="E5528" i="1"/>
  <c r="D5528" i="1"/>
  <c r="F5527" i="1"/>
  <c r="E5527" i="1"/>
  <c r="D5527" i="1"/>
  <c r="F5526" i="1"/>
  <c r="E5526" i="1"/>
  <c r="D5526" i="1"/>
  <c r="F5525" i="1"/>
  <c r="E5525" i="1"/>
  <c r="D5525" i="1"/>
  <c r="F5524" i="1"/>
  <c r="E5524" i="1"/>
  <c r="D5524" i="1"/>
  <c r="F5523" i="1"/>
  <c r="E5523" i="1"/>
  <c r="D5523" i="1"/>
  <c r="F5522" i="1"/>
  <c r="E5522" i="1"/>
  <c r="D5522" i="1"/>
  <c r="F5521" i="1"/>
  <c r="E5521" i="1"/>
  <c r="D5521" i="1"/>
  <c r="F5520" i="1"/>
  <c r="E5520" i="1"/>
  <c r="D5520" i="1"/>
  <c r="F5519" i="1"/>
  <c r="E5519" i="1"/>
  <c r="D5519" i="1"/>
  <c r="F5518" i="1"/>
  <c r="E5518" i="1"/>
  <c r="D5518" i="1"/>
  <c r="F5517" i="1"/>
  <c r="E5517" i="1"/>
  <c r="D5517" i="1"/>
  <c r="F5516" i="1"/>
  <c r="E5516" i="1"/>
  <c r="D5516" i="1"/>
  <c r="F5515" i="1"/>
  <c r="E5515" i="1"/>
  <c r="D5515" i="1"/>
  <c r="F5514" i="1"/>
  <c r="E5514" i="1"/>
  <c r="D5514" i="1"/>
  <c r="F5513" i="1"/>
  <c r="E5513" i="1"/>
  <c r="D5513" i="1"/>
  <c r="F5512" i="1"/>
  <c r="E5512" i="1"/>
  <c r="D5512" i="1"/>
  <c r="F5511" i="1"/>
  <c r="E5511" i="1"/>
  <c r="D5511" i="1"/>
  <c r="F5510" i="1"/>
  <c r="E5510" i="1"/>
  <c r="D5510" i="1"/>
  <c r="F5509" i="1"/>
  <c r="E5509" i="1"/>
  <c r="D5509" i="1"/>
  <c r="F5508" i="1"/>
  <c r="E5508" i="1"/>
  <c r="D5508" i="1"/>
  <c r="F5507" i="1"/>
  <c r="E5507" i="1"/>
  <c r="D5507" i="1"/>
  <c r="F5506" i="1"/>
  <c r="E5506" i="1"/>
  <c r="D5506" i="1"/>
  <c r="F5505" i="1"/>
  <c r="E5505" i="1"/>
  <c r="D5505" i="1"/>
  <c r="F5504" i="1"/>
  <c r="E5504" i="1"/>
  <c r="D5504" i="1"/>
  <c r="F5503" i="1"/>
  <c r="E5503" i="1"/>
  <c r="D5503" i="1"/>
  <c r="F5502" i="1"/>
  <c r="E5502" i="1"/>
  <c r="D5502" i="1"/>
  <c r="F5501" i="1"/>
  <c r="E5501" i="1"/>
  <c r="D5501" i="1"/>
  <c r="F5500" i="1"/>
  <c r="E5500" i="1"/>
  <c r="D5500" i="1"/>
  <c r="F5499" i="1"/>
  <c r="E5499" i="1"/>
  <c r="D5499" i="1"/>
  <c r="F5498" i="1"/>
  <c r="E5498" i="1"/>
  <c r="D5498" i="1"/>
  <c r="F5497" i="1"/>
  <c r="E5497" i="1"/>
  <c r="D5497" i="1"/>
  <c r="F5496" i="1"/>
  <c r="E5496" i="1"/>
  <c r="D5496" i="1"/>
  <c r="F5495" i="1"/>
  <c r="E5495" i="1"/>
  <c r="D5495" i="1"/>
  <c r="F5494" i="1"/>
  <c r="E5494" i="1"/>
  <c r="D5494" i="1"/>
  <c r="F5493" i="1"/>
  <c r="E5493" i="1"/>
  <c r="D5493" i="1"/>
  <c r="F5492" i="1"/>
  <c r="E5492" i="1"/>
  <c r="D5492" i="1"/>
  <c r="F5491" i="1"/>
  <c r="E5491" i="1"/>
  <c r="D5491" i="1"/>
  <c r="F5490" i="1"/>
  <c r="E5490" i="1"/>
  <c r="D5490" i="1"/>
  <c r="F5489" i="1"/>
  <c r="E5489" i="1"/>
  <c r="D5489" i="1"/>
  <c r="F5488" i="1"/>
  <c r="E5488" i="1"/>
  <c r="D5488" i="1"/>
  <c r="F5487" i="1"/>
  <c r="E5487" i="1"/>
  <c r="D5487" i="1"/>
  <c r="F5486" i="1"/>
  <c r="E5486" i="1"/>
  <c r="D5486" i="1"/>
  <c r="F5485" i="1"/>
  <c r="E5485" i="1"/>
  <c r="D5485" i="1"/>
  <c r="F5484" i="1"/>
  <c r="E5484" i="1"/>
  <c r="D5484" i="1"/>
  <c r="F5483" i="1"/>
  <c r="E5483" i="1"/>
  <c r="D5483" i="1"/>
  <c r="F5482" i="1"/>
  <c r="E5482" i="1"/>
  <c r="D5482" i="1"/>
  <c r="F5481" i="1"/>
  <c r="E5481" i="1"/>
  <c r="D5481" i="1"/>
  <c r="F5480" i="1"/>
  <c r="E5480" i="1"/>
  <c r="D5480" i="1"/>
  <c r="F5479" i="1"/>
  <c r="E5479" i="1"/>
  <c r="D5479" i="1"/>
  <c r="F5478" i="1"/>
  <c r="E5478" i="1"/>
  <c r="D5478" i="1"/>
  <c r="F5477" i="1"/>
  <c r="E5477" i="1"/>
  <c r="D5477" i="1"/>
  <c r="F5476" i="1"/>
  <c r="E5476" i="1"/>
  <c r="D5476" i="1"/>
  <c r="F5475" i="1"/>
  <c r="E5475" i="1"/>
  <c r="D5475" i="1"/>
  <c r="F5474" i="1"/>
  <c r="E5474" i="1"/>
  <c r="D5474" i="1"/>
  <c r="F5473" i="1"/>
  <c r="E5473" i="1"/>
  <c r="D5473" i="1"/>
  <c r="F5472" i="1"/>
  <c r="E5472" i="1"/>
  <c r="D5472" i="1"/>
  <c r="F5471" i="1"/>
  <c r="E5471" i="1"/>
  <c r="D5471" i="1"/>
  <c r="F5470" i="1"/>
  <c r="E5470" i="1"/>
  <c r="D5470" i="1"/>
  <c r="F5469" i="1"/>
  <c r="E5469" i="1"/>
  <c r="D5469" i="1"/>
  <c r="F5468" i="1"/>
  <c r="E5468" i="1"/>
  <c r="D5468" i="1"/>
  <c r="F5467" i="1"/>
  <c r="E5467" i="1"/>
  <c r="D5467" i="1"/>
  <c r="F5466" i="1"/>
  <c r="E5466" i="1"/>
  <c r="D5466" i="1"/>
  <c r="F5465" i="1"/>
  <c r="E5465" i="1"/>
  <c r="D5465" i="1"/>
  <c r="F5464" i="1"/>
  <c r="E5464" i="1"/>
  <c r="D5464" i="1"/>
  <c r="F5463" i="1"/>
  <c r="E5463" i="1"/>
  <c r="D5463" i="1"/>
  <c r="F5462" i="1"/>
  <c r="E5462" i="1"/>
  <c r="D5462" i="1"/>
  <c r="F5461" i="1"/>
  <c r="E5461" i="1"/>
  <c r="D5461" i="1"/>
  <c r="F5460" i="1"/>
  <c r="E5460" i="1"/>
  <c r="D5460" i="1"/>
  <c r="F5459" i="1"/>
  <c r="E5459" i="1"/>
  <c r="D5459" i="1"/>
  <c r="F5458" i="1"/>
  <c r="E5458" i="1"/>
  <c r="D5458" i="1"/>
  <c r="F5457" i="1"/>
  <c r="E5457" i="1"/>
  <c r="D5457" i="1"/>
  <c r="F5456" i="1"/>
  <c r="E5456" i="1"/>
  <c r="D5456" i="1"/>
  <c r="F5455" i="1"/>
  <c r="E5455" i="1"/>
  <c r="D5455" i="1"/>
  <c r="F5454" i="1"/>
  <c r="E5454" i="1"/>
  <c r="D5454" i="1"/>
  <c r="F5453" i="1"/>
  <c r="E5453" i="1"/>
  <c r="D5453" i="1"/>
  <c r="F5452" i="1"/>
  <c r="E5452" i="1"/>
  <c r="D5452" i="1"/>
  <c r="F5451" i="1"/>
  <c r="E5451" i="1"/>
  <c r="D5451" i="1"/>
  <c r="F5450" i="1"/>
  <c r="E5450" i="1"/>
  <c r="D5450" i="1"/>
  <c r="F5449" i="1"/>
  <c r="E5449" i="1"/>
  <c r="D5449" i="1"/>
  <c r="F5448" i="1"/>
  <c r="E5448" i="1"/>
  <c r="D5448" i="1"/>
  <c r="F5447" i="1"/>
  <c r="E5447" i="1"/>
  <c r="D5447" i="1"/>
  <c r="F5446" i="1"/>
  <c r="E5446" i="1"/>
  <c r="D5446" i="1"/>
  <c r="F5445" i="1"/>
  <c r="E5445" i="1"/>
  <c r="D5445" i="1"/>
  <c r="F5444" i="1"/>
  <c r="E5444" i="1"/>
  <c r="D5444" i="1"/>
  <c r="F5443" i="1"/>
  <c r="E5443" i="1"/>
  <c r="D5443" i="1"/>
  <c r="F5442" i="1"/>
  <c r="E5442" i="1"/>
  <c r="D5442" i="1"/>
  <c r="F5441" i="1"/>
  <c r="E5441" i="1"/>
  <c r="D5441" i="1"/>
  <c r="F5440" i="1"/>
  <c r="E5440" i="1"/>
  <c r="D5440" i="1"/>
  <c r="F5439" i="1"/>
  <c r="E5439" i="1"/>
  <c r="D5439" i="1"/>
  <c r="F5438" i="1"/>
  <c r="E5438" i="1"/>
  <c r="D5438" i="1"/>
  <c r="F5437" i="1"/>
  <c r="E5437" i="1"/>
  <c r="D5437" i="1"/>
  <c r="F5436" i="1"/>
  <c r="E5436" i="1"/>
  <c r="D5436" i="1"/>
  <c r="F5435" i="1"/>
  <c r="E5435" i="1"/>
  <c r="D5435" i="1"/>
  <c r="F5434" i="1"/>
  <c r="E5434" i="1"/>
  <c r="D5434" i="1"/>
  <c r="F5433" i="1"/>
  <c r="E5433" i="1"/>
  <c r="D5433" i="1"/>
  <c r="F5432" i="1"/>
  <c r="E5432" i="1"/>
  <c r="D5432" i="1"/>
  <c r="F5431" i="1"/>
  <c r="E5431" i="1"/>
  <c r="D5431" i="1"/>
  <c r="F5430" i="1"/>
  <c r="E5430" i="1"/>
  <c r="D5430" i="1"/>
  <c r="F5429" i="1"/>
  <c r="E5429" i="1"/>
  <c r="D5429" i="1"/>
  <c r="F5428" i="1"/>
  <c r="E5428" i="1"/>
  <c r="D5428" i="1"/>
  <c r="F5427" i="1"/>
  <c r="E5427" i="1"/>
  <c r="D5427" i="1"/>
  <c r="F5426" i="1"/>
  <c r="E5426" i="1"/>
  <c r="D5426" i="1"/>
  <c r="F5425" i="1"/>
  <c r="E5425" i="1"/>
  <c r="D5425" i="1"/>
  <c r="F5424" i="1"/>
  <c r="E5424" i="1"/>
  <c r="D5424" i="1"/>
  <c r="F5423" i="1"/>
  <c r="E5423" i="1"/>
  <c r="D5423" i="1"/>
  <c r="F5422" i="1"/>
  <c r="E5422" i="1"/>
  <c r="D5422" i="1"/>
  <c r="F5421" i="1"/>
  <c r="E5421" i="1"/>
  <c r="D5421" i="1"/>
  <c r="F5420" i="1"/>
  <c r="E5420" i="1"/>
  <c r="D5420" i="1"/>
  <c r="F5419" i="1"/>
  <c r="E5419" i="1"/>
  <c r="D5419" i="1"/>
  <c r="F5418" i="1"/>
  <c r="E5418" i="1"/>
  <c r="D5418" i="1"/>
  <c r="F5417" i="1"/>
  <c r="E5417" i="1"/>
  <c r="D5417" i="1"/>
  <c r="F5416" i="1"/>
  <c r="E5416" i="1"/>
  <c r="D5416" i="1"/>
  <c r="F5415" i="1"/>
  <c r="E5415" i="1"/>
  <c r="D5415" i="1"/>
  <c r="F5414" i="1"/>
  <c r="E5414" i="1"/>
  <c r="D5414" i="1"/>
  <c r="F5413" i="1"/>
  <c r="E5413" i="1"/>
  <c r="D5413" i="1"/>
  <c r="F5412" i="1"/>
  <c r="E5412" i="1"/>
  <c r="D5412" i="1"/>
  <c r="F5411" i="1"/>
  <c r="E5411" i="1"/>
  <c r="D5411" i="1"/>
  <c r="F5410" i="1"/>
  <c r="E5410" i="1"/>
  <c r="D5410" i="1"/>
  <c r="F5409" i="1"/>
  <c r="E5409" i="1"/>
  <c r="D5409" i="1"/>
  <c r="F5408" i="1"/>
  <c r="E5408" i="1"/>
  <c r="D5408" i="1"/>
  <c r="F5407" i="1"/>
  <c r="E5407" i="1"/>
  <c r="D5407" i="1"/>
  <c r="F5406" i="1"/>
  <c r="E5406" i="1"/>
  <c r="D5406" i="1"/>
  <c r="F5405" i="1"/>
  <c r="E5405" i="1"/>
  <c r="D5405" i="1"/>
  <c r="F5404" i="1"/>
  <c r="E5404" i="1"/>
  <c r="D5404" i="1"/>
  <c r="F5403" i="1"/>
  <c r="E5403" i="1"/>
  <c r="D5403" i="1"/>
  <c r="F5402" i="1"/>
  <c r="E5402" i="1"/>
  <c r="D5402" i="1"/>
  <c r="F5401" i="1"/>
  <c r="E5401" i="1"/>
  <c r="D5401" i="1"/>
  <c r="F5400" i="1"/>
  <c r="E5400" i="1"/>
  <c r="D5400" i="1"/>
  <c r="F5399" i="1"/>
  <c r="E5399" i="1"/>
  <c r="D5399" i="1"/>
  <c r="F5398" i="1"/>
  <c r="E5398" i="1"/>
  <c r="D5398" i="1"/>
  <c r="F5397" i="1"/>
  <c r="E5397" i="1"/>
  <c r="D5397" i="1"/>
  <c r="F5396" i="1"/>
  <c r="E5396" i="1"/>
  <c r="D5396" i="1"/>
  <c r="F5395" i="1"/>
  <c r="E5395" i="1"/>
  <c r="D5395" i="1"/>
  <c r="F5394" i="1"/>
  <c r="E5394" i="1"/>
  <c r="D5394" i="1"/>
  <c r="F5393" i="1"/>
  <c r="E5393" i="1"/>
  <c r="D5393" i="1"/>
  <c r="F5392" i="1"/>
  <c r="E5392" i="1"/>
  <c r="D5392" i="1"/>
  <c r="F5391" i="1"/>
  <c r="E5391" i="1"/>
  <c r="D5391" i="1"/>
  <c r="F5390" i="1"/>
  <c r="E5390" i="1"/>
  <c r="D5390" i="1"/>
  <c r="F5389" i="1"/>
  <c r="E5389" i="1"/>
  <c r="D5389" i="1"/>
  <c r="F5388" i="1"/>
  <c r="E5388" i="1"/>
  <c r="D5388" i="1"/>
  <c r="F5387" i="1"/>
  <c r="E5387" i="1"/>
  <c r="D5387" i="1"/>
  <c r="F5386" i="1"/>
  <c r="E5386" i="1"/>
  <c r="D5386" i="1"/>
  <c r="F5385" i="1"/>
  <c r="E5385" i="1"/>
  <c r="D5385" i="1"/>
  <c r="F5384" i="1"/>
  <c r="E5384" i="1"/>
  <c r="D5384" i="1"/>
  <c r="F5383" i="1"/>
  <c r="E5383" i="1"/>
  <c r="D5383" i="1"/>
  <c r="F5382" i="1"/>
  <c r="E5382" i="1"/>
  <c r="D5382" i="1"/>
  <c r="F5381" i="1"/>
  <c r="E5381" i="1"/>
  <c r="D5381" i="1"/>
  <c r="F5380" i="1"/>
  <c r="E5380" i="1"/>
  <c r="D5380" i="1"/>
  <c r="F5379" i="1"/>
  <c r="E5379" i="1"/>
  <c r="D5379" i="1"/>
  <c r="F5378" i="1"/>
  <c r="E5378" i="1"/>
  <c r="D5378" i="1"/>
  <c r="F5377" i="1"/>
  <c r="E5377" i="1"/>
  <c r="D5377" i="1"/>
  <c r="F5376" i="1"/>
  <c r="E5376" i="1"/>
  <c r="D5376" i="1"/>
  <c r="F5375" i="1"/>
  <c r="E5375" i="1"/>
  <c r="D5375" i="1"/>
  <c r="F5374" i="1"/>
  <c r="E5374" i="1"/>
  <c r="D5374" i="1"/>
  <c r="F5373" i="1"/>
  <c r="E5373" i="1"/>
  <c r="D5373" i="1"/>
  <c r="F5372" i="1"/>
  <c r="E5372" i="1"/>
  <c r="D5372" i="1"/>
  <c r="F5371" i="1"/>
  <c r="E5371" i="1"/>
  <c r="D5371" i="1"/>
  <c r="F5370" i="1"/>
  <c r="E5370" i="1"/>
  <c r="D5370" i="1"/>
  <c r="F5369" i="1"/>
  <c r="E5369" i="1"/>
  <c r="D5369" i="1"/>
  <c r="F5368" i="1"/>
  <c r="E5368" i="1"/>
  <c r="D5368" i="1"/>
  <c r="F5367" i="1"/>
  <c r="E5367" i="1"/>
  <c r="D5367" i="1"/>
  <c r="F5366" i="1"/>
  <c r="E5366" i="1"/>
  <c r="D5366" i="1"/>
  <c r="F5365" i="1"/>
  <c r="E5365" i="1"/>
  <c r="D5365" i="1"/>
  <c r="F5364" i="1"/>
  <c r="E5364" i="1"/>
  <c r="D5364" i="1"/>
  <c r="F5363" i="1"/>
  <c r="E5363" i="1"/>
  <c r="D5363" i="1"/>
  <c r="F5362" i="1"/>
  <c r="E5362" i="1"/>
  <c r="D5362" i="1"/>
  <c r="F5361" i="1"/>
  <c r="E5361" i="1"/>
  <c r="D5361" i="1"/>
  <c r="F5360" i="1"/>
  <c r="E5360" i="1"/>
  <c r="D5360" i="1"/>
  <c r="F5359" i="1"/>
  <c r="E5359" i="1"/>
  <c r="D5359" i="1"/>
  <c r="F5358" i="1"/>
  <c r="E5358" i="1"/>
  <c r="D5358" i="1"/>
  <c r="F5357" i="1"/>
  <c r="E5357" i="1"/>
  <c r="D5357" i="1"/>
  <c r="F5356" i="1"/>
  <c r="E5356" i="1"/>
  <c r="D5356" i="1"/>
  <c r="F5355" i="1"/>
  <c r="E5355" i="1"/>
  <c r="D5355" i="1"/>
  <c r="F5354" i="1"/>
  <c r="E5354" i="1"/>
  <c r="D5354" i="1"/>
  <c r="F5353" i="1"/>
  <c r="E5353" i="1"/>
  <c r="D5353" i="1"/>
  <c r="F5352" i="1"/>
  <c r="E5352" i="1"/>
  <c r="D5352" i="1"/>
  <c r="F5351" i="1"/>
  <c r="E5351" i="1"/>
  <c r="D5351" i="1"/>
  <c r="F5350" i="1"/>
  <c r="E5350" i="1"/>
  <c r="D5350" i="1"/>
  <c r="F5349" i="1"/>
  <c r="E5349" i="1"/>
  <c r="D5349" i="1"/>
  <c r="F5348" i="1"/>
  <c r="E5348" i="1"/>
  <c r="D5348" i="1"/>
  <c r="F5347" i="1"/>
  <c r="E5347" i="1"/>
  <c r="D5347" i="1"/>
  <c r="F5346" i="1"/>
  <c r="E5346" i="1"/>
  <c r="D5346" i="1"/>
  <c r="F5345" i="1"/>
  <c r="E5345" i="1"/>
  <c r="D5345" i="1"/>
  <c r="F5344" i="1"/>
  <c r="E5344" i="1"/>
  <c r="D5344" i="1"/>
  <c r="F5343" i="1"/>
  <c r="E5343" i="1"/>
  <c r="D5343" i="1"/>
  <c r="F5342" i="1"/>
  <c r="E5342" i="1"/>
  <c r="D5342" i="1"/>
  <c r="F5341" i="1"/>
  <c r="E5341" i="1"/>
  <c r="D5341" i="1"/>
  <c r="F5340" i="1"/>
  <c r="E5340" i="1"/>
  <c r="D5340" i="1"/>
  <c r="F5339" i="1"/>
  <c r="E5339" i="1"/>
  <c r="D5339" i="1"/>
  <c r="F5338" i="1"/>
  <c r="E5338" i="1"/>
  <c r="D5338" i="1"/>
  <c r="F5337" i="1"/>
  <c r="E5337" i="1"/>
  <c r="D5337" i="1"/>
  <c r="F5336" i="1"/>
  <c r="E5336" i="1"/>
  <c r="D5336" i="1"/>
  <c r="F5335" i="1"/>
  <c r="E5335" i="1"/>
  <c r="D5335" i="1"/>
  <c r="F5334" i="1"/>
  <c r="E5334" i="1"/>
  <c r="D5334" i="1"/>
  <c r="F5333" i="1"/>
  <c r="E5333" i="1"/>
  <c r="D5333" i="1"/>
  <c r="F5332" i="1"/>
  <c r="E5332" i="1"/>
  <c r="D5332" i="1"/>
  <c r="F5331" i="1"/>
  <c r="E5331" i="1"/>
  <c r="D5331" i="1"/>
  <c r="F5330" i="1"/>
  <c r="E5330" i="1"/>
  <c r="D5330" i="1"/>
  <c r="F5329" i="1"/>
  <c r="E5329" i="1"/>
  <c r="D5329" i="1"/>
  <c r="F5328" i="1"/>
  <c r="E5328" i="1"/>
  <c r="D5328" i="1"/>
  <c r="F5327" i="1"/>
  <c r="E5327" i="1"/>
  <c r="D5327" i="1"/>
  <c r="F5326" i="1"/>
  <c r="E5326" i="1"/>
  <c r="D5326" i="1"/>
  <c r="F5325" i="1"/>
  <c r="E5325" i="1"/>
  <c r="D5325" i="1"/>
  <c r="F5324" i="1"/>
  <c r="E5324" i="1"/>
  <c r="D5324" i="1"/>
  <c r="F5323" i="1"/>
  <c r="E5323" i="1"/>
  <c r="D5323" i="1"/>
  <c r="F5322" i="1"/>
  <c r="E5322" i="1"/>
  <c r="D5322" i="1"/>
  <c r="F5321" i="1"/>
  <c r="E5321" i="1"/>
  <c r="D5321" i="1"/>
  <c r="F5320" i="1"/>
  <c r="E5320" i="1"/>
  <c r="D5320" i="1"/>
  <c r="F5319" i="1"/>
  <c r="E5319" i="1"/>
  <c r="D5319" i="1"/>
  <c r="F5318" i="1"/>
  <c r="E5318" i="1"/>
  <c r="D5318" i="1"/>
  <c r="F5317" i="1"/>
  <c r="E5317" i="1"/>
  <c r="D5317" i="1"/>
  <c r="F5316" i="1"/>
  <c r="E5316" i="1"/>
  <c r="D5316" i="1"/>
  <c r="F5315" i="1"/>
  <c r="E5315" i="1"/>
  <c r="D5315" i="1"/>
  <c r="F5314" i="1"/>
  <c r="E5314" i="1"/>
  <c r="D5314" i="1"/>
  <c r="F5313" i="1"/>
  <c r="E5313" i="1"/>
  <c r="D5313" i="1"/>
  <c r="F5312" i="1"/>
  <c r="E5312" i="1"/>
  <c r="D5312" i="1"/>
  <c r="F5311" i="1"/>
  <c r="E5311" i="1"/>
  <c r="D5311" i="1"/>
  <c r="F5310" i="1"/>
  <c r="E5310" i="1"/>
  <c r="D5310" i="1"/>
  <c r="F5309" i="1"/>
  <c r="E5309" i="1"/>
  <c r="D5309" i="1"/>
  <c r="F5308" i="1"/>
  <c r="E5308" i="1"/>
  <c r="D5308" i="1"/>
  <c r="F5307" i="1"/>
  <c r="E5307" i="1"/>
  <c r="D5307" i="1"/>
  <c r="F5306" i="1"/>
  <c r="E5306" i="1"/>
  <c r="D5306" i="1"/>
  <c r="F5305" i="1"/>
  <c r="E5305" i="1"/>
  <c r="D5305" i="1"/>
  <c r="F5304" i="1"/>
  <c r="E5304" i="1"/>
  <c r="D5304" i="1"/>
  <c r="F5303" i="1"/>
  <c r="E5303" i="1"/>
  <c r="D5303" i="1"/>
  <c r="F5302" i="1"/>
  <c r="E5302" i="1"/>
  <c r="D5302" i="1"/>
  <c r="F5301" i="1"/>
  <c r="E5301" i="1"/>
  <c r="D5301" i="1"/>
  <c r="F5300" i="1"/>
  <c r="E5300" i="1"/>
  <c r="D5300" i="1"/>
  <c r="F5299" i="1"/>
  <c r="E5299" i="1"/>
  <c r="D5299" i="1"/>
  <c r="F5298" i="1"/>
  <c r="E5298" i="1"/>
  <c r="D5298" i="1"/>
  <c r="F5297" i="1"/>
  <c r="E5297" i="1"/>
  <c r="D5297" i="1"/>
  <c r="F5296" i="1"/>
  <c r="E5296" i="1"/>
  <c r="D5296" i="1"/>
  <c r="F5295" i="1"/>
  <c r="E5295" i="1"/>
  <c r="D5295" i="1"/>
  <c r="F5294" i="1"/>
  <c r="E5294" i="1"/>
  <c r="D5294" i="1"/>
  <c r="F5293" i="1"/>
  <c r="E5293" i="1"/>
  <c r="D5293" i="1"/>
  <c r="F5292" i="1"/>
  <c r="E5292" i="1"/>
  <c r="D5292" i="1"/>
  <c r="F5291" i="1"/>
  <c r="E5291" i="1"/>
  <c r="D5291" i="1"/>
  <c r="F5290" i="1"/>
  <c r="E5290" i="1"/>
  <c r="D5290" i="1"/>
  <c r="F5289" i="1"/>
  <c r="E5289" i="1"/>
  <c r="D5289" i="1"/>
  <c r="F5288" i="1"/>
  <c r="E5288" i="1"/>
  <c r="D5288" i="1"/>
  <c r="F5287" i="1"/>
  <c r="E5287" i="1"/>
  <c r="D5287" i="1"/>
  <c r="F5286" i="1"/>
  <c r="E5286" i="1"/>
  <c r="D5286" i="1"/>
  <c r="F5285" i="1"/>
  <c r="E5285" i="1"/>
  <c r="D5285" i="1"/>
  <c r="F5284" i="1"/>
  <c r="E5284" i="1"/>
  <c r="D5284" i="1"/>
  <c r="F5283" i="1"/>
  <c r="E5283" i="1"/>
  <c r="D5283" i="1"/>
  <c r="F5282" i="1"/>
  <c r="E5282" i="1"/>
  <c r="D5282" i="1"/>
  <c r="F5281" i="1"/>
  <c r="E5281" i="1"/>
  <c r="D5281" i="1"/>
  <c r="F5280" i="1"/>
  <c r="E5280" i="1"/>
  <c r="D5280" i="1"/>
  <c r="F5279" i="1"/>
  <c r="E5279" i="1"/>
  <c r="D5279" i="1"/>
  <c r="F5278" i="1"/>
  <c r="E5278" i="1"/>
  <c r="D5278" i="1"/>
  <c r="F5277" i="1"/>
  <c r="E5277" i="1"/>
  <c r="D5277" i="1"/>
  <c r="F5276" i="1"/>
  <c r="E5276" i="1"/>
  <c r="D5276" i="1"/>
  <c r="F5275" i="1"/>
  <c r="E5275" i="1"/>
  <c r="D5275" i="1"/>
  <c r="F5274" i="1"/>
  <c r="E5274" i="1"/>
  <c r="D5274" i="1"/>
  <c r="F5273" i="1"/>
  <c r="E5273" i="1"/>
  <c r="D5273" i="1"/>
  <c r="F5272" i="1"/>
  <c r="E5272" i="1"/>
  <c r="D5272" i="1"/>
  <c r="F5271" i="1"/>
  <c r="E5271" i="1"/>
  <c r="D5271" i="1"/>
  <c r="F5270" i="1"/>
  <c r="E5270" i="1"/>
  <c r="D5270" i="1"/>
  <c r="F5269" i="1"/>
  <c r="E5269" i="1"/>
  <c r="D5269" i="1"/>
  <c r="F5268" i="1"/>
  <c r="E5268" i="1"/>
  <c r="D5268" i="1"/>
  <c r="F5267" i="1"/>
  <c r="E5267" i="1"/>
  <c r="D5267" i="1"/>
  <c r="F5266" i="1"/>
  <c r="E5266" i="1"/>
  <c r="D5266" i="1"/>
  <c r="F5265" i="1"/>
  <c r="E5265" i="1"/>
  <c r="D5265" i="1"/>
  <c r="F5264" i="1"/>
  <c r="E5264" i="1"/>
  <c r="D5264" i="1"/>
  <c r="F5263" i="1"/>
  <c r="E5263" i="1"/>
  <c r="D5263" i="1"/>
  <c r="F5262" i="1"/>
  <c r="E5262" i="1"/>
  <c r="D5262" i="1"/>
  <c r="F5261" i="1"/>
  <c r="E5261" i="1"/>
  <c r="D5261" i="1"/>
  <c r="F5260" i="1"/>
  <c r="E5260" i="1"/>
  <c r="D5260" i="1"/>
  <c r="F5259" i="1"/>
  <c r="E5259" i="1"/>
  <c r="D5259" i="1"/>
  <c r="F5258" i="1"/>
  <c r="E5258" i="1"/>
  <c r="D5258" i="1"/>
  <c r="F5257" i="1"/>
  <c r="E5257" i="1"/>
  <c r="D5257" i="1"/>
  <c r="F5256" i="1"/>
  <c r="E5256" i="1"/>
  <c r="D5256" i="1"/>
  <c r="F5255" i="1"/>
  <c r="E5255" i="1"/>
  <c r="D5255" i="1"/>
  <c r="F5254" i="1"/>
  <c r="E5254" i="1"/>
  <c r="D5254" i="1"/>
  <c r="F5253" i="1"/>
  <c r="E5253" i="1"/>
  <c r="D5253" i="1"/>
  <c r="F5252" i="1"/>
  <c r="E5252" i="1"/>
  <c r="D5252" i="1"/>
  <c r="F5251" i="1"/>
  <c r="E5251" i="1"/>
  <c r="D5251" i="1"/>
  <c r="F5250" i="1"/>
  <c r="E5250" i="1"/>
  <c r="D5250" i="1"/>
  <c r="F5249" i="1"/>
  <c r="E5249" i="1"/>
  <c r="D5249" i="1"/>
  <c r="F5248" i="1"/>
  <c r="E5248" i="1"/>
  <c r="D5248" i="1"/>
  <c r="F5247" i="1"/>
  <c r="E5247" i="1"/>
  <c r="D5247" i="1"/>
  <c r="F5246" i="1"/>
  <c r="E5246" i="1"/>
  <c r="D5246" i="1"/>
  <c r="F5245" i="1"/>
  <c r="E5245" i="1"/>
  <c r="D5245" i="1"/>
  <c r="F5244" i="1"/>
  <c r="E5244" i="1"/>
  <c r="D5244" i="1"/>
  <c r="F5243" i="1"/>
  <c r="E5243" i="1"/>
  <c r="D5243" i="1"/>
  <c r="F5242" i="1"/>
  <c r="E5242" i="1"/>
  <c r="D5242" i="1"/>
  <c r="F5241" i="1"/>
  <c r="E5241" i="1"/>
  <c r="D5241" i="1"/>
  <c r="F5240" i="1"/>
  <c r="E5240" i="1"/>
  <c r="D5240" i="1"/>
  <c r="F5239" i="1"/>
  <c r="E5239" i="1"/>
  <c r="D5239" i="1"/>
  <c r="F5238" i="1"/>
  <c r="E5238" i="1"/>
  <c r="D5238" i="1"/>
  <c r="F5237" i="1"/>
  <c r="E5237" i="1"/>
  <c r="D5237" i="1"/>
  <c r="F5236" i="1"/>
  <c r="E5236" i="1"/>
  <c r="D5236" i="1"/>
  <c r="F5235" i="1"/>
  <c r="E5235" i="1"/>
  <c r="D5235" i="1"/>
  <c r="F5234" i="1"/>
  <c r="E5234" i="1"/>
  <c r="D5234" i="1"/>
  <c r="F5233" i="1"/>
  <c r="E5233" i="1"/>
  <c r="D5233" i="1"/>
  <c r="F5232" i="1"/>
  <c r="E5232" i="1"/>
  <c r="D5232" i="1"/>
  <c r="F5231" i="1"/>
  <c r="E5231" i="1"/>
  <c r="D5231" i="1"/>
  <c r="F5230" i="1"/>
  <c r="E5230" i="1"/>
  <c r="D5230" i="1"/>
  <c r="F5229" i="1"/>
  <c r="E5229" i="1"/>
  <c r="D5229" i="1"/>
  <c r="F5228" i="1"/>
  <c r="E5228" i="1"/>
  <c r="D5228" i="1"/>
  <c r="F5227" i="1"/>
  <c r="E5227" i="1"/>
  <c r="D5227" i="1"/>
  <c r="F5226" i="1"/>
  <c r="E5226" i="1"/>
  <c r="D5226" i="1"/>
  <c r="F5225" i="1"/>
  <c r="E5225" i="1"/>
  <c r="D5225" i="1"/>
  <c r="F5224" i="1"/>
  <c r="E5224" i="1"/>
  <c r="D5224" i="1"/>
  <c r="F5223" i="1"/>
  <c r="E5223" i="1"/>
  <c r="D5223" i="1"/>
  <c r="F5222" i="1"/>
  <c r="E5222" i="1"/>
  <c r="D5222" i="1"/>
  <c r="F5221" i="1"/>
  <c r="E5221" i="1"/>
  <c r="D5221" i="1"/>
  <c r="F5220" i="1"/>
  <c r="E5220" i="1"/>
  <c r="D5220" i="1"/>
  <c r="F5219" i="1"/>
  <c r="E5219" i="1"/>
  <c r="D5219" i="1"/>
  <c r="F5218" i="1"/>
  <c r="E5218" i="1"/>
  <c r="D5218" i="1"/>
  <c r="F5217" i="1"/>
  <c r="E5217" i="1"/>
  <c r="D5217" i="1"/>
  <c r="F5216" i="1"/>
  <c r="E5216" i="1"/>
  <c r="D5216" i="1"/>
  <c r="F5215" i="1"/>
  <c r="E5215" i="1"/>
  <c r="D5215" i="1"/>
  <c r="F5214" i="1"/>
  <c r="E5214" i="1"/>
  <c r="D5214" i="1"/>
  <c r="F5213" i="1"/>
  <c r="E5213" i="1"/>
  <c r="D5213" i="1"/>
  <c r="F5212" i="1"/>
  <c r="E5212" i="1"/>
  <c r="D5212" i="1"/>
  <c r="F5211" i="1"/>
  <c r="E5211" i="1"/>
  <c r="D5211" i="1"/>
  <c r="F5210" i="1"/>
  <c r="E5210" i="1"/>
  <c r="D5210" i="1"/>
  <c r="F5209" i="1"/>
  <c r="E5209" i="1"/>
  <c r="D5209" i="1"/>
  <c r="F5208" i="1"/>
  <c r="E5208" i="1"/>
  <c r="D5208" i="1"/>
  <c r="F5207" i="1"/>
  <c r="E5207" i="1"/>
  <c r="D5207" i="1"/>
  <c r="F5206" i="1"/>
  <c r="E5206" i="1"/>
  <c r="D5206" i="1"/>
  <c r="F5205" i="1"/>
  <c r="E5205" i="1"/>
  <c r="D5205" i="1"/>
  <c r="F5204" i="1"/>
  <c r="E5204" i="1"/>
  <c r="D5204" i="1"/>
  <c r="F5203" i="1"/>
  <c r="E5203" i="1"/>
  <c r="D5203" i="1"/>
  <c r="F5202" i="1"/>
  <c r="E5202" i="1"/>
  <c r="D5202" i="1"/>
  <c r="F5201" i="1"/>
  <c r="E5201" i="1"/>
  <c r="D5201" i="1"/>
  <c r="F5200" i="1"/>
  <c r="E5200" i="1"/>
  <c r="D5200" i="1"/>
  <c r="F5199" i="1"/>
  <c r="E5199" i="1"/>
  <c r="D5199" i="1"/>
  <c r="F5198" i="1"/>
  <c r="E5198" i="1"/>
  <c r="D5198" i="1"/>
  <c r="F5197" i="1"/>
  <c r="E5197" i="1"/>
  <c r="D5197" i="1"/>
  <c r="F5196" i="1"/>
  <c r="E5196" i="1"/>
  <c r="D5196" i="1"/>
  <c r="F5195" i="1"/>
  <c r="E5195" i="1"/>
  <c r="D5195" i="1"/>
  <c r="F5194" i="1"/>
  <c r="E5194" i="1"/>
  <c r="D5194" i="1"/>
  <c r="F5193" i="1"/>
  <c r="E5193" i="1"/>
  <c r="D5193" i="1"/>
  <c r="F5192" i="1"/>
  <c r="E5192" i="1"/>
  <c r="D5192" i="1"/>
  <c r="F5191" i="1"/>
  <c r="E5191" i="1"/>
  <c r="D5191" i="1"/>
  <c r="F5190" i="1"/>
  <c r="E5190" i="1"/>
  <c r="D5190" i="1"/>
  <c r="F5189" i="1"/>
  <c r="E5189" i="1"/>
  <c r="D5189" i="1"/>
  <c r="F5188" i="1"/>
  <c r="E5188" i="1"/>
  <c r="D5188" i="1"/>
  <c r="F5187" i="1"/>
  <c r="E5187" i="1"/>
  <c r="D5187" i="1"/>
  <c r="F5186" i="1"/>
  <c r="E5186" i="1"/>
  <c r="D5186" i="1"/>
  <c r="F5185" i="1"/>
  <c r="E5185" i="1"/>
  <c r="D5185" i="1"/>
  <c r="F5184" i="1"/>
  <c r="E5184" i="1"/>
  <c r="D5184" i="1"/>
  <c r="F5183" i="1"/>
  <c r="E5183" i="1"/>
  <c r="D5183" i="1"/>
  <c r="F5182" i="1"/>
  <c r="E5182" i="1"/>
  <c r="D5182" i="1"/>
  <c r="F5181" i="1"/>
  <c r="E5181" i="1"/>
  <c r="D5181" i="1"/>
  <c r="F5180" i="1"/>
  <c r="E5180" i="1"/>
  <c r="D5180" i="1"/>
  <c r="F5179" i="1"/>
  <c r="E5179" i="1"/>
  <c r="D5179" i="1"/>
  <c r="F5178" i="1"/>
  <c r="E5178" i="1"/>
  <c r="D5178" i="1"/>
  <c r="F5177" i="1"/>
  <c r="E5177" i="1"/>
  <c r="D5177" i="1"/>
  <c r="F5176" i="1"/>
  <c r="E5176" i="1"/>
  <c r="D5176" i="1"/>
  <c r="F5175" i="1"/>
  <c r="E5175" i="1"/>
  <c r="D5175" i="1"/>
  <c r="F5174" i="1"/>
  <c r="E5174" i="1"/>
  <c r="D5174" i="1"/>
  <c r="F5173" i="1"/>
  <c r="E5173" i="1"/>
  <c r="D5173" i="1"/>
  <c r="F5172" i="1"/>
  <c r="E5172" i="1"/>
  <c r="D5172" i="1"/>
  <c r="F5171" i="1"/>
  <c r="E5171" i="1"/>
  <c r="D5171" i="1"/>
  <c r="F5170" i="1"/>
  <c r="E5170" i="1"/>
  <c r="D5170" i="1"/>
  <c r="F5169" i="1"/>
  <c r="E5169" i="1"/>
  <c r="D5169" i="1"/>
  <c r="F5168" i="1"/>
  <c r="E5168" i="1"/>
  <c r="D5168" i="1"/>
  <c r="F5167" i="1"/>
  <c r="E5167" i="1"/>
  <c r="D5167" i="1"/>
  <c r="F5166" i="1"/>
  <c r="E5166" i="1"/>
  <c r="D5166" i="1"/>
  <c r="F5165" i="1"/>
  <c r="E5165" i="1"/>
  <c r="D5165" i="1"/>
  <c r="F5164" i="1"/>
  <c r="E5164" i="1"/>
  <c r="D5164" i="1"/>
  <c r="F5163" i="1"/>
  <c r="E5163" i="1"/>
  <c r="D5163" i="1"/>
  <c r="F5162" i="1"/>
  <c r="E5162" i="1"/>
  <c r="D5162" i="1"/>
  <c r="F5161" i="1"/>
  <c r="E5161" i="1"/>
  <c r="D5161" i="1"/>
  <c r="F5160" i="1"/>
  <c r="E5160" i="1"/>
  <c r="D5160" i="1"/>
  <c r="F5159" i="1"/>
  <c r="E5159" i="1"/>
  <c r="D5159" i="1"/>
  <c r="F5158" i="1"/>
  <c r="E5158" i="1"/>
  <c r="D5158" i="1"/>
  <c r="F5157" i="1"/>
  <c r="E5157" i="1"/>
  <c r="D5157" i="1"/>
  <c r="F5156" i="1"/>
  <c r="E5156" i="1"/>
  <c r="D5156" i="1"/>
  <c r="F5155" i="1"/>
  <c r="E5155" i="1"/>
  <c r="D5155" i="1"/>
  <c r="F5154" i="1"/>
  <c r="E5154" i="1"/>
  <c r="D5154" i="1"/>
  <c r="F5153" i="1"/>
  <c r="E5153" i="1"/>
  <c r="D5153" i="1"/>
  <c r="F5152" i="1"/>
  <c r="E5152" i="1"/>
  <c r="D5152" i="1"/>
  <c r="F5151" i="1"/>
  <c r="E5151" i="1"/>
  <c r="D5151" i="1"/>
  <c r="F5150" i="1"/>
  <c r="E5150" i="1"/>
  <c r="D5150" i="1"/>
  <c r="F5149" i="1"/>
  <c r="E5149" i="1"/>
  <c r="D5149" i="1"/>
  <c r="F5148" i="1"/>
  <c r="E5148" i="1"/>
  <c r="D5148" i="1"/>
  <c r="F5147" i="1"/>
  <c r="E5147" i="1"/>
  <c r="D5147" i="1"/>
  <c r="F5146" i="1"/>
  <c r="E5146" i="1"/>
  <c r="D5146" i="1"/>
  <c r="F5145" i="1"/>
  <c r="E5145" i="1"/>
  <c r="D5145" i="1"/>
  <c r="F5144" i="1"/>
  <c r="E5144" i="1"/>
  <c r="D5144" i="1"/>
  <c r="F5143" i="1"/>
  <c r="E5143" i="1"/>
  <c r="D5143" i="1"/>
  <c r="F5142" i="1"/>
  <c r="E5142" i="1"/>
  <c r="D5142" i="1"/>
  <c r="F5141" i="1"/>
  <c r="E5141" i="1"/>
  <c r="D5141" i="1"/>
  <c r="F5140" i="1"/>
  <c r="E5140" i="1"/>
  <c r="D5140" i="1"/>
  <c r="F5139" i="1"/>
  <c r="E5139" i="1"/>
  <c r="D5139" i="1"/>
  <c r="F5138" i="1"/>
  <c r="E5138" i="1"/>
  <c r="D5138" i="1"/>
  <c r="F5137" i="1"/>
  <c r="E5137" i="1"/>
  <c r="D5137" i="1"/>
  <c r="F5136" i="1"/>
  <c r="E5136" i="1"/>
  <c r="D5136" i="1"/>
  <c r="F5135" i="1"/>
  <c r="E5135" i="1"/>
  <c r="D5135" i="1"/>
  <c r="F5134" i="1"/>
  <c r="E5134" i="1"/>
  <c r="D5134" i="1"/>
  <c r="F5133" i="1"/>
  <c r="E5133" i="1"/>
  <c r="D5133" i="1"/>
  <c r="F5132" i="1"/>
  <c r="E5132" i="1"/>
  <c r="D5132" i="1"/>
  <c r="F5131" i="1"/>
  <c r="E5131" i="1"/>
  <c r="D5131" i="1"/>
  <c r="F5130" i="1"/>
  <c r="E5130" i="1"/>
  <c r="D5130" i="1"/>
  <c r="F5129" i="1"/>
  <c r="E5129" i="1"/>
  <c r="D5129" i="1"/>
  <c r="F5128" i="1"/>
  <c r="E5128" i="1"/>
  <c r="D5128" i="1"/>
  <c r="F5127" i="1"/>
  <c r="E5127" i="1"/>
  <c r="D5127" i="1"/>
  <c r="F5126" i="1"/>
  <c r="E5126" i="1"/>
  <c r="D5126" i="1"/>
  <c r="F5125" i="1"/>
  <c r="E5125" i="1"/>
  <c r="D5125" i="1"/>
  <c r="F5124" i="1"/>
  <c r="E5124" i="1"/>
  <c r="D5124" i="1"/>
  <c r="F5123" i="1"/>
  <c r="E5123" i="1"/>
  <c r="D5123" i="1"/>
  <c r="F5122" i="1"/>
  <c r="E5122" i="1"/>
  <c r="D5122" i="1"/>
  <c r="F5121" i="1"/>
  <c r="E5121" i="1"/>
  <c r="D5121" i="1"/>
  <c r="F5120" i="1"/>
  <c r="E5120" i="1"/>
  <c r="D5120" i="1"/>
  <c r="F5119" i="1"/>
  <c r="E5119" i="1"/>
  <c r="D5119" i="1"/>
  <c r="F5118" i="1"/>
  <c r="E5118" i="1"/>
  <c r="D5118" i="1"/>
  <c r="F5117" i="1"/>
  <c r="E5117" i="1"/>
  <c r="D5117" i="1"/>
  <c r="F5116" i="1"/>
  <c r="E5116" i="1"/>
  <c r="D5116" i="1"/>
  <c r="F5115" i="1"/>
  <c r="E5115" i="1"/>
  <c r="D5115" i="1"/>
  <c r="F5114" i="1"/>
  <c r="E5114" i="1"/>
  <c r="D5114" i="1"/>
  <c r="F5113" i="1"/>
  <c r="E5113" i="1"/>
  <c r="D5113" i="1"/>
  <c r="F5112" i="1"/>
  <c r="E5112" i="1"/>
  <c r="D5112" i="1"/>
  <c r="F5111" i="1"/>
  <c r="E5111" i="1"/>
  <c r="D5111" i="1"/>
  <c r="F5110" i="1"/>
  <c r="E5110" i="1"/>
  <c r="D5110" i="1"/>
  <c r="F5109" i="1"/>
  <c r="E5109" i="1"/>
  <c r="D5109" i="1"/>
  <c r="F5108" i="1"/>
  <c r="E5108" i="1"/>
  <c r="D5108" i="1"/>
  <c r="F5107" i="1"/>
  <c r="E5107" i="1"/>
  <c r="D5107" i="1"/>
  <c r="F5106" i="1"/>
  <c r="E5106" i="1"/>
  <c r="D5106" i="1"/>
  <c r="F5105" i="1"/>
  <c r="E5105" i="1"/>
  <c r="D5105" i="1"/>
  <c r="F5104" i="1"/>
  <c r="E5104" i="1"/>
  <c r="D5104" i="1"/>
  <c r="F5103" i="1"/>
  <c r="E5103" i="1"/>
  <c r="D5103" i="1"/>
  <c r="F5102" i="1"/>
  <c r="E5102" i="1"/>
  <c r="D5102" i="1"/>
  <c r="F5101" i="1"/>
  <c r="E5101" i="1"/>
  <c r="D5101" i="1"/>
  <c r="F5100" i="1"/>
  <c r="E5100" i="1"/>
  <c r="D5100" i="1"/>
  <c r="F5099" i="1"/>
  <c r="E5099" i="1"/>
  <c r="D5099" i="1"/>
  <c r="F5098" i="1"/>
  <c r="E5098" i="1"/>
  <c r="D5098" i="1"/>
  <c r="F5097" i="1"/>
  <c r="E5097" i="1"/>
  <c r="D5097" i="1"/>
  <c r="F5096" i="1"/>
  <c r="E5096" i="1"/>
  <c r="D5096" i="1"/>
  <c r="F5095" i="1"/>
  <c r="E5095" i="1"/>
  <c r="D5095" i="1"/>
  <c r="F5094" i="1"/>
  <c r="E5094" i="1"/>
  <c r="D5094" i="1"/>
  <c r="F5093" i="1"/>
  <c r="E5093" i="1"/>
  <c r="D5093" i="1"/>
  <c r="F5092" i="1"/>
  <c r="E5092" i="1"/>
  <c r="D5092" i="1"/>
  <c r="F5091" i="1"/>
  <c r="E5091" i="1"/>
  <c r="D5091" i="1"/>
  <c r="F5090" i="1"/>
  <c r="E5090" i="1"/>
  <c r="D5090" i="1"/>
  <c r="F5089" i="1"/>
  <c r="E5089" i="1"/>
  <c r="D5089" i="1"/>
  <c r="F5088" i="1"/>
  <c r="E5088" i="1"/>
  <c r="D5088" i="1"/>
  <c r="F5087" i="1"/>
  <c r="E5087" i="1"/>
  <c r="D5087" i="1"/>
  <c r="F5086" i="1"/>
  <c r="E5086" i="1"/>
  <c r="D5086" i="1"/>
  <c r="F5085" i="1"/>
  <c r="E5085" i="1"/>
  <c r="D5085" i="1"/>
  <c r="F5084" i="1"/>
  <c r="E5084" i="1"/>
  <c r="D5084" i="1"/>
  <c r="F5083" i="1"/>
  <c r="E5083" i="1"/>
  <c r="D5083" i="1"/>
  <c r="F5082" i="1"/>
  <c r="E5082" i="1"/>
  <c r="D5082" i="1"/>
  <c r="F5081" i="1"/>
  <c r="E5081" i="1"/>
  <c r="D5081" i="1"/>
  <c r="F5080" i="1"/>
  <c r="E5080" i="1"/>
  <c r="D5080" i="1"/>
  <c r="F5079" i="1"/>
  <c r="E5079" i="1"/>
  <c r="D5079" i="1"/>
  <c r="F5078" i="1"/>
  <c r="E5078" i="1"/>
  <c r="D5078" i="1"/>
  <c r="F5077" i="1"/>
  <c r="E5077" i="1"/>
  <c r="D5077" i="1"/>
  <c r="F5076" i="1"/>
  <c r="E5076" i="1"/>
  <c r="D5076" i="1"/>
  <c r="F5075" i="1"/>
  <c r="E5075" i="1"/>
  <c r="D5075" i="1"/>
  <c r="F5074" i="1"/>
  <c r="E5074" i="1"/>
  <c r="D5074" i="1"/>
  <c r="F5073" i="1"/>
  <c r="E5073" i="1"/>
  <c r="D5073" i="1"/>
  <c r="F5072" i="1"/>
  <c r="E5072" i="1"/>
  <c r="D5072" i="1"/>
  <c r="F5071" i="1"/>
  <c r="E5071" i="1"/>
  <c r="D5071" i="1"/>
  <c r="F5070" i="1"/>
  <c r="E5070" i="1"/>
  <c r="D5070" i="1"/>
  <c r="F5069" i="1"/>
  <c r="E5069" i="1"/>
  <c r="D5069" i="1"/>
  <c r="F5068" i="1"/>
  <c r="E5068" i="1"/>
  <c r="D5068" i="1"/>
  <c r="F5067" i="1"/>
  <c r="E5067" i="1"/>
  <c r="D5067" i="1"/>
  <c r="F5066" i="1"/>
  <c r="E5066" i="1"/>
  <c r="D5066" i="1"/>
  <c r="F5065" i="1"/>
  <c r="E5065" i="1"/>
  <c r="D5065" i="1"/>
  <c r="F5064" i="1"/>
  <c r="E5064" i="1"/>
  <c r="D5064" i="1"/>
  <c r="F5063" i="1"/>
  <c r="E5063" i="1"/>
  <c r="D5063" i="1"/>
  <c r="F5062" i="1"/>
  <c r="E5062" i="1"/>
  <c r="D5062" i="1"/>
  <c r="F5061" i="1"/>
  <c r="E5061" i="1"/>
  <c r="D5061" i="1"/>
  <c r="F5060" i="1"/>
  <c r="E5060" i="1"/>
  <c r="D5060" i="1"/>
  <c r="F5059" i="1"/>
  <c r="E5059" i="1"/>
  <c r="D5059" i="1"/>
  <c r="F5058" i="1"/>
  <c r="E5058" i="1"/>
  <c r="D5058" i="1"/>
  <c r="F5057" i="1"/>
  <c r="E5057" i="1"/>
  <c r="D5057" i="1"/>
  <c r="F5056" i="1"/>
  <c r="E5056" i="1"/>
  <c r="D5056" i="1"/>
  <c r="F5055" i="1"/>
  <c r="E5055" i="1"/>
  <c r="D5055" i="1"/>
  <c r="F5054" i="1"/>
  <c r="E5054" i="1"/>
  <c r="D5054" i="1"/>
  <c r="F5053" i="1"/>
  <c r="E5053" i="1"/>
  <c r="D5053" i="1"/>
  <c r="F5052" i="1"/>
  <c r="E5052" i="1"/>
  <c r="D5052" i="1"/>
  <c r="F5051" i="1"/>
  <c r="E5051" i="1"/>
  <c r="D5051" i="1"/>
  <c r="F5050" i="1"/>
  <c r="E5050" i="1"/>
  <c r="D5050" i="1"/>
  <c r="F5049" i="1"/>
  <c r="E5049" i="1"/>
  <c r="D5049" i="1"/>
  <c r="F5048" i="1"/>
  <c r="E5048" i="1"/>
  <c r="D5048" i="1"/>
  <c r="F5047" i="1"/>
  <c r="E5047" i="1"/>
  <c r="D5047" i="1"/>
  <c r="F5046" i="1"/>
  <c r="E5046" i="1"/>
  <c r="D5046" i="1"/>
  <c r="F5045" i="1"/>
  <c r="E5045" i="1"/>
  <c r="D5045" i="1"/>
  <c r="F5044" i="1"/>
  <c r="E5044" i="1"/>
  <c r="D5044" i="1"/>
  <c r="F5043" i="1"/>
  <c r="E5043" i="1"/>
  <c r="D5043" i="1"/>
  <c r="F5042" i="1"/>
  <c r="E5042" i="1"/>
  <c r="D5042" i="1"/>
  <c r="F5041" i="1"/>
  <c r="E5041" i="1"/>
  <c r="D5041" i="1"/>
  <c r="F5040" i="1"/>
  <c r="E5040" i="1"/>
  <c r="D5040" i="1"/>
  <c r="F5039" i="1"/>
  <c r="E5039" i="1"/>
  <c r="D5039" i="1"/>
  <c r="F5038" i="1"/>
  <c r="E5038" i="1"/>
  <c r="D5038" i="1"/>
  <c r="F5037" i="1"/>
  <c r="E5037" i="1"/>
  <c r="D5037" i="1"/>
  <c r="F5036" i="1"/>
  <c r="E5036" i="1"/>
  <c r="D5036" i="1"/>
  <c r="F5035" i="1"/>
  <c r="E5035" i="1"/>
  <c r="D5035" i="1"/>
  <c r="F5034" i="1"/>
  <c r="E5034" i="1"/>
  <c r="D5034" i="1"/>
  <c r="F5033" i="1"/>
  <c r="E5033" i="1"/>
  <c r="D5033" i="1"/>
  <c r="F5032" i="1"/>
  <c r="E5032" i="1"/>
  <c r="D5032" i="1"/>
  <c r="F5031" i="1"/>
  <c r="E5031" i="1"/>
  <c r="D5031" i="1"/>
  <c r="F5030" i="1"/>
  <c r="E5030" i="1"/>
  <c r="D5030" i="1"/>
  <c r="F5029" i="1"/>
  <c r="E5029" i="1"/>
  <c r="D5029" i="1"/>
  <c r="F5028" i="1"/>
  <c r="E5028" i="1"/>
  <c r="D5028" i="1"/>
  <c r="F5027" i="1"/>
  <c r="E5027" i="1"/>
  <c r="D5027" i="1"/>
  <c r="F5026" i="1"/>
  <c r="E5026" i="1"/>
  <c r="D5026" i="1"/>
  <c r="F5025" i="1"/>
  <c r="E5025" i="1"/>
  <c r="D5025" i="1"/>
  <c r="F5024" i="1"/>
  <c r="E5024" i="1"/>
  <c r="D5024" i="1"/>
  <c r="F5023" i="1"/>
  <c r="E5023" i="1"/>
  <c r="D5023" i="1"/>
  <c r="F5022" i="1"/>
  <c r="E5022" i="1"/>
  <c r="D5022" i="1"/>
  <c r="F5021" i="1"/>
  <c r="E5021" i="1"/>
  <c r="D5021" i="1"/>
  <c r="F5020" i="1"/>
  <c r="E5020" i="1"/>
  <c r="D5020" i="1"/>
  <c r="F5019" i="1"/>
  <c r="E5019" i="1"/>
  <c r="D5019" i="1"/>
  <c r="F5018" i="1"/>
  <c r="E5018" i="1"/>
  <c r="D5018" i="1"/>
  <c r="F5017" i="1"/>
  <c r="E5017" i="1"/>
  <c r="D5017" i="1"/>
  <c r="F5016" i="1"/>
  <c r="E5016" i="1"/>
  <c r="D5016" i="1"/>
  <c r="F5015" i="1"/>
  <c r="E5015" i="1"/>
  <c r="D5015" i="1"/>
  <c r="F5014" i="1"/>
  <c r="E5014" i="1"/>
  <c r="D5014" i="1"/>
  <c r="F5013" i="1"/>
  <c r="E5013" i="1"/>
  <c r="D5013" i="1"/>
  <c r="F5012" i="1"/>
  <c r="E5012" i="1"/>
  <c r="D5012" i="1"/>
  <c r="F5011" i="1"/>
  <c r="E5011" i="1"/>
  <c r="D5011" i="1"/>
  <c r="F5010" i="1"/>
  <c r="E5010" i="1"/>
  <c r="D5010" i="1"/>
  <c r="F5009" i="1"/>
  <c r="E5009" i="1"/>
  <c r="D5009" i="1"/>
  <c r="F5008" i="1"/>
  <c r="E5008" i="1"/>
  <c r="D5008" i="1"/>
  <c r="F5007" i="1"/>
  <c r="E5007" i="1"/>
  <c r="D5007" i="1"/>
  <c r="F5006" i="1"/>
  <c r="E5006" i="1"/>
  <c r="D5006" i="1"/>
  <c r="F5005" i="1"/>
  <c r="E5005" i="1"/>
  <c r="D5005" i="1"/>
  <c r="F5004" i="1"/>
  <c r="E5004" i="1"/>
  <c r="D5004" i="1"/>
  <c r="F5003" i="1"/>
  <c r="E5003" i="1"/>
  <c r="D5003" i="1"/>
  <c r="F5002" i="1"/>
  <c r="E5002" i="1"/>
  <c r="D5002" i="1"/>
  <c r="F5001" i="1"/>
  <c r="E5001" i="1"/>
  <c r="D5001" i="1"/>
  <c r="F5000" i="1"/>
  <c r="E5000" i="1"/>
  <c r="D5000" i="1"/>
  <c r="F4999" i="1"/>
  <c r="E4999" i="1"/>
  <c r="D4999" i="1"/>
  <c r="F4998" i="1"/>
  <c r="E4998" i="1"/>
  <c r="D4998" i="1"/>
  <c r="F4997" i="1"/>
  <c r="E4997" i="1"/>
  <c r="D4997" i="1"/>
  <c r="F4996" i="1"/>
  <c r="E4996" i="1"/>
  <c r="D4996" i="1"/>
  <c r="F4995" i="1"/>
  <c r="E4995" i="1"/>
  <c r="D4995" i="1"/>
  <c r="F4994" i="1"/>
  <c r="E4994" i="1"/>
  <c r="D4994" i="1"/>
  <c r="F4993" i="1"/>
  <c r="E4993" i="1"/>
  <c r="D4993" i="1"/>
  <c r="F4992" i="1"/>
  <c r="E4992" i="1"/>
  <c r="D4992" i="1"/>
  <c r="F4991" i="1"/>
  <c r="E4991" i="1"/>
  <c r="D4991" i="1"/>
  <c r="F4990" i="1"/>
  <c r="E4990" i="1"/>
  <c r="D4990" i="1"/>
  <c r="F4989" i="1"/>
  <c r="E4989" i="1"/>
  <c r="D4989" i="1"/>
  <c r="F4988" i="1"/>
  <c r="E4988" i="1"/>
  <c r="D4988" i="1"/>
  <c r="F4987" i="1"/>
  <c r="E4987" i="1"/>
  <c r="D4987" i="1"/>
  <c r="F4986" i="1"/>
  <c r="E4986" i="1"/>
  <c r="D4986" i="1"/>
  <c r="F4985" i="1"/>
  <c r="E4985" i="1"/>
  <c r="D4985" i="1"/>
  <c r="F4984" i="1"/>
  <c r="E4984" i="1"/>
  <c r="D4984" i="1"/>
  <c r="F4983" i="1"/>
  <c r="E4983" i="1"/>
  <c r="D4983" i="1"/>
  <c r="F4982" i="1"/>
  <c r="E4982" i="1"/>
  <c r="D4982" i="1"/>
  <c r="F4981" i="1"/>
  <c r="E4981" i="1"/>
  <c r="D4981" i="1"/>
  <c r="F4980" i="1"/>
  <c r="E4980" i="1"/>
  <c r="D4980" i="1"/>
  <c r="F4979" i="1"/>
  <c r="E4979" i="1"/>
  <c r="D4979" i="1"/>
  <c r="F4978" i="1"/>
  <c r="E4978" i="1"/>
  <c r="D4978" i="1"/>
  <c r="F4977" i="1"/>
  <c r="E4977" i="1"/>
  <c r="D4977" i="1"/>
  <c r="F4976" i="1"/>
  <c r="E4976" i="1"/>
  <c r="D4976" i="1"/>
  <c r="F4975" i="1"/>
  <c r="E4975" i="1"/>
  <c r="D4975" i="1"/>
  <c r="F4974" i="1"/>
  <c r="E4974" i="1"/>
  <c r="D4974" i="1"/>
  <c r="F4973" i="1"/>
  <c r="E4973" i="1"/>
  <c r="D4973" i="1"/>
  <c r="F4972" i="1"/>
  <c r="E4972" i="1"/>
  <c r="D4972" i="1"/>
  <c r="F4971" i="1"/>
  <c r="E4971" i="1"/>
  <c r="D4971" i="1"/>
  <c r="F4970" i="1"/>
  <c r="E4970" i="1"/>
  <c r="D4970" i="1"/>
  <c r="F4969" i="1"/>
  <c r="E4969" i="1"/>
  <c r="D4969" i="1"/>
  <c r="F4968" i="1"/>
  <c r="E4968" i="1"/>
  <c r="D4968" i="1"/>
  <c r="F4967" i="1"/>
  <c r="E4967" i="1"/>
  <c r="D4967" i="1"/>
  <c r="F4966" i="1"/>
  <c r="E4966" i="1"/>
  <c r="D4966" i="1"/>
  <c r="F4965" i="1"/>
  <c r="E4965" i="1"/>
  <c r="D4965" i="1"/>
  <c r="F4964" i="1"/>
  <c r="E4964" i="1"/>
  <c r="D4964" i="1"/>
  <c r="F4963" i="1"/>
  <c r="E4963" i="1"/>
  <c r="D4963" i="1"/>
  <c r="F4962" i="1"/>
  <c r="E4962" i="1"/>
  <c r="D4962" i="1"/>
  <c r="F4961" i="1"/>
  <c r="E4961" i="1"/>
  <c r="D4961" i="1"/>
  <c r="F4960" i="1"/>
  <c r="E4960" i="1"/>
  <c r="D4960" i="1"/>
  <c r="F4959" i="1"/>
  <c r="E4959" i="1"/>
  <c r="D4959" i="1"/>
  <c r="F4958" i="1"/>
  <c r="E4958" i="1"/>
  <c r="D4958" i="1"/>
  <c r="F4957" i="1"/>
  <c r="E4957" i="1"/>
  <c r="D4957" i="1"/>
  <c r="F4956" i="1"/>
  <c r="E4956" i="1"/>
  <c r="D4956" i="1"/>
  <c r="F4955" i="1"/>
  <c r="E4955" i="1"/>
  <c r="D4955" i="1"/>
  <c r="F4954" i="1"/>
  <c r="E4954" i="1"/>
  <c r="D4954" i="1"/>
  <c r="F4953" i="1"/>
  <c r="E4953" i="1"/>
  <c r="D4953" i="1"/>
  <c r="F4952" i="1"/>
  <c r="E4952" i="1"/>
  <c r="D4952" i="1"/>
  <c r="F4951" i="1"/>
  <c r="E4951" i="1"/>
  <c r="D4951" i="1"/>
  <c r="F4950" i="1"/>
  <c r="E4950" i="1"/>
  <c r="D4950" i="1"/>
  <c r="F4949" i="1"/>
  <c r="E4949" i="1"/>
  <c r="D4949" i="1"/>
  <c r="F4948" i="1"/>
  <c r="E4948" i="1"/>
  <c r="D4948" i="1"/>
  <c r="F4947" i="1"/>
  <c r="E4947" i="1"/>
  <c r="D4947" i="1"/>
  <c r="F4946" i="1"/>
  <c r="E4946" i="1"/>
  <c r="D4946" i="1"/>
  <c r="F4945" i="1"/>
  <c r="E4945" i="1"/>
  <c r="D4945" i="1"/>
  <c r="F4944" i="1"/>
  <c r="E4944" i="1"/>
  <c r="D4944" i="1"/>
  <c r="F4943" i="1"/>
  <c r="E4943" i="1"/>
  <c r="D4943" i="1"/>
  <c r="F4942" i="1"/>
  <c r="E4942" i="1"/>
  <c r="D4942" i="1"/>
  <c r="F4941" i="1"/>
  <c r="E4941" i="1"/>
  <c r="D4941" i="1"/>
  <c r="F4940" i="1"/>
  <c r="E4940" i="1"/>
  <c r="D4940" i="1"/>
  <c r="F4939" i="1"/>
  <c r="E4939" i="1"/>
  <c r="D4939" i="1"/>
  <c r="F4938" i="1"/>
  <c r="E4938" i="1"/>
  <c r="D4938" i="1"/>
  <c r="F4937" i="1"/>
  <c r="E4937" i="1"/>
  <c r="D4937" i="1"/>
  <c r="F4936" i="1"/>
  <c r="E4936" i="1"/>
  <c r="D4936" i="1"/>
  <c r="F4935" i="1"/>
  <c r="E4935" i="1"/>
  <c r="D4935" i="1"/>
  <c r="F4934" i="1"/>
  <c r="E4934" i="1"/>
  <c r="D4934" i="1"/>
  <c r="F4933" i="1"/>
  <c r="E4933" i="1"/>
  <c r="D4933" i="1"/>
  <c r="F4932" i="1"/>
  <c r="E4932" i="1"/>
  <c r="D4932" i="1"/>
  <c r="F4931" i="1"/>
  <c r="E4931" i="1"/>
  <c r="D4931" i="1"/>
  <c r="F4930" i="1"/>
  <c r="E4930" i="1"/>
  <c r="D4930" i="1"/>
  <c r="F4929" i="1"/>
  <c r="E4929" i="1"/>
  <c r="D4929" i="1"/>
  <c r="F4928" i="1"/>
  <c r="E4928" i="1"/>
  <c r="D4928" i="1"/>
  <c r="F4927" i="1"/>
  <c r="E4927" i="1"/>
  <c r="D4927" i="1"/>
  <c r="F4926" i="1"/>
  <c r="E4926" i="1"/>
  <c r="D4926" i="1"/>
  <c r="F4925" i="1"/>
  <c r="E4925" i="1"/>
  <c r="D4925" i="1"/>
  <c r="F4924" i="1"/>
  <c r="E4924" i="1"/>
  <c r="D4924" i="1"/>
  <c r="F4923" i="1"/>
  <c r="E4923" i="1"/>
  <c r="D4923" i="1"/>
  <c r="F4922" i="1"/>
  <c r="E4922" i="1"/>
  <c r="D4922" i="1"/>
  <c r="F4921" i="1"/>
  <c r="E4921" i="1"/>
  <c r="D4921" i="1"/>
  <c r="F4920" i="1"/>
  <c r="E4920" i="1"/>
  <c r="D4920" i="1"/>
  <c r="F4919" i="1"/>
  <c r="E4919" i="1"/>
  <c r="D4919" i="1"/>
  <c r="F4918" i="1"/>
  <c r="E4918" i="1"/>
  <c r="D4918" i="1"/>
  <c r="F4917" i="1"/>
  <c r="E4917" i="1"/>
  <c r="D4917" i="1"/>
  <c r="F4916" i="1"/>
  <c r="E4916" i="1"/>
  <c r="D4916" i="1"/>
  <c r="F4915" i="1"/>
  <c r="E4915" i="1"/>
  <c r="D4915" i="1"/>
  <c r="F4914" i="1"/>
  <c r="E4914" i="1"/>
  <c r="D4914" i="1"/>
  <c r="F4913" i="1"/>
  <c r="E4913" i="1"/>
  <c r="D4913" i="1"/>
  <c r="F4912" i="1"/>
  <c r="E4912" i="1"/>
  <c r="D4912" i="1"/>
  <c r="F4911" i="1"/>
  <c r="E4911" i="1"/>
  <c r="D4911" i="1"/>
  <c r="F4910" i="1"/>
  <c r="E4910" i="1"/>
  <c r="D4910" i="1"/>
  <c r="F4909" i="1"/>
  <c r="E4909" i="1"/>
  <c r="D4909" i="1"/>
  <c r="F4908" i="1"/>
  <c r="E4908" i="1"/>
  <c r="D4908" i="1"/>
  <c r="F4907" i="1"/>
  <c r="E4907" i="1"/>
  <c r="D4907" i="1"/>
  <c r="F4906" i="1"/>
  <c r="E4906" i="1"/>
  <c r="D4906" i="1"/>
  <c r="F4905" i="1"/>
  <c r="E4905" i="1"/>
  <c r="D4905" i="1"/>
  <c r="F4904" i="1"/>
  <c r="E4904" i="1"/>
  <c r="D4904" i="1"/>
  <c r="F4903" i="1"/>
  <c r="E4903" i="1"/>
  <c r="D4903" i="1"/>
  <c r="F4902" i="1"/>
  <c r="E4902" i="1"/>
  <c r="D4902" i="1"/>
  <c r="F4901" i="1"/>
  <c r="E4901" i="1"/>
  <c r="D4901" i="1"/>
  <c r="F4900" i="1"/>
  <c r="E4900" i="1"/>
  <c r="D4900" i="1"/>
  <c r="F4899" i="1"/>
  <c r="E4899" i="1"/>
  <c r="D4899" i="1"/>
  <c r="F4898" i="1"/>
  <c r="E4898" i="1"/>
  <c r="D4898" i="1"/>
  <c r="F4897" i="1"/>
  <c r="E4897" i="1"/>
  <c r="D4897" i="1"/>
  <c r="F4896" i="1"/>
  <c r="E4896" i="1"/>
  <c r="D4896" i="1"/>
  <c r="F4895" i="1"/>
  <c r="E4895" i="1"/>
  <c r="D4895" i="1"/>
  <c r="F4894" i="1"/>
  <c r="E4894" i="1"/>
  <c r="D4894" i="1"/>
  <c r="F4893" i="1"/>
  <c r="E4893" i="1"/>
  <c r="D4893" i="1"/>
  <c r="F4892" i="1"/>
  <c r="E4892" i="1"/>
  <c r="D4892" i="1"/>
  <c r="F4891" i="1"/>
  <c r="E4891" i="1"/>
  <c r="D4891" i="1"/>
  <c r="F4890" i="1"/>
  <c r="E4890" i="1"/>
  <c r="D4890" i="1"/>
  <c r="F4889" i="1"/>
  <c r="E4889" i="1"/>
  <c r="D4889" i="1"/>
  <c r="F4888" i="1"/>
  <c r="E4888" i="1"/>
  <c r="D4888" i="1"/>
  <c r="F4887" i="1"/>
  <c r="E4887" i="1"/>
  <c r="D4887" i="1"/>
  <c r="F4886" i="1"/>
  <c r="E4886" i="1"/>
  <c r="D4886" i="1"/>
  <c r="F4885" i="1"/>
  <c r="E4885" i="1"/>
  <c r="D4885" i="1"/>
  <c r="F4884" i="1"/>
  <c r="E4884" i="1"/>
  <c r="D4884" i="1"/>
  <c r="F4883" i="1"/>
  <c r="E4883" i="1"/>
  <c r="D4883" i="1"/>
  <c r="F4882" i="1"/>
  <c r="E4882" i="1"/>
  <c r="D4882" i="1"/>
  <c r="F4881" i="1"/>
  <c r="E4881" i="1"/>
  <c r="D4881" i="1"/>
  <c r="F4880" i="1"/>
  <c r="E4880" i="1"/>
  <c r="D4880" i="1"/>
  <c r="F4879" i="1"/>
  <c r="E4879" i="1"/>
  <c r="D4879" i="1"/>
  <c r="F4878" i="1"/>
  <c r="E4878" i="1"/>
  <c r="D4878" i="1"/>
  <c r="F4877" i="1"/>
  <c r="E4877" i="1"/>
  <c r="D4877" i="1"/>
  <c r="F4876" i="1"/>
  <c r="E4876" i="1"/>
  <c r="D4876" i="1"/>
  <c r="F4875" i="1"/>
  <c r="E4875" i="1"/>
  <c r="D4875" i="1"/>
  <c r="F4874" i="1"/>
  <c r="E4874" i="1"/>
  <c r="D4874" i="1"/>
  <c r="F4873" i="1"/>
  <c r="E4873" i="1"/>
  <c r="D4873" i="1"/>
  <c r="F4872" i="1"/>
  <c r="E4872" i="1"/>
  <c r="D4872" i="1"/>
  <c r="F4871" i="1"/>
  <c r="E4871" i="1"/>
  <c r="D4871" i="1"/>
  <c r="F4870" i="1"/>
  <c r="E4870" i="1"/>
  <c r="D4870" i="1"/>
  <c r="F4869" i="1"/>
  <c r="E4869" i="1"/>
  <c r="D4869" i="1"/>
  <c r="F4868" i="1"/>
  <c r="E4868" i="1"/>
  <c r="D4868" i="1"/>
  <c r="F4867" i="1"/>
  <c r="E4867" i="1"/>
  <c r="D4867" i="1"/>
  <c r="F4866" i="1"/>
  <c r="E4866" i="1"/>
  <c r="D4866" i="1"/>
  <c r="F4865" i="1"/>
  <c r="E4865" i="1"/>
  <c r="D4865" i="1"/>
  <c r="F4864" i="1"/>
  <c r="E4864" i="1"/>
  <c r="D4864" i="1"/>
  <c r="F4863" i="1"/>
  <c r="E4863" i="1"/>
  <c r="D4863" i="1"/>
  <c r="F4862" i="1"/>
  <c r="E4862" i="1"/>
  <c r="D4862" i="1"/>
  <c r="F4861" i="1"/>
  <c r="E4861" i="1"/>
  <c r="D4861" i="1"/>
  <c r="F4860" i="1"/>
  <c r="E4860" i="1"/>
  <c r="D4860" i="1"/>
  <c r="F4859" i="1"/>
  <c r="E4859" i="1"/>
  <c r="D4859" i="1"/>
  <c r="F4858" i="1"/>
  <c r="E4858" i="1"/>
  <c r="D4858" i="1"/>
  <c r="F4857" i="1"/>
  <c r="E4857" i="1"/>
  <c r="D4857" i="1"/>
  <c r="F4856" i="1"/>
  <c r="E4856" i="1"/>
  <c r="D4856" i="1"/>
  <c r="F4855" i="1"/>
  <c r="E4855" i="1"/>
  <c r="D4855" i="1"/>
  <c r="F4854" i="1"/>
  <c r="E4854" i="1"/>
  <c r="D4854" i="1"/>
  <c r="F4853" i="1"/>
  <c r="E4853" i="1"/>
  <c r="D4853" i="1"/>
  <c r="F4852" i="1"/>
  <c r="E4852" i="1"/>
  <c r="D4852" i="1"/>
  <c r="F4851" i="1"/>
  <c r="E4851" i="1"/>
  <c r="D4851" i="1"/>
  <c r="F4850" i="1"/>
  <c r="E4850" i="1"/>
  <c r="D4850" i="1"/>
  <c r="F4849" i="1"/>
  <c r="E4849" i="1"/>
  <c r="D4849" i="1"/>
  <c r="F4848" i="1"/>
  <c r="E4848" i="1"/>
  <c r="D4848" i="1"/>
  <c r="F4847" i="1"/>
  <c r="E4847" i="1"/>
  <c r="D4847" i="1"/>
  <c r="F4846" i="1"/>
  <c r="E4846" i="1"/>
  <c r="D4846" i="1"/>
  <c r="F4845" i="1"/>
  <c r="E4845" i="1"/>
  <c r="D4845" i="1"/>
  <c r="F4844" i="1"/>
  <c r="E4844" i="1"/>
  <c r="D4844" i="1"/>
  <c r="F4843" i="1"/>
  <c r="E4843" i="1"/>
  <c r="D4843" i="1"/>
  <c r="F4842" i="1"/>
  <c r="E4842" i="1"/>
  <c r="D4842" i="1"/>
  <c r="F4841" i="1"/>
  <c r="E4841" i="1"/>
  <c r="D4841" i="1"/>
  <c r="F4840" i="1"/>
  <c r="E4840" i="1"/>
  <c r="D4840" i="1"/>
  <c r="F4839" i="1"/>
  <c r="E4839" i="1"/>
  <c r="D4839" i="1"/>
  <c r="F4838" i="1"/>
  <c r="E4838" i="1"/>
  <c r="D4838" i="1"/>
  <c r="F4837" i="1"/>
  <c r="E4837" i="1"/>
  <c r="D4837" i="1"/>
  <c r="F4836" i="1"/>
  <c r="E4836" i="1"/>
  <c r="D4836" i="1"/>
  <c r="F4835" i="1"/>
  <c r="E4835" i="1"/>
  <c r="D4835" i="1"/>
  <c r="F4834" i="1"/>
  <c r="E4834" i="1"/>
  <c r="D4834" i="1"/>
  <c r="F4833" i="1"/>
  <c r="E4833" i="1"/>
  <c r="D4833" i="1"/>
  <c r="F4832" i="1"/>
  <c r="E4832" i="1"/>
  <c r="D4832" i="1"/>
  <c r="F4831" i="1"/>
  <c r="E4831" i="1"/>
  <c r="D4831" i="1"/>
  <c r="F4830" i="1"/>
  <c r="E4830" i="1"/>
  <c r="D4830" i="1"/>
  <c r="F4829" i="1"/>
  <c r="E4829" i="1"/>
  <c r="D4829" i="1"/>
  <c r="F4828" i="1"/>
  <c r="E4828" i="1"/>
  <c r="D4828" i="1"/>
  <c r="F4827" i="1"/>
  <c r="E4827" i="1"/>
  <c r="D4827" i="1"/>
  <c r="F4826" i="1"/>
  <c r="E4826" i="1"/>
  <c r="D4826" i="1"/>
  <c r="F4825" i="1"/>
  <c r="E4825" i="1"/>
  <c r="D4825" i="1"/>
  <c r="F4824" i="1"/>
  <c r="E4824" i="1"/>
  <c r="D4824" i="1"/>
  <c r="F4823" i="1"/>
  <c r="E4823" i="1"/>
  <c r="D4823" i="1"/>
  <c r="F4822" i="1"/>
  <c r="E4822" i="1"/>
  <c r="D4822" i="1"/>
  <c r="F4821" i="1"/>
  <c r="E4821" i="1"/>
  <c r="D4821" i="1"/>
  <c r="F4820" i="1"/>
  <c r="E4820" i="1"/>
  <c r="D4820" i="1"/>
  <c r="F4819" i="1"/>
  <c r="E4819" i="1"/>
  <c r="D4819" i="1"/>
  <c r="F4818" i="1"/>
  <c r="E4818" i="1"/>
  <c r="D4818" i="1"/>
  <c r="F4817" i="1"/>
  <c r="E4817" i="1"/>
  <c r="D4817" i="1"/>
  <c r="F4816" i="1"/>
  <c r="E4816" i="1"/>
  <c r="D4816" i="1"/>
  <c r="F4815" i="1"/>
  <c r="E4815" i="1"/>
  <c r="D4815" i="1"/>
  <c r="F4814" i="1"/>
  <c r="E4814" i="1"/>
  <c r="D4814" i="1"/>
  <c r="F4813" i="1"/>
  <c r="E4813" i="1"/>
  <c r="D4813" i="1"/>
  <c r="F4812" i="1"/>
  <c r="E4812" i="1"/>
  <c r="D4812" i="1"/>
  <c r="F4811" i="1"/>
  <c r="E4811" i="1"/>
  <c r="D4811" i="1"/>
  <c r="F4810" i="1"/>
  <c r="E4810" i="1"/>
  <c r="D4810" i="1"/>
  <c r="F4809" i="1"/>
  <c r="E4809" i="1"/>
  <c r="D4809" i="1"/>
  <c r="F4808" i="1"/>
  <c r="E4808" i="1"/>
  <c r="D4808" i="1"/>
  <c r="F4807" i="1"/>
  <c r="E4807" i="1"/>
  <c r="D4807" i="1"/>
  <c r="F4806" i="1"/>
  <c r="E4806" i="1"/>
  <c r="D4806" i="1"/>
  <c r="F4805" i="1"/>
  <c r="E4805" i="1"/>
  <c r="D4805" i="1"/>
  <c r="F4804" i="1"/>
  <c r="E4804" i="1"/>
  <c r="D4804" i="1"/>
  <c r="F4803" i="1"/>
  <c r="E4803" i="1"/>
  <c r="D4803" i="1"/>
  <c r="F4802" i="1"/>
  <c r="E4802" i="1"/>
  <c r="D4802" i="1"/>
  <c r="F4801" i="1"/>
  <c r="E4801" i="1"/>
  <c r="D4801" i="1"/>
  <c r="F4800" i="1"/>
  <c r="E4800" i="1"/>
  <c r="D4800" i="1"/>
  <c r="F4799" i="1"/>
  <c r="E4799" i="1"/>
  <c r="D4799" i="1"/>
  <c r="F4798" i="1"/>
  <c r="E4798" i="1"/>
  <c r="D4798" i="1"/>
  <c r="F4797" i="1"/>
  <c r="E4797" i="1"/>
  <c r="D4797" i="1"/>
  <c r="F4796" i="1"/>
  <c r="E4796" i="1"/>
  <c r="D4796" i="1"/>
  <c r="F4795" i="1"/>
  <c r="E4795" i="1"/>
  <c r="D4795" i="1"/>
  <c r="F4794" i="1"/>
  <c r="E4794" i="1"/>
  <c r="D4794" i="1"/>
  <c r="F4793" i="1"/>
  <c r="E4793" i="1"/>
  <c r="D4793" i="1"/>
  <c r="F4792" i="1"/>
  <c r="E4792" i="1"/>
  <c r="D4792" i="1"/>
  <c r="F4791" i="1"/>
  <c r="E4791" i="1"/>
  <c r="D4791" i="1"/>
  <c r="F4790" i="1"/>
  <c r="E4790" i="1"/>
  <c r="D4790" i="1"/>
  <c r="F4789" i="1"/>
  <c r="E4789" i="1"/>
  <c r="D4789" i="1"/>
  <c r="F4788" i="1"/>
  <c r="E4788" i="1"/>
  <c r="D4788" i="1"/>
  <c r="F4787" i="1"/>
  <c r="E4787" i="1"/>
  <c r="D4787" i="1"/>
  <c r="F4786" i="1"/>
  <c r="E4786" i="1"/>
  <c r="D4786" i="1"/>
  <c r="F4785" i="1"/>
  <c r="E4785" i="1"/>
  <c r="D4785" i="1"/>
  <c r="F4784" i="1"/>
  <c r="E4784" i="1"/>
  <c r="D4784" i="1"/>
  <c r="F4783" i="1"/>
  <c r="E4783" i="1"/>
  <c r="D4783" i="1"/>
  <c r="F4782" i="1"/>
  <c r="E4782" i="1"/>
  <c r="D4782" i="1"/>
  <c r="F4781" i="1"/>
  <c r="E4781" i="1"/>
  <c r="D4781" i="1"/>
  <c r="F4780" i="1"/>
  <c r="E4780" i="1"/>
  <c r="D4780" i="1"/>
  <c r="F4779" i="1"/>
  <c r="E4779" i="1"/>
  <c r="D4779" i="1"/>
  <c r="F4778" i="1"/>
  <c r="E4778" i="1"/>
  <c r="D4778" i="1"/>
  <c r="F4777" i="1"/>
  <c r="E4777" i="1"/>
  <c r="D4777" i="1"/>
  <c r="F4776" i="1"/>
  <c r="E4776" i="1"/>
  <c r="D4776" i="1"/>
  <c r="F4775" i="1"/>
  <c r="E4775" i="1"/>
  <c r="D4775" i="1"/>
  <c r="F4774" i="1"/>
  <c r="E4774" i="1"/>
  <c r="D4774" i="1"/>
  <c r="F4773" i="1"/>
  <c r="E4773" i="1"/>
  <c r="D4773" i="1"/>
  <c r="F4772" i="1"/>
  <c r="E4772" i="1"/>
  <c r="D4772" i="1"/>
  <c r="F4771" i="1"/>
  <c r="E4771" i="1"/>
  <c r="D4771" i="1"/>
  <c r="F4770" i="1"/>
  <c r="E4770" i="1"/>
  <c r="D4770" i="1"/>
  <c r="F4769" i="1"/>
  <c r="E4769" i="1"/>
  <c r="D4769" i="1"/>
  <c r="F4768" i="1"/>
  <c r="E4768" i="1"/>
  <c r="D4768" i="1"/>
  <c r="F4767" i="1"/>
  <c r="E4767" i="1"/>
  <c r="D4767" i="1"/>
  <c r="F4766" i="1"/>
  <c r="E4766" i="1"/>
  <c r="D4766" i="1"/>
  <c r="F4765" i="1"/>
  <c r="E4765" i="1"/>
  <c r="D4765" i="1"/>
  <c r="F4764" i="1"/>
  <c r="E4764" i="1"/>
  <c r="D4764" i="1"/>
  <c r="F4763" i="1"/>
  <c r="E4763" i="1"/>
  <c r="D4763" i="1"/>
  <c r="F4762" i="1"/>
  <c r="E4762" i="1"/>
  <c r="D4762" i="1"/>
  <c r="F4761" i="1"/>
  <c r="E4761" i="1"/>
  <c r="D4761" i="1"/>
  <c r="F4760" i="1"/>
  <c r="E4760" i="1"/>
  <c r="D4760" i="1"/>
  <c r="F4759" i="1"/>
  <c r="E4759" i="1"/>
  <c r="D4759" i="1"/>
  <c r="F4758" i="1"/>
  <c r="E4758" i="1"/>
  <c r="D4758" i="1"/>
  <c r="F4757" i="1"/>
  <c r="E4757" i="1"/>
  <c r="D4757" i="1"/>
  <c r="F4756" i="1"/>
  <c r="E4756" i="1"/>
  <c r="D4756" i="1"/>
  <c r="F4755" i="1"/>
  <c r="E4755" i="1"/>
  <c r="D4755" i="1"/>
  <c r="F4754" i="1"/>
  <c r="E4754" i="1"/>
  <c r="D4754" i="1"/>
  <c r="F4753" i="1"/>
  <c r="E4753" i="1"/>
  <c r="D4753" i="1"/>
  <c r="F4752" i="1"/>
  <c r="E4752" i="1"/>
  <c r="D4752" i="1"/>
  <c r="F4751" i="1"/>
  <c r="E4751" i="1"/>
  <c r="D4751" i="1"/>
  <c r="F4750" i="1"/>
  <c r="E4750" i="1"/>
  <c r="D4750" i="1"/>
  <c r="F4749" i="1"/>
  <c r="E4749" i="1"/>
  <c r="D4749" i="1"/>
  <c r="F4748" i="1"/>
  <c r="E4748" i="1"/>
  <c r="D4748" i="1"/>
  <c r="F4747" i="1"/>
  <c r="E4747" i="1"/>
  <c r="D4747" i="1"/>
  <c r="F4746" i="1"/>
  <c r="E4746" i="1"/>
  <c r="D4746" i="1"/>
  <c r="F4745" i="1"/>
  <c r="E4745" i="1"/>
  <c r="D4745" i="1"/>
  <c r="F4744" i="1"/>
  <c r="E4744" i="1"/>
  <c r="D4744" i="1"/>
  <c r="F4743" i="1"/>
  <c r="E4743" i="1"/>
  <c r="D4743" i="1"/>
  <c r="F4742" i="1"/>
  <c r="E4742" i="1"/>
  <c r="D4742" i="1"/>
  <c r="F4741" i="1"/>
  <c r="E4741" i="1"/>
  <c r="D4741" i="1"/>
  <c r="F4740" i="1"/>
  <c r="E4740" i="1"/>
  <c r="D4740" i="1"/>
  <c r="F4739" i="1"/>
  <c r="E4739" i="1"/>
  <c r="D4739" i="1"/>
  <c r="F4738" i="1"/>
  <c r="E4738" i="1"/>
  <c r="D4738" i="1"/>
  <c r="F4737" i="1"/>
  <c r="E4737" i="1"/>
  <c r="D4737" i="1"/>
  <c r="F4736" i="1"/>
  <c r="E4736" i="1"/>
  <c r="D4736" i="1"/>
  <c r="F4735" i="1"/>
  <c r="E4735" i="1"/>
  <c r="D4735" i="1"/>
  <c r="F4734" i="1"/>
  <c r="E4734" i="1"/>
  <c r="D4734" i="1"/>
  <c r="F4733" i="1"/>
  <c r="E4733" i="1"/>
  <c r="D4733" i="1"/>
  <c r="F4732" i="1"/>
  <c r="E4732" i="1"/>
  <c r="D4732" i="1"/>
  <c r="F4731" i="1"/>
  <c r="E4731" i="1"/>
  <c r="D4731" i="1"/>
  <c r="F4730" i="1"/>
  <c r="E4730" i="1"/>
  <c r="D4730" i="1"/>
  <c r="F4729" i="1"/>
  <c r="E4729" i="1"/>
  <c r="D4729" i="1"/>
  <c r="F4728" i="1"/>
  <c r="E4728" i="1"/>
  <c r="D4728" i="1"/>
  <c r="F4727" i="1"/>
  <c r="E4727" i="1"/>
  <c r="D4727" i="1"/>
  <c r="F4726" i="1"/>
  <c r="E4726" i="1"/>
  <c r="D4726" i="1"/>
  <c r="F4725" i="1"/>
  <c r="E4725" i="1"/>
  <c r="D4725" i="1"/>
  <c r="F4724" i="1"/>
  <c r="E4724" i="1"/>
  <c r="D4724" i="1"/>
  <c r="F4723" i="1"/>
  <c r="E4723" i="1"/>
  <c r="D4723" i="1"/>
  <c r="F4722" i="1"/>
  <c r="E4722" i="1"/>
  <c r="D4722" i="1"/>
  <c r="F4721" i="1"/>
  <c r="E4721" i="1"/>
  <c r="D4721" i="1"/>
  <c r="F4720" i="1"/>
  <c r="E4720" i="1"/>
  <c r="D4720" i="1"/>
  <c r="F4719" i="1"/>
  <c r="E4719" i="1"/>
  <c r="D4719" i="1"/>
  <c r="F4718" i="1"/>
  <c r="E4718" i="1"/>
  <c r="D4718" i="1"/>
  <c r="F4717" i="1"/>
  <c r="E4717" i="1"/>
  <c r="D4717" i="1"/>
  <c r="F4716" i="1"/>
  <c r="E4716" i="1"/>
  <c r="D4716" i="1"/>
  <c r="F4715" i="1"/>
  <c r="E4715" i="1"/>
  <c r="D4715" i="1"/>
  <c r="F4714" i="1"/>
  <c r="E4714" i="1"/>
  <c r="D4714" i="1"/>
  <c r="F4713" i="1"/>
  <c r="E4713" i="1"/>
  <c r="D4713" i="1"/>
  <c r="F4712" i="1"/>
  <c r="E4712" i="1"/>
  <c r="D4712" i="1"/>
  <c r="F4711" i="1"/>
  <c r="E4711" i="1"/>
  <c r="D4711" i="1"/>
  <c r="F4710" i="1"/>
  <c r="E4710" i="1"/>
  <c r="D4710" i="1"/>
  <c r="F4709" i="1"/>
  <c r="E4709" i="1"/>
  <c r="D4709" i="1"/>
  <c r="F4708" i="1"/>
  <c r="E4708" i="1"/>
  <c r="D4708" i="1"/>
  <c r="F4707" i="1"/>
  <c r="E4707" i="1"/>
  <c r="D4707" i="1"/>
  <c r="F4706" i="1"/>
  <c r="E4706" i="1"/>
  <c r="D4706" i="1"/>
  <c r="F4705" i="1"/>
  <c r="E4705" i="1"/>
  <c r="D4705" i="1"/>
  <c r="F4704" i="1"/>
  <c r="E4704" i="1"/>
  <c r="D4704" i="1"/>
  <c r="F4703" i="1"/>
  <c r="E4703" i="1"/>
  <c r="D4703" i="1"/>
  <c r="F4702" i="1"/>
  <c r="E4702" i="1"/>
  <c r="D4702" i="1"/>
  <c r="F4701" i="1"/>
  <c r="E4701" i="1"/>
  <c r="D4701" i="1"/>
  <c r="F4700" i="1"/>
  <c r="E4700" i="1"/>
  <c r="D4700" i="1"/>
  <c r="F4699" i="1"/>
  <c r="E4699" i="1"/>
  <c r="D4699" i="1"/>
  <c r="F4698" i="1"/>
  <c r="E4698" i="1"/>
  <c r="D4698" i="1"/>
  <c r="F4697" i="1"/>
  <c r="E4697" i="1"/>
  <c r="D4697" i="1"/>
  <c r="F4696" i="1"/>
  <c r="E4696" i="1"/>
  <c r="D4696" i="1"/>
  <c r="F4695" i="1"/>
  <c r="E4695" i="1"/>
  <c r="D4695" i="1"/>
  <c r="F4694" i="1"/>
  <c r="E4694" i="1"/>
  <c r="D4694" i="1"/>
  <c r="F4693" i="1"/>
  <c r="E4693" i="1"/>
  <c r="D4693" i="1"/>
  <c r="F4692" i="1"/>
  <c r="E4692" i="1"/>
  <c r="D4692" i="1"/>
  <c r="F4691" i="1"/>
  <c r="E4691" i="1"/>
  <c r="D4691" i="1"/>
  <c r="F4690" i="1"/>
  <c r="E4690" i="1"/>
  <c r="D4690" i="1"/>
  <c r="F4689" i="1"/>
  <c r="E4689" i="1"/>
  <c r="D4689" i="1"/>
  <c r="F4688" i="1"/>
  <c r="E4688" i="1"/>
  <c r="D4688" i="1"/>
  <c r="F4687" i="1"/>
  <c r="E4687" i="1"/>
  <c r="D4687" i="1"/>
  <c r="F4686" i="1"/>
  <c r="E4686" i="1"/>
  <c r="D4686" i="1"/>
  <c r="F4685" i="1"/>
  <c r="E4685" i="1"/>
  <c r="D4685" i="1"/>
  <c r="F4684" i="1"/>
  <c r="E4684" i="1"/>
  <c r="D4684" i="1"/>
  <c r="F4683" i="1"/>
  <c r="E4683" i="1"/>
  <c r="D4683" i="1"/>
  <c r="F4682" i="1"/>
  <c r="E4682" i="1"/>
  <c r="D4682" i="1"/>
  <c r="F4681" i="1"/>
  <c r="E4681" i="1"/>
  <c r="D4681" i="1"/>
  <c r="F4680" i="1"/>
  <c r="E4680" i="1"/>
  <c r="D4680" i="1"/>
  <c r="F4679" i="1"/>
  <c r="E4679" i="1"/>
  <c r="D4679" i="1"/>
  <c r="F4678" i="1"/>
  <c r="E4678" i="1"/>
  <c r="D4678" i="1"/>
  <c r="F4677" i="1"/>
  <c r="E4677" i="1"/>
  <c r="D4677" i="1"/>
  <c r="F4676" i="1"/>
  <c r="E4676" i="1"/>
  <c r="D4676" i="1"/>
  <c r="F4675" i="1"/>
  <c r="E4675" i="1"/>
  <c r="D4675" i="1"/>
  <c r="F4674" i="1"/>
  <c r="E4674" i="1"/>
  <c r="D4674" i="1"/>
  <c r="F4673" i="1"/>
  <c r="E4673" i="1"/>
  <c r="D4673" i="1"/>
  <c r="F4672" i="1"/>
  <c r="E4672" i="1"/>
  <c r="D4672" i="1"/>
  <c r="F4671" i="1"/>
  <c r="E4671" i="1"/>
  <c r="D4671" i="1"/>
  <c r="F4670" i="1"/>
  <c r="E4670" i="1"/>
  <c r="D4670" i="1"/>
  <c r="F4669" i="1"/>
  <c r="E4669" i="1"/>
  <c r="D4669" i="1"/>
  <c r="F4668" i="1"/>
  <c r="E4668" i="1"/>
  <c r="D4668" i="1"/>
  <c r="F4667" i="1"/>
  <c r="E4667" i="1"/>
  <c r="D4667" i="1"/>
  <c r="F4666" i="1"/>
  <c r="E4666" i="1"/>
  <c r="D4666" i="1"/>
  <c r="F4665" i="1"/>
  <c r="E4665" i="1"/>
  <c r="D4665" i="1"/>
  <c r="F4664" i="1"/>
  <c r="E4664" i="1"/>
  <c r="D4664" i="1"/>
  <c r="F4663" i="1"/>
  <c r="E4663" i="1"/>
  <c r="D4663" i="1"/>
  <c r="F4662" i="1"/>
  <c r="E4662" i="1"/>
  <c r="D4662" i="1"/>
  <c r="F4661" i="1"/>
  <c r="E4661" i="1"/>
  <c r="D4661" i="1"/>
  <c r="F4660" i="1"/>
  <c r="E4660" i="1"/>
  <c r="D4660" i="1"/>
  <c r="F4659" i="1"/>
  <c r="E4659" i="1"/>
  <c r="D4659" i="1"/>
  <c r="F4658" i="1"/>
  <c r="E4658" i="1"/>
  <c r="D4658" i="1"/>
  <c r="F4657" i="1"/>
  <c r="E4657" i="1"/>
  <c r="D4657" i="1"/>
  <c r="F4656" i="1"/>
  <c r="E4656" i="1"/>
  <c r="D4656" i="1"/>
  <c r="F4655" i="1"/>
  <c r="E4655" i="1"/>
  <c r="D4655" i="1"/>
  <c r="F4654" i="1"/>
  <c r="E4654" i="1"/>
  <c r="D4654" i="1"/>
  <c r="F4653" i="1"/>
  <c r="E4653" i="1"/>
  <c r="D4653" i="1"/>
  <c r="F4652" i="1"/>
  <c r="E4652" i="1"/>
  <c r="D4652" i="1"/>
  <c r="F4651" i="1"/>
  <c r="E4651" i="1"/>
  <c r="D4651" i="1"/>
  <c r="F4650" i="1"/>
  <c r="E4650" i="1"/>
  <c r="D4650" i="1"/>
  <c r="F4649" i="1"/>
  <c r="E4649" i="1"/>
  <c r="D4649" i="1"/>
  <c r="F4648" i="1"/>
  <c r="E4648" i="1"/>
  <c r="D4648" i="1"/>
  <c r="F4647" i="1"/>
  <c r="E4647" i="1"/>
  <c r="D4647" i="1"/>
  <c r="F4646" i="1"/>
  <c r="E4646" i="1"/>
  <c r="D4646" i="1"/>
  <c r="F4645" i="1"/>
  <c r="E4645" i="1"/>
  <c r="D4645" i="1"/>
  <c r="F4644" i="1"/>
  <c r="E4644" i="1"/>
  <c r="D4644" i="1"/>
  <c r="F4643" i="1"/>
  <c r="E4643" i="1"/>
  <c r="D4643" i="1"/>
  <c r="F4642" i="1"/>
  <c r="E4642" i="1"/>
  <c r="D4642" i="1"/>
  <c r="F4641" i="1"/>
  <c r="E4641" i="1"/>
  <c r="D4641" i="1"/>
  <c r="F4640" i="1"/>
  <c r="E4640" i="1"/>
  <c r="D4640" i="1"/>
  <c r="F4639" i="1"/>
  <c r="E4639" i="1"/>
  <c r="D4639" i="1"/>
  <c r="F4638" i="1"/>
  <c r="E4638" i="1"/>
  <c r="D4638" i="1"/>
  <c r="F4637" i="1"/>
  <c r="E4637" i="1"/>
  <c r="D4637" i="1"/>
  <c r="F4636" i="1"/>
  <c r="E4636" i="1"/>
  <c r="D4636" i="1"/>
  <c r="F4635" i="1"/>
  <c r="E4635" i="1"/>
  <c r="D4635" i="1"/>
  <c r="F4634" i="1"/>
  <c r="E4634" i="1"/>
  <c r="D4634" i="1"/>
  <c r="F4633" i="1"/>
  <c r="E4633" i="1"/>
  <c r="D4633" i="1"/>
  <c r="F4632" i="1"/>
  <c r="E4632" i="1"/>
  <c r="D4632" i="1"/>
  <c r="F4631" i="1"/>
  <c r="E4631" i="1"/>
  <c r="D4631" i="1"/>
  <c r="F4630" i="1"/>
  <c r="E4630" i="1"/>
  <c r="D4630" i="1"/>
  <c r="F4629" i="1"/>
  <c r="E4629" i="1"/>
  <c r="D4629" i="1"/>
  <c r="F4628" i="1"/>
  <c r="E4628" i="1"/>
  <c r="D4628" i="1"/>
  <c r="F4627" i="1"/>
  <c r="E4627" i="1"/>
  <c r="D4627" i="1"/>
  <c r="F4626" i="1"/>
  <c r="E4626" i="1"/>
  <c r="D4626" i="1"/>
  <c r="F4625" i="1"/>
  <c r="E4625" i="1"/>
  <c r="D4625" i="1"/>
  <c r="F4624" i="1"/>
  <c r="E4624" i="1"/>
  <c r="D4624" i="1"/>
  <c r="F4623" i="1"/>
  <c r="E4623" i="1"/>
  <c r="D4623" i="1"/>
  <c r="F4622" i="1"/>
  <c r="E4622" i="1"/>
  <c r="D4622" i="1"/>
  <c r="F4621" i="1"/>
  <c r="E4621" i="1"/>
  <c r="D4621" i="1"/>
  <c r="F4620" i="1"/>
  <c r="E4620" i="1"/>
  <c r="D4620" i="1"/>
  <c r="F4619" i="1"/>
  <c r="E4619" i="1"/>
  <c r="D4619" i="1"/>
  <c r="F4618" i="1"/>
  <c r="E4618" i="1"/>
  <c r="D4618" i="1"/>
  <c r="F4617" i="1"/>
  <c r="E4617" i="1"/>
  <c r="D4617" i="1"/>
  <c r="F4616" i="1"/>
  <c r="E4616" i="1"/>
  <c r="D4616" i="1"/>
  <c r="F4615" i="1"/>
  <c r="E4615" i="1"/>
  <c r="D4615" i="1"/>
  <c r="F4614" i="1"/>
  <c r="E4614" i="1"/>
  <c r="D4614" i="1"/>
  <c r="F4613" i="1"/>
  <c r="E4613" i="1"/>
  <c r="D4613" i="1"/>
  <c r="F4612" i="1"/>
  <c r="E4612" i="1"/>
  <c r="D4612" i="1"/>
  <c r="F4611" i="1"/>
  <c r="E4611" i="1"/>
  <c r="D4611" i="1"/>
  <c r="F4610" i="1"/>
  <c r="E4610" i="1"/>
  <c r="D4610" i="1"/>
  <c r="F4609" i="1"/>
  <c r="E4609" i="1"/>
  <c r="D4609" i="1"/>
  <c r="F4608" i="1"/>
  <c r="E4608" i="1"/>
  <c r="D4608" i="1"/>
  <c r="F4607" i="1"/>
  <c r="E4607" i="1"/>
  <c r="D4607" i="1"/>
  <c r="F4606" i="1"/>
  <c r="E4606" i="1"/>
  <c r="D4606" i="1"/>
  <c r="F4605" i="1"/>
  <c r="E4605" i="1"/>
  <c r="D4605" i="1"/>
  <c r="F4604" i="1"/>
  <c r="E4604" i="1"/>
  <c r="D4604" i="1"/>
  <c r="F4603" i="1"/>
  <c r="E4603" i="1"/>
  <c r="D4603" i="1"/>
  <c r="F4602" i="1"/>
  <c r="E4602" i="1"/>
  <c r="D4602" i="1"/>
  <c r="F4601" i="1"/>
  <c r="E4601" i="1"/>
  <c r="D4601" i="1"/>
  <c r="F4600" i="1"/>
  <c r="E4600" i="1"/>
  <c r="D4600" i="1"/>
  <c r="F4599" i="1"/>
  <c r="E4599" i="1"/>
  <c r="D4599" i="1"/>
  <c r="F4598" i="1"/>
  <c r="E4598" i="1"/>
  <c r="D4598" i="1"/>
  <c r="F4597" i="1"/>
  <c r="E4597" i="1"/>
  <c r="D4597" i="1"/>
  <c r="F4596" i="1"/>
  <c r="E4596" i="1"/>
  <c r="D4596" i="1"/>
  <c r="F4595" i="1"/>
  <c r="E4595" i="1"/>
  <c r="D4595" i="1"/>
  <c r="F4594" i="1"/>
  <c r="E4594" i="1"/>
  <c r="D4594" i="1"/>
  <c r="F4593" i="1"/>
  <c r="E4593" i="1"/>
  <c r="D4593" i="1"/>
  <c r="F4592" i="1"/>
  <c r="E4592" i="1"/>
  <c r="D4592" i="1"/>
  <c r="F4591" i="1"/>
  <c r="E4591" i="1"/>
  <c r="D4591" i="1"/>
  <c r="F4590" i="1"/>
  <c r="E4590" i="1"/>
  <c r="D4590" i="1"/>
  <c r="F4589" i="1"/>
  <c r="E4589" i="1"/>
  <c r="D4589" i="1"/>
  <c r="F4588" i="1"/>
  <c r="E4588" i="1"/>
  <c r="D4588" i="1"/>
  <c r="F4587" i="1"/>
  <c r="E4587" i="1"/>
  <c r="D4587" i="1"/>
  <c r="F4586" i="1"/>
  <c r="E4586" i="1"/>
  <c r="D4586" i="1"/>
  <c r="F4585" i="1"/>
  <c r="E4585" i="1"/>
  <c r="D4585" i="1"/>
  <c r="F4584" i="1"/>
  <c r="E4584" i="1"/>
  <c r="D4584" i="1"/>
  <c r="F4583" i="1"/>
  <c r="E4583" i="1"/>
  <c r="D4583" i="1"/>
  <c r="F4582" i="1"/>
  <c r="E4582" i="1"/>
  <c r="D4582" i="1"/>
  <c r="F4581" i="1"/>
  <c r="E4581" i="1"/>
  <c r="D4581" i="1"/>
  <c r="F4580" i="1"/>
  <c r="E4580" i="1"/>
  <c r="D4580" i="1"/>
  <c r="F4579" i="1"/>
  <c r="E4579" i="1"/>
  <c r="D4579" i="1"/>
  <c r="F4578" i="1"/>
  <c r="E4578" i="1"/>
  <c r="D4578" i="1"/>
  <c r="F4577" i="1"/>
  <c r="E4577" i="1"/>
  <c r="D4577" i="1"/>
  <c r="F4576" i="1"/>
  <c r="E4576" i="1"/>
  <c r="D4576" i="1"/>
  <c r="F4575" i="1"/>
  <c r="E4575" i="1"/>
  <c r="D4575" i="1"/>
  <c r="F4574" i="1"/>
  <c r="E4574" i="1"/>
  <c r="D4574" i="1"/>
  <c r="F4573" i="1"/>
  <c r="E4573" i="1"/>
  <c r="D4573" i="1"/>
  <c r="F4572" i="1"/>
  <c r="E4572" i="1"/>
  <c r="D4572" i="1"/>
  <c r="F4571" i="1"/>
  <c r="E4571" i="1"/>
  <c r="D4571" i="1"/>
  <c r="F4570" i="1"/>
  <c r="E4570" i="1"/>
  <c r="D4570" i="1"/>
  <c r="F4569" i="1"/>
  <c r="E4569" i="1"/>
  <c r="D4569" i="1"/>
  <c r="F4568" i="1"/>
  <c r="E4568" i="1"/>
  <c r="D4568" i="1"/>
  <c r="F4567" i="1"/>
  <c r="E4567" i="1"/>
  <c r="D4567" i="1"/>
  <c r="F4566" i="1"/>
  <c r="E4566" i="1"/>
  <c r="D4566" i="1"/>
  <c r="F4565" i="1"/>
  <c r="E4565" i="1"/>
  <c r="D4565" i="1"/>
  <c r="F4564" i="1"/>
  <c r="E4564" i="1"/>
  <c r="D4564" i="1"/>
  <c r="F4563" i="1"/>
  <c r="E4563" i="1"/>
  <c r="D4563" i="1"/>
  <c r="F4562" i="1"/>
  <c r="E4562" i="1"/>
  <c r="D4562" i="1"/>
  <c r="F4561" i="1"/>
  <c r="E4561" i="1"/>
  <c r="D4561" i="1"/>
  <c r="F4560" i="1"/>
  <c r="E4560" i="1"/>
  <c r="D4560" i="1"/>
  <c r="F4559" i="1"/>
  <c r="E4559" i="1"/>
  <c r="D4559" i="1"/>
  <c r="F4558" i="1"/>
  <c r="E4558" i="1"/>
  <c r="D4558" i="1"/>
  <c r="F4557" i="1"/>
  <c r="E4557" i="1"/>
  <c r="D4557" i="1"/>
  <c r="F4556" i="1"/>
  <c r="E4556" i="1"/>
  <c r="D4556" i="1"/>
  <c r="F4555" i="1"/>
  <c r="E4555" i="1"/>
  <c r="D4555" i="1"/>
  <c r="F4554" i="1"/>
  <c r="E4554" i="1"/>
  <c r="D4554" i="1"/>
  <c r="F4553" i="1"/>
  <c r="E4553" i="1"/>
  <c r="D4553" i="1"/>
  <c r="F4552" i="1"/>
  <c r="E4552" i="1"/>
  <c r="D4552" i="1"/>
  <c r="F4551" i="1"/>
  <c r="E4551" i="1"/>
  <c r="D4551" i="1"/>
  <c r="F4550" i="1"/>
  <c r="E4550" i="1"/>
  <c r="D4550" i="1"/>
  <c r="F4549" i="1"/>
  <c r="E4549" i="1"/>
  <c r="D4549" i="1"/>
  <c r="F4548" i="1"/>
  <c r="E4548" i="1"/>
  <c r="D4548" i="1"/>
  <c r="F4547" i="1"/>
  <c r="E4547" i="1"/>
  <c r="D4547" i="1"/>
  <c r="F4546" i="1"/>
  <c r="E4546" i="1"/>
  <c r="D4546" i="1"/>
  <c r="F4545" i="1"/>
  <c r="E4545" i="1"/>
  <c r="D4545" i="1"/>
  <c r="F4544" i="1"/>
  <c r="E4544" i="1"/>
  <c r="D4544" i="1"/>
  <c r="F4543" i="1"/>
  <c r="E4543" i="1"/>
  <c r="D4543" i="1"/>
  <c r="F4542" i="1"/>
  <c r="E4542" i="1"/>
  <c r="D4542" i="1"/>
  <c r="F4541" i="1"/>
  <c r="E4541" i="1"/>
  <c r="D4541" i="1"/>
  <c r="F4540" i="1"/>
  <c r="E4540" i="1"/>
  <c r="D4540" i="1"/>
  <c r="F4539" i="1"/>
  <c r="E4539" i="1"/>
  <c r="D4539" i="1"/>
  <c r="F4538" i="1"/>
  <c r="E4538" i="1"/>
  <c r="D4538" i="1"/>
  <c r="F4537" i="1"/>
  <c r="E4537" i="1"/>
  <c r="D4537" i="1"/>
  <c r="F4536" i="1"/>
  <c r="E4536" i="1"/>
  <c r="D4536" i="1"/>
  <c r="F4535" i="1"/>
  <c r="E4535" i="1"/>
  <c r="D4535" i="1"/>
  <c r="F4534" i="1"/>
  <c r="E4534" i="1"/>
  <c r="D4534" i="1"/>
  <c r="F4533" i="1"/>
  <c r="E4533" i="1"/>
  <c r="D4533" i="1"/>
  <c r="F4532" i="1"/>
  <c r="E4532" i="1"/>
  <c r="D4532" i="1"/>
  <c r="F4531" i="1"/>
  <c r="E4531" i="1"/>
  <c r="D4531" i="1"/>
  <c r="F4530" i="1"/>
  <c r="E4530" i="1"/>
  <c r="D4530" i="1"/>
  <c r="F4529" i="1"/>
  <c r="E4529" i="1"/>
  <c r="D4529" i="1"/>
  <c r="F4528" i="1"/>
  <c r="E4528" i="1"/>
  <c r="D4528" i="1"/>
  <c r="F4527" i="1"/>
  <c r="E4527" i="1"/>
  <c r="D4527" i="1"/>
  <c r="F4526" i="1"/>
  <c r="E4526" i="1"/>
  <c r="D4526" i="1"/>
  <c r="F4525" i="1"/>
  <c r="E4525" i="1"/>
  <c r="D4525" i="1"/>
  <c r="F4524" i="1"/>
  <c r="E4524" i="1"/>
  <c r="D4524" i="1"/>
  <c r="F4523" i="1"/>
  <c r="E4523" i="1"/>
  <c r="D4523" i="1"/>
  <c r="F4522" i="1"/>
  <c r="E4522" i="1"/>
  <c r="D4522" i="1"/>
  <c r="F4521" i="1"/>
  <c r="E4521" i="1"/>
  <c r="D4521" i="1"/>
  <c r="F4520" i="1"/>
  <c r="E4520" i="1"/>
  <c r="D4520" i="1"/>
  <c r="F4519" i="1"/>
  <c r="E4519" i="1"/>
  <c r="D4519" i="1"/>
  <c r="F4518" i="1"/>
  <c r="E4518" i="1"/>
  <c r="D4518" i="1"/>
  <c r="F4517" i="1"/>
  <c r="E4517" i="1"/>
  <c r="D4517" i="1"/>
  <c r="F4516" i="1"/>
  <c r="E4516" i="1"/>
  <c r="D4516" i="1"/>
  <c r="F4515" i="1"/>
  <c r="E4515" i="1"/>
  <c r="D4515" i="1"/>
  <c r="F4514" i="1"/>
  <c r="E4514" i="1"/>
  <c r="D4514" i="1"/>
  <c r="F4513" i="1"/>
  <c r="E4513" i="1"/>
  <c r="D4513" i="1"/>
  <c r="F4512" i="1"/>
  <c r="E4512" i="1"/>
  <c r="D4512" i="1"/>
  <c r="F4511" i="1"/>
  <c r="E4511" i="1"/>
  <c r="D4511" i="1"/>
  <c r="F4510" i="1"/>
  <c r="E4510" i="1"/>
  <c r="D4510" i="1"/>
  <c r="F4509" i="1"/>
  <c r="E4509" i="1"/>
  <c r="D4509" i="1"/>
  <c r="F4508" i="1"/>
  <c r="E4508" i="1"/>
  <c r="D4508" i="1"/>
  <c r="F4507" i="1"/>
  <c r="E4507" i="1"/>
  <c r="D4507" i="1"/>
  <c r="F4506" i="1"/>
  <c r="E4506" i="1"/>
  <c r="D4506" i="1"/>
  <c r="F4505" i="1"/>
  <c r="E4505" i="1"/>
  <c r="D4505" i="1"/>
  <c r="F4504" i="1"/>
  <c r="E4504" i="1"/>
  <c r="D4504" i="1"/>
  <c r="F4503" i="1"/>
  <c r="E4503" i="1"/>
  <c r="D4503" i="1"/>
  <c r="F4502" i="1"/>
  <c r="E4502" i="1"/>
  <c r="D4502" i="1"/>
  <c r="F4501" i="1"/>
  <c r="E4501" i="1"/>
  <c r="D4501" i="1"/>
  <c r="F4500" i="1"/>
  <c r="E4500" i="1"/>
  <c r="D4500" i="1"/>
  <c r="F4499" i="1"/>
  <c r="E4499" i="1"/>
  <c r="D4499" i="1"/>
  <c r="F4498" i="1"/>
  <c r="E4498" i="1"/>
  <c r="D4498" i="1"/>
  <c r="F4497" i="1"/>
  <c r="E4497" i="1"/>
  <c r="D4497" i="1"/>
  <c r="F4496" i="1"/>
  <c r="E4496" i="1"/>
  <c r="D4496" i="1"/>
  <c r="F4495" i="1"/>
  <c r="E4495" i="1"/>
  <c r="D4495" i="1"/>
  <c r="F4494" i="1"/>
  <c r="E4494" i="1"/>
  <c r="D4494" i="1"/>
  <c r="F4493" i="1"/>
  <c r="E4493" i="1"/>
  <c r="D4493" i="1"/>
  <c r="F4492" i="1"/>
  <c r="E4492" i="1"/>
  <c r="D4492" i="1"/>
  <c r="F4491" i="1"/>
  <c r="E4491" i="1"/>
  <c r="D4491" i="1"/>
  <c r="F4490" i="1"/>
  <c r="E4490" i="1"/>
  <c r="D4490" i="1"/>
  <c r="F4489" i="1"/>
  <c r="E4489" i="1"/>
  <c r="D4489" i="1"/>
  <c r="F4488" i="1"/>
  <c r="E4488" i="1"/>
  <c r="D4488" i="1"/>
  <c r="F4487" i="1"/>
  <c r="E4487" i="1"/>
  <c r="D4487" i="1"/>
  <c r="F4486" i="1"/>
  <c r="E4486" i="1"/>
  <c r="D4486" i="1"/>
  <c r="F4485" i="1"/>
  <c r="E4485" i="1"/>
  <c r="D4485" i="1"/>
  <c r="F4484" i="1"/>
  <c r="E4484" i="1"/>
  <c r="D4484" i="1"/>
  <c r="F4483" i="1"/>
  <c r="E4483" i="1"/>
  <c r="D4483" i="1"/>
  <c r="F4482" i="1"/>
  <c r="E4482" i="1"/>
  <c r="D4482" i="1"/>
  <c r="F4481" i="1"/>
  <c r="E4481" i="1"/>
  <c r="D4481" i="1"/>
  <c r="F4480" i="1"/>
  <c r="E4480" i="1"/>
  <c r="D4480" i="1"/>
  <c r="F4479" i="1"/>
  <c r="E4479" i="1"/>
  <c r="D4479" i="1"/>
  <c r="F4478" i="1"/>
  <c r="E4478" i="1"/>
  <c r="D4478" i="1"/>
  <c r="F4477" i="1"/>
  <c r="E4477" i="1"/>
  <c r="D4477" i="1"/>
  <c r="F4476" i="1"/>
  <c r="E4476" i="1"/>
  <c r="D4476" i="1"/>
  <c r="F4475" i="1"/>
  <c r="E4475" i="1"/>
  <c r="D4475" i="1"/>
  <c r="F4474" i="1"/>
  <c r="E4474" i="1"/>
  <c r="D4474" i="1"/>
  <c r="F4473" i="1"/>
  <c r="E4473" i="1"/>
  <c r="D4473" i="1"/>
  <c r="F4472" i="1"/>
  <c r="E4472" i="1"/>
  <c r="D4472" i="1"/>
  <c r="F4471" i="1"/>
  <c r="E4471" i="1"/>
  <c r="D4471" i="1"/>
  <c r="F4470" i="1"/>
  <c r="E4470" i="1"/>
  <c r="D4470" i="1"/>
  <c r="F4469" i="1"/>
  <c r="E4469" i="1"/>
  <c r="D4469" i="1"/>
  <c r="F4468" i="1"/>
  <c r="E4468" i="1"/>
  <c r="D4468" i="1"/>
  <c r="F4467" i="1"/>
  <c r="E4467" i="1"/>
  <c r="D4467" i="1"/>
  <c r="F4466" i="1"/>
  <c r="E4466" i="1"/>
  <c r="D4466" i="1"/>
  <c r="F4465" i="1"/>
  <c r="E4465" i="1"/>
  <c r="D4465" i="1"/>
  <c r="F4464" i="1"/>
  <c r="E4464" i="1"/>
  <c r="D4464" i="1"/>
  <c r="F4463" i="1"/>
  <c r="E4463" i="1"/>
  <c r="D4463" i="1"/>
  <c r="F4462" i="1"/>
  <c r="E4462" i="1"/>
  <c r="D4462" i="1"/>
  <c r="F4461" i="1"/>
  <c r="E4461" i="1"/>
  <c r="D4461" i="1"/>
  <c r="F4460" i="1"/>
  <c r="E4460" i="1"/>
  <c r="D4460" i="1"/>
  <c r="F4459" i="1"/>
  <c r="E4459" i="1"/>
  <c r="D4459" i="1"/>
  <c r="F4458" i="1"/>
  <c r="E4458" i="1"/>
  <c r="D4458" i="1"/>
  <c r="F4457" i="1"/>
  <c r="E4457" i="1"/>
  <c r="D4457" i="1"/>
  <c r="F4456" i="1"/>
  <c r="E4456" i="1"/>
  <c r="D4456" i="1"/>
  <c r="F4455" i="1"/>
  <c r="E4455" i="1"/>
  <c r="D4455" i="1"/>
  <c r="F4454" i="1"/>
  <c r="E4454" i="1"/>
  <c r="D4454" i="1"/>
  <c r="F4453" i="1"/>
  <c r="E4453" i="1"/>
  <c r="D4453" i="1"/>
  <c r="F4452" i="1"/>
  <c r="E4452" i="1"/>
  <c r="D4452" i="1"/>
  <c r="F4451" i="1"/>
  <c r="E4451" i="1"/>
  <c r="D4451" i="1"/>
  <c r="F4450" i="1"/>
  <c r="E4450" i="1"/>
  <c r="D4450" i="1"/>
  <c r="F4449" i="1"/>
  <c r="E4449" i="1"/>
  <c r="D4449" i="1"/>
  <c r="F4448" i="1"/>
  <c r="E4448" i="1"/>
  <c r="D4448" i="1"/>
  <c r="F4447" i="1"/>
  <c r="E4447" i="1"/>
  <c r="D4447" i="1"/>
  <c r="F4446" i="1"/>
  <c r="E4446" i="1"/>
  <c r="D4446" i="1"/>
  <c r="F4445" i="1"/>
  <c r="E4445" i="1"/>
  <c r="D4445" i="1"/>
  <c r="F4444" i="1"/>
  <c r="E4444" i="1"/>
  <c r="D4444" i="1"/>
  <c r="F4443" i="1"/>
  <c r="E4443" i="1"/>
  <c r="D4443" i="1"/>
  <c r="F4442" i="1"/>
  <c r="E4442" i="1"/>
  <c r="D4442" i="1"/>
  <c r="F4441" i="1"/>
  <c r="E4441" i="1"/>
  <c r="D4441" i="1"/>
  <c r="F4440" i="1"/>
  <c r="E4440" i="1"/>
  <c r="D4440" i="1"/>
  <c r="F4439" i="1"/>
  <c r="E4439" i="1"/>
  <c r="D4439" i="1"/>
  <c r="F4438" i="1"/>
  <c r="E4438" i="1"/>
  <c r="D4438" i="1"/>
  <c r="F4437" i="1"/>
  <c r="E4437" i="1"/>
  <c r="D4437" i="1"/>
  <c r="F4436" i="1"/>
  <c r="E4436" i="1"/>
  <c r="D4436" i="1"/>
  <c r="F4435" i="1"/>
  <c r="E4435" i="1"/>
  <c r="D4435" i="1"/>
  <c r="F4434" i="1"/>
  <c r="E4434" i="1"/>
  <c r="D4434" i="1"/>
  <c r="F4433" i="1"/>
  <c r="E4433" i="1"/>
  <c r="D4433" i="1"/>
  <c r="F4432" i="1"/>
  <c r="E4432" i="1"/>
  <c r="D4432" i="1"/>
  <c r="F4431" i="1"/>
  <c r="E4431" i="1"/>
  <c r="D4431" i="1"/>
  <c r="F4430" i="1"/>
  <c r="E4430" i="1"/>
  <c r="D4430" i="1"/>
  <c r="F4429" i="1"/>
  <c r="E4429" i="1"/>
  <c r="D4429" i="1"/>
  <c r="F4428" i="1"/>
  <c r="E4428" i="1"/>
  <c r="D4428" i="1"/>
  <c r="F4427" i="1"/>
  <c r="E4427" i="1"/>
  <c r="D4427" i="1"/>
  <c r="F4426" i="1"/>
  <c r="E4426" i="1"/>
  <c r="D4426" i="1"/>
  <c r="F4425" i="1"/>
  <c r="E4425" i="1"/>
  <c r="D4425" i="1"/>
  <c r="F4424" i="1"/>
  <c r="E4424" i="1"/>
  <c r="D4424" i="1"/>
  <c r="F4423" i="1"/>
  <c r="E4423" i="1"/>
  <c r="D4423" i="1"/>
  <c r="F4422" i="1"/>
  <c r="E4422" i="1"/>
  <c r="D4422" i="1"/>
  <c r="F4421" i="1"/>
  <c r="E4421" i="1"/>
  <c r="D4421" i="1"/>
  <c r="F4420" i="1"/>
  <c r="E4420" i="1"/>
  <c r="D4420" i="1"/>
  <c r="F4419" i="1"/>
  <c r="E4419" i="1"/>
  <c r="D4419" i="1"/>
  <c r="F4418" i="1"/>
  <c r="E4418" i="1"/>
  <c r="D4418" i="1"/>
  <c r="F4417" i="1"/>
  <c r="E4417" i="1"/>
  <c r="D4417" i="1"/>
  <c r="F4416" i="1"/>
  <c r="E4416" i="1"/>
  <c r="D4416" i="1"/>
  <c r="F4415" i="1"/>
  <c r="E4415" i="1"/>
  <c r="D4415" i="1"/>
  <c r="F4414" i="1"/>
  <c r="E4414" i="1"/>
  <c r="D4414" i="1"/>
  <c r="F4413" i="1"/>
  <c r="E4413" i="1"/>
  <c r="D4413" i="1"/>
  <c r="F4412" i="1"/>
  <c r="E4412" i="1"/>
  <c r="D4412" i="1"/>
  <c r="F4411" i="1"/>
  <c r="E4411" i="1"/>
  <c r="D4411" i="1"/>
  <c r="F4410" i="1"/>
  <c r="E4410" i="1"/>
  <c r="D4410" i="1"/>
  <c r="F4409" i="1"/>
  <c r="E4409" i="1"/>
  <c r="D4409" i="1"/>
  <c r="F4408" i="1"/>
  <c r="E4408" i="1"/>
  <c r="D4408" i="1"/>
  <c r="F4407" i="1"/>
  <c r="E4407" i="1"/>
  <c r="D4407" i="1"/>
  <c r="F4406" i="1"/>
  <c r="E4406" i="1"/>
  <c r="D4406" i="1"/>
  <c r="F4405" i="1"/>
  <c r="E4405" i="1"/>
  <c r="D4405" i="1"/>
  <c r="F4404" i="1"/>
  <c r="E4404" i="1"/>
  <c r="D4404" i="1"/>
  <c r="F4403" i="1"/>
  <c r="E4403" i="1"/>
  <c r="D4403" i="1"/>
  <c r="F4402" i="1"/>
  <c r="E4402" i="1"/>
  <c r="D4402" i="1"/>
  <c r="F4401" i="1"/>
  <c r="E4401" i="1"/>
  <c r="D4401" i="1"/>
  <c r="F4400" i="1"/>
  <c r="E4400" i="1"/>
  <c r="D4400" i="1"/>
  <c r="F4399" i="1"/>
  <c r="E4399" i="1"/>
  <c r="D4399" i="1"/>
  <c r="F4398" i="1"/>
  <c r="E4398" i="1"/>
  <c r="D4398" i="1"/>
  <c r="F4397" i="1"/>
  <c r="E4397" i="1"/>
  <c r="D4397" i="1"/>
  <c r="F4396" i="1"/>
  <c r="E4396" i="1"/>
  <c r="D4396" i="1"/>
  <c r="F4395" i="1"/>
  <c r="E4395" i="1"/>
  <c r="D4395" i="1"/>
  <c r="F4394" i="1"/>
  <c r="E4394" i="1"/>
  <c r="D4394" i="1"/>
  <c r="F4393" i="1"/>
  <c r="E4393" i="1"/>
  <c r="D4393" i="1"/>
  <c r="F4392" i="1"/>
  <c r="E4392" i="1"/>
  <c r="D4392" i="1"/>
  <c r="F4391" i="1"/>
  <c r="E4391" i="1"/>
  <c r="D4391" i="1"/>
  <c r="F4390" i="1"/>
  <c r="E4390" i="1"/>
  <c r="D4390" i="1"/>
  <c r="F4389" i="1"/>
  <c r="E4389" i="1"/>
  <c r="D4389" i="1"/>
  <c r="F4388" i="1"/>
  <c r="E4388" i="1"/>
  <c r="D4388" i="1"/>
  <c r="F4387" i="1"/>
  <c r="E4387" i="1"/>
  <c r="D4387" i="1"/>
  <c r="F4386" i="1"/>
  <c r="E4386" i="1"/>
  <c r="D4386" i="1"/>
  <c r="F4385" i="1"/>
  <c r="E4385" i="1"/>
  <c r="D4385" i="1"/>
  <c r="F4384" i="1"/>
  <c r="E4384" i="1"/>
  <c r="D4384" i="1"/>
  <c r="F4383" i="1"/>
  <c r="E4383" i="1"/>
  <c r="D4383" i="1"/>
  <c r="F4382" i="1"/>
  <c r="E4382" i="1"/>
  <c r="D4382" i="1"/>
  <c r="F4381" i="1"/>
  <c r="E4381" i="1"/>
  <c r="D4381" i="1"/>
  <c r="F4380" i="1"/>
  <c r="E4380" i="1"/>
  <c r="D4380" i="1"/>
  <c r="F4379" i="1"/>
  <c r="E4379" i="1"/>
  <c r="D4379" i="1"/>
  <c r="F4378" i="1"/>
  <c r="E4378" i="1"/>
  <c r="D4378" i="1"/>
  <c r="F4377" i="1"/>
  <c r="E4377" i="1"/>
  <c r="D4377" i="1"/>
  <c r="F4376" i="1"/>
  <c r="E4376" i="1"/>
  <c r="D4376" i="1"/>
  <c r="F4375" i="1"/>
  <c r="E4375" i="1"/>
  <c r="D4375" i="1"/>
  <c r="F4374" i="1"/>
  <c r="E4374" i="1"/>
  <c r="D4374" i="1"/>
  <c r="F4373" i="1"/>
  <c r="E4373" i="1"/>
  <c r="D4373" i="1"/>
  <c r="F4372" i="1"/>
  <c r="E4372" i="1"/>
  <c r="D4372" i="1"/>
  <c r="F4371" i="1"/>
  <c r="E4371" i="1"/>
  <c r="D4371" i="1"/>
  <c r="F4370" i="1"/>
  <c r="E4370" i="1"/>
  <c r="D4370" i="1"/>
  <c r="F4369" i="1"/>
  <c r="E4369" i="1"/>
  <c r="D4369" i="1"/>
  <c r="F4368" i="1"/>
  <c r="E4368" i="1"/>
  <c r="D4368" i="1"/>
  <c r="F4367" i="1"/>
  <c r="E4367" i="1"/>
  <c r="D4367" i="1"/>
  <c r="F4366" i="1"/>
  <c r="E4366" i="1"/>
  <c r="D4366" i="1"/>
  <c r="F4365" i="1"/>
  <c r="E4365" i="1"/>
  <c r="D4365" i="1"/>
  <c r="F4364" i="1"/>
  <c r="E4364" i="1"/>
  <c r="D4364" i="1"/>
  <c r="F4363" i="1"/>
  <c r="E4363" i="1"/>
  <c r="D4363" i="1"/>
  <c r="F4362" i="1"/>
  <c r="E4362" i="1"/>
  <c r="D4362" i="1"/>
  <c r="F4361" i="1"/>
  <c r="E4361" i="1"/>
  <c r="D4361" i="1"/>
  <c r="F4360" i="1"/>
  <c r="E4360" i="1"/>
  <c r="D4360" i="1"/>
  <c r="F4359" i="1"/>
  <c r="E4359" i="1"/>
  <c r="D4359" i="1"/>
  <c r="F4358" i="1"/>
  <c r="E4358" i="1"/>
  <c r="D4358" i="1"/>
  <c r="F4357" i="1"/>
  <c r="E4357" i="1"/>
  <c r="D4357" i="1"/>
  <c r="F4356" i="1"/>
  <c r="E4356" i="1"/>
  <c r="D4356" i="1"/>
  <c r="F4355" i="1"/>
  <c r="E4355" i="1"/>
  <c r="D4355" i="1"/>
  <c r="F4354" i="1"/>
  <c r="E4354" i="1"/>
  <c r="D4354" i="1"/>
  <c r="F4353" i="1"/>
  <c r="E4353" i="1"/>
  <c r="D4353" i="1"/>
  <c r="F4352" i="1"/>
  <c r="E4352" i="1"/>
  <c r="D4352" i="1"/>
  <c r="F4351" i="1"/>
  <c r="E4351" i="1"/>
  <c r="D4351" i="1"/>
  <c r="F4350" i="1"/>
  <c r="E4350" i="1"/>
  <c r="D4350" i="1"/>
  <c r="F4349" i="1"/>
  <c r="E4349" i="1"/>
  <c r="D4349" i="1"/>
  <c r="F4348" i="1"/>
  <c r="E4348" i="1"/>
  <c r="D4348" i="1"/>
  <c r="F4347" i="1"/>
  <c r="E4347" i="1"/>
  <c r="D4347" i="1"/>
  <c r="F4346" i="1"/>
  <c r="E4346" i="1"/>
  <c r="D4346" i="1"/>
  <c r="F4345" i="1"/>
  <c r="E4345" i="1"/>
  <c r="D4345" i="1"/>
  <c r="F4344" i="1"/>
  <c r="E4344" i="1"/>
  <c r="D4344" i="1"/>
  <c r="F4343" i="1"/>
  <c r="E4343" i="1"/>
  <c r="D4343" i="1"/>
  <c r="F4342" i="1"/>
  <c r="E4342" i="1"/>
  <c r="D4342" i="1"/>
  <c r="F4341" i="1"/>
  <c r="E4341" i="1"/>
  <c r="D4341" i="1"/>
  <c r="F4340" i="1"/>
  <c r="E4340" i="1"/>
  <c r="D4340" i="1"/>
  <c r="F4339" i="1"/>
  <c r="E4339" i="1"/>
  <c r="D4339" i="1"/>
  <c r="F4338" i="1"/>
  <c r="E4338" i="1"/>
  <c r="D4338" i="1"/>
  <c r="F4337" i="1"/>
  <c r="E4337" i="1"/>
  <c r="D4337" i="1"/>
  <c r="F4336" i="1"/>
  <c r="E4336" i="1"/>
  <c r="D4336" i="1"/>
  <c r="F4335" i="1"/>
  <c r="E4335" i="1"/>
  <c r="D4335" i="1"/>
  <c r="F4334" i="1"/>
  <c r="E4334" i="1"/>
  <c r="D4334" i="1"/>
  <c r="F4333" i="1"/>
  <c r="E4333" i="1"/>
  <c r="D4333" i="1"/>
  <c r="F4332" i="1"/>
  <c r="E4332" i="1"/>
  <c r="D4332" i="1"/>
  <c r="F4331" i="1"/>
  <c r="E4331" i="1"/>
  <c r="D4331" i="1"/>
  <c r="F4330" i="1"/>
  <c r="E4330" i="1"/>
  <c r="D4330" i="1"/>
  <c r="F4329" i="1"/>
  <c r="E4329" i="1"/>
  <c r="D4329" i="1"/>
  <c r="F4328" i="1"/>
  <c r="E4328" i="1"/>
  <c r="D4328" i="1"/>
  <c r="F4327" i="1"/>
  <c r="E4327" i="1"/>
  <c r="D4327" i="1"/>
  <c r="F4326" i="1"/>
  <c r="E4326" i="1"/>
  <c r="D4326" i="1"/>
  <c r="F4325" i="1"/>
  <c r="E4325" i="1"/>
  <c r="D4325" i="1"/>
  <c r="F4324" i="1"/>
  <c r="E4324" i="1"/>
  <c r="D4324" i="1"/>
  <c r="F4323" i="1"/>
  <c r="E4323" i="1"/>
  <c r="D4323" i="1"/>
  <c r="F4322" i="1"/>
  <c r="E4322" i="1"/>
  <c r="D4322" i="1"/>
  <c r="F4321" i="1"/>
  <c r="E4321" i="1"/>
  <c r="D4321" i="1"/>
  <c r="F4320" i="1"/>
  <c r="E4320" i="1"/>
  <c r="D4320" i="1"/>
  <c r="F4319" i="1"/>
  <c r="E4319" i="1"/>
  <c r="D4319" i="1"/>
  <c r="F4318" i="1"/>
  <c r="E4318" i="1"/>
  <c r="D4318" i="1"/>
  <c r="F4317" i="1"/>
  <c r="E4317" i="1"/>
  <c r="D4317" i="1"/>
  <c r="F4316" i="1"/>
  <c r="E4316" i="1"/>
  <c r="D4316" i="1"/>
  <c r="F4315" i="1"/>
  <c r="E4315" i="1"/>
  <c r="D4315" i="1"/>
  <c r="F4314" i="1"/>
  <c r="E4314" i="1"/>
  <c r="D4314" i="1"/>
  <c r="F4313" i="1"/>
  <c r="E4313" i="1"/>
  <c r="D4313" i="1"/>
  <c r="F4312" i="1"/>
  <c r="E4312" i="1"/>
  <c r="D4312" i="1"/>
  <c r="F4311" i="1"/>
  <c r="E4311" i="1"/>
  <c r="D4311" i="1"/>
  <c r="F4310" i="1"/>
  <c r="E4310" i="1"/>
  <c r="D4310" i="1"/>
  <c r="F4309" i="1"/>
  <c r="E4309" i="1"/>
  <c r="D4309" i="1"/>
  <c r="F4308" i="1"/>
  <c r="E4308" i="1"/>
  <c r="D4308" i="1"/>
  <c r="F4307" i="1"/>
  <c r="E4307" i="1"/>
  <c r="D4307" i="1"/>
  <c r="F4306" i="1"/>
  <c r="E4306" i="1"/>
  <c r="D4306" i="1"/>
  <c r="F4305" i="1"/>
  <c r="E4305" i="1"/>
  <c r="D4305" i="1"/>
  <c r="F4304" i="1"/>
  <c r="E4304" i="1"/>
  <c r="D4304" i="1"/>
  <c r="F4303" i="1"/>
  <c r="E4303" i="1"/>
  <c r="D4303" i="1"/>
  <c r="F4302" i="1"/>
  <c r="E4302" i="1"/>
  <c r="D4302" i="1"/>
  <c r="F4301" i="1"/>
  <c r="E4301" i="1"/>
  <c r="D4301" i="1"/>
  <c r="F4300" i="1"/>
  <c r="E4300" i="1"/>
  <c r="D4300" i="1"/>
  <c r="F4299" i="1"/>
  <c r="E4299" i="1"/>
  <c r="D4299" i="1"/>
  <c r="F4298" i="1"/>
  <c r="E4298" i="1"/>
  <c r="D4298" i="1"/>
  <c r="F4297" i="1"/>
  <c r="E4297" i="1"/>
  <c r="D4297" i="1"/>
  <c r="F4296" i="1"/>
  <c r="E4296" i="1"/>
  <c r="D4296" i="1"/>
  <c r="F4295" i="1"/>
  <c r="E4295" i="1"/>
  <c r="D4295" i="1"/>
  <c r="F4294" i="1"/>
  <c r="E4294" i="1"/>
  <c r="D4294" i="1"/>
  <c r="F4293" i="1"/>
  <c r="E4293" i="1"/>
  <c r="D4293" i="1"/>
  <c r="F4292" i="1"/>
  <c r="E4292" i="1"/>
  <c r="D4292" i="1"/>
  <c r="F4291" i="1"/>
  <c r="E4291" i="1"/>
  <c r="D4291" i="1"/>
  <c r="F4290" i="1"/>
  <c r="E4290" i="1"/>
  <c r="D4290" i="1"/>
  <c r="F4289" i="1"/>
  <c r="E4289" i="1"/>
  <c r="D4289" i="1"/>
  <c r="F4288" i="1"/>
  <c r="E4288" i="1"/>
  <c r="D4288" i="1"/>
  <c r="F4287" i="1"/>
  <c r="E4287" i="1"/>
  <c r="D4287" i="1"/>
  <c r="F4286" i="1"/>
  <c r="E4286" i="1"/>
  <c r="D4286" i="1"/>
  <c r="F4285" i="1"/>
  <c r="E4285" i="1"/>
  <c r="D4285" i="1"/>
  <c r="F4284" i="1"/>
  <c r="E4284" i="1"/>
  <c r="D4284" i="1"/>
  <c r="F4283" i="1"/>
  <c r="E4283" i="1"/>
  <c r="D4283" i="1"/>
  <c r="F4282" i="1"/>
  <c r="E4282" i="1"/>
  <c r="D4282" i="1"/>
  <c r="F4281" i="1"/>
  <c r="E4281" i="1"/>
  <c r="D4281" i="1"/>
  <c r="F4280" i="1"/>
  <c r="E4280" i="1"/>
  <c r="D4280" i="1"/>
  <c r="F4279" i="1"/>
  <c r="E4279" i="1"/>
  <c r="D4279" i="1"/>
  <c r="F4278" i="1"/>
  <c r="E4278" i="1"/>
  <c r="D4278" i="1"/>
  <c r="F4277" i="1"/>
  <c r="E4277" i="1"/>
  <c r="D4277" i="1"/>
  <c r="F4276" i="1"/>
  <c r="E4276" i="1"/>
  <c r="D4276" i="1"/>
  <c r="F4275" i="1"/>
  <c r="E4275" i="1"/>
  <c r="D4275" i="1"/>
  <c r="F4274" i="1"/>
  <c r="E4274" i="1"/>
  <c r="D4274" i="1"/>
  <c r="F4273" i="1"/>
  <c r="E4273" i="1"/>
  <c r="D4273" i="1"/>
  <c r="F4272" i="1"/>
  <c r="E4272" i="1"/>
  <c r="D4272" i="1"/>
  <c r="F4271" i="1"/>
  <c r="E4271" i="1"/>
  <c r="D4271" i="1"/>
  <c r="F4270" i="1"/>
  <c r="E4270" i="1"/>
  <c r="D4270" i="1"/>
  <c r="F4269" i="1"/>
  <c r="E4269" i="1"/>
  <c r="D4269" i="1"/>
  <c r="F4268" i="1"/>
  <c r="E4268" i="1"/>
  <c r="D4268" i="1"/>
  <c r="F4267" i="1"/>
  <c r="E4267" i="1"/>
  <c r="D4267" i="1"/>
  <c r="F4266" i="1"/>
  <c r="E4266" i="1"/>
  <c r="D4266" i="1"/>
  <c r="F4265" i="1"/>
  <c r="E4265" i="1"/>
  <c r="D4265" i="1"/>
  <c r="F4264" i="1"/>
  <c r="E4264" i="1"/>
  <c r="D4264" i="1"/>
  <c r="F4263" i="1"/>
  <c r="E4263" i="1"/>
  <c r="D4263" i="1"/>
  <c r="F4262" i="1"/>
  <c r="E4262" i="1"/>
  <c r="D4262" i="1"/>
  <c r="F4261" i="1"/>
  <c r="E4261" i="1"/>
  <c r="D4261" i="1"/>
  <c r="F4260" i="1"/>
  <c r="E4260" i="1"/>
  <c r="D4260" i="1"/>
  <c r="F4259" i="1"/>
  <c r="E4259" i="1"/>
  <c r="D4259" i="1"/>
  <c r="F4258" i="1"/>
  <c r="E4258" i="1"/>
  <c r="D4258" i="1"/>
  <c r="F4257" i="1"/>
  <c r="E4257" i="1"/>
  <c r="D4257" i="1"/>
  <c r="F4256" i="1"/>
  <c r="E4256" i="1"/>
  <c r="D4256" i="1"/>
  <c r="F4255" i="1"/>
  <c r="E4255" i="1"/>
  <c r="D4255" i="1"/>
  <c r="F4254" i="1"/>
  <c r="E4254" i="1"/>
  <c r="D4254" i="1"/>
  <c r="F4253" i="1"/>
  <c r="E4253" i="1"/>
  <c r="D4253" i="1"/>
  <c r="F4252" i="1"/>
  <c r="E4252" i="1"/>
  <c r="D4252" i="1"/>
  <c r="F4251" i="1"/>
  <c r="E4251" i="1"/>
  <c r="D4251" i="1"/>
  <c r="F4250" i="1"/>
  <c r="E4250" i="1"/>
  <c r="D4250" i="1"/>
  <c r="F4249" i="1"/>
  <c r="E4249" i="1"/>
  <c r="D4249" i="1"/>
  <c r="F4248" i="1"/>
  <c r="E4248" i="1"/>
  <c r="D4248" i="1"/>
  <c r="F4247" i="1"/>
  <c r="E4247" i="1"/>
  <c r="D4247" i="1"/>
  <c r="F4246" i="1"/>
  <c r="E4246" i="1"/>
  <c r="D4246" i="1"/>
  <c r="F4245" i="1"/>
  <c r="E4245" i="1"/>
  <c r="D4245" i="1"/>
  <c r="F4244" i="1"/>
  <c r="E4244" i="1"/>
  <c r="D4244" i="1"/>
  <c r="F4243" i="1"/>
  <c r="E4243" i="1"/>
  <c r="D4243" i="1"/>
  <c r="F4242" i="1"/>
  <c r="E4242" i="1"/>
  <c r="D4242" i="1"/>
  <c r="F4241" i="1"/>
  <c r="E4241" i="1"/>
  <c r="D4241" i="1"/>
  <c r="F4240" i="1"/>
  <c r="E4240" i="1"/>
  <c r="D4240" i="1"/>
  <c r="F4239" i="1"/>
  <c r="E4239" i="1"/>
  <c r="D4239" i="1"/>
  <c r="F4238" i="1"/>
  <c r="E4238" i="1"/>
  <c r="D4238" i="1"/>
  <c r="F4237" i="1"/>
  <c r="E4237" i="1"/>
  <c r="D4237" i="1"/>
  <c r="F4236" i="1"/>
  <c r="E4236" i="1"/>
  <c r="D4236" i="1"/>
  <c r="F4235" i="1"/>
  <c r="E4235" i="1"/>
  <c r="D4235" i="1"/>
  <c r="F4234" i="1"/>
  <c r="E4234" i="1"/>
  <c r="D4234" i="1"/>
  <c r="F4233" i="1"/>
  <c r="E4233" i="1"/>
  <c r="D4233" i="1"/>
  <c r="F4232" i="1"/>
  <c r="E4232" i="1"/>
  <c r="D4232" i="1"/>
  <c r="F4231" i="1"/>
  <c r="E4231" i="1"/>
  <c r="D4231" i="1"/>
  <c r="F4230" i="1"/>
  <c r="E4230" i="1"/>
  <c r="D4230" i="1"/>
  <c r="F4229" i="1"/>
  <c r="E4229" i="1"/>
  <c r="D4229" i="1"/>
  <c r="F4228" i="1"/>
  <c r="E4228" i="1"/>
  <c r="D4228" i="1"/>
  <c r="F4227" i="1"/>
  <c r="E4227" i="1"/>
  <c r="D4227" i="1"/>
  <c r="F4226" i="1"/>
  <c r="E4226" i="1"/>
  <c r="D4226" i="1"/>
  <c r="F4225" i="1"/>
  <c r="E4225" i="1"/>
  <c r="D4225" i="1"/>
  <c r="F4224" i="1"/>
  <c r="E4224" i="1"/>
  <c r="D4224" i="1"/>
  <c r="F4223" i="1"/>
  <c r="E4223" i="1"/>
  <c r="D4223" i="1"/>
  <c r="F4222" i="1"/>
  <c r="E4222" i="1"/>
  <c r="D4222" i="1"/>
  <c r="F4221" i="1"/>
  <c r="E4221" i="1"/>
  <c r="D4221" i="1"/>
  <c r="F4220" i="1"/>
  <c r="E4220" i="1"/>
  <c r="D4220" i="1"/>
  <c r="F4219" i="1"/>
  <c r="E4219" i="1"/>
  <c r="D4219" i="1"/>
  <c r="F4218" i="1"/>
  <c r="E4218" i="1"/>
  <c r="D4218" i="1"/>
  <c r="F4217" i="1"/>
  <c r="E4217" i="1"/>
  <c r="D4217" i="1"/>
  <c r="F4216" i="1"/>
  <c r="E4216" i="1"/>
  <c r="D4216" i="1"/>
  <c r="F4215" i="1"/>
  <c r="E4215" i="1"/>
  <c r="D4215" i="1"/>
  <c r="F4214" i="1"/>
  <c r="E4214" i="1"/>
  <c r="D4214" i="1"/>
  <c r="F4213" i="1"/>
  <c r="E4213" i="1"/>
  <c r="D4213" i="1"/>
  <c r="F4212" i="1"/>
  <c r="E4212" i="1"/>
  <c r="D4212" i="1"/>
  <c r="F4211" i="1"/>
  <c r="E4211" i="1"/>
  <c r="D4211" i="1"/>
  <c r="F4210" i="1"/>
  <c r="E4210" i="1"/>
  <c r="D4210" i="1"/>
  <c r="F4209" i="1"/>
  <c r="E4209" i="1"/>
  <c r="D4209" i="1"/>
  <c r="F4208" i="1"/>
  <c r="E4208" i="1"/>
  <c r="D4208" i="1"/>
  <c r="F4207" i="1"/>
  <c r="E4207" i="1"/>
  <c r="D4207" i="1"/>
  <c r="F4206" i="1"/>
  <c r="E4206" i="1"/>
  <c r="D4206" i="1"/>
  <c r="F4205" i="1"/>
  <c r="E4205" i="1"/>
  <c r="D4205" i="1"/>
  <c r="F4204" i="1"/>
  <c r="E4204" i="1"/>
  <c r="D4204" i="1"/>
  <c r="F4203" i="1"/>
  <c r="E4203" i="1"/>
  <c r="D4203" i="1"/>
  <c r="F4202" i="1"/>
  <c r="E4202" i="1"/>
  <c r="D4202" i="1"/>
  <c r="F4201" i="1"/>
  <c r="E4201" i="1"/>
  <c r="D4201" i="1"/>
  <c r="F4200" i="1"/>
  <c r="E4200" i="1"/>
  <c r="D4200" i="1"/>
  <c r="F4199" i="1"/>
  <c r="E4199" i="1"/>
  <c r="D4199" i="1"/>
  <c r="F4198" i="1"/>
  <c r="E4198" i="1"/>
  <c r="D4198" i="1"/>
  <c r="F4197" i="1"/>
  <c r="E4197" i="1"/>
  <c r="D4197" i="1"/>
  <c r="F4196" i="1"/>
  <c r="E4196" i="1"/>
  <c r="D4196" i="1"/>
  <c r="F4195" i="1"/>
  <c r="E4195" i="1"/>
  <c r="D4195" i="1"/>
  <c r="F4194" i="1"/>
  <c r="E4194" i="1"/>
  <c r="D4194" i="1"/>
  <c r="F4193" i="1"/>
  <c r="E4193" i="1"/>
  <c r="D4193" i="1"/>
  <c r="F4192" i="1"/>
  <c r="E4192" i="1"/>
  <c r="D4192" i="1"/>
  <c r="F4191" i="1"/>
  <c r="E4191" i="1"/>
  <c r="D4191" i="1"/>
  <c r="F4190" i="1"/>
  <c r="E4190" i="1"/>
  <c r="D4190" i="1"/>
  <c r="F4189" i="1"/>
  <c r="E4189" i="1"/>
  <c r="D4189" i="1"/>
  <c r="F4188" i="1"/>
  <c r="E4188" i="1"/>
  <c r="D4188" i="1"/>
  <c r="F4187" i="1"/>
  <c r="E4187" i="1"/>
  <c r="D4187" i="1"/>
  <c r="F4186" i="1"/>
  <c r="E4186" i="1"/>
  <c r="D4186" i="1"/>
  <c r="F4185" i="1"/>
  <c r="E4185" i="1"/>
  <c r="D4185" i="1"/>
  <c r="F4184" i="1"/>
  <c r="E4184" i="1"/>
  <c r="D4184" i="1"/>
  <c r="F4183" i="1"/>
  <c r="E4183" i="1"/>
  <c r="D4183" i="1"/>
  <c r="F4182" i="1"/>
  <c r="E4182" i="1"/>
  <c r="D4182" i="1"/>
  <c r="F4181" i="1"/>
  <c r="E4181" i="1"/>
  <c r="D4181" i="1"/>
  <c r="F4180" i="1"/>
  <c r="E4180" i="1"/>
  <c r="D4180" i="1"/>
  <c r="F4179" i="1"/>
  <c r="E4179" i="1"/>
  <c r="D4179" i="1"/>
  <c r="F4178" i="1"/>
  <c r="E4178" i="1"/>
  <c r="D4178" i="1"/>
  <c r="F4177" i="1"/>
  <c r="E4177" i="1"/>
  <c r="D4177" i="1"/>
  <c r="F4176" i="1"/>
  <c r="E4176" i="1"/>
  <c r="D4176" i="1"/>
  <c r="F4175" i="1"/>
  <c r="E4175" i="1"/>
  <c r="D4175" i="1"/>
  <c r="F4174" i="1"/>
  <c r="E4174" i="1"/>
  <c r="D4174" i="1"/>
  <c r="F4173" i="1"/>
  <c r="E4173" i="1"/>
  <c r="D4173" i="1"/>
  <c r="F4172" i="1"/>
  <c r="E4172" i="1"/>
  <c r="D4172" i="1"/>
  <c r="F4171" i="1"/>
  <c r="E4171" i="1"/>
  <c r="D4171" i="1"/>
  <c r="F4170" i="1"/>
  <c r="E4170" i="1"/>
  <c r="D4170" i="1"/>
  <c r="F4169" i="1"/>
  <c r="E4169" i="1"/>
  <c r="D4169" i="1"/>
  <c r="F4168" i="1"/>
  <c r="E4168" i="1"/>
  <c r="D4168" i="1"/>
  <c r="F4167" i="1"/>
  <c r="E4167" i="1"/>
  <c r="D4167" i="1"/>
  <c r="F4166" i="1"/>
  <c r="E4166" i="1"/>
  <c r="D4166" i="1"/>
  <c r="F4165" i="1"/>
  <c r="E4165" i="1"/>
  <c r="D4165" i="1"/>
  <c r="F4164" i="1"/>
  <c r="E4164" i="1"/>
  <c r="D4164" i="1"/>
  <c r="F4163" i="1"/>
  <c r="E4163" i="1"/>
  <c r="D4163" i="1"/>
  <c r="F4162" i="1"/>
  <c r="E4162" i="1"/>
  <c r="D4162" i="1"/>
  <c r="F4161" i="1"/>
  <c r="E4161" i="1"/>
  <c r="D4161" i="1"/>
  <c r="F4160" i="1"/>
  <c r="E4160" i="1"/>
  <c r="D4160" i="1"/>
  <c r="F4159" i="1"/>
  <c r="E4159" i="1"/>
  <c r="D4159" i="1"/>
  <c r="F4158" i="1"/>
  <c r="E4158" i="1"/>
  <c r="D4158" i="1"/>
  <c r="F4157" i="1"/>
  <c r="E4157" i="1"/>
  <c r="D4157" i="1"/>
  <c r="F4156" i="1"/>
  <c r="E4156" i="1"/>
  <c r="D4156" i="1"/>
  <c r="F4155" i="1"/>
  <c r="E4155" i="1"/>
  <c r="D4155" i="1"/>
  <c r="F4154" i="1"/>
  <c r="E4154" i="1"/>
  <c r="D4154" i="1"/>
  <c r="F4153" i="1"/>
  <c r="E4153" i="1"/>
  <c r="D4153" i="1"/>
  <c r="F4152" i="1"/>
  <c r="E4152" i="1"/>
  <c r="D4152" i="1"/>
  <c r="F4151" i="1"/>
  <c r="E4151" i="1"/>
  <c r="D4151" i="1"/>
  <c r="F4150" i="1"/>
  <c r="E4150" i="1"/>
  <c r="D4150" i="1"/>
  <c r="F4149" i="1"/>
  <c r="E4149" i="1"/>
  <c r="D4149" i="1"/>
  <c r="F4148" i="1"/>
  <c r="E4148" i="1"/>
  <c r="D4148" i="1"/>
  <c r="F4147" i="1"/>
  <c r="E4147" i="1"/>
  <c r="D4147" i="1"/>
  <c r="F4146" i="1"/>
  <c r="E4146" i="1"/>
  <c r="D4146" i="1"/>
  <c r="F4145" i="1"/>
  <c r="E4145" i="1"/>
  <c r="D4145" i="1"/>
  <c r="F4144" i="1"/>
  <c r="E4144" i="1"/>
  <c r="D4144" i="1"/>
  <c r="F4143" i="1"/>
  <c r="E4143" i="1"/>
  <c r="D4143" i="1"/>
  <c r="F4142" i="1"/>
  <c r="E4142" i="1"/>
  <c r="D4142" i="1"/>
  <c r="F4141" i="1"/>
  <c r="E4141" i="1"/>
  <c r="D4141" i="1"/>
  <c r="F4140" i="1"/>
  <c r="E4140" i="1"/>
  <c r="D4140" i="1"/>
  <c r="F4139" i="1"/>
  <c r="E4139" i="1"/>
  <c r="D4139" i="1"/>
  <c r="F4138" i="1"/>
  <c r="E4138" i="1"/>
  <c r="D4138" i="1"/>
  <c r="F4137" i="1"/>
  <c r="E4137" i="1"/>
  <c r="D4137" i="1"/>
  <c r="F4136" i="1"/>
  <c r="E4136" i="1"/>
  <c r="D4136" i="1"/>
  <c r="F4135" i="1"/>
  <c r="E4135" i="1"/>
  <c r="D4135" i="1"/>
  <c r="F4134" i="1"/>
  <c r="E4134" i="1"/>
  <c r="D4134" i="1"/>
  <c r="F4133" i="1"/>
  <c r="E4133" i="1"/>
  <c r="D4133" i="1"/>
  <c r="F4132" i="1"/>
  <c r="E4132" i="1"/>
  <c r="D4132" i="1"/>
  <c r="F4131" i="1"/>
  <c r="E4131" i="1"/>
  <c r="D4131" i="1"/>
  <c r="F4130" i="1"/>
  <c r="E4130" i="1"/>
  <c r="D4130" i="1"/>
  <c r="F4129" i="1"/>
  <c r="E4129" i="1"/>
  <c r="D4129" i="1"/>
  <c r="F4128" i="1"/>
  <c r="E4128" i="1"/>
  <c r="D4128" i="1"/>
  <c r="F4127" i="1"/>
  <c r="E4127" i="1"/>
  <c r="D4127" i="1"/>
  <c r="F4126" i="1"/>
  <c r="E4126" i="1"/>
  <c r="D4126" i="1"/>
  <c r="F4125" i="1"/>
  <c r="E4125" i="1"/>
  <c r="D4125" i="1"/>
  <c r="F4124" i="1"/>
  <c r="E4124" i="1"/>
  <c r="D4124" i="1"/>
  <c r="F4123" i="1"/>
  <c r="E4123" i="1"/>
  <c r="D4123" i="1"/>
  <c r="F4122" i="1"/>
  <c r="E4122" i="1"/>
  <c r="D4122" i="1"/>
  <c r="F4121" i="1"/>
  <c r="E4121" i="1"/>
  <c r="D4121" i="1"/>
  <c r="F4120" i="1"/>
  <c r="E4120" i="1"/>
  <c r="D4120" i="1"/>
  <c r="F4119" i="1"/>
  <c r="E4119" i="1"/>
  <c r="D4119" i="1"/>
  <c r="F4118" i="1"/>
  <c r="E4118" i="1"/>
  <c r="D4118" i="1"/>
  <c r="F4117" i="1"/>
  <c r="E4117" i="1"/>
  <c r="D4117" i="1"/>
  <c r="F4116" i="1"/>
  <c r="E4116" i="1"/>
  <c r="D4116" i="1"/>
  <c r="F4115" i="1"/>
  <c r="E4115" i="1"/>
  <c r="D4115" i="1"/>
  <c r="F4114" i="1"/>
  <c r="E4114" i="1"/>
  <c r="D4114" i="1"/>
  <c r="F4113" i="1"/>
  <c r="E4113" i="1"/>
  <c r="D4113" i="1"/>
  <c r="F4112" i="1"/>
  <c r="E4112" i="1"/>
  <c r="D4112" i="1"/>
  <c r="F4111" i="1"/>
  <c r="E4111" i="1"/>
  <c r="D4111" i="1"/>
  <c r="F4110" i="1"/>
  <c r="E4110" i="1"/>
  <c r="D4110" i="1"/>
  <c r="F4109" i="1"/>
  <c r="E4109" i="1"/>
  <c r="D4109" i="1"/>
  <c r="F4108" i="1"/>
  <c r="E4108" i="1"/>
  <c r="D4108" i="1"/>
  <c r="F4107" i="1"/>
  <c r="E4107" i="1"/>
  <c r="D4107" i="1"/>
  <c r="F4106" i="1"/>
  <c r="E4106" i="1"/>
  <c r="D4106" i="1"/>
  <c r="F4105" i="1"/>
  <c r="E4105" i="1"/>
  <c r="D4105" i="1"/>
  <c r="F4104" i="1"/>
  <c r="E4104" i="1"/>
  <c r="D4104" i="1"/>
  <c r="F4103" i="1"/>
  <c r="E4103" i="1"/>
  <c r="D4103" i="1"/>
  <c r="F4102" i="1"/>
  <c r="E4102" i="1"/>
  <c r="D4102" i="1"/>
  <c r="F4101" i="1"/>
  <c r="E4101" i="1"/>
  <c r="D4101" i="1"/>
  <c r="F4100" i="1"/>
  <c r="E4100" i="1"/>
  <c r="D4100" i="1"/>
  <c r="F4099" i="1"/>
  <c r="E4099" i="1"/>
  <c r="D4099" i="1"/>
  <c r="F4098" i="1"/>
  <c r="E4098" i="1"/>
  <c r="D4098" i="1"/>
  <c r="F4097" i="1"/>
  <c r="E4097" i="1"/>
  <c r="D4097" i="1"/>
  <c r="F4096" i="1"/>
  <c r="E4096" i="1"/>
  <c r="D4096" i="1"/>
  <c r="F4095" i="1"/>
  <c r="E4095" i="1"/>
  <c r="D4095" i="1"/>
  <c r="F4094" i="1"/>
  <c r="E4094" i="1"/>
  <c r="D4094" i="1"/>
  <c r="F4093" i="1"/>
  <c r="E4093" i="1"/>
  <c r="D4093" i="1"/>
  <c r="F4092" i="1"/>
  <c r="E4092" i="1"/>
  <c r="D4092" i="1"/>
  <c r="F4091" i="1"/>
  <c r="E4091" i="1"/>
  <c r="D4091" i="1"/>
  <c r="F4090" i="1"/>
  <c r="E4090" i="1"/>
  <c r="D4090" i="1"/>
  <c r="F4089" i="1"/>
  <c r="E4089" i="1"/>
  <c r="D4089" i="1"/>
  <c r="F4088" i="1"/>
  <c r="E4088" i="1"/>
  <c r="D4088" i="1"/>
  <c r="F4087" i="1"/>
  <c r="E4087" i="1"/>
  <c r="D4087" i="1"/>
  <c r="F4086" i="1"/>
  <c r="E4086" i="1"/>
  <c r="D4086" i="1"/>
  <c r="F4085" i="1"/>
  <c r="E4085" i="1"/>
  <c r="D4085" i="1"/>
  <c r="F4084" i="1"/>
  <c r="E4084" i="1"/>
  <c r="D4084" i="1"/>
  <c r="F4083" i="1"/>
  <c r="E4083" i="1"/>
  <c r="D4083" i="1"/>
  <c r="F4082" i="1"/>
  <c r="E4082" i="1"/>
  <c r="D4082" i="1"/>
  <c r="F4081" i="1"/>
  <c r="E4081" i="1"/>
  <c r="D4081" i="1"/>
  <c r="F4080" i="1"/>
  <c r="E4080" i="1"/>
  <c r="D4080" i="1"/>
  <c r="F4079" i="1"/>
  <c r="E4079" i="1"/>
  <c r="D4079" i="1"/>
  <c r="F4078" i="1"/>
  <c r="E4078" i="1"/>
  <c r="D4078" i="1"/>
  <c r="F4077" i="1"/>
  <c r="E4077" i="1"/>
  <c r="D4077" i="1"/>
  <c r="F4076" i="1"/>
  <c r="E4076" i="1"/>
  <c r="D4076" i="1"/>
  <c r="F4075" i="1"/>
  <c r="E4075" i="1"/>
  <c r="D4075" i="1"/>
  <c r="F4074" i="1"/>
  <c r="E4074" i="1"/>
  <c r="D4074" i="1"/>
  <c r="F4073" i="1"/>
  <c r="E4073" i="1"/>
  <c r="D4073" i="1"/>
  <c r="F4072" i="1"/>
  <c r="E4072" i="1"/>
  <c r="D4072" i="1"/>
  <c r="F4071" i="1"/>
  <c r="E4071" i="1"/>
  <c r="D4071" i="1"/>
  <c r="F4070" i="1"/>
  <c r="E4070" i="1"/>
  <c r="D4070" i="1"/>
  <c r="F4069" i="1"/>
  <c r="E4069" i="1"/>
  <c r="D4069" i="1"/>
  <c r="F4068" i="1"/>
  <c r="E4068" i="1"/>
  <c r="D4068" i="1"/>
  <c r="F4067" i="1"/>
  <c r="E4067" i="1"/>
  <c r="D4067" i="1"/>
  <c r="F4066" i="1"/>
  <c r="E4066" i="1"/>
  <c r="D4066" i="1"/>
  <c r="F4065" i="1"/>
  <c r="E4065" i="1"/>
  <c r="D4065" i="1"/>
  <c r="F4064" i="1"/>
  <c r="E4064" i="1"/>
  <c r="D4064" i="1"/>
  <c r="F4063" i="1"/>
  <c r="E4063" i="1"/>
  <c r="D4063" i="1"/>
  <c r="F4062" i="1"/>
  <c r="E4062" i="1"/>
  <c r="D4062" i="1"/>
  <c r="F4061" i="1"/>
  <c r="E4061" i="1"/>
  <c r="D4061" i="1"/>
  <c r="F4060" i="1"/>
  <c r="E4060" i="1"/>
  <c r="D4060" i="1"/>
  <c r="F4059" i="1"/>
  <c r="E4059" i="1"/>
  <c r="D4059" i="1"/>
  <c r="F4058" i="1"/>
  <c r="E4058" i="1"/>
  <c r="D4058" i="1"/>
  <c r="F4057" i="1"/>
  <c r="E4057" i="1"/>
  <c r="D4057" i="1"/>
  <c r="F4056" i="1"/>
  <c r="E4056" i="1"/>
  <c r="D4056" i="1"/>
  <c r="F4055" i="1"/>
  <c r="E4055" i="1"/>
  <c r="D4055" i="1"/>
  <c r="F4054" i="1"/>
  <c r="E4054" i="1"/>
  <c r="D4054" i="1"/>
  <c r="F4053" i="1"/>
  <c r="E4053" i="1"/>
  <c r="D4053" i="1"/>
  <c r="F4052" i="1"/>
  <c r="E4052" i="1"/>
  <c r="D4052" i="1"/>
  <c r="F4051" i="1"/>
  <c r="E4051" i="1"/>
  <c r="D4051" i="1"/>
  <c r="F4050" i="1"/>
  <c r="E4050" i="1"/>
  <c r="D4050" i="1"/>
  <c r="F4049" i="1"/>
  <c r="E4049" i="1"/>
  <c r="D4049" i="1"/>
  <c r="F4048" i="1"/>
  <c r="E4048" i="1"/>
  <c r="D4048" i="1"/>
  <c r="F4047" i="1"/>
  <c r="E4047" i="1"/>
  <c r="D4047" i="1"/>
  <c r="F4046" i="1"/>
  <c r="E4046" i="1"/>
  <c r="D4046" i="1"/>
  <c r="F4045" i="1"/>
  <c r="E4045" i="1"/>
  <c r="D4045" i="1"/>
  <c r="F4044" i="1"/>
  <c r="E4044" i="1"/>
  <c r="D4044" i="1"/>
  <c r="F4043" i="1"/>
  <c r="E4043" i="1"/>
  <c r="D4043" i="1"/>
  <c r="F4042" i="1"/>
  <c r="E4042" i="1"/>
  <c r="D4042" i="1"/>
  <c r="F4041" i="1"/>
  <c r="E4041" i="1"/>
  <c r="D4041" i="1"/>
  <c r="F4040" i="1"/>
  <c r="E4040" i="1"/>
  <c r="D4040" i="1"/>
  <c r="F4039" i="1"/>
  <c r="E4039" i="1"/>
  <c r="D4039" i="1"/>
  <c r="F4038" i="1"/>
  <c r="E4038" i="1"/>
  <c r="D4038" i="1"/>
  <c r="F4037" i="1"/>
  <c r="E4037" i="1"/>
  <c r="D4037" i="1"/>
  <c r="F4036" i="1"/>
  <c r="E4036" i="1"/>
  <c r="D4036" i="1"/>
  <c r="F4035" i="1"/>
  <c r="E4035" i="1"/>
  <c r="D4035" i="1"/>
  <c r="F4034" i="1"/>
  <c r="E4034" i="1"/>
  <c r="D4034" i="1"/>
  <c r="F4033" i="1"/>
  <c r="E4033" i="1"/>
  <c r="D4033" i="1"/>
  <c r="F4032" i="1"/>
  <c r="E4032" i="1"/>
  <c r="D4032" i="1"/>
  <c r="F4031" i="1"/>
  <c r="E4031" i="1"/>
  <c r="D4031" i="1"/>
  <c r="F4030" i="1"/>
  <c r="E4030" i="1"/>
  <c r="D4030" i="1"/>
  <c r="F4029" i="1"/>
  <c r="E4029" i="1"/>
  <c r="D4029" i="1"/>
  <c r="F4028" i="1"/>
  <c r="E4028" i="1"/>
  <c r="D4028" i="1"/>
  <c r="F4027" i="1"/>
  <c r="E4027" i="1"/>
  <c r="D4027" i="1"/>
  <c r="F4026" i="1"/>
  <c r="E4026" i="1"/>
  <c r="D4026" i="1"/>
  <c r="F4025" i="1"/>
  <c r="E4025" i="1"/>
  <c r="D4025" i="1"/>
  <c r="F4024" i="1"/>
  <c r="E4024" i="1"/>
  <c r="D4024" i="1"/>
  <c r="F4023" i="1"/>
  <c r="E4023" i="1"/>
  <c r="D4023" i="1"/>
  <c r="F4022" i="1"/>
  <c r="E4022" i="1"/>
  <c r="D4022" i="1"/>
  <c r="F4021" i="1"/>
  <c r="E4021" i="1"/>
  <c r="D4021" i="1"/>
  <c r="F4020" i="1"/>
  <c r="E4020" i="1"/>
  <c r="D4020" i="1"/>
  <c r="F4019" i="1"/>
  <c r="E4019" i="1"/>
  <c r="D4019" i="1"/>
  <c r="F4018" i="1"/>
  <c r="E4018" i="1"/>
  <c r="D4018" i="1"/>
  <c r="F4017" i="1"/>
  <c r="E4017" i="1"/>
  <c r="D4017" i="1"/>
  <c r="F4016" i="1"/>
  <c r="E4016" i="1"/>
  <c r="D4016" i="1"/>
  <c r="F4015" i="1"/>
  <c r="E4015" i="1"/>
  <c r="D4015" i="1"/>
  <c r="F4014" i="1"/>
  <c r="E4014" i="1"/>
  <c r="D4014" i="1"/>
  <c r="F4013" i="1"/>
  <c r="E4013" i="1"/>
  <c r="D4013" i="1"/>
  <c r="F4012" i="1"/>
  <c r="E4012" i="1"/>
  <c r="D4012" i="1"/>
  <c r="F4011" i="1"/>
  <c r="E4011" i="1"/>
  <c r="D4011" i="1"/>
  <c r="F4010" i="1"/>
  <c r="E4010" i="1"/>
  <c r="D4010" i="1"/>
  <c r="F4009" i="1"/>
  <c r="E4009" i="1"/>
  <c r="D4009" i="1"/>
  <c r="F4008" i="1"/>
  <c r="E4008" i="1"/>
  <c r="D4008" i="1"/>
  <c r="F4007" i="1"/>
  <c r="E4007" i="1"/>
  <c r="D4007" i="1"/>
  <c r="F4006" i="1"/>
  <c r="E4006" i="1"/>
  <c r="D4006" i="1"/>
  <c r="F4005" i="1"/>
  <c r="E4005" i="1"/>
  <c r="D4005" i="1"/>
  <c r="F4004" i="1"/>
  <c r="E4004" i="1"/>
  <c r="D4004" i="1"/>
  <c r="F4003" i="1"/>
  <c r="E4003" i="1"/>
  <c r="D4003" i="1"/>
  <c r="F4002" i="1"/>
  <c r="E4002" i="1"/>
  <c r="D4002" i="1"/>
  <c r="F4001" i="1"/>
  <c r="E4001" i="1"/>
  <c r="D4001" i="1"/>
  <c r="F4000" i="1"/>
  <c r="E4000" i="1"/>
  <c r="D4000" i="1"/>
  <c r="F3999" i="1"/>
  <c r="E3999" i="1"/>
  <c r="D3999" i="1"/>
  <c r="F3998" i="1"/>
  <c r="E3998" i="1"/>
  <c r="D3998" i="1"/>
  <c r="F3997" i="1"/>
  <c r="E3997" i="1"/>
  <c r="D3997" i="1"/>
  <c r="F3996" i="1"/>
  <c r="E3996" i="1"/>
  <c r="D3996" i="1"/>
  <c r="F3995" i="1"/>
  <c r="E3995" i="1"/>
  <c r="D3995" i="1"/>
  <c r="F3994" i="1"/>
  <c r="E3994" i="1"/>
  <c r="D3994" i="1"/>
  <c r="F3993" i="1"/>
  <c r="E3993" i="1"/>
  <c r="D3993" i="1"/>
  <c r="F3992" i="1"/>
  <c r="E3992" i="1"/>
  <c r="D3992" i="1"/>
  <c r="F3991" i="1"/>
  <c r="E3991" i="1"/>
  <c r="D3991" i="1"/>
  <c r="F3990" i="1"/>
  <c r="E3990" i="1"/>
  <c r="D3990" i="1"/>
  <c r="F3989" i="1"/>
  <c r="E3989" i="1"/>
  <c r="D3989" i="1"/>
  <c r="F3988" i="1"/>
  <c r="E3988" i="1"/>
  <c r="D3988" i="1"/>
  <c r="F3987" i="1"/>
  <c r="E3987" i="1"/>
  <c r="D3987" i="1"/>
  <c r="F3986" i="1"/>
  <c r="E3986" i="1"/>
  <c r="D3986" i="1"/>
  <c r="F3985" i="1"/>
  <c r="E3985" i="1"/>
  <c r="D3985" i="1"/>
  <c r="F3984" i="1"/>
  <c r="E3984" i="1"/>
  <c r="D3984" i="1"/>
  <c r="F3983" i="1"/>
  <c r="E3983" i="1"/>
  <c r="D3983" i="1"/>
  <c r="F3982" i="1"/>
  <c r="E3982" i="1"/>
  <c r="D3982" i="1"/>
  <c r="F3981" i="1"/>
  <c r="E3981" i="1"/>
  <c r="D3981" i="1"/>
  <c r="F3980" i="1"/>
  <c r="E3980" i="1"/>
  <c r="D3980" i="1"/>
  <c r="F3979" i="1"/>
  <c r="E3979" i="1"/>
  <c r="D3979" i="1"/>
  <c r="F3978" i="1"/>
  <c r="E3978" i="1"/>
  <c r="D3978" i="1"/>
  <c r="F3977" i="1"/>
  <c r="E3977" i="1"/>
  <c r="D3977" i="1"/>
  <c r="F3976" i="1"/>
  <c r="E3976" i="1"/>
  <c r="D3976" i="1"/>
  <c r="F3975" i="1"/>
  <c r="E3975" i="1"/>
  <c r="D3975" i="1"/>
  <c r="F3974" i="1"/>
  <c r="E3974" i="1"/>
  <c r="D3974" i="1"/>
  <c r="F3973" i="1"/>
  <c r="E3973" i="1"/>
  <c r="D3973" i="1"/>
  <c r="F3972" i="1"/>
  <c r="E3972" i="1"/>
  <c r="D3972" i="1"/>
  <c r="F3971" i="1"/>
  <c r="E3971" i="1"/>
  <c r="D3971" i="1"/>
  <c r="F3970" i="1"/>
  <c r="E3970" i="1"/>
  <c r="D3970" i="1"/>
  <c r="F3969" i="1"/>
  <c r="E3969" i="1"/>
  <c r="D3969" i="1"/>
  <c r="F3968" i="1"/>
  <c r="E3968" i="1"/>
  <c r="D3968" i="1"/>
  <c r="F3967" i="1"/>
  <c r="E3967" i="1"/>
  <c r="D3967" i="1"/>
  <c r="F3966" i="1"/>
  <c r="E3966" i="1"/>
  <c r="D3966" i="1"/>
  <c r="F3965" i="1"/>
  <c r="E3965" i="1"/>
  <c r="D3965" i="1"/>
  <c r="F3964" i="1"/>
  <c r="E3964" i="1"/>
  <c r="D3964" i="1"/>
  <c r="F3963" i="1"/>
  <c r="E3963" i="1"/>
  <c r="D3963" i="1"/>
  <c r="F3962" i="1"/>
  <c r="E3962" i="1"/>
  <c r="D3962" i="1"/>
  <c r="F3961" i="1"/>
  <c r="E3961" i="1"/>
  <c r="D3961" i="1"/>
  <c r="F3960" i="1"/>
  <c r="E3960" i="1"/>
  <c r="D3960" i="1"/>
  <c r="F3959" i="1"/>
  <c r="E3959" i="1"/>
  <c r="D3959" i="1"/>
  <c r="F3958" i="1"/>
  <c r="E3958" i="1"/>
  <c r="D3958" i="1"/>
  <c r="F3957" i="1"/>
  <c r="E3957" i="1"/>
  <c r="D3957" i="1"/>
  <c r="F3956" i="1"/>
  <c r="E3956" i="1"/>
  <c r="D3956" i="1"/>
  <c r="F3955" i="1"/>
  <c r="E3955" i="1"/>
  <c r="D3955" i="1"/>
  <c r="F3954" i="1"/>
  <c r="E3954" i="1"/>
  <c r="D3954" i="1"/>
  <c r="F3953" i="1"/>
  <c r="E3953" i="1"/>
  <c r="D3953" i="1"/>
  <c r="F3952" i="1"/>
  <c r="E3952" i="1"/>
  <c r="D3952" i="1"/>
  <c r="F3951" i="1"/>
  <c r="E3951" i="1"/>
  <c r="D3951" i="1"/>
  <c r="F3950" i="1"/>
  <c r="E3950" i="1"/>
  <c r="D3950" i="1"/>
  <c r="F3949" i="1"/>
  <c r="E3949" i="1"/>
  <c r="D3949" i="1"/>
  <c r="F3948" i="1"/>
  <c r="E3948" i="1"/>
  <c r="D3948" i="1"/>
  <c r="F3947" i="1"/>
  <c r="E3947" i="1"/>
  <c r="D3947" i="1"/>
  <c r="F3946" i="1"/>
  <c r="E3946" i="1"/>
  <c r="D3946" i="1"/>
  <c r="F3945" i="1"/>
  <c r="E3945" i="1"/>
  <c r="D3945" i="1"/>
  <c r="F3944" i="1"/>
  <c r="E3944" i="1"/>
  <c r="D3944" i="1"/>
  <c r="F3943" i="1"/>
  <c r="E3943" i="1"/>
  <c r="D3943" i="1"/>
  <c r="F3942" i="1"/>
  <c r="E3942" i="1"/>
  <c r="D3942" i="1"/>
  <c r="F3941" i="1"/>
  <c r="E3941" i="1"/>
  <c r="D3941" i="1"/>
  <c r="F3940" i="1"/>
  <c r="E3940" i="1"/>
  <c r="D3940" i="1"/>
  <c r="F3939" i="1"/>
  <c r="E3939" i="1"/>
  <c r="D3939" i="1"/>
  <c r="F3938" i="1"/>
  <c r="E3938" i="1"/>
  <c r="D3938" i="1"/>
  <c r="F3937" i="1"/>
  <c r="E3937" i="1"/>
  <c r="D3937" i="1"/>
  <c r="F3936" i="1"/>
  <c r="E3936" i="1"/>
  <c r="D3936" i="1"/>
  <c r="F3935" i="1"/>
  <c r="E3935" i="1"/>
  <c r="D3935" i="1"/>
  <c r="F3934" i="1"/>
  <c r="E3934" i="1"/>
  <c r="D3934" i="1"/>
  <c r="F3933" i="1"/>
  <c r="E3933" i="1"/>
  <c r="D3933" i="1"/>
  <c r="F3932" i="1"/>
  <c r="E3932" i="1"/>
  <c r="D3932" i="1"/>
  <c r="F3931" i="1"/>
  <c r="E3931" i="1"/>
  <c r="D3931" i="1"/>
  <c r="F3930" i="1"/>
  <c r="E3930" i="1"/>
  <c r="D3930" i="1"/>
  <c r="F3929" i="1"/>
  <c r="E3929" i="1"/>
  <c r="D3929" i="1"/>
  <c r="F3928" i="1"/>
  <c r="E3928" i="1"/>
  <c r="D3928" i="1"/>
  <c r="F3927" i="1"/>
  <c r="E3927" i="1"/>
  <c r="D3927" i="1"/>
  <c r="F3926" i="1"/>
  <c r="E3926" i="1"/>
  <c r="D3926" i="1"/>
  <c r="F3925" i="1"/>
  <c r="E3925" i="1"/>
  <c r="D3925" i="1"/>
  <c r="F3924" i="1"/>
  <c r="E3924" i="1"/>
  <c r="D3924" i="1"/>
  <c r="F3923" i="1"/>
  <c r="E3923" i="1"/>
  <c r="D3923" i="1"/>
  <c r="F3922" i="1"/>
  <c r="E3922" i="1"/>
  <c r="D3922" i="1"/>
  <c r="F3921" i="1"/>
  <c r="E3921" i="1"/>
  <c r="D3921" i="1"/>
  <c r="F3920" i="1"/>
  <c r="E3920" i="1"/>
  <c r="D3920" i="1"/>
  <c r="F3919" i="1"/>
  <c r="E3919" i="1"/>
  <c r="D3919" i="1"/>
  <c r="F3918" i="1"/>
  <c r="E3918" i="1"/>
  <c r="D3918" i="1"/>
  <c r="F3917" i="1"/>
  <c r="E3917" i="1"/>
  <c r="D3917" i="1"/>
  <c r="F3916" i="1"/>
  <c r="E3916" i="1"/>
  <c r="D3916" i="1"/>
  <c r="F3915" i="1"/>
  <c r="E3915" i="1"/>
  <c r="D3915" i="1"/>
  <c r="F3914" i="1"/>
  <c r="E3914" i="1"/>
  <c r="D3914" i="1"/>
  <c r="F3913" i="1"/>
  <c r="E3913" i="1"/>
  <c r="D3913" i="1"/>
  <c r="F3912" i="1"/>
  <c r="E3912" i="1"/>
  <c r="D3912" i="1"/>
  <c r="F3911" i="1"/>
  <c r="E3911" i="1"/>
  <c r="D3911" i="1"/>
  <c r="F3910" i="1"/>
  <c r="E3910" i="1"/>
  <c r="D3910" i="1"/>
  <c r="F3909" i="1"/>
  <c r="E3909" i="1"/>
  <c r="D3909" i="1"/>
  <c r="F3908" i="1"/>
  <c r="E3908" i="1"/>
  <c r="D3908" i="1"/>
  <c r="F3907" i="1"/>
  <c r="E3907" i="1"/>
  <c r="D3907" i="1"/>
  <c r="F3906" i="1"/>
  <c r="E3906" i="1"/>
  <c r="D3906" i="1"/>
  <c r="F3905" i="1"/>
  <c r="E3905" i="1"/>
  <c r="D3905" i="1"/>
  <c r="F3904" i="1"/>
  <c r="E3904" i="1"/>
  <c r="D3904" i="1"/>
  <c r="F3903" i="1"/>
  <c r="E3903" i="1"/>
  <c r="D3903" i="1"/>
  <c r="F3902" i="1"/>
  <c r="E3902" i="1"/>
  <c r="D3902" i="1"/>
  <c r="F3901" i="1"/>
  <c r="E3901" i="1"/>
  <c r="D3901" i="1"/>
  <c r="F3900" i="1"/>
  <c r="E3900" i="1"/>
  <c r="D3900" i="1"/>
  <c r="F3899" i="1"/>
  <c r="E3899" i="1"/>
  <c r="D3899" i="1"/>
  <c r="F3898" i="1"/>
  <c r="E3898" i="1"/>
  <c r="D3898" i="1"/>
  <c r="F3897" i="1"/>
  <c r="E3897" i="1"/>
  <c r="D3897" i="1"/>
  <c r="F3896" i="1"/>
  <c r="E3896" i="1"/>
  <c r="D3896" i="1"/>
  <c r="F3895" i="1"/>
  <c r="E3895" i="1"/>
  <c r="D3895" i="1"/>
  <c r="F3894" i="1"/>
  <c r="E3894" i="1"/>
  <c r="D3894" i="1"/>
  <c r="F3893" i="1"/>
  <c r="E3893" i="1"/>
  <c r="D3893" i="1"/>
  <c r="F3892" i="1"/>
  <c r="E3892" i="1"/>
  <c r="D3892" i="1"/>
  <c r="F3891" i="1"/>
  <c r="E3891" i="1"/>
  <c r="D3891" i="1"/>
  <c r="F3890" i="1"/>
  <c r="E3890" i="1"/>
  <c r="D3890" i="1"/>
  <c r="F3889" i="1"/>
  <c r="E3889" i="1"/>
  <c r="D3889" i="1"/>
  <c r="F3888" i="1"/>
  <c r="E3888" i="1"/>
  <c r="D3888" i="1"/>
  <c r="F3887" i="1"/>
  <c r="E3887" i="1"/>
  <c r="D3887" i="1"/>
  <c r="F3886" i="1"/>
  <c r="E3886" i="1"/>
  <c r="D3886" i="1"/>
  <c r="F3885" i="1"/>
  <c r="E3885" i="1"/>
  <c r="D3885" i="1"/>
  <c r="F3884" i="1"/>
  <c r="E3884" i="1"/>
  <c r="D3884" i="1"/>
  <c r="F3883" i="1"/>
  <c r="E3883" i="1"/>
  <c r="D3883" i="1"/>
  <c r="F3882" i="1"/>
  <c r="E3882" i="1"/>
  <c r="D3882" i="1"/>
  <c r="F3881" i="1"/>
  <c r="E3881" i="1"/>
  <c r="D3881" i="1"/>
  <c r="F3880" i="1"/>
  <c r="E3880" i="1"/>
  <c r="D3880" i="1"/>
  <c r="F3879" i="1"/>
  <c r="E3879" i="1"/>
  <c r="D3879" i="1"/>
  <c r="F3878" i="1"/>
  <c r="E3878" i="1"/>
  <c r="D3878" i="1"/>
  <c r="F3877" i="1"/>
  <c r="E3877" i="1"/>
  <c r="D3877" i="1"/>
  <c r="F3876" i="1"/>
  <c r="E3876" i="1"/>
  <c r="D3876" i="1"/>
  <c r="F3875" i="1"/>
  <c r="E3875" i="1"/>
  <c r="D3875" i="1"/>
  <c r="F3874" i="1"/>
  <c r="E3874" i="1"/>
  <c r="D3874" i="1"/>
  <c r="F3873" i="1"/>
  <c r="E3873" i="1"/>
  <c r="D3873" i="1"/>
  <c r="F3872" i="1"/>
  <c r="E3872" i="1"/>
  <c r="D3872" i="1"/>
  <c r="F3871" i="1"/>
  <c r="E3871" i="1"/>
  <c r="D3871" i="1"/>
  <c r="F3870" i="1"/>
  <c r="E3870" i="1"/>
  <c r="D3870" i="1"/>
  <c r="F3869" i="1"/>
  <c r="E3869" i="1"/>
  <c r="D3869" i="1"/>
  <c r="F3868" i="1"/>
  <c r="E3868" i="1"/>
  <c r="D3868" i="1"/>
  <c r="F3867" i="1"/>
  <c r="E3867" i="1"/>
  <c r="D3867" i="1"/>
  <c r="F3866" i="1"/>
  <c r="E3866" i="1"/>
  <c r="D3866" i="1"/>
  <c r="F3865" i="1"/>
  <c r="E3865" i="1"/>
  <c r="D3865" i="1"/>
  <c r="F3864" i="1"/>
  <c r="E3864" i="1"/>
  <c r="D3864" i="1"/>
  <c r="F3863" i="1"/>
  <c r="E3863" i="1"/>
  <c r="D3863" i="1"/>
  <c r="F3862" i="1"/>
  <c r="E3862" i="1"/>
  <c r="D3862" i="1"/>
  <c r="F3861" i="1"/>
  <c r="E3861" i="1"/>
  <c r="D3861" i="1"/>
  <c r="F3860" i="1"/>
  <c r="E3860" i="1"/>
  <c r="D3860" i="1"/>
  <c r="F3859" i="1"/>
  <c r="E3859" i="1"/>
  <c r="D3859" i="1"/>
  <c r="F3858" i="1"/>
  <c r="E3858" i="1"/>
  <c r="D3858" i="1"/>
  <c r="F3857" i="1"/>
  <c r="E3857" i="1"/>
  <c r="D3857" i="1"/>
  <c r="F3856" i="1"/>
  <c r="E3856" i="1"/>
  <c r="D3856" i="1"/>
  <c r="F3855" i="1"/>
  <c r="E3855" i="1"/>
  <c r="D3855" i="1"/>
  <c r="F3854" i="1"/>
  <c r="E3854" i="1"/>
  <c r="D3854" i="1"/>
  <c r="F3853" i="1"/>
  <c r="E3853" i="1"/>
  <c r="D3853" i="1"/>
  <c r="F3852" i="1"/>
  <c r="E3852" i="1"/>
  <c r="D3852" i="1"/>
  <c r="F3851" i="1"/>
  <c r="E3851" i="1"/>
  <c r="D3851" i="1"/>
  <c r="F3850" i="1"/>
  <c r="E3850" i="1"/>
  <c r="D3850" i="1"/>
  <c r="F3849" i="1"/>
  <c r="E3849" i="1"/>
  <c r="D3849" i="1"/>
  <c r="F3848" i="1"/>
  <c r="E3848" i="1"/>
  <c r="D3848" i="1"/>
  <c r="F3847" i="1"/>
  <c r="E3847" i="1"/>
  <c r="D3847" i="1"/>
  <c r="F3846" i="1"/>
  <c r="E3846" i="1"/>
  <c r="D3846" i="1"/>
  <c r="F3845" i="1"/>
  <c r="E3845" i="1"/>
  <c r="D3845" i="1"/>
  <c r="F3844" i="1"/>
  <c r="E3844" i="1"/>
  <c r="D3844" i="1"/>
  <c r="F3843" i="1"/>
  <c r="E3843" i="1"/>
  <c r="D3843" i="1"/>
  <c r="F3842" i="1"/>
  <c r="E3842" i="1"/>
  <c r="D3842" i="1"/>
  <c r="F3841" i="1"/>
  <c r="E3841" i="1"/>
  <c r="D3841" i="1"/>
  <c r="F3840" i="1"/>
  <c r="E3840" i="1"/>
  <c r="D3840" i="1"/>
  <c r="F3839" i="1"/>
  <c r="E3839" i="1"/>
  <c r="D3839" i="1"/>
  <c r="F3838" i="1"/>
  <c r="E3838" i="1"/>
  <c r="D3838" i="1"/>
  <c r="F3837" i="1"/>
  <c r="E3837" i="1"/>
  <c r="D3837" i="1"/>
  <c r="F3836" i="1"/>
  <c r="E3836" i="1"/>
  <c r="D3836" i="1"/>
  <c r="F3835" i="1"/>
  <c r="E3835" i="1"/>
  <c r="D3835" i="1"/>
  <c r="F3834" i="1"/>
  <c r="E3834" i="1"/>
  <c r="D3834" i="1"/>
  <c r="F3833" i="1"/>
  <c r="E3833" i="1"/>
  <c r="D3833" i="1"/>
  <c r="F3832" i="1"/>
  <c r="E3832" i="1"/>
  <c r="D3832" i="1"/>
  <c r="F3831" i="1"/>
  <c r="E3831" i="1"/>
  <c r="D3831" i="1"/>
  <c r="F3830" i="1"/>
  <c r="E3830" i="1"/>
  <c r="D3830" i="1"/>
  <c r="F3829" i="1"/>
  <c r="E3829" i="1"/>
  <c r="D3829" i="1"/>
  <c r="F3828" i="1"/>
  <c r="E3828" i="1"/>
  <c r="D3828" i="1"/>
  <c r="F3827" i="1"/>
  <c r="E3827" i="1"/>
  <c r="D3827" i="1"/>
  <c r="F3826" i="1"/>
  <c r="E3826" i="1"/>
  <c r="D3826" i="1"/>
  <c r="F3825" i="1"/>
  <c r="E3825" i="1"/>
  <c r="D3825" i="1"/>
  <c r="F3824" i="1"/>
  <c r="E3824" i="1"/>
  <c r="D3824" i="1"/>
  <c r="F3823" i="1"/>
  <c r="E3823" i="1"/>
  <c r="D3823" i="1"/>
  <c r="F3822" i="1"/>
  <c r="E3822" i="1"/>
  <c r="D3822" i="1"/>
  <c r="F3821" i="1"/>
  <c r="E3821" i="1"/>
  <c r="D3821" i="1"/>
  <c r="F3820" i="1"/>
  <c r="E3820" i="1"/>
  <c r="D3820" i="1"/>
  <c r="F3819" i="1"/>
  <c r="E3819" i="1"/>
  <c r="D3819" i="1"/>
  <c r="F3818" i="1"/>
  <c r="E3818" i="1"/>
  <c r="D3818" i="1"/>
  <c r="F3817" i="1"/>
  <c r="E3817" i="1"/>
  <c r="D3817" i="1"/>
  <c r="F3816" i="1"/>
  <c r="E3816" i="1"/>
  <c r="D3816" i="1"/>
  <c r="F3815" i="1"/>
  <c r="E3815" i="1"/>
  <c r="D3815" i="1"/>
  <c r="F3814" i="1"/>
  <c r="E3814" i="1"/>
  <c r="D3814" i="1"/>
  <c r="F3813" i="1"/>
  <c r="E3813" i="1"/>
  <c r="D3813" i="1"/>
  <c r="F3812" i="1"/>
  <c r="E3812" i="1"/>
  <c r="D3812" i="1"/>
  <c r="F3811" i="1"/>
  <c r="E3811" i="1"/>
  <c r="D3811" i="1"/>
  <c r="F3810" i="1"/>
  <c r="E3810" i="1"/>
  <c r="D3810" i="1"/>
  <c r="F3809" i="1"/>
  <c r="E3809" i="1"/>
  <c r="D3809" i="1"/>
  <c r="F3808" i="1"/>
  <c r="E3808" i="1"/>
  <c r="D3808" i="1"/>
  <c r="F3807" i="1"/>
  <c r="E3807" i="1"/>
  <c r="D3807" i="1"/>
  <c r="F3806" i="1"/>
  <c r="E3806" i="1"/>
  <c r="D3806" i="1"/>
  <c r="F3805" i="1"/>
  <c r="E3805" i="1"/>
  <c r="D3805" i="1"/>
  <c r="F3804" i="1"/>
  <c r="E3804" i="1"/>
  <c r="D3804" i="1"/>
  <c r="F3803" i="1"/>
  <c r="E3803" i="1"/>
  <c r="D3803" i="1"/>
  <c r="F3802" i="1"/>
  <c r="E3802" i="1"/>
  <c r="D3802" i="1"/>
  <c r="F3801" i="1"/>
  <c r="E3801" i="1"/>
  <c r="D3801" i="1"/>
  <c r="F3800" i="1"/>
  <c r="E3800" i="1"/>
  <c r="D3800" i="1"/>
  <c r="F3799" i="1"/>
  <c r="E3799" i="1"/>
  <c r="D3799" i="1"/>
  <c r="F3798" i="1"/>
  <c r="E3798" i="1"/>
  <c r="D3798" i="1"/>
  <c r="F3797" i="1"/>
  <c r="E3797" i="1"/>
  <c r="D3797" i="1"/>
  <c r="F3796" i="1"/>
  <c r="E3796" i="1"/>
  <c r="D3796" i="1"/>
  <c r="F3795" i="1"/>
  <c r="E3795" i="1"/>
  <c r="D3795" i="1"/>
  <c r="F3794" i="1"/>
  <c r="E3794" i="1"/>
  <c r="D3794" i="1"/>
  <c r="F3793" i="1"/>
  <c r="E3793" i="1"/>
  <c r="D3793" i="1"/>
  <c r="F3792" i="1"/>
  <c r="E3792" i="1"/>
  <c r="D3792" i="1"/>
  <c r="F3791" i="1"/>
  <c r="E3791" i="1"/>
  <c r="D3791" i="1"/>
  <c r="F3790" i="1"/>
  <c r="E3790" i="1"/>
  <c r="D3790" i="1"/>
  <c r="F3789" i="1"/>
  <c r="E3789" i="1"/>
  <c r="D3789" i="1"/>
  <c r="F3788" i="1"/>
  <c r="E3788" i="1"/>
  <c r="D3788" i="1"/>
  <c r="F3787" i="1"/>
  <c r="E3787" i="1"/>
  <c r="D3787" i="1"/>
  <c r="F3786" i="1"/>
  <c r="E3786" i="1"/>
  <c r="D3786" i="1"/>
  <c r="F3785" i="1"/>
  <c r="E3785" i="1"/>
  <c r="D3785" i="1"/>
  <c r="F3784" i="1"/>
  <c r="E3784" i="1"/>
  <c r="D3784" i="1"/>
  <c r="F3783" i="1"/>
  <c r="E3783" i="1"/>
  <c r="D3783" i="1"/>
  <c r="F3782" i="1"/>
  <c r="E3782" i="1"/>
  <c r="D3782" i="1"/>
  <c r="F3781" i="1"/>
  <c r="E3781" i="1"/>
  <c r="D3781" i="1"/>
  <c r="F3780" i="1"/>
  <c r="E3780" i="1"/>
  <c r="D3780" i="1"/>
  <c r="F3779" i="1"/>
  <c r="E3779" i="1"/>
  <c r="D3779" i="1"/>
  <c r="F3778" i="1"/>
  <c r="E3778" i="1"/>
  <c r="D3778" i="1"/>
  <c r="F3777" i="1"/>
  <c r="E3777" i="1"/>
  <c r="D3777" i="1"/>
  <c r="F3776" i="1"/>
  <c r="E3776" i="1"/>
  <c r="D3776" i="1"/>
  <c r="F3775" i="1"/>
  <c r="E3775" i="1"/>
  <c r="D3775" i="1"/>
  <c r="F3774" i="1"/>
  <c r="E3774" i="1"/>
  <c r="D3774" i="1"/>
  <c r="F3773" i="1"/>
  <c r="E3773" i="1"/>
  <c r="D3773" i="1"/>
  <c r="F3772" i="1"/>
  <c r="E3772" i="1"/>
  <c r="D3772" i="1"/>
  <c r="F3771" i="1"/>
  <c r="E3771" i="1"/>
  <c r="D3771" i="1"/>
  <c r="F3770" i="1"/>
  <c r="E3770" i="1"/>
  <c r="D3770" i="1"/>
  <c r="F3769" i="1"/>
  <c r="E3769" i="1"/>
  <c r="D3769" i="1"/>
  <c r="F3768" i="1"/>
  <c r="E3768" i="1"/>
  <c r="D3768" i="1"/>
  <c r="F3767" i="1"/>
  <c r="E3767" i="1"/>
  <c r="D3767" i="1"/>
  <c r="F3766" i="1"/>
  <c r="E3766" i="1"/>
  <c r="D3766" i="1"/>
  <c r="F3765" i="1"/>
  <c r="E3765" i="1"/>
  <c r="D3765" i="1"/>
  <c r="F3764" i="1"/>
  <c r="E3764" i="1"/>
  <c r="D3764" i="1"/>
  <c r="F3763" i="1"/>
  <c r="E3763" i="1"/>
  <c r="D3763" i="1"/>
  <c r="F3762" i="1"/>
  <c r="E3762" i="1"/>
  <c r="D3762" i="1"/>
  <c r="F3761" i="1"/>
  <c r="E3761" i="1"/>
  <c r="D3761" i="1"/>
  <c r="F3760" i="1"/>
  <c r="E3760" i="1"/>
  <c r="D3760" i="1"/>
  <c r="F3759" i="1"/>
  <c r="E3759" i="1"/>
  <c r="D3759" i="1"/>
  <c r="F3758" i="1"/>
  <c r="E3758" i="1"/>
  <c r="D3758" i="1"/>
  <c r="F3757" i="1"/>
  <c r="E3757" i="1"/>
  <c r="D3757" i="1"/>
  <c r="F3756" i="1"/>
  <c r="E3756" i="1"/>
  <c r="D3756" i="1"/>
  <c r="F3755" i="1"/>
  <c r="E3755" i="1"/>
  <c r="D3755" i="1"/>
  <c r="F3754" i="1"/>
  <c r="E3754" i="1"/>
  <c r="D3754" i="1"/>
  <c r="F3753" i="1"/>
  <c r="E3753" i="1"/>
  <c r="D3753" i="1"/>
  <c r="F3752" i="1"/>
  <c r="E3752" i="1"/>
  <c r="D3752" i="1"/>
  <c r="F3751" i="1"/>
  <c r="E3751" i="1"/>
  <c r="D3751" i="1"/>
  <c r="F3750" i="1"/>
  <c r="E3750" i="1"/>
  <c r="D3750" i="1"/>
  <c r="F3749" i="1"/>
  <c r="E3749" i="1"/>
  <c r="D3749" i="1"/>
  <c r="F3748" i="1"/>
  <c r="E3748" i="1"/>
  <c r="D3748" i="1"/>
  <c r="F3747" i="1"/>
  <c r="E3747" i="1"/>
  <c r="D3747" i="1"/>
  <c r="F3746" i="1"/>
  <c r="E3746" i="1"/>
  <c r="D3746" i="1"/>
  <c r="F3745" i="1"/>
  <c r="E3745" i="1"/>
  <c r="D3745" i="1"/>
  <c r="F3744" i="1"/>
  <c r="E3744" i="1"/>
  <c r="D3744" i="1"/>
  <c r="F3743" i="1"/>
  <c r="E3743" i="1"/>
  <c r="D3743" i="1"/>
  <c r="F3742" i="1"/>
  <c r="E3742" i="1"/>
  <c r="D3742" i="1"/>
  <c r="F3741" i="1"/>
  <c r="E3741" i="1"/>
  <c r="D3741" i="1"/>
  <c r="F3740" i="1"/>
  <c r="E3740" i="1"/>
  <c r="D3740" i="1"/>
  <c r="F3739" i="1"/>
  <c r="E3739" i="1"/>
  <c r="D3739" i="1"/>
  <c r="F3738" i="1"/>
  <c r="E3738" i="1"/>
  <c r="D3738" i="1"/>
  <c r="F3737" i="1"/>
  <c r="E3737" i="1"/>
  <c r="D3737" i="1"/>
  <c r="F3736" i="1"/>
  <c r="E3736" i="1"/>
  <c r="D3736" i="1"/>
  <c r="F3735" i="1"/>
  <c r="E3735" i="1"/>
  <c r="D3735" i="1"/>
  <c r="F3734" i="1"/>
  <c r="E3734" i="1"/>
  <c r="D3734" i="1"/>
  <c r="F3733" i="1"/>
  <c r="E3733" i="1"/>
  <c r="D3733" i="1"/>
  <c r="F3732" i="1"/>
  <c r="E3732" i="1"/>
  <c r="D3732" i="1"/>
  <c r="F3731" i="1"/>
  <c r="E3731" i="1"/>
  <c r="D3731" i="1"/>
  <c r="F3730" i="1"/>
  <c r="E3730" i="1"/>
  <c r="D3730" i="1"/>
  <c r="F3729" i="1"/>
  <c r="E3729" i="1"/>
  <c r="D3729" i="1"/>
  <c r="F3728" i="1"/>
  <c r="E3728" i="1"/>
  <c r="D3728" i="1"/>
  <c r="F3727" i="1"/>
  <c r="E3727" i="1"/>
  <c r="D3727" i="1"/>
  <c r="F3726" i="1"/>
  <c r="E3726" i="1"/>
  <c r="D3726" i="1"/>
  <c r="F3725" i="1"/>
  <c r="E3725" i="1"/>
  <c r="D3725" i="1"/>
  <c r="F3724" i="1"/>
  <c r="E3724" i="1"/>
  <c r="D3724" i="1"/>
  <c r="F3723" i="1"/>
  <c r="E3723" i="1"/>
  <c r="D3723" i="1"/>
  <c r="F3722" i="1"/>
  <c r="E3722" i="1"/>
  <c r="D3722" i="1"/>
  <c r="F3721" i="1"/>
  <c r="E3721" i="1"/>
  <c r="D3721" i="1"/>
  <c r="F3720" i="1"/>
  <c r="E3720" i="1"/>
  <c r="D3720" i="1"/>
  <c r="F3719" i="1"/>
  <c r="E3719" i="1"/>
  <c r="D3719" i="1"/>
  <c r="F3718" i="1"/>
  <c r="E3718" i="1"/>
  <c r="D3718" i="1"/>
  <c r="F3717" i="1"/>
  <c r="E3717" i="1"/>
  <c r="D3717" i="1"/>
  <c r="F3716" i="1"/>
  <c r="E3716" i="1"/>
  <c r="D3716" i="1"/>
  <c r="F3715" i="1"/>
  <c r="E3715" i="1"/>
  <c r="D3715" i="1"/>
  <c r="F3714" i="1"/>
  <c r="E3714" i="1"/>
  <c r="D3714" i="1"/>
  <c r="F3713" i="1"/>
  <c r="E3713" i="1"/>
  <c r="D3713" i="1"/>
  <c r="F3712" i="1"/>
  <c r="E3712" i="1"/>
  <c r="D3712" i="1"/>
  <c r="F3711" i="1"/>
  <c r="E3711" i="1"/>
  <c r="D3711" i="1"/>
  <c r="F3710" i="1"/>
  <c r="E3710" i="1"/>
  <c r="D3710" i="1"/>
  <c r="F3709" i="1"/>
  <c r="E3709" i="1"/>
  <c r="D3709" i="1"/>
  <c r="F3708" i="1"/>
  <c r="E3708" i="1"/>
  <c r="D3708" i="1"/>
  <c r="F3707" i="1"/>
  <c r="E3707" i="1"/>
  <c r="D3707" i="1"/>
  <c r="F3706" i="1"/>
  <c r="E3706" i="1"/>
  <c r="D3706" i="1"/>
  <c r="F3705" i="1"/>
  <c r="E3705" i="1"/>
  <c r="D3705" i="1"/>
  <c r="F3704" i="1"/>
  <c r="E3704" i="1"/>
  <c r="D3704" i="1"/>
  <c r="F3703" i="1"/>
  <c r="E3703" i="1"/>
  <c r="D3703" i="1"/>
  <c r="F3702" i="1"/>
  <c r="E3702" i="1"/>
  <c r="D3702" i="1"/>
  <c r="F3701" i="1"/>
  <c r="E3701" i="1"/>
  <c r="D3701" i="1"/>
  <c r="F3700" i="1"/>
  <c r="E3700" i="1"/>
  <c r="D3700" i="1"/>
  <c r="F3699" i="1"/>
  <c r="E3699" i="1"/>
  <c r="D3699" i="1"/>
  <c r="F3698" i="1"/>
  <c r="E3698" i="1"/>
  <c r="D3698" i="1"/>
  <c r="F3697" i="1"/>
  <c r="E3697" i="1"/>
  <c r="D3697" i="1"/>
  <c r="F3696" i="1"/>
  <c r="E3696" i="1"/>
  <c r="D3696" i="1"/>
  <c r="F3695" i="1"/>
  <c r="E3695" i="1"/>
  <c r="D3695" i="1"/>
  <c r="F3694" i="1"/>
  <c r="E3694" i="1"/>
  <c r="D3694" i="1"/>
  <c r="F3693" i="1"/>
  <c r="E3693" i="1"/>
  <c r="D3693" i="1"/>
  <c r="F3692" i="1"/>
  <c r="E3692" i="1"/>
  <c r="D3692" i="1"/>
  <c r="F3691" i="1"/>
  <c r="E3691" i="1"/>
  <c r="D3691" i="1"/>
  <c r="F3690" i="1"/>
  <c r="E3690" i="1"/>
  <c r="D3690" i="1"/>
  <c r="F3689" i="1"/>
  <c r="E3689" i="1"/>
  <c r="D3689" i="1"/>
  <c r="F3688" i="1"/>
  <c r="E3688" i="1"/>
  <c r="D3688" i="1"/>
  <c r="F3687" i="1"/>
  <c r="E3687" i="1"/>
  <c r="D3687" i="1"/>
  <c r="F3686" i="1"/>
  <c r="E3686" i="1"/>
  <c r="D3686" i="1"/>
  <c r="F3685" i="1"/>
  <c r="E3685" i="1"/>
  <c r="D3685" i="1"/>
  <c r="F3684" i="1"/>
  <c r="E3684" i="1"/>
  <c r="D3684" i="1"/>
  <c r="F3683" i="1"/>
  <c r="E3683" i="1"/>
  <c r="D3683" i="1"/>
  <c r="F3682" i="1"/>
  <c r="E3682" i="1"/>
  <c r="D3682" i="1"/>
  <c r="F3681" i="1"/>
  <c r="E3681" i="1"/>
  <c r="D3681" i="1"/>
  <c r="F3680" i="1"/>
  <c r="E3680" i="1"/>
  <c r="D3680" i="1"/>
  <c r="F3679" i="1"/>
  <c r="E3679" i="1"/>
  <c r="D3679" i="1"/>
  <c r="F3678" i="1"/>
  <c r="E3678" i="1"/>
  <c r="D3678" i="1"/>
  <c r="F3677" i="1"/>
  <c r="E3677" i="1"/>
  <c r="D3677" i="1"/>
  <c r="F3676" i="1"/>
  <c r="E3676" i="1"/>
  <c r="D3676" i="1"/>
  <c r="F3675" i="1"/>
  <c r="E3675" i="1"/>
  <c r="D3675" i="1"/>
  <c r="F3674" i="1"/>
  <c r="E3674" i="1"/>
  <c r="D3674" i="1"/>
  <c r="F3673" i="1"/>
  <c r="E3673" i="1"/>
  <c r="D3673" i="1"/>
  <c r="F3672" i="1"/>
  <c r="E3672" i="1"/>
  <c r="D3672" i="1"/>
  <c r="F3671" i="1"/>
  <c r="E3671" i="1"/>
  <c r="D3671" i="1"/>
  <c r="F3670" i="1"/>
  <c r="E3670" i="1"/>
  <c r="D3670" i="1"/>
  <c r="F3669" i="1"/>
  <c r="E3669" i="1"/>
  <c r="D3669" i="1"/>
  <c r="F3668" i="1"/>
  <c r="E3668" i="1"/>
  <c r="D3668" i="1"/>
  <c r="F3667" i="1"/>
  <c r="E3667" i="1"/>
  <c r="D3667" i="1"/>
  <c r="F3666" i="1"/>
  <c r="E3666" i="1"/>
  <c r="D3666" i="1"/>
  <c r="F3665" i="1"/>
  <c r="E3665" i="1"/>
  <c r="D3665" i="1"/>
  <c r="F3664" i="1"/>
  <c r="E3664" i="1"/>
  <c r="D3664" i="1"/>
  <c r="F3663" i="1"/>
  <c r="E3663" i="1"/>
  <c r="D3663" i="1"/>
  <c r="F3662" i="1"/>
  <c r="E3662" i="1"/>
  <c r="D3662" i="1"/>
  <c r="F3661" i="1"/>
  <c r="E3661" i="1"/>
  <c r="D3661" i="1"/>
  <c r="F3660" i="1"/>
  <c r="E3660" i="1"/>
  <c r="D3660" i="1"/>
  <c r="F3659" i="1"/>
  <c r="E3659" i="1"/>
  <c r="D3659" i="1"/>
  <c r="F3658" i="1"/>
  <c r="E3658" i="1"/>
  <c r="D3658" i="1"/>
  <c r="F3657" i="1"/>
  <c r="E3657" i="1"/>
  <c r="D3657" i="1"/>
  <c r="F3656" i="1"/>
  <c r="E3656" i="1"/>
  <c r="D3656" i="1"/>
  <c r="F3655" i="1"/>
  <c r="E3655" i="1"/>
  <c r="D3655" i="1"/>
  <c r="F3654" i="1"/>
  <c r="E3654" i="1"/>
  <c r="D3654" i="1"/>
  <c r="F3653" i="1"/>
  <c r="E3653" i="1"/>
  <c r="D3653" i="1"/>
  <c r="F3652" i="1"/>
  <c r="E3652" i="1"/>
  <c r="D3652" i="1"/>
  <c r="F3651" i="1"/>
  <c r="E3651" i="1"/>
  <c r="D3651" i="1"/>
  <c r="F3650" i="1"/>
  <c r="E3650" i="1"/>
  <c r="D3650" i="1"/>
  <c r="F3649" i="1"/>
  <c r="E3649" i="1"/>
  <c r="D3649" i="1"/>
  <c r="F3648" i="1"/>
  <c r="E3648" i="1"/>
  <c r="D3648" i="1"/>
  <c r="F3647" i="1"/>
  <c r="E3647" i="1"/>
  <c r="D3647" i="1"/>
  <c r="F3646" i="1"/>
  <c r="E3646" i="1"/>
  <c r="D3646" i="1"/>
  <c r="F3645" i="1"/>
  <c r="E3645" i="1"/>
  <c r="D3645" i="1"/>
  <c r="F3644" i="1"/>
  <c r="E3644" i="1"/>
  <c r="D3644" i="1"/>
  <c r="F3643" i="1"/>
  <c r="E3643" i="1"/>
  <c r="D3643" i="1"/>
  <c r="F3642" i="1"/>
  <c r="E3642" i="1"/>
  <c r="D3642" i="1"/>
  <c r="F3641" i="1"/>
  <c r="E3641" i="1"/>
  <c r="D3641" i="1"/>
  <c r="F3640" i="1"/>
  <c r="E3640" i="1"/>
  <c r="D3640" i="1"/>
  <c r="F3639" i="1"/>
  <c r="E3639" i="1"/>
  <c r="D3639" i="1"/>
  <c r="F3638" i="1"/>
  <c r="E3638" i="1"/>
  <c r="D3638" i="1"/>
  <c r="F3637" i="1"/>
  <c r="E3637" i="1"/>
  <c r="D3637" i="1"/>
  <c r="F3636" i="1"/>
  <c r="E3636" i="1"/>
  <c r="D3636" i="1"/>
  <c r="F3635" i="1"/>
  <c r="E3635" i="1"/>
  <c r="D3635" i="1"/>
  <c r="F3634" i="1"/>
  <c r="E3634" i="1"/>
  <c r="D3634" i="1"/>
  <c r="F3633" i="1"/>
  <c r="E3633" i="1"/>
  <c r="D3633" i="1"/>
  <c r="F3632" i="1"/>
  <c r="E3632" i="1"/>
  <c r="D3632" i="1"/>
  <c r="F3631" i="1"/>
  <c r="E3631" i="1"/>
  <c r="D3631" i="1"/>
  <c r="F3630" i="1"/>
  <c r="E3630" i="1"/>
  <c r="D3630" i="1"/>
  <c r="F3629" i="1"/>
  <c r="E3629" i="1"/>
  <c r="D3629" i="1"/>
  <c r="F3628" i="1"/>
  <c r="E3628" i="1"/>
  <c r="D3628" i="1"/>
  <c r="F3627" i="1"/>
  <c r="E3627" i="1"/>
  <c r="D3627" i="1"/>
  <c r="F3626" i="1"/>
  <c r="E3626" i="1"/>
  <c r="D3626" i="1"/>
  <c r="F3625" i="1"/>
  <c r="E3625" i="1"/>
  <c r="D3625" i="1"/>
  <c r="F3624" i="1"/>
  <c r="E3624" i="1"/>
  <c r="D3624" i="1"/>
  <c r="F3623" i="1"/>
  <c r="E3623" i="1"/>
  <c r="D3623" i="1"/>
  <c r="F3622" i="1"/>
  <c r="E3622" i="1"/>
  <c r="D3622" i="1"/>
  <c r="F3621" i="1"/>
  <c r="E3621" i="1"/>
  <c r="D3621" i="1"/>
  <c r="F3620" i="1"/>
  <c r="E3620" i="1"/>
  <c r="D3620" i="1"/>
  <c r="F3619" i="1"/>
  <c r="E3619" i="1"/>
  <c r="D3619" i="1"/>
  <c r="F3618" i="1"/>
  <c r="E3618" i="1"/>
  <c r="D3618" i="1"/>
  <c r="F3617" i="1"/>
  <c r="E3617" i="1"/>
  <c r="D3617" i="1"/>
  <c r="F3616" i="1"/>
  <c r="E3616" i="1"/>
  <c r="D3616" i="1"/>
  <c r="F3615" i="1"/>
  <c r="E3615" i="1"/>
  <c r="D3615" i="1"/>
  <c r="F3614" i="1"/>
  <c r="E3614" i="1"/>
  <c r="D3614" i="1"/>
  <c r="F3613" i="1"/>
  <c r="E3613" i="1"/>
  <c r="D3613" i="1"/>
  <c r="F3612" i="1"/>
  <c r="E3612" i="1"/>
  <c r="D3612" i="1"/>
  <c r="F3611" i="1"/>
  <c r="E3611" i="1"/>
  <c r="D3611" i="1"/>
  <c r="F3610" i="1"/>
  <c r="E3610" i="1"/>
  <c r="D3610" i="1"/>
  <c r="F3609" i="1"/>
  <c r="E3609" i="1"/>
  <c r="D3609" i="1"/>
  <c r="F3608" i="1"/>
  <c r="E3608" i="1"/>
  <c r="D3608" i="1"/>
  <c r="F3607" i="1"/>
  <c r="E3607" i="1"/>
  <c r="D3607" i="1"/>
  <c r="F3606" i="1"/>
  <c r="E3606" i="1"/>
  <c r="D3606" i="1"/>
  <c r="F3605" i="1"/>
  <c r="E3605" i="1"/>
  <c r="D3605" i="1"/>
  <c r="F3604" i="1"/>
  <c r="E3604" i="1"/>
  <c r="D3604" i="1"/>
  <c r="F3603" i="1"/>
  <c r="E3603" i="1"/>
  <c r="D3603" i="1"/>
  <c r="F3602" i="1"/>
  <c r="E3602" i="1"/>
  <c r="D3602" i="1"/>
  <c r="F3601" i="1"/>
  <c r="E3601" i="1"/>
  <c r="D3601" i="1"/>
  <c r="F3600" i="1"/>
  <c r="E3600" i="1"/>
  <c r="D3600" i="1"/>
  <c r="F3599" i="1"/>
  <c r="E3599" i="1"/>
  <c r="D3599" i="1"/>
  <c r="F3598" i="1"/>
  <c r="E3598" i="1"/>
  <c r="D3598" i="1"/>
  <c r="F3597" i="1"/>
  <c r="E3597" i="1"/>
  <c r="D3597" i="1"/>
  <c r="F3596" i="1"/>
  <c r="E3596" i="1"/>
  <c r="D3596" i="1"/>
  <c r="F3595" i="1"/>
  <c r="E3595" i="1"/>
  <c r="D3595" i="1"/>
  <c r="F3594" i="1"/>
  <c r="E3594" i="1"/>
  <c r="D3594" i="1"/>
  <c r="F3593" i="1"/>
  <c r="E3593" i="1"/>
  <c r="D3593" i="1"/>
  <c r="F3592" i="1"/>
  <c r="E3592" i="1"/>
  <c r="D3592" i="1"/>
  <c r="F3591" i="1"/>
  <c r="E3591" i="1"/>
  <c r="D3591" i="1"/>
  <c r="F3590" i="1"/>
  <c r="E3590" i="1"/>
  <c r="D3590" i="1"/>
  <c r="F3589" i="1"/>
  <c r="E3589" i="1"/>
  <c r="D3589" i="1"/>
  <c r="F3588" i="1"/>
  <c r="E3588" i="1"/>
  <c r="D3588" i="1"/>
  <c r="F3587" i="1"/>
  <c r="E3587" i="1"/>
  <c r="D3587" i="1"/>
  <c r="F3586" i="1"/>
  <c r="E3586" i="1"/>
  <c r="D3586" i="1"/>
  <c r="F3585" i="1"/>
  <c r="E3585" i="1"/>
  <c r="D3585" i="1"/>
  <c r="F3584" i="1"/>
  <c r="E3584" i="1"/>
  <c r="D3584" i="1"/>
  <c r="F3583" i="1"/>
  <c r="E3583" i="1"/>
  <c r="D3583" i="1"/>
  <c r="F3582" i="1"/>
  <c r="E3582" i="1"/>
  <c r="D3582" i="1"/>
  <c r="F3581" i="1"/>
  <c r="E3581" i="1"/>
  <c r="D3581" i="1"/>
  <c r="F3580" i="1"/>
  <c r="E3580" i="1"/>
  <c r="D3580" i="1"/>
  <c r="F3579" i="1"/>
  <c r="E3579" i="1"/>
  <c r="D3579" i="1"/>
  <c r="F3578" i="1"/>
  <c r="E3578" i="1"/>
  <c r="D3578" i="1"/>
  <c r="F3577" i="1"/>
  <c r="E3577" i="1"/>
  <c r="D3577" i="1"/>
  <c r="F3576" i="1"/>
  <c r="E3576" i="1"/>
  <c r="D3576" i="1"/>
  <c r="F3575" i="1"/>
  <c r="E3575" i="1"/>
  <c r="D3575" i="1"/>
  <c r="F3574" i="1"/>
  <c r="E3574" i="1"/>
  <c r="D3574" i="1"/>
  <c r="F3573" i="1"/>
  <c r="E3573" i="1"/>
  <c r="D3573" i="1"/>
  <c r="F3572" i="1"/>
  <c r="E3572" i="1"/>
  <c r="D3572" i="1"/>
  <c r="F3571" i="1"/>
  <c r="E3571" i="1"/>
  <c r="D3571" i="1"/>
  <c r="F3570" i="1"/>
  <c r="E3570" i="1"/>
  <c r="D3570" i="1"/>
  <c r="F3569" i="1"/>
  <c r="E3569" i="1"/>
  <c r="D3569" i="1"/>
  <c r="F3568" i="1"/>
  <c r="E3568" i="1"/>
  <c r="D3568" i="1"/>
  <c r="F3567" i="1"/>
  <c r="E3567" i="1"/>
  <c r="D3567" i="1"/>
  <c r="F3566" i="1"/>
  <c r="E3566" i="1"/>
  <c r="D3566" i="1"/>
  <c r="F3565" i="1"/>
  <c r="E3565" i="1"/>
  <c r="D3565" i="1"/>
  <c r="F3564" i="1"/>
  <c r="E3564" i="1"/>
  <c r="D3564" i="1"/>
  <c r="F3563" i="1"/>
  <c r="E3563" i="1"/>
  <c r="D3563" i="1"/>
  <c r="F3562" i="1"/>
  <c r="E3562" i="1"/>
  <c r="D3562" i="1"/>
  <c r="F3561" i="1"/>
  <c r="E3561" i="1"/>
  <c r="D3561" i="1"/>
  <c r="F3560" i="1"/>
  <c r="E3560" i="1"/>
  <c r="D3560" i="1"/>
  <c r="F3559" i="1"/>
  <c r="E3559" i="1"/>
  <c r="D3559" i="1"/>
  <c r="F3558" i="1"/>
  <c r="E3558" i="1"/>
  <c r="D3558" i="1"/>
  <c r="F3557" i="1"/>
  <c r="E3557" i="1"/>
  <c r="D3557" i="1"/>
  <c r="F3556" i="1"/>
  <c r="E3556" i="1"/>
  <c r="D3556" i="1"/>
  <c r="F3555" i="1"/>
  <c r="E3555" i="1"/>
  <c r="D3555" i="1"/>
  <c r="F3554" i="1"/>
  <c r="E3554" i="1"/>
  <c r="D3554" i="1"/>
  <c r="F3553" i="1"/>
  <c r="E3553" i="1"/>
  <c r="D3553" i="1"/>
  <c r="F3552" i="1"/>
  <c r="E3552" i="1"/>
  <c r="D3552" i="1"/>
  <c r="F3551" i="1"/>
  <c r="E3551" i="1"/>
  <c r="D3551" i="1"/>
  <c r="F3550" i="1"/>
  <c r="E3550" i="1"/>
  <c r="D3550" i="1"/>
  <c r="F3549" i="1"/>
  <c r="E3549" i="1"/>
  <c r="D3549" i="1"/>
  <c r="F3548" i="1"/>
  <c r="E3548" i="1"/>
  <c r="D3548" i="1"/>
  <c r="F3547" i="1"/>
  <c r="E3547" i="1"/>
  <c r="D3547" i="1"/>
  <c r="F3546" i="1"/>
  <c r="E3546" i="1"/>
  <c r="D3546" i="1"/>
  <c r="F3545" i="1"/>
  <c r="E3545" i="1"/>
  <c r="D3545" i="1"/>
  <c r="F3544" i="1"/>
  <c r="E3544" i="1"/>
  <c r="D3544" i="1"/>
  <c r="F3543" i="1"/>
  <c r="E3543" i="1"/>
  <c r="D3543" i="1"/>
  <c r="F3542" i="1"/>
  <c r="E3542" i="1"/>
  <c r="D3542" i="1"/>
  <c r="F3541" i="1"/>
  <c r="E3541" i="1"/>
  <c r="D3541" i="1"/>
  <c r="F3540" i="1"/>
  <c r="E3540" i="1"/>
  <c r="D3540" i="1"/>
  <c r="F3539" i="1"/>
  <c r="E3539" i="1"/>
  <c r="D3539" i="1"/>
  <c r="F3538" i="1"/>
  <c r="E3538" i="1"/>
  <c r="D3538" i="1"/>
  <c r="F3537" i="1"/>
  <c r="E3537" i="1"/>
  <c r="D3537" i="1"/>
  <c r="F3536" i="1"/>
  <c r="E3536" i="1"/>
  <c r="D3536" i="1"/>
  <c r="F3535" i="1"/>
  <c r="E3535" i="1"/>
  <c r="D3535" i="1"/>
  <c r="F3534" i="1"/>
  <c r="E3534" i="1"/>
  <c r="D3534" i="1"/>
  <c r="F3533" i="1"/>
  <c r="E3533" i="1"/>
  <c r="D3533" i="1"/>
  <c r="F3532" i="1"/>
  <c r="E3532" i="1"/>
  <c r="D3532" i="1"/>
  <c r="F3531" i="1"/>
  <c r="E3531" i="1"/>
  <c r="D3531" i="1"/>
  <c r="F3530" i="1"/>
  <c r="E3530" i="1"/>
  <c r="D3530" i="1"/>
  <c r="F3529" i="1"/>
  <c r="E3529" i="1"/>
  <c r="D3529" i="1"/>
  <c r="F3528" i="1"/>
  <c r="E3528" i="1"/>
  <c r="D3528" i="1"/>
  <c r="F3527" i="1"/>
  <c r="E3527" i="1"/>
  <c r="D3527" i="1"/>
  <c r="F3526" i="1"/>
  <c r="E3526" i="1"/>
  <c r="D3526" i="1"/>
  <c r="F3525" i="1"/>
  <c r="E3525" i="1"/>
  <c r="D3525" i="1"/>
  <c r="F3524" i="1"/>
  <c r="E3524" i="1"/>
  <c r="D3524" i="1"/>
  <c r="F3523" i="1"/>
  <c r="E3523" i="1"/>
  <c r="D3523" i="1"/>
  <c r="F3522" i="1"/>
  <c r="E3522" i="1"/>
  <c r="D3522" i="1"/>
  <c r="F3521" i="1"/>
  <c r="E3521" i="1"/>
  <c r="D3521" i="1"/>
  <c r="F3520" i="1"/>
  <c r="E3520" i="1"/>
  <c r="D3520" i="1"/>
  <c r="F3519" i="1"/>
  <c r="E3519" i="1"/>
  <c r="D3519" i="1"/>
  <c r="F3518" i="1"/>
  <c r="E3518" i="1"/>
  <c r="D3518" i="1"/>
  <c r="F3517" i="1"/>
  <c r="E3517" i="1"/>
  <c r="D3517" i="1"/>
  <c r="F3516" i="1"/>
  <c r="E3516" i="1"/>
  <c r="D3516" i="1"/>
  <c r="F3515" i="1"/>
  <c r="E3515" i="1"/>
  <c r="D3515" i="1"/>
  <c r="F3514" i="1"/>
  <c r="E3514" i="1"/>
  <c r="D3514" i="1"/>
  <c r="F3513" i="1"/>
  <c r="E3513" i="1"/>
  <c r="D3513" i="1"/>
  <c r="F3512" i="1"/>
  <c r="E3512" i="1"/>
  <c r="D3512" i="1"/>
  <c r="F3511" i="1"/>
  <c r="E3511" i="1"/>
  <c r="D3511" i="1"/>
  <c r="F3510" i="1"/>
  <c r="E3510" i="1"/>
  <c r="D3510" i="1"/>
  <c r="F3509" i="1"/>
  <c r="E3509" i="1"/>
  <c r="D3509" i="1"/>
  <c r="F3508" i="1"/>
  <c r="E3508" i="1"/>
  <c r="D3508" i="1"/>
  <c r="F3507" i="1"/>
  <c r="E3507" i="1"/>
  <c r="D3507" i="1"/>
  <c r="F3506" i="1"/>
  <c r="E3506" i="1"/>
  <c r="D3506" i="1"/>
  <c r="F3505" i="1"/>
  <c r="E3505" i="1"/>
  <c r="D3505" i="1"/>
  <c r="F3504" i="1"/>
  <c r="E3504" i="1"/>
  <c r="D3504" i="1"/>
  <c r="F3503" i="1"/>
  <c r="E3503" i="1"/>
  <c r="D3503" i="1"/>
  <c r="F3502" i="1"/>
  <c r="E3502" i="1"/>
  <c r="D3502" i="1"/>
  <c r="F3501" i="1"/>
  <c r="E3501" i="1"/>
  <c r="D3501" i="1"/>
  <c r="F3500" i="1"/>
  <c r="E3500" i="1"/>
  <c r="D3500" i="1"/>
  <c r="F3499" i="1"/>
  <c r="E3499" i="1"/>
  <c r="D3499" i="1"/>
  <c r="F3498" i="1"/>
  <c r="E3498" i="1"/>
  <c r="D3498" i="1"/>
  <c r="F3497" i="1"/>
  <c r="E3497" i="1"/>
  <c r="D3497" i="1"/>
  <c r="F3496" i="1"/>
  <c r="E3496" i="1"/>
  <c r="D3496" i="1"/>
  <c r="F3495" i="1"/>
  <c r="E3495" i="1"/>
  <c r="D3495" i="1"/>
  <c r="F3494" i="1"/>
  <c r="E3494" i="1"/>
  <c r="D3494" i="1"/>
  <c r="F3493" i="1"/>
  <c r="E3493" i="1"/>
  <c r="D3493" i="1"/>
  <c r="F3492" i="1"/>
  <c r="E3492" i="1"/>
  <c r="D3492" i="1"/>
  <c r="F3491" i="1"/>
  <c r="E3491" i="1"/>
  <c r="D3491" i="1"/>
  <c r="F3490" i="1"/>
  <c r="E3490" i="1"/>
  <c r="D3490" i="1"/>
  <c r="F3489" i="1"/>
  <c r="E3489" i="1"/>
  <c r="D3489" i="1"/>
  <c r="F3488" i="1"/>
  <c r="E3488" i="1"/>
  <c r="D3488" i="1"/>
  <c r="F3487" i="1"/>
  <c r="E3487" i="1"/>
  <c r="D3487" i="1"/>
  <c r="F3486" i="1"/>
  <c r="E3486" i="1"/>
  <c r="D3486" i="1"/>
  <c r="F3485" i="1"/>
  <c r="E3485" i="1"/>
  <c r="D3485" i="1"/>
  <c r="F3484" i="1"/>
  <c r="E3484" i="1"/>
  <c r="D3484" i="1"/>
  <c r="F3483" i="1"/>
  <c r="E3483" i="1"/>
  <c r="D3483" i="1"/>
  <c r="F3482" i="1"/>
  <c r="E3482" i="1"/>
  <c r="D3482" i="1"/>
  <c r="F3481" i="1"/>
  <c r="E3481" i="1"/>
  <c r="D3481" i="1"/>
  <c r="F3480" i="1"/>
  <c r="E3480" i="1"/>
  <c r="D3480" i="1"/>
  <c r="F3479" i="1"/>
  <c r="E3479" i="1"/>
  <c r="D3479" i="1"/>
  <c r="F3478" i="1"/>
  <c r="E3478" i="1"/>
  <c r="D3478" i="1"/>
  <c r="F3477" i="1"/>
  <c r="E3477" i="1"/>
  <c r="D3477" i="1"/>
  <c r="F3476" i="1"/>
  <c r="E3476" i="1"/>
  <c r="D3476" i="1"/>
  <c r="F3475" i="1"/>
  <c r="E3475" i="1"/>
  <c r="D3475" i="1"/>
  <c r="F3474" i="1"/>
  <c r="E3474" i="1"/>
  <c r="D3474" i="1"/>
  <c r="F3473" i="1"/>
  <c r="E3473" i="1"/>
  <c r="D3473" i="1"/>
  <c r="F3472" i="1"/>
  <c r="E3472" i="1"/>
  <c r="D3472" i="1"/>
  <c r="F3471" i="1"/>
  <c r="E3471" i="1"/>
  <c r="D3471" i="1"/>
  <c r="F3470" i="1"/>
  <c r="E3470" i="1"/>
  <c r="D3470" i="1"/>
  <c r="F3469" i="1"/>
  <c r="E3469" i="1"/>
  <c r="D3469" i="1"/>
  <c r="F3468" i="1"/>
  <c r="E3468" i="1"/>
  <c r="D3468" i="1"/>
  <c r="F3467" i="1"/>
  <c r="E3467" i="1"/>
  <c r="D3467" i="1"/>
  <c r="F3466" i="1"/>
  <c r="E3466" i="1"/>
  <c r="D3466" i="1"/>
  <c r="F3465" i="1"/>
  <c r="E3465" i="1"/>
  <c r="D3465" i="1"/>
  <c r="F3464" i="1"/>
  <c r="E3464" i="1"/>
  <c r="D3464" i="1"/>
  <c r="F3463" i="1"/>
  <c r="E3463" i="1"/>
  <c r="D3463" i="1"/>
  <c r="F3462" i="1"/>
  <c r="E3462" i="1"/>
  <c r="D3462" i="1"/>
  <c r="F3461" i="1"/>
  <c r="E3461" i="1"/>
  <c r="D3461" i="1"/>
  <c r="F3460" i="1"/>
  <c r="E3460" i="1"/>
  <c r="D3460" i="1"/>
  <c r="F3459" i="1"/>
  <c r="E3459" i="1"/>
  <c r="D3459" i="1"/>
  <c r="F3458" i="1"/>
  <c r="E3458" i="1"/>
  <c r="D3458" i="1"/>
  <c r="F3457" i="1"/>
  <c r="E3457" i="1"/>
  <c r="D3457" i="1"/>
  <c r="F3456" i="1"/>
  <c r="E3456" i="1"/>
  <c r="D3456" i="1"/>
  <c r="F3455" i="1"/>
  <c r="E3455" i="1"/>
  <c r="D3455" i="1"/>
  <c r="F3454" i="1"/>
  <c r="E3454" i="1"/>
  <c r="D3454" i="1"/>
  <c r="F3453" i="1"/>
  <c r="E3453" i="1"/>
  <c r="D3453" i="1"/>
  <c r="F3452" i="1"/>
  <c r="E3452" i="1"/>
  <c r="D3452" i="1"/>
  <c r="F3451" i="1"/>
  <c r="E3451" i="1"/>
  <c r="D3451" i="1"/>
  <c r="F3450" i="1"/>
  <c r="E3450" i="1"/>
  <c r="D3450" i="1"/>
  <c r="F3449" i="1"/>
  <c r="E3449" i="1"/>
  <c r="D3449" i="1"/>
  <c r="F3448" i="1"/>
  <c r="E3448" i="1"/>
  <c r="D3448" i="1"/>
  <c r="F3447" i="1"/>
  <c r="E3447" i="1"/>
  <c r="D3447" i="1"/>
  <c r="F3446" i="1"/>
  <c r="E3446" i="1"/>
  <c r="D3446" i="1"/>
  <c r="F3445" i="1"/>
  <c r="E3445" i="1"/>
  <c r="D3445" i="1"/>
  <c r="F3444" i="1"/>
  <c r="E3444" i="1"/>
  <c r="D3444" i="1"/>
  <c r="F3443" i="1"/>
  <c r="E3443" i="1"/>
  <c r="D3443" i="1"/>
  <c r="F3442" i="1"/>
  <c r="E3442" i="1"/>
  <c r="D3442" i="1"/>
  <c r="F3441" i="1"/>
  <c r="E3441" i="1"/>
  <c r="D3441" i="1"/>
  <c r="F3440" i="1"/>
  <c r="E3440" i="1"/>
  <c r="D3440" i="1"/>
  <c r="F3439" i="1"/>
  <c r="E3439" i="1"/>
  <c r="D3439" i="1"/>
  <c r="F3438" i="1"/>
  <c r="E3438" i="1"/>
  <c r="D3438" i="1"/>
  <c r="F3437" i="1"/>
  <c r="E3437" i="1"/>
  <c r="D3437" i="1"/>
  <c r="F3436" i="1"/>
  <c r="E3436" i="1"/>
  <c r="D3436" i="1"/>
  <c r="F3435" i="1"/>
  <c r="E3435" i="1"/>
  <c r="D3435" i="1"/>
  <c r="F3434" i="1"/>
  <c r="E3434" i="1"/>
  <c r="D3434" i="1"/>
  <c r="F3433" i="1"/>
  <c r="E3433" i="1"/>
  <c r="D3433" i="1"/>
  <c r="F3432" i="1"/>
  <c r="E3432" i="1"/>
  <c r="D3432" i="1"/>
  <c r="F3431" i="1"/>
  <c r="E3431" i="1"/>
  <c r="D3431" i="1"/>
  <c r="F3430" i="1"/>
  <c r="E3430" i="1"/>
  <c r="D3430" i="1"/>
  <c r="F3429" i="1"/>
  <c r="E3429" i="1"/>
  <c r="D3429" i="1"/>
  <c r="F3428" i="1"/>
  <c r="E3428" i="1"/>
  <c r="D3428" i="1"/>
  <c r="F3427" i="1"/>
  <c r="E3427" i="1"/>
  <c r="D3427" i="1"/>
  <c r="F3426" i="1"/>
  <c r="E3426" i="1"/>
  <c r="D3426" i="1"/>
  <c r="F3425" i="1"/>
  <c r="E3425" i="1"/>
  <c r="D3425" i="1"/>
  <c r="F3424" i="1"/>
  <c r="E3424" i="1"/>
  <c r="D3424" i="1"/>
  <c r="F3423" i="1"/>
  <c r="E3423" i="1"/>
  <c r="D3423" i="1"/>
  <c r="F3422" i="1"/>
  <c r="E3422" i="1"/>
  <c r="D3422" i="1"/>
  <c r="F3421" i="1"/>
  <c r="E3421" i="1"/>
  <c r="D3421" i="1"/>
  <c r="F3420" i="1"/>
  <c r="E3420" i="1"/>
  <c r="D3420" i="1"/>
  <c r="F3419" i="1"/>
  <c r="E3419" i="1"/>
  <c r="D3419" i="1"/>
  <c r="F3418" i="1"/>
  <c r="E3418" i="1"/>
  <c r="D3418" i="1"/>
  <c r="F3417" i="1"/>
  <c r="E3417" i="1"/>
  <c r="D3417" i="1"/>
  <c r="F3416" i="1"/>
  <c r="E3416" i="1"/>
  <c r="D3416" i="1"/>
  <c r="F3415" i="1"/>
  <c r="E3415" i="1"/>
  <c r="D3415" i="1"/>
  <c r="F3414" i="1"/>
  <c r="E3414" i="1"/>
  <c r="D3414" i="1"/>
  <c r="F3413" i="1"/>
  <c r="E3413" i="1"/>
  <c r="D3413" i="1"/>
  <c r="F3412" i="1"/>
  <c r="E3412" i="1"/>
  <c r="D3412" i="1"/>
  <c r="F3411" i="1"/>
  <c r="E3411" i="1"/>
  <c r="D3411" i="1"/>
  <c r="F3410" i="1"/>
  <c r="E3410" i="1"/>
  <c r="D3410" i="1"/>
  <c r="F3409" i="1"/>
  <c r="E3409" i="1"/>
  <c r="D3409" i="1"/>
  <c r="F3408" i="1"/>
  <c r="E3408" i="1"/>
  <c r="D3408" i="1"/>
  <c r="F3407" i="1"/>
  <c r="E3407" i="1"/>
  <c r="D3407" i="1"/>
  <c r="F3406" i="1"/>
  <c r="E3406" i="1"/>
  <c r="D3406" i="1"/>
  <c r="F3405" i="1"/>
  <c r="E3405" i="1"/>
  <c r="D3405" i="1"/>
  <c r="F3404" i="1"/>
  <c r="E3404" i="1"/>
  <c r="D3404" i="1"/>
  <c r="F3403" i="1"/>
  <c r="E3403" i="1"/>
  <c r="D3403" i="1"/>
  <c r="F3402" i="1"/>
  <c r="E3402" i="1"/>
  <c r="D3402" i="1"/>
  <c r="F3401" i="1"/>
  <c r="E3401" i="1"/>
  <c r="D3401" i="1"/>
  <c r="F3400" i="1"/>
  <c r="E3400" i="1"/>
  <c r="D3400" i="1"/>
  <c r="F3399" i="1"/>
  <c r="E3399" i="1"/>
  <c r="D3399" i="1"/>
  <c r="F3398" i="1"/>
  <c r="E3398" i="1"/>
  <c r="D3398" i="1"/>
  <c r="F3397" i="1"/>
  <c r="E3397" i="1"/>
  <c r="D3397" i="1"/>
  <c r="F3396" i="1"/>
  <c r="E3396" i="1"/>
  <c r="D3396" i="1"/>
  <c r="F3395" i="1"/>
  <c r="E3395" i="1"/>
  <c r="D3395" i="1"/>
  <c r="F3394" i="1"/>
  <c r="E3394" i="1"/>
  <c r="D3394" i="1"/>
  <c r="F3393" i="1"/>
  <c r="E3393" i="1"/>
  <c r="D3393" i="1"/>
  <c r="F3392" i="1"/>
  <c r="E3392" i="1"/>
  <c r="D3392" i="1"/>
  <c r="F3391" i="1"/>
  <c r="E3391" i="1"/>
  <c r="D3391" i="1"/>
  <c r="F3390" i="1"/>
  <c r="E3390" i="1"/>
  <c r="D3390" i="1"/>
  <c r="F3389" i="1"/>
  <c r="E3389" i="1"/>
  <c r="D3389" i="1"/>
  <c r="F3388" i="1"/>
  <c r="E3388" i="1"/>
  <c r="D3388" i="1"/>
  <c r="F3387" i="1"/>
  <c r="E3387" i="1"/>
  <c r="D3387" i="1"/>
  <c r="F3386" i="1"/>
  <c r="E3386" i="1"/>
  <c r="D3386" i="1"/>
  <c r="F3385" i="1"/>
  <c r="E3385" i="1"/>
  <c r="D3385" i="1"/>
  <c r="F3384" i="1"/>
  <c r="E3384" i="1"/>
  <c r="D3384" i="1"/>
  <c r="F3383" i="1"/>
  <c r="E3383" i="1"/>
  <c r="D3383" i="1"/>
  <c r="F3382" i="1"/>
  <c r="E3382" i="1"/>
  <c r="D3382" i="1"/>
  <c r="F3381" i="1"/>
  <c r="E3381" i="1"/>
  <c r="D3381" i="1"/>
  <c r="F3380" i="1"/>
  <c r="E3380" i="1"/>
  <c r="D3380" i="1"/>
  <c r="F3379" i="1"/>
  <c r="E3379" i="1"/>
  <c r="D3379" i="1"/>
  <c r="F3378" i="1"/>
  <c r="E3378" i="1"/>
  <c r="D3378" i="1"/>
  <c r="F3377" i="1"/>
  <c r="E3377" i="1"/>
  <c r="D3377" i="1"/>
  <c r="F3376" i="1"/>
  <c r="E3376" i="1"/>
  <c r="D3376" i="1"/>
  <c r="F3375" i="1"/>
  <c r="E3375" i="1"/>
  <c r="D3375" i="1"/>
  <c r="F3374" i="1"/>
  <c r="E3374" i="1"/>
  <c r="D3374" i="1"/>
  <c r="F3373" i="1"/>
  <c r="E3373" i="1"/>
  <c r="D3373" i="1"/>
  <c r="F3372" i="1"/>
  <c r="E3372" i="1"/>
  <c r="D3372" i="1"/>
  <c r="F3371" i="1"/>
  <c r="E3371" i="1"/>
  <c r="D3371" i="1"/>
  <c r="F3370" i="1"/>
  <c r="E3370" i="1"/>
  <c r="D3370" i="1"/>
  <c r="F3369" i="1"/>
  <c r="E3369" i="1"/>
  <c r="D3369" i="1"/>
  <c r="F3368" i="1"/>
  <c r="E3368" i="1"/>
  <c r="D3368" i="1"/>
  <c r="F3367" i="1"/>
  <c r="E3367" i="1"/>
  <c r="D3367" i="1"/>
  <c r="F3366" i="1"/>
  <c r="E3366" i="1"/>
  <c r="D3366" i="1"/>
  <c r="F3365" i="1"/>
  <c r="E3365" i="1"/>
  <c r="D3365" i="1"/>
  <c r="F3364" i="1"/>
  <c r="E3364" i="1"/>
  <c r="D3364" i="1"/>
  <c r="F3363" i="1"/>
  <c r="E3363" i="1"/>
  <c r="D3363" i="1"/>
  <c r="F3362" i="1"/>
  <c r="E3362" i="1"/>
  <c r="D3362" i="1"/>
  <c r="F3361" i="1"/>
  <c r="E3361" i="1"/>
  <c r="D3361" i="1"/>
  <c r="F3360" i="1"/>
  <c r="E3360" i="1"/>
  <c r="D3360" i="1"/>
  <c r="F3359" i="1"/>
  <c r="E3359" i="1"/>
  <c r="D3359" i="1"/>
  <c r="F3358" i="1"/>
  <c r="E3358" i="1"/>
  <c r="D3358" i="1"/>
  <c r="F3357" i="1"/>
  <c r="E3357" i="1"/>
  <c r="D3357" i="1"/>
  <c r="F3356" i="1"/>
  <c r="E3356" i="1"/>
  <c r="D3356" i="1"/>
  <c r="F3355" i="1"/>
  <c r="E3355" i="1"/>
  <c r="D3355" i="1"/>
  <c r="F3354" i="1"/>
  <c r="E3354" i="1"/>
  <c r="D3354" i="1"/>
  <c r="F3353" i="1"/>
  <c r="E3353" i="1"/>
  <c r="D3353" i="1"/>
  <c r="F3352" i="1"/>
  <c r="E3352" i="1"/>
  <c r="D3352" i="1"/>
  <c r="F3351" i="1"/>
  <c r="E3351" i="1"/>
  <c r="D3351" i="1"/>
  <c r="F3350" i="1"/>
  <c r="E3350" i="1"/>
  <c r="D3350" i="1"/>
  <c r="F3349" i="1"/>
  <c r="E3349" i="1"/>
  <c r="D3349" i="1"/>
  <c r="F3348" i="1"/>
  <c r="E3348" i="1"/>
  <c r="D3348" i="1"/>
  <c r="F3347" i="1"/>
  <c r="E3347" i="1"/>
  <c r="D3347" i="1"/>
  <c r="F3346" i="1"/>
  <c r="E3346" i="1"/>
  <c r="D3346" i="1"/>
  <c r="F3345" i="1"/>
  <c r="E3345" i="1"/>
  <c r="D3345" i="1"/>
  <c r="F3344" i="1"/>
  <c r="E3344" i="1"/>
  <c r="D3344" i="1"/>
  <c r="F3343" i="1"/>
  <c r="E3343" i="1"/>
  <c r="D3343" i="1"/>
  <c r="F3342" i="1"/>
  <c r="E3342" i="1"/>
  <c r="D3342" i="1"/>
  <c r="F3341" i="1"/>
  <c r="E3341" i="1"/>
  <c r="D3341" i="1"/>
  <c r="F3340" i="1"/>
  <c r="E3340" i="1"/>
  <c r="D3340" i="1"/>
  <c r="F3339" i="1"/>
  <c r="E3339" i="1"/>
  <c r="D3339" i="1"/>
  <c r="F3338" i="1"/>
  <c r="E3338" i="1"/>
  <c r="D3338" i="1"/>
  <c r="F3337" i="1"/>
  <c r="E3337" i="1"/>
  <c r="D3337" i="1"/>
  <c r="F3336" i="1"/>
  <c r="E3336" i="1"/>
  <c r="D3336" i="1"/>
  <c r="F3335" i="1"/>
  <c r="E3335" i="1"/>
  <c r="D3335" i="1"/>
  <c r="F3334" i="1"/>
  <c r="E3334" i="1"/>
  <c r="D3334" i="1"/>
  <c r="F3333" i="1"/>
  <c r="E3333" i="1"/>
  <c r="D3333" i="1"/>
  <c r="F3332" i="1"/>
  <c r="E3332" i="1"/>
  <c r="D3332" i="1"/>
  <c r="F3331" i="1"/>
  <c r="E3331" i="1"/>
  <c r="D3331" i="1"/>
  <c r="F3330" i="1"/>
  <c r="E3330" i="1"/>
  <c r="D3330" i="1"/>
  <c r="F3329" i="1"/>
  <c r="E3329" i="1"/>
  <c r="D3329" i="1"/>
  <c r="F3328" i="1"/>
  <c r="E3328" i="1"/>
  <c r="D3328" i="1"/>
  <c r="F3327" i="1"/>
  <c r="E3327" i="1"/>
  <c r="D3327" i="1"/>
  <c r="F3326" i="1"/>
  <c r="E3326" i="1"/>
  <c r="D3326" i="1"/>
  <c r="F3325" i="1"/>
  <c r="E3325" i="1"/>
  <c r="D3325" i="1"/>
  <c r="F3324" i="1"/>
  <c r="E3324" i="1"/>
  <c r="D3324" i="1"/>
  <c r="F3323" i="1"/>
  <c r="E3323" i="1"/>
  <c r="D3323" i="1"/>
  <c r="F3322" i="1"/>
  <c r="E3322" i="1"/>
  <c r="D3322" i="1"/>
  <c r="F3321" i="1"/>
  <c r="E3321" i="1"/>
  <c r="D3321" i="1"/>
  <c r="F3320" i="1"/>
  <c r="E3320" i="1"/>
  <c r="D3320" i="1"/>
  <c r="F3319" i="1"/>
  <c r="E3319" i="1"/>
  <c r="D3319" i="1"/>
  <c r="F3318" i="1"/>
  <c r="E3318" i="1"/>
  <c r="D3318" i="1"/>
  <c r="F3317" i="1"/>
  <c r="E3317" i="1"/>
  <c r="D3317" i="1"/>
  <c r="F3316" i="1"/>
  <c r="E3316" i="1"/>
  <c r="D3316" i="1"/>
  <c r="F3315" i="1"/>
  <c r="E3315" i="1"/>
  <c r="D3315" i="1"/>
  <c r="F3314" i="1"/>
  <c r="E3314" i="1"/>
  <c r="D3314" i="1"/>
  <c r="F3313" i="1"/>
  <c r="E3313" i="1"/>
  <c r="D3313" i="1"/>
  <c r="F3312" i="1"/>
  <c r="E3312" i="1"/>
  <c r="D3312" i="1"/>
  <c r="F3311" i="1"/>
  <c r="E3311" i="1"/>
  <c r="D3311" i="1"/>
  <c r="F3310" i="1"/>
  <c r="E3310" i="1"/>
  <c r="D3310" i="1"/>
  <c r="F3309" i="1"/>
  <c r="E3309" i="1"/>
  <c r="D3309" i="1"/>
  <c r="F3308" i="1"/>
  <c r="E3308" i="1"/>
  <c r="D3308" i="1"/>
  <c r="F3307" i="1"/>
  <c r="E3307" i="1"/>
  <c r="D3307" i="1"/>
  <c r="F3306" i="1"/>
  <c r="E3306" i="1"/>
  <c r="D3306" i="1"/>
  <c r="F3305" i="1"/>
  <c r="E3305" i="1"/>
  <c r="D3305" i="1"/>
  <c r="F3304" i="1"/>
  <c r="E3304" i="1"/>
  <c r="D3304" i="1"/>
  <c r="F3303" i="1"/>
  <c r="E3303" i="1"/>
  <c r="D3303" i="1"/>
  <c r="F3302" i="1"/>
  <c r="E3302" i="1"/>
  <c r="D3302" i="1"/>
  <c r="F3301" i="1"/>
  <c r="E3301" i="1"/>
  <c r="D3301" i="1"/>
  <c r="F3300" i="1"/>
  <c r="E3300" i="1"/>
  <c r="D3300" i="1"/>
  <c r="F3299" i="1"/>
  <c r="E3299" i="1"/>
  <c r="D3299" i="1"/>
  <c r="F3298" i="1"/>
  <c r="E3298" i="1"/>
  <c r="D3298" i="1"/>
  <c r="F3297" i="1"/>
  <c r="E3297" i="1"/>
  <c r="D3297" i="1"/>
  <c r="F3296" i="1"/>
  <c r="E3296" i="1"/>
  <c r="D3296" i="1"/>
  <c r="F3295" i="1"/>
  <c r="E3295" i="1"/>
  <c r="D3295" i="1"/>
  <c r="F3294" i="1"/>
  <c r="E3294" i="1"/>
  <c r="D3294" i="1"/>
  <c r="F3293" i="1"/>
  <c r="E3293" i="1"/>
  <c r="D3293" i="1"/>
  <c r="F3292" i="1"/>
  <c r="E3292" i="1"/>
  <c r="D3292" i="1"/>
  <c r="F3291" i="1"/>
  <c r="E3291" i="1"/>
  <c r="D3291" i="1"/>
  <c r="F3290" i="1"/>
  <c r="E3290" i="1"/>
  <c r="D3290" i="1"/>
  <c r="F3289" i="1"/>
  <c r="E3289" i="1"/>
  <c r="D3289" i="1"/>
  <c r="F3288" i="1"/>
  <c r="E3288" i="1"/>
  <c r="D3288" i="1"/>
  <c r="F3287" i="1"/>
  <c r="E3287" i="1"/>
  <c r="D3287" i="1"/>
  <c r="F3286" i="1"/>
  <c r="E3286" i="1"/>
  <c r="D3286" i="1"/>
  <c r="F3285" i="1"/>
  <c r="E3285" i="1"/>
  <c r="D3285" i="1"/>
  <c r="F3284" i="1"/>
  <c r="E3284" i="1"/>
  <c r="D3284" i="1"/>
  <c r="F3283" i="1"/>
  <c r="E3283" i="1"/>
  <c r="D3283" i="1"/>
  <c r="F3282" i="1"/>
  <c r="E3282" i="1"/>
  <c r="D3282" i="1"/>
  <c r="F3281" i="1"/>
  <c r="E3281" i="1"/>
  <c r="D3281" i="1"/>
  <c r="F3280" i="1"/>
  <c r="E3280" i="1"/>
  <c r="D3280" i="1"/>
  <c r="F3279" i="1"/>
  <c r="E3279" i="1"/>
  <c r="D3279" i="1"/>
  <c r="F3278" i="1"/>
  <c r="E3278" i="1"/>
  <c r="D3278" i="1"/>
  <c r="F3277" i="1"/>
  <c r="E3277" i="1"/>
  <c r="D3277" i="1"/>
  <c r="F3276" i="1"/>
  <c r="E3276" i="1"/>
  <c r="D3276" i="1"/>
  <c r="F3275" i="1"/>
  <c r="E3275" i="1"/>
  <c r="D3275" i="1"/>
  <c r="F3274" i="1"/>
  <c r="E3274" i="1"/>
  <c r="D3274" i="1"/>
  <c r="F3273" i="1"/>
  <c r="E3273" i="1"/>
  <c r="D3273" i="1"/>
  <c r="F3272" i="1"/>
  <c r="E3272" i="1"/>
  <c r="D3272" i="1"/>
  <c r="F3271" i="1"/>
  <c r="E3271" i="1"/>
  <c r="D3271" i="1"/>
  <c r="F3270" i="1"/>
  <c r="E3270" i="1"/>
  <c r="D3270" i="1"/>
  <c r="F3269" i="1"/>
  <c r="E3269" i="1"/>
  <c r="D3269" i="1"/>
  <c r="F3268" i="1"/>
  <c r="E3268" i="1"/>
  <c r="D3268" i="1"/>
  <c r="F3267" i="1"/>
  <c r="E3267" i="1"/>
  <c r="D3267" i="1"/>
  <c r="F3266" i="1"/>
  <c r="E3266" i="1"/>
  <c r="D3266" i="1"/>
  <c r="F3265" i="1"/>
  <c r="E3265" i="1"/>
  <c r="D3265" i="1"/>
  <c r="F3264" i="1"/>
  <c r="E3264" i="1"/>
  <c r="D3264" i="1"/>
  <c r="F3263" i="1"/>
  <c r="E3263" i="1"/>
  <c r="D3263" i="1"/>
  <c r="F3262" i="1"/>
  <c r="E3262" i="1"/>
  <c r="D3262" i="1"/>
  <c r="F3261" i="1"/>
  <c r="E3261" i="1"/>
  <c r="D3261" i="1"/>
  <c r="F3260" i="1"/>
  <c r="E3260" i="1"/>
  <c r="D3260" i="1"/>
  <c r="F3259" i="1"/>
  <c r="E3259" i="1"/>
  <c r="D3259" i="1"/>
  <c r="F3258" i="1"/>
  <c r="E3258" i="1"/>
  <c r="D3258" i="1"/>
  <c r="F3257" i="1"/>
  <c r="E3257" i="1"/>
  <c r="D3257" i="1"/>
  <c r="F3256" i="1"/>
  <c r="E3256" i="1"/>
  <c r="D3256" i="1"/>
  <c r="F3255" i="1"/>
  <c r="E3255" i="1"/>
  <c r="D3255" i="1"/>
  <c r="F3254" i="1"/>
  <c r="E3254" i="1"/>
  <c r="D3254" i="1"/>
  <c r="F3253" i="1"/>
  <c r="E3253" i="1"/>
  <c r="D3253" i="1"/>
  <c r="F3252" i="1"/>
  <c r="E3252" i="1"/>
  <c r="D3252" i="1"/>
  <c r="F3251" i="1"/>
  <c r="E3251" i="1"/>
  <c r="D3251" i="1"/>
  <c r="F3250" i="1"/>
  <c r="E3250" i="1"/>
  <c r="D3250" i="1"/>
  <c r="F3249" i="1"/>
  <c r="E3249" i="1"/>
  <c r="D3249" i="1"/>
  <c r="F3248" i="1"/>
  <c r="E3248" i="1"/>
  <c r="D3248" i="1"/>
  <c r="F3247" i="1"/>
  <c r="E3247" i="1"/>
  <c r="D3247" i="1"/>
  <c r="F3246" i="1"/>
  <c r="E3246" i="1"/>
  <c r="D3246" i="1"/>
  <c r="F3245" i="1"/>
  <c r="E3245" i="1"/>
  <c r="D3245" i="1"/>
  <c r="F3244" i="1"/>
  <c r="E3244" i="1"/>
  <c r="D3244" i="1"/>
  <c r="F3243" i="1"/>
  <c r="E3243" i="1"/>
  <c r="D3243" i="1"/>
  <c r="F3242" i="1"/>
  <c r="E3242" i="1"/>
  <c r="D3242" i="1"/>
  <c r="F3241" i="1"/>
  <c r="E3241" i="1"/>
  <c r="D3241" i="1"/>
  <c r="F3240" i="1"/>
  <c r="E3240" i="1"/>
  <c r="D3240" i="1"/>
  <c r="F3239" i="1"/>
  <c r="E3239" i="1"/>
  <c r="D3239" i="1"/>
  <c r="F3238" i="1"/>
  <c r="E3238" i="1"/>
  <c r="D3238" i="1"/>
  <c r="F3237" i="1"/>
  <c r="E3237" i="1"/>
  <c r="D3237" i="1"/>
  <c r="F3236" i="1"/>
  <c r="E3236" i="1"/>
  <c r="D3236" i="1"/>
  <c r="F3235" i="1"/>
  <c r="E3235" i="1"/>
  <c r="D3235" i="1"/>
  <c r="F3234" i="1"/>
  <c r="E3234" i="1"/>
  <c r="D3234" i="1"/>
  <c r="F3233" i="1"/>
  <c r="E3233" i="1"/>
  <c r="D3233" i="1"/>
  <c r="F3232" i="1"/>
  <c r="E3232" i="1"/>
  <c r="D3232" i="1"/>
  <c r="F3231" i="1"/>
  <c r="E3231" i="1"/>
  <c r="D3231" i="1"/>
  <c r="F3230" i="1"/>
  <c r="E3230" i="1"/>
  <c r="D3230" i="1"/>
  <c r="F3229" i="1"/>
  <c r="E3229" i="1"/>
  <c r="D3229" i="1"/>
  <c r="F3228" i="1"/>
  <c r="E3228" i="1"/>
  <c r="D3228" i="1"/>
  <c r="F3227" i="1"/>
  <c r="E3227" i="1"/>
  <c r="D3227" i="1"/>
  <c r="F3226" i="1"/>
  <c r="E3226" i="1"/>
  <c r="D3226" i="1"/>
  <c r="F3225" i="1"/>
  <c r="E3225" i="1"/>
  <c r="D3225" i="1"/>
  <c r="F3224" i="1"/>
  <c r="E3224" i="1"/>
  <c r="D3224" i="1"/>
  <c r="F3223" i="1"/>
  <c r="E3223" i="1"/>
  <c r="D3223" i="1"/>
  <c r="F3222" i="1"/>
  <c r="E3222" i="1"/>
  <c r="D3222" i="1"/>
  <c r="F3221" i="1"/>
  <c r="E3221" i="1"/>
  <c r="D3221" i="1"/>
  <c r="F3220" i="1"/>
  <c r="E3220" i="1"/>
  <c r="D3220" i="1"/>
  <c r="F3219" i="1"/>
  <c r="E3219" i="1"/>
  <c r="D3219" i="1"/>
  <c r="F3218" i="1"/>
  <c r="E3218" i="1"/>
  <c r="D3218" i="1"/>
  <c r="F3217" i="1"/>
  <c r="E3217" i="1"/>
  <c r="D3217" i="1"/>
  <c r="F3216" i="1"/>
  <c r="E3216" i="1"/>
  <c r="D3216" i="1"/>
  <c r="F3215" i="1"/>
  <c r="E3215" i="1"/>
  <c r="D3215" i="1"/>
  <c r="F3214" i="1"/>
  <c r="E3214" i="1"/>
  <c r="D3214" i="1"/>
  <c r="F3213" i="1"/>
  <c r="E3213" i="1"/>
  <c r="D3213" i="1"/>
  <c r="F3212" i="1"/>
  <c r="E3212" i="1"/>
  <c r="D3212" i="1"/>
  <c r="F3211" i="1"/>
  <c r="E3211" i="1"/>
  <c r="D3211" i="1"/>
  <c r="F3210" i="1"/>
  <c r="E3210" i="1"/>
  <c r="D3210" i="1"/>
  <c r="F3209" i="1"/>
  <c r="E3209" i="1"/>
  <c r="D3209" i="1"/>
  <c r="F3208" i="1"/>
  <c r="E3208" i="1"/>
  <c r="D3208" i="1"/>
  <c r="F3207" i="1"/>
  <c r="E3207" i="1"/>
  <c r="D3207" i="1"/>
  <c r="F3206" i="1"/>
  <c r="E3206" i="1"/>
  <c r="D3206" i="1"/>
  <c r="F3205" i="1"/>
  <c r="E3205" i="1"/>
  <c r="D3205" i="1"/>
  <c r="F3204" i="1"/>
  <c r="E3204" i="1"/>
  <c r="D3204" i="1"/>
  <c r="F3203" i="1"/>
  <c r="E3203" i="1"/>
  <c r="D3203" i="1"/>
  <c r="F3202" i="1"/>
  <c r="E3202" i="1"/>
  <c r="D3202" i="1"/>
  <c r="F3201" i="1"/>
  <c r="E3201" i="1"/>
  <c r="D3201" i="1"/>
  <c r="F3200" i="1"/>
  <c r="E3200" i="1"/>
  <c r="D3200" i="1"/>
  <c r="F3199" i="1"/>
  <c r="E3199" i="1"/>
  <c r="D3199" i="1"/>
  <c r="F3198" i="1"/>
  <c r="E3198" i="1"/>
  <c r="D3198" i="1"/>
  <c r="F3197" i="1"/>
  <c r="E3197" i="1"/>
  <c r="D3197" i="1"/>
  <c r="F3196" i="1"/>
  <c r="E3196" i="1"/>
  <c r="D3196" i="1"/>
  <c r="F3195" i="1"/>
  <c r="E3195" i="1"/>
  <c r="D3195" i="1"/>
  <c r="F3194" i="1"/>
  <c r="E3194" i="1"/>
  <c r="D3194" i="1"/>
  <c r="F3193" i="1"/>
  <c r="E3193" i="1"/>
  <c r="D3193" i="1"/>
  <c r="F3192" i="1"/>
  <c r="E3192" i="1"/>
  <c r="D3192" i="1"/>
  <c r="F3191" i="1"/>
  <c r="E3191" i="1"/>
  <c r="D3191" i="1"/>
  <c r="F3190" i="1"/>
  <c r="E3190" i="1"/>
  <c r="D3190" i="1"/>
  <c r="F3189" i="1"/>
  <c r="E3189" i="1"/>
  <c r="D3189" i="1"/>
  <c r="F3188" i="1"/>
  <c r="E3188" i="1"/>
  <c r="D3188" i="1"/>
  <c r="F3187" i="1"/>
  <c r="E3187" i="1"/>
  <c r="D3187" i="1"/>
  <c r="F3186" i="1"/>
  <c r="E3186" i="1"/>
  <c r="D3186" i="1"/>
  <c r="F3185" i="1"/>
  <c r="E3185" i="1"/>
  <c r="D3185" i="1"/>
  <c r="F3184" i="1"/>
  <c r="E3184" i="1"/>
  <c r="D3184" i="1"/>
  <c r="F3183" i="1"/>
  <c r="E3183" i="1"/>
  <c r="D3183" i="1"/>
  <c r="F3182" i="1"/>
  <c r="E3182" i="1"/>
  <c r="D3182" i="1"/>
  <c r="F3181" i="1"/>
  <c r="E3181" i="1"/>
  <c r="D3181" i="1"/>
  <c r="F3180" i="1"/>
  <c r="E3180" i="1"/>
  <c r="D3180" i="1"/>
  <c r="F3179" i="1"/>
  <c r="E3179" i="1"/>
  <c r="D3179" i="1"/>
  <c r="F3178" i="1"/>
  <c r="E3178" i="1"/>
  <c r="D3178" i="1"/>
  <c r="F3177" i="1"/>
  <c r="E3177" i="1"/>
  <c r="D3177" i="1"/>
  <c r="F3176" i="1"/>
  <c r="E3176" i="1"/>
  <c r="D3176" i="1"/>
  <c r="F3175" i="1"/>
  <c r="E3175" i="1"/>
  <c r="D3175" i="1"/>
  <c r="F3174" i="1"/>
  <c r="E3174" i="1"/>
  <c r="D3174" i="1"/>
  <c r="F3173" i="1"/>
  <c r="E3173" i="1"/>
  <c r="D3173" i="1"/>
  <c r="F3172" i="1"/>
  <c r="E3172" i="1"/>
  <c r="D3172" i="1"/>
  <c r="F3171" i="1"/>
  <c r="E3171" i="1"/>
  <c r="D3171" i="1"/>
  <c r="F3170" i="1"/>
  <c r="E3170" i="1"/>
  <c r="D3170" i="1"/>
  <c r="F3169" i="1"/>
  <c r="E3169" i="1"/>
  <c r="D3169" i="1"/>
  <c r="F3168" i="1"/>
  <c r="E3168" i="1"/>
  <c r="D3168" i="1"/>
  <c r="F3167" i="1"/>
  <c r="E3167" i="1"/>
  <c r="D3167" i="1"/>
  <c r="F3166" i="1"/>
  <c r="E3166" i="1"/>
  <c r="D3166" i="1"/>
  <c r="F3165" i="1"/>
  <c r="E3165" i="1"/>
  <c r="D3165" i="1"/>
  <c r="F3164" i="1"/>
  <c r="E3164" i="1"/>
  <c r="D3164" i="1"/>
  <c r="F3163" i="1"/>
  <c r="E3163" i="1"/>
  <c r="D3163" i="1"/>
  <c r="F3162" i="1"/>
  <c r="E3162" i="1"/>
  <c r="D3162" i="1"/>
  <c r="F3161" i="1"/>
  <c r="E3161" i="1"/>
  <c r="D3161" i="1"/>
  <c r="F3160" i="1"/>
  <c r="E3160" i="1"/>
  <c r="D3160" i="1"/>
  <c r="F3159" i="1"/>
  <c r="E3159" i="1"/>
  <c r="D3159" i="1"/>
  <c r="F3158" i="1"/>
  <c r="E3158" i="1"/>
  <c r="D3158" i="1"/>
  <c r="F3157" i="1"/>
  <c r="E3157" i="1"/>
  <c r="D3157" i="1"/>
  <c r="F3156" i="1"/>
  <c r="E3156" i="1"/>
  <c r="D3156" i="1"/>
  <c r="F3155" i="1"/>
  <c r="E3155" i="1"/>
  <c r="D3155" i="1"/>
  <c r="F3154" i="1"/>
  <c r="E3154" i="1"/>
  <c r="D3154" i="1"/>
  <c r="F3153" i="1"/>
  <c r="E3153" i="1"/>
  <c r="D3153" i="1"/>
  <c r="F3152" i="1"/>
  <c r="E3152" i="1"/>
  <c r="D3152" i="1"/>
  <c r="F3151" i="1"/>
  <c r="E3151" i="1"/>
  <c r="D3151" i="1"/>
  <c r="F3150" i="1"/>
  <c r="E3150" i="1"/>
  <c r="D3150" i="1"/>
  <c r="F3149" i="1"/>
  <c r="E3149" i="1"/>
  <c r="D3149" i="1"/>
  <c r="F3148" i="1"/>
  <c r="E3148" i="1"/>
  <c r="D3148" i="1"/>
  <c r="F3147" i="1"/>
  <c r="E3147" i="1"/>
  <c r="D3147" i="1"/>
  <c r="F3146" i="1"/>
  <c r="E3146" i="1"/>
  <c r="D3146" i="1"/>
  <c r="F3145" i="1"/>
  <c r="E3145" i="1"/>
  <c r="D3145" i="1"/>
  <c r="F3144" i="1"/>
  <c r="E3144" i="1"/>
  <c r="D3144" i="1"/>
  <c r="F3143" i="1"/>
  <c r="E3143" i="1"/>
  <c r="D3143" i="1"/>
  <c r="F3142" i="1"/>
  <c r="E3142" i="1"/>
  <c r="D3142" i="1"/>
  <c r="F3141" i="1"/>
  <c r="E3141" i="1"/>
  <c r="D3141" i="1"/>
  <c r="F3140" i="1"/>
  <c r="E3140" i="1"/>
  <c r="D3140" i="1"/>
  <c r="F3139" i="1"/>
  <c r="E3139" i="1"/>
  <c r="D3139" i="1"/>
  <c r="F3138" i="1"/>
  <c r="E3138" i="1"/>
  <c r="D3138" i="1"/>
  <c r="F3137" i="1"/>
  <c r="E3137" i="1"/>
  <c r="D3137" i="1"/>
  <c r="F3136" i="1"/>
  <c r="E3136" i="1"/>
  <c r="D3136" i="1"/>
  <c r="F3135" i="1"/>
  <c r="E3135" i="1"/>
  <c r="D3135" i="1"/>
  <c r="F3134" i="1"/>
  <c r="E3134" i="1"/>
  <c r="D3134" i="1"/>
  <c r="F3133" i="1"/>
  <c r="E3133" i="1"/>
  <c r="D3133" i="1"/>
  <c r="F3132" i="1"/>
  <c r="E3132" i="1"/>
  <c r="D3132" i="1"/>
  <c r="F3131" i="1"/>
  <c r="E3131" i="1"/>
  <c r="D3131" i="1"/>
  <c r="F3130" i="1"/>
  <c r="E3130" i="1"/>
  <c r="D3130" i="1"/>
  <c r="F3129" i="1"/>
  <c r="E3129" i="1"/>
  <c r="D3129" i="1"/>
  <c r="F3128" i="1"/>
  <c r="E3128" i="1"/>
  <c r="D3128" i="1"/>
  <c r="F3127" i="1"/>
  <c r="E3127" i="1"/>
  <c r="D3127" i="1"/>
  <c r="F3126" i="1"/>
  <c r="E3126" i="1"/>
  <c r="D3126" i="1"/>
  <c r="F3125" i="1"/>
  <c r="E3125" i="1"/>
  <c r="D3125" i="1"/>
  <c r="F3124" i="1"/>
  <c r="E3124" i="1"/>
  <c r="D3124" i="1"/>
  <c r="F3123" i="1"/>
  <c r="E3123" i="1"/>
  <c r="D3123" i="1"/>
  <c r="F3122" i="1"/>
  <c r="E3122" i="1"/>
  <c r="D3122" i="1"/>
  <c r="F3121" i="1"/>
  <c r="E3121" i="1"/>
  <c r="D3121" i="1"/>
  <c r="F3120" i="1"/>
  <c r="E3120" i="1"/>
  <c r="D3120" i="1"/>
  <c r="F3119" i="1"/>
  <c r="E3119" i="1"/>
  <c r="D3119" i="1"/>
  <c r="F3118" i="1"/>
  <c r="E3118" i="1"/>
  <c r="D3118" i="1"/>
  <c r="F3117" i="1"/>
  <c r="E3117" i="1"/>
  <c r="D3117" i="1"/>
  <c r="F3116" i="1"/>
  <c r="E3116" i="1"/>
  <c r="D3116" i="1"/>
  <c r="F3115" i="1"/>
  <c r="E3115" i="1"/>
  <c r="D3115" i="1"/>
  <c r="F3114" i="1"/>
  <c r="E3114" i="1"/>
  <c r="D3114" i="1"/>
  <c r="F3113" i="1"/>
  <c r="E3113" i="1"/>
  <c r="D3113" i="1"/>
  <c r="F3112" i="1"/>
  <c r="E3112" i="1"/>
  <c r="D3112" i="1"/>
  <c r="F3111" i="1"/>
  <c r="E3111" i="1"/>
  <c r="D3111" i="1"/>
  <c r="F3110" i="1"/>
  <c r="E3110" i="1"/>
  <c r="D3110" i="1"/>
  <c r="F3109" i="1"/>
  <c r="E3109" i="1"/>
  <c r="D3109" i="1"/>
  <c r="F3108" i="1"/>
  <c r="E3108" i="1"/>
  <c r="D3108" i="1"/>
  <c r="F3107" i="1"/>
  <c r="E3107" i="1"/>
  <c r="D3107" i="1"/>
  <c r="F3106" i="1"/>
  <c r="E3106" i="1"/>
  <c r="D3106" i="1"/>
  <c r="F3105" i="1"/>
  <c r="E3105" i="1"/>
  <c r="D3105" i="1"/>
  <c r="F3104" i="1"/>
  <c r="E3104" i="1"/>
  <c r="D3104" i="1"/>
  <c r="F3103" i="1"/>
  <c r="E3103" i="1"/>
  <c r="D3103" i="1"/>
  <c r="F3102" i="1"/>
  <c r="E3102" i="1"/>
  <c r="D3102" i="1"/>
  <c r="F3101" i="1"/>
  <c r="E3101" i="1"/>
  <c r="D3101" i="1"/>
  <c r="F3100" i="1"/>
  <c r="E3100" i="1"/>
  <c r="D3100" i="1"/>
  <c r="F3099" i="1"/>
  <c r="E3099" i="1"/>
  <c r="D3099" i="1"/>
  <c r="F3098" i="1"/>
  <c r="E3098" i="1"/>
  <c r="D3098" i="1"/>
  <c r="F3097" i="1"/>
  <c r="E3097" i="1"/>
  <c r="D3097" i="1"/>
  <c r="F3096" i="1"/>
  <c r="E3096" i="1"/>
  <c r="D3096" i="1"/>
  <c r="F3095" i="1"/>
  <c r="E3095" i="1"/>
  <c r="D3095" i="1"/>
  <c r="F3094" i="1"/>
  <c r="E3094" i="1"/>
  <c r="D3094" i="1"/>
  <c r="F3093" i="1"/>
  <c r="E3093" i="1"/>
  <c r="D3093" i="1"/>
  <c r="F3092" i="1"/>
  <c r="E3092" i="1"/>
  <c r="D3092" i="1"/>
  <c r="F3091" i="1"/>
  <c r="E3091" i="1"/>
  <c r="D3091" i="1"/>
  <c r="F3090" i="1"/>
  <c r="E3090" i="1"/>
  <c r="D3090" i="1"/>
  <c r="F3089" i="1"/>
  <c r="E3089" i="1"/>
  <c r="D3089" i="1"/>
  <c r="F3088" i="1"/>
  <c r="E3088" i="1"/>
  <c r="D3088" i="1"/>
  <c r="F3087" i="1"/>
  <c r="E3087" i="1"/>
  <c r="D3087" i="1"/>
  <c r="F3086" i="1"/>
  <c r="E3086" i="1"/>
  <c r="D3086" i="1"/>
  <c r="F3085" i="1"/>
  <c r="E3085" i="1"/>
  <c r="D3085" i="1"/>
  <c r="F3084" i="1"/>
  <c r="E3084" i="1"/>
  <c r="D3084" i="1"/>
  <c r="F3083" i="1"/>
  <c r="E3083" i="1"/>
  <c r="D3083" i="1"/>
  <c r="F3082" i="1"/>
  <c r="E3082" i="1"/>
  <c r="D3082" i="1"/>
  <c r="F3081" i="1"/>
  <c r="E3081" i="1"/>
  <c r="D3081" i="1"/>
  <c r="F3080" i="1"/>
  <c r="E3080" i="1"/>
  <c r="D3080" i="1"/>
  <c r="F3079" i="1"/>
  <c r="E3079" i="1"/>
  <c r="D3079" i="1"/>
  <c r="F3078" i="1"/>
  <c r="E3078" i="1"/>
  <c r="D3078" i="1"/>
  <c r="F3077" i="1"/>
  <c r="E3077" i="1"/>
  <c r="D3077" i="1"/>
  <c r="F3076" i="1"/>
  <c r="E3076" i="1"/>
  <c r="D3076" i="1"/>
  <c r="F3075" i="1"/>
  <c r="E3075" i="1"/>
  <c r="D3075" i="1"/>
  <c r="F3074" i="1"/>
  <c r="E3074" i="1"/>
  <c r="D3074" i="1"/>
  <c r="F3073" i="1"/>
  <c r="E3073" i="1"/>
  <c r="D3073" i="1"/>
  <c r="F3072" i="1"/>
  <c r="E3072" i="1"/>
  <c r="D3072" i="1"/>
  <c r="F3071" i="1"/>
  <c r="E3071" i="1"/>
  <c r="D3071" i="1"/>
  <c r="F3070" i="1"/>
  <c r="E3070" i="1"/>
  <c r="D3070" i="1"/>
  <c r="F3069" i="1"/>
  <c r="E3069" i="1"/>
  <c r="D3069" i="1"/>
  <c r="F3068" i="1"/>
  <c r="E3068" i="1"/>
  <c r="D3068" i="1"/>
  <c r="F3067" i="1"/>
  <c r="E3067" i="1"/>
  <c r="D3067" i="1"/>
  <c r="F3066" i="1"/>
  <c r="E3066" i="1"/>
  <c r="D3066" i="1"/>
  <c r="F3065" i="1"/>
  <c r="E3065" i="1"/>
  <c r="D3065" i="1"/>
  <c r="F3064" i="1"/>
  <c r="E3064" i="1"/>
  <c r="D3064" i="1"/>
  <c r="F3063" i="1"/>
  <c r="E3063" i="1"/>
  <c r="D3063" i="1"/>
  <c r="F3062" i="1"/>
  <c r="E3062" i="1"/>
  <c r="D3062" i="1"/>
  <c r="F3061" i="1"/>
  <c r="E3061" i="1"/>
  <c r="D3061" i="1"/>
  <c r="F3060" i="1"/>
  <c r="E3060" i="1"/>
  <c r="D3060" i="1"/>
  <c r="F3059" i="1"/>
  <c r="E3059" i="1"/>
  <c r="D3059" i="1"/>
  <c r="F3058" i="1"/>
  <c r="E3058" i="1"/>
  <c r="D3058" i="1"/>
  <c r="F3057" i="1"/>
  <c r="E3057" i="1"/>
  <c r="D3057" i="1"/>
  <c r="F3056" i="1"/>
  <c r="E3056" i="1"/>
  <c r="D3056" i="1"/>
  <c r="F3055" i="1"/>
  <c r="E3055" i="1"/>
  <c r="D3055" i="1"/>
  <c r="F3054" i="1"/>
  <c r="E3054" i="1"/>
  <c r="D3054" i="1"/>
  <c r="F3053" i="1"/>
  <c r="E3053" i="1"/>
  <c r="D3053" i="1"/>
  <c r="F3052" i="1"/>
  <c r="E3052" i="1"/>
  <c r="D3052" i="1"/>
  <c r="F3051" i="1"/>
  <c r="E3051" i="1"/>
  <c r="D3051" i="1"/>
  <c r="F3050" i="1"/>
  <c r="E3050" i="1"/>
  <c r="D3050" i="1"/>
  <c r="F3049" i="1"/>
  <c r="E3049" i="1"/>
  <c r="D3049" i="1"/>
  <c r="F3048" i="1"/>
  <c r="E3048" i="1"/>
  <c r="D3048" i="1"/>
  <c r="F3047" i="1"/>
  <c r="E3047" i="1"/>
  <c r="D3047" i="1"/>
  <c r="F3046" i="1"/>
  <c r="E3046" i="1"/>
  <c r="D3046" i="1"/>
  <c r="F3045" i="1"/>
  <c r="E3045" i="1"/>
  <c r="D3045" i="1"/>
  <c r="F3044" i="1"/>
  <c r="E3044" i="1"/>
  <c r="D3044" i="1"/>
  <c r="F3043" i="1"/>
  <c r="E3043" i="1"/>
  <c r="D3043" i="1"/>
  <c r="F3042" i="1"/>
  <c r="E3042" i="1"/>
  <c r="D3042" i="1"/>
  <c r="F3041" i="1"/>
  <c r="E3041" i="1"/>
  <c r="D3041" i="1"/>
  <c r="F3040" i="1"/>
  <c r="E3040" i="1"/>
  <c r="D3040" i="1"/>
  <c r="F3039" i="1"/>
  <c r="E3039" i="1"/>
  <c r="D3039" i="1"/>
  <c r="F3038" i="1"/>
  <c r="E3038" i="1"/>
  <c r="D3038" i="1"/>
  <c r="F3037" i="1"/>
  <c r="E3037" i="1"/>
  <c r="D3037" i="1"/>
  <c r="F3036" i="1"/>
  <c r="E3036" i="1"/>
  <c r="D3036" i="1"/>
  <c r="F3035" i="1"/>
  <c r="E3035" i="1"/>
  <c r="D3035" i="1"/>
  <c r="F3034" i="1"/>
  <c r="E3034" i="1"/>
  <c r="D3034" i="1"/>
  <c r="F3033" i="1"/>
  <c r="E3033" i="1"/>
  <c r="D3033" i="1"/>
  <c r="F3032" i="1"/>
  <c r="E3032" i="1"/>
  <c r="D3032" i="1"/>
  <c r="F3031" i="1"/>
  <c r="E3031" i="1"/>
  <c r="D3031" i="1"/>
  <c r="F3030" i="1"/>
  <c r="E3030" i="1"/>
  <c r="D3030" i="1"/>
  <c r="F3029" i="1"/>
  <c r="E3029" i="1"/>
  <c r="D3029" i="1"/>
  <c r="F3028" i="1"/>
  <c r="E3028" i="1"/>
  <c r="D3028" i="1"/>
  <c r="F3027" i="1"/>
  <c r="E3027" i="1"/>
  <c r="D3027" i="1"/>
  <c r="F3026" i="1"/>
  <c r="E3026" i="1"/>
  <c r="D3026" i="1"/>
  <c r="F3025" i="1"/>
  <c r="E3025" i="1"/>
  <c r="D3025" i="1"/>
  <c r="F3024" i="1"/>
  <c r="E3024" i="1"/>
  <c r="D3024" i="1"/>
  <c r="F3023" i="1"/>
  <c r="E3023" i="1"/>
  <c r="D3023" i="1"/>
  <c r="F3022" i="1"/>
  <c r="E3022" i="1"/>
  <c r="D3022" i="1"/>
  <c r="F3021" i="1"/>
  <c r="E3021" i="1"/>
  <c r="D3021" i="1"/>
  <c r="F3020" i="1"/>
  <c r="E3020" i="1"/>
  <c r="D3020" i="1"/>
  <c r="F3019" i="1"/>
  <c r="E3019" i="1"/>
  <c r="D3019" i="1"/>
  <c r="F3018" i="1"/>
  <c r="E3018" i="1"/>
  <c r="D3018" i="1"/>
  <c r="F3017" i="1"/>
  <c r="E3017" i="1"/>
  <c r="D3017" i="1"/>
  <c r="F3016" i="1"/>
  <c r="E3016" i="1"/>
  <c r="D3016" i="1"/>
  <c r="F3015" i="1"/>
  <c r="E3015" i="1"/>
  <c r="D3015" i="1"/>
  <c r="F3014" i="1"/>
  <c r="E3014" i="1"/>
  <c r="D3014" i="1"/>
  <c r="F3013" i="1"/>
  <c r="E3013" i="1"/>
  <c r="D3013" i="1"/>
  <c r="F3012" i="1"/>
  <c r="E3012" i="1"/>
  <c r="D3012" i="1"/>
  <c r="F3011" i="1"/>
  <c r="E3011" i="1"/>
  <c r="D3011" i="1"/>
  <c r="F3010" i="1"/>
  <c r="E3010" i="1"/>
  <c r="D3010" i="1"/>
  <c r="F3009" i="1"/>
  <c r="E3009" i="1"/>
  <c r="D3009" i="1"/>
  <c r="F3008" i="1"/>
  <c r="E3008" i="1"/>
  <c r="D3008" i="1"/>
  <c r="F3007" i="1"/>
  <c r="E3007" i="1"/>
  <c r="D3007" i="1"/>
  <c r="F3006" i="1"/>
  <c r="E3006" i="1"/>
  <c r="D3006" i="1"/>
  <c r="F3005" i="1"/>
  <c r="E3005" i="1"/>
  <c r="D3005" i="1"/>
  <c r="F3004" i="1"/>
  <c r="E3004" i="1"/>
  <c r="D3004" i="1"/>
  <c r="F3003" i="1"/>
  <c r="E3003" i="1"/>
  <c r="D3003" i="1"/>
  <c r="F3002" i="1"/>
  <c r="E3002" i="1"/>
  <c r="D3002" i="1"/>
  <c r="F3001" i="1"/>
  <c r="E3001" i="1"/>
  <c r="D3001" i="1"/>
  <c r="F3000" i="1"/>
  <c r="E3000" i="1"/>
  <c r="D3000" i="1"/>
  <c r="F2999" i="1"/>
  <c r="E2999" i="1"/>
  <c r="D2999" i="1"/>
  <c r="F2998" i="1"/>
  <c r="E2998" i="1"/>
  <c r="D2998" i="1"/>
  <c r="F2997" i="1"/>
  <c r="E2997" i="1"/>
  <c r="D2997" i="1"/>
  <c r="F2996" i="1"/>
  <c r="E2996" i="1"/>
  <c r="D2996" i="1"/>
  <c r="F2995" i="1"/>
  <c r="E2995" i="1"/>
  <c r="D2995" i="1"/>
  <c r="F2994" i="1"/>
  <c r="E2994" i="1"/>
  <c r="D2994" i="1"/>
  <c r="F2993" i="1"/>
  <c r="E2993" i="1"/>
  <c r="D2993" i="1"/>
  <c r="F2992" i="1"/>
  <c r="E2992" i="1"/>
  <c r="D2992" i="1"/>
  <c r="F2991" i="1"/>
  <c r="E2991" i="1"/>
  <c r="D2991" i="1"/>
  <c r="F2990" i="1"/>
  <c r="E2990" i="1"/>
  <c r="D2990" i="1"/>
  <c r="F2989" i="1"/>
  <c r="E2989" i="1"/>
  <c r="D2989" i="1"/>
  <c r="F2988" i="1"/>
  <c r="E2988" i="1"/>
  <c r="D2988" i="1"/>
  <c r="F2987" i="1"/>
  <c r="E2987" i="1"/>
  <c r="D2987" i="1"/>
  <c r="F2986" i="1"/>
  <c r="E2986" i="1"/>
  <c r="D2986" i="1"/>
  <c r="F2985" i="1"/>
  <c r="E2985" i="1"/>
  <c r="D2985" i="1"/>
  <c r="F2984" i="1"/>
  <c r="E2984" i="1"/>
  <c r="D2984" i="1"/>
  <c r="F2983" i="1"/>
  <c r="E2983" i="1"/>
  <c r="D2983" i="1"/>
  <c r="F2982" i="1"/>
  <c r="E2982" i="1"/>
  <c r="D2982" i="1"/>
  <c r="F2981" i="1"/>
  <c r="E2981" i="1"/>
  <c r="D2981" i="1"/>
  <c r="F2980" i="1"/>
  <c r="E2980" i="1"/>
  <c r="D2980" i="1"/>
  <c r="F2979" i="1"/>
  <c r="E2979" i="1"/>
  <c r="D2979" i="1"/>
  <c r="F2978" i="1"/>
  <c r="E2978" i="1"/>
  <c r="D2978" i="1"/>
  <c r="F2977" i="1"/>
  <c r="E2977" i="1"/>
  <c r="D2977" i="1"/>
  <c r="F2976" i="1"/>
  <c r="E2976" i="1"/>
  <c r="D2976" i="1"/>
  <c r="F2975" i="1"/>
  <c r="E2975" i="1"/>
  <c r="D2975" i="1"/>
  <c r="F2974" i="1"/>
  <c r="E2974" i="1"/>
  <c r="D2974" i="1"/>
  <c r="F2973" i="1"/>
  <c r="E2973" i="1"/>
  <c r="D2973" i="1"/>
  <c r="F2972" i="1"/>
  <c r="E2972" i="1"/>
  <c r="D2972" i="1"/>
  <c r="F2971" i="1"/>
  <c r="E2971" i="1"/>
  <c r="D2971" i="1"/>
  <c r="F2970" i="1"/>
  <c r="E2970" i="1"/>
  <c r="D2970" i="1"/>
  <c r="F2969" i="1"/>
  <c r="E2969" i="1"/>
  <c r="D2969" i="1"/>
  <c r="F2968" i="1"/>
  <c r="E2968" i="1"/>
  <c r="D2968" i="1"/>
  <c r="F2967" i="1"/>
  <c r="E2967" i="1"/>
  <c r="D2967" i="1"/>
  <c r="F2966" i="1"/>
  <c r="E2966" i="1"/>
  <c r="D2966" i="1"/>
  <c r="F2965" i="1"/>
  <c r="E2965" i="1"/>
  <c r="D2965" i="1"/>
  <c r="F2964" i="1"/>
  <c r="E2964" i="1"/>
  <c r="D2964" i="1"/>
  <c r="F2963" i="1"/>
  <c r="E2963" i="1"/>
  <c r="D2963" i="1"/>
  <c r="F2962" i="1"/>
  <c r="E2962" i="1"/>
  <c r="D2962" i="1"/>
  <c r="F2961" i="1"/>
  <c r="E2961" i="1"/>
  <c r="D2961" i="1"/>
  <c r="F2960" i="1"/>
  <c r="E2960" i="1"/>
  <c r="D2960" i="1"/>
  <c r="F2959" i="1"/>
  <c r="E2959" i="1"/>
  <c r="D2959" i="1"/>
  <c r="F2958" i="1"/>
  <c r="E2958" i="1"/>
  <c r="D2958" i="1"/>
  <c r="F2957" i="1"/>
  <c r="E2957" i="1"/>
  <c r="D2957" i="1"/>
  <c r="F2956" i="1"/>
  <c r="E2956" i="1"/>
  <c r="D2956" i="1"/>
  <c r="F2955" i="1"/>
  <c r="E2955" i="1"/>
  <c r="D2955" i="1"/>
  <c r="F2954" i="1"/>
  <c r="E2954" i="1"/>
  <c r="D2954" i="1"/>
  <c r="F2953" i="1"/>
  <c r="E2953" i="1"/>
  <c r="D2953" i="1"/>
  <c r="F2952" i="1"/>
  <c r="E2952" i="1"/>
  <c r="D2952" i="1"/>
  <c r="F2951" i="1"/>
  <c r="E2951" i="1"/>
  <c r="D2951" i="1"/>
  <c r="F2950" i="1"/>
  <c r="E2950" i="1"/>
  <c r="D2950" i="1"/>
  <c r="F2949" i="1"/>
  <c r="E2949" i="1"/>
  <c r="D2949" i="1"/>
  <c r="F2948" i="1"/>
  <c r="E2948" i="1"/>
  <c r="D2948" i="1"/>
  <c r="F2947" i="1"/>
  <c r="E2947" i="1"/>
  <c r="D2947" i="1"/>
  <c r="F2946" i="1"/>
  <c r="E2946" i="1"/>
  <c r="D2946" i="1"/>
  <c r="F2945" i="1"/>
  <c r="E2945" i="1"/>
  <c r="D2945" i="1"/>
  <c r="F2944" i="1"/>
  <c r="E2944" i="1"/>
  <c r="D2944" i="1"/>
  <c r="F2943" i="1"/>
  <c r="E2943" i="1"/>
  <c r="D2943" i="1"/>
  <c r="F2942" i="1"/>
  <c r="E2942" i="1"/>
  <c r="D2942" i="1"/>
  <c r="F2941" i="1"/>
  <c r="E2941" i="1"/>
  <c r="D2941" i="1"/>
  <c r="F2940" i="1"/>
  <c r="E2940" i="1"/>
  <c r="D2940" i="1"/>
  <c r="F2939" i="1"/>
  <c r="E2939" i="1"/>
  <c r="D2939" i="1"/>
  <c r="F2938" i="1"/>
  <c r="E2938" i="1"/>
  <c r="D2938" i="1"/>
  <c r="F2937" i="1"/>
  <c r="E2937" i="1"/>
  <c r="D2937" i="1"/>
  <c r="F2936" i="1"/>
  <c r="E2936" i="1"/>
  <c r="D2936" i="1"/>
  <c r="F2935" i="1"/>
  <c r="E2935" i="1"/>
  <c r="D2935" i="1"/>
  <c r="F2934" i="1"/>
  <c r="E2934" i="1"/>
  <c r="D2934" i="1"/>
  <c r="F2933" i="1"/>
  <c r="E2933" i="1"/>
  <c r="D2933" i="1"/>
  <c r="F2932" i="1"/>
  <c r="E2932" i="1"/>
  <c r="D2932" i="1"/>
  <c r="F2931" i="1"/>
  <c r="E2931" i="1"/>
  <c r="D2931" i="1"/>
  <c r="F2930" i="1"/>
  <c r="E2930" i="1"/>
  <c r="D2930" i="1"/>
  <c r="F2929" i="1"/>
  <c r="E2929" i="1"/>
  <c r="D2929" i="1"/>
  <c r="F2928" i="1"/>
  <c r="E2928" i="1"/>
  <c r="D2928" i="1"/>
  <c r="F2927" i="1"/>
  <c r="E2927" i="1"/>
  <c r="D2927" i="1"/>
  <c r="F2926" i="1"/>
  <c r="E2926" i="1"/>
  <c r="D2926" i="1"/>
  <c r="F2925" i="1"/>
  <c r="E2925" i="1"/>
  <c r="D2925" i="1"/>
  <c r="F2924" i="1"/>
  <c r="E2924" i="1"/>
  <c r="D2924" i="1"/>
  <c r="F2923" i="1"/>
  <c r="E2923" i="1"/>
  <c r="D2923" i="1"/>
  <c r="F2922" i="1"/>
  <c r="E2922" i="1"/>
  <c r="D2922" i="1"/>
  <c r="F2921" i="1"/>
  <c r="E2921" i="1"/>
  <c r="D2921" i="1"/>
  <c r="F2920" i="1"/>
  <c r="E2920" i="1"/>
  <c r="D2920" i="1"/>
  <c r="F2919" i="1"/>
  <c r="E2919" i="1"/>
  <c r="D2919" i="1"/>
  <c r="F2918" i="1"/>
  <c r="E2918" i="1"/>
  <c r="D2918" i="1"/>
  <c r="F2917" i="1"/>
  <c r="E2917" i="1"/>
  <c r="D2917" i="1"/>
  <c r="F2916" i="1"/>
  <c r="E2916" i="1"/>
  <c r="D2916" i="1"/>
  <c r="F2915" i="1"/>
  <c r="E2915" i="1"/>
  <c r="D2915" i="1"/>
  <c r="F2914" i="1"/>
  <c r="E2914" i="1"/>
  <c r="D2914" i="1"/>
  <c r="F2913" i="1"/>
  <c r="E2913" i="1"/>
  <c r="D2913" i="1"/>
  <c r="F2912" i="1"/>
  <c r="E2912" i="1"/>
  <c r="D2912" i="1"/>
  <c r="F2911" i="1"/>
  <c r="E2911" i="1"/>
  <c r="D2911" i="1"/>
  <c r="F2910" i="1"/>
  <c r="E2910" i="1"/>
  <c r="D2910" i="1"/>
  <c r="F2909" i="1"/>
  <c r="E2909" i="1"/>
  <c r="D2909" i="1"/>
  <c r="F2908" i="1"/>
  <c r="E2908" i="1"/>
  <c r="D2908" i="1"/>
  <c r="F2907" i="1"/>
  <c r="E2907" i="1"/>
  <c r="D2907" i="1"/>
  <c r="F2906" i="1"/>
  <c r="E2906" i="1"/>
  <c r="D2906" i="1"/>
  <c r="F2905" i="1"/>
  <c r="E2905" i="1"/>
  <c r="D2905" i="1"/>
  <c r="F2904" i="1"/>
  <c r="E2904" i="1"/>
  <c r="D2904" i="1"/>
  <c r="F2903" i="1"/>
  <c r="E2903" i="1"/>
  <c r="D2903" i="1"/>
  <c r="F2902" i="1"/>
  <c r="E2902" i="1"/>
  <c r="D2902" i="1"/>
  <c r="F2901" i="1"/>
  <c r="E2901" i="1"/>
  <c r="D2901" i="1"/>
  <c r="F2900" i="1"/>
  <c r="E2900" i="1"/>
  <c r="D2900" i="1"/>
  <c r="F2899" i="1"/>
  <c r="E2899" i="1"/>
  <c r="D2899" i="1"/>
  <c r="F2898" i="1"/>
  <c r="E2898" i="1"/>
  <c r="D2898" i="1"/>
  <c r="F2897" i="1"/>
  <c r="E2897" i="1"/>
  <c r="D2897" i="1"/>
  <c r="F2896" i="1"/>
  <c r="E2896" i="1"/>
  <c r="D2896" i="1"/>
  <c r="F2895" i="1"/>
  <c r="E2895" i="1"/>
  <c r="D2895" i="1"/>
  <c r="F2894" i="1"/>
  <c r="E2894" i="1"/>
  <c r="D2894" i="1"/>
  <c r="F2893" i="1"/>
  <c r="E2893" i="1"/>
  <c r="D2893" i="1"/>
  <c r="F2892" i="1"/>
  <c r="E2892" i="1"/>
  <c r="D2892" i="1"/>
  <c r="F2891" i="1"/>
  <c r="E2891" i="1"/>
  <c r="D2891" i="1"/>
  <c r="F2890" i="1"/>
  <c r="E2890" i="1"/>
  <c r="D2890" i="1"/>
  <c r="F2889" i="1"/>
  <c r="E2889" i="1"/>
  <c r="D2889" i="1"/>
  <c r="F2888" i="1"/>
  <c r="E2888" i="1"/>
  <c r="D2888" i="1"/>
  <c r="F2887" i="1"/>
  <c r="E2887" i="1"/>
  <c r="D2887" i="1"/>
  <c r="F2886" i="1"/>
  <c r="E2886" i="1"/>
  <c r="D2886" i="1"/>
  <c r="F2885" i="1"/>
  <c r="E2885" i="1"/>
  <c r="D2885" i="1"/>
  <c r="F2884" i="1"/>
  <c r="E2884" i="1"/>
  <c r="D2884" i="1"/>
  <c r="F2883" i="1"/>
  <c r="E2883" i="1"/>
  <c r="D2883" i="1"/>
  <c r="F2882" i="1"/>
  <c r="E2882" i="1"/>
  <c r="D2882" i="1"/>
  <c r="F2881" i="1"/>
  <c r="E2881" i="1"/>
  <c r="D2881" i="1"/>
  <c r="F2880" i="1"/>
  <c r="E2880" i="1"/>
  <c r="D2880" i="1"/>
  <c r="F2879" i="1"/>
  <c r="E2879" i="1"/>
  <c r="D2879" i="1"/>
  <c r="F2878" i="1"/>
  <c r="E2878" i="1"/>
  <c r="D2878" i="1"/>
  <c r="F2877" i="1"/>
  <c r="E2877" i="1"/>
  <c r="D2877" i="1"/>
  <c r="F2876" i="1"/>
  <c r="E2876" i="1"/>
  <c r="D2876" i="1"/>
  <c r="F2875" i="1"/>
  <c r="E2875" i="1"/>
  <c r="D2875" i="1"/>
  <c r="F2874" i="1"/>
  <c r="E2874" i="1"/>
  <c r="D2874" i="1"/>
  <c r="F2873" i="1"/>
  <c r="E2873" i="1"/>
  <c r="D2873" i="1"/>
  <c r="F2872" i="1"/>
  <c r="E2872" i="1"/>
  <c r="D2872" i="1"/>
  <c r="F2871" i="1"/>
  <c r="E2871" i="1"/>
  <c r="D2871" i="1"/>
  <c r="F2870" i="1"/>
  <c r="E2870" i="1"/>
  <c r="D2870" i="1"/>
  <c r="F2869" i="1"/>
  <c r="E2869" i="1"/>
  <c r="D2869" i="1"/>
  <c r="F2868" i="1"/>
  <c r="E2868" i="1"/>
  <c r="D2868" i="1"/>
  <c r="F2867" i="1"/>
  <c r="E2867" i="1"/>
  <c r="D2867" i="1"/>
  <c r="F2866" i="1"/>
  <c r="E2866" i="1"/>
  <c r="D2866" i="1"/>
  <c r="F2865" i="1"/>
  <c r="E2865" i="1"/>
  <c r="D2865" i="1"/>
  <c r="F2864" i="1"/>
  <c r="E2864" i="1"/>
  <c r="D2864" i="1"/>
  <c r="F2863" i="1"/>
  <c r="E2863" i="1"/>
  <c r="D2863" i="1"/>
  <c r="F2862" i="1"/>
  <c r="E2862" i="1"/>
  <c r="D2862" i="1"/>
  <c r="F2861" i="1"/>
  <c r="E2861" i="1"/>
  <c r="D2861" i="1"/>
  <c r="F2860" i="1"/>
  <c r="E2860" i="1"/>
  <c r="D2860" i="1"/>
  <c r="F2859" i="1"/>
  <c r="E2859" i="1"/>
  <c r="D2859" i="1"/>
  <c r="F2858" i="1"/>
  <c r="E2858" i="1"/>
  <c r="D2858" i="1"/>
  <c r="F2857" i="1"/>
  <c r="E2857" i="1"/>
  <c r="D2857" i="1"/>
  <c r="F2856" i="1"/>
  <c r="E2856" i="1"/>
  <c r="D2856" i="1"/>
  <c r="F2855" i="1"/>
  <c r="E2855" i="1"/>
  <c r="D2855" i="1"/>
  <c r="F2854" i="1"/>
  <c r="E2854" i="1"/>
  <c r="D2854" i="1"/>
  <c r="F2853" i="1"/>
  <c r="E2853" i="1"/>
  <c r="D2853" i="1"/>
  <c r="F2852" i="1"/>
  <c r="E2852" i="1"/>
  <c r="D2852" i="1"/>
  <c r="F2851" i="1"/>
  <c r="E2851" i="1"/>
  <c r="D2851" i="1"/>
  <c r="F2850" i="1"/>
  <c r="E2850" i="1"/>
  <c r="D2850" i="1"/>
  <c r="F2849" i="1"/>
  <c r="E2849" i="1"/>
  <c r="D2849" i="1"/>
  <c r="F2848" i="1"/>
  <c r="E2848" i="1"/>
  <c r="D2848" i="1"/>
  <c r="F2847" i="1"/>
  <c r="E2847" i="1"/>
  <c r="D2847" i="1"/>
  <c r="F2846" i="1"/>
  <c r="E2846" i="1"/>
  <c r="D2846" i="1"/>
  <c r="F2845" i="1"/>
  <c r="E2845" i="1"/>
  <c r="D2845" i="1"/>
  <c r="F2844" i="1"/>
  <c r="E2844" i="1"/>
  <c r="D2844" i="1"/>
  <c r="F2843" i="1"/>
  <c r="E2843" i="1"/>
  <c r="D2843" i="1"/>
  <c r="F2842" i="1"/>
  <c r="E2842" i="1"/>
  <c r="D2842" i="1"/>
  <c r="F2841" i="1"/>
  <c r="E2841" i="1"/>
  <c r="D2841" i="1"/>
  <c r="F2840" i="1"/>
  <c r="E2840" i="1"/>
  <c r="D2840" i="1"/>
  <c r="F2839" i="1"/>
  <c r="E2839" i="1"/>
  <c r="D2839" i="1"/>
  <c r="F2838" i="1"/>
  <c r="E2838" i="1"/>
  <c r="D2838" i="1"/>
  <c r="F2837" i="1"/>
  <c r="E2837" i="1"/>
  <c r="D2837" i="1"/>
  <c r="F2836" i="1"/>
  <c r="E2836" i="1"/>
  <c r="D2836" i="1"/>
  <c r="F2835" i="1"/>
  <c r="E2835" i="1"/>
  <c r="D2835" i="1"/>
  <c r="F2834" i="1"/>
  <c r="E2834" i="1"/>
  <c r="D2834" i="1"/>
  <c r="F2833" i="1"/>
  <c r="E2833" i="1"/>
  <c r="D2833" i="1"/>
  <c r="F2832" i="1"/>
  <c r="E2832" i="1"/>
  <c r="D2832" i="1"/>
  <c r="F2831" i="1"/>
  <c r="E2831" i="1"/>
  <c r="D2831" i="1"/>
  <c r="F2830" i="1"/>
  <c r="E2830" i="1"/>
  <c r="D2830" i="1"/>
  <c r="F2829" i="1"/>
  <c r="E2829" i="1"/>
  <c r="D2829" i="1"/>
  <c r="F2828" i="1"/>
  <c r="E2828" i="1"/>
  <c r="D2828" i="1"/>
  <c r="F2827" i="1"/>
  <c r="E2827" i="1"/>
  <c r="D2827" i="1"/>
  <c r="F2826" i="1"/>
  <c r="E2826" i="1"/>
  <c r="D2826" i="1"/>
  <c r="F2825" i="1"/>
  <c r="E2825" i="1"/>
  <c r="D2825" i="1"/>
  <c r="F2824" i="1"/>
  <c r="E2824" i="1"/>
  <c r="D2824" i="1"/>
  <c r="F2823" i="1"/>
  <c r="E2823" i="1"/>
  <c r="D2823" i="1"/>
  <c r="F2822" i="1"/>
  <c r="E2822" i="1"/>
  <c r="D2822" i="1"/>
  <c r="F2821" i="1"/>
  <c r="E2821" i="1"/>
  <c r="D2821" i="1"/>
  <c r="F2820" i="1"/>
  <c r="E2820" i="1"/>
  <c r="D2820" i="1"/>
  <c r="F2819" i="1"/>
  <c r="E2819" i="1"/>
  <c r="D2819" i="1"/>
  <c r="F2818" i="1"/>
  <c r="E2818" i="1"/>
  <c r="D2818" i="1"/>
  <c r="F2817" i="1"/>
  <c r="E2817" i="1"/>
  <c r="D2817" i="1"/>
  <c r="F2816" i="1"/>
  <c r="E2816" i="1"/>
  <c r="D2816" i="1"/>
  <c r="F2815" i="1"/>
  <c r="E2815" i="1"/>
  <c r="D2815" i="1"/>
  <c r="F2814" i="1"/>
  <c r="E2814" i="1"/>
  <c r="D2814" i="1"/>
  <c r="F2813" i="1"/>
  <c r="E2813" i="1"/>
  <c r="D2813" i="1"/>
  <c r="F2812" i="1"/>
  <c r="E2812" i="1"/>
  <c r="D2812" i="1"/>
  <c r="F2811" i="1"/>
  <c r="E2811" i="1"/>
  <c r="D2811" i="1"/>
  <c r="F2810" i="1"/>
  <c r="E2810" i="1"/>
  <c r="D2810" i="1"/>
  <c r="F2809" i="1"/>
  <c r="E2809" i="1"/>
  <c r="D2809" i="1"/>
  <c r="F2808" i="1"/>
  <c r="E2808" i="1"/>
  <c r="D2808" i="1"/>
  <c r="F2807" i="1"/>
  <c r="E2807" i="1"/>
  <c r="D2807" i="1"/>
  <c r="F2806" i="1"/>
  <c r="E2806" i="1"/>
  <c r="D2806" i="1"/>
  <c r="F2805" i="1"/>
  <c r="E2805" i="1"/>
  <c r="D2805" i="1"/>
  <c r="F2804" i="1"/>
  <c r="E2804" i="1"/>
  <c r="D2804" i="1"/>
  <c r="F2803" i="1"/>
  <c r="E2803" i="1"/>
  <c r="D2803" i="1"/>
  <c r="F2802" i="1"/>
  <c r="E2802" i="1"/>
  <c r="D2802" i="1"/>
  <c r="F2801" i="1"/>
  <c r="E2801" i="1"/>
  <c r="D2801" i="1"/>
  <c r="F2800" i="1"/>
  <c r="E2800" i="1"/>
  <c r="D2800" i="1"/>
  <c r="F2799" i="1"/>
  <c r="E2799" i="1"/>
  <c r="D2799" i="1"/>
  <c r="F2798" i="1"/>
  <c r="E2798" i="1"/>
  <c r="D2798" i="1"/>
  <c r="F2797" i="1"/>
  <c r="E2797" i="1"/>
  <c r="D2797" i="1"/>
  <c r="F2796" i="1"/>
  <c r="E2796" i="1"/>
  <c r="D2796" i="1"/>
  <c r="F2795" i="1"/>
  <c r="E2795" i="1"/>
  <c r="D2795" i="1"/>
  <c r="F2794" i="1"/>
  <c r="E2794" i="1"/>
  <c r="D2794" i="1"/>
  <c r="F2793" i="1"/>
  <c r="E2793" i="1"/>
  <c r="D2793" i="1"/>
  <c r="F2792" i="1"/>
  <c r="E2792" i="1"/>
  <c r="D2792" i="1"/>
  <c r="F2791" i="1"/>
  <c r="E2791" i="1"/>
  <c r="D2791" i="1"/>
  <c r="F2790" i="1"/>
  <c r="E2790" i="1"/>
  <c r="D2790" i="1"/>
  <c r="F2789" i="1"/>
  <c r="E2789" i="1"/>
  <c r="D2789" i="1"/>
  <c r="F2788" i="1"/>
  <c r="E2788" i="1"/>
  <c r="D2788" i="1"/>
  <c r="F2787" i="1"/>
  <c r="E2787" i="1"/>
  <c r="D2787" i="1"/>
  <c r="F2786" i="1"/>
  <c r="E2786" i="1"/>
  <c r="D2786" i="1"/>
  <c r="F2785" i="1"/>
  <c r="E2785" i="1"/>
  <c r="D2785" i="1"/>
  <c r="F2784" i="1"/>
  <c r="E2784" i="1"/>
  <c r="D2784" i="1"/>
  <c r="F2783" i="1"/>
  <c r="E2783" i="1"/>
  <c r="D2783" i="1"/>
  <c r="F2782" i="1"/>
  <c r="E2782" i="1"/>
  <c r="D2782" i="1"/>
  <c r="F2781" i="1"/>
  <c r="E2781" i="1"/>
  <c r="D2781" i="1"/>
  <c r="F2780" i="1"/>
  <c r="E2780" i="1"/>
  <c r="D2780" i="1"/>
  <c r="F2779" i="1"/>
  <c r="E2779" i="1"/>
  <c r="D2779" i="1"/>
  <c r="F2778" i="1"/>
  <c r="E2778" i="1"/>
  <c r="D2778" i="1"/>
  <c r="F2777" i="1"/>
  <c r="E2777" i="1"/>
  <c r="D2777" i="1"/>
  <c r="F2776" i="1"/>
  <c r="E2776" i="1"/>
  <c r="D2776" i="1"/>
  <c r="F2775" i="1"/>
  <c r="E2775" i="1"/>
  <c r="D2775" i="1"/>
  <c r="F2774" i="1"/>
  <c r="E2774" i="1"/>
  <c r="D2774" i="1"/>
  <c r="F2773" i="1"/>
  <c r="E2773" i="1"/>
  <c r="D2773" i="1"/>
  <c r="F2772" i="1"/>
  <c r="E2772" i="1"/>
  <c r="D2772" i="1"/>
  <c r="F2771" i="1"/>
  <c r="E2771" i="1"/>
  <c r="D2771" i="1"/>
  <c r="F2770" i="1"/>
  <c r="E2770" i="1"/>
  <c r="D2770" i="1"/>
  <c r="F2769" i="1"/>
  <c r="E2769" i="1"/>
  <c r="D2769" i="1"/>
  <c r="F2768" i="1"/>
  <c r="E2768" i="1"/>
  <c r="D2768" i="1"/>
  <c r="F2767" i="1"/>
  <c r="E2767" i="1"/>
  <c r="D2767" i="1"/>
  <c r="F2766" i="1"/>
  <c r="E2766" i="1"/>
  <c r="D2766" i="1"/>
  <c r="F2765" i="1"/>
  <c r="E2765" i="1"/>
  <c r="D2765" i="1"/>
  <c r="F2764" i="1"/>
  <c r="E2764" i="1"/>
  <c r="D2764" i="1"/>
  <c r="F2763" i="1"/>
  <c r="E2763" i="1"/>
  <c r="D2763" i="1"/>
  <c r="F2762" i="1"/>
  <c r="E2762" i="1"/>
  <c r="D2762" i="1"/>
  <c r="F2761" i="1"/>
  <c r="E2761" i="1"/>
  <c r="D2761" i="1"/>
  <c r="F2760" i="1"/>
  <c r="E2760" i="1"/>
  <c r="D2760" i="1"/>
  <c r="F2759" i="1"/>
  <c r="E2759" i="1"/>
  <c r="D2759" i="1"/>
  <c r="F2758" i="1"/>
  <c r="E2758" i="1"/>
  <c r="D2758" i="1"/>
  <c r="F2757" i="1"/>
  <c r="E2757" i="1"/>
  <c r="D2757" i="1"/>
  <c r="F2756" i="1"/>
  <c r="E2756" i="1"/>
  <c r="D2756" i="1"/>
  <c r="F2755" i="1"/>
  <c r="E2755" i="1"/>
  <c r="D2755" i="1"/>
  <c r="F2754" i="1"/>
  <c r="E2754" i="1"/>
  <c r="D2754" i="1"/>
  <c r="F2753" i="1"/>
  <c r="E2753" i="1"/>
  <c r="D2753" i="1"/>
  <c r="F2752" i="1"/>
  <c r="E2752" i="1"/>
  <c r="D2752" i="1"/>
  <c r="F2751" i="1"/>
  <c r="E2751" i="1"/>
  <c r="D2751" i="1"/>
  <c r="F2750" i="1"/>
  <c r="E2750" i="1"/>
  <c r="D2750" i="1"/>
  <c r="F2749" i="1"/>
  <c r="E2749" i="1"/>
  <c r="D2749" i="1"/>
  <c r="F2748" i="1"/>
  <c r="E2748" i="1"/>
  <c r="D2748" i="1"/>
  <c r="F2747" i="1"/>
  <c r="E2747" i="1"/>
  <c r="D2747" i="1"/>
  <c r="F2746" i="1"/>
  <c r="E2746" i="1"/>
  <c r="D2746" i="1"/>
  <c r="F2745" i="1"/>
  <c r="E2745" i="1"/>
  <c r="D2745" i="1"/>
  <c r="F2744" i="1"/>
  <c r="E2744" i="1"/>
  <c r="D2744" i="1"/>
  <c r="F2743" i="1"/>
  <c r="E2743" i="1"/>
  <c r="D2743" i="1"/>
  <c r="F2742" i="1"/>
  <c r="E2742" i="1"/>
  <c r="D2742" i="1"/>
  <c r="F2741" i="1"/>
  <c r="E2741" i="1"/>
  <c r="D2741" i="1"/>
  <c r="F2740" i="1"/>
  <c r="E2740" i="1"/>
  <c r="D2740" i="1"/>
  <c r="F2739" i="1"/>
  <c r="E2739" i="1"/>
  <c r="D2739" i="1"/>
  <c r="F2738" i="1"/>
  <c r="E2738" i="1"/>
  <c r="D2738" i="1"/>
  <c r="F2737" i="1"/>
  <c r="E2737" i="1"/>
  <c r="D2737" i="1"/>
  <c r="F2736" i="1"/>
  <c r="E2736" i="1"/>
  <c r="D2736" i="1"/>
  <c r="F2735" i="1"/>
  <c r="E2735" i="1"/>
  <c r="D2735" i="1"/>
  <c r="F2734" i="1"/>
  <c r="E2734" i="1"/>
  <c r="D2734" i="1"/>
  <c r="F2733" i="1"/>
  <c r="E2733" i="1"/>
  <c r="D2733" i="1"/>
  <c r="F2732" i="1"/>
  <c r="E2732" i="1"/>
  <c r="D2732" i="1"/>
  <c r="F2731" i="1"/>
  <c r="E2731" i="1"/>
  <c r="D2731" i="1"/>
  <c r="F2730" i="1"/>
  <c r="E2730" i="1"/>
  <c r="D2730" i="1"/>
  <c r="F2729" i="1"/>
  <c r="E2729" i="1"/>
  <c r="D2729" i="1"/>
  <c r="F2728" i="1"/>
  <c r="E2728" i="1"/>
  <c r="D2728" i="1"/>
  <c r="F2727" i="1"/>
  <c r="E2727" i="1"/>
  <c r="D2727" i="1"/>
  <c r="F2726" i="1"/>
  <c r="E2726" i="1"/>
  <c r="D2726" i="1"/>
  <c r="F2725" i="1"/>
  <c r="E2725" i="1"/>
  <c r="D2725" i="1"/>
  <c r="F2724" i="1"/>
  <c r="E2724" i="1"/>
  <c r="D2724" i="1"/>
  <c r="F2723" i="1"/>
  <c r="E2723" i="1"/>
  <c r="D2723" i="1"/>
  <c r="F2722" i="1"/>
  <c r="E2722" i="1"/>
  <c r="D2722" i="1"/>
  <c r="F2721" i="1"/>
  <c r="E2721" i="1"/>
  <c r="D2721" i="1"/>
  <c r="F2720" i="1"/>
  <c r="E2720" i="1"/>
  <c r="D2720" i="1"/>
  <c r="F2719" i="1"/>
  <c r="E2719" i="1"/>
  <c r="D2719" i="1"/>
  <c r="F2718" i="1"/>
  <c r="E2718" i="1"/>
  <c r="D2718" i="1"/>
  <c r="F2717" i="1"/>
  <c r="E2717" i="1"/>
  <c r="D2717" i="1"/>
  <c r="F2716" i="1"/>
  <c r="E2716" i="1"/>
  <c r="D2716" i="1"/>
  <c r="F2715" i="1"/>
  <c r="E2715" i="1"/>
  <c r="D2715" i="1"/>
  <c r="F2714" i="1"/>
  <c r="E2714" i="1"/>
  <c r="D2714" i="1"/>
  <c r="F2713" i="1"/>
  <c r="E2713" i="1"/>
  <c r="D2713" i="1"/>
  <c r="F2712" i="1"/>
  <c r="E2712" i="1"/>
  <c r="D2712" i="1"/>
  <c r="F2711" i="1"/>
  <c r="E2711" i="1"/>
  <c r="D2711" i="1"/>
  <c r="F2710" i="1"/>
  <c r="E2710" i="1"/>
  <c r="D2710" i="1"/>
  <c r="F2709" i="1"/>
  <c r="E2709" i="1"/>
  <c r="D2709" i="1"/>
  <c r="F2708" i="1"/>
  <c r="E2708" i="1"/>
  <c r="D2708" i="1"/>
  <c r="F2707" i="1"/>
  <c r="E2707" i="1"/>
  <c r="D2707" i="1"/>
  <c r="F2706" i="1"/>
  <c r="E2706" i="1"/>
  <c r="D2706" i="1"/>
  <c r="F2705" i="1"/>
  <c r="E2705" i="1"/>
  <c r="D2705" i="1"/>
  <c r="F2704" i="1"/>
  <c r="E2704" i="1"/>
  <c r="D2704" i="1"/>
  <c r="F2703" i="1"/>
  <c r="E2703" i="1"/>
  <c r="D2703" i="1"/>
  <c r="F2702" i="1"/>
  <c r="E2702" i="1"/>
  <c r="D2702" i="1"/>
  <c r="F2701" i="1"/>
  <c r="E2701" i="1"/>
  <c r="D2701" i="1"/>
  <c r="F2700" i="1"/>
  <c r="E2700" i="1"/>
  <c r="D2700" i="1"/>
  <c r="F2699" i="1"/>
  <c r="E2699" i="1"/>
  <c r="D2699" i="1"/>
  <c r="F2698" i="1"/>
  <c r="E2698" i="1"/>
  <c r="D2698" i="1"/>
  <c r="F2697" i="1"/>
  <c r="E2697" i="1"/>
  <c r="D2697" i="1"/>
  <c r="F2696" i="1"/>
  <c r="E2696" i="1"/>
  <c r="D2696" i="1"/>
  <c r="F2695" i="1"/>
  <c r="E2695" i="1"/>
  <c r="D2695" i="1"/>
  <c r="F2694" i="1"/>
  <c r="E2694" i="1"/>
  <c r="D2694" i="1"/>
  <c r="F2693" i="1"/>
  <c r="E2693" i="1"/>
  <c r="D2693" i="1"/>
  <c r="F2692" i="1"/>
  <c r="E2692" i="1"/>
  <c r="D2692" i="1"/>
  <c r="F2691" i="1"/>
  <c r="E2691" i="1"/>
  <c r="D2691" i="1"/>
  <c r="F2690" i="1"/>
  <c r="E2690" i="1"/>
  <c r="D2690" i="1"/>
  <c r="F2689" i="1"/>
  <c r="E2689" i="1"/>
  <c r="D2689" i="1"/>
  <c r="F2688" i="1"/>
  <c r="E2688" i="1"/>
  <c r="D2688" i="1"/>
  <c r="F2687" i="1"/>
  <c r="E2687" i="1"/>
  <c r="D2687" i="1"/>
  <c r="F2686" i="1"/>
  <c r="E2686" i="1"/>
  <c r="D2686" i="1"/>
  <c r="F2685" i="1"/>
  <c r="E2685" i="1"/>
  <c r="D2685" i="1"/>
  <c r="F2684" i="1"/>
  <c r="E2684" i="1"/>
  <c r="D2684" i="1"/>
  <c r="F2683" i="1"/>
  <c r="E2683" i="1"/>
  <c r="D2683" i="1"/>
  <c r="F2682" i="1"/>
  <c r="E2682" i="1"/>
  <c r="D2682" i="1"/>
  <c r="F2681" i="1"/>
  <c r="E2681" i="1"/>
  <c r="D2681" i="1"/>
  <c r="F2680" i="1"/>
  <c r="E2680" i="1"/>
  <c r="D2680" i="1"/>
  <c r="F2679" i="1"/>
  <c r="E2679" i="1"/>
  <c r="D2679" i="1"/>
  <c r="F2678" i="1"/>
  <c r="E2678" i="1"/>
  <c r="D2678" i="1"/>
  <c r="F2677" i="1"/>
  <c r="E2677" i="1"/>
  <c r="D2677" i="1"/>
  <c r="F2676" i="1"/>
  <c r="E2676" i="1"/>
  <c r="D2676" i="1"/>
  <c r="F2675" i="1"/>
  <c r="E2675" i="1"/>
  <c r="D2675" i="1"/>
  <c r="F2674" i="1"/>
  <c r="E2674" i="1"/>
  <c r="D2674" i="1"/>
  <c r="F2673" i="1"/>
  <c r="E2673" i="1"/>
  <c r="D2673" i="1"/>
  <c r="F2672" i="1"/>
  <c r="E2672" i="1"/>
  <c r="D2672" i="1"/>
  <c r="F2671" i="1"/>
  <c r="E2671" i="1"/>
  <c r="D2671" i="1"/>
  <c r="F2670" i="1"/>
  <c r="E2670" i="1"/>
  <c r="D2670" i="1"/>
  <c r="F2669" i="1"/>
  <c r="E2669" i="1"/>
  <c r="D2669" i="1"/>
  <c r="F2668" i="1"/>
  <c r="E2668" i="1"/>
  <c r="D2668" i="1"/>
  <c r="F2667" i="1"/>
  <c r="E2667" i="1"/>
  <c r="D2667" i="1"/>
  <c r="F2666" i="1"/>
  <c r="E2666" i="1"/>
  <c r="D2666" i="1"/>
  <c r="F2665" i="1"/>
  <c r="E2665" i="1"/>
  <c r="D2665" i="1"/>
  <c r="F2664" i="1"/>
  <c r="E2664" i="1"/>
  <c r="D2664" i="1"/>
  <c r="F2663" i="1"/>
  <c r="E2663" i="1"/>
  <c r="D2663" i="1"/>
  <c r="F2662" i="1"/>
  <c r="E2662" i="1"/>
  <c r="D2662" i="1"/>
  <c r="F2661" i="1"/>
  <c r="E2661" i="1"/>
  <c r="D2661" i="1"/>
  <c r="F2660" i="1"/>
  <c r="E2660" i="1"/>
  <c r="D2660" i="1"/>
  <c r="F2659" i="1"/>
  <c r="E2659" i="1"/>
  <c r="D2659" i="1"/>
  <c r="F2658" i="1"/>
  <c r="E2658" i="1"/>
  <c r="D2658" i="1"/>
  <c r="F2657" i="1"/>
  <c r="E2657" i="1"/>
  <c r="D2657" i="1"/>
  <c r="F2656" i="1"/>
  <c r="E2656" i="1"/>
  <c r="D2656" i="1"/>
  <c r="F2655" i="1"/>
  <c r="E2655" i="1"/>
  <c r="D2655" i="1"/>
  <c r="F2654" i="1"/>
  <c r="E2654" i="1"/>
  <c r="D2654" i="1"/>
  <c r="F2653" i="1"/>
  <c r="E2653" i="1"/>
  <c r="D2653" i="1"/>
  <c r="F2652" i="1"/>
  <c r="E2652" i="1"/>
  <c r="D2652" i="1"/>
  <c r="F2651" i="1"/>
  <c r="E2651" i="1"/>
  <c r="D2651" i="1"/>
  <c r="F2650" i="1"/>
  <c r="E2650" i="1"/>
  <c r="D2650" i="1"/>
  <c r="F2649" i="1"/>
  <c r="E2649" i="1"/>
  <c r="D2649" i="1"/>
  <c r="F2648" i="1"/>
  <c r="E2648" i="1"/>
  <c r="D2648" i="1"/>
  <c r="F2647" i="1"/>
  <c r="E2647" i="1"/>
  <c r="D2647" i="1"/>
  <c r="F2646" i="1"/>
  <c r="E2646" i="1"/>
  <c r="D2646" i="1"/>
  <c r="F2645" i="1"/>
  <c r="E2645" i="1"/>
  <c r="D2645" i="1"/>
  <c r="F2644" i="1"/>
  <c r="E2644" i="1"/>
  <c r="D2644" i="1"/>
  <c r="F2643" i="1"/>
  <c r="E2643" i="1"/>
  <c r="D2643" i="1"/>
  <c r="F2642" i="1"/>
  <c r="E2642" i="1"/>
  <c r="D2642" i="1"/>
  <c r="F2641" i="1"/>
  <c r="E2641" i="1"/>
  <c r="D2641" i="1"/>
  <c r="F2640" i="1"/>
  <c r="E2640" i="1"/>
  <c r="D2640" i="1"/>
  <c r="F2639" i="1"/>
  <c r="E2639" i="1"/>
  <c r="D2639" i="1"/>
  <c r="F2638" i="1"/>
  <c r="E2638" i="1"/>
  <c r="D2638" i="1"/>
  <c r="F2637" i="1"/>
  <c r="E2637" i="1"/>
  <c r="D2637" i="1"/>
  <c r="F2636" i="1"/>
  <c r="E2636" i="1"/>
  <c r="D2636" i="1"/>
  <c r="F2635" i="1"/>
  <c r="E2635" i="1"/>
  <c r="D2635" i="1"/>
  <c r="F2634" i="1"/>
  <c r="E2634" i="1"/>
  <c r="D2634" i="1"/>
  <c r="F2633" i="1"/>
  <c r="E2633" i="1"/>
  <c r="D2633" i="1"/>
  <c r="F2632" i="1"/>
  <c r="E2632" i="1"/>
  <c r="D2632" i="1"/>
  <c r="F2631" i="1"/>
  <c r="E2631" i="1"/>
  <c r="D2631" i="1"/>
  <c r="F2630" i="1"/>
  <c r="E2630" i="1"/>
  <c r="D2630" i="1"/>
  <c r="F2629" i="1"/>
  <c r="E2629" i="1"/>
  <c r="D2629" i="1"/>
  <c r="F2628" i="1"/>
  <c r="E2628" i="1"/>
  <c r="D2628" i="1"/>
  <c r="F2627" i="1"/>
  <c r="E2627" i="1"/>
  <c r="D2627" i="1"/>
  <c r="F2626" i="1"/>
  <c r="E2626" i="1"/>
  <c r="D2626" i="1"/>
  <c r="F2625" i="1"/>
  <c r="E2625" i="1"/>
  <c r="D2625" i="1"/>
  <c r="F2624" i="1"/>
  <c r="E2624" i="1"/>
  <c r="D2624" i="1"/>
  <c r="F2623" i="1"/>
  <c r="E2623" i="1"/>
  <c r="D2623" i="1"/>
  <c r="F2622" i="1"/>
  <c r="E2622" i="1"/>
  <c r="D2622" i="1"/>
  <c r="F2621" i="1"/>
  <c r="E2621" i="1"/>
  <c r="D2621" i="1"/>
  <c r="F2620" i="1"/>
  <c r="E2620" i="1"/>
  <c r="D2620" i="1"/>
  <c r="F2619" i="1"/>
  <c r="E2619" i="1"/>
  <c r="D2619" i="1"/>
  <c r="F2618" i="1"/>
  <c r="E2618" i="1"/>
  <c r="D2618" i="1"/>
  <c r="F2617" i="1"/>
  <c r="E2617" i="1"/>
  <c r="D2617" i="1"/>
  <c r="F2616" i="1"/>
  <c r="E2616" i="1"/>
  <c r="D2616" i="1"/>
  <c r="F2615" i="1"/>
  <c r="E2615" i="1"/>
  <c r="D2615" i="1"/>
  <c r="F2614" i="1"/>
  <c r="E2614" i="1"/>
  <c r="D2614" i="1"/>
  <c r="F2613" i="1"/>
  <c r="E2613" i="1"/>
  <c r="D2613" i="1"/>
  <c r="F2612" i="1"/>
  <c r="E2612" i="1"/>
  <c r="D2612" i="1"/>
  <c r="F2611" i="1"/>
  <c r="E2611" i="1"/>
  <c r="D2611" i="1"/>
  <c r="F2610" i="1"/>
  <c r="E2610" i="1"/>
  <c r="D2610" i="1"/>
  <c r="F2609" i="1"/>
  <c r="E2609" i="1"/>
  <c r="D2609" i="1"/>
  <c r="F2608" i="1"/>
  <c r="E2608" i="1"/>
  <c r="D2608" i="1"/>
  <c r="F2607" i="1"/>
  <c r="E2607" i="1"/>
  <c r="D2607" i="1"/>
  <c r="F2606" i="1"/>
  <c r="E2606" i="1"/>
  <c r="D2606" i="1"/>
  <c r="F2605" i="1"/>
  <c r="E2605" i="1"/>
  <c r="D2605" i="1"/>
  <c r="F2604" i="1"/>
  <c r="E2604" i="1"/>
  <c r="D2604" i="1"/>
  <c r="F2603" i="1"/>
  <c r="E2603" i="1"/>
  <c r="D2603" i="1"/>
  <c r="F2602" i="1"/>
  <c r="E2602" i="1"/>
  <c r="D2602" i="1"/>
  <c r="F2601" i="1"/>
  <c r="E2601" i="1"/>
  <c r="D2601" i="1"/>
  <c r="F2600" i="1"/>
  <c r="E2600" i="1"/>
  <c r="D2600" i="1"/>
  <c r="F2599" i="1"/>
  <c r="E2599" i="1"/>
  <c r="D2599" i="1"/>
  <c r="F2598" i="1"/>
  <c r="E2598" i="1"/>
  <c r="D2598" i="1"/>
  <c r="F2597" i="1"/>
  <c r="E2597" i="1"/>
  <c r="D2597" i="1"/>
  <c r="F2596" i="1"/>
  <c r="E2596" i="1"/>
  <c r="D2596" i="1"/>
  <c r="F2595" i="1"/>
  <c r="E2595" i="1"/>
  <c r="D2595" i="1"/>
  <c r="F2594" i="1"/>
  <c r="E2594" i="1"/>
  <c r="D2594" i="1"/>
  <c r="F2593" i="1"/>
  <c r="E2593" i="1"/>
  <c r="D2593" i="1"/>
  <c r="F2592" i="1"/>
  <c r="E2592" i="1"/>
  <c r="D2592" i="1"/>
  <c r="F2591" i="1"/>
  <c r="E2591" i="1"/>
  <c r="D2591" i="1"/>
  <c r="F2590" i="1"/>
  <c r="E2590" i="1"/>
  <c r="D2590" i="1"/>
  <c r="F2589" i="1"/>
  <c r="E2589" i="1"/>
  <c r="D2589" i="1"/>
  <c r="F2588" i="1"/>
  <c r="E2588" i="1"/>
  <c r="D2588" i="1"/>
  <c r="F2587" i="1"/>
  <c r="E2587" i="1"/>
  <c r="D2587" i="1"/>
  <c r="F2586" i="1"/>
  <c r="E2586" i="1"/>
  <c r="D2586" i="1"/>
  <c r="F2585" i="1"/>
  <c r="E2585" i="1"/>
  <c r="D2585" i="1"/>
  <c r="F2584" i="1"/>
  <c r="E2584" i="1"/>
  <c r="D2584" i="1"/>
  <c r="F2583" i="1"/>
  <c r="E2583" i="1"/>
  <c r="D2583" i="1"/>
  <c r="F2582" i="1"/>
  <c r="E2582" i="1"/>
  <c r="D2582" i="1"/>
  <c r="F2581" i="1"/>
  <c r="E2581" i="1"/>
  <c r="D2581" i="1"/>
  <c r="F2580" i="1"/>
  <c r="E2580" i="1"/>
  <c r="D2580" i="1"/>
  <c r="F2579" i="1"/>
  <c r="E2579" i="1"/>
  <c r="D2579" i="1"/>
  <c r="F2578" i="1"/>
  <c r="E2578" i="1"/>
  <c r="D2578" i="1"/>
  <c r="F2577" i="1"/>
  <c r="E2577" i="1"/>
  <c r="D2577" i="1"/>
  <c r="F2576" i="1"/>
  <c r="E2576" i="1"/>
  <c r="D2576" i="1"/>
  <c r="F2575" i="1"/>
  <c r="E2575" i="1"/>
  <c r="D2575" i="1"/>
  <c r="F2574" i="1"/>
  <c r="E2574" i="1"/>
  <c r="D2574" i="1"/>
  <c r="F2573" i="1"/>
  <c r="E2573" i="1"/>
  <c r="D2573" i="1"/>
  <c r="F2572" i="1"/>
  <c r="E2572" i="1"/>
  <c r="D2572" i="1"/>
  <c r="F2571" i="1"/>
  <c r="E2571" i="1"/>
  <c r="D2571" i="1"/>
  <c r="F2570" i="1"/>
  <c r="E2570" i="1"/>
  <c r="D2570" i="1"/>
  <c r="F2569" i="1"/>
  <c r="E2569" i="1"/>
  <c r="D2569" i="1"/>
  <c r="F2568" i="1"/>
  <c r="E2568" i="1"/>
  <c r="D2568" i="1"/>
  <c r="F2567" i="1"/>
  <c r="E2567" i="1"/>
  <c r="D2567" i="1"/>
  <c r="F2566" i="1"/>
  <c r="E2566" i="1"/>
  <c r="D2566" i="1"/>
  <c r="F2565" i="1"/>
  <c r="E2565" i="1"/>
  <c r="D2565" i="1"/>
  <c r="F2564" i="1"/>
  <c r="E2564" i="1"/>
  <c r="D2564" i="1"/>
  <c r="F2563" i="1"/>
  <c r="E2563" i="1"/>
  <c r="D2563" i="1"/>
  <c r="F2562" i="1"/>
  <c r="E2562" i="1"/>
  <c r="D2562" i="1"/>
  <c r="F2561" i="1"/>
  <c r="E2561" i="1"/>
  <c r="D2561" i="1"/>
  <c r="F2560" i="1"/>
  <c r="E2560" i="1"/>
  <c r="D2560" i="1"/>
  <c r="F2559" i="1"/>
  <c r="E2559" i="1"/>
  <c r="D2559" i="1"/>
  <c r="F2558" i="1"/>
  <c r="E2558" i="1"/>
  <c r="D2558" i="1"/>
  <c r="F2557" i="1"/>
  <c r="E2557" i="1"/>
  <c r="D2557" i="1"/>
  <c r="F2556" i="1"/>
  <c r="E2556" i="1"/>
  <c r="D2556" i="1"/>
  <c r="F2555" i="1"/>
  <c r="E2555" i="1"/>
  <c r="D2555" i="1"/>
  <c r="F2554" i="1"/>
  <c r="E2554" i="1"/>
  <c r="D2554" i="1"/>
  <c r="F2553" i="1"/>
  <c r="E2553" i="1"/>
  <c r="D2553" i="1"/>
  <c r="F2552" i="1"/>
  <c r="E2552" i="1"/>
  <c r="D2552" i="1"/>
  <c r="F2551" i="1"/>
  <c r="E2551" i="1"/>
  <c r="D2551" i="1"/>
  <c r="F2550" i="1"/>
  <c r="E2550" i="1"/>
  <c r="D2550" i="1"/>
  <c r="F2549" i="1"/>
  <c r="E2549" i="1"/>
  <c r="D2549" i="1"/>
  <c r="F2548" i="1"/>
  <c r="E2548" i="1"/>
  <c r="D2548" i="1"/>
  <c r="F2547" i="1"/>
  <c r="E2547" i="1"/>
  <c r="D2547" i="1"/>
  <c r="F2546" i="1"/>
  <c r="E2546" i="1"/>
  <c r="D2546" i="1"/>
  <c r="F2545" i="1"/>
  <c r="E2545" i="1"/>
  <c r="D2545" i="1"/>
  <c r="F2544" i="1"/>
  <c r="E2544" i="1"/>
  <c r="D2544" i="1"/>
  <c r="F2543" i="1"/>
  <c r="E2543" i="1"/>
  <c r="D2543" i="1"/>
  <c r="F2542" i="1"/>
  <c r="E2542" i="1"/>
  <c r="D2542" i="1"/>
  <c r="F2541" i="1"/>
  <c r="E2541" i="1"/>
  <c r="D2541" i="1"/>
  <c r="F2540" i="1"/>
  <c r="E2540" i="1"/>
  <c r="D2540" i="1"/>
  <c r="F2539" i="1"/>
  <c r="E2539" i="1"/>
  <c r="D2539" i="1"/>
  <c r="F2538" i="1"/>
  <c r="E2538" i="1"/>
  <c r="D2538" i="1"/>
  <c r="F2537" i="1"/>
  <c r="E2537" i="1"/>
  <c r="D2537" i="1"/>
  <c r="F2536" i="1"/>
  <c r="E2536" i="1"/>
  <c r="D2536" i="1"/>
  <c r="F2535" i="1"/>
  <c r="E2535" i="1"/>
  <c r="D2535" i="1"/>
  <c r="F2534" i="1"/>
  <c r="E2534" i="1"/>
  <c r="D2534" i="1"/>
  <c r="F2533" i="1"/>
  <c r="E2533" i="1"/>
  <c r="D2533" i="1"/>
  <c r="F2532" i="1"/>
  <c r="E2532" i="1"/>
  <c r="D2532" i="1"/>
  <c r="F2531" i="1"/>
  <c r="E2531" i="1"/>
  <c r="D2531" i="1"/>
  <c r="F2530" i="1"/>
  <c r="E2530" i="1"/>
  <c r="D2530" i="1"/>
  <c r="F2529" i="1"/>
  <c r="E2529" i="1"/>
  <c r="D2529" i="1"/>
  <c r="F2528" i="1"/>
  <c r="E2528" i="1"/>
  <c r="D2528" i="1"/>
  <c r="F2527" i="1"/>
  <c r="E2527" i="1"/>
  <c r="D2527" i="1"/>
  <c r="F2526" i="1"/>
  <c r="E2526" i="1"/>
  <c r="D2526" i="1"/>
  <c r="F2525" i="1"/>
  <c r="E2525" i="1"/>
  <c r="D2525" i="1"/>
  <c r="F2524" i="1"/>
  <c r="E2524" i="1"/>
  <c r="D2524" i="1"/>
  <c r="F2523" i="1"/>
  <c r="E2523" i="1"/>
  <c r="D2523" i="1"/>
  <c r="F2522" i="1"/>
  <c r="E2522" i="1"/>
  <c r="D2522" i="1"/>
  <c r="F2521" i="1"/>
  <c r="E2521" i="1"/>
  <c r="D2521" i="1"/>
  <c r="F2520" i="1"/>
  <c r="E2520" i="1"/>
  <c r="D2520" i="1"/>
  <c r="F2519" i="1"/>
  <c r="E2519" i="1"/>
  <c r="D2519" i="1"/>
  <c r="F2518" i="1"/>
  <c r="E2518" i="1"/>
  <c r="D2518" i="1"/>
  <c r="F2517" i="1"/>
  <c r="E2517" i="1"/>
  <c r="D2517" i="1"/>
  <c r="F2516" i="1"/>
  <c r="E2516" i="1"/>
  <c r="D2516" i="1"/>
  <c r="F2515" i="1"/>
  <c r="E2515" i="1"/>
  <c r="D2515" i="1"/>
  <c r="F2514" i="1"/>
  <c r="E2514" i="1"/>
  <c r="D2514" i="1"/>
  <c r="F2513" i="1"/>
  <c r="E2513" i="1"/>
  <c r="D2513" i="1"/>
  <c r="F2512" i="1"/>
  <c r="E2512" i="1"/>
  <c r="D2512" i="1"/>
  <c r="F2511" i="1"/>
  <c r="E2511" i="1"/>
  <c r="D2511" i="1"/>
  <c r="F2510" i="1"/>
  <c r="E2510" i="1"/>
  <c r="D2510" i="1"/>
  <c r="F2509" i="1"/>
  <c r="E2509" i="1"/>
  <c r="D2509" i="1"/>
  <c r="F2508" i="1"/>
  <c r="E2508" i="1"/>
  <c r="D2508" i="1"/>
  <c r="F2507" i="1"/>
  <c r="E2507" i="1"/>
  <c r="D2507" i="1"/>
  <c r="F2506" i="1"/>
  <c r="E2506" i="1"/>
  <c r="D2506" i="1"/>
  <c r="F2505" i="1"/>
  <c r="E2505" i="1"/>
  <c r="D2505" i="1"/>
  <c r="F2504" i="1"/>
  <c r="E2504" i="1"/>
  <c r="D2504" i="1"/>
  <c r="F2503" i="1"/>
  <c r="E2503" i="1"/>
  <c r="D2503" i="1"/>
  <c r="F2502" i="1"/>
  <c r="E2502" i="1"/>
  <c r="D2502" i="1"/>
  <c r="F2501" i="1"/>
  <c r="E2501" i="1"/>
  <c r="D2501" i="1"/>
  <c r="F2500" i="1"/>
  <c r="E2500" i="1"/>
  <c r="D2500" i="1"/>
  <c r="F2499" i="1"/>
  <c r="E2499" i="1"/>
  <c r="D2499" i="1"/>
  <c r="F2498" i="1"/>
  <c r="E2498" i="1"/>
  <c r="D2498" i="1"/>
  <c r="F2497" i="1"/>
  <c r="E2497" i="1"/>
  <c r="D2497" i="1"/>
  <c r="F2496" i="1"/>
  <c r="E2496" i="1"/>
  <c r="D2496" i="1"/>
  <c r="F2495" i="1"/>
  <c r="E2495" i="1"/>
  <c r="D2495" i="1"/>
  <c r="F2494" i="1"/>
  <c r="E2494" i="1"/>
  <c r="D2494" i="1"/>
  <c r="F2493" i="1"/>
  <c r="E2493" i="1"/>
  <c r="D2493" i="1"/>
  <c r="F2492" i="1"/>
  <c r="E2492" i="1"/>
  <c r="D2492" i="1"/>
  <c r="F2491" i="1"/>
  <c r="E2491" i="1"/>
  <c r="D2491" i="1"/>
  <c r="F2490" i="1"/>
  <c r="E2490" i="1"/>
  <c r="D2490" i="1"/>
  <c r="F2489" i="1"/>
  <c r="E2489" i="1"/>
  <c r="D2489" i="1"/>
  <c r="F2488" i="1"/>
  <c r="E2488" i="1"/>
  <c r="D2488" i="1"/>
  <c r="F2487" i="1"/>
  <c r="E2487" i="1"/>
  <c r="D2487" i="1"/>
  <c r="F2486" i="1"/>
  <c r="E2486" i="1"/>
  <c r="D2486" i="1"/>
  <c r="F2485" i="1"/>
  <c r="E2485" i="1"/>
  <c r="D2485" i="1"/>
  <c r="F2484" i="1"/>
  <c r="E2484" i="1"/>
  <c r="D2484" i="1"/>
  <c r="F2483" i="1"/>
  <c r="E2483" i="1"/>
  <c r="D2483" i="1"/>
  <c r="F2482" i="1"/>
  <c r="E2482" i="1"/>
  <c r="D2482" i="1"/>
  <c r="F2481" i="1"/>
  <c r="E2481" i="1"/>
  <c r="D2481" i="1"/>
  <c r="F2480" i="1"/>
  <c r="E2480" i="1"/>
  <c r="D2480" i="1"/>
  <c r="F2479" i="1"/>
  <c r="E2479" i="1"/>
  <c r="D2479" i="1"/>
  <c r="F2478" i="1"/>
  <c r="E2478" i="1"/>
  <c r="D2478" i="1"/>
  <c r="F2477" i="1"/>
  <c r="E2477" i="1"/>
  <c r="D2477" i="1"/>
  <c r="F2476" i="1"/>
  <c r="E2476" i="1"/>
  <c r="D2476" i="1"/>
  <c r="F2475" i="1"/>
  <c r="E2475" i="1"/>
  <c r="D2475" i="1"/>
  <c r="F2474" i="1"/>
  <c r="E2474" i="1"/>
  <c r="D2474" i="1"/>
  <c r="F2473" i="1"/>
  <c r="E2473" i="1"/>
  <c r="D2473" i="1"/>
  <c r="F2472" i="1"/>
  <c r="E2472" i="1"/>
  <c r="D2472" i="1"/>
  <c r="F2471" i="1"/>
  <c r="E2471" i="1"/>
  <c r="D2471" i="1"/>
  <c r="F2470" i="1"/>
  <c r="E2470" i="1"/>
  <c r="D2470" i="1"/>
  <c r="F2469" i="1"/>
  <c r="E2469" i="1"/>
  <c r="D2469" i="1"/>
  <c r="F2468" i="1"/>
  <c r="E2468" i="1"/>
  <c r="D2468" i="1"/>
  <c r="F2467" i="1"/>
  <c r="E2467" i="1"/>
  <c r="D2467" i="1"/>
  <c r="F2466" i="1"/>
  <c r="E2466" i="1"/>
  <c r="D2466" i="1"/>
  <c r="F2465" i="1"/>
  <c r="E2465" i="1"/>
  <c r="D2465" i="1"/>
  <c r="F2464" i="1"/>
  <c r="E2464" i="1"/>
  <c r="D2464" i="1"/>
  <c r="F2463" i="1"/>
  <c r="E2463" i="1"/>
  <c r="D2463" i="1"/>
  <c r="F2462" i="1"/>
  <c r="E2462" i="1"/>
  <c r="D2462" i="1"/>
  <c r="F2461" i="1"/>
  <c r="E2461" i="1"/>
  <c r="D2461" i="1"/>
  <c r="F2460" i="1"/>
  <c r="E2460" i="1"/>
  <c r="D2460" i="1"/>
  <c r="F2459" i="1"/>
  <c r="E2459" i="1"/>
  <c r="D2459" i="1"/>
  <c r="F2458" i="1"/>
  <c r="E2458" i="1"/>
  <c r="D2458" i="1"/>
  <c r="F2457" i="1"/>
  <c r="E2457" i="1"/>
  <c r="D2457" i="1"/>
  <c r="F2456" i="1"/>
  <c r="E2456" i="1"/>
  <c r="D2456" i="1"/>
  <c r="F2455" i="1"/>
  <c r="E2455" i="1"/>
  <c r="D2455" i="1"/>
  <c r="F2454" i="1"/>
  <c r="E2454" i="1"/>
  <c r="D2454" i="1"/>
  <c r="F2453" i="1"/>
  <c r="E2453" i="1"/>
  <c r="D2453" i="1"/>
  <c r="F2452" i="1"/>
  <c r="E2452" i="1"/>
  <c r="D2452" i="1"/>
  <c r="F2451" i="1"/>
  <c r="E2451" i="1"/>
  <c r="D2451" i="1"/>
  <c r="F2450" i="1"/>
  <c r="E2450" i="1"/>
  <c r="D2450" i="1"/>
  <c r="F2449" i="1"/>
  <c r="E2449" i="1"/>
  <c r="D2449" i="1"/>
  <c r="F2448" i="1"/>
  <c r="E2448" i="1"/>
  <c r="D2448" i="1"/>
  <c r="F2447" i="1"/>
  <c r="E2447" i="1"/>
  <c r="D2447" i="1"/>
  <c r="F2446" i="1"/>
  <c r="E2446" i="1"/>
  <c r="D2446" i="1"/>
  <c r="F2445" i="1"/>
  <c r="E2445" i="1"/>
  <c r="D2445" i="1"/>
  <c r="F2444" i="1"/>
  <c r="E2444" i="1"/>
  <c r="D2444" i="1"/>
  <c r="F2443" i="1"/>
  <c r="E2443" i="1"/>
  <c r="D2443" i="1"/>
  <c r="F2442" i="1"/>
  <c r="E2442" i="1"/>
  <c r="D2442" i="1"/>
  <c r="F2441" i="1"/>
  <c r="E2441" i="1"/>
  <c r="D2441" i="1"/>
  <c r="F2440" i="1"/>
  <c r="E2440" i="1"/>
  <c r="D2440" i="1"/>
  <c r="F2439" i="1"/>
  <c r="E2439" i="1"/>
  <c r="D2439" i="1"/>
  <c r="F2438" i="1"/>
  <c r="E2438" i="1"/>
  <c r="D2438" i="1"/>
  <c r="F2437" i="1"/>
  <c r="E2437" i="1"/>
  <c r="D2437" i="1"/>
  <c r="F2436" i="1"/>
  <c r="E2436" i="1"/>
  <c r="D2436" i="1"/>
  <c r="F2435" i="1"/>
  <c r="E2435" i="1"/>
  <c r="D2435" i="1"/>
  <c r="F2434" i="1"/>
  <c r="E2434" i="1"/>
  <c r="D2434" i="1"/>
  <c r="F2433" i="1"/>
  <c r="E2433" i="1"/>
  <c r="D2433" i="1"/>
  <c r="F2432" i="1"/>
  <c r="E2432" i="1"/>
  <c r="D2432" i="1"/>
  <c r="F2431" i="1"/>
  <c r="E2431" i="1"/>
  <c r="D2431" i="1"/>
  <c r="F2430" i="1"/>
  <c r="E2430" i="1"/>
  <c r="D2430" i="1"/>
  <c r="F2429" i="1"/>
  <c r="E2429" i="1"/>
  <c r="D2429" i="1"/>
  <c r="F2428" i="1"/>
  <c r="E2428" i="1"/>
  <c r="D2428" i="1"/>
  <c r="F2427" i="1"/>
  <c r="E2427" i="1"/>
  <c r="D2427" i="1"/>
  <c r="F2426" i="1"/>
  <c r="E2426" i="1"/>
  <c r="D2426" i="1"/>
  <c r="F2425" i="1"/>
  <c r="E2425" i="1"/>
  <c r="D2425" i="1"/>
  <c r="F2424" i="1"/>
  <c r="E2424" i="1"/>
  <c r="D2424" i="1"/>
  <c r="F2423" i="1"/>
  <c r="E2423" i="1"/>
  <c r="D2423" i="1"/>
  <c r="F2422" i="1"/>
  <c r="E2422" i="1"/>
  <c r="D2422" i="1"/>
  <c r="F2421" i="1"/>
  <c r="E2421" i="1"/>
  <c r="D2421" i="1"/>
  <c r="F2420" i="1"/>
  <c r="E2420" i="1"/>
  <c r="D2420" i="1"/>
  <c r="F2419" i="1"/>
  <c r="E2419" i="1"/>
  <c r="D2419" i="1"/>
  <c r="F2418" i="1"/>
  <c r="E2418" i="1"/>
  <c r="D2418" i="1"/>
  <c r="F2417" i="1"/>
  <c r="E2417" i="1"/>
  <c r="D2417" i="1"/>
  <c r="F2416" i="1"/>
  <c r="E2416" i="1"/>
  <c r="D2416" i="1"/>
  <c r="F2415" i="1"/>
  <c r="E2415" i="1"/>
  <c r="D2415" i="1"/>
  <c r="F2414" i="1"/>
  <c r="E2414" i="1"/>
  <c r="D2414" i="1"/>
  <c r="F2413" i="1"/>
  <c r="E2413" i="1"/>
  <c r="D2413" i="1"/>
  <c r="F2412" i="1"/>
  <c r="E2412" i="1"/>
  <c r="D2412" i="1"/>
  <c r="F2411" i="1"/>
  <c r="E2411" i="1"/>
  <c r="D2411" i="1"/>
  <c r="F2410" i="1"/>
  <c r="E2410" i="1"/>
  <c r="D2410" i="1"/>
  <c r="F2409" i="1"/>
  <c r="E2409" i="1"/>
  <c r="D2409" i="1"/>
  <c r="F2408" i="1"/>
  <c r="E2408" i="1"/>
  <c r="D2408" i="1"/>
  <c r="F2407" i="1"/>
  <c r="E2407" i="1"/>
  <c r="D2407" i="1"/>
  <c r="F2406" i="1"/>
  <c r="E2406" i="1"/>
  <c r="D2406" i="1"/>
  <c r="F2405" i="1"/>
  <c r="E2405" i="1"/>
  <c r="D2405" i="1"/>
  <c r="F2404" i="1"/>
  <c r="E2404" i="1"/>
  <c r="D2404" i="1"/>
  <c r="F2403" i="1"/>
  <c r="E2403" i="1"/>
  <c r="D2403" i="1"/>
  <c r="F2402" i="1"/>
  <c r="E2402" i="1"/>
  <c r="D2402" i="1"/>
  <c r="F2401" i="1"/>
  <c r="E2401" i="1"/>
  <c r="D2401" i="1"/>
  <c r="F2400" i="1"/>
  <c r="E2400" i="1"/>
  <c r="D2400" i="1"/>
  <c r="F2399" i="1"/>
  <c r="E2399" i="1"/>
  <c r="D2399" i="1"/>
  <c r="F2398" i="1"/>
  <c r="E2398" i="1"/>
  <c r="D2398" i="1"/>
  <c r="F2397" i="1"/>
  <c r="E2397" i="1"/>
  <c r="D2397" i="1"/>
  <c r="F2396" i="1"/>
  <c r="E2396" i="1"/>
  <c r="D2396" i="1"/>
  <c r="F2395" i="1"/>
  <c r="E2395" i="1"/>
  <c r="D2395" i="1"/>
  <c r="F2394" i="1"/>
  <c r="E2394" i="1"/>
  <c r="D2394" i="1"/>
  <c r="F2393" i="1"/>
  <c r="E2393" i="1"/>
  <c r="D2393" i="1"/>
  <c r="F2392" i="1"/>
  <c r="E2392" i="1"/>
  <c r="D2392" i="1"/>
  <c r="F2391" i="1"/>
  <c r="E2391" i="1"/>
  <c r="D2391" i="1"/>
  <c r="F2390" i="1"/>
  <c r="E2390" i="1"/>
  <c r="D2390" i="1"/>
  <c r="F2389" i="1"/>
  <c r="E2389" i="1"/>
  <c r="D2389" i="1"/>
  <c r="F2388" i="1"/>
  <c r="E2388" i="1"/>
  <c r="D2388" i="1"/>
  <c r="F2387" i="1"/>
  <c r="E2387" i="1"/>
  <c r="D2387" i="1"/>
  <c r="F2386" i="1"/>
  <c r="E2386" i="1"/>
  <c r="D2386" i="1"/>
  <c r="F2385" i="1"/>
  <c r="E2385" i="1"/>
  <c r="D2385" i="1"/>
  <c r="F2384" i="1"/>
  <c r="E2384" i="1"/>
  <c r="D2384" i="1"/>
  <c r="F2383" i="1"/>
  <c r="E2383" i="1"/>
  <c r="D2383" i="1"/>
  <c r="F2382" i="1"/>
  <c r="E2382" i="1"/>
  <c r="D2382" i="1"/>
  <c r="F2381" i="1"/>
  <c r="E2381" i="1"/>
  <c r="D2381" i="1"/>
  <c r="F2380" i="1"/>
  <c r="E2380" i="1"/>
  <c r="D2380" i="1"/>
  <c r="F2379" i="1"/>
  <c r="E2379" i="1"/>
  <c r="D2379" i="1"/>
  <c r="F2378" i="1"/>
  <c r="E2378" i="1"/>
  <c r="D2378" i="1"/>
  <c r="F2377" i="1"/>
  <c r="E2377" i="1"/>
  <c r="D2377" i="1"/>
  <c r="F2376" i="1"/>
  <c r="E2376" i="1"/>
  <c r="D2376" i="1"/>
  <c r="F2375" i="1"/>
  <c r="E2375" i="1"/>
  <c r="D2375" i="1"/>
  <c r="F2374" i="1"/>
  <c r="E2374" i="1"/>
  <c r="D2374" i="1"/>
  <c r="F2373" i="1"/>
  <c r="E2373" i="1"/>
  <c r="D2373" i="1"/>
  <c r="F2372" i="1"/>
  <c r="E2372" i="1"/>
  <c r="D2372" i="1"/>
  <c r="F2371" i="1"/>
  <c r="E2371" i="1"/>
  <c r="D2371" i="1"/>
  <c r="F2370" i="1"/>
  <c r="E2370" i="1"/>
  <c r="D2370" i="1"/>
  <c r="F2369" i="1"/>
  <c r="E2369" i="1"/>
  <c r="D2369" i="1"/>
  <c r="F2368" i="1"/>
  <c r="E2368" i="1"/>
  <c r="D2368" i="1"/>
  <c r="F2367" i="1"/>
  <c r="E2367" i="1"/>
  <c r="D2367" i="1"/>
  <c r="F2366" i="1"/>
  <c r="E2366" i="1"/>
  <c r="D2366" i="1"/>
  <c r="F2365" i="1"/>
  <c r="E2365" i="1"/>
  <c r="D2365" i="1"/>
  <c r="F2364" i="1"/>
  <c r="E2364" i="1"/>
  <c r="D2364" i="1"/>
  <c r="F2363" i="1"/>
  <c r="E2363" i="1"/>
  <c r="D2363" i="1"/>
  <c r="F2362" i="1"/>
  <c r="E2362" i="1"/>
  <c r="D2362" i="1"/>
  <c r="F2361" i="1"/>
  <c r="E2361" i="1"/>
  <c r="D2361" i="1"/>
  <c r="F2360" i="1"/>
  <c r="E2360" i="1"/>
  <c r="D2360" i="1"/>
  <c r="F2359" i="1"/>
  <c r="E2359" i="1"/>
  <c r="D2359" i="1"/>
  <c r="F2358" i="1"/>
  <c r="E2358" i="1"/>
  <c r="D2358" i="1"/>
  <c r="F2357" i="1"/>
  <c r="E2357" i="1"/>
  <c r="D2357" i="1"/>
  <c r="F2356" i="1"/>
  <c r="E2356" i="1"/>
  <c r="D2356" i="1"/>
  <c r="F2355" i="1"/>
  <c r="E2355" i="1"/>
  <c r="D2355" i="1"/>
  <c r="F2354" i="1"/>
  <c r="E2354" i="1"/>
  <c r="D2354" i="1"/>
  <c r="F2353" i="1"/>
  <c r="E2353" i="1"/>
  <c r="D2353" i="1"/>
  <c r="F2352" i="1"/>
  <c r="E2352" i="1"/>
  <c r="D2352" i="1"/>
  <c r="F2351" i="1"/>
  <c r="E2351" i="1"/>
  <c r="D2351" i="1"/>
  <c r="F2350" i="1"/>
  <c r="E2350" i="1"/>
  <c r="D2350" i="1"/>
  <c r="F2349" i="1"/>
  <c r="E2349" i="1"/>
  <c r="D2349" i="1"/>
  <c r="F2348" i="1"/>
  <c r="E2348" i="1"/>
  <c r="D2348" i="1"/>
  <c r="F2347" i="1"/>
  <c r="E2347" i="1"/>
  <c r="D2347" i="1"/>
  <c r="F2346" i="1"/>
  <c r="E2346" i="1"/>
  <c r="D2346" i="1"/>
  <c r="F2345" i="1"/>
  <c r="E2345" i="1"/>
  <c r="D2345" i="1"/>
  <c r="F2344" i="1"/>
  <c r="E2344" i="1"/>
  <c r="D2344" i="1"/>
  <c r="F2343" i="1"/>
  <c r="E2343" i="1"/>
  <c r="D2343" i="1"/>
  <c r="F2342" i="1"/>
  <c r="E2342" i="1"/>
  <c r="D2342" i="1"/>
  <c r="F2341" i="1"/>
  <c r="E2341" i="1"/>
  <c r="D2341" i="1"/>
  <c r="F2340" i="1"/>
  <c r="E2340" i="1"/>
  <c r="D2340" i="1"/>
  <c r="F2339" i="1"/>
  <c r="E2339" i="1"/>
  <c r="D2339" i="1"/>
  <c r="F2338" i="1"/>
  <c r="E2338" i="1"/>
  <c r="D2338" i="1"/>
  <c r="F2337" i="1"/>
  <c r="E2337" i="1"/>
  <c r="D2337" i="1"/>
  <c r="F2336" i="1"/>
  <c r="E2336" i="1"/>
  <c r="D2336" i="1"/>
  <c r="F2335" i="1"/>
  <c r="E2335" i="1"/>
  <c r="D2335" i="1"/>
  <c r="F2334" i="1"/>
  <c r="E2334" i="1"/>
  <c r="D2334" i="1"/>
  <c r="F2333" i="1"/>
  <c r="E2333" i="1"/>
  <c r="D2333" i="1"/>
  <c r="F2332" i="1"/>
  <c r="E2332" i="1"/>
  <c r="D2332" i="1"/>
  <c r="F2331" i="1"/>
  <c r="E2331" i="1"/>
  <c r="D2331" i="1"/>
  <c r="F2330" i="1"/>
  <c r="E2330" i="1"/>
  <c r="D2330" i="1"/>
  <c r="F2329" i="1"/>
  <c r="E2329" i="1"/>
  <c r="D2329" i="1"/>
  <c r="F2328" i="1"/>
  <c r="E2328" i="1"/>
  <c r="D2328" i="1"/>
  <c r="F2327" i="1"/>
  <c r="E2327" i="1"/>
  <c r="D2327" i="1"/>
  <c r="F2326" i="1"/>
  <c r="E2326" i="1"/>
  <c r="D2326" i="1"/>
  <c r="F2325" i="1"/>
  <c r="E2325" i="1"/>
  <c r="D2325" i="1"/>
  <c r="F2324" i="1"/>
  <c r="E2324" i="1"/>
  <c r="D2324" i="1"/>
  <c r="F2323" i="1"/>
  <c r="E2323" i="1"/>
  <c r="D2323" i="1"/>
  <c r="F2322" i="1"/>
  <c r="E2322" i="1"/>
  <c r="D2322" i="1"/>
  <c r="F2321" i="1"/>
  <c r="E2321" i="1"/>
  <c r="D2321" i="1"/>
  <c r="F2320" i="1"/>
  <c r="E2320" i="1"/>
  <c r="D2320" i="1"/>
  <c r="F2319" i="1"/>
  <c r="E2319" i="1"/>
  <c r="D2319" i="1"/>
  <c r="F2318" i="1"/>
  <c r="E2318" i="1"/>
  <c r="D2318" i="1"/>
  <c r="F2317" i="1"/>
  <c r="E2317" i="1"/>
  <c r="D2317" i="1"/>
  <c r="F2316" i="1"/>
  <c r="E2316" i="1"/>
  <c r="D2316" i="1"/>
  <c r="F2315" i="1"/>
  <c r="E2315" i="1"/>
  <c r="D2315" i="1"/>
  <c r="F2314" i="1"/>
  <c r="E2314" i="1"/>
  <c r="D2314" i="1"/>
  <c r="F2313" i="1"/>
  <c r="E2313" i="1"/>
  <c r="D2313" i="1"/>
  <c r="F2312" i="1"/>
  <c r="E2312" i="1"/>
  <c r="D2312" i="1"/>
  <c r="F2311" i="1"/>
  <c r="E2311" i="1"/>
  <c r="D2311" i="1"/>
  <c r="F2310" i="1"/>
  <c r="E2310" i="1"/>
  <c r="D2310" i="1"/>
  <c r="F2309" i="1"/>
  <c r="E2309" i="1"/>
  <c r="D2309" i="1"/>
  <c r="F2308" i="1"/>
  <c r="E2308" i="1"/>
  <c r="D2308" i="1"/>
  <c r="F2307" i="1"/>
  <c r="E2307" i="1"/>
  <c r="D2307" i="1"/>
  <c r="F2306" i="1"/>
  <c r="E2306" i="1"/>
  <c r="D2306" i="1"/>
  <c r="F2305" i="1"/>
  <c r="E2305" i="1"/>
  <c r="D2305" i="1"/>
  <c r="F2304" i="1"/>
  <c r="E2304" i="1"/>
  <c r="D2304" i="1"/>
  <c r="F2303" i="1"/>
  <c r="E2303" i="1"/>
  <c r="D2303" i="1"/>
  <c r="F2302" i="1"/>
  <c r="E2302" i="1"/>
  <c r="D2302" i="1"/>
  <c r="F2301" i="1"/>
  <c r="E2301" i="1"/>
  <c r="D2301" i="1"/>
  <c r="F2300" i="1"/>
  <c r="E2300" i="1"/>
  <c r="D2300" i="1"/>
  <c r="F2299" i="1"/>
  <c r="E2299" i="1"/>
  <c r="D2299" i="1"/>
  <c r="F2298" i="1"/>
  <c r="E2298" i="1"/>
  <c r="D2298" i="1"/>
  <c r="F2297" i="1"/>
  <c r="E2297" i="1"/>
  <c r="D2297" i="1"/>
  <c r="F2296" i="1"/>
  <c r="E2296" i="1"/>
  <c r="D2296" i="1"/>
  <c r="F2295" i="1"/>
  <c r="E2295" i="1"/>
  <c r="D2295" i="1"/>
  <c r="F2294" i="1"/>
  <c r="E2294" i="1"/>
  <c r="D2294" i="1"/>
  <c r="F2293" i="1"/>
  <c r="E2293" i="1"/>
  <c r="D2293" i="1"/>
  <c r="F2292" i="1"/>
  <c r="E2292" i="1"/>
  <c r="D2292" i="1"/>
  <c r="F2291" i="1"/>
  <c r="E2291" i="1"/>
  <c r="D2291" i="1"/>
  <c r="F2290" i="1"/>
  <c r="E2290" i="1"/>
  <c r="D2290" i="1"/>
  <c r="F2289" i="1"/>
  <c r="E2289" i="1"/>
  <c r="D2289" i="1"/>
  <c r="F2288" i="1"/>
  <c r="E2288" i="1"/>
  <c r="D2288" i="1"/>
  <c r="F2287" i="1"/>
  <c r="E2287" i="1"/>
  <c r="D2287" i="1"/>
  <c r="F2286" i="1"/>
  <c r="E2286" i="1"/>
  <c r="D2286" i="1"/>
  <c r="F2285" i="1"/>
  <c r="E2285" i="1"/>
  <c r="D2285" i="1"/>
  <c r="F2284" i="1"/>
  <c r="E2284" i="1"/>
  <c r="D2284" i="1"/>
  <c r="F2283" i="1"/>
  <c r="E2283" i="1"/>
  <c r="D2283" i="1"/>
  <c r="F2282" i="1"/>
  <c r="E2282" i="1"/>
  <c r="D2282" i="1"/>
  <c r="F2281" i="1"/>
  <c r="E2281" i="1"/>
  <c r="D2281" i="1"/>
  <c r="F2280" i="1"/>
  <c r="E2280" i="1"/>
  <c r="D2280" i="1"/>
  <c r="F2279" i="1"/>
  <c r="E2279" i="1"/>
  <c r="D2279" i="1"/>
  <c r="F2278" i="1"/>
  <c r="E2278" i="1"/>
  <c r="D2278" i="1"/>
  <c r="F2277" i="1"/>
  <c r="E2277" i="1"/>
  <c r="D2277" i="1"/>
  <c r="F2276" i="1"/>
  <c r="E2276" i="1"/>
  <c r="D2276" i="1"/>
  <c r="F2275" i="1"/>
  <c r="E2275" i="1"/>
  <c r="D2275" i="1"/>
  <c r="F2274" i="1"/>
  <c r="E2274" i="1"/>
  <c r="D2274" i="1"/>
  <c r="F2273" i="1"/>
  <c r="E2273" i="1"/>
  <c r="D2273" i="1"/>
  <c r="F2272" i="1"/>
  <c r="E2272" i="1"/>
  <c r="D2272" i="1"/>
  <c r="F2271" i="1"/>
  <c r="E2271" i="1"/>
  <c r="D2271" i="1"/>
  <c r="F2270" i="1"/>
  <c r="E2270" i="1"/>
  <c r="D2270" i="1"/>
  <c r="F2269" i="1"/>
  <c r="E2269" i="1"/>
  <c r="D2269" i="1"/>
  <c r="F2268" i="1"/>
  <c r="E2268" i="1"/>
  <c r="D2268" i="1"/>
  <c r="F2267" i="1"/>
  <c r="E2267" i="1"/>
  <c r="D2267" i="1"/>
  <c r="F2266" i="1"/>
  <c r="E2266" i="1"/>
  <c r="D2266" i="1"/>
  <c r="F2265" i="1"/>
  <c r="E2265" i="1"/>
  <c r="D2265" i="1"/>
  <c r="F2264" i="1"/>
  <c r="E2264" i="1"/>
  <c r="D2264" i="1"/>
  <c r="F2263" i="1"/>
  <c r="E2263" i="1"/>
  <c r="D2263" i="1"/>
  <c r="F2262" i="1"/>
  <c r="E2262" i="1"/>
  <c r="D2262" i="1"/>
  <c r="F2261" i="1"/>
  <c r="E2261" i="1"/>
  <c r="D2261" i="1"/>
  <c r="F2260" i="1"/>
  <c r="E2260" i="1"/>
  <c r="D2260" i="1"/>
  <c r="F2259" i="1"/>
  <c r="E2259" i="1"/>
  <c r="D2259" i="1"/>
  <c r="F2258" i="1"/>
  <c r="E2258" i="1"/>
  <c r="D2258" i="1"/>
  <c r="F2257" i="1"/>
  <c r="E2257" i="1"/>
  <c r="D2257" i="1"/>
  <c r="F2256" i="1"/>
  <c r="E2256" i="1"/>
  <c r="D2256" i="1"/>
  <c r="F2255" i="1"/>
  <c r="E2255" i="1"/>
  <c r="D2255" i="1"/>
  <c r="F2254" i="1"/>
  <c r="E2254" i="1"/>
  <c r="D2254" i="1"/>
  <c r="F2253" i="1"/>
  <c r="E2253" i="1"/>
  <c r="D2253" i="1"/>
  <c r="F2252" i="1"/>
  <c r="E2252" i="1"/>
  <c r="D2252" i="1"/>
  <c r="F2251" i="1"/>
  <c r="E2251" i="1"/>
  <c r="D2251" i="1"/>
  <c r="F2250" i="1"/>
  <c r="E2250" i="1"/>
  <c r="D2250" i="1"/>
  <c r="F2249" i="1"/>
  <c r="E2249" i="1"/>
  <c r="D2249" i="1"/>
  <c r="F2248" i="1"/>
  <c r="E2248" i="1"/>
  <c r="D2248" i="1"/>
  <c r="F2247" i="1"/>
  <c r="E2247" i="1"/>
  <c r="D2247" i="1"/>
  <c r="F2246" i="1"/>
  <c r="E2246" i="1"/>
  <c r="D2246" i="1"/>
  <c r="F2245" i="1"/>
  <c r="E2245" i="1"/>
  <c r="D2245" i="1"/>
  <c r="F2244" i="1"/>
  <c r="E2244" i="1"/>
  <c r="D2244" i="1"/>
  <c r="F2243" i="1"/>
  <c r="E2243" i="1"/>
  <c r="D2243" i="1"/>
  <c r="F2242" i="1"/>
  <c r="E2242" i="1"/>
  <c r="D2242" i="1"/>
  <c r="F2241" i="1"/>
  <c r="E2241" i="1"/>
  <c r="D2241" i="1"/>
  <c r="F2240" i="1"/>
  <c r="E2240" i="1"/>
  <c r="D2240" i="1"/>
  <c r="F2239" i="1"/>
  <c r="E2239" i="1"/>
  <c r="D2239" i="1"/>
  <c r="F2238" i="1"/>
  <c r="E2238" i="1"/>
  <c r="D2238" i="1"/>
  <c r="F2237" i="1"/>
  <c r="E2237" i="1"/>
  <c r="D2237" i="1"/>
  <c r="F2236" i="1"/>
  <c r="E2236" i="1"/>
  <c r="D2236" i="1"/>
  <c r="F2235" i="1"/>
  <c r="E2235" i="1"/>
  <c r="D2235" i="1"/>
  <c r="F2234" i="1"/>
  <c r="E2234" i="1"/>
  <c r="D2234" i="1"/>
  <c r="F2233" i="1"/>
  <c r="E2233" i="1"/>
  <c r="D2233" i="1"/>
  <c r="F2232" i="1"/>
  <c r="E2232" i="1"/>
  <c r="D2232" i="1"/>
  <c r="F2231" i="1"/>
  <c r="E2231" i="1"/>
  <c r="D2231" i="1"/>
  <c r="F2230" i="1"/>
  <c r="E2230" i="1"/>
  <c r="D2230" i="1"/>
  <c r="F2229" i="1"/>
  <c r="E2229" i="1"/>
  <c r="D2229" i="1"/>
  <c r="F2228" i="1"/>
  <c r="E2228" i="1"/>
  <c r="D2228" i="1"/>
  <c r="F2227" i="1"/>
  <c r="E2227" i="1"/>
  <c r="D2227" i="1"/>
  <c r="F2226" i="1"/>
  <c r="E2226" i="1"/>
  <c r="D2226" i="1"/>
  <c r="F2225" i="1"/>
  <c r="E2225" i="1"/>
  <c r="D2225" i="1"/>
  <c r="F2224" i="1"/>
  <c r="E2224" i="1"/>
  <c r="D2224" i="1"/>
  <c r="F2223" i="1"/>
  <c r="E2223" i="1"/>
  <c r="D2223" i="1"/>
  <c r="F2222" i="1"/>
  <c r="E2222" i="1"/>
  <c r="D2222" i="1"/>
  <c r="F2221" i="1"/>
  <c r="E2221" i="1"/>
  <c r="D2221" i="1"/>
  <c r="F2220" i="1"/>
  <c r="E2220" i="1"/>
  <c r="D2220" i="1"/>
  <c r="F2219" i="1"/>
  <c r="E2219" i="1"/>
  <c r="D2219" i="1"/>
  <c r="F2218" i="1"/>
  <c r="E2218" i="1"/>
  <c r="D2218" i="1"/>
  <c r="F2217" i="1"/>
  <c r="E2217" i="1"/>
  <c r="D2217" i="1"/>
  <c r="F2216" i="1"/>
  <c r="E2216" i="1"/>
  <c r="D2216" i="1"/>
  <c r="F2215" i="1"/>
  <c r="E2215" i="1"/>
  <c r="D2215" i="1"/>
  <c r="F2214" i="1"/>
  <c r="E2214" i="1"/>
  <c r="D2214" i="1"/>
  <c r="F2213" i="1"/>
  <c r="E2213" i="1"/>
  <c r="D2213" i="1"/>
  <c r="F2212" i="1"/>
  <c r="E2212" i="1"/>
  <c r="D2212" i="1"/>
  <c r="F2211" i="1"/>
  <c r="E2211" i="1"/>
  <c r="D2211" i="1"/>
  <c r="F2210" i="1"/>
  <c r="E2210" i="1"/>
  <c r="D2210" i="1"/>
  <c r="F2209" i="1"/>
  <c r="E2209" i="1"/>
  <c r="D2209" i="1"/>
  <c r="F2208" i="1"/>
  <c r="E2208" i="1"/>
  <c r="D2208" i="1"/>
  <c r="F2207" i="1"/>
  <c r="E2207" i="1"/>
  <c r="D2207" i="1"/>
  <c r="F2206" i="1"/>
  <c r="E2206" i="1"/>
  <c r="D2206" i="1"/>
  <c r="F2205" i="1"/>
  <c r="E2205" i="1"/>
  <c r="D2205" i="1"/>
  <c r="F2204" i="1"/>
  <c r="E2204" i="1"/>
  <c r="D2204" i="1"/>
  <c r="F2203" i="1"/>
  <c r="E2203" i="1"/>
  <c r="D2203" i="1"/>
  <c r="F2202" i="1"/>
  <c r="E2202" i="1"/>
  <c r="D2202" i="1"/>
  <c r="F2201" i="1"/>
  <c r="E2201" i="1"/>
  <c r="D2201" i="1"/>
  <c r="F2200" i="1"/>
  <c r="E2200" i="1"/>
  <c r="D2200" i="1"/>
  <c r="F2199" i="1"/>
  <c r="E2199" i="1"/>
  <c r="D2199" i="1"/>
  <c r="F2198" i="1"/>
  <c r="E2198" i="1"/>
  <c r="D2198" i="1"/>
  <c r="F2197" i="1"/>
  <c r="E2197" i="1"/>
  <c r="D2197" i="1"/>
  <c r="F2196" i="1"/>
  <c r="E2196" i="1"/>
  <c r="D2196" i="1"/>
  <c r="F2195" i="1"/>
  <c r="E2195" i="1"/>
  <c r="D2195" i="1"/>
  <c r="F2194" i="1"/>
  <c r="E2194" i="1"/>
  <c r="D2194" i="1"/>
  <c r="F2193" i="1"/>
  <c r="E2193" i="1"/>
  <c r="D2193" i="1"/>
  <c r="F2192" i="1"/>
  <c r="E2192" i="1"/>
  <c r="D2192" i="1"/>
  <c r="F2191" i="1"/>
  <c r="E2191" i="1"/>
  <c r="D2191" i="1"/>
  <c r="F2190" i="1"/>
  <c r="E2190" i="1"/>
  <c r="D2190" i="1"/>
  <c r="F2189" i="1"/>
  <c r="E2189" i="1"/>
  <c r="D2189" i="1"/>
  <c r="F2188" i="1"/>
  <c r="E2188" i="1"/>
  <c r="D2188" i="1"/>
  <c r="F2187" i="1"/>
  <c r="E2187" i="1"/>
  <c r="D2187" i="1"/>
  <c r="F2186" i="1"/>
  <c r="E2186" i="1"/>
  <c r="D2186" i="1"/>
  <c r="F2185" i="1"/>
  <c r="E2185" i="1"/>
  <c r="D2185" i="1"/>
  <c r="F2184" i="1"/>
  <c r="E2184" i="1"/>
  <c r="D2184" i="1"/>
  <c r="F2183" i="1"/>
  <c r="E2183" i="1"/>
  <c r="D2183" i="1"/>
  <c r="F2182" i="1"/>
  <c r="E2182" i="1"/>
  <c r="D2182" i="1"/>
  <c r="F2181" i="1"/>
  <c r="E2181" i="1"/>
  <c r="D2181" i="1"/>
  <c r="F2180" i="1"/>
  <c r="E2180" i="1"/>
  <c r="D2180" i="1"/>
  <c r="F2179" i="1"/>
  <c r="E2179" i="1"/>
  <c r="D2179" i="1"/>
  <c r="F2178" i="1"/>
  <c r="E2178" i="1"/>
  <c r="D2178" i="1"/>
  <c r="F2177" i="1"/>
  <c r="E2177" i="1"/>
  <c r="D2177" i="1"/>
  <c r="F2176" i="1"/>
  <c r="E2176" i="1"/>
  <c r="D2176" i="1"/>
  <c r="F2175" i="1"/>
  <c r="E2175" i="1"/>
  <c r="D2175" i="1"/>
  <c r="F2174" i="1"/>
  <c r="E2174" i="1"/>
  <c r="D2174" i="1"/>
  <c r="F2173" i="1"/>
  <c r="E2173" i="1"/>
  <c r="D2173" i="1"/>
  <c r="F2172" i="1"/>
  <c r="E2172" i="1"/>
  <c r="D2172" i="1"/>
  <c r="F2171" i="1"/>
  <c r="E2171" i="1"/>
  <c r="D2171" i="1"/>
  <c r="F2170" i="1"/>
  <c r="E2170" i="1"/>
  <c r="D2170" i="1"/>
  <c r="F2169" i="1"/>
  <c r="E2169" i="1"/>
  <c r="D2169" i="1"/>
  <c r="F2168" i="1"/>
  <c r="E2168" i="1"/>
  <c r="D2168" i="1"/>
  <c r="F2167" i="1"/>
  <c r="E2167" i="1"/>
  <c r="D2167" i="1"/>
  <c r="F2166" i="1"/>
  <c r="E2166" i="1"/>
  <c r="D2166" i="1"/>
  <c r="F2165" i="1"/>
  <c r="E2165" i="1"/>
  <c r="D2165" i="1"/>
  <c r="F2164" i="1"/>
  <c r="E2164" i="1"/>
  <c r="D2164" i="1"/>
  <c r="F2163" i="1"/>
  <c r="E2163" i="1"/>
  <c r="D2163" i="1"/>
  <c r="F2162" i="1"/>
  <c r="E2162" i="1"/>
  <c r="D2162" i="1"/>
  <c r="F2161" i="1"/>
  <c r="E2161" i="1"/>
  <c r="D2161" i="1"/>
  <c r="F2160" i="1"/>
  <c r="E2160" i="1"/>
  <c r="D2160" i="1"/>
  <c r="F2159" i="1"/>
  <c r="E2159" i="1"/>
  <c r="D2159" i="1"/>
  <c r="F2158" i="1"/>
  <c r="E2158" i="1"/>
  <c r="D2158" i="1"/>
  <c r="F2157" i="1"/>
  <c r="E2157" i="1"/>
  <c r="D2157" i="1"/>
  <c r="F2156" i="1"/>
  <c r="E2156" i="1"/>
  <c r="D2156" i="1"/>
  <c r="F2155" i="1"/>
  <c r="E2155" i="1"/>
  <c r="D2155" i="1"/>
  <c r="F2154" i="1"/>
  <c r="E2154" i="1"/>
  <c r="D2154" i="1"/>
  <c r="F2153" i="1"/>
  <c r="E2153" i="1"/>
  <c r="D2153" i="1"/>
  <c r="F2152" i="1"/>
  <c r="E2152" i="1"/>
  <c r="D2152" i="1"/>
  <c r="F2151" i="1"/>
  <c r="E2151" i="1"/>
  <c r="D2151" i="1"/>
  <c r="F2150" i="1"/>
  <c r="E2150" i="1"/>
  <c r="D2150" i="1"/>
  <c r="F2149" i="1"/>
  <c r="E2149" i="1"/>
  <c r="D2149" i="1"/>
  <c r="F2148" i="1"/>
  <c r="E2148" i="1"/>
  <c r="D2148" i="1"/>
  <c r="F2147" i="1"/>
  <c r="E2147" i="1"/>
  <c r="D2147" i="1"/>
  <c r="F2146" i="1"/>
  <c r="E2146" i="1"/>
  <c r="D2146" i="1"/>
  <c r="F2145" i="1"/>
  <c r="E2145" i="1"/>
  <c r="D2145" i="1"/>
  <c r="F2144" i="1"/>
  <c r="E2144" i="1"/>
  <c r="D2144" i="1"/>
  <c r="F2143" i="1"/>
  <c r="E2143" i="1"/>
  <c r="D2143" i="1"/>
  <c r="F2142" i="1"/>
  <c r="E2142" i="1"/>
  <c r="D2142" i="1"/>
  <c r="F2141" i="1"/>
  <c r="E2141" i="1"/>
  <c r="D2141" i="1"/>
  <c r="F2140" i="1"/>
  <c r="E2140" i="1"/>
  <c r="D2140" i="1"/>
  <c r="F2139" i="1"/>
  <c r="E2139" i="1"/>
  <c r="D2139" i="1"/>
  <c r="F2138" i="1"/>
  <c r="E2138" i="1"/>
  <c r="D2138" i="1"/>
  <c r="F2137" i="1"/>
  <c r="E2137" i="1"/>
  <c r="D2137" i="1"/>
  <c r="F2136" i="1"/>
  <c r="E2136" i="1"/>
  <c r="D2136" i="1"/>
  <c r="F2135" i="1"/>
  <c r="E2135" i="1"/>
  <c r="D2135" i="1"/>
  <c r="F2134" i="1"/>
  <c r="E2134" i="1"/>
  <c r="D2134" i="1"/>
  <c r="F2133" i="1"/>
  <c r="E2133" i="1"/>
  <c r="D2133" i="1"/>
  <c r="F2132" i="1"/>
  <c r="E2132" i="1"/>
  <c r="D2132" i="1"/>
  <c r="F2131" i="1"/>
  <c r="E2131" i="1"/>
  <c r="D2131" i="1"/>
  <c r="F2130" i="1"/>
  <c r="E2130" i="1"/>
  <c r="D2130" i="1"/>
  <c r="F2129" i="1"/>
  <c r="E2129" i="1"/>
  <c r="D2129" i="1"/>
  <c r="F2128" i="1"/>
  <c r="E2128" i="1"/>
  <c r="D2128" i="1"/>
  <c r="F2127" i="1"/>
  <c r="E2127" i="1"/>
  <c r="D2127" i="1"/>
  <c r="F2126" i="1"/>
  <c r="E2126" i="1"/>
  <c r="D2126" i="1"/>
  <c r="F2125" i="1"/>
  <c r="E2125" i="1"/>
  <c r="D2125" i="1"/>
  <c r="F2124" i="1"/>
  <c r="E2124" i="1"/>
  <c r="D2124" i="1"/>
  <c r="F2123" i="1"/>
  <c r="E2123" i="1"/>
  <c r="D2123" i="1"/>
  <c r="F2122" i="1"/>
  <c r="E2122" i="1"/>
  <c r="D2122" i="1"/>
  <c r="F2121" i="1"/>
  <c r="E2121" i="1"/>
  <c r="D2121" i="1"/>
  <c r="F2120" i="1"/>
  <c r="E2120" i="1"/>
  <c r="D2120" i="1"/>
  <c r="F2119" i="1"/>
  <c r="E2119" i="1"/>
  <c r="D2119" i="1"/>
  <c r="F2118" i="1"/>
  <c r="E2118" i="1"/>
  <c r="D2118" i="1"/>
  <c r="F2117" i="1"/>
  <c r="E2117" i="1"/>
  <c r="D2117" i="1"/>
  <c r="F2116" i="1"/>
  <c r="E2116" i="1"/>
  <c r="D2116" i="1"/>
  <c r="F2115" i="1"/>
  <c r="E2115" i="1"/>
  <c r="D2115" i="1"/>
  <c r="F2114" i="1"/>
  <c r="E2114" i="1"/>
  <c r="D2114" i="1"/>
  <c r="F2113" i="1"/>
  <c r="E2113" i="1"/>
  <c r="D2113" i="1"/>
  <c r="F2112" i="1"/>
  <c r="E2112" i="1"/>
  <c r="D2112" i="1"/>
  <c r="F2111" i="1"/>
  <c r="E2111" i="1"/>
  <c r="D2111" i="1"/>
  <c r="F2110" i="1"/>
  <c r="E2110" i="1"/>
  <c r="D2110" i="1"/>
  <c r="F2109" i="1"/>
  <c r="E2109" i="1"/>
  <c r="D2109" i="1"/>
  <c r="F2108" i="1"/>
  <c r="E2108" i="1"/>
  <c r="D2108" i="1"/>
  <c r="F2107" i="1"/>
  <c r="E2107" i="1"/>
  <c r="D2107" i="1"/>
  <c r="F2106" i="1"/>
  <c r="E2106" i="1"/>
  <c r="D2106" i="1"/>
  <c r="F2105" i="1"/>
  <c r="E2105" i="1"/>
  <c r="D2105" i="1"/>
  <c r="F2104" i="1"/>
  <c r="E2104" i="1"/>
  <c r="D2104" i="1"/>
  <c r="F2103" i="1"/>
  <c r="E2103" i="1"/>
  <c r="D2103" i="1"/>
  <c r="F2102" i="1"/>
  <c r="E2102" i="1"/>
  <c r="D2102" i="1"/>
  <c r="F2101" i="1"/>
  <c r="E2101" i="1"/>
  <c r="D2101" i="1"/>
  <c r="F2100" i="1"/>
  <c r="E2100" i="1"/>
  <c r="D2100" i="1"/>
  <c r="F2099" i="1"/>
  <c r="E2099" i="1"/>
  <c r="D2099" i="1"/>
  <c r="F2098" i="1"/>
  <c r="E2098" i="1"/>
  <c r="D2098" i="1"/>
  <c r="F2097" i="1"/>
  <c r="E2097" i="1"/>
  <c r="D2097" i="1"/>
  <c r="F2096" i="1"/>
  <c r="E2096" i="1"/>
  <c r="D2096" i="1"/>
  <c r="F2095" i="1"/>
  <c r="E2095" i="1"/>
  <c r="D2095" i="1"/>
  <c r="F2094" i="1"/>
  <c r="E2094" i="1"/>
  <c r="D2094" i="1"/>
  <c r="F2093" i="1"/>
  <c r="E2093" i="1"/>
  <c r="D2093" i="1"/>
  <c r="F2092" i="1"/>
  <c r="E2092" i="1"/>
  <c r="D2092" i="1"/>
  <c r="F2091" i="1"/>
  <c r="E2091" i="1"/>
  <c r="D2091" i="1"/>
  <c r="F2090" i="1"/>
  <c r="E2090" i="1"/>
  <c r="D2090" i="1"/>
  <c r="F2089" i="1"/>
  <c r="E2089" i="1"/>
  <c r="D2089" i="1"/>
  <c r="F2088" i="1"/>
  <c r="E2088" i="1"/>
  <c r="D2088" i="1"/>
  <c r="F2087" i="1"/>
  <c r="E2087" i="1"/>
  <c r="D2087" i="1"/>
  <c r="F2086" i="1"/>
  <c r="E2086" i="1"/>
  <c r="D2086" i="1"/>
  <c r="F2085" i="1"/>
  <c r="E2085" i="1"/>
  <c r="D2085" i="1"/>
  <c r="F2084" i="1"/>
  <c r="E2084" i="1"/>
  <c r="D2084" i="1"/>
  <c r="F2083" i="1"/>
  <c r="E2083" i="1"/>
  <c r="D2083" i="1"/>
  <c r="F2082" i="1"/>
  <c r="E2082" i="1"/>
  <c r="D2082" i="1"/>
  <c r="F2081" i="1"/>
  <c r="E2081" i="1"/>
  <c r="D2081" i="1"/>
  <c r="F2080" i="1"/>
  <c r="E2080" i="1"/>
  <c r="D2080" i="1"/>
  <c r="F2079" i="1"/>
  <c r="E2079" i="1"/>
  <c r="D2079" i="1"/>
  <c r="F2078" i="1"/>
  <c r="E2078" i="1"/>
  <c r="D2078" i="1"/>
  <c r="F2077" i="1"/>
  <c r="E2077" i="1"/>
  <c r="D2077" i="1"/>
  <c r="F2076" i="1"/>
  <c r="E2076" i="1"/>
  <c r="D2076" i="1"/>
  <c r="F2075" i="1"/>
  <c r="E2075" i="1"/>
  <c r="D2075" i="1"/>
  <c r="F2074" i="1"/>
  <c r="E2074" i="1"/>
  <c r="D2074" i="1"/>
  <c r="F2073" i="1"/>
  <c r="E2073" i="1"/>
  <c r="D2073" i="1"/>
  <c r="F2072" i="1"/>
  <c r="E2072" i="1"/>
  <c r="D2072" i="1"/>
  <c r="F2071" i="1"/>
  <c r="E2071" i="1"/>
  <c r="D2071" i="1"/>
  <c r="F2070" i="1"/>
  <c r="E2070" i="1"/>
  <c r="D2070" i="1"/>
  <c r="F2069" i="1"/>
  <c r="E2069" i="1"/>
  <c r="D2069" i="1"/>
  <c r="F2068" i="1"/>
  <c r="E2068" i="1"/>
  <c r="D2068" i="1"/>
  <c r="F2067" i="1"/>
  <c r="E2067" i="1"/>
  <c r="D2067" i="1"/>
  <c r="F2066" i="1"/>
  <c r="E2066" i="1"/>
  <c r="D2066" i="1"/>
  <c r="F2065" i="1"/>
  <c r="E2065" i="1"/>
  <c r="D2065" i="1"/>
  <c r="F2064" i="1"/>
  <c r="E2064" i="1"/>
  <c r="D2064" i="1"/>
  <c r="F2063" i="1"/>
  <c r="E2063" i="1"/>
  <c r="D2063" i="1"/>
  <c r="F2062" i="1"/>
  <c r="E2062" i="1"/>
  <c r="D2062" i="1"/>
  <c r="F2061" i="1"/>
  <c r="E2061" i="1"/>
  <c r="D2061" i="1"/>
  <c r="F2060" i="1"/>
  <c r="E2060" i="1"/>
  <c r="D2060" i="1"/>
  <c r="F2059" i="1"/>
  <c r="E2059" i="1"/>
  <c r="D2059" i="1"/>
  <c r="F2058" i="1"/>
  <c r="E2058" i="1"/>
  <c r="D2058" i="1"/>
  <c r="F2057" i="1"/>
  <c r="E2057" i="1"/>
  <c r="D2057" i="1"/>
  <c r="F2056" i="1"/>
  <c r="E2056" i="1"/>
  <c r="D2056" i="1"/>
  <c r="F2055" i="1"/>
  <c r="E2055" i="1"/>
  <c r="D2055" i="1"/>
  <c r="F2054" i="1"/>
  <c r="E2054" i="1"/>
  <c r="D2054" i="1"/>
  <c r="F2053" i="1"/>
  <c r="E2053" i="1"/>
  <c r="D2053" i="1"/>
  <c r="F2052" i="1"/>
  <c r="E2052" i="1"/>
  <c r="D2052" i="1"/>
  <c r="F2051" i="1"/>
  <c r="E2051" i="1"/>
  <c r="D2051" i="1"/>
  <c r="F2050" i="1"/>
  <c r="E2050" i="1"/>
  <c r="D2050" i="1"/>
  <c r="F2049" i="1"/>
  <c r="E2049" i="1"/>
  <c r="D2049" i="1"/>
  <c r="F2048" i="1"/>
  <c r="E2048" i="1"/>
  <c r="D2048" i="1"/>
  <c r="F2047" i="1"/>
  <c r="E2047" i="1"/>
  <c r="D2047" i="1"/>
  <c r="F2046" i="1"/>
  <c r="E2046" i="1"/>
  <c r="D2046" i="1"/>
  <c r="F2045" i="1"/>
  <c r="E2045" i="1"/>
  <c r="D2045" i="1"/>
  <c r="F2044" i="1"/>
  <c r="E2044" i="1"/>
  <c r="D2044" i="1"/>
  <c r="F2043" i="1"/>
  <c r="E2043" i="1"/>
  <c r="D2043" i="1"/>
  <c r="F2042" i="1"/>
  <c r="E2042" i="1"/>
  <c r="D2042" i="1"/>
  <c r="F2041" i="1"/>
  <c r="E2041" i="1"/>
  <c r="D2041" i="1"/>
  <c r="F2040" i="1"/>
  <c r="E2040" i="1"/>
  <c r="D2040" i="1"/>
  <c r="F2039" i="1"/>
  <c r="E2039" i="1"/>
  <c r="D2039" i="1"/>
  <c r="F2038" i="1"/>
  <c r="E2038" i="1"/>
  <c r="D2038" i="1"/>
  <c r="F2037" i="1"/>
  <c r="E2037" i="1"/>
  <c r="D2037" i="1"/>
  <c r="F2036" i="1"/>
  <c r="E2036" i="1"/>
  <c r="D2036" i="1"/>
  <c r="F2035" i="1"/>
  <c r="E2035" i="1"/>
  <c r="D2035" i="1"/>
  <c r="F2034" i="1"/>
  <c r="E2034" i="1"/>
  <c r="D2034" i="1"/>
  <c r="F2033" i="1"/>
  <c r="E2033" i="1"/>
  <c r="D2033" i="1"/>
  <c r="F2032" i="1"/>
  <c r="E2032" i="1"/>
  <c r="D2032" i="1"/>
  <c r="F2031" i="1"/>
  <c r="E2031" i="1"/>
  <c r="D2031" i="1"/>
  <c r="F2030" i="1"/>
  <c r="E2030" i="1"/>
  <c r="D2030" i="1"/>
  <c r="F2029" i="1"/>
  <c r="E2029" i="1"/>
  <c r="D2029" i="1"/>
  <c r="F2028" i="1"/>
  <c r="E2028" i="1"/>
  <c r="D2028" i="1"/>
  <c r="F2027" i="1"/>
  <c r="E2027" i="1"/>
  <c r="D2027" i="1"/>
  <c r="F2026" i="1"/>
  <c r="E2026" i="1"/>
  <c r="D2026" i="1"/>
  <c r="F2025" i="1"/>
  <c r="E2025" i="1"/>
  <c r="D2025" i="1"/>
  <c r="F2024" i="1"/>
  <c r="E2024" i="1"/>
  <c r="D2024" i="1"/>
  <c r="F2023" i="1"/>
  <c r="E2023" i="1"/>
  <c r="D2023" i="1"/>
  <c r="F2022" i="1"/>
  <c r="E2022" i="1"/>
  <c r="D2022" i="1"/>
  <c r="F2021" i="1"/>
  <c r="E2021" i="1"/>
  <c r="D2021" i="1"/>
  <c r="F2020" i="1"/>
  <c r="E2020" i="1"/>
  <c r="D2020" i="1"/>
  <c r="F2019" i="1"/>
  <c r="E2019" i="1"/>
  <c r="D2019" i="1"/>
  <c r="F2018" i="1"/>
  <c r="E2018" i="1"/>
  <c r="D2018" i="1"/>
  <c r="F2017" i="1"/>
  <c r="E2017" i="1"/>
  <c r="D2017" i="1"/>
  <c r="F2016" i="1"/>
  <c r="E2016" i="1"/>
  <c r="D2016" i="1"/>
  <c r="F2015" i="1"/>
  <c r="E2015" i="1"/>
  <c r="D2015" i="1"/>
  <c r="F2014" i="1"/>
  <c r="E2014" i="1"/>
  <c r="D2014" i="1"/>
  <c r="F2013" i="1"/>
  <c r="E2013" i="1"/>
  <c r="D2013" i="1"/>
  <c r="F2012" i="1"/>
  <c r="E2012" i="1"/>
  <c r="D2012" i="1"/>
  <c r="F2011" i="1"/>
  <c r="E2011" i="1"/>
  <c r="D2011" i="1"/>
  <c r="F2010" i="1"/>
  <c r="E2010" i="1"/>
  <c r="D2010" i="1"/>
  <c r="F2009" i="1"/>
  <c r="E2009" i="1"/>
  <c r="D2009" i="1"/>
  <c r="F2008" i="1"/>
  <c r="E2008" i="1"/>
  <c r="D2008" i="1"/>
  <c r="F2007" i="1"/>
  <c r="E2007" i="1"/>
  <c r="D2007" i="1"/>
  <c r="F2006" i="1"/>
  <c r="E2006" i="1"/>
  <c r="D2006" i="1"/>
  <c r="F2005" i="1"/>
  <c r="E2005" i="1"/>
  <c r="D2005" i="1"/>
  <c r="F2004" i="1"/>
  <c r="E2004" i="1"/>
  <c r="D2004" i="1"/>
  <c r="F2003" i="1"/>
  <c r="E2003" i="1"/>
  <c r="D2003" i="1"/>
  <c r="F2002" i="1"/>
  <c r="E2002" i="1"/>
  <c r="D2002" i="1"/>
  <c r="F2001" i="1"/>
  <c r="E2001" i="1"/>
  <c r="D2001" i="1"/>
  <c r="F2000" i="1"/>
  <c r="E2000" i="1"/>
  <c r="D2000" i="1"/>
  <c r="F1999" i="1"/>
  <c r="E1999" i="1"/>
  <c r="D1999" i="1"/>
  <c r="F1998" i="1"/>
  <c r="E1998" i="1"/>
  <c r="D1998" i="1"/>
  <c r="F1997" i="1"/>
  <c r="E1997" i="1"/>
  <c r="D1997" i="1"/>
  <c r="F1996" i="1"/>
  <c r="E1996" i="1"/>
  <c r="D1996" i="1"/>
  <c r="F1995" i="1"/>
  <c r="E1995" i="1"/>
  <c r="D1995" i="1"/>
  <c r="F1994" i="1"/>
  <c r="E1994" i="1"/>
  <c r="D1994" i="1"/>
  <c r="F1993" i="1"/>
  <c r="E1993" i="1"/>
  <c r="D1993" i="1"/>
  <c r="F1992" i="1"/>
  <c r="E1992" i="1"/>
  <c r="D1992" i="1"/>
  <c r="F1991" i="1"/>
  <c r="E1991" i="1"/>
  <c r="D1991" i="1"/>
  <c r="F1990" i="1"/>
  <c r="E1990" i="1"/>
  <c r="D1990" i="1"/>
  <c r="F1989" i="1"/>
  <c r="E1989" i="1"/>
  <c r="D1989" i="1"/>
  <c r="F1988" i="1"/>
  <c r="E1988" i="1"/>
  <c r="D1988" i="1"/>
  <c r="F1987" i="1"/>
  <c r="E1987" i="1"/>
  <c r="D1987" i="1"/>
  <c r="F1986" i="1"/>
  <c r="E1986" i="1"/>
  <c r="D1986" i="1"/>
  <c r="F1985" i="1"/>
  <c r="E1985" i="1"/>
  <c r="D1985" i="1"/>
  <c r="F1984" i="1"/>
  <c r="E1984" i="1"/>
  <c r="D1984" i="1"/>
  <c r="F1983" i="1"/>
  <c r="E1983" i="1"/>
  <c r="D1983" i="1"/>
  <c r="F1982" i="1"/>
  <c r="E1982" i="1"/>
  <c r="D1982" i="1"/>
  <c r="F1981" i="1"/>
  <c r="E1981" i="1"/>
  <c r="D1981" i="1"/>
  <c r="F1980" i="1"/>
  <c r="E1980" i="1"/>
  <c r="D1980" i="1"/>
  <c r="F1979" i="1"/>
  <c r="E1979" i="1"/>
  <c r="D1979" i="1"/>
  <c r="F1978" i="1"/>
  <c r="E1978" i="1"/>
  <c r="D1978" i="1"/>
  <c r="F1977" i="1"/>
  <c r="E1977" i="1"/>
  <c r="D1977" i="1"/>
  <c r="F1976" i="1"/>
  <c r="E1976" i="1"/>
  <c r="D1976" i="1"/>
  <c r="F1975" i="1"/>
  <c r="E1975" i="1"/>
  <c r="D1975" i="1"/>
  <c r="F1974" i="1"/>
  <c r="E1974" i="1"/>
  <c r="D1974" i="1"/>
  <c r="F1973" i="1"/>
  <c r="E1973" i="1"/>
  <c r="D1973" i="1"/>
  <c r="F1972" i="1"/>
  <c r="E1972" i="1"/>
  <c r="D1972" i="1"/>
  <c r="F1971" i="1"/>
  <c r="E1971" i="1"/>
  <c r="D1971" i="1"/>
  <c r="F1970" i="1"/>
  <c r="E1970" i="1"/>
  <c r="D1970" i="1"/>
  <c r="F1969" i="1"/>
  <c r="E1969" i="1"/>
  <c r="D1969" i="1"/>
  <c r="F1968" i="1"/>
  <c r="E1968" i="1"/>
  <c r="D1968" i="1"/>
  <c r="F1967" i="1"/>
  <c r="E1967" i="1"/>
  <c r="D1967" i="1"/>
  <c r="F1966" i="1"/>
  <c r="E1966" i="1"/>
  <c r="D1966" i="1"/>
  <c r="F1965" i="1"/>
  <c r="E1965" i="1"/>
  <c r="D1965" i="1"/>
  <c r="F1964" i="1"/>
  <c r="E1964" i="1"/>
  <c r="D1964" i="1"/>
  <c r="F1963" i="1"/>
  <c r="E1963" i="1"/>
  <c r="D1963" i="1"/>
  <c r="F1962" i="1"/>
  <c r="E1962" i="1"/>
  <c r="D1962" i="1"/>
  <c r="F1961" i="1"/>
  <c r="E1961" i="1"/>
  <c r="D1961" i="1"/>
  <c r="F1960" i="1"/>
  <c r="E1960" i="1"/>
  <c r="D1960" i="1"/>
  <c r="F1959" i="1"/>
  <c r="E1959" i="1"/>
  <c r="D1959" i="1"/>
  <c r="F1958" i="1"/>
  <c r="E1958" i="1"/>
  <c r="D1958" i="1"/>
  <c r="F1957" i="1"/>
  <c r="E1957" i="1"/>
  <c r="D1957" i="1"/>
  <c r="F1956" i="1"/>
  <c r="E1956" i="1"/>
  <c r="D1956" i="1"/>
  <c r="F1955" i="1"/>
  <c r="E1955" i="1"/>
  <c r="D1955" i="1"/>
  <c r="F1954" i="1"/>
  <c r="E1954" i="1"/>
  <c r="D1954" i="1"/>
  <c r="F1953" i="1"/>
  <c r="E1953" i="1"/>
  <c r="D1953" i="1"/>
  <c r="F1952" i="1"/>
  <c r="E1952" i="1"/>
  <c r="D1952" i="1"/>
  <c r="F1951" i="1"/>
  <c r="E1951" i="1"/>
  <c r="D1951" i="1"/>
  <c r="F1950" i="1"/>
  <c r="E1950" i="1"/>
  <c r="D1950" i="1"/>
  <c r="F1949" i="1"/>
  <c r="E1949" i="1"/>
  <c r="D1949" i="1"/>
  <c r="F1948" i="1"/>
  <c r="E1948" i="1"/>
  <c r="D1948" i="1"/>
  <c r="F1947" i="1"/>
  <c r="E1947" i="1"/>
  <c r="D1947" i="1"/>
  <c r="F1946" i="1"/>
  <c r="E1946" i="1"/>
  <c r="D1946" i="1"/>
  <c r="F1945" i="1"/>
  <c r="E1945" i="1"/>
  <c r="D1945" i="1"/>
  <c r="F1944" i="1"/>
  <c r="E1944" i="1"/>
  <c r="D1944" i="1"/>
  <c r="F1943" i="1"/>
  <c r="E1943" i="1"/>
  <c r="D1943" i="1"/>
  <c r="F1942" i="1"/>
  <c r="E1942" i="1"/>
  <c r="D1942" i="1"/>
  <c r="F1941" i="1"/>
  <c r="E1941" i="1"/>
  <c r="D1941" i="1"/>
  <c r="F1940" i="1"/>
  <c r="E1940" i="1"/>
  <c r="D1940" i="1"/>
  <c r="F1939" i="1"/>
  <c r="E1939" i="1"/>
  <c r="D1939" i="1"/>
  <c r="F1938" i="1"/>
  <c r="E1938" i="1"/>
  <c r="D1938" i="1"/>
  <c r="F1937" i="1"/>
  <c r="E1937" i="1"/>
  <c r="D1937" i="1"/>
  <c r="F1936" i="1"/>
  <c r="E1936" i="1"/>
  <c r="D1936" i="1"/>
  <c r="F1935" i="1"/>
  <c r="E1935" i="1"/>
  <c r="D1935" i="1"/>
  <c r="F1934" i="1"/>
  <c r="E1934" i="1"/>
  <c r="D1934" i="1"/>
  <c r="F1933" i="1"/>
  <c r="E1933" i="1"/>
  <c r="D1933" i="1"/>
  <c r="F1932" i="1"/>
  <c r="E1932" i="1"/>
  <c r="D1932" i="1"/>
  <c r="F1931" i="1"/>
  <c r="E1931" i="1"/>
  <c r="D1931" i="1"/>
  <c r="F1930" i="1"/>
  <c r="E1930" i="1"/>
  <c r="D1930" i="1"/>
  <c r="F1929" i="1"/>
  <c r="E1929" i="1"/>
  <c r="D1929" i="1"/>
  <c r="F1928" i="1"/>
  <c r="E1928" i="1"/>
  <c r="D1928" i="1"/>
  <c r="F1927" i="1"/>
  <c r="E1927" i="1"/>
  <c r="D1927" i="1"/>
  <c r="F1926" i="1"/>
  <c r="E1926" i="1"/>
  <c r="D1926" i="1"/>
  <c r="F1925" i="1"/>
  <c r="E1925" i="1"/>
  <c r="D1925" i="1"/>
  <c r="F1924" i="1"/>
  <c r="E1924" i="1"/>
  <c r="D1924" i="1"/>
  <c r="F1923" i="1"/>
  <c r="E1923" i="1"/>
  <c r="D1923" i="1"/>
  <c r="F1922" i="1"/>
  <c r="E1922" i="1"/>
  <c r="D1922" i="1"/>
  <c r="F1921" i="1"/>
  <c r="E1921" i="1"/>
  <c r="D1921" i="1"/>
  <c r="F1920" i="1"/>
  <c r="E1920" i="1"/>
  <c r="D1920" i="1"/>
  <c r="F1919" i="1"/>
  <c r="E1919" i="1"/>
  <c r="D1919" i="1"/>
  <c r="F1918" i="1"/>
  <c r="E1918" i="1"/>
  <c r="D1918" i="1"/>
  <c r="F1917" i="1"/>
  <c r="E1917" i="1"/>
  <c r="D1917" i="1"/>
  <c r="F1916" i="1"/>
  <c r="E1916" i="1"/>
  <c r="D1916" i="1"/>
  <c r="F1915" i="1"/>
  <c r="E1915" i="1"/>
  <c r="D1915" i="1"/>
  <c r="F1914" i="1"/>
  <c r="E1914" i="1"/>
  <c r="D1914" i="1"/>
  <c r="F1913" i="1"/>
  <c r="E1913" i="1"/>
  <c r="D1913" i="1"/>
  <c r="F1912" i="1"/>
  <c r="E1912" i="1"/>
  <c r="D1912" i="1"/>
  <c r="F1911" i="1"/>
  <c r="E1911" i="1"/>
  <c r="D1911" i="1"/>
  <c r="F1910" i="1"/>
  <c r="E1910" i="1"/>
  <c r="D1910" i="1"/>
  <c r="F1909" i="1"/>
  <c r="E1909" i="1"/>
  <c r="D1909" i="1"/>
  <c r="F1908" i="1"/>
  <c r="E1908" i="1"/>
  <c r="D1908" i="1"/>
  <c r="F1907" i="1"/>
  <c r="E1907" i="1"/>
  <c r="D1907" i="1"/>
  <c r="F1906" i="1"/>
  <c r="E1906" i="1"/>
  <c r="D1906" i="1"/>
  <c r="F1905" i="1"/>
  <c r="E1905" i="1"/>
  <c r="D1905" i="1"/>
  <c r="F1904" i="1"/>
  <c r="E1904" i="1"/>
  <c r="D1904" i="1"/>
  <c r="F1903" i="1"/>
  <c r="E1903" i="1"/>
  <c r="D1903" i="1"/>
  <c r="F1902" i="1"/>
  <c r="E1902" i="1"/>
  <c r="D1902" i="1"/>
  <c r="F1901" i="1"/>
  <c r="E1901" i="1"/>
  <c r="D1901" i="1"/>
  <c r="F1900" i="1"/>
  <c r="E1900" i="1"/>
  <c r="D1900" i="1"/>
  <c r="F1899" i="1"/>
  <c r="E1899" i="1"/>
  <c r="D1899" i="1"/>
  <c r="F1898" i="1"/>
  <c r="E1898" i="1"/>
  <c r="D1898" i="1"/>
  <c r="F1897" i="1"/>
  <c r="E1897" i="1"/>
  <c r="D1897" i="1"/>
  <c r="F1896" i="1"/>
  <c r="E1896" i="1"/>
  <c r="D1896" i="1"/>
  <c r="F1895" i="1"/>
  <c r="E1895" i="1"/>
  <c r="D1895" i="1"/>
  <c r="F1894" i="1"/>
  <c r="E1894" i="1"/>
  <c r="D1894" i="1"/>
  <c r="F1893" i="1"/>
  <c r="E1893" i="1"/>
  <c r="D1893" i="1"/>
  <c r="F1892" i="1"/>
  <c r="E1892" i="1"/>
  <c r="D1892" i="1"/>
  <c r="F1891" i="1"/>
  <c r="E1891" i="1"/>
  <c r="D1891" i="1"/>
  <c r="F1890" i="1"/>
  <c r="E1890" i="1"/>
  <c r="D1890" i="1"/>
  <c r="F1889" i="1"/>
  <c r="E1889" i="1"/>
  <c r="D1889" i="1"/>
  <c r="F1888" i="1"/>
  <c r="E1888" i="1"/>
  <c r="D1888" i="1"/>
  <c r="F1887" i="1"/>
  <c r="E1887" i="1"/>
  <c r="D1887" i="1"/>
  <c r="F1886" i="1"/>
  <c r="E1886" i="1"/>
  <c r="D1886" i="1"/>
  <c r="F1885" i="1"/>
  <c r="E1885" i="1"/>
  <c r="D1885" i="1"/>
  <c r="F1884" i="1"/>
  <c r="E1884" i="1"/>
  <c r="D1884" i="1"/>
  <c r="F1883" i="1"/>
  <c r="E1883" i="1"/>
  <c r="D1883" i="1"/>
  <c r="F1882" i="1"/>
  <c r="E1882" i="1"/>
  <c r="D1882" i="1"/>
  <c r="F1881" i="1"/>
  <c r="E1881" i="1"/>
  <c r="D1881" i="1"/>
  <c r="F1880" i="1"/>
  <c r="E1880" i="1"/>
  <c r="D1880" i="1"/>
  <c r="F1879" i="1"/>
  <c r="E1879" i="1"/>
  <c r="D1879" i="1"/>
  <c r="F1878" i="1"/>
  <c r="E1878" i="1"/>
  <c r="D1878" i="1"/>
  <c r="F1877" i="1"/>
  <c r="E1877" i="1"/>
  <c r="D1877" i="1"/>
  <c r="F1876" i="1"/>
  <c r="E1876" i="1"/>
  <c r="D1876" i="1"/>
  <c r="F1875" i="1"/>
  <c r="E1875" i="1"/>
  <c r="D1875" i="1"/>
  <c r="F1874" i="1"/>
  <c r="E1874" i="1"/>
  <c r="D1874" i="1"/>
  <c r="F1873" i="1"/>
  <c r="E1873" i="1"/>
  <c r="D1873" i="1"/>
  <c r="F1872" i="1"/>
  <c r="E1872" i="1"/>
  <c r="D1872" i="1"/>
  <c r="F1871" i="1"/>
  <c r="E1871" i="1"/>
  <c r="D1871" i="1"/>
  <c r="F1870" i="1"/>
  <c r="E1870" i="1"/>
  <c r="D1870" i="1"/>
  <c r="F1869" i="1"/>
  <c r="E1869" i="1"/>
  <c r="D1869" i="1"/>
  <c r="F1868" i="1"/>
  <c r="E1868" i="1"/>
  <c r="D1868" i="1"/>
  <c r="F1867" i="1"/>
  <c r="E1867" i="1"/>
  <c r="D1867" i="1"/>
  <c r="F1866" i="1"/>
  <c r="E1866" i="1"/>
  <c r="D1866" i="1"/>
  <c r="F1865" i="1"/>
  <c r="E1865" i="1"/>
  <c r="D1865" i="1"/>
  <c r="F1864" i="1"/>
  <c r="E1864" i="1"/>
  <c r="D1864" i="1"/>
  <c r="F1863" i="1"/>
  <c r="E1863" i="1"/>
  <c r="D1863" i="1"/>
  <c r="F1862" i="1"/>
  <c r="E1862" i="1"/>
  <c r="D1862" i="1"/>
  <c r="F1861" i="1"/>
  <c r="E1861" i="1"/>
  <c r="D1861" i="1"/>
  <c r="F1860" i="1"/>
  <c r="E1860" i="1"/>
  <c r="D1860" i="1"/>
  <c r="F1859" i="1"/>
  <c r="E1859" i="1"/>
  <c r="D1859" i="1"/>
  <c r="F1858" i="1"/>
  <c r="E1858" i="1"/>
  <c r="D1858" i="1"/>
  <c r="F1857" i="1"/>
  <c r="E1857" i="1"/>
  <c r="D1857" i="1"/>
  <c r="F1856" i="1"/>
  <c r="E1856" i="1"/>
  <c r="D1856" i="1"/>
  <c r="F1855" i="1"/>
  <c r="E1855" i="1"/>
  <c r="D1855" i="1"/>
  <c r="F1854" i="1"/>
  <c r="E1854" i="1"/>
  <c r="D1854" i="1"/>
  <c r="F1853" i="1"/>
  <c r="E1853" i="1"/>
  <c r="D1853" i="1"/>
  <c r="F1852" i="1"/>
  <c r="E1852" i="1"/>
  <c r="D1852" i="1"/>
  <c r="F1851" i="1"/>
  <c r="E1851" i="1"/>
  <c r="D1851" i="1"/>
  <c r="F1850" i="1"/>
  <c r="E1850" i="1"/>
  <c r="D1850" i="1"/>
  <c r="F1849" i="1"/>
  <c r="E1849" i="1"/>
  <c r="D1849" i="1"/>
  <c r="F1848" i="1"/>
  <c r="E1848" i="1"/>
  <c r="D1848" i="1"/>
  <c r="F1847" i="1"/>
  <c r="E1847" i="1"/>
  <c r="D1847" i="1"/>
  <c r="F1846" i="1"/>
  <c r="E1846" i="1"/>
  <c r="D1846" i="1"/>
  <c r="F1845" i="1"/>
  <c r="E1845" i="1"/>
  <c r="D1845" i="1"/>
  <c r="F1844" i="1"/>
  <c r="E1844" i="1"/>
  <c r="D1844" i="1"/>
  <c r="F1843" i="1"/>
  <c r="E1843" i="1"/>
  <c r="D1843" i="1"/>
  <c r="F1842" i="1"/>
  <c r="E1842" i="1"/>
  <c r="D1842" i="1"/>
  <c r="F1841" i="1"/>
  <c r="E1841" i="1"/>
  <c r="D1841" i="1"/>
  <c r="F1840" i="1"/>
  <c r="E1840" i="1"/>
  <c r="D1840" i="1"/>
  <c r="F1839" i="1"/>
  <c r="E1839" i="1"/>
  <c r="D1839" i="1"/>
  <c r="F1838" i="1"/>
  <c r="E1838" i="1"/>
  <c r="D1838" i="1"/>
  <c r="F1837" i="1"/>
  <c r="E1837" i="1"/>
  <c r="D1837" i="1"/>
  <c r="F1836" i="1"/>
  <c r="E1836" i="1"/>
  <c r="D1836" i="1"/>
  <c r="F1835" i="1"/>
  <c r="E1835" i="1"/>
  <c r="D1835" i="1"/>
  <c r="F1834" i="1"/>
  <c r="E1834" i="1"/>
  <c r="D1834" i="1"/>
  <c r="F1833" i="1"/>
  <c r="E1833" i="1"/>
  <c r="D1833" i="1"/>
  <c r="F1832" i="1"/>
  <c r="E1832" i="1"/>
  <c r="D1832" i="1"/>
  <c r="F1831" i="1"/>
  <c r="E1831" i="1"/>
  <c r="D1831" i="1"/>
  <c r="F1830" i="1"/>
  <c r="E1830" i="1"/>
  <c r="D1830" i="1"/>
  <c r="F1829" i="1"/>
  <c r="E1829" i="1"/>
  <c r="D1829" i="1"/>
  <c r="F1828" i="1"/>
  <c r="E1828" i="1"/>
  <c r="D1828" i="1"/>
  <c r="F1827" i="1"/>
  <c r="E1827" i="1"/>
  <c r="D1827" i="1"/>
  <c r="F1826" i="1"/>
  <c r="E1826" i="1"/>
  <c r="D1826" i="1"/>
  <c r="F1825" i="1"/>
  <c r="E1825" i="1"/>
  <c r="D1825" i="1"/>
  <c r="F1824" i="1"/>
  <c r="E1824" i="1"/>
  <c r="D1824" i="1"/>
  <c r="F1823" i="1"/>
  <c r="E1823" i="1"/>
  <c r="D1823" i="1"/>
  <c r="F1822" i="1"/>
  <c r="E1822" i="1"/>
  <c r="D1822" i="1"/>
  <c r="F1821" i="1"/>
  <c r="E1821" i="1"/>
  <c r="D1821" i="1"/>
  <c r="F1820" i="1"/>
  <c r="E1820" i="1"/>
  <c r="D1820" i="1"/>
  <c r="F1819" i="1"/>
  <c r="E1819" i="1"/>
  <c r="D1819" i="1"/>
  <c r="F1818" i="1"/>
  <c r="E1818" i="1"/>
  <c r="D1818" i="1"/>
  <c r="F1817" i="1"/>
  <c r="E1817" i="1"/>
  <c r="D1817" i="1"/>
  <c r="F1816" i="1"/>
  <c r="E1816" i="1"/>
  <c r="D1816" i="1"/>
  <c r="F1815" i="1"/>
  <c r="E1815" i="1"/>
  <c r="D1815" i="1"/>
  <c r="F1814" i="1"/>
  <c r="E1814" i="1"/>
  <c r="D1814" i="1"/>
  <c r="F1813" i="1"/>
  <c r="E1813" i="1"/>
  <c r="D1813" i="1"/>
  <c r="F1812" i="1"/>
  <c r="E1812" i="1"/>
  <c r="D1812" i="1"/>
  <c r="F1811" i="1"/>
  <c r="E1811" i="1"/>
  <c r="D1811" i="1"/>
  <c r="F1810" i="1"/>
  <c r="E1810" i="1"/>
  <c r="D1810" i="1"/>
  <c r="F1809" i="1"/>
  <c r="E1809" i="1"/>
  <c r="D1809" i="1"/>
  <c r="F1808" i="1"/>
  <c r="E1808" i="1"/>
  <c r="D1808" i="1"/>
  <c r="F1807" i="1"/>
  <c r="E1807" i="1"/>
  <c r="D1807" i="1"/>
  <c r="F1806" i="1"/>
  <c r="E1806" i="1"/>
  <c r="D1806" i="1"/>
  <c r="F1805" i="1"/>
  <c r="E1805" i="1"/>
  <c r="D1805" i="1"/>
  <c r="F1804" i="1"/>
  <c r="E1804" i="1"/>
  <c r="D1804" i="1"/>
  <c r="F1803" i="1"/>
  <c r="E1803" i="1"/>
  <c r="D1803" i="1"/>
  <c r="F1802" i="1"/>
  <c r="E1802" i="1"/>
  <c r="D1802" i="1"/>
  <c r="F1801" i="1"/>
  <c r="E1801" i="1"/>
  <c r="D1801" i="1"/>
  <c r="F1800" i="1"/>
  <c r="E1800" i="1"/>
  <c r="D1800" i="1"/>
  <c r="F1799" i="1"/>
  <c r="E1799" i="1"/>
  <c r="D1799" i="1"/>
  <c r="F1798" i="1"/>
  <c r="E1798" i="1"/>
  <c r="D1798" i="1"/>
  <c r="F1797" i="1"/>
  <c r="E1797" i="1"/>
  <c r="D1797" i="1"/>
  <c r="F1796" i="1"/>
  <c r="E1796" i="1"/>
  <c r="D1796" i="1"/>
  <c r="F1795" i="1"/>
  <c r="E1795" i="1"/>
  <c r="D1795" i="1"/>
  <c r="F1794" i="1"/>
  <c r="E1794" i="1"/>
  <c r="D1794" i="1"/>
  <c r="F1793" i="1"/>
  <c r="E1793" i="1"/>
  <c r="D1793" i="1"/>
  <c r="F1792" i="1"/>
  <c r="E1792" i="1"/>
  <c r="D1792" i="1"/>
  <c r="F1791" i="1"/>
  <c r="E1791" i="1"/>
  <c r="D1791" i="1"/>
  <c r="F1790" i="1"/>
  <c r="E1790" i="1"/>
  <c r="D1790" i="1"/>
  <c r="F1789" i="1"/>
  <c r="E1789" i="1"/>
  <c r="D1789" i="1"/>
  <c r="F1788" i="1"/>
  <c r="E1788" i="1"/>
  <c r="D1788" i="1"/>
  <c r="F1787" i="1"/>
  <c r="E1787" i="1"/>
  <c r="D1787" i="1"/>
  <c r="F1786" i="1"/>
  <c r="E1786" i="1"/>
  <c r="D1786" i="1"/>
  <c r="F1785" i="1"/>
  <c r="E1785" i="1"/>
  <c r="D1785" i="1"/>
  <c r="F1784" i="1"/>
  <c r="E1784" i="1"/>
  <c r="D1784" i="1"/>
  <c r="F1783" i="1"/>
  <c r="E1783" i="1"/>
  <c r="D1783" i="1"/>
  <c r="F1782" i="1"/>
  <c r="E1782" i="1"/>
  <c r="D1782" i="1"/>
  <c r="F1781" i="1"/>
  <c r="E1781" i="1"/>
  <c r="D1781" i="1"/>
  <c r="F1780" i="1"/>
  <c r="E1780" i="1"/>
  <c r="D1780" i="1"/>
  <c r="F1779" i="1"/>
  <c r="E1779" i="1"/>
  <c r="D1779" i="1"/>
  <c r="F1778" i="1"/>
  <c r="E1778" i="1"/>
  <c r="D1778" i="1"/>
  <c r="F1777" i="1"/>
  <c r="E1777" i="1"/>
  <c r="D1777" i="1"/>
  <c r="F1776" i="1"/>
  <c r="E1776" i="1"/>
  <c r="D1776" i="1"/>
  <c r="F1775" i="1"/>
  <c r="E1775" i="1"/>
  <c r="D1775" i="1"/>
  <c r="F1774" i="1"/>
  <c r="E1774" i="1"/>
  <c r="D1774" i="1"/>
  <c r="F1773" i="1"/>
  <c r="E1773" i="1"/>
  <c r="D1773" i="1"/>
  <c r="F1772" i="1"/>
  <c r="E1772" i="1"/>
  <c r="D1772" i="1"/>
  <c r="F1771" i="1"/>
  <c r="E1771" i="1"/>
  <c r="D1771" i="1"/>
  <c r="F1770" i="1"/>
  <c r="E1770" i="1"/>
  <c r="D1770" i="1"/>
  <c r="F1769" i="1"/>
  <c r="E1769" i="1"/>
  <c r="D1769" i="1"/>
  <c r="F1768" i="1"/>
  <c r="E1768" i="1"/>
  <c r="D1768" i="1"/>
  <c r="F1767" i="1"/>
  <c r="E1767" i="1"/>
  <c r="D1767" i="1"/>
  <c r="F1766" i="1"/>
  <c r="E1766" i="1"/>
  <c r="D1766" i="1"/>
  <c r="F1765" i="1"/>
  <c r="E1765" i="1"/>
  <c r="D1765" i="1"/>
  <c r="F1764" i="1"/>
  <c r="E1764" i="1"/>
  <c r="D1764" i="1"/>
  <c r="F1763" i="1"/>
  <c r="E1763" i="1"/>
  <c r="D1763" i="1"/>
  <c r="F1762" i="1"/>
  <c r="E1762" i="1"/>
  <c r="D1762" i="1"/>
  <c r="F1761" i="1"/>
  <c r="E1761" i="1"/>
  <c r="D1761" i="1"/>
  <c r="F1760" i="1"/>
  <c r="E1760" i="1"/>
  <c r="D1760" i="1"/>
  <c r="F1759" i="1"/>
  <c r="E1759" i="1"/>
  <c r="D1759" i="1"/>
  <c r="F1758" i="1"/>
  <c r="E1758" i="1"/>
  <c r="D1758" i="1"/>
  <c r="F1757" i="1"/>
  <c r="E1757" i="1"/>
  <c r="D1757" i="1"/>
  <c r="F1756" i="1"/>
  <c r="E1756" i="1"/>
  <c r="D1756" i="1"/>
  <c r="F1755" i="1"/>
  <c r="E1755" i="1"/>
  <c r="D1755" i="1"/>
  <c r="F1754" i="1"/>
  <c r="E1754" i="1"/>
  <c r="D1754" i="1"/>
  <c r="F1753" i="1"/>
  <c r="E1753" i="1"/>
  <c r="D1753" i="1"/>
  <c r="F1752" i="1"/>
  <c r="E1752" i="1"/>
  <c r="D1752" i="1"/>
  <c r="F1751" i="1"/>
  <c r="E1751" i="1"/>
  <c r="D1751" i="1"/>
  <c r="F1750" i="1"/>
  <c r="E1750" i="1"/>
  <c r="D1750" i="1"/>
  <c r="F1749" i="1"/>
  <c r="E1749" i="1"/>
  <c r="D1749" i="1"/>
  <c r="F1748" i="1"/>
  <c r="E1748" i="1"/>
  <c r="D1748" i="1"/>
  <c r="F1747" i="1"/>
  <c r="E1747" i="1"/>
  <c r="D1747" i="1"/>
  <c r="F1746" i="1"/>
  <c r="E1746" i="1"/>
  <c r="D1746" i="1"/>
  <c r="F1745" i="1"/>
  <c r="E1745" i="1"/>
  <c r="D1745" i="1"/>
  <c r="F1744" i="1"/>
  <c r="E1744" i="1"/>
  <c r="D1744" i="1"/>
  <c r="F1743" i="1"/>
  <c r="E1743" i="1"/>
  <c r="D1743" i="1"/>
  <c r="F1742" i="1"/>
  <c r="E1742" i="1"/>
  <c r="D1742" i="1"/>
  <c r="F1741" i="1"/>
  <c r="E1741" i="1"/>
  <c r="D1741" i="1"/>
  <c r="F1740" i="1"/>
  <c r="E1740" i="1"/>
  <c r="D1740" i="1"/>
  <c r="F1739" i="1"/>
  <c r="E1739" i="1"/>
  <c r="D1739" i="1"/>
  <c r="F1738" i="1"/>
  <c r="E1738" i="1"/>
  <c r="D1738" i="1"/>
  <c r="F1737" i="1"/>
  <c r="E1737" i="1"/>
  <c r="D1737" i="1"/>
  <c r="F1736" i="1"/>
  <c r="E1736" i="1"/>
  <c r="D1736" i="1"/>
  <c r="F1735" i="1"/>
  <c r="E1735" i="1"/>
  <c r="D1735" i="1"/>
  <c r="F1734" i="1"/>
  <c r="E1734" i="1"/>
  <c r="D1734" i="1"/>
  <c r="F1733" i="1"/>
  <c r="E1733" i="1"/>
  <c r="D1733" i="1"/>
  <c r="F1732" i="1"/>
  <c r="E1732" i="1"/>
  <c r="D1732" i="1"/>
  <c r="F1731" i="1"/>
  <c r="E1731" i="1"/>
  <c r="D1731" i="1"/>
  <c r="F1730" i="1"/>
  <c r="E1730" i="1"/>
  <c r="D1730" i="1"/>
  <c r="F1729" i="1"/>
  <c r="E1729" i="1"/>
  <c r="D1729" i="1"/>
  <c r="F1728" i="1"/>
  <c r="E1728" i="1"/>
  <c r="D1728" i="1"/>
  <c r="F1727" i="1"/>
  <c r="E1727" i="1"/>
  <c r="D1727" i="1"/>
  <c r="F1726" i="1"/>
  <c r="E1726" i="1"/>
  <c r="D1726" i="1"/>
  <c r="F1725" i="1"/>
  <c r="E1725" i="1"/>
  <c r="D1725" i="1"/>
  <c r="F1724" i="1"/>
  <c r="E1724" i="1"/>
  <c r="D1724" i="1"/>
  <c r="F1723" i="1"/>
  <c r="E1723" i="1"/>
  <c r="D1723" i="1"/>
  <c r="F1722" i="1"/>
  <c r="E1722" i="1"/>
  <c r="D1722" i="1"/>
  <c r="F1721" i="1"/>
  <c r="E1721" i="1"/>
  <c r="D1721" i="1"/>
  <c r="F1720" i="1"/>
  <c r="E1720" i="1"/>
  <c r="D1720" i="1"/>
  <c r="F1719" i="1"/>
  <c r="E1719" i="1"/>
  <c r="D1719" i="1"/>
  <c r="F1718" i="1"/>
  <c r="E1718" i="1"/>
  <c r="D1718" i="1"/>
  <c r="F1717" i="1"/>
  <c r="E1717" i="1"/>
  <c r="D1717" i="1"/>
  <c r="F1716" i="1"/>
  <c r="E1716" i="1"/>
  <c r="D1716" i="1"/>
  <c r="F1715" i="1"/>
  <c r="E1715" i="1"/>
  <c r="D1715" i="1"/>
  <c r="F1714" i="1"/>
  <c r="E1714" i="1"/>
  <c r="D1714" i="1"/>
  <c r="F1713" i="1"/>
  <c r="E1713" i="1"/>
  <c r="D1713" i="1"/>
  <c r="F1712" i="1"/>
  <c r="E1712" i="1"/>
  <c r="D1712" i="1"/>
  <c r="F1711" i="1"/>
  <c r="E1711" i="1"/>
  <c r="D1711" i="1"/>
  <c r="F1710" i="1"/>
  <c r="E1710" i="1"/>
  <c r="D1710" i="1"/>
  <c r="F1709" i="1"/>
  <c r="E1709" i="1"/>
  <c r="D1709" i="1"/>
  <c r="F1708" i="1"/>
  <c r="E1708" i="1"/>
  <c r="D1708" i="1"/>
  <c r="F1707" i="1"/>
  <c r="E1707" i="1"/>
  <c r="D1707" i="1"/>
  <c r="F1706" i="1"/>
  <c r="E1706" i="1"/>
  <c r="D1706" i="1"/>
  <c r="F1705" i="1"/>
  <c r="E1705" i="1"/>
  <c r="D1705" i="1"/>
  <c r="F1704" i="1"/>
  <c r="E1704" i="1"/>
  <c r="D1704" i="1"/>
  <c r="F1703" i="1"/>
  <c r="E1703" i="1"/>
  <c r="D1703" i="1"/>
  <c r="F1702" i="1"/>
  <c r="E1702" i="1"/>
  <c r="D1702" i="1"/>
  <c r="F1701" i="1"/>
  <c r="E1701" i="1"/>
  <c r="D1701" i="1"/>
  <c r="F1700" i="1"/>
  <c r="E1700" i="1"/>
  <c r="D1700" i="1"/>
  <c r="F1699" i="1"/>
  <c r="E1699" i="1"/>
  <c r="D1699" i="1"/>
  <c r="F1698" i="1"/>
  <c r="E1698" i="1"/>
  <c r="D1698" i="1"/>
  <c r="F1697" i="1"/>
  <c r="E1697" i="1"/>
  <c r="D1697" i="1"/>
  <c r="F1696" i="1"/>
  <c r="E1696" i="1"/>
  <c r="D1696" i="1"/>
  <c r="F1695" i="1"/>
  <c r="E1695" i="1"/>
  <c r="D1695" i="1"/>
  <c r="F1694" i="1"/>
  <c r="E1694" i="1"/>
  <c r="D1694" i="1"/>
  <c r="F1693" i="1"/>
  <c r="E1693" i="1"/>
  <c r="D1693" i="1"/>
  <c r="F1692" i="1"/>
  <c r="E1692" i="1"/>
  <c r="D1692" i="1"/>
  <c r="F1691" i="1"/>
  <c r="E1691" i="1"/>
  <c r="D1691" i="1"/>
  <c r="F1690" i="1"/>
  <c r="E1690" i="1"/>
  <c r="D1690" i="1"/>
  <c r="F1689" i="1"/>
  <c r="E1689" i="1"/>
  <c r="D1689" i="1"/>
  <c r="F1688" i="1"/>
  <c r="E1688" i="1"/>
  <c r="D1688" i="1"/>
  <c r="F1687" i="1"/>
  <c r="E1687" i="1"/>
  <c r="D1687" i="1"/>
  <c r="F1686" i="1"/>
  <c r="E1686" i="1"/>
  <c r="D1686" i="1"/>
  <c r="F1685" i="1"/>
  <c r="E1685" i="1"/>
  <c r="D1685" i="1"/>
  <c r="F1684" i="1"/>
  <c r="E1684" i="1"/>
  <c r="D1684" i="1"/>
  <c r="F1683" i="1"/>
  <c r="E1683" i="1"/>
  <c r="D1683" i="1"/>
  <c r="F1682" i="1"/>
  <c r="E1682" i="1"/>
  <c r="D1682" i="1"/>
  <c r="F1681" i="1"/>
  <c r="E1681" i="1"/>
  <c r="D1681" i="1"/>
  <c r="F1680" i="1"/>
  <c r="E1680" i="1"/>
  <c r="D1680" i="1"/>
  <c r="F1679" i="1"/>
  <c r="E1679" i="1"/>
  <c r="D1679" i="1"/>
  <c r="F1678" i="1"/>
  <c r="E1678" i="1"/>
  <c r="D1678" i="1"/>
  <c r="F1677" i="1"/>
  <c r="E1677" i="1"/>
  <c r="D1677" i="1"/>
  <c r="F1676" i="1"/>
  <c r="E1676" i="1"/>
  <c r="D1676" i="1"/>
  <c r="F1675" i="1"/>
  <c r="E1675" i="1"/>
  <c r="D1675" i="1"/>
  <c r="F1674" i="1"/>
  <c r="E1674" i="1"/>
  <c r="D1674" i="1"/>
  <c r="F1673" i="1"/>
  <c r="E1673" i="1"/>
  <c r="D1673" i="1"/>
  <c r="F1672" i="1"/>
  <c r="E1672" i="1"/>
  <c r="D1672" i="1"/>
  <c r="F1671" i="1"/>
  <c r="E1671" i="1"/>
  <c r="D1671" i="1"/>
  <c r="F1670" i="1"/>
  <c r="E1670" i="1"/>
  <c r="D1670" i="1"/>
  <c r="F1669" i="1"/>
  <c r="E1669" i="1"/>
  <c r="D1669" i="1"/>
  <c r="F1668" i="1"/>
  <c r="E1668" i="1"/>
  <c r="D1668" i="1"/>
  <c r="F1667" i="1"/>
  <c r="E1667" i="1"/>
  <c r="D1667" i="1"/>
  <c r="F1666" i="1"/>
  <c r="E1666" i="1"/>
  <c r="D1666" i="1"/>
  <c r="F1665" i="1"/>
  <c r="E1665" i="1"/>
  <c r="D1665" i="1"/>
  <c r="F1664" i="1"/>
  <c r="E1664" i="1"/>
  <c r="D1664" i="1"/>
  <c r="F1663" i="1"/>
  <c r="E1663" i="1"/>
  <c r="D1663" i="1"/>
  <c r="F1662" i="1"/>
  <c r="E1662" i="1"/>
  <c r="D1662" i="1"/>
  <c r="F1661" i="1"/>
  <c r="E1661" i="1"/>
  <c r="D1661" i="1"/>
  <c r="F1660" i="1"/>
  <c r="E1660" i="1"/>
  <c r="D1660" i="1"/>
  <c r="F1659" i="1"/>
  <c r="E1659" i="1"/>
  <c r="D1659" i="1"/>
  <c r="F1658" i="1"/>
  <c r="E1658" i="1"/>
  <c r="D1658" i="1"/>
  <c r="F1657" i="1"/>
  <c r="E1657" i="1"/>
  <c r="D1657" i="1"/>
  <c r="F1656" i="1"/>
  <c r="E1656" i="1"/>
  <c r="D1656" i="1"/>
  <c r="F1655" i="1"/>
  <c r="E1655" i="1"/>
  <c r="D1655" i="1"/>
  <c r="F1654" i="1"/>
  <c r="E1654" i="1"/>
  <c r="D1654" i="1"/>
  <c r="F1653" i="1"/>
  <c r="E1653" i="1"/>
  <c r="D1653" i="1"/>
  <c r="F1652" i="1"/>
  <c r="E1652" i="1"/>
  <c r="D1652" i="1"/>
  <c r="F1651" i="1"/>
  <c r="E1651" i="1"/>
  <c r="D1651" i="1"/>
  <c r="F1650" i="1"/>
  <c r="E1650" i="1"/>
  <c r="D1650" i="1"/>
  <c r="F1649" i="1"/>
  <c r="E1649" i="1"/>
  <c r="D1649" i="1"/>
  <c r="F1648" i="1"/>
  <c r="E1648" i="1"/>
  <c r="D1648" i="1"/>
  <c r="F1647" i="1"/>
  <c r="E1647" i="1"/>
  <c r="D1647" i="1"/>
  <c r="F1646" i="1"/>
  <c r="E1646" i="1"/>
  <c r="D1646" i="1"/>
  <c r="F1645" i="1"/>
  <c r="E1645" i="1"/>
  <c r="D1645" i="1"/>
  <c r="F1644" i="1"/>
  <c r="E1644" i="1"/>
  <c r="D1644" i="1"/>
  <c r="F1643" i="1"/>
  <c r="E1643" i="1"/>
  <c r="D1643" i="1"/>
  <c r="F1642" i="1"/>
  <c r="E1642" i="1"/>
  <c r="D1642" i="1"/>
  <c r="F1641" i="1"/>
  <c r="E1641" i="1"/>
  <c r="D1641" i="1"/>
  <c r="F1640" i="1"/>
  <c r="E1640" i="1"/>
  <c r="D1640" i="1"/>
  <c r="F1639" i="1"/>
  <c r="E1639" i="1"/>
  <c r="D1639" i="1"/>
  <c r="F1638" i="1"/>
  <c r="E1638" i="1"/>
  <c r="D1638" i="1"/>
  <c r="F1637" i="1"/>
  <c r="E1637" i="1"/>
  <c r="D1637" i="1"/>
  <c r="F1636" i="1"/>
  <c r="E1636" i="1"/>
  <c r="D1636" i="1"/>
  <c r="F1635" i="1"/>
  <c r="E1635" i="1"/>
  <c r="D1635" i="1"/>
  <c r="F1634" i="1"/>
  <c r="E1634" i="1"/>
  <c r="D1634" i="1"/>
  <c r="F1633" i="1"/>
  <c r="E1633" i="1"/>
  <c r="D1633" i="1"/>
  <c r="F1632" i="1"/>
  <c r="E1632" i="1"/>
  <c r="D1632" i="1"/>
  <c r="F1631" i="1"/>
  <c r="E1631" i="1"/>
  <c r="D1631" i="1"/>
  <c r="F1630" i="1"/>
  <c r="E1630" i="1"/>
  <c r="D1630" i="1"/>
  <c r="F1629" i="1"/>
  <c r="E1629" i="1"/>
  <c r="D1629" i="1"/>
  <c r="F1628" i="1"/>
  <c r="E1628" i="1"/>
  <c r="D1628" i="1"/>
  <c r="F1627" i="1"/>
  <c r="E1627" i="1"/>
  <c r="D1627" i="1"/>
  <c r="F1626" i="1"/>
  <c r="E1626" i="1"/>
  <c r="D1626" i="1"/>
  <c r="F1625" i="1"/>
  <c r="E1625" i="1"/>
  <c r="D1625" i="1"/>
  <c r="F1624" i="1"/>
  <c r="E1624" i="1"/>
  <c r="D1624" i="1"/>
  <c r="F1623" i="1"/>
  <c r="E1623" i="1"/>
  <c r="D1623" i="1"/>
  <c r="F1622" i="1"/>
  <c r="E1622" i="1"/>
  <c r="D1622" i="1"/>
  <c r="F1621" i="1"/>
  <c r="E1621" i="1"/>
  <c r="D1621" i="1"/>
  <c r="F1620" i="1"/>
  <c r="E1620" i="1"/>
  <c r="D1620" i="1"/>
  <c r="F1619" i="1"/>
  <c r="E1619" i="1"/>
  <c r="D1619" i="1"/>
  <c r="F1618" i="1"/>
  <c r="E1618" i="1"/>
  <c r="D1618" i="1"/>
  <c r="F1617" i="1"/>
  <c r="E1617" i="1"/>
  <c r="D1617" i="1"/>
  <c r="F1616" i="1"/>
  <c r="E1616" i="1"/>
  <c r="D1616" i="1"/>
  <c r="F1615" i="1"/>
  <c r="E1615" i="1"/>
  <c r="D1615" i="1"/>
  <c r="F1614" i="1"/>
  <c r="E1614" i="1"/>
  <c r="D1614" i="1"/>
  <c r="F1613" i="1"/>
  <c r="E1613" i="1"/>
  <c r="D1613" i="1"/>
  <c r="F1612" i="1"/>
  <c r="E1612" i="1"/>
  <c r="D1612" i="1"/>
  <c r="F1611" i="1"/>
  <c r="E1611" i="1"/>
  <c r="D1611" i="1"/>
  <c r="F1610" i="1"/>
  <c r="E1610" i="1"/>
  <c r="D1610" i="1"/>
  <c r="F1609" i="1"/>
  <c r="E1609" i="1"/>
  <c r="D1609" i="1"/>
  <c r="F1608" i="1"/>
  <c r="E1608" i="1"/>
  <c r="D1608" i="1"/>
  <c r="F1607" i="1"/>
  <c r="E1607" i="1"/>
  <c r="D1607" i="1"/>
  <c r="F1606" i="1"/>
  <c r="E1606" i="1"/>
  <c r="D1606" i="1"/>
  <c r="F1605" i="1"/>
  <c r="E1605" i="1"/>
  <c r="D1605" i="1"/>
  <c r="F1604" i="1"/>
  <c r="E1604" i="1"/>
  <c r="D1604" i="1"/>
  <c r="F1603" i="1"/>
  <c r="E1603" i="1"/>
  <c r="D1603" i="1"/>
  <c r="F1602" i="1"/>
  <c r="E1602" i="1"/>
  <c r="D1602" i="1"/>
  <c r="F1601" i="1"/>
  <c r="E1601" i="1"/>
  <c r="D1601" i="1"/>
  <c r="F1600" i="1"/>
  <c r="E1600" i="1"/>
  <c r="D1600" i="1"/>
  <c r="F1599" i="1"/>
  <c r="E1599" i="1"/>
  <c r="D1599" i="1"/>
  <c r="F1598" i="1"/>
  <c r="E1598" i="1"/>
  <c r="D1598" i="1"/>
  <c r="F1597" i="1"/>
  <c r="E1597" i="1"/>
  <c r="D1597" i="1"/>
  <c r="F1596" i="1"/>
  <c r="E1596" i="1"/>
  <c r="D1596" i="1"/>
  <c r="F1595" i="1"/>
  <c r="E1595" i="1"/>
  <c r="D1595" i="1"/>
  <c r="F1594" i="1"/>
  <c r="E1594" i="1"/>
  <c r="D1594" i="1"/>
  <c r="F1593" i="1"/>
  <c r="E1593" i="1"/>
  <c r="D1593" i="1"/>
  <c r="F1592" i="1"/>
  <c r="E1592" i="1"/>
  <c r="D1592" i="1"/>
  <c r="F1591" i="1"/>
  <c r="E1591" i="1"/>
  <c r="D1591" i="1"/>
  <c r="F1590" i="1"/>
  <c r="E1590" i="1"/>
  <c r="D1590" i="1"/>
  <c r="F1589" i="1"/>
  <c r="E1589" i="1"/>
  <c r="D1589" i="1"/>
  <c r="F1588" i="1"/>
  <c r="E1588" i="1"/>
  <c r="D1588" i="1"/>
  <c r="F1587" i="1"/>
  <c r="E1587" i="1"/>
  <c r="D1587" i="1"/>
  <c r="F1586" i="1"/>
  <c r="E1586" i="1"/>
  <c r="D1586" i="1"/>
  <c r="F1585" i="1"/>
  <c r="E1585" i="1"/>
  <c r="D1585" i="1"/>
  <c r="F1584" i="1"/>
  <c r="E1584" i="1"/>
  <c r="D1584" i="1"/>
  <c r="F1583" i="1"/>
  <c r="E1583" i="1"/>
  <c r="D1583" i="1"/>
  <c r="F1582" i="1"/>
  <c r="E1582" i="1"/>
  <c r="D1582" i="1"/>
  <c r="F1581" i="1"/>
  <c r="E1581" i="1"/>
  <c r="D1581" i="1"/>
  <c r="F1580" i="1"/>
  <c r="E1580" i="1"/>
  <c r="D1580" i="1"/>
  <c r="F1579" i="1"/>
  <c r="E1579" i="1"/>
  <c r="D1579" i="1"/>
  <c r="F1578" i="1"/>
  <c r="E1578" i="1"/>
  <c r="D1578" i="1"/>
  <c r="F1577" i="1"/>
  <c r="E1577" i="1"/>
  <c r="D1577" i="1"/>
  <c r="F1576" i="1"/>
  <c r="E1576" i="1"/>
  <c r="D1576" i="1"/>
  <c r="F1575" i="1"/>
  <c r="E1575" i="1"/>
  <c r="D1575" i="1"/>
  <c r="F1574" i="1"/>
  <c r="E1574" i="1"/>
  <c r="D1574" i="1"/>
  <c r="F1573" i="1"/>
  <c r="E1573" i="1"/>
  <c r="D1573" i="1"/>
  <c r="F1572" i="1"/>
  <c r="E1572" i="1"/>
  <c r="D1572" i="1"/>
  <c r="F1571" i="1"/>
  <c r="E1571" i="1"/>
  <c r="D1571" i="1"/>
  <c r="F1570" i="1"/>
  <c r="E1570" i="1"/>
  <c r="D1570" i="1"/>
  <c r="F1569" i="1"/>
  <c r="E1569" i="1"/>
  <c r="D1569" i="1"/>
  <c r="F1568" i="1"/>
  <c r="E1568" i="1"/>
  <c r="D1568" i="1"/>
  <c r="F1567" i="1"/>
  <c r="E1567" i="1"/>
  <c r="D1567" i="1"/>
  <c r="F1566" i="1"/>
  <c r="E1566" i="1"/>
  <c r="D1566" i="1"/>
  <c r="F1565" i="1"/>
  <c r="E1565" i="1"/>
  <c r="D1565" i="1"/>
  <c r="F1564" i="1"/>
  <c r="E1564" i="1"/>
  <c r="D1564" i="1"/>
  <c r="F1563" i="1"/>
  <c r="E1563" i="1"/>
  <c r="D1563" i="1"/>
  <c r="F1562" i="1"/>
  <c r="E1562" i="1"/>
  <c r="D1562" i="1"/>
  <c r="F1561" i="1"/>
  <c r="E1561" i="1"/>
  <c r="D1561" i="1"/>
  <c r="F1560" i="1"/>
  <c r="E1560" i="1"/>
  <c r="D1560" i="1"/>
  <c r="F1559" i="1"/>
  <c r="E1559" i="1"/>
  <c r="D1559" i="1"/>
  <c r="F1558" i="1"/>
  <c r="E1558" i="1"/>
  <c r="D1558" i="1"/>
  <c r="F1557" i="1"/>
  <c r="E1557" i="1"/>
  <c r="D1557" i="1"/>
  <c r="F1556" i="1"/>
  <c r="E1556" i="1"/>
  <c r="D1556" i="1"/>
  <c r="F1555" i="1"/>
  <c r="E1555" i="1"/>
  <c r="D1555" i="1"/>
  <c r="F1554" i="1"/>
  <c r="E1554" i="1"/>
  <c r="D1554" i="1"/>
  <c r="F1553" i="1"/>
  <c r="E1553" i="1"/>
  <c r="D1553" i="1"/>
  <c r="F1552" i="1"/>
  <c r="E1552" i="1"/>
  <c r="D1552" i="1"/>
  <c r="F1551" i="1"/>
  <c r="E1551" i="1"/>
  <c r="D1551" i="1"/>
  <c r="F1550" i="1"/>
  <c r="E1550" i="1"/>
  <c r="D1550" i="1"/>
  <c r="F1549" i="1"/>
  <c r="E1549" i="1"/>
  <c r="D1549" i="1"/>
  <c r="F1548" i="1"/>
  <c r="E1548" i="1"/>
  <c r="D1548" i="1"/>
  <c r="F1547" i="1"/>
  <c r="E1547" i="1"/>
  <c r="D1547" i="1"/>
  <c r="F1546" i="1"/>
  <c r="E1546" i="1"/>
  <c r="D1546" i="1"/>
  <c r="F1545" i="1"/>
  <c r="E1545" i="1"/>
  <c r="D1545" i="1"/>
  <c r="F1544" i="1"/>
  <c r="E1544" i="1"/>
  <c r="D1544" i="1"/>
  <c r="F1543" i="1"/>
  <c r="E1543" i="1"/>
  <c r="D1543" i="1"/>
  <c r="F1542" i="1"/>
  <c r="E1542" i="1"/>
  <c r="D1542" i="1"/>
  <c r="F1541" i="1"/>
  <c r="E1541" i="1"/>
  <c r="D1541" i="1"/>
  <c r="F1540" i="1"/>
  <c r="E1540" i="1"/>
  <c r="D1540" i="1"/>
  <c r="F1539" i="1"/>
  <c r="E1539" i="1"/>
  <c r="D1539" i="1"/>
  <c r="F1538" i="1"/>
  <c r="E1538" i="1"/>
  <c r="D1538" i="1"/>
  <c r="F1537" i="1"/>
  <c r="E1537" i="1"/>
  <c r="D1537" i="1"/>
  <c r="F1536" i="1"/>
  <c r="E1536" i="1"/>
  <c r="D1536" i="1"/>
  <c r="F1535" i="1"/>
  <c r="E1535" i="1"/>
  <c r="D1535" i="1"/>
  <c r="F1534" i="1"/>
  <c r="E1534" i="1"/>
  <c r="D1534" i="1"/>
  <c r="F1533" i="1"/>
  <c r="E1533" i="1"/>
  <c r="D1533" i="1"/>
  <c r="F1532" i="1"/>
  <c r="E1532" i="1"/>
  <c r="D1532" i="1"/>
  <c r="F1531" i="1"/>
  <c r="E1531" i="1"/>
  <c r="D1531" i="1"/>
  <c r="F1530" i="1"/>
  <c r="E1530" i="1"/>
  <c r="D1530" i="1"/>
  <c r="F1529" i="1"/>
  <c r="E1529" i="1"/>
  <c r="D1529" i="1"/>
  <c r="F1528" i="1"/>
  <c r="E1528" i="1"/>
  <c r="D1528" i="1"/>
  <c r="F1527" i="1"/>
  <c r="E1527" i="1"/>
  <c r="D1527" i="1"/>
  <c r="F1526" i="1"/>
  <c r="E1526" i="1"/>
  <c r="D1526" i="1"/>
  <c r="F1525" i="1"/>
  <c r="E1525" i="1"/>
  <c r="D1525" i="1"/>
  <c r="F1524" i="1"/>
  <c r="E1524" i="1"/>
  <c r="D1524" i="1"/>
  <c r="F1523" i="1"/>
  <c r="E1523" i="1"/>
  <c r="D1523" i="1"/>
  <c r="F1522" i="1"/>
  <c r="E1522" i="1"/>
  <c r="D1522" i="1"/>
  <c r="F1521" i="1"/>
  <c r="E1521" i="1"/>
  <c r="D1521" i="1"/>
  <c r="F1520" i="1"/>
  <c r="E1520" i="1"/>
  <c r="D1520" i="1"/>
  <c r="F1519" i="1"/>
  <c r="E1519" i="1"/>
  <c r="D1519" i="1"/>
  <c r="F1518" i="1"/>
  <c r="E1518" i="1"/>
  <c r="D1518" i="1"/>
  <c r="F1517" i="1"/>
  <c r="E1517" i="1"/>
  <c r="D1517" i="1"/>
  <c r="F1516" i="1"/>
  <c r="E1516" i="1"/>
  <c r="D1516" i="1"/>
  <c r="F1515" i="1"/>
  <c r="E1515" i="1"/>
  <c r="D1515" i="1"/>
  <c r="F1514" i="1"/>
  <c r="E1514" i="1"/>
  <c r="D1514" i="1"/>
  <c r="F1513" i="1"/>
  <c r="E1513" i="1"/>
  <c r="D1513" i="1"/>
  <c r="F1512" i="1"/>
  <c r="E1512" i="1"/>
  <c r="D1512" i="1"/>
  <c r="F1511" i="1"/>
  <c r="E1511" i="1"/>
  <c r="D1511" i="1"/>
  <c r="F1510" i="1"/>
  <c r="E1510" i="1"/>
  <c r="D1510" i="1"/>
  <c r="F1509" i="1"/>
  <c r="E1509" i="1"/>
  <c r="D1509" i="1"/>
  <c r="F1508" i="1"/>
  <c r="E1508" i="1"/>
  <c r="D1508" i="1"/>
  <c r="F1507" i="1"/>
  <c r="E1507" i="1"/>
  <c r="D1507" i="1"/>
  <c r="F1506" i="1"/>
  <c r="E1506" i="1"/>
  <c r="D1506" i="1"/>
  <c r="F1505" i="1"/>
  <c r="E1505" i="1"/>
  <c r="D1505" i="1"/>
  <c r="F1504" i="1"/>
  <c r="E1504" i="1"/>
  <c r="D1504" i="1"/>
  <c r="F1503" i="1"/>
  <c r="E1503" i="1"/>
  <c r="D1503" i="1"/>
  <c r="F1502" i="1"/>
  <c r="E1502" i="1"/>
  <c r="D1502" i="1"/>
  <c r="F1501" i="1"/>
  <c r="E1501" i="1"/>
  <c r="D1501" i="1"/>
  <c r="F1500" i="1"/>
  <c r="E1500" i="1"/>
  <c r="D1500" i="1"/>
  <c r="F1499" i="1"/>
  <c r="E1499" i="1"/>
  <c r="D1499" i="1"/>
  <c r="F1498" i="1"/>
  <c r="E1498" i="1"/>
  <c r="D1498" i="1"/>
  <c r="F1497" i="1"/>
  <c r="E1497" i="1"/>
  <c r="D1497" i="1"/>
  <c r="F1496" i="1"/>
  <c r="E1496" i="1"/>
  <c r="D1496" i="1"/>
  <c r="F1495" i="1"/>
  <c r="E1495" i="1"/>
  <c r="D1495" i="1"/>
  <c r="F1494" i="1"/>
  <c r="E1494" i="1"/>
  <c r="D1494" i="1"/>
  <c r="F1493" i="1"/>
  <c r="E1493" i="1"/>
  <c r="D1493" i="1"/>
  <c r="F1492" i="1"/>
  <c r="E1492" i="1"/>
  <c r="D1492" i="1"/>
  <c r="F1491" i="1"/>
  <c r="E1491" i="1"/>
  <c r="D1491" i="1"/>
  <c r="F1490" i="1"/>
  <c r="E1490" i="1"/>
  <c r="D1490" i="1"/>
  <c r="F1489" i="1"/>
  <c r="E1489" i="1"/>
  <c r="D1489" i="1"/>
  <c r="F1488" i="1"/>
  <c r="E1488" i="1"/>
  <c r="D1488" i="1"/>
  <c r="F1487" i="1"/>
  <c r="E1487" i="1"/>
  <c r="D1487" i="1"/>
  <c r="F1486" i="1"/>
  <c r="E1486" i="1"/>
  <c r="D1486" i="1"/>
  <c r="F1485" i="1"/>
  <c r="E1485" i="1"/>
  <c r="D1485" i="1"/>
  <c r="F1484" i="1"/>
  <c r="E1484" i="1"/>
  <c r="D1484" i="1"/>
  <c r="F1483" i="1"/>
  <c r="E1483" i="1"/>
  <c r="D1483" i="1"/>
  <c r="F1482" i="1"/>
  <c r="E1482" i="1"/>
  <c r="D1482" i="1"/>
  <c r="F1481" i="1"/>
  <c r="E1481" i="1"/>
  <c r="D1481" i="1"/>
  <c r="F1480" i="1"/>
  <c r="E1480" i="1"/>
  <c r="D1480" i="1"/>
  <c r="F1479" i="1"/>
  <c r="E1479" i="1"/>
  <c r="D1479" i="1"/>
  <c r="F1478" i="1"/>
  <c r="E1478" i="1"/>
  <c r="D1478" i="1"/>
  <c r="F1477" i="1"/>
  <c r="E1477" i="1"/>
  <c r="D1477" i="1"/>
  <c r="F1476" i="1"/>
  <c r="E1476" i="1"/>
  <c r="D1476" i="1"/>
  <c r="F1475" i="1"/>
  <c r="E1475" i="1"/>
  <c r="D1475" i="1"/>
  <c r="F1474" i="1"/>
  <c r="E1474" i="1"/>
  <c r="D1474" i="1"/>
  <c r="F1473" i="1"/>
  <c r="E1473" i="1"/>
  <c r="D1473" i="1"/>
  <c r="F1472" i="1"/>
  <c r="E1472" i="1"/>
  <c r="D1472" i="1"/>
  <c r="F1471" i="1"/>
  <c r="E1471" i="1"/>
  <c r="D1471" i="1"/>
  <c r="F1470" i="1"/>
  <c r="E1470" i="1"/>
  <c r="D1470" i="1"/>
  <c r="F1469" i="1"/>
  <c r="E1469" i="1"/>
  <c r="D1469" i="1"/>
  <c r="F1468" i="1"/>
  <c r="E1468" i="1"/>
  <c r="D1468" i="1"/>
  <c r="F1467" i="1"/>
  <c r="E1467" i="1"/>
  <c r="D1467" i="1"/>
  <c r="F1466" i="1"/>
  <c r="E1466" i="1"/>
  <c r="D1466" i="1"/>
  <c r="F1465" i="1"/>
  <c r="E1465" i="1"/>
  <c r="D1465" i="1"/>
  <c r="F1464" i="1"/>
  <c r="E1464" i="1"/>
  <c r="D1464" i="1"/>
  <c r="F1463" i="1"/>
  <c r="E1463" i="1"/>
  <c r="D1463" i="1"/>
  <c r="F1462" i="1"/>
  <c r="E1462" i="1"/>
  <c r="D1462" i="1"/>
  <c r="F1461" i="1"/>
  <c r="E1461" i="1"/>
  <c r="D1461" i="1"/>
  <c r="F1460" i="1"/>
  <c r="E1460" i="1"/>
  <c r="D1460" i="1"/>
  <c r="F1459" i="1"/>
  <c r="E1459" i="1"/>
  <c r="D1459" i="1"/>
  <c r="F1458" i="1"/>
  <c r="E1458" i="1"/>
  <c r="D1458" i="1"/>
  <c r="F1457" i="1"/>
  <c r="E1457" i="1"/>
  <c r="D1457" i="1"/>
  <c r="F1456" i="1"/>
  <c r="E1456" i="1"/>
  <c r="D1456" i="1"/>
  <c r="F1455" i="1"/>
  <c r="E1455" i="1"/>
  <c r="D1455" i="1"/>
  <c r="F1454" i="1"/>
  <c r="E1454" i="1"/>
  <c r="D1454" i="1"/>
  <c r="F1453" i="1"/>
  <c r="E1453" i="1"/>
  <c r="D1453" i="1"/>
  <c r="F1452" i="1"/>
  <c r="E1452" i="1"/>
  <c r="D1452" i="1"/>
  <c r="F1451" i="1"/>
  <c r="E1451" i="1"/>
  <c r="D1451" i="1"/>
  <c r="F1450" i="1"/>
  <c r="E1450" i="1"/>
  <c r="D1450" i="1"/>
  <c r="F1449" i="1"/>
  <c r="E1449" i="1"/>
  <c r="D1449" i="1"/>
  <c r="F1448" i="1"/>
  <c r="E1448" i="1"/>
  <c r="D1448" i="1"/>
  <c r="F1447" i="1"/>
  <c r="E1447" i="1"/>
  <c r="D1447" i="1"/>
  <c r="F1446" i="1"/>
  <c r="E1446" i="1"/>
  <c r="D1446" i="1"/>
  <c r="F1445" i="1"/>
  <c r="E1445" i="1"/>
  <c r="D1445" i="1"/>
  <c r="F1444" i="1"/>
  <c r="E1444" i="1"/>
  <c r="D1444" i="1"/>
  <c r="F1443" i="1"/>
  <c r="E1443" i="1"/>
  <c r="D1443" i="1"/>
  <c r="F1442" i="1"/>
  <c r="E1442" i="1"/>
  <c r="D1442" i="1"/>
  <c r="F1441" i="1"/>
  <c r="E1441" i="1"/>
  <c r="D1441" i="1"/>
  <c r="F1440" i="1"/>
  <c r="E1440" i="1"/>
  <c r="D1440" i="1"/>
  <c r="F1439" i="1"/>
  <c r="E1439" i="1"/>
  <c r="D1439" i="1"/>
  <c r="F1438" i="1"/>
  <c r="E1438" i="1"/>
  <c r="D1438" i="1"/>
  <c r="F1437" i="1"/>
  <c r="E1437" i="1"/>
  <c r="D1437" i="1"/>
  <c r="F1436" i="1"/>
  <c r="E1436" i="1"/>
  <c r="D1436" i="1"/>
  <c r="F1435" i="1"/>
  <c r="E1435" i="1"/>
  <c r="D1435" i="1"/>
  <c r="F1434" i="1"/>
  <c r="E1434" i="1"/>
  <c r="D1434" i="1"/>
  <c r="F1433" i="1"/>
  <c r="E1433" i="1"/>
  <c r="D1433" i="1"/>
  <c r="F1432" i="1"/>
  <c r="E1432" i="1"/>
  <c r="D1432" i="1"/>
  <c r="F1431" i="1"/>
  <c r="E1431" i="1"/>
  <c r="D1431" i="1"/>
  <c r="F1430" i="1"/>
  <c r="E1430" i="1"/>
  <c r="D1430" i="1"/>
  <c r="F1429" i="1"/>
  <c r="E1429" i="1"/>
  <c r="D1429" i="1"/>
  <c r="F1428" i="1"/>
  <c r="E1428" i="1"/>
  <c r="D1428" i="1"/>
  <c r="F1427" i="1"/>
  <c r="E1427" i="1"/>
  <c r="D1427" i="1"/>
  <c r="F1426" i="1"/>
  <c r="E1426" i="1"/>
  <c r="D1426" i="1"/>
  <c r="F1425" i="1"/>
  <c r="E1425" i="1"/>
  <c r="D1425" i="1"/>
  <c r="F1424" i="1"/>
  <c r="E1424" i="1"/>
  <c r="D1424" i="1"/>
  <c r="F1423" i="1"/>
  <c r="E1423" i="1"/>
  <c r="D1423" i="1"/>
  <c r="F1422" i="1"/>
  <c r="E1422" i="1"/>
  <c r="D1422" i="1"/>
  <c r="F1421" i="1"/>
  <c r="E1421" i="1"/>
  <c r="D1421" i="1"/>
  <c r="F1420" i="1"/>
  <c r="E1420" i="1"/>
  <c r="D1420" i="1"/>
  <c r="F1419" i="1"/>
  <c r="E1419" i="1"/>
  <c r="D1419" i="1"/>
  <c r="F1418" i="1"/>
  <c r="E1418" i="1"/>
  <c r="D1418" i="1"/>
  <c r="F1417" i="1"/>
  <c r="E1417" i="1"/>
  <c r="D1417" i="1"/>
  <c r="F1416" i="1"/>
  <c r="E1416" i="1"/>
  <c r="D1416" i="1"/>
  <c r="F1415" i="1"/>
  <c r="E1415" i="1"/>
  <c r="D1415" i="1"/>
  <c r="F1414" i="1"/>
  <c r="E1414" i="1"/>
  <c r="D1414" i="1"/>
  <c r="F1413" i="1"/>
  <c r="E1413" i="1"/>
  <c r="D1413" i="1"/>
  <c r="F1412" i="1"/>
  <c r="E1412" i="1"/>
  <c r="D1412" i="1"/>
  <c r="F1411" i="1"/>
  <c r="E1411" i="1"/>
  <c r="D1411" i="1"/>
  <c r="F1410" i="1"/>
  <c r="E1410" i="1"/>
  <c r="D1410" i="1"/>
  <c r="F1409" i="1"/>
  <c r="E1409" i="1"/>
  <c r="D1409" i="1"/>
  <c r="F1408" i="1"/>
  <c r="E1408" i="1"/>
  <c r="D1408" i="1"/>
  <c r="F1407" i="1"/>
  <c r="E1407" i="1"/>
  <c r="D1407" i="1"/>
  <c r="F1406" i="1"/>
  <c r="E1406" i="1"/>
  <c r="D1406" i="1"/>
  <c r="F1405" i="1"/>
  <c r="E1405" i="1"/>
  <c r="D1405" i="1"/>
  <c r="F1404" i="1"/>
  <c r="E1404" i="1"/>
  <c r="D1404" i="1"/>
  <c r="F1403" i="1"/>
  <c r="E1403" i="1"/>
  <c r="D1403" i="1"/>
  <c r="F1402" i="1"/>
  <c r="E1402" i="1"/>
  <c r="D1402" i="1"/>
  <c r="F1401" i="1"/>
  <c r="E1401" i="1"/>
  <c r="D1401" i="1"/>
  <c r="F1400" i="1"/>
  <c r="E1400" i="1"/>
  <c r="D1400" i="1"/>
  <c r="F1399" i="1"/>
  <c r="E1399" i="1"/>
  <c r="D1399" i="1"/>
  <c r="F1398" i="1"/>
  <c r="E1398" i="1"/>
  <c r="D1398" i="1"/>
  <c r="F1397" i="1"/>
  <c r="E1397" i="1"/>
  <c r="D1397" i="1"/>
  <c r="F1396" i="1"/>
  <c r="E1396" i="1"/>
  <c r="D1396" i="1"/>
  <c r="F1395" i="1"/>
  <c r="E1395" i="1"/>
  <c r="D1395" i="1"/>
  <c r="F1394" i="1"/>
  <c r="E1394" i="1"/>
  <c r="D1394" i="1"/>
  <c r="F1393" i="1"/>
  <c r="E1393" i="1"/>
  <c r="D1393" i="1"/>
  <c r="F1392" i="1"/>
  <c r="E1392" i="1"/>
  <c r="D1392" i="1"/>
  <c r="F1391" i="1"/>
  <c r="E1391" i="1"/>
  <c r="D1391" i="1"/>
  <c r="F1390" i="1"/>
  <c r="E1390" i="1"/>
  <c r="D1390" i="1"/>
  <c r="F1389" i="1"/>
  <c r="E1389" i="1"/>
  <c r="D1389" i="1"/>
  <c r="F1388" i="1"/>
  <c r="E1388" i="1"/>
  <c r="D1388" i="1"/>
  <c r="F1387" i="1"/>
  <c r="E1387" i="1"/>
  <c r="D1387" i="1"/>
  <c r="F1386" i="1"/>
  <c r="E1386" i="1"/>
  <c r="D1386" i="1"/>
  <c r="F1385" i="1"/>
  <c r="E1385" i="1"/>
  <c r="D1385" i="1"/>
  <c r="F1384" i="1"/>
  <c r="E1384" i="1"/>
  <c r="D1384" i="1"/>
  <c r="F1383" i="1"/>
  <c r="E1383" i="1"/>
  <c r="D1383" i="1"/>
  <c r="F1382" i="1"/>
  <c r="E1382" i="1"/>
  <c r="D1382" i="1"/>
  <c r="F1381" i="1"/>
  <c r="E1381" i="1"/>
  <c r="D1381" i="1"/>
  <c r="F1380" i="1"/>
  <c r="E1380" i="1"/>
  <c r="D1380" i="1"/>
  <c r="F1379" i="1"/>
  <c r="E1379" i="1"/>
  <c r="D1379" i="1"/>
  <c r="F1378" i="1"/>
  <c r="E1378" i="1"/>
  <c r="D1378" i="1"/>
  <c r="F1377" i="1"/>
  <c r="E1377" i="1"/>
  <c r="D1377" i="1"/>
  <c r="F1376" i="1"/>
  <c r="E1376" i="1"/>
  <c r="D1376" i="1"/>
  <c r="F1375" i="1"/>
  <c r="E1375" i="1"/>
  <c r="D1375" i="1"/>
  <c r="F1374" i="1"/>
  <c r="E1374" i="1"/>
  <c r="D1374" i="1"/>
  <c r="F1373" i="1"/>
  <c r="E1373" i="1"/>
  <c r="D1373" i="1"/>
  <c r="F1372" i="1"/>
  <c r="E1372" i="1"/>
  <c r="D1372" i="1"/>
  <c r="F1371" i="1"/>
  <c r="E1371" i="1"/>
  <c r="D1371" i="1"/>
  <c r="F1370" i="1"/>
  <c r="E1370" i="1"/>
  <c r="D1370" i="1"/>
  <c r="F1369" i="1"/>
  <c r="E1369" i="1"/>
  <c r="D1369" i="1"/>
  <c r="F1368" i="1"/>
  <c r="E1368" i="1"/>
  <c r="D1368" i="1"/>
  <c r="F1367" i="1"/>
  <c r="E1367" i="1"/>
  <c r="D1367" i="1"/>
  <c r="F1366" i="1"/>
  <c r="E1366" i="1"/>
  <c r="D1366" i="1"/>
  <c r="F1365" i="1"/>
  <c r="E1365" i="1"/>
  <c r="D1365" i="1"/>
  <c r="F1364" i="1"/>
  <c r="E1364" i="1"/>
  <c r="D1364" i="1"/>
  <c r="F1363" i="1"/>
  <c r="E1363" i="1"/>
  <c r="D1363" i="1"/>
  <c r="F1362" i="1"/>
  <c r="E1362" i="1"/>
  <c r="D1362" i="1"/>
  <c r="F1361" i="1"/>
  <c r="E1361" i="1"/>
  <c r="D1361" i="1"/>
  <c r="F1360" i="1"/>
  <c r="E1360" i="1"/>
  <c r="D1360" i="1"/>
  <c r="F1359" i="1"/>
  <c r="E1359" i="1"/>
  <c r="D1359" i="1"/>
  <c r="F1358" i="1"/>
  <c r="E1358" i="1"/>
  <c r="D1358" i="1"/>
  <c r="F1357" i="1"/>
  <c r="E1357" i="1"/>
  <c r="D1357" i="1"/>
  <c r="F1356" i="1"/>
  <c r="E1356" i="1"/>
  <c r="D1356" i="1"/>
  <c r="F1355" i="1"/>
  <c r="E1355" i="1"/>
  <c r="D1355" i="1"/>
  <c r="F1354" i="1"/>
  <c r="E1354" i="1"/>
  <c r="D1354" i="1"/>
  <c r="F1353" i="1"/>
  <c r="E1353" i="1"/>
  <c r="D1353" i="1"/>
  <c r="F1352" i="1"/>
  <c r="E1352" i="1"/>
  <c r="D1352" i="1"/>
  <c r="F1351" i="1"/>
  <c r="E1351" i="1"/>
  <c r="D1351" i="1"/>
  <c r="F1350" i="1"/>
  <c r="E1350" i="1"/>
  <c r="D1350" i="1"/>
  <c r="F1349" i="1"/>
  <c r="E1349" i="1"/>
  <c r="D1349" i="1"/>
  <c r="F1348" i="1"/>
  <c r="E1348" i="1"/>
  <c r="D1348" i="1"/>
  <c r="F1347" i="1"/>
  <c r="E1347" i="1"/>
  <c r="D1347" i="1"/>
  <c r="F1346" i="1"/>
  <c r="E1346" i="1"/>
  <c r="D1346" i="1"/>
  <c r="F1345" i="1"/>
  <c r="E1345" i="1"/>
  <c r="D1345" i="1"/>
  <c r="F1344" i="1"/>
  <c r="E1344" i="1"/>
  <c r="D1344" i="1"/>
  <c r="F1343" i="1"/>
  <c r="E1343" i="1"/>
  <c r="D1343" i="1"/>
  <c r="F1342" i="1"/>
  <c r="E1342" i="1"/>
  <c r="D1342" i="1"/>
  <c r="F1341" i="1"/>
  <c r="E1341" i="1"/>
  <c r="D1341" i="1"/>
  <c r="F1340" i="1"/>
  <c r="E1340" i="1"/>
  <c r="D1340" i="1"/>
  <c r="F1339" i="1"/>
  <c r="E1339" i="1"/>
  <c r="D1339" i="1"/>
  <c r="F1338" i="1"/>
  <c r="E1338" i="1"/>
  <c r="D1338" i="1"/>
  <c r="F1337" i="1"/>
  <c r="E1337" i="1"/>
  <c r="D1337" i="1"/>
  <c r="F1336" i="1"/>
  <c r="E1336" i="1"/>
  <c r="D1336" i="1"/>
  <c r="F1335" i="1"/>
  <c r="E1335" i="1"/>
  <c r="D1335" i="1"/>
  <c r="F1334" i="1"/>
  <c r="E1334" i="1"/>
  <c r="D1334" i="1"/>
  <c r="F1333" i="1"/>
  <c r="E1333" i="1"/>
  <c r="D1333" i="1"/>
  <c r="F1332" i="1"/>
  <c r="E1332" i="1"/>
  <c r="D1332" i="1"/>
  <c r="F1331" i="1"/>
  <c r="E1331" i="1"/>
  <c r="D1331" i="1"/>
  <c r="F1330" i="1"/>
  <c r="E1330" i="1"/>
  <c r="D1330" i="1"/>
  <c r="F1329" i="1"/>
  <c r="E1329" i="1"/>
  <c r="D1329" i="1"/>
  <c r="F1328" i="1"/>
  <c r="E1328" i="1"/>
  <c r="D1328" i="1"/>
  <c r="F1327" i="1"/>
  <c r="E1327" i="1"/>
  <c r="D1327" i="1"/>
  <c r="F1326" i="1"/>
  <c r="E1326" i="1"/>
  <c r="D1326" i="1"/>
  <c r="F1325" i="1"/>
  <c r="E1325" i="1"/>
  <c r="D1325" i="1"/>
  <c r="F1324" i="1"/>
  <c r="E1324" i="1"/>
  <c r="D1324" i="1"/>
  <c r="F1323" i="1"/>
  <c r="E1323" i="1"/>
  <c r="D1323" i="1"/>
  <c r="F1322" i="1"/>
  <c r="E1322" i="1"/>
  <c r="D1322" i="1"/>
  <c r="F1321" i="1"/>
  <c r="E1321" i="1"/>
  <c r="D1321" i="1"/>
  <c r="F1320" i="1"/>
  <c r="E1320" i="1"/>
  <c r="D1320" i="1"/>
  <c r="F1319" i="1"/>
  <c r="E1319" i="1"/>
  <c r="D1319" i="1"/>
  <c r="F1318" i="1"/>
  <c r="E1318" i="1"/>
  <c r="D1318" i="1"/>
  <c r="F1317" i="1"/>
  <c r="E1317" i="1"/>
  <c r="D1317" i="1"/>
  <c r="F1316" i="1"/>
  <c r="E1316" i="1"/>
  <c r="D1316" i="1"/>
  <c r="F1315" i="1"/>
  <c r="E1315" i="1"/>
  <c r="D1315" i="1"/>
  <c r="F1314" i="1"/>
  <c r="E1314" i="1"/>
  <c r="D1314" i="1"/>
  <c r="F1313" i="1"/>
  <c r="E1313" i="1"/>
  <c r="D1313" i="1"/>
  <c r="F1312" i="1"/>
  <c r="E1312" i="1"/>
  <c r="D1312" i="1"/>
  <c r="F1311" i="1"/>
  <c r="E1311" i="1"/>
  <c r="D1311" i="1"/>
  <c r="F1310" i="1"/>
  <c r="E1310" i="1"/>
  <c r="D1310" i="1"/>
  <c r="F1309" i="1"/>
  <c r="E1309" i="1"/>
  <c r="D1309" i="1"/>
  <c r="F1308" i="1"/>
  <c r="E1308" i="1"/>
  <c r="D1308" i="1"/>
  <c r="F1307" i="1"/>
  <c r="E1307" i="1"/>
  <c r="D1307" i="1"/>
  <c r="F1306" i="1"/>
  <c r="E1306" i="1"/>
  <c r="D1306" i="1"/>
  <c r="F1305" i="1"/>
  <c r="E1305" i="1"/>
  <c r="D1305" i="1"/>
  <c r="F1304" i="1"/>
  <c r="E1304" i="1"/>
  <c r="D1304" i="1"/>
  <c r="F1303" i="1"/>
  <c r="E1303" i="1"/>
  <c r="D1303" i="1"/>
  <c r="F1302" i="1"/>
  <c r="E1302" i="1"/>
  <c r="D1302" i="1"/>
  <c r="F1301" i="1"/>
  <c r="E1301" i="1"/>
  <c r="D1301" i="1"/>
  <c r="F1300" i="1"/>
  <c r="E1300" i="1"/>
  <c r="D1300" i="1"/>
  <c r="F1299" i="1"/>
  <c r="E1299" i="1"/>
  <c r="D1299" i="1"/>
  <c r="F1298" i="1"/>
  <c r="E1298" i="1"/>
  <c r="D1298" i="1"/>
  <c r="F1297" i="1"/>
  <c r="E1297" i="1"/>
  <c r="D1297" i="1"/>
  <c r="F1296" i="1"/>
  <c r="E1296" i="1"/>
  <c r="D1296" i="1"/>
  <c r="F1295" i="1"/>
  <c r="E1295" i="1"/>
  <c r="D1295" i="1"/>
  <c r="F1294" i="1"/>
  <c r="E1294" i="1"/>
  <c r="D1294" i="1"/>
  <c r="F1293" i="1"/>
  <c r="E1293" i="1"/>
  <c r="D1293" i="1"/>
  <c r="F1292" i="1"/>
  <c r="E1292" i="1"/>
  <c r="D1292" i="1"/>
  <c r="F1291" i="1"/>
  <c r="E1291" i="1"/>
  <c r="D1291" i="1"/>
  <c r="F1290" i="1"/>
  <c r="E1290" i="1"/>
  <c r="D1290" i="1"/>
  <c r="F1289" i="1"/>
  <c r="E1289" i="1"/>
  <c r="D1289" i="1"/>
  <c r="F1288" i="1"/>
  <c r="E1288" i="1"/>
  <c r="D1288" i="1"/>
  <c r="F1287" i="1"/>
  <c r="E1287" i="1"/>
  <c r="D1287" i="1"/>
  <c r="F1286" i="1"/>
  <c r="E1286" i="1"/>
  <c r="D1286" i="1"/>
  <c r="F1285" i="1"/>
  <c r="E1285" i="1"/>
  <c r="D1285" i="1"/>
  <c r="F1284" i="1"/>
  <c r="E1284" i="1"/>
  <c r="D1284" i="1"/>
  <c r="F1283" i="1"/>
  <c r="E1283" i="1"/>
  <c r="D1283" i="1"/>
  <c r="F1282" i="1"/>
  <c r="E1282" i="1"/>
  <c r="D1282" i="1"/>
  <c r="F1281" i="1"/>
  <c r="E1281" i="1"/>
  <c r="D1281" i="1"/>
  <c r="F1280" i="1"/>
  <c r="E1280" i="1"/>
  <c r="D1280" i="1"/>
  <c r="F1279" i="1"/>
  <c r="E1279" i="1"/>
  <c r="D1279" i="1"/>
  <c r="F1278" i="1"/>
  <c r="E1278" i="1"/>
  <c r="D1278" i="1"/>
  <c r="F1277" i="1"/>
  <c r="E1277" i="1"/>
  <c r="D1277" i="1"/>
  <c r="F1276" i="1"/>
  <c r="E1276" i="1"/>
  <c r="D1276" i="1"/>
  <c r="F1275" i="1"/>
  <c r="E1275" i="1"/>
  <c r="D1275" i="1"/>
  <c r="F1274" i="1"/>
  <c r="E1274" i="1"/>
  <c r="D1274" i="1"/>
  <c r="F1273" i="1"/>
  <c r="E1273" i="1"/>
  <c r="D1273" i="1"/>
  <c r="F1272" i="1"/>
  <c r="E1272" i="1"/>
  <c r="D1272" i="1"/>
  <c r="F1271" i="1"/>
  <c r="E1271" i="1"/>
  <c r="D1271" i="1"/>
  <c r="F1270" i="1"/>
  <c r="E1270" i="1"/>
  <c r="D1270" i="1"/>
  <c r="F1269" i="1"/>
  <c r="E1269" i="1"/>
  <c r="D1269" i="1"/>
  <c r="F1268" i="1"/>
  <c r="E1268" i="1"/>
  <c r="D1268" i="1"/>
  <c r="F1267" i="1"/>
  <c r="E1267" i="1"/>
  <c r="D1267" i="1"/>
  <c r="F1266" i="1"/>
  <c r="E1266" i="1"/>
  <c r="D1266" i="1"/>
  <c r="F1265" i="1"/>
  <c r="E1265" i="1"/>
  <c r="D1265" i="1"/>
  <c r="F1264" i="1"/>
  <c r="E1264" i="1"/>
  <c r="D1264" i="1"/>
  <c r="F1263" i="1"/>
  <c r="E1263" i="1"/>
  <c r="D1263" i="1"/>
  <c r="F1262" i="1"/>
  <c r="E1262" i="1"/>
  <c r="D1262" i="1"/>
  <c r="F1261" i="1"/>
  <c r="E1261" i="1"/>
  <c r="D1261" i="1"/>
  <c r="F1260" i="1"/>
  <c r="E1260" i="1"/>
  <c r="D1260" i="1"/>
  <c r="F1259" i="1"/>
  <c r="E1259" i="1"/>
  <c r="D1259" i="1"/>
  <c r="F1258" i="1"/>
  <c r="E1258" i="1"/>
  <c r="D1258" i="1"/>
  <c r="F1257" i="1"/>
  <c r="E1257" i="1"/>
  <c r="D1257" i="1"/>
  <c r="F1256" i="1"/>
  <c r="E1256" i="1"/>
  <c r="D1256" i="1"/>
  <c r="F1255" i="1"/>
  <c r="E1255" i="1"/>
  <c r="D1255" i="1"/>
  <c r="F1254" i="1"/>
  <c r="E1254" i="1"/>
  <c r="D1254" i="1"/>
  <c r="F1253" i="1"/>
  <c r="E1253" i="1"/>
  <c r="D1253" i="1"/>
  <c r="F1252" i="1"/>
  <c r="E1252" i="1"/>
  <c r="D1252" i="1"/>
  <c r="F1251" i="1"/>
  <c r="E1251" i="1"/>
  <c r="D1251" i="1"/>
  <c r="F1250" i="1"/>
  <c r="E1250" i="1"/>
  <c r="D1250" i="1"/>
  <c r="F1249" i="1"/>
  <c r="E1249" i="1"/>
  <c r="D1249" i="1"/>
  <c r="F1248" i="1"/>
  <c r="E1248" i="1"/>
  <c r="D1248" i="1"/>
  <c r="F1247" i="1"/>
  <c r="E1247" i="1"/>
  <c r="D1247" i="1"/>
  <c r="F1246" i="1"/>
  <c r="E1246" i="1"/>
  <c r="D1246" i="1"/>
  <c r="F1245" i="1"/>
  <c r="E1245" i="1"/>
  <c r="D1245" i="1"/>
  <c r="F1244" i="1"/>
  <c r="E1244" i="1"/>
  <c r="D1244" i="1"/>
  <c r="F1243" i="1"/>
  <c r="E1243" i="1"/>
  <c r="D1243" i="1"/>
  <c r="F1242" i="1"/>
  <c r="E1242" i="1"/>
  <c r="D1242" i="1"/>
  <c r="F1241" i="1"/>
  <c r="E1241" i="1"/>
  <c r="D1241" i="1"/>
  <c r="F1240" i="1"/>
  <c r="E1240" i="1"/>
  <c r="D1240" i="1"/>
  <c r="F1239" i="1"/>
  <c r="E1239" i="1"/>
  <c r="D1239" i="1"/>
  <c r="F1238" i="1"/>
  <c r="E1238" i="1"/>
  <c r="D1238" i="1"/>
  <c r="F1237" i="1"/>
  <c r="E1237" i="1"/>
  <c r="D1237" i="1"/>
  <c r="F1236" i="1"/>
  <c r="E1236" i="1"/>
  <c r="D1236" i="1"/>
  <c r="F1235" i="1"/>
  <c r="E1235" i="1"/>
  <c r="D1235" i="1"/>
  <c r="F1234" i="1"/>
  <c r="E1234" i="1"/>
  <c r="D1234" i="1"/>
  <c r="F1233" i="1"/>
  <c r="E1233" i="1"/>
  <c r="D1233" i="1"/>
  <c r="F1232" i="1"/>
  <c r="E1232" i="1"/>
  <c r="D1232" i="1"/>
  <c r="F1231" i="1"/>
  <c r="E1231" i="1"/>
  <c r="D1231" i="1"/>
  <c r="F1230" i="1"/>
  <c r="E1230" i="1"/>
  <c r="D1230" i="1"/>
  <c r="F1229" i="1"/>
  <c r="E1229" i="1"/>
  <c r="D1229" i="1"/>
  <c r="F1228" i="1"/>
  <c r="E1228" i="1"/>
  <c r="D1228" i="1"/>
  <c r="F1227" i="1"/>
  <c r="E1227" i="1"/>
  <c r="D1227" i="1"/>
  <c r="F1226" i="1"/>
  <c r="E1226" i="1"/>
  <c r="D1226" i="1"/>
  <c r="F1225" i="1"/>
  <c r="E1225" i="1"/>
  <c r="D1225" i="1"/>
  <c r="F1224" i="1"/>
  <c r="E1224" i="1"/>
  <c r="D1224" i="1"/>
  <c r="F1223" i="1"/>
  <c r="E1223" i="1"/>
  <c r="D1223" i="1"/>
  <c r="F1222" i="1"/>
  <c r="E1222" i="1"/>
  <c r="D1222" i="1"/>
  <c r="F1221" i="1"/>
  <c r="E1221" i="1"/>
  <c r="D1221" i="1"/>
  <c r="F1220" i="1"/>
  <c r="E1220" i="1"/>
  <c r="D1220" i="1"/>
  <c r="F1219" i="1"/>
  <c r="E1219" i="1"/>
  <c r="D1219" i="1"/>
  <c r="F1218" i="1"/>
  <c r="E1218" i="1"/>
  <c r="D1218" i="1"/>
  <c r="F1217" i="1"/>
  <c r="E1217" i="1"/>
  <c r="D1217" i="1"/>
  <c r="F1216" i="1"/>
  <c r="E1216" i="1"/>
  <c r="D1216" i="1"/>
  <c r="F1215" i="1"/>
  <c r="E1215" i="1"/>
  <c r="D1215" i="1"/>
  <c r="F1214" i="1"/>
  <c r="E1214" i="1"/>
  <c r="D1214" i="1"/>
  <c r="F1213" i="1"/>
  <c r="E1213" i="1"/>
  <c r="D1213" i="1"/>
  <c r="F1212" i="1"/>
  <c r="E1212" i="1"/>
  <c r="D1212" i="1"/>
  <c r="F1211" i="1"/>
  <c r="E1211" i="1"/>
  <c r="D1211" i="1"/>
  <c r="F1210" i="1"/>
  <c r="E1210" i="1"/>
  <c r="D1210" i="1"/>
  <c r="F1209" i="1"/>
  <c r="E1209" i="1"/>
  <c r="D1209" i="1"/>
  <c r="F1208" i="1"/>
  <c r="E1208" i="1"/>
  <c r="D1208" i="1"/>
  <c r="F1207" i="1"/>
  <c r="E1207" i="1"/>
  <c r="D1207" i="1"/>
  <c r="F1206" i="1"/>
  <c r="E1206" i="1"/>
  <c r="D1206" i="1"/>
  <c r="F1205" i="1"/>
  <c r="E1205" i="1"/>
  <c r="D1205" i="1"/>
  <c r="F1204" i="1"/>
  <c r="E1204" i="1"/>
  <c r="D1204" i="1"/>
  <c r="F1203" i="1"/>
  <c r="E1203" i="1"/>
  <c r="D1203" i="1"/>
  <c r="F1202" i="1"/>
  <c r="E1202" i="1"/>
  <c r="D1202" i="1"/>
  <c r="F1201" i="1"/>
  <c r="E1201" i="1"/>
  <c r="D1201" i="1"/>
  <c r="F1200" i="1"/>
  <c r="E1200" i="1"/>
  <c r="D1200" i="1"/>
  <c r="F1199" i="1"/>
  <c r="E1199" i="1"/>
  <c r="D1199" i="1"/>
  <c r="F1198" i="1"/>
  <c r="E1198" i="1"/>
  <c r="D1198" i="1"/>
  <c r="F1197" i="1"/>
  <c r="E1197" i="1"/>
  <c r="D1197" i="1"/>
  <c r="F1196" i="1"/>
  <c r="E1196" i="1"/>
  <c r="D1196" i="1"/>
  <c r="F1195" i="1"/>
  <c r="E1195" i="1"/>
  <c r="D1195" i="1"/>
  <c r="F1194" i="1"/>
  <c r="E1194" i="1"/>
  <c r="D1194" i="1"/>
  <c r="F1193" i="1"/>
  <c r="E1193" i="1"/>
  <c r="D1193" i="1"/>
  <c r="F1192" i="1"/>
  <c r="E1192" i="1"/>
  <c r="D1192" i="1"/>
  <c r="F1191" i="1"/>
  <c r="E1191" i="1"/>
  <c r="D1191" i="1"/>
  <c r="F1190" i="1"/>
  <c r="E1190" i="1"/>
  <c r="D1190" i="1"/>
  <c r="F1189" i="1"/>
  <c r="E1189" i="1"/>
  <c r="D1189" i="1"/>
  <c r="F1188" i="1"/>
  <c r="E1188" i="1"/>
  <c r="D1188" i="1"/>
  <c r="F1187" i="1"/>
  <c r="E1187" i="1"/>
  <c r="D1187" i="1"/>
  <c r="F1186" i="1"/>
  <c r="E1186" i="1"/>
  <c r="D1186" i="1"/>
  <c r="F1185" i="1"/>
  <c r="E1185" i="1"/>
  <c r="D1185" i="1"/>
  <c r="F1184" i="1"/>
  <c r="E1184" i="1"/>
  <c r="D1184" i="1"/>
  <c r="F1183" i="1"/>
  <c r="E1183" i="1"/>
  <c r="D1183" i="1"/>
  <c r="F1182" i="1"/>
  <c r="E1182" i="1"/>
  <c r="D1182" i="1"/>
  <c r="F1181" i="1"/>
  <c r="E1181" i="1"/>
  <c r="D1181" i="1"/>
  <c r="F1180" i="1"/>
  <c r="E1180" i="1"/>
  <c r="D1180" i="1"/>
  <c r="F1179" i="1"/>
  <c r="E1179" i="1"/>
  <c r="D1179" i="1"/>
  <c r="F1178" i="1"/>
  <c r="E1178" i="1"/>
  <c r="D1178" i="1"/>
  <c r="F1177" i="1"/>
  <c r="E1177" i="1"/>
  <c r="D1177" i="1"/>
  <c r="F1176" i="1"/>
  <c r="E1176" i="1"/>
  <c r="D1176" i="1"/>
  <c r="F1175" i="1"/>
  <c r="E1175" i="1"/>
  <c r="D1175" i="1"/>
  <c r="F1174" i="1"/>
  <c r="E1174" i="1"/>
  <c r="D1174" i="1"/>
  <c r="F1173" i="1"/>
  <c r="E1173" i="1"/>
  <c r="D1173" i="1"/>
  <c r="F1172" i="1"/>
  <c r="E1172" i="1"/>
  <c r="D1172" i="1"/>
  <c r="F1171" i="1"/>
  <c r="E1171" i="1"/>
  <c r="D1171" i="1"/>
  <c r="F1170" i="1"/>
  <c r="E1170" i="1"/>
  <c r="D1170" i="1"/>
  <c r="F1169" i="1"/>
  <c r="E1169" i="1"/>
  <c r="D1169" i="1"/>
  <c r="F1168" i="1"/>
  <c r="E1168" i="1"/>
  <c r="D1168" i="1"/>
  <c r="F1167" i="1"/>
  <c r="E1167" i="1"/>
  <c r="D1167" i="1"/>
  <c r="F1166" i="1"/>
  <c r="E1166" i="1"/>
  <c r="D1166" i="1"/>
  <c r="F1165" i="1"/>
  <c r="E1165" i="1"/>
  <c r="D1165" i="1"/>
  <c r="F1164" i="1"/>
  <c r="E1164" i="1"/>
  <c r="D1164" i="1"/>
  <c r="F1163" i="1"/>
  <c r="E1163" i="1"/>
  <c r="D1163" i="1"/>
  <c r="F1162" i="1"/>
  <c r="E1162" i="1"/>
  <c r="D1162" i="1"/>
  <c r="F1161" i="1"/>
  <c r="E1161" i="1"/>
  <c r="D1161" i="1"/>
  <c r="F1160" i="1"/>
  <c r="E1160" i="1"/>
  <c r="D1160" i="1"/>
  <c r="F1159" i="1"/>
  <c r="E1159" i="1"/>
  <c r="D1159" i="1"/>
  <c r="F1158" i="1"/>
  <c r="E1158" i="1"/>
  <c r="D1158" i="1"/>
  <c r="F1157" i="1"/>
  <c r="E1157" i="1"/>
  <c r="D1157" i="1"/>
  <c r="F1156" i="1"/>
  <c r="E1156" i="1"/>
  <c r="D1156" i="1"/>
  <c r="F1155" i="1"/>
  <c r="E1155" i="1"/>
  <c r="D1155" i="1"/>
  <c r="F1154" i="1"/>
  <c r="E1154" i="1"/>
  <c r="D1154" i="1"/>
  <c r="F1153" i="1"/>
  <c r="E1153" i="1"/>
  <c r="D1153" i="1"/>
  <c r="F1152" i="1"/>
  <c r="E1152" i="1"/>
  <c r="D1152" i="1"/>
  <c r="F1151" i="1"/>
  <c r="E1151" i="1"/>
  <c r="D1151" i="1"/>
  <c r="F1150" i="1"/>
  <c r="E1150" i="1"/>
  <c r="D1150" i="1"/>
  <c r="F1149" i="1"/>
  <c r="E1149" i="1"/>
  <c r="D1149" i="1"/>
  <c r="F1148" i="1"/>
  <c r="E1148" i="1"/>
  <c r="D1148" i="1"/>
  <c r="F1147" i="1"/>
  <c r="E1147" i="1"/>
  <c r="D1147" i="1"/>
  <c r="F1146" i="1"/>
  <c r="E1146" i="1"/>
  <c r="D1146" i="1"/>
  <c r="F1145" i="1"/>
  <c r="E1145" i="1"/>
  <c r="D1145" i="1"/>
  <c r="F1144" i="1"/>
  <c r="E1144" i="1"/>
  <c r="D1144" i="1"/>
  <c r="F1143" i="1"/>
  <c r="E1143" i="1"/>
  <c r="D1143" i="1"/>
  <c r="F1142" i="1"/>
  <c r="E1142" i="1"/>
  <c r="D1142" i="1"/>
  <c r="F1141" i="1"/>
  <c r="E1141" i="1"/>
  <c r="D1141" i="1"/>
  <c r="F1140" i="1"/>
  <c r="E1140" i="1"/>
  <c r="D1140" i="1"/>
  <c r="F1139" i="1"/>
  <c r="E1139" i="1"/>
  <c r="D1139" i="1"/>
  <c r="F1138" i="1"/>
  <c r="E1138" i="1"/>
  <c r="D1138" i="1"/>
  <c r="F1137" i="1"/>
  <c r="E1137" i="1"/>
  <c r="D1137" i="1"/>
  <c r="F1136" i="1"/>
  <c r="E1136" i="1"/>
  <c r="D1136" i="1"/>
  <c r="F1135" i="1"/>
  <c r="E1135" i="1"/>
  <c r="D1135" i="1"/>
  <c r="F1134" i="1"/>
  <c r="E1134" i="1"/>
  <c r="D1134" i="1"/>
  <c r="F1133" i="1"/>
  <c r="E1133" i="1"/>
  <c r="D1133" i="1"/>
  <c r="F1132" i="1"/>
  <c r="E1132" i="1"/>
  <c r="D1132" i="1"/>
  <c r="F1131" i="1"/>
  <c r="E1131" i="1"/>
  <c r="D1131" i="1"/>
  <c r="F1130" i="1"/>
  <c r="E1130" i="1"/>
  <c r="D1130" i="1"/>
  <c r="F1129" i="1"/>
  <c r="E1129" i="1"/>
  <c r="D1129" i="1"/>
  <c r="F1128" i="1"/>
  <c r="E1128" i="1"/>
  <c r="D1128" i="1"/>
  <c r="F1127" i="1"/>
  <c r="E1127" i="1"/>
  <c r="D1127" i="1"/>
  <c r="F1126" i="1"/>
  <c r="E1126" i="1"/>
  <c r="D1126" i="1"/>
  <c r="F1125" i="1"/>
  <c r="E1125" i="1"/>
  <c r="D1125" i="1"/>
  <c r="F1124" i="1"/>
  <c r="E1124" i="1"/>
  <c r="D1124" i="1"/>
  <c r="F1123" i="1"/>
  <c r="E1123" i="1"/>
  <c r="D1123" i="1"/>
  <c r="F1122" i="1"/>
  <c r="E1122" i="1"/>
  <c r="D1122" i="1"/>
  <c r="F1121" i="1"/>
  <c r="E1121" i="1"/>
  <c r="D1121" i="1"/>
  <c r="F1120" i="1"/>
  <c r="E1120" i="1"/>
  <c r="D1120" i="1"/>
  <c r="F1119" i="1"/>
  <c r="E1119" i="1"/>
  <c r="D1119" i="1"/>
  <c r="F1118" i="1"/>
  <c r="E1118" i="1"/>
  <c r="D1118" i="1"/>
  <c r="F1117" i="1"/>
  <c r="E1117" i="1"/>
  <c r="D1117" i="1"/>
  <c r="F1116" i="1"/>
  <c r="E1116" i="1"/>
  <c r="D1116" i="1"/>
  <c r="F1115" i="1"/>
  <c r="E1115" i="1"/>
  <c r="D1115" i="1"/>
  <c r="F1114" i="1"/>
  <c r="E1114" i="1"/>
  <c r="D1114" i="1"/>
  <c r="F1113" i="1"/>
  <c r="E1113" i="1"/>
  <c r="D1113" i="1"/>
  <c r="F1112" i="1"/>
  <c r="E1112" i="1"/>
  <c r="D1112" i="1"/>
  <c r="F1111" i="1"/>
  <c r="E1111" i="1"/>
  <c r="D1111" i="1"/>
  <c r="F1110" i="1"/>
  <c r="E1110" i="1"/>
  <c r="D1110" i="1"/>
  <c r="F1109" i="1"/>
  <c r="E1109" i="1"/>
  <c r="D1109" i="1"/>
  <c r="F1108" i="1"/>
  <c r="E1108" i="1"/>
  <c r="D1108" i="1"/>
  <c r="F1107" i="1"/>
  <c r="E1107" i="1"/>
  <c r="D1107" i="1"/>
  <c r="F1106" i="1"/>
  <c r="E1106" i="1"/>
  <c r="D1106" i="1"/>
  <c r="F1105" i="1"/>
  <c r="E1105" i="1"/>
  <c r="D1105" i="1"/>
  <c r="F1104" i="1"/>
  <c r="E1104" i="1"/>
  <c r="D1104" i="1"/>
  <c r="F1103" i="1"/>
  <c r="E1103" i="1"/>
  <c r="D1103" i="1"/>
  <c r="F1102" i="1"/>
  <c r="E1102" i="1"/>
  <c r="D1102" i="1"/>
  <c r="F1101" i="1"/>
  <c r="E1101" i="1"/>
  <c r="D1101" i="1"/>
  <c r="F1100" i="1"/>
  <c r="E1100" i="1"/>
  <c r="D1100" i="1"/>
  <c r="F1099" i="1"/>
  <c r="E1099" i="1"/>
  <c r="D1099" i="1"/>
  <c r="F1098" i="1"/>
  <c r="E1098" i="1"/>
  <c r="D1098" i="1"/>
  <c r="F1097" i="1"/>
  <c r="E1097" i="1"/>
  <c r="D1097" i="1"/>
  <c r="F1096" i="1"/>
  <c r="E1096" i="1"/>
  <c r="D1096" i="1"/>
  <c r="F1095" i="1"/>
  <c r="E1095" i="1"/>
  <c r="D1095" i="1"/>
  <c r="F1094" i="1"/>
  <c r="E1094" i="1"/>
  <c r="D1094" i="1"/>
  <c r="F1093" i="1"/>
  <c r="E1093" i="1"/>
  <c r="D1093" i="1"/>
  <c r="F1092" i="1"/>
  <c r="E1092" i="1"/>
  <c r="D1092" i="1"/>
  <c r="F1091" i="1"/>
  <c r="E1091" i="1"/>
  <c r="D1091" i="1"/>
  <c r="F1090" i="1"/>
  <c r="E1090" i="1"/>
  <c r="D1090" i="1"/>
  <c r="F1089" i="1"/>
  <c r="E1089" i="1"/>
  <c r="D1089" i="1"/>
  <c r="F1088" i="1"/>
  <c r="E1088" i="1"/>
  <c r="D1088" i="1"/>
  <c r="F1087" i="1"/>
  <c r="E1087" i="1"/>
  <c r="D1087" i="1"/>
  <c r="F1086" i="1"/>
  <c r="E1086" i="1"/>
  <c r="D1086" i="1"/>
  <c r="F1085" i="1"/>
  <c r="E1085" i="1"/>
  <c r="D1085" i="1"/>
  <c r="F1084" i="1"/>
  <c r="E1084" i="1"/>
  <c r="D1084" i="1"/>
  <c r="F1083" i="1"/>
  <c r="E1083" i="1"/>
  <c r="D1083" i="1"/>
  <c r="F1082" i="1"/>
  <c r="E1082" i="1"/>
  <c r="D1082" i="1"/>
  <c r="F1081" i="1"/>
  <c r="E1081" i="1"/>
  <c r="D1081" i="1"/>
  <c r="F1080" i="1"/>
  <c r="E1080" i="1"/>
  <c r="D1080" i="1"/>
  <c r="F1079" i="1"/>
  <c r="E1079" i="1"/>
  <c r="D1079" i="1"/>
  <c r="F1078" i="1"/>
  <c r="E1078" i="1"/>
  <c r="D1078" i="1"/>
  <c r="F1077" i="1"/>
  <c r="E1077" i="1"/>
  <c r="D1077" i="1"/>
  <c r="F1076" i="1"/>
  <c r="E1076" i="1"/>
  <c r="D1076" i="1"/>
  <c r="F1075" i="1"/>
  <c r="E1075" i="1"/>
  <c r="D1075" i="1"/>
  <c r="F1074" i="1"/>
  <c r="E1074" i="1"/>
  <c r="D1074" i="1"/>
  <c r="F1073" i="1"/>
  <c r="E1073" i="1"/>
  <c r="D1073" i="1"/>
  <c r="F1072" i="1"/>
  <c r="E1072" i="1"/>
  <c r="D1072" i="1"/>
  <c r="F1071" i="1"/>
  <c r="E1071" i="1"/>
  <c r="D1071" i="1"/>
  <c r="F1070" i="1"/>
  <c r="E1070" i="1"/>
  <c r="D1070" i="1"/>
  <c r="F1069" i="1"/>
  <c r="E1069" i="1"/>
  <c r="D1069" i="1"/>
  <c r="F1068" i="1"/>
  <c r="E1068" i="1"/>
  <c r="D1068" i="1"/>
  <c r="F1067" i="1"/>
  <c r="E1067" i="1"/>
  <c r="D1067" i="1"/>
  <c r="F1066" i="1"/>
  <c r="E1066" i="1"/>
  <c r="D1066" i="1"/>
  <c r="F1065" i="1"/>
  <c r="E1065" i="1"/>
  <c r="D1065" i="1"/>
  <c r="F1064" i="1"/>
  <c r="E1064" i="1"/>
  <c r="D1064" i="1"/>
  <c r="F1063" i="1"/>
  <c r="E1063" i="1"/>
  <c r="D1063" i="1"/>
  <c r="F1062" i="1"/>
  <c r="E1062" i="1"/>
  <c r="D1062" i="1"/>
  <c r="F1061" i="1"/>
  <c r="E1061" i="1"/>
  <c r="D1061" i="1"/>
  <c r="F1060" i="1"/>
  <c r="E1060" i="1"/>
  <c r="D1060" i="1"/>
  <c r="F1059" i="1"/>
  <c r="E1059" i="1"/>
  <c r="D1059" i="1"/>
  <c r="F1058" i="1"/>
  <c r="E1058" i="1"/>
  <c r="D1058" i="1"/>
  <c r="F1057" i="1"/>
  <c r="E1057" i="1"/>
  <c r="D1057" i="1"/>
  <c r="F1056" i="1"/>
  <c r="E1056" i="1"/>
  <c r="D1056" i="1"/>
  <c r="F1055" i="1"/>
  <c r="E1055" i="1"/>
  <c r="D1055" i="1"/>
  <c r="F1054" i="1"/>
  <c r="E1054" i="1"/>
  <c r="D1054" i="1"/>
  <c r="F1053" i="1"/>
  <c r="E1053" i="1"/>
  <c r="D1053" i="1"/>
  <c r="F1052" i="1"/>
  <c r="E1052" i="1"/>
  <c r="D1052" i="1"/>
  <c r="F1051" i="1"/>
  <c r="E1051" i="1"/>
  <c r="D1051" i="1"/>
  <c r="F1050" i="1"/>
  <c r="E1050" i="1"/>
  <c r="D1050" i="1"/>
  <c r="F1049" i="1"/>
  <c r="E1049" i="1"/>
  <c r="D1049" i="1"/>
  <c r="F1048" i="1"/>
  <c r="E1048" i="1"/>
  <c r="D1048" i="1"/>
  <c r="F1047" i="1"/>
  <c r="E1047" i="1"/>
  <c r="D1047" i="1"/>
  <c r="F1046" i="1"/>
  <c r="E1046" i="1"/>
  <c r="D1046" i="1"/>
  <c r="F1045" i="1"/>
  <c r="E1045" i="1"/>
  <c r="D1045" i="1"/>
  <c r="F1044" i="1"/>
  <c r="E1044" i="1"/>
  <c r="D1044" i="1"/>
  <c r="F1043" i="1"/>
  <c r="E1043" i="1"/>
  <c r="D1043" i="1"/>
  <c r="F1042" i="1"/>
  <c r="E1042" i="1"/>
  <c r="D1042" i="1"/>
  <c r="F1041" i="1"/>
  <c r="E1041" i="1"/>
  <c r="D1041" i="1"/>
  <c r="F1040" i="1"/>
  <c r="E1040" i="1"/>
  <c r="D1040" i="1"/>
  <c r="F1039" i="1"/>
  <c r="E1039" i="1"/>
  <c r="D1039" i="1"/>
  <c r="F1038" i="1"/>
  <c r="E1038" i="1"/>
  <c r="D1038" i="1"/>
  <c r="F1037" i="1"/>
  <c r="E1037" i="1"/>
  <c r="D1037" i="1"/>
  <c r="F1036" i="1"/>
  <c r="E1036" i="1"/>
  <c r="D1036" i="1"/>
  <c r="F1035" i="1"/>
  <c r="E1035" i="1"/>
  <c r="D1035" i="1"/>
  <c r="F1034" i="1"/>
  <c r="E1034" i="1"/>
  <c r="D1034" i="1"/>
  <c r="F1033" i="1"/>
  <c r="E1033" i="1"/>
  <c r="D1033" i="1"/>
  <c r="F1032" i="1"/>
  <c r="E1032" i="1"/>
  <c r="D1032" i="1"/>
  <c r="F1031" i="1"/>
  <c r="E1031" i="1"/>
  <c r="D1031" i="1"/>
  <c r="F1030" i="1"/>
  <c r="E1030" i="1"/>
  <c r="D1030" i="1"/>
  <c r="F1029" i="1"/>
  <c r="E1029" i="1"/>
  <c r="D1029" i="1"/>
  <c r="F1028" i="1"/>
  <c r="E1028" i="1"/>
  <c r="D1028" i="1"/>
  <c r="F1027" i="1"/>
  <c r="E1027" i="1"/>
  <c r="D1027" i="1"/>
  <c r="F1026" i="1"/>
  <c r="E1026" i="1"/>
  <c r="D1026" i="1"/>
  <c r="F1025" i="1"/>
  <c r="E1025" i="1"/>
  <c r="D1025" i="1"/>
  <c r="F1024" i="1"/>
  <c r="E1024" i="1"/>
  <c r="D1024" i="1"/>
  <c r="F1023" i="1"/>
  <c r="E1023" i="1"/>
  <c r="D1023" i="1"/>
  <c r="F1022" i="1"/>
  <c r="E1022" i="1"/>
  <c r="D1022" i="1"/>
  <c r="F1021" i="1"/>
  <c r="E1021" i="1"/>
  <c r="D1021" i="1"/>
  <c r="F1020" i="1"/>
  <c r="E1020" i="1"/>
  <c r="D1020" i="1"/>
  <c r="F1019" i="1"/>
  <c r="E1019" i="1"/>
  <c r="D1019" i="1"/>
  <c r="F1018" i="1"/>
  <c r="E1018" i="1"/>
  <c r="D1018" i="1"/>
  <c r="F1017" i="1"/>
  <c r="E1017" i="1"/>
  <c r="D1017" i="1"/>
  <c r="F1016" i="1"/>
  <c r="E1016" i="1"/>
  <c r="D1016" i="1"/>
  <c r="F1015" i="1"/>
  <c r="E1015" i="1"/>
  <c r="D1015" i="1"/>
  <c r="F1014" i="1"/>
  <c r="E1014" i="1"/>
  <c r="D1014" i="1"/>
  <c r="F1013" i="1"/>
  <c r="E1013" i="1"/>
  <c r="D1013" i="1"/>
  <c r="F1012" i="1"/>
  <c r="E1012" i="1"/>
  <c r="D1012" i="1"/>
  <c r="F1011" i="1"/>
  <c r="E1011" i="1"/>
  <c r="D1011" i="1"/>
  <c r="F1010" i="1"/>
  <c r="E1010" i="1"/>
  <c r="D1010" i="1"/>
  <c r="F1009" i="1"/>
  <c r="E1009" i="1"/>
  <c r="D1009" i="1"/>
  <c r="F1008" i="1"/>
  <c r="E1008" i="1"/>
  <c r="D1008" i="1"/>
  <c r="F1007" i="1"/>
  <c r="E1007" i="1"/>
  <c r="D1007" i="1"/>
  <c r="F1006" i="1"/>
  <c r="E1006" i="1"/>
  <c r="D1006" i="1"/>
  <c r="F1005" i="1"/>
  <c r="E1005" i="1"/>
  <c r="D1005" i="1"/>
  <c r="F1004" i="1"/>
  <c r="E1004" i="1"/>
  <c r="D1004" i="1"/>
  <c r="F1003" i="1"/>
  <c r="E1003" i="1"/>
  <c r="D1003" i="1"/>
  <c r="F1002" i="1"/>
  <c r="E1002" i="1"/>
  <c r="D1002" i="1"/>
  <c r="F1001" i="1"/>
  <c r="E1001" i="1"/>
  <c r="D1001" i="1"/>
  <c r="F1000" i="1"/>
  <c r="E1000" i="1"/>
  <c r="D1000" i="1"/>
  <c r="F999" i="1"/>
  <c r="E999" i="1"/>
  <c r="D999" i="1"/>
  <c r="F998" i="1"/>
  <c r="E998" i="1"/>
  <c r="D998" i="1"/>
  <c r="F997" i="1"/>
  <c r="E997" i="1"/>
  <c r="D997" i="1"/>
  <c r="F996" i="1"/>
  <c r="E996" i="1"/>
  <c r="D996" i="1"/>
  <c r="F995" i="1"/>
  <c r="E995" i="1"/>
  <c r="D995" i="1"/>
  <c r="F994" i="1"/>
  <c r="E994" i="1"/>
  <c r="D994" i="1"/>
  <c r="F993" i="1"/>
  <c r="E993" i="1"/>
  <c r="D993" i="1"/>
  <c r="F992" i="1"/>
  <c r="E992" i="1"/>
  <c r="D992" i="1"/>
  <c r="F991" i="1"/>
  <c r="E991" i="1"/>
  <c r="D991" i="1"/>
  <c r="F990" i="1"/>
  <c r="E990" i="1"/>
  <c r="D990" i="1"/>
  <c r="F989" i="1"/>
  <c r="E989" i="1"/>
  <c r="D989" i="1"/>
  <c r="F988" i="1"/>
  <c r="E988" i="1"/>
  <c r="D988" i="1"/>
  <c r="F987" i="1"/>
  <c r="E987" i="1"/>
  <c r="D987" i="1"/>
  <c r="F986" i="1"/>
  <c r="E986" i="1"/>
  <c r="D986" i="1"/>
  <c r="F985" i="1"/>
  <c r="E985" i="1"/>
  <c r="D985" i="1"/>
  <c r="F984" i="1"/>
  <c r="E984" i="1"/>
  <c r="D984" i="1"/>
  <c r="F983" i="1"/>
  <c r="E983" i="1"/>
  <c r="D983" i="1"/>
  <c r="F982" i="1"/>
  <c r="E982" i="1"/>
  <c r="D982" i="1"/>
  <c r="F981" i="1"/>
  <c r="E981" i="1"/>
  <c r="D981" i="1"/>
  <c r="F980" i="1"/>
  <c r="E980" i="1"/>
  <c r="D980" i="1"/>
  <c r="F979" i="1"/>
  <c r="E979" i="1"/>
  <c r="D979" i="1"/>
  <c r="F978" i="1"/>
  <c r="E978" i="1"/>
  <c r="D978" i="1"/>
  <c r="F977" i="1"/>
  <c r="E977" i="1"/>
  <c r="D977" i="1"/>
  <c r="F976" i="1"/>
  <c r="E976" i="1"/>
  <c r="D976" i="1"/>
  <c r="F975" i="1"/>
  <c r="E975" i="1"/>
  <c r="D975" i="1"/>
  <c r="F974" i="1"/>
  <c r="E974" i="1"/>
  <c r="D974" i="1"/>
  <c r="F973" i="1"/>
  <c r="E973" i="1"/>
  <c r="D973" i="1"/>
  <c r="F972" i="1"/>
  <c r="E972" i="1"/>
  <c r="D972" i="1"/>
  <c r="F971" i="1"/>
  <c r="E971" i="1"/>
  <c r="D971" i="1"/>
  <c r="F970" i="1"/>
  <c r="E970" i="1"/>
  <c r="D970" i="1"/>
  <c r="F969" i="1"/>
  <c r="E969" i="1"/>
  <c r="D969" i="1"/>
  <c r="F968" i="1"/>
  <c r="E968" i="1"/>
  <c r="D968" i="1"/>
  <c r="F967" i="1"/>
  <c r="E967" i="1"/>
  <c r="D967" i="1"/>
  <c r="F966" i="1"/>
  <c r="E966" i="1"/>
  <c r="D966" i="1"/>
  <c r="F965" i="1"/>
  <c r="E965" i="1"/>
  <c r="D965" i="1"/>
  <c r="F964" i="1"/>
  <c r="E964" i="1"/>
  <c r="D964" i="1"/>
  <c r="F963" i="1"/>
  <c r="E963" i="1"/>
  <c r="D963" i="1"/>
  <c r="F962" i="1"/>
  <c r="E962" i="1"/>
  <c r="D962" i="1"/>
  <c r="F961" i="1"/>
  <c r="E961" i="1"/>
  <c r="D961" i="1"/>
  <c r="F960" i="1"/>
  <c r="E960" i="1"/>
  <c r="D960" i="1"/>
  <c r="F959" i="1"/>
  <c r="E959" i="1"/>
  <c r="D959" i="1"/>
  <c r="F958" i="1"/>
  <c r="E958" i="1"/>
  <c r="D958" i="1"/>
  <c r="F957" i="1"/>
  <c r="E957" i="1"/>
  <c r="D957" i="1"/>
  <c r="F956" i="1"/>
  <c r="E956" i="1"/>
  <c r="D956" i="1"/>
  <c r="F955" i="1"/>
  <c r="E955" i="1"/>
  <c r="D955" i="1"/>
  <c r="F954" i="1"/>
  <c r="E954" i="1"/>
  <c r="D954" i="1"/>
  <c r="F953" i="1"/>
  <c r="E953" i="1"/>
  <c r="D953" i="1"/>
  <c r="F952" i="1"/>
  <c r="E952" i="1"/>
  <c r="D952" i="1"/>
  <c r="F951" i="1"/>
  <c r="E951" i="1"/>
  <c r="D951" i="1"/>
  <c r="F950" i="1"/>
  <c r="E950" i="1"/>
  <c r="D950" i="1"/>
  <c r="F949" i="1"/>
  <c r="E949" i="1"/>
  <c r="D949" i="1"/>
  <c r="F948" i="1"/>
  <c r="E948" i="1"/>
  <c r="D948" i="1"/>
  <c r="F947" i="1"/>
  <c r="E947" i="1"/>
  <c r="D947" i="1"/>
  <c r="F946" i="1"/>
  <c r="E946" i="1"/>
  <c r="D946" i="1"/>
  <c r="F945" i="1"/>
  <c r="E945" i="1"/>
  <c r="D945" i="1"/>
  <c r="F944" i="1"/>
  <c r="E944" i="1"/>
  <c r="D944" i="1"/>
  <c r="F943" i="1"/>
  <c r="E943" i="1"/>
  <c r="D943" i="1"/>
  <c r="F942" i="1"/>
  <c r="E942" i="1"/>
  <c r="D942" i="1"/>
  <c r="F941" i="1"/>
  <c r="E941" i="1"/>
  <c r="D941" i="1"/>
  <c r="F940" i="1"/>
  <c r="E940" i="1"/>
  <c r="D940" i="1"/>
  <c r="F939" i="1"/>
  <c r="E939" i="1"/>
  <c r="D939" i="1"/>
  <c r="F938" i="1"/>
  <c r="E938" i="1"/>
  <c r="D938" i="1"/>
  <c r="F937" i="1"/>
  <c r="E937" i="1"/>
  <c r="D937" i="1"/>
  <c r="F936" i="1"/>
  <c r="E936" i="1"/>
  <c r="D936" i="1"/>
  <c r="F935" i="1"/>
  <c r="E935" i="1"/>
  <c r="D935" i="1"/>
  <c r="F934" i="1"/>
  <c r="E934" i="1"/>
  <c r="D934" i="1"/>
  <c r="F933" i="1"/>
  <c r="E933" i="1"/>
  <c r="D933" i="1"/>
  <c r="F932" i="1"/>
  <c r="E932" i="1"/>
  <c r="D932" i="1"/>
  <c r="F931" i="1"/>
  <c r="E931" i="1"/>
  <c r="D931" i="1"/>
  <c r="F930" i="1"/>
  <c r="E930" i="1"/>
  <c r="D930" i="1"/>
  <c r="F929" i="1"/>
  <c r="E929" i="1"/>
  <c r="D929" i="1"/>
  <c r="F928" i="1"/>
  <c r="E928" i="1"/>
  <c r="D928" i="1"/>
  <c r="F927" i="1"/>
  <c r="E927" i="1"/>
  <c r="D927" i="1"/>
  <c r="F926" i="1"/>
  <c r="E926" i="1"/>
  <c r="D926" i="1"/>
  <c r="F925" i="1"/>
  <c r="E925" i="1"/>
  <c r="D925" i="1"/>
  <c r="F924" i="1"/>
  <c r="E924" i="1"/>
  <c r="D924" i="1"/>
  <c r="F923" i="1"/>
  <c r="E923" i="1"/>
  <c r="D923" i="1"/>
  <c r="F922" i="1"/>
  <c r="E922" i="1"/>
  <c r="D922" i="1"/>
  <c r="F921" i="1"/>
  <c r="E921" i="1"/>
  <c r="D921" i="1"/>
  <c r="F920" i="1"/>
  <c r="E920" i="1"/>
  <c r="D920" i="1"/>
  <c r="F919" i="1"/>
  <c r="E919" i="1"/>
  <c r="D919" i="1"/>
  <c r="F918" i="1"/>
  <c r="E918" i="1"/>
  <c r="D918" i="1"/>
  <c r="F917" i="1"/>
  <c r="E917" i="1"/>
  <c r="D917" i="1"/>
  <c r="F916" i="1"/>
  <c r="E916" i="1"/>
  <c r="D916" i="1"/>
  <c r="F915" i="1"/>
  <c r="E915" i="1"/>
  <c r="D915" i="1"/>
  <c r="F914" i="1"/>
  <c r="E914" i="1"/>
  <c r="D914" i="1"/>
  <c r="F913" i="1"/>
  <c r="E913" i="1"/>
  <c r="D913" i="1"/>
  <c r="F912" i="1"/>
  <c r="E912" i="1"/>
  <c r="D912" i="1"/>
  <c r="F911" i="1"/>
  <c r="E911" i="1"/>
  <c r="D911" i="1"/>
  <c r="F910" i="1"/>
  <c r="E910" i="1"/>
  <c r="D910" i="1"/>
  <c r="F909" i="1"/>
  <c r="E909" i="1"/>
  <c r="D909" i="1"/>
  <c r="F908" i="1"/>
  <c r="E908" i="1"/>
  <c r="D908" i="1"/>
  <c r="F907" i="1"/>
  <c r="E907" i="1"/>
  <c r="D907" i="1"/>
  <c r="F906" i="1"/>
  <c r="E906" i="1"/>
  <c r="D906" i="1"/>
  <c r="F905" i="1"/>
  <c r="E905" i="1"/>
  <c r="D905" i="1"/>
  <c r="F904" i="1"/>
  <c r="E904" i="1"/>
  <c r="D904" i="1"/>
  <c r="F903" i="1"/>
  <c r="E903" i="1"/>
  <c r="D903" i="1"/>
  <c r="F902" i="1"/>
  <c r="E902" i="1"/>
  <c r="D902" i="1"/>
  <c r="F901" i="1"/>
  <c r="E901" i="1"/>
  <c r="D901" i="1"/>
  <c r="F900" i="1"/>
  <c r="E900" i="1"/>
  <c r="D900" i="1"/>
  <c r="F899" i="1"/>
  <c r="E899" i="1"/>
  <c r="D899" i="1"/>
  <c r="F898" i="1"/>
  <c r="E898" i="1"/>
  <c r="D898" i="1"/>
  <c r="F897" i="1"/>
  <c r="E897" i="1"/>
  <c r="D897" i="1"/>
  <c r="F896" i="1"/>
  <c r="E896" i="1"/>
  <c r="D896" i="1"/>
  <c r="F895" i="1"/>
  <c r="E895" i="1"/>
  <c r="D895" i="1"/>
  <c r="F894" i="1"/>
  <c r="E894" i="1"/>
  <c r="D894" i="1"/>
  <c r="F893" i="1"/>
  <c r="E893" i="1"/>
  <c r="D893" i="1"/>
  <c r="F892" i="1"/>
  <c r="E892" i="1"/>
  <c r="D892" i="1"/>
  <c r="F891" i="1"/>
  <c r="E891" i="1"/>
  <c r="D891" i="1"/>
  <c r="F890" i="1"/>
  <c r="E890" i="1"/>
  <c r="D890" i="1"/>
  <c r="F889" i="1"/>
  <c r="E889" i="1"/>
  <c r="D889" i="1"/>
  <c r="F888" i="1"/>
  <c r="E888" i="1"/>
  <c r="D888" i="1"/>
  <c r="F887" i="1"/>
  <c r="E887" i="1"/>
  <c r="D887" i="1"/>
  <c r="F886" i="1"/>
  <c r="E886" i="1"/>
  <c r="D886" i="1"/>
  <c r="F885" i="1"/>
  <c r="E885" i="1"/>
  <c r="D885" i="1"/>
  <c r="F884" i="1"/>
  <c r="E884" i="1"/>
  <c r="D884" i="1"/>
  <c r="F883" i="1"/>
  <c r="E883" i="1"/>
  <c r="D883" i="1"/>
  <c r="F882" i="1"/>
  <c r="E882" i="1"/>
  <c r="D882" i="1"/>
  <c r="F881" i="1"/>
  <c r="E881" i="1"/>
  <c r="D881" i="1"/>
  <c r="F880" i="1"/>
  <c r="E880" i="1"/>
  <c r="D880" i="1"/>
  <c r="F879" i="1"/>
  <c r="E879" i="1"/>
  <c r="D879" i="1"/>
  <c r="F878" i="1"/>
  <c r="E878" i="1"/>
  <c r="D878" i="1"/>
  <c r="F877" i="1"/>
  <c r="E877" i="1"/>
  <c r="D877" i="1"/>
  <c r="F876" i="1"/>
  <c r="E876" i="1"/>
  <c r="D876" i="1"/>
  <c r="F875" i="1"/>
  <c r="E875" i="1"/>
  <c r="D875" i="1"/>
  <c r="F874" i="1"/>
  <c r="E874" i="1"/>
  <c r="D874" i="1"/>
  <c r="F873" i="1"/>
  <c r="E873" i="1"/>
  <c r="D873" i="1"/>
  <c r="F872" i="1"/>
  <c r="E872" i="1"/>
  <c r="D872" i="1"/>
  <c r="F871" i="1"/>
  <c r="E871" i="1"/>
  <c r="D871" i="1"/>
  <c r="F870" i="1"/>
  <c r="E870" i="1"/>
  <c r="D870" i="1"/>
  <c r="F869" i="1"/>
  <c r="E869" i="1"/>
  <c r="D869" i="1"/>
  <c r="F868" i="1"/>
  <c r="E868" i="1"/>
  <c r="D868" i="1"/>
  <c r="F867" i="1"/>
  <c r="E867" i="1"/>
  <c r="D867" i="1"/>
  <c r="F866" i="1"/>
  <c r="E866" i="1"/>
  <c r="D866" i="1"/>
  <c r="F865" i="1"/>
  <c r="E865" i="1"/>
  <c r="D865" i="1"/>
  <c r="F864" i="1"/>
  <c r="E864" i="1"/>
  <c r="D864" i="1"/>
  <c r="F863" i="1"/>
  <c r="E863" i="1"/>
  <c r="D863" i="1"/>
  <c r="F862" i="1"/>
  <c r="E862" i="1"/>
  <c r="D862" i="1"/>
  <c r="F861" i="1"/>
  <c r="E861" i="1"/>
  <c r="D861" i="1"/>
  <c r="F860" i="1"/>
  <c r="E860" i="1"/>
  <c r="D860" i="1"/>
  <c r="F859" i="1"/>
  <c r="E859" i="1"/>
  <c r="D859" i="1"/>
  <c r="F858" i="1"/>
  <c r="E858" i="1"/>
  <c r="D858" i="1"/>
  <c r="F857" i="1"/>
  <c r="E857" i="1"/>
  <c r="D857" i="1"/>
  <c r="F856" i="1"/>
  <c r="E856" i="1"/>
  <c r="D856" i="1"/>
  <c r="F855" i="1"/>
  <c r="E855" i="1"/>
  <c r="D855" i="1"/>
  <c r="F854" i="1"/>
  <c r="E854" i="1"/>
  <c r="D854" i="1"/>
  <c r="F853" i="1"/>
  <c r="E853" i="1"/>
  <c r="D853" i="1"/>
  <c r="F852" i="1"/>
  <c r="E852" i="1"/>
  <c r="D852" i="1"/>
  <c r="F851" i="1"/>
  <c r="E851" i="1"/>
  <c r="D851" i="1"/>
  <c r="F850" i="1"/>
  <c r="E850" i="1"/>
  <c r="D850" i="1"/>
  <c r="F849" i="1"/>
  <c r="E849" i="1"/>
  <c r="D849" i="1"/>
  <c r="F848" i="1"/>
  <c r="E848" i="1"/>
  <c r="D848" i="1"/>
  <c r="F847" i="1"/>
  <c r="E847" i="1"/>
  <c r="D847" i="1"/>
  <c r="F846" i="1"/>
  <c r="E846" i="1"/>
  <c r="D846" i="1"/>
  <c r="F845" i="1"/>
  <c r="E845" i="1"/>
  <c r="D845" i="1"/>
  <c r="F844" i="1"/>
  <c r="E844" i="1"/>
  <c r="D844" i="1"/>
  <c r="F843" i="1"/>
  <c r="E843" i="1"/>
  <c r="D843" i="1"/>
  <c r="F842" i="1"/>
  <c r="E842" i="1"/>
  <c r="D842" i="1"/>
  <c r="F841" i="1"/>
  <c r="E841" i="1"/>
  <c r="D841" i="1"/>
  <c r="F840" i="1"/>
  <c r="E840" i="1"/>
  <c r="D840" i="1"/>
  <c r="F839" i="1"/>
  <c r="E839" i="1"/>
  <c r="D839" i="1"/>
  <c r="F838" i="1"/>
  <c r="E838" i="1"/>
  <c r="D838" i="1"/>
  <c r="F837" i="1"/>
  <c r="E837" i="1"/>
  <c r="D837" i="1"/>
  <c r="F836" i="1"/>
  <c r="E836" i="1"/>
  <c r="D836" i="1"/>
  <c r="F835" i="1"/>
  <c r="E835" i="1"/>
  <c r="D835" i="1"/>
  <c r="F834" i="1"/>
  <c r="E834" i="1"/>
  <c r="D834" i="1"/>
  <c r="F833" i="1"/>
  <c r="E833" i="1"/>
  <c r="D833" i="1"/>
  <c r="F832" i="1"/>
  <c r="E832" i="1"/>
  <c r="D832" i="1"/>
  <c r="F831" i="1"/>
  <c r="E831" i="1"/>
  <c r="D831" i="1"/>
  <c r="F830" i="1"/>
  <c r="E830" i="1"/>
  <c r="D830" i="1"/>
  <c r="F829" i="1"/>
  <c r="E829" i="1"/>
  <c r="D829" i="1"/>
  <c r="F828" i="1"/>
  <c r="E828" i="1"/>
  <c r="D828" i="1"/>
  <c r="F827" i="1"/>
  <c r="E827" i="1"/>
  <c r="D827" i="1"/>
  <c r="F826" i="1"/>
  <c r="E826" i="1"/>
  <c r="D826" i="1"/>
  <c r="F825" i="1"/>
  <c r="E825" i="1"/>
  <c r="D825" i="1"/>
  <c r="F824" i="1"/>
  <c r="E824" i="1"/>
  <c r="D824" i="1"/>
  <c r="F823" i="1"/>
  <c r="E823" i="1"/>
  <c r="D823" i="1"/>
  <c r="F822" i="1"/>
  <c r="E822" i="1"/>
  <c r="D822" i="1"/>
  <c r="F821" i="1"/>
  <c r="E821" i="1"/>
  <c r="D821" i="1"/>
  <c r="F820" i="1"/>
  <c r="E820" i="1"/>
  <c r="D820" i="1"/>
  <c r="F819" i="1"/>
  <c r="E819" i="1"/>
  <c r="D819" i="1"/>
  <c r="F818" i="1"/>
  <c r="E818" i="1"/>
  <c r="D818" i="1"/>
  <c r="F817" i="1"/>
  <c r="E817" i="1"/>
  <c r="D817" i="1"/>
  <c r="F816" i="1"/>
  <c r="E816" i="1"/>
  <c r="D816" i="1"/>
  <c r="F815" i="1"/>
  <c r="E815" i="1"/>
  <c r="D815" i="1"/>
  <c r="F814" i="1"/>
  <c r="E814" i="1"/>
  <c r="D814" i="1"/>
  <c r="F813" i="1"/>
  <c r="E813" i="1"/>
  <c r="D813" i="1"/>
  <c r="F812" i="1"/>
  <c r="E812" i="1"/>
  <c r="D812" i="1"/>
  <c r="F811" i="1"/>
  <c r="E811" i="1"/>
  <c r="D811" i="1"/>
  <c r="F810" i="1"/>
  <c r="E810" i="1"/>
  <c r="D810" i="1"/>
  <c r="F809" i="1"/>
  <c r="E809" i="1"/>
  <c r="D809" i="1"/>
  <c r="F808" i="1"/>
  <c r="E808" i="1"/>
  <c r="D808" i="1"/>
  <c r="F807" i="1"/>
  <c r="E807" i="1"/>
  <c r="D807" i="1"/>
  <c r="F806" i="1"/>
  <c r="E806" i="1"/>
  <c r="D806" i="1"/>
  <c r="F805" i="1"/>
  <c r="E805" i="1"/>
  <c r="D805" i="1"/>
  <c r="F804" i="1"/>
  <c r="E804" i="1"/>
  <c r="D804" i="1"/>
  <c r="F803" i="1"/>
  <c r="E803" i="1"/>
  <c r="D803" i="1"/>
  <c r="F802" i="1"/>
  <c r="E802" i="1"/>
  <c r="D802" i="1"/>
  <c r="F801" i="1"/>
  <c r="E801" i="1"/>
  <c r="D801" i="1"/>
  <c r="F800" i="1"/>
  <c r="E800" i="1"/>
  <c r="D800" i="1"/>
  <c r="F799" i="1"/>
  <c r="E799" i="1"/>
  <c r="D799" i="1"/>
  <c r="F798" i="1"/>
  <c r="E798" i="1"/>
  <c r="D798" i="1"/>
  <c r="F797" i="1"/>
  <c r="E797" i="1"/>
  <c r="D797" i="1"/>
  <c r="F796" i="1"/>
  <c r="E796" i="1"/>
  <c r="D796" i="1"/>
  <c r="F795" i="1"/>
  <c r="E795" i="1"/>
  <c r="D795" i="1"/>
  <c r="F794" i="1"/>
  <c r="E794" i="1"/>
  <c r="D794" i="1"/>
  <c r="F793" i="1"/>
  <c r="E793" i="1"/>
  <c r="D793" i="1"/>
  <c r="F792" i="1"/>
  <c r="E792" i="1"/>
  <c r="D792" i="1"/>
  <c r="F791" i="1"/>
  <c r="E791" i="1"/>
  <c r="D791" i="1"/>
  <c r="F790" i="1"/>
  <c r="E790" i="1"/>
  <c r="D790" i="1"/>
  <c r="F789" i="1"/>
  <c r="E789" i="1"/>
  <c r="D789" i="1"/>
  <c r="F788" i="1"/>
  <c r="E788" i="1"/>
  <c r="D788" i="1"/>
  <c r="F787" i="1"/>
  <c r="E787" i="1"/>
  <c r="D787" i="1"/>
  <c r="F786" i="1"/>
  <c r="E786" i="1"/>
  <c r="D786" i="1"/>
  <c r="F785" i="1"/>
  <c r="E785" i="1"/>
  <c r="D785" i="1"/>
  <c r="F784" i="1"/>
  <c r="E784" i="1"/>
  <c r="D784" i="1"/>
  <c r="F783" i="1"/>
  <c r="E783" i="1"/>
  <c r="D783" i="1"/>
  <c r="F782" i="1"/>
  <c r="E782" i="1"/>
  <c r="D782" i="1"/>
  <c r="F781" i="1"/>
  <c r="E781" i="1"/>
  <c r="D781" i="1"/>
  <c r="F780" i="1"/>
  <c r="E780" i="1"/>
  <c r="D780" i="1"/>
  <c r="F779" i="1"/>
  <c r="E779" i="1"/>
  <c r="D779" i="1"/>
  <c r="F778" i="1"/>
  <c r="E778" i="1"/>
  <c r="D778" i="1"/>
  <c r="F777" i="1"/>
  <c r="E777" i="1"/>
  <c r="D777" i="1"/>
  <c r="F776" i="1"/>
  <c r="E776" i="1"/>
  <c r="D776" i="1"/>
  <c r="F775" i="1"/>
  <c r="E775" i="1"/>
  <c r="D775" i="1"/>
  <c r="F774" i="1"/>
  <c r="E774" i="1"/>
  <c r="D774" i="1"/>
  <c r="F773" i="1"/>
  <c r="E773" i="1"/>
  <c r="D773" i="1"/>
  <c r="F772" i="1"/>
  <c r="E772" i="1"/>
  <c r="D772" i="1"/>
  <c r="F771" i="1"/>
  <c r="E771" i="1"/>
  <c r="D771" i="1"/>
  <c r="F770" i="1"/>
  <c r="E770" i="1"/>
  <c r="D770" i="1"/>
  <c r="F769" i="1"/>
  <c r="E769" i="1"/>
  <c r="D769" i="1"/>
  <c r="F768" i="1"/>
  <c r="E768" i="1"/>
  <c r="D768" i="1"/>
  <c r="F767" i="1"/>
  <c r="E767" i="1"/>
  <c r="D767" i="1"/>
  <c r="F766" i="1"/>
  <c r="E766" i="1"/>
  <c r="D766" i="1"/>
  <c r="F765" i="1"/>
  <c r="E765" i="1"/>
  <c r="D765" i="1"/>
  <c r="F764" i="1"/>
  <c r="E764" i="1"/>
  <c r="D764" i="1"/>
  <c r="F763" i="1"/>
  <c r="E763" i="1"/>
  <c r="D763" i="1"/>
  <c r="F762" i="1"/>
  <c r="E762" i="1"/>
  <c r="D762" i="1"/>
  <c r="F761" i="1"/>
  <c r="E761" i="1"/>
  <c r="D761" i="1"/>
  <c r="F760" i="1"/>
  <c r="E760" i="1"/>
  <c r="D760" i="1"/>
  <c r="F759" i="1"/>
  <c r="E759" i="1"/>
  <c r="D759" i="1"/>
  <c r="F758" i="1"/>
  <c r="E758" i="1"/>
  <c r="D758" i="1"/>
  <c r="F757" i="1"/>
  <c r="E757" i="1"/>
  <c r="D757" i="1"/>
  <c r="F756" i="1"/>
  <c r="E756" i="1"/>
  <c r="D756" i="1"/>
  <c r="F755" i="1"/>
  <c r="E755" i="1"/>
  <c r="D755" i="1"/>
  <c r="F754" i="1"/>
  <c r="E754" i="1"/>
  <c r="D754" i="1"/>
  <c r="F753" i="1"/>
  <c r="E753" i="1"/>
  <c r="D753" i="1"/>
  <c r="F752" i="1"/>
  <c r="E752" i="1"/>
  <c r="D752" i="1"/>
  <c r="F751" i="1"/>
  <c r="E751" i="1"/>
  <c r="D751" i="1"/>
  <c r="F750" i="1"/>
  <c r="E750" i="1"/>
  <c r="D750" i="1"/>
  <c r="F749" i="1"/>
  <c r="E749" i="1"/>
  <c r="D749" i="1"/>
  <c r="F748" i="1"/>
  <c r="E748" i="1"/>
  <c r="D748" i="1"/>
  <c r="F747" i="1"/>
  <c r="E747" i="1"/>
  <c r="D747" i="1"/>
  <c r="F746" i="1"/>
  <c r="E746" i="1"/>
  <c r="D746" i="1"/>
  <c r="F745" i="1"/>
  <c r="E745" i="1"/>
  <c r="D745" i="1"/>
  <c r="F744" i="1"/>
  <c r="E744" i="1"/>
  <c r="D744" i="1"/>
  <c r="F743" i="1"/>
  <c r="E743" i="1"/>
  <c r="D743" i="1"/>
  <c r="F742" i="1"/>
  <c r="E742" i="1"/>
  <c r="D742" i="1"/>
  <c r="F741" i="1"/>
  <c r="E741" i="1"/>
  <c r="D741" i="1"/>
  <c r="F740" i="1"/>
  <c r="E740" i="1"/>
  <c r="D740" i="1"/>
  <c r="F739" i="1"/>
  <c r="E739" i="1"/>
  <c r="D739" i="1"/>
  <c r="F738" i="1"/>
  <c r="E738" i="1"/>
  <c r="D738" i="1"/>
  <c r="F737" i="1"/>
  <c r="E737" i="1"/>
  <c r="D737" i="1"/>
  <c r="F736" i="1"/>
  <c r="E736" i="1"/>
  <c r="D736" i="1"/>
  <c r="F735" i="1"/>
  <c r="E735" i="1"/>
  <c r="D735" i="1"/>
  <c r="F734" i="1"/>
  <c r="E734" i="1"/>
  <c r="D734" i="1"/>
  <c r="F733" i="1"/>
  <c r="E733" i="1"/>
  <c r="D733" i="1"/>
  <c r="F732" i="1"/>
  <c r="E732" i="1"/>
  <c r="D732" i="1"/>
  <c r="F731" i="1"/>
  <c r="E731" i="1"/>
  <c r="D731" i="1"/>
  <c r="F730" i="1"/>
  <c r="E730" i="1"/>
  <c r="D730" i="1"/>
  <c r="F729" i="1"/>
  <c r="E729" i="1"/>
  <c r="D729" i="1"/>
  <c r="F728" i="1"/>
  <c r="E728" i="1"/>
  <c r="D728" i="1"/>
  <c r="F727" i="1"/>
  <c r="E727" i="1"/>
  <c r="D727" i="1"/>
  <c r="F726" i="1"/>
  <c r="E726" i="1"/>
  <c r="D726" i="1"/>
  <c r="F725" i="1"/>
  <c r="E725" i="1"/>
  <c r="D725" i="1"/>
  <c r="F724" i="1"/>
  <c r="E724" i="1"/>
  <c r="D724" i="1"/>
  <c r="F723" i="1"/>
  <c r="E723" i="1"/>
  <c r="D723" i="1"/>
  <c r="F722" i="1"/>
  <c r="E722" i="1"/>
  <c r="D722" i="1"/>
  <c r="F721" i="1"/>
  <c r="E721" i="1"/>
  <c r="D721" i="1"/>
  <c r="F720" i="1"/>
  <c r="E720" i="1"/>
  <c r="D720" i="1"/>
  <c r="F719" i="1"/>
  <c r="E719" i="1"/>
  <c r="D719" i="1"/>
  <c r="F718" i="1"/>
  <c r="E718" i="1"/>
  <c r="D718" i="1"/>
  <c r="F717" i="1"/>
  <c r="E717" i="1"/>
  <c r="D717" i="1"/>
  <c r="F716" i="1"/>
  <c r="E716" i="1"/>
  <c r="D716" i="1"/>
  <c r="F715" i="1"/>
  <c r="E715" i="1"/>
  <c r="D715" i="1"/>
  <c r="F714" i="1"/>
  <c r="E714" i="1"/>
  <c r="D714" i="1"/>
  <c r="F713" i="1"/>
  <c r="E713" i="1"/>
  <c r="D713" i="1"/>
  <c r="F712" i="1"/>
  <c r="E712" i="1"/>
  <c r="D712" i="1"/>
  <c r="F711" i="1"/>
  <c r="E711" i="1"/>
  <c r="D711" i="1"/>
  <c r="F710" i="1"/>
  <c r="E710" i="1"/>
  <c r="D710" i="1"/>
  <c r="F709" i="1"/>
  <c r="E709" i="1"/>
  <c r="D709" i="1"/>
  <c r="F708" i="1"/>
  <c r="E708" i="1"/>
  <c r="D708" i="1"/>
  <c r="F707" i="1"/>
  <c r="E707" i="1"/>
  <c r="D707" i="1"/>
  <c r="F706" i="1"/>
  <c r="E706" i="1"/>
  <c r="D706" i="1"/>
  <c r="F705" i="1"/>
  <c r="E705" i="1"/>
  <c r="D705" i="1"/>
  <c r="F704" i="1"/>
  <c r="E704" i="1"/>
  <c r="D704" i="1"/>
  <c r="F703" i="1"/>
  <c r="E703" i="1"/>
  <c r="D703" i="1"/>
  <c r="F702" i="1"/>
  <c r="E702" i="1"/>
  <c r="D702" i="1"/>
  <c r="F701" i="1"/>
  <c r="E701" i="1"/>
  <c r="D701" i="1"/>
  <c r="F700" i="1"/>
  <c r="E700" i="1"/>
  <c r="D700" i="1"/>
  <c r="F699" i="1"/>
  <c r="E699" i="1"/>
  <c r="D699" i="1"/>
  <c r="F698" i="1"/>
  <c r="E698" i="1"/>
  <c r="D698" i="1"/>
  <c r="F697" i="1"/>
  <c r="E697" i="1"/>
  <c r="D697" i="1"/>
  <c r="F696" i="1"/>
  <c r="E696" i="1"/>
  <c r="D696" i="1"/>
  <c r="F695" i="1"/>
  <c r="E695" i="1"/>
  <c r="D695" i="1"/>
  <c r="F694" i="1"/>
  <c r="E694" i="1"/>
  <c r="D694" i="1"/>
  <c r="F693" i="1"/>
  <c r="E693" i="1"/>
  <c r="D693" i="1"/>
  <c r="F692" i="1"/>
  <c r="E692" i="1"/>
  <c r="D692" i="1"/>
  <c r="F691" i="1"/>
  <c r="E691" i="1"/>
  <c r="D691" i="1"/>
  <c r="F690" i="1"/>
  <c r="E690" i="1"/>
  <c r="D690" i="1"/>
  <c r="F689" i="1"/>
  <c r="E689" i="1"/>
  <c r="D689" i="1"/>
  <c r="F688" i="1"/>
  <c r="E688" i="1"/>
  <c r="D688" i="1"/>
  <c r="F687" i="1"/>
  <c r="E687" i="1"/>
  <c r="D687" i="1"/>
  <c r="F686" i="1"/>
  <c r="E686" i="1"/>
  <c r="D686" i="1"/>
  <c r="F685" i="1"/>
  <c r="E685" i="1"/>
  <c r="D685" i="1"/>
  <c r="F684" i="1"/>
  <c r="E684" i="1"/>
  <c r="D684" i="1"/>
  <c r="F683" i="1"/>
  <c r="E683" i="1"/>
  <c r="D683" i="1"/>
  <c r="F682" i="1"/>
  <c r="E682" i="1"/>
  <c r="D682" i="1"/>
  <c r="F681" i="1"/>
  <c r="E681" i="1"/>
  <c r="D681" i="1"/>
  <c r="F680" i="1"/>
  <c r="E680" i="1"/>
  <c r="D680" i="1"/>
  <c r="F679" i="1"/>
  <c r="E679" i="1"/>
  <c r="D679" i="1"/>
  <c r="F678" i="1"/>
  <c r="E678" i="1"/>
  <c r="D678" i="1"/>
  <c r="F677" i="1"/>
  <c r="E677" i="1"/>
  <c r="D677" i="1"/>
  <c r="F676" i="1"/>
  <c r="E676" i="1"/>
  <c r="D676" i="1"/>
  <c r="F675" i="1"/>
  <c r="E675" i="1"/>
  <c r="D675" i="1"/>
  <c r="F674" i="1"/>
  <c r="E674" i="1"/>
  <c r="D674" i="1"/>
  <c r="F673" i="1"/>
  <c r="E673" i="1"/>
  <c r="D673" i="1"/>
  <c r="F672" i="1"/>
  <c r="E672" i="1"/>
  <c r="D672" i="1"/>
  <c r="F671" i="1"/>
  <c r="E671" i="1"/>
  <c r="D671" i="1"/>
  <c r="F670" i="1"/>
  <c r="E670" i="1"/>
  <c r="D670" i="1"/>
  <c r="F669" i="1"/>
  <c r="E669" i="1"/>
  <c r="D669" i="1"/>
  <c r="F668" i="1"/>
  <c r="E668" i="1"/>
  <c r="D668" i="1"/>
  <c r="F667" i="1"/>
  <c r="E667" i="1"/>
  <c r="D667" i="1"/>
  <c r="F666" i="1"/>
  <c r="E666" i="1"/>
  <c r="D666" i="1"/>
  <c r="F665" i="1"/>
  <c r="E665" i="1"/>
  <c r="D665" i="1"/>
  <c r="F664" i="1"/>
  <c r="E664" i="1"/>
  <c r="D664" i="1"/>
  <c r="F663" i="1"/>
  <c r="E663" i="1"/>
  <c r="D663" i="1"/>
  <c r="F662" i="1"/>
  <c r="E662" i="1"/>
  <c r="D662" i="1"/>
  <c r="F661" i="1"/>
  <c r="E661" i="1"/>
  <c r="D661" i="1"/>
  <c r="F660" i="1"/>
  <c r="E660" i="1"/>
  <c r="D660" i="1"/>
  <c r="F659" i="1"/>
  <c r="E659" i="1"/>
  <c r="D659" i="1"/>
  <c r="F658" i="1"/>
  <c r="E658" i="1"/>
  <c r="D658" i="1"/>
  <c r="F657" i="1"/>
  <c r="E657" i="1"/>
  <c r="D657" i="1"/>
  <c r="F656" i="1"/>
  <c r="E656" i="1"/>
  <c r="D656" i="1"/>
  <c r="F655" i="1"/>
  <c r="E655" i="1"/>
  <c r="D655" i="1"/>
  <c r="F654" i="1"/>
  <c r="E654" i="1"/>
  <c r="D654" i="1"/>
  <c r="F653" i="1"/>
  <c r="E653" i="1"/>
  <c r="D653" i="1"/>
  <c r="F652" i="1"/>
  <c r="E652" i="1"/>
  <c r="D652" i="1"/>
  <c r="F651" i="1"/>
  <c r="E651" i="1"/>
  <c r="D651" i="1"/>
  <c r="F650" i="1"/>
  <c r="E650" i="1"/>
  <c r="D650" i="1"/>
  <c r="F649" i="1"/>
  <c r="E649" i="1"/>
  <c r="D649" i="1"/>
  <c r="F648" i="1"/>
  <c r="E648" i="1"/>
  <c r="D648" i="1"/>
  <c r="F647" i="1"/>
  <c r="E647" i="1"/>
  <c r="D647" i="1"/>
  <c r="F646" i="1"/>
  <c r="E646" i="1"/>
  <c r="D646" i="1"/>
  <c r="F645" i="1"/>
  <c r="E645" i="1"/>
  <c r="D645" i="1"/>
  <c r="F644" i="1"/>
  <c r="E644" i="1"/>
  <c r="D644" i="1"/>
  <c r="F643" i="1"/>
  <c r="E643" i="1"/>
  <c r="D643" i="1"/>
  <c r="F642" i="1"/>
  <c r="E642" i="1"/>
  <c r="D642" i="1"/>
  <c r="F641" i="1"/>
  <c r="E641" i="1"/>
  <c r="D641" i="1"/>
  <c r="F640" i="1"/>
  <c r="E640" i="1"/>
  <c r="D640" i="1"/>
  <c r="F639" i="1"/>
  <c r="E639" i="1"/>
  <c r="D639" i="1"/>
  <c r="F638" i="1"/>
  <c r="E638" i="1"/>
  <c r="D638" i="1"/>
  <c r="F637" i="1"/>
  <c r="E637" i="1"/>
  <c r="D637" i="1"/>
  <c r="F636" i="1"/>
  <c r="E636" i="1"/>
  <c r="D636" i="1"/>
  <c r="F635" i="1"/>
  <c r="E635" i="1"/>
  <c r="D635" i="1"/>
  <c r="F634" i="1"/>
  <c r="E634" i="1"/>
  <c r="D634" i="1"/>
  <c r="F633" i="1"/>
  <c r="E633" i="1"/>
  <c r="D633" i="1"/>
  <c r="F632" i="1"/>
  <c r="E632" i="1"/>
  <c r="D632" i="1"/>
  <c r="F631" i="1"/>
  <c r="E631" i="1"/>
  <c r="D631" i="1"/>
  <c r="F630" i="1"/>
  <c r="E630" i="1"/>
  <c r="D630" i="1"/>
  <c r="F629" i="1"/>
  <c r="E629" i="1"/>
  <c r="D629" i="1"/>
  <c r="F628" i="1"/>
  <c r="E628" i="1"/>
  <c r="D628" i="1"/>
  <c r="F627" i="1"/>
  <c r="E627" i="1"/>
  <c r="D627" i="1"/>
  <c r="F626" i="1"/>
  <c r="E626" i="1"/>
  <c r="D626" i="1"/>
  <c r="F625" i="1"/>
  <c r="E625" i="1"/>
  <c r="D625" i="1"/>
  <c r="F624" i="1"/>
  <c r="E624" i="1"/>
  <c r="D624" i="1"/>
  <c r="F623" i="1"/>
  <c r="E623" i="1"/>
  <c r="D623" i="1"/>
  <c r="F622" i="1"/>
  <c r="E622" i="1"/>
  <c r="D622" i="1"/>
  <c r="F621" i="1"/>
  <c r="E621" i="1"/>
  <c r="D621" i="1"/>
  <c r="F620" i="1"/>
  <c r="E620" i="1"/>
  <c r="D620" i="1"/>
  <c r="F619" i="1"/>
  <c r="E619" i="1"/>
  <c r="D619" i="1"/>
  <c r="F618" i="1"/>
  <c r="E618" i="1"/>
  <c r="D618" i="1"/>
  <c r="F617" i="1"/>
  <c r="E617" i="1"/>
  <c r="D617" i="1"/>
  <c r="F616" i="1"/>
  <c r="E616" i="1"/>
  <c r="D616" i="1"/>
  <c r="F615" i="1"/>
  <c r="E615" i="1"/>
  <c r="D615" i="1"/>
  <c r="F614" i="1"/>
  <c r="E614" i="1"/>
  <c r="D614" i="1"/>
  <c r="F613" i="1"/>
  <c r="E613" i="1"/>
  <c r="D613" i="1"/>
  <c r="F612" i="1"/>
  <c r="E612" i="1"/>
  <c r="D612" i="1"/>
  <c r="F611" i="1"/>
  <c r="E611" i="1"/>
  <c r="D611" i="1"/>
  <c r="F610" i="1"/>
  <c r="E610" i="1"/>
  <c r="D610" i="1"/>
  <c r="F609" i="1"/>
  <c r="E609" i="1"/>
  <c r="D609" i="1"/>
  <c r="F608" i="1"/>
  <c r="E608" i="1"/>
  <c r="D608" i="1"/>
  <c r="F607" i="1"/>
  <c r="E607" i="1"/>
  <c r="D607" i="1"/>
  <c r="F606" i="1"/>
  <c r="E606" i="1"/>
  <c r="D606" i="1"/>
  <c r="F605" i="1"/>
  <c r="E605" i="1"/>
  <c r="D605" i="1"/>
  <c r="F604" i="1"/>
  <c r="E604" i="1"/>
  <c r="D604" i="1"/>
  <c r="F603" i="1"/>
  <c r="E603" i="1"/>
  <c r="D603" i="1"/>
  <c r="F602" i="1"/>
  <c r="E602" i="1"/>
  <c r="D602" i="1"/>
  <c r="F601" i="1"/>
  <c r="E601" i="1"/>
  <c r="D601" i="1"/>
  <c r="F600" i="1"/>
  <c r="E600" i="1"/>
  <c r="D600" i="1"/>
  <c r="F599" i="1"/>
  <c r="E599" i="1"/>
  <c r="D599" i="1"/>
  <c r="F598" i="1"/>
  <c r="E598" i="1"/>
  <c r="D598" i="1"/>
  <c r="F597" i="1"/>
  <c r="E597" i="1"/>
  <c r="D597" i="1"/>
  <c r="F596" i="1"/>
  <c r="E596" i="1"/>
  <c r="D596" i="1"/>
  <c r="F595" i="1"/>
  <c r="E595" i="1"/>
  <c r="D595" i="1"/>
  <c r="F594" i="1"/>
  <c r="E594" i="1"/>
  <c r="D594" i="1"/>
  <c r="F593" i="1"/>
  <c r="E593" i="1"/>
  <c r="D593" i="1"/>
  <c r="F592" i="1"/>
  <c r="E592" i="1"/>
  <c r="D592" i="1"/>
  <c r="F591" i="1"/>
  <c r="E591" i="1"/>
  <c r="D591" i="1"/>
  <c r="F590" i="1"/>
  <c r="E590" i="1"/>
  <c r="D590" i="1"/>
  <c r="F589" i="1"/>
  <c r="E589" i="1"/>
  <c r="D589" i="1"/>
  <c r="F588" i="1"/>
  <c r="E588" i="1"/>
  <c r="D588" i="1"/>
  <c r="F587" i="1"/>
  <c r="E587" i="1"/>
  <c r="D587" i="1"/>
  <c r="F586" i="1"/>
  <c r="E586" i="1"/>
  <c r="D586" i="1"/>
  <c r="F585" i="1"/>
  <c r="E585" i="1"/>
  <c r="D585" i="1"/>
  <c r="F584" i="1"/>
  <c r="E584" i="1"/>
  <c r="D584" i="1"/>
  <c r="F583" i="1"/>
  <c r="E583" i="1"/>
  <c r="D583" i="1"/>
  <c r="F582" i="1"/>
  <c r="E582" i="1"/>
  <c r="D582" i="1"/>
  <c r="F581" i="1"/>
  <c r="E581" i="1"/>
  <c r="D581" i="1"/>
  <c r="F580" i="1"/>
  <c r="E580" i="1"/>
  <c r="D580" i="1"/>
  <c r="F579" i="1"/>
  <c r="E579" i="1"/>
  <c r="D579" i="1"/>
  <c r="F578" i="1"/>
  <c r="E578" i="1"/>
  <c r="D578" i="1"/>
  <c r="F577" i="1"/>
  <c r="E577" i="1"/>
  <c r="D577" i="1"/>
  <c r="F576" i="1"/>
  <c r="E576" i="1"/>
  <c r="D576" i="1"/>
  <c r="F575" i="1"/>
  <c r="E575" i="1"/>
  <c r="D575" i="1"/>
  <c r="F574" i="1"/>
  <c r="E574" i="1"/>
  <c r="D574" i="1"/>
  <c r="F573" i="1"/>
  <c r="E573" i="1"/>
  <c r="D573" i="1"/>
  <c r="F572" i="1"/>
  <c r="E572" i="1"/>
  <c r="D572" i="1"/>
  <c r="F571" i="1"/>
  <c r="E571" i="1"/>
  <c r="D571" i="1"/>
  <c r="F570" i="1"/>
  <c r="E570" i="1"/>
  <c r="D570" i="1"/>
  <c r="F569" i="1"/>
  <c r="E569" i="1"/>
  <c r="D569" i="1"/>
  <c r="F568" i="1"/>
  <c r="E568" i="1"/>
  <c r="D568" i="1"/>
  <c r="F567" i="1"/>
  <c r="E567" i="1"/>
  <c r="D567" i="1"/>
  <c r="F566" i="1"/>
  <c r="E566" i="1"/>
  <c r="D566" i="1"/>
  <c r="F565" i="1"/>
  <c r="E565" i="1"/>
  <c r="D565" i="1"/>
  <c r="F564" i="1"/>
  <c r="E564" i="1"/>
  <c r="D564" i="1"/>
  <c r="F563" i="1"/>
  <c r="E563" i="1"/>
  <c r="D563" i="1"/>
  <c r="F562" i="1"/>
  <c r="E562" i="1"/>
  <c r="D562" i="1"/>
  <c r="F561" i="1"/>
  <c r="E561" i="1"/>
  <c r="D561" i="1"/>
  <c r="F560" i="1"/>
  <c r="E560" i="1"/>
  <c r="D560" i="1"/>
  <c r="F559" i="1"/>
  <c r="E559" i="1"/>
  <c r="D559" i="1"/>
  <c r="F558" i="1"/>
  <c r="E558" i="1"/>
  <c r="D558" i="1"/>
  <c r="F557" i="1"/>
  <c r="E557" i="1"/>
  <c r="D557" i="1"/>
  <c r="F556" i="1"/>
  <c r="E556" i="1"/>
  <c r="D556" i="1"/>
  <c r="F555" i="1"/>
  <c r="E555" i="1"/>
  <c r="D555" i="1"/>
  <c r="F554" i="1"/>
  <c r="E554" i="1"/>
  <c r="D554" i="1"/>
  <c r="F553" i="1"/>
  <c r="E553" i="1"/>
  <c r="D553" i="1"/>
  <c r="F552" i="1"/>
  <c r="E552" i="1"/>
  <c r="D552" i="1"/>
  <c r="F551" i="1"/>
  <c r="E551" i="1"/>
  <c r="D551" i="1"/>
  <c r="F550" i="1"/>
  <c r="E550" i="1"/>
  <c r="D550" i="1"/>
  <c r="F549" i="1"/>
  <c r="E549" i="1"/>
  <c r="D549" i="1"/>
  <c r="F548" i="1"/>
  <c r="E548" i="1"/>
  <c r="D548" i="1"/>
  <c r="F547" i="1"/>
  <c r="E547" i="1"/>
  <c r="D547" i="1"/>
  <c r="F546" i="1"/>
  <c r="E546" i="1"/>
  <c r="D546" i="1"/>
  <c r="F545" i="1"/>
  <c r="E545" i="1"/>
  <c r="D545" i="1"/>
  <c r="F544" i="1"/>
  <c r="E544" i="1"/>
  <c r="D544" i="1"/>
  <c r="F543" i="1"/>
  <c r="E543" i="1"/>
  <c r="D543" i="1"/>
  <c r="F542" i="1"/>
  <c r="E542" i="1"/>
  <c r="D542" i="1"/>
  <c r="F541" i="1"/>
  <c r="E541" i="1"/>
  <c r="D541" i="1"/>
  <c r="F540" i="1"/>
  <c r="E540" i="1"/>
  <c r="D540" i="1"/>
  <c r="F539" i="1"/>
  <c r="E539" i="1"/>
  <c r="D539" i="1"/>
  <c r="F538" i="1"/>
  <c r="E538" i="1"/>
  <c r="D538" i="1"/>
  <c r="F537" i="1"/>
  <c r="E537" i="1"/>
  <c r="D537" i="1"/>
  <c r="F536" i="1"/>
  <c r="E536" i="1"/>
  <c r="D536" i="1"/>
  <c r="F535" i="1"/>
  <c r="E535" i="1"/>
  <c r="D535" i="1"/>
  <c r="F534" i="1"/>
  <c r="E534" i="1"/>
  <c r="D534" i="1"/>
  <c r="F533" i="1"/>
  <c r="E533" i="1"/>
  <c r="D533" i="1"/>
  <c r="F532" i="1"/>
  <c r="E532" i="1"/>
  <c r="D532" i="1"/>
  <c r="F531" i="1"/>
  <c r="E531" i="1"/>
  <c r="D531" i="1"/>
  <c r="F530" i="1"/>
  <c r="E530" i="1"/>
  <c r="D530" i="1"/>
  <c r="F529" i="1"/>
  <c r="E529" i="1"/>
  <c r="D529" i="1"/>
  <c r="F528" i="1"/>
  <c r="E528" i="1"/>
  <c r="D528" i="1"/>
  <c r="F527" i="1"/>
  <c r="E527" i="1"/>
  <c r="D527" i="1"/>
  <c r="F526" i="1"/>
  <c r="E526" i="1"/>
  <c r="D526" i="1"/>
  <c r="F525" i="1"/>
  <c r="E525" i="1"/>
  <c r="D525" i="1"/>
  <c r="F524" i="1"/>
  <c r="E524" i="1"/>
  <c r="D524" i="1"/>
  <c r="F523" i="1"/>
  <c r="E523" i="1"/>
  <c r="D523" i="1"/>
  <c r="F522" i="1"/>
  <c r="E522" i="1"/>
  <c r="D522" i="1"/>
  <c r="F521" i="1"/>
  <c r="E521" i="1"/>
  <c r="D521" i="1"/>
  <c r="F520" i="1"/>
  <c r="E520" i="1"/>
  <c r="D520" i="1"/>
  <c r="F519" i="1"/>
  <c r="E519" i="1"/>
  <c r="D519" i="1"/>
  <c r="F518" i="1"/>
  <c r="E518" i="1"/>
  <c r="D518" i="1"/>
  <c r="F517" i="1"/>
  <c r="E517" i="1"/>
  <c r="D517" i="1"/>
  <c r="F516" i="1"/>
  <c r="E516" i="1"/>
  <c r="D516" i="1"/>
  <c r="F515" i="1"/>
  <c r="E515" i="1"/>
  <c r="D515" i="1"/>
  <c r="F514" i="1"/>
  <c r="E514" i="1"/>
  <c r="D514" i="1"/>
  <c r="F513" i="1"/>
  <c r="E513" i="1"/>
  <c r="D513" i="1"/>
  <c r="F512" i="1"/>
  <c r="E512" i="1"/>
  <c r="D512" i="1"/>
  <c r="F511" i="1"/>
  <c r="E511" i="1"/>
  <c r="D511" i="1"/>
  <c r="F510" i="1"/>
  <c r="E510" i="1"/>
  <c r="D510" i="1"/>
  <c r="F509" i="1"/>
  <c r="E509" i="1"/>
  <c r="D509" i="1"/>
  <c r="F508" i="1"/>
  <c r="E508" i="1"/>
  <c r="D508" i="1"/>
  <c r="F507" i="1"/>
  <c r="E507" i="1"/>
  <c r="D507" i="1"/>
  <c r="F506" i="1"/>
  <c r="E506" i="1"/>
  <c r="D506" i="1"/>
  <c r="F505" i="1"/>
  <c r="E505" i="1"/>
  <c r="D505" i="1"/>
  <c r="F504" i="1"/>
  <c r="E504" i="1"/>
  <c r="D504" i="1"/>
  <c r="F503" i="1"/>
  <c r="E503" i="1"/>
  <c r="D503" i="1"/>
  <c r="F502" i="1"/>
  <c r="E502" i="1"/>
  <c r="D502" i="1"/>
  <c r="F501" i="1"/>
  <c r="E501" i="1"/>
  <c r="D501" i="1"/>
  <c r="F500" i="1"/>
  <c r="E500" i="1"/>
  <c r="D500" i="1"/>
  <c r="F499" i="1"/>
  <c r="E499" i="1"/>
  <c r="D499" i="1"/>
  <c r="F498" i="1"/>
  <c r="E498" i="1"/>
  <c r="D498" i="1"/>
  <c r="F497" i="1"/>
  <c r="E497" i="1"/>
  <c r="D497" i="1"/>
  <c r="F496" i="1"/>
  <c r="E496" i="1"/>
  <c r="D496" i="1"/>
  <c r="F495" i="1"/>
  <c r="E495" i="1"/>
  <c r="D495" i="1"/>
  <c r="F494" i="1"/>
  <c r="E494" i="1"/>
  <c r="D494" i="1"/>
  <c r="F493" i="1"/>
  <c r="E493" i="1"/>
  <c r="D493" i="1"/>
  <c r="F492" i="1"/>
  <c r="E492" i="1"/>
  <c r="D492" i="1"/>
  <c r="F491" i="1"/>
  <c r="E491" i="1"/>
  <c r="D491" i="1"/>
  <c r="F490" i="1"/>
  <c r="E490" i="1"/>
  <c r="D490" i="1"/>
  <c r="F489" i="1"/>
  <c r="E489" i="1"/>
  <c r="D489" i="1"/>
  <c r="F488" i="1"/>
  <c r="E488" i="1"/>
  <c r="D488" i="1"/>
  <c r="F487" i="1"/>
  <c r="E487" i="1"/>
  <c r="D487" i="1"/>
  <c r="F486" i="1"/>
  <c r="E486" i="1"/>
  <c r="D486" i="1"/>
  <c r="F485" i="1"/>
  <c r="E485" i="1"/>
  <c r="D485" i="1"/>
  <c r="F484" i="1"/>
  <c r="E484" i="1"/>
  <c r="D484" i="1"/>
  <c r="F483" i="1"/>
  <c r="E483" i="1"/>
  <c r="D483" i="1"/>
  <c r="F482" i="1"/>
  <c r="E482" i="1"/>
  <c r="D482" i="1"/>
  <c r="F481" i="1"/>
  <c r="E481" i="1"/>
  <c r="D481" i="1"/>
  <c r="F480" i="1"/>
  <c r="E480" i="1"/>
  <c r="D480" i="1"/>
  <c r="F479" i="1"/>
  <c r="E479" i="1"/>
  <c r="D479" i="1"/>
  <c r="F478" i="1"/>
  <c r="E478" i="1"/>
  <c r="D478" i="1"/>
  <c r="F477" i="1"/>
  <c r="E477" i="1"/>
  <c r="D477" i="1"/>
  <c r="F476" i="1"/>
  <c r="E476" i="1"/>
  <c r="D476" i="1"/>
  <c r="F475" i="1"/>
  <c r="E475" i="1"/>
  <c r="D475" i="1"/>
  <c r="F474" i="1"/>
  <c r="E474" i="1"/>
  <c r="D474" i="1"/>
  <c r="F473" i="1"/>
  <c r="E473" i="1"/>
  <c r="D473" i="1"/>
  <c r="F472" i="1"/>
  <c r="E472" i="1"/>
  <c r="D472" i="1"/>
  <c r="F471" i="1"/>
  <c r="E471" i="1"/>
  <c r="D471" i="1"/>
  <c r="F470" i="1"/>
  <c r="E470" i="1"/>
  <c r="D470" i="1"/>
  <c r="F469" i="1"/>
  <c r="E469" i="1"/>
  <c r="D469" i="1"/>
  <c r="F468" i="1"/>
  <c r="E468" i="1"/>
  <c r="D468" i="1"/>
  <c r="F467" i="1"/>
  <c r="E467" i="1"/>
  <c r="D467" i="1"/>
  <c r="F466" i="1"/>
  <c r="E466" i="1"/>
  <c r="D466" i="1"/>
  <c r="F465" i="1"/>
  <c r="E465" i="1"/>
  <c r="D465" i="1"/>
  <c r="F464" i="1"/>
  <c r="E464" i="1"/>
  <c r="D464" i="1"/>
  <c r="F463" i="1"/>
  <c r="E463" i="1"/>
  <c r="D463" i="1"/>
  <c r="F462" i="1"/>
  <c r="E462" i="1"/>
  <c r="D462" i="1"/>
  <c r="F461" i="1"/>
  <c r="E461" i="1"/>
  <c r="D461" i="1"/>
  <c r="F460" i="1"/>
  <c r="E460" i="1"/>
  <c r="D460" i="1"/>
  <c r="F459" i="1"/>
  <c r="E459" i="1"/>
  <c r="D459" i="1"/>
  <c r="F458" i="1"/>
  <c r="E458" i="1"/>
  <c r="D458" i="1"/>
  <c r="F457" i="1"/>
  <c r="E457" i="1"/>
  <c r="D457" i="1"/>
  <c r="F456" i="1"/>
  <c r="E456" i="1"/>
  <c r="D456" i="1"/>
  <c r="F455" i="1"/>
  <c r="E455" i="1"/>
  <c r="D455" i="1"/>
  <c r="F454" i="1"/>
  <c r="E454" i="1"/>
  <c r="D454" i="1"/>
  <c r="F453" i="1"/>
  <c r="E453" i="1"/>
  <c r="D453" i="1"/>
  <c r="F452" i="1"/>
  <c r="E452" i="1"/>
  <c r="D452" i="1"/>
  <c r="F451" i="1"/>
  <c r="E451" i="1"/>
  <c r="D451" i="1"/>
  <c r="F450" i="1"/>
  <c r="E450" i="1"/>
  <c r="D450" i="1"/>
  <c r="F449" i="1"/>
  <c r="E449" i="1"/>
  <c r="D449" i="1"/>
  <c r="F448" i="1"/>
  <c r="E448" i="1"/>
  <c r="D448" i="1"/>
  <c r="F447" i="1"/>
  <c r="E447" i="1"/>
  <c r="D447" i="1"/>
  <c r="F446" i="1"/>
  <c r="E446" i="1"/>
  <c r="D446" i="1"/>
  <c r="F445" i="1"/>
  <c r="E445" i="1"/>
  <c r="D445" i="1"/>
  <c r="F444" i="1"/>
  <c r="E444" i="1"/>
  <c r="D444" i="1"/>
  <c r="F443" i="1"/>
  <c r="E443" i="1"/>
  <c r="D443" i="1"/>
  <c r="F442" i="1"/>
  <c r="E442" i="1"/>
  <c r="D442" i="1"/>
  <c r="F441" i="1"/>
  <c r="E441" i="1"/>
  <c r="D441" i="1"/>
  <c r="F440" i="1"/>
  <c r="E440" i="1"/>
  <c r="D440" i="1"/>
  <c r="F439" i="1"/>
  <c r="E439" i="1"/>
  <c r="D439" i="1"/>
  <c r="F438" i="1"/>
  <c r="E438" i="1"/>
  <c r="D438" i="1"/>
  <c r="F437" i="1"/>
  <c r="E437" i="1"/>
  <c r="D437" i="1"/>
  <c r="F436" i="1"/>
  <c r="E436" i="1"/>
  <c r="D436" i="1"/>
  <c r="F435" i="1"/>
  <c r="E435" i="1"/>
  <c r="D435" i="1"/>
  <c r="F434" i="1"/>
  <c r="E434" i="1"/>
  <c r="D434" i="1"/>
  <c r="F433" i="1"/>
  <c r="E433" i="1"/>
  <c r="D433" i="1"/>
  <c r="F432" i="1"/>
  <c r="E432" i="1"/>
  <c r="D432" i="1"/>
  <c r="F431" i="1"/>
  <c r="E431" i="1"/>
  <c r="D431" i="1"/>
  <c r="F430" i="1"/>
  <c r="E430" i="1"/>
  <c r="D430" i="1"/>
  <c r="F429" i="1"/>
  <c r="E429" i="1"/>
  <c r="D429" i="1"/>
  <c r="F428" i="1"/>
  <c r="E428" i="1"/>
  <c r="D428" i="1"/>
  <c r="F427" i="1"/>
  <c r="E427" i="1"/>
  <c r="D427" i="1"/>
  <c r="F426" i="1"/>
  <c r="E426" i="1"/>
  <c r="D426" i="1"/>
  <c r="F425" i="1"/>
  <c r="E425" i="1"/>
  <c r="D425" i="1"/>
  <c r="F424" i="1"/>
  <c r="E424" i="1"/>
  <c r="D424" i="1"/>
  <c r="F423" i="1"/>
  <c r="E423" i="1"/>
  <c r="D423" i="1"/>
  <c r="F422" i="1"/>
  <c r="E422" i="1"/>
  <c r="D422" i="1"/>
  <c r="F421" i="1"/>
  <c r="E421" i="1"/>
  <c r="D421" i="1"/>
  <c r="F420" i="1"/>
  <c r="E420" i="1"/>
  <c r="D420" i="1"/>
  <c r="F419" i="1"/>
  <c r="E419" i="1"/>
  <c r="D419" i="1"/>
  <c r="F418" i="1"/>
  <c r="E418" i="1"/>
  <c r="D418" i="1"/>
  <c r="F417" i="1"/>
  <c r="E417" i="1"/>
  <c r="D417" i="1"/>
  <c r="F416" i="1"/>
  <c r="E416" i="1"/>
  <c r="D416" i="1"/>
  <c r="F415" i="1"/>
  <c r="E415" i="1"/>
  <c r="D415" i="1"/>
  <c r="F414" i="1"/>
  <c r="E414" i="1"/>
  <c r="D414" i="1"/>
  <c r="F413" i="1"/>
  <c r="E413" i="1"/>
  <c r="D413" i="1"/>
  <c r="F412" i="1"/>
  <c r="E412" i="1"/>
  <c r="D412" i="1"/>
  <c r="F411" i="1"/>
  <c r="E411" i="1"/>
  <c r="D411" i="1"/>
  <c r="F410" i="1"/>
  <c r="E410" i="1"/>
  <c r="D410" i="1"/>
  <c r="F409" i="1"/>
  <c r="E409" i="1"/>
  <c r="D409" i="1"/>
  <c r="F408" i="1"/>
  <c r="E408" i="1"/>
  <c r="D408" i="1"/>
  <c r="F407" i="1"/>
  <c r="E407" i="1"/>
  <c r="D407" i="1"/>
  <c r="F406" i="1"/>
  <c r="E406" i="1"/>
  <c r="D406" i="1"/>
  <c r="F405" i="1"/>
  <c r="E405" i="1"/>
  <c r="D405" i="1"/>
  <c r="F404" i="1"/>
  <c r="E404" i="1"/>
  <c r="D404" i="1"/>
  <c r="F403" i="1"/>
  <c r="E403" i="1"/>
  <c r="D403" i="1"/>
  <c r="F402" i="1"/>
  <c r="E402" i="1"/>
  <c r="D402" i="1"/>
  <c r="F401" i="1"/>
  <c r="E401" i="1"/>
  <c r="D401" i="1"/>
  <c r="F400" i="1"/>
  <c r="E400" i="1"/>
  <c r="D400" i="1"/>
  <c r="F399" i="1"/>
  <c r="E399" i="1"/>
  <c r="D399" i="1"/>
  <c r="F398" i="1"/>
  <c r="E398" i="1"/>
  <c r="D398" i="1"/>
  <c r="F397" i="1"/>
  <c r="E397" i="1"/>
  <c r="D397" i="1"/>
  <c r="F396" i="1"/>
  <c r="E396" i="1"/>
  <c r="D396" i="1"/>
  <c r="F395" i="1"/>
  <c r="E395" i="1"/>
  <c r="D395" i="1"/>
  <c r="F394" i="1"/>
  <c r="E394" i="1"/>
  <c r="D394" i="1"/>
  <c r="F393" i="1"/>
  <c r="E393" i="1"/>
  <c r="D393" i="1"/>
  <c r="F392" i="1"/>
  <c r="E392" i="1"/>
  <c r="D392" i="1"/>
  <c r="F391" i="1"/>
  <c r="E391" i="1"/>
  <c r="D391" i="1"/>
  <c r="F390" i="1"/>
  <c r="E390" i="1"/>
  <c r="D390" i="1"/>
  <c r="F389" i="1"/>
  <c r="E389" i="1"/>
  <c r="D389" i="1"/>
  <c r="F388" i="1"/>
  <c r="E388" i="1"/>
  <c r="D388" i="1"/>
  <c r="F387" i="1"/>
  <c r="E387" i="1"/>
  <c r="D387" i="1"/>
  <c r="F386" i="1"/>
  <c r="E386" i="1"/>
  <c r="D386" i="1"/>
  <c r="F385" i="1"/>
  <c r="E385" i="1"/>
  <c r="D385" i="1"/>
  <c r="F384" i="1"/>
  <c r="E384" i="1"/>
  <c r="D384" i="1"/>
  <c r="F383" i="1"/>
  <c r="E383" i="1"/>
  <c r="D383" i="1"/>
  <c r="F382" i="1"/>
  <c r="E382" i="1"/>
  <c r="D382" i="1"/>
  <c r="F381" i="1"/>
  <c r="E381" i="1"/>
  <c r="D381" i="1"/>
  <c r="F380" i="1"/>
  <c r="E380" i="1"/>
  <c r="D380" i="1"/>
  <c r="F379" i="1"/>
  <c r="E379" i="1"/>
  <c r="D379" i="1"/>
  <c r="F378" i="1"/>
  <c r="E378" i="1"/>
  <c r="D378" i="1"/>
  <c r="F377" i="1"/>
  <c r="E377" i="1"/>
  <c r="D377" i="1"/>
  <c r="F376" i="1"/>
  <c r="E376" i="1"/>
  <c r="D376" i="1"/>
  <c r="F375" i="1"/>
  <c r="E375" i="1"/>
  <c r="D375" i="1"/>
  <c r="F374" i="1"/>
  <c r="E374" i="1"/>
  <c r="D374" i="1"/>
  <c r="F373" i="1"/>
  <c r="E373" i="1"/>
  <c r="D373" i="1"/>
  <c r="F372" i="1"/>
  <c r="E372" i="1"/>
  <c r="D372" i="1"/>
  <c r="F371" i="1"/>
  <c r="E371" i="1"/>
  <c r="D371" i="1"/>
  <c r="F370" i="1"/>
  <c r="E370" i="1"/>
  <c r="D370" i="1"/>
  <c r="F369" i="1"/>
  <c r="E369" i="1"/>
  <c r="D369" i="1"/>
  <c r="F368" i="1"/>
  <c r="E368" i="1"/>
  <c r="D368" i="1"/>
  <c r="F367" i="1"/>
  <c r="E367" i="1"/>
  <c r="D367" i="1"/>
  <c r="F366" i="1"/>
  <c r="E366" i="1"/>
  <c r="D366" i="1"/>
  <c r="F365" i="1"/>
  <c r="E365" i="1"/>
  <c r="D365" i="1"/>
  <c r="F364" i="1"/>
  <c r="E364" i="1"/>
  <c r="D364" i="1"/>
  <c r="F363" i="1"/>
  <c r="E363" i="1"/>
  <c r="D363" i="1"/>
  <c r="F362" i="1"/>
  <c r="E362" i="1"/>
  <c r="D362" i="1"/>
  <c r="F361" i="1"/>
  <c r="E361" i="1"/>
  <c r="D361" i="1"/>
  <c r="F360" i="1"/>
  <c r="E360" i="1"/>
  <c r="D360" i="1"/>
  <c r="F359" i="1"/>
  <c r="E359" i="1"/>
  <c r="D359" i="1"/>
  <c r="F358" i="1"/>
  <c r="E358" i="1"/>
  <c r="D358" i="1"/>
  <c r="F357" i="1"/>
  <c r="E357" i="1"/>
  <c r="D357" i="1"/>
  <c r="F356" i="1"/>
  <c r="E356" i="1"/>
  <c r="D356" i="1"/>
  <c r="F355" i="1"/>
  <c r="E355" i="1"/>
  <c r="D355" i="1"/>
  <c r="F354" i="1"/>
  <c r="E354" i="1"/>
  <c r="D354" i="1"/>
  <c r="F353" i="1"/>
  <c r="E353" i="1"/>
  <c r="D353" i="1"/>
  <c r="F352" i="1"/>
  <c r="E352" i="1"/>
  <c r="D352" i="1"/>
  <c r="F351" i="1"/>
  <c r="E351" i="1"/>
  <c r="D351" i="1"/>
  <c r="F350" i="1"/>
  <c r="E350" i="1"/>
  <c r="D350" i="1"/>
  <c r="F349" i="1"/>
  <c r="E349" i="1"/>
  <c r="D349" i="1"/>
  <c r="F348" i="1"/>
  <c r="E348" i="1"/>
  <c r="D348" i="1"/>
  <c r="F347" i="1"/>
  <c r="E347" i="1"/>
  <c r="D347" i="1"/>
  <c r="F346" i="1"/>
  <c r="E346" i="1"/>
  <c r="D346" i="1"/>
  <c r="F345" i="1"/>
  <c r="E345" i="1"/>
  <c r="D345" i="1"/>
  <c r="F344" i="1"/>
  <c r="E344" i="1"/>
  <c r="D344" i="1"/>
  <c r="F343" i="1"/>
  <c r="E343" i="1"/>
  <c r="D343" i="1"/>
  <c r="F342" i="1"/>
  <c r="E342" i="1"/>
  <c r="D342" i="1"/>
  <c r="F341" i="1"/>
  <c r="E341" i="1"/>
  <c r="D341" i="1"/>
  <c r="F340" i="1"/>
  <c r="E340" i="1"/>
  <c r="D340" i="1"/>
  <c r="F339" i="1"/>
  <c r="E339" i="1"/>
  <c r="D339" i="1"/>
  <c r="F338" i="1"/>
  <c r="E338" i="1"/>
  <c r="D338" i="1"/>
  <c r="F337" i="1"/>
  <c r="E337" i="1"/>
  <c r="D337" i="1"/>
  <c r="F336" i="1"/>
  <c r="E336" i="1"/>
  <c r="D336" i="1"/>
  <c r="F335" i="1"/>
  <c r="E335" i="1"/>
  <c r="D335" i="1"/>
  <c r="F334" i="1"/>
  <c r="E334" i="1"/>
  <c r="D334" i="1"/>
  <c r="F333" i="1"/>
  <c r="E333" i="1"/>
  <c r="D333" i="1"/>
  <c r="F332" i="1"/>
  <c r="E332" i="1"/>
  <c r="D332" i="1"/>
  <c r="F331" i="1"/>
  <c r="E331" i="1"/>
  <c r="D331" i="1"/>
  <c r="F330" i="1"/>
  <c r="E330" i="1"/>
  <c r="D330" i="1"/>
  <c r="F329" i="1"/>
  <c r="E329" i="1"/>
  <c r="D329" i="1"/>
  <c r="F328" i="1"/>
  <c r="E328" i="1"/>
  <c r="D328" i="1"/>
  <c r="F327" i="1"/>
  <c r="E327" i="1"/>
  <c r="D327" i="1"/>
  <c r="F326" i="1"/>
  <c r="E326" i="1"/>
  <c r="D326" i="1"/>
  <c r="F325" i="1"/>
  <c r="E325" i="1"/>
  <c r="D325" i="1"/>
  <c r="F324" i="1"/>
  <c r="E324" i="1"/>
  <c r="D324" i="1"/>
  <c r="F323" i="1"/>
  <c r="E323" i="1"/>
  <c r="D323" i="1"/>
  <c r="F322" i="1"/>
  <c r="E322" i="1"/>
  <c r="D322" i="1"/>
  <c r="F321" i="1"/>
  <c r="E321" i="1"/>
  <c r="D321" i="1"/>
  <c r="F320" i="1"/>
  <c r="E320" i="1"/>
  <c r="D320" i="1"/>
  <c r="F319" i="1"/>
  <c r="E319" i="1"/>
  <c r="D319" i="1"/>
  <c r="F318" i="1"/>
  <c r="E318" i="1"/>
  <c r="D318" i="1"/>
  <c r="F317" i="1"/>
  <c r="E317" i="1"/>
  <c r="D317" i="1"/>
  <c r="F316" i="1"/>
  <c r="E316" i="1"/>
  <c r="D316" i="1"/>
  <c r="F315" i="1"/>
  <c r="E315" i="1"/>
  <c r="D315" i="1"/>
  <c r="F314" i="1"/>
  <c r="E314" i="1"/>
  <c r="D314" i="1"/>
  <c r="F313" i="1"/>
  <c r="E313" i="1"/>
  <c r="D313" i="1"/>
  <c r="F312" i="1"/>
  <c r="E312" i="1"/>
  <c r="D312" i="1"/>
  <c r="F311" i="1"/>
  <c r="E311" i="1"/>
  <c r="D311" i="1"/>
  <c r="F310" i="1"/>
  <c r="E310" i="1"/>
  <c r="D310" i="1"/>
  <c r="F309" i="1"/>
  <c r="E309" i="1"/>
  <c r="D309" i="1"/>
  <c r="F308" i="1"/>
  <c r="E308" i="1"/>
  <c r="D308" i="1"/>
  <c r="F307" i="1"/>
  <c r="E307" i="1"/>
  <c r="D307" i="1"/>
  <c r="F306" i="1"/>
  <c r="E306" i="1"/>
  <c r="D306" i="1"/>
  <c r="F305" i="1"/>
  <c r="E305" i="1"/>
  <c r="D305" i="1"/>
  <c r="F304" i="1"/>
  <c r="E304" i="1"/>
  <c r="D304" i="1"/>
  <c r="F303" i="1"/>
  <c r="E303" i="1"/>
  <c r="D303" i="1"/>
  <c r="F302" i="1"/>
  <c r="E302" i="1"/>
  <c r="D302" i="1"/>
  <c r="F301" i="1"/>
  <c r="E301" i="1"/>
  <c r="D301" i="1"/>
  <c r="F300" i="1"/>
  <c r="E300" i="1"/>
  <c r="D300" i="1"/>
  <c r="F299" i="1"/>
  <c r="E299" i="1"/>
  <c r="D299" i="1"/>
  <c r="F298" i="1"/>
  <c r="E298" i="1"/>
  <c r="D298" i="1"/>
  <c r="F297" i="1"/>
  <c r="E297" i="1"/>
  <c r="D297" i="1"/>
  <c r="F296" i="1"/>
  <c r="E296" i="1"/>
  <c r="D296" i="1"/>
  <c r="F295" i="1"/>
  <c r="E295" i="1"/>
  <c r="D295" i="1"/>
  <c r="F294" i="1"/>
  <c r="E294" i="1"/>
  <c r="D294" i="1"/>
  <c r="F293" i="1"/>
  <c r="E293" i="1"/>
  <c r="D293" i="1"/>
  <c r="F292" i="1"/>
  <c r="E292" i="1"/>
  <c r="D292" i="1"/>
  <c r="F291" i="1"/>
  <c r="E291" i="1"/>
  <c r="D291" i="1"/>
  <c r="F290" i="1"/>
  <c r="E290" i="1"/>
  <c r="D290" i="1"/>
  <c r="F289" i="1"/>
  <c r="E289" i="1"/>
  <c r="D289" i="1"/>
  <c r="F288" i="1"/>
  <c r="E288" i="1"/>
  <c r="D288" i="1"/>
  <c r="F287" i="1"/>
  <c r="E287" i="1"/>
  <c r="D287" i="1"/>
  <c r="F286" i="1"/>
  <c r="E286" i="1"/>
  <c r="D286" i="1"/>
  <c r="F285" i="1"/>
  <c r="E285" i="1"/>
  <c r="D285" i="1"/>
  <c r="F284" i="1"/>
  <c r="E284" i="1"/>
  <c r="D284" i="1"/>
  <c r="F283" i="1"/>
  <c r="E283" i="1"/>
  <c r="D283" i="1"/>
  <c r="F282" i="1"/>
  <c r="E282" i="1"/>
  <c r="D282" i="1"/>
  <c r="F281" i="1"/>
  <c r="E281" i="1"/>
  <c r="D281" i="1"/>
  <c r="F280" i="1"/>
  <c r="E280" i="1"/>
  <c r="D280" i="1"/>
  <c r="F279" i="1"/>
  <c r="E279" i="1"/>
  <c r="D279" i="1"/>
  <c r="F278" i="1"/>
  <c r="E278" i="1"/>
  <c r="D278" i="1"/>
  <c r="F277" i="1"/>
  <c r="E277" i="1"/>
  <c r="D277" i="1"/>
  <c r="F276" i="1"/>
  <c r="E276" i="1"/>
  <c r="D276" i="1"/>
  <c r="F275" i="1"/>
  <c r="E275" i="1"/>
  <c r="D275" i="1"/>
  <c r="F274" i="1"/>
  <c r="E274" i="1"/>
  <c r="D274" i="1"/>
  <c r="F273" i="1"/>
  <c r="E273" i="1"/>
  <c r="D273" i="1"/>
  <c r="F272" i="1"/>
  <c r="E272" i="1"/>
  <c r="D272" i="1"/>
  <c r="F271" i="1"/>
  <c r="E271" i="1"/>
  <c r="D271" i="1"/>
  <c r="F270" i="1"/>
  <c r="E270" i="1"/>
  <c r="D270" i="1"/>
  <c r="F269" i="1"/>
  <c r="E269" i="1"/>
  <c r="D269" i="1"/>
  <c r="F268" i="1"/>
  <c r="E268" i="1"/>
  <c r="D268" i="1"/>
  <c r="F267" i="1"/>
  <c r="E267" i="1"/>
  <c r="D267" i="1"/>
  <c r="F266" i="1"/>
  <c r="E266" i="1"/>
  <c r="D266" i="1"/>
  <c r="F265" i="1"/>
  <c r="E265" i="1"/>
  <c r="D265" i="1"/>
  <c r="F264" i="1"/>
  <c r="E264" i="1"/>
  <c r="D264" i="1"/>
  <c r="F263" i="1"/>
  <c r="E263" i="1"/>
  <c r="D263" i="1"/>
  <c r="F262" i="1"/>
  <c r="E262" i="1"/>
  <c r="D262" i="1"/>
  <c r="F261" i="1"/>
  <c r="E261" i="1"/>
  <c r="D261" i="1"/>
  <c r="F260" i="1"/>
  <c r="E260" i="1"/>
  <c r="D260" i="1"/>
  <c r="F259" i="1"/>
  <c r="E259" i="1"/>
  <c r="D259" i="1"/>
  <c r="F258" i="1"/>
  <c r="E258" i="1"/>
  <c r="D258" i="1"/>
  <c r="F257" i="1"/>
  <c r="E257" i="1"/>
  <c r="D257" i="1"/>
  <c r="F256" i="1"/>
  <c r="E256" i="1"/>
  <c r="D256" i="1"/>
  <c r="F255" i="1"/>
  <c r="E255" i="1"/>
  <c r="D255" i="1"/>
  <c r="F254" i="1"/>
  <c r="E254" i="1"/>
  <c r="D254" i="1"/>
  <c r="F253" i="1"/>
  <c r="E253" i="1"/>
  <c r="D253" i="1"/>
  <c r="F252" i="1"/>
  <c r="E252" i="1"/>
  <c r="D252" i="1"/>
  <c r="F251" i="1"/>
  <c r="E251" i="1"/>
  <c r="D251" i="1"/>
  <c r="F250" i="1"/>
  <c r="E250" i="1"/>
  <c r="D250" i="1"/>
  <c r="F249" i="1"/>
  <c r="E249" i="1"/>
  <c r="D249" i="1"/>
  <c r="F248" i="1"/>
  <c r="E248" i="1"/>
  <c r="D248" i="1"/>
  <c r="F247" i="1"/>
  <c r="E247" i="1"/>
  <c r="D247" i="1"/>
  <c r="F246" i="1"/>
  <c r="E246" i="1"/>
  <c r="D246" i="1"/>
  <c r="F245" i="1"/>
  <c r="E245" i="1"/>
  <c r="D245" i="1"/>
  <c r="F244" i="1"/>
  <c r="E244" i="1"/>
  <c r="D244" i="1"/>
  <c r="F243" i="1"/>
  <c r="E243" i="1"/>
  <c r="D243" i="1"/>
  <c r="F242" i="1"/>
  <c r="E242" i="1"/>
  <c r="D242" i="1"/>
  <c r="F241" i="1"/>
  <c r="E241" i="1"/>
  <c r="D241" i="1"/>
  <c r="F240" i="1"/>
  <c r="E240" i="1"/>
  <c r="D240" i="1"/>
  <c r="F239" i="1"/>
  <c r="E239" i="1"/>
  <c r="D239" i="1"/>
  <c r="F238" i="1"/>
  <c r="E238" i="1"/>
  <c r="D238" i="1"/>
  <c r="F237" i="1"/>
  <c r="E237" i="1"/>
  <c r="D237" i="1"/>
  <c r="F236" i="1"/>
  <c r="E236" i="1"/>
  <c r="D236" i="1"/>
  <c r="F235" i="1"/>
  <c r="E235" i="1"/>
  <c r="D235" i="1"/>
  <c r="F234" i="1"/>
  <c r="E234" i="1"/>
  <c r="D234" i="1"/>
  <c r="F233" i="1"/>
  <c r="E233" i="1"/>
  <c r="D233" i="1"/>
  <c r="F232" i="1"/>
  <c r="E232" i="1"/>
  <c r="D232" i="1"/>
  <c r="F231" i="1"/>
  <c r="E231" i="1"/>
  <c r="D231" i="1"/>
  <c r="F230" i="1"/>
  <c r="E230" i="1"/>
  <c r="D230" i="1"/>
  <c r="F229" i="1"/>
  <c r="E229" i="1"/>
  <c r="D229" i="1"/>
  <c r="F228" i="1"/>
  <c r="E228" i="1"/>
  <c r="D228" i="1"/>
  <c r="F227" i="1"/>
  <c r="E227" i="1"/>
  <c r="D227" i="1"/>
  <c r="F226" i="1"/>
  <c r="E226" i="1"/>
  <c r="D226" i="1"/>
  <c r="F225" i="1"/>
  <c r="E225" i="1"/>
  <c r="D225" i="1"/>
  <c r="F224" i="1"/>
  <c r="E224" i="1"/>
  <c r="D224" i="1"/>
  <c r="F223" i="1"/>
  <c r="E223" i="1"/>
  <c r="D223" i="1"/>
  <c r="F222" i="1"/>
  <c r="E222" i="1"/>
  <c r="D222" i="1"/>
  <c r="F221" i="1"/>
  <c r="E221" i="1"/>
  <c r="D221" i="1"/>
  <c r="F220" i="1"/>
  <c r="E220" i="1"/>
  <c r="D220" i="1"/>
  <c r="F219" i="1"/>
  <c r="E219" i="1"/>
  <c r="D219" i="1"/>
  <c r="F218" i="1"/>
  <c r="E218" i="1"/>
  <c r="D218" i="1"/>
  <c r="F217" i="1"/>
  <c r="E217" i="1"/>
  <c r="D217" i="1"/>
  <c r="F216" i="1"/>
  <c r="E216" i="1"/>
  <c r="D216" i="1"/>
  <c r="F215" i="1"/>
  <c r="E215" i="1"/>
  <c r="D215" i="1"/>
  <c r="F214" i="1"/>
  <c r="E214" i="1"/>
  <c r="D214" i="1"/>
  <c r="F213" i="1"/>
  <c r="E213" i="1"/>
  <c r="D213" i="1"/>
  <c r="F212" i="1"/>
  <c r="E212" i="1"/>
  <c r="D212" i="1"/>
  <c r="F211" i="1"/>
  <c r="E211" i="1"/>
  <c r="D211" i="1"/>
  <c r="F210" i="1"/>
  <c r="E210" i="1"/>
  <c r="D210" i="1"/>
  <c r="F209" i="1"/>
  <c r="E209" i="1"/>
  <c r="D209" i="1"/>
  <c r="F208" i="1"/>
  <c r="E208" i="1"/>
  <c r="D208" i="1"/>
  <c r="F207" i="1"/>
  <c r="E207" i="1"/>
  <c r="D207" i="1"/>
  <c r="F206" i="1"/>
  <c r="E206" i="1"/>
  <c r="D206" i="1"/>
  <c r="F205" i="1"/>
  <c r="E205" i="1"/>
  <c r="D205" i="1"/>
  <c r="F204" i="1"/>
  <c r="E204" i="1"/>
  <c r="D204" i="1"/>
  <c r="F203" i="1"/>
  <c r="E203" i="1"/>
  <c r="D203" i="1"/>
  <c r="F202" i="1"/>
  <c r="E202" i="1"/>
  <c r="D202" i="1"/>
  <c r="F201" i="1"/>
  <c r="E201" i="1"/>
  <c r="D201" i="1"/>
  <c r="F200" i="1"/>
  <c r="E200" i="1"/>
  <c r="D200" i="1"/>
  <c r="F199" i="1"/>
  <c r="E199" i="1"/>
  <c r="D199" i="1"/>
  <c r="F198" i="1"/>
  <c r="E198" i="1"/>
  <c r="D198" i="1"/>
  <c r="F197" i="1"/>
  <c r="E197" i="1"/>
  <c r="D197" i="1"/>
  <c r="F196" i="1"/>
  <c r="E196" i="1"/>
  <c r="D196" i="1"/>
  <c r="F195" i="1"/>
  <c r="E195" i="1"/>
  <c r="D195" i="1"/>
  <c r="F194" i="1"/>
  <c r="E194" i="1"/>
  <c r="D194" i="1"/>
  <c r="F193" i="1"/>
  <c r="E193" i="1"/>
  <c r="D193" i="1"/>
  <c r="F192" i="1"/>
  <c r="E192" i="1"/>
  <c r="D192" i="1"/>
  <c r="F191" i="1"/>
  <c r="E191" i="1"/>
  <c r="D191" i="1"/>
  <c r="F190" i="1"/>
  <c r="E190" i="1"/>
  <c r="D190" i="1"/>
  <c r="F189" i="1"/>
  <c r="E189" i="1"/>
  <c r="D189" i="1"/>
  <c r="F188" i="1"/>
  <c r="E188" i="1"/>
  <c r="D188" i="1"/>
  <c r="F187" i="1"/>
  <c r="E187" i="1"/>
  <c r="D187" i="1"/>
  <c r="F186" i="1"/>
  <c r="E186" i="1"/>
  <c r="D186" i="1"/>
  <c r="F185" i="1"/>
  <c r="E185" i="1"/>
  <c r="D185" i="1"/>
  <c r="F184" i="1"/>
  <c r="E184" i="1"/>
  <c r="D184" i="1"/>
  <c r="F183" i="1"/>
  <c r="E183" i="1"/>
  <c r="D183" i="1"/>
  <c r="F182" i="1"/>
  <c r="E182" i="1"/>
  <c r="D182" i="1"/>
  <c r="F181" i="1"/>
  <c r="E181" i="1"/>
  <c r="D181" i="1"/>
  <c r="F180" i="1"/>
  <c r="E180" i="1"/>
  <c r="D180" i="1"/>
  <c r="F179" i="1"/>
  <c r="E179" i="1"/>
  <c r="D179" i="1"/>
  <c r="F178" i="1"/>
  <c r="E178" i="1"/>
  <c r="D178" i="1"/>
  <c r="F177" i="1"/>
  <c r="E177" i="1"/>
  <c r="D177" i="1"/>
  <c r="F176" i="1"/>
  <c r="E176" i="1"/>
  <c r="D176" i="1"/>
  <c r="F175" i="1"/>
  <c r="E175" i="1"/>
  <c r="D175" i="1"/>
  <c r="F174" i="1"/>
  <c r="E174" i="1"/>
  <c r="D174" i="1"/>
  <c r="F173" i="1"/>
  <c r="E173" i="1"/>
  <c r="D173" i="1"/>
  <c r="F172" i="1"/>
  <c r="E172" i="1"/>
  <c r="D172" i="1"/>
  <c r="F171" i="1"/>
  <c r="E171" i="1"/>
  <c r="D171" i="1"/>
  <c r="F170" i="1"/>
  <c r="E170" i="1"/>
  <c r="D170" i="1"/>
  <c r="F169" i="1"/>
  <c r="E169" i="1"/>
  <c r="D169" i="1"/>
  <c r="F168" i="1"/>
  <c r="E168" i="1"/>
  <c r="D168" i="1"/>
  <c r="F167" i="1"/>
  <c r="E167" i="1"/>
  <c r="D167" i="1"/>
  <c r="F166" i="1"/>
  <c r="E166" i="1"/>
  <c r="D166" i="1"/>
  <c r="F165" i="1"/>
  <c r="E165" i="1"/>
  <c r="D165" i="1"/>
  <c r="F164" i="1"/>
  <c r="E164" i="1"/>
  <c r="D164" i="1"/>
  <c r="F163" i="1"/>
  <c r="E163" i="1"/>
  <c r="D163" i="1"/>
  <c r="F162" i="1"/>
  <c r="E162" i="1"/>
  <c r="D162" i="1"/>
  <c r="F161" i="1"/>
  <c r="E161" i="1"/>
  <c r="D161" i="1"/>
  <c r="F160" i="1"/>
  <c r="E160" i="1"/>
  <c r="D160" i="1"/>
  <c r="F159" i="1"/>
  <c r="E159" i="1"/>
  <c r="D159" i="1"/>
  <c r="F158" i="1"/>
  <c r="E158" i="1"/>
  <c r="D158" i="1"/>
  <c r="F157" i="1"/>
  <c r="E157" i="1"/>
  <c r="D157" i="1"/>
  <c r="F156" i="1"/>
  <c r="E156" i="1"/>
  <c r="D156" i="1"/>
  <c r="F155" i="1"/>
  <c r="E155" i="1"/>
  <c r="D155" i="1"/>
  <c r="F154" i="1"/>
  <c r="E154" i="1"/>
  <c r="D154" i="1"/>
  <c r="F153" i="1"/>
  <c r="E153" i="1"/>
  <c r="D153" i="1"/>
  <c r="F152" i="1"/>
  <c r="E152" i="1"/>
  <c r="D152" i="1"/>
  <c r="F151" i="1"/>
  <c r="E151" i="1"/>
  <c r="D151" i="1"/>
  <c r="F150" i="1"/>
  <c r="E150" i="1"/>
  <c r="D150" i="1"/>
  <c r="F149" i="1"/>
  <c r="E149" i="1"/>
  <c r="D149" i="1"/>
  <c r="F148" i="1"/>
  <c r="E148" i="1"/>
  <c r="D148" i="1"/>
  <c r="F147" i="1"/>
  <c r="E147" i="1"/>
  <c r="D147" i="1"/>
  <c r="F146" i="1"/>
  <c r="E146" i="1"/>
  <c r="D146" i="1"/>
  <c r="F145" i="1"/>
  <c r="E145" i="1"/>
  <c r="D145" i="1"/>
  <c r="F144" i="1"/>
  <c r="E144" i="1"/>
  <c r="D144" i="1"/>
  <c r="F143" i="1"/>
  <c r="E143" i="1"/>
  <c r="D143" i="1"/>
  <c r="F142" i="1"/>
  <c r="E142" i="1"/>
  <c r="D142" i="1"/>
  <c r="F141" i="1"/>
  <c r="E141" i="1"/>
  <c r="D141" i="1"/>
  <c r="F140" i="1"/>
  <c r="E140" i="1"/>
  <c r="D140" i="1"/>
  <c r="F139" i="1"/>
  <c r="E139" i="1"/>
  <c r="D139" i="1"/>
  <c r="F138" i="1"/>
  <c r="E138" i="1"/>
  <c r="D138" i="1"/>
  <c r="F137" i="1"/>
  <c r="E137" i="1"/>
  <c r="D137" i="1"/>
  <c r="F136" i="1"/>
  <c r="E136" i="1"/>
  <c r="D136" i="1"/>
  <c r="F135" i="1"/>
  <c r="E135" i="1"/>
  <c r="D135" i="1"/>
  <c r="F134" i="1"/>
  <c r="E134" i="1"/>
  <c r="D134" i="1"/>
  <c r="F133" i="1"/>
  <c r="E133" i="1"/>
  <c r="D133" i="1"/>
  <c r="F132" i="1"/>
  <c r="E132" i="1"/>
  <c r="D132" i="1"/>
  <c r="F131" i="1"/>
  <c r="E131" i="1"/>
  <c r="D131" i="1"/>
  <c r="F130" i="1"/>
  <c r="E130" i="1"/>
  <c r="D130" i="1"/>
  <c r="F129" i="1"/>
  <c r="E129" i="1"/>
  <c r="D129" i="1"/>
  <c r="F128" i="1"/>
  <c r="E128" i="1"/>
  <c r="D128" i="1"/>
  <c r="F127" i="1"/>
  <c r="E127" i="1"/>
  <c r="D127" i="1"/>
  <c r="F126" i="1"/>
  <c r="E126" i="1"/>
  <c r="D126" i="1"/>
  <c r="F125" i="1"/>
  <c r="E125" i="1"/>
  <c r="D125" i="1"/>
  <c r="F124" i="1"/>
  <c r="E124" i="1"/>
  <c r="D124" i="1"/>
  <c r="F123" i="1"/>
  <c r="E123" i="1"/>
  <c r="D123" i="1"/>
  <c r="F122" i="1"/>
  <c r="E122" i="1"/>
  <c r="D122" i="1"/>
  <c r="F121" i="1"/>
  <c r="E121" i="1"/>
  <c r="D121" i="1"/>
  <c r="F120" i="1"/>
  <c r="E120" i="1"/>
  <c r="D120" i="1"/>
  <c r="F119" i="1"/>
  <c r="E119" i="1"/>
  <c r="D119" i="1"/>
  <c r="F118" i="1"/>
  <c r="E118" i="1"/>
  <c r="D118" i="1"/>
  <c r="F117" i="1"/>
  <c r="E117" i="1"/>
  <c r="D117" i="1"/>
  <c r="F116" i="1"/>
  <c r="E116" i="1"/>
  <c r="D116" i="1"/>
  <c r="F115" i="1"/>
  <c r="E115" i="1"/>
  <c r="D115" i="1"/>
  <c r="F114" i="1"/>
  <c r="E114" i="1"/>
  <c r="D114" i="1"/>
  <c r="F113" i="1"/>
  <c r="E113" i="1"/>
  <c r="D113" i="1"/>
  <c r="F112" i="1"/>
  <c r="E112" i="1"/>
  <c r="D112" i="1"/>
  <c r="F111" i="1"/>
  <c r="E111" i="1"/>
  <c r="D111" i="1"/>
  <c r="F110" i="1"/>
  <c r="E110" i="1"/>
  <c r="D110" i="1"/>
  <c r="F109" i="1"/>
  <c r="E109" i="1"/>
  <c r="D109" i="1"/>
  <c r="F108" i="1"/>
  <c r="E108" i="1"/>
  <c r="D108" i="1"/>
  <c r="F107" i="1"/>
  <c r="E107" i="1"/>
  <c r="D107" i="1"/>
  <c r="F106" i="1"/>
  <c r="E106" i="1"/>
  <c r="D106" i="1"/>
  <c r="F105" i="1"/>
  <c r="E105" i="1"/>
  <c r="D105" i="1"/>
  <c r="F104" i="1"/>
  <c r="E104" i="1"/>
  <c r="D104" i="1"/>
  <c r="F103" i="1"/>
  <c r="E103" i="1"/>
  <c r="D103" i="1"/>
  <c r="F102" i="1"/>
  <c r="E102" i="1"/>
  <c r="D102" i="1"/>
  <c r="F101" i="1"/>
  <c r="E101" i="1"/>
  <c r="D101" i="1"/>
  <c r="F100" i="1"/>
  <c r="E100" i="1"/>
  <c r="D100" i="1"/>
  <c r="F99" i="1"/>
  <c r="E99" i="1"/>
  <c r="D99" i="1"/>
  <c r="F98" i="1"/>
  <c r="E98" i="1"/>
  <c r="D98" i="1"/>
  <c r="F97" i="1"/>
  <c r="E97" i="1"/>
  <c r="D97" i="1"/>
  <c r="F96" i="1"/>
  <c r="E96" i="1"/>
  <c r="D96" i="1"/>
  <c r="F95" i="1"/>
  <c r="E95" i="1"/>
  <c r="D95" i="1"/>
  <c r="F94" i="1"/>
  <c r="E94" i="1"/>
  <c r="D94" i="1"/>
  <c r="F93" i="1"/>
  <c r="E93" i="1"/>
  <c r="D93" i="1"/>
  <c r="F92" i="1"/>
  <c r="E92" i="1"/>
  <c r="D92" i="1"/>
  <c r="F91" i="1"/>
  <c r="E91" i="1"/>
  <c r="D91" i="1"/>
  <c r="F90" i="1"/>
  <c r="E90" i="1"/>
  <c r="D90" i="1"/>
  <c r="F89" i="1"/>
  <c r="E89" i="1"/>
  <c r="D89" i="1"/>
  <c r="F88" i="1"/>
  <c r="E88" i="1"/>
  <c r="D88" i="1"/>
  <c r="F87" i="1"/>
  <c r="E87" i="1"/>
  <c r="D87" i="1"/>
  <c r="F86" i="1"/>
  <c r="E86" i="1"/>
  <c r="D86" i="1"/>
  <c r="F85" i="1"/>
  <c r="E85" i="1"/>
  <c r="D85" i="1"/>
  <c r="F84" i="1"/>
  <c r="E84" i="1"/>
  <c r="D84" i="1"/>
  <c r="F83" i="1"/>
  <c r="E83" i="1"/>
  <c r="D83" i="1"/>
  <c r="F82" i="1"/>
  <c r="E82" i="1"/>
  <c r="D82" i="1"/>
  <c r="F81" i="1"/>
  <c r="E81" i="1"/>
  <c r="D81" i="1"/>
  <c r="F80" i="1"/>
  <c r="E80" i="1"/>
  <c r="D80" i="1"/>
  <c r="F79" i="1"/>
  <c r="E79" i="1"/>
  <c r="D79" i="1"/>
  <c r="F78" i="1"/>
  <c r="E78" i="1"/>
  <c r="D78" i="1"/>
  <c r="F77" i="1"/>
  <c r="E77" i="1"/>
  <c r="D77" i="1"/>
  <c r="F76" i="1"/>
  <c r="E76" i="1"/>
  <c r="D76" i="1"/>
  <c r="F75" i="1"/>
  <c r="E75" i="1"/>
  <c r="D75" i="1"/>
  <c r="F74" i="1"/>
  <c r="E74" i="1"/>
  <c r="D74" i="1"/>
  <c r="F73" i="1"/>
  <c r="E73" i="1"/>
  <c r="D73" i="1"/>
  <c r="F72" i="1"/>
  <c r="E72" i="1"/>
  <c r="D72" i="1"/>
  <c r="F71" i="1"/>
  <c r="E71" i="1"/>
  <c r="D71" i="1"/>
  <c r="F70" i="1"/>
  <c r="E70" i="1"/>
  <c r="D70" i="1"/>
  <c r="F69" i="1"/>
  <c r="E69" i="1"/>
  <c r="D69" i="1"/>
  <c r="F68" i="1"/>
  <c r="E68" i="1"/>
  <c r="D68" i="1"/>
  <c r="F67" i="1"/>
  <c r="E67" i="1"/>
  <c r="D67" i="1"/>
  <c r="F66" i="1"/>
  <c r="E66" i="1"/>
  <c r="D66" i="1"/>
  <c r="F65" i="1"/>
  <c r="E65" i="1"/>
  <c r="D65" i="1"/>
  <c r="F64" i="1"/>
  <c r="E64" i="1"/>
  <c r="D64" i="1"/>
  <c r="F63" i="1"/>
  <c r="E63" i="1"/>
  <c r="D63" i="1"/>
  <c r="F62" i="1"/>
  <c r="E62" i="1"/>
  <c r="D62" i="1"/>
  <c r="F61" i="1"/>
  <c r="E61" i="1"/>
  <c r="D61" i="1"/>
  <c r="F60" i="1"/>
  <c r="E60" i="1"/>
  <c r="D60" i="1"/>
  <c r="F59" i="1"/>
  <c r="E59" i="1"/>
  <c r="D59" i="1"/>
  <c r="F58" i="1"/>
  <c r="E58" i="1"/>
  <c r="D58" i="1"/>
  <c r="F57" i="1"/>
  <c r="E57" i="1"/>
  <c r="D57" i="1"/>
  <c r="F56" i="1"/>
  <c r="E56" i="1"/>
  <c r="D56" i="1"/>
  <c r="F55" i="1"/>
  <c r="E55" i="1"/>
  <c r="D55" i="1"/>
  <c r="F54" i="1"/>
  <c r="E54" i="1"/>
  <c r="D54" i="1"/>
  <c r="F53" i="1"/>
  <c r="E53" i="1"/>
  <c r="D53" i="1"/>
  <c r="F52" i="1"/>
  <c r="E52" i="1"/>
  <c r="D52" i="1"/>
  <c r="F51" i="1"/>
  <c r="E51" i="1"/>
  <c r="D51" i="1"/>
  <c r="F50" i="1"/>
  <c r="E50" i="1"/>
  <c r="D50" i="1"/>
  <c r="F49" i="1"/>
  <c r="E49" i="1"/>
  <c r="D49" i="1"/>
  <c r="F48" i="1"/>
  <c r="E48" i="1"/>
  <c r="D48" i="1"/>
  <c r="F47" i="1"/>
  <c r="E47" i="1"/>
  <c r="D47" i="1"/>
  <c r="F46" i="1"/>
  <c r="E46" i="1"/>
  <c r="D46" i="1"/>
  <c r="F45" i="1"/>
  <c r="E45" i="1"/>
  <c r="D45" i="1"/>
  <c r="F44" i="1"/>
  <c r="E44" i="1"/>
  <c r="D44" i="1"/>
  <c r="F43" i="1"/>
  <c r="E43" i="1"/>
  <c r="D43" i="1"/>
  <c r="F42" i="1"/>
  <c r="E42" i="1"/>
  <c r="D42" i="1"/>
  <c r="F41" i="1"/>
  <c r="E41" i="1"/>
  <c r="D41" i="1"/>
  <c r="F40" i="1"/>
  <c r="E40" i="1"/>
  <c r="D40" i="1"/>
  <c r="F39" i="1"/>
  <c r="E39" i="1"/>
  <c r="D39" i="1"/>
  <c r="F38" i="1"/>
  <c r="E38" i="1"/>
  <c r="D38" i="1"/>
  <c r="F37" i="1"/>
  <c r="E37" i="1"/>
  <c r="D37" i="1"/>
  <c r="F36" i="1"/>
  <c r="E36" i="1"/>
  <c r="D36" i="1"/>
  <c r="F35" i="1"/>
  <c r="E35" i="1"/>
  <c r="D35" i="1"/>
  <c r="F34" i="1"/>
  <c r="E34" i="1"/>
  <c r="D34" i="1"/>
  <c r="F33" i="1"/>
  <c r="E33" i="1"/>
  <c r="D33" i="1"/>
  <c r="F32" i="1"/>
  <c r="E32" i="1"/>
  <c r="D32" i="1"/>
  <c r="F31" i="1"/>
  <c r="E31" i="1"/>
  <c r="D31" i="1"/>
  <c r="F30" i="1"/>
  <c r="E30" i="1"/>
  <c r="D30" i="1"/>
  <c r="F29" i="1"/>
  <c r="E29" i="1"/>
  <c r="D29" i="1"/>
  <c r="F28" i="1"/>
  <c r="E28" i="1"/>
  <c r="D28" i="1"/>
  <c r="F27" i="1"/>
  <c r="E27" i="1"/>
  <c r="D27" i="1"/>
  <c r="F26" i="1"/>
  <c r="E26" i="1"/>
  <c r="D26" i="1"/>
  <c r="F25" i="1"/>
  <c r="E25" i="1"/>
  <c r="D25" i="1"/>
  <c r="F24" i="1"/>
  <c r="E24" i="1"/>
  <c r="D24" i="1"/>
  <c r="F23" i="1"/>
  <c r="E23" i="1"/>
  <c r="D23" i="1"/>
  <c r="F22" i="1"/>
  <c r="E22" i="1"/>
  <c r="D22" i="1"/>
  <c r="F21" i="1"/>
  <c r="E21" i="1"/>
  <c r="D21" i="1"/>
  <c r="F20" i="1"/>
  <c r="E20" i="1"/>
  <c r="D20" i="1"/>
  <c r="F19" i="1"/>
  <c r="E19" i="1"/>
  <c r="D19" i="1"/>
  <c r="F18" i="1"/>
  <c r="E18" i="1"/>
  <c r="D18" i="1"/>
  <c r="F17" i="1"/>
  <c r="E17" i="1"/>
  <c r="D17" i="1"/>
  <c r="F16" i="1"/>
  <c r="E16" i="1"/>
  <c r="D16" i="1"/>
  <c r="F15" i="1"/>
  <c r="E15" i="1"/>
  <c r="D15" i="1"/>
  <c r="F14" i="1"/>
  <c r="E14" i="1"/>
  <c r="D14" i="1"/>
  <c r="F13" i="1"/>
  <c r="E13" i="1"/>
  <c r="D13" i="1"/>
  <c r="F12" i="1"/>
  <c r="E12" i="1"/>
  <c r="D12" i="1"/>
  <c r="F11" i="1"/>
  <c r="E11" i="1"/>
  <c r="D11" i="1"/>
  <c r="F10" i="1"/>
  <c r="E10" i="1"/>
  <c r="D10" i="1"/>
  <c r="F9" i="1"/>
  <c r="E9" i="1"/>
  <c r="D9" i="1"/>
  <c r="F8" i="1"/>
  <c r="E8" i="1"/>
  <c r="D8" i="1"/>
  <c r="F7" i="1"/>
  <c r="E7" i="1"/>
  <c r="D7" i="1"/>
  <c r="F6" i="1"/>
  <c r="E6" i="1"/>
  <c r="D6" i="1"/>
  <c r="F5" i="1"/>
  <c r="E5" i="1"/>
  <c r="D5" i="1"/>
  <c r="F4" i="1"/>
  <c r="E4" i="1"/>
  <c r="D4" i="1"/>
  <c r="F3" i="1"/>
  <c r="E3" i="1"/>
  <c r="D3" i="1"/>
  <c r="F2" i="1"/>
  <c r="E2" i="1"/>
  <c r="D2" i="1"/>
</calcChain>
</file>

<file path=xl/sharedStrings.xml><?xml version="1.0" encoding="utf-8"?>
<sst xmlns="http://schemas.openxmlformats.org/spreadsheetml/2006/main" count="32542" uniqueCount="32222">
  <si>
    <t>_id</t>
  </si>
  <si>
    <t>title</t>
  </si>
  <si>
    <t>body</t>
  </si>
  <si>
    <t>issue_page</t>
  </si>
  <si>
    <t>repo_page</t>
  </si>
  <si>
    <t>release_page</t>
  </si>
  <si>
    <t>CellularPrivacy-Android-IMSI-Catcher-Detector-252</t>
  </si>
  <si>
    <t>Silent SMS and Database viewer</t>
  </si>
  <si>
    <t xml:space="preserve">Hey guys 
Awesome work with AIMSICD  I am thrilled that there are people out there such as yourselves to help us lay people guard privacy  That being said I did notice an issue on my Galaxy S4 running on Verizon  Anytime I receive an ordinary SMS I am alerted that it is a silent SMS or Type 0  I was gonna go through the database to send you guys a report  but anytime I try to pull it for silent SMS the app crashes on me :( anything i can do to help out with that issue without a sending a crash report  
</t>
  </si>
  <si>
    <t>kontalk-androidclient-251</t>
  </si>
  <si>
    <t>crash on verification code</t>
  </si>
  <si>
    <t xml:space="preserve">When you enter verification code in LG G2 kontalk crashes 
</t>
  </si>
  <si>
    <t>Login</t>
  </si>
  <si>
    <t>jclehner-AppOpsXposed-8</t>
  </si>
  <si>
    <t>Settings menu crashes as soon as I click on an app</t>
  </si>
  <si>
    <t xml:space="preserve">Unfortunately the settings menu crashes as soon as I click on an app in the list  I tried both failsave and compatibility mode  but that didn t help  You can find my report file  here (https:  spideroak com share NRXWY5LLOVVWC43TOVZQ AppOpsXposed home mlangc Public attachments AppOpsXposed report c1d5419bf53b 20150103091044 txt)  Please note that I don t think that the SecurityExceptions you find there are related to my original problem  as they only show up in  Compatibility Mode  (that would be another issue though   )) 
Thank you very much 
Matthias
</t>
  </si>
  <si>
    <t>Account</t>
  </si>
  <si>
    <t>nostra13-Android-Universal-Image-Loader-871</t>
  </si>
  <si>
    <t>Random crashes with RejectedExecutionException</t>
  </si>
  <si>
    <t xml:space="preserve">My app randomly crashes  I couldn t find any steps to reproduce the issue  FYI I do invoke  ImageLoader getInstance() stop()   sometime 
How can I avoid this crash  if stop() is reason for this issue  is there any way to stop() without crash 
Any info are appreciated 
java util concurrent RejectedExecutionException: Task com nostra13 universalimageloader core LoadAndDisplayImageTask 421a2718 rejected from java util concurrent ThreadPoolExecutor 420e4548 Shutting down  pool size   3  active threads   3  queued tasks   0  completed tasks   5 
       at java util concurrent ThreadPoolExecutor AbortPolicy rejectedExecution(ThreadPoolExecutor java:2011)
       at java util concurrent ThreadPoolExecutor reject(ThreadPoolExecutor java:793)
       at java util concurrent ThreadPoolExecutor execute(ThreadPoolExecutor java:1339)
       at com nostra13 universalimageloader core ImageLoaderEngine 1 run(ImageLoaderEngine java:78)
       at java util concurrent ThreadPoolExecutor runWorker(ThreadPoolExecutor java:1112)
       at java util concurrent ThreadPoolExecutor Worker run(ThreadPoolExecutor java:587)
       at java lang Thread run(Thread java:841)
My configurations
       DisplayImageOptions defaultOptions   new DisplayImageOptions Builder()
                 cacheInMemory(true)
                 cacheOnDisk(true)
                 showImageOnLoading(R mipmap logo unknown)    resource or drawable
                 showImageOnFail(R mipmap logo unknown)
                 build() 
        ImageLoaderConfiguration Builder builder   new ImageLoaderConfiguration Builder(this) 
        builder defaultDisplayImageOptions(defaultOptions) 
        L writeLogs(false) 
        ImageLoader getInstance() init(builder build())     Do it on Application start
</t>
  </si>
  <si>
    <t>Search</t>
  </si>
  <si>
    <t>cc-archive-list-94</t>
  </si>
  <si>
    <t>Failed while adding a picture, then app crash</t>
  </si>
  <si>
    <t xml:space="preserve">Chose to take a picture for an item  then nothing appeared different after upload  Tried to then  Choose Picture  from my device and got this error:
  2015 01 05 21 45 34 (https:  cloud githubusercontent com assets 33296 5620761 d897f4c8 94fc 11e4 81df 69ed2a093705 png)
Selected the item to try once more and the app crashed 
</t>
  </si>
  <si>
    <t>Detail</t>
  </si>
  <si>
    <t>dsoulayrol-android-sholi-18</t>
  </si>
  <si>
    <t>App crash when deleting item</t>
  </si>
  <si>
    <t xml:space="preserve">When there is only one item and you re deleting it  the app crash every time 
It happens too when there is multiple items but not all the time 
version1 4 2 on a wiko cink peax with android 4 1 2
</t>
  </si>
  <si>
    <t>Setting</t>
  </si>
  <si>
    <t>Ecchilon-SadPanda-22</t>
  </si>
  <si>
    <t>Crash on zoom</t>
  </si>
  <si>
    <t xml:space="preserve">zooming out farther than the default size with a  PhotoView  causes the app to crash 
</t>
  </si>
  <si>
    <t>Add/delete</t>
  </si>
  <si>
    <t>AnaelMobilia-NextINpact-Unofficial-114</t>
  </si>
  <si>
    <t>Null pointer exception</t>
  </si>
  <si>
    <t xml:space="preserve">Si pas de connexion r seau
   v rifier et remonter un message   l utilisateur
  pr parer les cas de probl mes (perte de connexion     ) pour  viter les crash
  voir   mettre un catcheur g ant  
</t>
  </si>
  <si>
    <t>Filter/category</t>
  </si>
  <si>
    <t>geopaparazzi-geopaparazzi-219</t>
  </si>
  <si>
    <t>Crash with enquiry on Spatialite layer with null attributes</t>
  </si>
  <si>
    <t xml:space="preserve">To reproduce:
1  Load a spatialite layer where some of the features (rows) have nulls in some of the attributes (columns)  Note: geometry is always present (not null) 
2  Perform an enquiry on a feature where all attributes contain values  Works as expected 
3  Perform an enquiry on a feature some attributes contain NULL  GeoPaparazzi crashes 
Using GeoPaparazzi 4 0 1 on Sony Xperia Z3 Compact (Android 4 4 4)
</t>
  </si>
  <si>
    <t>CellularPrivacy-Android-IMSI-Catcher-Detector-272</t>
  </si>
  <si>
    <t>Map crashes, when BTS GPS coordinates are far from each other</t>
  </si>
  <si>
    <t xml:space="preserve">I just noticed  that if you have made measurements in one place   and the next place differs a lot in location  the map crashes   
</t>
  </si>
  <si>
    <t>Natio-Places-8</t>
  </si>
  <si>
    <t>Background_crash</t>
  </si>
  <si>
    <t xml:space="preserve"> Ho notato che ogni tanto per  crasha mentre   in background  succede quando attivo disattivo la localizzazione  Se riapro Places dopo il crash funziona tutto correttamente  
Fabio Samsung s4 android 4 4 4
</t>
  </si>
  <si>
    <t>zendesk-android-floating-action-button-99</t>
  </si>
  <si>
    <t xml:space="preserve">Changing visibility of button within a menu </t>
  </si>
  <si>
    <t xml:space="preserve">I may be doing something wrong  but I m running into an issue with setting the visibility of an action button within the expanding menu  
Here s my scenario   my expanding menu allows the user to add various types of media (image  video  etc)  If the user has a Galaxy Note  I want to enable the  sketching  option as a media type  However  if they don t have a Note  the sketching option is hidden  as it is no use 
In my XML layout  if it set the visibility  gone   the app crashes when the menu expands:
java lang NullPointerException: Attempt to invoke virtual method  void android view View setAlpha(float)  on a null object reference
            at android view View 3 setValue(View java:19388)
            at android view View 3 setValue(View java:19385)
            at android animation PropertyValuesHolder FloatPropertyValuesHolder setAnimatedValue(PropertyValuesHolder java:1288)
            at android animation ObjectAnimator animateValue(ObjectAnimator java:952)
            at android animation ValueAnimator animationFrame(ValueAnimator java:1207)
            at android animation ValueAnimator doAnimationFrame(ValueAnimator java:1248)
            at android animation ValueAnimator setCurrentPlayTime(ValueAnimator java:546)
            at android animation ValueAnimator start(ValueAnimator java:959)
            at android animation ValueAnimator start(ValueAnimator java:969)
            at android animation ObjectAnimator start(ObjectAnimator java:829)
            at android animation AnimatorSet start(AnimatorSet java:572)
            at com getbase floatingactionbutton FloatingActionsMenu expand(FloatingActionsMenu java:471)
            at com getbase floatingactionbutton FloatingActionsMenu toggle(FloatingActionsMenu java:463)
            at com getbase floatingactionbutton FloatingActionsMenu 2 onClick(FloatingActionsMenu java:164)
            at android view View performClick(View java:4756)
            at android view View PerformClick run(View java:19749)
            at android os Handler handleCallback(Handler java:739)
            at android os Handler dispatchMessage(Handler java:95)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Removing this fixes everything  The only way I ve found to remove an action from the menu is to use the  setOnFloatingActionsMenuUpdateListener  and set the visibility in the  onMenuExpanded  event 
Am I overlooking something easy 
Thanks for this library   it is a great addition to the community  Your efforts are appreciated 
</t>
  </si>
  <si>
    <t>google-ExoPlayer-232</t>
  </si>
  <si>
    <t>ArrayIndexOutOfBoundsException on live smooth stream</t>
  </si>
  <si>
    <t xml:space="preserve">Trying to play off a non protected live smooth stream  I added following code into the demo app:
    Java
new Sample( TV Agder (SmoothStreaming)    uid:ss:tvagder  
         http:  ott iis cache1 altibox net tv agder isml  
        DemoUtil TYPE SS  false  false) 
After 5 10sec of playing I get  java lang ArrayIndexOutOfBoundsException  
Tried this on a Sony SGP511  Android 4 4 4
Here s the log:
    Logcat
01 09 23:32:11 534    7827 7827 com google android exoplayer demo W ResourceType  CREATING STRING CACHE OF 44 bytes
01 09 23:32:11 564    7827 7827 com google android exoplayer demo I Adreno EGL   qeglDrvAPI eglInitialize:410 : EGL 1 4 QUALCOMM build: RGURRAM AU LINUX ANDROID LNX LA 3 5 2 2 RB1 04 04 04 087 030 PATCH ES  msm8974 LNX LA 3 5 2 2 RB1  release ENGG ()
    OpenGL ES Shader Compiler Version: E031 24 00 15
    Build Date: 08 12 14 Tue
    Local Branch:
    Remote Branch: quic LNX LA 3 5 2 2 rb1
    Local Patches: 8b00bd16f3c1d9d35a2fa902df5e679888d2b2e3 Fixes an llvm crash with mini dEQP apk
    38bad22e162dead4e008444520a0144c78a347bd Fixes a potential dEQP crash 
    ce345e1c45c2ae2d1fb2cb125c8d2574f1af5f95 Rev
01 09 23:32:11 614    7827 7827 com google android exoplayer demo D OpenGLRenderer  Enabling debug mode 0
01 09 23:32:11 714    7827 7827 com google android exoplayer demo I Timeline  Timeline: Activity idle id: android os BinderProxy 41fbbd70 time:530957124
01 09 23:32:14 544    7827 7827 com google android exoplayer demo I Timeline  Timeline: Activity launch request id:com google android exoplayer demo time:530959954
01 09 23:32:14 594    7827 7827 com google android exoplayer demo I ExoPlayerImpl  Init 1 1 0
01 09 23:32:14 694    7827 7827 com google android exoplayer demo I Timeline  Timeline: Activity idle id: android os BinderProxy 4238f110 time:530960105
01 09 23:32:15 024    7827 7827 com google android exoplayer demo I OMXClient  Using client side OMX mux 
01 09 23:32:15 144    7827 7827 com google android exoplayer demo I dalvikvm  Could not find method android media MediaCodec releaseOutputBuffer  referenced from method com google android exoplayer MediaCodecVideoTrackRenderer renderOutputBufferTimedV21
01 09 23:32:15 144    7827 7827 com google android exoplayer demo W dalvikvm  VFY: unable to resolve virtual method 74: Landroid media MediaCodec  releaseOutputBuffer (IJ)V
01 09 23:32:15 144    7827 7827 com google android exoplayer demo D dalvikvm  VFY: replacing opcode 0x6e at 0x0008
01 09 23:32:15 144    7827 7827 com google android exoplayer demo I dalvikvm  Could not find method android media AudioTrack write  referenced from method com google android exoplayer audio AudioTrack writeNonBlockingV21
01 09 23:32:15 144    7827 7827 com google android exoplayer demo W dalvikvm  VFY: unable to resolve virtual method 57: Landroid media AudioTrack  write (Ljava nio ByteBuffer II)I
01 09 23:32:15 144    7827 7827 com google android exoplayer demo D dalvikvm  VFY: replacing opcode 0x6e at 0x0001
01 09 23:32:15 154    7827 7867 com google android exoplayer demo I OMXClient  Using client side OMX mux 
01 09 23:32:15 274    7827 7867 com google android exoplayer demo I ACodec  DRC Mode: Dynamic Buffer Mode
01 09 23:32:15 314    7827 7849 com google android exoplayer demo I OMXClient  Using client side OMX mux 
01 09 23:32:15 334    7827 7849 com google android exoplayer demo E OMXMaster  A component of name  OMX qcom audio decoder aac  already exists  ignoring this one 
01 09 23:32:15 344    7827 7878 com google android exoplayer demo I OMXClient  Using client side OMX mux 
01 09 23:32:15 384    7827 7878 com google android exoplayer demo E OMXMaster  A component of name  OMX qcom audio decoder aac  already exists  ignoring this one 
01 09 23:32:15 404    7827 7879 com google android exoplayer demo I SoftAAC2  Reconfiguring decoder: 0  48000 Hz  0  2 channels  mNumChannels 2
01 09 23:32:37 014    7827 7849 com google android exoplayer demo E ExoPlayerImplInternal  Internal runtime error 
    java lang ArrayIndexOutOfBoundsException: length 1  index 2
            at com google android exoplayer smoothstreaming SmoothStreamingManifest StreamElement buildRequestUri(SmoothStreamingManifest java:274)
            at com google android exoplayer smoothstreaming SmoothStreamingChunkSource getChunkOperation(SmoothStreamingChunkSource java:300)
            at com google android exoplayer chunk ChunkSampleSource updateLoadControl(ChunkSampleSource java:536)
            at com google android exoplayer chunk ChunkSampleSource continueBuffering(ChunkSampleSource java:274)
            at com google android exoplayer MediaCodecTrackRenderer doSomeWork(MediaCodecTrackRenderer java:407)
            at com google android exoplayer ExoPlayerImplInternal doSomeWork(ExoPlayerImplInternal java:398)
            at com google android exoplayer ExoPlayerImplInternal handleMessage(ExoPlayerImplInternal java:203)
            at android os Handler dispatchMessage(Handler java:98)
            at android os Looper loop(Looper java:212)
            at android os HandlerThread run(HandlerThread java:61)
            at com google android exoplayer util PriorityHandlerThread run(PriorityHandlerThread java:40)
01 09 23:32:37 024    7827 7827 com google android exoplayer demo E PlayerActivity  Playback failed
    com google android exoplayer ExoPlaybackException: java lang ArrayIndexOutOfBoundsException: length 1  index 2
            at com google android exoplayer ExoPlayerImplInternal handleMessage(ExoPlayerImplInternal java:236)
            at android os Handler dispatchMessage(Handler java:98)
            at android os Looper loop(Looper java:212)
            at android os HandlerThread run(HandlerThread java:61)
            at com google android exoplayer util PriorityHandlerThread run(PriorityHandlerThread java:40)
     Caused by: java lang ArrayIndexOutOfBoundsException: length 1  index 2
            at com google android exoplayer smoothstreaming SmoothStreamingManifest StreamElement buildRequestUri(SmoothStreamingManifest java:274)
            at com google android exoplayer smoothstreaming SmoothStreamingChunkSource getChunkOperation(SmoothStreamingChunkSource java:300)
            at com google android exoplayer chunk ChunkSampleSource updateLoadControl(ChunkSampleSource java:536)
            at com google android exoplayer chunk ChunkSampleSource continueBuffering(ChunkSampleSource java:274)
            at com google android exoplayer MediaCodecTrackRenderer doSomeWork(MediaCodecTrackRenderer java:407)
            at com google android exoplayer ExoPlayerImplInternal doSomeWork(ExoPlayerImplInternal java:398)
            at com google android exoplayer ExoPlayerImplInternal handleMessage(ExoPlayerImplInternal java:203)
            at android os Handler dispatchMessage(Handler java:98)
            at android os Looper loop(Looper java:212)
            at android os HandlerThread run(HandlerThread java:61)
            at com google android exoplayer util PriorityHandlerThread run(PriorityHandlerThread java:40)
01 09 23:32:37 044    7827 7827 com google android exoplayer demo D PlayerActivity  Dropped frames: 1
01 09 23:32:37 174    7827 7827 com google android exoplayer demo I Timeline  Timeline: Activity idle id: android os BinderProxy 41fbbd70 time:530982586
</t>
  </si>
  <si>
    <t>khalid-hussain-HisnulMuslim-9</t>
  </si>
  <si>
    <t>Bookmarking Dua</t>
  </si>
  <si>
    <t xml:space="preserve">Users should be allowed to bookmark individual Dua   This involves:
   x  Brainstorming a layout which would work with the way the dua  are presented currently (as cards)  This is to include controls for enabling the user to  bookmark  and  un bookmark  dua  with ease 
   x  Creating the implementation for aforementioned controls 
   x  Displaying bookmarked dua  in the Bookmarks activity with reverse controls i e  buttons icons to  un bookmark  the dua  
      The possibility for the user to mass edit his her bookmarks i e  Mass delete bookmarks 
      App crashes if user un bookmarks in a certain random orders  See June 7 reply to this comment 
These details are up for discussion and may change but the basic functionality must remain i e  Users should be able to  return  to dua  they  marked   easily 
</t>
  </si>
  <si>
    <t>PanicInitiative-PanicButton-57</t>
  </si>
  <si>
    <t>crash when adding a contact</t>
  </si>
  <si>
    <t xml:space="preserve">I m running PanicButton 1 3 0 from Google Play on a Samsung Note 2 running CyanogenMod 10 1 (Android 4 2)   When I click on the contact button next to the field to add a contact number  PanicButton crashes   This seems to happen for all contacts 
I have submitted the crash to Google Play  and here is it from logcat:
      BluetoothAdapter  D  1103767408: getState() :  mService   null  Returning STATE OFF
              dalvikvm  D  GC EXPLICIT freed 430K  5  free 23170K 24232K  paused 12ms 8ms  total 71ms
                Finsky  D   1  DetailsDataBasedFragment rebindViews: Page  class DetailsFragment  loaded in  529787 ms  (hasDetailsDataLoaded  false)
                        D   1  FastHtmlParser fromHtml: Doing slow HTML parse due to unexpected tag  a href  h
                        D   1  DetailsDataBasedFragment rebindViews: Page  class DetailsFragment  loaded in  529893 ms  (hasDetailsDataLoaded  true)
              dalvikvm  D  GC CONCURRENT freed 2660K  17  free 14693K 17532K  paused 2ms 5ms  total 32ms
                        D  WAIT FOR CONCURRENT GC blocked 24ms
                        E  no update needed
                        E  starting next activity
                        E  first run FALSE  running CalculatorActivity
                        E  Registering Restart Install receiver
                        E  Registering Restart Install receiver
                        E  Registering finish activity in oncreate    BaseFragmentActivity
 MainActivity onCreate  E  pageId   home ready
                        E  SimpleFragment onCreateView
                        E  SimpleFragment onActivityCreated
            TagHandler  D  Found an unsupported tag html
                        D  Found an unsupported tag body
                        D  Found an unsupported tag html
                        D  Found an unsupported tag body
SimpleFragment onStart  E  home ready
  MainActivity onStart  E   
 MainActivity onResume  E  pageId   home ready and flagRiseFromPause   false
impleFragment onResume  E  home ready
SimpleFragment onPause  E  home ready
  MainActivity onPause  E   
                        E  flagRiseFromPause   true
                        E  Registering finish activity in oncreate    BaseFragmentActivity
 MainActivity onCreate  E  pageId   settings
                        E  SimpleFragment onCreateView
                        E  SimpleFragment onActivityCreated
SimpleFragment onStart  E  settings
  MainActivity onStart  E   
 MainActivity onResume  E  pageId   settings and flagRiseFromPause   false
impleFragment onResume  E  settings
 SimpleFragment onStop  E  home ready
   MainActivity onStop  E   
SimpleFragment onPause  E  settings
  MainActivity onPause  E   
                        E  flagRiseFromPause   true
                        E  Registering finish activity in oncreate    BaseFragmentActivity
 MainActivity onCreate  E  pageId   settings contacts
                        E  text changed
                        E  text changed
                        E  text changed
            TagHandler  D  Found an unsupported tag html
                        D  Found an unsupported tag body
                        D  Found an unsupported tag html
                        D  Found an unsupported tag body
  MainActivity onStart  E   
 MainActivity onResume  E  pageId   settings contacts and flagRiseFromPause   false
 SimpleFragment onStop  E  settings
   MainActivity onStop  E   
  MainActivity onPause  E   
                        E  flagRiseFromPause   true
ContactsIntentResolver  I  Called with action: android intent action GET CONTENT
   MainActivity onStop  E   
      ContactsProvider  D  Contacts query from application with privacy guard  pid 21860
        AndroidRuntime  D  Shutting down VM
              dalvikvm  W  threadid 1: thread exiting with uncaught exception (group 0x41876930)
        AndroidRuntime  E  FATAL EXCEPTION: main
                        E  java lang RuntimeException: Failure delivering result ResultInfo who null  request 196708  result  1  data Intent   dat content:  com android contacts data 523647 flg 0x1    to act
                           ivity  org iilab pb org iilab pb MainActivity : android database CursorIndexOutOfBoundsException: Index 0 requested  with a size of 0
                        E      at android app ActivityThread deliverResults(ActivityThread java:3447)
                        E      at android app ActivityThread handleSendResult(ActivityThread java:3490)
                        E      at android app ActivityThread access 1100(ActivityThread java:153)
                        E      at android app ActivityThread H handleMessage(ActivityThread java:1295)
                        E      at android os Handler dispatchMessage(Handler java:99)
                        E      at android os Looper loop(Looper java:137)
                        E      at android app ActivityThread main(ActivityThread java:5227)
                        E      at java lang reflect Method invokeNative(Native Method)
                        E      at java lang reflect Method invoke(Method java:511)
                        E      at com android internal os ZygoteInit MethodAndArgsCaller run(ZygoteInit java:795)
                        E      at com android internal os ZygoteInit main(ZygoteInit java:562)
                        E      at dalvik system NativeStart main(Native Method)
                        E  Caused by: android database CursorIndexOutOfBoundsException: Index 0 requested  with a size of 0
                        E      at android database AbstractCursor checkPosition(AbstractCursor java:424)
                        E      at android database AbstractWindowedCursor checkPosition(AbstractWindowedCursor java:136)
                        E      at android database AbstractWindowedCursor getString(AbstractWindowedCursor java:50)
                        E      at android database CursorWrapper getString(CursorWrapper java:114)
                        E      at org iilab pb common ContactPickerFragment getPhoneNumber(ContactPickerFragment java:86)
                        E      at org iilab pb common ContactPickerFragment onActivityResult(ContactPickerFragment java:78)
                        E      at android support v4 app FragmentActivity onActivityResult(FragmentActivity java:161)
                        E      at android app Activity dispatchActivityResult(Activity java:5293)
                        E      at android app ActivityThread deliverResults(ActivityThread java:3443)
                        E          11 more
</t>
  </si>
  <si>
    <t>forcedotcom-SalesforceMobileSDK-CordovaPlugin-41</t>
  </si>
  <si>
    <t>upSync not working correctly</t>
  </si>
  <si>
    <t xml:space="preserve">When using the up sync ability from the new smartsync plugin  you need to specify a field list  
But if one the objects that needs to be synced has a field from the field list that is empty  the application will crash on a setObjectForKey: object cannot be nil (key: Customfield  c)  exception 
This way it s not possible to have edited multiple items and use the up sync functionality if for example in item A  Customfield  c is edited and in item B it s empty 
</t>
  </si>
  <si>
    <t>bumptech-glide-303</t>
  </si>
  <si>
    <t>ConcurrentModificationException when resuming requests</t>
  </si>
  <si>
    <t xml:space="preserve">I have a scroll listener that pauses resumes request loading when  ListView  is flinged 
And from time to time I keep getting crash like this:
    JAVA
java util ConcurrentModificationException
       at java util WeakHashMap HashIterator next(WeakHashMap java:165)
       at com bumptech glide manager RequestTracker resumeRequests(RequestTracker java:68)
       at com bumptech glide RequestManager resumeRequests(RequestManager java:142)
Using version 3 4 0 
</t>
  </si>
  <si>
    <t>kontalk-androidclient-263</t>
  </si>
  <si>
    <t>Crashes while searching for contacts</t>
  </si>
  <si>
    <t xml:space="preserve">I updated to new beta via f droid  Kontalk now crashes when I hit the search button in the choose contact window  
Also I noticed a new unnown contact string with some long random string as number 
</t>
  </si>
  <si>
    <t>cgeo-cgeo-4611</t>
  </si>
  <si>
    <t>Array index out of bounds exception on map</t>
  </si>
  <si>
    <t xml:space="preserve">I am sure we already have an issue somewhere with a similar thing (or it is just on Google Play crash reports up to now):
Normally this issue happens after using the live map quite a long time (scrolling  loading  and so on) 
However just now I tested 2015 01 11 RC with all available connectors activated and just after some movement of the live map I got the following in the log 
Note: This is no crash at that time  only the exception in the debug log 
23:25:57 409 Error cgeo 3811   main  GoogleMapView draw
23:25:57 409 Error cgeo 3811  java lang ArrayIndexOutOfBoundsException: length 40  index 52
23:25:57 409 Error cgeo 3811    at com google android maps ItemizedOverlay draw(ItemizedOverlay java:241)
23:25:57 409 Error cgeo 3811    at cgeo geocaching maps google v1 GoogleCacheOverlay superDraw(GoogleCacheOverlay java:96)
23:25:57 409 Error cgeo 3811    at cgeo geocaching maps AbstractItemizedOverlay draw(AbstractItemizedOverlay java:44)
23:25:57 409 Error cgeo 3811    at cgeo geocaching maps CachesOverlay draw(CachesOverlay java:104)
23:25:57 409 Error cgeo 3811    at cgeo geocaching maps google v1 GoogleCacheOverlay draw(GoogleCacheOverlay java:66)
23:25:57 409 Error cgeo 3811    at com google android maps Overlay draw(Overlay java:179)
23:25:57 409 Error cgeo 3811    at com google android maps OverlayBundle draw(OverlayBundle java:45)
23:25:57 409 Error cgeo 3811    at com google android maps MapView onDraw(MapView java:532)
23:25:57 409 Error cgeo 3811    at android view View draw(View java:15303)
23:25:57 409 Error cgeo 3811    at cgeo geocaching maps google v1 GoogleMapView draw(GoogleMapView java:68)
23:25:57 409 Error cgeo 3811    at android view View getDisplayList(View java:14197)
23:25:57 409 Error cgeo 3811    at android view View getDisplayList(View java:14239)
23:25:57 409 Error cgeo 3811    at android view ViewGroup dispatchGetDisplayList(ViewGroup java:3272)
23:25:57 409 Error cgeo 3811    at android view View getDisplayList(View java:14134)
23:25:57 409 Error cgeo 3811    at android view View getDisplayList(View java:14239)
23:25:57 409 Error cgeo 3811    at android view ViewGroup dispatchGetDisplayList(ViewGroup java:3272)
23:25:57 409 Error cgeo 3811    at android view View getDisplayList(View java:14134)
23:25:57 409 Error cgeo 3811    at android view View getDisplayList(View java:14239)
23:25:57 409 Error cgeo 3811    at android view ViewGroup dispatchGetDisplayList(ViewGroup java:3272)
23:25:57 409 Error cgeo 3811    at android view View getDisplayList(View java:14134)
23:25:57 409 Error cgeo 3811    at android view View getDisplayList(View java:14239)
23:25:57 409 Error cgeo 3811    at android view ViewGroup dispatchGetDisplayList(ViewGroup java:3272)
23:25:57 409 Error cgeo 3811    at android view View getDisplayList(View java:14134)
23:25:57 409 Error cgeo 3811    at android view View getDisplayList(View java:14239)
23:25:57 409 Error cgeo 3811    at android view ViewGroup dispatchGetDisplayList(ViewGroup java:3272)
23:25:57 409 Error cgeo 3811    at android view View getDisplayList(View java:14134)
23:25:57 409 Error cgeo 3811    at android view View getDisplayList(View java:14239)
23:25:57 409 Error cgeo 3811    at android view ViewGroup dispatchGetDisplayList(ViewGroup java:3272)
23:25:57 409 Error cgeo 3811    at android view View getDisplayList(View java:14134)
23:25:57 409 Error cgeo 3811    at android view View getDisplayList(View java:14239)
23:25:57 409 Error cgeo 3811    at android view HardwareRenderer GlRenderer buildDisplayList(HardwareRenderer java:1570)
23:25:57 409 Error cgeo 3811    at android view HardwareRenderer GlRenderer draw(HardwareRenderer java:1449)
23:25:57 409 Error cgeo 3811    at android view ViewRootImpl draw(ViewRootImpl java:2705)
23:25:57 409 Error cgeo 3811    at android view ViewRootImpl performDraw(ViewRootImpl java:2571)
23:25:57 409 Error cgeo 3811    at android view ViewRootImpl performTraversals(ViewRootImpl java:2143)
23:25:57 409 Error cgeo 3811    at android view ViewRootImpl doTraversal(ViewRootImpl java:1236)
23:25:57 409 Error cgeo 3811    at android view ViewRootImpl TraversalRunnable run(ViewRootImpl java:6471)
23:25:57 409 Error cgeo 3811    at android view Choreographer CallbackRecord run(Choreographer java:803)
23:25:57 409 Error cgeo 3811    at android view Choreographer doCallbacks(Choreographer java:603)
23:25:57 409 Error cgeo 3811    at android view Choreographer doFrame(Choreographer java:573)
23:25:57 409 Error cgeo 3811    at android view Choreographer FrameDisplayEventReceiver run(Choreographer java:789)
23:25:57 409 Error cgeo 3811    at android os Handler handleCallback(Handler java:733)
23:25:57 409 Error cgeo 3811    at android os Handler dispatchMessage(Handler java:95)
23:25:57 409 Error cgeo 3811    at android os Looper loop(Looper java:157)
23:25:57 409 Error cgeo 3811    at android app ActivityThread main(ActivityThread java:5356)
23:25:57 409 Error cgeo 3811    at java lang reflect Method invokeNative(Native Method)
23:25:57 409 Error cgeo 3811    at java lang reflect Method invoke(Method java:515)
23:25:57 409 Error cgeo 3811    at com android internal os ZygoteInit MethodAndArgsCaller run(ZygoteInit java:1265)
23:25:57 409 Error cgeo 3811    at com android internal os ZygoteInit main(ZygoteInit java:1081)
23:25:57 409 Error cgeo 3811    at dalvik system NativeStart main(Native Method)
</t>
  </si>
  <si>
    <t>fixme-lausanne-MyHackerspace-30</t>
  </si>
  <si>
    <t>crashes with a Null Pointer de-reference on the london hackspace spaceapi</t>
  </si>
  <si>
    <t xml:space="preserve">Works fine with no widget  but if you do use a widget it crashes  probably due to open being null
https:  london hackspace org uk spaceapi php
I MyHackerspace(29223): Update widgetid 39 with url https:  london hackspace org uk spaceapi
V MyHackerspace(29223): fetching https:  london hackspace org uk spaceapi
D Launcher Workspace(12400): 6557954 Animate widget drop  final view is appWidgetHostView
D AndroidRuntime(29223): Shutting down VM
W dalvikvm(29223): threadid 1: thread exiting with uncaught exception (group 0x4132e930)
E AndroidRuntime(29223): FATAL EXCEPTION: main
E AndroidRuntime(29223): java lang NullPointerException
E AndroidRuntime(29223):    at ch fixme status Widget GetApiTask onPostExecute(Widget java:232)
E AndroidRuntime(29223):    at ch fixme status Widget GetApiTask onPostExecute(Widget java:194)
E AndroidRuntime(29223):    at android os AsyncTask finish(AsyncTask java:631)
E AndroidRuntime(29223):    at android os AsyncTask access 600(AsyncTask java:177)
E AndroidRuntime(29223):    at android os AsyncTask InternalHandler handleMessage(AsyncTask java:644)
E AndroidRuntime(29223):    at android os Handler dispatchMessage(Handler java:99)
E AndroidRuntime(29223):    at android os Looper loop(Looper java:137)
E AndroidRuntime(29223):    at android app ActivityThread main(ActivityThread java:5041)
E AndroidRuntime(29223):    at java lang reflect Method invokeNative(Native Method)
E AndroidRuntime(29223):    at java lang reflect Method invoke(Method java:511)
E AndroidRuntime(29223):    at com android internal os ZygoteInit MethodAndArgsCaller run(ZygoteInit java:793)
E AndroidRuntime(29223):    at com android internal os ZygoteInit main(ZygoteInit java:560)
E AndroidRuntime(29223):    at dalvik system NativeStart main(Native Method)
W DropBoxManagerService(  390): Dropping: data app crash (966   0 bytes)
D dalvikvm(29223): GC CONCURRENT freed 565K  10  free 9441K 10396K  paused 3ms 14ms  total 60ms
D Launcher Model(12400): DbDebug    Add item (null) to db  id: 171 ( 100  0  1  0)
I Process (29223): Sending signal  PID: 29223 SIG: 9
I WindowState(  390): WIN DEATH: Window 42065258 u0 ch fixme status ch fixme status Widget config 
I ActivityManager(  390): Process ch fixme status (pid 29223) has died 
</t>
  </si>
  <si>
    <t>mozilla-MozStumbler-1396</t>
  </si>
  <si>
    <t>Widget update needs to be pulled into a Service</t>
  </si>
  <si>
    <t xml:space="preserve">There s a bug with the Homescreen widget in the dev branch 
Updates to the widget must happen from within a service 
See: https:  groups google com forum   topic android developers sKPaSjwbfvk
The currently implemented code in v1 5 5 won t crash the whole application as the RuntimeException is caught  but the widget will not update propery in those cases  
</t>
  </si>
  <si>
    <t>eugenkiss-chanobol-44</t>
  </si>
  <si>
    <t>Crash after Revisiting App</t>
  </si>
  <si>
    <t xml:space="preserve">Sometimes Chanobol crashes after putting it in the background and revisiting it again from the recet apps screen or similar  Need to find a way to reproduce this behavior to see the stack trace 
</t>
  </si>
  <si>
    <t>saintlab-mobileapp_android-253</t>
  </si>
  <si>
    <t>Megafon Login, 0.2.7: краш приложения при сканировании QR кода</t>
  </si>
  <si>
    <t xml:space="preserve">                  
                      :
From: Crashlytics notifier crashlytics com
To: m seretkina saintlab com
Date: Monday 12 January 2015 13:39:28
Subject: New Fatal Issue Discovered in Omnom  0 2 7 (43)
Omnom  0 2 7 (43)
NEW ISSUE FOUND
SafeSubscriber line 182
rx observers SafeSubscriber  onError
</t>
  </si>
  <si>
    <t>akvo-akvo-flow-mobile-243</t>
  </si>
  <si>
    <t>App crashes when keyboard is changed during use</t>
  </si>
  <si>
    <t xml:space="preserve">I can t see this happening regular with normal usage of the app  but when the following steps are performed with v2 1 0:
  Open flow app  navigate to a form
  Select a field and click to focus on it
  Change the device keyboard (e g  from swiftkey to samsung default etc)
  Try to type anything in field
The application crashes 
</t>
  </si>
  <si>
    <t>NCU-CC-NCU-MAP-1</t>
  </si>
  <si>
    <t>Crash on clicking emergency phone buttons</t>
  </si>
  <si>
    <t xml:space="preserve">By using a tablet that without phone functionality  It will crash if I clicked emergency phone buttons below at first page 
    Java
E AndroidRuntime(12494): FATAL EXCEPTION: main
E AndroidRuntime(12494): Process: tw edu ncu cc ncumap  PID: 12494
E AndroidRuntime(12494): android content ActivityNotFoundException: No Activity found to handle Intent   act android intent action DIAL dat tel:xx xxxxxxxxxxxxx  
E AndroidRuntime(12494):    at android app Instrumentation checkStartActivityResult(Instrumentation java:1632)
E AndroidRuntime(12494):    at android app Instrumentation execStartActivity(Instrumentation java:1424)
E AndroidRuntime(12494):    at android app Activity startActivityForResult(Activity java:3424)
E AndroidRuntime(12494):    at android app Activity startActivityForResult(Activity java:3385)
E AndroidRuntime(12494):    at android support v4 app FragmentActivity startActivityForResult(FragmentActivity java:817)
E AndroidRuntime(12494):    at android app Activity startActivity(Activity java:3627)
E AndroidRuntime(12494):    at android app Activity startActivity(Activity java:3595)
E AndroidRuntime(12494):    at tw edu ncu cc ncumap MyActivity 1 onClick(MyActivity java:87)
E AndroidRuntime(12494):    at android view View performClick(View java:4438)
E AndroidRuntime(12494):    at android view View PerformClick run(View java:18422)
E AndroidRuntime(12494):    at android os Handler handleCallback(Handler java:733)
E AndroidRuntime(12494):    at android os Handler dispatchMessage(Handler java:95)
E AndroidRuntime(12494):    at android os Looper loop(Looper java:136)
E AndroidRuntime(12494):    at android app ActivityThread main(ActivityThread java:5001)
E AndroidRuntime(12494):    at java lang reflect Method invokeNative(Native Method)
E AndroidRuntime(12494):    at java lang reflect Method invoke(Method java:515)
E AndroidRuntime(12494):    at com android internal os ZygoteInit MethodAndArgsCaller run(ZygoteInit java:785)
E AndroidRuntime(12494):    at com android internal os ZygoteInit main(ZygoteInit java:601)
E AndroidRuntime(12494):    at dalvik system NativeStart main(Native Method)
W ActivityManager(13146):   Force finishing activity tw edu ncu cc ncumap  MyActivity
</t>
  </si>
  <si>
    <t>kontalk-androidclient-272</t>
  </si>
  <si>
    <t>Beta4 broken or incompatible with Beta3?</t>
  </si>
  <si>
    <t xml:space="preserve">I upgraded from beta3 to beta4 and suddenly almost nothing works  Constant crashes  incorrect contact list  unable to send encrypted messages to my contact  Are beta4 and beta3 incompatible  Or what could be the reason  
</t>
  </si>
  <si>
    <t>blinskey-greek-reference-115</t>
  </si>
  <si>
    <t>ArrayIndexOutOfBoundsException</t>
  </si>
  <si>
    <t xml:space="preserve">Two reports of this crash this week  One user reports that the exception occurs when viewing the lexicon entry for  pros  
Stack trace:
java lang ArrayIndexOutOfBoundsException: length 500  index 500
at android text MeasuredText addStyleRun(MeasuredText java:170)
at android text MeasuredText addStyleRun(MeasuredText java:204)
at android text StaticLayout generate(StaticLayout java:281)
at android text DynamicLayout reflow(DynamicLayout java:284)
at android text DynamicLayout  init (DynamicLayout java:170)
at android widget TextView makeSingleLayout(TextView java:5843)
at android widget TextView makeNewLayout(TextView java:5741)
at android widget TextView onMeasure(TextView java:6098)
at android view View measure(View java:15172)
at android widget ScrollView measureChildWithMargins(ScrollView java:1196)
at android widget FrameLayout onMeasure(FrameLayout java:310)
at android widget ScrollView onMeasure(ScrollView java:318)
at android view View measure(View java:15172)
at android view ViewGroup measureChildWithMargins(ViewGroup java:4814)
at android widget FrameLayout onMeasure(FrameLayout java:310)
at android view View measure(View java:15172)
at android widget LinearLayout measureHorizontal(LinearLayout java:1217)
at android widget LinearLayout onMeasure(LinearLayout java:576)
at android view View measure(View java:15172)
at android support v4 widget DrawerLayout onMeasure(Unknown Source)
at android view View measure(View java:15172)
at android view ViewGroup measureChildWithMargins(ViewGroup java:4814)
at android widget FrameLayout onMeasure(FrameLayout java:310)
at android view View measure(View java:15172)
at android widget LinearLayout measureVertical(LinearLayout java:833)
at android widget LinearLayout onMeasure(LinearLayout java:574)
at android view View measure(View java:15172)
at android view ViewGroup measureChildWithMargins(ViewGroup java:4814)
at android widget FrameLayout onMeasure(FrameLayout java:310)
at com android internal policy impl PhoneWindow DecorView onMeasure(PhoneWindow java:2148)
at android view View measure(View java:15172)
at android view ViewRootImpl performMeasure(ViewRootImpl java:1848)
at android view ViewRootImpl measureHierarchy(ViewRootImpl java:1100)
at android view ViewRootImpl performTraversals(ViewRootImpl java:1273)
at android view ViewRootImpl doTraversal(ViewRootImpl java:998)
at android view ViewRootImpl TraversalRunnable run(ViewRootImpl java:4212)
at android view Choreographer CallbackRecord run(Choreographer java:736)
at android view Choreographer doCallbacks(Choreographer java:566)
at android view Choreographer doFrame(Choreographer java:536)
at android view Choreographer FrameDisplayEventReceiver run(Choreographer java:722)
at android os Handler handleCallback(Handler java:615)
at android os Handler dispatchMessage(Handler java:92)
at android os Looper loop(Looper java:137)
at android app ActivityThread main(ActivityThread java:4745)
at java lang reflect Method invokeNative(Native Method)
at java lang reflect Method invoke(Method java:511)
at com android internal os ZygoteInit MethodAndArgsCaller run(ZygoteInit java:786)
at com android internal os ZygoteInit main(ZygoteInit java:553)
at dalvik system NativeStart main(Native Method)
</t>
  </si>
  <si>
    <t>eugenkiss-chanobol-56</t>
  </si>
  <si>
    <t>?android: stuff not accepted by 2.3.3</t>
  </si>
  <si>
    <t xml:space="preserve">Using these attributes in  styles xml  makes boom  This one is right: http:  stackoverflow com a 15277821 283607
Also this: http:  stackoverflow com questions 18278386 resource cannot be found no identifier for missing item
http:  stackoverflow com questions 18152779 app crashes on startup on android api 10 but not on api 16 because of resources
java lang RuntimeException: Unable to start activity ComponentInfo anabolicandroids chanobol dev anabolicandroids chanobol ui MainActivity : android view InflateException: Binary XML file line  14: Error inflating class android widget TextView
   at android app ActivityThread performLaunchActivity(ActivityThread java:1647)
   at android app ActivityThread handleLaunchActivity(ActivityThread java:1663)
   at android app ActivityThread access 1500(ActivityThread java:117)
   at android app ActivityThread H handleMessage(ActivityThread java:931)
   at android os Handler dispatchMessage(Handler java:99)
   at android os Looper loop(Looper java:123)
   at android app ActivityThread main(ActivityThread java:3683)
   at java lang reflect Method invokeNative(Method java)
   at java lang reflect Method invoke(Method java:507)
   at com android internal os ZygoteInit MethodAndArgsCaller run(ZygoteInit java:839)
   at com android internal os ZygoteInit main(ZygoteInit java:597)
   at dalvik system NativeStart main(NativeStart java)
Caused by: android view InflateException: Binary XML file line  14: Error inflating class android widget TextView
       at android view LayoutInflater createView(LayoutInflater java:518)
       at com android internal policy impl PhoneLayoutInflater onCreateView(PhoneLayoutInflater java:56)
       at android view LayoutInflater createViewFromTag(LayoutInflater java:568)
       at android view LayoutInflater rInflate(LayoutInflater java:623)
       at android view LayoutInflater parseInclude(LayoutInflater java:707)
       at android view LayoutInflater rInflate(LayoutInflater java:619)
       at android view LayoutInflater inflate(LayoutInflater java:408)
       at android view LayoutInflater inflate(LayoutInflater java:320)
       at android view LayoutInflater inflate(LayoutInflater java:276)
       at android support v7 app ActionBarActivityDelegateBase setContentView(ActionBarActivityDelegateBase java:228)
       at android support v7 app ActionBarActivity setContentView(ActionBarActivity java:102)
       at anabolicandroids chanobol BaseActivity onCreate(BaseActivity java:25)
       at anabolicandroids chanobol ui MainActivity onCreate(MainActivity java:84)
       at android app Instrumentation callActivityOnCreate(Instrumentation java:1047)
       at android app ActivityThread performLaunchActivity(ActivityThread java:1611)
       at android app ActivityThread handleLaunchActivity(ActivityThread java:1663)
       at android app ActivityThread access 1500(ActivityThread java:117)
       at android app ActivityThread H handleMessage(ActivityThread java:931)
       at android os Handler dispatchMessage(Handler java:99)
       at android os Looper loop(Looper java:123)
       at android app ActivityThread main(ActivityThread java:3683)
       at java lang reflect Method invokeNative(Method java)
       at java lang reflect Method invoke(Method java:507)
       at com android internal os ZygoteInit MethodAndArgsCaller run(ZygoteInit java:839)
       at com android internal os ZygoteInit main(ZygoteInit java:597)
       at dalvik system NativeStart main(NativeStart java)
Caused by: java lang reflect InvocationTargetException
       at java lang reflect Constructor constructNative(Constructor java)
       at java lang reflect Constructor newInstance(Constructor java:415)
       at android view LayoutInflater createView(LayoutInflater java:505)
       at com android internal policy impl PhoneLayoutInflater onCreateView(PhoneLayoutInflater java:56)
       at android view LayoutInflater createViewFromTag(LayoutInflater java:568)
       at android view LayoutInflater rInflate(LayoutInflater java:623)
       at android view LayoutInflater parseInclude(LayoutInflater java:707)
       at android view LayoutInflater rInflate(LayoutInflater java:619)
       at android view LayoutInflater inflate(LayoutInflater java:408)
       at android view LayoutInflater inflate(LayoutInflater java:320)
       at android view LayoutInflater inflate(LayoutInflater java:276)
       at android support v7 app ActionBarActivityDelegateBase setContentView(ActionBarActivityDelegateBase java:228)
       at android support v7 app ActionBarActivity setContentView(ActionBarActivity java:102)
       at anabolicandroids chanobol BaseActivity onCreate(BaseActivity java:25)
       at anabolicandroids chanobol ui MainActivity onCreate(MainActivity java:84)
       at android app Instrumentation callActivityOnCreate(Instrumentation java:1047)
       at android app ActivityThread performLaunchActivity(ActivityThread java:1611)
       at android app ActivityThread handleLaunchActivity(ActivityThread java:1663)
       at android app ActivityThread access 1500(ActivityThread java:117)
       at android app ActivityThread H handleMessage(ActivityThread java:931)
       at android os Handler dispatchMessage(Handler java:99)
       at android os Looper loop(Looper java:123)
       at android app ActivityThread main(ActivityThread java:3683)
       at java lang reflect Method invokeNative(Method java)
       at java lang reflect Method invoke(Method java:507)
       at com android internal os ZygoteInit MethodAndArgsCaller run(ZygoteInit java:839)
       at com android internal os ZygoteInit main(ZygoteInit java:597)
       at dalvik system NativeStart main(NativeStart java)
Caused by: android content res Resources NotFoundException: Resource is not a Drawable (color or path): TypedValue t 0x2 d 0x101030e a 2 
       at android content res Resources loadDrawable(Resources java:1681)
       at android content res TypedArray getDrawable(TypedArray java:601)
       at android view View  init (View java:1951)
       at android widget TextView  init (TextView java:344)
       at android widget TextView  init (TextView java:337)
       at java lang reflect Constructor constructNative(Constructor java)
       at java lang reflect Constructor newInstance(Constructor java:415)
       at android view LayoutInflater createView(LayoutInflater java:505)
       at com android internal policy impl PhoneLayoutInflater onCreateView(PhoneLayoutInflater java:56)
       at android view LayoutInflater createViewFromTag(LayoutInflater java:568)
       at android view LayoutInflater rInflate(LayoutInflater java:623)
       at android view LayoutInflater parseInclude(LayoutInflater java:707)
       at android view LayoutInflater rInflate(LayoutInflater java:619)
       at android view LayoutInflater inflate(LayoutInflater java:408)
       at android view LayoutInflater inflate(LayoutInflater java:320)
       at android view LayoutInflater inflate(LayoutInflater java:276)
       at android support v7 app ActionBarActivityDelegateBase setContentView(ActionBarActivityDelegateBase java:228)
       at android support v7 app ActionBarActivity setContentView(ActionBarActivity java:102)
       at anabolicandroids chanobol BaseActivity onCreate(BaseActivity java:25)
       at anabolicandroids chanobol ui MainActivity onCreate(MainActivity java:84)
       at android app Instrumentation callActivityOnCreate(Instrumentation java:1047)
       at android app ActivityThread performLaunchActivity(ActivityThread java:1611)
       at android app ActivityThread handleLaunchActivity(ActivityThread java:1663)
       at android app ActivityThread access 1500(ActivityThread java:117)
       at android app ActivityThread H handleMessage(ActivityThread java:931)
       at android os Handler dispatchMessage(Handler java:99)
       at android os Looper loop(Looper java:123)
       at android app ActivityThread main(ActivityThread java:3683)
       at java lang reflect Method invokeNative(Method java)
       at java lang reflect Method invoke(Method java:507)
       at com android internal os ZygoteInit MethodAndArgsCaller run(ZygoteInit java:839)
       at com android internal os ZygoteInit main(ZygoteInit java:597)
       at dalvik system NativeStart main(NativeStart java)
</t>
  </si>
  <si>
    <t>kprikshit-android-sensor-data-recorder-2</t>
  </si>
  <si>
    <t>App Crashing due to Location Switched Off</t>
  </si>
  <si>
    <t xml:space="preserve">The app will crash if the location is switched off by the user and he tries to record the data by changing the record Data switch  This is due to the fact that the locationListener will be null 
Priority Level: High
</t>
  </si>
  <si>
    <t>eugenkiss-chanobol-55</t>
  </si>
  <si>
    <t>'Open External' for Image does not work on 2.3.3</t>
  </si>
  <si>
    <t xml:space="preserve">Is crash
android content ActivityNotFoundException: No Activity found to handle Intent   act android intent action VIEW dat http:  i 4cdn org a 1421433470129 jpg typ image    
   at android app Instrumentation checkStartActivityResult(Instrumentation java:1409)
   at android app Instrumentation execStartActivity(Instrumentation java:1379)
   at android app Activity startActivityForResult(Activity java:2827)
   at android support v4 app FragmentActivity startActivityFromFragment(FragmentActivity java:826)
   at android support v4 app Fragment startActivity(Fragment java:896)
   at anabolicandroids chanobol ui images ImagesFragment onOptionsItemSelected(ImagesFragment java:85)
   at android support v4 app Fragment performOptionsItemSelected(Fragment java:1894)
   at android support v4 app FragmentManagerImpl dispatchOptionsItemSelected(FragmentManager java:2034)
   at android support v4 app FragmentActivity onMenuItemSelected(FragmentActivity java:356)
   at android support v7 app ActionBarActivity onMenuItemSelected(ActionBarActivity java:155)
   at android support v7 app ActionBarActivityDelegate 1 onMenuItemSelected(ActionBarActivityDelegate java:74)
   at android support v7 widget WindowCallbackWrapper onMenuItemSelected(WindowCallbackWrapper java:44)
   at android support v7 internal app ToolbarActionBar 2 onMenuItemClick(ToolbarActionBar java:77)
   at android support v7 widget Toolbar 1 onMenuItemClick(Toolbar java:163)
   at android support v7 widget ActionMenuView MenuBuilderCallback onMenuItemSelected(ActionMenuView java:738)
   at android support v7 internal view menu MenuBuilder dispatchMenuItemSelected(MenuBuilder java:802)
   at android support v7 internal view menu MenuItemImpl invoke(MenuItemImpl java:153)
   at android support v7 internal view menu MenuBuilder performItemAction(MenuBuilder java:949)
   at android support v7 internal view menu MenuBuilder performItemAction(MenuBuilder java:939)
   at android support v7 internal view menu MenuPopupHelper onItemClick(MenuPopupHelper java:187)
   at android widget AdapterView performItemClick(AdapterView java:284)
   at android widget ListView performItemClick(ListView java:3513)
   at android widget AbsListView PerformClick run(AbsListView java:1812)
   at android os Handler handleCallback(Handler java:587)
   at android os Handler dispatchMessage(Handler java:92)
   at android os Looper loop(Looper java:123)
   at android app ActivityThread main(ActivityThread java:3683)
   at java lang reflect Method invokeNative(Method java)
   at java lang reflect Method invoke(Method java:507)
   at com android internal os ZygoteInit MethodAndArgsCaller run(ZygoteInit java:839)
   at com android internal os ZygoteInit main(ZygoteInit java:597)
   at dalvik system NativeStart main(NativeStart java)
</t>
  </si>
  <si>
    <t>raphw-byte-buddy-16</t>
  </si>
  <si>
    <t>Create Interface (not class)</t>
  </si>
  <si>
    <t xml:space="preserve">I have looked at a lot of ASM type libraries and was just starting on cglib when I ran into an issue with it and found your post about byte buddy   Trying this out  I really like it  although its a bit of a learning curve to figure out model so I can do what I think is obvious   but has a different representation in bb 
One thing I am stuck on   I dont need this 100  but it would be very useful   Most ASM tools assume (many with comments saying so) that there is no use for creating interfaces  only classes 
I would like to be able to create interfaces  ideally root (not derived) interfaces 
With cglib that was in fact the first thing I tried and got to work (although I dont like that it derives from an internal interface    its not a top level one   but it is an interface)
I have tried about 20 ways to do to this with BB and scanned most of the source and and the web and cant find it    Two strategies that got close were
interface I     
    new ByteBuddy() subclass(I class  no constrors ) name(   )    
I got that to produce something that  worked  but its a not an interface   its 
   class name extends Object implements I
I see in the code where its switching the subclass to Object     
The other attempt is to use variations on this
 new ByteBuddy()
           withModifiers(TypeManifestation INTERFACE)
           subclass(Object class ConstructorStrategy Default NO CONSTRUCTORS)
                 name(name) 
but that ends up crashing with null pointer exceptions in various places     
the superclass isnt null but its contents are uninitialized 
Is this possible   I cant find anywhere that constructs a Builder for either an iterface 
or (related probably) without a superclass 
The Annotation support looks like its close     
I am curious if this is a fundamental difficulty with the JVM or ASM or if its simply something that noones ever asked for or thought of   
I can live without it by making an abstract class but it seems a huge hole where the rest of the product has incredible depth 
 David
</t>
  </si>
  <si>
    <t>M66B-XPrivacy-2120</t>
  </si>
  <si>
    <t>Crash</t>
  </si>
  <si>
    <t xml:space="preserve">While on the main screen (shown)  clicking the pulldown (labelled  all  currently) crashes the app   This is the only behaviour I can get from it   Click that  app crashes   Consistently 
I ve attempted a data and cache dump   That doesn t change anything 
I currently have every optional part installed   (xpriv xposed mod  xpriv pro license fetcher  xpriv installer   )
SM N900v  4 4 2  rooted  stock ROM 
https:  drive google com file d 0B4QPGjaKXDdqTkFxeV8wNFZOWEk view usp sharing
https:  drive google com file d 0B4QPGjaKXDdqVENXWXlzbGFta28 view usp sharing
</t>
  </si>
  <si>
    <t>lwis-miband-notifier-3</t>
  </si>
  <si>
    <t>App crashes after adding an app to the list.</t>
  </si>
  <si>
    <t xml:space="preserve">On release version whole app crashes instantly after pressing done button when confirming adding app to the list  When I try to open app again it still crashes  But that problem only exist on release version  debug works fine  
I m using app on Nexus 4 with custom rom  
Logs from release version: http:  pastebin com bqPbxSaq  and from debug: http:  pastebin com RSFWBbai
</t>
  </si>
  <si>
    <t>google-ExoPlayer-244</t>
  </si>
  <si>
    <t>IllegalStateException opening local file in FrameWorkSampleSource with file saved in internal storage</t>
  </si>
  <si>
    <t xml:space="preserve">I ve been having an issue playing files that are backup copies of a livestreaming audio recording   I m able to play the files back in Exoplayer when they are streaming from the server  but not locally on the device   I ve found that in the method prepare() of FrameWorkSampleSource  Exoplayer fails to create a FileDescriptor for the MediaExtractor  due to it having path separators in the filename   See here      
http:  stackoverflow com questions 5963535 java lang illegalargumentexception contains a path separator
There are a few suggestions on how to avoid the aboveforementioned error  the simplest is to get a FileDescriptor from a FileInputStream that you create yourself  
The strange thing is that even so  the backup copies play normally on my htc one  and local broadcasts  that are created directly from the MediaRecorder  play normally  even though I m still seeing this error    How is this possible   
When the player crashes  it is with the following error:  MMParserExtractor  FileSource::FILE SOURCE DATA END  then  Signal 6 error  
Thank you  
David
</t>
  </si>
  <si>
    <t>bitcraze-crazyflie-android-client-46</t>
  </si>
  <si>
    <t>Radio scan w/o Crazyradio crashs the app</t>
  </si>
  <si>
    <t xml:space="preserve">Radio scan without attached Crazyradio causes the app to crash
</t>
  </si>
  <si>
    <t>unfoldingWord-dev-uw-android-36</t>
  </si>
  <si>
    <t>Next Button Doesn't Work for pt-br</t>
  </si>
  <si>
    <t xml:space="preserve">In the latest 76 build the app crashes when trying to use the next button to go to the next story in pt br   Also   next chapter  is not localized for pt br 
</t>
  </si>
  <si>
    <t>johnzweng-bankomatinfos-10</t>
  </si>
  <si>
    <t>Crash when trying to go to 'Log' tab after an IO error</t>
  </si>
  <si>
    <t xml:space="preserve">When trying to read the bank card in the card wallet (and later when I removed card from the back of phone at the start of read  when trying to reproduce the issue)  Bankomat Card Infos 2 app shows (correctly) an IO Exception information dialog 
    IO Exception  
  IOException during reading the card  You probably won t see any results 
  Look in the  Log  tab for details what may have gone wrong 
  screenshot 2015 01 21 20 33 06 (https:  cloud githubusercontent com assets 2706 5843643 371813da a1ae 11e4 8174 182a6ad07408 png)
Then the application either shows the result of previous read  with no indication that it might be not current data (that when I failed to reproduce the issue)  or if there was no previous read (the app must be purged from memory) it shows panel with three tabs:  Infos  (current tab)   Log  and  Log    Notice the   duplicated  Log    tab 
  screenshot 2015 01 21 20 40 48 (https:  cloud githubusercontent com assets 2706 5843713 b2de9476 a1ae 11e4 887a 37a757b29e4c png)
Application crashes when trying to navigate to first or second  Log  tab (panel) by swiping left 
</t>
  </si>
  <si>
    <t>SCCapstone-IArch-28</t>
  </si>
  <si>
    <t>Bug when taking photos</t>
  </si>
  <si>
    <t xml:space="preserve">Often after taking a photo on galaxy s5 and trying to keep it  you get a crash and an error:
01 21 11:06:18 979: E AndroidRuntime(1257): java lang RuntimeException: Unable to start activity ComponentInfo com github IArch com github IArch TakePicture : java lang NullPointerException
</t>
  </si>
  <si>
    <t>SCCapstone-IArch-27</t>
  </si>
  <si>
    <t>Gallery Bug</t>
  </si>
  <si>
    <t xml:space="preserve">On some phones  such as my note 2  the gallery can show many photos without crashing but currently takes an unacceptable amount of time to load more than about 6 of them  On my galaxy s5  the gallery will currently only show one photo  If you have taken two or more  it crashes with the following error:
01 21 10:46:11 632: E AndroidRuntime(25814): java lang OutOfMemoryError
</t>
  </si>
  <si>
    <t>SufficientlySecure-document-viewer-62</t>
  </si>
  <si>
    <t>App crashes for some PDF files</t>
  </si>
  <si>
    <t xml:space="preserve">Thanks to all devs  it is the most useful reader on android  : )
When opening some PDF files  this app will crash  there is some files that make this app crash:
http:  www linuxlibertine org fileadmin user upload PDF Yggdrasil3 EN pdf
http:  www linuxlibertine org fileadmin user upload PDF Yggdrasil3 pdf
https:  www huanghuagang org hhgLibrary july2008 yan an riji pdf
</t>
  </si>
  <si>
    <t>yahel-rangzen-14</t>
  </si>
  <si>
    <t>OutOfMemoryError during crypto exchange</t>
  </si>
  <si>
    <t xml:space="preserve">Copy pasta of the logcat messages below 
Happened very early on after re installing Rangzen on a Nexus 7  Whole app crashed as a result  The allocation (1077870608 byte allocation ) is a  1GB ALLOCATION   I have no idea why the allocation is so big  I guess we trust the remote party s length field and try to allocate that much memory  It s like Heartbleed  I don t think it can read out anything  but it can certainly make us crash 
01 22 14:22:01 140: E dalvikvm heap(18470): Out of memory on a 1077870608 byte allocation 
01 22 14:22:01 150: E AndroidRuntime(18470): FATAL EXCEPTION: Thread 7085
01 22 14:22:01 150: E AndroidRuntime(18470): Process: org denovogroup rangzen  PID: 18470
01 22 14:22:01 150: E AndroidRuntime(18470): java lang OutOfMemoryError
01 22 14:22:01 150: E AndroidRuntime(18470):    at org denovogroup rangzen Exchange lengthValueRead(Exchange java:429)
01 22 14:22:01 150: E AndroidRuntime(18470):    at org denovogroup rangzen CryptographicExchange receiveServerMessage(CryptographicExchange java:233)
01 22 14:22:01 150: E AndroidRuntime(18470):    at org denovogroup rangzen CryptographicExchange run(CryptographicExchange java:99)
01 22 14:22:01 150: E AndroidRuntime(18470):    at java lang Thread run(Thread java:841)
</t>
  </si>
  <si>
    <t>eugenkiss-chanobol-75</t>
  </si>
  <si>
    <t>External Links and Webm-Activity Result in Crash</t>
  </si>
  <si>
    <t xml:space="preserve">The change to RecyclerView for the PostsFragment for some reason leads to crashes when either clicking an external link or clicking on a webm thumbnail 
Here s the webm one:
android util AndroidRuntimeException: Calling startActivity() from outside of an Activity  context requires the FLAG ACTIVITY NEW TASK flag  Is this really what you want 
        at android app ContextImpl startActivity(ContextImpl java:1232)
        at android app ContextImpl startActivity(ContextImpl java:1219)
        at android content ContextWrapper startActivity(ContextWrapper java:322)
        at anabolicandroids chanobol ui posts PostView 4 1 onClick(PostView java:239)
        at android view View performClick(View java:4756)
        at android view View PerformClick run(View java:19749)
        at android os Handler handleCallback(Handler java:739)
        at android os Handler dispatchMessage(Handler java:95)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And here s the external link one:
android util AndroidRuntimeException: Calling startActivity() from outside of an Activity  context requires the FLAG ACTIVITY NEW TASK flag  Is this really what you want 
        at android app ContextImpl startActivity(ContextImpl java:1232)
        at android app ContextImpl startActivity(ContextImpl java:1219)
        at android content ContextWrapper startActivity(ContextWrapper java:322)
        at android text style URLSpan onClick(URLSpan java:62)
        at android text method LinkMovementMethod onTouchEvent(LinkMovementMethod java:217)
        at android widget TextView onTouchEvent(TextView java:7969)
        at android view View dispatchTouchEvent(View java:8388)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android view ViewGroup dispatchTransformedTouchEvent(ViewGroup java:2430)
        at android view ViewGroup dispatchTouchEvent(ViewGroup java:2172)
        at com android internal policy impl PhoneWindow DecorView superDispatchTouchEvent(PhoneWindow java:2314)
        at com android internal policy impl PhoneWindow superDispatchTouchEvent(PhoneWindow java:1692)
        at android app Activity dispatchTouchEvent(Activity java:2739)
        at com android internal policy impl PhoneWindow DecorView dispatchTouchEvent(PhoneWindow java:2275)
        at android view View dispatchPointerEvent(View java:8578)
        at android view ViewRootImpl ViewPostImeInputStage processPointerEvent(ViewRootImpl java:4021)
        at android view ViewRootImpl ViewPostImeInputStage onProcess(ViewRootImpl java:3887)
        at android view ViewRootImpl InputStage deliver(ViewRootImpl java:3449)
        at android view ViewRootImpl InputStage onDeliverToNext(ViewRootImpl java:3502)
        at android view ViewRootImpl InputStage forward(ViewRootImpl java:3468)
        at android view ViewRootImpl AsyncInputStage forward(ViewRootImpl java:3578)
        at android view ViewRootImpl InputStage apply(ViewRootImpl java:3476)
        at android view ViewRootImpl AsyncInputStage apply(ViewRootImpl java:3635)
        at android view ViewRootImpl InputStage deliver(ViewRootImpl java:3449)
        at android view ViewRootImpl InputStage onDeliverToNext(ViewRootImpl java:3502)
        at android view ViewRootImpl InputStage forward(ViewRootImpl java:3468)
        at android view ViewRootImpl InputStage apply(ViewRootImpl java:3476)
        at android view ViewRootImpl InputStage deliver(ViewRootImpl java:3449)
        at android view ViewRootImpl deliver
Need to investigate further: https:  www google de search q Calling startActivity() from outside of an Activity context requires the FLAG ACTIVITY NEW TASK flag  gws rd cr ei X1nBVMOdGuP ywPcjoL4CQ
It must have something to do with the way I provide the listeners to the adapters now  Somehow maybe they get the application context instead of the activity one 
Related to  70 apparently  it leads to this bug 
</t>
  </si>
  <si>
    <t>AnaelMobilia-NextINpact-Unofficial-121</t>
  </si>
  <si>
    <t>Crash de l'application sur les liens</t>
  </si>
  <si>
    <t xml:space="preserve">Si aucune m thode n est d finie pour l ouverture des liens  crash
01 22 20:06:14 796: E AndroidRuntime(7208): android content ActivityNotFoundException: No Activity found to handle Intent   act android intent action VIEW dat http:  sebsauvage net wiki doku php id php:zerobin faq  (has extras)  
</t>
  </si>
  <si>
    <t>yahel-rangzen-12</t>
  </si>
  <si>
    <t>ConcurrentModificationException on SharedPreferences</t>
  </si>
  <si>
    <t xml:space="preserve">Had a crash when I pressed Send on a message once  Exception is below  it was a ConcurrentModificationException related to the SharedPreferences  I guess it s something wrong with concurrent access to the message store  Worth trying to hunt down    maybe it s related to adding a message during an exchange 
01 21 16:42:54 308: E AndroidRuntime(3747): FATAL EXCEPTION: pool 2 thread 1
01 21 16:42:54 308: E AndroidRuntime(3747): Process: org denovogroup rangzen  PID: 3747
01 21 16:42:54 308: E AndroidRuntime(3747): java util ConcurrentModificationException
01 21 16:42:54 308: E AndroidRuntime(3747):     at java util HashMap HashIterator nextEntry(HashMap java:806)
01 21 16:42:54 308: E AndroidRuntime(3747):     at java util HashMap KeyIterator next(HashMap java:833)
01 21 16:42:54 308: E AndroidRuntime(3747):     at com android internal util XmlUtils writeSetXml(XmlUtils java:298)
01 21 16:42:54 308: E AndroidRuntime(3747):     at com android internal util XmlUtils writeValueXml(XmlUtils java:447)
01 21 16:42:54 308: E AndroidRuntime(3747):     at com android internal util XmlUtils writeMapXml(XmlUtils java:241)
01 21 16:42:54 308: E AndroidRuntime(3747):     at com android internal util XmlUtils writeMapXml(XmlUtils java:181)
01 21 16:42:54 308: E AndroidRuntime(3747):     at android app SharedPreferencesImpl writeToFile(SharedPreferencesImpl java:596)
01 21 16:42:54 308: E AndroidRuntime(3747):     at android app SharedPreferencesImpl access 800(SharedPreferencesImpl java:52)
01 21 16:42:54 308: E AndroidRuntime(3747):     at android app SharedPreferencesImpl 2 run(SharedPreferencesImpl java:511)
01 21 16:42:54 308: E AndroidRuntime(3747):     at java util concurrent ThreadPoolExecutor runWorker(ThreadPoolExecutor java:1112)
01 21 16:42:54 308: E AndroidRuntime(3747):     at java util concurrent ThreadPoolExecutor Worker run(ThreadPoolExecutor java:587)
01 21 16:42:54 308: E AndroidRuntime(3747):     at java lang Thread run(Thread java:841)
</t>
  </si>
  <si>
    <t>inaturalist-iNaturalistAndroid-34</t>
  </si>
  <si>
    <t>Crash when awaking post syncing</t>
  </si>
  <si>
    <t xml:space="preserve">This crash is still happening in 1 3 10(21) it generally happens for me after I tap sync and turn my attention away from the device  When I return and wake the device up from sleep  iNaturalist has stopped
Here are the errors on Crashlytics:
https:  www crashlytics com inaturalist android apps org inaturalist android issues 54c069a365f8dfea15a8eba7
And GooglePlay:
https:  play google com apps publish  dev acc 15421172454815845728 ErrorClusterDetailsPlace:p org inaturalist android et CRASH sh false lr LAST 24 HRS ecn java lang IllegalStateException tf Activity java tc android app Activity tm performRestart nid an c s new status desc
</t>
  </si>
  <si>
    <t>AnaelMobilia-NextINpact-Unofficial-124</t>
  </si>
  <si>
    <t>CommentairesActivity - minSDK crashe au défilement</t>
  </si>
  <si>
    <t xml:space="preserve">Sur l ensemble des commentaires : 
   minSdk crashe (vers le commentaire 4 5)  en d filement
Pas de soucis sur 4 2 2
01 24 16:51:21 345: E AndroidRuntime(723): FATAL EXCEPTION: main
01 24 16:51:21 345: E AndroidRuntime(723): java lang ArrayIndexOutOfBoundsException
01 24 16:51:21 345: E AndroidRuntime(723):  at android widget AbsListView RecycleBin addScrapView(AbsListView java:4078)
01 24 16:51:21 345: E AndroidRuntime(723):  at android widget AbsListView trackMotionScroll(AbsListView java:2894)
01 24 16:51:21 345: E AndroidRuntime(723):  at android widget AbsListView onTouchEvent(AbsListView java:2065)
01 24 16:51:21 345: E AndroidRuntime(723):  at android widget ListView onTouchEvent(ListView java:3315)
01 24 16:51:21 345: E AndroidRuntime(723):  at android view View dispatchTouchEvent(View java:3766)
01 24 16:51:21 345: E AndroidRuntime(723):  at android view ViewGroup dispatchTouchEvent(ViewGroup java:897)
01 24 16:51:21 345: E AndroidRuntime(723):  at android view ViewGroup dispatchTouchEvent(ViewGroup java:936)
01 24 16:51:21 345: E AndroidRuntime(723):  at android view ViewGroup dispatchTouchEvent(ViewGroup java:936)
01 24 16:51:21 345: E AndroidRuntime(723):  at android view ViewGroup dispatchTouchEvent(ViewGroup java:936)
01 24 16:51:21 345: E AndroidRuntime(723):  at android view ViewGroup dispatchTouchEvent(ViewGroup java:936)
01 24 16:51:21 345: E AndroidRuntime(723):  at android view ViewGroup dispatchTouchEvent(ViewGroup java:936)
01 24 16:51:21 345: E AndroidRuntime(723):  at android view ViewGroup dispatchTouchEvent(ViewGroup java:936)
01 24 16:51:21 345: E AndroidRuntime(723):  at com android internal policy impl PhoneWindow DecorView superDispatchTouchEvent(PhoneWindow java:1671)
01 24 16:51:21 345: E AndroidRuntime(723):  at com android internal policy impl PhoneWindow superDispatchTouchEvent(PhoneWindow java:1107)
01 24 16:51:21 345: E AndroidRuntime(723):  at android app Activity dispatchTouchEvent(Activity java:2086)
01 24 16:51:21 345: E AndroidRuntime(723):  at com android internal policy impl PhoneWindow DecorView dispatchTouchEvent(PhoneWindow java:1655)
01 24 16:51:21 345: E AndroidRuntime(723):  at android view ViewRoot handleMessage(ViewRoot java:1785)
01 24 16:51:21 345: E AndroidRuntime(723):  at android os Handler dispatchMessage(Handler java:99)
01 24 16:51:21 345: E AndroidRuntime(723):  at android os Looper loop(Looper java:123)
01 24 16:51:21 345: E AndroidRuntime(723):  at android app ActivityThread main(ActivityThread java:4627)
01 24 16:51:21 345: E AndroidRuntime(723):  at java lang reflect Method invokeNative(Native Method)
01 24 16:51:21 345: E AndroidRuntime(723):  at java lang reflect Method invoke(Method java:521)
01 24 16:51:21 345: E AndroidRuntime(723):  at com android internal os ZygoteInit MethodAndArgsCaller run(ZygoteInit java:868)
01 24 16:51:21 345: E AndroidRuntime(723):  at com android internal os ZygoteInit main(ZygoteInit java:626)
01 24 16:51:21 345: E AndroidRuntime(723):  at dalvik system NativeStart main(Native Method)
</t>
  </si>
  <si>
    <t>eugenkiss-chanobol-78</t>
  </si>
  <si>
    <t>Crash: Gridlayout Index Out of Bounds</t>
  </si>
  <si>
    <t xml:space="preserve">http:  crashes to s 19ebd09e62e
java lang ArrayIndexOutOfBoundsException: length 2  index 2
   at android support v7 widget GridLayoutManager layoutChunk(GridLayoutManager java:361)
   at android support v7 widget LinearLayoutManager fill(LinearLayoutManager java:1269)
   at android support v7 widget LinearLayoutManager scrollBy(LinearLayoutManager java:1097)
   at android support v7 widget LinearLayoutManager scrollVerticallyBy(LinearLayoutManager java:957)
   at android support v7 widget RecyclerView ViewFlinger run(RecyclerView java:2797)
   at android view Choreographer CallbackRecord run(Choreographer java:761)
   at android view Choreographer doCallbacks(Choreographer java:574)
   at android view Choreographer doFrame(Choreographer java:543)
   at android view Choreographer FrameDisplayEventReceiver run(Choreographer java:747)
   at android os Handler handleCallback(Handler java:733)
   at android os Handler dispatchMessage(Handler java:95)
   at android os Looper loop(Looper java:136)
   at android app ActivityThread main(ActivityThread java:5146)
   at java lang reflect Method invokeNative(Method java)
   at java lang reflect Method invoke(Method java:515)
   at com android internal os ZygoteInit MethodAndArgsCaller run(ZygoteInit java:796)
   at com android internal os ZygoteInit main(ZygoteInit java:612)
   at de robv android xposed XposedBridge main(XposedBridge java:132)
   at dalvik system NativeStart main(NativeStart java)
</t>
  </si>
  <si>
    <t>eugenkiss-chanobol-77</t>
  </si>
  <si>
    <t>Crash: Nullpointer Board.name</t>
  </si>
  <si>
    <t xml:space="preserve">From Crashlytics  Must have something to do with state recreation I assume 
http:  crashes to s b735699e8c6
java lang RuntimeException: Unable to start activity ComponentInfo anabolicandroids chanobol sfw anabolicandroids chanobol ui MainActivity : java lang NullPointerException: Attempt to read from field  java lang String anabolicandroids chanobol api data Board name  on a null object reference
   at android app ActivityThread performLaunchActivity(ActivityThread java:2298)
   at android app ActivityThread handleLaunchActivity(ActivityThread java:2360)
   at android app ActivityThread access 800(ActivityThread java:144)
   at android app ActivityThread H handleMessage(ActivityThread java:1278)
   at android os Handler dispatchMessage(Handler java:102)
   at android os Looper loop(Looper java:135)
   at android app ActivityThread main(ActivityThread java:5221)
   at java lang reflect Method invoke(Method java)
   at java lang reflect Method invoke(Method java:372)
   at com android internal os ZygoteInit MethodAndArgsCaller run(ZygoteInit java:899)
   at com android internal os ZygoteInit main(ZygoteInit java:694)
Caused by: java lang NullPointerException: Attempt to read from field  java lang String anabolicandroids chanobol api data Board name  on a null object reference
   at anabolicandroids chanobol ui threads ThreadsFragment load(ThreadsFragment java:147)
   at anabolicandroids chanobol ui threads ThreadsFragment onActivityCreated(ThreadsFragment java:99)
   at android support v4 app Fragment performActivityCreated(Fragment java:1794)
   at android support v4 app FragmentManagerImpl moveToState(FragmentManager java:967)
   at android support v4 app FragmentManagerImpl moveToState(FragmentManager java:1126)
   at android support v4 app FragmentManagerImpl moveToState(FragmentManager java:1108)
   at android support v4 app FragmentManagerImpl dispatchActivityCreated(FragmentManager java:1917)
   at android support v4 app FragmentActivity onStart(FragmentActivity java:544)
   at android app Instrumentation callActivityOnStart(Instrumentation java:1220)
   at android app Activity performStart(Activity java:5949)
   at android app ActivityThread performLaunchActivity(ActivityThread java:2261)
   at android app ActivityThread handleLaunchActivity(ActivityThread java:2360)
   at android app ActivityThread access 800(ActivityThread java:144)
   at android app ActivityThread H handleMessage(ActivityThread java:1278)
   at android os Handler dispatchMessage(Handler java:102)
   at android os Looper loop(Looper java:135)
   at android app ActivityThread main(ActivityThread java:5221)
   at java lang reflect Method invoke(Method java)
   at java lang reflect Method invoke(Method java:372)
   at com android internal os ZygoteInit MethodAndArgsCaller run(ZygoteInit java:899)
   at com android internal os ZygoteInit main(ZygoteInit java:694)
</t>
  </si>
  <si>
    <t>geftimov-android-pathview-3</t>
  </si>
  <si>
    <t>Fatal signal 11 (SIGSEGV) at 0x00000000 (code=1), thread 2124 (SVG Loader)</t>
  </si>
  <si>
    <t xml:space="preserve">The sample project crashes with an internal platform error (no stacktrace)  Crashes on devices from API 14 till API 19  different device models  emulated and physical devices as well  Works on API 19 and above 
</t>
  </si>
  <si>
    <t>CellularPrivacy-Android-IMSI-Catcher-Detector-299</t>
  </si>
  <si>
    <t>location / signal in aimcid_locationinfo.csv not updated while the cell is not changing</t>
  </si>
  <si>
    <t xml:space="preserve">Hello 
the bug must be there since WIP Release v0 1 25 alpha build 9  i m using  15 now 
I did the following: tracking cells enabled  i collected measurements around the city  Then i used the backup function and copied the aimcid locationinfo csv to my computer  I noticed that the fields in   id   Lac   CellID  and  Timestamp  are correct  but  Lat   Lng  and  Signal  are not updated until the cell is changing  So I get a lot of lines each with the same cell  signal and location  Before version build 9 the values are alright 
I can t check if the values are wrong in the internal database because the app crashes when i try to load  measured signal strengths  in the database menu  maybe the file is too big  (about 8700 measurements  the  csv is about 1 5MB in size)
Hardware: Fairphone FP1  OS Cherry 1 6 (Android 4 2 2)
AIMSICD version v0 1 25 alpha build 15
</t>
  </si>
  <si>
    <t>cgeo-cgeo-4634</t>
  </si>
  <si>
    <t>Crash on GPX export</t>
  </si>
  <si>
    <t xml:space="preserve">A user on support mail reported that c:geo crashed when exporting his stored caches 
I recevied the DB backup and can reproduce the issue with 2015 01 25 NB 
It crashes after approx  250 caches and shows this log:
00:03:12 018 Error cgeo 25109   AsyncTask  3  UncaughtException
00:03:12 018 Error cgeo 25109  java lang RuntimeException: An error occured while executing doInBackground()
00:03:12 018 Error cgeo 25109   at android os AsyncTask 3 done(AsyncTask java:300)
00:03:12 018 Error cgeo 25109   at java util concurrent FutureTask finishCompletion(FutureTask java:355)
00:03:12 018 Error cgeo 25109   at java util concurrent FutureTask setException(FutureTask java:222)
00:03:12 018 Error cgeo 25109   at java util concurrent FutureTask run(FutureTask java:242)
00:03:12 018 Error cgeo 25109   at android os AsyncTask SerialExecutor 1 run(AsyncTask java:231)
00:03:12 018 Error cgeo 25109   at java util concurrent ThreadPoolExecutor runWorker(ThreadPoolExecutor java:1112)
00:03:12 018 Error cgeo 25109   at java util concurrent ThreadPoolExecutor Worker run(ThreadPoolExecutor java:587)
00:03:12 018 Error cgeo 25109   at java lang Thread run(Thread java:841)
00:03:12 018 Error cgeo 25109  Caused by: java lang IllegalStateException: getCacheUrl cannot be called on unknown caches
00:03:12 018 Error cgeo 25109   at cgeo geocaching connector UnknownConnector getCacheUrl(UnknownConnector java:19)
00:03:12 018 Error cgeo 25109   at cgeo geocaching Geocache getUrl(Geocache java:727)
00:03:12 018 Error cgeo 25109   at cgeo geocaching export GpxSerializer exportBatch(GpxSerializer java:111)
00:03:12 018 Error cgeo 25109   at cgeo geocaching export GpxSerializer writeGPX(GpxSerializer java:83)
00:03:12 018 Error cgeo 25109   at cgeo geocaching export GpxExport ExportTask doInBackgroundInternal(GpxExport java:142)
00:03:12 018 Error cgeo 25109   at cgeo geocaching export GpxExport ExportTask doInBackgroundInternal(GpxExport java:104)
00:03:12 018 Error cgeo 25109   at cgeo geocaching utils AsyncTaskWithProgress doInBackground(AsyncTaskWithProgress java:136)
00:03:12 018 Error cgeo 25109   at android os AsyncTask 2 call(AsyncTask java:288)
00:03:12 018 Error cgeo 25109   at java util concurrent FutureTask run(FutureTask java:237)
00:03:12 018 Error cgeo 25109       4 more
DB backup available on request
</t>
  </si>
  <si>
    <t>thecosmicfrog-LuasataGlance-6</t>
  </si>
  <si>
    <t>App occasionally crashes when screen is rotated many times in a short space of time</t>
  </si>
  <si>
    <t xml:space="preserve">When Luas at a Glance is open and the handheld device is rotated several times in a short space of time (causing the Activity to redraw many times)  the app occasionally crashes 
</t>
  </si>
  <si>
    <t>CellularPrivacy-Android-IMSI-Catcher-Detector-300</t>
  </si>
  <si>
    <t>Crash at trying to view "Measured Signal Strengths" in Database Viewer</t>
  </si>
  <si>
    <t xml:space="preserve">Description of the Crash mentioned in https:  github com SecUpwN Android IMSI Catcher Detector issues 299:
What I did: 
  start aLogcatROOT  pause  clear  (optional  just for the log)
  open AIMSICD  go to Database Viewer  choose  Measured Signal Strengths   press  Load Data 
  App crashes  note pops up that AIMSICD was closed 
  go back to aLogcatROOT  pause  save log 
  log: https:  defuse ca b DcM4uBqK
Hardware: Fairphone FP1  OS Cherry 1 6 (Android 4 2 2)
AIMSICD version v0 1 25 alpha build 15
</t>
  </si>
  <si>
    <t>eugenkiss-chanobol-79</t>
  </si>
  <si>
    <t>Crash: DeepZoom OutOfMemory</t>
  </si>
  <si>
    <t xml:space="preserve">Not much can be done from my side except improving Ion directly  I ve actually encountered this bug a couple of times myself  http:  crashes to s d354bc8e97f
java lang OutOfMemoryError
   at java io ByteArrayOutputStream toByteArray(ByteArrayOutputStream java:122)
   at com koushikdutta async util StreamUtility readToEndAsArray(StreamUtility java:57)
   at com koushikdutta ion LoadDeepZoom 1 run(LoadDeepZoom java:66)
   at java util concurrent ThreadPoolExecutor runWorker(ThreadPoolExecutor java:1076)
   at java util concurrent ThreadPoolExecutor Worker run(ThreadPoolExecutor java:569)
   at java lang Thread run(Thread java:856)
</t>
  </si>
  <si>
    <t>code-troopers-android-betterpickers-139</t>
  </si>
  <si>
    <t>RecurrencePicker null pointer exception</t>
  </si>
  <si>
    <t xml:space="preserve">Set it to month  and to day of week  The sample app will crash (my app will too):
java lang NullPointerException: Attempt to read from field  int android text format Time weekDay  on a null object reference
            at com doomonafireball betterpickers recurrencepicker EventRecurrenceFormatter getRepeatString(EventRecurrenceFormatter java:106)
</t>
  </si>
  <si>
    <t>google-physical-web-278</t>
  </si>
  <si>
    <t>App crashes when there is no Wifi</t>
  </si>
  <si>
    <t xml:space="preserve">When WiFi is turned off and a user tries to tap on a beacon the app crashes 
</t>
  </si>
  <si>
    <t>eugenkiss-chanobol-81</t>
  </si>
  <si>
    <t>Crash: No Activity found to handle Intent</t>
  </si>
  <si>
    <t xml:space="preserve">Fresh from Crashlytics http:  crashes to s ae6e3068a99
It probably has to do with the post text parsing when there is a link that references another thread  Once it s improved this crash should be a thing of the past  See  3 
android content ActivityNotFoundException: No Activity found to handle Intent   act android intent action VIEW dat  vr thread 2192268 (has extras)  
   at android app Instrumentation checkStartActivityResult(Instrumentation java:1632)
   at android app Instrumentation execStartActivity(Instrumentation java:1424)
   at android app Activity startActivityForResult(Activity java:3424)
   at android app Activity startActivityForResult(Activity java:3385)
   at android support v4 app FragmentActivity startActivityForResult(FragmentActivity java:817)
   at android app Activity startActivity(Activity java:3627)
   at android app Activity startActivity(Activity java:3595)
   at android text style URLSpan onClick(URLSpan java:62)
   at android text method LinkMovementMethod onTouchEvent(LinkMovementMethod java:217)
   at android widget TextView onTouchEvent(TextView java:7713)
   at android view View dispatchTouchEvent(View java:7713)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android view ViewGroup dispatchTransformedTouchEvent(ViewGroup java:2216)
   at android view ViewGroup dispatchTouchEvent(ViewGroup java:1959)
   at com android internal policy impl PhoneWindow DecorView superDispatchTouchEvent(PhoneWindow java:2329)
   at com android internal policy impl PhoneWindow superDispatchTouchEvent(PhoneWindow java:1568)
   at android app Activity dispatchTouchEvent(Activity java:2458)
   at com android internal policy impl PhoneWindow DecorView dispatchTouchEvent(PhoneWindow java:2277)
   at de robv android xposed XposedBridge invokeOriginalMethodNative(XposedBridge java)
   at de robv android xposed XposedBridge handleHookedMethod(XposedBridge java:631)
   at com android internal policy impl PhoneWindow DecorView dispatchTouchEvent(PhoneWindow java)
   at android view View dispatchPointerEvent(View java:7893)
   at android view ViewRootImpl ViewPostImeInputStage processPointerEvent(ViewRootImpl java:3950)
   at android view ViewRootImpl ViewPostImeInputStage onProcess(ViewRootImpl java:3829)
   at android view ViewRootImpl InputStage deliver(ViewRootImpl java:3395)
   at android view ViewRootImpl InputStage onDeliverToNext(ViewRootImpl java:3445)
   at android view ViewRootImpl InputStage forward(ViewRootImpl java:3414)
   at android view ViewRootImpl AsyncInputStage forward(ViewRootImpl java:3521)
   at android view ViewRootImpl InputStage apply(ViewRootImpl java:3422)
   at android view ViewRootImpl AsyncInputStage apply(ViewRootImpl java:3578)
   at android view ViewRootImpl InputStage deliver(ViewRootImpl java:3395)
   at android view ViewRootImpl InputStage onDeliverToNext(ViewRootImpl java:3445)
   at android view ViewRootImpl InputStage forward(ViewRootImpl java:3414)
   at android view ViewRootImpl InputStage apply(ViewRootImpl java:3422)
   at android view ViewRootImpl InputStage deliver(ViewRootImpl java:3395)
   at android view ViewRootImpl deliverInputEvent(ViewRootImpl java:5535)
   at android view ViewRootImpl doProcessInputEvents(ViewRootImpl java:5515)
   at android view ViewRootImpl enqueueInputEvent(ViewRootImpl java:5486)
   at android view ViewRootImpl WindowInputEventReceiver onInputEvent(ViewRootImpl java:5615)
   at android view InputEventReceiver dispatchInputEvent(InputEventReceiver java:185)
   at android os MessageQueue nativePollOnce(MessageQueue java)
   at android os MessageQueue next(MessageQueue java:138)
   at android os Looper loop(Looper java:123)
   at android app ActivityThread main(ActivityThread java:5146)
   at java lang reflect Method invokeNative(Method java)
   at java lang reflect Method invoke(Method java:515)
   at com android internal os ZygoteInit MethodAndArgsCaller run(ZygoteInit java:732)
   at com android internal os ZygoteInit main(ZygoteInit java:566)
   at de robv android xposed XposedBridge main(XposedBridge java:132)
   at dalvik system NativeStart main(NativeStart java)
</t>
  </si>
  <si>
    <t>eugenkiss-chanobol-84</t>
  </si>
  <si>
    <t>Crash: Gif OutOfMemory</t>
  </si>
  <si>
    <t xml:space="preserve">Probably nothing that can be done from my side outside of switching out Ion which I don t plan to  http:  crashes to s a95533cb0a9
java lang OutOfMemoryError
   at android graphics Bitmap nativeCreate(Bitmap java)
   at android graphics Bitmap createBitmap(Bitmap java:1001)
   at android graphics Bitmap createBitmap(Bitmap java:1025)
   at com koushikdutta ion gif GifDecoder setPixels(GifDecoder java:279)
   at com koushikdutta ion gif GifDecoder readImage(GifDecoder java:526)
   at com koushikdutta ion gif GifDecoder nextFrame(GifDecoder java:140)
   at com koushikdutta ion IonDrawable IonGifDecoder 1 run(IonDrawable java:172)
   at java util concurrent ThreadPoolExecutor runWorker(ThreadPoolExecutor java:1112)
   at java util concurrent ThreadPoolExecutor Worker run(ThreadPoolExecutor java:587)
   at java lang Thread run(Thread java:841)
</t>
  </si>
  <si>
    <t>Frank-Zhu-PullZoomView-10</t>
  </si>
  <si>
    <t>PullToZoomScrollView Crash on change orientation</t>
  </si>
  <si>
    <t xml:space="preserve">Great library thanks but crash when change orientation
</t>
  </si>
  <si>
    <t>mit-cml-appinventor-sources-236</t>
  </si>
  <si>
    <t>Sound recorder not working on some phones</t>
  </si>
  <si>
    <t xml:space="preserve">A user claims that evey app that uses the sound recorder component crashes on some phones  including  THL 5000 and  the Elephone p8 Pro   The phones are running Android 4 4 2 
Check whether this happens with 4 4 2 in general  or whether it s something about those phones 
Look here for the original comment
https:  groups google com forum   category topic mitappinventortest 16Pv 0WT yc
</t>
  </si>
  <si>
    <t>smartdevicelink-sdl_java_suite-91</t>
  </si>
  <si>
    <t>Enum valueForString methods are not consistent</t>
  </si>
  <si>
    <t xml:space="preserve">See PR  82 for more details 
Most enum classes simply use the  name()  method to define the value of the JSON value for each particular enum value   Therefore  the  valueForString  method typically calls and returns the result of the  valueOf()  method 
If  valueForString  is called with a JSON value that is not contained in the enum  the   valueOf  method will cause an IllegalArgumentException (http:  docs oracle com javase 7 docs api java lang Enum html valueOf 28java lang Class  20java lang String 29) 
However  in enum classes that define their own internal name to represent the JSON value  the  valueForString  method loops through all enum values and returns the value if it s found   If it s not found  it will return null 
All enums should behave identically in this case  so we need to determine if the correct course of action is to throw a RuntimeException (causing a crash) or to return null 
</t>
  </si>
  <si>
    <t>citiususc-calendula-16</t>
  </si>
  <si>
    <t>App crashes when editing schedule</t>
  </si>
  <si>
    <t xml:space="preserve">According to an ANR report on google play  app crashes when editing a schedule  
Apparently  a valid schedule ID is provided in the edit intent  but when trying to recover the schedule  it seems not to exist (Schedule findById(ID) is null) 
Probably the schedule was deleted but the list was not updated  and this caused the problem
https:  github com citiususc calendula blob master Calendula src main java es usc citius servando calendula activities ScheduleCreationActivity java L106  (L107 throws nullpointerexception)
</t>
  </si>
  <si>
    <t>libgdx-libgdx-2791</t>
  </si>
  <si>
    <t>Crash iOS app in OALAudio</t>
  </si>
  <si>
    <t xml:space="preserve">Got another OALAudio crash in the game build with libGDX   roboVM for iOS devices  I ve tested the game locally on simulator and iPhone 5s   everything works fine  However I ve got plenty (several hundreds) of crash reports by Flurry from the game in the field:
 pre  code 0   libobjc A dylib                     0x394fc608  objc retain   7
1   Ted the Jumper                      0x002fdb43   OALSuspendHandler setManuallySuspended:    438
2   Ted the Jumper                      0x002fcc23   OALAudioSession onAudioError:    466
3   CoreFoundation                      0x2ec391f1  redacted    12
4   CoreFoundation                      0x2ebad57f   CFXNotificationPost   1718
5   Foundation                          0x2f597a3d  redacted    76
6   Foundation                          0x2f59c31b  redacted    30
7   Ted the Jumper                      0x002f2403   ALDevice  cxx destruct    33626
8   Ted the Jumper                      0x002f2ccd   ALWrapper closeDevice:    116
9   Ted the Jumper                      0x002e9a91   ALDevice dealloc    164
10  libobjc A dylib                     0x394fcb6b  redacted    174
11  Ted the Jumper                      0x002e99e3   ALDevice initWithDeviceSpecifier:    450
12  Ted the Jumper                      0x002df05d   OALSimpleAudio initWithSources:    100
13  Ted the Jumper                      0x002de99b   OALSimpleAudio sharedInstanceSynch    138
14  Ted the Jumper                      0x00434f7f   FlurryPLCrashReporterConfig symbolicationStrategy    1093422
15  Ted the Jumper                      0x00434b5d   FlurryPLCrashReporterConfig symbolicationStrategy    1092364
16  Ted the Jumper                      0x00434b87   FlurryPLCrashReporterConfig symbolicationStrategy    1092406
17  Ted the Jumper                      0x00424fa3   FlurryPLCrashReporterConfig symbolicationStrategy    1027922
18  Ted the Jumper                      0x0042369d   FlurryPLCrashReporterConfig symbolicationStrategy    1021516
19  Ted the Jumper                      0x00424de5   FlurryPLCrashReporterConfig symbolicationStrategy    1027476
20  Ted the Jumper                      0x0098af9d   FlurryPLCrashReporterConfig symbolicationStrategy    6688588
21  Ted the Jumper                      0x0098b043   FlurryPLCrashReporterConfig symbolicationStrategy    6688754
22  UIKit                               0x315025a7  redacted    274
23  UIKit                               0x31501efb  redacted    1610
24  UIKit                               0x314fc58b  redacted    714
25  UIKit                               0x31498709  redacted    3540
26  UIKit                               0x31497871  redacted    72
27  UIKit                               0x314fbcc9  redacted    616
28  GraphicsServices                    0x33b04aed  redacted    608
29  GraphicsServices                    0x33b046d7  redacted    34
30  CoreFoundation                      0x2ec41ab7  redacted    34
31  CoreFoundation                      0x2ec41a53  redacted    346
32  CoreFoundation                      0x2ec40227  redacted    1398
33  CoreFoundation                      0x2ebaaf4f  CFRunLoopRunSpecific   522
34  CoreFoundation                      0x2ebaad33  CFRunLoopRunInMode   106
35  UIKit                               0x314faef1  redacted    760
36  UIKit                               0x314f616d  UIApplicationMain   1136
37  Ted the Jumper                      0x0097b1f5   FlurryPLCrashReporterConfig symbolicationStrategy    6623652
38  Ted the Jumper                      0x0097a745   FlurryPLCrashReporterConfig symbolicationStrategy    6620916
39  Ted the Jumper                      0x0097a783   FlurryPLCrashReporterConfig symbolicationStrategy    6620978
40  Ted the Jumper                      0x00511f9b   FlurryPLCrashReporterConfig symbolicationStrategy    1998666
41  Ted the Jumper                      0x00b67d3b   FlurryPLCrashReporterConfig symbolicationStrategy    8641770
42  Ted the Jumper                      0x00b60ad3   FlurryPLCrashReporterConfig symbolicationStrategy    8612482
43  Ted the Jumper                      0x00b6274f   FlurryPLCrashReporterConfig symbolicationStrategy    8619774
44  Ted the Jumper                      0x00b627a9   FlurryPLCrashReporterConfig symbolicationStrategy    8619864
45  Ted the Jumper                      0x00b5ca7d   FlurryPLCrashReporterConfig symbolicationStrategy    8596012
46  Ted the Jumper                      0x00b55293   FlurryPLCrashReporterConfig symbolicationStrategy    8565314
47  Ted the Jumper                      0x0032a5c4   FlurryPLCrashReporterConfig symbolicationStrategy    1395
  code   pre 
</t>
  </si>
  <si>
    <t>libgdx-libgdx-2790</t>
  </si>
  <si>
    <t>Crash iOS app with NullPointerException in IOSSound.play</t>
  </si>
  <si>
    <t xml:space="preserve">I ve just published the game build with libGDX   roboVM for iOS devices  I ve tested the game locally on simulator and iPhone 5s   everything works fine  However I ve got plenty (several hundreds) of crash reports by Flurry from the game in the field:
 pre  code     Terminating app due to uncaught exception  NullPointerException: null   reason:  NullPointerException: null
com badlogic gdx backends iosrobovm IOSSound play(IOSSound java:66)
com badlogic gdx backends iosrobovm IOSSound play(IOSSound java:56)
com mmxgames engine audio RandomSound playAtIndex(RandomSound java:47)
com mmxgames engine audio RandomSound play(RandomSound java:36)
com mmxgames engine audio SoundPack play(SoundPack java:53)
com mmxgames engine audio SoundPack play(SoundPack java:37)
com mmxgames engine ResMan RSoundPack play(ResMan java:205)
com mmxgames ttj themes GameView3D onMove(GameView3D java:360)
com mmxgames ttj play ALevelScene processAction(ALevelScene java:356)
com mmxgames ttj play ALevelScene   update(ALevelScene java:186)
com mmxgames ttj play StoryLevelScene   update(StoryLevelScene java:144)
com mmxgames engine components Host   update(Host java:235)
com mmxgames engine AGame render(AGame java:282)
com badlogic gdx backends iosrobovm IOSGraphics draw(IOSGraphics java:330)
com badlogic gdx backends iosrobovm IOSGraphics 1 draw(IOSGraphics java:200)
org robovm apple uikit UIView  cb drawRect (UIView java)
org robovm apple uikit UIApplication main(Native Method)
org robovm apple uikit UIApplication main(UIApplication java:334)
com bulkypix tedthejumper ios Launcher main(Launcher java:182)
  code   pre 
So the exception raise for more or less any device type (iPhone 6 Plus  iPhone 6  iPhone 5s  iPhone 4s  iPads  etc )  The source code line is:
 pre  code 
ALSource soundSource   OALSimpleAudio sharedInstance() playEffect(soundPath  volume  pitch  pan  loop)   code   pre 
Only the possibility I see is that  OALSimpleAudio sharedInstance() returns null 
What could be the problem for that 
</t>
  </si>
  <si>
    <t>libgdx-libgdx-2800</t>
  </si>
  <si>
    <t>iOS app crashes on device with latest nightly 01.02.2015 (was working before)</t>
  </si>
  <si>
    <t xml:space="preserve">The game which was successfully working crash on the real device (iPhone 5s) with the latest nightly 01 02 2015 right at the start  At the same time it works fine in simulator of the same device  Here is the simbolication of crash report:
 pre  code 11:  J org robovm apple foundation Foundation log(Ljava lang String Lorg robovm apple foundation NSObject )V (in Ted the Jumper)   180
12:  j org robovm apple foundation Foundation log(Ljava lang String Lorg robovm apple foundation NSObject )V clinit  (in Ted the Jumper)   84
13:  J com badlogic gdx backends iosrobovm IOSApplication debug(Ljava lang String Ljava lang String )V (in Ted the Jumper) ( IOSApplication java:348)
14:  J com badlogic gdx backends iosrobovm IOSApplication didFinishLaunching(Lorg robovm apple uikit UIApplication Lorg robovm apple uikit UIApplicationLaunchOptions )Z (in Ted the Jumper) ( IOSApplication java:123)
15:  J com badlogic gdx backends iosrobovm IOSApplication Delegate didFinishLaunching(Lorg robovm apple uikit UIApplication Lorg robovm apple uikit UIApplicationLaunchOptions )Z (in Ted the Jumper)   112
16:  J org robovm apple uikit UIApplicationDelegate ObjCProxy  cb application didFinishLaunchingWithOptions (Lorg robovm apple uikit UIApplicationDelegate Lorg robovm objc Selector Lorg robovm apple uikit UIApplication Lorg robovm apple uikit UIApplicationLaunchOptions )Z (in Ted the Jumper) ( Unknown source:1048629)
17:  j org robovm apple uikit UIApplicationDelegate ObjCProxy  cb application didFinishLaunchingWithOptions (Lorg robovm apple uikit UIApplicationDelegate Lorg robovm objc Selector Lorg robovm apple uikit UIApplication Lorg robovm apple uikit UIApplicationLaunchOptions )Z callback  (in Ted the Jumper)   236
  code   pre 
The issue was got using last libGDX and roboVM snapshot  From the history It is probably that the problem is exactly in the commit 2 days ago: 41708a5  It do the opposite to what it is named :) libGDX 1 5 3 with roboVM beta 03 works just fine  Latest SNAPSHOTS (libGDX   roboVM) fail with this issue 
This is connected to roboVM issue  737
</t>
  </si>
  <si>
    <t>the-blue-alliance-the-blue-alliance-android-309</t>
  </si>
  <si>
    <t>Populate District Rankings NPE</t>
  </si>
  <si>
    <t xml:space="preserve">From crash report:
java lang NullPointerException
at com thebluealliance androidclient background district PopulateDistrictRankings onPostExecute(PopulateDistrictRankings java:29)
at android os AsyncTask finish(AsyncTask java:632)
at android os AsyncTask access 600(AsyncTask java:177)
at android os AsyncTask InternalHandler handleMessage(AsyncTask java:645)
at android os Handler dispatchMessage(Handler java:102)
at android os Looper loop(Looper java:146)
at android app ActivityThread main(ActivityThread java:5692)
at java lang reflect Method invokeNative(Native Method)
at java lang reflect Method invoke(Method java:515)
at com android internal os ZygoteInit MethodAndArgsCaller run(ZygoteInit java:1291)
at com android internal os ZygoteInit main(ZygoteInit java:1107)
at dalvik system NativeStart main(Native Method)
</t>
  </si>
  <si>
    <t>the-blue-alliance-the-blue-alliance-android-308</t>
  </si>
  <si>
    <t>Populate District Points NPE</t>
  </si>
  <si>
    <t xml:space="preserve">From crash report:
java lang NullPointerException
at com thebluealliance androidclient fragments event EventDistrictPointsFragment updateDistrict(EventDistrictPointsFragment java:128)
at com thebluealliance androidclient background event PopulateEventDistrictPoints 1 run(PopulateEventDistrictPoints java:71)
at android os Handler handleCallback(Handler java:733)
at android os Handler dispatchMessage(Handler java:95)
at android os Looper loop(Looper java:157)
at android app ActivityThread main(ActivityThread java:5633)
at java lang reflect Method invokeNative(Native Method)
at java lang reflect Method invoke(Method java:515)
at com android internal os ZygoteInit MethodAndArgsCaller run(ZygoteInit java:896)
at com android internal os ZygoteInit main(ZygoteInit java:712)
at dalvik system NativeStart main(Native Method)
</t>
  </si>
  <si>
    <t>the-blue-alliance-the-blue-alliance-android-307</t>
  </si>
  <si>
    <t>SQL Exception on Update</t>
  </si>
  <si>
    <t xml:space="preserve">From crash report:
java lang RuntimeException: Unable to start activity ComponentInfo com thebluealliance androidclient com thebluealliance androidclient activities LaunchActivity : android database sqlite SQLiteException: duplicate column name: name (code 1):   while compiling: ALTER TABLE districts ADD COLUMN name TEXT DEFAULT   
at android app ActivityThread performLaunchActivity(ActivityThread java:2298)
at android app ActivityThread handleLaunchActivity(ActivityThread java:2360)
at android app ActivityThread access 800(ActivityThread java:144)
at android app ActivityThread H handleMessage(ActivityThread java:1278)
at android os Handler dispatchMessage(Handler java:102)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Caused by: android database sqlite SQLiteException: duplicate column name: name (code 1):   while compiling: ALTER TABLE districts ADD COLUMN name TEXT DEFAULT   
at android database sqlite SQLiteConnection nativePrepareStatement(Native Method)
at android database sqlite SQLiteConnection acquirePreparedStatement(SQLiteConnection java:889)
at android database sqlite SQLiteConnection prepare(SQLiteConnection java:500)
at android database sqlite SQLiteSession prepare(SQLiteSession java:588)
at android database sqlite SQLiteProgram  init (SQLiteProgram java:58)
at android database sqlite SQLiteStatement  init (SQLiteStatement java:31)
at android database sqlite SQLiteDatabase executeSql(SQLiteDatabase java:1674)
at android database sqlite SQLiteDatabase execSQL(SQLiteDatabase java:1605)
at com thebluealliance androidclient datafeed Database onUpgrade(Database java:331)
at android database sqlite SQLiteOpenHelper getDatabaseLocked(SQLiteOpenHelper java:256)
at android database sqlite SQLiteOpenHelper getWritableDatabase(SQLiteOpenHelper java:163)
at com thebluealliance androidclient datafeed Database  init (Database java:198)
at com thebluealliance androidclient datafeed Database getInstance(Database java:224)
at com thebluealliance androidclient activities LaunchActivity onCreate(LaunchActivity java:58)
at android app Activity performCreate(Activity java:5933)
at android app Instrumentation callActivityOnCreate(Instrumentation java:1105)
at android app ActivityThread performLaunchActivity(ActivityThread java:2251)
    10 more
</t>
  </si>
  <si>
    <t>the-blue-alliance-the-blue-alliance-android-306</t>
  </si>
  <si>
    <t>Get Credential NPE</t>
  </si>
  <si>
    <t xml:space="preserve">From crash report:
java lang RuntimeException: An error occured while executing doInBackground()
at android os AsyncTask 3 done(AsyncTask java:300)
at java util concurrent FutureTask finishCompletion(FutureTask java:355)
at java util concurrent FutureTask setException(FutureTask java:222)
at java util concurrent FutureTask run(FutureTask java:242)
at java util concurrent ThreadPoolExecutor runWorker(ThreadPoolExecutor java:1112)
at java util concurrent ThreadPoolExecutor Worker run(ThreadPoolExecutor java:587)
at java lang Thread run(Thread java:818)
Caused by: java lang NullPointerException: Attempt to invoke virtual method  java lang String com google api client googleapis extensions android gms auth GoogleAccountCredential getToken()  on a null object reference
at com thebluealliance androidclient accounts AccountHelper getAuthedTbaMobile(AccountHelper java:111)
at com thebluealliance androidclient datafeed DataManager MyTBA updateUserFavorites(DataManager java:514)
at com thebluealliance androidclient background mytba PopulateUserFavorites doInBackground(PopulateUserFavorites java:32)
at android os AsyncTask 2 call(AsyncTask java:288)
at java util concurrent FutureTask run(FutureTask java:237)
    3 more
</t>
  </si>
  <si>
    <t>cforlando-bike-orlando-android-48</t>
  </si>
  <si>
    <t>Crash on pre lollipop from attr based color</t>
  </si>
  <si>
    <t xml:space="preserve">The drop shadow drawable uses an attribute reference which only works in 5 0  causing crashes on older devices at runtime 
</t>
  </si>
  <si>
    <t>cSploit-android-61</t>
  </si>
  <si>
    <t>force closing on gingerbread.</t>
  </si>
  <si>
    <t xml:space="preserve">i ve installed the latest stable release on my samsung galaxy y duos gt s6102 running stock rooted gingerbread 2 3 6 rom  i ve busybox v1 23 1 sterickson installed on my device  but when i try to open the app  it crashes  log is attached below 
E 20:19:56 625 AndroidRuntime( 4006)
    at org csploit android core Client  clinit (Client java:10)
E 20:19:56 625 AndroidRuntime( 4006)
    at org csploit android MainActivity 5 run(MainActivity java:336)
E 20:19:56 625 AndroidRuntime( 4006)
    at org csploit android core ToolsInstaller install(ToolsInstaller java:85)
E 20:19:56 625 AndroidRuntime( 4006)
    at org csploit android core System clean(System java:1256)
E 20:19:56 625 AndroidRuntime( 4006)
    at org csploit android core System setForwarding(System java:1248)
E 20:19:56 625 AndroidRuntime( 4006)
    at org csploit android tools Shell run(Shell java:43)
E 20:19:56 625 AndroidRuntime( 4006)
    at org csploit android tools Shell run(Shell java:39)
E 20:19:56 625 AndroidRuntime( 4006)
    at org csploit android tools Raw run(Raw java:51)
E 20:19:56 625 AndroidRuntime( 4006)
    at org csploit android tools Tool run(Tool java:33)
E 20:19:56 625 AndroidRuntime( 4006)
    at org csploit android tools Tool async(Tool java:55)
E 20:19:56 625 AndroidRuntime( 4006)
    at org csploit android core ChildManager async(ChildManager java:81)
W 20:19:56 625 dalvikvm( 4006)
JNI OnLoad returned bad version ( 1) in  data data org csploit android lib libcSploitClient so 0x407ac5d8
W 20:19:56 625 System err( 4006)
    at org csploit android MainActivity 5 run(MainActivity java:336)
W 20:19:56 625 System err( 4006)
    at org csploit android core ToolsInstaller install(ToolsInstaller java:85)
W 20:19:56 625 System err( 4006)
    at org csploit android core System clean(System java:1256)
W 20:19:56 625 System err( 4006)
    at org csploit android core System setForwarding(System java:1248)
W 20:19:56 625 System err( 4006)
    at org csploit android tools Shell run(Shell java:43)
W 20:19:56 625 System err( 4006)
    at org csploit android tools Shell run(Shell java:39)
W 20:19:56 625 System err( 4006)
    at org csploit android tools Raw run(Raw java:51)
W 20:19:56 625 System err( 4006)
    at org csploit android tools Tool run(Tool java:33)
W 20:19:56 625 System err( 4006)
    at org csploit android tools Tool async(Tool java:55)
W 20:19:56 625 System err( 4006)
    at org csploit android core ChildManager async(ChildManager java:81)
W 20:19:56 625 System err( 4006)
    at org csploit android core Client  clinit (Client java:10)
D 20:19:56 617 dalvikvm( 4006)
Added shared lib  data data org csploit android lib libcSploitClient so 0x407ac5d8
D 20:19:56 593 dalvikvm( 4006)
Trying to load lib  data data org csploit android lib libcSploitClient so 0x407ac5d8
D 20:19:56 546 dalvikvm( 4006)
No JNI OnLoad found in  data data org csploit android lib libcSploitCommon so 0x407ac5d8  skipping init
D 20:19:56 546 dalvikvm( 4006)
Added shared lib  data data org csploit android lib libcSploitCommon so 0x407ac5d8
D 20:19:56 523 dalvikvm( 4006)
Trying to load lib  data data org csploit android lib libcSploitCommon so 0x407ac5d8
D 20:19:56 523 CSPLOIT core ToolsInstaller needed (4006)
Checking version file  data data org csploit android files tools VERSION
I 20:19:55 632 ActivityManager( 1530)
Starting: Intent   act android intent action MAIN cat  android intent category LAUNCHER  flg 0x10200000 cmp org csploit android  MainActivity   from pid 1614
I 20:19:49 195 InstallAppProgress( 3845)
Finished installing org csploit android
D 20:19:43 265 PackageManager( 1530)
Scanning package org csploit android
</t>
  </si>
  <si>
    <t>wallabag-android-app-75</t>
  </si>
  <si>
    <t>FC with Fliktu sharing app</t>
  </si>
  <si>
    <t xml:space="preserve">An user having the  Fliktu sharing app (https:  play google com store apps details id com oakstar fliktu hl en) emailed me because wallabag was having FC while trying to save a link  That s what he discovered : 
  Basically  it replaces the share menu by having you select it as default  The best I could tell  the issue arose because when you choose to  bag it   the share menu pops up a second time asking which browser to use  Since Fliktu was selected as my default browser   but is not  in fact  a browser   Wallabag would crash  
  I went ahead and made a browser the default for the wallabag action  and now all is well   even with Fliktu engaged 
This should be put in some sort of FAQ while wallabag v2 comes out and the android app be updated 
</t>
  </si>
  <si>
    <t>SafeSlingerProject-SafeSlinger-Android-99</t>
  </si>
  <si>
    <t>force stop error on startup</t>
  </si>
  <si>
    <t xml:space="preserve">From Google Play:  Great concept but can sometimes crash 
 This app is great  so easy it can bring crypto to computer illiterate people (the kind that can barely operate a Mac) and the key slinging process is straightforward  However    on my Galaxy S5 SM G900M I had to clear all my data before getting it to work  as the app would force stop as soon as I opened it  As a result  this app for now requires backing up often  which can only be done with a rooted phone  which means a huge security hole must be opened in order to close the hole of insecure messaging  
App version 1 8 1 2
Galaxy S5 (klte)
</t>
  </si>
  <si>
    <t>cgeo-cgeo-4651</t>
  </si>
  <si>
    <t>Crash on export GPX from imported benchmark *.loc</t>
  </si>
  <si>
    <t xml:space="preserve">From support mail:
A   loc file of US benchmarks as selected and downloaded from Geocaching com  with no modifications  will import fine  But then try to export  c:Geo crashes and an empty export file is created 
Version 2015 01 20
</t>
  </si>
  <si>
    <t>cgeo-cgeo-4647</t>
  </si>
  <si>
    <t>Crash on startup on an Android 3.2.1 device</t>
  </si>
  <si>
    <t xml:space="preserve">There is a report on support mail from a user with a device running Android 3 2 1 where c:geo crashed on startup  Various clean reinstallation did not solve the problem  I am unable to test because I don t have a 3 x device 
A log has been send to cgeo dev some minutes ago 
</t>
  </si>
  <si>
    <t>h6ah4i-android-openslmediaplayer-4</t>
  </si>
  <si>
    <t>Native API example app crashes when "Don't keep activities" option is enabled</t>
  </si>
  <si>
    <t xml:space="preserve">The C   native API example app crashes when  Don t keep activities  developer option is enabled 
</t>
  </si>
  <si>
    <t>h6ah4i-android-advancedrecyclerview-3</t>
  </si>
  <si>
    <t>ClassCastException bug</t>
  </si>
  <si>
    <t xml:space="preserve"> Feb  2  2015   I ve got a crash report on Developer Console 
  Application version: 0 6
  Android version: Android 5 0
  Device: Nexus 5 (hammerhead)
java lang ClassCastException: com h6ah4i android example advrecyclerview demo eds MyExpandableDraggableSwipeableItemAdapter MyChildViewHolder cannot be cast to com h6ah4i android example advrecyclerview demo eds MyExpandableDraggableSwipeableItemAdapter MyGroupViewHolder
at com h6ah4i android example advrecyclerview demo eds MyExpandableDraggableSwipeableItemAdapter onSetGroupItemSwipeBackground(MyExpandableDraggableSwipeableItemAdapter java:38)
at com h6ah4i android widget advrecyclerview expandable ExpandableRecyclerViewWrapperAdapter onSetSwipeBackground(ExpandableRecyclerViewWrapperAdapter java:373)
at com h6ah4i android widget advrecyclerview swipeable SwipeableItemWrapperAdapter setSwipeBackgroundDrawable(SwipeableItemWrapperAdapter java:200)
at com h6ah4i android widget advrecyclerview swipeable RecyclerViewSwipeManager applySlideItem(RecyclerViewSwipeManager java:525)
at com h6ah4i android widget advrecyclerview swipeable SwipeableItemWrapperAdapter onBindViewHolder(SwipeableItemWrapperAdapter java:129)
at android support v7 widget RecyclerView Adapter bindViewHolder(RecyclerView java:4138)
at android support v7 widget RecyclerView Recycler getViewForPosition(RecyclerView java:3448)
at android support v7 widget RecyclerView Recycler getViewForPosition(RecyclerView java:3340)
at android support v7 widget LinearLayoutManager LayoutState next(LinearLayoutManager java:1810)
at android support v7 widget LinearLayoutManager layoutChunk(LinearLayoutManager java:1306)
at android support v7 widget LinearLayoutManager fill(LinearLayoutManager java:1269)
at android support v7 widget LinearLayoutManager scrollBy(LinearLayoutManager java:1097)
at android support v7 widget LinearLayoutManager scrollVerticallyBy(LinearLayoutManager java:957)
at android support v7 widget RecyclerView scrollByInternal(RecyclerView java:985)
at android support v7 widget RecyclerView scrollBy(RecyclerView java:954)
at com h6ah4i android widget advrecyclerview draggable RecyclerViewDragDropManager scrollByYAndGetScrolledAmount(RecyclerViewDragDropManager java:603)
at com h6ah4i android widget advrecyclerview draggable RecyclerViewDragDropManager handleScrollOnDragging(RecyclerViewDragDropManager java:570)
at com h6ah4i android widget advrecyclerview draggable RecyclerViewDragDropManager ScrollOnDraggingProcessRunnable run(RecyclerViewDragDropManager java:827)
at android view Choreographer CallbackRecord run(Choreographer java:767)
at android view Choreographer doCallbacks(Choreographer java:580)
at android view Choreographer doFrame(Choreographer java:549)
at android view Choreographer FrameDisplayEventReceiver run(Choreographer java:753)
at android os Handler handleCallback(Handler java:739)
at android os Handler dispatchMessage(Handler java:95)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t>
  </si>
  <si>
    <t>the-blue-alliance-the-blue-alliance-android-311</t>
  </si>
  <si>
    <t>Notification Settings Fragment NPE</t>
  </si>
  <si>
    <t xml:space="preserve">From Play Store crash report (v2 0 17):
java lang NullPointerException
at com thebluealliance androidclient fragments mytba NotificationSettingsFragment getSettings(NotificationSettingsFragment java:95)
at com thebluealliance androidclient activities FABNotificationSettingsActivity onClick(FABNotificationSettingsActivity java:172)
at android view View performClick(View java:4456)
at android view View PerformClick run(View java:18462)
at android os Handler handleCallback(Handler java:733)
at android os Handler dispatchMessage(Handler java:95)
at android os Looper loop(Looper java:136)
at android app ActivityThread main(ActivityThread java:5086)
at java lang reflect Method invokeNative(Native Method)
at java lang reflect Method invoke(Method java:515)
at com android internal os ZygoteInit MethodAndArgsCaller run(ZygoteInit java:785)
at com android internal os ZygoteInit main(ZygoteInit java:601)
at de robv android xposed XposedBridge main(XposedBridge java:132)
at dalvik system NativeStart main(Native Method)
</t>
  </si>
  <si>
    <t>libgdx-libgdx-2807</t>
  </si>
  <si>
    <t>AndroidInput.onKey exception: java.lang.ArrayIndexOutOfBoundsException</t>
  </si>
  <si>
    <t xml:space="preserve">Get new crash in the wild  Several devices with Android 4 0 3 and 4 2 2  Reports are from the field (China) so no minimal example  Stacktrace:
 pre  code java lang ArrayIndexOutOfBoundsException: length 256  index 1027
       at com badlogic gdx backends android AndroidInput onKey(AndroidInput java:496)
       at android view View dispatchKeyEvent(View java:5495)
       at android view ViewGroup dispatchKeyEvent(ViewGroup java:1246)
       at android view ViewGroup dispatchKeyEvent(ViewGroup java:1246)
       at android view ViewGroup dispatchKeyEvent(ViewGroup java:1246)
       at com android internal policy impl PhoneWindow DecorView superDispatchKeyEvent(PhoneWindow java:1921)
       at com android internal policy impl PhoneWindow superDispatchKeyEvent(PhoneWindow java:1363)
       at android app Activity dispatchKeyEvent(Activity java:2324)
       at com android internal policy impl PhoneWindow DecorView dispatchKeyEvent(PhoneWindow java:1848)
       at android view ViewRootImpl deliverKeyEventPostIme(ViewRootImpl java:3327)
       at android view ViewRootImpl handleFinishedEvent(ViewRootImpl java:3300)
       at android view ViewRootImpl handleMessage(ViewRootImpl java:2460)
       at android os Handler dispatchMessage(Handler java:99)
       at android os Looper loop(Looper java:137)
       at android app ActivityThread main(ActivityThread java:4424)
       at java lang reflect Method invokeNative(Method java)
       at java lang reflect Method invoke(Method java:511)
       at com android internal os ZygoteInit MethodAndArgsCaller run(ZygoteInit java:787)
       at com android internal os ZygoteInit main(ZygoteInit java:554)
       at dalvik system NativeStart main(NativeStart java)
  code   pre 
</t>
  </si>
  <si>
    <t>duckduckgo-android-search-and-stories-148</t>
  </si>
  <si>
    <t xml:space="preserve">2015 Redesign Feedback: </t>
  </si>
  <si>
    <t xml:space="preserve">   Initial reactions and thoughts
  Wow the pics are way bigger  but I see less per page  I d sacrifice image size for more results per page 
  Even with bigger images  the full text (title description) for the story isn t fully readable  In most cases  following through to the article allows you to read that  but for Reddit Imgur you usually can t and so you miss out on the context of the image (the worst is when you rotate the display and it still gets cut off  I wish I could drag the article description down sideways to expand it and read it all)
  I thought clicking the category of the article (top right text) would filter the results to only those kinds of articles  Would be really useful 
  Not sure why we have a  menu  button (vertical dots) for each tile when long press shows the same content  I would expect long press to do more or remove the button for more text space 
  Tagging the article as a picture or video (in the same manner as how we ve labelled the category) would be really sweet  I usually can t tell if an article is going to link to a video or a picture or a website with more to read
  After clicking the search box while viewing an image  the article disappears  Why 
    Tried it again  I see now that we re showing recent searches there  That wasn t clear
   Bugs:
  Woah  Holding down on the top right  Menu  button continuously opens new copies of the menu  Caused the app to crash 
   Recents  view seems broken 
    Images aren t loading
    Small grey box in top right corner where category label text should be
  The detail view for IA tiles adds a black line below the search box    is that intentional 
   View in Browser  lists DuckDuckGo app as a browser you can view in    seems redundant
  After clicking menu button beside search box  the 3 item menu has a scrollbar that seems unnecessary (there s nowhere to scroll)
    Seems like the links to  Recents  and  Favourites  are missing from that menu 
  Favourites section has 2 tabs  ( favourites  and  favourite searches ) but both give the same description:
     Add searches and stories to your favourites   they ll appear here 
    What s the difference between the tabs 
</t>
  </si>
  <si>
    <t>akvo-akvo-flow-mobile-258</t>
  </si>
  <si>
    <t>Global state missing after crash recovery</t>
  </si>
  <si>
    <t xml:space="preserve">Upon an unforeseen app crash  the Android environment attempts to recover the previous state and ongoing activities  However  if the FLOW app is set not to automatically log in the last user  this part of the global state will not be properly loaded 
Since most of the activities assume the user is logged in (except main screen)  this can potentially result in an unexpected NPE    blindly assuming the  User  object can be read from the  FlowApp  component 
To go around this situation  we ll need to explicitly load the user after an app crash 
 Note: Obviously the crash should not happen in the first place  but we must relent this behaviour while we find potential scenarios whereby the app could crash  
</t>
  </si>
  <si>
    <t>unfoldingWord-dev-uw-android-37</t>
  </si>
  <si>
    <t>Crashes on attempted open</t>
  </si>
  <si>
    <t xml:space="preserve">Jesse Griffin may have notified you already about this but my unfoldingWord program on the Nexus 7 crashed upon an attempted open  It then opens a dialog box offering to submit a bug report  I have submitted one on the tablet  
The tablet is Nexus 7  Andriod version 5 0 2  Kernel Version 3 4 0 g154bef4  Build number LRX22G 
</t>
  </si>
  <si>
    <t>eugenkiss-chanobol-101</t>
  </si>
  <si>
    <t>Crash: Renderscript</t>
  </si>
  <si>
    <t xml:space="preserve">Simply catch this exception inside  updateToolbarShadow  and don t draw a shadow 
android support v8 renderscript RSRuntimeException: Failure to create platform RenderScript context
   at android support v8 renderscript RenderScriptThunker create(RenderScriptThunker java:68)
   at android support v8 renderscript RenderScript create(RenderScript java:997)
   at android support v8 renderscript RenderScript create(RenderScript java:1055)
   at android support v8 renderscript RenderScript create(RenderScript java:1041)
   at anabolicandroids chanobol util Util blur(Util java:184)
   at anabolicandroids chanobol ui images ImageFragment updateToolbarShadow(ImageFragment java:137)
   at anabolicandroids chanobol ui images ImageFragment access 000(ImageFragment java:25)
   at anabolicandroids chanobol ui images ImageFragment 1 run(ImageFragment java:82)
   at android os Handler handleCallback(Handler java:739)
   at android os Handler dispatchMessage(Handler java:95)
   at android os Looper loop(Looper java:135)
   at android app ActivityThread main(ActivityThread java:5239)
   at java lang reflect Method invoke(Method java)
   at java lang reflect Method invoke(Method java:372)
   at com android internal os ZygoteInit MethodAndArgsCaller run(ZygoteInit java:899)
   at com android internal os ZygoteInit main(ZygoteInit java:694)
See http:  crashes to s 69336c7a6c4
</t>
  </si>
  <si>
    <t>lgallard-qBittorrent-Controller-18</t>
  </si>
  <si>
    <t>Check crash with navigationDrawerItemTitles or ic_drawer_* files</t>
  </si>
  <si>
    <t xml:space="preserve">Check crash with navigationDrawerItemTitles or ic drawer    files on some devices
</t>
  </si>
  <si>
    <t>bumptech-glide-331</t>
  </si>
  <si>
    <t>java.lang.NullPointerException at com.bumptech.glide.util.Util.getBitmapByteSize</t>
  </si>
  <si>
    <t xml:space="preserve">Using glide 3 5 1  crashing a lot when  onTrimMemory  is triggered 
  E AndroidRuntime( 8832): java lang NullPointerException
  E AndroidRuntime( 8832):    at com bumptech glide util Util getBitmapByteSize(Util java:79)
  E AndroidRuntime( 8832):    at com bumptech glide load engine bitmap recycle SizeStrategy getSize(SizeStrategy java:86)
  E AndroidRuntime( 8832):    at com bumptech glide load engine bitmap recycle LruBitmapPool trimToSize(LruBitmapPool java:171)
  E AndroidRuntime( 8832):    at com bumptech glide load engine bitmap recycle LruBitmapPool clearMemory(LruBitmapPool java:154)
  E AndroidRuntime( 8832):    at com bumptech glide load engine bitmap recycle LruBitmapPool trimMemory(LruBitmapPool java:161)
  E AndroidRuntime( 8832):    at com bumptech glide Glide trimMemory(Glide java:381)
</t>
  </si>
  <si>
    <t>pattch-PicToPoly-5</t>
  </si>
  <si>
    <t>Triangulation Persists on setImage</t>
  </si>
  <si>
    <t xml:space="preserve">I think that when you add points to a triangulation with an Image  then open an Image take a picture  the Triangulation from the previous image persists  this is a problem  because it can cause the app to crash and points remain when they shouldn t 
</t>
  </si>
  <si>
    <t>braintree-braintree_android-20</t>
  </si>
  <si>
    <t>Crash on SDK 10 in FloatingLabelEditText when trying to focus next field.</t>
  </si>
  <si>
    <t xml:space="preserve">When the CardEditText tries to move the focus to the next field on an Android 2 3 device (SDK 10)  a crash is experienced:
FATAL EXCEPTION: main
java lang IllegalArgumentException: direction must be one of  FOCUS UP  FOCUS DOWN  FOCUS LEFT  FOCUS RIGHT  
        at android view FocusFinder isCandidate(FocusFinder java:263)
        at android view FocusFinder isBetterCandidate(FocusFinder java:163)
        at android view FocusFinder findNextFocus(FocusFinder java:141)
        at android view FocusFinder findNextFocus(FocusFinder java:93)
        at android view ViewGroup focusSearch(ViewGroup java:476)
        at android view ViewGroup focusSearch(ViewGroup java:478)
        at android view ViewGroup focusSearch(ViewGroup java:478)
        at android view ViewGroup focusSearch(ViewGroup java:478)
        at android view ViewGroup focusSearch(ViewGroup java:478)
        at android view ViewGroup focusSearch(ViewGroup java:478)
        at android view ViewGroup focusSearch(ViewGroup java:478)
        at android view ViewGroup focusSearch(ViewGroup java:478)
        at android view ViewGroup focusSearch(ViewGroup java:478)
        at android view View focusSearch(View java:3494)
        at com braintreepayments cardform view FloatingLabelEditText focusNext(FloatingLabelEditText java:168)
        at com braintreepayments cardform view CardEditText afterTextChanged(CardEditText java:83)
        at android widget TextView sendAfterTextChanged(TextView java:6330)
This happens on an HTX Nexus One running Android 2 3 6  I am using version 1 3 0 of the Braintree SDK 
</t>
  </si>
  <si>
    <t>eugenkiss-chanobol-102</t>
  </si>
  <si>
    <t>Crash: Gridlayout</t>
  </si>
  <si>
    <t xml:space="preserve">http:  crashes to s ab6f7c6ba44
java lang IllegalArgumentException: Span count should be at least 1  Provided 0
   at android support v7 widget GridLayoutManager setSpanCount(GridLayoutManager java:557)
   at anabolicandroids chanobol util Util 1 onGlobalLayout(Util java:140)
   at android view ViewTreeObserver dispatchOnGlobalLayout(ViewTreeObserver java:819)
   at android view ViewRootImpl performTraversals(ViewRootImpl java:1782)
   at android view ViewRootImpl doTraversal(ViewRootImpl java:1000)
   at android view ViewRootImpl TraversalRunnable run(ViewRootImpl java:5622)
   at android view Choreographer CallbackRecord run(Choreographer java:761)
   at android view Choreographer doCallbacks(Choreographer java:574)
   at android view Choreographer doFrame(Choreographer java:544)
   at android view Choreographer FrameDisplayEventReceiver run(Choreographer java:747)
   at android os Handler handleCallback(Handler java:733)
   at android os Handler dispatchMessage(Handler java:95)
   at android os Looper loop(Looper java:212)
   at android app ActivityThread main(ActivityThread java:5135)
   at java lang reflect Method invokeNative(Method java)
   at java lang reflect Method invoke(Method java:515)
   at com android internal os ZygoteInit MethodAndArgsCaller run(ZygoteInit java:877)
   at com android internal os ZygoteInit main(ZygoteInit java:693)
   at dalvik system NativeStart main(NativeStart java)
</t>
  </si>
  <si>
    <t>ikarus23-MifareClassicTool-52</t>
  </si>
  <si>
    <t>MCT crashes on HTC One (m7/m8) after updating to Lollipop</t>
  </si>
  <si>
    <t xml:space="preserve">MCT has always been working flawless on my HTC M8 pre lollipop  This weekend I updated the device to 5 0   since then MCT crashes immediately when reading or writing to a tag  
</t>
  </si>
  <si>
    <t>aikuma-aikuma-388</t>
  </si>
  <si>
    <t>About screen causes crash</t>
  </si>
  <si>
    <t xml:space="preserve">Accessing the  About  screen causes the app to crash 
</t>
  </si>
  <si>
    <t>libgdx-libgdx-2833</t>
  </si>
  <si>
    <t>TmxMapLoader: flipped tiled object &amp; loader crash</t>
  </si>
  <si>
    <t xml:space="preserve">The TmxMapLoader crashes when loading a map containing a flipped tiled object 
This is the error:
  Exception in thread  LWJGL Application  java lang NumberFormatException: For input string:  2147483751 
      at java lang NumberFormatException forInputString(NumberFormatException java:65)
      at java lang Integer parseInt(Integer java:495)
      at java lang Integer parseInt(Integer java:527)
      at com badlogic gdx utils XmlReader Element getIntAttribute(XmlReader java:645)
      at com badlogic gdx maps tiled BaseTmxMapLoader loadObject(BaseTmxMapLoader java:202)
      at com badlogic gdx maps tiled BaseTmxMapLoader loadObjectGroup(BaseTmxMapLoader java:114)
      at com badlogic gdx maps tiled TmxMapLoader loadTilemap(TmxMapLoader java:202)
      at com badlogic gdx maps tiled TmxMapLoader load(TmxMapLoader java:89)
      at com fede0d gengine maps LevelLoader load(LevelLoader java:38)
      at com fede0d gengine maps LevelLoader load(LevelLoader java:32)
      at com fede0d gengine screens LevelScreen loadMap(LevelScreen java:35)
      at com fede0d gengine classes Screens loadMaps(Screens java:63)
      at com fede0d gengine classes Screens load(Screens java:32)
      at com fede0d gengine classes Screens  init (Screens java:26)
      at com fede0d gengine classes GameClass create(GameClass java:32)
      at com badlogic gdx backends lwjgl LwjglApplication mainLoop(LwjglApplication java:143)
      at com badlogic gdx backends lwjgl LwjglApplication 1 run(LwjglApplication java:120)
Steps to reproduce the issue:
  In Tiled create an object layer 
  Select the  Insert Tile  tool 
  Select a tile from the tileset and insert it in the new layer 
  Select the created object and flip it the x or y coordinate
  Load the map in LibGdx 
According to the  TMX Map Format (https:  github com bjorn tiled wiki TMX Map Format tile flipping) the flip information of the tile is being saved withing the gid property for the tile 
In my case the object was saved as   object id  80  name  ASDASDSD  gid  2147483751  x  66  y  626      and this number can t be parsed by the Integer class in Java and results in an exception 
Note that when not fliped the gid number is saved as an integer   object id  80  name  ASDASDSD  gid  103  x  66  y  626     and the exception doesn t happen 
</t>
  </si>
  <si>
    <t>cgeo-cgeo-4665</t>
  </si>
  <si>
    <t>Stack overflow after scanning for map files</t>
  </si>
  <si>
    <t xml:space="preserve">From support mail and corresponding stacktrace derived from Googe Play:
cgeo 2015 01 20
  Open Settings   Map   Offline map folder
  Directory scan is performed
  If the scan ends c:geo crashes
I can not reproduce this on my device 
Maybe related to the amount of files dirs returned by the scanner 
Stacktrace:
java lang StackOverflowError
at java lang AbstractStringBuilder enlargeBuffer(AbstractStringBuilder java:95)
at java lang AbstractStringBuilder append0(AbstractStringBuilder java:145)
at java lang StringBuilder append(StringBuilder java:216)
at java io File join(File java:215)
at java io File  init (File java:157)
at java io File  init (File java:124)
at java io File filenamesToFiles(File java:850)
at java io File listFiles(File java:789)
at cgeo geocaching utils FileUtils listDir(FileUtils java:40)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utils FileUtils listDir(FileUtils java:66)
at cgeo geocaching files AbstractFileListActivity SearchFilesThread listDirs(AbstractFileListActivity java:195)
at cgeo geocaching files AbstractFileListActivity SearchFilesThread run(AbstractFileListActivity java:170)
</t>
  </si>
  <si>
    <t>dm77-barcodescanner-55</t>
  </si>
  <si>
    <t>Crash: setParameters failed</t>
  </si>
  <si>
    <t xml:space="preserve">I got the following crash in our crashlytics:
java lang RuntimeException: Unable to resume activity  xxxxx xxxxx activity ScannerActivity : java lang RuntimeException: setParameters failed
       at android app ActivityThread performResumeActivity(ActivityThread java:2854)
       at android app ActivityThread handleResumeActivity(ActivityThread java:2883)
       at android app ActivityThread H handleMessage(ActivityThread java:1340)
       at android os Handler dispatchMessage(Handler java:99)
       at android os Looper loop(Looper java:213)
       at android app ActivityThread main(ActivityThread java:5225)
       at java lang reflect Method invokeNative(Method java)
       at java lang reflect Method invoke(Method java:525)
       at com android internal os ZygoteInit MethodAndArgsCaller run(ZygoteInit java:741)
       at com android internal os ZygoteInit main(ZygoteInit java:557)
       at dalvik system NativeStart main(NativeStart java)
Caused by: java lang RuntimeException: setParameters failed
       at android hardware Camera native setParameters(Camera java)
       at android hardware Camera setParameters(Camera java:1551)
       at me dm7 barcodescanner core BarcodeScannerView setFlash(SourceFile:91)
       at xxxxx activity ScannerActivity onResume(SourceFile:69)
       at android app Instrumentation callActivityOnResume(Instrumentation java:1192)
       at android app Activity performResume(Activity java:5211)
       at android app ActivityThread performResumeActivity(ActivityThread java:2844)
       at android app ActivityThread handleResumeActivity(ActivityThread java:2883)
       at android app ActivityThread H handleMessage(ActivityThread java:1340)
       at android os Handler dispatchMessage(Handler java:99)
       at android os Looper loop(Looper java:213)
       at android app ActivityThread main(ActivityThread java:5225)
       at java lang reflect Method invokeNative(Method java)
       at java lang reflect Method invoke(Method java:525)
       at com android internal os ZygoteInit MethodAndArgsCaller run(ZygoteInit java:741)
       at com android internal os ZygoteInit main(ZygoteInit java:557)
       at dalvik system NativeStart main(NativeStart java)
  dm77 crashlytics 02 (https:  cloud githubusercontent com assets 10939801 6126312 94fd5994 b11f 11e4 8567 e83a22284cf7 png)
</t>
  </si>
  <si>
    <t>nerzhul-ncsms-android-30</t>
  </si>
  <si>
    <t>Crashing app when syncing</t>
  </si>
  <si>
    <t xml:space="preserve">Hi 
First of all  thks for your work  i was looking for this kind of software for a long time  
I just got a little problem : when i start syncing  app crashes after some seconds displaying :  Unfortunatly  owncloud SMS  has stopped   ( this kind of android system error : http:  www ekoob com wp content uploads 2012 07 app has stopped crashed android nexus 7 png ) 
Above  you ll find information about my client server configuration 
Btw  I ve got a bit more than 25000 sms to sync   
Server
ownCloud version: 7 0 4
PHP version: 5 4
HTTPd server: Apache
HTTPS: wat do you mean   :)
Client
Android version: 4 2 2
Phone: Samsung galaxy S2
ownCloud SMS app version: 0 16 1
Thks a lot and have a nice day :) 
</t>
  </si>
  <si>
    <t>segmentio-analytics-android-172</t>
  </si>
  <si>
    <t>QueueFile crash</t>
  </si>
  <si>
    <t xml:space="preserve">We recently added the Segment IO SDK into our application  Since then we have seen an increasing number of crashes caused within the SDK due to Tape  It appears that an exception is being thrown but not handled 
This crash is now the 2nd most prevalent crash in our application 
Below is the stack trace we are getting via HockeyApp:
com squareup tape FileException: Failed to remove 
    at com squareup tape FileObjectQueue remove(SourceFile:68)
    at com segment analytics Segment performFlush(SourceFile:123)
    at com segment analytics Segment SegmentHandler handleMessage(SourceFile:181)
    at android os Handler dispatchMessage(Handler java:99)
    at android os Looper loop(Looper java:137)
    at android os HandlerThread run(HandlerThread java:60)
Caused by: java io EOFException
    at java io RandomAccessFile readFully(RandomAccessFile java:419)
    at com squareup tape QueueFile ringRead(SourceFile:269)
    at com squareup tape QueueFile remove(SourceFile:506)
    at com squareup tape FileObjectQueue remove(SourceFile:65)
        5 more
While trying to debug it internally we also hit the following issue  however we re not sure if it is related:
 java lang ArrayIndexOutOfBoundsException: length 4096  regionStart 0  regionLength  1629
            at java util Arrays checkOffsetAndCount(Arrays java:1719)
            at libcore io IoBridge write(IoBridge java:491)
            at java io RandomAccessFile write(RandomAccessFile java:688)
            at com segment analytics QueueFile ringWrite(QueueFile java:242)
            at com segment analytics QueueFile ringErase(QueueFile java:251)
            at com segment analytics QueueFile remove(QueueFile java:532)
            at com segment analytics Segment performFlush(Segment java:151)
            at com segment analytics Segment SegmentHandler handleMessage(Segment java:301)
            at android os Handler dispatchMessage(Handler java:102)
            at android os Looper loop(Looper java:135)
            at android os HandlerThread run(HandlerThread java:61)
We are using the Core library version 2 5 3 
</t>
  </si>
  <si>
    <t>ConnectSDK-Connect-SDK-Android-209</t>
  </si>
  <si>
    <t>ConcurrentModificationException in DefaultConnectableDeviceStore</t>
  </si>
  <si>
    <t xml:space="preserve">Just recently experienced a crashing issue in DefaultConnectableDeviceStore  Haven t been able to figure out the steps to reproduce  I m hoping one of you guys knows a bit more about Android threading than I do 
Here is the relevant part of my stack trace 
java util ConcurrentModificationException
       at java util HashMap HashIterator nextEntry(HashMap java:792)
       at java util HashMap EntryIterator next(HashMap java:829)
       at java util HashMap EntryIterator next(HashMap java:827)
       at org json JSONObject writeTo(JSONObject java:666)
       at org json JSONStringer value(JSONStringer java:237)
       at org json JSONObject writeTo(JSONObject java:667)
       at org json JSONObject toString(JSONObject java:636)
       at com connectsdk device DefaultConnectableDeviceStore 1 run(DefaultConnectableDeviceStore java:375)
       at com connectsdk core Util runInBackground(Util java:69)
       at com connectsdk core Util runInBackground(Util java:75)
       at com connectsdk device DefaultConnectableDeviceStore writeStoreToDisk(DefaultConnectableDeviceStore java:363)
       at com connectsdk device DefaultConnectableDeviceStore store(DefaultConnectableDeviceStore java:356)
       at com connectsdk device DefaultConnectableDeviceStore addDevice(DefaultConnectableDeviceStore java:139)
</t>
  </si>
  <si>
    <t>SCCapstone-IArch-54</t>
  </si>
  <si>
    <t>Gallery crash</t>
  </si>
  <si>
    <t xml:space="preserve">Gallery crashes if the user clicks on an image that does not have a datastore record attached to it  or if the data is invalid 
</t>
  </si>
  <si>
    <t>unfoldingWord-dev-uw-android-38</t>
  </si>
  <si>
    <t>App Crashes on Catalog Update</t>
  </si>
  <si>
    <t xml:space="preserve">The 79 build crashes the first 2 times you try to update the projects from within the app   The third time works 
</t>
  </si>
  <si>
    <t>eugenkiss-chanobol-103</t>
  </si>
  <si>
    <t>Crash: LG onKeyUpPanel</t>
  </si>
  <si>
    <t xml:space="preserve">http:  crashes to s e5a95356f79
See the following workaround http:  stackoverflow com a 27024610 283607
</t>
  </si>
  <si>
    <t>MythTV-Clients-MythtvPlayerForAndroid-3</t>
  </si>
  <si>
    <t>Problem initiating a transcode on a slave backend.</t>
  </si>
  <si>
    <t xml:space="preserve">Apologies in advance   I do not yet have a stack trace for this   I will get one 
When I try to queue an HLS transcode of a recording made on a slave backend I get a failure indicating that some java component timed out trying to reach the slave backend after resolving the name of the machine to an IP address   The IP address that was retrieved was incorrect because it is all internal to my network and I do not have a complete DNS solution for my internal boxes  The transcode never starts and eventually mythtvPlayer crashed 
So  why am I posting about the problem here   Because I used the mythweb:6544 interface in a web browser and selected the same recording for streaming   The transcode started and I was able to view the recording in JWPlayer 
Also interestingly  after mythweb:6544 started the transcode I was able to select that recording in myththPlayer and it  knew  that a transcoded stream was available and was able to play it 
Obviously the DNS issues on my internal network are NOT your issue but the fact that mythweb:6544 was able to queue the transcode makes me wonder if mythtvPlayer could do that also 
</t>
  </si>
  <si>
    <t>JDNdeveloper-Off-By-One-38</t>
  </si>
  <si>
    <t>Alarm receiver boot crash</t>
  </si>
  <si>
    <t xml:space="preserve">App crashes after phone boots  Not on launch  Phone boots  launching receiver  that causes the app to be launched and crashes 
</t>
  </si>
  <si>
    <t>h6ah4i-android-openslmediaplayer-5</t>
  </si>
  <si>
    <t>Nullpointer exception</t>
  </si>
  <si>
    <t xml:space="preserve">While playing around a bit with the playstore version this crash occured: Cant reproduce 
 pre  code E AndroidRuntime(19961): Process: com h6ah4i android example openslmediaplayer  PID: 19961
E AndroidRuntime(19961): java lang NullPointerException
E AndroidRuntime(19961):    at com h6ah4i android example openslmediaplayer app utils NotificationBuilder createServiceNotification(NotificationBuilder java:48)
E AndroidRuntime(19961):    at com h6ah4i android example openslmediaplayer app model GlobalAppController checkAndUpdateForegroundState(GlobalAppController java:1934)
E AndroidRuntime(19961):    at com h6ah4i android example openslmediaplayer app model GlobalAppController onPlayerStateChanged(GlobalAppController java:1369)
E AndroidRuntime(19961):    at com h6ah4i android example openslmediaplayer app model GlobalAppController setPlayerState(GlobalAppController java:1364)
E AndroidRuntime(19961):    at com h6ah4i android example openslmediaplayer app model GlobalAppController playerRelease(GlobalAppController java:841)
E AndroidRuntime(19961):    at com h6ah4i android example openslmediaplayer app model GlobalAppController releaseAllPlayerResources(GlobalAppController java:1693)
E AndroidRuntime(19961):    at com h6ah4i android example openslmediaplayer app model GlobalAppController onReceivePlayerControlEvent(GlobalAppController java:601)
E AndroidRuntime(19961):    at com h6ah4i android example openslmediaplayer app model GlobalAppController onReceiveAppEvent(GlobalAppController java:517)
E AndroidRuntime(19961):    at com h6ah4i android example openslmediaplayer app model GlobalAppController AppEventReceiver onReceiveAppEvent(GlobalAppController java:128)
E AndroidRuntime(19961):    at com h6ah4i android example openslmediaplayer app model GlobalAppController AppEventReceiver onReceiveAppEvent(GlobalAppController java:106)
E AndroidRuntime(19961):    at com h6ah4i android example openslmediaplayer app framework AppEventBus Receiver onReceive(AppEventBus java:50)
E AndroidRuntime(19961):    at android support v4 content LocalBroadcastManager executePendingBroadcasts(LocalBroadcastManager java:297)
E AndroidRuntime(19961):    at android support v4 content LocalBroadcastManager access 000(LocalBroadcastManager java:46)
E AndroidRuntime(19961):    at android support v4 content LocalBroadcastManager 1 handleMessage(LocalBroadcastManager java:116)
E AndroidRuntime(19961):    at android os Handler dispatchMessage(Handler java:102)
E AndroidRuntime(19961):    at android os Looper loop(Looper java:136)
E AndroidRuntime(19961):    at android app ActivityThread main(ActivityThread java:5146)
E AndroidRuntime(19961):    at java lang reflect Method invokeNative(Native Method)
E AndroidRuntime(19961):    at java lang reflect Method invoke(Method java:515)
E AndroidRuntime(19961):    at com android internal os ZygoteInit MethodAndArgsCaller run(ZygoteInit java:732)
E AndroidRuntime(19961):    at com android internal os ZygoteInit main(ZygoteInit java:566)
E AndroidRuntime(19961):    at dalvik system NativeStart main(Native Method)
W ActivityManager( 2021):   Force finishing activity com h6ah4i android example openslmediaplayer  app MainActivity
W ActivityManager( 2021): Activity pause timeout for ActivityRecord 422dd178 u0 com h6ah4i android example openslmediaplayer  app MainActivity t433 f   pre   code 
</t>
  </si>
  <si>
    <t>eugenkiss-chanobol-106</t>
  </si>
  <si>
    <t>Crash: NPE popBackStack</t>
  </si>
  <si>
    <t xml:space="preserve">http:  crashes to s 4b4fb56d18d
java lang NullPointerException: Attempt to invoke virtual method  void android support v4 app FragmentManager popBackStack()  on a null object reference
   at anabolicandroids chanobol ui posts PostsDialog 1 run(PostsDialog java:51)
   at android os Handler handleCallback(Handler java:739)
   at android os Handler dispatchMessage(Handler java:95)
   at android os Looper loop(Looper java:135)
   at android app ActivityThread main(ActivityThread java:5221)
   at java lang reflect Method invoke(Method java)
   at java lang reflect Method invoke(Method java:372)
   at com android internal os ZygoteInit MethodAndArgsCaller run(ZygoteInit java:899)
   at com android internal os ZygoteInit main(ZygoteInit java:694)
</t>
  </si>
  <si>
    <t>eugenkiss-chanobol-105</t>
  </si>
  <si>
    <t>Crash: RuntimeException Util.emitAllData when canceling requests</t>
  </si>
  <si>
    <t xml:space="preserve">See https:  github com koush ion issues 252 and https:  github com koush ion issues 422 and http:  crashes to s 189f5fd49c2
 java lang RuntimeException: Not all data was consumed by Util emitAllData
   at com koushikdutta async Util emitAllData(Util java:47)
   at com koushikdutta async FilteredDataEmitter onDataAvailable(FilteredDataEmitter java:56)
   at com koushikdutta async http cache ResponseCacheMiddleware CachedBodyEmitter spewInternal(ResponseCacheMiddleware java:428)
   at com koushikdutta async http cache ResponseCacheMiddleware 1 run(ResponseCacheMiddleware java:172)
   at com koushikdutta async AsyncServer lockAndRunQueue(AsyncServer java:708)
   at com koushikdutta async AsyncServer runLoop(AsyncServer java:725)
   at com koushikdutta async AsyncServer run(AsyncServer java:626)
   at com koushikdutta async AsyncServer access 700(AsyncServer java:41)
   at com koushikdutta async AsyncServer 13 run(AsyncServer java:568)
I ve seen this crash often enough now that I simply think I should comment  cancelAll  in  UiActivity  with a note that I should reenable it when the above issues are fixed 
</t>
  </si>
  <si>
    <t>SCCapstone-IArch-59</t>
  </si>
  <si>
    <t>Crash Taking Photo</t>
  </si>
  <si>
    <t xml:space="preserve">Very rarely when taking a photo and choosing to keep it you will get an app crash  Not sure at this time what the error is about  This photo will not open in the gallery  it will crash the app  Ideally this photo needs to be deleted when this happens 
</t>
  </si>
  <si>
    <t>rosjava-android_core-229</t>
  </si>
  <si>
    <t>cannot compile with the latest Indigo branch from rosjava</t>
  </si>
  <si>
    <t xml:space="preserve">I actually get the following error in catkin after a catkin make (and following properly the instructions of the tutorials):
       traversing 2 packages in topological order:
         android core
         android apps
       processing catkin package:  android core 
       add subdirectory(android core)
       processing catkin package:  android apps 
       add subdirectory(android apps)
   Configuring done
   Generating done
   Build files have been written to:  home vrabaud ros ws android ws android build
     Running command:  make  j4  l4  in   home vrabaud ros ws android ws android build 
Scanning dependencies of target gradle android core
FAILURE: Build failed with an exception 
  Where:
Build file   home vrabaud ros ws android ws android src android core build gradle  line: 25
  What went wrong:
A problem occurred evaluating root project  android core  
  org codehaus groovy runtime typehandling ShortTypeHandling
  Try:
Run with   stacktrace option to get the stack trace  Run with   info or   debug option to get more log output 
BUILD FAILED
Total time: 1 578 secs
make 2 :      android core CMakeFiles gradle android core  Error 1
make 1 :      android core CMakeFiles gradle android core dir all  Error 2
make:      all  Error 2
Invoking  make  j4  l4  failed
Now  I managed to track down the crash at this line in the Catkin plugin:
https:  github com rosjava rosjava bootstrap blob indigo gradle plugins src main groovy org ros gradle plugins CatkinPlugin groovy L167
The error is  Caused by: java lang NoClassDefFoundError: org codehaus groovy runtime typehandling ShortTypeHandling   It does not make sense as the rest of rosjava works fine with that plugin 
I am actually opening a bug because I believe something simpler is happening  rosjava got updated to the latest gradle in https:  github com rosjava rosjava bootstrap commit 7d47ee42b4a00dd4bbceac80785b6e210fcab9ec but not the android    packages  cf https:  github com rosjava android core blob indigo build gradle L18  BTW  a new gradle actually got released today  cf https:  github com rosjava rosjava bootstrap issues 42
Thx  
</t>
  </si>
  <si>
    <t>smartEKG-SmartEKG-1</t>
  </si>
  <si>
    <t>offline files name and devices name are mixed</t>
  </si>
  <si>
    <t xml:space="preserve">this cause crash if device can t be selected
</t>
  </si>
  <si>
    <t>bumptech-glide-347</t>
  </si>
  <si>
    <t>java.lang.NullPointerException at com.bumptech.glide.manager.RequestTracker.clearRequests (RequestTracker.java:80)</t>
  </si>
  <si>
    <t xml:space="preserve">Sorry I can t give more context as to how when this happened  just got picked up by our crash tracker
Caused by: java lang NullPointerException
       at com bumptech glide manager RequestTracker clearRequests(RequestTracker java:80)
       at com bumptech glide RequestManager onDestroy(RequestManager java:190)
       at com bumptech glide manager ActivityFragmentLifecycle onDestroy(ActivityFragmentLifecycle java:62)
       at com bumptech glide manager RequestManagerFragment onDestroy(RequestManagerFragment java:69)
       at android app Fragment performDestroy(Fragment java:1913)
</t>
  </si>
  <si>
    <t>SCCapstone-IArch-66</t>
  </si>
  <si>
    <t>Photo Management Issue</t>
  </si>
  <si>
    <t xml:space="preserve">I just realized that our fix to the gallery crash problem was not allowing anyone to take pictures without being logged in which would mean no local photos would be in the gallery  I can manually go into the Android file system though and put any picture I want in the IArch folder  This places the photo in the gallery but crashes the app when selected  Not that this is something a ton of people are going to do  but if its a possibility it might not be the best work around 
</t>
  </si>
  <si>
    <t>libgdx-gdx-video-3</t>
  </si>
  <si>
    <t>Starting VideoPlayer from libgdx render thread</t>
  </si>
  <si>
    <t xml:space="preserve">Hello 
i use the VideoPlayer in a Screen 
I do vPlayer   VideoPlayerCreator createVideoPlayer()   
vPlayer play(   ) 
in the initialize method (method which is called before the screen switch)
If i do this   no events are called  
I figured out that this is due to the fact that there is no Looper on LibGdx render thread 
So i added a handler to initialize and start the player  
But the rendering then crashes on vPlayer render() because there is a different GL context on textures for the mediaplayer 
I also try to call Looper prepare() on the render thread but i get error that only one looper can exist 
Can you please suggest how can i create a working video player on a render thread of LibGDX game screen 
Thanx
</t>
  </si>
  <si>
    <t>geopaparazzi-geopaparazzi-233</t>
  </si>
  <si>
    <t>crash when taking pictures</t>
  </si>
  <si>
    <t xml:space="preserve">I randomly get crashes when logging and taking pictures  I get a 
StaleDataException: Attempted to access a cursor after it has been closed 
and am not sure where it occurrs  Looks like in the Camera merdia images query 
</t>
  </si>
  <si>
    <t>JusticeRage-ApkTrack-14</t>
  </si>
  <si>
    <t>Multiple Crashes</t>
  </si>
  <si>
    <t xml:space="preserve">The app crashes when I try to reload the list of installed apps  As well as when I check for updates  The crashing seems random other then each time I want to reload my installed app list  I am running android 4 4 4 on a Sony Xperia Z1
</t>
  </si>
  <si>
    <t>Stuart-campbell-RushOrm-7</t>
  </si>
  <si>
    <t>SQL Error when updating objects</t>
  </si>
  <si>
    <t xml:space="preserve">First  thanks for your great work  I m planning to use your framework for my next app  
I m having the following issue: When I create objects with parent child relationship  store them  load them again  change something and store them again the framework crashes with a SQL Error  See the following minimal working example:
public class Child extends RushObject  
    private String string 
    public Child(String string)  
        this string   string 
    public Child()  
    public String getString()  
        return string 
    public void setString(String string)  
        this string   string 
public class Parent extends RushObject  
     RushList(classname    de test testrushorm Child )
    private List Child  children 
    public Parent()  
        this children   new ArrayList Child () 
    public boolean add(Child child)  
        return children add(child) 
    public boolean remove(Child child)  
        return children remove(child) 
    public List Child  getChildren()  
        return children 
public class MainActivity extends ActionBarActivity  
     Override
    protected void onCreate(Bundle savedInstanceState)  
        super onCreate(savedInstanceState) 
        setContentView(R layout activity main) 
        Parent parent   new Parent() 
        parent save() 
        Child firstChild   new Child() 
        firstChild save() 
        Child secondChild   new Child() 
        secondChild save() 
        parent add(firstChild) 
        parent add(secondChild) 
        parent save() 
        parent   new RushSearch() find(Parent class) get(0) 
        parent getChildren() get(0) setString( test1 ) 
        parent save() 
Stacktrace:
java lang RuntimeException: Unable to start activity ComponentInfo de test testrushorm de test testrushorm MainActivity : co uk rushorm core exceptions RushSqlException: This is most likely caused by a change in data structure or new RushObject 
    This issue should be resolved by a database migration 
    This can be done by updating db version number in the manifest or setting Rush in debug mode 
    To set Rush in debug mode add this to your manifest file    meta data android:name  Rush debug  android:value  true    
            at android app ActivityThread performLaunchActivity(ActivityThread java:2078)
            at android app ActivityThread handleLaunchActivity(ActivityThread java:2103)
            at android app ActivityThread access 600(ActivityThread java:137)
            at android app ActivityThread H handleMessage(ActivityThread java:1211)
            at android os Handler dispatchMessage(Handler java:99)
            at android os Looper loop(Looper java:137)
            at android app ActivityThread main(ActivityThread java:4827)
            at java lang reflect Method invokeNative(Native Method)
            at java lang reflect Method invoke(Method java:511)
            at com android internal os ZygoteInit MethodAndArgsCaller run(ZygoteInit java:841)
            at com android internal os ZygoteInit main(ZygoteInit java:608)
            at dalvik system NativeStart main(Native Method)
     Caused by: co uk rushorm core exceptions RushSqlException: This is most likely caused by a change in data structure or new RushObject 
    This issue should be resolved by a database migration 
    This can be done by updating db version number in the manifest or setting Rush in debug mode 
    To set Rush in debug mode add this to your manifest file    meta data android:name  Rush debug  android:value  true    
            at co uk rushorm android AndroidRushStatementRunner runRaw(AndroidRushStatementRunner java:35)
            at co uk rushorm core RushCore 6 createdOrUpdateStatement(RushCore java:238)
            at co uk rushorm core implementation ReflectionStatementGenerator 3 doAction(ReflectionStatementGenerator java:366)
            at co uk rushorm core implementation ReflectionStatementGenerator doLoop(ReflectionStatementGenerator java:73)
            at co uk rushorm core implementation ReflectionStatementGenerator updateObjects(ReflectionStatementGenerator java:342)
            at co uk rushorm core implementation ReflectionStatementGenerator generateSaveOrUpdate(ReflectionStatementGenerator java:169)
            at co uk rushorm core RushCore save(RushCore java:224)
            at co uk rushorm core RushCore save(RushCore java:95)
            at co uk rushorm core RushCore save(RushCore java:90)
            at co uk rushorm core RushObject save(RushObject java:10)
            at de test testrushorm MainActivity onCreate(MainActivity java:30)
            at android app Activity performCreate(Activity java:5013)
            at android app Instrumentation callActivityOnCreate(Instrumentation java:1079)
            at android app ActivityThread performLaunchActivity(ActivityThread java:2042)
                11 more
The error seems to be related to the creation of the sql update statements  Any ideas  Did I do something wrong 
</t>
  </si>
  <si>
    <t>FamilyParking-Project-25</t>
  </si>
  <si>
    <t>Crash dal dialog dei gruppi</t>
  </si>
  <si>
    <t xml:space="preserve">1  Aggiungo un gruppo ed un utente
2  Dal menu in alto a destra clicco su Groups
3  Cliccando pi  volte sulla foto dell  utente  clicco back sul dialog e l  app crasha
02 19 13:20:21 150    6264 6264   E AndroidRuntime  FATAL EXCEPTION: main
    Process: it familiyparking app  PID: 6264
    java lang NullPointerException: Attempt to write to field  int android support v4 app Fragment mNextAnim  on a null object reference
            at android support v4 app BackStackRecord run(BackStackRecord java:708)
            at android support v4 app FragmentManagerImpl execPendingActions(FragmentManager java:1489)
            at android support v4 app FragmentManagerImpl 1 run(FragmentManager java:454)
            at android os Handler handleCallback(Handler java:739)
            at android os Handler dispatchMessage(Handler java:95)
            at android os Looper loop(Looper java:135)
            at android app ActivityThread main(ActivityThread java:5312)
            at java lang reflect Method invoke(Native Method)
            at java lang reflect Method invoke(Method java:372)
            at com android internal os ZygoteInit MethodAndArgsCaller run(ZygoteInit java:901)
            at com android internal os ZygoteInit main(ZygoteInit java:696)
  screenshot 2015 02 19 13 28 30 (https:  cloud githubusercontent com assets 2124904 6266545 53692170 b83b 11e4 93a2 fbd293ca9389 png)
  screenshot 2015 02 19 13 29 59 (https:  cloud githubusercontent com assets 2124904 6266558 78915dc8 b83b 11e4 9b44 b374e29fa6c3 png)
</t>
  </si>
  <si>
    <t>furkantektas-EzanVakti-1</t>
  </si>
  <si>
    <t>Finished countdown timer causes crash</t>
  </si>
  <si>
    <t xml:space="preserve">When app is on background and coundown timer finishes  app crashes 
</t>
  </si>
  <si>
    <t>facebook-stetho-59</t>
  </si>
  <si>
    <t>Installing 'com.facebook.stetho:stetho-okhttp:1.0.0' breaks okhttp</t>
  </si>
  <si>
    <t xml:space="preserve">When I included this jar in my project  okhttp would crash when used with what looked like a proguard related issue 
I  get the following error
Caused by: java lang NoSuchFieldError: No static field METHODS of type Ljava util Set  in class Lcom squareup okhttp internal http HttpMethod  or its superclasses (declaration of  com squareup okhttp internal http HttpMethod  appears in  data app shiftgig com worknow 2 base apk
i ve tried whitelisting that file in proguard to no avail  
</t>
  </si>
  <si>
    <t>blazsolar-HorizontalPicker-17</t>
  </si>
  <si>
    <t>Null Pointer Exception</t>
  </si>
  <si>
    <t xml:space="preserve">I ve got one picker on the activity that when selected  populates another picker with values that depend on the selected item from the first picker  
second picker is defined as follows:
 com wefika horizontalpicker HorizontalPicker
    xmlns:picker  http:  schemas android com apk res com wefika horizontalpicker 
    android:id    id prod category picker 
    android:textColor   color light gray 
    android:layout below    id prod type picker 
    android:layout height  40dp 
    android:layout width  match parent 
    android:background   color slider background 
    android:textSize  14sp 
    android:ellipsize  none 
    android:marqueeRepeatLimit   1 
    android:visibility  gone 
When I select an item in the first picker  intermittantly  I get this:
java lang NullPointerException: Attempt to invoke virtual method  void android graphics RectF set(android graphics RectF)  on a null object reference
        at com wefika horizontalpicker HorizontalPicker onDraw(HorizontalPicker java:293)
I have not been able to figure out what sequence of events triggers this crash  Any thoughts 
</t>
  </si>
  <si>
    <t>erickok-transdroid-192</t>
  </si>
  <si>
    <t>Cannot add torrent from .torrent file</t>
  </si>
  <si>
    <t xml:space="preserve">Hello 
I m using Transdrone 2 3 0 on android  I setup the connection details with my rtorrent server  and I can add torrents from the browser  
However  I cannot add local  torrent files  When I click on  adding torrent from file   then navigate to the  Downloads  folder  the local  torrent files are greyed out  I can t select them 
If I use an external file chooser app  (FX File Chooser  in my case) to force select them  I get  Unfortunately  Transdrone has crashed  
Any ideas 
Thanks
</t>
  </si>
  <si>
    <t>qb200210-ECardRe-5</t>
  </si>
  <si>
    <t>Select portrait crashes</t>
  </si>
  <si>
    <t xml:space="preserve">1  Camera crash
2  whenever user cancels in the middle  crashes
3  When changing portrait  should:
   3 1 offer the options  Always open with  and  Open once with   if chosen Always open with  then no prompt ever again
   3 2 Do not ask to pick Crop tool  always pick the first one automatically without asking
</t>
  </si>
  <si>
    <t>qb200210-ECardRe-4</t>
  </si>
  <si>
    <t>Voice recorder crash</t>
  </si>
  <si>
    <t xml:space="preserve">After a success voice recording  if quick click on  Hold to Talk  button  it crashes
</t>
  </si>
  <si>
    <t>SCCapstone-IArch-76</t>
  </si>
  <si>
    <t>Maps crash</t>
  </si>
  <si>
    <t xml:space="preserve">Ever since the newest update to the master tonight  I cannot open the maps activity without the app crashing  Happens on both of my android phones 
</t>
  </si>
  <si>
    <t>rosjava-android_remocons-67</t>
  </si>
  <si>
    <t>[remocon] android apps not closing properly on back arrow</t>
  </si>
  <si>
    <t xml:space="preserve">These are causing a remocon crash  Occurring with  com github rosjava android remocons Listener  and  rocon interactions android demo launch  
</t>
  </si>
  <si>
    <t>drpout-boilr-72</t>
  </si>
  <si>
    <t>price change time frame no default</t>
  </si>
  <si>
    <t xml:space="preserve">while creating a price change alarm  clicking on time frame doesn t show any value  it should show the specified value or the default value  plus  if you press ok without inputing any value  boilr  crashes  but goes back to the alarm list  
</t>
  </si>
  <si>
    <t>Any1s-RBTV-Sendeplan-29</t>
  </si>
  <si>
    <t>appcompat-v7 v21.0.0 causing crash on Samsung devices with Android v4.2.2</t>
  </si>
  <si>
    <t xml:space="preserve">See  Issue 78377 (https:  code google com p android issues detail id 78377) at Google and  this post on stackoverflow (http:  stackoverflow com questions 24809580 noclassdeffounderror android support v7 internal view menu menubuilder)
TL DR is: Samsung fucked up their custom 4 2 2 ROM causing crashes in apps using the AppCompat Action Bar  The commonly used workaround seems to be obfuscating the affected class 
The aforementioned workaround will probably not be used here  but until the decision is final this bug stays open 
</t>
  </si>
  <si>
    <t>ZieIony-Carbon-22</t>
  </si>
  <si>
    <t>RippleDrawable crashes when used with duplicateParentState</t>
  </si>
  <si>
    <t xml:space="preserve">If a view with RippleDrawable set is a part of a list row or any other layout with state propagation  RippleDrawable crashes due to null hotspot 
</t>
  </si>
  <si>
    <t>vanitasvitae-EnigmAndroid-4</t>
  </si>
  <si>
    <t>ArrayIndexOutOfBoundsException on Numerical Input as PlugBoard</t>
  </si>
  <si>
    <t xml:space="preserve">EnigmAndroid crashes if the user inserts a number as  PlugBoard  
The StackTrace:
E AndroidRuntime( 1930): FATAL EXCEPTION: main
E AndroidRuntime( 1930): java lang IllegalStateException: Could not execute method of the activity
E AndroidRuntime( 1930):    at android view View 1 onClick(View java:3591)
E AndroidRuntime( 1930):    at android view View performClick(View java:4084)
E AndroidRuntime( 1930):    at android view View PerformClick run(View java:16966)
E AndroidRuntime( 1930):    at android os Handler handleCallback(Handler java:615)
E AndroidRuntime( 1930):    at android os Handler dispatchMessage(Handler java:92)
E AndroidRuntime( 1930):    at android os Looper loop(Looper java:137)
E AndroidRuntime( 1930):    at android app ActivityThread main(ActivityThread java:4745)
E AndroidRuntime( 1930):    at java lang reflect Method invokeNative(Native Method)
E AndroidRuntime( 1930):    at java lang reflect Method invoke(Method java:511)
E AndroidRuntime( 1930):    at com android internal os ZygoteInit MethodAndArgsCaller run(ZygoteInit java:786)
E AndroidRuntime( 1930):    at com android internal os ZygoteInit main(ZygoteInit java:553)
E AndroidRuntime( 1930):    at dalvik system NativeStart main(Native Method)
E AndroidRuntime( 1930): Caused by: java lang reflect InvocationTargetException
E AndroidRuntime( 1930):    at java lang reflect Method invokeNative(Native Method)
E AndroidRuntime( 1930):    at java lang reflect Method invoke(Method java:511)
E AndroidRuntime( 1930):    at android view View 1 onClick(View java:3586)
E AndroidRuntime( 1930):        11 more
E AndroidRuntime( 1930): Caused by: java lang ArrayIndexOutOfBoundsException: length 26  index  9
E AndroidRuntime( 1930):    at de vanitasvitae enigmandroid Plugboard setPlugPair(Plugboard java:64)
E AndroidRuntime( 1930):    at de vanitasvitae enigmandroid Enigma setPlugboard(Enigma java:203)
E AndroidRuntime( 1930):    at de vanitasvitae enigmandroid MainActivity updateEnigma(MainActivity java:117)
E AndroidRuntime( 1930):    at de vanitasvitae enigmandroid MainActivity doCrypto(MainActivity java:134)
E AndroidRuntime( 1930):        14 more
</t>
  </si>
  <si>
    <t>bumptech-glide-349</t>
  </si>
  <si>
    <t>Crash when mutating SquaringDrawable (getConstantState is not overridden) - v3.5.2</t>
  </si>
  <si>
    <t xml:space="preserve">If an ImageView has something that has its (internal)  code mColorMod  code  field set to true (i e  there is an alpha or color filter set   see  code ImageView applyColorMod()  code )  then when Glide updates the image view providing the  code TransitionDrawable  code  (the current drawable    code SquaringDrawable  code )  the image view attempts to mutate it and crashes (NPE) when calling  code SquaringDrawable getConstantState()  code  
Trace from Genymotion v4 4 2
    Java
    java lang NullPointerException
            at android graphics drawable LayerDrawable LayerState  init (LayerDrawable java:671)
            at android graphics drawable TransitionDrawable TransitionState  init (TransitionDrawable java:249)
            at android graphics drawable TransitionDrawable createConstantState(TransitionDrawable java:101)
            at android graphics drawable LayerDrawable mutate(LayerDrawable java:608)
            at android widget ImageView applyColorMod(ImageView java:1216)
            at android widget ImageView updateDrawable(ImageView java:716)
            at android widget ImageView setImageDrawable(ImageView java:421)
            at com bumptech glide request target ImageViewTarget setDrawable(ImageViewTarget java:37)
            at com bumptech glide request animation DrawableCrossFadeViewAnimation animate(DrawableCrossFadeViewAnimation java:49)
            at com bumptech glide request animation DrawableCrossFadeViewAnimation animate(DrawableCrossFadeViewAnimation java:14)
            at com bumptech glide request target ImageViewTarget onResourceReady(ImageViewTarget java:75)
            at com bumptech glide request target GlideDrawableImageViewTarget onResourceReady(GlideDrawableImageViewTarget java:66)
            at com bumptech glide request target GlideDrawableImageViewTarget onResourceReady(GlideDrawableImageViewTarget java:12)
            at com bumptech glide request GenericRequest onResourceReady(GenericRequest java:499)
            at com bumptech glide request GenericRequest onResourceReady(GenericRequest java:486)
            at com bumptech glide load engine EngineJob handleResultOnMainThread(EngineJob java:158)
            at com bumptech glide load engine EngineJob access 100(EngineJob java:22)
            at com bumptech glide load engine EngineJob MainThreadCallback handleMessage(EngineJob java:202)
            at android os Handler dispatchMessage(Handler java:98)
            at android os Looper loop(Looper java:136)
            at android app ActivityThread main(ActivityThread java:5017)
            at java lang reflect Method invokeNative(Native Method)
            at java lang reflect Method invoke(Method java:515)
            at com android internal os ZygoteInit MethodAndArgsCaller run(ZygoteInit java:779)
            at com android internal os ZygoteInit main(ZygoteInit java:595)
            at dalvik system NativeStart main(Native Method)
</t>
  </si>
  <si>
    <t>radlib-radlib-cordova-24</t>
  </si>
  <si>
    <t>BUG # 3</t>
  </si>
  <si>
    <t xml:space="preserve">  NEW BUG AS OF 2 22 15 6:18 pm
When one phone is connected to a bluetooth reader  if another phone tries to connect to the same reader  the app crashes 
:sob: 
</t>
  </si>
  <si>
    <t>zhuowei-Boardwalk-141</t>
  </si>
  <si>
    <t>Boardwalk crashes when i launch the keyboard</t>
  </si>
  <si>
    <t xml:space="preserve">Version of Boardwalk: 1 1
Version of Android:4 4 4 FireOS4 5 3
Device model:Kindle Fire HDX7
Description of the problem:When I click keyboard boardwalk crashes with no crash reports 
</t>
  </si>
  <si>
    <t>mozilla-webmaker-android-1295</t>
  </si>
  <si>
    <t>FFOS: adding a camera photo crashes app</t>
  </si>
  <si>
    <t xml:space="preserve"> OS:  FFOS b2g 2 0 0 0 prerelease
 Browser:  N A
 Screenshot:  N A
  Repro Steps:  
1  In the inline editor for a photo block  tap the pencil
2  Choose  Camera 
3  Take photo  tap  select 
  Expected:   Edited photo in app is replaced with camera photo  return to app
  Actual:   Inline editor view returns to screen with original photo still in the block  after a few seconds  app crashes 
 note:  the new photo  is  being saved before the crash  Upon relaunching the app  the new photo has taken the place of the old one
</t>
  </si>
  <si>
    <t>mozilla-webmaker-android-1294</t>
  </si>
  <si>
    <t>"sw" locale prevents gulp from running successfully</t>
  </si>
  <si>
    <t xml:space="preserve">as of v0 0 24  the  sw  locale is somehow causing the gulp build process to crash  Commeting out this locale in the gulp task for it makes everything run just fine again  cc  alicoding 
 16:13:06   download locales  errored after 3 02 s
 16:13:06  Error: UNKNOWN  open  C:     webmaker app locale sw webmaker app json 
    at Error (native)
 16:13:06   build  errored after 5 s
 16:13:06  Error:  object Object 
</t>
  </si>
  <si>
    <t>daneren2005-Subsonic-459</t>
  </si>
  <si>
    <t>Refresh on Empty Podcast Channel - Crash</t>
  </si>
  <si>
    <t xml:space="preserve">DSub crashes when refreshing on a empty podcast channel (I assume when there is something there after refresh)
</t>
  </si>
  <si>
    <t>Any1s-RBTV-Sendeplan-32</t>
  </si>
  <si>
    <t>Crash possible when handling a reminder</t>
  </si>
  <si>
    <t xml:space="preserve">I m not exactly sure how this can happen  The alarm for an event fired  but there was no data in the reminder map  Maybe the backup was corrupted  I need to investigate this further 
Stack trace from Play Store crash report:
java lang RuntimeException: Unable to start service de mbdevelopment android rbtvsendeplan ReminderService 38a40b94 with Intent   flg 0x4 cmp de mbdevelopment android rbtvsendeplan  ReminderService (has extras)  : java lang NullPointerException: Attempt to invoke virtual method  java lang String de mbdevelopment android rbtvsendeplan Event getTitle()  on a null object reference
   at android app ActivityThread handleServiceArgs(ActivityThread java:3278)
   at android app ActivityThread access 2200(ActivityThread java:172)
   at android app ActivityThread H handleMessage(ActivityThread java:1520)
   at android os Handler dispatchMessage(Handler java:102)
   at android os Looper loop(Looper java:145)
   at android app ActivityThread main(ActivityThread java:5834)
   at java lang reflect Method invoke(Native Method)
   at java lang reflect Method invoke(Method java:372)
   at com android internal os ZygoteInit MethodAndArgsCaller run(ZygoteInit java:1388)
   at com android internal os ZygoteInit main(ZygoteInit java:1183)
   Caused by: java lang NullPointerException: Attempt to invoke virtual method  java lang String de mbdevelopment android rbtvsendeplan Event getTitle()  on a null object reference
   at de mbdevelopment android rbtvsendeplan ReminderService handleAlarm(ReminderService java:255)
   at de mbdevelopment android rbtvsendeplan ReminderService onStartCommand(ReminderService java:234)
   at android app ActivityThread handleServiceArgs(ActivityThread java:3261)
       9 more
</t>
  </si>
  <si>
    <t>hackguru-android-linkit-merchant-6</t>
  </si>
  <si>
    <t>crash sometime after link to url</t>
  </si>
  <si>
    <t xml:space="preserve">1) crash sometime after link to url
2) listview loading progressbar hide after onfail
</t>
  </si>
  <si>
    <t>SCCapstone-IArch-90</t>
  </si>
  <si>
    <t>Project Management crash</t>
  </si>
  <si>
    <t xml:space="preserve">If iArch folder doesn t exist yet (before any pictures have ever been taken) and  project management  is pressed  app crashes 
</t>
  </si>
  <si>
    <t>SCCapstone-IArch-89</t>
  </si>
  <si>
    <t>Map crash</t>
  </si>
  <si>
    <t xml:space="preserve">Map crashes if not linked to dropbox and button is pressed on home screen 
</t>
  </si>
  <si>
    <t>SCCapstone-IArch-87</t>
  </si>
  <si>
    <t xml:space="preserve">Camera returning empty </t>
  </si>
  <si>
    <t xml:space="preserve">Sometimes on one of my devices  the after selecting to keep a photo on the camera fragment  the TakePicture activity will come up with a blank white space where the photo should be  The app will then crash  The photo is still there on the phone in local storage but not in a project folder  If this photo happens to be clicked in the file chooser  app will crash 
</t>
  </si>
  <si>
    <t>liato-android-bankdroid-433</t>
  </si>
  <si>
    <t>WebView broken for Swedbank and Sparbankerna</t>
  </si>
  <si>
    <t xml:space="preserve">The application crashes if a user clicks the www button for Swedbank or Sparbankerna 
    java
java lang NullPointerException
at com liato bankdroid Helpers renderForm(Helpers java:159)
at com liato bankdroid banking Bank getSessionPackage(Bank java:364)
at com liato bankdroid WebViewActivity 2 run(WebViewActivity java:117)
at java lang Thread run(Thread java:841)
</t>
  </si>
  <si>
    <t>vickychijwani-quill-21</t>
  </si>
  <si>
    <t>Crash: PostViewActivity.java line 64</t>
  </si>
  <si>
    <t xml:space="preserve">     in
  Number of crashes: 1
  Impacted devices: 1
There s a lot more information about this crash on crashlytics com:
 https:  crashlytics com individual16 android apps me vickychijwani spectre issues 54ef4e4f7d7854d7c9909ec5 (https:  crashlytics com individual16 android apps me vickychijwani spectre issues 54ef4e4f7d7854d7c9909ec5)
</t>
  </si>
  <si>
    <t>h6ah4i-android-advancedrecyclerview-10</t>
  </si>
  <si>
    <t>onMoveItem() crash?</t>
  </si>
  <si>
    <t xml:space="preserve">Hi  
We got this crash report couple of times in last few weeks since we moved to Advanced Recycler View 
https:  gist github com mazurio ce9b2b3cc4d95a7c710b
We are currently using stable ids and also each id is unique by random number so it shouldn t crash  the crash happened when there were two items and I started dragging it back and forth 
Any ideas  I haven t updated the library yet to the newest one  0 6 0 is currently used 
Damian
</t>
  </si>
  <si>
    <t>jt19056-Notey-22</t>
  </si>
  <si>
    <t>Do not call doinappbillingstuff() if already Pro</t>
  </si>
  <si>
    <t xml:space="preserve">No point in wasting resources and risking crashes if the user is already Pro
</t>
  </si>
  <si>
    <t>Any1s-RBTV-Sendeplan-35</t>
  </si>
  <si>
    <t>Crash in DataFragment.groupEvents()</t>
  </si>
  <si>
    <t xml:space="preserve">Propably a parsing error 
Stack trace from Play Store crash report:
java lang NullPointerException
   at de mbdevelopment android rbtvsendeplan DataFragment groupEvents(DataFragment java:392)
   at de mbdevelopment android rbtvsendeplan DataFragment access 800(DataFragment java:43)
   at de mbdevelopment android rbtvsendeplan DataFragment CalendarDownloadTask onPostExecute(DataFragment java:508)
   at de mbdevelopment android rbtvsendeplan DataFragment CalendarDownloadTask onPostExecute(DataFragment java:454)
   at android os AsyncTask finish(AsyncTask java:631)
   at android os AsyncTask access 600(AsyncTask java:177)
   at android os AsyncTask InternalHandler handleMessage(AsyncTask java:644)
   at android os Handler dispatchMessage(Handler java:99)
   at android os Looper loop(Looper java:176)
   at android app ActivityThread main(ActivityThread java:5365)
   at java lang reflect Method invokeNative(Native Method)
   at java lang reflect Method invoke(Method java:511)
   at com android internal os ZygoteInit MethodAndArgsCaller run(ZygoteInit java:1102)
   at com android internal os ZygoteInit main(ZygoteInit java:869)
   at dalvik system NativeStart main(Native Method)
Link to revision:  DataFragment groupEvents(DataFragment java:392) (https:  github com Any1s RBTV Sendeplan blob b73c1779e07478c9bf2697e79a69b3d39522ba06 app src main java de mbdevelopment android rbtvsendeplan DataFragment java L392)
</t>
  </si>
  <si>
    <t>mozilla-webmaker-android-1402</t>
  </si>
  <si>
    <t>Crash when trying to edit an app</t>
  </si>
  <si>
    <t xml:space="preserve">Trying to edit an existing app  Webmaker app says it can t find it  but there s a crash  and an error 
  screenshot 2015 02 27 14 06 50 (https:  cloud githubusercontent com assets 403231 6419286 e34ce91c be89 11e4 88a9 2fde4d09d5eb png)
Uncaught TypeError: Cannot read property  id  of null index js:15860
App id is  Jj3xa33tb9ff MTRMbz
</t>
  </si>
  <si>
    <t>facebook-stetho-76</t>
  </si>
  <si>
    <t>Does stetho support okhttp with websocket?</t>
  </si>
  <si>
    <t xml:space="preserve">Cause okhttp will support websocket fully in the future  ex  this
https:  github com square okhttp blob master samples guide src main java com squareup okhttp recipes WebSocketEcho java
If I add stetho to inspect this  app will crash 
Chrome dev tool could monitor websocket activity  does stetho support it as well 
Thanks 
</t>
  </si>
  <si>
    <t>eugenkiss-chanobol-121</t>
  </si>
  <si>
    <t>Crash: Samsung 4.2.2 NoClassDefFoundError: android.support.v7.internal.view.menu.MenuBuilder</t>
  </si>
  <si>
    <t xml:space="preserve">Might be a good excuse to integrate  46 
  http:  stackoverflow com questions 24809580 noclassdeffounderror android support v7 internal view menu menubuilder
  http:  stackoverflow com questions 26657348 appcompat v7 v21 0 0 causing crash on samsung devices with android v4 2 2
http:  crashes to s e3b5daf4acf
java lang NoClassDefFoundError: android support v7 internal view menu MenuBuilder
   at android support v7 widget ActionMenuView getMenu(ActionMenuView java:620)
   at android support v7 widget Toolbar ensureMenu(Toolbar java:825)
   at android support v7 widget Toolbar getMenu(Toolbar java:817)
   at android support v7 internal app ToolbarActionBar getMenu(ToolbarActionBar java:554)
   at android support v7 internal app ToolbarActionBar setListMenuPresenter(ToolbarActionBar java:558)
   at android support v7 app ActionBarActivityDelegateBase setSupportActionBar(ActionBarActivityDelegateBase java:178)
   at android support v7 app ActionBarActivity setSupportActionBar(ActionBarActivity java:92)
   at anabolicandroids chanobol ui UiActivity onCreate(UiActivity java:119)
   at anabolicandroids chanobol ui boards FavoritesActivity onCreate(FavoritesActivity java:55)
   at android app Activity performCreate(Activity java:5326)
   at android app Instrumentation callActivityOnCreate(Instrumentation java:1097)
   at android app ActivityThread performLaunchActivity(ActivityThread java:2213)
   at android app ActivityThread handleLaunchActivity(ActivityThread java:2304)
   at android app ActivityThread access 700(ActivityThread java:152)
   at android app ActivityThread H handleMessage(ActivityThread java:1284)
   at android os Handler dispatchMessage(Handler java:99)
   at android os Looper loop(Looper java:176)
   at android app ActivityThread main(ActivityThread java:5299)
   at java lang reflect Method invokeNative(Method java)
   at java lang reflect Method invoke(Method java:511)
   at com android internal os ZygoteInit MethodAndArgsCaller run(ZygoteInit java:1102)
   at com android internal os ZygoteInit main(ZygoteInit java:869)
   at dalvik system NativeStart main(NativeStart java)
</t>
  </si>
  <si>
    <t>eugenkiss-chanobol-120</t>
  </si>
  <si>
    <t>Crash: Photoattacher Zooming Out to Finish ImageActivity</t>
  </si>
  <si>
    <t xml:space="preserve">It happens seldomly but sometimes the app crashes when zooming  ImageActivity  out  The activity is closed with the following exception: http:  crashes to s 37a8f11ff89
java lang IllegalStateException: The ImageView s ScaleType has been changed since attaching a PhotoViewAttacher
   at uk co senab photoview PhotoViewAttacher checkImageViewScaleType(PhotoViewAttacher java:707)
   at uk co senab photoview PhotoViewAttacher setImageViewMatrix(PhotoViewAttacher java:821)
   at uk co senab photoview PhotoViewAttacher checkAndDisplayMatrix(PhotoViewAttacher java:694)
   at uk co senab photoview PhotoViewAttacher access 200(PhotoViewAttacher java:47)
   at uk co senab photoview PhotoViewAttacher AnimatedZoomRunnable run(PhotoViewAttacher java:999)
   at android view Choreographer CallbackRecord run(Choreographer java:767)
   at android view Choreographer doCallbacks(Choreographer java:580)
   at android view Choreographer doFrame(Choreographer java:549)
   at android view Choreographer FrameDisplayEventReceiver run(Choreographer java:753)
   at android os Handler handleCallback(Handler java:739)
   at android os Handler dispatchMessage(Handler java:95)
   at android os Looper loop(Looper java:135)
   at android app ActivityThread main(ActivityThread java:5221)
   at java lang reflect Method invoke(Method java)
   at java lang reflect Method invoke(Method java:372)
   at com android internal os ZygoteInit MethodAndArgsCaller run(ZygoteInit java:899)
   at com android internal os ZygoteInit main(ZygoteInit java:694)
I guess I just need to catch it in the right place and do nothing  Sadly  it s hard to reproduce 
</t>
  </si>
  <si>
    <t>openbmap-radiocells-nlp-android-1</t>
  </si>
  <si>
    <t>Crashing on my phone</t>
  </si>
  <si>
    <t xml:space="preserve">Logcat:
02 28 15:41:09 980 D NlpLocationBackendHelper(3892): Binding to: Intent   act org microg nlp LOCATION BACKEND pkg org openbmap unifiedNlp cmp org openbmap unifiedNlp  services OpenbmapNlpService  
02 28 15:41:10 010 I ActivityManager(3434): Start proc org openbmap unifiedNlp for service org openbmap unifiedNlp  services OpenbmapNlpService: pid 20158 uid 10342 gids  50342  9997  3003  1028  1015  abi armeabi v7a
02 28 15:41:10 180 D ACRA    (20158): ACRA is enabled for org openbmap unifiedNlp  intializing   
02 28 15:41:10 190 D ACRA    (20158): Looking for error files in  data data org openbmap unifiedNlp files
02 28 15:41:10 200 D NlpLocationBackendHelper(3892): Bound to: ComponentInfo org openbmap unifiedNlp org openbmap unifiedNlp services OpenbmapNlpService 
02 28 15:41:10 200 I org openbmap unifiedNlp services OpenbmapNlpService(20158): Opening org openbmap unifiedNlp services OpenbmapNlpService
02 28 15:41:10 210 D org openbmap unifiedNlp services OpenbmapNlpService(20158): Pref online
02 28 15:41:10 210 I org openbmap unifiedNlp services OpenbmapNlpService(20158): Using online geocoder
02 28 15:41:14 360 I org openbmap unifiedNlp services OpenbmapNlpService(20158): Using 2 wifis for geolocation
02 28 15:41:14 380 D org openbmap unifiedNlp services OpenbmapNlpService(20158): No cell available (getAllCellInfo returned null)
02 28 15:41:14 380 E ACRA    (20158): ACRA is disabled for org openbmap unifiedNlp   forwarding uncaught Exception on to default ExceptionHandler
02 28 15:41:14 380 E AndroidRuntime(20158): Process: org openbmap unifiedNlp  PID: 20158
02 28 15:41:14 380 E AndroidRuntime(20158): java lang RuntimeException: Error receiving broadcast Intent   act android net wifi SCAN RESULTS flg 0x4000010   in org openbmap unifiedNlp services OpenbmapNlpService 1 5c5bd0f
02 28 15:41:14 380 E AndroidRuntime(20158):     at org openbmap unifiedNlp services OpenbmapNlpService 2 onWifiResultsAvailable(OpenbmapNlpService java:207)
02 28 15:41:14 380 E AndroidRuntime(20158):     at org openbmap unifiedNlp services OpenbmapNlpService 1 onReceive(OpenbmapNlpService java:101)
02 28 15:41:16 910 D NlpLocationBackendHelper(3892): Unbound from: ComponentInfo org openbmap unifiedNlp org openbmap unifiedNlp services OpenbmapNlpService 
02 28 15:41:16 930 I ActivityManager(3434): Process org openbmap unifiedNlp (pid 20158) has died
02 28 15:41:16 930 W ActivityManager(3434): Scheduling restart of crashed service org openbmap unifiedNlp  services OpenbmapNlpService in 1000ms
02 28 15:41:18 020 I ActivityManager(3434): Start proc org openbmap unifiedNlp for service org openbmap unifiedNlp  services OpenbmapNlpService: pid 20288 uid 10342 gids  50342  9997  3003  1028  1015  abi armeabi v7a
02 28 15:41:18 130 D ACRA    (20288): ACRA is enabled for org openbmap unifiedNlp  intializing   
02 28 15:41:18 140 D ACRA    (20288): Looking for error files in  data data org openbmap unifiedNlp files
02 28 15:41:18 150 D NlpLocationBackendHelper(3892): Bound to: ComponentInfo org openbmap unifiedNlp org openbmap unifiedNlp services OpenbmapNlpService 
02 28 15:41:18 150 I org openbmap unifiedNlp services OpenbmapNlpService(20288): Opening org openbmap unifiedNlp services OpenbmapNlpService
02 28 15:41:18 150 D org openbmap unifiedNlp services OpenbmapNlpService(20288): Pref online
</t>
  </si>
  <si>
    <t>jt19056-Notey-24</t>
  </si>
  <si>
    <t>java.lang.RuntimeException crash</t>
  </si>
  <si>
    <t xml:space="preserve">User Message: Opening the application resulted in crash 
  capture (https:  cloud githubusercontent com assets 5198078 6424377 f630e678 bec5 11e4 9c1a 3bd9bff9a0f0 PNG)
</t>
  </si>
  <si>
    <t>eugenkiss-chanobol-122</t>
  </si>
  <si>
    <t>Crash: Share Image Samsung MediaStore Path</t>
  </si>
  <si>
    <t xml:space="preserve">The following is the offending excerpt from  ImageActivity  
path   MediaStore Images Media insertImage(getContentResolver()  bitmap  null  null) 
intent putExtra(Intent EXTRA STREAM  Uri parse(path)) 
To find  here (https:  github com eugenkiss chanobol blob 2db3b55bc018f5a2feafdbc9d0810efd7fc79c0b src main java anabolicandroids chanobol ui images ImageActivity java L462) and  here (https:  github com eugenkiss chanobol blob 2db3b55bc018f5a2feafdbc9d0810efd7fc79c0b src main java anabolicandroids chanobol ui images ImageActivity java L477) 
Apparently   path  can be null on some devices  A good first solution would be to inform the user with a dialog that image can t be shared and offer to share at least the link  A second better solution is to find a workaround  See the following crash for more information: http:  crashes to s d4de72e8f23
java lang NullPointerException: uriString
   at android net Uri StringUri  init (Uri java:468)
   at android net Uri StringUri  init (Uri java:458)
   at android net Uri parse(Uri java:430)
   at anabolicandroids chanobol ui images ImageActivity onOptionsItemSelected(ImageActivity java:463)
   at android app Activity onMenuItemSelected(Activity java:2805)
   at android support v4 app FragmentActivity onMenuItemSelected(FragmentActivity java:350)
   at android support v7 app ActionBarActivity onMenuItemSelected(ActionBarActivity java:155)
   at android support v7 app ActionBarActivityDelegate 1 onMenuItemSelected(ActionBarActivityDelegate java:74)
   at android support v7 widget WindowCallbackWrapper onMenuItemSelected(WindowCallbackWrapper java:44)
   at android support v7 internal app ToolbarActionBar 2 onMenuItemClick(ToolbarActionBar java:77)
   at android support v7 widget Toolbar 1 onMenuItemClick(Toolbar java:163)
   at android support v7 widget ActionMenuView MenuBuilderCallback onMenuItemSelected(ActionMenuView java:738)
   at android support v7 internal view menu MenuBuilder dispatchMenuItemSelected(MenuBuilder java:802)
   at android support v7 internal view menu MenuItemImpl invoke(MenuItemImpl java:153)
   at android support v7 internal view menu MenuBuilder performItemAction(MenuBuilder java:949)
   at android support v7 internal view menu MenuBuilder performItemAction(MenuBuilder java:939)
   at android support v7 internal view menu MenuPopupHelper onItemClick(MenuPopupHelper java:187)
   at android widget AdapterView performItemClick(AdapterView java:313)
   at android widget AbsListView performItemClick(AbsListView java:1528)
   at android widget AbsListView PerformClick run(AbsListView java:3540)
   at android widget AbsListView 3 run(AbsListView java:5218)
   at android os Handler handleCallback(Handler java:733)
   at android os Handler dispatchMessage(Handler java:95)
   at android os Looper loop(Looper java:146)
   at android app ActivityThread main(ActivityThread java:5678)
   at java lang reflect Method invokeNative(Method java)
   at java lang reflect Method invoke(Method java:515)
   at com android internal os ZygoteInit MethodAndArgsCaller run(ZygoteInit java:1291)
   at com android internal os ZygoteInit main(ZygoteInit java:1107)
   at dalvik system NativeStart main(NativeStart java)
</t>
  </si>
  <si>
    <t>libgdx-libgdx-2886</t>
  </si>
  <si>
    <t>BitmapFont markup crashes if String is just "["</t>
  </si>
  <si>
    <t xml:space="preserve">Im using latest nightlies 
BitmapFont drawWrappedText crashes if I just pass     as the string to draw 
Exception in thread  LWJGL Application  java lang StringIndexOutOfBoundsException: String index out of range: 2
    at java lang String charAt(Unknown Source)
    at com badlogic gdx graphics g2d TextMarkup parseColorTag(TextMarkup java:75)
    at com badlogic gdx graphics g2d BitmapFontCache addToCache(BitmapFontCache java:421)
    at com badlogic gdx graphics g2d BitmapFontCache addWrappedText(BitmapFontCache java:737)
    at com badlogic gdx graphics g2d BitmapFont drawWrapped(BitmapFont java:307)
</t>
  </si>
  <si>
    <t>eugenkiss-chanobol-123</t>
  </si>
  <si>
    <t>Crash: Util.getScreenWidth()</t>
  </si>
  <si>
    <t xml:space="preserve">Put getScreenWidth in another location that guarantees initialization and if still null just use some default values (3000x3000) 
http:  crashes to s 119dcefdd68
java lang NullPointerException: Attempt to invoke virtual method  java lang Object android content Context getSystemService(java lang String)  on a null object reference
   at anabolicandroids chanobol util Util getScreenWidth(Util java:107)
   at anabolicandroids chanobol ui posts PostsDialog revealBackground(PostsDialog java:116)
   at anabolicandroids chanobol ui posts PostsDialog access 000(PostsDialog java:27)
   at anabolicandroids chanobol ui posts PostsDialog 3 run(PostsDialog java:92)
   at android os Handler handleCallback(Handler java:739)
   at android os Handler dispatchMessage(Handler java:95)
   at android os Looper loop(Looper java:145)
   at android app ActivityThread main(ActivityThread java:5940)
   at java lang reflect Method invoke(Method java)
   at java lang reflect Method invoke(Method java:372)
   at com android internal os ZygoteInit MethodAndArgsCaller run(ZygoteInit java:1389)
   at com android internal os ZygoteInit main(ZygoteInit java:1184)
</t>
  </si>
  <si>
    <t>liato-android-bankdroid-478</t>
  </si>
  <si>
    <t>Application crashes if user click on widget after the account has been deleted.</t>
  </si>
  <si>
    <t xml:space="preserve">Reproduce: Add a widget for an account  Delete the account but keep the widget  Click on the widget and the application crashes 
    java
java lang RuntimeException: Unable to start activity ComponentInfo com liato bankdroid com liato bankdroid TransactionsActivity : java lang NullPointerException
       at android app ActivityThread performLaunchActivity(ActivityThread java:2237)
       at android app ActivityThread handleLaunchActivity(ActivityThread java:2286)
       at android app ActivityThread access 800(ActivityThread java:144)
       at android app ActivityThread H handleMessage(ActivityThread java:1246)
       at android os Handler dispatchMessage(Handler java:102)
       at android os Looper loop(Looper java:212)
       at android app ActivityThread main(ActivityThread java:5135)
       at java lang reflect Method invokeNative(Method java)
       at java lang reflect Method invoke(Method java:515)
       at com android internal os ZygoteInit MethodAndArgsCaller run(ZygoteInit java:877)
       at com android internal os ZygoteInit main(ZygoteInit java:693)
       at dalvik system NativeStart main(NativeStart java)
Caused by: java lang NullPointerException
       at com liato bankdroid TransactionsActivity onCreate(TransactionsActivity java:55)
       at android app Activity performCreate(Activity java:5231)
       at android app Instrumentation callActivityOnCreate(Instrumentation java:1087)
       at android app ActivityThread performLaunchActivity(ActivityThread java:2201)
       at android app ActivityThread handleLaunchActivity(ActivityThread java:2286)
       at android app ActivityThread access 800(ActivityThread java:144)
       at android app ActivityThread H handleMessage(ActivityThread java:1246)
       at android os Handler dispatchMessage(Handler java:102)
       at android os Looper loop(Looper java:212)
       at android app ActivityThread main(ActivityThread java:5135)
       at java lang reflect Method invokeNative(Method java)
       at java lang reflect Method invoke(Method java:515)
       at com android internal os ZygoteInit MethodAndArgsCaller run(ZygoteInit java:877)
       at com android internal os ZygoteInit main(ZygoteInit java:693)
       at dalvik system NativeStart main(NativeStart java)
    java
java lang RuntimeException: Unable to start activity ComponentInfo com liato bankdroid com liato bankdroid TransactionsActivity : android database CursorIndexOutOfBoundsException: Index 0 requested  with a size of 0
       at android app ActivityThread performLaunchActivity(ActivityThread java:2298)
       at android app ActivityThread handleLaunchActivity(ActivityThread java:2360)
       at android app ActivityThread access 800(ActivityThread java:144)
       at android app ActivityThread H handleMessage(ActivityThread java:1278)
       at android os Handler dispatchMessage(Handler java:102)
       at android os Looper loop(Looper java:135)
       at android app ActivityThread main(ActivityThread java:5221)
       at java lang reflect Method invoke(Method java)
       at java lang reflect Method invoke(Method java:372)
       at com android internal os ZygoteInit MethodAndArgsCaller run(ZygoteInit java:899)
       at com android internal os ZygoteInit main(ZygoteInit java:694)
Caused by: android database CursorIndexOutOfBoundsException: Index 0 requested  with a size of 0
       at android database AbstractCursor checkPosition(AbstractCursor java:426)
       at android database AbstractWindowedCursor checkPosition(AbstractWindowedCursor java:136)
       at android database AbstractWindowedCursor getInt(AbstractWindowedCursor java:68)
       at com liato bankdroid banking BankFactory bankFromDb(BankFactory java:50)
       at com liato bankdroid TransactionsActivity onCreate(TransactionsActivity java:47)
       at android app Activity performCreate(Activity java:5933)
       at android app Instrumentation callActivityOnCreate(Instrumentation java:1105)
       at android app ActivityThread performLaunchActivity(ActivityThread java:2251)
       at android app ActivityThread handleLaunchActivity(ActivityThread java:2360)
       at android app ActivityThread access 800(ActivityThread java:144)
       at android app ActivityThread H handleMessage(ActivityThread java:1278)
       at android os Handler dispatchMessage(Handler java:102)
       at android os Looper loop(Looper java:135)
       at android app ActivityThread main(ActivityThread java:5221)
       at java lang reflect Method invoke(Method java)
       at java lang reflect Method invoke(Method java:372)
       at com android internal os ZygoteInit MethodAndArgsCaller run(ZygoteInit java:899)
       at com android internal os ZygoteInit main(ZygoteInit java:694)
</t>
  </si>
  <si>
    <t>liato-android-bankdroid-475</t>
  </si>
  <si>
    <t>Application crashes if no balance is found for Villabanken</t>
  </si>
  <si>
    <t xml:space="preserve">The application will crash if no balance is found for Villabanken 
    java
java lang RuntimeException: An error occured while executing doInBackground()
       at android os AsyncTask 3 done(AsyncTask java:300)
       at java util concurrent FutureTask finishCompletion(FutureTask java:355)
       at java util concurrent FutureTask setException(FutureTask java:222)
       at java util concurrent FutureTask run(FutureTask java:242)
       at android os AsyncTask SerialExecutor 1 run(AsyncTask java:231)
       at java util concurrent ThreadPoolExecutor runWorker(ThreadPoolExecutor java:1112)
       at java util concurrent ThreadPoolExecutor Worker run(ThreadPoolExecutor java:587)
       at java lang Thread run(Thread java:841)
Caused by: java lang IllegalStateException: No successful match so far
       at java util regex Matcher ensureMatch(Matcher java:596)
       at java util regex Matcher group(Matcher java:357)
       at com liato bankdroid banking banks Villabanken update(Villabanken java:177)
       at com liato bankdroid DataRetrieverTask doInBackground(DataRetrieverTask java:89)
       at com liato bankdroid DataRetrieverTask doInBackground(DataRetrieverTask java:40)
       at android os AsyncTask 2 call(AsyncTask java:288)
       at java util concurrent FutureTask run(FutureTask java:237)
       at android os AsyncTask SerialExecutor 1 run(AsyncTask java:231)
       at java util concurrent ThreadPoolExecutor runWorker(ThreadPoolExecutor java:1112)
       at java util concurrent ThreadPoolExecutor Worker run(ThreadPoolExecutor java:587)
       at java lang Thread run(Thread java:841)
and 
    java
java lang RuntimeException: An error occured while executing doInBackground()
       at android os AsyncTask 3 done(AsyncTask java:300)
       at java util concurrent FutureTask finishCompletion(FutureTask java:355)
       at java util concurrent FutureTask setException(FutureTask java:222)
       at java util concurrent FutureTask run(FutureTask java:242)
       at android os AsyncTask SerialExecutor 1 run(AsyncTask java:231)
       at java util concurrent ThreadPoolExecutor runWorker(ThreadPoolExecutor java:1112)
       at java util concurrent ThreadPoolExecutor Worker run(ThreadPoolExecutor java:587)
       at java lang Thread run(Thread java:818)
Caused by: java lang IllegalStateException: No successful match so far
       at java util regex Matcher ensureMatch(Matcher java:471)
       at java util regex Matcher group(Matcher java:578)
       at com liato bankdroid banking banks Villabanken update(Villabanken java:169)
       at com liato bankdroid BankEditActivity DataRetrieverTask doInBackground(BankEditActivity java:235)
       at com liato bankdroid BankEditActivity DataRetrieverTask doInBackground(BankEditActivity java:216)
       at android os AsyncTask 2 call(AsyncTask java:288)
       at java util concurrent FutureTask run(FutureTask java:237)
       at android os AsyncTask SerialExecutor 1 run(AsyncTask java:231)
       at java util concurrent ThreadPoolExecutor runWorker(ThreadPoolExecutor java:1112)
       at java util concurrent ThreadPoolExecutor Worker run(ThreadPoolExecutor java:587)
       at java lang Thread run(Thread java:818)
</t>
  </si>
  <si>
    <t>fixme-lausanne-MyHackerspace-32</t>
  </si>
  <si>
    <t>crashes with https://freieslabor.org/api/info</t>
  </si>
  <si>
    <t xml:space="preserve">Space status is shown within the application  but adding a widget for Freies Labor leads to a crash of  MyHackerspace  Widgets for other Hackerspaces are OK 
  myhackerspace crash (https:  cloud githubusercontent com assets 7190467 6473125 819590a4 c1f7 11e4 9387 c03585c37a9d png)
</t>
  </si>
  <si>
    <t>JoanZapata-android-pdfview-90</t>
  </si>
  <si>
    <t>java.lang.NoSuchFieldError: android.os.AsyncTask.THREAD_POOL_EXECUTOR</t>
  </si>
  <si>
    <t xml:space="preserve">i cant open a pdf the app just crash 
i used your simple code but not working
public static final String SAMPLE FILE    CyberLove pdf  
public static final String ABOUT FILE    about pdf  
PDFView pdfView 
String pdfName   SAMPLE FILE 
Integer pageNumber   1 
 Override
protected void onCreate(Bundle savedInstanceState)  
    super onCreate(savedInstanceState) 
    setContentView(R layout activity pdf) 
    pdfView   (PDFView) findViewById(R id pdfview) 
    pdfView fromAsset(SAMPLE FILE) defaultPage(1)
             showMinimap(false)
             enableSwipe(true)
             load() 
      display(SAMPLE FILE true) 
void afterViews()  
    display(pdfName  false) 
public void about()  
    if ( displaying(ABOUT FILE))
        display(ABOUT FILE  true) 
private void display(String assetFileName  boolean jumpToFirstPage)  
    if (jumpToFirstPage) pageNumber   1 
    setTitle(pdfName   assetFileName) 
    pdfView fromAsset(assetFileName)
             defaultPage(pageNumber)
             onPageChange(this)
             load() 
 Override
public void onPageChanged(int page  int pageCount)  
    pageNumber   page 
    setTitle(format(  s  s    s   pdfName  page  pageCount)) 
 Override
public void onBackPressed()  
    if (ABOUT FILE equals(pdfName))  
        display(SAMPLE FILE  true) 
      else  
        super onBackPressed() 
private boolean displaying(String fileName)  
    return fileName equals(pdfName) 
</t>
  </si>
  <si>
    <t>SimenCodes-heads-up-72</t>
  </si>
  <si>
    <t>Stop working randomly</t>
  </si>
  <si>
    <t xml:space="preserve">Hi 
The app is working fine for a few hours and then stop to show the notifications  When I enter the application settings I get the android s crash message (with OK   Send report)   After closing and opening the app  it starts to work normally (until it stops after a few hours) 
logcat file:
https:  dl dropboxusercontent com u 5905660 headsup log
Thanks in advance
</t>
  </si>
  <si>
    <t>piemasters-SmartLock-5</t>
  </si>
  <si>
    <t>Trigger Crash</t>
  </si>
  <si>
    <t xml:space="preserve">When moving between creating a Trigger and editting a Trigger  the application will crash and the following error is produced:
java lang NullPointerException: Attempt to invoke virtual method  java lang String android content Context getPackageName()  
</t>
  </si>
  <si>
    <t>eugenkiss-chanobol-129</t>
  </si>
  <si>
    <t>Crash: Util.drawableToBitmap IllegalArgumentException</t>
  </si>
  <si>
    <t xml:space="preserve">Simply check if width and height both   0 otherwise return null: http:  crashes to s 1d05c773bb0
java lang IllegalArgumentException: width and height must be   0
   at android graphics Bitmap createBitmap(Bitmap java:922)
   at android graphics Bitmap createBitmap(Bitmap java:901)
   at android graphics Bitmap createBitmap(Bitmap java:868)
   at anabolicandroids chanobol util Util drawableToBitmap(Util java:235)
   at anabolicandroids chanobol ui posts PostsActivity 5 onClick(PostsActivity java:263)
   at anabolicandroids chanobol ui posts PostView 1 1 run(PostView java:121)
   at android os Handler handleCallback(Handler java:733)
   at android os Handler dispatchMessage(Handler java:95)
   at android os Looper loop(Looper java:136)
   at android app ActivityThread main(ActivityThread java:5579)
   at java lang reflect Method invokeNative(Method java)
   at java lang reflect Method invoke(Method java:515)
   at com android internal os ZygoteInit MethodAndArgsCaller run(ZygoteInit java:1268)
   at com android internal os ZygoteInit main(ZygoteInit java:1084)
   at dalvik system NativeStart main(NativeStart java)
</t>
  </si>
  <si>
    <t>the-blue-alliance-the-blue-alliance-android-343</t>
  </si>
  <si>
    <t>App crashes after myTBA Settings screen</t>
  </si>
  <si>
    <t xml:space="preserve">Have attempted to install the app on three different phones: HTC One  HTC One M8  and a Samsung Galaxy S3  After the downloading data occurs  from the myTBA Settings screen  the app crashes upon all following options:
  Google  Sign In
  Google  Sign In with alternate permissions selected
  Not Now
</t>
  </si>
  <si>
    <t>gdg-x-frisbee-295</t>
  </si>
  <si>
    <t>App crashes when watching video in news stream</t>
  </si>
  <si>
    <t xml:space="preserve">via crashalytics:
java lang RuntimeException: Unable to start activity ComponentInfo org gdg frisbee android org gdg frisbee android activity YoutubeActivity : java lang IllegalArgumentException: Service Intent must be explicit: Intent   act com google android youtube api service START  
       at android app ActivityThread performLaunchActivity(ActivityThread java:2325)
       at android app ActivityThread handleLaunchActivity(ActivityThread java:2387)
       at android app ActivityThread access 800(ActivityThread java:151)
       at android app ActivityThread H handleMessage(ActivityThread java:1303)
       at android os Handler dispatchMessage(Handler java:102)
       at android os Looper loop(Looper java:135)
       at android app ActivityThread main(ActivityThread java:5254)
       at java lang reflect Method invoke(Method java)
       at java lang reflect Method invoke(Method java:372)
       at com android internal os ZygoteInit MethodAndArgsCaller run(ZygoteInit java:903)
       at com android internal os ZygoteInit main(ZygoteInit java:698)
Caused by: java lang IllegalArgumentException: Service Intent must be explicit: Intent   act com google android youtube api service START  
       at android app ContextImpl validateServiceIntent(ContextImpl java:1680)
       at android app ContextImpl bindServiceCommon(ContextImpl java:1779)
       at android app ContextImpl bindService(ContextImpl java:1757)
       at android content ContextWrapper bindService(ContextWrapper java:539)
       at com google android youtube player internal r e()
       at com google android youtube player YouTubePlayerView a()
       at com google android youtube player YouTubePlayerSupportFragment initialize()
       at com google android youtube player YouTubePlayerSupportFragment initialize()
       at org gdg frisbee android activity YoutubeActivity onCreate(YoutubeActivity java:50)
       at android app Activity performCreate(Activity java:5990)
       at android app Instrumentation callActivityOnCreate(Instrumentation java:1106)
       at android app ActivityThread performLaunchActivity(ActivityThread java:2278)
       at android app ActivityThread handleLaunchActivity(ActivityThread java:2387)
       at android app ActivityThread access 800(ActivityThread java:151)
       at android app ActivityThread H handleMessage(ActivityThread java:1303)
       at android os Handler dispatchMessage(Handler java:102)
       at android os Looper loop(Looper java:135)
       at android app ActivityThread main(ActivityThread java:5254)
       at java lang reflect Method invoke(Method java)
       at java lang reflect Method invoke(Method java:372)
       at com android internal os ZygoteInit MethodAndArgsCaller run(ZygoteInit java:903)
       at com android internal os ZygoteInit main(ZygoteInit java:698)
</t>
  </si>
  <si>
    <t>glae-if_exceed_speed_limits_then_lower_music-4</t>
  </si>
  <si>
    <t>Fix landscape / portrait mode switch</t>
  </si>
  <si>
    <t xml:space="preserve">The app crashes when switching  but remains in background 
</t>
  </si>
  <si>
    <t>gdg-x-frisbee-301</t>
  </si>
  <si>
    <t>Youtube video crash</t>
  </si>
  <si>
    <t xml:space="preserve">Here is the screenshot attached about the crash  It happened when I clicked a video in the news feed page
  screenshot 2015 03 07 23 45 37 (https:  cloud githubusercontent com assets 763339 6541538 0199a7e0 c4e1 11e4 865b 57769c60f976 png)
</t>
  </si>
  <si>
    <t>eugenkiss-chanobol-134</t>
  </si>
  <si>
    <t>Crash: MediaPath can be null</t>
  </si>
  <si>
    <t xml:space="preserve">Need to check in  onOptionsItemSelected  of  MediaActivity  if  path    null  and in that case do either nothing or inform the user that the operation is not possible  See http:  crashes to s dd34f5cec8c and http:  crashes to s 26df4a5b1e8
java lang NullPointerException: uriString
   at android net Uri StringUri  init (Uri java:470)
   at android net Uri StringUri  init (Uri java:460)
   at android net Uri parse(Uri java:432)
   at anabolicandroids chanobol ui media MediaActivity onOptionsItemSelected(MediaActivity java:450)
   at android app Activity onMenuItemSelected(Activity java:2681)
   at android support v4 app FragmentActivity onMenuItemSelected(FragmentActivity java:350)
   at android support v7 app ActionBarActivity onMenuItemSelected(ActionBarActivity java:155)
   at android support v7 app ActionBarActivityDelegate 1 onMenuItemSelected(ActionBarActivityDelegate java:74)
   at android support v7 widget WindowCallbackWrapper onMenuItemSelected(WindowCallbackWrapper java:44)
   at android support v7 internal app ToolbarActionBar 2 onMenuItemClick(ToolbarActionBar java:77)
   at android support v7 widget Toolbar 1 onMenuItemClick(Toolbar java:163)
   at android support v7 widget ActionMenuView MenuBuilderCallback onMenuItemSelected(ActionMenuView java:738)
   at android support v7 internal view menu MenuBuilder dispatchMenuItemSelected(MenuBuilder java:802)
   at android support v7 internal view menu MenuItemImpl invoke(MenuItemImpl java:153)
   at android support v7 internal view menu MenuBuilder performItemAction(MenuBuilder java:949)
   at android support v7 internal view menu MenuBuilder performItemAction(MenuBuilder java:939)
   at android support v7 internal view menu MenuPopupHelper onItemClick(MenuPopupHelper java:187)
   at android widget AdapterView performItemClick(AdapterView java:299)
   at android widget AbsListView performItemClick(AbsListView java:1282)
   at android widget ListView performItemClick(ListView java:4450)
   at android widget AbsListView PerformClick run(AbsListView java:3174)
   at android widget AbsListView 3 run(AbsListView java:3925)
   at android os Handler handleCallback(Handler java:733)
   at android os Handler dispatchMessage(Handler java:95)
   at android os Looper loop(Looper java:157)
   at android app ActivityThread main(ActivityThread java:5883)
   at java lang reflect Method invokeNative(Method java)
   at java lang reflect Method invoke(Method java:515)
   at com android internal os ZygoteInit MethodAndArgsCaller run(ZygoteInit java:872)
   at com android internal os ZygoteInit main(ZygoteInit java:688)
   at dalvik system NativeStart main(NativeStart java)
</t>
  </si>
  <si>
    <t>mixpanel-mixpanel-android-180</t>
  </si>
  <si>
    <t>PersistentIdentity : OutOfMemoryError</t>
  </si>
  <si>
    <t xml:space="preserve">Hey 
I noticed recently a new crash in my crash report tool  I didn t had a chance to reproduce it out of the wild 
Here is the stack trace:
java lang OutOfMemoryError
       at java lang String (String java:422)
       at java lang AbstractStringBuilder toString(AbstractStringBuilder java:642)
       at java lang StringBuilder toString(StringBuilder java:663)
       at org json JSONStringer toString(JSONStringer java:430)
       at org json JSONArray toString(JSONArray java:575)
       at com mixpanel android mpmetrics PersistentIdentity writeIdentities(PersistentIdentity java:380)
       at com mixpanel android mpmetrics PersistentIdentity storeWaitingPeopleRecord(PersistentIdentity java:142)
       at com mixpanel android mpmetrics MixpanelAPI recordPeopleMessage(MixpanelAPI java:1718)
       at com mixpanel android mpmetrics MixpanelAPI access 800(MixpanelAPI java:112)
       at com mixpanel android mpmetrics MixpanelAPI PeopleImpl set(MixpanelAPI java:1130)
       at android app Instrumentation callApplicationOnCreate(Instrumentation java:1030)
</t>
  </si>
  <si>
    <t>segmentio-analytics-android-223</t>
  </si>
  <si>
    <t>Crash in QueueFile.setLength</t>
  </si>
  <si>
    <t xml:space="preserve">We ve recently integrated segment io in our Android app and a small segment of our users are experiencing a recurring crash  this seems to be happening whenever they open the app  Here s the stack trace from Crashlytics: 
java lang IllegalArgumentException: newLength   0
       at java io RandomAccessFile setLength(RandomAccessFile java:626)
       at com segment analytics QueueFile setLength(QueueFile java:407)
       at com segment analytics QueueFile expandIfNecessary(QueueFile java:376)
       at com segment analytics QueueFile add 1cf967a4(QueueFile java:305)
       at com segment analytics Segment SegmentHandler handleMessage(Segment java:298)
       at android os Handler dispatchMessage(Handler java:99)
       at android os Looper loop(Looper java:176)
       at android os HandlerThread run(HandlerThread java:60)
We are using the Core library version 2 5 3 
</t>
  </si>
  <si>
    <t>eugenkiss-chanobol-137</t>
  </si>
  <si>
    <t>Crash: DebugSettings onClick Release Version</t>
  </si>
  <si>
    <t xml:space="preserve">Doesn t make sense to me because the DebugSettings entry is hidden in the release Version but here s the exception: http:  crashes to s 26666a5dd20
java lang NullPointerException
   at android content ComponentName  init (ComponentName java:78)
   at android content Intent  init (Intent java:3836)
   at anabolicandroids chanobol ui UiActivity onDebugSettings(UiActivity java:225)
   at anabolicandroids chanobol ui UiActivity  ViewInjector 2 doClick(UiActivity  ViewInjector java:37)
   at butterknife internal DebouncingOnClickListener onClick(DebouncingOnClickListener java:22)
   at android view View performClick(View java:4647)
   at android view ViewRootImpl performClickHelper(ViewRootImpl java:910)
   at android view ViewRootImpl performClick(ViewRootImpl java:919)
   at android view ViewRootImpl ViewRootHandler handleMessage(ViewRootImpl java:3385)
   at android os Handler dispatchMessage(Handler java:122)
   at android os Looper loop(Looper java:136)
   at android app ActivityThread main(ActivityThread java:5122)
   at java lang reflect Method invokeNative(Method java)
   at java lang reflect Method invoke(Method java:515)
   at com android internal os ZygoteInit MethodAndArgsCaller run(ZygoteInit java:779)
   at com android internal os ZygoteInit main(ZygoteInit java:595)
   at dalvik system NativeStart main(NativeStart java)
Might just need to put an Optional Butterknife annotation somewhere 
</t>
  </si>
  <si>
    <t>giletvin-ornidroid-134</t>
  </si>
  <si>
    <t>java.lang.RuntimeException: Unable to start activity ComponentInfo{fr.ornidroid/fr.ornidroid.ui.activity.NewBirdActivity_}: java.lang.NullPointerException</t>
  </si>
  <si>
    <t xml:space="preserve">New crash 11 03
java lang RuntimeException: Unable to start activity ComponentInfo fr ornidroid fr ornidroid ui activity NewBirdActivity  : java lang NullPointerException
at android app ActivityThread performLaunchActivity(ActivityThread java:2071)
at android app ActivityThread handleLaunchActivity(ActivityThread java:2096)
at android app ActivityThread access 600(ActivityThread java:138)
at android app ActivityThread H handleMessage(ActivityThread java:1207)
at android os Handler dispatchMessage(Handler java:99)
at android os Looper loop(Looper java:213)
at android app ActivityThread main(ActivityThread java:4787)
at java lang reflect Method invokeNative(Native Method)
at java lang reflect Method invoke(Method java:511)
at com android internal os ZygoteInit MethodAndArgsCaller run(ZygoteInit java:789)
at com android internal os ZygoteInit main(ZygoteInit java:556)
at dalvik system NativeStart main(Native Method)
Caused by: java lang NullPointerException
at fr ornidroid ui fragment AbstractFragment commonAfterViews(AbstractFragment java:712)
at fr ornidroid ui fragment AudioFragment afterViews(AudioFragment java:55)
at fr ornidroid ui fragment AudioFragment  onViewChanged(AudioFragment  java:229)
at org androidannotations api view OnViewChangedNotifier notifyViewChanged(OnViewChangedNotifier java:41)
at fr ornidroid ui fragment AudioFragment  onViewCreated(AudioFragment  java:84)
at android support v4 app FragmentManagerImpl moveToState(FragmentManager java:961)
at android support v4 app FragmentManagerImpl moveToState(FragmentManager java:1126)
at android support v4 app FragmentManagerImpl moveToState(FragmentManager java:1108)
at android support v4 app FragmentManagerImpl dispatchActivityCreated(FragmentManager java:1917)
at android support v4 app FragmentActivity onStart(FragmentActivity java:544)
at fr ornidroid ui activity NewBirdActivity onStart(NewBirdActivity java:154)
at android app Instrumentation callActivityOnStart(Instrumentation java:1163)
at android app Activity performStart(Activity java:5018)
at android app ActivityThread performLaunchActivity(ActivityThread java:2044)
    11 more
</t>
  </si>
  <si>
    <t>dimagi-commcare-android-181</t>
  </si>
  <si>
    <t>Fix for Custom Logos in Home Screen Landscape</t>
  </si>
  <si>
    <t xml:space="preserve">2 19 5 Hotfix merge 
Home screen crashed when custom logos were used 
</t>
  </si>
  <si>
    <t>Cloudkibo-Android-2</t>
  </si>
  <si>
    <t>Loading of chat messages on Android crashes</t>
  </si>
  <si>
    <t xml:space="preserve">This crashes when there is no Internet and app tries to fetch the chat messages over the Internet 
</t>
  </si>
  <si>
    <t>indication-OpenRedmine-155</t>
  </si>
  <si>
    <t>Add functionality to add an image to Issues and Issue comments</t>
  </si>
  <si>
    <t xml:space="preserve">This idea comes from the use cases where I often encounter
  issues (crashes etc ) on hosts which are not in the infrastructure  or 
  errors which are displayed only shortly  or
  errors which are not logable otherwise
I d love to take a picture of those and simply create update an issue and append the image  To my mind  this saves a lot of time   
</t>
  </si>
  <si>
    <t>clintonhealthaccess-chailmis-android-111</t>
  </si>
  <si>
    <t>App crashing, with 3-5 min restart</t>
  </si>
  <si>
    <t xml:space="preserve">Critical Severity
App crashes after an activity is completed and takes about 3 5mins to restart
Ex: happens when dispense or receive 20  commodities
Egwuma   3 3 2015
</t>
  </si>
  <si>
    <t>wordpress-mobile-MediaPicker-Android-3</t>
  </si>
  <si>
    <t>Scale decoded bitmaps to avoid OOM errors</t>
  </si>
  <si>
    <t xml:space="preserve">If the user is scrolling too fast with too many large images the app may run out of memory and crash 
https:  github com wordpress mobile MediaPicker Android blob develop mediapicker src main java org wordpress mediapicker MediaUtils java L94
</t>
  </si>
  <si>
    <t>nilsbraden-ttrss-reader-fork-260</t>
  </si>
  <si>
    <t>Share on Facebook messenger crashes Facebook messenger</t>
  </si>
  <si>
    <t xml:space="preserve">   
What steps will reproduce the problem 
1 long click on an article in the feed and click share  
2   select Facebook messenger and select a friend  Click on send  
3 facebook messenger crashes  
What is the expected output  What do you see instead 
Normal sharing experience expected  Facebook messenger app crashes instead  
What version of the product are you using (please provide the full version
information from the About box )  On what android version  And
what server version is your TTRSS Server running 
App version 1771
Android version 4 4 2
Server Version 1 14
Please provide any additional information below: n a
Original issue reported on code google com by  pcco    gmail com  on 29 Oct 2014 at 8:49
</t>
  </si>
  <si>
    <t>mvysny-aedict-437</t>
  </si>
  <si>
    <t>Strange/missing search results - Self Test reports four failures</t>
  </si>
  <si>
    <t xml:space="preserve">   
What steps will reproduce the problem 
1 Run Selfs test from  Expert Settings 
2 
3 
What is the expected output  What do you see instead 
Expected: All tests  Passed 
Got:  Ran 15 Tests  failed 4  crashed 0 
What version of Android are you using 
Android 4 4 2 on Samsung Galaxy Tab 3 10 1 (Model GT P5220)
Please provide any additional information below 
I first stumbled upon search problems when I first bought the App back when it 
was rather new  Even simple words like  hon  (book) were not found  while this 
worked perfectly in the older aedict 2 version  Things improved greatly over 
time  but I still sometimes have trouble finding words  which is why I started 
tracking the  Self Test   Unfortunately the failures remain across several 
updates now 
If I can do anything to help with debugging  just tell me what you need 
Original issue reported on code google com by  wonc    googlemail com  on 2 Mar 2015 at 1:06
  Merged into:  290
</t>
  </si>
  <si>
    <t>syncthing-syncthing-android-244</t>
  </si>
  <si>
    <t xml:space="preserve">crash when trying to add /efs </t>
  </si>
  <si>
    <t xml:space="preserve">syncthing 0 5 20 craches when trying to add  efs or  data (and others) via  add folder  dialog 
Maybe these folders are not readable anyway   but the app should not crash 
Device: Samsung S4mini Android 4 4 2 stock (not rooted) 
</t>
  </si>
  <si>
    <t>dimagi-commcare-android-186</t>
  </si>
  <si>
    <t>Drop down search crash</t>
  </si>
  <si>
    <t xml:space="preserve">When filtering over saved forms and changing the form status to list  the filtering method would crash because it tried to filter data before it was loaded  This commit  ensures that filtering only occurs after FormRecord text data has been loaded 
The biggest change is that IncompleteFormListAdapter extends FormRecordLoadListener and adds itself to the listeners to be called when FormRecordLoaderTask finishes loading data  in order to filterValues at the proper time 
Fixes  bug 161420 (http:  manage dimagi com default asp 161420)
</t>
  </si>
  <si>
    <t>nfcgate-nfcgate-62</t>
  </si>
  <si>
    <t>NPE on launching NFCGate from the NFC app selection prompt</t>
  </si>
  <si>
    <t xml:space="preserve">If you select NFCGate from the list of applications that can handle a provided NFC card  it crashes with a NPE 
03 16 18:12:34 019    8818 8818 tud seemuh nfcgate E AndroidRuntime  FATAL EXCEPTION: main
    Process: tud seemuh nfcgate  PID: 8818
    java lang RuntimeException: Unable to resume activity  tud seemuh nfcgate tud seemuh nfcgate ActivityAlias : java lang NullPointerException
            at android app ActivityThread performResumeActivity(ActivityThread java:2812)
            at android app ActivityThread handleResumeActivity(ActivityThread java:2841)
            at android app ActivityThread handleLaunchActivity(ActivityThread java:2276)
            at android app ActivityThread access 800(ActivityThread java:144)
            at android app ActivityThread H handleMessage(ActivityThread java:1205)
            at android os Handler dispatchMessage(Handler java:102)
            at android os Looper loop(Looper java:136)
            at android app ActivityThread main(ActivityThread java:5146)
            at java lang reflect Method invokeNative(Native Method)
            at java lang reflect Method invoke(Method java:515)
            at com android internal os ZygoteInit MethodAndArgsCaller run(ZygoteInit java:732)
            at com android internal os ZygoteInit main(ZygoteInit java:566)
            at com android internal os ZygoteInit main(Native Method)
            at dalvik system NativeStart main(Native Method)
     Caused by: java lang NullPointerException
            at tud seemuh nfcgate network HighLevelProtobufHandler notifySinkManager(HighLevelProtobufHandler java:163)
            at tud seemuh nfcgate network HighLevelProtobufHandler sendAnticol(HighLevelProtobufHandler java:456)
            at tud seemuh nfcgate network ProtobufCallback setTag(ProtobufCallback java:342)
            at tud seemuh nfcgate MainActivity onNewIntent(MainActivity java:276)
            at tud seemuh nfcgate MainActivity onResume(MainActivity java:199)
            at android app Instrumentation callActivityOnResume(Instrumentation java:1192)
            at android app Activity performResume(Activity java:5310)
            at android app ActivityThread performResumeActivity(ActivityThread java:2802)
            at android app ActivityThread handleResumeActivity(ActivityThread java:2841)
            at android app ActivityThread handleLaunchActivity(ActivityThread java:2276)
            at android app ActivityThread access 800(ActivityThread java:144)
            at android app ActivityThread H handleMessage(ActivityThread java:1205)
            at android os Handler dispatchMessage(Handler java:102)
            at android os Looper loop(Looper java:136)
            at android app ActivityThread main(ActivityThread java:5146)
            at java lang reflect Method invokeNative(Native Method)
            at java lang reflect Method invoke(Method java:515)
            at com android internal os ZygoteInit MethodAndArgsCaller run(ZygoteInit java:732)
            at com android internal os ZygoteInit main(ZygoteInit java:566)
            at com android internal os ZygoteInit main(Native Method)
            at dalvik system NativeStart main(Native Method)
Judging from the stack trace  that s probably due to the process trying to send a message  which has to be passed through the SinkManager  However  the SinkManager has not been initialized yet  the relevant reference to the Queue and the SinkManager is still null 
I ll think about how to best fix this  The easiest is probably to check if the SinkManager has been initialized  and if it hasn t  to not try to pass any messages to it 
</t>
  </si>
  <si>
    <t>riul88-call-recorder-for-android-11</t>
  </si>
  <si>
    <t>Crash when other files present in recordedCalls dir</t>
  </si>
  <si>
    <t xml:space="preserve">   
Line 215 of MainActivity java makes some assumptions about how many characters 
there are in each filename   If there are unexpected files in that directory  
it can crash 
https:  code google com p call recorder for android source browse Android 20Call
 20Recorder src com call recorder MainActivity java 215
What steps will reproduce the problem 
1  create a directory called  keepers  in the recordedCalls directory
2  try to start app
3  boom
Original issue reported on code google com by  e    waxworlds org  on 12 Mar 2015 at 6:05
</t>
  </si>
  <si>
    <t>ruiaraujo-sifeup-mobile-18</t>
  </si>
  <si>
    <t>Your password is invalid. Please login again message</t>
  </si>
  <si>
    <t xml:space="preserve">   
What steps will reproduce the problem 
1  Start the application
2  Open any item on the menu
What is the expected output  What do you see instead 
Item opens  instead I m receiving a message that reads    although I m already 
logged in and my password is correct 
What version of the product are you using  On what operating system 
1 1 5 on Android version 4 2 1
Please provide any additional information below 
I ve already reinstalled the app  if I try to log out and log in again the app 
recognizes my account even after I have cleared app data  If I try to login 
with the same account app crashes and crashes again on every startup 
Original issue reported on code google com by  nuno aga    gmail com  on 19 Mar 2013 at 9:26
</t>
  </si>
  <si>
    <t>square-okhttp-1512</t>
  </si>
  <si>
    <t>LoggingInterceptor Recipe Can Crash</t>
  </si>
  <si>
    <t xml:space="preserve">I ve experience code based on the LoggingInterceptor recipe crashing with a null pointer exception because chain proceed() returned null (probably because the call was cancelled) 
</t>
  </si>
  <si>
    <t>chennaione-sugar-279</t>
  </si>
  <si>
    <t>DB upgrades can result in race condition</t>
  </si>
  <si>
    <t xml:space="preserve">In the SugarApp class the onCreate() method looks like this:
 Override
public void onCreate()  
    super onCreate() 
    SugarContext init(this) 
Since super onCreate() is being called first  it means that the launcher activity starts  then SugarContext init(this) is called  This is creating problems in my app because my Activity is able to hit its onCreate() and onStart() methods before the upgrade is even started  This has been crashing my app and I wonder if this has occurred for anyone else and if you have a solution that you can suggest 
Would calling SugarContext init(this) before super onCreate() guarantee that upgrades would occur before Activity code is run 
</t>
  </si>
  <si>
    <t>Rajawali-Rajawali-1383</t>
  </si>
  <si>
    <t>RajawaliRender fails to handle some GL versions</t>
  </si>
  <si>
    <t xml:space="preserve">The Nexus 6 reports the OpenGL version as  OpenGL ES 3 0V 95 0 (GIT I86da836d38)  
The above string causes a crash during onSurfaceCreated as the string post the     is attempted to be converted to an integer 
03 16 22:06:54 041: E AndroidRuntime(9402): FATAL EXCEPTION: GLThread 2353
03 16 22:06:54 041: E AndroidRuntime(9402): Process: com monyetmabuk rajawali tutorials  PID: 9402
03 16 22:06:54 041: E AndroidRuntime(9402): java lang NumberFormatException: Invalid int:  0V 95 
03 16 22:06:54 041: E AndroidRuntime(9402):     at java lang Integer invalidInt(Integer java:138)
03 16 22:06:54 041: E AndroidRuntime(9402):     at java lang Integer parse(Integer java:410)
03 16 22:06:54 041: E AndroidRuntime(9402):     at java lang Integer parseInt(Integer java:367)
03 16 22:06:54 041: E AndroidRuntime(9402):     at java lang Integer parseInt(Integer java:334)
03 16 22:06:54 041: E AndroidRuntime(9402):     at rajawali renderer RajawaliRenderer onSurfaceCreated(RajawaliRenderer java:481)
03 16 22:06:54 041: E AndroidRuntime(9402):     at com monyetmabuk rajawali tutorials examples AExampleFragment AExampleRenderer onSurfaceCreated(AExampleFragment java:156)
03 16 22:06:54 041: E AndroidRuntime(9402):     at android opengl GLSurfaceView GLThread guardedRun(GLSurfaceView java:1500)
03 16 22:06:54 041: E AndroidRuntime(9402):     at android opengl GLSurfaceView GLThread run(GLSurfaceView java:1239)
</t>
  </si>
  <si>
    <t>dimagi-commcare-android-187</t>
  </si>
  <si>
    <t>Bugfix: Form Serialization Crash</t>
  </si>
  <si>
    <t xml:space="preserve">Fixes an issue where when our caching optimization fails and it crashes the app
http:  manage dimagi com default asp 161629 898010
</t>
  </si>
  <si>
    <t>mixpanel-mixpanel-android-189</t>
  </si>
  <si>
    <t>OutOfMemoryError: DecideChecker.getNotificationImage()</t>
  </si>
  <si>
    <t xml:space="preserve">Hey 
MP SDK: 4 5 3
Just to let you know about a recent crash report I got  Not so much info to repro it 
DecideChecker java line 231
com mixpanel android mpmetrics DecideChecker getNotificationImage
java lang OutOfMemoryError
       at android graphics BitmapFactory nativeDecodeByteArray(BitmapFactory java)
       at android graphics BitmapFactory decodeByteArray(BitmapFactory java:596)
       at android graphics BitmapFactory decodeByteArray(BitmapFactory java:619)
       at com mixpanel android mpmetrics DecideChecker getNotificationImage(DecideChecker java:231)
       at com mixpanel android mpmetrics DecideChecker runDecideCheck(DecideChecker java:85)
       at com mixpanel android mpmetrics DecideChecker runDecideChecks(DecideChecker java:54)
       at com mixpanel android mpmetrics AnalyticsMessages Worker AnalyticsMessageHandler handleMessage(AnalyticsMessages java:253)
       at android os Handler dispatchMessage(Handler java:102)
       at android os Looper loop(Looper java:136)
       at android os HandlerThread run(HandlerThread java:61)
</t>
  </si>
  <si>
    <t>spacecowboy-NoNonsense-FilePicker-12</t>
  </si>
  <si>
    <t>Crash on root folders</t>
  </si>
  <si>
    <t xml:space="preserve">Using your library on my project (FDND)  I found a little bug  it crashes when we go back to the   of the device  and then click on a folder which we can t access (I tried  on a device without root) 
I ll probably make a pull request if you don t have the time 
Here s the stack trace : 
   java lang RuntimeException: An error occured while executing doInBackground()
              at android os AsyncTask 3 done(AsyncTask java:300)
              at java util concurrent FutureTask finishCompletion(FutureTask java:355)
              at java util concurrent FutureTask setException(FutureTask java:222)
              at java util concurrent FutureTask run(FutureTask java:242)
              at java util concurrent ThreadPoolExecutor runWorker(ThreadPoolExecutor java:1112)
              at java util concurrent ThreadPoolExecutor Worker run(ThreadPoolExecutor java:587)
              at java lang Thread run(Thread java:818)
       Caused by: java lang NullPointerException: Attempt to get length of null array
              at com nononsenseapps filepicker FilePickerFragment 2 loadInBackground(FilePickerFragment java:142)
              at com nononsenseapps filepicker FilePickerFragment 2 loadInBackground(FilePickerFragment java:135)
              at android content AsyncTaskLoader onLoadInBackground(AsyncTaskLoader java:312)
              at android content AsyncTaskLoader LoadTask doInBackground(AsyncTaskLoader java:69)
              at android content AsyncTaskLoader LoadTask doInBackground(AsyncTaskLoader java:57)
              at android os AsyncTask 2 call(AsyncTask java:288)
              at java util concurrent FutureTask run(FutureTask java:237)
              at java util concurrent ThreadPoolExecutor runWorker(ThreadPoolExecutor java:1112)
              at java util concurrent ThreadPoolExecutor Worker run(ThreadPoolExecutor java:587)
              at java lang Thread run(Thread java:818)
</t>
  </si>
  <si>
    <t>iBotPeaches-Apktool-745</t>
  </si>
  <si>
    <t>Breaks on decoding Google+ APKs</t>
  </si>
  <si>
    <t xml:space="preserve">Original  issue 635 (https:  code google com p android apktool issues detail id 635) created by archon810 on 2014 05 20T15:08:46 000Z:
   b What steps will reproduce the problem   b 
  1  Download Google  APK 4 3  from http:  www androidpolice com 2014 05 20 google app gets a big update to v4 4 with a new ui auto awesome stories improved support for large photo libraries and more apk download 
  2  Attempt to decode it 
  3  Receive crash midway through decoding resources 
 b What is the expected output  What do you see instead   b 
Exception in thread  quot main quot  brut androlib err UndefinedResObject: resource spec: 0x7f030010
    at brut androlib res data ResPackage getResSpec(ResPackage java:59)
    at brut androlib res data ResTable getResSpec(ResTable java:58)
    at brut androlib res data ResTable getResSpec(ResTable java:54)
    at brut androlib res data value ResReferenceValue getReferent(ResReferenceValue java:60)
    at brut androlib res data value ResReferenceValue encodeAsResXml(ResReferenceValue java:47)
    at brut androlib res data value ResScalarValue encodeAsResXmlAttr(ResScalarValue java:45)
    at brut androlib res data value ResStyleValue serializeToResValuesXml(ResStyleValue java:49)
    at brut androlib res AndrolibResources generateValuesFile(AndrolibResources java:553)
    at brut androlib res AndrolibResources decode(AndrolibResources java:309)
    at brut androlib Androlib decodeResourcesFull(Androlib java:119)
    at brut androlib ApkDecoder decode(ApkDecoder java:115)
    at brut apktool Main cmdDecode(Main java:169)
    at brut apktool Main main(Main java:85)
 b What version of the product are you using  On what operating system   b 
Using Apktool 2 0 0 Beta9 1e3b66f9be on com google android apps plus 4 4 0 67576161 apk
</t>
  </si>
  <si>
    <t>iBotPeaches-Apktool-712</t>
  </si>
  <si>
    <t xml:space="preserve">malformed html styles </t>
  </si>
  <si>
    <t xml:space="preserve">Original  issue 602 (https:  code google com p android apktool issues detail id 602) created by connor tumbleson on 2014 02 10T16:03:34 000Z:
There does seem to be problems with this 
If a string like
 lt a href  quot http:  foo com quot  style  quot padding: 4px 4px 4px 4px  quot  gt foo lt  a gt 
It used to crash 
Now it comes out as (with: https:  github com iBotPeaches Apktool commit d90bea10ce33abadc37ec38f1a48f4557ca568af )
 lt a href  quot http:  foo com quot  style  quot padding: 4px 4px 4px 4px quot  gt foo lt  a gt 
Missing the trailing slash  I got a commit out that fixes the crashes to prevent apktool from being abused from this problem  but I ll have to look into the HTML function more in depth and write a whole class of unit tests for this so that we don t strip the trailing   and fix the crash 
The bug with lengths being read as short max has been fixed: https:  github com iBotPeaches Apktool commit ca314b9aaed6a6bac28dbb7d4c7b995728eaac81
</t>
  </si>
  <si>
    <t>bumptech-glide-372</t>
  </si>
  <si>
    <t>SIGSEGV on android 4.3 (galaxy nexus) JWR66Y</t>
  </si>
  <si>
    <t xml:space="preserve">Hey guys  
I m getting this SIGSEGV exception when using glide on a galaxy nexus  The same issue doesn t happen on Genymotion and doesn t happen on my nexus 5  Any thoughts 
First I thought glide wasn t compatible with this sdk level  but in the other thread it was clarified that the compat level is 10  so I am a bit lost  
Thanks 
    log
03 17 20:33:46 802  19284 19350   A libc  Fatal signal 11 (SIGSEGV) at 0xc57e187b (code 1)  thread 19350 (fifo pool threa)
03 17 20:33:47 091      123 123   I DEBUG                                                                 
03 17 20:33:47 091      123 123   I DEBUG  Build fingerprint:  google takju maguro:4 3 JWR66Y 776638:user release keys 
03 17 20:33:47 091      123 123   I DEBUG  Revision:  9 
03 17 20:33:47 091      123 123   I DEBUG  pid: 19284  tid: 19350  name: fifo pool threa      com mufumbo android recipe search    
03 17 20:33:47 091      123 123   I DEBUG  signal 11 (SIGSEGV)  code 1 (SEGV MAPERR)  fault addr c57e187b
03 17 20:33:47 747      123 123   I DEBUG  r0 c57e1877  r1 7dcebea0  r2 00000005  r3 c57e1877
03 17 20:33:47 755      123 123   I DEBUG  r4 00000728  r5 00000724  r6 5a84b738  r7 28000000
03 17 20:33:47 755      123 123   I DEBUG  r8 00000005  r9 00000000  sl 00003128  fp 00000004
03 17 20:33:47 755      123 123   I DEBUG  ip 00000000  sp 5ef8f7c8  lr 40070599  pc 40070978  cpsr 20000030
03 17 20:33:47 755      123 123   I DEBUG  d0  0000000000000000  d1  0000000000000000
03 17 20:33:47 755      123 123   I DEBUG  d2  0000000000000000  d3  0000000000000000
03 17 20:33:47 755      123 123   I DEBUG  d4  2fa1a2a32548993e  d5  62640913b040fe53
03 17 20:33:47 755      123 123   I DEBUG  d6  fe990bbf77cc51d5  d7  3f8000006c46f753
03 17 20:33:47 755      123 123   I DEBUG  d8  3f8000003f800000  d9  4346000000000000
03 17 20:33:47 755      123 123   I DEBUG  d10 0000000041b00000  d11 0000000000000000
03 17 20:33:47 755      123 123   I DEBUG  d12 0000000000000000  d13 0000000000000000
03 17 20:33:47 755      123 123   I DEBUG  d14 0000000000000000  d15 0000000000000000
03 17 20:33:47 755      123 123   I DEBUG  d16 0000000000000001  d17 0000000100000000
03 17 20:33:47 755      123 123   I DEBUG  d18 0000000100000000  d19 0000000100000000
03 17 20:33:47 755      123 123   I DEBUG  d20 ffffffff00000000  d21 ffffffff00000000
03 17 20:33:47 755      123 123   I DEBUG  d22 ffffffff00000000  d23 ffffffff00000000
03 17 20:33:47 755      123 123   I DEBUG  d24 fffffffe00000000  d25 fffffffe00000000
03 17 20:33:47 755      123 123   I DEBUG  d26 ffffffff00000000  d27 ffffffff00000000
03 17 20:33:47 755      123 123   I DEBUG  d28 0000000100000000  d29 0000000100000000
03 17 20:33:47 755      123 123   I DEBUG  d30 0000000100000000  d31 0000000100000000
03 17 20:33:47 755      123 123   I DEBUG  scr 60000097
03 17 20:33:47 771      123 123   I DEBUG  backtrace:
03 17 20:33:47 778      123 123   I DEBUG   00  pc 0000f978   system lib libc so (dlmalloc 1043)
03 17 20:33:47 778      123 123   I DEBUG   01  pc 00010f5f   system lib libc so (dlcalloc 42)
03 17 20:33:47 778      123 123   I DEBUG   02  pc 0000d9d3   system lib libc so (calloc 10)
03 17 20:33:47 778      123 123   I DEBUG   03  pc 001cd7ad   system lib libskia so (VP8New 8)
03 17 20:33:47 778      123 123   I DEBUG   04  pc 001cc091   system lib libskia so
03 17 20:33:47 778      123 123   I DEBUG   05  pc 00112580   system lib libskia so
03 17 20:33:47 778      123 123   I DEBUG   06  pc 00112988   system lib libskia so (SkWEBPImageDecoder::onDecode(SkStream   SkBitmap   SkImageDecoder::Mode) 256)
03 17 20:33:47 778      123 123   I DEBUG   07  pc 0010c968   system lib libskia so (SkImageDecoder::decode(SkStream   SkBitmap   SkBitmap::Config  SkImageDecoder::Mode  bool) 168)
03 17 20:33:47 778      123 123   I DEBUG   08  pc 00072c11   system lib libandroid runtime so
03 17 20:33:47 778      123 123   I DEBUG   09  pc 000732cb   system lib libandroid runtime so
03 17 20:33:47 778      123 123   I DEBUG   10  pc 000732f7   system lib libandroid runtime so
03 17 20:33:47 778      123 123   I DEBUG   11  pc 0001dc4c   system lib libdvm so (dvmPlatformInvoke 112)
03 17 20:33:47 778      123 123   I DEBUG   12  pc 0004decf   system lib libdvm so (dvmCallJNIMethod(unsigned int const   JValue   Method const   Thread ) 398)
03 17 20:33:47 778      123 123   I DEBUG   13  pc 00027060   system lib libdvm so
03 17 20:33:47 778      123 123   I DEBUG   14  pc 0002b5ec   system lib libdvm so (dvmInterpret(Thread   Method const   JValue ) 184)
03 17 20:33:47 778      123 123   I DEBUG   15  pc 0005ff21   system lib libdvm so (dvmCallMethodV(Thread   Method const   Object   bool  JValue   std::  va list) 292)
03 17 20:33:47 778      123 123   I DEBUG   16  pc 0005ff4b   system lib libdvm so (dvmCallMethod(Thread   Method const   Object   JValue      ) 20)
03 17 20:33:47 786      123 123   I DEBUG   17  pc 00054ccb   system lib libdvm so
03 17 20:33:47 786      123 123   I DEBUG   18  pc 0000ca58   system lib libc so (  thread entry 72)
03 17 20:33:47 786      123 123   I DEBUG   19  pc 0000cbd4   system lib libc so (pthread create 208)
03 17 20:33:47 786      123 123   I DEBUG  stack:
03 17 20:33:47 786      123 123   I DEBUG  5ef8f788  5ef8f828
03 17 20:33:47 786      123 123   I DEBUG  5ef8f78c  5e75a4d7   data dalvik cache data app com mufumbo android recipe search 1 apk classes dex
03 17 20:33:47 786      123 123   I DEBUG  5ef8f790  5a853a90
03 17 20:33:47 786      123 123   I DEBUG  5ef8f794  5a8207a0
03 17 20:33:47 786      123 123   I DEBUG  5ef8f798  5a8cf01c
03 17 20:33:47 786      123 123   I DEBUG  5ef8f79c  0000616e
03 17 20:33:47 786      123 123   I DEBUG  5ef8f7a0  5ef8f830
03 17 20:33:47 786      123 123   I DEBUG  5ef8f7a4  00000000
03 17 20:33:47 786      123 123   I DEBUG  5ef8f7a8  00000000
03 17 20:33:47 786      123 123   I DEBUG  5ef8f7ac  40483659   system lib libskia so
03 17 20:33:47 786      123 123   I DEBUG  5ef8f7b0  00000724
03 17 20:33:47 786      123 123   I DEBUG  5ef8f7b4  00000724
03 17 20:33:47 786      123 123   I DEBUG  5ef8f7b8  00000000
03 17 20:33:47 786      123 123   I DEBUG  5ef8f7bc  5ef8f8f8
03 17 20:33:47 786      123 123   I DEBUG  5ef8f7c0  df0027ad
03 17 20:33:47 786      123 123   I DEBUG  5ef8f7c4  00000000
03 17 20:33:47 786      123 123   I DEBUG   00  5ef8f7c8  5ef8f81c
03 17 20:33:47 786      123 123   I DEBUG  5ef8f7cc  4093134d   system lib libdvm so
03 17 20:33:47 794      123 123   I DEBUG  5ef8f7d0  5a8cf008
03 17 20:33:47 794      123 123   I DEBUG  5ef8f7d4  00006182
03 17 20:33:47 794      123 123   I DEBUG  5ef8f7d8  00000000
03 17 20:33:47 794      123 123   I DEBUG  5ef8f7dc  00000724
03 17 20:33:47 794      123 123   I DEBUG  5ef8f7e0  00000724
03 17 20:33:47 794      123 123   I DEBUG  5ef8f7e4  00000000
03 17 20:33:47 794      123 123   I DEBUG  5ef8f7e8  5ef8f8f8
03 17 20:33:47 794      123 123   I DEBUG  5ef8f7ec  597de980
03 17 20:33:47 794      123 123   I DEBUG  5ef8f7f0  00000000
03 17 20:33:47 794      123 123   I DEBUG  5ef8f7f4  5a87bf88
03 17 20:33:47 794      123 123   I DEBUG  5ef8f7f8  00000004
03 17 20:33:47 794      123 123   I DEBUG  5ef8f7fc  40071f63   system lib libc so (dlcalloc 46)
03 17 20:33:47 794      123 123   I DEBUG   01  5ef8f800  40071f35   system lib libc so (dlcalloc)
03 17 20:33:47 794      123 123   I DEBUG  5ef8f804  52125010
03 17 20:33:47 794      123 123   I DEBUG  5ef8f808  00000000
03 17 20:33:47 794      123 123   I DEBUG  5ef8f80c  4006e9d5   system lib libc so (calloc 12)
03 17 20:33:47 794      123 123   I DEBUG   02  5ef8f810  00006182
03 17 20:33:47 794      123 123   I DEBUG  5ef8f814  404817b1   system lib libskia so (VP8New 12)
03 17 20:33:47 817      123 123   I DEBUG  memory near r1:
03 17 20:33:47 817      123 123   I DEBUG  7dcebe80 ffffffff ffffffff ffffffff ffffffff
03 17 20:33:47 817      123 123   I DEBUG  7dcebe90 ffffffff ffffffff ffffffff ffffffff
03 17 20:33:47 817      123 123   I DEBUG  7dcebea0 ffffffff ffffffff ffffffff ffffffff
03 17 20:33:47 817      123 123   I DEBUG  7dcebeb0 ffffffff ffffffff ffffffff ffffffff
03 17 20:33:47 817      123 123   I DEBUG  7dcebec0 ffffffff ffffffff ffffffff ffffffff
03 17 20:33:47 817      123 123   I DEBUG  7dcebed0 ffffffff ffffffff ffffffff ffffffff
03 17 20:33:47 817      123 123   I DEBUG  7dcebee0 ffffffff ffffffff ffffffff ffffffff
03 17 20:33:47 817      123 123   I DEBUG  7dcebef0 ffffffff ffffffff ffffffff ffffffff
03 17 20:33:47 817      123 123   I DEBUG  7dcebf00 ffffffff ffffffff ffffffff ffffffff
03 17 20:33:47 817      123 123   I DEBUG  7dcebf10 ffffffff ffffffff ffffffff ffffffff
03 17 20:33:47 817      123 123   I DEBUG  7dcebf20 ffffffff ffffffff ffffffff ffffffff
03 17 20:33:47 817      123 123   I DEBUG  7dcebf30 ffffffff ffffffff ffffffff ffffffff
03 17 20:33:47 817      123 123   I DEBUG  7dcebf40 ffffffff ffffffff ffffffff ffffffff
03 17 20:33:47 817      123 123   I DEBUG  7dcebf50 ffffffff ffffffff ffffffff ffffffff
03 17 20:33:47 817      123 123   I DEBUG  7dcebf60 ffffffff ffffffff ffffffff ffffffff
03 17 20:33:47 817      123 123   I DEBUG  7dcebf70 ffffffff ffffffff ffffffff ffffffff
03 17 20:33:47 817      123 123   I DEBUG  memory near r6:
03 17 20:33:47 817      123 123   I DEBUG  5a84b718 65b682de 24811070 e7c1d081 fa9ac42e
03 17 20:33:47 817      123 123   I DEBUG  5a84b728 3d2fe9b0 80a1029a dac9e405 a7d590f3
03 17 20:33:47 825      123 123   I DEBUG  5a84b738 fba5179f 7dcec5ca 3758515f 08c04f18
03 17 20:33:47 825      123 123   I DEBUG  5a84b748 5b41608a c57e1877 364fee70 30318e6e
03 17 20:33:47 825      123 123   I DEBUG  5a84b758 d83cd7b9 4682848b 0b9e757f 699c6a7a
03 17 20:33:47 825      123 123   I DEBUG  5a84b768 8f6a98da 2a1a3831 0f90d86d 3e296bbd
03 17 20:33:47 825      123 123   I DEBUG  5a84b778 ff4cd553 feac55ac 07e9fbd8 8f985808
03 17 20:33:47 825      123 123   I DEBUG  5a84b788 6d6945cd 9b22bb99 55ef968e 9745874d
03 17 20:33:47 825      123 123   I DEBUG  5a84b798 50bf6dfa 5e1cc4eb b25f0985 eb064260
03 17 20:33:47 825      123 123   I DEBUG  5a84b7a8 22810be8 ab0e1bd2 9af457e8 eed02470
03 17 20:33:47 825      123 123   I DEBUG  5a84b7b8 cefa6c48 49b14682 c232cdf6 0c6aa3c1
03 17 20:33:47 825      123 123   I DEBUG  5a84b7c8 b25c4ad2 6e9778f7 6d60226d cf195c15
03 17 20:33:47 825      123 123   I DEBUG  5a84b7d8 5620b7a9 bf4cbc44 312dfdc0 958ec8fb
03 17 20:33:47 825      123 123   I DEBUG  5a84b7e8 3da5edca c4fe68ab 2c83346f 509639f1
03 17 20:33:47 825      123 123   I DEBUG  5a84b7f8 f62eb4c9 ac61ca9c 470bb6e0 8c99f29c
03 17 20:33:47 825      123 123   I DEBUG  5a84b808 b86b2d80 9a17dcd5 f2d49af3 54bc891d
03 17 20:33:47 825      123 123   I DEBUG  memory near r7:
03 17 20:33:47 825      123 123   I DEBUG  27ffffe0 ffffffff ffffffff ffffffff ffffffff
03 17 20:33:47 825      123 123   I DEBUG  27fffff0 ffffffff ffffffff ffffffff ffffffff
03 17 20:33:47 825      123 123   I DEBUG  28000000 ffffffff ffffffff ffffffff ffffffff
03 17 20:33:47 825      123 123   I DEBUG  28000010 ffffffff ffffffff ffffffff ffffffff
03 17 20:33:47 825      123 123   I DEBUG  28000020 ffffffff ffffffff ffffffff ffffffff
03 17 20:33:47 825      123 123   I DEBUG  28000030 ffffffff ffffffff ffffffff ffffffff
03 17 20:33:47 825      123 123   I DEBUG  28000040 ffffffff ffffffff ffffffff ffffffff
03 17 20:33:47 825      123 123   I DEBUG  28000050 ffffffff ffffffff ffffffff ffffffff
03 17 20:33:47 825      123 123   I DEBUG  28000060 ffffffff ffffffff ffffffff ffffffff
03 17 20:33:47 833      123 123   I DEBUG  28000070 ffffffff ffffffff ffffffff ffffffff
03 17 20:33:47 833      123 123   I DEBUG  28000080 ffffffff ffffffff ffffffff ffffffff
03 17 20:33:47 833      123 123   I DEBUG  28000090 ffffffff ffffffff ffffffff ffffffff
03 17 20:33:47 833      123 123   I DEBUG  280000a0 ffffffff ffffffff ffffffff ffffffff
03 17 20:33:47 833      123 123   I DEBUG  280000b0 ffffffff ffffffff ffffffff ffffffff
03 17 20:33:47 833      123 123   I DEBUG  280000c0 ffffffff ffffffff ffffffff ffffffff
03 17 20:33:47 833      123 123   I DEBUG  280000d0 ffffffff ffffffff ffffffff ffffffff
03 17 20:33:47 833      123 123   I DEBUG  memory near sl:
03 17 20:33:47 833      123 123   I DEBUG  00003108 ffffffff ffffffff ffffffff ffffffff
03 17 20:33:47 833      123 123   I DEBUG  00003118 ffffffff ffffffff ffffffff ffffffff
03 17 20:33:47 833      123 123   I DEBUG  00003128 ffffffff ffffffff ffffffff ffffffff
03 17 20:33:47 833      123 123   I DEBUG  00003138 ffffffff ffffffff ffffffff ffffffff
03 17 20:33:47 833      123 123   I DEBUG  00003148 ffffffff ffffffff ffffffff ffffffff
03 17 20:33:47 833      123 123   I DEBUG  00003158 ffffffff ffffffff ffffffff ffffffff
03 17 20:33:47 833      123 123   I DEBUG  00003168 ffffffff ffffffff ffffffff ffffffff
03 17 20:33:47 833      123 123   I DEBUG  00003178 ffffffff ffffffff ffffffff ffffffff
03 17 20:33:47 833      123 123   I DEBUG  00003188 ffffffff ffffffff ffffffff ffffffff
03 17 20:33:47 833      123 123   I DEBUG  00003198 ffffffff ffffffff ffffffff ffffffff
03 17 20:33:47 833      123 123   I DEBUG  000031a8 ffffffff ffffffff ffffffff ffffffff
03 17 20:33:47 833      123 123   I DEBUG  000031b8 ffffffff ffffffff ffffffff ffffffff
03 17 20:33:47 833      123 123   I DEBUG  000031c8 ffffffff ffffffff ffffffff ffffffff
03 17 20:33:47 833      123 123   I DEBUG  000031d8 ffffffff ffffffff ffffffff ffffffff
03 17 20:33:47 833      123 123   I DEBUG  000031e8 ffffffff ffffffff ffffffff ffffffff
03 17 20:33:47 833      123 123   I DEBUG  000031f8 ffffffff ffffffff ffffffff ffffffff
03 17 20:33:47 833      123 123   I DEBUG  memory near sp:
03 17 20:33:47 833      123 123   I DEBUG  5ef8f7a8 00000000 40483659 00000724 00000724
03 17 20:33:47 833      123 123   I DEBUG  5ef8f7b8 00000000 5ef8f8f8 df0027ad 00000000
03 17 20:33:47 833      123 123   I DEBUG  5ef8f7c8 5ef8f81c 4093134d 5a8cf008 00006182
03 17 20:33:47 833      123 123   I DEBUG  5ef8f7d8 00000000 00000724 00000724 00000000
03 17 20:33:47 833      123 123   I DEBUG  5ef8f7e8 5ef8f8f8 597de980 00000000 5a87bf88
03 17 20:33:47 833      123 123   I DEBUG  5ef8f7f8 00000004 40071f63 40071f35 52125010
03 17 20:33:47 833      123 123   I DEBUG  5ef8f808 00000000 4006e9d5 00006182 404817b1
03 17 20:33:47 841      123 123   I DEBUG  5ef8f818 00006182 52125010 00000000 40480095
03 17 20:33:47 841      123 123   I DEBUG  5ef8f828 00000000 00000001 5a8cf008 00006182
03 17 20:33:47 841      123 123   I DEBUG  5ef8f838 00000014 00000000 00000000 0000616e
03 17 20:33:47 841      123 123   I DEBUG  5ef8f848 0000617a 00000000 00000000 00007000
03 17 20:33:47 841      123 123   I DEBUG  5ef8f858 00000000 5a8cf008 00000000 4048077f
03 17 20:33:47 841      123 123   I DEBUG  5ef8f868 52125010 5a848010 00006182 5a5d6840
03 17 20:33:47 841      123 123   I DEBUG  5ef8f878 5a848010 52125010 5ef8f8f8 597de980
03 17 20:33:47 841      123 123   I DEBUG  5ef8f888 00000000 5a87bf88 00000004 403c6584
03 17 20:33:47 841      123 123   I DEBUG  5ef8f898 00064660 5a5d6840 597de980 5ef8f9d8
03 17 20:33:47 841      123 123   I DEBUG  code around pc:
03 17 20:33:47 841      123 123   I DEBUG  40070958 f853447b b3533020 d0032a1f f1c60856
03 17 20:33:47 841      123 123   I DEBUG  40070968 e0000719 f04f2700 fa040c00 4666f707
03 17 20:33:47 841      123 123   I DEBUG  40070978 f0206858 1b000007 d2034288 461e4601
03 17 20:33:47 841      123 123   I DEBUG  40070988 d0572800 78d7ea4f f1086958 f8530804
03 17 20:33:47 841      123 123   I DEBUG  40070998 b1103028 d1014298 4660e002 4684b113
03 17 20:33:47 841      123 123   I DEBUG  400709a8 e7e5007f 28004603 2e00d144 f06fd142
03 17 20:33:47 841      123 123   I DEBUG  400709b8 fa030301 ea12f202 d02a030a ea06425e
03 17 20:33:47 841      123 123   I DEBUG  400709c8 1e430003 f0020b1a fa230610 0943f006
03 17 20:33:47 841      123 123   I DEBUG  400709d8 0c08f003 f20cfa20 08904466 0304f000
03 17 20:33:47 841      123 123   I DEBUG  400709e8 f203fa22 0c03eb06 f0060856 fa220002
03 17 20:33:47 841      123 123   I DEBUG  400709f8 4484f200 0340f3c2 f603fa22 0003eb0c
03 17 20:33:47 841      123 123   I DEBUG  40070a08 373cf8df 324c1982 447b2600 3022f853
03 17 20:33:47 841      123 123   I DEBUG  40070a18 461ee010 6858e00e 0c07f020 020cebc4
03 17 20:33:47 849      123 123   I DEBUG  40070a28 bf28428a 6919460a 461ebf38 6959b901
03 17 20:33:47 849      123 123   I DEBUG  40070a38 4611460b d1ee2b00 f0002e00 f8df8123
03 17 20:33:47 849      123 123   I DEBUG  40070a48 44780704 1b136882 f0804299 f8d0811b
03 17 20:33:47 849      123 123   I DEBUG  code around lr:
03 17 20:33:47 849      123 123   I DEBUG  40070578 f8dfff07 44791b94 21bcf8d1 d4020793
03 17 20:33:47 849      123 123   I DEBUG  40070588 d9092cf4 f501e1a6 260070e0 ed32f7fe
03 17 20:33:47 849      123 123   I DEBUG  40070598 f0412800 e7f3807c d9032c0a f024340b
03 17 20:33:47 849      123 123   I DEBUG  400705a8 e0000407 f8df2410 08e23b68 6818447b
03 17 20:33:47 849      123 123   I DEBUG  400705b8 f102fa20 078e9003 f001d021 f0840401
03 17 20:33:47 849      123 123   I DEBUG  400705c8 18b10601 04c1eb03 68a63428 429468b2
03 17 20:33:47 849      123 123   I DEBUG  400705d8 2201d106 fc01fa02 000cea20 e00c6018
03 17 20:33:47 849      123 123   I DEBUG  400705e8 42826918 68d3d305 d10242b3 60a260d4
03 17 20:33:47 849      123 123   I DEBUG  400705f8 f8dfe003 44780b20 00c8e0df 689de358
03 17 20:33:47 849      123 123   I DEBUG  40070608 f24042ac 2900833f f04fd074 fa000001
03 17 20:33:47 849      123 123   I DEBUG  40070618 fa01f602 fa06f202 4277f600 0c06ea47
03 17 20:33:47 849      123 123   I DEBUG  40070628 0602ea0c ea014271 1e7a0706 f0060b16
03 17 20:33:47 849      123 123   I DEBUG  40070638 fa220110 0957f201 0c08f007 f60cfa22
03 17 20:33:47 849      123 123   I DEBUG  40070648 08b24461 0c04f002 f60cfa26 070ceb01
03 17 20:33:47 857      123 123   I DEBUG  40070658 f100fa26 0202f001 f602fa26 0c02eb07
03 17 20:33:47 857      123 123   I DEBUG  40070668 0140f3c6 f201fa26 0701eb0c eb0318bf
03 17 20:33:47 857      123 123   I DEBUG  memory map around fault addr c57e187b:
03 17 20:33:47 857      123 123   I DEBUG  bedf7000 bee18000 rw   stack 
03 17 20:33:47 857      123 123   I DEBUG  (no map for address)
03 17 20:33:47 857      123 123   I DEBUG  ffff0000 ffff1000 r x  vectors 
03 17 20:33:48 357      376 395   I BootReceiver  Copying  data tombstones tombstone 07 to DropBox (SYSTEM TOMBSTONE)
03 17 20:33:48 364    376 19357   W ActivityManager  Force finishing activity com mufumbo android recipe search  dashboard RecipeFeedDashboardViewPagerActivity
03 17 20:33:48 372      376 409   W InputDispatcher  channel  433aad90 com mufumbo android recipe search com mufumbo android recipe search dashboard RecipeFeedDashboardViewPagerActivity (server)    Consumer closed input channel or an error occurred   events 0xd
03 17 20:33:48 372      376 409   E InputDispatcher  channel  433aad90 com mufumbo android recipe search com mufumbo android recipe search dashboard RecipeFeedDashboardViewPagerActivity (server)    Channel is unrecoverably broken and will be disposed 
03 17 20:33:48 435      376 386   W InputDispatcher  Attempted to unregister already unregistered input channel  433aad90 com mufumbo android recipe search com mufumbo android recipe search dashboard RecipeFeedDashboardViewPagerActivity (server) 
03 17 20:33:48 435      376 386   I WindowState  WIN DEATH: Window 433aad90 u0 com mufumbo android recipe search com mufumbo android recipe search dashboard RecipeFeedDashboardViewPagerActivity 
03 17 20:33:48 614    376 19357   W ActivityManager  Exception thrown during pause
    android os DeadObjectException
            at android os BinderProxy transact(Native Method)
            at android app ApplicationThreadProxy schedulePauseActivity(ApplicationThreadNative java:635)
            at com android server am ActivityStack startPausingLocked(ActivityStack java:990)
            at com android server am ActivityStack finishActivityLocked(ActivityStack java:3834)
            at com android server am ActivityStack finishActivityLocked(ActivityStack java:3766)
            at com android server am ActivityManagerService handleAppCrashLocked(ActivityManagerService java:8344)
            at com android server am ActivityManagerService makeAppCrashingLocked(ActivityManagerService java:8221)
            at com android server am ActivityManagerService crashApplication(ActivityManagerService java:8900)
            at com android server am ActivityManagerService handleApplicationCrashInner(ActivityManagerService java:8455)
            at com android server am NativeCrashListener NativeCrashReporter run(NativeCrashListener java:86)
03 17 20:33:48 622    376 19357   W ActivityManager  Force finishing activity com deploygate  activity MainActivity
03 17 20:33:48 622      376 387   I ActivityManager  Process com mufumbo android recipe search (pid 19284) has died 
</t>
  </si>
  <si>
    <t>iBotPeaches-Apktool-315</t>
  </si>
  <si>
    <t>Decompilation introduces quotes into string resources in res/values/strings.xml</t>
  </si>
  <si>
    <t xml:space="preserve">Original  issue 204 (https:  code google com p android apktool issues detail id 204) created by ericchubb on 2011 08 11T11:20:18 000Z:
   b What steps will reproduce the problem   b 
Download http:  www freewarelovers com android download temp 1298727501 Guns n Glory FREE 1 5 1 apk  (too big to attach to the bug)
1  Decompile the APK file using apktool v1 4 1
2  browser to the  quot res values strings xml quot 
3  There is a string with the text  quot Did you hear that terrible crash in the mountains  quot 
4  In version 1 4 1 of apktool  the string has quotes at the beginning and end of the text  In version 1 3 1  it did not  These quotes are visible in the text in the running application post recompilation  and look like they shouldn t be there 
</t>
  </si>
  <si>
    <t>google-google-authenticator-android-14</t>
  </si>
  <si>
    <t>Authenticator crashes in attempt to read a barcode</t>
  </si>
  <si>
    <t xml:space="preserve">How to reproduce:
1  Open Autenticator
2  Choose  Start Configuration 
3  Choose   Read Barcode 
Application crashes before camera opens 
Android Version: 5 0
Celphone: Motorola Moto X second generation 
</t>
  </si>
  <si>
    <t>dimagi-commcare-android-190</t>
  </si>
  <si>
    <t>Spanning Iterator Hotfix</t>
  </si>
  <si>
    <t xml:space="preserve">Bug: http:  manage dimagi com default asp 160804 899731
Fixes an issue where the spanning iterator would miss edges when it was doing the ID walking  causing crashes on devices with thousands of cases 
</t>
  </si>
  <si>
    <t>syncthing-syncthing-android-262</t>
  </si>
  <si>
    <t>Slow startup, should ignore .thumbnails</t>
  </si>
  <si>
    <t xml:space="preserve">I had a problem that the app hung since weeks   Waiting for API  forever  de  and reinstalled multiple times whenever new version came  no remedy  Then I looked at my files on my smartphone closely  even though I had 10 photos  it showed 2000 files  They were remaining thumbnails of photos I deleted earlier to make room  in a hidden directory  once I deleted those manually  syncthing finally came up  
My guess: a lot of small files in a directory makes syncthing stall  crash or whatever 
Galaxy GT I9100 Android 4 1 2 2GB RAM 
</t>
  </si>
  <si>
    <t>libgdx-libgdx-2964</t>
  </si>
  <si>
    <t>Joystick support crash with X7 keyboard/mouse</t>
  </si>
  <si>
    <t xml:space="preserve">App: Delver EarlyAcces (probably not game specific)
The problem: Instant crash when using A4Tech X7 keyboard or mouse buttons  Game crashes when i try to use arrow keys on external keyboard (G800V)  i can play using builtin keyboard  but not the external one 
CrashLog (all I have):
 Exception in thread  LWJGL Application  java lang ArrayIndexOutOfBoundsException:  keyID here 
        at com badlogic gdx controllers desktop ois OisJoystick buttonPressed(OisJoystick java:51)
        at com badlogic gdx controllers desktop ois OisJoystick update(Native Method)
        at com badlogic gdx controllers desktop ois OisJoystick update(OisJoystick java:82)
        at com badlogic gdx controllers desktop ois Ois update(Ois java:45)
        at com badlogic gdx controllers desktop OisControllers 1 run(OisControllers java:60)
        at com badlogic gdx backends lwjgl LwjglApplication executeRunnables(LwjglApplication java:238)
        at com badlogic gdx backends lwjgl LwjglApplication mainLoop(LwjglApplication java:193)
        at com badlogic gdx backends lwjgl LwjglApplication 1 run(LwjglApplication java:114)
My setup:
 OS: Kubuntu 14 10  (kernel: 3 16 0)
 Laptop (CPU: i7 4800MQ  GPU: GTX770M  RAM: 16GB)
 ext Keyboard: A4Tech X7 G800V
 mouse: A4Tech X7 X 755BK
Additional info:
 System s configuration utility detects both input devices (additionally to their primary function) as  Joysticks with 69 buttons and 37 axis  It s known that a4tech devices mess up some games  but this is the first time it causes them to crash and based on the exception it s not a game specific problem
</t>
  </si>
  <si>
    <t>jcricket-gwt-syncproxy-44</t>
  </si>
  <si>
    <t>Login to deployed App fails with java.io.FileNotFoundException (due to mishandled HTTP 500 error)</t>
  </si>
  <si>
    <t xml:space="preserve">   
What steps will reproduce the problem 
1  Deploy app to App Engine 
2  Attempt to login using following code:
    LoginUtils setLoginUrl( https:   my app  appspot com ) 
    LoginUtils loginAppEngine( this  cookie manager avail listener  chosen account )  
Notes:
1  I have used this URL with a token generated with code similar to the 
implementation at 
http:  blog notdot net 2010 05 Authenticating against App Engine from an Android
 app  using chosen account   seems to work 
2  I ve replaced my app s name with  my app  just in this issue entry 
3   this  above is my Activity subclass 
4  Deployed App Engine server works fine (no HTTP 500s) when used with the GWT 
generated web client 
What is the expected output  What do you see instead 
Expected a successful login  got a thrown exception:
E AndroidRuntime(13546): java lang RuntimeException: Failure in attempt to get 
cookie: 
E AndroidRuntime(13546):    at 
com gdevelop gwt syncrpc android GetCookieRunnable run(GetCookieRunnable java:12
1)
E AndroidRuntime(13546):    at java lang Thread run(Thread java:841)
E AndroidRuntime(13546): Caused by: java io FileNotFoundException: https:   my 
app  appspot com  ah login
E AndroidRuntime(13546):    at 
com android okhttp internal http HttpURLConnectionImpl getInputStream(HttpURLCon
nectionImpl java:186)
E AndroidRuntime(13546):    at 
com android okhttp internal http HttpsURLConnectionImpl getInputStream(HttpsURLC
onnectionImpl java:246)
E AndroidRuntime(13546):    at 
com gdevelop gwt syncrpc Utils getResposeText(Utils java:98)
E AndroidRuntime(13546):    at 
com gdevelop gwt syncrpc android GetCookieRunnable run(GetCookieRunnable java:98
)
E AndroidRuntime(13546):        1 more
What version of the product are you using  On what operating system 
SyncProxyAndroid 0 4 2 zip   GWT 2 6 0   Released 2014 03 11
I am using the Google plugin in Eclipse on Ubuntu Linux 
Please provide any additional information below 
I have traced the error to here: 
https:  code google com p gwt syncproxy source browse trunk SPALibrary src com g
develop gwt syncrpc android GetCookieRunnable java 98
From what I can tell the server is returning HTTP 500  which means that the 
server crashed out  probably without generating output   Since there is no 
input to open  we get an exception 
Original issue reported on code google com by  rmar    gmail com  on 1 Dec 2014 at 9:40
</t>
  </si>
  <si>
    <t>bumptech-glide-374</t>
  </si>
  <si>
    <t>Possible NPE when Disk Cache fails</t>
  </si>
  <si>
    <t xml:space="preserve">  Glide Version Integration library (if any)  : 3 5 2
  Device Android Version  : N A
  Issue details Repro steps  :
 DiskCache Factory build()  method JavaDoc says
  Returns a new disk cache  or   code null  if no disk cache could be created 
and  Engine LazyDiskCacheProvider getDiskCache()  just returns the value 
then  DecodeJob  uses that return value in a chain:  diskCacheProvider getDiskCache() get put delete()  
Meaning a custom Disk Cache Factory may fail:
public static class GlideSetup implements GlideModule  
     Override public void applyOptions(final Context context  GlideBuilder builder)  
        builder setDiskCache(new DiskCache Factory()  
             Override public DiskCache build()  
                File cacheDir   Paths getGlideCacheDirectory(context) 
                if (cacheDir    null
                           ( cacheDir mkdirs()    ( cacheDir exists()     cacheDir isDirectory())))  
                       Note that the condition is almost the same as Glide getPhotoCacheDir
                    return null 
                return DiskLruCacheWrapper get(cacheDir  250   1024   1024) 
         ) 
     Override public void registerComponents(Context context  Glide glide)   
In case the DiskCache Factory can t create a cache (no available directory  the a App will crash with an NPE in Glide  however it could probably work just fine without a disk cache  maybe a little slower 
Probably the
        if (diskCache    null)  
            diskCache   new DiskCacheAdapter() 
lines in  InternalCacheDiskCacheFactory build  should be moved to  LazyDiskCacheProvider   so the fallback applies to all caches  not just the Glide built in one 
PS: Also note that s an awful lot of lines  just to move the disk cache to another directory 
</t>
  </si>
  <si>
    <t>lecho-hellocharts-android-105</t>
  </si>
  <si>
    <t>Crash in PieChartView</t>
  </si>
  <si>
    <t xml:space="preserve">Had this crash in a production build   hope you can find out the cause  Thanks  :) 
java lang ArrayIndexOutOfBoundsException: src length 34 srcPos 0 dst length 32 dstPos  2 length 34
at java lang System arraycopy(Native Method) 
at lecho lib hellocharts formatter ValueFormatterHelper formatFloatValueWithPrependedAndAppendedText(SourceFile:78) 
at lecho lib hellocharts formatter ValueFormatterHelper formatFloatValueWithPrependedAndAppendedText(SourceFile:93) 
at lecho lib hellocharts formatter SimplePieChartValueFormatter formatChartValue(SourceFile:21) 
at lecho lib hellocharts renderer PieChartRenderer drawLabel(SourceFile:331) 
at lecho lib hellocharts renderer PieChartRenderer drawLabels(SourceFile:298) 
at lecho lib hellocharts renderer PieChartRenderer draw(SourceFile:160) 
at lecho lib hellocharts view AbstractChartView onDraw(SourceFile:90) 
</t>
  </si>
  <si>
    <t>syncthing-syncthing-android-289</t>
  </si>
  <si>
    <t>Not showing "Generating keys. This may take a while."</t>
  </si>
  <si>
    <t xml:space="preserve">1  installed 0 5 26 from Play store
2  run
3  nothing happening and almost every action causes a crash
4  letting it run for a while and it works
After some fiddling I realized that it was generating a key pair and that there SHOULD have been a message that tells me whats going on  but it never appeared 
(rooted HTC One X   cm11 nightlies)
</t>
  </si>
  <si>
    <t>syncthing-syncthing-android-302</t>
  </si>
  <si>
    <t>StartService unit test fails</t>
  </si>
  <si>
    <t xml:space="preserve">   
F ActivityManager( 1231): Activity Manager Crash
F ActivityManager( 1231): java lang NullPointerException: Attempt to invoke virtual method  java lang String java lang String intern()  on a null object reference
F ActivityManager( 1231):   at android content Intent readFromParcel(Intent java:7222)
F ActivityManager( 1231):   at android content Intent  init (Intent java:7202)
F ActivityManager( 1231):   at android content Intent 1 createFromParcel(Intent java:7193)
F ActivityManager( 1231):   at android content Intent 1 createFromParcel(Intent java:7191)
F ActivityManager( 1231):   at android os Parcel createTypedArray(Parcel java:2068)
F ActivityManager( 1231):   at android app ActivityManagerNative onTransact(ActivityManagerNative java:1089)
F ActivityManager( 1231):   at com android server am ActivityManagerService onTransact(ActivityManagerService java:2407)
F ActivityManager( 1231):   at android os Binder execTransact(Binder java:446)
D AndroidRuntime( 3503): Shutting down VM
          beginning of crash
E AndroidRuntime( 3503): FATAL EXCEPTION: main
E AndroidRuntime( 3503): Process: com nutomic syncthingandroid debug  PID: 3503
E AndroidRuntime( 3503): java lang NullPointerException: Attempt to invoke virtual method  java lang String java lang String intern()  on a null object reference
E AndroidRuntime( 3503):    at android os Parcel readException(Parcel java:1546)
E AndroidRuntime( 3503):    at android os Parcel readException(Parcel java:1493)
E AndroidRuntime( 3503):    at android app ActivityManagerProxy getIntentSender(ActivityManagerNative java:3730)
E AndroidRuntime( 3503):    at android app PendingIntent getActivity(PendingIntent java:291)
E AndroidRuntime( 3503):    at android app PendingIntent getActivity(PendingIntent java:252)
E AndroidRuntime( 3503):    at com nutomic syncthingandroid syncthing SyncthingService updateState(SyncthingService java:203)
E AndroidRuntime( 3503):    at com nutomic syncthingandroid syncthing SyncthingService StartupTask onPostExecute(SyncthingService java:307)
E AndroidRuntime( 3503):    at com nutomic syncthingandroid syncthing SyncthingService StartupTask onPostExecute(SyncthingService java:274)
E AndroidRuntime( 3503):    at android os AsyncTask finish(AsyncTask java:632)
E AndroidRuntime( 3503):    at android os AsyncTask access 600(AsyncTask java:177)
E AndroidRuntime( 3503):    at android os AsyncTask InternalHandler handleMessage(AsyncTask java:645)
E AndroidRuntime( 3503):    at android os Handler dispatchMessage(Handler java:102)
E AndroidRuntime( 3503):    at android os Looper loop(Looper java:135)
E AndroidRuntime( 3503):    at android app ActivityThread main(ActivityThread java:5221)
E AndroidRuntime( 3503):    at java lang reflect Method invoke(Native Method)
E AndroidRuntime( 3503):    at java lang reflect Method invoke(Method java:372)
E AndroidRuntime( 3503):    at com android internal os ZygoteInit MethodAndArgsCaller run(ZygoteInit java:899)
E AndroidRuntime( 3503):    at com android internal os ZygoteInit main(ZygoteInit java:694)
W ActivityManager( 1231): Error in app com nutomic syncthingandroid debug running instrumentation ComponentInfo com nutomic syncthingandroid test android test InstrumentationTestRunner :
W ActivityManager( 1231):   java lang NullPointerException
W ActivityManager( 1231):   java lang NullPointerException: Attempt to invoke virtual method  java lang String java lang String intern()  on a null object reference
</t>
  </si>
  <si>
    <t>google-google-authenticator-android-15</t>
  </si>
  <si>
    <t>Authenticator crashes on "start setup"</t>
  </si>
  <si>
    <t xml:space="preserve">  What steps will reproduce the problem   
1  Open Authentication
2  Try to put Begin Setup button
3  Immediately unfortunately  authentication has stopped
  What is the expected output  What do you see instead   
Immediately unfortunately  authentication has stopped
  What version of the product are you using  On what operating system   
Package version 49
package version name: 2 49
On Android
device: LG G3
  Please provide any additional information below   
This issue was originally reported on google code (https:  code google com p google authenticator issues detail id 353) and then reopened on github (https:  github com google google authenticator issues 346) but both records are closed 
However the issue still occurs 
  Workaround  
Originally posted on google code and reproduced at http:  lifeisabug com google authenticator crashes account setup workaround 
1  Open Authenticator but do NOT press the  Begin setup  button 
2  Instead  select  setup account  from the option menu 
3  Then from another device  go to https:  accounts google com b 0 SmsAuthSettings  select  Move to a different phone  and scan the QR code 
</t>
  </si>
  <si>
    <t>aikuma-aikuma-418</t>
  </si>
  <si>
    <t>Orientation crash</t>
  </si>
  <si>
    <t xml:space="preserve">I m still getting crashes on change of orientation  on the Google Play build  0 8 4 
This is reproducible as follows: Make new recording    review    name recording    add user    select user lang    now change phone orientation and Aikuma crashes every time on a Nexus 5 
</t>
  </si>
  <si>
    <t>cSploit-android-118</t>
  </si>
  <si>
    <t>CSploit are crached if u open traceroute.</t>
  </si>
  <si>
    <t xml:space="preserve">On my android 4 4 4 if i open traceroute csploit are crashed 
</t>
  </si>
  <si>
    <t>Stuart-campbell-RushOrm-17</t>
  </si>
  <si>
    <t>Startup crash</t>
  </si>
  <si>
    <t xml:space="preserve">Hi i just implemented your library but it crashes on startup with this error  I followed the realm to initialize 
    java
03 25 16:41:19 913  27702 27702 com lord emanuele orarioscolastico E AndroidRuntime  FATAL EXCEPTION: main
    Process: com lord emanuele orarioscolastico  PID: 27702
    java lang RuntimeException: Unable to create application com lord emanuele orarioscolastico DiaryApp: java lang NullPointerException: println needs a message
            at android app ActivityThread handleBindApplication(ActivityThread java:4521)
            at android app ActivityThread access 1500(ActivityThread java:144)
            at android app ActivityThread H handleMessage(ActivityThread java:1339)
            at android os Handler dispatchMessage(Handler java:102)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Caused by: java lang NullPointerException: println needs a message
            at android util Log println native(Native Method)
            at android util Log e(Log java:232)
            at co uk rushorm android AndroidLogger logError(AndroidLogger java:37)
            at co uk rushorm android AndroidRushClassFinder getRushClass(AndroidRushClassFinder java:60)
            at co uk rushorm android AndroidRushClassFinder getRushClasses(AndroidRushClassFinder java:45)
            at co uk rushorm android AndroidRushClassFinder findClasses(AndroidRushClassFinder java:36)
            at co uk rushorm core RushCore loadAnnotationCache(RushCore java:334)
            at co uk rushorm core RushCore initialize(RushCore java:85)
            at co uk rushorm core RushCore initialize(RushCore java:63)
            at co uk rushorm android RushAndroid initialize(RushAndroid java:38)
            at co uk rushorm android RushAndroid initialize(RushAndroid java:23)
            at com lord emanuele orarioscolastico DiaryApp onCreate(DiaryApp java:16)
            at android app Instrumentation callApplicationOnCreate(Instrumentation java:1011)
            at android app ActivityThread handleBindApplication(ActivityThread java:4518)
            at android app ActivityThread access 1500(ActivityThread java:144)
            at android app ActivityThread H handleMessage(ActivityThread java:1339)
            at android os Handler dispatchMessage(Handler java:102)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t>
  </si>
  <si>
    <t>eugenkiss-chanobol-160</t>
  </si>
  <si>
    <t>Image Saving Broadcast Bug</t>
  </si>
  <si>
    <t xml:space="preserve">http:  crashes to s 225c9ed53e0
java lang RuntimeException: Error receiving broadcast Intent   act android intent action DOWNLOAD COMPLETE flg 0x10 pkg anabolicandroids chanobol reallysfw (has extras)   in anabolicandroids chanobol util ImageSaver 6 42efd008
       at android app LoadedApk ReceiverDispatcher Args run(LoadedApk java:778)
       at android os Handler handleCallback(Handler java:730)
       at android os Handler dispatchMessage(Handler java:92)
       at android os Looper loop(Looper java:137)
       at android app ActivityThread main(ActivityThread java:5419)
       at java lang reflect Method invokeNative(Method java)
       at java lang reflect Method invoke(Method java:525)
       at com android internal os ZygoteInit MethodAndArgsCaller run(ZygoteInit java:1209)
       at com android internal os ZygoteInit main(ZygoteInit java:1025)
       at dalvik system NativeStart main(NativeStart java)
Caused by: java lang IllegalArgumentException: Receiver not registered: anabolicandroids chanobol util ImageSaver 6 42efd008
       at android app LoadedApk forgetReceiverDispatcher(LoadedApk java:667)
       at android app ContextImpl unregisterReceiver(ContextImpl java:1743)
       at android content ContextWrapper unregisterReceiver(ContextWrapper java:475)
       at anabolicandroids chanobol util ImageSaver 6 onReceive(ImageSaver java:214)
       at android app LoadedApk ReceiverDispatcher Args run(LoadedApk java:768)
       at android os Handler handleCallback(Handler java:730)
       at android os Handler dispatchMessage(Handler java:92)
       at android os Looper loop(Looper java:137)
       at android app ActivityThread main(ActivityThread java:5419)
       at java lang reflect Method invokeNative(Method java)
       at java lang reflect Method invoke(Method java:525)
       at com android internal os ZygoteInit MethodAndArgsCaller run(ZygoteInit java:1209)
       at com android internal os ZygoteInit main(ZygoteInit java:1025)
       at dalvik system NativeStart main(NativeStart java)
</t>
  </si>
  <si>
    <t>connectbot-connectbot-62</t>
  </si>
  <si>
    <t>Port range is not checked in Telnet transport</t>
  </si>
  <si>
    <t xml:space="preserve">There are some crashes like this:
java lang IllegalArgumentException: Port out of range: 19216803
        at java net Socket checkDestination(Socket java:302)
        at java net Socket tryAllAddresses(Socket java:127)
        at java net Socket  init (Socket java:178)
        at java net Socket  init (Socket java:150)
        at org connectbot transport Telnet connect(Telnet java:129)
        at org connectbot service TerminalBridge 3 run(TerminalBridge java:275)
        at java lang Thread run(Thread java:841)
We should detect this before failing  Maybe we can also try to detect 192 168 x x mistypes 
</t>
  </si>
  <si>
    <t>MythTV-Clients-MythtvPlayerForAndroid-17</t>
  </si>
  <si>
    <t>Fatal Exception: NullPointerException; In Watch Videos Screen</t>
  </si>
  <si>
    <t xml:space="preserve">Not duplicatable at will  Seen once  On commit 1fb137cf
  Was on Watch Recordings
  Switched to Watch Videos
  Swiped to scroll to end fo videos
  Exception fired
A 2nd exception fired after I responded to the Unfortunately    pop up 
It s included in the LogCat below  The entire app closed at this point 
Note that I have: setLogLevel(RestAdapter LogLevel NONE) to reduce the
LogCat output 
03 27 12:49:45 942    3269 3269 org mythtv android V VideoItemAdapter  onBindViewHolder : exit
03 27 12:49:45 943    3269 3269 org mythtv android D AndroidRuntime  Shutting down VM
              beginning of crash
03 27 12:49:45 944    3269 3269 org mythtv android E AndroidRuntime  FATAL EXCEPTION: main
    Process: org mythtv android  PID: 3269
    java lang NullPointerException: Attempt to invoke virtual method  void android view ViewGroup transformMatrixToGlobal(android graphics Matrix)  on a null object reference
            at android view GhostView calculateMatrix(GhostView java:95)
            at android app ActivityTransitionCoordinator GhostViewListeners onPreDraw(ActivityTransitionCoordinator java:845)
            at android view ViewTreeObserver dispatchOnPreDraw(ViewTreeObserver java:847)
            at android view ViewRootImpl performTraversals(ViewRootImpl java:1956)
            at android view ViewRootImpl doTraversal(ViewRootImpl java:1054)
            at android view ViewRootImpl TraversalRunnable run(ViewRootImpl java:5779)
            at android view Choreographer CallbackRecord run(Choreographer java:767)
            at android view Choreographer doCallbacks(Choreographer java:580)
            at android view Choreographer doFrame(Choreographer java:550)
            at android view Choreographer FrameDisplayEventReceiver run(Choreographer java:753)
            at android os Handler handleCallback(Handler java:739)
            at android os Handler dispatchMessage(Handler java:95)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03 27 12:54:30 049    3269 3269 org mythtv android I Process  Sending signal  PID: 3269 SIG: 9
03 27 12:54:30 355    4272 4272 org mythtv android I MythtvProvider  onCreate : enter
03 27 12:54:30 356    4272 4272 org mythtv android I MythtvProvider  onCreate : exit
03 27 12:54:30 555    4272 4292 org mythtv android E AndroidRuntime  FATAL EXCEPTION: AsyncTask  1
    Process: org mythtv android  PID: 4272
    java lang RuntimeException: An error occured while executing doInBackground()
            at android os AsyncTask 3 done(AsyncTask java:300)
            at java util concurrent FutureTask finishCompletion(FutureTask java:355)
            at java util concurrent FutureTask setException(FutureTask java:222)
            at java util concurrent FutureTask run(FutureTask java:242)
            at android os AsyncTask SerialExecutor 1 run(AsyncTask java:231)
            at java util concurrent ThreadPoolExecutor runWorker(ThreadPoolExecutor java:1112)
            at java util concurrent ThreadPoolExecutor Worker run(ThreadPoolExecutor java:587)
            at java lang Thread run(Thread java:818)
     Caused by: java lang NullPointerException: Attempt to invoke interface method  org mythtv android library events video AllVideosEvent org mythtv android library core service VideoService getVideoList(org mythtv android library events video RequestAllVideosEvent)  on a null object reference
            at org mythtv android library ui data VideosDataFragment VideosLoaderAsyncTask doInBackground(VideosDataFragment java:102)
            at org mythtv android library ui data VideosDataFragment VideosLoaderAsyncTask doInBackground(VideosDataFragment java:95)
            at android os AsyncTask 2 call(AsyncTask java:288)
            at java util concurrent FutureTask run(FutureTask java:237)
            at android os AsyncTask SerialExecutor 1 run(AsyncTask java:231)
            at java util concurrent ThreadPoolExecutor runWorker(ThreadPoolExecutor java:1112)
            at java util concurrent ThreadPoolExecutor Worker run(ThreadPoolExecutor java:587)
            at java lang Thread run(Thread java:818)
</t>
  </si>
  <si>
    <t>Natio-Places-63</t>
  </si>
  <si>
    <t>Video Bug on nexus and others</t>
  </si>
  <si>
    <t xml:space="preserve">crash on nexus and other device
</t>
  </si>
  <si>
    <t>Bathlamos-RTDC-48</t>
  </si>
  <si>
    <t>Bugs and problems in date of March 27</t>
  </si>
  <si>
    <t xml:space="preserve">    FIXED   Delete user not implemented  
    FIXED   Delete unit not implemented  
    FIXED   Edit description of action not working
    FIXED   Rename Cancel button when editing user or account to delete   Confusing
    FIXED   Show time only in action plan deadline instead of full date 
    FIXED   Sorting in Capcity Overview does not seem to work except for Unit Name column
  No sorting in Action Plan 
    FIXED   Update of Role  Target and Deadline in Action does not seem to work  It s like when editing  a new Action is inserted in the database 
    FIXED   Application crashed when trying to modify deadline:
   java lang IllegalStateException: Could not find a method onDeadlineClick(View) in the activity class rtdc android presenter CreateActionActivity for onClick handler on view class rtdc android impl AndroidUiDate with id  deadlineEdit 
          at android view View 1 onClick(View java:3956)
          at android view View performClick(View java:4633)
</t>
  </si>
  <si>
    <t>marverenic-Jockey-4</t>
  </si>
  <si>
    <t>Various Bugs Found, Please Fix ASAP</t>
  </si>
  <si>
    <t xml:space="preserve">  Creating a Blank Playlist from  Playlist  Tab and then creating a playlist with the same name through the song  makes the app to crash
  While Changing Music and returning to the song screen  previous song info is shown 
  Last Fm Information about artists is only half shown  cannot click on it 
  Sometimes the seek bar in now playing screen does not move  and if moved forcefully  returns to its original position (Temporary Workaround   Go back and come to the Now Playing Screen)
  App Installs on OS 4 4 and above  but crashes on the start for KitKat 
  Cannot enter playlist name sometimes while creating playlist from album screen 
  Some UI Glitches
  Make Yellow and Orange Skin distinct  both look orange ish 
  Improve Last Fm Integration
  Make the Repeat icon more visible for darker album artwork 
  Thanks for the awesome app though 
</t>
  </si>
  <si>
    <t>rey5137-material-7</t>
  </si>
  <si>
    <t>Demo application crashes</t>
  </si>
  <si>
    <t xml:space="preserve">The demo application crashes in dialogs tab  after clicking  DATE (LIGHT) 
Device: Samsung Galaxy S  Android 2 3
E AndroidRuntime( 1858): java lang ArrayIndexOutOfBoundsException
E AndroidRuntime( 1858):        at com rey material widget DatePicker MonthView onDraw(DatePicker java:547)
E AndroidRuntime( 1858):        at android view View draw(View java:6933)
E AndroidRuntime( 1858):        at android view ViewGroup drawChild(ViewGroup java:1646)
E AndroidRuntime( 1858):        at android view ViewGroup dispatchDraw(ViewGroup java:1373)
E AndroidRuntime( 1858):        at android widget AbsListView dispatchDraw(AbsListView java:1604)
E AndroidRuntime( 1858):        at android widget ListView dispatchDraw(ListView java:3210)
E AndroidRuntime( 1858):        at android support v7 internal widget ListViewCompat dispatchDraw(ListViewCompat java:102)
E AndroidRuntime( 1858):        at android view View draw(View java:6936)
E AndroidRuntime( 1858):        at android widget AbsListView draw(AbsListView java:3022)
E AndroidRuntime( 1858):        at android view ViewGroup drawChild(ViewGroup java:1646)
E AndroidRuntime( 1858):        at android view ViewGroup dispatchDraw(ViewGroup java:1373)
E AndroidRuntime( 1858):        at android view View draw(View java:6936)
E AndroidRuntime( 1858):        at android widget FrameLayout draw(FrameLayout java:357)
E AndroidRuntime( 1858):        at com rey material app DatePickerDialog DatePickerLayout draw    (DatePickerDialog java:540
</t>
  </si>
  <si>
    <t>mozilla-MozStumbler-1600</t>
  </si>
  <si>
    <t>Simulation mode should not be enabled if Android's developer mode hasn't been set</t>
  </si>
  <si>
    <t xml:space="preserve">Simulation mode can t work if the Android developer option isn t enabled 
When the user toggles the simulation mode switch  we should check the permission and throw up a dialog if ACCESS MOCK LOCATION isn t available 
We need this mostly because people are cluttering our crash logs 
</t>
  </si>
  <si>
    <t>cgeo-cgeo-4801</t>
  </si>
  <si>
    <t>Crash using new Hint Option on go to coordinates</t>
  </si>
  <si>
    <t xml:space="preserve">When not actually viewing a geocache but simply selecting coordinates from the history list in the goto destination (bottom middle icon on cgeo home screen) you still have the new hint option at the top of the screen (even though there obviously isn t a hint)
selecting this crashes cgeo   unfortauntely c:geo has stopped
</t>
  </si>
  <si>
    <t>gitskarios-Gitskarios-58</t>
  </si>
  <si>
    <t>when the menu button is pressed the app crashes</t>
  </si>
  <si>
    <t xml:space="preserve">hi  i m using the samsung s3 mini with cm 11  great work  but if i press the menu button the app crashes 
</t>
  </si>
  <si>
    <t>mpcjanssen-simpletask-android-205</t>
  </si>
  <si>
    <t>Badly timed crash can cause irreversible data loss</t>
  </si>
  <si>
    <t xml:space="preserve">When applying changes  what happens is that Simpletask builds up the new file in memory and then overwrites the old file in one go  If just after opening this file for writing the phone crashes  you will lose data  
I will need to look into how to make the actual replacement an atomic operation which either works completely or fails completely to prevent this from ever happening 
</t>
  </si>
  <si>
    <t>nfcgate-nfcgate-78</t>
  </si>
  <si>
    <t>App crash when sending Anticol to a non HCE enabled device</t>
  </si>
  <si>
    <t xml:space="preserve">The app crashes when we send the Anticol Message to a devices which is not HCE enabled 
e g : read Card on Nexus 5 with the Nexus S on the other side    Crash on the Nexus S
</t>
  </si>
  <si>
    <t>jlmd-UpcomingMoviesMVP-5</t>
  </si>
  <si>
    <t xml:space="preserve">app crashed </t>
  </si>
  <si>
    <t xml:space="preserve"> jlmd  Hi   good to see this demo for mvp  
App   crashed when quickly return to the MainActivity  from MovieDetailsActivity   because I clicked return button before retrofit call callBack method     do you have any solution especially for this case with fragment     should we use eventBus   what do you think   
</t>
  </si>
  <si>
    <t>square-okhttp-1540</t>
  </si>
  <si>
    <t>ArrayIndexOutOfBoundsException reading from stream</t>
  </si>
  <si>
    <t xml:space="preserve">Our crash logger is logging a lot of these ArrayIndexOutOfBoundsExceptions when trying to read GZIP data from the response body s byte stream:
java lang ArrayIndexOutOfBoundsException: size 0 offset 0 byteCount 1
    at okio Util checkOffsetAndCount(Util java:29)
    at okio Buffer getByte(Buffer java:294)
    at okio RealBufferedSource readHexadecimalUnsignedLong(RealBufferedSource java:269)
    at com squareup okhttp internal http HttpConnection ChunkedSource readChunkSize(HttpConnection java:451)
    at com squareup okhttp internal http HttpConnection ChunkedSource read(HttpConnection java:432)
    at okio RealBufferedSource 1 read(RealBufferedSource java:338)
    at java io InputStream read(InputStream java:162)
    at java util zip InflaterInputStream fill(InflaterInputStream java:194)
    at java util zip InflaterInputStream read(InflaterInputStream java:153)
    at java util zip GZIPInputStream read(GZIPInputStream java:163)
    at java io FilterInputStream read(FilterInputStream java:118)
Any suggestions 
</t>
  </si>
  <si>
    <t>facebook-stetho-117</t>
  </si>
  <si>
    <t>ApplicationDescriptor NPE crash when opening to Network tab and then closing</t>
  </si>
  <si>
    <t xml:space="preserve">Steps to repro:
1  Launch stetho sample app
2  Open inspector
3  Click over to the Network tab
4  Close inspector
5  Repeat 2 4 and it ll crash  (if the Network tab was already open after step 2  you won t need to repeat)
Crash:
E   AndroidRuntime (22786): FATAL EXCEPTION: StethoWorker26
E   AndroidRuntime (22786): Process: com facebook stetho sample  PID: 22786
E   AndroidRuntime (22786): java lang NullPointerException: Attempt to invoke virtual method  java util List com facebook stetho inspector elements android ApplicationDescriptor ElementContext getActivitiesList()  on a null object reference
E   AndroidRuntime (22786):     at com facebook stetho inspector elements android ApplicationDescriptor onGetChildCount(ApplicationDescriptor java:52)
E   AndroidRuntime (22786):     at com facebook stetho inspector elements android ApplicationDescriptor onGetChildCount(ApplicationDescriptor java:23)
E   AndroidRuntime (22786):     at com facebook stetho inspector elements ChainedDescriptor getChildCount(ChainedDescriptor java:96)
E   AndroidRuntime (22786):     at com facebook stetho inspector protocol module DOM removeElementTree(DOM java:167)
E   AndroidRuntime (22786):     at com facebook stetho inspector protocol module DOM removeElementTree(DOM java:170)
E   AndroidRuntime (22786):     at com facebook stetho inspector protocol module DOM access 800(DOM java:42)
E   AndroidRuntime (22786):     at com facebook stetho inspector protocol module DOM PeerManagerListener onLastPeerUnregistered(DOM java:185)
E   AndroidRuntime (22786):     at com facebook stetho inspector helper PeersRegisteredListener onPeerUnregistered(PeersRegisteredListener java:32)
E   AndroidRuntime (22786):     at com facebook stetho inspector helper ChromePeerManager removePeer(ChromePeerManager java:90)
E   AndroidRuntime (22786):     at com facebook stetho inspector helper ChromePeerManager UnregisterOnDisconnect onDisconnect(ChromePeerManager java:140)
E   AndroidRuntime (22786):     at com facebook stetho inspector jsonrpc JsonRpcPeer DisconnectObservable onDisconnect(JsonRpcPeer java:96)
E   AndroidRuntime (22786):     at com facebook stetho inspector jsonrpc JsonRpcPeer invokeDisconnectReceivers(JsonRpcPeer java:80)
E   AndroidRuntime (22786):     at com facebook stetho inspector ChromeDevtoolsServer onClose(ChromeDevtoolsServer java:71)
E   AndroidRuntime (22786):     at com facebook stetho websocket WebSocketSession markAndSignalClosed(WebSocketSession java:91)
E   AndroidRuntime (22786):     at com facebook stetho websocket WebSocketSession handle(WebSocketSession java:51)
E   AndroidRuntime (22786):     at com facebook stetho websocket WebSocketHandler doUpgrade(WebSocketHandler java:156)
E   AndroidRuntime (22786):     at com facebook stetho websocket WebSocketHandler handleSecured(WebSocketHandler java:108)
E   AndroidRuntime (22786):     at com facebook stetho server SecureHttpRequestHandler handle(SecureHttpRequestHandler java:54)
E   AndroidRuntime (22786):     at org apache http protocol HttpService doService(HttpService java:248)
E   AndroidRuntime (22786):     at org apache http protocol HttpService handleRequest(HttpService java:192)
E   AndroidRuntime (22786):     at com facebook stetho server LocalSocketHttpServer WorkerThread run(LocalSocketHttpServer java:233)
</t>
  </si>
  <si>
    <t>Odoo-mobile-crm-40</t>
  </si>
  <si>
    <t>Crashes after a call</t>
  </si>
  <si>
    <t xml:space="preserve">How to reproduce:
  Call a person from oddo crm app
  Hangup: After the call the app crashes always
Mobile: LG G3  
OS: Lollipop (CM12)
</t>
  </si>
  <si>
    <t>cgeo-cgeo-4829</t>
  </si>
  <si>
    <t>crash on navigate to android wear</t>
  </si>
  <si>
    <t xml:space="preserve">A user on geoclub de highlighted an issue  were he got a crash when navigating with Wear under Android 5 0 
Report from March  31st  23:14 
Here is the stacktrace:
java lang IllegalArgumentException: Service Intent must be explicit: Intent   act cgeo geocaching wear NAVIGATE TO (has extras)  
at android app ContextImpl validateServiceIntent(ContextImpl java:1786)
at android app ContextImpl startServiceCommon(ContextImpl java:1815)
at android app ContextImpl startService(ContextImpl java:1799)
at android content ContextWrapper startService(ContextWrapper java:515)
at cgeo geocaching apps cache navi AndroidWearApp navigate(AndroidWearApp java:50)
at cgeo geocaching apps cache navi AndroidWearApp navigate(AndroidWearApp java:35)
at cgeo geocaching apps cache navi NavigationSelectionActionProvider 1 onMenuItemClick(NavigationSelectionActionProvider java:49)
at android support v7 internal view menu MenuItemWrapperICS OnMenuItemClickListenerWrapper onMenuItemClick(MenuItemWrapperICS java:370)
at com android internal view menu MenuItemImpl invoke(MenuItemImpl java:147)
at com android internal view menu MenuBuilder performItemAction(MenuBuilder java:897)
at com android internal view menu MenuBuilder performItemAction(MenuBuilder java:887)
at com android internal view menu MenuPopupHelper onItemClick(MenuPopupHelper java:179)
at android widget AdapterView performItemClick(AdapterView java:300)
at android widget AbsListView performItemClick(AbsListView java:1247)
at android widget AbsListView PerformClick run(AbsListView java:3215)
at android widget AbsListView 3 run(AbsListView java:4009)
at android os Handler handleCallback(Handler java:739)
at android os Handler dispatchMessage(Handler java:95)
at android os Looper loop(Looper java:155)
at android app ActivityThread main(ActivityThread java:5696)
at java lang reflect Method invoke(Native Method)
at java lang reflect Method invoke(Method java:372)
at com android internal os ZygoteInit MethodAndArgsCaller run(ZygoteInit java:1028)
at com android internal os ZygoteInit main(ZygoteInit java:823)
</t>
  </si>
  <si>
    <t>facebook-stetho-123</t>
  </si>
  <si>
    <t>getAllActivitiesHack fails on 4.1.1</t>
  </si>
  <si>
    <t xml:space="preserve">See https:  gist github com longinoa 047d5195bc65c21dc514 for the log 
We probably want to find out what version this hack started working on and gate  the function to that call 
Failing that we should not allow this to NPE and crash the host app 
</t>
  </si>
  <si>
    <t>AntonioRedondo-AnotherMonitor-1</t>
  </si>
  <si>
    <t>Crashes on start</t>
  </si>
  <si>
    <t xml:space="preserve">Unfortunately  it crashes on start  Tested device was an ASUS MemoPad HD7 (ME173X) running Android 4 2 2 
</t>
  </si>
  <si>
    <t>federicoiosue-Omni-Notes-133</t>
  </si>
  <si>
    <t>Crash on tablet</t>
  </si>
  <si>
    <t xml:space="preserve">I m not able to create a note on a tablet  app crashes when perform actions via FAB  Bug reports automatically sent 
About tablet: Samsung Galaxy Tab2   Android Jelly Bean 4 1 2   Unrooted 
ON Beta 15
</t>
  </si>
  <si>
    <t>JusticeRage-ApkTrack-36</t>
  </si>
  <si>
    <t>Version 1.1a crashes on startup</t>
  </si>
  <si>
    <t xml:space="preserve">Version 1 1a just crashes on startup every time on my Galaxy Relay with CM 10 2 1   
</t>
  </si>
  <si>
    <t>liato-android-bankdroid-528</t>
  </si>
  <si>
    <t>Jojo crash application if less than 4 cards are connected to the account</t>
  </si>
  <si>
    <t xml:space="preserve">If the pagination node is not present at the overview page  the application throws an  NullPointerException  and hence crashes the application 
</t>
  </si>
  <si>
    <t>Rajawali-Rajawali-1448</t>
  </si>
  <si>
    <t>RajawaliScene.updateSkybox() does not change texture.</t>
  </si>
  <si>
    <t xml:space="preserve">   Underlying bug
 getCurrentScene() updateSkybox(posx  negx  posy  negy  posz  negz)   does not update the skybox texture 
   Original support Request
Hi 
i wanted to change skybox images at runtime with a timer 
before i set skybox i use clear() method  I m not sure if it is true 
                getCurrentScene() clear() 
but after 3  skybox images  it gives OutOfMemory  (when i try all images one by one  it is ok )
but when i change it with timer it crashes 
is it logical to change skybox at runtime  what do you advise  how can i solve it 
</t>
  </si>
  <si>
    <t>syncthing-syncthing-android-333</t>
  </si>
  <si>
    <t>App should not be available on the play store for ARM 5 devices</t>
  </si>
  <si>
    <t xml:space="preserve">I tried installing Syncthing on an HTC Wildfire phone and a the loading circle went round and round endlessly without any errors  Starting logcat showed the following: 
  W SyncthingNativeCode(  452): runtime: this CPU has no floating point hardware  so it cannot run
  W SyncthingNativeCode(  452): this GOARM 6 binary  Recompile using GOARM 5 
  E SyncthingNativeCode(  452): Syncthing binary crashed with error code 1
I do not see a real chance for ARM5 support  but at least it should not be available for these devices as most users will not get what s going on  and will just leave a bad review 
</t>
  </si>
  <si>
    <t>rey5137-material-23</t>
  </si>
  <si>
    <t>Demo app crash when select contacts with unicode characters</t>
  </si>
  <si>
    <t xml:space="preserve">This library is indeed really amazing  I just installed the demo app and gave it a try  when I selected a contact with unicode characters like Vietnamese in the name  the app crashed  I haven t built the app from source code so cannot give you more information on the crash 
</t>
  </si>
  <si>
    <t>forcedotcom-SalesforceMobileSDK-Android-862</t>
  </si>
  <si>
    <t>Hybrid app crash (ArrayIndexOutOfBoundsException) when OAuth scopes aren't defined to match bootconfig.json</t>
  </si>
  <si>
    <t xml:space="preserve">If you don t include the proper scopes when setting up your Connected App  rather than getting  1804: the requested scope is not allowed  upon Login  the app crashes with:
04 06 14:21:56 398      322 322 com salesforce samples vfconnector E AndroidRuntime  FATAL EXCEPTION: main
    Process: com salesforce samples vfconnector  PID: 322
    java lang ArrayIndexOutOfBoundsException: length 0  index  1
            at com salesforce androidsdk app SalesforceSDKManager removeAccount(SalesforceSDKManager java:848)
            at com salesforce androidsdk app SalesforceSDKManager logout(SalesforceSDKManager java:809)
            at com salesforce androidsdk app SalesforceSDKManager logout(SalesforceSDKManager java:770)
            at com salesforce androidsdk app SalesforceSDKManager logout(SalesforceSDKManager java:746)
AccountManager returns an empty array if there are no accounts  never null so that should be the test ( 835 is this same bug  just in different words)
The offending code was introduced in 633df05 
</t>
  </si>
  <si>
    <t>mobilyzer-Mobilyzer-5</t>
  </si>
  <si>
    <t>Mobilyzer crashing on throughput tests on certain devices</t>
  </si>
  <si>
    <t xml:space="preserve">A My Speed Test user reported our app crashing while performing a throughput test 
Android version: 5 0
Device: Galaxy S5
java lang RuntimeException: Unable to start activity ComponentInfo com num com num view activities ThroughputActivity : java lang IllegalArgumentException: Service Intent must be explicit: Intent   act com mobilyzer MeasurementScheduler (has extras)  
at android app ActivityThread performLaunchActivity(ActivityThread java:2661)
at android app ActivityThread handleLaunchActivity(ActivityThread java:2728)
at android app ActivityThread access 900(ActivityThread java:172)
at android app ActivityThread H handleMessage(ActivityThread java:1421)
at android os Handler dispatchMessage(Handler java:102)
at android os Looper loop(Looper java:145)
at android app ActivityThread main(ActivityThread java:5837)
at java lang reflect Method invoke(Native Method)
at java lang reflect Method invoke(Method java:372)
at com android internal os ZygoteInit MethodAndArgsCaller run(ZygoteInit java:1388)
at com android internal os ZygoteInit main(ZygoteInit java:1183)
Caused by: java lang IllegalArgumentException: Service Intent must be explicit: Intent   act com mobilyzer MeasurementScheduler (has extras)  
at android app ContextImpl validateServiceIntent(ContextImpl java:2040)
at android app ContextImpl startServiceCommon(ContextImpl java:2078)
at android app ContextImpl startService(ContextImpl java:2053)
at android content ContextWrapper startService(ContextWrapper java:533)
at com mobilyzer api API startAndBindService(API java:210)
at com mobilyzer api API  init (API java:122)
at com mobilyzer api API getAPI(API java:135)
at com num view activities ThroughputActivity onCreate(ThroughputActivity java:63)
at android app Activity performCreate(Activity java:6221)
at android app Instrumentation callActivityOnCreate(Instrumentation java:1119)
at android app ActivityThread performLaunchActivity(ActivityThread java:2614)
    10 more
I don t have much more information here  but I believe this could be a Lollipop specific issue 
Please investigate this and I ll try to provide as much information as possible 
</t>
  </si>
  <si>
    <t>dimagi-commcare-android-216</t>
  </si>
  <si>
    <t>Landscape detail fix</t>
  </si>
  <si>
    <t xml:space="preserve">This PR removes EntityDetailActivity s (useless)  Continue  button that is displayed while in landscape mode  and that causes crashes when pressed 
Additional fixes:
  A few comments 
  When rotating from landscape to portrait with an entity selected  launch EntityDetailActivity with that selection 
 Bug 163637 (http:  manage dimagi com default asp 163637)
</t>
  </si>
  <si>
    <t>ZieIony-Carbon-62</t>
  </si>
  <si>
    <t>Using Carbon's FrameLayout as a container for fragments results in an ArrayIndexOutOfBoundsException</t>
  </si>
  <si>
    <t xml:space="preserve">Using  0 7 2  
I have (in a DrawerLayout  though I don t think it matters) a  carbon widget FrameLayout  that I m using as a container for  FragmentTransaction s  I do this in my activity:
getSupportFragmentManager() beginTransaction()
                         disallowAddToBackStack()
                         replace(R id content  fragment)
                         commit() 
Here s my layout:
 carbon widget DrawerLayout xmlns:android  http:  schemas android com apk res android 
    xmlns:app  http:  schemas android com apk res auto 
    xmlns:tools  http:  schemas android com tools 
    android:id    id  removed  
    android:layout width  match parent 
    android:layout height  match parent 
    android:clipChildren  false 
    android:fitsSystemWindows  true  
     carbon widget FrameLayout
        android:id    id content 
        android:layout width  wrap content 
        android:layout height  wrap content    
     carbon widget ScrimInsetsLayout
        android:id    id  removed  
        android:layout width  match parent 
        android:layout height  match parent 
        android:layout gravity  start 
        android:background   android:color white 
        android:fitsSystemWindows  true 
        app:carbon elevation  4dp 
        app:carbon insetForeground   4000  
         fragment
            android:id    id fragment drawer 
            android:name   removed  DrawerFragment 
            android:layout width  match parent 
            android:layout height  match parent 
            tools:layout   layout wallet drawer    
      carbon widget ScrimInsetsLayout 
  carbon widget DrawerLayout 
The first fragment transaction works fine  However  a subsequent one gives the following crash:
    java lang ArrayIndexOutOfBoundsException: length 12  index  1
            at android view ViewGroup dispatchDraw(ViewGroup java:3195)
            at carbon widget FrameLayout dispatchDraw(FrameLayout java:100)
            at android view View draw(View java:15117)
            at android widget FrameLayout draw(FrameLayout java:592)
            at carbon widget FrameLayout draw(FrameLayout java:236)
            at android view View updateDisplayListIfDirty(View java:14048)
            at android view View getDisplayList(View java:14071)
            at android view View draw(View java:14838)
            at android view ViewGroup drawChild(ViewGroup java:3404)
            at android support v4 widget DrawerLayout drawChild(DrawerLayout java:1086)
            at carbon widget DrawerLayout drawChild(DrawerLayout java:168)
            at android view ViewGroup dispatchDraw(ViewGroup java:3198)
            at carbon widget DrawerLayout dispatchDraw(DrawerLayout java:99)
            at android view View draw(View java:15117)
            at carbon widget DrawerLayout draw(DrawerLayout java:235)
            at android view View updateDisplayListIfDirty(View java:14048)
            at android view View getDisplayList(View java:14071)
            at android view View draw(View java:14838)
            at android view ViewGroup drawChild(ViewGroup java:3404)
            at android view ViewGroup dispatchDraw(ViewGroup java:3198)
            at android view View updateDisplayListIfDirty(View java:14043)
            at android view View getDisplayList(View java:14071)
            at android view View draw(View java:14838)
            at android view ViewGroup drawChild(ViewGroup java:3404)
            at android view ViewGroup dispatchDraw(ViewGroup java:3198)
            at android view View updateDisplayListIfDirty(View java:14043)
            at android view View getDisplayList(View java:14071)
            at android view View draw(View java:14838)
            at android view ViewGroup drawChild(ViewGroup java:3404)
            at android view ViewGroup dispatchDraw(ViewGroup java:3198)
            at android view View updateDisplayListIfDirty(View java:14043)
            at android view View getDisplayList(View java:14071)
            at android view View draw(View java:14838)
            at android view ViewGroup drawChild(ViewGroup java:3404)
            at android view ViewGroup dispatchDraw(ViewGroup java:3198)
            at android view View updateDisplayListIfDirty(View java:14043)
            at android view View getDisplayList(View java:14071)
            at android view View draw(View java:14838)
            at android view ViewGroup drawChild(ViewGroup java:3404)
            at android view ViewGroup dispatchDraw(ViewGroup java:3198)
            at android view View draw(View java:15117)
            at android widget FrameLayout draw(FrameLayout java:592)
            at com android internal policy impl PhoneWindow DecorView draw(PhoneWindow java:2595)
            at android view View updateDisplayListIfDirty(View java:14048)
            at android view View getDisplayList(View java:14071)
            at android view ThreadedRenderer updateViewTreeDisplayList(ThreadedRenderer java:266)
            at android view ThreadedRenderer updateRootDisplayList(ThreadedRenderer java:272)
            at android view ThreadedRenderer draw(ThreadedRenderer java:311)
            at android view ViewRootImpl draw(ViewRootImpl java:2492)
            at android view ViewRootImpl performDraw(ViewRootImpl java:2337)
            at android view ViewRootImpl performTraversals(ViewRootImpl java:1968)
            at android view ViewRootImpl doTraversal(ViewRootImpl java:1054)
            at android view ViewRootImpl TraversalRunnable run(ViewRootImpl java:5779)
            at android view Choreographer CallbackRecord run(Choreographer java:767)
            at android view Choreographer doCallbacks(Choreographer java:580)
            at android view Choreographer doFrame(Choreographer java:550)
            at android view Choreographer FrameDisplayEventReceiver run(Choreographer java:753)
            at android os Handler handleCallback(Handler java:739)
            at android os Handler dispatchMessage(Handler java:95)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Simply changing the  carbon widget FrameLayout  to a regular Android  FrameLayout   with no other changes  fixes the issue 
My guess is it s something to do with the z ordering Carbon does  but I m not sure 
This isn t catastrophic for my case as using a regular FrameLayout is fine  but it could impede the use of shadows in some other cases 
</t>
  </si>
  <si>
    <t>pattch-PicToPoly-16</t>
  </si>
  <si>
    <t>Interacting with the Triangulation while ProcessImage is running</t>
  </si>
  <si>
    <t xml:space="preserve">Since ProcessImage runs on a thread outside of the UI thread  the UI thread can send calls to ImageProcessor to add remove points etc  while ProcessImage is running  This should never be the case  because it can cause the application to crash  or cause graphical errors 
</t>
  </si>
  <si>
    <t>pattch-PicToPoly-14</t>
  </si>
  <si>
    <t>Concurrent ProcessImage threads</t>
  </si>
  <si>
    <t xml:space="preserve">Right now  when an image is processed  it is done on a separate thread  accessing modifying the images held in the ImageProcessor for PolyActivity  This can cause the app to crash  and cause graphical errors when multiple threads run at the same time  
The user should be able to stop processing  but not be able to process the image multiple times at once  
</t>
  </si>
  <si>
    <t>vickychijwani-quill-25</t>
  </si>
  <si>
    <t>Crash: NullPointerException in NetworkService.java line 99</t>
  </si>
  <si>
    <t xml:space="preserve">   
java lang RuntimeException: Unable to start activity ComponentInfo me vickychijwani spectre me vickychijwani spectre view PostListActivity : java lang RuntimeException: Could not dispatch event: class me vickychijwani spectre event LoadUserEvent to handler  EventHandler public void me vickychijwani spectre network NetworkService onLoadUserEvent(me vickychijwani spectre event LoadUserEvent) : Attempt to invoke interface method  void me vickychijwani spectre network GhostApiService getCurrentUser(retrofit Callback)  on a null object reference
       at android app ActivityThread performLaunchActivity(ActivityThread java:2298)
       at android app ActivityThread handleLaunchActivity(ActivityThread java:2360)
       at android app ActivityThread access 800(ActivityThread java:144)
       at android app ActivityThread H handleMessage(ActivityThread java:1278)
       at android os Handler dispatchMessage(Handler java:102)
       at android os Looper loop(Looper java:135)
       at android app ActivityThread main(ActivityThread java:5221)
       at java lang reflect Method invoke(Method java)
       at java lang reflect Method invoke(Method java:372)
       at com android internal os ZygoteInit MethodAndArgsCaller run(ZygoteInit java:899)
       at com android internal os ZygoteInit main(ZygoteInit java:694)
Caused by: java lang RuntimeException: Could not dispatch event: class me vickychijwani spectre event LoadUserEvent to handler  EventHandler public void me vickychijwani spectre network NetworkService onLoadUserEvent(me vickychijwani spectre event LoadUserEvent) : Attempt to invoke interface method  void me vickychijwani spectre network GhostApiService getCurrentUser(retrofit Callback)  on a null object reference
       at com squareup otto Bus throwRuntimeException(Bus java:458)
       at com squareup otto Bus dispatch(Bus java:388)
       at com squareup otto Bus dispatchQueuedEvents(Bus java:369)
       at com squareup otto Bus post(Bus java:338)
       at me vickychijwani spectre view PostListActivity onCreate(PostListActivity java:82)
       at android app Activity performCreate(Activity java:5933)
       at android app Instrumentation callActivityOnCreate(Instrumentation java:1105)
       at android app ActivityThread performLaunchActivity(ActivityThread java:2251)
       at android app ActivityThread handleLaunchActivity(ActivityThread java:2360)
       at android app ActivityThread access 800(ActivityThread java:144)
       at android app ActivityThread H handleMessage(ActivityThread java:1278)
       at android os Handler dispatchMessage(Handler java:102)
       at android os Looper loop(Looper java:135)
       at android app ActivityThread main(ActivityThread java:5221)
       at java lang reflect Method invoke(Method java)
       at java lang reflect Method invoke(Method java:372)
       at com android internal os ZygoteInit MethodAndArgsCaller run(ZygoteInit java:899)
       at com android internal os ZygoteInit main(ZygoteInit java:694)
Caused by: java lang NullPointerException: Attempt to invoke interface method  void me vickychijwani spectre network GhostApiService getCurrentUser(retrofit Callback)  on a null object reference
       at me vickychijwani spectre network NetworkService onLoadUserEvent(NetworkService java:99)
       at java lang reflect Method invoke(Method java)
       at java lang reflect Method invoke(Method java:372)
       at com squareup otto EventHandler handleEvent(EventHandler java:89)
       at com squareup otto Bus dispatch(Bus java:386)
       at com squareup otto Bus dispatchQueuedEvents(Bus java:369)
       at com squareup otto Bus post(Bus java:338)
       at me vickychijwani spectre view PostListActivity onCreate(PostListActivity java:82)
       at android app Activity performCreate(Activity java:5933)
       at android app Instrumentation callActivityOnCreate(Instrumentation java:1105)
       at android app ActivityThread performLaunchActivity(ActivityThread java:2251)
       at android app ActivityThread handleLaunchActivity(ActivityThread java:2360)
       at android app ActivityThread access 800(ActivityThread java:144)
       at android app ActivityThread H handleMessage(ActivityThread java:1278)
       at android os Handler dispatchMessage(Handler java:102)
       at android os Looper loop(Looper java:135)
       at android app ActivityThread main(ActivityThread java:5221)
       at java lang reflect Method invoke(Method java)
       at java lang reflect Method invoke(Method java:372)
       at com android internal os ZygoteInit MethodAndArgsCaller run(ZygoteInit java:899)
       at com android internal os ZygoteInit main(ZygoteInit java:694)
 Crashlytics issue (https:  www crashlytics com individual16 android apps me vickychijwani spectre issues 551db13c5141dcfd8f52efc5)
</t>
  </si>
  <si>
    <t>codebasepk-TrackBuddy-22</t>
  </si>
  <si>
    <t xml:space="preserve">app get crashed on Qmobile devices 
</t>
  </si>
  <si>
    <t>gitskarios-Gitskarios-75</t>
  </si>
  <si>
    <t>App crashes when you tap on another issue in a repository, just as you return from one (before it finishes reloading)</t>
  </si>
  <si>
    <t xml:space="preserve">If you open an issue  then go back   tap on another issue while it s refreshing the list  the app will crash  This is so long as the list is being refreshed  so it might happen more often on slower network conditions 
This is on a Nexus 5 running stock Android 5 1  non rooted 
</t>
  </si>
  <si>
    <t>moneymanagerex-android-money-manager-ex-123</t>
  </si>
  <si>
    <t>Channel is unrecoverably broken and will be disposed!</t>
  </si>
  <si>
    <t xml:space="preserve">In JellyBean the application random crash with similar error:
452 506 system process E InputDispatcher  channel  528adc38 com money manager ex com money manager ex MainActivity (server)    Channel is unrecoverably broken and will be disposed 
We are able to investigate and some of us to simulate and understand why it happens 
</t>
  </si>
  <si>
    <t>ZieIony-Carbon-65</t>
  </si>
  <si>
    <t>Hardware Acceleration Crash</t>
  </si>
  <si>
    <t xml:space="preserve">If I have hardware acceleration enabled on my ASUS TF101 (Android 4 0 3)  it crashes when trying to clip the content of a view with rounded corners  With hardware acceleration disabled it works  Also  on my Phone (Samsung Galaxy Fame with Android 4 1) it does not crash  but the rounded corners do not work 
04 08 18:25:21 170  24248 24248 com nouwt florian apps magica E AndroidRuntime  FATAL EXCEPTION: main
    java lang UnsupportedOperationException
            at android view GLES20Canvas clipPath(GLES20Canvas java:408)
            at carbon widget LinearLayout draw(LinearLayout java:229)
            at android view View getDisplayList(View java:10422)
            at android view ViewGroup drawChild(ViewGroup java:2850)
            at com nouwt florian apps magica ui DayView2 drawChild(DayView2 java:262)
            at android view ViewGroup dispatchDraw(ViewGroup java:2489)
            at com nouwt florian apps magica ui DayView2 dispatchDraw(DayView2 java:188)
            at android view View getDisplayList(View java:10420)
            at android view ViewGroup drawChild(ViewGroup java:2850)
            at android view ViewGroup dispatchDraw(ViewGroup java:2489)
            at android view View draw(View java:10986)
            at android widget FrameLayout draw(FrameLayout java:450)
            at android widget ScrollView draw(ScrollView java:1524)
            at carbon widget ScrollView draw(ScrollView java:68)
            at android view View getDisplayList(View java:10422)
            at android view ViewGroup drawChild(ViewGroup java:2850)
            at carbon widget LinearLayout drawChild(LinearLayout java:168)
            at android view ViewGroup dispatchDraw(ViewGroup java:2496)
            at carbon widget LinearLayout dispatchDraw(LinearLayout java:99)
            at android view View draw(View java:10986)
            at carbon widget LinearLayout draw(LinearLayout java:235)
            at android view View getDisplayList(View java:10422)
            at android view ViewGroup drawChild(ViewGroup java:2850)
            at carbon widget FrameLayout drawChild(FrameLayout java:169)
            at android view ViewGroup dispatchDraw(ViewGroup java:2496)
            at carbon widget FrameLayout dispatchDraw(FrameLayout java:100)
            at android view View draw(View java:10986)
            at android widget FrameLayout draw(FrameLayout java:450)
            at carbon widget FrameLayout draw(FrameLayout java:236)
            at android view View getDisplayList(View java:10422)
            at android view ViewGroup drawChild(ViewGroup java:2850)
            at carbon widget LinearLayout drawChild(LinearLayout java:168)
            at android view ViewGroup dispatchDraw(ViewGroup java:2496)
            at carbon widget LinearLayout dispatchDraw(LinearLayout java:99)
            at android view View draw(View java:10986)
            at carbon widget LinearLayout draw(LinearLayout java:235)
            at android view View getDisplayList(View java:10422)
            at android view ViewGroup drawChild(ViewGroup java:2850)
            at android view ViewGroup dispatchDraw(ViewGroup java:2489)
            at android view View draw(View java:10986)
            at android support v4 view ViewPager draw(ViewPager java:2176)
            at android view View getDisplayList(View java:10422)
            at android view ViewGroup drawChild(ViewGroup java:2850)
            at carbon widget LinearLayout drawChild(LinearLayout java:168)
            at android view ViewGroup dispatchDraw(ViewGroup java:2496)
            at carbon widget LinearLayout dispatchDraw(LinearLayout java:99)
            at android view View draw(View java:10986)
            at carbon widget LinearLayout draw(LinearLayout java:235)
            at android view View getDisplayList(View java:10422)
            at android view ViewGroup drawChild(ViewGroup java:2850)
            at android view ViewGroup dispatchDraw(ViewGroup java:2489)
            at android view View getDisplayList(View java:10420)
            at android view ViewGroup drawChild(ViewGroup java:2850)
            at carbon widget LinearLayout drawChild(LinearLayout java:168)
            at android view ViewGroup dispatchDraw(ViewGroup java:2496)
            at carbon widget LinearLayout dispatchDraw(LinearLayout java:99)
            at android view View draw(View java:10986)
            at carbon widget LinearLayout draw(LinearLayout java:235)
            at android view View getDisplayList(View java:10422)
            at android view ViewGroup drawChild(ViewGroup java:2850)
            at android support v4 widget DrawerLayout drawChild(DrawerLayout java:1086)
            at carbon widget DrawerLayout drawChild(DrawerLayout java:168)
            at android view ViewGroup dispatchDraw(ViewGroup java:2496)
            at carbon widget DrawerLayout dispatchDraw(DrawerLayout java:99)
            at android view View draw(View java:10986)
            at carbon widget DrawerLayout draw(DrawerLayout java:235)
            at android view View getDisplayList(View java:10422)
            at android view ViewGroup drawChild(ViewGroup java:2850)
            at android view ViewGroup dispa
</t>
  </si>
  <si>
    <t>pattch-PicToPoly-23</t>
  </si>
  <si>
    <t>Selecting only One Color in GradientActivity Crashes the App</t>
  </si>
  <si>
    <t xml:space="preserve">In GradientActivity  if youy only select one Color  and hit Apply without selecting another Color  the App crashes  This is probably because LinearGradient requires that there be more than one color in the array of colors passed to it 
Possible Fix: if the user only wants one color  make a solid Image instead of a Gradient (totally useless)
Alternate Possible Fix: Don t navigate away from GradientActivity if the user only selects one color  Instead  notify the user that they didn t pick enough colors to make a Gradient 
</t>
  </si>
  <si>
    <t>unfoldingWord-dev-ts-android-430</t>
  </si>
  <si>
    <t>The view pager is not correctly removing fragments.</t>
  </si>
  <si>
    <t xml:space="preserve">As a result rotating the screen causes fragments to pile up eventually using up all the memory and crashing the app  You have to rotate a decent number of times to cause a crash 
  Note the view pager is used for tabbed content such as the library and resources 
</t>
  </si>
  <si>
    <t>orhanobut-logger-17</t>
  </si>
  <si>
    <t>1.5 does not work</t>
  </si>
  <si>
    <t xml:space="preserve">I updated to 1 5  in our gradle files (since we need the stack trace crash fix)  but it does not recognise the classes from the library 
Even if I put the   aar  locally in the project it does not work 
1 4 works perfectly  something wrong with the build that were uploaded to mavenCentral 
</t>
  </si>
  <si>
    <t>kontalk-androidclient-385</t>
  </si>
  <si>
    <t>Crash on opening unknown contact</t>
  </si>
  <si>
    <t xml:space="preserve">Trying to carry out this intent (resuming compose activity):
I ActivityManager(962): START u0  act android intent action VIEW dat content:  com android contacts data 4679 flg 0x10100000 cmp org kontalk  ui ComposeMessage  from uid 10006 on display 0
resulted in this crash:
java lang RuntimeException: Unable to start activity ComponentInfo org kontalk org kontalk ui ComposeMessage : java lang NullPointerException: key    null
     at android app ActivityThread performLaunchActivity(ActivityThread java:2314)
     at android app ActivityThread handleLaunchActivity(ActivityThread java:2388)
     at android app ActivityThread access 800(ActivityThread java:148)
     at android app ActivityThread H handleMessage(ActivityThread java:1292)
     at android os Handler dispatchMessage(Handler java:102)
     at android os Looper loop(Looper java:135)
     at android app ActivityThread main(ActivityThread java:5312)
     at java lang reflect Method invoke(Native Method)
     at java lang reflect Method invoke(Method java:372)
     at com android internal os ZygoteInit MethodAndArgsCaller run(ZygoteInit java:901)
     at com android internal os ZygoteInit main(ZygoteInit java:696)
Caused by: java lang NullPointerException: key    null
     at android support v4 util LruCache get(LruCache java:79)
     at org kontalk data Contact ContactCache get(Contact java:117)
     at org kontalk data Contact findByUserId(Contact java:319)
     at org kontalk data Conversation loadContact(Conversation java:140)
     at org kontalk data Conversation setRecipient(Conversation java:174)
     at org kontalk ui ComposeMessageFragment processArguments(ComposeMessageFragment java:1528)
     at org kontalk ui ComposeMessageFragment onActivityCreated(ComposeMessageFragment java:388)
     at android support v4 app Fragment performActivityCreated(Fragment java:1794)
     at android support v4 app FragmentManagerImpl moveToState(FragmentManager java:967)
     at android support v4 app FragmentManagerImpl moveToState(FragmentManager java:1126)
     at android support v4 app FragmentManagerImpl moveToState(FragmentManager java:1108)
     at android support v4 app FragmentManagerImpl dispatchActivityCreated(FragmentManager java:1917)
     at android support v4 app FragmentActivity onStart(FragmentActivity java:544)
     at android app Instrumentation callActivityOnStart(Instrumentation java:1243)
     at android app Activity performStart(Activity java:5969)
     at android app ActivityThread performLaunchActivity(ActivityThread java:2277)
         10 more
</t>
  </si>
  <si>
    <t>piemasters-SmartLock-8</t>
  </si>
  <si>
    <t>Colour Theme Crashes App</t>
  </si>
  <si>
    <t xml:space="preserve">The application crashes and no longer opens when the colour theme preference is changed on devices running 4 4 or lower 
</t>
  </si>
  <si>
    <t>pwittchen-prefser-22</t>
  </si>
  <si>
    <t>Boolean default value returns a String</t>
  </si>
  <si>
    <t xml:space="preserve">Hi 
Is there a reason why the default value of a Boolean does not return true or false but a String containing the value  In my opinion it must returns a boolean to avoid crashes 
Thanks
</t>
  </si>
  <si>
    <t>cgeo-cgeo-4868</t>
  </si>
  <si>
    <t>OOM crash on Android 5.0+ only</t>
  </si>
  <si>
    <t xml:space="preserve">Looking at the PlayStore this error seems to be limited to Android 5 0  and not related to the known mapsforge OOM issue 
2015 03 31 and 2015 03 28 
User messages:
stopped when I tried to store
app always crashing  not sure what s going on usually very reliable 
Bei der kartenansicht st rzt die App laufend ab 
java lang IllegalStateException: Fatal Exception thrown on Scheduler Worker thread 
   at rx internal schedulers ScheduledAction run(ScheduledAction java:62)
   at android os Handler handleCallback(Handler java:739)
   at android os Handler dispatchMessage(Handler java:95)
   at android os Looper loop(Looper java:145)
   at android app ActivityThread main(ActivityThread java:5832)
   at java lang reflect Method invoke(Native Method)
   at java lang reflect Method invoke(Method java:372)
   at com android internal os ZygoteInit MethodAndArgsCaller run(ZygoteInit java:1399)
   at com android internal os ZygoteInit main(ZygoteInit java:1194)
Caused by: java lang OutOfMemoryError: Failed to allocate a 4665612 byte allocation with 1016073 free bytes and 992KB until OOM
   at dalvik system VMRuntime newNonMovableArray(Native Method)
   at android graphics BitmapFactory nativeDecodeStream(Native Method)
   at android graphics BitmapFactory decodeStreamInternal(BitmapFactory java:767)
   at android graphics BitmapFactory decodeStream(BitmapFactory java:743)
   at android graphics BitmapFactory decodeFile(BitmapFactory java:477)
   at android graphics BitmapFactory decodeFile(BitmapFactory java:515)
   at cgeo geocaching StaticMapsProvider decodeFile(StaticMapsProvider java:330)
   at cgeo geocaching StaticMapsProvider getPreviewMap(StaticMapsProvider java:314)
   at cgeo geocaching CacheDetailActivity 8 call(CacheDetailActivity java:1283)
   at cgeo geocaching CacheDetailActivity 8 call(CacheDetailActivity java:1273)
   at rx Observable 1 call(Observable java:144)
   at rx Observable 1 call(Observable java:136) 
   at rx Observable 1 call(Observable java:144)
   at rx Observable 1 call(Observable java:136)
   at rx Observable unsafeSubscribe(Observable java:7495)
   at rx internal operators OperatorSubscribeOn 1 1 call(OperatorSubscribeOn java:62)
   at rx schedulers ExecutorScheduler ExecutorAction run(ExecutorScheduler java:173)
   at rx schedulers ExecutorScheduler ExecutorSchedulerWorker run(ExecutorScheduler java:99)
   at java util concurrent ThreadPoolExecutor runWorker(ThreadPoolExecutor java:1112)
   at java util concurrent ThreadPoolExecutor Worker run(ThreadPoolExecutor java:587)
   at java lang Thread run(Thread java:818)
</t>
  </si>
  <si>
    <t>eugenkiss-chanobol-203</t>
  </si>
  <si>
    <t>Crash: MediaPonter CurrentIndex OutofBounds</t>
  </si>
  <si>
    <t xml:space="preserve">http:  crashes to s e00853e900e
</t>
  </si>
  <si>
    <t>bumptech-glide-401</t>
  </si>
  <si>
    <t>Do not try to clear a non existent request</t>
  </si>
  <si>
    <t xml:space="preserve">During some test with Glide and FutureTarget it appears that when you cancel a FutureTarget very fast  the request may not yet be set in RequestFutureTarget leading to a crash 
This simple PR fix this case 
</t>
  </si>
  <si>
    <t>docprajit-MithrilApp-1</t>
  </si>
  <si>
    <t>App crashes for multiple permissions</t>
  </si>
  <si>
    <t xml:space="preserve">If an app uses multiple permissions the app crashes without displaying them 
</t>
  </si>
  <si>
    <t>DeveloperPaul123-SimpleBluetoothLibrary-1</t>
  </si>
  <si>
    <t>Fatal SIGSEGV 11 Error</t>
  </si>
  <si>
    <t xml:space="preserve">Calling simplebluetooth endSimpleBluetooth() causes a system crash if your bluetooth socket is recieving information while you are closing the socket  resulting in a fatal segmentation error  This is probably due to trying to access the socket input stream after the socket is closed  Should try to synchronize calls to ending all the separate threads and add a flag so that when thread cancel() is called  the input stream is never accessed (boolean flag or look at isInterrupted()) 
</t>
  </si>
  <si>
    <t>AltBeacon-android-beacon-library-165</t>
  </si>
  <si>
    <t>App Crashes using BeaconSimulator crashes app when Android L APIs Active</t>
  </si>
  <si>
    <t xml:space="preserve">App crashes with:   Attempt to invoke virtual method  android bluetooth le BluetoothLeScanner android bluetooth BluetoothAdapter getBluetoothLeScanner()  on a null object reference 
Reported by an end user here:  http:  stackoverflow com questions 29594996 issues with altbeacon sample running on simulator 29596488 noredirect 1 comment47340114 29596488
</t>
  </si>
  <si>
    <t>eugenkiss-chanobol-213</t>
  </si>
  <si>
    <t>MediaActivity mediaPointers.get(currentIndex) Crashes</t>
  </si>
  <si>
    <t xml:space="preserve">The line  final MediaPointer current   thread mediaPointers get(currentIndex)   generates a couple of different not infrequent crashes like
  http:  crashes to s 43716a0559b
  http:  crashes to s e00853e900e
  http:  crashes to s 9c1a4e6ee0c
</t>
  </si>
  <si>
    <t>eugenkiss-chanobol-210</t>
  </si>
  <si>
    <t>MediaActivity IllegalStateException PagerAdapter</t>
  </si>
  <si>
    <t xml:space="preserve">See http:  crashes to s ca01795eb84
I thought I fixed it in fc70e83c41af048087667e8b18f492cde4e3b930 resp  0ed56480ea03c9ae3e0ccf957c9a232448aad974 but there are still edge situations where this crash appears  I guess a skillful placing of calls to  notifyDataSetChanged  will fix this bug but where to put them exactly  And what s the remaining cause for this bug  Need to investigate 
</t>
  </si>
  <si>
    <t>bumptech-glide-413</t>
  </si>
  <si>
    <t>Invalid resource ID crashes the app</t>
  </si>
  <si>
    <t xml:space="preserve">  Glide Version Integration library (if any)  : 3 6 0 SNAPSHOT
  Device Android Version  : S4 4 4
  Issue details Repro steps  : When Glide receives an invalid resource ID it leads to a crashing application  The expected behaviour would be to display the   error()  image (if any) and call  onException  with the  Resources NotFoundException  instance and the invalid resource ID as  model  
Please note that all the other cases I could think of are gracefully (and most of the time correctly) handled  See other cases  below the stack trace  
  Glide load line  :
    java
Glide with(context)
      fromResource()
      load(0)    any non existent resource ID  123456789 too
      listener(new RequestListener Integer  GlideDrawable ()  
            Override public boolean onException(   )   Log d(   )  return false   
            Override public boolean onResourceReady(   )   Log d(   )  return false   
      )
      into(imageView)
  Stack trace  :
27 797  10716 10716 W ResourceType  No known package when getting name for resource number 0x075bcd15
27 797  10716 10716 D AndroidRuntime  Shutting down VM
27 797  10716 10716 W dalvikvm  threadid 1: thread exiting with uncaught exception (group 0x418cbda0)
27 797  10716 10716 E AndroidRuntime  FATAL EXCEPTION: main
    Process: net twisterrob app  PID: 10716
    java lang RuntimeException: Unable to start activity ComponentInfo net twisterrob app net twisterrob app GlideActivity : android content res Resources NotFoundException: Unable to find resource ID  0x75bcd15
            at android app ActivityThread performLaunchActivity(ActivityThread java:2305)
            at android app ActivityThread handleLaunchActivity(ActivityThread java:2363)
            at android app ActivityThread access 900(ActivityThread java:161)
            at android app ActivityThread H handleMessage(ActivityThread java:1265)
            at android os Handler dispatchMessage(Handler java:102)
            at android os Looper loop(Looper java:157)
            at android app ActivityThread main(ActivityThread java:5356)
            at java lang reflect Method invokeNative(Native Method)
            at java lang reflect Method invoke(Method java:515)
            at com android internal os ZygoteInit MethodAndArgsCaller run(ZygoteInit java:1265)
            at com android internal os ZygoteInit main(ZygoteInit java:1081)
            at dalvik system NativeStart main(Native Method)
     Caused by: android content res Resources NotFoundException: Unable to find resource ID  0x75bcd15
            at android content res Resources getResourcePackageName(Resources java:2708)
            at com bumptech glide load model ResourceLoader getResourceFetcher(ResourceLoader java:32)
            at com bumptech glide load model ResourceLoader getResourceFetcher(ResourceLoader java:16)
            at com bumptech glide load model ImageVideoModelLoader getResourceFetcher(ImageVideoModelLoader java:39)
            at com bumptech glide request GenericRequest onSizeReady(GenericRequest java:417)
            at com bumptech glide request target ViewTarget SizeDeterminer getSize(ViewTarget java:166)
            at com bumptech glide request target ViewTarget getSize(ViewTarget java:72)
            at com bumptech glide request GenericRequest begin(GenericRequest java:261)
            at com bumptech glide manager RequestTracker runRequest(RequestTracker java:36)
            at com bumptech glide GenericRequestBuilder into(GenericRequestBuilder java:616)
            at com bumptech glide GenericRequestBuilder into(GenericRequestBuilder java:652)
            at com bumptech glide DrawableRequestBuilder into(DrawableRequestBuilder java:436)
            at net twisterrob app GlideActivity onCreate(GlideActivity java:23)
            at android app Activity performCreate(Activity java:5426)
            at android app Instrumentation callActivityOnCreate(Instrumentation java:1105)
            at android app ActivityThread performLaunchActivity(ActivityThread java:2269)
            at android app ActivityThread handleLaunchActivity(ActivityThread java:2363)
            at android app ActivityThread access 900(ActivityThread java:161)
            at android app ActivityThread H handleMessage(ActivityThread java:1265)
            at android os Handler dispatchMessage(Handler java:102)
            at android os Looper loop(Looper java:157)
            at android app ActivityThread main(ActivityThread java:5356)
            at java lang reflect Method invokeNative(Native Method)
            at java lang reflect Method invoke(Method java:515)
            at com android internal os ZygoteInit MethodAndArgsCaller run(ZygoteInit java:1265)
            at com android internal os ZygoteInit main(ZygoteInit java:1081)
            at dalvik system NativeStart main(Native Method)
     Other Cases
 Some parts of the log were cut for brevity  
       R drawable image 
  Source  : a valid png jpg file 
  Result  : all is fine 
20 480    8830 8830 D GLIDE  onResourceReady(com bumptech glide load resource bitmap GlideBitmapDrawable 42b52840  2130837560  Target for: android widget ImageView 42a9b690 V ED           ID 0 0 150 150  7f090023 app:id image   false)
       R drawable drawable 
  Source  : A valid xml drawable  e g  a   shape   
  Result  :  BitmapFactory  returns  null   see  350 
52 270  13649 13675 D skia      SkImageDecoder::Factory returned null
52 410  13649 13649 D GLIDE  onException(null  2130837561  Target for: android widget ImageView 42a9ae40 V ED           ID 0 0 150 150  7f090023 app:id image   true)
       R string app name 
  Source  : any resource defined in  values   xml  so it doesn t have a full file associated to it 
  Result  : exception is expected and nicely forwarded 
50 358    9457 9457 D GLIDE  onException(java io FileNotFoundException: Resource does not exist: android resource:  net twisterrob app string app name  2131427328  Target for: android widget ImageView 42a9e6c0 V ED           ID 0 0 150 150  7f090023 app:id image   true)
    java io FileNotFoundException: Resource does not exist: android resource:  net twisterrob app string app name
            at android content ContentResolver openAssetFileDescriptor(ContentResolver java:900)
            at android content ContentResolver openAssetFileDescriptor(ContentResolver java:835)
            at com bumptech glide load data FileDescriptorLocalUriFetcher loadResource(FileDescriptorLocalUriFetcher java:21)
            at com bumptech glide load data FileDescriptorLocalUriFetcher loadResource(FileDescriptorLocalUriFetcher java:14)
            at com bumptech glide load data LocalUriFetcher loadData(LocalUriFetcher java:44)
            at com bumptech glide load model ImageVideoModelLoader ImageVideoFetcher loadData(ImageVideoModelLoader java:83)
            at com bumptech glide load model ImageVideoModelLoader ImageVideoFetcher loadData(ImageVideoModelLoader java:53)
            at com bumptech glide load engine DecodeJob decodeSource(DecodeJob java:170)
            at com bumptech glide load engine DecodeJob decodeFromSource(DecodeJob java:128)
            at com bumptech glide load engine EngineRunnable decodeFromSource(EngineRunnable java:122)
            at com bumptech glide load engine EngineRunnable decode(EngineRunnable java:101)
            at com bumptech glide load engine EngineRunnable run(EngineRunnable java:58)
            at java util concurrent Executors RunnableAdapter call(Executors java:422)
            at java util concurrent FutureTask run(FutureTask java:237)
            at java util concurrent ThreadPoolExecutor runWorker(ThreadPoolExecutor java:1112)
            at java util concurrent ThreadPoolExecutor Worker run(ThreadPoolExecutor java:587)
            at java lang Thread run(Thread java:841)
            at com bumptech glide load engine executor FifoPriorityThreadPoolExecutor DefaultThreadFactory 1 run(FifoPriorityThreadPoolExecutor java:52)
       R layout main 
  Source  : any resource that has a file associated with it but is not a valid image file (e g  layout  anim) 
  Result  :  BitmapFactory  returns  null   this time correctly 
17 622   9907 10147 D skia      SkImageDecoder::Factory returned null
17 652    9907 9907 D GLIDE  onException(null  2130968603  Target for: android widget ImageView 42b44270 V ED           ID 0 0 150 150  7f090023 app:id image   true)
       null 
  Source  : nothing 
  Result  : no exception  but forwarded to  onException   acceptable  but see  268 
48 669  10358 10358 D GLIDE  onException(null  null  Target for: android widget ImageView 42ad4c40 V ED           I  0 0 0 0  7f090023 app:id image   true)
</t>
  </si>
  <si>
    <t>dmfs-opentasks-134</t>
  </si>
  <si>
    <t>widget crashs on tapping on task</t>
  </si>
  <si>
    <t xml:space="preserve">First: I love your apps  It syncs perfectly with my owncloud server 
At my Nexus 7 (2013 LTE  with lollipop 5 0 2  not rooted) I use your widget  It shows and refreshs all tasks like it should be 
BUT: When I tap at a single task row it crashs  
Additional info: Tapping at     brings me to  create new task   also tapping at the title works fine 
It s reproducible 
Is it only at my device  If you need further informations  I will give it to you 
</t>
  </si>
  <si>
    <t>rosjava-android_apps-46</t>
  </si>
  <si>
    <t>Illegal call to VisualizationView.onCreate</t>
  </si>
  <si>
    <t xml:space="preserve">In map nav s MainActivity (and propably in the other apps  too) the call to VisualizationView onCreate is made in the Activity s init method and not in onCreate  as demanded by the documentation of VisualizationView  Furthermore VisualizationView init isn t called at all 
This might work under some circumstances  but when running the current head of the indigo branch on an Android 4 0 device  the app crashed every time on startup throwing a NullPointerException in SurfaceView updateWindow  The stack didn t include any custom rosjava methods  
Calling VisualzationView onCreate and init in the designated methods fixed the problem 
I d submit a pull request  but the fix needs some architectural changes in the layers  which you might want to do yourself 
</t>
  </si>
  <si>
    <t>mixpanel-mixpanel-android-205</t>
  </si>
  <si>
    <t>IllegalStateException: Can not perform this action after onSaveInstanceState</t>
  </si>
  <si>
    <t xml:space="preserve">Hey 
Repeatable crash (happens enough that I can grab it in a debugger and get any other info you need) 
 com mixpanel android:mixpanel android:4 5 3 
Seems to happen when we re changing activities  and have recently set unset properties with MixpanelAPI People set(String propertyName  Object value)
Properties never seem to end up in our Mixpanel account 
Please let me know whatever I else I can provide to get this resolved 
Full stack traces are below (one exception causes another)  The last non Android line is:
com mixpanel android mpmetrics InAppFragment cleanUp(InAppFragment java:221)
Cheers
Mike
04 16 15:59:59 490 16632 16632 com devicemagic androidx forms E AndroidRuntime  FATAL EXCEPTION: main
Process: com devicemagic androidx forms  PID: 16632
java lang RuntimeException: Unable to pause activity  com devicemagic androidx forms com devicemagic androidx forms ui BaseActivity : java lang IllegalStateException: Can not perform this action after onSaveInstanceState
 at android app ActivityThread performPauseActivity(ActivityThread java:3271)
at android app ActivityThread performPauseActivity(ActivityThread java:3226)
at android app ActivityThread handlePauseActivity(ActivityThread java:3204)
at android app ActivityThread access 1100(ActivityThread java:169)
at android app ActivityThread H handleMessage(ActivityThread java:1288)
at android os Handler dispatchMessage(Handler java:102)
at android os Looper loop(Looper java:136)
 at android app ActivityThread main(ActivityThread java:5476)
at java lang reflect Method invokeNative(Native Method)
at java lang reflect Method invoke(Method java:515)
at com android internal os ZygoteInit MethodAndArgsCaller run(ZygoteInit java:1268)
at com android internal os ZygoteInit main(ZygoteInit java:1084)
at dalvik system NativeStart main(Native Method)
Caused by: java lang IllegalStateException: Can not perform this action after onSaveInstanceState
 at android app FragmentManagerImpl checkStateLoss(FragmentManager java:1323)
at android app FragmentManagerImpl enqueueAction(FragmentManager java:1341)
at android app BackStackRecord commitInternal(BackStackRecord java:597)
at android app BackStackRecord commit(BackStackRecord java:575)
at com mixpanel android mpmetrics InAppFragment cleanUp(InAppFragment java:221)
at com mixpanel android mpmetrics InAppFragment onPause(InAppFragment java:210)
at android app Fragment performPause(Fragment java:1859)
at android app FragmentManagerImpl moveToState(FragmentManager java:935)
at android app FragmentManagerImpl moveToState(FragmentManager java:1062)
at android app FragmentManagerImpl moveToState(FragmentManager java:1044)
at android app FragmentManagerImpl dispatchPause(FragmentManager java:1873)
at android app Activity performPause(Activity java:5575)
at android app Instrumentation callActivityOnPause(Instrumentation java:1239)
at android app ActivityThread performPauseActivity(ActivityThread java:3257)
at android app ActivityThread performPauseActivity(ActivityThread java:3226)
at android app ActivityThread handlePauseActivity(ActivityThread java:3204)
at android app ActivityThread access 1100(ActivityThread java:169)
at android app ActivityThread H handleMessage(ActivityThread java:1288)
at android os Handler dispatchMessage(Handler java:102)
at android os Looper loop(Looper java:136)
 at android app ActivityThread main(ActivityThread java:5476)
at java lang reflect Method invokeNative(Native Method)
at java lang reflect Method invoke(Method java:515)
at com android internal os ZygoteInit MethodAndArgsCaller run(ZygoteInit java:1268)
at com android internal os ZygoteInit main(ZygoteInit java:1084)
at dalvik system NativeStart main(Native Method)
</t>
  </si>
  <si>
    <t>michaelbarlow7-dungeon-crawl-android-55</t>
  </si>
  <si>
    <t>Crash when the orientation changes</t>
  </si>
  <si>
    <t xml:space="preserve">DCSS crashes when the phone or tablet orientation changes  Locking the orientation helps a bit  but not completely because when another application comes atop (for exemple due to an incoming phone call) the game crashes even with locked orientation  Changing the display size with the volume buttons also causes a crash 
The bug can be reproduced systematically  It happears on different hardwares with different android versions : for example on a LG Nexus 5 with Android 5 1 
</t>
  </si>
  <si>
    <t>OneDrive-onedrive-explorer-android-38</t>
  </si>
  <si>
    <t>Should determine if the user's wifi is down to prevent the app from crashing</t>
  </si>
  <si>
    <t xml:space="preserve">Should determine if the user s wifi is down to prevent the app from crashing
</t>
  </si>
  <si>
    <t>dhis2-dhis2-android-eventcapture-14</t>
  </si>
  <si>
    <t>App crash on entering data in EditTextField</t>
  </si>
  <si>
    <t xml:space="preserve">App crash on entering data in EditTextField 
Device: Google Nexus 5
Android Version: 5 1
Log:
java lang RuntimeException: Could not dispatch event: class org hisp dhis2 android eventcapture EditTextValueChangedEvent to handler  EventHandler public void org hisp dhis2 android eventcapture fragments dataentry DataEntryFragment onRowValueChanged(org hisp dhis2 android eventcapture EditTextValueChangedEvent) : Invalid index 6  size is 6
            at com squareup otto Bus throwRuntimeException(Bus java:458)
            at com squareup otto Bus dispatch(Bus java:388)
            at com squareup otto Bus dispatchQueuedEvents(Bus java:369)
            at com squareup otto Bus post(Bus java:338)
            at org hisp dhis2 android sdk utils MainThreadBus post(MainThreadBus java:51)
            at org hisp dhis2 android eventcapture adapters rows dataentry EditTextRow OnTextChangeListener afterTextChanged(EditTextRow java:166)
            at android widget TextView sendAfterTextChanged(TextView java:7695)
            at android widget TextView ChangeWatcher afterTextChanged(TextView java:9483)
            at android text SpannableStringBuilder sendAfterTextChanged(SpannableStringBuilder java:972)
            at android text SpannableStringBuilder replace(SpannableStringBuilder java:516)
            at android text SpannableStringBuilder replace(SpannableStringBuilder java:454)
            at android text SpannableStringBuilder replace(SpannableStringBuilder java:33)
            at android text method NumberKeyListener onKeyDown(NumberKeyListener java:121)
            at android widget TextView doKeyDown(TextView java:5803)
            at android widget TextView onKeyDown(TextView java:5616)
            at android view KeyEvent dispatch(KeyEvent java:2619)
            at android view View dispatchKeyEvent(View java:8411)
            at android view ViewGroup dispatchKeyEvent(ViewGroup java:1495)
            at android view ViewGroup dispatchKeyEvent(ViewGroup java:1495)
            at android widget ListView dispatchKeyEvent(ListView java:2130)
            at android view ViewGroup dispatchKeyEvent(ViewGroup java:1495)
            at android view ViewGroup dispatchKeyEvent(ViewGroup java:1495)
            at android view ViewGroup dispatchKeyEvent(ViewGroup java:1495)
            at android view ViewGroup dispatchKeyEvent(ViewGroup java:1495)
            at android view ViewGroup dispatchKeyEvent(ViewGroup java:1495)
            at android view ViewGroup dispatchKeyEvent(ViewGroup java:1495)
            at android view ViewGroup dispatchKeyEvent(ViewGroup java:1495)
            at android view ViewGroup dispatchKeyEvent(ViewGroup java:1495)
            at android view ViewGroup dispatchKeyEvent(ViewGroup java:1495)
            at com android internal policy impl PhoneWindow DecorView superDispatchKeyEvent(PhoneWindow java:2361)
            at com android internal policy impl PhoneWindow superDispatchKeyEvent(PhoneWindow java:1709)
            at android app Activity dispatchKeyEvent(Activity java:2702)
            at com android internal policy impl PhoneWindow DecorView dispatchKeyEvent(PhoneWindow java:2276)
            at android view ViewRootImpl ViewPostImeInputStage processKeyEvent(ViewRootImpl java:4020)
            at android view ViewRootImpl ViewPostImeInputStage onProcess(ViewRootImpl java:3982)
            at android view ViewRootImpl InputStage deliver(ViewRootImpl java:3544)
            at android view ViewRootImpl InputStage onDeliverToNext(ViewRootImpl java:3597)
            at android view ViewRootImpl InputStage forward(ViewRootImpl java:3563)
            at android view ViewRootImpl AsyncInputStage forward(ViewRootImpl java:3680)
            at android view ViewRootImpl InputStage apply(ViewRootImpl java:3571)
            at android view ViewRootImpl AsyncInputStage apply(ViewRootImpl java:3737)
            at android view ViewRootImpl InputStage deliver(ViewRootImpl java:3544)
            at android view ViewRootImpl InputStage onDeliverToNext(ViewRootImpl java:3597)
            at android view ViewRootImpl InputStage forward(ViewRootImpl java:3563)
            at android view ViewRootImpl InputStage apply(ViewRootImpl java:3571)
            at android view ViewRootImpl InputStage deliver(ViewRootImpl java:3544)
            at android view ViewRootImpl deliverInputEvent(ViewRootImpl java:5807)
            at android view ViewRootImpl doProcessInputEvents(ViewRootImpl java:5781)
            at android view ViewRootImpl enqueueInputEvent(ViewRootImpl java:5752)
</t>
  </si>
  <si>
    <t>cc-archive-list-276</t>
  </si>
  <si>
    <t>App crashes when saving new photo</t>
  </si>
  <si>
    <t xml:space="preserve">I opened the List (v  1 0)  selected option from My List (a photo of an umbrella) 
I took the photo  and when given the choice to Save or Discard  chose Save 
The List app notified me it had crashed 
This happened twice  exactly the same experience each time  
I tried this with another item from My List (cup of coffee)  and had the same result  for 3x total 
Device: 
Samsung GT I9100m (Galaxy S II)
Android v  4 1 3
</t>
  </si>
  <si>
    <t>PanicInitiative-PanicButton-81</t>
  </si>
  <si>
    <t>Crash report for contact nested fragment</t>
  </si>
  <si>
    <t xml:space="preserve">This is the most frequent crash report in Parse 
Caused by: android view InflateException: Binary XML file line  66: Error inflating class fragment
0
android view LayoutInflater createViewFromTag
LayoutInflater java:719
1
android view LayoutInflater rInflate
LayoutInflater java:761
2
android view LayoutInflater rInflate
LayoutInflater java:769
3
android view LayoutInflater rInflate
LayoutInflater java:769
4
android view LayoutInflater rInflate
LayoutInflater java:769
5
android view LayoutInflater inflate
LayoutInflater java:498
6
android view LayoutInflater inflate
LayoutInflater java:398
7
org iilab pb fragment SetupContactsFragment onCreateView
SetupContactsFragment java:68
This might be related to  57 although the stack traces look very different 
Stackoverflow seems to point at  a problem with nested fragments (http:  stackoverflow com a 19815266 3237351) which shouldn t be done but  seems to be happening here (https:  github com iilab PanicButton blob master res layout fragment type interactiveIt seems that nested fragments were introduced in Android 4 2 (but they still can t be added with a  fragment  tag according to  this post (http:  xperiment andro blogspot de 2013 02 nested fragments html) so we need to remove this to keep Android 2 3 compatibility 
</t>
  </si>
  <si>
    <t>dhis2-dhis2-android-eventcapture-22</t>
  </si>
  <si>
    <t xml:space="preserve">View recycling related issue in DataEntryFragment ListView. </t>
  </si>
  <si>
    <t xml:space="preserve">Scrolling listview with fields in DataEntryFragment causes application crash  
</t>
  </si>
  <si>
    <t>24HeuresINSA-24h-android-app-100</t>
  </si>
  <si>
    <t>URGENT : export cassé</t>
  </si>
  <si>
    <t xml:space="preserve">Dans les animations tu exportes les pictures dans un object alors qu il faut un array  L appli crash pas mais ne recoit plus les donn es  
Tu peux t en occuper quand   
</t>
  </si>
  <si>
    <t>Natio-Places-74</t>
  </si>
  <si>
    <t>crash after closing flag</t>
  </si>
  <si>
    <t xml:space="preserve">going back to homepage the app crashes
</t>
  </si>
  <si>
    <t>johnkil-Android-RobotoTextView-38</t>
  </si>
  <si>
    <t>appcompat 22.1 crash</t>
  </si>
  <si>
    <t xml:space="preserve">I have just updated to appcompat 22 1 0 and inflating a layout that contains RobotoTextView widgets causes a crash of class not found
Maybe the issue is caused by the automatic substitution of widget with the new tinted aware (AppCompatTextView  AppCompatEditText etc) version
http:  android developers blogspot it 2015 04 android support library 221 html
</t>
  </si>
  <si>
    <t>libreliodev-android-308</t>
  </si>
  <si>
    <t>Changing orientation several times crashes the app</t>
  </si>
  <si>
    <t xml:space="preserve">This has been consistently observed on an old Galaxy Tab under 4 1 
After 3 or 4 times changing the orientation  the app crashes
cc  intrications 
</t>
  </si>
  <si>
    <t>paceuniversity-cs3892015team1-28</t>
  </si>
  <si>
    <t>App crashes when the user tries to start quiz without having any pictures</t>
  </si>
  <si>
    <t xml:space="preserve">If you have no file associated with the app and try to start the quiz  the app will crash and start over 
</t>
  </si>
  <si>
    <t>koral---android-gif-drawable-157</t>
  </si>
  <si>
    <t>CRASH: SIGSEGV on particular gif</t>
  </si>
  <si>
    <t xml:space="preserve">This image produces a 100  repro crash:
http:  darkrockstudios com images soffishdrawza1 gif
Haven t had time to investigate it my self yet 
This is all I got for the stack trace:
04 21 15:50:39 846: A libc(18353): Fatal signal 11 (SIGSEGV)  code 1  fault addr 0x8 in tid 18466 (pool 7 thread 1)
Also as a note this crash doesn t seem to have been present on older versions of the lib  I m not sure exactly when it started  but some time before 1 0 it was fine for sure 
</t>
  </si>
  <si>
    <t>CellularPrivacy-Android-IMSI-Catcher-Detector-390</t>
  </si>
  <si>
    <t>Application dies when running in background</t>
  </si>
  <si>
    <t xml:space="preserve">When I turn on location service (from no location service to GPS) application crashes after a few seconds:
04 24 20:30:38 720 W PackageParser(2087): No actions in intent filter at  system priv app com SecUpwN AIMSICD 2 apk Binary XML file line  147
04 24 20:30:38 720 W PackageParser(2087): No actions in intent filter at  system priv app com SecUpwN AIMSICD 2 apk Binary XML file line  172
04 24 20:30:50 161 W PackageManager(2087): Unknown permission android permission ACCESS COARSE UPDATES in package com SecUpwN AIMSICD
04 24 20:30:50 161 W PackageManager(2087): Not granting permission android permission INTERACT ACROSS USERS FULL to package com SecUpwN AIMSICD (protectionLevel 2 flags 0x40083e47)
04 24 20:30:50 161 W PackageManager(2087): Not granting permission android permission DEVICE POWER to package com SecUpwN AIMSICD (protectionLevel 2 flags 0x40083e47)
04 24 20:30:50 161 W PackageManager(2087): Not granting permission android permission DIAGNOSTIC to package com SecUpwN AIMSICD (protectionLevel 2 flags 0x40083e47)
04 24 20:30:50 161 W PackageManager(2087): Not granting permission android permission FACTORY TEST to package com SecUpwN AIMSICD (protectionLevel 2 flags 0x40083e47)
04 24 20:30:50 161 W PackageManager(2087): Not granting permission android permission HARDWARE TEST to package com SecUpwN AIMSICD (protectionLevel 2 flags 0x40083e47)
04 24 20:30:50 161 W PackageManager(2087): Not granting permission android permission INJECT EVENTS to package com SecUpwN AIMSICD (protectionLevel 2 flags 0x40083e47)
04 24 20:30:50 161 W PackageManager(2087): Not granting permission android permission INTERNAL SYSTEM WINDOW to package com SecUpwN AIMSICD (protectionLevel 2 flags 0x40083e47)
04 24 20:30:50 161 W PackageManager(2087): Unknown permission android phone receiveDetailedCallState in package com SecUpwN AIMSICD
04 24 20:30:50 161 W PackageManager(2087): Not granting permission com android permission HANDOVER STATUS to package com SecUpwN AIMSICD (protectionLevel 2 flags 0x40083e47)
04 24 20:30:50 161 W PackageManager(2087): Unknown permission com sec android app controlpanel permission PRIVATE in package com SecUpwN AIMSICD
04 24 20:30:50 161 W PackageManager(2087): Unknown permission com sec android app factorymode permission KEYSTRING in package com SecUpwN AIMSICD
04 24 20:30:50 161 W PackageManager(2087): Unknown permission com sec android app cm permission PERMISSION MANAGEMENT in package com SecUpwN AIMSICD
04 24 20:30:50 161 W PackageManager(2087): Unknown permission com sec android app phoneutil permission KEYSTRING in package com SecUpwN AIMSICD
04 24 20:30:50 161 W PackageManager(2087): Unknown permission com sec android app servicemodeapp permission KEYSTRING in package com SecUpwN AIMSICD
04 24 20:30:50 161 W PackageManager(2087): Unknown permission com sec android phone permission DATA ROAMING SETTINGS ENHANCED in package com SecUpwN AIMSICD
04 24 20:30:50 161 W PackageManager(2087): Unknown permission com sec android phone permission READ CALL SETTINGS in package com SecUpwN AIMSICD
04 24 20:30:50 161 W PackageManager(2087): Unknown permission com sec android phone permission WRITE CALL SETTINGS in package com SecUpwN AIMSICD
04 24 20:30:50 161 W PackageManager(2087): Unknown permission com sec factory permission KEYSTRING in package com SecUpwN AIMSICD
04 24 20:30:50 161 W PackageManager(2087): Unknown permission com sec modem settings permission KEYSTRING in package com SecUpwN AIMSICD
04 24 20:30:50 161 W PackageManager(2087): Unknown permission org simalliance openmobileapi SMARTCARD in package com SecUpwN AIMSICD
04 24 20:30:51 953 W PackageManager(2087): Unknown permission android permission ACCESS COARSE UPDATES in package com SecUpwN AIMSICD
04 24 20:30:51 953 W PackageManager(2087): Not granting permission android permission INTERACT ACROSS USERS FULL to package com SecUpwN AIMSICD (protectionLevel 2 flags 0x40083e47)
04 24 20:30:51 953 W PackageManager(2087): Not granting permission android permission DEVICE POWER to package com SecUpwN AIMSICD (protectionLevel 2 flags 0x40083e47)
04 24 20:30:51 953 W PackageManager(2087): Not granting permission android permission DIAGNOSTIC to package com SecUpwN AIMSICD (protectionLevel 2 flags 0x40083e47)
04 24 20:30:51 953 W PackageManager(2087): Not granting permission android permission FACTORY TEST to package com SecUpwN AIMSICD (protectionLevel 2 flags 0x40083e47)
04 24 20:30:51 953 W PackageManager(2087): Not granting permission android permission HARDWARE TEST to package com SecUpwN AIMSICD (protectionLevel 2 flags 0x40083e47)
04 24 20:30:51 953 W PackageManager(2087): Not granting permission android permission INJECT EVENTS to package com SecUpwN AIMSICD (protectionLevel 2 flags 0x40083e47)
04 24 20:30:51 953 W PackageManager(2087): Not granting permission android permission INTERNAL SYSTEM WINDOW to package com SecUpwN AIMSICD (protectionLevel 2 flags 0x40083e47)
04 24 20:30:51 963 W PackageManager(2087): Unknown permission android phone receiveDetailedCallState in package com SecUpwN AIMSICD
04 24 20:30:51 963 W PackageManager(2087): Not granting permission com android permission HANDOVER STATUS to package com SecUpwN AIMSICD (protectionLevel 2 flags 0x40083e47)
04 24 20:30:51 963 W PackageManager(2087): Unknown permission com sec android app controlpanel permission PRIVATE in package com SecUpwN AIMSICD
04 24 20:30:51 963 W PackageManager(2087): Unknown permission com sec android app factorymode permission KEYSTRING in package com SecUpwN AIMSICD
04 24 20:30:51 963 W PackageManager(2087): Unknown permission com sec android app cm permission PERMISSION MANAGEMENT in package com SecUpwN AIMSICD
04 24 20:30:51 963 W PackageManager(2087): Unknown permission com sec android app phoneutil permission KEYSTRING in package com SecUpwN AIMSICD
04 24 20:30:51 963 W PackageManager(2087): Unknown permission com sec android app servicemodeapp permission KEYSTRING in package com SecUpwN AIMSICD
04 24 20:30:51 963 W PackageManager(2087): Unknown permission com sec android phone permission DATA ROAMING SETTINGS ENHANCED in package com SecUpwN AIMSICD
04 24 20:30:51 963 W PackageManager(2087): Unknown permission com sec android phone permission READ CALL SETTINGS in package com SecUpwN AIMSICD
04 24 20:30:51 963 W PackageManager(2087): Unknown permission com sec android phone permission WRITE CALL SETTINGS in package com SecUpwN AIMSICD
04 24 20:30:51 963 W PackageManager(2087): Unknown permission com sec factory permission KEYSTRING in package com SecUpwN AIMSICD
04 24 20:30:51 963 W PackageManager(2087): Unknown permission com sec modem settings permission KEYSTRING in package com SecUpwN AIMSICD
04 24 20:30:51 963 W PackageManager(2087): Unknown permission org simalliance openmobileapi SMARTCARD in package com SecUpwN AIMSICD
04 24 20:30:57 268 W PackageManager(2087): Unknown permission android permission ACCESS COARSE UPDATES in package com SecUpwN AIMSICD
04 24 20:30:57 268 W PackageManager(2087): Not granting permission android permission INTERACT ACROSS USERS FULL to package com SecUpwN AIMSICD (protectionLevel 2 flags 0x40883e47)
04 24 20:30:57 268 W PackageManager(2087): Not granting permission android permission DEVICE POWER to package com SecUpwN AIMSICD (protectionLevel 2 flags 0x40883e47)
04 24 20:30:57 268 W PackageManager(2087): Not granting permission android permission DIAGNOSTIC to package com SecUpwN AIMSICD (protectionLevel 2 flags 0x40883e47)
04 24 20:30:57 268 W PackageManager(2087): Not granting permission android permission FACTORY TEST to package com SecUpwN AIMSICD (protectionLevel 2 flags 0x40883e47)
04 24 20:30:57 268 W PackageManager(2087): Not granting permission android permission HARDWARE TEST to package com SecUpwN AIMSICD (protectionLevel 2 flags 0x40883e47)
04 24 20:30:57 268 W PackageManager(2087): Not granting permission android permission INJECT EVENTS to package com SecUpwN AIMSICD (protectionLevel 2 flags 0x40883e47)
04 24 20:30:57 268 W PackageManager(2087): Not granting permission android permission INTERNAL SYSTEM WINDOW to package com SecUpwN AIMSICD (protectionLevel 2 flags 0x40883e47)
04 24 20:30:57 278 W PackageManager(2087): Unknown permission android phone receiveDetailedCallState in package com SecUpwN AIMSICD
04 24 20:30:57 278 W PackageManager(2087): Not granting permission com android permission HANDOVER STATUS to package com SecUpwN AIMSICD (protectionLevel 2 flags 0x40883e47)
04 24 20:30:57 278 W PackageManager(2087): Unknown permission com sec android app controlpanel permission PRIVATE in package com SecUpwN AIMSICD
04 24 20:30:57 278 W PackageManager(2087): Unknown permission com sec android app factorymode permission KEYSTRING in package com SecUpwN AIMSICD
04 24 20:30:57 278 W PackageManager(2087): Unknown permission com sec android app cm permission PERMISSION MANAGEMENT in package com SecUpwN AIMSICD
04 24 20:30:57 278 W PackageManager(2087): Unknown permission com sec android app phoneutil permission KEYSTRING in package com SecUpwN AIMSICD
04 24 20:30:57 278 W PackageManager(2087): Unknown permission com sec android app servicemodeapp permission KEYSTRING in package com SecUpwN AIMSICD
04 24 20:30:57 278 W PackageManager(2087): Unknown permission com sec android phone permission DATA ROAMING SETTINGS ENHANCED in package com SecUpwN AIMSICD
04 24 20:30:57 278 W PackageManager(2087): Unknown permission com sec android phone permission READ CALL SETTINGS in package com SecUpwN AIMSICD
04 24 20:30:57 278 W PackageManager(2087): Unknown permission com sec android phone permission WRITE CALL SETTINGS in package com SecUpwN AIMSICD
04 24 20:30:57 278 W PackageManager(2087): Unknown permission com sec factory permission KEYSTRING in package com SecUpwN AIMSICD
04 24 20:30:57 278 W PackageManager(2087): Unknown permission com sec modem settings permission KEYSTRING in package com SecUpwN AIMSICD
04 24 20:30:57 278 W PackageManager(2087): Unknown permission org simalliance openmobileapi SMARTCARD in package com SecUpwN AIMSICD
04 24 20:31:13 450 I ActivityManager(2087): Start proc com SecUpwN AIMSICD for broadcast com SecUpwN AIMSICD  receiver BootCompletedReceiver: pid 2900 uid 10158 gids  50158  3003  1028  1023  1007  1015  3006 
04 24 20:31:13 550 D ActivityThread(2900): handleBindApplication:com SecUpwN AIMSICD
04 24 20:31:45 871 I ActivityManager(2087): Killing 2900:com SecUpwN AIMSICD u0a158 (adj 15): empty  17
04 25 08:08:02 892 I Timeline(2749): Timeline: Activity launch request id:com SecUpwN AIMSICD time:41682975
04 25 08:08:02 892 I ActivityManager(2087): START u0  act android intent action MAIN cat  android intent category LAUNCHER  flg 0x10200000 cmp com SecUpwN AIMSICD  AIMSICD  from pid 2749
04 25 08:08:03 132 I ActivityManager(2087): Start proc com SecUpwN AIMSICD for activity com SecUpwN AIMSICD  AIMSICD: pid 14975 uid 10158 gids  50158  3003  1028  1023  1007  1015  3006 
04 25 08:08:03 252 D ActivityThread(14975): handleBindApplication:com SecUpwN AIMSICD
04 25 08:08:03 863 I AIMSICD Service(14975): Service launched successfully 
04 25 08:08:04 383 V NlpLocationProvider(2409): onSetRequest: ProviderRequest ON interval  10s0ms  by WorkSource 10158 com SecUpwN AIMSICD 
04 25 08:08:04 413 D AIMSICD (14975): CellTracker: NC list not supported by AOS on this device  Nothing to do  CID: 6259818
04 25 08:08:04 413 D AIMSICD (14975): CellTracker: Setting nc list present to: false
04 25 08:08:04 603 V AIMSICD (14975): LAC checked   no change on CID:6259818 LAC(API): 22095 LAC(DBi): 22095
04 25 08:08:04 643 I AIMSICD SignalStrengthTracker(14975): Ignored signal strength sample for CID: 6259818 as the device is currently moving around  will not accept anything for another 29744 ms 
04 25 08:08:04 924 I ActivityManager(2087): Displayed com SecUpwN AIMSICD  AIMSICD:  1s801ms
04 25 08:08:04 924 I Timeline(2087): Timeline: Activity windows visible id: ActivityRecord 41e527c0 u0 com SecUpwN AIMSICD  AIMSICD t4  time:41685002
04 25 08:08:05 004 V AIMSICD (14975): DbAdapter: Cell info updated in local db: 6259818
04 25 08:08:05 094 V AIMSICD (14975): DbAdapter: Cell info updated in local db: 6259818
04 25 08:08:18 187 V AIMSICD (14975): DbAdapter: Cell info updated in local db: 6259818
04 25 08:08:18 277 V AIMSICD (14975): DbAdapter: Cell info updated in local db: 6259818
04 25 08:08:20 669 I AIMSICD SignalStrengthTracker(14975): Ignored signal strength sample for CID: 6259818 as the device is currently moving around  will not accept anything for another 13719 ms 
04 25 08:08:24 743 V NlpLocationProvider(2409): onSetRequest: ProviderRequest ON interval  10s0ms  by WorkSource 10158 com SecUpwN AIMSICD 
04 25 08:08:25 083 V AIMSICD (14975): DbAdapter: Cell info updated in local db: 6259818
04 25 08:08:25 233 V AIMSICD (14975): DbAdapter: Cell info updated in local db: 6259818
04 25 08:08:25 584 V NlpLocationProvider(2409): onSetRequest: ProviderRequest ON interval  10s0ms  by WorkSource 10158 com SecUpwN AIMSICD 
04 25 08:08:25 714 V AIMSICD (14975): DbAdapter: Cell info updated in local db: 6259818
04 25 08:08:25 814 V AIMSICD (14975): DbAdapter: Cell info updated in local db: 6259818
04 25 08:08:37 575 V AIMSICD (14975): DbAdapter: Cell info updated in local db: 6259818
04 25 08:08:37 726 V AIMSICD (14975): DbAdapter: Cell info updated in local db: 6259818
04 25 08:08:38 516 V AIMSICD (14975): DbAdapter: Cell info updated in local db: 6259818
04 25 08:08:38 586 V AIMSICD (14975): DbAdapter: Cell info updated in local db: 6259818
04 25 08:08:44 672 I AIMSICD SignalStrengthTracker(14975): Ignored signal strength sample for CID: 6259818 as the device is currently moving around  will not accept anything for another 23726 ms 
04 25 08:08:44 732 V NlpLocationProvider(2409): onSetRequest: ProviderRequest ON interval  10s0ms  by WorkSource 10158 com SecUpwN AIMSICD 
04 25 08:08:45 063 V NlpLocationProvider(2409): onSetRequest: ProviderRequest ON interval  10s0ms  by WorkSource 10158 com SecUpwN AIMSICD 
04 25 08:08:45 163 E AndroidRuntime(14975): Process: com SecUpwN AIMSICD  PID: 14975
04 25 08:08:45 163 E AndroidRuntime(14975):     at com SecUpwN AIMSICD adapters AIMSICDDbAdapter locationExists(AIMSICDDbAdapter java:602)
04 25 08:08:45 163 E AndroidRuntime(14975):     at com SecUpwN AIMSICD adapters AIMSICDDbAdapter insertLocation(AIMSICDDbAdapter java:418)
04 25 08:08:45 163 E AndroidRuntime(14975):     at com SecUpwN AIMSICD service CellTracker onLocationChanged(CellTracker java:987)
04 25 08:08:45 163 E AndroidRuntime(14975):     at com SecUpwN AIMSICD service AimsicdService 5 onLocationChanged(AimsicdService java:274)
04 25 08:08:45 163 E AndroidRuntime(14975):     at com SecUpwN AIMSICD service LocationTracker MyLocationListener onLocationChanged(LocationTracker java:152)
04 25 08:08:46 855 I ActivityManager(2087): Process com SecUpwN AIMSICD (pid 14975) has died 
04 25 08:08:46 855 I WindowState(2087): WIN DEATH: Window 425e1178 u0 com SecUpwN AIMSICD com SecUpwN AIMSICD AIMSICD 
04 25 08:08:46 855 W ActivityManager(2087): Scheduling restart of crashed service com SecUpwN AIMSICD  service AimsicdService in 1000ms
04 25 08:08:46 855 F ProcessStats(2087): Starting service ServiceState 4252bde8 com SecUpwN AIMSICD service AimsicdService pkg com SecUpwN AIMSICD proc 4252bde8  without owner
04 25 08:08:47 876 I ActivityManager(2087): Start proc com SecUpwN AIMSICD for service com SecUpwN AIMSICD  service AimsicdService: pid 15139 uid 10158 gids  50158  3003  1028  1023  1007  1015  3006 
04 25 08:08:47 936 D ActivityThread(15139): handleBindApplication:com SecUpwN AIMSICD
04 25 08:08:48 146 I AIMSICD Service(15139): Service launched successfully 
04 25 08:08:48 196 D AIMSICD (15139): CellTracker: NC list not supported by AOS on this device  Nothing to do  CID: 6259818
04 25 08:08:48 196 D AIMSICD (15139): CellTracker: Setting nc list present to: false
04 25 08:08:48 266 V AIMSICD (15139): LAC checked   no change on CID:6259818 LAC(API): 22095 LAC(DBi): 22095
04 25 08:08:48 306 I AIMSICD SignalStrengthTracker(15139): Ignored signal strength sample for CID: 6259818 as the device is currently moving around  will not accept anything for another 29660 ms 
04 25 08:08:48 436 V NlpLocationProvider(2409): onSetRequest: ProviderRequest ON interval  10s0ms  by WorkSource 10158 com SecUpwN AIMSICD 
04 25 08:08:48 496 E AndroidRuntime(15139): Process: com SecUpwN AIMSICD  PID: 15139
04 25 08:08:48 496 E AndroidRuntime(15139):     at com SecUpwN AIMSICD adapters AIMSICDDbAdapter locationExists(AIMSICDDbAdapter java:602)
04 25 08:08:48 496 E AndroidRuntime(15139):     at com SecUpwN AIMSICD adapters AIMSICDDbAdapter insertLocation(AIMSICDDbAdapter java:418)
04 25 08:08:48 496 E AndroidRuntime(15139):     at com SecUpwN AIMSICD service CellTracker onLocationChanged(CellTracker java:987)
04 25 08:08:48 496 E AndroidRuntime(15139):     at com SecUpwN AIMSICD service AimsicdService 5 onLocationChanged(AimsicdService java:274)
04 25 08:08:48 496 E AndroidRuntime(15139):     at com SecUpwN AIMSICD service LocationTracker MyLocationListener onLocationChanged(LocationTracker java:152)
04 25 08:08:49 857 I ActivityManager(2087): Process com SecUpwN AIMSICD (pid 15139) has died 
04 25 08:08:49 857 W ActivityManager(2087): Service crashed 2 times  stopping: ServiceRecord 425230c0 u0 com SecUpwN AIMSICD  service AimsicdService 
04 25 08:08:50 188 W NotificationService(2087): Object died trying to hide notification android app ITransientNotification Stub Proxy 421d0058 in package com SecUpwN AIMSICD
04 25 08:08:50 188 W NotificationService(2087): Object died trying to show notification android app ITransientNotification Stub Proxy 42375080 in package com SecUpwN AIMSICD
04 25 08:09:36 554 I Timeline(2749): Timeline: Activity launch request id:com SecUpwN AIMSICD time:41776638
04 25 08:09:36 565 I ActivityManager(2087): START u0  act android intent action MAIN cat  android intent category LAUNCHER  flg 0x10200000 cmp com SecUpwN AIMSICD  AIMSICD  from pid 2749
04 25 08:09:36 695 I ActivityManager(2087): Start proc com SecUpwN AIMSICD for activity com SecUpwN AIMSICD  AIMSICD: pid 15378 uid 10158 gids  50158  3003  1028  1023  1007  1015  3006 
04 25 08:09:36 785 D ActivityThread(15378): handleBindApplication:com SecUpwN AIMSICD
04 25 08:09:37 535 I AIMSICD Service(15378): Service launched successfully 
04 25 08:09:37 956 V NlpLocationProvider(2409): onSetRequest: ProviderRequest ON interval  10s0ms  by WorkSource 10158 com SecUpwN AIMSICD 
04 25 08:09:37 996 D AIMSICD (15378): CellTracker: NC list not supported by AOS on this device  Nothing to do  CID: 6259818
04 25 08:09:37 996 D AIMSICD (15378): CellTracker: Setting nc list present to: false
04 25 08:09:38 066 V AIMSICD (15378): LAC checked   no change on CID:6259818 LAC(API): 22095 LAC(DBi): 22095
04 25 08:09:38 086 I AIMSICD SignalStrengthTracker(15378): Ignored signal strength sample for CID: 6259818 as the device is currently moving around  will not accept anything for another 29858 ms 
04 25 08:09:38 326 I ActivityManager(2087): Displayed com SecUpwN AIMSICD  AIMSICD:  1s686ms
04 25 08:09:38 326 I Timeline(2087): Timeline: Activity windows visible id: ActivityRecord 41e527c0 u0 com SecUpwN AIMSICD  AIMSICD t4  time:41778413
04 25 08:09:38 446 V AIMSICD (15378): DbAdapter: Cell info updated in local db: 6259818
04 25 08:09:38 566 V AIMSICD (15378): DbAdapter: Cell info updated in local db: 6259818
04 25 08:09:51 739 V AIMSICD (15378): DbAdapter: Cell info updated in local db: 6259818
04 25 08:09:52 060 V AIMSICD (15378): DbAdapter: Cell info updated in local db: 6259818
04 25 08:09:58 316 V NlpLocationProvider(2409): onSetRequest: ProviderRequest ON interval  10s0ms  by WorkSource 10158 com SecUpwN AIMSICD 
04 25 08:09:58 436 V AIMSICD (15378): DbAdapter: Cell info updated in local db: 6259818
04 25 08:09:58 566 V AIMSICD (15378): DbAdapter: Cell info updated in local db: 6259818
04 25 08:09:58 936 V NlpLocationProvider(2409): onSetRequest: ProviderRequest ON interval  10s0ms  by WorkSource 10158 com SecUpwN AIMSICD 
04 25 08:09:59 096 V AIMSICD (15378): DbAdapter: Cell info updated in local db: 6259818
04 25 08:09:59 287 V AIMSICD (15378): DbAdapter: Cell info updated in local db: 6259818
04 25 08:10:01 631 V AIMSICD (15378): DbAdapter: Cell info updated in local db: 6259818
04 25 08:10:01 731 V AIMSICD (15378): DbAdapter: Cell info updated in local db: 6259818
04 25 08:10:11 870 V NlpLocationProvider(2409): onSetRequest: ProviderRequest ON interval  10s0ms  by WorkSource 10158 com SecUpwN AIMSICD 
04 25 08:10:11 991 V AIMSICD (15378): DbAdapter: Cell info updated in local db: 6259818
04 25 08:10:12 101 V AIMSICD (15378): DbAdapter: Cell info updated in local db: 6259818
04 25 08:10:12 731 V AIMSICD (15378): DbAdapter: Cell info updated in local db: 6259818
04 25 08:10:12 811 V AIMSICD (15378): DbAdapter: Cell info updated in local db: 6259818
04 25 08:10:18 577 V NlpLocationProvider(2409): onSetRequest: ProviderRequest ON interval  10s0ms  by WorkSource 10158 com SecUpwN AIMSICD 
04 25 08:10:18 777 V AIMSICD (15378): DbAdapter: Cell info updated in local db: 6259818
04 25 08:10:18 877 V AIMSICD (15378): DbAdapter: Cell info updated in local db: 6259818
04 25 08:10:19 007 V NlpLocationProvider(2409): onSetRequest: ProviderRequest ON interval  10s0ms  by WorkSource 10158 com SecUpwN AIMSICD 
04 25 08:10:19 148 V AIMSICD (15378): DbAdapter: Cell info updated in local db: 6259818
04 25 08:10:19 228 V AIMSICD (15378): DbAdapter: Cell info updated in local db: 6259818
04 25 08:10:19 478 V NlpLocationProvider(2409): onSetRequest: ProviderRequest ON interval  10s0ms  by WorkSource 10158 com SecUpwN AIMSICD 
04 25 08:10:19 618 V AIMSICD (15378): DbAdapter: Cell info updated in local db: 6259818
04 25 08:10:19 708 V AIMSICD (15378): DbAdapter: Cell info updated in local db: 6259818
04 25 08:10:22 020 V NlpLocationProvider(2409): onSetRequest: ProviderRequest ON interval  10s0ms  by WorkSource 10158 com SecUpwN AIMSICD 
04 25 08:10:22 200 V AIMSICD (15378): DbAdapter: Cell info updated in local db: 6259818
04 25 08:10:22 351 V AIMSICD (15378): DbAdapter: Cell info updated in local db: 6259818
04 25 08:10:30 579 V AIMSICD (15378): DbAdapter: Cell info updated in local db: 6259818
04 25 08:10:30 689 V AIMSICD (15378): DbAdapter: Cell info updated in local db: 6259818
04 25 08:10:32 310 V AIMSICD (15378): DbAdapter: Cell info updated in local db: 6259818
04 25 08:10:32 420 V AIMSICD (15378): DbAdapter: Cell info updated in local db: 6259818
04 25 08:10:32 811 V AIMSICD (15378): DbAdapter: Cell info updated in local db: 6259818
( 40 more times the same update)
04 25 08:10:59 016 E AndroidRuntime(15378): Process: com SecUpwN AIMSICD  PID: 15378
04 25 08:10:59 016 E AndroidRuntime(15378):     at com SecUpwN AIMSICD adapters AIMSICDDbAdapter locationExists(AIMSICDDbAdapter java:602)
04 25 08:10:59 016 E AndroidRuntime(15378):     at com SecUpwN AIMSICD adapters AIMSICDDbAdapter insertLocation(AIMSICDDbAdapter java:418)
04 25 08:10:59 016 E AndroidRuntime(15378):     at com SecUpwN AIMSICD service CellTracker onLocationChanged(CellTracker java:987)
04 25 08:10:59 016 E AndroidRuntime(15378):     at com SecUpwN AIMSICD service AimsicdService 5 onLocationChanged(AimsicdService java:274)
04 25 08:10:59 016 E AndroidRuntime(15378):     at com SecUpwN AIMSICD service LocationTracker MyLocationListener onLocationChanged(LocationTracker java:152)
04 25 08:11:10 599 I ActivityManager(2087): Process com SecUpwN AIMSICD (pid 15378) has died 
04 25 08:11:10 599 I WindowState(2087): WIN DEATH: Window 4207ecb8 u0 com SecUpwN AIMSICD com SecUpwN AIMSICD AIMSICD 
04 25 08:11:10 599 W ActivityManager(2087): Scheduling restart of crashed service com SecUpwN AIMSICD  service AimsicdService in 1000ms
04 25 08:11:11 630 I ActivityManager(2087): Start proc com SecUpwN AIMSICD for service com SecUpwN AIMSICD  service AimsicdService: pid 15580 uid 10158 gids  50158  3003  1028  1023  1007  1015  3006 
04 25 08:11:11 750 D ActivityThread(15580): handleBindApplication:com SecUpwN AIMSICD
04 25 08:11:12 001 I AIMSICD Service(15580): Service launched successfully 
04 25 08:11:12 011 D AIMSICD (15580): CellTracker: NC list not supported by AOS on this device  Nothing to do  CID: 6259818
04 25 08:11:12 011 D AIMSICD (15580): CellTracker: Setting nc list present to: false
04 25 08:11:12 181 V AIMSICD (15580): LAC checked   no change on CID:6259818 LAC(API): 22095 LAC(DBi): 22095
04 25 08:11:12 251 V NlpLocationProvider(2409): onSetRequest: ProviderRequest ON interval  10s0ms  by WorkSource 10158 com SecUpwN AIMSICD 
04 25 08:11:12 281 I AIMSICD SignalStrengthTracker(15580): Ignored signal strength sample for CID: 6259818 as the device is currently moving around  will not accept anything for another 29980 ms 
04 25 08:11:12 381 V AIMSICD (15580): DbAdapter: Cell info updated in local db: 6259818
04 25 08:11:12 491 V AIMSICD (15580): DbAdapter: Cell info updated in local db: 6259818
Then I press  OK  on the popup application crashes 2 3 more times just after pressing OK  then starts without problems 
</t>
  </si>
  <si>
    <t>remulasce-metroapp-218</t>
  </si>
  <si>
    <t>Analytics Crash reporting doesn't work.</t>
  </si>
  <si>
    <t xml:space="preserve">I ve received zero crash reports through analytics  but I ve gotten an email from a user  and definitely crashed the app developing features while on analytics 
So that s not working 
</t>
  </si>
  <si>
    <t>24HeuresINSA-24h-android-app-135</t>
  </si>
  <si>
    <t>Crash when rotating screen</t>
  </si>
  <si>
    <t xml:space="preserve">Steps to reproduce : 
1  Start application
2  Rotate screen
App crashes with following error : 
04 27 17:40:27 483  10483 10483 com insalyon les24heures E AndroidRuntime  FATAL EXCEPTION: main
    Process: com insalyon les24heures  PID: 10483
    java lang RuntimeException: Unable to start activity ComponentInfo com insalyon les24heures com insalyon les24heures DayActivity : java lang NullPointerException: Attempt to invoke virtual method  java lang Boolean com insalyon les24heures view CustomDrawerLayout isDrawerVisible()  on a null object reference
            at android app ActivityThread performLaunchActivity(ActivityThread java:2325)
            at android app ActivityThread handleLaunchActivity(ActivityThread java:2387)
            at android app ActivityThread handleRelaunchActivity(ActivityThread java:3947)
            at android app ActivityThread access 900(ActivityThread java:151)
            at android app ActivityThread H handleMessage(ActivityThread java:1309)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Caused by: java lang NullPointerException: Attempt to invoke virtual method  java lang Boolean com insalyon les24heures view CustomDrawerLayout isDrawerVisible()  on a null object reference
            at com insalyon les24heures BaseDynamicDataActivity customOnOptionsMenu(BaseDynamicDataActivity java:266)
            at com insalyon les24heures BaseDynamicDataActivity onPrepareOptionsMenu(BaseDynamicDataActivity java:289)
            at android app Activity onPreparePanel(Activity java:2841)
            at com android internal policy impl PhoneWindow preparePanel(PhoneWindow java:577)
            at com android internal policy impl PhoneWindow doInvalidatePanelMenu(PhoneWindow java:921)
            at com android internal policy impl PhoneWindow 1 run(PhoneWindow java:259)
            at com android internal policy impl PhoneWindow doPendingInvalidatePanelMenu(PhoneWindow java:892)
            at com android internal policy impl PhoneWindow restoreHierarchyState(PhoneWindow java:2035)
            at android app Activity onRestoreInstanceState(Activity java:1023)
            at android app Activity performRestoreInstanceState(Activity java:978)
            at android app Instrumentation callActivityOnRestoreInstanceState(Instrumentation java:1162)
            at android app ActivityThread performLaunchActivity(ActivityThread java:2298)
            at android app ActivityThread handleLaunchActivity(ActivityThread java:2387)
            at android app ActivityThread handleRelaunchActivity(ActivityThread java:3947)
            at android app ActivityThread access 900(ActivityThread java:151)
            at android app ActivityThread H handleMessage(ActivityThread java:1309)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</si>
  <si>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mvysny-aedict-485</t>
  </si>
  <si>
    <t>Aedict 3.16 crashes on Galaxy Tab S after upgrade to Android 5.0</t>
  </si>
  <si>
    <t xml:space="preserve">It seems that upon upgrade to 5 0  Galaxy Tab S had removed the  drawable android:ic clear image which causes Aedict to crash  I will copy the image to Aedict and release a fix version 
</t>
  </si>
  <si>
    <t>AugustanaCSC490Spring2015-SealTeamSixGame-2</t>
  </si>
  <si>
    <t>Game crashes when there are no players</t>
  </si>
  <si>
    <t xml:space="preserve">We need some sort of check that there is at least one player before a user can start a game  I noticed that when there is no player  the app randomly crashes (Because it is seemly random  I would guess it is when the first queen is drawn and there is no player to assign the question master title to)
</t>
  </si>
  <si>
    <t>sriharshachilakapati-SilenceEngine-15</t>
  </si>
  <si>
    <t>BUG: Blank String = crash</t>
  </si>
  <si>
    <t xml:space="preserve"> creditHeaderFont drawString(batcher      0  0)   throws the exception 
 com shc silenceengine graphics opengl GLException InvalidOperation: The specified operation is not allowed in current state 
This only happens with a blank string  A normal string will work fine  If the string is empty it should just skip doing anything however it crashes instead  a null pointer is thrown as expected when the string value is null though 
</t>
  </si>
  <si>
    <t>justeat-mickeydb-3</t>
  </si>
  <si>
    <t>Crash when selecting records with 0 rows</t>
  </si>
  <si>
    <t xml:space="preserve">   
        QuxRecord record   query()
                 selectFirst(QuxRecord CONTENT URI  QuxRecord  ID     DESC LIMIT 1 ) 
causes a crash:
    Caused by: java lang IllegalStateException: Couldn t read row 0  col 0 from CursorWindow   Make sure the Cursor is initialized correctly before accessing data from it 
            at android database CursorWindow nativeGetLong(Native Method)
            at android database CursorWindow getLong(CursorWindow java:511)
            at android database AbstractWindowedCursor getLong(AbstractWindowedCursor java:75)
            at android database AbstractCursor moveToPosition(AbstractCursor java:220)
            at android database AbstractCursor moveToNext(AbstractCursor java:245)
            at com justeat mickeydb DefaultContentProviderActions selectRecords(DefaultContentProviderActions java:212)
            at com justeat mickeydb MickeyContentProvider selectRecords(MickeyContentProvider java:241)
            at com justeat mickeydb Query selectFirst(Query java:629)
This happens because DefaultContentProviderActions selectRecords() uses cursor moveNext() on a zero length cursor 
</t>
  </si>
  <si>
    <t>clintonhealthaccess-chailmis-android-192</t>
  </si>
  <si>
    <t>test to confirm memory leak doesn't occur</t>
  </si>
  <si>
    <t xml:space="preserve">You can reproduce this issue by loading report  Monthly Facility Consumption Report RH2  for many times  If you load it  20 30 times  the app should crash  Although  now that this is fixed  it should not crash anymore 
(I had to recreate this issue as a dupe of 189  as I couldn t move card 189)
</t>
  </si>
  <si>
    <t>Stuart-campbell-RushOrm-30</t>
  </si>
  <si>
    <t>Database migration issue</t>
  </si>
  <si>
    <t xml:space="preserve">Hi  I m encountering an issue with auto database migration  When I add new fields to my database objects the auto migration crashes  Please see the following MWE  
This is the simple class I m starting with:
public class MyObject extends RushObject  
    private String value 
    public MyObject(String value)  
        this value   value 
In my activity I create an instance and write it to the database:
public class MainActivity extends ActionBarActivity  
     Override
    protected void onCreate(Bundle savedInstanceState)  
        super onCreate(savedInstanceState) 
        MyObject obj   new MyObject( Test ) 
        obj save() 
Everything works fine until now  But when adding a new member to my object and running the code from the activity above  it crashes 
public class MyObject extends RushObject  
    private String value 
    private String nextField 
    public MyObject(String value)  
        this value   value 
        this nextField   value 
The exception:
java lang RuntimeException: Unable to start activity ComponentInfo de test testrushorm de test testrushorm MainActivity : co uk rushorm core exceptions RushSqlException: This is most likely caused by a change in data structure or new RushObject 
    This issue should be resolved by a database migration 
    This can be done by updating db version number in the manifest or setting Rush in debug mode 
    To set Rush in debug mode add this to your manifest file    meta data android:name  Rush debug  android:value  true    
            at android app ActivityThread performLaunchActivity(ActivityThread java:2078)
            at android app ActivityThread handleLaunchActivity(ActivityThread java:2103)
            at android app ActivityThread access 600(ActivityThread java:137)
            at android app ActivityThread H handleMessage(ActivityThread java:1211)
            at android os Handler dispatchMessage(Handler java:99)
            at android os Looper loop(Looper java:137)
            at android app ActivityThread main(ActivityThread java:4827)
            at java lang reflect Method invokeNative(Native Method)
            at java lang reflect Method invoke(Method java:511)
            at com android internal os ZygoteInit MethodAndArgsCaller run(ZygoteInit java:841)
            at com android internal os ZygoteInit main(ZygoteInit java:608)
            at dalvik system NativeStart main(Native Method)
     Caused by: co uk rushorm core exceptions RushSqlException: This is most likely caused by a change in data structure or new RushObject 
    This issue should be resolved by a database migration 
    This can be done by updating db version number in the manifest or setting Rush in debug mode 
    To set Rush in debug mode add this to your manifest file    meta data android:name  Rush debug  android:value  true    
            at co uk rushorm android AndroidRushStatementRunner runRaw(AndroidRushStatementRunner java:42)
            at co uk rushorm core RushCore 13 createdOrUpdateStatement(RushCore java:464)
            at co uk rushorm core implementation Insert SqlBulkInsertGenerator 2 doAction(SqlBulkInsertGenerator java:116)
            at co uk rushorm core implementation ReflectionUtils doLoop(ReflectionUtils java:67)
            at co uk rushorm core implementation Insert SqlBulkInsertGenerator createOrUpdateObjects(SqlBulkInsertGenerator java:80)
            at co uk rushorm core implementation Insert ReflectionSaveStatementGenerator createOrUpdateObjects(ReflectionSaveStatementGenerator java:184)
            at co uk rushorm core implementation Insert ReflectionSaveStatementGenerator generateSaveOrUpdate(ReflectionSaveStatementGenerator java:56)
            at co uk rushorm core RushCore save(RushCore java:455)
            at co uk rushorm core RushCore save(RushCore java:146)
            at co uk rushorm core RushCore save(RushCore java:141)
            at co uk rushorm core RushObject save(RushObject java:12)
            at de test testrushorm MainActivity onCreate(MainActivity java:19)
            at android app Activity performCreate(Activity java:5013)
            at android app Instrumentation callActivityOnCreate(Instrumentation java:1079)
            at android app ActivityThread performLaunchActivity(ActivityThread java:2042)
                11 more
My manifest:
 application
    android:name   TestApplication 
    android:icon   mipmap ic launcher 
    android:label   string app name 
    android:theme   style AppTheme  
         Updating this will cause a database upgrade    
     meta data android:name  Rush db version  android:value  4    
         Database name    
     meta data android:name  Rush db name  android:value  rush db    
         Setting this to true will cause a migration to happen every launch 
    this is very handy during development although could cause data loss    
     meta data android:name  Rush debug  android:value  false    
         Setting this to true mean that tables will only be created of classes that
    extend RushObject and are annotated with  RushTableAnnotation    
     meta data android:name  Rush requires table annotation  android:value  false    
I m using version 1 1 3 and I updated the database after each change in the data model  I would expect the auto migration to be able to handle a single new field  
Am I wrong or did missed something  Thanks in advance 
</t>
  </si>
  <si>
    <t>sockeqwe-mosby-23</t>
  </si>
  <si>
    <t>Production app with Mosby : RuntimeException: Parcel android.os.Parcel Unmarshalling unknown type code 47068 at offset 304</t>
  </si>
  <si>
    <t xml:space="preserve">I can not reproduce it  As it was one some random users device  I just caught it in Crashlytics 
Here is the crashlytics  report ( with whole exception and other device android details )
http:  crashes to s de64b446301 details
Does it have anything to do with ParclablePlease ( or it s pro guard configuration )  
Or Any other Mosby components  
This is the first time such error has occurred and it  doesn t see on a new device  it is a kind of old device  App works fine in many devices as I can see in the analytcis and crashlytics 
Some discussion in similar Stack Overflow with similar question
http:  stackoverflow com questions 13997550 unmarshalling errors in android app with custom parcelable classes
Pasting the stack trace here as well
java lang RuntimeException: Unable to start activity ComponentInfo com timesbuzz news com timesbuzz news MainActivity : java lang RuntimeException: Parcel android os Parcel 40da0ad0: Unmarshalling unknown type code 47068 at offset 304
       at android app ActivityThread performLaunchActivity(ActivityThread java:2205)
       at android app ActivityThread handleLaunchActivity(ActivityThread java:2240)
       at android app ActivityThread access 600(ActivityThread java:139)
       at android app ActivityThread H handleMessage(ActivityThread java:1262)
       at android os Handler dispatchMessage(Handler java:99)
       at android os Looper loop(Looper java:156)
       at android app ActivityThread main(ActivityThread java:4987)
       at java lang reflect Method invokeNative(Method java)
       at java lang reflect Method invoke(Method java:511)
       at com android internal os ZygoteInit MethodAndArgsCaller run(ZygoteInit java:784)
       at com android internal os ZygoteInit main(ZygoteInit java:551)
       at dalvik system NativeStart main(NativeStart java)
Caused by: java lang RuntimeException: Parcel android os Parcel 40da0ad0: Unmarshalling unknown type code 47068 at offset 304
       at android os Parcel readValue(Parcel java:1926)
       at android os Parcel readMapInternal(Parcel java:2098)
       at android os Bundle unparcel(Bundle java:223)
       at android os Bundle getParcelable(Bundle java:1158)
       at android app Activity onCreate(Activity java:900)
       at android support v4 app FragmentActivity onCreate(FragmentActivity java:255)
       at android support v7 app ActionBarActivity onCreate(ActionBarActivity java:122)
       at com hannesdorfmann mosby MosbyActivity onCreate(MosbyActivity java:38)
       at com hannesdorfmann mosby mvp MvpActivity onCreate(MvpActivity java:34)
       at com timesbuzz news MainActivity onCreate(MainActivity java:58)
       at android app Activity performCreate(Activity java:4538)
       at android app Instrumentation callActivityOnCreate(Instrumentation java:1071)
       at android app ActivityThread performLaunchActivity(ActivityThread java:2161)
       at android app ActivityThread handleLaunchActivity(ActivityThread java:2240)
       at android app ActivityThread access 600(ActivityThread java:139)
       at android app ActivityThread H handleMessage(ActivityThread java:1262)
       at android os Handler dispatchMessage(Handler java:99)
       at android os Looper loop(Looper java:156)
       at android app ActivityThread main(ActivityThread java:4987)
       at java lang reflect Method invokeNative(Method java)
       at java lang reflect Method invoke(Method java:511)
       at com android internal os ZygoteInit MethodAndArgsCaller run(ZygoteInit java:784)
       at com android internal os ZygoteInit main(ZygoteInit java:551)
       at dalvik system NativeStart main(NativeStart java)
</t>
  </si>
  <si>
    <t>redsolution-xabber-android-417</t>
  </si>
  <si>
    <t>Crash opening chat window</t>
  </si>
  <si>
    <t xml:space="preserve">I m running Version 1 0 2 from F Droid on a Galaxy Nexus (maguro) running Android 4 4 4  It crashes as soon as I try to open a chat window to talk to any contact  Here is the logcat:
I ActivityManager(  438): START u0  act com xabber android data ACTION SPECIFIC CHAT dat  me redacted redacted them redacted cmp com xabber androiddev com xabber android ui ChatViewer  from pid 1258
D dalvikvm( 1258): GC FOR ALLOC freed 2069K  16  free 14714K 17344K  paused 35ms  total 35ms
I dalvikvm heap( 1258): Grow heap (frag case) to 36 008MB for 22118416 byte allocation
D dalvikvm( 1258): GC FOR ALLOC freed 178K  8  free 36135K 38948K  paused 31ms  total 31ms
D dalvikvm( 1258): GC CONCURRENT freed 329K  9  free 35805K 38948K  paused 2ms 3ms  total 49ms
I dalvikvm( 1258): Could not find method android content res Resources getDrawable  referenced from method android support v7 internal widget ResourcesWrapper getDrawable
W dalvikvm( 1258): VFY: unable to resolve virtual method 498: Landroid content res Resources  getDrawable (ILandroid content res Resources Theme )Landroid graphics drawable Drawable 
D dalvikvm( 1258): VFY: replacing opcode 0x6e at 0x0002
I dalvikvm( 1258): Could not find method android content res Resources getDrawableForDensity  referenced from method android support v7 internal widget ResourcesWrapper getDrawableForDensity
W dalvikvm( 1258): VFY: unable to resolve virtual method 500: Landroid content res Resources  getDrawableForDensity (IILandroid content res Resources Theme )Landroid graphics drawable Drawable 
D dalvikvm( 1258): VFY: replacing opcode 0x6e at 0x0002
W OpenGLRenderer( 1258): Bitmap too large to be uploaded into a texture (2160x2560  max 2048x2048)
F libc    ( 1258): Fatal signal 7 (SIGBUS) at 0x00000000 (code 128)  thread 1258 (bber androiddev)
I DEBUG   (  134):                                                                
I DEBUG   (  134): Build fingerprint:  google yakju maguro:4 4 2 KOT49H 737497:user release keys 
I DEBUG   (  134): Revision:  9 
I DEBUG   (  134): pid: 1258  tid: 1258  name: bber androiddev      com xabber androiddev    
I DEBUG   (  134): signal 7 (SIGBUS)  code 128 (SI KERNEL)  fault addr 00000000
I DEBUG   (  134):     r0 bedb60f4  r1 00000000  r2 00000001  r3 00000000
I DEBUG   (  134):     r4 2d6e7461  r5 5dcf4a20  r6 00000000  r7 5db7ca08
I DEBUG   (  134):     r8 00000000  r9 5de75608  sl 44340000  fp bedb643c
I DEBUG   (  134):     ip 00000001  sp bedb60e8  lr 40bf3271  pc 40bf327e  cpsr 200d0030
I DEBUG   (  134):     d0  448dc00033d6bf95  d1  4248000000000000
I DEBUG   (  134):     d2  0000000000000000  d3  33d6bf9544340000
I DEBUG   (  134):     d4  000000ff3df0f0f1  d5  4434000000000000
I DEBUG   (  134):     d6  448dc00000000000  d7  3df0f0f100000000
I DEBUG   (  134):     d8  00000000448dc000  d9  448dc00044340000
I DEBUG   (  134):     d10 0000000000000000  d11 0000000000000000
I DEBUG   (  134):     d12 0000000000000000  d13 0000000000000000
I DEBUG   (  134):     d14 0000000000000000  d15 0000000000000000
I DEBUG   (  134):     d16 0000000800000000  d17 4031000000000000
I DEBUG   (  134):     d18 3ff0000000000000  d19 0000000000000000
I DEBUG   (  134):     d20 3ff0000000000000  d21 4040000000000000
I DEBUG   (  134):     d22 4040000000000000  d23 0000000000000000
I DEBUG   (  134):     d24 3ff0000000000000  d25 0000000000000000
I DEBUG   (  134):     d26 3ff0000000000000  d27 0000000000000000
I DEBUG   (  134):     d28 3ff0000000000000  d29 4040000000000000
I DEBUG   (  134):     d30 0000000000000000  d31 0000000000000000
I DEBUG   (  134):     scr 28000013
I DEBUG   (  134): 
I DEBUG   (  134): backtrace:
I DEBUG   (  134):      00  pc 0002a27e   system lib libhwui so
I DEBUG   (  134):      01  pc 0001e369   system lib libhwui so
I DEBUG   (  134):      02  pc 0001f321   system lib libhwui so
I DEBUG   (  134):      03  pc 000209bd   system lib libhwui so
I DEBUG   (  134):      04  pc 00016d3f   system lib libhwui so
I DEBUG   (  134):      05  pc 000144f7   system lib libhwui so
I DEBUG   (  134):      06  pc 000143eb   system lib libhwui so
I DEBUG   (  134):      07  pc 0001d0f7   system lib libhwui so
I DEBUG   (  134):      08  pc 00067201   system lib libandroid runtime so
I DEBUG   (  134):      09  pc 0001dbcc   system lib libdvm so (dvmPlatformInvoke 112)
I DEBUG   (  134):      10  pc 0004e123   system lib libdvm so (dvmCallJNIMethod(unsigned int const   JValue   Method const   Thread ) 398)
I DEBUG   (  134):      11  pc 00026fe0   system lib libdvm so
I DEBUG   (  134):      12  pc 0002dfa0   system lib libdvm so (dvmMterpStd(Thread ) 76)
I DEBUG   (  134):      13  pc 0002b638   system lib libdvm so (dvmInterpret(Thread   Method const   JValue ) 184)
I DEBUG   (  134):      14  pc 00060861   system lib libdvm so (dvmInvokeMethod(Object   Method const   ArrayObject   ArrayObject   ClassObject   bool) 392)
I DEBUG   (  134):      15  pc 000687c3   system lib libdvm so
I DEBUG   (  134):      16  pc 00026fe0   system lib libdvm so
I DEBUG   (  134):      17  pc 0002dfa0   system lib libdvm so (dvmMterpStd(Thread ) 76)
I DEBUG   (  134):      18  pc 0002b638   system lib libdvm so (dvmInterpret(Thread   Method const   JValue ) 184)
I DEBUG   (  134):      19  pc 0006057d   system lib libdvm so (dvmCallMethodV(Thread   Method const   Object   bool  JValue   std::  va list) 336)
I DEBUG   (  134):      20  pc 00049d0b   system lib libdvm so
I DEBUG   (  134):      21  pc 0004d97b   system lib libandroid runtime so
I DEBUG   (  134):      22  pc 0004e69f   system lib libandroid runtime so (android::AndroidRuntime::start(char const   char const ) 354)
I DEBUG   (  134):      23  pc 0000105b   system bin app process
I DEBUG   (  134):      24  pc 0000e403   system lib libc so (  libc init 50)
I DEBUG   (  134):      25  pc 00000d7c   system bin app process
I DEBUG   (  134): 
I DEBUG   (  134): stack:
I DEBUG   (  134):          bedb60a8  448dc000   dev ashmem dalvik heap (deleted)
I DEBUG   (  134):          bedb60ac  5dafde88  
I DEBUG   (  134):          bedb60b0  00000000  
I DEBUG   (  134):          bedb60b4  00000003  
I DEBUG   (  134):          bedb60b8  40bd7345   system lib libhwui so
I DEBUG   (  134):          bedb60bc  00000002  
I DEBUG   (  134):          bedb60c0  40bfdab8   system lib libhwui so
I DEBUG   (  134):          bedb60c4  5dcf4a20  
I DEBUG   (  134):          bedb60c8  5d75a760  
I DEBUG   (  134):          bedb60cc  40bfe260   system lib libhwui so
I DEBUG   (  134):          bedb60d0  40bfe25c   system lib libhwui so
I DEBUG   (  134):          bedb60d4  40bd8933   system lib libhwui so (android::Singleton android::uirenderer::Caches ::getInstance() 46)
I DEBUG   (  134):          bedb60d8  00000000  
I DEBUG   (  134):          bedb60dc  5de755b8  
I DEBUG   (  134):          bedb60e0  5dcf4a20  
I DEBUG   (  134):          bedb60e4  40bf3271   system lib libhwui so
I DEBUG   (  134):      00  bedb60e8  5db7ca3c  
I DEBUG   (  134):          bedb60ec  00000010  
I DEBUG   (  134):          bedb60f0  5f114c40  
I DEBUG   (  134):          bedb60f4  00000000  
I DEBUG   (  134):          bedb60f8  5db7ca3c  
I DEBUG   (  134):          bedb60fc  00000000  
I DEBUG   (  134):          bedb6100  00000003  
I DEBUG   (  134):          bedb6104  5f114c40  
I DEBUG   (  134):          bedb6108  5d752fb8  
I DEBUG   (  134):          bedb610c  00000003  
I DEBUG   (  134):          bedb6110  3df0f0f1  
I DEBUG   (  134):          bedb6114  3df0f0f1  
I DEBUG   (  134):          bedb6118  00000003  
I DEBUG   (  134):          bedb611c  3df0f0f1  
I DEBUG   (  134):          bedb6120  bedb643c   stack 
I DEBUG   (  134):          bedb6124  5d904a50   system vendor lib egl libGLESv2 POWERVR SGX540 120 so (glUniform4f 212)
I DEBUG   (  134):                            
I DEBUG   (  134):      01  bedb6160  5de757dc  
I DEBUG   (  134):          bedb6164  00000000  
I DEBUG   (  134):          bedb6168  00000000  
I DEBUG   (  134):          bedb616c  5de755b8  
I DEBUG   (  134):          bedb6170  00000000  
I DEBUG   (  134):          bedb6174  40be8325   system lib libhwui so
I DEBUG   (  134):      02  bedb6178  448dc000   dev ashmem dalvik heap (deleted)
I DEBUG   (  134):          bedb617c  00000000  
I DEBUG   (  134):          bedb6180  00000000  
I DEBUG   (  134):          bedb6184  40be6e5b   system lib libhwui so
I DEBUG   (  134):          bedb6188  00000000  
I DEBUG   (  134):          bedb618c  00000000  
I DEBUG   (  134):          bedb6190  00000004  
I DEBUG   (  134):          bedb6194  5de755b8  
I DEBUG   (  134):          bedb6198  1e000000  
I DEBUG   (  134):          bedb619c  44340000   dev ashmem dalvik heap (deleted)
I DEBUG   (  134):          bedb61a0  00000000  
I DEBUG   (  134):          bedb61a4  00000000  
I DEBUG   (  134):          bedb61a8  bedb64a0   stack 
I DEBUG   (  134):          bedb61ac  40be99c1   system lib libhwui so
I DEBUG   (  134): 
I DEBUG   (  134): memory near sl:
I DEBUG   (  134):     4433ffe0 00000000 00000000 00000000 00000000  
I DEBUG   (  134):     4433fff0 00000000 00000000 00000000 00000000  
I DEBUG   (  134):     44340000 00000000 00000000 00000000 00000000  
I DEBUG   (  134):     44340010 00000000 00000000 00000000 00000000  
I DEBUG   (  134):     44340020 00000000 00000000 00000000 00000000  
I DEBUG   (  134):     44340030 00000000 00000000 00000000 00000000  
I DEBUG   (  134):     44340040 00000000 00000000 00000000 00000000  
I DEBUG   (  134):     44340050 00000000 00000000 00000000 00000000  
I DEBUG   (  134):     44340060 00000000 00000000 00000000 00000000  
I DEBUG   (  134):     44340070 00000000 00000000 00000000 00000000  
I DEBUG   (  134):     44340080 00000000 00000000 00000000 00000000  
I DEBUG   (  134):     44340090 00000000 00000000 00000000 00000000  
I DEBUG   (  134):     443400a0 00000000 00000000 00000000 00000000  
I DEBUG   (  134):     443400b0 00000000 00000000 00000000 00000000  
I DEBUG   (  134):     443400c0 00000000 00000000 00000000 00000000  
I DEBUG   (  134):     443400d0 00000000 00000000 00000000 00000000  
I DEBUG   (  134): 
I DEBUG   (  134): memory near fp:
I DEBUG   (  134):     bedb641c 0000000c 5de5cb01 00000003 3f400000  
I DEBUG   (  134):     bedb642c 00000003 00000003 00000005 5de7d500  
I DEBUG   (  134):     bedb643c 00001000 00000400 5f366b7c 5f366038  
I DEBUG   (  134):     bedb644c 5f366038 00001004 000004c0 00000001  
I DEBUG   (  134):     bedb645c 00000000 5db7a020 00000000 00000000  
I DEBUG   (  134):     bedb646c ea00001d 40be6141 400c0008 41509a34  
I DEBUG   (  134):     bedb647c bedb64c8 41509a24 400c0490 bedb64dc  
I DEBUG   (  134):     bedb648c 4025c203 5de75654 40bec09b 00000000  
I DEBUG   (  134):     bedb649c 5de755b8 00000000 00000000 00000000  
I DEBUG   (  134):     bedb64ac 00000000 57aee818 400c0480 00000004  
I DEBUG   (  134):     bedb64bc 41942bd0 ea00001d 00000001 41509a24  
I DEBUG   (  134):     bedb64cc 00000001 59480b2b 41a04030 42775e78  
I DEBUG   (  134):     bedb64dc 41973127 41509a24 59480b26 4025c1d9  
I DEBUG   (  134):     bedb64ec 400c0490 00000000 590cd644 02700019  
I DEBUG   (  134):     bedb64fc 00000000 51e05000 401af384 00000000  
I DEBUG   (  134):     bedb650c bedb65f8 00000000 bedb664c 00000000  
I DEBUG   (  134): 
I DEBUG   (  134): memory near sp:
I DEBUG   (  134):     bedb60c8 5d75a760 40bfe260 40bfe25c 40bd8933  
I DEBUG   (  134):     bedb60d8 00000000 5de755b8 5dcf4a20 40bf3271  
I DEBUG   (  134):     bedb60e8 5db7ca3c 00000010 5f114c40 00000000  
I DEBUG   (  134):     bedb60f8 5db7ca3c 00000000 00000003 5f114c40  
I DEBUG   (  134):     bedb6108 5d752fb8 00000003 3df0f0f1 3df0f0f1  
I DEBUG   (  134):     bedb6118 00000003 3df0f0f1 bedb643c 5d904a50  
I DEBUG   (  134):     bedb6128 00000004 00000001 bedb6138 40bf8d9c  
I DEBUG   (  134):     bedb6138 3df0f0f1 448dc000 00000000 5de755b8  
I DEBUG   (  134):     bedb6148 40bf3249 00000000 00000000 00000000  
I DEBUG   (  134):     bedb6158 00000003 40be736b 5de757dc 00000000  
I DEBUG   (  134):     bedb6168 00000000 5de755b8 00000000 40be8325  
I DEBUG   (  134):     bedb6178 448dc000 00000000 00000000 40be6e5b  
I DEBUG   (  134):     bedb6188 00000000 00000000 00000004 5de755b8  
I DEBUG   (  134):     bedb6198 1e000000 44340000 00000000 00000000  
I DEBUG   (  134):     bedb61a8 bedb64a0 40be99c1 448dc000 1e000000  
I DEBUG   (  134):     bedb61b8 00000003 00000000 00001906 00001401  
I DEBUG   (  134): 
I DEBUG   (  134): code around pc:
I DEBUG   (  134):     40bf325c 8000f8d3 0201f108 f7e5601a 4641fb4d  
I DEBUG   (  134):     40bf326c fbc2f7e7 40acf8d5 60acf8c5 d04f2c00  
I DEBUG   (  134):     40bf327c edd4a803 ed947a04 eef80a05 eeb88a67  
I DEBUG   (  134):     40bf328c f7f18a40 4628f8df 464aa903 fd44f7ff  
I DEBUG   (  134):     40bf329c f8d54628 462120b0 30b4f8d5 fd28f7ff  
I DEBUG   (  134):     40bf32ac f6406820 910151e1 6101f242 460a4633  
I DEBUG   (  134):     40bf32bc 68c59600 47a84620 46384918 f7fd4479  
I DEBUG   (  134):     40bf32cc 4641fc56 ec98f7e2 46384915 f7fd4479  
I DEBUG   (  134):     40bf32dc ab03fc4e 21014632 eddef7e2 46384911  
I DEBUG   (  134):     40bf32ec f7fd4479 eef7fc44 eec00a00 ee808aa8  
I DEBUG   (  134):     40bf32fc ee181a88 ee111a90 f7e22a10 7e23efc0  
I DEBUG   (  134):     40bf330c 4620b133 fbd8f000 46206822 47886851  
I DEBUG   (  134):     40bf331c ecbdb015 e8bd8b02 bf0083f0 000077b1  
I DEBUG   (  134):     40bf332c 000077af 000077ac ed2db5f8 46048b02  
I DEBUG   (  134):     40bf333c 8a1eed9f ed802500 60058a06 8a07ed80  
I DEBUG   (  134):     40bf334c ed806045 60858a08 8a09ed80 f10460c5  
I DEBUG   (  134): 
I DEBUG   (  134): code around lr:
I DEBUG   (  134):     40bf3250 4691b095 9b1e4605 2600460f 8000f8d3  
I DEBUG   (  134):     40bf3260 0201f108 f7e5601a 4641fb4d fbc2f7e7  
I DEBUG   (  134):     40bf3270 40acf8d5 60acf8c5 d04f2c00 edd4a803  
I DEBUG   (  134):     40bf3280 ed947a04 eef80a05 eeb88a67 f7f18a40  
I DEBUG   (  134):     40bf3290 4628f8df 464aa903 fd44f7ff f8d54628  
I DEBUG   (  134):     40bf32a0 462120b0 30b4f8d5 fd28f7ff f6406820  
I DEBUG   (  134):     40bf32b0 910151e1 6101f242 460a4633 68c59600  
I DEBUG   (  134):     40bf32c0 47a84620 46384918 f7fd4479 4641fc56  
I DEBUG   (  134):     40bf32d0 ec98f7e2 46384915 f7fd4479 ab03fc4e  
I DEBUG   (  134):     40bf32e0 21014632 eddef7e2 46384911 f7fd4479  
I DEBUG   (  134):     40bf32f0 eef7fc44 eec00a00 ee808aa8 ee181a88  
I DEBUG   (  134):     40bf3300 ee111a90 f7e22a10 7e23efc0 4620b133  
I DEBUG   (  134):     40bf3310 fbd8f000 46206822 47886851 ecbdb015  
I DEBUG   (  134):     40bf3320 e8bd8b02 bf0083f0 000077b1 000077af  
I DEBUG   (  134):     40bf3330 000077ac ed2db5f8 46048b02 8a1eed9f  
I DEBUG   (  134):     40bf3340 ed802500 60058a06 8a07ed80 ed806045  
</t>
  </si>
  <si>
    <t>paceuniversity-cs3892015team2-26</t>
  </si>
  <si>
    <t>Application Crash when changing from portrait -&gt; landscape in selecting an exercise and trying to view a video</t>
  </si>
  <si>
    <t xml:space="preserve">Found By: Juber 
Date Found: May 4  2015
Severity: Major
Summary of Problem: Application crashes when changing from portrait    landscape in selecting an exercise and trying to view a video
How to Reproduce the problem: Tap on  Select an Exercise   then tap any exercise  When rotating screen to see entire video the application crashes
</t>
  </si>
  <si>
    <t>redsolution-xabber-android-420</t>
  </si>
  <si>
    <t>1.0.2: 3 issues with "Export chat" functionnality</t>
  </si>
  <si>
    <t xml:space="preserve">  TL DR
 Export chat  basically works  but there are 2 issues that break Xabber along the way  and in the end some content is not saved properly 
  Device
   HTD Desire HD (http:  www gsmarena com htc desire hd 3468 php)
   CyanogenMod 11 M12 (http:  forum xda developers com showthread php t 2533007)
  Steps to reproduce
1  Make sure you are logging chats on your device  
2  Update Xabber from 0 9 30f to 1 0 2 via F droid
3  Tap on the name of a user to access the chat window
4  Call up the option menu
5  Select Export Chat
  Issue 1: cut paste menu design issue
   Actual result
When selecting text to cut or paste  the cut paste menu comes down  but all the icons are white on a white background  They are still functionnal if you know where to press 
   Expected result
When selecting text to cut or paste  the cut paste menu comes down  icons should be a different color from the background they are on
  Issue 2: Xabber crashes upon exporting
   Actual result
When confirming the name of the export  an Android window appears to inform Xabber has crashed  If you press OK quickly  the save is not carried out  If you wait 10 to 15 secondes before dismissing the window  the chat is properly saved 
   Expected result
Xabber should not crash upon exporting a chat 
  Issue 3: Issues with parsing   conversion to HTML
   Actual result
newlines in messages are exported as simple spaces 
    and any character following it in a message are not exported  Ie  when I text my girlfriend  I  3 sexy babe  (don t judge me)  only  I   is exported 
   Expected result
newlines in messages should be exported as   br     like in 0 9 30 
    should be exported as   lt   like in 0 9 30  and the text following it should be exported 
  The final word
Apologies for being lazy and grouping all this in one bug  I hope it s helpful nonetheless 
</t>
  </si>
  <si>
    <t>bumptech-glide-454</t>
  </si>
  <si>
    <t>Handle null url in GlideUrl without crashing</t>
  </si>
  <si>
    <t xml:space="preserve">Hi 
I think it s a bug  When I use this:
    java
String url   null 
GlideUrl glideUrl   new GlideUrl(url  new LazyHeaders Builder()
                 addHeader( User Agent   USER AGENT)
                 addHeader( App Agent   APP AGENT)
                 build()) 
Glide with(context)
         load(glideUrl)
         fallback(R drawable empty)
         error(R drawable error)
         placeholder(R drawable placeholder small)
         into(ImageView) 
Then app crash with:
  String url must not be empty or null
But then fallback for null is unusable in this situation 
</t>
  </si>
  <si>
    <t>sockeqwe-mosby-24</t>
  </si>
  <si>
    <t>java.lang.RuntimeException: Unable to start activity Bad magic number for Bundle: 0x6f0063</t>
  </si>
  <si>
    <t xml:space="preserve">http:  crashes to s 7ed95959eaa details
</t>
  </si>
  <si>
    <t>dhis2-dhis2-android-eventcapture-34</t>
  </si>
  <si>
    <t>If initial loading finishes while app is in the background it crashes</t>
  </si>
  <si>
    <t xml:space="preserve">Because it tries to change fragment (from loading to selectprogram) after instance state has been saved  It s not a big problem  but the app crashes and closes so the user will have to re open it 
</t>
  </si>
  <si>
    <t>DigitalCampus-oppia-mobile-android-427</t>
  </si>
  <si>
    <t>App crashing when changing server setting</t>
  </si>
  <si>
    <t xml:space="preserve">Also  app crashes when the user goes to the settings page but they re not yet logged in
Reported by Fred
</t>
  </si>
  <si>
    <t>cgeo-cgeo-4922</t>
  </si>
  <si>
    <t>Geocache details page crashes occasionally</t>
  </si>
  <si>
    <t xml:space="preserve">For some months  c:geo sometimes crashes when displaying the geocache details page  Unfortunately  this bug is not reproducible (can t trigger it directly) but still happens quite often during normal use  I m running Android 4 4 4 (Samsung S3 LTE  not rooted) with recent releases of c:geo (from Google Play store) 
I ve send a couple of those automated bug reports (usually like  crash while viewing cache details )  but today s crash (5 5 2015) starts with the (hopefully unique) label  AMK4711A   just in case you want to debug this specific crash 
There are two ways the crash happens 
(1) When I m on the map screen (OpenAndroMaps locally stored) and touch a geocache icon (traditional  geocaching com)  a small overlay window opens  There I can touch  More details  to launch the geocache details page  And this is when the crashes happen 
(2) When I m editing the  Personal note  of a geocache and touch  OK  to return to the geocache details page  then c:geo also is likely to crash 
It doesn t matter if GPS  WLAN or Mobile networks (or any combination of it) is switched on or off  There s plenty of memory and disk space available (usually  c:geo is the only app actively running)  Rebooting the phone doesn t change anything 
The only common thing of all the crashes is that they always happen when the geocache details page(s) is going to be displayed  There s no crash by just switching back and forth between the sub pages of the geocache details (like waypoints  overview  description  logs etc )
If you need additional information  please let me know  If it helps I can assign the same  unique  label (see above) to future crash reports so they can be referenced easily 
</t>
  </si>
  <si>
    <t>elan-ev-StudIPAndroidApp-67</t>
  </si>
  <si>
    <t>BaseLayoutManager.java line 355</t>
  </si>
  <si>
    <t xml:space="preserve">     in org lucasr twowayview widget BaseLayoutManager onLayoutChildren
  Number of crashes: 41
  Impacted devices: 41
There s a lot more information about this crash on crashlytics com:
 https:  fabric io elanev android apps de elanev studip android app issues 5544962e5141dcfd8fa4fcdf (https:  fabric io elanev android apps de elanev studip android app issues 5544962e5141dcfd8fa4fcdf)
</t>
  </si>
  <si>
    <t>paceuniversity-cs3892015team2-31</t>
  </si>
  <si>
    <t>Bug Report: App crashes at times</t>
  </si>
  <si>
    <t xml:space="preserve">Found by: Hanna Shaikh 
Date Found: May 8  2015
Severity: Major
Summary of problem: The app crashes at times 
Detailed Description: When clicking different exercises and watching the videos  the app seems to crash 
How to reproduce the problem: 
Step 1: Open the app
Step 2: Select exercise
Step 3: Or select video
</t>
  </si>
  <si>
    <t>sockeqwe-mosby-29</t>
  </si>
  <si>
    <t>AndroidRuntime NullPointerException</t>
  </si>
  <si>
    <t xml:space="preserve">Hello 
when using your   MvpViewStateFragment   in my app and rotating the device  I get this crash:
  java lang NullPointerException: ViewState is null  That s not allowed
              at com hannesdorfmann mosby mvp viewstate ViewStateManager saveInstanceState(ViewStateManager java:103)
              at com hannesdorfmann mosby mvp viewstate MvpViewStateFragment saveViewStateInstanceState(MvpViewStateFragment java:79)
              at com hannesdorfmann mosby mvp viewstate MvpViewStateFragment onSaveInstanceState(MvpViewStateFragment java:70)
              at android support v4 app Fragment performSaveInstanceState(Fragment java:1936)
              at android support v4 app FragmentManagerImpl saveFragmentBasicState(FragmentManager java:1654)
              at android support v4 app FragmentManagerImpl saveAllState(FragmentManager java:1722)
              at android support v4 app FragmentActivity onSaveInstanceState(FragmentActivity java:527)
              at com hannesdorfmann mosby MosbyActivity onSaveInstanceState(MosbyActivity java:44)
Please advise 
Igor
</t>
  </si>
  <si>
    <t>gdg-x-frisbee-354</t>
  </si>
  <si>
    <t>ModelCache ClassCastException</t>
  </si>
  <si>
    <t xml:space="preserve">This time it is for EventList in the main screen  I don t know how this happened  I solved it by cleaning data of the app and it is now working fine  
The crash was persistent and was happening on every app open  
java lang ClassCastException: com google gson internal LinkedTreeMap cannot be cast to org gdg frisbee android api model SimpleEvent
            at org gdg frisbee android adapter EventAdapter addAll(EventAdapter java:77)
            at org gdg frisbee android eventseries GdgEventListFragment 2 onGet(GdgEventListFragment java:73)
            at org gdg frisbee android cache ModelCache 1 onPostExecute(ModelCache java:277)
            at android os AsyncTask finish(AsyncTask java:636)
            at android os AsyncTask access 500(AsyncTask java:177)
            at android os AsyncTask InternalHandler handleMessage(AsyncTask java:653)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</si>
  <si>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paceuniversity-cs3892015team4-44</t>
  </si>
  <si>
    <t>General Impression</t>
  </si>
  <si>
    <t xml:space="preserve">The app is done really nicely   The design using the theme of Super Heroes for a learning game 
is a pretty cool and unique idea   The main menu using a background that utilizes comic book themed
 words  boom    pow    crash   etc is really cool and works well with the theme   The whole look and 
design of the app makes for a really good kid friendly environment for kids to learn   Adding more 
questions would make for a much more worth while app and maybe in the math games separating the 
number answers a little bit more so you can really see that there are 4 different choices for the answer 
</t>
  </si>
  <si>
    <t>paceuniversity-cs3892015team4-43</t>
  </si>
  <si>
    <t>Game Crashes on exit</t>
  </si>
  <si>
    <t xml:space="preserve">Found by: Kevin
Date found: 05 07 2015
Severity: Minor
Device: Verizon Ellipsis 7
Android Version: 4 4 2
Summary of problem: Game crashes when you exit using the back button 
Detailed description: After playing through one of the games and returning to the 
main menu  the game will crash if the user tries to exit using the back button 
How to reproduce the problem: 
Step 1: Open Game
Step 2: Select  Play 
Step 3: Choose a Game
Step 4: Play through game
Step 5: At end of game select  Back to Main Menu 
Step 6: Use the back button to exit the game
Step 7: Error appears saying  Unfortunately  Math League has Stopped 
</t>
  </si>
  <si>
    <t>microsoft-vsminecraft-21</t>
  </si>
  <si>
    <t>Build error when classpath contains spaces in paths (e.g. when username contains spaces)</t>
  </si>
  <si>
    <t>I saw a few of these in the closed session  but I don t think any of them were the same issue I m having  and those solutions don t appear to have worked 
So  initially  I wasn t getting very far (and was getting the same error as  9  ) This turned out to be because I hadn t installed JDK  at all   Oops 
Now it goes all the way through creating the workspace   and javac crashes when compiling the code with exit code 2  I turned up the build output and found that it was complaining about its command line arguments  which appear to be a semicolon delimited list of files (the actual error is: invalid flag:   )
I m  not sure what to do with that  Just to be safe  I checked my JAVA HOME environment variable and I don t appear to have one  I tried adding one that points to where the JDK is installed (C: Program Files Java jdk1 8 0 45) and had no perceivable change in results 
Here s my build output (set to Diagnostic):
NuGet package restore started 
Restoring NuGet packages for solution c: Users william scalf documents visual studio 2013 Projects FirstMod FirstMod sln 
NuGet Package restored finished for solution c: Users william scalf documents visual studio 2013 Projects FirstMod FirstMod sln 
Restoring NuGet packages for project FirstMod 
Restoring NuGet packages listed in file c: users william scalf documents visual studio 2013 Projects FirstMod FirstMod packages config 
Skipping NuGet package com microsoft minecraftmod 0 5 4 0 since it is already installed 
Skipping NuGet package Tvl Java 1 2 0 since it is already installed 
NuGet Package restored finished for project FirstMod 
All packages are already installed and there is nothing to restore 
NuGet package restore finished 
       Build started: Project: FirstMod  Configuration: DebugClient Any CPU       
Build started 
Project  FirstMod javaproj  (default targets):
Building with tools version  12 0  
Project file contains ToolsVersion  4 0   This toolset may be unknown or missing  in which case you may be able to resolve this by installing the appropriate version of MSBuild  or the build may have been forced to a particular ToolsVersion for policy reasons  Treating the project as if it had ToolsVersion  12 0   For more information  please see http:  go microsoft com fwlink  LinkId 293424 
Target   CheckForInvalidConfigurationAndPlatform  in file  c: users william scalf documents visual studio 2013 Projects FirstMod packages Tvl Java 1 2 0 build Tvl Jvm Common targets  from project  c: users william scalf documents visual studio 2013 Projects FirstMod FirstMod FirstMod javaproj  (entry point):
    Task  Error  skipped  due to false condition  (   ( InvalidConfigurationError)      true  ) was evaluated as (        true  ) 
    Task  Warning  skipped  due to false condition  (   ( InvalidConfigurationWarning)      true  ) was evaluated as (        true  ) 
    Task  Message 
        Task Parameter:Text Configuration DebugClient
        Task Parameter:Importance Low
        Configuration DebugClient
    Done executing task  Message  
    Task  Message 
        Task Parameter:Text Platform AnyCPU
        Task Parameter:Importance Low
        Platform AnyCPU
    Done executing task  Message  
    Task  Error  skipped  due to false condition  (  (OutDir)        and  HasTrailingSlash(  (OutDir) )) was evaluated as ( bin mods         and  HasTrailingSlash( bin mods  )) 
    Task  Error  skipped  due to false condition  (  (BaseIntermediateOutputPath)        and  HasTrailingSlash(  (BaseIntermediateOutputPath) )) was evaluated as ( obj         and  HasTrailingSlash( obj  )) 
    Task  Error  skipped  due to false condition  (  (IntermediateOutputPath)        and  HasTrailingSlash(  (IntermediateOutputPath) )) was evaluated as ( obj DebugClient         and  HasTrailingSlash( obj DebugClient  )) 
Done building target   CheckForInvalidConfigurationAndPlatform  in project  FirstMod javaproj  
Target  BeforeBuild  in file  c: users william scalf documents visual studio 2013 Projects FirstMod packages Tvl Java 1 2 0 build Tvl Jvm Common targets  from project  c: users william scalf documents visual studio 2013 Projects FirstMod FirstMod FirstMod javaproj  (target  Build  depends on it):
Done building target  BeforeBuild  in project  FirstMod javaproj  
Target  BuildOnlySettings  in file  c: users william scalf documents visual studio 2013 Projects FirstMod packages Tvl Java 1 2 0 build Tvl Jvm Common targets  from project  c: users william scalf documents visual studio 2013 Projects FirstMod FirstMod FirstMod javaproj  (target  CoreBuild  depends on it):
Done building target  BuildOnlySettings  in project  FirstMod javaproj  
Target  GetFrameworkPaths  in file  c: users william scalf documents visual studio 2013 Projects FirstMod packages Tvl Java 1 2 0 build Tvl Jvm Common targets  from project  c: users william scalf documents visual studio 2013 Projects FirstMod FirstMod FirstMod javaproj  (target  PrepareForBuild  depends on it):
Done building target  GetFrameworkPaths  in project  FirstMod javaproj  
Target  GetReferenceAssemblyPaths  skipped  due to false condition  (false) was evaluated as (false) 
Target  EnsureNuGetPackageBuildImports  in project  c: users william scalf documents visual studio 2013 Projects FirstMod FirstMod FirstMod javaproj  (target  PrepareForBuild  depends on it):
    Task  Error  skipped  due to false condition  ( Exists(    packages com microsoft minecraftmod 0 5 4 0 build com microsoft minecraftmod props )) was evaluated as ( Exists(    packages com microsoft minecraftmod 0 5 4 0 build com microsoft minecraftmod props )) 
    Task  Error  skipped  due to false condition  ( Exists(    packages com microsoft minecraftmod 0 5 4 0 build com microsoft minecraftmod targets )) was evaluated as ( Exists(    packages com microsoft minecraftmod 0 5 4 0 build com microsoft minecraftmod targets )) 
    Task  Error  skipped  due to false condition  ( Exists(    packages Tvl Java 1 2 0 build Tvl Java props )) was evaluated as ( Exists(    packages Tvl Java 1 2 0 build Tvl Java props )) 
    Task  Error  skipped  due to false condition  ( Exists(    packages Tvl Java 1 2 0 build Tvl Java targets )) was evaluated as ( Exists(    packages Tvl Java 1 2 0 build Tvl Java targets )) 
Done building target  EnsureNuGetPackageBuildImports  in project  FirstMod javaproj  
Target  MinecraftForgeSetup  in file  c: users william scalf documents visual studio 2013 Projects FirstMod packages com microsoft minecraftmod 0 5 4 0 build com microsoft minecraftmod targets  from project  c: users william scalf documents visual studio 2013 Projects FirstMod FirstMod FirstMod javaproj  (target  PrepareForBuild  depends on it):
    Skipping target  MinecraftForgeSetup  because all output files are up to date with respect to the input files 
    Input files: c: users william scalf documents visual studio 2013 Projects FirstMod FirstMod build gradle
    Output files: c: users william scalf documents visual studio 2013 Projects FirstMod FirstMod  classpath
Done building target  MinecraftForgeSetup  in project  FirstMod javaproj  
Target  ExtractJarReferences  in file  c: users william scalf documents visual studio 2013 Projects FirstMod packages com microsoft minecraftmod 0 5 4 0 build com microsoft minecraftmod targets  from project  c: users william scalf documents visual studio 2013 Projects FirstMod FirstMod FirstMod javaproj  (target  GenerateJarReferences  depends on it):
    Skipping target  ExtractJarReferences  because all output files are up to date with respect to the input files 
    Input files: c: users william scalf documents visual studio 2013 Projects FirstMod FirstMod  classpath
    Output files: c: users william scalf documents visual studio 2013 Projects FirstMod FirstMod classpath vs build xml
Done building target  ExtractJarReferences  in project  FirstMod javaproj  
Target  GenerateJarReferences  in file  c: users william scalf documents visual studio 2013 Projects FirstMod packages com microsoft minecraftmod 0 5 4 0 build com microsoft minecraftmod targets  from project  c: users william scalf documents visual studio 2013 Projects FirstMod FirstMod FirstMod javaproj  (target  PrepareForBuild  depends on it):
    Task  Message 
        Task Parameter:Importance normal
        Task Parameter:Text Generating Jar References for FirstMod   
        Generating Jar References for FirstMod   
    Done executing task  Message  
    Using  ReadJarReferences  task from assembly  c: users william scalf documents visual studio 2013 Projects FirstMod packages com microsoft minecraftmod 0 5 4 0 build JavaPkgBuildTasks dll  
    Task  ReadJarReferences 
        Task Parameter:JarReferencesCacheFile c: users william scalf documents visual studio 2013 Projects FirstMod FirstMod classpath vs build xml
        Task Parameter:FilterByType lib
    Done executing task  ReadJarReferences  
    Task  Message 
        Task Parameter:Importance high
        Task Parameter:Text Importing references:
        Importing references:
    Done executing task  Message  
    Task  Message 
        Task Parameter:Importance high
        Task Parameter:Text C: Users William Scalf  gradle caches minecraft net minecraftforge forge 1 7 10 10 13 2 1291 forgeSrc 1 7 10 10 13 2 1291 jar C: Users William Scalf  gradle caches modules 2 files 2 1 net minecraft launchwrapper 1 11 9c0592c6e1e9ea296a70948081bd4cc84dda1289 launchwrapper 1 11 jar C: Users William Scalf  gradle caches modules 2 files 2 1 com google code findbugs jsr305 1 3 9 40719ea6961c0cb6afaeb6a921eaa1f6afd4cfdf jsr305 1 3 9 jar C: Users William Scalf  gradle caches modules 2 files 2 1 org ow2 asm asm debug all 5 0 3 f9e364ae2a66ce2a543012a4668856e84e5dab74 asm debug all 5 0 3 jar C: Users William Scalf  gradle caches modules 2 files 2 1 com typesafe akka akka actor 2 11 2 3 3 ed62e9fc709ca0f2ff1a3220daa8b70a2870078e akka actor 2 11 2 3 3 jar C: Users William Scalf  gradle caches modules 2 files 2 1 com typesafe config 1 2 1 f771f71fdae3df231bcd54d5ca2d57f0bf93f467 config 1 2 1 jar C: Users William Scalf  gradle caches modules 2 files 2 1 org scala lang scala actors migration 2 11 1 1 0 dfa8bc42b181d5b9f1a5dd147f8ae308b893eb6f scala actors migration 2 11 1 1 0 jar C: Users William Scalf  gradle caches modules 2 files 2 1 org scala lang scala compiler 2 11 1 56ea2e6c025e0821f28d73ca271218b8dd04926a scala compiler 2 11 1 jar C: Users William Scalf  gradle caches modules 2 files 2 1 org scala lang plugins scala continuations library 2 11 1 0 2 e517c53a7e9acd6b1668c5a35eccbaa3bab9aac scala continuations library 2 11 1 0 2 jar C: Users William Scalf  gradle caches modules 2 files 2 1 org scala lang plugins scala continuations plugin 2 11 1 1 0 2 f361a3283452c57fa30c1ee69448995de23c60f7 scala continuations plugin 2 11 1 1 0 2 jar C: Users William Scalf  gradle caches modules 2 files 2 1 org scala lang scala library 2 11 1 e11da23da3eabab9f4777b9220e60d44c1aab6a scala library 2 11 1 jar C: Users William Scalf  gradle caches modules 2 files 2 1 org scala lang scala parser combinators 2 11 1 0 1 f05d7345bf5a58924f2837c6c1f4d73a938e1ff0 scala parser combinators 2 11 1 0 1 jar C: Users William Scalf  gradle caches modules 2 files 2 1 org scala lang scala reflect 2 11 1 6580347e61cc7f8e802941e7fde40fa83b8badeb scala reflect 2 11 1 jar C: Users William Scalf  gradle caches modules 2 files 2 1 org scala lang scala swing 2 11 1 0 1 b1cdd92bd47b1e1837139c1c53020e86bb9112ae scala swing 2 11 1 0 1 jar C: Users William Scalf  gradle caches modules 2 files 2 1 org scala lang scala xml 2 11 1 0 2 7a80ec00aec122fba7cd4e0d4cdd87ff7e4cb6d0 scala xml 2 11 1 0 2 jar C: Users William Scalf  gradle caches modules 2 files 2 1 net sf jopt simple jopt simple 4 5 6065cc95c661255349c1d0756657be17c29a4fd3 jopt simple 4 5 jar C: Users William Scalf  gradle caches modules 2 files 2 1 lzma lzma 0 0 1 521616dc7487b42bef0e803bd2fa3faf668101d7 lzma 0 0 1 jar C: Users William Scalf  gradle caches modules 2 files 2 1 com mojang realms 1 3 5 807ae355ee63583becd7ea60e76aab1532bb42e realms 1 3 5 jar C: Users William Scalf  gradle caches modules 2 files 2 1 org apache commons commons compress 1 8 1 a698750c16740fd5b3871425f4cb3bbaa87f529d commons compress 1 8 1 jar C: Users William Scalf  gradle caches modules 2 files 2 1 org apache httpcomponents httpclient 4 3 3 18f4247ff4572a074444572cee34647c43e7c9c7 httpclient 4 3 3 jar C: Users William Scalf  gradle caches modules 2 files 2 1 commons logging commons logging 1 1 3 f6f66e966c70a83ffbdb6f17a0919eaf7c8aca7f commons logging 1 1 3 jar C: Users William Scalf  gradle caches modules 2 files 2 1 org apache httpcomponents httpcore 4 3 2 31fbbff1ddbf98f3aa7377c94d33b0447c646b6e httpcore 4 3 2 jar C: Users William Scalf  gradle caches modules 2 files 2 1 java3d vecmath 1 3 1 a0ae4f51da409fa0c20fa0ca59e6bbc9413ae71d vecmath 1 3 1 jar C: Users William Scalf  gradle caches modules 2 files 2 1 net sf trove4j trove4j 3 0 3 42ccaf4761f0dfdfa805c9e340d99a755907e2dd trove4j 3 0 3 jar C: Users William Scalf  gradle caches modules 2 files 2 1 com ibm icu icu4j core mojang 51 2 63d216a9311cca6be337c1e458e587f99d382b84 icu4j core mojang 51 2 jar C: Users William Scalf  gradle caches modules 2 files 2 1 com paulscode codecjorbis 20101023 c73b5636faf089d9f00e8732a829577de25237ee codecjorbis 20101023 jar C: Users William Scalf  gradle caches modules 2 files 2 1 com paulscode codecwav 20101023 12f031cfe88fef5c1dd36c563c0a3a69bd7261da codecwav 20101023 jar C: Users William Scalf  gradle caches modules 2 files 2 1 com paulscode libraryjavasound 20101123 5c5e304366f75f9eaa2e8cca546a1fb6109348b3 libraryjavasound 20101123 jar C: Users William Scalf  gradle caches modules 2 files 2 1 com paulscode librarylwjglopenal 20100824 73e80d0794c39665aec3f62eee88ca91676674ef librarylwjglopenal 20100824 jar C: Users William Scalf  gradle caches modules 2 files 2 1 com paulscode soundsystem 20120107 419c05fe9be71f792b2d76cfc9b67f1ed0fec7f6 soundsystem 20120107 jar C: Users William Scalf  gradle caches modules 2 files 2 1 io netty netty all 4 0 10 Final 9e50bd52ffe257a0e2cd8d971688d6ce7d174325 netty all 4 0 10 Final jar C: Users William Scalf  gradle caches modules 2 files 2 1 commons io commons io 2 4 b1b6ea3b7e4aa4f492509a4952029cd8e48019ad commons io 2 4 jar C: Users William Scalf  gradle caches modules 2 files 2 1 commons codec commons codec 1 9 9ce04e34240f674bc72680f8b843b1457383161a commons codec 1 9 jar C: Users William Scalf  gradle caches modules 2 files 2 1 net java jinput jinput 2 0 5 39c7796b469a600f72380316f6b1f11db6c2c7c4 jinput 2 0 5 jar C: Users William Scalf  gradle caches modules 2 files 2 1 net java jutils jutils 1 0 0 e12fe1fda814bd348c1579329c86943d2cd3c6a6 jutils 1 0 0 jar C: Users William Scalf  gradle caches modules 2 files 2 1 com google code gson gson 2 2 4 a60a5e993c98c864010053cb901b7eab25306568 gson 2 2 4 jar C: Users William Scalf  gradle caches modules 2 files 2 1 com mojang authlib 1 5 16 ef1582b11fd0943d069cdcb72e99008ac209a283 authlib 1 5 16 jar C: Users William Scalf  gradle caches modules 2 files 2 1 org apache logging log4j log4j api 2 0 beta9 1dd66e68cccd907880229f9e2de1314bd13ff785 log4j api 2 0 beta9 jar C: Users William Scalf  gradle caches modules 2 files 2 1 org apache logging log4j log4j core 2 0 beta9 678861ba1b2e1fccb594bb0ca03114bb05da9695 log4j core 2 0 beta9 jar C: Users William Scalf  gradle caches modules 2 files 2 1 org lwjgl lwjgl lwjgl 2 9 1 f58c5aabcef0e41718a564be9f8e412fff8db847 lwjgl 2 9 1 jar C: Users William Scalf  gradle caches modules 2 files 2 1 org lwjgl lwjgl lwjgl util 2 9 1 290d7ba8a1bd9566f5ddf16ad06f09af5ec9b20e lwjgl util 2 9 1 jar C: Users William Scalf  gradle caches modules 2 files 2 1 tv twitch twitch 5 16 1f55f009c61637c10c0acfb8b5ffc600f30044b4 twitch 5 16 jar C: Users William Scalf  gradle caches modules 2 files 2 1 org scala lang scala actors 2 11 0 8ccfb6541de179bb1c4d45cf414acee069b7f78b scala actors 2 11 0 jar C: Users William Scalf  gradle caches modules 2 files 2 1 org scala lang modules scala xml 2 11 1 0 2 820fbca7e524b530fdadc594c39d49a21ea0337e scala xml 2 11 1 0 2 jar C: Users William Scalf  gradle caches modules 2 files 2 1 org scala lang modules scala parser combinators 2 11 1 0 1 f05d7345bf5a58924f2837c6c1f4d73a938e1ff0 scala parser combinators 2 11 1 0 1 jar C: Users William Scalf  gradle caches modules 2 files 2 1 net java jinput jinput platform 2 0 5 7ff832a6eb9ab6a767f1ade2b548092d0fa64795 jinput platform 2 0 5 natives linux jar C: Users William Scalf  gradle caches modules 2 files 2 1 net java jinput jinput platform 2 0 5 385ee093e01f587f30ee1c8a2ee7d408fd732e16 jinput platform 2 0 5 natives windows jar C: Users William Scalf  gradle caches modules 2 files 2 1 net java jinput jinput platform 2 0 5 53f9c919f34d2ca9de8c51fc4e1e8282029a9232 jinput platform 2 0 5 natives osx jar C: Users William Scalf  gradle caches modules 2 files 2 1 tv twitch twitch platform 5 16 7c6affe439099806a4f552da14c42f9d643d8b23 twitch platform 5 16 natives windows 32 jar C: Users William Scalf  gradle caches modules 2 files 2 1 tv twitch twitch platform 5 16 39d0c3d363735b4785598e0e7fbf8297c706a9f9 twitch platform 5 16 natives windows 64 jar C: Users William Scalf  gradle caches modules 2 files 2 1 tv twitch twitch platform 5 16 62503ee712766cf77f97252e5902786fd834b8c5 twitch platform 5 16 natives osx jar C: Users William Scalf  gradle caches modules 2 files 2 1 tv twitch twitch external platform 4 5 18215140f010c05b9f86ef6f0f8871954d2ccebf twitch external platform 4 5 natives windows 32 jar C: Users William Scalf  gradle caches modules 2 files 2 1 tv twitch twitch external platform 4 5 c3cde57891b935d41b6680a9c5e1502eeab76d86 twitch external platform 4 5 natives windows 64 jar C: Users William Scalf  gradle caches modules 2 files 2 1 org lwjgl lwjgl lwjgl platform 2 9 1 4c517eca808522457dd95ee8fc1fbcdbb602efbe lwjgl platform 2 9 1 natives windows jar C: Users William Scalf  gradle caches modules 2 files 2 1 org lwjgl lwjgl lwjgl platform 2 9 1 aa9aae879af8eb378e22cfc64db56ec2ca9a44d1 lwjgl platform 2 9 1 natives linux jar C: Users William Scalf  gradle caches modules 2 files 2 1 org lwjgl lwjgl lwjgl platform 2 9 1 2d12c83fdfbc04ecabf02c7bc8cc54d034f0daac lwjgl platform 2 9 1 natives osx jar C: Users William Scalf  gradle caches modules 2 files 2 1 com google guava guava 17 0 9c6ef172e8de35fd8d4d8783e4821e57cdef7445 guava 17 0 jar C: Users William Scalf  gradle caches modules 2 files 2 1 org apache commons commons lang3 3 3 2 90a3822c38ec8c996e84c16a3477ef632cbc87a3 commons lang3 3 3 2 jar C: Users William Scalf  gradle caches minecraft net minecraftforge forge 1 7 10 10 13 2 1291 start 
        C: Users William Scalf  gradle caches minecraft net minecraftforge forge 1 7 10 10 13 2 1291 forgeSrc 1 7 10 10 13 2 1291 jar C: Users William Scalf  gradle caches modules 2 files 2 1 net minecraft launchwrapper 1 11 9c0592c6e1e9ea296a70948081bd4cc84dda1289 launchwrapper 1 11 jar C: Users William Scalf  gradle caches modules 2 files 2 1 com google code findbugs jsr305 1 3 9 40719ea6961c0cb6afaeb6a921eaa1f6afd4cfdf jsr305 1 3 9 jar C: Users William Scalf  gradle caches modules 2 files 2 1 org ow2 asm asm debug all 5 0 3 f9e364ae2a66ce2a543012a4668856e84e5dab74 asm debug all 5 0 3 jar C: Users William Scalf  gradle caches modules 2 files 2 1 com typesafe akka akka actor 2 11 2 3 3 ed62e9fc709ca0f2ff1a3220daa8b70a2870078e akka actor 2 11 2 3 3 jar C: Users William Scalf  gradle caches modules 2 files 2 1 com typesafe config 1 2 1 f771f71fdae3df231bcd54d5ca2d57f0bf93f467 config 1 2 1 jar C: Users William Scalf  gradle caches modules 2 files 2 1 org scala lang scala actors migration 2 11 1 1 0 dfa8bc42b181d5b9f1a5dd147f8ae308b893eb6f scala actors migration 2 11 1 1 0 jar C: Users William Scalf  gradle caches modules 2 files 2 1 org scala lang scala compiler 2 11 1 56ea2e6c025e0821f28d73ca271218b8dd04926a scala compiler 2 11 1 jar C: Users William Scalf  gradle caches modules 2 files 2 1 org scala lang plugins scala continuations library 2 11 1 0 2 e517c53a7e9acd6b1668c5a35eccbaa3bab9aac scala continuations library 2 11 1 0 2 jar C: Users William Scalf  gradle caches modules 2 files 2 1 org scala lang plugins scala continuations plugin 2 11 1 1 0 2 f361a3283452c57fa30c1ee69448995de23c60f7 scala continuations plugin 2 11 1 1 0 2 jar C: Users William Scalf  gradle caches modules 2 files 2 1 org scala lang scala library 2 11 1 e11da23da3eabab9f4777b9220e60d44c1aab6a scala library 2 11 1 jar C: Users William Scalf  gradle caches modules 2 files 2 1 org scala lang scala parser combinators 2 11 1 0 1 f05d7345bf5a58924f2837c6c1f4d73a938e1ff0 scala parser combinators 2 11 1 0 1 jar C: Users William Scalf  gradle caches modules 2 files 2 1 org scala lang scala reflect 2 11 1 6580347e61cc7f8e802941e7fde40fa83b8badeb scala reflect 2 11 1 jar C: Users William Scalf  gradle caches modules 2 files 2 1 org scala lang scala swing 2 11 1 0 1 b1cdd92bd47b1e1837139c1c53020e86bb9112ae scala swing 2 11 1 0 1 jar C: Users William Scalf  gradle caches modules 2 files 2 1 org scala lang scala xml 2 11 1 0 2 7a80ec00aec122fba7cd4e0d4cdd87ff7e4cb6d0 scala xml 2 11 1 0 2 jar C: Users William Scalf  gradle caches modules 2 files 2 1 net sf jopt simple jopt simple 4 5 6065cc95c661255349c1d0756657be17c29a4fd3 jopt simple 4 5 jar C: Users William Scalf  gradle caches modules 2 files 2 1 lzma lzma 0 0 1 521616dc7487b42bef0e803bd2fa3faf668101d7 lzma 0 0 1 jar C: Users William Scalf  gradle caches modules 2 files 2 1 com mojang realms 1 3 5 807ae355ee63583becd7ea60e76aab1532bb42e realms 1 3 5 jar C: Users William Scalf  gradle caches modules 2 files 2 1 org apache commons commons compress 1 8 1 a698750c16740fd5b3871425f4cb3bbaa87f529d commons compress 1 8 1 jar C: Users William Scalf  gradle caches modules 2 files 2 1 org apache httpcomponents httpclient 4 3 3 18f4247ff4572a074444572cee34647c43e7c9c7 httpclient 4 3 3 jar C: Users William Scalf  gradle caches modules 2 files 2 1 commons logging commons logging 1 1 3 f6f66e966c70a83ffbdb6f17a0919eaf7c8aca7f commons logging 1 1 3 jar C: Users William Scalf  gradle caches modules 2 files 2 1 org apache httpcomponents httpcore 4 3 2 31fbbff1ddbf98f3aa7377c94d33b0447c646b6e httpcore 4 3 2 jar C: Users William Scalf  gradle caches modules 2 files 2 1 java3d vecmath 1 3 1 a0ae4f51da409fa0c20fa0ca59e6bbc9413ae71d vecmath 1 3 1 jar C: Users William Scalf  gradle caches modules 2 files 2 1 net sf trove4j trove4j 3 0 3 42ccaf4761f0dfdfa805c9e340d99a755907e2dd trove4j 3 0 3 jar C: Users William Scalf  gradle caches modules 2 files 2 1 com ibm icu icu4j core mojang 51 2 63d216a9311cca6be337c1e458e587f99d382b84 icu4j core mojang 51 2 jar C: Users William Scalf  gradle caches modules 2 files 2 1 com paulscode codecjorbis 20101023 c73b5636faf089d9f00e8732a829577de25237ee codecjorbis 20101023 jar C: Users William Scalf  gradle caches modules 2 files 2 1 com paulscode codecwav 20101023 12f031cfe88fef5c1dd36c563c0a3a69bd7261da codecwav 20101023 jar C: Users William Scalf  gradle caches modules 2 files 2 1 com paulscode libraryjavasound 20101123 5c5e304366f75f9eaa2e8cca546a1fb6109348b3 libraryjavasound 20101123 jar C: Users William Scalf  gradle caches modules 2 files 2 1 com paulscode librarylwjglopenal 20100824 73e80d0794c39665aec3f62eee88ca91676674ef librarylwjglopenal 20100824 jar C: Users William Scalf  gradle caches modules 2 files 2 1 com paulscode soundsystem 20120107 419c05fe9be71f792b2d76cfc9b67f1ed0fec7f6 soundsystem 20120107 jar C: Users William Scalf  gradle caches modules 2 files 2 1 io netty netty all 4 0 10 Final 9e50bd52ffe257a0e2cd8d971688d6ce7d174325 netty all 4 0 10 Final jar C: Users William Scalf  gradle caches modules 2 files 2 1 commons io commons io 2 4 b1b6ea3b7e4aa4f492509a4952029cd8e48019ad commons io 2 4 jar C: Users William Scalf  gradle caches modules 2 files 2 1 commons codec commons codec 1 9 9ce04e34240f674bc72680f8b843b1457383161a commons codec 1 9 jar C: Users William Scalf  gradle caches modules 2 files 2 1 net java jinput jinput 2 0 5 39c7796b469a600f72380316f6b1f11db6c2c7c4 jinput 2 0 5 jar C: Users William Scalf  gradle caches modules 2 files 2 1 net java jutils jutils 1 0 0 e12fe1fda814bd348c1579329c86943d2cd3c6a6 jutils 1 0 0 jar C: Users William Scalf  gradle caches modules 2 files 2 1 com google code gson gson 2 2 4 a60a5e993c98c864010053cb901b7eab25306568 gson 2 2 4 jar C: Users William Scalf  gradle caches modules 2 files 2 1 com mojang authlib 1 5 16 ef1582b11fd0943d069cdcb72e99008ac209a283 authlib 1 5 16 jar C: Users William Scalf  gradle caches modules 2 files 2 1 org apache logging log4j log4j api 2 0 beta9 1dd66e68cccd907880229f9e2de1314bd13ff785 log4j api 2 0 beta9 jar C: Users William Scalf  gradle caches modules 2 files 2 1 org apache logging log4j log4j core 2 0 beta9 678861ba1b2e1fccb594bb0ca03114bb05da9695 log4j core 2 0 beta9 jar C: Users William Scalf  gradle caches modules 2 files 2 1 org lwjgl lwjgl lwjgl 2 9 1 f58c5aabcef0e41718a564be9f8e412fff8db847 lwjgl 2 9 1 jar C: Users William Scalf  gradle caches modules 2 files 2 1 org lwjgl lwjgl lwjgl util 2 9 1 290d7ba8a1bd9566f5ddf16ad06f09af5ec9b20e lwjgl util 2 9 1 jar C: Users William Scalf  gradle caches modules 2 files 2 1 tv twitch twitch 5 16 1f55f009c61637c10c0acfb8b5ffc600f30044b4 twitch 5 16 jar C: Users William Scalf  gradle caches modules 2 files 2 1 org scala lang scala actors 2 11 0 8ccfb6541de179bb1c4d45cf414acee069b7f78b scala actors 2 11 0 jar C: Users William Scalf  gradle caches modules 2 files 2 1 org scala lang modules scala xml 2 11 1 0 2 820fbca7e524b530fdadc594c39d49a21ea0337e scala xml 2 11 1 0 2 jar C: Users William Scalf  gradle caches modules 2 files 2 1 org scala lang modules scala parser combinators 2 11 1 0 1 f05d7345bf5a58924f2837c6c1f4d73a938e1ff0 scala parser combinators 2 11 1 0 1 jar C: Users William Scalf  gradle caches modules 2 files 2 1 net java jinput jinput platform 2 0 5 7ff832a6eb9ab6a767f1ade2b548092d0fa64795 jinput platform 2 0 5 natives linux jar C: Users William Scalf  gradle caches modules 2 files 2 1 net java jinput jinput platform 2 0 5 385ee093e01f587f30ee1c8a2ee7d408fd732e16 jinput platform 2 0 5 natives windows jar C: Users William Scalf  gradle caches modules 2 files 2 1 net java jinput jinput platform 2 0 5 53f9c919f34d2ca9de8c51fc4e1e8282029a9232 jinput platform 2 0 5 natives osx jar C: Users William Scalf  gradle caches modules 2 files 2 1 tv twitch twitch platform 5 16 7c6affe439099806a4f552da14c42f9d643d8b23 twitch platform 5 16 natives windows 32 jar C: Users William Scalf  gradle caches modules 2 files 2 1 tv twitch twitch platform 5 16 39d0c3d363735b4785598e0e7fbf8297c706a9f9 twitch platform 5 16 natives windows 64 jar C: Users William Scalf  gradle caches modules 2 files 2 1 tv twitch twitch platform 5 16 62503ee712766cf77f97252e5902786fd834b8c5 twitch platform 5 16 natives osx jar C: Users William Scalf  gradle caches modules 2 files 2 1 tv twitch twitch external platform 4 5 18215140f010c05b9f86ef6f0f8871954d2ccebf twitch external platform 4 5 natives windows 32 jar C: Users William Scalf  gradle caches modules 2 files 2 1 tv twitch twitch external platform 4 5 c3cde57891b935d41b6680a9c5e1502eeab76d86 twitch external platform 4 5 natives windows 64 jar C: Users William Scalf  gradle caches modules 2 files 2 1 org lwjgl lwjgl lwjgl platform 2 9 1 4c517eca808522457dd95ee8fc1fbcdbb602efbe lwjgl platform 2 9 1 natives windows jar C: Users William Scalf  gradle caches modules 2 files 2 1 org lwjgl lwjgl lwjgl platform 2 9 1 aa9aae879af8eb378e22cfc64db56ec2ca9a44d1 lwjgl platform 2 9 1 natives linux jar C: Users William Scalf  gradle caches modules 2 files 2 1 org lwjgl lwjgl lwjgl platform 2 9 1 2d12c83fdfbc04ecabf02c7bc8cc54d034f0daac lwjgl platform 2 9 1 natives osx jar C: Users William Scalf  gradle caches modules 2 files 2 1 com google guava guava 17 0 9c6ef172e8de35fd8d4d8783e4821e57cdef7445 guava 17 0 jar C: Users William Scalf  gradle caches modules 2 files 2 1 org apache commons commons lang3 3 3 2 90a3822c38ec8c996e84c16a3477ef632cbc87a3 commons lang3 3 3 2 jar C: Users William Scalf  gradle caches minecraft net minecraftforge forge 1 7 10 10 13 2 1291 start 
    Done executing task  Message  
Done building target  GenerateJarReferences  in project  FirstMod javaproj  
Target  PrepareForBuild  in file  c: users william scalf documents visual studio 2013 Projects FirstMod packages Tvl Java 1 2 0 build Tvl Jvm Common targets  from project  c: users william scalf documents visual studio 2013 Projects FirstMod FirstMod FirstMod javaproj  (target  CoreBuild  depends on it):
    Task  FindAppConfigFile 
        Task Parameter:
    PrimaryList 
         classpath
         gradle 2 0 taskArtifacts cache properties
         gradle 2 0 taskArtifacts cache properties lock
         gradle 2 0 taskArtifacts fileHashes bin
         gradle 2 0 taskArtifacts fileSnapshots bin
         gradle 2 0 taskArtifacts outputFileStates bin
         gradle 2 0 taskArtifacts taskArtifacts bin
         gradle gradle log
         project
         settings org eclipse jdt core prefs
        build gradle
        build  gitignore
        build tmp expandedArchives fmlpatches zip 49d1kfre10imma4dupvja9ri79 net minecraft block Block java patch
        build tmp expandedArchives fmlpatches zip 49d1kfre10imma4dupvja9ri79 net minecraft client ClientBrandRetriever java patch
        build tmp expandedArchives fmlpatches zip 49d1kfre10imma4dupvja9ri79 net minecraft client gui GuiButton java patch
        build tmp expandedArchives fmlpatches zip 49d1kfre10imma4dupvja9ri79 net minecraft client gui GuiCreateWorld java patch
        build tmp expandedArchives fmlpatches zip 49d1kfre10imma4dupvja9ri79 net minecraft client gui GuiIngame java patch
        build tmp expandedArchives fmlpatches zip 49d1kfre10imma4dupvja9ri79 net minecraft client gui GuiIngameMenu java patch
        build tmp expandedArchives fmlpatches zip 49d1kfre10imma4dupvja9ri79 net minecraft client gui GuiMainMenu java patch
        build tmp expandedArchives fmlpatches zip 49d1kfre10imma4dupvja9ri79 net minecraft client gui GuiMultiplayer java patch
        build tmp expandedArchives fmlpatches zip 49d1kfre10imma4dupvja9ri79 net minecraft client gui GuiSelectWorld java patch
        build tmp expandedArchives fmlpatches zip 49d1kfre10imma4dupvja9ri79 net minecraft client gui ServerListEntryNormal java patch
        build tmp expandedArchives fmlpatches zip 49d1kfre10imma4dupvja9ri79 net minecraft client LoadingScreenRenderer java patch
        build tmp expandedArchives fmlpatches zip 49d1kfre10imma4dupvja9ri79 net minecraft client Minecraft java patch
        build tmp expandedArchives fmlpatches zip 49d1kfre10imma4dupvja9ri79 net minecraft client network NetHandlerLoginClient java patch
        build tmp expandedArchives fmlpatches zip 49d1kfre10imma4dupvja9ri79 net minecraft client network OldServerPinger java patch
        build tmp expandedArchives fmlpatches zip 49d1kfre10imma4dupvja9ri79 net minecraft client renderer entity RenderVillager java patch
        build tmp expandedArchives fmlpatches zip 49d1kfre10imma4dupvja9ri79 net minecraft client renderer RenderBlocks java patch
        build tmp expandedArchives fmlpatches zip 49d1kfre10imma4dupvja9ri79 net minecraft client resources LanguageManager java patch
        build tmp expandedArchives fmlpatches zip 49d1kfre10imma4dupvja9ri79 net minecraft client settings GameSettings java patch
        build tmp expandedArchives fmlpatches zip 49d1kfre10imma4dupvja9ri79 net minecraft crash CrashReport java patch
        build tmp expandedArchives fmlpatches zip 49d1kfre10imma4dupvja9ri79 net minecraft entity boss IBossDisplayData java patch
        build tmp expandedArchives fmlpatches zip 49d1kfre10imma4dupvja9ri79 net minecraft entity EntityList java patch
        build tmp expandedArchives fmlpatches zip 49d1kfre10imma4dupvja9ri79 net minecraft entity EntityTracker java patch
        build tmp expandedArchives fmlpatches zip 49d1kfre10imma4dupvja9ri79 net minecraft entity EntityTrackerEntry java patch
        build tmp expandedArchives fmlpatches zip 49d1kfre10imma4dupvja9ri79 net minecraft entity item EntityItem java patch
        build tmp expandedArchives fmlpatches zip 49d1kfre10imma4dupvja9ri79 net minecraft entity monster EntitySlime java patch
        build tmp expandedArchives fmlpatches zip 49d1kfre10imma4dupvja9ri79 net minecraft entity passive EntityVillager java patch
        build tmp expandedArchives fmlpatches zip 49d1kfre10imma4dupvja9ri79 net minecraft entity player EntityPlayer java patch
        build tmp expandedArchives fmlpatches zip 49d1kfre10imma4dupvja9ri79 net minecraft inventory SlotCrafting java patch
        build tmp expandedArchives fmlpatches zip 49d1</t>
  </si>
  <si>
    <t>square-okhttp-1620</t>
  </si>
  <si>
    <t>Fatal Exception: java.lang.IllegalStateException No deadline</t>
  </si>
  <si>
    <t xml:space="preserve">Hi 
i found a failure in the okhttp 2 3 0
see: http:  crashes to s 0feb94a574c
Stacktrace
java lang IllegalStateException: No deadline
       at okio Timeout deadlineNanoTime(SourceFile:104)
       at okio AsyncTimeout scheduleTimeout(SourceFile:84)
       at okio AsyncTimeout enter(SourceFile:69)
       at okio AsyncTimeout 2 read(SourceFile:209)
       at okio RealBufferedSource indexOf(SourceFile:295)
       at okio RealBufferedSource indexOf(SourceFile:289)
       at okio RealBufferedSource readUtf8LineStrict(SourceFile:196)
       at com squareup okhttp internal http HttpConnection readResponse(SourceFile:190)
       at com squareup okhttp internal http HttpTransport readResponseHeaders(SourceFile:80)
       at com squareup okhttp internal http HttpEngine readNetworkResponse(SourceFile:830)
       at com squareup okhttp internal http HttpEngine access 200(SourceFile:95)
       at com squareup okhttp internal http HttpEngine NetworkInterceptorChain proceed(SourceFile:823)
       at com squareup okhttp internal http HttpEngine readResponse(SourceFile:684)
       at com squareup okhttp Call getResponse(SourceFile:272)
       at com squareup okhttp Call ApplicationInterceptorChain proceed(SourceFile:228)
       at com squareup okhttp Call getResponseWithInterceptorChain(SourceFile:199)
       at com squareup okhttp Call execute(SourceFile:79)
       at de komoot android net task HttpTask execute(SourceFile:449)
       at de komoot android net task HttpTask executeOnThread(SourceFile:263)
       at de komoot android net task HttpTask executeOnThread(SourceFile:219)
       at de komoot android net task BaseHttpTask asyncNetworkExecution(SourceFile:208)
       at de komoot android net task BaseHttpTask run(SourceFile:179)
       at java util concurrent ThreadPoolExecutor runWorker(ThreadPoolExecutor java:1112)
       at java util concurrent ThreadPoolExecutor Worker run(ThreadPoolExecutor java:587)
       at java lang Thread run(Thread java:848)
I can not reproduce it with any of my test devices  In the wild it doesn t happen not very often 
1 failure in 10000 sessions 
</t>
  </si>
  <si>
    <t>clintonhealthaccess-chailmis-android-204</t>
  </si>
  <si>
    <t>java null pointer exception in AllocationService</t>
  </si>
  <si>
    <t xml:space="preserve">recorded here:
https:  crashlytics com twkla android apps org clintonhealthaccess lmis app issues 554be6b6f505b5ccf0c07d2a 
Not sure of the cause  Just wanted to note for the future in case it starts happening more
</t>
  </si>
  <si>
    <t>federicoiosue-Omni-Notes-160</t>
  </si>
  <si>
    <t>Search in Reminders crashes in Beta</t>
  </si>
  <si>
    <t xml:space="preserve">When I try to search notes via the reminders tab in the  menu  the app crashes all the time
</t>
  </si>
  <si>
    <t>dimagi-commcare-android-286</t>
  </si>
  <si>
    <t>Save on session expiration when constraints are violated</t>
  </si>
  <si>
    <t xml:space="preserve">Saving on session expiration currently crashes the app if the form being edited violates constraints  This PR just aborts the save if constraints aren t met  We could also attempt to clear violating values and resave  should this be done 
 ticket (http:  manage dimagi com default asp 168163 939208)
</t>
  </si>
  <si>
    <t>splitwise-TokenAutoComplete-126</t>
  </si>
  <si>
    <t>setTokenLimit(), app crashes when more than the limit will be added</t>
  </si>
  <si>
    <t xml:space="preserve">Without setting any token limit  the library works fine  But when I set the token limit to 1 or 2  the app crashes every time I try to add one token more than the limit 
In my understanding this should not happen  If I need to check if the token limit has been reached  the method doesn t make any sense   
</t>
  </si>
  <si>
    <t>nerzhul-ncsms-android-57</t>
  </si>
  <si>
    <t>crash on sync</t>
  </si>
  <si>
    <t xml:space="preserve">The app service crashes on sync when using a design with app icons 
You could try for example with  Onze  
I think the most relevant part of the log is:
W StatusBarIconView( 1192): No icon for slot fr unix experience owncloud sms 0x0
The full log:
E AccessibilityNodeInfoCache( 1693): Node from: 201 not from:190 android view accessibility AccessibilityNodeInfo 1780e  boundsInParent: Rect(0  0   446  73)  boundsInScreen: Rect(72  542   518  615)  packageName: fr unix experience owncloud sms  className: android widget TextView  text: Allg  Einstellungen  contentDescription: null  viewIdResName: android:id title  checkable: false  checked: false  focusable: false  focused: false  selected: false  clickable: false  longClickable: false  enabled: true  password: false  scrollable: false   ACTION SELECT  ACTION CLEAR SELECTION  ACTION ACCESSIBILITY FOCUS  ACTION NEXT AT MOVEMENT GRANULARITY  ACTION PREVIOUS AT MOVEMENT GRANULARITY  ACTION SET SELECTION 
E AccessibilityNodeInfoCache( 1693): Node from: 201 not from:190 android view accessibility AccessibilityNodeInfo 17bcf  boundsInParent: Rect(0  0   358  57)  boundsInScreen: Rect(72  615   430  672)  packageName: fr unix experience owncloud sms  className: android widget TextView  text: Sync Einstellungen  contentDescription: null  viewIdResName: android:id summary  checkable: false  checked: false  focusable: false  focused: false  selected: false  clickable: false  longClickable: false  enabled: true  password: false  scrollable: false   ACTION SELECT  ACTION CLEAR SELECTION  ACTION ACCESSIBILITY FOCUS  ACTION NEXT AT MOVEMENT GRANULARITY  ACTION PREVIOUS AT MOVEMENT GRANULARITY  ACTION SET SELECTION 
E AccessibilityNodeInfoCache( 1693): Node from: 201 not from:190 android view accessibility AccessibilityNodeInfo 1b41e  boundsInParent: Rect(0  0   984  192)  boundsInScreen: Rect(48  511   1032  703)  packageName: fr unix experience owncloud sms  className: android widget LinearLayout  text: null  contentDescription: null  viewIdResName: null  checkable: false  checked: false  focusable: false  focused: false  selected: false  clickable: true  longClickable: false  enabled: true  password: false  scrollable: false   ACTION SELECT  ACTION CLEAR SELECTION  ACTION CLICK  ACTION ACCESSIBILITY FOCUS 
I ActivityManager(  755): Start proc fr unix experience owncloud sms:sync for service fr unix experience owncloud sms  sync adapters SmsSyncService: pid 4277 uid 10505 gids  50505  3003 
D ActivityThread( 4277): handleBindApplication:fr unix experience owncloud sms:sync
W StatusBarIconView( 1192): No icon for slot fr unix experience owncloud sms 0x0
D NotificationService(  755): onNotification error pkg fr unix experience owncloud sms tag null id 0  will crashApplication(uid 10505  pid 4277)
E AndroidRuntime( 4277): Process: fr unix experience owncloud sms:sync  PID: 4277
E AndroidRuntime( 4277): android app RemoteServiceException: Bad notification posted from package fr unix experience owncloud sms: Couldn t create icon: StatusBarIcon(pkg fr unix experience owncloud smsuser 0 id 0x7f020057 level 0 visible true num 0 )
D NetworkUtils( 4277): Searching known servers store at  data data fr unix experience owncloud sms files knownServers bks
I ActivityManager(  755): Process fr unix experience owncloud sms:sync (pid 4277) has died 
W ActivityManager(  755): Scheduling restart of crashed service fr unix experience owncloud sms  sync adapters SmsSyncService in 1000ms
</t>
  </si>
  <si>
    <t>moneymanagerex-android-money-manager-ex-257</t>
  </si>
  <si>
    <t>App crashes when offline</t>
  </si>
  <si>
    <t xml:space="preserve">User left a remark in Play Store that the app crashes when offline 
I ran into something similar in an emulator that did not have Internet access  We should inspect the Dropbox check on app start 
</t>
  </si>
  <si>
    <t>aidangrabe-material-color-picker-1</t>
  </si>
  <si>
    <t>Crash on Android versions &lt; 5.0</t>
  </si>
  <si>
    <t xml:space="preserve">Showing the ColorPickerDialogFragment crashes on versions   5 0 with the following StackTrace:
java lang NullPointerException
at com aidangrabe materialcolorpicker ColorPickerDialogFragment addRevealAnimationToView(ColorPickerDialogFragment java:199)
at com aidangrabe materialcolorpicker ColorPickerDialogFragment onCreateDialog(ColorPickerDialogFragment java:190)
at android support v4 app DialogFragment getLayoutInflater(DialogFragment java:307)
at android support v4 app FragmentManagerImpl moveToState(FragmentManager java:947)
at android support v4 app FragmentManagerImpl moveToState(FragmentManager java:1126)
at android support v4 app BackStackRecord run(BackStackRecord java:739)
at android support v4 app FragmentManagerImpl execPendingActions(FragmentManager java:1489)
at android support v4 app FragmentManagerImpl 1 run(FragmentManager java:454)
at android os Handler handleCallback(Handler java:733)
at android os Handler dispatchMessage(Handler java:95)
at android os Looper loop(Looper java:146)
at android app ActivityThread main(ActivityThread java:5692)
at java lang reflect Method invokeNative(Native Method)
at java lang reflect Method invoke(Method java:515)
at com android internal os ZygoteInit MethodAndArgsCaller run(ZygoteInit java:1291)
at com android internal os ZygoteInit main(ZygoteInit java:1107)
at dalvik system NativeStart main(Native Method)
</t>
  </si>
  <si>
    <t>k9mail-k-9-642</t>
  </si>
  <si>
    <t>K9-Mail crashes when touching area of attached mail and quickly trying to type</t>
  </si>
  <si>
    <t xml:space="preserve">What steps will reproduce the problem 
1  Tap in the reply area  so the keyboard opens
2  Tap in the area of the attached message
3  quickly start typing before the keyboard disappears    K9mail has stopped working 
What do you expect to have happen 
  No crash  or that keyboard disappears more quickly  or that current message gets saved before K9 Mail crashes 
What version of K 9 are you using 
  5 005
What is your device and what version of Android are you using 
  Fairphone FP1 (MT6589 chipset)
  Android 4 2 2
What else should we know 
  The crash produces no entry in the log (using CatLog on the rooted phone) 
  We have discussed this in the Fairphone Forum and the issue seems quite reproducible: https:  forum fairphone com t k9 mail crashes when trying to type in area of attached mail 5899
</t>
  </si>
  <si>
    <t>vickychijwani-quill-56</t>
  </si>
  <si>
    <t>Crash on logging out when background refresh is ongoing</t>
  </si>
  <si>
    <t xml:space="preserve">This occurs because we re holding onto a  RealmObject  ( mAuthToken ) after the Realm has been deleted (upon logout)  Might be reproducible with the following steps:
1  Swipe to refresh on post list
2  Logout before refresh completes (actually need to logout even before request is sent )
Possible fixes:
  Cancel all in flight requests (or wait until they complete)  release all  RealmObject  references (like  mAuthToken )  then logout  or 
  Simply make a copy of  mAuthToken  so it s not connected to Realm (but what about in flight requests that may be holding references to  RealmObjects   This doesn t seem like a good idea anymore )
Cancellation is not directly supported by Retrofit  but can be hacked together:
  By  shutting down the ExecutorService itself (http:  stackoverflow com a 22053101 504611)  or 
  By  creating a Callback delegate that makes  success  a no op if  CallbackDelegate cancel()  is called (http:  stackoverflow com a 23271559 504611) 
Stacktrace from  Crashlytics (https:  www crashlytics com individual16 android apps me vickychijwani spectre issues 555524f4f505b5ccf0d3affc):
java lang RuntimeException: Could not dispatch event: class me vickychijwani spectre event LoadUserEvent to handler  EventHandler public void me vickychijwani spectre network NetworkService onLoadUserEvent(me vickychijwani spectre event LoadUserEvent) : This Realm instance has already been closed  making it unusable 
       at com squareup otto Bus throwRuntimeException(Bus java:458)
       at com squareup otto Bus dispatch(Bus java:388)
       at com squareup otto Bus dispatchQueuedEvents(Bus java:369)
       at com squareup otto Bus post(Bus java:338)
       at me vickychijwani spectre view PostListActivity refreshData(PostListActivity java:229)
       at me vickychijwani spectre view PostListActivity access lambda 2(PostListActivity java)
       at me vickychijwani spectre view PostListActivity  Lambda 3 run()
       at android os Handler handleCallback(Handler java:739)
       at android os Handler dispatchMessage(Handler java:95)
       at android os Looper loop(Looper java:135)
       at android app ActivityThread main(ActivityThread java:5254)
       at java lang reflect Method invoke(Method java)
       at java lang reflect Method invoke(Method java:372)
       at com android internal os ZygoteInit MethodAndArgsCaller run(ZygoteInit java:903)
       at com android internal os ZygoteInit main(ZygoteInit java:698)
Caused by: java lang IllegalStateException: This Realm instance has already been closed  making it unusable 
       at io realm Realm checkIfValid(Realm java:189)
       at io realm AuthTokenRealmProxy getCreatedAt(AuthTokenRealmProxy java:97)
       at me vickychijwani spectre network NetworkService hasAccessTokenExpired(NetworkService java:517)
       at me vickychijwani spectre network NetworkService validateAccessToken(NetworkService java:435)
       at me vickychijwani spectre network NetworkService onLoadUserEvent(NetworkService java:184)
       at java lang reflect Method invoke(Method java)
       at java lang reflect Method invoke(Method java:372)
       at com squareup otto EventHandler handleEvent(EventHandler java:89)
       at com squareup otto Bus dispatch(Bus java:386)
       at com squareup otto Bus dispatchQueuedEvents(Bus java:369)
       at com squareup otto Bus post(Bus java:338)
       at me vickychijwani spectre view PostListActivity refreshData(PostListActivity java:229)
       at me vickychijwani spectre view PostListActivity access lambda 2(PostListActivity java)
       at me vickychijwani spectre view PostListActivity  Lambda 3 run()
       at android os Handler handleCallback(Handler java:739)
       at android os Handler dispatchMessage(Handler java:95)
       at android os Looper loop(Looper java:135)
       at android app ActivityThread main(ActivityThread java:5254)
       at java lang reflect Method invoke(Method java)
       at java lang reflect Method invoke(Method java:372)
       at com android internal os ZygoteInit MethodAndArgsCaller run(ZygoteInit java:903)
       at com android internal os ZygoteInit main(ZygoteInit java:698)
</t>
  </si>
  <si>
    <t>dimagi-commcare-android-292</t>
  </si>
  <si>
    <t>Removed unused fields that cause crash on 4.2.2</t>
  </si>
  <si>
    <t xml:space="preserve">Removing unused class fields that caused a crash when CommCareActivity tried to load them when screen orientation changes 
 ticket (http:  manage dimagi com default asp 167532 939390)
</t>
  </si>
  <si>
    <t>mixpanel-mixpanel-android-219</t>
  </si>
  <si>
    <t>Codeless event tracking breaking looking for a conditional element</t>
  </si>
  <si>
    <t xml:space="preserve">Using Mixpanel codeless event tracking  I bound the tracking to an element which only appears upon user interaction with the app  This is configured as explained below:
fragment1 has a menu item(say M1) on which there was a codeless event tracking  The leak is happening on a menu item(M2) which is inflated by fragment2 in place of this menu item(M1) 
When this occurs  the SDK fails    the view crawler looks for the element on the screen and throws a memory leak error crashing the app when it does not find the element as expected 
Here is the stack trace:
  com myapp StatusFragment has leaked: 
  GC ROOT thread android os HandlerThread  Java Local  (named  com mixpanel android viewcrawler ViewCrawler ) 
  references android os Message callback 
  references android view View ScrollabilityCache host 
  references android support v7 widget ListPopupWindow DropDownListView mOnItemClickListener 
  references android support v7 widget ActionMenuPresenter OverflowPopup this 0 
  references android support v7 widget ActionMenuPresenter mScrapActionButtonView 
  references android support v7 internal view menu ActionMenuItemView mItemData 
  references android support v7 internal view menu MenuItemImpl mActionView 
  references android support v7 widget SearchView mOnCloseListener 
  references com myapp PracticeFragment mParentFragment 
  references com myapp HomeFragment tabs 
  references com myapp customviews SlidingTabLayout mViewPager 
  references android support v4 view ViewPager mItems 
  references java util ArrayList array 
  references array java lang Object    0  
  references android support v4 view ViewPager ItemInfo object 
  leaks com myapp home StatusFragment instance
  Reference Key: af4d11c8 ed9a 4d93 ac58 7bdd016f552a 
  Device: asus asus ASUS T00J WW a501cg 
  Android Version: 4 4 2 API: 19
  Durations: watch 5020ms  gc 167ms  heap dump 345ms  analysis 15727ms
</t>
  </si>
  <si>
    <t>dimagi-commcare-android-295</t>
  </si>
  <si>
    <t>ManageAsyncTasks; enabling task cancellation on session expiration</t>
  </si>
  <si>
    <t xml:space="preserve">Was experiencing a crash in EntityLoaderTask  where if the database closed when it was running  it would crash commcare  Fix this by canceling the task when the db is closed 
  Create ManageAsyncTask to keep track of running tasks 
  ManageAsyncTask cancelTasks calls cancel on all the running tasks  call on session expiration
  have CommCareTask extend it ManageAsyncTask
</t>
  </si>
  <si>
    <t>square-okhttp-1651</t>
  </si>
  <si>
    <t>IllegalStateException - Http2$Writer.headers</t>
  </si>
  <si>
    <t xml:space="preserve">I found this crash in crashlytics Android 5 0   XT1097
    java
java lang IllegalStateException
       at com squareup okhttp internal spdy Http2 Writer headers(Http2 java:444)
       at com squareup okhttp internal spdy Http2 Writer synStream(Http2 java:410)
       at com squareup okhttp internal spdy SpdyConnection newStream(SpdyConnection java:266)
       at com squareup okhttp internal spdy SpdyConnection newStream(SpdyConnection java:242)
       at com squareup okhttp internal http SpdyTransport writeRequestHeaders(SpdyTransport java:89)
       at com squareup okhttp internal http HttpEngine NetworkInterceptorChain proceed(HttpEngine java:814)
       at com squareup okhttp internal http HttpEngine readResponse(HttpEngine java:684)
       at com squareup okhttp Call getResponse(Call java:272)
       at com squareup okhttp Call ApplicationInterceptorChain proceed(Call java:228)
       at com squareup okhttp Call getResponseWithInterceptorChain(Call java:199)
       at com squareup okhttp Call access 100(Call java:34)
       at com squareup okhttp Call AsyncCall execute(Call java:162)
       at com squareup okhttp internal NamedRunnable run(NamedRunnable java:33)
       at java util concurrent ThreadPoolExecutor runWorker(ThreadPoolExecutor java:1112)
       at java util concurrent ThreadPoolExecutor Worker run(ThreadPoolExecutor java:587)
       at java lang Thread run(Thread java:818)
</t>
  </si>
  <si>
    <t>xiprox-WaniKani-for-Android-5</t>
  </si>
  <si>
    <t>Crash when going from vertical to horizontal view.</t>
  </si>
  <si>
    <t xml:space="preserve">I tried to find the bug in the code but I m too new to android development to fully understand how to debug this properly 
Either way    The crash happens 9 of 10 times if you:
1  Start the app vertically 
2  Let the application do it s update  
3  Scroll down the page a little bit 
4  Rotate to horizontal view 
5  Crashes 
I can reproduce the crash in Android Studio as well as on the phone 
</t>
  </si>
  <si>
    <t>AltBeacon-android-beacon-library-185</t>
  </si>
  <si>
    <t>Stackoverflow error</t>
  </si>
  <si>
    <t xml:space="preserve">After updating the library 
I get Stackoverflow error at java util Collections
Checking DDMS shows that java util Collections are allocated when in writeToParcel:
  at java util Collections UnmodifiableCollection iterator(Collections java:952)    
  at java util Collections UnmodifiableCollection 1  init (Collections java:953)    
  at java util Collections UnmodifiableCollection iterator(Collections java:952)    
  at java util Collections UnmodifiableCollection 1  init (Collections java:953)    
  at java util Collections UnmodifiableCollection iterator(Collections java:952)    
  at java util Collections UnmodifiableCollection 1  init (Collections java:953)    
  at java util Collections UnmodifiableCollection iterator(Collections java:952)    
  at org altbeacon beacon Beacon writeToParcel(Beacon java:524) 
  at org altbeacon beacon AltBeacon writeToParcel(AltBeacon java:115)   
  at android os Parcel writeParcelable(Parcel java:1285)    
  at android os Parcel writeParcelableArray(Parcel java:1984)   
  at org altbeacon beacon service RangingData writeToParcel(RangingData java:62)    
  at android os Parcel writeParcelable(Parcel java:1285)    
  at android os Parcel writeValue(Parcel java:1204) 
  at android os Parcel writeArrayMapInternal(Parcel java:618)   
  at android os Bundle writeToParcel(Bundle java:1692)  
It crashed in Emulator  also on Galaxy S5  4 4 4
</t>
  </si>
  <si>
    <t>moneymanagerex-android-money-manager-ex-281</t>
  </si>
  <si>
    <t>Crash on copy transaction</t>
  </si>
  <si>
    <t xml:space="preserve">The latest version just simply stopped and got terminated by itself without prompting the report crash window  Hence I m not able to send crash report straightaway   It happens every time I try to
1) add new transaction
2) copy transaction   the new function
3) to open edit existing transaction  
My current android version is 4 3
</t>
  </si>
  <si>
    <t>liferay-liferay-screens-125</t>
  </si>
  <si>
    <t>LMW-242 Creating a full view crashes</t>
  </si>
  <si>
    <t xml:space="preserve">Removing crash if replacing a screenlet with another name and some documentation fixes 
 cc  ngaskill 
</t>
  </si>
  <si>
    <t>AltBeacon-android-beacon-library-184</t>
  </si>
  <si>
    <t>Crash Samsung Galaxy S6 Android 5 set alarm</t>
  </si>
  <si>
    <t xml:space="preserve">There is a problem with the Samsung Galaxy S6 with Android 5  If an app sets the alarm with the alarmmanager the app can crash  There is also a post in the Samsung developer forum: http:  developer samsung com forum board thread view do boardName General messageId 280286 listLines 15 startId zzzzz  searchSubId 0000000001
Here is a Crashlog:
Package: XXXXXXXXX
Version Code: 4703
Version Name: 4 703
Android: 5 0 2
Manufacturer: samsung
Model: SM G920F
Date: Sat May 16 15:53:42 MESZ 2015
java lang SecurityException:   Too many alarms (500) registered from pid 23706 uid 10235
    at android os Parcel readException(Parcel java:1540)
    at android os Parcel readException(Parcel java:1493)
    at android app IAlarmManager Stub Proxy set(IAlarmManager java:206)
    at android app AlarmManager setImpl(AlarmManager java:428)
    at android app AlarmManager set(AlarmManager java:215)
    at org altbeacon beacon service scanner CycledLeScanner setWakeUpAlarm(CycledLeScanner java:304)
    at org altbeacon beacon service scanner CycledLeScanner setScanPeriods(CycledLeScanner java:101)
    at org altbeacon beacon service BeaconService setScanPeriods(BeaconService java:293)
    at org altbeacon beacon service BeaconService IncomingHandler handleMessage(BeaconService java:163)
    at android os Handler dispatchMessage(Handler java:102)
    at android os Looper loop(Looper java:145)
    at android app ActivityThread main(ActivityThread java:6141)
    at java lang reflect Method invoke(Native Method)
    at java lang reflect Method invoke(Method java:372)
    at com android internal os ZygoteInit MethodAndArgsCaller run(ZygoteInit java:1399)
    at com android internal os ZygoteInit main(ZygoteInit java:1194)
Edit:
Sorry i forget to write the Library Version  I use 2 1 4
</t>
  </si>
  <si>
    <t>dhis2-dhis2-android-trackercapture-19</t>
  </si>
  <si>
    <t>ProgramOverview crashes seemingly randomly when starting</t>
  </si>
  <si>
    <t xml:space="preserve">Every so often the ProgramOverviewFragment crashes when shown  I think it s because of some race condition with the creation of the State or setting of arguments  This task includes reproduction as it is kind of hard to reproduce 
</t>
  </si>
  <si>
    <t>luispablo-pikisubs-74</t>
  </si>
  <si>
    <t>Get episode info crashes</t>
  </si>
  <si>
    <t xml:space="preserve">It has a wrong TMDb ID  so the API gives 404 and the app crashes  Fail gently  please 
</t>
  </si>
  <si>
    <t>dimagi-commcare-android-307</t>
  </si>
  <si>
    <t>Wrap a form sync call in try/catch for session expiration check</t>
  </si>
  <si>
    <t xml:space="preserve">Pressing the sync button could cause a crash because the session might expire while in an un wrapped call to checkAndStartUnsentTask 
Fix that 
I wasn t able to reproduce this crash  but the stack trace is found here
http:  manage dimagi com default asp 168135
</t>
  </si>
  <si>
    <t>dimagi-commcare-android-306</t>
  </si>
  <si>
    <t>Check array size before removing questions and dividers</t>
  </si>
  <si>
    <t xml:space="preserve">QA is experiencing a strange crash when session expiration tries to save a form that has questions that violate constraints 
I was unable to reproduce the bug  but worked off of the stack trace  found at http:  manage dimagi com default asp 168163 945195
</t>
  </si>
  <si>
    <t>M66B-XPrivacy-2198</t>
  </si>
  <si>
    <t>IMEI not restricted on Lollipop</t>
  </si>
  <si>
    <t xml:space="preserve">Xprivacy 3 6 11
Oneplus One 5 0 2 COS12 (CM12S)
Logcat :
I ActivityManager( 1040): START u0  act android settings APPLICATION DETAILS SETTINGS dat package:com evozi deviceid flg 0x10808000 cmp com android settings  applications InstalledAppDetails  from uid 1000 on display 0
W StatusBar( 1450): removeNotification for unknown key: 0 android 17039418 null 1000
I ActivityManager( 1040): Displayed com android settings  applications InstalledAppDetails:  367ms
I Timeline( 4936): Timeline: Activity idle id: android os BinderProxy 3a9c419f time:1579456
I Timeline( 1040): Timeline: Activity windows visible id: ActivityRecord 10880378 u0 com android settings  applications InstalledAppDetails t2440  time:1579831
W ActivityManager( 1040): getTasks: caller 10191 does not hold GET TASKS  limiting output
I ActivityManager( 1040): Force stopping com evozi deviceid appid 10158 user 0: from pid 4936
I ActivityManager( 1040): Killing 9657:com evozi deviceid u0a158 (adj 9): stop com evozi deviceid
W ActivityManager( 1040): Spurious death for ProcessRecord 3c5da152 0:com evozi deviceid u0a158   curProc for 9657: null
W InputMethodManagerService( 1040): Window already focused  ignoring focus gain of: com android internal view IInputMethodClient Stub Proxy 23329520 attribute null  token   android os BinderProxy 13d57b1c
I Timeline( 1998): Timeline: Activity idle id: android os BinderProxy 12e0df4 time:1582085
I art     ( 1040): Background sticky concurrent mark sweep GC freed 205612(8MB) AllocSpace objects  7(4MB) LOS objects  13  free  49MB 57MB  paused 1 662ms total 150 995ms
I Timeline( 1040): Timeline: Activity windows visible id: ActivityRecord f53ffdf u0 com teslacoilsw launcher  NovaLauncher t2396  time:1582369
W OpenGLRenderer( 1998): Incorrectly called buildLayer on View: aD  destroying layer   
I Timeline( 1998): Timeline: Activity launch request id:com evozi deviceid time:1584562
I ActivityManager( 1040): START u0  act android intent action MAIN cat  android intent category LAUNCHER  flg 0x10200000 cmp com evozi deviceid  MainActivity (has extras)  from uid 10109 on display 0
I ActivityManager( 1040): Start proc com evozi deviceid for activity com evozi deviceid  MainActivity: pid 9871 uid 10158 gids  50158  9997  3003  3002  abi armeabi v7a
W XPrivacy( 9871): Hooking package com evozi deviceid
I Fabric  ( 9871): Initializing Crashlytics 2 2 2 37
E Fabric  ( 9871): Failed to retrieve settings from https:  settings crashlytics com spi v2 platforms android apps com evozi deviceid settings
E Fabric  ( 9871): java lang SecurityException: Permission denied (missing INTERNET permission )
E Fabric  ( 9871):  at java net InetAddress lookupHostByName(InetAddress java:451)
E Fabric  ( 9871):  at java net InetAddress getAllByNameImpl(InetAddress java:252)
E Fabric  ( 9871):  at java net InetAddress getAllByName(InetAddress java:215)
E Fabric  ( 9871):  at de robv android xposed XposedBridge invokeOriginalMethodNative(Native Method)
E Fabric  ( 9871):  at de robv android xposed XposedBridge handleHookedMethod(XposedBridge java:684)
E Fabric  ( 9871):  at java net InetAddress getAllByName(Unknown Source)
E Fabric  ( 9871):  at com android okhttp HostResolver 1 getAllByName(HostResolver java:29)
E Fabric  ( 9871):  at com android okhttp internal http RouteSelector resetNextInetSocketAddress(RouteSelector java:232)
E Fabric  ( 9871):  at com android okhttp internal http RouteSelector next(RouteSelector java:124)
E Fabric  ( 9871):  at com android okhttp internal http HttpEngine connect(HttpEngine java:272)
E Fabric  ( 9871):  at com android okhttp internal http HttpEngine sendRequest(HttpEngine java:211)
E Fabric  ( 9871):  at com android okhttp internal http HttpURLConnectionImpl execute(HttpURLConnectionImpl java:373)
E Fabric  ( 9871):  at com android okhttp internal http HttpURLConnectionImpl getResponse(HttpURLConnectionImpl java:323)
E Fabric  ( 9871):  at com android okhttp internal http HttpURLConnectionImpl getResponseCode(HttpURLConnectionImpl java:491)
E Fabric  ( 9871):  at com android okhttp internal http DelegatingHttpsURLConnection getResponseCode(DelegatingHttpsURLConnection java:105)
E Fabric  ( 9871):  at com android okhttp internal http HttpsURLConnectionImpl getResponseCode(HttpsURLConnectionImpl java:25)
E Fabric  ( 9871):  at agz b(Unknown Source)
E Fabric  ( 9871):  at aia a(Unknown Source)
E Fabric  ( 9871):  at ahy a(Unknown Source)
E Fabric  ( 9871):  at ahy a(Unknown Source)
E Fabric  ( 9871):  at aif c(Unknown Source)
E Fabric  ( 9871):  at adm b(Unknown Source)
E Fabric  ( 9871):  at adm z(Unknown Source)
E Fabric  ( 9871):  at adi a(Unknown Source)
E Fabric  ( 9871):  at adi a(Unknown Source)
E Fabric  ( 9871):  at afd call(Unknown Source)
E Fabric  ( 9871):  at java util concurrent FutureTask run(FutureTask java:237)
E Fabric  ( 9871):  at java util concurrent Executors RunnableAdapter call(Executors java:422)
E Fabric  ( 9871):  at java util concurrent FutureTask run(FutureTask java:237)
E Fabric  ( 9871):  at java util concurrent ThreadPoolExecutor runWorker(ThreadPoolExecutor java:1112)
E Fabric  ( 9871):  at java util concurrent ThreadPoolExecutor Worker run(ThreadPoolExecutor java:587)
E Fabric  ( 9871):  at java lang Thread run(Thread java:818)
E Fabric  ( 9871): Caused by: android system GaiException: android getaddrinfo failed: EAI NODATA (No address associated with hostname)
E Fabric  ( 9871):  at libcore io Posix android getaddrinfo(Native Method)
E Fabric  ( 9871):  at libcore io ForwardingOs android getaddrinfo(ForwardingOs java:55)
E Fabric  ( 9871):  at java net InetAddress lookupHostByName(InetAddress java:438)
E Fabric  ( 9871):      31 more
E Fabric  ( 9871): Caused by: android system ErrnoException: android getaddrinfo failed: EACCES (Permission denied)
E Fabric  ( 9871):      34 more
E Fabric  ( 9871): Unknown error while loading Crashlytics settings  Crashes will be cached until settings can be retrieved 
E Fabric  ( 9871): java lang NullPointerException: Attempt to invoke interface method  void com android okhttp internal http Transport writeRequestHeaders(com android okhttp Request)  on a null object reference
E Fabric  ( 9871):  at com android okhttp internal http HttpEngine readResponse(HttpEngine java:599)
E Fabric  ( 9871):  at com android okhttp internal http HttpURLConnectionImpl execute(HttpURLConnectionImpl java:379)
E Fabric  ( 9871):  at com android okhttp internal http HttpURLConnectionImpl getResponse(HttpURLConnectionImpl java:323)
E Fabric  ( 9871):  at com android okhttp internal http HttpURLConnectionImpl getHeaderField(HttpURLConnectionImpl java:152)
E Fabric  ( 9871):  at com android okhttp internal http DelegatingHttpsURLConnection getHeaderField(DelegatingHttpsURLConnection java:190)
E Fabric  ( 9871):  at com android okhttp internal http HttpsURLConnectionImpl getHeaderField(HttpsURLConnectionImpl java:25)
E Fabric  ( 9871):  at agz b(Unknown Source)
E Fabric  ( 9871):  at aia a(Unknown Source)
E Fabric  ( 9871):  at ahy a(Unknown Source)
E Fabric  ( 9871):  at ahy a(Unknown Source)
E Fabric  ( 9871):  at aif c(Unknown Source)
E Fabric  ( 9871):  at adm b(Unknown Source)
E Fabric  ( 9871):  at adm z(Unknown Source)
E Fabric  ( 9871):  at adi a(Unknown Source)
E Fabric  ( 9871):  at adi a(Unknown Source)
E Fabric  ( 9871):  at afd call(Unknown Source)
E Fabric  ( 9871):  at java util concurrent FutureTask run(FutureTask java:237)
E Fabric  ( 9871):  at java util concurrent Executors RunnableAdapter call(Executors java:422)
E Fabric  ( 9871):  at java util concurrent FutureTask run(FutureTask java:237)
E Fabric  ( 9871):  at java util concurrent ThreadPoolExecutor runWorker(ThreadPoolExecutor java:1112)
E Fabric  ( 9871):  at java util concurrent ThreadPoolExecutor Worker run(ThreadPoolExecutor java:587)
E Fabric  ( 9871):  at java lang Thread run(Thread java:818)
W Fabric  ( 9871): Received null settings  skipping initialization 
I System out( 9871): public void android telephony TelephonyManager addProtectedSmsAddress(java lang String) declared by class android telephony TelephonyManager
I System out( 9871): public void android telephony TelephonyManager answerRingingCall() declared by class android telephony TelephonyManager
I System out( 9871): public void android telephony TelephonyManager call(java lang String java lang String) declared by class android telephony TelephonyManager
I System out( 9871): public int android telephony TelephonyManager checkCarrierPrivilegesForPackage(java lang String) declared by class android telephony TelephonyManager
I System out( 9871): public void android telephony TelephonyManager dial(java lang String) declared by class android telephony TelephonyManager
I System out( 9871): public boolean android telephony TelephonyManager disableDataConnectivity() declared by class android telephony TelephonyManager
I System out( 9871): public void android telephony TelephonyManager disableLocationUpdates() declared by class android telephony TelephonyManager
I System out( 9871): public void android telephony TelephonyManager disableLocationUpdates(long) declared by class android telephony TelephonyManager
I System out( 9871): public boolean android telephony TelephonyManager enableDataConnectivity() declared by class android telephony TelephonyManager
I System out( 9871): public void android telephony TelephonyManager enableLocationUpdates() declared by class android telephony TelephonyManager
I System out( 9871): public void android telephony TelephonyManager enableLocationUpdates(long) declared by class android telephony TelephonyManager
I System out( 9871): public void android telephony TelephonyManager enableSimplifiedNetworkSettings(boolean) declared by class android telephony TelephonyManager
I System out( 9871): public void android telephony TelephonyManager enableSimplifiedNetworkSettingsForSubscriber(long boolean) declared by class android telephony TelephonyManager
I System out( 9871): public boolean android telephony TelephonyManager endCall() declared by class android telephony TelephonyManager
I System out( 9871): public boolean java lang Object equals(java lang Object) declared by class java lang Object
I System out( 9871): public static android telephony TelephonyManager android telephony TelephonyManager from(android content Context) declared by class android telephony TelephonyManager
I System out( 9871): public java util List android telephony TelephonyManager getAllCellInfo() declared by class android telephony TelephonyManager
I System out( 9871): public java util List android telephony TelephonyManager getAllCellInfo(long) declared by class android telephony TelephonyManager
I System out( 9871): public int android telephony TelephonyManager getCallState() declared by class android telephony TelephonyManager
I System out( 9871): public int android telephony TelephonyManager getCallState(long) declared by class android telephony TelephonyManager
I System out( 9871): public java util List android telephony TelephonyManager getCarrierPackageNamesForIntent(android content Intent) declared by class android telephony TelephonyManager
I System out( 9871): public int android telephony TelephonyManager getCdmaEriIconIndex() declared by class android telephony TelephonyManager
I System out( 9871): public int android telephony TelephonyManager getCdmaEriIconIndex(long) declared by class android telephony TelephonyManager
I System out( 9871): public int android telephony TelephonyManager getCdmaEriIconMode() declared by class android telephony TelephonyManager
I System out( 9871): public int android telephony TelephonyManager getCdmaEriIconMode(long) declared by class android telephony TelephonyManager
I System out( 9871): public java lang String android telephony TelephonyManager getCdmaEriText() declared by class android telephony TelephonyManager
I System out( 9871): public java lang String android telephony TelephonyManager getCdmaEriText(long) declared by class android telephony TelephonyManager
I System out( 9871): public java lang String android telephony TelephonyManager getCdmaMdn() declared by class android telephony TelephonyManager
I System out( 9871): public java lang String android telephony TelephonyManager getCdmaMdn(long) declared by class android telephony TelephonyManager
I System out( 9871): public java lang String android telephony TelephonyManager getCdmaMin() declared by class android telephony TelephonyManager
I System out( 9871): public java lang String android telephony TelephonyManager getCdmaMin(long) declared by class android telephony TelephonyManager
I System out( 9871): public android telephony CellLocation android telephony TelephonyManager getCellLocation() declared by class android telephony TelephonyManager
I System out( 9871): public final java lang Class java lang Object getClass() declared by class java lang Object
I System out( 9871): public java lang String android telephony TelephonyManager getCompleteVoiceMailNumber() declared by class android telephony TelephonyManager
I System out( 9871): public java lang String android telephony TelephonyManager getCompleteVoiceMailNumber(long) declared by class android telephony TelephonyManager
I System out( 9871): public int android telephony TelephonyManager getCurrentPhoneType() declared by class android telephony TelephonyManager
I System out( 9871): public int android telephony TelephonyManager getCurrentPhoneType(long) declared by class android telephony TelephonyManager
I System out( 9871): public int android telephony TelephonyManager getDataActivity() declared by class android telephony TelephonyManager
I System out( 9871): public boolean android telephony TelephonyManager getDataEnabled() declared by class android telephony TelephonyManager
I System out( 9871): public int android telephony TelephonyManager getDataNetworkType() declared by class android telephony TelephonyManager
I System out( 9871): public int android telephony TelephonyManager getDataNetworkType(long) declared by class android telephony TelephonyManager
I System out( 9871): public int android telephony TelephonyManager getDataState() declared by class android telephony TelephonyManager
I System out( 9871): public static android telephony TelephonyManager android telephony TelephonyManager getDefault() declared by class android telephony TelephonyManager
I System out( 9871): public static int android telephony TelephonyManager getDefaultSim() declared by class android telephony TelephonyManager
I System out( 9871): public java lang String android telephony TelephonyManager getDeviceId() declared by class android telephony TelephonyManager
I System out( 9871): public java lang String android telephony TelephonyManager getDeviceId(int) declared by class android telephony TelephonyManager
I System out( 9871): public java lang String android telephony TelephonyManager getDeviceSoftwareVersion() declared by class android telephony TelephonyManager
I System out( 9871): public java lang String android telephony TelephonyManager getGroupIdLevel1() declared by class android telephony TelephonyManager
I System out( 9871): public java lang String android telephony TelephonyManager getGroupIdLevel1(long) declared by class android telephony TelephonyManager
I System out( 9871): public java lang String android telephony TelephonyManager getIccOperatorNumeric(long) declared by class android telephony TelephonyManager
I System out( 9871): public java lang String android telephony TelephonyManager getIccSimChallengeResponse(int java lang String) declared by class android telephony TelephonyManager
I System out( 9871): public java lang String android telephony TelephonyManager getIccSimChallengeResponse(long int java lang String) declared by class android telephony TelephonyManager
I System out( 9871): public java lang String android telephony TelephonyManager getImei() declared by class android telephony TelephonyManager
I System out( 9871): public java lang String android telephony TelephonyManager getImei(int) declared by class android telephony TelephonyManager
I System out( 9871): public static int android telephony TelephonyManager getIntAtIndex(android content ContentResolver java lang String int) throws android provider Settings SettingNotFoundException declared by class android telephony TelephonyManager
I System out( 9871): public java lang String android telephony TelephonyManager getIsimChallengeResponse(java lang String) declared by class android telephony TelephonyManager
I System out( 9871): public java lang String android telephony TelephonyManager getIsimDomain() declared by class android telephony TelephonyManager
I System out( 9871): public java lang String android telephony TelephonyManager getIsimImpi() declared by class android telephony TelephonyManager
I System out( 9871): public  Ljava lang String  android telephony TelephonyManager getIsimImpu() declared by class android telephony TelephonyManager
I System out( 9871): public java lang String android telephony TelephonyManager getIsimIst() declared by class android telephony TelephonyManager
I System out( 9871): public  Ljava lang String  android telephony TelephonyManager getIsimPcscf() declared by class android telephony TelephonyManager
I System out( 9871): public java lang String android telephony TelephonyManager getLine1AlphaTag() declared by class android telephony TelephonyManager
I System out( 9871): public java lang String android telephony TelephonyManager getLine1AlphaTagForSubscriber(long) declared by class android telephony TelephonyManager
I System out( 9871): public java lang String android telephony TelephonyManager getLine1Number() declared by class android telephony TelephonyManager
I System out( 9871): public java lang String android telephony TelephonyManager getLine1NumberForSubscriber(long) declared by class android telephony TelephonyManager
I System out( 9871): public int android telephony TelephonyManager getLteOnCdmaMode() declared by class android telephony TelephonyManager
I System out( 9871): public int android telephony TelephonyManager getLteOnCdmaMode(long) declared by class android telephony TelephonyManager
I System out( 9871): public static int android telephony TelephonyManager getLteOnCdmaModeStatic() declared by class android telephony TelephonyManager
I System out( 9871): public static int android telephony TelephonyManager getLteOnCdmaModeStatic(int) declared by class android telephony TelephonyManager
I System out( 9871): public int android telephony TelephonyManager getLteOnGsmMode() declared by class android telephony TelephonyManager
I System out( 9871): public static int android telephony TelephonyManager getLteOnGsmModeStatic() declared by class android telephony TelephonyManager
I System out( 9871): public java lang String android telephony TelephonyManager getMmsUAProfUrl() declared by class android telephony TelephonyManager
I System out( 9871): public java lang String android telephony TelephonyManager getMmsUserAgent() declared by class android telephony TelephonyManager
I System out( 9871): public java lang String android telephony TelephonyManager getMsisdn() declared by class android telephony TelephonyManager
I System out( 9871): public java lang String android telephony TelephonyManager getMsisdn(long) declared by class android telephony TelephonyManager
I System out( 9871): public android telephony TelephonyManager MultiSimVariants android telephony TelephonyManager getMultiSimConfiguration() declared by class android telephony TelephonyManager
I System out( 9871): public java util List android telephony TelephonyManager getNeighboringCellInfo() declared by class android telephony TelephonyManager
I System out( 9871): public static int android telephony TelephonyManager getNetworkClass(int) declared by class android telephony TelephonyManager
I System out( 9871): public java lang String android telephony TelephonyManager getNetworkCountryIso() declared by class android telephony TelephonyManager
I System out( 9871): public java lang String android telephony TelephonyManager getNetworkCountryIso(long) declared by class android telephony TelephonyManager
I System out( 9871): public java lang String android telephony TelephonyManager getNetworkOperator() declared by class android telephony TelephonyManager
I System out( 9871): public java lang String android telephony TelephonyManager getNetworkOperator(long) declared by class android telephony TelephonyManager
I System out( 9871): public java lang String android telephony TelephonyManager getNetworkOperatorName() declared by class android telephony TelephonyManager
I System out( 9871): public java lang String android telephony TelephonyManager getNetworkOperatorName(long) declared by class android telephony TelephonyManager
I System out( 9871): public int android telephony TelephonyManager getNetworkType() declared by class android telephony TelephonyManager
I System out( 9871): public int android telephony TelephonyManager getNetworkType(long) declared by class android telephony TelephonyManager
I System out( 9871): public java lang String android telephony TelephonyManager getNetworkTypeName() declared by class android telephony TelephonyManager
I System out( 9871): public static java lang String android telephony TelephonyManager getNetworkTypeName(int) declared by class android telephony TelephonyManager
I System out( 9871): public  Ljava lang String  android telephony TelephonyManager getPcscfAddress(java lang String) declared by class android telephony TelephonyManager
I System out( 9871): public int android telephony TelephonyManager getPhoneCount() declared by class android telephony TelephonyManager
I System out( 9871): public int android telephony TelephonyManager getPhoneType() declared by class android telephony TelephonyManager
I System out( 9871): public static int android telephony TelephonyManager getPhoneType(int) declared by class android telephony TelephonyManager
I System out( 9871): public int android telephony TelephonyManager getPreferredNetworkType() declared by class android telephony TelephonyManager
I System out( 9871): public int android telephony TelephonyManager getSimCount() declared by class android telephony TelephonyManager
I System out( 9871): public java lang String android telephony TelephonyManager getSimCountryIso() declared by class android telephony TelephonyManager
I System out( 9871): public java lang String android telephony TelephonyManager getSimCountryIso(long) declared by class android telephony TelephonyManager
I System out( 9871): public java lang String android telephony TelephonyManager getSimOperator() declared by class android telephony TelephonyManager
I System out( 9871): public java lang String android telephony TelephonyManager getSimOperator(long) declared by class android telephony TelephonyManager
I System out( 9871): public java lang String android telephony TelephonyManager getSimOperatorName() declared by class android telephony TelephonyManager
I System out( 9871): public java lang String android telephony TelephonyManager getSimOperatorName(long) declared by class android telephony TelephonyManager
I System out( 9871): public java lang String android telephony TelephonyManager getSimSerialNumber() declared by class android telephony TelephonyManager
I System out( 9871): public java lang String android telephony TelephonyManager getSimSerialNumber(long) declared by class android telephony TelephonyManager
I System out( 9871): public int android telephony TelephonyManager getSimState() declared by class android telephony TelephonyManager
I System out( 9871): public int android telephony TelephonyManager getSimState(int) declared by class android telephony TelephonyManager
I System out( 9871): public boolean android telephony TelephonyManager getSimplifiedNetworkSettingsEnabled() declared by class android telephony TelephonyManager
I System out( 9871): public boolean android telephony TelephonyManager getSimplifiedNetworkSettingsEnabledForSubscriber(long) declared by class android telephony TelephonyManager
I System out( 9871): public java lang String android telephony TelephonyManager getSubscriberId() declared by class android telephony TelephonyManager
I System out( 9871): public java lang String android telephony TelephonyManager getSubscriberId(long) declared by class android telephony TelephonyManager
I System out( 9871): public static int android telephony TelephonyManager getTelephonyProperty(java lang String int int) declared by class android telephony TelephonyManager
I System out( 9871): public static java lang String android telephony TelephonyManager getTelephonyProperty(java lang String long java lang String) declared by class android telephony TelephonyManager
I System out( 9871): public java lang String android telephony TelephonyManager getVoiceMailAlphaTag() declared by class android telephony TelephonyManager
I System out( 9871): public java lang String android telephony TelephonyManager getVoiceMailAlphaTag(long) declared by class android telephony TelephonyManager
I System out( 9871): public java lang String android telephony TelephonyManager getVoiceMailNumber() declared by class android telephony TelephonyManager
I System out( 9871): public java lang String android telephony TelephonyManager getVoiceMailNumber(long) declared by class android telephony TelephonyManager
I System out( 9871): public int android telephony TelephonyManager getVoiceMessageCount() declared by class android telephony TelephonyManager
I System out( 9871): public int android telephony TelephonyManager getVoiceMessageCount(long) declared by class android telephony TelephonyManager
I System out( 9871): public int android telephony TelephonyManager getVoiceNetworkType() declared by class android telephony TelephonyManager
I System out( 9871): public int android telephony TelephonyManager getVoiceNetworkType(long) declared by class android telephony TelephonyManager
I System out( 9871): public boolean android telephony TelephonyManager handlePinMmi(java lang String) declared by class android telephony TelephonyManager
I System out( 9871): public int android telephony TelephonyManager hasCarrierPrivileges() declared by class android telephony TelephonyManager
I System out( 9871): public boolean android telephony TelephonyManager hasIccCard() declared by class android telephony TelephonyManager
I System out( 9871): public boolean android telephony TelephonyManager hasIccCard(int) declared by class android telephony TelephonyManager
I System out( 9871): public int java lang Object hashCode() declared by class java lang Object
I System out( 9871): public boolean android telephony TelephonyManager iccCloseLogicalChannel(int) declared by class android telephony TelephonyManager
I System out( 9871): public  B android telephony TelephonyManager iccExchangeSimIO(int int int int int java lang String) declared by class android telephony TelephonyManager
I System out( 9871): public android telephony IccOpenLogicalChannelResponse android telephony TelephonyManager iccOpenLogicalChannel(java lang String) declared by class android telephony TelephonyManager
I System out( 9871): public java lang String android telephony TelephonyManager iccTransmitApduBasicChannel(int int int int int java lang String) declared by class android telephony TelephonyManager
I System out( 9871): public java lang String android telephony TelephonyManager iccTransmitApduLogicalChannel(int int int int int int java lang String) declared by class android telephony TelephonyManager
I System out( 9871): public int android telephony TelephonyManager invokeOemRilRequestRaw(byte   byte  ) declared by class android telephony TelephonyManager
I System out( 9871): public boolean android telephony TelephonyManager isDataConnectivityPossible() declared by class android telephony TelephonyManager
I System out( 9871): public boolean android telephony TelephonyManager isDataPossibleForSubscription(long java lang String) declared by class android telephony TelephonyManager
I System out( 9871): public boolean android telephony TelephonyManager isIdle() declared by class android telephony TelephonyManager
I System out( 9871): public boolean android telephony TelephonyManager isMultiSimEnabled() declared by class android telephony TelephonyManager
I System out( 9871): public boolean android telephony TelephonyManager isNetworkRoaming() declared by class android telephony TelephonyManager
I System out( 9871): public boolean android telephony TelephonyManager isNetworkRoaming(long) declared by class android telephony TelephonyManager
I System out( 9871): public boolean android telephony TelephonyManager isOffhook() declared by class android telephony TelephonyManager
I System out( 9871): public boolean android telephony TelephonyManager isRadioOn() declared by class android telephony TelephonyManager
I System out( 9871): public boolean android telephony TelephonyManager isRinging() declared by class android telephony TelephonyManager
I System out( 9871): public boolean android telephony TelephonyManager isSimPinEnabled() declared by class android telephony TelephonyManager
I System out( 9871): public boolean android telephony TelephonyManager isSmsCapable() declared by class android telephony TelephonyManager
I System out( 9871): public boolean android telephony TelephonyManager isVoiceCapable() declared by class android telephony TelephonyManager
I System out( 9871): public void android telephony TelephonyManager listen(android telephony PhoneStateListener int) declared by class android telephony TelephonyManager
I System out( 9871): public boolean android telephony TelephonyManager needsOtaServiceProvisioning() declared by class android telephony TelephonyManager
I System out( 9871): public java lang String android telephony TelephonyManager networkTypeToString(int) declared by class android telephony TelephonyManager
I System out( 9871): public final native void java lang Object notify() declared by class java lang Object
I System out( 9871): public final native void java lang Object notifyAll() declared by class java lang Object
I System out( 9871): public java lang String android telephony TelephonyManager nvReadItem(int) declared by class android telephony TelephonyManager
I System out( 9871): public boolean android telephony TelephonyManager nvResetConfig(int) declared by class android telephony TelephonyManager
I System out( 9871): public boolean android telephony TelephonyManager nvWriteCdmaPrl(byte  ) declared by class android telephony TelephonyManager
I System out( 9871): public boolean android telephony TelephonyManager nvWriteItem(int java lang String) declared by class android telephony TelephonyManager
I System out( 9871): public static boolean android telephony TelephonyManager putIntAtIndex(android content ContentResolver java lang String int int) declared by class android telephony TelephonyManager
I System out( 9871): public boolean android telephony TelephonyManager revokeProtectedSmsAddress(java lang String) declared by class android telephony TelephonyManager
I System out( 9871): public java lang String android telephony TelephonyManager sendEnvelopeWithStatus(java lang String) declared by class android telephony TelephonyManager
I System out( 9871): public void android telephony TelephonyManager setCellInfoListRate(int) declared by class android telephony TelephonyManager
I System out( 9871): public void android telephony TelephonyManager setDataEnabled(boolean) declared by class android telephony TelephonyManager
I System out( 9871): public void android telephony TelephonyManager setDataEnabledUsingSubId(long boolean) declared by class android telephony TelephonyManager
I System out( 9871): public boolean android telephony TelephonyManager setGlobalPreferredNetworkType() declared by class android telephony TelephonyManager
I System out( 9871): public void android telephony TelephonyManager setImsRegistrationState(boolean) declared by class android telephony TelephonyManager
I System out( 9871): public void android telephony TelephonyManager setLine1NumberForDisplay(java lang String java lang String) declared by class android telephony TelephonyManager
I System out( 9871): public void android telephony TelephonyManager setLine1NumberForDisplayForSubscriber(long java lang String java lang String) declared by class android telephony TelephonyManager
I System out( 9871): public boolean android telephony TelephonyManager setOperatorBrandOverride(java lang String) declared by class android telephony TelephonyManager
I System out( 9871): public boolean android telephony TelephonyManager setPreferredNetworkType(int) </t>
  </si>
  <si>
    <t>ConnectSDK-Connect-SDK-Android-255</t>
  </si>
  <si>
    <t>java.lang.NullPointerException: GoogleApiClient must not be null</t>
  </si>
  <si>
    <t xml:space="preserve">Just got this exception on crashlytics:
java lang NullPointerException: GoogleApiClient must not be null
       at com google android gms common internal zzx zzb()
       at com google android gms common api zza zza ()
       at com google android gms internal zzjr ()
       at com google android gms cast Cast zza ()
       at com google android gms cast Cast CastApi zza 3 ()
       at com google android gms cast Cast CastApi zza launchApplication()
       at com connectsdk service CastService 12 1 onResult(CastService java:723)
       at com connectsdk service CastService 12 1 onResult(CastService java:695)
       at com google android gms common api AbstractPendingResult CallbackHandler deliverResultCallback()
       at com google android gms common api AbstractPendingResult CallbackHandler handleMessage()
       at android os Handler dispatchMessage(Handler java:102)
       at android os Looper loop(Looper java:136)
       at android app ActivityThread main(ActivityThread java:5118)
       at java lang reflect Method invokeNative(Method java)
       at java lang reflect Method invoke(Method java:515)
       at com android internal os ZygoteInit MethodAndArgsCaller run(ZygoteInit java:792)
       at com android internal os ZygoteInit main(ZygoteInit java:608)
       at dalvik system NativeStart main(NativeStart java)
On my version of ConnectSDK this is the line 723
  Cast CastApi launchApplication(mApiClient  webAppId  options) setResultCallback(
                                        new ApplicationConnectionResultCallback(launchWebAppListener))  
</t>
  </si>
  <si>
    <t>felixb-callmeter-70</t>
  </si>
  <si>
    <t>Call Meter 3G crashes on editing a rule</t>
  </si>
  <si>
    <t xml:space="preserve">I try to edit any rule  and CM 3G crashes when I scroll down the screen (most probably just after  Exclude hours  appears) 
This happens on a Nexus 4 with Android 5 1 1 installed  This is the first time I have installed CM  so I do not know how it behaved in previous versions of Android 
</t>
  </si>
  <si>
    <t>asterics-AsTeRICS-84</t>
  </si>
  <si>
    <t>KeyCapture (jnativehook) crashes when having several keyboard layouts installed</t>
  </si>
  <si>
    <t xml:space="preserve">The ARE crashes when a model is started that uses the KeyCapture plugin and the user has installed several keyboard layouts 
Environment: Windows 8 1
Keyboard layouts: ger  eng
The crash happens when switching a model with  modelSwitcher  or restarting the model with start stop on the ARE gui 
</t>
  </si>
  <si>
    <t>facebook-stetho-198</t>
  </si>
  <si>
    <t>ListView doesn't work correctly in Elements tab</t>
  </si>
  <si>
    <t xml:space="preserve">ListView is causing some problems for us  Using a ViewGroup OnHierarchyChangedListener is not sufficient  We re not getting events for when child Views are reordered due to scrolling  so they appear to be in the wrong order even though they have the right data  
At other times we re getting notified of children being added in the wrong order (or something)  so when we raise the childInserted event  the previousChild ends up being an element that isn t mapped yet and then we crash:
  java lang NullPointerException
      at com facebook stetho inspector protocol module DOM ProviderListener onChildInserted(DOM java:324)
      at com facebook stetho inspector elements android AndroidDOMProvider onChildInserted(AndroidDOMProvider java:183)
      at com facebook stetho inspector elements android ViewGroupDescriptor ElementContext onChildViewAdded(ViewGroupDescriptor java:245)
      at android view ViewGroup onViewAdded(ViewGroup java:3685)
      at android view ViewGroup addViewInner(ViewGroup java:3821)
      at android view ViewGroup addViewInLayout(ViewGroup java:3747)
      at android widget ListView setupChild(ListView java:1853)
      at android widget ListView makeAndAddView(ListView java:1806)
      at android widget ListView fillDown(ListView java:697)
      at android widget ListView fillGap(ListView java:661)
</t>
  </si>
  <si>
    <t>ludovicroland-carousel-android-4</t>
  </si>
  <si>
    <t>Is this library supported on Jellybean 4.1.2?</t>
  </si>
  <si>
    <t xml:space="preserve">Hi  is this library supported on Jellybean 4 1 2 
I tested this on another device which running jellybean samsung GT I9100 and it crash when slide 
Logcat error : 
05 21 12:13:33 685 21621 21621 com appandus cex E InputEventReceiver  Exception dispatching input event 
05 21 12:13:33 685 21621 21621 com appandus cex E MessageQueue JNI  Exception in MessageQueue callback: handleReceiveCallback
05 21 12:13:33 700 21621 21621 com appandus cex E MessageQueue JNI  java lang NullPointerException
at fr rolandl carousel CarouselSpinner pointToPosition(CarouselSpinner java:269)
at fr rolandl carousel Carousel onDown(Carousel java:782)
at android view GestureDetector onTouchEvent(GestureDetector java:1340)
at fr rolandl carousel Carousel onTouchEvent(Carousel java:965)
at android view View dispatchTouchEvent(View java:7350)
at android view ViewGroup dispatchTransformedTouchEvent(ViewGroup java:2412)
at android view ViewGroup dispatchTouchEvent(ViewGroup java:2147)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com android internal policy impl PhoneWindow DecorView superDispatchTouchEvent(PhoneWindow java:2134)
at com android internal policy impl PhoneWindow superDispatchTouchEvent(PhoneWindow java:1471)
at android app Activity dispatchTouchEvent(Activity java:2487)
at android support v7 internal view WindowCallbackWrapper dispatchTouchEvent(WindowCallbackWrapper java:59)
at android support v7 internal view WindowCallbackWrapper dispatchTouchEvent(WindowCallbackWrapper java:59)
at com android internal policy impl PhoneWindow DecorView dispatchTouchEvent(PhoneWindow java:2082)
at android view View dispatchPointerEvent(View java:7535)
at android view ViewRootImpl deliverPointerEvent(ViewRootImpl java:3415)
at android view ViewRootImpl deliverInputEvent(ViewRootImpl java:3347)
at android view ViewRootImpl doProcessInputEvents(ViewRootImpl java:4456)
at android view ViewRootImpl enqueueInputEvent(ViewRootImpl java:4434)
at android view ViewRootImpl WindowInputEventReceiver onInputEvent(ViewRootImpl java:4538)
at android view InputEventReceiver dispatchInputEvent(InputEventReceiver java:171)
at android os MessageQueue nativePollOnce(Native Method)
at android os MessageQueue next(MessageQueue java:125)
at android os Looper loop(Looper java:124)
at android app ActivityThread main(ActivityThread java:4921)
at java lang reflect Method invokeNative(Native Method)
at java lang reflect Method invoke(Method java:511)
at com android internal os ZygoteInit MethodAndArgsCaller run(ZygoteInit java:1038)
at com android internal os ZygoteInit main(ZygoteInit java:805)
at dalvik system NativeStart main(Native Method)
05 21 12:13:33 720 21621 21621 com appandus cex E AndroidRuntime  FATAL EXCEPTION: main
java lang NullPointerException
at fr rolandl carousel CarouselSpinner pointToPosition(CarouselSpinner java:269)
at fr rolandl carousel Carousel onDown(Carousel java:782)
at android view GestureDetector onTouchEvent(GestureDetector java:1340)
at fr rolandl carousel Carousel onTouchEvent(Carousel java:965)
at android view View dispatchTouchEvent(View java:7350)
at android view ViewGroup dispatchTransformedTouchEvent(ViewGroup java:2412)
at android view ViewGroup dispatchTouchEvent(ViewGroup java:2147)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android view ViewGroup dispatchTransformedTouchEvent(ViewGroup java:2418)
at android view ViewGroup dispatchTouchEvent(ViewGroup java:2119)
at com android internal policy impl PhoneWindow DecorView superDispatchTouchEvent(PhoneWindow java:2134)
at com android internal policy impl PhoneWindow superDispatchTouchEvent(PhoneWindow java:1471)
at android app Activity dispatchTouchEvent(Activity java:2487)
at android support v7 internal view WindowCallbackWrapper dispatchTouchEvent(WindowCallbackWrapper java:59)
at android support v7 internal view WindowCallbackWrapper dispatchTouchEvent(WindowCallbackWrapper java:59)
at com android internal policy impl PhoneWindow DecorView dispatchTouchEvent(PhoneWindow java:2082)
at android view View dispatchPointerEvent(View java:7535)
at android view ViewRootImpl deliverPointerEvent(ViewRootImpl java:3415)
at android view ViewRootImpl deliverInputEvent(ViewRootImpl java:3347)
at android view ViewRootImpl doProcessInputEvents(ViewRootImpl java:4456)
at android view ViewRootImpl enqueueInputEvent(ViewRootImpl java:4434)
at android view ViewRootImpl WindowInputEventReceiver onInputEvent(ViewRootImpl java:4538)
at android view InputEventReceiver dispatchInputEvent(InputEventReceiver java:171)
at android os MessageQueue nativePollOnce(Native Method)
at android os MessageQueue next(MessageQueue java:125)
at android os Looper loop(Looper java:124)
at android app ActivityThread main(ActivityThread java:4921)
at java lang reflect Method invokeNative(Native Method)
at java lang reflect Method invoke(Method java:511)
at com android internal os ZygoteInit MethodAndArgsCaller run(ZygoteInit java:1038)
at com android internal os ZygoteInit main(ZygoteInit java:805)
at dalvik system NativeStart main(Native Method)
</t>
  </si>
  <si>
    <t>mehtank-androminion-281</t>
  </si>
  <si>
    <t>secret Chambers Reaktion crashes game</t>
  </si>
  <si>
    <t xml:space="preserve"> From  GoogleCodeExporter on May 31  2015 1:59 
What steps will reproduce the problem 
1  start game with secret chamber and attack cards
2  buy secret chamber
3  use secret chamber as reaction 
4  2 cards Werke drawn
5  applications crashes
What is the expected output  What do you see instead 
Choose 2 cards for returning
What version of the product are you using  On what operating system 
5
Please provide any additional information below 
Original issue reported on code google com by  jhonsb    gmail com  on 25 May 2015 at 9:39
 Copied from original issue: tkdennis androminion 674 
</t>
  </si>
  <si>
    <t>mehtank-androminion-230</t>
  </si>
  <si>
    <t>application crashes in a very long game</t>
  </si>
  <si>
    <t xml:space="preserve"> From  GoogleCodeExporter on May 31  2015 1:54 
What steps will reproduce the problem 
My last random game used Courtyard  Chapel  Scrying Pool  Menagerie  Lookout  
Nomad Camp  Remake  Monument  City  and Margrave   I have played this set 
several times  and I can make the game crash most times by prolonging the game  
 I use City and Monument to get my points without buying anything  and I use 
Margrave and several Scrying Pools every turn to hinder my opponents   I can 
easily get over 100 victory tokens  but the game tends to get slower and 
eventually crash   This card set is still my  last played  set so I can 
reproduce the problem again if that will help with diagnosis 
What is the expected output  What do you see instead 
I expect the game to continue without slowing down or crashing 
What version of the product are you using  On what operating system 
2 02  Android 2 3 3  HTC Evo 4g
Original issue reported on code google com by  paulj    gmail com  on 26 Mar 2012 at 8:03
 Copied from original issue: tkdennis androminion 313 
</t>
  </si>
  <si>
    <t>dimtion-Shaarlier-10</t>
  </si>
  <si>
    <t>The diablog box is crashing</t>
  </si>
  <si>
    <t xml:space="preserve">Since the last version  when the dialog box shows up  it crashes few seconds later 
Not browser related  it crashes in the shaarlier app itself 
So  I can t  shaare  something 
</t>
  </si>
  <si>
    <t>PaNaVTEC-Clean-Contacts-8</t>
  </si>
  <si>
    <t>presenter.getView() can be null</t>
  </si>
  <si>
    <t xml:space="preserve">The Presenter getView() can be null  Consider the case that the interactor result returns after call detachView  The view is null and the presenter is crashing  to solve it  return a NullObjectPattern of the View in the Presenter BaseClass to avoid undesired crashes  
If you want to save the results for later present  you need to handle this by your self in the presenter
</t>
  </si>
  <si>
    <t>khalid-hussain-HisnulMuslim-35</t>
  </si>
  <si>
    <t>App crashes when scrolling long list</t>
  </si>
  <si>
    <t xml:space="preserve">For some reason  the app crashes when scrolling a long list  
  Tested on  
1  Nexus 7 2013 running 5 1 1 
2  Samsung Galaxy Note 2 N7100  running Cyanogenmod unofficial 5 1 1 
  Possible definition of error from logcat  
06 05 00:48:26 116  16045 16045   E AndroidRuntime  FATAL EXCEPTION: main
    Process: com khalid hisnulmuslim  PID: 16045
    java lang IndexOutOfBoundsException
            at android view GLES20Canvas drawText(GLES20Canvas java:888)
            at com bluejamesbond text Styled drawUniformRun(Styled java:156)
            at com bluejamesbond text Styled drawDirectionalRun(Styled java:319)
            at com bluejamesbond text Styled drawText(Styled java:383)
            at com bluejamesbond text SpannableDocumentLayout onDraw(SpannableDocumentLayout java:512)
            at com bluejamesbond text IDocumentLayout draw(IDocumentLayout java:143)
            at com bluejamesbond text DocumentView drawLayout(DocumentView java:184)
            at com bluejamesbond text DocumentView onDraw(DocumentView java:620)
            at android view View draw(View java:15239)
            at android widget FrameLayout draw(FrameLayout java:598)
            at android widget ScrollView draw(ScrollView java:1689)
            at android view View updateDisplayListIfDirty(View java:14175)
            at android view View getDisplayList(View java:14197)
            at android view View draw(View java:14967)
            at android view ViewGroup drawChild(ViewGroup java:3406)
            at android view ViewGroup dispatchDraw(ViewGroup java:3199)
            at android view View updateDisplayListIfDirty(View java:14170)
            at android view View getDisplayList(View java:14197)
            at android view View draw(View java:14967)
            at android view ViewGroup drawChild(ViewGroup java:3406)
            at android view ViewGroup dispatchDraw(ViewGroup java:3199)
            at android view View draw(View java:15242)
            at android widget FrameLayout draw(FrameLayout java:598)
            at android view View updateDisplayListIfDirty(View java:14175)
            at android view View getDisplayList(View java:14197)
            at android view View draw(View java:14967)
            at android view ViewGroup drawChild(ViewGroup java:3406)
            at android view ViewGroup dispatchDraw(ViewGroup java:3199)
            at android view View updateDisplayListIfDirty(View java:14170)
            at android view View getDisplayList(View java:14197)
            at android view View draw(View java:14967)
            at android view ViewGroup drawChild(ViewGroup java:3406)
            at android widget ListView drawChild(ListView java:3396)
            at android view ViewGroup dispatchDraw(ViewGroup java:3199)
            at android widget AbsListView dispatchDraw(AbsListView java:2605)
            at android widget ListView dispatchDraw(ListView java:3391)
            at android view View draw(View java:15242)
            at android widget AbsListView draw(AbsListView java:4116)
            at android view View updateDisplayListIfDirty(View java:14175)
            at android view View getDisplayList(View java:14197)
            at android view ViewGroup recreateChildDisplayList(ViewGroup java:3390)
            at android view ViewGroup dispatchGetDisplayList(ViewGroup java:3369)
            at android view View updateDisplayListIfDirty(View java:14135)
            at android view View getDisplayList(View java:14197)
            at android view ViewGroup recreateChildDisplayList(ViewGroup java:3390)
            at android view ViewGroup dispatchGetDisplayList(ViewGroup java:3369)
            at android view View updateDisplayListIfDirty(View java:14135)
            at android view View getDisplayList(View java:14197)
            at android view ViewGroup recreateChildDisplayList(ViewGroup java:3390)
            at android view ViewGroup dispatchGetDisplayList(ViewGroup java:3369)
            at android view View updateDisplayListIfDirty(View java:14135)
            at android view View getDisplayList(View java:14197)
            at android view ViewGroup recreateChildDisplayList(ViewGroup java:3390)
            at android view ViewGroup dispatchGetDisplayList(ViewGroup java:3369)
            at android view View updateDisplayListIfDirty(View java:14135)
            at android view View getDisplayList(View java:14197)
            at android view ViewGroup recreateChildDisplayList(ViewGroup java:3390)
            at android view ViewGroup dispatchGetDisplayList(ViewGroup java:3369)
            at android view View updateDisplayListIfDirty(View java:14135)
            at android view View getDisplayList(View java:14197)
            at android view ViewGroup recreateChildDisplayList(ViewGroup java:3390)
            at android view ViewGroup dispatchGetDisplayList(ViewGroup java:3369)
            at android view View updateDisplayListIfDirty(View java:14135)
            at android view View getDisplayList(View java:14197)
            at android view Threade
  Some ideas  
1  Could be due to Android L 5 1 1 
2  Might be related to TextJustify library 
  Steps to reproduce  
1  Scroll to a section with a number of dua to necessitate scrolling  e g  Category 16: Supplications at the start of Salah 
2  Scroll down and it should crash  If it doesn t  try scrolling back up and repeat until you are met with the crash 
</t>
  </si>
  <si>
    <t>bparmentier-OpenBikeSharing-21</t>
  </si>
  <si>
    <t>Cannot compile after fork</t>
  </si>
  <si>
    <t xml:space="preserve">I forked the repository and tried to compile the app  After a few failed attempts because of the missing android support  I was finally able to compile it  but when I ran it in the emulator it crashed  
Seems like it s trying to resume an app on first run  which is obviously not possible 
Here are the adb logs 
06 05 06:27:29 366    2011 2011 be brunoparmentier openbikesharing app E AndroidRuntime  FATAL EXCEPTION: main
    Process: be brunoparmentier openbikesharing app  PID: 2011
    java lang RuntimeException: Unable to resume activity  be brunoparmentier openbikesharing app be brunoparmentier openbikesharing app activities StationsListActivity : java lang NullPointerException
            at android app ActivityThread performResumeActivity(ActivityThread java:2774)
            at android app ActivityThread handleResumeActivity(ActivityThread java:2803)
            at android app ActivityThread handleLaunchActivity(ActivityThread java:2238)
            at android app ActivityThread access 800(ActivityThread java:135)
            at android app ActivityThread H handleMessage(ActivityThread java:1196)
            at android os Handler dispatchMessage(Handler java:102)
            at android os Looper loop(Looper java:136)
            at android app ActivityThread main(ActivityThread java:5001)
            at java lang reflect Method invokeNative(Native Method)
            at java lang reflect Method invoke(Method java:515)
            at com android internal os ZygoteInit MethodAndArgsCaller run(ZygoteInit java:785)
            at com android internal os ZygoteInit main(ZygoteInit java:601)
            at dalvik system NativeStart main(Native Method)
     Caused by: java lang NullPointerException
            at be brunoparmentier openbikesharing app activities StationsListActivity onResume(StationsListActivity java:179)
            at android app Instrumentation callActivityOnResume(Instrumentation java:1192)
            at android app Activity performResume(Activity java:5310)
            at android app ActivityThread performResumeActivity(ActivityThread java:2764)
            at android app ActivityThread handleResumeActivity(ActivityThread java:2803)
            at android app ActivityThread handleLaunchActivity(ActivityThread java:2238)
            at android app ActivityThread access 800(ActivityThread java:135)
            at android app ActivityThread H handleMessage(ActivityThread java:1196)
            at android os Handler dispatchMessage(Handler java:102)
            at android os Looper loop(Looper java:136)
            at android app ActivityThread main(ActivityThread java:5001)
            at java lang reflect Method invokeNative(Native Method)
            at java lang reflect Method invoke(Method java:515)
            at com android internal os ZygoteInit MethodAndArgsCaller run(ZygoteInit java:785)
            at com android internal os ZygoteInit main(ZygoteInit java:601)
            at dalvik system NativeStart main(Native Method)
</t>
  </si>
  <si>
    <t>mattford-scoutlink-6</t>
  </si>
  <si>
    <t>New channel gets added to UI twice</t>
  </si>
  <si>
    <t xml:space="preserve">Sometimes when joining a channel from the Channel List  the channel is added to the UI twice  when selecting the  Close  option for the first tab  the operation is successful  the second time the app crashes
</t>
  </si>
  <si>
    <t>clintonhealthaccess-chailmis-android-222</t>
  </si>
  <si>
    <t>Crash in fragment.java</t>
  </si>
  <si>
    <t xml:space="preserve">https:  crashlytics com twkla android apps org clintonhealthaccess lmis app issues 556c4d3bf505b5ccf000783c sessions 55707a3f026b00017fe0ee78fa41cc73
Fragment java line 132
android support v4 app FragmentState writeToParce
Saw at least 8 instances of this crash in build 508  We need to track down and find why this is crashing 
</t>
  </si>
  <si>
    <t>rovo89-XposedInstaller-288</t>
  </si>
  <si>
    <t>Crash when scrolling modules list</t>
  </si>
  <si>
    <t xml:space="preserve">Hello  Xposed Installer crashes on my phone when I m trying scroll down list of installed modules  
And everytime  it happens if next visible item in list would be  Remember IME  (but I encountered with same crash with another module  deleting of them helped me both times)  And I think this is not caused by one of my modules (I tried to disable them all and this didn t help)  
Which additional info you need  I have this log:
06 09 02:32:20 045 E InputEventReceiver(16700): Exception dispatching input event  
06 09 02:32:20 053 E AndroidRuntime(16700): FATAL EXCEPTION: main 
06 09 02:32:20 053 E AndroidRuntime(16700): Process: de robv android xposed installer  PID: 16700 
06 09 02:32:20 053 E AndroidRuntime(16700): java lang NullPointerException 
06 09 02:32:20 053 E AndroidRuntime(16700): at de robv android xposed installer ModulesFragment ModuleAdapter getView(ModulesFragment java:294) 
06 09 02:32:20 053 E AndroidRuntime(16700): at android widget AbsListView obtainView(AbsListView java:2373) 
06 09 02:32:20 053 E AndroidRuntime(16700): at android widget ListView makeAndAddView(ListView java:1812) 
06 09 02:32:20 053 E AndroidRuntime(16700): at android widget ListView fillDown(ListView java:698) 
06 09 02:32:20 053 E AndroidRuntime(16700): at android widget ListView fillGap(ListView java:662) 
06 09 02:32:20 053 E AndroidRuntime(16700): at android widget AbsListView trackMotionScroll(AbsListView java:5772) 
06 09 02:32:20 053 E AndroidRuntime(16700): at android widget AbsListView scrollIfNeeded(AbsListView java:3478) 
06 09 02:32:20 053 E AndroidRuntime(16700): at android widget AbsListView onTouchMove(AbsListView java:3949) 
06 09 02:32:20 053 E AndroidRuntime(16700): at android widget AbsListView onTouchEvent(AbsListView java:3728) 
06 09 02:32:20 053 E AndroidRuntime(16700): at android view View dispatchTouchEvent(View java:7880) 
06 09 02:32:20 053 E AndroidRuntime(16700): at android view ViewGroup dispatchTransformedTouchEvent(ViewGroup java:2316) 
06 09 02:32:20 053 E AndroidRuntime(16700): at android view ViewGroup dispatchTouchEvent(ViewGroup java:2013) 
06 09 02:32:20 053 E AndroidRuntime(16700): at android view ViewGroup dispatchTransformedTouchEvent(ViewGroup java:2322) 
06 09 02:32:20 053 E AndroidRuntime(16700): at android view ViewGroup dispatchTouchEvent(ViewGroup java:2027) 
06 09 02:32:20 053 E AndroidRuntime(16700): at android view ViewGroup dispatchTransformedTouchEvent(ViewGroup java:2322) 
06 09 02:32:20 053 E AndroidRuntime(16700): at android view ViewGroup dispatchTouchEvent(ViewGroup java:2027) 
06 09 02:32:20 053 E AndroidRuntime(16700): at android view ViewGroup dispatchTransformedTouchEvent(ViewGroup java:2322) 
06 09 02:32:20 053 E AndroidRuntime(16700): at android view ViewGroup dispatchTouchEvent(ViewGroup java:2027) 
06 09 02:32:20 053 E AndroidRuntime(16700): at android view ViewGroup dispatchTransformedTouchEvent(ViewGroup java:2322) 
06 09 02:32:20 053 E AndroidRuntime(16700): at android view ViewGroup dispatchTouchEvent(ViewGroup java:2027) 
06 09 02:32:20 053 E AndroidRuntime(16700): at android view ViewGroup dispatchTransformedTouchEvent(ViewGroup java:2322) 
06 09 02:32:20 053 E AndroidRuntime(16700): at android view ViewGroup dispatchTouchEvent(ViewGroup java:2027) 
06 09 02:32:20 053 E AndroidRuntime(16700): at com android internal policy impl PhoneWindow DecorView superDispatchTouchEvent(PhoneWindow java:2120) 
06 09 02:32:20 053 E AndroidRuntime(16700): at com android internal policy impl PhoneWindow superDispatchTouchEvent(PhoneWindow java:1552) 
06 09 02:32:20 053 E AndroidRuntime(16700): at android app Activity dispatchTouchEvent(Activity java:2499) 
06 09 02:32:20 053 E AndroidRuntime(16700): at com android internal policy impl PhoneWindow DecorView dispatchTouchEvent(PhoneWindow java:2068) 
06 09 02:32:20 053 E AndroidRuntime(16700): at android view View dispatchPointerEvent(View java:8071) 
06 09 02:32:20 053 E AndroidRuntime(16700): at android view ViewRootImpl ViewPostImeInputStage processPointerEvent(ViewRootImpl java:4392) 
06 09 02:32:20 053 E AndroidRuntime(16700): at android view ViewRootImpl ViewPostImeInputStage onProcess(ViewRootImpl java:4263) 
06 09 02:32:20 053 E AndroidRuntime(16700): at android view ViewRootImpl InputStage deliver(ViewRootImpl java:3809) 
06 09 02:32:20 053 E AndroidRuntime(16700): at android view ViewRootImpl InputStage onDeliverToNext(ViewRootImpl java:3859) 
06 09 02:32:20 053 E AndroidRuntime(16700): at android view ViewRootImpl InputStage forward(ViewRootImpl java:3828) 
06 09 02:32:20 053 E AndroidRuntime(16700): at android view ViewRootImpl AsyncInputStage forward(ViewRootImpl java:3935) 
06 09 02:32:20 053 E AndroidRuntime(16700): at android view ViewRootImpl InputStage apply(ViewRootImpl java:3836) 
06 09 02:32:20 053 E AndroidRuntime(16700): at android view ViewRootImpl AsyncInputStage apply(ViewRootImpl java:3992) 
06 09 02:32:20 053 E AndroidRuntime(16700): at android view ViewRootImpl InputStage deliver(ViewRootImpl java:3809) 
06 09 02:32:20 053 E AndroidRuntime(16700): at android view ViewRootImpl InputStage onDeliverToNext(ViewRootImpl java:3859) 
06 09 02:32:20 053 E AndroidRuntime(16700): at android view ViewRootImpl InputStage forward(ViewRootImpl java:3828) 
06 09 02:32:20 053 E AndroidRuntime(16700): at android view ViewRootImpl InputStage apply(ViewRootImpl java:3836) 
06 09 02:32:20 053 E AndroidRuntime(16700): at android view ViewRootImpl InputStage deliver(ViewRootImpl java:3809) 
06 09 02:32:20 053 E AndroidRuntime(16700): at android view ViewRootImpl deliverInputEvent(ViewRootImpl java:6124) 
06 09 02:32:20 053 E AndroidRuntime(16700): at android view ViewRootImpl doProcessInputEvents(ViewRootImpl java:6104) 
06 09 02:32:20 053 E AndroidRuntime(16700): at android view ViewRootImpl enqueueInputEvent(ViewRootImpl java:6058) 
06 09 02:32:20 053 E AndroidRuntime(16700): at android view ViewRootImpl WindowInputEventReceiver onInputEvent(ViewRootImpl java:6254) 
06 09 02:32:20 053 E AndroidRuntime(16700): at android view InputEventReceiver dispatchInputEvent(InputEventReceiver java:185) 
06 09 02:32:20 053 E AndroidRuntime(16700): at android view InputEventReceiver nativeConsumeBatchedInputEvents(Native Method) 
06 09 02:32:20 053 E AndroidRuntime(16700): at android view InputEventReceiver consumeBatchedInputEvents(InputEventReceiver java:176) 
06 09 02:32:20 053 E AndroidRuntime(16700): at android view ViewRootImpl doConsumeBatchedInput(ViewRootImpl java:6216) 
06 09 02:32:20 053 E AndroidRuntime(16700): at android view ViewRootImpl ConsumeBatchedInputRunnable run(ViewRootImpl java:6276) 
06 09 02:32:20 053 E AndroidRuntime(16700): at android view Choreographer CallbackRecord run(Choreographer java:816) 
06 09 02:32:20 053 E AndroidRuntime(16700): at android view Choreographer doCallbacks(Choreographer java:619) 
06 09 02:32:20 053 E AndroidRuntime(16700): at android view Choreographer doFrame(Choreographer java:586) 
06 09 02:32:20 053 E AndroidRuntime(16700): at android view Choreographer FrameDisplayEv
PS Can you tell me how to hide this log under spoiler  Thanks 
</t>
  </si>
  <si>
    <t>wlky-AnkiDroid-Wear-1</t>
  </si>
  <si>
    <t>Crash when tapping on welcome screen</t>
  </si>
  <si>
    <t xml:space="preserve">When tapped on the welcome screen with  Hello  message app will instantly crash 
  ankiwear (https:  cloud githubusercontent com assets 12797174 8034689 f786d580 0de1 11e5 8d73 94baeb9cbbc2 jpg)
</t>
  </si>
  <si>
    <t>dimagi-commcare-android-328</t>
  </si>
  <si>
    <t>Make SessionUnavailableException a checked exception</t>
  </si>
  <si>
    <t xml:space="preserve">We don t want CommCare to crash when a session expires  so this PR changes SessionUnavailableException from a Runtime to checked exception  forcing us to handle its invocation 
It should make session expiration much more robust  or at least lay the ground work  since in many cases I m unsure how to handle the checked exception and just default to throwing a runtime exception 
Overboard response to this ticket  which keeps crashing in different ways because SessionUnavailableException is a runtime exception
</t>
  </si>
  <si>
    <t>DigitalCampus-oppia-mobile-android-449</t>
  </si>
  <si>
    <t>Fail more cleanly when course files have been deleted from the sd card</t>
  </si>
  <si>
    <t xml:space="preserve">Currently the app crashed completely if the course files have been removed
</t>
  </si>
  <si>
    <t>DigitalCampus-oppia-mobile-android-445</t>
  </si>
  <si>
    <t>Quiz feedback - app can crash on screen rotation</t>
  </si>
  <si>
    <t xml:space="preserve">If the question feedback popup is showing and the phone is rotated  then the app can crash as popup no longer linked to the activity  Perhaps embed the feedback in the fragment rather than as a popup   maybe easier to solve this way 
</t>
  </si>
  <si>
    <t>CellularPrivacy-Android-IMSI-Catcher-Detector-464</t>
  </si>
  <si>
    <t>WIN DEATH when using Advanced User Settings</t>
  </si>
  <si>
    <t xml:space="preserve"> banjaxbanjo  our app currently   crashes   (and restarts if set in  Preferences ) when pressing  Detection Strings  and  Delete SMS  in  Prefeferences ADVANCED USER SETTINGS   Please have a look at the cause  it worked perfectly before  Let me know if you need more than my  filtered logcat (https:  defuse ca b 0OA64sU0)  Thank you 
</t>
  </si>
  <si>
    <t>AltBeacon-android-beacon-library-212</t>
  </si>
  <si>
    <t>NullPointerException in BeaconService.matchingRegions()</t>
  </si>
  <si>
    <t xml:space="preserve">Hello 
I ve got an issue which doesn t seem to depend on Android version or AltBeaconLib version  Anyways  it is currently confirmed to occur on some of Kyocera and Samsung devices running Android 4 4 and Android 5 0 and AltBeaconLib 2 1 4  Here s a stack trace:
Caused by: java lang NullPointerException: Attempt to invoke virtual method  boolean org altbeacon beacon Region matchesBeacon(org altbeacon beacon Beacon)  on a null object reference
at org altbeacon beacon service BeaconService matchingRegions(BeaconService java:462)
at org altbeacon beacon service BeaconService processBeaconFromScan(BeaconService java:399)
at org altbeacon beacon service BeaconService access 400(BeaconService java:66)
at org altbeacon beacon service BeaconService ScanProcessor doInBackground(BeaconService java:439)
at org altbeacon beacon service BeaconService ScanProcessor doInBackground(BeaconService java:422)
at android os AsyncTask 2 call(AsyncTask java:288)
at java util concurrent FutureTask run(FutureTask java:237)
    3 more
So far it happens from time to time without any visible regularity  so i can t reproduce it on purpose  but it happens quite often  Here s some code details:
    Start ranging 
 mRegion   new Region(UUID randomUUID() toString()  null  null  null)  
 mBeaconManager startRangingBeaconsInRegion(mRegion)  
 (UUID is changed when a program is restarted)
After some time (could be minutes  could be hours) a program crashes with the above exception 
Also it s worth to say that scan is searching for iBeacons  and seams to happen when there are a lot of Bluetooth devices nearby  
This exception happens inside next loop: 
    java
           Iterator Region  regionIterator   regions iterator() 
            while (regionIterator hasNext())  
                Region region   regionIterator next() 
                if (region matchesBeacon(beacon))  
                    matched add(region) 
                  else  
                    LogManager d(TAG   This region ( s) does not match beacon:  s   region  beacon) 
Of course a quickfix would be to just check if a Region is null and continue the loop if it is  Or is there any purpose for  null  key in  rangedRegionState  and  monitoredRegionState  maps 
Thank you 
</t>
  </si>
  <si>
    <t>mozilla-webmaker-android-2176</t>
  </si>
  <si>
    <t xml:space="preserve">The display on the Symphony Smartphone is not good </t>
  </si>
  <si>
    <t xml:space="preserve">  Android 4 4 
  Symphony W69Q    this is the phone we used with 60 participants from Dnet Study  
  (Yes  I m bringing this device to you in Whistler ) 
  Page does not fit in the screen 
  icons don t show properly 
  app crashed a few times  
  screenshot 2015 06 12 16 03 56 (https:  cloud githubusercontent com assets 8261945 8128522 be9eedfa 1121 11e5 82ed 8ad81b63c928 png)
  screenshot 2015 06 12 16 14 25 (https:  cloud githubusercontent com assets 8261945 8128523 c12bf824 1121 11e5 8719 48dd9155b895 png)
</t>
  </si>
  <si>
    <t>bumptech-glide-497</t>
  </si>
  <si>
    <t>IllegalStateException in getSupportRequestManagerFragment</t>
  </si>
  <si>
    <t xml:space="preserve">Since I ve migrated more Glide calls to use fragment instead of application context I now receive a new crash report :
    ruby
java lang RuntimeException: Unable to destroy activity xxx ui MediasListActivity : java lang IllegalStateException: Activity has been destroyed
       at android app ActivityThread performDestroyActivity(ActivityThread java:4199)
       at android app ActivityThread handleDestroyActivity(ActivityThread java:4217)
       at android app ActivityThread access 1500(ActivityThread java:177)
       at android app ActivityThread H handleMessage(ActivityThread java:1502)
       at android os Handler dispatchMessage(Handler java:102)
       at android os Looper loop(Looper java:145)
       at android app ActivityThread main(ActivityThread java:5942)
       at java lang reflect Method invoke(Method java)
       at java lang reflect Method invoke(Method java:372)
       at com android internal os ZygoteInit MethodAndArgsCaller run(ZygoteInit java:1400)
       at com android internal os ZygoteInit main(ZygoteInit java:1195)
       at de robv android xposed XposedBridge main(XposedBridge java:117)
Caused by: java lang IllegalStateException: Activity has been destroyed
       at android support v4 app FragmentManagerImpl enqueueAction(FragmentManager java:1399)
       at android support v4 app BackStackRecord commitInternal(BackStackRecord java:637)
       at android support v4 app BackStackRecord commitAllowingStateLoss(BackStackRecord java:620)
       at com bumptech glide manager RequestManagerRetriever getSupportRequestManagerFragment(RequestManagerRetriever java:187)
       at com bumptech glide manager SupportRequestManagerFragment onAttach(SupportRequestManagerFragment java:116)
       at android support v4 app FragmentManagerImpl moveToState(FragmentManager java:907)
       at android support v4 app FragmentManagerImpl moveToState(FragmentManager java:1138)
       at android support v4 app BackStackRecord run(BackStackRecord java:740)
       at android support v4 app FragmentManagerImpl execPendingActions(FragmentManager java:1501)
       at android support v4 app FragmentManagerImpl dispatchDestroy(FragmentManager java:1965)
       at android support v4 app FragmentManagerImpl moveToState(FragmentManager java:1088)
       at android support v4 app FragmentManagerImpl moveToState(FragmentManager java:1138)
       at android support v4 app FragmentManagerImpl moveToState 2563266(FragmentManager java:1120)
       at android support v4 app FragmentManagerImpl dispatchDestroy(FragmentManager java:1966)
       at android support v4 app FragmentActivity onDestroy(FragmentActivity java:316)
       at android support v7 app AppCompatActivity onDestroy(AppCompatActivity java:158)
       at xxxx ui BaseActivity onDestroy(BaseActivity java:224)
       at android app Activity performDestroy(Activity java:6519)
       at android app Instrumentation callActivityOnDestroy(Instrumentation java:1154)
       at android app ActivityThread performDestroyActivity(ActivityThread java:4177)
       at android app ActivityThread handleDestroyActivity(ActivityThread java:4217)
       at android app ActivityThread access 1500(ActivityThread java:177)
       at android app ActivityThread H handleMessage(ActivityThread java:1502)
       at android os Handler dispatchMessage(Handler java:102)
       at android os Looper loop(Looper java:145)
       at android app ActivityThread main(ActivityThread java:5942)
       at java lang reflect Method invoke(Method java)
       at java lang reflect Method invoke(Method java:372)
       at com android internal os ZygoteInit MethodAndArgsCaller run(ZygoteInit java:1400)
       at com android internal os ZygoteInit main(ZygoteInit java:1195)
       at de robv android xposed XposedBridge main(XposedBridge java:117)
</t>
  </si>
  <si>
    <t>calvinaquino-LNReader-Android-193</t>
  </si>
  <si>
    <t>imageUrls handling</t>
  </si>
  <si>
    <t xml:space="preserve">These problems are most likely connected to  186 
The app crashes on clicking the cover image thumbnail of some novels 
Tried inserting try catch on CommonParser getImageFilePageFromImageUrl function:
public static String getImageFilePageFromImageUrl(String imageUrl)  
        String pageUrl      
           http:  www baka tsuki org project images 4 4a Bakemonogatari Up png
           http:  www baka tsuki org project images thumb 4 4a Bakemonogatari Up png 200px Bakemonogatari Up png
           http:  www baka tsuki org project index php title File:Bakemonogatari Up png
        String   tokens   imageUrl split(   ) 
        try  
            if (imageUrl contains(  thumb  ))  
                   from thumbnail
                pageUrl   tokens 8  
              else  
                   from full page
                pageUrl   tokens 7  
          catch(Exception e) 
            Log e(TAG   ERROR OCCURRED with given URL string:    imageUrl toString()) 
            Log e(TAG   ERROR invoked:    e) 
        pageUrl   UIHelper getBaseUrl(LNReaderApplication getInstance())     project index php title File:    pageUrl 
        return pageUrl 
And got this:
06 14 12:19:49 531    1616 1616 com erakk lnreader E class com erakk lnreader parser CommonParser  ERROR OCCURRED with given URL string: http:  www baka tsuki org project thumb php f DAL v01 cover jpg width 300
06 14 12:19:49 543    1616 1616 com erakk lnreader E class com erakk lnreader parser CommonParser  ERROR invoked:
    java lang ArrayIndexOutOfBoundsException: length 5  index 7
            at com erakk lnreader parser CommonParser getImageFilePageFromImageUrl(CommonParser java:300)
            at com erakk lnreader activity DisplayLightNovelDetailsActivity handleCoverClick(DisplayLightNovelDetailsActivity java:626)
            at com erakk lnreader activity DisplayLightNovelDetailsActivity access 600(DisplayLightNovelDetailsActivity java:53)
            at com erakk lnreader activity DisplayLightNovelDetailsActivity 4 onClick(DisplayLightNovelDetailsActivity java:570)
            at android view View performClick(View java:4222)
            at android view View PerformClick run(View java:17620)
            at android os Handler handleCallback(Handler java:800)
            at android os Handler dispatchMessage(Handler java:100)
            at android os Looper loop(Looper java:194)
            at android app ActivityThread main(ActivityThread java:5391)
            at java lang reflect Method invokeNative(Native Method)
            at java lang reflect Method invoke(Method java:525)
            at com android internal os ZygoteInit MethodAndArgsCaller run(ZygoteInit java:833)
            at com android internal os ZygoteInit main(ZygoteInit java:600)
            at dalvik system NativeStart main(Native Method)
The culprit: 
http:  www baka tsuki org project thumb php f DAL v01 cover jpg width 300
But thanks to my improper try catch  these errors followed which should have been fine since these were due to my try catch:
06 14 12:19:52 861    1616 4499 com erakk lnreader E class com erakk lnreader task LoadImageTask  Error when getting image: HTTP error fetching URL
    org jsoup HttpStatusException: HTTP error fetching URL  Status 400  URL http:  www baka tsuki org project index php title File:
            at org jsoup helper HttpConnection Response execute(HttpConnection java:546)
            at org jsoup helper HttpConnection Response execute(HttpConnection java:521)
            at org jsoup helper HttpConnection execute(HttpConnection java:225)
            at com erakk lnreader dao NovelsDao connect(NovelsDao java:1486)
            at com erakk lnreader dao NovelsDao getImageModelFromInternet(NovelsDao java:1225)
            at com erakk lnreader dao NovelsDao getImageModel(NovelsDao java:1197)
            at com erakk lnreader task LoadImageTask doInBackground(LoadImageTask java:53)
            at com erakk lnreader task LoadImageTask doInBackground(LoadImageTask java:16)
            at android os AsyncTask 2 call(AsyncTask java:287)
            at java util concurrent FutureTask run(FutureTask java:234)
            at java util concurrent ThreadPoolExecutor runWorker(ThreadPoolExecutor java:1080)
            at java util concurrent ThreadPoolExecutor Worker run(ThreadPoolExecutor java:573)
            at java lang Thread run(Thread java:838)
06 14 12:19:52 890    1616 1616 com erakk lnreader E class com erakk lnreader activity DisplayImageActivity  Cannot load image 
    org jsoup HttpStatusException: HTTP error fetching URL  Status 400  URL http:  www baka tsuki org project index php title File:
            at org jsoup helper HttpConnection Response execute(HttpConnection java:546)
            at org jsoup helper HttpConnection Response execute(HttpConnection java:521)
            at org jsoup helper HttpConnection execute(HttpConnection java:225)
            at com erakk lnreader dao NovelsDao connect(NovelsDao java:1486)
            at com erakk lnreader dao NovelsDao getImageModelFromInternet(NovelsDao java:1225)
            at com erakk lnreader dao NovelsDao getImageModel(NovelsDao java:1197)
            at com erakk lnreader task LoadImageTask doInBackground(LoadImageTask java:53)
            at com erakk lnreader task LoadImageTask doInBackground(LoadImageTask java:16)
            at android os AsyncTask 2 call(AsyncTask java:287)
            at java util concurrent FutureTask run(FutureTask java:234)
            at java util concurrent ThreadPoolExecutor runWorker(ThreadPoolExecutor java:1080)
            at java util concurrent ThreadPoolExecutor Worker run(ThreadPoolExecutor java:573)
            at java lang Thread run(Thread java:838)
06 14 12:20:33 382    1616 1616 com erakk lnreader E BitmapFactory  Unable to decode stream: java io FileNotFoundException:  mnt sdcard  0bakafiles project: open failed: EISDIR (Is a directory)
It resulted on getting Bitmap Empty message whenever the novel was opened 
As I said  this should have been fine and all  but I can t get it back to the way it was(NOTE: restoring from a backup should not be the solution here) 
I looked into pages db and this is what happened:
  pages db browsed (https:  cloud githubusercontent com assets 5836354 8147439 ecbf2066 129c 11e5 976b cd25f9357348 png)
Tried deleting the novel and re downloaded it s info but it didn t work  Tried all the  refresh es  on the app but it didn t work either  I tried using  Download All Info   and it made things worse  rendering all updated novels missing it s cover image as shown in the image above  If nothing worked  then when is the cover image url updated properly 
</t>
  </si>
  <si>
    <t>h6ah4i-android-advancedrecyclerview-54</t>
  </si>
  <si>
    <t xml:space="preserve"> ClassCastException, MyPlatformChildViewHolder cannot be MyPlatformGroupViewHolder</t>
  </si>
  <si>
    <t xml:space="preserve">i click my child view  then carsh  I don t know what happen   Does anyone know it   thank you 
06 14 10:51:43 827  27849 27849 com ypwl p2phelper E InputEventReceiver  Exception dispatching input event 
06 14 10:51:43 828  27849 27849 com ypwl p2phelper E MessageQueue JNI  Exception in MessageQueue callback: handleReceiveCallback
06 14 10:51:43 843  27849 27849 com ypwl p2phelper E MessageQueue JNI  java lang ClassCastException: com ypwl p2phelper adapter TestMyPlatformDataAdapter MyPlatformChildViewHolder cannot be cast to com ypwl p2phelper adapter TestMyPlatformDataAdapter MyPlatformGroupViewHolder
            at com ypwl p2phelper adapter TestMyPlatformDataAdapter onGetGroupItemSwipeReactionType(TestMyPlatformDataAdapter java:35)
            at com h6ah4i android widget advrecyclerview expandable ExpandableRecyclerViewWrapperAdapter onGetSwipeReactionType(ExpandableRecyclerViewWrapperAdapter java:509)
            at com h6ah4i android widget advrecyclerview swipeable SwipeableItemWrapperAdapter getSwipeReactionType(SwipeableItemWrapperAdapter java:185)
            at com h6ah4i android widget advrecyclerview swipeable RecyclerViewSwipeManager handleActionDown(RecyclerViewSwipeManager java:460)
            at com h6ah4i android widget advrecyclerview swipeable RecyclerViewSwipeManager onInterceptTouchEvent(RecyclerViewSwipeManager java:389)
            at com h6ah4i android widget advrecyclerview swipeable RecyclerViewSwipeManager 1 onInterceptTouchEvent(RecyclerViewSwipeManager java:257)
            at android support v7 widget RecyclerView dispatchOnItemTouchIntercept(RecyclerView java:1773)
            at android support v7 widget RecyclerView onInterceptTouchEvent(RecyclerView java:1814)
            at android view ViewGroup dispatchTouchEvent(ViewGroup java:1960)
            at android view ViewGroup dispatchTransformedTouchEvent(ViewGroup java:2405)
            at android view ViewGroup dispatchTouchEvent(ViewGroup java:2049)
            at android view ViewGroup dispatchTransformedTouchEvent(ViewGroup java:2405)
            at android view ViewGroup dispatchTouchEvent(ViewGroup java:2049)
            at android view ViewGroup dispatchTransformedTouchEvent(ViewGroup java:2405)
            at android view ViewGroup dispatchTouchEvent(ViewGroup java:2049)
            at android view ViewGroup dispatchTransformedTouchEvent(ViewGroup java:2405)
            at android view ViewGroup dispatchTouchEvent(ViewGroup java:2049)
            at android view ViewGroup dispatchTransformedTouchEvent(ViewGroup java:2405)
            at android view ViewGroup dispatchTouchEvent(ViewGroup java:2049)
            at android view ViewGroup dispatchTransformedTouchEvent(ViewGroup java:2405)
            at android view ViewGroup dispatchTouchEvent(ViewGroup java:2049)
            at com android internal policy impl PhoneWindow DecorView superDispatchTouchEvent(PhoneWindow java:2369)
            at com android internal policy impl PhoneWindow superDispatchTouchEvent(PhoneWindow java:1719)
            at android app Activity dispatchTouchEvent(Activity java:2742)
            at android support v7 internal view WindowCallbackWrapper dispatchTouchEvent(WindowCallbackWrapper java:59)
            at android support v7 internal view WindowCallbackWrapper dispatchTouchEvent(WindowCallbackWrapper java:59)
            at com android internal policy impl PhoneWindow DecorView dispatchTouchEvent(PhoneWindow java:2330)
            at android view View dispatchPointerEvent(View java:8666)
            at android view ViewRootImpl ViewPostImeInputStage processPointerEvent(ViewRootImpl java:4123)
            at android view ViewRootImpl ViewPostImeInputStage onProcess(ViewRootImpl java:3989)
            at android view ViewRootImpl InputStage deliver(ViewRootImpl java:3544)
            at android view ViewRootImpl InputStage onDeliverToNext(ViewRootImpl java:3597)
            at android view ViewRootImpl InputStage forward(ViewRootImpl java:3563)
            at android view ViewRootImpl AsyncInputStage forward(ViewRootImpl java:3680)
            at android view ViewRootImpl InputStage apply(ViewRootImpl java:3571)
            at android view ViewRootImpl AsyncInputStage apply(ViewRootImpl java:3737)
            at android view ViewRootImpl InputStage deliver(ViewRootImpl java:3544)
            at android view ViewRootImpl InputStage onDeliverToNext(ViewRootImpl java:3597)
            at android view ViewRootImpl InputStage forward(ViewRootImpl java:3563)
            at android view ViewRootImpl InputStage apply(ViewRootImpl java:3571)
            at android view ViewRootImpl InputStage deliver(ViewRootImpl java:3544)
            at android view ViewRootImpl deliverInputEvent(ViewRootImpl java:5807)
            at android view ViewRootImpl doProcessInputEvents(ViewRootImpl java:5781)
            at android view ViewRootImpl enqueueInputEvent(ViewRootImpl java:5752)
            at android view Vi
06 14 10:51:43 843  27849 27849 com ypwl p2phelper D AndroidRuntime  Shutting down VM
              beginning of crash
06 14 10:51:43 899  27849 27849 com ypwl p2phelper E AndroidRuntime  FATAL EXCEPTION: main
    Process: com ypwl p2phelper  PID: 27849
    java lang ClassCastException: com ypwl p2phelper adapter TestMyPlatformDataAdapter MyPlatformChildViewHolder cannot be cast to com ypwl p2phelper adapter TestMyPlatformDataAdapter MyPlatformGroupViewHolder
            at com ypwl p2phelper adapter TestMyPlatformDataAdapter onGetGroupItemSwipeReactionType(TestMyPlatformDataAdapter java:35)
            at com h6ah4i android widget advrecyclerview expandable ExpandableRecyclerViewWrapperAdapter onGetSwipeReactionType(ExpandableRecyclerViewWrapperAdapter java:509)
            at com h6ah4i android widget advrecyclerview swipeable SwipeableItemWrapperAdapter getSwipeReactionType(SwipeableItemWrapperAdapter java:185)
            at com h6ah4i android widget advrecyclerview swipeable RecyclerViewSwipeManager handleActionDown(RecyclerViewSwipeManager java:460)
            at com h6ah4i android widget advrecyclerview swipeable RecyclerViewSwipeManager onInterceptTouchEvent(RecyclerViewSwipeManager java:389)
            at com h6ah4i android widget advrecyclerview swipeable RecyclerViewSwipeManager 1 onInterceptTouchEvent(RecyclerViewSwipeManager java:257)
            at android support v7 widget RecyclerView dispatchOnItemTouchIntercept(RecyclerView java:1773)
            at android support v7 widget RecyclerView onInterceptTouchEvent(RecyclerView java:1814)
            at android view ViewGroup dispatchTouchEvent(ViewGroup java:1960)
            at android view ViewGroup dispatchTransformedTouchEvent(ViewGroup java:2405)
            at android view ViewGroup dispatchTouchEvent(ViewGroup java:2049)
            at android view ViewGroup dispatchTransformedTouchEvent(ViewGroup java:2405)
            at android view ViewGroup dispatchTouchEvent(ViewGroup java:2049)
            at android view ViewGroup dispatchTransformedTouchEvent(ViewGroup java:2405)
            at android view ViewGroup dispatchTouchEvent(ViewGroup java:2049)
            at android view ViewGroup dispatchTransformedTouchEvent(ViewGroup java:2405)
            at android view ViewGroup dispatchTouchEvent(ViewGroup java:2049)
            at android view ViewGroup dispatchTransformedTouchEvent(ViewGroup java:2405)
            at android view ViewGroup dispatchTouchEvent(ViewGroup java:2049)
            at android view ViewGroup dispatchTransformedTouchEvent(ViewGroup java:2405)
            at android view ViewGroup dispatchTouchEvent(ViewGroup java:2049)
            at com android internal policy impl PhoneWindow DecorView superDispatchTouchEvent(PhoneWindow java:2369)
            at com android internal policy impl PhoneWindow superDispatchTouchEvent(PhoneWindow java:1719)
            at android app Activity dispatchTouchEvent(Activity java:2742)
            at android support v7 internal view WindowCallbackWrapper dispatchTouchEvent(WindowCallbackWrapper java:59)
            at android support v7 internal view WindowCallbackWrapper dispatchTouchEvent(WindowCallbackWrapper java:59)
            at com android internal policy impl PhoneWindow DecorView dispatchTouchEvent(PhoneWindow java:2330)
            at android view View dispatchPointerEvent(View java:8666)
            at android view ViewRootImpl ViewPostImeInputStage processPointerEvent(ViewRootImpl java:4123)
            at android view ViewRootImpl ViewPostImeInputStage onProcess(ViewRootImpl java:3989)
            at android view ViewRootImpl InputStage deliver(ViewRootImpl java:3544)
            at android view ViewRootImpl InputStage onDeliverToNext(ViewRootImpl java:3597)
            at android view ViewRootImpl InputStage forward(ViewRootImpl java:3563)
            at android view ViewRootImpl AsyncInputStage forward(ViewRootImpl java:3680)
            at android view ViewRootImpl InputStage apply(ViewRootImpl java:3571)
            at android view ViewRootImpl AsyncInputStage apply(ViewRootImpl java:3737)
            at android view ViewRootImpl InputStage deliver(ViewRootImpl java:3544)
            at android view ViewRootImpl InputStage onDeliverToNext(ViewRootImpl java:3597)
            at android view ViewRootImpl InputStage forward(ViewRootImpl java:3563)
            at android view ViewRootImpl InputStage apply(ViewRootImpl java:3571)
            at android view ViewRootImpl InputStage deliver(ViewRootImpl java:3544)
            at android view ViewRootImpl deliverInputEvent(ViewRootImpl java:5807)
            at android view ViewRootImpl doProcessInputEvents(ViewRootImpl java:5781)
            at android view ViewRootImpl e
              beginning of system
</t>
  </si>
  <si>
    <t>cgeo-cgeo-5034</t>
  </si>
  <si>
    <t>Regular crashes on Sony Xperia devices on Android 5+</t>
  </si>
  <si>
    <t xml:space="preserve">There seem to be many users (judged by the amount of support mails and bad GooglePlay ratings) having stability problems with c:geo after upgrading their devices to Android 5 0 x 
This seems to be an issue which is maybe independend of  4921 
For some of them the problem seems solved after a factory reset  but a lot others keep having problems  I have the chance to get a Sony Xperia Z3 tomorrow and will try to see if I can reproduce the general instability 
 rsudev What was that device you are using  Did you see any regular crashes of c:geo on it 
</t>
  </si>
  <si>
    <t>cgeo-cgeo-5036</t>
  </si>
  <si>
    <t>Crash on Google Map</t>
  </si>
  <si>
    <t xml:space="preserve">This is another round of crashes which might be contrary to initial believe something new (the only older report is from an NB version)
java lang NoSuchMethodError: org apache commons lang3 reflect MethodUtils invokeMethod
at cgeo geocaching maps google v1 GoogleMapView displayZoomControls(GoogleMapView java:83)
at cgeo geocaching maps CGeoMap onCreate(CGeoMap java:503)
at cgeo geocaching maps google v1 GoogleMapActivity onCreate(GoogleMapActivity java:37)
at android app Activity performCreate(Activity java:5248)
at android app Instrumentation callActivityOnCreate(Instrumentation java:1087)
at android app ActivityThread performLaunchActivity(ActivityThread java:2162)
at android app ActivityThread handleLaunchActivity(ActivityThread java:2247)
at android app ActivityThread access 800(ActivityThread java:141)
at android app ActivityThread H handleMessage(ActivityThread java:1210)
at android os Handler dispatchMessage(Handler java:102)
at android os Looper loop(Looper java:136)
at android app ActivityThread main(ActivityThread java:5050)
at java lang reflect Method invokeNative(Native Method)
at java lang reflect Method invoke(Method java:515)
at com android internal os ZygoteInit MethodAndArgsCaller run(ZygoteInit java:806)
at com android internal os ZygoteInit main(ZygoteInit java:622)
at dalvik system NativeStart main(Native Method)
</t>
  </si>
  <si>
    <t>mthli-Ninja-6</t>
  </si>
  <si>
    <t>I have some browser issues (Download Crash issues)</t>
  </si>
  <si>
    <t xml:space="preserve">I took a look into  mthlifan  s issue about download error 
When any download starts in the background  the application crashes  Sometimes while downloading a file too  it happens
I do not understand where the problem is 
Here is the log file for the exact problem   
android view WindowManager BadTokenException: Unable to add window    token null is not for an application
 tat android view ViewRootImpl setView(ViewRootImpl java:566)
 tat android view WindowManagerGlobal addView(WindowManagerGlobal java:282)
 tat android view WindowManagerImpl addView(WindowManagerImpl java:85)
 tat android app Dialog show(Dialog java:298)
 tat io github mthli ninja Browser NinjaDownloadListener onDownloadStart(NinjaDownloadListener java:35)
 tat com android webview chromium WebViewContentsClientAdapter onDownloadStart(WebViewContentsClientAdapter java:876)
 tat com android org chromium android webview AwContentsClientCallbackHelper MyHandler handleMessage(AwContentsClientCallbackHelper java:112)
 tat android os Handler dispatchMessage(Handler java:102)
 tat android os Looper loop(Looper java:135)
 tat android app ActivityThread main(ActivityThread java:5347)
 tat java lang reflect Method invoke(Native Method)
 tat java lang reflect Method invoke(Method java:372)
 tat com android internal os ZygoteInit MethodAndArgsCaller run(ZygoteInit java:904)
 tat com android internal os ZygoteInit main(ZygoteInit java:699)
</t>
  </si>
  <si>
    <t>syncthing-syncthing-android-410</t>
  </si>
  <si>
    <t>Array Index out of Bounds when opening device list (index=-2147483648)</t>
  </si>
  <si>
    <t xml:space="preserve">I just installed the app and added two devices   both are synced now  However once I open the app and click on the devices tab  the app crashes 
Please note that I removed the ID and address in the log 
D dalvikvm(  927): GC FOR ALLOC freed 3583K  23  free 48932K 63200K  paused 89ms  total 89ms
I dalvikvm( 2674): Could not find method android content res TypedArray getChangingConfigurations  referenced from method android support v7 internal widget TintTypedArray getChangingConfigurations
W dalvikvm( 2674): VFY: unable to resolve virtual method 338: Landroid content res TypedArray  getChangingConfigurations ()I
D dalvikvm( 2674): VFY: replacing opcode 0x6e at 0x0002
I dalvikvm( 2674): Could not find method android content res TypedArray getType  referenced from method android support v7 internal widget TintTypedArray getType
W dalvikvm( 2674): VFY: unable to resolve virtual method 360: Landroid content res TypedArray  getType (I)I
D dalvikvm( 2674): VFY: replacing opcode 0x6e at 0x0002
D dalvikvm( 2674): GC CONCURRENT freed 317K  10  free 19494K 21464K  paused 2ms 2ms  total 19ms
W ActionBarDrawerToggle( 2674): DrawerToggle may not show up because NavigationIcon is not visible  You may need to call actionbar setDisplayHomeAsUpEnabled(true) 
I Adreno EGL( 2674):  qeglDrvAPI eglInitialize:320 : EGL 1 4 QUALCOMM Build: I0404c4692afb8623f95c43aeb6d5e13ed4b30ddbDate: 11 06 13
D OpenGLRenderer( 2674): Enabling debug mode 0
D dalvikvm( 2674): GC FOR ALLOC freed 75K  8  free 19797K 21464K  paused 38ms  total 38ms
I ActivityManager(  927): Displayed com nutomic syncthingandroid  activities MainActivity:  353ms
V GetTask ( 2674): Calling Rest API at https:  127 0 0 1:8384 rest system connections
D audio hw primary(  231): select devices: out snd device(2: speaker) in snd device(0: )
V GetTask ( 2674): API call result:   connections :   removed  :  address :  removed :47718   at : 2015 06 17T18:49:06 657018612Z   clientVersion : v0 11 9   inBytesTotal :530310  outBytesTotal :267399427    removed  :  address :  removed :22000   at : 2015 06 17T18:49:06 656095435Z   clientVersion : v0 11 9   inBytesTotal :203567  outBytesTotal :202479    total :  address :    at : 2015 06 17T18:49:06 657673091Z   clientVersion :    inBytesTotal :733877  outBytesTotal :267601906  
V GetTask ( 2674): Calling Rest API at https:  127 0 0 1:8384 rest system connections
D AndroidRuntime( 2674): Shutting down VM
W dalvikvm( 2674): threadid 1: thread exiting with uncaught exception (group 0x41533ba8)
E AndroidRuntime( 2674): FATAL EXCEPTION: main
E AndroidRuntime( 2674): Process: com nutomic syncthingandroid  PID: 2674
E AndroidRuntime( 2674): java lang ArrayIndexOutOfBoundsException: length 5  index  2147483648
E AndroidRuntime( 2674):    at com nutomic syncthingandroid syncthing RestApi readableTransferRate(RestApi java:579)
E AndroidRuntime( 2674):    at com nutomic syncthingandroid util DevicesAdapter getView(DevicesAdapter java:60)
E AndroidRuntime( 2674):    at android widget AbsListView obtainView(AbsListView java:2255)
E AndroidRuntime( 2674):    at android widget ListView makeAndAddView(ListView java:1790)
E AndroidRuntime( 2674):    at android widget ListView fillDown(ListView java:691)
E AndroidRuntime( 2674):    at android widget ListView fillFromTop(ListView java:752)
E AndroidRuntime( 2674):    at android widget ListView layoutChildren(ListView java:1616)
E AndroidRuntime( 2674):    at android widget AbsListView onLayout(AbsListView java:2087)
E AndroidRuntime( 2674):    at android view View layout(View java:14817)
E AndroidRuntime( 2674):    at android view ViewGroup layout(ViewGroup java:4631)
E AndroidRuntime( 2674):    at android widget FrameLayout layoutChildren(FrameLayout java:453)
E AndroidRuntime( 2674):    at android widget FrameLayout onLayout(FrameLayout java:388)
E AndroidRuntime( 2674):    at android view View layout(View java:14817)
E AndroidRuntime( 2674):    at android view ViewGroup layout(ViewGroup java:4631)
E AndroidRuntime( 2674):    at android widget FrameLayout layoutChildren(FrameLayout java:453)
E AndroidRuntime( 2674):    at android widget FrameLayout onLayout(FrameLayout java:388)
E AndroidRuntime( 2674):    at android view View layout(View java:14817)
E AndroidRuntime( 2674):    at android view ViewGroup layout(ViewGroup java:4631)
E AndroidRuntime( 2674):    at android support v4 view ViewPager onLayout(ViewPager java:1626)
E AndroidRuntime( 2674):    at android view View layout(View java:14817)
E AndroidRuntime( 2674):    at android view ViewGroup layout(ViewGroup java:4631)
E AndroidRuntime( 2674):    at android support v4 widget DrawerLayout onLayout(DrawerLayout java:907)
E AndroidRuntime( 2674):    at android view View layout(View java:14817)
E AndroidRuntime( 2674):    at android view ViewGroup layout(ViewGroup java:4631)
E AndroidRuntime( 2674):    at android widget FrameLayout layoutChildren(FrameLayout java:453)
E AndroidRuntime( 2674):    at android widget FrameLayout onLayout(FrameLayout java:388)
E AndroidRuntime( 2674):    at android view View layout(View java:14817)
E AndroidRuntime( 2674):    at android view ViewGroup layout(ViewGroup java:4631)
E AndroidRuntime( 2674):    at android support v7 internal widget ActionBarOverlayLayout onLayout(ActionBarOverlayLayout java:493)
E AndroidRuntime( 2674):    at android view View layout(View java:14817)
E AndroidRuntime( 2674):    at android view ViewGroup layout(ViewGroup java:4631)
E AndroidRuntime( 2674):    at android widget FrameLayout layoutChildren(FrameLayout java:453)
E AndroidRuntime( 2674):    at android widget FrameLayout onLayout(FrameLayout java:388)
E AndroidRuntime( 2674):    at android view View layout(View java:14817)
E AndroidRuntime( 2674):    at android view ViewGroup layout(ViewGroup java:4631)
E AndroidRuntime( 2674):    at android widget LinearLayout setChildFrame(LinearLayout java:1671)
E AndroidRuntime( 2674):    at android widget LinearLayout layoutVertical(LinearLayout java:1525)
E AndroidRuntime( 2674):    at android widget LinearLayout onLayout(LinearLayout java:1434)
E AndroidRuntime( 2674):    at android view View layout(View java:14817)
E AndroidRuntime( 2674):    at android view ViewGroup layout(ViewGroup java:4631)
E AndroidRuntime( 2674):    at android widget FrameLayout layoutChildren(FrameLayout java:453)
E AndroidRuntime( 2674):    at android widget FrameLayout onLayout(FrameLayout java:388)
E AndroidRuntime( 2674):    at android view View layout(View java:14817)
E AndroidRuntime( 2674):    at android view ViewGroup layout(ViewGroup java:4631)
E AndroidRuntime( 2674):    at android view ViewRootImpl performLayout(ViewRootImpl java:1983)
E AndroidRuntime( 2674):    at android view ViewRootImpl performTraversals(ViewRootImpl java:1740)
E AndroidRuntime( 2674):    at android view ViewRootImpl doTraversal(ViewRootImpl java:996)
E AndroidRuntime( 2674):    at android view ViewRootImpl TraversalRunnable run(ViewRootImpl java:5600)
E AndroidRuntime( 2674):    at android view Choreographer CallbackRecord run(Choreographer java:761)
E AndroidRuntime( 2674):    at android view Choreographer doCallbacks(Choreographer java:574)
E AndroidRuntime( 2674):    at android view Choreographer doFrame(Choreographer java:544)
E AndroidRuntime( 2674):    at android view Choreographer FrameDisplayEventReceiver run(Choreographer java:747)
E AndroidRuntime( 2674):    at android os Handler handleCallback(Handler java:733)
E AndroidRuntime( 2674):    at android os Handler dispatchMessage(Handler java:95)
E AndroidRuntime( 2674):    at android os Looper loop(Looper java:136)
E AndroidRuntime( 2674):    at android app ActivityThread main(ActivityThread java:5001)
E AndroidRuntime( 2674):    at java lang reflect Method invokeNative(Native Method)
E AndroidRuntime( 2674):    at java lang reflect Method invoke(Method java:515)
E AndroidRuntime( 2674):    at com android internal os ZygoteInit MethodAndArgsCaller run(ZygoteInit java:785)
E AndroidRuntime( 2674):    at com android internal os ZygoteInit main(ZygoteInit java:601)
E AndroidRuntime( 2674):    at de robv android xposed XposedBridge main(XposedBridge java:132)
E AndroidRuntime( 2674):    at dalvik system NativeStart main(Native Method)
W ActivityManager(  927):   Force finishing activity com nutomic syncthingandroid  activities MainActivity
</t>
  </si>
  <si>
    <t>mvysny-aedict-526</t>
  </si>
  <si>
    <t>Sentence analysis fallback</t>
  </si>
  <si>
    <t xml:space="preserve">What s going on here  How did it turn     into     It appears to have figured out the conjugation correctly (i e  the bottom  fallback  is correct)  but instead gives an apparently unrelated word which has more kanji than it started with    Which crashes my app 
  screenshot 18 06 2015 12 54 08 am 1 (https:  cloud githubusercontent com assets 2818274 8212130 ea22c492 1554 11e5 8138 d6fc95c515a5 png)
</t>
  </si>
  <si>
    <t>gdg-x-frisbee-368</t>
  </si>
  <si>
    <t>NPEs with Picasso use</t>
  </si>
  <si>
    <t xml:space="preserve">This has caused 51 crashes via Fabric io 
java lang RuntimeException: Transformation bitmapBorder(borderSize 2  cornerRadius 128  color  1) crashed with exception 
   at com squareup picasso BitmapHunter 3 run(BitmapHunter java:434)
   at android os Handler handleCallback(Handler java:739)
   at android os Handler dispatchMessage(Handler java:95)
   at android os Looper loop(Looper java:135)
   at android app ActivityThread main(ActivityThread java:5274)
   at java lang reflect Method invoke(Method java)
   at java lang reflect Method invoke(Method java:372)
   at com android internal os ZygoteInit MethodAndArgsCaller run(ZygoteInit java:909)
   at com android internal os ZygoteInit main(ZygoteInit java:704)
Caused by: java lang NullPointerException: Attempt to read from field  int android graphics Bitmap Config nativeInt  on a null object reference
   at android graphics Bitmap createBitmap(Bitmap java:817)
   at android graphics Bitmap createBitmap(Bitmap java:794)
   at android graphics Bitmap createBitmap(Bitmap java:761)
   at org gdg frisbee android view BitmapBorderTransformation transform(BitmapBorderTransformation java:34)
   at com squareup picasso BitmapHunter applyCustomTransformations(BitmapHunter java:429)
   at com squareup picasso BitmapHunter hunt(BitmapHunter java:238)
   at com squareup picasso BitmapHunter run(BitmapHunter java:159)
   at java util concurrent Executors RunnableAdapter call(Executors java:422)
   at java util concurrent FutureTask run(FutureTask java:237)
   at java util concurrent ThreadPoolExecutor runWorker(ThreadPoolExecutor java:1112)
   at java util concurrent ThreadPoolExecutor Worker run(ThreadPoolExecutor java:587)
   at java lang Thread run(Thread java:818)
   at com squareup picasso Utils PicassoThread run(Utils java:411)
</t>
  </si>
  <si>
    <t>gdg-x-frisbee-367</t>
  </si>
  <si>
    <t>getCoverPhoto() on a null object reference</t>
  </si>
  <si>
    <t xml:space="preserve">This has caused 53 crashes via Fabric io 
java lang NullPointerException: Attempt to invoke virtual method  com google api services plus model Person Cover CoverPhoto com google api services plus model Person Cover getCoverPhoto()  on a null object reference
   at org gdg frisbee android activity GdgNavDrawerActivity 2 onPostExecute(GdgNavDrawerActivity java:290)
   at org gdg frisbee android activity GdgNavDrawerActivity 2 onPostExecute(GdgNavDrawerActivity java:285)
   at org gdg frisbee android task CommonAsyncTask onPostExecute(CommonAsyncTask java:88)
   at android os AsyncTask finish(AsyncTask java:636)
   at android os AsyncTask access 500(AsyncTask java:177)
   at android os AsyncTask InternalHandler handleMessage(AsyncTask java:653)
   at android os Handler dispatchMessage(Handler java:102)
   at android os Looper loop(Looper java:135)
   at android app ActivityThread main(ActivityThread java:5254)
   at java lang reflect Method invoke(Method java)
   at java lang reflect Method invoke(Method java:372)
   at com android internal os ZygoteInit MethodAndArgsCaller run(ZygoteInit java:903)
   at com android internal os ZygoteInit main(ZygoteInit java:698)
</t>
  </si>
  <si>
    <t>geopaparazzi-geopaparazzi-271</t>
  </si>
  <si>
    <t>RasterLite2 issues</t>
  </si>
  <si>
    <t xml:space="preserve">When browsing around the berlin map  at some point I get a big bunch of:
06 20 08:24:09 391  19784 20010 eu hydrologis geopaparazzi I GEOPAPARAZZI  2015 06 20 08:24:09: UU ERROR GEOPAPARAZZI GEOPACKAGETILEDOWNLOADER: Could not find image: RASTERLITE2: Attempt to get length of null array
06 20 08:24:09 391  19784 20010 eu hydrologis geopaparazzi I GPLOG ERROR  Could not find image: RASTERLITE2: Attempt to get length of null array
06 20 08:24:09 417  19784 20010 eu hydrologis geopaparazzi I GEOPAPARAZZI  2015 06 20 08:24:09: UU ERROR GEOPAPARAZZI GEOPACKAGETILEDOWNLOADER: java lang NullPointerException: Attempt to get length of null array
            at eu geopaparazzi mapsforge mapsdirmanager maps tiles GeopackageTileDownloader executeJob(GeopackageTileDownloader java:123)
            at org mapsforge android maps mapgenerator MapWorker doWork(MapWorker java:82)
            at org mapsforge android maps PausableThread run(PausableThread java:94)
06 20 08:24:09 417  19784 20010 eu hydrologis geopaparazzi I GPLOG ERROR  java lang NullPointerException: Attempt to get length of null array
            at eu geopaparazzi mapsforge mapsdirmanager maps tiles GeopackageTileDownloader executeJob(GeopackageTileDownloader java:123)
            at org mapsforge android maps mapgenerator MapWorker doWork(MapWorker java:82)
            at org mapsforge android maps PausableThread run(PausableThread java:94)
06 20 08:24:09 557  19784 20010 eu hydrologis geopaparazzi I GEOPAPARAZZI  2015 06 20 08:24:09: UU ERROR GEOPAPARAZZI GEOPACKAGETILEDOWNLOADER: Could not find image: RASTERLITE2: Attempt to get length of null array
06 20 08:24:09 557  19784 20010 eu hydrologis geopaparazzi I GPLOG ERROR  Could not find image: RASTERLITE2: Attempt to get length of null array
06 20 08:24:09 590  19784 20010 eu hydrologis geopaparazzi I GEOPAPARAZZI  2015 06 20 08:24:09: UU ERROR GEOPAPARAZZI GEOPACKAGETILEDOWNLOADER: java lang NullPointerException: Attempt to get length of null array
            at eu geopaparazzi mapsforge mapsdirmanager maps tiles GeopackageTileDownloader executeJob(GeopackageTileDownloader java:123)
            at org mapsforge android maps mapgenerator MapWorker doWork(MapWorker java:82)
            at org mapsforge android maps PausableThread run(PausableThread java:94)
06 20 08:24:09 590  19784 20010 eu hydrologis geopaparazzi I GPLOG ERROR  java lang NullPointerException: Attempt to get length of null array
            at eu geopaparazzi mapsforge mapsdirmanager maps tiles GeopackageTileDownloader executeJob(GeopackageTileDownloader java:123)
            at org mapsforge android maps mapgenerator MapWorker doWork(MapWorker java:82)
            at org mapsforge android maps PausableThread run(PausableThread java:94)
06 20 08:24:09 723  19784 20010 eu hydrologis geopaparazzi I GEOPAPARAZZI  2015 06 20 08:24:09: UU ERROR GEOPAPARAZZI GEOPACKAGETILEDOWNLOADER: Could not find image: RASTERLITE2: Attempt to get length of null array
06 20 08:24:09 723  19784 20010 eu hydrologis geopaparazzi I GPLOG ERROR  Could not find image: RASTERLITE2: Attempt to get length of null array
06 20 08:24:09 753  19784 20010 eu hydrologis geopaparazzi I GEOPAPARAZZI  2015 06 20 08:24:09: UU ERROR GEOPAPARAZZI GEOPACKAGETILEDOWNLOADER: java lang NullPointerException: Attempt to get length of null array
            at eu geopaparazzi mapsforge mapsdirmanager maps tiles GeopackageTileDownloader executeJob(GeopackageTileDownloader java:123)
            at org mapsforge android maps mapgenerator MapWorker doWork(MapWorker java:82)
            at org mapsforge android maps PausableThread run(PausableThread java:94)
06 20 08:24:09 753  19784 20010 eu hydrologis geopaparazzi I GPLOG ERROR  java lang NullPointerException: Attempt to get length of null array
            at eu geopaparazzi mapsforge mapsdirmanager maps tiles GeopackageTileDownloader executeJob(GeopackageTileDownloader java:123)
            at org mapsforge android maps mapgenerator MapWorker doWork(MapWorker java:82)
            at org mapsforge android maps PausableThread run(PausableThread java:94)
06 20 08:24:09 877  19784 20010 eu hydrologis geopaparazzi I GEOPAPARAZZI  2015 06 20 08:24:09: UU ERROR GEOPAPARAZZI GEOPACKAGETILEDOWNLOADER: Could not find image: RASTERLITE2: Attempt to get length of null array
Not sure if it is related  but it also crashed during panning 
</t>
  </si>
  <si>
    <t>cymcsg-UltimateRecyclerView-87</t>
  </si>
  <si>
    <t>NPE on touch loadMore layout...</t>
  </si>
  <si>
    <t xml:space="preserve">when LoadMore layout is shown if user touches it  app crashes 
java lang NullPointerException
        at com marshalchen ultimaterecyclerview swipelistview SwipeListViewTouchListener setFrontView(SwipeListViewTouchListener java:151)
        at com marshalchen ultimaterecyclerview swipelistview SwipeListViewTouchListener onTouch(SwipeListViewTouchListener java:827)
        at com marshalchen ultimaterecyclerview swipelistview SwipeListView onInterceptTouchEvent(SwipeListView java:689)
        at android view ViewGroup dispatchTouchEvent(ViewGroup java:1859)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android view ViewGroup dispatchTransformedTouchEvent(ViewGroup java:2216)
        at android view ViewGroup dispatchTouchEvent(ViewGroup java:1917)
        at com android internal policy impl PhoneWindow DecorView superDispatchTouchEvent(PhoneWindow java:2169)
        at com android internal policy impl PhoneWindow superDispatchTouchEvent(PhoneWindow java:1613)
        at android app Activity dispatchTouchEvent(Activity java:2539)
        at android support v7 internal view WindowCallbackWrapper dispatchTouchEvent(WindowCallbackWrapper java:59)
        at com android internal policy impl PhoneWindow DecorView dispatchTouchEvent(PhoneWindow java:2117)
        at android view View dispatchPointerEvent(View java:8005)
        at android view ViewRootImpl ViewPostImeInputStage processPointerEvent(ViewRootImpl java:4274)
        at android view ViewRootImpl ViewPostImeInputStage onProcess(ViewRootImpl java:4153)
        at android view ViewRootImpl InputStage deliver(ViewRootImpl java:3688)
        at android view ViewRootImpl InputStage onDeliverToNext(ViewRootImpl java:3738)
        at android view ViewRootImpl InputStage forward(ViewRootImpl java:3707)
        at android view ViewRootImpl AsyncInputStage forward(ViewRootImpl java:3818)
        at android view ViewRootImpl InputStage apply(ViewRootImpl java:3715)
        at android view ViewRootImpl AsyncInputStage apply(ViewRootImpl java:3875)
        at android view ViewRootImpl InputStage deliver(ViewRootImpl java:3688)
        at android view ViewRootImpl InputStage onDeliverToNext(ViewRootImpl java:3738)
        at android view ViewRootImpl InputStage forward(ViewRootImpl java:3707)
        at android view ViewRootImpl InputStage apply(ViewRootImpl java:3715)
        at android view ViewRootImpl In
</t>
  </si>
  <si>
    <t>CellularPrivacy-Android-IMSI-Catcher-Detector-496</t>
  </si>
  <si>
    <t>Can't start app anymore with current build</t>
  </si>
  <si>
    <t xml:space="preserve">The app crashs directly after starting 
I have installed the most current build 
Also after a reinstallation it doesn t work 
Occues on Android 4 4 4 (CM11) 
Here my logcat 
I Timeline( 1341): Timeline: Activity launch request id:com SecUpwN AIMSICD time:184418
I ActivityManager(  741): START u0  act android intent action MAIN cat  android intent category LAUNCHER  flg 0x10200000 cmp com SecUpwN AIMSICD  AIMSICD bnds  810 473  1032 723   from pid 1341
I ActivityManager(  741): Start proc com SecUpwN AIMSICD for activity com SecUpwN AIMSICD  AIMSICD: pid 6195 uid 10617 gids  50617  3003  1028  1015 
D ActivityThread( 6195): handleBindApplication:com SecUpwN AIMSICD
D AppAIMSICD( 6195): BaseTask attach:com SecUpwN AIMSICD AIMSICD
I AIMSICD Service( 6195): Service launched successfully 
I AIMSICD ( 6195): CellTracker: ALERT: No neighboring cells detected for CID: xxxxxxxx
E AndroidRuntime( 6195): Process: com SecUpwN AIMSICD  PID: 6195
E AndroidRuntime( 6195):    at com SecUpwN AIMSICD adapters AIMSICDDbAdapter DbHelper onOpen(AIMSICDDbAdapter java:1430)
E AndroidRuntime( 6195):    at com SecUpwN AIMSICD adapters AIMSICDDbAdapter open(AIMSICDDbAdapter java:181)
E AndroidRuntime( 6195):    at com SecUpwN AIMSICD service CellTracker compareLac(CellTracker java:614)
E AndroidRuntime( 6195):    at com SecUpwN AIMSICD service CellTracker 2 onCellLocationChanged(CellTracker java:751)
W ActivityManager(  741):   Force finishing activity com SecUpwN AIMSICD  AIMSICD
I WindowManager(  741): Screenshot max retries 4 of Token 428677a0 ActivityRecord 425082e8 u0 com SecUpwN AIMSICD  AIMSICD t9 f   appWin Window 42c24fe0 u0 com SecUpwN AIMSICD com SecUpwN AIMSICD AIMSICD  drawState 1
W ActivityManager(  741): Activity pause timeout for ActivityRecord 425082e8 u0 com SecUpwN AIMSICD  AIMSICD t9 f 
W InputDispatcher(  741): channel  42c24fe0 com SecUpwN AIMSICD com SecUpwN AIMSICD AIMSICD (server)    Consumer closed input channel or an error occurred   events 0x9
E InputDispatcher(  741): channel  42c24fe0 com SecUpwN AIMSICD com SecUpwN AIMSICD AIMSICD (server)    Channel is unrecoverably broken and will be disposed 
W InputDispatcher(  741): Attempted to unregister already unregistered input channel  42c24fe0 com SecUpwN AIMSICD com SecUpwN AIMSICD AIMSICD (server) 
I ActivityManager(  741): Process com SecUpwN AIMSICD (pid 6195) has died 
I WindowState(  741): WIN DEATH: Window 42c24fe0 u0 com SecUpwN AIMSICD com SecUpwN AIMSICD AIMSICD 
W ActivityManager(  741): Scheduling restart of crashed service com SecUpwN AIMSICD  service AimsicdService in 1000ms
W NotificationService(  741): Object died trying to hide notification android app ITransientNotification Stub Proxy 42c15008 in package com SecUpwN AIMSICD
I ActivityManager(  741): Start proc com SecUpwN AIMSICD for service com SecUpwN AIMSICD  service AimsicdService: pid 6254 uid 10617 gids  50617  3003  1028  1015 
D ActivityThread( 6254): handleBindApplication:com SecUpwN AIMSICD
I AIMSICD Service( 6254): Service launched successfully 
I AIMSICD ( 6254): CellTracker: ALERT: No neighboring cells detected for CID: xxxxxxxx
E AndroidRuntime( 6254): Process: com SecUpwN AIMSICD  PID: 6254
E AndroidRuntime( 6254):    at com SecUpwN AIMSICD adapters AIMSICDDbAdapter DbHelper onOpen(AIMSICDDbAdapter java:1430)
E AndroidRuntime( 6254):    at com SecUpwN AIMSICD adapters AIMSICDDbAdapter open(AIMSICDDbAdapter java:181)
E AndroidRuntime( 6254):    at com SecUpwN AIMSICD service CellTracker compareLac(CellTracker java:614)
E AndroidRuntime( 6254):    at com SecUpwN AIMSICD service CellTracker 2 onCellLocationChanged(CellTracker java:751)
I ActivityManager(  741): Process com SecUpwN AIMSICD (pid 6254) has died 
W ActivityManager(  741): Service crashed 2 times  stopping: ServiceRecord 42ec6240 u0 com SecUpwN AIMSICD  service AimsicdService 
</t>
  </si>
  <si>
    <t>artem-zinnatullin-android-wail-app-162</t>
  </si>
  <si>
    <t>WAIL crashes after some time without usage.</t>
  </si>
  <si>
    <t xml:space="preserve"> joonki34:
  I am not sure it s just my phone but sometimes WAIL gets crashed when I relaunch the app after a long period of time (at least more than several hours) from the first run  I can t identify what s causing it  Does WAIL store crash log somewhere (maybe in GA) 
</t>
  </si>
  <si>
    <t>h6ah4i-android-advancedrecyclerview-64</t>
  </si>
  <si>
    <t xml:space="preserve">After swipe/remove of a group crash in some cases </t>
  </si>
  <si>
    <t xml:space="preserve">Hi  Trying to debug an issue where in some configurations the app crashes when a group item removed after swipe  In most cases it seems to work fine but in certain sets of data it seems to crash every time  It s very frustrating  It doesn t seem to happen with the sample 
I understand that the lib needs stable IDs  I have those 
In debugger I see that during onPerformAfterSwipeGroupReaction of MyAdapter notifyItemRemoved(flatPosition) is called  Stepping though that eventually end up in  ExpandablePositionTranslator removeGroupItem (https:  github com h6ah4i android advancedrecyclerview blob master library src main java com h6ah4i android widget advrecyclerview expandable ExpandablePositionTranslator java L432) 
Here it seems it s intentional that the cached items IDs and position info arrays are not adjusted and values are just copied to the removed item 
But what happens soon after (once we come out of the swipe remove) is that my adapter gets calls such as getGroupItemViewType and getGroupID etc  for a group that s not there anymore 
Let s say I had 2 groups  I removed 1st group  After removal I get asked about both groups 
But I only have 1 group left  It s as if the lib forgot doesn t know that the group was removed  
Scenario that fails for me reliably:
2 groups
group 2 expanded
swipe away group 1
crash 
Again  this happens only with my data 
The example seems to work stably  Which makes me very sad in that I can t probably be helped  Hoping that you might have at least some idea about why ExpandablePositionTranslator might get confused 
</t>
  </si>
  <si>
    <t>OneBusAway-onebusaway-android-270</t>
  </si>
  <si>
    <t>develop branch crashes when GTFS shapes.txt isn't provided</t>
  </si>
  <si>
    <t xml:space="preserve">As discussed on the mailing list (https:  groups google com d msg onebusaway developers wK5VHHA1DqQ pOstfHcfvVQJ)  the current behavior of OBA when building the transit bundle is to omit the polyline when shapes txt isn t provided in the GTFS data 
As a result  in the stops for route API response from the OBA server  the  polylines  element is empty for all routes   This prevents the apps from showing the route geometry (i e   stops for the route) on the map when they drill down to a single route on the map   However  in the  develop  branch we don t consider the possibility that the polylines aren t provided  and the app crashes:
java lang IllegalStateException: no included points
            at com google android gms common internal zzu zza(Unknown Source)
            at com google android gms maps model LatLngBounds Builder build(Unknown Source)
            at org onebusaway android map googlemapsv2 BaseMapFragment zoomToRoute(BaseMapFragment java:704)
            at org onebusaway android map RouteMapController onLoadFinished(RouteMapController java:158)
            at org onebusaway android map RouteMapController onLoadComplete(RouteMapController java:174)
            at org onebusaway android map RouteMapController onLoadComplete(RouteMapController java:39)
            at android support v4 content Loader deliverResult(Loader java:104)
            at org onebusaway android map RouteMapController RoutesLoader deliverResult(RouteMapController java:265)
            at org onebusaway android map RouteMapController RoutesLoader deliverResult(RouteMapController java:235)
            at android support v4 content AsyncTaskLoader dispatchOnLoadComplete(AsyncTaskLoader java:223)
            at android support v4 content AsyncTaskLoader LoadTask onPostExecute(AsyncTaskLoader java:61)
            at android support v4 content ModernAsyncTask finish(ModernAsyncTask java:461)
            at android support v4 content ModernAsyncTask access 500(ModernAsyncTask java:47)
            at android support v4 content ModernAsyncTask InternalHandler handleMessage(ModernAsyncTask java:474)
            at android os Handler dispatchMessage(Handler java:102)
            at android os Looper loop(Looper java:135)
            at android app ActivityThread main(ActivityThread java:5431)
            at java lang reflect Method invoke(Native Method)
            at java lang reflect Method invoke(Method java:372)
            at com android internal os ZygoteInit MethodAndArgsCaller run(ZygoteInit java:913)
            at com android internal os ZygoteInit main(ZygoteInit java:706)
Steps to reproduce:
1   Go to any stop and show the arrival times
2   Tap on an arrival time for a route that doesn t have shape data
3   Select  Show route information 
4   Tap on the map icon in the Actoin Bar
Here s an example response without polylines:
http:  194 89 230 196:8080 api where stops for route 6677 4 json includePolylines true app ver 38 key v1 BktoDJ2gJlu6nLM6LsT9H8IUbWc 3DcGF1bGN3YXR0c0BnbWFpbC5jb20 3D
    code: 200 
    currentTime: 1434637770619 
    data:  
        entry:  
            polylines:     
            routeId:  6677 4  
            stopGroupings:  
   and one with:
http:  api tampa onebusaway org api api where stops for route Hillsborough 20Area 20Regional 20Transit 5 json includePolylines true key v1 BktoDJ2gJlu6nLM6LsT9H8IUbWc 3DcGF1bGN3YXR0c0BnbWFpbC5jb20 3D
    code: 200 
    currentTime: 1434637837375 
    data:  
        entry:  
            polylines:  
                    length: 427 
                    levels:    
                    points:    hjDfubvNpIC gE qEA LA  AgBCUEc Qs c u GMKo Ke     c  i  yE    cABqGnA  AZGJELCv  j KxA N N T P ZAVENDr g  Yj   n a JAh Gf Gd Ab Bn FnAb j XNHTF  Dr  Z jD V R lE  wG sH       LcAF Lg D DKRk FSTq HQRw PiA GH AB BzGAh      A r  AlJ bE Vd  jBBdD hEBhB Z nAC D N dAB B N nBCxABd  dC X v  pD  A  C  C  A vC bE b  jD H hB    tC nD zB  C pEAV bA P x  b  V   jA J d  z BhA d  V p  Z j  fB r  pC    r   D f  BN  JJNDNCJGJMP nGDfLCpAK AK  Qr OfBe h YnCuA  e XQNEVCL LJPDPEFIHKNGXMzAe hDs   O AIP bACn EvBCdDBtAFv DdAJ  Jh JxAPn HXF  Dp JVBPBt JzARRBp Hl HrANvADf  t   Ax Cd Gh GnCi lCm nA lBa v Mr GbAKb Cb ApCCtECfA nCAv AH P VDBJLHFBH RENOPAPGrAAjC xC jC pC lC pC rC fB d   AApA vA zA xA xG  I F r  dD P J    nB bA rB   A fB  B pB zGBfC hC  B lCAdCE E pAj  tA lAAbDAdB pA t   BAjCAf  hB L N vB P  C jC rC V hBAfDDrC V  BAtCA AnBAfA nA jBA  tC v   AC   lB bAAhA x  d  f  zC tGAbDCAdI  G L Z r  bA T b Av  RBRBNHNHN X VX LNDPHd  ZAhH lE L H pC b Bj Dr ArE fG p  jB l dCAbDAx  d  pA N x     b  hA    lC dC M A lLAvC ZDVBd  f  vE jAE AE  Cf  bA nC f A C Z zA hEBn BP PB   Z fC Z lC zC fBDpELbEBb  ZHX  C vA dA    P n  z     b  dB bD tFAdQpDdH D pD  uC  G E zE zA      b  xD  oC D ApCMQQ  KCY U  
</t>
  </si>
  <si>
    <t>OneBusAway-onebusaway-android-273</t>
  </si>
  <si>
    <t>Crash when searching prior to location initialization</t>
  </si>
  <si>
    <t xml:space="preserve">Reported by Fire Phone user  for  develop  branch:
  Steps to reproduce:
  1  Disable Location Services in Settings
  2  Launch app for the 1st time
  3  Search for a bus stop   crash
  06 24 13:13:45 254: E AndroidRuntime(24303): FATAL EXCEPTION: ModernAsyncTask   1
  06 24 13:13:45 254: E AndroidRuntime(24303): Process: com joulespersecond seattlebusbot  PID: 24303
  06 24 13:13:45 254: E AndroidRuntime(24303): java lang RuntimeException: An error occured while executing doInBackground()
  06 24 13:13:45 254: E AndroidRuntime(24303): at android support v4 a q 3 done(Unknown Source)
  06 24 13:13:45 254: E AndroidRuntime(24303): at java util concurrent FutureTask finishCompletion(FutureTask java:355)
  06 24 13:13:45 254: E AndroidRuntime(24303): at java util concurrent FutureTask setException(FutureTask java:222)
  06 24 13:13:45 254: E AndroidRuntime(24303): at java util concurrent FutureTask run(FutureTask java:242)
  06 24 13:13:45 254: E AndroidRuntime(24303): at java util concurrent ThreadPoolExecutor runWorker(ThreadPoolExecutor java:1112)
  06 24 13:13:45 254: E AndroidRuntime(24303): at java util concurrent ThreadPoolExecutor Worker run(ThreadPoolExecutor java:587)
  06 24 13:13:45 254: E AndroidRuntime(24303): at java lang Thread run(Thread java:841)
  06 24 13:13:45 254: E AndroidRuntime(24303): Caused by: java lang NullPointerException
  06 24 13:13:45 254: E AndroidRuntime(24303): at org onebusaway android io request ObaRoutesForLocationRequest Builder  init (Unknown Source)
  06 24 13:13:45 254: E AndroidRuntime(24303): at org onebusaway android ui br y(Unknown Source)
  06 24 13:13:45 254: E AndroidRuntime(24303): at org onebusaway android ui br f(Unknown Source)
  06 24 13:13:45 254: E AndroidRuntime(24303): at org onebusaway android ui br d(Unknown Source)
  06 24 13:13:45 254: E AndroidRuntime(24303): at android support v4 a a e(Unknown Source)
  06 24 13:13:45 254: E AndroidRuntime(24303): at android support v4 a b a(Unknown Source)
  06 24 13:13:45 254: E AndroidRuntime(24303): at android support v4 a b a(Unknown Source)
  06 24 13:13:45 254: E AndroidRuntime(24303): at android support v4 a q 2 call(Unknown Source)
  06 24 13:13:45 254: E AndroidRuntime(24303): at java util concurrent FutureTask run(FutureTask java:237)
  06 24 13:13:45 254: E AndroidRuntime(24303):     3 more
  The problem is fixed after enabling LBS and wait for it to get my current location before performing a search
</t>
  </si>
  <si>
    <t>MythTV-Clients-MythtvPlayerForAndroid-86</t>
  </si>
  <si>
    <t>Developer Console: java.net.MalformedURLException</t>
  </si>
  <si>
    <t xml:space="preserve">It appears that 2 users are attempting to enter the BE port in the
Master Backend Address setting  One case looks like someone is
trying to implement  port forwarding there: kv26 noip me:9090:6544
In the  Developer Console  the version is 1 1 10  However the issue
is easily duplicated in the current master (stack trace below ) I entered:
192 168 1 204:1234 for the BE address  The only way to recover is
with Clear Data in Android Settings for the app 
The existing title and description strings used in the app s settings look
perfectly clear to me  The enhancement would be preventing the input
of :port (which could be a future problem if IPv6 addresses are allowed )
I added bug because the app probably shouldn t crash on a user input
error 
06 23 22:21:02 246    1321 1321   D MainApplication  Current tag: mythtvplayer 1 1 11 dirty  commit: de19602
06 23 22:19:48 385  31309 31395 org mythtv android V ServerVersionAsyncTask  doInBackground : enter
06 23 22:19:48 385  31309 31395 org mythtv android V ServerVersionAsyncTask  url http:  192 168 1 204:1234:6544 
06 23 22:19:48 385  31309 31395 org mythtv android V ServerVersionAsyncTask  doInBackground : exit
06 23 22:19:48 407  31309 31395 org mythtv android E AndroidRuntime  FATAL EXCEPTION: AsyncTask  2
    Process: org mythtv android  PID: 31309
    java lang RuntimeException: An error occured while executing doInBackground()
            at android os AsyncTask 3 done(AsyncTask java:304)
            at java util concurrent FutureTask finishCompletion(FutureTask java:355)
            at java util concurrent FutureTask setException(FutureTask java:222)
            at java util concurrent FutureTask run(FutureTask java:242)
            at android os AsyncTask SerialExecutor 1 run(AsyncTask java:231)
            at java util concurrent ThreadPoolExecutor runWorker(ThreadPoolExecutor java:1112)
            at java util concurrent ThreadPoolExecutor Worker run(ThreadPoolExecutor java:587)
            at java lang Thread run(Thread java:818)
     Caused by: java lang RuntimeException: Malformed URL: http:  192 168 1 204:1234:6544 Myth GetHostName
            at com squareup okhttp Request url(Request java:57)
            at com squareup okhttp internal http HttpEngine networkRequest(HttpEngine java:584)
            at com squareup okhttp internal http HttpEngine sendRequest(HttpEngine java:212)
            at com squareup okhttp Call getResponse(Call java:262)
            at com squareup okhttp Call ApplicationInterceptorChain proceed(Call java:219)
            at com squareup okhttp Call getResponseWithInterceptorChain(Call java:192)
            at com squareup okhttp Call execute(Call java:79)
            at org mythtv services api ServerVersionQuery getMythVersion(ServerVersionQuery java:70)
            at org mythtv services api ServerVersionQuery getMythVersion(ServerVersionQuery java:46)
            at org mythtv android library core MainApplication ServerVersionAsyncTask doInBackground(MainApplication java:377)
            at org mythtv android library core MainApplication ServerVersionAsyncTask doInBackground(MainApplication java:360)
            at android os AsyncTask 2 call(AsyncTask java:292)
            at java util concurrent FutureTask run(FutureTask java:237)
            at android os AsyncTask SerialExecutor 1 run(AsyncTask java:231)
            at java util concurrent ThreadPoolExecutor runWorker(ThreadPoolExecutor java:1112)
            at java util concurrent ThreadPoolExecutor Worker run(ThreadPoolExecutor java:587)
            at java lang Thread run(Thread java:818)
     Caused by: java net MalformedURLException: java lang NumberFormatException: Invalid int:  1234:6544 
            at java net URL  init (URL java:190)
            at java net URL  init (URL java:125)
            at com squareup okhttp Request url(Request java:55)
            at com squareup okhttp internal http HttpEngine networkRequest(HttpEngine java:584)
            at com squareup okhttp internal http HttpEngine sendRequest(HttpEngine java:212)
            at com squareup okhttp Call getResponse(Call java:262)
            at com squareup okhttp Call ApplicationInterceptorChain proceed(Call java:219)
            at com squareup okhttp Call getResponseWithInterceptorChain(Call java:192)
            at com squareup okhttp Call execute(Call java:79)
            at org mythtv services api ServerVersionQuery getMythVersion(ServerVersionQuery java:70)
            at org mythtv services api ServerVersionQuery getMythVersion(ServerVersionQuery java:46)
            at org mythtv android library core MainApplication ServerVersionAsyncTask doInBackground(MainApplication java:377)
            at org mythtv android library core MainApplication ServerVersionAsyncTask doInBackground(MainApplication java:360)
            at android os AsyncTask 2 call(AsyncTask java:292)
            at java util concurrent FutureTask run(FutureTask java:237)
            at android os AsyncTask SerialExecutor 1 run(AsyncTask java:231)
            at java util concurrent ThreadPoolExecutor runWorker(ThreadPoolExecutor java:1112)
            at java util concurrent ThreadPoolExecutor Worker run(ThreadPoolExecutor java:587)
            at java lang Thread run(Thread java:818)
</t>
  </si>
  <si>
    <t>the-blue-alliance-the-blue-alliance-android-435</t>
  </si>
  <si>
    <t>Animation Crash</t>
  </si>
  <si>
    <t xml:space="preserve">   
java lang RuntimeException: Transformation linear gradient crashed with exception 
at com squareup picasso BitmapHunter 3 run(BitmapHunter java:434)
at android os Handler handleCallback(Handler java:733)
at android os Handler dispatchMessage(Handler java:95)
at android os Looper loop(Looper java:146)
at android app ActivityThread main(ActivityThread java:5598)
at java lang reflect Method invokeNative(Native Method)
at java lang reflect Method invoke(Method java:515)
at com android internal os ZygoteInit MethodAndArgsCaller run(ZygoteInit java:1283)
at com android internal os ZygoteInit main(ZygoteInit java:1099)
at dalvik system NativeStart main(Native Method)
Caused by: java lang NullPointerException
at android graphics Bitmap createBitmap(Bitmap java:928)
at android graphics Bitmap createBitmap(Bitmap java:901)
at android graphics Bitmap createBitmap(Bitmap java:868)
at com thebluealliance androidclient fragments NavigationDrawerFragment LinearGradientTransformation transform(NavigationDrawerFragment java:437)
at com squareup picasso BitmapHunter applyCustomTransformations(BitmapHunter java:429)
at com squareup picasso BitmapHunter hunt(BitmapHunter java:238)
at com squareup picasso BitmapHunter run(BitmapHunter java:159)
at java util concurrent Executors RunnableAdapter call(Executors java:422)
at java util concurrent FutureTask run(FutureTask java:237)
at java util concurrent ThreadPoolExecutor runWorker(ThreadPoolExecutor java:1112)
at java util concurrent ThreadPoolExecutor Worker run(ThreadPoolExecutor java:587)
at java lang Thread run(Thread java:841)
at com squareup picasso Utils PicassoThread run(Utils java:411)
</t>
  </si>
  <si>
    <t>dimagi-commcare-android-351</t>
  </si>
  <si>
    <t>Allow uploading of all audio, image, and video filetypes to HQ (2.22 version)</t>
  </si>
  <si>
    <t xml:space="preserve">The 2 22 version of this PR https:  github com dimagi commcare odk pull 350
Fix for  this ticket (http:  manage dimagi com default asp 173209)
There was a bug where the sync process wasn t sending certain case audio attachments up to HQ  The problem was that only a handful of hard coded filetypes were accepted as valid 
This PR allows for all files that have an audio  video  or image mimetype to be uploaded as case attachments to HQ 
Note: currently if a case is uploaded to HQ that expects an attachment but the phone didn t include that attachment  the only info HQ returns is a 500 error 
Also includes:
  made AudioWidget stop adding double backslashes to filepaths
  removed unneeded platform parameter from SendTask constructor
  Refactored FormUploadUtil to use helper methods
  make CommCare not crash if you select an audio file in AudioWidget that doesn t have an extension (even though this should never really happen  good to be safe)
</t>
  </si>
  <si>
    <t>dimagi-commcare-android-350</t>
  </si>
  <si>
    <t>Allow uploading of all audio, image, and video filetypes to HQ</t>
  </si>
  <si>
    <t xml:space="preserve">There was a bug where the sync process wasn t sending certain case audio attachments up to HQ  The problem was that only a handful of hard coded filetypes were accepted as valid 
This PR allows for all files that have an audio  video  or image mimetype to be uploaded as case attachments to HQ 
Note: currently if a case is uploaded to HQ that expects an attachment but the phone didn t include that attachment  the only info HQ returns is a 500 error 
Fix for  this ticket (http:  manage dimagi com default asp 173209)
Also includes:
  made AudioWidget stop adding double backslashes to filepaths
  removed unneeded platform parameter from SendTask constructor
  Refactored FormUploadUtil to use helper methods
  make CommCare not crash if you select an audio file in AudioWidget that doesn t have an extension (even though this should never really happen  good to be safe)
</t>
  </si>
  <si>
    <t>OneBusAway-onebusaway-android-275</t>
  </si>
  <si>
    <t>StackOverflowError when using Arrival Info Style B on Android 2.3 device</t>
  </si>
  <si>
    <t xml:space="preserve">When trying to view arrival times on an HTC EVO Shift with Android 2 3 4  the Agency Y demo app crashes and I get the following trace:
06 26 10:37:16 790    1355 1511   D lib locapi  loc eng report position: valid mask   0x6060  sess status   0
06 26 10:37:16 820    4372 4372   E AndroidRuntime  FATAL EXCEPTION: main
    java lang StackOverflowError
            at java util concurrent locks ReentrantLock NonfairSync lock(ReentrantLock java:182)
            at java util concurrent locks ReentrantLock lock(ReentrantLock java:261)
            at java util concurrent CopyOnWriteArrayList removeRange(CopyOnWriteArrayList java:569)
            at java util concurrent CopyOnWriteArrayList remove(CopyOnWriteArrayList java:366)
            at java util concurrent CopyOnWriteArrayList remove(CopyOnWriteArrayList java:376)
            at android view ViewTreeObserver removeOnPreDrawListener(ViewTreeObserver java:377)
            at android widget TextView onDraw(TextView java:4132)
            at android view View draw(View java:6970)
            at android view ViewGroup drawChild(ViewGroup java:1732)
            at android view ViewGroup dispatchDraw(ViewGroup java:1459)
            at android view ViewGroup drawChild(ViewGroup java:1730)
            at android view ViewGroup dispatchDraw(ViewGroup java:1459)
            at android view ViewGroup drawChild(ViewGroup java:1730)
            at android view ViewGroup dispatchDraw(ViewGroup java:1459)
            at android view ViewGroup drawChild(ViewGroup java:1730)
            at android view ViewGroup dispatchDraw(ViewGroup java:1459)
            at android view View draw(View java:6973)
            at android view ViewGroup drawChild(ViewGroup java:1732)
            at android view ViewGroup dispatchDraw(ViewGroup java:1459)
            at android view View draw(View java:6973)
            at android view ViewGroup drawChild(ViewGroup java:1732)
            at android view ViewGroup dispatchDraw(ViewGroup java:1459)
            at android view View draw(View java:6973)
            at android widget FrameLayout draw(FrameLayout java:357)
            at android view ViewGroup drawChild(ViewGroup java:1732)
            at android view ViewGroup dispatchDraw(ViewGroup java:1459)
            at android view View draw(View java:6973)
            at android view ViewGroup drawChild(ViewGroup java:1732)
            at android view ViewGroup dispatchDraw(ViewGroup java:1459)
            at android widget AbsListView dispatchDraw(AbsListView java:1480)
            at android widget ListView dispatchDraw(ListView java:3186)
            at android view View draw(View java:7082)
            at android widget AbsListView draw(AbsListView java:2588)
            at android view View buildDrawingCache(View java:6695)
            at android view ViewGroup onAnimationStart(ViewGroup java:1345)
            at android view ViewGroup drawChild(ViewGroup java:1591)
            at android view ViewGroup dispatchDraw(ViewGroup java:1459)
            at android view ViewGroup drawChild(ViewGroup java:1730)
            at android view ViewGroup dispatchDraw(ViewGroup java:1459)
            at android view ViewGroup drawChild(ViewGroup java:1730)
            at android view ViewGroup dispatchDraw(ViewGroup java:1459)
            at android view ViewGroup drawChild(ViewGroup java:1730)
            at android view ViewGroup dispatchDraw(ViewGroup java:1459)
            at android view View draw(View java:6973)
            at android view ViewGroup drawChild(ViewGroup java:1732)
            at com sothree slidinguppanel SlidingUpPanelLayout drawChild(SlidingUpPanelLayout java:1024)
            at android view ViewGroup dispatchDraw(ViewGroup java:1459)
            at android view View draw(View java:6973)
            at com sothree slidinguppanel SlidingUpPanelLayout draw(SlidingUpPanelLayout java:1067)
            at android view ViewGroup drawChild(ViewGroup java:1732)
            at android view ViewGroup dispatchDraw(ViewGroup java:1459)
            at android view ViewGroup drawChild(ViewGroup java:1730)
            at android support v4 widget DrawerLayout drawChild(DrawerLayout java:1089)
            at android view ViewGroup dispatchDraw(ViewGroup java:1459)
            at android view ViewGroup drawChild(ViewGroup java:1730)
            at android view ViewGroup dispatchDraw(ViewGroup java:1459)
            at android view View draw(View java:6973)
            at android widget FrameLayout draw(FrameLayout java:357)
            at android view ViewGroup drawChild(ViewGroup java:1732)
            at android view ViewGroup dispatchDraw(ViewGroup java:1459)
            at android view View draw(View java:6973)
            at android support v7 internal widget ActionBarOverlayLayout draw(ActionBarOverlayLayout java:500)
            at android view ViewGroup drawChild(ViewGroup java:1732)
            at android view ViewGroup dispatchDraw(ViewGroup java:1459)
            at android view ViewGroup drawChild(ViewGroup java:1730)
            at android view ViewGroup dispatchDr
06 26 10:37:16 850    1355 1487   W ActivityManager  Force finishing activity org agencyy android org onebusaway android ui HomeActivity
06 26 10:37:16 870    1355 1504   D RPC  read RPC packet
Based on these two StackOverflow posts:
  http:  stackoverflow com a 19854263 937715
  http:  stackoverflow com a 16920207 937715
   it appears that the thread stack sizes for Android 2 3 are 12KB  while Android 4 0 and higher is 16KB   With the CardViews and nested arrival times in Style B  we re exceeding the stack size which leads to the StackOverflowError 
Our options seem to be:
  Try to reduce the depth of the View hierarchy on Style B
  Only allow Style B on Android 4 0 and higher
</t>
  </si>
  <si>
    <t>niteshmourya-app-inventor-for-android-2213</t>
  </si>
  <si>
    <t>Webviewer crashes when viewing video stream from IP webcam</t>
  </si>
  <si>
    <t xml:space="preserve">   
Hi Appinventor contributors 
This is a robot racing software designed for kids to test out robot features  
It is a fun and exciting way to engage young people into IT 
However  there is a critical error in appinventor webviewer component  It will 
crash after sometime for viewing video streaming from IP webcam android app on 
another phone attached to the robot  The whole controller application 
ControlMonashRobot on the Samsung Galaxy Tab 10 1 crashed and went back to the 
home menu  There are two android devices  Samsung Galaxy Tab 10 1 is the 
controller  Samsung Galaxy Mini is the phone act like a camera attached to a 
Lego NXT robot 
Steps to simulate the problem (in the simulation robot is not required)
1  Install ControlMonashRobot apk on the controller android  (e g   Samsung 
Galaxy Tab 10 1)
2  Install  IP Webcam  from Google Play on the android phone attached on the 
LEGO NXT robot (e g   Samsung Galaxy Mini)
3  Enable Wifi connection on both of the android devices  (required a wifi 
router) Connect both devices to the wifi  Then Start ControlMonashRobot 
4  Change the IP (next to refresh button) on the ControlMonashRobot application 
to map the IP on the phone attached to the robot  Click the refresh button to 
view the video streaming 
5  If you can see the video streaming  then configuration is correctly done 
6  Wait for some time 5 8 mins  the whole ControlMonashRobot will crash and 
back to the main menu 
Please help  if you can fix this critical bug  you can make 180   over young 
participants having a better experiences during our school s open day  They 
will be sure thankful of you kindness 
Sincerely 
Tang Tiong Yew
Monash University 
Sunway Campus
Malaysia
Original issue reported on code google com by  tang tio    gmail com  on 8 Aug 2012 at 10:11
Attachments:
   ControlMonashRobot zip (https:  storage googleapis com google code attachments app inventor for android issue 2213 comment 0 ControlMonashRobot zip)
   ControlMonashRobot apk (https:  storage googleapis com google code attachments app inventor for android issue 2213 comment 0 ControlMonashRobot apk)
</t>
  </si>
  <si>
    <t>niteshmourya-app-inventor-for-android-2168</t>
  </si>
  <si>
    <t>append to item block returns runtime error</t>
  </si>
  <si>
    <t xml:space="preserve">   
When using append to list  if you append two lists with total items larger than 
455 the application will crash with a runtime error  Example AI project 
attached showing behavior 
Original issue reported on code google com by  grayslin  on 27 Jun 2012 at 9:28
Attachments:
   test zip (https:  storage googleapis com google code attachments app inventor for android issue 2168 comment 0 test zip)
</t>
  </si>
  <si>
    <t>niteshmourya-app-inventor-for-android-2039</t>
  </si>
  <si>
    <t>The app crashes and reports a memory problem</t>
  </si>
  <si>
    <t xml:space="preserve">   
 The app works great except it has two error messages:
1   When the user tries to hit the return button on the TAB Android device  the 
app will crash and send a warning message saying that the DEVICE HAS TOO LITTLE 
MEMORY  (Even if the user has gigabytes of free space)
2  The second issue is that the Video on youtube will continue to play after 
the crash report  and the user has to go to the task manager to shut it off 
NEW MIT APP INVENTOR ISSUES
Original issue reported on code google com by  kha    kinconsortium com  on 23 Mar 2012 at 4:46
Attachments:
   The Natto Perspective TNP new zipAlign apk (https:  storage googleapis com google code attachments app inventor for android issue 2039 comment 0 The Natto Perspective TNP new zipAlign apk)
</t>
  </si>
  <si>
    <t>niteshmourya-app-inventor-for-android-1752</t>
  </si>
  <si>
    <t>App Crashes</t>
  </si>
  <si>
    <t xml:space="preserve">   
I m designing a game that so far is only 4 47MB  In comparison to other apps  
it s about the same size  Every time you open the app  after about 15 clicks  
the app with close  It closes in different  random spots every time  I have 
uninstalled it  reinstalled it  cleared the cache  cleared the data  and forced 
stopped it  After trying it again  it still crashes  I checked to make sure the 
programming was correct and all my files were up to date in my components  I 
still can t figure out why this is happening 
Original issue reported on code google com by  aaronker    gmail com  on 27 Jul 2011 at 4:02
</t>
  </si>
  <si>
    <t>niteshmourya-app-inventor-for-android-1700</t>
  </si>
  <si>
    <t>Speech Recognition Runtime Error: No Activity found to handle Intent { act=android.speech.action.RECOGNIZE_SPEECH (has extras) }</t>
  </si>
  <si>
    <t xml:space="preserve">   
Speech recognition crashes on the AI emulator (on Windows XP Chrome) and on my 
Archos 28 Android 2 2 device 
Th error on both the emulator and my tablet reads:
Runtime Error: 
No Activity found to handle Intent  act android speech action RECOGNIZE SPEECH 
(has extras)  
The enclosed app is the minimum necessary to test speech to text input:  a 
button to request speech input and a text box to display it 
Original issue reported on code google com by  agetz    gmail com  on 7 Jul 2011 at 5:53
Attachments:
   RuntimeError JPG (https:  storage googleapis com google code attachments app inventor for android issue 1700 comment 0 RuntimeError JPG)
   speech test zip (https:  storage googleapis com google code attachments app inventor for android issue 1700 comment 0 speech test zip)
   Speech text gui jpg (https:  storage googleapis com google code attachments app inventor for android issue 1700 comment 0 Speech text gui jpg)
</t>
  </si>
  <si>
    <t>niteshmourya-app-inventor-for-android-1699</t>
  </si>
  <si>
    <t>emulator crashes shortly after launch</t>
  </si>
  <si>
    <t xml:space="preserve">   
Steps to reproduce:
1  Start a new project
2  Open the blocks editor
3  Click new Emulator
The emulator starts  shows A N D R O I D  on the screen then crashes  The crash 
report is attached  it appears to be related to audio input  In fact after 
noticing that I removed the Logitech USB headset with mic that I had attached 
and set as my default audio input output devise and the emulator did not crash 
Host: Mac OS X 10 6 8 10K540
Browser: Google Chrome 12 0 742 112
Java:
java version  1 6 0 26 
Java(TM) SE Runtime Environment (build 1 6 0 26 b03 384 10M3425)
Java HotSpot(TM) 64 Bit Server VM (build 20 1 b02 384  mixed mode)
Original issue reported on code google com by  wjmo    gmail com  on 7 Jul 2011 at 4:48
Attachments:
   emulator 2011 07 07 142948 Wes MacBook Pro crash (https:  storage googleapis com google code attachments app inventor for android issue 1699 comment 0 emulator 2011 07 07 142948 Wes MacBook Pro crash)
</t>
  </si>
  <si>
    <t>niteshmourya-app-inventor-for-android-1697</t>
  </si>
  <si>
    <t>App Crashes on Tablet &amp; Phone When Size Increases From 1242K to 1247K</t>
  </si>
  <si>
    <t xml:space="preserve">   
Problem: App crashes on both the Viewsonic gTablet (stock) and Motorola Droid 
(stock) when app size increases from 1242K to 1247K  Both versions work when 
using the emulator on a Windows 7 PC 
Error Message:    Sorry  The application Larger Version (process 
appinventor    ) has stopped unexpectedly  Please try again   Force close  
Discussion: The difference between the two files is the size of a procedure 
(PopulateDatabase)  to store data in TinyDB1  in the Smaller Version  
PopulateDatabase calls one subprocedure  PopulateDB1  to store 30 values in 
TinyDB1  in the Larger Version  PopulateDatabase calls three subprocedures 
(PopulateDB1  PopulateDB2  and PopulateDB3) with each one storing 25 30 values 
in TinyDB1 
App Inventor is running on Firefox 5 0 under Windows 7 32 bit 
Viewsonic gTablet: Stock Android OS 2 2  Kernel: 2 6 32 9 00001 g0e0c333 dirty 
hudson tapntapsvn  1  Build Number: FRF91
Motorola Droid Phone: Stock Android 2 2 2 Kernel: 2 6 32 9 g68eeef5 
android build apa26  1  Build Number: FRG83G
I will send the ZIP files directly upon request 
Original issue reported on code google com by  franklin    gmail com  on 6 Jul 2011 at 2:54
</t>
  </si>
  <si>
    <t>niteshmourya-app-inventor-for-android-1630</t>
  </si>
  <si>
    <t>Error: Your build failed due to a server error in the AAPT stage, not because of an error in your program</t>
  </si>
  <si>
    <t xml:space="preserve">   
Hi it worked while developing then suddenly crashed  Can get emulation working 
on usb htc desire and on android emulator but download apk crashes now and will 
not do anything 
Original issue reported on code google com by  kitchene    gmail com  on 14 Jun 2011 at 9:11
Attachments:
   Buzzer Rigs UploadV6 zip (https:  storage googleapis com google code attachments app inventor for android issue 1630 comment 0 Buzzer Rigs UploadV6 zip)
</t>
  </si>
  <si>
    <t>niteshmourya-app-inventor-for-android-1515</t>
  </si>
  <si>
    <t>internet explorer crashes when i open blocks editor</t>
  </si>
  <si>
    <t xml:space="preserve">   
in app inventor when i open blocks editor internet explorer crashes  im trying 
to download my app but i cant because of this  fix it
Original issue reported on code google com by  gamemani    gmail com  on 10 May 2011 at 1:01
</t>
  </si>
  <si>
    <t>niteshmourya-app-inventor-for-android-1462</t>
  </si>
  <si>
    <t>ContactPicker returns "nothing" and crashes.</t>
  </si>
  <si>
    <t xml:space="preserve">   
ContactPicker returns the value of  nothing  and crashes when trying to look up 
phone number  name or picture 
Sorry Google  your App Inventor is a poor bug ridden mess  Even the tutorial is 
littered with spelling errors  not to mention that the second tutorial doesn t 
even work 
Super idea   BAD execution  :(
Original issue reported on code google com by  ChrisSke    gmail com  on 15 Apr 2011 at 5:58
</t>
  </si>
  <si>
    <t>niteshmourya-app-inventor-for-android-1172</t>
  </si>
  <si>
    <t>The Blocks Editor is having trouble communicating with the server (error=404)</t>
  </si>
  <si>
    <t xml:space="preserve">   
This crash happens every time I try to open a very large dimension project on 
the Blocks Editor 
Loading the project takes about 40 minutes  and when loading is complete  it 
appears the message (see the attached image) 
I worked on other 5 or 6 smaller projects without this issue 
Thanks for your attention 
Original issue reported on code google com by  andrea g    gmail com  on 29 Jan 2011 at 11:52
Attachments:
   Blocks Editor crash png (https:  storage googleapis com google code attachments app inventor for android issue 1172 comment 0 Blocks Editor crash png)
</t>
  </si>
  <si>
    <t>niteshmourya-app-inventor-for-android-1145</t>
  </si>
  <si>
    <t>blocks editor crash</t>
  </si>
  <si>
    <t xml:space="preserve">   
I am working on an app since about one week with app inventor  Until now all 
was perfect 
but today while i was working on a big function in the blocks editor (i am 
beginning to have a lot of function)  it crashed as sometimes  So i go on app 
inventor for relaunching it  I download the file et launch it  hear the blocks 
editor stays white and i can t do anything  I have to open the task manager and 
kill the process  no other way   
I am really desapointed because i can open the last checkpoint and it runs 
correctly  if I can t open my  I will lose all my work  
java Console :
Trying to download phone app apk
Phone app apk saved into temp file: 
C: Users TRINGE 1 AppData Local Temp aia6006978629731456127 apk
filepath: C: Users TRINGE 1 AppData Local Temp aia6006978629731456127 apk 
packageName: com google AppInventorPhoneApp
Loading language def from jar resource:  yacodeblocks support ya lang def xml
systemId is file:   C: Users tringenbach Downloads ignore lang def dtd publicId 
is null
Reading language definition DTD from jar resources 
Preparing phone for new project
Creating GUI   
Device connected: emulator 5554
Device connected: 1 devices plugged in 
57:53 E ddms: Can t bind to local 8600 for debugger
Original issue reported on code google com by  thibaud     gmail com  on 26 Jan 2011 at 2:05
</t>
  </si>
  <si>
    <t>niteshmourya-app-inventor-for-android-1141</t>
  </si>
  <si>
    <t>Deactivated Block in Procedure Causing Runtime Error</t>
  </si>
  <si>
    <t xml:space="preserve">   
I have found that a procedure in which the first block has been deactivated 
will crash the app on the phone with a Runtime Error when said procedure is 
called  I do not see this behavior if a block that is not the first one is 
deactivated 
Original issue reported on code google com by  heilig    gmail com  on 26 Jan 2011 at 4:12
</t>
  </si>
  <si>
    <t>niteshmourya-app-inventor-for-android-1124</t>
  </si>
  <si>
    <t>Method "call length text" should not apply to list objects</t>
  </si>
  <si>
    <t xml:space="preserve">   
Because I type block names in the Editor  I had introduced this subtle bug: 
instead of calling the  length of list  block  I had called the  length text  
block with a list object 
So  my IF condition 
if index   length(myElementsList)
never became true  and the index kept increasing  crashing the app 
My suggestion would be to not allow the block  length text  to apply to list 
objects  It s easy to mistake  length text  with  length of list   if one types 
instead of using the drawers 
Thanks 
Original issue reported on code google com by  eni must    gmail com  on 22 Jan 2011 at 5:14
</t>
  </si>
  <si>
    <t>niteshmourya-app-inventor-for-android-1115</t>
  </si>
  <si>
    <t>TTS needs more features</t>
  </si>
  <si>
    <t xml:space="preserve">   
I have encountered several issues with the TTS  First off  there is no way to 
regulate the speed or pitch of the TTS  Which is a feature available in the TTS 
Engine  Second  I have a while statement that continues loads speech until it 
reaches a certain point  There is a problem cause the each speech item over 
loads the previous one causing crashes  I am pretty sure there is something in 
the TTS engine that would allow me to have the engine speech and make the next 
iteration wait until the first iteration is complete  Please add more of the 
general functionality to the Text to Speech blocks 
Original issue reported on code google com by  LeonidMo    gmail com  on 20 Jan 2011 at 6:50
</t>
  </si>
  <si>
    <t>niteshmourya-app-inventor-for-android-1055</t>
  </si>
  <si>
    <t>App with sprites crashes on HTC Desire running Froyo</t>
  </si>
  <si>
    <t xml:space="preserve">   
Tried to create a  pong  like app (see source code)
Works fine while connected to Blocks Editor and on emulator  but crashed after 
is installed on phone  as from the moment the sprites are activated 
Errormsg   The application BounceIt V2 has stopped unexpectedly  Please try 
again  
Original issue reported on code google com by  chris storms  on 3 Jan 2011 at 9:23
Attachments:
   SNAGIT jpg (https:  storage googleapis com google code attachments app inventor for android issue 1055 comment 0 SNAGIT jpg)
   BounceIt v2 apk (https:  storage googleapis com google code attachments app inventor for android issue 1055 comment 0 BounceIt v2 apk)
</t>
  </si>
  <si>
    <t>niteshmourya-app-inventor-for-android-1014</t>
  </si>
  <si>
    <t>TinyWebDB crash (AppInventorPhoneApp proces com.google.AppInventorPhoneApp)</t>
  </si>
  <si>
    <t xml:space="preserve">   
I am using TinyWebDB to communicate with my website  I use the json method like 
described on the 
http:  appinventorapi com app inventor php application framework  page  Now I 
notice that something strange is happening  It worked fine until a certain 
moment  but now I do get a crash of my application when I do a GetValue on my 
TinyWebDB  message shown on my phone: AppInventorPhoneApp(proces 
com google AppInventorPhoneApp) is closed unexpectedly)  I noticed the 
following strange things: 
  I have deactivated GotValue  so there s nothing going on after getting a value
  When I use a non existing ServiceURL in the TinyWebDB then I get a nice 
errormessage without letting the app crash
  I also have a very simple app  using the right ServiceURL and the same call 
to a functionality on the site  That app is working fine  so I concluded that 
there is nothing wrong with the result that I get from the website
  When I change the ServiceURL to a non exising page on my site (so the domain 
is correct  the site   php page is not)  then I get the crash also  which feels 
very strange to me  Why is there a differente behaviour between a ServiceURL on 
a non existing domain versus a ServiceURl on a non existing site  but on a 
existing domain 
  I am using a HTC Desire  Android 2 2  nr 2 29 405 2
  Windows Vista  Chrome browser
Original issue reported on code google com by  Reynold     gmail com  on 28 Dec 2010 at 7:37
Attachments:
   Squaskia v1 zip (https:  storage googleapis com google code attachments app inventor for android issue 1014 comment 0 Squaskia v1 zip)
</t>
  </si>
  <si>
    <t>niteshmourya-app-inventor-for-android-997</t>
  </si>
  <si>
    <t>Appcrash</t>
  </si>
  <si>
    <t xml:space="preserve">   
my application keeps crashing and i have no idea why  i attached a SS of the 
error i get  the last thing i remember doing before the crashes started was 
using the leaveinstance call to leave an instance  that instance is under the 
gameID zgameserver in the android gameserver at appspot  the error happens on 
real phones that aren t attached to the blocks editor  i have tried changing 
the gameid but it keeps showing the same error in the blocks editor and with 
real phones  
and now my application crashes on startup without even having any commands  i 
deactivated my timer and sceen1 initialize 
Original issue reported on code google com by  zaid a    gmail com  on 25 Dec 2010 at 9:06
Attachments:
   bug png (https:  storage googleapis com google code attachments app inventor for android issue 997 comment 0 bug png)
</t>
  </si>
  <si>
    <t>niteshmourya-app-inventor-for-android-961</t>
  </si>
  <si>
    <t>Vertical Alignment inplace move causes Inventor to crash</t>
  </si>
  <si>
    <t xml:space="preserve">   
Selected Vertical Alignment object by mistake   Moved slightly and let go to 
snap back into place   Inventor crashes with a notification to submit a bug 
This has happened several times   When it does  the alignment object is 
deleted    if you download and view the source  you can see corrupted objects 
This has occurred on Windows computers running Windows 7 and Xp Pro   Using 
both Chrome and Firefox 
This error has corrupted two applications   They both seemed to autosave 
corrupted versions causing me to recreate hours of tedious programming   
Further  the inability to copy and paste elements between apps  manually edit 
the source files or to merge two apps means you have to recreate everything 
manually   This is a pretty poor design 
Expected results: No crashes  no lost and corrupted code 
Original issue reported on code google com by  aiellos    gmail com  on 19 Dec 2010 at 10:54
Attachments:
   FUGoogle copy zip (https:  storage googleapis com google code attachments app inventor for android issue 961 comment 0 FUGoogle copy zip)
</t>
  </si>
  <si>
    <t>niteshmourya-app-inventor-for-android-955</t>
  </si>
  <si>
    <t>Activate - Deactivate variable - Block editor</t>
  </si>
  <si>
    <t xml:space="preserve">   
It seems to me that deactivate (variable) function usage in Block Editor makes 
the program corrupt  After I used deactivate and activate my program crashes 
however it was running properly before 
Length of list function always says after above described event that it 
receives a  null   Same happens when I try to set defined list to ListPicker  
If I drag and drop an item from My Definition list which was deactivated once 
appears by the color of inactive variable however it has been activated before 
If I create a new variable with exactly the same content and I replace the 
calls of old variable by new one program works again 
Simple rename of existing variable does not solve the problem 
Please see attached picture for further information 
I am using a Motorola Mileston 2 phone which has Android 2 2 16 
My notebook operating system is Windows XP professional SP3 
AppInventor is running under Google Chrome 8 0 552 224 
Best regards 
Henrik
Original issue reported on code google com by  hmag    gmail com  on 19 Dec 2010 at 9:01
Attachments:
   DeactivateActivateCorruptsVariable 01 png (https:  storage googleapis com google code attachments app inventor for android issue 955 comment 0 DeactivateActivateCorruptsVariable 01 png)
</t>
  </si>
  <si>
    <t>niteshmourya-app-inventor-for-android-887</t>
  </si>
  <si>
    <t>adb crash with latest HTC EVO 4G drivers</t>
  </si>
  <si>
    <t xml:space="preserve">   
I just tried updating to the latest drivers trying to fix another problem  and 
found that adb constantly crashes with the latest drivers 
Having no drivers at all  or just the previous version it still crashes  but 
you are able to restart app and it works fine  Yes  I have rolled back  Just 
letting you know about the problem  :)
URL to latest drivers:
http:  www htc com www SupportViewNews aspx dl id 1062 news id 806
Original issue reported on code google com by  kupfe    gmail com  on 11 Dec 2010 at 11:46
</t>
  </si>
  <si>
    <t>akexorcist-RoundCornerProgressBar-19</t>
  </si>
  <si>
    <t>Parcelable error when reloading app back from stack and has been cleared by the os</t>
  </si>
  <si>
    <t xml:space="preserve">Caused by: java lang RuntimeException: Parcel android os Parcel 1b179a5d: Unmarshalling unknown type code 7471204 at offset 1112
STR:
Enable Don t keep activities in Developer options  Start the app and go to activity with the rc progressbar 
Get out of app and go back to it  crash 
From what i gathered 
Happens due to progaurd
Need to add
 keepclassmembers class    implements android os Parcelable  
    static     CREATOR 
in progaurd rules
</t>
  </si>
  <si>
    <t>rfblue2-wolfpak_android_camera-1</t>
  </si>
  <si>
    <t>Application Crash after video recording</t>
  </si>
  <si>
    <t xml:space="preserve">Application crashes closes pauses after a video is recorded (after finger is released after holding capture button)  likely due to issue with createCameraPreviewSession method  error refers to camera already being closed 
</t>
  </si>
  <si>
    <t>SufficientlySecure-document-viewer-114</t>
  </si>
  <si>
    <t>Catch MuPdf exception  (wrong zip local file signature)</t>
  </si>
  <si>
    <t xml:space="preserve">When reading CBZ files  the viewer process crashes occasionally  The crashes happen more often when scrolling fast and or multithreaded decoding is enabled  It doesn t seem to depend on what kind of CBZ file is being viewed 
Logcat shows the following:
    logcat
E libmupdf( 5858): error: exception stack overflow 
E libmupdf( 5858): warning: Ignoring error during interpretation
E libmupdf( 5858): error: exception stack overflow 
E libmupdf( 5858): warning: read error  treating as end of file
E libmupdf( 5858): error: exception stack overflow 
E libmupdf( 5858): error: exception stack overflow 
E libmupdf( 5858): error: exception stack overflow 
E libmupdf( 5858): warning:     repeated 4 times    
E libmupdf( 5858): error: wrong zip local file signature (0xffffffff)
E libmupdf( 5858): uncaught exception: wrong zip local file signature (0xffffffff)
I WindowState(  339): WIN DEATH: Window 418f8878 SurfaceView paused false 
I ActivityManager(  339): Process org sufficientlysecure viewer (pid 5858) has died 
I Document Viewer( 5975): Document Viewer (org sufficientlysecure viewer) 2 7 1(2710)
The stack overflow exceptions happen while scrolling and don t seem to be harmful  but as soon as the signature exception occurs  DV crashes and relaunches 
This is on a Motorola Xoom tablet 
</t>
  </si>
  <si>
    <t>dimagi-commcare-android-367</t>
  </si>
  <si>
    <t>Changing managedQuery to CursorLoader (2.21 hotfix)</t>
  </si>
  <si>
    <t xml:space="preserve">Found a managed cursor bug that is fixed by this PR  so I figured I d include it in the 2 21 hotfix 
to reproduce:
  save incomplete form
  re open form
  click save in the top right settings
  click go to prompt  and go to start
  crash 
 dcluna PR comments for these changes:
Solving bug  172119 (http:  manage dimagi com default asp 172119)  caused by using the deprecated method managedQuery() in APIs greater than Honeycomb 
Now using the recommended CursorLoader class instead 
See also https:  github com dimagi commcare odk pull 340
</t>
  </si>
  <si>
    <t>dimagi-commcare-android-366</t>
  </si>
  <si>
    <t>startManagingCursor 2.21 hotfix</t>
  </si>
  <si>
    <t xml:space="preserve">2 21 hotfix for  this ticket (http:  manage dimagi com default asp 174380)
Ran this on a 2 21 0 build  verifying that the bug is present and fixed by this PR
How to reproduce the crash (thanks to Clark):
  Open a form to edit
  save your progress using the right hand settings menu 
  In the same settings menu  click  Go to prompt  and then  Go to beginning  or  Go to end 
  Experience the wondrous crash
Fix has already gone into 2 22 https:  github com dimagi commcare odk pull 355
</t>
  </si>
  <si>
    <t>dimagi-commcare-android-364</t>
  </si>
  <si>
    <t>Remove deprecated use of startManagingCursor (old ui)</t>
  </si>
  <si>
    <t xml:space="preserve">OldUI fix for  this ticket (http:  manage dimagi com default asp 174380)
How to reproduce the crash (thanks to Clark):
  Open a form to edit
  save your progress using the right hand settings menu 
  In the same settings menu  click  Go to prompt  and then  Go to beginning  or  Go to end 
  Experience the wondrous crash
Cross requested with new ui: https:  github com dimagi commcare odk pull 355
</t>
  </si>
  <si>
    <t>dimagi-commcare-android-362</t>
  </si>
  <si>
    <t>Remove deprecated use of startManagingCursor (oldui)</t>
  </si>
  <si>
    <t>dimagi-commcare-android-358</t>
  </si>
  <si>
    <t>Allow uploading of all audio, image, and video filetypes to HQ (oldui version)</t>
  </si>
  <si>
    <t xml:space="preserve">Fix for  this ticket (http:  manage dimagi com default asp 173209)
OldUi version of this PR: https:  github com dimagi commcare odk pull 357
There was a bug where the sync process wasn t sending certain case audio attachments up to HQ  The problem was that only a handful of hard coded filetypes were accepted as valid 
This PR allows for all files that have an audio  video  or image mimetype to be uploaded as case attachments to HQ 
Note: currently if a case is uploaded to HQ that expects an attachment but the phone didn t include that attachment  the only info HQ returns is a 500 error 
Also includes:
  made AudioWidget stop adding double backslashes to filepaths
  removed unneeded platform parameter from SendTask constructor
  Refactored FormUploadUtil to use helper methods
  make CommCare not crash if you select an audio file in AudioWidget that doesn t have an extension (even though this should never really happen  good to be safe)
</t>
  </si>
  <si>
    <t>dimagi-commcare-android-357</t>
  </si>
  <si>
    <t>Allow uploading of all audio, image, and video filetypes to HQ (newui version)</t>
  </si>
  <si>
    <t xml:space="preserve">Fix for  this ticket (http:  manage dimagi com default asp 173209)
NewUi version of this PR: https:  github com dimagi commcare odk pull 358
There was a bug where the sync process wasn t sending certain case audio attachments up to HQ  The problem was that only a handful of hard coded filetypes were accepted as valid 
This PR allows for all files that have an audio  video  or image mimetype to be uploaded as case attachments to HQ 
Note: currently if a case is uploaded to HQ that expects an attachment but the phone didn t include that attachment  the only info HQ returns is a 500 error 
Also includes:
  made AudioWidget stop adding double backslashes to filepaths
  removed unneeded platform parameter from SendTask constructor
  Refactored FormUploadUtil to use helper methods
  make CommCare not crash if you select an audio file in AudioWidget that doesn t have an extension (even though this should never really happen  good to be safe)
</t>
  </si>
  <si>
    <t>segmentio-analytics-android-309</t>
  </si>
  <si>
    <t>IllegalArgumentException in QueueFile.setLength</t>
  </si>
  <si>
    <t xml:space="preserve">We recently added segment into our release build  and it s causing a number of fatal crashes 
Observed on Samsung and Motorola phones  Android 5 0 2 and 5 1 1 
   java lang IllegalArgumentException: newLength   0
          at java io RandomAccessFile setLength(RandomAccessFile java:622)
          at com segment analytics QueueFile setLength(QueueFile java:392)
          at com segment analytics QueueFile expandIfNecessary(QueueFile java:361)
          at com segment analytics QueueFile add(QueueFile java:293)
          at com segment analytics QueueFile add(QueueFile java:273)
          at com segment analytics SegmentDispatcher performEnqueue(SegmentDispatcher java:221)
          at com segment analytics SegmentDispatcher SegmentDispatcherHandler handleMessage(SegmentDispatcher java:445)
          at android os Handler dispatchMessage(Handler java:102)
          at android os Looper loop(Looper java:145)
          at android os HandlerThread run(HandlerThread java:61)
</t>
  </si>
  <si>
    <t>dimagi-commcare-android-355</t>
  </si>
  <si>
    <t>Remove deprecated use of startManagingCursor</t>
  </si>
  <si>
    <t xml:space="preserve">NewUI fix for  this ticket (http:  manage dimagi com default asp 174380)
How to reproduce the crash (thanks to Clark):
  Open a form to edit
  save your progress using the right hand settings menu 
  In the same settings menu  click  Go to prompt  and then  Go to beginning  or  Go to end 
  Experience the wondrous crash
Cross requested with old ui: https:  github com dimagi commcare odk pull 364
</t>
  </si>
  <si>
    <t>QuickBlox-quickblox-android-sdk-103</t>
  </si>
  <si>
    <t>NullPointerException in QBJsonErrorParser</t>
  </si>
  <si>
    <t xml:space="preserve">Occasionally my Android app will crash because of a NullPointerException in the QuickBlox SDK  Checking Fabric  I can see that the crash occurs in the QBJsonErrorParser parseError() method  
com quickblox core parser QBJsonErrorParser parseError (QBJsonErrorParser java:43)
com quickblox core result RestResult processResponse (RestResult java:84)
com quickblox core result RestResult setResponse (RestResult java:66)
com quickblox core parser QBJsonParser parse (QBJsonParser java:76)
com quickblox core query Query VersionEntityCallback completedWithResponse (Query java:324)
com quickblox core query Query completedWithResponse (Query java:250)
com quickblox core server HttpRequestRunnable 1 handleMessage (HttpRequestRunnable java:43)
android os Handler dispatchMessage (Handler java:102)
android os Looper loop (Looper java:149)
android app ActivityThread main (ActivityThread java:5061)
java lang reflect Method invokeNative (Method java)
dalvik system NativeStart main (NativeStart java)
Possibly related  at one point I saw this output in my logs  but the app did not seem to crash at that point 
     REQUEST      e160888a 7ab7 4758 9200 c55bc1155232    
    REQUEST
    GET https:  api quickblox com users json
    HEADERS
    QuickBlox REST API Version 0 1 1
    QB SDK Android 2 2 2
    QB Token 420f0274651b798c9771606fb131cfa1951e4f6e
    PARAMETERS
    page 0
    per page 10000
    INLINE
    GET https:  api quickblox com users json page 0 per page 10000
     RESPONSE     e160888a 7ab7 4758 9200 c55bc1155232    
    STATUS : 502
    HEADERS
    Connection keep alive
    Content Length 173
    Content Type text html
    Date Fri  19 Jun 2015 18:00:00 GMT
    Server nginx 1 0 15
    BODY
      html 
     head  title 502 Bad Gateway  title   head 
     body bgcolor  white  
     center  h1 502 Bad Gateway  h1   center 
     hr  center nginx 1 0 15  center 
      body 
      html 
06 19 20:00:00 797  32117 32117 com me myapp D QBASDK  Problem has occurred during parsing errors
</t>
  </si>
  <si>
    <t>smarek-Simple-Dilbert-22</t>
  </si>
  <si>
    <t>Strip reload without connection</t>
  </si>
  <si>
    <t xml:space="preserve">Reload of a strip causes it to disappear if no access to internet is available  When trying to reload one more time without connection  the application crashes 
</t>
  </si>
  <si>
    <t>yazeed44-MultiImagePicker-12</t>
  </si>
  <si>
    <t>DarkActionBar</t>
  </si>
  <si>
    <t xml:space="preserve">Hello  Beautiful lib  though I failed to implement it easily into my project 
App crashes when AlbumActivity calls getSupportActionBar 
I suppose that happens because of the theme  I m using Theme Appcompat Light NoActionBar and Toolbar as a separate layout 
</t>
  </si>
  <si>
    <t>pjuu-droidotter-6</t>
  </si>
  <si>
    <t>droidotter crashing on image selection (for upload)</t>
  </si>
  <si>
    <t xml:space="preserve">Whenever I try to upload an image in Droidotter and I select an image Droidotter then crashes 
</t>
  </si>
  <si>
    <t>sauravpradhan-AnySound2BT-1</t>
  </si>
  <si>
    <t>Unfortunately, ANY_SOUND_2_BT has stopped.</t>
  </si>
  <si>
    <t xml:space="preserve">Hi 
I have a Samsung Galaxy S Relay   This is a cellphone model a few years old   It s probably similar to a Samsung Galaxy S3 
I downloaded and installed your app s  apk file from:
https:  drive google com file d 0Byaspar4S5SESUNRaTBNV3BEbmc view usp sharing
Then:
1   I connect my Plantronics Explorer 243 headset to my phone 
2   I open your app 
3   I press the  Off  button in order to try to change it to  On  
The  Off  button turns blue for five seconds or so   But it never changes to  On  
Then your app closes  and I see an error message:
 Unfortunately  ANY SOUND 2 BT has stopped  
I can reproduce this problem reliably   It always happens 
Because I didn t get the app from the Google Play store  there s no  Report  button which lets me automatically send you more information 
P S   Thank you very much  anyway  for releasing this (and its source code) on GitHub 
P P S   Later  I installed  Mono Bluetooth Router (https:  play google com store apps details id com maxistar monobluetoothfree) by Maxim Starikov  instead   It works fine on my phone  and has never crashed 
</t>
  </si>
  <si>
    <t>cgeo-cgeo-5074</t>
  </si>
  <si>
    <t>Many crashes on map</t>
  </si>
  <si>
    <t xml:space="preserve">Each time i want to open a cache from the map cgeo crashes 
No further details as I am on the road 
At least nighty users are affected  No idea if release is also affected 
</t>
  </si>
  <si>
    <t>dimagi-commcare-android-390</t>
  </si>
  <si>
    <t>Replace managedQuery/CursorLoader with getContentResolver().query</t>
  </si>
  <si>
    <t xml:space="preserve">Proposing a 2 21 2 hotfix because:
The issues persist with http:  manage dimagi com default asp 171001 971103
Now getting something like:
java lang RuntimeException: Unable to resume activity  org commcare dalvik org odk collect android activities FormEntryActivity : java lang IllegalStateException: database  data data org commcare dalvik databases instances db already closed
at android app ActivityThread performResumeActivity(ActivityThread java:2139)
at android app ActivityThread handleResumeActivity(ActivityThread java:2154)
at android app ActivityThread H handleMessage(ActivityThread java:966)
at android os Handler dispatchMessage(Handler java:99)
at android os Looper loop(Looper java:130)
at android app ActivityThread main(ActivityThread java:3714)
at java lang reflect Method invokeNative(Native Method)
at java lang reflect Method invoke(Method java:507)
at com android internal os ZygoteInit MethodAndArgsCaller run(ZygoteInit java:853)
at com android internal os ZygoteInit main(ZygoteInit java:611)
at dalvik system NativeStart main(Native Method)
Caused by: java lang IllegalStateException: database  data data org commcare dalvik databases instances db already closed
at android database sqlite SQLiteProgram bindString(SQLiteProgram java:240)
at android database sqlite SQLiteQuery requery(SQLiteQuery java:148)
at android database sqlite SQLiteCursor requery(SQLiteCursor java:535)
at android database CursorWrapper requery(CursorWrapper java:211)
at android app Activity performRestart(Activity java:3830)
at android app Activity performResume(Activity java:3851)
at android app ActivityThread performResumeActivity(ActivityThread java:2129)
    10 more
This PR tries to fix this by replacing calls to managedQuery CursorLoader with getContentResolver() query and make sure to manually close the cursor afterwards 
Sorta big change for a hotfix  I  quickly  set breakpoints at each place where I removed mangedQuery calls and verified the new call to getContentResolver() query followed the expected code path  I also tested that 2 21 1 does crash on pre Android 4 (emulators)  and that this PR prevents that crash 
  Background Context:  
Looking on the Play store  I see one crash report of this type on 2 21 1  It is for an Android 2 X device  I suspected that our 2 21 1 hotfix wouldn t actually resolve the crash for devices running Android 3 or earlier  Apologies for not verifying my suspicions 
I believe the crash is happening because managedQuery makes some automatic calls to requery that we aren t anticipating handling correctly (hand wavy intuition) 
The way we are using managedQuery and CursorLoader in FormEntryActivity is vanilla (each query is made only once  in a UI blocking fashion)  we don t need the added complexity (at the moment  though using them correctly would enable non UI blocking queries) 
</t>
  </si>
  <si>
    <t>SMSTicket-sms-ticket-18</t>
  </si>
  <si>
    <t>Crashlytics not working</t>
  </si>
  <si>
    <t xml:space="preserve">We don t see any users in Crashlytics  We should add some hidden part of the app which causes the crash to test crash reporting in release builds 
</t>
  </si>
  <si>
    <t>vickychijwani-quill-87</t>
  </si>
  <si>
    <t>Crash on logging in after offline logout</t>
  </si>
  <si>
    <t xml:space="preserve">Not sure if it ll be reproducible  but these were the steps:
1  Login
2  Stop Ghost
3  Edit a draft and hit back to auto save    the post will say  Saved on device  waiting to go online    
4  Logout    access token revocation will fail (but it seems irrelevant here)
5  Start Ghost again
6  Login
7  Edit a draft and hit back to auto save    crash (link below)
Crash stack: http:  crashes to s 9dcc54645d7
</t>
  </si>
  <si>
    <t>mapsforge-mapsforge-645</t>
  </si>
  <si>
    <t>Invalid Number of Way Nodes</t>
  </si>
  <si>
    <t xml:space="preserve">It is a common occurrence to get a warning message from this block in MapFile java:
        if (numberOfWayNodes   2    numberOfWayNodes   Short MAX VALUE)  
            LOGGER warning( invalid number of way nodes:     numberOfWayNodes) 
               returning null here will actually leave the tile blank as the
               position on the ReadBuffer will not be advanced correctly  However 
               it will not crash the app 
            return null 
with numberOfWayNodes    0  I m guessing it s a bug in the map writer  An example is in japan map  in the block where z 4 x 13 y 6
</t>
  </si>
  <si>
    <t>facebook-stetho-215</t>
  </si>
  <si>
    <t>Stetho crashes when it is opened with Network as the default tab</t>
  </si>
  <si>
    <t xml:space="preserve">Stetho crashes when it is opened with Network as the default tab 
To see the crash:
1) Open stetho  go to Network tab 
2) Close stetho  reopen stetho (the default tab should be network)
Here is the stack trace:
07 06 17:53:58 359  26101 26101 com facebook stetho sample E AndroidRuntime  FATAL EXCEPTION: main
    java lang NullPointerException
            at com facebook stetho inspector protocol module DOM createShadowDOMUpdate(DOM java:231)
            at com facebook stetho inspector protocol module DOM updateTree(DOM java:213)
            at com facebook stetho inspector protocol module DOM access 2800(DOM java:51)
            at com facebook stetho inspector protocol module DOM ProviderListener onPossiblyChanged(DOM java:634)
            at com facebook stetho inspector elements android AndroidDOMProvider 1 run(AndroidDOMProvider java:65)
            at android os Handler handleCallback(Handler java:725)
            at android os Handler dispatchMessage(Handler java:92)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t>
  </si>
  <si>
    <t>forcedotcom-SalesforceMobileSDK-Android-917</t>
  </si>
  <si>
    <t>null integer and floating values cause crash</t>
  </si>
  <si>
    <t xml:space="preserve">SDK: v3 3 
When running an upsert with null integer or floating values a crash is seen  It looked like this was fixed in  PR 832 (https:  github com forcedotcom SalesforceMobileSDK Android pull 832) but it does not seem to have worked as expected 
The following can be used to re produce the issue (from JS console) of a new hybrid app 
var smartstore   cordova require( com salesforce plugin smartstore ) 
smartstore registerSoup( testSoup     path: MyString  type: string    path: MyInt  type: integer     function(res) console log(res)    function(err) console error(err)  ) 
var upsertArr      
   All fields present
   All OK  as expected
upsertArr      MyString  :  1    MyInt  : 1   
smartstore upsertSoupEntries( testSoup   upsertArr  function(res) console log(res)    function(err) console error(err)  ) 
   No int field supplied
   All OK  as expected
upsertArr      MyString  :  2    
smartstore upsertSoupEntries( testSoup   upsertArr  function(res) console log(res)    function(err) console error(err)  ) 
   null string value supplied
   All OK  as expected
upsertArr      MyString  : null   MyInt  : 4   
smartstore upsertSoupEntries( testSoup   upsertArr  function(res) console log(res)    function(err) console error(err)  ) 
   null int value supplied
   FAILS  :(
upsertArr      MyString  :  3    MyInt  : null   
smartstore upsertSoupEntries( testSoup   upsertArr  function(res) console log(res)    function(err) console error(err)  ) 
   this is the error seen 
com salesforce smartstore:pgUpsertSoupEntries failed com salesforce util exec js:42
(anonymous function) com salesforce util exec js:42
cordova callbackFromNative cordova js:295
processMessage cordova js:1054
androidExec processMessages cordova js:1091
pollOnce cordova js:956
pollOnceFromOnlineEvent
org json JSONObject 1 cannot be cast to java lang Number
I am using the following in  src com androidsdk smartstore store smartstore java  and it seems to work as expected 
I was going to put in a PR but was unsure of how where the tests should be written etc  If you can give me guidance I d be happy to give this a go 
        param soupElt
        param contentValues
        param indexSpec
    private void projectIndexedPath(JSONObject soupElt  ContentValues contentValues  IndexSpec indexSpec)  
        Object value   project(soupElt  indexSpec path) 
        switch (indexSpec type)  
        case integer:
            Long longValToUse   null 
            try  
                longValToUse   ((Number) value) longValue() 
            catch (Exception e)  
                   Ignore and use the null value
            contentValues put(indexSpec columnName  longValToUse)  break 
        case string:
        case full text:
            contentValues put(indexSpec columnName  value    null   value toString() : null)  break 
        case floating:
            Double doubleValToUse   null 
            try  
                doubleValToUse   ((Number) value) doubleValue() 
            catch (Exception e)  
                   Ignore and use the null value
            contentValues put(indexSpec columnName  doubleValToUse)  break 
</t>
  </si>
  <si>
    <t>unfoldingWord-dev-translationKeyboard-24</t>
  </si>
  <si>
    <t>Crashes</t>
  </si>
  <si>
    <t xml:space="preserve">Build 44 is crashing periodically on my s5 lollipop
</t>
  </si>
  <si>
    <t>Fermat-ORG-fermat-framework-532</t>
  </si>
  <si>
    <t>Crash tocando en un folder en Log Tools</t>
  </si>
  <si>
    <t xml:space="preserve">Tocando en un folder en Log Tools  se produjo un crash y este es el log que capure 
07 07 22:53:55 211  22894 22894 com bitdubai fermat E AndroidRuntime  FATAL EXCEPTION: main
    Process: com bitdubai fermat  PID: 22894
    java lang RuntimeException: Unable to start activity ComponentInfo com bitdubai fermat com bitdubai android core app SubAppActivity : java lang NullPointerException: Attempt to invoke interface method  void com bitdubai fermat api layer pip platform service error manager ErrorManager reportUnexpectedPlatformException(com bitdubai fermat api layer all definition enums PlatformComponents  com bitdubai fermat api layer pip platform service error manager UnexpectedPlatformExceptionSeverity  java lang Exception)  on a null object reference
            at android app ActivityThread performLaunchActivity(ActivityThread java:2814)
            at android app ActivityThread handleLaunchActivity(ActivityThread java:2879)
            at android app ActivityThread access 900(ActivityThread java:182)
            at android app ActivityThread H handleMessage(ActivityThread java:1475)
            at android os Handler dispatchMessage(Handler java:102)
            at android os Looper loop(Looper java:145)
            at android app ActivityThread main(ActivityThread java:6141)
            at java lang reflect Method invoke(Native Method)
            at java lang reflect Method invoke(Method java:372)
            at com android internal os ZygoteInit MethodAndArgsCaller run(ZygoteInit java:1399)
            at com android internal os ZygoteInit main(ZygoteInit java:1194)
     Caused by: java lang NullPointerException: Attempt to invoke interface method  void com bitdubai fermat api layer pip platform service error manager ErrorManager reportUnexpectedPlatformException(com bitdubai fermat api layer all definition enums PlatformComponents  com bitdubai fermat api layer pip platform service error manager UnexpectedPlatformExceptionSeverity  java lang Exception)  on a null object reference
            at com bitdubai android core app SubAppActivity onCreate(SubAppActivity java:123)
            at android app Activity performCreate(Activity java:6374)
            at android app Instrumentation callActivityOnCreate(Instrumentation java:1119)
            at android app ActivityThread performLaunchActivity(ActivityThread java:2767)
            at android app ActivityThread handleLaunchActivity(ActivityThread java:2879)
            at android app ActivityThread access 900(ActivityThread java:182)
            at android app ActivityThread H handleMessage(ActivityThread java:1475)
            at android os Handler dispatchMessage(Handler java:102)
            at android os Looper loop(Looper java:145)
            at android app ActivityThread main(ActivityThread java:6141)
            at java lang reflect Method invoke(Native Method)
            at java lang reflect Method invoke(Method java:372)
            at com android internal os ZygoteInit MethodAndArgsCaller run(ZygoteInit java:1399)
            at com android internal os ZygoteInit main(ZygoteInit java:1194)
07 07 22:53:56 911  22894 22894 com bitdubai fermat I Process  Sending signal  PID: 22894 SIG: 9
07 07 22:53:59 711  22925 22925 com bitdubai fermat I Process  Sending signal  PID: 22925 SIG: 9
</t>
  </si>
  <si>
    <t>moneymanagerex-android-money-manager-ex-391</t>
  </si>
  <si>
    <t>IllegalFormatConversionException: %d can't format java.lang.String arguments</t>
  </si>
  <si>
    <t xml:space="preserve">It is confirmed  as stated in the question below  that this happens only on Samsung devices 
The solution  again as suggested  would be to use a custom date time picker instead of the built in one 
Links:
  http:  stackoverflow com questions 28345413 datepicker crash in samsung with android 5 0
  http:  stackoverflow com questions 28618405 datepicker crashes on my device when clicked with personal app
</t>
  </si>
  <si>
    <t>auth0-Lock.Android-106</t>
  </si>
  <si>
    <t>User's identities are not properly parsed from JSON</t>
  </si>
  <si>
    <t xml:space="preserve">Instead of returning a  List UserIdentity   it returns a list of maps which cause any Android app to crash if it request the identities from a  UserProfile 
</t>
  </si>
  <si>
    <t>ConnectSDK-Connect-SDK-Android-274</t>
  </si>
  <si>
    <t>java.lang.NullPointerException        at com.connectsdk.service.sessions.WebOSWebAppSession.sendP2PMessage(WebOSWebAppSession.java:449)</t>
  </si>
  <si>
    <t xml:space="preserve">Just got this crash report  no idea how to reproduce as I don t have a WebOS TV  
java lang NullPointerException
       at com connectsdk service sessions WebOSWebAppSession sendP2PMessage(WebOSWebAppSession java:449)
       at com connectsdk service sessions WebOSWebAppSession sendMessage(WebOSWebAppSession java:433)
       at com connectsdk service sessions WebOSWebAppSession playMedia(WebOSWebAppSession java:912)
       at com connectsdk service WebOSTVService 20 onSuccess(WebOSTVService java:1338)
       at com connectsdk service WebOSTVService 20 onSuccess(WebOSTVService java:1329)
       at com connectsdk core Util 2 run(Util java:105)
       at android os Handler handleCallback(Handler java:605)
       at android os Handler dispatchMessage(Handler java:92)
       at android os Looper loop(Looper java:154)
       at android app ActivityThread main(ActivityThread java:4624)
       at java lang reflect Method invokeNative(Method java)
       at java lang reflect Method invoke(Method java:511)
       at com android internal os ZygoteInit MethodAndArgsCaller run(ZygoteInit java:809)
       at com android internal os ZygoteInit main(ZygoteInit java:576)
       at dalvik system NativeStart main(NativeStart java)
</t>
  </si>
  <si>
    <t>open-keychain-open-keychain-1426</t>
  </si>
  <si>
    <t>Decrypt example from Intent library crashes OpenKeychain</t>
  </si>
  <si>
    <t xml:space="preserve">Decrypt example from Intent library crashes OpenKeychain
</t>
  </si>
  <si>
    <t>marverenic-Jockey-19</t>
  </si>
  <si>
    <t>Service crash, lag</t>
  </si>
  <si>
    <t xml:space="preserve">Every time I open the app in kitkat and jellybean  it reports a crash and the service notification disappears  later  when clicked on a song  nothing happens but after sometime  the app starts playing  Please fix the service issue
</t>
  </si>
  <si>
    <t>QuantumBadger-RedReader-228</t>
  </si>
  <si>
    <t>RedReader crashes on login</t>
  </si>
  <si>
    <t xml:space="preserve">Hi 
When i tried to login to the app it crashes and app won t open again until i delete the cache  But login appears to be successful  While i can t open the app i get the message notifications  I tried to login with both my main account and a throwaway one  Result stays the same 
I am using an LG G2 with stock ROM and my Android version is 4 2 2
Here is the log f le  https:  gist github com ugurcan377 aed907de091dbfdabd60
</t>
  </si>
  <si>
    <t>OceanLabs-Android-Print-SDK-6</t>
  </si>
  <si>
    <t>Device: S6/Edge - After Paypal sandbox payment</t>
  </si>
  <si>
    <t xml:space="preserve">BUG: Device: S6 Edge   After Paypal sandbox payment  the file uploader was displayed  it didn t progress any on the   indicator and then showed me a blank black screen and minimised the app  I hit back a few times  the app was then frozen on a previous screen and I had to kill it   maybe it crashed but not clear     Went back into the app and get a Kite is not responding message WAIT KILL   I m waiting to see what happens  maybe it s trying to process the upload in the background  
fionnconcannon  1:48 PM 
Closed the app and it s reset from the beginning now  Will check if it processed the file and try to reproduce
</t>
  </si>
  <si>
    <t>geftimov-android-pathview-10</t>
  </si>
  <si>
    <t>Attempt to invoke virtual method 'android.graphics.RectF com.caverock.androidsvg.SVG.getDocumentViewBox()' on a null object reference</t>
  </si>
  <si>
    <t xml:space="preserve">I have an error which crash app:
 Attempt to invoke virtual method  android graphics RectF com caverock androidsvg SVG getDocumentViewBox()  on a null object reference 
Bug occurs on tablet with tegra 2 and phones with Mediatek 
Full error log:
 java lang NullPointerException: Attempt to invoke virtual method  android graphics RectF com caverock androidsvg SVG getDocumentViewBox()  on a null object reference
            at com eftimoff androipathview SvgUtils rescaleCanvas(SvgUtils java:129)
            at com eftimoff androipathview SvgUtils drawSvgAfter(SvgUtils java:76)
            at com eftimoff androipathview PathView fillAfter(PathView java:216)
            at com eftimoff androipathview PathView onDraw(PathView java:204)
            at android view View draw(View java:15231)
            at android view View updateDisplayListIfDirty(View java:14167)
            at android view View getDisplayList(View java:14189)
            at android view View draw(View java:14959)
            at android view ViewGroup drawChild(ViewGroup java:3405)
            at android view ViewGroup dispatchDraw(ViewGroup java:3198)
            at android view View draw(View java:15234)
            at android view View updateDisplayListIfDirty(View java:14167)
            at android view View getDisplayList(View java:14189)
            at android view View draw(View java:14959)
            at android view ViewGroup drawChild(ViewGroup java:3405)
            at android view ViewGroup dispatchDraw(ViewGroup java:3198)
            at android view View updateDisplayListIfDirty(View java:14162)
            at android view View getDisplayList(View java:14189)
            at android view View draw(View java:14959)
            at android view ViewGroup drawChild(ViewGroup java:3405)
            at android view ViewGroup dispatchDraw(ViewGroup java:3198)
            at android view View updateDisplayListIfDirty(View java:14162)
            at android view View getDisplayList(View java:14189)
            at android view View draw(View java:14959)
            at android view ViewGroup drawChild(ViewGroup java:3405)
            at android view ViewGroup dispatchDraw(ViewGroup java:3198)
            at android view View updateDisplayListIfDirty(View java:14162)
            at android view View getDisplayList(View java:14189)
            at android view View draw(View java:14959)
            at android view ViewGroup drawChild(ViewGroup java:3405)
            at android view ViewGroup dispatchDraw(ViewGroup java:3198)
            at android view View updateDisplayListIfDirty(View java:14162)
            at android view View getDisplayList(View java:14189)
            at android view View draw(View java:14959)
            at android view ViewGroup drawChild(ViewGroup java:3405)
            at android view ViewGroup dispatchDraw(ViewGroup java:3198)
            at android view View draw(View java:15234)
            at android widget FrameLayout draw(FrameLayout java:598)
            at com android internal policy impl PhoneWindow DecorView draw(PhoneWindow java:2650)
            at android view View updateDisplayListIfDirty(View java:14167)
            at android view View getDisplayList(View java:14189)
            at android view ThreadedRenderer updateViewTreeDisplayList(ThreadedRenderer java:273)
            at android view ThreadedRenderer updateRootDisplayList(ThreadedRenderer java:279)
            at android view ThreadedRenderer draw(ThreadedRenderer java:318)
            at android view ViewRootImpl draw(ViewRootImpl java:2530)
            at android view ViewRootImpl performDraw(ViewRootImpl java:2352)
            at android view ViewRootImpl performTraversals(ViewRootImpl java:1982)
            at android view ViewRootImpl doTraversal(ViewRootImpl java:1061)
            at android view ViewRootImpl TraversalRunnable run(ViewRootImpl java:5885)
            at android view Choreographer CallbackRecord run(Choreographer java:767)
            at android view Choreographer doCallbacks(Choreographer java:580)
            at android view Choreographer doFrame(Choreographer java:550)
            at android view Choreographer FrameDisplayEventReceiver run(Choreographer java:753)
            at android os Handler handleCallback(Handler java:739)
            at android os Handler dispatchMessage(Handler java:95)
            at android os Looper loop(Looper java:135)
            at android app ActivityThread main(ActivityThread java:5296)
            at java lang reflect Method invoke(Native Method)
            at java lang reflect Method invoke(Method java:372)
            at com android internal os ZygoteInit MethodAndArgsCaller run(ZygoteInit java:903)
            at com android internal os ZygoteInit main(ZygoteInit java:698) 
</t>
  </si>
  <si>
    <t>px-amaac-KZFR-52</t>
  </si>
  <si>
    <t>Crash on reopen of the app</t>
  </si>
  <si>
    <t xml:space="preserve">When the app has been in the background for a period of time and is relaunched it will sometimes crash  Needs Debugging 
</t>
  </si>
  <si>
    <t>aashrai-Skittles-6</t>
  </si>
  <si>
    <t>ClickEventError when no mini skittles added</t>
  </si>
  <si>
    <t xml:space="preserve">there is a crash when the main skittle is clicked when there are no mini skittles added
</t>
  </si>
  <si>
    <t>react-native-camera-react-native-camera-61</t>
  </si>
  <si>
    <t xml:space="preserve">Stuttery viewfinder on switching to camera </t>
  </si>
  <si>
    <t xml:space="preserve">It s kind of dim and stuttery for about a second  Trying to take a picture during this time can crash the app 
</t>
  </si>
  <si>
    <t>netmackan-ATimeTracker-35</t>
  </si>
  <si>
    <t>crash on restore</t>
  </si>
  <si>
    <t xml:space="preserve">when trying to restore a backup  the app crashes with  Unfortunately  A Time Tracker has stopped  
this happens directly after selecting the menu item 
</t>
  </si>
  <si>
    <t>CellularPrivacy-Android-IMSI-Catcher-Detector-543</t>
  </si>
  <si>
    <t>app crash when downloading OpenCellID</t>
  </si>
  <si>
    <t xml:space="preserve">After a clean install of 0 1 32 alpha b00  the app crash when I try to download the cell informations from OpenCellID 
This from the download option in the menu or with the download icon in the map of the cells 
Samsung Galaxy S4 mini   stock firmware   rooted by towelroot 
</t>
  </si>
  <si>
    <t>federvieh-selma-15</t>
  </si>
  <si>
    <t>Selma sometimes crashes when scanning for lessons</t>
  </si>
  <si>
    <t xml:space="preserve">When scanning for lessons  Selma sometimes doesn t finish scanning all lessons or crashes in the middle of the process 
Sometimes the only option for the user is to delete the app data and start from scratch 
</t>
  </si>
  <si>
    <t>dimagi-commcare-android-414</t>
  </si>
  <si>
    <t>Fix app crash in LoginActivity &amp; persistently log any task crashes</t>
  </si>
  <si>
    <t xml:space="preserve">Don t try to switch on a null value  which occurs when the DataPullTask launched by LoginActivity errors out  Noticed this when looking at this crash from the play store crash reports: 
java lang NullPointerException
at org commcare dalvik activities LoginActivity 3 deliverResult(LoginActivity java:181)
at org commcare dalvik activities LoginActivity 3 deliverResult(LoginActivity java:173)
at org commcare android tasks templates CommCareTask onPostExecute(CommCareTask java:83)
at android os AsyncTask finish(AsyncTask java:417)
at android os AsyncTask access 300(AsyncTask java:127)
at android os AsyncTask InternalHandler handleMessage(AsyncTask java:429)
at android os Handler dispatchMessage(Handler java:99)
at android os Looper loop(Looper java:130)
at android app ActivityThread main(ActivityThread java:3821)
at java lang reflect Method invokeNative(Native Method)
at java lang reflect Method invoke(Method java:507)
at com android internal os ZygoteInit MethodAndArgsCaller run(ZygoteInit java:839)
at com android internal os ZygoteInit main(ZygoteInit java:597)
at dalvik system NativeStart main(Native Method)
Also log task crashes persistently 
</t>
  </si>
  <si>
    <t>Cloudkibo-Android-21</t>
  </si>
  <si>
    <t>App crashed on receive chat</t>
  </si>
  <si>
    <t xml:space="preserve">When a chat message was sent to android  the app crashed  The bug log is like this: 
android view ViewRoot CalledFromWrongThreadException: Only the original thread that created a view hierarchy can touch its views 
I am looking into this bug  This was not created before 
</t>
  </si>
  <si>
    <t>jjhesk-KickAssSlidingMenu-7</t>
  </si>
  <si>
    <t>lifecycle issue</t>
  </si>
  <si>
    <t xml:space="preserve">crashed when the app is restarted again  
</t>
  </si>
  <si>
    <t>RFO-BASIC-Basic-192</t>
  </si>
  <si>
    <t>gr.get.params example crashes BASIC!</t>
  </si>
  <si>
    <t xml:space="preserve">See http:  rfobasic freeforums org post22368 html p22368
Code that crashes BASIC  is
    VB
gr open
gr text draw t 10 10  bla bla 
gr get params t p   
gr close
array size as p   
for i 1 to as:  p  i : next
do: pause 1: until 0
</t>
  </si>
  <si>
    <t>mozilla-MozStumbler-1679</t>
  </si>
  <si>
    <t>new async uploader FileNotFoundException causing crash (not in release)</t>
  </si>
  <si>
    <t xml:space="preserve">I think we need to double check if the storage directory somehow got wiped out     If the directory is not there  we should try to recreate it   
If that fails  we should immediately terminate the application 
On application startup  if the storage directory can t be created   there should be some kind of meaningful notification to the user that no reports can be saved or loaded from Android storage 
We see this crash show up dozens of times from individual devices   so this is a pretty high priority 
Crash report from 1 7 12 :
STACK TRACE 
0   java io FileNotFoundException:  data data org mozilla mozstumbler files reports report t1434113604197 r0 w0 c0 gz: open failed: ENOENT (No such file or directory)
1   at libcore io IoBridge open(IoBridge java:456)
2   at java io RandomAccessFile  init (RandomAccessFile java:117)
3   at org mozilla mozstumbler service stumblerthread datahandling base SerializedJSONRowsList Iterator readFile(SerializedJSONRowsList java:44)
4   at org mozilla mozstumbler service stumblerthread datahandling base SerializedJSONRowsList Iterator getAtCurrentIndex(SerializedJSONRowsList java:27)
5   at org mozilla mozstumbler service stumblerthread datahandling base JSONRowsStorageManager getNextBatch(JSONRowsStorageManager java:139)
6   at org mozilla mozstumbler service uploadthread AsyncUploader uploadReports(AsyncUploader java:165)
7   at org mozilla mozstumbler service uploadthread AsyncUploader doInBackground(AsyncUploader java:81)
8   at org mozilla mozstumbler service uploadthread AsyncUploader doInBackground(AsyncUploader java:43)
9   at android os AsyncTask 2 call(AsyncTask java:292)
10  at java util concurrent FutureTask run(FutureTask java:237)
11  at android os AsyncTask SerialExecutor 1 run(AsyncTask java:231)
12  at java util concurrent ThreadPoolExecutor runWorker(ThreadPoolExecutor java:1112)
13  at java util concurrent ThreadPoolExecutor Worker run(ThreadPoolExecutor java:587)
14  at java lang Thread run(Thread java:818)
15  Caused by: android system ErrnoException: open failed: ENOENT (No such file or directory)
16  at libcore io Posix open(Native Method)
17  at libcore io BlockGuardOs open(BlockGuardOs java:186)
18  at libcore io IoBridge open(IoBridge java:442)
19      13 more
20  android system ErrnoException: open failed: ENOENT (No such file or directory)
21  at libcore io Posix open(Native Method)
22  at libcore io BlockGuardOs open(BlockGuardOs java:186)
23  at libcore io IoBridge open(IoBridge java:442)
24  at java io RandomAccessFile  init (RandomAccessFile java:117)
25  at org mozilla mozstumbler service stumblerthread datahandling base SerializedJSONRowsList Iterator readFile(SerializedJSONRowsList java:44)
26  at org mozilla mozstumbler service stumblerthread datahandling base SerializedJSONRowsList Iterator getAtCurrentIndex(SerializedJSONRowsList java:27)
27  at org mozilla mozstumbler service stumblerthread datahandling base JSONRowsStorageManager getNextBatch(JSONRowsStorageManager java:139)
28  at org mozilla mozstumbler service uploadthread AsyncUploader uploadReports(AsyncUploader java:165)
29  at org mozilla mozstumbler service uploadthread AsyncUploader doInBackground(AsyncUploader java:81)
30  at org mozilla mozstumbler service uploadthread AsyncUploader doInBackground(AsyncUploader java:43)
31  at android os AsyncTask 2 call(AsyncTask java:292)
32  at java util concurrent FutureTask run(FutureTask java:237)
33  at android os AsyncTask SerialExecutor 1 run(AsyncTask java:231)
34  at java util concurrent ThreadPoolExecutor runWorker(ThreadPoolExecutor java:1112)
35  at java util concurrent ThreadPoolExecutor Worker run(ThreadPoolExecutor java:587)
36  at java lang Thread run(Thread java:818)
37  
</t>
  </si>
  <si>
    <t>liferay-liferay-screens-161</t>
  </si>
  <si>
    <t>LSR-288 Allow creating the CredentialsStore for the first time</t>
  </si>
  <si>
    <t xml:space="preserve">Before this commit if you want to retrieve the stored session (loadSessionFromStore) and there is nothing there  it fails with an exception because that method does not set an auth type (and I think that is right  because it could load BASIC or OAUTH) 
I think that the programmer prefers to not find anything  instead of an exception  so I prefer a sensible default that throwing null and expecting it to crash (with a runtimeexception) 
Another solution could be launching a checked exception   
</t>
  </si>
  <si>
    <t>avluis-Hentoid-14</t>
  </si>
  <si>
    <t>[Bug] Invoking "web search" in a webview causes the app to crash.</t>
  </si>
  <si>
    <t xml:space="preserve">In a webview activity  tapping and holding text will show the text selection CAB  In this CAB there is a menu overflow that has a web search option  Selecting this option will cause the app to crash 
Affects version: 1 0 8
Device os: 4 2 2
Frequency: 100 
Repro steps:
1  Launch app and proceed to any webview activity 
2  Tap and hold over text 
3  When the CAB appears  select the overflow menu and tap  web search  
Result: A crash report toast will appear and the app will relaunch 
</t>
  </si>
  <si>
    <t>Exlsunshine-ChatApplication-38</t>
  </si>
  <si>
    <t>Audio bug</t>
  </si>
  <si>
    <t xml:space="preserve">Select void input mode  then with a quick click to the input button (instead of long click)  the system will crash 
</t>
  </si>
  <si>
    <t>Exlsunshine-ChatApplication-37</t>
  </si>
  <si>
    <t>SlideBar bug</t>
  </si>
  <si>
    <t xml:space="preserve">If the friend list is empty  one single click will lead the system to crash 
</t>
  </si>
  <si>
    <t>open-keychain-open-keychain-1447</t>
  </si>
  <si>
    <t>Crash on refresh key when it has been revoked</t>
  </si>
  <si>
    <t xml:space="preserve">1  backup db
2  revoke one of your keys (revoke all subkeys and user ids) and upload it to keyservers
3  restore db
4  Go to view of this key and click on refresh 
5  OK crashes  Looks like it has something to do with the cursor of the user ids 
 24548         AndroidRuntime  D  Shutting down VM
 24548         AndroidRuntime  E  FATAL EXCEPTION: main
 24548         AndroidRuntime  E  Process: org sufficientlysecure keychain debug  PID: 24548
 24548         AndroidRuntime  E  android database StaleDataException: Attempting to access a closed CursorWindow Most probable cause: cursor is deactivated prior to calling this method 
 24548         AndroidRuntime  E  at android database AbstractWindowedCursor checkPosition(AbstractWindowedCursor java:139)
 24548         AndroidRuntime  E  at android database AbstractWindowedCursor getString(AbstractWindowedCursor java:50)
 24548         AndroidRuntime  E  at android database CursorWrapper getString(CursorWrapper java:114)
 24548         AndroidRuntime  E  at org sufficientlysecure keychain ui adapter UserIdsAdapter bindView(UserIdsAdapter java:74)
 24548         AndroidRuntime  E  at android support v4 widget CursorAdapter getView(CursorAdapter java:256)
 24548         AndroidRuntime  E  at android widget AbsListView obtainView(AbsListView java:2349)
 24548         AndroidRuntime  E  at android widget ListView measureHeightOfChildren(ListView java:1270)
 24548         AndroidRuntime  E  at android widget ListView onMeasure(ListView java:1182)
 24548         AndroidRuntime  E  at org sufficientlysecure keychain ui widget FixedListView onMeasure(FixedListView java:50)
 24548         AndroidRuntime  E  at android view View measure(View java:17554)
 24548         AndroidRuntime  E  at android view ViewGroup measureChildWithMargins(ViewGroup java:5536)
 24548         AndroidRuntime  E  at android widget LinearLayout measureChildBeforeLayout(LinearLayout java:1436)
 24548         AndroidRuntime  E  at android widget LinearLayout measureVertical(LinearLayout java:722)
 24548         AndroidRuntime  E  at android widget LinearLayout onMeasure(LinearLayout java:613)
 24548         AndroidRuntime  E  at android view View measure(View java:17554)
 24548         AndroidRuntime  E  at android view ViewGroup measureChildWithMargins(ViewGroup java:5536)
 24548         AndroidRuntime  E  at android widget FrameLayout onMeasure(FrameLayout java:436)
 24548         AndroidRuntime  E  at android support v7 widget CardView onMeasure(CardView java:198)
 24548         AndroidRuntime  E  at android view View measure(View java:17554)
 24548         AndroidRuntime  E  at android view ViewGroup measureChildWithMargins(ViewGroup java:5536)
 24548         AndroidRuntime  E  at android widget LinearLayout measureChildBeforeLayout(LinearLayout java:1436)
 24548         AndroidRuntime  E  at android widget LinearLayout measureVertical(LinearLayout java:722)
 24548         AndroidRuntime  E  at android widget LinearLayout onMeasure(LinearLayout java:613)
 24548         AndroidRuntime  E  at android view View measure(View java:17554)
 24548         AndroidRuntime  E  at android widget ScrollView measureChildWithMargins(ScrollView java:1260)
 24548         AndroidRuntime  E  at android widget FrameLayout onMeasure(FrameLayout java:436)
 24548         AndroidRuntime  E  at android widget ScrollView onMeasure(ScrollView java:337)
 24548         AndroidRuntime  E  at android view View measure(View java:17554)
 24548         AndroidRuntime  E  at android view ViewGroup measureChildWithMargins(ViewGroup java:5536)
 24548         AndroidRuntime  E  at android widget FrameLayout onMeasure(FrameLayout java:436)
 24548         AndroidRuntime  E  at android view View measure(View java:17554)
 24548         AndroidRuntime  E  at android view ViewGroup measureChildWithMargins(ViewGroup java:5536)
 24548         AndroidRuntime  E  at android widget FrameLayout onMeasure(FrameLayout java:436)
 24548         AndroidRuntime  E  at android view View measure(View java:17554)
 24548         AndroidRuntime  E  at android view ViewGroup measureChildWithMargins(ViewGroup java:5536)
 24548         AndroidRuntime  E  at android widget FrameLayout onMeasure(FrameLayout java:436)
 24548         AndroidRuntime  E  at android view View measure(View java:17554)
 24548         AndroidRuntime  E  at android view ViewGroup measureChildWithMargins(ViewGroup java:5536)
 24548         AndroidRuntime  E  at android widget FrameLayout onMeasure(FrameLayout java:436)
 24548         AndroidRuntime  E  at android view View measure(View java:17554)
 24548         AndroidRuntime  E  at android view ViewGroup measureChildWithMargins(ViewGroup java:5536)
 24548         AndroidRuntime  E  at android widget LinearLayout measureChildBeforeLayout(LinearLayout java:1436)
 24548         AndroidRuntime  E  at android widget LinearLayout measureVertical(LinearLayout java:722)
 24548         AndroidRuntime  E  at android widget LinearLayout onMeasure(LinearLayout java:613)
 24548         AndroidRuntime  E  at android view View measure(View java:17554)
 24548         AndroidRuntime  E  at android widget RelativeLayout measureChildHorizontal(RelativeLayout java:728)
 24548         AndroidRuntime  E  at android widget RelativeLayout onMeasure(RelativeLayout java:464)
 24548         AndroidRuntime  E  at android view View measure(View java:17554)
 24548         AndroidRuntime  E  at android view ViewGroup measureChildWithMargins(ViewGroup java:5536)
 24548         AndroidRuntime  E  at android widget FrameLayout onMeasure(FrameLayout java:436)
 24548         AndroidRuntime  E  at android support v7 internal widget ContentFrameLayout onMeasure(ContentFrameLayout java:124)
 24548         AndroidRuntime  E  at android view View measure(View java:17554)
 24548         AndroidRuntime  E  at android view ViewGroup measureChildWithMargins(ViewGroup java:5536)
 24548         AndroidRuntime  E  at android widget FrameLayout onMeasure(FrameLayout java:436)
 24548         AndroidRuntime  E  at android view View measure(View java:17554)
 24548         AndroidRuntime  E  at android view ViewGroup measureChildWithMargins(ViewGroup java:5536)
 24548         AndroidRuntime  E  at android widget FrameLayout onMeasure(FrameLayout java:436)
 24548         AndroidRuntime  E  at android view View measure(View java:17554)
  743         ActivityManager  W  Force finishing activity 1 org sufficientlysecure keychain debug org sufficientlysecure keychain ui ViewKeyActivity
</t>
  </si>
  <si>
    <t>cgeo-cgeo-5091</t>
  </si>
  <si>
    <t>IllegalStateException short after editing personal note</t>
  </si>
  <si>
    <t xml:space="preserve">2015 07 13 NB but not clearly reproducible
  Open a saved cache
  Edit existing personal note and save it
  Select Upload
When selecting upload or short before just after saving the note c:geo crashes sometimes:
12:49:46 450 Error cgeo 10085   main  UncaughtException
12:49:46 451 Error cgeo 10085  java lang IllegalStateException: Fatal Exception thrown on Scheduler Worker thread 
12:49:46 451 Error cgeo 10085   at rx internal schedulers ScheduledAction run(ScheduledAction java:62)
12:49:46 451 Error cgeo 10085   at android os Handler handleCallback(Handler java:739)
12:49:46 451 Error cgeo 10085   at android os Handler dispatchMessage(Handler java:95)
12:49:46 451 Error cgeo 10085   at android os Looper loop(Looper java:145)
12:49:46 451 Error cgeo 10085   at android app ActivityThread main(ActivityThread java:5942)
12:49:46 451 Error cgeo 10085   at java lang reflect Method invoke(Native Method)
12:49:46 451 Error cgeo 10085   at java lang reflect Method invoke(Method java:372)
12:49:46 451 Error cgeo 10085   at com android internal os ZygoteInit MethodAndArgsCaller run(ZygoteInit java:1400)
12:49:46 451 Error cgeo 10085   at com android internal os ZygoteInit main(ZygoteInit java:1195)
12:49:46 451 Error cgeo 10085  Caused by: java lang IllegalStateException: text view has been deleted while its images are still in use
12:49:46 451 Error cgeo 10085   at cgeo geocaching utils ImageUtils ContainerDrawable updateDrawable(ImageUtils java:413)
12:49:46 451 Error cgeo 10085   at cgeo geocaching utils ImageUtils LineHeightContainerDrawable updateDrawable(ImageUtils java:449)
12:49:46 451 Error cgeo 10085   at cgeo geocaching utils ImageUtils ContainerDrawable redrawQueuedDrawables(ImageUtils java:428)
12:49:46 451 Error cgeo 10085   at cgeo geocaching utils ImageUtils ContainerDrawable access 000(ImageUtils java:358)
12:49:46 451 Error cgeo 10085   at cgeo geocaching utils ImageUtils ContainerDrawable 1 call(ImageUtils java:366)
12:49:46 451 Error cgeo 10085   at rx internal schedulers ScheduledAction run(ScheduledAction java:55)
12:49:46 452 Error cgeo 10085       8 more
</t>
  </si>
  <si>
    <t>ukanth-afwall-385</t>
  </si>
  <si>
    <t>OutofMemory Crash while scrolling through list of apps</t>
  </si>
  <si>
    <t xml:space="preserve">Samsung Galaxy S4 Active (i9295)  Samsung Stock Android 4 4 2  XPosed installed
AfWall  Version 2 0 0 ALPHA 2
I start AFWall  and then  slowly  (really seems to depend on scrolling speed) scroll through the list of apps (the list where you mark whether you want to whitelist an app or not) 
In this scrolling process  AFWall  occasionally crashes with the following stack:
java lang RuntimeException: An error occured while executing doInBackground()
    at android os AsyncTask 3 done(AsyncTask java:300)
    at java util concurrent FutureTask finishCompletion(FutureTask java:355)
    at java util concurrent FutureTask setException(FutureTask java:222)
    at java util concurrent FutureTask run(FutureTask java:242)
    at android os AsyncTask SerialExecutor 1 run(AsyncTask java:231)
    at java util concurrent ThreadPoolExecutor runWorker(ThreadPoolExecutor java:1112)
    at java util concurrent ThreadPoolExecutor Worker run(ThreadPoolExecutor java:587)
    at java lang Thread run(Thread java:841)
Caused by: java lang OutOfMemoryError
    at android graphics BitmapFactory nativeDecodeAsset(Native Method)
    at android graphics BitmapFactory decodeStream(BitmapFactory java:677)
    at android graphics BitmapFactory decodeResourceStream(BitmapFactory java:507)
    at android graphics drawable Drawable createFromResourceStream(Drawable java:872)
    at android content res Resources loadDrawable(Resources java:3024)
    at android content res Resources getDrawable(Resources java:1586)
    at android content res XResources getDrawable(XResources java:521)
    at android app ApplicationPackageManager getDrawable(ApplicationPackageManager java:725)
    at android content pm PackageItemInfo loadIcon(PackageItemInfo java:161)
    at android app ApplicationPackageManager getApplicationIcon(ApplicationPackageManager java:788)
    at dev ukanth ufirewall AppListArrayAdapter LoadIconTask doInBackground(AppListArrayAdapter java:225)
    at dev ukanth ufirewall AppListArrayAdapter LoadIconTask doInBackground(AppListArrayAdapter java:217)
    at android os AsyncTask 2 call(AsyncTask java:288)
    at java util concurrent FutureTask run(FutureTask java:237)
        4 more
Could there be a memory leak in the icon loader 
</t>
  </si>
  <si>
    <t>dimagi-commcare-android-420</t>
  </si>
  <si>
    <t>Don't show task progress dialog when activity is in bg</t>
  </si>
  <si>
    <t xml:space="preserve">When you log in (initially) a data pull task is spun up to download a bunch of data  If the device goes to sleep while this is running then the task crashes due to a fragment state loss error  This causes the app to log the user out 
The solution is to not try to show a dialog when the corresponding activity has been stopped  This PR introduces flags that keep track of the activities lifecycle state to prevent this 
Also fixed user error notification when login fails  such that it doesn t also show a bad network error 
Fix for http:  manage dimagi com default asp 175212
</t>
  </si>
  <si>
    <t>marverenic-Jockey-20</t>
  </si>
  <si>
    <t>Unable to play songs from songs tab</t>
  </si>
  <si>
    <t xml:space="preserve">Found a new bug in the player  When I click on a song on the songs tab  it displays a toast that the song cannot be played  However  I am able to play the song from the album  Also  some songs also don t play from the album as well  A bug in such a basic function is a setback to an otherwise awesome player  Also  regarding that service crash i earlier reported  I noticed that it happens when the notification update is called the first time on the app run on Api level 21  Can you fix that too 
</t>
  </si>
  <si>
    <t>google-ExoPlayer-631</t>
  </si>
  <si>
    <t>MKV test suite not passed in 1.4.0</t>
  </si>
  <si>
    <t xml:space="preserve">Based on the Matroska test suite (http:  www matroska org downloads test w1 html) I m trying to test the container reading capabilities of ExoPlayer 
All below based on b3bf8fea20c1e82abef9a9a2699b3d7147672dd3 
Here s how the player is instantiated:
final String videoPath   getIntent() getStringExtra( videoPath ) 
final Uri uri   Uri parse( file:      videoPath) 
final int numRenderers   3 
final ExtractorSampleSource sampleSource   new ExtractorSampleSource(uri 
        new ContentDataSource(this)  new WebmExtractor()  new DefaultAllocator(65534)  10485760) 
final TrackRenderer videoRenderer   new MediaCodecVideoTrackRenderer(sampleSource  MediaCodec VIDEO SCALING MODE SCALE TO FIT) 
final TrackRenderer audioRenderer   new MediaCodecAudioTrackRenderer(sampleSource) 
final TrackRenderer subtitleRenderer   new TextTrackRenderer(sampleSource  new TextRenderer()  
   Looper myLooper()  new TtmlParser()  new WebvttParser()) 
exoPlayer   ExoPlayer Factory newInstance(numRenderers) 
exoPlayer addListener(new ExoPlayer Listener()  
     Override
    public void onPlayerStateChanged(final boolean playWhenReady  final int playbackState)  
        if (playbackState    ExoPlayer STATE READY)  
            for (int i   0  i   sampleSource getTrackCount()  i  )  
                   Print track information 
 ) 
exoPlayer sendMessage(videoRenderer  MediaCodecVideoTrackRenderer MSG SET SURFACE  new Surface(surface)) 
exoPlayer prepare(videoRenderer  audioRenderer  subtitleRenderer) 
exoPlayer setPlayWhenReady(true) 
    test1 mkv
  Audio playback OK
  Video playback NOT OK  the screen will not display anything
  Tracks: audio mpeg
    test2 mkv
  Audio playback OK
  Video playback OK
  Tracks: video avc  audio mp4a latm
    test3 mkv
  Audio playback OK
  Video playback OK
  Tracks: video avc  audio mpeg
    test4 mkv
Currently crashes:
com google android exoplayer ExoPlaybackException: java io EOFException
        at com google android exoplayer MediaCodecTrackRenderer doPrepare(MediaCodecTrackRenderer java:255)
        at com google android exoplayer TrackRenderer prepare(TrackRenderer java:113)
        at com google android exoplayer ExoPlayerImplInternal incrementalPrepareInternal(ExoPlayerImplInternal java:271)
        at com google android exoplayer ExoPlayerImplInternal handleMessage(ExoPlayerImplInternal java:197)
        at android os Handler dispatchMessage(Handler java:106)
        at android os Looper loop(Looper java:193)
        at android os HandlerThread run(HandlerThread java:61)
        at com google android exoplayer util PriorityHandlerThread run(PriorityHandlerThread java:40)
 Caused by: java io EOFException
        at com google android exoplayer extractor DefaultExtractorInput skipFully(DefaultExtractorInput java:97)
        at com google android exoplayer extractor webm DefaultEbmlReader read(DefaultEbmlReader java:121)
        at com google android exoplayer extractor webm WebmExtractor read(WebmExtractor java:231)
        at com google android exoplayer extractor ExtractorSampleSource ExtractingLoadable load(ExtractorSampleSource java:633)
        at com google android exoplayer upstream Loader LoadTask run(Loader java:209)
        at java util concurrent Executors RunnableAdapter call(Executors java:422)
        at java util concurrent FutureTask run(FutureTask java:237)
        at java util concurrent ThreadPoolExecutor runWorker(ThreadPoolExecutor java:1112)
        at java util concurrent ThreadPoolExecutor Worker run(ThreadPoolExecutor java:587)
        at java lang Thread run(Thread java:848)
    test5 mkv
  Audio playback OK
  Video playback OK
  Tracks: video avc  audio mp4a latm
    test6 mkv
  Hangs   will not play   and no error message is recorded
  No tracks are read 
  Standard android Media Player (MTK based) will play  but only AUDIO  not video
    test7 mkv
  Loads first frame  then stops
  No tracks are read
  Crashes after 1 second:
com google android exoplayer ExoPlaybackException: java io EOFException
        at com google android exoplayer MediaCodecTrackRenderer doSomeWork(MediaCodecTrackRenderer java:513)
        at com google android exoplayer ExoPlayerImplInternal doSomeWork(ExoPlayerImplInternal java:415)
        at com google android exoplayer ExoPlayerImplInternal handleMessage(ExoPlayerImplInternal java:205)
        at android os Handler dispatchMessage(Handler java:106)
        at android os Looper loop(Looper java:193)
        at android os HandlerThread run(HandlerThread java:61)
        at com google android exoplayer util PriorityHandlerThread run(PriorityHandlerThread java:40)
 Caused by: java io EOFException
        at com google android exoplayer extractor DefaultExtractorInput skipFully(DefaultExtractorInput java:97)
        at com google android exoplayer extractor webm DefaultEbmlReader read(DefaultEbmlReader java:121)
        at com google android exoplayer extractor webm WebmExtractor read(WebmExtractor java:231)
        at com google android exoplayer extractor ExtractorSampleSource ExtractingLoadable load(ExtractorSampleSource java:633)
        at com google android exoplayer upstream Loader LoadTask run(Loader java:209)
        at java util concurrent Executors RunnableAdapter call(Executors java:422)
        at java util concurrent FutureTask run(FutureTask java:237)
        at java util concurrent ThreadPoolExecutor runWorker(ThreadPoolExecutor java:1112)
        at java util concurrent ThreadPoolExecutor Worker run(ThreadPoolExecutor java:587)
        at java lang Thread run(Thread java:848)
    test8 mkv
  Audio playback OK
  Video playback OK
  Tracks: video avc  audio mp4a latm
</t>
  </si>
  <si>
    <t>nextcloud-news-android-364</t>
  </si>
  <si>
    <t>App crash on Android &lt; 4.1</t>
  </si>
  <si>
    <t xml:space="preserve">Causes crash on Android API LEVEL   11
java lang NoSuchMethodError: android widget ImageView setRotation
</t>
  </si>
  <si>
    <t>openbmap-radiocells-nlp-android-12</t>
  </si>
  <si>
    <t>cell-based geolocation issue on some Android ≤ 4.1 devices</t>
  </si>
  <si>
    <t xml:space="preserve">Thanks again for making it available for 4 1   but now I found a minor  incident  with that  There s a method referenced not available before Android 4 2 concerning cell based geolocation (for details  see  this issue for the Mozilla backend (https:  github com microg IchnaeaNlpBackend issues 12)) 
You can find a stack trace  here at pastebin com (http:  pastebin com XzZrThMi) for what s happening  Seems not to be that crucial  though  as a location is still found:
I org openbmap unifiedNlp Geocoder OnlineProvider(11635): JSON response:   source : wifis   accuracy :30  location :  lng :11 570856997514667  lat :48 166475879909996   measurements :104 
A solution would be an additional option in the module s settings to discable cell based location  E g 
    use cell based location (4 2 )
 x  use WiFi based location
and initially disable the first option on lower Android versions  but still give the user the chance to check it on  own risk   as some 4 1 devices indeed seem to support it   if I understood Marvin correctly:
  Using gsm cells to geolocate is not possible on Android version 4 1 and below because of missing API support   on  most  devices   
(emphasis mine) 
I m still jumping between the different projects here at Github with my issues  mixing things up : Though OBM finds a location  UnifiedNlp doesn t seem to pick it up   but reports the Google location instead (details in the linked issue  and yes  I do have the  Xposed UnifiedNlp  module installed and loaded   as in all my tests  it reports having found a location  but it s not a UnifiedNlp one)   Or could it be your module doesn t  hand it through  here  The above line is the only proof I have OBM found a location   and after all it only reports  JSON response   not  location found  
Ah  yuck: See a longer excerpt  at this pastebin (http:  pastebin com vpLjnyRp): Looks like after finding the location  it simply crashes :(
java lang NoSuchMethodError: android location Location getElapsedRealtimeNanos
DeviceInfo: This time a tablet running stock 4 1 2  so no cell module SIM (if you need closer info on the device  just let me know) 
</t>
  </si>
  <si>
    <t>splitwise-TokenAutoComplete-151</t>
  </si>
  <si>
    <t>Crash on rotate when field is disabled</t>
  </si>
  <si>
    <t xml:space="preserve">When I set the  android:enabled  flag to false for the field  then rotate the device  it crashes with this:
    java lang NullPointerException: Attempt to invoke interface method  boolean android view inputmethod InputConnection reportFullscreenMode(boolean)  on a null object reference
            at android view inputmethod InputConnectionWrapper reportFullscreenMode(InputConnectionWrapper java:122)
            at com android internal view IInputConnectionWrapper executeMessage(IInputConnectionWrapper java:416)
            at com android internal view IInputConnectionWrapper MyHandler handleMessage(IInputConnectionWrapper java:78)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If I enable the view  I have no issues  guessing it isn t necessarily due to rotation but due to Resuming or restoring the view state   One thing I noticed is that when the view is enabled  and I don t have focus on the view  if I rotate the device  it puts focus in the view to start editing  and the keyboard comes up  which I don t want either   This may be related 
I m running it on a device with 5 X android and also tested on 4 4  using the latest release of TokenAutoComplete 
EDIT: Just a bit more testing on my end to help you out   I set the control s  clickable    focusable   and  focusableInTouchMode  values to false in the XML  and now setting the enabled flag false works fine  and the keyboard doesn t pop up on rotation   So it has something to do with focusing this as the first focusable element in my view after restoring the view state 
</t>
  </si>
  <si>
    <t>nextcloud-news-android-367</t>
  </si>
  <si>
    <t>[0.9.4] Widget non-functional, crashes frequently</t>
  </si>
  <si>
    <t xml:space="preserve">Hi 
since the update to 0 9 4 the widget isn t working anymore and the news app crashes very frequently when I start the app  
It tested it on two devices : 
SGS4  Android 5 0 1
Nexus 10  Android 5 1 1
Owncloud 8 1
I deleted the cache and recreated the widget on both devices  without success 
To be honest  the widget never worked very well  It displayed items from days ago and seems never to get updated until a manual update by scrolling down the existing items in the widget window  
</t>
  </si>
  <si>
    <t>dimagi-commcare-android-434</t>
  </si>
  <si>
    <t>CommCare crashes when you mistype bit.ly url during installation</t>
  </si>
  <si>
    <t xml:space="preserve">If you mistype a bit ly url such that it redirects to a url that doesn t point to a profile file  CommCare crashes in a nondescript manner 
This was because SetupActivity was returning a OK result code even when it errored out  Fix is to return CANCELED code and make the home activity re launch the install screen on aborted installs 
Fix for http:  manage dimagi com default asp 176536
</t>
  </si>
  <si>
    <t>nethergrim-vk_client-53</t>
  </si>
  <si>
    <t>[VK-32]: Crash - open app in the offline mode</t>
  </si>
  <si>
    <t xml:space="preserve">Steps to reproduce:
  sign in
  turn off wifi and cellular data
  open the app
  observe crash:
   java lang NullPointerException: Attempt to read from field  int com vk sdk api VKError errorCode  on a null object reference
          at com vk sdk VKSdk 1 onError(VKSdk java:419)
          at com vk sdk api VKRequest 2 run(VKRequest java:397)
          at android os Handler handleCallback(Handler java:739)
          at android os Handler dispatchMessage(Handler java:95)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</si>
  <si>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google-ExoPlayer-641</t>
  </si>
  <si>
    <t>Opening huge (&lt;4GB) MKV files fails</t>
  </si>
  <si>
    <t xml:space="preserve">Given I open a file with these specs (via  ffmpeg  i ):
ffmpeg version 2 6 3 Copyright (c) 2000 2015 the FFmpeg developers
  built with Apple LLVM version 6 1 0 (clang 602 0 53) (based on LLVM 3 6 0svn)
  configuration:   prefix  usr local Cellar ffmpeg 2 6 3   enable shared   enable pthreads   enable gpl   enable version3   enable hardcoded tables   enable avresample   cc clang   host cflags    host ldflags    enable libx264   enable libmp3lame   enable libvo aacenc   enable libxvid   enable libfreetype   enable libtheora   enable libvorbis   enable libvpx   enable librtmp   enable libopencore amrnb   enable libopencore amrwb   enable libass   enable ffplay   enable libspeex   enable libschroedinger   enable libfdk aac   enable libopus   enable frei0r   enable libopenjpeg   disable decoder jpeg2000   extra cflags   I usr local Cellar openjpeg 1 5 1 1 include openjpeg 1 5     enable nonfree   enable vda
  libavutil      54  20 100   54  20 100
  libavcodec     56  26 100   56  26 100
  libavformat    56  25 101   56  25 101
  libavdevice    56   4 100   56   4 100
  libavfilter     5  11 102    5  11 102
  libavresample   2   1   0    2   1   0
  libswscale      3   1 101    3   1 101
  libswresample   1   1 100    1   1 100
  libpostproc    53   3 100   53   3 100
Input  0  matroska webm  from  SampleFile mkv :
  Metadata:
    title           : SampleFile
    creation time   : 2015 05 06 13:56:42
    ENCODER         : Lavf55 12 0
  Duration: 01:38:38 04  start: 0 000000  bitrate: 5335 kb s
    Chapter  0:0: start 0 000000  end 550 675000
    Metadata:
      title           : Chapter 1
    Chapter  0:1: start 550 675000  end 845 636000
    Metadata:
      title           : Chapter 2
    Chapter  0:2: start 845 636000  end 1499 999000
    Metadata:
      title           : Chapter 3
    Chapter  0:3: start 1499 999000  end 2194 984000
    Metadata:
      title           : Chapter 4
    Chapter  0:4: start 2194 984000  end 2849 180000
    Metadata:
      title           : Chapter 5
    Chapter  0:5: start 2849 180000  end 3599 513000
    Metadata:
      title           : Chapter 6
    Chapter  0:6: start 3599 513000  end 4225 555000
    Metadata:
      title           : Chapter 7
    Chapter  0:7: start 4225 555000  end 4661 740000
    Metadata:
      title           : Chapter 8
    Chapter  0:8: start 4661 740000  end 5274 686000
    Metadata:
      title           : Chapter 9
    Chapter  0:9: start 5274 686000  end 5918 037000
    Metadata:
      title           : Chapter 10
    Stream  0:0: Video: mpeg4 (Simple Profile)  yuv420p  1280x720  SAR 1:1 DAR 16:9   23 98 fps  23 98 tbr  1k tbn  24k tbc (default)
    Stream  0:1(eng): Audio: aac (LC)  48000 Hz  stereo  fltp (default)
    Metadata:
      title           : Stereo
    Stream  0:2(ger): Audio: aac (LC)  48000 Hz  stereo  fltp
    Metadata:
      title           : Stereo
    Stream  0:3(fre): Audio: aac (LC)  48000 Hz  stereo  fltp
    Metadata:
      title           : Stereo
    Stream  0:4(spa): Audio: aac (LC)  48000 Hz  stereo  fltp
    Metadata:
      title           : Stereo
    Stream  0:5(eng): Subtitle: subrip
    Metadata:
      title           : SUB ENG
    Stream  0:6(ger): Subtitle: subrip
    Metadata:
      title           : SUB GER
    Stream  0:7(spa): Subtitle: subrip
    Metadata:
      title           : SUB SPA
    Stream  0:8(fre): Subtitle: subrip
    Metadata:
      title           : SUB FRE
At least one output file must be specified
The file size is  3946839747  bytes 
Then ExoPlayer (85e0bca33d7cd4d1052a7bebfc6ab6abadc2df19) will crash like this:
07 22 05:44:48 449    5893 3860 com company productmediacodectest E ExoPlayerImplInternal  Internal track renderer error 
    com google android exoplayer ExoPlaybackException: com google android exoplayer extractor ExtractorSampleSource UnrecognizedInputFormatException: None of the extractors  com google android exoplayer extractor webm WebmExtractor 41f42138  com google android exoplayer extractor mp4 FragmentedMp4Extractor 41db8130  com google android exoplayer extractor mp4 Mp4Extractor 41db8300  com google android exoplayer extractor mp3 Mp3Extractor 41db8438  com google android exoplayer extractor ts AdtsExtractor 41db8500  com google android exoplayer extractor ts TsExtractor 41db8618  could read the stream 
            at com google android exoplayer MediaCodecTrackRenderer maybeThrowError(MediaCodecTrackRenderer java:782)
            at com google android exoplayer ExoPlayerImplInternal incrementalPrepareInternal(ExoPlayerImplInternal java:274)
            at com google android exoplayer ExoPlayerImplInternal handleMessage(ExoPlayerImplInternal java:197)
            at android os Handler dispatchMessage(Handler java:106)
            at android os Looper loop(Looper java:193)
            at android os HandlerThread run(HandlerThread java:61)
            at com google android exoplayer util PriorityHandlerThread run(PriorityHandlerThread java:40)
     Caused by: com google android exoplayer extractor ExtractorSampleSource UnrecognizedInputFormatException: None of the extractors  com google android exoplayer extractor webm WebmExtractor 41f42138  com google android exoplayer extractor mp4 FragmentedMp4Extractor 41db8130  com google android exoplayer extractor mp4 Mp4Extractor 41db8300  com google android exoplayer extractor mp3 Mp3Extractor 41db8438  com google android exoplayer extractor ts AdtsExtractor 41db8500  com google android exoplayer extractor ts TsExtractor 41db8618  could read the stream 
            at com google android exoplayer extractor ExtractorSampleSource ExtractorHolder selectExtractor(ExtractorSampleSource java:784)
            at com google android exoplayer extractor ExtractorSampleSource ExtractingLoadable load(ExtractorSampleSource java:715)
            at com google android exoplayer upstream Loader LoadTask run(Loader java:209)
            at java util concurrent Executors RunnableAdapter call(Executors java:422)
            at java util concurrent FutureTask run(FutureTask java:237)
            at java util concurrent ThreadPoolExecutor runWorker(ThreadPoolExecutor java:1112)
            at java util concurrent ThreadPoolExecutor Worker run(ThreadPoolExecutor java:587)
            at java lang Thread run(Thread java:848)
This used to be ok at ExoPlayer 1 4 0   at least it would start before crashing with something else 
Initialisation code:
    java
final ExtractorSampleSource sampleSource   new ExtractorSampleSource(uri 
        new ContentDataSource(this)  new DefaultAllocator(65534)  10485760) 
final TrackRenderer videoRenderer   new MediaCodecVideoTrackRenderer(sampleSource  MediaCodec VIDEO SCALING MODE SCALE TO FIT) 
final TrackRenderer audioRenderer   new MediaCodecAudioTrackRenderer(sampleSource) 
final TrackRenderer subtitleRenderer   new TextTrackRenderer(sampleSource  new TextRenderer()  
     Override
    public void onCues(final List Cue  list)  
   Looper myLooper()  new TtmlParser()  new WebvttParser()) 
exoPlayer   ExoPlayer Factory newInstance(numRenderers) 
exoPlayer addListener(new ExoPlayer Listener()  
     Override
    public void onPlayerStateChanged(final boolean playWhenReady  final int playbackState)  
     Override
    public void onPlayWhenReadyCommitted()  
     Override
    public void onPlayerError(final ExoPlaybackException e)  
 ) 
exoPlayer sendMessage(videoRenderer  MediaCodecVideoTrackRenderer MSG SET SURFACE  new Surface(surface)) 
exoPlayer prepare(videoRenderer  audioRenderer  subtitleRenderer) 
exoPlayer setPlayWhenReady(true) 
 ojw28 do you require a sample clip 
</t>
  </si>
  <si>
    <t>dimagi-commcare-android-440</t>
  </si>
  <si>
    <t>Disable acra if submission url isn't valid</t>
  </si>
  <si>
    <t xml:space="preserve">ACRA crashes and blocks stack traces when it isn t setup correctly 
This PR disables ACRA if the submission url isn t a valid url 
</t>
  </si>
  <si>
    <t>Bathlamos-RTDC-69</t>
  </si>
  <si>
    <t>Add User Crash</t>
  </si>
  <si>
    <t xml:space="preserve">After trying to add a user  all seems to work for a few seconds until the application crashes  When I dismiss the crash  I am brought back to the new user dialog with all the information that I had previously filled  Here is the stacktrace:
android view WindowManager BadTokenException: Unable to add window    token null is not for an application
            at android view ViewRootImpl setView(ViewRootImpl java:571)
            at android view WindowManagerGlobal addView(WindowManagerGlobal java:246)
            at android view WindowManagerImpl addView(WindowManagerImpl java:69)
            at android app Dialog show(Dialog java:281)
            at android app AlertDialog Builder show(AlertDialog java:951)
            at rtdc android presenter fragments AbstractFragment displayError(AbstractFragment java:25)
            at rtdc core controller Controller onError(Controller java:19)
            at rtdc core event ErrorEvent fire(ErrorEvent java:34)
            at rtdc core service Service 1 onError(Service java:110)
            at rtdc android impl AndroidHttpRequest 2 onErrorResponse(AndroidHttpRequest java:69)
            at com android volley Request deliverError(Request java:592)
            at com android volley ExecutorDelivery ResponseDeliveryRunnable run(ExecutorDelivery java:101)
            at android os Handler handleCallback(Handler java:725)
            at android os Handler dispatchMessage(Handler java:92)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Saving the user for a second time causes more errors  as seen by the following two stack traces:
java lang NullPointerException
            at rtdc core service Service updateOrSaveUser(Service java:66)
            at rtdc core controller AddUserController addUser(AddUserController java:53)
            at rtdc android presenter CreateUserActivity onOptionsItemSelected(CreateUserActivity java:95)
            at android app Activity onMenuItemSelected(Activity java:2548)
            at android support v4 app FragmentActivity onMenuItemSelected(FragmentActivity java:350)
            at android support v7 app ActionBarActivity onMenuItemSelected(ActionBarActivity java:155)
            at android support v7 app ActionBarActivityDelegate 1 onMenuItemSelected(ActionBarActivityDelegate java:74)
            at android support v7 widget WindowCallbackWrapper onMenuItemSelected(WindowCallbackWrapper java:44)
            at android support v7 internal app ToolbarActionBar 2 onMenuItemClick(ToolbarActionBar java:77)
            at android support v7 widget Toolbar 1 onMenuItemClick(Toolbar java:162)
            at android support v7 widget ActionMenuView MenuBuilderCallback onMenuItemSelected(ActionMenuView java:738)
            at android support v7 internal view menu MenuBuilder dispatchMenuItemSelected(MenuBuilder java:802)
            at android support v7 internal view menu MenuItemImpl invoke(MenuItemImpl java:152)
            at android support v7 internal view menu MenuBuilder performItemAction(MenuBuilder java:949)
            at android support v7 internal view menu MenuBuilder performItemAction(MenuBuilder java:939)
            at android support v7 widget ActionMenuView invokeItem(ActionMenuView java:596)
            at android support v7 internal view menu ActionMenuItemView onClick(ActionMenuItemView java:145)
            at android view View performClick(View java:4204)
            at android view View PerformClick run(View java:17355)
            at android os Handler handleCallback(Handler java:725)
            at android os Handler dispatchMessage(Handler java:92)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java lang RuntimeException: Unable to start activity ComponentInfo rtdc android rtdc android presenter MainActivity : java lang NullPointerException
            at android app ActivityThread performLaunchActivity(ActivityThread java:2180)
            at android app ActivityThread handleLaunchActivity(ActivityThread java:2230)
            at android app ActivityThread access 600(ActivityThread java:141)
            at android app ActivityThread H handleMessage(ActivityThread java:1234)
            at android os Handler dispatchMessage(Handler java:99)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Caused by: java lang NullPointerException
            at rtdc core service Service getUsers(Service java:62)
            at rtdc core controller UserListController  init (UserListController java:22)
            at rtdc android presenter fragments ManageUsersFragment onCreateView(ManageUsersFragment java:46)
            at android app Fragment performCreateView(Fragment java:1699)
            at android app FragmentManagerImpl moveToState(FragmentManager java:885)
            at android app FragmentManagerImpl moveToState(FragmentManager java:1057)
            at android app FragmentManagerImpl moveToState(FragmentManager java:1039)
            at android app FragmentManagerImpl dispatchActivityCreated(FragmentManager java:1840)
            at android app Activity performCreate(Activity java:5107)
            at android app Instrumentation callActivityOnCreate(Instrumentation java:1080)
            at android app ActivityThread performLaunchActivity(ActivityThread java:2144)
            at android app ActivityThread handleLaunchActivity(ActivityThread java:2230)
            at android app ActivityThread access 600(ActivityThread java:141)
            at android app ActivityThread H handleMessage(ActivityThread java:1234)
            at android os Handler dispatchMessage(Handler java:99)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Last note: I can t reproduce this bug everytime  It has happened more then once to me however 
</t>
  </si>
  <si>
    <t>Bathlamos-RTDC-68</t>
  </si>
  <si>
    <t>Communication Hub &amp; Manage Users Crash</t>
  </si>
  <si>
    <t xml:space="preserve">The application crashes when you go to the communication hub  and then the manage users (using the drawer menu)  Here is the stack trace:
java lang NullPointerException
            at rtdc android presenter fragments CommunicationHubFragment onUsersFetched(CommunicationHubFragment java:98)
            at rtdc core event FetchUsersEvent fire(FetchUsersEvent java:41)
            at rtdc core event Event fire(Event java:38)
            at rtdc core service Service 1 onSuccess(Service java:101)
            at rtdc core service Service 1 onSuccess(Service java:93)
            at rtdc android impl AndroidHttpRequest 1 onResponse(AndroidHttpRequest java:62)
            at rtdc android impl AndroidHttpRequest 1 onResponse(AndroidHttpRequest java:58)
            at com android volley toolbox StringRequest deliverResponse(StringRequest java:60)
            at com android volley toolbox StringRequest deliverResponse(StringRequest java:30)
            at com android volley ExecutorDelivery ResponseDeliveryRunnable run(ExecutorDelivery java:99)
            at android os Handler handleCallback(Handler java:725)
            at android os Handler dispatchMessage(Handler java:92)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t>
  </si>
  <si>
    <t>gdg-x-frisbee-401</t>
  </si>
  <si>
    <t>Arrow game crash after sign out of G+</t>
  </si>
  <si>
    <t xml:space="preserve">1  Go to Arrow game while signed into G 
2  Open Settings and uncheck box to sign out of G 
3  Press Back  You are taken to Arrow Game again
4  Press Crown icon (Achievements)  app crashes
If the user is signed out of the Arrow game onResume  we should probably finish the activity and take them back to their previous activity 
07 25 13:38:46 481  15211 15211   E AndroidRuntime  FATAL EXCEPTION: main
Process: org gdg frisbee android debug  PID: 15211
java lang IllegalStateException: GoogleApiClient must be connected 
        at com google android gms common internal zzu zza(Unknown Source)
        at com google android gms games Games zzb(Unknown Source)
        at com google android gms games Games zzd(Unknown Source)
        at com google android gms games internal api LeaderboardsImpl getLeaderboardIntent(Unknown Source)
        at com google android gms games internal api LeaderboardsImpl getLeaderboardIntent(Unknown Source)
        at org gdg frisbee android arrow ArrowActivity onOptionsItemSelected(ArrowActivity java:146)
        at android app Activity onMenuItemSelected(Activity java:2856)
        at android support v4 app FragmentActivity onMenuItemSelected(FragmentActivity java:353)
        at android support v7 app AppCompatActivity onMenuItemSelected(AppCompatActivity java:144)
        at android support v7 internal view WindowCallbackWrapper onMenuItemSelected(WindowCallbackWrapper java:99)
        at android support v7 internal view WindowCallbackWrapper onMenuItemSelected(WindowCallbackWrapper java:99)
        at android support v7 internal app ToolbarActionBar 2 onMenuItemClick(ToolbarActionBar java:72)
        at android support v7 widget Toolbar 1 onMenuItemClick(Toolbar java:164)
        at android support v7 widget ActionMenuView MenuBuilderCallback onMenuItemSelected(ActionMenuView java:740)
        at android support v7 internal view menu MenuBuilder dispatchMenuItemSelected(MenuBuilder java:811)
        at android support v7 internal view menu MenuItemImpl invoke(MenuItemImpl java:153)
        at android support v7 internal view menu MenuBuilder performItemAction(MenuBuilder java:958)
        at android support v7 internal view menu MenuBuilder performItemAction(MenuBuilder java:948)
        at android support v7 widget ActionMenuView invokeItem(ActionMenuView java:598)
        at android support v7 internal view menu ActionMenuItemView onClick(ActionMenuItemView java:139)
        at android view View performClick(View java:5199)
        at android view View PerformClick run(View java:21155)
        at android os Handler handleCallback(Handler java:739)
        at android os Handler dispatchMessage(Handler java:95)
        at android os Looper loop(Looper java:148)
        at android app ActivityThread main(ActivityThread java:5415)
        at java lang reflect Method invoke(Native Method)
        at com android internal os ZygoteInit MethodAndArgsCaller run(ZygoteInit java:725)
        at com android internal os ZygoteInit main(ZygoteInit java:615)
</t>
  </si>
  <si>
    <t>Ereza-CustomActivityOnCrash-7</t>
  </si>
  <si>
    <t xml:space="preserve">Crashlytics are not working properly </t>
  </si>
  <si>
    <t xml:space="preserve">Crashlytics are not working properly 
this is my code 
  Override
    public void onCreate()  
    super onCreate() 
      This makes the library not launch the error activity when the app crashes while it is in background 
    CustomActivityOnCrash setLaunchActivityEvenIfInBackground(false) 
      This enables CustomActivityOnCrash
    CustomActivityOnCrash setShowErrorDetails(true) 
    CustomActivityOnCrash setErrorActivityClass(CustomErrorActivity class) 
    CustomActivityOnCrash install(this) 
    Fabric with(this  new Crashlytics()) 
    sInstance   this 
</t>
  </si>
  <si>
    <t>theSoenke-Paperwork-Android-6</t>
  </si>
  <si>
    <t>apk 0.1 crashes on galaxy note 10.1 GT8010 with JB 4.1.2</t>
  </si>
  <si>
    <t xml:space="preserve">I download the apk from here : https:  github com theSoenke Paperwork Android releases tag v0 1
Installation works  but I can t open the app  
Got a blank screen from about 5 seconds  then a black one for about 3 seconds and
it crashes with this message : 
 Paperwork is stopped   ( this is the translation as the message is in french)
Don t know how I can give you more informations because i m not an android dev  but let me know if you want more informations tests
</t>
  </si>
  <si>
    <t>Cloudkibo-Android-25</t>
  </si>
  <si>
    <t>Android crashed after SDK update</t>
  </si>
  <si>
    <t xml:space="preserve">It updated the Google Play services which is used in google plus login  It resulted in app crash  During debug  I learnt that we need to update the version number in our dependencies list if the Google Play services is upgraded to new version in SDK  Also I have disabled the auto upgrade of Google Play services from SDK now  so it wont crash next time on update 
</t>
  </si>
  <si>
    <t>k9mail-k-9-724</t>
  </si>
  <si>
    <t xml:space="preserve">k9 crashes using wrong signs </t>
  </si>
  <si>
    <t xml:space="preserve">My k9 crashes when entering different combinations of characters to the recipient field of an email 
Just typing a forward slash     to the  To  field even does it 
</t>
  </si>
  <si>
    <t>uservoice-uservoice-android-sdk-195</t>
  </si>
  <si>
    <t>NPE in Session.java</t>
  </si>
  <si>
    <t xml:space="preserve">Unsure how this is happening (i e  repro steps) but I m getting this crash in Crashlytics 
 img width  942  alt  uservoice crash  src  https:  cloud githubusercontent com assets 397037 8908347 34681254 3441 11e5 8c1b 6b816213a886 png  
</t>
  </si>
  <si>
    <t>wdullaer-MaterialDateTimePicker-71</t>
  </si>
  <si>
    <t>Crash when "Ok" and "Cancel" are pressed at the same time</t>
  </si>
  <si>
    <t xml:space="preserve">Sometimes  when both buttons are pressed the app crashes for a null pointer exception at line with  getDialog() cancel()    You can fix it surrounding it with  if getDialog()    null 
</t>
  </si>
  <si>
    <t>yukihane-dq10don-3</t>
  </si>
  <si>
    <t>復帰した際に例外が発生する場合がある</t>
  </si>
  <si>
    <t xml:space="preserve">crashlytics 2    :
 pre 
java lang RuntimeException: Unable to destroy activity  yukihane dq10don yukihane dq10don tobatsu view MainActivity : java lang NullPointerException: Attempt to invoke virtual method  void yukihane dq10don tobatsu presenter TobatsuPresenter onDestroy()  on a null object reference
       at android app ActivityThread performDestroyActivity(ActivityThread java:3706)
       at android app ActivityThread handleDestroyActivity(ActivityThread java:3724)
       at android app ActivityThread access 1400(ActivityThread java:151)
       at android app ActivityThread H handleMessage(ActivityThread java:1357)
       at android os Handler dispatchMessage(Handler java:102)
       at android os Looper loop(Looper java:135)
       at android app ActivityThread main(ActivityThread java:5254)
       at java lang reflect Method invoke(Method java)
       at java lang reflect Method invoke(Method java:372)
       at com android internal os ZygoteInit MethodAndArgsCaller run(ZygoteInit java:903)
       at com android internal os ZygoteInit main(ZygoteInit java:698)
Caused by: java lang NullPointerException: Attempt to invoke virtual method  void yukihane dq10don tobatsu presenter TobatsuPresenter onDestroy()  on a null object reference
       at yukihane dq10don tobatsu view TobatsuFragment onDestroy(TobatsuFragment java:83)
       at android support v4 app Fragment performDestroy(Fragment java:2006)
       at android support v4 app FragmentManagerImpl moveToState(FragmentManager java:1076)
       at android support v4 app FragmentManagerImpl moveToState(FragmentManager java:1126)
       at android support v4 app FragmentManagerImpl moveToState(FragmentManager java:1108)
       at android support v4 app FragmentManagerImpl dispatchDestroy(FragmentManager java:1954)
       at android support v4 app FragmentActivity onDestroy(FragmentActivity java:313)
       at android support v7 app ActionBarActivity onDestroy(ActionBarActivity java:169)
       at yukihane dq10don tobatsu view MainActivity onDestroy(MainActivity java:97)
       at android app Activity performDestroy(Activity java:6169)
       at android app Instrumentation callActivityOnDestroy(Instrumentation java:1141)
       at android app ActivityThread performDestroyActivity(ActivityThread java:3693)
       at android app ActivityThread handleDestroyActivity(ActivityThread java:3724)
       at android app ActivityThread access 1400(ActivityThread java:151)
       at android app ActivityThread H handleMessage(ActivityThread java:1357)
       at android os Handler dispatchMessage(Handler java:102)
       at android os Looper loop(Looper java:135)
       at android app ActivityThread main(ActivityThread java:5254)
       at java lang reflect Method invoke(Method java)
       at java lang reflect Method invoke(Method java:372)
       at com android internal os ZygoteInit MethodAndArgsCaller run(ZygoteInit java:903)
       at com android internal os ZygoteInit main(ZygoteInit java:698)
  pre 
</t>
  </si>
  <si>
    <t>ankidroid-Anki-Android-3569</t>
  </si>
  <si>
    <t>AnkiDroid not reporting errors</t>
  </si>
  <si>
    <t xml:space="preserve">Originally reported on Google Code with ID 2697
Note: If this is your first time submitting an issue  please read the
following webpage:
https:  ankidroid org docs help html
What steps will reproduce the problem 
1  Install AnkiDroid (2 5beta only )
2  Look at Settings General settings Error reporting mode
3  See that the setting says  Ask me 
4  Crash AnkiDroid
What is the expected output  What do you see instead 
An error report should be send 
Instead  logcat produces lines like
 E ACRA    (21299): ACRA is disabled for com ichi2 anki   forwarding uncaught Exception
on to default ExceptionHandler 
and you get the standard Android app crash dialog 
Does it happen again every time you repeat the steps above  Or did it
happen only one time 
Every time 
Paste the  debug info  from the AnkiDroid  About  dialog below (see the
above help webpage for detailed instructions) 
AnkiDroid Version   2 5alpha47
Android Version   4 4 4
ACRA UUID   fa28bbf1 3e5e 4093 85da 8409da7acd68
Please provide any additional information below 
This seems to be a problem with the prefs value 
When you switch it to  never report  and back to  ask me  and  then  crash AnkiDroid 
the ACRA crash reporter comes up  But somehow only once  When you uncheck the  Send
error reports automatically  in the    Feedback  dialog  send one report and crash
again you seem to be back on square 1     
Reported by  ospalh  on 2015 07 22 09:08:18
</t>
  </si>
  <si>
    <t>ankidroid-Anki-Android-3568</t>
  </si>
  <si>
    <t>Crash after sync</t>
  </si>
  <si>
    <t xml:space="preserve">Originally reported on Google Code with ID 2696
Note: If this is your first time submitting an issue  please read the
following webpage:
https:  ankidroid org docs help html
What steps will reproduce the problem 
1  do  git checkout ae2036f   that is  use 2 5alpha47   PR 896  https:  github com ankidroid Anki Android pull 896
2  Build  install  run
3  In Ankidroid  sync
4  Wait for the sync to finish
5  Go to another app
6  Go back to Ankidroid
What is the expected output  What do you see instead 
AnkiDroid should continue to work  showing the Sync OK dialog 
Instead it crashes 
Does it happen again every time you repeat the steps above  Or did it
happen only one time 
Every time
Paste the  debug info  from the AnkiDroid  About  dialog below (see the
above help webpage for detailed instructions) 
AnkiDroid Version   2 5alpha47
Android Version   4 4 4
ACRA UUID   fa28bbf1 3e5e 4093 85da 8409da7acd68
Please provide any additional information below 
Bits of the logcat:
D DeckPicker(21299): onStop()
D WidgetStatus(21299): WidgetStatus update(): already running or not enabled
D UIUtils (21299): saveCollectionInBackground: start
D DeckTask(21299): doInBackgroundSaveCollection
D CollectionLoader(21299): CollectionLoader onStopLoading()
D UIUtils (21299): saveCollectionInBackground: finished
D DeckTask(21299): enabling garbage collection of mPreviousTask   
D DeckPicker(21299): onResume()
D DialogHandler(21299): Reading persistent message
D DeckPicker(21299): Refreshing deck list
D CollectionLoader(21299): CollectionLoader accessing collection
D DeckTask(21299): doInBackgroundLoadDeckCounts
D CollectionLoader(21299): CollectionLoader deliverResult()
D BackupManager(21299): performBackup: No backup created  Last backup younger than
5 hours
D DeckPicker(21299): Refreshing deck list
D DeckTask(21299): Waiting for 22 to finish before starting 22
D DeckTask(21299): Finished waiting for 22 to finish  Status  RUNNING
D DeckTask(21299): doInBackgroundLoadDeckCounts
D AndroidRuntime(21299): Shutting down VM
W dalvikvm(21299): threadid 1: thread exiting with uncaught exception (group 0x41d32ce0)
E ACRA    (21299): ACRA is disabled for com ichi2 anki   forwarding uncaught Exception
on to default ExceptionHandler
E AndroidRuntime(21299): FATAL EXCEPTION: main
E AndroidRuntime(21299): Process: com ichi2 anki  PID: 21299
E AndroidRuntime(21299): java lang NullPointerException
E AndroidRuntime(21299):    at com ichi2 anki widgets DeckAdapter processNodes(DeckAdapter java:228)
E AndroidRuntime(21299):    at com ichi2 anki widgets DeckAdapter processNodes(DeckAdapter java:219)
E AndroidRuntime(21299):    at com ichi2 anki widgets DeckAdapter buildDeckList(DeckAdapter java:128)
E AndroidRuntime(21299):    at com ichi2 anki DeckPicker 18 onPostExecute(DeckPicker java:1592)
E AndroidRuntime(21299):    at com ichi2 async DeckTask TaskListener onPostExecute(DeckTask java:1270)
E AndroidRuntime(21299):    at com ichi2 async DeckTask onPostExecute(DeckTask java:364)
E AndroidRuntime(21299):    at com ichi2 async DeckTask onPostExecute(DeckTask java:74)
E AndroidRuntime(21299):    at android os AsyncTask finish(AsyncTask java:632)
E AndroidRuntime(21299):    at android os AsyncTask access 600(AsyncTask java:177)
E AndroidRuntime(21299):    at android os AsyncTask InternalHandler handleMessage(AsyncTask java:645)
E AndroidRuntime(21299):    at android os Handler dispatchMessage(Handler java:102)
E AndroidRuntime(21299):    at android os Looper loop(Looper java:136)
E AndroidRuntime(21299):    at android app ActivityThread main(ActivityThread java:5146)
E AndroidRuntime(21299):    at java lang reflect Method invokeNative(Native Method)
E AndroidRuntime(21299):    at java lang reflect Method invoke(Method java:515)
E AndroidRuntime(21299):    at com android internal os ZygoteInit MethodAndArgsCaller run(ZygoteInit java:732)
E AndroidRuntime(21299):    at com android internal os ZygoteInit main(ZygoteInit java:566)
E AndroidRuntime(21299):    at dalvik system NativeStart main(Native Method)
I Process (21299): Sending signal  PID: 21299 SIG: 9
I ActivityManager(  656): Process com ichi2 anki (pid 21299) has died 
Reported by  ospalh  on 2015 07 22 08:50:48
</t>
  </si>
  <si>
    <t>ankidroid-Anki-Android-3557</t>
  </si>
  <si>
    <t xml:space="preserve">Crash: AnkiDroid </t>
  </si>
  <si>
    <t xml:space="preserve">Originally reported on Google Code with ID 2685
Note: If this is your first time submitting an issue  please read the
following webpage:
https:  ankidroid org docs help html
What steps will reproduce the problem 
1  Update to new google services due to F    youtube
2  Try to open AnkiDroid
3  Get toast message  AnkiDroid has encountered a problem  generating report     and
crash 
What is the expected output  What do you see instead 
No crash is expected  )
Does it happen again every time you repeat the steps above  Or did it
happen only one time 
Yes  I cannot use the up since I have update google services  I m really dissapointed
in Google 
Paste the  debug info  from the AnkiDroid  About  dialog below (see the
above help webpage for detailed instructions) 
I cannot  AnkiDroid crashes immediately 
Please provide any additional information below 
Phone model Lenovo A820  android version 4 1 2
The crashes started after I have updated to new google services
Reported by  E Shtoka  on 2015 07 08 19:14:54
</t>
  </si>
  <si>
    <t>ankidroid-Anki-Android-3547</t>
  </si>
  <si>
    <t>App crashes after answer checking</t>
  </si>
  <si>
    <t xml:space="preserve">Originally reported on Google Code with ID 2675
What steps will reproduce the problem 
1  Pressing the check button after typing text into the text field will crash the app
2  Pressing the check button without text in this field will not crash it and showing
the answer properly
What is the expected output  What do you see instead 
Checking the input and showing the differences
Does it happen again every time you repeat the steps above  Or did it
happen only one time 
It happens every time
Paste the  debug info  from the AnkiDroid  About  dialog below (see the
above help webpage for detailed instructions) 
AnkiDroid Version   2 4 3
Android Version   4 3
ACRA UUID   582e3887 89e6 4020 997c 157d3e2b328c
Please provide any additional information below 
No problems with the same deck in the Anki Web version 2 0 32 under Ubuntu
Reported by  verve611  on 2015 07 04 12:07:04
</t>
  </si>
  <si>
    <t>ankidroid-Anki-Android-3543</t>
  </si>
  <si>
    <t>Badly hosed database crashes AnkiDroid</t>
  </si>
  <si>
    <t xml:space="preserve">Originally reported on Google Code with ID 2671
Note: If this is your first time submitting an issue  please read the
following webpage:
https:  ankidroid org docs help html
What steps will reproduce the problem 
1  Somehow manage to badly damage your collection in a certain way  
2  Try to review  sync  c 
What is the expected output  What do you see instead 
AnkiDroid should show the  Collection can t be opend  dialog 
Instead it crashes 
Does it happen again every time you repeat the steps above  Or did it
happen only one time 
With that collection anki2 every time 
Paste the  debug info  from the AnkiDroid  About  dialog below (see the
above help webpage for detailed instructions) 
Please provide any additional information below 
  I still see the deck list with the due counts  c  The crash happens when i touch
one deck and then touch  STUDY 
   Full sync from server  did not work  nor  restore from backup 
  The DB is on an external SD formatted with NTFS
Anki desktop doesn t like the database file either  and throws you back to the  select
profile  dialog with the error message
Your collection is corrupt  Please create a new profile  then see the manual for how
to restore from an automatic backup 
Debug info:
Traceback (most recent call last):
  File   home NN anki src aqt main py   line 306  in loadCollection
    self col   Collection(cpath  log True)
  File   home NN anki src anki storage py   line 51  in Collection
    col lock()
  File   home NN anki src anki collection py   line 146  in lock
    self db execute( update col set mod mod )
  File   home NN anki src anki db py   line 40  in execute
    res   self  db execute(sql  a)
DatabaseError: database disk image is malformed
Bits of the Android logcat:
D DeckPicker( 8494): onStop()
D WidgetStatus( 8494): WidgetStatus update(): already running or not enabled
D UIUtils ( 8494): saveCollectionInBackground: start
D DeckTask( 8494): doInBackgroundSaveCollection
D CollectionLoader( 8494): CollectionLoader onStopLoading()
D KeyguardUpdateMonitor(  704): sendKeyguardVisibilityChanged(true)
I KeyguardUpdateMonitor(  704): visibility is same
E SQLiteLog( 8494): (11) database corruption at line 56732 of  00bb9c9ce4 
E SQLiteLog( 8494): (11) statement aborts at 40:  UPDATE col SET dconf   decks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D dalvikvm( 8494): GC CONCURRENT freed 1636K  29  free 8443K 11808K  paused 3ms 5ms 
total 47ms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D PowerHintManager( 2332): Got PowerHintService instance 
D PowerHintManager( 2332): Got PowerHintService instance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DatabaseUtils(  582): Writing exception to parcel
E DatabaseUtils(  582): java lang SecurityException: Permission Denial: get set setting
for user asks to run as user  2 but is calling from user 0  this requires android permission INTERACT ACROSS USERS FULL
E DatabaseUtils(  582):     at com android server am ActivityManagerService handleIncomingUser(ActivityManagerService java:15168)
E DatabaseUtils(  582):     at android app ActivityManager handleIncomingUser(ActivityManager java:2498)
E DatabaseUtils(  582):     at com android providers settings SettingsProvider call(SettingsProvider java:688)
E DatabaseUtils(  582):     at android content ContentProvider Transport call(ContentProvider java:325)
E DatabaseUtils(  582):     at android content ContentProviderNative onTransact(ContentProviderNative java:275)
E DatabaseUtils(  582):     at android os Binder execTransact(Binder java:404)
E DatabaseUtils(  582):     at dalvik system NativeStart run(Native Method)
I StudyOptionsFragment( 8494): StudyOptionsFragment:: start study button pressed
W ActivityManager(  582): Permission Denial: get set setting for user asks to run as
user  2 but is calling from user 0  this requires android permission INTERACT ACROSS USERS FULL
W ActivityManager(  582): mDVFSHelper acquire()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SQLiteLog( 8494): (11) database corruption at line 56732 of  00bb9c9ce4 
E SQLiteLog( 8494): (11) statement aborts at 40:  UPDATE col SET mod mod 
E AnkiDb MyDbErrorHandler( 8494): The database has been corrupted   
I CollectionHelper( 8494): closeCollection
E AnkiDb MyDbErrorHandler( 8494): The database has been corrupted   
I CollectionHelper( 8494): closeCollection
I dalvikvm( 8494): threadid 14: stack overflow on call to Ljava util Locale  getLanguage:L
I dalvikvm( 8494):   method requires 8 20 0 28 bytes  fp is 0x7ac5a314 (20 left)
I dalvikvm( 8494):   expanding stack end (0x7ac5a300 to 0x7ac5a000)
I dalvikvm( 8494): Shrank stack (to 0x7ac5a300  curFrame is 0x7ac5a45c)
W dalvikvm( 8494): threadid 14: thread exiting with uncaught exception (group 0x418a5c08)
E ACRA    ( 8494): ACRA is disabled for com ichi2 anki   forwarding uncaught Exception
on to default ExceptionHandler
E AndroidRuntime( 8494): FATAL EXCEPTION: AsyncTask  1
E AndroidRuntime( 8494): Process: com ichi2 anki  PID: 8494
E AndroidRuntime( 8494): java lang RuntimeException: An error occured while executing
doInBackground()
E AndroidRuntime( 8494):    at android os AsyncTask 3 done(AsyncTask java:300)
E AndroidRuntime( 8494):    at java util concurrent FutureTask finishCompletion(FutureTask java:355)
E AndroidRuntime( 8494):    at java util concurrent FutureTask setException(FutureTask java:222)
E AndroidRuntime( 8494):    at java util concurrent FutureTask run(FutureTask java:242)
E AndroidRuntime( 8494):    at android os AsyncTask SerialExecutor 1 run(AsyncTask java:231)
E AndroidRuntime( 8494):    at java util concurrent ThreadPoolExecutor runWorker(ThreadPoolExecutor java:1112)
E AndroidRuntime( 8494):    at java util concurrent ThreadPoolExecutor Worker run(ThreadPoolExecutor java:587)
E AndroidRuntime( 8494):    at java lang Thread run(Thread java:841)
E AndroidRuntime( 8494): Caused by: java lang StackOverflowError
E AndroidRuntime( 8494):    at java lang CaseMapper toUpperCase(CaseMapper java:143)
E AndroidRuntime( 8494):    at java lang String toUpperCase(String java:1548)
E AndroidRuntime( 8494):    at android database DatabaseUtils getSqlStatementType(DatabaseUtils java:1379)
E AndroidRuntime( 8494):    at android database sqlite SQLiteProgram  init (SQLiteProgram java:45)
E AndroidRuntime( 8494):    at android database sqlite SQLiteStatement  init (SQLiteStatement java:31)
E AndroidRuntime( 8494):    at android database sqlite SQLiteDatabase executeSql(SQLiteDatabase java:1806)
E AndroidRuntime( 8494):    at android database sqlite SQLiteDatabase execSQL(SQLiteDatabase java:1737)
E AndroidRuntime( 8494):    at com ichi2 anki AnkiDb execute(AnkiDb java:299)
E AndroidRuntime( 8494):    at com ichi2 anki AnkiDb execute(AnkiDb java:285)
E AndroidRuntime( 8494):    at com ichi2 libanki Collection lock(Collection java:284)
E AndroidRuntime( 8494):    at com ichi2 libanki Collection close(Collection java:318)
E AndroidRuntime( 8494):    at com ichi2 anki CollectionHelper closeCollection(CollectionHelper java:139)
E AndroidRuntime( 8494):    at com ichi2 anki AnkiDb MyDbErrorHandler onCorruption(AnkiDb java:86)
E AndroidRuntime( 8494):    at android database sqlite SQLiteDatabase onCorruption(SQLiteDatabase java:353)
E AndroidRuntime( 8494):    at android database sqlite SQLiteProgram onCorruption(SQLiteProgram java:111)
E AndroidRuntime( 8494):    at android database sqlite SQLiteStatement executeUpdateDelete(SQLiteStatement java:67)
E AndroidRuntime( 8494):    at android database sqlite SQLiteDatabase executeSql(SQLiteDatabase java:1808)
E AndroidRuntime( 8494):    at android database sqlite SQLiteDatabase execSQL(SQLiteDatabase java:1737)
E AndroidRuntime( 8494):    at com ichi2 anki AnkiDb execute(AnkiDb java:299)
E AndroidRuntime( 8494):    at com ichi2 anki AnkiDb execute(AnkiDb java:285)
E AndroidRuntime( 8494):    at com ichi2 libanki Collection lock(Collection java:284)
E AndroidRuntime( 8494):    at com ichi2 libanki Collection close(Collection java:318)
E AndroidRuntime( 8494):    at com ichi2 anki CollectionHelper closeCollection(CollectionHelper java:139)
E AndroidRuntime( 8494):    at com ichi2 anki AnkiDb MyDbErrorHandler onCorruption(AnkiDb java:86)
E AndroidRuntime( 8494):    at android database sqlite SQLiteDatabase onCorruption(SQLiteDatabase java:353)
E AndroidRuntime( 8494):    at android database sqlite SQLiteProgram onCorruption(SQLiteProgram java:111)
E AndroidRuntime( 8494):    at android database sqlite SQLiteStatement executeUpdateDelete(SQLiteStatement java:67)
E AndroidRuntime( 8494):    at android database sqlite SQLiteDatabase executeSql(SQLiteDatabase java:1808)
E AndroidRuntime( 8494):    at android database sqlite SQLiteDatabase execSQL(SQLiteDatabase java:1737)
E AndroidRuntime( 8494):    at com ichi2 anki AnkiDb execute(AnkiDb java:299)
E AndroidRuntime( 8494):    at com ichi2 anki AnkiDb execute(AnkiDb java:285)
E AndroidRuntime( 8494):    at com ichi2 libanki Collection lock(Collection java:284)
E AndroidRuntime( 8494):    at com ichi2 libanki Collection close(Collection java:318)
E AndroidRuntime( 8494):    at com ichi2 anki CollectionHelper closeCollection(CollectionHelper java:139)
E AndroidRuntime( 8494):    at com ichi2 anki AnkiDb MyDbErrorHandler onCorruption(AnkiDb java:86)
E AndroidRuntime( 8494):    at android database sqlite SQLiteDatabase onCorruption(SQLiteDatabase java:353)
E AndroidRuntime( 8494):    at android database sqlite SQLiteProgram onCorruption(SQLiteProgram java:111)
E AndroidRuntime( 8494):    at android database sqlite SQLiteStatement executeUpdateDelete(SQLiteStatement java:67)
E AndroidRuntime( 8494):    at android database sqlite SQLiteDatabase executeSql(SQLiteDatabase java:1808)
E AndroidRuntime( 8494):    at android database sqlite SQLiteDatabase execSQL(SQLiteDatabase java:1737)
E AndroidRuntime( 8494):    at com ichi2 anki AnkiDb execute(AnkiDb java:299)
E AndroidRuntime( 8494):    at com ichi2 anki AnkiDb execute(AnkiDb java:285)
E AndroidRuntime( 8494):    at com ichi2 libanki Collection lock(Collection java:284)
E AndroidRuntime( 8494):    at com ichi2 libanki Collection close(Collection java:318)
E AndroidRuntime( 8494):    at com ichi2 anki CollectionHelper closeCollection(CollectionHelper java:139)
E AndroidRuntime( 8494):    at com ichi2 anki AnkiDb MyDbErrorHandler onCorruption(AnkiDb java:86)
E AndroidRuntime( 8494):    at android database sqlite SQLiteDatabase onCorruption(SQLiteDatabase java:353)
E AndroidRuntime( 8494):    at android database sqlite SQLiteProgram onCorruption(SQLiteP
W ActivityManager(  582):   Force finishing activity com ichi2 anki  Reviewer
W ActivityManager(  582):   Force finishing activity com ichi2 anki  StudyOptionsActivity
I dumpstate( 8559): begin
I SpenGestureManager(  582): setFocusWindow0
D CrashAnrDetector(  582): processName: com ichi2 anki
D CrashAnrDetector(  582): broadcastEvent : com ichi2 anki data app crash
D STATUSBAR StatusBarManagerService(  582): manageDisableList what 0x0 pkg WindowManager LayoutParams
W ContextImpl(  582): Calling a method in the system process without a qualified user:
android app ContextImpl sendBroadcast:1510 com android server analytics data collection application CrashAnrDetector broadcastEvent:296
com android server analytics data collection application CrashAnrDetector processDropBoxEntry:254
com android server analytics data collection application CrashAnrDetector access 100:60
com android server analytics data collection application CrashAnrDetector 1 onReceive:102
I SurfaceFlinger(  116): id 187 createSurf (1x1) 1 flag 4  bnki
E android os Debug(  582):   Dumpstate   sdumpstate  k  t  z  d  o  data log dumpstate app error
I ServiceManager(  119): Waiting for service com marvell FileMonitorService   
W ActivityManager(  582): mDVFSHelper release()
W         (  119): FileMonitorService not published  waiting   
  I have a copy of that database  but won t uploaded it because it is too private and
too big  Also  i have a bit of hardware problems on my tablet  It switches off from
time to time (bad connection to the battery  apparently) and that may have damaged
the DB  
Reported by  ospalh  on 2015 06 30 11:50:39
</t>
  </si>
  <si>
    <t>ankidroid-Anki-Android-3533</t>
  </si>
  <si>
    <t>Crash when starting reviewing</t>
  </si>
  <si>
    <t xml:space="preserve">Originally reported on Google Code with ID 2661
Note: If this is your first time submitting an issue  please read the
following webpage:
https:  ankidroid org docs help html
What steps will reproduce the problem 
1  (Spend some time in other apps so Android closes the flashcard webview)
2  Touch the  STUDY  button to start learning
3  Immediately press the home button
What is the expected output  What do you see instead 
AnkiDroid should switch tho the reviewer in the background  so that when you go back
to the app you see the first card due 
Instead it crashes 
Does it happen again every time you repeat the steps above  Or did it
happen only one time 
Pretty much every time  when you are quick enough  
Paste the  debug info  from the AnkiDroid  About  dialog below (see the
above help webpage for detailed instructions) 
AnkiDroid Version   2 5alpha39
Android Version   4 4 2
ACRA UUID   43b14d00 fe66 46e2 a51e 2a69b75cd0a7
Please provide any additional information below 
   logcat
E ACRA    (29652): ACRA is disabled for com ichi2 anki   forwarding uncaught Exception
on to default ExceptionHandler
E AndroidRuntime(29652): FATAL EXCEPTION: main
E AndroidRuntime(29652): Process: com ichi2 anki  PID: 29652
E AndroidRuntime(29652): java lang RuntimeException: Unable to stop activity  com ichi2 anki com ichi2 anki Reviewer :
java lang NullPointerException
E AndroidRuntime(29652):        at android app ActivityThread performStopActivityInner(ActivityThread java:3491)
E AndroidRuntime(29652):        at android app ActivityThread handleStopActivity(ActivityThread java:3537)
E AndroidRuntime(29652):        at android app ActivityThread access 1200(ActivityThread java:172)
E AndroidRuntime(29652):        at android app ActivityThread H handleMessage(ActivityThread java:1332)
E AndroidRuntime(29652):        at android os Handler dispatchMessage(Handler java:102)
E AndroidRuntime(29652):        at android os Looper loop(Looper java:146)
E AndroidRuntime(29652):        at android app ActivityThread main(ActivityThread java:5598)
E AndroidRuntime(29652):        at java lang reflect Method invokeNative(Native Method)
E AndroidRuntime(29652):        at java lang reflect Method invoke(Method java:515)
E AndroidRuntime(29652):        at com android internal os ZygoteInit MethodAndArgsCaller run(ZygoteInit java:1283)
E AndroidRuntime(29652):        at com android internal os ZygoteInit main(ZygoteInit java:1099)
E AndroidRuntime(29652):        at dalvik system NativeStart main(Native Method)
E AndroidRuntime(29652): Caused by: java lang NullPointerException
E AndroidRuntime(29652):        at com ichi2 anki Reviewer onStop(Reviewer java:390)
E AndroidRuntime(29652):        at android app Instrumentation callActivityOnStop(Instrumentation java:1218)
E AndroidRuntime(29652):        at android app Activity performStop(Activity java:5604)
E AndroidRuntime(29652):        at android app ActivityThread performStopActivityInner(ActivityThread java:3488)
E AndroidRuntime(29652):            11 more
W ActivityManager(  584):   Force finishing activity com ichi2 anki  Reviewer
Reported by  ospalh  on 2015 06 21 09:03:20
</t>
  </si>
  <si>
    <t>ankidroid-Anki-Android-3531</t>
  </si>
  <si>
    <t>Crashes (at start)  -  Samsung Galaxy S5</t>
  </si>
  <si>
    <t xml:space="preserve">Originally reported on Google Code with ID 2659
What steps will reproduce the problem 
1 Start AnkiDroid
2  AnkiDroid crashes    Do you want to send a report  
Does it happen again every time you repeat the steps above  Or did it
happen only one time 
All the time
Please provide any additional information below 
I already tried to reinstall the program a few times
I tried all options on the screenshots
Thank you for help 
Jonathan
Reported by  jonichecker456  on 2015 06 20 13:28:33
 hr 
   Attachment: Screenshot 2015 06 20 15 25 09 png br   Screenshot 2015 06 20 15 25 09 png (https:  storage googleapis com google code attachments ankidroid issue 2659 comment 0 Screenshot 2015 06 20 15 25 09 png) 
   Attachment: Screenshot 2015 06 20 15 25 12 png br   Screenshot 2015 06 20 15 25 12 png (https:  storage googleapis com google code attachments ankidroid issue 2659 comment 0 Screenshot 2015 06 20 15 25 12 png) 
   Attachment: Screenshot 2015 06 20 15 25 18 png br   Screenshot 2015 06 20 15 25 18 png (https:  storage googleapis com google code attachments ankidroid issue 2659 comment 0 Screenshot 2015 06 20 15 25 18 png) 
   Attachment: Screenshot 2015 06 20 15 25 23 png br   Screenshot 2015 06 20 15 25 23 png (https:  storage googleapis com google code attachments ankidroid issue 2659 comment 0 Screenshot 2015 06 20 15 25 23 png) 
</t>
  </si>
  <si>
    <t>ankidroid-Anki-Android-3521</t>
  </si>
  <si>
    <t>Trying to open settings crashes AnkiDroid</t>
  </si>
  <si>
    <t xml:space="preserve">Originally reported on Google Code with ID 2635
Note: If this is your first time submitting an issue  please read the
following webpage:
https:  ankidroid org docs help html
What steps will reproduce the problem 
1  Built AnkiDroid 2 5alpha33 c23cbff
2  Install it on an API 8 emulator and run debug it
3  (Download a collection  set up sync  c )
4  Open the navigation drawer and touch  Settings 
What is the expected output  What do you see instead 
The settings should open 
Instead  AnkiDroid crashes 
Does it happen again every time you repeat the steps above  Or did it
happen only one time 
So far  every time in that emulator 
Paste the  debug info  from the AnkiDroid  About  dialog below (see the
above help webpage for detailed instructions) 
I would  if i could  The debug info is in the settings  which i have the problem with
opening 
Please provide any additional information below 
Looks like it is crashing here:
https:  github com ankidroid Anki Android blob develop AnkiDroid src main java com ichi2 anki Preferences java L289
Also crashed with API 10  but seems to work with API 14 and 19 
Reported by  ospalh  on 2015 06 03 15:03:52
</t>
  </si>
  <si>
    <t>ankidroid-Anki-Android-3501</t>
  </si>
  <si>
    <t>On windows pc, anki is displaying part of answer (2nd column) on 1st page, then rest on 2nd page</t>
  </si>
  <si>
    <t xml:space="preserve">Originally reported on Google Code with ID 2605
Note: If this is your first time submitting an issue  please read the
following webpage:
https:  ankidroid org docs help html
What steps will reproduce the problem 
1  I ve download to Windows PC Version 2 0 32 of anki
2  Load a new deck   no problem
3   run deck on Windows PC   it shows question   and part of answer
on 1st page   If I click  show answer   it shows the rest of the answer 
What is the expected output  What do you see instead 
Expect: to see only question on question and not any of answer
Instead: see question and part of answer on front page  then
rest of answer after I click  show answer 
Does it happen again every time you repeat the steps above  Or did it
happen only one time 
I ve repeated 3 times with the same result
Paste the  debug info  from the AnkiDroid  About  dialog below (see the
above help webpage for detailed instructions) 
Anki is not crashing  it just displays the part of the answer on the first page
Please provide any additional information below 
I ve been using Anki for more than a year with no problems 
First saw problem after I upgraded to Version 2 0 32  Qt 4 8 4 PyQt 4 10
I m loading a CSV file in Unicode (UTF 8) using LibreOffice calc like
I always do   I ve attached the CSV file
Reported by  jnomura2  on 2015 05 10 11:16:51
 hr 
   Attachment:  0000A b3b4 grammar csv (https:  storage googleapis com google code attachments ankidroid issue 2605 comment 0 0000A b3b4 grammar csv) 
</t>
  </si>
  <si>
    <t>ankidroid-Anki-Android-3483</t>
  </si>
  <si>
    <t xml:space="preserve">Problem with custom study </t>
  </si>
  <si>
    <t xml:space="preserve">Originally reported on Google Code with ID 2587
Note: If this is your first time submitting an issue  please read the
following webpage:
https:  ankidroid org docs help html
What steps will reproduce the problem 
1  Custom study
2  Click answer on first card
3  AnkiDroid closes down   an unexpected error has occurred  
What is the expected output  What do you see instead 
Expected : next card  Instead : crash
Does it happen again every time you repeat the steps above  Or did it
happen only one time 
Happens every time  but not with regular study  
Paste the  debug info  from the AnkiDroid  About  dialog below (see the
above help webpage for detailed instructions) 
AnkiDroid Version   2 4 2
Android Version   4 4 2
ACRA UUID   cb446e1d b39f 4b94 91ec 9f702ee15579
Please provide any additional information below 
Reported by  2lwaterfles  on 2015 04 20 20:49:14
</t>
  </si>
  <si>
    <t>ankidroid-Anki-Android-3469</t>
  </si>
  <si>
    <t>Safe Display mode crashing Ankidroid</t>
  </si>
  <si>
    <t xml:space="preserve">Originally reported on Google Code with ID 2573
On a rooted Barnes and Noble Nook Glowlight (Android 2 1)  when  Safe Display Mode 
is enabled and  Simple Interface  is  not  enabled  Anki crashes when opening the review
screen with a message similar to this: 
 Ankidroid has encountered a problem  We are letting the developers know  
However  I do not see the crashes here:
http:  ankidroid triage appspot com report crashes 
This is with Ankdroid 2 4 1beta14  AnkiDroid 2 4 had the same issue on
this device 
What steps will reproduce the problem 
1  Enable  Safe Display Mode 
2  Disable  Simple Interface 
3  Click on a deck to review it 
What is the expected output  What do you see instead 
I expect to see the review screen  Instead: crash 
Does it happen again every time you repeat the steps above  Or did it
happen only one time 
Every time 
Please provide any additional information below 
I understand that Android 2 1 is no longer supported  I would appreciate help in diagnosing
this bug to see if maybe I can fix it 
Reported by  dotancohen  on 2015 04 02 17:14:02
</t>
  </si>
  <si>
    <t>ankidroid-Anki-Android-3458</t>
  </si>
  <si>
    <t xml:space="preserve">Due count too high </t>
  </si>
  <si>
    <t xml:space="preserve">Originally reported on Google Code with ID 2562
Note: If this is your first time submitting an issue  please read the
following webpage:
https:  ankidroid org docs help html
What steps will reproduce the problem 
1  Have lots of subdecks  with lots of cards due  
2 
3 
What is the expected output  What do you see instead 
Each card in a subdeck should be counted only for the top level deck  
Instead it is counted twice  for the subdeck and the top level deck  
Does it happen again every time you repeat the steps above  Or did it
happen only one time 
Every time 
Paste the  debug info  from the AnkiDroid  About  dialog below (see the
above help webpage for detailed instructions) 
No crash  so I won t paste the uuid
AnkiDroid 2 5alpha4 
Please provide any additional information below 
I think this is a regression  I think it was fixed in 2 1 or something  
Reported by  ospalh  on 2015 03 22 15:01:30
</t>
  </si>
  <si>
    <t>ankidroid-Anki-Android-3450</t>
  </si>
  <si>
    <t>Hi,i'm using android 4.3 HTC desire 516 dual sim. Intially the device restricts storing the apps like anki in the SD card and crashing followed even if i deleted the app data.</t>
  </si>
  <si>
    <t xml:space="preserve">Originally reported on Google Code with ID 2554
What steps will reproduce the problem 
1 installed ankidroid and changed storage location to SD card
2 Use anki for a day and synced using the HTC or not 
3 Next morning crashes and their is nothing i can to fix it  Also  happened when i
attempted to transfer installed app to the SD card 
4 Another time i changed where the app gets the collection by exporting the collection
from the anki in the desktop to my SD card and when ankidroid installed i changed the
collection retrieval to the SD card and it crashed too 
What is the expected output  What do you see instead 
i wanted the ankidroid to be accessed by the mobile device SD card instead of the phone
storage  It crashed and even the options the app points out to fix the problem don t
assist  In all the instances  i ve pointed out 
Does it happen again every time you repeat the steps above  Or did it
happen only one time 
It happens every time  Especially after studying and syncing  I cannot use the app
the next day in my mobile phone  
When i changed the storage location of the app and the collection 
For changing storage location yes  But the second issue is endemic to this mobile 
I have never used anki for more than a day even if i sync my progress 
Reported by  benmainye  on 2015 03 16 09:36:53
 hr 
   Attachment:  collection apkg (https:  storage googleapis com google code attachments ankidroid issue 2554 comment 0 collection apkg) 
</t>
  </si>
  <si>
    <t>ankidroid-Anki-Android-3449</t>
  </si>
  <si>
    <t>Collection not opened</t>
  </si>
  <si>
    <t xml:space="preserve">Originally reported on Google Code with ID 2553
Note: If this is your first time submitting an issue  please read the
following webpage:
https:  ankidroid org docs help html
What steps will reproduce the problem 
1  Opening AnkiDroid under any circumstances
2 
3 
What is the expected output  What do you see instead 
I would hope that AnkiDroid might eventually open  I get the collection loading error 
and am given the option to restore from backup or download fresh  but none work  it
just hangs on  Collection loading failed  Press back to close AnkiDroid 
Does it happen again every time you repeat the steps above  Or did it
happen only one time 
Happens any and all times I try to run AnkiDroid  I have uninstalled  deleted any files
associated with it  restarted  and can t get it to work
Paste the  debug info  from the AnkiDroid  About  dialog below (see the
above help webpage for detailed instructions) 
I can t even get to the AnkiDroid options to paste debug info  I ve sent the crash
info it offers when it loads initially 
Please provide any additional information below 
Reported by  tuckerhartley  on 2015 03 14 22:37:39
</t>
  </si>
  <si>
    <t>ankidroid-Anki-Android-3443</t>
  </si>
  <si>
    <t>Prefs show whiteboard brush width of 0 (should show 6)</t>
  </si>
  <si>
    <t xml:space="preserve">Originally reported on Google Code with ID 2547
Note: If this is your first time submitting an issue  please read the
following webpage:
https:  ankidroid org docs help html
What steps will reproduce the problem 
1  On a fresh install
2  Go to the prefs
3  Learning specific
4  Look at whiteboard pixel width
What is the expected output  What do you see instead 
It should show 6  which is the value used by default
Instead  it shows 0
Does it happen again every time you repeat the steps above  Or did it
happen only one time 
Every time
Paste the  debug info  from the AnkiDroid  About  dialog below (see the
above help webpage for detailed instructions) 
No crash to report  so i skip the uuid
Versions:
Android 4 1 2
AnkiDroid 2 4 1beta14 6ad40b9
Please provide any additional information below 
Reported by  ospalh  on 2015 03 05 18:08:49
</t>
  </si>
  <si>
    <t>ankidroid-Anki-Android-3438</t>
  </si>
  <si>
    <t>java.lang.IllegalArgumentException: View not attached to window manager : at com.ichi2.anki.DeckPicker$16.onPostExecute</t>
  </si>
  <si>
    <t xml:space="preserve">Originally reported on Google Code with ID 2542
There seems to be quite a few crashes failing at the sync onPostExecute() method at
the line
    if (mProgressDialog    null)  
        mProgressDialog dismiss() 
Here s the stacktrace:
java lang IllegalArgumentException: View com android internal policy impl PhoneWindow DecorView 44ab9ab0
V E      R     ID 0 0 960 439  not attached to window manager
at android view WindowManagerGlobal findViewLocked(WindowManagerGlobal java:370)
at android view WindowManagerGlobal removeView(WindowManagerGlobal java:299)
at android view WindowManagerImpl removeViewImmediate(WindowManagerImpl java:84)
at android app Dialog dismissDialog(Dialog java:337)
at android app Dialog dismiss(Dialog java:320)
at com ichi2 anki DeckPicker 16 onPostExecute(DeckPicker java:1368)
at com ichi2 async Connection onPostExecute(Connection java:154)
at com ichi2 async Connection onPostExecute(Connection java:73)
at android os AsyncTask finish(AsyncTask java:632)
at android os AsyncTask access 600(AsyncTask java:177)
at android os AsyncTask InternalHandler handleMessage(AsyncTask java:645)
at android os Handler dispatchMessage(Handler java:102)
at android os Looper loop(Looper java:212)
at android app ActivityThread main(ActivityThread java:5137)
at java lang reflect Method invokeNative(Native Method)
at java lang reflect Method invoke(Method java:515)
at com android internal os ZygoteInit MethodAndArgsCaller run(ZygoteInit java:902)
at com android internal os ZygoteInit main(ZygoteInit java:718)
at dalvik system NativeStart main(Native Method)
But all of crashes with this signature have a similar logcat indicating that the root
cause of the problem might be somewhere else:
60  03 01 23:40:29 323 I AnkiDroid(10842): Item 2 selected in navigation drawer
61  03 01 23:40:34 703 I AnkiDroid(10842): StudyOptionsActivity:: onBackPressed()
62  03 01 23:40:35 693 I AnkiDroid(10842): DeckPicker:: Sync button pressed
63  03 01 23:40:35 763 I AnkiDroid(10842): Sync   starting sync
64  03 01 23:40:37 433 I AnkiDroid(10842): Sync: getting meta data from server
65  03 01 23:40:37 443 I AnkiDroid(10842): Sync: building local meta data
66  03 01 23:40:37 583 I AnkiDroid(10842): Sync: collection removed data
67  03 01 23:40:37 593 I AnkiDroid(10842): Sync: sending and receiving removed data
68  03 01 23:40:38 683 I AnkiDroid(10842): Sync: applying removed data
69  03 01 23:40:38 683 I AnkiDroid(10842): Sync: collection small changes
70  03 01 23:40:38 683 I AnkiDroid(10842): Sync: sending and receiving small changes
71  03 01 23:40:41 823 I AnkiDroid(10842): Sync: merging small changes
72  03 01 23:40:41 823 I AnkiDroid(10842): Sync: downloading chunked data
73  03 01 23:40:43 163 I AnkiDroid(10842): Sync: applying chunked data
74  03 01 23:40:43 173 I AnkiDroid(10842): Sync: collecting chunked data
75  03 01 23:40:43 243 I AnkiDroid(10842): Sync: sending chunked data
76  03 01 23:40:57 293 I AnkiDroid(10842): Sync: sending finish command
77  03 01 23:40:57 823 I AnkiDroid(10842): Sync: finishing
78  03 01 23:40:57 843 I AnkiDroid(10842): flush   Saving information to DB   
79  03 01 23:41:04 153 I AnkiDroid(10842): Collection closed
80  03 01 23:41:04 153 I AnkiDroid(10842): openCollection:  storage emulated 0 AnkiDroid collection anki2
81  03 01 23:41:04 263 E AnkiDroid(10842): DeckTask  Error on saving deck in background
82  03 01 23:41:04 263 E AnkiDroid(10842): java lang NullPointerException
83  03 01 23:41:04 263 E AnkiDroid(10842): at com ichi2 libanki Collection save(Collection java:263)
84  03 01 23:41:04 263 E AnkiDroid(10842): at com ichi2 libanki Collection save(Collection java:248)
85  03 01 23:41:04 263 E AnkiDroid(10842): at com ichi2 async DeckTask doInBackgroundSaveCollection(DeckTask java:505)
86  03 01 23:41:04 263 E AnkiDroid(10842): at com ichi2 async DeckTask doInBackground(DeckTask java:250)
87  03 01 23:41:04 263 E AnkiDroid(10842): at com ichi2 async DeckTask doInBackground(DeckTask java:73)
88  03 01 23:41:04 263 E AnkiDroid(10842): at android os AsyncTask 2 call(AsyncTask java:288)
89  03 01 23:41:04 263 E AnkiDroid(10842): at java util concurrent FutureTask run(FutureTask java:237)
90  03 01 23:41:04 263 E AnkiDroid(10842): at android os AsyncTask SerialExecutor 1 run(AsyncTask java:231)
91  03 01 23:41:04 263 E AnkiDroid(10842): at java util concurrent ThreadPoolExecutor runWorker(ThreadPoolExecutor java:1112)
92  03 01 23:41:04 263 E AnkiDroid(10842): at java util concurrent ThreadPoolExecutor Worker run(ThreadPoolExecutor java:587)
93  03 01 23:41:04 263 E AnkiDroid(10842): at java lang Thread run(Thread java:841)
Reported by  perceptualchaos2  on 2015 03 03 02:39:40
</t>
  </si>
  <si>
    <t>ankidroid-Anki-Android-3408</t>
  </si>
  <si>
    <t>Resource error in es_ES</t>
  </si>
  <si>
    <t xml:space="preserve">Originally reported on Google Code with ID 2512
What steps will reproduce the problem 
1  Configure your android to the language  Espa ol (Espa a) 
2  Open Anki 
3  Open any deck 
4  Open statistics from there 
5  If you have not practiced yet on the day  wipe to the leftmost tab 
What is the expected output  What do you see instead 
Instead of seen the text  Contar de nuevo: 0   b      b    with no formatting  I would
expect to get  Contar de nuevo: 0  with a highlighted 0 
Does it happen again every time you repeat the steps above  Or did it
happen only one time 
Yes  this is reproducable 
Paste the  debug info  from the AnkiDroid  About  dialog below (see the
above help webpage for detailed instructions) 
(N A: There has been no actual crash )
Please provide any additional information below 
I have attached the expected solution to this bug report 
Reported by  m tthias eu  on 2015 02 05 13:27:02
 hr 
   Attachment:  0001 Fixing stats today again count resource for es ES patch (https:  storage googleapis com google code attachments ankidroid issue 2512 comment 0 0001 Fixing stats today again count resource for es ES patch) 
</t>
  </si>
  <si>
    <t>ankidroid-Anki-Android-3401</t>
  </si>
  <si>
    <t>Wrong title when returning from e.g. statitstics to review</t>
  </si>
  <si>
    <t xml:space="preserve">Originally reported on Google Code with ID 2505
What steps will reproduce the problem 
1  Review a deck
2  Via the navigation drawer  go to statistics
3  Touch the back button
What is the expected output  What do you see instead 
The title  at the very top besides the app icon  should show the deck name 
Instead it says  Statistics  (localized  in my case  Statistik )
Does it happen again every time you repeat the steps above  Or did it
happen only one time 
Every time 
Paste the  debug info  from AnkiDroid below  (In v2 4   go to Settings   
About    Copy Debug Info) 
AnkiDroid Version   2 4alpha38 (actually something like 2 5alpha N  git hash ee92ee6)
Android Version   4 1 2
(no crash  i ll skip the uuid)
Please provide any additional information below 
It s the same with the card browser
Reported by  ospalh  on 2015 02 02 11:18:12
</t>
  </si>
  <si>
    <t>ankidroid-Anki-Android-3398</t>
  </si>
  <si>
    <t>rooted  note 2 (GT-N7105)  crash with ankidroid version 2.4</t>
  </si>
  <si>
    <t xml:space="preserve">Originally reported on Google Code with ID 2502
Note: If this is your first time submitting an issue  please read the
following webpage:
https:  ankidroid org docs help html
I m running Ditto Note 3 ROM image  
Build Number DN3 v3 1 1 LTE (Ditto Note 3) 
Kernal Version
3 0 31 2118172
se infra SEP 135 1
Wed November 13 11:34:24 KST 2013
What steps will reproduce the problem 
1  Install AnkiDroid 2 4 
2  Start Anki
3  Observe message : it has crashed
see black screen  see popup test   Ankidroid has encountered a problem  A report is
being generated  flashed twice 
4  AnkiDroid Exit to previous screen   app 
What is the expected output  What do you see instead 
as above 
Does it happen again every time you repeat the steps above  Or did it
happen only one time 
It happens everytime I tried to go in  
Paste the  debug info  from AnkiDroid below  (In v2 4   go to Settings   
About    Copy Debug Info) 
Can t even get into the screen  
Please provide any additional information below 
my email is pekcheey ad gmail com
my number if you would whatsapp or telegram me is  65 9 0ne 79 5 0ne 09 (faster respond)
I did managed to workaround this by uninstalling 2 4 and installing to AnkiDroid 2 3 3 cws2
I have not tried if any of the 2 4 alpha  or beta works  though I remembered installing
the pre release 2 4 version which give me the same error  
Reported by  pekcheey  on 2015 01 30 08:06:00
</t>
  </si>
  <si>
    <t>ankidroid-Anki-Android-3395</t>
  </si>
  <si>
    <t>Where is main menu with import option?</t>
  </si>
  <si>
    <t xml:space="preserve">Originally reported on Google Code with ID 2499
What steps will reproduce the problem 
1 Turn on ANKIDROID
2 
3 
What is the expected output  What do you see instead 
Does it happen again every time you repeat the steps above  Or did it
happen only one time 
Yes
What version of AnkiDroid are you using  (Decks list   menu   About   Look
at the title)2 3 2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neven meic  on 2015 01 28 20:48:10
</t>
  </si>
  <si>
    <t>ankidroid-Anki-Android-3394</t>
  </si>
  <si>
    <t>Fuzzy syncing issues</t>
  </si>
  <si>
    <t xml:space="preserve">Originally reported on Google Code with ID 2498
What steps will reproduce the problem 
hard to reproduce probably:
1  have a large set (116k cards  c  30 decks)  using windows client   ankidroid  full
sync from windows    clean slate 
2  after a while (doing some editing in the browser  exporting importing data ) of
syncing between the 2 clients  there s a database problem in the win version  I repair 
then sync again 
3  probably after that  the two versions (win droid) are not perfectly in sync  For
one  I sometimes get cards as  new  that I already did the day before for sure  One
other strange thing: I can press Sync on win  then droid  then win  then droid  over
and over  without ever telling me there are no changes  it always syncs some kilobytes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win client 2 0 31
droid 2 3 2 on android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sarefo  on 2015 01 28 14:38:24
</t>
  </si>
  <si>
    <t>ankidroid-Anki-Android-3382</t>
  </si>
  <si>
    <t>AnkiDroid 2.0.1 crashes when trying to sync</t>
  </si>
  <si>
    <t xml:space="preserve">Originally reported on Google Code with ID 2486
What steps will reproduce the problem 
1 Open Ankidroid on Kindle Fire
2 Select  sync 
3 Synchronisation symbol appears and twirls for a second or two
What is the expected output  What do you see instead 
Expected: new deck is synced to list of decks
What happens instead: app crashes  textbox  Ankidroid has stopped  appears
Does it happen again every time you repeat the steps above  Or did it
happen only one time 
Never happened until yesterday  now happens every time (attempted syncing about 10
times    crashed 10 10  sent error feedback several times)  The decks that are already
in the list still work fine 
What version of AnkiDroid are you using  (Decks list   menu   About   Look
at the title)
AnkiDroid v2 0 1
On what version of Android  (Home screen   menu   About phone   Android
version)
Kindle Fire  System version:7 5 1 user 5170020
If it is a crash or  Force close  and you can reproduce it  the following
would help immensely: 1) Install the  SendLog  app  2) Reproduce the crash 
3) Immediately after  launch SendLog  4) Attach the resulting file to this
report  That will make the bug much easier to fix 
Sorry  not sure how where to get SendLog    But will check around a bit more :) Thanks
for your help 
Sabine
Please provide any additional information below 
Reported by  shiller27  on 2015 01 23 16:01:31
</t>
  </si>
  <si>
    <t>ankidroid-Anki-Android-3380</t>
  </si>
  <si>
    <t>Crash when switching to a different deck after finishing reviews of the previous one</t>
  </si>
  <si>
    <t xml:space="preserve">Originally reported on Google Code with ID 2484
What steps will reproduce the problem 
1  Do reviews for one of the decks  When the last card is done  AnkiDroid goes back
to the main screen and the right panel (the one with the chart and  Study  button)
is blank  probably because it s being loaded in the background 
2  Click on a different deck before the right panel loads  Anki crashes and asks for
feedback 
What is the expected output  What do you see instead 
It should select the clicked deck and not crash 
Does it happen again every time you repeat the steps above  Or did it
happen only one time 
It happened to me three times today  each time after finishing reviews for one of the
decks  It did not crash for the fourth deck 
I don t know if the right panel not being loaded matters  I think this does not happen
when it s already loaded but the crash is not easy to reproduce in a controlled way
so I can t check 
What version of AnkiDroid are you using 
On what version of Android 
AnkiDroid 2 4beta8
Android 4 2 2
Running on Prestigio PMT5587 Wi tablet
Until recently I ve been using AnkiDroid 2 3 2  I have already experienced similar
crashes before so it s probably not just this beta but I m not sure as I don t have
the stack trace 
Reported by  cameel2  on 2015 01 22 11:34:07
</t>
  </si>
  <si>
    <t>ankidroid-Anki-Android-3376</t>
  </si>
  <si>
    <t>Bluetooth keyboard causes error</t>
  </si>
  <si>
    <t xml:space="preserve">Originally reported on Google Code with ID 2480
What steps will reproduce the problem 
1  When I turn on bluetooth and attach my keyboard then anki shows me an error
2 
3 
What is the expected output  What do you see instead 
onscreen keyboard goes away 
Does it happen again every time you repeat the steps above  Or did it
happen only one time 
every time
What version of AnkiDroid are you using  (Decks list   menu   About   Look
at the title)  2 3 2
On what version of Android  (Home screen   menu   About phone   Android
version) 5 0 2
If it is a crash or  Force close  and you can reproduce it  the following
would help immensely: 1) Install the  SendLog  app  2) Reproduce the crash 
3) Immediately after  launch SendLog  4) Attach the resulting file to this
report  That will make the bug much easier to fix 
will do
Please provide any additional information below 
Reported by  stm wrp  on 2015 01 20 21:31:42
</t>
  </si>
  <si>
    <t>ankidroid-Anki-Android-3371</t>
  </si>
  <si>
    <t>Images too small</t>
  </si>
  <si>
    <t xml:space="preserve">Originally reported on Google Code with ID 2475
What steps will reproduce the problem 
1  Adding any image from Anki desktop and syncing on my GS4
2 
3 
What is the expected output  What do you see instead 
I expect to see an image which fills the screen area  or is large and scrollable  
Instead I see a thumbnail size image only 
Does it happen again every time you repeat the steps above  Or did it
happen only one time 
All times with all cards
What version of AnkiDroid are you using  (Decks list   menu   About   Look
at the title)
On what version of Android  (Home screen   menu   About phone   Android
version)
Latest  and 4 4 2 Droid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have been making flashcards for study but wanted a more convenient  quick method   
this app looks fantastic but I can t get images to display correctly   After I had
issues  I went to Browse     Cards        and added the following string: 
img
 max width:none   max height:none 
but images are still incorrectly displayed  I need to memorize over 600 anatomical
features for a pinned final and this is the app that will save my butt if I can get
it to work  
Here s a screencap: http:  imgur com zKGOWZS
Thanks for any input 
Reported by  xenosemper  on 2015 01 18 08:29:23
</t>
  </si>
  <si>
    <t>ankidroid-Anki-Android-3370</t>
  </si>
  <si>
    <t>Crashes and says the database is not real or is corrupt</t>
  </si>
  <si>
    <t xml:space="preserve">Originally reported on Google Code with ID 2474
What steps will reproduce the problem 
1  Opening the app
2 trying to import a deck
3 
What is the expected output  What do you see instead 
Expecred is for the app to open and to be able to import new decks  Instead app crashes
or displays a message saying the database is corrupt or not a real version 
Does it happen again every time you repeat the steps above  Or did it
happen only one time 
it happens every time I try to import a deck or try to open the app  
What version of AnkiDroid are you using  (Decks list   menu   About   Look
at the title)
On what version of Android  (Home screen   menu   About phone   Android
version)
2 3 2 and KitKat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BWingfield36  on 2015 01 18 01:58:43
</t>
  </si>
  <si>
    <t>ankidroid-Anki-Android-3369</t>
  </si>
  <si>
    <t>no sound on samsung s3 mini</t>
  </si>
  <si>
    <t xml:space="preserve">Originally reported on Google Code with ID 2473
What steps will reproduce the problem 
1  install ankidroid on samsung s3 mini
2  install Russian Cryillic card deck
3  no audio plays   however Edit Card and go to Editing field and press play button
and the sound works  sound:sound07 mp3 
What is the expected output  What do you see instead 
no audio plays   however if I go to Edit Card and go to Editing field and press play
button and the sound works
Does it happen again every time you repeat the steps above  Or did it
happen only one time 
every time 
What version of AnkiDroid are you using  (Decks list   menu   About   Look
at the title)
2 3 2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It is the first deck I have tried  and it it repeatable   so that should help to find
the problem I guess 
Reported by  rogkru  on 2015 01 14 00:19:15
</t>
  </si>
  <si>
    <t>ankidroid-Anki-Android-3365</t>
  </si>
  <si>
    <t>Error on Media Sync</t>
  </si>
  <si>
    <t xml:space="preserve">Originally reported on Google Code with ID 2469
What steps will reproduce the problem 
Don t know  Doesn t seem to reproduce  I was downloading about 5 000 new media files 
Not sure if it reached that stage or not  as it was unattended 
http:  ankidroid triage appspot com view crash crash id 6242385361108992
2 3 2
4 4 4
Reported by  tomac120  on 2015 01 10 19:13:11
</t>
  </si>
  <si>
    <t>ankidroid-Anki-Android-3362</t>
  </si>
  <si>
    <t>cards that are marked seem to become unmarked randomly</t>
  </si>
  <si>
    <t xml:space="preserve">Originally reported on Google Code with ID 2466
What steps will reproduce the problem 
1  mark some cards
2  make a filter deck sorting on the tag marked
3  study that deck  Even though all of the cards in the deck appear some will not be
marked any longer 
What is the expected output  I m expecting that the cards should stay marked unless
explicitly unmarked by the operator 
What do you see instead 
the cards seem to randomly become unmarked  Perhaps I don t understand the way cards
being marked should function 
Does it happen again every time you repeat the steps above  Or did it
happen only one time 
it seems to happen every time
What version of AnkiDroid are you using  (Decks list   menu   About   Look
at the title) 2 3 2
On what version of Android  (Home screen   menu   About phone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greg ihnen me  on 2015 01 06 14:28:12
</t>
  </si>
  <si>
    <t>ankidroid-Anki-Android-3361</t>
  </si>
  <si>
    <t>when adding new tags sometimes pre existing tags are randomly selected as well</t>
  </si>
  <si>
    <t xml:space="preserve">Originally reported on Google Code with ID 2465
What steps will reproduce the problem 
1 add a new tag
2 
3 
What is the expected output 
the new tag should be added and in my opinion should be automatically selected  but
no other tags should be randomly selected
What do you see instead 
some tags  near the top of the list of tags are randomly selected  
Does it happen again every time you repeat the steps above  Or did it
happen only one time 
seems like everytime
What version of AnkiDroid are you using  (Decks list   menu   About   Look
at the title) 2 3 2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greg ihnen me  on 2015 01 06 14:14:50
</t>
  </si>
  <si>
    <t>ankidroid-Anki-Android-3360</t>
  </si>
  <si>
    <t>Adding a new tag after selecting existing tags in tag editor causes the wrong tags to be selected</t>
  </si>
  <si>
    <t xml:space="preserve">Originally reported on Google Code with ID 2464
What steps will reproduce the problem 
1 add tags do a card by clicking on the tags field and check existing tags checkbox 
With multiple tags already checked add a new tag by typing it in the appropriate box
and clicking to add it to the list  the new tag will be added however all previously
checked tags: will become unchecked  
What is the expected output  
the previously selected tags should remain selected and the new tag be added and selected
as well  
What do you see instead 
the previously selected tags are D selected when adding a new tag
Does it happen again every time you repeat the steps above  Or did it
happen only one time 
Every time 
What version of AnkiDroid are you using  (Decks list   menu   About   Look
at the title)
On what version of Android  (Home screen   menu   About phone   Android
version)
2 3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greg ihnen me  on 2015 01 06 14:09:52
</t>
  </si>
  <si>
    <t>ankidroid-Anki-Android-3358</t>
  </si>
  <si>
    <t>Words in target language window go outside the screen</t>
  </si>
  <si>
    <t xml:space="preserve">Originally reported on Google Code with ID 2462
What steps will reproduce the problem 
1  Cards are added on Computer Anki version 
2  Cards are reviewed on Android Anki version after synchronisation 
What is the expected output  What do you see instead 
Words in target language (the second lower window) go outside the screen on Android
Anki  When I edit these words on Android Anki  I can clearly see that   nbsp   symbols
appeared  which I need to remove 
Does it happen again every time you repeat the steps above  Or did it
happen only one time 
It happens every time after they are added on Computer version and reviewed on Android
Anki version after synchronization  However  it does not repeat  if I edit such cards
manually on Android Anki by removing   nbsp   symbols between the words  After such
editing  words do not go outside the screen 
What version of AnkiDroid are you using  (Decks list   menu   About   Look
at the title)
AnkiDroid v2 3 2
On what version of Android  (Home screen   menu   About phone   Android
version)
Android 2 3 5
If it is a crash or  Force close  and you can reproduce it  the following
would help immensely: 1) Install the  SendLog  app  2) Reproduce the crash 
3) Immediately after  launch SendLog  4) Attach the resulting file to this
report  That will make the bug much easier to fix 
There s no  Force close  window during this bug 
Please provide any additional information below 
Photos attached:
1) Target words go outside the screen
2) Edit window (removing   nbsp   tags)
3) Target words after edit do not go outside the screen 
Reported by  rasa didziulyte  on 2015 01 04 15:16:40
 hr 
   Attachment:  2014 11 08 00 03 24 jpg (https:  storage googleapis com google code attachments ankidroid issue 2462 comment 0 2014 11 08 00 03 24 jpg) 
   Attachment:  2014 11 08 00 03 30 jpg (https:  storage googleapis com google code attachments ankidroid issue 2462 comment 0 2014 11 08 00 03 30 jpg) 
   Attachment:  2014 11 08 00 03 52 jpg (https:  storage googleapis com google code attachments ankidroid issue 2462 comment 0 2014 11 08 00 03 52 jpg) 
</t>
  </si>
  <si>
    <t>ankidroid-Anki-Android-3357</t>
  </si>
  <si>
    <t>Timeout while uploading changes during sync</t>
  </si>
  <si>
    <t xml:space="preserve">Originally reported on Google Code with ID 2461
What steps will reproduce the problem 
1  Do some reviews in AnkiDroid
2  Press the sync button
3  Wait
What is the expected output  What do you see instead 
I expect the sync to complete successfully  Instead it gets stuck during  Upload changes 
after some amount of changes have been uploaded (e g  3 kb) and after some time times
out 
Does it happen again every time you repeat the steps above  Or did it
happen only one time 
It happens every time  regardless of whether I do a regular sync or a full re upload 
However  it only affects uploading  when downloading changes it never gets stuck 
What version of AnkiDroid are you using  (Decks list   menu   About   Look
at the title)
On what version of Android  (Home screen   menu   About phone   Android
version)
AnkiDroid 2 3 2 and 2 4beta2 on Android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can do a full sync (Download) which works correctly  but does not fix the problem 
Reported by  dobysirius  on 2015 01 03 13:39:04
</t>
  </si>
  <si>
    <t>ankidroid-Anki-Android-3356</t>
  </si>
  <si>
    <t>SOME self-created cards turn invisible during review</t>
  </si>
  <si>
    <t xml:space="preserve">Originally reported on Google Code with ID 2460
What steps will reproduce the problem 
1 i create cards by copy paste from website into anki
2 during review problem occurs
3 1st review of self created cards pose no issue  but its subsequent reviews do
What is the expected output  What do you see instead 
expected output card review  i see NOTHING like empty card
Does it happen again every time you repeat the steps above  Or did it
happen only one time 
repeats 
What version of AnkiDroid are you using  (Decks list   menu   About   Look
at the title)
V2 3 2
On what version of Android  (Home screen   menu   About phone   Android
version)
v2 3 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and also SOME self created cards tend to create itself duplicates  appearing themselves
during reviews when i delete anyone of them  original plus its duplicate cards get
deleted 
Reported by  karthik22119  on 2014 12 31 06:48:34
</t>
  </si>
  <si>
    <t>ankidroid-Anki-Android-3355</t>
  </si>
  <si>
    <t>Basic note type not showing answers</t>
  </si>
  <si>
    <t xml:space="preserve">Originally reported on Google Code with ID 2459
What steps will reproduce the problem 
1 Trying to change the settings to that I can type an answer in using the basic note
setting
2  cut   back   to the front part of the card and change it to   type:back  
3 
What is the expected output  What do you see instead 
I wanted to be able to type the answer in and followed steps on youtube  but decided
it was too much hassle  When I tried to use the basic note to make normal cards  the
answer either wont show up or  unknown field back  comes up instead of the answer 
This has therefore made it impossible to see all the answers from decks using the basic
note type
Does it happen again every time you repeat the steps above  Or did it
happen only one time 
It happens each time 
What version of AnkiDroid are you using  (Decks list   menu   About   Look
at the title)
On what version of Android  (Home screen   menu   About phone   Android
version)
Version 2 0 31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millieojemere  on 2014 12 30 23:18:34
</t>
  </si>
  <si>
    <t>ankidroid-Anki-Android-3350</t>
  </si>
  <si>
    <t>Media check find "unused" LaTeX images (but they are used actually)</t>
  </si>
  <si>
    <t xml:space="preserve">Originally reported on Google Code with ID 2454
What steps will reproduce the problem 
1  Anki desktop: Edit notes with any LaTeX expression  view the cards in order to generate
the images 
2  Sync on desktop then on android
3  AnkiDroid: Do menu    Check media  It finds unused LaTeX images (which are actually
used) and asks for deletion (if you do delete  then LaTeX fields won t show correctly)
What is the expected output  What do you see instead 
It should not find unused LaTeX images if they are associated with a note or a card 
It should find only unassociated LaTeX images 
Does it happen again every time you repeat the steps above  Or did it
happen only one time 
Yes  it happens every time 
What version of AnkiDroid are you using  (Decks list   menu   About   Look
at the title)
On what version of Android  (Home screen   menu   About phone   Android
version)
Anki 2 0 31
AnkiDroid 2 3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panno luca  on 2014 12 28 11:10:12
</t>
  </si>
  <si>
    <t>ankidroid-Anki-Android-3346</t>
  </si>
  <si>
    <t>Activities with radio groups/buttons are not usable</t>
  </si>
  <si>
    <t xml:space="preserve">Originally reported on Google Code with ID 2450
What steps will reproduce the problem 
1  Add radio buttons to a basic Linear Layout  any existing Activity Layout will do 
or a new one
What is the expected output  What do you see instead 
  The buttons are misrendered and unusable 
Does it happen again every time you repeat the steps above  Or did it
happen only one time 
  Every time 
What version of AnkiDroid are you using  (Decks list   menu   About   Look
at the title)
2 4alpha38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You can test this with a basic radio button layout  as outlined by the Android Developer
guide:
http:  developer android com guide topics ui controls radiobutton html
The unusable and broken rendering is illustrated in the attachment 
Reported by  tilusnet  on 2014 12 22 14:32:12
 hr 
   Attachment: 2014 12 22 00 36 10 png br   2014 12 22 00 36 10 png (https:  storage googleapis com google code attachments ankidroid issue 2450 comment 0 2014 12 22 00 36 10 png) 
</t>
  </si>
  <si>
    <t>ankidroid-Anki-Android-3345</t>
  </si>
  <si>
    <t>Saved data dialog doesn't show clear all button</t>
  </si>
  <si>
    <t xml:space="preserve">Originally reported on Google Code with ID 2449
What steps will reproduce the problem 
1  Turn on  Instant add  (not sure if this is necessary)
2  Add a lot of cards to the saved data (in my case 22 entries added through CREATE FLASCARD
intent)
3  Try to create card from saved data
What is the expected output  What do you see instead 
I the  Saved data  dialog a  clear all  button should be shown  but I can t see it
even when scrolling down 
Does it happen again every time you repeat the steps above  Or did it
happen only one time 
Every time 
What version of AnkiDroid are you using 
2 3 2
On what version of Android 
5 0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Once I m down to 9 entries in the  Saved data  dialog (by adding the data to cards)
the button shows up 
Reported by  frank oltmanns  on 2014 12 22 09:30:20
</t>
  </si>
  <si>
    <t>ankidroid-Anki-Android-3344</t>
  </si>
  <si>
    <t>Can't download new deck</t>
  </si>
  <si>
    <t xml:space="preserve">Originally reported on Google Code with ID 2448
What steps will reproduce the problem 
1  Install new software
2   Go to download deck
3   Select shared deck
What is the expected output  What do you see instead 
Network error 
Does it happen again every time you repeat the steps above  Or did it
happen only one time   Every time
What version of AnkiDroid are you using  (Decks list   menu   About   Look
at the title)
On what version of Android  (Home screen   menu   About phone   Android
version)
V 0 5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Duneliella  on 2014 12 21 18:24:39
</t>
  </si>
  <si>
    <t>ankidroid-Anki-Android-3340</t>
  </si>
  <si>
    <t>Zoom feature in 2.3.2</t>
  </si>
  <si>
    <t xml:space="preserve">Originally reported on Google Code with ID 2444
What steps will reproduce the problem 
1  Open any card with an image
2 
3 
What is the expected output  What do you see instead 
On older versions of Ankidroid it was possible to zoom into the picture  I can not
find this feature in 2 3 2
Does it happen again every time you repeat the steps above  Or did it
happen only one time 
Jep
What version of AnkiDroid are you using  (Decks list   menu   About   Look
at the title)
On what version of Android  (Home screen   menu   About phone   Android
version)
2 3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HLorenz734  on 2014 12 18 14:37:33
</t>
  </si>
  <si>
    <t>ankidroid-Anki-Android-3338</t>
  </si>
  <si>
    <t xml:space="preserve">core6k japanese sentence pack audio stopped playing automatically when answer shown </t>
  </si>
  <si>
    <t xml:space="preserve">Originally reported on Google Code with ID 2442
What steps will reproduce the problem 
When I installed lollipop on my nexus 7 (2013) the audio stopped playing automatically
when reviewing cards 
What is the expected output  What do you see instead 
To have the audio play automatically when i hit  show answer   
This was happening before update to lollipop    :(
Does it happen again every time you repeat the steps above  Or did it
happen only one time 
It has happened only since upgrade to lollipop 
What version of AnkiDroid are you using  2 3 2 (Decks list   menu   About   Look
at the title)
On what version of Android lollipop 5 0 1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carter kym  on 2014 12 18 03:41:08
</t>
  </si>
  <si>
    <t>ankidroid-Anki-Android-3335</t>
  </si>
  <si>
    <t>Existing notes are not updated on import</t>
  </si>
  <si>
    <t xml:space="preserve">Originally reported on Google Code with ID 2439
What steps will reproduce the problem 
1  having ankidroid update the changes onto the phone
2 
3 
What is the expected output  What do you see instead 
i expect to see changes updated  instead no changes occur
Does it happen again every time you repeat the steps above  Or did it
happen only one time 
everytime
What version of AnkiDroid are you using  (Decks list   menu   About   Look
at the title)
On what version of Android  (Home screen   menu   About phone   Android
version)
v2 3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kawaharajamie  on 2014 12 14 04:25:01
</t>
  </si>
  <si>
    <t>ankidroid-Anki-Android-3331</t>
  </si>
  <si>
    <t>Null template</t>
  </si>
  <si>
    <t xml:space="preserve">Originally reported on Google Code with ID 2435
There seem to be a few users getting null pointer exceptions when answering cards
http:  ankidroid triage appspot com report crashes bug id 6161637560025088
java lang NullPointerException at com ichi2 libanki Card template(Card java:335) at
com ichi2 libanki Card template(Card java:335)
Begin Stacktrace
java lang NullPointerException
at com ichi2 libanki Card template(Card java:335)
at com ichi2 libanki Card  getQA(Card java:289)
at com ichi2 libanki Card  getQA(Card java:281)
at com ichi2 async DeckTask doInBackgroundAnswerCard(DeckTask java:442)
at com ichi2 async DeckTask doInBackground(DeckTask java:241)
at com ichi2 async DeckTask doInBackground(DeckTask java:1)
at android os AsyncTask 2 call(AsyncTask java:264)
at java util concurrent FutureTask Sync innerRun(FutureTask java:305)
at java util concurrent FutureTask run(FutureTask java:137)
at android os AsyncTask SerialExecutor 1 run(AsyncTask java:208)
at java util concurrent ThreadPoolExecutor runWorker(ThreadPoolExecutor java:1076)
at java util concurrent ThreadPoolExecutor Worker run(ThreadPoolExecutor java:569)
at java lang Thread run(Thread java:856)
End Stacktrace
Reported by  perceptualchaos2  on 2014 12 09 00:46:32
</t>
  </si>
  <si>
    <t>ankidroid-Anki-Android-3325</t>
  </si>
  <si>
    <t>com.ichi2.anki.exception.UnknownHttpResponseException: Bad Gateway</t>
  </si>
  <si>
    <t xml:space="preserve">Originally reported on Google Code with ID 2429
What steps will reproduce the problem 
1  Click the sync button
What is the expected output  What do you see instead 
 For it to say that syncing was successful  instead i get an error (com ichi2 anki exception UnknownHttpResponseException:
Bad Gateway) where it takes me to the error report screen  It always times out when
it says  275 media objects   it starts uploading and then crashes 
Does it happen again every time you repeat the steps above  Or did it
happen only one time 
 Every time  It just started to happen this week 
What version of AnkiDroid are you using  (Decks list   menu   About   Look
at the title)
On what version of Android  (Home screen   menu   About phone   Android
version)
 Android 4 4 2  AnkiDroid 2 3 2
If it is a crash or  Force close  and you can reproduce it  the following
would help immensely: 1) Install the  SendLog  app  2) Reproduce the crash 
3) Immediately after  launch SendLog  4) Attach the resulting file to this
report  That will make the bug much easier to fix 
 I ve attached the SendLog file 
Please provide any additional information below 
 I m not sure what caused it  maybe AnkiDroid and Anki Desktop tried to sync at the
same time  I m not sure  but the problem just started this week  It seems to still
update my repetitions  it just crashes when reaching the media section 
Reported by  pokemaster103  on 2014 12 03 07:52:09
 hr 
   Attachment:  SendLog zip (https:  storage googleapis com google code attachments ankidroid issue 2429 comment 0 SendLog zip) 
</t>
  </si>
  <si>
    <t>ankidroid-Anki-Android-3324</t>
  </si>
  <si>
    <t>Long Press Gesture Not Working Anymore</t>
  </si>
  <si>
    <t xml:space="preserve">Originally reported on Google Code with ID 2428
What steps will reproduce the problem 
1  Go to settings   gestures
2  Activate gestures
3  Set no action for all the events (but doesn t really matter)
4  Define undo action in case of a long press event 
5  Open a card deck
6  Answer the first card to reach the second
7  Long press to execute the undo command
What is the expected output  What do you see instead 
  expected: undo command being executed
  instead: nothing happens
Does it happen again every time you repeat the steps above  Or did it
happen only one time 
  all the time since an AnkiDroid update some weeks ago  Before it worked fine 
What version of AnkiDroid are you using  (Decks list   menu   About   Look
at the title)
On what version of Android  (Home screen   menu   About phone   Android
version)
  latest AnkiDroid version (2 3 2) on Android 4 4 2
  perfectly worked with an older AnkiDroid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ManfredNanniger  on 2014 12 02 17:19:32
</t>
  </si>
  <si>
    <t>ankidroid-Anki-Android-3320</t>
  </si>
  <si>
    <t>Sound does not automatically play on the back card if the front card includes a command to play a sound file first.</t>
  </si>
  <si>
    <t xml:space="preserve">Originally reported on Google Code with ID 2424
What steps will reproduce the problem 
1  Pressing show answer on a card which front template and back template include a
command to play audio (example   audio  )
2 
3 
What is the expected output  What do you see instead 
Front template contains
  audio  
Back template also contains   audio  
Expected: When the question appears it plays the sound file once as indicated by one
entry of   audio   in the card type front template 
When show answer is pressed it plays the sound file one more time as indicated by   audio 
in my card type back template 
Problem: When show answer is pressed the sound file does not automatically play like
it did on the last version on AnkiDroid 
Does it happen again every time you repeat the steps above  Or did it
happen only one time 
Yes every time there is a command to play a sound file in the front template and back
template the sound file will not play again once  show answer  is pressed 
However if the front template does not contain any commands to play a sound file then
once show answer is pressed then the back template sound file does play 
What version of AnkiDroid are you using  (Decks list   menu   About   Look
at the title)
On what version of Android  (Home screen   menu   About phone   Android
version)
2 3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On Anki desktop in every case both sound files always play 
Reported by  matto1949  on 2014 11 30 01:32:06
</t>
  </si>
  <si>
    <t>ankidroid-Anki-Android-3315</t>
  </si>
  <si>
    <t>Crash when logging out from Anki Web</t>
  </si>
  <si>
    <t xml:space="preserve">Originally reported on Google Code with ID 2419
From looking at the crash report you can probably reproduce by manually deleting the
media database and logging out  though I m not sure if this is the root cause of the
problem:
http:  ankidroid triage appspot com view crash crash id 4716422403981312
Reported by  perceptualchaos2  on 2014 11 26 03:37:43
</t>
  </si>
  <si>
    <t>ankidroid-Anki-Android-3314</t>
  </si>
  <si>
    <t>Database not reopened properly after sanity check error</t>
  </si>
  <si>
    <t xml:space="preserve">Originally reported on Google Code with ID 2418
http:  ankidroid triage appspot com view crash crash id 6036140226248704
Reported by  perceptualchaos2  on 2014 11 24 21:00:47
</t>
  </si>
  <si>
    <t>ankidroid-Anki-Android-3313</t>
  </si>
  <si>
    <t>Russian words get 'y' added in front of word when queried</t>
  </si>
  <si>
    <t xml:space="preserve">Originally reported on Google Code with ID 2417
What steps will reproduce the problem 
1  Have a deck with Russian words (written in cyrillic) and English as answer
2  Have the query word be Russian (the reversed card does not have the problem)
3  The word will show up with  y  in front of the word  
What is the expected output  What do you see instead 
Expected is the word as written in the database  it will show up with an  y  in front
of it (card edit shows that the  y  is not part of the word   
Does it happen again every time you repeat the steps above  Or did it
happen only one time 
Happens all the time if the first word is Russian  If it asks me the reverse (English) 
it doesn t show the  y  before the English  nor for the Russian answer  
What version of AnkiDroid are you using  (Decks list   menu   About   Look
at the title)
On what version of Android  (Home screen   menu   About phone   Android
version)
Ankidroid version: 2 3 2
Andriod version: 4 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Attached are two screenshots  
The word queried is               The word in the database is             without the
y  as is shown in the second picture of the word editor  
Reported by  negnin  on 2014 11 21 02:29:43
 hr 
   Attachment: 2014 11 21 02 25 31 png br   2014 11 21 02 25 31 png (https:  storage googleapis com google code attachments ankidroid issue 2417 comment 0 2014 11 21 02 25 31 png) 
   Attachment: 2014 11 21 02 25 56 png br   2014 11 21 02 25 56 png (https:  storage googleapis com google code attachments ankidroid issue 2417 comment 0 2014 11 21 02 25 56 png) 
</t>
  </si>
  <si>
    <t>ankidroid-Anki-Android-3312</t>
  </si>
  <si>
    <t>Ankidroid resets back to main screen when switching to another app and then back again</t>
  </si>
  <si>
    <t xml:space="preserve">Originally reported on Google Code with ID 2416
What steps will reproduce the problem 
1  Study a deck in ankidroid
2  Open another app e g  notes
3  Switch back to ankidroid
What is the expected output  What do you see instead 
All prior versions maintained the app as it was before the switch  this was very useful
for taking notes in a study session as you can use the pie to flick to notes  then
flick straight back to your study session  Now you have to scroll to the deck and reopen
it  plus you don t always return to the same study card this way 
Does it happen again every time you repeat the steps above  Or did it
happen only one time 
Happens every time
What version of AnkiDroid are you using  (Decks list   menu   About   Look
at the title)
On what version of Android  (Home screen   menu   About phone   Android
version)
2 3 2 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kellydamion  on 2014 11 20 22:04:58
</t>
  </si>
  <si>
    <t>ankidroid-Anki-Android-3311</t>
  </si>
  <si>
    <t>Tap gestures on: audio button non-functional</t>
  </si>
  <si>
    <t xml:space="preserve">Originally reported on Google Code with ID 2415
What steps will reproduce the problem 
1  review a card with audio on it 
2  have gestures on  probably with single tap active
3  tap on the audio button
What is the expected output  What do you see instead 
I want to replay the audio by tapping on the audio button  instead  the gesture gets
activated (in my case  show the backside) 
Does it happen again every time you repeat the steps above  Or did it
happen only one time 
Always 
What version of AnkiDroid are you using  (Decks list   menu   About   Look
at the title)
On what version of Android  (Home screen   menu   About phone   Android
version)
Ankidroid 2 3 2
Android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realize that the gesture function is quite rudimentary (the swipes didn t work at
all for me)  but I hope this can be fixed without too much hassle :)
Reported by  sarefo  on 2014 11 20 15:26:51
</t>
  </si>
  <si>
    <t>ankidroid-Anki-Android-3310</t>
  </si>
  <si>
    <t>When downloading own deck off anki server on new computer for the first time, AssertionError occurs and download aborts</t>
  </si>
  <si>
    <t xml:space="preserve">Originally reported on Google Code with ID 2414
What steps will reproduce the problem 
1 Download Anki 2 0 31  set to English
2  Press the Sync button  log into own account
3  Download starts    but then fails with the following error (attached image)
What is the expected output  What do you see instead 
Expect Sync  instead get error
Does it happen again every time you repeat the steps above  Or did it
happen only one time 
Only tested over a 30 min interval  but happened every time 
What version of AnkiDroid are you using  (Decks list   menu   About   Look
at the title)
Anki 2 0 31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morgan lok  on 2014 11 20 04:04:27
 hr 
   Attachment: screenshot 246 png br   screenshot 246 png (https:  storage googleapis com google code attachments ankidroid issue 2414 comment 0 screenshot 246 png) 
</t>
  </si>
  <si>
    <t>ankidroid-Anki-Android-3307</t>
  </si>
  <si>
    <t>Card editing crashed anki</t>
  </si>
  <si>
    <t xml:space="preserve">Originally reported on Google Code with ID 2411
What steps will reproduce the problem 
1  anki in learning mode
2  activate whiteboard
3  edit the card and click to save
4  anki crashes
What is the expected output  What do you see instead 
Anki does not crash and the card is edited 
Does it happen again every time you repeat the steps above  Or did it
happen only one time 
It happens in 8 of 10 attampts to edit a card an anki droid 
What version of AnkiDroid are you using  (Decks list   menu   About   Look
at the title)
On what version of Android  (Home screen   menu   About phone   Android
version)
The newest ones 
Reported by  christinakathihouben  on 2014 11 18 05:27:57
</t>
  </si>
  <si>
    <t>ankidroid-Anki-Android-3302</t>
  </si>
  <si>
    <t>NPE crash on createStatisticOverview</t>
  </si>
  <si>
    <t xml:space="preserve">Originally reported on Google Code with ID 2406
Been seeing a few NPE crashes opening statistics overview:
http:  ankidroid triage appspot com report crashes bug id 5916530218893312
http:  ankidroid triage appspot com report crashes bug id 6753128644870144
http:  ankidroid triage appspot com report crashes bug id 4623272616394752
Reported by  perceptualchaos2  on 2014 11 14 08:11:48
</t>
  </si>
  <si>
    <t>ankidroid-Anki-Android-3301</t>
  </si>
  <si>
    <t xml:space="preserve">cards written on windows version sometimes display in bold on ankidroid </t>
  </si>
  <si>
    <t xml:space="preserve">Originally reported on Google Code with ID 2405
What steps will reproduce the problem 
1  I have a feeling this is not new  but I can t find a solution 
2  Making the font bigger helps a little
3 
What is the expected output  What do you see instead 
I expect to see normal non bold fonts and instead some groups of words are randomly
displayed in bold  This is not a problem for the English content  but the Chinese characters
I m learning can become illegible 
After pressing the edit button the card content can be seen to include the html code
for bold:  
Does it happen again every time you repeat the steps above  Or did it
happen only one time 
It s happened numerous times 
What version of AnkiDroid are you using  (Decks list   menu   About   Look
at the title)
2 3 2
On what version of Android  (Home screen   menu   About phone   Android
version)
4 1 1
If it is a crash or  Force close  and you can reproduce it  the following
would help immensely: 1) Install the  SendLog  app  2) Reproduce the crash 
3) Immediately after  launch SendLog  4) Attach the resulting file to this
report  That will make the bug much easier to fix 
I have also experienced numerous crashes recently (several per day)  I ll try to do
this 
Please provide any additional information below 
Reported by  phillip wareham  on 2014 11 14 05:33:41
</t>
  </si>
  <si>
    <t>ankidroid-Anki-Android-3300</t>
  </si>
  <si>
    <t>cards written on windows version sometimes display in bold on ankidroid</t>
  </si>
  <si>
    <t xml:space="preserve">Originally reported on Google Code with ID 2404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phillip wareham  on 2014 11 14 05:26:43
</t>
  </si>
  <si>
    <t>ankidroid-Anki-Android-3294</t>
  </si>
  <si>
    <t>Can't download shared decks</t>
  </si>
  <si>
    <t xml:space="preserve">Originally reported on Google Code with ID 2398
What steps will reproduce the problem 
1  Click   on app  open browser (I use chrome)  download shared deck  try to open in
anki  get error message that it is not a valid apkg file 
2 
3 
What is the expected output  What do you see instead 
Error message that the file is not valid when I try to upload a shared deck that I
have downloaded onto my Android
Does it happen again every time you repeat the steps above  Or did it
happen only one time 
Every time  Several decks
What version of AnkiDroid are you using  (Decks list   menu   About   Look
at the title) 2 3 2
On what version of Android  (Home screen   menu   About phone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Samsung galaxy s4 mini  Worked before recent update 
Reported by  marinaraynor  on 2014 11 11 19:39:49
</t>
  </si>
  <si>
    <t>ankidroid-Anki-Android-3291</t>
  </si>
  <si>
    <t>Crash on db check</t>
  </si>
  <si>
    <t xml:space="preserve">Originally reported on Google Code with ID 2395
What steps will reproduce the problem 
1  Somehow produce a sync conflict
2    and start  check database 
What is the expected output  What do you see instead 
The check should run  (Ideally  it should fix the sync conflict  as  in this case 
i didn t really do anything that needed the check )
Instead AnkiDroid crashed Android (reboot) 
Does it happen again every time you repeat the steps above  Or did it
happen only one time 
With the collection in this state every time 
What version of AnkiDroid are you using  (Decks list   menu   About   Look
at the title)
On what version of Android  (Home screen   menu   About phone   Android
version)
Android 4 1 2
AnkiDroid 2 4alpha6 
The test works OK with 2 3 2  head of the hotfix branch 
If it is a crash or  Force close  and you can reproduce it  the following
would help immensely: 1) Install the  SendLog  app  2) Reproduce the crash 
3) Immediately after  launch SendLog  4) Attach the resulting file to this
report  That will make the bug much easier to fix 
There is this triage report:
http:  ankidroid triage appspot com view crash crash id 5621428384694272
Please provide any additional information below 
My collection is a) too big and b) to private to share  Sorry
Reported by  ospalh  on 2014 11 10 14:44:56
</t>
  </si>
  <si>
    <t>ankidroid-Anki-Android-3288</t>
  </si>
  <si>
    <t>Case sensitive search with non-english letters</t>
  </si>
  <si>
    <t xml:space="preserve">Originally reported on Google Code with ID 2392
What steps will reproduce the problem 
1  Create a card with eg  the word  ber in it
2  Use the search feature to search for  ber   ber and  Ber
3 
What is the expected output  What do you see instead 
I expect that  ber will match  ber because  Ber matches  ber
Does it happen again every time you repeat the steps above  Or did it
happen only one time 
Happens every time 
What version of AnkiDroid are you using  (Decks list   menu   About   Look
at the title)
On what version of Android  (Home screen   menu   About phone   Android
version)
v2 3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carlbjonsson  on 2014 11 08 20:32:12
</t>
  </si>
  <si>
    <t>ankidroid-Anki-Android-3286</t>
  </si>
  <si>
    <t>"Again" cards don't appear when tapping "Study".</t>
  </si>
  <si>
    <t xml:space="preserve">Originally reported on Google Code with ID 2390
What steps will reproduce the problem 
1  almost completing a study session and then finding that the again cards are left
2 Then it goes back to deck itself without completing those cards
3 Then when I tap Study  the cards don t open at all 
What is the expected output  What do you see instead 
I expected the deck to open the again cards for study so as to complete them so that
at the end it shows   congratulations  Instead  the deck doesn t show those cards to
complete them unless I go back to all decks and then enter and do a thing or two to
make it show me one card and then again a few cards are not shown  I have to go through
this process again and again  Earlier there was no such problem  
Does it happen again every time you repeat the steps above  Or did it
happen only one time 
It happened in three chapters I reviewed  And it tends to happen everytime I repeat
those steps 
What version of AnkiDroid are you using  (Decks list   menu   About   Look
at the title)
On what version of Android  (Home screen   menu   About phone   Android
version)
4 4 2 android kitkat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rimothesupremo  on 2014 11 08 07:08:35
</t>
  </si>
  <si>
    <t>ankidroid-Anki-Android-3284</t>
  </si>
  <si>
    <t>AnkiDroid not syncing</t>
  </si>
  <si>
    <t xml:space="preserve">Originally reported on Google Code with ID 2388
What steps will reproduce the problem 
1 open anki droid  decks appear find
2 synch and get error message: SYNCH ERROR: Please use the latest AnkiDroid to continue
synching
3 
What is the expected output  What do you see instead 
I expect the synch to the web to work  It worked YESTERDAY  Today I get
error message: SYNCH ERROR: Please use the latest AnkiDroid to continue synching
Does it happen again every time you repeat the steps above  Or did it
happen only one time 
Every single time
What version of AnkiDroid are you using  (Decks list   menu   About   Look
at the title): Version 2 3
On what version of Android  (Home screen   menu   About phone   Android
version) Android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jordanv theellisschool org  on 2014 11 07 13:02:30
</t>
  </si>
  <si>
    <t>ankidroid-Anki-Android-3283</t>
  </si>
  <si>
    <t>syncing then updating issue</t>
  </si>
  <si>
    <t xml:space="preserve">Originally reported on Google Code with ID 2387
What steps will reproduce the problem 
1  When I attempted to sync it told me to update to the latest AnkiDroid 
2  When I attempted to update it told me to free up space and try again (although I
have plenty of free space) 
3  When I uninstalled I was unable to reinstall due to the free up space and try again
message 
What is the expected output  What do you see instead 
Does it happen again every time you repeat the steps above  Or did it
happen only one time 
Now unable to install AnkiDroid after many attempts 
What version of AnkiDroid are you using  (Decks list   menu   About   Look
at the title) 2 3 attempting to update to the latest 
On what version of Android  (Home screen   menu   About phone   Android
version) Nokia X 2 1 0 12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soutmatt  on 2014 11 07 08:53:32
</t>
  </si>
  <si>
    <t>ankidroid-Anki-Android-3282</t>
  </si>
  <si>
    <t>IOException: open failed: ENOSPC (No space left on device) at com.ichi2.libanki.sync.MediaSyncer.sync</t>
  </si>
  <si>
    <t xml:space="preserve">Originally reported on Google Code with ID 2386
http:  ankidroid triage appspot com view bug bug id 6027967440355328
AnkiDroid should inform the user rather than crash
Reported by  nicolas raoul  on 2014 11 07 03:08:23
</t>
  </si>
  <si>
    <t>ankidroid-Anki-Android-3281</t>
  </si>
  <si>
    <t>hide field does not work</t>
  </si>
  <si>
    <t xml:space="preserve">Originally reported on Google Code with ID 2385
What steps will reproduce the problem 
1 load a deck which uses the   hide:example   field  which can supposedly hide the
actual word   example   on the card  (is used to differentiate notes with same Front
words showing up) 
2 on the test preview card page  the field still isn t hidden and appears hideous in
this way 
3 desktop mode works perfectly so I suspect that it s something that the android version
still hasn t implemented 
What is the expected output  What do you see instead 
already stated 
Does it happen again every time you repeat the steps above  Or did it
happen only one time 
yaaar
What version of AnkiDroid are you using  (Decks list   menu   About   Look
at the title) latest version
On what version of Android  (Home screen   menu   About phone   Android
version)
4 4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OxydeG27  on 2014 11 06 16:10:44
 hr 
   Attachment: desktop 01 png br   desktop 01 png (https:  storage googleapis com google code attachments ankidroid issue 2385 comment 0 desktop 01 png) 
   Attachment: desktop 02 png br   desktop 02 png (https:  storage googleapis com google code attachments ankidroid issue 2385 comment 0 desktop 02 png) 
</t>
  </si>
  <si>
    <t>ankidroid-Anki-Android-3280</t>
  </si>
  <si>
    <t>Cards due notifications not shown at first</t>
  </si>
  <si>
    <t xml:space="preserve">Originally reported on Google Code with ID 2384
What steps will reproduce the problem 
1  Re install AnkiDroid
2  With a collection already there with lots  of cards due
What is the expected output  What do you see instead 
The setting is  Notify when more than 25 cards due  
Yet there are no notifications shown 
Change that to  say 50  go to the home screen  open AnkiDroid again  notifications
are shown 
Does it happen again every time you repeat the steps above  Or did it
happen only one time 
Every time 
What version of AnkiDroid are you using  (Decks list   menu   About   Look
at the title)
On what version of Android  (Home screen   menu   About phone   Android
version)
Android 4 1 2
AnkiDroid 2 3 1beta10 (this time downloaded from github )
no crash
Please provide any additional information below 
   50
May be the reason some people don t see https:  code google com p ankidroid issues detail id 2383
Reported by  ospalh  on 2014 11 04 11:56:44
</t>
  </si>
  <si>
    <t>ankidroid-Anki-Android-3279</t>
  </si>
  <si>
    <t>X cards due notification pop up even when set to "never notify"</t>
  </si>
  <si>
    <t xml:space="preserve">Originally reported on Google Code with ID 2383
What steps will reproduce the problem 
1  In the settings  set  Notify when  to  never 
2  Or set to a number  say  notify when 200  and have fewer (say 42) cards due
What is the expected output  What do you see instead 
AnkiDroid should not show notifications about cards due 
But it does 
Does it happen again every time you repeat the steps above  Or did it
happen only one time 
All the time 
What version of AnkiDroid are you using  (Decks list   menu   About   Look
at the title)
On what version of Android  (Home screen   menu   About phone   Android
version)
Android 4 1 2
AnkiDroid 2 3 1beta10 
no crash
Please provide any additional information below 
There is of course the option to ban AnkiDroid from showing notifications  but i don t
want to miss the new  collection synchronized  notification 
Reported by  ospalh  on 2014 11 04 10:37:41
</t>
  </si>
  <si>
    <t>ankidroid-Anki-Android-3278</t>
  </si>
  <si>
    <t>where are the saved cards in new version of ankidroid</t>
  </si>
  <si>
    <t xml:space="preserve">Originally reported on Google Code with ID 2382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ambi oct  on 2014 11 04 07:03:28
</t>
  </si>
  <si>
    <t>ankidroid-Anki-Android-3277</t>
  </si>
  <si>
    <t>bug Exporting indivitual decks</t>
  </si>
  <si>
    <t xml:space="preserve">Originally reported on Google Code with ID 2381
What steps will reproduce the problem 
1  Export an individual deck (for example MyDeck) by long tap on the deck you wish
to export
2  See EXPORT folder in AnkiDroid folder
3  In addition of MyDeck apkg one another file named MyDeck media ad db2 and a folder
named MyDeck media is also created
4   Send file  MyDeck apkg to PC   an error occurred during importing this file  also
if you re import this file in Ankidroid it is failed 
What is the expected output  What do you see instead 
This bug don t occur if you try to export whole collection  Just occur when you want
to export individual decks 
Does it happen again every time you repeat the steps above  Or did it
happen only one time 
It happens every time
What version of AnkiDroid are you using  (Decks list   menu   About   Look
at the title)
On what version of Android  (Home screen   menu   About phone   Android
version)
version AnkiDroid 2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The similar problem was occurred in Anki desktop version 2 26 and later  I found that
this bug occurred when the user choose none Latin alphabet for his her profile name 
I reported this bug and it was fixed in version Anki 2 28 
Reported by  andishehkish01  on 2014 11 03 09:08:06
</t>
  </si>
  <si>
    <t>ankidroid-Anki-Android-3276</t>
  </si>
  <si>
    <t>fron text is in english ans the back is in hebrw and well displayed in browser. but when u study u get the answer (back) in gibrish</t>
  </si>
  <si>
    <t xml:space="preserve">Originally reported on Google Code with ID 2380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lidorkarako  on 2014 11 02 22:39:06
</t>
  </si>
  <si>
    <t>ankidroid-Anki-Android-3272</t>
  </si>
  <si>
    <t>Anki shows flag icon instead of question</t>
  </si>
  <si>
    <t xml:space="preserve">Originally reported on Google Code with ID 2376
What steps will reproduce the problem 
1 download shared deck from https:  ankiweb net shared info 978720750
2 view any card on AnkiDroid
3 
What is the expected output  vocabulary in either Japanese or English 
What do you see instead  a small flag icon of either Japan or Great Britain
Does it happen again every time you repeat the steps above  Or did it
happen only one time  Every time
What version of AnkiDroid are you using  (Decks list   menu   About   Look
at the title) version 2 3 
On what version of Android  (Home screen   menu   About phone   Android
version) 4 4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This behavior began yesterday  happens every time  for all my card types  but only
for this one deck  It never happened before and makes the deck useless to me  
Background: I m using  Safe display mode  but it makes no difference  Switching to
 Simple interface  displays only a small box for the question 
I ve used Anki for over 2 years  which means I upgraded the deck to migrate to Anki
2   
Please help  I ve enjoyed Anki on Linux  Windows  iPhone  and Android (note that I
happily paid  10 USD for the iPhone app)  But for me  this bug is critical and shakes
my confidence in the software 
Reported by  michael andrew miller  on 2014 11 01 04:49:06
</t>
  </si>
  <si>
    <t>ankidroid-Anki-Android-3271</t>
  </si>
  <si>
    <t>Anki displays flag icon instead of question</t>
  </si>
  <si>
    <t xml:space="preserve">Originally reported on Google Code with ID 2375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michael andrew miller  on 2014 11 01 04:27:28
</t>
  </si>
  <si>
    <t>ankidroid-Anki-Android-3270</t>
  </si>
  <si>
    <t>AnkiDroid forces a full sync even when there shouldn't be a conflict after upgrading to 2.3</t>
  </si>
  <si>
    <t xml:space="preserve">Originally reported on Google Code with ID 2374
What steps will reproduce the problem 
1  Make sure ankidroid is properly synced with the server
2  Study all the cards available for the day in ankidroid (in my case around 150) 
3  Sync with the server
What is the expected output  What do you see instead 
Since there is no conflict sync should work just fine 
I installed AnkiDroid 2 3 three days ago and every day when I synced after finishing
studying AnkiDroid said there was a conflict and forced me to do a full sync  Today
AnkiDroid had synced several kB of data when it decided that there was a sync conflict 
usually if there is a real sync conflict it detects this before it starts syncing data
for real 
Does it happen again every time you repeat the steps above  Or did it
happen only one time 
It has happened for me 3 days in a row when syncing after studying all cards  I ve
tried syncing after just studying a few cards and then it hasn t been any problems 
Adding a few cards on desktop and then syncing them to Android is never a problem either 
What version of AnkiDroid are you using  (Decks list   menu   About   Look
at the title)
On what version of Android  (Home screen   menu   About phone   Android
version)
I m getting this problem with AnkiDroid 2 3  I never had this problem before upgrading
to 2 3 
My phone is a Nexus 4 running android 4 4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m always on the bus with slightly shaky network connection when this happens  but
not sure if this has anything to do with it 
Reported by  nibarius  on 2014 10 31 21:24:23
</t>
  </si>
  <si>
    <t>ankidroid-Anki-Android-3265</t>
  </si>
  <si>
    <t>unable to save images from googe imagesearch</t>
  </si>
  <si>
    <t xml:space="preserve">Originally reported on Google Code with ID 2369
What steps will reproduce the problem 
1 After last updating Anki Adroid App 
2 unable to save images from googe imagesearch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sinan akoral  on 2014 10 30 08:35:23
</t>
  </si>
  <si>
    <t>ankidroid-Anki-Android-3264</t>
  </si>
  <si>
    <t>Update v2.3 breaks shortcut on homescreen</t>
  </si>
  <si>
    <t xml:space="preserve">Originally reported on Google Code with ID 2368
What steps will reproduce the problem 
1 Update to v2 3 from previous version v2 2 3  
2 Pushing of shortcut on home screen  
What is the expected output  What do you see instead 
Shortcut should start the app  Instead a toast is shown: application  of found  
Does it happen again every time you repeat the steps above  Or did it
happen only one time 
I didn t try re install
What version of AnkiDroid are you using  (Decks list   menu   About   Look
at the title)
2 3
On what version of Android  (Home screen   menu   About phone   Android
version)
4 4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bart post xs4all nl  on 2014 10 30 07:41:08
</t>
  </si>
  <si>
    <t>ankidroid-Anki-Android-3258</t>
  </si>
  <si>
    <t>Ankidroid 2.3: Syncing with Windows client out of sync</t>
  </si>
  <si>
    <t xml:space="preserve">Originally reported on Google Code with ID 2362
What steps will reproduce the problem 
1  study lots of cards on the ankidroid client
2  sync ankidroid to ankiweb
3  sync windows client 
What is the expected output  What do you see instead 
After sync  both versions should show the same studied cards  Instead  while I studied
 1454 cards in 152 minutes  according to ankidroid (which is accurate)  with all of
my 20 decks displaying  0 0 0  (also correct)  the windows client shows  823 cards
in 84 minutes   and has some green numbers at some decks still 
Does it happen again every time you repeat the steps above  Or did it
happen only one time 
This is a consistent behavior since the upgrading to 2 3 Ankidroid yesterday 
I d be happy to help with debugging if needed 
What version of AnkiDroid are you using  (Decks list   menu   About   Look
at the title)
On what version of Android  (Home screen   menu   About phone   Android
version)
Ankidroid 2 3  Android 4 1 2 (Galaxy Note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sarefo  on 2014 10 29 14:35:26
</t>
  </si>
  <si>
    <t>ankidroid-Anki-Android-3254</t>
  </si>
  <si>
    <t>Latex equations disappearing from card answer on Android 2.2</t>
  </si>
  <si>
    <t xml:space="preserve">Originally reported on Google Code with ID 2358
What steps will reproduce the problem 
1  Open a cloze card containing latex equations (either within or outside the cloze)
2  Click  show answer 
3  latex equations (sometimes ) disappear in the answer  even if they were visible
in the question  All plain text is still visible  No question mark is shown 
What is the expected output  What do you see instead 
I expect to see the same latex equations that I saw in the question 
Does it happen again every time you repeat the steps above  Or did it
happen only one time 
It happens with most  but not all  of the cards I have that have latex on them  It
is not consistent per card: a particular card may show all its equations one time 
but not show its equations the next time I view it  Some cards do seem to have the
problem more often  though (usually cards with lots of equations) 
What version of AnkiDroid are you using  (Decks list   menu   About   Look
at the title)
2 2 3
On what version of Android  (Home screen   menu   About phone   Android
version)
This problem only occurs on my phone  which is android 2 2 1  My tablet is running
android 4 3  and has no such issue (with ankidroid 2 2 3) 
If it is a crash or  Force close  and you can reproduce it  the following
would help immensely: 1) Install the  SendLog  app  2) Reproduce the crash 
3) Immediately after  launch SendLog  4) Attach the resulting file to this
report  That will make the bug much easier to fix 
Not a crash  no visible error 
Please provide any additional information below 
I ve forced a full media sync  and it hasn t fixed the problem 
Reported by  lanthala  on 2014 10 28 23:50:14
</t>
  </si>
  <si>
    <t>ankidroid-Anki-Android-3253</t>
  </si>
  <si>
    <t>Question media no longer replays automatically after answering</t>
  </si>
  <si>
    <t xml:space="preserve">Originally reported on Google Code with ID 2357
What steps will reproduce the problem 
1 When a card with media is answered  the media no longer automatically replays  despite
the box being checked in settings
2 the problem arose after the latest update
3 
What is the expected output  What do you see instead 
I expected media to play again after answering a card  but it does not
Does it happen again every time you repeat the steps above  Or did it
happen only one time 
Every time
What version of AnkiDroid are you using  (Decks list   menu   About   Look
at the title)version 2 3
On what version of Android  (Home screen   menu   About phone   Android
version)4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acashcroft  on 2014 10 28 23:09:02
</t>
  </si>
  <si>
    <t>ankidroid-Anki-Android-3251</t>
  </si>
  <si>
    <t>Make database error dialog async</t>
  </si>
  <si>
    <t xml:space="preserve">Originally reported on Google Code with ID 2355
This crash occasionally occurs
http:  ankidroid triage appspot com view crash crash id 5195336490418176
Reported by  perceptualchaos2  on 2014 10 28 02:53:40
</t>
  </si>
  <si>
    <t>ankidroid-Anki-Android-3250</t>
  </si>
  <si>
    <t>Media check wants to delete &lt;embed&gt;-ed SVGs</t>
  </si>
  <si>
    <t xml:space="preserve">Originally reported on Google Code with ID 2354
What steps will reproduce the problem 
1  Use SVGs in  embed  tags  
2  Run a media check
What is the expected output  What do you see instead 
The media check should not call these SVG files unused 
Instead  it wanted to delete thousands of these files that  were  in use in my collection 
Does it happen again every time you repeat the steps above  Or did it
happen only one time 
Every time  i guess
What version of AnkiDroid are you using  (Decks list   menu   About   Look
at the title)
On what version of Android  (Home screen   menu   About phone   Android
version)
Android 4 1
AnkiDroid 2 3alpha44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1: e g    embed width  200  height  200  title  Standard  src    svg    
This copies the behavior of Anki desktop  See also https:  anki tenderapp com discussions ankidesktop 10001
Reported by  ospalh  on 2014 10 27 12:11:42
</t>
  </si>
  <si>
    <t>ankidroid-Anki-Android-3247</t>
  </si>
  <si>
    <t>Removing tags only works when not using tag search</t>
  </si>
  <si>
    <t xml:space="preserve">Originally reported on Google Code with ID 2351
What steps will reproduce the problem 
1  Editing note: tap on  Tags: 
2  search for a tag to remove
3  tap on the red tick mark  deselecting it
4  tap Select
5  the tag will still be present
What is the expected output  What do you see instead 
When instead only scrolling down the tag list and tapping on the red tick mark to deactivate
it  then Select  the removing of the tag works fine 
Does it happen again every time you repeat the steps above  Or did it
happen only one time 
Can be reliably reproduced 
What version of AnkiDroid are you using  (Decks list   menu   About   Look
at the title)
On what version of Android  (Home screen   menu   About phone   Android
version)
AnkiDroid 2 2 3
Android 4 1 2 on Samsung Galaxy Note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sarefo  on 2014 10 26 04:25:10
</t>
  </si>
  <si>
    <t>ankidroid-Anki-Android-3246</t>
  </si>
  <si>
    <t>Many media: Update takes forever even when no media changed</t>
  </si>
  <si>
    <t xml:space="preserve">Originally reported on Google Code with ID 2350
What steps will reproduce the problem 
1  Have several decks with lots of media (17k in my case) on the Anki central server
2  with only changing the decks (not adding removing media)  sync ankidroid
3  wait for several minutes for Ankidroid to check for media changes 
What is the expected output  What do you see instead 
It seems that the code for checking out whether there were any media changes does not
scale well  I m sure there s a much faster way to check for changes  Right now  it s
quite unpractical to sync  with every time having to wait for many minutes 
Does it happen again every time you repeat the steps above  Or did it
happen only one time 
Every time 
What version of AnkiDroid are you using  (Decks list   menu   About   Look
at the title)
On what version of Android  (Home screen   menu   About phone   Android
version)
AnkiDroid 2 2 4  Android 4 1 2 Samsung Galaxy Note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sarefo  on 2014 10 26 04:19:34
</t>
  </si>
  <si>
    <t>ankidroid-Anki-Android-3245</t>
  </si>
  <si>
    <t>The full list of tags dont show up</t>
  </si>
  <si>
    <t xml:space="preserve">Originally reported on Google Code with ID 2349
What steps will reproduce the problem 
1 Created a deck with around 5000 entries and 100 tags on Anki Mac
2 Imported the deck to ankidroid successfuly and it works fine
3 When I want to add a new entry in the deck  only a limited number of previously created
tags appear  Probably tags were not imported properly 
What is the expected output  What do you see instead 
Expected: All tags imported with the deck and visible when a new entry is created in
the deck
What i see: Only around 10 tags visible
Does it happen again every time you repeat the steps above  Or did it
happen only one time 
Yes
What version of AnkiDroid are you using  (Decks list   menu   About   Look
at the title)
2 2 3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mehmetdemirez  on 2014 10 25 18:03:23
</t>
  </si>
  <si>
    <t>ankidroid-Anki-Android-3244</t>
  </si>
  <si>
    <t>Chrome OS: crash on login, "leaked window"</t>
  </si>
  <si>
    <t xml:space="preserve">Originally reported on Google Code with ID 2348
What steps will reproduce the problem 
1  Start from scratch
2  In empty deck picker  click on sync button
3  Select  Login 
4  Enter credentials
5  Click  Login 
6  Crash
What is the expected output  What do you see instead 
No crash 
Does it happen again every time you repeat the steps above  Or did it
happen only one time 
Every time 
What version of AnkiDroid are you using  (Decks list   menu   About   Look
at the title)
On what version of Android  (Home screen   menu   About phone   Android
version)
2 3 Beta 42 in Chrome OS
If it is a crash or  Force close  and you can reproduce it  the following
would help immensely: 1) Install the  SendLog  app  2) Reproduce the crash 
3) Immediately after  launch SendLog  4) Attach the resulting file to this
report  That will make the bug much easier to fix 
See attached log txt 
Please provide any additional information below 
This is new  I have successfully entered my credentials several times in the last couple
of days (I think yesterday  too)  Will run some more tests at home  including if the
crash occurs in the Nexus 10 emulator 
Reported by  alexander grueneberg  on 2014 10 24 18:46:44
 hr 
   Attachment:  log txt (https:  storage googleapis com google code attachments ankidroid issue 2348 comment 0 log txt) 
</t>
  </si>
  <si>
    <t>ankidroid-Anki-Android-3239</t>
  </si>
  <si>
    <t>Crash when connection times out during login</t>
  </si>
  <si>
    <t xml:space="preserve">Originally reported on Google Code with ID 2343
What steps will reproduce the problem 
1  Press login button in beta32
2  Switch to airplane mode before it finishes
3  Crash
http:  ankidroid triage appspot com view crash crash id 5483266802974720
http:  ankidroid triage appspot com view crash crash id 4948320036323328
Reported by  perceptualchaos2  on 2014 10 22 15:51:48
</t>
  </si>
  <si>
    <t>ankidroid-Anki-Android-3235</t>
  </si>
  <si>
    <t>Tablet mode: Crash when changing language</t>
  </si>
  <si>
    <t xml:space="preserve">Originally reported on Google Code with ID 2339
Change language on 10  tablet:
Sometimes get this crash:
http:  ankidroid triage appspot com view crash crash id 6421992035057664
Reported by  perceptualchaos2  on 2014 10 22 04:52:37
</t>
  </si>
  <si>
    <t>ankidroid-Anki-Android-3234</t>
  </si>
  <si>
    <t>Crash when changing language in Statistics</t>
  </si>
  <si>
    <t xml:space="preserve">Originally reported on Google Code with ID 2338
What steps will reproduce the problem 
1  Open Statistics
2  Change language
Crashes everytime:
http:  ankidroid triage appspot com view crash crash id 5503176123875328
The problem seems to be that the onCreateView() methods of the fragments can be called
before mTaskHandler is initiated in the Activity via onCollectionLoaded()  This problem
may or may not manifest in other ways 
Reported by  perceptualchaos2  on 2014 10 22 04:29:03
</t>
  </si>
  <si>
    <t>ankidroid-Anki-Android-3232</t>
  </si>
  <si>
    <t>Tablet mode: Crash on sync while switching windows</t>
  </si>
  <si>
    <t xml:space="preserve">Originally reported on Google Code with ID 2336
What steps will reproduce the problem 
1  Initiate sync
2  Switch windows while AD is syncing
3  After some time AD will crash
It seems like the runtime pauses or stops the app after a certain timeout  This will
mess with the sync in progress  Will have to investigate if the timeout can be disabled 
or if the sync process can happen in a more robust way in the background 
Reported by  alexander grueneberg  on 2014 10 22 04:13:36
</t>
  </si>
  <si>
    <t>ankidroid-Anki-Android-3226</t>
  </si>
  <si>
    <t>accidentally i marked a basic card 'later' and it disappeared. how to find it.</t>
  </si>
  <si>
    <t xml:space="preserve">Originally reported on Google Code with ID 2330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ambi oct  on 2014 10 21 07:14:40
</t>
  </si>
  <si>
    <t>ankidroid-Anki-Android-3224</t>
  </si>
  <si>
    <t>AnkiDroid crashes on Sync</t>
  </si>
  <si>
    <t xml:space="preserve">Originally reported on Google Code with ID 2328
What steps will reproduce the problem 
1  Start AnkiDroid 2 3 beta19 or beta20
2  Initiate server sync
What is the expected output  What do you see instead 
I expect that Anki syncs with the server and comes back to the main screen  Instead
I get a crash report 
Does it happen again every time you repeat the steps above  Or did it
happen only one time 
It happend many times  (All times but one )
What version of AnkiDroid are you using  (Decks list   menu   About   Look
at the title)
I noticed this on beta19 and beta20 
On what version of Android  (Home screen   menu   About phone   Android
version)
Android 5 0 image for Nexus 5 of last friday 
Please provide any additional information below 
The crash is logged on
http:  ankidroid triage appspot com view crash crash id 6307937031028736 (2 3beta20)
and
http:  ankidroid triage appspot com view crash crash id 5448082430885888 (2 3beta19)
Reported by  m tthias eu  on 2014 10 20 10:18:31
</t>
  </si>
  <si>
    <t>ankidroid-Anki-Android-3221</t>
  </si>
  <si>
    <t>Unable to use ANKI Android when connected to the internet in China</t>
  </si>
  <si>
    <t xml:space="preserve">Originally reported on Google Code with ID 2325
What steps will reproduce the problem 
1  When connected to the internet  ANKI droid do not open up and repeat the loading
page endlessly
2 
3 
What is the expected output  What do you see instead 
  I downloaded the app in Korea and have been using it in China  Since I have cone
to China  the app is only available when the internet  including WIFI and cellular
data  is off 
Does it happen again every time you repeat the steps above  Or did it
happen only one time 
  Yes it happens again and again  It is inconvenient  however  I can still use the
app when I turn off the internet  Once you turn the app  it does not shuts off even
if I turn on the internet 
What version of AnkiDroid are you using  (Decks list   menu   About   Look
at the title)
On what version of Android  (Home screen   menu   About phone   Android
version)
  2 2 3
If it is a crash or  Force close  and you can reproduce it  the following
would help immensely: 1) Install the  SendLog  app  2) Reproduce the crash 
3) Immediately after  launch SendLog  4) Attach the resulting file to this
report  That will make the bug much easier to fix 
  I will try 
Please provide any additional information below 
  I guess the bug is somehow related with China blocking the web  It would be great
if there is an option to prevent the app from sending data to somewhere 
Reported by  baobeyzunjing  on 2014 10 17 12:45:21
</t>
  </si>
  <si>
    <t>ankidroid-Anki-Android-3220</t>
  </si>
  <si>
    <t>AnkiDroid crash when network lost</t>
  </si>
  <si>
    <t xml:space="preserve">Originally reported on Google Code with ID 2324
What steps will reproduce the problem 
1  Sync
2  While the sync is running  lose the network connection  For example tap the  WLAN 
in the quick settings to switch off the internet  Or be a passenger in a moving vehicle
that moves to an area with no reception 
What is the expected output  What do you see instead 
There should be some error shown that the sync did not work 
Instead AnkiDroid crashes 
Does it happen again every time you repeat the steps above  Or did it
happen only one time 
Some of the time  My guess is that the connection has to be lost at exactly the wrong
time 
What version of AnkiDroid are you using  (Decks list   menu   About   Look
at the title)
On what version of Android  (Home screen   menu   About phone   Android
version)
AnkiDroid 2 3 beta17
Android 4 1
If it is a crash or  Force close  and you can reproduce it  the following
would help immensely: 1) Install the  SendLog  app  2) Reproduce the crash 
3) Immediately after  launch SendLog  4) Attach the resulting file to this
report  That will make the bug much easier to fix 
Instead of SendLog  see the triage entry: http:  ankidroid triage appspot com view crash crash id 5026645207416832
Please provide any additional information below 
Reported by  ospalh  on 2014 10 17 09:45:38
</t>
  </si>
  <si>
    <t>ankidroid-Anki-Android-3219</t>
  </si>
  <si>
    <t>Regression: Swipe shows navigation drawer when whiteboard is active</t>
  </si>
  <si>
    <t xml:space="preserve">Originally reported on Google Code with ID 2323
What steps will reproduce the problem 
1  Review with whiteboard on
2  Try to write draw a stroke starting at the left screen edge
What is the expected output  What do you see instead 
The stroke should be drawn 
Instead the navigation drawer is opened 
Does it happen again every time you repeat the steps above  Or did it
happen only one time 
Every time 
What version of AnkiDroid are you using  
On what version of Android  
(Android 4 1)
AnkiDroid 2 3 beta17
If it is a crash  
No crash
Please provide any additional information below 
This problem has been discussed before
https:  groups google com forum  fromgroups   searchin anki android drawer 20whiteboard anki android UPS89D6fmzc BYMkiW 624oJ
and the navigation drawer was only shown through the app icon (top left) during reviews
with whiteboard  This looks like a regression 
Afaik there has been some changes where code was moved from the AbstractFlashcardViewer
class to the Reviewer  Maybe that bit got lost on the way 
Also  when you tap whiteboard on off     button twice to switch the whiteboard off
and on again the swipe gets disabled 
Reported by  ospalh  on 2014 10 17 09:22:51
</t>
  </si>
  <si>
    <t>ankidroid-Anki-Android-3218</t>
  </si>
  <si>
    <t>cloze button does not show up in ankidroid and unable to add tags</t>
  </si>
  <si>
    <t xml:space="preserve">Originally reported on Google Code with ID 2322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ambi oct  on 2014 10 17 04:05:06
</t>
  </si>
  <si>
    <t>ankidroid-Anki-Android-3211</t>
  </si>
  <si>
    <t>NPE at DeckOptions.buildLists when pressing Deck Options button</t>
  </si>
  <si>
    <t xml:space="preserve">Originally reported on Google Code with ID 2315
2 3beta11
http:  ankidroid triage appspot com view crash crash id 4594730411229184
java lang RuntimeException: Unable to start activity ComponentInfo com ichi2 anki com ichi2 anki DeckOptions :
java lang NullPointerException
at android app ActivityThread performLaunchActivity(ActivityThread java:2069)
at android app ActivityThread handleLaunchActivity(ActivityThread java:2094)
at android app ActivityThread access 600(ActivityThread java:134)
at android app ActivityThread H handleMessage(ActivityThread java:1202)
at android os Handler dispatchMessage(Handler java:99)
at android os Looper loop(Looper java:137)
at android app ActivityThread main(ActivityThread java:4784)
at java lang reflect Method invokeNative(Native Method)
at java lang reflect Method invoke(Method java:511)
at com android internal os ZygoteInit MethodAndArgsCaller run(ZygoteInit java:776)
at com android internal os ZygoteInit main(ZygoteInit java:543)
at dalvik system NativeStart main(Native Method)
Caused by: java lang NullPointerException
at com ichi2 anki DeckOptions buildLists(DeckOptions java:583)
at com ichi2 anki DeckOptions DeckPreferenceHack Editor commit(DeckOptions java:272)
at com ichi2 anki DeckOptions DeckPreferenceHack Editor apply(DeckOptions java:328)
at android preference PreferenceManager setNoCommit(PreferenceManager java:532)
at android preference PreferenceManager inflateFromResource(PreferenceManager java:273)
Reported by  nicolas raoul  on 2014 10 12 02:30:41
</t>
  </si>
  <si>
    <t>ankidroid-Anki-Android-3209</t>
  </si>
  <si>
    <t>Sudden Audio problems (only some files)</t>
  </si>
  <si>
    <t xml:space="preserve">Originally reported on Google Code with ID 2313
What steps will reproduce the problem 
1 Card question is audio file
2  Sound file doesn t play
3  Even editing the note and attempting to play audio from edit window fails
What is the expected output  What do you see instead 
The audio should play
Does it happen again every time you repeat the steps above  Or did it
happen only one time 
Everytime  even after deleting and reinstalling the deck  This wasn t the case until
a moment ago and only for this particular deck (it seems)
What version of AnkiDroid are you using  (Decks list   menu   About   Look
at the title)
2 2 3
On what version of Android  (Home screen   menu   About phone   Android
version)
Android 4 4 2
If it is a crash or  Force close  and you can reproduce it  the following
would help immensely: 1) Install the  SendLog  app  2) Reproduce the crash 
3) Immediately after  launch SendLog  4) Attach the resulting file to this
report  That will make the bug much easier to fix 
N a
Please provide any additional information below 
Reported by  ShrilarauneZauana  on 2014 10 09 08:29:57
</t>
  </si>
  <si>
    <t>ankidroid-Anki-Android-3207</t>
  </si>
  <si>
    <t>Unable to sync due to insufficent memory</t>
  </si>
  <si>
    <t xml:space="preserve">Originally reported on Google Code with ID 2311
What steps will reproduce the problem 
1  Press Sync Button
2  Wait
3 
What is the expected output  What do you see instead 
The cards don t sync to server as expected   After some time the dialog box disappears 
and I get the error message  Operation not possible due to insufficient memory on your
device   
Does it happen again every time you repeat the steps above  Or did it
happen only one time 
Every time   I have two decks   one 2200 notes  and one 25700 and in the months I ve
studied with them  I have never successfully synced to server   
What version of AnkiDroid are you using  (Decks list   menu   About   Look
at the title)
On what version of Android  (Home screen   menu   About phone   Android
version)
2 2 3 and the current beta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use a Galaxy Tab 2 
Reported by  evilklogg  on 2014 10 09 03:23:15
</t>
  </si>
  <si>
    <t>ankidroid-Anki-Android-3204</t>
  </si>
  <si>
    <t>Label names</t>
  </si>
  <si>
    <t xml:space="preserve">Originally reported on Google Code with ID 2308
What steps will reproduce the problem 
1  Generate several labels on my laptop anki application and synchronize with cellphone
one
2  Some are now empty  check the integrity of the database on my laptop  then synchronize
with cellphone
3  Empty labels disappeared my laptop anki application but are still present on my
cellphone anki 
What is the expected output  What do you see instead 
I expect the empty label to disappear on both applications simultaneously  or to get
some  check integrity of the database  option on my cellphone too (is there such button
somewhere )
Does it happen again every time you repeat the steps above  Or did it
happen only one time 
They are still in my current database on my cellphone 
What version of AnkiDroid are you using  (Decks list   menu   About   Look
at the title) Version 2 2 3
On what version of Android  (Home screen   menu   About phone   Android
version) version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sylvain mezil  on 2014 10 06 05:15:53
</t>
  </si>
  <si>
    <t>ankidroid-Anki-Android-3203</t>
  </si>
  <si>
    <t>On some decks, "Deck options" button doesn't work and lead to a crash.</t>
  </si>
  <si>
    <t xml:space="preserve">Originally reported on Google Code with ID 2307
What steps will reproduce the problem 
1 Tap a particular deck on the screen of deck list 
2 Tap  Deck options 
After that  a error message which say AnkiDroid is now inactive is displayed 
Then after tapping  OK  button  AnkiDroid restarts 
What is the expected output  What do you see instead 
Deck option screen is displayed 
Does it happen again every time you repeat the steps above  Or did it
happen only one time 
Every time on some particular decks 
(On the other decks  the button works normally in every time )
What version of AnkiDroid are you using  (Decks list   menu   About   Look
at the title)
2 3beta5 
and 
2 2 3
On what version of Android  (Home screen   menu   About phone   Android
version)
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windowopen00  on 2014 10 04 11:52:24
</t>
  </si>
  <si>
    <t>ankidroid-Anki-Android-3198</t>
  </si>
  <si>
    <t xml:space="preserve">ANKI Displaying Backside First! </t>
  </si>
  <si>
    <t xml:space="preserve">Originally reported on Google Code with ID 2302
What steps will reproduce the problem 
1  Made Flash Cards with back included  
2  Started to Study
3  Anki shows backside first  
What is the expected output  What do you see instead 
To see the front side (where I wrote questions) first  Instead  I get to play Jeopardy   
Does it happen again every time you repeat the steps above  Or did it
happen only one time 
First time using anki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dhoopsud  on 2014 09 29 04:53:36
</t>
  </si>
  <si>
    <t>ankidroid-Anki-Android-3196</t>
  </si>
  <si>
    <t>java.lang.RuntimeException: org.json.JSONException:Value &lt;!DOCTYPE of type java.lang.String cannot be converted to JSONObject</t>
  </si>
  <si>
    <t xml:space="preserve">Originally reported on Google Code with ID 2300
What steps will reproduce the problem 
1  launch ankidroid   tap sync button
2 
3 
What is the expected output  What do you see instead 
Expected output:  fully synchronised  or something to that effect 
What I see:  java lang RuntimeException: org json JSONException:Value   DOCTYPE of
type java lang String cannot be converted to JSONObject 
Does it happen again every time you repeat the steps above  Or did it happen only one
time 
It does not happen during the very 1st sync (following an uninstall   reinstall of
app) 
After that  it happens on every sync 
What version of AnkiDroid are you using  (Decks list   menu   About   Look at the title)
On what version of Android  (Home screen   menu   About phone   Android version)
v 2 2 3
If it is a crash or  Force close  and you can reproduce it  the following would help
immensely: 
1) Install the  SendLog  app  
2) Reproduce the crash 
3) Immediately after  launch SendLog  
4) Attach the resulting file to this report  That will make the bug much easier to
fix 
It is not a crash issue 
Please provide any additional information below 
I ve been a user of ankidroid for over a year now and never had a real issue until
now   very happy with the app overall 
I took a few months of break from studying now back to it  autoupdated to latest version
(v 2 2 3) and I can no longer synchronize with ankiweb 
I will appreciate if you can help me with a fix or a workaround 
Just wanted to point out this is the same issue with:
 Issue 2282:    java lang RuntimeException: org json JSONException:Value   DOCTYPE of
type java lang String cannot be converted to JSONObject 
Reported by  gvn848  on 2014 09 26 00:07:35
</t>
  </si>
  <si>
    <t>ankidroid-Anki-Android-3194</t>
  </si>
  <si>
    <t>Kindle fire hd won't sync online account</t>
  </si>
  <si>
    <t xml:space="preserve">Originally reported on Google Code with ID 2298
What steps will reproduce the problem 
1 I allow sync in preferences
2  Sync button won t press  downloaded sample  sync button on
3  I press sync but it says error
What is the expected output  What do you see instead 
I hoped it won t download my cards from absorbing instead it said error 
Does it happen again every time you repeat the steps above  Or did it
happen only one time 
It happens each time  
What version of AnkiDroid are you using  (Decks list   menu   About   Look
at the title) version o 5 1
On what version of Android  (Home screen   menu   About phone   Android
version)
Not sure it s kindle hd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SkyLotBee  on 2014 09 23 05:23:44
</t>
  </si>
  <si>
    <t>ankidroid-Anki-Android-3190</t>
  </si>
  <si>
    <t>In the set up..  What is on the screen doent make sense</t>
  </si>
  <si>
    <t xml:space="preserve">Originally reported on Google Code with ID 2294
What steps will reproduce the problem 
1  After i doe load in my android    I was followin the instructions but some times
didnt mKe sense  
It say press the big bottom when there was only 3 or presse the 4th bottom  When there
was only3
2  I don t  t understand how it works here in android    It was 4 bottom  And not 3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herrera adriz  on 2014 09 21 09:00:58
 hr 
   Attachment: Screenshot 2014 09 18 15 57 23 png br   Screenshot 2014 09 18 15 57 23 png (https:  storage googleapis com google code attachments ankidroid issue 2294 comment 0 Screenshot 2014 09 18 15 57 23 png) 
</t>
  </si>
  <si>
    <t>ankidroid-Anki-Android-3186</t>
  </si>
  <si>
    <t>TTS does not work on Galaxy tab 4</t>
  </si>
  <si>
    <t xml:space="preserve">Originally reported on Google Code with ID 2290
What steps will reproduce the problem 
1 Turn on TTS
2 Open the card (German language)
What is the expected output  What do you see instead 
No TTS languages found message 
Same happens on Samsung Galaxy 3
Does it happen again every time you repeat the steps above  Or did it
happen only one time 
Every time  every TTS engine (Google  ivona  built in)
What version of AnkiDroid are you using  (Decks list   menu   About   Look
at the title)
2 2 3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paulo kow  on 2014 09 20 16:47:17
</t>
  </si>
  <si>
    <t>ankidroid-Anki-Android-3185</t>
  </si>
  <si>
    <t>Image on front of card will not load</t>
  </si>
  <si>
    <t xml:space="preserve">Originally reported on Google Code with ID 2289
What steps will reproduce the problem 
1  Enter deck
2  Those cards where the front is an image (e g  a flag) the image will not load 
What is the expected output  What do you see instead 
Ankidroid does not crash  I can reveal the back of the card  but the image on the front
never appears 
Does it happen again every time you repeat the steps above  Or did it
happen only one time 
This happens repeatedly  This only started happening when I recently downloaded the
updated version of ankidroid 
What version of AnkiDroid are you using  (Decks list   menu   About   Look
at the title)
v2 2 3
On what version of Android  (Home screen   menu   About phone   Android
version)
v2 3 6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Many thanks for your help
Reported by  sj ebmeier  on 2014 09 20 15:14:05
</t>
  </si>
  <si>
    <t>ankidroid-Anki-Android-3183</t>
  </si>
  <si>
    <t>Answering "good" for new cards puts them in the "again" pile</t>
  </si>
  <si>
    <t xml:space="preserve">Originally reported on Google Code with ID 2287
What steps will reproduce the problem 
1 Create new deck with two cards
2 Start studying
What is the expected output 
I get three options: Again (  1 minute)  Good (  10 minutes)  Easy (4 days)
When I click good  I expect the card to disappear from the test (in the manual (http:  ankisrs net docs manual html learning)
it says  by default  the card will be shown again the next day   
What do you see instead 
Clicking on  Good  adds one to the red count in the top left and if I keep testing 
I see the card again 
Does it happen again every time you repeat the steps above  Or did it
happen only one time 
Every time 
What version of AnkiDroid are you using  (Decks list   menu   About   Look
at the title)
On what version of Android  (Home screen   menu   About phone   Android
version)
2 2 3 on android 4 4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google judd org  on 2014 09 18 07:41:23
</t>
  </si>
  <si>
    <t>ankidroid-Anki-Android-3181</t>
  </si>
  <si>
    <t>NPE in AbstractFlashcardViewer.onActivityResult when pressing back in card editor</t>
  </si>
  <si>
    <t xml:space="preserve">Originally reported on Google Code with ID 2285
http:  ankidroid triage appspot com view crash crash id 4693530899382272
Immediately after pressing  Back  from card editor 
Any deck card 
Reproduces always 
2 3alpha28
Reported by  nicolas raoul  on 2014 09 17 13:25:39
</t>
  </si>
  <si>
    <t>ankidroid-Anki-Android-3178</t>
  </si>
  <si>
    <t xml:space="preserve">Originally reported on Google Code with ID 2282
I get the following error now and the audio does not play when I sync with my computer 
It plays fine on the computer but not with my Anki on the Android 
java lang RuntimeException: org json JSONException:Value   DOCTYPE of type java lang String
cannot be converted to JSONObject
What steps will reproduce the problem 
1  Simply trying to sync my AnkiDroid with my webversion (audio works fine on web version)
2 
3 
What is the expected output  What do you see instead 
I was expecting no errors and for the audio files to play normally  There is no sound
on the latest cards that use Awesome TTS  
Does it happen again every time you repeat the steps above  Or did it
happen only one time 
Yep  it s quite constant  
What version of AnkiDroid are you using  (Decks list   menu   About   Look
at the title)
On what version of Android  (Home screen   menu   About phone   Android
version)
2 2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vicsantos  on 2014 09 15 23:56:56
</t>
  </si>
  <si>
    <t>ankidroid-Anki-Android-3174</t>
  </si>
  <si>
    <t>ankidroid reboots my phone!</t>
  </si>
  <si>
    <t xml:space="preserve">Originally reported on Google Code with ID 2278
What steps will reproduce the problem 
1  tap on any deck  even the  Tutorial deck  works after a fresh install 
2  tap  Study  button 
What is the expected output  What do you see instead 
I expected a normal anki study session  Instead  phone reboots within ten seconds 
like the whole OS crashed or something  When it doesn t crash instantly I can see  The
clipboard history was cleared  toast and a study session starting  with buttons working
as expected  The reboot happens within ten seconds even if I exit ankidroid by rapidly
tapping back or force stop ankidroid through application manager app info settings
(which is hard to do within 10 seconds btw)  No other app has triggered this effect 
just ankidroid s  Study  button 
Does it happen again every time you repeat the steps above  Or did it
happen only one time 
Every time 
What version of AnkiDroid are you using  (Decks list   menu   About   Look
at the title)
On what version of Android  (Home screen   menu   About phone   Android
version)
AnkiDroid v2 2 3
Android v4 1 2
If it is a crash or  Force close  and you can reproduce it  the following
would help immensely: 1) Install the  SendLog  app  2) Reproduce the crash 
3) Immediately after  launch SendLog  4) Attach the resulting file to this
report  That will make the bug much easier to fix 
I m not sure if the logs persist through a reboot  I don t know what SendLog format
you want  but I ll try the default  time  
Please provide any additional information below 
It s a Samsung Galaxy Note 2  T Mobile  I have root and Xposed installed  I have uninstalled
ankidroid  deleted AnkiDroid folder and cleared databases in Android settings  After
fresh install  old decks are absent and I m no longer logged in to ankiweb  as expected 
I created the offered  Tutorial deck  whose study button causes the same issue  Every
time 
Oh  and sometimes the blue LED notifier stays on after reboot 
Ankidroid is completely unusable in this condition  I cannot possibly be expected complete
a study session in less than ten seconds  When an app crashes it really should not
take the whole operating system down with it 
Reported by  m2tth3w3g2n  on 2014 09 15 04:16:40
 hr 
   Attachment:  SendLog zip (https:  storage googleapis com google code attachments ankidroid issue 2278 comment 0 SendLog zip) 
</t>
  </si>
  <si>
    <t>ankidroid-Anki-Android-3173</t>
  </si>
  <si>
    <t>Is not displayed $ in Checking Answer (compare input to the real answer)</t>
  </si>
  <si>
    <t xml:space="preserve">Originally reported on Google Code with ID 2277
What steps will reproduce the problem 
1  create card with answer  test  
2  after click the Show Answer button  I view only  test  and not displayed char     
 What is the expected output 
test 
 What do you see instead 
test
 Does it happen again every time you repeat the steps above  Or did it
happen only one time 
Every time 
 What version of AnkiDroid are you using 
2 2 3
 On what version of Android 
4 4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6zie88  on 2014 09 15 03:58:28
</t>
  </si>
  <si>
    <t>ankidroid-Anki-Android-3170</t>
  </si>
  <si>
    <t>Android L crash long press</t>
  </si>
  <si>
    <t xml:space="preserve">Originally reported on Google Code with ID 2274
What steps will reproduce the problem 
1 Run phone with Android L
2 Long press a deck (to rename or delete)
3 Ankidroid force closes
What is the expected output  What do you see instead 
No crash
Does it happen again every time you repeat the steps above  Or did it
happen only one time 
Repeatable 
What version of AnkiDroid are you using  (Decks list   menu   About   Look
at the title)
2 2 3
On what version of Android  (Home screen   menu   About phone   Android
version)
L
If it is a crash or  Force close  and you can reproduce it  the following
would help immensely: 1) Install the  SendLog  app  2) Reproduce the crash 
3) Immediately after  launch SendLog  4) Attach the resulting file to this
report  That will make the bug much easier to fix 
No permissions in L for log readers  force close info attached however
Please provide any additional information below 
Reported by  guydesu  on 2014 09 11 12:59:50
 hr 
   Attachment: Screenshot 2014 09 11 13 58 32 png br   Screenshot 2014 09 11 13 58 32 png (https:  storage googleapis com google code attachments ankidroid issue 2274 comment 0 Screenshot 2014 09 11 13 58 32 png) 
</t>
  </si>
  <si>
    <t>ankidroid-Anki-Android-3167</t>
  </si>
  <si>
    <t>Import replace broken in 2.3alpha19</t>
  </si>
  <si>
    <t xml:space="preserve">Originally reported on Google Code with ID 2271
Bug 1:
1  Try to do import (add) into fresh collection with typical shared deck such as this:
https:  ankiweb net shared info 1687853
2  Take note how deck  Current Study  with subdecks is created
3  Repeat step 1 but doing import (replace) instead of import (add)
Expect to see same result  but import replace ends up with all cards in default deck 
Bug 2:
Try to do import (replace) with a fairly large collection apkg generated by exporting
your whole collection in Anki Desktop  AnkiDroid immediately crashes:
http:  ankidroid triage appspot com view crash crash id 4545410362245120
Reported by  perceptualchaos2  on 2014 09 09 15:46:39
</t>
  </si>
  <si>
    <t>ankidroid-Anki-Android-3164</t>
  </si>
  <si>
    <t>cards display backwards- answers on front and questions on back</t>
  </si>
  <si>
    <t xml:space="preserve">Originally reported on Google Code with ID 2267
What steps will reproduce the problem 
1 download a set of cards(on android)
2 study
3 answer displays  Click show answer  and question displays 
What is the expected output  What do you see instead 
I want to see the question first  and then the answer 
Does it happen again every time you repeat the steps above  Or did it
happen only one time 
Every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heliumspark  on 2014 09 04 04:06:44
</t>
  </si>
  <si>
    <t>ankidroid-Anki-Android-3163</t>
  </si>
  <si>
    <t>images sometimes don't appear</t>
  </si>
  <si>
    <t xml:space="preserve">Originally reported on Google Code with ID 2266
What steps will reproduce the problem 
1  Simply opening the deck  Every note in this geography deck has an image in the front 
I am not sure if the same happens in other decks 
2 
3 
What is the expected output  Image in front  text on back  What do you see instead 
Sometimes what should be  mostly no image in front but text in back  If the front includes
text  the text is visible but the image still isn t  The image sometimes disappears
when I reveal the back 
Does it happen again every time you repeat the steps above  Or did it
happen only one time 
  Most of the time 
What version of AnkiDroid are you using  (Decks list   menu   About   Look
at the title) v2 2 3
On what version of Android  (Home screen   menu   About phone   Android
version) v2 3 6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The workaround to this is  while reviewing  to go to the  help  page and then go back 
Reported by  jacobfree95  on 2014 09 03 21:07:04
</t>
  </si>
  <si>
    <t>ankidroid-Anki-Android-3159</t>
  </si>
  <si>
    <t>Crashes when entering Custom Study</t>
  </si>
  <si>
    <t xml:space="preserve">Originally reported on Google Code with ID 2262
What steps will reproduce the problem 
1  Finished studying daily cards in dictionary
2  Go to (unknowingly) empty Custom Study to review forgotten cards
3  Anki Crashes
What is the expected output  What do you see instead 
Should say that the deck is empty  But Anki crashes
Does it happen again every time you repeat the steps above  Or did it
happen only one time 
Every time 
What version of AnkiDroid are you using  (Decks list   menu   About   Look
at the title)
AnkiDroid 2 2 3
On what version of Android  (Home screen   menu   About phone   Android
version)
AnkiDroid 4 4 3
If it is a crash or  Force close  and you can reproduce it  the following
would help immensely: 1) Install the  SendLog  app  2) Reproduce the crash 
3) Immediately after  launch SendLog  4) Attach the resulting file to this
report  That will make the bug much easier to fix 
Unable to access this support site on my phone as I am in China and this site is blocked
for some reason  and no vpn on my phone  Sorry    
Please provide any additional information below 
Reported by  robert rostermundt  on 2014 09 02 00:51:07
</t>
  </si>
  <si>
    <t>ankidroid-Anki-Android-3157</t>
  </si>
  <si>
    <t>'t move application to external SD card</t>
  </si>
  <si>
    <t xml:space="preserve">Originally reported on Google Code with ID 2260
What steps will reproduce the problem 
1  Go to Home screen   menu   applications and select AnkiDroid    move to SD card 
2  Error message  Unable to move app  
What is the expected output  What do you see instead 
move application to external SD CARD 
Does it happen again every time you repeat the steps above  Or did it
happen only one time 
What version of AnkiDroid are you using  (Decks list   menu   About   Look
at the title)2 2 3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piotrosak  on 2014 08 31 17:16:13
</t>
  </si>
  <si>
    <t>ankidroid-Anki-Android-3156</t>
  </si>
  <si>
    <t>Can't create files on external SD card</t>
  </si>
  <si>
    <t xml:space="preserve">Originally reported on Google Code with ID 2259
What steps will reproduce the problem 
1 change database folder to external SD card on unrolled device
2  program has no read write permission on Kit at   creating database in existing folder
or creating new folder fails
3  application crashes on every start
What is the expected output  What do you see instead 
create deck database on external SD card
Does it happen again every time you repeat the steps above  Or did it
happen only one time 
every time
What version of AnkiDroid are you using  (Decks list   menu   About   Look
at the title) 2 2 3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piotrosak  on 2014 08 31 17:08:51
</t>
  </si>
  <si>
    <t>ankidroid-Anki-Android-3153</t>
  </si>
  <si>
    <t>audio doesn't play for any of my cards or downloaded decks</t>
  </si>
  <si>
    <t xml:space="preserve">Originally reported on Google Code with ID 2256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knowthecase  on 2014 08 28 02:49:03
</t>
  </si>
  <si>
    <t>ankidroid-Anki-Android-3152</t>
  </si>
  <si>
    <t>Multimedia images disappear</t>
  </si>
  <si>
    <t xml:space="preserve">Originally reported on Google Code with ID 2255
What steps will reproduce the problem 
1 Enter deck
2 View first card
3 View card answer   media is visible and can play 
4 Do anything other than hit one of the answer buttons   Some examples:
 a) Dismiss the card (via bury card or bury note)
 b) Use the back button to go back to the deck summary screen 
 c) edit the card 
5  View next card
6  View next card answer
What is the expected output  What do you see instead 
I expect to see the card answer with the multimedia image associated with that card 
Instead  I see no image   No other card in the deck will view images ever again  until
AnkiDroid is forcibly reset  or the phone is rebooted 
Does it happen again every time you repeat the steps above  Or did it
happen only one time 
Every Time 
What version of AnkiDroid are you using  (Decks list   menu   About   Look
at the title) 2 2 3
On what version of Android  (Home screen   menu   About phone   Android
version)
2 3 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jlrose  on 2014 08 28 00:26:30
</t>
  </si>
  <si>
    <t>ankidroid-Anki-Android-3149</t>
  </si>
  <si>
    <t>Custom study :: Limit to tags Includes tags which were not selected</t>
  </si>
  <si>
    <t xml:space="preserve">Originally reported on Google Code with ID 2252
What steps will reproduce the problem 
1 click on tags and begin typing the name of a tag and when it appears select it 
2 after having selected all the tags click the select button to lock in your selection
3 I often find tags that are at the top of the list alphabetically which were not selected
during the selection process are now selected  
What is the expected output  What do you see instead 
only the tags which were specifically selected during the selection process should
be applied to the cards
Does it happen again every time you repeat the steps above  Or did it
happen only one time  it seems to happen almost every time  
What version of AnkiDroid are you using  (Decks list   menu   About   Look
at the title) 2 2 3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dogsheaven  on 2014 08 25 23:33:11
</t>
  </si>
  <si>
    <t>ankidroid-Anki-Android-3148</t>
  </si>
  <si>
    <t>Custom steps on filtered decks</t>
  </si>
  <si>
    <t xml:space="preserve">Originally reported on Google Code with ID 2251
What steps will reproduce the problem 
1  Create a filtered deck
2  choose rebuild to make the cards going into the new deck
3  click deck option
4  uncheck custom steps
5  going back to decks 
What is the expected output  What do you see instead 
Custom steps remains unchecked  It is still checked and runs with some abnormal steps
Does it happen again every time you repeat the steps above  Or did it
happen only one time 
everytime
What version of AnkiDroid are you using  (Decks list   menu   About   Look
at the title) last one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thank you
Reported by  Bichgol  on 2014 08 25 23:23:01
</t>
  </si>
  <si>
    <t>ankidroid-Anki-Android-3146</t>
  </si>
  <si>
    <t>an error occurs whenever I click on the "Cards..." button within the "Add" window.</t>
  </si>
  <si>
    <t xml:space="preserve">Originally reported on Google Code with ID 2249
What steps will reproduce the problem 
1 Click on a deck (all decks have the same problem) 
2 Click on the  Add  option at the top 
3 Click on the  Cards     button (to Customize Cards) 
What is the expected output  What do you see instead 
A )Expected   I want to see a screen when I can fully customize each card 
What I see instead   a message that reads  An error occurred  It may have been caused
by a harmless bug  or your deck may have a problem    (Please read the full error message
below) 
Does it happen again every time you repeat the steps above  Or did it
happen only one time 
A )It happens every time 
What version of AnkiDroid are you using  (Decks list   menu   About   Look
at the title)
A ) AnkiDroid V2 2 3
However  the feature I am having the problem with is only on my desktop version  I
cannot find the same option ( Cards     or equivalent option) on the mobile version 
My desktop version is V 2 0 28
On what version of Android  (Home screen   menu   About phone   Android
version)
A ) Adroid V4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Please note: I have tried running  Tools   Check Database  dozens of times to fix the
problem  and it does not work 
Here is the exact error message every time:
An error occurred  It may have been caused by a harmless bug  
or your deck may have a problem  
To confirm it s not a problem with your deck  please run Tools   Check Database  
If that doesn t fix the problem  please copy the following
into a bug report:
Traceback (most recent call last):
  File  C: cygwin home dae win build pyi win32 anki outPYZ1 pyz aqt editor   line 434 
in onCardLayout
  File  C: cygwin home dae win build pyi win32 anki outPYZ1 pyz aqt clayout   line
48  in   init  
  File  C: cygwin home dae win build pyi win32 anki outPYZ1 pyz aqt clayout   line
60  in redraw
  File  C: cygwin home dae win build pyi win32 anki outPYZ1 pyz aqt clayout   line
186  in selectCard
  File  C: cygwin home dae win build pyi win32 anki outPYZ1 pyz aqt clayout   line
199  in onCardSelected
  File  C: cygwin home dae win build pyi win32 anki outPYZ1 pyz aqt clayout   line
228  in renderPreview
TypeError: new mungeQA() takes exactly 1 argument (2 given)
Reported by  noname a  on 2014 08 25 08:54:00
</t>
  </si>
  <si>
    <t>ankidroid-Anki-Android-3144</t>
  </si>
  <si>
    <t>Ankidroid skips last 20 or so cards needing review for one specific deck</t>
  </si>
  <si>
    <t xml:space="preserve">Originally reported on Google Code with ID 2247
What steps will reproduce the problem 
1  Review a specific Spanish Conjugations deck that I downloaded from AnkiWeb and have
been working my way through (attached)
2  Review as usual until there are 20 30 cards needing review left
What is the expected output  What do you see instead 
Upon completing a card  the cards needing review count will jump from its current number
(20 30) to 0
Does it happen again every time you repeat the steps above  Or did it
happen only one time 
Every time
What version of AnkiDroid are you using  (Decks list   menu   About   Look
at the title) 2 1 3
On what version of Android  (Home screen   menu   About phone   Android
version) 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If it would be helpful  I can record a video of it in action  but I don t know that
it would provide any useful debugging info 
Reported by  jyau04  on 2014 08 24 21:28:34
 hr 
   Attachment:  Essential Spanish Conjugations apkg (https:  storage googleapis com google code attachments ankidroid issue 2247 comment 0 Essential Spanish Conjugations apkg) 
</t>
  </si>
  <si>
    <t>ankidroid-Anki-Android-3142</t>
  </si>
  <si>
    <t>Zero review time</t>
  </si>
  <si>
    <t xml:space="preserve">Originally reported on Google Code with ID 2245
What steps will reproduce the problem 
1  Start Reviewing 
2 Tap  show answer 
3 Cancel with Android s back button
4  Start Reviewing  same card again
5 May repeat from 2 to 3 or   
6 Eventually evaluate ease of card   ie  Again     Hard     Good     Easy  
What is the expected output  What do you see instead 
The card should have the review  time  according to the last time of the above loop 
Instead it gets a zero 
This may also cause it to be elevated in interval  ivl  because of the falsely low
review   time  
Does it happen again every time you repeat the steps above  Or did it
happen only one time 
The frequency is often enough for me to constantly look at the sql revlog table to
ensure cards are not falsely speeded up to zero review time 
Of just over 10000 revlog entries  there were about 400 zero review times and one negative
review time 
What version of AnkiDroid are you using  (Decks list   menu   About   Look
at the title)
On what version of Android  (Home screen   menu   About phone   Android
version)
Ankidroid 2 0 1
Android 4 3
If it is a crash or  Force close  and you can reproduce it  the following
would help immensely: 1) Install the  SendLog  app  2) Reproduce the crash 
3) Immediately after  launch SendLog  4) Attach the resulting file to this
report  That will make the bug much easier to fix 
Not applicable 
Please provide any additional information below 
Reported by  davidyhk  on 2014 08 24 02:49:11
</t>
  </si>
  <si>
    <t>ankidroid-Anki-Android-3138</t>
  </si>
  <si>
    <t>Sync doesn't work on one of my decks media</t>
  </si>
  <si>
    <t xml:space="preserve">Originally reported on Google Code with ID 2241
What steps will reproduce the problem 
1  Syncing my cards on my computer which shoes sync complete
2  Then syncing on my tablet and phone
3 
What is the expected output  What do you see instead  Expected output is complete syncing
of cards as I made on my desktop  Instead I see the error in attached file
Does it happen again every time you repeat the steps above  Or did it
happen only one time  Every time
What version of AnkiDroid are you using  (Decks list   menu   About   Look
at the title) 2 2 3
On what version of Android  (Home screen   menu   About phone   Android
version)  4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Although I am able to sync other data  but my pictures are not able to get synced in
one of my decks
Reported by  r859ab  on 2014 08 21 13:43:17
 hr 
   Attachment: 2014 08 20 21 20 32 png br   2014 08 20 21 20 32 png (https:  storage googleapis com google code attachments ankidroid issue 2241 comment 0 2014 08 20 21 20 32 png) 
</t>
  </si>
  <si>
    <t>ankidroid-Anki-Android-3127</t>
  </si>
  <si>
    <t>New card is always added to default deck no matter what you set it to be added to</t>
  </si>
  <si>
    <t xml:space="preserve">Originally reported on Google Code with ID 2230
What steps will reproduce the problem 
1  Click  plus  sign in the upper right corner of the upp and choose  Add note  
2  Put some text into the new card
3  Set what deck should it to be added to
4  Choose  Add  
What is the expected output  What do you see instead 
Expected output: The new card is added to the chosen deck during the adding process 
Real output: The new card is added to the default deck 
Does it happen again every time you repeat the steps above  Or did it
happen only one time 
It happens every time 
What version of AnkiDroid are you using  (Decks list   menu   About   Look
at the title)  
AnkiDroid version 2 2 3 
On what version of Android  (Home screen   menu   About phone   Android
version)
Android version 4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The only way I can add new cards notes to the desired deck is by opening the default
one  click edit card and from there choose new deck and save changes 
Best regards
Reported by  davidoski90  on 2014 08 09 13:15:18
</t>
  </si>
  <si>
    <t>ankidroid-Anki-Android-3126</t>
  </si>
  <si>
    <t>java.lang.RuntimeException: java.lang.NullPointerException: magnitude == null</t>
  </si>
  <si>
    <t xml:space="preserve">Originally reported on Google Code with ID 2229
Media syncing bug in 2 2 3
Triage link:
http:  ankidroid triage appspot com view crash crash id 5268036193878016
Reported by  Houssam Salem Au  on 2014 08 07 15:02:52
</t>
  </si>
  <si>
    <t>ankidroid-Anki-Android-3125</t>
  </si>
  <si>
    <t>java.lang.RuntimeException: android.database.sqlite.SQLiteException: no such table: meta (code 1): , while compiling: select dirMod from meta</t>
  </si>
  <si>
    <t xml:space="preserve">Originally reported on Google Code with ID 2228
Media syncing bug in 2 2 3
Triage link:
http:  ankidroid triage appspot com view crash crash id 5901354891476992
Seems like the media database becomes corrupted somehow 
Reported by  Houssam Salem Au  on 2014 08 07 15:01:55
</t>
  </si>
  <si>
    <t>ankidroid-Anki-Android-3121</t>
  </si>
  <si>
    <t>"Add new media" action wipes existing field content</t>
  </si>
  <si>
    <t xml:space="preserve">Originally reported on Google Code with ID 2224
What steps will reproduce the problem 
1  Add new media to a field
2  Place cursor to the end of the reference (see screenshot)
3  Add another media to the same field
What is the expected output  What do you see instead 
Expected: New media reference should be inserted at cursor location  the action replaces
the field contents instead 
Does it happen again every time you repeat the steps above  Or did it
happen only one time 
Tried twice  happened twice 
What version of AnkiDroid are you using  (Decks list   menu   About   Look
at the title)
2 3alpha3
On what version of Android  (Home screen   menu   About phone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tilusnet  on 2014 08 05 11:54:08
</t>
  </si>
  <si>
    <t>ankidroid-Anki-Android-3119</t>
  </si>
  <si>
    <t xml:space="preserve">Ankidroid crashes whenever I edit a card </t>
  </si>
  <si>
    <t xml:space="preserve">Originally reported on Google Code with ID 2222
What steps will reproduce the problem 
1 start reviewing a deck 
2   edit a card 
3 
What is the expected output  What do you see instead 
Expected: after editing it will return to that card in the deck and continue reviewing
Actual: the app crashes
Does it happen again every time you repeat the steps above  Or did it
happen only one time 
Every time
What version of AnkiDroid are you using  (Decks list   menu   About   Look
at the title)
2 2 2
On what version of Android  (Home screen   menu   About phone   Android
version)
4 4 4 on Nexus 4
Reported by  gutteridge james  on 2014 08 03 02:04:38
</t>
  </si>
  <si>
    <t>ankidroid-Anki-Android-3117</t>
  </si>
  <si>
    <t>AnkiDroid crashes when trying to show pictures which don't exist</t>
  </si>
  <si>
    <t xml:space="preserve">Originally reported on Google Code with ID 2220
What steps will reproduce the problem 
1  Take a picture on my Galaxy S5  add the picture to my card
2  try to sync with ankiweb (and not send anything more than 4ko)
3  try to show the picture on a card will crash the app
What is the expected output  What do you see instead 
The expected output is to make it sync on ankiweb and being able to show the pic  
Does it happen again every time you repeat the steps above  Or did it
happen only one time 
Everytime yup  
What version of AnkiDroid are you using  (Decks list   menu   About   Look
at the title)
2 2 2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sorry can t find the way to use sendlog properly  I sent you the log  original  from
android
hope you can help me  
thanks  
Please provide any additional information below 
Reported by  Bichgol  on 2014 08 01 18:02:23
 hr 
   Attachment: Screenshot 2014 08 01 19 54 33 png br   Screenshot 2014 08 01 19 54 33 png (https:  storage googleapis com google code attachments ankidroid issue 2220 comment 0 Screenshot 2014 08 01 19 54 33 png) 
   Attachment: Screenshot 2014 08 01 19 52 47 png br   Screenshot 2014 08 01 19 52 47 png (https:  storage googleapis com google code attachments ankidroid issue 2220 comment 0 Screenshot 2014 08 01 19 52 47 png) 
   Attachment: Screenshot 2014 08 01 19 55 18 png br   Screenshot 2014 08 01 19 55 18 png (https:  storage googleapis com google code attachments ankidroid issue 2220 comment 0 Screenshot 2014 08 01 19 55 18 png) 
</t>
  </si>
  <si>
    <t>ankidroid-Anki-Android-3116</t>
  </si>
  <si>
    <t>database path problem in verbose its cant open database</t>
  </si>
  <si>
    <t xml:space="preserve">Originally reported on Google Code with ID 2219
What steps will reproduce the problem 
1 opening database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shikhars371  on 2014 08 01 08:01:21
 hr 
   Attachment:  DataBaseHelper java (https:  storage googleapis com google code attachments ankidroid issue 2219 comment 0 DataBaseHelper java) 
</t>
  </si>
  <si>
    <t>ankidroid-Anki-Android-3113</t>
  </si>
  <si>
    <t>Bring the "switch" or "reverse" button back!</t>
  </si>
  <si>
    <t xml:space="preserve">Originally reported on Google Code with ID 2216
What steps will reproduce the problem 
1 Edit a card and want to reverse the front and back
What is the expected output  What do you see instead 
I expect to have the  switch  icon with two arrows 
Does it happen again every time you repeat the steps above  Or did it
happen only one time 
It lacks this button since the 2 2 release of ankidroid 
What version of AnkiDroid are you using  (Decks list   menu   About   Look
at the title) 2 2
On what version of Android  (Home screen   menu   About phone   Android
version) 4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victor bonhomme  on 2014 07 30 01:46:44
</t>
  </si>
  <si>
    <t>ankidroid-Anki-Android-3105</t>
  </si>
  <si>
    <t>Type cloze with repeated word works different then on Anki desktop</t>
  </si>
  <si>
    <t xml:space="preserve">Originally reported on Google Code with ID 2208
What steps will reproduce the problem 
1  Have cards where the same word is cloze deleted several times for one card
2  And use the type answer feature 
What is the expected output  What do you see instead 
On Anki desktop  you are expected to type the word once 
On AnkiDroid  you have to type it twice 
Does it happen again every time you repeat the steps above  Or did it
happen only one time 
Every time 
What version of AnkiDroid are you using  (Decks list   menu   About   Look
at the title)
On what version of Android  (Home screen   menu   About phone   Android
version)
AnkiDroid 2 2
(Any Android version  i guess  but tested with 4 1 2)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In the attached deck  once you are expected to type  peace  friendship   
For the other  you have to type the name of the cocktail once on Anki desktop  and
 Bloody Mary  Bloody Mary  Bloody Mary  on AD 
https:  www xkcd com 555 
See also the subthread here: https:  groups google com d msg anki android VlqqLlD7p w C1QVyl3GrNsJ
Reported by  ospalh  on 2014 07 24 09:51:27
 hr 
   Attachment:  type cloze demo apkg (https:  storage googleapis com google code attachments ankidroid issue 2208 comment 0 type cloze demo apkg) 
</t>
  </si>
  <si>
    <t>ankidroid-Anki-Android-3104</t>
  </si>
  <si>
    <t>Image resizing is inconsistent</t>
  </si>
  <si>
    <t xml:space="preserve">Originally reported on Google Code with ID 2207
What steps will reproduce the problem 
1  since updating yesterday to version with expandable pictures   image always starts
to small to view   Must manually resize every image to be able to see
2 
3 
What is the expected output  What do you see instead 
Does it happen again every time you repeat the steps above  Or did it
happen only one time   appears to happen to ask image cards after first image card
of attack is reviewed ( ie first image is full sized   every subsequent image is small)
What version of AnkiDroid are you using  (Decks list   menu   About   Look  2 2 2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armooredvm007  on 2014 07 24 02:18:24
</t>
  </si>
  <si>
    <t>ankidroid-Anki-Android-3102</t>
  </si>
  <si>
    <t>my front and back cards are showing up in the front card together</t>
  </si>
  <si>
    <t xml:space="preserve">Originally reported on Google Code with ID 2205
What steps will reproduce the problem 
1 
2 
3 
What is the expected output  What do you see instead 
Does it happen again every time you repeat the steps above  Or did it
happen only one time 
What version of AnkiDroid are you using  (Decks list   menu   About   Look
at the title)Version 2 0 28 on windows
On what version of Android  (Home screen   menu   About phone   Android
version)
android v2 1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This occurred after I upgraded   
Reported by  Kathychow917  on 2014 07 23 21:23:26
</t>
  </si>
  <si>
    <t>ankidroid-Anki-Android-3100</t>
  </si>
  <si>
    <t>Crash after selecting Nciku dictionary</t>
  </si>
  <si>
    <t xml:space="preserve">Originally reported on Google Code with ID 2203
What steps will reproduce the problem 
1  In the prefs   Advanced   Lookup dictionary 
2  Touch  Nciku (Web) 
What is the expected output  What do you see instead 
The dictionary should be selected 
Instead  AD crashes 
Does it happen again every time you repeat the steps above  Or did it
happen only one time 
Every time 
What version of AnkiDroid are you using  (Decks list   menu   About   Look
at the title)
On what version of Android  (Home screen   menu   About phone   Android
version)
AD 2 2 3a0  f9310f3 
Android 4 1 2 (Samsung)
If it is a crash or  Force close  and you can reproduce it  the following
would help immensely: 1) Install the  SendLog  app  2) Reproduce the crash 
3) Immediately after  launch SendLog  4) Attach the resulting file to this
report  That will make the bug much easier to fix 
See below 
Also  http:  ankidroid triage appspot com view crash crash id 5618734131576832
Please provide any additional information below 
Reported by  ospalh  on 2014 07 23 08:41:00
 hr 
   Attachment:  SendLog(1) zip (https:  storage googleapis com google code attachments ankidroid issue 2203 comment 0 SendLog 281 29 zip) 
</t>
  </si>
  <si>
    <t>ankidroid-Anki-Android-3098</t>
  </si>
  <si>
    <t>Unbury button doesn't appear for filtered decks</t>
  </si>
  <si>
    <t xml:space="preserve">Originally reported on Google Code with ID 2201
What steps will reproduce the problem 
1  Select deck  choose Custom study
2  Complete custom study  upon completion hidden related cards are present 
3  Anki prompts to press unbury  But there is nolonger any no unbury option  nor is
it displays 
What is the expected output  A button I can push to unbury the hidden cards 
What do you see instead  A prompt to press unbury  but no option  or button 
If you re select the original deck  the unbury option appears  you then must exit that
deck  and go and select the custom study deck  
Does it happen again every time you repeat the steps above  Or did it
happen only one time 
Happens every time  since today s 2 2 2 upgrade 
What version of AnkiDroid are you using  (Decks list   menu   About   Look
at the title)
2 2 2
On what version of Android  (Home screen   menu   About phone   Android
version)
4 4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therealdustysmurf  on 2014 07 23 07:54:11
</t>
  </si>
  <si>
    <t>ankidroid-Anki-Android-3088</t>
  </si>
  <si>
    <t>Add image by Camera doesn't work - Ankidroid 2.2</t>
  </si>
  <si>
    <t xml:space="preserve">Originally reported on Google Code with ID 2191
What steps will reproduce the problem 
1 Add note
2 Add image
3 Camera
4 Save Pic
What is the expected output  What do you see instead 
I cann t see pic shot 
I can see only a small square 
Does it happen again every time you repeat the steps above  Or did it
happen only one time 
It happen always
What version of AnkiDroid are you using  (Decks list   menu   About   Look
at the title)
On what version of Android  (Home screen   menu   About phone   Android
version)
Ankidroid 2 2
Android 4 4 2 (Samsung 4S)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fabio iannone  on 2014 07 21 19:50:27
 hr 
   Attachment: 2014 07 21 10 34 11 png br   2014 07 21 10 34 11 png (https:  storage googleapis com google code attachments ankidroid issue 2191 comment 0 2014 07 21 10 34 11 png) 
   Attachment: 2014 07 21 10 34 26 png br   2014 07 21 10 34 26 png (https:  storage googleapis com google code attachments ankidroid issue 2191 comment 0 2014 07 21 10 34 26 png) 
</t>
  </si>
  <si>
    <t>ankidroid-Anki-Android-3084</t>
  </si>
  <si>
    <t>Pictures added with camera don't get a valid reference</t>
  </si>
  <si>
    <t xml:space="preserve">Originally reported on Google Code with ID 2187
What steps will reproduce the problem 
1  Add new card
2  Provide content by selecting media    Camera    Take picture
3  Tick ok 
4  Add card to deck 
5  Preview card
What is the expected output  What do you see instead 
Picture should be referenced correctly  card preview should show it 
What I see: broken reference 
Does it happen again every time you repeat the steps above  Or did it
happen only one time 
I tried twice  happened twice 
What version of AnkiDroid are you using  (Decks list   menu   About   Look
at the title)
2 2beta23
On what version of Android  (Home screen   menu   About phone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tilusnet  on 2014 07 20 13:50:47
 hr 
   Attachment: Screenshot 2014 07 20 14 45 12 png br   Screenshot 2014 07 20 14 45 12 png (https:  storage googleapis com google code attachments ankidroid issue 2187 comment 0 Screenshot 2014 07 20 14 45 12 png) 
</t>
  </si>
  <si>
    <t>ankidroid-Anki-Android-3081</t>
  </si>
  <si>
    <t>Crash on deck with audio every few cards.</t>
  </si>
  <si>
    <t xml:space="preserve">Originally reported on Google Code with ID 2184
What steps will reproduce the problem 
1  Download shared deck https:  ankiweb net shared info 1371863408
2  Import into Anki 2 1 3
3  Study cards  crash occurs every 3 6 cards
What is the expected output  What do you see instead 
Instead of showing the solution to a card  only the audio is played  After that  a
crash occurs  The crash report can be sent  which I do almost every time 
Does it happen again every time you repeat the steps above  Or did it
happen only one time 
Every time  Makes studying next to useless as it interrupts the flow of cards all the
time 
What version of AnkiDroid are you using  (Decks list   menu   About   Look
at the title)
2 1 3
On what version of Android  (Home screen   menu   About phone   Android
version)
4 3
If it is a crash or  Force close  and you can reproduce it  the following
would help immensely: 1) Install the  SendLog  app  2) Reproduce the crash 
3) Immediately after  launch SendLog  4) Attach the resulting file to this
report  That will make the bug much easier to fix 
Says it has no permissions to read reports 
Please provide any additional information below 
Reported by  wardon2209  on 2014 07 16 05:17:37
</t>
  </si>
  <si>
    <t>ankidroid-Anki-Android-3079</t>
  </si>
  <si>
    <t>Crash on tablet when opening deck options after building custom study deck</t>
  </si>
  <si>
    <t xml:space="preserve">Originally reported on Google Code with ID 2182
What steps will reproduce the problem 
1  Custom study button
2  Limit to tags
3  Use defaults and hit OK
4  Try to open deck options
What is the expected output  What do you see instead 
Crash
Does it happen again every time you repeat the steps above  Or did it
happen only one time 
Everytime
http:  ankidroid triage appspot com view crash crash id 5295880366194688
This is related to Issue 2164
Reported by  perceptualchaos2  on 2014 07 15 21:11:26
</t>
  </si>
  <si>
    <t>ankidroid-Anki-Android-3078</t>
  </si>
  <si>
    <t>Preferrences not applied while reviewing</t>
  </si>
  <si>
    <t xml:space="preserve">Originally reported on Google Code with ID 2181
What steps will reproduce the problem 
1  Review with a model that uses non trivial CSS
2  Open the navigation drawer (see below)
3  and switch to  Simple interface 
What is the expected output  What do you see instead 
The nice styling of the model should disappear 
It does not  at least not at once  The setting  is  applied (showing non styled cards)
after going to the deck overview and starting reviewing again 
Does it happen again every time you repeat the steps above  Or did it
happen only one time 
Every time 
What version of AnkiDroid are you using  (Decks list   menu   About   Look
at the title)
On what version of Android  (Home screen   menu   About phone   Android
version)
Android 4 1 2
AnkiDroid 2 2 beta17  As this is about the navigation drawer  it only applies to the
betas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I tried it with the  Simple interface   but this may be a somewhat more general problem 
Looks like settings are applied loaded into the reviewer only when it is opened  Which
worked OK when you could reach the prefs only before you opened the reviewer  not during
reviews  which you can do now 
Reported by  ospalh  on 2014 07 14 08:49:48
</t>
  </si>
  <si>
    <t>ankidroid-Anki-Android-3076</t>
  </si>
  <si>
    <t>Reversed cards: only one side shows up</t>
  </si>
  <si>
    <t xml:space="preserve">Originally reported on Google Code with ID 2179
What steps will reproduce the problem 
1 Add a reversed card
2 Review your cards
What is the expected output  What do you see instead 
Having added a reversed card  I m expecting to see both sides showing up when reviewing 
Instead  only one shows up (always the same  the one we can see when creating a card)
Does it happen again every time you repeat the steps above  Or did it
happen only one time 
Always the case 
What version of AnkiDroid are you using  (Decks list   menu   About   Look
at the title)
On what version of Android  (Home screen   menu   About phone   Android
version)
V2 1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stephan donin  on 2014 07 09 00:47:13
</t>
  </si>
  <si>
    <t>ankidroid-Anki-Android-3075</t>
  </si>
  <si>
    <t>Network error always occurrs when attempting to get shared decks</t>
  </si>
  <si>
    <t xml:space="preserve">Originally reported on Google Code with ID 2178
What steps will reproduce the problem 
1 Install AnkiDroid
2  Attempt to log in to Anki Web to sync shared decks
What is the expected output  What do you see instead 
Expect the shared decks to be downloaded   
Instead  a popup saying   A network error occurred  appears
Does it happen again every time you repeat the steps above  Or did it
happen only one time 
Every time
What version of AnkiDroid are you using  (Decks list   menu   About   Look
at the title)
2 0 2
On what version of Android  (Home screen   menu   About phone   Android
version)
2 3 7 (Gingerbread) CyanogenMod 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My phone has no sim card  as I use it on wifi only   I am connected to the network 
and can browse the web   I entered my username and password correctly   the same credentials
work fine for logging in on a different device   
Reported by  Doug McCluer  on 2014 07 09 00:44:06
</t>
  </si>
  <si>
    <t>ankidroid-Anki-Android-3074</t>
  </si>
  <si>
    <t>Failure to sync to AnkiWeb</t>
  </si>
  <si>
    <t xml:space="preserve">Originally reported on Google Code with ID 2177
What steps will reproduce the problem 
1 Pressing Sync in Anki desktop version 
2 
3 
What is the expected output  What do you see instead 
Synchronisation is expected  Instead I see the following:
An error occurred  It may have been caused by a harmless bug  
or your deck may have a problem  
To confirm it s not a problem with your deck  please run Tools   Check Database  
If that doesn t fix the problem  please copy the following
into a bug report:
Traceback (most recent call last):
  File  C: cygwin home dae win build pyi win32 anki outPYZ1 pyz aqt webview   line
154  in  linkHandler
  File  C: cygwin home dae win build pyi win32 anki outPYZ1 pyz aqt toolbar   line
74  in  linkHandler
  File  C: cygwin home dae win build pyi win32 anki outPYZ1 pyz aqt toolbar   line
97  in  syncLinkHandler
  File  C: cygwin home dae win build pyi win32 anki outPYZ1 pyz aqt main   line 590 
in onSync
  File  C: cygwin home dae win build pyi win32 anki outPYZ1 pyz aqt main   line 307 
in unloadCollection
  File  C: cygwin home dae win build pyi win32 anki outPYZ1 pyz aqt main   line 371 
in maybeOptimize
  File  C: cygwin home dae win build pyi win32 anki outPYZ1 pyz anki collection   line
792  in optimize
  File  C: cygwin home dae win build pyi win32 anki outPYZ1 pyz anki db   line 39 
in execute
sqlite3 DatabaseError: database disk image is malformed
If I click Check Database I get this a message telling me there was an error and to
Check Database or submit the following:
Traceback (most recent call last):
  File  C: cygwin home dae win build pyi win32 anki outPYZ1 pyz aqt main   line 922 
in onCheckDB
  File  C: cygwin home dae win build pyi win32 anki outPYZ1 pyz anki collection   line
685  in fixIntegrity
  File  C: cygwin home dae win build pyi win32 anki outPYZ1 pyz anki db   line 72 
in scalar
sqlite3 DatabaseError: database disk image is malformed
Does it happen again every time you repeat the steps above  Or did it
happen only one time 
Every time 
What version of AnkiDroid are you using  (Decks list   menu   About   Look
at the title)
On what version of Android  (Home screen   menu   About phone   Android
version)
Version 2 0 26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ps3hubbards hotmail com  on 2014 07 08 12:41:26
</t>
  </si>
  <si>
    <t>ankidroid-Anki-Android-3072</t>
  </si>
  <si>
    <t>Moto G 4G speakerphone disabled after unplugging headphones</t>
  </si>
  <si>
    <t xml:space="preserve">Originally reported on Google Code with ID 2175
What steps will reproduce the problem 
1  Run audio flashcards on Ankidroid on Moto G 4G using earphones 
2  Unplug earphones 
3  Speakerphone does not work  Can t hear phone calls  nor can the other person hear
you  Adjusting volume using rocker buttons doesn t produce the usual beeping sound 
What is the expected output  What do you see instead 
See point 3  above
Does it happen again every time you repeat the steps above  Or did it
happen only one time 
Happens every time  even in safe mode  Doesn t happen when using my earphones for other
applications e g  music player 
What version of AnkiDroid are you using  (Decks list   menu   About   Look
at the title)
2 1 3
On what version of Android  (Home screen   menu   About phone   Android
version)
4 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Problem doesn t occur if I use app with speakerphone playing the flaschcards  Only
when I use earphones and then subsequently unplug them 
Reported by  chris ryan 90  on 2014 07 03 08:39:57
</t>
  </si>
  <si>
    <t>ankidroid-Anki-Android-3070</t>
  </si>
  <si>
    <t>Android Clipboard data removed after saving a card</t>
  </si>
  <si>
    <t xml:space="preserve">Originally reported on Google Code with ID 2173
What steps will reproduce the problem 
1 copy something in Android
2 Edit a card in Ankidroid  then save 
3 then try to copy the previously copied data somewhere in Android
What is the expected output  What do you see instead 
I m expecting Ankidroid to not clean remove the android cliboard after saving a card 
Does it happen again every time you repeat the steps above  Or did it
happen only one time 
Everytime
What version of AnkiDroid are you using  (Decks list   menu   About   Look
at the title)V2 1 3
On what version of Android  (Home screen   menu   About phone   Android
version)V4 2 2 (CM11 M7)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victor bonhomme  on 2014 06 27 08:13:58
</t>
  </si>
  <si>
    <t>ankidroid-Anki-Android-3069</t>
  </si>
  <si>
    <t>Unable to Increase Card Limit</t>
  </si>
  <si>
    <t xml:space="preserve">Originally reported on Google Code with ID 2172
What steps will reproduce the problem 
1  Went to preferences
2  Clicked on reviewing
3  Clicked on learn ahead limit
4  Increase amount to 50
What is the expected output  What do you see instead 
I am trying to study more every day   I have a lot of cards to study and want to spend
a long time every day reviewing   Anki s preset amount of cards that I get is too little
for me   I get a congratulations screen that says there is a way to increase the study
amount   The above procedure was my attempt to resolve this  but it doesn t seem to
have worked 
Does it happen again every time you repeat the steps above  Or did it
happen only one time 
Every time 
What version of AnkiDroid are you using  (Decks list   menu   About   Look
at the title)  Cannot find  decks list  to be able to answer this 
On what version of Android  (Home screen   menu   About phone   Android
version) Cannot find  menu  from homescreen so cannot answer this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Only would comment that setting the daily card limit should be a very easy thing to
do for flashcard programs  and not require technical support  so I hope that this can
be improved in previous versions   I have seen many comments on the internet saying
this is a known issue with anki not having this most basic flashcard feature working
very well 
Reported by  kolya mccleave  on 2014 06 26 19:24:59
</t>
  </si>
  <si>
    <t>ankidroid-Anki-Android-3067</t>
  </si>
  <si>
    <t>The navigation drawer makes the keyboard *not* hide when answer shown.</t>
  </si>
  <si>
    <t xml:space="preserve">Originally reported on Google Code with ID 2170
What steps will reproduce the problem 
1  With a recent version (see below)
2  Type the answer
3  and touch either the keyboard done or the  Show answer  button
What is the expected output  What do you see instead 
The soft keyboard should hide 
It does not 
Does it happen again every time you repeat the steps above  Or did it
happen only one time 
Every time 
What version of AnkiDroid are you using  (Decks list   menu   About   Look
at the title)
On what version of Android  (Home screen   menu   About phone   Android
version)
Android 4 3  CM 10 2 
The keyboard hiding worked fine with commit 8268620 2 2alpha83  but it stopped working
with 27f5bcc or  2 2alpha84  pull request 374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The keyboard hiding is done via the IME action  done  
https:  developer android com reference android widget TextView html attr android:imeOptions
Reported by  ospalh  on 2014 06 25 14:22:06
</t>
  </si>
  <si>
    <t>ankidroid-Anki-Android-3063</t>
  </si>
  <si>
    <t>Unable to resume activity {com.ichi2.anki/com.ichi2.anki.StudyOptionsActivity}: java.lang.NullPointerException at android.app.ActivityThread.performResumeActivity(ActivityThread.java:2774) at com.ichi2.anki.StudyOptionsFragment.updateValuesFromDeck(StudyOptionsFragment.java:1036)</t>
  </si>
  <si>
    <t xml:space="preserve">Originally reported on Google Code with ID 2166
null pointer exception
http:  ankidroid triage appspot com view crash crash id 4530656243613696
It seems that mTextDeckName may not have a value loaded here:
https:  github com ankidroid Anki Android blob 8f9bfc0b3da4c472d076dff9d462317056120adf src com ichi2 anki StudyOptionsFragment java L1036
Possibly an async problem from calling reloadCollection() here 
https:  github com ankidroid Anki Android blob 8f9bfc0b3da4c472d076dff9d462317056120adf src com ichi2 anki StudyOptionsFragment java L323
Reported by  perceptualchaos2  on 2014 06 25 05:13:20
</t>
  </si>
  <si>
    <t>ankidroid-Anki-Android-3061</t>
  </si>
  <si>
    <t>Double night mode button</t>
  </si>
  <si>
    <t xml:space="preserve">Originally reported on Google Code with ID 2164
What steps will reproduce the problem 
1  Create a custom study deck 
2 
3 
What is the expected output  What do you see instead  In the top of the screen  there
is two night mode button
Does it happen again every time you repeat the steps above  Or did it
happen only one time  Always 
What version of AnkiDroid are you using  (Decks list   menu   About   Look
at the title) 2 2beta6
On what version of Android  (Home screen   menu   About phone   Android
version)4 4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pier ducrocq  on 2014 06 24 15:07:36
 hr 
   Attachment: Screenshot 2014 06 24 12 23 13 png br   Screenshot 2014 06 24 12 23 13 png (https:  storage googleapis com google code attachments ankidroid issue 2164 comment 0 Screenshot 2014 06 24 12 23 13 png) 
</t>
  </si>
  <si>
    <t>ankidroid-Anki-Android-3058</t>
  </si>
  <si>
    <t>Two versions of the deck picker confusing.</t>
  </si>
  <si>
    <t xml:space="preserve">Originally reported on Google Code with ID 2161
What steps will reproduce the problem 
1  Use a 2 3beta build
2  on an 18cm tablet
3  and rotate that a lot 
What is the expected output  What do you see instead 
It should be consistent what happens when  for example  you touch the back button during
reviews 
Instead  depending on which way you held the tablet at the moment you started AnkiDroid 
a single touch of the back button brings you either to the deck options or to the combined
deck picker deck options  a double touch brings you either to the deck picker  or to
the Android home screen launcher 
Does it happen again every time you repeat the steps above  Or did it
happen only one time 
Every time  That is working as designed 
What version of AnkiDroid are you using  (Decks list   menu   About   Look
at the title)
On what version of Android  (Home screen   menu   About phone   Android
version)
Android 4 2
AnkiDroid 2 3beta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18 cm is 7 inches 
The relevant code was added here:
https:  github com ankidroid Anki Android pull 364
Reported by  ospalh  on 2014 06 23 09:07:31
</t>
  </si>
  <si>
    <t>ankidroid-Anki-Android-3057</t>
  </si>
  <si>
    <t>NullPointerException at NavigationDrawerActivity.initNavigationDrawer</t>
  </si>
  <si>
    <t xml:space="preserve">Originally reported on Google Code with ID 2160
Steps:
  Review normally
  Open a memory heavy app like a web browser
  Return to AnkiDroid
  Immediate crash
Reproduces all the time 
java lang RuntimeException: Unable to start activity ComponentInfo com ichi2 anki com ichi2 anki Reviewer :
java lang NullPointerException at android app ActivityThread performLaunchActivity(ActivityThread java:2069)
at com ichi2 anki NavigationDrawerActivity initNavigationDrawer(NavigationDrawerActivity java:77)
Reported by  nicolas raoul  on 2014 06 20 05:59:14
</t>
  </si>
  <si>
    <t>ankidroid-Anki-Android-3052</t>
  </si>
  <si>
    <t>App/deck name temporarily black on dark gray</t>
  </si>
  <si>
    <t xml:space="preserve">Originally reported on Google Code with ID 2155
What steps will reproduce the problem 
1  Use a new alpha version
2  and night mode 
3  During reviews
4  open the navigation drawer
What is the expected output  What do you see instead 
The text in the action bar should be shown with a high contrast 
Instead the white on dark gray deck name in the action bar is replaced with a  black  on dark gray
 AnkiDroid  while the navigation drawer is visible  and replaced with the deck name
in black again when the drawer is hidden 
Does it happen again every time you repeat the steps above  Or did it
happen only one time 
Every time
What version of AnkiDroid are you using  (Decks list   menu   About   Look
at the title)
On what version of Android  (Home screen   menu   About phone   Android
version)
AnkiDroid 2 2alpha92   revision 05729aa
Android 4 2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The display goes back to white on gray for the next card 
The third images is just there for people who want to know who the      mentioned on
the card is 
Reported by  ospalh  on 2014 06 17 08:07:12
 hr 
   Attachment: black on gray png br   black on gray png (https:  storage googleapis com google code attachments ankidroid issue 2155 comment 0 black on gray png) 
   Attachment: black on gray 2 png br   black on gray 2 png (https:  storage googleapis com google code attachments ankidroid issue 2155 comment 0 black on gray 2 png) 
   Attachment:    3 png br      3 png (https:  storage googleapis com google code attachments ankidroid issue 2155 comment 0    3 png) 
</t>
  </si>
  <si>
    <t>ankidroid-Anki-Android-3051</t>
  </si>
  <si>
    <t>JSONException: No value for rev</t>
  </si>
  <si>
    <t xml:space="preserve">Originally reported on Google Code with ID 2154
http:  ankidroid triage appspot com view crash crash id 5112394531471360
AnkiDroid 2 2alpha92
java lang RuntimeException: Unable to start activity ComponentInfo com ichi2 anki com ichi2 anki DeckOptions :
java lang RuntimeException: org json JSONException: No value for rev
at android app ActivityThread performLaunchActivity(ActivityThread java:2194)
at android app ActivityThread handleLaunchActivity(ActivityThread java:2244)
at android app ActivityThread access 600(ActivityThread java:149)
at android app ActivityThread H handleMessage(ActivityThread java:1246)
at android os Handler dispatchMessage(Handler java:99)
at android os Looper loop(Looper java:213)
at android app ActivityThread main(ActivityThread java:5092)
at java lang reflect Method invokeNative(Native Method)
at java lang reflect Method invoke(Method java:511)
at com android internal os ZygoteInit MethodAndArgsCaller run(ZygoteInit java:797)
at com android internal os ZygoteInit main(ZygoteInit java:564)
at dalvik system NativeStart main(Native Method)
Caused by: java lang RuntimeException: org json JSONException: No value for rev
at com ichi2 anki DeckOptions DeckPreferenceHack Editor commit(DeckOptions java:257)
at com ichi2 anki DeckOptions DeckPreferenceHack Editor apply(DeckOptions java:328)
at android preference PreferenceManager setNoCommit(PreferenceManager java:532)
at android preference PreferenceManager inflateFromResource(PreferenceManager java:273)
at android preference PreferenceActivity addPreferencesFromResource(PreferenceActivity java:1430)
Reported by  nicolas raoul  on 2014 06 17 05:42:59
</t>
  </si>
  <si>
    <t>ankidroid-Anki-Android-3048</t>
  </si>
  <si>
    <t>Error 400 - Bad Request when sending crash report</t>
  </si>
  <si>
    <t xml:space="preserve">Originally reported on Google Code with ID 2151
What steps will reproduce the problem 
1  I have reproduced a crash (see https:  code google com p ankidroid issues detail id 1964)
2  When trying to send the crash report  I get a  Failed to send 
3  Debugging in eclipse shows this: postFeedback failure: 400   Bad Request
This is the actual content of the HttpPost entity:
type crash stacktrace groupid  2834404607772701601 index 0 reportsentutc 2014 06 12T18 3A50 3A54 429 reportsenttzoffset  2B0200 reportsenttz Europe 2FBerlin reportgeneratedutc 2014 06 12T18 3A10 3A34 232 reportgeneratedtzoffset  2B0200 reportgeneratedtz Europe 2FBerlin brand google model Nexus 4 product occam device mako host vpba30 mtv corp google com display KTU84L locale en totalinternalmemory 13874577408 versionname 2 2alpha81 time 1398979353000 packagename com ichi2 anki androidversion 4 4 3 id KTU84L board MAKO availableinternalmemory 7057862656 stacktrace Begin Stacktrace 0Ajava lang IllegalStateException 3A The content of the adapter has changed but ListView did not receive a notification  Make sure the content of your adapter is not modified from a background thread 2C but only from the UI thread  Make sure your adapter calls notifyDataSetChanged 28 29 when its content changes   5Bin ListView 28 1 2C class android widget ListView 29 with Adapter 28class android widget SimpleAdapter 29 5D 0A 09at android widget ListView layoutChildren 28ListView java 3A1555 29 0A 09at android widget AbsListView onTouchUp 28AbsListView java 3A3624 29 0A 09at android widget AbsListView onTouchEvent 28AbsListView java 3A3436 29 0A 09at android view View dispatchTouchEvent 28View java 3A7706 29 0A 09at android view ViewGroup dispatchTransformedTouchEvent 28ViewGroup java 3A2210 29 0A 09at android view ViewGroup dispatchTouchEvent 28ViewGroup java 3A1945 29 0A 09at android view ViewGroup dispatchTransformedTouchEvent 28ViewGroup java 3A2216 29 0A 09at android view ViewGroup dispatchTouchEvent 28ViewGroup java 3A1959 29 0A 09at android view ViewGroup dispatchTransformedTouchEvent 28ViewGroup java 3A2216 29 0A 09at android view ViewGroup dispatchTouchEvent 28ViewGroup java 3A1959 29 0A 09at android view ViewGroup dispatchTransformedTouchEvent 28ViewGroup java 3A2216 29 0A 09at android view ViewGroup dispatchTouchEvent 28ViewGroup java 3A1959 29 0A 09at android view ViewGroup dispatchTransformedTouchEvent 28ViewGroup java 3A2216 29 0A 09at android view ViewGroup dispatchTouchEvent 28ViewGroup java 3A1959 29 0A 09at android view ViewGroup dispatchTransformedTouchEvent 28ViewGroup java 3A2216 29 0A 09at android view ViewGroup dispatchTouchEvent 28ViewGroup java 3A1959 29 0A 09at android view ViewGroup dispatchTransformedTouchEvent 28ViewGroup java 3A2216 29 0A 09at android view ViewGroup dispatchTouchEvent 28ViewGroup java 3A1959 29 0A 09at android view ViewGroup dispatchTransformedTouchEvent 28ViewGroup java 3A2216 29 0A 09at android view ViewGroup dispatchTouchEvent 28ViewGroup java 3A1959 29 0A 09at com android internal policy impl PhoneWindow 24DecorView superDispatchTouchEvent 28PhoneWindow java 3A2068 29 0A 09at com android internal policy impl PhoneWindow superDispatchTouchEvent 28PhoneWindow java 3A1515 29 0A 09at android app Dialog dispatchTouchEvent 28Dialog java 3A746 29 0A 09at com android internal policy impl PhoneWindow 24DecorView dispatchTouchEvent 28PhoneWindow java 3A2016 29 0A 09at android view View dispatchPointerEvent 28View java 3A7886 29 0A 09at android view ViewRootImpl 24ViewPostImeInputStage processPointerEvent 28ViewRootImpl java 3A3947 29 0A 09at android view ViewRootImpl 24ViewPostImeInputStage onProcess 28ViewRootImpl java 3A3826 29 0A 09at android view ViewRootImpl 24InputStage deliver 28ViewRootImpl java 3A3392 29 0A 09at android view ViewRootImpl 24InputStage onDeliverToNext 28ViewRootImpl java 3A3442 29 0A 09at android view ViewRootImpl 24InputStage forward 28ViewRootImpl java 3A3411 29 0A 09at android view ViewRootImpl 24AsyncInputStage forward 28ViewRootImpl java 3A3518 29 0A 09at android view ViewRootImpl 24InputStage apply 28ViewRootImpl java 3A3419 29 0A 09at android view ViewRootImpl 24AsyncInputStage apply 28ViewRootImpl java 3A3575 29 0A 09at android view ViewRootImpl 24InputStage deliver 28ViewRootImpl java 3A3392 29 0A 09at android view ViewRootImpl 24InputStage onDeliverToNext 28ViewRootImpl java 3A3442 29 0A 09at android view ViewRootImpl 24InputStage forward 28
What version of AnkiDroid are you using  (Decks list   menu   About   Look
at the title)
On what version of Android  (Home screen   menu   About phone   Android
version)
AnkiDroid 2 2alpha81
Android 4 4 3
Why does the server reject the message 
Reported by  dominic lerbs  on 2014 06 12 19:04:54
</t>
  </si>
  <si>
    <t>ankidroid-Anki-Android-3046</t>
  </si>
  <si>
    <t>Hidden subdecks under different deck</t>
  </si>
  <si>
    <t xml:space="preserve">Originally reported on Google Code with ID 2149
What steps will reproduce the problem 
1 With three top level decks  when I hide subdecks of the third  they end up below
the second whether the second is hiding subdecks or not  
2 
3 
What is the expected output  What do you see instead 
I expect to see only the top level decks with pluses after them to show there are subdecks 
I do see this but in addition I see the subdecks of the third deck  though grouped
under the second one  
Does it happen again every time you repeat the steps above  Or did it
happen only one time 
Every time 
What version of AnkiDroid are you using  (Decks list   menu   About   Look
at the title)
On what version of Android  (Home screen   menu   About phone   Android
version)
Ankidroid 2 1 3  Android 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If I press  show subdecks  on the third deck it works as it should  Also the names
are correct  they use the third deck as the path 
Reported by  SeBeFre  on 2014 06 12 01:38:11
</t>
  </si>
  <si>
    <t>ankidroid-Anki-Android-3042</t>
  </si>
  <si>
    <t>Crash after adding card from saved data</t>
  </si>
  <si>
    <t xml:space="preserve">Originally reported on Google Code with ID 2145
  What steps will reproduce the problem 
1  Save a card  for later   e g  imported from dictionary
2  open it from the list of  cards saved for later  and add it
3  you will get back to the list  the added card is still there
4  Clicking on any card will cause the AnkiDroid to crash
  What is the expected output  What do you see instead 
The added card should be removed from the list  Clicking on another card shouldn t
crash 
  Does it happen again every time you repeat the steps above  Or did it
  happen only one time 
Every damn time 
  What version of AnkiDroid are you using  (Decks list   menu   About   Look at the
title)
2 1 3
  On what version of Android  (Home screen   menu   About phone   Android version)
4 1 2 (Defy  with CM10)
  If it is a crash or  Force close  and you can reproduce it  the 
  following would help immensely: 1) Install the  SendLog  app 
Sorry  doesn t work  SendLog zip is empty 
Reported by  Henning Francke  on 2014 06 11 04:58:12
</t>
  </si>
  <si>
    <t>ankidroid-Anki-Android-3040</t>
  </si>
  <si>
    <t>Ankidroid and desktop Anki review time statistics are different</t>
  </si>
  <si>
    <t xml:space="preserve">Originally reported on Google Code with ID 2143
What steps will reproduce the problem 
1  Review create cards with the desktop version 
2  Review cards on Ankidroid 
3  Sync 
4  Compare review time statistics on mobile and desktop versions 
What is the expected output  What do you see instead 
I expect the reported review times to be the same each day on both platforms  Instead
they are different 
Does it happen again every time you repeat the steps above  Or did it
happen only one time 
I don t know whether it happens every single time I review on both platforms in a given
day  But  it looks like the time reviewed statistic differs between the two platforms
for most if not all days  There are many examples of the time reviewed being over a
specific tick mark on the y axis on one platform  and below that same mark on the other 
Sometimes the Ankidroid statistic is higher  sometimes the desktop Anki statistic is
higher 
What version of AnkiDroid are you using  (Decks list   menu   About   Look at the title)
AnkiDroid v2 1 3  Anki for Windows v2 0 26
On what version of Android  (Home screen   menu   About phone   Android
version)
Android v4 4 2  Windows 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do almost all reviews (and all card editing) on the desktop version  I will often
do reviews on one platform  then do reviews on the other platform without syncing from
the first  and then sync from both 
Reported by  rozycki edward  on 2014 06 10 11:05:05
</t>
  </si>
  <si>
    <t>ankidroid-Anki-Android-3037</t>
  </si>
  <si>
    <t>Card browser search does not show results</t>
  </si>
  <si>
    <t xml:space="preserve">Originally reported on Google Code with ID 2140
What steps will reproduce the problem 
1  Go to the card browser
2  Change display order to something else than  No sorting 
What is the expected output  What do you see instead 
Not a single result is shown  though some results should show up 
Does it happen again every time you repeat the steps above  Or did it
happen only one time 
Yes  every time  with every sort option other than  No sorting  
What version of AnkiDroid are you using  (Decks list   menu   About   Look
at the title)
On what version of Android  (Home screen   menu   About phone   Android
version)
AnkiDroid v2 2alpha81  Android 4 4 2 (emulator)
If it is a crash or  Force close  and you can reproduce it  the following
would help immensely: 1) Install the  SendLog  app  2) Reproduce the crash 
3) Immediately after  launch SendLog  4) Attach the resulting file to this
report  That will make the bug much easier to fix 
Does not apply 
Please provide any additional information below 
Every time no results show up  the following errors occur:
06 04 18:35:05 681: E SQLiteLog(1838): (1) no such column: true
06 04 18:35:05 681: E AnkiDroid(1838): Invalid grouping  sql: select c id  n sfld 
c did  c queue  n tags from cards c  notes n where c nid n id and 1  order by true
I believe the problem lies in line 804 of src com ichi2 anki CardBrowser java:
            DeckTask launchDeckTask(DeckTask TASK TYPE SEARCH CARDS  mSearchCardsHandler 
new DeckTask TaskData(
                    new Object     mCol  mDeckNames  searchText  ((mOrder    CARD ORDER NONE)
     :  true )  )) 
Here is the order  true  passed 
I think this bug occurs at first in commit 8d9efa3: Cleanup for Finder java  Update
up to libanki 2 0 26 
Reported by  brentdewe  on 2014 06 04 17:16:51
</t>
  </si>
  <si>
    <t>ankidroid-Anki-Android-3036</t>
  </si>
  <si>
    <t>NullPointerException at DeckOptions.buildLists</t>
  </si>
  <si>
    <t xml:space="preserve">Originally reported on Google Code with ID 2139
AnkiDroid 2 2beta81
How to reproduce:
1  Enter any deck
2  Press  Options 
3  Immediate crash as seen below
I ActivityManager(  339): START  cmp com ichi2 anki  DeckOptions u 0  from pid 25036
V AudioPolicyManagerBase(  142): setOutputDevice() setting same device 0002 or null
device for output 5
D PowerManagerService(  339): acquireWakeLock flags 0x1 tag AudioOut 5
I PowerManagerService(  339): mLocks size 1:
I PowerManagerService(  339): PARTIAL WAKE LOCK               AudioOut 5  activated
(minState 0  uid 1013  pid 142)
V AudioPolicyManagerBase(  142): releaseOutput() 5
D AudioResampler(  142): forcing AudioResampler quality to 3
E audio hw primary(  142): select output device normal: fir set mode error 
D PowerManagerService(  339): acquireWakeLock flags 0x1 tag ActivityManager Launch
I PowerManagerService(  339): mLocks size 2:
I PowerManagerService(  339): PARTIAL WAKE LOCK               AudioOut 5  activated
(minState 0  uid 1013  pid 142)
I PowerManagerService(  339): PARTIAL WAKE LOCK               ActivityManager Launch 
activated (minState 0  uid 1000  pid 339)
V AudioPolicyManagerBase(  142): stopOutput() output 5  stream 1  session 71
V AudioPolicyManagerBase(  142): changeRefCount() stream 1  count 0
V AudioPolicyManagerBase(  142): getNewDevice() selected device 0
V AudioPolicyManagerBase(  142): setOutputDevice() output 5 device 0000 delayMs 40
V AudioPolicyManagerBase(  142): setOutputDevice() prevDevice 0002
V AudioPolicyManagerBase(  142): setOutputDevice() setting same device 0000 or null
device for output 5
I AnkiDroid(25036): DeckOptions   CacheValues
D PowerManagerService(  339): acquireWakeLock flags 0x1 tag ActivityManager Launch
I PowerManagerService(  339): mLocks size 2:
I PowerManagerService(  339): PARTIAL WAKE LOCK               AudioOut 5  activated
(minState 0  uid 1013  pid 142)
I PowerManagerService(  339): PARTIAL WAKE LOCK               ActivityManager Launch 
activated (minState 0  uid 1000  pid 339)
D class com ichi2 anki DeckOptions(25036): getSharedPreferences(name com ichi2 anki preferences)
D class com ichi2 anki DeckOptions DeckPreferenceHack(25036): getString(key name  defValue null)
D class com ichi2 anki DeckOptions DeckPreferenceHack(25036): getString(key name  defValue null)
D class com ichi2 anki DeckOptions DeckPreferenceHack(25036): getString(key desc  defValue null)
D class com ichi2 anki DeckOptions DeckPreferenceHack(25036): getString(key desc  defValue null)
D class com ichi2 anki DeckOptions DeckPreferenceHack(25036): getString(key deckConf 
defValue null)
D class com ichi2 anki DeckOptions DeckPreferenceHack(25036): getString(key deckConf 
defValue null)
D class com ichi2 anki DeckOptions DeckPreferenceHack(25036): getString(key newBury 
defValue false)
D class com ichi2 anki DeckOptions DeckPreferenceHack(25036): getString(key revBury 
defValue false)
D class com ichi2 anki DeckOptions DeckPreferenceHack(25036): getString(key maxAnswerTime 
defValue 30)
D class com ichi2 anki DeckOptions DeckPreferenceHack(25036): getString(key maxAnswerTime 
defValue  61)
D class com ichi2 anki DeckOptions DeckPreferenceHack(25036): getString(key showAnswerTimer 
defValue false)
D class com ichi2 anki DeckOptions DeckPreferenceHack(25036): getString(key autoPlayAudio 
defValue false)
D class com ichi2 anki DeckOptions DeckPreferenceHack(25036): getString(key autoPlayAudio 
defValue false)
D AnkiDroid(25036): DeckOptions   commit() changes back to database
I AnkiDroid(25036): Change value for key  revBury : true
I AnkiDroid(25036): Change value for key  newBury : true
I AnkiDroid(25036): DeckOptions   CacheValues
D AndroidRuntime(25036): Shutting down VM
W dalvikvm(25036): threadid 1: thread exiting with uncaught exception (group 0x414542a0)
I AnkiDroid(25036): uncaughtException
I AnkiDroid(25036): collectInformation
I AnkiDroid(25036): collecting information
I AnkiDroid(25036): Information collected
I AnkiDroid(25036): report infomation string created
I AnkiDroid(25036): saveReportFile
I AnkiDroid(25036): No external storage available
I AnkiDroid(25036): report saved
E AndroidRuntime(25036): FATAL EXCEPTION: main
E AndroidRuntime(25036): java lang RuntimeException: Unable to start activity ComponentInfo com ichi2 anki com ichi2 anki DeckOptions :
java lang NullPointerException
E AndroidRuntime(25036):    at android app ActivityThread performLaunchActivity(ActivityThread java:2069)
E AndroidRuntime(25036):    at android app ActivityThread handleLaunchActivity(ActivityThread java:2094)
E AndroidRuntime(25036):    at android app ActivityThread access 600(ActivityThread java:134)
E AndroidRuntime(25036):    at android app ActivityThread H handleMessage(ActivityThread java:1202)
E AndroidRuntime(25036):    at android os Handler dispatchMessage(Handler java:99)
E AndroidRuntime(25036):    at android os Looper loop(Looper java:137)
E AndroidRuntime(25036):    at android app ActivityThread main(ActivityThread java:4784)
E AndroidRuntime(25036):    at java lang reflect Method invokeNative(Native Method)
E AndroidRuntime(25036):    at java lang reflect Method invoke(Method java:511)
E AndroidRuntime(25036):    at com android internal os ZygoteInit MethodAndArgsCaller run(ZygoteInit java:776)
E AndroidRuntime(25036):    at com android internal os ZygoteInit main(ZygoteInit java:543)
E AndroidRuntime(25036):    at dalvik system NativeStart main(Native Method)
E AndroidRuntime(25036): Caused by: java lang NullPointerException
E AndroidRuntime(25036):    at com ichi2 anki DeckOptions buildLists(DeckOptions java:564)
E AndroidRuntime(25036):    at com ichi2 anki DeckOptions DeckPreferenceHack Editor commit(DeckOptions java:272)
E AndroidRuntime(25036):    at com ichi2 anki DeckOptions DeckPreferenceHack Editor apply(DeckOptions java:328)
E AndroidRuntime(25036):    at android preference PreferenceManager setNoCommit(PreferenceManager java:532)
E AndroidRuntime(25036):    at android preference PreferenceManager inflateFromResource(PreferenceManager java:273)
E AndroidRuntime(25036):    at android preference PreferenceActivity addPreferencesFromResource(PreferenceActivity java:1418)
E AndroidRuntime(25036):    at com ichi2 anki DeckOptions onCreate(DeckOptions java:472)
E AndroidRuntime(25036):    at android app Activity performCreate(Activity java:5031)
E AndroidRuntime(25036):    at android app Instrumentation callActivityOnCreate(Instrumentation java:1082)
E AndroidRuntime(25036):    at android app ActivityThread performLaunchActivity(ActivityThread java:2033)
E AndroidRuntime(25036):        11 more
W ActivityManager(  339):   Force finishing activity com ichi2 anki  StudyOptionsActivity
Reported by  nicolas raoul  on 2014 06 04 12:44:31
</t>
  </si>
  <si>
    <t>ankidroid-Anki-Android-3024</t>
  </si>
  <si>
    <t>answer does not show</t>
  </si>
  <si>
    <t xml:space="preserve">Originally reported on Google Code with ID 2127
What steps will reproduce the problem 
1  It happens randomly in almost every second card  When I click  show answer  it does
not appear  I have to enter card edit menu to have a look  The rating of tree answer
is available  
2 
3 
What is the expected output  What do you see instead 
I would like to see the answer  
Does it happen again every time you repeat the steps above  Or did it
happen only one time 
 Randomly  I think for different cards  
What version of AnkiDroid are you using  (Decks list   menu   About   Look
at the title)
On what version of Android  (Home screen   menu   About phone   Android
version)
Kitkat  but also my other phone 2 6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 gapski  on 2014 05 28 12:01:12
 hr 
   Attachment: Screenshot 2014 05 28 14 00 34 png br   Screenshot 2014 05 28 14 00 34 png (https:  storage googleapis com google code attachments ankidroid issue 2127 comment 0 Screenshot 2014 05 28 14 00 34 png) 
</t>
  </si>
  <si>
    <t>ankidroid-Anki-Android-3010</t>
  </si>
  <si>
    <t>Freezes with the "Show Answer" area outlined in red</t>
  </si>
  <si>
    <t xml:space="preserve">Originally reported on Google Code with ID 2113
What steps will reproduce the problem 
1 Selecting the  Show Answer  card on the very first card 
2 
3 
What is the expected output  What do you see instead 
Expected: the  flip side  of the card to appear  
See: the  front side  with the  Show Answer  area outlined in red   It never changes 
Does it happen again every time you repeat the steps above  Or did it
happen only one time 
Every time  I can t get it to run properly at all   And I have done as suggested  which
is to uninstall and re install 
What version of AnkiDroid are you using  (Decks list   menu   About   Look
at the title)
AnkiDroid v2 1 3
On what version of Android  (Home screen   menu   About phone   Android
version)
4 3
If it is a crash or  Force close  and you can reproduce it  the following
would help immensely: 
1) Install the  SendLog  app  
2) Reproduce the crash 
3) Immediately after  launch SendLog  
4) Attach the resulting file to this
report  That will make the bug much easier to fix 
I don t know how to do this  or I would do 
Please provide any additional information below 
I would really appreciate at least a prompt email letting me know if this can be worked
out and how long it might take   Thank you 
Moxie
Reported by  escapeartist whichwaydidshego com  on 2014 05 09 03:31:32
</t>
  </si>
  <si>
    <t>ankidroid-Anki-Android-3004</t>
  </si>
  <si>
    <t>Out-of date translations confusing in 2.2alpha deck browser</t>
  </si>
  <si>
    <t xml:space="preserve">Originally reported on Google Code with ID 2107
What steps will reproduce the problem 
1  Use a new 2 2alpha version  e g  2 2alpha56
2  Use German or  presumably  some other language
3  Go to the deck browser
4  Select the  Frage   i e   Question  in the second column drop down spinner
What is the expected output  What do you see instead 
The question should be shown
Instead you see the tags 
Does it happen again every time you repeat the steps above  Or did it
happen only one time 
Every time 
What version of AnkiDroid are you using  (Decks list   menu   About   Look
at the title)
On what version of Android  (Home screen   menu   About phone   Android
version)
AnkiDroid 2 2alpha56
Android 4 1 3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I am pretty sure that i have identified how this happens:
At some time the values here: https:  github com ankidroid Anki Android blob develop src com ichi2 anki CardBrowser java L143 L156
and here: https:  github com ankidroid Anki Android blob develop res values 02 strings xml L52 L67
were rearranged  The translations  e g  here: https:  github com ankidroid Anki Android blob develop res values de 02 strings xml L133 L142
have not caught up 
In the image the spinner says  Frage    Question   the right column shows tags 
Reported by  ospalh  on 2014 05 04 14:25:12
 hr 
   Attachment: Frage tags png br   Frage tags png (https:  storage googleapis com google code attachments ankidroid issue 2107 comment 0 Frage tags png) 
</t>
  </si>
  <si>
    <t>ankidroid-Anki-Android-2999</t>
  </si>
  <si>
    <t>java.lang.IllegalStateException: Already attached at android.support.v4.app.FragmentManagerImpl.attachActivity(FragmentManager.java:1878) at com.ichi2.anki.CardBrowser.onCreate(CardBrowser.java:243)</t>
  </si>
  <si>
    <t xml:space="preserve">Originally reported on Google Code with ID 2102
Open browser  then leave AnkiDroid open  use other apps for a while  Crashes when reopening:
http:  ankidroid triage appspot com view crash crash id 6366330500415488
They keyboard was showing at this time  because I switched from Aedict  which might
have been related 
Reported by  perceptualchaos2  on 2014 04 29 02:40:12
</t>
  </si>
  <si>
    <t>ankidroid-Anki-Android-2990</t>
  </si>
  <si>
    <t>Editing a card and changing deck at the same time</t>
  </si>
  <si>
    <t xml:space="preserve">Originally reported on Google Code with ID 2093
What steps will reproduce the problem 
1  Edit a card
2  Change both one or more fields and the Card deck
3  Press Save
What is the expected output  What do you see instead 
All changes are applied 
Instead the card changes deck but its fields have not been edited 
Does it happen again every time you repeat the steps above  Or did it
happen only one time 
It happens every time 
What version of AnkiDroid are you using  (Decks list   menu   About   Look
at the title) AnkiDroid v2 1 3
On what version of Android  (Home screen   menu   About phone   Android
version) Android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karel jan moens  on 2014 04 21 13:37:42
</t>
  </si>
  <si>
    <t>ankidroid-Anki-Android-2988</t>
  </si>
  <si>
    <t>Card browser loading all cards</t>
  </si>
  <si>
    <t xml:space="preserve">Originally reported on Google Code with ID 2091
What steps will reproduce the problem 
1  Check the  Fast Card Browser Open  option in the prefs
2  Open the card browser
3 
What is the expected output  What do you see instead 
All cards get loaded 
They should not 
Does it happen again every time you repeat the steps above  Or did it
happen only one time 
Every time 
What version of AnkiDroid are you using  (Decks list   menu   About   Look
at the title)
On what version of Android  (Home screen   menu   About phone   Android
version)
Android 4 3 1 CM10 2 1
AnkiDroid 2 2 alpha44
If it is a crash or  Force close  and you can reproduce it  the following
would help immensely: 1) Install the  SendLog  app  2) Reproduce the crash 
3) Immediately after  launch SendLog  4) Attach the resulting file to this
report  That will make the bug much easier to fix 
It is not 
Please provide any additional information below 
I think this behavior may have started when the deck selection spinner was added  C f 
 2088   2090
Reported by  ospalh  on 2014 04 20 16:42:47
</t>
  </si>
  <si>
    <t>ankidroid-Anki-Android-2987</t>
  </si>
  <si>
    <t>Decks unsorted in card browser spinner</t>
  </si>
  <si>
    <t xml:space="preserve">Originally reported on Google Code with ID 2090
What steps will reproduce the problem 
1  Go to the card browser
2  With lots of decks
3  and click on the new (alpha) spinner to select a deck
What is the expected output  What do you see instead 
The decks should be int same order as on the deck browser main screen 
They are not  
Does it happen again every time you repeat the steps above  Or did it
happen only one time 
Every time 
What version of AnkiDroid are you using  (Decks list   menu   About   Look
at the title)
On what version of Android  (Home screen   menu   About phone   Android
version)
Android 4 3 1 CM 10 2 1
AnkiDroid 2 2 alpha44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This looks like it is related to issue  2088 
I am not sure whether the decks appear ordered by deck id  randomly  or something like
depth first 
Reported by  ospalh  on 2014 04 20 16:34:01
 hr 
   Attachment: Screenshot 2014 04 20 18 23 44 png br   Screenshot 2014 04 20 18 23 44 png (https:  storage googleapis com google code attachments ankidroid issue 2090 comment 0 Screenshot 2014 04 20 18 23 44 png) 
</t>
  </si>
  <si>
    <t>ankidroid-Anki-Android-2986</t>
  </si>
  <si>
    <t>I can't use a study function with error</t>
  </si>
  <si>
    <t xml:space="preserve">Originally reported on Google Code with ID 2089
What steps will reproduce the problem 
Start with  study now  button on the browser with PC
What is the expected output  What do you see instead 
Error shows  your collection is in an inconsistent state 
please use tools Check Database on the computer version  
Using Desktop tool followed as error showed  but it doesn t work
Does it happen again every time you repeat the steps above  Or did it
happen only one time 
Yes it happens everytime every devices
What version of AnkiDroid are you using  (Decks list   menu   About   Look
at the title)
v2 1 3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Traceback (most recent call last):
  File  C: cygwin home dae win build pyi win32 anki outPYZ1 pyz aqt webview   line
21  in link
  File  C: cygwin home dae win build pyi win32 anki outPYZ1 pyz aqt reviewer   line
312  in  linkHandler
  File  C: cygwin home dae win build pyi win32 anki outPYZ1 pyz aqt reviewer   line
245  in  showAnswer
  File  C: cygwin home dae win build pyi win32 anki outPYZ1 pyz aqt reviewer   line
611  in  showEaseButtons
  File  C: cygwin home dae win build pyi win32 anki outPYZ1 pyz aqt reviewer   line
648  in  answerButtons
  File  C: cygwin home dae win build pyi win32 anki outPYZ1 pyz aqt reviewer   line
631  in  defaultEase
  File  C: cygwin home dae win build pyi win32 anki outPYZ1 pyz anki sched   line 135 
in answerButtons
  File  C: cygwin home dae win build pyi win32 anki outPYZ1 pyz anki sched   line 597 
in  lrnConf
  File  C: cygwin home dae win build pyi win32 anki outPYZ1 pyz anki sched   line 1077 
in  newConf
KeyError:  delays 
Reported by  bon yoshiaki  on 2014 04 20 04:49:46
</t>
  </si>
  <si>
    <t>ankidroid-Anki-Android-2985</t>
  </si>
  <si>
    <t>Browser drop down deck selector cuts off text when in landscape</t>
  </si>
  <si>
    <t xml:space="preserve">Originally reported on Google Code with ID 2088
What steps will reproduce the problem 
1  Open the card browser 
2 
3 
What is the expected output  What do you see instead 
When you are in landscape mode  the new drop down menu from alpha 43 is not high enough
Does it happen again every time you repeat the steps above  Or did it
happen only one time 
Every time 
What version of AnkiDroid are you using  (Decks list   menu   About   Look
at the title)2 2 alpha43
On what version of Android  (Home screen   menu   About phone   Android
version)4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If the resolution of my screen can help : I m on a nexus 5  1920 1080 
Reported by  pier ducrocq  on 2014 04 19 06:40:52
 hr 
   Attachment: Screenshot 2014 04 19 07 59 23 png br   Screenshot 2014 04 19 07 59 23 png (https:  storage googleapis com google code attachments ankidroid issue 2088 comment 0 Screenshot 2014 04 19 07 59 23 png) 
   Attachment: Screenshot 2014 04 19 07 59 37 png br   Screenshot 2014 04 19 07 59 37 png (https:  storage googleapis com google code attachments ankidroid issue 2088 comment 0 Screenshot 2014 04 19 07 59 37 png) 
</t>
  </si>
  <si>
    <t>ankidroid-Anki-Android-2978</t>
  </si>
  <si>
    <t>Cards due in 1 or 10 min do not show up until hours later</t>
  </si>
  <si>
    <t xml:space="preserve">Originally reported on Google Code with ID 2081
What steps will reproduce the problem 
1   For new cards or reviews  pressing again ( 1 min) or good (10 min) will not bring
up the card in 1 or 10 minutes   Instead waiting for other  longer period cards (1
hour and 5 hours) to show up 
2 
3 
What is the expected output  What do you see instead 
My Learn ahead limit is set at 20 mins  Next day starts at 4 hrs past midnight  and
I have not reached the maximum reviews day   My expected output is for the card to
show up immediately after I press the again button   Yet  the card does not show up
until longer review (1 hr and 5hrs) cards show up or until the next day   When I press
 Study Now   it says no cards are due 
Does it happen again every time you repeat the steps above  Or did it
happen only one time 
It doesn t happen every time  but it has happened more than once   Sometime  when I m
in the Learning mode with 3 or 4 cards  it works fine   And sometime when all the cards
are due back in 10 mins  none of them show up until an hour later or so 
What version of AnkiDroid are you using  (Decks list   menu   About   Look
at the title)
AnkiDroid v2 1 3
On what version of Android  (Home screen   menu   About phone   Android
version) Droid Razr HD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svmordovin  on 2014 04 14 21:01:27
</t>
  </si>
  <si>
    <t>ankidroid-Anki-Android-2977</t>
  </si>
  <si>
    <t xml:space="preserve">Blank cards </t>
  </si>
  <si>
    <t xml:space="preserve">Originally reported on Google Code with ID 2080
What steps will reproduce the problem 
1  Review some cards 
2  Later  review other cards 
3  All cards are white  But when you edit them  you can see the content 
What is the expected output  What do you see instead  Instead of having the content
of the note  the card is blank  When I answer  I don t see the animation  It happen
with every type of cards I have  
Does it happen again every time you repeat the steps above  Or did it
happen only one time  It is the first time for me and I solved it with reinstalling
the app  without uninstalling  
What version of AnkiDroid are you using  (Decks list   menu   About   Look 2 2alpha33
at the title)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don t think I have done something different than other times so I can t see anything
that can cause this bug  
Reported by  pier ducrocq  on 2014 04 12 22:04:30
</t>
  </si>
  <si>
    <t>ankidroid-Anki-Android-2976</t>
  </si>
  <si>
    <t>Problem removing tags and filters</t>
  </si>
  <si>
    <t xml:space="preserve">Originally reported on Google Code with ID 2079
When I downloaded some shared decks  a number of new tags appeared on the left side 
This makes sense because these cards use them  However  when I deleted the shared decks 
these tags remained  I tried to remove these tags by highlighting the tag and click
 remove tags  and selecting the tag I wanted to remove  This does not do anything 
I did a test by creating new tags by clicking  add tags   but again I can t remove
the tags by clicking  remove tags   Is this a bug or is there a way to remove those
tags from appearing on the left menu if I no longer use them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pengaterch  on 2014 04 12 19:34:00
</t>
  </si>
  <si>
    <t>ankidroid-Anki-Android-2975</t>
  </si>
  <si>
    <t>Clear Whiteboard is in overflow button</t>
  </si>
  <si>
    <t xml:space="preserve">Originally reported on Google Code with ID 2078
What steps will reproduce the problem 
1  Open a deck
2  Choose Show Whiteboard
3  Clear Whiteboard is in overflow button
What is the expected output  What do you see instead 
In version 2 0 4 Clear Whiteboard is not in overflow button  Clear Whiteboard is in
overflow button  other buttons takes to much space  This happens even when changing
the DPI to a higher one  this issue makes it harder to practice writing in the whiteboard
since it s two button press rather than one from before 
Does it happen again every time you repeat the steps above  Or did it
happen only one time 
Yes
What version of AnkiDroid are you using  (Decks list   menu   About   Look
at the title)
On what version of Android  (Home screen   menu   About phone   Android
version)
V2 2alpha33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keane14  on 2014 04 12 16:27:57
</t>
  </si>
  <si>
    <t>ankidroid-Anki-Android-2972</t>
  </si>
  <si>
    <t>Show answer button too high</t>
  </si>
  <si>
    <t xml:space="preserve">Originally reported on Google Code with ID 2075
What steps will reproduce the problem 
1  Switch off showing the next review times 
2  Review 
What is the expected output  What do you see instead 
The  Show Answer  button has the height of the ease buttons  with  the second line
for the time 
It should be smaller  the size of the one line ease buttons 
Does it happen again every time you repeat the steps above  Or did it
happen only one time 
every time
What version of AnkiDroid are you using  (Decks list   menu   About   Look
at the title)
On what version of Android  (Home screen   menu   About phone   Android
version)
AnkiDroid 2 2beta31
Android 4 3 1 CM 10 2 1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As my phone is rather small  this effect is actually noticeable and wasting space that
is in short supply 
I have made a few screen shots  The red line is at the same height in all four of the
images  The button in the first one should be only as high as those in the second one 
Also  i think the idea behind this line:
https:  github com ankidroid Anki Android blob 807207601c60e8d6b60197844ca688113d79a520 src com ichi2 anki Reviewer java L1751
was to avoid this issue  Either it is not working  or i don t understand the code 
(The second option is quite likely )
Reported by  ospalh  on 2014 04 09 14:44:18
 hr 
   Attachment: too high show answer png br   too high show answer png (https:  storage googleapis com google code attachments ankidroid issue 2075 comment 0 too high show answer png) 
   Attachment: small ease png br   small ease png (https:  storage googleapis com google code attachments ankidroid issue 2075 comment 0 small ease png) 
   Attachment: amybe correct big show answer png br   amybe correct big show answer png (https:  storage googleapis com google code attachments ankidroid issue 2075 comment 0 amybe correct big show answer png) 
   Attachment: big ease png br   big ease png (https:  storage googleapis com google code attachments ankidroid issue 2075 comment 0 big ease png) 
</t>
  </si>
  <si>
    <t>ankidroid-Anki-Android-2970</t>
  </si>
  <si>
    <t>Swap button behavior odd with complex models</t>
  </si>
  <si>
    <t xml:space="preserve">Originally reported on Google Code with ID 2073
What steps will reproduce the problem 
1  Go to the edit card dialog
2  with a model with lots of fields 
3  and hit the  Swap  button (below the field
What is the expected output  What do you see instead 
Not sure what  should  happen with the select this field rings gone 
But it appears that the content of the second field is put into the third field and
the second field cleared  The content of the third field seems to disappear 
Does it happen again every time you repeat the steps above  Or did it
happen only one time 
Every time 
What version of AnkiDroid are you using  (Decks list   menu   About   Look
at the title)
On what version of Android  (Home screen   menu   About phone   Android
version)
AnkiDroid 2 2beta30  CM10 2 1 Android 4 3 1
If it is a crash or  Force close  and you can reproduce it  the following
would help immensely: 1) Install the  SendLog  app  2) Reproduce the crash 
3) Immediately after  launch SendLog  4) Attach the resulting file to this
report  That will make the bug much easier to fix 
It is not 
Please provide any additional information below 
Maybe the swap button should only be shown (or active) for two field models 
Reported by  ospalh  on 2014 04 08 11:10:11
</t>
  </si>
  <si>
    <t>ankidroid-Anki-Android-2967</t>
  </si>
  <si>
    <t>Preview hiding status bar</t>
  </si>
  <si>
    <t xml:space="preserve">Originally reported on Google Code with ID 2070
What steps will reproduce the problem 
1  Click the  Preview  button
What is the expected output  What do you see instead 
The top status bar (with the battery and mail icons  clock  c ) disappear 
They should not 
Does it happen again every time you repeat the steps above  Or did it
happen only one time 
Every time 
What version of AnkiDroid are you using  (Decks list   menu   About   Look
at the title)
On what version of Android  (Home screen   menu   About phone   Android
version)
AnkiDroid 2 1 2 or 2 2alpha26  the same 
Android 4 1 2  Samsung or 4 3 1 CM10 2 1  the same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Is the preview ready for a release version 
Reported by  ospalh  on 2014 04 07 10:11:19
</t>
  </si>
  <si>
    <t>ankidroid-Anki-Android-2966</t>
  </si>
  <si>
    <t>Preview showing only answer</t>
  </si>
  <si>
    <t xml:space="preserve">Originally reported on Google Code with ID 2069
What steps will reproduce the problem 
1  Click the preview button
What is the expected output  What do you see instead 
Looking at the code  the preview should show question and answer 
Instead i see only the answer
Does it happen again every time you repeat the steps above  Or did it
happen only one time 
Every time
What version of AnkiDroid are you using  (Decks list   menu   About   Look
at the title)
On what version of Android  (Home screen   menu   About phone   Android
version)
2 1 2 or 2 2alpha26  the same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I am not sure how you should be able to switch between question and answer anyway 
Is the preview ready for a release version 
Reported by  ospalh  on 2014 04 07 10:01:58
</t>
  </si>
  <si>
    <t>ankidroid-Anki-Android-2964</t>
  </si>
  <si>
    <t>Long tap of deck from home screen selects deck</t>
  </si>
  <si>
    <t xml:space="preserve">Originally reported on Google Code with ID 2067
What steps will reproduce the problem 
1  From deck picker  long tap on a deck 
What is the expected output  What do you see instead 
  The options menu appears (with show subdecks rename delete)  but as soon as the tap
is released  the deck is then selected  showing the study options  and preventing an
option from the context menu from being selected 
  However  the menu is still accessible by clicking the back button to go back to the
deck picker 
  Ideally  the screen would not go to the study options  but instead  stay on the deck
context menu 
Does it happen again every time you repeat the steps above  Or did it
happen only one time 
  Yes  every time 
What version of AnkiDroid are you using  (Decks list   menu   About   Look
at the title)
On what version of Android  (Home screen   menu   About phone   Android
version)
  I experience the error on AnkiDroid 2 1 2 on Android 4 4 2 (Nexus 5)  The problem
continued even after uninstalling reinstalling 
  However  the problem does not occur on AnkiDroid 2 1 2 on Android 4 2 2 or 4 0 4 
If it is a crash or  Force close  and you can reproduce it  the following
would help immensely: 1) Install the  SendLog  app  2) Reproduce the crash 
3) Immediately after  launch SendLog  4) Attach the resulting file to this
report  That will make the bug much easier to fix 
  Not a force close issue
Please provide any additional information below 
  I m guessing that for whatever reason  both mDeckSelHandler and mContextMenuListener
are being called in DeckPicker java 
  Thank you very much for looking into this  and I appreciate all the work that has
gone into this 
Reported by  gef756  on 2014 04 05 03:10:12
</t>
  </si>
  <si>
    <t>ankidroid-Anki-Android-2963</t>
  </si>
  <si>
    <t>Anki won't download deck from server to android phone</t>
  </si>
  <si>
    <t xml:space="preserve">Originally reported on Google Code with ID 2066
What steps will reproduce the problem 
1  Syng
2  Since this is the initial download  I click to overwrite the decks on the phone
(there aren t any)
3  Error pops up saying my SD card is in read only (its not) or there isn t enough
space (it s mostly empty)
What is the expected output  What do you see instead 
I expect to see my decks downloaded and I see nothing instead
Does it happen again every time you repeat the steps above  Or did it
happen only one time 
Yes  it happens every time I try
What version of AnkiDroid are you using  (Decks list   menu   About   Look
at the title)
v2 1 2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Not sure what this is   
Please provide any additional information below 
Reported by  tricia mittra  on 2014 04 04 23:27:54
</t>
  </si>
  <si>
    <t>ankidroid-Anki-Android-2960</t>
  </si>
  <si>
    <t>Statistics</t>
  </si>
  <si>
    <t xml:space="preserve">Originally reported on Google Code with ID 2063
What steps will reproduce the problem 
1  Display statistics 
2   month  and  years  are not fully showed on my nexus 5 (1980 1200)
What is the expected output  What do you see instead 
Does it happen again every time you repeat the steps above  Or did it
happen only one time 
Yes
What version of AnkiDroid are you using  (Decks list   menu   About   Look
at the title)2 2alpha21 but I had this problem with any previous versions I used on
my nexus 5  It was OK on my galaxy y
On what version of Android  (Home screen   menu   About phone   Android
version)4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think it is linked with the screen resolution  
Reported by  pier ducrocq  on 2014 04 04 05:39:41
 hr 
   Attachment: Screenshot 2014 04 04 07 31 45 png br   Screenshot 2014 04 04 07 31 45 png (https:  storage googleapis com google code attachments ankidroid issue 2063 comment 0 Screenshot 2014 04 04 07 31 45 png) 
</t>
  </si>
  <si>
    <t>ankidroid-Anki-Android-2957</t>
  </si>
  <si>
    <t>Sync Windows Anki ⇒ Overwrites Ankidroid Progress</t>
  </si>
  <si>
    <t xml:space="preserve">Originally reported on Google Code with ID 2060
What steps will reproduce the problem 
1 Do daily new cards reviews on Ankidroid 
2 Don t sync windows Anki for a few days 
3 Add modify cards in windows Anki  
4 Sync windows Anki 
5 Sync Ankidroid 
What is the expected output  What do you see instead 
Expected output is that card modifications new cards made on desktop anki will be accepted
by ankidroid without losing ankidroid review new card progress  
Instead  new cards modifications were updated on ankidroid  but all ankidroid progress
was lost at the same time (See image)
Does it happen again every time you repeat the steps above  Or did it
happen only one time 
This has happened a few times 
What version of AnkiDroid are you using  (Decks list   menu   About   Look
at the title)
On what version of Android  (Home screen   menu   About phone   Android
version)
v2 0beta23
android version:2 3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On the enclosed image  you can see the 21 cards(3 days worth  871 891) that were overwritten 
Curiously  the new cards done earlier in the day were not overwritten 
Reported by  VilatanDre  on 2014 04 03 01:27:14
 hr 
   Attachment:  BadAnkiNoCookie jpg (https:  storage googleapis com google code attachments ankidroid issue 2060 comment 0 BadAnkiNoCookie jpg) 
</t>
  </si>
  <si>
    <t>ankidroid-Anki-Android-2955</t>
  </si>
  <si>
    <t>answer very slow to display since ankidroid version 2.1.2</t>
  </si>
  <si>
    <t xml:space="preserve">Originally reported on Google Code with ID 2058
What steps will reproduce the problem 
1  create a card from the image occlusion add in
2  show the card in ankidroid 
3  click  show answer     and wait    very long (up to 30s  it sometimes crashes)
What is the expected output  What do you see instead 
the answer should be displayed right away after having clicked the  show answer  button
Does it happen again every time you repeat the steps above  Or did it
happen only one time 
it happens again every time for the cards created with Image Occlusion
What version of AnkiDroid are you using  (Decks list   menu   About   Look
at the title) 2 1 2
On what version of Android  (Home screen   menu   About phone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it didn t happen in the previous version
Reported by  romain butez  on 2014 04 02 14:30:10
</t>
  </si>
  <si>
    <t>ankidroid-Anki-Android-2953</t>
  </si>
  <si>
    <t>Can't add card from "saved data" intent on alpha15</t>
  </si>
  <si>
    <t xml:space="preserve">Originally reported on Google Code with ID 2056
Make sure add from dictionary enabled in prefs
Share colordict history with AnkiDroid
Add Note
Select from saved data
Crashes
http:  ankidroid triage appspot com view crash crash id 4580123663663104
Reported by  perceptualchaos2  on 2014 04 02 02:39:33
</t>
  </si>
  <si>
    <t>ankidroid-Anki-Android-2949</t>
  </si>
  <si>
    <t>New Update make the reviewing time very slow</t>
  </si>
  <si>
    <t xml:space="preserve">Originally reported on Google Code with ID 2052
What steps will reproduce the problem 
1  When reviewing and after I push the Show Answer button  the review time is very
slow (around 10 to 30 seconds)
2 
3 
What is the expected output  What do you see instead 
In previous version  the time for showing answer is very smooth (I think it will take
around 1 to 2 seconds)
Does it happen again every time you repeat the steps above  Or did it
happen only one time 
This happens when the answer is long (I am using Anki to study Korean  and I am using
the add on (Add MCD cards) for adding new cards  Normally I use fill in the blanks
type card by Anki  I will first put a whole article copied from the web at the text
box  then the answer on the clozes  and the whole definition and sample sentences example
copied from web were put on the notes box  
What version of AnkiDroid are you using  (Decks list   menu   About   Look
at the title) 2 1 1   2 1 2 (updated just a few days ago)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andy howai com  on 2014 03 31 11:14:24
</t>
  </si>
  <si>
    <t>ankidroid-Anki-Android-2948</t>
  </si>
  <si>
    <t>Note Deck name do not automatically select the current deck after temp change</t>
  </si>
  <si>
    <t xml:space="preserve">Originally reported on Google Code with ID 2051
What steps will reproduce the problem 
1 I m working in a specific deck (ex: Deck N1) and suddenly want to add a note but
for another deck  I change the Note Deck field name to Deck N2 and add my word 
2  Once I added my word  the Note Deck Field is still on Deck N2
What is the expected output  What do you see instead 
As I m still working  under  the deck N1  I expect the Note Deck Field to automatically
select again what should be the default Deck Name (ie   the current Deck Name)  Instead 
after adding my word using a different Deck Name  The field for the next new note still
use this Deck Name  But 99  chances that the next word will be added under the Current
Deck Name 
This was working well in the previous version 
Does it happen again every time you repeat the steps above  Or did it
happen only one time 
Yes  everytime 
What version of AnkiDroid are you using  (Decks list   menu   About   Look
at the title) V 2 1 1
On what version of Android  (Home screen   menu   About phone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victor bonhomme  on 2014 03 31 06:25:01
</t>
  </si>
  <si>
    <t>ankidroid-Anki-Android-2946</t>
  </si>
  <si>
    <t>Cards are added to the wrong deck</t>
  </si>
  <si>
    <t xml:space="preserve">Originally reported on Google Code with ID 2049
What steps will reproduce the problem 
1  Sometimes  for some decks  when creating a new card  the card is added to a different 
apparently default deck  It s a very easy problem to encounter 
The error was introduced by txn iss1400 deck selection card editor  written by myself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polecito em  on 2014 03 30 14:58:02
</t>
  </si>
  <si>
    <t>ankidroid-Anki-Android-2942</t>
  </si>
  <si>
    <t>"Init TTS" prevents Ankidroid from loading decks</t>
  </si>
  <si>
    <t xml:space="preserve">Originally reported on Google Code with ID 2045
What steps will reproduce the problem 
1  Start Ankidroid
2  Chose a deck
What is the expected output  What do you see instead 
Instead of showing the card  Ankidroid shows a message:  Init TTS   The message doesn t
disappear  Pressing the  back  Button makes the message disappear and shows an empty
card  
Does it happen again every time you repeat the steps above  Or did it
happen only one time 
It happens on every deck  always 
What version of AnkiDroid are you using  (Decks list   menu   About   Look
at the title)
On what version of Android  (Home screen   menu   About phone   Android
version)
AnkiDroid v 2 1 1
Android 4 3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Before I updated to this version  TTS worked only sometimes  but cards and decks were
shown without problems 
Reported by  adobubad  on 2014 03 28 10:50:26
</t>
  </si>
  <si>
    <t>ankidroid-Anki-Android-2933</t>
  </si>
  <si>
    <t>Stubborn card doesn't move to the newly assigned deck</t>
  </si>
  <si>
    <t xml:space="preserve">Originally reported on Google Code with ID 2036
What steps will reproduce the problem 
1  Edit a card in a particular deck
2  Change that card s deck
3  The card doesn t move to the newly assigned deck
What is the expected output  What do you see instead 
It should move to the newly assigned deck 
Does it happen again every time you repeat the steps above  Or did it
happen only one time 
What version of AnkiDroid are you using  (Decks list   menu   About   Look
at the title)
2 0 4
On what version of Android  (Home screen   menu   About phone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copied the collection and archived it if you need to see the collection with the
problem 
Reported by  greg ihnen me  on 2014 03 23 01:40:20
</t>
  </si>
  <si>
    <t>ankidroid-Anki-Android-2932</t>
  </si>
  <si>
    <t>Forgetful clipboard during copy and paste</t>
  </si>
  <si>
    <t xml:space="preserve">Originally reported on Google Code with ID 2035
What steps will reproduce the problem 
1  Copy some data from one card
2  Make a new card 
3  Attempt to paste the copied data  it s no longer available
What is the expected output  What do you see instead 
It would be nice if the clipboard data was retained long enough to be useful within
the app 
Does it happen again every time you repeat the steps above  Or did it
happen only one time 
Every time
What version of AnkiDroid are you using  (Decks list   menu   About   Look
at the title)
2 0 4
On what version of Android  (Home screen   menu   About phone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greg ihnen me  on 2014 03 23 01:37:03
</t>
  </si>
  <si>
    <t>ankidroid-Anki-Android-2925</t>
  </si>
  <si>
    <t>Crash related to mounting/unmounting</t>
  </si>
  <si>
    <t xml:space="preserve">Originally reported on Google Code with ID 2028
I ve been mounting and unmounting my Archos 28 (connected via USB to a computer) while
AnkiDroid 2 1beta8 is running  in order to take and upload screenshots to this issue
tracker  and sometimes when I unmount and come back to AnkiDroid  it crashes  Signature:
java lang RuntimeException: Error receiving broadcast Intent   act com ichi2 anki action MEDIA MOUNT
  in com ichi2 anki StudyOptionsActivity 2  at android app ActivityThread PackageInfo ReceiverDispatcher Args run(ActivityThread java:905)
at com ichi2 anki StudyOptionsActivity 2 onReceive(StudyOptionsActivity java:303)
from http:  ankidroid triage appspot com view bug bug id 5162280241070080
Archos 28 firmware 2 4 83 (Android 2 2 1)
Reported by  mike mikemorr com  on 2014 03 19 10:02:09
</t>
  </si>
  <si>
    <t>ankidroid-Anki-Android-2921</t>
  </si>
  <si>
    <t>Deleting cram/filter decks without reviewing cards seems to instigate changes although no cards seen</t>
  </si>
  <si>
    <t xml:space="preserve">Originally reported on Google Code with ID 2024
What steps will reproduce the problem 
The following steps likely require a source deck with certain properties  namely a
fair amount of new along with some due for review cards 
1  Create a filter deck from some deck  using default values  You want the resulting
cram deck to either be all review cards  or at least have some review and some new 
2  Without reviewing a single card  go delete the cram deck (which may crash due to
issue 2009  which has been addressed and will not be the cause of this issue)
3  Repeat steps 1 and 2 until eventually you have only new cards in the cram deck 
What is the expected output  What do you see instead 
I would expect the exact same deck to be generated each time  with no changes  Instead 
it is either handing me new cards (I don t know)  or upon deleting the cram filter
deck it is changing the scheduling or some other property of the cards such that they
appear new rather than as reviews  Perhaps  it marks cards as  seen   such that the
default critera of oldest not seen is selecting a new set of cards  but  the cards
have not actually been seen  So this would not be a proper result 
Does it happen again every time you repeat the steps above  Or did it
happen only one time 
I don t know and haven t tried 
What version of AnkiDroid are you using  (Decks list   menu   About   Look
at the title)
I was on a dev version  after the v2 1beta6 bump  specifically at commit 482ee8fb7afbbc   
in git 
On what version of Android  (Home screen   menu   About phone   Android
version)
4 1 2
Please provide any additional information below 
Reported by  chajadan  on 2014 03 17 12:15:14
</t>
  </si>
  <si>
    <t>ankidroid-Anki-Android-2919</t>
  </si>
  <si>
    <t xml:space="preserve">Sync log error </t>
  </si>
  <si>
    <t xml:space="preserve">Originally reported on Google Code with ID 2022
What steps will reproduce the problem 
1  Open AnkiDroid
2  Press on the Sync button
3 
What is the expected output  What do you see instead 
The sync (in this case  download of data from Anki computer) process doesn t complete
  it starts up and stays on 
 Preparing syncing    Up:0 kb  Down: 0kb  for quite a while ( 30 seconds)
before a 
 Sync log: An error has occurred  Please try again later   message appears 
Does it happen again every time you repeat the steps above  Or did it
happen only one time 
Yes  every time 
What version of AnkiDroid are you using  (Decks list   menu   About   Look
at the title)
On what version of Android  (Home screen   menu   About phone   Android
version)
AnkiDroid   version 2 0 4
Android   version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ve only been using AnkiDroid for a week (but the computer Anki for a year or so) 
synced  70mb over from the computer the first time and uploaded a few times from the
phone without any problems  Made a new deck and 70 or so cards today and wanted to
sync them on to the phone 
I thought the problem might be caused by a lack of storage space or by a poor connection 
so I deleted 1gb or so of media  and went into a good coverage spot  but no luck  so
it seems these aren t the problems 
Thank you for any forthcoming help 
Reported by  mat menetrey  on 2014 03 16 09:44:21
</t>
  </si>
  <si>
    <t>ankidroid-Anki-Android-2917</t>
  </si>
  <si>
    <t xml:space="preserve">"Select Text" menu item broken on Android 4.1 + </t>
  </si>
  <si>
    <t xml:space="preserve">Originally reported on Google Code with ID 2016
What steps will reproduce the problem 
1  Enable dictionary lookup
2  In the reviewer tap the menu entry  select text 
What is the expected output  What do you see instead 
Expect text to be selected and copied to clipboard  but nothing happens 
Does it happen again every time you repeat the steps above  Or did it
happen only one time 
Every time
What version of AnkiDroid are you using  (Decks list   menu   About   Look
at the title)
On what version of Android  (Home screen   menu   About phone   Android
version)
2 1 beta 6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The method selectAndCopyText() from Reviewer java is broken in Jelly Bean    I don t
know how to fix it  and couldn t find anything on the net except for this (http:  stackoverflow com questions 7581131 how to enable the default highlight menus in android webview)
But do we really need to have a menu item for this  Does long tapping on the text and
selecting copy work on all Android versions  If so  instead of having that menu entry
double as  select text   lookup in x dictionary    we could just remove the select
text functionality entirely 
Reported by  perceptualchaos2  on 2014 03 11 04:40:52
</t>
  </si>
  <si>
    <t>ankidroid-Anki-Android-2915</t>
  </si>
  <si>
    <t>Ankidroid 2.0.4 sometimes crashes while syncing then all decks are lost</t>
  </si>
  <si>
    <t xml:space="preserve">Originally reported on Google Code with ID 2014
What steps will reproduce the problem 
1  Syncing sometimes causes it  if I haven t exited the program before (just minimise
it) and try to sync sometimes that causes it
2  It will randomly crash and after that sometimes that causes it
3 
What is the expected output  What do you see instead 
I expect it to sync properly but it crashes then when I open it again it has a message
saying there is a major update to anki which I need to install even though I have the
latest version already  I tried everything like not choosing not to upgrade trying
to go back to the old deck  trying to install back ups (it says they are not valid
apk files) then I always end up with no decks left and I have to sync with the deck
online and so lose my progress 
Or sometimes I just open it and the same message is displayed (I think that may be
after crashing but I don t remember as the last one was a couple of weeks ago)
Does it happen again every time you repeat the steps above  Or did it
happen only one time 
It happens sometimes 
What version of AnkiDroid are you using  (Decks list   menu   About   Look
at the title) v2 0 4
On what version of Android  (Home screen   menu   About phone   Android
version) 2 3 5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now have send log so I ll send it the next time it happens
Reported by  maxpower440 hotmail co uk  on 2014 03 07 06:22:32
</t>
  </si>
  <si>
    <t>ankidroid-Anki-Android-2911</t>
  </si>
  <si>
    <t>Cannot sync from China</t>
  </si>
  <si>
    <t xml:space="preserve">Originally reported on Google Code with ID 2010
What steps will reproduce the problem 
    1  Click the sync button
What is the expected output  What do you see instead 
    Error message:  An error has occurred   Please try again later  
Does it happen again every time you repeat the steps above  Or did it
happen only one time 
    Every time for the last two weeks
What version of AnkiDroid are you using  (Decks list   menu   About   Look
at the title)
    AnkiDroid v2 0 4
On what version of Android  (Home screen   menu   About phone   Android
version)
    Android 4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My desktop is also not able to sync   It seems I can get around the problem on
my desktop by using VPN software   However  on my mobile  I have no such VPN software
installed   I understand that certain websites are blocked in China  but Ankiweb  
 Am I the only person living in China who has reported this problem 
Thanks a mil 
  Daniel
Reported by  languagedan  on 2014 03 03 11:53:36
</t>
  </si>
  <si>
    <t>ankidroid-Anki-Android-2910</t>
  </si>
  <si>
    <t>Crash when deleting empty filtered deck</t>
  </si>
  <si>
    <t xml:space="preserve">Originally reported on Google Code with ID 2009
What steps will reproduce the problem 
1  Create a filtered deck
2  Try to delete it
3 
What is the expected output  What do you see instead 
Works for a long time  deletes the filtered deck  but then crashes with out of memory
error
Does it happen again every time you repeat the steps above  Or did it
happen only one time 
Every time
What version of AnkiDroid are you using  (Decks list   menu   About   Look
at the title)
2 1beta4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http:  ankidroid triage appspot com view crash crash id 5127060167065600
Please provide any additional information below 
Possibly a problem with Android 4 x as there are 100 crashes with this signature  all
of which are Android 4 0 
Reported by  perceptualchaos2  on 2014 03 03 08:03:10
</t>
  </si>
  <si>
    <t>ankidroid-Anki-Android-2909</t>
  </si>
  <si>
    <t>Anki starts to crash everytime</t>
  </si>
  <si>
    <t xml:space="preserve">Originally reported on Google Code with ID 2008
Related to bug:
http:  ankidroid triage appspot com view bug bug id 6671461687230464
Anki suddenly started to crash after I tried to review a deck  After some time  it
started to crash when I tried to access any option (preferences  open a deck  etc   )
Removed and installed Anki 2 0 4 
Reported by  renato g amici  on 2014 03 03 05:37:32
</t>
  </si>
  <si>
    <t>ankidroid-Anki-Android-2907</t>
  </si>
  <si>
    <t>Change deck in note editor doesn't remove from filtered deck (JSONException: No value for separate at com.ichi2.libanki.Sched._newConf)</t>
  </si>
  <si>
    <t xml:space="preserve">Originally reported on Google Code with ID 2006
What steps will reproduce the problem 
1  Review for some time
2 
3 
What is the expected output  What do you see instead 
Database error is shown
Does it happen again every time you repeat the steps above  Or did it
happen only one time 
Every time
What version of AnkiDroid are you using  (Decks list   menu   About   Look
at the title)
On what version of Android  (Home screen   menu   About phone   Android
version)
2 1 beta 4
If it is a crash or  Force close  and you can reproduce it  the following
would help immensely: 1) Install the  SendLog  app  2) Reproduce the crash 
3) Immediately after  launch SendLog  4) Attach the resulting file to this
report  That will make the bug much easier to fix 
http:  ankidroid triage appspot com view crash crash id 6157182303207424
Please provide any additional information below 
Reported by  perceptualchaos2  on 2014 03 03 04:51:29
</t>
  </si>
  <si>
    <t>ankidroid-Anki-Android-2906</t>
  </si>
  <si>
    <t>JSONException: No value for replayq</t>
  </si>
  <si>
    <t xml:space="preserve">Originally reported on Google Code with ID 2005
1  Install 2 1beta3 or 2 1beta4
2  Review any card (even most basic front back model  with no sound)
3  Press  Show answer 
4  Crash:
E AndroidRuntime(13641): java lang RuntimeException: org json JSONException: No value
for replayq
E AndroidRuntime(13641):    at com ichi2 anki Reviewer playSounds(Reviewer java:2692)
E AndroidRuntime(13641):    at com ichi2 anki Reviewer updateCard(Reviewer java:2646)
E AndroidRuntime(13641):    at com ichi2 anki Reviewer displayCardAnswer(Reviewer java:2552)
E AndroidRuntime(13641):    at com ichi2 anki Reviewer access 1300(Reviewer java:135)
E AndroidRuntime(13641):    at com ichi2 anki Reviewer 6 onClick(Reviewer java:516)
E AndroidRuntime(13641):    at android view View performClick(View java:4100)
E AndroidRuntime(13641):    at android view View PerformClick run(View java:17021)
E AndroidRuntime(13641):    at android os Handler handleCallback(Handler java:615)
E AndroidRuntime(13641):    at android os Handler dispatchMessage(Handler java:92)
E AndroidRuntime(13641):    at android os Looper loop(Looper java:137)
E AndroidRuntime(13641):    at android app ActivityThread main(ActivityThread java:4784)
E AndroidRuntime(13641):    at java lang reflect Method invokeNative(Native Method)
E AndroidRuntime(13641):    at java lang reflect Method invoke(Method java:511)
E AndroidRuntime(13641):    at com android internal os ZygoteInit MethodAndArgsCaller run(ZygoteInit java:776)
E AndroidRuntime(13641):    at com android internal os ZygoteInit main(ZygoteInit java:543)
E AndroidRuntime(13641):    at dalvik system NativeStart main(Native Method)
E AndroidRuntime(13641): Caused by: org json JSONException: No value for replayq
E AndroidRuntime(13641):    at org json JSONObject get(JSONObject java:354)
E AndroidRuntime(13641):    at org json JSONObject getBoolean(JSONObject java:375)
E AndroidRuntime(13641):    at com ichi2 anki Reviewer playSounds(Reviewer java:2677)
E AndroidRuntime(13641):        15 more
W ActivityManager(  341):   Force finishing activity com ichi2 anki  Reviewer
It started happening suddenly  2 1beta3 was working normally until it started crashing
this way  Now it crashes on any card  I did not review any card with sounds  the whole
time 
Triage: http:  ankidroid triage appspot com view bug bug id 5244280561991680
Reported by  nicolas raoul  on 2014 03 02 03:57:21
</t>
  </si>
  <si>
    <t>ankidroid-Anki-Android-2903</t>
  </si>
  <si>
    <t>font selecting problem</t>
  </si>
  <si>
    <t xml:space="preserve">Originally reported on Google Code with ID 2002
What steps will reproduce the problem 
1 select any font in font selection menu
2 Anki remember font  but not use it  and write in status  This font dont exist 
3 in cards editor font changing working
What is the expected output  What do you see instead 
I need it very much for tibetan cards  Please help  I cant see tibetan characters when
learning cards  but can see in card editor (because can change font)
Does it happen again every time you repeat the steps above  Or did it
happen only one time 
What version of AnkiDroid are you using  (Decks list   menu   About   Look
at the title)
On what version of Android  (Home screen   menu   About phone   Android
version)
Last ankkidroid on android  but all previous had same problem  Device sgs4 (android
4 2 2) and nexus 7 2 (android 4 4 1) same problem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spygates  on 2014 02 23 04:45:01
</t>
  </si>
  <si>
    <t>ankidroid-Anki-Android-2902</t>
  </si>
  <si>
    <t>Anki skips to next card without user direction</t>
  </si>
  <si>
    <t xml:space="preserve">Originally reported on Google Code with ID 2001
What steps will reproduce the problem 
(unfortunately  this is hard to reproduce  Something odd must be going on in the background)
1  Turn off  automatically display answer 
2  Open a deck
3  Wait an unspecified length of time (sometime 5min  sometimes 30 seconds  sometimes
never happens )  and Anki will skip from Card1 to Card2  
What is the expected output  What do you see instead 
  This occurs regardless of whether you are on the front or the back of Card1  It also
occurs regardless of whether the phone is active or asleep 
Does it happen again every time you repeat the steps above  Or did it
happen only one time 
 This has happened to me over 100 times  However  I still cannot consistently reproduce
it  I am at a loss
What version of AnkiDroid are you using  (Decks list   menu   About   Look
at the title)
   v  2 0 4
On what version of Android  (Home screen   menu   About phone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m very willing to help  just let me know what I can do
Reported by  fischerlees  on 2014 02 22 22:34:55
</t>
  </si>
  <si>
    <t>ankidroid-Anki-Android-2901</t>
  </si>
  <si>
    <t>the answer is not listening properly</t>
  </si>
  <si>
    <t xml:space="preserve">Originally reported on Google Code with ID 2000
What steps will reproduce the problem 
1 I write the solution 
2 I click in  Mostrar respuesta 
3 I should listen to the solution
What is the expected output 
  I think I hear:
         Anverso  
        br 
         type:Reverso  
  and then:
        What s your job 
What do you see instead 
  What s your job 
Does it happen again every time you repeat the steps above  Or did it
happen only one time 
it happens always
What version of AnkiDroid are you using  (Decks list   menu   About   Look
at the title) AnkiDroid v2 0 4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attach as cards are configured
Reported by  AlfonsoGB  on 2014 02 19 15:54:27
 hr 
   Attachment: Pantallazo png br   Pantallazo png (https:  storage googleapis com google code attachments ankidroid issue 2000 comment 0 Pantallazo png) 
</t>
  </si>
  <si>
    <t>ankidroid-Anki-Android-2896</t>
  </si>
  <si>
    <t>Some cards are displayed without text, only with the soundfile</t>
  </si>
  <si>
    <t xml:space="preserve">Originally reported on Google Code with ID 1995
What steps will reproduce the problem 
1 Normal reviewing
2 
3 
What is the expected output  What do you see instead 
I expect the card to show up normally   A text  with one cloze marked out in blue 
When i click the answer button i am suppose to get the answer to the cloze as well
as a soundfile played 
What i get is an empty sceen as if the card had no text in it   when i click the answer
button  i still get no text  but  the sound is still played 
Does it happen again every time you repeat the steps above  Or did it
happen only one time 
This is not completely consistent  A card can start doing this after having worked
perfectly fine for a while  and without me modyfing anything  I usually supend the
cards when this happen  Only solution seems to be to delete the card and start anew 
What version of AnkiDroid are you using  (Decks list   menu   About   Look
at the title)
2 02
On what version of Android  (Home screen   menu   About phone   Android
version)
4 04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TDALSGAARDCLAUSEN  on 2014 02 15 20:06:34
</t>
  </si>
  <si>
    <t>ankidroid-Anki-Android-2895</t>
  </si>
  <si>
    <t>Statistics have been wacky for 6 months</t>
  </si>
  <si>
    <t xml:space="preserve">Originally reported on Google Code with ID 1994
What steps will reproduce the problem 
1 
2 
3 
See the attatched file 
My statistics have been messed up during the last 6 months   What i am thinking is
that this is exacly the time when ankidroid 2 was released 
Scroll down to see  anmeldelsestid  which is the acumulated time of reviews since i
started using anki two years ago  Some results come up negative and are useless   
you kan see it reflected on the graph  when the light green line dumps 
I wish i were able to use my statistics from the whole period  but i fear that it might
be corrupted and the the correct number at some point was erased from the database 
Which other info s could be helpful 
  Thomas
What is the expected output  What do you see instead 
Does it happen again every time you repeat the steps above  Or did it
happen only one time 
What version of AnkiDroid are you using  (Decks list   menu   About   Look
at the title) 2 04
On what version of Android  (Home screen   menu   About phone   Android
version) 4 04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TDALSGAARDCLAUSEN  on 2014 02 15 19:54:33
 hr 
   Attachment: anki statistik 2014 02 15 20 43 46 png br   anki statistik 2014 02 15 20 43 46 png (https:  storage googleapis com google code attachments ankidroid issue 1994 comment 0 anki statistik 2014 02 15 20 43 46 png) 
</t>
  </si>
  <si>
    <t>ankidroid-Anki-Android-2884</t>
  </si>
  <si>
    <t>Large decks with hyperlinks crash on "Import of cards"</t>
  </si>
  <si>
    <t xml:space="preserve">Originally reported on Google Code with ID 1983
What steps will reproduce the problem 
1  Make a large deck  i e  1000  cards in the deck
2  Put a hyperlink on the back of each card  i e   a custom link that leads to direct
look up of the word in an online dictionary
3  Export this deck from your Anki desktop  copy apkg to phone s Ankidroid folder 
and import
4  Import stops at or during  Import of cards 
I m not sure if it is the hyperlinks causing this  or if Ankidroid has a limit placed
on the total number of cards decks on the phone  If the latter  what is the limit 
What is the expected output  What do you see instead 
Successful import of cards  Instead I get crashing during  Import of cards  
Does it happen again every time you repeat the steps above  Or did it
happen only one time 
90  of the time 
What version of AnkiDroid are you using  (Decks list   menu   About   Look
at the title)
The latest: 2 0 3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I tried using SendLog but it stated it had no permission to create logs  I also wasn t
sure which format to choose 
Please provide any additional information below 
These are the two bug reports I found for my phone on your bug report site  The same
errors have been preventing ankidroid studying for the last two months:
http:  ankidroid triage appspot com view bug bug id 2583422
http:  ankidroid triage appspot com view bug bug id 6745576985067520
I would immensely appreciate it if someone could help me get to the bottom of this 
Thank you 
I also previously posted my issue under a similar issue: http:  code google com p ankidroid issues detail id 1694
Not sure if that was the correct way  so am trying this now 
Reported by  to morganlinn  on 2014 02 01 07:19:02
</t>
  </si>
  <si>
    <t>ankidroid-Anki-Android-2883</t>
  </si>
  <si>
    <t>Image Bug</t>
  </si>
  <si>
    <t xml:space="preserve">Originally reported on Google Code with ID 1982
What steps will reproduce the problem 
1 sync
2 
3 
What is the expected output  What do you see instead 
I got a stack of cards with images in it  they are shown on the pc version  but not
on the android mobile version  Media sync is activated  I can only see a little sign
with a question mark in it 
Does it happen again every time you repeat the steps above  Or did it
happen only one time 
problem exists every time
What version of AnkiDroid are you using  (Decks list   menu   About   Look
at the title)
On what version of Android  (Home screen   menu   About phone   Android
version)
mobile: v2 0 3
pc: v2 0 21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d schoepplein  on 2014 01 29 09:27:48
</t>
  </si>
  <si>
    <t>ankidroid-Anki-Android-2878</t>
  </si>
  <si>
    <t>Sync conflict every (other) day and new cards for review reapper after upload all from local</t>
  </si>
  <si>
    <t xml:space="preserve">Originally reported on Google Code with ID 1977
What steps will reproduce the problem 
1  Review all cards (which are for review) from all decks  Sync after each deck is
finished 
2  (Not needed for bug reproduction) When is zero cards for review try to check database 
Db is ok  there are still zero cards for review 
3  Synchronizing: sync conflict  then upload all from local  then new cards for review
reappers 
What is the expected output  What do you see instead 
Expected: No card for review after sync  
See instead: Cards for reviewing  usualy from 3 to 15 cards  Cards which reappers are
from the same note which I reviewed this day (but not the same cars) 
Does it happen again every time you repeat the steps above  Or did it
happen only one time 
It happen every other day or more  but not always 
What version of AnkiDroid are you using  (Decks list   menu   About   Look
at the title)v2 0 3
On what version of Android  (Home screen   menu   About phone   Android
version)4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The problem is hapening after update to new ankidroid version 
Sync conflict happens only when zero cards are for review 
Reported by  petr machek  on 2014 01 26 12:01:06
</t>
  </si>
  <si>
    <t>ankidroid-Anki-Android-2873</t>
  </si>
  <si>
    <t>After edition a card disappear</t>
  </si>
  <si>
    <t xml:space="preserve">Originally reported on Google Code with ID 1971
What steps will reproduce the problem 
1  Edit note
2  Save
3 
What is the expected output  What do you see instead 
I should see actual card (the one I ve just  edited)  instead I see nothing 
Does it happen again every time you repeat the steps above  Or did it
happen only one time 
It happens all the time
What version of AnkiDroid are you using  (Decks list   menu   About   Look
at the title)
On what version of Android  (Home screen   menu   About phone   Android
version)
2 0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jacek rafal szewczyk  on 2014 01 20 15:22:20
 hr 
   Attachment: Screenshot 2014 01 20 15 53 08 586135281 png br   Screenshot 2014 01 20 15 53 08 586135281 png (https:  storage googleapis com google code attachments ankidroid issue 1971 comment 0 Screenshot 2014 01 20 15 53 08 586135281 png) 
</t>
  </si>
  <si>
    <t>ankidroid-Anki-Android-2872</t>
  </si>
  <si>
    <t>Reviewing all decks simultanously - cards come seperately anyway</t>
  </si>
  <si>
    <t xml:space="preserve">Originally reported on Google Code with ID 1970
What steps will reproduce the problem 
1  I m revieing my main deck  languages  which includes  languages::arabic  and  languages::arabic::derja 
2 
3 
What is the expected output  What do you see instead 
I expect the cards to be mixed randomly  sometimes  languages::arabic  and sometimes
 languages::arabic::derja    however  cards are not mixed  I generally review all cards
from  arabic  before getting to review the cards from  arabic::derja    The only exection
is for new cards   When i add new cards to arabic::derja  they are mixed in with arabic
at random 
Does it happen again every time you repeat the steps above  Or did it
happen only one time 
This is consistent
What version of AnkiDroid are you using  (Decks list   menu   About   Look
at the title) (this problem has been consistent as long as i have used ankidroid 2
(currently it s 2 02)
On what version of Android  (Home screen   menu   About phone   Android
version) 4 04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TDALSGAARDCLAUSEN  on 2014 01 20 10:42:22
</t>
  </si>
  <si>
    <t>ankidroid-Anki-Android-2871</t>
  </si>
  <si>
    <t>2.0beta20 crashes on Android 2.2.2</t>
  </si>
  <si>
    <t xml:space="preserve">Originally reported on Google Code with ID 1969
What steps will reproduce the problem 
1  I sync Anki from android phone to web anki
2  It star sync  and program self close
3  I start program again  It show error report window  And close again if I try sync 
Android 2 2 2  HTC
Anki 2 0beta20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huntrees mail ru  on 2014 01 18 18:40:26
</t>
  </si>
  <si>
    <t>ankidroid-Anki-Android-2869</t>
  </si>
  <si>
    <t>Clicking the preference button on a filtered deck with "cards selected by relative overdueness" crashes Anki</t>
  </si>
  <si>
    <t xml:space="preserve">Originally reported on Google Code with ID 1967
I create a filtered deck via the desktop client that uses the relative overdueness option 
If I click on the preference button inside Ankidroid while opening that deck Ankidroid
crashes  
Reported by  christian kleineidam  on 2014 01 15 14:58:46
</t>
  </si>
  <si>
    <t>ankidroid-Anki-Android-2866</t>
  </si>
  <si>
    <t xml:space="preserve">Ankidroid will fore close when I add note from "saved data" </t>
  </si>
  <si>
    <t xml:space="preserve">Originally reported on Google Code with ID 1964
What steps will reproduce the problem 
1 http:  i imgur com 7jhxhYc jpg
  I chooses first item from saved data to my note
2 http:  i imgur com Xe1OZqR jpg
  But after I click the  Add  button  
3 http:  i imgur com ynbaZa7 jpg
  The added item still in saved data list  If I click the list  Ankidroid will fore
close  Like this 
  http:  i imgur com 76Qf2Px jpg
What is the expected output  What do you see instead 
After I click the  add  button  the added Item shouldn t in saved date list 
Does it happen again every time you repeat the steps above  Or did it
happen only one time 
Always fore close if I repeat the step above 
What version of AnkiDroid are you using  (Decks list   menu   About   Look
at the title)
v2 0 3
On what version of Android  (Home screen   menu   About phone   Android
version)
Used in nexus 7(2012) 4 4 2 and SONY xperia SP(4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dog1hungg  on 2014 01 14 02:56:28
</t>
  </si>
  <si>
    <t>ankidroid-Anki-Android-2861</t>
  </si>
  <si>
    <t>AnkiDroid doesn't show the 〜 (Japanese ~) character, messes up furigana</t>
  </si>
  <si>
    <t xml:space="preserve">Originally reported on Google Code with ID 1959
What steps will reproduce the problem 
1  Use this deck https:  ankiweb net shared info 2743658753
2  Open on PC  you will see   character in many cards
3  Open on AnkiDroid  the   character does not display 
What is the expected output  What do you see instead 
Expect to see the   character on the cards that have it  I see a blank space instead 
Does it happen again every time you repeat the steps above  Or did it
happen only one time 
Every time  the   character never displays
What version of AnkiDroid are you using  (Decks list   menu   About   Look
at the title) 2 0 3
On what version of Android  (Home screen   menu   About phone   Android
version) 4 0 3
If it is a crash or  Force close  and you can reproduce it  the following
would help immensely: 1) Install the  SendLog  app  2) Reproduce the crash 
3) Immediately after  launch SendLog  4) Attach the resulting file to this
report  That will make the bug much easier to fix 
Not a crash
Please provide any additional information below 
Reported by  Hamish N Watt  on 2014 01 08 23:52:44
</t>
  </si>
  <si>
    <t>ankidroid-Anki-Android-2860</t>
  </si>
  <si>
    <t>Crashed when compared answer</t>
  </si>
  <si>
    <t xml:space="preserve">Originally reported on Google Code with ID 1958
1  Android 4 3
2  Switch on compare answer
3  Ankidroid 2 02 and 2 03
When compare answer and word program crashed 
It started happen every time since version 2 02 
It work normally in version 2 01 with Android 4 3 
It work normally on another device with Android 4 1 1 with 2 02 and 2 03 
I created log from device when it crash and send it 
Reported by  novolotsky  on 2014 01 08 14:53:35
</t>
  </si>
  <si>
    <t>ankidroid-Anki-Android-2857</t>
  </si>
  <si>
    <t>Force close when pressing "show answer" button while the keyboard is not minimized. Nexus 4 Android 4.3</t>
  </si>
  <si>
    <t xml:space="preserve">Originally reported on Google Code with ID 1955
I am reviewing a deck with japanese kanji  with reverse cards for me to input japanese 
I use a custom font that I bunbled with the deck (ipakaisho ttf) On some cards  after
I type the correct answer in and press  show answer  while the keyboard (i ve tried
google japanese ime  and swiftkey) is not minimized (see the screenshots)  it causes
anki to force close  Now  some cards work okay  but most of them crash 
However  it doesn t just simply close  Some progress seems to just disappear after
the crash  For example  if the crash happened after some  new  cards were being introduced
(new today counter is reduced) and then on some other card the crash happens  the newly
learnt cards are remembered  but the new counter gets reset back to what  new per day 
is set to  Therefore  you have to learn extra cards if the crash happened 
What steps will reproduce the problem 
1 Bring up a deck  start reviewing (create a custom review) 
2 Review until a card with input field will come up
3 Write something in the input field
4 Without closing the keyboard  press  show answer  button
Outputs:
  Expected to see the reverse of the card with the answer being checked 
  Instead  force close screen  application restarts but gets stuck on  opening collection 
screen until back button is pressed 
  This happens every time  however some cards are not affected  I originally though
it might be something to do with missing images in my cards  but it happens even on
the cards with no images 
Anko version:
  v2 0 3
  The problem arose from v 2 0 2
Android version:
  Android 4 3
Please see the crash log and screenshots attached 
Thank you 
Alex
Reported by  alex march dev  on 2014 01 07 18:11:13
 hr 
   Attachment: Screenshot 2014 01 07 17 51 58 png br   Screenshot 2014 01 07 17 51 58 png (https:  storage googleapis com google code attachments ankidroid issue 1955 comment 0 Screenshot 2014 01 07 17 51 58 png) 
   Attachment: Screenshot 2014 01 07 17 52 07 png br   Screenshot 2014 01 07 17 52 07 png (https:  storage googleapis com google code attachments ankidroid issue 1955 comment 0 Screenshot 2014 01 07 17 52 07 png) 
   Attachment: Screenshot 2014 01 07 17 53 53 png br   Screenshot 2014 01 07 17 53 53 png (https:  storage googleapis com google code attachments ankidroid issue 1955 comment 0 Screenshot 2014 01 07 17 53 53 png) 
   Attachment: Screenshot 2014 01 07 17 54 01 png br   Screenshot 2014 01 07 17 54 01 png (https:  storage googleapis com google code attachments ankidroid issue 1955 comment 0 Screenshot 2014 01 07 17 54 01 png) 
   Attachment:  SendLog txt (https:  storage googleapis com google code attachments ankidroid issue 1955 comment 0 SendLog txt) 
</t>
  </si>
  <si>
    <t>ankidroid-Anki-Android-2855</t>
  </si>
  <si>
    <t>the app can't open the database when it starts</t>
  </si>
  <si>
    <t xml:space="preserve">Originally reported on Google Code with ID 1953
What steps will reproduce the problem 
1  starting
2  after I choose the repair of the database option
3 
What is the expected output  What do you see instead 
Does it happen again every time you repeat the steps above  Or did it
happen only one time 
Again and again  but it happens that after a device reboot it started correctly  
What version of AnkiDroid are you using  (Decks list   menu   About   Look
at the title) 2 0 3
On what version of Android  (Home screen   menu   About phone   Android
version) ICS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seusokincs  on 2014 01 06 19:21:35
</t>
  </si>
  <si>
    <t>ankidroid-Anki-Android-2852</t>
  </si>
  <si>
    <t>App does not translate to Spanish or Portuguese</t>
  </si>
  <si>
    <t xml:space="preserve">Originally reported on Google Code with ID 1950
What steps will reproduce the problem 
1  Go to preferences 
2  Choose category  Language  
3  Click Language to select app language and select either flavor of Spanish or either
flavor of Portuguese 
4  Hit the back button until AnkiDroid closes  
5  Restart Anki and notice it is still in English (or system default)
What is the expected output  What do you see instead 
I would expect to see foreign text in most places  and that is what I see for French 
Swedish  Italian  etc 
Does it happen again every time you repeat the steps above  Or did it
happen only one time 
Every time  I do not know how many other languages it may affect besides the 4 options
I named 
What version of AnkiDroid are you using  (Decks list   menu   About   Look
at the title)
On what version of Android  (Home screen   menu   About phone   Android
version)
AnkiDroid v2 0 2 on Android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chajadan  on 2014 01 05 00:51:33
</t>
  </si>
  <si>
    <t>ankidroid-Anki-Android-2850</t>
  </si>
  <si>
    <t>Cards to review changes at random - sync conflict</t>
  </si>
  <si>
    <t xml:space="preserve">Originally reported on Google Code with ID 1948
What steps will reproduce the problem 
1  Reviewing my flashcards on ankidroid   at random  the number of cards left halves
  all  new cards  dissapear 
2  I try to sync to get the  correct  review queue back  and one of two things happen 
1: deck syncs without any change (the faulty queue is unchanged) or 2: anki speaks
of a syncing conflict and asks me to chose between local source or anki web  I choose
local in order to keep the status of the cards i just reviewed  When i sync from local 
the correct review queue reappears  Until the problem repats itself   seamingly without
reason 
3 
What is the expected output  What do you see instead 
I expect the queue to change normally   instead  a significant part of the cards dissapear
at random 
Does it happen again every time you repeat the steps above  Or did it
happen only one time 
It has happened repeatedly  however  when syncing  the problem isn t always resolved
(as descibed above)
What version of AnkiDroid are you using  (Decks list   menu   About   Look
at the title)
2 02 
On what version of Android  (Home screen   menu   About phone   Android
version)
4 04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TDALSGAARDCLAUSEN  on 2014 01 04 17:06:37
</t>
  </si>
  <si>
    <t>ankidroid-Anki-Android-2848</t>
  </si>
  <si>
    <t>Application crashes</t>
  </si>
  <si>
    <t xml:space="preserve">Originally reported on Google Code with ID 1946
What steps will reproduce the problem 
1  Download application
2  Run application 
3  Application crashes
I send crash report to the android google play
What is the expected output  What do you see instead 
Does it happen again every time you repeat the steps above  Or did it
happen only one time 
What version of AnkiDroid are you using  (Decks list   menu   About   Look
at the title)
2 0 2
On what version of Android  (Home screen   menu   About phone   Android
version)
4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serg dpms ru  on 2014 01 04 07:04:59
</t>
  </si>
  <si>
    <t>ankidroid-Anki-Android-2845</t>
  </si>
  <si>
    <t>Anki almost always tries to open collection when supposed to show answer (only type answer decks)</t>
  </si>
  <si>
    <t xml:space="preserve">Originally reported on Google Code with ID 1943
What steps will reproduce the problem 
1  Start reviewing cards which have to type in correct answer 
2  Whether or not I have written anything  after clicking  Show answer  
3  Anki tries to  Open collection  and stays in this state 
What is the expected output  What do you see instead 
It should compare the typed in with the correct answer and show me if mine is right
or wrong  Instead it remains in the state of opening collection for infinite time 
Does it happen again every time you repeat the steps above  Or did it
happen only one time 
Almost every time  But if I didn t type anything and also didn t open the keyboard 
there is a high percentage that this issue doesn t occur 
What version of AnkiDroid are you using  (Decks list   menu   About   Look
at the title)
AnkiDroid v2 0 2
On what version of Android  (Home screen   menu   About phone   Android
version)
Android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oliongte  on 2014 01 02 04:07:05
</t>
  </si>
  <si>
    <t>ankidroid-Anki-Android-2833</t>
  </si>
  <si>
    <t xml:space="preserve">Impossible to review any decks: Anki gets stuck in *opening collection please wait* loop since update 2.0.2 after reviewing only a few cards in any deck </t>
  </si>
  <si>
    <t xml:space="preserve">Originally reported on Google Code with ID 1931
What steps will reproduce the problem 
1  Opening any of my existing decks 
2 
3 
What is the expected output  What do you see instead 
Whenever I do a review  after just a few cards have been done  the 
Does it happen again every time you repeat the steps above  Or did it
happen only one time 
It happens with all my decks  and has essentially made the entire app completely unusable
on my phone  which is my main way of studying  
The decks still open fine and without issue on the PC version  Also syncs still appear
to work  I am just unable to do any reviews  
What version of AnkiDroid are you using  (Decks list   menu   About   Look
at the title)
AnkiDroid 2 0 2
On what version of Android  (Home screen   menu   About phone   Android
version)
Android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am running a Sony Xperia ZL  The program ran with no issues at all prior to the update 
Reported by  Sweekakaju  on 2013 12 22 10:35:00
</t>
  </si>
  <si>
    <t>ankidroid-Anki-Android-2830</t>
  </si>
  <si>
    <t>App hangs during review</t>
  </si>
  <si>
    <t xml:space="preserve">Originally reported on Google Code with ID 1928
What steps will reproduce the problem 
1  Start a review  answer several dozens of cards
2  A blank card appears
3  App is frozen  wait  1 min till it gets killed by an OS 
4  No crash report screen
  Does it happen again every time you repeat the steps above  Or did it
happen only one time 
Every time after the new update (v2 0 2) 
 What version of AnkiDroid are you using  (Decks list   menu   About   Look
at the title)
v2 0 2
On what version of Android  (Home screen   menu   About phone   Android
version)
4 2 1
If it is a crash or  Force close  and you can reproduce it  the following
would help immensely: 1) Install the  SendLog  app  2) Reproduce the crash 
3) Immediately after  launch SendLog  4) Attach the resulting file to this
report  That will make the bug much easier to fix 
Might try it later   but the whole OS becomes unresponsive and sometimes it s faster
for me to reboot 
Reported by  mhulboj  on 2013 12 21 15:55:07
</t>
  </si>
  <si>
    <t>ankidroid-Anki-Android-2827</t>
  </si>
  <si>
    <t>Latest update causing a lot of troubles</t>
  </si>
  <si>
    <t xml:space="preserve">Originally reported on Google Code with ID 1925
What steps will reproduce the problem 
1  Use constantly the app
2  The spp will crash  my phone even resetted twice 
What is the expected output  What do you see instead 
Ankidroid shouldn t crash  even less make my device to reset itself   
Does it happen again every time you repeat the steps above  Or did it
happen only one time 
Happened to me at least 4 times  it seems like some serious memory leak or something 
What version of AnkiDroid are you using  (Decks list   menu   About   Look
at the title)
2 0 2
On what version of Android  (Home screen   menu   About phone   Android
version)
4 2 1
Please provide any additional information below 
I always send my crash logs  and it seems this may be known  but didn t see the issue
listed here (although I may have missed it) 
Can I rollback to the previous version  that one was working fine   
Thank you 
Reported by  neverbirth  on 2013 12 19 15:27:19
</t>
  </si>
  <si>
    <t>ankidroid-Anki-Android-2826</t>
  </si>
  <si>
    <t>reload collection -&gt; onPostExecute causes java.lang.IllegalStateException: Can not perform this action after onSaveInstanceState</t>
  </si>
  <si>
    <t xml:space="preserve">Originally reported on Google Code with ID 1924
I haven t experienced this myself  but there have been several reports over the last
few days on the Google Play Store about constant crashes after reviewing a few cards 
By isolating their devices  I think I have narrowed it down to the following bug on
Triage:
http:  ankidroid triage appspot com report crashes bug id 4821127
java lang IllegalStateException: Can not perform this action after onSaveInstanceState
at android support v4 app FragmentManagerImpl checkStateLoss(FragmentManager java:1314)
at com ichi2 anki StudyOptionsActivity loadContent(StudyOptionsActivity java:96)
Begin Stacktrace
java lang IllegalStateException: Can not perform this action after onSaveInstanceState
at android support v4 app FragmentManagerImpl checkStateLoss(FragmentManager java:1314)
at android support v4 app FragmentManagerImpl enqueueAction(FragmentManager java:1325)
at android support v4 app BackStackRecord commitInternal(BackStackRecord java:548)
at android support v4 app BackStackRecord commit(BackStackRecord java:532)
at com ichi2 anki StudyOptionsActivity loadContent(StudyOptionsActivity java:96)
at com ichi2 anki StudyOptionsActivity loadContent(StudyOptionsActivity java:84)
at com ichi2 anki StudyOptionsFragment 3 onPostExecute(StudyOptionsFragment java:561)
at com ichi2 async DeckTask TaskListener onPostExecute(DeckTask java:1368)
at com ichi2 async DeckTask onPostExecute(DeckTask java:341)
at com ichi2 async DeckTask onPostExecute(DeckTask java:76)
at android os AsyncTask finish(AsyncTask java:631)
at android os AsyncTask access 600(AsyncTask java:177)
at android os AsyncTask InternalHandler handleMessage(AsyncTask java:644)
at android os Handler dispatchMessage(Handler java:99)
at android os Looper loop(Looper java:137)
at android app ActivityThread main(ActivityThread java:4898)
at java lang reflect Method invokeNative(Native Method)
at java lang reflect Method invoke(Method java:511)
at com android internal os ZygoteInit MethodAndArgsCaller run(ZygoteInit java:1008)
at com android internal os ZygoteInit main(ZygoteInit java:775)
at dalvik system NativeStart main(Native Method)
End Stacktrace
Reported by  perceptualchaos2  on 2013 12 19 03:46:49
</t>
  </si>
  <si>
    <t>ankidroid-Anki-Android-2824</t>
  </si>
  <si>
    <t>Images do not resize when zooming</t>
  </si>
  <si>
    <t xml:space="preserve">Originally reported on Google Code with ID 1922
What steps will reproduce the problem 
1  open any card with an image
2  attempt to zoom
3  text gets larger image size is unchanged
What is the expected output  What do you see instead 
Until the latest release it was possible to zoom in and see detail of an image in a
card  Now images are automatically re sized to display the entire image on the screen
no matter how far one tries to zoom in 
Does it happen again every time you repeat the steps above  Or did it
happen only one time 
Yes every time 
What version of AnkiDroid are you using  (Decks list   menu   About   Look
at the title)
2 0 2
On what version of Android  (Home screen   menu   About phone   Android
version)
2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kboice10  on 2013 12 19 00:37:58
</t>
  </si>
  <si>
    <t>ankidroid-Anki-Android-2823</t>
  </si>
  <si>
    <t xml:space="preserve">images do not resize </t>
  </si>
  <si>
    <t xml:space="preserve">Originally reported on Google Code with ID 1921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kboice10  on 2013 12 18 23:53:22
</t>
  </si>
  <si>
    <t>ankidroid-Anki-Android-2822</t>
  </si>
  <si>
    <t>android.database.sqlite.SQLiteException: no such table: col (code 1): , while compiling: SELECT ver FROM col at com.ichi2.anki.AnkiDb.queryScalar(AnkiDb.java:121)</t>
  </si>
  <si>
    <t xml:space="preserve">Originally reported on Google Code with ID 1920
This seems to be happening fairly frequently
Begin Stacktrace
android database sqlite SQLiteException: no such table: col (code 1):   while compiling:
SELECT ver FROM col
at android database sqlite SQLiteConnection nativePrepareStatement(Native Method)
at android database sqlite SQLiteConnection acquirePreparedStatement(SQLiteConnection java:1012)
at android database sqlite SQLiteConnection prepare(SQLiteConnection java:623)
at android database sqlite SQLiteSession prepare(SQLiteSession java:588)
at android database sqlite SQLiteProgram  init (SQLiteProgram java:58)
at android database sqlite SQLiteQuery  init (SQLiteQuery java:37)
at android database sqlite SQLiteDirectCursorDriver query(SQLiteDirectCursorDriver java:44)
at android database sqlite SQLiteDatabase rawQueryWithFactory(SQLiteDatabase java:1314)
at android database sqlite SQLiteDatabase rawQuery(SQLiteDatabase java:1253)
at com ichi2 anki AnkiDb queryScalar(AnkiDb java:121)
at com ichi2 anki AnkiDb queryScalar(AnkiDb java:113)
at com ichi2 libanki Storage  upgradeSchema(Storage java:82)
at com ichi2 libanki Storage Collection(Storage java:58)
at com ichi2 libanki Storage Collection(Storage java:40)
at com ichi2 anki AnkiDroidApp openCollection(AnkiDroidApp java:391)
at com ichi2 async Connection doInBackgroundSync(Connection java:677)
at com ichi2 async Connection doOneInBackground(Connection java:277)
at com ichi2 async Connection doInBackground(Connection java:255)
at com ichi2 async Connection doInBackground(Connection java:84)
at android os AsyncTask 2 call(AsyncTask java:287)
at java util concurrent FutureTask Sync innerRun(FutureTask java:305)
at java util concurrent FutureTask run(FutureTask java:137)
at android os AsyncTask SerialExecutor 1 run(AsyncTask java:230)
at java util concurrent ThreadPoolExecutor runWorker(ThreadPoolExecutor java:1076)
at java util concurrent ThreadPoolExecutor Worker run(ThreadPoolExecutor java:569)
at java lang Thread run(Thread java:856)
End Stacktrace
http:  ankidroid triage appspot com report crashes bug id 6556467024887808
Reported by  perceptualchaos2  on 2013 12 18 05:55:14
</t>
  </si>
  <si>
    <t>ankidroid-Anki-Android-2820</t>
  </si>
  <si>
    <t xml:space="preserve">AnkiDroid fails </t>
  </si>
  <si>
    <t xml:space="preserve">Originally reported on Google Code with ID 1918
What steps will reproduce the problem 
1 Running Ankidroid
2 
3 
What is the expected output  What do you see instead 
Ankidroid is stopped
Does it happen again every time you repeat the steps above  Or did it
happen only one time 
all the time 
What version of AnkiDroid are you using  (Decks list   menu   About   Look
at the title)
AnkiDroid 2 0 2 apk 
On what version of Android  (Home screen   menu   About phone   Android
version)
4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bedrich legner  on 2013 12 17 06:33:19
</t>
  </si>
  <si>
    <t>ankidroid-Anki-Android-2817</t>
  </si>
  <si>
    <t>Default font setting doesn't affect card in review mode. Browser &amp; Editor font (with the same font set) works fine</t>
  </si>
  <si>
    <t xml:space="preserve">Originally reported on Google Code with ID 1915
What steps will reproduce the problem 
It s permanent 
Anki doesn t display the default font correctly  I have the same font set in Browser
  Editor font and in Default font (Preferences    General)  It respects only Browser 
Editor setting  It was ok before the update 
What version of AnkiDroid are you using  (Decks list   menu   About   Look
at the title)
v 2 0 2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jacek rafal szewczyk  on 2013 12 16 13:48:38
</t>
  </si>
  <si>
    <t>ankidroid-Anki-Android-2811</t>
  </si>
  <si>
    <t xml:space="preserve">I can't find my deck!!! </t>
  </si>
  <si>
    <t xml:space="preserve">Originally reported on Google Code with ID 1909
What steps will reproduce the problem 
1  They are just gone
2  I have files on my sd card  but no matter how much i move them around  ankidroid
can t find them    
3  Help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missmunks  on 2013 12 09 08:22:23
</t>
  </si>
  <si>
    <t>ankidroid-Anki-Android-2809</t>
  </si>
  <si>
    <t xml:space="preserve"> Whiteboard causes OutOfMemoryError (Android 4.x)</t>
  </si>
  <si>
    <t xml:space="preserve">Originally reported on Google Code with ID 1907
What steps will reproduce the problem 
I do not know an assured way to reproduce the problem  It happens to me after some
continued practice  (Maybe after half an hour of practicing ) And it started when switching
to Android 4 4 (KitKat):
After some time of practicing the content of the second side of the card does not get
shown  I just get the buttons  Even if I wait some seconds nothing happens anymore 
When I hit the back button  I can go back in the application  But as soon as I try
to get forward again or I reopen the application  I get the message  that the application
crashed  Asking me whether I want to send a bug report  (I confirmed this several times 
by the way  so you should have stack traces )
Problem is there on my new Nexus 5 from the beginning (Android 4 4( 1))  On my Nexus
7 2012 WiFi it started after the upgrade from Android 4 3 to 4 4 
What is the expected output  What do you see instead 
I d expect to just continue practicing  I e  seeing the next card or its backside 
Does it happen again every time you repeat the steps above  Or did it
happen only one time 
It happens again an again  But it is not reproducable  as it does not happen at the
beginning  Just after you continue some practicing 
What version of AnkiDroid are you using  (Decks list   menu   About   Look
at the title)
v2 0 1
On what version of Android  (Home screen   menu   About phone   Android
version)
Android 4 4 and Android 4 4 1
Reported by  m tthias eu  on 2013 12 08 15:48:42
</t>
  </si>
  <si>
    <t>ankidroid-Anki-Android-2807</t>
  </si>
  <si>
    <t>Review time estimation is displayed as being negative</t>
  </si>
  <si>
    <t xml:space="preserve">Originally reported on Google Code with ID 1905
What steps will reproduce the problem 
Since I can t seem to find a way to reset the values  trying to reproduce the error
is out of my reach  but it occurred after having reviews opened and leaving the phone
idle for quite some time 
What is the expected output  What do you see instead 
The expected output is obviously positive and within reasonable reach  what I get instead
are huge negative numbers  pretty much alike to the problems of signed unsigned number
conversion 
Does it happen again every time you repeat the steps above  Or did it
happen only one time 
As stated above  it happened once  but the estimates are staying this way for some
days now  probably because old data needs more time to be discarded  if it is discarded
at all for this purpose 
What version of AnkiDroid are you using  (Decks list   menu   About   Look
at the title)
v2 0 1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Sadly I lack any further information on the issue 
Reported by  sirshadowwolf91  on 2013 12 08 04:26:58
</t>
  </si>
  <si>
    <t>ankidroid-Anki-Android-2800</t>
  </si>
  <si>
    <t>Custom fonts not displayed after upgraded to android 4.4</t>
  </si>
  <si>
    <t xml:space="preserve">Originally reported on Google Code with ID 1898
What steps will reproduce the problem 
1  upgraded to android 4 4
2 
3 
What is the expected output  What do you see instead 
see below
Does it happen again every time you repeat the steps above  Or did it
happen only one time 
see below  I am sorry that I do not have enough time to flash back to android 4 3 and
retest it 
What version of AnkiDroid are you using  (Decks list   menu   About   Look
at the title) v2 0 1
On what version of Android  (Home screen   menu   About phone   Android
version) 4 4 (nexus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The custom font is properly displayed in the PC client  In android 4 2 and 4 3  I put
the custom font file in sdcard Ankidroid font folder and it was displayed properly 
After upgraded to android 4 4  the custom font then cannot be displayed  The problem
still continues after I reinstall Ankidroid
Reported by  witamale1234  on 2013 11 23 15:52:54
</t>
  </si>
  <si>
    <t>ankidroid-Anki-Android-2799</t>
  </si>
  <si>
    <t>If I add a card it creates 2 cards with the same info.</t>
  </si>
  <si>
    <t xml:space="preserve">Originally reported on Google Code with ID 1897
What steps will reproduce the problem 
1  Only one card must be created
2 
3 
What is the expected output  What do you see instead 
One card needs to be created
Does it happen again every time you repeat the steps above  Or did it
happen only one time 
Every time
What version of AnkiDroid are you using  (Decks list   menu   About   Look
at the title)
On what version of Android  (Home screen   menu   About phone   Android
version)
V2 0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rolf jennyinternet co za  on 2013 11 23 07:28:20
</t>
  </si>
  <si>
    <t>ankidroid-Anki-Android-2798</t>
  </si>
  <si>
    <t xml:space="preserve">Can't sync windows nor mobile app.  </t>
  </si>
  <si>
    <t xml:space="preserve">Originally reported on Google Code with ID 1896
What steps will reproduce the problem 
1  Syncing (windows  anki version 2 0 16)
2  Syncing ankidroid (mobile app)
3  Updating anki
What is the expected output  What do you see instead 
I expecto to sync my flashcards 
Instead I see these errors:
La sincronizaci n fall :
Traceback (most recent call last):
  File  C: cygwin home dae win build pyi win32 anki outPYZ1 pyz aqt sync   line 337 
in  sync
  File  C: cygwin home dae win build pyi win32 anki outPYZ1 pyz anki sync   line 110 
in sync
  File  C: cygwin home dae win build pyi win32 anki outPYZ1 pyz anki sync   line 629 
in meta
  File  C: cygwin home dae win build pyi win32 anki outPYZ1 pyz anki sync   line 598 
in req
  File  C: cygwin home dae win build pyi win32 anki outPYZ1 pyz httplib2   line 1597 
in request
  File  C: cygwin home dae win build pyi win32 anki outPYZ1 pyz httplib2   line 1345 
in  request
  File  C: cygwin home dae win build pyi win32 anki outPYZ1 pyz aqt sync   line 455 
in  conn request
  File  C: cygwin home dae win build pyi win32 anki outPYZ1 pyz httplib2   line 1013 
in connect
  File  C: cygwin home dae win build pyi win32 anki outPYZ1 pyz httplib2   line 80 
in  ssl wrap socket
  File  C: cygwin home dae win build pyi win32 anki outPYZ1 pyz ssl   line 381  in
wrap socket
  File  C: cygwin home dae win build pyi win32 anki outPYZ1 pyz ssl   line 143  in
  init  
  File  C: cygwin home dae win build pyi win32 anki outPYZ1 pyz ssl   line 305  in
do handshake
SSLError:  Errno 8   ssl c:504: EOF occurred in violation of protocol
Does it happen again every time you repeat the steps above  Or did it
happen only one time 
Happens always  Since today 
What version of AnkiDroid are you using  (Decks list   menu   About   Look
at the title)
2 0 16
On what version of Android  (Home screen   menu   About phone   Android
version)
v2 0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Gina Del Vecchio  on 2013 11 22 05:22:17
</t>
  </si>
  <si>
    <t>ankidroid-Anki-Android-2797</t>
  </si>
  <si>
    <t>Search field ignores font settings</t>
  </si>
  <si>
    <t xml:space="preserve">Originally reported on Google Code with ID 1895
What steps will reproduce the problem 
1  Setting   view
2  Set don t for card overview
3  Search field ignores it
Or rooted device 
1  use ifont and or font installer to set system font  
2  Go to card overview 
3  Search field ignores it
What is the expected output  What do you see instead 
Search field should react and show Unicode font  But still can t show ancient greek
characters  Only rectangles instead 
Font change works everywhere else  lust  isshown correctly 
Does it happen again every time you repeat the steps above  Or did it
happen only one time 
Everytime
What version of AnkiDroid are you using  (Decks list   menu   About   Look
at the title)
2 0 1
On what version of Android  (Home screen   menu   About phone   Android
version)
4 2 2  device: Samsung galaxy s4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All other field work with new font 
Reported by  m gasperl  on 2013 11 20 08:56:48
</t>
  </si>
  <si>
    <t>ankidroid-Anki-Android-2793</t>
  </si>
  <si>
    <t>card wouldn't change decks</t>
  </si>
  <si>
    <t xml:space="preserve">Originally reported on Google Code with ID 1891
What steps will reproduce the problem 
1 open card
2 change its associated deck
3 save card
4 check deck for card
What is the expeed output  What do you see instead 
Card should change deck
Does it happen again every time you repeat the steps above  Or did it
happen only one time 
this is a very rare occurrence which I have only seen it happen with one card  though
the issue with that card was ongoing  I use Ankidroid extensively every day and I have
been using it for about 6 months  I never saw this issue with any other cards 
What version of AnkiDroid are you using  2 0 2 b6 (Decks list   menu   About   Look
at the title)
On what version of Android  4 3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want to put more of a description so it is clear what happened  I have a temporary
holding deck where I initially put cards when they re first made before they re checked
and finished  Then when I have time I go through those cards and finish them  When
they are finished I sort them into other decks  This is a process I have done about
a thousand times and it normally works without fail but I had one card that was stubborn
and misbehaved  I would open the card in question and change its deck and save the
card and when I looked in temporary holding deck the card was still there  If I opened
up the card it showed the right deck (not the holding deck)  and it also appeared in
the correct deck when I looked into that deck  but it never left the temporarily holding
deck either  If I looked at the list view of the holding deck the card was still there
even if I hit the magnifying glass liking short notion to refresh the view  I finally
processed all of the other cards out of the temporary holding deck and the only hard
that remained was the problematic one  At this point I decided to go ahead and delete
the temporary deck even though it s still held the problematic card  to see what would
happen  Because the problematic card was also appearing in the correct deck I assumed
it may remain there after deleting the holding back  However  after deleting the holding
back the card in question was gone even from the correct deck 
I often use the check database feature just as good preventative maintenance  and I
did it many times while this problem was on going  but it did not fix the issue of
the card which did not want to change it s deck 
normally what would happen is I would finish a card  change its deck  save it which
would return me back to the list view of the temporary holding deck and then I would
hit the magnifying glass sort button to refresh the list view and the card I had just
edited would disappear out of the list of cards in the temporary holding file as it
should  The card in question would not  It would remain in the list view of the holding
deck even though it showed that it did not belong in that deck 
Reported by  greg ihnen me  on 2013 11 19 13:58:37
</t>
  </si>
  <si>
    <t>ankidroid-Anki-Android-2789</t>
  </si>
  <si>
    <t>Doubling of cards created on mobile</t>
  </si>
  <si>
    <t xml:space="preserve">Originally reported on Google Code with ID 1887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blackburnkristian  on 2013 11 13 11:17:01
</t>
  </si>
  <si>
    <t>ankidroid-Anki-Android-2787</t>
  </si>
  <si>
    <t>com.ichi2.libanki.sync.Syncer.mergeNotes  --&gt; ClassCastException: java.lang.Integer cannot be cast to java.lang.Long</t>
  </si>
  <si>
    <t xml:space="preserve">Originally reported on Google Code with ID 1885
What steps will reproduce the problem 
1 start Ankidroid
2 use some other apps
3 
What is the expected output  What do you see instead 
It shouldn t  stop 
Does it happen again every time you repeat the steps above  Or did it
happen only one time 
oh yeah  all the time 
What version of AnkiDroid are you using  (Decks list   menu   About   Look
at the title)
On what version of Android  (Home screen   menu   About phone   Android
version)
2 0 2b6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shidicali5  on 2013 11 11 17:55:30
 hr 
   Attachment:  SendLog 1 txt (https:  storage googleapis com google code attachments ankidroid issue 1885 comment 0 SendLog 1 txt) 
</t>
  </si>
  <si>
    <t>ankidroid-Anki-Android-2786</t>
  </si>
  <si>
    <t>Screen is not switched off in Review Mode - even if it was switched off before it is switched on by a notification</t>
  </si>
  <si>
    <t xml:space="preserve">Originally reported on Google Code with ID 1884
What steps will reproduce the problem 
1  Enable the setting not to switch off the screen when in review mode
2  Start reviewing
3  Switch off display
4  Attach phone to power cord   the screen is automatically switched on and won t be
switched off automatically
What is the expected output  What do you see instead 
If I m not in review mode  the screen is automatically switched off after attaching
to power cord after about 1 minute  In review mode it is never switched off  You can
always see the login screen 
The same happens when I receive a notification e g  because of incoming emails while
I m in review mode and the screen is switched off  Only that it takes a few seconds
until the screen will be switched on after the notification sound 
Does it happen again every time you repeat the steps above  Or did it
happen only one time 
It happens every time
What version of AnkiDroid are you using  (Decks list   menu   About   Look
at the title)
On what version of Android  (Home screen   menu   About phone   Android
version)
AnkiDroid is version 2 0 1
Android is 4 1 2 on Samsung Galaxy S3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This behavior results in excessive battery consumption while the phone is in my pocket 
So it would be nice if you could fix it 
Reported by  freddy chucholowski de  on 2013 11 10 14:23:51
</t>
  </si>
  <si>
    <t>ankidroid-Anki-Android-2784</t>
  </si>
  <si>
    <t>Images no longer display</t>
  </si>
  <si>
    <t xml:space="preserve">Originally reported on Google Code with ID 1882
I often copy snapshots from pdf s into flashcards   Generally  this works pretty well 
 Recently  I have found that many of the flashcards I have made show blue boxes with
a question mark wherever I have pasted a picture   I do not know what determined which
pictures would be lost and which would not   I also have no idea how to recover the
images 
 Jordan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jrodanwood  on 2013 11 08 01:40:05
 hr 
   Attachment: Untitled png br   Untitled png (https:  storage googleapis com google code attachments ankidroid issue 1882 comment 0 Untitled png) 
</t>
  </si>
  <si>
    <t>ankidroid-Anki-Android-2783</t>
  </si>
  <si>
    <t>Text-to-Speech Not Found on Samsung Note 3</t>
  </si>
  <si>
    <t xml:space="preserve">Originally reported on Google Code with ID 1881
What steps will reproduce the problem 
1  Turn on text to speech in preferences
2  Open a deck and chose  start reviewing 
3  Problem occurs
What is the expected output  What do you see instead 
It will do one of two things  Either it will (1) have a pop up with an exclamation
point that says  Text to Speech: No text to speech language available  and continue
to review  or (2) go to a black screen and then after a while say  unfortunately  AnkiDroid
has stopped   If it does option number 2  then going to preference and reseting text to speech
seems to help some  but instead of going to the blank screen and exiting it doesn t
work it just goes to option 1 again   
Does it happen again every time you repeat the steps above  Or did it
happen only one time 
Happens every single time  either (1) or (2)   yet there may have been some kind of
initial problems with the setup because I haven t gotten to work at all yet  It seems
to work fine without text to speech though 
What version of AnkiDroid are you using  (Decks list   menu   About   Look
at the title)
On what version of Android  (Home screen   menu   About phone   Android
version)
2 0 1
If it is a crash or  Force close  and you can reproduce it  the following
would help immensely: 1) Install the  SendLog  app  2) Reproduce the crash 
3) Immediately after  launch SendLog  4) Attach the resulting file to this
report  That will make the bug much easier to fix 
I m not sure if it is   if it goes to option 2 it opens up a problem window and lets
me send a report somewhere  Not sure where it goes but I sent one 
Please provide any additional information below 
I have a Samsung Galaxy Note 3   just got it a few days ago  Has an SD card in it 
I installed the HQ samsung voices  not sure if they have anything to do with it 
Reported by  glokplopit  on 2013 11 06 19:11:22
</t>
  </si>
  <si>
    <t>ankidroid-Anki-Android-2782</t>
  </si>
  <si>
    <t>Doesn't bury sibling cards for next day</t>
  </si>
  <si>
    <t xml:space="preserve">Originally reported on Google Code with ID 1880
What steps will reproduce the problem 
0  Have Anki 2 0 15 or 2 0 16 on your desktop computer that you sync with 
1  Have a deck that includes sibling cards 
2  Set Ankidroid for:  Minimum siblings by up to 10   and  Minimum sibling range: 2
days  
3  Start reviewing 
4  Nevertheless still get sibling cards in the same day 
What is the expected output  What do you see instead 
Expected: sibling cards should be buried til next day 
Actual result: all sibling cards shown in same review session 
Does it happen again every time you repeat the steps above  Or did it
happen only one time 
Every time 
What version of AnkiDroid are you using  (Decks list   menu   About   Look
at the title)
2 0 1 but also same problem with 2 0 2beta6 
When synced with Anki 2 0 15 AND OR 2 0 16 on my computer 
On what version of Android  (Home screen   menu   About phone   Android
version)
2 3 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tiffany f23  on 2013 11 05 18:10:52
</t>
  </si>
  <si>
    <t>ankidroid-Anki-Android-2781</t>
  </si>
  <si>
    <t>Styling differences between desktop and Android</t>
  </si>
  <si>
    <t xml:space="preserve">Originally reported on Google Code with ID 1879
What steps will reproduce the problem 
1  Create new note type with 5 fields: letters  words  shorts  easy  definitions 
2  Create new template  where last 3 fields are displayed conditionally using expressions
(template is attached at the end of this issue report) 
3  Inside each expression add DIV with own styling (see template and styling at the
end) 
4  Create card and fill following fields: letters  words  easy  definitions 
What is the expected output  What do you see instead 
On Android I see DIV between    easy       easy   expression with empty content  On
desktop application  the DIV between expressions is not displayed at all 
Does it happen again every time you repeat the steps above  Or did it
happen only one time 
All the time 
What version of AnkiDroid are you using  (Decks list   menu   About   Look
at the title)
On what version of Android  (Home screen   menu   About phone   Android
version)
AnkiDroid v 2 0 1
Android 4 1 2
If it is a crash or  Force close  and you can reproduce it  the following
would help immensely: 1) Install the  SendLog  app  2) Reproduce the crash 
3) Immediately after  launch SendLog  4) Attach the resulting file to this
report  That will make the bug much easier to fix 
N A
Please provide any additional information below 
Template: 
 div class  back letters    letters    div 
 div class  words    words    div 
   shorts  
 div class  shorts    shorts    div 
   shorts  
   easy  
 div class  easy    easy    div 
   easy  
   definitions  
 div class  definitions    definitions    div 
   definitions  
Styling:
 card  
 font family: arial 
 text align: center 
 background color: white 
 letters   back letters  
 font size: 2em 
 color: black 
 back letters  
 font size: 1em 
 words  
 color: red 
 font size: 2em 
 padding: 0 3em 
 border top: 1px dotted grey 
 shorts  
 font size: 1 4em 
 border top: 1px dotted grey 
 padding: 0 2em 
 definitions  
 font size: 0 7em 
 text align: left 
 padding top: 0 3em 
 border top: 1px dotted grey 
 easy  
 font size 0 5em 
 border top: 1px dotted grey 
Reported by  tomasz suchanek  on 2013 11 04 06:41:46
 hr 
   Attachment: template png br   template png (https:  storage googleapis com google code attachments ankidroid issue 1879 comment 0 template png) 
</t>
  </si>
  <si>
    <t>ankidroid-Anki-Android-2778</t>
  </si>
  <si>
    <t>Cards always added to my first non-default deck</t>
  </si>
  <si>
    <t xml:space="preserve">Originally reported on Google Code with ID 1876
What steps will reproduce the problem 
1  Click   to Add Note
2  Enter front and back info 
3  Change Note deck to something other than first deck created
4  Click Add
5  Discover Note is added to the wrong deck 
What is the expected output  What do you see instead 
Supposed to be added to the deck I chose at the time of creation
Does it happen again every time you repeat the steps above  Or did it
happen only one time 
Yes
What version of AnkiDroid are you using  (Decks list   menu   About   Look
at the title)
On what version of Android  (Home screen   menu   About phone   Android
version)
2 0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robmckeown1965  on 2013 11 01 20:45:10
</t>
  </si>
  <si>
    <t>ankidroid-Anki-Android-2776</t>
  </si>
  <si>
    <t>Crash when trying to open preferences on 2.0.2beta6</t>
  </si>
  <si>
    <t xml:space="preserve">Originally reported on Google Code with ID 1874
What steps will reproduce the problem 
1  Open Ankidroid
2  Press the menu button and select  preferences 
Crashes instead of showing preferences 
100  reproducible 
Ankidroid 2 0 2beta6
Android 4 1 2
Stacktrace:
http:  ankidroid triage appspot com view crash crash id 5517060511629312
Reported by  clancy kieran  on 2013 10 27 11:31:43
</t>
  </si>
  <si>
    <t>ankidroid-Anki-Android-2774</t>
  </si>
  <si>
    <t>Android requires source compatibility set to 5.0 or 6.0. Found '1.7' instead. Please use Android Tools &gt; Fix Project Properties.</t>
  </si>
  <si>
    <t xml:space="preserve">Originally reported on Google Code with ID 1872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sreevachan1708  on 2013 10 25 04:48:04
</t>
  </si>
  <si>
    <t>ankidroid-Anki-Android-2773</t>
  </si>
  <si>
    <t>Crossing over into a new day doesn't offer up any new cards to study</t>
  </si>
  <si>
    <t xml:space="preserve">Originally reported on Google Code with ID 1871
What steps will reproduce the problem 
1  Complete all scheduled cards for the day
2  Leave Ankidroid running  do not exit it
3  When the next day arrives and there are supposed to be cards available  no available
cards are shown
4  No amount of backing up to a higher level screen and re entering the deck screen
will show that there are cards to study
5  Forcing an exiting the program at the OS level  then restarting the app will finally
reveal the new work to do
What is the expected output  What do you see instead 
  I expect that once work is available I will be told there is work to do and I will
be able to do it 
  I instead  I must force a halt of the program and then restart it to check if there
is any new work to do 
Does it happen again every time you repeat the steps above  Or did it
happen only one time 
  Happens every time
What version of AnkiDroid are you using  (Decks list   menu   About   Look
at the title)
On what version of Android  (Home screen   menu   About phone   Android
version)
  Ankidroid 2 0 1
  Android 4 2 2
If it is a crash or  Force close  and you can reproduce it  the following
would help immensely: 1) Install the  SendLog  app  2) Reproduce the crash 
3) Immediately after  launch SendLog  4) Attach the resulting file to this
report  That will make the bug much easier to fix 
  Not a crash
Please provide any additional information below 
  A minor annoyance   Whether is it is big problem is TBD   E g   forcing a halt of
a program could cause it to leave data or metadata in a bad state  later corrupting
or immediately corrupting a database   Only the program architect knows the answer 
 For safety and user s piece of mind  it should be addressed 
Reported by  paul nadj  on 2013 10 25 01:07:55
</t>
  </si>
  <si>
    <t>ankidroid-Anki-Android-2771</t>
  </si>
  <si>
    <t>app crashes when filter screen is rotated</t>
  </si>
  <si>
    <t xml:space="preserve">Originally reported on Google Code with ID 1869
What steps will reproduce the problem 
1 have app showing all decks
2 hit the filter button to show filter screen
3 without dieting c cards rotate the screen
What is the expected output  What do you see instead 
it shouldn t crash
Does it happen again every time you repeat the steps above  Or did it
happen only one time 
every time
What version of AnkiDroid are you using  (Decks list   menu   About   Look
at the title)
On what version of Android  (Home screen   menu   About phone   Android
version)
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greg ihnen me  on 2013 10 23 21:41:11
</t>
  </si>
  <si>
    <t>ankidroid-Anki-Android-2770</t>
  </si>
  <si>
    <t xml:space="preserve">Inaccessible collection path not fail-safe </t>
  </si>
  <si>
    <t xml:space="preserve">Originally reported on Google Code with ID 1868
What steps will reproduce the problem 
1  Use a collection folder on an external SD Card (e g  with an ext4fs  see issue  1158
2  Stop Anki
3  Remove the SD Card
4  Re start Anki
What is the expected output  What do you see instead 
Anki should complain that it can t find the collection 
Instead it crashes  Afais the only way to recover is to delete all app data and set
up all your configuration data  including the sync account again  
Does it happen again every time you repeat the steps above  Or did it
happen only one time 
Every time 
What version of AnkiDroid are you using  (Decks list   menu   About   Look
at the title)
On what version of Android  (Home screen   menu   About phone   Android
version)
2 0 2
Also seen with the 2 1beta
If it is a crash or  Force close  and you can reproduce it  the following
would help immensely: 1) Install the  SendLog  app  2) Reproduce the crash 
3) Immediately after  launch SendLog  4) Attach the resulting file to this
report  That will make the bug much easier to fix 
Reported by  ospalh  on 2013 10 23 11:45:04
</t>
  </si>
  <si>
    <t>ankidroid-Anki-Android-2766</t>
  </si>
  <si>
    <t>Constant Crash on "Start Reviewing"</t>
  </si>
  <si>
    <t xml:space="preserve">Originally reported on Google Code with ID 1864
What steps will reproduce the problem 
1 Open AnkiDroid
2 Select ANY Deck
3 Select  Start Reviewing 
What is the expected output  What do you see instead 
Expected output: Start reviewing normally
What do I see instead: System displays:  Unfortunately  the application AnkiDroid has
crashed  
Does it happen again every time you repeat the steps above  Or did it
happen only one time 
It happens every time  I have tried to sync my deck  it seems to sync normally but
the problem continues  I have tried to uninstall the application and reinstall it 
but the previous decks were automatically found and loaded  and the problem continues 
I have also tried different decks but the problem continues to happen 
What version of AnkiDroid are you using  (Decks list   menu   About   Look
at the title)
v2 0 1
On what version of Android  (Home screen   menu   About phone   Android
version)
4 3
If it is a crash or  Force close  and you can reproduce it  the following
would help immensely: 1) Install the  SendLog  app  2) Reproduce the crash 
3) Immediately after  launch SendLog  4) Attach the resulting file to this
report  That will make the bug much easier to fix 
On Android 4 3 the application SendLog doesn t work  and I can t get the log this way 
Please provide any additional information below 
I manually deleted the AnkiDroid folder under sdcard and reinstalled the app   redownloaded
the deck collection from AnkiWeb but it still didn t work  My phone had 750mb of internal
storage and this shouldn t be an issue
Reported by  JimmyJX51  on 2013 10 15 03:01:57
</t>
  </si>
  <si>
    <t>ankidroid-Anki-Android-2765</t>
  </si>
  <si>
    <t>AnkiDroid crashes when clicking on "Start Reviewing" at any deck.</t>
  </si>
  <si>
    <t xml:space="preserve">Originally reported on Google Code with ID 1863
What steps will reproduce the problem 
1  Open AnkiDriod
2  Select any deck
3  Click Start Reviewing 
What is the expected output  What do you see instead 
Expected: To start reviewing and study the cards of that deck 
Instead I see: An error message pops up and says that  Unfortunately  AnkiDroid has
stopped working   And it crashes 
Does it happen again every time you repeat the steps above  Or did it
happen only one time 
Yes  every time 
What version of AnkiDroid are you using  (Decks list   menu   About   Look
at the title)
AnkiDroid v2 0 1 (latest  released on 9 Oct  2013)
On what version of Android  (Home screen   menu   About phone   Android
version)
Android version 4 3 (Stock)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Application has been reinstalled a couple of times  with no success 
Reported by  gkr android  on 2013 10 14 12:00:11
</t>
  </si>
  <si>
    <t>ankidroid-Anki-Android-2764</t>
  </si>
  <si>
    <t xml:space="preserve">  Unable to see the list of  all cards for a separate deck</t>
  </si>
  <si>
    <t xml:space="preserve">Originally reported on Google Code with ID 1862
I am using Ankidroid with two devices Samsung Galaxy Note 1 and Samsung Galaxy  Tab
2  10 1   At Anki version for Galaxy Note there is an option to see  the list of cards
for any separate deck  but this option isn t available  in Tab  version of Ankidroid 
There is also no option to sort cards in the list of cards using alphabet  what I think
would help to see whether new word is already in the list or not 
What version of AnkiDroid are you using  (Decks list   menu   About   Look
at the title)   2 0 2 beta4
On what version of Android  (Home screen   menu   About phone   Android
version)   4 0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Zoryan71  on 2013 10 13 18:56:48
</t>
  </si>
  <si>
    <t>ankidroid-Anki-Android-2759</t>
  </si>
  <si>
    <t>AnkiDroid doesn't sync all media for cards with cloze-deletions in LaTeX.</t>
  </si>
  <si>
    <t xml:space="preserve">Originally reported on Google Code with ID 1857
What steps will reproduce the problem 
1   On Desktop  create a card with cloze deletion within LaTeX   e g   latex   frac   c1::1      c2::2  
  c3:: pi     c4::i    oint    c5::C     frac   c6::dz      c7::z      latex  
2   Click Unused Media or Check Media from Desktop 
3   Verify that the proper png files are created in the Anki directory on Desktop 
4   Sync on Desktop 
5   Sync on AnkiDroid 
6   Attempt to view the cards on AnkiDroid 
What is the expected output  What do you see instead 
Since Anki on the desktop has created all relevant media  you expect to see the images
rendered properly on AnkiDroid   Instead you see an image not found icon 
Does it happen again every time you repeat the steps above  Or did it
happen only one time 
Every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greg laun  on 2013 10 11 17:56:13
</t>
  </si>
  <si>
    <t>ankidroid-Anki-Android-2755</t>
  </si>
  <si>
    <t>Text center aligned should be left aligned</t>
  </si>
  <si>
    <t xml:space="preserve">Originally reported on Google Code with ID 1853
What steps will reproduce the problem 
1  Review any card
2 
3 
What is the expected output  What do you see instead 
Expect field text to be left aligned as on PC version  All fields are center aligned
so the formatting is really messed up 
Does it happen again every time you repeat the steps above  Or did it
happen only one time 
Every time since I moved to V2 
What version of AnkiDroid are you using  (Decks list   menu   About   Look
at the title)
v2 0 1
On what version of Android  (Home screen   menu   About phone   Android
version)
v4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will barnard3  on 2013 10 09 02:56:49
</t>
  </si>
  <si>
    <t>ankidroid-Anki-Android-2754</t>
  </si>
  <si>
    <t>Search wildcards * and _ do not work with fields - cannot cram with ankidroid</t>
  </si>
  <si>
    <t xml:space="preserve">Originally reported on Google Code with ID 1852
What steps will reproduce the problem 
1  In the search filed enter myfield:text  or myfield:text 
2 
3 
What is the expected output  What do you see instead 
Expect to select cards that match the search but it does not work i e  a card with
myfield set to text1 should be displayed  
No cards are displayed 
This also fails in the create filtered deck so I have to export my deck and go back
to the PC version for cramming 
Does it happen again every time you repeat the steps above  Or did it
happen only one time 
Every time
What version of AnkiDroid are you using  (Decks list   menu   About   Look
at the title)
v2 0 1
On what version of Android  (Home screen   menu   About phone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will barnard3  on 2013 10 09 02:51:37
</t>
  </si>
  <si>
    <t>ankidroid-Anki-Android-2751</t>
  </si>
  <si>
    <t>AnkiDroid crashes every time I tap "Start Reviewing," no matter what deck I try to open.</t>
  </si>
  <si>
    <t xml:space="preserve">Originally reported on Google Code with ID 1849
What steps will reproduce the problem 
1  Select any deck from the main menu screen   To simplify this issue  I only have
two decks that I made myself in August in Anki 2 0 12
2  Select  Start Reviewing    
What is the expected output  What do you see instead 
After I select  Start Reviewing   I expect to see the first card in my deck for that
day   Instead  the screen stays still for a couple seconds  then goes black for a few
seconds   After that I am back in my phone s main menu screen and there is a message
indicating that AnkiDroid has crashed 
Does it happen again every time you repeat the steps above  Or did it
happen only one time 
It happens every time   I used AnkiDroid for about two weeks  starting in August 2013  before
this happened  and it worked great   One day I tried to edit a typo in a card using
the AnkiDroid interface   After that  the program ran but felt unstable for a few minutes 
then this crash happened   Now  as I said above  I can t open any deck without the
program crashing 
What version of AnkiDroid are you using  (Decks list   menu   About   Look
at the title) v2 0 1
On what version of Android  (Home screen   menu   About phone   Android
version)4 0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All decks work just fine when I use Anki on my laptop 
I loved AnkiDroid while it was working and think it is an incredibly useful program 
 If I can be on any use trying to work through this problem  please contact me any
time   
Thank you very much for creating this program  
Reported by  bhardingham  on 2013 10 03 20:52:46
 hr 
   Attachment:  SendLog txt (https:  storage googleapis com google code attachments ankidroid issue 1849 comment 0 SendLog txt) 
</t>
  </si>
  <si>
    <t>ankidroid-Anki-Android-2750</t>
  </si>
  <si>
    <t xml:space="preserve">Sync Failure: SQLiteDatabaseLockedException </t>
  </si>
  <si>
    <t xml:space="preserve">Originally reported on Google Code with ID 1848
http:  ankidroid triage appspot com view bug bug id 4251012
What steps will reproduce the problem 
1 Attempt to sync with ANKI web 
2 Sync will fail with decks differ on ankiweb in such a way that they can t be merged 
3 Choose Upload or Download  (I ve mostly been trying download)
4 Choose overwrite
5 Sync fails with database error   I ve tried all the options (on the non beta version
of the app) and nothing seems to work 
What is the expected output  What do you see instead 
Expected sync from anki web  received failure 
Does it happen again every time you repeat the steps above  Or did it
happen only one time 
Every time 
What version of AnkiDroid are you using  (Decks list   menu   About   Look
at the title)
Ankidroid V2 0 2beta3
(also tried on V2 0 1 before trying the beta  same results )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am going to see if I can reproduce this in the emulator to try to narrow down if
it is an issue with one of my decks  or a device issue with my nook   I ll post back
the results of that 
Reported by  IamPierreMonteux  on 2013 10 02 02:57:17
</t>
  </si>
  <si>
    <t>ankidroid-Anki-Android-2749</t>
  </si>
  <si>
    <t>Apparently 2.0.2 Beta 2 doesn't respect the "default font" setting</t>
  </si>
  <si>
    <t xml:space="preserve">Originally reported on Google Code with ID 1847
What steps will reproduce the problem 
1  Put a font into the  app s folder  fonts  folder
2  Choose the font as the  default font  in the settings
3  Start using the app  apparently the font you chose isn t used 
What is the expected output  What do you see instead 
 The selected font should be used 
Does it happen again every time you repeat the steps above  Or did it
happen only one time 
  Every stinkin time 
What version of AnkiDroid are you using  (Decks list   menu   About   Look
at the title) 2 0 2 Beta 2
On what version of Android  (Home screen   menu   About phone   Android
version)
  2 1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use a unicode font (SIL Charis) and a unicode keyboard to add combining diacritic
characters which appear properly in the unicode font  In 2 0 2 Beta 2 apparently the
 default font  setting isn t respected because when using the app the SIL Charis font
apparently isn t used  because the combining diacritics don t combine 
Reported by  greg ihnen me  on 2013 09 28 22:18:36
</t>
  </si>
  <si>
    <t>ankidroid-Anki-Android-2748</t>
  </si>
  <si>
    <t>nmnmbnkj</t>
  </si>
  <si>
    <t xml:space="preserve">Originally reported on Google Code with ID 1846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sangnguyenhuu SN  on 2013 09 28 15:56:00
</t>
  </si>
  <si>
    <t>ankidroid-Anki-Android-2747</t>
  </si>
  <si>
    <t>Activities restart on rotation in Android 3.2+</t>
  </si>
  <si>
    <t xml:space="preserve">Originally reported on Google Code with ID 1845
What steps will reproduce the problem 
1  Start making a new card  Write some data in the fields 
2  Rotate the device
3  The entered data is lost on rotation  After the rotation the fields are blank 
What is the expected output  What do you see instead 
  The data should survive a rotation  Instead the fields are blank 
Does it happen again every time you repeat the steps above  Or did it
happen only one time 
  Every time 
What version of AnkiDroid are you using  (Decks list   menu   About   Look
at the title)
  2 0 2beta2
On what version of Android  (Home screen   menu   About phone   Android
version)
  2 01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greg ihnen me  on 2013 09 24 22:15:53
</t>
  </si>
  <si>
    <t>ankidroid-Anki-Android-2745</t>
  </si>
  <si>
    <t>the cards i type online are reversed on mobile when synced</t>
  </si>
  <si>
    <t xml:space="preserve">Originally reported on Google Code with ID 1843
What steps will reproduce the problem 
1 create a deck with cards online
2 sync the deck to your mobile anki app
3 try to study the deck the cards will be reversed
What is the expected output  What do you see instead 
i would hope the front of the card online would be the front in the mobile app  i see
just the opposite i see the back instead of the front when synced from online
Does it happen again every time you repeat the steps above  Or did it
happen only one time  happens everytime
What version of AnkiDroid are you using  (Decks list   menu   About   Look
at the title)2 0 12 online
On what version of Android  (Home screen   menu   About phone   Android
version)2 0 1 on mobile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wbfd25  on 2013 09 13 19:41:54
</t>
  </si>
  <si>
    <t>ankidroid-Anki-Android-2742</t>
  </si>
  <si>
    <t>Tapping back while collection is still loading causes crash</t>
  </si>
  <si>
    <t xml:space="preserve">Originally reported on Google Code with ID 1840
On AnkiDroid 2 0 2beta1  tapping the back button while the collection is still loading
(during splash screen) will crash AnkiDroid 
Reported by  Houssam Salem Au  on 2013 09 07 02:56:22
</t>
  </si>
  <si>
    <t>ankidroid-Anki-Android-2740</t>
  </si>
  <si>
    <t>Modifying # new cards for one deck changes # new cards for all decks</t>
  </si>
  <si>
    <t xml:space="preserve">Originally reported on Google Code with ID 1838
What steps will reproduce the problem 
1  Select Deck   Deck Preferences   New Cards
2  Specify   New cards day
3  Observe that all decks share the same   New cards day
What is the expected output  What do you see instead 
I was hoping to have one deck with 15 new cards day and one deck with 25 new cards day 
but it doesn t seem to be possible when they all share the same setting 
Does it happen again every time you repeat the steps above  Or did it
happen only one time 
Continuous 
What version of AnkiDroid are you using  (Decks list   menu   About   Look
at the title)
On what version of Android  (Home screen   menu   About phone   Android
version)
Anki v2 0 1 on Android 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alexisonzen outlook com  on 2013 09 03 20:53:00
</t>
  </si>
  <si>
    <t>ankidroid-Anki-Android-2739</t>
  </si>
  <si>
    <t>Replace Mustache with libanki.template</t>
  </si>
  <si>
    <t xml:space="preserve">Originally reported on Google Code with ID 1837
What steps will reproduce the problem 
1 The first time is random  but after that the same deck will not work until I finish
the deck on my desktop  
2 
3 
What is the expected output  What do you see instead 
Expected output: To see the Question part of the card
Instead: Error saying  Database error  An error occurred while writing to the collection 
This could be related to a corrupt database or to insufficient disc space  If it happens
more often  please try to check the database  repair the collection or restoring it
from a backup  Click on  options  for that  Nevertheless  it could be an AnkiDroid
bug as well  please report the error that we can check this  
Does it happen again every time you repeat the steps above  Or did it
happen only one time 
It seems to happen when I get to a card and then it crashes everytime  until I do some
cards on my desktop and then sync and then it seems to be fine  
What version of AnkiDroid are you using  (Decks list   menu   About   Look
at the title) v2 0 1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kbayanzay  on 2013 09 03 10:27:13
</t>
  </si>
  <si>
    <t>ankidroid-Anki-Android-2736</t>
  </si>
  <si>
    <t>java.lang.NullPointerException at com.ichi2.anki.DeckPicker$5.onPostExecute(DeckPicker.java:622) at com.ichi2.anki.DeckPicker$5.onPostExecute(DeckPicker.java:622)</t>
  </si>
  <si>
    <t xml:space="preserve">Originally reported on Google Code with ID 1834
I think this is happening sometimes when resuming DeckPicker activity in 2 0 2 beta
1
http:  ankidroid triage appspot com view crash crash id 6710323759284224
Reported by  perceptualchaos2  on 2013 08 30 22:38:56
</t>
  </si>
  <si>
    <t>ankidroid-Anki-Android-2734</t>
  </si>
  <si>
    <t>Cards failed shortly before new day will always be marked as leech</t>
  </si>
  <si>
    <t xml:space="preserve">Originally reported on Google Code with ID 1832
What steps will reproduce the problem 
1  Fail card a few minutes before new Anki day begins 
What is the expected output  What do you see instead 
Card is always marked as leech  regardless of its failed count 
Does it happen again every time you repeat the steps above  Or did it
happen only one time 
Happens every time with every card 
What version of AnkiDroid are you using  (Decks list   menu   About   Look
at the title) 2 01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winkler1723  on 2013 08 29 19:05:05
</t>
  </si>
  <si>
    <t>ankidroid-Anki-Android-2733</t>
  </si>
  <si>
    <t>Syncing issues with AnkiDroid</t>
  </si>
  <si>
    <t xml:space="preserve">Originally reported on Google Code with ID 1831
   What steps will reproduce the problem 
The problem is unfortunately intermittent  I d be tempted to blame the AnkiWeb server 
except that Anki for Windows usually can successfully sync when my phone cannot  both
over the same WiFi network  It s actually working at the moment  but has been an intermittent
issue for the last several weeks  
1  Hit Sync on AnkiDroid  especially after doing a few reviews 
2  It will either hang early on in the sync process  at 0K up and 0K down 
3  The usual result is that it will eventually simply give a failure message saying
sync has failed  Alternately  at least once it crept up by a few K  then failed  corrupting
the deck and giving the options of restoring from backup or doing a full sync from
server 
   What is the expected output  What do you see instead 
Expected: successful sync  Encountered: usually sync failure apparently due to timeout 
but once a deck corruption 
   Does it happen again every time you repeat the steps above  Or did it
happen only one time 
It s happened intermittently over the last few weeks 
   What version of AnkiDroid are you using  (Decks list   menu   About   Look
at the title)
2 0 1
   On what version of Android  (Home screen   menu   About phone   Android
version)
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m on a relatively high latency connection to AnkiWeb  having moved a month and a
half ago from the USA to Bangladesh  If my memory serves me correctly  syncing worked
well for about the first month  but began to intermittently flake out in the last couple
of weeks or so  Though it may be entirely unrelated  I ve also been occasionally getting
prompts within AnkiDroid to submit error reports  though I haven t encountered crashes
that I ve been aware of  I m on a Google LG Nexus 4 running Android 4 3 
If there s any information that would be helpful to obtain the next time I see this 
I d love to know what to record  
Reported by  jiwashige  on 2013 08 29 04:21:05
</t>
  </si>
  <si>
    <t>ankidroid-Anki-Android-2726</t>
  </si>
  <si>
    <t>Crash when start review on AnkiDroid</t>
  </si>
  <si>
    <t xml:space="preserve">Originally reported on Google Code with ID 1824
Always that I start review the app crashes  Uninstalled and removed the directory and
with the fresh new version the default card stack also crash when start review 
Reported by  zupo daniel  on 2013 08 10 14:35:22
</t>
  </si>
  <si>
    <t>ankidroid-Anki-Android-2719</t>
  </si>
  <si>
    <t>Ankidroid force closing on Andoid 4.3</t>
  </si>
  <si>
    <t xml:space="preserve">Originally reported on Google Code with ID 1817
What steps will reproduce the problem 
1  Launch Ankidroid
2  Starting a Study Session causes a force close
Does it happen again every time you repeat the steps above  Or did it
happen only one time 
Happens every time  I ve cleared app data  cleared databases  resynced  but it always
crashes  Even crashes with an empty study deck 
What version of AnkiDroid are you using  
I ve tried both the latest 2 0 1 and the latest 2 1 Alpha 
On what version of Android  
4 3 (on Nexus 4  build JSS15J  the latest AOSP build) 
I ve sent the crash logs via the reporting tool 
I haven t seen any further reports due to this  and I imagine this happens a lot during
new Android version releases  but it would be nice if I could continue studying my
flash cards 
Thanks for the great work so far 
Reported by  rochaix  on 2013 08 05 08:30:28
</t>
  </si>
  <si>
    <t>ankidroid-Anki-Android-2718</t>
  </si>
  <si>
    <t>Crash when trying to review a deck on Nook Simple Touch</t>
  </si>
  <si>
    <t xml:space="preserve">Originally reported on Google Code with ID 1816
Whenever I try to review a deck  the screen starts to flicker (sometimes briefly shows
 Opening collection  please wait ) and then it returns back to the deck screen (the
one with the  Start Reviewing  button) 
Does it happen again every time you repeat the steps above  Or did it
happen only one time 
Happened with a few  imported decks of my own  and with the Default deck with 2 cards 
What version of AnkiDroid are you using  (Decks list   menu   About   Look
at the title)
Tried 2 0 1 (currently available at Google Play) and the 2 1 alpha4 version from google
code 
On what version of Android  (Home screen   menu   About phone   Android
version)
Rooted 2 1 on a Nook Simple Touch 
If it is a crash or  Force close  and you can reproduce it  the following
would help immensely: 1) Install the  SendLog  app  2) Reproduce the crash 
3) Immediately after  launch SendLog  4) Attach the resulting file to this
report  That will make the bug much easier to fix 
I was unable to open any deck for reviewing  To isolate the issue  I have restored
the device to the factory state  rooted  installed anki 2 1 alpha4  added 2 cards to
the Default deck  Now the Default deck still won t open  The same thing happens when
I import my personal decks   none of them will open for reviewing 
I have an SD card  also tried to force anki to use internal memory (with no luck) 
Reported by  alancucki  on 2013 08 01 20:17:15
 hr 
   Attachment:  SendLog txt (https:  storage googleapis com google code attachments ankidroid issue 1816 comment 0 SendLog txt) 
</t>
  </si>
  <si>
    <t>ankidroid-Anki-Android-2717</t>
  </si>
  <si>
    <t>Bad rendering of Bengali signs in "superscript" and "subscript" areas in Jelly Bean 4.3</t>
  </si>
  <si>
    <t xml:space="preserve">Originally reported on Google Code with ID 1815
What steps will reproduce the problem 
1  Use any cards with Bengali   Bangla characters in the superscript or subscript zone 
e g        and       I think the attached package should demonstrate the problem 
2  Make sure you re running in Jelly Bean 4 3  (duplicated after updating my Nexus
4 to 4 3 from the previous version of Jelly Bean) 
3  Enter review 
What is the expected output  What do you see instead 
Whereas the  swoosh  at the bottom in img1 png and the  bird s eye  at the top in img2 png
should be directly adjacent to the letters  as they are in the attached images  In
AnkiDroid on 4 3  though  the swoosh renders way below the line  and the bird s eye
renders way above 
Does it happen again every time you repeat the steps above  Or did it
happen only one time 
It happens consistently 
What version of AnkiDroid are you using  (Decks list   menu   About   Look
at the title)
On what version of Android  (Home screen   menu   About phone   Android
version)
AnkiDroid 2 0 1  Android 4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tried to  work around the problem by dropping a custom font for Bangla into the
AnkiDroid fonts folder  changing the default font to that one  and eliminating the
font family specification in the CSS for the card type  However  though I initially
thought that had worked  if it did work it doesn t seem to have  stuck   Also  I don t
think the problem is exclusively (if at all) in the system font: I was able to pull
up a Bangla news website (bdnews24 com  switching language to Bangla) in Chrome  and
it didn t seem affected by the same rendering problem 
Reported by  jiwashige  on 2013 07 31 08:54:24
 hr 
   Attachment:  collection apkg (https:  storage googleapis com google code attachments ankidroid issue 1815 comment 0 collection apkg) 
   Attachment: img1 png br   img1 png (https:  storage googleapis com google code attachments ankidroid issue 1815 comment 0 img1 png) 
   Attachment: img2 png br   img2 png (https:  storage googleapis com google code attachments ankidroid issue 1815 comment 0 img2 png) 
</t>
  </si>
  <si>
    <t>ankidroid-Anki-Android-2716</t>
  </si>
  <si>
    <t>UTF8 chars hosed on import</t>
  </si>
  <si>
    <t xml:space="preserve">Originally reported on Google Code with ID 1814
What steps will reproduce the problem 
1  Create my German cards in Anki windows  Umlauts look good 
2  Export to German  Voc apkg
3  Copy file to the  AnkiDroid folder on the droid
4  Import said card file into AnkiDroid
What is the expected output  What do you see instead 
Special German chars like vowels with umlauts are replaced with ANSI char pairs 
Does it happen again every time you repeat the steps above  Or did it
happen only one time 
Happens consistently 
What version of AnkiDroid are you using  (Decks list   menu   About   Look
at the title)
2 0 1
On what version of Android  (Home screen   menu   About phone   Android
version)
2 3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xyzzy31416  on 2013 07 26 21:12:22
 hr 
   Attachment:  German  Voc apkg (https:  storage googleapis com google code attachments ankidroid issue 1814 comment 0 German  Voc apkg) 
</t>
  </si>
  <si>
    <t>ankidroid-Anki-Android-2714</t>
  </si>
  <si>
    <t>LaTeX not rendered: [$]Y_{i}[/$] and similar</t>
  </si>
  <si>
    <t xml:space="preserve">Originally reported on Google Code with ID 1812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notifyjohn  on 2013 07 22 00:55:54
</t>
  </si>
  <si>
    <t>ankidroid-Anki-Android-2710</t>
  </si>
  <si>
    <t>Ankidroid downloads media again and again</t>
  </si>
  <si>
    <t xml:space="preserve">Originally reported on Google Code with ID 1808
What steps will reproduce the problem 
1  Synching Ankidroid takes hours 
2  Ankidroid downloads the entire media catalogue repeatedly  uses up all data bandwidth
(media is over 200 MB)  It says:
Receiving media from server    
Up: 28 kb  Down: 220179 kb
Then:
checking media counts    
Up: 28 kb  Down: 220179 kb
3  It seems the entire media catalogue is downloaded again on every sync  
Does it happen again every time you repeat the steps above  Or did it
happen only one time 
This happens during each sync since i installed Anki on Android 
What version of AnkiDroid are you using  (Decks list   menu   About   Look
at the title)
Latest AnkiDroid from 15  July 2013 
On what version of Android  (Home screen   menu   About phone   Android
version)
2 3 6 on Samsung Galaxy Ace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inserate2009  on 2013 07 15 15:20:31
</t>
  </si>
  <si>
    <t>ankidroid-Anki-Android-2706</t>
  </si>
  <si>
    <t>Stays at splash screen forever</t>
  </si>
  <si>
    <t xml:space="preserve">Originally reported on Google Code with ID 1804
What steps will reproduce the problem 
1  Just open the app  it doesn t open
2 
3 
What is the expected output  What do you see instead 
Does it happen again every time you repeat the steps above  Or did it
happen only one time 
It happens randomly 
What version of AnkiDroid are you using  (Decks list   menu   About   Look
at the title) I cannot tell because I cannot open the app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brettputerbaugh  on 2013 07 10 20:49:02
</t>
  </si>
  <si>
    <t>ankidroid-Anki-Android-2702</t>
  </si>
  <si>
    <t>Note type error</t>
  </si>
  <si>
    <t xml:space="preserve">Originally reported on Google Code with ID 1800
What steps will reproduce the problem 
1 When we add the words  we select Note Type and Deck 
2 If I select Certain Note type and add a word  go to a Browse
3  Check the word that I added just now  You could see the note type of the word changed
to another Note type  Please check attached files 
What is the expected output  What do you see instead 
Does it happen again every time you repeat the steps above  Or did it
happen only one time 
  Sometimes it happens  Not that often  but at least three times a week I guess 
What version of AnkiDroid are you using  (Decks list   menu   About   Look
at the title)  2 0 11
On what version of Android  (Home screen   menu   About phone   Android
version)  I made a mistake  I edit the words in the computer  Not cell phone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kyunghoon23  on 2013 07 09 15:13:18
 hr 
   Attachment:  Photo 1 jpg (https:  storage googleapis com google code attachments ankidroid issue 1800 comment 0 Photo 1 jpg) 
   Attachment:  Photo 2 jpg (https:  storage googleapis com google code attachments ankidroid issue 1800 comment 0 Photo 2 jpg) 
</t>
  </si>
  <si>
    <t>ankidroid-Anki-Android-2699</t>
  </si>
  <si>
    <t>ankidroid does not display latex generated .png files, while anki on desktop does</t>
  </si>
  <si>
    <t xml:space="preserve">Originally reported on Google Code with ID 1797
What steps will reproduce the problem 
1  Create a new card with the following latex code:
 latex 
  U    begin bmatrix 
a  11   (1)       cdots     a  1n   (n)    
0    ddots          
 vdots    ddots   a  kk   (k)       vdots   
         ddots     
0    cdots    0   a  nn   (n)    
 end bmatrix   
  latex 
e    L       una matrice triangolare inferiore
 latex 
  L    begin bmatrix 
1   0    cdots     0   
m  21     ddots          
 vdots    ddots      ddots    vdots   
     m  k 1  k     ddots    0  
m  n1     cdots  m  nk    m  n  n 1    1   
 end bmatrix   
  latex 
2  dispaly on anki desktop (with preview)  they should display correctly
3  sync the collection
4  study the card on ankidroid: instead of the png files  two question marks are displayed
What is the expected output  What do you see instead 
The expected output should be the two png files displayed correctly  Two  missing image 
question marks are displayed instead
Does it happen again every time you repeat the steps above  Or did it
happen only one time 
Every time  even with only one of the two images
What version of AnkiDroid are you using  
2 0 1 
On what version of Android   
4 1 2
If it is a crash or  Force close  and you can reproduce it  the following
would help immensely: 1) Install the  SendLog  app  2) Reproduce the crash 
3) Immediately after  launch SendLog  4) Attach the resulting file to this
report  That will make the bug much easier to fix 
Not a crash
Please provide any additional information below 
Reported by  a f cuttin  on 2013 07 07 14:40:38
 hr 
   Attachment: 2013 07 07 16 35 52 png br   2013 07 07 16 35 52 png (https:  storage googleapis com google code attachments ankidroid issue 1797 comment 0 2013 07 07 16 35 52 png) 
</t>
  </si>
  <si>
    <t>ankidroid-Anki-Android-2697</t>
  </si>
  <si>
    <t>Crash on media sync with special characters in file name</t>
  </si>
  <si>
    <t xml:space="preserve">Originally reported on Google Code with ID 1795
Details initially reported in Issue 1743  but creating a new issue in order to not take
over the original bug described there 
Crash report: http:  ankidroid triage appspot com view crash crash id 4994028
I failed to reproduce it with a file named  b          jpg   so there must be more
to it 
 Zach:
Would you be able to provide more details about your device and the exact steps you
take to trigger the crash  I d like to know how you first got a file with that name
on your device (USB  sync from desktop  etc)  and whether it works on the desktop client 
Can you also tell us the language set in AnkiDroid and the system language as well 
Reported by  Houssam Salem Au  on 2013 07 04 10:54:43
</t>
  </si>
  <si>
    <t>ankidroid-Anki-Android-2696</t>
  </si>
  <si>
    <t>Anki crashes on Nook HD+ when syncing / attempting to Repair Database</t>
  </si>
  <si>
    <t xml:space="preserve">Originally reported on Google Code with ID 1794
What steps will reproduce the problem 
1  Merely sync the Deck after inputting your account details and a failure occurs 
2  Attempting the  Repair Database  option causes the entire app to crash 
3 
What is the expected output  What do you see instead 
1  An error occurs  labelled: ad 20130704014131 stacktrace
Does it happen again every time you repeat the steps above  Or did it
happen only one time 
1  Yes  Every time  This is separate from the Repair Database crashing however   as
an error is created doing this  where attempting to repair the database just crashes
the app  (I think they re linked  Same problem )
2  I have tried using a second dummy account and the problem still occurs 
What version of AnkiDroid are you using  (Decks list   menu   About   Look
at the title)
Version: v2 0 1
On what version of Android  (Home screen   menu   About phone   Android
version)
v2 1 0   Nook HD  Model Number: BNTV600
Sendlog Attached
Please provide any additional information below 
I know the B N Nook runs an awkward version of Android (Or  at least I think it does)
I ve had to reformat the nook a couple of times  and have tried using the app while
rooted and not rooted (No hardware settings have been changed  the Nook is currently
Rooted  but doesn t use any Root Apps(Although some are installed but do not have superuser
permissions))
If there s anything else I can do to help  let me know  I ll camp the report for a
month until giving up on a response :)
Reported by  Simcamr SD  on 2013 07 04 01:01:35
 hr 
   Attachment:  SendLog txt (https:  storage googleapis com google code attachments ankidroid issue 1794 comment 0 SendLog txt) 
</t>
  </si>
  <si>
    <t>ankidroid-Anki-Android-2692</t>
  </si>
  <si>
    <t>Strange colors while reviewing</t>
  </si>
  <si>
    <t xml:space="preserve">Originally reported on Google Code with ID 1790
What steps will reproduce the problem 
I don t know  I started up AnkiDroid today  and the problem appears 
What is the expected output  What do you see instead 
The white AnkiDroid background is turned black  and the text is turned white  My cards
are configured to have a blue background with yellow text  but now they have an orange
background with blue text 
Does it happen again every time you repeat the steps above  Or did it
happen only one time 
This is the first time it s happened  and I don t know how to change it back 
What version of AnkiDroid are you using  (Decks list   menu   About   Look
at the title)
On what version of Android  (Home screen   menu   About phone   Android
version)
Ankidroid version 2 0 1
Android version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thestick366  on 2013 06 24 16:10:09
 hr 
   Attachment: AnkiDroid Error png br   AnkiDroid Error png (https:  storage googleapis com google code attachments ankidroid issue 1790 comment 0 AnkiDroid Error png) 
</t>
  </si>
  <si>
    <t>ankidroid-Anki-Android-2690</t>
  </si>
  <si>
    <t>Hint button text should contain field name</t>
  </si>
  <si>
    <t xml:space="preserve">Originally reported on Google Code with ID 1788
What steps will reproduce the problem 
1  Just entering   hint:MyField   only show  Show Hint  every time 
2  For old method of showing hint don t know the code to make button disappear after
button clicked on as is done in new method for step 1
3 
What is the expected output  
 Field Name                                          
What do you see instead 
 Show Hint 
Does it happen again every time you repeat the steps above  Or did it
happen only one time 
Every time 
What version of AnkiDroid are you using  (Decks list   menu   About   Look
at the title)
On what version of Android  (Home screen   menu   About phone   Android
version)
2 0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Code of old method Hint: 
onclick  document getElementById( hint ) style display  block  return false   
FieldName  a  div id  hint  style  display: none     field    div   div 
I would like to be able to use the old method of showing a hint but be able to get
the hint field  whatever text  to disappear after clicking it and just show what is
within the field  Basically what I mean is just make the button disappear after clicking
it 
The button does disappear when implementing the new simpler way of adding a hint via
  hint:MyField   and just shows what is behind the button when you click it  
The reason I am not implementing the newer way and am resorting to the old method code
is because the new method does not display (for the field name) the button correctly
on the the Android app  It just displays  Show Hint  as a button in the app  However
it displays (the field name) when I view it on the desktop version of Anki and doesn t
automatically opt to  Show Hint   It opts to  Show FieldName   However it would be
nice to have the option to be able to get rid of the word  Show   This can be done
in the old method but as mentioned above I don t know the code to get the button to
disappear after it is clicked 
Would appreciate a option for the new method or a way to code the old method so the
button does the same thing as the new method 
Reported by  belite75  on 2013 06 19 15:04:16
</t>
  </si>
  <si>
    <t>ankidroid-Anki-Android-2688</t>
  </si>
  <si>
    <t>AnkiDroid does not show correct colors (card background and text) after editing decks with Anki Desktop</t>
  </si>
  <si>
    <t xml:space="preserve">Originally reported on Google Code with ID 1786
What steps will reproduce the problem 
1  Create a deck with Anki Desktop
2  Edit the deck and change the background color from white to yellow
3  Edit the answers text color from default black to blue  red or green depending on
the genre of the nouns
3  Sync with AnkiWeb and then sync AnkiDroid
What is the expected output  What do you see instead 
The background color should be yellow but it shows black 
The text colors are jammed (yellow instead of blue   )
Does it happen again every time you repeat the steps above  Or did it
happen only one time  Yes  it happens with every new deck I add based on the same edition
changes 
What version of AnkiDroid are you using  (Decks list   menu   About   Look
at the title) v2 0 1
On what version of Android  (Home screen   menu   About phone   Android
version) This issue just refers to Android 4 1 2 running on my tablet (Samsung Galaxy
Note 10 1) AnkiDroid works fine with Android 2 3 4 on my smartphone (Samsung Galaxy
Ace)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estudiodetecnologia  on 2013 06 18 18:45:20
</t>
  </si>
  <si>
    <t>ankidroid-Anki-Android-2686</t>
  </si>
  <si>
    <t>Errors in card templates should not cause a force close</t>
  </si>
  <si>
    <t xml:space="preserve">Originally reported on Google Code with ID 1784
As in issue 1750  errors in the card template should be caught  and some useful feedback
given to the user  rather than crashing 
Here is an example crash from 1750:
http:  ankidroid triage appspot com view crash crash id 4927092
Reported by  perceptualchaos2  on 2013 06 17 00:06:04
</t>
  </si>
  <si>
    <t>ankidroid-Anki-Android-2681</t>
  </si>
  <si>
    <t xml:space="preserve">Ankidroid crashes with invalid or inaccessible collection path </t>
  </si>
  <si>
    <t xml:space="preserve">Originally reported on Google Code with ID 1779
What steps will reproduce the problem 
1  Change the collection path to one that is invalid  This is easy to do since the
path has to be typed in by hand 
2  Exit Ankidroid 
3  Restart Ankidroid  It will crash leaving the user no way to correct the collection
path error 
What is the expected output  What do you see instead 
  I would expect the app to fail more gracefully  saying  collection path is invalid 
and to allow the user to correct it through the apps GUI 
Does it happen again every time you repeat the steps above  Or did it
happen only one time 
  Every time 
What version of AnkiDroid are you using  (Decks list   menu   About   Look
at the title) 2 0 1
On what version of Android  (Home screen   menu   About phone   Android
version) 2 3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The only way to correct an invalid collection path setting is to delete the app and
reinstall 
Being able to browse to the collection and set the path that way would greatly help 
Reported by  greg ihnen me  on 2013 06 11 11:36:28
</t>
  </si>
  <si>
    <t>ankidroid-Anki-Android-2680</t>
  </si>
  <si>
    <t>Freezes then Crashes after ~40 cards</t>
  </si>
  <si>
    <t xml:space="preserve">Originally reported on Google Code with ID 1778
What steps will reproduce the problem 
1  I just simply do the cards like normal then after I hit any of the  good  very good 
etc  bottons it just freezes and then a crash screens comes up giving me  the option
to either close or report but not wait 
What is the expected output  What do you see instead 
Not to freeze 
Does it happen again every time you repeat the steps above  Or did it
happen only one time 
All the time recently
What version of AnkiDroid are you using  (Decks list   menu   About   Look
at the title)
On what version of Android  (Home screen   menu   About phone   Android
version)
Anki (2 0 1)
Android Tablet 4 2 1 
Tablet Type: ASUS PAD TF300T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walterspdx  on 2013 06 11 06:02:55
 hr 
   Attachment:  SendLog txt (https:  storage googleapis com google code attachments ankidroid issue 1778 comment 0 SendLog txt) 
</t>
  </si>
  <si>
    <t>ankidroid-Anki-Android-2678</t>
  </si>
  <si>
    <t>New LaTeX cards with cloze deletions in Anki do not display correctly in AnkiDroid</t>
  </si>
  <si>
    <t xml:space="preserve">Originally reported on Google Code with ID 1776
What steps will reproduce the problem 
1  Add a new cloze card with the following:
 latex Testing:   c1::one      c2::two      c3::three     latex 
2  Use  Unused Media  to generate images for the cards 
3  Synchronize Anki  and then synchronize AnkiDroid 
4  Attempt to review the new cards 
What is the expected output  What do you see instead 
I should see a LaTeX image  but all I see is a blue box  I don t have this problem
for LaTeX cards without cloze deletions  This is a problem as of Anki 2 0 9  I have
checked the media folder on my phone  and I can see the new LaTeX pictures there  so
I know that they re being generated and are syncing correctly 
Does it happen again every time you repeat the steps above  Or did it
happen only one time 
Every time 
What version of AnkiDroid are you using  (Decks list   menu   About   Look
at the title)
AnkiDroid 2 0 1
On what version of Android  (Home screen   menu   About phone   Android
version)
Android 4 0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Cards with cloze deletions within LaTeX blocks displayed correctly when generated in
Anki 2 0 8  2 0 9 added functionality so that they would be generated whenever the
user selected  Unused media      so the modified code may be a worthwhile place to
start looking 
Reported by  paulbunc  on 2013 06 08 05:31:06
</t>
  </si>
  <si>
    <t>ankidroid-Anki-Android-2677</t>
  </si>
  <si>
    <t>Impossible to use before moving back to Europe</t>
  </si>
  <si>
    <t xml:space="preserve">Originally reported on Google Code with ID 1775
What steps will reproduce the problem 
1 Install Anki while living in a foreign country
2 Come back to Europe
3 Set the time to an Europe timezone
What is the expected output  What do you see instead 
I get the timezone message and can t use Anki  even though my time zone and time are
correct for Europe
Does it happen again every time you repeat the steps above  Or did it
happen only one time 
All the time
What version of AnkiDroid are you using  (Decks list   menu   About   Look
at the title)
On what version of Android  (Home screen   menu   About phone   Android
version)
2 0 8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Cassiopee5  on 2013 06 07 20:43:32
</t>
  </si>
  <si>
    <t>ankidroid-Anki-Android-2675</t>
  </si>
  <si>
    <t>Ankidroid doesn't show meanings!!!</t>
  </si>
  <si>
    <t xml:space="preserve">Originally reported on Google Code with ID 1773
What steps will reproduce the problem 
1 Copying the deck from the desktop version to the sd card in android 
2 
3 
What is the expected output  What do you see instead 
The cards are being shown in prefixed order  from the first added fact  always in the
same way  Moreover  the cards are being shown without meanings  only words and readings
are visible  I would like to fix this problem because that s completely useless to
have an app like this  I use ankidroid for japanese language  I would like to view
my cards on android in a random order and with all the infos on them  including words 
readings  meanings and notes 
Does it happen again every time you repeat the steps above  Or did it
happen only one time 
It happens all the time I managed to transfer my decks on my mobile phone  Sometimes
it worked correctly but I don t know what was different and maybe that was another
version of the app  maybe this one have some bugs 
What version of AnkiDroid are you using  (Decks list   menu   About   Look
at the title) v2 0 1
On what version of Android  (Home screen   menu   About phone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Ameko hotmail it  on 2013 06 04 10:43:43
</t>
  </si>
  <si>
    <t>ankidroid-Anki-Android-2674</t>
  </si>
  <si>
    <t>Font problems when WebView switching is disabled</t>
  </si>
  <si>
    <t xml:space="preserve">Originally reported on Google Code with ID 1772
What steps will reproduce the problem 
1  Use a new v2 1 dev build
2  Use custom fonts
3  Switch on Force quick update of Webview in the settings
4  Review
What is the expected output  What do you see instead 
The fonts set up in the style should be used 
They are not 
Does it happen again every time you repeat the steps above  Or did it
happen only one time 
Every time 
What version of AnkiDroid are you using  (Decks list   menu   About   Look
at the title)
On what version of Android  (Home screen   menu   About phone   Android
version)
AnkiDroid: A beta build that incorporates this: https:  github com ankidroid Anki Android pull 18
Android: 4 1 1
Device: Asus Memo pad ME172V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I can easily switch between the view with the fonts  Quick update  off and with just
the standard font (Droid Sans  ) with  Quick update  on 
Apart from that the quick update seems to work : 
Reported by  ospalh  on 2013 06 03 20:37:13
 hr 
   Attachment: no quick update    nice png br   no quick update    nice png (https:  storage googleapis com google code attachments ankidroid issue 1772 comment 0 no quick update    nice png) 
   Attachment: quick update    ugly png br   quick update    ugly png (https:  storage googleapis com google code attachments ankidroid issue 1772 comment 0 quick update    ugly png) 
</t>
  </si>
  <si>
    <t>ankidroid-Anki-Android-2673</t>
  </si>
  <si>
    <t>Edit to customize displays at the top of some cards during review</t>
  </si>
  <si>
    <t xml:space="preserve">Originally reported on Google Code with ID 1771
What steps will reproduce the problem 
1  Create a new card with the foreign language word on card 1 and the English word
on card 2 selecting the option to create reverse cards automatically 
2  When the card 2 displays and prompts for you to guess at what card 1 displays  the
 Edit to customize  words display 
What is the expected output  I should not see the words  Edit to customize    It is
annoying when trying to review a deck of cards 
Does it happen again every time you repeat the steps above  Or did it
happen only one time 
What version of AnkiDroid are you using  (Decks list   menu   About   Look
at the title) v2 0 1
On what version of Android  (Home screen   menu   About phone   Android
version)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robmckeown1965  on 2013 06 03 18:36:34
</t>
  </si>
  <si>
    <t>ankidroid-Anki-Android-2670</t>
  </si>
  <si>
    <t>LaTeX not rendering, broken image-like symbol</t>
  </si>
  <si>
    <t xml:space="preserve">Originally reported on Google Code with ID 1768
What steps will reproduce the problem 
1  Creating a flashcard with LaTeX
What is the expected output  What do you see instead 
Broken image like symbol  
Does it happen again every time you repeat the steps above  Or did it
happen only one time 
Happens everytime
What version of AnkiDroid are you using  (Decks list   menu   About   Look at the title)
On what version of Android  (Home screen   menu   About phone   Android
version)
AnkiDroid v2 1alpha4
Android 4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halime zia  on 2013 05 31 05:08:16
</t>
  </si>
  <si>
    <t>ankidroid-Anki-Android-2668</t>
  </si>
  <si>
    <t>Sync error when router time/date incorrect.</t>
  </si>
  <si>
    <t xml:space="preserve">Originally reported on Google Code with ID 1766
What steps will reproduce the problem 
1  Wireless router set to the wrong time (eg  incorrect adjustment for daylight savings
time) 
2  Sync in ankidroid give  sync error   Sync works fine on ankimobile 
3  Set router to correct time  sync works properly 
What is the expected output  What do you see instead 
Normal sync 
Does it happen again every time you repeat the steps above  Or did it
happen only one time 
Consistent 
What version of AnkiDroid are you using  (Decks list   menu   About   Look
at the title)
On what version of Android  (Home screen   menu   About phone   Android
version)
v2 1Alpha4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Periapex  on 2013 05 29 17:33:50
</t>
  </si>
  <si>
    <t>ankidroid-Anki-Android-2660</t>
  </si>
  <si>
    <t>Card created on Ankiweb shows &amp;nbsp;</t>
  </si>
  <si>
    <t xml:space="preserve">Originally reported on Google Code with ID 1758
What steps will reproduce the problem 
1  Create a card on Anki server 
2  Use Ankidroid to sync with Anki server 
3  Open the deck on Ankidroid to find it s not usable and full of  nbsp  everywhere 
What is the expected output  What do you see instead 
One should see the exact card made on Anki server   
Does it happen again every time you repeat the steps above  Or did it
happen only one time 
It happens all the time making Ankidroid itself obsolete and useless if syncing does
not render usable cards 
What version of AnkiDroid are you using  (Decks list   menu   About   Look
at the title)
On what version of Android  (Home screen   menu   About phone   Android
version)
V 2 0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ve looked all over the internet for a fix and it seems like the only thing people
are saying is that Ankidroid needs a major update   
Reported by  brandn14  on 2013 05 15 03:06:46
</t>
  </si>
  <si>
    <t>ankidroid-Anki-Android-2657</t>
  </si>
  <si>
    <t>Hebrew first syllable shift</t>
  </si>
  <si>
    <t xml:space="preserve">Originally reported on Google Code with ID 1755
What steps will reproduce the problem 
1 edit Hebrew card in anki on the Windows desktop   including vowels (a filed font
set to Times New Roman  rtl)
2 let s say that a word has three consonants and three vowels (three syllables)
3   distinguish the first consonant vowel group (syllabe) styling it (span  color:
red)
What is the expected output  What do you see instead 
on the desktop everything looks just fine  but AnkiDroid moves the first (beginning)
consonant vowel group to the left (the end of the word in the rtl mode)
Does it happen again every time you repeat the steps above  Or did it
happen only one time 
it happens every time  shifting font doesn t help
What version of AnkiDroid are you using  (Decks list   menu   About   Look
at the title)
On what version of Android  (Home screen   menu   About phone   Android
version)
stable (featured on the page) and also latest beta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jacekrszewczyk  on 2013 05 08 05:20:40
</t>
  </si>
  <si>
    <t>ankidroid-Anki-Android-2656</t>
  </si>
  <si>
    <t>Crash when downloading shared deck</t>
  </si>
  <si>
    <t xml:space="preserve">Originally reported on Google Code with ID 1754
What steps will reproduce the problem 
1  Search for a shared deck
2  Click import
3  Anki crashes on the LG Spirit 4G (ice cream sandwich)
What is the expected output  What do you see instead 
Does it happen again every time you repeat the steps above  Or did it
happen only one time 
Everytime with any deck
What version of AnkiDroid are you using  (Decks list   menu   About   Look
at the title)
On what version of Android  (Home screen   menu   About phone   Android
version)
I just installed it today at 4pm
If it is a crash or  Force close  and you can reproduce it  the following
would help immensely: 1) Install the  SendLog  app  2) Reproduce the crash 
3) Immediately after  launch SendLog  4) Attach the resulting file to this
report  That will make the bug much easier to fix 
I sent the report
Please provide any additional information below 
Thanks for the help   
Reported by  ericjonesummsm  on 2013 05 07 20:31:07
</t>
  </si>
  <si>
    <t>ankidroid-Anki-Android-2652</t>
  </si>
  <si>
    <t>Database Error while reviewing (due to mismatched tags in template)</t>
  </si>
  <si>
    <t xml:space="preserve">Originally reported on Google Code with ID 1750
What steps will reproduce the problem 
1  Open Ankidroid 
2  Start reviewing
3  Database error pops up  every 3 cards  crashes app eventually 
What is the expected output  What do you see instead 
Expected: normal review 
Instead:  App crashes  progress lost   Usually causes an ad 20130429115    stacktrace
error   
Does it happen again every time you repeat the steps above  Or did it
happen only one time 
This happens about every three cards  every time I try to review   I have tried:  database
repair  restore from backup  full synch  uninstall reinstall app (deleting all data
and decks)   still happens 
What version of AnkiDroid are you using  (Decks list   menu   About   Look
at the title)
2 0 1
On what version of Android  (Home screen   menu   About phone   Android
version)
4 0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mehc012  on 2013 04 29 19:04:45
 hr 
   Attachment:  SendLog txt (https:  storage googleapis com google code attachments ankidroid issue 1750 comment 0 SendLog txt) 
</t>
  </si>
  <si>
    <t>ankidroid-Anki-Android-2649</t>
  </si>
  <si>
    <t>Syncing Error with Ankidroid Insufficient memory</t>
  </si>
  <si>
    <t xml:space="preserve">Originally reported on Google Code with ID 1747
What steps will reproduce the problem 
1 Syncing through ankidroid
2 
3 
What is the expected output  What do you see instead 
Syncing with desktop to add new decks new cards to ankidroid  then error message pops
up saying  operation not possible due to insufficient memory on your device  even though
I have confirmed I have sufficient memory   
Does it happen again every time you repeat the steps above  Or did it
happen only one time 
Everytime
What version of AnkiDroid are you using  (Decks list   menu   About   Look
at the title)
On what version of Android  (Home screen   menu   About phone   Android
version)
Ankidroid v2 0 1
Android version 2 3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danhonda  on 2013 04 24 16:15:42
 hr 
   Attachment:  SendLog 1  txt (https:  storage googleapis com google code attachments ankidroid issue 1747 comment 0 SendLog 1  txt) 
</t>
  </si>
  <si>
    <t>ankidroid-Anki-Android-2648</t>
  </si>
  <si>
    <t>NullPointerException at Reviewer.clipboardSetText</t>
  </si>
  <si>
    <t xml:space="preserve">Originally reported on Google Code with ID 1746
What steps will reproduce the problem 
1 Attempting to review any decks (anything else  such as browsing 
 cards works fine)2 
3 
What is the expected output  What do you see instead 
Expect to be able to review cards  Instead  turns black and  unfortunately  ankidroid
has stopped  pops up
Does it happen again every time you repeat the steps above  Or did it
happen only one time 
Every time
What version of AnkiDroid are you using  (Decks list   menu   About   Look
at the title)
v2 0 1 (I have seen a post with the same issue which was apparently resolved in v2 0 1 
 but I still seem to have this problem)
On what version of Android  (Home screen   menu   About phone   Android
version)
4 0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disktopia hotmail co uk  on 2013 04 24 15:17:39
 hr 
   Attachment:  SendLog txt (https:  storage googleapis com google code attachments ankidroid issue 1746 comment 0 SendLog txt) 
</t>
  </si>
  <si>
    <t>ankidroid-Anki-Android-2645</t>
  </si>
  <si>
    <t>Crash on sync if system language is Arabic</t>
  </si>
  <si>
    <t xml:space="preserve">Originally reported on Google Code with ID 1743
What steps will reproduce the problem 
1 review a deck
2 select sync
3 crashes
What is the expected output  Sync Sucess
What do you see instead  Force Close
Does it happen again every time you repeat the steps above  Or did it
happen only one time  Every time   I tried reinstalling from market  no luck
What version of AnkiDroid are you using  (Decks list   menu   About   Look
at the title)
I am using Anki V 2 0 1
On what version of Android  (Home screen   menu   About phone   Android
version)
4 2 2
on Nexus 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error is :
ad 20130422150543 stacktrace
Reported by  akscb24  on 2013 04 22 05:37:48
</t>
  </si>
  <si>
    <t>ankidroid-Anki-Android-2644</t>
  </si>
  <si>
    <t>Lots of subdecks make AnkiDroid extremely slow</t>
  </si>
  <si>
    <t xml:space="preserve">Originally reported on Google Code with ID 1742
What steps will reproduce the problem 
1  i have a big collection  with more than 25 000 cards  
2  i ve organized this collection in a big tree (lots o subdecks   probably something
between 500   1000 subdecks)
3  when i try to use ankidroid  it can t work (crash)  or  sometimes  works extremely
slow 
What is the expected output  What do you see instead 
i expect ankidroid to work  but it is extremely slow  (ankimobile simply don t work 
anki on PC works  but i little slow)
Does it happen again every time you repeat the steps above  Or did it
happen only one time 
Yes  it happen every time 
What version of AnkiDroid are you using  (Decks list   menu   About   Look
at the title) the last one  from market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contacted Damien  and he says that the extense number os subdecks is probably causing
the problem  But since android is a different plattaform  you guys could help me 
Reported by  igor rlx  on 2013 04 21 23:28:46
</t>
  </si>
  <si>
    <t>ankidroid-Anki-Android-2641</t>
  </si>
  <si>
    <t>Font from .card{} style not applied</t>
  </si>
  <si>
    <t xml:space="preserve">Originally reported on Google Code with ID 1739
What steps will reproduce the problem 
1  Set a non standard font family for the  card   in the model style 
2  Make sure the font is installed in AnkiDrid fonts
3  Review
What is the expected output  What do you see instead 
The font should be used to show text where no other font is set 
Instead  some standard font (DroidSans ) is used 
Does it happen again every time you repeat the steps above  Or did it
happen only one time 
Every time  But i think it wasn t like this in the past 
What version of AnkiDroid are you using  (Decks list   menu   About   Look
at the title)
On what version of Android  (Home screen   menu   About phone   Android
version)
Android 4 1 1
AnkiDroid: patched Version of v2 1 dev  But i didn t touch the card display code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Relevant bits from the style:
 card  font family:  Moon font   
 nhg   font family:  Moon font    
The bit that has the extra class nhg (the first line) is show in this font 
The second line has no extra class   All other styles  from  card (font size   c )
are applied to the second line  The font is not 
Compare the two images  AnkiDroid vs  Anki desktop 
Is this working as designed  Because most people have  card  font family: Arial   
in the template and DroidSans looks better than Arial 
Reported by  ospalh  on 2013 04 16 14:38:55
 hr 
   Attachment: Moon moon png br   Moon moon png (https:  storage googleapis com google code attachments ankidroid issue 1739 comment 0 Moon moon png) 
   Attachment: Moon non moon png br   Moon non moon png (https:  storage googleapis com google code attachments ankidroid issue 1739 comment 0 Moon non moon png) 
   Attachment:  problem styling css (https:  storage googleapis com google code attachments ankidroid issue 1739 comment 0 problem styling css) 
   Attachment:  problem template html (https:  storage googleapis com google code attachments ankidroid issue 1739 comment 0 problem template html) 
</t>
  </si>
  <si>
    <t>ankidroid-Anki-Android-2639</t>
  </si>
  <si>
    <t>Freeze while syncing (Ipod ver.)</t>
  </si>
  <si>
    <t xml:space="preserve">Originally reported on Google Code with ID 1737
What steps will reproduce the problem 
1  I try to start syncing my database to the anki cloud
2 
3 
What is the expected output  What do you see instead 
It has beed syncing for hours  unable to cancel or doing anything 
If I reopen the software  it is still syncing 
Does it happen again every time you repeat the steps above  Or did it
happen only one time 
Only happened once  I have been using it for a month 
What version of AnkiDroid are you using  (Decks list   menu   About   Look
at the title)
Im not sure  should be the latest since the OS wont tell me to update 
On what version of Android  (Home screen   menu   About phone   Android
version)
Ipod:
Model: MC544E A
Version: 6 1 3 (10B329)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karvayoEdgar  on 2013 04 12 02:06:21
</t>
  </si>
  <si>
    <t>ankidroid-Anki-Android-2638</t>
  </si>
  <si>
    <t>orientation not working iPhone 4</t>
  </si>
  <si>
    <t xml:space="preserve">Originally reported on Google Code with ID 1736
What steps will reproduce the problem 
1  launch anki
2  go to settings review
3  choose either  force landscape  or  allow either 
4  go to deck  start review and it automatically goes to portrait
What is the expected output  What do you see instead 
Either use portrait or landscape view or force landscape 
Does it happen again every time you repeat the steps above  Or did it
happen only one time 
Every time
What version of AnkiDroid are you using  (Decks list   menu   About   Look
at the title)
AnkiMobile 2 0 3(b24)
On what version of Android  (Home screen   menu   About phone   Android
version)
Apple iPhone 4
OS 6 1 3 (10B329)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bwpsignup  on 2013 04 11 06:20:19
</t>
  </si>
  <si>
    <t>ankidroid-Anki-Android-2637</t>
  </si>
  <si>
    <t>Crash when opening on SIII</t>
  </si>
  <si>
    <t xml:space="preserve">Originally reported on Google Code with ID 1735
What steps will reproduce the problem 
1  opening the app  crashes on opening  it used to work before the update in January
2 
3 
What is the expected output  What do you see instead 
 Unfortunately  AnkiDroid has stopped  comes up before any other screen can
Does it happen again every time you repeat the steps above  Or did it
happen only one time  everytime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m running a galaxy SIII GT I9300 4 2 1 on CyanogenMod version 10 1 20130112 NIGHTLY i9300
Reported by  MC kingcrossy  on 2013 04 10 04:31:41
 hr 
   Attachment:  SendLog txt (https:  storage googleapis com google code attachments ankidroid issue 1735 comment 0 SendLog txt) 
</t>
  </si>
  <si>
    <t>ankidroid-Anki-Android-2636</t>
  </si>
  <si>
    <t>Sound not playing for some media files (probably related to accents in file name).</t>
  </si>
  <si>
    <t xml:space="preserve">Originally reported on Google Code with ID 1734
What steps will reproduce the problem 
1  Add an mp3 file named  abb  mp3 or acc s mp3 to the reply side of a card 
2  Review the card and try to play the sound 
What is the expected output  What do you see instead 
Sound should play  sound doesn t play  : )
Does it happen again every time you repeat the steps above  Or did it
happen only one time 
It happened when I fixed my cards up in Anki adding sounds to this shared deck: https:  ankiweb net shared info 363046915
Had the same problem with this deck out of the box: https:  ankiweb net shared info 3239105708
Strongly suspect it has to do with the use of accents which is pretty much omnipresent
in the pronounciation (second) deck but only (thus far) with abb  and acc s in the
first one 
Both work fine on the desktop (OS X  latest) 
What version of AnkiDroid are you using  (Decks list   menu   About   Look
at the title)
On what version of Android  (Home screen   menu   About phone   Android
version)
Latest version of Anki both on desktop (OS X) and Android  Running a Jellybean based
AOKP ROM (IceColdJelly) 
If it is a crash or  Force close  and you can reproduce it  the following
would help immensely: 1) Install the  SendLog  app  2) Reproduce the crash 
3) Immediately after  launch SendLog  4) Attach the resulting file to this
report  That will make the bug much easier to fix 
Does not cause force close 
Please provide any additional information below 
I attached a log (made with catlog)  but I ve never made one before so I m not 100 
sure I did it right 
Fired up the app  started the log  started Anki and reviewed some stuff from the pronounciation
deck  Tried pressing the play buttons a few times (no sound)  I m pretty sure all of
the sounds had different accents in them 
The log is pasted in to a notepad document I ve attached to this report as mylog txt 
Reported by  kaminix  on 2013 04 07 03:39:29
 hr 
   Attachment:  mylog txt (https:  storage googleapis com google code attachments ankidroid issue 1734 comment 0 mylog txt) 
</t>
  </si>
  <si>
    <t>ankidroid-Anki-Android-2629</t>
  </si>
  <si>
    <t>Internet connection error</t>
  </si>
  <si>
    <t xml:space="preserve">Originally reported on Google Code with ID 1727
What steps will reproduce the problem 
1  When I try and download persnal shared decks  the app can t connect to the internet
and comes up with a connection error  even when I am connected to the internet  (Kindle
Fire HD)
2  I can t find the individual Anki decks to put onto the kindle manually 
3 
What is the expected output  What do you see instead 
I expect to be connected to my online account so I can download decks 
Does it happen again every time you repeat the steps above  Or did it
happen only one time 
Every time 
What version of AnkiDroid are you using  (Decks list   menu   About   Look
at the title)
On what version of Android  (Home screen   menu   About phone   Android
version)
AnkiDroid 0 5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undeadrainbow273  on 2013 04 01 17:52:59
</t>
  </si>
  <si>
    <t>ankidroid-Anki-Android-2628</t>
  </si>
  <si>
    <t>changing the path causes fault and never works again</t>
  </si>
  <si>
    <t xml:space="preserve">Originally reported on Google Code with ID 1726
What steps will reproduce the problem 
1  I m using AnkiDroid to memorise some personal stuff and i dont want that personal
decks in my phone  So im changing path to a UsbDrive in Galaxy S3 
2  In first working it works well  But if you work AnkiDroid without UsbDrive it gives
fault and never works again 
3 even you plug your UsbDrive it wont work At previous versions i didn t see that problem 
What is the expected output  What do you see instead 
Its not working  I expect if you dont use UsbDrive it still works so i can change the
path to phone drive 
Does it happen again every time you repeat the steps above  Or did it
happen only one time 
I tried many times and result was the same  And please add password support to phone
version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mukerremdemirci  on 2013 03 30 15:56:30
</t>
  </si>
  <si>
    <t>ankidroid-Anki-Android-2625</t>
  </si>
  <si>
    <t>Cloze back card ""Correct answer was: " does not show on 4.1.2v Droid. It does show on desktop. Need the answer.</t>
  </si>
  <si>
    <t xml:space="preserve">Originally reported on Google Code with ID 1723
What steps will reproduce the problem 
1 Sync my desktop to AnkiDroid on Samsung G2
2 No problem seeing  Correct answer was: 
 potere: potuto   on the desktop answer   but it does not show one the AnkiDroid Sync
3  AnkiDroid shows the answer I typed  red wrong green correct but does not show the
 correct answer was  line that I get on my desktop 
What is the expected output  What do you see instead 
 Correct answer was: 
 potere: potuto  
see nothing in AnkiDroid
Does it happen again every time you repeat the steps above  Or did it
happen only one time   Everytime
What version of AnkiDroid are you using  (Decks list   menu   About   Look
at the title) V2 01   tried upgrading per instructions  still only get 2 01   PC upgraded
to V2 08  with no improvement after sync  Anki desktop with AnkiDroid     
On what version of Android  (Home screen   menu   About phone   Android
version)   Android version: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Code on card that is doing this:
   Italian Past Participle  
  type:Italian Past Participle  
   Italian Past Participle  
Works perfectly on desktop   love it  Just wish I could do it on my droid 
Thanks 
Jean
Reported by  jgraham2222  on 2013 03 29 02:40:37
</t>
  </si>
  <si>
    <t>ankidroid-Anki-Android-2619</t>
  </si>
  <si>
    <t>New Cards from Anki2 Doesn't Show a New Sentence for Each Line</t>
  </si>
  <si>
    <t xml:space="preserve">Originally reported on Google Code with ID 1717
What steps will reproduce the problem 
1 after I click add on anki2 desktop then add new card
2 sync new card to ankidroid
3 
What is the expected output  What do you see instead 
I expect the new card on Ankidroid to look exactly like the desktop  Instead of seeing
a new line for each sentence  I see all sentences clumped together consecutively with
no spacing  New sentences are only separated by   div  div  instead of blank space 
However  old Anki cards from the original desktop version (not anki2) are fine and
show up on ankidroid as they should
Does it happen again every time you repeat the steps above  Or did it
happen only one time 
Everytime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leslie wong89  on 2013 03 21 13:49:24
</t>
  </si>
  <si>
    <t>ankidroid-Anki-Android-2615</t>
  </si>
  <si>
    <t>Unnecessary white space in cards created with "Image Occlusion 2.0" addon</t>
  </si>
  <si>
    <t xml:space="preserve">Originally reported on Google Code with ID 1713
What steps will reproduce the problem 
1  Create a card in Anki Desktop using Image Occlusion 2 0
2  Open the card in AnkiDroid
What is the expected output  What do you see instead 
  I should see that the image is placed at the top of the screen on my mobile device 
However  now there is a significant amount of white space above the image  causing
part of the image to be outside the screen  On iPhone devices all cards created with
Image Occlusion appear to be shown properly  
The problem is illustrated in the attached image 
Does it happen again every time you repeat the steps above  Or did it happen only one
time 
  It happens consistently 
What version of AnkiDroid are you using  (Decks list   menu   About   Look
at the title)
  AnkiDroid 2 0 1
On what version of Android  (Home screen   menu   About phone   Android
version)
  Android 4 2 2 with CyanogenMod 10 1
If it is a crash or  Force close  and you can reproduce it  the following
would help immensely: 1) Install the  SendLog  app  2) Reproduce the crash 
3) Immediately after  launch SendLog  4) Attach the resulting file to this
report  That will make the bug much easier to fix 
  The program does not crash 
Please provide any additional information below 
  No additional information  
Reported by  kalle k kantola  on 2013 03 16 17:32:19
 hr 
   Attachment:  Bug report jpg (https:  storage googleapis com google code attachments ankidroid issue 1713 comment 0 Bug report jpg) 
</t>
  </si>
  <si>
    <t>ankidroid-Anki-Android-2612</t>
  </si>
  <si>
    <t>Occasional crash playing audio when using the undo function</t>
  </si>
  <si>
    <t xml:space="preserve">Originally reported on Google Code with ID 1710
I haven t noticed any pattern for reproduction unfortunately  but it happens quite frequently
(twice today)
java lang NullPointerException at com ichi2 libanki Sound PlayAllCompletionListener onCompletion(Sound java:191)
at com ichi2 libanki Sound PlayAllCompletionListener onCompletion(Sound java:191)
http:  ankidroid triage appspot com report crashes bug id 3563293
Reported by  perceptualchaos2  on 2013 03 12 07:32:08
</t>
  </si>
  <si>
    <t>ankidroid-Anki-Android-2606</t>
  </si>
  <si>
    <t>Some unicode (utf8) Chinese radicals appear as boxes</t>
  </si>
  <si>
    <t xml:space="preserve">Originally reported on Google Code with ID 1704
What steps will reproduce the problem 
1  I have only had this occur with two characters so far:   and    I created the card
on anki desktop (where these characters display with no problem 
2  I synced my phone (rooted samsung droid charge) via ankiweb 
3  I found that  both in testing mode and in browse mode  these characters do not appear
correctly 
What is the expected output  What do you see instead  When I enter   or   into a card
it is replaced with a blank rectangle 
Does it happen again every time you repeat the steps above  Or did it
happen only one time  It happens every time 
What version of AnkiDroid are you using  (Decks list   menu   About   Look
at the title) v2 0 1
On what version of Android  (Home screen   menu   About phone   Android
version) There is not a section labeled  Android version  in my menu  Firmware version
is 2 3 6  Kernel version is 2 6 35 7 FP5  Build number is SCH I510 FP1  Is that sufficient
information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ringo r  on 2013 03 05 14:10:58
</t>
  </si>
  <si>
    <t>ankidroid-Anki-Android-2603</t>
  </si>
  <si>
    <t>font color for selected words differs between Android one one hand and Linux and WebAnki on the other hand</t>
  </si>
  <si>
    <t xml:space="preserve">Originally reported on Google Code with ID 1701
What steps will reproduce the problem 
1  Use Anki client under Linux (Ubuntu 11 04): create a card with some words colored
differently than the default color using GUI  Set Foreground  dialog 
2  Sync to the web server  The colors of the words remain the same on web client as
under Linux 
3  Sync onto an Android device
4  The colors of the words change on Android (HTC Droid Incredible  CynogenMod 7 2 0) 
What is the expected output  
The colors of the words on flashcards on all devices should be the same
What do you see instead 
Linux web     Android
blue          yellow
red           turquoise
yellow        blue
green         purple
purple        green
brown         brown
orange        blue
gris          gris
turquoise     red
Notice that if one looks in HTML source under Linux and Android the blue color is represented
as  font color   0000FF   as it should if RGB color model is used  But apparently something
else is used on Android and that hex is interpreted differently 
Does it happen again every time you repeat the steps above  Or did it
happen only one time 
Always
What version of AnkiDroid are you using  (Decks list   menu   About   Look
at the title)
2 0 1
On what version of Android  (Home screen   menu   About phone   Android
version)
2 3 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igor 2004  on 2013 02 28 02:46:57
</t>
  </si>
  <si>
    <t>ankidroid-Anki-Android-2602</t>
  </si>
  <si>
    <t>card details repeats front word</t>
  </si>
  <si>
    <t xml:space="preserve">Originally reported on Google Code with ID 1700
What steps will reproduce the problem 
1  open a deck list
2  hold down on a card to bring up card menu popup
3  click  card details 
What is the expected output  What do you see instead 
If the front word was Foo  and the back word was Bar  I would expect to see:
Question: Foo
Answer: Bar
Instead I see 
Question: Foo
Answer: Foo Bar
In other words  the Answer has the Front word before the Back word when it should only
have the Back word 
Does it happen again every time you repeat the steps above  Or did it
happen only one time 
Every time 
What version of AnkiDroid are you using  (Decks list   menu   About   Look
at the title)
On what version of Android  (Home screen   menu   About phone   Android
version)
2 0 1 on Jelly Bean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megamic  on 2013 02 28 00:27:17
</t>
  </si>
  <si>
    <t>ankidroid-Anki-Android-2601</t>
  </si>
  <si>
    <t>display list in the browser doesnt show reverse</t>
  </si>
  <si>
    <t xml:space="preserve">Originally reported on Google Code with ID 1699
What steps will reproduce the problem 
1  open a deck
2  click the list icon (3 horizontal lines)
3  observe the only the front of all cards is displayed
What is the expected output  What do you see instead 
I would expect the front of Forward cards to be displayed  and the back of Reverse
cards  It is impossible to scan for a card if you only know the back word  Also  there
is no column that identifies if a card is reverse or forward 
Does it happen again every time you repeat the steps above  Or did it
happen only one time 
Every time 
What version of AnkiDroid are you using  (Decks list   menu   About   Look
at the title)
On what version of Android  (Home screen   menu   About phone   Android
version)
2 0 1 on Jelly Bean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megamic  on 2013 02 28 00:24:36
</t>
  </si>
  <si>
    <t>ankidroid-Anki-Android-2598</t>
  </si>
  <si>
    <t>LaTeX with Cloze displays incorrectly</t>
  </si>
  <si>
    <t xml:space="preserve">Originally reported on Google Code with ID 1696
What steps will reproduce the problem 
1  Create a Cloze note with the following content:
 latex 
Formula for a Gaussian pdf:  f X(x)  frac 1     c1:: sqrt 2 pi sigma      e    frac 
  c2::(x  mu) 2        c3:: sigma 2       
  latex 
This is a problem for other mixed LaTeX Cloze notes as well 
2  Sync to AnkiDroid
3  Attempt to review it 
What is the expected output  What do you see instead 
The expected output is what I see in Anki  It displays correctly there  In AnkiDroid 
I see a box with a question mark for all three cards generated 
Does it happen again every time you repeat the steps above  Or did it
happen only one time 
Every time 
What version of AnkiDroid are you using  (Decks list   menu   About   Look at the title)
On what version of Android  (Home screen   menu   About phone   Android
version)
AnkiDroid version 2 0 1 
Android version 4 0 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This is neither a crash nor a force close  However  in the event that it proves useful 
I have included a log anyway 
Reported by  paulbunc  on 2013 02 26 03:28:45
 hr 
   Attachment:  SendLog txt (https:  storage googleapis com google code attachments ankidroid issue 1696 comment 0 SendLog txt) 
</t>
  </si>
  <si>
    <t>ankidroid-Anki-Android-2597</t>
  </si>
  <si>
    <t>NullPointerException when reviewing a particular public deck</t>
  </si>
  <si>
    <t xml:space="preserve">Originally reported on Google Code with ID 1695
What steps will reproduce the problem 
1  open deck 
2  start learning
3  crash of ankidroid
What is the expected output  What do you see instead 
i wanted to start learning a public deck  deutsch   englisch part 1  but ankidroid
2 0 1 crashed after start learning
Does it happen again every time you repeat the steps above  Or did it
happen only one time 
yes  every time
What version of AnkiDroid are you using  (Decks list   menu   About   Look
at the title) v2 0 1
On what version of Android  (Home screen   menu   About phone   Android
version) 4 0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device type: samsung galaxy s2
Reported by  uwe katt  on 2013 02 25 21:35:20
 hr 
   Attachment:  SendLog txt (https:  storage googleapis com google code attachments ankidroid issue 1695 comment 0 SendLog txt) 
</t>
  </si>
  <si>
    <t>ankidroid-Anki-Android-2596</t>
  </si>
  <si>
    <t>OutOfMemoryError when importing decks with huge number of cards</t>
  </si>
  <si>
    <t xml:space="preserve">Originally reported on Google Code with ID 1694
What steps will reproduce the problem 
1 open AnkiDroidv2 0 1    import     select  Oxford Advanced Learners Dict En En Top 0001 1000 apkg 
which has  25722 notes    Add
2  the progress dialog of importing shows:  Unpacking archive    done   Import of notes 
  100  
3  When it comes to  Import of cards   there isn t any progess 
What is the expected output  What do you see instead 
The expected output is to import the deck properly into AnkiDroid 
What I have seen is that AnkiDroid crashed 
Does it happen again every time you repeat the steps above  Or did it
happen only one time 
Yes  The phenomenon repeats 
What version of AnkiDroid are you using  (Decks list   menu   About   Look
at the title)
v2 0 1
On what version of Android  (Home screen   menu   About phone   Android
version)
4 0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mrjiutian  on 2013 02 25 13:47:52
</t>
  </si>
  <si>
    <t>ankidroid-Anki-Android-2595</t>
  </si>
  <si>
    <t>Unable to Sync with mobil phone</t>
  </si>
  <si>
    <t xml:space="preserve">Originally reported on Google Code with ID 1693
What steps will reproduce the problem 
1  Open software
2  go into tools on the right and select Sync
3  Enter login information 
     screen then shows LOGGED IN AS :jeffmtl  
     log out
but nothing happens   Must log out to be able to do something and the sync is not done 
What is the expected output  What do you see instead 
    would like to sync information that was done or created on PC
Does it happen again every time you repeat the steps above  Or did it
happen only one time 
     Everytime
What version of AnkiDroid are you using  (Decks list   menu   About   Look
at the title)
     Jellybean 4 0 3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tried reinstalling the software but the problem still occures 
     Seems to refresh up Decks that I have on your server the first time installed 
Reported by  mikeaubichon  on 2013 02 25 01:30:00
 hr 
   Attachment: screenshot 0224202849 png br   screenshot 0224202849 png (https:  storage googleapis com google code attachments ankidroid issue 1693 comment 0 screenshot 0224202849 png) 
</t>
  </si>
  <si>
    <t>ankidroid-Anki-Android-2592</t>
  </si>
  <si>
    <t>importing more than one vocabulary from another app (like a dict) causes a force-crash</t>
  </si>
  <si>
    <t xml:space="preserve">Originally reported on Google Code with ID 1690
When importing cards from another app like colordict (imports mean adding ( ) and using
 saved data  to get the shared data)  AnkiDroid 2 1alpha2 (and versions before  on
Android 2 3 6) crashes when adding more than one vocab 
The added vocab is still in the  saved data list   maybe this causes the crash 
To add more than one vocab  I have to go back twice (to the menu) and do the procedure
again  By this way  the saved data list is updated  the afore added vocab is  like
it should be  missing 
The Number of the force crash feedback (when this is helping):
ad 20130222121705 stacktrace
regards 
dominik
Reported by  Herr Dominik R  on 2013 02 22 11:19:52
</t>
  </si>
  <si>
    <t>ankidroid-Anki-Android-2585</t>
  </si>
  <si>
    <t>Filtered deck created on ankidroid isn't studyable on anki desktop</t>
  </si>
  <si>
    <t xml:space="preserve">Originally reported on Google Code with ID 1683
What steps will reproduce the problem 
1   Made subdeck on ankidroid (2 0 beta ) (from deck originally created on desktop
anki (1  )
2   Opened subdeck on laptop
3   When try to answer first card  get error message   Cannot answer any cards
4   Can answer cards on ankidroid
What is the expected output  What do you see instead 
error message:
Traceback (most recent call last):
  File  aqt webview pyc   line 21  in link
  File  aqt reviewer pyc   line 289  in  linkHandler
  File  aqt reviewer pyc   line 227  in  showAnswer
  File  aqt reviewer pyc   line 570  in  showEaseButtons
  File  aqt reviewer pyc   line 619  in  answerButtons
  File  aqt reviewer pyc   line 613  in but
  File  aqt reviewer pyc   line 628  in  buttonTime
  File  anki sched pyc   line 1133  in nextIvlStr
  File  anki utils pyc   line 58  in fmtTimeSpan
  File  anki utils pyc   line 73  in optimalPeriod
TypeError: bad operand type for abs():  unicode 
Does it happen again every time you repeat the steps above  Or did it
happen only one time 
every time
What version of AnkiDroid are you using  (Decks list   menu   About   Look
at the title)
desktop: 2 0 rc4
droid:  Ankidroid v2 0  but i JUST updated from the beta today (after I created the
subdeck)
On what version of Android  (Home screen   menu   About phone   Android
version)
Jellybean (4 1 1)
If it is a crash or  Force close  and you can reproduce it  the following
would help immensely: 1) Install the  SendLog  app  2) Reproduce the crash 
3) Immediately after  launch SendLog  4) Attach the resulting file to this
report  That will make the bug much easier to fix 
basically crashes the desktop client   First time froze it  next time just couldn t
use that deck 
Please provide any additional information below 
I already posted this on the anki desktop bug forum  but they booted me over here 
saying it s a droid problem 
Reported by  joshua frenkel  on 2013 02 13 02:03:38
</t>
  </si>
  <si>
    <t>ankidroid-Anki-Android-2583</t>
  </si>
  <si>
    <t>Image zoom distortion</t>
  </si>
  <si>
    <t xml:space="preserve">Originally reported on Google Code with ID 1681
What steps will reproduce the problem 
1  Create flashcard with text and large image underneath 
2  Pinch to zoom 
3  Release pinch in zoomed state 
What is the expected output  What do you see instead 
When zooming I expect the image to retain the same height   width ratio 
Instead  it seems as if the width is fitted to the zooming while the height remains
unchanged  making the image very long and thin and in many cases unreadable  
Does it happen again every time you repeat the steps above  Or did it
happen only one time 
Happens with all image flashcards I have 
What version of AnkiDroid are you using  (Decks list   menu   About   Look
at the title)
2 01
On what version of Android  (Home screen   menu   About phone   Android
version)
4 03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sebalfsen  on 2013 02 12 11:52:05
</t>
  </si>
  <si>
    <t>ankidroid-Anki-Android-2581</t>
  </si>
  <si>
    <t>Per-deck maximum reviews in Ankidroid</t>
  </si>
  <si>
    <t xml:space="preserve">Originally reported on Google Code with ID 1679
What steps will reproduce the problem 
1  choose a deck
2  tap the wrench
3  tap reviews
4  tap maximum reviews day
5  chose a number tap  OK 
6  go back to the decks screen
7  choose a different deck
8  tap the wrench
9  tap reviews 
What is the expected output  What do you see instead 
  I would expect this to be a per deck setting  and that would be useful  since I want
a smaller number of reviews for a phrasebook than for vocabulary words  Instead setting
the max reviews setting for one deck effects all of the others too 
Does it happen again every time you repeat the steps above  Or did it
happen only one time 
 It s reproducible every time 
What version of AnkiDroid are you using  (Decks list   menu   About   Look
at the title)
On what version of Android  (Home screen   menu   About phone   Android
version)
  2 0 on Ice Cream Sandwich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uchuha  on 2013 02 11 10:44:46
</t>
  </si>
  <si>
    <t>ankidroid-Anki-Android-2579</t>
  </si>
  <si>
    <t>items scheduled for immediate review after clicking on one- or ten-minute review</t>
  </si>
  <si>
    <t xml:space="preserve">Originally reported on Google Code with ID 1677
What steps will reproduce the problem 
1 Fresh install v2 0 1 with new user  all settings default
2 Open any new deck
3 Show answer  select ten minute review
What is the expected output  What do you see instead 
Expect to review word after ten minutes   is scheduled after any new words  
Also after then selecting one hour   immediate review 
Does it happen again every time you repeat the steps above  Or did it
happen only one time 
Every time
What version of AnkiDroid are you using  (Decks list   menu   About   Look
at the title)
On what version of Android  (Home screen   menu   About phone   Android
version)
2 0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Stuartt Cuthill  on 2013 02 09 06:42:30
</t>
  </si>
  <si>
    <t>ankidroid-Anki-Android-2573</t>
  </si>
  <si>
    <t>[AnkiDroid triage] Re-visit the signature heuristic</t>
  </si>
  <si>
    <t xml:space="preserve">Originally reported on Google Code with ID 1671
Bug 3561092 has assigned 5 crashes that correspond to a different issue    or does it
have 113 crashes with a different cause 
For crashes on 2 0  exception  android database sqlite SQLiteDatabaseLockedException:
database is locked (code 5): retrycount exceeded  was thrown 
In the same Bug  crashes 4067466  3926164  3929170  3716036  3563097  failed for  java lang IllegalStateException:
database  mnt sdcard AnkiDroid collection anki2 (conn  0) already closed  
Currently the signature is generated by looking into the offending line in com ichi2 anki
package  but between versions that is likely to be different code 
So  it could be improved by taking into account either:
  The exception class  the message could contain variable data (paths  numbers)  or
  The stack of calls inside anki package (com ichi2   )  Ignoring the line numbers 
So for instance crash 4255054 has a signature:
at com ichi2 anki AnkiDb queryString
at com ichi2 anki AnkiDb closeDatabase
at com ichi2 anki AnkiDatabaseManager closeDatabase
at com ichi2 anki DeckPicker handleDbError
at com ichi2 anki DeckPicker 40 1 onPostExecute
at com ichi2 async DeckTask onPostExecute
at com ichi2 async DeckTask onPostExecute
An crash 3926164 has signature:
at com ichi2 anki AnkiDb queryString
at com ichi2 anki AnkiDb closeDatabase
at com ichi2 anki AnkiDatabaseManager closeDatabase
at com ichi2 anki DeckPicker handleDbError
at com ichi2 anki DeckPicker onActivityResult
Hopefully that signature could be a little less version specific (i e  the call chain
of similar crashes in different version should be the same)  and help to distinguish
different crashes happening on the same line in different versions 
Reported by  ing guillermo zapata  on 2013 02 05 18:53:08
</t>
  </si>
  <si>
    <t>ankidroid-Anki-Android-2572</t>
  </si>
  <si>
    <t>[AnkiDroid triage] Wrong Bug ids assigned to some crashes on 'Crashes Export'</t>
  </si>
  <si>
    <t xml:space="preserve">Originally reported on Google Code with ID 1670
What steps will reproduce the problem 
1  In AnkiDroid triage tool   Crashes Export 
2  Open csv file  and search for crash 3519084
3  Open crash 3519084  1  on AnkiDroid triage
4  Compare the Bug ID in both places
What is the expected output  
Crash 3519084 has the same Bug ID in WebPage and CSV
What do you see instead 
In web interface says bug 3343159  but csv file has bug 3487097 
Please provide any additional information below 
This issue us noticeable comparing crashes counts of some bugs  for instance Bug 2583531
reports  100 less counts on Web page
Reported by  ing guillermo zapata  on 2013 02 05 18:30:56
</t>
  </si>
  <si>
    <t>ankidroid-Anki-Android-2571</t>
  </si>
  <si>
    <t>Clicking "About" button crashes Ankidroid and can't sync, and can't delete decks</t>
  </si>
  <si>
    <t xml:space="preserve">Originally reported on Google Code with ID 1669
What steps will reproduce the problem 
1  Clicking the  about  button in the main screen or study screen crashes Ankidroid
2  Trying to sync results in the error message  Syncing error  type: 409  message:
Conflict 
3  Trying to delete a deck results in Anki getting stuck in  deleting deck  screen
(longest I ve waited is 20 minutes)
Happens every time  
It s the most recent version  I downloaded it two weeks ago from the Market  but I
can t click the  more  button so I can t get to the  About  screen 
Thanks  
Reported by  wshoemaker  on 2013 02 05 00:03:33
</t>
  </si>
  <si>
    <t>ankidroid-Anki-Android-2570</t>
  </si>
  <si>
    <t>Parsing of incorrect field marker inconsistent</t>
  </si>
  <si>
    <t xml:space="preserve">Originally reported on Google Code with ID 1668
What steps will reproduce the problem 
1  Accidentally write three opening and two closing braces in the card template (    Field
name   )
2  Don t notice the error because desktop Anki shows the field 
3  Review a card like that on AnkiDroid
What is the expected output  What do you see instead 
What i saw:
The field text is not show  Text after the the field also disappears 
What should happen 
Not sure  Maybe
 Parse things the way the desktop client does
 Or show an error
 Or show one opening brace and the field  (That s what i think would be the Right Thing )
But i think it should not eat up other fields or text from the template 
Does it happen again every time you repeat the steps above  Or did it
happen only one time 
Every time
What version of AnkiDroid are you using  (Decks list   menu   About   Look
at the title)
On what version of Android  (Home screen   menu   About phone   Android
version)
AnkiDroid v2 0
Android 4 0 4
If it is a crash or  Force close  and you can reproduce it  the following
would help immensely: 1) Install the  SendLog  app  2) Reproduce the crash 
3) Immediately after  launch SendLog  4) Attach the resulting file to this
report  That will make the bug much easier to fix 
no crash
Please provide any additional information below 
See the images 
Reported by  ospalh  on 2013 02 04 13:38:37
 hr 
   Attachment:  bildschirmfoto jpg (https:  storage googleapis com google code attachments ankidroid issue 1668 comment 0 bildschirmfoto jpg) 
   Attachment:  M3 gone apkg (https:  storage googleapis com google code attachments ankidroid issue 1668 comment 0 M3 gone apkg) 
</t>
  </si>
  <si>
    <t>ankidroid-Anki-Android-2569</t>
  </si>
  <si>
    <t>database is locked (code 5): retrycount exceeded at AnkiDb.queryString</t>
  </si>
  <si>
    <t xml:space="preserve">Originally reported on Google Code with ID 1667
Now up to 106 instances (all from Android 4 x)
http:  ankidroid triage appspot com report crashes bug id 3561092
Begin Stacktrace
android database sqlite SQLiteDatabaseLockedException: database is locked (code 5):
retrycount exceeded
at android database sqlite SQLiteConnection nativeExecuteForCursorWindow(Native Method)
at android database sqlite SQLiteConnection executeForCursorWindow(SQLiteConnection java:838)
at android database sqlite SQLiteSession executeForCursorWindow(SQLiteSession java:836)
at android database sqlite SQLiteQuery fillWindow(SQLiteQuery java:62)
at android database sqlite SQLiteCursor fillWindow(SQLiteCursor java:143)
at android database sqlite SQLiteCursor getCount(SQLiteCursor java:133)
at android database AbstractCursor moveToPosition(AbstractCursor java:197)
at android database AbstractCursor moveToNext(AbstractCursor java:245)
at com ichi2 anki AnkiDb queryString(AnkiDb java:148)
at com ichi2 anki AnkiDb closeDatabase(AnkiDb java:76)
at com ichi2 anki AnkiDatabaseManager closeDatabase(AnkiDatabaseManager java:61)
at com ichi2 libanki Collection close(Collection java:311)
at com ichi2 libanki sync FullSyncer download(FullSyncer java:68)
at com ichi2 async Connection doInBackgroundSync(Connection java:603)
at com ichi2 async Connection doOneInBackground(Connection java:244)
at com ichi2 async Connection doInBackground(Connection java:222)
at com ichi2 async Connection doInBackground(Connection java:84)
at android os AsyncTask 2 call(AsyncTask java:287)
at java util concurrent FutureTask run(FutureTask java:234)
at java util concurrent ThreadPoolExecutor runWorker(ThreadPoolExecutor java:1080)
at java util concurrent ThreadPoolExecutor Worker run(ThreadPoolExecutor java:573)
at java lang Thread run(Thread java:856)
End Stacktrace
Begin Inner exceptions
End Inner exceptions
Reported by  perceptualchaos2  on 2013 02 04 06:56:48
</t>
  </si>
  <si>
    <t>ankidroid-Anki-Android-2568</t>
  </si>
  <si>
    <t>Changing language in Study Options causes a crash</t>
  </si>
  <si>
    <t xml:space="preserve">Originally reported on Google Code with ID 1666
What steps will reproduce the problem 
0  This is only reproducible on devices with soft menu button on the ActionBar 
1  Open a deck (going to Study Options Activity)
2  Change language: Preferences  Langugage     
3  Go back to Study Options Activity
4  Click menu button
What is the expected output 
Menu list is displayed
What do you see instead 
App crashes
What version of AnkiDroid are you using  (Decks list   menu   About   Look
at the title)
Found on 2 0 1beta14  but exists since 2 0 
On what version of Android  (Home screen   menu   About phone   Android
version)
Reproduced on 4 0 4   cannot  reproduce on 2 x with hard menu button 
Don t know if it s reproducible on 3 x
Triage tool bug link:
http:  ankidroid triage appspot com view bug bug id 3478288
Please provide any additional information below 
Someone more android development knowledgeable please explain to me  why this is not
happening on DeckPicker Activity if both Activities have the same menu rebuilding logic
in onMenuOpened 
Reported by  ing guillermo zapata  on 2013 02 03 18:09:53
</t>
  </si>
  <si>
    <t>ankidroid-Anki-Android-2567</t>
  </si>
  <si>
    <t>Crash when deleting deck</t>
  </si>
  <si>
    <t xml:space="preserve">Originally reported on Google Code with ID 1665
AnkiDroid 2 0 1beta14 on Android 4 2 1 
AnkiDroid has started crashing when a deck (normal or filtered) is deleted on my tablet 
The same collection on my phone (Android 2 3) doesn t crash 
Triage: http:  ankidroid triage appspot com view crash crash id 4414049
Forum: https:  groups google com forum  fromgroups   topic anki android  gKUpnWAJfQ
I ve attached the collection that causes this  Checking the database on the desktop
client makes the problem go away 
Attaching a debugger reveals this detailed message at the point of the exception:
Couldn t read row 4799  col 0 from CursorWindow   Make sure the Cursor is initialized
correctly before accessing data from it 
Reported by  Houssam Salem Au  on 2013 02 03 13:03:54
 hr 
   Attachment:  collection zip (https:  storage googleapis com google code attachments ankidroid issue 1665 comment 0 collection zip) 
</t>
  </si>
  <si>
    <t>ankidroid-Anki-Android-2566</t>
  </si>
  <si>
    <t>occasionally text is not rendered and app stops responding</t>
  </si>
  <si>
    <t xml:space="preserve">Originally reported on Google Code with ID 1664
This has been a persistent issue in v2 and since it doesn t generate a crash report
it s a little tricky to pinpoint  The sound file will play but no text will render
and the app will freeze with a blank white screen 
Section of log file from AnkiDroid is attached  the relevant section is from 12:11:01 273
to 12:12:19 723
Android 4 0 3
Reported by  perceptualchaos2  on 2013 02 03 04:11:59
 hr 
   Attachment:  2013 02 03 12 38 06 txt (https:  storage googleapis com google code attachments ankidroid issue 1664 comment 0 2013 02 03 12 38 06 txt) 
</t>
  </si>
  <si>
    <t>ankidroid-Anki-Android-2564</t>
  </si>
  <si>
    <t>"Custom steps" value on filtered deck is not validated</t>
  </si>
  <si>
    <t xml:space="preserve">Originally reported on Google Code with ID 1662
What steps will reproduce the problem 
1  Select  Create filtered deck 
2  Tick option  Custom steps 
3  Tap  Custom steps  (the second custom steps entry  i e  the one with the text) 
delete entre  tap  Ok 
What do you see instead 
App crashes
This issue is identified as http:  ankidroid triage appspot com report crashes bug id 4240087
on triage tool 
What version of AnkiDroid are you using 
Found on 2 0 1beta14  also present on 2 0
Please provide any additional information below 
  Also note  that the app will allow me to enter whatever string there  such values
clear the existing text  but I assume internally a more sane value is chosen 
    This is a separate issue but renaming the first  Custom steps  to  Enable custom
steps  will improve the ui 
Alternatively the interface can be reworked to use one single Custom steps entry  in
which an invalid empty value enables the default values 
Reported by  ing guillermo zapata  on 2013 02 02 22:00:11
</t>
  </si>
  <si>
    <t>ankidroid-Anki-Android-2563</t>
  </si>
  <si>
    <t>Enabling Gestures crashes opened deck ("Study Options Fragment")</t>
  </si>
  <si>
    <t xml:space="preserve">Originally reported on Google Code with ID 1661
What steps will reproduce the problem 
0  Start application with Gestures disabled
1  Click on a deck on the Deck picker
2  Enable Gestures (Preferences  Navigation  Enable Gestures)
3  Return to the opened deck with back keys
4  Click the  Study Options Fragment  (the deck name for instance)
What do you see instead 
Application crashes  This crash is identified as http:  ankidroid triage appspot com report crashes bug id 4120065
in triage tool
What version of AnkiDroid are you using  (Decks list   menu   About   Look
at the title)
Found on 2 0 1beta14  but present on 2 0 release
Please provide any additional information below 
Reported by  ing guillermo zapata  on 2013 02 02 21:25:23
</t>
  </si>
  <si>
    <t>ankidroid-Anki-Android-2561</t>
  </si>
  <si>
    <t>Ivona voice stopped work after turning off.</t>
  </si>
  <si>
    <t xml:space="preserve">Originally reported on Google Code with ID 1659
What steps will reproduce the problem 
1  I need to turn of build in android ttx to be able to listen ttx  and than manually
change to the better ttx  after turning our i need to do it again because it doesn t
find the language files 
2 
3 
What is the expected output  What do you see instead 
Does it happen again every time you repeat the steps above  Or did it
happen only one time 
Every time
What version of AnkiDroid are you using  (Decks list   menu   About   Look
at the title)
v2 0
On what version of Android  (Home screen   menu   About phone   Android
version)
2 3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tomekkruk86  on 2013 02 01 13:37:33
</t>
  </si>
  <si>
    <t>ankidroid-Anki-Android-2560</t>
  </si>
  <si>
    <t>No TTS playback button (automatic only)</t>
  </si>
  <si>
    <t xml:space="preserve">Originally reported on Google Code with ID 1658
What steps will reproduce the problem 
1  In old version it was very useful to play text to speech by pressing the button 
not automaticly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tomekkruk86  on 2013 02 01 13:32:48
</t>
  </si>
  <si>
    <t>ankidroid-Anki-Android-2559</t>
  </si>
  <si>
    <t>can't edit cards in AnkiDroid</t>
  </si>
  <si>
    <t xml:space="preserve">Originally reported on Google Code with ID 1657
What steps will reproduce the problem 
1  Select edit card
2  Edit a card
3  Select done
What is the expected output  What do you see instead 
Edited cards are unchanged
Does it happen again every time you repeat the steps above  Or did it
happen only one time 
Every time
What version of AnkiDroid are you using  (Decks list   menu   About   Look
at the title)
On what version of Android  (Home screen   menu   About phone   Android
version)
AnkiDroid 2 0
Android 4 1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MrAce83  on 2013 02 01 02:06:46
</t>
  </si>
  <si>
    <t>ankidroid-Anki-Android-2558</t>
  </si>
  <si>
    <t>duplicates of all cards</t>
  </si>
  <si>
    <t xml:space="preserve">Originally reported on Google Code with ID 1656
What steps will reproduce the problem 
1  Use Anki 1  AnkiWeb  and previous AnkiDroid
2  Upgrade to new versions
3  Import decks
What is the expected output  What do you see instead 
There are now two of each card in each of my decks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MrAce83  on 2013 02 01 02:02:09
</t>
  </si>
  <si>
    <t>ankidroid-Anki-Android-2551</t>
  </si>
  <si>
    <t>Crashing of filtered desk when tts is enabled</t>
  </si>
  <si>
    <t xml:space="preserve">Originally reported on Google Code with ID 1649
What steps will reproduce the problem 
1  Preferences    Reviewing    Check Text to Speech
2  Create a filterd desk
3  Start reviewing
4  Press Show Answer
What is the expected output   Ansewer
What do you see instead  The application AnkiDroid (process com ichi2 anki) has stopped
unexpectedly  Please try again 
Does it happen again every time you repeat the steps above  Or did it
happen only one time 
It happens every time
What version of AnkiDroid are you using  (Decks list   menu   About   Look
at the title)
v2 0
v2 0 1beta10
On what version of Android  (Home screen   menu   About phone   Android
version)
2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albert lyubarsky  on 2013 01 28 14:46:44
 hr 
   Attachment:  SendLog txt (https:  storage googleapis com google code attachments ankidroid issue 1649 comment 0 SendLog txt) 
</t>
  </si>
  <si>
    <t>ankidroid-Anki-Android-2539</t>
  </si>
  <si>
    <t>Ankidroid 1.3 decks no longer available under 2.0</t>
  </si>
  <si>
    <t xml:space="preserve">Originally reported on Google Code with ID 1637
What steps will reproduce the problem 
1  Get upgarded to version 2 0
2  Decks that were available under 1 3 are now no longer available under 2 0
3 
What is the expected output  What do you see instead 
I expect to see decks that I created in 1 3 available in 2 0   
I don t see any decks at all
Does it happen again every time you repeat the steps above  Or did it
happen only one time 
Happens every time 
What version of AnkiDroid are you using  (Decks list   menu   About   Look
at the title)
2 0
On what version of Android  (Home screen   menu   About phone   Android
version)
2 3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mgcollins77  on 2013 01 24 17:53:37
</t>
  </si>
  <si>
    <t>ankidroid-Anki-Android-2530</t>
  </si>
  <si>
    <t>Card are marked as filtered but are actually contained in a regular deck</t>
  </si>
  <si>
    <t xml:space="preserve">Originally reported on Google Code with ID 1628
Not sure what causes it 
We only see the correction code taking place and marking the card as non filtered 
Correction code:
https:  github com iniju Anki Android blob bf7282e696b20cebd1f5c4f142b99a9e1d24ee59 src com ichi2 libanki Sched java L2062
This code then files a triage  crash  so the the bug doesn t go unnoticed:
http:  ankidroid triage appspot com view bug bug id 4254079
Reported by  inigo aldana  on 2013 01 23 08:27:57
</t>
  </si>
  <si>
    <t>ankidroid-Anki-Android-2529</t>
  </si>
  <si>
    <t>Old decks won't load on v 2.0</t>
  </si>
  <si>
    <t xml:space="preserve">Originally reported on Google Code with ID 1627
What steps will reproduce the problem 
1  App was working fine prior to last update 
2  When app was updated to 2 0 I could no longer see the decks that I had previously
been using 
3   Decks now no longer show up 
What is the expected output  What do you see instead 
I should see the decks that I had created on the previous version  I don t see any
decks at all 
Does it happen again every time you repeat the steps above  Or did it
happen only one time 
All the time 
What version of AnkiDroid are you using  (Decks list   menu   About   Look
at the title)
2 0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mgcollins77  on 2013 01 22 14:43:49
</t>
  </si>
  <si>
    <t>ankidroid-Anki-Android-2528</t>
  </si>
  <si>
    <t>Alternative cloze format causes crash</t>
  </si>
  <si>
    <t xml:space="preserve">Originally reported on Google Code with ID 1626
What steps will reproduce the problem 
1  Use a cloze format like   cloze:     
What is the expected output  What do you see instead 
Crashes like this one:
http:  ankidroid triage appspot com view crash crash id 4327096
Reported by  inigo aldana  on 2013 01 22 13:19:55
</t>
  </si>
  <si>
    <t>ankidroid-Anki-Android-2522</t>
  </si>
  <si>
    <t>Sync Error: The time of your device is different than that of the server by 1816 sec</t>
  </si>
  <si>
    <t xml:space="preserve">Originally reported on Google Code with ID 1620
What steps will reproduce the problem 
1  Every time I try to sync my decks  
2 
3 
What is the expected output  What do you see instead 
Sync Log:
 The time of your device is different than that of the server by 1816 sec  unable to
sync  
Does it happen again every time you repeat the steps above  Or did it
happen only one time  It happens every time I try to sync 
What version of AnkiDroid are you using  Ankidroid v2 0
On what version of Android  Samsung Galaxy Tab GT P1000
If it is a crash or  Force close  and you can reproduce it  the following
would help immensely: it s not like that
Please provide any additional information below 
Sometimes instead of 1816 sec it says 1815 or 1814 sec 
Reported by  merebeth ann MAVP  on 2013 01 20 21:15:21
</t>
  </si>
  <si>
    <t>ankidroid-Anki-Android-2517</t>
  </si>
  <si>
    <t>Suspending a card results in a crash</t>
  </si>
  <si>
    <t xml:space="preserve">Originally reported on Google Code with ID 1615
What steps will reproduce the problem 
1  Starting learning 
2  Showing an answer to a card 
3  Suspending the card 
What is the expected output  What do you see instead 
Crash 
Does it happen again every time you repeat the steps above  Or did it
happen only one time 
99  of the time  Sometimes happens only after suspending a few cards  Not necessarily
in a row 
What version of AnkiDroid are you using  (Decks list   menu   About   Look
at the title)
AnkiDroid 2 0 1beta4 
On what version of Android  (Home screen   menu   About phone   Android
version)
4 0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evilisforever  on 2013 01 18 09:14:51
 hr 
   Attachment:  SendLog txt (https:  storage googleapis com google code attachments ankidroid issue 1615 comment 0 SendLog txt) 
</t>
  </si>
  <si>
    <t>ankidroid-Anki-Android-2516</t>
  </si>
  <si>
    <t>Answers partially covered up on flashcards with images</t>
  </si>
  <si>
    <t xml:space="preserve">Originally reported on Google Code with ID 1614
What steps will reproduce the problem 
1  Create a new card by dragging a 300 by 300 pixel jpg image from a web page to the
 Front  field of a new card
2  Type text for the  Back  field of the card 
3  Study the deck with the card and view the answer screen for the card  The text from
the  Back  field is mostly covered up by the buttons with  Again    Good   or  Easy  
To see the answer you need to drag the image up 
What is the expected output  I expect the image and the answer to fully display at
the same time without being covered up by the response buttons 
What do you see instead   The answer is mostly covered by the response buttons 
Does it happen again every time you repeat the steps above  Or did it
happen only one time   It happens every time 
What version of AnkiDroid are you using  (Decks list   menu   About   Look
at the title) AnkiDroid v2 0
On what version of Android  (Home screen   menu   About phone   Android
version) 2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alanrunner  on 2013 01 17 22:25:08
</t>
  </si>
  <si>
    <t>ankidroid-Anki-Android-2515</t>
  </si>
  <si>
    <t>Synchronization error</t>
  </si>
  <si>
    <t xml:space="preserve">Originally reported on Google Code with ID 1613
What steps will reproduce the problem 
1  Synchronization 
2 
3 
What is the expected output  What do you see instead 
The flashcards should synchronize with my account on ankiweb  Instead the following
error message occurs: The time of your device is differen than that of the server by
3634 sec  the device s time zone is possibly wrong  unable to sync 
Does it happen again every time you repeat the steps above  Or did it
happen only one time 
It happens always  I was never able to synchronize the decks 
What version of AnkiDroid are you using  (Decks list   menu   About   Look
at the title)
Ankidroid v2 0
On what version of Android  (Home screen   menu   About phone   Android
version)
Android 4 0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raphaela schoon gmx de  on 2013 01 17 15:40:10
</t>
  </si>
  <si>
    <t>ankidroid-Anki-Android-2513</t>
  </si>
  <si>
    <t>Stuck on "opening collection"</t>
  </si>
  <si>
    <t xml:space="preserve">Originally reported on Google Code with ID 1611
What steps will reproduce the problem 
1  Open AnkiDroid 
What is the expected output  What do you see instead 
I expect  after a few seconds  for AnkiDroid to show me a list of my decks  Instead 
the initial loading screen with the spinner stays there indefinitely 
Does it happen again every time you repeat the steps above  Or did it
happen only one time 
Every time 
What version of AnkiDroid are you using  (Decks list   menu   About   Look
at the title)
Can t get to the decks list to check  I m pretty sure it s 2 0 4
On what version of Android  (Home screen   menu   About phone   Android
version)
Android 4 1 2
If it is a crash or  Force close  and you can reproduce it  the following
would help immensely: 1) Install the  SendLog  app  2) Reproduce the crash 
3) Immediately after  launch SendLog  4) Attach the resulting file to this
report  That will make the bug much easier to fix 
Not a crash 
Please provide any additional information below 
I ve been creating and reviewing cards on the desktop version and synchronising them
to the server  but haven t been able to open them on AnkiDroid since I connected it
to my sync account 
Reported by  mokalusofborg  on 2013 01 17 00:12:24
</t>
  </si>
  <si>
    <t>ankidroid-Anki-Android-2510</t>
  </si>
  <si>
    <t>regression: usage of card list as personalized dictionary</t>
  </si>
  <si>
    <t xml:space="preserve">Originally reported on Google Code with ID 1608
What steps will reproduce the problem 
1  open the card list for a single stack
   list all stacks
   open a single stack
   click the second button to list all cards in that stack
What is the expected output  What do you see instead 
Observere that with ankidroid v2 the list is no longer usable as a personalized dictionary 
If you have the fact that  blue  translates to  blau  in German  while  red  is  rot  
with ankidroid v1 this would appear as:
blue      blau
red       rot
Now it appears as:
blue      German Deck Name
red       German Deck Name
Obviously it is no longer usable as a personalized dictionary that way 
Moreover the presented information is totally useless 
as it will be the same for every single entry 
Thus it does not provide any additional information 
and is redundant with the title of the screen 
Expected output:
a personalized dictionary  e g 
something similar to the output of ankidroid v1
Does it happen again every time you repeat the steps above 
Or did it happen only one time 
100  reproducible  seems to be by design
What version of AnkiDroid are you using  (Decks list   menu   About   Look at the title)
AnkiDroid v2 0
On what version of Android  (Home screen   menu   About phone   Android version)
Android 4 0 4
If it is a crash or  Force close  and you can reproduce it  the following would help
immensely:
1) Install the  SendLog  app 
2) Reproduce the crash 
3) Immediately after  launch SendLog 
4) Attach the resulting file to this report 
That will make the bug much easier to fix 
not a crash
Please provide any additional information below 
All relevant information I can think of is provided above 
Reported by  m nagel mobile  on 2013 01 16 16:18:33
</t>
  </si>
  <si>
    <t>ankidroid-Anki-Android-2509</t>
  </si>
  <si>
    <t>Portrait mode not consistent with pc formatting. landscape works just fine</t>
  </si>
  <si>
    <t xml:space="preserve">Originally reported on Google Code with ID 1607
What steps will reproduce the problem 
1  Create a new deck and notes with format aligned to left in the pc application
2  Sync notes to ankidrroid latest version 
3 
What is the expected output  What do you see instead 
I expected that the format will stay constant regardless if its in portrait or landscape
orientation  However  portrait mode has a lot of awkward spaces while the landscape
mode shows it as is from the file in the pc
Does it happen again every time you repeat the steps above  Or did it
happen only one time 
It happens all the time
What version of AnkiDroid are you using  (Decks list   menu   About   Look
at the title)
On what version of Android  (Home screen   menu   About phone   Android
version)
ankidroid v2 0
Android version 4 1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johnpaulqueseng  on 2013 01 16 02:50:36
</t>
  </si>
  <si>
    <t>ankidroid-Anki-Android-2505</t>
  </si>
  <si>
    <t>Attempt to "Start Reviewing" Causes AnkiDroid to Crash - NullPointerException at CompatV11.setTitle</t>
  </si>
  <si>
    <t xml:space="preserve">Originally reported on Google Code with ID 1603
What steps will reproduce the problem 
1  Pressing the  Start Reviewing  button on my  Genki II  deck 
What is the expected output  What do you see instead 
Instead of starting to review material  AnkiDroid hard crashes  throwing up a  the
application has stopped unexpectedly  error  
Does it happen again every time you repeat the steps above  Or did it
happen only one time 
It happens every time 
What version of AnkiDroid are you using  (Decks list   menu   About   Look
at the title)
On what version of Android  (Home screen   menu   About phone   Android
version)
AnkiDroid version 2 0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My trouble shooting steps thus far:
I have deleted and reinstalled AnkiDroid  re synced my decks  and followed the trouble shooting
advice provided by Tim on the forum (https:  groups google com d msg anki android Bxfw37 j rw 6GQXeMTKg4YJ) 
Also  I followed the upgrading instructions posted on the website and have had no issues
with the version of Anki I m running on my PC 
I am including my collection of cards and the SendLog  in hopes that it helps you to
solve the problem 
Reported by  learn from lei feng  on 2013 01 15 03:09:37
 hr 
   Attachment:  collection anki2 (https:  storage googleapis com google code attachments ankidroid issue 1603 comment 0 collection anki2) 
   Attachment:  SendLog txt (https:  storage googleapis com google code attachments ankidroid issue 1603 comment 0 SendLog txt) 
</t>
  </si>
  <si>
    <t>ankidroid-Anki-Android-2502</t>
  </si>
  <si>
    <t xml:space="preserve">Menu bar has no text on it </t>
  </si>
  <si>
    <t xml:space="preserve">Originally reported on Google Code with ID 1600
What steps will reproduce the problem 
1 whenever I open the software 
2 
3 
What is the expected output  What do you see instead 
There should be some text on the menu bar  I see empty bars You can see it on the picture
I upload 
Does it happen again every time you repeat the steps above  Or did it
happen only one time 
every time 
What version of AnkiDroid are you using  (Decks list   menu   About   Look
at the title)
2 0
On what version of Android  (Home screen   menu   About phone   Android
version)
2 2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wwencchao  on 2013 01 14 14:35:37
 hr 
   Attachment: 20130114222927 png br   20130114222927 png (https:  storage googleapis com google code attachments ankidroid issue 1600 comment 0 20130114222927 png) 
   Attachment: 20130114223007 png br   20130114223007 png (https:  storage googleapis com google code attachments ankidroid issue 1600 comment 0 20130114223007 png) 
   Attachment: 20130114223029 png br   20130114223029 png (https:  storage googleapis com google code attachments ankidroid issue 1600 comment 0 20130114223029 png) 
</t>
  </si>
  <si>
    <t>ankidroid-Anki-Android-2500</t>
  </si>
  <si>
    <t>Filtered deck crash when revealing answer</t>
  </si>
  <si>
    <t xml:space="preserve">Originally reported on Google Code with ID 1598
What steps will reproduce the problem 
1 Create filtered deck 
2 Open deck
3  Click reveal answer and it crashes 
What is the expected output  What do you see instead 
Expect to see answer and continue with reviewing deck   Instead it crashes and closes
the app 
Does it happen again every time you repeat the steps above  Or did it
happen only one time 
Every single time  
What version of AnkiDroid are you using  (Decks list   menu   About   Look
at the title)
On what version of Android  (Home screen   menu   About phone   Android
version)
2 0
If it is a crash or  Force close  and you can reproduce it  the following
would help immensely: 1) Install the  SendLog  app  2) Reproduce the crash 
3) Immediately after  launch SendLog  4) Attach the resulting file to this
report  That will make the bug much easier to fix 
Have sent file from app itself   Can create SendLog if also required 
Please provide any additional information below 
Reported by  Alasdair B R Stewart  on 2013 01 13 18:31:59
</t>
  </si>
  <si>
    <t>ankidroid-Anki-Android-2497</t>
  </si>
  <si>
    <t>Cannot delete default deck</t>
  </si>
  <si>
    <t xml:space="preserve">Originally reported on Google Code with ID 1595
What steps will reproduce the problem 
1  Go to deck list
2  Long press the  Default  deck until menu appears
3  Press  Delete deck 
What is the expected output  What do you see instead 
The Default deck should disappear  but nothing happens  When I try the deletion on
the website  a message informs me that the default deck can t be removed   which seems
stupid (my other decks are organized by language  so what s the point of having a  default 
deck )  but even more stupid is the current AnkiDroid behavior 
Does it happen again every time you repeat the steps above  Or did it
happen only one time 
This is repeatable 
What version of AnkiDroid are you using  (Decks list   menu   About   Look
at the title)
2 0
On what version of Android  (Home screen   menu   About phone   Android
version)
4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 giarrusso  on 2013 01 12 23:20:56
</t>
  </si>
  <si>
    <t>ankidroid-Anki-Android-2496</t>
  </si>
  <si>
    <t xml:space="preserve"> sync downloads several megabytes of media even though no changes happened since last sync</t>
  </si>
  <si>
    <t xml:space="preserve">Originally reported on Google Code with ID 1594
What steps will reproduce the problem 
1  Sync deck (with media in it)
2  Do nothing 
3  Sync again 
What is the expected output  What do you see instead 
In step 3 most of the media is downloaded again  
Does it happen again every time you repeat the steps above  Or did it
happen only one time 
It happens every time 
What version of AnkiDroid are you using  (Decks list   menu   About   Look
at the title)
v 2 0
On what version of Android  (Home screen   menu   About phone   Android
version)
2 3 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Workaround: switch off media sync 
Reported by  jhegedus42  on 2013 01 11 19:12:00
</t>
  </si>
  <si>
    <t>ankidroid-Anki-Android-2495</t>
  </si>
  <si>
    <t>how do i uninstall the previous. version of ankidroid mobile version formy Samsung S3?</t>
  </si>
  <si>
    <t xml:space="preserve">Originally reported on Google Code with ID 1593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Karenbethmartin  on 2013 01 11 14:57:45
</t>
  </si>
  <si>
    <t>ankidroid-Anki-Android-2492</t>
  </si>
  <si>
    <t>Unable to Copy collection.anki2 from AnkiDroid2 to Anki Desktop 2</t>
  </si>
  <si>
    <t xml:space="preserve">Originally reported on Google Code with ID 1590
What steps will reproduce the problem 
1  Create a new profile on Anki Desktop 2
2  Copy the attached collection (which was from AnkiDroid2) to Anki Desktop 2 
3  Try to open that collection on Anki Desktop 2
What is the expected output  What do you see instead 
Expected: Being able to open the collection on desktop 
Observed:  Your collection is corrupt  Please see the manual    
Does it happen again every time you repeat the steps above  Or did it
happen only one time 
Every time
What version of AnkiDroid are you using  (Decks list   menu   About   Look
at the title) v2 0
AnkiDesktop 2 0 4
On what version of Android  (Home screen   menu   About phone   Android
version) 4 1 1
If it is a crash or  Force close  and you can reproduce it  the following
would help immensely: 1) Install the  SendLog  app  2) Reproduce the crash 
3) Immediately after  launch SendLog  4) Attach the resulting file to this
report  That will make the bug much easier to fix 
File is 14 MB  too large  I can send it through email to someone 
Please provide any additional information below 
Reported by  petdummy1  on 2013 01 11 03:32:55
</t>
  </si>
  <si>
    <t>ankidroid-Anki-Android-2487</t>
  </si>
  <si>
    <t xml:space="preserve">I enter correct username and password but it says invalid </t>
  </si>
  <si>
    <t xml:space="preserve">Originally reported on Google Code with ID 1585
What steps will reproduce the problem 
1  Select sync accounts 
2  Enter valid username and password 
3 
What is the expected output  What do you see instead 
Message says username or password is invalid  
Does it happen again every time you repeat the steps above  Or did it
happen only one time 
It happened on my android phone  Then I created a new user account because all the
progress I want saved is on the phone so far  When I try to sync on my android tablet
with the new account i get the username or password is invalid message  
What version of AnkiDroid are you using  (Decks list   menu   About   Look
at the title)
On what version of Android  (Home screen   menu   About phone   Android
version)
Phone : 4 0 4
Tablet: 4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have ankidroid 2 0 and am using the new ankiweb  
Reported by  tashippy  on 2013 01 09 21:55:48
</t>
  </si>
  <si>
    <t>ankidroid-Anki-Android-2486</t>
  </si>
  <si>
    <t>Fix and enhance TTS support and settings</t>
  </si>
  <si>
    <t xml:space="preserve">Originally reported on Google Code with ID 1584
What steps will reproduce the problem 
1  Review your deck  Choose TTS languages from the popup as appropriate 
2  Close Ankidroid
3  Open deck again
What is the expected output  What do you see instead 
TTS popup appears again  On Ankidroid 1 did not do so (setting were stored 
with deck and asked only once) 
Does it happen again every time you repeat the steps above  Or did it
happen only one time 
Happens on 90  of restarts 
What version of AnkiDroid are you using  (Decks list   menu   About   Look
at the title)
On what version of Android  (Home screen   menu   About phone   Android
version)
4 0 4 and 2 3 6 (2 different phones)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paulo kow  on 2013 01 09 21:26:43
</t>
  </si>
  <si>
    <t>ankidroid-Anki-Android-2485</t>
  </si>
  <si>
    <t>Sync log error: tmpSyncFromServer.zip not found</t>
  </si>
  <si>
    <t xml:space="preserve">Originally reported on Google Code with ID 1583
What steps will reproduce the problem 
1  Sync from Ankidroid client
2  Message from ankidroid: 
Sync Log
java io FileNotFoundException: storage emulated 0 AnkiDroid tmpSyncFromServer zip:
open failed: ENOENT (No such file or directory)
What is the expected output  What do you see instead 
No error message  but I get the one above 
Does it happen again every time you repeat the steps above  Or did it
happen only one time 
Every time 
What version of AnkiDroid are you using  (Decks list   menu   About   Look
at the title)
v2 0
On what version of Android  (Home screen   menu   About phone   Android
version)
4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9mWebMail  on 2013 01 09 13:03:17
</t>
  </si>
  <si>
    <t>ankidroid-Anki-Android-2481</t>
  </si>
  <si>
    <t>Sync server time is inaccurate (for Eastern Time, USA) so that cards show up too early/twice a day.</t>
  </si>
  <si>
    <t xml:space="preserve">Originally reported on Google Code with ID 1579
What steps will reproduce the problem 
1  Go through deck for the first time  say before 12 noon
2 Sync deck at  say  8pm
3  The next morning deck shows up 
4  This way  you have two card sessions showing up at different part of the day for
a single deck
What is the expected output  What do you see instead 
It should wait till the next day  around 12 or so before showing up  
Does it happen again every time you repeat the steps above  Or did it
happen only one time  Yes  it seems to happen  and I can t find anywhere in the setting
to turn it off  My desktop and phone time are in sync 
What version of AnkiDroid are you using  (Decks list   menu   About   Look
at the title) 2 0 1 beta
On what version of Android  (Home screen   menu   About phone   Android
version) 4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godcast  on 2013 01 08 02:43:38
</t>
  </si>
  <si>
    <t>ankidroid-Anki-Android-2480</t>
  </si>
  <si>
    <t>Crash when entering blank in field where number is expected</t>
  </si>
  <si>
    <t xml:space="preserve">Originally reported on Google Code with ID 1578
What steps will reproduce the problem 
1  Enter number of new review cards as blank instead of zero
2 
3 
What is the expected output  What do you see instead 
Should automatically set it to zero (or raise an error)
Does it happen again every time you repeat the steps above  Or did it
happen only one time  Always
What version of AnkiDroid are you using  (Decks list   menu   About   Look
at the title) 2 0 1 beta
On what version of Android  (Home screen   menu   About phone   Android
version) 4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godcast  on 2013 01 07 23:14:47
</t>
  </si>
  <si>
    <t>ankidroid-Anki-Android-2476</t>
  </si>
  <si>
    <t>Installation Error Ankidroid 2.0</t>
  </si>
  <si>
    <t xml:space="preserve">Originally reported on Google Code with ID 1574
What steps will reproduce the problem 
1  Install Ankidroid from Google Play Store or from download site
2 
3 
What is the expected output  What do you see instead 
During Installation get error: The packet wasn t signed correctly
(This is a translation from German) 
Does it happen again every time you repeat the steps above  Or did it
happen only one time 
Every time and also happens on Beta 23 and 2 0 1 Beta 1
What version of AnkiDroid are you using  (Decks list   menu   About   2 0 Beta 22 without
any problem 
On what version of Android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Never had any problems to install ANkidroid  This error happens from 2 0 Beta 23 onwards 
My Mobile: ZTE Blade
Reported by  hasip64  on 2013 01 07 11:50:38
</t>
  </si>
  <si>
    <t>ankidroid-Anki-Android-2466</t>
  </si>
  <si>
    <t>Play sound button disappears from question when answer is displayed</t>
  </si>
  <si>
    <t xml:space="preserve">Originally reported on Google Code with ID 1564
What steps will reproduce the problem 
1 open a deck and view the first card where there is sound track in the question box
2 press  answer  
3 the loudspeaker icon disappears and I can no longer hear the audio (this is Jap6000series)
What is the expected output  What do you see instead 
I expect to be able to hear the audio  so as to hear it as I read the Japanese : but
I can t 
Does it happen again every time you repeat the steps above  Or did it
happen only one time 
Every time  every deck
What version of AnkiDroid are you using  (Decks list   menu   About   Look
at the title) The new one (version 2) that you automatically installed WITHOUT MY ASKING
FOR IT(GRRRR) 
On what version of Android  (Home screen   menu   About phone   Android
version) LEPAN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Best  tell me in simple terms how I can go back to EXACTLY as it was before (I am 70
years old and can t understand your horrible turgid prose in your prolix instructions)
Reported by  write ser  on 2013 01 06 05:28:49
</t>
  </si>
  <si>
    <t>ankidroid-Anki-Android-2461</t>
  </si>
  <si>
    <t>malfunction of anki-data-fields</t>
  </si>
  <si>
    <t xml:space="preserve">Originally reported on Google Code with ID 1559
What steps will reproduce the problem 
1  I created a new deck with my Windows PC (Anki 2 0 3) 
2  synchronized it with my account Anki and than
3  I synchronized it with my Android Phone 
What is the expected output  What do you see instead 
I created on my pc on the front side of the card two   type: xxx    fields  which are
used at the backside too (to compare the answers)  At my PC works everything very well 
But if I open the deck on my Android Phone  it doesn t work (enclosed a screenshot) 
For example  Ankidroid shows only one of the two input fields  The second one appears
as code line  And the process of comparison doesn t work also 
Does it happen again every time you repeat the steps above  Or did it
happen only one time 
Every time 
What version of AnkiDroid are you using  (Decks list   menu   About   Look
at the title)
2 0
On what version of Android  (Home screen   menu   About phone   Android
version)
4 0 4 and the same with 4 2 1 (second phone)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Phone: Samsung Galaxy SII and the same with Galaxy Nexus (second phone)
Reported by  kommunikat77  on 2013 01 05 20:21:31
 hr 
   Attachment: Screenshot 2013 01 05 20 59 06 png br   Screenshot 2013 01 05 20 59 06 png (https:  storage googleapis com google code attachments ankidroid issue 1559 comment 0 Screenshot 2013 01 05 20 59 06 png) 
</t>
  </si>
  <si>
    <t>ankidroid-Anki-Android-2460</t>
  </si>
  <si>
    <t>All my old decks don't show up anymore after update. 2.0</t>
  </si>
  <si>
    <t xml:space="preserve">Originally reported on Google Code with ID 1558
What steps will reproduce the problem 
1 did not import old decks after update 
2 When I try to start my  anki deck or import it program says it is not a valit  apkg
file  All my decks have always been  anki
3 Kant start any of the  anki decs and have no idea what the  apkg file is 
What is the expected output  What do you see instead 
I expect to see all my decks that I was studdying to be there after the update  What
I get is a new anki with no decks  
Does it happen again every time you repeat the steps above  Or did it
happen only one time 
Every time 
What version of AnkiDroid are you using  (Decks list   menu   About   Look
at the title)
On what version of Android  (Home screen   menu   About phone   Android
version)
I now have the new 2 0 Don t know what the version what that I had before  But I had
it set in googleplay to automaticaly update  I assume its predisessor 
If it is a crash or  Force close  and you can reproduce it  the following
would help immensely: 1) Install the  SendLog  app  2) Reproduce the crash 
3) Immediately after  launch SendLog  4) Attach the resulting file to this
report  That will make the bug much easier to fix 
It does not crash  It just didn t bring over the decks I was using before 
Please provide any additional information below 
I have spent now 3 5 hours trying to get my old decks working  And I am vary unhappy 
I can not understand why they would not make the update in a way that would just bring
over all the settings and data of the older version of Anki  Any why wold it not open
the old files  anki whey the previous version would do it every time  I also keep the
files on my MicroSd card that way I could study at school on there computers with the
wondows version of anki  That still works just fine  It opens that files no problem 
but now it does not work anymore on my Azus Transformer prime tablet 
Reported by  ninomazzaro  on 2013 01 05 12:26:53
</t>
  </si>
  <si>
    <t>ankidroid-Anki-Android-2454</t>
  </si>
  <si>
    <t>System crash down</t>
  </si>
  <si>
    <t xml:space="preserve">Originally reported on Google Code with ID 1552
When I m go to menu  Preferences Language  and change language from English to Russian
at first time   program  crash down 
It happened only at first time  in the second time   language changed without challenge 
I ve Android 4 1  system language English 
I m sended feedback from anki  when it appear from start after crash down 
Reported by  novolotsky  on 2013 01 04 13:03:36
</t>
  </si>
  <si>
    <t>ankidroid-Anki-Android-2453</t>
  </si>
  <si>
    <t>Crash on Reviewer Start</t>
  </si>
  <si>
    <t xml:space="preserve">Originally reported on Google Code with ID 1551
Version: 2 0
This app keeps crashing when I want to review the cards 
java lang RuntimeException: Unable to start activity ComponentInfo com ichi2 anki com ichi2 anki Reviewer :
java lang NullPointerException
at android app ActivityThread performLaunchActivity(ActivityThread java:1751)
at android app ActivityThread handleLaunchActivity(ActivityThread java:1767)
at android app ActivityThread access 1500(ActivityThread java:122)
at android app ActivityThread H handleMessage(ActivityThread java:1005)
at android os Handler dispatchMessage(Handler java:99)
at android os Looper loop(Looper java:132)
at android app ActivityThread main(ActivityThread java:4028)
at java lang reflect Method invokeNative(Native Method)
at java lang reflect Method invoke(Method java:491)
at com android internal os ZygoteInit MethodAndArgsCaller run(ZygoteInit java:844)
at com android internal os ZygoteInit main(ZygoteInit java:602)
at dalvik system NativeStart main(Native Method)
Caused by: java lang NullPointerException
at com ichi2 compat CompatV11 setTitle(CompatV11 java:31)
at com ichi2 anki Reviewer onCreate(Reviewer java:956)
at android app Instrumentation callActivityOnCreate(Instrumentation java:1048)
at android app ActivityThread performLaunchActivity(ActivityThread java:1715)
    11 more
Reported by  NorbertNagold  on 2013 01 04 11:17:36
</t>
  </si>
  <si>
    <t>ankidroid-Anki-Android-2451</t>
  </si>
  <si>
    <t>'application not installed' installer fails</t>
  </si>
  <si>
    <t xml:space="preserve">Originally reported on Google Code with ID 1549
What steps will reproduce the problem 
1  dl v 2
2  try to intstall
3 
What is the expected output  What do you see instead 
installed app 
Instead   application not installed  installer fails 
Does it happen again every time you repeat the steps above  Or did it
happen only one time 
y
What version of AnkiDroid are you using  (Decks list   menu   About   Look
at the title)
On what version of Android  (Home screen   menu   About phone   Android
version)
2 0 beta 22  trying to install 2 0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me josequesada com  on 2013 01 04 01:31:42
</t>
  </si>
  <si>
    <t>ankidroid-Anki-Android-2450</t>
  </si>
  <si>
    <t>Cannot delete dynamic deck</t>
  </si>
  <si>
    <t xml:space="preserve">Originally reported on Google Code with ID 1548
Try to delete a dynamic deck and it crashes 
http:  ankidroid triage appspot com view bug bug id 4122330
What version of AnkiDroid are you using  (Decks list   menu   About   Look
at the title)
On what version of Android  (Home screen   menu   About phone   Android
version)
Ankidroid 2 0 and android 2 1
If it is a crash or  Force close  and you can reproduce it  the following
would help immensely: 1) Install the  SendLog  app  2) Reproduce the crash 
3) Immediately after  launch SendLog  4) Attach the resulting file to this
report  That will make the bug much easier to fix 
Report attached 
Please provide any additional information below 
Tried to sync with server to remove it  but it says the deck is corrupted 
Reported by  renato g amici  on 2013 01 04 01:25:47
 hr 
   Attachment:  SendLog txt (https:  storage googleapis com google code attachments ankidroid issue 1548 comment 0 SendLog txt) 
</t>
  </si>
  <si>
    <t>ankidroid-Anki-Android-2448</t>
  </si>
  <si>
    <t>Negative 'time remaining'</t>
  </si>
  <si>
    <t xml:space="preserve">Originally reported on Google Code with ID 1546
What steps will reproduce the problem 
1 I don t know 
What is the expected output  What do you see instead 
Time remaining is a negative number  I expect to see 10 minutes but get  5000 minutes
or so 
What version of AnkiDroid are you using  (Decks list   menu   About   Look
at the title)
2 
On what version of Android  (Home screen   menu   About phone   Android
version)
4 1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The  time studied  statistic works corrwctly on mobile  When synched to the desktop
verson 2 0 3  time studied is negative 
Reported by  thestick366  on 2013 01 03 17:05:57
</t>
  </si>
  <si>
    <t>ankidroid-Anki-Android-2447</t>
  </si>
  <si>
    <t>package file was not signed correctly</t>
  </si>
  <si>
    <t xml:space="preserve">Originally reported on Google Code with ID 1545
What steps will reproduce the problem 
1  Open play store
2  Install update from 03 01 2013
3 
What is the expected output  What do you see instead 
Error mentioned in the title 
Does it happen again every time you repeat the steps above  Or did it
happen only one time 
All the time 
What version of AnkiDroid are you using  (Decks list   menu   About   Look
at the title)
Current version is 1 1 3
On what version of Android  (Home screen   menu   About phone   Android
version)
4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misha penkov  on 2013 01 03 16:02:41
</t>
  </si>
  <si>
    <t>ankidroid-Anki-Android-2443</t>
  </si>
  <si>
    <t>Import fails to find apkg files in its folder</t>
  </si>
  <si>
    <t xml:space="preserve">Originally reported on Google Code with ID 1541
What steps will reproduce the problem 
1  Export card deck from Anki Desktop 2 03 (Windows)
2  Copy apkg file to  storage sdcard0 AnkiDroid
3  Try to import cards in AnkiDroid 2 0 beta 22
What is the expected output  What do you see instead 
I should get a new deck of cards in my set  
Instead I get an error message  telling me that no apkg files were found to import 
Does it happen again every time you repeat the steps above  Or did it
happen only one time 
It happens every time  I could not import any file yet 
What version of AnkiDroid are you using  (Decks list   menu   About   Look
at the title)
The latest public beta as of february 2nd 2013: 2 0 beta 22
On what version of Android  (Home screen   menu   About phone   Android
version)
Android 4 1 1 with Kernel 3 1 10 
Image: Acer AV051 A700 RV16RC01 EMEA DE
The device is an Acer Iconia Tab A700 tablet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have attatched the card deck which failed to be found by Ankidroid to get imported 
Reported by  norman roscher84  on 2013 01 02 05:15:49
 hr 
   Attachment:  Heterozyklen apkg (https:  storage googleapis com google code attachments ankidroid issue 1541 comment 0 Heterozyklen apkg) 
</t>
  </si>
  <si>
    <t>ankidroid-Anki-Android-2442</t>
  </si>
  <si>
    <t>"Shake" gesture feature only works once per view</t>
  </si>
  <si>
    <t xml:space="preserve">Originally reported on Google Code with ID 1540
What steps will reproduce the problem 
1  Enable gesture shake  Map  clear whiteboard  to shake  Optional: increase shake
sensitivity 
2  Open a deck and enable whiteboard  
3  Draw a stroke or two and shake  It clears the stroke  Sometimes nothing happens 
4  Draw another stroke and shake your phone like Thor  Nothing happens 
What is the expected output  What do you see instead 
It should ALWAYS clear stroke (or execute whatever key is mapped)
Does it happen again every time you repeat the steps above  Or did it
happen only one time  Yes  every single time  without fail 
What version of AnkiDroid are you using  (Decks list   menu   About   Look
at the title) beta 22 
On what version of Android  (Home screen   menu   About phone   Android
version) 4 1 (CyanogenMod)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godcast  on 2013 01 01 19:59:02
</t>
  </si>
  <si>
    <t>ankidroid-Anki-Android-2441</t>
  </si>
  <si>
    <t>Custom function does not save changes/scores into parent, and other issues.</t>
  </si>
  <si>
    <t xml:space="preserve">Originally reported on Google Code with ID 1539
What steps will reproduce the problem 
1  Attempt any of the custom function
2  Make edits and save 
3  Finish empty the custom deck
What is the expected output  What do you see instead 
It should keep changes and scores into the parent 
Another issue is the   1000  that shows up for new cards when the number is (obviously)
more than a thousand  It will be more helpful for future planning to know the exact
count (like in beta 20) 
Does it happen again every time you repeat the steps above  Or did it
happen only one time  Yes  every single time
What version of AnkiDroid are you using  (Decks list   menu   About   Look
at the title) beta 22
On what version of Android  (Home screen   menu   About phone   Android
version) 4 1 (CyanogenMod)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godcast  on 2013 01 01 19:52:23
</t>
  </si>
  <si>
    <t>ankidroid-Anki-Android-2440</t>
  </si>
  <si>
    <t>same cards showing up more than once even during the same round</t>
  </si>
  <si>
    <t xml:space="preserve">Originally reported on Google Code with ID 1538
What steps will reproduce the problem 
1  Install beta 22
2 
3 
What is the expected output  What do you see instead 
It should work at least like (if not better than) version 20 
1  Negative time shows up for all the decks but it is not as frustrating as the second
issue 
2  I am getting tasked on the same decks at least twice a day  with the same cards
showing up more than once even during the same round 
Does it happen again every time you repeat the steps above  Or did it
happen only one time  This has happened since I updated from beta 21 to 22 
What version of AnkiDroid are you using  (Decks list   menu   About   Look
at the title)
On what version of Android  (Home screen   menu   About phone   Android
version) 4 1   Jellybean  CyanogenMod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ve reverted to version 20  will post an update tomorrow 
Reported by  godcast  on 2013 01 01 19:45:02
</t>
  </si>
  <si>
    <t>ankidroid-Anki-Android-2438</t>
  </si>
  <si>
    <t>AnkiDroid 1.1.3: Reproducible NPE from "Share page -&gt; AnkiDroid card" (onCreateOptionsMenu)</t>
  </si>
  <si>
    <t xml:space="preserve">Originally reported on Google Code with ID 1536
Hi guys 
I know you re concentrating on v2  but it would be great to fix this bug if it s a
quickie    right now one can t share third party app content with AnkiDroid in this
setup :(
Thanks 
What steps will reproduce the problem 
1  Open the native browser or Chrome to any webpage
2  Select  Dots    Share page    AnkiDroid card 
What is the expected output  
A new card is created
What do you see instead 
Crash: https:  lh4 googleusercontent com  zilb 8TParo UOHiI8b7YgI AAAAAAAAphk VLyiUcbbLu8 s512 Screenshot 2012 12 31 11 02 54 png
Does it happen again every time you repeat the steps above  Or did it happen only one
time 
It happens every time 
What version of AnkiDroid are you using  (Decks list   menu   About   Look
at the title)
1 1 3
On what version of Android  (Home screen   menu   About phone   Android
version)
Jelly Bean 
SDK version 17
Release 4 2 1
Incremental version 533553
Codename REL
Board tuna
Brand google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daisystanton  on 2012 12 31 19:32:06
</t>
  </si>
  <si>
    <t>ankidroid-Anki-Android-2435</t>
  </si>
  <si>
    <t>Syncing small changes takes a very long time and uses 60-80% cpu</t>
  </si>
  <si>
    <t xml:space="preserve">Originally reported on Google Code with ID 1533
What steps will reproduce the problem 
1  After the initial full sync do a review  and then sync again
2  The sync only transfers a small time  but it takes a very long time (10 20 minutes)
and uses a majority of the phone CPU
3 
What is the expected output  What do you see instead 
Does it happen again every time you repeat the steps above  Or did it
happen only one time 
It s happened for the last 2 3 times I ve done reviews on AnkiDroid  so I stopped using
it  I m afraid it will do something to my collection 
What version of AnkiDroid are you using  (Decks list   menu   About   Look
at the title)
On what version of Android  (Home screen   menu   About phone   Android
version)
Beta 22  Android is 2 3 6 I believe  The phone is a Samsung 4G phone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DissoluteEraPhotography  on 2012 12 28 22:32:33
</t>
  </si>
  <si>
    <t>ankidroid-Anki-Android-2434</t>
  </si>
  <si>
    <t>Can't review and then crash if AnkiDroid stays open during new day crossover.</t>
  </si>
  <si>
    <t xml:space="preserve">Originally reported on Google Code with ID 1532
AnkiDroid beta 22 on Android 4 2 1 on Nexus 10 (tablet) 
If AnkiDroid remains open while the next day (in Anki offset terms) ticks over  then
AnkiDroid seems to enter some bad state  The counts on the decks are not updated  and
if you try to review  you only get a white screen in the reviewer with the spinner
in the top right  It looks like it s stuck re loading the collection 
At this point I hit back enough times close AnkiDroid (which I believe closes the collection) 
Opening AnkiDroid again shows only the splash screen  and it appears to be stuck on
it  Hitting back at this point crashes AnkiDroid 
http:  ankidroid triage appspot com view crash crash id 4157084
Reported by  Houssam Salem Au  on 2012 12 28 20:34:37
</t>
  </si>
  <si>
    <t>ankidroid-Anki-Android-2433</t>
  </si>
  <si>
    <t>Anki gets stuck on first start-up</t>
  </si>
  <si>
    <t xml:space="preserve">Originally reported on Google Code with ID 1531
What steps will reproduce the problem 
1  Go to Settings    Developer options and select Don t keep activities 
2  Go to Settings    Apps and clear AnkiDroid s data and force stop it 
3  Start the application 
4  Dismiss the  New features  dialog (with  Continue) 
5  Dismiss the  Broadcast message  dialog (with  Close ) 
What is the expected output  What do you see instead 
The application should start but instead is stuck in the splash screen 
Does it happen again every time you repeat the steps above  Or did it
happen only one time 
Every time 
What version of AnkiDroid are you using  (Decks list   menu   About   Look
at the title)
2 0 beta 22
On what version of Android  (Home screen   menu   About phone   Android
version)
4 0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flerda  on 2012 12 28 15:35:13
</t>
  </si>
  <si>
    <t>ankidroid-Anki-Android-2431</t>
  </si>
  <si>
    <t>wrong german translation of  deck options &gt; Reviews  &gt;  Minimum sibling range</t>
  </si>
  <si>
    <t xml:space="preserve">Originally reported on Google Code with ID 1529
What steps will reproduce the problem 
1 Language   German
2 open any deck goto deck options
3 goto reviews options: minimum sibling range ist translated to
 maximaler Abstand von Geschwistern   correct would be 
 minimaler Abstand von Geschwistern 
What is the expected output  What do you see instead 
expected: minimaler Abstand von Geschwistern
seen: maximaler Abstand von Geschwistern
Does it happen again every time you repeat the steps above  Or did it
happen only one time 
every time
What version of AnkiDroid are you using  (Decks list   menu   About   Look at the title)
V2 0beta22
On what version of Android  (Home screen   menu   About phone   Android
version)
2 1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hasip64  on 2012 12 25 16:03:34
</t>
  </si>
  <si>
    <t>ankidroid-Anki-Android-2430</t>
  </si>
  <si>
    <t>Crash reviewing deck on Samsung S3 with clipboard bug</t>
  </si>
  <si>
    <t xml:space="preserve">Originally reported on Google Code with ID 1528
What steps will reproduce the problem 
1  Launch Ankdroid Samsung S3 that has clipboard bug
2  Open saved deck
3  Click  Start reviewing 
4  Watch it crash 
What is the expected output  What do you see instead 
I expect it to open my deck  but it crashes instead  My S3 currently has the  clipboard
bug  http:  forum xda developers com showthread php t 1781060 but I don t want to root
my phone yet  so I have to put up with having no clipboard 
When I start Ankidroid  anki Reviewer onCreate calls into anki Reviewer clipboardSetText
which goes to ClipboardManager setPrimaryClip and that eventually leads to a NullPointerException
because of a bug in Samsung s clipboard code 
Does it happen again every time you repeat the steps above  Or did it
happen only one time 
Yup  everytime 
What version of AnkiDroid are you using  (Decks list   menu   About   Look
at the title)
1 1 3
On what version of Android  (Home screen   menu   About phone   Android
version)
4 0 4
If it is a crash or  Force close  and you can reproduce it  the following
would help immensely: 1) Install the  SendLog  app  2) Reproduce the crash 
3) Immediately after  launch SendLog  4) Attach the resulting file to this
report  That will make the bug much easier to fix 
Attached 
Please provide any additional information below 
I know this problem isn t your fault  but I d like to be able to keep using Ankidroid
without needing to root my phone at the moment  
Reported by  wilka hudson  on 2012 12 25 00:18:32
 hr 
   Attachment:  SendLog txt (https:  storage googleapis com google code attachments ankidroid issue 1528 comment 0 SendLog txt) 
</t>
  </si>
  <si>
    <t>ankidroid-Anki-Android-2429</t>
  </si>
  <si>
    <t>"Add card" crash in decks tweaked in desktop Anki</t>
  </si>
  <si>
    <t xml:space="preserve">Originally reported on Google Code with ID 1527
What steps will reproduce the problem 
1 Create a new deck within AnkiDroid  it ll only have 2 facts set 
2 Add some cards 
3 Import the deck to desktop Anki 
4 Adjust layout to have more facts as needed (3  for instance)  this step probably
 corrupts  the deck and I ll provide more details about this step below  I ll refer
to the deck as  corrupted  later on 
5 Export the deck back to  anki file  overwrite it in AnkiDroid 
6 Try adding new cards for the corrupted deck (different ways tried   from within deck s
main window and from cards browser) 
7 See excuses about unfortunate stop 
8 Loop to step 6 
What is the expected output  What do you see instead 
Expected is card edition window with 3 empty fields to type in  Crash dialog is seen
instead 
Does it happen again every time you repeat the steps above  Or did it
happen only one time 
Every time for any  corrupted  deck 
AnkiDroid version: 1 1 3
Anki desktop version: 1 2 8
Android version: 4 0 3 (release5a)  on Sony Tablet S
Please provide any additional information below 
 Corruption  step details: additional fact was added  fonts  colors and font sizes
were changed  new fonts were Glyph oriented   MS Mincho  KaiTi (for aesthetic perception) 
exported deck shows all glyph characters on droid device correctly  though fancy fonts
are not working   it all casts down to plain Arial (I don t know  if AnkiDroid does
the conversion  or the fonts are missing on my device  or the Android itself doesn t
allow messing around fonts    Couldn t figure out)  Now the corrupted deck may be edited
  all existing cards are shown properly  one might browse them all and edit any facts
as wished (though I havn t actually tried to save changes)  the deck may be reviewed 
nothing seems wrong until you try to add a new card   it crashes instantly 
I tried to  fix  the corruption: opened the deck on desktop Anki  switched all fonts
explicitly to Arial and exported it  it WORKED in 1 particular case   the deck containing
just 1 single card was  cured  and now works fine  But this didn t  cure  my other
deck with 68 cards  I finally had to convert it to plain tabulated text and re import
it to Anki desktop  loosing all schedule and layout info  This new re assembled deck
works fine currently on Ankidroid 
Reported by  rootsrwx  on 2012 12 24 12:19:03
</t>
  </si>
  <si>
    <t>ankidroid-Anki-Android-2428</t>
  </si>
  <si>
    <t>Frequent crashes on TF700, then new cards after force quit</t>
  </si>
  <si>
    <t xml:space="preserve">Originally reported on Google Code with ID 1526
What steps will reproduce the problem 
1  Run program until it freezes 
2  Force quit 
3  Open again 
What is the expected output  What do you see instead 
On version 1  the cards remaining after a force quit was the same as before   On the
beta  it loads new cards up to the maximum after each force quit   As the crash happens
2 4 times every single review cycle  I end up reviewing about 20 30 more cards per
day than I want to 
Does it happen again every time you repeat the steps above  Or did it
happen only one time 
Every time 
What version of AnkiDroid are you using  (Decks list   menu   About   Look
at the title)
AnkiDroid v2 0beta22
On what version of Android  (Home screen   menu   About phone   Android
version)
4 1 1  on ASUS Transformer Infinity TF700 tablet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Version 1 also crashed 2 4 times per review cycle on this tablet   Mobo Task Killer
shows that the tablet has plenty of memory remaining at the time of each crash  and
closing other apps does nothing to prevent it 
Reported by  christhes  on 2012 12 21 13:20:32
</t>
  </si>
  <si>
    <t>ankidroid-Anki-Android-2427</t>
  </si>
  <si>
    <t>Softkeyboard does not appear in CardEditor by default</t>
  </si>
  <si>
    <t xml:space="preserve">Originally reported on Google Code with ID 1525
What steps will reproduce the problem 
1  Click on  Add Note 
What is the expected output  What do you see instead 
Softkeyboard should open up automatically
Does it happen again every time you repeat the steps above  Or did it
happen only one time 
Everytime
What version of AnkiDroid are you using  (Decks list   menu   About   Look
at the title)
v2 0beta20
On what version of Android  (Home screen   menu   About phone   Android
version)
4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In commit 348a34c626  orbert nagold gmail com has specifically wrote the code to hide
the softkeyboard  I m not sure why this was done but according to the email conversation 
it could be useful for users editing cards to see the keyboard immediately 
Reported by  bibekshrestha  on 2012 12 21 10:32:23
</t>
  </si>
  <si>
    <t>ankidroid-Anki-Android-2425</t>
  </si>
  <si>
    <t>Drawing function during Review not working in Ankidroid 2 Beta 22</t>
  </si>
  <si>
    <t xml:space="preserve">Originally reported on Google Code with ID 1523
When reviewing cards in Ankidroid 1 3  you could use your fingers to directly draw on
the screen  This function is great for reviewing Chinese characters and Japanese Kanji 
especially while traveling when writing on paper is not possible  Active writing of
characters is essential if a learner is going to learn a character properly 
In Ank 2 0 Beta22 I could not find the function anymore 
Please bring it back  This together with the Zoom function is one of the great benefits
of Ankidroid 
Thanks a lot for your great work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helmutdav  on 2012 12 20 05:51:07
</t>
  </si>
  <si>
    <t>ankidroid-Anki-Android-2424</t>
  </si>
  <si>
    <t>Pinch to zoom / zoom function not working in Ankidroid 2 Beta 22</t>
  </si>
  <si>
    <t xml:space="preserve">Originally reported on Google Code with ID 1522
In Ankidroid 1 3 you could pinch to zoom when reviewing cards  respectively use   and
  to zoom  This function is essential for reviewing Chinese characters as learners
may need to zoom into more complex characters to see them clearly and understand all
components  Worked great in Ankidroid 1 3  Please bring it back  Thanks a lot  
I appreciate all the great work done by the Ankidroid developers 
What steps will reproduce the problem 
1 
2 
3 
What is the expected output  What do you see instead 
Does it happen again every time you repeat the steps above  Or did it
happen only one time 
What version of AnkiDroid are you using  (Decks list   menu   About   Look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helmutdav  on 2012 12 20 05:46:10
</t>
  </si>
  <si>
    <t>ankidroid-Anki-Android-2422</t>
  </si>
  <si>
    <t>cant log in to pc site fro my phone to use cards I made.</t>
  </si>
  <si>
    <t xml:space="preserve">Originally reported on Google Code with ID 1520
What steps will reproduce the problem 
1 trying to log in from andriod phone and android browser 
2 
3 
What is the expected output  What do you see instead 
I expect to use to cards frkm my pc on my phone
Does it happen again every time you repeat the steps above  Or did it
happen only one time 
Every time
What version of AnkiDroid are you using  (Decks list   menu   About   Lookmy app is
stuck in tutorial mode 
at the title)
On what version of Android  (Home screen   menu   About phone   Android
version)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talk2lonny  on 2012 12 18 23:09:46
</t>
  </si>
  <si>
    <t>ankidroid-Anki-Android-2418</t>
  </si>
  <si>
    <t>Kicked out when checking database</t>
  </si>
  <si>
    <t xml:space="preserve">Originally reported on Google Code with ID 1516
Using AnkiDroid 2 0beta22 on Archos 28 4GB  firmware 2 4 83  Android 2 2 1 
My collection is attached here: https:  code google com p ankidroid issues detail id 1449 c13
Whenever I do  Check database   it says  Checking database  Please wait     for a few
seconds  but then the screen turns black and then I am returned to the Android home launcher
screen 
There is no message saying whether the DB was successful or unsuccessful  and there
is no error message or crash report 
Log from Log Collector is attached 
Reported by  mike mikemorr com  on 2012 12 17 19:15:20
 hr 
   Attachment:  log20121712 txt (https:  storage googleapis com google code attachments ankidroid issue 1516 comment 0 log20121712 txt) 
</t>
  </si>
  <si>
    <t>ankidroid-Anki-Android-2417</t>
  </si>
  <si>
    <t>New cards lost deck style</t>
  </si>
  <si>
    <t xml:space="preserve">Originally reported on Google Code with ID 1515
What steps will reproduce the problem 
1  Add new cards
2  Review
3 
What is the expected output  What do you see instead 
The new cards should have the same style as configured in the deck  but when I created
some new cards  it has the default size  the deck configuration has different sizes
for front and back 
Does it happen again every time you repeat the steps above  Or did it
happen only one time 
Happens every time  it didn t happen in beta 20 
What version of AnkiDroid are you using  (Decks list   menu   About   Look
at the title)
On what version of Android  (Home screen   menu   About phone   Android
version)
Android 2 1 and ankidroid 2 0 beta 22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renato g amici  on 2012 12 17 17:05:27
</t>
  </si>
  <si>
    <t>ankidroid-Anki-Android-2415</t>
  </si>
  <si>
    <t>Crash on Nook Simple Touch (I have no SD card)</t>
  </si>
  <si>
    <t xml:space="preserve">Originally reported on Google Code with ID 1513
What steps will reproduce the problem 
1  NST 1 1 0 software with TouchNooter 2 1 31 to root
2  adb install beta22
What is the expected output  What do you see instead 
Shows some preliminary materials  then crashes 
Does it happen again every time you repeat the steps above  Or did it
happen only one time 
I haven t tried uninstalling 
What version of AnkiDroid are you using  (Decks list   menu   About   Look
at the title)
On what version of Android  (Home screen   menu   About phone   Android
version)
I think it s SDK version 7 or 9   Android 2 1ish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I m happy to help provide more info   
Reported by  cortland setlow  on 2012 12 17 03:41:58
 hr 
   Attachment:  stack txt (https:  storage googleapis com google code attachments ankidroid issue 1513 comment 0 stack txt) 
</t>
  </si>
  <si>
    <t>ankidroid-Anki-Android-2409</t>
  </si>
  <si>
    <t>No longer displays 'Total New Cards' in beta 21</t>
  </si>
  <si>
    <t xml:space="preserve">Originally reported on Google Code with ID 1507
What steps will reproduce the problem 
1  Install beta 21
2  Open an unfinished deck from previous version 
3  It s now zero
What is the expected output  What do you see instead 
I get the actual number when I revert back to beta 20 
Does it happen again every time you repeat the steps above  Or did it
happen only one time 
Happens all the time 
What version of AnkiDroid are you using  (Decks list   menu   About   Look
at the title) Ankidroid 2 beta 20
On what version of Android  (Home screen   menu   About phone   Android
version)  Jellybean  4 1 2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godcast  on 2012 12 13 02:17:15
</t>
  </si>
  <si>
    <t>ankidroid-Anki-Android-2408</t>
  </si>
  <si>
    <t>Sound not playing</t>
  </si>
  <si>
    <t xml:space="preserve">Originally reported on Google Code with ID 1506
What steps will reproduce the problem 
1  Start studying (shared card deck: Mastering Chinese Characters 01 (Listening Sentence
  Vocab)  It also happens with ((shared card deck: Mastering Chinese Characters 02
(Listening Sentence   Vocab)
2 
3 
What is the expected output  What do you see instead 
When a sound should be played nothing happens  when pressing the play button  nothing
happens 
Does it happen again every time you repeat the steps above  Or did it
happen only one time 
All the time  although at least once (out of tens of times) I have heard the sound
play  I can t tell what the trigger was that one time  but it might have been the first
time I tried to use the app (beta20)  a few days ago  I have tried installing the app
again (beta21) and deleting  sdcard AnkiDroid folder and all its contents and resynchronizing 
but it is still not working  The web version plays sounds just fine  both on my mobile 
as well as the desktop 
What version of AnkiDroid are you using  (Decks list   menu   About   Look
at the title)
AnkiDroid v2 0beta21 and AnkiDroid v2 0beta20
On what version of Android  (Home screen   menu   About phone   Android
version)
2 3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jorge moraleda  on 2012 12 13 01:23:14
</t>
  </si>
  <si>
    <t>ankidroid-Anki-Android-2407</t>
  </si>
  <si>
    <t>Sync Log / disk I/O error:COMMIT;</t>
  </si>
  <si>
    <t xml:space="preserve">Originally reported on Google Code with ID 1505
What steps will reproduce the problem 
1  Press sync button
2 
3 
What is the expected output  What do you see instead 
At the end of synchronization a dialog box appears with the title:
 Sync Log   the text  disk I O error:COMMIT   and an  OK  button
Does it happen again every time you repeat the steps above  Or did it
happen only one time 
All the time
What version of AnkiDroid are you using  (Decks list   menu   About   Look
at the title)
AnkiDroid v2 0beta21
On what version of Android  (Home screen   menu   About phone   Android
version)
2 3 4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jorge moraleda  on 2012 12 13 01:12:18
</t>
  </si>
  <si>
    <t>ankidroid-Anki-Android-2406</t>
  </si>
  <si>
    <t>Next card’s answer revealed early after moving card</t>
  </si>
  <si>
    <t xml:space="preserve">Originally reported on Google Code with ID 1504
What steps will reproduce the problem 
1  Have more than one deck 
2  and more then one card due in a deck 
3  Start reviewing 
4  with the  answer  shown
5  go to the menu Edit card
6  move the card to another deck
What is the expected output  What do you see instead 
The  question  of the next card due should appear 
Instead  the next cards answer is shown  without giving you a chance to ponder the
question 
Does it happen again every time you repeat the steps above  Or did it
happen only one time 
Every time 
What version of AnkiDroid are you using  (Decks list   menu   About   Look
at the title)
On what version of Android  (Home screen   menu   About phone   Android
version)
AnkiDroid: 2 0beta20 (fresh from github)
Android: 4 0 3
If it is a crash    
It is not
Please provide any additional information below 
IIRC  the desktop Anki always goes back to showing the question when you return from
the edit dialog  even when not moving cards  That seems a reasonable approach to dealing
with this 
Reported by  ospalh  on 2012 12 11 08:56:32
</t>
  </si>
  <si>
    <t>ankidroid-Anki-Android-2404</t>
  </si>
  <si>
    <t>Beta 21 :: Can't suspend cards after starting learning</t>
  </si>
  <si>
    <t xml:space="preserve">Originally reported on Google Code with ID 1502
What steps will reproduce the problem 
1  Add a new card
2  Review it
3  Choose hard
4  Try to suspend it
What is the expected output  What do you see instead 
Get a database write error and crash
Does it happen again every time you repeat the steps above  Or did it
happen only one time 
Everytime
What version of AnkiDroid are you using  (Decks list   menu   About   Look
at the title)
Beta 21
On what version of Android  (Home screen   menu   About phone   Android
version)
4 0 3
If it is a crash or  Force close  and you can reproduce it  the following
would help immensely: 1) Install the  SendLog  app  2) Reproduce the crash 
3) Immediately after  launch SendLog  4) Attach the resulting file to this
report  That will make the bug much easier to fix 
http:  ankidroid triage appspot com view bug bug id 4098138
Please provide any additional information below 
Definitely only started happening with the latest beta  this is a very common operation
for me 
Reported by  perceptualchaos2  on 2012 12 11 04:39:28
</t>
  </si>
  <si>
    <t>ankidroid-Anki-Android-2403</t>
  </si>
  <si>
    <t>Second shared deck download fails with "This is not a valid apkg file"</t>
  </si>
  <si>
    <t xml:space="preserve">Originally reported on Google Code with ID 1501
What steps will reproduce the problem 
1  get an apkg file 
2  store it under the decks path
3  use ankidroid2beta20 to open it
What is the expected output  
should import the deck
What do you see instead 
 This is not a valid apkg file 
Does it happen again every time you repeat the steps above  Or did it
happen only one time 
Everytime
What version of AnkiDroid are you using  (Decks list   menu   About   Look
at the title)
2beta20
On what version of Android  (Home screen   menu   About phone   Android
version)
2 3 7
If it is a crash or  Force close  and you can reproduce it  the following
would help immensely: 1) Install the  SendLog  app  2) Reproduce the crash 
3) Immediately after  launch SendLog  4) Attach the resulting file to this
report  That will make the bug much easier to fix 
Please provide any additional information below 
Reported by  act as coder  on 2012 12 08 08:46:50
</t>
  </si>
  <si>
    <t>ankidroid-Anki-Android-2400</t>
  </si>
  <si>
    <t>Crash when trying to do a custom study, back out, try again</t>
  </si>
  <si>
    <t xml:space="preserve">Originally reported on Google Code with ID 1498
What steps will reproduce the problem 
1  Review a deck to the end  reach congratulations screen 
2  Select to do a custom study 
3  In the dialog that appears press back 
4  From the congratulations screen select to do a custom study again 
5  Select a custom study from the list 
Crash 
What is the expected output  What do you see instead 
Expected to setup the parameters for the custom study  instead it crashed 
Does it happen again every time you repeat the steps above  Or did it
happen only one time 
Every time 
What version of AnkiDroid are you using  (Decks list   menu   About   Look
at the title)
On what version of Android  (Home screen   menu   About phone   Android
version)
Android: 2 3 6
AnkiDroid: 2 0beta20
If it is a crash or  Force close  and you can reproduce it  the following
would help immensely: 1) Install the  SendLog  app  2) Reproduce the crash 
3) Immediately after  launch SendLog  4) Attach the resulting file to this
report  That will make the bug much easier to fix 
Triage report: http:  ankidroid triage appspot com view crash crash id 4077291
Please provide any additional information below 
Reported by  inigo aldana  on 2012 12 05 02:26:44
</t>
  </si>
  <si>
    <t>Fermat-ORG-fermat-framework-970</t>
  </si>
  <si>
    <t>CRASH: Memory Leak ocasionado por el WalletStoreNetworkServiceDatabaseDao</t>
  </si>
  <si>
    <t xml:space="preserve">Existe un    memory leak    ocasionado por las conexiones de la clase   WalletStoreNetworkServiceDatabaseDao   utilizada de en un   background thread    por   WalletStoreNetworkServiceMonitoringAgent  
Esto puede solventarse utilizando de forma correcta los metodos  openDatabase  y  closeDatabase  de la interfaz   Database   en los metodos del DAO 
La excepcion reportada por el crash es
A resource was acquired at attached stack trace but never released  See java io Closeable for information on avoiding resource leaks 
    java lang Throwable: Explicit termination method  close  not called
            at dalvik system CloseGuard open(CloseGuard java:184)
            at android database sqlite SQLiteConnection  init (SQLiteConnection java:170)
            at android database sqlite SQLiteConnection open(SQLiteConnection java:190)
            at android database sqlite SQLiteConnectionPool openConnectionLocked(SQLiteConnectionPool java:463)
            at android database sqlite SQLiteConnectionPool open(SQLiteConnectionPool java:185)
            at android database sqlite SQLiteConnectionPool open(SQLiteConnectionPool java:177)
            at android database sqlite SQLiteDatabase openInner(SQLiteDatabase java:806)
            at android database sqlite SQLiteDatabase open(SQLiteDatabase java:791)
            at android database sqlite SQLiteDatabase openDatabase(SQLiteDatabase java:694)
            at com bitdubai fermat osa addon layer android database system developer bitdubai version 1 structure AndroidDatabase openDatabase(AndroidDatabase java:267)
            at com bitdubai fermat osa addon layer android database system developer bitdubai version 1 structure AndroidPluginDatabaseSystem openDatabase(AndroidPluginDatabaseSystem java:55)
            at com bitdubai fermat dmp plugin layer network service wallet store developer bitdubai version 1 structure database WalletStoreNetworkServiceDatabaseDao openDatabase(WalletStoreNetworkServiceDatabaseDao java:112)
            at com bitdubai fermat dmp plugin layer network service wallet store developer bitdubai version 1 structure database WalletStoreNetworkServiceDatabaseDao  init (WalletStoreNetworkServiceDatabaseDao java:83)
            at com bitdubai fermat dmp plugin layer network service wallet store developer bitdubai version 1 structure WalletStoreNetworkServiceMonitoringAgent Monitoring getDatabaseDao(WalletStoreNetworkServiceMonitoringAgent java:186)
            at com bitdubai fermat dmp plugin layer network service wallet store developer bitdubai version 1 structure WalletStoreNetworkServiceMonitoringAgent Monitoring areMissingIds(WalletStoreNetworkServiceMonitoringAgent java:171)
            at com bitdubai fermat dmp plugin layer network service wallet store developer bitdubai version 1 structure WalletStoreNetworkServiceMonitoringAgent Monitoring doTheMainTask(WalletStoreNetworkServiceMonitoringAgent java:149)
            at com bitdubai fermat dmp plugin layer network service wallet store developer bitdubai version 1 structure WalletStoreNetworkServiceMonitoringAgent Monitoring run(WalletStoreNetworkServiceMonitoringAgent java:130)
            at java lang Thread run(Thread java:818)
</t>
  </si>
  <si>
    <t>Fermat-ORG-fermat-framework-967</t>
  </si>
  <si>
    <t>Crash de la Reference Wallet por NullPointerException de ReferenceWalletSession</t>
  </si>
  <si>
    <t xml:space="preserve">Pasos para replicar el issue:
1  Se entra en la Reference Wallet
2  Se vuelve al Home de Fermat utilizando el back button
3  Se vuelve a entrar en la Reference Wallet
El crash reporta la siguiente excepcion:
   7 7120 7120 com bitdubai fermat E AndroidRuntime  FATAL EXCEPTION: main
    Process: com bitdubai fermat  PID: 7120
    java lang NullPointerException: Attempt to invoke virtual method  com bitdubai fermat pip api layer pip platform service error manager ErrorManager com bitdubai reference niche wallet bitcoin wallet session ReferenceWalletSession getErrorManager()  on a null object reference
            at com bitdubai reference niche wallet bitcoin wallet fragments BalanceFragment onCreate(BalanceFragment java:139)
            at android support v4 app Fragment performCreate(Fragment java:1763)
            at android support v4 app FragmentManagerImpl moveToState(FragmentManager java:913)
            at android support v4 app FragmentManagerImpl performPendingDeferredStart(FragmentManager java:842)
            at android support v4 app Fragment setUserVisibleHint(Fragment java:859)
</t>
  </si>
  <si>
    <t>Bathlamos-RTDC-73</t>
  </si>
  <si>
    <t>Application crashes when saving an Action with a modified Target</t>
  </si>
  <si>
    <t xml:space="preserve">See title  Originally discovered during July meeting when trying to edit an action s target  Upon further inspection  the application crashes whenever an Action is saved (whether it s new  changed  or unedited)  Here is the stack trace when we try to edit a target:
java lang IndexOutOfBoundsException: Invalid index 0  size is 0
            at java util ArrayList throwIndexOutOfBoundsException(ArrayList java:251)
            at java util ArrayList get(ArrayList java:304)
            at rtdc core controller AddActionController addAction(AddActionController java:71)
            at rtdc android presenter CreateActionActivity onOptionsItemSelected(CreateActionActivity java:65)
            at android app Activity onMenuItemSelected(Activity java:2548)
            at android support v4 app FragmentActivity onMenuItemSelected(FragmentActivity java:350)
            at android support v7 app ActionBarActivity onMenuItemSelected(ActionBarActivity java:155)
            at android support v7 app ActionBarActivityDelegate 1 onMenuItemSelected(ActionBarActivityDelegate java:74)
            at android support v7 widget WindowCallbackWrapper onMenuItemSelected(WindowCallbackWrapper java:44)
            at android support v7 internal app ToolbarActionBar 2 onMenuItemClick(ToolbarActionBar java:77)
            at android support v7 widget Toolbar 1 onMenuItemClick(Toolbar java:162)
            at android support v7 widget ActionMenuView MenuBuilderCallback onMenuItemSelected(ActionMenuView java:738)
            at android support v7 internal view menu MenuBuilder dispatchMenuItemSelected(MenuBuilder java:802)
            at android support v7 internal view menu MenuItemImpl invoke(MenuItemImpl java:152)
            at android support v7 internal view menu MenuBuilder performItemAction(MenuBuilder java:949)
            at android support v7 internal view menu MenuBuilder performItemAction(MenuBuilder java:939)
            at android support v7 widget ActionMenuView invokeItem(ActionMenuView java:596)
            at android support v7 internal view menu ActionMenuItemView onClick(ActionMenuItemView java:145)
            at android view View performClick(View java:4202)
            at android view View PerformClick run(View java:17340)
            at android os Handler handleCallback(Handler java:725)
            at android os Handler dispatchMessage(Handler java:92)
            at android os Looper loop(Looper java:137)
            at android app ActivityThread main(ActivityThread java:5039)
            at java lang reflect Method invokeNative(Native Method)
            at java lang reflect Method invoke(Method java:511)
            at com android internal os ZygoteInit MethodAndArgsCaller run(ZygoteInit java:793)
            at com android internal os ZygoteInit main(ZygoteInit java:560)
</t>
  </si>
  <si>
    <t>koral---android-gif-drawable-194</t>
  </si>
  <si>
    <t>Gif crashes app without stack trace or any exception information</t>
  </si>
  <si>
    <t xml:space="preserve">Hello  please try to display this gif as GifDrawable:
  image (http:  i imgur com NCF2Px1 gif)
It makes app crash and I have no stacktrace in logcat nor in Crashlitycs 
Logcat:
07 30 11:53:32 786  24503 24503 com mewe dev D dalvikvm  Late enabling CheckJNI
07 30 11:53:32 916  24503 24503 com mewe dev I Fabric  Initializing Crashlytics 2 2 4 42
07 30 11:53:32 946  24503 24503 com mewe dev I dalvikvm  Could not find method         android view Window setStatusBarColor  referenced from method     com mewe ui BaseActivity setStatusBarColor
07 30 11:53:32 946  24503 24503 com mewe dev W dalvikvm  VFY: unable to resolve virtual method 17214: Landroid view Window  setStatusBarColor (I)V
07 30 11:53:32 946  24503 24503 com mewe dev D dalvikvm  VFY: replacing opcode 0x6e at 0x000a
07 30 11:53:33 096  24503 24503 com mewe dev I Tracer  GCMHelper GCM register id   APA91bHm 1rWaeagLNioQ  oSlJqvZ3X3shJVfUBLWL5AU3008IsHOOXGpcrA3qluiEwBkqfvwZqdNYUjzD97oUiDybhLzUNo TcUpd0PejF3PIZ6Iyi4Fg
07 30 11:53:33 196  24503 24503 com mewe dev I dalvikvm  Could not find method android app ActivityManager isLowRamDevice  referenced from method         com bumptech glide load engine cache MemorySizeCalculator isLowMemoryDevice
07 30 11:53:33 206  24503 24503 com mewe dev W dalvikvm  VFY: unable to resolve virtual method 141: Landroid app ActivityManager  isLowRamDevice ()Z
07 30 11:53:33 206  24503 24503 com mewe dev D dalvikvm  VFY: replacing opcode 0x6e at 0x000a
07 30 11:53:33 206  24503 24503 com mewe dev I dalvikvm  Could not find method     android graphics Bitmap getAllocationByteCount  referenced from method com bumptech glide util Util getBitmapByteSize
07 30 11:53:33 206  24503 24503 com mewe dev W dalvikvm  VFY: unable to resolve virtual method 836: Landroid graphics Bitmap  getAllocationByteCount ()I
07 30 11:53:33 206  24503 24503 com mewe dev D dalvikvm  VFY: replacing opcode 0x6e at 0x0006
07 30 11:53:33 517  24503 24534 com mewe dev D ShortcutBadger  Finding badger
07 30 11:53:33 537  24503 24515 com mewe dev W dalvikvm  VFY: unable to find class referenced in signature (Ljava nio file Path )
07 30 11:53:33 537  24503 24534 com mewe dev D ShortcutBadger  Returning badger:me leolin shortcutbadger impl DefaultBadger
07 30 11:53:33 537  24503 24515 com mewe dev W dalvikvm  VFY: unable to find class referenced in signature ( Ljava nio file OpenOption )
07 30 11:53:33 537  24503 24515 com mewe dev I dalvikvm  Could not find method java nio file Files newOutputStream  referenced from method okio Okio sink
07 30 11:53:33 537  24503 24515 com mewe dev W dalvikvm  VFY: unable to resolve static method 48206: Ljava nio file Files  newOutputStream (Ljava nio file Path  Ljava nio file OpenOption )Ljava io OutputStream 
07 30 11:53:33 537  24503 24515 com mewe dev D dalvikvm  VFY: replacing opcode 0x71 at 0x000a
07 30 11:53:33 537  24503 24515 com mewe dev W dalvikvm  VFY: unable to find class referenced in signature (Ljava nio file Path )
07 30 11:53:33 537  24503 24515 com mewe dev W dalvikvm  VFY: unable to find class referenced in signature ( Ljava nio file OpenOption )
07 30 11:53:33 537  24503 24515 com mewe dev I dalvikvm  Could not find method java nio file Files newInputStream  referenced from method okio Okio source
07 30 11:53:33 537  24503 24515 com mewe dev W dalvikvm  VFY: unable to resolve static method 48205: Ljava nio file Files  newInputStream (Ljava nio file Path  Ljava nio file OpenOption )Ljava io InputStream 
07 30 11:53:33 537  24503 24515 com mewe dev D dalvikvm  VFY: replacing opcode 0x71 at 0x000a
07 30 11:53:33 687  24503 24503 com mewe dev D HockeyApp  Looking for exceptions in:  data data com mewe dev files
07 30 11:53:33 697  24503 24503 com mewe dev D HockeyApp  Current handler class   com crashlytics android CrashlyticsUncaughtExceptionHandler
07 30 11:53:33 797  24503 24503 com mewe dev D libEGL  loaded  system lib egl libEGL adreno200 so
07 30 11:53:33 807  24503 24503 com mewe dev D libEGL  loaded  system lib egl libGLESv1 CM adreno200 so
07 30 11:53:33 827  24503 24503 com mewe dev D libEGL  loaded  system lib egl libGLESv2 adreno200 so
07 30 11:53:33 827  24503 24503 com mewe dev I Adreno200 EGL   qeglDrvAPI eglInitialize:269 : EGL 1 4 QUALCOMM build: AU LINUX ANDROID JB VANILLA 04 02 02 60 051 msm8960 JB VANILLA CL2997615 release AU (CL2997615)
Build Date: 04 11 13 Thu
Local Branch:
Remote Branch: quic mako jb mr1
Local Patches: NONE
Reconstruct Branch: AU LINUX ANDROID JB VANILLA 04 02 02 60 051    NOTHING
07 30 11:53:33 917  24503 24503 com mewe dev D OpenGLRenderer  Enabling debug mode 0
07 30 11:53:34 658  24503 24551 com mewe dev E Tracer  SocketClient ws connected
Im using library version  1 1   
The same crash on HTC One S 4 3 1 and Genymotion Nexus 6 5 1
</t>
  </si>
  <si>
    <t>gdg-x-frisbee-453</t>
  </si>
  <si>
    <t>Small bug introduced in 2.2</t>
  </si>
  <si>
    <t xml:space="preserve">http:  crashes to s 084e28f934d
</t>
  </si>
  <si>
    <t>gdg-x-frisbee-447</t>
  </si>
  <si>
    <t xml:space="preserve">Memory Leak on Achievements implementations. </t>
  </si>
  <si>
    <t xml:space="preserve">Achievement implementation immediately leaks Activity on open  
It happens both on SettingsActivity and AboutActivity  
I think it is because of the delay with Handler implementation  It makes also the app crash a lot  I think it is the most common unresolved crash of the app in Crashlytics as of now  
In org gdg frisbee android debug:2 2 1 debug:22100 
  org gdg frisbee android activity SettingsActivity has leaked:
  GC ROOT com google android gms games internal GamesClientImpl PopupLocationInfoBinderCallbacks zzaoU
  references com google android gms games internal PopupManager PopupManagerHCMR1 zzaqt
  references com google android gms games internal GamesClientImpl mContext
  leaks org gdg frisbee android activity SettingsActivity instance
  Reference Key: 06c83aca 47c0 481a 8d31 e24a87b6c913
  Device: motorola google Nexus 6 shamu
  Android Version: 5 1 1 API: 22 LeakCanary: 1 3 1
  Durations: watch 5023ms  gc 174ms  heap dump 16281ms  analysis 27519ms
  Details:
  Instance of com google android gms games internal GamesClientImpl PopupLocationInfoBinderCallbacks
    zzaoU   com google android gms games internal PopupManager PopupManagerHCMR1  id 0x33643fc0 
    mDescriptor   java lang String  id 0x32c58240 
    mObject    2008139912
    mOwner   com google android gms games internal GamesClientImpl PopupLocationInfoBinderCallbacks  id 0x336af480 
  Instance of com google android gms games internal PopupManager PopupManagerHCMR1
    zzaoV   false
    zzaqx   java lang ref WeakReference  id 0x33644040 
    zzaqt   com google android gms games internal GamesClientImpl  id 0x335e9780 
    zzaqu   com google android gms games internal PopupManager PopupLocationInfo  id 0x33642700 
  Instance of com google android gms games internal GamesClientImpl
    zzaoQ   com google android gms games internal GamesClientImpl 1  id 0x336607d0 
    zzaoR   java lang String  id 0x32e86c80 
    zzaoS   com google android gms games PlayerEntity  id 0x335a1920 
    zzaoT   com google android gms games GameEntity  id 0x33565180 
    zzaoU   com google android gms games internal PopupManager PopupManagerHCMR1  id 0x33643fc0 
    zzaoV   false
    zzaoW   android os Binder  id 0x33643fa0 
    zzaoX   512942283
    zzaoY   com google android gms games Games GamesOptions  id 0x336426a0 
    mContext   org gdg frisbee android activity SettingsActivity  id 0x32ddc4c0 
    mHandler   com google android gms common internal zzi zzb  id 0x33643f40 
    zzMY   null
    zzWJ   java util Collections UnmodifiableSet  id 0x336605f0 
    zzWt   android os Looper  id 0x32c02040 
    zzXa   com google android gms common internal zze  id 0x336424c0 
    zzaak   com google android gms common internal zzl  id 0x32fa4ba0 
    zzaal   com google android gms common internal zzp zza zza  id 0x3366a430 
    zzaam   com google android gms common api zze zzc  id 0x3366ca80 
    zzaan   null
    zzaao   java util ArrayList  id 0x33643f20 
    zzaap   null
    zzaaq   1
    zzaar   com google android gms common api zzg 2  id 0x33660680 
    zzaas   com google android gms common api zzg 4  id 0x33643ee0 
    zzaat   1
    zzaau   java util concurrent atomic AtomicInteger  id 0x33660770 
    zzqt   java lang Object  id 0x33660760 
  Instance of org gdg frisbee android activity SettingsActivity
    mAchievementActionHandler   org gdg frisbee android achievements AchievementActionHandler  id 0x33644280 
    mActionBarToolbar   android support v7 widget Toolbar  id 0x33491400 
    mGoogleApiClient   com google android gms common api zzg  id 0x335e9700 
    mHandler   android os Handler  id 0x335fc900 
    mSignInIntent   null
    mSignInProgress   0
    scopedBus   org gdg frisbee android utils ScopedBus  id 0x336600d0 
    mCurrentPage   0
    mDelegate   android support v7 app AppCompatDelegateImplV14  id 0x33521a60 
    mAllLoaderManagers   android support v4 util SimpleArrayMap  id 0x3366c3e0 
    mCheckedForLoaderManager   true
    mContainer   android support v4 app FragmentActivity 2  id 0x336600c0 
    mCreated   true
    mFragments   android support v4 app FragmentManagerImpl  id 0x3361c0b0 
    mHandler   android support v4 app FragmentActivity 1  id 0x335fc8e0 
    mLoaderManager   null
    mLoadersStarted   false
    mOptionsMenuInvalidated   false
    mReallyStopped   true
    mResumed   false
    mRetaining   false
    mStopped   true
    mActionBar   null
    mActivityInfo   android content pm ActivityInfo  id 0x335c9080 
    mActivityTransitionState   android app ActivityTransitionState  id 0x335fb480 
    mAllLoaderManagers   android util ArrayMap  id 0x3366c3c0 
    mApplication   org gdg frisbee android app App  id 0x32e7d3a0 
    mCalled   true
    mChangeCanvasToTranslucent   false
    mChangingConfigurations   false
    mCheckedForLoaderManager   true
    mComponent   android content ComponentName  id 0x3358c100 
    mConfigChangeFlags   0
    mContainer   android app Activity 1  id 0x33660090 
    mCurrentConfig   android content res Configuration  id 0x335005e0 
    mDecor   null
    mDefaultKeyMode   0
    mDefaultKeySsb   null
    mDestroyed   true
    mDoReportFullyDrawn   false
    mEmbeddedID   null
    mEnableDefaultActionBarUp   false
    mEnterTransitionListener   android app SharedElementCallback 1  id 0x70fbc220 
    mExitTransitionListener   android app SharedElementCallback 1  id 0x70fbc220 
    mFinished   true
    mFragments   android app FragmentManagerImpl  id 0x334e8f90 
    mHandler   android os Handler  id 0x335fc8c0 
    mIdent   880166363
    mInstanceTracker   android os StrictMode InstanceTracker  id 0x336600a0 
    mInstrumentation   android app Instrumentation  id 0x32e99600 
    mIntent   android content Intent  id 0x334af080 
    mLastNonConfigurationInstances   null
    mLoaderManager   null
    mLoadersStarted   false
    mMainThread   android app ActivityThread  id 0x32c03100 
    mManagedCursors   java util ArrayList  id 0x335fc880 
    mManagedDialogs   null
    mMenuInflater   null
    mParent   null
    mReferrer   java lang String  id 0x3362f900 
    mResultCode   0
    mResultData   null
    mResumed   false
    mSearchManager   null
    mStartedActivity   false
    mStopped   true
    mTemporaryPause   false
    mTitle   java lang String  id 0x32dd2180 
    mTitleColor   0
    mTitleReady   true
    mToken   android os BinderProxy  id 0x3362f520 
    mTranslucentCallback   null
    mUiThread   java lang Thread  id 0x741a4000 
    mVisibleBehind   false
    mVisibleFromClient   true
    mVisibleFromServer   true
    mVoiceInteractor   null
    mWindow   com android internal policy impl PhoneWindow  id 0x32eafb00 
    mWindowAdded   true
    mWindowManager   android view WindowManagerImpl  id 0x335fcb40 
    mInflater   com android internal policy impl PhoneLayoutInflater  id 0x335f9280 
    mOverrideConfiguration   null
    mResources   android content res Resources  id 0x32dbd820 
    mTheme   android content res Resources Theme  id 0x335fcb60 
    mThemeResource   2131362034
    mBase   android app ContextImpl  id 0x335e9500 
</t>
  </si>
  <si>
    <t>CellularPrivacy-Android-IMSI-Catcher-Detector-595</t>
  </si>
  <si>
    <t>I was using AIMSICD a lot recently, here are some log crashes...</t>
  </si>
  <si>
    <t xml:space="preserve">I don t have much time to sort them and investigate separately so I ll just drop them here 
All of them happened when I was in a bus with WiFi and GPS on 
05 28 23:10:24 863 I ActivityManager(2085): Start proc com SecUpwN AIMSICD for activity com SecUpwN AIMSICD  AIMSICD: pid 6936 uid 10181 gids  50181  3003  1028  1023  1015 
05 28 23:10:24 963 D ActivityThread(6936): handleBindApplication:com SecUpwN AIMSICD
05 28 23:10:25 514 I AIMSICD Service(6936): Service launched successfully 
05 28 23:10:26 034 V NlpLocationProvider(2343): onSetRequest: ProviderRequest ON interval  10s0ms  by WorkSource 10181 com SecUpwN AIMSICD 
05 28 23:10:26 074 D AIMSICD (6936): CellTracker: NC list not supported by AOS on this device  Nothing to do  CID: XXXXXX
05 28 23:10:26 074 D AIMSICD (6936): CellTracker: Setting nc list present to: false
05 28 23:10:26 094 V AIMSICD (6936): LAC checked   no change on CID:XXXXXX LAC(API): 22027 LAC(DBi): 22027
05 28 23:10:26 134 I AIMSICD SignalStrength(6936): Ignored signal strength sample for CID: XXXXXX as the device is currently moving around  will not accept anything for another 29908 ms 
05 28 23:10:26 515 I ActivityManager(2085): Displayed com SecUpwN AIMSICD  AIMSICD:  1s676ms (total  11s822ms)
05 28 23:10:26 515 I Timeline(2085): Timeline: Activity windows visible id: ActivityRecord 41ec2fc8 u0 com SecUpwN AIMSICD  AIMSICD t107  time:13771920
05 28 23:10:26 555 E AndroidRuntime(6936): Process: com SecUpwN AIMSICD  PID: 6936
05 28 23:10:26 555 E AndroidRuntime(6936):  at com SecUpwN AIMSICD adapters AIMSICDDbAdapter a(SourceFile:606)
05 28 23:10:26 555 E AndroidRuntime(6936):  at com SecUpwN AIMSICD adapters AIMSICDDbAdapter insertLocation(SourceFile:422)
05 28 23:10:26 555 E AndroidRuntime(6936):  at com SecUpwN AIMSICD service CellTracker onLocationChanged(SourceFile:990)
05 28 23:10:26 575 W ActivityManager(2085):   Force finishing activity com SecUpwN AIMSICD  AIMSICD
05 28 23:10:27 285 W ActivityManager(2085): Activity pause timeout for ActivityRecord 41ec2fc8 u0 com SecUpwN AIMSICD  AIMSICD t107 f 
05 28 23:10:28 176 I ActivityManager(2085): Process com SecUpwN AIMSICD (pid 6936) has died 
05 28 23:10:28 176 I WindowState(2085): WIN DEATH: Window 41f185e0 u0 com SecUpwN AIMSICD com SecUpwN AIMSICD AIMSICD 
05 28 23:10:28 176 W ActivityManager(2085): Scheduling restart of crashed service com SecUpwN AIMSICD  service AimsicdService in 1000ms
05 28 23:10:29 197 I ActivityManager(2085): Start proc com SecUpwN AIMSICD for service com SecUpwN AIMSICD  service AimsicdService: pid 6968 uid 10181 gids  50181  3003  1028  1023  1015 
05 28 23:10:29 257 D ActivityThread(6968): handleBindApplication:com SecUpwN AIMSICD
05 28 23:10:29 518 I AIMSICD Service(6968): Service launched successfully 
05 28 23:10:29 568 D AIMSICD (6968): CellTracker: NC list not supported by AOS on this device  Nothing to do  CID: XXXXXXXXX
05 28 23:10:29 568 D AIMSICD (6968): CellTracker: Setting nc list present to: false
05 28 23:10:29 588 V AIMSICD (6968): LAC checked   no change on CID:XXXXXX LAC(API): 22027 LAC(DBi): XXXXXXXXX
05 28 23:10:29 638 I AIMSICD SignalStrength(6968): Ignored signal strength sample for CID: XXXXXXXXX as the device is currently moving around  will not accept anything for another 29679 ms 
05 28 23:10:30 048 W NotificationService(2085): Object died trying to hide notification android app ITransientNotification Stub Proxy 41e6e000 in package com SecUpwN AIMSICD
05 28 23:10:30 048 W NotificationService(2085): Object died trying to show notification android app ITransientNotification Stub Proxy 41fb3c38 in package com SecUpwN AIMSICD
05 28 23:10:30 048 W NotificationService(2085): Object died trying to show notification android app ITransientNotification Stub Proxy 4211fd88 in package com SecUpwN AIMSICD
05 28 23:10:41 389 D AIMSICD (6968): CellTracker: NC list not supported by AOS on this device  Nothing to do  CID: XXXXXX
05 28 23:10:41 389 D AIMSICD (6968): CellTracker: Setting nc list present to: false
05 28 23:10:42 570 I AIMSICD SignalStrength(6968): Ignored signal strength sample for CID: XXXXXXXXX as the device is currently moving around  will not accept anything for another 16735 ms 
05 28 23:10:43 401 V NlpLocationProvider(2343): onSetRequest: ProviderRequest ON interval  10s0ms  by WorkSource 10181 com SecUpwN AIMSICD 
05 28 23:10:43 511 E AndroidRuntime(6968): Process: com SecUpwN AIMSICD  PID: 6968
05 28 23:10:43 511 E AndroidRuntime(6968):  at com SecUpwN AIMSICD adapters AIMSICDDbAdapter a(SourceFile:606)
05 28 23:10:43 511 E AndroidRuntime(6968):  at com SecUpwN AIMSICD adapters AIMSICDDbAdapter insertLocation(SourceFile:422)
05 28 23:10:43 511 E AndroidRuntime(6968):  at com SecUpwN AIMSICD service CellTracker onLocationChanged(SourceFile:990)
05 28 23:10:45 163 I ActivityManager(2085): Process com SecUpwN AIMSICD (pid 6968) has died 
05 28 23:10:45 163 W ActivityManager(2085): Service crashed 2 times  stopping: ServiceRecord 42532b20 u0 com SecUpwN AIMSICD  service AimsicdService 
2 
07 14 08:47:05 324 V NlpLocationProvider(2466): onSetRequest: ProviderRequest ON interval  10s0ms  by WorkSource 10012 com SecUpwN AIMSICD 
07 14 08:47:05 825 V AIMSICD (7734): DbAdapter: Cell info updated in local db: XXXXXX
07 14 08:47:06 035 V AIMSICD (7734): DbAdapter: Cell info updated in local db: XXXXXX
07 14 08:47:06 205 V AIMSICD (7734): DbAdapter: Cell info updated in local db: XXXXXX
07 14 08:47:07 356 V NlpLocationProvider(2466): onSetRequest: ProviderRequest ON interval  10s0ms  by WorkSource 10012 com SecUpwN AIMSICD 
07 14 08:47:07 706 E AndroidRuntime(7734): Process: com SecUpwN AIMSICD  PID: 7734
07 14 08:47:07 706 E AndroidRuntime(7734):  at com SecUpwN AIMSICD adapters AIMSICDDbAdapter a(SourceFile:612)
07 14 08:47:07 706 E AndroidRuntime(7734):  at com SecUpwN AIMSICD adapters AIMSICDDbAdapter insertLocation(SourceFile:428)
07 14 08:47:07 706 E AndroidRuntime(7734):  at com SecUpwN AIMSICD service CellTracker onLocationChanged(SourceFile:975)
07 14 08:47:09 598 I ActivityManager(2087): Process com SecUpwN AIMSICD (pid 7734) has died 
07 14 08:47:09 598 W ActivityManager(2087): Scheduling restart of crashed service com SecUpwN AIMSICD  service AimsicdService in 1000ms
07 14 08:47:09 598 I WindowState(2087): WIN DEATH: Window 4239fd70 u0 com SecUpwN AIMSICD com SecUpwN AIMSICD AIMSICD 
07 14 08:47:09 618 W InputDispatcher(2087): channel  41d571d0 com SecUpwN AIMSICD com SecUpwN AIMSICD activities MapViewerOsmDroid (server)    Consumer closed input channel or an error occurred   events 0x9
07 14 08:47:09 618 E InputDispatcher(2087): channel  41d571d0 com SecUpwN AIMSICD com SecUpwN AIMSICD activities MapViewerOsmDroid (server)    Channel is unrecoverably broken and will be disposed 
07 14 08:47:09 718 W InputDispatcher(2087): Attempted to unregister already unregistered input channel  41d571d0 com SecUpwN AIMSICD com SecUpwN AIMSICD activities MapViewerOsmDroid (server) 
07 14 08:47:09 718 I WindowState(2087): WIN DEATH: Window 41d571d0 u0 com SecUpwN AIMSICD com SecUpwN AIMSICD activities MapViewerOsmDroid 
07 14 08:47:10 619 I ActivityManager(2087): Start proc com SecUpwN AIMSICD for service com SecUpwN AIMSICD  service AimsicdService: pid 8120 uid 10012 gids  50012  3003  1028  1023  1007  1015  3006 
07 14 08:47:10 739 D ActivityThread(8120): handleBindApplication:com SecUpwN AIMSICD
07 14 08:47:10 899 I AIMSICD (8120): SamsungMulticlientRilExecutor: BEGIN LocalSocketThread Socket
07 14 08:47:11 020 I AIMSICD Service(8120): Service launched successfully 
07 14 08:47:11 070 I AIMSICD (8120): CellTracker: checkForNeighbourCount()
07 14 08:47:11 080 D AIMSICD (8120): CellTracker: NC list not supported by AOS on this device  Nothing to do  CID: XXXXXXXXX
07 14 08:47:11 080 D AIMSICD (8120): CellTracker: Setting nc list present to: false
3 
07 14 08:55:14 843 D AIMSICD (9529): BaseActivity: StatusWatcher stopped watching
07 14 08:55:15 734 E ActivityThread(9529): Activity com SecUpwN AIMSICD AIMSICD has leaked ServiceConnection pk 41ff31d8 that was originally bound here
07 14 08:55:15 734 E ActivityThread(9529): android app ServiceConnectionLeaked: Activity com SecUpwN AIMSICD AIMSICD has leaked ServiceConnection pk 41ff31d8 that was originally bound here
07 14 08:55:15 734 E ActivityThread(9529):  at com SecUpwN AIMSICD fragments DeviceFragment onAttach(SourceFile:50)
07 14 08:55:15 734 E ActivityThread(9529):  at com SecUpwN AIMSICD AIMSICD onCreate(SourceFile:102)
07 14 08:55:15 754 E ActivityThread(9529): Activity com SecUpwN AIMSICD AIMSICD has leaked ServiceConnection pc 4200b760 that was originally bound here
07 14 08:55:15 754 E ActivityThread(9529): android app ServiceConnectionLeaked: Activity com SecUpwN AIMSICD AIMSICD has leaked ServiceConnection pc 4200b760 that was originally bound here
07 14 08:55:15 754 E ActivityThread(9529):  at com SecUpwN AIMSICD fragments CellInfoFragment onAttach(SourceFile:113)
07 14 08:55:15 754 E ActivityThread(9529):  at com SecUpwN AIMSICD AIMSICD onCreate(SourceFile:102)
07 14 08:55:15 774 E AndroidRuntime(9529): Process: com SecUpwN AIMSICD  PID: 9529
07 14 08:55:15 774 E AndroidRuntime(9529): java lang RuntimeException: Unable to stop service com SecUpwN AIMSICD service AimsicdService 41d95f90: java lang IllegalArgumentException: Receiver not registered: pw 4208d948
07 14 08:55:15 774 E AndroidRuntime(9529):  at com SecUpwN AIMSICD service CellTracker stop(SourceFile:220)
07 14 08:55:15 774 E AndroidRuntime(9529):  at com SecUpwN AIMSICD service AimsicdService onDestroy(SourceFile:117)
07 14 08:55:19 087 I ActivityManager(2087): Process com SecUpwN AIMSICD (pid 9529) has died 
07 14 12:55:53 060 I ActivityManager(2087): Start proc com SecUpwN AIMSICD for broadcast com SecUpwN AIMSICD  receiver SmsReceiver: pid 10359 uid 10012 gids  50012  3003  1028  1023  1007  1015  3006 
07 14 17:33:31 570 V AIMSICD (10359): DbAdapter: Cell info updated in local db: XXXXXXXXX
07 14 17:33:32 250 D AIMSICD (10359): CellTracker: neighbouringCellInfo empty: trying 9
07 14 17:33:33 021 I NotificationService(2087): cancelToast pkg com SecUpwN AIMSICD callback android app ITransientNotification Stub Proxy 4258d628
07 14 17:33:33 041 I NotificationService(2087): cancelToast pkg com SecUpwN AIMSICD callback android app ITransientNotification Stub Proxy 42044208
07 14 17:33:33 041 W NotificationService(2087): Toast already cancelled  pkg com SecUpwN AIMSICD callback android app ITransientNotification Stub Proxy 42044208
07 14 17:33:33 091 E AndroidRuntime(10359): Process: com SecUpwN AIMSICD  PID: 10359
07 14 17:33:33 091 E AndroidRuntime(10359):     at com SecUpwN AIMSICD utils Toaster msgLong(SourceFile:51)
07 14 17:33:33 091 E AndroidRuntime(10359):     at com SecUpwN AIMSICD utils Helpers msgLong(SourceFile:101)
07 14 17:33:33 091 E AndroidRuntime(10359):     at com SecUpwN AIMSICD utils RequestTask doInBackground(SourceFile:216)
07 14 17:33:33 091 E AndroidRuntime(10359):     at com SecUpwN AIMSICD utils RequestTask doInBackground(SourceFile:95)
07 14 17:33:33 121 W ActivityManager(2087):   Force finishing activity com SecUpwN AIMSICD  activities MapViewerOsmDroid
07 14 17:33:33 702 D AIMSICD (10359): BaseActivity: StatusWatcher stopped watching
07 14 17:33:34 072 V NlpLocationProvider(2466): onSetRequest: ProviderRequest ON interval  10s0ms  by WorkSource 10012 com SecUpwN AIMSICD 
07 21 17:46:37 255 V NlpLocationProvider(2466): onSetRequest: ProviderRequest ON interval  10s0ms  by WorkSource 10012 com SecUpwN AIMSICD  10042 com cyanogenmod lockclock 
07 21 17:46:37 315 E AndroidRuntime(25065): Process: com SecUpwN AIMSICD  PID: 25065
07 21 17:46:37 315 E AndroidRuntime(25065):     at com SecUpwN AIMSICD adapters AIMSICDDbAdapter a(SourceFile:612)
07 21 17:46:37 315 E AndroidRuntime(25065):     at com SecUpwN AIMSICD adapters AIMSICDDbAdapter insertLocation(SourceFile:428)
07 21 17:46:37 315 E AndroidRuntime(25065):     at com SecUpwN AIMSICD service CellTracker onLocationChanged(SourceFile:975)
07 21 17:46:44 242 V AIMSICD (25065): SamsungMulticlientRilExecutor: Unsolicited response 
07 21 17:46:45 886 V AIMSICD (25065): SamsungMulticlientRilExecutor: Unsolicited response 
07 21 17:46:49 359 I ActivityManager(2087): Process com SecUpwN AIMSICD (pid 25065) has died 
07 21 17:46:51 481 V NlpLocationProvider(2466): onSetRequest: ProviderRequest ON interval  10s0ms  by WorkSource 10012 com SecUpwN AIMSICD  10042 com cyanogenmod lockclock 
07 21 17:46:51 651 E AndroidRuntime(26368): Process: com SecUpwN AIMSICD  PID: 26368
07 21 17:46:51 651 E AndroidRuntime(26368):     at com SecUpwN AIMSICD adapters AIMSICDDbAdapter a(SourceFile:612)
07 21 17:46:51 651 E AndroidRuntime(26368):     at com SecUpwN AIMSICD adapters AIMSICDDbAdapter insertLocation(SourceFile:428)
07 21 17:46:51 651 E AndroidRuntime(26368):     at com SecUpwN AIMSICD service CellTracker onLocationChanged(SourceFile:975)
07 21 17:46:52 662 I ActivityManager(2087): START u0  flg 0x20000004 cmp com SecUpwN AIMSICD  AIMSICD bnds  0 77  480 172  (has extras)  from pid  1
07 21 17:47:50 818 V NlpLocationProvider(2466): onSetRequest: ProviderRequest ON interval  10s0ms  by WorkSource 10012 com SecUpwN AIMSICD 
07 21 17:47:50 908 E AndroidRuntime(26730): Process: com SecUpwN AIMSICD  PID: 26730
07 21 17:47:50 908 E AndroidRuntime(26730):     at com SecUpwN AIMSICD adapters AIMSICDDbAdapter a(SourceFile:612)
07 21 17:47:50 908 E AndroidRuntime(26730):     at com SecUpwN AIMSICD adapters AIMSICDDbAdapter insertLocation(SourceFile:428)
07 21 17:47:50 908 E AndroidRuntime(26730):     at com SecUpwN AIMSICD service CellTracker onLocationChanged(SourceFile:975)
07 21 17:47:52 850 I ActivityManager(2087): Process com SecUpwN AIMSICD (pid 26730) has died 
07 21 17:47:52 850 W ActivityManager(2087): Service crashed 2 times  stopping: ServiceRecord 42982fd8 u0 com SecUpwN AIMSICD  service AimsicdService 
I am using code from 3 days ago from development branch 
</t>
  </si>
  <si>
    <t>ukanth-afwall-399</t>
  </si>
  <si>
    <t>AFWall 2.0.0-Beta-2 GUI Crash on maguro w/ 5.1.1</t>
  </si>
  <si>
    <t xml:space="preserve">Hey Ukanth 
Unless the brief logcat provided at the link below highlights something obvious to you  please feel free to rate this as low confidence priority for now   I just updated all my devices to the new beta and one of them has the GUI force closing  though the background process still shows as running in the notification tray   I won t have any time to debug this on the device until the later part of next week   That said  the crash occurs on the most  non stock  device I have (Galaxy Nexus maguro  Android 5 1 1  rooted  XPosed w  several modules  SELinux in enforcing  etc)   That said  the GUI runs fine on a very similarly configured Nexus 5   Obviously there are a lot of things I can dial back a bit to see if they are the cause of the crash   If the logcat doesn t help you figure it out on your own  expect that I will follow up with add l testing results next week   
http:  pastebin com cH7XHQmC
</t>
  </si>
  <si>
    <t>jMonkeyEngine-jmonkeyengine-313</t>
  </si>
  <si>
    <t>Not calling Mesh.updateCounts() causes negative statistics</t>
  </si>
  <si>
    <t xml:space="preserve">If the user forgets to call  Mesh updateCounts()   the vertices   triangles value will be  1  thus causing the renderer statistics to be subtracted and eventually become negative  If the stats value is  1 the mesh should be considered invalid and crash with exception 
</t>
  </si>
  <si>
    <t>google-google-authenticator-android-30</t>
  </si>
  <si>
    <t>Crashes on setup, Android 5.0</t>
  </si>
  <si>
    <t xml:space="preserve">I just try to set up a new account and it crashes 
Samsung Galaxy S5
</t>
  </si>
  <si>
    <t>gdg-x-frisbee-457</t>
  </si>
  <si>
    <t xml:space="preserve">AchievementHandler should be redesigned. </t>
  </si>
  <si>
    <t xml:space="preserve">Here is a crash occured in AchievementHandler  It is not easy to fix  It should be redesigned  
Here is the public link to crash  
http:  crashes to s 06d4aca4397
</t>
  </si>
  <si>
    <t>Cardshifter-Cardshifter-337</t>
  </si>
  <si>
    <t>"Start Local Game" causes NPE</t>
  </si>
  <si>
    <t xml:space="preserve">  cardshifter bug (https:  cloud githubusercontent com assets 3816754 9071989 bb16127a 3af8 11e5 858a 9ea9f533b896 png)
Steps to reproduce:
1  Launch GameClient
2  Select a difficulty level
3  Press  Start Local Server 
The client does not crash  but nothing happens 
OS: Linux Mint 17 1 (64 bit)
JRE build: 1 8 0 51 b16
HotSpot build: 25 51 b03 (64 bit)
Cardshifter version: 7eb1247ff07c81b6633e7a005df14dcf74b3be0c
Stacktrace:
Exception in thread  JavaFX Application Thread  java lang RuntimeException: java lang NullPointerException
    at com cardshifter client GameClientLauncherController localGameStart(GameClientLauncherController java:202)
    at com cardshifter client GameClientLauncherController  Lambda 105 820609975 handle(Unknown Source)
    at com sun javafx event CompositeEventHandler dispatchBubblingEvent(CompositeEventHandler java:86)
    at com sun javafx event EventHandlerManager dispatchBubblingEvent(EventHandlerManager java:238)
    at com sun javafx event EventHandlerManager dispatchBubblingEvent(EventHandlerManager java:191)
    at com sun javafx event CompositeEventDispatcher dispatchBubblingEvent(CompositeEventDispatcher java:59)
    at com sun javafx event BasicEventDispatcher dispatchEvent(BasicEventDispatcher java:58)
    at com sun javafx event EventDispatchChainImpl dispatchEvent(EventDispatchChainImpl java:114)
    at com sun javafx event BasicEventDispatcher dispatchEvent(BasicEventDispatcher java:56)
    at com sun javafx event EventDispatchChainImpl dispatchEvent(EventDispatchChainImpl java:114)
    at com sun javafx event BasicEventDispatcher dispatchEvent(BasicEventDispatcher java:56)
    at com sun javafx event EventDispatchChainImpl dispatchEvent(EventDispatchChainImpl java:114)
    at com sun javafx event EventUtil fireEventImpl(EventUtil java:74)
    at com sun javafx event EventUtil fireEvent(EventUtil java:49)
    at javafx event Event fireEvent(Event java:198)
    at javafx scene Node fireEvent(Node java:8390)
    at javafx scene control Button fire(Button java:185)
    at com sun javafx scene control behavior ButtonBehavior mouseReleased(ButtonBehavior java:182)
    at com sun javafx scene control skin BehaviorSkinBase 1 handle(BehaviorSkinBase java:96)
    at com sun javafx scene control skin BehaviorSkinBase 1 handle(BehaviorSkinBase java:89)
    at com sun javafx event CompositeEventHandler NormalEventHandlerRecord handleBubblingEvent(CompositeEventHandler java:218)
    at com sun javafx event CompositeEventHandler dispatchBubblingEvent(CompositeEventHandler java:80)
    at com sun javafx event EventHandlerManager dispatchBubblingEvent(EventHandlerManager java:238)
    at com sun javafx event EventHandlerManager dispatchBubblingEvent(EventHandlerManager java:191)
    at com sun javafx event CompositeEventDispatcher dispatchBubblingEvent(CompositeEventDispatcher java:59)
    at com sun javafx event BasicEventDispatcher dispatchEvent(BasicEventDispatcher java:58)
    at com sun javafx event EventDispatchChainImpl dispatchEvent(EventDispatchChainImpl java:114)
    at com sun javafx event BasicEventDispatcher dispatchEvent(BasicEventDispatcher java:56)
    at com sun javafx event EventDispatchChainImpl dispatchEvent(EventDispatchChainImpl java:114)
    at com sun javafx event BasicEventDispatcher dispatchEvent(BasicEventDispatcher java:56)
    at com sun javafx event EventDispatchChainImpl dispatchEvent(EventDispatchChainImpl java:114)
    at com sun javafx event EventUtil fireEventImpl(EventUtil java:74)
    at com sun javafx event EventUtil fireEvent(EventUtil java:54)
    at javafx event Event fireEvent(Event java:198)
    at javafx scene Scene MouseHandler process(Scene java:3758)
    at javafx scene Scene MouseHandler access 1500(Scene java:3486)com cardshifter api outgoing NewGameMessage 210cfbd6
    at javafx scene Scene impl processMouseEvent(Scene java:1762)
    at javafx scene Scene ScenePeerListener mouseEvent(Scene java:2495)
    at com sun javafx tk quantum GlassViewEventHandler MouseEventNotification run(GlassViewEventHandler java:350)
    at com sun javafx tk quantum GlassViewEventHandler MouseEventNotification run(GlassViewEventHandler java:275)
    at java security AccessController doPrivileged(Native Method)
    at com sun javafx tk quantum GlassViewEventHandler lambda handleMouseEvent 350(GlassViewEventHandler java:385)
    at com sun javafx tk quantum GlassViewEventHandler  Lambda 220 1251657980 get(Unknown Source)
    at com sun javafx tk quantum QuantumToolkit runWithoutRenderLock(QuantumToolkit java:404)
    at com sun javafx tk quantum GlassViewEventHandler handleMouseEvent(GlassViewEventHandler java:384)
    at com sun glass ui View handleMouseEvent(View java:555)
    at com sun glass ui View notifyMouse(View java:927)
    at com sun glass ui gtk GtkApplication  runLoop(Native Method)
    at com sun glass ui gtk GtkApplication lambda null 48(GtkApplication java:139)
    at com sun glass ui gtk GtkApplication  Lambda 41 1442045361 run(Unknown Source)
    at java lang Thread run(Thread java:745)
Caused by: java lang NullPointerException
    at java io File  init (File java:317)
    at com cardshifter core game TCGGame onStart(TCGGame java:293)
    at com cardshifter core game ServerGame start(ServerGame java:80)
    at com cardshifter client GameClientLauncherController localGameStart(GameClientLauncherController java:190)
        50 more
</t>
  </si>
  <si>
    <t>Ereza-CustomActivityOnCrash-9</t>
  </si>
  <si>
    <t>add codes for clearing current activity stack before showing crash activity</t>
  </si>
  <si>
    <t xml:space="preserve">for example:
Activity A    Activity B    Activity C   now throw a RuntimeException and show CrashActivity   But when users click back key   they would see Activity B   this will make them confused  And if they click restart button   it worse   because Activity A   Activity B would still in stack   
So   i add some codes for clearing current stack before showing  crash activity   
</t>
  </si>
  <si>
    <t>koral---android-gif-drawable-196</t>
  </si>
  <si>
    <t>Unable to play Gif</t>
  </si>
  <si>
    <t xml:space="preserve">This gif has not been able to play for me  http:  i imgur com 36ao1fY gif
The way it is played is its downloaded from the URL and a GifDrawable is created by calling new GifDrawable( path to downloaded file ) and passing to the ImageView  When it loads  it starts to play and pauses after the first frame  If trying to replay it  it sometimes throw a segfault crash  
It only fails when it is downloaded from the URL  I downloaded it and re uploaded it and it played fine after that so I can t pin point it  
Edit: Observed this on a OnePlusOne Nexus 6 Running cm 12 1 and a Nexus 9 Running M Preview2
</t>
  </si>
  <si>
    <t>enviroCar-enviroCar-app-258</t>
  </si>
  <si>
    <t>broken track upload can result in duplicate tracks</t>
  </si>
  <si>
    <t xml:space="preserve">if the upload fails for whatever reason (net issues  app crashes) the upload might continue in a ghost thread and finish  the app does not realize this probably and does not store the remote ID in the database  Thus a new upload can be initiated  Consider rock stable solution: e g  local ID that is also stored on the server and an upload is rejected on server side with the same local ID 
</t>
  </si>
  <si>
    <t>mixpanel-mixpanel-android-251</t>
  </si>
  <si>
    <t>android.os.BadParcelableException: Unable to start activity ComponentInfo{com.mixpanel.android.surveys.SurveyActivity}</t>
  </si>
  <si>
    <t xml:space="preserve">Hi  
Mixpanel SDK:  com mixpanel android:mixpanel android:4 5 3 
Our app crashes with the following stack traces 
java lang RuntimeException: Unable to start activity ComponentInfo  packagename  com mixpanel android surveys SurveyActivity : android os BadParcelableException: Parcelable protocol requires a Parcelable Creator object called CREATOR on class com mixpanel android mpmetrics Survey
at android app ActivityThread performLaunchActivity(ActivityThread java:2661)
at android app ActivityThread handleLaunchActivity(ActivityThread java:2726)
at android app ActivityThread access 900(ActivityThread java:172)
at android app ActivityThread H handleMessage(ActivityThread java:1421)
at android os Handler dispatchMessage(Handler java:102)
at android os Looper loop(Looper java:145)
at android app ActivityThread main(ActivityThread java:5835)
at java lang reflect Method invoke(Native Method)
at java lang reflect Method invoke(Method java:372)
at com android internal os ZygoteInit MethodAndArgsCaller run(ZygoteInit java:1388)
at com android internal os ZygoteInit main(ZygoteInit java:1183)
Caused by: android os BadParcelableException: Parcelable protocol requires a Parcelable Creator object called CREATOR on class com mixpanel android mpmetrics Survey
at android os Parcel readParcelableCreator(Parcel java:2298)
at android os Parcel readParcelable(Parcel java:2239)
at android os Parcel readValue(Parcel java:2146)
at android os Parcel readArrayMapInternal(Parcel java:2479)
at android os BaseBundle unparcel(BaseBundle java:221)
at android os BaseBundle getInt(BaseBundle java:781)
at com mixpanel android mpmetrics UpdateDisplayState DisplayState SurveyState  init (UpdateDisplayState java:184)
at com mixpanel android mpmetrics UpdateDisplayState DisplayState SurveyState  init (UpdateDisplayState java:107)
at com mixpanel android mpmetrics UpdateDisplayState DisplayState SurveyState 1 a(UpdateDisplayState java:116)
at com mixpanel android mpmetrics UpdateDisplayState DisplayState SurveyState 1 createFromParcel(UpdateDisplayState java:111)
at android os Parcel readParcelable(Parcel java:2246)
at android os Parcel readValue(Parcel java:2146)
at android os Parcel readArrayMapInternal(Parcel java:2479)
at android os BaseBundle unparcel(BaseBundle java:221)
at android os BaseBundle getString(BaseBundle java:918)
at com mixpanel android mpmetrics UpdateDisplayState  init (UpdateDisplayState java:424)
at com mixpanel android mpmetrics UpdateDisplayState  init (UpdateDisplayState java:25)
at com mixpanel android mpmetrics UpdateDisplayState 1 a(UpdateDisplayState java:380)
at com mixpanel android mpmetrics UpdateDisplayState 1 createFromParcel(UpdateDisplayState java:375)
at android os Parcel readParcelable(Parcel java:2246)
at android os Parcel readValue(Parcel java:2146)
at android os Parcel readArrayMapInternal(Parcel java:2479)
at android os BaseBundle unparcel(BaseBundle java:221)
at android os Bundle getParcelable(Bundle java:804)
at android app Activity onCreate(Activity java:981)
at com mixpanel android surveys SurveyActivity onCreate(SurveyActivity java:65)
at android app Activity performCreate(Activity java:6221)
at android app Instrumentation callActivityOnCreate(Instrumentation java:1119)
at android app ActivityThread performLaunchActivity(ActivityThread java:2614)
    10 more
</t>
  </si>
  <si>
    <t>pietrorampini-UpdateChecker-118</t>
  </si>
  <si>
    <t>Crashlytics reports that the UpdateChecker crashes</t>
  </si>
  <si>
    <t xml:space="preserve">Hi 
thanks for writing this great update checker lib  It has been very useful in my apps 
There seems to be an issue that shows up every time there is a new release  For some reason I get these crash reports (from Crashlytics) in the logs (haven t been able to reproduce a crash on my own devices):
Error:
  Dialog java line 82
com rampo updatechecker notice Dialog show  
Logcat:
 android view WindowManager BadTokenException: Unable to add window    token android os BinderProxy 43347b38 is not valid  is your activity running 
       at android view ViewRootImpl setView(ViewRootImpl java:764)
       at android view WindowManagerGlobal addView(WindowManagerGlobal java:278)
       at android view WindowManagerImpl addView(WindowManagerImpl java:69)
       at android app Dialog show(Dialog java:289)
       at com rampo updatechecker notice Dialog show(Dialog java:82)
       at com rampo updatechecker UpdateChecker showDialog(UpdateChecker java:289)
       at com rampo updatechecker UpdateChecker foundUpdateAndShowIt(UpdateChecker java:198)
       at com rampo updatechecker UpdateChecker versionDownloadableFound(UpdateChecker java:141)
       at com rampo updatechecker ASyncCheck onPostExecute(ASyncCheck java:137)
       at com rampo updatechecker ASyncCheck onPostExecute(ASyncCheck java:44)
       at android os AsyncTask finish(AsyncTask java:632)
       at android os AsyncTask access 600(AsyncTask java:177)
       at android os AsyncTask InternalHandler handleMessage(AsyncTask java:645)
       at android os Handler dispatchMessage(Handler java:102)
       at android os Looper loop(Looper java:136)
       at android app ActivityThread main(ActivityThread java:5579)
       at java lang reflect Method invokeNative(Method java)
       at java lang reflect Method invoke(Method java:515)
       at com android internal os ZygoteInit MethodAndArgsCaller run(ZygoteInit java:1268)
       at com android internal os ZygoteInit main(ZygoteInit java:1084)
       at dalvik system NativeStart main(NativeStart java) 
Screenshot:
  fabric 2 1 6 (https:  cloud githubusercontent com assets 480019 9120488 829d6440 3c4a 11e5 8c0b 0b633d746a3b png)
Used version:
UpdateChecker 2 1 6
Implementation:
The updater code is placed in a Activity onCreate like this:
UpdateChecker checker   new UpdateChecker(this) 
checker start() 
</t>
  </si>
  <si>
    <t>mrmans0n-smart-adapters-5</t>
  </si>
  <si>
    <t>SmartAdapter is tied to needing mappings</t>
  </si>
  <si>
    <t xml:space="preserve">It is stated in the README that you setting a map between model and view is not necessary when you pass your own implementation of BindableLayoutBuilder but it is not true:
1) getItemViewType crashes because 
        Object object   listItems get(position) 
        return mapper position(object getClass()) 
throws an exception when calling position  as it cannot find any mapping
But if I add some dummy mapping to bypass this exception the problem is then a different one: The different type of cells (views) are mixed when they are reused:
Consider your own example:
Adapter:
SmartAdapter items(myObjectList)
     map(Tweet class  TweetView class)
     into(myListView) 
BindableLayoutBuilder:
public class TweetBindableLayoutBuilder implements BindableLayoutBuilder  
 Override
public BindableLayout build(ViewGroup parent  Mapper mapper  Class aClass  Object item)  
       parent   the parent  Mapper   object    view mapper defined in the SmartAdapters invocation
       aClass   current model (item) class  item   current object
    Tweet tweet   (Tweet) item 
    if (tweet hasGallery())  
        return new TweetGalleryView(parent getContext()) 
      else if (tweet hasImage())  
        return new TweetImageView(parent getContext()) 
      else if (tweet hasEmbeds())  
        return new TweetEmbedView(parent getContext()) 
      else  
        return new TweetView(parent getContext()) 
Then  inside the RecyclerView adapter method getItemViewType we have:
public int getItemViewType(int position)  
        if (listItems    null)  
            return 0 
        Object object   listItems get(position) 
        return mapper position(object getClass()) 
As the mapper will get position 0 for the class Tweet  all the cells will be considered the same so the build method of the TweetBindableLayoutBuilder could not be called a TweetImageView is needed because it reused another one  which can be of any (undesired) type like TweetView or TweetGalleryView
</t>
  </si>
  <si>
    <t>redsolution-xabber-android-520</t>
  </si>
  <si>
    <t>1.0.38 : connection / reconnection stability issues</t>
  </si>
  <si>
    <t xml:space="preserve">Folks 
after upgrading to 1 0 38 (Google Play) I experience massive issues in stability with Xabber running and switching networks  in example after turning off WiFi while leaving the office  By then  Xabber either will endlessly (and without any success) try to reconnect to my servers and or just crash to restart being offline  This wasn t the case with earlier versions  Is this just me  Related to the recent smack updates  Any way to debug what s going on  
TIA and all the best 
Kristian
</t>
  </si>
  <si>
    <t>NineWorlds-serenity-android-302</t>
  </si>
  <si>
    <t>Grid view and detail view crash in tablet me302c Android 4.3</t>
  </si>
  <si>
    <t xml:space="preserve">Hi 
I have this problem with tablet me302c and Android 4 3  When I switch the view to grid view or detail view the app crash and restart  so I can t see the grid view list   
I downloaded latest version of Serenity  hope that there is a solution because I really need something that auto update the watched status with an external player like mx player 
I can provide a logcat of the crash if this can be useful 
Thanks for reading and for the support 
Bye
Davide
</t>
  </si>
  <si>
    <t>google-ExoPlayer-694</t>
  </si>
  <si>
    <t>HLS live playbacks can crash if left paused for too long</t>
  </si>
  <si>
    <t xml:space="preserve">If chunkIndex evaluates to a negative number in HlsChunkSource  then mediaPlaylist segments get is called with an invalid index  This will either fail playback or crash the process depending on where it happens to be called from 
We should ensure that playback failure is always the outcome (with BehindLiveWindowException) 
</t>
  </si>
  <si>
    <t>google-ExoPlayer-693</t>
  </si>
  <si>
    <t>HLS - Select correct audio stream when multiple embedded streams exist</t>
  </si>
  <si>
    <t xml:space="preserve">Hello 
I want to use exoplayer for streaming HLS  som streams play fine  but I can t play some of them at all 
I have found out it is problem with audio   ts file looks like this:
Stream 0: Video  codec h264 mpeg avc
Stream 1: Audio  codec MPEG AAC Audio(mp4a)
Stream 2: Audio  codec MPEG Audio layer 1 2(mpga)
On some devices app crashes completely(eg  genymotion emulator) with : 
Unsupported mime audio mpeg L2 
  on some app works but stream doesn t play and I see this: 
com google android exoplayer ExoPlaybackException:com google android exoplayer MediaCodecTrackRenderer DecoderInitializationException: Decoder init failed:   49999   MediaFormat(audio mpeg L2  4096   1   1   1 0  2  48000   1   1   1) 
in logcat  this  happened when i tested my app on on PAP5450 duo with mediatek chip and also on Nexus 7 with Snapdragon S4  on One  One stream plays  but it lags and audio is slowed down  i guess it is some kind of problem with mpeg audio codek  is there any chance I can resolve it by myself  I am pretty noobish when it comes to video encoding  I can provide link to stream if needed for testing  Stream plays perfectly with usage of libVLC and basic MediaPlayer 
</t>
  </si>
  <si>
    <t>federicoiosue-Omni-Notes-190</t>
  </si>
  <si>
    <t>Sort Selection Crash</t>
  </si>
  <si>
    <t xml:space="preserve">When selecting the SORT icon from the note list  then selecting the same sort type that is already selected   the app crashes  
</t>
  </si>
  <si>
    <t>nerzhul-ncsms-android-64</t>
  </si>
  <si>
    <t>Application stopped working when receiving message without registered account</t>
  </si>
  <si>
    <t xml:space="preserve">1  install owncould sms app
2  ignore registration
3  receive sms
4  application crashes
</t>
  </si>
  <si>
    <t>ConnectSDK-Connect-SDK-Android-290</t>
  </si>
  <si>
    <t>Crash on cast service connected</t>
  </si>
  <si>
    <t xml:space="preserve">I got this crash report from Crashlytics:
java lang IllegalStateException: GoogleApiClient is not connected yet 
       at com google android gms common api zze zzb()
       at com google android gms common api zzg zzb()
       at com google android gms cast Cast CastApi zza joinApplication()
       at com connectsdk service CastService ConnectionCallbacks onConnected(CastService java:1206)
       at com google android gms common internal zzj zzg()
       at com google android gms common api zze zzmH()
       at com google android gms common api zze onConnected()
       at com google android gms common api zzg 2 onConnected()
       at com google android gms common internal zzi zzg zznO()
       at com google android gms common internal zzi zza zzc()
       at com google android gms common internal zzi zza zzr()
       at com google android gms common internal zzi zzc zznQ()
       at com google android gms common internal zzi zzb handleMessage()
       at android os Handler dispatchMessage(Handler java)
       at android os Looper loop(Looper java)
       at android app ActivityThread main(ActivityThread java)
       at java lang reflect Method invoke(Method java)
       at java lang reflect Method invoke(Method java:372)
       at com android internal os ZygoteInit MethodAndArgsCaller run(ZygoteInit java)
       at com android internal os ZygoteInit main(ZygoteInit java)
On line 1206 I have this:
            Cast CastApi joinApplication(mApiClient) setResultCallback(new ResultCallback Cast ApplicationConnectionResult ()  
</t>
  </si>
  <si>
    <t>Cloudkibo-Android-26</t>
  </si>
  <si>
    <t>Android crashes on receive call</t>
  </si>
  <si>
    <t xml:space="preserve">The android app crashes when we receive call from other side  However  outgoing calls from android are not crashing 
</t>
  </si>
  <si>
    <t>Ereza-CustomActivityOnCrash-12</t>
  </si>
  <si>
    <t>Bugsnag conflict</t>
  </si>
  <si>
    <t xml:space="preserve">Hi 
I noticed that library is blocking the crash analysis Bugsnag  I initialize the Bugsnag after the install of CustomActivityOnCrash  But still not notifies the bugs 
The application class:
  Override public void onCreate()  
    super onCreate() 
    initializeDependencyInjector() inject(this) 
    CustomActivityOnCrash setEnableAppRestart(true) 
    CustomActivityOnCrash setShowErrorDetails(true) 
    CustomActivityOnCrash setErrorActivityClass(CustomErrorActivity class) 
    CustomActivityOnCrash install(this) 
    ActiveAndroid initialize(this) 
    Fresco initialize(getApplicationContext()) 
    FacebookSdk sdkInitialize(this) 
    Bugsnag init(this) 
I removed the install and Bugsnag comes working 
</t>
  </si>
  <si>
    <t>zhuowei-MCPELauncher-264</t>
  </si>
  <si>
    <t>Increase Texture Map Memory Space</t>
  </si>
  <si>
    <t xml:space="preserve">Hello 
I couldn t find a feature request section  but decided this was the best place since it does cause BL to crash 
If I install a few BIG MODS  I seem to find that about 256 or so textures seems to be the MAX that one can load   If I use a MOD like Extended Craft (about 100  textures) as well as hxRedStone (about 82 textures)  that gets me almost there   Then I added a few more to bump me over 256 textures and BlockLauncher  crashes    Although if you are quick to read the error message  it is crashing because there are too many textures being added to the system 
So  can we please increase this   With the new methods of adding textures is REALLY enhances the game TREMENDOUSLY   Although  if you are trying to get your MCPE to be  just like  PC (with ExtendedCraft added)  it is not really possible with the currently allocated memory footprint for the textures 
Thanks and I wanted to thank you for working on this   It was certainly the best use of my Google Play Store funds (next to Minecraft itself ) 
</t>
  </si>
  <si>
    <t>fossasia-open-event-droidgen-70</t>
  </si>
  <si>
    <t>Fix Add bookmarks issue</t>
  </si>
  <si>
    <t xml:space="preserve">When I bookmark an already bookmarked event  the app crashes 
</t>
  </si>
  <si>
    <t>google-google-authenticator-android-31</t>
  </si>
  <si>
    <t>Crashes on time sync</t>
  </si>
  <si>
    <t xml:space="preserve">Ever since I upgraded to Android 5 0 Authenticator codes no longer work and if do  Settings    Time correction for codes    Sync now  the app crashes  
</t>
  </si>
  <si>
    <t>uPhyca-stetho-realm-6</t>
  </si>
  <si>
    <t>NoSuchMethodError is thrown with realm 0.82.1</t>
  </si>
  <si>
    <t xml:space="preserve">When I tried to open a realm file on a chrome inspector  it crashes 
 java lang NoSuchMethodError: No direct method  init (Ljava lang String Z B)V in class Lio realm internal SharedGroup  or its super classes (declaration of  io realm internal SharedGroup  appears in  data app com oldroid apps votox internal dev 3 base apk)
            at com uphyca stetho realm RealmPeerManager openSharedGroupForImplicitTransactions(RealmPeerManager java:130)
            at com uphyca stetho realm RealmPeerManager getDatabaseTableNames(RealmPeerManager java:52)
            at com uphyca stetho realm Database getDatabaseTableNames(Database java:90)
            at java lang reflect Method invoke(Native Method)
            at java lang reflect Method invoke(Method java:372)
            at com facebook stetho inspector MethodDispatcher MethodDispatchHelper invoke(MethodDispatcher java:96)
            at com facebook stetho inspector MethodDispatcher dispatch(MethodDispatcher java:67)
            at com facebook stetho inspector ChromeDevtoolsServer handleRemoteRequest(ChromeDevtoolsServer java:129)
            at com facebook stetho inspector ChromeDevtoolsServer handleRemoteMessage(ChromeDevtoolsServer java:111)
            at com facebook stetho inspector ChromeDevtoolsServer onMessage(ChromeDevtoolsServer java:87)
            at com facebook stetho websocket WebSocketSession 1 handleTextFrame(WebSocketSession java:176)
            at com facebook stetho websocket WebSocketSession 1 onCompleteFrame(WebSocketSession java:136)
            at com facebook stetho websocket ReadHandler readLoop(ReadHandler java:46)
            at com facebook stetho websocket WebSocketSession handle(WebSocketSession java:45)
            at com facebook stetho websocket WebSocketHandler doUpgrade(WebSocketHandler java:154)
            at com facebook stetho websocket WebSocketHandler handleSecured(WebSocketHandler java:106)
            at com facebook stetho server SecureHttpRequestHandler handle(SecureHttpRequestHandler java:52)
            at org apache http protocol HttpService doService(HttpService java:248)
            at org apache http protocol HttpService handleRequest(HttpService java:192)
            at com facebook stetho server LocalSocketHttpServer WorkerThread run(LocalSocketHttpServer java:233)
</t>
  </si>
  <si>
    <t>Fleker-CumulusTV-29</t>
  </si>
  <si>
    <t>Setup Crashes</t>
  </si>
  <si>
    <t xml:space="preserve">Seems to be some weird length issue  From crash report: 
java lang ArrayIndexOutOfBoundsException: length 3  index 3
at com felkertech n cumulustv SampleSetup 3 handleMessage(SampleSetup java:90)
at android os Handler dispatchMessage(Handler java:102)
at android os Looper loop(Looper java:135)
at android app ActivityThread main(ActivityThread java:5314)
at java lang reflect Method invoke(Native Method)
at java lang reflect Method invoke(Method java:372)
at com android internal os ZygoteInit MethodAndArgsCaller run(ZygoteInit java:903)
at com android internal os ZygoteInit main(ZygoteInit java:698)
</t>
  </si>
  <si>
    <t>Fleker-CumulusTV-28</t>
  </si>
  <si>
    <t>Intent crash</t>
  </si>
  <si>
    <t xml:space="preserve">From crash report
java lang NullPointerException: Attempt to invoke virtual method  boolean android content Intent migrateExtraStreamToClipData()  on a null object reference
at android app Instrumentation execStartActivity(Instrumentation java:1494)
at android app Activity startActivityForResult(Activity java:3745)
at android app Activity startActivityForResult(Activity java:3706)
at android support v4 app FragmentActivity startActivityForResult(FragmentActivity java:820)
at android app Activity startActivity(Activity java:4016)
at android app Activity startActivity(Activity java:3984)
at com felkertech n cumulustv MainActivity 4 onClick(MainActivity java:250)
at android view View performClick(View java:4780)
at android view View onKeyUp(View java:9023)
at android widget TextView onKeyUp(TextView java:5899)
at android view KeyEvent dispatch(KeyEvent java:2643)
at android view View dispatchKeyEvent(View java:8411)
at android view ViewGroup dispatchKeyEvent(ViewGroup java:1495)
at android view ViewGroup dispatchKeyEvent(ViewGroup java:1495)
at android view ViewGroup dispatchKeyEvent(ViewGroup java:1495)
at android view ViewGroup dispatchKeyEvent(ViewGroup java:1495)
at android view ViewGroup dispatchKeyEvent(ViewGroup java:1495)
at android view ViewGroup dispatchKeyEvent(ViewGroup java:1495)
at com android internal policy impl PhoneWindow DecorView superDispatchKeyEvent(PhoneWindow java:2401)
at com android internal policy impl PhoneWindow superDispatchKeyEvent(PhoneWindow java:1715)
at android app Activity dispatchKeyEvent(Activity java:2702)
at android support v7 internal view WindowCallbackWrapper dispatchKeyEvent(WindowCallbackWrapper java:49)
at android support v7 app AppCompatDelegateImplBase AppCompatWindowCallbackBase dispatchKeyEvent(AppCompatDelegateImplBase java:265)
at com android internal policy impl PhoneWindow DecorView dispatchKeyEvent(PhoneWindow java:2316)
at android view ViewRootImpl ViewPostImeInputStage processKeyEvent(ViewRootImpl java:4020)
at android view ViewRootImpl ViewPostImeInputStage onProcess(ViewRootImpl java:3982)
at android view ViewRootImpl InputStage deliver(ViewRootImpl java:3544)
at android view ViewRootImpl InputStage onDeliverToNext(ViewRootImpl java:3597)
at android view ViewRootImpl InputStage forward(ViewRootImpl java:3563)
at android view ViewRootImpl AsyncInputStage forward(ViewRootImpl java:3680)
at android view ViewRootImpl InputStage apply(ViewRootImpl java:3571)
at android view ViewRootImpl AsyncInputStage apply(ViewRootImpl java:3737)
at android view ViewRootImpl InputStage deliver(ViewRootImpl java:3544)
at android view ViewRootImpl InputStage onDeliverToNext(ViewRootImpl java:3597)
at android view ViewRootImpl InputStage forward(ViewRootImpl java:3563)
at android view ViewRootImpl InputStage apply(ViewRootImpl java:3571)
at android view ViewRootImpl InputStage deliver(ViewRootImpl java:3544)
at android view ViewRootImpl InputStage onDeliverToNext(ViewRootImpl java:3597)
at android view ViewRootImpl InputStage forward(ViewRootImpl java:3563)
at android view ViewRootImpl AsyncInputStage forward(ViewRootImpl java:3713)
at android view ViewRootImpl ImeInputStage onFinishedInputEvent(ViewRootImpl java:3874)
at android view inputmethod InputMethodManager PendingEvent run(InputMethodManager java:2208)
at android view inputmethod InputMethodManager invokeFinishedInputEventCallback(InputMethodManager java:1849)
at android view inputmethod InputMethodManager finishedInputEvent(InputMethodManager java:1840)
at android view inputmethod InputMethodManager ImeInputEventSender onInputEventFinished(InputMethodManager java:2185)
at android view InputEventSender dispatchInputEventFinished(InputEventSender java:141)
at android os MessageQueue nativePollOnce(Native Method)
at android os MessageQueue next(MessageQueue java:143)
at android os Looper loop(Looper java:122)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</si>
  <si>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bumptech-glide-578</t>
  </si>
  <si>
    <t>NoSuchMethodError being thrown in Glide.get() in Application onCreate</t>
  </si>
  <si>
    <t xml:space="preserve">Our app analytics are showing a few hundred of these crashes across a few dozen devices:
    ruby
java lang NoSuchMethodError: android app ActivityManager isLowRamDevice
    at com bumptech glide load engine cache MemorySizeCalculator isLowMemoryDevice(MemorySizeCalculator java:105) 
    at com bumptech glide load engine cache MemorySizeCalculator  init (MemorySizeCalculator java:37)
    at com bumptech glide load engine cache MemorySizeCalculator Builder build(MemorySizeCalculator java:221)
    at com bumptech glide GlideBuilder createGlide(GlideBuilder java:208)
    at com bumptech glide Glide get(Glide java:153)
    at android app Instrumentation callApplicationOnCreate(Instrumentation java:1017)
The devices crashing range from Android 4 4 0 to 5 1 1  and come from Samsung  HTC  and other OEMs 
My code inspection of MemorySizeCalculator makes me think this should be working fine  and I don t understand why the only crashes are in levels where this method should be present   Maybe bad OEM customizations 
Any ideas 
</t>
  </si>
  <si>
    <t>JordanMoffat-KitchenPal-4</t>
  </si>
  <si>
    <t>No internet Bug</t>
  </si>
  <si>
    <t xml:space="preserve">When you click the search button  and the internet is not connected  it crashes the app  Need error handling for this
</t>
  </si>
  <si>
    <t>evernote-evernote-sdk-android-50</t>
  </si>
  <si>
    <t>Invoke authorization when evernote client doesn't login could lead to crash.</t>
  </si>
  <si>
    <t xml:space="preserve">in my app  I call EvernoteSession authorize(this) to start authorization  then the evernote sdk s progress dialog show  and later  a crash dialog was shown 
I find that it only happened when I didn t login in in the Evernote app 
when I have already login in in the Evernote app  and then call EvernoteSession authorize(this) from my app It can work 
so  for simplicity  the issue is when I don t login in in the Evernote App It will crash when third part app use Evernote App to authorize  and I use YinXiangBiJi app 
here is the log message 
E Parcel  (  857): Reading a NULL string not supported here 
E msm8974 platform(  292): platform update tpa poll: Could not get ctl for mixer cmd   TPA6165 POLL ACC DET
E EN      (14193):  ev    Uncaught exception
E EN      (14193): java lang RuntimeException: Unable to start activity ComponentInfo com evernote com evernote ui landing AuthorizeThirdPartyAppActivity : java lang NullPointerException: Attempt to invoke virtual method  java lang String com evernote client b g()  on a null object reference
E EN      (14193):  at android app ActivityThread performLaunchActivity(ActivityThread java:2314)
E EN      (14193):  at android app ActivityThread handleLaunchActivity(ActivityThread java:2386)
E EN      (14193):  at android app ActivityThread access 800(ActivityThread java:148)
E EN      (14193):  at android app ActivityThread H handleMessage(ActivityThread java:1292)
E EN      (14193):  at android os Handler dispatchMessage(Handler java:102)
E EN      (14193):  at android os Looper loop(Looper java:135)
E EN      (14193):  at android app ActivityThread main(ActivityThread java:5310)
E EN      (14193):  at java lang reflect Method invoke(Native Method)
E EN      (14193):  at java lang reflect Method invoke(Method java:372)
E EN      (14193):  at com android internal os ZygoteInit MethodAndArgsCaller run(ZygoteInit java:901)
E EN      (14193):  at com android internal os ZygoteInit main(ZygoteInit java:696)
E EN      (14193): Caused by: java lang NullPointerException: Attempt to invoke virtual method  java lang String com evernote client b g()  on a null object reference
E EN      (14193):  at com evernote ui landing AuthorizeThirdPartyAppActivity g(AuthorizeThirdPartyAppActivity java:123)
E EN      (14193):  at com evernote ui landing AuthorizeThirdPartyAppActivity onCreate(AuthorizeThirdPartyAppActivity java:88)
E EN      (14193):  at android app Activity performCreate(Activity java:5953)
E EN      (14193):  at android app Instrumentation callActivityOnCreate(Instrumentation java:1128)
E EN      (14193):  at android app ActivityThread performLaunchActivity(ActivityThread java:2267)
E EN      (14193):      10 more
E EN      (14193):  ev    Uncaught exception  Notifying real exception handler
E EN      (14193): java lang RuntimeException: Unable to start activity ComponentInfo com evernote com evernote ui landing AuthorizeThirdPartyAppActivity : java lang NullPointerException: Attempt to invoke virtual method  java lang String com evernote client b g()  on a null object reference
E EN      (14193):  at android app ActivityThread performLaunchActivity(ActivityThread java:2314)
E EN      (14193):  at android app ActivityThread handleLaunchActivity(ActivityThread java:2386)
E EN      (14193):  at android app ActivityThread access 800(ActivityThread java:148)
E EN      (14193):  at android app ActivityThread H handleMessage(ActivityThread java:1292)
E EN      (14193):  at android os Handler dispatchMessage(Handler java:102)
E EN      (14193):  at android os Looper loop(Looper java:135)
E EN      (14193):  at android app ActivityThread main(ActivityThread java:5310)
E EN      (14193):  at java lang reflect Method invoke(Native Method)
E EN      (14193):  at java lang reflect Method invoke(Method java:372)
E EN      (14193):  at com android internal os ZygoteInit MethodAndArgsCaller run(ZygoteInit java:901)
E EN      (14193):  at com android internal os ZygoteInit main(ZygoteInit java:696)
E EN      (14193): Caused by: java lang NullPointerException: Attempt to invoke virtual method  java lang String com evernote client b g()  on a null object reference
E EN      (14193):  at com evernote ui landing AuthorizeThirdPartyAppActivity g(AuthorizeThirdPartyAppActivity java:123)
E EN      (14193):  at com evernote ui landing AuthorizeThirdPartyAppActivity onCreate(AuthorizeThirdPartyAppActivity java:88)
E EN      (14193):  at android app Activity performCreate(Activity java:5953)
E EN      (14193):  at android app Instrumentation callActivityOnCreate(Instrumentation java:1128)
E EN      (14193):  at android app ActivityThread performLaunchActivity(ActivityThread java:2267)
E EN      (14193):      10 more
E AndroidRuntime(14193): FATAL EXCEPTION: main
E AndroidRuntime(14193): Process: com evernote  PID: 14193
E AndroidRuntime(14193): java lang RuntimeException: Unable to start activity ComponentInfo com evernote com evernote ui landing AuthorizeThirdPartyAppActivity : java lang NullPointerException: Attempt to invoke virtual method  java lang String com evernote client b g()  on a null object reference
E AndroidRuntime(14193):    at android app ActivityThread performLaunchActivity(ActivityThread java:2314)
E AndroidRuntime(14193):    at android app ActivityThread handleLaunchActivity(ActivityThread java:2386)
E AndroidRuntime(14193):    at android app ActivityThread access 800(ActivityThread java:148)
E AndroidRuntime(14193):    at android app ActivityThread H handleMessage(ActivityThread java:1292)
E AndroidRuntime(14193):    at android os Handler dispatchMessage(Handler java:102)
E AndroidRuntime(14193):    at android os Looper loop(Looper java:135)
E AndroidRuntime(14193):    at android app ActivityThread main(ActivityThread java:5310)
E AndroidRuntime(14193):    at java lang reflect Method invoke(Native Method)
E AndroidRuntime(14193):    at java lang reflect Method invoke(Method java:372)
E AndroidRuntime(14193):    at com android internal os ZygoteInit MethodAndArgsCaller run(ZygoteInit java:901)
E AndroidRuntime(14193):    at com android internal os ZygoteInit main(ZygoteInit java:696)
E AndroidRuntime(14193): Caused by: java lang NullPointerException: Attempt to invoke virtual method  java lang String com evernote client b g()  on a null object reference
E AndroidRuntime(14193):    at com evernote ui landing AuthorizeThirdPartyAppActivity g(AuthorizeThirdPartyAppActivity java:123)
E AndroidRuntime(14193):    at com evernote ui landing AuthorizeThirdPartyAppActivity onCreate(AuthorizeThirdPartyAppActivity java:88)
E AndroidRuntime(14193):    at android app Activity performCreate(Activity java:5953)
E AndroidRuntime(14193):    at android app Instrumentation callActivityOnCreate(Instrumentation java:1128)
E AndroidRuntime(14193):    at android app ActivityThread performLaunchActivity(ActivityThread java:2267)
E AndroidRuntime(14193):        10 more
E msm8974 platform(  292): platform update tpa poll: Could not get ctl for mixer cmd   TPA6165 POLL ACC DET
</t>
  </si>
  <si>
    <t>Cloudkibo-Android-27</t>
  </si>
  <si>
    <t>Leak SocketConnection error</t>
  </si>
  <si>
    <t xml:space="preserve">After a continuous use of call  I found this bug which crashes the application  This occurs less frequently  From its logs  I came to know that this error is happening due to leaked service  I am looking into this issue and trying to understand when services are leaked  It seems that when no activity is connected to service  only then the service becomes leaked 
</t>
  </si>
  <si>
    <t>Cloudkibo-Android-46</t>
  </si>
  <si>
    <t>when web application removes contact, android crashes</t>
  </si>
  <si>
    <t xml:space="preserve">when web application removes contact that is online from android application  then android crashes
</t>
  </si>
  <si>
    <t>Cloudkibo-Android-45</t>
  </si>
  <si>
    <t>Crashes when application is closed during network call</t>
  </si>
  <si>
    <t xml:space="preserve">There was a network request to server to fetch the chat  It was not yet completed and I closed the application  I saw the crash message of app on android and in logs following was the error:
  androidruntime (https:  cloud githubusercontent com assets 5811465 9295185 34a02eb2 447e 11e5 8777 958a7530f500 PNG)
</t>
  </si>
  <si>
    <t>City-of-Bloomington-open311-android-83</t>
  </si>
  <si>
    <t>Crash on failing post request</t>
  </si>
  <si>
    <t xml:space="preserve">Hi 
it seems that this is related to  8 as the client crashs  if it gets anything else than 200 201 instead of (trying) to display the HTTP errorcode and submited (or general) details to help finding the issue 
For example currently it fails to talk to our API instance  but only with a server log you can get an idea why 
POST  citysdk requests json HTTP 1 1
Host: 172 30 x x
Content Type: multipart form data  boundary v7JVybkyLtSd4QPpxqht8yKJjnF35jsinBK1k
User Agent: GeoReporter 1 2 1 (Android 5 0 2)
X Forwarded For: 14 27 28 145  80 187 97 3
Cache Control: max age 43200
X Forwarded Host: demo klarschiff hro 
X Forwarded Server: demo klarschiff hro 
Connection: Keep Alive
Content Length: 519581
  v7JVybkyLtSd4QPpxqht8yKJjnF35jsinBK1k
Content Disposition: form data  name  service code 
67
  v7JVybkyLtSd4QPpxqht8yKJjnF35jsinBK1k
Content Disposition: form data  name  jurisdiction id 
rostock de
  v7JVybkyLtSd4QPpxqht8yKJjnF35jsinBK1k
Content Disposition: form data  name  api key 
xxx
  v7JVybkyLtSd4QPpxqht8yKJjnF35jsinBK1k
Content Disposition: form data  name  description 
Foo
  v7JVybkyLtSd4QPpxqht8yKJjnF35jsinBK1k
Content Disposition: form data  name  address string 
Thomas M ntzer Platz 37
  v7JVybkyLtSd4QPpxqht8yKJjnF35jsinBK1k
Content Disposition: form data  name  last name 
Neitz
  v7JVybkyLtSd4QPpxqht8yKJjnF35jsinBK1k
Content Disposition: form data  name  email 
test rostock de
  v7JVybkyLtSd4QPpxqht8yKJjnF35jsinBK1k
Content Disposition: form data  name  media   filename  media png 
Content Type: image png
 PNG         IEND B  
  v7JVybkyLtSd4QPpxqht8yKJjnF35jsinBK1k
Content Disposition: form data  name  lat 
54 09173902007032
  v7JVybkyLtSd4QPpxqht8yKJjnF35jsinBK1k
Content Disposition: form data  name  long 
12 103571109473705
  v7JVybkyLtSd4QPpxqht8yKJjnF35jsinBK1k
Content Disposition: form data  name  first name 
Matthias
  v7JVybkyLtSd4QPpxqht8yKJjnF35jsinBK1k  
   U_x001D_a  B   B    PV    PV q   E  4       
 _x001E_   _x001E_   P       G             
 YR   o    U7            PV    PV q   E    A       _x001E_   _x001E_   P       G     _x001F_a      
 YR   o HTTP 1 1 500 Internal Server Error
Make the app crash with Open311 java  347 NullPointerexception 
It would be nice  if the user could see an error message instead : )
</t>
  </si>
  <si>
    <t>square-okhttp-1807</t>
  </si>
  <si>
    <t>WebSocketCall IllegalStateException</t>
  </si>
  <si>
    <t xml:space="preserve">Despite the  experimental  note on okhttp ws page  I m currently using it for an App with  4 5k daily active users and I m seeing some crash reports of:
Fatal Exception: java lang IllegalStateException
Unable to take ownership of connection 
at
com squareup okhttp ws WebSocketCall createWebSocket (WebSocketCall java:157)
I can see that there is a TODO in the source for this case (https:  github com square okhttp blob master okhttp ws src main java com squareup okhttp ws WebSocketCall java L155)  Is the ws library still in development (as in: should I expect to see a fix soon) 
</t>
  </si>
  <si>
    <t>bumptech-glide-586</t>
  </si>
  <si>
    <t>NoSuchMethodError: Resources.getDisplayMetrics at MemorySizeCalculator:35</t>
  </si>
  <si>
    <t xml:space="preserve">Hey guys  I got a few crashes from Samsung(SGH S730M) with Android  4 0 4 
java lang NoSuchMethodError: android content res Resources getDisplayMetrics
       at com bumptech glide load engine cache MemorySizeCalculator (SourceFile:35)
       at com bumptech glide GlideBuilder createGlide(SourceFile:177)
       at com bumptech glide Glide get(SourceFile:155)
       at com cardinalblue android piccollage PCApplication onCreate(SourceFile:90)
       at android app Instrumentation callApplicationOnCreate(Instrumentation java:969)
       at android app ActivityThread handleBindApplication(ActivityThread java:3959)
       at android app ActivityThread access 1300(ActivityThread java:123)
       at android app ActivityThread H handleMessage(ActivityThread java:1189)
       at android os Handler dispatchMessage(Handler java:99)
       at android os Looper loop(Looper java:137)
       at android app ActivityThread main(ActivityThread java:4429)
       at java lang reflect Method invokeNative(Method java)
       at java lang reflect Method invoke(Method java:511)
       at com android internal os ZygoteInit MethodAndArgsCaller run(ZygoteInit java:791)
       at com android internal os ZygoteInit main(ZygoteInit java:558)
       at dalvik system NativeStart main(NativeStart java)
is it OEM issue 
</t>
  </si>
  <si>
    <t>jMonkeyEngine-jmonkeyengine-317</t>
  </si>
  <si>
    <t>Exception thrown when jME application is executed from SMB share</t>
  </si>
  <si>
    <t xml:space="preserve">   
java lang IllegalArgumentException: URI has an authority component
    at java io File (File java:423)
    at com jme3 asset plugins ClasspathLocator locate(ClasspathLocator java:88)
When running from a path like    abc def    jME3 crashes in  ClasspathLoader :
at   String path   new File(url toURI()) getCanonicalPath()  
Creating a File object from an SMB path isn t supported by Java ( )
</t>
  </si>
  <si>
    <t>aikuma-aikuma-528</t>
  </si>
  <si>
    <t>Crash when opening derivative file</t>
  </si>
  <si>
    <t xml:space="preserve">There s a corrupted derivative file in the kunbarlangproject account which causes Aikuma to crash:  bkyhrzpyslew kunbarlangproject gmail com interpret 322038 metadata  (Brolga story interpretation  302s long)  It has no tags  and I tried adding a language tag  but it still crashes 
https:  gist github com 4969d7e8f124be200aa2
</t>
  </si>
  <si>
    <t>ZieIony-Carbon-130</t>
  </si>
  <si>
    <t>NPE in PagerTabStrip</t>
  </si>
  <si>
    <t xml:space="preserve">My crashlytics shows some fails with PagerTabStrip  They are rare  but pretty stable and deal with different devices   I ll point the line in the file of master branch  (https:  github com ZieIony Carbon blob master carbon src main java carbon widget PagerTabStrip java L53)
    java
private ViewPager OnPageChangeListener pageChangeListener   new ViewPager OnPageChangeListener()  
         Override
        public void onPageScrolled(int position  float positionOffset  int positionOffsetPixels)  
            position   (int) Math round(position   positionOffset) 
            if (position    selectedPage)  
                View view   content getChildAt(position) 
                animator   ValueAnimator ofFloat(indicatorPos  view getLeft()) 
                animator2   ValueAnimator ofFloat(indicatorPos2  view getRight()) 
Sometimes on layout ( carbon widget LinearLayout onLayout (LinearLayout java:210) ) turns out that getChildAt(pos) returns null  Possibly  you might add null checks for  view  
Here is a full crash stack if interested:
carbon widget PagerTabStrip 1 onPageScrolled (PagerTabStrip java:52)
carbon widget ViewPager 1 onPageScrolled (ViewPager java:38)
android support v4 view ViewPager onPageScrolled (ViewPager java:1716)
android support v4 view ViewPager pageScrolled (ViewPager java:1637)
android support v4 view ViewPager scrollToItem (ViewPager java:585)
android support v4 view ViewPager onLayout (ViewPager java:1604)
android view View layout (View java:13858)
android view ViewGroup layout (ViewGroup java:4380)
android widget LinearLayout setChildFrame (LinearLayout java:1649)
android widget LinearLayout layoutVertical (LinearLayout java:1507)
android widget LinearLayout onLayout (LinearLayout java:1420)
carbon widget LinearLayout onLayout (LinearLayout java:210)
android view View layout (View java:13858)
android view ViewGroup layout (ViewGroup java:4380)
android widget RelativeLayout onLayout (RelativeLayout java:948)
carbon widget RelativeLayout onLayout (RelativeLayout java:211)
android view View layout (View java:13858)
android view ViewGroup layout (ViewGroup java:4380)
android widget FrameLayout onLayout (FrameLayout java:448)
android view View layout (View java:13858)
android view ViewGroup layout (ViewGroup java:4380)
android widget RelativeLayout onLayout (RelativeLayout java:948)
android view View layout (View java:13858)
android view ViewGroup layout (ViewGroup java:4380)
android support v4 widget DrawerLayout onLayout (DrawerLayout java:907)
android view View layout (View java:13858)
android view ViewGroup layout (ViewGroup java:4380)
android widget FrameLayout onLayout (FrameLayout java:448)
android view View layout (View java:13858)
android view ViewGroup layout (ViewGroup java:4380)
android widget LinearLayout setChildFrame (LinearLayout java:1649)
android widget LinearLayout layoutVertical (LinearLayout java:1507)
android widget LinearLayout onLayout (LinearLayout java:1420)
android view View layout (View java:13858)
android view ViewGroup layout (ViewGroup java:4380)
android widget FrameLayout onLayout (FrameLayout java:448)
android view View layout (View java:13858)
android view ViewGroup layout (ViewGroup java:4380)
android widget LinearLayout setChildFrame (LinearLayout java:1649)
android widget LinearLayout layoutVertical (LinearLayout java:1507)
android widget LinearLayout onLayout (LinearLayout java:1420)
android view View layout (View java:13858)
android view ViewGroup layout (ViewGroup java:4380)
android widget FrameLayout onLayout (FrameLayout java:448)
android view View layout (View java:13858)
android view ViewGroup layout (ViewGroup java:4380)
android view ViewRootImpl performLayout (ViewRootImpl java:2106)
android view ViewRootImpl performTraversals (ViewRootImpl java:1907)
android view ViewRootImpl doTraversal (ViewRootImpl java:1148)
android view ViewRootImpl TraversalRunnable run (ViewRootImpl java:4656)
android view Choreographer CallbackRecord run (Choreographer java:734)
android view Choreographer doCallbacks (Choreographer java:560)
android view Choreographer doFrame (Choreographer java:529)
android view Choreographer FrameDisplayEventReceiver run (Choreographer java:719)
</t>
  </si>
  <si>
    <t>projectbuendia-client-2</t>
  </si>
  <si>
    <t>Crashes when opening any patient file</t>
  </si>
  <si>
    <t xml:space="preserve">When I click on a patient from the All Patients list  or from the Go To Patient by ID dialog  the app crashes 
</t>
  </si>
  <si>
    <t>Fermat-ORG-fermat-framework-1306</t>
  </si>
  <si>
    <t>SUPER ISSUE: Solve all databases leaks</t>
  </si>
  <si>
    <t xml:space="preserve">Many databases are opened and never closed  This cause unexpected throwables to appear that shut down the app 
Some of the leaks can be identified when the app crashes but others can t  We need to inspect the code and close all databases after their use 
</t>
  </si>
  <si>
    <t>saulmm-CoordinatorBehaviorExample-2</t>
  </si>
  <si>
    <t>Some issues...</t>
  </si>
  <si>
    <t xml:space="preserve">1  Importing via git (directly via Android Studio) caused this issue to appear:
  untitled20150823230325 (https:  cloud githubusercontent com assets 5357526 9429971 bdd26d22 49eb 11e5 8368 f936d5978a1e png)
1  scrolling up too much causes a crash:
   java lang NullPointerException: Attempt to invoke virtual method  float android view MotionEvent getX()  on a null object reference
           at android view View onTouchEvent(View java:10316)
           at android support design widget CoordinatorLayout onTouchEvent(CoordinatorLayout java:449)
           at android view View dispatchTouchEvent(View java:8968)
           at android view ViewGroup dispatchTransformedTouchEvent(ViewGroup java:2698)
           at android view ViewGroup dispatchTouchEvent(ViewGroup java:2410)
           at android view ViewGroup dispatchTransformedTouchEvent(ViewGroup java:2709)
           at android view ViewGroup dispatchTouchEvent(ViewGroup java:2371)
           at android view ViewGroup dispatchTransformedTouchEvent(ViewGroup java:2709)
           at android view ViewGroup dispatchTouchEvent(ViewGroup java:2371)
           at android view ViewGroup dispatchTransformedTouchEvent(ViewGroup java:2709)
           at android view ViewGroup dispatchTouchEvent(ViewGroup java:2371)
           at android view ViewGroup dispatchTransformedTouchEvent(ViewGroup java:2709)
           at android view ViewGroup dispatchTouchEvent(ViewGroup java:2371)
           at android view ViewGroup dispatchTransformedTouchEvent(ViewGroup java:2709)
           at android view ViewGroup dispatchTouchEvent(ViewGroup java:2371)
           at android view ViewGroup dispatchTransformedTouchEvent(ViewGroup java:2709)
           at android view ViewGroup dispatchTouchEvent(ViewGroup java:2371)
           at com android internal policy impl PhoneWindow DecorView superDispatchTouchEvent(PhoneWindow java:2568)
           at com android internal policy impl PhoneWindow superDispatchTouchEvent(PhoneWindow java:1776)
           at android app Activity dispatchTouchEvent(Activity java:2866)
           at android support v7 internal view WindowCallbackWrapper dispatchTouchEvent(WindowCallbackWrapper java:60)
           at android support v7 internal view WindowCallbackWrapper dispatchTouchEvent(WindowCallbackWrapper java:60)
           at com android internal policy impl PhoneWindow DecorView dispatchTouchEvent(PhoneWindow java:2529)
           at android view View dispatchPointerEvent(View java:9173)
           at android view ViewRootImpl ViewPostImeInputStage processPointerEvent(ViewRootImpl java:4706)
           at android view ViewRootImpl ViewPostImeInputStage onProcess(ViewRootImpl java:4544)
           at android view ViewRootImpl InputStage deliver(ViewRootImpl java:4068)
           at android view ViewRootImpl InputStage onDeliverToNext(ViewRootImpl java:4121)
           at android view ViewRootImpl InputStage forward(ViewRootImpl java:4087)
           at android view ViewRootImpl AsyncInputStage forward(ViewRootImpl java:4201)
           at android view ViewRootImpl InputStage apply(ViewRootImpl java:4095)
           at android view ViewRootImpl AsyncInputStage apply(ViewRootImpl java:4258)
           at android view ViewRootImpl InputStage deliver(ViewRootImpl java:4068)
           at android view ViewRootImpl InputStage onDeliverToNext(ViewRootImpl java:4121)
           at android view ViewRootImpl InputStage forward(ViewRootImpl java:4087)
           at android view ViewRootImpl InputStage apply(ViewRootImpl java:4095)
           at android view ViewRootImpl InputStage deliver(ViewRootImpl java:4068)
           at android view ViewRootImpl deliverInputEvent(ViewRootImpl java:6564)
           at android view ViewRootImpl doProcessInputEvents(ViewRootImpl java:6454)
           at android view ViewRootImpl enqueueInputEvent(ViewRootImpl java:6425)
           at android view ViewRootImpl WindowInputEventReceiver onInputEvent(ViewRootImpl java:6654)
           at android view InputEventReceiver dispatchInputEvent(InputEventReceiver java:185)
           at android os MessageQueue nativePollOnce(Native Method)
           at android os MessageQueue next(MessageQueue java:143)
           at android os Looper loop(Looper java:130)
           at android app ActivityThread main(ActivityThread java:5942)
           at java lang reflect Method invoke(Native Method)
           at java lang reflect Method invoke(Method java:372)
           at com android internal os ZygoteInit MethodAndArgsCaller run(ZygoteInit java:1400)
           at com android internal os ZygoteInit main(ZygoteInit java:1195)
2  scrolling is very weird and  jumpy   and I can cause it to show weird things  like having the circular image above the title (really outside of it  not even touching it) 
</t>
  </si>
  <si>
    <t>SandersForPresident-BernieAppAndroid-3</t>
  </si>
  <si>
    <t>[Crash] Can't see events in connect tab</t>
  </si>
  <si>
    <t xml:space="preserve">Entering my zip code and hitting enter in the connect tab causes a crash
</t>
  </si>
  <si>
    <t>Berlin-Vegan-berlin-vegan-guide-36</t>
  </si>
  <si>
    <t>Crash auf CM 12.1 bei Click auf Navigationsbutton</t>
  </si>
  <si>
    <t xml:space="preserve">wenn man auf den Navigationsbutton unter CM 12 1 klickt crashed to App  Es ist weder google maps noch  ffi installiert  Daher wahrscheinlich keine Activity f r  geo:  vorhanden 
08 26 22:50:24 556    4218 4218 org berlin vegan bvapp alpha D AndroidRuntime  Shutting down VM
08 26 22:50:24 566    4218 4218 org berlin vegan bvapp alpha E AndroidRuntime  FATAL EXCEPTION: main
    Process: org berlin vegan bvapp alpha  PID: 4218
    android content ActivityNotFoundException: No Activity found to handle Intent   act android intent action VIEW dat geo:0 0 q Weiskopffstra e 16 17  12459  Berlin  
            at android app Instrumentation checkStartActivityResult(Instrumentation java:1781)
            at android app Instrumentation execStartActivity(Instrumentation java:1501)
            at android app Activity startActivityForResult(Activity java:3745)
            at android app Activity startActivityForResult(Activity java:3706)
            at android support v4 app FragmentActivity startActivityForResult(FragmentActivity java:820)
            at android app Activity startActivity(Activity java:4016)
            at android app Activity startActivity(Activity java:3984)
            at org berlin vegan bvapp activities GastroActivity navigationButtonClicked(GastroActivity java:142)
            at org berlin vegan bvapp activities GastroActivity access 000(GastroActivity java:29)
            at org berlin vegan bvapp activities GastroActivity 1 onClick(GastroActivity java:107)
            at android view View performClick(View java:4789)
            at android view View PerformClick run(View java:19881)
            at android os Handler handleCallback(Handler java:739)
            at android os Handler dispatchMessage(Handler java:95)
            at android os Looper loop(Looper java:135)
            at android app ActivityThread main(ActivityThread java:5292)
            at java lang reflect Method invoke(Native Method)
            at java lang reflect Method invoke(Method java:372)
            at com android internal os ZygoteInit MethodAndArgsCaller run(ZygoteInit java:904)
            at com android internal os ZygoteInit main(ZygoteInit java:699)
</t>
  </si>
  <si>
    <t>itzikBraun-TutorialView-11</t>
  </si>
  <si>
    <t>Crash if no font is set</t>
  </si>
  <si>
    <t xml:space="preserve">If no font is set then the library crashes:
                    E  java lang NullPointerException
                     E      at android graphics FontFamily nAddFontFromAsset(Native Method)
                     E      at android graphics FontFamily addFontFromAsset(FontFamily java:70)
                     E      at android graphics Typeface createFromAsset(Typeface java:185)
                     E      at com braunster tutorialview view AbstractTutorialView initTypeFace(AbstractTutorialView java:466)
                     E      at com braunster tutorialview view AbstractTutorialView setTutorial(AbstractTutorialView java:285)
                     E      at com braunster tutorialview view TutorialLayout setTutorial(TutorialLayout java:81)
                     E      at com braunster tutorialview TutorialActivity onWindowFocusChanged(TutorialActivity java:110)
                     E      at com android internal policy impl PhoneWindow DecorView onWindowFocusChanged(PhoneWindow java:3174)
                     E      at android view View dispatchWindowFocusChanged(View java:8680)
                     E      at android view ViewGroup dispatchWindowFocusChanged(ViewGroup java:1055)
                     E      at android view ViewRootImpl ViewRootHandler handleMessage(ViewRootImpl java:3284)
                     E      at android os Handler dispatchMessage(Handler java:102)
                     E      at android os Looper loop(Looper java:135)
                     E      at android app ActivityThread main(ActivityThread java:5254)
                     E      at java lang reflect Method invoke(Native Method)
                     E      at java lang reflect Method invoke(Method java:372)
                     E      at com android internal os ZygoteInit MethodAndArgsCaller run(ZygoteInit java:903)
                     E      at com android internal os ZygoteInit main(ZygoteInit java:698)
            Process  I  Sending signal  PID: 8443 SIG: 9
</t>
  </si>
  <si>
    <t>unfoldingWord-dev-uw-android-110</t>
  </si>
  <si>
    <t>App Crash: Settings Menu</t>
  </si>
  <si>
    <t xml:space="preserve">On Samsung Tab A  when I go to settings the app crashes 
</t>
  </si>
  <si>
    <t>square-okhttp-1826</t>
  </si>
  <si>
    <t>Websocket enqueue with cache produces a crash when server refuses connection</t>
  </si>
  <si>
    <t xml:space="preserve">Setup
File cacheDirectory   new File(app getCacheDir()   network cache ) 
        if ( cacheDirectory exists())  
            cacheDirectory mkdir() 
        Cache cache   new Cache(cacheDirectory  CACHE MAX SIZE) 
        OkHttpClient okHttpClient   new OkHttpClient() 
        okHttpClient networkInterceptors() add(new StethoInterceptor()) 
        okHttpClient setCache(cache) 
Causes this exception with no possibility to be caught:
Process: xx xx xx debug  PID: 8227
    java lang NullPointerException: Attempt to invoke virtual method  okio BufferedSource com squareup okhttp ResponseBody source()  on a null object reference
            at com squareup okhttp internal http HttpEngine cacheWritingResponse(HttpEngine java:935)
            at com squareup okhttp internal http HttpEngine readResponse(HttpEngine java:821)
            at com squareup okhttp Call getResponse(Call java:268)
            at com squareup okhttp Call ApplicationInterceptorChain proceed(Call java:224)
            at com squareup okhttp Call getResponseWithInterceptorChain(Call java:195)
            at com squareup okhttp Call access 100(Call java:34)
            at com squareup okhttp Call AsyncCall execute(Call java:162)
            at com squareup okhttp internal NamedRunnable run(NamedRunnable java:33)
            at java util concurrent ThreadPoolExecutor runWorker(ThreadPoolExecutor java:1112)
            at java util concurrent ThreadPoolExecutor Worker run(ThreadPoolExecutor java:587)
            at java lang Thread run(Thread java:818)
Removing the cache fixes the issue
        OkHttpClient okHttpClient   new OkHttpClient() 
        okHttpClient networkInterceptors() add(new StethoInterceptor()) 
I know this is an edge case but it would be nice to be able to catch this exception somewhere 
This happens with okhttp 2 5 and okhttp ws 2 5  With  okhttp 2 4 and okhttp ws 2 4 we got a crash with no stacktrace
</t>
  </si>
  <si>
    <t>jMonkeyEngine-jmonkeyengine-322</t>
  </si>
  <si>
    <t>Blender Loader crashes for files created with Blender 2.75</t>
  </si>
  <si>
    <t xml:space="preserve">JMonkey s Blender file loader (com jme3 scene plugins blender BlenderLoader) crashes when trying to load import files that where saved with Blender 2 75a  The exact same file loads just fine when saved with Blender 2 74  I suspect a change to Blender s file format  Unfortunately the Loader code is too complex for me to understand fix myself 
Unfortunately I can t provide a minimal test case  as small Blender files tend to work perfectly  And the affected object meshes that crash the Loader seem to change randomly when saving the file after doing minor changes to it 
Here is a stacktrace:
Caused by: java lang IndexOutOfBoundsException: toIndex   92
    at java util ArrayList subListRangeCheck(ArrayList java:1004)
    at java util ArrayList subList(ArrayList java:996)
    at com jme3 scene plugins blender meshes Face loadAll(Face java:487)
    at com jme3 scene plugins blender meshes TemporalMesh  init (TemporalMesh java:126)
    at com jme3 scene plugins blender meshes TemporalMesh  init (TemporalMesh java:98)
    at com jme3 scene plugins blender meshes MeshHelper toTemporalMesh(MeshHelper java:119)
    at com jme3 scene plugins blender objects ObjectHelper toObject(ObjectHelper java:171)
    at com jme3 scene plugins blender BlenderLoader load(BlenderLoader java:104)
        6 more
Affected revision: 5570
</t>
  </si>
  <si>
    <t>card-io-card.io-Android-SDK-79</t>
  </si>
  <si>
    <t>CardIOActivity crashes on startActivityForResult in native code on Acer Iconia One 8 (reproduced in SampleApp)</t>
  </si>
  <si>
    <t xml:space="preserve">CardIOActivity always crashes in startActivityForResult on the Acer Iconia One 8 device  This is an Android tablet with Intel processor but if you query its processor at the Android SDK level it reports itself as ARM  I see libhoudini in logcat so I m imagining it s somewhere in that  This issue happened in my app so I tried it in the same app and got the same result 
Logcat from when I start the Sample app until the crash is:
08 28 13:44:02 372    8367 8367   D dalvikvm  Late enabling CheckJNI
08 28 13:44:02 372    8367 8367   D dalvikvm  Try to disable coredump for pid 8367
08 28 13:44:02 372    8367 8367   D dalvikvm  Process 8367 nice name: org my scanExample debug
08 28 13:44:02 372    8367 8367   D dalvikvm  Extra Options: not specified
08 28 13:44:02 382    8367 8367   D xmlCheckExt   neon 
08 28 13:44:02 382    8367 8367   D xmlCheckExt  pkgName   air eti uzzu unalis
08 28 13:44:02 382    8367 8367   D xmlCheckExt   arch 
08 28 13:44:02 382    8367 8367   D xmlCheckExt  pkgName   com evy guessword
08 28 13:44:02 382    8367 8367   D xmlCheckExt   arch 
08 28 13:44:02 382    8367 8367   D xmlCheckExt  pkgName   com bpiotor lot
08 28 13:44:02 382    8367 8367   D xmlCheckExt   arch 
08 28 13:44:02 382    8367 8367   D xmlCheckExt  pkgName   com goodstudent app
08 28 13:44:02 382    8367 8367   D xmlCheckExt   arch 
08 28 13:44:02 382    8367 8367   D xmlCheckExt  pkgName   com flyfish supermario
08 28 13:44:02 382    8367 8367   D xmlCheckExt   arch 
08 28 13:44:02 382    8367 8367   D xmlCheckExt  pkgName   excel sgs
08 28 13:44:02 382    8367 8367   D xmlCheckExt   arch 
08 28 13:44:02 382    8367 8367   D xmlCheckExt  pkgName   com gamevil doz global
08 28 13:44:02 382    8367 8367   D xmlCheckExt   arch 
08 28 13:44:02 382    8367 8367   D xmlCheckExt  pkgName   com tblin HandsetGuardant
08 28 13:44:02 382    8367 8367   D xmlCheckExt   arch 
08 28 13:44:02 382    8367 8367   D xmlCheckExt  pkgName   com baoliei lmotuolijhhe
08 28 13:44:02 382    8367 8367   D xmlCheckExt   arch 
08 28 13:44:02 382    8367 8367   D xmlCheckExt  pkgName   com bpiotor fingerprint
08 28 13:44:02 382    8367 8367   D xmlCheckExt   arch 
08 28 13:44:02 382    8367 8367   D xmlCheckExt  pkgName   com philzhu www ddz
08 28 13:44:02 382    8367 8367   D xmlCheckExt   arch 
08 28 13:44:02 382    8367 8367   D xmlCheckExt  pkgName   hh root
08 28 13:44:02 382    8367 8367   D xmlCheckExt   arch 
08 28 13:44:02 382    8367 8367   D xmlCheckExt  pkgName   com rao love yy zjhmuti
08 28 13:44:02 382    8367 8367   D xmlCheckExt   arch 
08 28 13:44:02 382    8367 8367   D xmlCheckExt  pkgName   com rao flyfish huntfish
08 28 13:44:02 382    8367 8367   D xmlCheckExt   arch 
08 28 13:44:02 382    8367 8367   D xmlCheckExt  pkgName   com yucai escape tow
08 28 13:44:02 382    8367 8367   D xmlCheckExt   white 
08 28 13:44:02 382    8367 8367   D xmlCheckExt  pkgName   com gocome opencam
08 28 13:44:02 382    8367 8367   D Zygote  Setting os arch
08 28 13:44:02 422    8367 8367 org my scanExample debug I card io  Checking hardware support   
08 28 13:44:02 422    8367 8367 org my scanExample debug I card io  card io 5 0 1 06 04 2015 17:39:33  0500
08 28 13:44:02 422    8367 8367 org my scanExample debug D dalvikvm  Trying to load lib  data app lib org my scanExample debug 1 libcardioDecider so 0x4d1418f0
08 28 13:44:02 432    8367 8367 org my scanExample debug D houdini   8367  Loading library(version: 4 1 0 y 45074 RELEASE)    successfully 
08 28 13:44:02 452    8367 8367 org my scanExample debug D dalvikvm  Added shared lib  data app lib org my scanExample debug 1 libcardioDecider so 0x4d1418f0
08 28 13:44:02 462    8367 8367 org my scanExample debug A libc  Fatal signal 11 (SIGSEGV) at 0x00000000 (code 1)  thread 8367 (anExample debug)
This is with card io SDK 5 0 1 
</t>
  </si>
  <si>
    <t>erickok-transdroid-235</t>
  </si>
  <si>
    <t>Today's update crashes</t>
  </si>
  <si>
    <t xml:space="preserve">Hey  
Unfortunately todays update crashes on search  Tried to remove data (reset) both transdroid and search addon  still no luck  On cm12 1 nightly  Nexus 7 2013  
Edit: might have been to fast to report this  On LG G2 it works  however the back button from search addon to transdroid doesn t work  
Best regards 
Alex 
</t>
  </si>
  <si>
    <t>meyersj-TamaleNow-1</t>
  </si>
  <si>
    <t>Enable location services after you start reporting causes crash</t>
  </si>
  <si>
    <t xml:space="preserve">If you start the app and the press  Start Reporting   then enable location services the app will crash 
</t>
  </si>
  <si>
    <t>souliss-soulissapp-32</t>
  </si>
  <si>
    <t>User configurable UDP port crash the Network Option menu</t>
  </si>
  <si>
    <t xml:space="preserve">Changing the UDP port from the Network Option menu crash it until the app is removed 
</t>
  </si>
  <si>
    <t>OneBusAway-onebusaway-android-289</t>
  </si>
  <si>
    <t>Jumping markers on Maps v2</t>
  </si>
  <si>
    <t xml:space="preserve"> For  develop  branch 
I m seeing markers jump around on the map on Android Maps API v2 even when nothing is happening in the app   
Here s a video of the behavior:
https:  youtu be cOUGD0T5Ojs
 What I expect  
Markers should remain stationary at their originally added lat long 
 What steps will reproduce the problem   
  1a  Download the APK from:
  https:  dl dropboxusercontent com u 46443835 OneBusAway UI redesign onebusaway android oba google debug apk
or
  1b  Build  install  and run the develop branch of OneBusAway:
    a   git clone https:  github com OneBusAway onebusaway android git 
    b   git checkout develop 
    c   gradlew installObaGoogleDebug 
    d   adb shell am start  n com joulespersecond seattlebusbot org onebusaway android ui HomeActivity 
  1  Browse to any supported city (e g   Seattle or Tampa)  and watch the green bus stop markers jump around on the map
I should add that I can t  always  reproduce this   It seems like everything works fine for a time  but then when the markers start jumping around they don t stop 
 Marker Implementation Details 
The code that loads the icons used for the 9 marker types (8 directions   no direction) is here:
https:  github com OneBusAway onebusaway android blob develop onebusaway android src google java org onebusaway android map googlemapsv2 StopOverlay java L169
I m using this drawable:
https:  github com OneBusAway onebusaway android blob develop onebusaway android src main res drawable map stop icon xml
   which is a number of shapes   this creates the main green circle with the white outline and the drop shadoes   Then  I m drawing the direction arrow on top of this drawable for each of the 8 directions   code for drawing directions is here:
https:  github com OneBusAway onebusaway android blob develop onebusaway android src google java org onebusaway android map googlemapsv2 StopOverlay java L202
In the code to load the icons  I m caching the  BitmapDescriptor  returned from  BitmapDescriptorFactory fromBitmap()  for each of the 9 icon types on first load  so this isn t done each time a marker is put on the map 
I also saw the app crash to  Unfortunately  OneBusAway has stopped   and saw this exception in Logcat after letting the app sit on the map screen for a few minutes:
08 10 16:40:02 422  15843 15929 com joulespersecond seattlebusbot E AndroidRuntime  FATAL EXCEPTION: GLThread 8614
    Process: com joulespersecond seattlebusbot  PID: 15843
    java lang IllegalArgumentException: Comparison method violates its general contract 
            at java util ComparableTimSort mergeHi(ComparableTimSort java:831)
            at java util ComparableTimSort mergeAt(ComparableTimSort java:449)
            at java util ComparableTimSort mergeCollapse(ComparableTimSort java:372)
            at java util ComparableTimSort sort(ComparableTimSort java:178)
            at java util ComparableTimSort sort(ComparableTimSort java:142)
            at java util Arrays sort(Arrays java:1957)
            at java util Collections sort(Collections java:1864)
            at com google maps api android lib6 gmm6 n bl a(Unknown Source)
            at com google maps api android lib6 gmm6 n l a(Unknown Source)
            at com google maps api android lib6 gmm6 n l b(Unknown Source)
            at com google maps api android lib6 gmm6 n cv f(Unknown Source)
            at com google maps api android lib6 gmm6 n cv run(Unknown Source)
I ve seen this on an LG G4 and Nexus 6   More details on LG device is below 
  LG G4 LS991 with Android 5 1 (LS991ZV4)
  Google Play Services client library version    compile  com google android gms:play services maps:7 5 0   and  compile  com google android gms:play services maps:7 8 0  
  Google Play Services version on the device   Google Play Services 7 8 99 (2134222 440)
  Android SDK Version:  compileSdkVersion 21 buildToolsVersion  21 1 2  
This issue hasn t always existed  which makes me believe it was introduced during an update to Android Google Play Services Maps at some point 
I ve opened an issue for this on gmaps api issues as well  but no response as of this post:
https:  code google com p gmaps api issues issues detail id 8455
I ve created a smaller demo project here on Github that uses the same marker implementation:
https:  github com barbeau maps demo
   but so far I haven t been able to reproduce the problem there 
</t>
  </si>
  <si>
    <t>marverenic-Jockey-22</t>
  </si>
  <si>
    <t>Bug playing songs</t>
  </si>
  <si>
    <t xml:space="preserve">I downloaded the zip from github and set it up in my android studio  Had to comment out the crashlytics section because I don t have a crashlytics key  
Now what is happening is that when I click on a song in the all songs tab  no song plays  There is no queue added to the now playing as well  But if I click on the song from the artist or album page  it plays 
To try digging into the issue  I simply added a toast to register the onClick event  Turns out that the viewholder on the songs tab is not registering the click events as no toast is shown  whereas in the song list under artist or album page  clicking the song fires up the toast confirming the onClick call 
Do you have any clue what is wrong  Please look into it  I m trying to do the same
</t>
  </si>
  <si>
    <t>boxme-SquareCamera-26</t>
  </si>
  <si>
    <t>takePicture failed / autoFocus failed</t>
  </si>
  <si>
    <t xml:space="preserve">Hi  im looking through my crashlogs of the app today  and some users are experiencing weird errors:
    java
java lang RuntimeException: takePicture failed
       at android hardware Camera native takePicture(Camera java)
       at android hardware Camera takePicture(Camera java:1484)
       at com keepinmind lifeshot ui CameraFragment takePicture()
       at com keepinmind lifeshot ui CameraFragment access 900()
       at com keepinmind lifeshot ui CameraFragment 4 onClick()
See: http:  stackoverflow com questions 21723557 java lang runtimeexception takepicture failed
And the following:
    java
java lang RuntimeException: autoFocus failed
       at android hardware Camera native autoFocus(Camera java)
       at android hardware Camera autoFocus(Camera java:1299)
       at com keepinmind lifeshot widget SquareCameraPreview handleFocus()
       at com keepinmind lifeshot widget SquareCameraPreview onTouchEvent()
See: http:  stackoverflow com questions 8820702 autofocus throwing exception
See: https:  github com dm77 barcodescanner commit 15a64d00dfb95dff8e7a9c0ef87a1ad474a220fd
</t>
  </si>
  <si>
    <t>geftimov-android-pathview-12</t>
  </si>
  <si>
    <t>Crash on Battery Saver Mode</t>
  </si>
  <si>
    <t xml:space="preserve">Hi 
Once you have the project configured and running  It crashes when the phone is in Battery saving mode  android 5 1    Tested it on device Moto E 1st Gen android 
</t>
  </si>
  <si>
    <t>iBotPeaches-Apktool-1031</t>
  </si>
  <si>
    <t>Multiple ResTypeSpecs in a row, cannot be decoded.</t>
  </si>
  <si>
    <t xml:space="preserve">Apktool 2 0 1 crashes and produces no results with this apk https:  play google com store apps details id it ingdirect app
I: Using Apktool 2 0 1 on a apk
I: Loading resource table   
Exception in thread  main  java lang ArrayIndexOutOfBoundsException: 9
    at brut androlib res decoder ARSCDecoder readConfig(ARSCDecoder java:189)
    at brut androlib res decoder ARSCDecoder readType(ARSCDecoder java:159)
    at brut androlib res decoder ARSCDecoder readPackage(ARSCDecoder java:116)
    at brut androlib res decoder ARSCDecoder readTable(ARSCDecoder java:78)
    at brut androlib res decoder ARSCDecoder decode(ARSCDecoder java:47)
    at brut androlib res AndrolibResources getResPackagesFromApk(AndrolibResources java:538)
    at brut androlib res AndrolibResources loadMainPkg(AndrolibResources java:63)
    at brut androlib res AndrolibResources getResTable(AndrolibResources java:55)
    at brut androlib Androlib getResTable(Androlib java:64)
    at brut androlib ApkDecoder setTargetSdkVersion(ApkDecoder java:209)
    at brut androlib ApkDecoder decode(ApkDecoder java:92)
    at brut apktool Main cmdDecode(Main java:165)
    at brut apktool Main main(Main java:81)
</t>
  </si>
  <si>
    <t>Mishiranu-Dashchan-11</t>
  </si>
  <si>
    <t>Crashes when clicking a youtube thumbnail from an Opening Post</t>
  </si>
  <si>
    <t xml:space="preserve">If you spot a thread where the Opening Post contains a youtube thumbnail instead of a conventional image  and click on it  the app will crash  This happens on 8ch  I haven t tried to reproduce this problem on other imageboards tho 
</t>
  </si>
  <si>
    <t>Fleker-CumulusTV-44</t>
  </si>
  <si>
    <t>[Investigate] Handle low memory</t>
  </si>
  <si>
    <t xml:space="preserve">A large number of crashes occur when the device memory is low  This should be examined in more detail including a way to prevent crashes from happening 
</t>
  </si>
  <si>
    <t>k9mail-k-9-771</t>
  </si>
  <si>
    <t>Crash when modifying user for SMTP server</t>
  </si>
  <si>
    <t xml:space="preserve">    Expected behaviour
After having set up the first mail account server  I wanted to set up the SMTP server  which is different from the incoming mail server and uses a different user name and password 
    Actual behaviour
The SMTP server is changed (no unexpected behaviour)  and then when I modify the user name or start to modify the password the screen gets black or freezes and then gets black  The message that K 9 stopped appears 
    Steps to reproduce
1 Setup first incoming mail account
2 Trying to setup the SMTP server account K 9 Mail crashes 
3 
    Environment
K 9 Mail version: 5 006
Android version: 4 1 2 (no newer version provided by my ISP)
Account type (IMAP  POP3  WebDAV Exchange): IMAP
</t>
  </si>
  <si>
    <t>square-okhttp-1838</t>
  </si>
  <si>
    <t>Websocket creates threads with url as name, which captures tokens in urls in crashlytics</t>
  </si>
  <si>
    <t xml:space="preserve">We use okhttp ws to communicate with our server  and as an optimization step  we pass an  oauth2  token in the websocket url to the server (to avoid making an extra auth request every time we connect)  and since we use crashlytics as a reporting tool for our exceptions  we noticed that oauth2 tokens are captured in the url as the name of thread that the websocket creates 
</t>
  </si>
  <si>
    <t>facebook-stetho-274</t>
  </si>
  <si>
    <t>Fixing NPE crash in ElementInfo.&lt;init&gt;() from Document.createDOMUpdate()</t>
  </si>
  <si>
    <t xml:space="preserve">I m fixing this by turning it into a soft error   Descriptor s shouldn t emit null from their  getChildren  implementation  but it s easy enough to recover from this and at least not crash the app  This is the only place where the children are funneled out of  Descriptor  and into  Document  
Closes  272 
</t>
  </si>
  <si>
    <t>Cloudkibo-Android-56</t>
  </si>
  <si>
    <t>sometimes crashes when adding new contact</t>
  </si>
  <si>
    <t xml:space="preserve">I was showing sumaira how I have implemented contacts management in android  when I added contact  it crashed for first time but worked for second time 
</t>
  </si>
  <si>
    <t>vanilla-music-vanilla-202</t>
  </si>
  <si>
    <t>Crash in DSLV</t>
  </si>
  <si>
    <t xml:space="preserve">Reported via play store: (4 out of 5 crashes on Galaxy S6)
java lang NullPointerException: Attempt to invoke virtual method  float android view MotionEvent getX()  on a null object reference
at com mobeta android dslv DragSortController onScroll(DragSortController java:381)
at android view GestureDetector onTouchEvent(GestureDetector java:588)
at com mobeta android dslv DragSortController onTouch(DragSortController java:239)
at android view View dispatchTouchEvent(View java:9023)
at android view ViewGroup dispatchTransformedTouchEvent(ViewGroup java:2701)
at android view ViewGroup dispatchTouchEvent(ViewGroup java:2413)
at android widget AbsListView dispatchTouchEvent(AbsListView java:5305)
at android view ViewGroup dispatchTransformedTouchEvent(ViewGroup java:2712)
at android view ViewGroup dispatchTouchEvent(ViewGroup java:2428)
at android view ViewGroup dispatchTransformedTouchEvent(ViewGroup java:2712)
at android view ViewGroup dispatchTouchEvent(ViewGroup java:2428)
at android view ViewGroup dispatchTransformedTouchEvent(ViewGroup java:2712)
at android view ViewGroup dispatchTouchEvent(ViewGroup java:2428)
at com android internal policy impl PhoneWindow DecorView superDispatchTouchEvent(PhoneWindow java:2679)
at com android internal policy impl PhoneWindow superDispatchTouchEvent(PhoneWindow java:1797)
at android app Activity dispatchTouchEvent(Activity java:2878)
at com android internal policy impl PhoneWindow DecorView dispatchTouchEvent(PhoneWindow java:2640)
at android view View dispatchPointerEvent(View java:9234)
at android view ViewRootImpl ViewPostImeInputStage processPointerEvent(ViewRootImpl java:4781)
at android view ViewRootImpl ViewPostImeInputStage onProcess(ViewRootImpl java:4619)
at android view ViewRootImpl InputStage deliver(ViewRootImpl java:4170)
at android view ViewRootImpl InputStage onDeliverToNext(ViewRootImpl java:4223)
at android view ViewRootImpl InputStage forward(ViewRootImpl java:4189)
at android view ViewRootImpl AsyncInputStage forward(ViewRootImpl java:4299)
at android view ViewRootImpl InputStage apply(ViewRootImpl java:4197)
at android view ViewRootImpl AsyncInputStage apply(ViewRootImpl java:4356)
at android view ViewRootImpl InputStage deliver(ViewRootImpl java:4170)
at android view ViewRootImpl InputStage onDeliverToNext(ViewRootImpl java:4223)
at android view ViewRootImpl InputStage forward(ViewRootImpl java:4189)
at android view ViewRootImpl InputStage apply(ViewRootImpl java:4197)
at android view ViewRootImpl InputStage deliver(ViewRootImpl java:4170)
at android view ViewRootImpl deliverInputEvent(ViewRootImpl java:6648)
at android view ViewRootImpl doProcessInputEvents(ViewRootImpl java:6532)
at android view ViewRootImpl enqueueInputEvent(ViewRootImpl java:6503)
at android view ViewRootImpl WindowInputEventReceiver onInputEvent(ViewRootImpl java:6738)
at android view InputEventReceiver dispatchInputEvent(InputEventReceiver java:185)
at android view InputEventReceiver nativeConsumeBatchedInputEvents(Native Method)
at android view InputEventReceiver consumeBatchedInputEvents(InputEventReceiver java:176)
at android view ViewRootImpl doConsumeBatchedInput(ViewRootImpl java:6709)
at android view ViewRootImpl ConsumeBatchedInputRunnable run(ViewRootImpl java:6761)
at android view Choreographer CallbackRecord run(Choreographer java:777)
at android view Choreographer doCallbacks(Choreographer java:590)
at android view Choreographer doFrame(Choreographer java:558)
at android view Choreographer FrameDisplayEventReceiver run(Choreographer java:763)
at android os Handler handleCallback(Handler java:739)
at android os Handler dispatchMessage(Handler java:95)
at android os Looper loop(Looper java:145)
at android app ActivityThread main(ActivityThread java:6141)
at java lang reflect Method invoke(Native Method)
at java lang reflect Method invoke(Method java:372)
at com android internal os ZygoteInit MethodAndArgsCaller run(ZygoteInit java:1399)
at com android internal os ZygoteInit main(ZygoteInit java:1194)
</t>
  </si>
  <si>
    <t>umano-AndroidSlidingUpPanel-536</t>
  </si>
  <si>
    <t>Occasional NullPointerException in SavedState.writeToParcel</t>
  </si>
  <si>
    <t xml:space="preserve">We re seeing occasional crashes in the field (thanks Crashlytics) in writeToParcel()  I don t have a local repro for this 
com sothree slidinguppanel SlidingUpPanelLayout SavedState writeToParcel (SlidingUpPanelLayout java:1504)
android os Parcel writeParcelable (Parcel java:1292)
The line of code in question is:
out writeString(mSlideState toString()) 
Presumably mSlideState is null for some reason  Perhaps someone very familiar with the code might see how this could happen  I m not in a good position to  thought debug  it unfortunately 
</t>
  </si>
  <si>
    <t>k9mail-k-9-783</t>
  </si>
  <si>
    <t>Crash in EmailProvider with unified inbox</t>
  </si>
  <si>
    <t xml:space="preserve">Hello 
when I select only one or more mails in the common inbox and click DELETE K9 crashes every time  When I do that in single folder  e g  the inbox  it works 
I already tried to uninstall and reinstall K9   no change  same problem 
Can anyone help me or does have the same problem 
I use K9 version 5 006  Android version 5 0 on a LG G3 
Thanky you for your help  tips   tricks 
</t>
  </si>
  <si>
    <t>uPhyca-stetho-realm-7</t>
  </si>
  <si>
    <t>Crash when selecting certain tables in Realm 0.82.1</t>
  </si>
  <si>
    <t xml:space="preserve">I ve added Stetho and this library as in the instructions  When selecting certain tables in the Chrome inspector  they display fine  but others cause a crash with the stack trace below 
The tables that cause a crash and the tables that don t are pretty similar  Both have String IDs and have Realm relationships  It seems (not sure) that the tables that cause a crash have a field that is a number or a date 
FATAL EXCEPTION: StethoWorker40
    Process: com example example  PID: 13803
    java lang IllegalArgumentException: Illegal Argument: ColumnType invalid 
            at io realm internal CheckedRow nativeGetLong(Native Method)
            at io realm internal UncheckedRow getLong(UncheckedRow java:109)
            at com uphyca stetho realm Database RowWrapper 0 81 getLink(Database java:595)
            at com uphyca stetho realm Database flattenRows(Database java:204)
            at com uphyca stetho realm Database access 300(Database java:37)
            at com uphyca stetho realm Database 1 handleSelect(Database java:121)
            at com uphyca stetho realm Database 1 handleSelect(Database java:101)
            at com uphyca stetho realm RealmPeerManager executeSQL(RealmPeerManager java:123)
            at com uphyca stetho realm Database executeSQL(Database java:100)
            at java lang reflect Method invoke(Native Method)
            at java lang reflect Method invoke(Method java:372)
            at com facebook stetho inspector MethodDispatcher MethodDispatchHelper invoke(MethodDispatcher java:96)
            at com facebook stetho inspector MethodDispatcher dispatch(MethodDispatcher java:67)
            at com facebook stetho inspector ChromeDevtoolsServer handleRemoteRequest(ChromeDevtoolsServer java:129)
            at com facebook stetho inspector ChromeDevtoolsServer handleRemoteMessage(ChromeDevtoolsServer java:111)
            at com facebook stetho inspector ChromeDevtoolsServer onMessage(ChromeDevtoolsServer java:87)
            at com facebook stetho websocket WebSocketSession 1 handleTextFrame(WebSocketSession java:176)
            at com facebook stetho websocket WebSocketSession 1 onCompleteFrame(WebSocketSession java:136)
            at com facebook stetho websocket ReadHandler readLoop(ReadHandler java:46)
            at com facebook stetho websocket WebSocketSession handle(WebSocketSession java:45)
            at com facebook stetho websocket WebSocketHandler doUpgrade(WebSocketHandler java:154)
            at com facebook stetho websocket WebSocketHandler handleSecured(WebSocketHandler java:106)
            at com facebook stetho server SecureHttpRequestHandler handle(SecureHttpRequestHandler java:52)
            at org apache http protocol HttpService doService(HttpService java:248)
            at org apache http protocol HttpService handleRequest(HttpService java:192)
            at com facebook stetho server LocalSocketHttpServer WorkerThread run(LocalSocketHttpServer java:233)
</t>
  </si>
  <si>
    <t>openbmap-radiocells-scanner-android-95</t>
  </si>
  <si>
    <t>Crash while uploading</t>
  </si>
  <si>
    <t xml:space="preserve">The application crashes when I upload a session and it ends when the application is in background 
</t>
  </si>
  <si>
    <t>WycliffeAssociates-translationRecorder-54</t>
  </si>
  <si>
    <t>Nexus 9 - Bug Report</t>
  </si>
  <si>
    <t xml:space="preserve">   Reported Bugs
      I had the app crash after install using the following steps on my Nexus 9:
   Install APK
   Launch App
  Go to Configuration Screen
   blam 
  Now it seems fine  Maybe a timeout issue on pulling the JSON files 
</t>
  </si>
  <si>
    <t>andybalaam-rabbit-escape-9</t>
  </si>
  <si>
    <t>When audio is on on the Linux version, Rabbit Escape sometimes freezes.</t>
  </si>
  <si>
    <t xml:space="preserve">  java  version
java version  1 7 0 79 
OpenJDK Runtime Environment (IcedTea 2 5 6) (7u79 2 5 6 0ubuntu1 14 04 1)
OpenJDK 64 Bit Server VM (build 24 79 b02  mixed mode)
Sometimes  the JVM actually crashes 
Disabling audio makes the problem go away 
When it freezes  one thread always has this stack trace in the debugger:
Daemon Thread  SwingWorker pool 1 thread 2  (Suspended) 
    waiting for: PulseAudioClip ClipThread  (id 32) 
    Object wait(long) line: not available  native method    
    PulseAudioClip ClipThread(Thread) join(long) line: 1281 
    PulseAudioClip ClipThread(Thread) join() line: 1355 
    PulseAudioClip stop() line: 555 
    SwingSoundCache get(String) line: 32    
    SwingSound musicClip() line: 107    
    SwingSound stopMusic() line: 91 
    SwingSound setMusic(String) line: 63    
    SwingGameLaunch  init (SwingGameInit  World  LevelWinListener  SwingSound) line: 82 
    SwingSingleGameMain createGameLaunch(World  LevelWinListener) line: 77  
    SwingSingleGameMain(Main) launchGame(String    LevelWinListener) line: 52   
    MenuUi 1 doInBackground() line: 266 
    MenuUi 1 doInBackground() line: 260 
    SwingWorker 1 call() line: 296  
    SwingWorker 2(FutureTask V ) run() line: 262    
    MenuUi 1(SwingWorker T V ) run() line: 335  
    ThreadPoolExecutor runWorker(ThreadPoolExecutor Worker) line: 1145  
    ThreadPoolExecutor Worker run() line: 615   
    Thread run() line: 745  
</t>
  </si>
  <si>
    <t>unfoldingWord-dev-uw-android-122</t>
  </si>
  <si>
    <t>Changing Base URL Crashes App</t>
  </si>
  <si>
    <t xml:space="preserve">After changing the base URL to https:  api unfoldingword org demo uw txt 2 catalog json I hit the refresh download button  which then caused an app crash   Subsequently  going into the list of languages for OBS causes a crash 
</t>
  </si>
  <si>
    <t>AppLozic-Applozic-Android-SDK-25</t>
  </si>
  <si>
    <t>App is getting crash when we logout from app and messages coming from other app or web plugin.</t>
  </si>
  <si>
    <t xml:space="preserve">App is getting crash when we logout from app and messages coming from other app or web plugin 
Step to reproduce:
1)Login to app
2)Send message from other user
3)logout from the app while receiving the notification
4)click on notification then app is getting crash
</t>
  </si>
  <si>
    <t>cSploit-android-236</t>
  </si>
  <si>
    <t>login cracker segfault</t>
  </si>
  <si>
    <t xml:space="preserve">When launching the login cracker module against a target  it crashes (android 4 4 4 and 5 x) 
Executing hydra from the shell segfaults:
root lg: data data org csploit android files tools hydra     hydra
  hydra
 1    Stopped (signal)       hydra
root lg: data data org csploit android files tools hydra  
I ve compiled the latest version of thc hydra https:  github com vanhauser thc thc hydra   and works ok 
</t>
  </si>
  <si>
    <t>h6ah4i-android-tablayouthelper-5</t>
  </si>
  <si>
    <t>Need to add consumer Proguard settings</t>
  </si>
  <si>
    <t xml:space="preserve">App crashes if Proguard is enabled  Add the following line to  proguard rules pro  
 keepclassmembernames class android support design widget TabLayout       
</t>
  </si>
  <si>
    <t>IFTTT-SparkleMotion-37</t>
  </si>
  <si>
    <t>Crash on adding unrelated Views to SparkleViewPagerLayout</t>
  </si>
  <si>
    <t xml:space="preserve">If Decor is presented  and  SparkleViewPagerLayout  has other views being added  it will crash in getChildDrawingOrder() method 
</t>
  </si>
  <si>
    <t>Neamar-KISS-237</t>
  </si>
  <si>
    <t>The option 'unistall ' appears in preinstalled apps</t>
  </si>
  <si>
    <t xml:space="preserve">When I press and hold any app I can remove them from the history  view the app info or uninstall  the third option appears in preinstall apps like phone  camera  calculator  settings  etc  If I click the option the app begins the uninstallation and after some seconds the system crash or the system becomes lag for a while  I suggest that for this kind of apps the option  uninstall  shouldn t appear  so we can avoid future problems or the auto destruction of our phone (just kidding :) ) 
</t>
  </si>
  <si>
    <t>EmergentOrganization-cell-rpg-52</t>
  </si>
  <si>
    <t>memory usage monitor on profiler inaccurate</t>
  </si>
  <si>
    <t xml:space="preserve">We need to use some other method to gauge memory usage  as I just introduced a major memory leak and watched the profiler label go unchanged until the app crashed with out of memory err  
</t>
  </si>
  <si>
    <t>bumptech-glide-625</t>
  </si>
  <si>
    <t>Canvas: trying to use a recycled bitmap randomly when cycling through images</t>
  </si>
  <si>
    <t xml:space="preserve">I ve got 3 views that I m loading random images into on a timer   I m trying to crossfade the new image with the currently displayed image   I basically get a random image from a list of about 10 and call the method below 3 times (with different views) every 6 seconds   
This works most of the time  but sometimes it crashes due to the exception included below  When I was using a button click to do the update I was able to have this exception happen pretty easily    I m wondering if there is some sort of race condition internally on the fetch and render between the previous call and the new call   
Is there a better way to do this or should this work as I m currently using it 
Using 3 6 1
Here s the code:
mDownloadedSize is the max of the screen width or height   I m using this so rotations have immediate cache hit image loading   
private void loadImage(ImageView view  String photoUrl)
            Drawable oldImage   view getDrawable() 
            Glide with(MyFragment this)
                  load(photoUrl)
                  crossFade()
                  placeholder(oldImage)
                  override(mDownloadSize  mDownloadSize)
                  centerCrop()
                  into(view) 
    java lang RuntimeException: Canvas: trying to use a recycled bitmap android graphics Bitmap 20260fad
            at android graphics Canvas throwIfCannotDraw(Canvas java:1282)
            at android view GLES20Canvas drawBitmap(GLES20Canvas java:599)
            at com bumptech glide load resource bitmap GlideBitmapDrawable draw(GlideBitmapDrawable java:101)
            at com bumptech glide request target SquaringDrawable draw(SquaringDrawable java:151)
            at android graphics drawable TransitionDrawable draw(TransitionDrawable java:198)
            at android widget ImageView onDraw(ImageView java:1158)
            at android view View draw(View java:15231)
            at android view View updateDisplayListIfDirty(View java:14167)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dispatchGetDisplayList(ViewGroup java:3368)
            at android view View updateDisplayListIfDirty(View java:14127)
            at android view View getDisplayList(View java:14189)
            at android view ViewGroup recreateChildDisplayList(ViewGroup java:3389)
            at android view ViewGroup dispatchGetDisplayList(ViewG
</t>
  </si>
  <si>
    <t>mrmans0n-smart-location-lib-86</t>
  </si>
  <si>
    <t>Crashlytics reports NullPointerException in GeofencingGooglePlayServicesProvider line 246</t>
  </si>
  <si>
    <t xml:space="preserve">I got the following crash report from Crashlytics (Android 2 3 4):
 pre 
java lang NullPointerException
       at io nlopez smartlocation geofencing providers GeofencingGooglePlayServicesProvider GeofencingService onHandleIntent(GeofencingGooglePlayServicesProvider java:246)
       at android app IntentService ServiceHandler handleMessage(IntentService java:59)
       at android os Handler dispatchMessage(Handler java:99)
       at android os Looper loop(Looper java:130)
       at android os HandlerThread run(HandlerThread java:60)
  pre 
 pre 
thread
       at java lang Object wait(Object java)
       at java lang Thread parkFor(Thread java:1429)
       at java lang LangAccessImpl parkFor(LangAccessImpl java:48)
       at sun misc Unsafe park(Unsafe java:337)
       at java util concurrent locks LockSupport park(LockSupport java:157)
       at java util concurrent locks AbstractQueuedSynchronizer ConditionObject await(AbstractQueuedSynchronizer java:2016)
       at java util concurrent PriorityBlockingQueue take(PriorityBlockingQueue java:228)
       at io fabric sdk android services concurrency DependencyPriorityBlockingQueue performOperation(DependencyPriorityBlockingQueue java:197)
       at io fabric sdk android services concurrency DependencyPriorityBlockingQueue get(DependencyPriorityBlockingQueue java:236)
       at io fabric sdk android services concurrency DependencyPriorityBlockingQueue take(DependencyPriorityBlockingQueue java:65)
       at io fabric sdk android services concurrency DependencyPriorityBlockingQueue take(DependencyPriorityBlockingQueue java:46)
       at java util concurrent ThreadPoolExecutor getTask(ThreadPoolExecutor java:1021)
       at java util concurrent ThreadPoolExecutor runWorker(ThreadPoolExecutor java:1081)
       at java util concurrent ThreadPoolExecutor Worker run(ThreadPoolExecutor java:581)
       at java lang Thread run(Thread java:1019)
  pre 
</t>
  </si>
  <si>
    <t>orhanobut-wasp-128</t>
  </si>
  <si>
    <t xml:space="preserve">Crash when getting annotations. </t>
  </si>
  <si>
    <t xml:space="preserve">I don t even have a clue but I see this crash this morning related to Wasp  Do you think it is worth looking at 
java lang IncompatibleClassChangeError: Couldn t find com orhanobut wasp http Path value
       at libcore reflect AnnotationAccess toAnnotationInstance(AnnotationAccess java:659)
       at libcore reflect AnnotationAccess annotationSetToAnnotations(AnnotationAccess java:633)
       at libcore reflect AnnotationAccess getParameterAnnotations(AnnotationAccess java:315)
       at java lang reflect ArtMethod getParameterAnnotations(ArtMethod java:211)
       at java lang reflect Method getParameterAnnotations(Method java:313)
       at com orhanobut wasp MethodInfo parseParamAnnotations(SourceFile:205)
       at com orhanobut wasp MethodInfo init(SourceFile:71)
       at com orhanobut wasp MethodInfo (SourceFile:65)
       at com orhanobut wasp MethodInfo newInstance(SourceFile:75)
       at com orhanobut wasp NetworkHandler fillMethods(SourceFile:81)
       at com orhanobut wasp NetworkHandler getProxyClass(SourceFile:74)
       at com orhanobut wasp Wasp create(SourceFile:66)
       at com verisun mobiett core Service (SourceFile:90)
       at com verisun mobiett core Cache (SourceFile:30)
       at com verisun core App getCache(SourceFile:74)
       at com verisun core App onTrimMemory(SourceFile:97)
       at android app ActivityThread handleTrimMemory(ActivityThread java:4805)
       at android app ActivityThread H handleMessage(ActivityThread java:1647)
       at android os Handler dispatchMessage(Handler java:102)
       at android os Looper loop(Looper java:145)
       at android app ActivityThread main(ActivityThread java:5942)
       at java lang reflect Method invoke(Method java)
       at java lang reflect Method invoke(Method java:372)
       at com android internal os ZygoteInit MethodAndArgsCaller run(ZygoteInit java:1400)
       at com android internal os ZygoteInit main(ZygoteInit java:1195)
</t>
  </si>
  <si>
    <t>mvysny-aedict-567</t>
  </si>
  <si>
    <t>After updating KanjiDIC2 self test fails</t>
  </si>
  <si>
    <t xml:space="preserve">Hello 
Aedict is crashing in my tablet after updating dictionaries  Uninstalling and reinstalling makes no difference 
I took my phone  run the self test and it was 100  ok  then updated dictionaries and it updated KanjiDIC2  run self test again and 5 tests crashed:
ResolveKanjis 
ResolveKanjis 
ResolveKanjis  
KanjidicQuery
SkipQuery
</t>
  </si>
  <si>
    <t>AppLozic-Applozic-Android-SDK-33</t>
  </si>
  <si>
    <t>App is getting crashed when we resend/Forward the file without downloading</t>
  </si>
  <si>
    <t xml:space="preserve">App is getting crashed when we Resend Forward  the file without downloading 
Log detail:
09 15 13:36:05 492    1084 1084   I Keyboard Facilitator  onFinishInput()
09 15 13:36:05 513  29513 29653 com mobicomkit sample debug E AndroidRuntime  FATAL EXCEPTION: IntentService MessageIntentService 
    Process: com mobicomkit sample debug  PID: 29513
    java lang NullPointerException: Attempt to invoke interface method  java lang Object java util List get(int)  on a null object reference
            at com applozic mobicomkit api conversation MessageIntentService getMapKey(MessageIntentService java:54)
            at com applozic mobicomkit api conversation MessageIntentService onHandleIntent(MessageIntentService java:49)
            at android app IntentService ServiceHandler handleMessage(IntentService java:65)
            at android os Handler dispatchMessage(Handler java:102)
            at android os Looper loop(Looper java:135)
            at android os HandlerThread run(HandlerThread java:61)
</t>
  </si>
  <si>
    <t>Fleker-CumulusTV-47</t>
  </si>
  <si>
    <t>Recognize invalid logos</t>
  </si>
  <si>
    <t xml:space="preserve">From this crash
java lang IllegalStateException: Unrecognized type of request: Request aljazeera jpg 
   at com squareup picasso BitmapHunter 2 load(BitmapHunter java:66)
   at com squareup picasso BitmapHunter hunt(BitmapHunter java:206)
   at com squareup picasso RequestCreator get(RequestCreator java:396)
   at com felkertech n cumulustv SampleTvInput SimpleSessionImpl 1 run(SampleTvInput java:211)
   at java lang Thread run(Thread java:818)
</t>
  </si>
  <si>
    <t>ankidroid-Anki-Android-3654</t>
  </si>
  <si>
    <t>AnkiDroid doesn't always handle destroy and restore of activity</t>
  </si>
  <si>
    <t xml:space="preserve">This impacts people on devices with low memory or people who leave Anki running and come back after using several other apps  Basically anyone who often has Anki evicted out of memory by the system and then comes back to it 
It s tricky to repro naturally but Android provides a way to force it 
Steps to repro (on a device that has developer mode enabled)
1 Enable  don t keep activities  under developer options
2 Start studying in Anki (take note of what card you re on)
3 Open Settings (or open another app or just go back to the android home screen)
4 Go back to studying
Expected behaviour:
Anki should be on the same card it was on a minute ago 
Actual behaviour:
Anki s activity has been restarted without preserving state  you may be on a different card (if anki is randomising things) or just in a different state (e g  you were on the answer screen now you re back on the question screen) 
If you enable that dev setting and just use Anki normally  you ll notice lots of place where this occurs  I also end up reporting crashes when I enable this setting 
Adding onSaveInstanceState implementations in more Activity and Fragment classes will fix this 
</t>
  </si>
  <si>
    <t>colegarien-SDDTermProject-28</t>
  </si>
  <si>
    <t>logging in as teacher</t>
  </si>
  <si>
    <t xml:space="preserve">Currently because of how the username is stored in shared preferences to be later referenced by the database  when logging in as a teacher using a different name from the one you used on your very first  log in as a teacher  the program crashes when clicking the user info button 
</t>
  </si>
  <si>
    <t>parse-community-ParseUI-Android-75</t>
  </si>
  <si>
    <t>ParseQueryAdapter crashed when local datastore is enabled</t>
  </si>
  <si>
    <t xml:space="preserve">Hello 
changes made in  commit (https:  github com ParsePlatform ParseUI Android commit 48cd2e5ba9ae76eaefa196dadfae7ec3893a9b36)
in file:  ParseQueryAdapter  and line:  393   causes crash if local datastore is enabled 
I think in this line is missing something like this:
if ( Parse isLocalDatastoreEnabled())
Best regards 
Matthew
</t>
  </si>
  <si>
    <t>AppLozic-Applozic-Android-SDK-43</t>
  </si>
  <si>
    <t>App is crashing when scroll up message list page</t>
  </si>
  <si>
    <t xml:space="preserve">App is crashing when scroll up message list page 
Log Detail:
09 17 14:18:15 245      437 437 com mobicomkit sample debug I art  Late enabling  Xcheck:jni
09 17 14:18:15 287      437 437 com mobicomkit sample debug W ActivityThread  Application com mobicomkit sample debug can be debugged on port 8100   
09 17 14:18:15 408      437 437 com mobicomkit sample debug D AndroidRuntime  Shutting down VM
09 17 14:18:15 416      437 437 com mobicomkit sample debug E AndroidRuntime  FATAL EXCEPTION: main
    Process: com mobicomkit sample debug  PID: 437
    java lang RuntimeException: Unable to start activity ComponentInfo com mobicomkit sample debug com applozic mobicomkit uiwidgets conversation activity ConversationActivity : java lang NullPointerException: Attempt to write to field  int android support v4 app Fragment mNextAnim  on a null object reference
            at android app ActivityThread performLaunchActivity(ActivityThread java:2325)
            at android app ActivityThread handleLaunchActivity(ActivityThread java:2387)
            at android app ActivityThread access 800(ActivityThread java:151)
            at android app ActivityThread H handleMessage(ActivityThread java:1303)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Caused by: java lang NullPointerException: Attempt to write to field  int android support v4 app Fragment mNextAnim  on a null object reference
            at android support v4 app BackStackRecord popFromBackStack(BackStackRecord java:926)
            at android support v4 app FragmentManagerImpl popBackStackState(FragmentManager java:1551)
            at android support v4 app FragmentManagerImpl 2 run(FragmentManager java:495)
            at android support v4 app FragmentManagerImpl execPendingActions(FragmentManager java:1499)
            at android support v4 app FragmentManagerImpl executePendingTransactions(FragmentManager java:488)
            at com applozic mobicomkit uiwidgets conversation activity ConversationActivity addFragment(ConversationActivity java:87)
            at com applozic mobicomkit uiwidgets conversation activity ConversationActivity onCreate(ConversationActivity java:113)
            at android app Activity performCreate(Activity java:5990)
            at android app Instrumentation callActivityOnCreate(Instrumentation java:1106)
            at android app ActivityThread performLaunchActivity(ActivityThread java:2278)
            at android app ActivityThread handleLaunchActivity(ActivityThread java:2387)
            at android app ActivityThread access 800(ActivityThread java:151)
            at android app ActivityThread H handleMessage(ActivityThread java:1303)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</si>
  <si>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Cloudkibo-Android-62</t>
  </si>
  <si>
    <t>Back button press in video call crashes application</t>
  </si>
  <si>
    <t xml:space="preserve">During the call when I pressed the back button  it crashed the application and other peer on web did not know and was still in call 
</t>
  </si>
  <si>
    <t>OneBusAway-onebusaway-android-293</t>
  </si>
  <si>
    <t>android.content.res.Resources$NotFoundException: Resource ID #0x0</t>
  </si>
  <si>
    <t xml:space="preserve">For  develop  branch:
Occasionally when I go back to the app and it resumes  it crashes and I see this exception:
android content res Resources NotFoundException: Resource ID  0x0
            at android content res Resources getValue(Resources java:1316)
            at android content res Resources getDrawable(Resources java:812)
            at android content Context getDrawable(Context java:403)
            at android support v4 content ContextCompatApi21 getDrawable(ContextCompatApi21 java:26)
            at android support v4 content ContextCompat getDrawable(ContextCompat java:319)
            at org onebusaway android ui AlertList Adapter initView(AlertList java:78)
            at org onebusaway android ui AlertList Adapter initView(AlertList java:60)
            at org onebusaway android util ArrayAdapter getView(ArrayAdapter java:73)
            at android widget AbsListView obtainView(AbsListView java:2390)
            at android widget ListView measureHeightOfChildren(ListView java:1270)
            at android widget ListView onMeasure(ListView java:1182)
Looks like its caused by this code getting the drawable for the AlertList:
int drawableRight   clickable   R drawable ic navigation chevron right : 0 
int iconColor   R color header text color 
Drawable drawable   ContextCompat
                     getDrawable(Application get() getApplicationContext()  drawableRight)         This line throws the exception
Drawable wrappedDrawable   DrawableCompat wrap(drawable) 
wrappedDrawable   wrappedDrawable mutate() 
</t>
  </si>
  <si>
    <t>kontalk-androidclient-550</t>
  </si>
  <si>
    <t>App crashes after current update (3.0.5)</t>
  </si>
  <si>
    <t xml:space="preserve">After updating the application via f droid to v 3 0 5 it crashes immediately after starting with the following message:  Kontalk  has ended 
Any suggestions what I can do in this case  Until this update everything worked fine on my GT I9195 with CM 12 1 
If you need more information  don t hesitate to ask me (:
</t>
  </si>
  <si>
    <t>JordanMoffat-KitchenPal-32</t>
  </si>
  <si>
    <t>App crashes when passing non-alphanumeric string to recipe</t>
  </si>
  <si>
    <t xml:space="preserve">Certain symbols like   crash the app
</t>
  </si>
  <si>
    <t>dhammikamare-OfferME-2</t>
  </si>
  <si>
    <t>Crash at about us</t>
  </si>
  <si>
    <t xml:space="preserve">Upon clicking about us  the app crashes after timeout of 30 seconds if no working internet connection is available
</t>
  </si>
  <si>
    <t>cymcsg-UltimateRecyclerView-196</t>
  </si>
  <si>
    <t>NPE on touch any point in the layout if there is no item in the adapter</t>
  </si>
  <si>
    <t xml:space="preserve">I had this issue https:  github com cymcsg UltimateRecyclerView issues 87 and tried to set front and back layout to load more layout  and the problem is now that if user touches the recycler view when there is no item in the adapter app crashes 
this is the stack trace   
  java lang ArrayIndexOutOfBoundsException: length 12  index  1
        at java util ArrayList get(ArrayList java:310)
        at com marshalchen ultimaterecyclerview swipelistview SwipeListViewTouchListener closeOtherOpenedItems(SwipeListViewTouchListener java:997)
        at com marshalchen ultimaterecyclerview swipelistview SwipeListViewTouchListener onTouch(SwipeListViewTouchListener java:985)
        at android view View dispatchTouchEvent(View java:8962)
        at android view ViewGroup dispatchTransformedTouchEvent(ViewGroup java:2698)
        at android view ViewGroup dispatchTouchEvent(ViewGroup java:2410)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android view ViewGroup dispatchTransformedTouchEvent(ViewGroup java:2709)
        at android view ViewGroup dispatchTouchEvent(ViewGroup java:2425)
        at com android internal policy impl PhoneWindow DecorView superDispatchTouchEvent(PhoneWindow java:2559)
        at com android internal policy impl PhoneWindow superDispatchTouchEvent(PhoneWindow java:1767)
        at android app Activity dispatchTouchEvent(Activity java:2866)
        at android support v7 internal view WindowCallbackWrapper dispatchTouchEvent(WindowCallbackWrapper java:59)
        at com android internal policy impl PhoneWindow DecorView dispatchTouchEvent(PhoneWindow java:2520)
        at com android internal policy impl MultiPhoneWindow MultiPhoneDecorView dispatchTouchEvent(MultiPhoneWindow java:537)
        at android view View dispatchPointerEvent(View java:9173)
        at android view ViewRootImpl ViewPostImeInputStage processPointerEvent(ViewRootImpl java:4708)
        at android view ViewRootImpl ViewPostImeInputStage onProcess(ViewRootImpl java:4546)
        at android view ViewRootImpl InputStage deliver(ViewRootImpl java:4070)
        at android view ViewRootImpl InputStage onDeliverToNext(ViewRootImpl java:4123)
        at android view ViewRootImpl InputStage forward(ViewRootImpl java:4089)
        at android view ViewRootImpl AsyncInputStage forward(ViewRootImpl java:4203)
        at android view ViewRootImpl InputStage apply(ViewRootImpl java:4097)
        at android view ViewRootImpl Asy
</t>
  </si>
  <si>
    <t>Fachschaft07-fs-android-app-28</t>
  </si>
  <si>
    <t xml:space="preserve">Timetable crashes on course selection </t>
  </si>
  <si>
    <t xml:space="preserve">If i download the timetable for the master (IG) and select a course  the app crashes  
After restart  i get popups with 
IllegalStateException: Expected a name but was END OBJECT at line 1 Column 41 Path   
I already sent feedback via playstore  
</t>
  </si>
  <si>
    <t>Abestanis-APython-10</t>
  </si>
  <si>
    <t>Crash on loading the Python libs for the second time</t>
  </si>
  <si>
    <t xml:space="preserve">When loading the Python libraries for the second time (e g  starting the Interpreter for the second time)  the following crash occurs:
09 21 15:27:46 099     919 1083   A libc  Fatal signal 11 (SIGSEGV) at 0x00000008 (code 1)  thread 1083 (Thread 68)
09 21 15:27:46 269        55 55   I DEBUG                                                                 
09 21 15:27:46 269        55 55   I DEBUG  Build fingerprint:  generic sdk generic:4 4 4 KK 1743154:eng test keys 
09 21 15:27:46 269        55 55   I DEBUG  Revision:  0 
09 21 15:27:46 289        55 55   I DEBUG  pid: 919  tid: 1083  name: Thread 68      com apython python pythonhost    
09 21 15:27:46 289        55 55   I DEBUG  signal 11 (SIGSEGV)  code 1 (SEGV MAPERR)  fault addr 00000008
09 21 15:27:46 649        55 55   I DEBUG  r0 abe2e948  r1 abe2e948  r2 ab9c5b48  r3 00000000
09 21 15:27:46 659        55 55   I DEBUG  r4 abe2e948  r5 00000001  r6 00000001  r7 b8cbe42c
09 21 15:27:46 659        55 55   I DEBUG  r8 ac01e1b0  r9 00000000  sl 00000001  fp 00000000
09 21 15:27:46 659        55 55   I DEBUG  ip abfb8ca0  sp aac46c80  lr abde0ccb  pc abde08d4  cpsr 60000030
09 21 15:27:46 659        55 55   I DEBUG  d0  bf800000bf800000  d1  c3878000436a8000
09 21 15:27:46 659        55 55   I DEBUG  d2  0000000000000000  d3  33d6bf9500000000
09 21 15:27:46 669        55 55   I DEBUG  d4  43bc000043bc4000  d5  4200000000000000
09 21 15:27:46 669        55 55   I DEBUG  d6  4200000000000000  d7  c1e0000041000000
09 21 15:27:46 669        55 55   I DEBUG  d8  0000002042400000  d9  0000000042100000
09 21 15:27:46 669        55 55   I DEBUG  d10 0000000000000000  d11 0000000000000000
09 21 15:27:46 669        55 55   I DEBUG  d12 0000000000000000  d13 0000000000000000
09 21 15:27:46 669        55 55   I DEBUG  d14 0000000000000000  d15 0000000000000000
09 21 15:27:46 669        55 55   I DEBUG  scr 60000013
09 21 15:27:46 669        55 55   I DEBUG  backtrace:
09 21 15:27:46 669        55 55   I DEBUG   00  pc 001148d4   data app lib com apython python pythonhost 1 libpython3 4 so (PySys SetObject 15)
09 21 15:27:46 669        55 55   I DEBUG   01  pc 00114cc7   data app lib com apython python pythonhost 1 libpython3 4 so (PySys SetArgvEx 110)
09 21 15:27:46 669        55 55   I DEBUG   02  pc 00072bcd   data app lib com apython python pythonhost 1 libpython3 4 so (Py Main 1492)
09 21 15:27:46 669        55 55   I DEBUG   03  pc 00082875   data app lib com apython python pythonhost 1 libpython3 4 so (oldPy Main 180)
09 21 15:27:46 669        55 55   I DEBUG   04  pc 00001f87   data app lib com apython python pythonhost 1 libpyInterpreter so (call Py Main 66)
09 21 15:27:46 669        55 55   I DEBUG   05  pc 00001c13   data app lib com apython python pythonhost 1 libpyInterpreter so (startPythonInterpreter 42)
09 21 15:27:46 669        55 55   I DEBUG   06  pc 0000d060   system lib libc so (  thread entry 72)
09 21 15:27:46 669        55 55   I DEBUG   07  pc 0000d1f8   system lib libc so (pthread create 240)
09 21 15:27:46 669        55 55   I DEBUG  stack:
09 21 15:27:46 669        55 55   I DEBUG  aac46c40  00000004
09 21 15:27:46 669        55 55   I DEBUG  aac46c44  80a3fffc
09 21 15:27:46 669        55 55   I DEBUG  aac46c48  b6ef3c95   system lib libc so (dlmalloc)
09 21 15:27:46 689        55 55   I DEBUG  aac46c4c  ab9c5b48
09 21 15:27:46 689        55 55   I DEBUG  aac46c50  00000001
09 21 15:27:46 689        55 55   I DEBUG  aac46c54  00000004
09 21 15:27:46 689        55 55   I DEBUG  aac46c58  b8cbe42c   heap 
09 21 15:27:46 689        55 55   I DEBUG  aac46c5c  ac01e1b0   data app lib com apython python pythonhost 1 libpython3 4 so
09 21 15:27:46 689        55 55   I DEBUG  aac46c60  00000000
09 21 15:27:46 689        55 55   I DEBUG  aac46c64  00000001
09 21 15:27:46 689        55 55   I DEBUG  aac46c68  b8be9a40   heap 
09 21 15:27:46 689        55 55   I DEBUG  aac46c6c  ab9c5b48
09 21 15:27:46 689        55 55   I DEBUG  aac46c70  00000001
09 21 15:27:46 689        55 55   I DEBUG  aac46c74  00000004
09 21 15:27:46 689        55 55   I DEBUG  aac46c78  00000000
09 21 15:27:46 689        55 55   I DEBUG  aac46c7c  ab9c5b48
09 21 15:27:46 689        55 55   I DEBUG   00  aac46c80  b8be9a40   heap 
09 21 15:27:46 689        55 55   I DEBUG  aac46c84  ab9c5b48
09 21 15:27:46 689        55 55   I DEBUG  aac46c88  00000001
09 21 15:27:46 689        55 55   I DEBUG  aac46c8c  abde0ccb   data app lib com apython python pythonhost 1 libpython3 4 so (PySys SetArgvEx 114)
09 21 15:27:46 689        55 55   I DEBUG   01  aac46c90  abfb8954   data app lib com apython python pythonhost 1 libpython3 4 so
09 21 15:27:46 689        55 55   I DEBUG  aac46c94  b8cbe428   heap 
09 21 15:27:46 689        55 55   I DEBUG  aac46c98  00000000
09 21 15:27:46 689        55 55   I DEBUG  aac46c9c  ac040430
09 21 15:27:46 689        55 55   I DEBUG  aac46ca0  00000000
09 21 15:27:46 689        55 55   I DEBUG  aac46ca4  b6f2d150   system lib libc so
09 21 15:27:46 689        55 55   I DEBUG  aac46ca8  ac016d9c   data app lib com apython python pythonhost 1 libpython3 4 so
09 21 15:27:46 689        55 55   I DEBUG  aac46cac  abd3ebd1   data app lib com apython python pythonhost 1 libpython3 4 so (Py Main 1496)
09 21 15:27:46 689        55 55   I DEBUG   02  aac46cb0  00000000
09 21 15:27:46 689        55 55   I DEBUG  aac46cb4  00000000
09 21 15:27:46 689        55 55   I DEBUG  aac46cb8  00000000
09 21 15:27:46 689        55 55   I DEBUG  aac46cbc  b6f2d1f8   system lib libc so
09 21 15:27:46 689        55 55   I DEBUG  aac46cc0  ac040434
09 21 15:27:46 689        55 55   I DEBUG  aac46cc4  00000001
09 21 15:27:46 689        55 55   I DEBUG  aac46cc8  00000001
09 21 15:27:46 689        55 55   I DEBUG  aac46ccc  00000000
09 21 15:27:46 689        55 55   I DEBUG  aac46cd0  00000000
09 21 15:27:46 689        55 55   I DEBUG  aac46cd4  00000000
09 21 15:27:46 689        55 55   I DEBUG  aac46cd8  00000000
09 21 15:27:46 689        55 55   I DEBUG  aac46cdc  00000000
09 21 15:27:46 689        55 55   I DEBUG  aac46ce0  00000000
09 21 15:27:46 689        55 55   I DEBUG  aac46ce4  00000000
09 21 15:27:46 689        55 55   I DEBUG  aac46ce8  000000c0
09 21 15:27:46 689        55 55   I DEBUG  aac46cec  b8bc11b8   heap 
The issue does not occurre if the interpreter is closed via  exit()  
</t>
  </si>
  <si>
    <t>cSploit-android-254</t>
  </si>
  <si>
    <t>Crash and cant download ruby on LG G4</t>
  </si>
  <si>
    <t xml:space="preserve">Just downloaded csploit earlier today  Tried latest version  second latest version and nightly  
Nightly wouldnt even start  The other 2 versions it kept saying ruby failed to download  If i press not to download and try any of the options from mitm it just crashes and resets my phone  
I have a theory that its my phone  because ive been trying to get Zanti to work with my phone and zanti also acts weird with my phone  
Any fix  
I would like to upload a log so you can figure it out better  but not sure how to do that  
Thanks for your time 
</t>
  </si>
  <si>
    <t>JordanMoffat-KitchenPal-36</t>
  </si>
  <si>
    <t>Replace CircularImageView library</t>
  </si>
  <si>
    <t xml:space="preserve">Current one i m using is crashing the app when loading images
</t>
  </si>
  <si>
    <t>turing-tech-MaterialScrollBar-12</t>
  </si>
  <si>
    <t>setHandleColour bugs</t>
  </si>
  <si>
    <t xml:space="preserve">setHandleColour int or String version does try to set the indicator color even if there s no indicator configured 
This leads to a NPE crash 
 ((GradientDrawable)indicator getBackground()) setColor(handleColour)  shoud test indicator for null 
</t>
  </si>
  <si>
    <t>cgeo-cgeo-5204</t>
  </si>
  <si>
    <t>Crash when trying to navigate with MapsWithMe and waypoints without coordinates</t>
  </si>
  <si>
    <t xml:space="preserve">(Error scenario deduced from the following playstore crash report)
java lang NullPointerException: Attempt to invoke virtual method  double cgeo geocaching location Geopoint getLatitude()  on a null object reference
    at cgeo geocaching apps navi MapsMeApp navigateWithWaypoints(MapsMeApp java:43)
    at cgeo geocaching apps navi MapsMeApp navigate(MapsMeApp java:35)
    at cgeo geocaching apps navi NavigationAppFactory navigateCache(NavigationAppFactory java:250)
    at cgeo geocaching apps navi NavigationAppFactory startDefaultNavigationApplication(NavigationAppFactory java:290)
    at cgeo geocaching CacheDetailActivity startDefaultNavigation(CacheDetailActivity java:774)
    at cgeo geocaching ui NavigationActionProvider 1 onClick(NavigationActionProvider java:47)
    at android view View performClick(View java:5184)
    at android view View PerformClick run(View java:20893)
    at android os Handler handleCallback(Handler java:739)
    at android os Handler dispatchMessage(Handler java:95)
    at android os Looper loop(Looper java:145)
    at android app ActivityThread main(ActivityThread java:5938)
    at java lang reflect Method invoke(Native Method)
    at java lang reflect Method invoke(Method java:372)
    at com android internal os ZygoteInit MethodAndArgsCaller run(ZygoteInit java:1400)
    at com android internal os ZygoteInit main(ZygoteInit java:1195)
(Report from 2015 09 24  13:01)
</t>
  </si>
  <si>
    <t>AppLozic-Applozic-Android-SDK-48</t>
  </si>
  <si>
    <t>App is crashing when trying to delete user conversation</t>
  </si>
  <si>
    <t xml:space="preserve">App is crashing when trying to delete user conversation
Steps to reproduce:
1)Login to app
2)Navigate to message list page
3)click on add new userid icon(   ) and put existing userid
4)click on more options then click on delete  app will crash
</t>
  </si>
  <si>
    <t>CellularPrivacy-Android-IMSI-Catcher-Detector-620</t>
  </si>
  <si>
    <t>RuntimeException when downloading OpenCellID data with incorrect API key</t>
  </si>
  <si>
    <t xml:space="preserve">1  Install the app
2  Enter an incorrect OCID API key (i e  typo)
3  Press  Download BTS Data  from the navigation drawer
4  The app and service crash 
The OCID server returns an 401 HTTP response code  and the app enters an error condition block that displays a Toast  However  a Toast cannot be displayed here because it is not currently executing on the main thread 
Occurs on tag   v0 1 34 alpha b00 (8dd3f7f) as well as latest development commit (a4b5bd4) 
relevant log:
09 25 19:09:37 871 20266 20266 com SecUpwN AIMSICD I AIMSICDDbAdapter: Checking for db first install this will throw an error on install and is noraml
09 25 19:09:37 881 20266 20266 com SecUpwN AIMSICD D AIMSICD: AppAIMSICD: BaseTask addTask activity:com SecUpwN AIMSICD AIMSICD
09 25 19:09:37 881 20266 20266 com SecUpwN AIMSICD V AIMSICD: AppAIMSICD: BaseTask added:com SecUpwN AIMSICD utils RequestTask 33f4076b
09 25 19:09:37 886 20266 20599 com SecUpwN AIMSICD I RequestTask: DBE DOWNLOAD REQUEST write to:  storage emulated 0 Android data com SecUpwN AIMSICD files OpenCellID opencellid csv
09 25 19:09:38 225 20266 20599 com SecUpwN AIMSICD E AndroidRuntime: FATAL EXCEPTION: AsyncTask  3
09 25 19:09:38 225 20266 20599 com SecUpwN AIMSICD E AndroidRuntime: Process: com SecUpwN AIMSICD  PID: 20266
09 25 19:09:38 225 20266 20599 com SecUpwN AIMSICD E AndroidRuntime: java lang RuntimeException: An error occured while executing doInBackground()
09 25 19:09:38 225 20266 20599 com SecUpwN AIMSICD E AndroidRuntime:     at android os AsyncTask 3 done(AsyncTask java:304)
09 25 19:09:38 225 20266 20599 com SecUpwN AIMSICD E AndroidRuntime:     at java util concurrent FutureTask finishCompletion(FutureTask java:355)
09 25 19:09:38 225 20266 20599 com SecUpwN AIMSICD E AndroidRuntime:     at java util concurrent FutureTask setException(FutureTask java:222)
09 25 19:09:38 225 20266 20599 com SecUpwN AIMSICD E AndroidRuntime:     at java util concurrent FutureTask run(FutureTask java:242)
09 25 19:09:38 225 20266 20599 com SecUpwN AIMSICD E AndroidRuntime:     at android os AsyncTask SerialExecutor 1 run(AsyncTask java:231)
09 25 19:09:38 225 20266 20599 com SecUpwN AIMSICD E AndroidRuntime:     at java util concurrent ThreadPoolExecutor runWorker(ThreadPoolExecutor java:1112)
09 25 19:09:38 225 20266 20599 com SecUpwN AIMSICD E AndroidRuntime:     at java util concurrent ThreadPoolExecutor Worker run(ThreadPoolExecutor java:587)
09 25 19:09:38 225 20266 20599 com SecUpwN AIMSICD E AndroidRuntime:     at java lang Thread run(Thread java:818)
09 25 19:09:38 225 20266 20599 com SecUpwN AIMSICD E AndroidRuntime:  Caused by: java lang RuntimeException: Can t create handler inside thread that has not called Looper prepare()
09 25 19:09:38 225 20266 20599 com SecUpwN AIMSICD E AndroidRuntime:     at android os Handler  init (Handler java:200)
09 25 19:09:38 225 20266 20599 com SecUpwN AIMSICD E AndroidRuntime:     at android os Handler  init (Handler java:114)
09 25 19:09:38 225 20266 20599 com SecUpwN AIMSICD E AndroidRuntime:     at android widget Toast TN  init (Toast java:346)
09 25 19:09:38 225 20266 20599 com SecUpwN AIMSICD E AndroidRuntime:     at android widget Toast  init (Toast java:102)
09 25 19:09:38 225 20266 20599 com SecUpwN AIMSICD E AndroidRuntime:     at android widget Toast makeText(Toast java:260)
09 25 19:09:38 225 20266 20599 com SecUpwN AIMSICD E AndroidRuntime:     at com SecUpwN AIMSICD utils Toaster msgLong(Toaster java:51)
09 25 19:09:38 225 20266 20599 com SecUpwN AIMSICD E AndroidRuntime:     at com SecUpwN AIMSICD utils Helpers msgLong(Helpers java:94)
09 25 19:09:38 225 20266 20599 com SecUpwN AIMSICD E AndroidRuntime:     at com SecUpwN AIMSICD utils RequestTask doInBackground(RequestTask java:226)
09 25 19:09:38 225 20266 20599 com SecUpwN AIMSICD E AndroidRuntime:     at com SecUpwN AIMSICD utils RequestTask doInBackground(RequestTask java:96)
09 25 19:09:38 225 20266 20599 com SecUpwN AIMSICD E AndroidRuntime:     at android os AsyncTask 2 call(AsyncTask java:292)
09 25 19:09:38 225 20266 20599 com SecUpwN AIMSICD E AndroidRuntime:     at java util concurrent FutureTask run(FutureTask java:237)
09 25 19:09:38 225 20266 20599 com SecUpwN AIMSICD E AndroidRuntime:     at android os AsyncTask SerialExecutor 1 run(AsyncTask java:231) 
09 25 19:09:38 225 20266 20599 com SecUpwN AIMSICD E AndroidRuntime:     at java util concurrent ThreadPoolExecutor runWorker(ThreadPoolExecutor java:1112) 
09 25 19:09:38 225 20266 20599 com SecUpwN AIMSICD E AndroidRuntime:     at java util concurrent ThreadPoolExecutor Worker run(ThreadPoolExecutor java:587) 
09 25 19:09:38 225 20266 20599 com SecUpwN AIMSICD E AndroidRuntime:     at java lang Thread run(Thread java:818) 
</t>
  </si>
  <si>
    <t>k9mail-k-9-814</t>
  </si>
  <si>
    <t>[bug] deleting the last mail in thread view can cause all kinds of odd effects</t>
  </si>
  <si>
    <t xml:space="preserve">   How to reproduce:
  Go to the inbox
  Click on a mail that is part of a thread
  From now on only mail that are part of the thread are shown
  Click on a Mail
  The mail Opens
  Now press the  delete  button until the last Mail of the thread is deleted 
   How to reproduce (method 2):
  Go to the inbox
  Click on a mail that is part of a thread
  From now on only mail that are part of the thread are shown
  Select all Mails
  Choose the  delete  action in order to delete all mails
What might happen (seems for some reason not to happen if I try to create a test thread by sending mails back and forth without receiving messages that are not part of the thread and doing other stuff with the phone inbetween)
  either shows me a screen which is empty except of the title and the bottom line (which might be intended: The thread I am currently viewing is actually empty)
  or goes back to the folder I came from
  or crashes
  or shows me the mails of the thread as if they weren t deleted 
Crashes happen only about 10  of the time  I assume that a check that tests if there are mails to visualize is missing 
This crash has been around for a while and can still be reproduced in the current alpha version (201509259) 
    Environment
K 9 Mail version: 5 107
Android version: 4 4 1  5 0  4 1     (Did test several)
Account type (IMAP  POP3  WebDAV Exchange): IMAP
Cellphone Type:
  Galaxy Note I (stock ROM)
  Galaxy Note I (Cyanogen Mod 10 1)
  Galaxy Note I (OmniRom)
  Wildfire S (Stock ROM)
  Wildfire S (Cyanogenmod 10 0 nightly)
  Wiko Bloom (Stock ROM)
</t>
  </si>
  <si>
    <t>EmergentOrganization-cell-rpg-68</t>
  </si>
  <si>
    <t>game crash on shield down</t>
  </si>
  <si>
    <t xml:space="preserve">I ve noticed that the game will crash and throw a rather strange error: 
 Exception in thread  LWJGL Application  org lwjgl opengl OpenGLException: Cannot use offsets when Array Buffer Object is disabled 
After some googling  the best I can figure is that this error is  the result of some improper disposal (http:  stackoverflow com questions 17005585 array buffer object is disabled) 
I believe this error is fairly new  as I did not notice it before cellRevamp  
To reproduce connect to a arcade or story game and run into CA until the shield is fully depleted  
</t>
  </si>
  <si>
    <t>IOT-DSA-dslink-java-android-1</t>
  </si>
  <si>
    <t>Empty notification parameters crash the link</t>
  </si>
  <si>
    <t xml:space="preserve">If you run Create Notification with empty parameters  it will crash DSAndroid 
</t>
  </si>
  <si>
    <t>dsaltares-libgdx-cookbook-10</t>
  </si>
  <si>
    <t>Eclipse 4.2/4.5 - samples-desktop - Run As - SwingCanvasSample</t>
  </si>
  <si>
    <t xml:space="preserve">Hello 
I checkout the  cookbook 1 3 0  tag into Eclipse  gradle build  and run using  Run As   Java Application   SwingCanvasSample   The sampler launches  but the individual sample programs are crashing  e g  SpriteSample 
I don t encounter this problem neither with Main java  not with  environment wihch just work fine 
On Eclipse 4 2 Juno  I get the error message
AL lib: (EE) DoReset: Failed to initialize audio client: 0x88890017
Exception in thread  AWT EventQueue 0  org lwjgl openal OpenALException: Invalid Device
    at org lwjgl openal Util checkALCError(Util java:55)
On Eclipse 4 5 Mars  I get the error message
Exception in thread  AWT EventQueue 0  java lang NullPointerException
    at com cookbook samples SpriteSample dispose(SpriteSample java:73)
and on second execution the error message
Exception in thread  AWT EventQueue 0  com badlogic gdx utils GdxRuntimeException: com badlogic gdx utils GdxRuntimeException: OpenGL 2 0 or higher with the FBO extension is required  OpenGL version: 3 1 0   Build 9 17 10 4229
Intel
Intel(R) HD Graphics 3000
3 1 0   Build 9 17 10 4229
    at com badlogic gdx backends lwjgl LwjglAWTCanvas create(LwjglAWTCanvas java:222)
    at java awt EventDispatchThread run(EventDispatchThread java:91)
Caused by: com badlogic gdx utils GdxRuntimeException: OpenGL 2 0 or higher with the FBO extension is required  OpenGL version: 3 1 0   Build 9 17 10 4229
Intel
Intel(R) HD Graphics 3000
3 1 0   Build 9 17 10 4229
    at com badlogic gdx backends lwjgl LwjglGraphics initiateGLInstances(LwjglGraphics java:316)
    at com badlogic gdx backends lwjgl LwjglAWTCanvas create(LwjglAWTCanvas java:214)
        25 more
    at java awt EventDispatchThread run(EventDispatchThread java:91)
Exception in thread  AWT EventQueue 0  java lang NullPointerException
    at com badlogic gdx backends lwjgl LwjglAWTCanvas render(LwjglAWTCanvas java:238)
    at java awt EventDispatchThread run(EventDispatchThread java:91)
Thanks for any hint to solve this issue 
NIkolas
</t>
  </si>
  <si>
    <t>h6ah4i-android-advancedrecyclerview-115</t>
  </si>
  <si>
    <t>Exception on dragging outside [Grid layout]</t>
  </si>
  <si>
    <t xml:space="preserve">Hi  
I tried the drag and drop on Grid layout  It works nicely  except for this one issue   
Lets say the activity contains the recycler view (grid) in 50  bottom region  And their are sufficient items  so that there are several (say 12) rows in the grid  Now grab an item from last row  and drag it up  fast  The finger should move into the top 50  region  which is outside the recycler view  Now the grabbed items floats above other items  but no swapping is happening  And if the item is released in this situation  the app crashes with this library s exception   
java lang IllegalStateException: onDragItemFinished()   may be a bug (mDraggingItem    holder)
        at com h6ah4i android widget advrecyclerview draggable DraggableItemWrapperAdapter onDragItemFinished(DraggableItemWrapperAdapter java:257)
        at com h6ah4i android widget advrecyclerview draggable RecyclerViewDragDropManager finishDragging(RecyclerViewDragDropManager java:765)
        at com h6ah4i android widget advrecyclerview draggable RecyclerViewDragDropManager handleActionUpOrCancel(RecyclerViewDragDropManager java:804)
        at com h6ah4i android widget advrecyclerview draggable RecyclerViewDragDropManager onTouchEvent(RecyclerViewDragDropManager java:526)
        at com h6ah4i android widget advrecyclerview draggable RecyclerViewDragDropManager 1 onTouchEvent(RecyclerViewDragDropManager java:198)
Moving out is perhaps leading to failed condition  draggingItem getItemId()    draggingItemId  
And it would be great to have this feature   While dragging an item from second last row to last row  we should be able to drag to empty columns in last row  This should move the very last item 
Thanks 
</t>
  </si>
  <si>
    <t>Andrew67-DdrFinder-7</t>
  </si>
  <si>
    <t>Handle missing GPS permission</t>
  </si>
  <si>
    <t xml:space="preserve">In SDK 23  users can deny permissions during after application installation 
This means that existing code in the MapView that assumes access to the GPS API calls will throw an uncaught exception and crash the application 
Need to update code to detect and handle this situation  preferably presenting a UI as well 
</t>
  </si>
  <si>
    <t>Cloudkibo-Android-65</t>
  </si>
  <si>
    <t>Screen Sharing crashes</t>
  </si>
  <si>
    <t xml:space="preserve">I tried to share screen from web to Android it crashed and application was closed 
</t>
  </si>
  <si>
    <t>cSploit-android-327</t>
  </si>
  <si>
    <t>Crash while searching for exploits</t>
  </si>
  <si>
    <t xml:space="preserve">Here is the log 
http:  pastebin com rTJTqsdr
Csploit crashes while searching for exploit
</t>
  </si>
  <si>
    <t>OneBusAway-onebusaway-android-317</t>
  </si>
  <si>
    <t>NPE when choosing "Show trip details" for scheduled time</t>
  </si>
  <si>
    <t xml:space="preserve">When tapping on a scheduled arrival and choosing  Show trip details   the app crashes with:
 java lang NullPointerException: Attempt to invoke interface method  java lang String org onebusaway android io elements ObaTripStatus getActiveTripId()  on a null object reference
            at org onebusaway android ui TripDetailsListFragment setUpHeader(TripDetailsListFragment java:230)
            at org onebusaway android ui TripDetailsListFragment setTripDetails(TripDetailsListFragment java:195)
            at org onebusaway android ui TripDetailsListFragment access 500(TripDetailsListFragment java:52)
            at org onebusaway android ui TripDetailsListFragment TripDetailsLoaderCallback onLoadFinished(TripDetailsListFragment java:351)
            at org onebusaway android ui TripDetailsListFragment TripDetailsLoaderCallback onLoadFinished(TripDetailsListFragment java:340)
            at android support v4 app LoaderManagerImpl LoaderInfo callOnLoadFinished(LoaderManager java:427)
            at android support v4 app LoaderManagerImpl LoaderInfo onLoadComplete(LoaderManager java:395)
            at android support v4 content Loader deliverResult(Loader java:104)
            at org onebusaway android ui TripDetailsListFragment TripDetailsLoader deliverResult(TripDetailsListFragment java:395)
            at org onebusaway android ui TripDetailsListFragment TripDetailsLoader deliverResult(TripDetailsListFragment java:363)
            at android support v4 content AsyncTaskLoader dispatchOnLoadComplete(AsyncTaskLoader java:223)
            at android support v4 content AsyncTaskLoader LoadTask onPostExecute(AsyncTaskLoader java:61)
            at android support v4 content ModernAsyncTask finish(ModernAsyncTask java:461)
            at android support v4 content ModernAsyncTask access 500(ModernAsyncTask java:47)
            at android support v4 content ModernAsyncTask InternalHandler handleMessage(ModernAsyncTask java:474)
            at android os Handler dispatchMessage(Handler java:102)
            at android os Looper loop(Looper java:135)
            at android app ActivityThread main(ActivityThread java:5431)
            at java lang reflect Method invoke(Native Method)
            at java lang reflect Method invoke(Method java:372)
            at com android internal os ZygoteInit MethodAndArgsCaller run(ZygoteInit java:913)
            at com android internal os ZygoteInit main(ZygoteInit java:706)
</t>
  </si>
  <si>
    <t>tbruyelle-RxPermissions-3</t>
  </si>
  <si>
    <t>Crash on rotation</t>
  </si>
  <si>
    <t xml:space="preserve">Hey there 
First of all nice work  Sadly I have to say that your solution currently does not work with rotation changes  Simply press  Enable Camera   rotate your device and press   DENY  on the popup  This will result in the following crash:
  09 30 23:42:06 090  31948 31948 com tbruyelle rxpermissions sample E AndroidRuntime  FATAL EXCEPTION: main
    Process: com tbruyelle rxpermissions sample  PID: 31948
    java lang RuntimeException: Failure delivering result ResultInfo who  android:requestPermissions:  request 463403621  result  1  data Intent   act android content pm action REQUEST PERMISSIONS (has extras)    to activity  com tbruyelle rxpermissions sample com tbruyelle rxpermissions sample MainActivity : java lang IllegalStateException: RxPermission onRequestPermissionsResult invoked but didn t find the corresponding permission request 
            at android app ActivityThread deliverResults(ActivityThread java:3699)
            at android app ActivityThread handleSendResult(ActivityThread java:3742)
            at android app ActivityThread  wrap16(ActivityThread java)
            at android app ActivityThread H handleMessage(ActivityThread java:1393)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IllegalStateException: RxPermission onRequestPermissionsResult invoked but didn t find the corresponding permission request 
            at com tbruyelle rxpermissions RxPermissions onRequestPermissionsResult(RxPermissions java:123)
            at com tbruyelle rxpermissions sample MainActivity onRequestPermissionsResult(MainActivity java:36)
            at android app Activity dispatchRequestPermissionsResult(Activity java:6553)
            at android app Activity dispatchActivityResult(Activity java:6432)
            at android app ActivityThread deliverResults(ActivityThread java:3695)
            at android app ActivityThread handleSendResult(ActivityThread java:3742)
            at android app ActivityThread  wrap16(ActivityThread java)
            at android app ActivityThread H handleMessage(ActivityThread java:1393)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Do you have any ideas how to tackle this problem 
</t>
  </si>
  <si>
    <t>dimagi-commcare-android-662</t>
  </si>
  <si>
    <t>Don't crash unregistering a receiver that wasn't previously registered</t>
  </si>
  <si>
    <t xml:space="preserve">Fix crash being seen on ACRA where  in onPause  unregistering the session expiration receiver that wasn t previously registered causes force close  Not sure how this could ever happen  because it should always be registered in onResume  but might as well not fail hard when this happens 
https:  commcare acralyzer cloudant com acralyzer  design acralyzer index html  reports browser commcare odk bug 524bbfea0dcd4c2ba3c645f0bb97e485
</t>
  </si>
  <si>
    <t>fesch-CanZE-50</t>
  </si>
  <si>
    <t>2015.09.27 build: Not connecting and crash on opening settings</t>
  </si>
  <si>
    <t xml:space="preserve">The latest build does not work on my LG Optimus 2X stock rom  There is no connection established and when I enter settings the app crashes 
Running the 2015 09 20 build  settings and connection works  The Leafspy page crashes in this version  but the charging page works just fine 
</t>
  </si>
  <si>
    <t>fesch-CanZE-54</t>
  </si>
  <si>
    <t>Version 2015.09.20 works fine, newer versions don't</t>
  </si>
  <si>
    <t xml:space="preserve">I installed the version 2015 09 27 and 2015 10 01 on both my HTC One android 5 1 0 and a tablet android 4 4 2   
For both CanZe versions  the device displays  not connected   although the the bluetooth connects  
When pushing the key for settings  version 2015 09 27 crashes whereas the version 2015 10 01 displays: not allowed while driving  Not possible to enter the settings menu 
No way to make those versions work 
Version 2015 09 20 however  is working fine  except for the leafspy  then CanZe also crashes 
Any ideas how to solve the problem 
</t>
  </si>
  <si>
    <t>segmentio-analytics-android-358</t>
  </si>
  <si>
    <t>NullPointerException in MoEngageIntegration</t>
  </si>
  <si>
    <t xml:space="preserve">Integrated library though gradle :  com segment analytics android:analytics integration moengage:3 2 1 
In my Android Application class  I have this 
        Analytics analytics   new Analytics Builder(this  BuildConfig SEGMENT WRITEKEY) build() 
        Analytics setSingletonInstance(analytics) 
        ActivityManager MemoryInfo mi   new ActivityManager MemoryInfo() 
        ActivityManager activityManager   (ActivityManager) getSystemService(ACTIVITY SERVICE) 
        activityManager getMemoryInfo(mi) 
        long availableMegs   mi availMem   1048576L 
        Analytics with(this) track( app start   new Properties() putValue( free mem  availableMegs  MB )) 
This   works fine in Lollipop    but got crash in Kitkat(4 4 4)
The crash log is as follows:
10 01 17:29:14 396  23402 23921 tv accedo airtel wynk E AndroidRuntime  FATAL EXCEPTION: SegmentAnalytics IntegrationManager
Process: tv accedo airtel wynk  PID: 23402
java lang NullPointerException
        at com segment analytics internal integrations MoEngageIntegration track(MoEngageIntegration java:143)
        at com segment analytics IntegrationOperation 10 run(IntegrationOperation java:171)
        at com segment analytics IntegrationManager run(IntegrationManager java:391)
        at com segment analytics IntegrationManager performEnqueue(IntegrationManager java:371)
        at com segment analytics IntegrationManager performEnqueue(IntegrationManager java:366)
        at com segment analytics IntegrationManager IntegrationManagerHandler handleMessage(IntegrationManager java:470)
        at android os Handler dispatchMessage(Handler java:102)
        at android os Looper loop(Looper java:136)
        at android os HandlerThread run(HandlerThread java:61)
</t>
  </si>
  <si>
    <t>souliss-soulissapp-77</t>
  </si>
  <si>
    <t>Opening T19 Detail, SoulissApp Crash</t>
  </si>
  <si>
    <t xml:space="preserve">Opening a T19 detail to access slide for luminosity or music sync  the app crash 
Let me know if and what more detail needed 
Marco
</t>
  </si>
  <si>
    <t>UweTrottmann-SeriesGuide-473</t>
  </si>
  <si>
    <t>Update contribution guildelines</t>
  </si>
  <si>
    <t xml:space="preserve"> fabric properties  should be used instead of  crashlytics properties 
</t>
  </si>
  <si>
    <t>zhanghai-MaterialProgressBar-7</t>
  </si>
  <si>
    <t>Caused by: java.lang.NumberFormatException: Invalid int: "48.0dip"</t>
  </si>
  <si>
    <t xml:space="preserve">My app crashed on one of my users  
I was using  compile  me zhanghai android materialprogressbar:library:1 1 3 
Their version and device: Android 4 4   Galaxy A3 (a33g) 
Error:
java lang RuntimeException: Unable to start activity ComponentInfo com mts quicklhelper com mts quicklhelper MainActivity : android view InflateException: Binary XML file line  29: Error inflating class me zhanghai android materialprogressbar MaterialProgressBar
    at android app ActivityThread performLaunchActivity(ActivityThread java:2327)
    at android app ActivityThread handleLaunchActivity(ActivityThread java:2378)
    at android app ActivityThread access 800(ActivityThread java:155)
    at android app ActivityThread H handleMessage(ActivityThread java:1244)
    at android os Handler dispatchMessage(Handler java:102)
    at android os Looper loop(Looper java:136)
    at android app ActivityThread main(ActivityThread java:5433)
    at java lang reflect Method invokeNative(Native Method)
    at java lang reflect Method invoke(Method java:515)
    at com android internal os ZygoteInit MethodAndArgsCaller run(ZygoteInit java:1268)
    at com android internal os ZygoteInit main(ZygoteInit java:1084)
    at dalvik system NativeStart main(Native Method)
Caused by: android view InflateException: Binary XML file line  29: Error inflating class me zhanghai android materialprogressbar MaterialProgressBar
    at android view LayoutInflater createView(LayoutInflater java:627)
    at android view LayoutInflater createViewFromTag(LayoutInflater java:703)
    at android view LayoutInflater rInflate(LayoutInflater java:762)
    at android view LayoutInflater rInflate(LayoutInflater java:771)
    at android view LayoutInflater rInflate(LayoutInflater java:771)
    at android view LayoutInflater inflate(LayoutInflater java:499)
    at android view LayoutInflater inflate(LayoutInflater java:398)
    at android view LayoutInflater inflate(LayoutInflater java:354)
    at android support v7 app AppCompatDelegateImplV7 setContentView(AppCompatDelegateImplV7 java:255)
    at android support v7 app AppCompatActivity setContentView(AppCompatActivity java:109)
    at com mts quicklhelper MainActivity onCreate(MainActivity java:87)
    at android app Activity performCreate(Activity java:5301)
    at android app Instrumentation callActivityOnCreate(Instrumentation java:1094)
    at android app ActivityThread performLaunchActivity(ActivityThread java:2291)
        11 more
Caused by: java lang reflect InvocationTargetException
    at java lang reflect Constructor constructNative(Native Method)
    at java lang reflect Constructor newInstance(Constructor java:423)
    at android view LayoutInflater createView(LayoutInflater java:601)
        24 more
Caused by: java lang NumberFormatException: Invalid int:  48 0dip 
    at java lang Integer invalidInt(Integer java:137)
    at java lang Integer parse(Integer java:374)
    at java lang Integer parseInt(Integer java:365)
    at com android internal util XmlUtils convertValueToInt(XmlUtils java:122)
    at android content res TypedArray getInt(TypedArray java:267)
    at me zhanghai android materialprogressbar MaterialProgressBar init(MaterialProgressBar java:80)
    at me zhanghai android materialprogressbar MaterialProgressBar  init (MaterialProgressBar java:45)
        27 more
I am using it like this:
 RelativeLayout xmlns:android  http:  schemas android com apk res android 
    xmlns:ads  http:  schemas android com tools 
    xmlns:app  http:  schemas android com apk res auto 
    android:id    id coordinatorLayout 
    android:layout width  match parent 
    android:layout height  match parent 
    android:background   color colorBackground  
 android support design widget AppBarLayout
    android:id    id view 
    android:layout width  match parent 
    android:layout height  wrap content 
    android:theme   style ThemeOverlay AppCompat Dark ActionBar  
     android support v7 widget Toolbar
        android:id    id tabanim toolbar 
        android:layout width  match parent 
        android:layout height   attr actionBarSize 
        android:background   attr colorPrimary 
        app:layout scrollFlags  scroll enterAlways 
        app:popupTheme   style ThemeOverlay AppCompat Light  
         Spinner
            android:id    id navSpinner 
            android:layout width  wrap content 
            android:layout height  wrap content 
            android:gravity  end    
         me zhanghai android materialprogressbar MaterialProgressBar
            android:id    id progressBar 
            android:layout width  wrap content 
            android:layout height  wrap content 
            android:layout gravity  end 
            android:indeterminate  true 
            android:padding  10dp 
            android:tint   ffffff 
            android:visibility  gone 
            app:mpb progressStyle  circular    
      android support v7 widget Toolbar 
     android support design widget TabLayout
        android:id    id tabanim tabs 
        android:layout width  match parent 
        android:layout height  wrap content 
        app:tabIndicatorColor   android:color white    
     View
        android:layout width  match parent 
        android:layout height  4dp 
        android:background   drawable shadow    
  android support design widget AppBarLayout 
 android support v4 view ViewPager
    android:id    id tabanim viewpager 
    android:layout width  match parent 
    android:layout height  match parent 
    android:layout above    id adView 
    android:layout below    id view 
    app:layout behavior   string appbar scrolling view behavior    
 com google android gms ads AdView
    xmlns:ads  http:  schemas android com apk res auto 
    android:id    id adView 
    android:layout width  wrap content 
    android:layout height  wrap content 
    android:layout alignParentBottom  true 
    android:layout centerHorizontal  true 
    ads:adSize  BANNER 
    ads:adUnitId   string banner ad unit id   
  RelativeLayout 
</t>
  </si>
  <si>
    <t>orhanobut-hawk-92</t>
  </si>
  <si>
    <t>Strange ArrayIndexOutOfBoundsException</t>
  </si>
  <si>
    <t xml:space="preserve">I am receiving some crash logs which I suspect is related to Hawk  Here s the log:
    Java
java lang ArrayIndexOutOfBoundsException: src length 75 srcPos 0 dst length 0 dstPos 0 length 57
       at java lang System arraycopy(System java)
       at java lang String getChars(String java:889)
       at com android internal util FastXmlSerializer append(FastXmlSerializer java:89)
       at com android internal util FastXmlSerializer append(FastXmlSerializer java:113)
       at com android internal util FastXmlSerializer startDocument(FastXmlSerializer java:326)
       at com android internal util XmlUtils writeMapXml(XmlUtils java:183)
       at android app SharedPreferencesImpl writeToFile(SharedPreferencesImpl java:598)
       at android app SharedPreferencesImpl access 800(SharedPreferencesImpl java:52)
       at android app SharedPreferencesImpl 2 run(SharedPreferencesImpl java:513)
       at java util concurrent ThreadPoolExecutor runWorker(ThreadPoolExecutor java:1080)
       at java util concurrent ThreadPoolExecutor Worker run(ThreadPoolExecutor java:573)
       at java lang Thread run(Thread java:838)
In all of the crashes src length is 75 and length is 57  Maybe it s the salt or some other key that is stored by Hawk  Crashes occurred on devices like: HUAWEI Y320 U30  HUAWEI Y511 U30 
I also can tell that this crashes occurs on the startup of the application 
Any idea why this is happening 
</t>
  </si>
  <si>
    <t>smarek-Simple-Dilbert-23</t>
  </si>
  <si>
    <t>Simple Dilbert null pointer exception crash</t>
  </si>
  <si>
    <t xml:space="preserve">I have a WiFi range extender installed where I usually leave my Nexus 7 tablet charging  I have had Simple Dilbert crash twice now when I go and get the tablet and take it near the WiFi router and start the app  The display times out and says it can t connect to dilbert com  I select refresh from the menu and get an immediate  Simple Dilbert has stopped  crash  The first time it happened I couldn t find the traceback  this time I got it  The extender has the same SSID and key as the router  but a different mac address  Other apps I use seem to cope with this  I can t see anything to do with networking in the traceback  so it might be a  red herring (https:  en wikipedia org wiki Red herring)  The app works fine when started again 
I ActivityManager(  502): Start proc com mareksebera simpledilbert for activity com mareksebera simpledilbert  core DilbertFragmentActivity: pid 1081 uid 10099 gids  50099  3003  1028  1015 
E AndroidRuntime( 1081): FATAL EXCEPTION: main
E AndroidRuntime( 1081): Process: com mareksebera simpledilbert  PID: 1081
E AndroidRuntime( 1081): java lang NullPointerException
E AndroidRuntime( 1081):    at com nostra13 universalimageloader cache disc naming HashCodeFileNameGenerator generate(HashCodeFileNameGenerator java:27)
E AndroidRuntime( 1081):    at com nostra13 universalimageloader cache disc impl BaseDiscCache getFile(BaseDiscCache java:168)
E AndroidRuntime( 1081):    at com nostra13 universalimageloader cache disc impl BaseDiscCache remove(BaseDiscCache java:148)
E AndroidRuntime( 1081):    at com mareksebera simpledilbert core DilbertFragment refreshAction(DilbertFragment java:241)
E AndroidRuntime( 1081):    at com mareksebera simpledilbert core DilbertFragment onOptionsItemSelected(DilbertFragment java:225)
E AndroidRuntime( 1081):    at android support v4 app Fragment performOptionsItemSelected(Fragment java:1894)
E AndroidRuntime( 1081):    at android support v4 app FragmentManagerImpl dispatchOptionsItemSelected(FragmentManager java:2034)
E AndroidRuntime( 1081):    at android support v4 app FragmentActivity onMenuItemSelected(FragmentActivity java:356)
E AndroidRuntime( 1081):    at android support v7 app ActionBarActivity onMenuItemSelected(ActionBarActivity java:155)
E AndroidRuntime( 1081):    at android support v7 app ActionBarActivityDelegate 1 onMenuItemSelected(ActionBarActivityDelegate java:74)
E AndroidRuntime( 1081):    at android support v7 app ActionBarActivityDelegateBase onMenuItemSelected(ActionBarActivityDelegateBase java:556)
E AndroidRuntime( 1081):    at android support v7 internal view menu MenuBuilder dispatchMenuItemSelected(MenuBuilder java:802)
E AndroidRuntime( 1081):    at android support v7 internal view menu MenuItemImpl invoke(MenuItemImpl java:153)
E AndroidRuntime( 1081):    at android support v7 internal view menu MenuBuilder performItemAction(MenuBuilder java:949)
E AndroidRuntime( 1081):    at android support v7 internal view menu MenuBuilder performItemAction(MenuBuilder java:939)
E AndroidRuntime( 1081):    at android support v7 internal view menu MenuPopupHelper onItemClick(MenuPopupHelper java:187)
E AndroidRuntime( 1081):    at android widget AdapterView performItemClick(AdapterView java:298)
E AndroidRuntime( 1081):    at android widget AbsListView performItemClick(AbsListView java:1113)
E AndroidRuntime( 1081):    at android widget AbsListView PerformClick run(AbsListView java:2911)
E AndroidRuntime( 1081):    at android widget AbsListView 3 run(AbsListView java:3645)
E AndroidRuntime( 1081):    at android os Handler handleCallback(Handler java:733)
E AndroidRuntime( 1081):    at android os Handler dispatchMessage(Handler java:95)
E AndroidRuntime( 1081):    at android os Looper loop(Looper java:136)
E AndroidRuntime( 1081):    at android app ActivityThread main(ActivityThread java:5146)
E AndroidRuntime( 1081):    at java lang reflect Method invokeNative(Native Method)
E AndroidRuntime( 1081):    at java lang reflect Method invoke(Method java:515)
E AndroidRuntime( 1081):    at com android internal os ZygoteInit MethodAndArgsCaller run(ZygoteInit java:732)
E AndroidRuntime( 1081):    at com android internal os ZygoteInit main(ZygoteInit java:566)
E AndroidRuntime( 1081):    at dalvik system NativeStart main(Native Method)
I ActivityManager(  502): Process com mareksebera simpledilbert (pid 1081) has died 
</t>
  </si>
  <si>
    <t>syncthing-syncthing-android-464</t>
  </si>
  <si>
    <t>Syncthing binary crashed with error code 1</t>
  </si>
  <si>
    <t xml:space="preserve">I try to use syncthing for android (0 6 6) from store 
but since my device is crashed one it stop working 
i try to reinstall it but all has the same effect loading for ever  
  image (https:  cloud githubusercontent com assets 974709 10315778 88407364 6c5c 11e5 8a5d 3ee93edfdcf6 png)
the log says Syncthing binary crashed with error code 1
log:
    log
10 06 18:58:47 577: I Timeline(12724): Timeline: Activity launch request id:com nutomic syncthingandroid time:229547188
10 06 18:58:47 578: I ActivityManager(20405): START u0  act android intent action MAIN cat  android intent category LAUNCHER  flg 0x10200000 cmp com nutomic syncthingandroid  activities MainActivity  from uid 10223 on display 0
10 06 18:58:47 582: V WindowManager(20405): addAppToken: AppWindowToken 103fac5a token Token 11d74405 ActivityRecord 2f73137c u0 com nutomic syncthingandroid  activities MainActivity t1558    to stack 1 task 1558 at 0
10 06 18:58:47 595: V WindowManager(20405): Based on layer: Adding window Window 216eeebd u0 Starting com nutomic syncthingandroid  at 8 of 14
10 06 18:58:47 621: I ActivityManager(20405): Start proc 3395:com nutomic syncthingandroid u0a249 for activity com nutomic syncthingandroid  activities MainActivity
10 06 18:58:47 896: V WindowManager(20405): Adding window Window 390ff2d6 u0 com nutomic syncthingandroid com nutomic syncthingandroid activities MainActivity  at 8 of 15 (before Window 216eeebd u0 Starting com nutomic syncthingandroid )
10 06 18:58:48 101: V WindowManager(20405): Adding window Window d59a3f3 u0 com nutomic syncthingandroid com nutomic syncthingandroid activities MainActivity  at 9 of 16 (before Window 216eeebd u0 Starting com nutomic syncthingandroid )
10 06 18:58:48 121: I SyncthingService(3395): Starting syncthing according to current state and preferences
10 06 18:58:48 157: I chmod(3425): type 1400 audit(0 0:39987): avc: denied   setattr   for name  libsyncthing so  dev  mmcblk0p30  ino 899383 scontext u:r:untrusted app:s0 tcontext u:object r:apk data file:s0 tclass file permissive 1
10 06 18:58:48 241: I SyncthingNativeCode(3395): 16:58:48 WARNING: chmod  data data com nutomic syncthingandroid files: operation not permitted
10 06 18:58:48 316: I ActivityManager(20405): Displayed com nutomic syncthingandroid  activities MainActivity:  721ms
10 06 18:58:48 523: I Timeline(20405): Timeline: Activity windows visible id: ActivityRecord 2f73137c u0 com nutomic syncthingandroid  activities MainActivity t1558  time:229548134
10 06 18:58:49 274: I SyncthingRunnableIoNice(3395): ionice performed on libsyncthing so
10 06 18:58:53 779: I SyncthingNativeCode(3395):  MNITJ  16:58:53 INFO: syncthing v0 11 22  Aluminium Ant  (go1 4 2 linux arm android) unknown user android syncthing net 2015 08 24 07:40:21 UTC
10 06 18:58:59 352: E SyncthingNativeCode(3395): Syncthing binary crashed with error code 1
</t>
  </si>
  <si>
    <t>projectbuendia-client-54</t>
  </si>
  <si>
    <t>Crash when searching for patient (bug report attached)</t>
  </si>
  <si>
    <t xml:space="preserve">Client 809 connected to dev (server release 0 5) 
I moved a new patient (9873) from Triage to  ATFC Mina   then pressed search to look for that patient 
It crashed 
I managed to search after the app restarted  so this may be hard to reproduce 
Bug report: https:  www dropbox com s xx2f9u3g0dqovnj bugreport 2015 10 06 15 35 33 txt dl 0
</t>
  </si>
  <si>
    <t>fesch-CanZE-80</t>
  </si>
  <si>
    <t>2015-10-05 build does not work at all</t>
  </si>
  <si>
    <t xml:space="preserve">The application starts  but does not connect to my Konnwei  When going into the setting screen  the app crashes 
</t>
  </si>
  <si>
    <t>ccrama-Slide-7</t>
  </si>
  <si>
    <t>Random crash when tapping on comments</t>
  </si>
  <si>
    <t xml:space="preserve">When tapping on a comment sometimes for no reason Slide will crash  I can t find a pattern  
</t>
  </si>
  <si>
    <t>gre-gl-react-native-v2-16</t>
  </si>
  <si>
    <t>`null` texture crash</t>
  </si>
  <si>
    <t xml:space="preserve"> null  value for texture is supported since 1 1 0 (implemented as an empty texture)  it works correctly in gl react but crashes in gl react native 
</t>
  </si>
  <si>
    <t>mvysny-aedict-574</t>
  </si>
  <si>
    <t>Crash at start</t>
  </si>
  <si>
    <t xml:space="preserve">Hello  Since the last 2 updates or so I get a crash at startup  My version is v3 38 3  android 4 1 2 
I got the following log:
10 07 09:50:48 523: V ActivityThread(16973): Class path:  data app sk baka aedict3 2 apk  JNI path:  data data sk baka aedict3 lib
10 07 09:50:48 734: I ActivityThread(16973): Pub sk baka aedict3 search: sk baka aedict3 search SearchProvider
10 07 09:50:48 945: I s  b  a  AedictApp(16973): Storing the dictionaries to the following path:  storage external SD Android data sk baka aedict3 files aedict3 dictionaries
10 07 09:50:48 952: I s  b  a  c  FileStorage(16973): SDCard Aedict root set to  storage sdcard0 aedict3
10 07 09:50:48 960: I s  b  a  AedictApp(16973): AedictApp started in 211ms (prefs: 195ms  setRoot: 13ms  start services: 3ms)
10 07 09:50:49 241: I MainActivity(16973): Starting Aedict 3 38 3 en US java nio charset CharsetICU UTF 8 
10 07 09:50:49 624: E AndroidRuntime(16973): java lang RuntimeException: Unable to resume activity  sk baka aedict3 sk baka aedict3 search MainActivity : java lang IllegalArgumentException: value: blank
10 07 09:50:49 624: E AndroidRuntime(16973):    at sk baka aedict util Check requireNotBlank(Check java:64)
10 07 09:50:49 624: E AndroidRuntime(16973):    at sk baka aedict search lucene DBQuery Term  init (DBQuery java:287)
10 07 09:50:49 624: E AndroidRuntime(16973):    at sk baka aedict search lucene DBQuery term(DBQuery java:61)
10 07 09:50:49 624: E AndroidRuntime(16973):    at sk baka aedict search lucene DBQuery jp(DBQuery java:95)
10 07 09:50:49 624: E AndroidRuntime(16973):    at sk baka aedict search JMDictQuery globSearch(JMDictQuery java:604)
10 07 09:50:49 624: E AndroidRuntime(16973):    at sk baka aedict search JMDictQuery forGenericEnJpTerm(JMDictQuery java:505)
10 07 09:50:49 624: E AndroidRuntime(16973):    at sk baka aedict search JMDictQuery access 000(JMDictQuery java:37)
10 07 09:50:49 624: E AndroidRuntime(16973):    at sk baka aedict search JMDictQuery Builder forGenericEnJpTerm(JMDictQuery java:414)
10 07 09:50:49 624: E AndroidRuntime(16973):    at sk baka aedict3 util Config newQuery(Config java:635)
10 07 09:50:49 624: E AndroidRuntime(16973):    at sk baka aedict3 search MainActivity getSearch(MainActivity java:400)
10 07 09:50:49 624: E AndroidRuntime(16973):    at sk baka aedict3 search MainActivity liveSearch(MainActivity java:419)
10 07 09:50:49 624: E AndroidRuntime(16973):    at sk baka aedict3 search MainActivity onResume(MainActivity java:267)
It seems that there is an invalid search or something that gets executed every time I try to start the program  Is there a way to reset that so that it starts empty without having to lose all my information 
</t>
  </si>
  <si>
    <t>projectbuendia-client-61</t>
  </si>
  <si>
    <t>Application crashes when 'Add Test Results' action menu is selected on Patient Chart</t>
  </si>
  <si>
    <t xml:space="preserve">Steps to reproduce this bug:
On login chart  select an user 
On locations chart  select a location 
On patient list  select a patient 
Then select  Add Test Results  on action Menu 
The application crashes and restarts on login chart 
    java
10 08 17:43:34 986 26145 26145 org projectbuendia client dev E org odk collect android activities FormEntryActivity: Attempt to invoke virtual method  int org javarosa form api FormEntryPrompt getControlType()  on a null object reference
10 08 17:43:34 986 26145 26145 org projectbuendia client dev E org odk collect android activities FormEntryActivity: java lang NullPointerException: Attempt to invoke virtual method  int org javarosa form api FormEntryPrompt getControlType()  on a null object reference
10 08 17:43:34 986 26145 26145 org projectbuendia client dev E org odk collect android activities FormEntryActivity:     at org odk collect android widgets2 Widget2Factory create(Widget2Factory java:52)
10 08 17:43:34 986 26145 26145 org projectbuendia client dev E org odk collect android activities FormEntryActivity:     at org odk collect android views ODKView  init (ODKView java:235)
10 08 17:43:34 986 26145 26145 org projectbuendia client dev E org odk collect android activities FormEntryActivity:     at org odk collect android activities FormEntryActivity createView(FormEntryActivity java:1445)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odk collect android activities FormEntryActivity createView(FormEntryActivity java:1468)
10 08 17:43:34 986 26145 26145 org projectbuendia client dev E org odk collect android activities FormEntryActivity:    at org 
10 08 17:43:35 013 26145 26145 org projectbuendia client dev E org odk collect android activities FormEntryActivity: length 0  index  1
10 08 17:43:35 013 26145 26145 org projectbuendia client dev E org odk collect android activities FormEntryActivity: org odk collect android exception JavaRosaException: length 0  index  1
10 08 17:43:35 013 26145 26145 org projectbuendia client dev E org odk collect android activities FormEntryActivity:     at org odk collect android logic FormController stepToNextScreenEvent(FormController java:716)
10 08 17:43:35 013 26145 26145 org projectbuendia client dev E org odk collect android activities FormEntryActivity:     at org odk collect android activities FormEntryActivity createView(FormEntryActivity java:1462)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10 08 17:43:35 013 26145 26145 org projectbuendia client dev E org odk collect android activities FormEntryActivity:     at org odk collect android activities FormEntryActivity createView(FormEntryActivity java:1468)
</t>
  </si>
  <si>
    <t>ccrama-Slide-17</t>
  </si>
  <si>
    <t>Attempting to donate causes a crash</t>
  </si>
  <si>
    <t xml:space="preserve">The app appears to crash twice  first showing a glimpse of the previous screen then crashing to launcher 
logcat:
https:  gist github com Alexendoo 7c749eb62b906cfb4230
</t>
  </si>
  <si>
    <t>scottyab-secure-preferences-31</t>
  </si>
  <si>
    <t>SecureException in AesCbcWithIntegrity:installLinuxPRNGSecureRandom</t>
  </si>
  <si>
    <t xml:space="preserve">Hi  
last release of library crash on HUAWEI G630 U10 with Android 4 3 
Caused by java lang SecurityException
com tozny crypto android AesCbcWithIntegrity PrngFixes installLinuxPRNGSecureRandom (AesCbcWithIntegrity java:764)
com tozny crypto android AesCbcWithIntegrity PrngFixes apply (AesCbcWithIntegrity java:684)
com tozny crypto android AesCbcWithIntegrity fixPrng (AesCbcWithIntegrity java:347)
com tozny crypto android AesCbcWithIntegrity generateKeyFromPassword (AesCbcWithIntegrity java:184)
com tozny crypto android AesCbcWithIntegrity generateKeyFromPassword (AesCbcWithIntegrity java:234)
com tozny crypto android AesCbcWithIntegrity generateKeyFromPassword (AesCbcWithIntegrity java:219)
com securepreferences SecurePreferences  (SecurePreferences java:145)
com securepreferences SecurePreferences  (SecurePreferences java:92)
</t>
  </si>
  <si>
    <t>cymcsg-UltimateRecyclerView-208</t>
  </si>
  <si>
    <t>Crash when swap</t>
  </si>
  <si>
    <t xml:space="preserve">when i swap row item with Admod  app have crashed with exception
java lang IllegalArgumentException: Called removeDetachedView with a view which is not flagged as tmp detached ViewHolder
</t>
  </si>
  <si>
    <t>ccrama-Slide-10</t>
  </si>
  <si>
    <t>force close on viewing user info</t>
  </si>
  <si>
    <t xml:space="preserve">when pressing the little info button in a users profile  slide will crash 
   (http:  i imgur com SXgnEdG png)
   (http:  i imgur com MJ6kPnn png)
</t>
  </si>
  <si>
    <t>ccrama-Slide-9</t>
  </si>
  <si>
    <t>Landscape mode won't trigger while app is open, and crashes if triggered otherwise</t>
  </si>
  <si>
    <t xml:space="preserve">Opening the app with my phone horizontal makes it crash  and just rotating it with the app open does nothing  Tried messing around with column count  nothing 
</t>
  </si>
  <si>
    <t>QuadFlask-colorpicker-37</t>
  </si>
  <si>
    <t>Crash without .initialColor(currentBackgroundColor)</t>
  </si>
  <si>
    <t xml:space="preserve">App crash if not use  initialColor(currentBackgroundColor) function with:
 java lang NullPointerException: Attempt to invoke virtual method  int java lang Integer intValue()  on a null object reference  at com flask colorpicker builder ColorPickerDialogBuilder build(ColorPickerDialogBuilder java:162) 
</t>
  </si>
  <si>
    <t>c6p-CelikAnahtar-1</t>
  </si>
  <si>
    <t>Property search causes a crash</t>
  </si>
  <si>
    <t xml:space="preserve">While composition search is working  a property search or a mixed search results in a crash  Also a search without any filters is useless and should not even start 
</t>
  </si>
  <si>
    <t>mvysny-aedict-575</t>
  </si>
  <si>
    <t>"Export Notepad to CSV" freezes Aedict</t>
  </si>
  <si>
    <t xml:space="preserve">This feature crashes (in both options: send to disk or to apps)  Version Aedict 3 38 6 
</t>
  </si>
  <si>
    <t>k9mail-k-9-839</t>
  </si>
  <si>
    <t>k9mail frequently crashes when deleting mail (bulk or individual) secure IMAP more than 1000 emails in inbox</t>
  </si>
  <si>
    <t xml:space="preserve">When I set to sync IMAP with less than 100 emails  no problem  
But I need to find older emails so I sync with approx 2500 emails in the inbox 
I m using an SSL IMAP connection  
Frequently the app crashes  
I m running the latest version of k9mail on android 4 2 2 on a Samsung Galaxy Note 8 GT N5100 
I don t have root  so logs are inaccessible due to permissions 
When I have time I ll connect to my Linux box and try to obtain logs for you 
</t>
  </si>
  <si>
    <t>thothbot-parallax-38</t>
  </si>
  <si>
    <t>Models are not working</t>
  </si>
  <si>
    <t xml:space="preserve">Hi  
at first thanks for great port of threejs to java  Currently I m having problems with loading models into it  hope you can help me 
When I loaded  flamingo from demo (http:  parallax3d org parallax demo 1 6   MorphNormalsFlamingo) it worked  but I tried to export cube from blender using  threejs exporter (https:  github com mrdoob three js tree master utils exporters blender) and parallex can t load it I tried converting it using http:  threejs org editor  to export to scene or geometry (I can t select object ) but without success only STL type worked after loading in parallax  I ve also tried using colladaLoader but didn t work : 
I ve tried converting my scene(verticles:239k  faces:191k  objects:3 785) to STL and it looks like it s being loaded but 1 2 GB of ram later browser tab crashes  I hope Collada or JSON will have better performance 
Models I m trying to load: https:  www sendspace com file almqym
box    files are from blender and rest was exported using threejs editor site
code I m using
    java
    protected void onStart()  
                  set camera and light
            new JsonLoader(   model box json   jsonModelLoadHandler) 
    private ModelLoadHandler jsonModelLoadHandler   new ModelLoadHandler()  
             Override
            public void onModelLoaded(XHRLoader loader 
                    AbstractGeometry geometry)  
                ((JsonLoader)loader) morphColorsToFaceColors( (Geometry) geometry ) 
                ((Geometry)geometry) computeMorphNormals() 
                MeshLambertMaterial material   new MeshLambertMaterial() 
                material setColor(new Color(0xffffff)) 
                material setMorphTargets(true) 
                material setMorphNormals(true) 
                material setVertexColors(Material COLORS FACE) 
                material setShading(Material SHADING FLAT) 
                Mesh mesh2   new Mesh( geometry  material ) 
                getScene() add(mesh2) 
Also what should I know when using JSON and Collada loaders compared to OBJMTL loader which I used previously in JS 
</t>
  </si>
  <si>
    <t>square-okhttp-1921</t>
  </si>
  <si>
    <t>NPE When Reading Header</t>
  </si>
  <si>
    <t xml:space="preserve">We use OkHTTP as a dependency for our Android SDK at Optimizely   We have been seeing this crash in the wild   It only happens for one customer   Any ideas 
Package: com snowball app 
Version Code: 66 
Version Name: 2 1 1 
Android: 5 0 1 
Manufacturer: LGE 
Model: Nexus 5 
CrashReporter Key: 718B9F67 EEC4 AAC0 AA77 E2BC2E9868E18BD68E1B 
Date: Mon Oct 05 13:23:03 PDT 2015
java lang RuntimeException: An error occured while executing doInBackground() 
at android os AsyncTask 3 done(AsyncTask java:300) 
at java util concurrent FutureTask finishCompletion(FutureTask java:355) 
at java util concurrent FutureTask setException(FutureTask java:222) 
at java util concurrent FutureTask run(FutureTask java:242) 
at java util concurrent ThreadPoolExecutor runWorker(ThreadPoolExecutor java:1112) 
at java util concurrent ThreadPoolExecutor Worker run(ThreadPoolExecutor java:587) 
at java lang Thread run(Thread java:818) 
Caused by: java lang NullPointerException: Attempt to invoke virtual method  com squareup okhttp Headers com squareup okhttp Response headers()  on a null object reference 
at com squareup okhttp internal http HttpEngine readResponse(HttpEngine java:796) 
at com squareup okhttp Call getResponse(Call java:274) 
at com squareup okhttp Call ApplicationInterceptorChain proceed(Call java:230) 
at com squareup okhttp Call getResponseWithInterceptorChain(Call java:201) 
at com squareup okhttp Call execute(Call java:81) 
at com optimizely LogAndEvent OptimizelyTimeSeriesEventsManager TimeSeriesEventTask doInBackground(OptimizelyTimeSeriesEventsManager java:280) 
at com optimizely LogAndEvent OptimizelyTimeSeriesEventsManager TimeSeriesEventTask doInBackground(OptimizelyTimeSeriesEventsManager java:242) 
at android os AsyncTask 2 call(AsyncTask java:288) 
at java util concurrent FutureTask run(FutureTask java:237) 
Please let me know how I can help debug and fix 
</t>
  </si>
  <si>
    <t>ltGuillaume-DroidShows-4</t>
  </si>
  <si>
    <t>Crash after update</t>
  </si>
  <si>
    <t xml:space="preserve">On Android 6 version 6 of the app crashes before the interface even opens 
</t>
  </si>
  <si>
    <t>ccrama-Slide-58</t>
  </si>
  <si>
    <t>High resolution image previews causes extreme slowdowns</t>
  </si>
  <si>
    <t xml:space="preserve">Demonstration  ends with an out of memory crash: https:  vid me l30v
</t>
  </si>
  <si>
    <t>ccrama-Slide-52</t>
  </si>
  <si>
    <t>Issue/crash with opening profile</t>
  </si>
  <si>
    <t xml:space="preserve">Last few vesrions I m encountering this this issue where after I log in and everything is synced I cannot access my profile  When I open it  after few seconds I would get error  Unfortunatelly Slide has stoped  and app would log me out  After that I would fully close app and when relaunched everything would go back to normal where I m loged in again  I cannot submit crash report because its technically not a crash  Also worth nothing is that I can access inbox just fine 
Using Nexus 5 on Android 6 
</t>
  </si>
  <si>
    <t>bumptech-glide-684</t>
  </si>
  <si>
    <t>Glide.get fails if PackageManager IPC fails</t>
  </si>
  <si>
    <t xml:space="preserve">PackageManager has a failure mode where it throws a RuntimeException with  Package manager has died  when IPC calls fail   We see this in the Dropbox app quite frequently   In our internal calls to PackageManager we are careful to catch this RuntimeException and handle it in cases where we can   
Unfortunately  adding Glide to our dependency list has started showing crashes with this stack:
    ruby
Caused by: java lang RuntimeException: Package manager has died
    at android app ApplicationPackageManager getApplicationInfo(ApplicationPackageManager java:250)
    at com bumptech glide module ManifestParser parse(panda py:25)
    at com bumptech glide Glide get(panda py:147)
    at com dropbox android taskqueue AnimatedGifDownloader  init (panda py:139)
    at com dropbox android DropboxApplication AppState initializeMainProcess(panda py:899)
    at com dropbox android DropboxApplication AppState  init (panda py:681)
    at com dropbox android DropboxApplication onCreate(panda py:207)
For some reason not quite clear to me  we don t see this on anything above 4 4 4 
The request here would be to have a reasonable fallback when PackageManager is unavailable  or a way for apps to opt out of manifest scanning to pick up custom modules  since we don t use any 
</t>
  </si>
  <si>
    <t>ccrama-Slide-67</t>
  </si>
  <si>
    <t>Slide doesn't restore from background correctly</t>
  </si>
  <si>
    <t xml:space="preserve">If Slide crashes and then restarts or if I let Slide stay for a long time in background  so that android kills it to free memory  then it just shows a default screen like  this (http:  imgur com a ymtMf)   
Slide won t load any content even after one minute or so  Some buttons will crash the app again in this state (eg settings  info button in the action bar at the top) 
LG g2  Android 5 0 2  v4 0 5 (this should be the newest) 
</t>
  </si>
  <si>
    <t>ccrama-Slide-64</t>
  </si>
  <si>
    <t>Sanitize the "search subreddit' input field</t>
  </si>
  <si>
    <t xml:space="preserve">Entering a whitespace in the search subreddit field crashes the app
</t>
  </si>
  <si>
    <t>elan-ev-StudIPAndroidApp-102</t>
  </si>
  <si>
    <t>ActionMenuView.java line 643</t>
  </si>
  <si>
    <t xml:space="preserve">     in android support v7 widget ActionMenuView getMenu
  Number of crashes: 8
  Impacted devices: 8
There s a lot more information about this crash on crashlytics com:
 https:  fabric io elanev android apps de elanev studip android app issues 56175a5ff5d3a7f76ba9fdd5 (https:  fabric io elanev android apps de elanev studip android app issues 56175a5ff5d3a7f76ba9fdd5)
</t>
  </si>
  <si>
    <t>dimagi-commcare-android-696</t>
  </si>
  <si>
    <t>Fix sms query that limits to date range of messages</t>
  </si>
  <si>
    <t xml:space="preserve">https:  github com dimagi commcare odk pull 654 had a bug that was crashing commcare when trying to install a new app  This fixes that 
</t>
  </si>
  <si>
    <t>Etar-Group-Etar-Calendar-12</t>
  </si>
  <si>
    <t>FC under Marshmallow when selecting "Home time zone" in General Settings</t>
  </si>
  <si>
    <t>I get a FC every time I select  Use Home time zone  then  Home time zone  
 Home time zone  is defaulted to  Eastern Daylight Time GMT 4   yet my:
Settings    Date   Time    Automatic time zone
correctly defaults to  GMT 05:00 Central Daylight Time 
I m also seeing this on the AOSP Calendar that builds with AOSP 6 0 0  so it s probably some change in Marshmallow 
I m attaching images and a log data 
  screenshot 20151014 142924 (https:  cloud githubusercontent com assets 3534942 10495732 f47eeaac 7282 11e5 9ce5 ab031da89a95 png)
  screenshot 20151014 142932 (https:  cloud githubusercontent com assets 3534942 10495733 f4815238 7282 11e5 994b 1fa8b4c55be0 png)
10 14 12:42:04 202 E Surface ( 6246): getSlotFromBufferLocked: unknown buffer: 0x9ff27700
10 14 12:42:04 355 E Surface ( 8048): getSlotFromBufferLocked: unknown buffer: 0x9bf35b30
10 14 12:42:04 424 D audio hw primary(  210): disable audio route: reset and update mixer path: low latency playback
10 14 12:42:04 424 D audio hw primary(  210): disable snd device: snd device(2: speaker)
10 14 12:42:04 526 D AndroidRuntime( 8462):        START com android internal os RuntimeInit uid 0       
10 14 12:42:04 531 D AndroidRuntime( 8462): CheckJNI is OFF
10 14 12:42:04 555 D BluetoothAdapter( 7153): STATE ON
10 14 12:42:04 555 D BtGatt GattService(11705): stopScan()   queue size  1
10 14 12:42:04 555 D BtGatt ScanManager(11705): stop scan
10 14 12:42:04 556 D BtGatt ScanManager(11705): configureRegularScanParams()   queue 0
10 14 12:42:04 556 D BtGatt ScanManager(11705): configureRegularScanParams()   ScanSetting Scan mode  2147483648 mLastConfiguredScanSetting 2
10 14 12:42:04 556 D BtGatt ScanManager(11705): configureRegularScanParams()   queue emtpy  scan stopped
10 14 12:42:04 557 D BtGatt GattService(11705): unregisterClient()   clientIf 5
10 14 12:42:04 569 D BluetoothAdapter( 7153): STATE ON
10 14 12:42:04 571 D BtGatt GattService(11705): registerClient()   UUID b2cb900d 5cef 43d0 8fe2 b8fcb6ee465a
10 14 12:42:04 572 D BtGatt GattService(11705): onClientRegistered()   UUID b2cb900d 5cef 43d0 8fe2 b8fcb6ee465a  clientIf 5
10 14 12:42:04 572 D BluetoothLeScanner( 7153): onClientRegistered()   status 0 clientIf 5
10 14 12:42:04 572 D BtGatt GattService(11705): start scan with filters
10 14 12:42:04 574 D BtGatt ScanManager(11705): handling starting scan
10 14 12:42:04 576 D BtGatt ScanManager(11705): configureRegularScanParams()   queue 1
10 14 12:42:04 576 D BtGatt ScanManager(11705): configureRegularScanParams()   ScanSetting Scan mode 2 mLastConfiguredScanSetting  2147483648
10 14 12:42:04 576 D BtGatt ScanManager(11705): configureRegularScanParams   scanInterval   8000configureRegularScanParams   scanWindow   8000
10 14 12:42:04 578 D BtGatt GattService(11705): onScanParamSetupCompleted : 0
10 14 12:42:04 593 D ICU     ( 8462): No timezone override file found:  data misc zoneinfo current icu icu tzdata dat
10 14 12:42:04 527 W app process32 o( 8462): type 1400 audit(0 0:42420): avc: denied   write   for name  system framework boot art  dev  mmcblk0p28  ino 491525 scontext u:r:shell:s0 tcontext u:object r:dalvikcache data file:s0 tclass file permissive 0
10 14 12:42:04 587 W main    ( 8462): type 1400 audit(0 0:42421): avc: denied   write   for name  arm  dev  mmcblk0p28  ino 491523 scontext u:r:shell:s0 tcontext u:object r:dalvikcache data file:s0 tclass dir permissive 0
10 14 12:42:04 649 I Radio JNI( 8462): register android hardware Radio DONE
10 14 12:42:04 677 D AndroidRuntime( 8462): Calling main entry com android commands am Am
10 14 12:42:04 691 D AndroidRuntime( 8462): Shutting down VM
10 14 12:42:04 769 D AndroidRuntime( 8476):        START com android internal os RuntimeInit uid 0       
10 14 12:42:04 767 W app process32 o( 8476): type 1400 audit(0 0:42422): avc: denied   write   for name  system framework boot art  dev  mmcblk0p28  ino 491525 scontext u:r:shell:s0 tcontext u:object r:dalvikcache data file:s0 tclass file permissive 0
10 14 12:42:04 773 D AndroidRuntime( 8476): CheckJNI is OFF
10 14 12:42:04 814 D ICU     ( 8476): No timezone override file found:  data misc zoneinfo current icu icu tzdata dat
10 14 12:42:04 817 W main    ( 8476): type 1400 audit(0 0:42423): avc: denied   write   for name  arm  dev  mmcblk0p28  ino 491523 scontext u:r:shell:s0 tcontext u:object r:dalvikcache data file:s0 tclass dir permissive 0
10 14 12:42:04 851 I Radio JNI( 8476): register android hardware Radio DONE
10 14 12:42:04 871 D AndroidRuntime( 8476): Calling main entry com android commands am Am
10 14 12:42:04 888 D AndroidRuntime( 8476): Shutting down VM
10 14 12:42:05 125 D AndroidRuntime( 8493):        START com android internal os RuntimeInit uid 0       
10 14 12:42:05 129 D AndroidRuntime( 8493): CheckJNI is OFF
10 14 12:42:05 127 W app process32 o( 8493): type 1400 audit(0 0:42424): avc: denied   write   for name  system framework boot art  dev  mmcblk0p28  ino 491525 scontext u:r:shell:s0 tcontext u:object r:dalvikcache data file:s0 tclass file permissive 0
10 14 12:42:05 167 D ICU     ( 8493): No timezone override file found:  data misc zoneinfo current icu icu tzdata dat
10 14 12:42:05 167 W main    ( 8493): type 1400 audit(0 0:42425): avc: denied   write   for name  arm  dev  mmcblk0p28  ino 491523 scontext u:r:shell:s0 tcontext u:object r:dalvikcache data file:s0 tclass dir permissive 0
10 14 12:42:05 204 I Radio JNI( 8493): register android hardware Radio DONE
10 14 12:42:05 222 D AndroidRuntime( 8493): Calling main entry com android commands am Am
10 14 12:42:05 237 D AndroidRuntime( 8493): Shutting down VM
10 14 12:42:05 457 W subsystem ramdu( 8527): type 1400 audit(0 0:42426): avc: denied   search   for name  tombstones  dev  mmcblk0p28  ino 360449 scontext u:r:ssr:s0 tcontext u:object r:tombstone data file:s0 tclass dir permissive 0
10 14 12:42:05 467 I ssr ramdumpd( 8527): Dumps will be created at  data tombstones ramdump
10 14 12:42:05 468 E ssr ramdumpd( 8527): Directory  data tombstones ramdump does not exist
10 14 12:42:05 468 I ssr ramdumpd( 8527): Attempting to create  data tombstones ramdump
10 14 12:42:05 468 E ssr ramdumpd( 8527): Ramdump: Unable to create  data tombstones ramdump
10 14 12:42:05 468 E ssr ramdumpd( 8527): Creating ramdump directory  data tombstones ramdump failed
10 14 12:42:05 457 W subsystem ramdu( 8527): type 1400 audit(0 0:42427): avc: denied   search   for name  tombstones  dev  mmcblk0p28  ino 360449 scontext u:r:ssr:s0 tcontext u:object r:tombstone data file:s0 tclass dir permissive 0
10 14 12:42:05 482 D QSEECOMD: ( 8526): qseecom listener services process entry PPID   1
10 14 12:42:05 482 E QSEECOMD: ( 8526): Listener: index   0  hierarchy   0
10 14 12:42:05 482 E QSEECOMD: ( 8526): Init dlopen(librpmb so  RLTD NOW) is failed    
10 14 12:42:05 482 E QSEECOMD: ( 8526): ERROR: RPMB INIT failed  shall not start listener services
10 14 12:42:05 652 D NetlinkSocketObserver(  837): NeighborEvent elapsedMs 148408760  192 168 0 1   A4B1E92A791B   RTM NEWNEIGH  NUD STALE 
10 14 12:42:06 088 D audio hw primary(  210): out set parameters: enter: usecase(1: low latency playback) kvpairs: routing 2
10 14 12:42:06 091 I ActivityManager(  837): START u0  act android intent action MAIN cat  android intent category HOME  flg 0x10200000 cmp com android launcher3  Launcher (has extras)  from uid 1000 on display 0
10 14 12:42:06 100 D audio hw primary(  210): select devices: out snd device(2: speaker) in snd device(0: none)
10 14 12:42:06 100 D msm8974 platform(  210): platform send audio calibration: sending audio calibration for snd device(2) acdb id(15)
10 14 12:42:06 100 D audio hw primary(  210): enable snd device: snd device(2: speaker)
10 14 12:42:06 104 D audio hw primary(  210): enable audio route: apply and update mixer path: low latency playback
10 14 12:42:06 222 E Surface ( 8048): getSlotFromBufferLocked: unknown buffer: 0x9bf34a50
10 14 12:42:06 653 D BluetoothAdapter( 7153): STATE ON
10 14 12:42:06 654 D BtGatt GattService(11705): stopScan()   queue size  1
10 14 12:42:06 655 D BtGatt ScanManager(11705): stop scan
10 14 12:42:06 655 D BtGatt ScanManager(11705): configureRegularScanParams()   queue 0
10 14 12:42:06 655 D BtGatt ScanManager(11705): configureRegularScanParams()   ScanSetting Scan mode  2147483648 mLastConfiguredScanSetting 2
10 14 12:42:06 655 D BtGatt ScanManager(11705): configureRegularScanParams()   queue emtpy  scan stopped
10 14 12:42:06 655 D BtGatt GattService(11705): unregisterClient()   clientIf 5
10 14 12:42:06 659 D BluetoothAdapter( 7153): STATE ON
10 14 12:42:06 668 D BtGatt GattService(11705): registerClient()   UUID 7256d750 26a7 47c7 9071 19e874e4f1af
10 14 12:42:06 669 D BtGatt GattService(11705): onClientRegistered()   UUID 7256d750 26a7 47c7 9071 19e874e4f1af  clientIf 5
10 14 12:42:06 670 D BluetoothLeScanner( 7153): onClientRegistered()   status 0 clientIf 5
10 14 12:42:06 671 D BtGatt GattService(11705): start scan with filters
10 14 12:42:06 673 D BtGatt ScanManager(11705): handling starting scan
10 14 12:42:06 678 D BtGatt ScanManager(11705): configureRegularScanParams()   queue 1
10 14 12:42:06 678 D BtGatt ScanManager(11705): configureRegularScanParams()   ScanSetting Scan mode 2 mLastConfiguredScanSetting  2147483648
10 14 12:42:06 678 D BtGatt ScanManager(11705): configureRegularScanParams   scanInterval   8000configureRegularScanParams   scanWindow   8000
10 14 12:42:06 680 D BtGatt GattService(11705): onScanParamSetupCompleted : 0
10 14 12:42:06 688 W OpenGLRenderer( 1347): Incorrectly called buildLayer on View: ShortcutAndWidgetContainer  destroying layer   
10 14 12:42:06 688 W OpenGLRenderer( 1347): Incorrectly called buildLayer on View: ShortcutAndWidgetContainer  destroying layer   
10 14 12:42:08 680 E Surface ( 8048): getSlotFromBufferLocked: unknown buffer: 0x9eacddb0
10 14 12:42:08 687 D BluetoothAdapter( 7153): STATE ON
10 14 12:42:08 688 D BtGatt GattService(11705): stopScan()   queue size  1
10 14 12:42:08 689 D BtGatt ScanManager(11705): stop scan
10 14 12:42:08 689 D BtGatt ScanManager(11705): configureRegularScanParams()   queue 0
10 14 12:42:08 689 D BtGatt ScanManager(11705): configureRegularScanParams()   ScanSetting Scan mode  2147483648 mLastConfiguredScanSetting 2
10 14 12:42:08 689 D BtGatt ScanManager(11705): configureRegularScanParams()   queue emtpy  scan stopped
10 14 12:42:08 689 D BtGatt GattService(11705): unregisterClient()   clientIf 5
10 14 12:42:08 696 D BluetoothAdapter( 7153): STATE ON
10 14 12:42:08 704 D BtGatt GattService(11705): registerClient()   UUID 22449ad5 cd33 4c80 9f7b 70f01ada7c87
10 14 12:42:08 704 D BtGatt GattService(11705): onClientRegistered()   UUID 22449ad5 cd33 4c80 9f7b 70f01ada7c87  clientIf 5
10 14 12:42:08 704 D BluetoothLeScanner( 7153): onClientRegistered()   status 0 clientIf 5
10 14 12:42:08 705 D BtGatt GattService(11705): start scan with filters
10 14 12:42:08 707 D BtGatt ScanManager(11705): handling starting scan
10 14 12:42:08 709 D BtGatt ScanManager(11705): configureRegularScanParams()   queue 1
10 14 12:42:08 709 D BtGatt ScanManager(11705): configureRegularScanParams()   ScanSetting Scan mode 2 mLastConfiguredScanSetting  2147483648
10 14 12:42:08 710 D BtGatt ScanManager(11705): configureRegularScanParams   scanInterval   8000configureRegularScanParams   scanWindow   8000
10 14 12:42:08 711 D BtGatt GattService(11705): onScanParamSetupCompleted : 0
10 14 12:42:09 259 D audio hw primary(  210): disable audio route: reset and update mixer path: low latency playback
10 14 12:42:09 259 D audio hw primary(  210): disable snd device: snd device(2: speaker)
10 14 12:42:10 125 D audio hw primary(  210): out set parameters: enter: usecase(1: low latency playback) kvpairs: routing 2
10 14 12:42:10 136 D audio hw primary(  210): select devices: out snd device(2: speaker) in snd device(0: none)
10 14 12:42:10 137 D msm8974 platform(  210): platform send audio calibration: sending audio calibration for snd device(2) acdb id(15)
10 14 12:42:10 137 D audio hw primary(  210): enable snd device: snd device(2: speaker)
10 14 12:42:10 138 D audio hw primary(  210): enable audio route: apply and update mixer path: low latency playback
10 14 12:42:10 163 D AudioFlinger(  210): mixer(0xb4180000) throttle end: throttle time(10)
10 14 12:42:10 500 I ssr ramdumpd( 8546): Dumps will be created at  data tombstones ramdump
10 14 12:42:10 487 W subsystem ramdu( 8546): type 1400 audit(0 0:42428): avc: denied   search   for name  tombstones  dev  mmcblk0p28  ino 360449 scontext u:r:ssr:s0 tcontext u:object r:tombstone data file:s0 tclass dir permissive 0
10 14 12:42:10 487 W subsystem ramdu( 8546): type 1400 audit(0 0:42429): avc: denied   search   for name  tombstones  dev  mmcblk0p28  ino 360449 scontext u:r:ssr:s0 tcontext u:object r:tombstone data file:s0 tclass dir permissive 0
10 14 12:42:15 517 W subsystem ramdu( 8577): type 1400 audit(0 0:42430): avc: denied   search   for name  tombstones  dev  mmcblk0p28  ino 360449 scontext u:r:ssr:s0 tcontext u:object r:tombstone data file:s0 tclass dir permissive 0
10 14 12:42:10 500 E ssr ramdumpd( 8546): Directory  data tombstones ramdump does not exist
10 14 12:42:10 501 I ssr ramdumpd( 8546): Attempting to create  data tombstones ramdump
10 14 12:42:10 501 E ssr ramdumpd( 8546): Ramdump: Unable to create  data tombstones ramdump
10 14 12:42:10 501 E ssr ramdumpd( 8546): Creating ramdump directory  data tombstones ramdump failed
10 14 12:42:10 509 D QSEECOMD: ( 8545): qseecom listener services process entry PPID   1
10 14 12:42:10 509 E QSEECOMD: ( 8545): Listener: index   0  hierarchy   0
10 14 12:42:10 509 E QSEECOMD: ( 8545): Init dlopen(librpmb so  RLTD NOW) is failed    
10 14 12:42:10 509 E QSEECOMD: ( 8545): ERROR: RPMB INIT failed  shall not start listener services
10 14 12:42:10 650 D WifiStateMachine(  837): starting scan for  dead WPA PSK with 2412
10 14 12:42:10 745 D BluetoothAdapter( 7153): STATE ON
10 14 12:42:10 745 D BtGatt GattService(11705): stopScan()   queue size  1
10 14 12:42:10 746 D BtGatt ScanManager(11705): stop scan
10 14 12:42:10 746 D BtGatt ScanManager(11705): configureRegularScanParams()   queue 0
10 14 12:42:10 746 D BtGatt ScanManager(11705): configureRegularScanParams()   ScanSetting Scan mode  2147483648 mLastConfiguredScanSetting 2
10 14 12:42:10 746 D BtGatt ScanManager(11705): configureRegularScanParams()   queue emtpy  scan stopped
10 14 12:42:10 746 D BtGatt GattService(11705): unregisterClient()   clientIf 5
10 14 12:42:10 749 D BluetoothAdapter( 7153): STATE ON
10 14 12:42:10 751 D BtGatt GattService(11705): registerClient()   UUID 3efbc9d8 d119 4bb8 bb98 2dabc717e825
10 14 12:42:10 752 D BtGatt GattService(11705): onClientRegistered()   UUID 3efbc9d8 d119 4bb8 bb98 2dabc717e825  clientIf 5
10 14 12:42:10 752 D BluetoothLeScanner( 7153): onClientRegistered()   status 0 clientIf 5
10 14 12:42:10 758 D BtGatt GattService(11705): start scan with filters
10 14 12:42:10 759 D BtGatt ScanManager(11705): handling starting scan
10 14 12:42:10 761 D BtGatt ScanManager(11705): configureRegularScanParams()   queue 1
10 14 12:42:10 761 D BtGatt ScanManager(11705): configureRegularScanParams()   ScanSetting Scan mode 2 mLastConfiguredScanSetting  2147483648
10 14 12:42:10 761 D BtGatt ScanManager(11705): configureRegularScanParams   scanInterval   8000configureRegularScanParams   scanWindow   8000
10 14 12:42:10 762 D BtGatt GattService(11705): onScanParamSetupCompleted : 0
10 14 12:42:11 223 D NetlinkSocketObserver(  837): NeighborEvent elapsedMs 148414331  192 168 0 1   A4B1E92A791B   RTM NEWNEIGH  NUD PROBE 
10 14 12:42:11 314 I ActivityManager(  837): START u0  act android intent action MAIN cat  android intent category LAUNCHER  flg 0x10200000 cmp ws xsoh etar com android calendar AllInOneActivity (has extras)  from uid 10008 on display 0
10 14 12:42:11 320 D audio hw primary(  210): out set parameters: enter: usecase(1: low latency playback) kvpairs: routing 2
10 14 12:42:11 337 I ActivityManager(  837): Start proc 8547:ws xsoh etar u0a20 for activity ws xsoh etar com android calendar AllInOneActivity
10 14 12:42:11 357 D AudioFlinger(  210): mixer(0xb4180000) throttle end: throttle time(7)
10 14 12:42:11 396 W System  ( 8547): ClassLoader referenced unknown path:  data app ws xsoh etar 1 lib arm
10 14 12:42:11 401 E Surface ( 1347): getSlotFromBufferLocked: unknown buffer: 0xa92f5ed0
10 14 12:42:11 416 D ExtensionsFactory( 8547): No custom extensions 
10 14 12:42:11 420 D ExtensionsFactory( 8547): AllInOneMenuExtensions not found in properties file 
10 14 12:42:11 463 I AppCompatViewInflater( 8547): app:theme is now deprecated  Please move to using android:theme instead 
10 14 12:42:11 551 D OpenGLRenderer( 8547): Use EGL SWAP BEHAVIOR PRESERVED: true
10 14 12:42:11 566 D AlertService( 8547): 0 Action   android intent action PROVIDER CHANGED
10 14 12:42:11 597 I Adreno EGL( 8547):  qeglDrvAPI eglInitialize:379 : QUALCOMM Build: 09 02 15  76f806e  Ibddc658e36
10 14 12:42:11 598 I OpenGLRenderer( 8547): Initialized EGL  version 1 4
10 14 12:42:11 730 I ActivityManager(  837): Displayed ws xsoh etar com android calendar AllInOneActivity:  405ms
10 14 12:42:12 166 D ConnectivityService(  837): updateNetworkScore for NetworkAgentInfo  WIFI ()   106  to 56
10 14 12:42:12 166 D ConnectivityService(  837): rematching NetworkAgentInfo  WIFI ()   106 
10 14 12:42:12 543 D BluetoothAdapter( 7153): STATE ON
10 14 12:42:12 543 D BtGatt GattService(11705): stopScan()   queue size  1
10 14 12:42:12 544 D BtGatt ScanManager(11705): stop scan
10 14 12:42:12 544 D BtGatt ScanManager(11705): configureRegularScanParams()   queue 0
10 14 12:42:12 544 D BtGatt ScanManager(11705): configureRegularScanParams()   ScanSetting Scan mode  2147483648 mLastConfiguredScanSetting 2
10 14 12:42:12 544 D BtGatt ScanManager(11705): configureRegularScanParams()   queue emtpy  scan stopped
10 14 12:42:12 545 D BtGatt GattService(11705): unregisterClient()   clientIf 5
10 14 12:42:13 929 D audio hw primary(  210): out set parameters: enter: usecase(1: low latency playback) kvpairs: routing 2
10 14 12:42:13 963 D AudioFlinger(  210): mixer(0xb4180000) throttle end: throttle time(7)
10 14 12:42:14 584 D BluetoothAdapter( 7153): STATE ON
10 14 12:42:14 585 D BtGatt GattService(11705): registerClient()   UUID fc41aeb0 f2f0 441d 9af1 15e242dffe42
10 14 12:42:14 586 D BtGatt GattService(11705): onClientRegistered()   UUID fc41aeb0 f2f0 441d 9af1 15e242dffe42  clientIf 5
10 14 12:42:14 586 D BluetoothLeScanner( 7153): onClientRegistered()   status 0 clientIf 5
10 14 12:42:14 586 D BtGatt GattService(11705): start scan with filters
10 14 12:42:14 588 D BtGatt ScanManager(11705): handling starting scan
10 14 12:42:14 589 D BtGatt ScanManager(11705): configureRegularScanParams()   queue 1
10 14 12:42:15 517 W subsystem ramdu( 8577): type 1400 audit(0 0:42431): avc: denied   search   for name  tombstones  dev  mmcblk0p28  ino 360449 scontext u:r:ssr:s0 tcontext u:object r:tombstone data file:s0 tclass dir permissive 0
10 14 12:42:14 589 D BtGatt ScanManager(11705): configureRegularScanParams()   ScanSetting Scan mode 2 mLastConfiguredScanSetting  2147483648
10 14 12:42:14 589 D BtGatt ScanManager(11705): configureRegularScanParams   scanInterval   8000configureRegularScanParams   scanWindow   8000
10 14 12:42:14 591 D BtGatt GattService(11705): onScanParamSetupCompleted : 0
10 14 12:42:14 928 I ActivityManager(  837): START u0  act android intent action VIEW flg 0x20020000 cmp ws xsoh etar com android calendar CalendarSettingsActivity  from uid 10020 on display 0
10 14 12:42:14 939 D audio hw primary(  210): out set parameters: enter: usecase(1: low latency playback) kvpairs: routing 2
10 14 12:42:14 960 I AccountManagerService(  837): getTypesVisibleToCaller: isPermitted  true
10 14 12:42:15 023 I ActivityManager(  837): Displayed ws xsoh etar com android calendar CalendarSettingsActivity:  88ms
10 14 12:42:15 054 D OpenGLRenderer( 8547): endAllStagingAnimators on 0xb37c3f80 (NavigationMenuView) with handle 0xa874e230
10 14 12:42:15 085 D BluetoothAdapter( 7153): startLeScan(): null
10 14 12:42:15 085 D BluetoothAdapter( 7153): STATE ON
10 14 12:42:15 087 D BtGatt GattService(11705): registerClient()   UUID 44b120fc 7d7e 4bf7 b130 7b59423eb00f
10 14 12:42:15 088 D BtGatt GattService(11705): onClientRegistered()   UUID 44b120fc 7d7e 4bf7 b130 7b59423eb00f  clientIf 6
10 14 12:42:15 088 D BluetoothLeScanner( 7153): onClientRegistered()   status 0 clientIf 6
10 14 12:42:15 088 D BtGatt GattService(11705): start scan with filters
10 14 12:42:15 090 D BtGatt ScanManager(11705): handling starting scan
10 14 12:42:15 091 D BtGatt ScanManager(11705): configureRegularScanParams()   queue 2
10 14 12:42:15 091 D BtGatt ScanManager(11705): configureRegularScanParams()   ScanSetting Scan mode 2 mLastConfiguredScanSetting 2
10 14 12:42:15 181 D ConnectivityService(  837): updateNetworkScore for NetworkAgentInfo  WIFI ()   106  to 60
10 14 12:42:15 181 D ConnectivityService(  837): rematching NetworkAgentInfo  WIFI ()   106 
10 14 12:42:15 424 D BluetoothAdapter( 7153): stopLeScan()
10 14 12:42:15 425 D BluetoothAdapter( 7153): STATE ON
10 14 12:42:15 425 D BtGatt GattService(11705): stopScan()   queue size  2
10 14 12:42:15 426 D BtGatt ScanManager(11705): configureRegularScanParams()   queue 1
10 14 12:42:15 426 D BtGatt ScanManager(11705): configureRegularScanParams()   ScanSetting Scan mode 2 mLastConfiguredScanSetting 2
10 14 12:42:15 426 D BtGatt GattService(11705): unregisterClient()   clientIf 6
10 14 12:42:15 524 I ssr ramdumpd( 8577): Dumps will be created at  data tombstones ramdump
10 14 12:42:15 524 E ssr ramdumpd( 8577): Directory  data tombstones ramdump does not exist
10 14 12:42:15 524 I ssr ramdumpd( 8577): Attempting to create  data tombstones ramdump
10 14 12:42:15 526 E ssr ramdumpd( 8577): Ramdump: Unable to create  data tombstones ramdump
10 14 12:42:15 526 E ssr ramdumpd( 8577): Creating ramdump directory  data tombstones ramdump failed
10 14 12:42:15 536 D QSEECOMD: ( 8576): qseecom listener services process entry PPID   1
10 14 12:42:15 536 E QSEECOMD: ( 8576): Listener: index   0  hierarchy   0
10 14 12:42:15 536 E QSEECOMD: ( 8576): Init dlopen(librpmb so  RLTD NOW) is failed    
10 14 12:42:15 536 E QSEECOMD: ( 8576): ERROR: RPMB INIT failed  shall not start listener services
10 14 12:42:16 584 D AlertService( 8547): Beginning updateAlertNotification
10 14 12:42:16 595 D AlertService( 8547): No fired or scheduled alerts
10 14 12:42:16 615 D AlertService( 8547): Scheduling next alarm with AlarmScheduler  sEventReminderReceived: null
10 14 12:42:16 626 D AlarmScheduler( 8547): Query result count for events starting within 1 week: 2
10 14 12:42:16 626 D BluetoothAdapter( 7153): STATE ON
10 14 12:42:16 627 D BtGatt GattService(11705): stopScan()   queue size  1
10 14 12:42:16 627 D BtGatt ScanManager(11705): stop scan
10 14 12:42:16 627 D BtGatt ScanManager(11705): configureRegularScanParams()   queue 0
10 14 12:42:16 627 D BtGatt ScanManager(11705): configureRegularScanParams()   ScanSetting Scan mode  2147483648 mLastConfiguredScanSetting 2
10 14 12:42:16 627 D BtGatt ScanManager(11705): configureRegularScanParams()   queue emtpy  scan stopped
10 14 12:42:16 627 D BtGatt GattService(11705): unregisterClient()   clientIf 5
10 14 12:42:16 629 D BluetoothAdapter( 7153): STATE ON
10 14 12:42:16 633 D BtGatt GattService(11705): registerClient()   UUID af783f08 b763 4726 a63e 1d74b9707db8
10 14 12:42:16 633 D BtGatt GattService(11705): onClientRegistered()   UUID af783f08 b763 4726 a63e 1d74b9707db8  clientIf 5
10 14 12:42:16 634 D BluetoothLeScanner( 7153): onClientRegistered()   status 0 clientIf 5
10 14 12:42:16 635 D BtGatt GattService(11705): start scan with filters
10 14 12:42:16 637 D BtGatt ScanManager(11705): handling starting scan
10 14 12:42:16 639 D BtGatt ScanManager(11705): configureRegularScanParams()   queue 1
10 14 12:42:16 639 D BtGatt ScanManager(11705): configureRegularScanParams()   ScanSetting Scan mode 2 mLastConfiguredScanSetting  2147483648
10 14 12:42:16 639 D BtGatt ScanManager(11705): configureRegularScanParams   scanInterval   8000configureRegularScanParams   scanWindow   8000
10 14 12:42:16 640 D BtGatt GattService(11705): onScanParamSetupCompleted : 0
10 14 12:42:16 654 D AlarmScheduler( 8547): Scheduling alarm for EVENT REMINDER APP broadcast for event 102 at 1444930937616 (Thu  Oct 15  2015 12:42pm)
10 14 12:42:17 419 I ActivityManager(  837): START u0  act android intent action MAIN cmp ws xsoh etar com android calendar CalendarSettingsActivity (has extras)  from uid 10020 on display 0
10 14 12:42:17 429 D audio hw primary(  210): out set parameters: enter: usecase(1: low latency playback) kvpairs: routing 2
10 14 12:42:17 466 D AudioFlinger(  210): mixer(0xb4180000) throttle end: throttle time(4)
10 14 12:42:17 495 D NuPlayerDriver(  210): notifyListener l(0xb369a5a0)  (1  0  0)
10 14 12:42:17 496 D MediaPlayer( 8547): setSubtitleAnchor in MediaPlayer
10 14 12:42:17 500 D Ringtone( 8547): Successfully created local player
10 14 12:42:17 654 I ActivityManager(  837): Displayed ws xsoh etar com android calendar CalendarSettingsActivity:  224ms
10 14 12:42:17 700 E Surface ( 8547): getSlotFromBufferLocked: unknown buffer: 0x9f1e9590
10 14 12:42:17 705 D OpenGLRenderer( 8547): endAllStagingAnimators on 0x9f1f1980 (ListView) with handle 0xa874e830
10 14 12:42:18 196 D ConnectivityService(  837): updateNetworkScore for NetworkAgentInfo  WIFI ()   106  to 56
10 14 12:42:18 196 D ConnectivityService(  837): rematching NetworkAgentInfo  WIFI ()   106 
10 14 12:42:18 673 D BluetoothAdapter( 7153): STATE ON
10 14 12:42:18 673 D BtGatt GattService(11705): stopScan()   queue size  1
10 14 12:42:18 674 D BtGatt GattService(11705): unregisterClient()   clientIf 5
10 14 12:42:18 674 D BtGatt ScanManager(11705): stop scan
10 14 12:42:18 674 D BtGatt ScanManager(11705): configureRegularScanParams()   queue 0
10 14 12:42:18 674 D BtGatt ScanManager(11705): configureRegularScanParams()   ScanSetting Scan mode  2147483648 mLastConfiguredScanSetting 2
10 14 12:42:18 674 D BtGatt ScanManager(11705): configureRegularScanParams()   queue emtpy  scan stopped
10 14 12:42:18 675 D BluetoothAdapter( 7153): STATE ON
10 14 12:42:18 679 D BtGatt GattService(11705): registerClient()   UUID 54f6c63b b95f 478a 83b1 355f78e79d63
10 14 12:42:18 679 D BtGatt GattService(11705): onClientRegistered()   UUID 54f6c63b b95f 478a 83b1 355f78e79d63  clientIf 5
10 14 12:42:18 680 D BluetoothLeScanner( 7153): onClientRegistered()   status 0 clientIf 5
10 14 12:42:18 684 D BtGatt GattService(11705): start scan with filters
10 14 12:42:18 685 D BtGatt ScanManager(11705): handling starting scan
10 14 12:42:18 686 D BtGatt ScanManager(11705): configureRegularScanParams()   queue 1
10 14 12:42:18 686 D BtGatt ScanManager(11705): configureRegularScanParams()   ScanSetting Scan mode 2 mLastConfiguredScanSetting  2147483648
10 14 12:42:18 686 D BtGatt ScanManager(11705): configureRegularScanParams   scanInterval   8000configureRegularScanParams   scanWindow   8000
10 14 12:42:18 687 D BtGatt GattService(11705): onScanParamSetupCompleted : 0
10 14 12:42:20 516 I AccountManagerService(  837): getTypesVisibleToCaller: isPermitted  true
10 14 12:42:20 518 I AccountManagerService(  837): getTypesVisibleToCaller: isPermitted  true
10 14 12:42:20 569 D audio hw primary(  210): disable audio route: reset and update mixer path: low latency playback
10 14 12:42:20 569 D audio hw primary(  210): disable snd device: snd device(2: speaker)
10 14 12:42:20 567 W subsystem ramdu( 8586): type 1400 audit(0 0:42432): avc: denied   search   for name  tombstones  dev  mmcblk0p28  ino 360449 scontext u:r:ssr:s0 tcontext u:object r:tombstone data file:s0 tclass dir permissive 0
10 14 12:42:20 578 I ssr ramdumpd( 8586): Dumps will be created at  data tombstones ramdump
10 14 12:42:20 578 E ssr ramdumpd( 8586): Directory  data tombstones ramdump does not exist
10 14 12:42:20 578 I ssr ramdumpd( 8586): Attempting to create  data tombstones ramdump
10 14 12:42:20 578 E ssr ramdumpd( 8586): Ramdump: Unable to create  data tombstones ramdump
10 14 12:42:20 578 E ssr ramdumpd( 8586): Creating ramdump directory  data tombstones ramdump failed
10 14 12:42:20 567 W subsystem ramdu( 8586): type 1400 audit(0 0:42433): avc: denied   search   for name  tombstones  dev  mmcblk0p28  ino 360449 scontext u:r:ssr:s0 tcontext u:object r:tombstone data file:s0 tclass dir permissive 0
10 14 12:42:20 605 D QSEECOMD: ( 8585): qseecom listener services process entry PPID   1
10 14 12:42:20 605 E QSEECOMD: ( 8585): Listener: index   0  hierarchy   0
10 14 12:42:20 605 E QSEECOMD: ( 8585): Init dlopen(librpmb so  RLTD NOW) is failed    
10 14 12:42:20 605 E QSEECOMD: ( 8585): ERROR: RPMB INIT failed  shall not start listener services
10 14 12:42:20 734 D BluetoothAdapter( 7153): STATE ON
10 14 12:42:20 735 D BtGatt GattService(11705): stopScan()   queue size  1
10 14 12:42:20 735 D BtGatt ScanManager(11705): stop scan
10 14 12:42:20 735 D BtGatt ScanManager(11705): configureRegularScanParams()   queue 0
10 14 12:42:20 735 D BtGatt ScanManager(11705): configureRegularScanParams()   ScanSetting Scan mode  2147483648 mLastConfiguredScanSetting 2
10 14 12:42:20 735 D BtGatt ScanManager(11705): configureRegularScanParams()   queue emtpy  scan stopped
10 14 12:42:20 737 D BtGatt GattService(11705): unregisterClient()   clientIf 5
10 14 12:42:20 745 D BluetoothAdapter( 7153): STATE ON
10 14 12:42:20 748 D BtGatt GattService(11705): registerClient()   UUID e03056ee c715 434e b958 8a4ca8667e31
10 14 12:42:20 758 D BtGatt GattService(11705): onClientRegistered()   UUID e03056ee c715 434e b958 8a4ca8667e31  clientIf 5
10 14 12:42:20 759 D BluetoothLeScanner( 7153): onClientRegistered()   status 0 clientIf 5
10 14 12:42:20 786 D BtGatt GattService(11705): start scan with filters
10 14 12:42:20 788 D BtGatt ScanManager(11705): handling starting scan
10 14 12:42:20 789 D BtGatt ScanManager(11705): configureRegularScanParams()   queue 1
10 14 12:42:20 789 D BtGatt ScanManager(11705): configureRegularScanParams()   ScanSetting Scan mode 2 mLastConfiguredScanSetting  2147483648
10 14 12:42:20 789 D BtGatt ScanManager(11705): configureRegularScanParams   scanInterval   8000configureRegularScanParams   scanWindow   8000
10 14 12:42:20 792 D BtGatt GattService(11705): onScanParamSetupCompleted : 0
10 14 12:42:21 459 D audio hw primary(  210): out set parameters: enter: usecase(1: low latency playback) kvpairs: routing 2
10 14 12:42:21 471 D audio hw primary(  210): select devices: out snd device(2: speaker) in snd device(0: none)
10 14 12:42:21 471 D msm8974 platform(  210): platform send audio calibration: sending audio calibration for snd device(2) acdb id(15)
10 14 12:42:21 471 D audio hw primary(  210): enable snd device: snd device(2: speaker)
10 14 12:42:21 472 D audio hw primary(  210): enable audio route: apply and update mixer path: low latency playback
10 14 12:42:21 497 D AudioFlinger(  210): mixer(0xb4180000) throttle end: throttle time(10)
10 14 12:42:21 503 D AndroidRuntime( 8547): Shutting down VM
          beginning of crash
10 14 12:42:21 504 E AndroidRuntime( 8547): FATAL EXCEPTION: main
10 14 12:42:21 504 E AndroidRuntime( 8547): Process: ws xsoh etar  PID: 8547
10 14 12:42:21 504 E AndroidRuntime( 8547): java lang ClassCastException: long   cannot be cast to int  
10 14 12:42:21 504 E AndroidRuntime( 8547):     at com android timezonepicker TimeZoneInfo getTransitions(TimeZoneInfo java:202)
10 14 12:42:21 504 E AndroidRuntime( 8547):     at com android timezonepicker TimeZoneInfo  init (TimeZoneInfo java:64)
10 14 12:42:21 504 E AndroidRuntime( 8547):     at com android timezonepicker TimeZoneData loadTzsInZoneTab(TimeZoneData java:446)
10 14 12:42:21 504 E AndroidRuntime( 8547):     at com android timezonepicker TimeZoneData loadTzs(TimeZoneData java:120)
10 14 12:42:21 504 E AndroidRuntime( 8547):     at com android timezonepicker TimeZoneData  init (TimeZoneData java:80)
10 14 12:42:21 504 E AndroidRuntime( 8547):     at com android timezonepicker TimeZonePickerView  init (TimeZonePickerView java:66)
10 14 12:42:21 504 E AndroidRuntime( 8547):     at com android timezonepicker TimeZonePickerDialog onCreateView(TimeZonePickerDialog java:70)
10 14 12:42:21 504 E AndroidRuntime( 8547):     at android app Fragment performCreateView(Fragment java:2220)
10 14 12:42:21 504 E AndroidRuntime( 8547):     at android app FragmentManagerImpl moveToState(FragmentManager java:973)
10 14 12:42:21 504 E AndroidRuntime( 8547):     at android app FragmentManagerImpl moveToState(FragmentManager java:1148)
10 14 12:42:21 504 E AndroidRuntime( 8547):     at android app BackSta</t>
  </si>
  <si>
    <t>saulmm-Avengers-7</t>
  </si>
  <si>
    <t xml:space="preserve">I was trying to see how you solved RxAndroid   Configuration changes but the app crashed when I tilted my phone  (in both branches  master and fix load more characters issue)
Here s the stacktrace 
  10 14 11:41:16 785 15543 15543 saulmm avengers E AndroidRuntime: java lang RuntimeException: Unable to start activity ComponentInfo saulmm avengers saulmm avengers views activities AvengersListActivity : java lang ClassCastException: android view AbsSavedState 1 cannot be cast to android widget ProgressBar SavedState
  10 14 11:41:16 785 15543 15543 saulmm avengers E AndroidRuntime:     at android app ActivityThread performLaunchActivity(ActivityThread java:2416)
  10 14 11:41:16 785 15543 15543 saulmm avengers E AndroidRuntime:     at android app ActivityThread handleLaunchActivity(ActivityThread java:2476)
  10 14 11:41:16 785 15543 15543 saulmm avengers E AndroidRuntime:     at android app ActivityThread handleRelaunchActivity(ActivityThread java:4077)
  10 14 11:41:16 785 15543 15543 saulmm avengers E AndroidRuntime:     at android app ActivityThread  wrap15(ActivityThread java)
  10 14 11:41:16 785 15543 15543 saulmm avengers E AndroidRuntime:     at android app ActivityThread H handleMessage(ActivityThread java:1350)
  10 14 11:41:16 785 15543 15543 saulmm avengers E AndroidRuntime:     at android os Handler dispatchMessage(Handler java:102)
  10 14 11:41:16 785 15543 15543 saulmm avengers E AndroidRuntime:     at android os Looper loop(Looper java:148)
  10 14 11:41:16 785 15543 15543 saulmm avengers E AndroidRuntime:     at android app ActivityThread main(ActivityThread java:5417)
  10 14 11:41:16 785 15543 15543 saulmm avengers E AndroidRuntime:     at java lang reflect Method invoke(Native Method)
  10 14 11:41:16 785 15543 15543 saulmm avengers E AndroidRuntime:     at com android internal os ZygoteInit MethodAndArgsCaller run(ZygoteInit java:726)
  10 14 11:41:16 785 15543 15543 saulmm avengers E AndroidRuntime:     at com android internal os ZygoteInit main(ZygoteInit java:616)
  10 14 11:41:16 785 15543 15543 saulmm avengers E AndroidRuntime:  Caused by: java lang ClassCastException: android view AbsSavedState 1 cannot be cast to android widget ProgressBar SavedState
  10 14 11:41:16 785 15543 15543 saulmm avengers E AndroidRuntime:     at android widget ProgressBar onRestoreInstanceState(ProgressBar java:1824)
</t>
  </si>
  <si>
    <t>ccrama-Slide-115</t>
  </si>
  <si>
    <t>The information menu causes arrowburger to activate</t>
  </si>
  <si>
    <t xml:space="preserve">When sliding out the information bar  the arrowburger for the navigation bar will activate and very rarely crashes Slide 
</t>
  </si>
  <si>
    <t>pylerSM-XInstaller-25</t>
  </si>
  <si>
    <t>Disabling user apps doesn't work on 4.1 TW. (I think)</t>
  </si>
  <si>
    <t xml:space="preserve">I haven t tested this on vanilla  but there isn t any disable button  and additionally  it crashes with a NoSuchMethodError when you click force stop  This also happens with Native Freezer 
I suggest that you put a long click listener on the Uninstall button  or add a button itself  
Samsung Galaxy S II Skyrocket (AT T)
SGH i727 
Stock 4 1 2 TouchWiz rooted
</t>
  </si>
  <si>
    <t>b2renger-PdDroidPublisher-34</t>
  </si>
  <si>
    <t>Samples crash sometime</t>
  </si>
  <si>
    <t xml:space="preserve">Error from Libc (LibPD) : SIGSEGV
Happens often with Nexus 9 devices as master  Ok with Asus device : Asus as Master  BPM at 360 and two other devices with 2 apps per device : no crash during more than 30mn 
With Nexus as master  clock was not regular 
</t>
  </si>
  <si>
    <t>opensensorhub-osh-android-2</t>
  </si>
  <si>
    <t>SensorHub not working on Android 4.4</t>
  </si>
  <si>
    <t xml:space="preserve"> a href  https:  github com sensiasoft   img src  https:  avatars githubusercontent com u 9446498 v 3  align  left  width  96  height  96  hspace  10    img   a    Issue by  sensiasoft (https:  github com sensiasoft)  
 Friday Aug 21  2015 at 08:31 GMT 
 Originally opened as https:  github com sensiasoft sensorhub core issues 29 
The app crashes on startup  It seems the external  dex file cannot be properly loaded using the Dexter technique  It looks like references to the classes contained in the dex files are needed during DEX compile  before the dex file is actually loaded 
</t>
  </si>
  <si>
    <t>ccrama-Slide-124</t>
  </si>
  <si>
    <t>Submitting a post causes a crash</t>
  </si>
  <si>
    <t xml:space="preserve">Submitting post appears to cause a crash (however the post still appears correctly)
E AndroidRuntime( 9833): FATAL EXCEPTION: AsyncTask  3
E AndroidRuntime( 9833): Process: me ccrama redditslide  PID: 9833
E AndroidRuntime( 9833): java lang RuntimeException: An error occured while executing doInBackground()
E AndroidRuntime( 9833):        at android os AsyncTask 3 done(AsyncTask java:304)
E AndroidRuntime( 9833):        at java util concurrent FutureTask finishCompletion(FutureTask java:355)
E AndroidRuntime( 9833):        at java util concurrent FutureTask setException(FutureTask java:222)
E AndroidRuntime( 9833):        at java util concurrent FutureTask run(FutureTask java:242)
E AndroidRuntime( 9833):        at android os AsyncTask SerialExecutor 1 run(AsyncTask java:231)
E AndroidRuntime( 9833):        at java util concurrent ThreadPoolExecutor runWorker(ThreadPoolExecutor java:1112)
E AndroidRuntime( 9833):        at java util concurrent ThreadPoolExecutor Worker run(ThreadPoolExecutor java:587)
E AndroidRuntime( 9833):        at java lang Thread run(Thread java:818)
E AndroidRuntime( 9833): Caused by: net dean jraw http NetworkException: Request returned non successful status code: 400 Bad Request
E AndroidRuntime( 9833):        at net dean jraw http RestClient execute(RestClient java:132)
E AndroidRuntime( 9833):        at net dean jraw RedditClient execute(RedditClient java:147)
E AndroidRuntime( 9833):        at net dean jraw RedditClient execute(RedditClient java:141)
E AndroidRuntime( 9833):        at net dean jraw RedditClient getSubreddit(RedditClient java:360)
E AndroidRuntime( 9833):        at me ccrama redditslide Activities SubredditView AsyncGetSubreddit doInBackground(SubredditView java:596)
E AndroidRuntime( 9833):        at me ccrama redditslide Activities SubredditView AsyncGetSubreddit doInBackground(SubredditView java:587)
E AndroidRuntime( 9833):        at android os AsyncTask 2 call(AsyncTask java:292)
E AndroidRuntime( 9833):        at java util concurrent FutureTask run(FutureTask java:237)
E AndroidRuntime( 9833):            4 more
</t>
  </si>
  <si>
    <t>dimagi-commcare-android-705</t>
  </si>
  <si>
    <t>Remove user facing ODK references</t>
  </si>
  <si>
    <t xml:space="preserve">  Remove user facing references to ODK
  Remove references to Collect server preferences  that were never being shown 
  Remove unused form entry settings and the code that makes use of them: form nav  form progress bar  help screen at form beginning  etc 
  Fix bug where  FormEntryActivity isInstanceComplete()  was running even if the form wasn t done loading  This was causing the content provider query to crash the app 
  Release Notes  : Remove unused form setting entries
Addresses: http:  manage dimagi com default asp 184484 and http:  manage dimagi com default asp 183299
Before:
  screen (https:  cloud githubusercontent com assets 94817 10561315 cc496910 74f1 11e5 98df 9763af5ea267 png)
After:
  screen (https:  cloud githubusercontent com assets 94817 10561288 502f5510 74f1 11e5 8402 403e280214ea png)
</t>
  </si>
  <si>
    <t>b2renger-PdDroidPublisher-43</t>
  </si>
  <si>
    <t>Uncaught exception crash application</t>
  </si>
  <si>
    <t xml:space="preserve">For each thread  not catched exception cause application crash  This is not wanted sometimes (network error) 
The idea is not to catch every exceptions from any thread because android provide diagnostics tools for that  The main idea is to catch exceptions that do not affect running application (for instance  on network error) 
</t>
  </si>
  <si>
    <t>keigezellig-fruitHAP-44</t>
  </si>
  <si>
    <t>Cannot start engine from other directory than it's own</t>
  </si>
  <si>
    <t xml:space="preserve">Originally reported by:   Maarten Joosten (Bitbucket:  keigezellig (https:  bitbucket org keigezellig)  GitHub:  keigezellig (https:  github com keigezellig))  
When starting the engine from another directory than it s own  it crashes because it s going to look for its dependencies (controllers etc ) in the current directory 
Probable fix: 
  use absolute paths in Fruithap Startup config
  always cd to startup directory when starting
  Bitbucket: https:  bitbucket org keigezellig fruithap issue 44
</t>
  </si>
  <si>
    <t>pylerSM-XInstaller-26</t>
  </si>
  <si>
    <t>App reloads on rotation and crashes after onStop()</t>
  </si>
  <si>
    <t xml:space="preserve">There are a few general easy to fix app flaws 
The rotation reloading the UI is easy  just add 
android:configChanges  orientation screenSize 
to the XML tag of each Activity 
The crash is also a simple one  All you have to do is check if whatever it is complaining about is  null  and recreate it if so 
  What matters:  
10 16 23:01:07 995 E AndroidRuntime(28513): Caused by: java lang NullPointerException
10 16 23:01:07 995 E AndroidRuntime(28513):     at com pyler xinstaller Preferences Settings onCreate(Preferences java:43)
Full LogCat
10 16 23:01:07 995 E AndroidRuntime(28513): FATAL EXCEPTION: main
10 16 23:01:07 995 E AndroidRuntime(28513): java lang RuntimeException: Unable to start activity ComponentInfo com pyler xinstaller com pyler xinstaller Preferences : java lang NullPointerException
10 16 23:01:07 995 E AndroidRuntime(28513):     at android app ActivityThread performLaunchActivity(ActivityThread java:2110)
10 16 23:01:07 995 E AndroidRuntime(28513):     at android app ActivityThread handleLaunchActivity(ActivityThread java:2135)
10 16 23:01:07 995 E AndroidRuntime(28513):     at android app ActivityThread access 700(ActivityThread java:143)
10 16 23:01:07 995 E AndroidRuntime(28513):     at android app ActivityThread H handleMessage(ActivityThread java:1241)
10 16 23:01:07 995 E AndroidRuntime(28513):     at android os Handler dispatchMessage(Handler java:99)
10 16 23:01:07 995 E AndroidRuntime(28513):     at android os Looper loop(Looper java:137)
10 16 23:01:07 995 E AndroidRuntime(28513):     at android app ActivityThread main(ActivityThread java:4950)
10 16 23:01:07 995 E AndroidRuntime(28513):     at java lang reflect Method invokeNative(Native Method)
10 16 23:01:07 995 E AndroidRuntime(28513):     at java lang reflect Method invoke(Method java:511)
10 16 23:01:07 995 E AndroidRuntime(28513):     at com android internal os ZygoteInit MethodAndArgsCaller run(ZygoteInit java:1004)
10 16 23:01:07 995 E AndroidRuntime(28513):     at com android internal os ZygoteInit main(ZygoteInit java:771)
10 16 23:01:07 995 E AndroidRuntime(28513):     at de robv android xposed XposedBridge main(XposedBridge java:132)
10 16 23:01:07 995 E AndroidRuntime(28513):     at dalvik system NativeStart main(Native Method)
10 16 23:01:07 995 E AndroidRuntime(28513): Caused by: java lang NullPointerException
10 16 23:01:07 995 E AndroidRuntime(28513):     at com pyler xinstaller Preferences Settings onCreate(Preferences java:43)
10 16 23:01:07 995 E AndroidRuntime(28513):     at android app FragmentManagerImpl moveToState(FragmentManager java:796)
10 16 23:01:07 995 E AndroidRuntime(28513):     at android app FragmentManagerImpl moveToState(FragmentManager java:1035)
10 16 23:01:07 995 E AndroidRuntime(28513):     at android app FragmentManagerImpl moveToState(FragmentManager java:1017)
10 16 23:01:07 995 E AndroidRuntime(28513):     at android app FragmentManagerImpl dispatchCreate(FragmentManager java:1799)
10 16 23:01:07 995 E AndroidRuntime(28513):     at android app Activity onCreate(Activity java:921)
10 16 23:01:07 995 E AndroidRuntime(28513):     at com pyler xinstaller Preferences onCreate(Preferences java:30)
10 16 23:01:07 995 E AndroidRuntime(28513):     at android app Activity performCreate(Activity java:5177)
10 16 23:01:07 995 E AndroidRuntime(28513):     at android app Instrumentation callActivityOnCreate(Instrumentation java:1094)
10 16 23:01:07 995 E AndroidRuntime(28513):     at android app ActivityThread performLaunchActivity(ActivityThread java:2074)
10 16 23:01:07 995 E AndroidRuntime(28513):         12 more
</t>
  </si>
  <si>
    <t>Bathlamos-RTDC-109</t>
  </si>
  <si>
    <t>Application is crashing when accessing Communication Hub with no Asterisk connection</t>
  </si>
  <si>
    <t xml:space="preserve">When clicking on Communication Hub in the navigation drawer  the interface is drawn but the application also crashes 
</t>
  </si>
  <si>
    <t>ccrama-Slide-153</t>
  </si>
  <si>
    <t>Clicked on a post when bottom is reached</t>
  </si>
  <si>
    <t xml:space="preserve">   Info
1  Quickly scroll to bottom of a sub
2  Click the last post at bottom before new posts are loaded   
3  Post is loading and then slide crashes  
   Stacktrace
java lang IllegalStateException: The application s PagerAdapter changed the adapter s contents without calling PagerAdapter
</t>
  </si>
  <si>
    <t>ccrama-Slide-145</t>
  </si>
  <si>
    <t>Links to non existent subreddits cause a crash</t>
  </si>
  <si>
    <t xml:space="preserve">Causes an issue when people use  r subredditsashashtags for instance  The crash occurs after it appears to attempt loading the subreddit  rather than immediately clicking the link 
E AndroidRuntime(10856): FATAL EXCEPTION: AsyncTask  3
E AndroidRuntime(10856): Process: me ccrama redditslide  PID: 10856
E AndroidRuntime(10856): java lang RuntimeException: An error occured while executing doInBackground()
E AndroidRuntime(10856):        at android os AsyncTask 3 done(AsyncTask java:304)
E AndroidRuntime(10856):        at java util concurrent FutureTask finishCompletion(FutureTask java:355)
E AndroidRuntime(10856):        at java util concurrent FutureTask setException(FutureTask java:222)
E AndroidRuntime(10856):        at java util concurrent FutureTask run(FutureTask java:242)
E AndroidRuntime(10856):        at android os AsyncTask SerialExecutor 1 run(AsyncTask java:231)
E AndroidRuntime(10856):        at java util concurrent ThreadPoolExecutor runWorker(ThreadPoolExecutor java:1112)
E AndroidRuntime(10856):        at java util concurrent ThreadPoolExecutor Worker run(ThreadPoolExecutor java:587)
E AndroidRuntime(10856):        at java lang Thread run(Thread java:818)
E AndroidRuntime(10856): Caused by: java lang IllegalArgumentException: Expected kind was not found  Expected  t5   got  Listing 
E AndroidRuntime(10856):        at net dean jraw models meta ModelManager validate(ModelManager java:107)
E AndroidRuntime(10856):        at net dean jraw models meta ModelManager parse(ModelManager java:130)
E AndroidRuntime(10856):        at net dean jraw models meta ModelManager create(ModelManager java:23)
E AndroidRuntime(10856):        at net dean jraw http RestResponse as(RestResponse java:96)
E AndroidRuntime(10856):        at net dean jraw RedditClient getSubreddit(RedditClient java:362)
E AndroidRuntime(10856):        at me ccrama redditslide Activities SubredditView AsyncGetSubreddit doInBackground(SubredditView java:596)
E AndroidRuntime(10856):        at me ccrama redditslide Activities SubredditView AsyncGetSubreddit doInBackground(SubredditView java:587)
E AndroidRuntime(10856):        at android os AsyncTask 2 call(AsyncTask java:292)
E AndroidRuntime(10856):        at java util concurrent FutureTask run(FutureTask java:237)
E AndroidRuntime(10856):            4 more
</t>
  </si>
  <si>
    <t>chteuchteu-Munin-for-Android-28</t>
  </si>
  <si>
    <t>ViewDragHelper crashes</t>
  </si>
  <si>
    <t xml:space="preserve"> MrMitch reported several crashes related to  ViewDragHelper  in  Activity GraphView :
   android support v4 widget ViewDragHelper saveLastMotion 
   android support v4 widget ViewDragHelper clearMotionHistory 
   android support v4 widget ViewDragHelper shouldInterceptTouchEvent 
They are actually related to  chrisbanes PhotoView (https:  github com chrisbanes PhotoView) library and has been documented in  Issues With ViewGroups (https:  github com chrisbanes PhotoView issues with viewgroups):
  There are some ViewGroups (ones that utilize onInterceptTouchEvent) that throw exceptions when a PhotoView is placed within them  most notably ViewPager and DrawerLayout  This is a framework issue that has not been resolved 
Some exceptions are already caught by the HackyViewPager class  which covers the first component  It seems though that the DrawerLayout is now faulty for the remaining crashes 
Unfortunately  DrawerLayouts are automatically inflated by  mikepenz MaterialDrawer (https:  github com mikepenz MaterialDrawer) library so we cannot replace those 
 Project s owner said though that this could be possible (https:  github com mikepenz MaterialDrawer issues 651 issuecomment 140177249):
  Theoretically it s possible to pass your own DrawerLayout implementation to the DrawerBuilder and use this one  Note the provided layout must follow the same structure as the MaterialDrawer intern one 
Still waiting for an answer  but this seems to be the only way to go  We d create a HackyDrawerLayout (implements DrawerLayout) that would intercept the exceptions  Let s wait   see
</t>
  </si>
  <si>
    <t>jlmd-AnimatedCircleLoadingView-7</t>
  </si>
  <si>
    <t>removeView() error during second run!</t>
  </si>
  <si>
    <t xml:space="preserve">I have a button and these two methods inside its button click:
        startLoading() 
        startPercentMockThread() 
this runs the circleLoadingView for the first time but I have this error during second run:
 The specified child already has a parent  You must call removeView() on the child s parent first  
can you help me on how to handle this  this crashes my app 
</t>
  </si>
  <si>
    <t>syncthing-syncthing-android-467</t>
  </si>
  <si>
    <t>Crash when adding new folder</t>
  </si>
  <si>
    <t xml:space="preserve">Application crashes on new folder creation 
Here is logcat:
10 19 22:42:13 613 4759 7812 com nutomic syncthingandroid debug E AndroidRuntime: FATAL EXCEPTION: AsyncTask  2
10 19 22:42:13 613 4759 7812 com nutomic syncthingandroid debug E AndroidRuntime: Process: com nutomic syncthingandroid debug  PID: 4759
10 19 22:42:13 613 4759 7812 com nutomic syncthingandroid debug E AndroidRuntime: java lang RuntimeException: An error occured while executing doInBackground()
10 19 22:42:13 613 4759 7812 com nutomic syncthingandroid debug E AndroidRuntime:     at android os AsyncTask 3 done(AsyncTask java:300)
10 19 22:42:13 613 4759 7812 com nutomic syncthingandroid debug E AndroidRuntime:     at java util concurrent FutureTask finishCompletion(FutureTask java:355)
10 19 22:42:13 613 4759 7812 com nutomic syncthingandroid debug E AndroidRuntime:     at java util concurrent FutureTask setException(FutureTask java:222)
10 19 22:42:13 613 4759 7812 com nutomic syncthingandroid debug E AndroidRuntime:     at java util concurrent FutureTask run(FutureTask java:242)
10 19 22:42:13 613 4759 7812 com nutomic syncthingandroid debug E AndroidRuntime:     at android os AsyncTask SerialExecutor 1 run(AsyncTask java:231)
10 19 22:42:13 613 4759 7812 com nutomic syncthingandroid debug E AndroidRuntime:     at java util concurrent ThreadPoolExecutor runWorker(ThreadPoolExecutor java:1112)
10 19 22:42:13 613 4759 7812 com nutomic syncthingandroid debug E AndroidRuntime:     at java util concurrent ThreadPoolExecutor Worker run(ThreadPoolExecutor java:587)
10 19 22:42:13 613 4759 7812 com nutomic syncthingandroid debug E AndroidRuntime:     at java lang Thread run(Thread java:841)
10 19 22:42:13 613 4759 7812 com nutomic syncthingandroid debug E AndroidRuntime:  Caused by: java lang ArrayIndexOutOfBoundsException: length 3  index 3
10 19 22:42:13 613 4759 7812 com nutomic syncthingandroid debug E AndroidRuntime:     at com nutomic syncthingandroid syncthing PostConfigTask doInBackground(PostConfigTask java:46)
10 19 22:42:13 613 4759 7812 com nutomic syncthingandroid debug E AndroidRuntime:     at com nutomic syncthingandroid syncthing PostConfigTask doInBackground(PostConfigTask java:19)
10 19 22:42:13 613 4759 7812 com nutomic syncthingandroid debug E AndroidRuntime:     at android os AsyncTask 2 call(AsyncTask java:288)
10 19 22:42:13 613 4759 7812 com nutomic syncthingandroid debug E AndroidRuntime:     at java util concurrent FutureTask run(FutureTask java:237)
10 19 22:42:13 613 4759 7812 com nutomic syncthingandroid debug E AndroidRuntime:     at android os AsyncTask SerialExecutor 1 run(AsyncTask java:231) 
10 19 22:42:13 613 4759 7812 com nutomic syncthingandroid debug E AndroidRuntime:     at java util concurrent ThreadPoolExecutor runWorker(ThreadPoolExecutor java:1112) 
10 19 22:42:13 613 4759 7812 com nutomic syncthingandroid debug E AndroidRuntime:     at java util concurrent ThreadPoolExecutor Worker run(ThreadPoolExecutor java:587) 
10 19 22:42:13 613 4759 7812 com nutomic syncthingandroid debug E AndroidRuntime:     at java lang Thread run(Thread java:841)
</t>
  </si>
  <si>
    <t>michael-rapp-AndroidMaterialPreferences-2</t>
  </si>
  <si>
    <t>Crash when restoring SeekBarPreference's saved state</t>
  </si>
  <si>
    <t xml:space="preserve">When using a  SeekBarPreference  within a Fragment  the app may crash when restoring the preference s state  The issue seems to occur after the device s display remained turned of for quite some time with the preference dialog opened  When turning the device on again  the Fragment s state  including the state of the  SeekBarPreference   gets restored  resulting in a crash  This bug seems not to happen after orientation changes  See attached stacktrace for further information 
</t>
  </si>
  <si>
    <t>michael-rapp-AndroidMaterialPreferences-1</t>
  </si>
  <si>
    <t>Changing the default number of a NumberPickerPreference may cause a crash</t>
  </si>
  <si>
    <t xml:space="preserve">When the default number of a  NumberPickerPreference  is changed by using the setter method or a XML attribute  this may cause the app to crash  The reason is  that the minimum and maximum number are not initialized yet and therefore are 0  Therefore the precondition  that the preference s number must be between both values  may fail 
</t>
  </si>
  <si>
    <t>zhanghai-MaterialProgressBar-8</t>
  </si>
  <si>
    <t>Crash on API 17 / Android 4.2</t>
  </si>
  <si>
    <t xml:space="preserve">When the Material Progress Bar is instantiated on API 17  this crash pops up (tested on API 17 emulator and older Samsung device):
java lang RuntimeException: Unable to start activity ComponentInfo my package my package ui login LoginActivity : java lang NumberFormatException: Invalid int:   0dip 
    at android app ActivityThread performLaunchActivity(ActivityThread java:2180)
    at android app ActivityThread handleLaunchActivity(ActivityThread java:2230)
    at android app ActivityThread access 600(ActivityThread java:141)
    at android app ActivityThread H handleMessage(ActivityThread java:1234)
    at android os Handler dispatchMessage(Handler java:99)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Caused by: java lang NumberFormatException: Invalid int:   0dip 
    at java lang Integer invalidInt(Integer java:138)
    at java lang Integer parse(Integer java:375)
    at java lang Integer parseInt(Integer java:366)
    at com android internal util XmlUtils convertValueToInt(XmlUtils java:123)
    at android content res TypedArray getInt(TypedArray java:254)
    at me zhanghai android materialprogressbar MaterialProgressBar init(MaterialProgressBar java:80)
    at me zhanghai android materialprogressbar MaterialProgressBar  init (MaterialProgressBar java:39)
    at my package LoginActivity onCreate(LoginActivity java:54)
    at android app Activity performCreate(Activity java:5104)
    at android app Instrumentation callActivityOnCreate(Instrumentation java:1080)
    at android app ActivityThread performLaunchActivity(ActivityThread java:2144)
        11 more
I debugged myself into the code but could not find the root source where this comes from  The value it apparently tries to parse is  0 0dip   which is of course totally invalid for  android:tintMode   Any clues here 
</t>
  </si>
  <si>
    <t>Bathlamos-RTDC-110</t>
  </si>
  <si>
    <t>Communication Hub Crashes On Load</t>
  </si>
  <si>
    <t xml:space="preserve">App crashes when a user loads the Communication Hub 
</t>
  </si>
  <si>
    <t>dimagi-commcare-android-713</t>
  </si>
  <si>
    <t>Show user XPathTypeMismatchExceptions</t>
  </si>
  <si>
    <t xml:space="preserve">Round II of https:  github com dimagi commcare odk pull 687
Wrap and show XPathTypeMismatchExceptions to the user for the following crashes:
  https:  commcare acralyzer cloudant com acralyzer  design acralyzer index html  reports browser commcare odk bug 3577a187d82959385a56efa8ad896f73 and https:  commcare acralyzer cloudant com acralyzer  design acralyzer index html  reports browser commcare odk bug 0bd89ca6c1ee59c8bd156b77f167a947
  https:  commcare acralyzer cloudant com acralyzer  design acralyzer index html  reports browser commcare odk bug 4b1244c91dca92cf4f30f7932eebb1e4
  https:  commcare acralyzer cloudant com acralyzer  design acralyzer index html  reports browser commcare odk bug 1df2a34b161bab95b0ec777fbe07c587 and https:  commcare acralyzer cloudant com acralyzer  design acralyzer index html  reports browser commcare odk bug e2b1cc64718f1571b813ff25ad4507df
</t>
  </si>
  <si>
    <t>andybalaam-rabbit-escape-116</t>
  </si>
  <si>
    <t>Bug: OutOfMemoryError on Android</t>
  </si>
  <si>
    <t xml:space="preserve">When playing K2 (v0 6 1) on Android I consistently get a crash with the following stacktrace:
E art     (17831): Throwing OutOfMemoryError  Failed to allocate a 157476 byte allocation with 138064 free bytes and 134KB until OOM 
E AndroidRuntime(17831): FATAL EXCEPTION: GameLaunch
E AndroidRuntime(17831): Process: net artificialworlds rabbitescape  PID: 17831
E AndroidRuntime(17831): java lang OutOfMemoryError: Failed to allocate a 157476 byte allocation with 138064 free bytes and 134KB until OOM
E AndroidRuntime(17831):        at dalvik system VMRuntime newNonMovableArray(Native Method)
E AndroidRuntime(17831):        at android graphics Bitmap nativeCreate(Native Method)
E AndroidRuntime(17831):        at android graphics Bitmap createBitmap(Bitmap java:939)
E AndroidRuntime(17831):        at android graphics Bitmap createBitmap(Bitmap java:912)
E AndroidRuntime(17831):        at android graphics Bitmap createBitmap(Bitmap java:843)
E AndroidRuntime(17831):        at android graphics Bitmap createScaledBitmap(Bitmap java:719)
E AndroidRuntime(17831):        at rabbitescape ui android AndroidBitmapScaler scale(AndroidBitmapScaler java:21)
E AndroidRuntime(17831):        at rabbitescape ui android AndroidBitmapScaler scale(AndroidBitmapScaler java:9)
E AndroidRuntime(17831):        at rabbitescape render ScaledBitmap scaleTo(ScaledBitmap java:69)
E AndroidRuntime(17831):        at rabbitescape render ScaledBitmap bitmap(ScaledBitmap java:36)
E AndroidRuntime(17831):        at rabbitescape render Renderer drawSprite(Renderer java:35)
E AndroidRuntime(17831):        at rabbitescape render Renderer render(Renderer java:28)
E AndroidRuntime(17831):        at rabbitescape ui android AndroidGraphics drawToCanvas(AndroidGraphics java:227)
E AndroidRuntime(17831):        at rabbitescape ui android AndroidGraphics actuallyDrawGraphics(AndroidGraphics java:168)
E AndroidRuntime(17831):        at rabbitescape ui android AndroidGraphics draw(AndroidGraphics java:124)
E AndroidRuntime(17831):        at rabbitescape render gameloop GameLoop step(GameLoop java:48)
E AndroidRuntime(17831):        at rabbitescape render gameloop GameLoop run(GameLoop java:30)
E AndroidRuntime(17831):        at rabbitescape ui android AndroidGameLaunch run(AndroidGameLaunch java:73)
E AndroidRuntime(17831):        at java lang Thread run(Thread java:818)
W ActivityManager( 9958):   Force finishing activity net artificialworlds rabbitescape rabbitescape ui android AndroidGameActivity
</t>
  </si>
  <si>
    <t>dimagi-commcare-android-728</t>
  </si>
  <si>
    <t>Save form load error and reshow dialog on orientation change</t>
  </si>
  <si>
    <t xml:space="preserve">Prevent app from crashing when form load error dialog is shown and the app is rotated 
Still need to figure out how to not make the app crash after pressing the OK button on that dialog after rotation   
http:  manage dimagi com default asp 184630
</t>
  </si>
  <si>
    <t>sromku-android-storage-11</t>
  </si>
  <si>
    <t>Encryption key changes after every new app start</t>
  </si>
  <si>
    <t xml:space="preserve">Hi 
I just tried your library and found the interface clean and intuitive  However I also wanted to encrypt my data and thus providing an ivx and secret key  I created and loaded data and closed the app  After reopening the app crashed due to BadPaddingException when decrypting the files  I digged a little into your application and found that the secret key keeps changing whenever I restart the app  I think this is due to the salt you add to the secret key  This seems to be broken  Maybe you should have a look into that 
Best regards
dasheck
</t>
  </si>
  <si>
    <t>dimagi-commcare-android-721</t>
  </si>
  <si>
    <t>prevent null pointer exception if getCurrentWidget() returns null</t>
  </si>
  <si>
    <t xml:space="preserve">This is a short term patch for this bug on ACRA: https:  commcare acralyzer cloudant com acralyzer  design acralyzer index html  reports browser commcare odk bug a75355af7f8fba060f693b6f8eb90128 
It looks like getCurrentWidget() is sometimes returning null  which isn t good  but is gonna be really hard to track down the cause of  For now  this will at least prevent the app from crashing when it does  In theory this means it s possible that we will skip performing scaling of an image capture when we should be  but since it s a very minimally used feature right now  the chances of that are unlikely  More concerned about what s wrong with the implementation of getCurrentWidget()  since it definitely shouldn t be returning null in the place the stack trace is indicating    if anyone has intuitions  let me know 
</t>
  </si>
  <si>
    <t>ccrama-Slide-229</t>
  </si>
  <si>
    <t>Crashes on Comment without Data</t>
  </si>
  <si>
    <t xml:space="preserve">The app crashes after submitting a comment when data wifi was disconnected while in app 
</t>
  </si>
  <si>
    <t>OneBusAway-onebusaway-android-341</t>
  </si>
  <si>
    <t>Crash on Android 2.3.4 when changing to sorting by ETA</t>
  </si>
  <si>
    <t xml:space="preserve">For  develop  branch  on an HTC EVO Shift w  Android 2 3 4 
When changing to sorting by ETA in the arrivals list  it crashes and I see this in Logcat:
10 23 17:28:19 074 3657 3657 com joulespersecond seattlebusbot E AndroidRuntime: FATAL EXCEPTION: main
10 23 17:28:19 074 3657 3657 com joulespersecond seattlebusbot E AndroidRuntime: android view InflateException: Binary XML file line  21: Error inflating class  unknown 
10 23 17:28:19 074 3657 3657 com joulespersecond seattlebusbot E AndroidRuntime:     at android view LayoutInflater createView(LayoutInflater java:518)
10 23 17:28:19 074 3657 3657 com joulespersecond seattlebusbot E AndroidRuntime:     at android view LayoutInflater createViewFromTag(LayoutInflater java:570)
10 23 17:28:19 074 3657 3657 com joulespersecond seattlebusbot E AndroidRuntime:     at android view LayoutInflater rInflate(LayoutInflater java:623)
10 23 17:28:19 074 3657 3657 com joulespersecond seattlebusbot E AndroidRuntime:     at android view LayoutInflater inflate(LayoutInflater java:408)
10 23 17:28:19 074 3657 3657 com joulespersecond seattlebusbot E AndroidRuntime:     at android view LayoutInflater inflate(LayoutInflater java:320)
10 23 17:28:19 074 3657 3657 com joulespersecond seattlebusbot E AndroidRuntime:     at org onebusaway android util ArrayAdapter getView(ArrayAdapter java:67)
10 23 17:28:19 074 3657 3657 com joulespersecond seattlebusbot E AndroidRuntime:     at android widget HeaderViewListAdapter getView(HeaderViewListAdapter java:220)
10 23 17:28:19 074 3657 3657 com joulespersecond seattlebusbot E AndroidRuntime:     at android widget AbsListView obtainView(AbsListView java:1430)
10 23 17:28:19 074 3657 3657 com joulespersecond seattlebusbot E AndroidRuntime:     at android widget ListView makeAndAddView(ListView java:1793)
10 23 17:28:19 074 3657 3657 com joulespersecond seattlebusbot E AndroidRuntime:     at android widget ListView fillDown(ListView java:670)
10 23 17:28:19 074 3657 3657 com joulespersecond seattlebusbot E AndroidRuntime:     at android widget ListView fillFromTop(ListView java:727)
10 23 17:28:19 074 3657 3657 com joulespersecond seattlebusbot E AndroidRuntime:     at android widget ListView layoutChildren(ListView java:1632)
10 23 17:28:19 074 3657 3657 com joulespersecond seattlebusbot E AndroidRuntime:     at android widget AbsListView onLayout(AbsListView java:1260)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widget LinearLayout setChildFrame(LinearLayout java:1254)
10 23 17:28:19 074 3657 3657 com joulespersecond seattlebusbot E AndroidRuntime:     at android widget LinearLayout layoutVertical(LinearLayout java:1130)
10 23 17:28:19 074 3657 3657 com joulespersecond seattlebusbot E AndroidRuntime:     at android widget LinearLayout onLayout(LinearLayout java:1047)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support v7 internal widget ActionBarOverlayLayout onLayout(ActionBarOverlayLayout java:493)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widget LinearLayout setChildFrame(LinearLayout java:1254)
10 23 17:28:19 074 3657 3657 com joulespersecond seattlebusbot E AndroidRuntime:     at android widget LinearLayout layoutVertical(LinearLayout java:1130)
10 23 17:28:19 074 3657 3657 com joulespersecond seattlebusbot E AndroidRuntime:     at android widget LinearLayout onLayout(LinearLayout java:1047)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view ViewRoot performTraversals(ViewRoot java:1203)
10 23 17:28:19 074 3657 3657 com joulespersecond seattlebusbot E AndroidRuntime:     at android view ViewRoot handleMessage(ViewRoot java:1957)
10 23 17:28:19 074 3657 3657 com joulespersecond seattlebusbot E AndroidRuntime:     at android os Handler dispatchMessage(Handler java:99)
10 23 17:28:19 074 3657 3657 com joulespersecond seattlebusbot E AndroidRuntime:     at android os Looper loop(Looper java:150)
10 23 17:28:19 074 3657 3657 com joulespersecond seattlebusbot E AndroidRuntime:     at android app ActivityThread main(ActivityThread java:4306)
10 23 17:28:19 074 3657 3657 com joulespersecond seattlebusbot E AndroidRuntime:     at java lang reflect Method invokeNative(Native Method)
10 23 17:28:19 074 3657 3657 com joulespersecond seattlebusbot E AndroidRuntime:     at java lang reflect Method invoke(Method java:507)
10 23 17:28:19 074 3657 3657 com joulespersecond seattlebusbot E AndroidRuntime:     at com android internal os ZygoteInit MethodAndArgsCaller run(ZygoteInit java:839)
10 23 17:28:19 074 3657 3657 com joulespersecond seattlebusbot E AndroidRuntime:     at com android internal os ZygoteInit main(ZygoteInit java:597)
10 23 17:28:19 074 3657 3657 com joulespersecond seattlebusbot E AndroidRuntime:     at dalvik system NativeStart main(Native Method)
10 23 17:28:19 074 3657 3657 com joulespersecond seattlebusbot E AndroidRuntime:  Caused by: java lang reflect InvocationTargetException
10 23 17:28:19 074 3657 3657 com joulespersecond seattlebusbot E AndroidRuntime:     at java lang reflect Constructor constructNative(Native Method)
10 23 17:28:19 074 3657 3657 com joulespersecond seattlebusbot E AndroidRuntime:     at java lang reflect Constructor newInstance(Constructor java:415)
10 23 17:28:19 074 3657 3657 com joulespersecond seattlebusbot E AndroidRuntime:     at android view LayoutInflater createView(LayoutInflater java:505)
10 23 17:28:19 074 3657 3657 com joulespersecond seattlebusbot E AndroidRuntime:     at android view LayoutInflater createViewFromTag(LayoutInflater java:570) 
10 23 17:28:19 074 3657 3657 com joulespersecond seattlebusbot E AndroidRuntime:     at android view LayoutInflater rInflate(LayoutInflater java:623) 
10 23 17:28:19 074 3657 3657 com joulespersecond seattlebusbot E AndroidRuntime:     at android view LayoutInflater inflate(LayoutInflater java:408) 
10 23 17:28:19 074 3657 3657 com joulespersecond seattlebusbot E AndroidRuntime:     at android view LayoutInflater inflate(LayoutInflater java:320) 
10 23 17:28:19 074 3657 3657 com joulespersecond seattlebusbot E AndroidRuntime:     at org onebusaway android util ArrayAdapter getView(ArrayAdapter java:67) 
10 23 17:28:19 074 3657 3657 com joulespersecond seattlebusbot E AndroidRuntime:     at android widget HeaderViewListAdapter getView(HeaderViewListAdapter java:220) 
10 23 17:28:19 074 3657 3657 com joulespersecond seattlebusbot E AndroidRuntime:     at android widget AbsListView obtainView(AbsListView java:1430) 
10 23 17:28:19 074 3657 3657 com joulespersecond seattlebusbot E AndroidRuntime:     at android widget ListView makeAndAddView(ListView java:1793) 
10 23 17:28:19 074 3657 3657 com joulespersecond seattlebusbot E AndroidRuntime:     at android widget ListView fillDown(ListView java:670) 
10 23 17:28:19 074 3657 3657 com joulespersecond seattlebusbot E AndroidRuntime:     at android widget ListView fillFromTop(ListView java:727) 
10 23 17:28:19 074 3657 3657 com joulespersecond seattlebusbot E AndroidRuntime:     at android widget ListView layoutChildren(ListView java:1632) 
10 23 17:28:19 074 3657 3657 com joulespersecond seattlebusbot E AndroidRuntime:     at android widget AbsListView onLayout(AbsListView java:1260)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widget LinearLayout setChildFrame(LinearLayout java:1254) 
10 23 17:28:19 074 3657 3657 com joulespersecond seattlebusbot E AndroidRuntime:     at android widget LinearLayout layoutVertical(LinearLayout java:1130) 
10 23 17:28:19 074 3657 3657 com joulespersecond seattlebusbot E AndroidRuntime:     at android widget LinearLayout onLayout(LinearLayout java:1047)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support v7 internal widget ActionBarOverlayLayout onLayout(ActionBarOverlayLayout java:493)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widget LinearLayout setChildFrame(LinearLayout java:1254) 
10 23 17:28:19 074 3657 3657 com joulespersecond seattlebusbot E AndroidRuntime:     at android widget LinearLayout layoutVertical(LinearLayout java:1130) 
10 23 17:28:19 074 3657 3657 com joulespersecond seattlebusbot E AndroidRuntime:     at android widget LinearLayout onLayout(LinearLayout java:1047)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view ViewRoot performTraversals(ViewRoot java:1203) 
10 23 17:28:19 074 3657 3657 com joulespersecond seattlebusbot E AndroidRuntime:     at android view ViewRoot handleMessage(ViewRoot java:1957) 
10 23 17:28:19 074 3657 3657 com joulespersecond seattlebusbot E AndroidRuntime:     at android os Handler dispatchMessage(Handler java:99) 
10 23 17:28:19 074 3657 3657 com joulespersecond seattlebusbot E AndroidRuntime:     at android os Looper loop(Looper java:150) 
10 23 17:28:19 074 3657 3657 com joulespersecond seattlebusbot E AndroidRuntime:     at android app ActivityThread main(ActivityThread java:4306) 
10 23 17:28:19 074 3657 3657 com joulespersecond seattlebusbot E AndroidRuntime:     at java lang reflect Method invokeNative(Native Method) 
10 23 17:28:19 074 3657 3657 com joulespersecond seattlebusbot E AndroidRuntime:     at java lang reflect Method invoke(Method java:507) 
10 23 17:28:19 074 3657 3657 com joulespersecond seattlebusbot E AndroidRuntime:     at com android internal os ZygoteInit MethodAndArgsCaller run(ZygoteInit java:839) 
10 23 17:28:19 074 3657 3657 com joulespersecond seattlebusbot E AndroidRuntime:     at com android internal os ZygoteInit main(ZygoteInit java:597) 
10 23 17:28:19 074 3657 3657 com joulespersecond seattlebusbot E AndroidRuntime:     at dalvik system NativeStart main(Native Method) 
10 23 17:28:19 074 3657 3657 com joulespersecond seattlebusbot E AndroidRuntime:  Caused by: android content res Resources NotFoundException: Resource is not a Drawable (color or path): TypedValue t 0x2 d 0x101030e a  1 
10 23 17:28:19 074 3657 3657 com joulespersecond seattlebusbot E AndroidRuntime:     at android content res Resources loadDrawable(Resources java:1699)
10 23 17:28:19 074 3657 3657 com joulespersecond seattlebusbot E AndroidRuntime:     at android content res TypedArray getDrawable(TypedArray java:601)
10 23 17:28:19 074 3657 3657 com joulespersecond seattlebusbot E AndroidRuntime:     at android widget FrameLayout  init (FrameLayout java:96)
10 23 17:28:19 074 3657 3657 com joulespersecond seattlebusbot E AndroidRuntime:     at android widget FrameLayout  init (FrameLayout java:84)
10 23 17:28:19 074 3657 3657 com joulespersecond seattlebusbot E AndroidRuntime:     at android support v7 widget CardView  init (CardView java:100)
10 23 17:28:19 074 3657 3657 com joulespersecond seattlebusbot E AndroidRuntime:     at java lang reflect Constructor constructNative(Native Method) 
10 23 17:28:19 074 3657 3657 com joulespersecond seattlebusbot E AndroidRuntime:     at java lang reflect Constructor newInstance(Constructor java:415) 
10 23 17:28:19 074 3657 3657 com joulespersecond seattlebusbot E AndroidRuntime:     at android view LayoutInflater createView(LayoutInflater java:505) 
10 23 17:28:19 074 3657 3657 com joulespersecond seattlebusbot E AndroidRuntime:     at android view LayoutInflater createViewFromTag(LayoutInflater java:570) 
10 23 17:28:19 074 3657 3657 com joulespersecond seattlebusbot E AndroidRuntime:     at android view LayoutInflater rInflate(LayoutInflater java:623) 
10 23 17:28:19 074 3657 3657 com joulespersecond seattlebusbot E AndroidRuntime:     at android view LayoutInflater inflate(LayoutInflater java:408) 
10 23 17:28:19 074 3657 3657 com joulespersecond seattlebusbot E AndroidRuntime:     at android view LayoutInflater inflate(LayoutInflater java:320) 
10 23 17:28:19 074 3657 3657 com joulespersecond seattlebusbot E AndroidRuntime:     at org onebusaway android util ArrayAdapter getView(ArrayAdapter java:67) 
10 23 17:28:19 074 3657 3657 com joulespersecond seattlebusbot E AndroidRuntime:     at android widget HeaderViewListAdapter getView(HeaderViewListAdapter java:220) 
10 23 17:28:19 074 3657 3657 com joulespersecond seattlebusbot E AndroidRuntime:     at android widget AbsListView obtainView(AbsListView java:1430) 
10 23 17:28:19 074 3657 3657 com joulespersecond seattlebusbot E AndroidRuntime:     at android widget ListView makeAndAddView(ListView java:1793) 
10 23 17:28:19 074 3657 3657 com joulespersecond seattlebusbot E AndroidRuntime:     at android widget ListView fillDown(ListView java:670) 
10 23 17:28:19 074 3657 3657 com joulespersecond seattlebusbot E AndroidRuntime:     at android widget ListView fillFromTop(ListView java:727) 
10 23 17:28:19 074 3657 3657 com joulespersecond seattlebusbot E AndroidRuntime:     at android widget ListView layoutChildren(ListView java:1632) 
10 23 17:28:19 074 3657 3657 com joulespersecond seattlebusbot E AndroidRuntime:     at android widget AbsListView onLayout(AbsListView java:1260)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widget LinearLayout setChildFrame(LinearLayout java:1254) 
10 23 17:28:19 074 3657 3657 com joulespersecond seattlebusbot E AndroidRuntime:     at android widget LinearLayout layoutVertical(LinearLayout java:1130) 
10 23 17:28:19 074 3657 3657 com joulespersecond seattlebusbot E AndroidRuntime:     at android widget LinearLayout onLayout(LinearLayout java:1047)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support v7 internal widget ActionBarOverlayLayout onLayout(ActionBarOverlayLayout java:493)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widget LinearLayout setChildFrame(LinearLayout java:1254) 
10 23 17:28:19 074 3657 3657 com joulespersecond seattlebusbot E AndroidRuntime:     at android widget LinearLayout layoutVertical(LinearLayout java:1130) 
10 23 17:28:19 074 3657 3657 com joulespersecond seattlebusbot E AndroidRuntime:     at android widget LinearLayout onLayout(LinearLayout java:1047) 
10 23 17:28:19 074 3657 3657 com joulespersecond seattlebusbot E AndroidRuntime:     at android view View layout(View java:7277) 
10 23 17:28:19 074 3657 3657 com joulespersecond seattlebusbot E AndroidRuntime:     at android widget FrameLayout onLayout(FrameLayout java:338) 
10 23 17:28:19 074 3657 3657 com joulespersecond seattlebusbot E AndroidRuntime:     at android view View layout(View java:7277) 
10 23 17:28:19 074 3657 3657 com joulespersecond seattlebusbot E AndroidRuntime:     at android view ViewRoot performTraversals(ViewRoot java:1203) 
10 23 17:28:19 074 3657 3657 com joulespersecond seattlebusbot E AndroidRuntime:     at android view ViewRoot handleMessage(ViewRoot java:1957) 
10 23 17:28:19 074 3657 3657 com joulespersecond seattlebusbot E AndroidRuntime:     at android os Handler dispatchMessage(Handler java:99) 
10 23 17:28:19 074 3657 3657 com joulespersecond seattlebusbot E AndroidRuntime:     at android os Looper loop(Looper java:150) 
10 23 17:28:19 074 3657 3657 com joulespersecond seattlebusbot E AndroidRuntime:     at android app ActivityThread main(ActivityThread java:4306) 
10 23 17:28:19 074 3657 3657 com joulespersecond seattlebusbot E AndroidRuntime:     at java lang reflect Method invokeNative(Native Method) 
10 23 17:28:19 074 3657 3657 com joulespersecond seattlebusbot E AndroidRuntime:     at java lang reflect Method invoke(Method java:507) 
10 23 17:28:19 074 3657 3657 com joulespersecond seattlebusbot E AndroidRuntime:     at com android internal os ZygoteInit MethodAndArgsCaller run(ZygoteInit java:839) 
10 23 17:28:19 074 3657 3657 com joulespersecond seattlebusbot E AndroidRuntime:     at com android internal os ZygoteInit main(ZygoteInit java:597) 
10 23 17:28:19 074 3657 3657 com joulespersecond seattlebusbot E AndroidRuntime:     at dalvik system NativeStart main(Native Method) 
</t>
  </si>
  <si>
    <t>dimagi-commcare-android-733</t>
  </si>
  <si>
    <t xml:space="preserve">Prevent app from crashing when form load error dialog is shown and the app is rotated 
Fixed a bug where the  CommCareHomeActivity platform  field wasn t being setup correctly between orientation changes  The solution was to not have a  platform  class field  but rather lookup the platform every time we need it  Not sure why  platform  was a class field in the first place  so worth double checking I didn t break anything make anything slower   ctsims  thoughts 
http:  manage dimagi com default asp 184630
</t>
  </si>
  <si>
    <t>OpenTreeMap-otm-android-226</t>
  </si>
  <si>
    <t>OpenTreeMap Android crashes when unit is in Power Save mode</t>
  </si>
  <si>
    <t xml:space="preserve">I have not reproduced this bug  but here is the account from the user:
I believe the android app crashes when the unit is in Power Saver mode 
  I opened the app and tried to login   It crashed 
  I did it again   It crashed again 
  I plugged it in to charge it as I noticed the power was low   Now it works 
Also   each time I opened the app it was asking me to login  Once it is working  it opens up already logged in to my account  I suspect that some system call is failing when the Android device is in Power Saver or Battery Safe mode 
</t>
  </si>
  <si>
    <t>scottyab-secure-preferences-35</t>
  </si>
  <si>
    <t>NoSuchAlgorithmException: SecretKeyFactory PBKDF2WithHmacSHA1 implementation not found</t>
  </si>
  <si>
    <t xml:space="preserve">I m getting this internal crash in all users with Samsung SCH I705 (Samsung Tab2 7 ) with Adnroid 4 1 2  in the line what I m doing this: 
sPrefs   new SecurePreferences(context) 
I m importing the library in gradle file:
compile  com scottyab:secure preferences lib:0 1 3 
Fatal Exception: java lang RuntimeException: Unable to create application com fieldaware app FAApplication: java lang IllegalStateException: java security NoSuchAlgorithmException: SecretKeyFactory PBKDF2WithHmacSHA1 implementation not found
       at android app ActivityThread handleBindApplication(ActivityThread java)
       at android app ActivityThread access 1400(ActivityThread java)
       at android app ActivityThread H handleMessage(ActivityThread java)
       at android os Handler dispatchMessage(Handler java)
       at android os Looper loop(Looper java)
       at android app ActivityThread main(ActivityThread java)
       at java lang reflect Method invokeNative(Method java)
       at java lang reflect Method invoke(Method java)
       at com android internal os ZygoteInit MethodAndArgsCaller run(ZygoteInit java)
       at com android internal os ZygoteInit main(ZygoteInit java)
       at dalvik system NativeStart main(NativeStart java)
Caused by java lang IllegalStateException: java security NoSuchAlgorithmException: SecretKeyFactory PBKDF2WithHmacSHA1 implementation not found
       at com securepreferences SecurePreferences (Unknown Source)
       at com securepreferences SecurePreferences (Unknown Source)
       at com securepreferences SecurePreferences (Unknown Source)
       at com fieldaware app utils Settings (Unknown Source)
       at com fieldaware app FAApplication onCreate(SourceFile)
       at android app Instrumentation callApplicationOnCreate(Instrumentation java)
       at android app ActivityThread handleBindApplication(ActivityThread java)
       at android app ActivityThread access 1400(ActivityThread java)
       at android app ActivityThread H handleMessage(ActivityThread java)
       at android os Handler dispatchMessage(Handler java)
       at android os Looper loop(Looper java)
       at android app ActivityThread main(ActivityThread java)
       at java lang reflect Method invokeNative(Method java)
       at java lang reflect Method invoke(Method java)
       at com android internal os ZygoteInit MethodAndArgsCaller run(ZygoteInit java)
       at com android internal os ZygoteInit main(ZygoteInit java)
       at dalvik system NativeStart main(NativeStart java)
Caused by java security NoSuchAlgorithmException: SecretKeyFactory PBKDF2WithHmacSHA1 implementation not found
       at org apache harmony security fortress Engine notFound(Engine java)
       at org apache harmony security fortress Engine getInstance(Engine java)
       at javax crypto SecretKeyFactory getInstance(SecretKeyFactory java)
       at com tozny crypto android AesCbcWithIntegrity generateKeyFromPassword(SourceFile)
       at com tozny crypto android AesCbcWithIntegrity generateKeyFromPassword(SourceFile)
       at com securepreferences SecurePreferences generateAesKeyName(SourceFile)
       at com securepreferences SecurePreferences (Unknown Source)
       at com securepreferences SecurePreferences (Unknown Source)
       at com securepreferences SecurePreferences (Unknown Source)
       at com fieldaware app utils Settings (Unknown Source)
       at com fieldaware app FAApplication onCreate(SourceFile)
       at android app Instrumentation callApplicationOnCreate(Instrumentation java)
       at android app ActivityThread handleBindApplication(ActivityThread java)
       at android app ActivityThread access 1400(ActivityThread java)
       at android app ActivityThread H handleMessage(ActivityThread java)
       at android os Handler dispatchMessage(Handler java)
       at android os Looper loop(Looper java)
       at android app ActivityThread main(ActivityThread java)
       at java lang reflect Method invokeNative(Method java)
       at java lang reflect Method invoke(Method java)
       at com android internal os ZygoteInit MethodAndArgsCaller run(ZygoteInit java)
       at com android internal os ZygoteInit main(ZygoteInit java)
       at dalvik system NativeStart main(NativeStart java)
No issues in others devices  Is there some workaround to avoid this issue 
Thanks
</t>
  </si>
  <si>
    <t>rampage128-hombot-control-6</t>
  </si>
  <si>
    <t>App crashes when changing orientation after visiting schedule section</t>
  </si>
  <si>
    <t xml:space="preserve">When the schedule section is visited once and the device orientation changes after that the app crashes (usually only when the schedule section is not selected on orientation change)
</t>
  </si>
  <si>
    <t>ccrama-Slide-270</t>
  </si>
  <si>
    <t>Changing the comment sorting crashes slide</t>
  </si>
  <si>
    <t xml:space="preserve">while browsing sub Reddit  changing the comments order from top to new crashes app 
Debug info:
 OS Version: 3 4 0 g5093fc3(452965 9)
 OS API Level: 21
 Device: htc m8wl
 Model (and Product): HTC6525LVW (HTCOneM8vzw)
 RELEASE: 5 0 1
 BRAND: htc
 DISPLAY: LRX22C release keys
 CPU ABI: armeabi v7a
 CPU ABI2: armeabi
 HARDWARE: qcom
 MANUFACTURER: HTC
Stacktrace: 
java lang IndexOutOfBoundsException: Inconsistency detected  Invalid view holder adapter positionViewHolder 1682c2f4 position 90 id  1  oldPos 1  pLpos:1 scrap  attachedScrap  tmpDetached no parent 
    at android support v7 widget RecyclerView Recycler validateViewHolderForOffsetPosition(RecyclerView java:4247)
    at android support v7 widget RecyclerView Recycler getViewForPosition(RecyclerView java:4378)
    at android support v7 widget RecyclerView Recycler getViewForPosition(RecyclerView java:4359)
    at android support v7 widget LinearLayoutManager LayoutState next(LinearLayoutManager java:1961)
    at android support v7 widget LinearLayoutManager layoutChunk(LinearLayoutManager java:1370)
    at android support v7 widget LinearLayoutManager fill(LinearLayoutManager java:1333)
    at android support v7 widget LinearLayoutManager onLayoutChildren(LinearLayoutManager java:562)
    at android support v7 widget RecyclerView dispatchLayout(RecyclerView java:2864)
    at android support v7 widget RecyclerView onLayout(RecyclerView java:3071)
    at android view View layout(View java:15684)
    at android view ViewGroup layout(ViewGroup java:4981)
    at android support v4 widget SwipeRefreshLayout onLayout(SwipeRefreshLayout java:581)
    at android view View layout(View java:15684)
    at android view ViewGroup layout(ViewGroup java:4981)
    at android widget LinearLayout setChildFrame(LinearLayout java:1703)
    at android widget LinearLayout layoutVertical(LinearLayout java:1557)
    at android widget LinearLayout onLayout(LinearLayout java:1466)
    at android view View layout(View java:15684)
    at android view ViewGroup layout(ViewGroup java:4981)
    at android support v4 view ViewPager onLayout(ViewPager java:1627)
    at android view View layout(View java:15684)
    at android view ViewGroup layout(ViewGroup java:4981)
    at android widget FrameLayout layoutChildren(FrameLayout java:573)
    at android widget FrameLayout onLayout(FrameLayout java:508)
    at android view View layout(View java:15684)
    at android view ViewGroup layout(ViewGroup java:4981)
    at android widget FrameLayout layoutChildren(FrameLayout java:573)
    at android widget FrameLayout onLayout(FrameLayout java:508)
    at android view View layout(View java:15684)
    at android view ViewGroup layout(ViewGroup java:4981)
    at android widget LinearLayout setChildFrame(LinearLayout java:1703)
    at android widget LinearLayout layoutVertical(LinearLayout java:1557)
    at android widget LinearLayout onLayout(LinearLayout java:1466)
    at android view View layout(View java:15684)
    at android view ViewGroup layout(ViewGroup java:4981)
    at android widget FrameLayout layoutChildren(FrameLayout java:573)
    at android widget FrameLayout onLayout(FrameLayout java:508)
    at android view View layout(View java:15684)
    at android view ViewGroup layout(ViewGroup java:4981)
    at android widget LinearLayout setChildFrame(LinearLayout java:1703)
    at android widget LinearLayout layoutVertical(LinearLayout java:1557)
    at android widget LinearLayout onLayout(LinearLayout java:1466)
    at android view View layout(View java:15684)
    at android view ViewGroup layout(ViewGroup java:4981)
    at me imid swipebacklayout lib SwipeBackLayout onLayout(SwipeBackLayout java:386)
    at android view View layout(View java:15684)
    at android view ViewGroup layout(ViewGroup java:4981)
    at android widget FrameLayout layoutChildren(FrameLayout java:573)
    at android widget FrameLayout onLayout(FrameLayout java:508)
    at android view View layout(View java:15684)
    at android view ViewGroup layout(ViewGroup java:4981)
    at android view ViewRootImpl performLayout(ViewRootImpl java:2186)
    at android view ViewRootImpl performTraversals(ViewRootImpl java:1920)
    at android view ViewRootImpl doTraversal(ViewRootImpl java:1106)
    at android view ViewRootImpl TraversalRunnable run(ViewRootImpl java:6018)
    at android view Choreographer CallbackRecord run(Choreographer java:792)
    at android view Choreographer doCallbacks(Choreographer java:596)
    at android view Choreographer doFrame(Choreographer java:557)
    at android view Choreographer FrameDisplayEventReceiver run(Choreographer java:778)
    at android os Handler handleCallback(Handler java:739)
    at android os Handler dispatchMessage(Handler java:95)
    at android os Looper loop(Looper java:155)
    at android app ActivityThread main(ActivityThread java:5696)
    at java lang reflect Method invoke(Native Method)
    at java lang reflect Method invoke(Method java:372)
    at com android internal os ZygoteInit MethodAndArgsCaller run(ZygoteInit java:1028)
    at com android internal os ZygoteInit main(ZygoteInit java:823)
</t>
  </si>
  <si>
    <t>stefan-niedermann-nextcloud-notes-34</t>
  </si>
  <si>
    <t>Notes app crashing on open</t>
  </si>
  <si>
    <t xml:space="preserve">The notes app is now continuously crashing for me on opening and I can not do anything at the moment  This is what I did last and what I think might have caused it:
1  Create a note
2  Add widget for it
3  Change note (including first line  title line)
4  Widget doesn t get updated  clicking on it also leads to old note  But the list is updated
5  Then the app just starts crashing on opening 
 stefan niedermann any idea 
</t>
  </si>
  <si>
    <t>Cloudkibo-Android-74</t>
  </si>
  <si>
    <t>SQLite Database Lock errors crash application</t>
  </si>
  <si>
    <t xml:space="preserve">These errors have started to occur from sync adapter and when sync adapter tries to access the database  application crashes and gives the error of lock database 
This is error is not vital to do current v2 enhancements  I have closed the sync adapter for now to avoid crashing  We would fix it soon 
</t>
  </si>
  <si>
    <t>ccrama-Slide-255</t>
  </si>
  <si>
    <t>2FA not supported by crash reporter</t>
  </si>
  <si>
    <t xml:space="preserve">Trying to log in to the crash reporter on an account that uses 2FA causes an error to be displayed 
</t>
  </si>
  <si>
    <t>ccrama-Slide-246</t>
  </si>
  <si>
    <t>Deleting a subreddit from 'Subreddit Theme Settings' causes a crash</t>
  </si>
  <si>
    <t xml:space="preserve">It prompts if you wish to delete the sub then crashes when you confirm you do  It does however successfully delete the subreddit from the list when going back to check 
E AndroidRuntime(31548): FATAL EXCEPTION: main
E AndroidRuntime(31548): Process: me ccrama redditslide  PID: 31548
E AndroidRuntime(31548): java lang IndexOutOfBoundsException: Invalid index 0  size is 0
E AndroidRuntime(31548):    at java util ArrayList throwIndexOutOfBoundsException(ArrayList java:255)
E AndroidRuntime(31548):    at java util ArrayList get(ArrayList java:308)
E AndroidRuntime(31548):    at me ccrama redditslide Adapters SettingsSubAdapter getView(SettingsSubAdapter java:52)
E AndroidRuntime(31548):    at android widget AbsListView obtainView(AbsListView java:2347)
E AndroidRuntime(31548):    at android widget ListView makeAndAddView(ListView java:1864)
E AndroidRuntime(31548):    at android widget ListView fillSpecific(ListView java:1344)
E AndroidRuntime(31548):    at android widget ListView layoutChildren(ListView java:1651)
E AndroidRuntime(31548):    at android widget AbsListView onLayout(AbsListView java:2151)
E AndroidRuntime(31548):    at android view View layout(View java:15671)
E AndroidRuntime(31548):    at android view ViewGroup layout(ViewGroup java:5038)
E AndroidRuntime(31548):    at android widget LinearLayout setChildFrame(LinearLayout java:1703)
E AndroidRuntime(31548):    at android widget LinearLayout layoutVertical(LinearLayout java:1557)
E AndroidRuntime(31548):    at android widget LinearLayout onLayout(LinearLayout java:1466)
E AndroidRuntime(31548):    at android view View layout(View java:15671)
E AndroidRuntime(31548):    at android view ViewGroup layout(ViewGroup java:5038)
E AndroidRuntime(31548):    at android widget FrameLayout layoutChildren(FrameLayout java:579)
E AndroidRuntime(31548):    at android widget FrameLayout onLayout(FrameLayout java:514)
E AndroidRuntime(31548):    at android view View layout(View java:15671)
E AndroidRuntime(31548):    at android view ViewGroup layout(ViewGroup java:5038)
E AndroidRuntime(31548):    at android widget LinearLayout setChildFrame(LinearLayout java:1703)
E AndroidRuntime(31548):    at android widget LinearLayout layoutVertical(LinearLayout java:1557)
E AndroidRuntime(31548):    at android widget LinearLayout onLayout(LinearLayout java:1466)
E AndroidRuntime(31548):    at android view View layout(View java:15671)
E AndroidRuntime(31548):    at android view ViewGroup layout(ViewGroup java:5038)
E AndroidRuntime(31548):    at android widget FrameLayout layoutChildren(FrameLayout java:579)
E AndroidRuntime(31548):    at android widget FrameLayout onLayout(FrameLayout java:514)
E AndroidRuntime(31548):    at android view View layout(View java:15671)
E AndroidRuntime(31548):    at android view ViewGroup layout(ViewGroup java:5038)
E AndroidRuntime(31548):    at android widget LinearLayout setChildFrame(LinearLayout java:1703)
E AndroidRuntime(31548):    at android widget LinearLayout layoutVertical(LinearLayout java:1557)
E AndroidRuntime(31548):    at android widget LinearLayout onLayout(LinearLayout java:1466)
E AndroidRuntime(31548):    at android view View layout(View java:15671)
E AndroidRuntime(31548):    at android view ViewGroup layout(ViewGroup java:5038)
E AndroidRuntime(31548):    at me imid swipebacklayout lib SwipeBackLayout onLayout(SwipeBackLayout java:386)
E AndroidRuntime(31548):    at android view View layout(View java:15671)
E AndroidRuntime(31548):    at android view ViewGroup layout(ViewGroup java:5038)
E AndroidRuntime(31548):    at android widget FrameLayout layoutChildren(FrameLayout java:579)
E AndroidRuntime(31548):    at android widget FrameLayout onLayout(FrameLayout java:514)
E AndroidRuntime(31548):    at android view View layout(View java:15671)
E AndroidRuntime(31548):    at android view ViewGroup layout(ViewGroup java:5038)
E AndroidRuntime(31548):    at android view ViewRootImpl performLayout(ViewRootImpl java:2086)
E AndroidRuntime(31548):    at android view ViewRootImpl performTraversals(ViewRootImpl java:1843)
E AndroidRuntime(31548):    at android view ViewRootImpl doTraversal(ViewRootImpl java:1061)
E AndroidRuntime(31548):    at android view ViewRootImpl TraversalRunnable run(ViewRootImpl java:5885)
E AndroidRuntime(31548):    at android view Choreographer CallbackRecord run(Choreographer java:767)
E AndroidRuntime(31548):    at android view Choreographer doCallbacks(Choreographer java:580)
E AndroidRuntime(31548):    at android view Choreographer doFrame(Choreographer java:550)
E AndroidRuntime(31548):    at android view Choreographer FrameDisplayEventReceiver run(Choreographer java:753)
E AndroidRuntime(31548):    at android os Handler handleCallback(Handler java:739)
E AndroidRuntime(31548):    at android os Handler dispatchMessage(Handler java:95)
E AndroidRuntime(31548):    at android os Looper loop(Looper java:135)
E AndroidRuntime(31548):    at android app ActivityThread main(ActivityThread java:5254)
E AndroidRuntime(31548):    at java lang reflect Method invoke(Native Method)
E AndroidRuntime(31548):    at java lang reflect Method invoke(Method java:372)
E AndroidRuntime(31548):    at com android internal os ZygoteInit MethodAndArgsCaller run(ZygoteInit java:903)
E AndroidRuntime(31548):    at com android internal os ZygoteInit main(ZygoteInit java:698)
</t>
  </si>
  <si>
    <t>syncthing-syncthing-android-471</t>
  </si>
  <si>
    <t>Syncthing-android crashes instantly</t>
  </si>
  <si>
    <t xml:space="preserve">I installed 0 7 0 beta1 on my S5 and at first it worked just fine  But after a while it started crashing every time  It starts  displays  Loading     for some time and then crashes  By the time it crashes it usually suceeds in sending at least one file (I copy a file to the synched folder and it shows on the PC)  This is past of a   adb logcat  d  v time  result after a crash 
10 26 19:47:47 617 E AndroidRuntime(26414): FATAL EXCEPTION: main
10 26 19:47:47 617 E AndroidRuntime(26414): Process: com nutomic syncthingandroid  PID: 26414
10 26 19:47:47 617 E AndroidRuntime(26414): java lang RuntimeException: Invalid usage report value
10 26 19:47:47 617 E AndroidRuntime(26414):     at com nutomic syncthingandroid syncthing RestApi getUsageReportAccepted(RestApi java:986)
10 26 19:47:47 617 E AndroidRuntime(26414):     at com nutomic syncthingandroid activities MainActivity onApiChange(MainActivity java:75)
10 26 19:47:47 617 E AndroidRuntime(26414):     at com nutomic syncthingandroid syncthing SyncthingService registerOnApiChangeListener(SyncthingService java:443)
10 26 19:47:47 617 E AndroidRuntime(26414):     at com nutomic syncthingandroid activities MainActivity onServiceConnected(MainActivity java:258)
10 26 19:47:47 617 E AndroidRuntime(26414):     at android app LoadedApk ServiceDispatcher doConnected(LoadedApk java:1265)
10 26 19:47:47 617 E AndroidRuntime(26414):     at android app LoadedApk ServiceDispatcher RunConnection run(LoadedApk java:1282)
10 26 19:47:47 617 E AndroidRuntime(26414):     at android os Handler handleCallback(Handler java:739)
10 26 19:47:47 617 E AndroidRuntime(26414):     at android os Handler dispatchMessage(Handler java:95)
10 26 19:47:47 617 E AndroidRuntime(26414):     at android os Looper loop(Looper java:145)
10 26 19:47:47 617 E AndroidRuntime(26414):     at android app ActivityThread main(ActivityThread java:5832)
10 26 19:47:47 617 E AndroidRuntime(26414):     at java lang reflect Method invoke(Native Method)
10 26 19:47:47 617 E AndroidRuntime(26414):     at java lang reflect Method invoke(Method java:372)
10 26 19:47:47 617 E AndroidRuntime(26414):     at com android internal os ZygoteInit MethodAndArgsCaller run(ZygoteInit java:1399)
10 26 19:47:47 617 E AndroidRuntime(26414):     at com android internal os ZygoteInit main(ZygoteInit java:1194)
10 26 19:47:47 627 V ApplicationPolicy(  935): isApplicationStateBlocked userId 0 pkgname com nutomic syncthingandroid
10 26 19:47:47 627 D LockPatternUtilsCache( 1188): getCarrierLockPlusMode()
10 26 19:47:47 627 D LockPatternUtilsCache( 1188): value : false
10 26 19:47:47 627 D LockPatternUtilsCache( 1188): getCarrierLockPlusMode()
10 26 19:47:47 627 D LockPatternUtilsCache( 1188): value : false
10 26 19:47:47 627 W ActivityManager(  935):   Force finishing activity com nutomic syncthingandroid  activities MainActivity
</t>
  </si>
  <si>
    <t>dimagi-commcare-android-744</t>
  </si>
  <si>
    <t>Use default title if refreshing breadcrumb title while updating app</t>
  </si>
  <si>
    <t xml:space="preserve">If you rotate the screen while applying an app update then the breadcrumb bar crashes while trying to localize an installed resource because it isn t available  Wrap the offending line in a try catch that returns a default title when this happens 
Isn t ideal  but is a minimal change and I suspect hunting down a robust solution would take me hours 
</t>
  </si>
  <si>
    <t>dimagi-commcare-android-743</t>
  </si>
  <si>
    <t>Don't try to get session before cc app is installed</t>
  </si>
  <si>
    <t xml:space="preserve">Pressing back on the install screen caused a crash because the onResultActivity code path was trying to load the commcare session before an app was installed 
http:  manage dimagi com default asp 185291
</t>
  </si>
  <si>
    <t>dimagi-commcare-android-739</t>
  </si>
  <si>
    <t>Prevent crash when orientation changes after form load fails</t>
  </si>
  <si>
    <t xml:space="preserve">Prevent app from crashing when form load error dialog is shown and the app is rotated 
http:  manage dimagi com default asp 184630
Better approach than the original proposed PR: https:  github com dimagi commcare odk pull 733
</t>
  </si>
  <si>
    <t>syncthing-syncthing-android-470</t>
  </si>
  <si>
    <t>Beta issues</t>
  </si>
  <si>
    <t xml:space="preserve">Ann servers shows 0 0 though web ui shows 5 8 (with only 6 beind defined )
Logs for android and syncthing are missing (needs root )
Opening web ui  going back and opening settings crashes the app
</t>
  </si>
  <si>
    <t>ccrama-Slide-283</t>
  </si>
  <si>
    <t>Crash on link to reddit search within a comment.</t>
  </si>
  <si>
    <t xml:space="preserve">Clicking on a link to a Reddit search from within a comment causes an app crash  The link causing this for me:
https:  www reddit com r boardgames search q why twilight struggle restrict sr on t year
Debug info:
 OS Version: 3 4 0 perf gdffc258(2237560)
 OS API Level: 22
 Device: mako
 Model (and Product): Nexus 4 (occam)
 RELEASE: 5 1 1
 BRAND: google
 DISPLAY: LMY48T
 CPU ABI: armeabi v7a
 CPU ABI2: armeabi
 HARDWARE: mako
 MANUFACTURER: LGE
Stacktrace: 
java lang ArrayIndexOutOfBoundsException: length 4  index 4
    at me ccrama redditslide OpenRedditLink  init (OpenRedditLink java:76)
    at me ccrama redditslide Views MakeTextviewClickable 2 onClick(MakeTextviewClickable java:151)
    at me ccrama redditslide ActiveTextView 1 onTouchEvent(ActiveTextView java:167)
    at android widget TextView onTouchEvent(TextView java:7985)
    at android view View dispatchTouchEvent(View java:8471)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android view ViewGroup dispatchTransformedTouchEvent(ViewGroup java:2405)
    at android view ViewGroup dispatchTouchEvent(ViewGroup java:2106)
    at com android internal policy impl PhoneWindow DecorView superDispatchTouchEvent(PhoneWindow java:2369)
    at com android internal policy impl PhoneWindow superDispatchTouchEvent(PhoneWindow java:1719)
    at android app Activity dispatchTouchEvent(Activity java:2742)
    at android support v7 internal view WindowCallbackWrapper dispatchTouchEvent(WindowCallbackWrapper java:60)
    at android support v7 internal view WindowCallbackWrapper dispatchTouchEvent(WindowCallbackWrapper java:60)
    at com android internal policy impl PhoneWindow DecorView dispatchTouchEvent(PhoneWindow java:2330)
    at android view View dispatchPointerEvent(View java:8666)
    at android view ViewRootImpl ViewPostImeInputStage processPointerEvent(ViewRootImpl java:4123)
    at android view ViewRootImpl ViewPostImeInputStage onProcess(ViewRootImpl java:3989)
    at android view ViewRootImpl InputStage deliver(ViewRootImpl java:3544)
    at android view ViewRootImpl InputStage onDeliverToNext(ViewRootImpl java:3597)
    at android view ViewRootImpl InputStage forward(ViewRootImpl java:3563)
    at android view ViewRootImpl AsyncInputStage forward(ViewRootImpl java:3680)
    at android view ViewRootImpl InputStage apply(ViewRootImpl java:3571)
    at android view ViewRootImpl AsyncInputStage apply(ViewRootImpl java:3737)
    at android view ViewRootImpl InputStage deliver(ViewRootImpl java:3544)
    at android view ViewRootImpl InputStage onDeliverToNext(ViewRootImpl java:3597)
    at android view ViewRootImpl InputStage forward(ViewRootImpl java:3563)
    at android view ViewRootImpl InputStage apply(ViewRootImpl java:3571)
    at android view ViewRootImpl InputStage deliver(ViewRootImpl java:3544)
    at android view ViewRootImpl deliverInputEvent(ViewRootImpl java:5807)
    at android view ViewRootImpl doProcessInputEvents(ViewRootImpl java:5781)
    at android view ViewRootImpl enqueueInputEvent(ViewRootImpl java:5752)
    at android view ViewRootImpl WindowInputEventReceiver onInputEvent(ViewRootImpl java:5897)
    at android view InputEventReceiver dispatchInputEvent(InputEventReceiver java:185)
    at android os MessageQueue nativePollOnce(Native Method)
    at android os MessageQueue next(MessageQueue java:143)
    at android os Looper loop(Looper java:122)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at de robv android xposed XposedBridge main(XposedBridge java:115)
</t>
  </si>
  <si>
    <t>unfoldingWord-dev-uw-android-143</t>
  </si>
  <si>
    <t>WiFi direct crashed app</t>
  </si>
  <si>
    <t xml:space="preserve">  Notes
WiFi direct crashed app
  Environment
  Environment Key   Value  
  : :   : :  
  version   2 3 0  
  build   188  
  UDID   dd19773da22f5f  
  Android Release   5 0  
  Android SDK   21  
  Brand   Verizon  
  Device   kltevzw  
</t>
  </si>
  <si>
    <t>dimagi-commcare-android-751</t>
  </si>
  <si>
    <t>Catch xpath mismatch exception in FormHierarchyBuilder</t>
  </si>
  <si>
    <t xml:space="preserve">Show the following text error instead of crashing when the form hierarchy view encounters a xpath type mismatch error:
  screen (https:  cloud githubusercontent com assets 94817 10774469 afb0ff96 7cd7 11e5 8701 bf92fd1c50e6 png)
http:  manage dimagi com default asp 115051
</t>
  </si>
  <si>
    <t>TeamNewPipe-NewPipe-62</t>
  </si>
  <si>
    <t>MPDroid crashes when pressing the Headphones-Icon</t>
  </si>
  <si>
    <t xml:space="preserve">Hi there 
I think the headphones icon is for streaming audio only  right 
When I click it  I only get the notification  that MPDroid crashed and then Im back at the search results page of NewPipe 
Why does it even want to use MPDroid 
Thanks and keep developing this great App :)
   When I install VLC and chose that it works
</t>
  </si>
  <si>
    <t>projectbuendia-client-103</t>
  </si>
  <si>
    <t>Client Crash when no Profile Applied.</t>
  </si>
  <si>
    <t xml:space="preserve">This happens right after you setup a new development server  
As there is no profile applied to the new server some of the information is missing and the client crashes 
</t>
  </si>
  <si>
    <t>dimagi-commcare-android-756</t>
  </si>
  <si>
    <t xml:space="preserve">Don't crash when trying to remove attached videos on form discarding </t>
  </si>
  <si>
    <t xml:space="preserve">Deleting form media was using incorrect cursors and columns  This resulted in CommCare crashing  leaving media files around on the phone 
https:  commcare acralyzer cloudant com acralyzer  design acralyzer index html  reports browser commcare odk bug f0d93cc3076bcc0c57c569debab9646a
</t>
  </si>
  <si>
    <t>k9mail-k-9-871</t>
  </si>
  <si>
    <t>Crash during reading of an email</t>
  </si>
  <si>
    <t xml:space="preserve">I receive an email which crashes the app 
After some research  I found that mBody for the file Version texte txt is null (LocalBodyPart with minetype  text plain ) and OpenPgpUtils parseMessage crashes with a null value 
I also tried a new email with this file but mBody is not null 
So I think the issue is located in the loading process 
You can find the mail here : http:  guillaume smaha net contrib k9mail TestCrashEmail eml
</t>
  </si>
  <si>
    <t>nextcloud-news-android-424</t>
  </si>
  <si>
    <t>Crash when viewing a cached item whose feed has been deleted</t>
  </si>
  <si>
    <t xml:space="preserve">I had a feed and its items were cached in the app  I removed the feed from the server but didn t clear the cache  I updated the app to fetch the new feeds (which also removed the feed that was deleted in the server)  Now whenever I view one of the cached items whose feed was deleted I get a message that the app crashed  It would be nice to remove cached items when a feed is removed as well 
</t>
  </si>
  <si>
    <t>unfoldingWord-dev-ts-android-947</t>
  </si>
  <si>
    <t>Progress indicator erroneously includes non-translation files</t>
  </si>
  <si>
    <t xml:space="preserve">The progress indicator pie chart is based on a directory listing that includes not just translated files  but also the  git directory  In all cases  this inflates the number of chunks counted  When the inflation is enough to cause the rounded total to exceed 100   it will cause a crash  And it will cause a crash even on zero progress for short books like 3 John 
</t>
  </si>
  <si>
    <t>microg-GmsCore-51</t>
  </si>
  <si>
    <t>ADREQUEST Service ID not handled</t>
  </si>
  <si>
    <t xml:space="preserve">When using the some App  it crashed and I was getting an IllegalArgumentException 
After some debugging  I temporarily changed the ServiceId of gms ads GService java to Services ADREQUEST SERVICE ID and rebuilt the apk 
Which fixed the Crash 
But I assume  the proper way would be to add (rather than replace) the service id to the varargs super constructor    Or implement a separate service for that ID 
But maybe the DummyService should handle this  Seems to be disabled since AbstractGmsServiceBroker is throwing the Exception 
     Oct 29  2015 14:42:17     
          beginning of crash
10 26 17:36:56 099 11645 11645 E AndroidRuntime: FATAL EXCEPTION: main
10 26 17:36:56 099 11645 11645 E AndroidRuntime: Process: nl jacobras notes  PID: 11645
10 26 17:36:56 099 11645 11645 E AndroidRuntime: java lang IllegalArgumentException: Service not supported: 8
10 26 17:36:56 099 11645 11645 E AndroidRuntime:    at android os Parcel readException(Parcel java:1550)
10 26 17:36:56 099 11645 11645 E AndroidRuntime:    at android os Parcel readException(Parcel java:1499)
10 26 17:36:56 099 11645 11645 E AndroidRuntime:    at android support v7 yt g(Unknown Source)
10 26 17:36:56 099 11645 11645 E AndroidRuntime:    at android support v7 anl a(Unknown Source)
10 26 17:36:56 099 11645 11645 E AndroidRuntime:    at android support v7 yc onServiceConnected(Unknown Source)
10 26 17:36:56 099 11645 11645 E AndroidRuntime:    at android support v7 yk onServiceConnected(Unknown Source)
10 26 17:36:56 099 11645 11645 E AndroidRuntime:    at android app LoadedApk ServiceDispatcher doConnected(LoadedApk java:1209)
10 26 17:36:56 099 11645 11645 E AndroidRuntime:    at android app LoadedApk ServiceDispatcher RunConnection run(LoadedApk java:1226)
10 26 17:36:56 099 11645 11645 E AndroidRuntime:    at android os Handler handleCallback(Handler java:739)
10 26 17:36:56 099 11645 11645 E AndroidRuntime:    at android os Handler dispatchMessage(Handler java:95)
10 26 17:36:56 099 11645 11645 E AndroidRuntime:    at android os Looper loop(Looper java:135)
10 26 17:36:56 099 11645 11645 E AndroidRuntime:    at android app ActivityThread main(ActivityThread java:5294)
10 26 17:36:56 099 11645 11645 E AndroidRuntime:    at java lang reflect Method invoke(Native Method)
10 26 17:36:56 099 11645 11645 E AndroidRuntime:    at java lang reflect Method invoke(Method java:372)
10 26 17:36:56 099 11645 11645 E AndroidRuntime:    at com android internal os ZygoteInit MethodAndArgsCaller run(ZygoteInit java:904)
10 26 17:36:56 099 11645 11645 E AndroidRuntime:    at com android internal os ZygoteInit main(ZygoteInit java:699)
10 26 17:36:56 099 11645 11645 E AndroidRuntime:    at de robv android xposed XposedBridge main(XposedBridge java:115)
10 26 18:04:37 142 22061 22061 E AndroidRuntime: FATAL EXCEPTION: main
10 26 18:04:37 142 22061 22061 E AndroidRuntime: Process: nl jacobras notes  PID: 22061
10 26 18:04:37 142 22061 22061 E AndroidRuntime: java lang IllegalArgumentException: Service not supported: 8
10 26 18:04:37 142 22061 22061 E AndroidRuntime:    at android os Parcel readException(Parcel java:1550)
10 26 18:04:37 142 22061 22061 E AndroidRuntime:    at android os Parcel readException(Parcel java:1499)
10 26 18:04:37 142 22061 22061 E AndroidRuntime:    at android support v7 yt g(Unknown Source)
10 26 18:04:37 142 22061 22061 E AndroidRuntime:    at android support v7 anl a(Unknown Source)
10 26 18:04:37 142 22061 22061 E AndroidRuntime:    at android support v7 yc onServiceConnected(Unknown Source)
10 26 18:04:37 142 22061 22061 E AndroidRuntime:    at android support v7 yk onServiceConnected(Unknown Source)
10 26 18:04:37 142 22061 22061 E AndroidRuntime:    at android app LoadedApk ServiceDispatcher doConnected(LoadedApk java:1209)
10 26 18:04:37 142 22061 22061 E AndroidRuntime:    at android app LoadedApk ServiceDispatcher RunConnection run(LoadedApk java:1226)
10 26 18:04:37 142 22061 22061 E AndroidRuntime:    at android os Handler handleCallback(Handler java:739)
10 26 18:04:37 142 22061 22061 E AndroidRuntime:    at android os Handler dispatchMessage(Handler java:95)
10 26 18:04:37 142 22061 22061 E AndroidRuntime:    at android os Looper loop(Looper java:135)
10 26 18:04:37 142 22061 22061 E AndroidRuntime:    at android app ActivityThread main(ActivityThread java:5294)
10 26 18:04:37 142 22061 22061 E AndroidRuntime:    at java lang reflect Method invoke(Native Method)
10 26 18:04:37 142 22061 22061 E AndroidRuntime:    at java lang reflect Method invoke(Method java:372)
10 26 18:04:37 142 22061 22061 E AndroidRuntime:    at com android internal os ZygoteInit MethodAndArgsCaller run(ZygoteInit java:904)
10 26 18:04:37 142 22061 22061 E AndroidRuntime:    at com android internal os ZygoteInit main(ZygoteInit java:699)
10 26 18:04:37 142 22061 22061 E AndroidRuntime:    at de robv android xposed XposedBridge main(XposedBridge java:115)
</t>
  </si>
  <si>
    <t>OneBusAway-onebusaway-android-348</t>
  </si>
  <si>
    <t>Crash on startup viewing map with poor quality data connection</t>
  </si>
  <si>
    <t xml:space="preserve">I saw a crash yesterday on startup when viewing the map when in an area with a poor quality data connection   I reproduced it several times  but unfortunately didn t have access to a machine to capture the log   I ll see if I can reproduce again and grab the log 
</t>
  </si>
  <si>
    <t>eclipsesource-J2V8-100</t>
  </si>
  <si>
    <t>Fatal crash when creating isolate</t>
  </si>
  <si>
    <t xml:space="preserve">We had a  random  crash that we weren t able to reproduce  Since it isn t totally clear what caused the problem  i can t give any further details but at least i wouldn t expect the library to crash 
Experienced on Android device with j2v8 3 0 6 
F libc    (23408): Fatal signal 11 (SIGSEGV)  code 1  fault addr 0x0 in tid 23408 (e tabris js dev)
I DEBUG   (  181):                                                                
I DEBUG   (  181): Build fingerprint:  google razor flo:5 1 1 LMY48T 2237560:user release keys 
I DEBUG   (  181): Revision:  0 
I DEBUG   (  181): ABI:  arm 
I DEBUG   (  181): pid: 23408  tid: 23408  name: e tabris js dev      com eclipsesource tabris js dev    
I DEBUG   (  181): signal 11 (SIGSEGV)  code 1 (SEGV MAPERR)  fault addr 0x0
I DEBUG   (  181):     r0 9fcf4268  r1 b6f85e30  r2 a1a97af8  r3 00000000
I DEBUG   (  181):     r4 9bade000  r5 9bade000  r6 9fcf4268  r7 bea54d6c
I DEBUG   (  181):     r8 bea54d7c  r9 00000000  sl 9fc8d338  fp bea54dbc
I DEBUG   (  181):     ip 9f8eeeec  sp bea54d30  lr 9f66b190  pc 9f66b208  cpsr 600f0010
I DEBUG   (  181): 
I DEBUG   (  181): backtrace:
I DEBUG   (  181):      00 pc 002d9208   data app com eclipsesource tabris js dev 1 lib arm libj2v8 so (v8::internal::Isolate::Enter() 144)
I DEBUG   (  181):      01 pc 001bcf39   data app com eclipsesource tabris js dev 1 lib arm libj2v8 so (Java com eclipsesource v8 V8  1createIsolate 96)
</t>
  </si>
  <si>
    <t>cSploit-android-480</t>
  </si>
  <si>
    <t>MITM not working on Nexus 4/w CM 12.1 -- might be arpspoof silently crashing?</t>
  </si>
  <si>
    <t xml:space="preserve">Nexus 4:
CyanogenMod 12 1
No MITM seems to work   Nothing bad in UI  just doesn t do anything 
With ga  s assistance  i think I ve narrowed it down to arpspoof crashing:
  strace arpspoof   i wlan0 target ip gw ip                                       
strace: Can t stat  arpspoof : No such file or directory
trace   arpspoof   i wlan0 target ip gw ip                                     
execve(   arpspoof       arpspoof     i    wlan0    target ip    gw ip        23 vars    )   0
mprotect(0xb6f87000  4096  PROT READ)     0
set tid address(0xb6f88bf4)               21914
set tls(0xb6f88e30  0xb6f88e30  0xb6f88e30  0xb6f88c00  0xb6f88bec)   0
mmap2(NULL  8192  PROT READ PROT WRITE  MAP PRIVATE MAP ANONYMOUS   1  0)   0xb6f77000
madvise(0xb6f77000  8192  MADV MERGEABLE)   0
sigaltstack( ss sp 0xb6f77000  ss flags 0  ss size 8192   NULL)   0
mmap2(NULL  4096  PROT READ PROT WRITE  MAP PRIVATE MAP ANONYMOUS   1  0)   0xb6f76000
madvise(0xb6f76000  4096  MADV MERGEABLE)   0
mprotect(0xb6f76000  4096  PROT READ)     0
mprotect(0xb6f76000  4096  PROT READ PROT WRITE)   0
mprotect(0xb6f76000  4096  PROT READ)     0
mprotect(0xb6f76000  4096  PROT READ PROT WRITE)   0
mprotect(0xb6f76000  4096  PROT READ)     0
    SIGSEGV  si signo SIGSEGV  si code SEGV MAPERR  si addr 0x11     
    killed by SIGSEGV    
Segmentation fault 
The crash looks like this from the command line:
1 root mako: data data org csploit android files tools arpspoof     arpspoof   
dSploit ArpSpoofer 
1 root mako: data data org csploit android files tools arpspoof   
That is  there is no obvious crash when you don t strace   MITM not working has been a problem for about 2 weeks  FWIW I tried  setenforce 0  and it made no difference 
I should also add that logcat looks normal as far as itables stuff goes  but if you  ps arpspoof  it doesn t ever seem to be running 
ft
</t>
  </si>
  <si>
    <t>OneBusAway-onebusaway-android-351</t>
  </si>
  <si>
    <t>Clicking "Get google play services" crashes on devices with no market installed</t>
  </si>
  <si>
    <t xml:space="preserve">On the  develop  branch:
On devices that have no google play services  there is a button to install them  but if you don t even have market installed on the device  pressing the button crashes the application 
Possible fix: check the intent with  PackageManager resolveActivity (http:  developer android com reference android content pm PackageManager html resolveActivity 28android content Intent  20int 29) before launching it 
FATAL EXCEPTION: main
    android content ActivityNotFoundException: No Activity found to handle Intent   act android intent action VIEW dat market:  details id com google android gms pcampaignid gcore 8115000    flg 0x80000 pkg com android vending  
</t>
  </si>
  <si>
    <t>OneBusAway-onebusaway-android-350</t>
  </si>
  <si>
    <t>Crash on Android 2.3.4 - java.lang.StackOverflowError on Style B view init</t>
  </si>
  <si>
    <t xml:space="preserve">For  develop  branch  on an HTC EVO Shift w  Android 2 3 4 
When tapping on a bus stop and viewing arrivals sorted by Route in Style B  the app crashes and I see:
FATAL EXCEPTION: main
10 30 17:33:41 509 6527 6527   E AndroidRuntime: java lang StackOverflowError
10 30 17:33:41 509 6527 6527   E AndroidRuntime:     at android text Styled measureText(Styled java:430)
10 30 17:33:41 509 6527 6527   E AndroidRuntime:     at android text Layout measureText(Layout java:2065)
10 30 17:33:41 509 6527 6527   E AndroidRuntime:     at android text Layout getLineMax(Layout java:1020)
10 30 17:33:41 509 6527 6527   E AndroidRuntime:     at android text Layout draw(Layout java:612)
10 30 17:33:41 509 6527 6527   E AndroidRuntime:     at android widget TextView onDraw(TextView java:4328)
10 30 17:33:41 509 6527 6527   E AndroidRuntime:     at android view View draw(View java:6970)
10 30 17:33:41 509 6527 6527   E AndroidRuntime:     at android view ViewGroup drawChild(ViewGroup java:1732)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 draw(View java:6973)
10 30 17:33:41 509 6527 6527   E AndroidRuntime:     at android widget FrameLayout draw(FrameLayout java:357)
10 30 17:33:41 509 6527 6527   E AndroidRuntime:     at android view ViewGroup drawChild(ViewGroup java:1732)
10 30 17:33:41 509 6527 6527   E AndroidRuntime:     at android view ViewGroup dispatchDraw(ViewGroup java:1459)
10 30 17:33:41 509 6527 6527   E AndroidRuntime:     at android view View draw(View java:6973)
10 30 17:33:41 509 6527 6527   E AndroidRuntime:     at android view ViewGroup drawChild(ViewGroup java:1732)
10 30 17:33:41 509 6527 6527   E AndroidRuntime:     at android view ViewGroup dispatchDraw(ViewGroup java:1459)
10 30 17:33:41 509 6527 6527   E AndroidRuntime:     at android widget AbsListView dispatchDraw(AbsListView java:1480)
10 30 17:33:41 509 6527 6527   E AndroidRuntime:     at android widget ListView dispatchDraw(ListView java:3186)
10 30 17:33:41 509 6527 6527   E AndroidRuntime:     at android view View draw(View java:7082)
10 30 17:33:41 509 6527 6527   E AndroidRuntime:     at android widget AbsListView draw(AbsListView java:2588)
10 30 17:33:41 509 6527 6527   E AndroidRuntime:     at android view ViewGroup drawChild(ViewGroup java:1732)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 draw(View java:6973)
10 30 17:33:41 509 6527 6527   E AndroidRuntime:     at android view ViewGroup drawChild(ViewGroup java:1732)
10 30 17:33:41 509 6527 6527   E AndroidRuntime:     at com sothree slidinguppanel SlidingUpPanelLayout drawChild(SlidingUpPanelLayout java:1200)
10 30 17:33:41 509 6527 6527   E AndroidRuntime:     at android view ViewGroup dispatchDraw(ViewGroup java:1459)
10 30 17:33:41 509 6527 6527   E AndroidRuntime:     at android view View draw(View java:6973)
10 30 17:33:41 509 6527 6527   E AndroidRuntime:     at com sothree slidinguppanel SlidingUpPanelLayout draw(SlidingUpPanelLayout java:1243)
10 30 17:33:41 509 6527 6527   E AndroidRuntime:     at android view ViewGroup drawChild(ViewGroup java:1732)
10 30 17:33:41 509 6527 6527   E AndroidRuntime:     at android view ViewGroup dispatchDraw(ViewGroup java:1459)
10 30 17:33:41 509 6527 6527   E AndroidRuntime:     at android view ViewGroup drawChild(ViewGroup java:1730)
10 30 17:33:41 509 6527 6527   E AndroidRuntime:     at android support v4 widget DrawerLayout drawChild(DrawerLayout java:1089)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 draw(View java:6973)
10 30 17:33:41 509 6527 6527   E AndroidRuntime:     at android widget FrameLayout draw(FrameLayout java:357)
10 30 17:33:41 509 6527 6527   E AndroidRuntime:     at android view ViewGroup drawChild(ViewGroup java:1732)
10 30 17:33:41 509 6527 6527   E AndroidRuntime:     at android view ViewGroup dispatchDraw(ViewGroup java:1459)
10 30 17:33:41 509 6527 6527   E AndroidRuntime:     at android view View draw(View java:6973)
10 30 17:33:41 509 6527 6527   E AndroidRuntime:     at android support v7 internal widget ActionBarOverlayLayout draw(ActionBarOverlayLayout java:500)
10 30 17:33:41 509 6527 6527   E AndroidRuntime:     at android view ViewGroup drawChild(ViewGroup java:1732)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ViewGroup drawChild(ViewGroup java:1730)
10 30 17:33:41 509 6527 6527   E AndroidRuntime:     at android view ViewGroup dispatchDraw(ViewGroup java:1459)
10 30 17:33:41 509 6527 6527   E AndroidRuntime:     at android view View draw(View java:6973)
10 30 17:33:41 509 6527 6527   E AndroidRuntime:     at android widget FrameLayout draw(FrameLayout java:357)
10 30 17:33:41 509 6527 6527   E AndroidRuntime:     at com android internal policy impl PhoneWindow DecorView draw(PhoneWindow java:1949)
10 30 17:33:41 509 6527 6527   E AndroidRuntime:     at android view ViewRoot draw(ViewRoot java:1600)
10 30 17:33:41 509 6527 6527   E AndroidRuntime:     at android view ViewRoot performTraversals(ViewRoot java:1321)
10 30 17:33:41 509 6527 6527   E AndroidRuntime:    at android view ViewRoot handleMessage(ViewRoot java:195
Looks like this may be a repeat of  275 
</t>
  </si>
  <si>
    <t>Bathlamos-RTDC-116</t>
  </si>
  <si>
    <t>Application crashes if sending message to offline user</t>
  </si>
  <si>
    <t xml:space="preserve">When calling LiblinphoneThread get() getLinphoneCore() getOrCreateChatRoom(sipAddress) and the user to which the sipAddress belongs is not online  the application crashes with a native error 
</t>
  </si>
  <si>
    <t>Fleker-CumulusTV-68</t>
  </si>
  <si>
    <t>Crash on Android TV</t>
  </si>
  <si>
    <t xml:space="preserve">Upgrade from Alpha to 1 4 1  crash on app open 
E AndroidRuntime(23044): FATAL EXCEPTION: main
E AndroidRuntime(23044): Process: com felkertech n cumulustv  PID: 23044
E AndroidRuntime(23044): java lang NullPointerException: Attempt to invoke virtual method  java lang String android content Context getPackageName()  on a null object ref
erence
E AndroidRuntime(23044):        at android preference PreferenceManager getDefaultSharedPreferencesName(PreferenceManager java:374)
E AndroidRuntime(23044):        at android preference PreferenceManager getDefaultSharedPreferences(PreferenceManager java:369)
E AndroidRuntime(23044):        at com felkertech n boilerplate Utils SettingsManager  init (SettingsManager java:49)
E AndroidRuntime(23044):        at com felkertech n ActivityUtils readDriveData(ActivityUtils java:216)
E AndroidRuntime(23044):        at com felkertech n tv LeanbackFragment onConnected(LeanbackFragment java:321)
E AndroidRuntime(23044):        at com google android gms common internal zzj zzg(Unknown Source)
E AndroidRuntime(23044):        at com google android gms common api zze zzmH(Unknown Source)
E AndroidRuntime(23044):        at com google android gms common api zze onConnected(Unknown Source)
E AndroidRuntime(23044):        at com google android gms common api zzg 2 onConnected(Unknown Source)
E AndroidRuntime(23044):        at com google android gms common internal zzi zzg zznO(Unknown Source)
E AndroidRuntime(23044):        at com google android gms common internal zzi zza zzc(Unknown Source)
E AndroidRuntime(23044):        at com google android gms common internal zzi zza zzr(Unknown Source)
E AndroidRuntime(23044):        at com google android gms common internal zzi zzc zznQ(Unknown Source)
E AndroidRuntime(23044):        at com google android gms common internal zzi zzb handleMessage(Unknown Source)
E AndroidRuntime(23044):        at android os Handler dispatchMessage(Handler java:104)
E AndroidRuntime(23044):        at android os Looper loop(Looper java:135)
E AndroidRuntime(23044):        at android app ActivityThread main(ActivityThread java:5314)
E AndroidRuntime(23044):        at java lang reflect Method invoke(Native Method)
E AndroidRuntime(23044):        at java lang reflect Method invoke(Method java:372)
E AndroidRuntime(23044):        at com android internal os ZygoteInit MethodAndArgsCaller run(ZygoteInit java:903)
E AndroidRuntime(23044):        at com android internal os ZygoteInit main(ZygoteInit java:698) 
Wiped App Data and it works now 
</t>
  </si>
  <si>
    <t>Fleker-CumulusTV-66</t>
  </si>
  <si>
    <t>Crashes on M without Storage Permission</t>
  </si>
  <si>
    <t xml:space="preserve">It keeps crashing on me unless I go into Settings and manually enable the Storage permission that the app is supposed to ask to enable  
 Fleker
</t>
  </si>
  <si>
    <t>fesch-CanZE-157</t>
  </si>
  <si>
    <t>CanZE crashes on Battery section on HTC One Mini</t>
  </si>
  <si>
    <t xml:space="preserve">CanZE crashes when opening Battery section on HTC One Mini 
Other Sections are working  
</t>
  </si>
  <si>
    <t>ccrama-Slide-328</t>
  </si>
  <si>
    <t>App crashed when exiting the in built browser.</t>
  </si>
  <si>
    <t xml:space="preserve">I exited the in built browser and the all crashed 
Debug info:
 OS Version: 3 10 40 g909db78(2256973)
 OS API Level: 23
 Device: flounder
 Model (and Product): Nexus 9 (volantis)
 RELEASE: 6 0
 BRAND: google
 DISPLAY: MRA58K
 CPU ABI: arm64 v8a
 CPU ABI2: 
 HARDWARE: flounder
 MANUFACTURER: htc
 SLIDE VERSION: 73
Stacktrace: 
java lang RuntimeException: Unable to start activity ComponentInfo me ccrama redditslide me ccrama redditslide Activities CommentsScreenPopup : java lang NullPointerException: Attempt to invoke virtual method  java lang Object java util ArrayList get(int)  on a null object reference
    at android app ActivityThread performLaunchActivity(ActivityThread java:2416)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NullPointerException: Attempt to invoke virtual method  java lang Object java util ArrayList get(int)  on a null object reference
    at me ccrama redditslide Activities CommentsScreenPopup onCreate(CommentsScreenPopup java:47)
    at android app Activity performCreate(Activity java:6237)
    at android app Instrumentation callActivityOnCreate(Instrumentation java:1107)
    at android app ActivityThread performLaunchActivity(ActivityThread java:2369)
        9 more
</t>
  </si>
  <si>
    <t>Cloudkibo-Android-77</t>
  </si>
  <si>
    <t>conference android crashes when file size is large</t>
  </si>
  <si>
    <t xml:space="preserve">In conference  android crashes if sending or receiving file size is greater than 20 mb
</t>
  </si>
  <si>
    <t>ccrama-Slide-322</t>
  </si>
  <si>
    <t>Crash in landscape mode with 'load more comments'</t>
  </si>
  <si>
    <t xml:space="preserve">all crashes when scrolling down in comments 
Debug info:
 OS Version: 3 10 40 g909db78(2256973)
 OS API Level: 23
 Device: flounder
 Model (and Product): Nexus 9 (volantis)
 RELEASE: 6 0
 BRAND: google
 DISPLAY: MRA58K
 CPU ABI: arm64 v8a
 CPU ABI2: 
 HARDWARE: flounder
 MANUFACTURER: htc
 SLIDE VERSION: 72
Stacktrace: 
android view InflateException: Binary XML file line  1: Binary XML file line  1: Error inflating class  unknown 
    at android view LayoutInflater inflate(LayoutInflater java:539)
    at android view LayoutInflater inflate(LayoutInflater java:423)
    at android view LayoutInflater inflate(LayoutInflater java:374)
    at me ccrama redditslide Adapters CommentAdapter onBindViewHolder(CommentAdapter java:586)
    at android support v7 widget RecyclerView Adapter onBindViewHolder(RecyclerView java:5212)
    at android support v7 widget RecyclerView Adapter bindViewHolder(RecyclerView java:5245)
    at android support v7 widget RecyclerView Recycler getViewForPosition(RecyclerView java:4483)
    at android support v7 widget RecyclerView Recycler getViewForPosition(RecyclerView java:4359)
    at android support v7 widget LinearLayoutManager LayoutState next(LinearLayoutManager java:1961)
    at android support v7 widget LinearLayoutManager layoutChunk(LinearLayoutManager java:1370)
    at android support v7 widget LinearLayoutManager fill(LinearLayoutManager java:1333)
    at android support v7 widget LinearLayoutManager scrollBy(LinearLayoutManager java:1161)
    at android support v7 widget LinearLayoutManager scrollVerticallyBy(LinearLayoutManager java:1018)
    at android support v7 widget RecyclerView scrollByInternal(RecyclerView java:1492)
    at android support v7 widget RecyclerView onTouchEvent(RecyclerView java:2416)
    at android view View dispatchTouchEvent(View java:9294)
    at android view ViewGroup dispatchTransformedTouchEvent(ViewGroup java:2547)
    at android view ViewGroup dispatchTouchEvent(ViewGroup java:2240)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com android internal policy PhoneWindow DecorView superDispatchTouchEvent(PhoneWindow java:2403)
    at com android internal policy PhoneWindow superDispatchTouchEvent(PhoneWindow java:1737)
    at android app Activity dispatchTouchEvent(Activity java:2765)
    at android support v7 internal view WindowCallbackWrapper dispatchTouchEvent(WindowCallbackWrapper java:60)
    at android support v7 internal view WindowCallbackWrapper dispatchTouchEvent(WindowCallbackWrapper java:60)
    at com android internal policy PhoneWindow DecorView dispatchTouchEvent(PhoneWindow java:2364)
    at android view View dispatchPointerEvent(View java:9514)
    at android view ViewRootImpl ViewPostImeInputStage processPointerEvent(ViewRootImpl java:4230)
    at android view ViewRootImpl ViewPostImeInputStage onProcess(ViewRootImpl java:4096)
    at android view ViewRootImpl InputStage deliver(ViewRootImpl java:3642)
    at android view ViewRootImpl InputStage onDeliverToNext(ViewRootImpl java:3695)
    at android view ViewRootImpl InputStage forward(ViewRootImpl java:3661)
    at android view ViewRootImpl AsyncInputStage forward(ViewRootImpl java:3787)
    at android view ViewRootImpl InputStage apply(ViewRootImpl java:3669)
    at android view ViewRootImpl AsyncInputStage apply(ViewRootImpl java:3844)
    at android view ViewRootImpl InputStage deliver(ViewRootImpl java:3642)
    at android view ViewRootImpl InputStage onDeliverToNext(ViewRootImpl java:3695)
    at android view ViewRootImpl InputStage forward(ViewRootImpl java:3661)
    at android view ViewRootImpl InputStage apply(ViewRootImpl java:3669)
    at android view ViewRootImpl InputStage deliver(ViewRootImpl java:3642)
    at android view ViewRootImpl deliverInputEvent(ViewRootImpl java:5922)
    at android view ViewRootImpl doProcessInputEvents(ViewRootImpl java:5896)
    at android view ViewRootImpl enqueueInputEvent(ViewRootImpl java:5857)
    at android view ViewRootImpl WindowInputEventReceiver onInputEvent(ViewRootImpl java:6025)
    at android view InputEventReceiver dispatchInputEvent(InputEventReceiver java:185)
    at android view InputEventReceiver nativeConsumeBatchedInputEvents(Native Method)
    at android view InputEventReceiver consumeBatchedInputEvents(InputEventReceiver java:176)
    at android view ViewRootImpl doConsumeBatchedInput(ViewRootImpl java:5996)
    at android view ViewRootImpl ConsumeBatchedInputRunnable run(ViewRootImpl java:6048)
    at android view Choreographer CallbackRecord run(Choreographer java:858)
    at android view Choreographer doCallbacks(Choreographer java:670)
    at android view Choreographer doFrame(Choreographer java:600)
    at android view Choreographer FrameDisplayEventReceiver run(Choreographer java:844)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android view InflateException: Binary XML file line  1: Error inflating class  unknown 
    at android view LayoutInflater createView(LayoutInflater java:645)
    at com android internal policy PhoneLayoutInflater onCreateView(PhoneLayoutInflater java:58)
    at android view LayoutInflater onCreateView(LayoutInflater java:694)
    at android view LayoutInflater createViewFromTag(LayoutInflater java:762)
    at android view LayoutInflater createViewFromTag(LayoutInflater java:704)
    at android view LayoutInflater inflate(LayoutInflater java:492)
        77 more
Caused by: java lang reflect InvocationTargetException
    at java lang reflect Constructor newInstance(Native Method)
    at android view LayoutInflater createView(LayoutInflater java:619)
        82 more
Caused by: java lang UnsupportedOperationException: Failed to resolve attribute at index 13: TypedValue t 0x2 d 0x7f01028f a  1 
    at android content res TypedArray getDrawable(TypedArray java:867)
    at android view View  init (View java:3948)
    at android view ViewGroup  init (ViewGroup java:573)
    at android widget LinearLayout  init (LinearLayout java:203)
    at android widget LinearLayout  init (LinearLayout java:199)
    at android widget LinearLayout  init (LinearLayout java:195)
        84 more
</t>
  </si>
  <si>
    <t>chennaione-sugar-413</t>
  </si>
  <si>
    <t>Crash on some Samsung devices</t>
  </si>
  <si>
    <t xml:space="preserve">I have seen in certain devices (Samsung) that this keeps crashing everysingle time  do you have any idea of why this could happen  
Fatal Exception: java lang IncompatibleClassChangeError: Couldn t find com orm dsl Column name
       at libcore reflect AnnotationAccess toAnnotationInstance(AnnotationAccess java)
       at libcore reflect AnnotationAccess toAnnotationInstance(AnnotationAccess java)
       at libcore reflect AnnotationAccess getDeclaredAnnotation(AnnotationAccess java)
       at java lang reflect Field getAnnotation(Field java)
       at com orm util NamingHelper toSQLName(NamingHelper java)
       at com orm util ReflectionUtil addFieldValueToColumn(ReflectionUtil java)
       at com orm SugarRecord save(SugarRecord java)
       at com orm SugarRecord save(SugarRecord java)
       at com orm SugarRecord saveInTx(SugarRecord java)
       at com orm SugarRecord saveInTx(SugarRecord java)
       at com bunk3r destiny services CheckUpdateIntentService loadData(CheckUpdateIntentService java)
       at com bunk3r destiny services CheckUpdateIntentService onHandleIntent(CheckUpdateIntentService java)
       at android app IntentService ServiceHandler handleMessage(IntentService java)
       at android os Handler dispatchMessage(Handler java)
       at android os Looper loop(Looper java)
       at android os HandlerThread run(HandlerThread java)
</t>
  </si>
  <si>
    <t>haiwen-seadroid-437</t>
  </si>
  <si>
    <t>Long-pressing a library crashes seadroid</t>
  </si>
  <si>
    <t xml:space="preserve">Long pressing any library in the libraries screen will crash the app 
Android 5 1 1
App version 1 9 2
Language German 
</t>
  </si>
  <si>
    <t>ccrama-Slide-320</t>
  </si>
  <si>
    <t xml:space="preserve">Various bugs </t>
  </si>
  <si>
    <t xml:space="preserve">Pull to refresh make the app crash 
Infinte scroll doesn t work  
When I try to sign in from the in app GitHub report it crash  
</t>
  </si>
  <si>
    <t>ccrama-Slide-316</t>
  </si>
  <si>
    <t>Crash after reloading Front Page</t>
  </si>
  <si>
    <t xml:space="preserve">Scrolled to the bottom of the Front Page  and when new posts wouldn t load  I decided to scroll back to the top and refresh the page  Loading bubble appeared and then Slide crashed 
Debug info:
 OS Version: 3 10 61 5496010(G925PVPU3BOI1)
 OS API Level: 22
 Device: zeroltespr
 Model (and Product): SM G925P (zeroltespr)
 RELEASE: 5 1 1
 BRAND: samsung
 DISPLAY: LMY47X G925PVPU3BOI1
 CPU ABI: arm64 v8a
 CPU ABI2: 
 HARDWARE: samsungexynos7420
 MANUFACTURER: samsung
 SLIDE VERSION: 72
Stacktrace: 
   java lang IndexOutOfBoundsException: Inconsistency detected  Invalid item position 0(offset:47) state:47
    at android support v7 widget RecyclerView Recycler getViewForPosition(RecyclerView java:4401)
    at android support v7 widget RecyclerView Recycler getViewForPosition(RecyclerView java:4359)
    at android support v7 widget LinearLayoutManager LayoutState next(LinearLayoutManager java:1961)
    at android support v7 widget LinearLayoutManager layoutChunk(LinearLayoutManager java:1370)
    at android support v7 widget LinearLayoutManager fill(LinearLayoutManager java:1333)
    at android support v7 widget LinearLayoutManager onLayoutChildren(LinearLayoutManager java:562)
    at android support v7 widget RecyclerView dispatchLayout(RecyclerView java:2864)
    at android support v7 widget RecyclerView onLayout(RecyclerView java:3071)
    at android view View layout(View java:16922)
    at android view ViewGroup layout(ViewGroup java:5405)
    at android support v4 widget SwipeRefreshLayout onLayout(SwipeRefreshLayout java:581)
    at android view View layout(View java:16922)
    at android view ViewGroup layout(ViewGroup java:5405)
    at android widget LinearLayout setChildFrame(LinearLayout java:1702)
    at android widget LinearLayout layoutVertical(LinearLayout java:1556)
    at android widget LinearLayout onLayout(LinearLayout java:1465)
    at android view View layout(View java:16922)
    at android view ViewGroup layout(ViewGroup java:5405)
    at android support v4 view ViewPager onLayout(ViewPager java:1627)
    at android view View layout(View java:16922)
    at android view ViewGroup layout(ViewGroup java:5405)
    at android support design widget CoordinatorLayout layoutChild(CoordinatorLayout java:1034)
    at android support design widget CoordinatorLayout onLayoutChild(CoordinatorLayout java:744)
    at android support design widget ViewOffsetBehavior onLayoutChild(ViewOffsetBehavior java:42)
    at android support design widget AppBarLayout ScrollingViewBehavior onLayoutChild(AppBarLayout java:1180)
    at android support design widget CoordinatorLayout onLayout(CoordinatorLayout java:757)
    at android view View layout(View java:16922)
    at android view ViewGroup layout(ViewGroup java:5405)
    at android widget FrameLayout layoutChildren(FrameLayout java:579)
    at android widget FrameLayout onLayout(FrameLayout java:514)
    at android view View layout(View java:16922)
    at android view ViewGroup layout(ViewGroup java:5405)
    at android support v4 widget DrawerLayout onLayout(DrawerLayout java:1043)
    at android view View layout(View java:16922)
    at android view ViewGroup layout(ViewGroup java:5405)
    at android widget FrameLayout layoutChildren(FrameLayout java:579)
    at android widget FrameLayout onLayout(FrameLayout java:514)
    at android view View layout(View java:16922)
    at android view ViewGroup layout(ViewGroup java:5405)
    at android widget LinearLayout setChildFrame(LinearLayout java:1702)
    at android widget LinearLayout layoutVertical(LinearLayout java:1556)
    at android widget LinearLayout onLayout(LinearLayout java:1465)
    at android view View layout(View java:16922)
    at android view ViewGroup layout(ViewGroup java:5405)
    at android widget FrameLayout layoutChildren(FrameLayout java:579)
    at android widget FrameLayout onLayout(FrameLayout java:514)
    at android view View layout(View java:16922)
    at android view ViewGroup layout(ViewGroup java:5405)
    at android widget LinearLayout setChildFrame(LinearLayout java:1702)
    at android widget LinearLayout layoutVertical(LinearLayout java:1556)
    at android widget LinearLayout onLayout(LinearLayout java:1465)
    at android view View layout(View java:16922)
    at android view ViewGroup layout(ViewGroup java:5405)
    at android widget FrameLayout layoutChildren(FrameLayout java:579)
    at android widget FrameLayout onLayout(FrameLayout java:514)
    at android view View layout(View java:16922)
    at android view ViewGroup layout(ViewGroup java:5405)
    at android widget FrameLayout layoutChildren(FrameLayout java:579)
    at android widget FrameLayout onLayout(FrameLayout java:514)
    at android view View layout(View java:16922)
    at android view ViewGroup layout(ViewGroup java:5405)
    at android view ViewRootImpl performLayout(ViewRootImpl java:2413)
    at android view ViewRootImpl performTraversals(ViewRootImpl java:2122)
    at android view ViewRootImpl doTraversal(ViewRootImpl java:1264)
    at android view ViewRootImpl TraversalRunnable run(ViewRootImpl java:6944)
    at android view Choreographer CallbackRecord run(Choreographer java:777)
    at android view Choreographer doCallbacks(Choreographer java:590)
    at android view Choreographer doFrame(Choreographer java:560)
    at android view Choreographer FrameDisplayEventReceiver run(Choreographer java:763)
    at android os Handler handleCallback(Handler java:739)
    at android os Handler dispatchMessage(Handler java:95)
    at android os Looper loop(Looper java:145)
    at android app ActivityThread main(ActivityThread java:6837)
    at java lang reflect Method invoke(Native Method)
    at java lang reflect Method invoke(Method java:372)
    at com android internal os ZygoteInit MethodAndArgsCaller run(ZygoteInit java:1404)
    at com android internal os ZygoteInit main(ZygoteInit java:1199)
</t>
  </si>
  <si>
    <t>bumptech-glide-722</t>
  </si>
  <si>
    <t>NoSuchElementException from SupportRequestManagerFragment.onLowMemory</t>
  </si>
  <si>
    <t xml:space="preserve">Our crash monitoring facility had identified the above exception   It has been reported using Glide 3 5 2 and 3 5 0   It usually occurs in Android 4 devices  though we have reports up to 5 1   We re not able to reproduce it in our testing   While it s not a frequent report  we have seen 300  reports in the last 30 days   
It looks like it may be the same or related to  266  Here s the stack trace in our case:  
    java
java util LinkedHashMap LinkedHashIterator nextEntry (LinkedHashMap java:350)
java util LinkedHashMap EntryIterator next (LinkedHashMap java:374)
com bumptech glide util LruCache trimToSize (LruCache java:157)
com bumptech glide util LruCache clearMemory (LruCache java:146)
com bumptech glide Glide clearMemory (Glide java:372)
com bumptech glide RequestManager onLowMemory (RequestManager java:92)
com bumptech glide manager SupportRequestManagerFragment onLowMemory (SupportRequestManagerFragment java:75)
android support v4 app Fragment performLowMemory (Fragment java:1851)
dalvik system NativeStart main (NativeStart java)
</t>
  </si>
  <si>
    <t>ccrama-Slide-343</t>
  </si>
  <si>
    <t>(Un)subscribing crashes slide</t>
  </si>
  <si>
    <t xml:space="preserve">I tried to unsubscribe from r calvinandhobbes through the sidebar and slide just crashed
Debug info:
 OS Version: 3 4 109 Resurrected Kernel g2e67f0b(89e81a6461)
 OS API Level: 22
 Device: A0001
 Model (and Product): A0001 (bacon)
 RELEASE: 5 1 1
 BRAND: oneplus
 DISPLAY: bacon userdebug 5 1 1 LMY48W 89e81a6461 test keys
 CPU ABI: armeabi v7a
 CPU ABI2: armeabi
 HARDWARE: bacon
 MANUFACTURER: OnePlus
 SLIDE VERSION: 73
Stacktrace: 
    android os NetworkOnMainThreadException
    at android os StrictMode AndroidBlockGuardPolicy onNetwork(StrictMode java:1147)
    at com android org conscrypt OpenSSLSocketImpl SSLOutputStream write(OpenSSLSocketImpl java:749)
    at okio Okio 1 write(Okio java:78)
    at okio AsyncTimeout 1 write(AsyncTimeout java:155)
    at okio RealBufferedSink flush(RealBufferedSink java:201)
    at com squareup okhttp internal spdy Spdy3 Writer synStream(Spdy3 java:339)
    at com squareup okhttp internal spdy SpdyConnection newStream(SpdyConnection java:266)
    at com squareup okhttp internal spdy SpdyConnection newStream(SpdyConnection java:242)
    at com squareup okhttp internal http SpdyTransport writeRequestHeaders(SpdyTransport java:89)
    at com squareup okhttp internal http HttpEngine NetworkInterceptorChain proceed(HttpEngine java:814)
    at com squareup okhttp internal http HttpEngine readResponse(HttpEngine java:684)
    at com squareup okhttp Call getResponse(Call java:272)
    at com squareup okhttp Call ApplicationInterceptorChain proceed(Call java:228)
    at com squareup okhttp Call getResponseWithInterceptorChain(Call java:199)
    at com squareup okhttp Call execute(Call java:79)
    at net dean jraw http OkHttpAdapter execute(OkHttpAdapter java:64)
    at net dean jraw http RestClient execute(RestClient java:120)
    at net dean jraw RedditClient execute(RedditClient java:147)
    at net dean jraw RedditClient execute(RedditClient java:141)
    at net dean jraw managers AccountManager setSubscribed(AccountManager java:266)
    at net dean jraw managers AccountManager subscribe(AccountManager java:245)
    at me ccrama redditslide Activities SubredditOverview 13 onCheckedChanged(SubredditOverview java:387)
    at android widget CompoundButton setChecked(CompoundButton java:154)
    at android widget CompoundButton toggle(CompoundButton java:113)
    at android widget CompoundButton performClick(CompoundButton java:118)
    at android view View PerformClick run(View java:19899)
    at android os Handler handleCallback(Handler java:739)
    at android os Handler dispatchMessage(Handler java:95)
    at android os Looper loop(Looper java:135)
    at android app ActivityThread main(ActivityThread java:5310)
    at java lang reflect Method invoke(Native Method)
    at java lang reflect Method invoke(Method java:372)
    at com android internal os ZygoteInit MethodAndArgsCaller run(ZygoteInit java:904)
    at com android internal os ZygoteInit main(ZygoteInit java:699)
</t>
  </si>
  <si>
    <t>ccrama-Slide-341</t>
  </si>
  <si>
    <t>Crash after tapping FAB when there aren't any pins</t>
  </si>
  <si>
    <t xml:space="preserve">If there aren t any pinned subreddits  tapping the   FAB causes a crash  I m using version 4 2 5 5
1  Tap  Reorder your pins 
2  Ensure there isn t anything pinned
3  Tap the FAB to add
Seems to be similar to  245  except in this case  it s when there aren t any pinned subreddits 
</t>
  </si>
  <si>
    <t>alexvasilkov-GestureViews-3</t>
  </si>
  <si>
    <t>Error inflating class com.alexvasilkov.gestures.views.GestureImageView</t>
  </si>
  <si>
    <t xml:space="preserve">Hi  firstly thanks for the library  I have crash when trying to use GestureImageView in my layout  I found the issue is the  public void setImageDrawable(Drawable dr)  called before GestureControllerForPager is instantiated in the constructor  I ve added this simple hack as this was the first thing that came to my head  Maybe you can come up with better solution 
 public void setImageDrawable(Drawable dr)  
        super setImageDrawable(dr) 
        Settings settings   getSettings() 
        Settings settings   mController getSettings() 
        int oldW   settings getImageW()  oldH   settings getImageH() 
        if (dr    null)  
            settings setImage(0  0) 
          else if (dr getIntrinsicWidth()     1    dr getIntrinsicHeight()     1)  
            settings setImage(settings getMovementAreaW()  settings getMovementAreaH()) 
          else  
            settings setImage(dr getIntrinsicWidth()  dr getIntrinsicHeight()) 
        if (oldW    settings getImageW()    oldH    settings getImageH()) mController resetState() 
And
 private Settings getSettings()  
        if(mController    null) 
            mController   new GestureControllerForPager(this) 
        return mController getSettings() 
</t>
  </si>
  <si>
    <t>ccrama-Slide-339</t>
  </si>
  <si>
    <t>App crashed when loading image gallery.</t>
  </si>
  <si>
    <t xml:space="preserve">I tapped to open an image gallery from a post in  r movies and it showed a black screen for 5 seconds and the app crashed 
Debug info:
 OS Version: 3 10 40 g909db78(2256973)
 OS API Level: 23
 Device: flounder
 Model (and Product): Nexus 9 (volantis)
 RELEASE: 6 0
 BRAND: google
 DISPLAY: MRA58K
 CPU ABI: arm64 v8a
 CPU ABI2: 
 HARDWARE: flounder
 MANUFACTURER: htc
 SLIDE VERSION: 73
Stacktrace: 
android view InflateException: Binary XML file line  1: Binary XML file line  1: Error inflating class  unknown 
    at android view LayoutInflater inflate(LayoutInflater java:539)
    at android view LayoutInflater inflate(LayoutInflater java:423)
    at android view LayoutInflater inflate(LayoutInflater java:374)
    at me ccrama redditslide Adapters CommentAdapter onBindViewHolder(CommentAdapter java:586)
    at android support v7 widget RecyclerView Adapter onBindViewHolder(RecyclerView java:5212)
    at android support v7 widget RecyclerView Adapter bindViewHolder(RecyclerView java:5245)
    at android support v7 widget RecyclerView Recycler getViewForPosition(RecyclerView java:4483)
    at android support v7 widget RecyclerView Recycler getViewForPosition(RecyclerView java:4359)
    at android support v7 widget LinearLayoutManager LayoutState next(LinearLayoutManager java:1961)
    at android support v7 widget LinearLayoutManager layoutChunk(LinearLayoutManager java:1370)
    at android support v7 widget LinearLayoutManager fill(LinearLayoutManager java:1333)
    at android support v7 widget LinearLayoutManager onLayoutChildren(LinearLayoutManager java:562)
    at android support v7 widget RecyclerView dispatchLayout(RecyclerView java:2900)
    at android support v7 widget RecyclerView onLayout(RecyclerView java:3071)
    at android view View layout(View java:16630)
    at android view ViewGroup layout(ViewGroup java:5437)
    at android support v4 widget SwipeRefreshLayout onLayout(SwipeRefreshLayout java:581)
    at android view View layout(View java:16630)
    at android view ViewGroup layout(ViewGroup java:5437)
    at android widget LinearLayout setChildFrame(LinearLayout java:1743)
    at android widget LinearLayout layoutVertical(LinearLayout java:1586)
    at android widget LinearLayout onLayout(LinearLayout java:1495)
    at android view View layout(View java:16630)
    at android view ViewGroup layout(ViewGroup java:5437)
    at android support v4 view ViewPager onLayout(ViewPager java:1627)
    at android view View layout(View java:16630)
    at android view ViewGroup layout(ViewGroup java:5437)
    at android widget FrameLayout layoutChildren(FrameLayout java:336)
    at android widget FrameLayout onLayout(FrameLayout java:273)
    at android view View layout(View java:16630)
    at android view ViewGroup layout(ViewGroup java:5437)
    at android widget FrameLayout layoutChildren(FrameLayout java:336)
    at android widget FrameLayout onLayout(FrameLayout java:273)
    at android view View layout(View java:16630)
    at android view ViewGroup layout(ViewGroup java:5437)
    at android widget FrameLayout layoutChildren(FrameLayout java:336)
    at android widget FrameLayout onLayout(FrameLayout java:273)
    at android view View layout(View java:16630)
    at android view ViewGroup layout(ViewGroup java:5437)
    at android widget LinearLayout setChildFrame(LinearLayout java:1743)
    at android widget LinearLayout layoutVertical(LinearLayout java:1586)
    at android widget LinearLayout onLayout(LinearLayout java:1495)
    at android view View layout(View java:16630)
    at android view ViewGroup layout(ViewGroup java:5437)
    at me imid swipebacklayout lib SwipeBackLayout onLayout(SwipeBackLayout java:386)
    at android view View layout(View java:16630)
    at android view ViewGroup layout(ViewGroup java:5437)
    at android widget FrameLayout layoutChildren(FrameLayout java:336)
    at android widget FrameLayout onLayout(FrameLayout java:273)
    at com android internal policy PhoneWindow DecorView onLayout(PhoneWindow java:2678)
    at android view View layout(View java:16630)
    at android view ViewGroup layout(ViewGroup java:5437)
    at android view ViewRootImpl performLayout(ViewRootImpl java:2171)
    at android view ViewRootImpl performTraversals(ViewRootImpl java:1931)
    at android view ViewRootImpl doTraversal(ViewRootImpl java:1107)
    at android view ViewRootImpl TraversalRunnable run(ViewRootImpl java:6013)
    at android view Choreographer CallbackRecord run(Choreographer java:858)
    at android view Choreographer doCallbacks(Choreographer java:670)
    at android view Choreographer doFrame(Choreographer java:606)
    at android view Choreographer FrameDisplayEventReceiver run(Choreographer java:844)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android view InflateException: Binary XML file line  1: Error inflating class  unknown 
    at android view LayoutInflater createView(LayoutInflater java:645)
    at com android internal policy PhoneLayoutInflater onCreateView(PhoneLayoutInflater java:58)
    at android view LayoutInflater onCreateView(LayoutInflater java:694)
    at android view LayoutInflater createViewFromTag(LayoutInflater java:762)
    at android view LayoutInflater createViewFromTag(LayoutInflater java:704)
    at android view LayoutInflater inflate(LayoutInflater java:492)
        66 more
Caused by: java lang reflect InvocationTargetException
    at java lang reflect Constructor newInstance(Native Method)
    at android view LayoutInflater createView(LayoutInflater java:619)
        71 more
Caused by: java lang UnsupportedOperationException: Failed to resolve attribute at index 13: TypedValue t 0x2 d 0x7f01028f a  1 
    at android content res TypedArray getDrawable(TypedArray java:867)
    at android view View  init (View java:3948)
    at android view ViewGroup  init (ViewGroup java:573)
    at android widget LinearLayout  init (LinearLayout java:203)
    at android widget LinearLayout  init (LinearLayout java:199)
    at android widget LinearLayout  init (LinearLayout java:195)
        73 more
</t>
  </si>
  <si>
    <t>ccrama-Slide-338</t>
  </si>
  <si>
    <t xml:space="preserve">Crashed </t>
  </si>
  <si>
    <t xml:space="preserve">crashed when adding 2nd account 
Debug info:
 OS Version: 3 4 0 g6af28ec(448934 10)
 OS API Level: 21
 Device: htc m8
 Model (and Product): HTC One M8 (htc europe)
 RELEASE: 5 0 2
 BRAND: htc
 DISPLAY: LRX22G release keys
 CPU ABI: armeabi v7a
 CPU ABI2: armeabi
 HARDWARE: qcom
 MANUFACTURER: HTC
 SLIDE VERSION: 73
Stacktrace: 
java lang RuntimeException: An error occured while executing doInBackground()
    at android os AsyncTask 3 done(AsyncTask java)
    at java util concurrent FutureTask finishCompletion(FutureTask java:355)
    at java util concurrent FutureTask setException(FutureTask java:222)
    at java util concurrent FutureTask run(FutureTask java:242)
    at android os AsyncTask SerialExecutor 1 run(AsyncTask java)
    at java util concurrent ThreadPoolExecutor runWorker(ThreadPoolExecutor java:1112)
    at java util concurrent ThreadPoolExecutor Worker run(ThreadPoolExecutor java:587)
    at java lang Thread run(Thread java:818)
Caused by: java lang RuntimeException: Could not execute the request: HttpRequest  method  GET   url https:  oauth reddit com api v1 me  expectedMediaType application json  headers User Agent: android:me ccrama RedditSlide:v4 0 (by  u ccrama)
Authorization: bearer 
  body null 
    at net dean jraw http RestClient execute(RestClient java:144)
    at net dean jraw RedditClient execute(RedditClient java:147)
    at net dean jraw RedditClient execute(RedditClient java:141)
    at net dean jraw RedditClient me(RedditClient java:240)
    at net dean jraw RedditClient authenticate(RedditClient java:123)
    at me ccrama redditslide Authentication UpdateToken doInBackground(Authentication java:74)
    at me ccrama redditslide Authentication UpdateToken doInBackground(Authentication java:53)
    at android os AsyncTask 2 call(AsyncTask java)
    at java util concurrent FutureTask run(FutureTask java:237)
        4 more
Caused by: java net UnknownHostException: Unable to resolve host  oauth reddit com : No address associated with hostname
    at java net InetAddress lookupHostByName(InetAddress java:427)
    at java net InetAddress getAllByNameImpl(InetAddress java:252)
    at java net InetAddress getAllByName(InetAddress java:215)
    at de robv android xposed XposedBridge invokeOriginalMethodNative(Native Method)
    at de robv android xposed XposedBridge handleHookedMethod(XposedBridge java:668)
    at java net InetAddress getAllByName( Xposed )
    at com squareup okhttp internal Network 1 resolveInetAddresses(Network java:29)
    at com squareup okhttp internal http RouteSelector resetNextInetSocketAddress(RouteSelector java:224)
    at com squareup okhttp internal http RouteSelector nextProxy(RouteSelector java:193)
    at com squareup okhttp internal http RouteSelector next(RouteSelector java:113)
    at com squareup okhttp internal http HttpEngine createNextConnection(HttpEngine java:344)
    at com squareup okhttp internal http HttpEngine nextConnection(HttpEngine java:329)
    at com squareup okhttp internal http HttpEngine connect(HttpEngine java:319)
    at com squareup okhttp internal http HttpEngine sendRequest(HttpEngine java:241)
    at com squareup okhttp Call getResponse(Call java:271)
    at com squareup okhttp Call ApplicationInterceptorChain proceed(Call java:228)
    at com squareup okhttp Call getResponseWithInterceptorChain(Call java:199)
    at com squareup okhttp Call execute(Call java:79)
    at net dean jraw http OkHttpAdapter execute(OkHttpAdapter java:64)
    at net dean jraw http RestClient execute(RestClient java:120)
        12 more
</t>
  </si>
  <si>
    <t>microg-GmsCore-55</t>
  </si>
  <si>
    <t>App: Advanced Download Manager</t>
  </si>
  <si>
    <t xml:space="preserve">http:  forum xda developers com showpost php p 63533852 postcount 123
  Advanced Download Manager (version 5 0 9)
  package name: com dv adm
  https:  play google com store apps d   m dv adm hl de
  The App crashes at startup 
</t>
  </si>
  <si>
    <t>mobmead-EasyMPermission-1</t>
  </si>
  <si>
    <t>Crash when using lower version then 23</t>
  </si>
  <si>
    <t xml:space="preserve">First of all thank you so much for making awesome library  it is so helpful to make reduce code and clean code
I am facing one issue with your nice library
whenever I am using phone lower than v23  application is getting crash
11 03 15:00:42 402 21499 21499 com mypermissionappexample E AndroidRuntime: FATAL EXCEPTION: main
11 03 15:00:42 402 21499 21499 com mypermissionappexample E AndroidRuntime: Process: com mypermissionappexample  PID: 21499
11 03 15:00:42 402 21499 21499 com mypermissionappexample E AndroidRuntime: java lang NoSuchMethodError: com mypermissionappexample MainActivity checkSelfPermission
11 03 15:00:42 402 21499 21499 com mypermissionappexample E AndroidRuntime:     at com mypermissionappexample MainActivity isPermissionGranted (MainActivity java:14)
11 03 15:00:42 402 21499 21499 com mypermissionappexample E AndroidRuntime:     at com mypermissionappexample MainActivity openCamera(MainActivity java:14)
11 03 15:00:42 402 21499 21499 com mypermissionappexample E AndroidRuntime:     at com mypermissionappexample MainActivity access 000(MainActivity java:15)
11 03 15:00:42 402 21499 21499 com mypermissionappexample E AndroidRuntime:     at com mypermissionappexample MainActivity 1 onClick(MainActivity java:28)
11 03 15:00:42 402 21499 21499 com mypermissionappexample E AndroidRuntime:     at android view View performClick(View java:4438)
11 03 15:00:42 402 21499 21499 com mypermissionappexample E AndroidRuntime:     at android view View PerformClick run(View java:18431)
11 03 15:00:42 402 21499 21499 com mypermissionappexample E AndroidRuntime:     at android os Handler handleCallback(Handler java:733)
11 03 15:00:42 402 21499 21499 com mypermissionappexample E AndroidRuntime:     at android os Handler dispatchMessage(Handler java:95)
11 03 15:00:42 402 21499 21499 com mypermissionappexample E AndroidRuntime:     at android os Looper loop(Looper java:149)
11 03 15:00:42 402 21499 21499 com mypermissionappexample E AndroidRuntime:     at android app ActivityThread main(ActivityThread java:5045)
11 03 15:00:42 402 21499 21499 com mypermissionappexample E AndroidRuntime:     at java lang reflect Method invokeNative(Native Method)
11 03 15:00:42 402 21499 21499 com mypermissionappexample E AndroidRuntime:     at java lang reflect Method invoke(Method java:515)
11 03 15:00:42 402 21499 21499 com mypermissionappexample E AndroidRuntime:     at com android internal os ZygoteInit MethodAndArgsCaller run(ZygoteInit java:794)
11 03 15:00:42 402 21499 21499 com mypermissionappexample E AndroidRuntime:     at com android internal os ZygoteInit main(ZygoteInit java:610)
11 03 15:00:42 402 21499 21499 com mypermissionappexample E AndroidRuntime:     at dalvik system NativeStart main(Native Method)
Please put condition if below 23 then don t execute code for checking permission 
Thanks 
</t>
  </si>
  <si>
    <t>ongakuer-CircleIndicator-36</t>
  </si>
  <si>
    <t>Crash on line 157 with empty ViewPager Adapter</t>
  </si>
  <si>
    <t xml:space="preserve">In usual samples  when you have your ViewPager already filled with items  CircleIndicator works correctly  but when Adapter has no items  (in case of loading something from web and populating later on)  there is crash 
I think you need to check if position is  1 before doing anything in onPageSelected method 
</t>
  </si>
  <si>
    <t>marverenic-Jockey-28</t>
  </si>
  <si>
    <t>Glitch?</t>
  </si>
  <si>
    <t xml:space="preserve">Found this glitch while playing music  downloaded the latest build from the play store  The app doesn t crash when I click on rewind button  but it sure is weird  I removed the music details  but the rewind button is glitchy  its the same in the notifcations too  Reboot didn t fix it  nor did clearing data  
  Glitch (https:  cloud githubusercontent com assets 11243138 10930209 305be6a0 82e2 11e5 9fa1 c1fdc99846d0 png)
</t>
  </si>
  <si>
    <t>IBM-MIL-IBM-Ready-App-for-Telecommunications-9</t>
  </si>
  <si>
    <t>Crashes with java.lang.NumberFormatException</t>
  </si>
  <si>
    <t xml:space="preserve">  Steps to Reproduce  
1  Click on the  Data  tab  
2  For all the apps under the  My Apps  section  click  Add 
3  On top of  Data  tab lower the GB value as low as permitted
4  Click  ACCEPT 
5  App will crash with java lang NumberFormatException
  Solution  
This is due to dividing by zero when the GB limit goes down to zero  Proposed solution is to make the minimum data limit 1  
</t>
  </si>
  <si>
    <t>orhanobut-hawk-103</t>
  </si>
  <si>
    <t>NPE in AesCbcWithIntegrity.decrypt()</t>
  </si>
  <si>
    <t xml:space="preserve">Hi 
I am working on a NPE we have been reported  hopefully someone can give us some help understanding what is happening 
here is the stackTrace:
Caused by: java lang NullPointerException: Attempt to invoke virtual method  javax crypto SecretKey com b a f b()  on a null object reference
    at com orhanobut hawk AesCbcWithIntegrity decrypt(SourceFile:368)
    at com orhanobut hawk AesEncryption decrypt(SourceFile:63)
    at com orhanobut hawk Hawk get(SourceFile:128)
    at com orhanobut hawk Hawk get(SourceFile:151)
    at com app android SecureStorage getToken(SourceFile:84)
the crash refers to the version 1 18 and the NPE happens when  secretKeys getIntegrityKey()  is executed but  secretKeys  is null 
we are using  EncryptionMethod HIGHEST   
thanks for your help 
</t>
  </si>
  <si>
    <t>moneymanagerex-android-money-manager-ex-608</t>
  </si>
  <si>
    <t>Crash after prompting for permissions on Android 6</t>
  </si>
  <si>
    <t xml:space="preserve">When prompting for the storage access permissions  the activity loses focus and saves the instance state  This happens during the initialization so no fragments are shown  After returning from the confirmation dialog  the app crashes when trying to display the fragments 
              APP DETAILS             
Version: 3 1 0
Build: 742
              CAUSE OF ERROR             
java lang RuntimeException: Failure delivering result ResultInfo who  android:requestPermissions:  request 2  result  1  data Intent   act android content pm action REQUEST PERMISSIONS (has extras)    to activity  com money manager ex com money manager ex home MainActivity : java lang IllegalStateException: Can not perform this action after onSaveInstanceState
at android app ActivityThread deliverResults(ActivityThread java:3699)
at android app ActivityThread handleSendResult(ActivityThread java:3742)
at android app ActivityThread  wrap16(ActivityThread java)
at android app ActivityThread H handleMessage(ActivityThread java:1393)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IllegalStateException: Can not perform this action after onSaveInstanceState
at android support v4 app FragmentManagerImpl checkStateLoss(FragmentManager java:1500)
at android support v4 app FragmentManagerImpl enqueueAction(FragmentManager java:1518)
at android support v4 app BackStackRecord commitInternal(BackStackRecord java:634)
at android support v4 app BackStackRecord commit(BackStackRecord java:613)
at com money manager ex home MainActivity displayDefaultFragment(MainActivity java:586)
at com money manager ex home MainActivity initializeDatabaseAccess(MainActivity java:630)
at com money manager ex home MainActivity initialize(MainActivity java:620)
at com money manager ex home MainActivity onRequestPermissionsResult(MainActivity java:490)
at android app Activity dispatchRequestPermissionsResult(Activity java:6553)
at android app Activity dispatchActivityResult(Activity java:6432)
at android app ActivityThread deliverResults(ActivityThread java:3695)
    9 more
</t>
  </si>
  <si>
    <t>h6ah4i-android-advancedrecyclerview-145</t>
  </si>
  <si>
    <t>SwipeableItemWrapperAdapter.onViewRecycled crash</t>
  </si>
  <si>
    <t xml:space="preserve">My application logged another crash on activity destroy due to AdvancedRecyclerView (SwipeableItemWrapperAdapter onViewRecycled)
java lang NullPointerException
    at com h6ah4i android widget advrecyclerview swipeable SwipeableItemWrapperAdapter onViewRecycled(SwipeableItemWrapperAdapter java:77)
    at android support v7 widget RecyclerView Recycler dispatchViewRecycled(RecyclerView java:4912)
    at android support v7 widget RecyclerView Recycler addViewHolderToRecycledViewPool(RecyclerView java:4678)
    at android support v7 widget RecyclerView Recycler recycleViewHolderInternal(RecyclerView java:4661)
    at android support v7 widget RecyclerView removeAnimatingView(RecyclerView java:1091)
    at android support v7 widget RecyclerView access 6200(RecyclerView java:144)
    at android support v7 widget RecyclerView ItemAnimatorRestoreListener onAnimationFinished(RecyclerView java:9541)
    at android support v7 widget RecyclerView ItemAnimator dispatchAnimationFinished(RecyclerView java:10017)
    at android support v7 widget SimpleItemAnimator dispatchRemoveFinished(SimpleItemAnimator java:252)
    at com h6ah4i android widget advrecyclerview animator impl ItemRemoveAnimationManager dispatchFinished(ItemRemoveAnimationManager java:54)
    at com h6ah4i android widget advrecyclerview animator impl ItemRemoveAnimationManager dispatchFinished(ItemRemoveAnimationManager java:24)
    at com h6ah4i android widget advrecyclerview animator impl BaseItemAnimationManager BaseAnimatorListener onAnimationEnd(BaseItemAnimationManager java:227)
    at android support v4 view ViewPropertyAnimatorCompatJB 1 onAnimationEnd(ViewPropertyAnimatorCompatJB java:47)
    at android view ViewPropertyAnimator AnimatorEventListener onAnimationEnd(ViewPropertyAnimator java:1030)
    at android animation ValueAnimator endAnimation(ValueAnimator java:1056)
    at android animation ValueAnimator cancel(ValueAnimator java:969)
    at android view ViewPropertyAnimator cancel(ViewPropertyAnimator java:412)
    at android support v4 view ViewPropertyAnimatorCompatICS cancel(ViewPropertyAnimatorCompatICS java:102)
    at android support v4 view ViewPropertyAnimatorCompat ICSViewPropertyAnimatorCompatImpl cancel(ViewPropertyAnimatorCompat java:462)
    at android support v4 view ViewPropertyAnimatorCompat cancel(ViewPropertyAnimatorCompat java:1049)
    at com h6ah4i android widget advrecyclerview animator impl BaseItemAnimationManager cancelAllStartedAnimations(BaseItemAnimationManager java:63)
    at com h6ah4i android widget advrecyclerview animator GeneralItemAnimator endAnimations(GeneralItemAnimator java:181)
    at android support v7 widget RecyclerView onDetachedFromWindow(RecyclerView java:2067)
    at android view View dispatchDetachedFromWindow(View java:13549)
    at android view ViewGroup dispatchDetachedFromWindow(ViewGroup java:2802)
    at android view ViewGroup dispatchDetachedFromWindow(ViewGroup java:2800)
    at android view ViewGroup dispatchDetachedFromWindow(ViewGroup java:2800)
    at android view ViewGroup removeViewInternal(ViewGroup java:4068)
    at android view ViewGroup removeViewInternal(ViewGroup java:4041)
    at android view ViewGroup removeView(ViewGroup java:3973)
    at android support v4 view ViewPager removeView(ViewPager java:1359)
    at android support v4 app FragmentManagerImpl moveToState(FragmentManager java:1178)
    at android support v4 app FragmentManagerImpl moveToState(FragmentManager java:1259)
    at android support v4 app FragmentManagerImpl moveToState(FragmentManager java:1241)
    at android support v4 app FragmentManagerImpl dispatchDestroyView(FragmentManager java:2084)
    at android support v4 app Fragment performDestroyView(Fragment java:2167)
    at android support v4 app FragmentManagerImpl moveToState(FragmentManager java:1152)
    at android support v4 app FragmentManagerImpl moveToState(FragmentManager java:1259)
    at android support v4 app FragmentManagerImpl moveToState(FragmentManager java:1241)
    at android support v4 app FragmentManagerImpl dispatchDestroy(FragmentManager java:2090)
    at android support v4 app FragmentController dispatchDestroy(FragmentController java:235)
    at android support v4 app FragmentActivity onDestroy(FragmentActivity java:326)
    at android support v7 app AppCompatActivity onDestroy(AppCompatActivity java:161)
    at md54090ab44571a8c6cc99872905c9f38e0 BaseMvxActivity 1 n onDestroy(Native Method)
    at md54090ab44571a8c6cc99872905c9f38e0 BaseMvxActivity 1 onDestroy(BaseMvxActivity 1 java:46)
    at android app Activity performDestroy(Activity java:5631)
    at android app Instrumentation callActivityOnDestroy(Instrumentation java:1123)
    at android app ActivityThread performDestroyActivity(ActivityThread java:3787)
    at android app ActivityThread handleDestroyActivity(ActivityThread java:3818)
    at android app ActivityThread handleRelaunchActivity(ActivityThread java:4018)
    at android app ActivityThread access 1000(ActivityThread java:172)
    at android app ActivityThread H handleMessage(ActivityThread java:1311)
    at android os Handler dispatchMessage(Handler java:102)
    at android os Looper loop(Looper java:146)
    at android app ActivityThread main(ActivityThread java:5598)
    at java lang reflect Method invokeNative(Native Method)
    at java lang reflect Method invoke(Method java:515)
    at com android internal os ZygoteInit MethodAndArgsCaller run(ZygoteInit java:1283)
    at com android internal os ZygoteInit main(ZygoteInit java:1099)
    at dalvik system NativeStart main(Native Method)
Investigating issue 
</t>
  </si>
  <si>
    <t>ccrama-Slide-364</t>
  </si>
  <si>
    <t>Crash after clicking URL in Welcome to reddit message</t>
  </si>
  <si>
    <t xml:space="preserve">Clicking on the hyperlink in the   Welcome to reddit   message that asks you to   Type in an interest   causes a crash  In a browser  the URL should bring you to a page where you can subscribe to new subreddits (not sure how you d want to handle that in an app mdash I could see it getting ugly fast)  I ve included a stack trace  since the GitHub reporter didn t show up 
This is the relevant URL:  https:  www reddit com subreddits ref welcomepm 
          beginning of crash
11 05 00:13:14 549 28314 28344 E AndroidRuntime: FATAL EXCEPTION: AsyncTask  2
11 05 00:13:14 549 28314 28344 E AndroidRuntime: Process: me ccrama redditslide  PID: 28314
11 05 00:13:14 549 28314 28344 E AndroidRuntime: java lang RuntimeException: An error occurred while executing doInBackground()
11 05 00:13:14 549 28314 28344 E AndroidRuntime:    at android os AsyncTask 3 done(AsyncTask java:309)
11 05 00:13:14 549 28314 28344 E AndroidRuntime:    at java util concurrent FutureTask finishCompletion(FutureTask java:354)
11 05 00:13:14 549 28314 28344 E AndroidRuntime:    at java util concurrent FutureTask setException(FutureTask java:223)
11 05 00:13:14 549 28314 28344 E AndroidRuntime:    at java util concurrent FutureTask run(FutureTask java:242)
11 05 00:13:14 549 28314 28344 E AndroidRuntime:    at android os AsyncTask SerialExecutor 1 run(AsyncTask java:234)
11 05 00:13:14 549 28314 28344 E AndroidRuntime:    at java util concurrent ThreadPoolExecutor runWorker(ThreadPoolExecutor java:1113)
11 05 00:13:14 549 28314 28344 E AndroidRuntime:    at java util concurrent ThreadPoolExecutor Worker run(ThreadPoolExecutor java:588)
11 05 00:13:14 549 28314 28344 E AndroidRuntime:    at java lang Thread run(Thread java:818)
11 05 00:13:14 549 28314 28344 E AndroidRuntime: Caused by: net dean jraw http NetworkException: Request returned non successful status code: 404 Not Found
11 05 00:13:14 549 28314 28344 E AndroidRuntime:    at net dean jraw http RestClient execute(RestClient java:132)
11 05 00:13:14 549 28314 28344 E AndroidRuntime:    at net dean jraw RedditClient execute(RedditClient java:147)
11 05 00:13:14 549 28314 28344 E AndroidRuntime:    at net dean jraw RedditClient execute(RedditClient java:141)
11 05 00:13:14 549 28314 28344 E AndroidRuntime:    at net dean jraw RedditClient getSubmission(RedditClient java:344)
11 05 00:13:14 549 28314 28344 E AndroidRuntime:    at net dean jraw RedditClient getSubmission(RedditClient java:322)
11 05 00:13:14 549 28314 28344 E AndroidRuntime:    at me ccrama redditslide Activities CommentsScreenSingle AsyncGetSubredditName doInBackground(CommentsScreenSingle java:48)
11 05 00:13:14 549 28314 28344 E AndroidRuntime:    at me ccrama redditslide Activities CommentsScreenSingle AsyncGetSubredditName doInBackground(CommentsScreenSingle java:29)
11 05 00:13:14 549 28314 28344 E AndroidRuntime:    at android os AsyncTask 2 call(AsyncTask java:295)
11 05 00:13:14 549 28314 28344 E AndroidRuntime:    at java util concurrent FutureTask run(FutureTask java:237)
11 05 00:13:14 549 28314 28344 E AndroidRuntime:        4 more
11 05 00:13:14 556   799  3521 W ActivityManager:   Force finishing activity me ccrama redditslide  Activities Crash
11 05 00:13:14 563   799  3521 W ActivityManager:   Force finishing activity me ccrama redditslide  Activities CommentsScreenSingle
</t>
  </si>
  <si>
    <t>MirakelX-mirakel-android-608</t>
  </si>
  <si>
    <t>App crashes when opening a task (with subtasks)</t>
  </si>
  <si>
    <t xml:space="preserve">I went to a lot of work setting up a task with subtasks  then i tapped add file  then tapped take a photo  took a photo  and tapped the checkmark  it crashed  and now it crashes every time I try to open the task  How do I fix this 
</t>
  </si>
  <si>
    <t>SubstanceMobile-GEM-20</t>
  </si>
  <si>
    <t>No art crash</t>
  </si>
  <si>
    <t xml:space="preserve">if an album doesn t have an art then GEM will crash while  opening album details
Debug info:
 OS Version: 3 4 42 g5a7e063(eng eagleeyetom 20150815 100642)
 OS API Level: 22
 Device: victara
 Model (and Product): victara (victara tmo)
 RELEASE: 5 1 1
 BRAND: motorola
 DISPLAY:  LVY48C
 CPU ABI: armeabi v7a
 CPU ABI2: armeabi
 HARDWARE: qcom
 MANUFACTURER: motorola
Extra Info: 
 App Version: 0 2 1
 App Version ID: 13
</t>
  </si>
  <si>
    <t>ccrama-Slide-381</t>
  </si>
  <si>
    <t>Issues with 'load full thread'</t>
  </si>
  <si>
    <t xml:space="preserve">   x  Clicking it doesn t dismiss it 
   x  It shows up even with (np) links to full posts without a specific comment 
   x  Clicking while the post is loading leads to crashes:
11 06 19:37:43 709 21504 21504 me ccrama redditslide E AndroidRuntime: java lang NullPointerException: Attempt to invoke virtual method  java util Iterator java util ArrayList iterator()  on a null object reference
11 06 19:37:43 709 21504 21504 me ccrama redditslide E AndroidRuntime:     at me ccrama redditslide Fragments CommentPage doData(CommentPage java:348)
11 06 19:37:43 709 21504 21504 me ccrama redditslide E AndroidRuntime:     at me ccrama redditslide Adapters SubmissionComments LoadData onPostExecute(SubmissionComments java:85)
11 06 19:37:43 709 21504 21504 me ccrama redditslide E AndroidRuntime:     at me ccrama redditslide Adapters SubmissionComments LoadData onPostExecute(SubmissionComments java:71)
11 06 19:37:43 709 21504 21504 me ccrama redditslide E AndroidRuntime:     at android os AsyncTask finish(AsyncTask java:632)
11 06 19:37:43 709 21504 21504 me ccrama redditslide E AndroidRuntime:     at android os AsyncTask access 600(AsyncTask java:177)
11 06 19:37:43 709 21504 21504 me ccrama redditslide E AndroidRuntime:     at android os AsyncTask InternalHandler handleMessage(AsyncTask java:645)
11 06 19:37:43 709 21504 21504 me ccrama redditslide E AndroidRuntime:     at android os Handler dispatchMessage(Handler java:102)
11 06 19:37:43 709 21504 21504 me ccrama redditslide E AndroidRuntime:     at android os Looper loop(Looper java:135)
11 06 19:37:43 709 21504 21504 me ccrama redditslide E AndroidRuntime:     at android app ActivityThread main(ActivityThread java:5349)
11 06 19:37:43 709 21504 21504 me ccrama redditslide E AndroidRuntime:     at java lang reflect Method invoke(Native Method)
11 06 19:37:43 709 21504 21504 me ccrama redditslide E AndroidRuntime:     at java lang reflect Method invoke(Method java:372)
11 06 19:37:43 709 21504 21504 me ccrama redditslide E AndroidRuntime:     at com android internal os ZygoteInit MethodAndArgsCaller run(ZygoteInit java:908)
11 06 19:37:43 709 21504 21504 me ccrama redditslide E AndroidRuntime:     at com android internal os ZygoteInit main(ZygoteInit java:703)
</t>
  </si>
  <si>
    <t>dimagi-commcare-android-783</t>
  </si>
  <si>
    <t>Prevent swipe when repeat dialog is up</t>
  </si>
  <si>
    <t xml:space="preserve">If you try to quickly swipe twice when the next question launches a repeat dialog  then clicking any entry in the dialog crashes the app  This is happening because the second swipe is being processed even when the dialog is present
http:  manage dimagi com default asp 186334
Fixes this ACRA crash: 
java lang RuntimeException: Invalid reference while copying itemset answer: Destination already exists 
https:  commcare acralyzer cloudant com acralyzer  design acralyzer index html  reports browser commcare odk bug dc4a2588a05c7cff3cc4279bd7562f9d
</t>
  </si>
  <si>
    <t>SCCapstone-5chords-17</t>
  </si>
  <si>
    <t>Biggest Bug i've ever seen</t>
  </si>
  <si>
    <t xml:space="preserve">I don t know what causes this bug but sometime  when you pick a chord and press  check   it will crash the apps  My spidey senses telling me that one of our many arrays might be causing this  However I could not pinpoint the correct one  It is very random  I can hardly replicate this bug   Unlockingcube  zeagler  zwaskins  MissingPiece 
</t>
  </si>
  <si>
    <t>SubstanceMobile-GEM-19</t>
  </si>
  <si>
    <t>Can't click on song from album view &amp;&amp; Switching albums causes crash.</t>
  </si>
  <si>
    <t xml:space="preserve">Songs will not play from album view  There isn t a ripple either  using the FAB will play the album though  Song will play from the song tab 
Playing another album while one is already playing causes crash 
Debug info:
 OS Version: 3 4 67 cyanogenmod g8021b62(eng hamster 20151025 152226)
 OS API Level: 23
 Device: bacon
 Model (and Product): A0001 (aosp bacon)
 RELEASE: 6 0
 BRAND: oneplus
 DISPLAY: aosp bacon userdebug 6 0 MRA58K eng hamster 20151025 152226 test keys
 CPU ABI: armeabi v7a
 CPU ABI2: armeabi
 HARDWARE: bacon
 MANUFACTURER: OnePlus
Extra Info: 
 App Version: 0 2 1
 App Version ID: 13
</t>
  </si>
  <si>
    <t>ccrama-Slide-423</t>
  </si>
  <si>
    <t>App crash: Reorder your pins view</t>
  </si>
  <si>
    <t xml:space="preserve">Slide crashes if you have no pinned subs to start with  Adding pinned subs first from the sidebar info fixes the issue 
Goto:
Profile   Reorder your pins 
Tap the add button fab and the app will crash 
Also it is not obvious that you need to pin apps from the sidebar first in order to reorder them  It would be better to have the ability to reorder all subs even if they are not pinned 
</t>
  </si>
  <si>
    <t>ccrama-Slide-422</t>
  </si>
  <si>
    <t>Crash when tapping on the username of a deleted comment</t>
  </si>
  <si>
    <t xml:space="preserve">Normally  tapping on the username in a comment brings you to the profile of that user  However  if the comment has been deleted  tapping the   deleted   username will cause a crash 
</t>
  </si>
  <si>
    <t>ccrama-Slide-416</t>
  </si>
  <si>
    <t>App crash when changing Image mode.</t>
  </si>
  <si>
    <t xml:space="preserve">Whenever I try to change the image mode to whataver different than  None  inside Settings  Default Layout or Settings  Alternative Layout  the app crashes  
Release 4 3 downloaded from Play Store 
Using Samsung Galaxy S6 (SM G920F) on Android 5 1 1
EDIT: Using Catalan locale (cat  ca ES) btw 
Thanks for the workaround and keep up the good work  D
</t>
  </si>
  <si>
    <t>ccrama-Slide-399</t>
  </si>
  <si>
    <t>Issues with (un)subscribing</t>
  </si>
  <si>
    <t xml:space="preserve">I m using the newest code for this
1  Unsubcribing simply does not work (still showing as subscribed on official website)
2  Subscribing to a subreddit (that is existing ) crashes with the following log:
java lang RuntimeException: An error occured while executing doInBackground()
11 07 14:33:09 894 24413 24704 me ccrama redditslide E AndroidRuntime:     at android os AsyncTask 3 done(AsyncTask java:300)
11 07 14:33:09 894 24413 24704 me ccrama redditslide E AndroidRuntime:     at java util concurrent FutureTask finishCompletion(FutureTask java:355)
11 07 14:33:09 894 24413 24704 me ccrama redditslide E AndroidRuntime:     at java util concurrent FutureTask setException(FutureTask java:222)
11 07 14:33:09 894 24413 24704 me ccrama redditslide E AndroidRuntime:     at java util concurrent FutureTask run(FutureTask java:242)
11 07 14:33:09 894 24413 24704 me ccrama redditslide E AndroidRuntime:     at android os AsyncTask SerialExecutor 1 run(AsyncTask java:231)
11 07 14:33:09 894 24413 24704 me ccrama redditslide E AndroidRuntime:     at java util concurrent ThreadPoolExecutor runWorker(ThreadPoolExecutor java:1112)
11 07 14:33:09 894 24413 24704 me ccrama redditslide E AndroidRuntime:     at java util concurrent ThreadPoolExecutor Worker run(ThreadPoolExecutor java:587)
11 07 14:33:09 894 24413 24704 me ccrama redditslide E AndroidRuntime:     at java lang Thread run(Thread java:818)
11 07 14:33:09 894 24413 24704 me ccrama redditslide E AndroidRuntime:  Caused by: net dean jraw http NetworkException: Request returned non successful status code: 404 Not Found
11 07 14:33:09 894 24413 24704 me ccrama redditslide E AndroidRuntime:     at net dean jraw http RestClient execute(RestClient java:132)
11 07 14:33:09 894 24413 24704 me ccrama redditslide E AndroidRuntime:     at net dean jraw RedditClient execute(RedditClient java:147)
11 07 14:33:09 894 24413 24704 me ccrama redditslide E AndroidRuntime:     at net dean jraw RedditClient execute(RedditClient java:141)
11 07 14:33:09 894 24413 24704 me ccrama redditslide E AndroidRuntime:     at net dean jraw managers AccountManager setSubscribed(AccountManager java:266)
11 07 14:33:09 894 24413 24704 me ccrama redditslide E AndroidRuntime:     at net dean jraw managers AccountManager unsubscribe(AccountManager java:255)
11 07 14:33:09 894 24413 24704 me ccrama redditslide E AndroidRuntime:     at me ccrama redditslide Activities SubredditView 9 1 doInBackground(SubredditView java:663)
11 07 14:33:09 894 24413 24704 me ccrama redditslide E AndroidRuntime:     at me ccrama redditslide Activities SubredditView 9 1 doInBackground(SubredditView java:654)
11 07 14:33:09 894 24413 24704 me ccrama redditslide E AndroidRuntime:     at android os AsyncTask 2 call(AsyncTask java:288)
11 07 14:33:09 894 24413 24704 me ccrama redditslide E AndroidRuntime:     at java util concurrent FutureTask run(FutureTask java:237)
11 07 14:33:09 894 24413 24704 me ccrama redditslide E AndroidRuntime:     at android os AsyncTask SerialExecutor 1 run(AsyncTask java:231) 
11 07 14:33:09 894 24413 24704 me ccrama redditslide E AndroidRuntime:     at java util concurrent ThreadPoolExecutor runWorker(ThreadPoolExecutor java:1112) 
11 07 14:33:09 894 24413 24704 me ccrama redditslide E AndroidRuntime:     at java util concurrent ThreadPoolExecutor Worker run(ThreadPoolExecutor java:587) 
11 07 14:33:09 894 24413 24704 me ccrama redditslide E AndroidRuntime:     at java lang Thread run(Thread java:818) 
</t>
  </si>
  <si>
    <t>square-okhttp-1978</t>
  </si>
  <si>
    <t>HttpLoggingInterceptor crashes on invalid charsets</t>
  </si>
  <si>
    <t xml:space="preserve">I have encountered a server that returns responses like this:
HTTP 1 1 200 OK
Date: Sat  07 Nov 2015 11:34:54 GMT
Server: Apache
Strict Transport Security: max age 63072000  includeSubdomains  preload
X Powered By: PHP 5 4 41
MS Author Via: DAV
X Sabre Version: 1 8 7
Content Type: text html  charset 0
The charset value causes  HttpLoggingInterceptor  to fail  because it calls  Charset forName  which throws an  UnsupportedCharsetException  for the value  0   Neither  MediaType charset()  nor  HttpLoggingInterceptor  handle this exception  so the logging interceptor crashes 
I see two possible methods of handling that:
   MediaType charset()  could handle the exception   but which charset should be assumed 
  Maybe that s not so wise  Instead  it should be pointed out that  MediaType charset()  throws  UnsupportedMediaException    HttpLoggingInterceptor  (and maybe other occurrences in the code) should handle this  UnsupportedMediaException  (see PR  1977) 
</t>
  </si>
  <si>
    <t>kentsay-Zurich-Velo-Challenge-21</t>
  </si>
  <si>
    <t>doInBackground cause RuntimeException</t>
  </si>
  <si>
    <t xml:space="preserve">The looper issues  It seems that the looper need a end statement otherwise after loading a few kml it will cause the app to crash 
</t>
  </si>
  <si>
    <t>ccrama-Slide-392</t>
  </si>
  <si>
    <t>Posts no longer work</t>
  </si>
  <si>
    <t xml:space="preserve">Slide crashes when tapping on a post 
Problem  yeah 
</t>
  </si>
  <si>
    <t>ccrama-Slide-390</t>
  </si>
  <si>
    <t>Restore takes a few tries</t>
  </si>
  <si>
    <t xml:space="preserve">Slide Version 4 3
On a fresh install of slide  the first time  restore  is clicked  the app will crash then show the google account chooser dialog  The second time  restore  is clicked  it will show the progress bar which will stay at 0   When the device back button is then pressed  the app will show the  restoring settings  loading dialog which does nothing  After closing that by pressing the device back button  one can restore their settings successfully 
</t>
  </si>
  <si>
    <t>ccrama-Slide-389</t>
  </si>
  <si>
    <t>App dies when WiFi/Mobile Data is turned off while in app</t>
  </si>
  <si>
    <t xml:space="preserve">Slide Version: 4 3
If mobile data or wifi is turned off while in app  the app will crash and produce the  restart app  screen  When  restart  is clicked  the app will restart but will not go passed the initial splash screen that says   connecting to reddit   even when connected to internet  This also happens when the app is opened from the app drawer or by other means besides the  restart  button  
Once the app is stuck on the  connecting to reddit  and internet access is removed  the app will not produce the  slide has crashed  screen until the device s native  back  button is pressed 
If the  restart  button is pressed while there is no internet access  the  uh oh  you are not connected  dialog will appear as normal  however  the app will still not progress past the  connecting to reddit  screen when internet access is recovered 
The only way to restore functionality to the app is to either wipe app data or uninstall and reinstall the app 
EDIT: Upon further testing I have learned that this problem is fixed by uninstalling and reinstalling the app  It must be noted  however  that the app still crashes when an internet connection is removed while in app 
</t>
  </si>
  <si>
    <t>MirakelX-mirakel-android-610</t>
  </si>
  <si>
    <t>Crash just after tapping backup/restore</t>
  </si>
  <si>
    <t xml:space="preserve">After opening Mirakel 3  I went to settings   backup restore and app throws a crash (screen attached)   Device is HTC One M8 with Android 5 0 2 and AR locale  What other details are needed to help solve this bug   
Screenshot :
https:  mirakel atlassian net secure attachment 11400 mirakel 3 crash png
</t>
  </si>
  <si>
    <t>Mnkai-PGPClipper-6</t>
  </si>
  <si>
    <t>Crash on 0.12 while copying PGP data to the clipboard</t>
  </si>
  <si>
    <t xml:space="preserve">Hello  
Sorry to be a killjoy here but every time I copy PGP data to the clipboard the app crashes  
https:  gist github com anonymous 11ea2270437716cecb60
</t>
  </si>
  <si>
    <t>ccrama-Slide-469</t>
  </si>
  <si>
    <t>On Multiple swipe in Shadowbox Mode, App crashes</t>
  </si>
  <si>
    <t xml:space="preserve">If I swipe about 15 times in secession (quickly  but sometimes less  like 5)  the app will crash and need to be restarted 
I m on Nexus 5x running 6 0  build MDB08I
</t>
  </si>
  <si>
    <t>dimagi-commcare-android-807</t>
  </si>
  <si>
    <t>Fix crash when rotating form entry view w/ date/time pickers</t>
  </si>
  <si>
    <t xml:space="preserve">If you rotate the a device while in a form that has TimePicker or DateTimePicker widgets then it crashes with  java lang IndexOutOfBoundsException: setSpan (2     2) ends beyond length 0 
I was only able to trigger this crash on the  registration form of the mLabour app (https:  www commcarehq org a mlabour apps view 6bbf69cec278cff14d152ae8d1a30fe8 modules 1 forms 0 )  I tried to rotate on other forms that had TimePickers without success  
This fix probably only works for devices running Android 3 and up  but that is okay with me  since it seems hard to encounter 
https:  commcare acralyzer cloudant com acralyzer  design acralyzer index html  reports browser commcare odk bug 1c3ed844920b9be36e634e2a31ec3933
</t>
  </si>
  <si>
    <t>HeadwayApp-HTDI-Companion-12</t>
  </si>
  <si>
    <t>Screen lock bug</t>
  </si>
  <si>
    <t xml:space="preserve">If screen is locked and then unlocked while TaskCreatorActivity is showing the app will crash  This is because the CameraView is not destroyed and does not release the camera  but StepCreatorFragment attempts to reacquire the camera in its onResume  The StepCreatorFragment previously acquired the camera in onActivityCreated but this causes even worse lifecycle issues with regard to acquiring the camera at the correct times 
</t>
  </si>
  <si>
    <t>facebook-buck-501</t>
  </si>
  <si>
    <t>Empty jar committed to repository</t>
  </si>
  <si>
    <t xml:space="preserve">If you look at https:  github com facebook buck blob master test com facebook buck android testdata android instrumentation test integration test buck android support jar  the jar file is empty  Is that intentional  It seems to be crashing my build  I can look further into the build failure if the empty file is intentional  but it seemed iffy 
</t>
  </si>
  <si>
    <t>mixpanel-mixpanel-android-284</t>
  </si>
  <si>
    <t>Crash when trying to display in-app as activity is stopped</t>
  </si>
  <si>
    <t xml:space="preserve">In this scenario  the user is trying to display an in app notification (specifically a mini version) and is experiencing a crash  This exception is occurring because the Mixpanel SDK attempts to render an in app notification as the app goes to the background 
Due to the way Android manages activities  the activity is actually stopped before the in app attempts to render  resulting in an  illegal state exception (http:  www androiddesignpatterns com 2013 08 fragment transaction commit state loss html) 
To recreate this bug  you will need to target a user with an in app and background the app as soon as the in app notification attempts to render  While rare  there should be a check to prevent against the in app rendering in this scenario 
Crash Log:
11 10 04:40:30 217 28127 28127   V MixpanelAPI API: Attempting to show mini notification 
11 10 04:40:30 217 28127 28127   D AndroidRuntime: Shutting down VM
11 10 04:40:30 217 28127 28127   W dalvikvm: threadid 1: thread exiting with uncaught exception (group 0x41c19d58)
11 10 04:40:30 227 28127 28127   E AndroidRuntime: FATAL EXCEPTION: main
11 10 04:40:30 227 28127 28127   E AndroidRuntime: Process: com ryanseams mixpanel playground  PID: 28127
11 10 04:40:30 227 28127 28127   E AndroidRuntime: java lang IllegalStateException: Can not perform this action after onSaveInstanceState
11 10 04:40:30 227 28127 28127   E AndroidRuntime:     at android app FragmentManagerImpl checkStateLoss(FragmentManager java:1323)
11 10 04:40:30 227 28127 28127   E AndroidRuntime:     at android app FragmentManagerImpl enqueueAction(FragmentManager java:1341)
11 10 04:40:30 227 28127 28127   E AndroidRuntime:     at android app BackStackRecord commitInternal(BackStackRecord java:597)
11 10 04:40:30 227 28127 28127   E AndroidRuntime:     at android app BackStackRecord commit(BackStackRecord java:575)
11 10 04:40:30 227 28127 28127   E AndroidRuntime:     at com mixpanel android mpmetrics MixpanelAPI PeopleImpl 4 run(MixpanelAPI java:1894)
11 10 04:40:30 227 28127 28127   E AndroidRuntime:     at android os Handler handleCallback(Handler java:733)
11 10 04:40:30 227 28127 28127   E AndroidRuntime:     at android os Handler dispatchMessage(Handler java:95)
11 10 04:40:30 227 28127 28127   E AndroidRuntime:     at android os Looper loop(Looper java:136)
11 10 04:40:30 227 28127 28127   E AndroidRuntime:     at android app ActivityThread main(ActivityThread java:5091)
11 10 04:40:30 227 28127 28127   E AndroidRuntime:     at java lang reflect Method invokeNative(Native Method)
11 10 04:40:30 227 28127 28127   E AndroidRuntime:     at java lang reflect Method invoke(Method java:515)
11 10 04:40:30 227 28127 28127   E AndroidRuntime:     at com android internal os ZygoteInit MethodAndArgsCaller run(ZygoteInit java:792)
11 10 04:40:30 227 28127 28127   E AndroidRuntime:     at com android internal os ZygoteInit main(ZygoteInit java:608)
11 10 04:40:30 227 28127 28127   E AndroidRuntime:     at dalvik system NativeStart main(Native Method)
11 10 04:40:30 237 1247 1624   W ActivityManager:   Force finishing activity com ryanseams mixpanel playground  MainActivity
</t>
  </si>
  <si>
    <t>ngageoint-geopackage-android-16</t>
  </si>
  <si>
    <t>Importing GeoPackage as external link additional validation</t>
  </si>
  <si>
    <t xml:space="preserve">When importing a GeoPackage database as an external link  some corrupt or non database files make it past early validation   This cause crashes attempting to operate on the file 
We need to validate that the external database files are valid   Integrity checks can sometimes take a long time or loop till out of memory on corrupt   non db files   We should first check the header to see if it is a valid sqlite database file in addition to allowing integrity checks 
Header and integrity checks will be supported on imports and opens   Due to the extra time constraint these can cause  the only check on by default will be import header checks   The remaining can be enabled on the GeoPackage manager 
We should also allow validation  both header and integrity on an existing database file   In case something has corrupted the file after it was added 
</t>
  </si>
  <si>
    <t>Stuart-campbell-RushOrm-84</t>
  </si>
  <si>
    <t>NumberFormatException invalid int</t>
  </si>
  <si>
    <t xml:space="preserve">Hi  i saw the Issue with the NumberFormatExcpt here: https:  github com Stuart campbell RushOrm issues 34
And this bug should be fixed in v1 1 5  
We re using v1 1 7 in our project and we get a lot of NumberFormat Excpetions like these:
Fatal Exception: java lang NumberFormatException: Invalid int:  2 75 
       at java lang Integer invalidInt(Integer java:138)
       at java lang Integer parse(Integer java:410)
       at java lang Integer parseInt(Integer java:367)
       at java lang Integer parseInt(Integer java:334)
       at co uk rushorm core implementation RushColumnInt deserialize(RushColumnInt java:22)
       at co uk rushorm core implementation RushColumnInt deserialize(RushColumnInt java:9)
       at co uk rushorm core implementation RushColumnsImplementation setField(RushColumnsImplementation java:50)
       at co uk rushorm core implementation ReflectionClassLoader loadClass(ReflectionClassLoader java:99)
       at co uk rushorm core implementation ReflectionClassLoader loadClasses(ReflectionClassLoader java:54)
       at co uk rushorm core implementation ReflectionClassLoader loadClasses(ReflectionClassLoader java:42)
       at co uk rushorm core RushCore load(RushCore java:608)
       at co uk rushorm core RushCore load(RushCore java:257)
       at co uk rushorm core RushSearch find(RushSearch java:41)
Caused by java lang NumberFormatException: Invalid int:  OCZ ARC 100 SERIES 480GB
       at java lang Integer invalidInt(Integer java:138)
       at java lang Integer parse(Integer java:410)
       at java lang Integer parseInt(Integer java:367)
       at java lang Integer parseInt(Integer java:334)
       at co uk rushorm core implementation RushColumnInt deserialize(RushColumnInt java:22)
       at co uk rushorm core implementation RushColumnInt deserialize(RushColumnInt java:9)
       at co uk rushorm core implementation RushColumnsImplementation setField(RushColumnsImplementation java:50)
       at co uk rushorm core implementation ReflectionClassLoader loadClass(ReflectionClassLoader java:99)
       at co uk rushorm core implementation ReflectionClassLoader loadClasses(ReflectionClassLoader java:54)
       at co uk rushorm core implementation ReflectionClassLoader loadClasses(ReflectionClassLoader java:42)
       at co uk rushorm core RushCore load(RushCore java:608)
       at co uk rushorm core RushCore load(RushCore java:257)
       at co uk rushorm core RushSearch find(RushSearch java:41)
Caused by java lang NumberFormatException: Invalid int:  zotac 
       at java lang Integer invalidInt(Integer java:138)
       at java lang Integer parse(Integer java:410)
       at java lang Integer parseInt(Integer java:367)
       at java lang Integer parseInt(Integer java:334)
       at co uk rushorm core implementation RushColumnInt deserialize(RushColumnInt java:22)
       at co uk rushorm core implementation RushColumnInt deserialize(RushColumnInt java:9)
       at co uk rushorm core implementation RushColumnsImplementation setField(RushColumnsImplementation java:50)
       at co uk rushorm core implementation ReflectionClassLoader loadClass(ReflectionClassLoader java:99)
       at co uk rushorm core implementation ReflectionClassLoader loadClasses(ReflectionClassLoader java:54)
       at co uk rushorm core implementation ReflectionClassLoader loadClasses(ReflectionClassLoader java:42)
       at co uk rushorm core RushCore load(RushCore java:608)
       at co uk rushorm core RushCore load(RushCore java:257)
       at co uk rushorm core RushSearch find(RushSearch java:41)
and so on  
It seems that rushorm is mixing up some values from different variables when deserializing  
The next problem is   i cannot reproduce this behavior but there are a lot of crashes in our developer console with such kind of log messages  
Most of the crashes happen on Sony or Samsung Devices with Android 5 (82  5 1 1  8  5 0 2)
And not only in one Modelclass but  in nearly everyone  
For example: 
public class Product extends RushObject implements Serializable  
     SerializedName( id )
    private Integer productId 
     SerializedName( best avl )
    private int bestAvailability 
     SerializedName( offer count )
    private int offerCount 
    private String title 
     SerializedName( subtitle )
    private ArrayList String  subtitle   new ArrayList  () 
    private String description 
     SerializedName( rating count )
    private float ratingCount 
     SerializedName( rating stars )
    private float ratingStarts 
     SerializedName( rating percent )
    private float ratingPercent 
     SerializedName( best price )
    private String bestPrice 
Do you have any idea how we can fix this bug  
</t>
  </si>
  <si>
    <t>Mnkai-PGPClipper-8</t>
  </si>
  <si>
    <t>Crash on 0.2 when tapping the decrypted data result field</t>
  </si>
  <si>
    <t xml:space="preserve">Hello 
I finally could test version 0 2  
After processing successfully some data from the clipboard  the application crashes every time you tap the decrypted data result field 
https:  gist github com anonymous a5342d08035326ff1e86
</t>
  </si>
  <si>
    <t>google-ExoPlayer-952</t>
  </si>
  <si>
    <t>Handling of invalid periods in DASH MPDs</t>
  </si>
  <si>
    <t xml:space="preserve">In  MediaPresentationDescriptionParser  in method  parseMediaPresentationDescription   it is possible that one or more periods are discarded ignored  This can lead to an empty list of Periods for the MPD  Example: live profile  and only one period element  which lacks the start attribute (I know this is an erroneous MPD) 
In this case  the whole app will crash due to an uncaught  IndexOutOfBoundsException   when requesting the first period in  DashRendererBuilder buildRenderers()   line  Period period   manifest getPeriod(0)   
As there has to be at least one Period according to the spec anyway  I would suggest doing something along the following lines at the end of  parseMediaPresentationDescription   in order to have a graceful shutdown of the player 
if (periods isEmpty())  
  throw new ParseException(
       no valid periods present in media presentation description ) 
</t>
  </si>
  <si>
    <t>HeadwayApp-How-To-Do-It--22</t>
  </si>
  <si>
    <t>Re open task</t>
  </si>
  <si>
    <t xml:space="preserve">The app crashes when an already existing task name is entered 
</t>
  </si>
  <si>
    <t>square-okhttp-1998</t>
  </si>
  <si>
    <t>IllegalArgumentException in Headers$Builder.checkNameAndValue() for content-disposition filename response header</t>
  </si>
  <si>
    <t xml:space="preserve">The fix for https:  github com square okhttp issues 891 is causing IllegalArgumentException to be thrown for non ASCII  response  headers  Most notably  content disposition  and the filename part  This is basically causing filenames with all the best letters from all the best countries (        etc) to crash our app 
The failure mode for us is semi rare for a variety of reasons  but I imagine this would be far worse for others 
The RFC on the  filename  parameter allows any ISO 8859 1 character: http:  tools ietf org html rfc6266 page 5 so the current behaviour definitely seems to be incorrect 
It makes sense to check request headers  I m not convinced that it s reasonable for response headers  given that there are plenty of occasions where you just don t control the full stack  Actually  even the unit test that was added in the commit https:  github com square okhttp commit a57aa43c57819e06fede3f89a653eb6f059449a8 (responseHeaderParsingIsLenient) seems to imply that this is what was intended   must just be a bug 
It would be great if OkHttp could be a little less strict in production situations  but that s sort of unrelated 
Possible fix would be addLenient at https:  github com square okhttp blob master okhttp src main java com squareup okhttp internal http FramedTransport java L192 but I don t know the ins and outs of this code with enough confidence to make those changes 
java lang IllegalArgumentException: Unexpected char 0xf6 at 21 in header value: inline filename  Andy  IsSad png 
at com squareup okhttp Headers Builder checkNameAndValue(Headers java:295)
    at com squareup okhttp Headers Builder add(Headers java:245)
    at com squareup okhttp internal http FramedTransport readNameValueBlock(FramedTransport java:192)
    at com squareup okhttp internal http FramedTransport readResponseHeaders(FramedTransport java:104)
    at com squareup okhttp internal http HttpEngine readNetworkResponse(HttpEngine java:906)
    at com squareup okhttp internal http HttpEngine access 300(HttpEngine java:92)
    at com squareup okhttp internal http HttpEngine NetworkInterceptorChain proceed(HttpEngine java:891)
    at com squareup okhttp internal http HttpEngine readResponse(HttpEngine java:749)
    at com squareup okhttp Call getResponse(Call java:268)
    at com squareup okhttp Call ApplicationInterceptorChain proceed(Call java:224)
    at com squareup okhttp Call getResponseWithInterceptorChain(Call java:195)
    at com squareup okhttp Call execute(Call java:79)
</t>
  </si>
  <si>
    <t>AnimeNeko-Atarashii-466</t>
  </si>
  <si>
    <t>AniList profile crash</t>
  </si>
  <si>
    <t xml:space="preserve">The aniList profile keeps crashing due the followers 
                switch (post getActivityType())  
in line 199 in HTMLutil is emtpy
</t>
  </si>
  <si>
    <t>colegarien-SDDTermProject-122</t>
  </si>
  <si>
    <t>app crashes when you go back to interface without logging in</t>
  </si>
  <si>
    <t xml:space="preserve"> liveyourheart  Whenever you logout  all that does is clear the token from shared preference  You could still access the interface simply by going back  then if you click anything on that interface app will crash 
</t>
  </si>
  <si>
    <t>syncthing-syncthing-android-499</t>
  </si>
  <si>
    <t xml:space="preserve">Menu-key crashes app </t>
  </si>
  <si>
    <t xml:space="preserve">Syncthing Version: v0 12 2
St Android Version: 0 7 4 (from FDroid)
Device: Samsung Galaxy S3 (i9300)
Android version: 4 4 4 (Cyanogenmod 11)
When in the Home Screen (just after starting the app) and hitting the Menu key the app crashes  The crash dialog box with  Unfortunately  Syncthing has stopped   appears 
Expected behaviour: Open the side menu
</t>
  </si>
  <si>
    <t>syncthing-syncthing-android-498</t>
  </si>
  <si>
    <t>Android device disconnects, Web GUI unavailable</t>
  </si>
  <si>
    <t xml:space="preserve">I ve been using Syncthing heavily and keep running into an issue where the Android client disconnects from the cluster  This occurs when I have  Always run in background  enabled 
In the Syncthing Android app  all information in the left panel (Device ID  CPU usage  etc) is now blank  When I try to open the Web GUI  a  Webpage not available  screen appears  When I try to view logs through the options menu  the app just displays  Retrieving logs     and never loads 
So it seems Syncthing android s app GUI is still running but Syncthing itself has crashed  Restarting the Android device corrects the problem  but it eventually happens again when  Always run in background  is enabled 
Running Syncthing 0 12 1   0 7 0 on a device running Android 4 4 2
Other devices running 0 12 2 (Linux 64) and 0 12 2 (Linux ARM)
I m attaching a log taken just after restarting the device and launching syncthing android
 log syncthing txt (https:  github com syncthing syncthing android files 34972 log syncthing txt)
</t>
  </si>
  <si>
    <t>pedrovgs-DraggablePanel-75</t>
  </si>
  <si>
    <t>Dynamic change TopFragment's layout after calling initializeView</t>
  </si>
  <si>
    <t xml:space="preserve">Hi you 
After calling initializeView i cannot dynamic add view to TopFragment s layout  doesn t crash or throws any exception but  doesn t showing the added view  seem not invalidated  i also call invalidate  requestLayout for TopFragment s layout  DraggablePanel and the added view  not working at all 
Final solution that working : Calling requestLayout for BottomFragment s layout after adding view to TopFragment s layout 
So  I have no idea how my solution works and this problem  
</t>
  </si>
  <si>
    <t>enviroCar-enviroCar-app-268</t>
  </si>
  <si>
    <t>IllegalStateException: No instantiated fragment for index #0</t>
  </si>
  <si>
    <t xml:space="preserve">This happened yesterday after creating some tracks  Might be related: something in the OBD connection went wrong (in new CarTrend components  but I am fully up to date with  cleanup ) and a track without measurements was created (liked 15 minutes before this crash) 
2015 11 16T19:12:21 965  INFO : (0)  org envirocar app BaseApplication  SCREEN IS ON
2015 11 16T19:15:45 549  INFO : (0)  org envirocar app BaseApplication  onTrimMemory called
2015 11 16T19:15:45 568  INFO : (0)  org envirocar app BaseApplication  maxMemory: 67108864
2015 11 16T19:15:45 589  INFO : (0)  org envirocar app BaseApplication  totalMemory: 26288128
2015 11 16T19:15:45 598  INFO : (0)  org envirocar app BaseApplication  freeMemory: 3168232
2015 11 16T19:16:29 043  INFO : (0)  org envirocar app BaseApplication  onTrimMemory called
2015 11 16T19:16:29 044  INFO : (0)  org envirocar app BaseApplication  maxMemory: 67108864
2015 11 16T19:16:29 066  INFO : (0)  org envirocar app BaseApplication  totalMemory: 26288128
2015 11 16T19:16:29 069  INFO : (0)  org envirocar app BaseApplication  freeMemory: 3138784
2015 11 16T19:18:56 257  INFO : (0)  org envirocar app BaseApplication  onTrimMemory called
2015 11 16T19:18:56 259  INFO : (0)  org envirocar app BaseApplication  maxMemory: 67108864
2015 11 16T19:18:56 261  INFO : (0)  org envirocar app BaseApplication  totalMemory: 26288128
2015 11 16T19:18:56 262  INFO : (0)  org envirocar app BaseApplication  freeMemory: 3064776
2015 11 16T19:21:12 431  SEVERE : (0)  org envirocar core logging ACRACustomSender   REPORT ID d0e01043 7d33 4b53 afbf 7d4dfa3ea5d2  APP VERSION CODE 24  APP VERSION NAME 0 10 1  PACKAGE NAME org envirocar app  FILE PATH  data data org envirocar app files  PHONE MODEL GT I8190  ANDROID VERSION 4 4 4  BUILD BOARD montblanc
BOOTLOADER unknown
BRAND samsung
CPU ABI armeabi v7a
CPU ABI2 armeabi
DEVICE golden
DISPLAY cm golden userdebug 4 4 4 KTU84Q 4cf410a24d test keys
FINGERPRINT samsung cm golden golden:4 4 4 KTU84Q 4cf410a24d:userdebug test keys
HARDWARE samsunggolden
HOST novafusion pl
ID KTU84Q
IS DEBUGGABLE true
MANUFACTURER samsung
MODEL GT I8190
PRODUCT cm golden
RADIO unknown
SERIAL 479008c9a6d590d0
TAGS test keys
TIME 1422643693000
TYPE userdebug
UNKNOWN unknown
USER root
VERSION CODENAME REL
VERSION INCREMENTAL 4cf410a24d
VERSION RELEASE 4 4 4
VERSION RESOURCES SDK INT 19
VERSION SDK 19
VERSION SDK INT 19
  BRAND samsung  PRODUCT cm golden  TOTAL MEM SIZE 4995330048  AVAILABLE MEM SIZE 1902919680  BUILD CONFIG APPLICATION ID org envirocar app
BUILD TYPE debug
DEBUG true
FLAVOR 
VERSION CODE 24
VERSION NAME 
  CUSTOM DATA   STACK TRACE java lang RuntimeException: Unable to start activity ComponentInfo org envirocar app org envirocar app BaseMainActivity : java lang IllegalStateException: No instantiated fragment for index  0
    at android app ActivityThread performLaunchActivity(ActivityThread java:2212)
    at android app ActivityThread handleLaunchActivity(ActivityThread java:2271)
    at android app ActivityThread access 800(ActivityThread java:144)
    at android app ActivityThread H handleMessage(ActivityThread java:1205)
    at android os Handler dispatchMessage(Handler java:102)
    at android os Looper loop(Looper java:136)
    at android app ActivityThread main(ActivityThread java:5146)
    at java lang reflect Method invokeNative(Native Method)
    at java lang reflect Method invoke(Method java:515)
    at com android internal os ZygoteInit MethodAndArgsCaller run(ZygoteInit java:732)
    at com android internal os ZygoteInit main(ZygoteInit java:566)
    at dalvik system NativeStart main(Native Method)
Caused by: java lang IllegalStateException: No instantiated fragment for index  0
    at android support v4 app FragmentManagerImpl restoreAllState(FragmentManager java:1946)
    at android support v4 app FragmentController restoreAllState(FragmentController java:135)
    at android support v4 app FragmentActivity onCreate(FragmentActivity java:251)
    at android support v7 app AppCompatActivity onCreate(AppCompatActivity java:61)
    at org envirocar core injection BaseInjectorActivity onCreate(BaseInjectorActivity java:30)
    at org envirocar app BaseMainActivity onCreate(BaseMainActivity java:147)
    at android app Activity performCreate(Activity java:5231)
    at android app Instrumentation callActivityOnCreate(Instrumentation java:1087)
    at android app ActivityThread performLaunchActivity(ActivityThread java:2169)
        11 more
java lang IllegalStateException: No instantiated fragment for index  0
    at android support v4 app FragmentManagerImpl restoreAllState(FragmentManager java:1946)
    at android support v4 app FragmentController restoreAllState(FragmentController java:135)
    at android support v4 app FragmentActivity onCreate(FragmentActivity java:251)
    at android support v7 app AppCompatActivity onCreate(AppCompatActivity java:61)
    at org envirocar core injection BaseInjectorActivity onCreate(BaseInjectorActivity java:30)
    at org envirocar app BaseMainActivity onCreate(BaseMainActivity java:147)
    at android app Activity performCreate(Activity java:5231)
    at android app Instrumentation callActivityOnCreate(Instrumentation java:1087)
    at android app ActivityThread performLaunchActivity(ActivityThread java:2169)
    at android app ActivityThread handleLaunchActivity(ActivityThread java:2271)
    at android app ActivityThread access 800(ActivityThread java:144)
    at android app ActivityThread H handleMessage(ActivityThread java:1205)
    at android os Handler dispatchMessage(Handler java:102)
    at android os Looper loop(Looper java:136)
    at android app ActivityThread main(ActivityThread java:5146)
    at java lang reflect Method invokeNative(Native Method)
    at java lang reflect Method invoke(Method java:515)
    at com android internal os ZygoteInit MethodAndArgsCaller run(ZygoteInit java:732)
    at com android internal os ZygoteInit main(ZygoteInit java:566)
    at dalvik system NativeStart main(Native Method)
  INITIAL CONFIGURATION compatScreenHeightDp 508
compatScreenWidthDp 320
compatSmallestScreenWidthDp 320
densityDpi 240
fontScale 1 0
hardKeyboardHidden HARDKEYBOARDHIDDEN YES
keyboard KEYBOARD NOKEYS
keyboardHidden KEYBOARDHIDDEN NO
locale de DE
mcc 262
mnc 1
navigation NAVIGATION NONAV
navigationHidden NAVIGATIONHIDDEN YES
orientation ORIENTATION PORTRAIT
screenHeightDp 508
screenLayout SCREENLAYOUT SIZE NORMAL SCREENLAYOUT LONG YES SCREENLAYOUT LAYOUTDIR LTR
screenWidthDp 320
seq 26
smallestScreenWidthDp 320
themeConfig themes:  
touchscreen TOUCHSCREEN FINGER
uiMode UI MODE TYPE NORMAL UI MODE NIGHT NO
userSetLocale true
  CRASH CONFIGURATION compatScreenHeightDp 508
compatScreenWidthDp 320
compatSmallestScreenWidthDp 320
densityDpi 240
fontScale 1 0
hardKeyboardHidden HARDKEYBOARDHIDDEN YES
keyboard KEYBOARD NOKEYS
keyboardHidden KEYBOARDHIDDEN NO
locale de DE
mcc 262
mnc 1
navigation NAVIGATION NONAV
navigationHidden NAVIGATIONHIDDEN YES
orientation ORIENTATION PORTRAIT
screenHeightDp 508
screenLayout SCREENLAYOUT SIZE NORMAL SCREENLAYOUT LONG YES SCREENLAYOUT LAYOUTDIR LTR
screenWidthDp 320
seq 26
smallestScreenWidthDp 320
themeConfig themes:  
touchscreen TOUCHSCREEN FINGER
uiMode UI MODE TYPE NORMAL UI MODE NIGHT NO
userSetLocale true
  DISPLAY 0 currentSizeRange smallest  480 442 
0 currentSizeRange largest  800 762 
0 flags FLAG SUPPORTS PROTECTED BUFFERS FLAG SECURE
0 height 800
0 name Integrierter Bildschirm
0 orientation 0
0 pixelFormat 1
0 getRealSize  480 800 
0 rectSize  0 0 480 800 
0 refreshRate 60 000004
0 rotation ROTATION 0
0 getSize  480 800 
0 width 480
0 isValid true
  USER APP START DATE 2015 11 16T19:21:11 000 01:00  USER CRASH DATE 2015 11 16T19:21:11 000 01:00  DUMPSYS MEMINFO Permission Denial: can t dump meminfo from from pid 14355  uid 10118 without permission android permission DUMP
  LOGCAT 11 16 19:05:18 272 I enviroCar(11715):  org envirocar app BaseApplication  SCREEN IS OFF
11 16 19:12:21 950 I enviroCar(11715):  org envirocar app BaseApplication  SCREEN IS ON
11 16 19:15:45 523 E rsC     (11715): RS Message thread exiting 
11 16 19:15:45 563 I enviroCar(11715):  org envirocar app BaseApplication  onTrimMemory called
11 16 19:15:45 583 I enviroCar(11715):  org envirocar app BaseApplication  maxMemory: 67108864
11 16 19:15:45 593 I enviroCar(11715):  org envirocar app BaseApplication  totalMemory: 26288128
11 16 19:15:45 603 I enviroCar(11715):  org envirocar app BaseApplication  freeMemory: 3168232
11 16 19:16:29 027 I enviroCar(11715):  org envirocar app BaseApplication  onTrimMemory called
11 16 19:16:29 057 I enviroCar(11715):  org envirocar app BaseApplication  maxMemory: 67108864
11 16 19:16:29 057 I enviroCar(11715):  org envirocar app BaseApplication  totalMemory: 26288128
11 16 19:16:29 057 I enviroCar(11715):  org envirocar app BaseApplication  freeMemory: 3138784
11 16 19:18:56 254 I enviroCar(11715):  org envirocar app BaseApplication  onTrimMemory called
11 16 19:18:56 254 I enviroCar(11715):  org envirocar app BaseApplication  maxMemory: 67108864
11 16 19:18:56 254 I enviroCar(11715):  org envirocar app BaseApplication  totalMemory: 26288128
11 16 19:18:56 274 I enviroCar(11715):  org envirocar app BaseApplication  freeMemory: 3064776
11 16 19:21:10 709 D dalvikvm(14336): Late enabling CheckJNI
11 16 19:21:10 789 D ActivityThread(14336): handleBindApplication:org envirocar app
11 16 19:21:10 789 D ActivityThread(14336): setTargetHeapUtilization:0 75
11 16 19:21:10 789 D ActivityThread(14336): setTargetHeapMinFree:2097152
11 16 19:21:11 540 D ACRA    (14336): ACRA is enabled for org envirocar app  initializing   
11 16 19:21:11 540 D ACRA    (14336): Using default Report Fields
11 16 19:21:11 560 D ACRA    (14336): Looking for error files in  data data org envirocar app files
11 16 19:21:11 570 W dalvikvm(14336): VFY: unable to find class referenced in signature (Landroid view SearchEvent )
11 16 19:21:11 570 I dalvikvm(14336): Could not find method android view Window Callback onSearchRequested  referenced from method android support v7 internal view WindowCallbackWrapper onSearchRequested
11 16 19:21:11 570 W dalvikvm(14336): VFY: unable to resolve interface method 17995: Landroid view Window Callback  onSearchRequested (Landroid view SearchEvent )Z
11 16 19:21:11 570 D dalvikvm(14336): VFY: replacing opcode 0x72 at 0x0002
11 16 19:21:11 570 I dalvikvm(14336): Could not find method android view Window Callback onWindowStartingActionMode  referenced from method android support v7 internal view WindowCallbackWrapper onWindowStartingActionMode
11 16 19:21:11 570 W dalvikvm(14336): VFY: unable to resolve interface method 17999: Landroid view Window Callback  onWindowStartingActionMode (Landroid view ActionMode Callback I)Landroid view ActionMode 
11 16 19:21:11 570 D dalvikvm(14336): VFY: replacing opcode 0x72 at 0x0002
11 16 19:21:11 600 E FragmentManager(14336): No instantiated fragment for index  0
11 16 19:21:11 600 E FragmentManager(14336): Activity state:
11 16 19:21:11 600 D FragmentManager(14336):   Local FragmentActivity 4216c180 State:
11 16 19:21:11 600 D FragmentManager(14336):     mCreated falsemResumed false mStopped false mReallyStopped false
11 16 19:21:11 600 D FragmentManager(14336):     mLoadersStarted false
11 16 19:21:11 600 D FragmentManager(14336):   Active Fragments in 4216ce20:
11 16 19:21:11 600 D FragmentManager(14336):      0: null
11 16 19:21:11 600 D FragmentManager(14336):      1: TrackListRemoteCardFragment 421811b8  1 id 0x7f0d0169 
11 16 19:21:11 600 D FragmentManager(14336):       mFragmentId  7f0d0169 mContainerId  7f0d0169 mTag null
11 16 19:21:11 600 D FragmentManager(14336):       mState 0 mIndex 1 mWho android:fragment:1 mBackStackNesting 0
11 16 19:21:11 600 D FragmentManager(14336):       mAdded true mRemoving false mResumed false mFromLayout false mInLayout false
11 16 19:21:11 600 D FragmentManager(14336):       mHidden false mDetached false mMenuVisible true mHasMenu false
11 16 19:21:11 600 D FragmentManager(14336):       mRetainInstance false mRetaining false mUserVisibleHint true
11 16 19:21:11 600 D FragmentManager(14336):       mFragmentManager FragmentManager 4216ce20 in HostCallbacks 4216ca98  
11 16 19:21:11 600 D FragmentManager(14336):       mSavedFragmentState Bundle mParcelledData dataSize 696 
11 16 19:21:11 600 D FragmentManager(14336):      2: TrackListPagerFragment 42186fb8  2 id 0x7f0d01bb TrackListPagerFragment 
11 16 19:21:11 600 D FragmentManager(14336):       mFragmentId  7f0d01bb mContainerId  7f0d01bb mTag TrackListPagerFragment
11 16 19:21:11 600 D FragmentManager(14336):       mState 0 mIndex 2 mWho android:fragment:2 mBackStackNesting 0
11 16 19:21:11 600 D FragmentManager(14336):       mAdded true mRemoving false mResumed false mFromLayout false mInLayout false
11 16 19:21:11 600 D FragmentManager(14336):       mHidden false mDetached false mMenuVisible true mHasMenu false
11 16 19:21:11 600 D FragmentManager(14336):       mRetainInstance false mRetaining false mUserVisibleHint true
11 16 19:21:11 600 D FragmentManager(14336):       mFragmentManager FragmentManager 4216ce20 in HostCallbacks 4216ca98  
11 16 19:21:11 600 D FragmentManager(14336):       mSavedFragmentState Bundle mParcelledData dataSize 380 
11 16 19:21:11 600 D FragmentManager(14336):   Added Fragments:
11 16 19:21:11 600 D FragmentManager(14336):      0: TrackListRemoteCardFragment 421811b8  1 id 0x7f0d0169 
11 16 19:21:11 600 D FragmentManager(14336):      1: TrackListPagerFragment 42186fb8  2 id 0x7f0d01bb TrackListPagerFragment 
11 16 19:21:11 600 D FragmentManager(14336):   FragmentManager misc state:
11 16 19:21:11 600 D FragmentManager(14336):     mHost android support v4 app FragmentActivity HostCallbacks 4216ca98
11 16 19:21:11 600 D FragmentManager(14336):     mContainer android support v4 app FragmentActivity HostCallbacks 4216ca98
11 16 19:21:11 600 D FragmentManager(14336):     mCurState 0 mStateSaved false mDestroyed false
11 16 19:21:11 600 D FragmentManager(14336):     mAvailIndices:  0 
11 16 19:21:11 600 D FragmentManager(14336):   View Hierarchy:
11 16 19:21:11 600 D FragmentManager(14336):     com android internal policy impl PhoneWindow DecorView 42174d78 V E          0 0 0 0 
11 16 19:21:11 600 D FragmentManager(14336):       android widget LinearLayout 42179258 V E          0 0 0 0 
11 16 19:21:11 600 D FragmentManager(14336):         android view ViewStub 4217c7b8 G E          0 0 0 0  1020313 
11 16 19:21:11 610 D FragmentManager(14336):         android widget FrameLayout 4217cbe8 V ED         0 0 0 0  1020002 android:id content 
11 16 19:21:11 610 D AndroidRuntime(14336): Shutting down VM
11 16 19:21:11 610 W dalvikvm(14336): threadid 1: thread exiting with uncaught exception (group 0x418f2ce0)
11 16 19:21:11 620 E ACRA    (14336): ACRA caught a RuntimeException for org envirocar app
11 16 19:21:11 620 E ACRA    (14336): java lang RuntimeException: Unable to start activity ComponentInfo org envirocar app org envirocar app BaseMainActivity : java lang IllegalStateException: No instantiated fragment for index  0
11 16 19:21:11 620 E ACRA    (14336):   at android app ActivityThread performLaunchActivity(ActivityThread java:2212)
11 16 19:21:11 620 E ACRA    (14336):   at android app ActivityThread handleLaunchActivity(ActivityThread java:2271)
11 16 19:21:11 620 E ACRA    (14336):   at android app ActivityThread access 800(ActivityThread java:144)
11 16 19:21:11 620 E ACRA    (14336):   at android app ActivityThread H handleMessage(ActivityThread java:1205)
11 16 19:21:11 620 E ACRA    (14336):   at android os Handler dispatchMessage(Handler java:102)
11 16 19:21:11 620 E ACRA    (14336):   at android os Looper loop(Looper java:136)
11 16 19:21:11 620 E ACRA    (14336):   at android app ActivityThread main(ActivityThread java:5146)
11 16 19:21:11 620 E ACRA    (14336):   at java lang reflect Method invokeNative(Native Method)
11 16 19:21:11 620 E ACRA    (14336):   at java lang reflect Method invoke(Method java:515)
11 16 19:21:11 620 E ACRA    (14336):   at com android internal os ZygoteInit MethodAndArgsCaller run(ZygoteInit java:732)
11 16 19:21:11 620 E ACRA    (14336):   at com android internal os ZygoteInit main(ZygoteInit java:566)
11 16 19:21:11 620 E ACRA    (14336):   at dalvik system NativeStart main(Native Method)
11 16 19:21:11 620 E ACRA    (14336): Caused by: java lang IllegalStateException: No instantiated fragment for index  0
11 16 19:21:11 620 E ACRA    (14336):   at android support v4 app FragmentManagerImpl restoreAllState(FragmentManager java:1946)
11 16 19:21:11 620 E ACRA    (14336):   at android support v4 app FragmentController restoreAllState(FragmentController java:135)
11 16 19:21:11 620 E ACRA    (14336):   at android support v4 app FragmentActivity onCreate(FragmentActivity java:251)
11 16 19:21:11 620 E ACRA    (14336):   at android support v7 app AppCompatActivity onCreate(AppCompatActivity java:61)
11 16 19:21:11 620 E ACRA    (14336):   at org envirocar core injection BaseInjectorActivity onCreate(BaseInjectorActivity java:30)
11 16 19:21:11 620 E ACRA    (14336):   at org envirocar app BaseMainActivity onCreate(BaseMainActivity java:147)
11 16 19:21:11 620 E ACRA    (14336):   at android app Activity performCreate(Activity java:5231)
11 16 19:21:11 620 E ACRA    (14336):   at android app Instrumentation callActivityOnCreate(Instrumentation java:1087)
11 16 19:21:11 620 E ACRA    (14336):   at android app ActivityThread performLaunchActivity(ActivityThread java:2169)
11 16 19:21:11 620 E ACRA    (14336):       11 more
11 16 19:21:11 620 D ACRA    (14336): Building report
11 16 19:21:11 620 D ACRA    (14336): Using default Report Fields
11 16 19:21:11 790 V Environment(14336): Found external apps volume:  storage sdcard1
11 16 19:21:11 790 V Environment(14336): Found external apps volume:  storage sdcard1
11 16 19:21:11 800 V Environment(14336): Found external apps volume:  storage sdcard1
11 16 19:21:11 800 V Environment(14336): Found external apps volume:  storage sdcard1
11 16 19:21:12 151 I ACRA    (14336): READ LOGS granted  ACRA can include LogCat and DropBox data 
11 16 19:21:12 171 D ACRA    (14336): Retrieving logcat output   
  INSTALLATION ID 38950934 68a2 4faf b966 550dcfa2688f  USER EMAIL N A  DEVICE FEATURES android hardware wifi
android hardware location network
android hardware bluetooth le
android hardware location
android software input methods
android hardware sensor gyroscope
android hardware screen landscape
android hardware screen portrait
com cyanogenmod android
com cyngn updater
android hardware wifi direct
android hardware camera any
android hardware bluetooth
android hardware touchscreen multitouch distinct
android hardware microphone
com nextbit android
android hardware camera autofocus
android software live wallpaper
android software app widgets
android hardware camera flash
org cyanogenmod theme v1
org cyanogenmod theme
android hardware telephony
android software sip
android hardware touchscreen multitouch jazzhand
android hardware touchscreen multitouch
android hardware sensor compass
com cyngn screencast
android hardware faketouch
android hardware camera
com tmobile software themes
android software home screen
android software sip voip
android hardware sensor proximity
android hardware location gps
android hardware telephony gsm
android software device admin
android hardware camera front
android hardware touchscreen
android hardware sensor accelerometer
glEsVersion   2 0
  ENVIRONMENT getDataDirectory  data
getDownloadCacheDirectory  cache
getEmulatedStorageObbSource  mnt shell emulated obb
getExternalAppsVolumeDirectory  storage sdcard1
getExternalAppsVolumeState mounted
getExternalStorageDirectory  storage emulated 0
getExternalStorageState mounted
getLegacyExternalStorageDirectory  storage emulated legacy
getLegacyExternalStorageObbDirectory  storage emulated legacy Android obb
getMediaStorageDirectory  data media 0
getRootDirectory  system
getSecureDataDirectory  data
getSystemSecureDirectory  data system
isEncryptedFilesystemEnabled false
isExternalAppsAvailableAndMounted true
isExternalStorageEmulated true
isExternalStorageRemovable false
  SETTINGS SYSTEM ACCELEROMETER ROTATION 1
ALARM ALERT content:  media internal audio media 16
BLUETOOTH ACCEPT ALL FILES 1
DEV FORCE SHOW NAVBAR 0
DOUBLE TAP SLEEP GESTURE 1
DTMF TONE TYPE WHEN DIALING 0
DTMF TONE WHEN DIALING 1
ENABLE PEOPLE LOOKUP 1
EXPANDED DESKTOP STATE 0
EXPANDED DESKTOP STYLE 0
EXPANDED DESKTOP SYSTEM BARS VISIBILITY 0
HAPTIC FEEDBACK ENABLED 0
HEADSET CONNECT PLAYER 0
HEARING AID 0
HIDE ROTATION LOCK TOGGLE FOR ACCESSIBILITY 0
LOCKSCREEN SOUNDS ENABLED 1
LOCKSCREEN TARGETS  Intent action android intent action MAIN category android intent category LAUNCHER component com android mms  ui ConversationList S icon resource ic lockscreen sms normal end  Intent action android intent action MAIN category android intent category LAUNCHER component com andrew apollo  ui activities HomeActivity S icon resource ic lockscreen music normal end  Intent action android intent action MAIN category android intent category LAUNCHER component com android dialer  DialtactsActivity S icon resource ic lockscreen phone normal end  Intent action android intent action MAIN category android intent category LAUNCHER component com android browser  BrowserActivity S icon resource ic lockscreen browser normal end
MODE RINGER STREAMS AFFECTED 422
MUTE STREAMS AFFECTED 46
NEXT ALARM FORMATTED Di  06:30
NOISE SUPPRESSION 0
NOTIFICATION CONVERT SOUND TO VIBRATION 1
NOTIFICATION LIGHT PULSE 1
NOTIFICATION SOUND content:  media internal audio media 32
NOTIFICATION VIBRATE DURING ALERTS DISABLED 1
POINTER SPEED 0
POWER MENU EXPANDED DESKTOP ENABLED 0
PROXIMITY ON WAKE 1
QS QUICK PULLDOWN 1
REVERSE LOOKUP PROVIDER OpenCnam
RINGTONE content:  media internal audio media 169
SCREEN ANIMATION STYLE 0
SCREEN BRIGHTNESS 186
SCREEN BRIGHTNESS MODE 0
SCREEN OFF ANIMATION 1
SCREEN OFF TIMEOUT 60000
SOUND EFFECTS ENABLED 1
STATUS BAR BATTERY 2
STATUS BAR BATTERY SHOW PERCENT 0
STATUS BAR NOTIF COUNT 1
TIME 12 24 24
TTY MODE 0
USER ROTATION 0
USE EDGE SERVICE FOR GESTURES 1
VIBRATE WHEN RINGING 1
VOLUME ADJUST SOUNDS ENABLED 0
VOLUME ALARM 6
VOLUME BLUETOOTH SCO 7
VOLUME MUSIC 11
VOLUME NOTIFICATION 5
VOLUME RING 5
VOLUME SYSTEM 7
VOLUME VOICE 4
  SETTINGS SECURE ACCESSIBILITY DISPLAY MAGNIFICATION AUTO UPDATE 1
ACCESSIBILITY DISPLAY MAGNIFICATION ENABLED 0
ACCESSIBILITY DISPLAY MAGNIFICATION SCALE 2 0
ACCESSIBILITY SCREEN READER URL https:  ssl gstatic com accessibility javascript android AndroidVox v1 js
ACCESSIBILITY SCRIPT INJECTION 0
ACCESSIBILITY SPEAK PASSWORD 0
ACCESSIBILITY WEB CONTENT KEY BINDINGS 0x13 0x01000100  0x14 0x01010100  0x15 0x02000001  0x16 0x02010001  0x200000013 0x02000601  0x200000014 0x02010601  0x200000015 0x03020101  0x200000016 0x03010201  0x200000023 0x02000301  0x200000024 0x02010301  0x200000037 0x03070201  0x200000038 0x03000701:0x03010701:0x03020701 
ADB NOTIFY 1
ADB PORT  1
ALLOW MOCK LOCATION 0
ANDROID ID bbb1e56b67632bf6
BACKUP ENABLED 0
BACKUP TRANSPORT com google android backup  BackupTransportService
BLUETOOTH HCI LOG 0
DEFAULT INPUT METHOD com android inputmethod latin  LatinIME
DEFAULT THEME COMPONENTS 
DEFAULT THEME PACKAGE 
DEVELOPMENT SHORTCUT 0
ENABLED INPUT METHODS com android inputmethod latin  LatinIME
ENABLED NOTIFICATION LISTENERS org cyanogenmod theme chooser org cyanogenmod theme chooser NotificationHijackingService
INPUT METHODS SUBTYPE HISTORY com android inputmethod latin  LatinIME 774684257
LOCK DOTS VISIBLE 0
LOCK PATTERN ENABLED 1
LOCK PATTERN SIZE 3
LOCK PATTERN VISIBLE 1
LOCK SCREEN FALLBACK APPWIDGET ID 1
LOCK SCREEN OWNER INFO ENABLED 0
LOCK SHOW ERROR PATH 0
LONG PRESS TIMEOUT 500
MOUNT PLAY NOTIFICATION SND 1
MOUNT UMS AUTOSTART 0
MOUNT UMS NOTIFY ENABLED 1
MOUNT UMS PROMPT 1
PRIVACY GUARD DEFAULT 1
PROTECTED COMPONENTS jackpal androidterm jackpal androidterm Term
SCREENSAVER ACTIVATE ON DOCK 1
SCREENSAVER ACTIVATE ON SLEEP 0
SCREENSAVER COMPONENTS com android deskclock com android deskclock Screensaver
SCREENSAVER DEFAULT COMPONENT com android deskclock com android deskclock Screensaver
SCREENSAVER ENABLED 1
SELECTED INPUT METHOD SUBTYPE  1
SELECTED SPELL CHECKER com android inputmethod latin  spellcheck AndroidSpellCheckerService
SELECTED SPELL CHECKER SUBTYPE 0
SMS DEFAULT APPLICATION com android mms
TOUCH EXPLORATION ENABLED 0
USER SETUP COMPLETE 1
  SETTINGS GLOBAL ADB ENABLED 1
AIRPLANE MODE ON 0
AIRPLANE MODE RADIOS cell bluetooth wifi nfc wimax ant
AIRPLANE MODE TOGGLEABLE RADIOS bluetooth wifi nfc ant
ANIMATOR DURATION SCALE 1 0
ASSISTED GPS ENABLED 1
AUDIO SAFE VOLUME STATE 3
AUTO TIME 1
AUTO TIME ZONE 1
BLUETOOTH ON 1
CALL AUTO RETRY 0
CAR DOCK SOUND  system media audio ui Dock ogg
CAR UNDOCK SOUND  system media audio ui Undock ogg
CDMA CELL BROADCAST SMS 1
CDMA SUBSCRIPTION MODE 1
DATA ROAMING 0
DEFAULT INSTALL LOCATION 0
DESK DOCK SOUND  system media audio ui Dock ogg
DESK UNDOCK SOUND  system media audio ui Undock ogg
DEVELOPMENT SETTINGS ENABLED 1
DEVICE PROVISIONED 1
DOCK AUDIO MEDIA ENABLED 1
DOCK SOUNDS ENABLED 0
EMERGENCY TONE 0
ENABLE QUICKBOOT 0
INSTALL NON MARKET APPS 1
LOCK SOUND  system media audio ui Lock ogg
LOW BATTERY SOUND  system media audio ui LowBattery ogg
LOW BATTERY SOUND TIMEOUT 0
MOBILE DATA 1
MODE RINGER 1
NETSTATS ENABLED 1
PACKAGE VERIFIER ENABLE 1
PACKAGE VERIFIER INCLUDE ADB 1
POWER NOTIFICATIONS ENABLED 0
POWER NOTIFICATIONS RINGTONE content:  settings system notification sound
POWER NOTIFICATIONS VIBRATE 0
POWER SOUNDS ENABLED 1
PREFERRED NETWORK MODE 0
SEND ACTION APP ERROR 0
SET INSTALL LOCATION 0
STAY ON WHILE PLUGGED IN 0
TRANSITION ANIMATION SCALE 1 0
UNLOCK SOUND  system media audio ui Unlock ogg
USB MASS STORAGE ENABLED 1
WAIT FOR DEBUGGER 0
WIFI COUNTRY CODE de
WIFI DISPLAY ON 0
WIFI FREQUENCY BAND 0
WIFI MAX DHCP RETRY COUNT 9
WIFI NETWORKS AVAILABLE NOTIFICATION ON 1
WIFI ON 1
WIFI SAVED STATE 0
WIFI SCAN ALWAYS AVAILABLE 0
WIFI SLEEP POLICY 2
WIFI SUSPEND OPTIMIZATIONS ENABLED 1
WIFI WATCHDOG ON 1
WINDOW ANIMATION SCALE 1 0
WIRELESS CHARGING STARTED SOUND  system media audio ui WirelessChargingStarted ogg
  SHARED PREFERENCES default pref text to speech false
default bluetooth address 98:D3:31:F0:1E:CF
default pref always upload true
default ec sampling rate 5
default bluetooth enabler true
default first init seen
default pref bluetooth discovery interval 120
default pref bluetooth service autostart true
default pref selected car rO0ABXNyACFvcmcuZW52aXJvY2FyLmNvcmUuZW50aXR5LkNhckltcGwjKncWT08uTwIABkkAEGNv
bnN0cnVjdGlvblllYXJJABJlbmdpbmVEaXNwbGFjZW1lbnRMAAhmdWVsVHlwZXQAKExvcmcvZW52
aXJvY2FyL2NvcmUvZW50aXR5L0NhciRGdWVsVHlwZTtMAAJpZHQAEkxqYXZhL2xhbmcvU3RyaW5n
O0wADG1hbnVmYWN0dXJlcnEAfgACTAAFbW9kZWxxAH4AAnhwAAAH2AAAB2h cgAmb3JnLmVudmly
b2Nhci5jb3JlLmVudGl0eS5DYXIkRnVlbFR5cGUAAAAAAAAAABIAAHhyAA5qYXZhLmxhbmcuRW51
bQAAAAAAAAAAEgAAeHB0AAZESUVTRUx0ABg1NjQ1YzI1MmU0YjAyNzU0OTI5MWJkODh0AApWb2xr
c3dhZ2VudAASQ2FkZHkgTGlmZSAxLjkgVERJ
default pref cars  rO0ABXNyACFvcmcuZW52aXJvY2FyLmNvcmUuZW50aXR5LkNhckltcGwjKncWT08uTwIABkkAEGNv
bnN0cnVjdGlvblllYXJJABJlbmdpbmVEaXNwbGFjZW1lbnRMAAhmdWVsVHlwZXQAKExvcmcvZW52
aXJvY2FyL2NvcmUvZW50aXR5L0NhciRGdWVsVHlwZTtMAAJpZHQAEkxqYXZhL2xhbmcvU3RyaW5n
O0wADG1hbnVmYWN0dXJlcnEAfgACTAAFbW9kZWxxAH4AAnhwAAAH2AAAB2h cgAmb3JnLmVudmly
b2Nhci5jb3JlLmVudGl0eS5DYXIkRnVlbFR5cGUAAAAAAAAAABIAAHhyAA5qYXZhLmxhbmcuRW51
bQAAAAAAAAAAEgAAeHB0AAZESUVTRUxwdAAKVm9sa3N3YWdlbnQAEkNhZGR5IExpZmUgMS45IFRE
SQ  
          rO0ABXNyACFvcmcuZW52aXJvY2FyLmNvcmUuZW50aXR5LkNhckltcGwjKncWT08uTwIABkkAEGNv
bnN0cnVjdGlvblllYXJJABJlbmdpbmVEaXNwbGFjZW1lbnRMAAhmdWVsVHlwZXQAKExvcmcvZW52
aXJvY2FyL2NvcmUvZW50aXR5L0NhciRGdWVsVHlwZTtMAAJpZHQAEkxqYXZhL2xhbmcvU3RyaW5n
O0wADG1hbnVmYWN0dXJlcnEAfgACTAAFbW9kZWxxAH4AAnhwAAAH2AAAB2p cgAmb3JnLmVudmly
b2Nhci5jb3JlLmVudGl0eS5DYXIkRnVlbFR5cGUAAAAAAAAAABIAAHhyAA5qYXZhLmxhbmcuRW51
bQAAAAAAAAAAEgAAeHB0AAZESUVTRUx0ACQlVE1QX0lEJWIxZDQ2YTY5LTc3MWEtNDVlZi04MjY3
LWE4YmR0AApWb2xrc3dhZ2VudAANQ2FkZHkgMS45IFREaQ  
default pref bluetooth autoconnect true
default acra lastVersionNr 24
default bluetooth name Cartrend 1ECF
default pref selected car hash code  883993738
default pref privacy true
2015 11 16T19:21:12 439  SEVERE : (0)  org envirocar core logging ACRACustomSender   END OF ACRA REPORT 
</t>
  </si>
  <si>
    <t>ccrama-Slide-604</t>
  </si>
  <si>
    <t>Crash in multicolumn mode after hold-tapping on a comment to upvote/downvote/etc</t>
  </si>
  <si>
    <t xml:space="preserve">Nexus 9  Android 6 0  Slide 4 3 4 
I quite like Slide and bought Pro for multi column mode (and also to support it of course)  It works well  but unfortunately it just crashes if you hold tap on a comment (to bring up the menu) 
</t>
  </si>
  <si>
    <t>daparker-checkvalve-7</t>
  </si>
  <si>
    <t>NullPointerException in RconActivity</t>
  </si>
  <si>
    <t xml:space="preserve">A crash was reported in the RCON Activity   The stack trace is:
java lang NullPointerException: Attempt to invoke virtual method  java lang String java lang Object toString()  on a null object reference
    at com dparker apps checkvalve RconActivity 3 handleMessage(RconActivity java:151)
    at android os Handler dispatchMessage(Handler java:102)
    at android os Looper loop(Looper java:135)
    at android app ActivityThread main(ActivityThread java:5307)
    at java lang reflect Method invoke(Native Method)
    at java lang reflect Method invoke(Method java:372)
    at com android internal os ZygoteInit MethodAndArgsCaller run(ZygoteInit java:904)
    at com android internal os ZygoteInit main(ZygoteInit java:699)
    at de robv android xposed XposedBridge main(XposedBridge java:115)
The offending code is:
 Log d(TAG   Message object string       msg obj toString())  
Clearly  a null value check for  msg obj  is required 
</t>
  </si>
  <si>
    <t>indywidualny-FaceSlim-70</t>
  </si>
  <si>
    <t>crash upon attaching image to message</t>
  </si>
  <si>
    <t xml:space="preserve">Tap photo icon when composing a private message causes crash upon return  with both the words you already typed and the photo you just took gone 
</t>
  </si>
  <si>
    <t>philipheimboeck-gps-hawk-30</t>
  </si>
  <si>
    <t>App-Crash</t>
  </si>
  <si>
    <t xml:space="preserve">The App crashed after an hour or more of tracking 
After that  it got restarted automatically by the OS  but now it threw a NullPointerException 
Therefore 2 things:  
  Crash
  NullPointer
Will upload the log file soon
</t>
  </si>
  <si>
    <t>k9mail-k-9-901</t>
  </si>
  <si>
    <t>k9mail frequently crashes when deleting mail (bulk or individual) IMAP Inbox: BUG</t>
  </si>
  <si>
    <t xml:space="preserve">K9 mail client crashes almost every time I delete mail from my inbox 
Especially bulk delete 
I ve done the basic things one would do to fix 
Reinstall  delete and recreate account 
There is plenty of disc space on my device  
I ve enabled debugging  
I don t know what else to do 
Can you help please 
</t>
  </si>
  <si>
    <t>cSploit-android-509</t>
  </si>
  <si>
    <t>MSF not working</t>
  </si>
  <si>
    <t xml:space="preserve">Whenever I want to scan a target for vulnerabilities  it crashes shortly after pressing the  play  button and then prompts to send error logs to the developers  which I did a few times  I tried the MSF  csploit  branch as well as the  release  branch and reinstalled both the app and MSF a couple of times without luck 
Is this a know issue or does anyone else experience a same or has a suggestion on how to get MSF working with cSploit 
Can I provide any log files or did you guys receive them when I pressed  Ok  when prompted for error reporting 
Second small bug: The  Metasploit Status  pull down notification doesn t go away after existing cSploit 
</t>
  </si>
  <si>
    <t>chandevel-Clover-127</t>
  </si>
  <si>
    <t>App crashes when swiping partially loaded images</t>
  </si>
  <si>
    <t xml:space="preserve">I ve noticed that if I swipe while an image is loading  then swipe back to that image  itll fully load then the app will crash  
</t>
  </si>
  <si>
    <t>danirod-rectball-58</t>
  </si>
  <si>
    <t>Android: Crash when press Back during loading screen</t>
  </si>
  <si>
    <t xml:space="preserve">I ve seen this bug in Google Analytics being reported by the automatic crash reporter over and over 
 img width  1036  alt  captura de pantalla 2015 11 20 14 16 54  src  https:  cloud githubusercontent com assets 1568690 11300698 5f8f38bc 8f91 11e5 83a2 b069a0834aca png  
By looking at the source code I probably know what is the source  The pointed line is the one that plays a sound  It could be that if the user presses BACK on the Loading screen  the game will try to play the Back sound  but since we are in loading screen  the player isn t actually ready yet  The fact that I can reproduce this on my phone by opening Rectball and quickly pressing Back during the Loading screen makes this more suspicious 
</t>
  </si>
  <si>
    <t>ccrama-Slide-622</t>
  </si>
  <si>
    <t>sidebar: buggy and crash when switching subs too fast</t>
  </si>
  <si>
    <t xml:space="preserve">When switching too fast and open sidebar in last sub it shows info of all the subs before 
When open wiki (must exist) while it s still  loading  and go back it seems to crash soon after this
</t>
  </si>
  <si>
    <t>square-okhttp-2016</t>
  </si>
  <si>
    <t>IllegalArgumentException: Unexpected char ... in header value: ... at com.squareup.okhttp.Headers$Builder.checkNameAndValue (Headers.java:295)</t>
  </si>
  <si>
    <t xml:space="preserve">I get crash reports like that:
java lang IllegalArgumentException: Unexpected char 0x43a at 101 in header value: Mozilla 5 0 (Linux  U  Android 4 1 2  ru ru  PMP7170B3G DUO Build JZO54K) AppleWebKit 534 30 (KHTML      Gecko) Version 4 0          Safari 534 30
    at com squareup okhttp Headers Builder checkNameAndValue (Headers java:295)
    at com squareup okhttp Headers Builder set (Headers java:275)
    at com squareup okhttp internal huc HttpURLConnectionImpl setRequestProperty (HttpURLConnectionImpl java:526)
     some 3rd library code I don t have access to 
Seems to happen due to non ASCII chars in header value 
Similar to  1998  But  1998 is about response header and my smacktrace is about request header 
Thank you 
</t>
  </si>
  <si>
    <t>sriharshachilakapati-SilenceEngine-49</t>
  </si>
  <si>
    <t>Build script now includes logo_dark.png</t>
  </si>
  <si>
    <t xml:space="preserve">This fixes the ResourceLoader crash when running using compiled jar
</t>
  </si>
  <si>
    <t>uservoice-uservoice-android-sdk-211</t>
  </si>
  <si>
    <t>Nullpointer in TopicActivity</t>
  </si>
  <si>
    <t xml:space="preserve">I see this crash from crashlytics  Any ideas why is this crash occurring 
Fatal Exception: java lang RuntimeException: Unable to start activity ComponentInfo com jane android com uservoice uservoicesdk activity TopicActivity : java lang NullPointerException: Attempt to invoke interface method  int java util List size()  on a null object reference
       at android app ActivityThread performLaunchActivity(ActivityThread java:2661)
       at android app ActivityThread handleLaunchActivity(ActivityThread java:2726)
       at android app ActivityThread access 900(ActivityThread java:172)
       at android app ActivityThread H handleMessage(ActivityThread java:1421)
       at android os Handler dispatchMessage(Handler java:102)
       at android os Looper loop(Looper java:145)
       at android app ActivityThread main(ActivityThread java:5835)
       at java lang reflect Method invoke(Method java)
       at java lang reflect Method invoke(Method java:372)
       at com android internal os ZygoteInit MethodAndArgsCaller run(ZygoteInit java:1399)
       at com android internal os ZygoteInit main(ZygoteInit java:1194)
Caused by java lang NullPointerException: Attempt to invoke interface method  int java util List size()  on a null object reference
       at android widget ArrayAdapter getCount(ArrayAdapter java:330)
       at android widget AbsSpinner setAdapter(AbsSpinner java:118)
       at android widget Spinner setAdapter(Spinner java:451)
       at android support v7 widget AppCompatSpinner setAdapter(AppCompatSpinner java:383)
       at android support v7 internal widget ToolbarWidgetWrapper setDropdownParams(ToolbarWidgetWrapper java:541)
       at android support v7 internal app WindowDecorActionBar setListNavigationCallbacks(WindowDecorActionBar java:1238)
       at com uservoice uservoicesdk activity TopicActivity onCreate(TopicActivity java:38)
       at android app Activity performCreate(Activity java:6221)
       at android app Instrumentation callActivityOnCreate(Instrumentation java:1119)
       at android app ActivityThread performLaunchActivity(ActivityThread java:2614)
       at android app ActivityThread handleLaunchActivity(ActivityThread java:2726)
       at android app ActivityThread access 900(ActivityThread java:172)
       at android app ActivityThread H handleMessage(ActivityThread java:1421)
       at android os Handler dispatchMessage(Handler java:102)
       at android os Looper loop(Looper java:145)
       at android app ActivityThread main(ActivityThread java:5835)
       at java lang reflect Method invoke(Method java)
       at java lang reflect Method invoke(Method java:372)
       at com android internal os ZygoteInit MethodAndArgsCaller run(ZygoteInit java:1399)
       at com android internal os ZygoteInit main(ZygoteInit java:1194)
</t>
  </si>
  <si>
    <t>ccrama-Slide-640</t>
  </si>
  <si>
    <t>Selecting the light_green accent colour causes a crash</t>
  </si>
  <si>
    <t xml:space="preserve">If the  light green  accent colour is selected  Slide will crash  and will subsequently crash when attempting to restart the app 
</t>
  </si>
  <si>
    <t>dimagi-commcare-android-848</t>
  </si>
  <si>
    <t>Escape case list early if session ended</t>
  </si>
  <si>
    <t xml:space="preserve"> EntitySelectActivity  is a session aware activity  but it tries to access session state in  onCreate  which is before the session management can close the activity  which happens in  onResume  
Similar crash to what https:  github com dimagi commcare odk pull 803 was trying to address
</t>
  </si>
  <si>
    <t>enviroCar-enviroCar-app-272</t>
  </si>
  <si>
    <t>IllegalStateException: "Already added!"</t>
  </si>
  <si>
    <t xml:space="preserve">app crash  see log:  alreay added txt (https:  github com enviroCar enviroCar app files 43079 alreay added txt)
 this (http:  stackoverflow com questions 19441932 java lang illegalstateexception fragment already added answertab votes tab top) might solve it  
</t>
  </si>
  <si>
    <t>Karumi-Dexter-14</t>
  </si>
  <si>
    <t>Demo crashes when rotating.</t>
  </si>
  <si>
    <t xml:space="preserve">1  Request a permission 
2  While the rationale is showing  rotate the device (the dialog will be dismissed) 
3  Click the button request the permission again 
4  App crashes 
    java
1 23 17:17:32 121 20300 20300 com karumi dexter sample E AndroidRuntime: FATAL EXCEPTION: main
11 23 17:17:32 121 20300 20300 com karumi dexter sample E AndroidRuntime: Process: com karumi dexter sample  PID: 20300
11 23 17:17:32 121 20300 20300 com karumi dexter sample E AndroidRuntime: java lang IllegalStateException: Only one permission request at a time  Currently handling permission:  android permission READ CONTACTS 
11 23 17:17:32 121 20300 20300 com karumi dexter sample E AndroidRuntime:     at com karumi dexter DexterInstance checkPermission(DexterInstance java:51)
11 23 17:17:32 121 20300 20300 com karumi dexter sample E AndroidRuntime:     at com karumi dexter Dexter checkPermission(Dexter java:53)
11 23 17:17:32 121 20300 20300 com karumi dexter sample E AndroidRuntime:     at com karumi dexter sample SampleActivity onContactsPermissionButtonClicked(SampleActivity java:70)
11 23 17:17:32 121 20300 20300 com karumi dexter sample E AndroidRuntime:     at com karumi dexter sample SampleActivity  ViewBinder 2 doClick(SampleActivity  ViewBinder java:34)
11 23 17:17:32 121 20300 20300 com karumi dexter sample E AndroidRuntime:     at butterknife internal DebouncingOnClickListener onClick(DebouncingOnClickListener java:22)
11 23 17:17:32 121 20300 20300 com karumi dexter sample E AndroidRuntime:     at android view View performClick(View java:5198)
11 23 17:17:32 121 20300 20300 com karumi dexter sample E AndroidRuntime:     at android view View PerformClick run(View java:21147)
11 23 17:17:32 121 20300 20300 com karumi dexter sample E AndroidRuntime:     at android os Handler handleCallback(Handler java:739)
11 23 17:17:32 121 20300 20300 com karumi dexter sample E AndroidRuntime:     at android os Handler dispatchMessage(Handler java:95)
11 23 17:17:32 121 20300 20300 com karumi dexter sample E AndroidRuntime:     at android os Looper loop(Looper java:148)
11 23 17:17:32 121 20300 20300 com karumi dexter sample E AndroidRuntime:     at android app ActivityThread main(ActivityThread java:5417)
11 23 17:17:32 121 20300 20300 com karumi dexter sample E AndroidRuntime:     at java lang reflect Method invoke(Native Method)
11 23 17:17:32 121 20300 20300 com karumi dexter sample E AndroidRuntime:     at com android internal os ZygoteInit MethodAndArgsCaller run(ZygoteInit java:726)
11 23 17:17:32 121 20300 20300 com karumi dexter sample E AndroidRuntime:     at com android internal os ZygoteInit main(ZygoteInit java:616)
</t>
  </si>
  <si>
    <t>Bernie-2016-fieldthebern-android-150</t>
  </si>
  <si>
    <t>ErrorToastService crash</t>
  </si>
  <si>
    <t xml:space="preserve">Error display crashes on:
   errors :   id : VALIDATION ERROR   title : Email error   detail : Email is invalid   status :422    id : VALIDATION ERROR   title : Password error   detail : Password can t be blank   status :422    
 Caused by: com google gson JsonSyntaxException: java lang IllegalStateException: Expected BEGIN ARRAY but was BEGIN OBJECT at line 1 column 13 path   errors 0  
</t>
  </si>
  <si>
    <t>projectbuendia-client-156</t>
  </si>
  <si>
    <t>v0.6 crashes on patient chart activity</t>
  </si>
  <si>
    <t xml:space="preserve">Testing client release 0 6 on server 0 6 (running on Edison with buendia demo configuration) 
App installed from Jenkins client master build http:  jenkins projectbuendia org job client master 37 
Steps to reproduce:
1  Uninstall other version of app
2  Install app
3  Set server in settings and hit  Apply and clear local data 
4  Log in as Guest User (the only user)
5  There are no patients  Add a patient  First one I tried I entered Prefix  ID  Given Name  Family Name  Second one I tried I entered all the fields 
6  After the patient is added the toast  Patient added  came up
7  App crashed (presumably as it is loading the patient chart)
It also crashes when trying to open a patient chart from the patient list 
Bug reports:
https:  www dropbox com s taa56ifghecph10 bugreport 2015 11 25 16 30 13 txt dl 0
https:  www dropbox com s q4hix67vpbqtgmf bugreport 2015 11 25 16 32 41 txt dl 0
</t>
  </si>
  <si>
    <t>ccrama-Slide-660</t>
  </si>
  <si>
    <t>Un-hiding post when scrolling causes a crash</t>
  </si>
  <si>
    <t xml:space="preserve">Unhiding a post while scrolling causes a crash 
Gfycat Link: http:  giant gfycat com JointClassicGrizzlybear gif
java lang IndexOutOfBoundsException: Inconsistency detected  Invalid view holder adapter positionViewHolder 36fd211 position 9 id  1  oldPos 8  pLpos:8 scrap  attachedScrap  tmpDetached no parent 
    at android support v7 widget RecyclerView Recycler validateViewHolderForOffsetPosition(RecyclerView java:4247)
    at android support v7 widget RecyclerView Recycler getViewForPosition(RecyclerView java:4378)
    at android support v7 widget RecyclerView Recycler getViewForPosition(RecyclerView java:4359)
    at android support v7 widget LinearLayoutManager LayoutState next(LinearLayoutManager java:1961)
    at android support v7 widget LinearLayoutManager layoutChunk(LinearLayoutManager java:1370)
    at android support v7 widget LinearLayoutManager fill(LinearLayoutManager java:1333)
    at android support v7 widget LinearLayoutManager onLayoutChildren(LinearLayoutManager java:562)
    at android support v7 widget RecyclerView dispatchLayout(RecyclerView java:2864)
    at android support v7 widget RecyclerView onLayout(RecyclerView java:3071)
    at android view View layout(View java:16630)
    at android view ViewGroup layout(ViewGroup java:5437)
    at android support v4 widget SwipeRefreshLayout onLayout(SwipeRefreshLayout java:581)
    at android view View layout(View java:16630)
    at android view ViewGroup layout(ViewGroup java:5437)
    at android widget RelativeLayout onLayout(RelativeLayout java:1079)
    at android view View layout(View java:16630)
    at android view ViewGroup layout(ViewGroup java:5437)
    at android support v4 view ViewPager onLayout(ViewPager java:1627)
    at android view View layout(View java:16630)
    at android view ViewGroup layout(ViewGroup java:5437)
    at android support design widget CoordinatorLayout layoutChild(CoordinatorLayout java:1034)
    at android support design widget CoordinatorLayout onLayoutChild(CoordinatorLayout java:744)
    at android support design widget ViewOffsetBehavior onLayoutChild(ViewOffsetBehavior java:42)
    at android support design widget AppBarLayout ScrollingViewBehavior onLayoutChild(AppBarLayout java:1180)
    at android support design widget CoordinatorLayout onLayout(CoordinatorLayout java:757)
    at android view View layout(View java:16630)
    at android view ViewGroup layout(ViewGroup java:5437)
    at android widget FrameLayout layoutChildren(FrameLayout java:336)
    at android widget FrameLayout onLayout(FrameLayout java:273)
    at android view View layout(View java:16630)
    at android view ViewGroup layout(ViewGroup java:5437)
    at android widget FrameLayout layoutChildren(FrameLayout java:336)
    at android widget FrameLayout onLayout(FrameLayout java:273)
    at android view View layout(View java:16630)
    at android view ViewGroup layout(ViewGroup java:5437)
    at android widget LinearLayout setChildFrame(LinearLayout java:1743)
    at android widget LinearLayout layoutVertical(LinearLayout java:1586)
    at android widget LinearLayout onLayout(LinearLayout java:1495)
    at android view View layout(View java:16630)
    at android view ViewGroup layout(ViewGroup java:5437)
    at android widget FrameLayout layoutChildren(FrameLayout java:336)
    at android widget FrameLayout onLayout(FrameLayout java:273)
    at android view View layout(View java:16630)
    at android view ViewGroup layout(ViewGroup java:5437)
    at android widget LinearLayout setChildFrame(LinearLayout java:1743)
    at android widget LinearLayout layoutVertical(LinearLayout java:1586)
    at android widget LinearLayout onLayout(LinearLayout java:1495)
    at android view View layout(View java:16630)
    at android view ViewGroup layout(ViewGroup java:5437)
    at me imid swipebacklayout lib SwipeBackLayout onLayout(SwipeBackLayout java:386)
    at android view View layout(View java:16630)
    at android view ViewGroup layout(ViewGroup java:5437)
    at android widget FrameLayout layoutChildren(FrameLayout java:336)
    at android widget FrameLayout onLayout(FrameLayout java:273)
    at com android internal policy PhoneWindow DecorView onLayout(PhoneWindow java:2678)
    at android view View layout(View java:16630)
    at 
</t>
  </si>
  <si>
    <t>zhuowei-MCPELauncher-328</t>
  </si>
  <si>
    <t>Entity.setPosition() crashes occasionally when moving the player.</t>
  </si>
  <si>
    <t xml:space="preserve">Around 50  of the time my game will crash when I use Entity setPosition to move the player to areas that chunks are not loaded at  This issue has been around for me since 0 12 1 
This is the error it gives in the crash log:
Fatal signal 11 (SIGSEGV)  code 1  fault addr 0x1 in tid 31691 (Thread 10309)
r0 00000000 r1 00000001 r2 63f8e820 r3 00000004
r4 0000000b r5 00000001 r6 00000001 r7 70844e60
r8 936c1e00 r9 00000001 sl 936ad008 fp 7a2b72d8
ip 82cba018 sp 7a2b7270 lr 70500a41 pc 70500a5c cpsr 200f0030
 00 pc 0028da5c  data data net zhuoweizhang mcpelauncher app patched libminecraftpe text section (deleted) (LevelChunk::setBiome(Biome const   ChunkTilePos const ) 195)
 1 pc 00312da9  data data net zhuoweizhang mcpelauncher app patched libminecraftpe text section (deleted) (FlatLevelSource::loadChunk(LevelChunk ) 204)
 2 pc 002ae53b  data data net zhuoweizhang mcpelauncher app patched libminecraftpe text section (deleted) (ChunkSource::loadChunk(LevelChunk ) 10)
 3 pc 003ef05b  data data net zhuoweizhang mcpelauncher app patched libminecraftpe text section (deleted) (DBChunkStorage::loadChunk(LevelChunk ) 250)
 4 pc 002ae53b  data data net zhuoweizhang mcpelauncher app patched libminecraftpe text section (deleted) (ChunkSource::loadChunk(LevelChunk ) 10)
 5 pc 002b1b6d  data data net zhuoweizhang mcpelauncher app patched libminecraftpe text section (deleted)
 6 pc 0025727d  data data net zhuoweizhang mcpelauncher app patched libminecraftpe text section (deleted) (BackgroundQueue::Job::run() 8)
 7 pc 0029eefb  data data net zhuoweizhang mcpelauncher app patched libminecraftpe text section (deleted) (BackgroundQueue:: processNextCoroutine() 14)
 8 pc 0029efbb  data data net zhuoweizhang mcpelauncher app patched libminecraftpe text section (deleted)
 9 pc 0008553f  data app com mojang minecraftpe 1 lib arm libgnustl shared so (execute native thread routine 14)
I m using a Nvidia SHIELD on Minecraft PE 0 13 0 (presently)  I am using the latest version of BlockLauncher (you released a few hours before this post)  I am using my own mod (ZOMWar) and the ZOMWar texture pack 
Note that occasionally also it will teleport without crashing but no chunks will load at all 
I got a screenshot of it  http:  i imgur com S3Uo4Qt png
These are the codes that set position and crash 50  of the time:
function startGame(id  name)  
    var override   false 
    if(id eastereggs   false)  
        for(var e   0  e   id eastereggs length  e  )  
            if(id eastereggs e  type  EEEvents startmap  id eastereggs e  delay  false)  
                id eastereggs e  task() 
                  will NOT be checked in delay true   
                if(id eastereggs e  override  true)  
                    override   true 
    if(override  false)  
        Entity setPosition(getPlayerEnt()  id spawn 0   id spawn 1   id spawn 2 ) 
        message( Starting a new match on  a l  id fname   7  ) 
        starttime   0 
        starting   id 
  Definitely no errors  works normally 
  else if(args 0    teleport )  
        if(args 1    spawn )  
            message( Teleporting ) 
            Entity setPosition(getPlayerEnt()  149  6  33) 
          else  
            for(var i   0  i   mapdata length  i  )  
                if(mapdata i  sname  args 1 )  
                    message( Teleporting ) 
                    Entity setPosition(Player getEntity()  mapdata i  spawn 0   mapdata i  spawn 1   mapdata i  spawn 2 ) 
  isn t there either
I also discovered that on my Moto G on BL some chunks won t load randomly and some blocks won t display but be physically there  This was on 0 12 1  so it might be fixed now  so don t go about fixing it  I will investigate it and comment an update if it s still happening on 0 13 0 
</t>
  </si>
  <si>
    <t>SASAbus-SASAbus-17</t>
  </si>
  <si>
    <t>App crashes when departures textview is empty</t>
  </si>
  <si>
    <t xml:space="preserve">Clicking on refresh in the bus stops fragment results in a NullPointerException dialog when the  Departures  EditText is empty 
Clicking in  Searching     afterwards crashes the app due to a ClassCastException 
</t>
  </si>
  <si>
    <t>zhuowei-MCPELauncher-319</t>
  </si>
  <si>
    <t>Adding custom blocks to the Creative inventory makes the game crash when the inventory is opened (BL 1.11 stable)</t>
  </si>
  <si>
    <t xml:space="preserve">I tried adding a custom block to the Creative inventory with Player addItemCreativeInv() in the latest Blocklauncher (1 11 stable) and this causes a crash everytime I try to open the Creative inventory  
</t>
  </si>
  <si>
    <t>zhuowei-MCPELauncher-318</t>
  </si>
  <si>
    <t>OnEntity Removed Hook is not working</t>
  </si>
  <si>
    <t xml:space="preserve">My Creeper buddies uses this to add blocks after creepers explode 
Also custom renders crash the game  
Heres the script link : 
http:  qbot tk CreepaBuddys4 js
</t>
  </si>
  <si>
    <t>PhotoBackup-client-android-11</t>
  </si>
  <si>
    <t>Crashes at start up</t>
  </si>
  <si>
    <t xml:space="preserve">The 0 7 version crashes at start up since the update 
</t>
  </si>
  <si>
    <t>zhuowei-MCPELauncher-338</t>
  </si>
  <si>
    <t>Entity.rideAnimal() crashes Blocklauncher</t>
  </si>
  <si>
    <t xml:space="preserve">Tried to use Entity rideAnimal() in the latest beta for 0 13 and it crashes Blocklauncher  I used it with a villager that would have ridden a minecart 
</t>
  </si>
  <si>
    <t>sriharshachilakapati-SilenceEngine-53</t>
  </si>
  <si>
    <t>FilePath.calculateResourceSize() is crashing when called from IDE</t>
  </si>
  <si>
    <t xml:space="preserve">The exception being thrown is
com shc silenceengine core SilenceException: java lang IndexOutOfBoundsException: Index: 0  Size: 0
    at java util ArrayList rangeCheck(ArrayList java:653)
    at java util ArrayList get(ArrayList java:429)
    at com shc silenceengine io FilePath calculateResourceSize(FilePath java:645)
    at com shc silenceengine io FilePath sizeInBytes(FilePath java:599)
    at com shc silenceengine io FilePath toString(FilePath java:762)
    at net epoxide client ResourceManager init(ResourceManager java:24)
    at net epoxide EpoxideGame init(EpoxideGame java:38)
    at com shc silenceengine core Game start(Game java:268)
    at net epoxide EpoxideGame main(EpoxideGame java:18)
    at com shc silenceengine core SilenceException reThrow(SilenceException java:73)
    at com shc silenceengine core SilenceEngine lambda static 66(SilenceEngine java:178)
    at java lang ThreadGroup uncaughtException(ThreadGroup java:1057)
    at java lang ThreadGroup uncaughtException(ThreadGroup java:1052)
    at java lang Thread dispatchUncaughtException(Thread java:1952)
Originally posted on the forum at http:  silenceengine goharsha com forum newbie questions crashing when tostring 
</t>
  </si>
  <si>
    <t>k9mail-k-9-916</t>
  </si>
  <si>
    <t>S/MIME crashes app</t>
  </si>
  <si>
    <t xml:space="preserve">I m using the master branch and opening PGP MIME signed encrypted mail works fine  but when I open a S MIME signed mail  the app crashes 
11 28 11:26:29 522 21844 21844 D AndroidRuntime: Shutting down VM
11 28 11:26:29 530 21844 21844 E AndroidRuntime: FATAL EXCEPTION: main
11 28 11:26:29 530 21844 21844 E AndroidRuntime: Process: com fsck k9 debug  PID: 21844
11 28 11:26:29 530 21844 21844 E AndroidRuntime: java lang NullPointerException: Attempt to invoke virtual method  int org openintents openpgp OpenPgpSignatureResult getResult()  on a null object reference
11 28 11:26:29 530 21844 21844 E AndroidRuntime:    at com fsck k9 ui messageview OpenPgpHeaderView displayVerificationResult(OpenPgpHeaderView java:184)
11 28 11:26:29 530 21844 21844 E AndroidRuntime:    at com fsck k9 ui messageview OpenPgpHeaderView initializeSignatureHeader(OpenPgpHeaderView java:164)
11 28 11:26:29 530 21844 21844 E AndroidRuntime:    at com fsck k9 ui messageview OpenPgpHeaderView setOpenPgpData(OpenPgpHeaderView java:70)
11 28 11:26:29 530 21844 21844 E AndroidRuntime:    at com fsck k9 ui messageview MessageContainerView displayMessageViewContainer(MessageContainerView java:444)
11 28 11:26:29 530 21844 21844 E AndroidRuntime:    at com fsck k9 ui messageview MessageTopView setMessage(MessageTopView java:94)
11 28 11:26:29 530 21844 21844 E AndroidRuntime:    at com fsck k9 ui messageview MessageViewFragment showMessage(MessageViewFragment java:277)
11 28 11:26:29 530 21844 21844 E AndroidRuntime:    at com fsck k9 ui messageview MessageViewFragment onDecodeMessageFinished(MessageViewFragment java:272)
11 28 11:26:29 530 21844 21844 E AndroidRuntime:    at com fsck k9 ui messageview MessageViewFragment access 1200(MessageViewFragment java:56)
11 28 11:26:29 530 21844 21844 E AndroidRuntime:    at com fsck k9 ui messageview MessageViewFragment DecodeMessageLoaderCallback onLoadFinished(MessageViewFragment java:751)
11 28 11:26:29 530 21844 21844 E AndroidRuntime:    at com fsck k9 ui messageview MessageViewFragment DecodeMessageLoaderCallback onLoadFinished(MessageViewFragment java:741)
11 28 11:26:29 530 21844 21844 E AndroidRuntime:    at android app LoaderManagerImpl LoaderInfo callOnLoadFinished(LoaderManager java:483)
11 28 11:26:29 530 21844 21844 E AndroidRuntime:    at android app LoaderManagerImpl LoaderInfo onLoadComplete(LoaderManager java:451)
11 28 11:26:29 530 21844 21844 E AndroidRuntime:    at android content Loader deliverResult(Loader java:144)
11 28 11:26:29 530 21844 21844 E AndroidRuntime:    at com fsck k9 ui message DecodeMessageLoader deliverResult(DecodeMessageLoader java:40)
11 28 11:26:29 530 21844 21844 E AndroidRuntime:    at com fsck k9 ui message DecodeMessageLoader deliverResult(DecodeMessageLoader java:15)
11 28 11:26:29 530 21844 21844 E AndroidRuntime:    at android content AsyncTaskLoader dispatchOnLoadComplete(AsyncTaskLoader java:265)
11 28 11:26:29 530 21844 21844 E AndroidRuntime:    at android content AsyncTaskLoader LoadTask onPostExecute(AsyncTaskLoader java:92)
11 28 11:26:29 530 21844 21844 E AndroidRuntime:    at android os AsyncTask finish(AsyncTask java:651)
11 28 11:26:29 530 21844 21844 E AndroidRuntime:    at android os AsyncTask  wrap1(AsyncTask java)
11 28 11:26:29 530 21844 21844 E AndroidRuntime:    at android os AsyncTask InternalHandler handleMessage(AsyncTask java:668)
11 28 11:26:29 530 21844 21844 E AndroidRuntime:    at android os Handler dispatchMessage(Handler java:102)
11 28 11:26:29 530 21844 21844 E AndroidRuntime:    at android os Looper loop(Looper java:148)
11 28 11:26:29 530 21844 21844 E AndroidRuntime:    at android app ActivityThread main(ActivityThread java:5417)
11 28 11:26:29 530 21844 21844 E AndroidRuntime:    at java lang reflect Method invoke(Native Method)
11 28 11:26:29 530 21844 21844 E AndroidRuntime:    at com android internal os ZygoteInit MethodAndArgsCaller run(ZygoteInit java:726)
11 28 11:26:29 530 21844 21844 E AndroidRuntime:    at com android internal os ZygoteInit main(ZygoteInit java:616)
11 28 11:26:29 533  2062  5906 W ActivityManager:   Force finishing activity com fsck k9 debug com fsck k9 activity MessageList
</t>
  </si>
  <si>
    <t>greysonp-permiso-5</t>
  </si>
  <si>
    <t>Fix possible NPE in Permiso.onRequestPermissionResult()</t>
  </si>
  <si>
    <t xml:space="preserve">If  Permiso onRequestPermissionResult()  is given a request code that Permiso didn t generate  it could throw a null pointer exception  Users shouldn t be giving it these request codes  but still  We should just add a null check and log a warning if that happens  not crash 
</t>
  </si>
  <si>
    <t>zhuowei-MCPELauncher-355</t>
  </si>
  <si>
    <t>Crashes, when world is loaded</t>
  </si>
  <si>
    <t xml:space="preserve">Block launcher crashes when the world is loaded  There are a lot of methods called (6000 lines of not stupid code) in my mod and it worked perfectly with 0 12 3  http:  www98 zippyshare com d Macwv0D2 870548 Pokedroid   My mod is installable with app  just hit  play    install mod  
</t>
  </si>
  <si>
    <t>dimagi-commcare-android-870</t>
  </si>
  <si>
    <t>Sync key creation; preventing premature usage</t>
  </si>
  <si>
    <t xml:space="preserve">Trying to address the ACRA crash below 
From what I can deduce: The log submission task launch on login is trying to access the user session key before it has been setup  Thus wrapping  createNewSymetricKey  in  synchronized (lock)  should hopefully address this 
I might completely off as to when this crash is occurring  If it is happening at a different time then this solution probably doesn t really help 
https:  commcare acralyzer cloudant com acralyzer  design acralyzer index html  reports browser commcare odk bug ab17609d7e49b4bd56f02741c141e937
</t>
  </si>
  <si>
    <t>cgeo-cgeo-5296</t>
  </si>
  <si>
    <t>Crash when adding personal note from WP or Images tab</t>
  </si>
  <si>
    <t xml:space="preserve">Found this strange issue during Russian localization testing  Here is the test case:
1  Store a cache for offline use 
2  Open Cache details
3  Slide to page with Waypoints or Images
4  Press button with 3 dots
5  Press  Personal notes  
6  Enter some text
7  Press  OK 
Application will crash 
Some notes:
  The case is not reproducible from Description or Details or Logbook pages  only from Images and WP
  I found that I cannot add a personal note to a cache if it wasn t stored  Button  Personal notes  just does nothing  I assume this as a separated FR to allow to write personal notes for non stored caches (or add error message for such case)
My phone is Xperia Z3 Compact  Android 5 1 1
C:geo 2015 11 29 NB1 a4faa8b
</t>
  </si>
  <si>
    <t>arimorty-floatingsearchview-1</t>
  </si>
  <si>
    <t>Floating search view assumes that view is always called from activity</t>
  </si>
  <si>
    <t xml:space="preserve">Hey Airmorty  
Your lib looks great   I want to use it in my upcoming project work  
However I am not able to use your lib as of now as It crashes on me when I try to inflate the view  When I looked into your source code its accessing  activity   I feel custom view should be activity   fragment agnostic 
In my opinion if the custom view is doing more than a view should do then that responsibility should be given back to caller of this  custom view   
Let me know your thoughts 
Caused by: java lang ClassCastException: android view ContextThemeWrapper cannot be cast to android app Activity at
com arlib floatingsearchview FloatingSearchView setupQueryBar(FloatingSearchView java:454)
Thanks 
Manju
</t>
  </si>
  <si>
    <t>code-troopers-android-betterpickers-214</t>
  </si>
  <si>
    <t>Error inflating DatePicker</t>
  </si>
  <si>
    <t xml:space="preserve">I have this from an acra crash report
12 01 22:15:29 986 E ACRA    (23048): android view InflateException: Binary XML file line  7: Error inflating class com codetroopers betterpickers datepicker DatePicker
12 01 22:15:29 986 E ACRA    (23048):   at android view LayoutInflater createView(LayoutInflater java:620)
12 01 22:15:29 986 E ACRA    (23048):   at android view LayoutInflater createViewFromTag(LayoutInflater java:696)
12 01 22:15:29 986 E ACRA    (23048):   at android view LayoutInflater rInflate(LayoutInflater java:755)
12 01 22:15:29 986 E ACRA    (23048):   at android view LayoutInflater inflate(LayoutInflater java:492)
12 01 22:15:29 986 E ACRA    (23048):   at android view LayoutInflater inflate(LayoutInflater java:397)
12 01 22:15:29 986 E ACRA    (23048):   at android view LayoutInflater inflate(LayoutInflater java:353)
12 01 22:15:29 986 E ACRA    (23048):   at com codetroopers betterpickers datepicker DatePickerDialogFragment onCreateView(DatePickerDialogFragment java:119)
12 01 22:15:29 986 E ACRA    (23048):   at android support v4 app Fragment performCreateView(Fragment java:1962)
12 01 22:15:29 986 E ACRA    (23048):   at android support v4 app FragmentManagerImpl moveToState(FragmentManager java:1067)
12 01 22:15:29 986 E ACRA    (23048):   at android support v4 app FragmentManagerImpl moveToState(FragmentManager java:1248)
12 01 22:15:29 986 E ACRA    (23048):   at android support v4 app BackStackRecord run(BackStackRecord java:738)
12 01 22:15:29 986 E ACRA    (23048):   at android support v4 app FragmentManagerImpl execPendingActions(FragmentManager java:1613)
12 01 22:15:29 986 E ACRA    (23048):   at android support v4 app FragmentManagerImpl 1 run(FragmentManager java:517)
12 01 22:15:29 986 E ACRA    (23048):   at android os Handler handleCallback(Handler java:808)
12 01 22:15:29 986 E ACRA    (23048):   at android os Handler dispatchMessage(Handler java:103)
12 01 22:15:29 986 E ACRA    (23048):   at android os Looper loop(Looper java:193)
12 01 22:15:29 986 E ACRA    (23048):   at android app ActivityThread main(ActivityThread java:5299)
12 01 22:15:29 986 E ACRA    (23048):   at java lang reflect Method invokeNative(Native Method)
12 01 22:15:29 986 E ACRA    (23048):   at java lang reflect Method invoke(Method java:515)
12 01 22:15:29 986 E ACRA    (23048):   at com android internal os ZygoteInit MethodAndArgsCaller run(ZygoteInit java:825)
12 01 22:15:29 986 E ACRA    (23048):   at com android internal os ZygoteInit main(ZygoteInit java:641)
12 01 22:15:29 986 E ACRA    (23048):   at dalvik system NativeStart main(Native Method)
12 01 22:15:29 986 E ACRA    (23048): Caused by: java lang reflect InvocationTargetException
12 01 22:15:29 986 E ACRA    (23048):   at java lang reflect Constructor constructNative(Native Method)
12 01 22:15:29 986 E ACRA    (23048):   at java lang reflect Constructor newInstance(Constructor java:423)
12 01 22:15:29 986 E ACRA    (23048):   at android view LayoutInflater createView(LayoutInflater java:594)
12 01 22:15:29 986 E ACRA    (23048):       21 more
12 01 22:15:29 986 E ACRA    (23048): Caused by: java lang IllegalArgumentException: Bad pattern character  E  in E  d MMM yyyy
12 01 22:15:29 986 E ACRA    (23048):   at libcore icu ICU getDateFormatOrder(ICU java:165)
12 01 22:15:29 986 E ACRA    (23048):   at android text format DateFormat getDateFormatOrder(DateFormat java:384)
12 01 22:15:29 986 E ACRA    (23048):   at com codetroopers betterpickers datepicker DatePicker (DatePicker java:95)
12 01 22:15:29 986 E ACRA    (23048):       24 more
version betterpickes   2 2 1
</t>
  </si>
  <si>
    <t>ccrama-Slide-691</t>
  </si>
  <si>
    <t>Crash when spoiler link opened</t>
  </si>
  <si>
    <t xml:space="preserve">Subreddits that use spoiler tags creates a link to a nonexistent page in reddit  This causes the app to crash when opened  
 Example (http:  reddit com r anime comments 3uybmz what are some issues in an anime that could have cxircne context 3) 
</t>
  </si>
  <si>
    <t>coupies-gmbh-android-sdk-18</t>
  </si>
  <si>
    <t>Crash without API key</t>
  </si>
  <si>
    <t xml:space="preserve">A message saying that the API key is missing wrong is better than a crash  )
</t>
  </si>
  <si>
    <t>dhis2msg-DHISmessenger-12</t>
  </si>
  <si>
    <t>Application crashes when you open XMPP conference</t>
  </si>
  <si>
    <t xml:space="preserve">If you create a conference and try to open it  you will get RuntimeException and the application will crash  It seems there is some problem with ButterKnife components 
Caused by: java lang IllegalStateException: Required view  send  with ID 2131558622 for field  send  and method  sendClicked  was not found  If this view is optional add   Nullable  annotation 
</t>
  </si>
  <si>
    <t>zhuowei-MCPELauncher-365</t>
  </si>
  <si>
    <t>ModPE.selectLevel() crashes!!!!!</t>
  </si>
  <si>
    <t xml:space="preserve">ModPE selectLevel() crashes when i put my world s name on it and when it functions boom it crashed
</t>
  </si>
  <si>
    <t>PanicInitiative-PanicButton-136</t>
  </si>
  <si>
    <t>Randomly getting org.iilab.pb/.CalculatorActivity  android.os.DeadObjectException</t>
  </si>
  <si>
    <t xml:space="preserve">This exception is thrown randomly  while stress testing the PB alert trigger behavior  Need to reproduce this 
Following is the stack trace:  
12 02 12:06:48 902    780 16726   W ActivityManager  Exception when starting activity org iilab pb  CalculatorActivity
    android os DeadObjectException
            at android os BinderProxy transactNative(Native Method)
            at android os BinderProxy transact(Binder java:503)
            at android app ApplicationThreadProxy scheduleLaunchActivity(ApplicationThreadNative java:826)
            at com android server am ActivityStackSupervisor realStartActivityLocked(ActivityStackSupervisor java:1284)
            at com android server am ActivityStackSupervisor startSpecificActivityLocked(ActivityStackSupervisor java:1384)
            at com android server am ActivityStack resumeTopActivityInnerLocked(ActivityStack java:1969)
            at com android server am ActivityStack resumeTopActivityLocked(ActivityStack java:1554)
            at com android server am ActivityStack resumeTopActivityLocked(ActivityStack java:1537)
            at com android server am ActivityStack startPausingLocked(ActivityStack java:922)
            at com android server am ActivityStack finishActivityLocked(ActivityStack java:2907)
            at com android server am ActivityStack finishTopRunningActivityLocked(ActivityStack java:2763)
            at com android server am ActivityStackSupervisor finishTopRunningActivityLocked(ActivityStackSupervisor java:2755)
            at com android server am ActivityManagerService handleAppCrashLocked(ActivityManagerService java:11971)
            at com android server am ActivityManagerService makeAppCrashingLocked(ActivityManagerService java:11867)
            at com android server am ActivityManagerService crashApplication(ActivityManagerService java:12556)
            at com android server am ActivityManagerService handleApplicationCrashInner(ActivityManagerService java:12063)
            at com android server am NativeCrashListener NativeCrashReporter run(NativeCrashListener java:86)
</t>
  </si>
  <si>
    <t>sriharshachilakapati-SilenceEngine-54</t>
  </si>
  <si>
    <t>ALDevice.destroy() does not exist in latest LWJGL 3 release nightlies</t>
  </si>
  <si>
    <t xml:space="preserve">In the latest LWJGL 3 release nightlies ALDevice destroy() has been changed to ALDevice close() 
I m using LWJGL 3 0 0 build 4
Due to this change the game crashes on exit 
Heres the log:
 TRACE 12 03 2015 5:57:11 PM 
com shc silenceengine core SilenceException: java lang NoSuchMethodError: org lwjgl openal ALDevice destroy()V
    at com shc silenceengine audio openal ALContext dispose(ALContext java:95)
    at com shc silenceengine audio AudioEngine dispose(AudioEngine java:79)
    at com shc silenceengine core SilenceEngine dispose(SilenceEngine java:150)
    at com shc silenceengine core gameloops FixedCatchingUpGameLoop stop(FixedCatchingUpGameLoop java:217)
    at com shc silenceengine core gameloops FixedCatchingUpGameLoop start(FixedCatchingUpGameLoop java:110)
    at com shc silenceengine core Game start(Game java:267)
    at com shc silenceengine core Game start(Game java:217)
    at io github shadowchild vdgame Main main(Main java:64)
    at sun reflect NativeMethodAccessorImpl invoke0(Native Method)
    at sun reflect NativeMethodAccessorImpl invoke(NativeMethodAccessorImpl java:62)
    at sun reflect DelegatingMethodAccessorImpl invoke(DelegatingMethodAccessorImpl java:43)
    at java lang reflect Method invoke(Method java:497)
    at com intellij rt execution application AppMain main(AppMain java:144)
    at com shc silenceengine core SilenceException reThrow(SilenceException java:73)
    at com shc silenceengine core SilenceEngine lambda static 67(SilenceEngine java:178)
    at com shc silenceengine core SilenceEngine  Lambda 5 1789447862 uncaughtException(Unknown Source)
    at java lang ThreadGroup uncaughtException(ThreadGroup java:1057)
    at java lang ThreadGroup uncaughtException(ThreadGroup java:1052)
    at java lang Thread dispatchUncaughtException(Thread java:1952)
AL lib: (EE) alc cleanup: 1 device not closed
</t>
  </si>
  <si>
    <t>MirakelX-mirakel-android-614</t>
  </si>
  <si>
    <t>Crash when attempting to add task to just deleted list</t>
  </si>
  <si>
    <t xml:space="preserve">How to reproduce:
1  Create new list
2  Switch to list
3  Delete list
4  Close sidebar so you stay on the just deleted list
5  Press add task floating action button
6  Mirakel crashes
There are several solutions available  To me  the sanest seems to be to not allow the sidebar to be closed after deleting the active list so that the user is forced to choose another list 
This issue is probably low priority  as there is no damage or data loss and the crash can be trivially avoided  but I still felt like reporting it 
</t>
  </si>
  <si>
    <t>zhuowei-MCPELauncher-377</t>
  </si>
  <si>
    <t>Crash on creative inventory + crafting table crash</t>
  </si>
  <si>
    <t xml:space="preserve">I keep getting a crash when I open creative inventory and when I use the crafting table  I also crash 
</t>
  </si>
  <si>
    <t>Freeyourgadget-Gadgetbridge-179</t>
  </si>
  <si>
    <t>Gadgetbridge crashes when trying to access external data dir</t>
  </si>
  <si>
    <t xml:space="preserve">Gadgetbridge 0 6 6 works with my pebble (notifications  etc )  however when I try to open the app manager  the application crashes ( Unfortunately Gadgetbridge has stopped )  Anything that can be done 
Hardware: V3R3
FW: 2 9 1
</t>
  </si>
  <si>
    <t>wallabag-android-app-154</t>
  </si>
  <si>
    <t>java.lang.NullPointerException when trying to put website "In the Bag"</t>
  </si>
  <si>
    <t xml:space="preserve">Every time I try to add a website to wallabag  the app crashes 
The NullPointerException is reported for FormEncodingBuilder java on line 38 (add method)  I am using package version 17 on Android 5 1 1 
</t>
  </si>
  <si>
    <t>WOCHStudios-SoundBoard-9</t>
  </si>
  <si>
    <t>App looses ManageDocuments permission after reboot</t>
  </si>
  <si>
    <t xml:space="preserve">Once the app is installed and soundboards have been created  if the device is rebooted the app will crash when trying to play a sound with a permissions exception 
</t>
  </si>
  <si>
    <t>zhuowei-MCPELauncher-382</t>
  </si>
  <si>
    <t>Break a blocky Game!</t>
  </si>
  <si>
    <t xml:space="preserve">Whenever I break a block its crashes 
</t>
  </si>
  <si>
    <t>gre-gl-react-native-v2-41</t>
  </si>
  <si>
    <t>iOS: make sure the shaders are ready (like in Android impl)</t>
  </si>
  <si>
    <t xml:space="preserve">a crash can happen at runtime on app start   especially on iPhone 6S simulator
  warn  tid:main  GLShader m:78  Shader   name of the shader  : not a program  
</t>
  </si>
  <si>
    <t>square-okhttp-2068</t>
  </si>
  <si>
    <t>Redirect 302 IllegalArgumentException without workaround java.lang.IllegalArgumentException: Unexpected char 0xf6 at 53 in header value</t>
  </si>
  <si>
    <t xml:space="preserve">So say I m looking for a random reddit post via something like:
https:  www reddit com r EarthPorn random  json
And I get a 302 redirect to something like:
 https:  www reddit com r EarthPorn comments 3viwq1 mj lkeviken sweden 3246x2448 oc  json which gets stored in the  Location  header 
Notice the umlaut  It causes the IllegalArgumentException 
So I see that this was announced as part of the 2 5 release:  OkHttp now rejects request headers that contain invalid characters   And I think that is good as default behavior but it would be nice to be able to sanitize the headers before the request chain is errored out completely 
I can t use a network interceptor to solve this problem:
    kotlin
    client networkInterceptors() add(object : Interceptor  
            override fun intercept(chain: Interceptor Chain ): Response   
                var req   chain  request()
                 The request headers are all valid
                return chain  proceed(req)  let     BOOM    The crash happens in proceed
                      This is where we would fix the headers if we could
                    it
         )
My stack trace looks like:
 fail
 java lang IllegalArgumentException: Unexpected char 0xf6 at 53 in header value: https:  www reddit com r EarthPorn comments 3viwq1 mj lkeviken sweden 3246x2448 oc  json
    at com squareup okhttp Headers Builder checkNameAndValue(Headers java:295)
    at com squareup okhttp Headers Builder add(Headers java:245)
    at com squareup okhttp internal http FramedTransport readSpdy3HeadersList(FramedTransport java:229)
    at com squareup okhttp internal http FramedTransport readResponseHeaders(FramedTransport java:142)
    at com squareup okhttp internal http HttpEngine readNetworkResponse(HttpEngine java:909)
    at com squareup okhttp internal http HttpEngine access 300(HttpEngine java:93)
    at com squareup okhttp internal http HttpEngine NetworkInterceptorChain proceed(HttpEngine java:894)
    at com hotpodata baconforkotlin RedditSessionService genService 1 intercept(RedditSessionService kt:73)
</t>
  </si>
  <si>
    <t>Freeyourgadget-Gadgetbridge-182</t>
  </si>
  <si>
    <t>Incoming calls crash Gadgetbridge if permissions to access contacts are disabled on Android 6.0</t>
  </si>
  <si>
    <t xml:space="preserve">When I click Demo    Incoming Call  the complete App crash 
</t>
  </si>
  <si>
    <t>enviroCar-enviroCar-app-274</t>
  </si>
  <si>
    <t>IllegalStateException: ObjectGraph must be initialized before injecting objects</t>
  </si>
  <si>
    <t xml:space="preserve">got a crash on resume after an  18h break (near end of attached log) 
 ObjectGraph must be initialized txt (https:  github com enviroCar enviroCar app files 53135 ObjectGraph must be initialized txt)
</t>
  </si>
  <si>
    <t>dimagi-commcare-android-898</t>
  </si>
  <si>
    <t>Show error message when startNextSessionStep fails</t>
  </si>
  <si>
    <t xml:space="preserve">If you try to enter a part of the app that needs fixtures but you are in demo mode  the app crashes  Instead  tell the user that that part of the app isn t available and back up one step 
  screen (https:  cloud githubusercontent com assets 94817 11634960 9b30bb90 9ce1 11e5 8370 c3f1945f3f64 png)
cross requested with https:  github com dimagi commcare pull 216
</t>
  </si>
  <si>
    <t>CellularPrivacy-Android-IMSI-Catcher-Detector-661</t>
  </si>
  <si>
    <t>Crashes when pressing Status-Icons and Debugging</t>
  </si>
  <si>
    <t xml:space="preserve">Hi  larsgrefer  I ve just played a bit with our fresher app after you polished our design a bit with  654 
Looks and feels great so far  but our app now crashes on the following events (which it didn t do before):
  Pressing the Status Icons in the  About  menu
  Pressing  Debugging  in the Navigation Drawer
I ve crafted a  logcat (https:  defuse ca b ByxKkHqk) for you  hopefully it contains enough information to fix what is wrong  Thank you 
</t>
  </si>
  <si>
    <t>ccrama-Slide-715</t>
  </si>
  <si>
    <t>Changing to white theme causes a crash</t>
  </si>
  <si>
    <t xml:space="preserve">I use the black theme but now I change to white theme vut it make the app crash and it is imposiible to use it now  Every time I try to launch the app it crash 
</t>
  </si>
  <si>
    <t>CellularPrivacy-Android-IMSI-Catcher-Detector-677</t>
  </si>
  <si>
    <t>Crash with new Pop Up system in SmsDetector.</t>
  </si>
  <si>
    <t xml:space="preserve"> larsgrefer Hey mate there appears to be a crash when an alert is detected in SmsDetector 
java lang RuntimeException: Can t create handler inside thread that has not called Looper prepare()
        at android os Handler  init (Handler java:200)
        at android os Handler  init (Handler java:114)
        at android app Dialog  init (Dialog java:112)
        at android app Dialog  init (Dialog java:152)
        at android support v7 app AppCompatDialog  init (AppCompatDialog java:42)
        at android support v7 app AlertDialog  init (AlertDialog java:92)
        at android support v7 app AlertDialog Builder create(AlertDialog java:882)
        at android support v7 app AlertDialog Builder show(AlertDialog java:901)
        at com SecUpwN AIMSICD smsdetection SmsDetector startPopUpInfo(SmsDetector java:105)
        at com SecUpwN AIMSICD smsdetection SmsDetector parseWapPushSms(SmsDetector java:336)
        at com SecUpwN AIMSICD smsdetection SmsDetector run(SmsDetector java:223)
I d this problem too when trying to create a dialog from a Thread class and I think that s why I did the popup on a new activity 
needs something like runOnUiThread to avoid crash 
    Java
        new AlertDialog Builder(mContext)
                 setTitle(smsType getTitle())
                 setMessage(smsType getMessage())
                 setIcon(R drawable sense danger)
                 show() 
</t>
  </si>
  <si>
    <t>geopaparazzi-geopaparazzi-301</t>
  </si>
  <si>
    <t>Substitute action bar</t>
  </si>
  <si>
    <t xml:space="preserve">This is to be done  since 98  of the crashes of geopap come from the current actionbar  which is a historical relict 
</t>
  </si>
  <si>
    <t>moravianlibrary-AndroidZoomifyViewer-33</t>
  </si>
  <si>
    <t>handle when TiledImageView was created but no loadImage called</t>
  </si>
  <si>
    <t xml:space="preserve">In this case the for example EventListener onSingleTap() crashes app 
</t>
  </si>
  <si>
    <t>moneymanagerex-android-money-manager-ex-626</t>
  </si>
  <si>
    <t>Exception when opening categories in recurring transaction</t>
  </si>
  <si>
    <t xml:space="preserve">  APP crashed when I tried to edit the categories after entering a recurring transaction
              FEEDBACK             
Please tell us what happened  Thank you 
              APP DETAILS             
Version: 2015 11 26
Build: 751
              CAUSE OF ERROR             
java lang NullPointerException: Attempt to invoke virtual method  int java lang Integer intValue()  on a null object reference
at com money manager ex domainmodel SplitCategory writeToParcel(SplitCategory java:114)
at android os Parcel writeParcelable(Parcel java:1363)
at android os Parcel writeValue(Parcel java:1268)
at android os Parcel writeList(Parcel java:717)
at android os Parcel writeValue(Parcel java:1290)
at android os Parcel writeArrayMapInternal(Parcel java:644)
at android os BaseBundle writeToParcelInner(BaseBundle java:1313)
at android os Bundle writeToParcel(Bundle java:1034)
at android os Parcel writeBundle(Parcel java:669)
at android content Intent writeToParcel(Intent java:8343)
at android app ActivityManagerProxy startActivity(ActivityManagerNative java:2673)
at android app Instrumentation execStartActivity(Instrumentation java:1510)
at android app Activity startActivityForResult(Activity java:4076)
at android app Activity startActivityForResult(Activity java:4023)
at android support v4 app FragmentActivity startActivityForResult(FragmentActivity java:784)
at com money manager ex transactions EditTransactionCommonFunctions showSplitCategoriesForm(EditTransactionCommonFunctions java:1352)
at com money manager ex transactions EditTransactionCommonFunctions access 200(EditTransactionCommonFunctions java:87)
at com money manager ex transactions EditTransactionCommonFunctions 4 onClick(EditTransactionCommonFunctions java:478)
at android view View performClick(View java:5254)
at android widget TextView performClick(TextView java:10530)
at android view View PerformClick run(View java:21203)
at android os Handler handleCallback(Handler java:739)
at android os Handler dispatchMessage(Handler java:95)
at android os Looper loop(Looper java:145)
at android app ActivityThread main(ActivityThread java:6872)
at java lang reflect Method invoke(Native Method)
at java lang reflect Method invoke(Method java:372)
at com android internal os ZygoteInit MethodAndArgsCaller run(ZygoteInit java:1404)
at com android internal os ZygoteInit main(ZygoteInit java:1199)
              DEVICE INFORMATION            
Brand: samsung
Device: tbltespr
Model: SM N915P
Id: LMY47X
Product: tbltespr
              FIRMWARE             
SDK: 22
Release: 5 1 1
Incremental: N915PVPU4COJ5
</t>
  </si>
  <si>
    <t>google-physical-web-576</t>
  </si>
  <si>
    <t>iPhone developer app crashes on iOS 9.2</t>
  </si>
  <si>
    <t xml:space="preserve">The current developer app is crashing on the latest iOS release  9 2
</t>
  </si>
  <si>
    <t>h6ah4i-android-advancedrecyclerview-162</t>
  </si>
  <si>
    <t>Help understanding IllegalStateException</t>
  </si>
  <si>
    <t xml:space="preserve">I have implemented a  swipe to reveal button  interface and was playing around with the swipe gesture in my application  I m having trouble replicating the issue  but one time I crashed the application while swiping  Unfortunately I don t think I will be able to upload a minimal failing example  but was hoping you might be able to point me in the right direction for fixing the problem 
Versions
Android:6 0
advrecyclerview:0 7 2
support v4:22 2 0 
I get this traceback:
    java
java lang IllegalStateException: after animation is cancelled  item should not be in the active animation list  slide 
        at com h6ah4i android widget advrecyclerview swipeable ItemSlidingAnimator endAnimation(ItemSlidingAnimator java:278)
        at com h6ah4i android widget advrecyclerview swipeable ItemSlidingAnimator animateSlideInternal(ItemSlidingAnimator java:219)
        at com h6ah4i android widget advrecyclerview swipeable ItemSlidingAnimator animateSlideInternalCompat(ItemSlidingAnimator java:148)
        at com h6ah4i android widget advrecyclerview swipeable ItemSlidingAnimator slideToSpecifiedPositionInternal(ItemSlidingAnimator java:91)
        at com h6ah4i android widget advrecyclerview swipeable ItemSlidingAnimator slideToSpecifiedPosition(ItemSlidingAnimator java:67)
        at com h6ah4i android widget advrecyclerview swipeable RecyclerViewSwipeManager slideItem(RecyclerViewSwipeManager java:689)
        at com h6ah4i android widget advrecyclerview swipeable RecyclerViewSwipeManager applySlideItem(RecyclerViewSwipeManager java:763)
        at com h6ah4i android widget advrecyclerview swipeable SwipingItemOperator update(SwipingItemOperator java:107)
        at com h6ah4i android widget advrecyclerview swipeable RecyclerViewSwipeManager handleActionMoveWhileSwiping(RecyclerViewSwipeManager java:567)
        at com h6ah4i android widget advrecyclerview swipeable RecyclerViewSwipeManager onTouchEvent(RecyclerViewSwipeManager java:432)
        at com h6ah4i android widget advrecyclerview swipeable RecyclerViewSwipeManager 1 onTouchEvent(RecyclerViewSwipeManager java:262)
        at android support v7 widget RecyclerView dispatchOnItemTouch(RecyclerView java:1991)
        at android support v7 widget RecyclerView onTouchEvent(RecyclerView java:2116)
        at android view View dispatchTouchEvent(View java:9294)
        at android view ViewGroup dispatchTransformedTouchEvent(ViewGroup java:2547)
        at android view ViewGroup dispatchTouchEvent(ViewGroup java:2240)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android view ViewGroup dispatchTransformedTouchEvent(ViewGroup java:2553)
        at android view ViewGroup dispatchTouchEvent(ViewGroup java:2254)
        at com android internal policy PhoneWindow DecorView superDispatchTouchEvent(PhoneWindow java:2403)
        at com android internal policy PhoneWindow superDispatchTouchEvent(PhoneWindow java:1737)
        at android app Activity dispatchTouchEvent(Activity java:2765)
        at android support v7 internal view WindowCallbackWrapper dispatchTouchEvent(WindowCallbackWrapper java:59)
        at com android internal policy PhoneWindow DecorView dispatchTouchEvent(PhoneWindow java:2364)
        at android view View dispatchPointerEvent(View java:9514)
        at android view ViewRootImpl ViewPostImeInputStage processPointerEvent(ViewRootImpl java:4230)
        at android view ViewRootImpl ViewPostImeInputStage onProcess(ViewRootImpl java:4096)
        at android view ViewRootImpl InputStage deliver(ViewRootImpl java:3642)
        at android view ViewRootImpl InputStage onDeliverToNext(ViewRootImpl java:3695)
        at android view ViewRootImpl InputStage forward(ViewRootImpl java:3
</t>
  </si>
  <si>
    <t>google-ExoPlayer-1049</t>
  </si>
  <si>
    <t>DASH content with subsegmentAlignment=false doesn't play correctly</t>
  </si>
  <si>
    <t xml:space="preserve">Hi 
I just try to play dash video format with the player and generally its working fine but sometimes the app crash with this exceptions:
java lang ArrayIndexOutOfBoundsException: length 5  index 7
                                                                         at com google android exoplayer dash DashWrappingSegmentIndex getTimeUs(DashWrappingSegmentIndex java:51)
                                                                         at com google android exoplayer dash DashChunkSource RepresentationHolder getSegmentStartTimeUs(DashChunkSource java:940)
                                                                         at com google android exoplayer dash DashChunkSource newMediaChunk(DashChunkSource java:713)
                                                                         at com google android exoplayer dash DashChunkSource getChunkOperation(DashChunkSource java:476)
                                                                         at com google android exoplayer chunk ChunkSampleSource doChunkOperation(ChunkSampleSource java:536)
                                                                         at com google android exoplayer chunk ChunkSampleSource updateLoadControl(ChunkSampleSource java:410)
                                                                         at com google android exoplayer chunk ChunkSampleSource onLoadCompleted(ChunkSampleSource java:336)
                                                                         at com google android exoplayer upstream Loader LoadTask handleMessage(Loader java:245)
                                                                         at android os Handler dispatchMessage(Handler java:102)
                                                                         at android os Looper loop(Looper java:148)
                                                                         at android os HandlerThread run(HandlerThread java:61)
                                                                         at com google android exoplayer util PriorityHandlerThread run(PriorityHandlerThread java:40)
Oh and the wierd thing is that the issue appear on Samsung galaxy s6(android 5 1 1) and nexus 7(android 5 1 1) and nexus 9(android 6)
but its not reproducible on nexus 9(android 5 1 1) and on samsung galaxy note 3 (android 4 4 2)
I use exoplayer 1 5 2 
Have u any idea how can I avoid this crash 
Thanks 
Bal zs
</t>
  </si>
  <si>
    <t>dhis2msg-DHISmessenger-24</t>
  </si>
  <si>
    <t>Application sometimes crashes when XMPP message is sent</t>
  </si>
  <si>
    <t xml:space="preserve">When you send messages in a group conversation  the application sometimes crashes  This bug might have been introduced by my last commit c94ca83330d9ad80513bf0e29cf6f652711cd670 where I ignored running some operations on UI thread 
java lang IllegalStateException: The content of the adapter has changed but ListView did not receive a notification  Make sure the content of your adapter is not modified from a background thread  but only from the UI thread  Make sure your adapter calls notifyDataSetChanged() when its content changes   in ListView(2131558570  class android widget ListView) with Adapter(class org dhis2 messenger gui adapter IMChatAdapter) 
    at android widget ListView layoutChildren(ListView java:1566)
    at android widget AbsListView onLayout(AbsListView java:2564)
    at android view View layout(View java:15749)
    at android view ViewGroup layout(ViewGroup java:4880)
    at android widget RelativeLayout onLayout(RelativeLayout java:1055)
    at android view View layout(View java:15749)
    at android view ViewGroup layout(ViewGroup java:4880)
    at android widget FrameLayout layoutChildren(FrameLayout java:453)
    at android widget FrameLayout onLayout(FrameLayout java:388)
    at android view View layout(View java:15749)
    at android view ViewGroup layout(ViewGroup java:4880)
    at com android internal widget ActionBarOverlayLayout onLayout(ActionBarOverlayLayout java:459)
    at android view View layout(View java:15749)
    at android view ViewGroup layout(ViewGroup java:4880)
    at android widget FrameLayout layoutChildren(FrameLayout java:453)
    at android widget FrameLayout onLayout(FrameLayout java:388)
    at android view View layout(View java:15749)
    at android view ViewGroup layout(ViewGroup java:4880)
    at android view ViewRootImpl performLayout(ViewRootImpl java:2358)
    at android view ViewRootImpl performTraversals(ViewRootImpl java:2071)
    at android view ViewRootImpl doTraversal(ViewRootImpl java:1256)
    at android view ViewRootImpl TraversalRunnable run(ViewRootImpl java:6635)
    at android view Choreographer CallbackRecord run(Choreographer java:813)
    at android view Choreographer doCallbacks(Choreographer java:613)
    at android view Choreographer doFrame(Choreographer java:583)
    at android view Choreographer FrameDisplayEventReceiver run(Choreographer java:799)
    at android os Handler handleCallback(Handler java:733)
    at android os Handler dispatchMessage(Handler java:95)
    at android os Looper loop(Looper java:146)
    at android app ActivityThread main(ActivityThread java:5593)
    at java lang reflect Method invokeNative(Native Method)
    at java lang reflect Method invoke(Method java:515)
    at com android internal os ZygoteInit MethodAndArgsCaller run(ZygoteInit java:1283)
    at com android internal os ZygoteInit main(ZygoteInit java:1099)
    at dalvik system NativeStart main(Native Method)
</t>
  </si>
  <si>
    <t>syncthing-syncthing-android-515</t>
  </si>
  <si>
    <t>Syncthing binary crashed with error code 11 after update to 0.7.5</t>
  </si>
  <si>
    <t xml:space="preserve">Hi
Since I updated to Syncthing for Android 0 7 5 the app is stuck on  loading  
This is on an HTC One V with Android 4 0 3
This is the log  when I force close syncthing and it restarts itself:
2015 12 12 03:32:08 INFORMATION ActivityManager Android System Displayed com nutomic syncthingandroid  activities MainActivity:  1s357ms
2015 12 12 03:32:19 INFORMATION dalvikvm Syncthing Could not find method android net ConnectivityManager isActiveNetworkMetered  referenced from method com nutomic syncthingandroid syncthing DeviceStateHolder  init 
2015 12 12 03:32:19 INFORMATION SyncthingService Syncthing Web GUI will be available at https:  127 0 0 1:8384
2015 12 12 03:32:19 INFORMATION SyncthingService Syncthing Starting syncthing according to current state and preferences
2015 12 12 03:32:20 INFORMATION DEBUG  system bin debuggerd pid: 27376  tid: 27376       data data com nutomic syncthingandroid lib libsyncthing so    
2015 12 12 03:32:20 INFORMATION DEBUG  system bin debuggerd 40040000 408d7000  data data com nutomic syncthingandroid lib libsyncthing so
2015 12 12 03:32:20 INFORMATION System Syncthing libcore io ErrnoException: kill failed: ESRCH (No such process)
at libcore io Posix kill(Native Method)
at libcore io ForwardingOs kill(ForwardingOs java:77)
at java lang ProcessManager ProcessImpl destroy(ProcessManager java:257)
at com nutomic syncthingandroid syncthing SyncthingRunnable run(SyncthingRunnable java:136)
at java lang Thread run(Thread java:864)
2015 12 12 03:32:20 ERROR SyncthingNativeCode Syncthing Syncthing binary crashed with error code 11
2015 12 12 03:32:20 WARNING SyncthingNativeCode Syncthing sh:  stdin  1 : grep: not found
2015 12 12 03:32:21 WARNING SyncthingNativeCode Syncthing usage: ionice  pid   none rt be idle   prio 
2015 12 12 03:32:21 INFORMATION SyncthingRunnableIoNice Syncthing ionice performed on libsyncthing so
2015 12 12 03:32:21 INFORMATION System Syncthing libcore io ErrnoException: kill failed: ESRCH (No such process)
at libcore io Posix kill(Native Method)
at libcore io ForwardingOs kill(ForwardingOs java:77)
at java lang ProcessManager ProcessImpl destroy(ProcessManager java:257)
at com nutomic syncthingandroid syncthing SyncthingRunnable 1 run(SyncthingRunnable java:183)
2015 12 12 03:32:21 ERROR SyncthingRunnableIoNice Syncthing Failed to set ionice 1
It says  Syncthing binary crashed with error code 11   but I could not find anything about this that code 
Is there anything I can do 
Sidenote: I can not access my config xml because the device is not rooted  and the app is stuck on loading  Would be nice if one could still export the config even if the binary crashes 
Thank you
</t>
  </si>
  <si>
    <t>NemProject-NEMAndroidApp-43</t>
  </si>
  <si>
    <t>Adding account via QR -&gt; no password entered -&gt; app crashes</t>
  </si>
  <si>
    <t xml:space="preserve">v0 1 24 b1495
When I add an account to my wallet via QR scan  it asks for the password  If I don t enter anything  the app crashes 
</t>
  </si>
  <si>
    <t>chandevel-Clover-137</t>
  </si>
  <si>
    <t>App crash when viewing replies and refreshing</t>
  </si>
  <si>
    <t xml:space="preserve">I noticed that every time I pull down to refresh a thread and then I hit the  X Replies  button underneath a post to view its replies  the app will immediately crash 
Clover v2 10
</t>
  </si>
  <si>
    <t>syncthing-syncthing-android-518</t>
  </si>
  <si>
    <t>"Failed to create syncthing config¸check the logs" message, SIGSEGV inside</t>
  </si>
  <si>
    <t xml:space="preserve">Hello 
I installed syncthing 0 7 5 from playmarket on my Huawei U9500  Upon start I got a white screen and message  Failed to create syncthing config check the logs   I downloaded the logs using adb logcat and got this:
I DEBUG   (14067):                                                                
I DEBUG   (14067): Build fingerprint:  Huawei U9500 hwu9500:4 0 3 HuaweiU9500 3 1 11:user ota rel keys release keys 
I DEBUG   (14067): pid: 22101  tid: 22101       data data com nutomic syncthingandroid lib libsyncthing so    
I DEBUG   (14067): signal 11 (SIGSEGV)  code 1 (SEGV MAPERR)  fault addr 00dcfe64
I DEBUG   (14067):  r0 70000001  r1 b00094fc  r2 00000000  r3 00dcfe64
I DEBUG   (14067):  r4 b000a078  r5 ffffffff  r6 00dcfe64  r7 beaf3aa8
I DEBUG   (14067):  r8 b0009910  r9 00000000  10 00000000  fp b0006d9b
I DEBUG   (14067):  ip 0089701b  sp beaf3a68  lr 00896d3c  pc b000421c  cpsr 00000030
I DEBUG   (14067):  d0  0000000000000000  d1  0000000000000000
I DEBUG   (14067):  d2  0000000000000000  d3  0000000000000000
I DEBUG   (14067):  d4  0000000000000000  d5  0000000000000000
I DEBUG   (14067):  d6  0000000000000000  d7  0000000000000000
I DEBUG   (14067):  d8  0000000000000000  d9  0000000000000000
I DEBUG   (14067):  d10 0000000000000000  d11 0000000000000000
I DEBUG   (14067):  d12 0000000000000000  d13 0000000000000000
I DEBUG   (14067):  d14 0000000000000000  d15 0000000000000000
I DEBUG   (14067):  d16 0000000000000000  d17 0000000000000000
I DEBUG   (14067):  d18 0000000000000000  d19 0000000000000000
I DEBUG   (14067):  d20 0000000000000000  d21 0000000000000000
I DEBUG   (14067):  d22 0000000000000000  d23 0000000000000000
I DEBUG   (14067):  d24 0000000000000000  d25 0000000000000000
I DEBUG   (14067):  d26 0000000000000000  d27 0000000000000000
I DEBUG   (14067):  d28 0000000000000000  d29 0000000000000000
I DEBUG   (14067):  d30 0000000000000000  d31 0000000000000000
I DEBUG   (14067):  scr 00000000
I DEBUG   (14067): 
I DEBUG   (14067):           00  pc b000421c   system bin linker
I DEBUG   (14067):           01  lr 00896d3c   unknown 
I DEBUG   (14067): 
I DEBUG   (14067): code around pc:
I DEBUG   (14067): b00041fc 6858e00a 208cf8d4 f8c41885 e00350d8    Xh         P  
I DEBUG   (14067): b000420c 0895685a 50dcf8c4 e0013308 44794924  Zh     P 3   IyD
I DEBUG   (14067): b000421c 2d00681d af49f47f 30acf8d4 f8d4b113   h    I    0    
I DEBUG   (14067): b000422c b96110b0 7176f240 9100481e 44784a1e    a   vq H   JxD
I DEBUG   (14067): b000423c 491f4b1e 447b447a 68094479 f8d4e7b1   K IzD DyD h    
I DEBUG   (14067): 
I DEBUG   (14067): code around lr:
I DEBUG   (14067): 00896d1c ffffffff ffffffff ffffffff ffffffff                  
I DEBUG   (14067): 00896d2c ffffffff ffffffff ffffffff ffffffff                  
I DEBUG   (14067): 00896d3c ffffffff ffffffff ffffffff ffffffff                  
I DEBUG   (14067): 00896d4c ffffffff ffffffff ffffffff ffffffff                  
I DEBUG   (14067): 00896d5c ffffffff ffffffff ffffffff ffffffff                  
I DEBUG   (14067): 
I DEBUG   (14067): memory map around addr 00dcfe64:
I DEBUG   (14067): (no map below)
I DEBUG   (14067): (no map for address)
I DEBUG   (14067): 400fd000 40994000  data data com nutomic syncthingandroid lib libsyncthing so
I DEBUG   (14067): 
I DEBUG   (14067): stack:
I DEBUG   (14067):     beaf3a28  00000000  
I DEBUG   (14067):     beaf3a2c  00000000  
I DEBUG   (14067):     beaf3a30  00000000  
I DEBUG   (14067):     beaf3a34  00000000  
I DEBUG   (14067):     beaf3a38  00000000  
I DEBUG   (14067):     beaf3a3c  00000000  
I DEBUG   (14067):     beaf3a40  00000000  
I DEBUG   (14067):     beaf3a44  00000000  
I DEBUG   (14067):     beaf3a48  00000000  
I DEBUG   (14067):     beaf3a4c  00000000  
I DEBUG   (14067):     beaf3a50  00000000  
I DEBUG   (14067):     beaf3a54  00000000  
I DEBUG   (14067):     beaf3a58  00000000  
I DEBUG   (14067):     beaf3a5c  00000000  
I DEBUG   (14067):     beaf3a60  df0027ad  
I DEBUG   (14067):     beaf3a64  00000000  
I DEBUG   (14067):  00 beaf3a68  00000000  
I DEBUG   (14067):     beaf3a6c  00000000  
I DEBUG   (14067):     beaf3a70  b000a078  
I DEBUG   (14067):     beaf3a74  b000a078  
I DEBUG   (14067):     beaf3a78  beaf3c06   stack 
I DEBUG   (14067):     beaf3a7c  00000118  
I DEBUG   (14067):     beaf3a80  b000a078  
I DEBUG   (14067):     beaf3a84  b000a078  
I DEBUG   (14067):     beaf3a88  b00094f0   system bin linker
I DEBUG   (14067):     beaf3a8c  00000004  
I DEBUG   (14067):     beaf3a90  beaf3aa8   stack 
I DEBUG   (14067):     beaf3a94  b0009910   system bin linker
I DEBUG   (14067):     beaf3a98  00000000  
I DEBUG   (14067):     beaf3a9c  00000000  
I DEBUG   (14067):     beaf3aa0  b0006d9b   system bin linker
I DEBUG   (14067):     beaf3aa4  b0004849   system bin linker
I DEBUG   (14067):     beaf3aa8  00000000  
I DEBUG   (14067):     beaf3aac  00000000  
I System  (21141): Failed to destroy process 22101
I BootReceiver(  220): Copying  data tombstones tombstone 08 to DropBox (SYSTEM TOMBSTONE)
I System  (21141): libcore io ErrnoException: kill failed: ESRCH (No such process)
I System  (21141):      at libcore io Posix kill(Native Method)
I System  (21141):      at libcore io ForwardingOs kill(ForwardingOs java:77)
I System  (21141):      at java lang ProcessManager ProcessImpl destroy(ProcessManager java:257)
I System  (21141):      at com nutomic syncthingandroid syncthing SyncthingRunnable run(SyncthingRunnable java:136)
I System  (21141):      at com nutomic syncthingandroid util ConfigXml generateKeysConfig(ConfigXml java:104)
I System  (21141):      at com nutomic syncthingandroid util ConfigXml  init (ConfigXml java:75)
I System  (21141):      at com nutomic syncthingandroid syncthing SyncthingService updateState(SyncthingService java:234)
I System  (21141):      at com nutomic syncthingandroid syncthing SyncthingService onStartCommand(SyncthingService java:191)
I System  (21141):      at android app ActivityThread handleServiceArgs(ActivityThread java:2359)
I System  (21141):      at android app ActivityThread access 1900(ActivityThread java:123)
I System  (21141):      at android app ActivityThread H handleMessage(ActivityThread java:1210)
I System  (21141):      at android os Handler dispatchMessage(Handler java:99)
I System  (21141):      at android os Looper loop(Looper java:137)
I System  (21141):      at android app ActivityThread main(ActivityThread java:4424)
I System  (21141):      at java lang reflect Method invokeNative(Native Method)
I System  (21141):      at java lang reflect Method invoke(Method java:511)
I System  (21141):      at com android internal os ZygoteInit MethodAndArgsCaller run(ZygoteInit java:786)
I System  (21141):      at com android internal os ZygoteInit main(ZygoteInit java:553)
I System  (21141):      at dalvik system NativeStart main(Native Method)
E SyncthingNativeCode(21141): Syncthing binary crashed with error code 11
W ConfigXml(21141): Failed to open config  moving to config xml invalid and creating blank config
F libc    (22106): Fatal signal 11 (SIGSEGV) at 0x00dcfe64 (code 1)
I SyncthingRunnableIoNice(21141): ionice performed on libsyncthing so
I System  (21141): Failed to destroy process 22112
I System  (21141): libcore io ErrnoException: kill failed: ESRCH (No such process)
I System  (21141):      at libcore io Posix kill(Native Method)
I System  (21141):      at libcore io ForwardingOs kill(ForwardingOs java:77)
I System  (21141):      at java lang ProcessManager ProcessImpl destroy(ProcessManager java:257)
I System  (21141):      at com nutomic syncthingandroid syncthing SyncthingRunnable 1 run(SyncthingRunnable java:183)
I looked at app directory with adb shell and saw this:
root android: data data com nutomic syncthingandroid   pwd
 data data com nutomic syncthingandroid
root android: data data com nutomic syncthingandroid   ls  l                   
drwxrwx  x app 121  app 121           2015 12 13 10:13 cache
drwxrwxrwx app 121  app 121           2015 12 13 10:12 files
drwxr xr x system   system            2015 12 13 10:12 lib
drwxrwx  x app 121  app 121           2015 12 13 10:12 shared prefs
root android: data data com nutomic syncthingandroid   ls files
root android: data data com nutomic syncthingandroid   
Originally files mode was 771  I changed it to 777 just to be sure 
</t>
  </si>
  <si>
    <t>vickychijwani-udacity-p1-p2-popular-movies-20</t>
  </si>
  <si>
    <t>Crash on opening favorited movie while offline</t>
  </si>
  <si>
    <t xml:space="preserve">Steps to reproduce:
1  Go offline 
2  Kill app and launch again 
3  Sort by favorites 
4  Select a favorited movie 
5  App crashes 
</t>
  </si>
  <si>
    <t>vickychijwani-udacity-p1-p2-popular-movies-19</t>
  </si>
  <si>
    <t>Crash on pausing app during API call</t>
  </si>
  <si>
    <t xml:space="preserve">Steps to reproduce:
1  Go offline 
2  Kill the app and launch it again 
3  Sort by favorites    you should see all favorites even though you re offline 
4  Sort by most popular  and quickly minimize the app 
5  App crashes 
</t>
  </si>
  <si>
    <t>JoanZapata-android-iconify-145</t>
  </si>
  <si>
    <t xml:space="preserve">Crash  ParsingUtil.java line 32 </t>
  </si>
  <si>
    <t xml:space="preserve">I m getting a crash in Crashlytics report and the impact is going high 
Fatal Exception: java lang NullPointerException
       at android text SpannableStringBuilder  init (SpannableStringBuilder java:44)
       at com joanzapata iconify internal ParsingUtil parse(ParsingUtil java:32)
       at com joanzapata iconify Iconify compute(Iconify java:59)
       at com joanzapata iconify widget IconTextView setText(IconTextView java:34)
       at android widget TextView setText(TextView java:3780)
       at com haraj app backend HJMessageListAdapter getView(HJMessageListAdapter java:72)
       at android widget AbsListView obtainView(AbsListView java:2306)
       at android widget ListView measureHeightOfChildren(ListView java:1263)
       at android widget ListView onMeasure(ListView java:1175)
       at android view View measure(View java:16581)
       at android widget RelativeLayout measureChild(RelativeLayout java:689)
       at android widget RelativeLayout onMeasure(RelativeLayout java:473)
       at android view View measure(View java:16581)
       at android view ViewGroup measureChildWithMargins(ViewGroup java:5140)
       at android widget FrameLayout onMeasure(FrameLayout java:310)
       at android view View measure(View java:16581)
       at android widget RelativeLayout measureChildHorizontal(RelativeLayout java:719)
       at android widget RelativeLayout onMeasure(RelativeLayout java:455)
       at android view View measure(View java:16581)
       at android view ViewGroup measureChildWithMargins(ViewGroup java:5140)
       at android widget FrameLayout onMeasure(FrameLayout java:310)
       at android view View measure(View java:16581)
       at android view ViewGroup measureChildWithMargins(ViewGroup java:5140)
       at com android internal widget ActionBarOverlayLayout onMeasure(ActionBarOverlayLayout java:327)
       at android view View measure(View java:16581)
       at android view ViewGroup measureChildWithMargins(ViewGroup java:5140)
       at android widget FrameLayout onMeasure(FrameLayout java:310)
       at com android internal policy impl PhoneWindow DecorView onMeasure(PhoneWindow java:2423)
       at android view View measure(View java:16581)
       at android view ViewRootImpl performMeasure(ViewRootImpl java:1961)
       at android view ViewRootImpl measureHierarchy(ViewRootImpl java:1157)
       at android view ViewRootImpl performTraversals(ViewRootImpl java:1339)
       at android view ViewRootImpl doTraversal(ViewRootImpl java:1044)
       at android view ViewRootImpl TraversalRunnable run(ViewRootImpl java:5896)
       at android view Choreographer CallbackRecord run(Choreographer java:761)
       at android view Choreographer doCallbacks(Choreographer java:574)
       at android view Choreographer doFrame(Choreographer java:544)
       at android view Choreographer FrameDisplayEventReceiver run(Choreographer java:747)
       at android os Handler handleCallback(Handler java:733)
       at android os Handler dispatchMessage(Handler java:95)
       at android os Looper loop(Looper java:136)
       at android app ActivityThread main(ActivityThread java:5118)
       at java lang reflect Method invokeNative(Method java)
       at java lang reflect Method invoke(Method java:515)
       at com android internal os ZygoteInit MethodAndArgsCaller run(ZygoteInit java:789)
       at com android internal os ZygoteInit main(ZygoteInit java:605)
       at dalvik system NativeStart main(NativeStart java)
Any help 
</t>
  </si>
  <si>
    <t>zhuowei-MCPELauncher-409</t>
  </si>
  <si>
    <t>Item.setHandEquiped crashes</t>
  </si>
  <si>
    <t xml:space="preserve">No idea why but I keep getting crashes others don t get  My crash log stated that Item setHandEquiped was causing a crash  (Should ve reported this a week ago when it started happening : v)
</t>
  </si>
  <si>
    <t>lyft-scoop-4</t>
  </si>
  <si>
    <t>Back button handler needs debounce logic</t>
  </si>
  <si>
    <t xml:space="preserve">Steps to recreate with scoop basics:
1  Open scoop basics app on device
2  Click  CUSTOM TRANSITION  button
3  Click  Next  and  Back  buttons (   id next button  and    id back button  respectively) a bunch of times  until the MainActivity shows again 
4  Click  WIZARD SAMPLE 
Result: App crashes  Below is logcat 
MainUiContainer  D  Scoop changed:AutoTransitionEndController
  5489        MainUiContainer  D  Scoop changed:AutoTransitionEndController
  5489        MainUiContainer  D  Scoop changed:AutoTransitionEndController
  5489        MainUiContainer  D  Scoop changed:AutoTransitionStartController
  5489        MainUiContainer  D  Scoop changed:DemosController
  5489        MainUiContainer  D  Scoop changed:AutoTransitionEndController
  5489        MainUiContainer  D  Scoop changed:DemosController
  5489         AndroidRuntime  D  Shutting down VM
  5489               dalvikvm  W  threadid 1: thread exiting with uncaught exception (group 0x41708c80)
  5489         AndroidRuntime  E  FATAL EXCEPTION: main
  5489         AndroidRuntime  E  Process: com scooptest PID: 5489
  5489         AndroidRuntime  E  java lang NullPointerException
  5489         AndroidRuntime  E  at com scooptest scoop DaggerInjector fromScoop(DaggerInjector java:30)
  5489         AndroidRuntime  E  at com scooptest scoop DaggerScreenScooper addServices(DaggerScreenScooper java:11)
  5489         AndroidRuntime  E  at com lyft scoop ScreenScooper createScreenScoop(ScreenScooper java:10)
  5489         AndroidRuntime  E  at com lyft scoop Router goTo(Router java:56)
  5489         AndroidRuntime  E  at com scooptest ui DemosController goToWizardSample(DemosController java:82)
  5489         AndroidRuntime  E  at com scooptest ui DemosController  ViewBinder 5 doClick(DemosController  ViewBinder java:53)
  5489         AndroidRuntime  E  at butterknife internal DebouncingOnClickListener onClick(DebouncingOnClickListener java:22)
  5489         AndroidRuntime  E  at android view View performClick(View java:4768)
  5489         AndroidRuntime  E  at android view View PerformClick run(View java:19073)
  5489         AndroidRuntime  E  at android os Handler handleCallback(Handler java:755)
  5489         AndroidRuntime  E  at android os Handler dispatchMessage(Handler java:95)
  5489         AndroidRuntime  E  at android os Looper loop(Looper java:145)
  5489         AndroidRuntime  E  at android app ActivityThread main(ActivityThread java:5266)
  5489         AndroidRuntime  E  at java lang reflect Method invokeNative(Native Method)
  5489         AndroidRuntime  E  at java lang reflect Method invoke(Method java:515)
  5489         AndroidRuntime  E  at com android internal os ZygoteInit MethodAndArgsCaller run(ZygoteInit java:826)
  5489         AndroidRuntime  E  at com android internal os ZygoteInit main(ZygoteInit java:642)
  5489         AndroidRuntime  E  at dalvik system NativeStart main(Native Method)
  5489         AndroidRuntime  I  To Report FATAL to activityManagerService
 16024        ActivityManager  I  handleApplicationCrash
 16024        ActivityManager  W  Force finishing activity com scooptest  MainActivity
  5489         AndroidRuntime  I  Finished reporting FATAL to activityManagerService
  5489                Process  I  Sending signal  PID: 5489 SIG: 9
</t>
  </si>
  <si>
    <t>Keidan-CellHistory-10</t>
  </si>
  <si>
    <t>Version 2.8</t>
  </si>
  <si>
    <t xml:space="preserve">List of features for the version 2 8:
   x  Fix crash with the notifications  when the user restarts the recorder 
   x  The version is not displayed the first time 
   x  Change the color of the recorder icon (in green) 
   x  Add a notification when the user moves the application in the background 
   x  Improve the management of the GPS service 
   x  Update the changelog txt
   x  Switch to version 2 8
</t>
  </si>
  <si>
    <t>zhuowei-MCPELauncher-414</t>
  </si>
  <si>
    <t>Crash when music files added</t>
  </si>
  <si>
    <t xml:space="preserve">The app crashes when I  added  music into the game  Every time I open it  it crashes  Even texture packs that add the music crash the app  (When I say I added music  I mean I went in the game files  assets  sounds  and added a music folder with all the in game music  boom  crash)
</t>
  </si>
  <si>
    <t>cSploit-android-541</t>
  </si>
  <si>
    <t>MITM attacks ineffective/crashing on Marshmallow</t>
  </si>
  <si>
    <t xml:space="preserve">Running Marshmallow 6 0 1 (MMB29K) on Nexus 5X 
MITM attacks are successful on some of the targets (Win10 laptop on wifi)  However  session hijacking caused the target to be unable to load the site 
Ineffective on Lollipop (HTC One M9   Samsung Galaxy S4) targets  Redirect does not work  Crashes on some occasions  Session hijacking always results in a crash 
EDIT: 
errorlog for crash which occured when redirecting another Lollipop target
javax net ssl SSLHandshakeException: Handshake failed
    at com android org conscrypt OpenSSLSocketImpl startHandshake(OpenSSLSocketImpl java:396)
    at com android org conscrypt OpenSSLSocketImpl waitForHandshake(OpenSSLSocketImpl java:629)
    at com android org conscrypt OpenSSLSocketImpl getInputStream(OpenSSLSocketImpl java:591)
    at org csploit android net http proxy HTTPSRedirector 1 run(HTTPSRedirector java:118)
    at java lang Thread run(Thread java:818)
Caused by: javax net ssl SSLProtocolException: SSL handshake terminated: ssl 0xdf1f2800: Failure in SSL library  usually a protocol error
error:100c5416:SSL routines:ssl3 read bytes:SSLV3 ALERT CERTIFICATE UNKNOWN (external boringssl src ssl s3 pkt c:972 0xda948240:0x00000001)
    at com android org conscrypt NativeCrypto SSL do handshake(Native Method)
    at com android org conscrypt OpenSSLSocketImpl startHandshake(OpenSSLSocketImpl java:324)
        4 more
</t>
  </si>
  <si>
    <t>square-okhttp-2119</t>
  </si>
  <si>
    <t>Crash during journal file rename</t>
  </si>
  <si>
    <t xml:space="preserve">Get this crash from one of the users
Device: Samsung Galaxy Note 4
Retrofit: v1 9
okhttp: v2 6 0
Fatal Exception: java lang RuntimeException: java io IOException: failed to rename  data data com bandlab bandlab cache journal tmp to  data data com bandlab bandlab cache journal
       at com squareup okhttp internal DiskLruCache 1 run(DiskLruCache java:181)
       at java util concurrent ThreadPoolExecutor runWorker(ThreadPoolExecutor java:1112)
       at java util concurrent ThreadPoolExecutor Worker run(ThreadPoolExecutor java:587)
       at java lang Thread run(Thread java:818)
Caused by java io IOException: failed to rename  data data com bandlab bandlab cache journal tmp to  data data com bandlab bandlab cache journal
       at com squareup okhttp internal io FileSystem 1 rename(FileSystem java:85)
       at com squareup okhttp internal DiskLruCache rebuildJournal(DiskLruCache java:409)
       at com squareup okhttp internal DiskLruCache access 400(DiskLruCache java:88)
       at com squareup okhttp internal DiskLruCache 1 run(DiskLruCache java:177)
       at java util concurrent ThreadPoolExecutor runWorker(ThreadPoolExecutor java:1112)
       at java util concurrent ThreadPoolExecutor Worker run(ThreadPoolExecutor java:587)
       at java lang Thread run(Thread java:818)
</t>
  </si>
  <si>
    <t>NemProject-NEMAndroidApp-51</t>
  </si>
  <si>
    <t>Back button crashes the app in some cases</t>
  </si>
  <si>
    <t xml:space="preserve">v0 1 24 b1495
When I am in the Dashboard and then click on QR and very fast click back (maybe even before the page is fully loaded)  the app crashes  This is also the case when I do the same but with address book or more menu instead of QR  but you have to be even faster 
</t>
  </si>
  <si>
    <t>NemProject-NEMAndroidApp-48</t>
  </si>
  <si>
    <t>Cross platform QR scan does not work</t>
  </si>
  <si>
    <t xml:space="preserve">v0 1 24 b1495
QR from iOS doesnt work an Android and the other way round  Sometimes it crashes  sometimes other problems  Please look into it closely since this is very important 
</t>
  </si>
  <si>
    <t>SandroMachado-openalpr-android-5</t>
  </si>
  <si>
    <t>[Sample Application] Crash on Invalid Submission</t>
  </si>
  <si>
    <t xml:space="preserve">When the user takes a bad picture  no results are returned  resulting in a NullPointerException crash 
Process: com sandro openalprsample  PID: 4146
java lang NullPointerException: Attempt to invoke virtual method  java util ArrayList org openalpr model Results getResults()  on a null object reference
   at com sandro openalprsample MainActivity 2 1 run(MainActivity java:104)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</si>
  <si>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NemProject-NEMAndroidApp-60</t>
  </si>
  <si>
    <t>View switches from portrait to landscape mode if phone is rotated</t>
  </si>
  <si>
    <t xml:space="preserve">v0 1 24 v1495
We agreed on disabling the view rotation completely  but the app still swiches from portrait to landscape mode if I turn it 
If I am inside QR scan view  the app even crashes in that case 
</t>
  </si>
  <si>
    <t>mauron85-cordova-plugin-background-geolocation-21</t>
  </si>
  <si>
    <t>Crash on Android 6 Api 23</t>
  </si>
  <si>
    <t xml:space="preserve">When using the ionic application in Android 6 API 23  cordova plugin background geolocation crash and applicaiton stop  have you a solution for this issue  thanks
</t>
  </si>
  <si>
    <t>zhuowei-MCPELauncher-418</t>
  </si>
  <si>
    <t>With MCPE 0.13.1 creating a new mob render crashes BlockLauncher</t>
  </si>
  <si>
    <t xml:space="preserve">Creating a render crashes the game during startup of BlockLauncher 
This only happens with the latest version of Minecraft PE 0 13 1  Before it worked correctly 
This is the code I had to comment out to make it stop crashing:
    javascript
function addGrenadeRenderType(renderer)
    var model   renderer getModel() 
    var head   model getPart( head ) 
    var body   model getPart( body ) 
    var rArm   model getPart( rightArm ) 
    var lArm   model getPart( leftArm ) 
    var rLeg   model getPart( rightLeg ) 
    var lLeg   model getPart( leftLeg ) 
    head clear() 
    body clear() 
    body setTextureOffset(0  0) 
    body addBox( 1  20   1 5  2  4  3) 
    body setTextureOffset(8  0) 
    body addBox( 0 5  20 5  1 5  1  1  1) 
    rArm clear() 
    lArm clear() 
    rLeg clear() 
    lLeg clear() 
var grenadeRenderType   Renderer createHumanoidRenderer() 
addGrenadeRenderType(grenadeRenderType) 
Edit: by further research  commenting out this part made BL stop crashing:
    javascript
    head clear() 
    body clear() 
    body setTextureOffset(0  0) 
    body addBox( 1  20   1 5  2  4  3) 
    body setTextureOffset(8  0) 
    body addBox( 0 5  20 5  1 5  1  1  1) 
    rArm clear() 
    lArm clear() 
    rLeg clear() 
    lLeg clear() 
</t>
  </si>
  <si>
    <t>popeen-Booksonic-App-9</t>
  </si>
  <si>
    <t>Crash when using large album art</t>
  </si>
  <si>
    <t xml:space="preserve">  73f7e42   07bf2c0 introduced a bug that makes the app crash when using large album art
</t>
  </si>
  <si>
    <t>opensrp-opensrp-client-120</t>
  </si>
  <si>
    <t>form update check from server causing application to crash</t>
  </si>
  <si>
    <t xml:space="preserve">   
Caused by: java lang NullPointerException
        at org ei opensrp service AllFormVersionSyncService pullFormDefinitionFromServer(AllFormVersionSyncService java:79)
        at org ei opensrp sync UpdateActionsTask 1 actionToDoInBackgroundThread(UpdateActionsTask java:47)
        at org ei opensrp sync UpdateActionsTask 1 actionToDoInBackgroundThread(UpdateActionsTask java:41)
        at org ei opensrp view LockingBackgroundTask 1 doInBackground(LockingBackgroundTask java:28)
        at org ei opensrp view LockingBackgroundTask 1 doInBackground(LockingBackgroundTask java:18)
        at android os AsyncTask 2 call(AsyncTask java:288)
        at java util concurrent FutureTask run(FutureTask java:237)
            at android os AsyncTask SerialExecutor 1 run(AsyncTask java:231)
            at java util concurrent ThreadPoolExecutor runWorker(ThreadPoolExecutor java:1112)
            at java util concurrent ThreadPoolExecutor Worker run(ThreadPoolExecutor java:587)
            at java lang Thread run(Thread java:841)
The error log from the crash
This is causing the app to crash a lot whenever it is connected to the internet 
This is related to the form definition checking and probably is getting null from either server or client 
Also I have previously mentioned some fixing is required in the form definition download checking as well check  108  
</t>
  </si>
  <si>
    <t>dimagi-commcare-android-925</t>
  </si>
  <si>
    <t>Signature widget crashing on Android 6</t>
  </si>
  <si>
    <t xml:space="preserve">Signature widget was crashing on my phone upon launch  Not sure what was causing it because it looks like it wasn t crashing on 2 25  Regardless this PR addresses the crash 
</t>
  </si>
  <si>
    <t>dimagi-commcare-android-924</t>
  </si>
  <si>
    <t>Move dialog fragment transition to onResumeFragments</t>
  </si>
  <si>
    <t xml:space="preserve">Hopefully fix another  java lang IllegalStateException: Can not perform this action after onSaveInstanceState  crash by moving more dialog fragment code into  onResumeFragments  from out of  onResume 
https:  commcare acralyzer cloudant com acralyzer  design acralyzer index html  reports browser commcare odk bug 6d03fcbc58994b14d98a425d156d1819
</t>
  </si>
  <si>
    <t>NemProject-NEMAndroidApp-62</t>
  </si>
  <si>
    <t>app sometimes crashes after start</t>
  </si>
  <si>
    <t xml:space="preserve">v0 1 25 b1662
The app sometimes crashes immediately after I start it 
You should see it in your logs  Example: 2015 12 22  10:30 am (UTC 1)
</t>
  </si>
  <si>
    <t>android10-Android-CleanArchitecture-92</t>
  </si>
  <si>
    <t>NullPointerException on UserListActivity</t>
  </si>
  <si>
    <t xml:space="preserve">Had crash on first launch  After i clicked on load sample data  
 12 23 12:46:53 522 2958 2958 com fernanependocejas android10 sample presentation E: FATAL EXCEPTION: main
                                                                                    Process: com fernanependocejas android10 sample presentation  PID: 2958
                                                                                    java lang RuntimeException: Unable to start activity ComponentInfo com fernanependocejas android10 sample presentation com fernandocejas android10 sample presentation view activity UserListActivity : java lang NullPointerException
                                                                                        at android app ActivityThread performLaunchActivity(ActivityThread java:2184)
                                                                                        at android app ActivityThread handleLaunchActivity(ActivityThread java:2233)
                                                                                        at android app ActivityThread access 800(ActivityThread java:135)
                                                                                        at android app ActivityThread H handleMessage(ActivityThread java:1196)
                                                                                        at android os Handler dispatchMessage(Handler java:102)
                                                                                        at android os Looper loop(Looper java:136)
                                                                                        at android app ActivityThread main(ActivityThread java:5001)
                                                                                        at java lang reflect Method invokeNative(Native Method)
                                                                                        at java lang reflect Method invoke(Method java:515)
                                                                                        at com android internal os ZygoteInit MethodAndArgsCaller run(ZygoteInit java:785)
                                                                                        at com android internal os ZygoteInit main(ZygoteInit java:601)
                                                                                        at dalvik system NativeStart main(Native Method)
                                                                                     Caused by: java lang NullPointerException
                                                                                        at com fernandocejas frodo aspect LogObservable methodAnnotatedWithRxLogObservable(LogObservable java:27)
                                                                                        at com fernandocejas android10 sample data net RestApiImpl userEntityList(RestApiImpl java)
                                                                                        at com fernandocejas android10 sample data repository datasource CloudUserDataStore userEntityList(CloudUserDataStore java:51)
                                                                                        at com fernandocejas android10 sample data repository UserDataRepository users(UserDataRepository java:54)
                                                                                        at com fernandocejas android10 sample domain interactor GetUserList buildUseCaseObservable(GetUserList java:41)
                                                                                        at com fernandocejas android10 sample domain interactor UseCase execute(UseCase java:59)
                                                                                        at com fernandocejas android10 sample presentation presenter UserListPresenter getUserList(UserListPresenter java:113)
                                                                                        at com fernandocejas android10 sample presentation presenter UserListPresenter loadUserList(UserListPresenter java:77)
                                                                                        at com fernandocejas android10 sample presentation presenter UserListPresenter initialize(UserListPresenter java:68)
                                                                                        at com fernandocejas android10 sample presentation view fragment UserListFragment loadUserList(UserListFragment java:155)
                                                                                        at com fernandocejas android10 sample presentation view fragment UserListFragment onActivityCreated(UserListFragment java:76)
</t>
  </si>
  <si>
    <t>DroidPluginTeam-DroidPlugin-106</t>
  </si>
  <si>
    <t>偶现Crash现象</t>
  </si>
  <si>
    <t xml:space="preserve">         crash bug 
java util ConcurrentModificationException
                                                                            at java util HashMap HashIterator nextEntry(HashMap java:792)
                                                                            at java util HashMap ValueIterator next(HashMap java:824)
                                                                            at com morgoo droidplugin am RunningProcesList isPersistentApplication(RunningProcesList java:97)
                                                                            at com morgoo droidplugin am MyActivityManagerService runProcessGC(MyActivityManagerService java:413)
                                                                            at com morgoo droidplugin am MyActivityManagerService selectStubActivityInfo(MyActivityManagerService java:277)
                                                                            at com morgoo droidplugin pm IPluginManagerImpl selectStubActivityInfo(IPluginManagerImpl java:1204)
                                                                            at com morgoo droidplugin pm IPluginManagerImpl selectStubActivityInfoByIntent(IPluginManagerImpl java:1220)
                                                                            at com morgoo droidplugin pm IPluginManager Stub onTransact(IPluginManager java:532)
                                                                            at android os Binder execTransact(Binder java:351)
                                                                            at dalvik system NativeStart run(Native Method)
</t>
  </si>
  <si>
    <t>zhuowei-MCPELauncher-439</t>
  </si>
  <si>
    <t xml:space="preserve">If i open the newest blocklauncher he says when i open it bloklauncher crash how to fix this  
</t>
  </si>
  <si>
    <t>zhuowei-MCPELauncher-442</t>
  </si>
  <si>
    <t>Crash please fix</t>
  </si>
  <si>
    <t xml:space="preserve">My mcpe blocklauncher crashes every time I use my addon toolbox for minecraft pe
</t>
  </si>
  <si>
    <t>zhuowei-MCPELauncher-440</t>
  </si>
  <si>
    <t>Addons with custom items with ID above 512+ crash</t>
  </si>
  <si>
    <t xml:space="preserve">Holding a custom addon item with extended item id array id in Creative makes the game crash 
This is already known by Zhuowei  I made the issue to be aware by a GitHub notification of it being fixed without having to check Twitter 
</t>
  </si>
  <si>
    <t>MrRobotto-MrRobotto-36</t>
  </si>
  <si>
    <t>Nullpointer exception at MrRobottoStudio</t>
  </si>
  <si>
    <t xml:space="preserve">When you try to connect without data stored in shared preferences the app will crash
</t>
  </si>
  <si>
    <t>kontalk-androidclient-612</t>
  </si>
  <si>
    <t>Crash in background ping service</t>
  </si>
  <si>
    <t xml:space="preserve">Reported on Google Play by a Galaxy Note 3 running Android 4 4 
java lang RuntimeException: Unable to start service org kontalk service msgcenter MessageCenterService 43556160 with Intent   act org kontalk action PING cmp org kontalk  service msgcenter MessageCenterService  : java lang NullPointerException: XMPPConnection must not be null
    at android app ActivityThread handleServiceArgs(ActivityThread java:2814)
    at android app ActivityThread access 2100(ActivityThread java:157)
    at android app ActivityThread H handleMessage(ActivityThread java:1344)
    at android os Handler dispatchMessage(Handler java:102)
    at android os Looper loop(Looper java:157)
    at android app ActivityThread main(ActivityThread java:5293)
    at java lang reflect Method invokeNative(Native Method)
    at java lang reflect Method invoke(Method java:515)
    at com android internal os ZygoteInit MethodAndArgsCaller run(ZygoteInit java:1265)
    at com android internal os ZygoteInit main(ZygoteInit java:1081)
    at dalvik system NativeStart main(Native Method)
Caused by: java lang NullPointerException: XMPPConnection must not be null
    at org jivesoftware smack util Objects requireNonNull(Objects java:23)
    at org jivesoftware smack Manager  init (Manager java:28)
    at org jivesoftware smackx ping PingManager  init (PingManager java:119)
    at org jivesoftware smackx ping PingManager getInstanceFor(PingManager java:86)
    at org kontalk service msgcenter MessageCenterService handleIntent(MessageCenterService java:895)
    at org kontalk service msgcenter MessageCenterService onStartCommand(MessageCenterService java:673)
    at android app ActivityThread handleServiceArgs(ActivityThread java:2797)
        10 more
Weird crash caused by a null connection  but at that point connection should not be null and there shouldn t be any race condition 
</t>
  </si>
  <si>
    <t>dimagi-commcare-android-929</t>
  </si>
  <si>
    <t>Report exception on non-ui thread</t>
  </si>
  <si>
    <t xml:space="preserve">Exception reporting was happening in an AsyncTask but not using any ui elements  This was causing a crash when we tried to report exceptions from our custom top level uncaught exception handler  CommCareExceptionHandler   which runs on a non ui thread 
This PR makes exception reporting use a Runnable thread instead of a AsyncTask
ACRA crash: https:  commcare acralyzer cloudant com acralyzer  design acralyzer index html  reports browser commcare odk bug c570e08876492fa4824166aaae86fb6e
</t>
  </si>
  <si>
    <t>posm-OpenMapKitAndroid-113</t>
  </si>
  <si>
    <t>Tag-Swipe -&gt; MapView -&gt; TagSwipe Crashes on Save</t>
  </si>
  <si>
    <t xml:space="preserve">Sometimes if I m in the tag view  go back to the map view  then go back to the tag view  then save to ODK Collect  the app crashes 
Looking at the log  there is a null pointer exception for OSM Element keys and values  Perhaps the selected OSMElement somehow gets lost in the mix 
</t>
  </si>
  <si>
    <t>fossilet-carmen-android-9</t>
  </si>
  <si>
    <t>crash日志代码有问题</t>
  </si>
  <si>
    <t xml:space="preserve">Originally reported by:   Yongzhi Pan (Bitbucket:  fossilet (http:  bitbucket org fossilet)  GitHub:  fossilet (http:  github com fossilet))  
crash                                  
  Bitbucket: https:  bitbucket org fossilet carmen issue 9
</t>
  </si>
  <si>
    <t>jimgong3-SoCo-29</t>
  </si>
  <si>
    <t>app crash when click organizer icon on event card in "my events" screen</t>
  </si>
  <si>
    <t xml:space="preserve">     
                 my profile     event     event       organizer      crash
</t>
  </si>
  <si>
    <t>nitaliano-react-native-mapbox-gl-215</t>
  </si>
  <si>
    <t>Clearing memory on component unmount</t>
  </si>
  <si>
    <t xml:space="preserve">When placing a Mapbox component on a page  and using navigational elements like SegmentedControlIOS or NavigatorIOS  it appears that the memory that was allocated for the element is not cleared  By repeatedly navigation between screens with the map  memory usage is constantly increasing until it hits the limit  and crashes the app  The problem is amplified when rendering multiple instances of the Mapbox component on a page (such as in a list) 
Is there a method that needs to be manually called to unmount the component  and free up memory  If so  I would like to do so in the component lifecycle method componentWillUnmount  Else  is would it be possible to have the component clean itself up when it is unmounting 
For my implementation  I used the same format provided in the example that adds the mixins in the component  and am using custom styles (providing the access token and style url) 
Any help would be greatly appreciated  Thanks in advance 
</t>
  </si>
  <si>
    <t>ai212983-android-spinnerwheel-64</t>
  </si>
  <si>
    <t>Failed to allocate a 889612 byte allocation with 867288 free bytes and 846KB until OOM</t>
  </si>
  <si>
    <t xml:space="preserve">I am using this library to show some numbers and some text only 
sometime I got crash reports    that the library crashed at function called recreateAssets 
I don t use any drawings or images with this library 
here is the log for the crash
Fatal Exception: java lang OutOfMemoryError: Failed to allocate a 889612 byte allocation with 867288 free bytes and 846KB until OOM
       at dalvik system VMRuntime newNonMovableArray(VMRuntime java)
       at android graphics Bitmap nativeCreate(Bitmap java)
       at android graphics Bitmap createBitmap(Bitmap java:942)
       at android graphics Bitmap createBitmap(Bitmap java:913)
       at android graphics Bitmap createBitmap(Bitmap java:880)
       at antistatic spinnerwheel AbstractWheelView recreateAssets(AbstractWheelView java:188)
       at antistatic spinnerwheel AbstractWheel onLayout(AbstractWheel java:445)
       at android view View layout(View java:16942)
       at android widget LinearLayout setChildFrame(LinearLayout java:1702)
       at android widget LinearLayout layoutVertical(LinearLayout java:1556)
       at android widget LinearLayout onLayout(LinearLayout java:1465)
       at android view View layout(View java:16942)
       at android view ViewGroup layout(ViewGroup java:5409)
       at android widget LinearLayout setChildFrame(LinearLayout java:1702)
       at android widget LinearLayout layoutHorizontal(LinearLayout java:1691)
       at android widget LinearLayout onLayout(LinearLayout java:1467)
       at android view View layout(View java:16942)
       at android view ViewGroup layout(ViewGroup java:5409)
       at android widget LinearLayout setChildFrame(LinearLayout java:1702)
       at android widget LinearLayout layoutVertical(LinearLayout java:1556)
       at android widget LinearLayout onLayout(LinearLayout java:1465)
       at android view View layout(View java:16942)
       at android view ViewGroup layout(ViewGroup java:5409)
       at android widget FrameLayout layoutChildren(FrameLayout java:579)
       at android widget FrameLayout onLayout(FrameLayout java:514)
       at android view View layout(View java:16942)
       at android view ViewGroup layout(ViewGroup java:5409)
       at android widget FrameLayout layoutChildren(FrameLayout java:579)
       at android widget FrameLayout onLayout(FrameLayout java:514)
       at android view View layout(View java:16942)
       at android view ViewGroup layout(ViewGroup java:5409)
       at android widget FrameLayout layoutChildren(FrameLayout java:579)
       at android widget FrameLayout onLayout(FrameLayout java:514)
       at android view View layout(View java:16942)
       at android view ViewGroup layout(ViewGroup java:5409)
       at android view ViewRootImpl performLayout(ViewRootImpl java:2452)
       at android view ViewRootImpl performTraversals(ViewRootImpl java:2156)
       at android view ViewRootImpl doTraversal(ViewRootImpl java:1297)
       at android view ViewRootImpl TraversalRunnable run(ViewRootImpl java:6991)
       at android view Choreographer CallbackRecord run(Choreographer java:777)
       at android view Choreographer doCallbacks(Choreographer java:590)
       at android view Choreographer doFrame(Choreographer java:560)
       at android view Choreographer FrameDisplayEventReceiver run(Choreographer java:763)
       at android os Handler handleCallback(Handler java:739)
       at android os Handler dispatchMessage(Handler java:95)
       at android os Looper loop(Looper java:145)
       at android app ActivityThread main(ActivityThread java:6872)
       at java lang reflect Method invoke(Method java)
       at java lang reflect Method invoke(Method java:372)
       at com android internal os ZygoteInit MethodAndArgsCaller run(ZygoteInit java:1404)
       at com android internal os ZygoteInit main(ZygoteInit java:1199)
</t>
  </si>
  <si>
    <t>CellularPrivacy-Android-IMSI-Catcher-Detector-737</t>
  </si>
  <si>
    <t>Crashing on Nexus 5 Android 6.0.1 version (1.37)</t>
  </si>
  <si>
    <t xml:space="preserve">Everytime location is on  high accuracy  it works but when in  battery saving  app crashes 
</t>
  </si>
  <si>
    <t>open-keychain-open-keychain-1654</t>
  </si>
  <si>
    <t>java.lang.AssertionError: cannot clearsign in non-ascii armored text, this is a bug!</t>
  </si>
  <si>
    <t xml:space="preserve">From Google Play dev console 
Message from user: just crashes when trying to access with another app 
java lang AssertionError: cannot clearsign in non ascii armored text  this is a bug 
    at org sufficientlysecure keychain pgp PgpSignEncryptOperation execute(PgpSignEncryptOperation java:501)
    at org sufficientlysecure keychain remote OpenPgpService encryptAndSignImpl(OpenPgpService java:437)
    at org sufficientlysecure keychain remote OpenPgpService executeInternalWithStreams(OpenPgpService java:874)
    at org sufficientlysecure keychain remote OpenPgpService executeInternal(OpenPgpService java:829)
    at org sufficientlysecure keychain remote OpenPgpService2 1 execute(OpenPgpService2 java:62)
    at org openintents openpgp IOpenPgpService2 Stub onTransact(IOpenPgpService2 java:80)
    at android os Binder execTransact(Binder java:446)
</t>
  </si>
  <si>
    <t>ankidroid-Anki-Android-4035</t>
  </si>
  <si>
    <t>Reviewer / Previewer don't store/restore state on restart (switch to night view while using them to see)</t>
  </si>
  <si>
    <t xml:space="preserve">1) go to Browser
select preview on a card
pull side bar in  switch to night mode
  crash
2) review card A
pull side bar in  switch to night mode
   another card B is on top  card A has disappeared back into the deck
</t>
  </si>
  <si>
    <t>CellularPrivacy-Android-IMSI-Catcher-Detector-741</t>
  </si>
  <si>
    <t>Graphical glitch and potential crash in settings</t>
  </si>
  <si>
    <t xml:space="preserve">I discovered  that there is a graphical glitch when you go into the settings  then switch to androids recent apps overview and back to AIMSICD again  It looks like the textual elements of the settings activity get duplicated  Also the app once crashed for me after this happened 
</t>
  </si>
  <si>
    <t>ccrama-Slide-743</t>
  </si>
  <si>
    <t xml:space="preserve">Phone reboots randomly while saving images </t>
  </si>
  <si>
    <t xml:space="preserve">This is happening for the first time on this device in last 4 months  But today is happening after almost every third of fourth image I try to download  I downloaded images to repeat  crashes and they happen 
Xiaomi Redmi Prime
Android 4 4 4
MiUi 7 1 stable not rooted  
Every thing Stock
Internal memory available 4GB
RAM available 1 4GB
</t>
  </si>
  <si>
    <t>theksmith-CarBusInterface-10</t>
  </si>
  <si>
    <t>not working reliably after upgrade to Lollipop 5.0.2 on Sony Xperia Z2 tablet</t>
  </si>
  <si>
    <t xml:space="preserve">i upgraded my Sony Xperia Z2 tablet (Verizon model SGP561) from Kitkat 4 4 x to Lollipop 5 0 2 and now the app rarely works without first manually issuing a command in the debug terminal  there are no errors or crashes  and no errors were noticed in logcat either  the app appears to connect OK  but never begins receiving bus data from the ELM adapter without the manual command 
some part of the service looks like it may be  hanging  during launch  sending any command form the debug terminal causes the startup commands to be issued again and everything begins to work  note that just using the menu option  re send startup commands  in the terminal does not work though 
i ve tried manually launching the app as well as using the  automatic launch  setting  neither makes a difference 
i am using version 1 0 of the app (car bus interface v1 0 debug apk)
</t>
  </si>
  <si>
    <t>futurice-vor-46</t>
  </si>
  <si>
    <t>SettingsActivity crashes with Android 4.4</t>
  </si>
  <si>
    <t xml:space="preserve">Some newer version crashed it as well  but I don t remember the version right now  
</t>
  </si>
  <si>
    <t>dimagi-commcare-android-959</t>
  </si>
  <si>
    <t>Check for session expiration in home screen dispatch</t>
  </si>
  <si>
    <t xml:space="preserve">The DispatchActivity refactor left the home screen dispatch logic such that it was no longer checking for the case where the user has been logged out  which I believe we still want to be doing  This PR fixes this by checking for session expiration in attemptDispatchHomeScreen()  and just calling finish() if so  The specific case that I noticed where this is necessary is clearing user data (the app was crashing whenever you did this because CommCareHomeActivity would try to set up the home screen after returning from the preference activity  when there was no longer any logged in user)  But I imagine there are other ways in which this could happen  and we would want to handle those smoothly as well  so went for a catch all fix 
</t>
  </si>
  <si>
    <t>osmdroid-osmdroid-235</t>
  </si>
  <si>
    <t>google wrapper app crashes when switching between google maps v1 and v2</t>
  </si>
  <si>
    <t xml:space="preserve">Goto v1  then v2  then back to v1 (crash)
something about there s only one map view allowed
</t>
  </si>
  <si>
    <t>TeamNewPipe-NewPipe-148</t>
  </si>
  <si>
    <t>App Crashes On For Enable if Orbot not Installed</t>
  </si>
  <si>
    <t xml:space="preserve">Without Orbot installed  the app simply crashes without any reason to the user upon activating Tor downloading  We should check if Orbot is installed before performing whatever tasks are necessary to activate the feature  and present a message to the user if it is not found on their device 
</t>
  </si>
  <si>
    <t>dimagi-commcare-android-962</t>
  </si>
  <si>
    <t>Unify instances of restarting commcare</t>
  </si>
  <si>
    <t xml:space="preserve">We had a few different places in the app where we performed a restart of CommCare  and were doing it in slightly different (and in 1 case very different) ways in each  This unifies those instances to use 1 single helper method that does the restart in what (I think) is the most proper way 
 phillipm Also (mostly) fixes http:  manage dimagi com default asp 186379  by performing the reboot after uninstall in a way that actually clears the back stack  This fixes the crash that was happening when you press back after being redirected to the install screen  but does NOT fix the fact that you are redirected to the install screen rather than back to the app manager  at least not entirely  This was previously a known shortcoming of the way I had set up restarting after uninstall  in that restarting CommCare consistently brought the app back to normal CommCare rather than the app manager  and I couldn t find a way around it  The odd thing is that after refactoring the way the restart is happening  it is now sometimes returning to the app manager  and sometimes returning to normal CommCare  and I can t really identify a pattern that is causing the distinction    Electing not to go crazy over that for now because it s not a huge deal  but will revisit later  
  Question  : I tried to make sure I found all instances where we were doing a restart  but if anyone knows of something I missed  let me know please 
</t>
  </si>
  <si>
    <t>tlaukkan-zigbee4java-75</t>
  </si>
  <si>
    <t xml:space="preserve">sendSynchrouns(hwDriver, request, RESEND_TIMEOUT) = null  in windows 10 </t>
  </si>
  <si>
    <t xml:space="preserve">Hello :) 
i  tried to run zig4java console with eclipse in windows 10 but the application crash even if all the other configurations are well ( dongle  firmware  args )  
the crash occur when the step of creation of zigbee network is begin   the reason is : sendSynchrouns(hwDriver  request  RESEND TIMEOUT)   null  
whereas when i  run the same program in eclipse using a ubuttu machines the program run well and the console of the application is running    the value of sendSynchrouns(hwDriver  request  RESEND TIMEOUT) in this case is : 
sendSynchrouns(hwDriver  request  RESEND TIMEOUT)   ZB WRITE CONFIGURATION RSP Status SUCCESS(0)  
hope that helps someone :) 
</t>
  </si>
  <si>
    <t>koral---android-gif-drawable-240</t>
  </si>
  <si>
    <t>Crash when using GifTextureView in ListView</t>
  </si>
  <si>
    <t xml:space="preserve">I m using GifTextureView in ListView item 
The code segment in Adapter is following:
 Override
    public View getView(int position  View convertView  ViewGroup parent)  
        ViewHolder holder 
        if (convertView    null)  
            convertView   LayoutInflater from(mContext) inflate(R layout texture item  parent  false) 
            holder   new ViewHolder() 
            holder imageView   (GifTextureView) convertView findViewById(R id gif) 
            convertView setTag(holder) 
          else  
            holder   (ViewHolder) convertView getTag() 
        holder imageView setInputSource(new InputSource FileSource(imgSources position )) 
        return convertView 
    public static class ViewHolder  
        GifTextureView imageView 
When I press back away off this activity  It crashes or show dialog ANR 
01 07 14:17:55 495 13166 13365 huy com gifresearch E AndroidRuntime: FATAL EXCEPTION: GifRenderThread
Process: huy com gifresearch  PID: 13166
java lang RuntimeException: Display loop poll failed Interrupted system call
    at huy com libgifdrawable GifInfoHandle bindSurface(Native Method)
    at huy com libgifdrawable GifInfoHandle bindSurface(GifInfoHandle java:134)
    at huy com libgifdrawable GifTextureView RenderThread run(GifTextureView java:218)
</t>
  </si>
  <si>
    <t>hidroh-materialistic-329</t>
  </si>
  <si>
    <t>BaseListFragment.java line 111</t>
  </si>
  <si>
    <t xml:space="preserve">     in io github hidroh materialistic BaseListFragment prepareOptionsMenu
  Number of crashes: 1
  Impacted devices: 1
There s a lot more information about this crash on crashlytics com:
 https:  fabric io ha duy trungs projects android apps io github hidroh materialistic issues 568de821f5d3a7f76be7e615 (https:  fabric io ha duy trungs projects android apps io github hidroh materialistic issues 568de821f5d3a7f76be7e615)
</t>
  </si>
  <si>
    <t>hidroh-materialistic-328</t>
  </si>
  <si>
    <t>DiskLruCache.java line 630</t>
  </si>
  <si>
    <t xml:space="preserve">     in com squareup okhttp internal DiskLruCache checkNotClosed
  Number of crashes: 1
  Impacted devices: 1
There s a lot more information about this crash on crashlytics com:
 https:  fabric io ha duy trungs projects android apps io github hidroh materialistic issues 568dcd79f5d3a7f76be772b1 (https:  fabric io ha duy trungs projects android apps io github hidroh materialistic issues 568dcd79f5d3a7f76be772b1)
</t>
  </si>
  <si>
    <t>jonasoreland-runnerup-359</t>
  </si>
  <si>
    <t>Crash after saving if auto upload disabled</t>
  </si>
  <si>
    <t xml:space="preserve">I linked a runtastic account and enabled automatic uploading  Used it for a while  but the upload only works some of the time and sometimes has the wrong activity type set (running instead of biking)  so I disabled automatic upload  From there on  the app would always crash after saving an activity  Turning automatic uploads back on fixes the crashing 
</t>
  </si>
  <si>
    <t>Bernie-2016-fieldthebern-android-328</t>
  </si>
  <si>
    <t>Make ErrorResponse getAllDetails() degrade gracefully</t>
  </si>
  <si>
    <t xml:space="preserve">https:  fabric io pjco android apps com berniesanders fieldthebern issues 56930f44f5d3a7f76bfdd9fb
If an exception is thrown  the error should be logged to crashlytics but a string like  unknown error  should be returned
</t>
  </si>
  <si>
    <t>alexvasilkov-GestureViews-15</t>
  </si>
  <si>
    <t>NullPointerException when using touch without ViewPager</t>
  </si>
  <si>
    <t xml:space="preserve">I m trying out your library in version 2 1 0 and created a minimal (I think) example for it:
Activity:
    Java
public class TestActivity extends AppCompatActivity  
    private GestureImageView gestureView 
     Override
    protected void onCreate(Bundle savedInstanceState)  
        super onCreate(savedInstanceState) 
        setContentView(R layout activity test) 
        gestureView   (GestureImageView) findViewById(R id imageView) 
        String assetPath    file:   android asset my image png  
        Glide with(this)
             load(assetPath)
             into(gestureView) 
Layout:
    Xml
  xml version  1 0  encoding  utf 8   
 LinearLayout xmlns:android  http:  schemas android com apk res android 
              android:layout width  match parent 
              android:layout height  match parent 
              android:orientation  vertical  
     com alexvasilkov gestures views GestureImageView
        android:id    id imageView 
        android:layout width  match parent 
        android:layout height  match parent   
  LinearLayout 
When I touch the image in the emulator or on my phone  the app crashes with this exception:
java lang NullPointerException: Attempt to invoke virtual method  void android support v4 view ViewPager requestDisallowInterceptTouchEvent(boolean)  on a null object reference
   at com alexvasilkov gestures GestureControllerForPager onDown(GestureControllerForPager java:128)
   at com alexvasilkov gestures GestureController InternalGesturesListener onDown(GestureController java:745)
   at android view GestureDetector onTouchEvent(GestureDetector java:590)
   at com alexvasilkov gestures GestureController onTouch(GestureController java:340)
   at com alexvasilkov gestures GestureControllerForPager onTouch(GestureControllerForPager java:100)
   at com alexvasilkov gestures views GestureImageView onTouchEvent(GestureImageView java:140)
   at android view View dispatchTouchEvent(View java:9294)
   at android view ViewGroup dispatchTransformedTouchEvent(ViewGroup java:2553)
   at android view ViewGroup dispatchTouchEvent(ViewGroup java:2197)
Am I using the library correctly 
</t>
  </si>
  <si>
    <t>opensrp-opensrp-client-134</t>
  </si>
  <si>
    <t xml:space="preserve">Null pointer in the Repository class causes the App to crash </t>
  </si>
  <si>
    <t xml:space="preserve"> dimasciput as per the crashylitics report the exception that is responsible for highest number of app crashes occurs while trying to access the database path in the Repository class see (https:  www fabric io dimas tri ciputras projects android apps org ei opensrp indonesia issues 56543573f5d3a7f76bd33071)
  Stacktrace
Fatal Exception: java lang RuntimeException: Unable to start receiver org ei opensrp indonesia view receiver SyncBidanBroadcastReceiver: java lang NullPointerException: Attempt to invoke virtual method  java io File android content Context getDatabasePath(java lang String)  on a null object reference
       at android app ActivityThread handleReceiver(ActivityThread java:2680)
       at android app ActivityThread access 1700(ActivityThread java:156)
       at android app ActivityThread H handleMessage(ActivityThread java:1428)
       at android os Handler dispatchMessage(Handler java:102)
       at android os Looper loop(Looper java:211)
       at android app ActivityThread main(ActivityThread java:5373)
       at java lang reflect Method invoke(Method java)
       at java lang reflect Method invoke(Method java:372)
       at com android internal os ZygoteInit MethodAndArgsCaller run(ZygoteInit java:1020)
       at com android internal os ZygoteInit main(ZygoteInit java:815)
Caused by java lang NullPointerException: Attempt to invoke virtual method  java io File android content Context getDatabasePath(java lang String)  on a null object reference
       at org ei opensrp repository Repository  init (Repository java:22)
       at org ei opensrp indonesia Context initRepository(Context java:119)
       at org ei opensrp Context allSettings(Context java:515)
       at org ei opensrp Context httpAgent(Context java:467)
       at org ei opensrp indonesia Context uniqueIdService(Context java:228)
       at org ei opensrp indonesia view receiver SyncBidanBroadcastReceiver onReceive(SyncBidanBroadcastReceiver java:27)
       at android app ActivityThread handleReceiver(ActivityThread java:2673)
       at android app ActivityThread access 1700(ActivityThread java:156)
       at android app ActivityThread H handleMessage(ActivityThread java:1428)
       at android os Handler dispatchMessage(Handler java:102)
       at android os Looper loop(Looper java:211)
       at android app ActivityThread main(ActivityThread java:5373)
       at java lang reflect Method invoke(Method java)
       at java lang reflect Method invoke(Method java:372)
       at com android internal os ZygoteInit MethodAndArgsCaller run(ZygoteInit java:1020)
       at com android internal os ZygoteInit main(ZygoteInit java:815)
</t>
  </si>
  <si>
    <t>hidroh-materialistic-341</t>
  </si>
  <si>
    <t>WebFragment.java line 82</t>
  </si>
  <si>
    <t xml:space="preserve">     in io github hidroh materialistic WebFragment onCreateView
  Number of crashes: 1
  Impacted devices: 1
There s a lot more information about this crash on crashlytics com:
 https:  fabric io ha duy trungs projects android apps io github hidroh materialistic issues 56944eadf5d3a7f76b035518 (https:  fabric io ha duy trungs projects android apps io github hidroh materialistic issues 56944eadf5d3a7f76b035518)
</t>
  </si>
  <si>
    <t>Bernie-2016-fieldthebern-android-372</t>
  </si>
  <si>
    <t>Verify the user has an internet connection</t>
  </si>
  <si>
    <t xml:space="preserve">     in com squareup okhttp Dns 1 lookup
  Number of crashes: 1
  Impacted devices: 1
There s a lot more information about this crash on crashlytics com:
 https:  fabric io pjco android apps com berniesanders fieldthebern issues 5696d76ff5d3a7f76b0f655a (https:  fabric io pjco android apps com berniesanders fieldthebern issues 5696d76ff5d3a7f76b0f655a)
</t>
  </si>
  <si>
    <t>billthefarmer-tuner-4</t>
  </si>
  <si>
    <t>crash when enabling audio.lock</t>
  </si>
  <si>
    <t xml:space="preserve">The application crashes when I click on the cents error:
java lang NullPointerException: Attempt to invoke virtual method  int android graphics Bitmap getHeight()  on a null object reference
    at org billthefarmer tuner Display onDraw(Display java:126)
    at android view View draw(View java:15114)
I m running Tuner 1 0 7 from f droid (cyanogenmod12 android5 0 2)  
Let me know if I can help with debugging in any way :)
</t>
  </si>
  <si>
    <t>zhuowei-MCPELauncher-489</t>
  </si>
  <si>
    <t>Creative Inventory Crash??</t>
  </si>
  <si>
    <t xml:space="preserve">Yesterday it worked  today it crashes as soon as I click to go into my creative inventory  Yes  it s a fresh copy of BL just Uninstaller and reinstalled yesterday while cleaning up my phone 
</t>
  </si>
  <si>
    <t>ccrama-Slide-790</t>
  </si>
  <si>
    <t>Changing theme via 3 dot menu crashes the app</t>
  </si>
  <si>
    <t xml:space="preserve">I guess it s known  but changing theme  no matter if theme is light or dark makes the app crash  without restarting it  After launching it again theme is indeed changed though 
</t>
  </si>
  <si>
    <t>gorbin-ASNE-104</t>
  </si>
  <si>
    <t>NullPointerException: Attempt to invoke virtual method 'java.lang.String android.content.Context.getPackageName()' on a null object reference</t>
  </si>
  <si>
    <t xml:space="preserve">I got this crash report just now through Fabric  Not sure what is happening here   
Might be related to https:  github com gorbin ASNE issues 52  
Fatal Exception: java lang NullPointerException: Attempt to invoke virtual method  java lang String android content Context getPackageName()  on a null object reference
       at android content ComponentName  init (ComponentName java:77)
       at android content Intent  init (Intent java:4010)
       at com github gorbin asne linkedin LinkedInSocialNetwork requestLogin(LinkedInSocialNetwork java:124)
       at com github gorbin asne core SocialNetwork requestLogin(SocialNetwork java:205)
       at com recruitmenteventapp mobile android authenticator ASNEFragment 1 onClick(ASNEFragment java:127)
       at android view View performClick(View java:4764)
       at android view View PerformClick run(View java:19844)
       at android os Handler handleCallback(Handler java:739)
       at android os Handler dispatchMessage(Handler java:95)
       at android os Looper loop(Looper java:135)
       at android app ActivityThread main(ActivityThread java:5297)
       at java lang reflect Method invoke(Method java)
       at java lang reflect Method invoke(Method java:372)
       at com android internal os ZygoteInit MethodAndArgsCaller run(ZygoteInit java:908)
       at com android internal os ZygoteInit main(ZygoteInit java:703)
</t>
  </si>
  <si>
    <t>projectbuendia-client-199</t>
  </si>
  <si>
    <t>Crashes when form has empty sections</t>
  </si>
  <si>
    <t xml:space="preserve">  Update:   looks like what is happening is that it doesn t like empty sections  which are caused by a section beginning with a select multiple 
When I am opening the  Initial Physical Exam  form of profile  nutrition itfc 101 csv  the app crashes as it is loading the form 
This is the profile that was loaded:
https:  github com projectbuendia profiles blob master nutrition itfc 101 csv
Here is a bug report:
https:  www dropbox com s 8ay3feu3grezfbs bugreport 2016 01 14 00 29 13 txt dl 0
App build 900 (revision  3d9fc283d508b936794e50a3dea0f6004ec96e32) 
Connected to dev projectbuendia org
Patient ABC 680  Chinasa Tremblay  in location  UNTI Soins Intensifs  
</t>
  </si>
  <si>
    <t>ccrama-Slide-808</t>
  </si>
  <si>
    <t>Currently need help with these features</t>
  </si>
  <si>
    <t xml:space="preserve">There were a lot of requests from the thread on  r android yesterday  here s the main things that I think need to be done and would like help on if you are looking for something to contribute to 
   x  Spoilers are not working properly
   x  Option to remove crop on comment view 
   x  Option to color the navbar
   x  Scrollbar in comments
   x  Get rid of pinning system  create screen to re order  remove  and add subreddits
   x  Smaller image option for list mode
   x  Loading comments with context doesn t scroll to the context comment (the highlighted one)
Also  here are a list of the biggest crash issues currently
http:  pastebin com dPDeFP0q
If you would like to tackle something have done something in a commit  please comment below 
</t>
  </si>
  <si>
    <t>Bernie-2016-fieldthebern-android-398</t>
  </si>
  <si>
    <t>MapScreen.java line 145</t>
  </si>
  <si>
    <t xml:space="preserve">     in com berniesanders fieldthebern screens MapScreen Presenter onLoad
  Number of crashes: 1
  Impacted devices: 1
There s a lot more information about this crash on crashlytics com:
 https:  fabric io pjco android apps com berniesanders fieldthebern issues 5699431bf5d3a7f76b1b25a9 (https:  fabric io pjco android apps com berniesanders fieldthebern issues 5699431bf5d3a7f76b1b25a9)
</t>
  </si>
  <si>
    <t>pedrovgs-EffectiveAndroidUI-16</t>
  </si>
  <si>
    <t>Crashed in my MI4 phone</t>
  </si>
  <si>
    <t xml:space="preserve">the crash log:
01 15 11:57:23 631 11565 11565   D dalvikvm: Late enabling CheckJNI
01 15 11:57:23 701 11565 11565 com github pedrovgs effectiveandroidui W dalvikvm: VFY: unable to find class referenced in signature (Landroid view SearchEvent )
01 15 11:57:23 701 11565 11565 com github pedrovgs effectiveandroidui I dalvikvm: Could not find method android view Window Callback onSearchRequested  referenced from method android support v7 internal view WindowCallbackWrapper onSearchRequested
01 15 11:57:23 701 11565 11565 com github pedrovgs effectiveandroidui W dalvikvm: VFY: unable to resolve interface method 14134: Landroid view Window Callback  onSearchRequested (Landroid view SearchEvent )Z
01 15 11:57:23 701 11565 11565 com github pedrovgs effectiveandroidui D dalvikvm: VFY: replacing opcode 0x72 at 0x0002
01 15 11:57:23 701 11565 11565 com github pedrovgs effectiveandroidui I dalvikvm: Could not find method android view Window Callback onWindowStartingActionMode  referenced from method android support v7 internal view WindowCallbackWrapper onWindowStartingActionMode
01 15 11:57:23 701 11565 11565 com github pedrovgs effectiveandroidui W dalvikvm: VFY: unable to resolve interface method 14138: Landroid view Window Callback  onWindowStartingActionMode (Landroid view ActionMode Callback I)Landroid view ActionMode 
01 15 11:57:23 701 11565 11565 com github pedrovgs effectiveandroidui D dalvikvm: VFY: replacing opcode 0x72 at 0x0002
01 15 11:57:23 741 11565 11565 com github pedrovgs effectiveandroidui I dalvikvm: Could not find method android content res TypedArray getChangingConfigurations  referenced from method android support v7 internal widget TintTypedArray getChangingConfigurations
01 15 11:57:23 741 11565 11565 com github pedrovgs effectiveandroidui W dalvikvm: VFY: unable to resolve virtual method 421: Landroid content res TypedArray  getChangingConfigurations ()I
01 15 11:57:23 741 11565 11565 com github pedrovgs effectiveandroidui D dalvikvm: VFY: replacing opcode 0x6e at 0x0002
01 15 11:57:23 741 11565 11565 com github pedrovgs effectiveandroidui I dalvikvm: Could not find method android content res TypedArray getType  referenced from method android support v7 internal widget TintTypedArray getType
01 15 11:57:23 741 11565 11565 com github pedrovgs effectiveandroidui W dalvikvm: VFY: unable to resolve virtual method 443: Landroid content res TypedArray  getType (I)I
01 15 11:57:23 741 11565 11565 com github pedrovgs effectiveandroidui D dalvikvm: VFY: replacing opcode 0x6e at 0x0002
01 15 11:57:23 801 11565 11565 com github pedrovgs effectiveandroidui D dalvikvm: GC FOR ALLOC freed 395K  26  free 23039K 30732K  paused 15ms  total 15ms
01 15 11:57:23 811 11565 11565 com github pedrovgs effectiveandroidui I dalvikvm heap: Grow heap (frag case) to 39 105MB for 9000016 byte allocation
01 15 11:57:23 871 11565 11565 com github pedrovgs effectiveandroidui I Adreno EGL:  qeglDrvAPI eglInitialize:410 : EGL 1 4 QUALCOMM build: YWEN  PATCH ES  msm8974 refs tags AU LINUX ANDROID LNX LA 3 5 2 2 1 RB1 04 04 04 090 059  release ENGG ()
                                                                                    OpenGL ES Shader Compiler Version: E031 24 00 15
                                                                                    Build Date: 11 04 15 Wed
                                                                                    Local Branch: tip
                                                                                    Remote Branch: quic kk 3 5 1
                                                                                    Local Patches: 14b1eae272f4a5ed345b2294a1c76becd9b27371 rb: re work change  ES2 0 Fix for shadow cached VBO validation 
                                                                                                     c63208cf6c1fe92a04d7ed7e26be44f2f51c94e9 Revert  Fix for perf regression from  ES2 0 Fix for shadow cached VBO validation  
01 15 11:57:23 901 11565 11565 com github pedrovgs effectiveandroidui D OpenGLRenderer: Enabling debug mode 0
01 15 11:57:23 981 11565 11565 com github pedrovgs effectiveandroidui I Timeline: Timeline: Activity idle id: android os BinderProxy 42d5f680 time:180624621
01 15 11:57:25 371 11565 11565 com github pedrovgs effectiveandroidui D AndroidRuntime: Shutting down VM
01 15 11:57:25 371 11565 11565 com github pedrovgs effectiveandroidui W dalvikvm: threadid 1: thread exiting with uncaught exception (group 0x41755d58)
01 15 11:57:25 421 11565 11565 com github pedrovgs effectiveandroidui E AndroidRuntime: FATAL EXCEPTION: main
                                                                                        Process: com github pedrovgs effectiveandroidui  PID: 11565
                                                                                        android view InflateException: Binary XML file line  11: Error inflating class android widget TextView
                                                                                            at android view LayoutInflater createView(LayoutInflater java:623)
                                                                                            at com android internal policy impl PhoneLayoutInflater onCreateView(PhoneLayoutInflater java:56)
                                                                                            at android view LayoutInflater onCreateView(LayoutInflater java:672)
                                                                                            at android view LayoutInflater createViewFromTag(LayoutInflater java:697)
                                                                                            at android view LayoutInflater rInflate(LayoutInflater java:758)
                                                                                            at android view LayoutInflater inflate(LayoutInflater java:495)
                                                                                            at android view LayoutInflater inflate(LayoutInflater java:400)
                                                                                            at com github pedrovgs effectiveandroidui ui renderer tvshow TvShowRenderer inflate(TvShowRenderer java:66)
                                                                                            at com pedrogomez renderers Renderer onCreate(Renderer java:52)
                                                                                            at com pedrogomez renderers RendererBuilder createRenderer(RendererBuilder java:143)
                                                                                            at com pedrogomez renderers RendererBuilder build(RendererBuilder java:115)
                                                                                            at com pedrogomez renderers RendererAdapter getView(RendererAdapter java:89)
                                                                                            at android widget AbsListView obtainView(AbsListView java:2257)
                                                                                            at android widget GridView onMeasure(GridView java:1044)
                                                                                            at android view View measure(View java:16529)
                                                                                            at android widget RelativeLayout measureChildHorizontal(RelativeLayout java:719)
                                                                                            at android widget RelativeLayout onMeasure(RelativeLayout java:455)
                                                                                            at android view View measure(View java:16529)
                                                                                            at android view ViewGroup measureChildWithMargins(ViewGroup java:5125)
                                                                                            at android widget FrameLayout onMeasure(FrameLayout java:310)
                                                                                            at android view View measure(View java:16529)
                                                                                            at android view ViewGroup measureChildWithMargins(ViewGroup java:5125)
                                                                                            at android widget FrameLayout onMeasure(FrameLayout java:310)
                                                                                            at android support v7 internal widget ContentFrameLayout onMeasure(ContentFrameLayout java:124)
                                                                                            at android view View measure(View java:16529)
                                                                                            at android view ViewGroup measureChildWithMargins(ViewGroup java:5125)
                                                                                            at android support v7 internal widget ActionBarOverlayLayout onMeasure(ActionBarOverlayLayout java:393)
                                                                                            at android view View measure(View java:16529)
                                                                                            at android view ViewGroup measureChildWithMargins(ViewGroup java:5125)
                                                                                            at android widget FrameLayout onMeasure(FrameLayout java:310)
                                                                                            at android view View measure(View java:16529)
                                                                                            at android view ViewGroup measureChildWithMargins(ViewGroup java:5125)
                                                                                            at android widget LinearLayout measureChildBeforeLayout(LinearLayout java:1404)
                                                                                            at android widget LinearLayout measureVertical(LinearLayout java:695)
                                                                                            at android widget LinearLayout onMeasure(LinearLayout java:588)
                                                                                            at android view View measure(View java:16529)
                                                                                            at android view ViewGroup measureChildWithMargins(ViewGroup java:5125)
                                                                                            at android widget FrameLayout onMeasure(FrameLayout java:310)
                                                                                            at com android internal policy impl PhoneWindow DecorView onMeasure(PhoneWindow java:2291)
                                                                                            at android view View measure(View java:16529)
                                                                                            at android view ViewRootImpl performMeasure(ViewRootImpl java:1973)
                                                                                            at android view ViewRootImpl measureHierarchy(ViewRootImpl java:1170)
                                                                                            at android view ViewRootImpl performTraversals(ViewRootImpl java:1352)
                                                                                            at android view ViewRootImpl doTraversal(ViewRootImpl java:1057)
                                                                                            at android view ViewRootImpl TraversalRunnable run(ViewRootImpl java:5666)
                                                                                            at android view Choreographer CallbackRecord run(Choreographer java:761)
                                                                                            at android view Choreographer doCallbacks(Choreographer java:574)
                                                                                            at android view Choreographer doFrame(Choreographer java:544)
                                                                                            at android view Choreographer FrameDisplayEventReceiver run(Choreographer java:747)
                                                                                            at android os Handler handleCallback(Handler java:733)
                                                                                            at android os Handler dispatchMessage(Handler java:95)
                                                                                            at android os Looper loop(Looper java:136)
                                                                                            at android app ActivityThread main(ActivityThread java:5072)
                                                                                            at java lang reflect Method invokeNative(Native Method)
                                                                                            at java lang reflect Method invoke(Method java:515)
                                                                                            at com android internal os ZygoteInit MethodAndArgsCaller run(ZygoteInit java:793)
                                                                                            at com android internal os ZygoteInit main(ZygoteI
01 15 11:57:27 361 11565 11565 com github pedrovgs effectiveandroidui I Process: Sending signal  PID: 11565 SIG: 9
</t>
  </si>
  <si>
    <t>koral---android-gif-drawable-243</t>
  </si>
  <si>
    <t>OutOfMemoryError with a small gif</t>
  </si>
  <si>
    <t xml:space="preserve">The sample always crashes when I wanna display this gif file  even with GifTextureView or GifDrawable  The gif url is http:  dl file zalo zdn vn 2d6539022542cc1c9553 1165032654979416611
Here is the crash log  In  HttpFragment 
  unnamed 14842 0  detachFromContext: abandoned GLConsumer
01 15 08:56:21 380 14842 14869 pl droidsonroids gif sample E OpenGLRenderer: Failed to detach SurfaceTexture from context  19
01 15 08:56:21 684 14842 15018 pl droidsonroids gif sample E AndroidRuntime: FATAL EXCEPTION: GifRenderThread
        Process: pl droidsonroids gif sample  PID: 14842
        java lang OutOfMemoryError: Failed to allocate native memory
        at pl droidsonroids gif GifInfoHandle openByteArray(Native Method)
        at pl droidsonroids gif InputSource ByteArraySource open(InputSource java:92)
        at pl droidsonroids gif GifTextureView RenderThread run(GifTextureView java:181)
This gif file is resized down  The original file is big  I debug and see that  width   188   height   103  But at some frames  left   26020 and top   28016  That causes the Ginfo  rasterBits size finally is so big    OutOfMemoryError 
https:  github com koral   android gif drawable blob master src main jni decoding c L17 L18 
Why did you do like that  I just try modifying like this:
const uint fast16 t requiredScreenWidth   info  gifFilePtr  Image Width 
const uint fast16 t requiredScreenHeight   info  gifFilePtr  Image Height 
It works fine  All frame are displayed normally 
</t>
  </si>
  <si>
    <t>SpartaHack-SpartaHack-Android-2016-16</t>
  </si>
  <si>
    <t>App crashes for logged-in users</t>
  </si>
  <si>
    <t xml:space="preserve">clear local data  launch app  go to Profile pane  type in valid credentials  app crashes every time 
2013 Moto X with Android 5 1
</t>
  </si>
  <si>
    <t>Bernie-2016-fieldthebern-android-390</t>
  </si>
  <si>
    <t>youtube thumbnail crash</t>
  </si>
  <si>
    <t xml:space="preserve">     in com google android youtube player internal r i
  Number of crashes: 1
  Impacted devices: 1
There s a lot more information about this crash on crashlytics com:
 https:  fabric io pjco android apps com berniesanders fieldthebern issues 5698391bf5d3a7f76b16135a (https:  fabric io pjco android apps com berniesanders fieldthebern issues 5698391bf5d3a7f76b16135a)
</t>
  </si>
  <si>
    <t>dmfs-opentasks-192</t>
  </si>
  <si>
    <t>Crash when saving a task and going to home screen</t>
  </si>
  <si>
    <t xml:space="preserve">When you save a task  the dialog box  task created  appears for about 1s  When you go to the homescreen or to the recent apps before this dialog closes  the app crashes but the task is saved 
Logcat from the crash:
  E AndroidRuntime(22354): FATAL EXCEPTION: main
  E AndroidRuntime(22354): Process: org dmfs tasks  PID: 22354
  E AndroidRuntime(22354): java lang IllegalStateException: Can not perform this action after onSaveInstanceState
  E AndroidRuntime(22354):    at android support v4 app FragmentManagerImpl checkStateLoss(FragmentManager java:1365)
  E AndroidRuntime(22354):    at android support v4 app FragmentManagerImpl enqueueAction(FragmentManager java:1383)
  E AndroidRuntime(22354):    at android support v4 app BackStackRecord commitInternal(BackStackRecord java:636)
  E AndroidRuntime(22354):    at android support v4 app BackStackRecord commit(BackStackRecord java:615)
  E AndroidRuntime(22354):    at android support v4 app DialogFragment dismissInternal(DialogFragment java:200)
  E AndroidRuntime(22354):    at android support v4 app DialogFragment dismiss(DialogFragment java:166)
  E AndroidRuntime(22354):    at org dmfs tasks QuickAddDialogFragment 1 run(QuickAddDialogFragment java:470)
  E AndroidRuntime(22354):    at android os Handler handleCallback(Handler java:739)
  E AndroidRuntime(22354):    at android os Handler dispatchMessage(Handler java:95)
  E AndroidRuntime(22354):    at android os Looper loop(Looper java:135)
  E AndroidRuntime(22354):    at android app ActivityThread main(ActivityThread java:5310)
  E AndroidRuntime(22354):    at java lang reflect Method invoke(Native Method)
  E AndroidRuntime(22354):    at java lang reflect Method invoke(Method java:372)
  E AndroidRuntime(22354):    at com android internal os ZygoteInit MethodAndArgsCaller run(ZygoteInit java:901)
  E AndroidRuntime(22354):    at com android internal os ZygoteInit main(ZygoteInit java:696)
  W ActivityManager(  830):   Force finishing activity org dmfs tasks  TaskListActivity
</t>
  </si>
  <si>
    <t>elman22-pocket-amc-reader-13</t>
  </si>
  <si>
    <t>Resume crash #2</t>
  </si>
  <si>
    <t xml:space="preserve"> 01 16 16:03:22 980 E AndroidRuntime(23116): Process: com holdingscythe pocketamcreader  PID: 23116
01 16 16:03:22 980 E AndroidRuntime(23116): java lang RuntimeException: Unable to start activity ComponentInfo com holdingscythe pocketamcreader com holdingscythe pocketamcreader MovieListActivity : java lang NullPointerException: Attempt to invoke interface method  boolean android content SharedPreferences getBoolean(java lang String  boolean)  on a null object reference
01 16 16:03:22 980 E AndroidRuntime(23116):     at com holdingscythe pocketamcreader catalog MoviesAdapter loadConfiguration(MoviesAdapter java:230)
01 16 16:03:22 980 E AndroidRuntime(23116):     at com holdingscythe pocketamcreader catalog MoviesAdapter  init (MoviesAdapter java:56)
01 16 16:03:22 980 E AndroidRuntime(23116):     at com holdingscythe pocketamcreader MovieListFragment onActivityCreated(MovieListFragment java:194)
01 16 16:03:22 980 E ActivityManager(1102): App crashed  Process: com holdingscythe pocketamcreader 
</t>
  </si>
  <si>
    <t>elman22-pocket-amc-reader-12</t>
  </si>
  <si>
    <t>Resume crash</t>
  </si>
  <si>
    <t xml:space="preserve"> 01 16 16:02:56 020 E AndroidRuntime(22790): Process: com holdingscythe pocketamcreader  PID: 22790
01 16 16:02:56 020 E AndroidRuntime(22790): java lang RuntimeException: Unable to start activity ComponentInfo com holdingscythe pocketamcreader com holdingscythe pocketamcreader MovieDetailActivity : java lang NullPointerException: Attempt to invoke virtual method  int com holdingscythe pocketamcreader catalog MoviesAdapter getCount()  on a null object reference
01 16 16:02:56 020 E AndroidRuntime(22790): Caused by: java lang NullPointerException: Attempt to invoke virtual method  int com holdingscythe pocketamcreader catalog MoviesAdapter getCount()  on a null object reference
01 16 16:02:56 020 E AndroidRuntime(22790):     at com holdingscythe pocketamcreader MovieDetailFragmentHost MovieDetailAdapter getCount(MovieDetailFragmentHost java:70)
01 16 16:02:56 020 E AndroidRuntime(22790):     at com holdingscythe pocketamcreader MovieDetailFragmentHost onCreateView(MovieDetailFragmentHost java:44)
01 16 16:02:56 090 E ActivityManager(1102): App crashed  Process: com holdingscythe pocketamcreader 
</t>
  </si>
  <si>
    <t>react-native-camera-react-native-camera-154</t>
  </si>
  <si>
    <t>Crash with: "AVCaptureSession can't startRunning between calls to beginConfiguration / commitConfiguration"</t>
  </si>
  <si>
    <t xml:space="preserve">My client has reported a crash on iOS 9 2 (13C75) devices with the message  AVCaptureSession can t startRunning between calls to beginConfiguration   commitConfiguration    
It s odd as I can t reproduce it on our own devices  including those running iOS 9 2
According to crashlytics  it strikes on   32  RCTCameraManager startSession  block invoke   4295249440 
Looks like other people have had this issue when trying to start the capture in a background thread:
https:  github com TheLevelUp ZXingObjC issues 55 
Any ideas 
EDIT: perhaps it s related to camera permission  (error message comes up in this link)
https:  forums xamarin com discussion 54987 how to check if app has camera permission on ios
</t>
  </si>
  <si>
    <t>pattch-PicToPoly-32</t>
  </si>
  <si>
    <t>OutOfMemory Error</t>
  </si>
  <si>
    <t xml:space="preserve">Can crash in ImageProcessor with an OuitOfMemory Error
 Fatal Exception: java lang OutOfMemoryError 
android graphics Bitmap copy (Bitmap java:680)
com pictopoly polydemo process ImageProcessor renderTriangles (ImageProcessor java:85)
com pictopoly polydemo process ImageProcessor processImage (ImageProcessor java:60)
com pictopoly polydemo process ImageProcessor doRun (ImageProcessor java:53)
com pictopoly polydemo process NotifyingRunnable run (NotifyingRunnable java:26)
So maybe refactor this so it doesn t have to make a full copy of the whole Bitmap
</t>
  </si>
  <si>
    <t>Bernie-2016-fieldthebern-android-411</t>
  </si>
  <si>
    <t>PartyEvaluator.java line 41</t>
  </si>
  <si>
    <t xml:space="preserve">     in com berniesanders fieldthebern parsing PartyEvaluator getParty
  Number of crashes: 1
  Impacted devices: 1
There s a lot more information about this crash on crashlytics com:
 https:  fabric io pjco android apps com berniesanders fieldthebern issues 569c1165f5d3a7f76b26ba18 (https:  fabric io pjco android apps com berniesanders fieldthebern issues 569c1165f5d3a7f76b26ba18)
</t>
  </si>
  <si>
    <t>pattch-PicToPoly-30</t>
  </si>
  <si>
    <t>TriangleSurfaceView Null Pointer Crash</t>
  </si>
  <si>
    <t xml:space="preserve">Currently the most common crash  should be fixed ASAP
(TriangleSurfaceView java:46)
</t>
  </si>
  <si>
    <t>Bernie-2016-fieldthebern-android-410</t>
  </si>
  <si>
    <t>MapScreen.java line 327</t>
  </si>
  <si>
    <t xml:space="preserve">     in com berniesanders fieldthebern screens MapScreen Presenter onSave
  Number of crashes: 1
  Impacted devices: 1
There s a lot more information about this crash on crashlytics com:
 https:  fabric io pjco android apps com berniesanders fieldthebern issues 569bcceaf5d3a7f76b25a230 (https:  fabric io pjco android apps com berniesanders fieldthebern issues 569bcceaf5d3a7f76b25a230)
</t>
  </si>
  <si>
    <t>ankidroid-Anki-Android-4057</t>
  </si>
  <si>
    <t>Ankidroid crashed after first start</t>
  </si>
  <si>
    <t xml:space="preserve">After install and start Ankidroid the first time  Anki crashed immediately 
A new clear install by delete App Data and cache does not help 
Anki Version: 2 5 4
Android Version: 5 1 1
</t>
  </si>
  <si>
    <t>Bernie-2016-fieldthebern-android-407</t>
  </si>
  <si>
    <t>MapScreen.java line 338</t>
  </si>
  <si>
    <t xml:space="preserve">     in com berniesanders fieldthebern screens MapScreen Presenter onSave
  Number of crashes: 1
  Impacted devices: 1
There s a lot more information about this crash on crashlytics com:
 https:  fabric io pjco android apps com berniesanders fieldthebern issues 569afd02f5d3a7f76b226594 (https:  fabric io pjco android apps com berniesanders fieldthebern issues 569afd02f5d3a7f76b226594)
</t>
  </si>
  <si>
    <t>longdivision-hex-3</t>
  </si>
  <si>
    <t>Crashes when trying to open article with no network connection</t>
  </si>
  <si>
    <t xml:space="preserve">Steps to repo:
1  Open Hex from cold and fetch a list of articles
2  Return to the Android Launcher (background Hex)
3  Put device into flight mode 
4  Bring Hex to foreground
5  Select the same article
App will hard crash 
</t>
  </si>
  <si>
    <t>gitskarios-Gitskarios-336</t>
  </si>
  <si>
    <t xml:space="preserve"> githubroot Hey guys  First  thanks for the awesome app you built  I was using it and    It crashed  I dunno why  So I decided to post the backtrace  )
Here s the backtrace:
       log
Build version: 2 8 0 
Build date: 2016 01 16 19:31:08 
Current date: 2016 01 18 16:07:22 
Device: WIKO PULP FAB 4G 
Stack trace:  
java lang NullPointerException: Attempt to invoke virtual method  int retrofit client Response getStatus()  on a null object reference
    at com alorma gitskarios core client BaseClient 1 call(BaseClient java:49)
    at com alorma gitskarios core client BaseClient 1 call(BaseClient java:45)
    at rx internal operators OperatorRetryWithPredicate SourceSubscriber 1 1 onError(OperatorRetryWithPredicate java:106)
    at rx internal operators OperatorZip Zip InnerSubscriber onError(OperatorZip java:320)
    at rx internal operators OperatorToObservableList 1 onError(OperatorToObservableList java:99)
    at rx internal operators OperatorMerge MergeSubscriber reportError(OperatorMerge java:240)
    at rx internal operators OperatorMerge MergeSubscriber emitLoop(OperatorMerge java:616)
    at rx internal operators OperatorMerge MergeSubscriber emit(OperatorMerge java:526)
    at rx internal operators OperatorMerge InnerSubscriber onError(OperatorMerge java:810)
    at rx internal operators OperatorMerge MergeSubscriber reportError(OperatorMerge java:240)
    at rx internal operators OperatorMerge MergeSubscriber checkTerminate(OperatorMerge java:776)
    at rx internal operators OperatorMerge MergeSubscriber emitLoop(OperatorMerge java:537)
    at rx internal operators OperatorMerge MergeSubscriber emit(OperatorMerge java:526)
    at rx internal operators OperatorMerge MergeSubscriber onError(OperatorMerge java:250)
    at rx internal operators OperatorMap 1 onError(OperatorMap java:48)
    at com alorma github sdk services client BaseInfiniteCallback failure(BaseInfiniteCallback java:48)
    at retrofit CallbackRunnable 2 run(CallbackRunnable java:53)
    at android os Handler handleCallback(Handler java:739)
    at android os Handler dispatchMessage(Handler java:95)
    at android os Looper loop(Looper java:135)
    at android app ActivityThread main(ActivityThread java:5254)
    at java lang reflect Method invoke(Native Method)
    at java lang reflect Method invoke(Method java:372)
    at com android internal os ZygoteInit MethodAndArgsCaller run(ZygoteInit java:902)
    at com android internal os ZygoteInit main(ZygoteInit java:697)
     githubroot 
</t>
  </si>
  <si>
    <t>zhuowei-MCPELauncher-507</t>
  </si>
  <si>
    <t>It keeps crashing</t>
  </si>
  <si>
    <t xml:space="preserve">Plz help Mr zhuowi block launcher for mcpe 0 13 1 keeps crashing it says it supports Android version 6 q but I have Android 5 0 for my next book and I can t update it plx help
</t>
  </si>
  <si>
    <t>zhuowei-MCPELauncher-506</t>
  </si>
  <si>
    <t>BROKEN APP/NO SUPRISE</t>
  </si>
  <si>
    <t xml:space="preserve">Issues:
The entire app is an issue  The app worked fine until the last day or so 
Now it crashes every time I click the play button 
It crashes when importing scripts  It crashes or gives me errors when importing custom textures 
Alot of the hooks and functions are broken 
And it s laggy at times (not that big of an issue though)
So good luck with this app  Maybe one day it will actually work  Till then I ll be using master launcher 
</t>
  </si>
  <si>
    <t>cgeo-cgeo-5402</t>
  </si>
  <si>
    <t xml:space="preserve">MissingBackpressureException </t>
  </si>
  <si>
    <t xml:space="preserve">Taken from IRC:
18:07:26rsudev1: BTW: I was using the opportunity to check the  current  crashes  ordered by frequency (that led me to the concurrentmodification fix)  The second most frequent is  MissingBackpressureException   I have no clue about that one (my understanding of rx is far too limited   )
18:27:47     muelli has quit (Ping timeout: 264 seconds)
18:52:06     kumy has quit (Remote host closed the connection)
18:58:39OneEyed : Interesting  It shows that at some place the producer produces elements faster than they can be consumed  and that no backpressure handling operator (queue elements  drop after a certain limit  drop all when queue is full  keep only last  etc ) is present
18:58:43OneEyed : I ll have a look when I can
Stack trace from Google Play:
java lang IllegalStateException: Exception thrown on Scheduler Worker thread  Add  onError  handling 
    at rx internal schedulers ScheduledAction run(ScheduledAction java:60)
    at android os Handler handleCallback(Handler java:739)
    at android os Handler dispatchMessage(Handler java:95)
    at android os Looper loop(Looper java:145)
    at android app ActivityThread main(ActivityThread java:5832)
    at java lang reflect Method invoke(Native Method)
    at java lang reflect Method invoke(Method java:372)
    at com android internal os ZygoteInit MethodAndArgsCaller run(ZygoteInit java:1399)
    at com android internal os ZygoteInit main(ZygoteInit java:1194)
Caused by: rx exceptions OnErrorNotImplementedException
    at rx Observable 27 onError(Observable java:7535)
    at rx observers SafeSubscriber  onError(SafeSubscriber java:154)
    at rx observers SafeSubscriber onError(SafeSubscriber java:111)
    at rx internal operators OperatorObserveOn ObserveOnSubscriber pollQueue(OperatorObserveOn java:197)
    at rx internal operators OperatorObserveOn ObserveOnSubscriber 2 call(OperatorObserveOn java:170)
    at rx internal schedulers ScheduledAction run(ScheduledAction java:55)
        8 more
Caused by: rx exceptions MissingBackpressureException
    at rx internal operators OperatorObserveOn ObserveOnSubscriber onNext(OperatorObserveOn java:138)
    at rx internal operators OperatorThrottleFirst 1 onNext(OperatorThrottleFirst java:52)
    at rx internal operators OperatorDoOnEach 1 onNext(OperatorDoOnEach java:84)
    at rx internal operators OperatorOnErrorResumeNextViaFunction 1 onNext(OperatorOnErrorResumeNextViaFunction java:111)
    at rx internal operators OperatorOnBackpressureDrop 2 onNext(OperatorOnBackpressureDrop java:82)
    at rx observers Subscribers 1 onNext(Subscribers java:67)
    at rx observers SafeSubscriber onNext(SafeSubscriber java:130)
    at rx subjects SubjectSubscriptionManager SubjectObserver onNext(SubjectSubscriptionManager java:224)
    at rx subjects ReplaySubject onNext(ReplaySubject java:370)
    at cgeo geocaching playservices LocationProvider onLocationResult(LocationProvider java:155)
    at com google android gms location internal zzi zza 1 handleMessage(Unknown Source)
    at android os Handler dispatchMessage(Handler java:102)
    at android os Looper loop(Looper java:145)
    at android os HandlerThread run(HandlerThread java:61)
</t>
  </si>
  <si>
    <t>NemProject-NEMAndroidApp-81</t>
  </si>
  <si>
    <t>App crahses when I access More -&gt; Multisig</t>
  </si>
  <si>
    <t xml:space="preserve">0 1 29 b2044
When I am inside the Dashboard of an account (not set up as multisig) and I go to More    Multisig the app crashes (you should see the report) 
</t>
  </si>
  <si>
    <t>futurice-vor-60</t>
  </si>
  <si>
    <t>NullPointerException - MapActivityFragment.convertToMapLocation</t>
  </si>
  <si>
    <t xml:space="preserve">   
com futurice vor fragment MapActivityFragment convertToMapLocation
in MapActivityFragment java  line 293
  Reason  : java lang NullPointerException: Attempt to invoke virtual method  float com futurice vor view MapView getDisplayedWidth()  on a null object reference
https:  rink hockeyapp net manage apps 258482 app versions 7 crash reasons 102804696
</t>
  </si>
  <si>
    <t>moneymanagerex-android-money-manager-ex-652</t>
  </si>
  <si>
    <t>Exception on new recurring transaction</t>
  </si>
  <si>
    <t xml:space="preserve">  Application crashed soon as you insert a new recurring transaction (last update)
              APP DETAILS             
Version: 2016 01 17
Build: 758
              CAUSE OF ERROR             
java lang RuntimeException: Unable to start activity ComponentInfo com money manager ex com money manager ex recurring transactions EditRecurringTransactionActivity : java lang NullPointerException: Attempt to invoke virtual method  double java lang Double doubleValue()  on a null object reference
        at android app ActivityThread performLaunchActivity(ActivityThread java:3149)
        at android app ActivityThread handleLaunchActivity(ActivityThread java:3248)
        at android app ActivityThread access 1000(ActivityThread java:197)
        at android app ActivityThread H handleMessage(ActivityThread java:1681)
        at android os Handler dispatchMessage(Handler java:102)
        at android os Looper loop(Looper java:145)
        at android app ActivityThread main(ActivityThread java:6872)
        at java lang reflect Method invoke(Native Method)
        at java lang reflect Method invoke(Method java:372)
        at com android internal os ZygoteInit MethodAndArgsCaller run(ZygoteInit java:1404)
        at com android internal os ZygoteInit main(ZygoteInit java:1199)
Caused by: java lang NullPointerException: Attempt to invoke virtual method  double java lang Double doubleValue()  on a null object reference
        at com money manager ex viewmodels RecurringTransaction getAmount(RecurringTransaction java:48)
        at com money manager ex transactions EditTransactionCommonFunctions initAmountSelectors(EditTransactionCommonFunctions java:458)
        at com money manager ex recurring transactions EditRecurringTransactionActivity onCreate(EditRecurringTransactionActivity java:174)
        at android app Activity performCreate(Activity java:6550)
        at android app Instrumentation callActivityOnCreate(Instrumentation java:1120)
        at android app ActivityThread performLaunchActivity(ActivityThread java:3102)
            10 more
</t>
  </si>
  <si>
    <t>dimagi-commcare-android-992</t>
  </si>
  <si>
    <t>Prevent home screen button loading on user data clearing</t>
  </si>
  <si>
    <t xml:space="preserve">Small bug where clearing user data causes app to crash due to changes in https:  github com dimagi commcare odk pull 991
</t>
  </si>
  <si>
    <t>zom-Zom-Android-XMPP-67</t>
  </si>
  <si>
    <t>Crash on playing audio sent from iOS</t>
  </si>
  <si>
    <t xml:space="preserve">When trying to playback an audio file transferred with OTR Data on beta4 the application stops  unfortunately  I ve sent crash reports when prompted 
</t>
  </si>
  <si>
    <t>akexorcist-GoogleDirectionLibrary-10</t>
  </si>
  <si>
    <t>com.akexorcist.googledirection.sample E/AndroidRuntime: FATAL EXCEPTION: main</t>
  </si>
  <si>
    <t xml:space="preserve">I am using  Android Studio  and emulator  API version 23   I haven t modified application at all and it builds and runs ok  however when I click any of buttons on main screen it crashes 
I have tried adding breakpoints in  SimpleDirectionActivity   onCreate  method  it crashes on  setContentView(R layout activity simple direction)   line I have checked and  activity simple direction xml  is present in layouts 
Full stack trace looks like this:
01 20 21:19:56 368 3806 3806 com akexorcist googledirection sample E AndroidRuntime: FATAL EXCEPTION: main
01 20 21:19:56 368 3806 3806 com akexorcist googledirection sample E AndroidRuntime: Process: com akexorcist googledirection sample  PID: 3806
01 20 21:19:56 368 3806 3806 com akexorcist googledirection sample E AndroidRuntime: java lang RuntimeException: Unable to start activity ComponentInfo com akexorcist googledirection sample com akexorcist googledirection sample AlternativeDirectionActivity : android view InflateException: Binary XML file line  8: Binary XML file line  8: Error inflating class fragment
01 20 21:19:56 368 3806 3806 com akexorcist googledirection sample E AndroidRuntime:     at android app ActivityThread performLaunchActivity(ActivityThread java:2416)
01 20 21:19:56 368 3806 3806 com akexorcist googledirection sample E AndroidRuntime:     at android app ActivityThread handleLaunchActivity(ActivityThread java:2476)
01 20 21:19:56 368 3806 3806 com akexorcist googledirection sample E AndroidRuntime:     at android app ActivityThread  wrap11(ActivityThread java)
01 20 21:19:56 368 3806 3806 com akexorcist googledirection sample E AndroidRuntime:     at android app ActivityThread H handleMessage(ActivityThread java:1344)
01 20 21:19:56 368 3806 3806 com akexorcist googledirection sample E AndroidRuntime:     at android os Handler dispatchMessage(Handler java:102)
01 20 21:19:56 368 3806 3806 com akexorcist googledirection sample E AndroidRuntime:     at android os Looper loop(Looper java:148)
01 20 21:19:56 368 3806 3806 com akexorcist googledirection sample E AndroidRuntime:     at android app ActivityThread main(ActivityThread java:5417)
01 20 21:19:56 368 3806 3806 com akexorcist googledirection sample E AndroidRuntime:     at java lang reflect Method invoke(Native Method)
01 20 21:19:56 368 3806 3806 com akexorcist googledirection sample E AndroidRuntime:     at com android internal os ZygoteInit MethodAndArgsCaller run(ZygoteInit java:726)
01 20 21:19:56 368 3806 3806 com akexorcist googledirection sample E AndroidRuntime:     at com android internal os ZygoteInit main(ZygoteInit java:616)
01 20 21:19:56 368 3806 3806 com akexorcist googledirection sample E AndroidRuntime:  Caused by: android view InflateException: Binary XML file line  8: Binary XML file line  8: Error inflating class fragment
01 20 21:19:56 368 3806 3806 com akexorcist googledirection sample E AndroidRuntime:     at android view LayoutInflater inflate(LayoutInflater java:539)
01 20 21:19:56 368 3806 3806 com akexorcist googledirection sample E AndroidRuntime:     at android view LayoutInflater inflate(LayoutInflater java:423)
01 20 21:19:56 368 3806 3806 com akexorcist googledirection sample E AndroidRuntime:     at android view LayoutInflater inflate(LayoutInflater java:374)
01 20 21:19:56 368 3806 3806 com akexorcist googledirection sample E AndroidRuntime:     at android support v7 app AppCompatDelegateImplV7 setContentView(AppCompatDelegateImplV7 java:256)
01 20 21:19:56 368 3806 3806 com akexorcist googledirection sample E AndroidRuntime:     at android support v7 app AppCompatActivity setContentView(AppCompatActivity java:109)
01 20 21:19:56 368 3806 3806 com akexorcist googledirection sample E AndroidRuntime:     at com akexorcist googledirection sample AlternativeDirectionActivity onCreate(AlternativeDirectionActivity java:37)
01 20 21:19:56 368 3806 3806 com akexorcist googledirection sample E AndroidRuntime:     at android app Activity performCreate(Activity java:6237)
01 20 21:19:56 368 3806 3806 com akexorcist googledirection sample E AndroidRuntime:     at android app Instrumentation callActivityOnCreate(Instrumentation java:1107)
01 20 21:19:56 368 3806 3806 com akexorcist googledirection sample E AndroidRuntime:     at android app ActivityThread performLaunchActivity(ActivityThread java:2369)
01 20 21:19:56 368 3806 3806 com akexorcist googledirection sample E AndroidRuntime:     at android app ActivityThread handleLaunchActivity(ActivityThread java:2476) 
01 20 21:19:56 368 3806 3806 com akexorcist googledirection sample E AndroidRuntime:     at android app ActivityThread  wrap11(ActivityThread java) 
01 20 21:19:56 368 3806 3806 com akexorcist googledirection sample E AndroidRuntime:     at android app ActivityThread H handleMessage(ActivityThread java:1344) 
01 20 21:19:56 368 3806 3806 com akexorcist googledirection sample E AndroidRuntime:     at android os Handler dispatchMessage(Handler java:102) 
01 20 21:19:56 368 3806 3806 com akexorcist googledirection sample E AndroidRuntime:     at android os Looper loop(Looper java:148) 
01 20 21:19:56 368 3806 3806 com akexorcist googledirection sample E AndroidRuntime:     at android app ActivityThread main(ActivityThread java:5417) 
01 20 21:19:56 368 3806 3806 com akexorcist googledirection sample E AndroidRuntime:     at java lang reflect Method invoke(Native Method) 
01 20 21:19:56 368 3806 3806 com akexorcist googledirection sample E AndroidRuntime:     at com android internal os ZygoteInit MethodAndArgsCaller run(ZygoteInit java:726) 
01 20 21:19:56 368 3806 3806 com akexorcist googledirection sample E AndroidRuntime:     at com android internal os ZygoteInit main(ZygoteInit java:616) 
01 20 21:19:56 368 3806 3806 com akexorcist googledirection sample E AndroidRuntime:  Caused by: android view InflateException: Binary XML file line  8: Error inflating class fragment
01 20 21:19:56 368 3806 3806 com akexorcist googledirection sample E AndroidRuntime:     at android view LayoutInflater createViewFromTag(LayoutInflater java:782)
01 20 21:19:56 368 3806 3806 com akexorcist googledirection sample E AndroidRuntime:     at android view LayoutInflater createViewFromTag(LayoutInflater java:704)
01 20 21:19:56 368 3806 3806 com akexorcist googledirection sample E AndroidRuntime:     at android view LayoutInflater rInflate(LayoutInflater java:835)
01 20 21:19:56 368 3806 3806 com akexorcist googledirection sample E AndroidRuntime:     at android view LayoutInflater rInflateChildren(LayoutInflater java:798)
01 20 21:19:56 368 3806 3806 com akexorcist googledirection sample E AndroidRuntime:     at android view LayoutInflater inflate(LayoutInflater java:515)
01 20 21:19:56 368 3806 3806 com akexorcist googledirection sample E AndroidRuntime:     at android view LayoutInflater inflate(LayoutInflater java:423) 
01 20 21:19:56 368 3806 3806 com akexorcist googledirection sample E AndroidRuntime:     at android view LayoutInflater inflate(LayoutInflater java:374) 
01 20 21:19:56 368 3806 3806 com akexorcist googledirection sample E AndroidRuntime:     at android support v7 app AppCompatDelegateImplV7 setContentView(AppCompatDelegateImplV7 java:256) 
01 20 21:19:56 368 3806 3806 com akexorcist googledirection sample E AndroidRuntime:     at android support v7 app AppCompatActivity setContentView(AppCompatActivity java:109) 
01 20 21:19:56 368 3806 3806 com akexorcist googledirection sample E AndroidRuntime:     at com akexorcist googledirection sample AlternativeDirectionActivity onCreate(AlternativeDirectionActivity java:37) 
01 20 21:19:56 368 3806 3806 com akexorcist googledirection sample E AndroidRuntime:     at android app Activity performCreate(Activity java:6237) 
01 20 21:19:56 368 3806 3806 com akexorcist googledirection sample E AndroidRuntime:     at android app Instrumentation callActivityOnCreate(Instrumentation java:1107) 
01 20 21:19:56 368 3806 3806 com akexorcist googledirection sample E AndroidRuntime:     at android app ActivityThread performLaunchActivity(ActivityThread java:2369) 
01 20 21:19:56 368 3806 3806 com akexorcist googledirection sample E AndroidRuntime:     at android app ActivityThread handleLaunchActivity(ActivityThread java:2476) 
01 20 21:19:56 368 3806 3806 com akexorcist googledirection sample E AndroidRuntime:     at android app ActivityThread  wrap11(ActivityThread java) 
01 20 21:19:56 368 3806 3806 com akexorcist googledirection sample E AndroidRuntime:     at android app ActivityThread H handleMessage(ActivityThread java:1344) 
01 20 21:19:56 368 3806 3806 com akexorcist googledirection sample E AndroidRuntime:     at android os Handler dispatchMessage(Handler java:102) 
01 20 21:19:56 368 3806 3806 com akexorcist googledirection sample E AndroidRuntime:     at android os Looper loop(Looper java:148) 
01 20 21:19:56 368 3806 3806 com akexorcist googledirection sample E AndroidRuntime:     at android app ActivityThread main(ActivityThread java:5417) 
01 20 21:19:56 368 3806 3806 com akexorcist googledirection sample E AndroidRuntime:     at java lang reflect Method invoke(Native Method) 
01 20 21:19:56 368 3806 3806 com akexorcist googledirection sample E AndroidRuntime:     at com android internal os ZygoteInit MethodAndArgsCaller run(ZygoteInit java:726) 
01 20 21:19:56 368 3806 3806 com akexorcist googledirection sample E AndroidRuntime:     at com android internal os ZygoteInit main(ZygoteInit java:616) 
01 20 21:19:56 368 3806 3806 com akexorcist googledirection sample E AndroidRuntime:  Caused by: java lang NullPointerException: Attempt to invoke virtual method  boolean java io File mkdir()  on a null object reference
01 20 21:19:56 368 3806 3806 com akexorcist googledirection sample E AndroidRuntime:     at com google maps api android lib6 gmm6 m ad a(Unknown Source)
01 20 21:19:56 368 3806 3806 com akexorcist googledirection sample E AndroidRuntime:     at com google maps api android lib6 gmm6 c h a(Unknown Source)
01 20 21:19:56 368 3806 3806 com akexorcist googledirection sample E AndroidRuntime:     at com google maps api android lib6 gmm6 c ao a(Unknown Source)
01 20 21:19:56 368 3806 3806 com akexorcist googledirection sample E AndroidRuntime:     at com google maps api android lib6 e bd a(Unknown Source)
01 20 21:19:56 368 3806 3806 com akexorcist googledirection sample E AndroidRuntime:     at com google maps api android lib6 e ev a(Unknown Source)
01 20 21:19:56 368 3806 3806 com akexorcist googledirection sample E AndroidRuntime:     at com google maps api android lib6 e z a(Unknown Source)
01 20 21:19:56 368 3806 3806 com akexorcist googledirection sample E AndroidRuntime:     at com google maps api android lib6 e y a(Unknown Source)
01 20 21:19:56 368 3806 3806 com akexorcist googledirection sample E AndroidRuntime:     at com google android gms maps internal u onTransact(SourceFile:107)
01 20 21:19:56 368 3806 3806 com akexorcist googledirection sample E AndroidRuntime:     at android os Binder transact(Binder java:387)
01 20 21:19:56 368 3806 3806 com akexorcist googledirection sample E AndroidRuntime:     at com google android gms maps internal IMapFragmentDelegate zza zza onCreateView(Unknown Source)
01 20 21:19:56 368 3806 3806 com akexorcist googledirection sample E AndroidRuntime:     at com google android gms maps SupportMapFragment zza onCreateView(Unknown Source)
01 20 21:19:56 368 3806 3806 com akexorcist googledirection sample E AndroidRuntime:     at com google android gms dynamic zza 4 zzb(Unknown Source)
01 20 21:19:56 368 3806 3806 com akexorcist googledirection sample E AndroidRuntime:     at com google android gms dynamic zza zza(Unknown Source)
01 20 21:19:56 368 3806 3806 com akexorcist googledirection sample E AndroidRuntime:     at com google android gms dynamic zza onCreateView(Unknown Source)
01 20 21:19:56 368 3806 3806 com akexorcist googledirection sample E AndroidRuntime:     at com google android gms maps SupportMapFragment onCreateView(Unknown Source)
01 20 21:19:56 368 3806 3806 com akexorcist googledirection sample E AndroidRuntime:     at android support v4 app Fragment performCreateView(Fragment java:1962)
01 20 21:19:56 368 3806 3806 com akexorcist googledirection sample E AndroidRuntime:     at android support v4 app FragmentManagerImpl moveToState(FragmentManager java:1036)
01 20 21:19:56 368 3806 3806 com akexorcist googledirection sample E AndroidRuntime:     at android support v4 app FragmentManagerImpl moveToState(FragmentManager java:1226)
01 20 21:19:56 368 3806 3806 com akexorcist googledirection sample E AndroidRuntime:     at android support v4 app FragmentManagerImpl addFragment(FragmentManager java:1328)
01 20 21:19:56 368 3806 3806 com akexorcist googledirection sample E AndroidRuntime:     at android support v4 app FragmentManagerImpl onCreateView(FragmentManager java:2284)
01 20 21:19:56 368 3806 3806 com akexorcist googledirection sample E AndroidRuntime:     at android support v4 app FragmentController onCreateView(FragmentController java:111)
01 20 21:19:56 368 3806 3806 com akexorcist googledirection sample E AndroidRuntime:    at android support v4 app FragmentActivity dispatchFragmentsOnCreateView(Frag
01 20 21:20:00 559 3806 3806   I Process: Sending signal  PID: 3806 SIG: 9
  Has anyone seen this error before  Why is this failing   
</t>
  </si>
  <si>
    <t>prestosApps-adsbMonitor-1</t>
  </si>
  <si>
    <t>Incorrect IP entry gets stored in preferences</t>
  </si>
  <si>
    <t xml:space="preserve">On first use of the app  you are asked to enter your IP address   This is then stored and the app tries to load the aircraft list   If the IP address is incorrect then it crashes out  but the incorrect IP address is still in the preferences  so restarting the app just causes it to crash again 
This highlights several things  firstly  better error handling is needed  and secondly  remove the IP address from prefs if there is a problem with it  and get the app to ask for it again 
</t>
  </si>
  <si>
    <t>Bernie-2016-fieldthebern-android-455</t>
  </si>
  <si>
    <t>VisitRepo.java line 110</t>
  </si>
  <si>
    <t xml:space="preserve">     in com berniesanders fieldthebern repositories VisitRepo addPerson
  Number of crashes: 1
  Impacted devices: 1
There s a lot more information about this crash on crashlytics com:
 https:  fabric io pjco android apps com berniesanders fieldthebern issues 569fec99f5d3a7f76b384a75 (https:  fabric io pjco android apps com berniesanders fieldthebern issues 569fec99f5d3a7f76b384a75)
</t>
  </si>
  <si>
    <t>Keidan-CellHistory-19</t>
  </si>
  <si>
    <t>Version 2.16</t>
  </si>
  <si>
    <t xml:space="preserve">List of features for the version 2 16:
   x  Fix GPS status with degraded conditions 
   x  Avoid crash if the telephony manager is not available 
   x  Add Geolocation option 
   x  Add filter context 
   x  Do not save the entries if they are disabled and do not detect change if the entry is disabled 
   x  Update the changelog html 
   x  Switch to version 2 16 (versionCode 26)
</t>
  </si>
  <si>
    <t>cgeo-cgeo-5408</t>
  </si>
  <si>
    <t>Crash in PocketQueryListActivity</t>
  </si>
  <si>
    <t xml:space="preserve">With 2016 01 19:
java lang IllegalStateException: Fatal Exception thrown on Scheduler Worker thread 
    at rx internal schedulers ScheduledAction run(ScheduledAction java:62)
    at android os Handler handleCallback(Handler java:587)
    at android os Handler dispatchMessage(Handler java:92)
    at android os Looper loop(Looper java:150)
    at android app ActivityThread main(ActivityThread java:4385)
    at java lang reflect Method invokeNative(Native Method)
    at java lang reflect Method invoke(Method java:507)
    at com android internal os ZygoteInit MethodAndArgsCaller run(ZygoteInit java:849)
    at com android internal os ZygoteInit main(ZygoteInit java:607)
    at dalvik system NativeStart main(Native Method)
Caused by: java lang NoSuchMethodError: cgeo geocaching connector gc PocketQueryListAdapter addAll
    at cgeo geocaching connector gc PocketQueryListActivity 1 call(PocketQueryListActivity java:41)
    at cgeo geocaching connector gc PocketQueryListActivity 1 call(PocketQueryListActivity java:33)
    at rx Observable 27 onNext(Observable java:7928)
    at rx observers SafeSubscriber onNext(SafeSubscriber java:139)
    at rx android app OperatorConditionalBinding 1 onNext(OperatorConditionalBinding java:79)
    at rx internal operators OperatorObserveOn ObserveOnSubscriber pollQueue(OperatorObserveOn java:202)
    at rx internal operators OperatorObserveOn ObserveOnSubscriber 2 call(OperatorObserveOn java:162)
    at rx internal schedulers ScheduledAction run(ScheduledAction java:55)
        9 more
 addAll()  has only been added in API 11  so the crash happens on Android 2 3 x 
This seems to have been introduced at 7ff76b27719472d26564a80ceeaba94d1f8a18c3 
</t>
  </si>
  <si>
    <t>android10-frodo-14</t>
  </si>
  <si>
    <t>@RxLogSubscriber NullPointerException</t>
  </si>
  <si>
    <t xml:space="preserve">There are a few problems with a library dude which I will try to solve and send a PR  I found that if send an empty observable back or a null value back then the RxLogSubscriber crashes with NullPointerException  If I removed it then the subscriber works normally 
</t>
  </si>
  <si>
    <t>dimagi-commcare-android-998</t>
  </si>
  <si>
    <t>Fix clear user data crash</t>
  </si>
  <si>
    <t xml:space="preserve">The fix for refreshing home screen languages (https:  github com dimagi commcare odk pull 991) makes CC crash when you clear user data  because that call to setupUI() requires a logged in user  Fix is to check before we make that call for if the user session has been closed  and finish return if so 
</t>
  </si>
  <si>
    <t>bparmentier-WiFiKeyShare-1</t>
  </si>
  <si>
    <t>Wi-Fi tags written with NXP TagWriter cause a BufferUnderflowException</t>
  </si>
  <si>
    <t xml:space="preserve">NFC tags containing Wi Fi configuration written with NXP TagWriter crash the app when read from  ConfirmConnectToWifiNetworkActivity  
The exception is launched by  NfcUtils parse(NdefMessage) :
01 21 19:09:09 809 27479 27725 system process I ActivityManager: START u0  act android nfc action NDEF DISCOVERED typ application vnd wfa wsc cmp be brunoparmentier wifikeyshare  activities ConfirmConnectToWifiNetworkActivity (has extras)  from uid 1027 on display 0
01 21 19:09:09 811 27479 27725 system process V WindowManager: addAppToken: AppWindowToken 4ada2af token Token 3bc67a8e ActivityRecord 18e45a89 u0 be brunoparmentier wifikeyshare  activities ConfirmConnectToWifiNetworkActivity t12495    to stack 1 task 12495 at 1
01 21 19:09:09 842 18569 18569   I art: Late enabling  Xcheck:jni
01 21 19:09:09 843 27479 28247 system process I ActivityManager: Start proc 18569:be brunoparmentier wifikeyshare u0a160 for activity be brunoparmentier wifikeyshare  activities ConfirmConnectToWifiNetworkActivity
01 21 19:09:09 862 18569 18579   I art: Debugger is no longer active
01 21 19:09:09 880 18569 18569   D AndroidRuntime: Shutting down VM
01 21 19:09:09 881 18569 18569   E AndroidRuntime: FATAL EXCEPTION: main
       Process: be brunoparmentier wifikeyshare  PID: 18569
       java lang RuntimeException: Unable to start activity ComponentInfo be brunoparmentier wifikeyshare be brunoparmentier wifikeyshare activities ConfirmConnectToWifiNetworkActivity : java nio BufferUnderflowException
           at android app ActivityThread performLaunchActivity(ActivityThread java:2358)
           at android app ActivityThread handleLaunchActivity(ActivityThread java:2420)
           at android app ActivityThread access 900(ActivityThread java:154)
           at android app ActivityThread H handleMessage(ActivityThread java:1321)
           at android os Handler dispatchMessage(Handler java:102)
           at android os Looper loop(Looper java:135)
           at android app ActivityThread main(ActivityThread java:5294)
           at java lang reflect Method invoke(Native Method)
           at java lang reflect Method invoke(Method java:372)
           at com android internal os ZygoteInit MethodAndArgsCaller run(ZygoteInit java:904)
           at com android internal os ZygoteInit main(ZygoteInit java:699)
        Caused by: java nio BufferUnderflowException
           at java nio ByteArrayBuffer getShort(ByteArrayBuffer java:226)
           at be brunoparmentier wifikeyshare utils NfcUtils parse(NfcUtils java:267)
           at be brunoparmentier wifikeyshare utils NfcUtils readTag(NfcUtils java:249)
           at be brunoparmentier wifikeyshare activities ConfirmConnectToWifiNetworkActivity onCreate(ConfirmConnectToWifiNetworkActivity java:62)
           at android app Activity performCreate(Activity java:5990)
           at android app Instrumentation callActivityOnCreate(Instrumentation java:1106)
           at android app ActivityThread performLaunchActivity(ActivityThread java:2311)
           at android app ActivityThread handleLaunchActivity(ActivityThread java:2420) 
           at android app ActivityThread access 900(ActivityThread java:154) 
           at android app ActivityThread H handleMessage(ActivityThread java:1321) 
           at android os Handler dispatchMessage(Handler java:102) 
           at android os Looper loop(Looper java:135) 
           at android app ActivityThread main(ActivityThread java:5294) 
           at java lang reflect Method invoke(Native Method) 
           at java lang reflect Method invoke(Method java:372) 
           at com android internal os ZygoteInit MethodAndArgsCaller run(ZygoteInit java:904) 
           at com android internal os ZygoteInit main(ZygoteInit java:699) 
01 21 19:09:09 883 27479 27726 system process W ActivityManager:   Force finishing activity 1 be brunoparmentier wifikeyshare  activities ConfirmConnectToWifiNetworkActivity
</t>
  </si>
  <si>
    <t>Bernie-2016-fieldthebern-android-467</t>
  </si>
  <si>
    <t>GsonParceler.java line 81</t>
  </si>
  <si>
    <t xml:space="preserve">     in com berniesanders fieldthebern mortar GsonParceler decode
  Number of crashes: 1
  Impacted devices: 1
There s a lot more information about this crash on crashlytics com:
 https:  fabric io pjco android apps com berniesanders fieldthebern issues 56a0fb23f5d3a7f76b3d44f6 (https:  fabric io pjco android apps com berniesanders fieldthebern issues 56a0fb23f5d3a7f76b3d44f6)
</t>
  </si>
  <si>
    <t>markzhai-AndroidPerformanceMonitor-18</t>
  </si>
  <si>
    <t>读取log时，数组越界导致crash</t>
  </si>
  <si>
    <t xml:space="preserve">  BlockCanaryContext      log        Block newInstance(File )                   DisplayBlockActivity 299  block timeStart     crash
</t>
  </si>
  <si>
    <t>markzhai-AndroidPerformanceMonitor-15</t>
  </si>
  <si>
    <t>2.3 系统 Crash</t>
  </si>
  <si>
    <t xml:space="preserve"> 2 3       crash      
AndroidRuntime  FATAL EXCEPTION: BlockCanaryThread writelog
    java lang IllegalArgumentException: contentView required: pkg    id  558907665 notification Notification(vibrate null sound null defaults 0x0 flags 0x10)
            at android os Parcel readException(Parcel java:1326)
            at android os Parcel readException(Parcel java:1276)
            at android app INotificationManager Stub Proxy enqueueNotificationWithTag(INotificationManager java:274)
            at android app NotificationManager notify(NotificationManager java:111)
            at android app NotificationManager notify(NotificationManager java:91)
            at com github moduth blockcanary BlockCanary notify(BlockCanary java:194)
            at com github moduth blockcanary BlockCanary access 200(BlockCanary java:29)
            at com github moduth blockcanary BlockCanary 1 onBlockEvent(BlockCanary java:67)
            at com github moduth blockcanary LooperPrinter 1 run(LooperPrinter java:57)
            at android os Handler handleCallback(Handler java:587)
            at android os Handler dispatchMessage(Handler java:92)
            at android os Looper loop(Looper java:130)
            at android os HandlerThread run(HandlerThread java:60)
</t>
  </si>
  <si>
    <t>Bernie-2016-fieldthebern-android-466</t>
  </si>
  <si>
    <t>DialogController.java line 76</t>
  </si>
  <si>
    <t xml:space="preserve">     in com berniesanders fieldthebern controllers DialogController DialogConfig access 100
  Number of crashes: 1
  Impacted devices: 1
There s a lot more information about this crash on crashlytics com:
 https:  fabric io pjco android apps com berniesanders fieldthebern issues 56a069b9f5d3a7f76b3a590d (https:  fabric io pjco android apps com berniesanders fieldthebern issues 56a069b9f5d3a7f76b3a590d)
</t>
  </si>
  <si>
    <t>Bernie-2016-fieldthebern-android-465</t>
  </si>
  <si>
    <t>ViewDragHelper.java line 1014</t>
  </si>
  <si>
    <t xml:space="preserve">     in android support v4 widget ViewDragHelper shouldInterceptTouchEvent
  Number of crashes: 1
  Impacted devices: 1
There s a lot more information about this crash on crashlytics com:
 https:  fabric io pjco android apps com berniesanders fieldthebern issues 56a0563bf5d3a7f76b3a0b72 (https:  fabric io pjco android apps com berniesanders fieldthebern issues 56a0563bf5d3a7f76b3a0b72)
</t>
  </si>
  <si>
    <t>googlearchive-easygoogle-23</t>
  </si>
  <si>
    <t>R.string.gcm_permission when not using GCM?</t>
  </si>
  <si>
    <t xml:space="preserve">I m mainly wanting to use this library to implement Google  Sign in  but after setting everything up  it crashes saying I haven t declared R string gcm permission  Why do I need to do this if I m not using GCM 
</t>
  </si>
  <si>
    <t>dimagi-commcare-android-1002</t>
  </si>
  <si>
    <t>Make test framework use custom uncaught exception handler</t>
  </si>
  <si>
    <t xml:space="preserve">Sometimes running tests crashes my local machine because an uncaught exception triggers http log reporting  which somehow freezes my machine    hoping this addresses it 
</t>
  </si>
  <si>
    <t>sriharshachilakapati-SilenceEngine-61</t>
  </si>
  <si>
    <t>Fix leading / being removed from jar paths</t>
  </si>
  <si>
    <t xml:space="preserve">Previously the missing     caused a crash because the jar files could not be located 
Without the leading slash  Java (at least on OS X) presumes the path is starting at     or the run directory 
</t>
  </si>
  <si>
    <t>SufficientlySecure-html-textview-29</t>
  </si>
  <si>
    <t>Nested UL tags not working</t>
  </si>
  <si>
    <t xml:space="preserve">For some reason nested UL tags aren t rendering correctly  When I use a WebView  they render perfectly  Now  I ve tried using WebViews but the performance has been terrible and I ve even encountered app crashes 
Here s a sample of my HTML  
 ul 
     li Blah blah blah blah blah  li 
  ul 
 ul 
     ul 
         li Blah blah blah blah blah  li 
      ul 
  ul 
 ul 
     ul 
         li Blah blah blah blah blah  li 
      ul 
  ul 
 ul 
     ul 
         li Blah blah blah blah blah  sup 
          li 
      ul 
  ul 
And what it should look like:
 ul 
     li Blah blah blah blah blah  li 
  ul 
 ul 
     ul 
         li Blah blah blah blah blah  li 
      ul 
  ul 
 ul 
     ul 
         li Blah blah blah blah blah  li 
      ul 
  ul 
 ul 
     ul 
         li Blah blah blah blah blah  sup 
          li 
      ul 
  ul 
Except I m getting this:
 ul 
     li No Compromise  Fully Capable  li 
         li Seating for up to 7 passengers  li 
         li Significantly updated exterior and interior  li 
         li New Platinum trim level sup 1  sup 
          li 
  ul 
Is there anything that I can do to get this working properly with your library  
EDIT: Fixed formatting 
</t>
  </si>
  <si>
    <t>hidroh-materialistic-359</t>
  </si>
  <si>
    <t>BaseListFragment.java line 108</t>
  </si>
  <si>
    <t xml:space="preserve">     in io github hidroh materialistic BaseListFragment prepareOptionsMenu
  Number of crashes: 1
  Impacted devices: 1
There s a lot more information about this crash on crashlytics com:
 https:  fabric io ha duy trungs projects android apps io github hidroh materialistic issues 56a5ebdaf5d3a7f76b52b2d9 (https:  fabric io ha duy trungs projects android apps io github hidroh materialistic issues 56a5ebdaf5d3a7f76b52b2d9)
</t>
  </si>
  <si>
    <t>dimagi-commcare-android-1004</t>
  </si>
  <si>
    <t>Don't proguard Bypass markup lib</t>
  </si>
  <si>
    <t xml:space="preserve">Was getting a crash during form entry of TDH app linked to methods missing in bypass markup lib 
Blindly telling proguard to keep all code in that lib 
</t>
  </si>
  <si>
    <t>dimagi-commcare-android-1019</t>
  </si>
  <si>
    <t>Notification compat crash when pinned notification shown on pre-honeycomb</t>
  </si>
  <si>
    <t xml:space="preserve">Fix notification compatibility issue where on a pre honeycomb device commcare crashes when a pinned progress notification is shown  like when a form is submitted 
see https:  code google com p android issues detail id 30495 for details on the 
</t>
  </si>
  <si>
    <t>bumptech-glide-928</t>
  </si>
  <si>
    <t xml:space="preserve">NPE: 'int com.bumptech.glide.gifdecoder.GifHeader.frameCount' </t>
  </si>
  <si>
    <t xml:space="preserve">glide:4 0 0 SNAPSHOT
It s neither device nor Android version specific  I can t reproduce it  but it doesn t seem rare when looking at crash numbers 
In this case it happened when returning from Activity A to Activity B and Activity B contains the animation  It possible that the ImageViews visibility state is changed shortly after returning to Activity B 
    java
 public void setState(State state)  
        mState   state 
        if (state    State WORKING)  
            setVisibility(VISIBLE) 
            mIntroContainer setVisibility(GONE) 
            mEmptyContainer setVisibility(GONE) 
            mWorkingContainer setVisibility(VISIBLE)      android:id    id working overlay 
            Glide with(getContext())
                     load(COFFEE ANIM ASSET)
                     apply(RequestOptions formatOf(DecodeFormat PREFER RGB 565))
                     apply(RequestOptions placeholderOf(R drawable sdmanimation))
                     into(mWorkingAnimation)     android:id    id iv working animation 
          else  
            Glide with(getContext()) clear(mWorkingAnimation) 
            mWorkingContainer setVisibility(GONE) 
            if (state    State INTRO)  
                setVisibility(VISIBLE) 
                mEmptyContainer setVisibility(GONE) 
                mIntroContainer setVisibility(VISIBLE) 
              else if (state    State NORESULTS)  
                setVisibility(VISIBLE) 
                mIntroContainer setVisibility(GONE) 
                mEmptyContainer setVisibility(VISIBLE) 
              else if (state    State GONE)  
                setVisibility(GONE) 
                mIntroContainer setVisibility(GONE) 
                mEmptyContainer setVisibility(GONE) 
    xml
     LinearLayout
        android:id    id working overlay 
        android:layout width  match parent 
        android:layout height  match parent 
        android:layout gravity  center 
        android:gravity  center 
        android:orientation  vertical 
        android:padding  16dp 
        android:visibility  gone 
        tools:visibility  visible  
         ImageView
            android:id    id iv working animation 
            android:layout width  200dp 
            android:layout height  200dp 
            android:padding  5dp 
            android:src   drawable sdmanimation   
      LinearLayout 
    ruby
Caused by: java lang NullPointerException: Attempt to read from field  int com bumptech glide gifdecoder GifHeader frameCount  on a null object reference
at com bumptech glide gifdecoder GifDecoder getFrameCount(GifDecoder java:262)
at com bumptech glide load resource gif GifFrameLoader getFrameCount(GifFrameLoader java:139)
at com bumptech glide load resource gif GifDrawable startRunning(GifDrawable java:166)
at com bumptech glide load resource gif GifDrawable start(GifDrawable java:154)
at com bumptech glide request target ImageViewTarget onStart(ImageViewTarget java:102)
at com bumptech glide manager TargetTracker onStart(TargetTracker java:31)
at com bumptech glide RequestManager onStart(RequestManager java:245)
at com bumptech glide manager ActivityFragmentLifecycle onStart(ActivityFragmentLifecycle java:51)
at com bumptech glide manager SupportRequestManagerFragment onStart(SupportRequestManagerFragment java:175)
at android support v4 app Fragment performStart(Fragment java:1986)
at android support v4 app FragmentManagerImpl moveToState(FragmentManager java:1102)
at android support v4 app FragmentManagerImpl moveToState(FragmentManager java:1248)
at android support v4 app FragmentManagerImpl moveToState(FragmentManager java:1230)
at android support v4 app FragmentManagerImpl dispatchStart(FragmentManager java:2047)
at android support v4 app FragmentController dispatchStart(FragmentController java:176)
at android support v4 app FragmentActivity onStart(FragmentActivity java:553)
at eu thedarken sdm SDMServiceActivity onStart(SDMServiceActivity java:79)
at eu thedarken sdm SDMMainActivity onStart(SDMMainActivity java:155)
at android app Instrumentation callActivityOnStart(Instrumentation java:1236)
at android app Activity performStart(Activity java:6006)
at android app Activity performRestart(Activity java:6063)
at android app Activity performResume(Activity java:6068)
at android app ActivityThread performResumeActivity(ActivityThread java:2975)
at android app ActivityThread handleResumeActivity(ActivityThread java:3017) 
at android app ActivityThread H handleMessage(ActivityThread java:1347)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</si>
  <si>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mixpanel-mixpanel-android-308</t>
  </si>
  <si>
    <t>ImageStore.getImage(): OutOfMemoryError</t>
  </si>
  <si>
    <t xml:space="preserve">  We have noticed OutOfMemoryError in our crash report tool for our app versions when we were using Mixpanel A B testing  Most of our errors are happening on 4 1 2  4 4 2 and 5 0 devices 
  I tried to update an image in our app with images of size 175KB and 139KB from A B testing and I was able to reproduce the error 
  We are on  
      compile  com mixpanel android:mixpanel android:4 7 0 
Stack Trace
0   java lang OutOfMemoryError
1       at android graphics BitmapFactory nativeDecodeStream(Native Method)
2       at android graphics BitmapFactory decodeStream(BitmapFactory java:619)
3       at android graphics BitmapFactory decodeFile(BitmapFactory java:385)
4       at android graphics BitmapFactory decodeFile(BitmapFactory java:418)
5       at com mixpanel android util ImageStore getImage(ImageStore java:96)
6       at com mixpanel android viewcrawler EditProtocol readBitmapDrawable(EditProtocol java:406)
7       at com mixpanel android viewcrawler EditProtocol convertArgument(EditProtocol java:366)
8       at com mixpanel android viewcrawler EditProtocol readEdit(EditProtocol java:143)
9       at com mixpanel android viewcrawler ViewCrawler ViewCrawlerHandler applyVariantsAndEventBindings(ViewCrawler java:832)
10      at com mixpanel android viewcrawler ViewCrawler ViewCrawlerHandler initializeChanges(ViewCrawler java:423)
11      at com mixpanel android viewcrawler ViewCrawler ViewCrawlerHandler handleVariantsReceived(ViewCrawler java:750)
12      at com mixpanel android viewcrawler ViewCrawler ViewCrawlerHandler handleMessage(ViewCrawler java:311)
13      at android os Handler dispatchMessage(Handler java:99)
14      at android os Looper loop(Looper java:137)
15      at android os HandlerThread run(HandlerThread java:60)
</t>
  </si>
  <si>
    <t>k9mail-k-9-1040</t>
  </si>
  <si>
    <t>Sharing chat from Whatsapp with lots of media crashes K-9</t>
  </si>
  <si>
    <t xml:space="preserve">I tried to share a big chat from Whatsapp (Open chat    More    Email chat)  which caused K 9 to crash  Crash log:
D AndroidRuntime(21342): Shutting down VM
E AndroidRuntime(21342): FATAL EXCEPTION: main
E AndroidRuntime(21342): Process: com fsck k9  PID: 21342
E AndroidRuntime(21342): java lang RuntimeException: Unable to start activity ComponentInfo com fsck k9 com fsck k9 activity MessageCompose : java util concurrent RejectedExecutionException: Task android os AsyncTask 3 adb174b rejected from java util concurrent ThreadPoolExecutor 2f63f528 Running  pool size   9  active threads   9  queued tasks   128  completed tasks   0 
E AndroidRuntime(21342):        at android app ActivityThread performLaunchActivity(ActivityThread java:2325)
E AndroidRuntime(21342):        at android app ActivityThread handleLaunchActivity(ActivityThread java:2387)
E AndroidRuntime(21342):        at android app ActivityThread access 800(ActivityThread java:151)
E AndroidRuntime(21342):        at android app ActivityThread H handleMessage(ActivityThread java:1303)
E AndroidRuntime(21342):        at android os Handler dispatchMessage(Handler java:102)
E AndroidRuntime(21342):        at android os Looper loop(Looper java:135)
E AndroidRuntime(21342):        at android app ActivityThread main(ActivityThread java:5254)
E AndroidRuntime(21342):        at java lang reflect Method invoke(Native Method)
E AndroidRuntime(21342):        at java lang reflect Method invoke(Method java:372)
E AndroidRuntime(21342):        at com android internal os ZygoteInit MethodAndArgsCaller run(ZygoteInit java:903)
E AndroidRuntime(21342):        at com android internal os ZygoteInit main(ZygoteInit java:698)
E AndroidRuntime(21342): Caused by: java util concurrent RejectedExecutionException: Task android os AsyncTask 3 adb174b rejected from java util concurrent ThreadPoolExecutor 2f63f528 Running  pool size   9  active threads   9  queued tasks   128  completed tasks   0 
E AndroidRuntime(21342):        at java util concurrent ThreadPoolExecutor AbortPolicy rejectedExecution(ThreadPoolExecutor java:2011)
E AndroidRuntime(21342):        at java util concurrent ThreadPoolExecutor reject(ThreadPoolExecutor java:793)
E AndroidRuntime(21342):        at java util concurrent ThreadPoolExecutor execute(ThreadPoolExecutor java:1339)
E AndroidRuntime(21342):        at android os AsyncTask executeOnExecutor(AsyncTask java:594)
E AndroidRuntime(21342):        at android content AsyncTaskLoader executePendingTask(AsyncTaskLoader java:235)
E AndroidRuntime(21342):        at android content AsyncTaskLoader onForceLoad(AsyncTaskLoader java:166)
E AndroidRuntime(21342):        at android content Loader forceLoad(Loader java:347)
E AndroidRuntime(21342):        at com fsck k9 activity loader AttachmentInfoLoader onStartLoading(AttachmentInfoLoader java:35)
E AndroidRuntime(21342):        at android content Loader startLoading(Loader java:290)
E AndroidRuntime(21342):        at android app LoaderManagerImpl LoaderInfo start(LoaderManager java:280)
E AndroidRuntime(21342):        at android app LoaderManagerImpl doStart(LoaderManager java:772)
E AndroidRuntime(21342):        at android app Activity onStart(Activity java:1164)
E AndroidRuntime(21342):        at android app Instrumentation callActivityOnStart(Instrumentation java:1236)
E AndroidRuntime(21342):        at android app Activity performStart(Activity java:6006)
E AndroidRuntime(21342):        at android app ActivityThread performLaunchActivity(ActivityThread java:2288)
E AndroidRuntime(21342):            10 more
</t>
  </si>
  <si>
    <t>k9mail-k-9-1039</t>
  </si>
  <si>
    <t>Opening e-mail caused crash that reset all data</t>
  </si>
  <si>
    <t xml:space="preserve">Today I opened up a mail in K 9 (a spam mail I wanted to mark as spam  but there was nothing special about this mail  simple HTML mail) and it crashed while opening  Then I started K 9 again and it presented the welcome screen   all seetings for five configured accounts are no more available and seem to be completely deleted  Also a restart of the phone didn t change anything   the data seems to be lost forever 
Phone: Nexus 5 (no root)
App Version: 5 007
Android Version: 6 0 1 (Security patch level 1st Jan 2016)
Note: The app still uses more than 300MB for data  so there is something left    but no more accessible)
</t>
  </si>
  <si>
    <t>8MinutesSolar-8MinutesAndroid-5</t>
  </si>
  <si>
    <t>Sign In: App get crash on Tap Facebook link</t>
  </si>
  <si>
    <t xml:space="preserve">On Click on Facebook application get crash
</t>
  </si>
  <si>
    <t>avluis-Hentoid-82</t>
  </si>
  <si>
    <t>Launching the About activity causes the app to crash on some devices</t>
  </si>
  <si>
    <t xml:space="preserve">Affects version 1 1 5r5
Device info:
Samsung Galaxy Young (Y)
Android 4 0 3
230 x 432 ldpi
Steps to repro:
1  Launch app
2  Launch About activity through nav drawer 
Notes:
  Clearing data or reinstalling the app does not resolve the issue 
  The same device updated to android 4 2 does not reproduce the issue 
  No immediate condition pattern for issue reproduction 
   LOG file (https:  github com csaki Hentoid files 104732 aboutcrash txt)
</t>
  </si>
  <si>
    <t>hidroh-materialistic-361</t>
  </si>
  <si>
    <t>SinglePageItemRecyclerViewAdapter.java line 146</t>
  </si>
  <si>
    <t xml:space="preserve">     in io github hidroh materialistic widget SinglePageItemRecyclerViewAdapter 1 onClick
  Number of crashes: 1
  Impacted devices: 1
There s a lot more information about this crash on crashlytics com:
 https:  fabric io ha duy trungs projects android apps io github hidroh materialistic issues 56a74339f5d3a7f76b58db7c (https:  fabric io ha duy trungs projects android apps io github hidroh materialistic issues 56a74339f5d3a7f76b58db7c)
</t>
  </si>
  <si>
    <t>SCCapstone-diet-9</t>
  </si>
  <si>
    <t>Requesting Dangerous Permissions at Run Time</t>
  </si>
  <si>
    <t xml:space="preserve">The app crashes on devices with API level 23  as it does not request proper permissions at run time 
See: http:  developer android com training permissions requesting html
</t>
  </si>
  <si>
    <t>kontalk-androidclient-638</t>
  </si>
  <si>
    <t>Crash when opening a chat invitation</t>
  </si>
  <si>
    <t xml:space="preserve">With a freshly installed app from Google Play store v 3 1 2 (80)  when I receive a chat invitation from a new contact  the app crashes  I cannot accept or reject the invitation as the app crashes as soon as I click on the invitation to open it 
I have stored the crash log: https:  gist github com anonymous dc4ddee62bec90b63ad0
</t>
  </si>
  <si>
    <t>NemProject-NEMAndroidApp-107</t>
  </si>
  <si>
    <t>QR -&gt; Scan view -&gt; Invoice -&gt; Scan View camera frozen</t>
  </si>
  <si>
    <t xml:space="preserve">0 1 31
When I go to QR    Scan I see the camera capture image just fine  When I then slide to  Invoice  and go back to  Scan  the camera capture image is frozen  If I go all the way to  My Info  and back to  Scan  it works again 
For others the app crashes when they go to  Invoice  coming from  Scan   This just happened 1 minute ago to a friend of mine  please see your log 
</t>
  </si>
  <si>
    <t>NemProject-NEMAndroidApp-105</t>
  </si>
  <si>
    <t>Going to scan mode and then back to invoice or hitting home button crashes the app</t>
  </si>
  <si>
    <t xml:space="preserve">When I am in scan mode and hit home button or swipe to the left (to get to invoices) the app crashes
</t>
  </si>
  <si>
    <t>NemProject-NEMAndroidApp-104</t>
  </si>
  <si>
    <t>Add Account -&gt; Scan QR -&gt; go back -&gt; Create -&gt; Crash</t>
  </si>
  <si>
    <t xml:space="preserve">0 1 31
A friend of mine just expererienced this:
Fresh install of the app    Add Account    Scan QR    go back    Create    The app crashes 
This happened a minute ago  you should be able to see the log 
</t>
  </si>
  <si>
    <t>NemProject-NEMAndroidApp-102</t>
  </si>
  <si>
    <t>Clicking on "Share QR" freezes tablet for 5 seconds</t>
  </si>
  <si>
    <t xml:space="preserve">Sometimes the tablet complains that the NEM app is not responding  It doesn t crash and carries on after a bit 
Nexus 7 2013 running Android 6 0 1
</t>
  </si>
  <si>
    <t>h6ah4i-android-advancedrecyclerview-176</t>
  </si>
  <si>
    <t>NullPointerException</t>
  </si>
  <si>
    <t xml:space="preserve">report  2 crashes by buglly I used 
and not every time crash
on PE TL20(Huawei)  Android 4 4 2 level 19  and no root  
link is http:  bugly qq com share KH1eSp
java lang NullPointerException
com h6ah4i android widget advrecyclerview draggable RecyclerViewDragDropManager access 400(RecyclerViewDragDropManager java:46)
com h6ah4i android widget advrecyclerview draggable RecyclerViewDragDropManager InternalHandler handleMessage(RecyclerViewDragDropManager java:1584)
android os Handler dispatchMessage(Handler java:102)
android os Looper loop(Looper java:136)
android app ActivityThread main(ActivityThread java:5315)
java lang reflect Method invokeNative(Native Method)
java lang reflect Method invoke(Method java:515)
com android internal os ZygoteInit MethodAndArgsCaller run(ZygoteInit java:864)
com android internal os ZygoteInit main(ZygoteInit java:680)
dalvik system NativeStart main(Native Method)
</t>
  </si>
  <si>
    <t>NemProject-NEMAndroidApp-95</t>
  </si>
  <si>
    <t>Crash while changing password</t>
  </si>
  <si>
    <t xml:space="preserve">0 1 31
The app just crashed while I was trying to change the app password 
This should be fixed  because it is a sensible feature 
</t>
  </si>
  <si>
    <t>hidroh-materialistic-365</t>
  </si>
  <si>
    <t>ItemRecyclerViewAdapter.java line 219</t>
  </si>
  <si>
    <t xml:space="preserve">     in io github hidroh materialistic widget ItemRecyclerViewAdapter setTextIsSelectable
  Number of crashes: 1
  Impacted devices: 1
There s a lot more information about this crash on crashlytics com:
 https:  fabric io ha duy trungs projects android apps io github hidroh materialistic issues 56aa8fb0f5d3a7f76b69bd05 (https:  fabric io ha duy trungs projects android apps io github hidroh materialistic issues 56aa8fb0f5d3a7f76b69bd05)
</t>
  </si>
  <si>
    <t>NemProject-NEMAndroidApp-109</t>
  </si>
  <si>
    <t>Going to address book crashes app</t>
  </si>
  <si>
    <t xml:space="preserve">I have a huawei nexus 6p  Any time I click on address book tab from any screen  the app crashes  This happens 100  of the time  I don t get any specific messages  It just informs me that the app has crashed  and then exits
</t>
  </si>
  <si>
    <t>BluStor-GateKeeperSampleApp-31</t>
  </si>
  <si>
    <t>Migrate to Vendor Libraries</t>
  </si>
  <si>
    <t xml:space="preserve">NeuroTechnology has posted an Android Studio example using their libraries for facial authentication 
1  Verify the Android Studio project works and doesn t crash on the phone 
2   Migrate code base back to vendor libraries  if the crashing issue has been resolved 
The vendor sent FTP login information 
</t>
  </si>
  <si>
    <t>ccrama-Slide-908</t>
  </si>
  <si>
    <t>Subreddit order constantly getting reset</t>
  </si>
  <si>
    <t xml:space="preserve">Sorry if someone already reported this  I searched for it but I couldn t find it 
The order for subreddits gets reset just about every time I change settings  when I switch users  or when slide crashes  This is the one bug stopping me from using the app full time 
</t>
  </si>
  <si>
    <t>pinball83-Masked-Edittext-6</t>
  </si>
  <si>
    <t>IndexOutOfBoundsException</t>
  </si>
  <si>
    <t xml:space="preserve">How to reproduce: type some input  bacskpace  type   backspace and so on  After couple of iterations there is a crash
  FATAL EXCEPTION: main
                                                                          Process: com thrd maskededitbox  PID: 11763
                                                                          java lang IndexOutOfBoundsException: replace (15     16) ends beyond length 15
                                                                              at android text SpannableStringBuilder checkRange(SpannableStringBuilder java:1090)
                                                                              at android text SpannableStringBuilder replace(SpannableStringBuilder java:498)
                                                                              at android text SpannableStringBuilder replace(SpannableStringBuilder java:492)
                                                                              at android text SpannableStringBuilder replace(SpannableStringBuilder java:491)
                                                                              at com github pinball83 maskededittext MaskedEditText MaskedInputFilter filter(MaskedEditText java:327)
                                                                              at android text SpannableStringBuilder replace(SpannableStringBuilder java:502)
                                                                              at android text SpannableStringBuilder replace(SpannableStringBuilder java:492)
                                                                              at android text SpannableStringBuilder replace(SpannableStringBuilder java:491)
                                                                              at android text method NumberKeyListener onKeyDown(NumberKeyListener java:121)
                                                                              at android widget TextView doKeyDown(TextView java:6095)
                                                                              at android widget TextView onKeyDown(TextView java:5908)
                                                                              at android view KeyEvent dispatch(KeyEvent java:2640)
                                                                              at android view View dispatchKeyEvent(View java:9240)
                                                                              at android view ViewGroup dispatchKeyEvent(ViewGroup java:1640)
                                                                              at android view ViewGroup dispatchKeyEvent(ViewGroup java:1640)
                                                                              at android widget ScrollView dispatchKeyEvent(ScrollView java:379)
                                                                              at android view ViewGroup dispatchKeyEvent(ViewGroup java:1640)
                                                                              at android view ViewGroup dispatchKeyEvent(ViewGroup java:1640)
                                                                              at android view ViewGroup dispatchKeyEvent(ViewGroup java:1640)
                                                                              at android view ViewGroup dispatchKeyEvent(ViewGroup java:1640)
                                                                              at android view ViewGroup dispatchKeyEvent(ViewGroup java:1640)
                                                                              at com android internal policy PhoneWindow DecorView superDispatchKeyEvent(PhoneWindow java:2395)
                                                                              at com android internal policy PhoneWindow superDispatchKeyEvent(PhoneWindow java:1727)
                                                                              at android app Activity dispatchKeyEvent(Activity java:2731)
                                                                              at android support v7 view WindowCallbackWrapper dispatchKeyEvent(WindowCallbackWrapper java:50)
                                                                              at android support v7 app AppCompatDelegateImplBase AppCompatWindowCallbackBase dispatchKeyEvent(AppCompatDelegateImplBase java:224)
                                                                              at com android internal policy PhoneWindow DecorView dispatchKeyEvent(PhoneWindow java:2310)
                                                                              at android view ViewRootImpl ViewPostImeInputStage processKeyEvent(ViewRootImpl java:4127)
                                                                              at android view ViewRootImpl ViewPostImeInputStage onProcess(ViewRootImpl java:4089)
                                                                              at android view ViewRootImpl InputStage deliver(ViewRootImpl java:3642)
                                                                              at android view ViewRootImpl InputStage onDeliverToNext(ViewRootImpl java:3695)
                                                                              at android view ViewRootImpl InputStage forward(ViewRootImpl java:3661)
                                                                              at android view ViewRootImpl AsyncInputStage forward(ViewRootImpl java:3787)
                                                                              at android view ViewRootImpl InputStage apply(ViewRootImpl java:3669)
                                                                              at android view ViewRootImpl AsyncInputStage apply(ViewRootImpl java:3844)
                                                                              at android view ViewRootImpl InputStage deliver(ViewRootImpl java:3642)
                                                                              at android view ViewRootImpl InputStage onDeliverToNext(ViewRootImpl java:3695)
                                                                              at android view ViewRootImpl InputStage forward(ViewRootImpl java:3661)
                                                                              at android view ViewRootImpl InputStage apply(ViewRootImpl java:3669)
                                                                              at android view ViewRootImpl InputStage deliver(ViewRootImpl java:3642)
                                                                              at android view ViewRootImpl deliverInputEvent(ViewRootImpl java:5922)
                                                                              at android view ViewRootImpl doProcessInputEvents(ViewRootImpl java:5896)
                                                                              at android view ViewRootImpl enqueueInputEvent(ViewRootImpl java:5857)
                                                                              at android view ViewRootImpl ViewRootHandler handleMessage(ViewRootImpl java:3434)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</si>
  <si>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CellularPrivacy-Android-IMSI-Catcher-Detector-759</t>
  </si>
  <si>
    <t>GUI crashes upon application start</t>
  </si>
  <si>
    <t xml:space="preserve">The mobile is a One  2 (ONE A2001  so it s the chinese hardware version  with the language set to English  4GB RAM  64GB internal storage  no external storage (it does not feature an SD card slot)) with both SIM card slots populated (slot 1 with a T mobile SIM  slot 2 with a MEDIONmobile SIM)  Android version is 5 1 1 with Android security patch level December 1  2015  It is NOT rooted 
AIMSICD version is  0 1 38 alpha (download and installation done on January 14th  2016) 
When I tap the AIMSICD icon  it appears that a black windows opens (quickly slides up from the bottom of the screen until it fill the whole screen (except the top status bar)) and then the black window immediately disappears  before anything appears on it  Looks like it crashes upon startup 
However  the notification area shows an  Android IMSI Catcher Detector  ribbon  with two icons on the left hand side (one cell tower icon in regular size  plus a miniature version of the cell tower icon to the lower right  corner  of the regular size icon)  It could be that both are green (I have a color blindness issue   red and green are pretty much indistinguishable for me  even though I have enabled the corresponding  color enhancement  option on the phone)  It might be an option to enhance the red icon with a black border  or to display a numerical or roman numerical  Defcon Level  on the icon   but that s not in the scope of this report 
Note how I nicely mix British and American English ( mobile   cell )  Could even throw in a bit of the German pseudo English  Handy    nah    )
The ribbon states  Cell Tracking Active  and a time  which did not change within the 9 minutes I observed the display 
Double tapping the ribbon yields teh same result as tapping the AIMSICD icon (window appears to launch  but then disappears before anything appears)  After that  the time on the ribbon is updated to the current time 
AIMSICD does not appear in the list of running apps (which also states that 2 3GB of RAM are currently free   so RAM exhaustion appears not be an issue) 
Also installed is  GSM Spy Finder   However  the described IMSICD behavior is identical regardless whether GSM Spy Finder is running concurrently or not running 
The folder  Android data com SecUpwN AIMSICD files  shows no files  The last modification date of the folder is January 14th 
Being unable to enter the application  I have no clue what to try next   
    bountysource plugin 
Want to back this issue     Post a bounty on it  (https:  www bountysource com issues 30291309 gui crashes upon application start utm campaign plugin utm content tracker 2F565750 utm medium issues utm source github)   We accept bounties via  Bountysource (https:  www bountysource com  utm campaign plugin utm content tracker 2F565750 utm medium issues utm source github) 
  bountysource plugin 
</t>
  </si>
  <si>
    <t>MythTV-Clients-MythtvPlayerForAndroid-93</t>
  </si>
  <si>
    <t>Exception: ActivityNotFoundException</t>
  </si>
  <si>
    <t xml:space="preserve">Running on f503b3b  Go to Settings Video Settings or Recording Settings to reproduce 
01 27 19:41:43 629 8088 8088 org mythtv android I AppAbstractBaseActivity: onNavigationItemSelected : enter
01 27 19:41:43 629 8088 8088 org mythtv android I AppAbstractBaseActivity: onNavigationItemSelected : settings clicked
01 27 19:41:43 629 8088 8088 org mythtv android D Navigator: navigateToSettings : enter
01 27 19:41:43 629 8088 8088 org mythtv android D Navigator: navigateToSettings : context    null
01 27 19:41:43 661 8088 8088 org mythtv android D Navigator: navigateToSettings : exit
01 27 19:41:43 684 8088 8088 org mythtv android D AppMusicVideoListFragment: onPause : enter
01 27 19:41:43 685 8088 8088 org mythtv android D AppMusicVideoListFragment: onPause : exit
01 27 19:41:43 685 8088 8088 org mythtv android D AppHomeVideoListFragment: onPause : enter
01 27 19:41:43 685 8088 8088 org mythtv android D AppHomeVideoListFragment: onPause : exit
01 27 19:41:43 714 8088 8088 org mythtv android I AppCompatViewInflater: app:theme is now deprecated  Please move to using android:theme instead 
01 27 19:41:47 951 8088 8088 org mythtv android D AndroidRuntime: Shutting down VM
                                                                            beginning of crash
01 27 19:41:47 952 8088 8088 org mythtv android E AndroidRuntime: FATAL EXCEPTION: main
                                                                  Process: org mythtv android  PID: 8088
                                                                  android content ActivityNotFoundException: Unable to find explicit activity class  org mythtv android org mythtv android presentation view activity VideoSettingsActivity   have you declared this activity in your AndroidManifest xml 
                                                                      at android app Instrumentation checkStartActivityResult(Instrumentation java:1794)
                                                                      at android app Instrumentation execStartActivity(Instrumentation java:1512)
                                                                      at android app Activity startActivityForResult(Activity java:3930)
                                                                      at android app Activity startActivityForResult(Activity java:3890)
                                                                      at android support v4 app FragmentActivity startActivityForResult(FragmentActivity java:784)
                                                                      at android app Activity startActivity(Activity java:4213)
                                                                      at android app Activity startActivity(Activity java:4181)
                                                                      at android content ContextWrapper startActivity(ContextWrapper java:331)
                                                                      at android support v7 preference Preference performClick(Preference java:955)
                                                                      at android support v7 preference Preference performClick(Preference java:924)
                                                                      at android support v7 preference Preference 1 onClick(Preference java:136)
                                                                      at android view View performClick(View java:5204)
                                                                      at android view View PerformClick run(View java:21153)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</si>
  <si>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dimagi-commcare-android-1030</t>
  </si>
  <si>
    <t>Don't show both location disabled &amp; form load error dialogs</t>
  </si>
  <si>
    <t xml:space="preserve">If location services are off in a form that needs them and the form also has loading errors  the result is that the load error dialog isn t shown  Instead just the  turn on location services  dialog is shown  This puts the form in a state where you can swipe forward and crash the app 
Fix is to show  location service are disabled  dialog only when the form successfully loads  not during form loading 
http:  manage dimagi com default asp 209449
</t>
  </si>
  <si>
    <t>8MinutesSolar-8MinutesAndroid-36</t>
  </si>
  <si>
    <t>Videos: On tap play icon of video app get crash</t>
  </si>
  <si>
    <t xml:space="preserve">On tap play icon of video app get crash
</t>
  </si>
  <si>
    <t>cgeo-cgeo-5429</t>
  </si>
  <si>
    <t>Crash in CacheDetailActivity.onCreateContextMenu</t>
  </si>
  <si>
    <t xml:space="preserve">To reproduce:
1) open gc4vchp
2) go to waypoints
3) long click on (D A E C) 
There is no crash if any other action is done  For example open another waypoint  close it and do long click on (D A E C)    you ll get the menu 
I tested this with the latest nightly 2016 01 30 NB3 and with some older development build 
01 30 21:33:33 772 8859 8859   E AndroidRuntime: FATAL EXCEPTION: main
                                                 Process: cgeo geocaching  PID: 8859
                                                 java lang NullPointerException: Attempt to invoke virtual method  java lang String cgeo geocaching models Waypoint getName()  on a null object reference
                                                     at cgeo geocaching CacheDetailActivity onCreateContextMenu(CacheDetailActivity java:435)
                                                     at android view View createContextMenu(View java:9216)
                                                     at android view View createContextMenu(View java:9224)
                                                     at com android internal view menu ContextMenuBuilder show(ContextMenuBuilder java:81)
                                                     at com android internal policy impl PhoneWindow DecorView showContextMenuForChild(PhoneWindow java:2671)
                                                     at android view ViewGroup showContextMenuForChild(ViewGroup java:694)
                                                     at android view ViewGroup showContextMenuForChild(ViewGroup java:694)
                                                     at android view ViewGroup showContextMenuForChild(ViewGroup java:694)
                                                     at android view ViewGroup showContextMenuForChild(ViewGroup java:694)
                                                     at android view ViewGroup showContextMenuForChild(ViewGroup java:694)
                                                     at android widget AbsListView showContextMenuForChild(AbsListView java:3173)
                                                     at android view ViewGroup showContextMenuForChild(ViewGroup java:694)
                                                     at android view View showContextMenu(View java:4929)
                                                     at android view View performLongClick(View java:4898)
                                                     at android widget TextView performLongClick(TextView java:8731)
                                                     at android view View CheckForLongPress run(View java:19930)
                                                     at android os Handler handleCallback(Handler java:739)
                                                     at android os Handler dispatchMessage(Handler java:95)
                                                     at android os Looper loop(Looper java:211)
                                                     at android app ActivityThread main(ActivityThread java:5389)
                                                     at java lang reflect Method invoke(Native Method)
                                                     at java lang reflect Method invoke(Method java:372)
                                                     at com android internal os ZygoteInit MethodAndArgsCaller run(ZygoteInit java:1020)
                                                     at com android internal os ZygoteInit main(ZygoteInit java:815)
</t>
  </si>
  <si>
    <t>stefan-niedermann-nextcloud-notes-65</t>
  </si>
  <si>
    <t>NullPointer when trying to save</t>
  </si>
  <si>
    <t xml:space="preserve">I keep encountering a NullPointer after editing any note and trying to save on exit  After encountering the crash one time  the app always crashes on launch until you clear data 
01 30 10:15:49 745 E AndroidRuntime(12186): FATAL EXCEPTION: main
01 30 10:15:49 745 E AndroidRuntime(12186): Process: it niedermann owncloud notes  PID: 12186
01 30 10:15:49 745 E AndroidRuntime(12186): java lang NullPointerException: Attempt to invoke virtual method  long it niedermann owncloud notes model Note getId()  on a null object reference
01 30 10:15:49 745 E AndroidRuntime(12186):     at it niedermann owncloud notes persistence NoteSQLiteOpenHelper updateNote(NoteSQLiteOpenHelper java:228)
01 30 10:15:49 745 E AndroidRuntime(12186):     at it niedermann owncloud notes persistence NoteServerSyncHelper UploadEditedNotesTask onPostExecute(NoteServerSyncHelper java:172)
01 30 10:15:49 745 E AndroidRuntime(12186):     at it niedermann owncloud notes persistence NoteServerSyncHelper UploadEditedNotesTask onPostExecute(NoteServerSyncHelper java:157)
01 30 10:15:49 745 E AndroidRuntime(12186):     at android os AsyncTask finish(AsyncTask java:651)
01 30 10:15:49 745 E AndroidRuntime(12186):     at android os AsyncTask  wrap1(AsyncTask java)
01 30 10:15:49 745 E AndroidRuntime(12186):     at android os AsyncTask InternalHandler handleMessage(AsyncTask java:668)
01 30 10:15:49 745 E AndroidRuntime(12186):     at android os Handler dispatchMessage(Handler java:102)
01 30 10:15:49 745 E AndroidRuntime(12186):     at android os Looper loop(Looper java:148)
01 30 10:15:49 745 E AndroidRuntime(12186):     at android app ActivityThread main(ActivityThread java:5466)
01 30 10:15:49 745 E AndroidRuntime(12186):     at java lang reflect Method invoke(Native Method)
01 30 10:15:49 745 E AndroidRuntime(12186):     at com android internal os ZygoteInit MethodAndArgsCaller run(ZygoteInit java:726)
01 30 10:15:49 745 E AndroidRuntime(12186):     at com android internal os ZygoteInit main(ZygoteInit java:616)
01 30 10:15:49 745 E AndroidRuntime(12186):     at de robv android xposed XposedBridge main(XposedBridge java:114)
</t>
  </si>
  <si>
    <t>kabouzeid-Phonograph-68</t>
  </si>
  <si>
    <t>Glide hashCode() crash</t>
  </si>
  <si>
    <t xml:space="preserve">Can t reproduce  This is affecting many users due to crashlytics 
 Fatal Exception: java lang NullPointerException: Attempt to invoke virtual method  int java lang String hashCode()  on a null object reference
       at com bumptech glide load engine EngineKey hashCode(Unknown Source)
       at java util Collections secondaryHash(Collections java:3427)
       at java util HashMap remove(HashMap java:616)
       at com bumptech glide util LruCache remove(Unknown Source)
       at com bumptech glide load engine cache LruResourceCache remove(Unknown Source)
       at com bumptech glide load engine Engine getEngineResourceFromCache(Unknown Source)
       at com bumptech glide load engine Engine loadFromCache(Unknown Source)
       at com bumptech glide load engine Engine load(Unknown Source)
       at com bumptech glide request GenericRequest onSizeReady(Unknown Source)
       at com bumptech glide request GenericRequest begin(Unknown Source)
       at com bumptech glide manager RequestTracker resumeRequests(Unknown Source)
       at com bumptech glide RequestManager resumeRequests(Unknown Source)
       at com bumptech glide RequestManager onStart(Unknown Source)
       at com bumptech glide manager ActivityFragmentLifecycle onStart(Unknown Source)
       at com bumptech glide manager SupportRequestManagerFragment onStart(Unknown Source)
       at android support v4 app Fragment performStart(Unknown Source)
       at android support v4 app FragmentManagerImpl moveToState(Unknown Source)
       at android support v4 app FragmentManagerImpl moveToState(Unknown Source)
       at android support v4 app BackStackRecord run(Unknown Source)
       at android support v4 app FragmentManagerImpl execPendingActions(Unknown Source)
       at android support v4 app FragmentManagerImpl 1 run(Unknown Source)
       at android os Handler handleCallback(Handler java:746)
       at android os Handler dispatchMessage(Handler java:95)
       at android os Looper loop(Looper java:148)
       at android app ActivityThread main(ActivityThread java:5443)
       at java lang reflect Method invoke(Method java)
       at com android internal os ZygoteInit MethodAndArgsCaller run(ZygoteInit java:728)
       at com android internal os ZygoteInit main(ZygoteInit java:618) 
</t>
  </si>
  <si>
    <t>ccrama-Slide-937</t>
  </si>
  <si>
    <t>No more posts on reload</t>
  </si>
  <si>
    <t xml:space="preserve">When you come back to a subreddit after a crash or after viewing another subreddit  Slide will say no more posts at the bottom instead of loading more  This happens if you have  show offline first  enabled 
</t>
  </si>
  <si>
    <t>pinball83-Masked-Edittext-7</t>
  </si>
  <si>
    <t>EditText removes mask symbols if a user input non-digit symbols and then are crashed</t>
  </si>
  <si>
    <t xml:space="preserve">On several devices the keyboard contains         and     symbols even if I specify  number  input type 
When I input this symbols then your EditText removes from mask one symbol  If I repeat this procedure then the EditText removes all symbols from mask and then crashes 
There are my code example  I think that presence of   7  is the root of problem:
        com github pinball83 maskededittext MaskedEditText
                android:id    id phone 
                android:layout width  match parent 
                android:layout height  wrap content 
                android:hint   string prompt phone 
                android:inputType  phone 
                android:maxLines  1 
                android:singleLine  true 
                app:mask   7 (   )           
                app:notMaskedSymbol    
                app:maskIconColor   color colorPrimary 
</t>
  </si>
  <si>
    <t>magnetsystems-message-samples-android-27</t>
  </si>
  <si>
    <t>Change password does not work</t>
  </si>
  <si>
    <t xml:space="preserve">1  go tothe Change Password screen
2  fill in current password and new password fields
3  press submit 
4  app crashes with following error
02 03 17:13:11 075    4633 4633 com magnet magnetchat D AndroidRuntime  Shutting down VM
02 03 17:13:11 093    4633 4633 com magnet magnetchat E AndroidRuntime  FATAL EXCEPTION: main
    Process: com magnet magnetchat  PID: 4633
    java lang NullPointerException: Attempt to read from null array
            at com magnet magnetchat ui ChangePasswordActivity onClick(ChangePasswordActivity java:34)
            at android view View performClick(View java:4756)
            at android view View PerformClick run(View java:19749)
            at android os Handler handleCallback(Handler java:739)
            at android os Handler dispatchMessage(Handler java:95)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02 03 17:13:11 795    4633 4663 com magnet magnetchat I CrashlyticsCore  C
</t>
  </si>
  <si>
    <t>inaturalist-iNaturalistAndroid-116</t>
  </si>
  <si>
    <t>Functional Bug Finds for #105</t>
  </si>
  <si>
    <t xml:space="preserve">Here are some small issues with work done according to  105  Please disregard anything you are still working on  
   x    Species Page Add Button:   Although  it was never specced out I think we should remove the  Add  button on the taxon page that is reached from ob detail screen  It can confuse user  since they already see this ID associated with their ob   kueda  loarie  any objections 
   x     Crashes:   I ve experienced crashes  but I m assuming you re getting all those reports  Most of the crashes are when I interact with new obs I ve just created 
   x    Comment ID buttons:   The Comment ID buttons require a bunch of scrolling to get to     image (https:  cloud githubusercontent com assets 11527994 12764569 6a8430da c9af 11e5 9776 d4ea67247dd3 png)
   x    Agree Button:   Nothing happens when I tap the  Agree  button
   x    Single Photo:   When there is only one photo  please remove the page controller  Here s an example   
    image (https:  cloud githubusercontent com assets 11527994 12766120 ee623b70 c9b6 11e5 8f99 10badc399bf5 png)
   x    Faving:   I think you already know about the faves showing up in the Info tab  but I also noticed when I have faved something  the button is not in the faved state 
   x    Photo Viewer:   When I tap the photo in an ob it opens this screen with no photos   
   x    Notes:   Notes are not showing up for me 
   Lower Priority
   x  When tapping the Share button  please change  view on iNat  to  View on iNaturalist org  for clarity 
 budowski This is looking super cool 
</t>
  </si>
  <si>
    <t>nitaliano-react-native-mapbox-gl-267</t>
  </si>
  <si>
    <t>Android: Crash on tablet running android 4.4.4</t>
  </si>
  <si>
    <t xml:space="preserve">I don t know how useful this is and I m not really sure what else I can do to debug  but when I run on a genymotion tablet running android 4 4 4 (API 19 2560x1600) it crashes with:  Unfortunately  maptest has stopped  
Android index file:
https:  gist github com jabm111 d54b01bdce8e4df40405
Package json:
https:  gist github com jabm111 05b25463f30c0e5f7997
Didn t see anything interesting from adb logcat  :S ReactNative:V ReactNativeJS:V
 I ReactNativeJS( 2093): Running application  maptest  with appParams:   initialProps :    rootTag :1     DEV       true  development level warning are ON  performance optimizations are OFF 
The code works on a genymotion Nexus 5 running android 6 0 0 and an iPhones 5s simulator  Let me know if I can provide any more information  What is the minimum android version supported 
</t>
  </si>
  <si>
    <t>magnetsystems-message-samples-android-22</t>
  </si>
  <si>
    <t>Android crashes when a new chat is created from an iOS device user</t>
  </si>
  <si>
    <t xml:space="preserve">Steps:
1  user1 user1 registered and logs into mMessage app on iOS device
2  user2 user2 registered and logs into mMessage app on Android device
3  user1 created a new chat and adds user2 into the chat
      Android app crashes
</t>
  </si>
  <si>
    <t>moneymanagerex-android-money-manager-ex-676</t>
  </si>
  <si>
    <t>Exception in Search</t>
  </si>
  <si>
    <t xml:space="preserve">  When searching entre the payee and then when trying to pickup the date it crashes 
  When searching amunt from it crash
              APP DETAILS             
Version: 2016 02 01
Build: 765
              CAUSE OF ERROR             
java lang NullPointerException: Attempt to invoke virtual method  java lang String com money manager ex domainmodel Currency getDecimalSeparator()  on a null object reference
at com money manager ex core FormatUtilities formatNumberIgnoreDecimalCount(FormatUtilities java:297)
at com money manager ex common InputAmountDialog getFormattedAmount(InputAmountDialog java:362)
at com money manager ex common InputAmountDialog displayFormattedAmount(InputAmountDialog java:304)
at com money manager ex common InputAmountDialog evalExpression(InputAmountDialog java:341)
at com money manager ex common InputAmountDialog onCreateDialog(InputAmountDialog java:247)
at android support v4 app DialogFragment getLayoutInflater(DialogFragment java:308)
at android support v4 app FragmentManagerImpl moveToState(FragmentManager java:1067)
at android support v4 app FragmentManagerImpl moveToState(FragmentManager java:1248)
at android support v4 app BackStackRecord run(BackStackRecord java:738)
at android support v4 app FragmentManagerImpl execPendingActions(FragmentManager java:1613)
at android support v4 app FragmentManagerImpl 1 run(FragmentManager java:517)
at android os Handler handleCallback(Handler java:815)
at android os Handler dispatchMessage(Handler java:104)
at android os Looper loop(Looper java:194)
at android app ActivityThread main(ActivityThread java:5534)
at java lang reflect Method invoke(Native Method)
at java lang reflect Method invoke(Method java:372)
at com android internal os ZygoteInit MethodAndArgsCaller run(ZygoteInit java:955)
at com android internal os ZygoteInit main(ZygoteInit java:750)
              DEVICE INFORMATION            
Brand: Mlais
Device: c211 jbl a128 3m hd mlais
Model: M52 Red Note
Id: LRX21M
Product: M52 Red Note
              FIRMWARE             
SDK: 21
Release: 5 0
Incremental: 1437458096
</t>
  </si>
  <si>
    <t>k9mail-k-9-1065</t>
  </si>
  <si>
    <t>K9 crashes when 15+ folders exist</t>
  </si>
  <si>
    <t xml:space="preserve">I have a Samsung Galaxy Note 3  running Android 5 0 and K9 5 007  If I set K9 to pull my IMAP folder list  just 1st class standard folders  everything is fine  If I have it set to 1st and 2nd  which loads between  15 and 20 folders  K9 always crashes  It s not even downloading the folders  contents  just the folder names themselves at that point 
</t>
  </si>
  <si>
    <t>square-okhttp-2309</t>
  </si>
  <si>
    <t>MockWebserver fails for empty body requests with "Transfer-Encoding: chunked" header</t>
  </si>
  <si>
    <t xml:space="preserve">I m using an HTTP client that sends a   Transfer Encoding: chunked   HTTP request header for all requests  including with empty bodies  When testing that client with  MockWebServer   I m getting the following:
MockWebServer 54824  connection from  127 0 0 1 crashed
java lang IllegalArgumentException: Request must not have a body: GET  pojos HTTP 1 1
    at okhttp3 mockwebserver MockWebServer readRequest(MockWebServer java:631)
    at okhttp3 mockwebserver MockWebServer access 1500(MockWebServer java:99)
    at okhttp3 mockwebserver MockWebServer 4 processOneRequest(MockWebServer java:498)
    at okhttp3 mockwebserver MockWebServer 4 processConnection(MockWebServer java:460)
    at okhttp3 mockwebserver MockWebServer 4 execute(MockWebServer java:401)
    at okhttp3 internal NamedRunnable run(NamedRunnable java:33)
    at java util concurrent ThreadPoolExecutor runWorker(ThreadPoolExecutor java:1142)
    at java util concurrent ThreadPoolExecutor Worker run(ThreadPoolExecutor java:617)
    at java lang Thread run(Thread java:745)
Why is this enforced 
Is there a strong reason or something in the HTTP spec that qualifies those requests as invalid 
Could we relax that check if not necessary 
</t>
  </si>
  <si>
    <t>NemProject-NEMAndroidApp-126</t>
  </si>
  <si>
    <t>App crahses when sending encrypted message to itself</t>
  </si>
  <si>
    <t xml:space="preserve">0 1 33
When you send a message from an account to the same account and you encrypt the message  the app crashes 
</t>
  </si>
  <si>
    <t>OneDrive-onedrive-sdk-android-38</t>
  </si>
  <si>
    <t>"Copy File" crashes App if file already exists in destination folder</t>
  </si>
  <si>
    <t xml:space="preserve">Hi
I found another little bug 
When I try to copy a file to a subfolder in which a file with the same name already exists the whole app crashes  I tried to catch the exception  but I had no luck with that approach   
 02 03 08:11:12 194 9118 9370 com microsoft onedrive onedriveapiexplorer E AndroidRuntime: FATAL EXCEPTION: pool 1 thread 1
                                                                                          Process: com microsoft onedrive onedriveapiexplorer  PID: 9118
                                                                                          com onedrive sdk core ClientException: Async operation  ItemCopy  has not completed 
                                                                                              at com onedrive sdk concurrency AsyncMonitor getResult(AsyncMonitor java:126)
                                                                                              at com onedrive sdk concurrency AsyncMonitor 4 run(AsyncMonitor java:166)
                                                                                              at java util concurrent ThreadPoolExecutor runWorker(ThreadPoolExecutor java:1113)
                                                                                              at java util concurrent ThreadPoolExecutor Worker run(ThreadPoolExecutor java:588)
                                                                                              at java lang Thread run(Thread java:818)
02 03 08:11:12 848 9118 9118 com microsoft onedrive onedriveapiexplorer E WindowManager: android view WindowLeaked: Activity com microsoft onedrive apiexplorer ApiExplorer has leaked window com android internal policy PhoneWindow DecorView d0ab10d V E       R     I  0 0 1368 681  that was originally added here
                                                                                             at android view ViewRootImpl  init (ViewRootImpl java:368)
                                                                                             at android view WindowManagerGlobal addView(WindowManagerGlobal java:299)
                                                                                             at android view WindowManagerImpl addView(WindowManagerImpl java:85)
                                                                                             at android app Dialog show(Dialog java:319)
                                                                                             at com microsoft onedrive apiexplorer ItemFragment 3 failure(ItemFragment java:386)
                                                                                             at com onedrive sdk concurrency DefaultExecutors 3 run(DefaultExecutors java:132)
                                                                                             at com onedrive sdk concurrency SynchronousExecutor 1 onPostExecute(SynchronousExecutor java:54)
                                                                                             at com onedrive sdk concurrency SynchronousExecutor 1 onPostExecute(SynchronousExecutor java:46)
                                                                                             at android os AsyncTask finish(AsyncTask java:651)
                                                                                             at android os AsyncTask  wrap1(AsyncTask java)
                                                                                             at android os AsyncTask InternalHandler handleMessage(AsyncTask java:668)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Ps : this happens in my app  as well as in the OneDrive API explorer app  This log is from the explorer app 
OneDriveSDK version 1 1 1
</t>
  </si>
  <si>
    <t>kontalk-androidclient-643</t>
  </si>
  <si>
    <t>Opening Kontalk during mid-registration crashes</t>
  </si>
  <si>
    <t xml:space="preserve">If you make the first step in registration (request) and then kill the app  when you open it back it crashes because getContext() returns null in ConversationListFragment onCreateOptionsMenu 
</t>
  </si>
  <si>
    <t>mixpanel-mixpanel-android-320</t>
  </si>
  <si>
    <t>Crash in ViewCrawler with Mixpanel 4.7.0 and StrictMode</t>
  </si>
  <si>
    <t xml:space="preserve">Hello 
I have crash on the class com mixpanel android viewcrawler ViewCrawler  
It look s like have different behavior with different device : 
  Sony Xperia Z3 with android 5 1 don t crash 
  it crash on a yotaphone with Android 5 0
  it didn t crash on a Samsung S2 on Android 4 2
The stack : 
E StrictMode: null
          android app IntentReceiverLeaked: Activity my package ui LocationActivity has leaked IntentReceiver android hardware SystemSensorManager 1 3e827e66 that was originally registered here  Are you missing a call to unregisterReceiver() 
          at android app LoadedApk ReceiverDispatcher  init (LoadedApk java:898)
          at android app LoadedApk getReceiverDispatcher(LoadedApk java:699)
          at android app ContextImpl registerReceiverInternal(ContextImpl java:1638)
          at android app ContextImpl registerReceiver(ContextImpl java:1618)
          at android app ContextImpl registerReceiver(ContextImpl java:1612)
          at android content ContextWrapper registerReceiver(ContextWrapper java:488)
          at android hardware SystemSensorManager  init (SystemSensorManager java:81)
          at android app ContextImpl 31 createService(ContextImpl java:539)
          at android app ContextImpl ServiceFetcher getService(ContextImpl java:297)
          at android app ContextImpl getSystemService(ContextImpl java:1833)
          at android view ContextThemeWrapper getSystemService(ContextThemeWrapper java:113)
          at android app Activity getSystemService(Activity java:5067)
          at com mixpanel android viewcrawler ViewCrawler LifecycleCallbacks installConnectionSensor(ViewCrawler java:208)
          at com mixpanel android viewcrawler ViewCrawler LifecycleCallbacks onActivityResumed(ViewCrawler java:180)
          at android app Application dispatchActivityResumed(Application java:208)
          at android app Activity onResume(Activity java:1259)
          at android support v4 app FragmentActivity onResume(FragmentActivity java:438)
          at my package BuildTypeActivity onResume(BuildTypeActivity kt:36)
          at my package BaseActivity onResume(BaseActivity kt:31)
          at my package ui LocationActivity onResume(DetailActivity kt:641)
          at android app Instrumentation callActivityOnResume(Instrumentation java:1241)
          at android app Activity performResume(Activity java:6087)
          at android app ActivityThread performResumeActivity(ActivityThread java:2965)
          at android app ActivityThread handleResumeActivity(ActivityThread java:3007)
          at android app ActivityThread handleLaunchActivity(ActivityThread java:2363)
          at android app ActivityThread access 800(ActivityThread java:144)
          at android app ActivityThread H handleMessage(ActivityThread java:1278)
          at android os Handler dispatchMessage(Handler java:102)
          at android os Looper loop(Looper java:135)
          at android app ActivityThread main(ActivityThread java:5246)
          at java lang reflect Method invoke(Native Method)
          at java lang reflect Method invoke(Method java:372)
          at com android internal os ZygoteInit MethodAndArgsCaller run(ZygoteInit java:899)
          at com android internal os ZygoteInit main(ZygoteInit java:694)
Mixpanel version: 4 7 0 
FYI: We don t use sensors in our app 
Best regards 
Julien
</t>
  </si>
  <si>
    <t>oxoooo-pull-back-layout-4</t>
  </si>
  <si>
    <t>Crashes on zoomin and zoomout used with Touch Image View</t>
  </si>
  <si>
    <t xml:space="preserve">App crashes if zoomin then zoomout and again zoomin   
java lang ArrayIndexOutOfBoundsException: length 1  index 1
                                                                        at android support v4 widget ViewDragHelper shouldInterceptTouchEvent(ViewDragHelper java:1014)
                                                                        at ooo oxo library widget PullBackLayout onInterceptTouchEvent(PullBackLayout java:67)
                                                                        at android view ViewGroup dispatchTouchEvent(ViewGroup java:1960)
                                                                        at android view ViewGroup dispatchTransformedTouchEvent(ViewGroup java:2407)
                                                                        at android view ViewGroup dispatchTouchEvent(ViewGroup java:2106)
                                                                        at android view ViewGroup dispatchTransformedTouchEvent(ViewGroup java:2407)
                                                                        at android view ViewGroup dispatchTouchEvent(ViewGroup java:2106)
                                                                        at android view ViewGroup dispatchTransformedTouchEvent(ViewGroup java:2407)
                                                                        at android view ViewGroup dispatchTouchEvent(ViewGroup java:2106)
                                                                        at android view ViewGroup dispatchTransformedTouchEvent(ViewGroup java:2407)
                                                                        at android view ViewGroup dispatchTouchEvent(ViewGroup java:2106)
                                                                        at android view ViewGroup dispatchTransformedTouchEvent(ViewGroup java:2407)
                                                                        at android view ViewGroup dispatchTouchEvent(ViewGroup java:2106)
                                                                        at android view ViewGroup dispatchTransformedTouchEvent(ViewGroup java:2407)
                                                                        at android view ViewGroup dispatchTouchEvent(ViewGroup java:2106)
                                                                        at com android internal policy impl PhoneWindow DecorView superDispatchTouchEvent(PhoneWindow java:2369)
                                                                        at com android internal policy impl PhoneWindow superDispatchTouchEvent(PhoneWindow java:1719)
                                                                        at android app Activity dispatchTouchEvent(Activity java:2752)
                                                                        at android support v7 view WindowCallbackWrapper dispatchTouchEvent(WindowCallbackWrapper java:60)
                                                                        at com android internal policy impl PhoneWindow DecorView dispatchTouchEvent(PhoneWindow java:2330)
                                                                        at android view View dispatchPointerEvent(View java:8671)
                                                                        at android view ViewRootImpl ViewPostImeInputStage processPointerEvent(ViewRootImpl java:4193)
                                                                        at android view ViewRootImpl ViewPostImeInputStage onProcess(ViewRootImpl java:4059)
                                                                        at android view ViewRootImpl InputStage deliver(ViewRootImpl java:3604)
                                                                        at android view ViewRootImpl InputStage onDeliverToNext(ViewRootImpl java:3657)
                                                                        at android view ViewRootImpl InputStage forward(ViewRootImpl java:3623)
                                                                        at android view ViewRootImpl AsyncInputStage forward(ViewRootImpl java:3740)
                                                                        at android view ViewRootImpl InputStage apply(ViewRootImpl java:3631)
                                                                        at android view ViewRootImpl AsyncInputStage apply(ViewRootImpl java:3797)
                                                                        at android view ViewRootImpl InputStage deliver(ViewRootImpl java:3604)
                                                                        at android view ViewRootImpl InputStage onDeliverToNext(ViewRootImpl java:3657)
                                                                        at android view ViewRootImpl InputStage forward(ViewRootImpl java:3623)
                                                                        at android view ViewRootImpl InputStage apply(ViewRootImpl java:3631)
                                                                        at android view ViewRootImpl InputStage deliver(ViewRootImpl java:3604)
                                                                        at android view ViewRootImpl deliverInputEvent(ViewRootImpl java:5912)
                                                                        at android view ViewRootImpl doProcessInputEvents(ViewRootImpl java:5851)
                                                                        at android view ViewRootImpl enqueueInputEvent(ViewRootImpl java:5822)
                                                                        at android view ViewRootImpl WindowInputEventReceiver onInputEvent(ViewRootImpl java:6002)
                                                                        at android view InputEventReceiver dispatchInputEvent(InputEventReceiver java:192)
                                                                        at android view InputEventReceiver nativeConsumeBatchedInputEvents(Native Method)
                                                                        at android view InputEventReceiver consumeBatchedInputEvents(InputEventReceiver java:183)
                                                                        at android view ViewRootImpl doConsumeBatchedInput(ViewRootImpl java:5973)
                                                                        at android view ViewRootImpl ConsumeBatchedInputRunnable run(ViewRootImpl java:6025)
                                                                        at android view Choreographer CallbackRecord run(Choreographer java:767)
                                                                        at android view Choreographer doCallbacks(Choreographer java:580)
                                                                        at android view Choreographer doFrame(Choreographer java:548)
                                                                        at android view Choreographer FrameDisplayEventReceiver run(Choreographer java:753)
                                                                        at android os Handler handleCallback(Handler java:746)
                                                                        at android os Handler dispatchMessage(Handler java:95)
                                                                        at android os Looper loop(Looper java:135)
                                                                        at android app ActivityThread main(ActivityThread java:5343)
                                                                        at java lang reflect Method invoke(Native Me
</t>
  </si>
  <si>
    <t>vanilla-music-vanilla-282</t>
  </si>
  <si>
    <t>Crash due to lru cache</t>
  </si>
  <si>
    <t xml:space="preserve">As reported in  276 there is a crash when the lru pos cache attempts to set an invalid index:
02 03 12:08:31 106 21399 21399 E AndroidRuntime: Process: ch blinkenlights android vanilla  PID: 21399
02 03 12:08:31 106 21399 21399 E AndroidRuntime: java lang RuntimeException: Unable to instantiate application android app Application: java lang IllegalStateException: Unable to get package info for ch blinkenlights android vanilla  is package not installed 
02 03 12:08:31 106 21399 21399 E AndroidRuntime: Caused by: java lang IllegalStateException: Unable to get package info for ch blinkenlights android vanilla  is package not installed 
02 05 10:34:21 890  1233  1254 I MediaFocusControl:  AudioFocus  requestAudioFocus() from android media AudioManager 1c108f61ch blinkenlights android vanillanightly PlaybackService ad6e533
02 05 10:34:22 089 16560 16560 E MediaPlayer: Should have subtitle controller already set
02 05 10:34:22 089 16560 16586 E MediaPlayer: Should have subtitle controller already set
02 05 10:34:22 164 16560 16585 V RenderScript: Application requested CPU execution
02 05 10:34:22 199 16560 16585 V RenderScript: 0x7f9a171000 Launching thread(s)  CPUs 8
02 05 10:34:23 118 16560 16560 I Timeline: Timeline: Activity launch request id:ch blinkenlights android vanillanightly time:144788110
02 05 10:34:23 490  1233  1299 I ActivityManager: Displayed ch blinkenlights android vanillanightly  FullPlaybackActivity:  360ms
02 05 10:34:23 503 16560 16585 D OpenGLRenderer: endAllStagingAnimators on 0x7f97d93000 (RippleDrawable) with handle 0x7f9a1b3ae0
02 05 10:34:23 514 16560 16560 I Timeline: Timeline: Activity idle id: android os BinderProxy ac6363e time:144788506
02 05 10:34:23 693  1233  1299 I Timeline: Timeline: Activity windows visible id: ActivityRecord fa388c u0 ch blinkenlights android vanillanightly  FullPlaybackActivity t3811  time:144788686
02 05 10:34:41 786 16560 20084 W MediaPlayer: info warning (2  0)
02 05 10:34:41 911 16560 16560 E MediaPlayer: Should have subtitle controller already set
02 05 10:34:41 911 16560 16586 E MediaPlayer: Should have subtitle controller already set
02 05 10:34:44 495 16560 16586 V VanillaMusic: performGC: items removed 0
02 05 10:35:21 941  1735  1735 W PackageManager: Failure retrieving resources for ch blinkenlights android vanillanightly: Resource ID  0x0
02 05 10:35:43 466  1233  1299 I ActivityManager: Displayed ch blinkenlights android vanillanightly  LibraryActivity:  176ms
02 05 10:35:43 466  1233  1299 I Timeline: Timeline: Activity windows visible id: ActivityRecord 2f6ce4a2 u0 ch blinkenlights android vanillanightly  LibraryActivity t3822  time:144868458
02 05 10:35:43 523 16560 16560 I Timeline: Timeline: Activity idle id: android os BinderProxy c93e3a1 time:144868516
02 05 10:35:45 002 16560 16560 I Timeline: Timeline: Activity launch request id:ch blinkenlights android vanillanightly time:144869994
02 05 10:35:45 175 16560 16560 I Timeline: Timeline: Activity idle id: android os BinderProxy eaa384e time:144870167
02 05 10:35:45 181  1233  1299 I ActivityManager: Displayed ch blinkenlights android vanillanightly  FullPlaybackActivity:  171ms
02 05 10:35:45 183 16560 16585 D OpenGLRenderer: endAllStagingAnimators on 0x7f9c462800 (RippleDrawable) with handle 0x7f9a1b3920
02 05 10:35:45 426  1233  1299 I Timeline: Timeline: Activity windows visible id: ActivityRecord 2e9a136f u0 ch blinkenlights android vanillanightly  FullPlaybackActivity t3822  time:144870418
02 05 10:35:51 842 16560 16560 W InputEventReceiver: Attempted to finish an input event but the input event receiver has already been disposed 
02 05 10:35:51 844 16560 16560 W InputEventReceiver: Attempted to finish an input event but the input event receiver has already been disposed 
02 05 10:35:54 199 16560 16560 I Timeline: Timeline: Activity launch request id:ch blinkenlights android vanillanightly time:144879191
02 05 10:35:54 347 16560 16585 D OpenGLRenderer: endAllStagingAnimators on 0x7f97004000 (RippleDrawable) with handle 0x7f97da75a0
02 05 10:35:54 357 16560 16560 I Timeline: Timeline: Activity idle id: android os BinderProxy c93e3a1 time:144879350
02 05 10:35:54 488  1233  1299 I Timeline: Timeline: Activity windows visible id: ActivityRecord 2f6ce4a2 u0 ch blinkenlights android vanillanightly  LibraryActivity t3822  time:144879480
02 05 10:35:57 900 16560 16560 D AndroidRuntime: Shutting down VM
02 05 10:35:57 900 16560 16560 E AndroidRuntime: FATAL EXCEPTION: main
02 05 10:35:57 900 16560 16560 E AndroidRuntime: Process: ch blinkenlights android vanillanightly  PID: 16560
02 05 10:35:57 900 16560 16560 E AndroidRuntime: android database CursorIndexOutOfBoundsException: Index 1 requested  with a size of 1
02 05 10:35:57 900 16560 16560 E AndroidRuntime:    at android database AbstractCursor checkPosition(AbstractCursor java:426)
02 05 10:35:57 900 16560 16560 E AndroidRuntime:    at android database AbstractWindowedCursor checkPosition(AbstractWindowedCursor java:136)
02 05 10:35:57 900 16560 16560 E AndroidRuntime:    at android database AbstractWindowedCursor getLong(AbstractWindowedCursor java:74)
02 05 10:35:57 900 16560 16560 E AndroidRuntime:    at android database CursorWrapper getLong(CursorWrapper java:106)
02 05 10:35:57 900 16560 16560 E AndroidRuntime:    at ch blinkenlights android vanillanightly MediaAdapter getItemId(MediaAdapter java:623)
02 05 10:35:57 900 16560 16560 E AndroidRuntime:    at android widget AbsListView setSelectionFromTop(AbsListView java:6848)
02 05 10:35:57 900 16560 16560 E AndroidRuntime:    at android widget ListView setSelection(ListView java:1988)
02 05 10:35:57 900 16560 16560 E AndroidRuntime:    at ch blinkenlights android vanillanightly LibraryPagerAdapter handleMessage(LibraryPagerAdapter java:658)
02 05 10:35:57 900 16560 16560 E AndroidRuntime:    at android os Handler dispatchMessage(Handler java:98)
02 05 10:35:57 900 16560 16560 E AndroidRuntime:    at android os Looper loop(Looper java:211)
02 05 10:35:57 900 16560 16560 E AndroidRuntime:    at android app ActivityThread main(ActivityThread java:5335)
02 05 10:35:57 900 16560 16560 E AndroidRuntime:    at java lang reflect Method invoke(Native Method)
02 05 10:35:57 900 16560 16560 E AndroidRuntime:    at java lang reflect Method invoke(Method java:372)
02 05 10:35:57 900 16560 16560 E AndroidRuntime:    at com android internal os ZygoteInit MethodAndArgsCaller run(ZygoteInit java:1016)
02 05 10:35:57 900 16560 16560 E AndroidRuntime:    at com android internal os ZygoteInit main(ZygoteInit java:811)
02 05 10:35:57 933   586   586 I JavaDumper: JavaDumperThread: addEvent: data app crash 1454628957932 txt processName: ch blinkenlights android vanillanightly
02 05 10:37:49 585 16560 16560 I Process : Sending signal  PID: 16560 SIG: 9
02 05 10:37:49 720 11964 11964 D AudioManager: updateMediaPlayerList: Remove RCC ch blinkenlights android vanillanightly from List
02 05 10:37:49 721 17469 11937 W AudioFlinger: session id 97 not found for pid 16560
02 05 10:37:49 803  1233  2202 V AudioService: Player entry for ch blinkenlights android vanilla is not present
02 05 10:37:49 803  1233  2202 E AudioService: Removing Player: ch blinkenlights android vanillanightly from index2
02 05 10:37:52 010  2366  2366 I Timeline: Timeline: Activity launch request id:ch blinkenlights android vanillanightly time:144997002
02 05 10:37:52 317 11964 11964 V RemoteController: Updating current controller package as ch blinkenlights android vanillanightly from null
02 05 10:37:52 323 11964 11964 D AudioManager: updateMediaPlayerList: Add RCC ch blinkenlights android vanillanightly to List
02 05 10:37:52 325  1233  2316 E AudioService: Player: ch blinkenlights android vanillaLost Focus
02 05 10:37:52 325  1233  2316 E AudioService: Adding Player: ch blinkenlights android vanillanightly to available player list
02 05 10:37:52 326  1233  2316 V AudioService: updating focussed RCC change to RCD: CallingPackageName:ch blinkenlights android vanillanightly
02 05 10:37:52 463  1233  1299 I ActivityManager: Displayed ch blinkenlights android vanillanightly  LibraryActivity:  441ms
02 05 10:37:52 464  1233  1299 I Timeline: Timeline: Activity windows visible id: ActivityRecord 1b710521 u0 ch blinkenlights android vanillanightly  LibraryActivity t3823  time:144997456
02 05 10:37:53 792 13711 13711 I Timeline: Timeline: Activity launch request id:ch blinkenlights android vanillanightly time:144998784
02 05 10:37:53 998  1233  1299 I ActivityManager: Displayed ch blinkenlights android vanillanightly  FullPlaybackActivity:  183ms
02 05 10:37:54 207  1233  1299 I Timeline: Timeline: Activity windows visible id: ActivityRecord c303aef u0 ch blinkenlights android vanillanightly  FullPlaybackActivity t3823  time:144999199
02 05 10:37:55 198  1233  1299 I Timeline: Timeline: Activity windows visible id: ActivityRecord 1b710521 u0 ch blinkenlights android vanillanightly  LibraryActivity t3823  time:145000191
02 05 10:38:03 971 13711 13711 I Timeline: Timeline: Activity launch request id:ch blinkenlights android vanillanightly time:145008964
02 05 10:38:04 165  1233  1299 I ActivityManager: Displayed ch blinkenlights android vanillanightly  FullPlaybackActivity:  180ms
02 05 10:38:04 366  1233  1299 I Timeline: Timeline: Activity windows visible id: ActivityRecord 7644a3a u0 ch blinkenlights android vanillanightly  FullPlaybackActivity t3823  time:145009358
02 05 10:38:04 771  1233  1832 I MediaFocusControl:  AudioFocus  requestAudioFocus() from android media AudioManager 3f438410ch blinkenlights android vanillanightly PlaybackService 3bfb4fec
02 05 10:38:08 514  1233  1299 I Timeline: Timeline: Activity windows visible id: ActivityRecord 1b710521 u0 ch blinkenlights android vanillanightly  LibraryActivity t3823  time:145013506
02 05 10:38:44 272 13711 13711 I Timeline: Timeline: Activity launch request id:ch blinkenlights android vanillanightly time:145049265
02 05 10:38:44 485  1233  1299 I ActivityManager: Displayed ch blinkenlights android vanillanightly  FullPlaybackActivity:  199ms
02 05 10:38:44 693  1233  1299 I Timeline: Timeline: Activity windows visible id: ActivityRecord 152f5813 u0 ch blinkenlights android vanillanightly  FullPlaybackActivity t3823  time:145049685
02 05 10:38:48 246  1233  1299 I Timeline: Timeline: Activity windows visible id: ActivityRecord 1b710521 u0 ch blinkenlights android vanillanightly  LibraryActivity t3823  time:145053239
02 05 10:42:25 444 13711 13737 V VanillaMusic: performGC: items removed 0
</t>
  </si>
  <si>
    <t>open-keychain-open-keychain-1714</t>
  </si>
  <si>
    <t>Crash when using a key over 1MB (edward-en@fsf.org)</t>
  </si>
  <si>
    <t xml:space="preserve">OpenKeychain 3 8 2  (38200) regularly crashes on Android 4 4 4 when I try to visualize details of a certain contact  It also crashes when in K 9 email client I try to open messages signed or encrypted by this contact 
The app doesn t crash with other contacts 
The contact is edward en fsf org aka  Edward the GPG Bot  (it s a  public email service (https:  emailselfdefense fsf org en  section3) mentioned in a FSF guide to GPG)  
I don t know much about this but I note that  unlike my other OpenKeychain contacts  this User ID of this key includes many international characters:
http:  pgp mit edu pks lookup search edward en 40fsf org op index
</t>
  </si>
  <si>
    <t>square-okhttp-2323</t>
  </si>
  <si>
    <t>Unable to extract the trust manager</t>
  </si>
  <si>
    <t xml:space="preserve">Hi 
after upgrading from OkHttp 3 0 1 to 3 1 0 I get the following stack trace and crash after calling build() to create a OkHttpClient 
java lang IllegalStateException: Unable to extract the trust manager on okhttp3 internal Platform Android 1d8cf999  sslSocketFactory is class com google android gms org conscrypt KitKatPlatformOpenSSLSocketAdapterFactory
                                                                        at okhttp3 OkHttpClient  init (OkHttpClient java:187)
                                                                        at okhttp3 OkHttpClient  init (OkHttpClient java:60)
                                                                        at okhttp3 OkHttpClient Builder build(OkHttpClient java:719)
This issue was not present in 3 0 1 
Here s where the crash happens:
OkHttpClient Builder builder   new OkHttpClient Builder()
                     connectTimeout(10  TimeUnit SECONDS)
                     writeTimeout(10  TimeUnit SECONDS)
                     readTimeout(30  TimeUnit SECONDS) 
            OkHttpClient client   builder build() 
</t>
  </si>
  <si>
    <t>ucsdCSE110wi16-CSE110M240T16-2</t>
  </si>
  <si>
    <t>Events can be created when passwords don't match</t>
  </si>
  <si>
    <t xml:space="preserve">  Nature of bug  
The app allows people to still create events when the passwords don t match 
Then  at the hub menu  if you tap create event  the app crashes
  Desired behaviour  
User is not supposed to be able to create an account if the passwords do not match
  Bug type  
Event Handling
  Severity  
Medium
</t>
  </si>
  <si>
    <t>zhuowei-MCPELauncher-609</t>
  </si>
  <si>
    <t>0.13.2 Crash Issue</t>
  </si>
  <si>
    <t xml:space="preserve">I m on a Rooted Amazon Fire HD 7 Fire OS 5 0 1 Every Time I install a mod  or 2 texture packs  BlockLauncher repeatedly crashes  even in safe mode  And even when I uninstall the mods texture packs addons it still crashes  What do I do  Thanks 
</t>
  </si>
  <si>
    <t>OneDrive-onedrive-sdk-android-48</t>
  </si>
  <si>
    <t>java.lang.NullPointerException: Attempt to invoke virtual method 'com.onedrive.sdk.authentication.AccountType</t>
  </si>
  <si>
    <t xml:space="preserve">When using both MSAAuthenticator and ADALAuthenticator an account needs to be entered first  If the user leaves without entering an account (e g  press back)  the OneDriveClient crashes:
02 09 14:33:25 573 24379 26108 E AndroidRuntime: java lang NullPointerException: Attempt to invoke virtual method  com onedrive sdk authentication AccountType c
om onedrive sdk authentication DisambiguationResponse getAccountType()  on a null object reference
02 09 14:33:25 573 24379 26108 E AndroidRuntime:        at com onedrive sdk authentication DisambiguationAuthenticator login(DisambiguationAuthenticator java:18
6)
02 09 14:33:25 573 24379 26108 E AndroidRuntime:        at com onedrive sdk extensions OneDriveClient Builder loginAndBuildClient(OneDriveClient java:172)
02 09 14:33:25 573 24379 26108 E AndroidRuntime:        at com onedrive sdk extensions OneDriveClient Builder 1 run(OneDriveClient java:147)
02 09 14:33:25 573 24379 26108 E AndroidRuntime:        at java util concurrent ThreadPoolExecutor runWorker(ThreadPoolExecutor java:1113)
02 09 14:33:25 573 24379 26108 E AndroidRuntime:        at java util concurrent ThreadPoolExecutor Worker run(ThreadPoolExecutor java:588)
02 09 14:33:25 573 24379 26108 E AndroidRuntime:        at java lang Thread run(Thread java:818)
Since this is an asynchronous call  this can t be caught and will crash the app  I guess this would also happen if the user has more than one regular OneDrive account (not OneDrive Business) 
If others have the same issue  here s a workaround:
Make a copy of the DefaultClientConfig and the DisambiguationAuthenticator  Use the DisambiguationAuthenticator in the new DefaultClientConfig  instead of the one included with the SDK  Override the login method in the new DisambiguationAuthenticator:
     Override
    public synchronized IAccountInfo login(final String emailAddressHint) throws ClientException  
        try  
            return super login(emailAddressHint) 
        catch (Exception ignore)   
        return null 
</t>
  </si>
  <si>
    <t>konifar-droidkaigi2016-108</t>
  </si>
  <si>
    <t>Fix issue of don't keep activities</t>
  </si>
  <si>
    <t xml:space="preserve">   Related issue
 95
   Problem
  When I opened a detail screen of a talk and go back to the  All Sessions  screen with the back button  the app crashed and logged below stack trace 
   Cause
Crash point is  SessionsFragment java L175 (https:  github com konifar droidkaigi2016 blob master app src main java io github droidkaigi confsched fragment SessionsFragment java L175) 
 SessionsFragment onActivityResult()  is unnecessary  FragmentActivity calls onActivityResult() of the child Fragment automatically  So  you should using the Fragment startActivityForResult()  
   Solution
  044e13c Initialize a fragment only when savedInstanceState of the Activity is null 
  965a857 Use Fragment startActivityForResult()  I added the method for Fragment startActivityForResult() to ActivityNavigator 
  e8b3245 Remove unnecessary codes 
   Tests
Verified the following:
   x  With  Don t keep activities  on  I opened a session detail and added it to my schedule and return back to the All Sessions to see the session was checked
   x  With  Don t keep activities  off  I opened a session detail and added it to my schedule and return back to the All Sessions to see the session was checked
</t>
  </si>
  <si>
    <t>code-troopers-android-betterpickers-254</t>
  </si>
  <si>
    <t>fix for: java.lang.NullPointerException: Attempt to get length of null array</t>
  </si>
  <si>
    <t xml:space="preserve">HowTo reproduce:
0) set flag don t keep activities to true(in developers settings)
1) open any number picker
2) press home button
3) open app again
crash logs:
java lang RuntimeException: Unable to start activity ComponentInfo com codetroopers betterpickersapp com codetroopers betterpickers sample activity numberpicker SampleNumberBasicUsage : java lang NullPointerException: Attempt to get length of null array
                                                                                     at android app ActivityThread performLaunchActivity(ActivityThread java:2416)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NullPointerException: Attempt to get length of null array
                                                                                     at android os Parcel readIntArray(Parcel java:921)
                                                                                     at com codetroopers betterpickers numberpicker NumberPicker SavedState  init (NumberPicker java:607)
                                                                                     at com codetroopers betterpickers numberpicker NumberPicker SavedState  init (NumberPicker java:592)
                                                                                     at com codetroopers betterpickers numberpicker NumberPicker SavedState 1 createFromParcel(NumberPicker java:629)
                                                                                     at com codetroopers betterpickers numberpicker NumberPicker SavedState 1 createFromParcel(NumberPicker java:627)
                                                                                     at android os Parcel readParcelable(Parcel java:2367)
                                                                                     at android os Parcel readValue(Parcel java:2264)
                                                                                     at android os Parcel readSparseArrayInternal(Parcel java:2675)
                                                                                     at android os Parcel readSparseArray(Parcel java:1967)
                                                                                     at android os Parcel readValue(Parcel java:2321)
                                                                                     at android os Parcel readArrayMapInternal(Parcel java:2614)
                                                                                     at android os BaseBundle unparcel(BaseBundle java:221)
                                                                                     at android os Bundle getSparseParcelableArray(Bundle java:856)
                                                                                     at android support v4 app FragmentManagerImpl moveToState(FragmentManager java:997)
                                                                                     at android support v4 app FragmentManagerImpl moveToState(FragmentManager java:1248)
                                                                                     at android support v4 app FragmentManagerImpl moveToState(FragmentManager java:1230)
                                                                                     at android support v4 app FragmentManagerImpl dispatchCreate(FragmentManager java:2037)
                                                                                     at android support v4 app FragmentController dispatchCreate(FragmentController java:154)
                                                                                     at android support v4 app FragmentActivity onCreate(FragmentActivity java:289)
                                                                                     at android support v7 app AppCompatActivity onCreate(AppCompatActivity java:61)
                                                                                     at com codetroopers betterpickers sample activity BaseSampleActivity onCreate(BaseSampleActivity java:11)
                                                                                     at com codetroopers betterpickers sample activity numberpicker SampleNumberBasicUsage onCreate(SampleNumberBasicUsage java:26)
                                                                                     at android app Activity performCreate(Activity java:6251)
                                                                                     at android app Instrumentation callActivityOnCreate(Instrumentation java:1107)
                                                                                     at android app ActivityThread performLaunchActivity(ActivityThread java:2369)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</si>
  <si>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shoutit-shoutit-android-60</t>
  </si>
  <si>
    <t xml:space="preserve">Crash during signup </t>
  </si>
  <si>
    <t xml:space="preserve">Steps: 
Sing up Log in with E mail    Sign up    fill all the fields  the crash happens after typing the password 
</t>
  </si>
  <si>
    <t>k9mail-k-9-1079</t>
  </si>
  <si>
    <t>Opening no-more-existent mail crashes K9</t>
  </si>
  <si>
    <t xml:space="preserve">Did delete a Mail from my IMAP account while my device running K9 had no internet connection  Then (once the device was connected to the internet again) tried to open this Mail    Crash 
Might this be the root cause of Bug  814 
    Expected behaviour
If I try to open a no more existing mail I would expect to be returned to the current thread and  if the current thread does no more exist  as well  to the inbox 
    Actual behaviour
K9 sometimes (about 10  of the time) crashes
    Steps to reproduce
1  Use an IMAP account 
2  Make sure that K9 cannot see immediately that an e mail has been deleted
3  Delete an E Mail from outside K9
4  Try to open this E Mail using K9 
    Environment
K 9 Mail version:
Android version:
Account type (IMAP  POP3  WebDAV Exchange):
Thanks a lot 
and kind regards 
 Gunter
</t>
  </si>
  <si>
    <t>konifar-droidkaigi2016-95</t>
  </si>
  <si>
    <t>IndexOutOfBoundsException occurs when open a detail screen and back to the home screen</t>
  </si>
  <si>
    <t xml:space="preserve">   Description
When I opened a detail screen of a talk and go back to the  All Sessions  screen with the back button  the app crashed and logged below stack trace 
    java
  java lang RuntimeException: Unable to resume activity  io github droidkaigi confsched develop debug io github droidkaigi confsched activity MainActivity : java lang RuntimeException: Failure delivering result ResultInfo who null  request 1  result 0  data null  to activity  io github droidkaigi confsched develop debug io github droidkaigi confsched activity MainActivity : java lang IndexOutOfBoundsException: Invalid index 0  size is 0
      at android app ActivityThread performResumeActivity(ActivityThread java:3103)
      at android app ActivityThread handleResumeActivity(ActivityThread java:3134)
      at android app ActivityThread handleLaunchActivity(ActivityThread java:2481)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RuntimeException: Failure delivering result ResultInfo who null  request 1  result 0  data null  to activity  io github droidkaigi confsched develop debug io github droidkaigi confsched activity MainActivity : java lang IndexOutOfBoundsException: Invalid index 0  size is 0
      at android app ActivityThread deliverResults(ActivityThread java:3699)
      at android app ActivityThread performResumeActivity(ActivityThread java:3089)
          10 more
  Caused by: java lang IndexOutOfBoundsException: Invalid index 0  size is 0
      at java util ArrayList throwIndexOutOfBoundsException(ArrayList java:255)
      at java util ArrayList get(ArrayList java:308)
      at io github droidkaigi confsched fragment SessionsFragment SessionsPagerAdapter getItem(SessionsFragment java:190)
      at io github droidkaigi confsched fragment SessionsFragment onActivityResult(SessionsFragment java:175)
      at io github droidkaigi confsched activity MainActivity onActivityResult(MainActivity java:150)
      at android app Activity dispatchActivityResult(Activity java:6428)
      at android app ActivityThread deliverResults(ActivityThread java:3695)
          11 more
   Environment
Nexus 5X (Android 6 0)  emulator
   Build
87acd0a Resolve conflict   89
   Steps to reproduce
1  Turn on  Don t keep activities  on a Debug Setting
2  Launch the app
3  Tap any talk to open the detail screen of the session
4  Tap Back button to go back to the previous screen
   Result
At step 4  the app crashed 
   Expected result
At step 4  the app doesn t crash and show the previous screen
</t>
  </si>
  <si>
    <t>commons-app-apps-android-commons-56</t>
  </si>
  <si>
    <t>NullPointerException at MwVolleyApi$Query.toString</t>
  </si>
  <si>
    <t xml:space="preserve"> misaochan is it related to the new code 
USER COMMENT when uploading a photo application has been crashed  why this problem   i unistall and reinstall app but problems not solve  please fix it 
ANDROID VERSION 5 1 1
APP VERSION NAME 1 8
BRAND samsung
PHONE MODEL SM J200G
CUSTOM DATA 
STACK TRACE java lang NullPointerException: Attempt to get length of null array
at fr free nrw commons upload MwVolleyApi Query toString(MwVolleyApi java:199)
at fr free nrw commons upload MwVolleyApi QueryResponse toString(MwVolleyApi java:186)
at fr free nrw commons upload MwVolleyApi LogResponseListener onResponse(MwVolleyApi java:112)
at com android volley toolbox JsonRequest deliverResponse(JsonRequest java:65)
at com android volley ExecutorDelivery ResponseDeliveryRunnable run(ExecutorDelivery java:99)
at android os Handler handleCallback(Handler java:739)
at android os Handler dispatchMessage(Handler java:95)
at android os Looper loop(Looper java:145)
at android app ActivityThread main(ActivityThread java:6946)
at java lang reflect Method invoke(Native Method)
at java lang reflect Method invoke(Method java:372)
at com android internal os ZygoteInit MethodAndArgsCaller run(ZygoteInit java:1404)
at com android internal os ZygoteInit main(ZygoteInit java:1199)
</t>
  </si>
  <si>
    <t>ashqal-ChromeLikeSwipeLayout-7</t>
  </si>
  <si>
    <t>onNestedPreFling throws error for projects that have minSDK &lt; 21</t>
  </si>
  <si>
    <t xml:space="preserve">So I was testing on an older phone (api 15) and used the library and unfortunately it crashes on fling with the following stacktrace:
02 08 17:36:44 324 20427 20427 E AndroidRuntime: FATAL EXCEPTION: main
                                                                      Process: com adhoclabs burner  PID: 20427
                                                                      java lang NoSuchMethodError: android view ViewGroup onNestedPreFling
                                                                          at com asha ChromeLikeSwipeLayout onNestedPreFling(ChromeLikeSwipeLayout java:578)
                                                                          at android support v4 view ViewParentCompat ViewParentCompatStubImpl onNestedPreFling(ViewParentCompat java:124)
                                                                          at android support v4 view ViewParentCompat onNestedPreFling(ViewParentCompat java:404)
                                                                          at android support v4 view NestedScrollingChildHelper dispatchNestedPreFling(NestedScrollingChildHelper java:252)
                                                                          at android support v7 widget RecyclerView dispatchNestedPreFling(RecyclerView java:8675)
                                                                          at android support v7 widget RecyclerView fling(RecyclerView java:1797)
                                                                          at android support v7 widget RecyclerView onTouchEvent(RecyclerView java:2437)
                                                                          at android view View dispatchTouchEvent(View java:7782)
                                                                          at android view ViewGroup dispatchTransformedTouchEvent(ViewGroup java:2316)
                                                                          at android view ViewGroup dispatchTouchEvent(ViewGroup java:2013)
Looks like we might need to do a version check before call  super   for  onNestedFling  and  onNestedPreFling  
</t>
  </si>
  <si>
    <t>hidroh-materialistic-373</t>
  </si>
  <si>
    <t>Preferences.java line 90</t>
  </si>
  <si>
    <t xml:space="preserve">     in io github hidroh materialistic Preferences isListItemCardView
  Number of crashes: 1
  Impacted devices: 1
There s a lot more information about this crash on crashlytics com:
 https:  fabric io ha duy trungs projects android apps io github hidroh materialistic issues 56bb8434f5d3a7f76bba6d8a (https:  fabric io ha duy trungs projects android apps io github hidroh materialistic issues 56bb8434f5d3a7f76bba6d8a)
</t>
  </si>
  <si>
    <t>brarcher-loyalty-card-locker-12</t>
  </si>
  <si>
    <t>6.01 - Crash when accessing camera</t>
  </si>
  <si>
    <t xml:space="preserve">The app must be given permission to use the camera in Settings    Apps    Loyalty Card    Permissions  If not the app crashes when scanning in a new card via camera  
I wasn t sure if this was by design  but I wanted to report it for others 
</t>
  </si>
  <si>
    <t>Flaredown-FlaredownAndroid-11</t>
  </si>
  <si>
    <t>Null pointer crash when creating a new trackable</t>
  </si>
  <si>
    <t xml:space="preserve">When adding a new trackable in the app  once a trackable has been selected from the search a null pointer error would occur  causing the application to crash 
Due to the EditEditables dialog returning the value to the incorrect function 
</t>
  </si>
  <si>
    <t>konifar-droidkaigi2016-133</t>
  </si>
  <si>
    <t>Crash occurred when launching with no internet connection</t>
  </si>
  <si>
    <t xml:space="preserve">    Steps to Reproduce
  Put device into Airplane mode
  Install app and launch
    Stack trace
02 11 16:39:25 206 17481 17481   E SessionsFragment: Load failed
                                                     retrofit2 HttpException: HTTP 504 Unsatisfiable Request (only if cached)
                                                         at retrofit2 RxJavaCallAdapterFactory SimpleCallAdapter 1 call(RxJavaCallAdapterFactory java:159)
                                                         at retrofit2 RxJavaCallAdapterFactory SimpleCallAdapter 1 call(RxJavaCallAdapterFactory java:154)
                                                         at rx internal operators OperatorMap 1 onNext(OperatorMap java:54)
                                                         at retrofit2 RxJavaCallAdapterFactory CallOnSubscribe call(RxJavaCallAdapterFactory java:109)
                                                         at retrofit2 RxJavaCallAdapterFactory CallOnSubscribe call(RxJavaCallAdapterFactory java:88)
                                                         at rx Observable 2 call(Observable java:162)
                                                         at rx Observable 2 call(Observable java:154)
                                                         at rx Observable 2 call(Observable java:162)
                                                         at rx Observable 2 call(Observable java:154)
                                                         at rx Observable 2 call(Observable java:162)
                                                         at rx Observable 2 call(Observable java:154)
                                                         at rx Observable unsafeSubscribe(Observable java:8098)
                                                         at rx internal operators OperatorMerge MergeSubscriber onNext(OperatorMerge java:232)
                                                         at rx internal operators OperatorMerge MergeSubscriber onNext(OperatorMerge java:142)
                                                         at rx internal operators OperatorMap 1 onNext(OperatorMap java:54)
                                                         at rx internal producers SingleDelayedProducer emit(SingleDelayedProducer java:102)
                                                         at rx internal producers SingleDelayedProducer setValue(SingleDelayedProducer java:85)
                                                         at rx internal operators OperatorToObservableList 1 onCompleted(OperatorToObservableList java:93)
                                                         at rx internal operators OperatorMap 1 onCompleted(OperatorMap java:43)
                                                         at com github gfx android orma Selector 3 call(Selector java:257)
                                                         at com github gfx android orma Selector 3 call(Selector java:248)
                                                         at rx Observable 2 call(Observable java:162)
                                                         at rx Observable 2 call(Observable java:154)
                                                         at rx Observable 2 call(Observable java:162)
                                                         at rx Observable 2 call(Observable java:154)
                                                         at rx Observable 2 call(Observable java:162)
                                                         at rx Observable 2 call(Observable java:154)
                                                         at rx Observable 2 call(Observable java:162)
                                                         at rx Observable 2 call(Observable java:154)
                                                         at rx Observable unsafeSubscribe(Observable java:8098)
                                                         at rx internal operators OperatorSubscribeOn 1 1 call(OperatorSubscribeOn java:62)
                                                         at rx internal schedulers ScheduledAction run(ScheduledAction java:55)
                                                         at java util concurrent Executors RunnableAdapter call(Executors java:390)
                                                         at java util concurrent FutureTask run(FutureTask java:234)
                                                         at java util concurrent ScheduledThreadPoolExecutor ScheduledFutureTask access 201(ScheduledThreadPoolExecutor java:153)
                                                         at java util concurrent ScheduledThreadPoolExecutor ScheduledFutureTask run(ScheduledThreadPoolExecutor java:267)
                                                         at java util concurrent ThreadPoolExecutor runWorker(ThreadPoolExecutor java:1080)
                                                         at java util concurrent ThreadPoolExecutor Worker run(ThreadPoolExecutor java:573)
                                                         at java lang Thread run(Thread java:841)
02 11 16:39:33 214 17481 17481 io github droidkaigi confsched develop debug E CrashlyticsCore: Failed to execute task 
                                                                                               java util concurrent TimeoutException
                                                                                                   at java util concurrent FutureTask get(FutureTask java:173)
                                                                                                   at com crashlytics android core CrashlyticsExecutorServiceWrapper executeSyncLoggingException(CrashlyticsExecutorServiceWrapper java:44)
                                                                                                   at com crashlytics android core CrashlyticsUncaughtExceptionHandler uncaughtException(CrashlyticsUncaughtExceptionHandler java:235)
                                                                                                   at com google android gms analytics ExceptionReporter uncaughtException(Unknown Source)
                                                                                                   at java lang ThreadGroup uncaughtException(ThreadGroup java:693)
                                                                                                   at java lang ThreadGroup uncaughtException(ThreadGroup java:690)
                                                                                                   at rx internal schedulers ScheduledAction run(ScheduledAction java:66)
                                                                                                   at android os Handler handleCallback(Handler java:730)
                                                                                                   at android os Handler dispatchMessage(Handler java:92)
                                                                                                   at android os Looper loop(Looper java:137)
                                                                                                   at android app ActivityThread main(ActivityThread java:5103)
                                                                                                   at java lang reflect Method invokeNative(Native Method)
                                                                                                   at java lang reflect Method invoke(Method java:525)
                                                                                                   at com android internal os ZygoteInit MethodAndArgsCaller run(ZygoteInit java:737)
                                                                                                   at com android internal os ZygoteInit main(ZygoteInit java:553)
                                                                                                   at dalvik system NativeStart main(Native Method)
02 11 16:39:33 214 17481 17481 io github droidkaigi confsched develop debug E AndroidRuntime: FATAL EXCEPTION: main
                                                                                              java lang IllegalStateException: Exception thrown on Scheduler Worker thread  Add  onError  handling 
                                                                                                  at rx internal schedulers ScheduledAction run(ScheduledAction java:60)
                                                                                                  at android os Handler handleCallback(Handler java:730)
                                                                                                  at android os Handler dispatchMessage(Handler java:92)
                                                                                                  at android os Looper loop(Looper java:137)
                                                                                                  at android app ActivityThread main(ActivityThread java:5103)
                                                                                                  at java lang reflect Method invokeNative(Native Method)
                                                                                                  at java lang reflect Method invoke(Method java:525)
                                                                                                  at com android internal os ZygoteInit MethodAndArgsCaller run(ZygoteInit java:737)
                                                                                                  at com android internal os ZygoteInit main(ZygoteInit java:553)
                                                                                                  at dalvik system NativeStart main(Native Method)
                                                                                               Caused by: rx exceptions OnErrorNotImplementedException: HTTP 504 Unsatisfiable Request (only if cached)
                                                                                                  at rx Observable 26 onError(Observable java:7881)
                                                                                                  at rx observers SafeSubscriber  onError(SafeSubscriber java:159)
                                                                                                  at rx observers SafeSubscriber onError(SafeSubscriber java:120)
                                                                                                  at rx internal operators OperatorObserveOn ObserveOnSubscriber pollQueue(OperatorObserveOn java:191)
                                                                                                  at rx internal operators OperatorObserveOn ObserveOnSubscriber 2 call(OperatorObserveOn java:162)
                                                                                                  at rx internal schedulers ScheduledAction run(ScheduledAction java:55)
                                                                                                  at android os Handler handleCallback(Handler java:730) 
                                                                                                  at android os Handler dispatchMessage(Handler java:92) 
                                                                                                  at android os Looper loop(Looper java:137) 
                                                                                                  at android app ActivityThread main(ActivityThread java:5103) 
                                                                                                  at java lang reflect Method invokeNative(Native Method) 
                                                                                                  at java lang reflect Method invoke(Method java:525) 
                                                                                                  at com android internal os ZygoteInit MethodAndArgsCaller run(ZygoteInit java:737) 
                                                                                                  at com android internal os ZygoteInit main(ZygoteInit java:553) 
                                                                                                  at dalvik system NativeStart main(Native Method) 
                                                                                               Caused by: retrofit2 HttpException: HTTP 504 Unsatisfiable Request (only if cached)
                                                                                                  at retrofit2 RxJavaCallAdapterFactory SimpleCallAdapter 1 call(RxJavaCallAdapterFactory java:159)
                                                                                                  at retrofit2 RxJavaCallAdapterFactory SimpleCallAdapter 1 call(RxJavaCallAdapterFactory java:154)
                                                                                                  at rx internal operators OperatorMap 1 onNext(OperatorMap java:54)
                                                                                                  at retrofit2 RxJavaCallAdapterFactory CallOnSubscribe call(RxJavaCallAdapterFactory java:109)
                                                                                                  at retrofit2 RxJavaCallAdapterFactory CallOnSubscribe call(RxJavaCallAdapterFactory java:88)
                                                                                                  at rx Observable 2 call(Observable java:162)
                                                                                                  at rx Observable 2 call(Observable java:154)
                                                                                                  at rx Observable 2 call(Observable java:162)
                                                                                                  at rx Observable 2 call(Observable java:154)
                                                                                                  at rx Observable 2 call(Observable java:162)
                                                                                                  at rx Observable 2 call(Observable java:154)
                                                                                                  at rx Observable unsafeSubscribe(Observable java:8098)
                                                                                                  at rx internal operators OperatorSubscribeOn 1 1 call(OperatorSubscribeOn java:62)
                                                                                                  at rx internal schedulers ScheduledAction run(ScheduledAction java:55)
                                                                                                  at java util concurrent Executors RunnableAdapter call(Executors java:390)
                                                                                                  at java util concurrent FutureTask run(FutureTask java:234)
                                                                                                  at java util concurrent ScheduledThreadPoolExecutor ScheduledFutureTask access 201(ScheduledThreadPoolExecutor java:153)
                                                                                                  at java util concurrent ScheduledThreadPoolExecutor ScheduledFutureTask run(ScheduledThreadPoolExecutor java:267)
                                                                                                  at java util concurrent ThreadPoolExecutor runWorker(ThreadPoolExecutor java:1080)
                                                                                                  at java util concurrent ThreadPoolExecutor Worker run(ThreadPoolExecutor java:573)
                                                                                                  at java lang Thread run(Thread java:841)
</t>
  </si>
  <si>
    <t>ccrama-Slide-972</t>
  </si>
  <si>
    <t>Memory leak in new_offline_model</t>
  </si>
  <si>
    <t xml:space="preserve">If you go to the comments page for a submission in a subreddit with lots of images  continue to swipe right  The memory usage goes up and up until it crashes  Memory usage goes up in text heavy subreddits too 
</t>
  </si>
  <si>
    <t>TeamNewPipe-NewPipe-171</t>
  </si>
  <si>
    <t xml:space="preserve">Download broken across versions </t>
  </si>
  <si>
    <t xml:space="preserve">Attempting to use the download feature on Nexus 7 (2013)   Android 6 0 nonroot results in the application crashing  This affects all 0 7 x versions  which is strange  Uninstalling the app or clearing system cachd did not do anything  Changing download directories didn t do anything different either  and yes the storage permission is granted  The download feature has worked many times before  but stopped worked all of a sudden  Background play is also affected by this
</t>
  </si>
  <si>
    <t>Instabug-Instabug-Android-2</t>
  </si>
  <si>
    <t>Application crashes after the onPause method</t>
  </si>
  <si>
    <t xml:space="preserve">On some devices (Samsung galaxy S4 for example)  when I close the app from a screen have a map  your SDK crashes with the following stack trace:
 java lang RuntimeException: Unable to stop activity  fr chauffeurprive preprod debug fr chauffeurprive presentation order view OrderActivity : java lang NullPointerException: Attempt to invoke virtual method  java util List com instabug library internal storage cache d b()  on a null object reference
                                                                                     at android app ActivityThread performDestroyActivity(ActivityThread java:4154)
                                                                                     at android app ActivityThread handleDestroyActivity(ActivityThread java:4217)
                                                                                     at android app ActivityThread access 1500(ActivityThread java:177)
                                                                                     at android app ActivityThread H handleMessage(ActivityThread java:1502)
                                                                                     at android os Handler dispatchMessage(Handler java:102)
                                                                                     at android os Looper loop(Looper java:145)
                                                                                     at android app ActivityThread main(ActivityThread java:5942)
                                                                                     at java lang reflect Method invoke(Native Method)
                                                                                     at java lang reflect Method invoke(Method java:372)
                                                                                     at com android internal os ZygoteInit MethodAndArgsCaller run(ZygoteInit java:1400)
                                                                                     at com android internal os ZygoteInit main(ZygoteInit java:1195)
                                                                                  Caused by: java lang NullPointerException: Attempt to invoke virtual method  java util List com instabug library internal storage cache d b()  on a null object reference
                                                                                     at com instabug library internal storage cache o c(ReadQueueCacheManager java:60)
                                                                                     at com instabug library ak b(SessionManager java:59)
                                                                                     at com instabug library o d(InstabugDelegate java:283)
                                                                                     at com instabug library Instabug notifyDelegateActivityStopped(Instabug java:142)
                                                                                     at com instabug library h onActivityStopped(InstabugActivityLifecycleListener java:41)
                                                                                     at android app Application dispatchActivityStopped(Application java:250)
                                                                                     at android app Activity onStop(Activity java:1662)
                                                                                     at android support v4 app FragmentActivity onStop(FragmentActivity java:562)
                                                                                     at fr chauffeurprive presentation order view OrderActivity onStop(OrderActivity java:414)
                                                                                     at android app Instrumentation callActivityOnStop(Instrumentation java:1275)
                                                                                     at android app Activity performStop(Activity java:6493)
                                                                                     at android app ActivityThread performDestroyActivity(ActivityThread java:4149)
                                                                                     at android app ActivityThread handleDestroyActivity(ActivityThread java:4217) 
                                                                                     at android app ActivityThread access 1500(ActivityThread java:177) 
                                                                                     at android app ActivityThread H handleMessage(ActivityThread java:1502) 
                                                                                     at android os Handler dispatchMessage(Handler java:102) 
                                                                                     at android os Looper loop(Looper java:145) 
                                                                                     at android app ActivityThread main(ActivityThread java:5942) 
                                                                                     at java lang reflect Method invoke(Native Method) 
                                                                                     at java lang reflect Method invoke(Method java:372) 
                                                                                     at com android internal os ZygoteInit MethodAndArgsCaller run(ZygoteInit java:1400) 
                                                                                     at com android internal os ZygoteInit main(ZygoteInit java:1195) 
</t>
  </si>
  <si>
    <t>martykan-webTube-41</t>
  </si>
  <si>
    <t>Crash on startup</t>
  </si>
  <si>
    <t xml:space="preserve">The app crashes upon opening (App v1 0)
I m running an Optimus f6 with the xperion rom
Android version 4 1 2
</t>
  </si>
  <si>
    <t>konifar-droidkaigi2016-179</t>
  </si>
  <si>
    <t>App crashes just after launch if upgraded from  PlayStore 1.0.1 to DeployGate 13</t>
  </si>
  <si>
    <t xml:space="preserve">   Description
The app crashed with the below SQL error after upgrading from the current version on Google Play (1 0 1) to the build 13 on DeployGate 
    java
       SessionsFragment  I  Sessions Load succeeded 
              SQLiteLog  E  (1) no such column: share url
               Settings  W  Setting airplane mode on has moved from android provider Settings System to android provider Settings Global  returning read only value 
         AndroidRuntime  E  FATAL EXCEPTION: AsyncTask  1
                         E  Process: io github droidkaigi confsched  PID: 24146
                         E  com github gfx android orma exception TransactionAbortException: android database sqlite SQLiteException: no such column: share url (code 1):   while compiling: UPDATE  Session                              SET  share url     placeId     stime     description     etime     speakerId     slide url     title     categoryId     movie url     language id    WHERE ( id     )
                         E      at com github gfx android orma TransactionTask onError(SourceFile:27)
                         E      at com github gfx android orma OrmaConnection transactionSync(SourceFile:263)
                         E      at com github gfx android orma OrmaConnection 2 run(SourceFile:274)
                         E      at java util concurrent ThreadPoolExecutor runWorker(ThreadPoolExecutor java:1113)
                         E      at java util concurrent ThreadPoolExecutor Worker run(ThreadPoolExecutor java:588)
                         E      at java lang Thread run(Thread java:818)
                         E  Caused by: android database sqlite SQLiteException: no such column: share url (code 1):   while compiling: UPDATE  Session  SET  share url     placeId     stime     description                                 etime     speakerId     slide url     title     categoryId     movie url     language id    WHERE ( id     )
                         E      at android database sqlite SQLiteConnection nativePrepareStatement(Native Method)
                         E      at android database sqlite SQLiteConnection acquirePreparedStatement(SQLiteConnection java:887)
                         E      at android database sqlite SQLiteConnection prepare(SQLiteConnection java:498)
                         E      at android database sqlite SQLiteSession prepare(SQLiteSession java:588)
                         E      at android database sqlite SQLiteProgram  init (SQLiteProgram java:58)
                         E      at android database sqlite SQLiteStatement  init (SQLiteStatement java:31)
                         E      at android database sqlite SQLiteDatabase updateWithOnConflict(SQLiteDatabase java:1574)
                         E      at android database sqlite SQLiteDatabase update(SQLiteDatabase java:1522)
                         E      at com github gfx android orma OrmaConnection update(SourceFile:168)
                         E      at com github gfx android orma Updater execute(SourceFile:47)
                         E      at io github droidkaigi confsched dao SessionDao update(SourceFile:161)
                         E      at io github droidkaigi confsched dao SessionDao updateAllSync(SourceFile:128)
                         E      at io github droidkaigi confsched dao SessionDao 2 execute(SourceFile:138)
                         E      at com github gfx android orma OrmaConnection transactionSync(SourceFile:260)
                         E          4 more
   Environment
Nexus 7 (2013)
Android 6 0 1
   Steps to Reproduce
1  Install ver 1 0 1 of the app
2  Go to  DeployGate site (https:  deploygate com distributions 901884d8a27b8bd9c368109b0cc5c941a6821076 install) and install the app
   3 During the installation  a dialog asks the app is not under manged by DeployGate and do you want to manage it with DeployGate  Answer yes to the question
3  After the installation ends  a dialog asks whether opening the app and answer  Open  to the question
4  Launch the app
   Result
At step 5  the app crashes
   Expected result
At step 5  the app does not crash
</t>
  </si>
  <si>
    <t>cgeo-cgeo-5445</t>
  </si>
  <si>
    <t>crash while opening / viewing images from GC1NBJH</t>
  </si>
  <si>
    <t xml:space="preserve">I m unable to open GC1NBJH in cgeo  
For me it s not deterministic when the crash occurs  On one of my phones it crashes when I try to open the cache  On the other after moving to the Images tab  
NB 2016 02 05   NB 2428cb0 and
NB 2016 02 14   NB 11ae549
</t>
  </si>
  <si>
    <t>iViolinSolo-IM---Android-2</t>
  </si>
  <si>
    <t>Bug: new channel error</t>
  </si>
  <si>
    <t xml:space="preserve">when a new channel created  must restart the app then can sent some msg   otherwise it will crashed  have a alert msg box   so this is the thing you should refresh the status
</t>
  </si>
  <si>
    <t>OneBusAway-onebusaway-android-418</t>
  </si>
  <si>
    <t>Crash on viewing "About" activity on release builds</t>
  </si>
  <si>
    <t xml:space="preserve">On release builds  when going to  Settings  About   the app crashes with this stacktrace:
E AndroidRuntime: FATAL EXCEPTION: main
                                                 Process: com joulespersecond seattlebusbot  PID: 1287
                                                 java lang RuntimeException: Unable to start activity ComponentInfo com joulespersecond seattlebusbot org onebusaway android ui AboutActivity : android view InflateException: Binary XML file line  36: Could not inflate Behavior subclass android support design widget AppBarLayout ScrollingViewBehavior
                                                     at android app ActivityThread performLaunchActivity(ActivityThread java:2434)
                                                     at android app ActivityThread handleLaunchActivity(ActivityThread java:2494)
                                                     at android app ActivityThread access 900(ActivityThread java:157)
                                                     at android app ActivityThread H handleMessage(ActivityThread java:1356)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Caused by: android view InflateException: Binary XML file line  36: Could not inflate Behavior subclass android support design widget AppBarLayout ScrollingViewBehavior
                                                     at android view LayoutInflater inflate(LayoutInflater java:539)
                                                     at android view LayoutInflater inflate(LayoutInflater java:423)
                                                     at android view LayoutInflater inflate(LayoutInflater java:374)
                                                     at android support v7 app AppCompatDelegateImplV7 setContentView(AppCompatDelegateImplV7 java:249)
                                                     at android support v7 app AppCompatActivity setContentView(AppCompatActivity java:106)
                                                     at org onebusaway android ui AboutActivity onCreate(AboutActivity java:31)
                                                     at android app Activity performCreate(Activity java:6272)
                                                     at android app Instrumentation callActivityOnCreate(Instrumentation java:1107)
                                                     at android app ActivityThread performLaunchActivity(ActivityThread java:2387)
                                                     at android app ActivityThread handleLaunchActivity(ActivityThread java:2494) 
                                                     at android app ActivityThread access 900(ActivityThread java:157) 
                                                     at android app ActivityThread H handleMessage(ActivityThread java:1356)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Caused by: java lang RuntimeException: Could not inflate Behavior subclass android support design widget AppBarLayout ScrollingViewBehavior
                                                     at android support design widget CoordinatorLayout parseBehavior(CoordinatorLayout java:497)
                                                     at android support design widget CoordinatorLayout LayoutParams  init (CoordinatorLayout java:2202)
                                                     at android support design widget CoordinatorLayout generateLayoutParams(CoordinatorLayout java:1349)
                                                     at android support design widget CoordinatorLayout generateLayoutParams(CoordinatorLayout java:86)
                                                     at android view LayoutInflater parseInclude(LayoutInflater java:966)
                                                     at android view LayoutInflater rInflate(LayoutInflater java:831)
                                                     at android view LayoutInflater rInflateChildren(LayoutInflater java:798)
                                                     at android view LayoutInflater inflate(LayoutInflater java:515)
                                                     at android view LayoutInflater inflate(LayoutInflater java:423) 
                                                     at android view LayoutInflater inflate(LayoutInflater java:374) 
                                                     at android support v7 app AppCompatDelegateImplV7 setContentView(AppCompatDelegateImplV7 java:249) 
                                                     at android support v7 app AppCompatActivity setContentView(AppCompatActivity java:106) 
                                                     at org onebusaway android ui AboutActivity onCreate(AboutActivity java:31) 
                                                     at android app Activity performCreate(Activity java:6272) 
                                                     at android app Instrumentation callActivityOnCreate(Instrumentation java:1107) 
                                                     at android app ActivityThread performLaunchActivity(ActivityThread java:2387) 
                                                     at android app ActivityThread handleLaunchActivity(ActivityThread java:2494) 
                                                     at android app ActivityThread access 900(ActivityThread java:157) 
                                                     at android app ActivityThread H handleMessage(ActivityThread java:1356)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Caused by: java lang ClassNotFoundException: android support design widget AppBarLayout ScrollingViewBehavior
                                                     at java lang Class classForName(Native Method)
                                                     at java lang Class forName(Class java:324)
                                                     at android support design widget CoordinatorLayout parseBehavior(CoordinatorLayout java:490)
                                                     at android support design widget CoordinatorLayout LayoutParams  init (CoordinatorLayout java:2202) 
                                                     at android support design widget CoordinatorLayout generateLayoutParams(CoordinatorLayout java:1349) 
                                                     at android support design widget CoordinatorLayout generateLayoutParams(CoordinatorLayout java:86) 
                                                     at android view LayoutInflater parseInclude(LayoutInflater java:966) 
                                                     at android view LayoutInflater rInflate(LayoutInflater java:831) 
                                                     at android view LayoutInflater rInflateChildren(LayoutInflater java:798) 
                                                     at android view LayoutInflater inflate(LayoutInflater java:515) 
                                                     at android view LayoutInflater inflate(LayoutInflater java:423) 
                                                     at android view LayoutInflater inflate(LayoutInflater java:374) 
                                                     at android support v7 app AppCompatDelegateImplV7 setContentView(AppCompatDelegateImplV7 java:249) 
                                                     at android support v7 app AppCompatActivity setContentView(AppCompatActivity java:106) 
                                                     at org onebusaway android ui AboutActivity onCreate(AboutActivity java:31) 
                                                     at android app Activity performCreate(Activity java:6272) 
                                                     at android app Instrumentation callActivityOnCreate(Instrumentation java:1107) 
                                                     at android app ActivityThread performLaunchActivity(ActivityThread java:2387) 
                                                     at android app ActivityThread handleLaunchActivity(ActivityThread java:2494) 
                                                     at android app ActivityThread access 900(ActivityThread java:157) 
                                                     at android app ActivityThread H handleMessage(ActivityThread java:1356)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Caused by: java lang ClassNotFoundException: Didn t find class  android support design widget AppBarLayout ScrollingViewBehavior  on path: DexPathList  zip file   data app com joulespersecond seattlebusbot 2 base apk   nativeLibraryDirectories   data app com joulespersecond seattlebusbot 2 lib arm64   vendor lib64   system lib64  
                                                     at dalvik system BaseDexClassLoader findClass(BaseDexClassLoader java:56)
                                                     at java lang ClassLoader loadClass(ClassLoader java:511)
                                                     at java lang ClassLoader loadClass(ClassLoader java:469)
                                                     at java lang Class classForName(Native Method) 
                                                     at java lang Class forName(Class java:324) 
                                                     at android support design widget CoordinatorLayout parseBehavior(CoordinatorLayout java:490) 
                                                     at android support design widget CoordinatorLayout LayoutParams  init (CoordinatorLayout java:2202) 
                                                     at android support design widget CoordinatorLayout generateLayoutParams(CoordinatorLayout java:1349) 
                                                     at android support design widget CoordinatorLayout generateLayoutParams(CoordinatorLayout java:86) 
                                                     at android view LayoutInflater parseInclude(LayoutInflater java:966) 
                                                     at android view LayoutInflater rInflate(LayoutInflater java:831) 
                                                     at android view LayoutInflater rInflateChildren(LayoutInflater java:798) 
                                                     at android view LayoutInflater inflate(LayoutInflater java:515) 
                                                     at android view LayoutInflater inflate(LayoutInflater java:423) 
                                                     at android view LayoutInflater inflate(LayoutInflater java:374) 
                                                     at android support v7 app AppCompatDelegateImplV7 setContentView(AppCompatDelegateImplV7 java:249) 
                                                     at android support v7 app AppCompatActivity setContentView(AppCompatActivity java:106) 
                                                     at org onebusaway android ui AboutActivity onCreate(AboutActivity java:31) 
                                                     at android app Activity performCreate(Activity java:6272) 
                                                     at android app Instrumentation callActivityOnCreate(Instrumentation java:1107) 
                                                     at android app ActivityThread performLaunchActivity(ActivityThread java:2387) 
                                                     at android app ActivityThread handleLaunchActivity(ActivityThread java:2494) 
                                                     at android app ActivityThread access 900(ActivityThread java:157) 
                                                     at android app ActivityThread H handleMessage(ActivityThread java:1356)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Suppressed: java lang ClassNotFoundException: android support design widget AppBarLayout ScrollingViewBehavior
                                                     at java lang Class classForName(Native Method)
                                                     at java lang BootClassLoader findClass(ClassLoader java:781)
                                                     at java lang BootClassLoader loadClass(ClassLoader java:841)
                                                     at java lang ClassLoader loadClass(ClassLoader java:504)
                                                                28 more
                                                  Caused by: java lang NoClassDefFoundError: Class not found using the boot class loader  no stack trace available
</t>
  </si>
  <si>
    <t>ccrama-Slide-996</t>
  </si>
  <si>
    <t>Slide freezing frequently on the latest update</t>
  </si>
  <si>
    <t xml:space="preserve">I have no way to reproduce it consistently  but often when I open the comments for a post  slide will hang up (but not crash)  and I ll have to force it to quit and restart it
</t>
  </si>
  <si>
    <t>cymcsg-UltimateRecyclerView-301</t>
  </si>
  <si>
    <t>if no header and not data(list is null) and enableLoadmore, it will crash</t>
  </si>
  <si>
    <t xml:space="preserve">if no header and not data(list is null)  but enableLoadmore   offset 1 in getItemCount()  It will call createViewHolder(ViewGroup parent  int viewType) in RecyclerView class  the holder is null and crashes 
    public final VH createViewHolder(ViewGroup parent  int viewType)  
        TraceCompat beginSection(TRACE CREATE VIEW TAG) 
        final VH holder   onCreateViewHolder(parent  viewType) 
        holder mItemViewType   viewType 
        TraceCompat endSection() 
        return holder 
 Override
public int getItemCount()  
    int offset   0 
    if (hasHeaderView()) offset   
    if (enableLoadMore()) offset   
       boolean a   enableLoadMore() 
       boolean b   hasHeaderView() 
    return getAdapterItemCount()   offset 
  image (https:  cloud githubusercontent com assets 4005701 13045486 8f6bae32 d40e 11e5 8734 1a00923a154b png)
</t>
  </si>
  <si>
    <t>ucsdCSE110wi16-CSE110M240T12-11</t>
  </si>
  <si>
    <t>Fix my event page bug</t>
  </si>
  <si>
    <t xml:space="preserve">My event page does not show the current following number correctly  And if user unfollow the event in this page  the app crash 
</t>
  </si>
  <si>
    <t>ccrama-Slide-1006</t>
  </si>
  <si>
    <t>Kanye West breaks slide</t>
  </si>
  <si>
    <t xml:space="preserve"> This post (https:  www reddit com r cringepics comments 460c44 kanye west breaking down on twitter begs mark ) crashes slide when you view it in a submission list (frontpage and cringepics crash) 
I get this error sometimes:
02 16 21:06:01 405 16384 16384 me ccrama redditslide A art: art runtime check jni cc:65  JNI DETECTED ERROR IN APPLICATION: JNI CallVoidMethodV called with pending exception  java lang IllegalStateException  thrown in void android os MessageQueue nativePollOnce(long  int): 2
02 16 21:06:01 405 16384 16384 me ccrama redditslide A art: art runtime check jni cc:65      in call to CallVoidMethodV
02 16 21:06:01 405 16384 16384 me ccrama redditslide A art: art runtime check jni cc:65      from void android os MessageQueue nativePollOnce(long  int)
02 16 21:06:01 405 16384 16384 me ccrama redditslide A art: art runtime check jni cc:65   main  prio 5 tid 1 Runnable
02 16 21:06:01 405 16384 16384 me ccrama redditslide A art: art runtime check jni cc:65      group  main  sCount 0 dsCount 0 obj 0x7535afe0 self 0xb4827800
02 16 21:06:01 405 16384 16384 me ccrama redditslide A art: art runtime check jni cc:65      sysTid 16384 nice 0 cgrp apps sched 0 0 handle 0xb6f37ec8
02 16 21:06:01 405 16384 16384 me ccrama redditslide A art: art runtime check jni cc:65      state R schedstat ( 0 0 0 ) utm 125 stm 18 core 0 HZ 100
02 16 21:06:01 405 16384 16384 me ccrama redditslide A art: art runtime check jni cc:65      stack 0xbe3b9000 0xbe3bb000 stackSize 8MB
02 16 21:06:01 405 16384 16384 me ccrama redditslide A art: art runtime check jni cc:65      held mutexes   mutator lock (shared held)
02 16 21:06:01 405 16384 16384 me ccrama redditslide A art: art runtime check jni cc:65    native:  00 pc 000045b4   system lib libbacktrace libc   so (UnwindCurrent::Unwind(unsigned int  ucontext ) 23)
02 16 21:06:01 405 16384 16384 me ccrama redditslide A art: art runtime check jni cc:65    native:  01 pc 00002e1d   system lib libbacktrace libc   so (Backtrace::Unwind(unsigned int  ucontext ) 8)
02 16 21:06:01 405 16384 16384 me ccrama redditslide A art: art runtime check jni cc:65    native:  02 pc 002524d5   system lib libart so (art::DumpNativeStack(std::  1::basic ostream char  std::  1::char traits char      int  char const   art::mirror::ArtMethod ) 84)
02 16 21:06:01 405 16384 16384 me ccrama redditslide A art: art runtime check jni cc:65    native:  03 pc 00235fb3   system lib libart so (art::Thread::Dump(std::  1::basic ostream char  std::  1::char traits char    ) const 162)
02 16 21:06:01 405 16384 16384 me ccrama redditslide A art: art runtime check jni cc:65    native:  04 pc 000b0865   system lib libart so (art::JniAbort(char const   char const ) 620)
02 16 21:06:01 405 16384 16384 me ccrama redditslide A art: art runtime check jni cc:65    native:  05 pc 000b0f95   system lib libart so (art::JniAbortF(char const   char const      ) 68)
02 16 21:06:01 405 16384 16384 me ccrama redditslide A art: art runtime check jni cc:65    native:  06 pc 000b421d   system lib libart so (art::ScopedCheck::ScopedCheck( JNIEnv   int  char const ) 1324)
02 16 21:06:01 405 16384 16384 me ccrama redditslide A art: art runtime check jni cc:65    native:  07 pc 000bc5f3   system lib libart so (art::CheckJNI::CallVoidMethodV( JNIEnv    jobject    jmethodID   std::  va list) 42)
02 16 21:06:01 405 16384 16384 me ccrama redditslide A art: art runtime check jni cc:65    native:  08 pc 0005eb07   system lib libandroid runtime so (   )
02 16 21:06:01 405 16384 16384 me ccrama redditslide A art: art runtime check jni cc:65    native:  09 pc 00072735   system lib libandroid runtime so (android::NativeDisplayEventReceiver::dispatchVsync(long long  int  unsigned int) 40)
02 16 21:06:01 405 16384 16384 me ccrama redditslide A art: art runtime check jni cc:65    native:  10 pc 000728fd   system lib libandroid runtime so (android::NativeDisplayEventReceiver::handleEvent(int  int  void ) 80)
02 16 21:06:01 405 16384 16384 me ccrama redditslide A art: art runtime check jni cc:65    native:  11 pc 000110a5   system lib libutils so (android::Looper::pollInner(int) 484)
02 16 21:06:01 405 16384 16384 me ccrama redditslide A art: art runtime check jni cc:65    native:  12 pc 0001114d   system lib libutils so (android::Looper::pollOnce(int  int   int   void  ) 92)
02 16 21:06:01 405 16384 16384 me ccrama redditslide A art: art runtime check jni cc:65    native:  13 pc 0007dc59   system lib libandroid runtime so (android::NativeMessageQueue::pollOnce( JNIEnv   int) 22)
02 16 21:06:01 405 16384 16384 me ccrama redditslide A art: art runtime check jni cc:65    native:  14 pc 000522cf   data dalvik cache arm system framework boot oat (Java android os MessageQueue nativePollOnce  JI 102)
02 16 21:06:01 405 16384 16384 me ccrama redditslide A art: art runtime check jni cc:65    at android os MessageQueue nativePollOnce(Native method)
02 16 21:06:01 405 16384 16384 me ccrama redditslide A art: art runtime check jni cc:65    at android os MessageQueue next(MessageQueue java:143)
02 16 21:06:01 405 16384 16384 me ccrama redditslide A art: art runtime check jni cc:65    at android os Looper loop(Looper java:122)
02 16 21:06:01 405 16384 16384 me ccrama redditslide A art: art runtime check jni cc:65    at android app ActivityThread main(ActivityThread java:5272)
02 16 21:06:01 405 16384 16384 me ccrama redditslide A art: art runtime check jni cc:65    at java lang reflect Method invoke (Native method)
02 16 21:06:01 406 16384 16384 me ccrama redditslide A art: art runtime check jni cc:65    at java lang reflect Method invoke(Method java:372)
02 16 21:06:01 406 16384 16384 me ccrama redditslide A art: art runtime check jni cc:65    at com android internal os ZygoteInit MethodAndArgsCaller run(ZygoteInit java:909)
02 16 21:06:01 406 16384 16384 me ccrama redditslide A art: art runtime check jni cc:65    at com android internal os ZygoteInit main(ZygoteInit java:704)
02 16 21:06:01 406 16384 16384 me ccrama redditslide A art: art runtime check jni cc:65  
and sometime I get this
02 16 21:08:02 655 17636 17636 me ccrama redditslide E AndroidRuntime: FATAL EXCEPTION: main
                                                                       Process: me ccrama redditslide  PID: 17636
                                                                       java lang IllegalStateException: Unable to create layer for CardView
                                                                           at android os MessageQueue nativePollOnce(Native Method)
                                                                           at android os MessageQueue next(MessageQueue java:143)
                                                                           at android os Looper loop(Looper java:122)
                                                                           at android app ActivityThread main(ActivityThread java:5272)
                                                                           at java lang reflect Method invoke(Native Method)
                                                                           at java lang reflect Method invoke(Method java:372)
                                                                           at com android internal os ZygoteInit MethodAndArgsCaller run(ZygoteInit java:909)
                                                                           at com android internal os ZygoteInit main(ZygoteInit java:704)
</t>
  </si>
  <si>
    <t>dimagi-commcare-android-1078</t>
  </si>
  <si>
    <t>Catch arity exceptions in form entry and hierarchy views</t>
  </si>
  <si>
    <t xml:space="preserve"> esoergel was encountering xpath arity errors that were crashing commcare instead of showing the user the error  which is user addressable 
https:  github com dimagi commcare odk commit 3a9ad0004f8fb2e33cb505d04e272b6c67d9ce14 adds additional xpath arity exception checks  I m unsure if they are necessary   
xpath arity checks caught in the form hierarchy activity show a toast message because that activity doesn t extend  CommCareActivity  (it needs to extend the non Fragment compatible  ListActivity ) 
http:  manage dimagi com default asp 217408
</t>
  </si>
  <si>
    <t>zhuowei-MCPELauncher-636</t>
  </si>
  <si>
    <t>BL Scripts Crash (0.14)</t>
  </si>
  <si>
    <t xml:space="preserve">The new BL crash when I enable scripts
</t>
  </si>
  <si>
    <t>eneim-Attiq-18</t>
  </si>
  <si>
    <t>ItemDetailActivity crashed due to a bad practice</t>
  </si>
  <si>
    <t xml:space="preserve">Current: enqueue Retrofit callback to ItemDetailActivity itself could lead to this crash: Realm got closed before the callback  meanwhile that Activity is still alive (then the callback is still activated)  That time  Realm is invalid then it crash 
Solution: dynamically define the Callback and destroy it before closing Realm 
</t>
  </si>
  <si>
    <t>martykan-forecastie-61</t>
  </si>
  <si>
    <t>Crash on first refresh</t>
  </si>
  <si>
    <t xml:space="preserve">The application crashes if you try to refresh for the first time without network connectivity 
Refreshes after the first run do display the  No network connection  snackbar successfully if there s no network 
Running CM13 on OnePlus One with the F Droid 0 9 1 version 
</t>
  </si>
  <si>
    <t>requery-requery-5</t>
  </si>
  <si>
    <t>OneToMany and ManyToOne</t>
  </si>
  <si>
    <t xml:space="preserve">Hey there 
Thirst of all thank you for this very nice library : 1: 
 Yet I am currently having an issues with implementing a  OneToMany and  ManyToOne relationship as follows:
    java
 Entity()
public interface Category  
       Getters
     Key
     Generated
    int getId() 
     OneToMany(mappedBy    category )
    Set Record  getRecords() 
 Entity
public interface Record  
       Getters
     Key
     Generated
    int getId() 
     ManyToOne()
    Category getCategory() 
At first it seems to work  but when I restart the application via Android Studio (and only then) the app crashes with the following stacktrace:
    java
FATAL EXCEPTION: java lang IllegalStateException                                                                                                                                                 
at io requery sql EntityReader associativeQuery(EntityReader java:304)
at io requery sql EntityReader refreshAssociation(EntityReader java:227)
at io requery sql EntityReader refresh(EntityReader java:219)
at io requery sql EntityReader refresh(EntityReader java:153)
at io requery sql EntityReader load(EntityReader java:123)
at io requery proxy EntityProxy get(EntityProxy java:96)
at  o requery proxy EntityProxy get(EntityProxy java:80)
at xxx models RecordEntity getCategory(RecordEntity java:184)
Following the stacktrace leads to https:  github com requery requery blob master requery src main java io requery sql EntityReader java L304  Where I obtain the following code snippet:
    java
 case MANY TO ONE:
 default:
     throw new IllegalStateException() 
  My question now is:  
Am   I   doing something completely wrong or have a basic misunderstanding here 
Or is this   feature yet to be implemented   
Or is it even a   bug   
Thanks in advance 
</t>
  </si>
  <si>
    <t>keefmarshall-fco-alerts-app-4</t>
  </si>
  <si>
    <t>App crashes on first install</t>
  </si>
  <si>
    <t xml:space="preserve">Google have updated their GCM behaviour  The application receives a message it doesn t understand when first registering for notifications  which causes it to crash   particularly when first accessing the settings screen  for some reason  It appears to function just fine on subsequent launches  however 
Solution is to update the GCM layer to the new style  removing the custom BroadcastReceiver class 
See: 
http:  stackoverflow com questions 30479424 weird push message received on app start 30671071 30671071
https:  developers google com cloud messaging android client
https:  github com googlesamples google services blob master android gcm app src main java gcm play android samples com gcmquickstart RegistrationIntentService java
</t>
  </si>
  <si>
    <t>k0shk0sh-PermissionHelper-7</t>
  </si>
  <si>
    <t>Displaying wrong PermissionModel</t>
  </si>
  <si>
    <t xml:space="preserve">Look at the screenshot 
You vcan see the permission is     android permission GET ACCOUNTS
And the PermissionModel is for    android permission ACCESS FINE LOCATION
  2016 02 18 13h03 21 (https:  cloud githubusercontent com assets 1982739 13141464 261eeb2c d640 11e5 9fe9 e26e25163373 png)
My PermissionModel is defined like this for testing
    List PermissionModel  permissions   new ArrayList  () 
    permissions add(PermissionModelBuilder withContext(this)
             withTitle( ACCESS FINE LOCATION )
             withCanSkip(false)
             withPermissionName(Manifest permission ACCESS FINE LOCATION)
             withMessage( PermissionHelper also prevents your app getting crashed if the    
                     requested permission never exists in your AndroidManifest   
                       Android DOES  )
             withExplanationMessage( We need this permission to access to your location to   
                      find nearby restaurants and places you like  )
                       withFontType( my font ttf )
             withLayoutColorRes(R color primary color)
             withImageResourceId(R drawable logo image)
             build()) 
    permissions add(PermissionModelBuilder withContext(this)
             withTitle( GET ACCOUNTS )
             withCanSkip(true)
             withPermissionName(Manifest permission GET ACCOUNTS)
             withTitle(R string title get accounts)
             withMessage(R string message get accounts)
             withExplanationMessage(R string explanation message get accounts)
                       withFontType( my font ttf )
             withLayoutColorRes(R color primary color)
             withImageResourceId(R drawable logo image)
             build()) 
    permissions add(PermissionModelBuilder withContext(this)
             withTitle( READ CONTACTS )
             withCanSkip(true)
             withPermissionName(Manifest permission READ CONTACTS)
             withTitle( READ CONTACTS )
             withMessage(R string message get accounts)
             withExplanationMessage(R string explanation message get accounts)
                       withFontType( my font ttf )
             withLayoutColorRes(R color primary color)
               withImageResourceId(R drawable permission three)
             build()) 
    permissions add(PermissionModelBuilder withContext(this)
             withTitle( WRITE CONTACTS )
             withCanSkip(true)
             withPermissionName(Manifest permission WRITE CONTACTS)
             withTitle( WRITE CONTACTS )
             withMessage(R string message get accounts)
             withExplanationMessage(R string explanation message get accounts)
                       withFontType( my font ttf )
             withLayoutColorRes(R color primary color)
                       withImageResourceId(R drawable permission three)
             build()) 
    permissions add(PermissionModelBuilder withContext(this)
             withTitle( WRITE EXTERNAL STORAGE )
             withCanSkip(true)
             withTitle( WRITE EXTERNAL STORAGE )
             withPermissionName(Manifest permission WRITE EXTERNAL STORAGE)
             withMessage( PermissionHelper lets you customize all these stuff you are seeing     
                      if you ever thought of anything that improves the library please   
                      suggest by filling up an issue in github https:  github com k0shk0sh PermissionHelper )
             withExplanationMessage( We need this permission to save your captured images and videos to your SD Card )
                       withFontType( my font ttf )
             withLayoutColorRes(R color black)
             withImageResourceId(R drawable logo)
             build()) 
    permissions add(PermissionModelBuilder withContext(this)
             withTitle( SYSTEM ALERT WINDOW )
             withCanSkip(false)   explanation only once will be called otherwise we will
                        run into infinite request if the user never grant the permission   
             withTitle( SYSTEM ALERT WINDOW )
             withPermissionName(Manifest permission SYSTEM ALERT WINDOW)
             withMessage( PermissionHelper handles requesting SYSTEM ALERT WINDOW permission )
             withExplanationMessage( We need this permission to make our videoPlayer overlay on your screen  )
               withFontType( my font ttf )
             withLayoutColorRes(R color primary color)
             withImageResourceId(R drawable logo image) build()) 
    return permissions 
</t>
  </si>
  <si>
    <t>SuicSoft-Little-PDF-Merge-Android-1</t>
  </si>
  <si>
    <t>Little's PDF Merge crashes when merging no document</t>
  </si>
  <si>
    <t xml:space="preserve">    Little s PDF Merge is crashing when merging no files
To reproduce  Open Little s PDF Merge and click the three dots and click Merge You should get a message that is has crashed
Fill these items
  Android version : Android 6 0 1 Marshmallow Nexus 9
  Little s PDF Merge version :  0 1 1 beta 
</t>
  </si>
  <si>
    <t>twystin-twyst_ordering_app-48</t>
  </si>
  <si>
    <t>App Crash - Handle Back Press from Map when GPS is turned off/no last known location</t>
  </si>
  <si>
    <t xml:space="preserve">Replicate:
  Turn off GPS
  Clear data
  Say No when prompted for location
  From Map press back
  Resulting screen has no data
  If the edit address icon is pressed in this state  App Crashes
Suggested Handling:
  Show a null state screen    No location found 
  Show a     in the  Delivering To  box
  Pressing the Edit Address should go to  Choose Location  screen (Obviously app should not crash)
</t>
  </si>
  <si>
    <t>N3ar-ShakeDetection-1</t>
  </si>
  <si>
    <t>Input Validation: Threshold</t>
  </si>
  <si>
    <t xml:space="preserve">Currently  the EditText field that takes in user supplied values for the   threshold   that the shaking algorithm is compared against was done quickly  While it takes care of numbers outside of acceptable bounds  it does not check for or handle non numeric input and will crash upon receipt 
</t>
  </si>
  <si>
    <t>haiwen-seadroid-491</t>
  </si>
  <si>
    <t>cannot open settings since 2.0, problem persists in all 2.x</t>
  </si>
  <si>
    <t xml:space="preserve">Hello 
since version 2 0 I have the problem that I cannot open the settings dialog anymore   the app crashes without any further information than just that the app was terminated 
Currently I use the version 2 03 from f droid repository on a Cyanogenmod 12 1 (Android 5 1)  I use HTTPS to connect to my own server 
Thanks for any help
</t>
  </si>
  <si>
    <t>DarkNormal-ModernEventApp-23</t>
  </si>
  <si>
    <t>Volley Error Handling</t>
  </si>
  <si>
    <t xml:space="preserve">I ve been testing turning the web service on and off to see if I handle the different responses correctly and there are some major possible crash scenarios where I use Volley 
A switch statement on the status code is quite useful  but I ll have to check if that is also null  Also maybe holding on to view references for displaying the snackbars but not 100  sure
</t>
  </si>
  <si>
    <t>spacecowboy-NoNonsense-FilePicker-73</t>
  </si>
  <si>
    <t>Dropbox sample crash if multiple press on folder</t>
  </si>
  <si>
    <t xml:space="preserve">I tried to use it as a Dropbox folder picker  I am able to browse and select folders using the DropboxFilePickerActivity from your sample  The only issue is if you press on a folder it waits for the subfolders to loads and then changes the UI list  If the user presses the folder name multiple times a crash occurs  The folder loading may take a long time for some users due to unstable nature of mobile networks  Ideal behaviour would be to show a Indeterminate progress bar in place of list when user chooses a folder  When the sub folder list is loaded the progress bar should be hidden and sub list shown  Kind of like the progress bar as an empty view for the list and an empty list while subfolders are loading 
Other than that it s a nice library  It s the most suitable folder picker when compared to any other library 
</t>
  </si>
  <si>
    <t>aws-amplify-aws-sdk-android-103</t>
  </si>
  <si>
    <t>ConcurrentModificationException</t>
  </si>
  <si>
    <t xml:space="preserve">Sometimes my application crashes with this exception:
FATAL EXCEPTION: main
                                                                          java util ConcurrentModificationException
                                                                              at java util LinkedList LinkIterator next(LinkedList java:124)
                                                                              at com amazonaws mobileconnectors s3 transferutility TransferStatusUpdater 3 run(TransferStatusUpdater java:248)
                                                                              at android os Handler handleCallback(Handler java:730)
                                                                              at android os Handler dispatchMessage(Handler java:92)
                                                                              at android os Looper loop(Looper java:137)
                                                                              at android app ActivityThread main(ActivityThread java:5136)
                                                                              at java lang reflect Method invokeNative(Native Method)
                                                                              at java lang reflect Method invoke(Method java:525)
                                                                              at com android internal os ZygoteInit MethodAndArgsCaller run(ZygoteInit java:760)
                                                                              at com android internal os ZygoteInit main(ZygoteInit java:576)
                                                                              at dalvik system NativeStart main(Native Method)
Probably this is due to the fact that in the onError I call both 
        observer cleanTransferListener() 
        transferUtility deleteTransferRecord(observer getId()) 
</t>
  </si>
  <si>
    <t>Neraud-PADListener-101</t>
  </si>
  <si>
    <t>Crash when syncing too many monsters</t>
  </si>
  <si>
    <t xml:space="preserve">The app crashes without crash report (process restart) when syncing too many monsters at the same time 
</t>
  </si>
  <si>
    <t>twystin-twyst_ordering_app-54</t>
  </si>
  <si>
    <t>Order History Bug (user reported)</t>
  </si>
  <si>
    <t xml:space="preserve"> When I clicked on  My orders  from the home screen after placing the order  the app crashed  
</t>
  </si>
  <si>
    <t>MrRobotto-MrRobotto-39</t>
  </si>
  <si>
    <t>Problems exporting models with multiple lights</t>
  </si>
  <si>
    <t xml:space="preserve">With complex models as jaina 3d model you have in the scene 2 sources of light  fragment shader compilation crashes due to accessing array without indexing 
In class  FragmentShaderSourceGenerator  at method  genLightReflectionFunction 
 for l in self configurer getLights():
            lk   l UniformKeySchemas getByGenerator(UNIFORMGENERATOR LIGHT POSITION) 0 
            namePos   lk getUniform() Name
            ck   l UniformKeySchemas getByGenerator(UNIFORMGENERATOR LIGHT COLOR) 0 
            nameCol   ck getUniform() Name
            s      tlightPos       namePos     xyz  n 
            s      tlightCol       nameCol     xyz  n  
</t>
  </si>
  <si>
    <t>Harlber-Moose-28</t>
  </si>
  <si>
    <t>App crash in comments</t>
  </si>
  <si>
    <t xml:space="preserve"> img src  https:  cloud githubusercontent com assets 7955320 13240328 bba7e9c0 da1c 11e5 97fa 7fbe9b635695 png  width    572  height    300  alt  crash 2016 02 23 08 12 15  align center   
</t>
  </si>
  <si>
    <t>ccrama-Slide-1073</t>
  </si>
  <si>
    <t>Wiki hyperlink problems &amp; crashes</t>
  </si>
  <si>
    <t xml:space="preserve">   x  Long pressing a wiki link in the submission view to open externally will still open internally 
   x  Trying to externally open a hyperlink within the wiki well cause a crash 
   x  Trying to open that hyperlink internally does nothing (maybe after the page finishes loading things change )
   x  Loading symbol never seems to finish loading 
Screencaps: https:  vid me iWjk
Link that I start from in the video: https:  reddit com r HFY comments 47cpc2 ocjverse the lost minstrel 12 
</t>
  </si>
  <si>
    <t>translation-cards-translation-cards-32</t>
  </si>
  <si>
    <t>App crashes if we do not finish recording before going to next step in RecordingActivity</t>
  </si>
  <si>
    <t xml:space="preserve">  Steps to Recreate
1  Record audio for card creation
2  Navigate back to the card text input
3  Navigate to the recording screen
4  Press record or play
5  The app crashes
</t>
  </si>
  <si>
    <t>dimagi-commcare-android-1091</t>
  </si>
  <si>
    <t>Fix case detail phone callout &amp; add localizations</t>
  </si>
  <si>
    <t xml:space="preserve">  Stop case detail phone number callout from crashing when launched
  Fix permission checking to all the  Send SMS  option to work  Sending an sms via the messenger doesn t actually require permissions
  Fix failure mode when permissions are denied 
  Add localization texts to allow app builders to localize phone number callout text
fix for https:  commcare acralyzer cloudant com acralyzer  design acralyzer index html  reports browser commcare odk bug 941a986da24b6c57417032737cfd4be9
</t>
  </si>
  <si>
    <t>spacecowboy-NoNonsense-FilePicker-76</t>
  </si>
  <si>
    <t>Crash while creating folder in dropbox sample</t>
  </si>
  <si>
    <t xml:space="preserve">In the dropbox sample there is a crash while creating a new folder  Moving the refresh from doInBackground to onPostExecute fixes it 
  private class FolderCreator extends AsyncTask String  Void  Void   
     Override
    protected Void doInBackground(final String    paths)  
        for (String path : paths)  
            try  
                dbApi createFolder(path) 
                mCurrentPath   dbApi metadata(path  1  null  false  null) 
              catch (DropboxException e)  
                Toast makeText(getActivity()  R string nnf create folder error 
                        Toast LENGTH SHORT) show() 
        return null 
     Override
    protected void onPostExecute(Void aVoid)  
        super onPostExecute(aVoid) 
        refresh() 
</t>
  </si>
  <si>
    <t>microg-GmsCore-96</t>
  </si>
  <si>
    <t>Location Sharing and Google+ Crashes</t>
  </si>
  <si>
    <t xml:space="preserve">When one tries to enable location sharing via  Google    the app crashes while trying to open an intent to  com google android gms location settings LOCATION SHARING   There are some legitimate reasons to support this feature within the user s restrictions and even if we should not support location sharing   GmsCore  should contain some fallback code  which at least prevents crashing in case one tries to access the location sharing settings 
</t>
  </si>
  <si>
    <t>javiersantos-AppUpdater-13</t>
  </si>
  <si>
    <t>Google Play returns "Varies by Device"</t>
  </si>
  <si>
    <t xml:space="preserve">Compare of versions crashes when Google Play store has old versions for old devices   
</t>
  </si>
  <si>
    <t>jareddlc-OpenFit-31</t>
  </si>
  <si>
    <t>Icons and issues...</t>
  </si>
  <si>
    <t xml:space="preserve">An issue i found is that sometmes  after app is crashed  i found double items in app list  So i need to delete all and check again  It could be more comfortable have option to   add more apps in one time  (With radio buttons or something like that)  Or the option to   backup settings   
PS:
Do you think is possible add   icons   on apps notification  like the original Gear Fit manager 
For example  see the Hangouts  or Telegram or Gmail icon 
it could be nice  maybe for most used ones (WhatsApp etc )
Still  i know is a low priority  but could be very nice   quick reply   on calls and  show on device  too  :)
   yes  i know: too much request in one time    :)
BTW  proud to be a Premium Supporter 
</t>
  </si>
  <si>
    <t>OpenTreeMap-otm-android-255</t>
  </si>
  <si>
    <t>Improper error handling leads to many issues across the app</t>
  </si>
  <si>
    <t xml:space="preserve">If an unhandled exception occurs on an activity scren (like the plot or filter screen)  the user is kicked back out to the map screen  but the app  forgets  the Instance information 
This leads to many issues   null objects that should never be null  losing the name of the map and the logged in user  etc 
We need to handle crashes in a more robust way  leaving the app in a working state if possible  or exiting it entirely if not 
</t>
  </si>
  <si>
    <t>openintents-shoppinglist-26</t>
  </si>
  <si>
    <t>Selecting theme menu crashes the app</t>
  </si>
  <si>
    <t xml:space="preserve">When selecting the theme menu the app crashes on devices with many apps installs (TransactionTooLargeException)
  Caused by: android os TransactionTooLargeException
    at android os BinderProxy transactNative(Native Method)
    at android os BinderProxy transact(Binder java:496)
    at android content pm IPackageManager Stub Proxy getInstalledApplications(IPackageManager java:2814)
    at android app ApplicationPackageManager getInstalledApplications(ApplicationPackageManager java:530)
    at org openintents shopping theme ThemeUtils getThemePackages(ThemeUtils java:66) 
    at org openintents shopping theme ThemeUtils getThemeInfos(ThemeUtils java:157) 
    at org openintents shopping ui dialog ThemeDialog fillThemes(ThemeDialog java:132) 
</t>
  </si>
  <si>
    <t>popcorn-official-popcorn-android-9</t>
  </si>
  <si>
    <t>App crashes on Android TV</t>
  </si>
  <si>
    <t xml:space="preserve">App crashes in shield android tv running on Marshmallow  I am using the latest stable build (armv8 1 2b65) 
</t>
  </si>
  <si>
    <t>ccrama-Slide-1077</t>
  </si>
  <si>
    <t>A crashed instance of Slide doesn't free up memory when relaunching</t>
  </si>
  <si>
    <t xml:space="preserve">After Slide has a crash and it relaunches  normally an app would free up the memory of the previous instance  For some reason occasionally Slide doesn t do this  This only happens in rare instances 
</t>
  </si>
  <si>
    <t>QuantumBadger-RedReader-279</t>
  </si>
  <si>
    <t xml:space="preserve">Image view crash due to incomplete egl implementation </t>
  </si>
  <si>
    <t xml:space="preserve">Opening an image using the app on Replicant results in a crash:
02 26 18:56:34 450  3718  4303 I ActivityManager: START u0  dat https:  imgur com     cmp org quantumbadger redreader  activities ImageViewActivity (has extras)  from uid 10074 on display 0
02 26 18:56:34 570  6430  6430 I ImageViewActivity: Loading URL https:  imgur com abcdefg
02 26 18:56:34 670  6430  6452 I ImageViewActivity: Got image URL: http:  i imgur com abcdefg jpg
02 26 18:56:34 865  3718  3737 I ActivityManager: Displayed org quantumbadger redreader  activities ImageViewActivity:  342ms
02 26 18:56:35 090  1907  1907 W SurfaceFlinger: couldn t log to binary event log: overflow 
02 26 18:56:35 455  6430  6489 D libEGL  : Emulator without GPU support detected  Fallback to software renderer 
02 26 18:56:35 460  6430  6489 D libEGL  : loaded  system lib egl libGLES android so
02 26 18:56:35 555  6430  6489 W System err: java lang IllegalArgumentException: No configs match configSpec
02 26 18:56:35 555  6430  6489 W System err:    at android opengl GLSurfaceView BaseConfigChooser chooseConfig(GLSurfaceView java:859)
02 26 18:56:35 555  6430  6489 W System err:    at android opengl GLSurfaceView EglHelper start(GLSurfaceView java:1024)
02 26 18:56:35 555  6430  6489 W System err:    at android opengl GLSurfaceView GLThread guardedRun(GLSurfaceView java:1401)
02 26 18:56:35 555  6430  6489 W System err:    at android opengl GLSurfaceView GLThread run(GLSurfaceView java:1240)
02 26 18:56:35 555  6430  6489 E AndroidRuntime: FATAL EXCEPTION: GLThread 294
02 26 18:56:35 555  6430  6489 E AndroidRuntime: Process: org quantumbadger redreader  PID: 6430
02 26 18:56:35 555  6430  6489 E AndroidRuntime: java lang IllegalArgumentException: No configs match configSpec
02 26 18:56:35 555  6430  6489 E AndroidRuntime:    at android opengl GLSurfaceView BaseConfigChooser chooseConfig(GLSurfaceView java:859)
02 26 18:56:35 555  6430  6489 E AndroidRuntime:    at android opengl GLSurfaceView EglHelper start(GLSurfaceView java:1024)
02 26 18:56:35 555  6430  6489 E AndroidRuntime:    at android opengl GLSurfaceView GLThread guardedRun(GLSurfaceView java:1401)
02 26 18:56:35 555  6430  6489 E AndroidRuntime:    at android opengl GLSurfaceView GLThread run(GLSurfaceView java:1240)
02 26 18:56:35 555  3718  5367 W ActivityManager:   Force finishing activity org quantumbadger redreader  activities ImageViewActivity
Replicant has no hardware acceleration and only uses software rendering  The software rendering implementation is more or less the same as the one the emulator is using 
Would it be possible to add a fallback for the image view that works with the software renderer 
An alternative would be to provide an option that allows to use an external gallery application instead of the internal image view  just like the already existing option to use an external app as video viewer  Watching gifs videos with vlc works using this option 
Many thanks for working on this app  It works otherwise great on Replicant 
</t>
  </si>
  <si>
    <t>dimagi-commcare-android-1098</t>
  </si>
  <si>
    <t>Schedule form relevancy update when DateWidget changes</t>
  </si>
  <si>
    <t xml:space="preserve">Changing the value of a date picker question widget didn t update the relevancy of form questions  Enabling relevancy updates normally crashes the app when you spin the date changer because it is adding and removing question views willy nilly which causes crashes  To get around that  schedule a change to be fired about a second later 
Tested on Android 6  4 4 2  and 2 3 7 devices
http:  manage dimagi com default asp 112607
</t>
  </si>
  <si>
    <t>nextcloud-news-android-493</t>
  </si>
  <si>
    <t>Some feeds do not load in the built-in browser and crash the app when attempting to open in external browser</t>
  </si>
  <si>
    <t xml:space="preserve">Some feeds do not load in the built in browser and crash the app when attempting to open in external browser 
1  Make sure  Use external browser to view articles  setting is off
2  Add one of the following feeds (below)
3  Refresh the app
4  Select an article from one of the below feeds
5  Note that the articles does not load
6  Click the External browser button
7  Not that the app crashes
If I have  Use external browser to view articles  set to on then the article loads correctly in the selected external browser 
This does not affect all the feeds that I have but I have noted it on these two   I m also fairly certain that these worked prior to 0 9 8
http:  feeds gothamistllc com dcist05
https:  feeds feedblitz com alternet  githubroot   githubroot 
</t>
  </si>
  <si>
    <t>libgdx-libgdx-3880</t>
  </si>
  <si>
    <t>Lwjgl3 multi window cursor crash</t>
  </si>
  <si>
    <t xml:space="preserve">     Issue details
Setting a cursor in multiwindow Lwjgl3 app will cause a native crash when multiple windows are disposed  Clearing the map from after the cursors are disposed sounds like a correct solution 
     Reproduction steps code
https:  gist github com piotr j 6724fe74f41ab340235e
     Version of LibGDX and or relevant dependencies
1 9 2 
     Stacktrace
    java
j  org lwjgl glfw GLFW glfwDestroyCursor(J)V 20
j  com badlogic gdx backends lwjgl3 Lwjgl3Cursor disposeAll()V 62
j  com badlogic gdx backends lwjgl3 Lwjgl3Graphics dispose()V 7
j  com badlogic gdx backends lwjgl3 Lwjgl3Window dispose()V 22
j  com badlogic gdx backends lwjgl3 Lwjgl3Application cleanup()V 28
j  com badlogic gdx backends lwjgl3 Lwjgl3Application  init (Lcom badlogic gdx ApplicationListener Lcom badlogic gdx backends lwjgl3 Lwjgl3ApplicationConfiguration )V 250
j  com mygdx game MyGdxGame main( Ljava lang String )V 20
     Please select the affected platforms
      Android
      iOS
      HTML GWT
   x  Windows
   x  Linux
   x  MacOS
</t>
  </si>
  <si>
    <t>google-ExoPlayer-1315</t>
  </si>
  <si>
    <t>java.lang.ArrayIndexOutOfBoundsException during MOV playback</t>
  </si>
  <si>
    <t xml:space="preserve">Playback of  Big Buck Bunny mov  fails due to  java lang ArrayIndexOutOfBoundsException  
This works in the DEMO app   however due to the encoding of the movie on my end  the playback in a integrated Exo Player fails 
Version is from git: 396a19f20cd24bf959ec09914fd898576d1f9f1a (dev branch) 
I emailed the link to the G Drive download to dev exoplayer gmail com  along with the  adb bugreport  output  right after the crash occurred 
java lang ArrayIndexOutOfBoundsException: src length 8192 srcPos  8 dst length 8192 dstPos 0 length 8
    at java lang System arraycopy(Native Method)
    at com google android exoplayer extractor DefaultExtractorInput updatePeekBuffer(DefaultExtractorInput java:214)
    at com google android exoplayer extractor DefaultExtractorInput skipFromPeekBuffer(DefaultExtractorInput java:184)
    at com google android exoplayer extractor DefaultExtractorInput skipFully(DefaultExtractorInput java:93)
    at com google android exoplayer extractor DefaultExtractorInput skipFully(DefaultExtractorInput java:104)
    at com google android exoplayer extractor mp4 Mp4Extractor readAtomPayload(Mp4Extractor java:228)
    at com google android exoplayer extractor mp4 Mp4Extractor read(Mp4Extractor java:124)
    at com google android exoplayer extractor ExtractorSampleSource ExtractingLoadable load(ExtractorSampleSource java:739)
    at com google android exoplayer upstream Loader LoadTask run(Loader java:209)
    at java util concurrent Executors RunnableAdapter call(Executors java:422)
    at java util concurrent FutureTask run(FutureTask java:237)
    at java util concurrent ThreadPoolExecutor runWorker(ThreadPoolExecutor java:1112)
    at java util concurrent ThreadPoolExecutor Worker run(ThreadPoolExecutor java:587)
    at java lang Thread run(Thread java:848)
</t>
  </si>
  <si>
    <t>mariotaku-Pass-4</t>
  </si>
  <si>
    <t>Crash when "back" is pressed in generated password screen</t>
  </si>
  <si>
    <t xml:space="preserve">Running version 0 9 1  Android version 5 1 1 
After successfully generating a password  the app crashes if I press the left arrow(the one in the app  not the OS back button) to go back  Somehow the log shows Xposed is involved  so I have tried disabling any Xposed module installed  which has no effect  
  E AndroidRuntime(12606): FATAL EXCEPTION: main
  E AndroidRuntime(12606): Process: org mariotaku pass  PID: 12606
  E AndroidRuntime(12606): android view InflateException: PasswordContainer must have one exact child
  E AndroidRuntime(12606):    at org mariotaku pass view PasswordContainer addView(PasswordContainer java:38)
  E AndroidRuntime(12606):    at android view ViewGroup addView(ViewGroup java:3759)
  E AndroidRuntime(12606):    at android view LayoutInflater inflate(LayoutInflater java:512)
  E AndroidRuntime(12606):    at de robv android xposed XposedBridge invokeOriginalMethodNative(Native Method)
  E AndroidRuntime(12606):    at de robv android xposed XposedBridge handleHookedMethod(XposedBridge java:668)
  E AndroidRuntime(12606):    at android view LayoutInflater inflate( Xposed )
  E AndroidRuntime(12606):    at android view LayoutInflater inflate(LayoutInflater java:414)
  E AndroidRuntime(12606):    at android view LayoutInflater inflate(LayoutInflater java:365)
  E AndroidRuntime(12606):    at org mariotaku pass activity PassGenDialogActivity inflateAndInitPasswordView(PassGenDialogActivity java:486)
  E AndroidRuntime(12606):    at org mariotaku pass activity PassGenDialogActivity finishLayout(PassGenDialogActivity java:205)
  E AndroidRuntime(12606):    at org mariotaku pass activity PassGenDialogActivity onClick(PassGenDialogActivity java:345)
  E AndroidRuntime(12606):    at android view View performClick(View java:4856)
  E AndroidRuntime(12606):    at android view View PerformClick run(View java:19956)
  E AndroidRuntime(12606):    at android os Handler handleCallback(Handler java:739)
  E AndroidRuntime(12606):    at android os Handler dispatchMessage(Handler java:95)
  E AndroidRuntime(12606):    at android os Looper loop(Looper java:211)
  E AndroidRuntime(12606):    at android app ActivityThread main(ActivityThread java:5373)
  E AndroidRuntime(12606):    at java lang reflect Method invoke(Native Method)
  E AndroidRuntime(12606):    at java lang reflect Method invoke(Method java:372)
  E AndroidRuntime(12606):    at com android internal os ZygoteInit MethodAndArgsCaller run(ZygoteInit java:1020)
  E AndroidRuntime(12606):    at com android internal os ZygoteInit main(ZygoteInit java:815)
  E AndroidRuntime(12606):    at de robv android xposed XposedBridge main(XposedBridge java:115)
</t>
  </si>
  <si>
    <t>CellularPrivacy-Android-IMSI-Catcher-Detector-805</t>
  </si>
  <si>
    <t>null-guard service before driving menu options</t>
  </si>
  <si>
    <t xml:space="preserve">     Agreements
   x    I have reviewed and accepted the  guidelines for contributing (https:  github com SecUpwN Android IMSI Catcher Detector blob development  github CONTRIBUTING md) to this project   
   x    I have reviewed and closely followed the  Style Guide (https:  github com SecUpwN Android IMSI Catcher Detector wiki Style Guide) for this Android app   
     Overview
This PR fixes the app crashing on boot on fresh installs   newly booted phones 
Pull request  798  solving  794  fails to account for fresh installs   newly booted phones where the service is not instantiated running by the time the menu is created for the first time and a NPE occurs 
If the service is null  simply choose  false  since without a service there is no way tracking is happening 
Added  onPrepareOptionsMenu  implementation that will redraw the checkboxes depending on the latest truth every time the menu is open   Not sure if this is unnecessary  
     Classification
   x  Bugfix (non breaking change which fixes an existing issue)
      New feature (non breaking change which adds functionality)
      Breaking change (fix or feature that would cause existing functionality to not work as expected)
     References
  If your pull request is related to or solves any existing Issues  please link them here 
Resolves an oversight in  798 which fixed  794 
</t>
  </si>
  <si>
    <t>popcorn-official-popcorn-android-14</t>
  </si>
  <si>
    <t xml:space="preserve">Magnet links/torrent link crashing android app </t>
  </si>
  <si>
    <t xml:space="preserve">Version:  0 2 8 armeabi v7a
Download date:  02 29 16
Android version:  5 0
I m using a galaxy S5 with android 5 0  When i try to open a magnet or torrent link  its buffer the video  But when the video player opens  the app crashes  Here the link example
magnet: xt urn:btih:081FBC9A4D852329BE6C9A5411DCD1B96543EC03 dn Dragon Ball Kai Completo Parte 1 2011 720p WOLVERDONFILMES COM tr udp 3A 2F 2Ftracker openbittorrent com 3A80 tr udp 3A 2F 2Ftracker publicbt com 3A80 tr udp 3A 2F 2Ftracker istole it 3A80 2Fannounce tr udp 3A 2F 2Ftracker ccc de 3A80 tr udp 3A 2F 2Fopen demonii com 3A1337
</t>
  </si>
  <si>
    <t>IvoGoman-Diabetes-App-8</t>
  </si>
  <si>
    <t>ActivityMeasurementFragment</t>
  </si>
  <si>
    <t xml:space="preserve">App crashes when inputting a measurement 
</t>
  </si>
  <si>
    <t>the-blue-alliance-the-blue-alliance-android-588</t>
  </si>
  <si>
    <t>OutOfMemoryError with large Bitmaps</t>
  </si>
  <si>
    <t xml:space="preserve">It looks like assuming that everyone has large amount of available RAM is a bad idea  Who would have thought 
The relevant bitmaps from the two stack traces we have are the Blue Alliance  blue rays  background that s used on wearables and the default header in the navigation drawer 
Relevant crashes:
java lang OutOfMemoryError: Failed to allocate a 1102512 byte allocation with 646944 free bytes and 631KB until OOM
    at dalvik system VMRuntime newNonMovableArray(Native Method)
    at android graphics BitmapFactory nativeDecodeAsset(Native Method)
    at android graphics BitmapFactory decodeStream(BitmapFactory java:609)
    at android graphics BitmapFactory decodeResourceStream(BitmapFactory java:444)
    at android graphics BitmapFactory decodeResource(BitmapFactory java:467)
    at android graphics BitmapFactory decodeResource(BitmapFactory java:497)
    at com thebluealliance androidclient gcm notifications BaseNotification getBaseBuilder(BaseNotification java:136)
    at com thebluealliance androidclient gcm notifications BaseNotification getBaseBuilder(BaseNotification java:147)
    at com thebluealliance androidclient gcm notifications ScoreNotification buildNotification(ScoreNotification java:211)
    at com thebluealliance androidclient gcm GCMMessageHandler handleMessage(GCMMessageHandler java:163)
    at com thebluealliance androidclient gcm GCMMessageHandler onHandleIntent(GCMMessageHandler java:97)
    at android app IntentService ServiceHandler handleMessage(IntentService java:66)
    at android os Handler dispatchMessage(Handler java:102)
    at android os Looper loop(Looper java:148)
    at android os HandlerThread run(HandlerThread java:61)
java lang OutOfMemoryError: Failed to allocate a 5760012 byte allocation with 1818992 free bytes and 1776KB until OOM
    at dalvik system VMRuntime newNonMovableArray(Native Method)
    at android graphics BitmapFactory nativeDecodeAsset(Native Method)
    at android graphics BitmapFactory decodeStream(BitmapFactory java:609)
    at android graphics BitmapFactory decodeResourceStream(BitmapFactory java:444)
    at android graphics drawable Drawable createFromResourceStream(Drawable java:988)
    at android content res Resources loadDrawableForCookie(Resources java:2477)
    at android content res Resources loadDrawable(Resources java:2384)
    at android content res TypedArray getDrawable(TypedArray java:749)
    at android widget ImageView  init (ImageView java:156)
    at android widget ImageView  init (ImageView java:145)
    at android support v7 widget AppCompatImageView  init (AppCompatImageView java:58)
    at android support v7 widget AppCompatImageView  init (AppCompatImageView java:54)
    at android support v7 app AppCompatViewInflater createView(AppCompatViewInflater java:95)
    at android support v7 app AppCompatDelegateImplV7 createView(AppCompatDelegateImplV7 java:938)
    at android support v7 app AppCompatDelegateImplV7 onCreateView(AppCompatDelegateImplV7 java:992)
    at android support v4 view LayoutInflaterCompatHC FactoryWrapperHC onCreateView(LayoutInflaterCompatHC java:44)
    at android view LayoutInflater FactoryMerger onCreateView(LayoutInflater java:180)
    at android view LayoutInflater createViewFromTag(LayoutInflater java:725)
    at android view LayoutInflater rInflate(LayoutInflater java:806)
    at android view LayoutInflater rInflate(LayoutInflater java:809)
    at android view LayoutInflater inflate(LayoutInflater java:504)
    at android view LayoutInflater inflate(LayoutInflater java:414)
    at com thebluealliance androidclient fragments NavigationDrawerFragment onCreateView(NavigationDrawerFragment java:140)
    at android support v4 app Fragment performCreateView(Fragment java:1962)
    at android support v4 app FragmentManagerImpl moveToState(FragmentManager java:1036)
    at android support v4 app FragmentManagerImpl moveToState(FragmentManager java:1226)
    at android support v4 app FragmentManagerImpl addFragment(FragmentManager java:1328)
    at android support v4 app FragmentManagerImpl onCreateView(FragmentManager java:2284)
    at android support v4 app FragmentController onCreateView(FragmentController java:111)
    at android support v4 app FragmentActivity dispatchFragmentsOnCreateView(FragmentActivity java:314)
    at android support v4 app BaseFragmentActivityHoneycomb onCreateView(BaseFragmentActivityHoneycomb java:31)
    at android support v4 app FragmentActivity onCreateView(FragmentActivity java:79)
    at android view LayoutInflater createViewFromTag(LayoutInflater java:733)
    at android view LayoutInflater rInflate(LayoutInflater java:806)
    at android view LayoutInflater rInflate(LayoutInflater java:809)
    at android view LayoutInflater inflate(LayoutInflater java:504)
    at android view LayoutInflater inflate(LayoutInflater java:414)
    at android view LayoutInflater inflate(LayoutInflater java:365)
    at android support v7 app AppCompatDelegateImplV7 setContentView(AppCompatDelegateImplV7 java:256)
    at android support v7 app AppCompatActivity setContentView(AppCompatActivity java:109)
    at com thebluealliance androidclient activities NavigationDrawerActivity onCreate(NavigationDrawerActivity java:72)
    at com thebluealliance androidclient activities BaseActivity onCreate(BaseActivity java:59)
    at com thebluealliance androidclient activities DatafeedActivity onCreate(DatafeedActivity java:46)
    at com thebluealliance androidclient activities MyTBASettingsActivity onCreate(MyTBASettingsActivity java:85)
    at com thebluealliance androidclient activities TeamAtEventActivity onCreate(TeamAtEventActivity java:57)
    at android app Activity performCreate(Activity java:6010)
    at android app Instrumentation callActivityOnCreate(Instrumentation java:1129)
    at android app ActivityThread performLaunchActivity(ActivityThread java:2292)
    at android app ActivityThread handleLaunchActivity(ActivityThread java:2413)
    at android app ActivityThread access 800(ActivityThread java:155)
    at android app ActivityThread H handleMessage(ActivityThread java:1317)
    at android os Handler dispatchMessage(Handler java:102)
    at android os Looper loop(Looper java:135)
    at android app ActivityThread main(ActivityThread java:5343)
    at java lang reflect Method invoke(Native Method)
    at java lang reflect Method invoke(Method java:372)
    at com android internal os ZygoteInit MethodAndArgsCaller run(ZygoteInit java:907)
    at com android internal os ZygoteInit main(ZygoteInit java:702)
</t>
  </si>
  <si>
    <t>cgeo-cgeo-5493</t>
  </si>
  <si>
    <t>Nightly build 2016.02.29 not starting</t>
  </si>
  <si>
    <t xml:space="preserve">       Detailed steps causing the problem:
Users reported on support and FB report that the NB is installable but crashed immediately after starting 
Could be related to  5489 
       Version of c:geo used:
2016 02 29 NB
       Is the problem reproducible for you:
To be checked
       Attach system information if available (see c:geo menu    About c:geo    System):
Will attach log this evening (or someone can help out please)
</t>
  </si>
  <si>
    <t>inaturalist-iNaturalistAndroid-132</t>
  </si>
  <si>
    <t>obs list / detail memory management issue</t>
  </si>
  <si>
    <t xml:space="preserve">See https:  play google com apps publish  dev acc 15421172454815845728 ErrorClusterDetailsPlace:p org inaturalist android et CRASH lr LAST 7 DAYS ecn java lang OutOfMemoryError tf VMRuntime java tc dalvik system VMRuntime tm newNonMovableArray nid an c s new status desc  
To replicate  basically just make a few observations and try editing them  particular going from list    detail    edit    taxon chooser  saving  backing out  and trying to do the same for several more  I ve been getting this memory related crash this weekend while trying to tap almost every other observation 
Stack trace:
java lang OutOfMemoryError: Failed to allocate a 48771084 byte allocation with 16777216 free bytes and 29MB until OOM
    at dalvik system VMRuntime newNonMovableArray(Native Method)
    at android graphics BitmapFactory nativeDecodeStream(Native Method)
    at android graphics BitmapFactory decodeStreamInternal(BitmapFactory java:635)
    at android graphics BitmapFactory decodeStream(BitmapFactory java:611)
    at android graphics BitmapFactory decodeStream(BitmapFactory java:649)
    at android provider MediaStore Images Media getBitmap(MediaStore java:867)
    at org inaturalist android ObservationPhotosViewer IdPicsPagerAdapter instantiateItem(ObservationPhotosViewer java:305)
    at org inaturalist android ObservationPhotosViewer IdPicsPagerAdapter instantiateItem(ObservationPhotosViewer java:213)
    at android support v4 view ViewPager addNewItem(ViewPager java:837)
    at android support v4 view ViewPager populate(ViewPager java:987)
    at android support v4 view ViewPager populate(ViewPager java:919)
    at android support v4 view ViewPager onMeasure(ViewPager java:1441)
    at android view View measure(View java:18794)
    at android widget RelativeLayout measureChildHorizontal(RelativeLayout java:715)
    at android widget RelativeLayout onMeasure(RelativeLayout java:461)
    at android view View measure(View java:18794)
    at android view ViewGroup measureChildWithMargins(ViewGroup java:5951)
    at android widget FrameLayout onMeasure(FrameLayout java:194)
    at android view View measure(View java:18794)
    at android view ViewGroup measureChildWithMargins(ViewGroup java:5951)
    at com android internal widget ActionBarOverlayLayout onMeasure(ActionBarOverlayLayout java:446)
    at android view View measure(View java:18794)
    at android view ViewGroup measureChildWithMargins(ViewGroup java:5951)
    at android widget FrameLayout onMeasure(FrameLayout java:194)
    at com android internal policy PhoneWindow DecorView onMeasure(PhoneWindow java:2643)
    at android view View measure(View java:18794)
    at android view ViewRootImpl performMeasure(ViewRootImpl java:2100)
    at android view ViewRootImpl measureHierarchy(ViewRootImpl java:1216)
    at android view ViewRootImpl performTraversals(ViewRootImpl java:1452)
    at android view ViewRootImpl doTraversal(ViewRootImpl java:1107)
    at android view ViewRootImpl TraversalRunnable run(ViewRootImpl java:6013)
    at android view Choreographer CallbackRecord run(Choreographer java:858)
    at android view Choreographer doCallbacks(Choreographer java:670)
    at android view Choreographer doFrame(Choreographer java:606)
    at android view Choreographer FrameDisplayEventReceiver run(Choreographer java:844)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Using build 95 
</t>
  </si>
  <si>
    <t>cSploit-android-596</t>
  </si>
  <si>
    <t>Crash after wifi scan</t>
  </si>
  <si>
    <t xml:space="preserve">In 1 6 5 version  after a wifi scan  the app give a crash message  This happens after the search results appear  or when scrolling the results list  I ve sent a crash report 
I use Xperia Z1 Compact on Android 5 1 1  with SuperSU 2 68 beta 
</t>
  </si>
  <si>
    <t>ac-pm-Inspeckage-1</t>
  </si>
  <si>
    <t>Crashes on "Launch App" for an app without a main/launcher activity</t>
  </si>
  <si>
    <t xml:space="preserve">Really amazing tool  truly awesome work 
I m working with a widget only app which doesn t have a defined main activity  Inspeckage should probably either check the manifest for a valid activity to start or try catch the intent in case it crashes  It currently detects my configure widget activity which (I m guessing) crashes because it expects to be launched from a widget intent and requires additional data 
</t>
  </si>
  <si>
    <t>eclipse-paho.mqtt.android-38</t>
  </si>
  <si>
    <t>Security issue: Paho Android Service is broadcasting all messages and events system wide</t>
  </si>
  <si>
    <t xml:space="preserve">migrated from Bugzilla   446379 (https:  bugs eclipse org bugs show bug cgi id 446379)
status RESOLVED severity  blocker  in component  MQTT Android  for  1 1 
Reported in version  1 0  on platform  All 
Assigned to: Tang Zi Han
Original attachment names and IDs:
    LocalBroadcastManager patch (https:  bugs eclipse org bugs  attachment cgi id 247735)  (ID 247735)
On 2014 10 08 17:48:26  0400  Giso Bartels wrote:
  Created attachment 247735
  Use LocalBroadcastManager instead of system wide one
  The MqttService is using broadcasts to deliver events and messages to the MqttAndroidClient  Those broadcasts are advertised system wide and any third party app also registering a BroadcastReceiver with an action string as in MqttServiceConstants CALLBACK TO ACTIVITY will receive those messages 
  As a quick fix  broadcasting should only be handled by the LocalBroadcastManager from Android s support library 
  Bonus issue: If a user has two or more apps using Paho Android Service installed  those apps will deliver events messages to each other leading to undefined behavior and possibly crashes 
  Attached patch is based on commit SHA: 8de5d2057d9023e06a054b677e2b3325790d640d
On 2014 12 05 01:49:23  0500  Tang Zi Han wrote:
  Fixed at https:  git eclipse org r   c 37627 
  Replace the system wide broadcast with the android support v4 content LocalBroadcastManager 
</t>
  </si>
  <si>
    <t>eclipse-paho.mqtt.android-27</t>
  </si>
  <si>
    <t>MqttService crashes when isOnline is called because getSystemService is returning null</t>
  </si>
  <si>
    <t xml:space="preserve">migrated from Bugzilla   458689 (https:  bugs eclipse org bugs show bug cgi id 458689)
status RESOLVED severity  normal  in component  MQTT Android  for  1 1 
Reported in version  unspecified  on platform  Other 
Assigned to: James Sutton
Original attachment names and IDs:
    MqttServiceCrash txt (https:  bugs eclipse org bugs  attachment cgi id 250327)  (ID 250327)
On 2015 01 28 17:37:01  0500  Ankur Vashi wrote:
  Created attachment 250327
  StackTrace
  MqttService seems to be crashing when attempting a reconnect  Service tries to check if the device isOnline but fails because the ConnectivityManager is null  Not sure why this would be happening  The stack trace is attached 
On 2015 06 20 17:01:31  0400  Elad Nava wrote:
  Reproduced it here as well 
  It s happening because of the following lines:
     return whether the android service can be regarded as online
    public boolean isOnline()  
        ConnectivityManager cm   (ConnectivityManager) getSystemService(CONNECTIVITY SERVICE) 
        if (cm getActiveNetworkInfo()    null
                   cm getActiveNetworkInfo() isAvailable()
                   cm getActiveNetworkInfo() isConnected()
                   backgroundDataEnabled)  
            return true 
    return false 
  The solution would be to assign the active network info object to a temporary variable:
          NetworkInfo info   cm getActiveNetworkInfo() 
    if (info    null    info isAvailable()    info isConnected())
    return true 
On 2015 07 29 13:02:27  0400  Marc Demierre wrote:
       Bug 473775 has been marked as a duplicate of this bug     
On 2015 07 29 13:05:34  0400  Marc Demierre wrote:
  Reproduced on my device (Nexus 5  Android 5 1 1) as well  with the Paho client 1 0 2 
On 2015 08 17 06:31:13  0400  Ian Craggs wrote:
  Assigning to James
On 2015 08 28 06:32:50  0400  James Sutton wrote:
  I accidentally associated the gerrit change with the duplicate Bug 473775 
  The change has been merged to develop 
</t>
  </si>
  <si>
    <t>eclipse-paho.mqtt.android-18</t>
  </si>
  <si>
    <t>Occasional NullPointerException in library when network connection changes</t>
  </si>
  <si>
    <t xml:space="preserve">migrated from Bugzilla   473775 (https:  bugs eclipse org bugs show bug cgi id 473775)
status CLOSED severity  major  in component  MQTT Android  for  1 2 
Reported in version  1 2  on platform  Other 
Assigned to: Ian Craggs
Original attachment names and IDs:
    paho exception txt (https:  bugs eclipse org bugs  attachment cgi id 255490)  (ID 255490)
On 2015 07 28 13:12:20  0400  Marc Demierre wrote:
  Created attachment 255490
  Exception stack trace
  There seems to be a bug in the android client when the connection changes rapidly (for example when having a wonky wifi connection and Android changes quickly between wifi and mobile network) 
  The client has been created this way:
  mMqttAndroidClient   new MqttAndroidClient(mContext  CommonConfig MQTT SERVER URI  StaticConfig MQTT CLIENT ID) 
  MqttConnectOptions options   new MqttConnectOptions() 
  options setCleanSession(false) 
  try  
      mMqttAndroidClient connect(options  null  this) 
    catch (MqttException e)  
      Timber e(e   MQTT connection error ) 
  The client connects fine  and can receive and publish messages  When the network connectivity changes  it usually calls connectionLost() and reconnects fine by itself 
  But sometimes  the exception (stacktrace attached) occurs  The service crashes and does not throw anything back to my app  The exception happens internally when receiving the Broadcast android net conn CONNECTIVITY CHANGE 
  I consider this bug major since it cannot be worked around by the application 
  Please ask for any details you need 
  My device: Nexus 5  Android 5 1 1  all updates installed
  Paho library in build gradle:
  compile( org eclipse paho:org eclipse paho android service:1 0 2 )  
      exclude module:  support v4 
On 2015 07 29 03:17:10  0400  bob Wen wrote:
  same as https:  bugs eclipse org bugs show bug cgi id 458689
  simply change org eclipse paho android service MqttService isOnline to this:
      NetworkInfo info   cm getActiveNetworkInfo() 
    if (info    null    info isAvailable()    info isConnected())
    return true 
  will fix the bug 
On 2015 07 29 13:02:27  0400  Marc Demierre wrote:
  Sorry for the duplicate  I didn t catch the existing bug report 
  It is here: https:  bugs eclipse org bugs show bug cgi id 458689
       This bug has been marked as a duplicate of bug 458689    
On 2015 08 13 05:47:58  0400  Eclipse Genie wrote:
  New Gerrit change created: https:  git eclipse org r 53692
On 2015 08 26 08:50:17  0400  Eclipse Genie wrote:
  New Gerrit change created: https:  git eclipse org r 54579
On 2015 08 26 08:59:07  0400  Eclipse Genie wrote:
  Gerrit change https:  git eclipse org r 54579 was merged to  develop  
  Commit: http:  git eclipse org c paho org eclipse paho mqtt java git commit  id SHA: 20327f43179867e3589cf6f48db5ff032e6f51a4
On 2015 11 12 06:07:12  0500  James Sutton wrote:
       Bug 481192 has been marked as a duplicate of this bug     
</t>
  </si>
  <si>
    <t>eclipse-paho.mqtt.android-3</t>
  </si>
  <si>
    <t>Attempt to release not held wakelock causes exception in AlarmPingSender when timeout</t>
  </si>
  <si>
    <t xml:space="preserve">migrated from Bugzilla   485871 (https:  bugs eclipse org bugs show bug cgi id 485871)
status UNCONFIRMED severity  critical  in component  MQTT Android  for  1 2 
Reported in version  1 2  on platform  Other 
Assigned to: James Sutton
On 2016 01 14 13:12:31  0500  Mike Thomas wrote:
  When connection fails due to 
    Timed out waiting for a response from the server (32000)
    or
    timeout writing to server (32002)  
    I have found that AlarmPingSender onRecieve method enters into the following section of code:
    if(token  null)  
    this wakelock release()
  The wakelock is not always held and without performing an isHeld() check beforehand  goes ahead and attempts to release the wakelock causing an app crashing exception 
  I triggered this error by:
    connecting the android devices to WiFi
    connecting succesfully to the MQTT broker
    removing the internet connection of WiFi source whilst maintaining the WiFi signal so the android device is still connected to WiFi but not actually to the internet 
  Unfortunately this error doesn t seem to happen with the example application  but it does seem to come from the library and not from my code  
  I am using the following library version:
  org eclipse paho android service 1 0 3 20160114 051543 228 jar
  org eclipse paho client mqttv3 1 0 3 20151112 050540 306 jar
  Please see the log below for details:
  12 15 17:09:22 718 15177 15177 com  E ClientState: 5697e1e9eed6e625027d48f6: Timed out as no activity  keepAlive 2 000 lastOutboundActivity 1 450 195 760 714 lastInboundActivity 1 450 195 758 802 time 1 450 195 762 721 lastPing 1 450 195 760 714
  12 15 17:09:22 748 15177 15177  W dalvikvm: threadid 1: thread exiting with uncaught exception (group 0x41750d58)
  12 15 17:09:22 748 15177 15177  E AndroidRuntime: FATAL EXCEPTION: main
                                                                                                     Process: com   PID: 15177
                                                                                                     java lang RuntimeException: Error receiving broadcast Intent   act MqttService pingSender 5697e1e9eed6e625027d48f6 flg 0x14 (has extras)   in org eclipse paho android service AlarmPingSender AlarmReceiver 42254bc8
                                                                                                         at android app LoadedApk ReceiverDispatcher Args run(LoadedApk java:769)
                                                                                                         at android os Handler handleCallback(Handler java:733)
                                                                                                         at android os Handler dispatchMessage(Handler java:95)
                                                                                                         at android os Looper loop(Looper java:136)
                                                                                                         at android app ActivityThread main(ActivityThread java:5584)
                                                                                                         at java lang reflect Method invokeNative(Native Method)
                                                                                                         at java lang reflect Method invoke(Method java:515)
                                                                                                         at com android internal os ZygoteInit MethodAndArgsCaller run(ZygoteInit java:1268)
                                                                                                         at com android internal os ZygoteInit main(ZygoteInit java:1084)
                                                                                                         at dalvik system NativeStart main(Native Method)
                                                                                                      Caused by: java lang RuntimeException: WakeLock under locked MqttService client 5697e1e9eed6e625027d48f6
                                                                                                         at android os PowerManager WakeLock release(PowerManager java:1044)
                                                                                                         at android os PowerManager WakeLock release(PowerManager java:1015)
                                                                                                         at org eclipse paho android service AlarmPingSender AlarmReceiver onReceive(AlarmPingSender java:165)
                                                                                                         at android app LoadedApk ReceiverDispatcher Args run(LoadedApk java:759)
                                                                                                         at android os Handler handleCallback(Handler java:733)  
                                                                                                         at android os Handler dispatchMessage(Handler java:95)  
                                                                                                         at android os Looper loop(Looper java:136)  
                                                                                                         at android app ActivityThread main(ActivityThread java:5584)  
                                                                                                         at java lang reflect Method invokeNative(Native Method)  
                                                                                                         at java lang reflect Method invoke(Method java:515)  
                                                                                                         at com android internal os ZygoteInit MethodAndArgsCaller run(ZygoteInit java:1268)  
                                                                                                         at com android internal os ZygoteInit main(ZygoteInit java:1084)  
                                                                                                         at dalvik system NativeStart main(Native Method)
On 2016 01 15 07:29:02  0500  Mike Thomas wrote:
  Further details: 
  I downloaded the source code today to add the isHeld() check on the wakelock myself  The code section in question was nowhere to be found  and when I ran the app with the android service as an imported module in source code I had no issue  
  The only place I have seen the offending section of code was in Android Studio when looking at the decompiled AlarmPingSender class 
</t>
  </si>
  <si>
    <t>eclipse-paho.mqtt.android-2</t>
  </si>
  <si>
    <t>MqttAndroidClient receives multiple simultaneous onFailure callbacks after calling connect more than once</t>
  </si>
  <si>
    <t xml:space="preserve">migrated from Bugzilla   486520 (https:  bugs eclipse org bugs show bug cgi id 486520)
status UNCONFIRMED severity  normal  in component  MQTT Android  for  1 2 
Reported in version  1 2  on platform  Other 
Assigned to: James Sutton
On 2016 01 25 18:03:42  0500  Jeffrey Charles wrote:
  I have some code that attempts to connect to MQTT again in 5 seconds if it fails to establish a connection (this is designed for a kiosk with no input devices attached so error handling options are kind of limited other than fully restarting the device)  What I m seeing is that if I pass an invalid MQTT URL  the number of times onFailure is called with the same IMqttToken instance starts increasing very quickly causing the application to crash  What I would expect is onFailure to be called once for a given connection attempt 
  Here s some of the code  you can call connect() after creating the MqttAndroidClient with an invalid MQTT url and using MemoryPersistence to see a repro situation 
   DebugLog
  private void connect()  
      MqttConnectOptions connectOptions   new MqttConnectOptions() 
      final int TWO SECONDS   2000 
      connectOptions setConnectionTimeout(TWO SECONDS) 
      try  
          mqttAndroidClient connect(connectOptions  null  connectionCallback) 
        catch (MqttException e)  
          Timber w(e   Failed to connect to mqtt with MqttException ) 
          scheduleConnectAttempt() 
   DebugLog
  private void scheduleConnectAttempt()  
      scheduledExecutorService schedule(connectionRunnable  5  TimeUnit SECONDS) 
   DebugLog
  private class MqttConnectRunnable implements Runnable  
       Override
      public void run()  
          try  
              connect() 
            catch (Throwable t)  
              Timber e(t   Got exception during connect ) 
   DebugLog
  private class MqttConnectionCallback implements IMqttActionListener  
       Override
      public void onSuccess(IMqttToken iMqttToken)  
          eventBus post(new ConnectedToMqtt()) 
       Override
      public void onFailure(IMqttToken iMqttToken  Throwable throwable)  
          Timber w(throwable   Failed to connect to mqtt ) 
          scheduleConnectAttempt() 
  I suspect the source of the problem is the unguarded call to  registerReceiver(MqttAndroidClient this)  on line 433 in org eclipse paho android service org eclipse paho android service src org eclipse paho android service MqttAndroidClient java  Calling registerReceiver with the same object multiple times will result in that object receiving any single broadcast the same number of times it was registered  In my case  calling connect multiple times causes registerReceiver to add the instance as a new receiver each time which causes onReceive to get called that many times for any given single connection attempt resulting in my onFailure method getting called that many times on failure for a given connection attempt  The behaviour I would expect is that registerReceiver would only get called once for a given instance of MqttAndroidClient 
On 2016 01 26 05:23:12  0500  James Sutton wrote:
  Hi  I believe that this issue has been resolved in the develop branch 
  Could you try this with the SNAPSHOT version of the Android Service   MQTTv3 client 
  Change your repository to: https:  repo eclipse org content repositories paho snapshots 
  Change the mqtt client   and Android service version to: 1 0 3 SNAPSHOT
</t>
  </si>
  <si>
    <t>gabrielemariotti-changeloglib-29</t>
  </si>
  <si>
    <t>Incompatibility of appCompat</t>
  </si>
  <si>
    <t xml:space="preserve">When we upgrade AppCompat in app to 23 2 0 and we using MaterialDialogs (https:  github com afollestad material dialogs) to wrap Changeloglib app crash 
It looks as incompatibility of this lib which uses older 22 2 0
Could you please upgrade appCompat libs 
</t>
  </si>
  <si>
    <t>bumptech-glide-1016</t>
  </si>
  <si>
    <t>Catch IllegalStateException in onAttach</t>
  </si>
  <si>
    <t xml:space="preserve">There has already been a fix for this crash but it does not look right to me : the error thrown when the RequestManagerFragment is attached at the wrong time is an IllegalStateException  not an IllegalArgumentException 
Fixes  497 
</t>
  </si>
  <si>
    <t>dmfs-opentasks-221</t>
  </si>
  <si>
    <t>ClassNotFoundException when opening the Editor from the QuickEdit dialog.</t>
  </si>
  <si>
    <t xml:space="preserve">When there is another app that can handle the Edit Intent for Tasks  the Chooser will crash when the editor is opened from the Quickedit dialog  That s because the extras Bundle contains a custom Parcelable class (the ContentSet) 
</t>
  </si>
  <si>
    <t>learningtitans-paperclickers-4</t>
  </si>
  <si>
    <t>Application crashes when generating codes</t>
  </si>
  <si>
    <t xml:space="preserve">Using Android 6 0 application crashes when generating codes 
ava lang IllegalStateException: Underflow in restore   more restores than saves
    at android graphics Canvas native restore(Native Method)
    at android graphics Canvas restore(Canvas java:540)
    at com paperclickers SettingsActivity printCodes2PerPage(SettingsActivity java:582)
    at com paperclickers SettingsActivity printAndShareCodes(SettingsActivity java:441)
    at com paperclickers SettingsActivity onNewIntent(SettingsActivity java:299)
    at android app Instrumentation callActivityOnNewIntent(Instrumentation java:1235)
    at android app Instrumentation callActivityOnNewIntent(Instrumentation java:1247)
    at android app ActivityThread deliverNewIntents(ActivityThread java:2563)
    at android app ActivityThread performNewIntents(ActivityThread java:2575)
    at android app ActivityThread handleNewIntent(ActivityThread java:2584)
    at android app ActivityThread  wrap12(ActivityThread java)
    at android app ActivityThread H handleMessage(ActivityThread java:1426)
    at android os Handler dispatchMessage(Handler java:102)
    at android os Looper loop(Looper java:148)
    at android app ActivityThread main(ActivityThread java:5443)
    at java lang reflect Method invoke(Native Method)
    at com android internal os ZygoteInit MethodAndArgsCaller run(ZygoteInit java:728)
    at com android internal os ZygoteInit main(ZygoteInit java:618)
</t>
  </si>
  <si>
    <t>moneymanagerex-android-money-manager-ex-708</t>
  </si>
  <si>
    <t>Exception when downloading quotes or currencies</t>
  </si>
  <si>
    <t xml:space="preserve">The app crashes when downloading quotes currencies from Yahoo 
Need to handle the error more gracefully 
              APP DETAILS             
Version: 2016 02 26
Build: 774
              CAUSE OF ERROR             
java lang NullPointerException: Attempt to invoke virtual method  com google gson JsonObject com google gson JsonElement getAsJsonObject()  on a null object reference
    at com money manager ex investment YqlSecurityPriceUpdaterRetrofit onContentDownloaded(YqlSecurityPriceUpdaterRetrofit java:116)
    at com money manager ex investment YqlSecurityPriceUpdaterRetrofit 1 onResponse(YqlSecurityPriceUpdaterRetrofit java:89)
    at retrofit ExecutorCallAdapterFactory ExecutorCallback 1 run(ExecutorCallAdapterFactory java:86)
    at android os Handler handleCallback(Handler java:739)
    at android os Handler dispatchMessage(Handler java:95)
    at android os Looper loop(Looper java:148)
    at android app ActivityThread main(ActivityThread java:5466)
    at java lang reflect Method invoke(Native Method)
    at com android internal os ZygoteInit MethodAndArgsCaller run(ZygoteInit java:726)
    at com android internal os ZygoteInit main(ZygoteInit java:616)
</t>
  </si>
  <si>
    <t>Simicart-Android-core-6</t>
  </si>
  <si>
    <t xml:space="preserve">Problem with permission Android 6 </t>
  </si>
  <si>
    <t xml:space="preserve">Store locator crash app in Android 6 0 and up 
  Check permission before use 
  Enable permission location
</t>
  </si>
  <si>
    <t>Harlber-Moose-30</t>
  </si>
  <si>
    <t>Crash in Article List</t>
  </si>
  <si>
    <t xml:space="preserve"> img src  https:  cloud githubusercontent com assets 7955320 13449957 3498f168 e06b 11e5 8aa6 28bf04fcb17a png  width    572  height    300  alt  crash 2016 02 23 08 12 15  align center   
</t>
  </si>
  <si>
    <t>jonburney-KingsgateMediaPlayer-Android-14</t>
  </si>
  <si>
    <t>Video player crashes when device is rotated</t>
  </si>
  <si>
    <t xml:space="preserve">If the device is rotated when the video is playing the the video player crashes with the error  Can t play this video 
</t>
  </si>
  <si>
    <t>UweTrottmann-SeriesGuide-484</t>
  </si>
  <si>
    <t>List widget not updating</t>
  </si>
  <si>
    <t xml:space="preserve"> Status: can not reproduce  though observed on own device once _x000D_
_x000D_
Example:  Upcoming  widget  an episode shows as tomorrow though the day is already today  Note that marking an episode as watched updates it  _x000D_
  It s maybe not Android 6 (one user on 5 1 1 LG V10)_x000D_
  2x 6 0 LG V4  5 1 1 LG V10  my own 6 0 Moto X Play_x000D_
  Reports since about version 28  29 beta2 (which trigger widget updates also from within the app  not just through the update alarm)_x000D_
_x000D_
  Possible causes  _x000D_
  Briefly caught  ListWidgetProvider  crashing  maybe this is a cause _x000D_
  Trying with context used to update widget set to app context    released with 29 beta3  _x000D_
  App Standby not the issue: app can t enter app standby if widget added to home screen (tested on emulator and device) _x000D_
  Doze mode  In theory  setRepeating  alarm should be delivered after leaving doze mode  works on my device    Causes multiple alarms to be delivered at once  switched to using single alarm and re setting it (18e7073e8c71b366345a75eabb1442d5c7c6a4b6  v40 beta6)  _x000D_
_x000D_
  Links  _x000D_
   Community feedback (https:  plus google com  SeriesGuideApp posts FgTXrFNL2eC)_x000D_
  http:  developer android com training monitoring device state doze standby html testing doze and app standby_x000D_
</t>
  </si>
  <si>
    <t>arimorty-floatingsearchview-32</t>
  </si>
  <si>
    <t>SearchView crashes when the activity is restored</t>
  </si>
  <si>
    <t xml:space="preserve">1  Turn on the developer option  don t keep activities 
2  Open the demo app
3  Type  a 
4  Press the home key to return to the home screen
5  Go back to the demo app
The app crashes:
 Process: com arlib floatingsearchviewdemo  PID: 31704
                                                                                  java lang RuntimeException: Unable to start activity ComponentInfo com arlib floatingsearchviewdemo com arlib floatingsearchviewdemo MainActivity : java lang RuntimeException: Parcel android os Parcel de9ab18: Unmarshalling unknown type code 6619246 at offset 972
                                                                                      at android app ActivityThread performLaunchActivity(ActivityThread java:2416)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RuntimeException: Parcel android os Parcel de9ab18: Unmarshalling unknown type code 6619246 at offset 972
                                                                                      at android os Parcel readValue(Parcel java:2340)
                                                                                      at android os Parcel readSparseArrayInternal(Parcel java:2675)
                                                                                      at android os Parcel readSparseArray(Parcel java:1967)
                                                                                      at android os Parcel readValue(Parcel java:2321)
                                                                                      at android os Parcel readArrayMapInternal(Parcel java:2614)
                                                                                      at android os BaseBundle unparcel(BaseBundle java:221)
                                                                                      at android os Bundle getSparseParcelableArray(Bundle java:856)
                                                                                      at com android internal policy PhoneWindow restoreHierarchyState(PhoneWindow java:2033)
                                                                                      at android app Activity onRestoreInstanceState(Activity java:1008)
                                                                                      at android app Activity performRestoreInstanceState(Activity java:963)
                                                                                      at android app Instrumentation callActivityOnRestoreInstanceState(Instrumentation java:1163)
                                                                                      at android app ActivityThread performLaunchActivity(ActivityThread java:2389)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</si>
  <si>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sylvek-itracing2-48</t>
  </si>
  <si>
    <t>Samsung Galaxy S6 kills the BluetoothLEService</t>
  </si>
  <si>
    <t xml:space="preserve">   
I ActivityManager( 5832): Force stopping net sylvek itracing2 appid 10458 user 0: SPCM kill lowestscore package 
I ActivityManager( 5832): Killing 3679:net sylvek itracing2 u0a458 (adj 8): stop net sylvek itracing2 cause SPCM kill lowestscore package 
W ActivityManager( 5832): Scheduling restart of crashed service net sylvek itracing2  BluetoothLEService in 1000ms
I ActivityManager( 5832):   Force stopping service ServiceRecord 2b1e660f u0 net sylvek itracing2  BluetoothLEService 
after that  iTracing2 couldn t discovers iTags    we need to power off on the bluetooth feature to relaunch the BluetoothLEService
</t>
  </si>
  <si>
    <t>square-flow-175</t>
  </si>
  <si>
    <t>History may not be empty</t>
  </si>
  <si>
    <t xml:space="preserve">Hi guys 
I m facing a problem with  Flow(getView()) goBack()  method  This crash appears when I go to next screen and then press back button very fast (while animation is still in progress) 
java lang IllegalArgumentException: History may not be empty                                                                          at flow Preconditions checkArgument(Preconditions java:27)
                           at flow History  init (History java:48)
                           at flow History  init (History java:34)
               at flow History Builder build(History java:185)
                            at flow Flow goBack(Flow java:241)
I guess that the problem might be related to my cusom KeyChanger class implementation as  callback onTraversalCompleted()  method is not called until animation is finished 
I m using the latest Flow version in maven (  1 0 0 alpha  ) 
Is this a bug or am I doing something wrong  Thanks 
</t>
  </si>
  <si>
    <t>Ereza-CustomActivityOnCrash-21</t>
  </si>
  <si>
    <t>ClassNotFoundException if some other app is using the error intent filter</t>
  </si>
  <si>
    <t xml:space="preserve">If the device has another app with CustomActivityOnCrash which has an Activity with  cat ereza customactivityoncrash ERROR  as intent filter and you dont  CustomActivityOnCrash getErrorActivityClassWithIntentFilter() will throw a ClassNotFoundException
</t>
  </si>
  <si>
    <t>jMonkeyEngine-sdk-11</t>
  </si>
  <si>
    <t>crash in sdk when dev machine returning from sleep mode</t>
  </si>
  <si>
    <t xml:space="preserve"> From  ghost on March 24  2014 19:35 
Reference on googlecode: https:  code google com p jmonkeyengine issues detail id 582
  I have noticed the SDK crashes when returning from sleep mode  I believe this to be related to the openGL preview window that is available in the SDK 
  Crash 1: returning from sleep mode  openGL preview is up already displaying a model  crash throws many blank error boxes  must force quit application 
  Crash 2: returning from sleep mode  openGL preview is not up  I added a model via import  when I went to go preview it in the SDK then crashed the same as before  Major note: SDK then went on to delete the original model file from my disk  luckily the model was still open in Blender  so I simply resaved the file and re wrote it to disk 
  Windows 8  64bit
 Copied from original issue: jMonkeyEngine jmonkeyengine 93 
</t>
  </si>
  <si>
    <t>cgeo-cgeo-5505</t>
  </si>
  <si>
    <t>Crashes when opening cache description with image from dropbox</t>
  </si>
  <si>
    <t xml:space="preserve">       Detailed steps causing the problem:
  Search for and open GC5XBKZ  GC5NVYK or GC68R58 and many more with the partial name Bild af Pite  
       Actual behaviour after performing these steps:
  After a second the app crashes and sends you back to the start page 
  It just happens with some caches  not all 
  One common thing with the ones that causes the crash seems to be that they all have linked images from dropbox in the description using the short url format  https:  db tt U7YqJqwN  Don t know if it is a coincident or not 
       Version of c:geo used:
2016 03 05 NB
The bug has been present in the NB:s for maybe a week by now 
       Is the problem reproducible for you:
Yes
</t>
  </si>
  <si>
    <t>gabrielemariotti-changeloglib-31</t>
  </si>
  <si>
    <t>NPE with 23.2.0 in android.support.v7.widget.RecyclerView$ItemAnimator$ItemHolderInfo.left</t>
  </si>
  <si>
    <t xml:space="preserve">As reported by Zeliret in  28:
For me there is another problem  I have a crash: 
    java
java lang NullPointerException: Attempt to read from field  int android support v7 widget RecyclerView ItemAnimator ItemHolderInfo left  on a null object reference
                                                                 at android support v7 widget SimpleItemAnimator animateDisappearance(SimpleItemAnimator java:78)
                                                                 at android support v7 widget RecyclerView animateDisappearance(RecyclerView java:3246)
                                                                 at android support v7 widget RecyclerView access 700(RecyclerView java:147)
                                                                 at android support v7 widget RecyclerView 4 processDisappeared(RecyclerView java:422)
                                                                 at android support v7 widget ViewInfoStore process(ViewInfoStore java:231)
                                                                 at android support v7 widget RecyclerView dispatchLayoutStep3(RecyclerView java:3086)
                                                                 at android support v7 widget RecyclerView dispatchLayout(RecyclerView java:2914)
                                                                 at android support v7 widget RecyclerView onLayout(RecyclerView java:3277)
                                                                 at android view View layout(View java:16636)
                                                                 at android view ViewGroup layout(ViewGroup java:5437)
                                                                 at android widget FrameLayout layoutChildren(FrameLayout java:336)
                                                                 at android widget FrameLayout onLayout(FrameLayout java:273)
                                                                 at android view View layout(View java:16636)
                                                                 at android view ViewGroup layout(ViewGroup java:5437)
                                                                 at android widget FrameLayout layoutChildren(FrameLayout java:336)
                                                                 at android widget FrameLayout onLayout(FrameLayout java:273)
                                                                 at android view View layout(View java:16636)
                                                                 at android view ViewGroup layout(ViewGroup java:5437)
                                                                 at android widget LinearLayout setChildFrame(LinearLayout java:1743)
                                                                 at android widget LinearLayout layoutVertical(LinearLayout java:1586)
                                                                 at android widget LinearLayout onLayout(LinearLayout java:1495)
                                                                 at android view View layout(View java:16636)
                                                                 at android view ViewGroup layout(ViewGroup java:5437)
                                                                 at android widget FrameLayout layoutChildren(FrameLayout java:336)
                                                                 at android widget FrameLayout onLayout(FrameLayout java:273)
                                                                 at android view View layout(View java:16636)
                                                                 at android view ViewGroup layout(ViewGroup java:5437)
                                                                 at android widget FrameLayout layoutChildren(FrameLayout java:336)
                                                                 at android widget FrameLayout onLayout(FrameLayout java:273)
                                                                 at android view View layout(View java:16636)
                                                                 at android view ViewGroup layout(ViewGroup java:5437)
                                                                 at android widget FrameLayout layoutChildren(FrameLayout java:336)
                                                                 at android widget FrameLayout onLayout(FrameLayout java:273)
                                                                 at android view View layout(View java:16636)
                                                                 at android view ViewGroup layout(ViewGroup java:5437)
                                                                 at android widget LinearLayout setChildFrame(LinearLayout java:1743)
                                                                 at android widget LinearLayout layoutVertical(LinearLayout java:1586)
                                                                 at android widget LinearLayout onLayout(LinearLayout java:1495)
                                                                 at android view View layout(View java:16636)
                                                                 at android view ViewGroup layout(ViewGroup java:5437)
                                                                 at android widget FrameLayout layoutChildren(FrameLayout java:336)
                                                                 at android widget FrameLayout onLayout(FrameLayout java:273)
                                                                 at com android internal policy PhoneWindow DecorView onLayout(PhoneWindow java:2678)
                                                                 at android view View layout(View java:16636)
                                                                 at android view ViewGroup layout(ViewGroup java:5437)
                                                                 at android view ViewRootImpl performLayout(ViewRootImpl java:2171)
                                                                 at android view ViewRootImpl performTraversals(ViewRootImpl java:1931)
                                                                 at android view ViewRootImpl doTraversal(ViewRootImpl java:1107)
                                                                 at android view ViewRootImpl TraversalRunnable run(ViewRootImpl java:6013)
                                                                 at android view Choreographer CallbackRecord run(Choreographer java:858)
                                                                 at android view Choreographer doCallbacks(Choreographer java:670)
                                                                 at android view Choreographer doFrame(Choreographer java:606)
                                                                 at android view Choreographer FrameDisplayEventReceiver run(Choreographer java:844)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
My layout:
    xml
 it gmariotti changelibs library view ChangeLogRecyclerView
    android:id    id view 
    xmlns:android  http:  schemas android com apk res android 
    xmlns:app  http:  schemas android com apk res auto 
    android:layout width  match parent 
    android:layout height  wrap content 
    android:clipToPadding  false 
    android:paddingBottom   dimen padding narrow 
    android:paddingTop   dimen padding narrow 
    app:rowHeaderLayoutId   layout header changelog 
    app:rowLayoutId   layout item changelog   
</t>
  </si>
  <si>
    <t>thaliproject-Thali_CordovaPlugin_BtLibrary-49</t>
  </si>
  <si>
    <t>Crash with Thread problem BluetoothConnector.java new CountDownTimer</t>
  </si>
  <si>
    <t xml:space="preserve">If I have an Android device ruing the NativeTestApp and I start stop the App on other devices this crash happens:
thaliproject p2p btconnectorlib internal bluetooth BluetoothConnector: connect: Failed to create the connection timeout timer: Can t create handler inside thread that has not called Looper prepare()
   java lang RuntimeException: Can t create handler inside thread that has not called Looper prepare()
       at android os Handler  init (Handler java:200)
       at android os Handler  init (Handler java:114)
       at android os CountDownTimer 1  init (CountDownTimer java:109)
       at android os CountDownTimer  init (CountDownTimer java:109)
       at org thaliproject p2p btconnectorlib internal bluetooth BluetoothConnector 9  init (BluetoothConnector java:605)
       at org thaliproject p2p btconnectorlib internal bluetooth BluetoothConnector createConnectionTimeoutTimer(BluetoothConnector java:604)
       at org thaliproject p2p btconnectorlib internal bluetooth BluetoothConnector connect(BluetoothConnector java:348)
       at org thaliproject p2p btconnectorlib ConnectionManager connect(ConnectionManager java:193)
       at org thaliproject nativetest app ConnectionEngine connect(ConnectionEngine java:182)
       at org thaliproject nativetest app ConnectionEngine autoConnectIfEnabled(ConnectionEngine java:549)
       at org thaliproject nativetest app ConnectionEngine 2 run(ConnectionEngine java:500)
I do have auto connect enabled on all the devices  and it does seem to be in the method call traces starting with autoConnectIfEnabled 
I am curious about the logic here   We are inside the Engine processing a onDisconnected   which creates a new thread   But the curious thing to me is why would a onDisconnected method be doing a autoConnectIfEnabled   If a new thread is being spawned to process the onDisconnect  could it be more sensible to let that thread end (accomplishing only the disconnect) and then let the autoconnect logic start over and decide which peer should be targeted 
 huboard:  order :1 951563910473908e 18  milestone order :49  custom state :   
</t>
  </si>
  <si>
    <t>SCCapstone-FitLivin-43</t>
  </si>
  <si>
    <t>Crashes when Going to Goals page</t>
  </si>
  <si>
    <t xml:space="preserve">On a new account  I can go to Goals and set some goals  then go back home  
But  once I have set Goals the app crashes every time I try to go back to Goals 
 img width  497  alt  5554 nexus 9 api 22  src  https:  cloud githubusercontent com assets 228704 13578175 4c507fb8 e464 11e5 81da b7341f5bd21b png  
</t>
  </si>
  <si>
    <t>SCCapstone-FitLivin-41</t>
  </si>
  <si>
    <t>Crashes on 6P emulator</t>
  </si>
  <si>
    <t xml:space="preserve">When I try to (click on) go to Points on the emulator 6P it crashes 
But  on the emulated nexus 9 it works  Also works on my real 6P phone  :confused:  Maybe it is that horrible background image 
</t>
  </si>
  <si>
    <t>SCCapstone-diet-33</t>
  </si>
  <si>
    <t>Crashes when Admin tries to edit patient's meal</t>
  </si>
  <si>
    <t xml:space="preserve">the crash is right after I hit the Save button 
</t>
  </si>
  <si>
    <t>bitstadium-HockeySDK-Android-139</t>
  </si>
  <si>
    <t>CrashManager uses wrong text resource for positive dialog button</t>
  </si>
  <si>
    <t xml:space="preserve">CrashManager showDialog sets R string hockeyapp dialog positive button  instead
of R string hockeyapp crash dialog positive button  as the positive dialog button text resource 
This makes the crash dialog show OK for the positive button instead of Send 
</t>
  </si>
  <si>
    <t>aws-amplify-aws-sdk-android-110</t>
  </si>
  <si>
    <t>AWS-Mobile Analytics</t>
  </si>
  <si>
    <t xml:space="preserve">EventStoreException while getSessionClient() pauseSession() leading to app crash 
SDK:  com amazonaws:aws android sdk mobileanalytics:2 2 12 
java lang RuntimeException: Unable to pause activity  XXXActivity : com amazonaws mobileconnectors amazonmobileanalytics internal delivery EventStoreException: Unable to open session file writer
    at android app ActivityThread performPauseActivity(ActivityThread java:2906)
    at android app ActivityThread performPauseActivity(ActivityThread java:2862)
    at android app ActivityThread handlePauseActivity(ActivityThread java:2840)
    at android app ActivityThread access 900(ActivityThread java:143)
    at android app ActivityThread H handleMessage(ActivityThread java:1258)
    at android os Handler dispatchMessage(Handler java:99)
    at android os Looper loop(Looper java:137)
    at android app ActivityThread main(ActivityThread java:4960)
    at java lang reflect Method invokeNative(Native Method)
    at java lang reflect Method invoke(Method java:511)
    at com android internal os ZygoteInit MethodAndArgsCaller run(ZygoteInit java:1038)
    at com android internal os ZygoteInit main(ZygoteInit java:805)
    at dalvik system NativeStart main(Native Method)
Caused by: com amazonaws mobileconnectors amazonmobileanalytics internal delivery EventStoreException: Unable to open session file writer
    at com amazonaws mobileconnectors amazonmobileanalytics internal session FileSessionStore tryInitializeWriter(FileSessionStore java:100)
    at com amazonaws mobileconnectors amazonmobileanalytics internal session FileSessionStore storeSession(FileSessionStore java:70)
    at com amazonaws mobileconnectors amazonmobileanalytics internal session client SessionClientState executePause(SessionClientState java:107)
    at com amazonaws mobileconnectors amazonmobileanalytics internal session client ActiveSessionState pause(ActiveSessionState java:48)
    at com amazonaws mobileconnectors amazonmobileanalytics internal session client DefaultSessionClient pauseSession(DefaultSessionClient java:92)
Caused by: java io FileNotFoundException:  XXX app 119f9c4fe2a347158f8eb5694564f123515d6767 01b7 49e5 8273 c8d11b0f331d sessions sessionFile: open failed: ENOENT (No such file or directory)
    at libcore io IoBridge open(IoBridge java:416)
    at java io FileOutputStream  init (FileOutputStream java:88)
    at com amazonaws mobileconnectors amazonmobileanalytics internal core system DefaultFileManager newOutputStream(DefaultFileManager java:123)
    at com amazonaws mobileconnectors amazonmobileanalytics internal session FileSessionStore tryInitializeWriter(FileSessionStore java:96)
        21 more
Caused by: libcore io ErrnoException: open failed: ENOENT (No such file or directory)
    at libcore io Posix open(Native Method)
    at libcore io BlockGuardOs open(BlockGuardOs java:110)
    at libcore io IoBridge open(IoBridge java:400)
</t>
  </si>
  <si>
    <t>danikula-AndroidVideoCache-62</t>
  </si>
  <si>
    <t xml:space="preserve">Seeing this crash a lot:
Fatal Exception: java lang ArrayIndexOutOfBoundsException
       at com android okio Util checkOffsetAndCount(Util java:29)
       at com android okio OkBuffer write(OkBuffer java:570)
       at com android okio OkBuffer read(OkBuffer java:610)
       at com android okio RealBufferedSource read(RealBufferedSource java:56)
       at com android okhttp internal http HttpConnection FixedLengthSource read(HttpConnection java:465)
       at com android okhttp internal Util skipAll(Util java:227)
       at com android okhttp internal http HttpConnection discard(HttpConnection java:235)
       at com android okhttp internal http HttpConnection FixedLengthSource close(HttpConnection java:487)
       at com android okhttp internal Util closeQuietly(Util java:97)
       at com android okhttp internal http HttpEngine close(HttpEngine java:580)
       at com android okhttp internal http HttpURLConnectionImpl disconnect(HttpURLConnectionImpl java:113)
       at com android okhttp internal http DelegatingHttpsURLConnection disconnect(DelegatingHttpsURLConnection java:93)
       at com android okhttp internal http HttpsURLConnectionImpl disconnect(HttpsURLConnectionImpl java:25)
       at com danikula videocache HttpUrlSource close(HttpUrlSource java:80)
       at com danikula videocache ProxyCache closeSource(ProxyCache java:160)
       at com danikula videocache ProxyCache readSource(ProxyCache java:141)
       at com danikula videocache ProxyCache access 100(ProxyCache java:19)
       at com danikula videocache ProxyCache SourceReaderRunnable run(ProxyCache java:179)
       at java lang Thread run(Thread java:818)
</t>
  </si>
  <si>
    <t>Rajawali-Rajawali-1600</t>
  </si>
  <si>
    <t>PR for #1504</t>
  </si>
  <si>
    <t xml:space="preserve">See commit message   
If the secondary check (for color bit sizes) is not useful as is  I ll be happy to remove modify it and retest 
I ran all the examples on my S3 and noted anything unusual in the attached file:
 issue 1504 example notes txt (https:  github com Rajawali Rajawali files 163926 issue 1504 example notes txt)
Of particular interest: ETC2 provides an appropriate message that ES 3 is not supported  and a Vuforia crash 
As an aside  libVuforia so is getting (re)built every time even though it is under source control  and so shows up as modified  Is this intentional 
Let me know if there are any git branching issues I ve missed 
</t>
  </si>
  <si>
    <t>coomar2841-android-multipicker-library-7</t>
  </si>
  <si>
    <t>android.os.NetworkOnMainThreadException</t>
  </si>
  <si>
    <t xml:space="preserve">When load image from Picassa gallery on android 4 1 2 application crash wit error:
android os NetworkOnMainThreadException
at com kbeanie multipicker core threads ImageProcessorThread 1 run(ImageProcessorThread java:49)
Uri returned in onActivityResult   content:  com sec android gallery3d provider picasa item 5545697766928513266
</t>
  </si>
  <si>
    <t>Freeyourgadget-Gadgetbridge-249</t>
  </si>
  <si>
    <t>Mi Band stuck on Initializing</t>
  </si>
  <si>
    <t xml:space="preserve">At morning I used GB with success (even heart monitor)
But after work  I went in GB  click on mi band to connect to it   it started  initializing  and stuck that way 
I can enter the data that was sync on morning  but cant sync it any more 
after quiting GB band connected but taping on it made app crash 
That was same for 3 times  after setting debug log write in settings  quiting  reopening and taping it started to work 
Just to be sure   this is Android 6 0 (CM13)   Mi Band 1S 
Is there is anyway I could help with collecting data for this It would be great 
</t>
  </si>
  <si>
    <t>opensrp-opensrp-client-172</t>
  </si>
  <si>
    <t>Add error message instead of having app crash every time "+" button is tapped without QR code app installed</t>
  </si>
  <si>
    <t xml:space="preserve">In both Woman and Child register  the app crashes every time the     button is tapped to register a new client  if the user does not have QR code reader app installed   It would be better to return an error or note instructing the user to download a QR code reader from the play store instead of having the app crash 
 maimoonak 
</t>
  </si>
  <si>
    <t>Harlber-Moose-34</t>
  </si>
  <si>
    <t xml:space="preserve">Crash in 'ArticleView' </t>
  </si>
  <si>
    <t xml:space="preserve"> img src  https:  cloud githubusercontent com assets 7955320 13658079 f441ff84 e6ae 11e5 9490 270ef7a2f05a png  width    572  height    300  alt  crash articleview  align center   
</t>
  </si>
  <si>
    <t>IgorGee-Carbonizr-29</t>
  </si>
  <si>
    <t>Application crashes when user authorizes their account.</t>
  </si>
  <si>
    <t xml:space="preserve">java lang RuntimeException: Can t create handler inside thread that has not called Looper prepare()
Every time a user attempts to authorize  the app crashes  however they are signed in regardless the next time they open the application 
</t>
  </si>
  <si>
    <t>OneDrive-onedrive-picker-android-12</t>
  </si>
  <si>
    <t>Business filepicker</t>
  </si>
  <si>
    <t xml:space="preserve">The Onedrive app crashes when im trying to use the filepicker for business  Works great on personal  Im using linktyp downloadlink and isnt the sdk suppose to support that for business 
</t>
  </si>
  <si>
    <t>dimagi-commcare-android-1127</t>
  </si>
  <si>
    <t>Move grid pref entry to main settings</t>
  </si>
  <si>
    <t xml:space="preserve">Addresses NPE crash that occurs when the main settings menu is entered 
Follow up to https:  github com dimagi commcare odk pull 1120
</t>
  </si>
  <si>
    <t>fossasia-open-event-droidgen-281</t>
  </si>
  <si>
    <t>App crashes on clicking of some sessions</t>
  </si>
  <si>
    <t xml:space="preserve">Go to Hardware and IoT      The outstanding keynote at FOSSASIA  
App crashes  This could happen for other sessions under other tracks too I think 
I ll try fixing this   mananwason till when do you want this 
</t>
  </si>
  <si>
    <t>dimagi-commcare-android-1134</t>
  </si>
  <si>
    <t>Broad Catch for Resource Scan Crash</t>
  </si>
  <si>
    <t xml:space="preserve">Fixes the crash when the app is loading resources in the middle of receiving an update 
</t>
  </si>
  <si>
    <t>a-songac-MapX390-56</t>
  </si>
  <si>
    <t>Out of memory exception</t>
  </si>
  <si>
    <t xml:space="preserve">The application crashes after multiple notifications and image video viewing  When clicking back afterwards  it brings back the user to the map fragment but does not re enable the drawer
</t>
  </si>
  <si>
    <t>Karumi-Dexter-50</t>
  </si>
  <si>
    <t>Dexter.checkPermissionOnSameThread crashes when Looper has already been prepared</t>
  </si>
  <si>
    <t xml:space="preserve">    Expected behaviour
Calling  Dexter checkPermissionOnSameThread  shouldn t crash if a looper has already been prepared
    Actual behaviour
03 14 17:00:16 549 16003 16614 com blah E AndroidRuntime: FATAL EXCEPTION: IntentService GeofenceTransitionsIntentService 
                                                                       Process: com blah  PID: 16003
                                                                       java lang RuntimeException: Only one Looper may be created per thread
                                                                           at android os Looper prepare(Looper java:82)
                                                                           at android os Looper prepare(Looper java:77)
                                                                           at com karumi dexter WorkerThread  init (WorkerThread java:30)
                                                                           at com karumi dexter ThreadFactory makeSameThread(ThreadFactory java:40)
                                                                           at com karumi dexter Dexter checkPermissionOnSameThread(Dexter java:60)
                                                                           at    
    Steps to reproduce
In a background thread  call  Looper prepare()  before calling  Dexter checkPermissionOnSameThread 
    Version of the library
2 2 1
    Fix
According to stack overflow adding the following to  WorkerThread java  should fix it (or at least this exception):
    java
if (Looper myLooper()    null)  
    Looper prepare() 
I haven t tested the fix but it should work  I ll see about doing a pull request soon but someone feel free to beat me to it 
</t>
  </si>
  <si>
    <t>zhuowei-MCPELauncher-776</t>
  </si>
  <si>
    <t>Crashes every time I attack or break a block</t>
  </si>
  <si>
    <t xml:space="preserve">I have a moto g3(3rd generation)
Mcpe 0 14 0 
Android 6 0 marshmallow  And it keeps crashing even though I don t have any mods or texture packs or anything at all  Please help me 
</t>
  </si>
  <si>
    <t>ResearchStack-ResearchStack-66</t>
  </si>
  <si>
    <t>allow avoiding signature</t>
  </si>
  <si>
    <t xml:space="preserve">It seems like it is foreseen by the isSignatureEnabledInConsent() function  but when I set it to false the app crashes with this exception:
(if set to true  then it doesn t crash)
03 14 11:09:10 175 14236 14236 uk ac ox ibme myheartcounts E AndroidRuntime: FATAL EXCEPTION: main
 Process: uk ac ox ibme myheartcounts  PID: 14236
 java lang RuntimeException: Failure delivering result ResultInfo who null  request 1001  result  1  data Intent   (has extras)    to activity  uk ac ox ibme myheartcounts org researchstack skin ui SignUpTaskActivity : java lang NullPointerException: Attempt to invoke virtual method  java lang Object org researchstack backbone result StepResult getResultForIdentifier(java lang String)  on a null object reference
     at android app ActivityThread deliverResults(ActivityThread java:4672)
     at android app ActivityThread handleSendResult(ActivityThread java:4715)
     at android app ActivityThread access 1500(ActivityThread java:198)
     at android app ActivityThread H handleMessage(ActivityThread java:1725)
     at android os Handler dispatchMessage(Handler java:102)
     at android os Looper loop(Looper java:145)
     at android app ActivityThread main(ActivityThread java:6837)
     at java lang reflect Method invoke(Native Method)
     at java lang reflect Method invoke(Method java:372)
     at com android internal os ZygoteInit MethodAndArgsCaller run(ZygoteInit java:1404)
     at com android internal os ZygoteInit main(ZygoteInit java:1199)
  Caused by: java lang NullPointerException: Attempt to invoke virtual method  java lang Object org researchstack backbone result StepResult getResultForIdentifier(java lang String)  on a null object reference
     at org researchstack skin ui SignUpTaskActivity saveConsentResultInfo(SignUpTaskActivity java:132)
     at org researchstack skin ui SignUpTaskActivity onActivityResult(SignUpTaskActivity java:98)
     at android app Activity dispatchActivityResult(Activity java:6758)
     at android app ActivityThread deliverResults(ActivityThread java:4668)
     at android app ActivityThread handleSendResult(ActivityThread java:4715) 
     at android app ActivityThread access 1500(ActivityThread java:198) 
     at android app ActivityThread H handleMessage(ActivityThread java:1725) 
     at android os Handler dispatchMessage(Handler java:102) 
     at android os Looper loop(Looper java:145) 
     at android app ActivityThread main(ActivityThread java:6837) 
     at java lang reflect Method invoke(Native Method) 
     at java lang reflect Method invoke(Method java:372) 
     at com android internal os ZygoteInit MethodAndArgsCaller run(ZygoteInit java:1404) 
     at com android internal os ZygoteInit main(ZygoteInit java:1199) 
</t>
  </si>
  <si>
    <t>k9mail-k-9-1176</t>
  </si>
  <si>
    <t>Select all is broken</t>
  </si>
  <si>
    <t xml:space="preserve">    Expected behaviour
Select all in inbox should mark all emails as selected
    Actual behaviour
K 9 mail crashes
    Steps to reproduce
1  Select all
   2 Crash
   3 
    Environment
K 9 Mail version:
5 008
Android version:
6 0
Account type (IMAP  POP3  WebDAV Exchange):
POP3
</t>
  </si>
  <si>
    <t>alhazmy13-HijriDatePicker-10</t>
  </si>
  <si>
    <t>App is crashing!</t>
  </si>
  <si>
    <t xml:space="preserve">Dear 
If you click on the empty area where there is no date  the application got crashed with an error Unable to parse Integer  Following is the code line of HijriCalendarView class where application is crashing:
calendarInstance setDay(Integer parseInt(temp getText() toString())) 
To fix this issues  correct the String empty check:
if ( temp getText() toString() isEmpty())
to
if ( temp getText() toString() trim() isEmpty())
</t>
  </si>
  <si>
    <t>google-blockly-android-122</t>
  </si>
  <si>
    <t>Crash after adding lots of blocks and dragging them around</t>
  </si>
  <si>
    <t xml:space="preserve">Did airstrike  carpet bomb  spaghetti  and airstrike again then dragged some blocks out of the spaghetting stack and it crashed 
03 15 14:09:15 978  2050  2050 E AndroidRuntime: FATAL EXCEPTION: main
03 15 14:09:15 978  2050  2050 E AndroidRuntime: Process: com google blockly demo  PID: 2050
03 15 14:09:15 978  2050  2050 E AndroidRuntime: java lang NullPointerException: Attempt to invoke virtual method  com google blockly model Block com google blockly ui BlockView getBlock()  on a null object reference
03 15 14:09:15 978  2050  2050 E AndroidRuntime:    at com google blockly control Dragger updateBlockPosition(Dragger java:438)
03 15 14:09:15 978  2050  2050 E AndroidRuntime:    at com google blockly control Dragger continueDragging(Dragger java:236)
03 15 14:09:15 978  2050  2050 E AndroidRuntime:    at com google blockly control Dragger 1 onDrag(Dragger java:102)
03 15 14:09:15 978  2050  2050 E AndroidRuntime:    at android view View dispatchDragEvent(View java:19691)
03 15 14:09:15 978  2050  2050 E AndroidRuntime:    at android view ViewGroup dispatchDragEvent(ViewGroup java:1532)
03 15 14:09:15 978  2050  2050 E AndroidRuntime:    at android view ViewGroup dispatchDragEvent(ViewGroup java:1481)
03 15 14:09:15 978  2050  2050 E AndroidRuntime:    at android view ViewGroup dispatchDragEvent(ViewGroup java:1481)
03 15 14:09:15 978  2050  2050 E AndroidRuntime:    at android view ViewGroup dispatchDragEvent(ViewGroup java:1481)
03 15 14:09:15 978  2050  2050 E AndroidRuntime:    at android view ViewGroup dispatchDragEvent(ViewGroup java:1481)
03 15 14:09:15 978  2050  2050 E AndroidRuntime:    at android view ViewGroup dispatchDragEvent(ViewGroup java:1481)
03 15 14:09:15 978  2050  2050 E AndroidRuntime:    at android view ViewGroup dispatchDragEvent(ViewGroup java:1481)
03 15 14:09:15 978  2050  2050 E AndroidRuntime:    at android view ViewGroup dispatchDragEvent(ViewGroup java:1481)
03 15 14:09:15 978  2050  2050 E AndroidRuntime:    at android view ViewGroup dispatchDragEvent(ViewGroup java:1481)
03 15 14:09:15 978  2050  2050 E AndroidRuntime:    at android view ViewGroup dispatchDragEvent(ViewGroup java:1481)
03 15 14:09:15 978  2050  2050 E AndroidRuntime:    at android view ViewGroup dispatchDragEvent(ViewGroup java:1481)
03 15 14:09:15 978  2050  2050 E AndroidRuntime:    at android view ViewRootImpl handleDragEvent(ViewRootImpl java:5282)
03 15 14:09:15 978  2050  2050 E AndroidRuntime:    at android view ViewRootImpl  wrap6(ViewRootImpl java)
03 15 14:09:15 978  2050  2050 E AndroidRuntime:    at android view ViewRootImpl ViewRootHandler handleMessage(ViewRootImpl java:3457)
03 15 14:09:15 978  2050  2050 E AndroidRuntime:    at android os Handler dispatchMessage(Handler java:102)
03 15 14:09:15 978  2050  2050 E AndroidRuntime:    at android os Looper loop(Looper java:148)
03 15 14:09:15 978  2050  2050 E AndroidRuntime:    at android app ActivityThread main(ActivityThread java:5417)
03 15 14:09:15 978  2050  2050 E AndroidRuntime:    at java lang reflect Method invoke(Native Method)
03 15 14:09:15 978  2050  2050 E AndroidRuntime:    at com android internal os ZygoteInit MethodAndArgsCaller run(ZygoteInit java:726)
03 15 14:09:15 978  2050  2050 E AndroidRuntime:    at com android internal os ZygoteInit main(ZygoteInit java:616)
03 15 14:09:15 979   605   918 W ActivityManager:   Force finishing activity com google blockly demo  DevTestsActivity
</t>
  </si>
  <si>
    <t>OneBusAway-onebusaway-android-441</t>
  </si>
  <si>
    <t>NPE - BaseMapFragment.OnFocusChangedListener.onFocusChanged()</t>
  </si>
  <si>
    <t xml:space="preserve">From Android developer console for v2 0 8 beta:
java lang NullPointerException: Attempt to invoke interface method  void org onebusaway android map googlemapsv2 BaseMapFragment OnFocusChangedListener onFocusChanged(org onebusaway android io elements ObaStop  java util HashMap  android location Location)  on a null object reference
    at org onebusaway android map googlemapsv2 BaseMapFragment 1 run(BaseMapFragment java:543)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Device info:
Nexus 5X (bullhead)
Manufacturer Google 
Android version Android 6 0 
RAM (MB) 2048 
Screen size 1080   1920 
Screen density (dpi) 420 
OpenGL ES version 3 1 
Native platform armeabi v7a 
CPU make Qualcomm 
CPU model MSM8992
User message:
  Repeat clicked back and app crash prior to close 
</t>
  </si>
  <si>
    <t>OneBusAway-onebusaway-android-440</t>
  </si>
  <si>
    <t>NPE - Attempt to invoke 'boolean java.io.File.mkdir()' on a null object reference</t>
  </si>
  <si>
    <t xml:space="preserve">From Android developer console  for v2 0 8 beta:
java lang RuntimeException: Unable to start activity ComponentInfo com joulespersecond seattlebusbot org onebusaway android ui HomeActivity : java lang NullPointerException: Attempt to invoke virtual method  boolean java io File mkdir()  on a null object reference
    at android app ActivityThread performLaunchActivity(ActivityThread java:2520)
    at android app ActivityThread handleLaunchActivity(ActivityThread java:2594)
    at android app ActivityThread access 800(ActivityThread java:177)
    at android app ActivityThread H handleMessage(ActivityThread java:1469)
    at android os Handler dispatchMessage(Handler java:111)
    at android os Looper loop(Looper java:194)
    at android app ActivityThread main(ActivityThread java:5616)
    at java lang reflect Method invoke(Native Method)
    at java lang reflect Method invoke(Method java:372)
    at com android internal os ZygoteInit MethodAndArgsCaller run(ZygoteInit java:959)
    at com android internal os ZygoteInit main(ZygoteInit java:754)
Caused by: java lang NullPointerException: Attempt to invoke virtual method  boolean java io File mkdir()  on a null object reference
    at com google maps api android lib6 gmm6 m ad a(Unknown Source)
    at com google maps api android lib6 gmm6 c h a(Unknown Source)
    at com google maps api android lib6 gmm6 c y a(Unknown Source)
    at com google maps api android lib6 e bd a(Unknown Source)
    at com google maps api android lib6 e ev a(Unknown Source)
    at com google maps api android lib6 e z a(Unknown Source)
    at com google maps api android lib6 e y a(Unknown Source)
    at com google android gms maps internal u onTransact(SourceFile:107)
    at android os Binder transact(Binder java:385)
    at com google android gms maps internal IMapFragmentDelegate zza zza onCreateView(Unknown Source)
    at com google android gms maps SupportMapFragment zza onCreateView(Unknown Source)
    at com google android gms dynamic zza 4 zzb(Unknown Source)
    at com google android gms dynamic zza zza(Unknown Source)
    at com google android gms dynamic zza onCreateView(Unknown Source)
    at com google android gms maps SupportMapFragment onCreateView(Unknown Source)
    at org onebusaway android map googlemapsv2 BaseMapFragment onCreateView(BaseMapFragment java:184)
    at android support v4 app Fragment performCreateView(Fragment java:1965)
    at android support v4 app FragmentManagerImpl moveToState(FragmentManager java:1078)
    at android support v4 app FragmentManagerImpl moveToState(FragmentManager java:1259)
    at android support v4 app BackStackRecord run(BackStackRecord java:738)
    at android support v4 app FragmentManagerImpl execPendingActions(FragmentManager java:1624)
    at android support v4 app FragmentController execPendingActions(FragmentController java:330)
    at android support v4 app FragmentActivity onStart(FragmentActivity java:547)
    at org onebusaway android ui HomeActivity onStart(HomeActivity java:287)
    at android app Instrumentation callActivityOnStart(Instrumentation java:1244)
    at android app Activity performStart(Activity java:6108)
    at android app ActivityThread performLaunchActivity(ActivityThread java:2477)
        10 more
Device info:
PURE XL (BLU PURE XL) 1
Manufacturer Symphony Teleca 
Android version Android 5 1 
RAM (MB) 3072 
Screen size 1440   2560 
Screen density (dpi) 640 
OpenGL ES version 3 0 
Native platform armeabi v7a 
CPU make Mediatek 
CPU model MT6795
This is a bug in Google Play Services   more info at https:  code google com p gmaps api issues issues detail id 9021 
Google has fixed the issue internally (Jan 20  2016) but hasn t rolled out the update to Google Play Services yet   This could actually halt our public rollout of v2 0  as according to the comments on the above gmaps api issue developers are seeing a large number of crashes on devices via the Android developer console   We don t want to roll out v2 0 to a large number of users just to see a ton of crashes due to this problem 
</t>
  </si>
  <si>
    <t>inaturalist-iNaturalistAndroid-141</t>
  </si>
  <si>
    <t>pull-to-refresh crash</t>
  </si>
  <si>
    <t xml:space="preserve">I haven t experienced this myself but it s our top crash in build 100 according to fabric (https:  fabric io inaturalist android apps org inaturalist android issues 56e68f7affcdc04250d1fa3c):
Fatal Exception: java lang RuntimeException: Unable to start activity ComponentInfo org inaturalist android org inaturalist android ObservationListActivity : android view InflateException: Binary XML file line  8: Error inflating class com handmark pulltorefresh library PullToRefreshListView
       at android app ActivityThread performLaunchActivity(ActivityThread java:2295)
       at android app ActivityThread handleLaunchActivity(ActivityThread java:2349)
       at android app ActivityThread access 700(ActivityThread java:159)
       at android app ActivityThread H handleMessage(ActivityThread java:1316)
       at android os Handler dispatchMessage(Handler java:99)
       at android os Looper loop(Looper java:137)
       at android app ActivityThread main(ActivityThread java:5419)
       at java lang reflect Method invokeNative(Method java)
       at java lang reflect Method invoke(Method java:525)
       at com android internal os ZygoteInit MethodAndArgsCaller run(ZygoteInit java:1187)
       at com android internal os ZygoteInit main(ZygoteInit java:1003)
       at dalvik system NativeStart main(NativeStart java)
Caused by android view InflateException: Binary XML file line  8: Error inflating class com handmark pulltorefresh library PullToRefreshListView
       at android view LayoutInflater createView(LayoutInflater java:626)
       at android view LayoutInflater createViewFromTag(LayoutInflater java:702)
       at android view LayoutInflater rInflate(LayoutInflater java:761)
       at android view LayoutInflater inflate(LayoutInflater java:498)
       at android view LayoutInflater inflate(LayoutInflater java:398)
       at android view LayoutInflater inflate(LayoutInflater java:354)
       at com android internal policy impl PhoneWindow setContentView(PhoneWindow java:361)
       at com actionbarsherlock internal ActionBarSherlockNative setContentView(ActionBarSherlockNative java:133)
       at com actionbarsherlock app SherlockFragmentActivity setContentView(SherlockFragmentActivity java:261)
       at org inaturalist android ObservationListActivity onCreate(ObservationListActivity java:212)
       at android app Activity performCreate(Activity java:5372)
       at android app Instrumentation callActivityOnCreate(Instrumentation java:1104)
       at android app ActivityThread performLaunchActivity(ActivityThread java:2257)
       at android app ActivityThread handleLaunchActivity(ActivityThread java:2349)
       at android app ActivityThread access 700(ActivityThread java:159)
       at android app ActivityThread H handleMessage(ActivityThread java:1316)
       at android os Handler dispatchMessage(Handler java:99)
       at android os Looper loop(Looper java:137)
       at android app ActivityThread main(ActivityThread java:5419)
       at java lang reflect Method invokeNative(Method java)
       at java lang reflect Method invoke(Method java:525)
       at com android internal os ZygoteInit MethodAndArgsCaller run(ZygoteInit java:1187)
       at com android internal os ZygoteInit main(ZygoteInit java:1003)
       at dalvik system NativeStart main(NativeStart java)
Caused by java lang reflect InvocationTargetException
       at java lang reflect Constructor constructNative(Constructor java)
       at java lang reflect Constructor newInstance(Constructor java:417)
       at android view LayoutInflater createView(LayoutInflater java:600)
       at android view LayoutInflater createViewFromTag(LayoutInflater java:702)
       at android view LayoutInflater rInflate(LayoutInflater java:761)
       at android view LayoutInflater inflate(LayoutInflater java:498)
       at android view LayoutInflater inflate(LayoutInflater java:398)
       at android view LayoutInflater inflate(LayoutInflater java:354)
       at com android internal policy impl PhoneWindow setContentView(PhoneWindow java:361)
       at com actionbarsherlock internal ActionBarSherlockNative setContentView(ActionBarSherlockNative java:133)
       at com actionbarsherlock app SherlockFragmentActivity setContentView(SherlockFragmentActivity java:261)
       at org inaturalist android ObservationListActivity onCreate(ObservationListActivity java:212)
       at android app Activity performCreate(Activity java:5372)
       at android app Instrumentation callActivityOnCreate(Instrumentation java:1104)
       at android app ActivityThread performLaunchActivity(ActivityThread java:2257)
       at android app ActivityThread handleLaunchActivity(ActivityThread java:2349)
       at android app ActivityThread access 700(ActivityThread java:159)
       at android app ActivityThread H handleMessage(ActivityThread java:1316)
       at android os Handler dispatchMessage(Handler java:99)
       at android os Looper loop(Looper java:137)
       at android app ActivityThread main(ActivityThread java:5419)
       at java lang reflect Method invokeNative(Method java)
       at java lang reflect Method invoke(Method java:525)
       at com android internal os ZygoteInit MethodAndArgsCaller run(ZygoteInit java:1187)
       at com android internal os ZygoteInit main(ZygoteInit java:1003)
       at dalvik system NativeStart main(NativeStart java)
Caused by java lang NoClassDefFoundError: com handmark pulltorefresh library R styleable
       at com handmark pulltorefresh library PullToRefreshBase init(PullToRefreshBase java:1100)
       at com handmark pulltorefresh library PullToRefreshBase  init (PullToRefreshBase java:117)
       at com handmark pulltorefresh library PullToRefreshAdapterViewBase  init (PullToRefreshAdapterViewBase java:74)
       at com handmark pulltorefresh library PullToRefreshListView  init (PullToRefreshListView java:49)
       at java lang reflect Constructor constructNative(Constructor java)
       at java lang reflect Constructor newInstance(Constructor java:417)
       at android view LayoutInflater createView(LayoutInflater java:600)
       at android view LayoutInflater createViewFromTag(LayoutInflater java:702)
       at android view LayoutInflater rInflate(LayoutInflater java:761)
       at android view LayoutInflater inflate(LayoutInflater java:498)
       at android view LayoutInflater inflate(LayoutInflater java:398)
       at android view LayoutInflater inflate(LayoutInflater java:354)
       at com android internal policy impl PhoneWindow setContentView(PhoneWindow java:361)
       at com actionbarsherlock internal ActionBarSherlockNative setContentView(ActionBarSherlockNative java:133)
       at com actionbarsherlock app SherlockFragmentActivity setContentView(SherlockFragmentActivity java:261)
       at org inaturalist android ObservationListActivity onCreate(ObservationListActivity java:212)
       at android app Activity performCreate(Activity java:5372)
       at android app Instrumentation callActivityOnCreate(Instrumentation java:1104)
       at android app ActivityThread performLaunchActivity(ActivityThread java:2257)
       at android app ActivityThread handleLaunchActivity(ActivityThread java:2349)
       at android app ActivityThread access 700(ActivityThread java:159)
       at android app ActivityThread H handleMessage(ActivityThread java:1316)
       at android os Handler dispatchMessage(Handler java:99)
       at android os Looper loop(Looper java:137)
       at android app ActivityThread main(ActivityThread java:5419)
       at java lang reflect Method invokeNative(Method java)
       at java lang reflect Method invoke(Method java:525)
       at com android internal os ZygoteInit MethodAndArgsCaller run(ZygoteInit java:1187)
       at com android internal os ZygoteInit main(ZygoteInit java:1003)
       at dalvik system NativeStart main(NativeStart java)
</t>
  </si>
  <si>
    <t>nextcloud-news-android-502</t>
  </si>
  <si>
    <t>App crash when scrolling on empty list</t>
  </si>
  <si>
    <t xml:space="preserve">App crashes if feature  mark as read while scrolling  is enabled  the displayed list is empty and the users tries to scroll 
</t>
  </si>
  <si>
    <t>hidroh-materialistic-394</t>
  </si>
  <si>
    <t>NPE when trying to set last updated time</t>
  </si>
  <si>
    <t xml:space="preserve">     in io github hidroh materialistic BaseStoriesActivity 1 run
  Number of crashes: 1
  Impacted devices: 1
There s a lot more information about this crash on crashlytics com:
 https:  fabric io ha duy trungs projects android apps io github hidroh materialistic issues 56e81d9fffcdc04250da6bc1 (https:  fabric io ha duy trungs projects android apps io github hidroh materialistic issues 56e81d9fffcdc04250da6bc1)
</t>
  </si>
  <si>
    <t>VoiSmart-pjsip-android-2</t>
  </si>
  <si>
    <t>Random crashes</t>
  </si>
  <si>
    <t xml:space="preserve">Sometimes random crashes occurs at startup  This is the log in LogCat:
   src pjsua lib pjsua acc c:2848: pjsua acc find for incoming: assertion  pjsua var acc cnt  0  failed
Fatal signal 6 (SIGABRT)  code  6 in tid 13567 (Thread 14107)
It may be the same problem described here: http:  stackoverflow com questions 24877824 how to avoid pjsua assertion failure on startup race condition but some further investigation is required
</t>
  </si>
  <si>
    <t>canelmas-let-5</t>
  </si>
  <si>
    <t>Let annotation crashes on Android N devices</t>
  </si>
  <si>
    <t xml:space="preserve">Hey there 
Thought you d like to know about this crash on Android N:
    java
java lang NullPointerException: Attempt to invoke interface method  java lang String   com canelmas let AskPermission value()  on a null object reference
    at com canelmas let RuntimePermissionRequest proceed(RuntimePermissionRequest java:61)
    at com canelmas let RuntimePermissionRequest proceed(RuntimePermissionRequest java:52)
    at com canelmas let LetAspect ajc inlineAccessMethod com canelmas let LetAspect com canelmas let RuntimePermissionRequest proceed(LetAspect java:1)
    at com canelmas let LetAspect annotatedMethods(LetAspect java:57)
Here s the line of code where it crashed:
  AskPermission(  Manifest permission ACCESS FINE LOCATION  ) 
Just thought I d give you a heads up for when the full OS release actually comes out  Love the library 
</t>
  </si>
  <si>
    <t>zhuowei-MCPELauncher-792</t>
  </si>
  <si>
    <t>it crashes</t>
  </si>
  <si>
    <t xml:space="preserve">Everytime I open block launcher   It says Unfortunately  block launcher crashed out cannot be opened   When one finally opened it  It says block launcher detected a crash  And there are two options Continue or back to normal   If I choose Continue there is no mods and etc   Right   Then it would update only for a second  (I m not kidding) then it crashes  If I choose back to normal  It crashes right away  Please fix these sir   I really wanted to try these mods and texture packs   Please
</t>
  </si>
  <si>
    <t>aws-amplify-aws-sdk-android-113</t>
  </si>
  <si>
    <t>java.util.concurrent.RejectedExecutionException</t>
  </si>
  <si>
    <t xml:space="preserve">To whom it may concern 
I use the SDK version 2 2 13
After a long period of non stop running (more than 48 hrs and the S3TransferUtility uploads 1 photo per minute on average)  the exception came out of nowhere  Apparently I failed to catch this exception which caused the crash of the app (this following exception was shown by setting DefaultUncaughtExceptionHandler )
What is this exception  How to fix it  Or at least where to catch this exception so that the app would not crash 
Thank you 
 java util concurrent RejectedExecutionException: Task java util concurrent FutureTask 3a5f74be rejected from java util concurrent ThreadPoolExecutor 392ac91f Shutting down  pool size   1  active threads   1  queued tasks   0  completed tasks   106 
    at java util concurrent ThreadPoolExecutor AbortPolicy rejectedExecution(ThreadPoolExecutor java:2011)
    at java util concurrent ThreadPoolExecutor reject(ThreadPoolExecutor java:793)
    at java util concurrent ThreadPoolExecutor execute(ThreadPoolExecutor java:1339)
    at java util concurrent AbstractExecutorService submit(AbstractExecutorService java:103)
    at com amazonaws mobileconnectors s3 transferutility TransferThreadPool submitTask(TransferThreadPool java:46)
    at com amazonaws mobileconnectors s3 transferutility TransferRecord start(TransferRecord java:160)
    at com amazonaws mobileconnectors s3 transferutility TransferService execCommand(TransferService java:284)
    at com amazonaws mobileconnectors s3 transferutility TransferService UpdateHandler handleMessage(TransferService java:220)
    at android os Handler dispatchMessage(Handler java:102)
    at android os Looper loop(Looper java:155)
    at android os HandlerThread run(HandlerThread java:61) 
</t>
  </si>
  <si>
    <t>gdg-x-frisbee-581</t>
  </si>
  <si>
    <t>Crash: java.lang.IllegalArgumentException: Comparison method violates its general contract!</t>
  </si>
  <si>
    <t xml:space="preserve">It s happening currently whenever I am trying to open  Android study jams   it might be happening due to the network fluctuation we are facing today but still it s a crash :)
org gdg frisbee android debug E AndroidRuntime: FATAL EXCEPTION: main
                                                                               Process: org gdg frisbee android debug  PID: 28850
                                                                               java lang IllegalArgumentException: Comparison method violates its general contract 
                                                                                   at java util TimSort mergeLo(TimSort java:761)
                                                                                   at java util TimSort mergeAt(TimSort java:497)
                                                                                   at java util TimSort mergeCollapse(TimSort java:424)
                                                                                   at java util TimSort sort(TimSort java:210)
                                                                                   at java util Arrays sort(Arrays java:1998)
                                                                                   at java util Collections sort(Collections java:1900)
                                                                                   at org gdg frisbee android eventseries EventAdapter sort(EventAdapter java:172)
                                                                                   at org gdg frisbee android eventseries TaggedEventSeriesFragment sortEvents(TaggedEventSeriesFragment java:179)
                                                                                   at org gdg frisbee android eventseries TaggedEventSeriesFragment access 100(TaggedEventSeriesFragment java:46)
                                                                                   at org gdg frisbee android eventseries TaggedEventSeriesFragment 1 1 onPutIntoCache(TaggedEventSeriesFragment java:125)
                                                                                   at org gdg frisbee android cache ModelCache PutAsyncTask onPostExecute(ModelCache java:630)
                                                                                   at android os AsyncTask finish(AsyncTask java:651)
                                                                                   at android os AsyncTask  wrap1(AsyncTask java)
                                                                                   at android os AsyncTask InternalHandler handleMessage(AsyncTask java:668)
                                                                                   at android os Handler dispatchMessage(Handler java:102)
                                                                                   at android os Looper loop(Looper java:148)
                                                                                   at android app ActivityThread main(ActivityThread java:5443)
                                                                                   at java lang reflect Method invoke(Native Method)
                                                                                   at com android internal os ZygoteInit MethodAndArgsCaller run(ZygoteInit java:728)
                                                                                   at com android internal os ZygoteInit main(ZygoteInit java:618)
</t>
  </si>
  <si>
    <t>pedrovgs-Lynx-18</t>
  </si>
  <si>
    <t xml:space="preserve">Hello I recently experienced a crash with the app:
Fatal Exception: java lang NullPointerException
       at com github pedrovgs lynx renderer TraceRendererBuilder getPrototypeClass(TraceRendererBuilder java:53)
       at com github pedrovgs lynx renderer TraceRendererBuilder getPrototypeClass(TraceRendererBuilder java:37)
       at com pedrogomez renderers RendererBuilder getItemViewType(RendererBuilder java:88)
       at com pedrogomez renderers RendererAdapter getItemViewType(RendererAdapter java:100)
       at android widget AbsListView RecycleBin getScrapView(AbsListView java:8194)
       at android widget AbsListView obtainView(AbsListView java:2702)
       at android widget ListView makeAndAddView(ListView java:1811)
       at android widget ListView fillUp(ListView java:733)
       at android widget ListView layoutChildren(ListView java:1622)
       at android widget AbsListView onLayout(AbsListView java:2546)
       at android view View layout(View java:15664)
       at android view ViewGroup layout(ViewGroup java:4869)
       at android widget RelativeLayout onLayout(RelativeLayout java:1055)
       at android view View layout(View java:15664)
       at android view ViewGroup layout(ViewGroup java:4869)
       at android widget FrameLayout layoutChildren(FrameLayout java:453)
       at android widget FrameLayout onLayout(FrameLayout java:388)
       at android view View layout(View java:15664)
       at android view ViewGroup layout(ViewGroup java:4869)
       at android widget LinearLayout setChildFrame(LinearLayout java:1677)
       at android widget LinearLayout layoutVertical(LinearLayout java:1531)
       at android widget LinearLayout onLayout(LinearLayout java:1440)
       at android view View layout(View java:15664)
       at android view ViewGroup layout(ViewGroup java:4869)
       at android widget FrameLayout layoutChildren(FrameLayout java:453)
       at android widget FrameLayout onLayout(FrameLayout java:388)
       at android view View layout(View java:15664)
       at android view ViewGroup layout(ViewGroup java:4869)
       at android view ViewRootImpl performLayout(ViewRootImpl java:2246)
       at android view ViewRootImpl performTraversals(ViewRootImpl java:1968)
       at android view ViewRootImpl doTraversal(ViewRootImpl java:1200)
       at android view ViewRootImpl TraversalRunnable run(ViewRootImpl java:6401)
       at android view Choreographer CallbackRecord run(Choreographer java:803)
       at android view Choreographer doCallbacks(Choreographer java:603)
       at android view Choreographer doFrame(Choreographer java:573)
       at android view Choreographer FrameDisplayEventReceiver run(Choreographer java:789)
       at android os Handler handleCallback(Handler java:733)
       at android os Handler dispatchMessage(Handler java:95)
       at android os Looper loop(Looper java:157)
       at android app ActivityThread main(ActivityThread java:5335)
       at java lang reflect Method invokeNative(Method java)
       at java lang reflect Method invoke(Method java:515)
       at com android internal os ZygoteInit MethodAndArgsCaller run(ZygoteInit java:1265)
       at com android internal os ZygoteInit main(ZygoteInit java:1081)
       at dalvik system NativeStart main(NativeStart java)
</t>
  </si>
  <si>
    <t>gdg-x-frisbee-586</t>
  </si>
  <si>
    <t>Crash when signing out</t>
  </si>
  <si>
    <t xml:space="preserve">When signing out in settings:
http:  crashes to s 0faa6a480a5
The settings activity was opened from the events page
</t>
  </si>
  <si>
    <t>gdg-x-frisbee-583</t>
  </si>
  <si>
    <t>Plus API crash on EventOverviewFragment</t>
  </si>
  <si>
    <t xml:space="preserve">EventOverviewFragment first tries to get info about the Chapter by using Plus API  
Plus API is now available only when the user is login  I don t know what we ve changed here  I don t know if it was crashing before or not  
But it is crashing now if we are not logged in  Every event page is crashing for me  When I login  they work fine  
http:  crashes to s 39f2ade756d
</t>
  </si>
  <si>
    <t>dimagi-commcare-android-1143</t>
  </si>
  <si>
    <t>Check if app installed before showing shortcut options</t>
  </si>
  <si>
    <t xml:space="preserve">If you try to use the  CommCare Action  widget before you have installed a CommCare app  it crashes 
http:  manage dimagi com default asp 221071
</t>
  </si>
  <si>
    <t>dimagi-commcare-android-1142</t>
  </si>
  <si>
    <t>Fix NPE on multiple apps Multimedia Validation</t>
  </si>
  <si>
    <t xml:space="preserve">If you:
  install an app w o multimedia via multiple apps
  try to validate its multimedia
  select  skip  when it fails
  switch to the normal CommCare app
Then you get a crash due to the intent passed to  DispatchActivity onActivityResult  being  null  
Also make sure to call  super onActivityResult  in a few methods when no the result code isn t processed in the current  onActivityResult  implementation  This isn t necessary  but is the  right thing  to do 
</t>
  </si>
  <si>
    <t>erickok-ratebeer-10</t>
  </si>
  <si>
    <t>Crashes when opened</t>
  </si>
  <si>
    <t xml:space="preserve">I am still trying to duplicate the issue  but it seems that if you open the app  then do other things for a while (use other apps  etc) then open the app again the app immediately crashes  The app opens perfectly fine when you open it again  Report has been sent from my mobile 
</t>
  </si>
  <si>
    <t>gcacace-android-signaturepad-49</t>
  </si>
  <si>
    <t>OutOfMemoryException</t>
  </si>
  <si>
    <t xml:space="preserve">We got a OutOfMemoryException crash report from out production app   First time it s ever happened  but I thought I d log it anyway in the hopes that you can improve your library :)
Device: Samsung Galaxy Note 10 1 2014 Edition (SM P605)
OS Version: Android 4 4 2
Stack Trace:
java lang OutOfMemoryError
    at android graphics Bitmap nativeCreate(Native Method)
    at android graphics Bitmap createBitmap(Bitmap java:924)
    at android graphics Bitmap createBitmap(Bitmap java:901)
    at android graphics Bitmap createBitmap(Bitmap java:868)
    at com github gcacace signaturepad views SignaturePad ensureSignatureBitmap(SignaturePad java:471)
    at com github gcacace signaturepad views SignaturePad addBezier(SignaturePad java:363)
    at com github gcacace signaturepad views SignaturePad addPoint(SignaturePad java:351)
    at com github gcacace signaturepad views SignaturePad onTouchEvent(SignaturePad java:159)
    at android view View dispatchTouchEvent(View java:8045)
    at android view ViewGroup dispatchTransformedTouchEvent(ViewGroup java:2423)
    at android view ViewGroup dispatchTouchEvent(ViewGroup java:2156)
    at android view ViewGroup dispatchTransformedTouchEvent(ViewGroup java:2423)
    at android view ViewGroup dispatchTouchEvent(ViewGroup java:2156)
    at android view ViewGroup dispatchTransformedTouchEvent(ViewGroup java:2423)
    at android view ViewGroup dispatchTouchEvent(ViewGroup java:2156)
    at android view ViewGroup dispatchTransformedTouchEvent(ViewGroup java:2423)
    at android view ViewGroup dispatchTouchEvent(ViewGroup java:2156)
    at android view ViewGroup dispatchTransformedTouchEvent(ViewGroup java:2423)
    at android view ViewGroup dispatchTouchEvent(ViewGroup java:2156)
    at android view ViewGroup dispatchTransformedTouchEvent(ViewGroup java:2423)
    at android view ViewGroup dispatchTouchEvent(ViewGroup java:2156)
    at android view ViewGroup dispatchTransformedTouchEvent(ViewGroup java:2423)
    at android view ViewGroup dispatchTouchEvent(ViewGroup java:2156)
    at android view ViewGroup dispatchTransformedTouchEvent(ViewGroup java:2423)
    at android view ViewGroup dispatchTouchEvent(ViewGroup java:2156)
    at com android internal policy impl PhoneWindow DecorView superDispatchTouchEvent(PhoneWindow java:2295)
    at com android internal policy impl PhoneWindow superDispatchTouchEvent(PhoneWindow java:1622)
    at android app Dialog dispatchTouchEvent(Dialog java:761)
    at android support v7 internal view WindowCallbackWrapper dispatchTouchEvent(WindowCallbackWrapper java:59)
    at com android internal policy impl PhoneWindow DecorView dispatchTouchEvent(PhoneWindow java:2243)
    at android view View dispatchPointerEvent(View java:8240)
    at android view ViewRootImpl ViewPostImeInputStage processPointerEvent(ViewRootImpl java:4654)
    at android view ViewRootImpl ViewPostImeInputStage onProcess(ViewRootImpl java:4520)
    at android view ViewRootImpl InputStage deliver(ViewRootImpl java:4078)
    at android view ViewRootImpl InputStage onDeliverToNext(ViewRootImpl java:4132)
    at android view ViewRootImpl InputStage forward(ViewRootImpl java:4101)
    at android view ViewRootImpl AsyncInputStage forward(ViewRootImpl java:4212)
    at android view ViewRootImpl InputStage apply(ViewRootImpl java:4109)
    at android view ViewRootImpl AsyncInputStage apply(ViewRootImpl java:4269)
    at android view ViewRootImpl InputStage deliver(ViewRootImpl java:4078)
    at android view ViewRootImpl InputStage onDeliverToNext(ViewRootImpl java:4132)
    at android view ViewRootImpl InputStage forward(ViewRootImpl java:4101)
    at android view ViewRootImpl InputStage apply(ViewRootImpl java:4109)
    at android view ViewRootImpl InputStage deliver(ViewRootImpl java:4078)
    at android view ViewRootImpl deliverInputEvent(ViewRootImpl java:6437)
    at android view ViewRootImpl doProcessInputEvents(ViewRootImpl java:6354)
    at android view ViewRootImpl enqueueInputEvent(ViewRootImpl java:6325)
    at android view ViewRootImpl enqueueInputEvent(ViewRootImpl java:6290)
    at android view ViewRootImpl WindowInputEventReceiver onInputEvent(ViewRootImpl java:6517)
    at android view InputEventReceiver dispatchInputEvent(InputEventReceiver java:185)
    at android view InputEventReceiver nativeConsumeBatchedInputEvents(Native Method)
    at android view InputEventReceiver consumeBatchedInputEvents(InputEventReceiver java:176)
    at android view ViewRootImpl doConsumeBatchedInput(ViewRootImpl java:6490)
    at android view ViewRootImpl ConsumeBatchedInputRunnable run(ViewRootImpl java:6536)
    at android view Choreographer CallbackRecord run(Choreographer java:803)
    at android view Choreographer doCallbacks(Choreographer java:603)
    at android view Choreographer doFrame(Choreographer java:571)
    at android view Choreographer FrameDisplayEventReceiver run(Choreographer java:789)
    at android os Handler handleCallback(Handler java:733)
    at android os Handler dispatchMessage(Handler java:95)
    at android os Looper loop(Looper java:136)
    at android app ActivityThread main(ActivityThread java:5476)
    at java lang reflect Method invokeNative(Native Method)
    at java lang reflect Method invoke(Method java:515)
    at com android internal os ZygoteInit MethodAndArgsCaller run(ZygoteInit java:1268)
    at com android internal os ZygoteInit main(ZygoteInit java:1084)
    at dalvik system NativeStart main(Native Method)
</t>
  </si>
  <si>
    <t>nbossard-packlist-18</t>
  </si>
  <si>
    <t>Crash when no start date</t>
  </si>
  <si>
    <t xml:space="preserve">crash on trip list when a trip is created without start date
</t>
  </si>
  <si>
    <t>alter-ego-androidbound-8</t>
  </si>
  <si>
    <t>BindingSpecificationParser fails if the group is closed twice</t>
  </si>
  <si>
    <t xml:space="preserve">If the binding finishes with double      the BindingSpecificationParser will call parseMode with null string  and it will then crash:
Caused by: java lang NullPointerException: Attempt to invoke virtual method  boolean java lang String equals(java lang Object)  on a null object reference
                                                       at solutions alterego androidbound parsers BindingSpecificationParser parseMode(BindingSpecificationParser java:122)
                                                       at solutions alterego androidbound parsers BindingSpecificationParser parse(BindingSpecificationParser java:107)
                                                       at solutions alterego androidbound parsers BindingSpecificationParser parse(BindingSpecificationParser java:16)
                                                       at solutions alterego androidbound parsers BindingSpecificationListParser parse(BindingSpecificationListParser java:52)
                                                       at solutions alterego androidbound parsers BindingSpecificationListParser parse(BindingSpecificationListParser java:11)
                                                       at solutions alterego androidbound binders TextSpecificationBinder bind(TextSpecificationBinder java:41)
                                                       at solutions alterego androidbound android BindableLayoutInflaterFactory InflaterFactoryBase bindView(BindableLayoutInflaterFactory java:107)
                                                       at solutions alterego androidbound android BindableLayoutInflaterFactory 2 onCreateView(BindableLayoutInflaterFactory java:64)
                                                       at android view LayoutInflater FactoryMerger onCreateView(LayoutInflater java:171)
                                                       at android view LayoutInflater createViewFromTag(LayoutInflater java:727)
                                                       at android view LayoutInflater rInflate(LayoutInflater java:806) 
                                                       at android view LayoutInflater inflate(LayoutInflater java:504) 
                                                       at android view LayoutInflater inflate(LayoutInflater java:414) 
                                                       at android view LayoutInflater inflate(LayoutInflater java:365) 
                                                       at solutions alterego androidbound ViewBinder inflate(ViewBinder java:193) 
                                                       at solutions alterego androidbound example MainActivity onCreate(MainActivity java:27) 
</t>
  </si>
  <si>
    <t>SCCapstone-5chords-61</t>
  </si>
  <si>
    <t>App crashes after many activity changes</t>
  </si>
  <si>
    <t xml:space="preserve">When I quickly move between activities the app will crash at some point with an inflation error 
 Binary XML file line  105: Error inflating class  unknown  
To reproduce error: use navigation drawer to move between  help   about   history  activities  Click  Done  on new activity  Move through 4 or 5 activity changes until it crashes 
</t>
  </si>
  <si>
    <t>cgeo-cgeo-5551</t>
  </si>
  <si>
    <t>Crash when using OSM maps + rotation</t>
  </si>
  <si>
    <t xml:space="preserve">      Detailed steps causing the problem:
  Open C:geo with google  maps
  Switch map type to open cycle map
  Turn the device ( rotate from  portrait  to  landscape  view     
  C:geo crashes    do not respond  wait a couple of minutes and must be restarted
Note   If I tell the device to  not automatic turn picture from portrait to landscape   the problem does not exist  so it is just the  turn thing  that makes c:geo crash 
      Actual behavior after performing these steps:
Wait until android ask if I want to close the hanging app 
      Expected behavior after performing these steps:
      Version of c:geo used:
2016 03 06   but this has been a problem for several months maybe more than a year  
      Is the problem reproducible for you 
Yes  every time I use cycle map and forgets to turn off the  auto turn picture  the app crashes an I have to wait for 2 5 minutes  
      System information:
Version 206 03 06  
sony z1 compact  D5503
android version: 5 1 1
      Other comments and remarks:
</t>
  </si>
  <si>
    <t>Rajawali-Rajawali-1629</t>
  </si>
  <si>
    <t>Recent changes have inverted the ArcballCamera</t>
  </si>
  <si>
    <t xml:space="preserve">     Rajawali Version or Branch
 describe the precise release version or branch and commit id  feature requests can simply specify master 
 master 
     Device and Android Version
 list at least one device and the version number that produced a stace trace if applicable 
     Summary
 describe the issue or feature 
The Arcball example demonstrates this  Moving on the screen now moves the camera in the direction of finger motion  which is counter intuitive  but potentially useful  Rather than reverse the behavior  we should add a flag that determines if the touch input is inverted or not 
     Steps to Reproduce
 Describe reproducable steps and sample code 
     Trace or Log Output
 include stacktrace(s) if relevant to the issue  Engine crashes can not be debugged without a stacktrace or at minimum reproduction code  
</t>
  </si>
  <si>
    <t>cgeo-cgeo-5549</t>
  </si>
  <si>
    <t>Force close on image tab without network</t>
  </si>
  <si>
    <t xml:space="preserve">      Detailed steps causing the problem:
  Open a cache with images
  Disable network
  Go to the image tab
      Actual behavior after performing these steps:
c:geo force closes 
E cgeo    (17900):  network 9  HtmlImage downloadOrRefreshCopy
          beginning of crash
E AndroidRuntime(17900): FATAL EXCEPTION: main
E AndroidRuntime(17900): Process: cgeo geocaching  PID: 17900
E AndroidRuntime(17900): java lang IllegalStateException: Exception thrown on Scheduler Worker thread  Add  onError  handling 
E AndroidRuntime(17900):    at rx internal schedulers ScheduledAction run(ScheduledAction java:60)
E AndroidRuntime(17900):    at android os Handler handleCallback(Handler java:739)
E AndroidRuntime(17900):    at android os Handler dispatchMessage(Handler java:95)
E AndroidRuntime(17900):    at android os Looper loop(Looper java:135)
E AndroidRuntime(17900):    at android app ActivityThread main(ActivityThread java:5289)
E AndroidRuntime(17900):    at java lang reflect Method invoke(Native Method)
E AndroidRuntime(17900):    at java lang reflect Method invoke(Method java:372)
E AndroidRuntime(17900):    at com android internal os ZygoteInit MethodAndArgsCaller run(ZygoteInit java:904)
E AndroidRuntime(17900):    at com android internal os ZygoteInit main(ZygoteInit java:699)
E AndroidRuntime(17900): Caused by: rx exceptions OnErrorNotImplementedException: Attempt to invoke virtual method  void android widget ImageView setImageResource(int)  on a null object reference
E AndroidRuntime(17900):    at rx Observable 27 onError(Observable java:8139)
E AndroidRuntime(17900):    at rx observers SafeSubscriber  onError(SafeSubscriber java:157)
E AndroidRuntime(17900):    at rx observers SafeSubscriber onError(SafeSubscriber java:120)
E AndroidRuntime(17900):    at rx exceptions Exceptions throwOrReport(Exceptions java:200)
E AndroidRuntime(17900):    at rx observers SafeSubscriber onNext(SafeSubscriber java:144)
E AndroidRuntime(17900):    at rx android app OperatorConditionalBinding 1 onNext(OperatorConditionalBinding java:79)
E AndroidRuntime(17900):    at rx internal operators OperatorObserveOn ObserveOnSubscriber call(OperatorObserveOn java:207)
E AndroidRuntime(17900):    at rx internal schedulers ScheduledAction run(ScheduledAction java:55)
E AndroidRuntime(17900):        8 more
E AndroidRuntime(17900): Caused by: java lang NullPointerException: Attempt to invoke virtual method  void android widget ImageView setImageResource(int)  on a null object reference
E AndroidRuntime(17900):    at cgeo geocaching ui ImagesList display(ImagesList java:154)
E AndroidRuntime(17900):    at cgeo geocaching ui ImagesList access 100(ImagesList java:56)
E AndroidRuntime(17900):    at cgeo geocaching ui ImagesList 2 call(ImagesList java:137)
E AndroidRuntime(17900):    at cgeo geocaching ui ImagesList 2 call(ImagesList java:134)
E AndroidRuntime(17900):    at rx Observable 27 onNext(Observable java:8144)
E AndroidRuntime(17900):    at rx observers SafeSubscriber onNext(SafeSubscriber java:139)
E AndroidRuntime(17900):        11 more
W ActivityManager(  596):   Force finishing activity 1 cgeo geocaching  CacheDetailActivity
      Expected behavior after performing these steps:
c:geo should handle this situation and show an error or something else 
      Version of c:geo used:
20cccf9964e920afbed296ff6b6f01238864fd5c
      Is the problem reproducible for you 
Yes
</t>
  </si>
  <si>
    <t>crazyhitty-Munch-16</t>
  </si>
  <si>
    <t>APP crashes when transitioning from anywhere to the main screen</t>
  </si>
  <si>
    <t xml:space="preserve">The app is crashing every time I press the back button to return from an article to the main screen   
Logs:
03 21 16:32:36 975 W ActivityManager(668):   Force finishing activity 1 com crazyhitty chdev ks munch  ui activities HomeActivity
03 21 16:32:37 507 W ActivityManager(668): Activity pause timeout for ActivityRecord 2781b9a0 u0 com crazyhitty chdev ks munch  ui activities HomeActivity t284 f 
</t>
  </si>
  <si>
    <t>dimagi-commcare-android-1149</t>
  </si>
  <si>
    <t>Fix check for finish() conditions in LoginActivity</t>
  </si>
  <si>
    <t xml:space="preserve">Fix crash that occurs when the following steps are performed (this used to work  I m guessing the regression has been around since  onResumeFragments()  got added to LoginActivity):
1) User is on the login screen with 1 app installed
2) User navigates to the app manager and uninstalls that 1 app
3) User navigates back to the normal CommCare screen  at which point CommCare crashes for 1 of 2 reasons (when I fixed the first the 2nd manifested itself):
  a)  onCreate()  tries to do something with the seated app (which is actually null) before reaching the code in  onResume()  that finishes the activity
  b) Since  onResumeFragments()  comes after  onResume()  in the activity lifecycle  it seemed like it was actually still getting called after  onResume()  called finish()  resulting in a weird interstitial state with a blank screen  
</t>
  </si>
  <si>
    <t>google-blockly-android-142</t>
  </si>
  <si>
    <t>Zooming out with spaghetti causes a crash</t>
  </si>
  <si>
    <t xml:space="preserve">If you use spaghetti in the dev test app and then try to zoom out the app crashes 
</t>
  </si>
  <si>
    <t>k9mail-k-9-1201</t>
  </si>
  <si>
    <t>NPE/Null object reference crash when attempting to decode certain messages</t>
  </si>
  <si>
    <t xml:space="preserve">    Expected behaviour
Email should be decoded and displayed properly
    Actual behaviour
K 9 mail crashes  due to an NPE
    Steps to reproduce
1  (Attached email in  eml format) Download attached message to K 9 mail
2  Attempt to view the message
    Environment
K 9 Mail version: 5 108 (build from current master as of 2016 03 22)
Android version: 6 0 1
Device: Nexus 6P
Account type (IMAP  POP3  WebDAV Exchange): IMAP
    Crash logs
03 22 11:02:07 340 E k9      (20726): Error while decoding message
03 22 11:02:07 340 E k9      (20726): java lang RuntimeException: Not supported
03 22 11:02:07 340 E k9      (20726):   at com fsck k9 mailstore LocalMessageExtractor extractAttachmentInfo(LocalMessageExtractor java:529)
03 22 11:02:07 340 E k9      (20726):   at com fsck k9 mailstore LocalMessageExtractor extractAttachmentInfos(LocalMessageExtractor java:502)
03 22 11:02:07 340 E k9      (20726):   at com fsck k9 mailstore LocalMessageExtractor decodeMessageForView(LocalMessageExtractor java:444)
03 22 11:02:07 340 E k9      (20726):   at com fsck k9 ui message DecodeMessageLoader loadInBackground(DecodeMessageLoader java:46)
03 22 11:02:07 340 E k9      (20726):   at com fsck k9 ui message DecodeMessageLoader loadInBackground(DecodeMessageLoader java:15)
03 22 11:02:07 340 E k9      (20726):   at android content AsyncTaskLoader onLoadInBackground(AsyncTaskLoader java:312)
03 22 11:02:07 340 E k9      (20726):   at android content AsyncTaskLoader LoadTask doInBackground(AsyncTaskLoader java:69)
03 22 11:02:07 340 E k9      (20726):   at android content AsyncTaskLoader LoadTask doInBackground(AsyncTaskLoader java:66)
03 22 11:02:07 340 E k9      (20726):   at android os AsyncTask 2 call(AsyncTask java:295)
03 22 11:02:07 340 E k9      (20726):   at java util concurrent FutureTask run(FutureTask java:237)
03 22 11:02:07 340 E k9      (20726):   at java util concurrent ThreadPoolExecutor runWorker(ThreadPoolExecutor java:1113)
03 22 11:02:07 340 E k9      (20726):   at java util concurrent ThreadPoolExecutor Worker run(ThreadPoolExecutor java:588)
03 22 11:02:07 340 E k9      (20726):   at java lang Thread run(Thread java:818)
03 22 11:02:07 357 E AndroidRuntime(20726): FATAL EXCEPTION: main
03 22 11:02:07 357 E AndroidRuntime(20726): Process: com fsck k9  PID: 20726
03 22 11:02:07 357 E AndroidRuntime(20726): java lang NullPointerException: Attempt to read from field  com fsck k9 mail Message com fsck k9 mailstore MessageViewInfo message  on a null object reference
03 22 11:02:07 357 E AndroidRuntime(20726):     at com fsck k9 ui messageview MessageTopView setMessage(MessageTopView java:90)
03 22 11:02:07 357 E AndroidRuntime(20726):     at com fsck k9 ui messageview MessageViewFragment showMessage(MessageViewFragment java:281)
03 22 11:02:07 357 E AndroidRuntime(20726):     at com fsck k9 ui messageview MessageViewFragment onDecodeMessageFinished(MessageViewFragment java:276)
03 22 11:02:07 357 E AndroidRuntime(20726):     at com fsck k9 ui messageview MessageViewFragment access 1200(MessageViewFragment java:57)
03 22 11:02:07 357 E AndroidRuntime(20726):     at com fsck k9 ui messageview MessageViewFragment DecodeMessageLoaderCallback onLoadFinished(MessageViewFragment java:755)
03 22 11:02:07 357 E AndroidRuntime(20726):     at com fsck k9 ui messageview MessageViewFragment DecodeMessageLoaderCallback onLoadFinished(MessageViewFragment java:745)
03 22 11:02:07 357 E AndroidRuntime(20726):     at android app LoaderManagerImpl LoaderInfo callOnLoadFinished(LoaderManager java:483)
03 22 11:02:07 357 E AndroidRuntime(20726):     at android app LoaderManagerImpl LoaderInfo onLoadComplete(LoaderManager java:451)
03 22 11:02:07 357 E AndroidRuntime(20726):     at android content Loader deliverResult(Loader java:144)
03 22 11:02:07 357 E AndroidRuntime(20726):     at com fsck k9 ui message DecodeMessageLoader deliverResult(DecodeMessageLoader java:40)
03 22 11:02:07 357 E AndroidRuntime(20726):     at com fsck k9 ui message DecodeMessageLoader deliverResult(DecodeMessageLoader java:15)
03 22 11:02:07 357 E AndroidRuntime(20726):     at android content AsyncTaskLoader dispatchOnLoadComplete(AsyncTaskLoader java:265)
03 22 11:02:07 357 E AndroidRuntime(20726):     at android content AsyncTaskLoader LoadTask onPostExecute(AsyncTaskLoader java:92)
03 22 11:02:07 357 E AndroidRuntime(20726):     at android os AsyncTask finish(AsyncTask java:651)
03 22 11:02:07 357 E AndroidRuntime(20726):     at android os AsyncTask  wrap1(AsyncTask java)
03 22 11:02:07 357 E AndroidRuntime(20726):     at android os AsyncTask InternalHandler handleMessage(AsyncTask java:668)
03 22 11:02:07 357 E AndroidRuntime(20726):     at android os Handler dispatchMessage(Handler java:102)
03 22 11:02:07 357 E AndroidRuntime(20726):     at android os Looper loop(Looper java:148)
03 22 11:02:07 357 E AndroidRuntime(20726):     at android app ActivityThread main(ActivityThread java:5422)
03 22 11:02:07 357 E AndroidRuntime(20726):     at java lang reflect Method invoke(Native Method)
03 22 11:02:07 357 E AndroidRuntime(20726):     at com android internal os ZygoteInit MethodAndArgsCaller run(ZygoteInit java:726)
03 22 11:02:07 357 E AndroidRuntime(20726):     at com android internal os ZygoteInit main(ZygoteInit java:616)
 Your PVWC eBill is Ready   Anonymized eml txt (https:  github com k9mail k 9 files 184412 Your PVWC eBill is Ready   Anonymized eml txt)
</t>
  </si>
  <si>
    <t>JakeLane-Toffeed-33</t>
  </si>
  <si>
    <t>Marshmallow Crash</t>
  </si>
  <si>
    <t xml:space="preserve">Trying to save an image or share an image crashes the app unless the user grants permission to write or read storage in Marshmallow manually  As a suggestion to fix this crash I d suggest add runtime permissions 
</t>
  </si>
  <si>
    <t>nextcloud-news-android-508</t>
  </si>
  <si>
    <t>read out + change app = crash</t>
  </si>
  <si>
    <t xml:space="preserve">When I start  read out  in an article and then change the app (home button or task switcher or after tabbing on  open in browser )  news app crashes 
Android 6 0 1
News app 0 9 8 2
</t>
  </si>
  <si>
    <t>turing-tech-MaterialScrollBar-33</t>
  </si>
  <si>
    <t>AdapterNotSetupForIndicatorException on fragment recreation</t>
  </si>
  <si>
    <t xml:space="preserve">I have created a RecyclerView adapter implementing INameableAdapter for DragScrollBar  It works flawlessly during first creation of fragment in ViewPager  However when I swipe 2 fragments to the left right  the fragment is destroyed  therefore it will be automatically recreated  This message pops out during those recreation progress:  com turingtechnologies materialscrollbar CustomExceptions AdapterNotSetupForIndicatorException: In order to add this indicator  the adapter for your recyclerView MUST implement INameableAdapter  
Currently I have to stop fragment recreation with  mViewPager setOffscreenPageLimit(   )  to avoid crashing 
</t>
  </si>
  <si>
    <t>forcedotcom-SalesforceMobileSDK-Android-1088</t>
  </si>
  <si>
    <t>App crash when launching app due to View race condition -- IllegalStateException</t>
  </si>
  <si>
    <t xml:space="preserve">I don t have a reliable repro case for this    but I ve had my app crash enough times to know it wasn t a freak occurence
I am upgrading my hybrid app (hosts a Visualforce page) from MobileSDK 3 to 4 1 1
I m currently running off of the unstable branch in git
When my app launches  sometimes it immediately crashes with
 java lang IllegalStateException: Calling View methods on another thread than the UI thread 
     at com android webview chromium WebViewChromium createThreadException(WebViewChromium java:293)
     at com android webview chromium WebViewChromium checkThread(WebViewChromium java:308)
     at com android webview chromium WebViewChromium init(WebViewChromium java:226)
     at android webkit WebView  init (WebView java:606)
     at android webkit WebView  init (WebView java:542)
     at android webkit WebView  init (WebView java:525)
     at android webkit WebView  init (WebView java:512)
     at android webkit WebView  init (WebView java:502)
     at com salesforce androidsdk phonegap ui SalesforceDroidGapActivity setVFCookies(SalesforceDroidGapActivity java:401)
     at com salesforce androidsdk phonegap ui SalesforceDroidGapActivity loadVFPingPage(SalesforceDroidGapActivity java:390)
     at com salesforce androidsdk phonegap ui SalesforceDroidGapActivity access 400(SalesforceDroidGapActivity java:72)
     at com salesforce androidsdk phonegap ui SalesforceDroidGapActivity 1 1 onSuccess(SalesforceDroidGapActivity java:326)
     at com salesforce androidsdk rest RestClient 1 onResponse(RestClient java:222)
     at okhttp3 RealCall AsyncCall execute(RealCall java:133)
     at okhttp3 internal NamedRunnable run(NamedRunnable java:32)
     at java util concurrent ThreadPoolExecutor runWorker(ThreadPoolExecutor java:1113)
     at java util concurrent ThreadPoolExecutor Worker run(ThreadPoolExecutor java:588)
     at java lang Thread run(Thread java:818)
If I relaunch the app  it generally comes up just fine 
It appears to be most reproducible when logging into the app the first time or if the app is resumed after being paused for a long period    presumable due to the redirection login dance through frontdoor
</t>
  </si>
  <si>
    <t>deercoder-FitbitApp-4</t>
  </si>
  <si>
    <t>NullPointerException: When request the activity information using Json Libs</t>
  </si>
  <si>
    <t xml:space="preserve">When request some activity information like calorie  it seems that the callback function has  null  parameter  which cause the code crashing  as follows:
E AndroidRuntime: FATAL EXCEPTION: main
Process: com uwanttolearn easysocialfacebooktesting  PID: 7690
java lang NullPointerException: Attempt to invoke virtual method  int java lang String length()  on a null object reference
at org json JSONTokener nextCleanInternal(JSONTokener java:116)
 at org json JSONTokener nextValue(JSONTokener java:94)
at org json JSONObject  init (JSONObject java:156)
at org json JSONObject  init (JSONObject java:173)
at com uml deercoderi fitbitmodule EasySocialFitbit 1 requestComplete(EasySocialFitbit java:100)
 at com uwanttolearn easysocial webrequests GetWebRequest LocalAsyncTask onPostExecute(GetWebRequest java:64)
at com uwanttolearn easysocial webrequests GetWebRequest LocalAsyncTask onPostExecute(GetWebRequest java:42)
at android os AsyncTask finish(AsyncTask java:651)
at android os AsyncTask access 500(AsyncTask java:180)
at android os AsyncTask InternalHandler handleMessage(AsyncTask java:668)
at android os Handler dispatchMessage(Handler java:102)
at android os Looper loop(Looper java:148)
 at android app ActivityThread main(ActivityThread java:5432)
at java lang reflect Method invoke(Native Method)
at com android internal os ZygoteInit MethodAndArgsCaller run(ZygoteInit java:735)
at com android internal os ZygoteInit main(ZygoteInit java:625)
I Process: Sending signal  PID: 7690 SIG: 9
The code snippets are located here:(but should be caused anywhere else)
    public void getUserInfo(Context context  final UserInfoCallback userInfoCallback) 
        GetWebRequest getWebRequest   new GetWebRequest(new WebRequest Callback()  
             Override
            public void requestComplete(String line)  
                try  
                    Log e( EasySocialFitbit    callback line     line) 
                    JSONObject jsonObject   new JSONObject(line) 
                    userInfoCallback onComplete(jsonObject) 
                  catch (JSONException e)  
                    e printStackTrace() 
                    userInfoCallback onComplete(null) 
         ) 
        getWebRequest executeRequest( EasySocialFitbitUrlManager getUserInfoUrl(context)) 
</t>
  </si>
  <si>
    <t>CellularPrivacy-Android-IMSI-Catcher-Detector-822</t>
  </si>
  <si>
    <t xml:space="preserve">App crashes when some settings are accessed, including </t>
  </si>
  <si>
    <t xml:space="preserve">  Thank you for your feedback  Please add below details so that we can help you a bit faster 
The options  OpenCellID request API key    Recognition pattern  and  delete SMS  cause the app to crash  (default Android message) 
Unfortunately this message does not let me submit a crash report as it is sometimes possible when other apps crash 
     Agreements
  Please check these boxes to ensure you ve actually read and understood these important rules 
   x    I have reviewed and accepted the  guidelines for contributing (https:  github com CellularPrivacy Android IMSI Catcher Detector blob development  github CONTRIBUTING md) to this project   
   x    I have searched the  open Issues (https:  github com CellularPrivacy Android IMSI Catcher Detector issues) and made sure I am not filing a duplicate   
   x    I have read the notes on  debugging (https:  github com CellularPrivacy Android IMSI Catcher Detector blob development  github CONTRIBUTING md debugging) and will properly maintain this Issue   
     Overview
  Please add a short and easy to understand description of the Issue you ve experienced here 
   AIMSICD  version (see the  About  screen): 0 1 41 alpha normal (downloaded from FDroid)
  Phone and ROM running  current  release:  Galaxy S4 (GT I9505 jfltexx) (http:  wiki cyanogenmod org w Jfltexx Info) with Cyanogenmod 13 (nightly: cm 13 0 20160325)
  Link to logfile without identifyable data:  coming soon   is this which log is useful in this case  
Firewall setup:
  XPrivacy  but I ve read  this (https:  github com CellularPrivacy Android IMSI Catcher Detector wiki Permissions) and AIMSICD is not restricted
  AFWall   but everything for AIMSICD is allowed
     Reproduction
  Please tell us the detailed steps on how to reproduce your Issue here 
1  Go to the settings 
2  Tap on   either    OpenCellID request API key    Recognition pattern  or  delete SMS 
What happens: App crashes 
What should happen: Let me change this option 
     References
  If your Issue is related to any other existing Issues or pull requests  please link them here 
     Screenshots
  If you experienced visual glitches  please add a screenshot without metadata here 
     Workaround
As I cannot request the API key for Opencellid org from the app  I looked for a way to get it from  the website (http:  opencellid org )  but I found no way to get it 
So can I somehow get this key manually  Because the  entry API key  option does not cause crashes  so I assume entering this key should work 
</t>
  </si>
  <si>
    <t>bvolkmer-Markdown-Notes-40</t>
  </si>
  <si>
    <t>Settings make app crash</t>
  </si>
  <si>
    <t xml:space="preserve">tapping the settings in main activity makes the app crash
</t>
  </si>
  <si>
    <t>IvoGoman-Diabetes-App-18</t>
  </si>
  <si>
    <t>App crashes when Weight entered</t>
  </si>
  <si>
    <t xml:space="preserve">The app crashes every time I try to enter a Weight inside the Settings fragment  A clean install of the App did not resolve the problem 
 03 25 15:05:47 495 17066 17066 uni mannheim teamproject diabetesplaner E AndroidRuntime: FATAL EXCEPTION: main
                                                                                         Process: uni mannheim teamproject diabetesplaner  PID: 17066
                                                                                         java lang NullPointerException: Attempt to invoke virtual method  boolean java lang Object equals(java lang Object)  on a null object reference
                                                                                             at uni mannheim teamproject diabetesplaner SettingsActivity SettingsFragment onSharedPreferenceChanged(SettingsFragment java:193)
                                                                                             at android app SharedPreferencesImpl EditorImpl notifyListeners(SharedPreferencesImpl java:476)
                                                                                             at android app SharedPreferencesImpl EditorImpl apply(SharedPreferencesImpl java:384)
                                                                                             at android preference Preference tryCommit(Preference java:1411)
                                                                                             at android preference Preference persistString(Preference java:1444)
                                                                                             at android preference EditTextPreference setText(EditTextPreference java:92)
                                                                                             at android preference EditTextPreference onDialogClosed(EditTextPreference java:146)
                                                                                             at android preference DialogPreference onDismiss(DialogPreference java:398)
                                                                                             at android app Dialog ListenersHandler handleMessage(Dialog java:1263)
                                                                                             at android os Handler dispatchMessage(Handler java:102)
                                                                                             at android os Looper loop(Looper java:135)
                                                                                             at android app ActivityThread main(ActivityThread java:5294)
                                                                                             at java lang reflect Method invoke(Native Method)
                                                                                             at java lang reflect Method invoke(Method java:372)
                                                                                             at com android internal os ZygoteInit MethodAndArgsCaller run(ZygoteInit java:904)
                                                                                             at com android internal os ZygoteInit main(ZygoteInit java:699)
</t>
  </si>
  <si>
    <t>andysworkshop-nanocounter-3</t>
  </si>
  <si>
    <t>Frequency decimal places input can crash the app</t>
  </si>
  <si>
    <t xml:space="preserve">When setting a new value for  Frequency Decimal Places   typing in the first digit will actually clear the current digit without inputing it  If you aren t looking and then hit enter  the app crashes due to the value being empty 
</t>
  </si>
  <si>
    <t>chizmw-whogoesfirst-8</t>
  </si>
  <si>
    <t>???</t>
  </si>
  <si>
    <t xml:space="preserve">     in net chizography droid whosfirst CirclesDrawingView drawChooserModeImage
  Number of crashes: 1
  Impacted devices: 1
There s a lot more information about this crash on crashlytics com:
 https:  fabric io chizography android apps net chizography droid whosfirst issues 56f700caffcdc042502a802c (https:  fabric io chizography android apps net chizography droid whosfirst issues 56f700caffcdc042502a802c)
</t>
  </si>
  <si>
    <t>syncthing-syncthing-android-595</t>
  </si>
  <si>
    <t>Crash with error code 9</t>
  </si>
  <si>
    <t xml:space="preserve">Android 5 1 1 w  0 7 12 got a bunch of crashes:
E AndroidRuntime: FATAL EXCEPTION: Thread 1277
E AndroidRuntime: Process: com nutomic syncthingandroid  PID: 11789
E AndroidRuntime: java lang RuntimeException: Syncthing binary crashed with error code 9  output:
E AndroidRuntime: 
E AndroidRuntime:        at com nutomic syncthingandroid syncthing SyncthingRunnable run(SyncthingRunnable java:147)
E AndroidRuntime:        at java lang Thread run(Thread java:818)
</t>
  </si>
  <si>
    <t>martykan-webTube-49</t>
  </si>
  <si>
    <t>App crashes when removing the current page from bookmarks and it's not fully loaded</t>
  </si>
  <si>
    <t xml:space="preserve">So when a page is loading and I remove it from bookmarks the app crashes 
Works fine if the page finished loading 
It s not a big problem but can be annoying 
Androis 4 1 2 and don t know if the same with other versions of Android 
</t>
  </si>
  <si>
    <t>square-okhttp-2440</t>
  </si>
  <si>
    <t>Fatal Exception: java.lang.IllegalStateException: Unable to take ownership of connection.</t>
  </si>
  <si>
    <t xml:space="preserve">This happen on version 3 2 0 with 300  crashes in 30 days  Details:
 Fatal Exception: java lang IllegalStateException: Unable to take ownership of connection 
       at com squareup okhttp ws WebSocketCall createWebSocket(SourceFile:157)
       at com squareup okhttp ws WebSocketCall access 000(SourceFile:42)
       at com squareup okhttp ws WebSocketCall 1 onResponse(SourceFile:102)
       at com squareup okhttp Call AsyncCall execute(SourceFile:168)
       at com squareup okhttp internal NamedRunnable run(SourceFile:33)
       at java util concurrent ThreadPoolExecutor runWorker(ThreadPoolExecutor java:1112)
       at java util concurrent ThreadPoolExecutor Worker run(ThreadPoolExecutor java:587)
       at java lang Thread run(Thread java:818) 
  image (https:  cloud githubusercontent com assets 5756363 14058933 69742c40 f362 11e5 8fa4 b55aeb71035d png)
Please help me fix it 
</t>
  </si>
  <si>
    <t>inaturalist-iNaturalistAndroid-151</t>
  </si>
  <si>
    <t>can't make observations without Internet</t>
  </si>
  <si>
    <t xml:space="preserve">As of build 103 you cannot make observations without an Internet connection  The app seems to crash while receiving coordinates or while reverse geocoding them  To replicate  just make a new observation while in airplane mode 
I m pretty sure  this (https:  fabric io inaturalist android apps org inaturalist android issues 56f195b2ffcdc042500e0e6b) is it: 
Fatal Exception: java lang NullPointerException
       at org inaturalist android ObservationEditor setPlaceGuess(ObservationEditor java:1310)
       at org inaturalist android ObservationEditor setCurrentLocation(ObservationEditor java:1355)
       at org inaturalist android ObservationEditor handleNewLocation(ObservationEditor java:1245)
       at org inaturalist android ObservationEditor access 2500(ObservationEditor java:124)
       at org inaturalist android ObservationEditor 14 onLocationChanged(ObservationEditor java:1223)
       at android location LocationManager ListenerTransport  handleMessage(LocationManager java:234)
       at android location LocationManager ListenerTransport access 000(LocationManager java:167)
       at android location LocationManager ListenerTransport 1 handleMessage(LocationManager java:183)
       at android os Handler dispatchMessage(Handler java:99)
       at android os Looper loop(Looper java:137)
       at android app ActivityThread main(ActivityThread java:4424)
       at java lang reflect Method invokeNative(Method java)
       at java lang reflect Method invoke(Method java:511)
       at com android internal os ZygoteInit MethodAndArgsCaller run(ZygoteInit java:784)
       at com android internal os ZygoteInit main(ZygoteInit java:551)
       at dalvik system NativeStart main(NativeStart java)
</t>
  </si>
  <si>
    <t>NemProject-NEMAndroidApp-186</t>
  </si>
  <si>
    <t>App crashing when re-opening the app.</t>
  </si>
  <si>
    <t xml:space="preserve">a message keeps popping up saying that the app has crashed  only happens opening the app after having been minimized 
</t>
  </si>
  <si>
    <t>dimagi-commcare-android-1166</t>
  </si>
  <si>
    <t>Fix for swipe crash on tiny form.</t>
  </si>
  <si>
    <t xml:space="preserve">Fix crash when user swipes next on a screen which never had more than one question
Ticket: http:  manage dimagi com default asp 222347
</t>
  </si>
  <si>
    <t>ccrama-Slide-1274</t>
  </si>
  <si>
    <t>Slide consistently crashes on certain image loads</t>
  </si>
  <si>
    <t xml:space="preserve">Slide version: 5 0 1
Android version: 5 0
I ve found multiple images that are instant crashes    Click on the link and it crashes   
https:  www reddit com r MechanicAdvice comments 4b1zf4 2005 acura tsx transmission vent tube cap   
The OP has a link  Picture of aforementioned vent tube   which is http:  imgur com KxMrQ5j   I see that this link does not have a filetype 
I thought that I had saved 2 examples  however  the 2nd example is now working    I ve seen others  but I just saved a few for reporting   I ll have to find a more examples if needed 
</t>
  </si>
  <si>
    <t>openbmap-radiocells-scanner-android-140</t>
  </si>
  <si>
    <t>Crash when I start scanning  NoClassDefFoundError: android/telephony/CellIdentityCdma</t>
  </si>
  <si>
    <t xml:space="preserve">   
W dalvikvm(10238): threadid 1: thread exiting with uncaught exception (group 0x40fa28a8)
E AndroidRuntime(10238): FATAL EXCEPTION: main
E AndroidRuntime(10238): java lang NoClassDefFoundError: android telephony CellIdentityCdma
E AndroidRuntime(10238):        at java lang Class getDeclaredMethods(Native Method)
E AndroidRuntime(10238):        at java lang Class getDeclaredMethods(Class java:703)
E AndroidRuntime(10238):        at a a a o a(Unknown Source)
E AndroidRuntime(10238):        at a a a c a(Unknown Source)
E AndroidRuntime(10238):        at a a a c a(Unknown Source)
E AndroidRuntime(10238):        at org openbmap services wireless WirelessLoggerService a(Unknown Source)
E AndroidRuntime(10238):        at org openbmap services a onCreate(Unknown Source)
E AndroidRuntime(10238):        at org openbmap services wireless WirelessLoggerService onCreate(Unknown Source)
E AndroidRuntime(10238):        at android app ActivityThread handleCreateService(ActivityThread java:2537)
E AndroidRuntime(10238):        at android app ActivityThread access 1600(ActivityThread java:151)
E AndroidRuntime(10238):        at android app ActivityThread H handleMessage(ActivityThread java:1383)
E AndroidRuntime(10238):        at android os Handler dispatchMessage(Handler java:99)
E AndroidRuntime(10238):        at android os Looper loop(Looper java:153)
E AndroidRuntime(10238):        at android app ActivityThread main(ActivityThread java:5071)
E AndroidRuntime(10238):        at java lang reflect Method invokeNative(Native Method)
E AndroidRuntime(10238):        at java lang reflect Method invoke(Method java:511)
E AndroidRuntime(10238):        at com android internal os ZygoteInit MethodAndArgsCaller run(ZygoteInit java:790)
E AndroidRuntime(10238):        at com android internal os ZygoteInit main(ZygoteInit java:557)
E AndroidRuntime(10238):        at dalvik system NativeStart main(Native Method)
E AndroidRuntime(10238): Caused by: java lang ClassNotFoundException: android telephony CellIdentityCdma
E AndroidRuntime(10238):        at dalvik system BaseDexClassLoader findClass(BaseDexClassLoader java:61)
E AndroidRuntime(10238):        at java lang ClassLoader loadClass(ClassLoader java:501)
E AndroidRuntime(10238):        at java lang ClassLoader loadClass(ClassLoader java:461)
E AndroidRuntime(10238):            19 more
V Provider Setting(  582): from settings cache   name   dropbox:data app crash value   disabled
V Provider Setting(  582): from settings cac
It happens when I start new scanning session or open old one  Previous fdroid version worked fine 
</t>
  </si>
  <si>
    <t>tbruyelle-RxPermissions-43</t>
  </si>
  <si>
    <t>CRASH: Fold the app up when dialog is showing (dnka off)</t>
  </si>
  <si>
    <t xml:space="preserve">Hello 
Please note that the last version of the library (0 6 1) produces crash with the following steps (for the sample app):
0   Do not keep activities  OFF
1  Open the sample app 
2  Press  Enable camera 
3  While the dialog is on the screen  fold the app up 
4  Retrieve the app from the recent apps 
5  Press  Allow  
Actual result: App crashes 
The log is as follows:
03 29 12:33:01 757 1921 1921 com tbruyelle rxpermissions sample E AndroidRuntime: FATAL EXCEPTION: main
                                                                                  Process: com tbruyelle rxpermissions sample  PID: 1921
                                                                                  java lang RuntimeException: Failure delivering result ResultInfo who  android:requestPermissions:  request 42  result  1  data Intent   act android content pm action REQUEST PERMISSIONS (has extras)    to activity  com tbruyelle rxpermissions sample com tbruyelle rxpermissions ShadowActivity : java lang IllegalStateException: RxPermissions onRequestPermissionsResult invoked but didn t find the corresponding permission request 
                                                                                      at android app ActivityThread deliverResults(ActivityThread java:3699)
                                                                                      at android app ActivityThread handleSendResult(ActivityThread java:3742)
                                                                                      at android app ActivityThread  wrap16(ActivityThread java)
                                                                                      at android app ActivityThread H handleMessage(ActivityThread java:1393)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IllegalStateException: RxPermissions onRequestPermissionsResult invoked but didn t find the corresponding permission request 
                                                                                      at com tbruyelle rxpermissions RxPermissions onRequestPermissionsResult(RxPermissions java:302)
                                                                                      at com tbruyelle rxpermissions ShadowActivity onRequestPermissionsResult(ShadowActivity java:32)
                                                                                      at android app Activity dispatchRequestPermissionsResult(Activity java:6582)
                                                                                      at android app Activity dispatchActivityResult(Activity java:6460)
                                                                                      at android app ActivityThread deliverResults(ActivityThread java:3695)
                                                                                      at android app ActivityThread handleSendResult(ActivityThread java:3742) 
                                                                                      at android app ActivityThread  wrap16(ActivityThread java) 
                                                                                      at android app ActivityThread H handleMessage(ActivityThread java:1393)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</si>
  <si>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k9mail-k-9-1227</t>
  </si>
  <si>
    <t>Crash on screen rotate with OpenPGP handled message</t>
  </si>
  <si>
    <t xml:space="preserve">    Expected behaviour
Message should be re rendered in landscape 
    Actual behaviour
Application crashes with following exception 
03 29 08:40:55 041 12045 12045 com fsck k9 debug E AndroidRuntime: FATAL EXCEPTION: main
                                                                   Process: com fsck k9 debug  PID: 12045
                                                                   java util NoSuchElementException
                                                                       at java util ArrayDeque removeFirst(ArrayDeque java:248)
                                                                       at com fsck k9 ui crypto MessageCryptoHelper onCryptoFinished(MessageCryptoHelper java:454)
                                                                       at com fsck k9 ui crypto MessageCryptoHelper onCryptoSuccess(MessageCryptoHelper java:438)
                                                                       at com fsck k9 ui crypto MessageCryptoHelper handleCryptoOperationSuccess(MessageCryptoHelper java:420)
                                                                       at com fsck k9 ui crypto MessageCryptoHelper handleCryptoOperationResult(MessageCryptoHelper java:379)
                                                                       at com fsck k9 ui crypto MessageCryptoHelper onCryptoOperationReturned(MessageCryptoHelper java:353)
                                                                       at com fsck k9 ui crypto MessageCryptoHelper access 400(MessageCryptoHelper java:49)
                                                                       at com fsck k9 ui crypto MessageCryptoHelper 4 onReturn(MessageCryptoHelper java:250)
                                                                       at org openintents openpgp util OpenPgpApi OpenPgpAsyncTask onPostExecute(OpenPgpApi java:298)
                                                                       at org openintents openpgp util OpenPgpApi OpenPgpAsyncTask onPostExecute(OpenPgpApi java:279)
                                                                       at android os AsyncTask finish(AsyncTask java:651)
                                                                       at android os AsyncTask  wrap1(AsyncTask java)
                                                                       at android os AsyncTask InternalHandler handleMessage(AsyncTask java:668)
                                                                       at android os Handler dispatchMessage(Handler java:102)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Email available on request 
    Steps to reproduce
1  Receive a message that has been signed
2  Open the message 
3  Rotate the phone to landscape
    Environment
K 9 Mail version: commit 74c6e76 (current master)
OpenKeychain version: 3 9 4
Android version: 6 0 1
Account type (IMAP  POP3  WebDAV Exchange): IMAP
</t>
  </si>
  <si>
    <t>QuantumBadger-RedReader-294</t>
  </si>
  <si>
    <t>RedReader Crashes / Not Responding without log</t>
  </si>
  <si>
    <t xml:space="preserve">Version:  RedReader Beta 1 9 3 1
Device Name:  Galaxy S6
OS:  Android Version 5 1 1
I have had several crashes   RedReader not responding  but after searching my external and internal storage  there is no  redreader crash log (UUID) txt  file   Also  I have never gotten a prompt to email the exception details directly   If there is any more information that I could provide that may be of use  I am happy to provide 
</t>
  </si>
  <si>
    <t>aurelhubert-ahbottomnavigation-24</t>
  </si>
  <si>
    <t>setCurrentItem() crashes with 5 items and bottomLayout.setForceTitlesDisplay(true)</t>
  </si>
  <si>
    <t xml:space="preserve">Hi  I have a crash when I use setCurrentItem with five AHBottomNavigationItems and bottomLayout setForceTitlesDisplay(true) ( all is ok for three items )  The crash happens in setCurrentItem   updateSmallItems 
final View container   views get(currentItem) findViewById(R id bottom navigation small container) 
final TextView title   (TextView) views get(currentItem) findViewById(R id bottom navigation small item title) 
final ImageView icon   (ImageView) views get(currentItem) findViewById(R id bottom navigation small item icon) 
final TextView notification   (TextView) views get(currentItem) findViewById(R id bottom navigation notification) 
All these views are nulls for some reason  Here s the full log
Process: com itelinc android itelnow  PID: 29095
java lang NullPointerException: Attempt to invoke virtual method  android view ViewGroup LayoutParams android view View getLayoutParams()  on a null object reference
at com aurelhubert ahbottomnavigation AHHelper 1 onAnimationUpdate(AHHelper java:57)
at android animation ValueAnimator animateValue(ValueAnimator java:1374)
at android animation ValueAnimator setCurrentFraction(ValueAnimator java:602)
at android animation ValueAnimator setCurrentPlayTime(ValueAnimator java:550)
at android animation ValueAnimator start(ValueAnimator java:1039)
at android animation ValueAnimator start(ValueAnimator java:1050)
at com aurelhubert ahbottomnavigation AHHelper updateTopMargin(AHHelper java:64)at com aurelhubert ahbottomnavigation AHBottomNavigation updateSmallItems(AHBottomNavigation java:543)
at com aurelhubert ahbottomnavigation AHBottomNavigation setCurrentItem(AHBottomNavigation java:779)
at com itelinc android itelmobile ui home MainActivity lambda selectCurrentTab 16(MainActivity java:342)
at com itelinc android itelmobile ui home MainActivity access lambda 17(MainActivity java)
at com itelinc android itelmobile ui home MainActivity  Lambda 20 run(Unknown Source)
at android os Handler handleCallback(Handler java:739)
at android os Handler dispatchMessage(Handler java:95)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</si>
  <si>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IvoGoman-Diabetes-App-20</t>
  </si>
  <si>
    <t>App crashes when current activity is deleted</t>
  </si>
  <si>
    <t xml:space="preserve">If the current activity was deleted and one tries to restart the app it crashes  This is because there is no current running activity and the ScrollView wants to scroll to the current activity  
There are two possible solutions:
1  I could do an if statement if(currentrunning    null)
2  We could include an unknown activity like we discussed last time  that is inserted at the time period where we don t know what the user did  I think this would be the better solution  because otherwise the timeline on the left will interrupt at the point where the actual activity is missing which looks not very nice 
</t>
  </si>
  <si>
    <t>timusus-RecyclerView-FastScroll-26</t>
  </si>
  <si>
    <t>NullPointerException if adapter not set</t>
  </si>
  <si>
    <t xml:space="preserve">If the adapter of the recycler view is not (yet) set  the recycler view crashes with a NullPointerException on the first frame to draw (calling getItemCount() on the null adapter) 
This is counter intuitive and annoying especially when working with loaders or even cursor loaders  You have to write the adapter null safe and instantiate and set an empty adapter with a null cursor every time the loader is reset  This is an ugly workaround 
</t>
  </si>
  <si>
    <t>ably-ably-java-124</t>
  </si>
  <si>
    <t>HTTP Version Not Supported</t>
  </si>
  <si>
    <t xml:space="preserve">When running https:  github com ably demo mobile android on a physical Android device  it crashes with the following error 
I suspect this is an ably java issue as opposed to an Android Demo issue 
04 01 12:11:25 676 25098 25098 com ablydemo I System out: (INFO): io ably lib realtime AblyRealtime: started
04 01 12:11:25 676 25098 25098 com ablydemo I System out: (INFO): Auth(): using token auth with authUrl
04 01 12:11:25 683 25098 25098 com ablydemo I System out: (VERBOSE): io ably lib transport ConnectionManager: requestState(): requesting connecting  id   null
04 01 12:11:25 684 25098 25699 com ablydemo I System out: (VERBOSE): io ably lib transport ConnectionManager: notifyState(): notifying connecting  id   null
04 01 12:11:25 688 25098 25699 com ablydemo I System out: (INFO): TokenAuth authorise(): 
04 01 12:11:25 688 25098 25699 com ablydemo I System out: (INFO): TokenAuth authorise(): requesting new token
04 01 12:11:25 689 25098 25699 com ablydemo I System out: (INFO): Auth requestToken(): using token auth with auth url
04 01 12:11:26 376 25098 25699 com ablydemo I System out: (ERROR): io ably lib http Http: Error response from server: statusCode   505  statusLine   HTTP Version Not Supported
04 01 12:11:26 376 25098 25699 com ablydemo I System out: (ERROR): io ably lib transport WebSocketTransport: Unexpected exception attempting connection  wsUri   wss:  realtime ably io:443 
04 01 12:11:26 377 25098 25699 com ablydemo I System out: io ably lib types AblyException: java lang Exception: HTTP Version Not Supported
04 01 12:11:26 377 25098 25699 com ablydemo I System out:     at io ably lib http Http httpExecute(Http java:383)
04 01 12:11:26 377 25098 25699 com ablydemo I System out:     at io ably lib http Http getUri(Http java:194)
04 01 12:11:26 377 25098 25699 com ablydemo I System out:     at io ably lib rest Auth requestToken(Auth java:381)
04 01 12:11:26 377 25098 25699 com ablydemo I System out:     at io ably lib http TokenAuth authorise(TokenAuth java:54)
04 01 12:11:26 377 25098 25699 com ablydemo I System out:     at io ably lib rest Auth authorise(Auth java:325)
04 01 12:11:26 377 25098 25699 com ablydemo I System out:     at io ably lib rest Auth getAuthParams(Auth java:539)
04 01 12:11:26 377 25098 25699 com ablydemo I System out:     at io ably lib transport WebSocketTransport connect(WebSocketTransport java:59)
04 01 12:11:26 377 25098 25699 com ablydemo I System out:     at io ably lib transport ConnectionManager connectImpl(ConnectionManager java:614)
04 01 12:11:26 377 25098 25699 com ablydemo I System out:     at io ably lib transport ConnectionManager handleStateRequest(ConnectionManager java:421)
04 01 12:11:26 378 25098 25699 com ablydemo I System out:     at io ably lib transport ConnectionManager run(ConnectionManager java:529)
04 01 12:11:26 378 25098 25699 com ablydemo I System out:     at java lang Thread run(Thread java:818)
04 01 12:11:26 378 25098 25699 com ablydemo I System out: Caused by: java lang Exception: HTTP Version Not Supported
04 01 12:11:26 378 25098 25699 com ablydemo I System out:       11 more
</t>
  </si>
  <si>
    <t>k9mail-k-9-1245</t>
  </si>
  <si>
    <t>Application crash: no free notification ID</t>
  </si>
  <si>
    <t xml:space="preserve">    Expected behaviour
Can view folder having retrieved unread mail 
    Actual behaviour
Application crash (K 9 has stopped)
    Steps to reproduce
1  Find a folder with mail server side that hasn t yet been synced
2  Pull refresh the folder
3  Application crash reported
          beginning of crash
04 01 08:48:47 502 9926 9959 com fsck k9 debug E AndroidRuntime: FATAL EXCEPTION: MessagingController
            Process: com fsck k9 debug  PID: 9926
            java lang AssertionError: getNewNotificationId() called with no free notification ID
                at com fsck k9 notification NotificationData getNewNotificationId(NotificationData java:77)
                at com fsck k9 notification NotificationData addNotificationContent(NotificationData java:46)
                at com fsck k9 notification NewMailNotifications addNewMailNotification(NewMailNotifications java:56)
                at com fsck k9 notification NotificationController addNewMailNotification(NotificationController java:95)
                at com fsck k9 controller MessagingController downloadLargeMessages(MessagingController java:1584)
                at com fsck k9 controller MessagingController downloadMessages(MessagingController java:1218)
                at com fsck k9 controller MessagingController synchronizeMailboxSynchronous(MessagingController java:979)
                at com fsck k9 controller MessagingController 8 run(MessagingController java:764)
                at com fsck k9 controller MessagingController run(MessagingController java:267)
                at java lang Thread run(Thread java:818)
    Environment
K 9 Mail version: 74c6e764338d312dab49bb6e5499ee82d2c86c83
Android version: 6 0 1
Account type (IMAP  POP3  WebDAV Exchange): IMAP
</t>
  </si>
  <si>
    <t>aws-amplify-aws-sdk-android-117</t>
  </si>
  <si>
    <t>NetworkInfoReceiver.isNetworkConnected() on a null object reference</t>
  </si>
  <si>
    <t xml:space="preserve">Hi  I am not entirely sure if this problem is in the SDK or my code  I upgraded to 2 2 14  
Could you help make a judgement 
I do want to point out though this problem doesn t occur under stable WiFi network (I have already tested it under WiFi for more than 24 hrs taking tens of thousands photos without glitch)  
It happens frequently under 4G network (the single is weak  on and off from time to time)  The crash hit me at least four times over the past 24hrs  
Thank you 
  java lang NullPointerException: Attempt to invoke virtual method  boolean com amazonaws mobileconnectors s3 transferutility TransferService NetworkInfoReceiver isNetworkConnected()  on a null object reference
    at com amazonaws mobileconnectors s3 transferutility TransferService execCommand(TransferService java:287)
    at com amazonaws mobileconnectors s3 transferutility TransferService UpdateHandler handleMessage(TransferService java:224)
    at android os Handler dispatchMessage(Handler java:102)
    at android os Looper loop(Looper java:135)
    at android os HandlerThread run(HandlerThread java:61)
</t>
  </si>
  <si>
    <t>k9mail-k-9-1251</t>
  </si>
  <si>
    <t>App crashed by typing address in the address field when composing a message</t>
  </si>
  <si>
    <t xml:space="preserve">    Expected behaviour
Should be possible typing addresses into the address field 
    Actual behaviour
App crashed by typing address in the address field
    Steps to reproduce
1  Click the compose icon
2  Try to type a address into the  To:  field
    Environment
K 9 Mail version: 
5 108 (current alpha)
Android version:
5 0
Account type (IMAP  POP3  WebDAV Exchange):
IMAP
</t>
  </si>
  <si>
    <t>nilsbraden-ttrss-reader-fork-314</t>
  </si>
  <si>
    <t>Frequent force close on mark all read</t>
  </si>
  <si>
    <t xml:space="preserve">I run latest version of this great app on Android 6 0 1 on nexus 6 
App crashes very frequently when I do  mark all read   This happens also on sony xperia z4 tablet running Android 6 0 1  This problem was present also on previous versions of Android on both devices 
How can I help to debug this further 
Thanks in advance 
</t>
  </si>
  <si>
    <t>mixpanel-mixpanel-android-343</t>
  </si>
  <si>
    <t>Stackoverflow when the database becomes corrupted</t>
  </si>
  <si>
    <t xml:space="preserve">I have no idea how but one user s database became corrupted which led to this crash:
Fatal Exception: java lang StackOverflowError
       at java util WeakHashMap put(WeakHashMap java:608)
       at android database sqlite SQLiteConnectionPool finishAcquireConnectionLocked(SQLiteConnectionPool java:921)
       at android database sqlite SQLiteConnectionPool tryAcquirePrimaryConnectionLocked(SQLiteConnectionPool java:857)
       at android database sqlite SQLiteConnectionPool waitForConnection(SQLiteConnectionPool java:623)
       at android database sqlite SQLiteConnectionPool acquireConnection(SQLiteConnectionPool java:349)
       at android database sqlite SQLiteSession acquireConnection(SQLiteSession java:894)
       at android database sqlite SQLiteSession prepare(SQLiteSession java:586)
       at android database sqlite SQLiteProgram  init (SQLiteProgram java:58)
       at android database sqlite SQLiteStatement  init (SQLiteStatement java:31)
       at android database sqlite SQLiteDatabase compileStatement(SQLiteDatabase java:992)
       at android database sqlite SQLiteDatabase isDatabaseIntegrityOk(SQLiteDatabase java:2140)
       at android database DefaultDatabaseErrorHandler onCorruption(DefaultDatabaseErrorHandler java:81)
       at android database sqlite SQLiteDatabase onCorruption(SQLiteDatabase java:338)
       at android database sqlite SQLiteProgram onCorruption(SQLiteProgram java:111)
       at android database sqlite SQLiteStatement simpleQueryForString(SQLiteStatement java:131)
       at android database sqlite SQLiteDatabase isDatabaseIntegrityOk(SQLiteDatabase java:2141)
       at android database DefaultDatabaseErrorHandler onCorruption(DefaultDatabaseErrorHandler java:81)
       at android database sqlite SQLiteDatabase onCorruption(SQLiteDatabase java:338)
       at android database sqlite SQLiteProgram onCorruption(SQLiteProgram java:111)
       at android database sqlite SQLiteStatement executeInsert(SQLiteStatement java:89)
       at android database sqlite SQLiteDatabase insertWithOnConflict(SQLiteDatabase java:1469)
       at android database sqlite SQLiteDatabase insert(SQLiteDatabase java:1339)
       at com mixpanel android mpmetrics MPDbAdapter addJSON(MPDbAdapter java:155)
       at com mixpanel android mpmetrics AnalyticsMessages Worker AnalyticsMessageHandler handleMessage(AnalyticsMessages java:250)
       at android os Handler dispatchMessage(Handler java:99)
       at android os Looper loop(Looper java:137)
       at android os HandlerThread run(HandlerThread java:60)
Here s the relevant data:
  Samsung GT I8730 (Samsung Galaxy Express)
  Android 4 1 2
</t>
  </si>
  <si>
    <t>milincjoshi-To-Do-1</t>
  </si>
  <si>
    <t>App crash on delete item</t>
  </si>
  <si>
    <t xml:space="preserve">  To Do
 for Developers 
  App crashes when you try to delete a to do item other than the last one 
</t>
  </si>
  <si>
    <t>cymcsg-UltimateRecyclerView-359</t>
  </si>
  <si>
    <t>click the MultiViewType menu happen crash</t>
  </si>
  <si>
    <t xml:space="preserve">i run the demo and click the MultiViewType menu happen crash 
  image (https:  cloud githubusercontent com assets 12220537 14276918 5b0071ac fb53 11e5 9b1d d4ac99da6b15 png)
</t>
  </si>
  <si>
    <t>davideas-FlipView-9</t>
  </si>
  <si>
    <t>Demo app crashes only with API 23 while flipping entire layouts only on real devices</t>
  </si>
  <si>
    <t xml:space="preserve">Experimented that  only with API 23  only flipping entire layouts  demo app:
  On real devices  is killed with no message and it logs:   E OpenGLRenderer: resultIndex is  1  the polygon must be invalid    
  On emulator  doesn t crash but it logs:   W OpenGLRenderer: Outline has 0 area  no spot shadow    
If you know why  please let me know 
</t>
  </si>
  <si>
    <t>translation-cards-translation-cards-119</t>
  </si>
  <si>
    <t>IllegalStateException When Trying To Play Audio During Card Creation</t>
  </si>
  <si>
    <t xml:space="preserve">  Commit:   136967a
  Emulator:   Nexus One API 10
  Steps to reproduce:  
1  During the translation card creation process navigate to the Record Audio step and record audio
4  Press the Play button
The app will crash with a following exception:
 img width  1247  alt  screen shot 2016 04 06 at 11 18 54 am  src  https:  cloud githubusercontent com assets 8908668 14324337 fa632186 fbe9 11e5 946b c5b289cccdf7 png  
  Note:   There is also an error when the audio finishes playing during the Review and Save step 
  Steps to reproduce:  
1  Create a new translation card (Enter phrase  record audio)
2  During the Review and Save step of the card creation process click the card to hear the audio
3  When the audio finishes playing you will get the following error  but the app will not crash:
 img width  808  alt  screen shot 2016 04 06 at 11 29 59 am  src  https:  cloud githubusercontent com assets 8908668 14324747 bcb856ba fbeb 11e5 83fb 0f5fa5906552 png  
</t>
  </si>
  <si>
    <t>darsh2-MultipleImageSelect-12</t>
  </si>
  <si>
    <t>NullPointerException on fast tapping</t>
  </si>
  <si>
    <t xml:space="preserve">Hello  We hope you still provide support for MultipleImageSelect 
We ve met some issues while using your image picker  which you can reproduce as follows:
1) Open Gallery
2) Perform a fast tap on the  Photos  folder
3) Perform a fast tap on an image which thumbnail wasn t yet loaded 
4) Perform a fast tap on  Add  button
As the result  the activity reloads  and then  when you try to choose any of available images and hit the  Add  button  you ll get a crash with the following stack trace:
java lang NullPointerException: Attempt to invoke virtual method  void android os Handler removeCallbacksAndMessages(java lang Object)  on a null object reference
android app ActivityThread performDestroyActivity(ActivityThread java:3656)
android app ActivityThread handleDestroyActivity(ActivityThread java:3710)
android app ActivityThread access 1400(ActivityThread java:147)
android app ActivityThread H handleMessage(ActivityThread java:1340)
android os Handler dispatchMessage(Handler java:102)
android os Looper loop(Looper java:135)
android app ActivityThread main(ActivityThread java:5260)
java lang reflect Method invoke(Native Method)
java lang reflect Method invoke(Method java:372)
com android internal os ZygoteInit MethodAndArgsCaller run(ZygoteInit java:899)
com android internal os ZygoteInit main(ZygoteInit java:694)
java lang NullPointerException: Attempt to invoke virtual method  void android os Handler removeCallbacksAndMessages(java lang Object)  on a null object reference
com darsh multipleimageselect activities ImageSelectActivity onStop(ImageSelectActivity java:150)
android app Instrumentation callActivityOnStop(Instrumentation java:1261)
android app Activity performStop(Activity java:6127)
android app ActivityThread performDestroyActivity(ActivityThread java:3651)
android app ActivityThread handleDestroyActivity(ActivityThread java:3710)
android app ActivityThread access 1400(ActivityThread java:147)
android app ActivityThread H handleMessage(ActivityThread java:1340)
android os Handler dispatchMessage(Handler java:102)
android os Looper loop(Looper java:135)
android app ActivityThread main(ActivityThread java:5260)
java lang reflect Method invoke(Native Method)
java lang reflect Method invoke(Method java:372)
com android internal os ZygoteInit MethodAndArgsCaller run(ZygoteInit java:899)
com android internal os ZygoteInit main(ZygoteInit java:694)
We have suceeded to reproduce this on following devices:
Dalvik 2 1 0 (Linux  U  Android 6 0  Nexus 5X Build MDA89E)
Dalvik 2 1 0 (Linux  U  Android 5 0  K016 Build LRX21V)
</t>
  </si>
  <si>
    <t>unfoldingWord-dev-ts-android-1422</t>
  </si>
  <si>
    <t>App was crashing when starting up without any target translations</t>
  </si>
  <si>
    <t xml:space="preserve">if no target translations existed then the list of files would be null when performing updates  This would cause a null pointer exception and crash the app 
</t>
  </si>
  <si>
    <t>aws-amplify-aws-sdk-android-118</t>
  </si>
  <si>
    <t>NPE in TransferService after update to 2.2.14</t>
  </si>
  <si>
    <t xml:space="preserve">   
Fatal Exception: java lang NullPointerException
       at com amazonaws mobileconnectors s3 transferutility TransferService execCommand(TransferService java:287)
       at com amazonaws mobileconnectors s3 transferutility TransferService UpdateHandler handleMessage(TransferService java:224)
       at android os Handler dispatchMessage(Handler java:110)
       at android os Looper loop(Looper java:193)
       at android os HandlerThread run(HandlerThread java:61)
See all details here:
http:  crashes to s 84e42fce62c
</t>
  </si>
  <si>
    <t>SCCapstone-diet-43</t>
  </si>
  <si>
    <t>App crashes when turning on device Wifi while on the new account screen</t>
  </si>
  <si>
    <t xml:space="preserve">I turned on wifi while on the NewAccountFragment and the app crashed with this Exception: 
  bug1 (https:  cloud githubusercontent com assets 16580170 14356920 a0446a86 fcb4 11e5 96a6 d432feec969e png)
</t>
  </si>
  <si>
    <t>Freeyourgadget-Gadgetbridge-277</t>
  </si>
  <si>
    <t>Pebble - Gadgetbridge crashes on my activity</t>
  </si>
  <si>
    <t>I m using Gadgetbridge with a Pebble Classic with fw 2 9 1 and with Misfit 3 2 
In the last days I noticed that sometime Gadgetbridge crashes when I open the activity menu 
Apart this I also noticed that Misfit doesn t sync the data with Gadgetbridge when in background but as soon I open the watchapp it starts sync with Gadgetbridge  is this normal 
Before posting I factory resetted the smartwatch and I uninstalled Gadgetbridge  then I tested the two problem on cm11 and cm13 and on Gadgetbridge 0 8 2 and 0 9 3 
Here a log about the crash taken on cm13 with gadgetbridge 0 9 3:
 04 07 02:48:03 347 D StatusBar( 1151): Clicked on content of 0 nodomain freeyourgadget gadgetbridge 1 null 10090
04 07 02:48:03 359 I ActivityManager(  872): START u0  flg 0x10008000 cmp nodomain freeyourgadget gadgetbridge  activities ControlCenter  from uid 10090 on display 0
04 07 02:48:03 510 D nodomain freeyourgadget gadgetbridge service DeviceCommunicationService(19390): Service startcommand: nodomain freeyourgadget gadgetbridge devices action start
04 07 02:48:03 527 D nodomain freeyourgadget gadgetbridge service DeviceCommunicationService(19390): Service startcommand: nodomain freeyourgadget gadgetbridge devices action request deviceinfo
04 07 02:48:04 668 D nodomain freeyourgadget gadgetbridge service DeviceCommunicationService(19390): Service startcommand: nodomain freeyourgadget gadgetbridge devices action connect
04 07 02:48:04 677 I nodomain freeyourgadget gadgetbridge service DeviceCommunicationService(19390): Setting broadcast receivers to: false
04 07 02:48:04 679 I nodomain freeyourgadget gadgetbridge service devices pebble PebbleIoThread(19390): found service UUID 00001101 0000 1000 8000 00805f9b34fb
04 07 02:48:04 679 I nodomain freeyourgadget gadgetbridge service devices pebble PebbleIoThread(19390): found service UUID 0000110e 0000 1000 8000 00805f9b34fb
04 07 02:48:04 679 I nodomain freeyourgadget gadgetbridge service devices pebble PebbleIoThread(19390): found service UUID 00000000 0000 1000 8000 00805f9b34fb
04 07 02:48:04 679 I nodomain freeyourgadget gadgetbridge service devices pebble PebbleIoThread(19390): found service UUID 00000000 0000 1000 8000 00805f9b34fb
04 07 02:48:04 679 I nodomain freeyourgadget gadgetbridge service devices pebble PebbleIoThread(19390): found service UUID ffcacade afde cade defa cade00000000
04 07 02:48:06 747 I nodomain freeyourgadget gadgetbridge service devices pebble PebbleProtocol(19390): setting force protocol to false
04 07 02:48:06 747 I nodomain freeyourgadget gadgetbridge service DeviceCommunicationService(19390): Setting broadcast receivers to: false
04 07 02:48:06 766 I nodomain freeyourgadget gadgetbridge service devices pebble PebbleProtocol(19390): Pebble asked for Phone App Version   repLYING 
04 07 02:48:06 877 I nodomain freeyourgadget gadgetbridge service devices pebble PebbleProtocol(19390): got LAUNCHER PUSH from UUID e53172a6 301b 425b 9c3c ef345e7fbc95
04 07 02:48:06 877 I nodomain freeyourgadget gadgetbridge service devices pebble PebbleIoThread(19390): unhandled message to endpoint 49 (30 bytes)
04 07 02:48:06 979 I nodomain freeyourgadget gadgetbridge service devices pebble PebbleIoThread(19390): syncing time
04 07 02:48:06 985 I nodomain freeyourgadget gadgetbridge service AbstractDeviceSupport(19390): Got event for VERSION INFO
04 07 02:48:06 986 I nodomain freeyourgadget gadgetbridge service DeviceCommunicationService(19390): Setting broadcast receivers to: true
04 07 02:48:07 092 I nodomain freeyourgadget gadgetbridge externalevents MusicPlaybackReceiver(19390): Current track: null  null  null
04 07 02:48:07 153 D nodomain freeyourgadget gadgetbridge service DeviceCommunicationService(19390): Service startcommand: nodomain freeyourgadget gadgetbridge devices action setmusicinfo
04 07 02:48:09 553 I ActivityManager(  872): START u0  cmp nodomain freeyourgadget gadgetbridge  activities charts ChartsActivity (has extras)  from uid 10090 on display 0
04 07 02:48:09 661 I nodomain freeyourgadget gadgetbridge database ActivityDatabaseHandler(19390): Activity query where: (provider 3 and timestamp  1459903689 and timestamp  1459990089)
04 07 02:48:09 665 I nodomain freeyourgadget gadgetbridge database ActivityDatabaseHandler(19390): Activity query result: 4 samples
04 07 02:48:09 669 I nodomain freeyourgadget gadgetbridge activities charts AbstractChartFragment(19390): Attivit   e sonno: number of samples:4
04 07 02:48:09 683 I nodomain freeyourgadget gadgetbridge database ActivityDatabaseHandler(19390): Activity query where: (provider 3 and timestamp  1459903689 and timestamp  1459990089)
04 07 02:48:09 685 E nodomain freeyourgadget gadgetbridge LoggingExceptionHandler(19390): Uncaught exception: Attempt to invoke virtual method  void com github mikephil charting renderer DataRenderer calcXBounds(com github mikephil charting interfaces dataprovider BarLineScatterCandleBubbleDataProvider  int)  on a null object referencejava lang NullPointerException: Attempt to invoke virtual method  void com github mikephil charting renderer DataRenderer calcXBounds(com github mikephil charting interfaces dataprovider BarLineScatterCandleBubbleDataProvider  int)  on a null object reference
04 07 02:48:09 685 E nodomain freeyourgadget gadgetbridge LoggingExceptionHandler(19390):   at com github mikephil charting charts BarLineChartBase onDraw(BarLineChartBase java:200)   na:0 0 
04 07 02:48:09 685 E nodomain freeyourgadget gadgetbridge LoggingExceptionHandler(19390):   at android view View draw(View java:16187)   na:0 0 
04 07 02:48:09 685 E nodomain freeyourgadget gadgetbridge LoggingExceptionHandler(19390):   at android view View updateDisplayListIfDirty(View java:15184)   na:0 0 
04 07 02:48:09 685 E nodomain freeyourgadget gadgetbridge LoggingExceptionHandler(19390):   at android view View draw(View java:15957)   na:0 0 
04 07 02:48:09 685 E nodomain freeyourgadget gadgetbridge LoggingExceptionHandler(19390):   at android view ViewGroup drawChild(ViewGroup java:3609)   na:0 0 
04 07 02:48:09 685 E nodomain freeyourgadget gadgetbridge LoggingExceptionHandler(19390):   at android view ViewGroup dispatchDraw(ViewGroup java:3399)   na:0 0 
04 07 02:48:09 685 E nodomain freeyourgadget gadgetbridge LoggingExceptionHandler(19390):   at android view View updateDisplayListIfDirty(View java:15179)   na:0 0 
04 07 02:48:09 685 E nodomain freeyourgadget gadgetbridge LoggingExceptionHandler(19390):   at android view View draw(View java:15957)   na:0 0 
04 07 02:48:09 685 E nodomain freeyourgadget gadgetbridge LoggingExceptionHandler(19390):   at android view ViewGroup drawChild(ViewGroup java:3609)   na:0 0 
04 07 02:48:09 685 E nodomain freeyourgadget gadgetbridge LoggingExceptionHandler(19390):   at android view ViewGroup dispatchDraw(ViewGroup java:3399)   na:0 0 
04 07 02:48:09 685 E nodomain freeyourgadget gadgetbridge LoggingExceptionHandler(19390):   at android view View draw(View java:16190)   na:0 0 
04 07 02:48:09 685 E nodomain freeyourgadget gadgetbridge LoggingExceptionHandler(19390):   at android support v4 view ViewPager draw(ViewPager java:2262)   na:0 0 
04 07 02:48:09 685 E nodomain freeyourgadget gadgetbridge LoggingExceptionHandler(19390):   at android view View updateDisplayListIfDirty(View java:15184)   na:0 0 
04 07 02:48:09 685 E nodomain freeyourgadget gadgetbridge LoggingExceptionHandler(19390):   at android view View draw(View java:15957)   na:0 0 
04 07 02:48:09 685 E nodomain freeyourgadget gadgetbridge LoggingExceptionHandler(19390):   at android view ViewGroup drawChild(ViewGroup java:3609)   na:0 0 
04 07 02:48:09 685 E nodomain freeyourgadget gadgetbridge LoggingExceptionHandler(19390):   at android view ViewGroup dispatchDraw(ViewGroup java:3399)   na:0 0 
04 07 02:48:09 685 E nodomain freeyourgadget gadgetbridge LoggingExceptionHandler(19390):   at android view View updateDisplayListIfDirty(View java:15179)   na:0 0 
04 07 02:48:09 685 E nodomain freeyourgadget gadgetbridge LoggingExceptionHandler(19390):   at android view View draw(View java:15957)   na:0 0 
04 07 02:48:09 685 E nodomain freeyourgadget gadgetbridge LoggingExceptionHandler(19390):   at android view ViewGroup drawChild(ViewGroup java:3609)   na:0 0 
04 07 02:48:09 685 E nodomain freeyourgadget gadgetbridge LoggingExceptionHandler(19390):   at android view ViewGroup dispatchDraw(ViewGroup java:3399)   na:0 0 
04 07 02:48:09 685 E nodomain freeyourgadget gadgetbridge LoggingExceptionHandler(19390):   at android view View draw(View java:16190)   na:0 0 
04 07 02:48:09 685 E nodomain freeyourgadget gadgetbridge LoggingExceptionHandler(19390):   at android view View updateDisplayListIfDirty(View java:15184)   na:0 0 
04 07 02:48:09 685 E nodomain freeyourgadget gadgetbridge LoggingExceptionHandler(19390):   at android view View draw(View java:15957)   na:0 0 
04 07 02:48:09 685 E nodomain freeyourgadget gadgetbridge LoggingExceptionHandler(19390):   at android view ViewGroup drawChild(ViewGroup java:3609)   na:0 0 
04 07 02:48:09 685 E nodomain freeyourgadget gadgetbridge LoggingExceptionHandler(19390):   at android view ViewGroup dispatchDraw(ViewGroup java:3399)   na:0 0 
04 07 02:48:09 685 E nodomain freeyourgadget gadgetbridge LoggingExceptionHandler(19390):   at android view View updateDisplayListIfDirty(View java:15179)   na:0 0 
04 07 02:48:09 685 E nodomain freeyourgadget gadgetbridge LoggingExceptionHandler(19390):   at android view View draw(View java:15957)   na:0 0 
04 07 02:48:09 685 E nodomain freeyourgadget gadgetbridge LoggingExceptionHandler(19390):   at android view ViewGroup drawChild(ViewGroup java:3609)   na:0 0 
04 07 02:48:09 685 E nodomain freeyourgadget gadgetbridge LoggingExceptionHandler(19390):   at android view ViewGroup dispatchDraw(ViewGroup java:3399)   na:0 0 
04 07 02:48:09 685 E nodomain freeyourgadget gadgetbridge LoggingExceptionHandler(19390):   at android view View updateDisplayListIfDirty(View java:15179)   na:0 0 
04 07 02:48:09 685 E nodomain freeyourgadget gadgetbridge LoggingExceptionHandler(19390):   at android view View draw(View java:15957)   na:0 0 
04 07 02:48:09 685 E nodomain freeyourgadget gadgetbridge LoggingExceptionHandler(19390):   at android view ViewGroup drawChild(ViewGroup java:3609)   na:0 0 
04 07 02:48:09 685 E nodomain freeyourgadget gadgetbridge LoggingExceptionHandler(19390):   at android view ViewGroup dispatchDraw(ViewGroup java:3399)   na:0 0 
04 07 02:48:09 685 E nodomain freeyourgadget gadgetbridge LoggingExceptionHandler(19390):   at android view View draw(View java:16190)   na:0 0 
04 07 02:48:09 685 E nodomain freeyourgadget gadgetbridge LoggingExceptionHandler(19390):   at com android internal policy PhoneWindow DecorView draw(PhoneWindow java:2946)   na:0 0 
04 07 02:48:09 685 E nodomain freeyourgadget gadgetbridge LoggingExceptionHandler(19390):   at android view View updateDisplayListIfDirty(View java:15184)   na:0 0 
04 07 02:48:09 685 E nodomain freeyourgadget gadgetbridge LoggingExceptionHandler(19390):   at android view ThreadedRenderer updateViewTreeDisplayList(ThreadedRenderer java:282)   na:0 0 
04 07 02:48:09 685 E nodomain freeyourgadget gadgetbridge LoggingExceptionHandler(19390):   at android view ThreadedRenderer updateRootDisplayList(ThreadedRenderer java:288)   na:0 0 
04 07 02:48:09 685 E nodomain freeyourgadget gadgetbridge LoggingExceptionHandler(19390):   at android view ThreadedRenderer draw(ThreadedRenderer java:323)   na:0 0 
04 07 02:48:09 685 E nodomain freeyourgadget gadgetbridge LoggingExceptionHandler(19390):   at android view ViewRootImpl draw(ViewRootImpl java:2615)   na:0 0 
04 07 02:48:09 685 E nodomain freeyourgadget gadgetbridge LoggingExceptionHandler(19390):   at android view ViewRootImpl performDraw(ViewRootImpl java:2434)   na:0 0 
04 07 02:48:09 685 E nodomain freeyourgadget gadgetbridge LoggingExceptionHandler(19390):   at android view ViewRootImpl performTraversals(ViewRootImpl java:2067)   na:0 0 
04 07 02:48:09 685 E nodomain freeyourgadget gadgetbridge LoggingExceptionHandler(19390):   at android view ViewRootImpl doTraversal(ViewRootImpl java:1107)   na:0 0 
04 07 02:48:09 685 E nodomain freeyourgadget gadgetbridge LoggingExceptionHandler(19390):   at android view ViewRootImpl TraversalRunnable run(ViewRootImpl java:6013)   na:0 0 
04 07 02:48:09 685 E nodomain freeyourgadget gadgetbridge LoggingExceptionHandler(19390):   at android view Choreographer CallbackRecord run(Choreographer java:858)   na:0 0 
04 07 02:48:09 685 E nodomain freeyourgadget gadgetbridge LoggingExceptionHandler(19390):   at android view Choreographer doCallbacks(Choreographer java:670)   na:0 0 
04 07 02:48:09 685 E nodomain freeyourgadget gadgetbridge LoggingExceptionHandler(19390):   at android view Choreographer doFrame(Choreographer java:606)   na:0 0 
04 07 02:48:09 685 E nodomain freeyourgadget gadgetbridge LoggingExceptionHandler(19390):   at android view Choreographer FrameDisplayEventReceiver run(Choreographer java:844)   na:0 0 
04 07 02:48:09 685 E nodomain freeyourgadget gadgetbridge LoggingExceptionHandler(19390):   at android os Handler handleCallback(Handler java:739)   na:0 0 
04 07 02:48:09 685 E nodomain freeyourgadget gadgetbridge LoggingExceptionHandler(19390):   at android os Handler dispatc
04 07 02:48:09 686 E AndroidRuntime(19390): Process: nodomain freeyourgadget gadgetbridge  PID: 19390
04 07 02:48:09 690 I nodomain freeyourgadget gadgetbridge database ActivityDatabaseHandler(19390): Activity query result: 4 samples
04 07 02:48:09 690 I nodomain freeyourgadget gadgetbridge activities charts AbstractChartFragment(19390): Il tuo sonno: number of samples:4
04 07 02:48:09 694 W ActivityManager(  872):   Force finishing activity nodomain freeyourgadget gadgetbridge  activities charts ChartsActivity
04 07 02:48:09 698 W ActivityManager(  872):   Force finishing activity nodomain freeyourgadget gadgetbridge  activities ControlCenter
04 07 02:48:10 198 W ActivityManager(  872): Activity pause timeout for ActivityRecord 3bec8fc u0 nodomain freeyourgadget gadgetbridge  activities charts ChartsActivity t1185 f 
04 07 02:48:11 395 I WindowState(  872): WIN DEATH: Window 5235b01 u0 nodomain freeyourgadget gadgetbridge nodomain freeyourgadget gadgetbridge activities charts ChartsActivity 
04 07 02:48:11 399 V NotificationListeners(  872): notification listener connection lost: ComponentInfo nodomain freeyourgadget gadgetbridge nodomain freeyourgadget gadgetbridge externalevents NotificationListener 
04 07 02:48:11 400 I WindowState(  872): WIN DEATH: Window 6859e09 u0 nodomain freeyourgadget gadgetbridge nodomain freeyourgadget gadgetbridge activities ControlCenter 
04 07 02:48:11 441 I ActivityManager(  872): Process nodomain freeyourgadget gadgetbridge (pid 19390) has died
04 07 02:48:11 441 W ActivityManager(  872): Service crashed 2 times  stopping: ServiceRecord 5207e96 u0 nodomain freeyourgadget gadgetbridge  service DeviceCommunicationService 
04 07 02:48:11 441 W ActivityManager(  872): Service crashed 2 times  stopping: ServiceRecord 1801df1 u0 nodomain freeyourgadget gadgetbridge  externalevents NotificationListener 
04 07 02:49:02 824 I ActivityManager(  872): START u0  act android intent action MAIN cat  android intent category LAUNCHER  flg 0x10200000 cmp nodomain freeyourgadget gadgetbridge  activities ControlCenter (has extras)  from uid 10021 on display 0
04 07 02:49:02 864 I ActivityManager(  872): Start proc 21013:nodomain freeyourgadget gadgetbridge u0a90 for activity nodomain freeyourgadget gadgetbridge  activities ControlCenter
04 07 02:49:02 909 W System  (21013): ClassLoader referenced unknown path:  data app nodomain freeyourgadget gadgetbridge 2 lib arm
04 07 02:49:03 187 I System out(21013): 02:49:03 186   INFO in ch qos logback core rolling RollingFileAppender FILE    File property is set to   data data nodomain freeyourgadget gadgetbridge files GB LOGFILES DIR IS UNDEFINED gadgetbridge log 
04 07 02:49:03 279 D nodomain freeyourgadget gadgetbridge service DeviceCommunicationService(21013): DeviceCommunicationService is being created
04 07 02:49:03 279 D nodomain freeyourgadget gadgetbridge service DeviceCommunicationService(21013): Service startcommand: nodomain freeyourgadget gadgetbridge devices action start
04 07 02:49:03 290 D nodomain freeyourgadget gadgetbridge service DeviceCommunicationService(21013): Service startcommand: nodomain freeyourgadget gadgetbridge devices action request deviceinfo
04 07 02:49:04 166 D nodomain freeyourgadget gadgetbridge service DeviceCommunicationService(21013): Service startcommand: nodomain freeyourgadget gadgetbridge devices action connect
04 07 02:49:04 176 I nodomain freeyourgadget gadgetbridge service devices pebble PebbleIoThread(21013): found service UUID 00001101 0000 1000 8000 00805f9b34fb
04 07 02:49:04 176 I nodomain freeyourgadget gadgetbridge service devices pebble PebbleIoThread(21013): found service UUID 0000110e 0000 1000 8000 00805f9b34fb
04 07 02:49:04 176 I nodomain freeyourgadget gadgetbridge service devices pebble PebbleIoThread(21013): found service UUID 00000000 0000 1000 8000 00805f9b34fb
04 07 02:49:04 176 I nodomain freeyourgadget gadgetbridge service devices pebble PebbleIoThread(21013): found service UUID 00000000 0000 1000 8000 00805f9b34fb
04 07 02:49:04 176 I nodomain freeyourgadget gadgetbridge service devices pebble PebbleIoThread(21013): found service UUID ffcacade afde cade defa cade00000000
04 07 02:49:04 179 I nodomain freeyourgadget gadgetbridge service DeviceCommunicationService(21013): Setting broadcast receivers to: false
04 07 02:49:06 244 I nodomain freeyourgadget gadgetbridge service devices pebble PebbleProtocol(21013): setting force protocol to false
04 07 02:49:06 253 I nodomain freeyourgadget gadgetbridge service DeviceCommunicationService(21013): Setting broadcast receivers to: false
04 07 02:49:06 269 I nodomain freeyourgadget gadgetbridge service devices pebble PebbleProtocol(21013): Pebble asked for Phone App Version   repLYING 
04 07 02:49:06 382 I nodomain freeyourgadget gadgetbridge service devices pebble PebbleProtocol(21013): got LAUNCHER PUSH from UUID e53172a6 301b 425b 9c3c ef345e7fbc95
04 07 02:49:06 382 I nodomain freeyourgadget gadgetbridge service devices pebble PebbleIoThread(21013): unhandled message to endpoint 49 (30 bytes)
04 07 02:49:06 484 I nodomain freeyourgadget gadgetbridge service devices pebble PebbleIoThread(21013): syncing time
04 07 02:49:06 506 I nodomain freeyourgadget gadgetbridge service AbstractDeviceSupport(21013): Got event for VERSION INFO
04 07 02:49:06 527 I nodomain freeyourgadget gadgetbridge service DeviceCommunicationService(21013): Setting broadcast receivers to: true
04 07 02:49:06 631 I nodomain freeyourgadget gadgetbridge externalevents MusicPlaybackReceiver(21013): Current track: null  null  null
04 07 02:49:06 634 D nodomain freeyourgadget gadgetbridge service DeviceCommunicationService(21013): Service startcommand: nodomain freeyourgadget gadgetbridge devices action setmusicinfo
04 07 02:49:10 555 I ActivityManager(  872): START u0  cmp nodomain freeyourgadget gadgetbridge  activities charts ChartsActivity (has extras)  from uid 10090 on display 0
04 07 02:49:10 663 I nodomain freeyourgadget gadgetbridge database ActivityDatabaseHandler(21013): Activity query where: (provider 3 and timestamp  1459903750 and timestamp  1459990150)
04 07 02:49:10 669 I nodomain freeyourgadget gadgetbridge database ActivityDatabaseHandler(21013): Activity query result: 4 samples
04 07 02:49:10 671 I nodomain freeyourgadget gadgetbridge activities charts AbstractChartFragment(21013): Attivit   e sonno: number of samples:4
04 07 02:49:10 682 I nodomain freeyourgadget gadgetbridge database ActivityDatabaseHandler(21013): Activity query where: (provider 3 and timestamp  1459903750 and timestamp  1459990150)
04 07 02:49:10 683 E nodomain freeyourgadget gadgetbridge LoggingExceptionHandler(21013): Uncaught exception: Attempt to invoke virtual method  void com github mikephil charting renderer DataRenderer calcXBounds(com github mikephil charting interfaces dataprovider BarLineScatterCandleBubbleDataProvider  int)  on a null object referencejava lang NullPointerException: Attempt to invoke virtual method  void com github mikephil charting renderer DataRenderer calcXBounds(com github mikephil charting interfaces dataprovider BarLineScatterCandleBubbleDataProvider  int)  on a null object reference
04 07 02:49:10 683 E nodomain freeyourgadget gadgetbridge LoggingExceptionHandler(21013):   at com github mikephil charting charts BarLineChartBase onDraw(BarLineChartBase java:200)   na:0 0 
04 07 02:49:10 683 E nodomain freeyourgadget gadgetbridge LoggingExceptionHandler(21013):   at android view View draw(View java:16187)   na:0 0 
04 07 02:49:10 683 E nodomain freeyourgadget gadgetbridge LoggingExceptionHandler(21013):   at android view View updateDisplayListIfDirty(View java:15184)   na:0 0 
04 07 02:49:10 683 E nodomain freeyourgadget gadgetbridge LoggingExceptionHandler(21013):   at android view View draw(View java:15957)   na:0 0 
04 07 02:49:10 683 E nodomain freeyourgadget gadgetbridge LoggingExceptionHandler(21013):   at android view ViewGroup drawChild(ViewGroup java:3609)   na:0 0 
04 07 02:49:10 683 E nodomain freeyourgadget gadgetbridge LoggingExceptionHandler(21013):   at android view ViewGroup dispatchDraw(ViewGroup java:3399)   na:0 0 
04 07 02:49:10 683 E nodomain freeyourgadget gadgetbridge LoggingExceptionHandler(21013):   at android view View updateDisplayListIfDirty(View java:15179)   na:0 0 
04 07 02:49:10 683 E nodomain freeyourgadget gadgetbridge LoggingExceptionHandler(21013):   at android view View draw(View java:15957)   na:0 0 
04 07 02:49:10 683 E nodomain freeyourgadget gadgetbridge LoggingExceptionHandler(21013):   at android view ViewGroup drawChild(ViewGroup java:3609)   na:0 0 
04 07 02:49:10 683 E nodomain freeyourgadget gadgetbridge LoggingExceptionHandler(21013):   at android view ViewGroup dispatchDraw(ViewGroup java:3399)   na:0 0 
04 07 02:49:10 683 E nodomain freeyourgadget gadgetbridge LoggingExceptionHandler(21013):   at android view View draw(View java:16190)   na:0 0 
04 07 02:49:10 683 E nodomain freeyourgadget gadgetbridge LoggingExceptionHandler(21013):   at android support v4 view ViewPager draw(ViewPager java:2262)   na:0 0 
04 07 02:49:10 683 E nodomain freeyourgadget gadgetbridge LoggingExceptionHandler(21013):   at android view View updateDisplayListIfDirty(View java:15184)   na:0 0 
04 07 02:49:10 683 E nodomain freeyourgadget gadgetbridge LoggingExceptionHandler(21013):   at android view View draw(View java:15957)   na:0 0 
04 07 02:49:10 683 E nodomain freeyourgadget gadgetbridge LoggingExceptionHandler(21013):   at android view ViewGroup drawChild(ViewGroup java:3609)   na:0 0 
04 07 02:49:10 683 E nodomain freeyourgadget gadgetbridge LoggingExceptionHandler(21013):   at android view ViewGroup dispatchDraw(ViewGroup java:3399)   na:0 0 
04 07 02:49:10 683 E nodomain freeyourgadget gadgetbridge LoggingExceptionHandler(21013):   at android view View updateDisplayListIfDirty(View java:15179)   na:0 0 
04 07 02:49:10 683 E nodomain freeyourgadget gadgetbridge LoggingExceptionHandler(21013):   at android view View draw(View java:15957)   na:0 0 
04 07 02:49:10 683 E nodomain freeyourgadget gadgetbridge LoggingExceptionHandler(21013):   at android view ViewGroup drawChild(ViewGroup java:3609)   na:0 0 
04 07 02:49:10 683 E nodomain freeyourgadget gadgetbridge LoggingExceptionHandler(21013):   at android view ViewGroup dispatchDraw(ViewGroup java:3399)   na:0 0 
04 07 02:49:10 683 E nodomain freeyourgadget gadgetbridge LoggingExceptionHandler(21013):   at android view View draw(View java:16190)   na:0 0 
04 07 02:49:10 683 E nodomain freeyourgadget gadgetbridge LoggingExceptionHandler(21013):   at android view View updateDisplayListIfDirty(View java:15184)   na:0 0 
04 07 02:49:10 683 E nodomain freeyourgadget gadgetbridge LoggingExceptionHandler(21013):   at android view View draw(View java:15957)   na:0 0 
04 07 02:49:10 683 E nodomain freeyourgadget gadgetbridge LoggingExceptionHandler(21013):   at android view ViewGroup drawChild(ViewGroup java:3609)   na:0 0 
04 07 02:49:10 683 E nodomain freeyourgadget gadgetbridge LoggingExceptionHandler(21013):   at android view ViewGroup dispatchDraw(ViewGroup java:3399)   na:0 0 
04 07 02:49:10 683 E nodomain freeyourgadget gadgetbridge LoggingExceptionHandler(21013):   at android view View updateDisplayListIfDirty(View java:15179)   na:0 0 
04 07 02:49:10 683 E nodomain freeyourgadget gadgetbridge LoggingExceptionHandler(21013):   at android view View draw(View java:15957)   na:0 0 
04 07 02:49:10 683 E nodomain freeyourgadget gadgetbridge LoggingExceptionHandler(21013):   at android view ViewGroup drawChild(ViewGroup java:3609)   na:0 0 
04 07 02:49:10 683 E nodomain freeyourgadget gadgetbridge LoggingExceptionHandler(21013):   at android view ViewGroup dispatchDraw(ViewGroup java:3399)   na:0 0 
04 07 02:49:10 683 E nodomain freeyourgadget gadgetbridge LoggingExceptionHandler(21013):   at android view View updateDisplayListIfDirty(View java:15179)   na:0 0 
04 07 02:49:10 683 E nodomain freeyourgadget gadgetbridge LoggingExceptionHandler(21013):   at android view View draw(View java:15957)   na:0 0 
04 07 02:49:10 683 E nodomain freeyourgadget gadgetbridge LoggingExceptionHandler(21013):   at android view ViewGroup drawChild(ViewGroup java:3609)   na:0 0 
04 07 02:49:10 683 E nodomain freeyourgadget gadgetbridge LoggingExceptionHandler(21013):   at android view ViewGroup dispatchDraw(ViewGroup java:3399)   na:0 0 
04 07 02:49:10 683 E nodomain freeyourgadget gadgetbridge LoggingExceptionHandler(21013):   at android view View draw(View java:16190)   na:0 0 
04 07 02:49:10 683 E nodomain freeyourgadget gadgetbridge LoggingExceptionHandler(21013):   at com android internal policy PhoneWindow DecorView draw(PhoneWindow java:2946)   na:0 0 
04 07 02:49:10 683 E nodomain freeyourgadget gadgetbridge LoggingExceptionHandler(21013):   at android view View updateDisplayListIfDirty(View java:15184)   na:0 0 
04 07 02:49:10 683 E nodomain freeyourgadget gadgetbridge LoggingExceptionHandler(21013):   at android view ThreadedRenderer updateViewTreeDisplayList(ThreadedRenderer java:282)   na:0 0 
04 07 02:49:10 683 E nodomain freeyourgadget gadgetbridge LoggingExceptionHandler(21013):   at android view ThreadedRenderer updateRootDisplayList(ThreadedRenderer java:288)   na:0 0 
04 07 02:49:10 683 E nodomain freeyourgadget gadgetbridge LoggingExceptionHandler(21013):   at android view ThreadedRenderer draw(ThreadedRenderer java:323)   na:0 0 
04 07 02:49:10 683 E nodomain freeyourgadget gadgetbridge LoggingExceptionHandler(21013):   at android view ViewRootImpl draw(ViewRootImpl java:2615)   na:0 0 
04 07 02:49:10 683 E nodomain freeyourgadget gadgetbridge LoggingExceptionHandler(21013):   at android view ViewRootImpl performDraw(ViewRootImpl java:2434)   na:0 0 
04 07 02:49:10 683 E nodomain freeyourgadget gadgetbridge LoggingExceptionHandler(21013):   at android view ViewRootImpl performTraversals(ViewRootImpl java:2067)   na:0 0 
04 07 02:49:10 683 E nodomain freeyourgadget gadgetbridge LoggingExceptionHandler(21013):   at android view ViewRootImpl doTraversal(ViewRootImpl java:1107)   na:0 0 
04 07 02:49:10 683 E nodomain freeyourgadget gadgetbridge LoggingExceptionHandler(21013):   at android view ViewRootImpl TraversalRunnable run(ViewRootImpl java:6013)   na:0 0 
04 07 02:49:10 683 E nodomain freeyourgadget gadgetbridge LoggingExceptionHandler(21013):   at android view Choreographer CallbackRecord run(Choreographer java:858)   na:0 0 
04 07 02:49:10 683 E nodomain freeyourgadget gadgetbridge LoggingExceptionHandler(21013):   at android view Choreographer doCallbacks(Choreographer java:670)   na:0 0 
04 07 02:49:10 683 E nodomain freeyourgadget gadgetbridge LoggingExceptionHandler(21013):   at android view Choreographer doFrame(Choreographer java:606)   na:0 0 
04 07 02:49:10 683 E nodomain freeyourgadget gadgetbridge LoggingExceptionHandler(21013):   at android view Choreographer FrameDisplayEventReceiver run(Choreographer java:844)   na:0 0 
04 07 02:49:10 683 E nodomain freeyourgadget gadgetbridge LoggingExceptionHandler(21013):   at android os Handler handleCallback(Handler java:739)   na:0 0 
04 07 02:49:10 683 E nodomain freeyourgadget gadgetbridge LoggingExceptionHandler(21013):   at android os Handler dispatc
04 07 02:49:10 684 E AndroidRuntime(21013): Process: nodomain freeyourgadget gadgetbridge  PID: 21013
04 07 02:49:10 685 I nodomain freeyourgadget gadgetbridge database ActivityDatabaseHandler(21013): Activity query result: 4 samples
04 07 02:49:10 686 I nodomain freeyourgadget gadgetbridge activities charts AbstractChartFragment(21013): Il tuo sonno: number of samples:4
04 07 02:49:10 686 W ActivityManager(  872):   Force finishing activity nodomain freeyourgadget gadgetbridge  activities charts ChartsActivity
04 07 02:49:10 693 W ActivityManager(  872):   Force finishing activity nodomain freeyourgadget gadgetbridge  activities ControlCenter
04 07 02:49:11 193 W ActivityManager(  872): Activity pause timeout for ActivityRecord c89e268 u0 nodomain freeyourgadget gadgetbridge  activities charts ChartsActivity t1188 f 
04 07 02:49:12 057 I WindowState(  872): WIN DEATH: Window 8cfc545 u0 nodomain freeyourgadget gadgetbridge nodomain freeyourgadget gadgetbridge activities ControlCenter 
04 07 02:49:12 061 I WindowState(  872): WIN DEATH: Window d9ac9bd u0 nodomain freeyourgadget gadgetbridge nodomain freeyourgadget gadgetbridge activities charts ChartsActivity 
04 07 02:49:12 089 I ActivityManager(  872): Process nodomain freeyourgadget gadgetbridge (pid 21013) has died
04 07 02:49:12 090 W ActivityManager(  872): Scheduling restart of crashed service nodomain freeyourgadget gadgetbridge  service DeviceCommunicationService in 1000ms
04 07 02:49:13 108 I ActivityManager(  872): Start proc 21110:nodomain freeyourgadget gadgetbridge u0a90 for service nodomain freeyourgadget gadgetbridge  service DeviceCommunicationService
04 07 02:49:13 159 W System  (21110): ClassLoader referenced unknown path:  data app nodomain freeyourgadget gadgetbridge 2 lib arm
04 07 02:49:13 512 I System out(21110): 02:49:13 512   INFO in ch qos logback core rolling RollingFileAppender FILE    File property is set to   data data nodomain freeyourgadget gadgetbridge files GB LOGFILES DIR IS UNDEFINED gadgetbridge log 
04 07 02:49:13 518 D nodomain freeyourgadget gadgetbridge service DeviceCommunicationService(21110): DeviceCommunicationService is being created
04 07 02:49:13 520 I nodomain freeyourgadget gadgetbridge service DeviceCommunicationService(21110): no intent
04 07 02:49:16 294 I ActivityManager(  872): START u0  act android intent action MAIN cat  android intent category LAUNCHER  flg 0x10200000 cmp nodomain freeyourgadget gadgetbridge  activities ControlCenter (has extras)  from uid 10021 on display 0
04 07 02:49:16 423 D nodomain freeyourgadget gadgetbridge service DeviceCommunicationService(21110): Service startcommand: nodomain freeyourgadget gadgetbridge devices action start
04 07 02:49:16 431 D nodomain freeyourgadget gadgetbridge service DeviceCommunicationService(21110): Service startcommand: nodomain freeyourgadget gadgetbridge devices action request deviceinfo
04 07 02:49:17 521 D nodomain freeyourgadget gadgetbridge service DeviceCommunicationService(21110): Service startcommand: nodomain freeyourgadget gadgetbridge devices action connect
04 07 02:49:17 531 I nodomain freeyourgadget gadgetbridge service DeviceCommunicationService(21110): Setting broadcast receivers to: false
04 07 02:49:17 533 I nodomain freeyourgadget gadgetbridge service devices pebble PebbleIoThread(21110): found service UUID 00001101 0000 1000 8000 00805f9b34fb
04 07 02:49:17 533 I nodomain freeyourgadget gadgetbridge service devices pebble PebbleIoThread(21110): found service UUID 0000110e 0000 1000 8000 00805f9b34fb
04 07 02:49:17 533 I nodomain freeyourgadget gadgetbridge service devices pebble PebbleIoThread(21110): found service UUID 00000000 0000 1000 8000 00805f9b34fb
04 07 02:49:17 533 I nodomain freeyourgadget gadgetbridge service devices pebble PebbleIoThread(21110): found service UUID 00000000 0000 1000 8000 00805f9b34fb
04 07 02:49:17 533 I nodomain freeyourgadget gadgetbridge service devices pebble PebbleIoThread(21110): found service UUID ffcacade afde cade defa cade00000000
04 07 02:49:19 917 I nodomain freeyourgadget gadgetbridge service devices pebble PebbleProtocol(21110): setting force protocol to false
04 07 02:49:19 918 I nodomain freeyourgadget gadgetbridge service DeviceCommunicationService(2111</t>
  </si>
  <si>
    <t>kontalk-androidclient-672</t>
  </si>
  <si>
    <t>Kontalk v3.1.4 crashes when I click on contact in my contact list</t>
  </si>
  <si>
    <t xml:space="preserve">I have upgraded my Kontalk from 3 1 3 to 3 1 4 using F Droid app on my Android 4 0 4 phone  It work  but if I click on contact in my contact list then Kontalk crashes 
</t>
  </si>
  <si>
    <t>kontalk-androidclient-671</t>
  </si>
  <si>
    <t>Contact picture API broken for older Android versions</t>
  </si>
  <si>
    <t xml:space="preserve">Hi everybody  Thanks for working in Kontalk and congratulations for the 3 1 4 release 
I upgraded my Kontalk from 3 1 3 to 3 1 4 using F Droid in my Android 2 3 7 phone (Cyanogen 7 2) and it worked fine 
But now  I obtain a crash when opening Kontalk  I suspect it s a contact sync issue  because I see all the time the spinning circle of contact sync in the notification bar  and if I go to Settings    Account and sync and I manually syncronize the Kontalk account  I get a crash too 
I m attaching both logs 
I ve tried to think if I did something unusual in my contacts that triggered this problem and the only thing that comes to mind is that I edited one of my Kontalk contacts to add an email address  I edited the contact again to remove the email  but the crashes remain (I suppose  because it s the sync what is causing problems)  But maybe I m wrong and the problem has nothing to do with adding an email or with contacts 
I m not sure what to do  if uninstalling and reinstalling  or downgrade    I can wait some days for your answer  maybe it s something easy to fix or if you need that I do some test  just tell 
Thanks 
 alogcat20160407 txt (https:  github com kontalk androidclient files 208098 alogcat20160407 txt)
 alogcat20160407 contactsync txt (https:  github com kontalk androidclient files 208097 alogcat20160407 contactsync txt)
</t>
  </si>
  <si>
    <t>davideas-FlexibleAdapter-64</t>
  </si>
  <si>
    <t>[Dev Branch] - Demo app doesn't work on 23+ devices</t>
  </si>
  <si>
    <t xml:space="preserve">Hey there 
First off  gotta say  this seems like quite the library  I ve been looking around for something like what you re putting together for 5 0 and I m quite excited to play around with it  Unfortunately  I m not able to actually run what s up on the current dev branch  The app immediately crashes on open 
I m sitting at commit 175edaa7465ad3739d58e074f54fc012a7cdf6f8 right now  and I m testing on a   Nexus 4   running   5 1 1     On a fresh install  I get this exception:
FATAL EXCEPTION: main
Process: eu davidea examples flexibleadapter  PID: 22437
        java lang RuntimeException: Unable to start activity ComponentInfo eu davidea examples flexibleadapter eu davidea examples flexibleadapter MainActivity : java lang NullPointerException: Attempt to invoke interface method  void eu davidea examples flexibleadapter OnListFragmentInteractionListener onAdapterChange(android support v4 widget SwipeRefreshLayout  android support v7 widget RecyclerView  eu davidea examples flexibleadapter ExampleAdapter)  on a null object reference
        at android app ActivityThread performLaunchActivity(ActivityThread java:2325)
               Standard zygote activity stuff        
Caused by: java lang NullPointerException: Attempt to invoke interface method  void eu davidea examples flexibleadapter OnListFragmentInteractionListener onAdapterChange(android support v4 widget SwipeRefreshLayout  android support v7 widget RecyclerView  eu davidea examples flexibleadapter ExampleAdapter)  on a null object reference
        at eu davidea examples flexibleadapter FragmentOverall initializeRecyclerView(FragmentOverall java:118)
        at eu davidea examples flexibleadapter FragmentOverall onActivityCreated(FragmentOverall java:78)
        at android app Fragment performActivityCreated(Fragment java:2061)
               Standard fragment lifecycle stuff        
Looks like the current lifecycle flow doesn t set  mListener  on   FragmentOverall    Commenting that out  I then get:
FATAL EXCEPTION: main
Process: eu davidea examples flexibleadapter  PID: 25148
java lang NullPointerException: Attempt to invoke virtual method  boolean eu davidea examples flexibleadapter ExampleAdapter hasSearchText()  on a null object reference
        at eu davidea examples flexibleadapter MainActivity onPrepareOptionsMenu(MainActivity java:369)
        at android app Activity onPreparePanel(Activity java:2841)
        at android support v4 app FragmentActivity onPrepareOptionsPanel(FragmentActivity java:530)
Which makes sense  as there s a nice big block of code commented out where  mAdapter  (seems to be) set  Commenting   that   out  I can get the app to open up and scroll around (looks awesome   love the slide in animations )  but beyond that  I can t navigate around to get to the different samples 
Any idea what commit I might be able to pull to test out your latest and greatest  Also  I d be interested to help you test some samples out as you make them   I have a number of devices from API 19 through to 23 (no 24 yet)  and know it can be painful to test the Recycler support library across the different versions  Also also  let me know if I can help provide any more info about the above errors  device stats  etc 
Anyway  thanks much for your time  and look forward to your next commits 
  Ivan
</t>
  </si>
  <si>
    <t>kontalk-androidclient-674</t>
  </si>
  <si>
    <t>Kontalk 3.1.5 in Android 2.x not sending messages, reports "Network not available, pleasy try again later".</t>
  </si>
  <si>
    <t xml:space="preserve">Dear all
Thanks for the fix for  672 and quick release of version 3 1 5 
With this version now I have no crashes  but Kontalk is still not working  I m afraid 
If I go to settings and try to update the servers list  the program reports there is no network connection (attached log) 
When I send a message  it remains with the symbol of the clock  unsent 
I m not sure if this is a bug or a problem in my contact list  or a problem in my phone  If I can do any other test  please tell 
I m using Android 2 3 7 (Cyanogenmod 7 2) and Kontalk 3 1 5 installed from F Droid  My phone is rooted 
Thanks 
 kontalk20160408 txt (https:  github com kontalk androidclient files 210677 kontalk20160408 txt)
</t>
  </si>
  <si>
    <t>commons-app-apps-android-commons-94</t>
  </si>
  <si>
    <t>Crash when showing user's (big) uploads</t>
  </si>
  <si>
    <t xml:space="preserve">The user has uploaded about 3000 files  recently one of them being 58 MB 
https:  groups google com forum   topic commons app android 4TKcnLCSEMo
USER COMMENT it crashed while loading showing my uploads  i guess that the problem is that i have too many and too big already uploaded files 
ANDROID VERSION 4 4 2
APP VERSION NAME 1 12
BRAND samsung
PHONE MODEL GT I9195
CUSTOM DATA 
STACK TRACE java lang OutOfMemoryError
at java io ByteArrayOutputStream toByteArray(ByteArrayOutputStream java:122)
at com android volley toolbox BasicNetwork entityToBytes(BasicNetwork java:215)
at com android volley toolbox BasicNetwork performRequest(BasicNetwork java:104)
at com android volley NetworkDispatcher run(NetworkDispatcher java:105)
</t>
  </si>
  <si>
    <t>jonasoreland-runnerup-381</t>
  </si>
  <si>
    <t>Crash on first repetition</t>
  </si>
  <si>
    <t xml:space="preserve"> Crash Test json txt (https:  github com jonasoreland runnerup files 235114 Crash Test json txt)
When I create a workout  for example
   5 mins activity 
   5 mins rest 
   repeat 3x 
only the first activity and the first rest will work  As soon as the repetition should begin  the app crashes 
(Samsung Galaxy S5 Neo  Android 5 1 1)
</t>
  </si>
  <si>
    <t>3meters-patchr-android-234</t>
  </si>
  <si>
    <t>Crash launching Patchr after install from branch link via SMS</t>
  </si>
  <si>
    <t xml:space="preserve">This has been noted twice  Once when I sent an sms patch invite (to Toulouse Petit) to a friend with an Android phone  App crash when launching after install  Same was reported by George after sending an sms patch invite to Jason  Not sure what device platforms are involved 
I have tried to repro this without luck so far  Sent sms patch invites for Petit from an iPhone and a Nexus 5  Both work correctly installing 1 1 3 from app store and opening to Petit patch 
</t>
  </si>
  <si>
    <t>iomodo-Wally-5</t>
  </si>
  <si>
    <t>NullpointerException on MapsActivity</t>
  </si>
  <si>
    <t xml:space="preserve">When I entered MapsActivity it crashed  
Stacktrace 
    Java
 Caused by: java lang NullPointerException: 
Attempt to invoke virtual method 
 void com google android gms maps SupportMapFragment getMapAsync(com google android gms maps OnMapReadyCallback)  on a null object reference 
at com wally wally activities MapsActivity onCreate(MapsActivity java:68)
</t>
  </si>
  <si>
    <t>chandevel-Clover-181</t>
  </si>
  <si>
    <t>Using some filters with double quotes will crash Clover</t>
  </si>
  <si>
    <t xml:space="preserve">I noticed clover was crashing while trying to add the text  What you re referring to as Linux  is in fact  GNU Linux  or as I ve recently taken to calling it  GNU plus Linux   to a filter  The crash happens when adding the second quotation mark at the end 
</t>
  </si>
  <si>
    <t>dasmikko-facepunchdroid-44</t>
  </si>
  <si>
    <t>Email tag crashs app</t>
  </si>
  <si>
    <t xml:space="preserve">Not sure if it s really used but will crash the app
 email j doe example com Click Here to crash the app  email
</t>
  </si>
  <si>
    <t>mozilla-MozStumbler-1757</t>
  </si>
  <si>
    <t>Stumbler 1.8 - FxAccounts not working</t>
  </si>
  <si>
    <t xml:space="preserve">I m using the 1 8 0 APK installed from Github  When clicking on the  Firefox Accounts  option in the settings I only get back a dialog:  Unfortunately  Mozilla Stumbler has stopped  
I did enable crash reporting inside the app and tried again  I have Nexus 4 
  mozstumbler 1 8 crash (https:  cloud githubusercontent com assets 483109 14438713 c8799cee 0027 11e6 9321 b943eaba5dbc png)
</t>
  </si>
  <si>
    <t>zhanghai-MaterialProgressBar-21</t>
  </si>
  <si>
    <t>Android Studio 2.0 Preview render exception</t>
  </si>
  <si>
    <t xml:space="preserve">Since Android Studio 2 0  the progress bar throws an exception during rendering and blocks ALL of the views from showing in the preview (because of the exception) 
(I think it has something to do with the animation code in the progress bar )
 java lang IllegalArgumentException: object is not an instance of declaring class   at java lang reflect Method invoke(Method java:606)   at android animation PropertyValuesHolder Delegate callMethod(PropertyValuesHolder Delegate java:108)   at android animation PropertyValuesHolder Delegate nCallFloatMethod(PropertyValuesHolder Delegate java:145)   at android animation PropertyValuesHolder nCallFloatMethod(PropertyValuesHolder java: 1)   at android animation PropertyValuesHolder access 400(PropertyValuesHolder java:37)   at android animation PropertyValuesHolder FloatPropertyValuesHolder setAnimatedValue(PropertyValuesHolder java:1296)   at android animation ObjectAnimator animateValue(ObjectAnimator java:981)   at android animation ValueAnimator setCurrentFraction(ValueAnimator java:642)   at android animation ValueAnimator setCurrentPlayTime(ValueAnimator java:589)   at android animation ValueAnimator start(ValueAnimator java:1106)   at android animation ValueAnimator start(ValueAnimator java:1117)   at android animation ObjectAnimator start(ObjectAnimator java:852)   at android animation AnimatorSet start(AnimatorSet java:586)   at me zhanghai android materialprogressbar IndeterminateProgressDrawableBase start       (IndeterminateProgressDrawableBase java:45)   at me zhanghai android materialprogressbar IndeterminateProgressDrawable start(IndeterminateProgressDrawable java:19)   at android widget ProgressBar drawTrack(ProgressBar java:1713)   at android widget ProgressBar onDraw(ProgressBar java:1676)   at android view View draw(View java:16178)   at android view View draw(View java:16090)   at android view ViewGroup drawChild Original(ViewGroup java:3609)   at android view ViewGroup Delegate drawChild(ViewGroup Delegate java:61)   at android view ViewGroup drawChild(ViewGroup java:3609)   at android view ViewGroup dispatchDraw(ViewGroup java:3399)   at android view View draw(View java:16088)   at android view ViewGroup drawChild Original(ViewGroup java:3609)   at android view ViewGroup Delegate drawChild(ViewGroup Delegate java:61)   at android view ViewGroup drawChild(ViewGroup java:3609)   at android view ViewGroup dispatchDraw(ViewGroup java:3399)   at android view View draw(View java:16088)   at android view ViewGroup drawChild Original(ViewGroup java:3609)   at android view ViewGroup Delegate drawChild(ViewGroup Delegate java:61)   at android view ViewGroup drawChild(ViewGroup java:3609)   at android view ViewGroup dispatchDraw(ViewGroup java:3399)   at android view View draw(View java:16088)   at android view ViewGroup drawChild Original(ViewGroup java:3609)   at android view ViewGroup Delegate drawChild(ViewGroup Delegate java:61)   at android view ViewGroup drawChild(ViewGroup java:3609)   at android view ViewGroup dispatchDraw(ViewGroup java:3399)   at android view View draw(View java:16181)   at android support v4 widget NestedScrollView draw(NestedScrollView java:1761)   at android view View draw(View java:16090)   at android view ViewGroup drawChild Original(ViewGroup java:3609)   at android view ViewGroup Delegate drawChild(ViewGroup Delegate java:61)   at android view ViewGroup drawChild(ViewGroup java:3609)   at android support design widget CoordinatorLayout drawChild(CoordinatorLayout java:1127)   at android view ViewGroup dispatchDraw(ViewGroup java:3399)   at android view View draw(View java:16088)   at android view ViewGroup drawChild Original(ViewGroup java:3609)   at android view ViewGroup Delegate drawChild(ViewGroup Delegate java:61)   at android view ViewGroup drawChild(ViewGroup java:3609)   at android view ViewGroup dispatchDraw(ViewGroup java:3399)   at android view View draw(View java:16088)   at android view ViewGroup drawChild Original(ViewGroup java:3609)   at android view ViewGroup Delegate drawChild(ViewGroup Delegate java:61)   at android view ViewGroup drawChild(ViewGroup java:3609)   at android view ViewGroup dispatchDraw(ViewGroup java:3399)   at android view View draw(View java:16181) 
Use the following example layout (really pretty much any layout that includes the ProgressBar will throw the exception) and view the Preview tab in Android Studio 2 0 :
    xml
  xml version  1 0  encoding  utf 8   
 FrameLayout
    xmlns:android  http:  schemas android com apk res android 
    android:layout width  fill parent 
    android:layout height  fill parent  
     me zhanghai android materialprogressbar MaterialProgressBar
        android:id   android:id progress 
        style   style Widget MaterialProgressBar ProgressBar Large 
        android:layout width  wrap content 
        android:layout height  wrap content 
        android:indeterminate  false   
  FrameLayout 
Invalidating caches and restarting does not fix the problem 
When running the code on a device or emulator  the progress bar shows correctly and animates correctly  This is only a problem when rendering the Preview  The annoying thing is that not only does it not render  but it keeps all the other views from rendering in the preview  Hiding the view with  tools:visibility  gone   won t stop it from crashing the whole preview render 
This occurs while using  compile  me zhanghai android materialprogressbar:library:1 1 4  
</t>
  </si>
  <si>
    <t>k9mail-k-9-1271</t>
  </si>
  <si>
    <t>Crash viewing an application/pgp message</t>
  </si>
  <si>
    <t xml:space="preserve">Hi Philip 
as discussed on the mailing list  here a crash log  To repeat: I have a message with
Content Type: application pgp  format text  x action encrypt
where opening the message consistenly crashes K9  version 5 108
Hope the log helps  let me know if you need any testing 
Norbert
 k9 crash log txt (https:  github com k9mail k 9 files 212533 k9 crash log txt)
</t>
  </si>
  <si>
    <t>google-blockly-android-187</t>
  </si>
  <si>
    <t>Missing 'item' variable crash after load.</t>
  </si>
  <si>
    <t xml:space="preserve">Load does not call onInitBlankWorkspace  so loading a workspace that does not contain a variable block with a reference to  item  will crash when viewing the Toolbox Variables category (which has  item  as its default variable) 
java lang IllegalArgumentException: The variable item does not exist 
   at com google blockly android ui fieldview BasicFieldVariableView setSelection(BasicFieldVariableView java:125)
   at com google blockly android ui fieldview BasicFieldVariableView setField(BasicFieldVariableView java:78)
   at com google blockly android ui BlockViewFactory buildFieldView(BlockViewFactory java:297)
</t>
  </si>
  <si>
    <t>DigitalCampus-oppia-mobile-android-531</t>
  </si>
  <si>
    <t>Permissions management in Android M</t>
  </si>
  <si>
    <t xml:space="preserve">Tested in a Samsung Galaxy S7  but probably happening in every phone with Android sdkversion 23 
Beginning in Android 6 0 (API level 23)  users grant permissions to apps while the app is running  not when they install the app  According to the docs:
  Note: Beginning with Android 6 0 (API level 23)  users can revoke permissions from any app at any time  even if the app targets a lower API level  You should test your app to verify that it behaves properly when it s missing a needed permission  regardless of what API level your app targets  
So the app can crash if a user revoke any needed permission that it needs to work  In this example  was the  READ PHONE STATE  one  used in the login task to send device info to the server:
04 12 17:22:46 642 16029 16070 E AndroidRuntime: FATAL EXCEPTION: AsyncTask  4
04 12 17:22:46 642 16029 16070 E AndroidRuntime: Process: org digitalcampus mobile learning  PID: 16029
04 12 17:22:46 642 16029 16070 E AndroidRuntime: java lang RuntimeException: An error occurred while executing doInBackground()
04 12 17:22:46 642 16029 16070 E AndroidRuntime:    at android os AsyncTask 3 done(AsyncTask java:309)
04 12 17:22:46 642 16029 16070 E AndroidRuntime:    at java util concurrent FutureTask finishCompletion(FutureTask java:354)
04 12 17:22:46 642 16029 16070 E AndroidRuntime:    at java util concurrent FutureTask setException(FutureTask java:223)
04 12 17:22:46 642 16029 16070 E AndroidRuntime:    at java util concurrent FutureTask run(FutureTask java:242)
04 12 17:22:46 642 16029 16070 E AndroidRuntime:    at android os AsyncTask SerialExecutor 1 run(AsyncTask java:234)
04 12 17:22:46 642 16029 16070 E AndroidRuntime:    at java util concurrent ThreadPoolExecutor runWorker(ThreadPoolExecutor java:1113)
04 12 17:22:46 642 16029 16070 E AndroidRuntime:    at java util concurrent ThreadPoolExecutor Worker run(ThreadPoolExecutor java:588)
04 12 17:22:46 642 16029 16070 E AndroidRuntime:    at java lang Thread run(Thread java:818)
04 12 17:22:46 642 16029 16070 E AndroidRuntime: Caused by: java lang SecurityException: getDeviceId: Neither user 10193 nor current process has android permission READ PHONE STATE 
04 12 17:22:46 642 16029 16070 E AndroidRuntime:    at android os Parcel readException(Parcel java:1620)
04 12 17:22:46 642 16029 16070 E AndroidRuntime:    at android os Parcel readException(Parcel java:1573)
04 12 17:22:46 642 16029 16070 E AndroidRuntime:    at com android internal telephony ITelephony Stub Proxy getDeviceId(ITelephony java:5371)
04 12 17:22:46 642 16029 16070 E AndroidRuntime:    at android telephony TelephonyManager getDeviceId(TelephonyManager java:812)
04 12 17:22:46 642 16029 16070 E AndroidRuntime:    at org digitalcampus oppia utils MetaDataUtils  init (MetaDataUtils java:46)
04 12 17:22:46 642 16029 16070 E AndroidRuntime:    at org digitalcampus oppia task LoginTask doInBackground(LoginTask java:120)
</t>
  </si>
  <si>
    <t>kontalk-androidclient-680</t>
  </si>
  <si>
    <t>Kontalk v3.1.5 crashes when I launch it.</t>
  </si>
  <si>
    <t xml:space="preserve">I have reported about bug in Kontalk v3 1 4 (https:  github com kontalk androidclient issues 672)  Unfortunately  recent Kontalk v3 1 5 crashes when I launch it  I m attaching log below 
I have upgraded Kontalk from 3 1 4 to 3 1 5 using F Droid app 
Thanks a lot for the nice application 
 logcat txt (https:  github com kontalk androidclient files 214908 logcat txt)
</t>
  </si>
  <si>
    <t>ccrama-Slide-1388</t>
  </si>
  <si>
    <t>Issue when reopening the app and very quickly clicking Multireddits/Moderation in the sidebar</t>
  </si>
  <si>
    <t xml:space="preserve">Slide version: 5 1 5
Android version: 6 0 1
When reopening the app and very quickly clicking Multireddits in the sidebar  it brings up this dialog: http:  i imgur com qbRkMik jpg (even if you already have some Multireddits)  Pretty minor issue  but I ran into it and I m sure others will too as well 
Similarly  quickly clicking Moderation after reopening the app only shows the Mod Mail Unread and Mod Mail  the rest are missing (and Slide crashes a few seconds later) 
</t>
  </si>
  <si>
    <t>SCCapstone-diet-56</t>
  </si>
  <si>
    <t xml:space="preserve">App crashed after adding snack </t>
  </si>
  <si>
    <t xml:space="preserve">This occurred when I tried to add a new snack on my dietitian account  I had scanned the barcode (of a real food item this time) and it displayed as nul (see image)  
When I saved the snack  the progress circle just looped endlessly  and when I rotated the screen after a few minutes of this the app crashed  
Wifi was enabled 
  device 2016 04 13 105731 (https:  cloud githubusercontent com assets 16580170 14498216 96549462 0167 11e6 97ae 23b68807f261 png)
  bug6 (https:  cloud githubusercontent com assets 16580170 14498260 b9fa7a62 0167 11e6 8368 73e80396add5 png)
</t>
  </si>
  <si>
    <t>SCCapstone-diet-53</t>
  </si>
  <si>
    <t>App crashes when typing message in the chat page with wifi disabled</t>
  </si>
  <si>
    <t xml:space="preserve">I was typing a message on the chat page and the app crashed after a few moments  Wifi was disabled 
  bug5 (https:  cloud githubusercontent com assets 16580170 14497002 46d2ecb2 0163 11e6 9429 e51e48b86552 png)
</t>
  </si>
  <si>
    <t>SCCapstone-diet-50</t>
  </si>
  <si>
    <t>App crashes on startup, when connecting to database is displayed, and the screen is rotated</t>
  </si>
  <si>
    <t xml:space="preserve">I opened the app with wifi disabled  and rotated the screen while the connecting to database text was shown  It took a few rotations (or maybe until the connecting to database text finished) for the crash to occur 
  bug4 (https:  cloud githubusercontent com assets 16580170 14496271 9b759114 0160 11e6 92f0 21afbb49a60f png)
</t>
  </si>
  <si>
    <t>SCCapstone-diet-47</t>
  </si>
  <si>
    <t>App crashes when after creating account (wifi off) and rotating screen</t>
  </si>
  <si>
    <t xml:space="preserve">I went to the create new account screen (with device wifi disabled) and rotated the screen a few times and the app crashed with this exception:
  bug3 (https:  cloud githubusercontent com assets 16580170 14495467 9005bcd0 015d 11e6 906a e998ea7eb9a5 png)
</t>
  </si>
  <si>
    <t>SCCapstone-diet-45</t>
  </si>
  <si>
    <t>App crashes after logging out and opening the navigation drawer.</t>
  </si>
  <si>
    <t xml:space="preserve">I logged out and opened the navigation drawer  with wifi turned off (don t know whether that is important)  and the app crashed with the following exception: 
  bug2 (https:  cloud githubusercontent com assets 16580170 14495187 678d8522 015c 11e6 852a 9be90106c1f8 png)
</t>
  </si>
  <si>
    <t>google-blockly-android-190</t>
  </si>
  <si>
    <t>Dev Tests Activity uses non-existent blocks</t>
  </si>
  <si>
    <t xml:space="preserve">This can cause a crash whenever things get reloaded by the system  such as changing accessibility settings or using the fancy new fast reload in Android Studio 
</t>
  </si>
  <si>
    <t>Crash-Test-Buddies-WiFi-Buddy-53</t>
  </si>
  <si>
    <t>App crash when service discovered when not in available services fragment</t>
  </si>
  <si>
    <t xml:space="preserve">If the services fragment is detached when an service discovery record is found then the app will crash  This seems to be related to the broadcast receiver not being unregistered 
</t>
  </si>
  <si>
    <t>EdwardvanRaak-MaterialBarcodeScanner-1</t>
  </si>
  <si>
    <t>App Crash (Force Closed) When Opening Scan Layout Activity</t>
  </si>
  <si>
    <t xml:space="preserve">I have been tested your sample with a little modification on class path and variable based on my needs  But crashed when I get into scan layout that consist scan button 
This log is what I get when running into my device (Mito A72   Lolipop 5 1):
 04 15 15:31:37 575 10716 10716 com adadion opentokostockopname W IInputConnectionWrapper: showStatusIcon on inactive InputConnection
04 15 15:31:58 435 10716 10716 com adadion opentokostockopname W IInputConnectionWrapper: showStatusIcon on inactive InputConnection
04 15 15:33:53 337 16732 16732 com adadion opentokostockopname W zipro: Error opening archive  data theme apps base: I O Error
04 15 15:33:53 337 16732 16732 com adadion opentokostockopname D asset: failed to open Zip archive   data theme apps base 
                                                                      04 15 15:33:53 337 16732:16732 W           
                                                                    Unable to open   system theme apps base : No such file or directory
04 15 15:33:53 337 16732 16732 com adadion opentokostockopname W zipro: Error opening archive  system theme apps base: I O Error
04 15 15:33:53 337 16732 16732 com adadion opentokostockopname D asset: failed to open Zip archive   system theme apps base 
04 15 15:33:53 497 16732 16732 com adadion opentokostockopname W art: Before Android 4 1  method android graphics PorterDuffColorFilter android support graphics drawable VectorDrawableCompat updateTintFilter(android graphics PorterDuffColorFilter  android content res ColorStateList  android graphics PorterDuff Mode) would have incorrectly overridden the package private method in android graphics drawable Drawable
04 15 15:33:53 587 16732 17432 com adadion opentokostockopname D OpenGLRenderer: Use EGL SWAP BEHAVIOR PRESERVED: false
04 15 15:33:53 597 16732 16732 com adadion opentokostockopname D Atlas: Validating map   
04 15 15:33:53 707 16732 17432 com adadion opentokostockopname I OpenGLRenderer: Initialized EGL  version 1 4
04 15 15:33:53 707 16732 17432 com adadion opentokostockopname D OpenGLRenderer: Enabling debug mode 0
04 15 15:34:03 607 17508 17508 com adadion opentokostockopname I art: Late enabling  Xcheck:jni
04 15 15:34:04 037 17508 17508 com adadion opentokostockopname W zipro: Error opening archive  data theme apps base: I O Error
04 15 15:34:04 037 17508 17508 com adadion opentokostockopname D asset: failed to open Zip archive   data theme apps base 
                                                                      04 15 15:34:04 037 17508:17508 W           
                                                                    Unable to open   system theme apps base : No such file or directory
04 15 15:34:04 037 17508 17508 com adadion opentokostockopname W zipro: Error opening archive  system theme apps base: I O Error
04 15 15:34:04 037 17508 17508 com adadion opentokostockopname D asset: failed to open Zip archive   system theme apps base 
04 15 15:34:04 198 17508 17508 com adadion opentokostockopname W art: Before Android 4 1  method android graphics PorterDuffColorFilter android support graphics drawable VectorDrawableCompat updateTintFilter(android graphics PorterDuffColorFilter  android content res ColorStateList  android graphics PorterDuff Mode) would have incorrectly overridden the package private method in android graphics drawable Drawable
04 15 15:34:04 288 17508 17528 com adadion opentokostockopname D OpenGLRenderer: Use EGL SWAP BEHAVIOR PRESERVED: false
04 15 15:34:04 298 17508 17508 com adadion opentokostockopname D Atlas: Validating map   
04 15 15:34:04 378 17508 17528 com adadion opentokostockopname I OpenGLRenderer: Initialized EGL  version 1 4
04 15 15:34:04 378 17508 17528 com adadion opentokostockopname D OpenGLRenderer: Enabling debug mode 0
</t>
  </si>
  <si>
    <t>mendhak-gpslogger-430</t>
  </si>
  <si>
    <t>OpenGTS - too many requests results in "unable to create application data" crash</t>
  </si>
  <si>
    <t xml:space="preserve">I have my gpslogger version 75 configured to log to GPX  KML  and OpenGTS (HTTPS)
I m currently travelling and the app seems to almost always crash close when logging the second or third point of data 
I checked the log view but didn t see anything unusual  even just before the app crashed 
I didn t run into any problems if it successfully logged the first few points 
When I was testing at home (logging was started while wifi was connected)  I didn t experience any crashes  The main difference here is that I m not connected to wifi when starting 
Enabling airplane mode and waiting for a few points of data seems to prevent the crash 
Is there any easy way to get crash logs to diagnose the actual problem 
</t>
  </si>
  <si>
    <t>ladybirdweb-faveo-helpdesk-android-app-11</t>
  </si>
  <si>
    <t>Ticket open fails</t>
  </si>
  <si>
    <t xml:space="preserve">In the inbox page  as soon as i open the ticket  app crashes
</t>
  </si>
  <si>
    <t>Scaronthesky-UK-Gebaerden_Muensterland-27</t>
  </si>
  <si>
    <t>App does not work on Android 4.X</t>
  </si>
  <si>
    <t xml:space="preserve">SignBrowser crashes 
</t>
  </si>
  <si>
    <t>syncthing-syncthing-android-620</t>
  </si>
  <si>
    <t>Crash opening WiFi whitelist</t>
  </si>
  <si>
    <t xml:space="preserve">After upgrading to Android 6  selecting  Restrict to certain WiFi networks  crashes the app:
1  Open the SyncThing Android application
2  Open application s settings
3  Enable  Background syncing 
4  Enable  WiFi Only  syncing
5  Click  Restrict to certain WiFi networks 
    Application Crushes 
I tried deleting ST s data  and re importing the config  Still same crush   
ST v 0 12 20
Android wrapper v 0 7 11 (latest f droid release   )
OS: CM13 latest stable snapshot
Log:
          beginning of main
04 18 16:39:50 645 21384 21404 I chatty : uid 10139(com nutomic syncthingandroid) expire 14 lines
04 18 16:40:06 121 21384 21444 I chatty : uid 10139(com nutomic syncthingandroid) expire 11 lines
04 18 16:40:22 095 21384 21384 I chatty : uid 10139(com nutomic syncthingandroid) expire 10 lines
04 18 16:43:25 296 21384 21444 I chatty : uid 10139(com nutomic syncthingandroid) expire 10 lines
04 18 16:44:22 105 21384 21404 I chatty : uid 10139(com nutomic syncthingandroid) expire 6 lines
04 18 16:44:56 138 21384 21409 I chatty : uid 10139(com nutomic syncthingandroid) expire 3 lines
04 18 16:45:34 165 21384 21394 I chatty : uid 10139(com nutomic syncthingandroid) expire 1 line
04 18 16:45:34 327 21384 21403 I chatty : uid 10139(com nutomic syncthingandroid) expire 1 line
04 18 16:46:27 026 22656 22656 I chatty : uid 10139(com nutomic syncthingandroid) expire 10 lines
04 18 16:46:27 378 22656 22672 I chatty : uid 10139(com nutomic syncthingandroid) expire 2 lines
04 18 16:46:27 531 22656 22673 I chatty : uid 10139(com nutomic syncthingandroid) expire 1 line
04 18 16:46:27 548 22676 22676 I chatty : uid 10139(com nutomic syncthingandroid) chmod expire 2 lines
04 18 16:46:27 957 22656 22679 I chatty : uid 10139(com nutomic syncthingandroid) expire 10 lines
04 18 16:46:28 709 22691 22691 I chatty : uid 10139(com nutomic syncthingandroid) ps expire 14 lines
04 18 16:46:28 747 22656 22693 I chatty : uid 10139(com nutomic syncthingandroid) expire 3 lines
04 18 16:46:28 898 22656 22690 I chatty : uid 10139(com nutomic syncthingandroid) expire 1 line
04 18 16:46:28 899 22656 22681 I chatty : uid 10139(com nutomic syncthingandroid) expire 2 lines
04 18 16:46:38 689 22656 22679 I chatty : uid 10139(com nutomic syncthingandroid) expire 20 lines
04 18 16:46:46 564 22656 22715 I chatty : uid 10139(com nutomic syncthingandroid) expire 9 lines
04 18 16:46:47 938 22656 22672 I chatty : uid 10139(com nutomic syncthingandroid) expire 4 lines
04 18 16:46:47 946 22656 22718 I chatty : uid 10139(com nutomic syncthingandroid) expire 175 lines
04 18 16:46:48 188 22656 22666 I chatty : uid 10139(com nutomic syncthingandroid) expire 1 line
04 18 16:46:48 495 22656 22718 I chatty : uid 10139(com nutomic syncthingandroid) expire 138 lines
04 18 16:46:48 646 22656 22672 I chatty : uid 10139(com nutomic syncthingandroid) expire 18 lines
04 18 16:46:49 885 22656 22666 I chatty : uid 10139(com nutomic syncthingandroid) expire 1 line
04 18 16:46:50 231 22656 22718 I chatty : uid 10139(com nutomic syncthingandroid) expire 67 lines
04 18 16:46:50 359 22656 22672 I chatty : uid 10139(com nutomic syncthingandroid) expire 15 lines
04 18 16:46:51 313 22656 22718 I chatty : uid 10139(com nutomic syncthingandroid) expire 16 lines
04 18 16:46:51 521 22656 22672 I chatty : uid 10139(com nutomic syncthingandroid) expire 2 lines
04 18 16:46:51 526 22656 22718 I chatty : uid 10139(com nutomic syncthingandroid) expire 2 lines
04 18 16:46:51 533 22656 22672 I chatty : uid 10139(com nutomic syncthingandroid) expire 1 line
04 18 16:46:51 537 22656 22718 I chatty : uid 10139(com nutomic syncthingandroid) expire 84 lines
04 18 16:46:51 729 22656 22672 I chatty : uid 10139(com nutomic syncthingandroid) expire 19 lines
04 18 16:46:53 094 22656 22718 I chatty : uid 10139(com nutomic syncthingandroid) expire 2 lines
04 18 16:46:53 098 22656 22672 I chatty : uid 10139(com nutomic syncthingandroid) expire 2 lines
04 18 16:46:53 110 22656 22718 I chatty : uid 10139(com nutomic syncthingandroid) expire 28 lines
04 18 16:46:53 403 22656 22672 I chatty : uid 10139(com nutomic syncthingandroid) expire 34 lines
04 18 16:46:53 996 22656 22679 I chatty : uid 10139(com nutomic syncthingandroid) expire 1 line
04 18 16:46:56 507 22656 22656 I chatty : uid 10139(com nutomic syncthingandroid) expire 3 lines
04 18 16:46:59 456 22656 22656 E AndroidRuntime: FATAL EXCEPTION: main
04 18 16:46:59 456 22656 22656 E AndroidRuntime: Process: com nutomic syncthingandroid  PID: 22656
04 18 16:46:59 456 22656 22656 E AndroidRuntime: java lang NullPointerException: Attempt to invoke virtual method  int java lang String compareToIgnoreCase(java lang String)  on a null object reference
04 18 16:46:59 456 22656 22656 E AndroidRuntime: at com nutomic syncthingandroid preferences WifiSsidPreference 1 compare(WifiSsidPreference java:118)
04 18 16:46:59 456 22656 22656 E AndroidRuntime: at com nutomic syncthingandroid preferences WifiSsidPreference 1 compare(WifiSsidPreference java:115)
04 18 16:46:59 456 22656 22656 E AndroidRuntime: at java util TimSort countRunAndMakeAscending(TimSort java:320)
04 18 16:46:59 456 22656 22656 E AndroidRuntime: at java util TimSort sort(TimSort java:185)
04 18 16:46:59 456 22656 22656 E AndroidRuntime: at java util TimSort sort(TimSort java:169)
04 18 16:46:59 456 22656 22656 E AndroidRuntime: at java util Arrays sort(Arrays java:2010)
04 18 16:46:59 456 22656 22656 E AndroidRuntime: at com nutomic syncthingandroid preferences WifiSsidPreference loadConfiguredNetworksSorted(WifiSsidPreference java:115)
04 18 16:46:59 456 22656 22656 E AndroidRuntime: at com nutomic syncthingandroid preferences WifiSsidPreference showDialog(WifiSsidPreference java:54)
04 18 16:46:59 456 22656 22656 E AndroidRuntime: at android preference DialogPreference onClick(DialogPreference java:277)
04 18 16:46:59 456 22656 22656 E AndroidRuntime: at android preference Preference performClick(Preference java:994)
04 18 16:46:59 456 22656 22656 E AndroidRuntime: at android preference PreferenceScreen onItemClick(PreferenceScreen java:214)
04 18 16:46:59 456 22656 22656 E AndroidRuntime: at android widget AdapterView performItemClick(AdapterView java:310)
04 18 16:46:59 456 22656 22656 E AndroidRuntime: at android widget AbsListView performItemClick(AbsListView java:1145)
04 18 16:46:59 456 22656 22656 E AndroidRuntime: at android widget AbsListView PerformClick run(AbsListView java:3066)
04 18 16:46:59 456 22656 22656 E AndroidRuntime: at android widget AbsListView 3 run(AbsListView java:3903)
04 18 16:46:59 456 22656 22656 E AndroidRuntime: at android os Handler handleCallback(Handler java:739)
04 18 16:46:59 456 22656 22656 E AndroidRuntime: at android os Handler dispatchMessage(Handler java:95)
04 18 16:46:59 456 22656 22656 E AndroidRuntime: at android os Looper loop(Looper java:148)
04 18 16:46:59 456 22656 22656 E AndroidRuntime: at android app ActivityThread main(ActivityThread java:5466)
04 18 16:46:59 456 22656 22656 E AndroidRuntime: at java lang reflect Method invoke(Native Method)
04 18 16:46:59 456 22656 22656 E AndroidRuntime: at com android internal os ZygoteInit MethodAndArgsCaller run(ZygoteInit java:726)
04 18 16:46:59 456 22656 22656 E AndroidRuntime: at com android internal os ZygoteInit main(ZygoteInit java:616)
04 18 16:46:59 456 22656 22656 E AndroidRuntime: at de robv android xposed XposedBridge main(XposedBridge java:117)
04 18 16:47:01 242 22760 22760 I chatty : uid 10139(com nutomic syncthingandroid) expire 9 lines
04 18 16:47:01 566 22760 22778 I chatty : uid 10139(com nutomic syncthingandroid) RenderThread expire 3 lines
04 18 16:47:01 693 22760 22779 I chatty : uid 10139(com nutomic syncthingandroid) AsyncTask  1 expire 2 lines
04 18 16:47:02 125 22786 22786 I chatty : uid 10139(com nutomic syncthingandroid) chmod expire 2 lines
04 18 16:47:02 243 22760 22783 I chatty : uid 10139(com nutomic syncthingandroid) AsyncTask  2 expire 1 line
04 18 16:47:02 678 22760 22789 I chatty : uid 10139(com nutomic syncthingandroid) Thread 1380 expire 30 lines
04 18 16:47:03 306 22802 22802 I chatty : uid 10139(com nutomic syncthingandroid) ps expire 14 lines
04 18 16:47:03 495 22760 22801 I chatty : uid 10139(com nutomic syncthingandroid) expire 1 line
04 18 16:47:03 498 22760 22791 I chatty : uid 10139(com nutomic syncthingandroid) expire 2 lines
04 18 16:47:09 300 22760 22821 I chatty : uid 10139(com nutomic syncthingandroid) AsyncTask  3 expire 9 lines
04 18 16:47:10 682 22760 22824 I chatty : uid 10139(com nutomic syncthingandroid) expire 257 lines
04 18 16:47:10 799 22760 22779 I chatty : uid 10139(com nutomic syncthingandroid) AsyncTask  1 expire 4 lines
04 18 16:47:11 054 22760 22770 I chatty : uid 10139(com nutomic syncthingandroid) HeapTaskDaemon expire 1 line
04 18 16:47:11 412 22760 22824 I chatty : uid 10139(com nutomic syncthingandroid) expire 137 lines
04 18 16:47:11 822 22760 22779 I chatty : uid 10139(com nutomic syncthingandroid) AsyncTask  1 expire 3 lines
04 18 16:47:11 878 22760 22824 I chatty : uid 10139(com nutomic syncthingandroid) expire 12 lines
04 18 16:47:11 913 22760 22824 V FolderObserver: observer created for FOLDER in FOLDER
04 18 16:47:12 372 22760 22824 V FolderObserver: observer created for FOLDER in FOLDER
04 18 16:47:12 496 22760 22779 V GetTask : API call result:   connections :  IDIDIDID IDIDIDID IDIDIDID :  address :    at : 0001 01 01T00:00:00Z   clientVersion :    connected :false  inBytesTotal :0  outBytesTotal :0  paused :false  type : direct accept    IDIDIDID IDIDIDID IDIDIDID :  address :    at : 0001 01 01T00:00:00Z   clientVersion :    connected :false  inBytesTotal :0  outBytesTotal :0  paused :false  type : direct accept    IDIDIDID IDIDIDID IDIDIDID :  address :    at : 0001 01 01T00:00:00Z   clientVersion :    connected :false  inBytesTotal :0  outBytesTotal :0  paused :false  type : direct accept    IDIDIDID IDIDIDID IDIDIDID :  address :    at : 0001 01 01T00:00:00Z   clientVersion :    connected :false  inBytesTotal :0  outBytesTotal :0  paused :false  type : direct accept    IDIDIDID IDIDIDID IDIDIDID :  address :    at : 0001 01 01T00:00:00Z   clientVersion :    connected :false  inBytesTotal :0  outBytesTotal :0  paused :false  type : direct accept     total :  address :    at : 2016 04 18T13:47:12 481723165Z   clientVersion :    connected :false  inBytesTotal :0  outBytesTotal :0  paused :false  type : direct accept   
04 18 16:47:12 496 22760 22779 V GetTask : Calling Rest API at https:  IP:PORT rest system connections
04 18 16:47:12 519 22760 22779 W System : ClassLoader referenced unknown path:  system framework tcmclient jar
04 18 16:47:12 791 22760 22779 V GetTask : API call result:   connections :  IDIDIDID IDIDIDID IDIDIDID :  address :    at : 0001 01 01T00:00:00Z   clientVersion :    connected :false  inBytesTotal :0  outBytesTotal :0  paused :false  type : direct accept    IDIDIDID IDIDIDID IDIDIDID :  address :    at : 0001 01 01T00:00:00Z   clientVersion :    connected :false  inBytesTotal :0  outBytesTotal :0  paused :false  type : direct accept    IDIDIDID IDIDIDID IDIDIDID :  address :    at : 0001 01 01T00:00:00Z   clientVersion :    connected :false  inBytesTotal :0  outBytesTotal :0  paused :false  type : direct accept    IDIDIDID IDIDIDID IDIDIDID :  address :    at : 0001 01 01T00:00:00Z   clientVersion :    connected :false  inBytesTotal :0  outBytesTotal :0  paused :false  type : direct accept    IDIDIDID IDIDIDID IDIDIDID :  address :    at : 0001 01 01T00:00:00Z   clientVersion :    connected :false  inBytesTotal :0  outBytesTotal :0  paused :false  type : direct accept     total :  address :    at : 2016 04 18T13:47:12 783996933Z   clientVersion :    connected :false  inBytesTotal :0  outBytesTotal :0  paused :false  type : direct accept   
04 18 16:47:12 792 22760 22779 V GetTask : Calling Rest API at https:  IP:PORT rest db status
04 18 16:47:12 799 22760 22779 W System : ClassLoader referenced unknown path:  system framework tcmclient jar
04 18 16:47:12 983 22760 22779 V GetTask : API call result:   globalBytes :378161898  globalDeleted :0  globalFiles :79  ignorePatterns :true  inSyncBytes :378161898  inSyncFiles :79  invalid :    localBytes :378161898  localDeleted :0  localFiles :79  needBytes :0  needFiles :0  state : idle   stateChanged : 2016 04 18T13:47:08 58369173Z   version :2823 
04 18 16:47:12 987 22760 22779 V GetTask : Calling Rest API at https:  IP:PORT rest db status
04 18 16:47:13 026 22760 22779 W System : ClassLoader referenced unknown path:  system framework tcmclient jar
</t>
  </si>
  <si>
    <t>requery-sqlite-android-11</t>
  </si>
  <si>
    <t xml:space="preserve">OOM in CursorWindow create </t>
  </si>
  <si>
    <t xml:space="preserve">Hi 
I tried this project and I have got a lot of unexpected OOM crashes  The memory usage is not that high  but the CursorWindow allocation just fails (when  new CursorWindow() )  After switched to Android standard wrapper  OOM is gone  The only change is changing the imports from  io requery android database  to  android database  and also calling one method using reflection because it is not available in stock wrapper
    public static final void callBeginDeffered(SQLiteDatabase db)  
        Reflect on(db) call( getThreadSession ) call( beginTransaction   0  (SQLiteTransactionListener) null  1 null) 
This is probabality also happens in SQLite Android Binding  because I experienced some OOM this when I use the binding before  I switched to your version because there is x86 so files also you claim performance is different 
My code has a lot of concurrent queries  but the cursor is always closed after the data is read  Any thoughts why this happens 
</t>
  </si>
  <si>
    <t>Crash-Test-Buddies-WiFi-Buddy-58</t>
  </si>
  <si>
    <t>Issues with on Pause</t>
  </si>
  <si>
    <t xml:space="preserve">App does not handle onPause properly  Sometimes it opens 2 fragments at once then crashes  sometimes it goes back to the main fragment and won t move to the next fragment
</t>
  </si>
  <si>
    <t>dimagi-commcare-android-1211</t>
  </si>
  <si>
    <t>Prevent crash when an add-repeat dialog is the first thing shown in a form</t>
  </si>
  <si>
    <t xml:space="preserve">Fix for this crash  which was showing up in the ICDS force close logs:
 java lang NullPointerException at org odk collect android activities components FormNavigationUI updateFloatingLabels(FormNavigationUI java:157) at org odk collect android activities components FormNavigationUI updateNavigationCues(FormNavigationUI java:37) at org odk collect android activities FormEntryActivity handleFormLoadCompletion(FormEntryActivity java:1942) at org odk collect android activities FormEntryActivity access 1700(FormEntryActivity java:136) at org odk collect android activities FormEntryActivity 15 deliverResult(FormEntryActivity java:1862) at org odk collect android activities FormEntryActivity 15 deliverResult(FormEntryActivity java:1859) at org commcare android tasks templates CommCareTask onPostExecute(CommCareTask java:83) at android os AsyncTask finish(AsyncTask java:632) at android os AsyncTask access 600(AsyncTask java:177) at android os AsyncTask InternalHandler handleMessage(AsyncTask java:645) at android os Handler dispatchMessage(Handler java:102) at android os Looper loop(Looper java:136) at android app ActivityThread main(ActivityThread java:5426) at java lang reflect Method invokeNative(Native Method) at java lang reflect Method invoke(Method java:515) at com android internal os ZygoteInit MethodAndArgsCaller run(ZygoteInit java:1268) at com android internal os ZygoteInit main(ZygoteInit java:1084) at dalvik system NativeStart main(Native Method) 
Explanation:  handleFormLoadCompletion()  calls  refreshCurrentView()  and then  FormNavigationUI updateNavigationCues(this  mFormController  questionsView)   The latter method assumes that the  questionsView  field has been assigned in the call to  refreshCurrentView()  via a downstream call to  showView()   which is true in all instances but one  If the first event encountered is  EVENT PROMPT NEW REPEAT   then we just create the dialog  and do NOT call  showView()   rendering  questionsView  null when the UI update method is called  
Seems fine to me to resolve this by just checking if  view  is null  now that I know what s causing it 
</t>
  </si>
  <si>
    <t>dimagi-commcare-android-1214</t>
  </si>
  <si>
    <t>prevent OOM error when processing image capture</t>
  </si>
  <si>
    <t xml:space="preserve">Addresses this crash from the ICDS force close logs:
 java lang OutOfMemoryError at android graphics BitmapFactory nativeDecodeStream(Native Method) at android graphics BitmapFactory decodeStreamInternal(BitmapFactory java:709) at android graphics BitmapFactory decodeStream(BitmapFactory java:685) at android graphics BitmapFactory decodeFile(BitmapFactory java:447) at android graphics BitmapFactory decodeFile(BitmapFactory java:486) at org odk collect android utilities FileUtils scaleAndSaveImage(FileUtils java:128) at org odk collect android activities components ImageCaptureProcessing moveAndScaleImage(ImageCaptureProcessing java:36) at org odk collect android activities FormEntryActivity processCaptureResponse(FormEntryActivity java:484) at org odk collect android activities FormEntryActivity onActivityResult(FormEntryActivity java:443) at android app Activity dispatchActivityResult(Activity java:5643) at android app ActivityThread deliverResults(ActivityThread java:3573) at android app ActivityThread handleSendResult(ActivityThread java:3620) at android app ActivityThread access 1400(ActivityThread java:169) at android app ActivityThread H handleMessage(ActivityThread java:1325) at android os Handler dispatchMessage(Handler java:102) at android os Looper loop(Looper java:136) at android app ActivityThread main(ActivityThread java:5479) at java lang reflect Method invokeNative(Native Method) at java lang reflect Method invoke(Method java:515) at com android internal os ZygoteInit MethodAndArgsCaller run(ZygoteInit java:1283) at com android internal os ZygoteInit main(ZygoteInit java:1099) at dalvik system NativeStart main(Native Method) 
Did not reproduce the specific crash  but definitely just looks like processing an image capture is sometimes causing an OOM error because the original captured image is too large  The only question I have here is whether it s proper to just downsize the user s captured image without telling them we did so  I guess the alternative would be to show a non crashing error message to the user that tells them their image capture can t be processed due to memory constraints  I m personally inclined toward downsizing the image  because the alternative leaves the user without any real path forward to fix the issue  But wanted to acknowledge that this solution does something potentially odd  
(I did test out going through some image capture widgets with this change to make sure it still worked soundly) 
</t>
  </si>
  <si>
    <t>ZieIony-Carbon-239</t>
  </si>
  <si>
    <t>EdgeEffectCompat incompatible</t>
  </si>
  <si>
    <t xml:space="preserve">OK  I know this has been resolved at least two times ( 217    233)  but I am stuck 
Below is the dependency tree of my project  For reasons I do not understand gradle chooses to replace references to the support library version 23 1 1 with version 23 2 0  
If I leave the testing libraries in it the refuses to compile  Otherwise it crashes  java lang IncompatibleClassChangeError:carbon drawable EdgeEffectCompat  
Are you planing to provide a permanent fix  that won t break every time Google changes the signature of EdgeEffectCompat 
Can you estimate when you will release a Carbon version 0 12 1 or 0 13 0 that will have this fixed 
The published version of my app has a bug I need to fix  But I can t publish a new version that contains this crash  I tried using Carbon version 0 11 and support library version 23 1 1 but to no avail  Can you suggest a workaround 
Thanks a lot 
This is my build gradle (cleaned up a little)  Notice  supportLibVersion    23 1 1 
apply plugin:  com android application 
repositories  
    maven   url  https:  jitpack io   
android  
    compileSdkVersion 23
    buildToolsVersion  23 0 2 
    defaultConfig  
        applicationId  com vahdat gastricbypasssupport 
        minSdkVersion 16
        targetSdkVersion 23
        renderscriptTargetApi 20
        renderscriptSupportModeEnabled true
        testInstrumentationRunner  android support test runner AndroidJUnitRunner 
        versionCode 6
        versionName  1 1 0 
    buildTypes  
        release  
            minifyEnabled true
            shrinkResources true   http:  tools android com tech docs new build system resource shrinking
            proguardFiles getDefaultProguardFile( proguard android txt )   proguard project txt 
            signingConfig signingConfigs generalVahdatSigningConfig
            debuggable false
        limited working time release  
            minifyEnabled true
            shrinkResources true   http:  tools android com tech docs new build system resource shrinking
            proguardFiles getDefaultProguardFile( proguard android txt )   proguard project txt 
            signingConfig signingConfigs generalVahdatSigningConfig
            debuggable false
    compileOptions  
        sourceCompatibility JavaVersion VERSION 1 7
        targetCompatibility JavaVersion VERSION 1 7
    sourceSets  
        debug   java srcDirs     src debug java    
        test   java srcDirs     src test java    
    productFlavors  
    lintOptions  
           checkReleaseBuilds false
           Or  if you prefer  you can continue to check for errors in release builds 
           but continue the build even when errors are found:
        abortOnError false
configurations  
    provided
ext  
    supportLibVersion    23 1 1 
dependencies  
    compile fileTree(include:     jar    dir:  libs )
    compile  com android support:gridlayout v7:  supportLibVersion  
    compile  com android support:appcompat v7:  supportLibVersion  
    compile  com android support:recyclerview v7:  supportLibVersion  
    compile  com android support:preference v7:  supportLibVersion  
    compile  com android support:cardview v7:  supportLibVersion  
    compile  joda time:joda time:2 9 2 
    compile( com github afollestad material dialogs:core:0 8 5 3 aar )  
        transitive   true
    compile  com rengwuxian materialedittext:library:2 1 4 
    compile  com readystatesoftware sqliteasset:sqliteassethelper:2 0 1 
    compile  com squareup:android times square:1 6 4 aar 
    compile  tk zielony:carbon:0 12 0 
    compile  org apmem tools:layouts:1 10 aar 
This is the dependency tree  Notice the replacement of 23 1 1 by 23 2 0
 gradlew :gastricBypassSupport:dependencies
Incremental java compilation is an incubating feature                                                             
:gastricBypassSupport:dependencies                                                                                        
Project :gastricBypassSupport                     
 debugAndroidTestApk      Internal use  do not manually configure   
No dependencies                                   
 debugAndroidTestCompile      Internal use  do not manually configure   
No dependencies                                   
 debugApk      Internal use  do not manually configure   
     com android support:gridlayout v7:23 1 1     
          com android support:support v4:23 1 1    23 2 0
               com android support:support annotations:23 2 0
     com android support:appcompat v7:23 1 1    23 2 0
          com android support:support v4:23 2 0 ( )
          com android support:animated vector drawable:23 2 0
               com android support:support vector drawable:23 2 0
                    com android support:support v4:23 2 0 ( )
          com android support:support vector drawable:23 2 0 ( )
     com android support:recyclerview v7:23 1 1    23 2 0
          com android support:support annotations:23 2 0
          com android support:support v4:23 2 0 ( )
     com android support:preference v7:23 1 1     
          com android support:appcompat v7:23 1 1    23 2 0 ( )
          com android support:recyclerview v7:23 1 1    23 2 0 ( )
          com android support:support v4:23 1 1    23 2 0 ( )
     com android support:cardview v7:23 1 1       
     joda time:joda time:2 9 2                    
     com github afollestad material dialogs:core:0 8 5 3
          com android support:support v4:23 2 0 ( )
          me zhanghai android materialprogressbar:library:1 1 4
               com android support:appcompat v7:23 0 1    23 2 0 ( )
               com android support:support annotations:23 0 1    23 2 0
          com android support:appcompat v7:23 2 0 ( )
          com android support:support annotations:23 2 0
          com android support:recyclerview v7:23 2 0 ( )
     com rengwuxian materialedittext:library:2 1 4
          com android support:appcompat v7:22 2 0    23 2 0 ( )
          com android support:support annotations:22 2 0    23 2 0
          com nineoldandroids:library:2 4 0       
     com readystatesoftware sqliteasset:sqliteassethelper:2 0 1
     com squareup:android times square:1 6 4      
     tk zielony:carbon:0 12 0                     
          com android support:appcompat v7:23 1 1    23 2 0 ( )
          com android support:support v4:23 1 1    23 2 0 ( )
          com android support:gridlayout v7:23 1 1 ( )
          com android support:recyclerview v7:23 1 1    23 2 0 ( )
          com android support:design:23 1 1       
               com android support:appcompat v7:23 1 1    23 2 0 ( )
               com android support:recyclerview v7:23 1 1    23 2 0 ( )
               com android support:support v4:23 1 1    23 2 0 ( )
          com nineoldandroids:library:2 4 0       
          de greenrobot:androidsvg:1 2 2 beta 1 tweaked 2
     org apmem tools:layouts:1 10                 
 debugCompile      Internal use  do not manually configure   
     com android support:gridlayout v7:23 1 1     
          com android support:support v4:23 1 1    23 2 0
               com android support:support annotations:23 2 0
     com android support:appcompat v7:23 1 1    23 2 0
          com android support:support v4:23 2 0 ( )
          com android support:animated vector drawable:23 2 0
               com android support:support vector drawable:23 2 0
                    com android support:support v4:23 2 0 ( )
          com android support:support vector drawable:23 2 0 ( )
     com android support:recyclerview v7:23 1 1    23 2 0
          com android support:support annotations:23 2 0
          com android support:support v4:23 2 0 ( )
     com android support:preference v7:23 1 1     
          com android support:appcompat v7:23 1 1    23 2 0 ( )
          com android support:recyclerview v7:23 1 1    23 2 0 ( )
          com android support:support v4:23 1 1    23 2 0 ( )
     com android support:cardview v7:23 1 1       
     joda time:joda time:2 9 2                    
     com github afollestad material dialogs:core:0 8 5 3
          com android support:support v4:23 2 0 ( )
          me zhanghai android materialprogressbar:library:1 1 4
               com android support:appcompat v7:23 0 1    23 2 0 ( )
               com android support:support annotations:23 0 1    23 2 0
          com android support:appcompat v7:23 2 0 ( )
          com android support:support annotations:23 2 0
          com android support:recyclerview v7:23 2 0 ( )
     com rengwuxian materialedittext:library:2 1 4
          com android support:appcompat v7:22 2 0    23 2 0 ( )
          com android support:support annotations:22 2 0    23 2 0
          com nineoldandroids:library:2 4 0       
     com readystatesoftware sqliteasset:sqliteassethelper:2 0 1
     com squareup:android times square:1 6 4      
     tk zielony:carbon:0 12 0                     
          com android support:appcompat v7:23 1 1    23 2 0 ( )
          com android support:support v4:23 1 1    23 2 0 ( )
          com android support:gridlayout v7:23 1 1 ( )
          com android support:recyclerview v7:23 1 1    23 2 0 ( )
          com android support:design:23 1 1       
               com android support:appcompat v7:23 1 1    23 2 0 ( )
               com android support:recyclerview v7:23 1 1    23 2 0 ( )
               com android support:support v4:23 1 1    23 2 0 ( )
          com nineoldandroids:library:2 4 0       
          de greenrobot:androidsvg:1 2 2 beta 1 tweaked 2
     org apmem tools:layouts:1 10                 
 debugUnitTestApk      Internal use  do not manually configure   
No dependencies                                   
 debugUnitTestCompile      Internal use  do not manually configure   
No dependencies                                   
 limited working time releaseApk      Internal use  do not manually configure   
     com android support:gridlayout v7:23 1 1     
          com android support:support v4:23 1 1    23 2 0
               com android support:support annotations:23 2 0
     com android support:appcompat v7:23 1 1    23 2 0
          com android support:support v4:23 2 0 ( )
          com android support:animated vector drawable:23 2 0
               com android support:support vector drawable:23 2 0
                    com android support:support v4:23 2 0 ( )
          com android support:support vector drawable:23 2 0 ( )
     com android support:recyclerview v7:23 1 1    23 2 0
          com android support:support annotations:23 2 0
          com android support:support v4:23 2 0 ( )
     com android support:preference v7:23 1 1     
          com android support:appcompat v7:23 1 1    23 2 0 ( )
          com android support:recyclerview v7:23 1 1    23 2 0 ( )
          com android support:support v4:23 1 1    23 2 0 ( )
     com android support:cardview v7:23 1 1       
     joda time:joda time:2 9 2                    
     com github afollestad material dialogs:core:0 8 5 3
          com android support:support v4:23 2 0 ( )
          me zhanghai android materialprogressbar:library:1 1 4
               com android support:appcompat v7:23 0 1    23 2 0 ( )
               com android support:support annotations:23 0 1    23 2 0
          com android support:appcompat v7:23 2 0 ( )
          com android support:support annotations:23 2 0
          com android support:recyclerview v7:23 2 0 ( )
     com rengwuxian materialedittext:library:2 1 4
          com android support:appcompat v7:22 2 0    23 2 0 ( )
          com android support:support annotations:22 2 0    23 2 0
          com nineoldandroids:library:2 4 0       
     com readystatesoftware sqliteasset:sqliteassethelper:2 0 1
     com squareup:android times square:1 6 4      
     tk zielony:carbon:0 12 0                     
          com android support:appcompat v7:23 1 1    23 2 0 ( )
          com android support:support v4:23 1 1    23 2 0 ( )
          com android support:gridlayout v7:23 1 1 ( )
          com android support:recyclerview v7:23 1 1    23 2 0 ( )
          com android support:design:23 1 1       
               com android support:appcompat v7:23 1 1    23 2 0 ( )
               com android support:recyclerview v7:23 1 1    23 2 0 ( )
               com android support:support v4:23 1 1    23 2 0 ( )
          com nineoldandroids:library:2 4 0       
          de greenrobot:androidsvg:1 2 2 beta 1 tweaked 2
     org apmem tools:layouts:1 10                 
 limited working time releaseCompile      Internal use  do not manually configure   
     com android support:gridlayout v7:23 1 1     
          com android support:support v4:23 1 1    23 2 0
               com android support:support annotations:23 2 0
     com android support:appcompat v7:23 1 1    23 2 0
          com android support:support v4:23 2 0 ( )
          com android support:animated vector drawable:23 2 0
               com android support:support vector drawable:23 2 0
                    com android support:support v4:23 2 0 ( )
          com android support:support vector drawable:23 2 0 ( )
     com android support:recyclerview v7:23 1 1    23 2 0
          com android support:support annotations:23 2 0
          com android support:support v4:23 2 0 ( )
     com android support:preference v7:23 1 1     
          com android support:appcompat v7:23 1 1    23 2 0 ( )
          com android support:recyclerview v7:23 1 1    23 2 0 ( )
          com android support:support v4:23 1 1    23 2 0 ( )
     com android support:cardview v7:23 1 1       
     joda time:joda time:2 9 2                    
     com github afollestad material dialogs:core:0 8 5 3
          com android support:support v4:23 2 0 ( )
          me zhanghai android materialprogressbar:library:1 1 4
               com android support:appcompat v7:23 0 1    23 2 0 ( )
               com android support:support annotations:23 0 1    23 2 0
          com android support:appcompat v7:23 2 0 ( )
          com android support:support annotations:23 2 0
          com android support:recyclerview v7:23 2 0 ( )
     com rengwuxian materialedittext:library:2 1 4
          com android support:appcompat v7:22 2 0    23 2 0 ( )
          com android support:support annotations:22 2 0    23 2 0
          com nineoldandroids:library:2 4 0       
     com readystatesoftware sqliteasset:sqliteassethelper:2 0 1
     com squareup:android times square:1 6 4      
     tk zielony:carbon:0 12 0                     
          com android support:appcompat v7:23 1 1    23 2 0 ( )
          com android support:support v4:23 1 1    23 2 0 ( )
          com android support:gridlayout v7:23 1 1 ( )
          com android support:recyclerview v7:23 1 1    23 2 0 ( )
          com android support:design:23 1 1       
               com android support:appcompat v7:23 1 1    23 2 0 ( )
               com android support:recyclerview v7:23 1 1    23 2 0 ( )
               com android support:support v4:23 1 1    23 2 0 ( )
          com nineoldandroids:library:2 4 0       
          de greenrobot:androidsvg:1 2 2 beta 1 tweaked 2
     org apmem tools:layouts:1 10                 
 limited working time releaseUnitTestApk      Internal use  do not manually configure   
No dependencies                                   
 limited working time releaseUnitTestCompile      Internal use  do not manually configure   
No dependencies                                   
 releaseApk      Internal use  do not manually configure   
     com android support:gridlayout v7:23 1 1     
          com android support:support v4:23 1 1    23 2 0
               com android support:support annotations:23 2 0
     com android support:appcompat v7:23 1 1    23 2 0
          com android support:support v4:23 2 0 ( )
          com android support:animated vector drawable:23 2 0
               com android support:support vector drawable:23 2 0
                    com android support:support v4:23 2 0 ( )
          com android support:support vector drawable:23 2 0 ( )
     com android support:recyclerview v7:23 1 1    23 2 0
          com android support:support annotations:23 2 0
          com android support:support v4:23 2 0 ( )
     com android support:preference v7:23 1 1     
          com android support:appcompat v7:23 1 1    23 2 0 ( )
          com android support:recyclerview v7:23 1 1    23 2 0 ( )
          com android support:support v4:23 1 1    23 2 0 ( )
     com android support:cardview v7:23 1 1       
     joda time:joda time:2 9 2                    
     com github afollestad material dialogs:core:0 8 5 3
          com android support:support v4:23 2 0 ( )
          me zhanghai android materialprogressbar:library:1 1 4
               com android support:appcompat v7:23 0 1    23 2 0 ( )
               com android support:support annotations:23 0 1    23 2 0
          com android support:appcompat v7:23 2 0 ( )
          com android support:support annotations:23 2 0
          com android support:recyclerview v7:23 2 0 ( )
     com rengwuxian materialedittext:library:2 1 4
          com android support:appcompat v7:22 2 0    23 2 0 ( )
          com android support:support annotations:22 2 0    23 2 0
          com nineoldandroids:library:2 4 0       
     com readystatesoftware sqliteasset:sqliteassethelper:2 0 1
     com squareup:android times square:1 6 4      
     tk zielony:carbon:0 12 0                     
          com android support:appcompat v7:23 1 1    23 2 0 ( )
          com android support:support v4:23 1 1    23 2 0 ( )
          com android support:gridlayout v7:23 1 1 ( )
          com android support:recyclerview v7:23 1 1    23 2 0 ( )
          com android support:design:23 1 1       
               com android support:appcompat v7:23 1 1    23 2 0 ( )
               com android support:recyclerview v7:23 1 1    23 2 0 ( )
               com android support:support v4:23 1 1    23 2 0 ( )
          com nineoldandroids:library:2 4 0       
          de greenrobot:androidsvg:1 2 2 beta 1 tweaked 2
     org apmem tools:layouts:1 10                 
 releaseCompile      Internal use  do not manually configure   
     com android support:gridlayout v7:23 1 1     
          com android support:support v4:23 1 1    23 2 0
               com android support:support annotations:23 2 0
     com android support:appcompat v7:23 1 1    23 2 0
          com android support:support v4:23 2 0 ( )
          com android support:animated vector drawable:23 2 0
               com android support:support vector drawable:23 2 0
                    com android support:support v4:23 2 0 ( )
          com android support:support vector drawable:23 2 0 ( )
     com android support:recyclerview v7:23 1 1    23 2 0
          com android support:support annotations:23 2 0
          com android support:support v4:23 2 0 ( )
     com android support:preference v7:23 1 1     
          com android support:appcompat v7:23 1 1    23 2 0 ( )
          com android support:recyclerview v7:23 1 1    23 2 0 ( )
          com android support:support v4:23 1 1    23 2 0 ( )
     com android support:cardview v7:23 1 1       
     joda time:joda time:2 9 2                    
     com github afollestad material dialogs:core:0 8 5 3
          com android support:support v4:23 2 0 ( )
          me zhanghai android materialprogressbar:library:1 1 4
               com android support:appcompat v7:23 0 1    23 2 0 ( )
               com android support:support annotations:23 0 1    23 2 0
          com android support:appcompat v7:23 2 0 ( )
          com android support:support annotations:23 2 0
          com android support:recyclerview v7:23 2 0 ( )
     com rengwuxian materialedittext:library:2 1 4
          com android support:appcompat v7:22 2 0    23 2 0 ( )
          com android support:support annotations:22 2 0    23 2 0
          com nineoldandroids:library:2 4 0       
     com readystatesoftware sqliteasset:sqliteassethelper:2 0 1
     com squareup:android times square:1 6 4      
     tk zielony:carbon:0 12 0                     
          com android support:appcompat v7:23 1 1    23 2 0 ( )
          com android support:support v4:23 1 1    23 2 0 ( )
          com android support:gridlayout v7:23 1 1 ( )
          com android support:recyclerview v7:23 1 1    23 2 0 ( )
          com android support:design:23 1 1       
               com android support:appcompat v7:23 1 1    23 2 0 ( )
               com android support:recyclerview v7:23 1 1    23 2 0 ( )
               com android support:support v4:23 1 1    23 2 0 ( )
          com nineoldandroids:library:2 4 0       
          de greenrobot:androidsvg:1 2 2 beta 1 tweaked 2
     org apmem tools:layouts:1 10                 
 releaseUnitTestApk      Internal use  do not manually configure   
No dependencies                                   
 releaseUnitTestCompile      Internal use  do not manually configure   
No dependencies                                   
androidJacocoAgent   The Jacoco agent to use to get coverage data 
     org jacoco:org jacoco agent:0 7 4 201502262128                                                                   
androidJacocoAnt   The Jacoco ant tasks to use to get execute Gradle tasks 
     org jacoco:org jacoco ant:0 7 4 201502262128                                                                   
          org jacoco:org jacoco core:0 7 4 201502262128
               org ow2 asm:asm debug all:5 0 1    
          org jacoco:org jacoco report:0 7 4 201502262128
               org jacoco:org jacoco core:0 7 4 201502262128 ( )
               org ow2 asm:asm debug all:5 0 1    
          org jacoco:org jacoco agent:0 7 4 201502262128
androidTestApk   Classpath packaged with the compiled  androidTest  classes 
No dependencies                                                                                                   
androidTestCompile   Classpath for compiling the androidTest sources 
No dependencies                                                                                                       
androidTestProvided   Classpath for only compiling the androidTest sources 
No dependencies                                                                                                        
androidTestWearApp   Link to a wear app to embed for object  androidTest  
No dependencies                                                                                                       
apk   Classpath packaged with the compiled  main  classes 
No dependencies                                                                                        
archives   Configuration for archive artifacts    
No dependencies                                                                                             
compile   Classpath for compiling the main sources 
     com android support:gridlayout v7:23 1 1                                                              
          com android support:support v4:23 1 1    23 2 0
               com android support:support annotations:23 2 0
     com android support:appcompat v7:23 1 1    23 2 0
          com android support:support v4:23 2 0 ( )
          com android support:animated vector drawable:23 2 0
               com android support:support vector drawable:23 2 0
                    com android support:support v4:23 2 0 ( )
          com android support:support vector drawable:23 2 0 ( )
     com android support:recyclerview v7:23 1 1    23 2 0
          com android support:support annotations:23 2 0
          com android support:support v4:23 2 0 ( )
     com android support:preference v7:23 1 1     
          com android support:appcompat v7:23 1 1    23 2 0 ( )
          com android support:recyclerview v7:23 1 1    23 2 0 ( )
          com android support:support v4:23 1 1    23 2 0 ( )
     com android support:cardview v7:23 1 1       
     joda time:joda time:2 9 2                    
     com github afollestad material dialogs:core:0 8 5 3
          com android support:support v4:23 2 0 ( )
          me zhanghai android materialprogressbar:library:1 1 4
               com android support:appcompat v7:23 0 1    23 2 0 ( )
               com android support:support annotations:23 0 1    23 2 0
          com android support:appcompat v7:23 2 0 ( )
          com android support:support annotations:23 2 0
          com android support:recyclerview v7:23 2 0 ( )
     com rengwuxian materialedittext:library:2 1 4
          com android support:appcompat v7:22 2 0    23 2 0 ( )
          com android support:support annotations:22 2 0    23 2 0
          com nineoldandroids:library:2 4 0       
     com readystatesoftware sqliteasset:sqliteassethelper:2 0 1
     com squareup:android times square:1 6 4      
     tk zielony:carbon:0 12 0                     
          com android support:appcompat v7:23 1 1    23 2 0 ( )
          com android support:support v4:23 1 1    23 2 0 ( )
          com android support:gridlayout v7:23 1 1 ( )
          com android support:recyclerview v7:23 1 1    23 2 0 ( )
          com android support:design:23 1 1       
               com android support:appcompat v7:23 1 1    23 2 0 ( )
               com android support:recyclerview v7:23 1 1    23 2 0 ( )
               com android support:support v4:23 1 1    23 2 0 ( )
          com nineoldandroids:library:2 4 0       
          de greenrobot:androidsvg:1 2 2 beta 1 tweaked 2
     org apmem tools:layouts:1 10                 
debugApk   Classpath packaged with the compiled  debug  classes 
No dependencies                                                                                             
debugCompile   Classpath for compiling the debug sources 
No dependencies                                                                                                 
debugProvided   Classpath for only compiling the debug sources 
No dependencies                                                                                                  
debugWearApp   Link to a wear app to embed for object  debug  
No dependencies                                                                                                 
default   Configuration for default artifacts     
No dependencies                                                                                            
default mapping   Configuration for default mapping artifacts 
No dependencies                                                                                                    
default metadata   Metadata for the produced APKs 
No dependencies                                                                                                     
limited working time releaseApk   Classpath packaged with the compiled  limited working time release  classes 
No dependencies                                                                                                                    
limited working time releaseCompile   Classpath for compiling the limited working time release sources 
No dependencies                                                                                                                        
limited working time releaseProvided   Classpath for only compiling the limited working time release sources 
No dependencies                                                                                                                         
limited working time releaseWearApp   Link to a wear app to embed for object  limited working time release  
No dependencies                                   
provided   Classpath for only compiling the main sources 
No dependencies                                                                                             
releaseApk   Classpath packaged with the compiled  release  classes 
No dependencies                                                                                               
releaseCompile   Classpath for compiling the release sources 
No dependencies                                                                                                   
releaseProvided   Classpath for only compiling the release sources 
No dependencies                                                                                                    
releaseWearApp   Link to a wear app to embed for object  release  
No dependencies                                   
testApk   Classpath packaged with the compiled  test  classes 
No dependencies                                                                                            
testCompile   Classpath for compiling the test sources 
No dependencies                                                                                                
testDebugApk   Classpath packaged with the compiled  testDebug  classes 
No dependencies                                                                                                 
testDebugCompile   Classpath for compiling the testDebug sources 
No dependencies                                                                                                     
testDebugProvided   Classpath for only compiling the testDebug sources 
No dependencies                                                                                                      
testDebugWearApp   Link to a wear app to embed for object  testDebug  
No dependencies                                                                                                     
testLimited working time releaseApk   Classpath packaged with the compiled  testLimited working time release  classes 
No dependencies                                                                                                                        
testLimited working time releaseCompile   Classpath for compiling the testLimited working time release sources 
No dependencies                                                                                                                            
testLimited working time releaseProvided   Classpath for only compiling the testLimited working time release sources 
No dependencies                                                                                                                             
testLimited working time releaseWearApp   Link to a wear app to embed for object  testLimited working time release  
No dependencies                                                                                                                            
testProvided   Classpath for only compiling the test sources 
No dependencies                                                                                                 
testReleaseApk   Classpath packaged with the compiled  testRelease  classes 
No dependencies                                                                                                   
testReleaseCompile   Classpath for compiling the testRelease sources 
No dependencies                                                                                                       
testReleaseProvided   Classpath for only compiling the testRelease sources 
No dependencies                                                                                                        
testReleaseWearApp   Link to a wear app to embed for object  testRelease  
No dependencies                                                                                                       
testWearApp   Link to a wear app to embed for object  test  
No dependencies                                                                                                
wearApp   Link to a wear app to embed for object  main  
No dependencies                                   
BUILD SUCCESSFUL
Total time: 28 012 secs
</t>
  </si>
  <si>
    <t>ccrama-Slide-1486</t>
  </si>
  <si>
    <t xml:space="preserve">Resuming the app with the icon returns to frontpage </t>
  </si>
  <si>
    <t xml:space="preserve">Slide version: 5 2 5
Android version: 6 0 1 
When I m browsing and press the home button and launch the app with the icon  the app resets back to the frontpage instead of resuming  
It isn t a crash because using the overview button I can resume the app  
</t>
  </si>
  <si>
    <t>k-hatano-tapchord-25</t>
  </si>
  <si>
    <t>たまに落ちる</t>
  </si>
  <si>
    <t xml:space="preserve">App sometimes crashes
</t>
  </si>
  <si>
    <t>mpiannucci-HackWinds-Android-105</t>
  </si>
  <si>
    <t>Fix launching from saved states</t>
  </si>
  <si>
    <t xml:space="preserve">If the app is frozen and relaunched with a saved state it crashes
</t>
  </si>
  <si>
    <t>AnimeNeko-Atarashii-484</t>
  </si>
  <si>
    <t>Crash on Settings Scroll when language is "Portuguese Portugal"</t>
  </si>
  <si>
    <t xml:space="preserve">Hi 
I ve found that the app crashes while scrolling in the settings app after the Auto Sync option (Auto Sincroniza  o  in portuguese) 
It happens both in the Beta and regular android app 
I m using Android 5 0 2   MIUI 7 
Here s the error report:
  java lang ArrayIndexOutOfBoundsException: length 7  index 11
  at android preference ListPreference getEntry(ListPreference java:219)
  at android preference ListPreference getSummary(ListPreference java:164)
  at android preference Preference onBindView(Preference java:565)
  at android preference Preference getView(Preference java:504)
  at android preference PreferenceGroupAdapter getView(PreferenceGroupAdapter java:256)
  at android widget AbsListView obtainView(AbsListView java:2464)
  at android widget ListView makeAndAddView(ListView java:1894)
  at android widget ListView fillDown(ListView java:710)
  at android widget ListView fillGap(ListView java:674)
  at android widget AbsListView trackMotionScroll(AbsListView java:5509)
  at android widget AbsListView FlingRunnable run(AbsListView java:5004)
  at android view Choreographer CallbackRecord run(Choreographer java:800)
  at android view Choreographer doCallbacks(Choreographer java:603)
  at android view Choreographer doFrame(Choreographer java:571)
  at android view Choreographer FrameDisplayEventReceiver run(Choreographer java:786)
  at android os Handler handleCallback(Handler java:815)
  at android os Handler dispatchMessage(Handler java:104)
  at android os Looper loop(Looper java:194)
  at android app ActivityThread main(ActivityThread java:5549)
  at java lang reflect Method invoke(Native Method)
  at java lang reflect Method invoke(Method java:372)
  at com android internal os ZygoteInit MethodAndArgsCaller run(ZygoteInit java:964)
  at com android internal os ZygoteInit main(ZygoteInit java:759)
</t>
  </si>
  <si>
    <t>eurofurence-ef-app_android-21</t>
  </si>
  <si>
    <t>App crashes on force close and reopen</t>
  </si>
  <si>
    <t xml:space="preserve">App crashes and will need local file clearing to fix
  Open app
  Close app
  Go to app switcher
  Remove con Navigator app
  restart app
  App crashes
pls fix  issue is in the database
</t>
  </si>
  <si>
    <t>Phantast-smartnavi-10</t>
  </si>
  <si>
    <t>app crashes on moto defy</t>
  </si>
  <si>
    <t xml:space="preserve">Hello Phantast 
I use the version of f droid  Version 2 1 2f as well as Version 2 2 1f crashes after showing the welcome screen  Version 2 0 4 worked for me 
I use a motorola defy with cyanogenmod 11
</t>
  </si>
  <si>
    <t>crazyhitty-Munch-24</t>
  </si>
  <si>
    <t>Crash after "Sync" option was selected</t>
  </si>
  <si>
    <t xml:space="preserve">App crashes after  Sync  option was selected in the menu of feeds list screen
</t>
  </si>
  <si>
    <t>crazyhitty-Munch-23</t>
  </si>
  <si>
    <t>Crash after 3-dotted button clicked</t>
  </si>
  <si>
    <t xml:space="preserve">App crashes after 3 dotted button is clicked in news preview screen
</t>
  </si>
  <si>
    <t>crazyhitty-Munch-22</t>
  </si>
  <si>
    <t>Crash after orientation change</t>
  </si>
  <si>
    <t xml:space="preserve">App crashes after device orientation changed from vertical to horizontal in every screen  Also it crashes if the app was launched in the album mode  at the moment of going to news preview screen
</t>
  </si>
  <si>
    <t>deib-polimi-PigeonMessanger-2</t>
  </si>
  <si>
    <t>Getting NullPointerException while connecting to another Wi-Fi Direct device</t>
  </si>
  <si>
    <t xml:space="preserve">I tried to connect to another device logcat follows the following exception (attached) 
Please help me resolve the issue 
  exception (https:  cloud githubusercontent com assets 4984274 14768842 6f3f8ef8 0a69 11e6 86ec 273007173a10 JPG)
The devices were discovering each other and the  GO  icon came  As soon as I selected the device the application crashed with the aforementioned exception 
Devices used: 
Yu Yuphoria (CM 12 1) Android  5 1 1 API 22
Lenovo A7000 API 21
</t>
  </si>
  <si>
    <t>elman22-pocket-amc-reader-17</t>
  </si>
  <si>
    <t>Resume crash #3</t>
  </si>
  <si>
    <t xml:space="preserve">  04 24 17:14:27 423 E AndroidRuntime(16965): Process: com holdingscythe pocketamcreader  PID: 16965
  04 24 17:14:27 423 E AndroidRuntime(16965): java lang RuntimeException: Unable to start activity ComponentInfo com holdingscythe pocketamcreader com holdingscythe pocketamcreader MovieListActivity : java lang NullPointerException: Attempt to invoke interface method  boolean android content SharedPreferences getBoolean(java lang String  boolean)  on a null object reference
  04 24 17:14:27 423 E AndroidRuntime(16965):     at com holdingscythe pocketamcreader catalog MoviesAdapter loadConfiguration(MoviesAdapter java:230)
  04 24 17:14:27 423 E AndroidRuntime(16965):     at com holdingscythe pocketamcreader catalog MoviesAdapter  init (MoviesAdapter java:56)
  04 24 17:14:27 423 E AndroidRuntime(16965):     at com holdingscythe pocketamcreader MovieListFragment onActivityCreated(MovieListFragment java:194)
  04 24 17:14:27 483 E ActivityManager(1103): App crashed  Process: com holdingscythe pocketamcreader
  04 24 17:14:27 483 W ActivityManager(1103):   Force finishing activity com holdingscythe pocketamcreader  MovieListActivity
</t>
  </si>
  <si>
    <t>crazyhitty-Munch-25</t>
  </si>
  <si>
    <t>App crashing on pre lollipop devices</t>
  </si>
  <si>
    <t xml:space="preserve">Application is crashing due to vector drawables used which are not completely supported on pre lollipop devices 
This especially happened after updating the support library version 
If any of you are facing random crashes and using a pre lollipop device than this can be one of the reasons for crash 
I am looking for a fix atm so you guys will have to wait a little bit 
</t>
  </si>
  <si>
    <t>ma1co-OpenMemories-Tweak-5</t>
  </si>
  <si>
    <t>Doesn't work on NEX-6</t>
  </si>
  <si>
    <t xml:space="preserve">Users report an app crash
</t>
  </si>
  <si>
    <t>ladybirdweb-faveo-helpdesk-android-app-46</t>
  </si>
  <si>
    <t>Internet not working Exception handling</t>
  </si>
  <si>
    <t xml:space="preserve">When the internet is not working on the mobile either the app gets stuck on welcome screen or if its inside it crashes sometimes
There has to be an exception handling and proper messages to be displayed to users without app crashing 
</t>
  </si>
  <si>
    <t>google-ExoPlayer-1474</t>
  </si>
  <si>
    <t>HlsChunkSource cannot detect subtitle tracks without file extensions</t>
  </si>
  <si>
    <t xml:space="preserve">The default HlsChunkSource uses the chunk file extension to detect which extractor to use inside getChunkOperation 
This causes problems when the subtitle playlist is a dynamic URL and does not have an extension (e g    webvtt)    the subtitle track slips to the last condition(ts chunk) and crashes due to incorrect extraction 
I have implemented a hack to get around this issue:  if(format codecs    null     lastPathSegment endsWith(TS FILE EXTENSION)    format language  null)     but obviously this is not great  Do you have any thoughts on this  Is there another way I can detect the variant type  (audio video subtitle)
Many thanks 
</t>
  </si>
  <si>
    <t>ltGuillaume-DroidShows-16</t>
  </si>
  <si>
    <t>App crash due to network exceptions</t>
  </si>
  <si>
    <t xml:space="preserve">DroidShows 7 0 4  this bug affects all Android versions
In the DroidShows java:772:
  Serie sToUpdate    theTVDB   getSerie(serieId  langCode)   
If the network connection breaks at this time point  the XMLParser in getSerie would return a null Serie object  and cause a subsequent null pointer exception crash 
</t>
  </si>
  <si>
    <t>evernote-android-job-29</t>
  </si>
  <si>
    <t xml:space="preserve">WakeLock under-locked in android job </t>
  </si>
  <si>
    <t xml:space="preserve">The Play store is reporting the following crash
java lang RuntimeException: WakeLock under locked com evernote android job JobManager
    at android os PowerManager WakeLock release(PowerManager java:1418)
    at android os PowerManager WakeLock release(PowerManager java:1389)
    at android os PowerManager WakeLock 1 run(PowerManager java:1285)
    at android os Handler handleCallback(Handler java:739)
    at android os Handler dispatchMessage(Handler java:95)
    at android os Looper loop(Looper java:145)
    at android app ActivityThread main(ActivityThread java:5832)
    at java lang reflect Method invoke(Native Method)
    at java lang reflect Method invoke(Method java:372)
    at com android internal os ZygoteInit MethodAndArgsCaller run(ZygoteInit java:1399)
    at com android internal os ZygoteInit main(ZygoteInit java:1194)
</t>
  </si>
  <si>
    <t>UnevenSoftware-LeafPic-143</t>
  </si>
  <si>
    <t>Crash immediately after starting</t>
  </si>
  <si>
    <t xml:space="preserve">LeafPic crashes   exit just after showing the splash image  LEAFPIC  while starting via the app icon  
Tested on Acer A3 A30 (Intel Atom CUP  Android 5 0 2  not rooted)
</t>
  </si>
  <si>
    <t>TekkLabs-memoria-politica-4</t>
  </si>
  <si>
    <t>Crash ao trocar o tamanho da fonte</t>
  </si>
  <si>
    <t xml:space="preserve">Usu rio relatou crash ap s diminuir o tamanho da fonte do dispositivo e voltar para a aplicac o 
Vers o: 1 0 0
OS: Android 5 0
Dispositivos: Galaxy Notes 3
Mensagem do crash: troquei a fonte de m dia para pequena
Stacktrace:
java lang RuntimeException: Unable to start activity ComponentInfo com tekklabs memoriapolitica com tekklabs memoriapolitica gui MainActivity : java lang NullPointerException: Attempt to invoke virtual method  com tekklabs memoriapolitica b a com tekklabs memoriapolitica gui j a()  on a null object reference
    at android app ActivityThread performLaunchActivity(ActivityThread java:2689)
    at android app ActivityThread handleLaunchActivity(ActivityThread java:2754)
    at android app ActivityThread handleRelaunchActivity(ActivityThread java:4458)
    at android app ActivityThread access 1000(ActivityThread java:177)
    at android app ActivityThread H handleMessage(ActivityThread java:1454)
    at android os Handler dispatchMessage(Handler java:102)
    at android os Looper loop(Looper java:145)
    at android app ActivityThread main(ActivityThread java:5938)
    at java lang reflect Method invoke(Native Method)
    at java lang reflect Method invoke(Method java:372)
    at com android internal os ZygoteInit MethodAndArgsCaller run(ZygoteInit java:1400)
    at com android internal os ZygoteInit main(ZygoteInit java:1195)
Caused by: java lang NullPointerException: Attempt to invoke virtual method  com tekklabs memoriapolitica b a com tekklabs memoriapolitica gui j a()  on a null object reference
    at com tekklabs memoriapolitica gui f  init (Unknown Source)
    at com tekklabs memoriapolitica gui a c a(Unknown Source)
    at android support v4 a n i(Unknown Source)
    at android support v4 a x a(Unknown Source)
    at android support v4 a x a(Unknown Source)
    at android support v4 a x a(Unknown Source)
    at android support v4 a x j(Unknown Source)
    at android support v4 a q onCreate(Unknown Source)
    at android support v7 a ac onCreate(Unknown Source)
    at com tekklabs memoriapolitica gui MainActivity onCreate(Unknown Source)
    at android app Activity performCreate(Activity java:6288)
    at android app Instrumentation callActivityOnCreate(Instrumentation java:1119)
    at android app ActivityThread performLaunchActivity(ActivityThread java:2642)
        11 more
</t>
  </si>
  <si>
    <t>syncthing-syncthing-android-634</t>
  </si>
  <si>
    <t xml:space="preserve"> Sync on Wifi not working correctly #625  not fixed really</t>
  </si>
  <si>
    <t xml:space="preserve"> 625  fix still does not work for me in 0 7 16 
It works the first time but if I start it again (because it crashed) when the wifi off the next time it still brings that  do you want to change your preferences  window  which makes no sense whatsoever 
This is an Android 4 2 device 
</t>
  </si>
  <si>
    <t>OneBusAway-onebusaway-android-473</t>
  </si>
  <si>
    <t>Crash when restoring old backup in new version of app database</t>
  </si>
  <si>
    <t xml:space="preserve">  Summary:   
The app crashes when trying to restore a backup created with an older version of the app database:
Process: com joulespersecond seattlebusbot  PID: 24120
                                                   java lang RuntimeException: Unable to create application org onebusaway android app Application: android database sqlite SQLiteException: Can t downgrade database from version 23 to 22
                                                       at android app ActivityThread handleBindApplication(ActivityThread java:4798)
                                                       at android app ActivityThread access 1600(ActivityThread java:157)
                                                       at android app ActivityThread H handleMessage(ActivityThread java:1417)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Caused by: android database sqlite SQLiteException: Can t downgrade database from version 23 to 22
                                                       at android database sqlite SQLiteOpenHelper onDowngrade(SQLiteOpenHelper java:360)
                                                       at android database sqlite SQLiteOpenHelper getDatabaseLocked(SQLiteOpenHelper java:254)
                                                       at android database sqlite SQLiteOpenHelper getWritableDatabase(SQLiteOpenHelper java:163)
                                                       at org onebusaway android provider ObaProvider getDatabase(ObaProvider java:942)
                                                       at org onebusaway android provider ObaProvider query(ObaProvider java:517)
                                                       at android content ContentProvider query(ContentProvider java:1017)
                                                       at android content ContentProvider Transport query(ContentProvider java:238)
                                                       at android content ContentResolver query(ContentResolver java:498)
                                                       at android content ContentResolver query(ContentResolver java:441)
                                                       at org onebusaway android provider ObaContract Regions get(ObaContract java:1054)
                                                       at org onebusaway android provider ObaContract Regions get(ObaContract java:1035)
                                                       at org onebusaway android app Application initObaRegion(Application java:420)
                                                       at org onebusaway android app Application onCreate(Application java:96)
                                                       at android app Instrumentation callApplicationOnCreate(Instrumentation java:1013)
                                                       at android app ActivityThread handleBindApplication(ActivityThread java:4795)
                                                       at android app ActivityThread access 1600(ActivityThread java:157) 
                                                       at android app ActivityThread H handleMessage(ActivityThread java:1417)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Steps to reproduce:   
1   Install an old version of the app with an old version of the database
2   Star a stop
3   Go to  Settings  Save to storage 
4   Update to the app to a new version that includes a new version of the database
5   Go to  Settings  Restore from storage 
  Expected behavior:   
Successfully restore the old data and operate as normal 
  Observed behavior:   
App crashes on startup and is no longer usable 
  Device and Android version:   
Stock LG G4 w  Android 6 0
</t>
  </si>
  <si>
    <t>Odoo-mobile-framework-147</t>
  </si>
  <si>
    <t>Getting force close instead of getting Server Configuration Error Message.</t>
  </si>
  <si>
    <t xml:space="preserve">I ve mistakenly loaded different addon module on server  Than I tried to login with app (using self hosted URL)  After entering URL  database spinner get loaded (as usually)  After selecting database (which is not loaded on server) when I tried to login  App got force stop with  NullPointerException  
here s the log
D OpenGLRenderer: endAllStagingAnimators on 0x7fa42abfec00 (ListPopupWindow DropDownListView) with handle 0x7fa42c252400
                04 28 17:35:58 303  7885: 7885 V           
              LoginUser()
                04 28 17:35:58 304  7885: 7885 V           
              LoginProcess
                04 28 17:35:58 304  7885: 7885 V           
              Processing Self Hosted Server Login
I qtaguid: Failed write ctrl(u 29) res  1 errno 22
I qtaguid: Untagging socket 29 failed errno  22
W NetworkManagementSocketTagger: untagSocket(29) failed with errno  22
D AndroidRuntime: Shutting down VM
                        beginning of crash
E AndroidRuntime: FATAL EXCEPTION: main
              Process: com serpentcs saltracker  PID: 7885
              java lang NullPointerException: Attempt to invoke virtual method  int java lang Integer intValue()  on a null object reference
                  at odoo wrapper OdooWrapper onResponse(OdooWrapper java:1155)
                  at odoo wrapper OdooWrapper onResponse(OdooWrapper java:65)
                  at com android volley toolbox JsonRequest deliverResponse(JsonRequest java:65)
                  at com android volley ExecutorDelivery ResponseDeliveryRunnable run(ExecutorDelivery java:99)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Here s the method of  OdooWrapper java  from  aar  file
public void onResponse(JSONObject response)  
    OdooLog d(new Object    RESPONSE:    response ) 
    OdooResponse responseMap   this parseToResponse(response) 
       responseMap is null  which is not checked that s why I m getting force close
       instead of getting message like  Server Configuration Error 
    int id   responseMap id intValue()     NullPointerException Thrown
    IOdooResponse odooResponse   this responseQueue get(id) 
    if(odooResponse    null)  
        if(responseMap error    null)  
            OdooError error   OdooError parse(responseMap error) 
            error setResponseCode(ErrorCode OdooServerError get()) 
            odooResponse onError(error) 
          else  
            odooResponse onResponse(responseMap result) 
        this responseQueue remove(id) 
in above code  responseMap  is null  which is not checked that s why I m getting force close instead of getting message like  Server Configuration Error  
Hope you guys fix these ASAP  Thanks
</t>
  </si>
  <si>
    <t>ganfra-MaterialSpinner-68</t>
  </si>
  <si>
    <t>Crash on empty array data set</t>
  </si>
  <si>
    <t xml:space="preserve">Hello  on empty array set got that crash:
 java lang NullPointerException: Attempt to invoke virtual method  java lang String java lang Object toString()  on a null object reference
                                                                  at android widget ArrayAdapter createViewFromResource(ArrayAdapter java:394)
                                                                  at android widget ArrayAdapter getDropDownView(ArrayAdapter java:415)
                                                                  at fr ganfra materialspinner MaterialSpinner HintAdapter buildView(MaterialSpinner java:786)
                                                                  at fr ganfra materialspinner MaterialSpinner HintAdapter getDropDownView(MaterialSpinner java:774)
                                                                  at android widget Spinner DropDownAdapter getDropDownView(Spinner java:878)
                                                                  at android widget Spinner DropDownAdapter getView(Spinner java:874)
                                                                  at android widget Spinner measureContentWidth(Spinner java:759)
                                                                  at android widget Spinner DropdownPopup computeContentWidth(Spinner java:1109)
                                                                  at android widget Spinner DropdownPopup show(Spinner java:1135)
                                                                  at android widget Spinner performClick(Spinner java:683)
                                                                  at android view View PerformClick run(View java:19866)
                                                                  at android os Handler handleCallback(Handler java:739)
                                                                  at android os Handler dispatchMessage(Handler java:95)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</si>
  <si>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syncthing-syncthing-android-637</t>
  </si>
  <si>
    <t>Can't changes settings to enable Syncthing now.</t>
  </si>
  <si>
    <t xml:space="preserve">Usually Syncthing is set up to run only if it is Wi fi  and  the device is charging 
The device is now connected to Wi Fi  but not charging 
I got this sequence:
1  I start Syncthing from home
2  It shows message about Syncthin being disabled with a button to open Syncthing s settings
3  I press the button  Settings open
4  I uncheck the  Only when charging  checkbox
5  I press back
6  I get to home screen (expected: to Syncthing s interface)
7  I start Syncthing again from home screen
8  Syncthing shows the same message as in  2  
9  I press button to go to settings
10  Checkbox about only charging is already disabled 
After 3 4 of such attempts  Syncthing crashed (or maybe it s because of orientation change when displaying that message ) and after restarting it got to the UI and started backing up 
In the  2   message I also want to know why does Syncthing not run: because of Wi Fi required  because of charging required or because of both 
</t>
  </si>
  <si>
    <t>Sloy-SeviBus-14</t>
  </si>
  <si>
    <t>Implemented all missing onError</t>
  </si>
  <si>
    <t xml:space="preserve">Better log the exception and show an error message than crashing the app 
This should fix http:  crashes to s d159732c1f7
</t>
  </si>
  <si>
    <t>kontalk-androidclient-703</t>
  </si>
  <si>
    <t>Out of memory issues</t>
  </si>
  <si>
    <t xml:space="preserve">Happening regularly in emulated Gingerbread (2 3 7) for Bitmap allocations _x000D_
Recently reported on Crashlytics on a Odyssey Plus ( ) running Android 4 3:_x000D_
_x000D_
   _x000D_
java lang OutOfMemoryError_x000D_
       at org kxml2 io KXmlParser  init (KXmlParser java:142)_x000D_
       at java lang Class newInstanceImpl(Class java)_x000D_
       at java lang Class newInstance(Class java:1130)_x000D_
       at org xmlpull v1 XmlPullParserFactory newInstance(XmlPullParserFactory java:310)_x000D_
       at org xmlpull v1 XmlPullParserFactory newInstance(XmlPullParserFactory java:247)_x000D_
       at org jivesoftware smack util PacketParserUtils newXmppParser(PacketParserUtils java:174)_x000D_
       at org jivesoftware smack util PacketParserUtils newXmppParser(PacketParserUtils java:203)_x000D_
       at org kontalk client XMPPTCPConnection openStream(XMPPTCPConnection java:945)_x000D_
       at org kontalk client XMPPTCPConnection PacketWriter writePackets(XMPPTCPConnection java:1317)_x000D_
       at org kontalk client XMPPTCPConnection PacketWriter access 3200(XMPPTCPConnection java:1198)_x000D_
       at org kontalk client XMPPTCPConnection PacketWriter 1 run(XMPPTCPConnection java:1236)_x000D_
       at java lang Thread run(Thread java:841)_x000D_
   _x000D_
_x000D_
Some memory analysis would be nice _x000D_
_x000D_
   _x000D_
_x000D_
I noticed how almost all crashes happen on ldpi devices  Support library has no ldpi resources  so the system is forced to scale down mdpi files  Could this be a major cause for this OOM errors </t>
  </si>
  <si>
    <t>ankidroid-Anki-Android-4254</t>
  </si>
  <si>
    <t xml:space="preserve">Sound recording does not stop </t>
  </si>
  <si>
    <t xml:space="preserve">When recording a sound  if you validate the card by pressing the tick upper right without stopping the recording first  the record does not stop  it is not kept  and it crash the recording  Ideal   when record  any key should stop the record and save the recording on the card 
</t>
  </si>
  <si>
    <t>google-blockly-android-220</t>
  </si>
  <si>
    <t>Illegal connection allowed at shadow block, crash on detach</t>
  </si>
  <si>
    <t xml:space="preserve">If a shadow block has an input of its own  it is not connectable at first  However  if you connect to the parent at the shadow block location  and then disconnect it  the ConnectionManager thinks the connections is valid and you can connect to it   If you do connect to it  and then disconnect from it  the following crash occurs:
java lang IllegalArgumentException: Drag group must be root block in workspace
   at com google blockly android ui PendingDrag setDragGroup(PendingDrag java:129)
   at com google blockly android control BlocklyController 1 maybeAssignDragGroup(BlocklyController java:103)
   at com google blockly android ui Dragger maybeStartDrag(Dragger java:338)
   at com google blockly android ui Dragger onTouchBlockImpl(Dragger java:294)
   at com google blockly android ui Dragger 2 onTouchBlock(Dragger java:176)
   at com google blockly android ui AbstractBlockView onTouchEvent(AbstractBlockView java:162)
   at android view View dispatchTouchEvent(View java:9294)
</t>
  </si>
  <si>
    <t>adrielcafe-NMSAlphabetAndroidApp-4</t>
  </si>
  <si>
    <t>Can't sign in with facebook / choose "not now"</t>
  </si>
  <si>
    <t xml:space="preserve">I get nearly the same error (just different lines of course)
Facebook sign in:
05 02 20:16:20 418 32146 32187 cafe adriel nmsalphabet free E CustomActivityOnCrash: App has crashed  executing CustomActivityOnCrash s UncaughtExceptionHandler
                                                                                     java lang RuntimeException: Can t create handler inside thread that has not called Looper prepare()
                                                                                         at android os Handler  init (Handler java:200)
                                                                                         at android os Handler  init (Handler java:114)
                                                                                         at android widget Toast TN  init (Toast java:345)
                                                                                         at android widget Toast  init (Toast java:101)
                                                                                         at android widget Toast makeText(Toast java:259)
                                                                                         at android widget Toast makeText(Toast java:286)
                                                                                         at cafe adriel nmsalphabet util Util isConnected(Util java:166)
                                                                                         at cafe adriel nmsalphabet ui SplashActivity facebookSignIn(SplashActivity java:108)
                                                                                         at cafe adriel nmsalphabet ui SplashActivity access 100(SplashActivity java:34)
                                                                                         at cafe adriel nmsalphabet ui SplashActivity 1 1 run(SplashActivity java:79)
                                                                                         at android os AsyncTask SerialExecutor 1 run(AsyncTask java:234)
                                                                                         at java util concurrent ThreadPoolExecutor runWorker(ThreadPoolExecutor java:1113)
                                                                                         at java util concurrent ThreadPoolExecutor Worker run(ThreadPoolExecutor java:588)
                                                                                         at java lang Thread run(Thread java:818)
Anonymous sign in:
05 02 20:15:57 782 29895 29952 cafe adriel nmsalphabet free E CustomActivityOnCrash: App has crashed  executing CustomActivityOnCrash s UncaughtExceptionHandler
                                                                                     java lang RuntimeException: Can t create handler inside thread that has not called Looper prepare()
                                                                                         at android os Handler  init (Handler java:200)
                                                                                         at android os Handler  init (Handler java:114)
                                                                                         at android widget Toast TN  init (Toast java:345)
                                                                                         at android widget Toast  init (Toast java:101)
                                                                                         at android widget Toast makeText(Toast java:259)
                                                                                         at android widget Toast makeText(Toast java:286)
                                                                                         at cafe adriel nmsalphabet util Util isConnected(Util java:166)
                                                                                         at cafe adriel nmsalphabet ui SplashActivity anonymousSignIn(SplashActivity java:140)
                                                                                         at cafe adriel nmsalphabet ui SplashActivity access 200(SplashActivity java:34)
                                                                                         at cafe adriel nmsalphabet ui SplashActivity 2 1 run(SplashActivity java:91)
                                                                                         at android os AsyncTask SerialExecutor 1 run(AsyncTask java:234)
                                                                                         at java util concurrent ThreadPoolExecutor runWorker(ThreadPoolExecutor java:1113)
                                                                                         at java util concurrent ThreadPoolExecutor Worker run(ThreadPoolExecutor java:588)
                                                                                         at java lang Thread run(Thread java:818)
</t>
  </si>
  <si>
    <t>SecUSo-privacy-friendly-boardgame-clock-12</t>
  </si>
  <si>
    <t>App crashes when game is saved without a player selected</t>
  </si>
  <si>
    <t xml:space="preserve">Main Menu 
   New Game (put a name and confirm)
   select main menu via naviagation drawer and click  yes  when it prompts to save the game  
   Then the game crashes with NullPointerException
</t>
  </si>
  <si>
    <t>ladybirdweb-faveo-helpdesk-android-app-48</t>
  </si>
  <si>
    <t>App crashing - Exception Handling</t>
  </si>
  <si>
    <t xml:space="preserve">  Even if the API is bad or bad data is supplied the app should not crash and handle exceptions well
  Display proper  user understandable messages to user for any exceptions
</t>
  </si>
  <si>
    <t>CellularPrivacy-Android-IMSI-Catcher-Detector-870</t>
  </si>
  <si>
    <t>Crash after OCID DB is downloaded v0.1.43-alpha</t>
  </si>
  <si>
    <t xml:space="preserve">  Thank you for your feedback  Please add below details so that we can help you a bit faster 
     Agreements
  Please check these boxes to ensure you ve actually read and understood these important rules 
   x    I have reviewed and accepted the  guidelines for contributing (https:  github com CellularPrivacy Android IMSI Catcher Detector blob development  github CONTRIBUTING md) to this project   
   x    I have searched the  open Issues (https:  github com CellularPrivacy Android IMSI Catcher Detector issues) and made sure I am not filing a duplicate   
   x    I have read the notes on  debugging (https:  github com CellularPrivacy Android IMSI Catcher Detector blob development  github CONTRIBUTING md debugging) and will properly maintain this Issue   
     Overview
  Please add a short and easy to understand description of the Issue you ve experienced here 
  Sony experia V lt25i CM lollipop 
  AIMSICD WIP TEST RELEASE v0 1 43 alpha
Redakted:
AIMSICD crash whatever you do in db view if you minimize   reopen it 
Made 20 crashes in 20 minutes   All imported ocid cells having PSC 666 can be the clue   
See also issue 831
     Reproduction
Same as above
     References
     Screenshots
  If you experienced visual glitches  please add a screenshot without metadata here 
    screenshot from 2016 05 02 02 07 56 (https:  cloud githubusercontent com assets 17292772 14945351 08869cf6 0fff 11e6 9167 d40a7926ac93 png)
</t>
  </si>
  <si>
    <t>wallabag-android-app-237</t>
  </si>
  <si>
    <t>TtsFragment.onPause causes RuntimeException: Unable to pause activity {ReadArticleActivity}: IllegalArgumentException: setShowActionsInCompactView: action 0 out of bounds (max -1)</t>
  </si>
  <si>
    <t xml:space="preserve">Steps to repoduce:
1  fresh new install of tyndare 0fd00db branch https:  github com tyndare android app tree tts fix issue 234
2  start app  enter wallabag data   save settings
3  synchronize
4  open first article in list
5  click on article settings and check the box for TTS
6  now hit the Back button of your smartphone
7  crash  see following stack trace
OR
you can reproduce this issue with the following steps  too:
1  open article
2  open settings and check the box for TTS
3  open settings again and uncheck the box for TTS
4  same exception for crash  see following log
05 03 22:13:22 268 15720 15720 fr gaulupeau apps InThePoche D ReadArticleActivity: onPageFinished() calling loadingFinished()
05 03 22:13:22 268 15720 15720 fr gaulupeau apps InThePoche D ReadArticle restorePos: positionToRestore: null
05 03 22:13:26 126 15720 15720 fr gaulupeau apps InThePoche D WebviewText: parseWebviewDocument
05 03 22:13:26 169 15720 15720 fr gaulupeau apps InThePoche D TtsFragment: loadTtsEnginesList
05 03 22:13:26 172 15720 15720 fr gaulupeau apps InThePoche D TtsFragment: onCreateView
05 03 22:13:26 343 15720 15720 fr gaulupeau apps InThePoche D WebviewText: onDocumentParseEnd
05 03 22:13:26 387 15720 15720 fr gaulupeau apps InThePoche D TtsService: onCreate
05 03 22:13:26 423 15720 15720 fr gaulupeau apps InThePoche E MediaPlayer: Should have subtitle controller already set
05 03 22:13:26 456 15720 15720 fr gaulupeau apps InThePoche D TtsService: TextToSpeech OnInitListener onInit  1
05 03 22:13:26 470 15720 15720 fr gaulupeau apps InThePoche D TtsService: onStartCommand
05 03 22:13:26 471 15720 15720 fr gaulupeau apps InThePoche D TtsService: playCmd
05 03 22:13:26 474 15720 15720 fr gaulupeau apps InThePoche E MediaPlayer: Should have subtitle controller already set
05 03 22:13:26 475 15720 15720 fr gaulupeau apps InThePoche D TtsFragment: onServiceConnected
05 03 22:13:51 212 15720 15720 fr gaulupeau apps InThePoche D AndroidRuntime: Shutting down VM
                beginning of crash
05 03 22:13:51 216 15720 15720 fr gaulupeau apps InThePoche E AndroidRuntime: FATAL EXCEPTION: main
      Process: fr gaulupeau apps InThePoche  PID: 15720
      java lang RuntimeException: Unable to pause activity  fr gaulupeau apps InThePoche fr gaulupeau apps Poche ui ReadArticleActivity : java lang IllegalArgumentException: setShowActionsInCompactView: action 0 out of bounds (max  1)
       at android app ActivityThread performPauseActivity(ActivityThread java:3260)
       at android app ActivityThread performPauseActivity(ActivityThread java:3219)
       at android app ActivityThread handlePauseActivity(ActivityThread java:3194)
       at android app ActivityThread access 1000(ActivityThread java:151)
       at android app ActivityThread H handleMessage(ActivityThread java:1321)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Caused by: java lang IllegalArgumentException: setShowActionsInCompactView: action 0 out of bounds (max  1)
       at android app Notification MediaStyle makeMediaContentView(Notification java:4268)
       at android app Notification MediaStyle populateContentView(Notification java:4202)
       at android app Notification Style buildStyled(Notification java:3669)
       at android app Notification MediaStyle buildStyled(Notification java:4190)
       at android app Notification Builder build(Notification java:3477)
       at android support v4 app NotificationCompatApi21 Builder build(NotificationCompatApi21 java:120)
       at android support v7 app NotificationCompat LollipopExtender build(NotificationCompat java:123)
       at android support v4 app NotificationCompat NotificationCompatImplApi21 build(NotificationCompat java:768)
       at android support v4 app NotificationCompat Builder build(NotificationCompat java:1559)
       at fr gaulupeau apps Poche tts TtsService generateNotification(TtsService java:776)
       at fr gaulupeau apps Poche tts TtsService setForegroundAndNotification(TtsService java:741)
       at fr gaulupeau apps Poche tts TtsService setVisible(TtsService java:645)
       at fr gaulupeau apps Poche tts TtsFragment onPause(TtsFragment java:478)
       at android support v4 app Fragment performPause(Fragment java:2139)
       at android support v4 app FragmentManagerImpl moveToState(FragmentManager java:1117)
       at android support v4 app FragmentManagerImpl moveToState(FragmentManager java:1252)
       at android support v4 app FragmentManagerImpl moveToState(FragmentManager java:1234)
       at android support v4 app FragmentManagerImpl dispatchPause(FragmentManager java:2060)
       at android support v4 app FragmentController dispatchPause(FragmentController java:207)
       at android support v4 app FragmentActivity onPause(FragmentActivity java:444)
       at fr gaulupeau apps Poche ui ReadArticleActivity onPause(ReadArticleActivity java:577)
       at android app Activity performPause(Activity java:6101)
       at android app Instrumentation callActivityOnPause(Instrumentation java:1310)
       at android app ActivityThread performPauseActivity(ActivityThread java:3246)
       at android app ActivityThread performPauseActivity(ActivityThread java:3219) 
       at android app ActivityThread handlePauseActivity(ActivityThread java:3194) 
       at android app ActivityThread access 1000(ActivityThread java:151) 
       at android app ActivityThread H handleMessage(ActivityThread java:1321)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I was about to test https:  github com wallabag android app issues 234 issuecomment 216627597 provided by  tyndare 
</t>
  </si>
  <si>
    <t>eneim-toro-37</t>
  </si>
  <si>
    <t xml:space="preserve">Cannot Play video from url.. Though it played for the first time </t>
  </si>
  <si>
    <t xml:space="preserve">Hi 
I have tried to implement your library in my app as it resolves one of the pain points of videos in Recycler view 
This implementation ran for the first time  But later on whenever i run the same app the videos won t play 
I get the following in my crash log:
05 03 19:15:12 898 31897 31897 com playtm android lyfe client D ViewRootImpl: ViewPostImeInputStage processPointer 0
05 03 19:15:13 008 31897 31897 com playtm android lyfe client I ToroViewHolder: VideoView Rect: 10   Point(20  2249)   Rect(20  2404   1420  3804)
05 03 19:15:13 008 31897 31897 com playtm android lyfe client E ToroViewHolder: Parent    Rect: 10   Point(0  320)   Rect(0  320   1440  2560)
05 03 19:15:13 048 31897 31897 com playtm android lyfe client D ViewRootImpl: ViewPostImeInputStage processPointer 1
05 03 19:15:13 078 31897 31897 com playtm android lyfe client V MediaPlayer JNI: native setup
05 03 19:15:13 078 31897 31897 com playtm android lyfe client V MediaPlayer: constructor
05 03 19:15:13 078 31897 31897 com playtm android lyfe client V MediaPlayer: setListener
05 03 19:15:13 078 31897 31897 com playtm android lyfe client V MediaPlayer JNI: set session id(): 4202
05 03 19:15:13 078 31897 31897 com playtm android lyfe client V MediaPlayer: MediaPlayer::setAudioSessionId(4202)
05 03 19:15:13 078 31897 31897 com playtm android lyfe client D RingtoneManager: Can t get current user  return default user
05 03 19:15:13 078 31897 31897 com playtm android lyfe client W MediaPlayer: Couldn t open file on client side  trying server side: java io FileNotFoundException: No content provider: http:  res cloudinary com playtm video upload v1452364506 cuhod78iuoiab2kke1yw 3gp
05 03 19:15:13 078 31897 31897 com playtm android lyfe client D MediaPlayer: setDataSource IOException   SecurityException happend : 
                                                                             java io FileNotFoundException: No content provider: http:  res cloudinary com playtm video upload v1452364506 cuhod78iuoiab2kke1yw 3gp
                                                                                 at android content ContentResolver openTypedAssetFileDescriptor(ContentResolver java:1141)
                                                                                 at android content ContentResolver openAssetFileDescriptor(ContentResolver java:991)
                                                                                 at android content ContentResolver openAssetFileDescriptor(ContentResolver java:914)
                                                                                 at android media MediaPlayer setDataSource(MediaPlayer java:1121)
                                                                                 at im ene lab toro widget ToroVideoView openVideo(ToroVideoView java:635)
                                                                                 at im ene lab toro widget ToroVideoView access 2000(ToroVideoView java:68)
                                                                                 at im ene lab toro widget ToroVideoView 8 onSurfaceTextureAvailable(ToroVideoView java:289)
                                                                                 at android view TextureView getHardwareLayer(TextureView java:368)
                                                                                 at android view View updateDisplayListIfDirty(View java:16441)
                                                                                 at android view View draw(View java:17238)
                                                                                 at android view ViewGroup drawChild(ViewGroup java:3921)
                                                                                 at android view ViewGroup dispatchDraw(ViewGroup java:3711)
                                                                                 at android view View updateDisplayListIfDirty(View java:16459)
                                                                                 at android view View draw(View java:17238)
                                                                                 at android view ViewGroup drawChild(ViewGroup java:3921)
                                                                                 at android view ViewGroup dispatchDraw(ViewGroup java:3711)
                                                                                 at android view View updateDisplayListIfDirty(View java:16459)
                                                                                 at android view View draw(View java:17238)
                                                                                 at android view ViewGroup drawChild(ViewGroup java:3921)
                                                                                 at android view ViewGroup dispatchDraw(ViewGroup java:3711)
                                                                                 at android view View draw(View java:17472)
                                                                                 at android view View updateDisplayListIfDirty(View java:16464)
                                                                                 at android view View draw(View java:17238)
                                                                                 at android view ViewGroup drawChild(ViewGroup java:3921)
                                                                                 at android support v7 widget RecyclerView drawChild(RecyclerView java:3838)
                                                                                 at android view ViewGroup dispatchDraw(ViewGroup java:3711)
                                                                                 at android view View draw(View java:17472)
                                                                                 at android support v7 widget RecyclerView draw(RecyclerView java:3308)
                                                                                 at android view View updateDisplayListIfDirty(View java:16464)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ThreadedRenderer updateViewTreeDisplayList(ThreadedRenderer java:325)
                                                                                at android view ThreadedRenderer updateRootDisplayList(Thr
05 03 19:15:13 078 31897 31897 com playtm android lyfe client V MediaPlayer: setVideoSurfaceTexture
05 03 19:15:13 088 31897 31897 com playtm android lyfe client V MediaPlayer JNI: setAudioStreamType: 3
05 03 19:15:13 088 31897 31897 com playtm android lyfe client V MediaPlayer: MediaPlayer::setAudioStreamType
05 03 19:15:13 088 31897 31897 com playtm android lyfe client W MediaPlayer: setScreenOnWhilePlaying(true) is ineffective without a SurfaceHolder
05 03 19:15:13 088 31897 31897 com playtm android lyfe client V MediaPlayer: setVideoSurfaceTexture
05 03 19:15:13 088 31897 31897 com playtm android lyfe client V MediaPlayer: prepareAsync
05 03 19:15:13 088 31897 31909 com playtm android lyfe client D MediaHTTPConnection: setReadTimeOut    30000ms
05 03 19:15:13 088 31897 1426 com playtm android lyfe client D MediaHTTPConnection: setReadTimeout with 30000ms
Tried on Lollipop and Marshmallow phones 
The videos load once and later don t work
I am using 1 2 0 library of TORO 
</t>
  </si>
  <si>
    <t>konradrenner-kolabnotes-android-127</t>
  </si>
  <si>
    <t>Crash on back if Rich Text is disabled</t>
  </si>
  <si>
    <t xml:space="preserve">Kolab Notes crashes for me when quitting from an empty note  I click on the New note icon  type nothing and press back instead and it says Kolab Notes has stopped 
Addition to the above: It crashes when i have Rich Text disabled  No crash if it is enabled 
</t>
  </si>
  <si>
    <t>MythTV-Clients-MythtvPlayerForAndroid-147</t>
  </si>
  <si>
    <t>NPE,  Attempt to invoke interface method</t>
  </si>
  <si>
    <t xml:space="preserve">Just left Watch Recordings and was back at Home Encoders then
pressed Refresh when this fired:
  develop mythtv player 2 0 2 29 gcf343c0
05 03 23:03:05 929 21649 21649 org mythtv android D AutoLoadImageView: loadBitmap run : exit
05 03 23:03:08 884 21649 21649 org mythtv android V MainActivity: getItem : position 1
05 03 23:03:08 884 21649 21649 org mythtv android D EncoderListFragment: initialize : enter
05 03 23:03:08 885 21649 21649 org mythtv android D AndroidRuntime: Shutting down VM
                                                                              beginning of crash
05 03 23:03:08 891 21649 21649 org mythtv android E AndroidRuntime: FATAL EXCEPTION: main
                                                                    Process: org mythtv android  PID: 21649
                                                                    java lang NullPointerException: Attempt to invoke interface method  java lang Object org mythtv android presentation internal di HasComponent getComponent()  on a null object reference
                                                                        at org mythtv android app view fragment AbstractBaseFragment getComponent(AbstractBaseFragment java:54)
                                                                        at org mythtv android app view fragment EncoderListFragment initialize(EncoderListFragment java:121)
                                                                        at org mythtv android app view fragment EncoderListFragment reload(EncoderListFragment java:176)
                                                                        at org mythtv android app view activity MainActivity 1 onClick(MainActivity java:97)
                                                                        at android view View performClick(View java:5204)
                                                                        at android view View PerformClick run(View java:21153)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</si>
  <si>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user-don-MyRuns-13</t>
  </si>
  <si>
    <t>Edge case: Saving GPS entry with no datapoints</t>
  </si>
  <si>
    <t xml:space="preserve">This is crashing  Fix it 
</t>
  </si>
  <si>
    <t>OneBusAway-onebusaway-android-480</t>
  </si>
  <si>
    <t>Route favorite dialog crashes upon orientation change</t>
  </si>
  <si>
    <t xml:space="preserve">  Summary:   
Reported via Android Developer Console:
java lang NullPointerException: Attempt to invoke interface method  void org onebusaway android ui RouteFavoriteDialogFragment Callback onSelectionComplete(boolean)  on a null object reference
    at org onebusaway android ui RouteFavoriteDialogFragment 1 onClick(RouteFavoriteDialogFragment java:207)
    at com android internal app AlertController ButtonHandler handleMessage(AlertController java:162)
    at android os Handler dispatchMessage(Handler java:102)
    at android os Looper loop(Looper java:135)
    at android app ActivityThread main(ActivityThread java:5438)
    at java lang reflect Method invoke(Native Method)
    at java lang reflect Method invoke(Method java:372)
    at com android internal os ZygoteInit MethodAndArgsCaller run(ZygoteInit java:903)
    at com android internal os ZygoteInit main(ZygoteInit java:698)
  Steps to reproduce:   
I was able to reproduce by doing the following:
1  Open any stop
2  Tap on any arrival
3  Select  Add star to route 
4  Rotate the screen
5  Tap on  Save 
  Expected behavior:   
The app should complete the rotation and allow the user to save the favorite route 
  Observed behavior:   
The app crashes with the above stacktrace 
  Device and Android version:   
I reproduced this on a stock LG G4 with Android 6 0
</t>
  </si>
  <si>
    <t>janosgyerik-bluetoothviewer-18</t>
  </si>
  <si>
    <t>Should handle connection errors more gracefully</t>
  </si>
  <si>
    <t xml:space="preserve">When connecting to an invalid channel  the app crashes  This is because the connection fails in the constructor of  ConnectThread   but the caller doesn t check that  and hits an NPE when trying to use the socket  
1  It would be better to avoid work (  initialize socket) in the constructor of  ConnectThread   which is a bad practice
2  The caller should handle problems like this gracefully
</t>
  </si>
  <si>
    <t>mendhak-gpslogger-438</t>
  </si>
  <si>
    <t>CustomURLJob HTTPS Crash - Failed to read sufficient bytes from /dev/urandom</t>
  </si>
  <si>
    <t xml:space="preserve">I just experienced a crash using HTTPS OpenGTS 
 debuglog 2016 05 03 trimmed txt (https:  github com mendhak gpslogger files 249898 debuglog 2016 05 03 trimmed txt)
 10 points were logged before crashing  I have not yet tested your build with the background request limit 
It looks like this might be an issue with OkHttp  It doesn t look like there are any  reported issues on their GitHub (https:  github com square okhttp issues utf8  E2 9C 93 q urandom)  but there is  at least one result on Google (https:  www google com search q  22Failed to read sufficient bytes from  2Fdev 2Furandom 22) (Direct link to related result: https:  github com intercom intercom android issues 127)
Are there any other HTTP clients available that might work better  or would it be easy to try catch CustomURLJobs 
Slightly unrelated:
Is the app supposed to be constantly sending requests  In the total period of  638 seconds from starting until the end of the log   DEBUG CustomUrlJob onRun:42   Sending to URL: https:   SNIP :443 gprmc Data  SNIP   occurs 505 times (sometimes twice in one second) and there are 496 responses 
I was using the same settings found in  debuglog 2016 04 22 trimmed txt (https:  github com mendhak gpslogger files 233939 debuglog 2016 04 22 trimmed txt)
</t>
  </si>
  <si>
    <t>microg-GmsCore-127</t>
  </si>
  <si>
    <t>Google Maps crashes</t>
  </si>
  <si>
    <t xml:space="preserve">  CM 13
  Signature patching via Xposed
  Maps 9 25 1
Google Maps crashes immediately after start:
05 06 13:46:27 176  5039  5122 W System  : ClassLoader referenced unknown path:  system framework tcmclient jar
05 06 13:46:27 185  5039  5039 D AndroidRuntime: Shutting down VM
05 06 13:46:27 186  5039  5039 W System err: java lang IllegalArgumentException: No such column: sync me to contacts
05 06 13:46:27 189  5039  5039 W System err:    at com google android gms common data DataHolder a(Unknown Source)
05 06 13:46:27 189  5039  5039 W System err:    at com google android gms common data j c(Unknown Source)
05 06 13:46:27 189  5039  5039 W System err:    at com google android gms people internal i s(Unknown Source)
05 06 13:46:27 189  5039  5039 W System err:    at com google android apps gmm x g  init (PG:123)
05 06 13:46:27 189  5039  5039 W System err:    at com google android apps gmm layers ai a(PG:5021)
05 06 13:46:27 189  5039  5039 W System err:    at com google android gms common api a k handleMessage(Unknown Source)
05 06 13:46:27 189  5039  5039 W System err:    at android os Handler dispatchMessage(Handler java:102)
05 06 13:46:27 189  5039  5039 W System err:    at android os Looper loop(Looper java:148)
05 06 13:46:27 189  5039  5039 W System err:    at android app ActivityThread main(ActivityThread java:5461)
05 06 13:46:27 189  5039  5039 W System err:    at java lang reflect Method invoke(Native Method)
05 06 13:46:27 189  5039  5039 W System err:    at com android internal os ZygoteInit MethodAndArgsCaller run(ZygoteInit java:726)
05 06 13:46:27 189  5039  5039 W System err:    at com android internal os ZygoteInit main(ZygoteInit java:616)
05 06 13:46:27 189  5039  5039 W System err:    at de robv android xposed XposedBridge main(XposedBridge java:134)
05 06 13:46:27 190  7356 30803 D SafeParcel: Unknown field num 1 in com google android gms clearcut LogEventParcelable  skipping 
05 06 13:46:27 190  7356 30803 D SafeParcel: Unknown field num 2 in com google android gms clearcut LogEventParcelable  skipping 
05 06 13:46:27 190  7356 30803 D SafeParcel: Unknown field num 3 in com google android gms clearcut LogEventParcelable  skipping 
05 06 13:46:27 190  7356 30803 D GmsClearcutLogSvcImpl: log: com google android gms clearcut LogEventParcelable f658e14
05 06 13:46:27 190  5039  5039 E AndroidRuntime: FATAL EXCEPTION: main
05 06 13:46:27 190  5039  5039 E AndroidRuntime: Process: com google android apps maps  PID: 5039
05 06 13:46:27 190  5039  5039 E AndroidRuntime: Theme: themes:  
05 06 13:46:27 190  5039  5039 E AndroidRuntime: java lang IllegalArgumentException: No such column: sync me to contacts
05 06 13:46:27 190  5039  5039 E AndroidRuntime:    at com google android gms common data DataHolder a(Unknown Source)
05 06 13:46:27 190  5039  5039 E AndroidRuntime:    at com google android gms common data j c(Unknown Source)
05 06 13:46:27 190  5039  5039 E AndroidRuntime:    at com google android gms people internal i s(Unknown Source)
05 06 13:46:27 190  5039  5039 E AndroidRuntime:    at com google android apps gmm x g  init (PG:123)
05 06 13:46:27 190  5039  5039 E AndroidRuntime:    at com google android apps gmm layers ai a(PG:5021)
05 06 13:46:27 190  5039  5039 E AndroidRuntime:    at com google android gms common api a k handleMessage(Unknown Source)
05 06 13:46:27 190  5039  5039 E AndroidRuntime:    at android os Handler dispatchMessage(Handler java:102)
05 06 13:46:27 190  5039  5039 E AndroidRuntime:    at android os Looper loop(Looper java:148)
05 06 13:46:27 190  5039  5039 E AndroidRuntime:    at android app ActivityThread main(ActivityThread java:5461)
05 06 13:46:27 190  5039  5039 E AndroidRuntime:    at java lang reflect Method invoke(Native Method)
05 06 13:46:27 190  5039  5039 E AndroidRuntime:    at com android internal os ZygoteInit MethodAndArgsCaller run(ZygoteInit java:726)
05 06 13:46:27 190  5039  5039 E AndroidRuntime:    at com android internal os ZygoteInit main(ZygoteInit java:616)
05 06 13:46:27 190  5039  5039 E AndroidRuntime:    at de robv android xposed XposedBridge main(XposedBridge java:134)
05 06 13:46:27 192  5904 14372 W ActivityManager:   Force finishing activity com google android apps maps com google android maps MapsActivity
</t>
  </si>
  <si>
    <t>open-keychain-open-keychain-1853</t>
  </si>
  <si>
    <t>Crash with "Rank 0 user packet must be a user id!"</t>
  </si>
  <si>
    <t xml:space="preserve">Hi 
I am stuck with a  broken  Open Keychain update on my phone  When opening the application it will try to reimport the keys and crashes at around 65   I have several secret keys and  300 public keys  
Stacktrace from  logcat :
E AndroidRuntime(20571): FATAL EXCEPTION: Thread 48963
E AndroidRuntime(20571): Process: org sufficientlysecure keychain  PID: 20571
E AndroidRuntime(20571): java lang AssertionError: Rank 0 user packet must be a user id 
E AndroidRuntime(20571):        at org sufficientlysecure keychain provider KeychainProvider insert(KeychainProvider java:810)
E AndroidRuntime(20571):        at android content ContentProviderOperation apply(ContentProviderOperation java:214)
E AndroidRuntime(20571):        at android content ContentProvider applyBatch(ContentProvider java:1617)
E AndroidRuntime(20571):        at android content ContentProvider Transport applyBatch(ContentProvider java:260)
E AndroidRuntime(20571):        at android content ContentProviderClient applyBatch(ContentProviderClient java:377)
E AndroidRuntime(20571):        at android content ContentResolver applyBatch(ContentResolver java:1233)
E AndroidRuntime(20571):        at org sufficientlysecure keychain provider ProviderHelper saveCanonicalizedPublicKeyRing(ProviderHelper java:730)
E AndroidRuntime(20571):        at org sufficientlysecure keychain provider ProviderHelper savePublicKeyRing(ProviderHelper java:978)
E AndroidRuntime(20571):        at org sufficientlysecure keychain operations ImportOperation serialKeyRingImport(ImportOperation java:321)
E AndroidRuntime(20571):        at org sufficientlysecure keychain operations ImportOperation serialKeyRingImport(ImportOperation java:101)
E AndroidRuntime(20571):        at org sufficientlysecure keychain provider ProviderHelper consolidateDatabaseStep2(ProviderHelper java:1357)
E AndroidRuntime(20571):        at org sufficientlysecure keychain provider ProviderHelper consolidateDatabaseStep2(ProviderHelper java:1259)
E AndroidRuntime(20571):        at org sufficientlysecure keychain operations ConsolidateOperation execute(ConsolidateOperation java:43)
E AndroidRuntime(20571):        at org sufficientlysecure keychain operations ConsolidateOperation execute(ConsolidateOperation java:31)
E AndroidRuntime(20571):        at org sufficientlysecure keychain service KeychainService 1 run(KeychainService java:146)
E AndroidRuntime(20571):        at java lang Thread run(Thread java:841)
Unfortunately I couldn t find out yet which key is affected 
Maybe related to  1660  There are a couple of revoked keys (pub and sec) in my keyrings 
</t>
  </si>
  <si>
    <t>Cleveroad-MusicBobber-10</t>
  </si>
  <si>
    <t>Changing Play/Pause Button</t>
  </si>
  <si>
    <t xml:space="preserve">Hi  Iojjj 
i have little issue on changing the play pause button on when my app onPause()  what i need   i want to change the play pause button on depending on whether the music is play or pause on when my app is going on a onPause()  i just show audioWidget onPause() like   Override
    protected void onPause()  
        super onPause() 
        audioWidget show(100  100) 
       and i maintain   audioWidget controller()   click separately  
so how can i change play pause icon as per my requirement 
also when i call audioWidget hide() in onResume() of activity it will crash app and my crash log like        Process: com example gaurav myapplication  PID: 23850
    java lang IllegalArgumentException: View com cleveroad audiowidget PlayPauseButton 27b58e94 V ED           I  0 0 240 240  not attached to window manager
            at android view WindowManagerGlobal findViewLocked(WindowManagerGlobal java:421)
            at android view WindowManagerGlobal updateViewLayout(WindowManagerGlobal java:305)
            at android view WindowManagerImpl updateViewLayout(WindowManagerImpl java:74)
            at com cleveroad audiowidget AudioWidget updatePlayPauseButtonPosition(AudioWidget java:421)
            at com cleveroad audiowidget AudioWidget access 6500(AudioWidget java:31)
            at com cleveroad audiowidget AudioWidget ExpandCollapseWidgetCallback onMoved(AudioWidget java:653)
            at com cleveroad audiowidget TouchManager StickyEdgeAnimator lambda new 1(TouchManager java:389)
            at com cleveroad audiowidget TouchManager StickyEdgeAnimator access lambda 0(TouchManager java)
            at com cleveroad audiowidget TouchManager StickyEdgeAnimator  Lambda 1 onAnimationUpdate(Unknown Source)
            at android animation ValueAnimator animateValue(ValueAnimator java:1283)
            at android animation ValueAnimator animationFrame(ValueAnimator java:1207)
            at android animation ValueAnimator doAnimationFrame(ValueAnimator java:1248)
            at android animation ValueAnimator AnimationHandler doAnimationFrame(ValueAnimator java:659)
            at android animation ValueAnimator AnimationHandler run(ValueAnimator java:682)
            at android view Choreographer CallbackRecord run(Choreographer java:800)
            at android view Choreographer doCallbacks(Choreographer java:603)
            at android view Choreographer doFrame(Choreographer java:571)
            at android view Choreographer FrameDisplayEventReceiver run(Choreographer java:786)
            at android os Handler handleCallback(Handler java:815)
            at android os Handler dispatchMessage(Handler java:104)
            at android os Looper loop(Looper java:194)
            at android app ActivityThread main(ActivityThread java:5576)
            at java lang reflect Method invoke(Native Method)
            at java lang reflect Method invoke(Method java:372)
            at com android internal os ZygoteInit MethodAndArgsCaller run(ZygoteInit java:956)
            at com android internal os ZygoteInit main(ZygoteInit java:751) 
Thanks  
</t>
  </si>
  <si>
    <t>vanilla-music-vanilla-336</t>
  </si>
  <si>
    <t>Fastscroll crash</t>
  </si>
  <si>
    <t xml:space="preserve">Reported in playstore console:
java lang StringIndexOutOfBoundsException: length 0  index 0
    at java lang String indexAndLength(String java:584)
    at java lang String charAt(String java:578)
    at ch blinkenlights android vanilla MediaAdapter buildAlphabet(MediaAdapter java:738)
    at ch blinkenlights android vanilla MediaAdapter changeCursor(MediaAdapter java:495)
    at ch blinkenlights android vanilla MediaAdapter commitQuery(MediaAdapter java:411)
    at ch blinkenlights android vanilla LibraryPagerAdapter handleMessage(LibraryPagerAdapter java:651)
    at android os Handler dispatchMessage(Handler java:98)
    at android os Looper loop(Looper java:136)
    at android app ActivityThread main(ActivityThread java:5017)
    at java lang reflect Method invokeNative(Native Method)
    at java lang reflect Method invoke(Method java:515)
    at com android internal os ZygoteInit MethodAndArgsCaller run(ZygoteInit java:779)
    at com android internal os ZygoteInit main(ZygoteInit java:595)
    at dalvik system NativeStart main(Native Method)
And:
java lang StringIndexOutOfBoundsException: length 0  index 0
    at ch blinkenlights android vanilla MediaAdapter buildAlphabet(MediaAdapter java:738)
    at ch blinkenlights android vanilla MediaAdapter changeCursor(MediaAdapter java:495)
    at ch blinkenlights android vanilla MediaAdapter commitQuery(MediaAdapter java:411)
    at ch blinkenlights android vanilla LibraryPagerAdapter handleMessage(LibraryPagerAdapter java:651)
    at android os Handler dispatchMessage(Handler java:95)
    at android os Looper loop(Looper java:137)
    at android app ActivityThread main(ActivityThread java:4921)
    at java lang reflect Method invokeNative(Native Method)
    at java lang reflect Method invoke(Method java:511)
    at com android internal os ZygoteInit MethodAndArgsCaller run(ZygoteInit java:1027)
    at com android internal os ZygoteInit main(ZygoteInit java:794)
    at dalvik system NativeStart main(Native Method)
Seems to cause a crash at startup ( )
</t>
  </si>
  <si>
    <t>popcorn-official-popcorn-android-29</t>
  </si>
  <si>
    <t>Error watching trailers</t>
  </si>
  <si>
    <t xml:space="preserve">Version: Android TV  development 79
Android version:  6 0
     Expected Behaviour
Play trailer
     Actual Behaviour
crash
     Steps to repoduce the behaviour
click on WATCH TRAILER
    LOG:  
05 06 04:56:39 122 15427 15427   E QueryYouTubeTask: Error playing video 
                                                     java lang NullPointerException: Attempt to invoke virtual method  android content SharedPreferences android content Context getSharedPreferences(java lang String  int)  on a null object reference
                                                         at butter droid base utils PrefUtils getPrefs(PrefUtils java:156)
                                                         at butter droid base utils PrefUtils get(PrefUtils java:125)
                                                         at butter droid base vlc VLCOptions setMediaOptions(VLCOptions java:137)
                                                         at butter droid base fragments BaseVideoPlayerFragment loadMedia(BaseVideoPlayerFragment java:299)
                                                         at butter droid tv fragments TVVideoPlayerFragment loadMedia(TVVideoPlayerFragment java:178)
                                                         at butter droid base fragments BaseVideoPlayerFragment onMediaReady(BaseVideoPlayerFragment java:266)
                                                         at butter droid tv activities TVTrailerPlayerActivity QueryYouTubeTask onPostExecute(TVTrailerPlayerActivity java:180)
                                                         at butter droid tv activities TVTrailerPlayerActivity QueryYouTubeTask onPostExecute(TVTrailerPlayerActivity java:112)
                                                         at android os AsyncTask finish(AsyncTask java:651)
                                                         at android os AsyncTask  wrap1(AsyncTask java)
                                                         at android os AsyncTask InternalHandler handleMessage(AsyncTask java:668)
                                                         at android os Handler dispatchMessage(Handler java:104)
                                                         at android os Looper loop(Looper java:148)
                                                         at android app ActivityThread main(ActivityThread java:5482)
                                                         at java lang reflect Method invoke(Native Method)
                                                         at com android internal os ZygoteInit MethodAndArgsCaller run(ZygoteInit java:726)
                                                         at com android internal os ZygoteInit main(ZygoteInit java:616)
05 06 04:56:39 135 15427 15427   E QueryYouTubeTask: Problem showing error dialog 
                                                     android view WindowManager BadTokenException: Unable to add window    token android os BinderProxy 246832c is not valid  is your activity running 
                                                         at android view ViewRootImpl setView(ViewRootImpl java:607)
                                                         at android view WindowManagerGlobal addView(WindowManagerGlobal java:310)
                                                         at android view WindowManagerImpl addView(WindowManagerImpl java:85)
                                                         at android app Dialog show(Dialog java:319)
                                                         at butter droid tv activities TVTrailerPlayerActivity QueryYouTubeTask showErrorAlert(TVTrailerPlayerActivity java:205)
                                                         at butter droid tv activities TVTrailerPlayerActivity QueryYouTubeTask onPostExecute(TVTrailerPlayerActivity java:185)
                                                         at butter droid tv activities TVTrailerPlayerActivity QueryYouTubeTask onPostExecute(TVTrailerPlayerActivity java:112)
                                                         at android os AsyncTask finish(AsyncTask java:651)
                                                         at android os AsyncTask  wrap1(AsyncTask java)
                                                         at android os AsyncTask InternalHandler handleMessage(AsyncTask java:668)
                                                         at android os Handler dispatchMessage(Handler java:104)
                                                         at android os Looper loop(Looper java:148)
                                                         at android app ActivityThread main(ActivityThread java:5482)
                                                         at java lang reflect Method invoke(Native Method)
                                                         at com android internal os ZygoteInit MethodAndArgsCaller run(ZygoteInit java:726)
                                                         at com android internal os ZygoteInit main(ZygoteInit java:616)
05 06 04:56:41 877 245 702   E nvaudio hw: disable snd device:  snd device ref cnt is already 0
05 06 04:56:42 320 15427 15456   A libc: Fatal signal 7 (SIGBUS) in tid 15456 (RenderThread)
05 06 04:56:42 428 243 243   A DEBUG:                                                                
05 06 04:56:42 428 243 243   A DEBUG: Build fingerprint:  NVIDIA foster e foster:6 0 MRA58K 41937 695 6426:user release keys 
05 06 04:56:42 428 243 243   A DEBUG: Revision:  0 
05 06 04:56:42 428 243 243   A DEBUG: ABI:  arm64 
05 06 04:56:42 428 243 243   A DEBUG: pid: 15427  tid: 15456  name: RenderThread      pct droid tv dev    
05 06 04:56:42 428 243 243   A DEBUG: signal 7 (SIGBUS)  code 0 (SI USER)  fault addr 0xa
05 06 04:56:42 445 243 243   A DEBUG:     x0   0000000000000002  x1   0000002033d85e08  x2   0000000000000034  x3   0000000000000033
05 06 04:56:42 445 243 243   A DEBUG:     x4   0000000000000000  x5   0000000000000001  x6   000000000000000a  x7   0000000000000000
05 06 04:56:42 445 243 243   A DEBUG:     x8   0000000000000001  x9   00000000001d3c00  x10  000000003de76d98  x11  000000204be00998
05 06 04:56:42 445 243 243   A DEBUG:     x12  000000204be009a0  x13  00000020306df000  x14  0000000000000000  x15  00000020306d1000
05 06 04:56:42 445 243 243   A DEBUG:     x16  0000002031e99dc0  x17  0000002030b1592c  x18  00000020306e2f60  x19  000000204828d820
05 06 04:56:42 445 243 243   A DEBUG:     x20  000000204828d820  x21  0000000000000000  x22  000000204be00998  x23  0000002033c42470
05 06 04:56:42 446 243 243   A DEBUG:     x24  0000000000000001  x25  0000002048373200  x26  000000204bc3cc00  x27  000000204bd37800
05 06 04:56:42 446 243 243   A DEBUG:     x28  00000020481d3e00  x29  000000203a16a110  x30  0000002031e20d44
05 06 04:56:42 446 243 243   A DEBUG:     sp   000000203a16a110  pc   0000002030b159d8  pstate 0000000020000000
05 06 04:56:42 458 243 243   A DEBUG:      00 pc 00000000001959d8   system lib64 libskia so (SkPaint:: SkPaint() 172)
05 06 04:56:42 458 243 243   A DEBUG:      01 pc 0000000000038d40   system lib64 libhwui so
05 06 04:56:42 458 243 243   A DEBUG:      02 pc 0000000000038dd8   system lib64 libhwui so
05 06 04:56:42 458 243 243   A DEBUG:      03 pc 0000000000068604   system lib64 libhwui so
05 06 04:56:42 458 243 243   A DEBUG:      04 pc 0000000000068490   system lib64 libhwui so
05 06 04:56:42 458 243 243   A DEBUG:      05 pc 0000000000025d28   system lib64 libhwui so
05 06 04:56:42 458 243 243   A DEBUG:      06 pc 0000000000029108   system lib64 libhwui so
05 06 04:56:42 458 243 243   A DEBUG:      07 pc 0000000000028dd8   system lib64 libhwui so
05 06 04:56:42 458 243 243   A DEBUG:      08 pc 000000000002bb4c   system lib64 libhwui so (android::uirenderer::renderthread::RenderThread::threadLoop() 124)
05 06 04:56:42 458 243 243   A DEBUG:      09 pc 0000000000015aa8   system lib64 libutils so (android::Thread:: threadLoop(void ) 208)
05 06 04:56:42 458 243 243   A DEBUG:      10 pc 000000000008f290   system lib64 libandroid runtime so (android::AndroidRuntime::javaThreadShell(void ) 96)
05 06 04:56:42 459 243 243   A DEBUG:      11 pc 00000000000152f8   system lib64 libutils so
05 06 04:56:42 459 243 243   A DEBUG:      12 pc 0000000000065ce4   system lib64 libc so (  pthread start(void ) 52)
05 06 04:56:42 459 243 243   A DEBUG:      13 pc 000000000001ebc4   system lib64 libc so (  start thread 16)
05 06 04:56:42 780 243 243   E DEBUG: AM write failed: Broken pipe
05 06 04:56:42 815 1197 1197   E ApplicationPackageManager: android not found in CATEGORY LEANBACK LAUNCHER
05 06 04:56:43 494 15890 15923   E AndroidRuntime: FATAL EXCEPTION: OkHttp Dispatcher
                                                   Process: pct droid tv dev  PID: 15890
                                                   java lang IllegalStateException: Cannot call this method while RecyclerView is computing a layout or scrolling
                                                       at android support v7 widget RecyclerView assertNotInLayoutOrScroll(RecyclerView java:2116)
                                                       at android support v7 widget RecyclerView RecyclerViewDataObserver onItemRangeInserted(RecyclerView java:4027)
                                                       at android support v7 widget RecyclerView AdapterDataObservable notifyItemRangeInserted(RecyclerView java:9266)
                                                       at android support v7 widget RecyclerView Adapter notifyItemRangeInserted(RecyclerView java:5636)
                                                       at android support v17 leanback widget ItemBridgeAdapter 1 onItemRangeInserted(ItemBridgeAdapter java:156)
                                                       at android support v17 leanback widget ObjectAdapter DataObservable notifyItemRangeInserted(ObjectAdapter java:89)
                                                       at android support v17 leanback widget ObjectAdapter notifyItemRangeInserted(ObjectAdapter java:184)
                                                       at android support v17 leanback widget ArrayObjectAdapter addAll(ArrayObjectAdapter java:116)
                                                       at butter droid tv fragments TVMediaGridFragment 1 onSuccess aroundBody0(TVMediaGridFragment java:144)
                                                       at butter droid tv fragments TVMediaGridFragment 1 AjcClosure1 run(TVMediaGridFragment java:1)
                                                       at org aspectj runtime reflect JoinPointImpl proceed(JoinPointImpl java:149)
                                                       at hugo weaving internal Hugo logAndExecute(Hugo java:39)
                                                       at butter droid tv fragments TVMediaGridFragment 1 onSuccess(TVMediaGridFragment java:138)
                                                       at butter droid base providers media MoviesProvider 1 onResponse(MoviesProvider java:200)
                                                       at com squareup okhttp Call AsyncCall execute(Call java:168)
                                                       at com squareup okhttp internal NamedRunnable run(NamedRunnable java:33)
                                                       at java util concurrent ThreadPoolExecutor runWorker(ThreadPoolExecutor java:1113)
                                                       at java util concurrent ThreadPoolExecutor Worker run(ThreadPoolExecutor java:588)
                                                       at java lang Thread run(Thread java:818)
</t>
  </si>
  <si>
    <t>medyo-Fancybuttons-59</t>
  </si>
  <si>
    <t>Fix Custom Fonts issue</t>
  </si>
  <si>
    <t xml:space="preserve">When using custom fonts  the main app crashes for versions 1 7 and 1 8
</t>
  </si>
  <si>
    <t>davideas-FlexibleAdapter-78</t>
  </si>
  <si>
    <t>[5.0.0-b6] Crash during animation (with sticky headers)</t>
  </si>
  <si>
    <t xml:space="preserve">I tried to integrate FlexibleAdapter because of support for sticky headers and my app start crashing on this error  sometimes when I enter to the screen with RecyclerView  Before I used own adapter implementation without sticky headers and it works correctly  I m not using any animation for RecyclerVIew  So I don t understand why it happen 
 java lang ClassCastException: android widget FrameLayout LayoutParams cannot be cast to android support v7 widget RecyclerView LayoutParams
                                                                                         at android support v7 widget RecyclerView getChildViewHolderInt(RecyclerView java:3661)
                                                                                         at android support v7 widget RecyclerView removeAnimatingView(RecyclerView java:1125)
                                                                                         at android support v7 widget RecyclerView access 6400(RecyclerView java:147)
                                                                                         at android support v7 widget RecyclerView ItemAnimatorRestoreListener onAnimationFinished(RecyclerView java:10294)
                                                                                         at android support v7 widget RecyclerView ItemAnimator dispatchAnimationFinished(RecyclerView java:10794)
                                                                                         at android support v7 widget SimpleItemAnimator dispatchAddFinished(SimpleItemAnimator java:289)
                                                                                         at android support v7 widget DefaultItemAnimator 5 onAnimationEnd(DefaultItemAnimator java:241)
                                                                                         at android support v4 view ViewPropertyAnimatorCompatJB 1 onAnimationEnd(ViewPropertyAnimatorCompatJB java:47)
                                                                                         at android view ViewPropertyAnimator AnimatorEventListener onAnimationEnd(ViewPropertyAnimator java:1114)
                                                                                         at android animation ValueAnimator endAnimation(ValueAnimator java:1239)
                                                                                         at android animation ValueAnimator AnimationHandler doAnimationFrame(ValueAnimator java:766)
                                                                                         at android animation ValueAnimator AnimationHandler 1 run(ValueAnimator java:801)
                                                                                         at android view Choreographer CallbackRecord run(Choreographer java:858)
                                                                                         at android view Choreographer doCallbacks(Choreographer java:670)
                                                                                         at android view Choreographer doFrame(Choreographer java:603)
                                                                                         at android view Choreographer FrameDisplayEventReceiver run(Choreographer java:844)
                                                                                         at android os Handler handleCallback(Handler java:739)
                                                                                         at android os Handler dispatchMessage(Handler java:95)
                                                                                         at android os Looper loop(Looper java:224)
                                                                                         at android app ActivityThread main(ActivityThread java:5514)
                                                                                         at java lang reflect Method invoke(Native Method)
                                                                                         at com android internal os ZygoteInit MethodAndArgsCaller run(ZygoteInit java:726)
                                                                                         at com android internal os ZygoteInit main(ZygoteInit java:616) 
</t>
  </si>
  <si>
    <t>zhuowei-MCPELauncher-983</t>
  </si>
  <si>
    <t>intent filter for shaders</t>
  </si>
  <si>
    <t xml:space="preserve">Make intent filter for textures to not stack the textures  Make new intent filter for shaders with stacking  When kids try more and more texture packs at one point BL just crashes constantly and they cant handle clearing the cache and stuff like that  Make it so they are not stacking  Also make it so when they install BL for fist time and then use import activity  a texture would be active when they fire up  BL for the first time  Im the owner of a texture pack app that gave you over 1M downloads  You are posting bullshit on your twitter instead of reading it  The implementation of the things that im asking for should be really quick 
</t>
  </si>
  <si>
    <t>mpcjanssen-simpletask-android-444</t>
  </si>
  <si>
    <t>Sharing tasks can crash if no targets</t>
  </si>
  <si>
    <t xml:space="preserve">When sharing from Simpletask  if there are no text intent targets  a crash will occur  
use  if (intent resolveActivity(getPackageManager())    null)  to check if there are activities responding to the event
android content ActivityNotFoundException: No Activity found to handle Intent   act android intent action CHOOSER flg 0x1 (has clip) (has extras)  
    at android app Instrumentation checkStartActivityResult(Instrumentation java:1723)
    at android app Instrumentation execStartActivity(Instrumentation java:1491)
    at android app Activity startActivityForResult(Activity java:3436)
    at android app Activity startActivityForResult(Activity java:3393)
    at android support v4 app FragmentActivity startActivityForResult(FragmentActivity java:843)
    at android app Activity startActivity(Activity java:3644)
    at android app Activity startActivity(Activity java:3607)
    at nl mpcjanssen simpletask util Util shareText(Util kt:400)
    at nl mpcjanssen simpletask DebugInfoScreen sendLog(DebugInfoScreen kt:54)
    at nl mpcjanssen simpletask DebugInfoScreen access sendLog(DebugInfoScreen kt:19)
    at nl mpcjanssen simpletask DebugInfoScreen onCreateOptionsMenu 1 onMenuItemClick(DebugInfoScreen kt:71)
    at android support v7 widget Toolbar 1 onMenuItemClick(Toolbar java:169)
    at android support v7 widget ActionMenuView MenuBuilderCallback onMenuItemSelected(ActionMenuView java:760)
    at android support v7 view menu f a(MenuBuilder java:811)
    at android support v7 view menu h a(MenuItemImpl java:152)
    at android support v7 view menu f a(MenuBuilder java:958)
    at android support v7 view menu f a(MenuBuilder java:948)
    at android support v7 widget ActionMenuView invokeItem(ActionMenuView java:618)
    at android support v7 view menu ActionMenuItemView onClick(ActionMenuItemView java:139)
    at android view View performClick(View java:4456)
    at android view View PerformClick run(View java:18465)
    at android os Handler handleCallback(Handler java:733)
    at android os Handler dispatchMessage(Handler java:95)
    at android os Looper loop(Looper java:136)
    at android app ActivityThread main(ActivityThread java:5086)
    at java lang reflect Method invoke(Native Method)
    at com android internal os ZygoteInit MethodAndArgsCaller run(ZygoteInit java:785)
    at com android internal os ZygoteInit main(ZygoteInit java:601)
</t>
  </si>
  <si>
    <t>kontalk-androidclient-723</t>
  </si>
  <si>
    <t>Blocking while offline throws IllegalStateException</t>
  </si>
  <si>
    <t xml:space="preserve">Don t want to be annoying but in a special cases blocking a contact results in an app crash:
To reproduce:
  go offline
  open a chat and block the user
  go back to conversation list and go online again
  wait some seconds    bamm 
java lang IllegalStateException: Fragment ComposeMessageFragment a5744348  not attached to Activity
    at android support v4 app Fragment getResources(Fragment java:636)
    at android support v4 app Fragment getText(Fragment java:648)
    at org kontalk ui ComposeMessageFragment updateUI(ComposeMessageFragment java:2732)
    at org kontalk ui ComposeMessageFragment access 2200(ComposeMessageFragment java:150)
    at org kontalk ui ComposeMessageFragment 22 onReceive(ComposeMessageFragment java:1903)
    at android support v4 content LocalBroadcastManager executePendingBroadcasts(LocalBroadcastManager java:297)
    at android support v4 content LocalBroadcastManager access 000(LocalBroadcastManager java:46)
    at android support v4 content LocalBroadcastManager 1 handleMessage(LocalBroadcastManager java:116)
    at android os Handler dispatchMessage(Handler java:102)
    at android os Looper loop(Looper java:136)
    at android app ActivityThread main(ActivityThread java:5001)
    at java lang reflect Method invokeNative(Native Method)
    at java lang reflect Method invoke(Method java:515)
    at com android internal os ZygoteInit MethodAndArgsCaller run(ZygoteInit java:785)
    at com android internal os ZygoteInit main(ZygoteInit java:601)
    at dalvik system NativeStart main(Native Method)
(and if this is caught the next NPE is thrown by  Toast makeText() )
I get the problem: the broadcast receiver gets the intent after the ui view was already changed  i e  the fragment isn t added to the activity anymore 
But what is the best solution  Quickfix is
        if (mPrivacyListener    null)  
            mLocalBroadcastManager unregisterReceiver(mPrivacyListener) 
            mPrivacyListener   null 
in  onPause()   But when going online and immediately going back to the conversation the view is not updated 
</t>
  </si>
  <si>
    <t>tbruyelle-RxPermissions-46</t>
  </si>
  <si>
    <t>java.lang.IllegalStateException: RxPermissions.onRequestPermissionsResult invoked but didn't find the corresponding permission request.</t>
  </si>
  <si>
    <t xml:space="preserve">One of my activities asks for camera permission on trigger (button click)
After following steps  exception is thrown:
1  user presses button and shadow activity with dialog that asks for permission is shown
2  user goes to settings and revoke some other permission
3  user reopens app   shadow activity with dialog is still there
4  user allows denies permission and app crashes with exception
from what I saw in code:
RxPermissions request () where  mSubjects  is filled is called before permission is revoked by user
After user revoked permission app is recreated in   new process   and  mSubjects  is empty   therefore exception is thrown in RxPermissions onRequestPermissionsResult()
Can you please fix this or suggest a workaround 
</t>
  </si>
  <si>
    <t>morenoh149-react-native-contacts-59</t>
  </si>
  <si>
    <t>Search crashes after more than a few text changes.  Exception if loaded as bundle.</t>
  </si>
  <si>
    <t xml:space="preserve">I ve modeled the  Movies  example for my implementation  and am using a modified version of it s search functionality   In addition to the example code  I ve added a function that will filter contacts by the search query text  as well as a function that sorts by givenName (first name) alphabetically 
When loading js code from URL  if I type more than a few letters into the search  or delete and add  the app will crash and XCode will lose connection   This happens every time 
If loading js as a bundle  when I type and then hit the delete key the app will throw an exception 
Communications error:  OS xpc error:  error: 0x19bbe0af0    count   1  contents  
     XPCErrorDescription      string: 0x19bbe0e50    length   22  contents    Connection interrupted   
</t>
  </si>
  <si>
    <t>consp1racy-android-support-preference-31</t>
  </si>
  <si>
    <t>java.lang.NullPointerException</t>
  </si>
  <si>
    <t xml:space="preserve">I got a few crash reports like this  using 0 6 2 and 0 8 0  Can you please a take a look at it  Do you happen to have any idea how can I avoid it 
    java
Fatal Exception: java lang NullPointerException
       at android content res XmlBlock nativeGetStyleAttribute(XmlBlock java)
       at android content res XmlBlock access 1400(XmlBlock java:34)
       at android content res XmlBlock Parser getStyleAttribute(XmlBlock java:440)
       at android widget TextView (TextView java:666)
       at android widget EditText (EditText java:65)
       at android widget EditText (EditText java:61)
       at android support v7 widget AppCompatEditText (AppCompatEditText java:60)
       at android support v7 widget AppCompatEditText (AppCompatEditText java:56)
       at net xpece android support preference XpEditTextPreferenceDialogFragment net xpece android support preference EditTextPreference createEditText(XpEditTextPreferenceDialogFragment java:2067)
       at android support v7 preference PreferenceDialogFragmentCompat onCreateDialog(PreferenceDialogFragmentCompat java:143)
       at android support v4 app DialogFragment getLayoutInflater(DialogFragment java:308)
       at android support v4 app FragmentManagerImpl moveToState(FragmentManager java:1067)
       at android support v4 app FragmentManagerImpl moveToState(FragmentManager java:1252)
       at android support v4 app BackStackRecord run(BackStackRecord java:742)
       at android support v4 app FragmentManagerImpl execPendingActions(FragmentManager java:1617)
       at android support v4 app FragmentManagerImpl 1 run(FragmentManager java:517)
       at android os Handler handleCallback(Handler java:739)
       at android os Handler dispatchMessage(Handler java:95)
       at android os Looper loop(Looper java:135)
       at android app ActivityThread main(ActivityThread java:5595)
       at java lang reflect Method invoke(Method java)
       at java lang reflect Method invoke(Method java:372)
       at com android internal os ZygoteInit MethodAndArgsCaller run(ZygoteInit java:964)
       at com android internal os ZygoteInit main(ZygoteInit java:759)
</t>
  </si>
  <si>
    <t>consp1racy-android-support-preference-30</t>
  </si>
  <si>
    <t>java.lang.IllegalStateException: No cursor that can return names</t>
  </si>
  <si>
    <t xml:space="preserve">Can you please take a look at this  I m using RingtonePreference and I get this crash from time to time 
I can t reproduce it on my own  Using 0 8 0  but I got this with 0 6 2 as well 
    java
Fatal Exception: java lang IllegalStateException: No cursor that can return names
       at net xpece android support preference SortCursor getColumnNames(SortCursor java:253)
       at android database AbstractCursor getColumnIndex(AbstractCursor java:283)
       at android database AbstractCursor getColumnIndexOrThrow(AbstractCursor java:300)
       at android support v4 widget CursorAdapter init f13d381(CursorAdapter java:174)
       at android support v4 widget CursorAdapter (CursorAdapter java)
       at android support v4 widget ResourceCursorAdapter (ResourceCursorAdapter java)
       at android support v4 widget SimpleCursorAdapter (SimpleCursorAdapter java)
       at net xpece android support preference XpRingtonePreferenceDialogFragment onPrepareDialogBuilder(XpRingtonePreferenceDialogFragment java:195)
       at android support v7 preference PreferenceDialogFragmentCompat onCreateDialog(PreferenceDialogFragmentCompat java:151)
       at android support v4 app DialogFragment getLayoutInflater(DialogFragment java:308)
       at android support v4 app FragmentManagerImpl moveToState(FragmentManager java:1067)
       at android support v4 app FragmentManagerImpl moveToState(FragmentManager java:1252)
       at android support v4 app BackStackRecord run(BackStackRecord java:742)
       at android support v4 app FragmentManagerImpl execPendingActions(FragmentManager java:1617)
       at android support v4 app FragmentManagerImpl 1 run(FragmentManager java:517)
       at android os Handler handleCallback(Handler java:615)
       at android os Handler dispatchMessage(Handler java:92)
       at android os Looper loop(Looper java:137)
       at android app ActivityThread main(ActivityThread java:4867)
       at java lang reflect Method invokeNative(Method java)
       at java lang reflect Method invoke(Method java:511)
       at com android internal os ZygoteInit MethodAndArgsCaller run(ZygoteInit java:1007)
       at com android internal os ZygoteInit main(ZygoteInit java:774)
       at dalvik system NativeStart main(NativeStart java)
</t>
  </si>
  <si>
    <t>IvoGoman-Diabetes-App-30</t>
  </si>
  <si>
    <t>SettingsFragment: Data Collection Checkbox</t>
  </si>
  <si>
    <t xml:space="preserve">If checkbox is checked at the start of the app and the user selects the checkbox  the apps crashes 
</t>
  </si>
  <si>
    <t>evernote-android-job-36</t>
  </si>
  <si>
    <t>Check for orphaned scheduled jobs</t>
  </si>
  <si>
    <t xml:space="preserve">I have encountered (at least once) that if my phone crashes (Nexus 5) during rescheduling of a job  I am able to find the old job as scheduled by calling  JobScheduler getAllPendingJobs()   but the job with matching id is already deleted from android job database 
I am suggesting that after initialization of  JobManager  you could run async operation which would check if there is any  JobInfo  with service matching  PlatformJobService  but it s id is missing from database and cancel them as orphaned 
</t>
  </si>
  <si>
    <t>tvbarthel-IntentShare-30</t>
  </si>
  <si>
    <t>com.android.mms and FileProvider</t>
  </si>
  <si>
    <t xml:space="preserve">The target app com android mms crashes when an image is send as stream in the shared extras due to orientation check 
As the Uri has a content provider scheme  the com android mms skips the Exif check (which seems to be slow) and tries to query the MediaStore Images ImageColumns ORIENTATION : 
http:  androidxref com 5 1 1 r6 xref packages apps Mms src com android mms ui UriImage java 546
Unfortunately  the default implementation of FileProvider from support v4 won t return any data for such a query since only OpenableColumns DISPLAY NAME and OpenableColumns SIZE are taken into account : 
http:  androidxref com 5 1 1 r6 xref frameworks support v4 java android support v4 content FileProvider java 421
As a result  http:  androidxref com 5 1 1 r6 xref packages apps Mms src com android mms ui UriImage java 546 will throw an exception 
FileProvider myst be extend in order to handle MediaStore Images ImageColumns ORIENTATION query on our side 
</t>
  </si>
  <si>
    <t>auth0-react-native-lock-39</t>
  </si>
  <si>
    <t>A0LockReact.m delegationWithOptions passes null dictionary when attempting to obtain firebase token, crashing app</t>
  </si>
  <si>
    <t xml:space="preserve">Hi there 
If I attempt to obtain a firebase token through the Auth0 delegation API as such  my application crashes in native code 
    lock delegation( 
        token: token 
        api:  firebase 
         (a b c)     
        console log( delegation callback  a b c) 
       ) 
The crash I see in the XCode console is as follows:
2016 05 10 16:20:18 465 TodoApp 25813:911468      Terminating app due to uncaught exception  NSInvalidArgumentException   reason:          NSPlaceholderDictionary initWithObjects:forKeys:count: : attempt to insert nil object from objects 2  
    First throw call stack:
(
    0   CoreFoundation                      0x0000000112077d85   exceptionPreprocess   165
    1   libobjc A dylib                     0x000000011126cdeb objc exception throw   48
    2   CoreFoundation                      0x0000000111f7423e     NSPlaceholderDictionary initWithObjects:forKeys:count:    318
    3   CoreFoundation                      0x0000000111f865bb   NSDictionary dictionaryWithObjects:forKeys:count:    59
    4   TodoApp                             0x000000010e57e584   A0LockReact delegationWithOptions:callback:    1556
    5   TodoApp                             0x000000010e580fe4   41  A0LockReactModule delegation:callback:  block invoke   84
    6   libdispatch dylib                   0x0000000113a0fd9d  dispatch call block and release   12
    7   libdispatch dylib                   0x0000000113a303eb  dispatch client callout   8
    8   libdispatch dylib                   0x0000000113a181ef  dispatch main queue callback 4CF   1738
    9   CoreFoundation                      0x0000000111fd10f9   CFRUNLOOP IS SERVICING THE MAIN DISPATCH QUEUE     9
    10  CoreFoundation                      0x0000000111f92b99   CFRunLoopRun   2073
    11  CoreFoundation                      0x0000000111f920f8 CFRunLoopRunSpecific   488
    12  GraphicsServices                    0x000000011512cad2 GSEventRunModal   161
    13  UIKit                               0x000000010f6f2f09 UIApplicationMain   171
    14  TodoApp                             0x000000010e331daf main   111
    15  libdyld dylib                       0x0000000113a6492d start   1
)
libc  abi dylib: terminating with uncaught exception of type NSException
After stepping through the code  it appears that this is because the  scopeParamterFromOptions  method returns a nil if no scope is provided 
Providing an empty string for the scope parameter prevents the crash:
      lock delegation( 
        token: token 
        api:  firebase  
        scope:   
         (a b c)     
        console log( delegation callback  a b c) 
       ) 
But this still doesn t work   Auth0 calls my callback with the error  Request failed: bad request (400)    I can t see any documentation for what should go in the scope parameter for a request for a firebase token 
</t>
  </si>
  <si>
    <t>koral---android-gif-drawable-297</t>
  </si>
  <si>
    <t>Fatal Error!  Gif drawable crashes all the time .</t>
  </si>
  <si>
    <t xml:space="preserve">Hi  thanks for your gif drawable project   Now  I need your help    I meet a gif drawable that crashes all the time when using gif drawable   Get the native crash log  below:
 0
Crashed: ex omomo
SIGSEGV SEGV MAPERR 0x7fffffffffffffff
 Crashed: ex omomo
0  libpl droidsonroids gif so     0x89bbab4c (Missing) 
This is the gif resource url : 
http:  image baidu com search detail z 0 ipn d word  E7 B2 89 E8 89 B2 E5 B0 8F E7 8C AAgif E5 9B BE step word  pn 3 spn 0 di 0 pi  tn baiduimagedetail istype 0 ie utf 8 oe utf 8 cs 2402111992 2C394379305 os 3796511364 2C307899831 simid  adpicid 0 fr  fm  sme  cg  bdtype 14 simics 3095129420 2C3797481844 oriquery  objurl http 3A 2F 2F2b zol img com cn 2Fproduct 2F97 500x2000 2F287 2FcejA3mM6Nk1uc gif fromurl ippr z2C 24qAzdH3FAzdH3Fn2 z 26e3Bz5s z 26e3Bv54 z 26e3BvgAzdH3Fp57viAzdH3Fw6ptvsjAzdH3FdldmAzdH3Fndnmmcl 8 8 z 26e3Bip4s gsm 0 cardserver 1
Hope your reguards  It s very urgent   
</t>
  </si>
  <si>
    <t>ankidroid-Anki-Android-4279</t>
  </si>
  <si>
    <t>2.6beta1 crashes on Android 2.3.7 when changing deck options</t>
  </si>
  <si>
    <t xml:space="preserve">2 6beta1 crashes on Android 2 3 7 when changing deck options 
The change will be applied  but the app crashes  
P s  I hope this is the right place for beta bugs  I searched around and it seems to be  but sorry if it is not 
</t>
  </si>
  <si>
    <t>vector-im-riot-android-124</t>
  </si>
  <si>
    <t>MenuBuilder is not defined in some android 4.2.2 devices (not sure it can be easily fixed)</t>
  </si>
  <si>
    <t xml:space="preserve">It seems that some manufacturers use a customized ROM from which MenuBuilder is not defined 
For example  Wiko Rainbow 
So  the application crashes at launch 
Caused by: java lang NoClassDefFoundError: android support v7 internal view menu MenuBuilder
                                                                     at android support design widget NavigationView  init (NavigationView java:95)
                                                                     at android support design widget NavigationView  init (NavigationView java:88)
                                                                     at java lang reflect Constructor constructNative(Native Method) 
                                                                     at java lang reflect Constructor newInstance(Constructor java:417) 
                                                                     at android view LayoutInflater createView(LayoutInflater java:587) 
                                                                     at android view LayoutInflater createViewFromTag(LayoutInflater java:687) 
                                                                     at android view LayoutInflater rInflate(LayoutInflater java:746) 
                                                                     at android view LayoutInflater inflate(LayoutInflater java:489) 
                                                                     at android view LayoutInflater inflate(LayoutInflater java:396) 
                                                                     at android view LayoutInflater inflate(LayoutInflater java:352) 
</t>
  </si>
  <si>
    <t>forcedotcom-SalesforceMobileSDK-CordovaPlugin-191</t>
  </si>
  <si>
    <t>Custom login host not listed in login hosts settings</t>
  </si>
  <si>
    <t xml:space="preserve">I have a problem with the custom login host in my hybrid app on iOS  In my plist file I ve defined a custom login host
    xml
 key SFDCOAuthLoginHost  key 
 string mycustomhost my salesforce com  string 
  Behaviour in unstable branch 4 2 0  
If I install and start the app for the first time  the correct login of my custom host is show  If I now click on the settings icon to open the host choose connection setting without selecting e g  the Production server  just open the the settings view  the app crashes with this stacktrace
    log
May 13 12:17:29 localhost  71518 : INFO SFAuthenticationManager Cancel authentication called   App is currently authenticating 
May 13 12:17:29 localhost  71518 : INFO SFSecurityLockout App requested passcode screen cancel   Screen is not displayed 
May 13 12:17:30 localhost  71518 :     Terminating app due to uncaught exception  NSInvalidArgumentException   reason:  Application tried to present modally an active controller  UINavigationController: 0x795f6000   
        First throw call stack:
    (
        0   CoreFoundation                      0x00928494   exceptionPreprocess   180
        1   libobjc A dylib                     0x04527e02 objc exception throw   50
        2   UIKit                               0x00ea6385   UIViewController  presentViewController:withAnimationController:completion:    5682
        3   UIKit                               0x00ea946f   62  UIViewController presentViewController:animated:completion:  block invoke 2   88
        4   UIKit                               0x00d84db2   UIView(Animation) performWithoutAnimation:    82
        5   UIKit                               0x00d84dfb   UIView(Animation)  performWithoutAnimation:    40
        6   UIKit                               0x00ea9379   62  UIViewController presentViewController:animated:completion:  block invoke   247
        7   UIKit                               0x00ea9768   65  UIViewController  performCoordinatedPresentOrDismiss:animated:  block invoke   18
        8   UIKit                               0x0183a2d2    UIViewControllerTransitionCoordinator  applyBlocks:releaseBlocks:    292
        9   UIKit                               0x01835f86    UIViewControllerTransitionContext  runAlongsideCompletions    147
        10  UIKit                               0x01835c71    UIViewControllerTransitionContext completeTransition:    136
        11  UIKit                               0x01860b34   UIViewControllerBuiltinTransitionViewAnimator transitionViewDidComplete:fromView:toView:removeFromView:    74
        12  UIKit                               0x00e5848a   UITransitionView notifyDidCompleteTransition:    280
        13  UIKit                               0x00e58176   UITransitionView  didCompleteTransition:    1550
        14  UIKit                               0x00e5adb1   UITransitionView  transitionDidStop:finished:    121
        15  UIKit                               0x00d5f08f   UIViewAnimationState sendDelegateAnimationDidStop:finished:    247
        16  UIKit                               0x00d5f485   UIViewAnimationState animationDidStop:finished:    90
        17  QuartzCore                          0x03a7368b  ZN2CA5Layer23run animation callbacksEPv   305
        18  libdispatch dylib                   0x04e866ed  dispatch client callout   14
        19  libdispatch dylib                   0x04e6f286  dispatch main queue callback 4CF   689
        20  CoreFoundation                      0x008721be   CFRUNLOOP IS SERVICING THE MAIN DISPATCH QUEUE     14
        21  CoreFoundation                      0x00830434   CFRunLoopRun   2356
        22  CoreFoundation                      0x0082f846 CFRunLoopRunSpecific   470
        23  CoreFoundation                      0x0082f65b CFRunLoopRunInMode   123
        24  GraphicsServices                    0x05e58664 GSEventRunModal   192
        25  GraphicsServices                    0x05e584a1 GSEventRun   104
        26  UIKit                               0x00cc0eb9 UIApplicationMain   160
        27  Conference                          0x000d4d19 main   89
        28  libdyld dylib                       0x04eaba25 start   1
    )
May 13 12:17:30 localhost SpringBoard 70843 : HW kbd: Failed to set (null) as keyboard focus
After restart the app  the Production Server is selected and I have no chance to select my custom login host because the host is not listed in the server selection
  Behaviour in v4 1 2  
If I install and start the app for the first time  the correct login of my custom host is show  If I now click on the settings icon to open the host choose connection setting without selecting e g  the Production server  just open the the settings view  the selection view is closed and the Production server is selected  Than I have no chance to select my custom login host again because the host is not listed in the server selection
My environment:
  Cordova 6 1 1
  Platform iOS 3 9 2
  SalesforceMobileSDK Cordova Plugin 4 1 2 or 4 2 0
</t>
  </si>
  <si>
    <t>dimagi-commcare-android-1254</t>
  </si>
  <si>
    <t>Fix NotificationMessage parcel logic</t>
  </si>
  <si>
    <t xml:space="preserve">Add test coverage to  NotificationMessage  parcel code and fix crash associated with that code 
java lang RuntimeException: Unable to start activity ComponentInfo org commcare dalvik org commcare activities MessageActivity : java lang RuntimeException: bad array lengths
at android app ActivityThread performLaunchActivity(ActivityThread java:2338)
at android app ActivityThread handleLaunchActivity(ActivityThread java:2390)
at android app ActivityThread access 800(ActivityThread java:151)
at android app ActivityThread H handleMessage(ActivityThread java:1321)
at android os Handler dispatchMessage(Handler java:110)
at android os Looper loop(Looper java:193)
at android app ActivityThread main(ActivityThread java:5299)
at java lang reflect Method invokeNative(Native Method)
at java lang reflect Method invoke(Method java:515)
at com android internal os ZygoteInit MethodAndArgsCaller run(ZygoteInit java:829)
at com android internal os ZygoteInit main(ZygoteInit java:645)
at dalvik system NativeStart main(Native Method)
Caused by: java lang RuntimeException: bad array lengths
at android os Parcel readStringArray(Parcel java:967)
at org commcare views notifications NotificationMessage 1 createFromParcel(NotificationMessage java:36)
at org commcare views notifications NotificationMessage 1 createFromParcel(NotificationMessage java:31)
at android os Parcel readParcelable(Parcel java:2104)
at android os Parcel readValue(Parcel java:2013)
at android os Parcel readListInternal(Parcel java:2343)
at android os Parcel readArrayList(Parcel java:1703)
at android os Parcel readValue(Parcel java:2034)
at android os Parcel readArrayMapInternal(Parcel java:2314)
at android os Bundle unparcel(Bundle java:249)
at android os Bundle getParcelable(Bundle java:1206)
at android app Activity onCreate(Activity java:898)
at org commcare activities MessageActivity onCreate(MessageActivity java:32)
</t>
  </si>
  <si>
    <t>PhilJay-MPAndroidChart-1777</t>
  </si>
  <si>
    <t>HorizontalBarChart: IndexOutOfBoundsException when plotting BarData without entries</t>
  </si>
  <si>
    <t xml:space="preserve">When you set the data of a bar chart  but the data is actually empty  containing no data  in particular no  xVals  the application will crash with:
java lang IndexOutOfBoundsException: Invalid index 0  size is 0
at java util ArrayList throwIndexOutOfBoundsException(ArrayList java:255)
at java util ArrayList get(ArrayList java:308)
at com github mikephil charting renderer XAxisRendererHorizontalBarChart drawLabels(XAxisRendererHorizontalBarChart java:127)
at com github mikephil charting renderer XAxisRendererHorizontalBarChart renderAxisLabels(XAxisRendererHorizontalBarChart java:68)
at com github mikephil charting charts BarLineChartBase onDraw(BarLineChartBase java:267)
at android view View draw(View java:16178)
instead of showing  no data  or something    not difficult to work around but    
To reproduce  use something along the lines:
HorizontalBarChart chart   (HorizontalBarChart) findViewById(R id chart) 
ArrayList BarEntry  yVals1   new ArrayList  () 
ArrayList String  xVals   new ArrayList  () 
BarDataSet set1   new BarDataSet(yVals1   DataSet 1 ) 
ArrayList IBarDataSet  dataSets   new ArrayList IBarDataSet () 
dataSets add(set1) 
chart setData(new BarData(xVals  dataSets)) 
chart notifyDataSetChanged()     let the chart know it s data changed
chart invalidate() 
     com github mikephil charting charts HorizontalBarChart
        android:id    id chart 
        android:layout width  match parent 
        android:layout height  match parent    
</t>
  </si>
  <si>
    <t>dariuszseweryn-RxAndroidBle-21</t>
  </si>
  <si>
    <t>Encountering MissingBackPressureException with lots of characteristic changes</t>
  </si>
  <si>
    <t xml:space="preserve">First of all thank you for this library  You guys have done a seriously awesome job  
Occasionally I am encountering a MissingBackPressureException when I create an observable that establishes a connection and listens for characteristic changes ( setupNotification(CHARACTERISITC) )
In my use case there are lots of characteristic changes that we use to read data from the device but occasionally when there are more than normal it will crash with a MissingBackPressureException  
Have you guys encountered this   known behavior  Is there a specific way you recommend dealing with this on the app side to avoid changes to the lib  Thanks again  
 rx exceptions CompositeException: 4 exceptions occurred  
at rx internal operators OperatorMerge MergeSubscriber reportError(OperatorMerge java:255)
at rx internal operators OperatorMerge MergeSubscriber checkTerminate(OperatorMerge java:797)
at rx internal operators OperatorMerge MergeSubscriber emitLoop(OperatorMerge java:690)
at rx internal operators OperatorMerge MergeSubscriber emitScalar(OperatorMerge java:416)
at rx internal operators OperatorMerge MergeSubscriber tryEmit(OperatorMerge java:340)
at rx internal operators OperatorMerge InnerSubscriber onNext(OperatorMerge java:825)
at rx subjects SubjectSubscriptionManager SubjectObserver onNext(SubjectSubscriptionManager java:223)
at rx subjects PublishSubject onNext(PublishSubject java:114)
at com polidea rxandroidble internal connection RxBleGattCallback 1  Lambda 7 call(Unknown Source)
at rx Observable 27 onNext(Observable java:8571)
at rx observers SafeSubscriber onNext(SafeSubscriber java:139)
at rx internal operators OperatorObserveOn ObserveOnSubscriber call(OperatorObserveOn java:215)
at rx internal schedulers ScheduledAction run(ScheduledAction java:55)
at java util concurrent Executors RunnableAdapter call(Executors java:423)
at java util concurrent FutureTask run(FutureTask java:237)
at java util concurrent ScheduledThreadPoolExecutor ScheduledFutureTask run(ScheduledThreadPoolExecutor java:269)
at java util concurrent ThreadPoolExecutor runWorker(ThreadPoolExecutor java:1113)
at java util concurrent ThreadPoolExecutor Worker run(ThreadPoolExecutor java:588)
at java lang Thread run(Thread java:818) 
</t>
  </si>
  <si>
    <t>VictorAlbertos-RxCache-24</t>
  </si>
  <si>
    <t>Usage with Dagger 2.4</t>
  </si>
  <si>
    <t xml:space="preserve">When I try to use RxCache in project that uses the latest version of Dagger (2 4 at this point of time)  it crashes with  java lang ClassNotFoundException: Didn t find class  dagger internal ScopedProvider  on path: DexPathList  because Google introduced some breaking changes in 2 3 (everything works with 2 2) 
It is easily reproducible by including Dagger 2 4 into a project that uses RxCache 
The easy solution is to update your Dagger version to 2 4  but new Dagger releases can potentially break it again  The ideal solution for me as user would be to remove Dagger dependency from the library  but I guess that s not an option 
</t>
  </si>
  <si>
    <t>lgallard-qBittorrent-Controller-82</t>
  </si>
  <si>
    <t>Long list of files crashes the app</t>
  </si>
  <si>
    <t xml:space="preserve">When entering to some torrents with a lot of files (Content o list of files) the app is not responding and crashes 
Reported by Aviad via email 
</t>
  </si>
  <si>
    <t>lsjwzh-RecyclerViewPager-100</t>
  </si>
  <si>
    <t>Crash - com.lsjwzh.widget.recyclerviewpager.RecyclerViewPager.onScrollStateChanged</t>
  </si>
  <si>
    <t xml:space="preserve">Here s a crash i am receiving in one of my apps  I can t tell how it s happening exactly but it seems to be coming from onScrollStateChanged   Could you guide me to a solution workaround  
I am using the beta5 version   com github lsjwzh RecyclerViewPager:lib:v1 1 0 beta5
I noticed you came out of beta recently  did you happen to fix this in the process  I can t just try it because i have been unable to reproduce it myself and have been receiving the crashes from a crash reporting tool via other users of the app (whom i cannot get in touch with) 
Thanks in advance for your help  
Here s the complete stack trace 
0   java lang NullPointerException
1   at com lsjwzh widget recyclerviewpager RecyclerViewPager onScrollStateChanged(SourceFile:469)
2   at android support v7 widget RecyclerView dispatchOnScrollStateChanged(SourceFile:3964)
3   at android support v7 widget RecyclerView setScrollState(SourceFile:1194)
4   at android support v7 widget RecyclerView onTouchEvent(SourceFile:2483)
5   at com lsjwzh widget recyclerviewpager RecyclerViewPager onTouchEvent(SourceFile:405)
6   at android view View dispatchTouchEvent(View java:8177)
7   at android view ViewGroup dispatchTransformedTouchEvent(ViewGroup java:2429)
8   at android view ViewGroup dispatchTouchEvent(ViewGroup java:2153)
9   at com lsjwzh widget recyclerviewpager RecyclerViewPager dispatchTouchEvent(SourceFile:391)
10  at android view ViewGroup dispatchTransformedTouchEvent(ViewGroup java:2435)
11  at android view ViewGroup dispatchTouchEvent(ViewGroup java:2168)
12  at android view ViewGroup dispatchTransformedTouchEvent(ViewGroup java:2435)
13  at android view ViewGroup dispatchTouchEvent(ViewGroup java:2168)
14  at android view ViewGroup dispatchTransformedTouchEvent(ViewGroup java:2435)
15  at android view ViewGroup dispatchTouchEvent(ViewGroup java:2168)
16  at android view ViewGroup dispatchTransformedTouchEvent(ViewGroup java:2435)
17  at android view ViewGroup dispatchTouchEvent(ViewGroup java:2168)
18  at android view ViewGroup dispatchTransformedTouchEvent(ViewGroup java:2435)
19  at android view ViewGroup dispatchTouchEvent(ViewGroup java:2168)
20  at android view ViewGroup dispatchTransformedTouchEvent(ViewGroup java:2435)
21  at android view ViewGroup dispatchTouchEvent(ViewGroup java:2168)
22  at android view ViewGroup dispatchTransformedTouchEvent(ViewGroup java:2435)
23  at android view ViewGroup dispatchTouchEvent(ViewGroup java:2168)
24  at android view ViewGroup dispatchTransformedTouchEvent(ViewGroup java:2435)
25  at android view ViewGroup dispatchTouchEvent(ViewGroup java:2168)
26  at android view ViewGroup dispatchTransformedTouchEvent(ViewGroup java:2435)
27  at android view ViewGroup dispatchTouchEvent(ViewGroup java:2168)
28  at android view ViewGroup dispatchTransformedTouchEvent(ViewGroup java:2435)
29  at android view ViewGroup dispatchTouchEvent(ViewGroup java:2168)
30  at com android internal policy impl PhoneWindow DecorView superDispatchTouchEvent(PhoneWindow java:2309)
31  at com android internal policy impl PhoneWindow superDispatchTouchEvent(PhoneWindow java:1628)
32  at android app Activity dispatchTouchEvent(Activity java:2580)
33  at android support v7 view WindowCallbackWrapper dispatchTouchEvent(SourceFile:60)
34  at android support v7 view WindowCallbackWrapper dispatchTouchEvent(SourceFile:60)
35  at com android internal policy impl PhoneWindow DecorView dispatchTouchEvent(PhoneWindow java:2257)
36  at android view View dispatchPointerEvent(View java:8391)
37  at android view ViewRootImpl ViewPostImeInputStage processPointerEvent(ViewRootImpl java:4848)
38  at android view ViewRootImpl ViewPostImeInputStage onProcess(ViewRootImpl java:4712)
39  at android view ViewRootImpl InputStage deliver(ViewRootImpl java:4270)
40  at android view ViewRootImpl InputStage onDeliverToNext(ViewRootImpl java:4324)
41  at android view ViewRootImpl InputStage forward(ViewRootImpl java:4293)
42  at android view ViewRootImpl AsyncInputStage forward(ViewRootImpl java:4404)
43  at android view ViewRootImpl InputStage apply(ViewRootImpl java:4301)
44  at android view ViewRootImpl AsyncInputStage apply(ViewRootImpl java:4461)
45  at android view ViewRootImpl InputStage deliver(ViewRootImpl java:4270)
46  at android view ViewRootImpl InputStage onDeliverToNext(ViewRootImpl java:4324)
47  at android view ViewRootImpl InputStage forward(ViewRootImpl java:4293)
48  at android view ViewRootImpl InputStage apply(ViewRootImpl java:4301)
49  at android view ViewRootImpl InputStage deliver(ViewRootImpl java:4270)
50  at android view ViewRootImpl deliverInputEvent(ViewRootImpl java:6653)
51  at android view ViewRootImpl doProcessInputEvents(ViewRootImpl java:6566)
52  at android view ViewRootImpl enqueueInputEvent(ViewRootImpl java:6537)
53  at android view ViewRootImpl enqueueInputEvent(ViewRootImpl java:6502)
54  at android view ViewRootImpl WindowInputEventReceiver onInputEvent(ViewRootImpl java:6733)
55  at android view InputEventReceiver dispatchInputEvent(InputEventReceiver java:185)
56  at android view InputEventReceiver nativeConsumeBatchedInputEvents(Native Method)
57  at android view InputEventReceiver consumeBatchedInputEvents(InputEventReceiver java:176)
58  at android view ViewRootImpl doConsumeBatchedInput(ViewRootImpl java:6706)
59  at android view ViewRootImpl ConsumeBatchedInputRunnable run(ViewRootImpl java:6752)
60  at android view Choreographer CallbackRecord run(Choreographer java:812)
61  at android view Choreographer doCallbacks(Choreographer java:612)
62  at android view Choreographer doFrame(Choreographer java:580)
63  at android view Choreographer FrameDisplayEventReceiver run(Choreographer java:798)
64  at android os Handler handleCallback(Handler java:733)
65  at android os Handler dispatchMessage(Handler java:95)
66  at android os Looper loop(Looper java:146)
67  at android app ActivityThread main(ActivityThread java:5641)
68  at java lang reflect Method invokeNative(Native Method)
69  at java lang reflect Method invoke(Method java:515)
70  at com android internal os ZygoteInit MethodAndArgsCaller run(ZygoteInit java:1288)
71  at com android internal os ZygoteInit main(ZygoteInit java:1104)
72  at dalvik system NativeStart main(Native Method)
</t>
  </si>
  <si>
    <t>0lumide-Insta-Translate-2</t>
  </si>
  <si>
    <t>'{Square brackets}' crashes InstaTranslate</t>
  </si>
  <si>
    <t xml:space="preserve">InstaTranslate crashes if text to be translated contains curly brackets  Root cause is old version of okhttp used by retrofit2 beta 
</t>
  </si>
  <si>
    <t>andybalaam-rabbit-escape-451</t>
  </si>
  <si>
    <t>Crash on Android when rotating phone as level starts</t>
  </si>
  <si>
    <t xml:space="preserve">I tried this on 0 8 and it did not crash  
With the latest snapshot rabbit escape 0 8 0 10 dev levels:
Navigate the menus and chose Start Game  Easy  
Select Level 1 and immediately rotate the screen  
The screen goes black and eventually a message appears saying rabbit escape has stopped  
Trace:
FATAL EXCEPTION: main
java lang NullPointerException
    at rabbitescape ui android AndroidGameLaunch isRunning(AndroidGameLaunch java:128)
    at rabbitescape ui android WorldSaver waitUntilSaved(WorldSaver java:89)
    at rabbitescape ui android AndroidGameLaunch onSaveInstanceState(AndroidGameLaunch java:120)
    at rabbitescape ui android AndroidGameActivity onSaveInstanceState(AndroidGameActivity java:291)
    at android app Activity performSaveInstanceState(Activity java:1186)
    at android app Instrumentation callActivityOnSaveInstanceState(Instrumentation java:1240)
    at android app ActivityThread handleRelaunchActivity(ActivityThread java:3851)
    at android app ActivityThread access 800(ActivityThread java:159)
    at android app ActivityThread H handleMessage(ActivityThread java:1322)
    at android os Handler dispatchMessage(Handler java:99)
    at android os Looper loop(Looper java:176)
    at android app ActivityThread main(ActivityThread java:5419)
    at java lang reflect Method invokeNative(Native Method)
    at java lang reflect Method invoke(Method java:525)
    at com android internal os ZygoteInit MethodAndArgsCaller run(ZygoteInit java:1046)
    at com android internal os ZygoteInit main(ZygoteInit java:862)
    at dalvik system NativeStart main(Native Method)
</t>
  </si>
  <si>
    <t>kontalk-androidclient-739</t>
  </si>
  <si>
    <t>Query completed but context already null</t>
  </si>
  <si>
    <t xml:space="preserve">Calling unregisterPeerObserver after query has completed but activity instance has been destroyed (or fragment has been detached) crashes:
java lang NullPointerException
       at org kontalk ui ComposeMessageFragment unregisterPeerObserver(ComposeMessageFragment java:2467)
       at org kontalk ui ComposeMessageFragment access 4000(ComposeMessageFragment java:150)
       at org kontalk ui ComposeMessageFragment MessageListQueryHandler onQueryComplete(ComposeMessageFragment java:3040)
       at android content AsyncQueryHandler handleMessage(AsyncQueryHandler java:344)
       at android os Handler dispatchMessage(Handler java:102)
       at android os Looper loop(Looper java:146)
       at android app ActivityThread main(ActivityThread java:5593)
       at java lang reflect Method invokeNative(Method java)
       at java lang reflect Method invoke(Method java:515)
       at com android internal os ZygoteInit MethodAndArgsCaller run(ZygoteInit java:1283)
       at com android internal os ZygoteInit main(ZygoteInit java:1099)
       at dalvik system NativeStart main(NativeStart java)
Consider passing Context to the method itself (or refactor the thing) 
Very borderline case  but it can happen 
</t>
  </si>
  <si>
    <t>lukaspili-Reactive-Billing-2</t>
  </si>
  <si>
    <t>Possible to test with reserved product ID?</t>
  </si>
  <si>
    <t xml:space="preserve">Was testing with  android test purchased  and it was successful  however will get the following crash if test with  android test canceled  or  android test refunded :
 FATAL EXCEPTION: main
                                                           Process: com example  PID: 25280
                                                           java lang RuntimeException: Failure delivering result ResultInfo who null  request 1337  result  1  data Intent   (has extras)    to activity  com example com github lukaspili reactivebilling ReactiveBillingShadowActivity : java lang NullPointerException: Attempt to invoke virtual method  int java lang String length()  on a null object reference
                                                               at android app ActivityThread deliverResults(ActivityThread java:3574)
                                                               at android app ActivityThread handleSendResult(ActivityThread java:3617)
                                                               at android app ActivityThread access 1300(ActivityThread java:151)
                                                               at android app ActivityThread H handleMessage(ActivityThread java:1352)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Caused by: java lang NullPointerException: Attempt to invoke virtual method  int java lang String length()  on a null object reference
                                                               at org json JSONTokener nextCleanInternal(JSONTokener java:116)
                                                               at org json JSONTokener nextValue(JSONTokener java:94)
                                                               at org json JSONObject  init (JSONObject java:156)
                                                               at org json JSONObject  init (JSONObject java:173)
                                                               at com github lukaspili reactivebilling parser PurchaseParser parse(PurchaseParser java:19)
                                                               at com github lukaspili reactivebilling PurchaseFlowService onActivityResult(PurchaseFlowService java:86)
                                                               at com github lukaspili reactivebilling ReactiveBillingShadowActivity onActivityResult(ReactiveBillingShadowActivity java:87)
                                                               at android app Activity dispatchActivityResult(Activity java:6192)
                                                               at android app ActivityThread deliverResults(ActivityThread java:3570)
                                                               at android app ActivityThread handleSendResult(ActivityThread java:3617) 
                                                               at android app ActivityThread access 1300(ActivityThread java:151) 
                                                               at android app ActivityThread H handleMessage(ActivityThread java:1352)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</si>
  <si>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twitter-archive-twitter-kit-android-48</t>
  </si>
  <si>
    <t>OutOfMemoryErrors triggered by animated transition on ToggleImageButton "Like" button</t>
  </si>
  <si>
    <t xml:space="preserve">I work on an app in which we use  TweetView s in a  RecyclerView   We have repeatedly observed the following crash: http:  crashes to s abe498ca58c
The crash is caused by an  OutOfMemoryError  which seems to occur when the  60 drawables (https:  github com twitter twitter kit android blob master tweet ui src main res drawable v21 tw  like action xml) for the animated transition on the  Like  button are loaded as part of the layout inflation of the  ToggleImageButton   This probably only happens when memory pressure is already quite high  but weirdly we haven t seen other  OutOfMemoryError  crashes in this app 
Ironically (and frustratingly) our app does not even enable the tweet actions (i e   tweetActionsEnabled  in  BaseTweetView  always remains  false )  so this  Like  button with its fancy 60fps (total overkill if you ask me) animation is never even shown 
I think there must be way to achieve a similar animated transition using less memory hungry means (animated vector drawables perhaps )  Also  would it be possible to offer a more lightweight (as in  non animated  no hidden action bar views  etc ) 
Some more info:
  Android API Version:    21 (v5 0 x)
  Android Device (include Model and Manufacturer): Samsung gt i9515  sm g900f  sm a300fu
  Artifact Versions:  com twitter sdk android:twitter:1 13 1 aar 
Thanks in advance 
</t>
  </si>
  <si>
    <t>dimagi-commcare-android-1267</t>
  </si>
  <si>
    <t>Checking if detail callout is null before using</t>
  </si>
  <si>
    <t xml:space="preserve">Fix null pointers introduced by https:  github com dimagi commcare odk pull 1119 
 phillipm I m gonna have someone merge this now because I need master to not be crashing in order to work on consumer apps stuff  but want to make sure with you that this is an OK resolution of this   
</t>
  </si>
  <si>
    <t>DigitalCampus-oppia-mobile-android-564</t>
  </si>
  <si>
    <t>App shuts down when having installed a course by copying onto the sd card</t>
  </si>
  <si>
    <t xml:space="preserve">The process I went through:
  In the app I have the location set to being the removable SD card
  I copy the attached course file into  sdcard0 Android data org digitalcampus mobile learning files download
  I open up the app and the course appears to be auto installed
  However the course zip file is not removed from the download directory and the folder for the course is not generated on in the modules directory
  The course appears on the homepage (so has been loaded into the app db)
  But when trying to open  the app crashes (stack trace below)
It seems like this course install process is using a different reference for the location of the course files xml 
In any case there seem to be a mismatch in the directories used for installing the course depending on whether installed by downloading from the server and into the app  or when installing directly by copying onto the phone (either sdcard or internal)   although the video files are being stored in the sdcard  
05 18 13:29:49 023 26099 26099 org digitalcampus mobile learning E AndroidRuntime: FATAL EXCEPTION: main
                                                                                   Process: org digitalcampus mobile learning  PID: 26099
                                                                                   java lang NullPointerException: Attempt to invoke virtual method  java lang String org digitalcampus oppia model Lang getContent()  on a null object reference
                                                                                       at org digitalcampus oppia activity CourseIndexActivity onPrepareOptionsMenu(CourseIndexActivity java:185)
                                                                                       at android app Activity onPreparePanel(Activity java:2851)
                                                                                       at android support v4 app FragmentActivity onPrepareOptionsPanel(FragmentActivity java:487)
                                                                                       at android support v4 app FragmentActivity onPreparePanel(FragmentActivity java:476)
                                                                                       at android support v7 view WindowCallbackWrapper onPreparePanel(WindowCallbackWrapper java:90)
                                                                                       at android support v7 app AppCompatDelegateImplBase AppCompatWindowCallbackBase onPreparePanel(AppCompatDelegateImplBase java:268)
                                                                                       at android support v7 app AppCompatDelegateImplV7 preparePanel(AppCompatDelegateImplV7 java:1300)
                                                                                       at android support v7 app AppCompatDelegateImplV7 doInvalidatePanelMenu(AppCompatDelegateImplV7 java:1553)
                                                                                       at android support v7 app AppCompatDelegateImplV7 access 100(AppCompatDelegateImplV7 java:89)
                                                                                       at android support v7 app AppCompatDelegateImplV7 1 run(AppCompatDelegateImplV7 java:126)
                                                                                       at android view Choreographer CallbackRecord run(Choreographer java:767)
                                                                                       at android view Choreographer doCallbacks(Choreographer java:580)
                                                                                       at android view Choreographer doFrame(Choreographer java:549)
                                                                                       at android view Choreographer FrameDisplayEventReceiver run(Choreographer java:753)
                                                                                       at android os Handler handleCallback(Handler java:739)
                                                                                       at android os Handler dispatchMessage(Handler java:95)
                                                                                       at android os Looper loop(Looper java:135)
                                                                                       at android app ActivityThread main(ActivityThread java:5343)
                                                                                       at java lang reflect Method invoke(Native Method)
                                                                                       at java lang reflect Method invoke(Method java:372)
                                                                                       at com android internal os ZygoteInit MethodAndArgsCaller run(ZygoteInit java:905)
                                                                                       at com android internal os ZygoteInit main(ZygoteInit java:700)
</t>
  </si>
  <si>
    <t>k9mail-k-9-1394</t>
  </si>
  <si>
    <t>K9 crash try attaching files</t>
  </si>
  <si>
    <t xml:space="preserve">    Expected behaviour
Adding attachment and browising files whit Amaze or other files manager I would like to attach a file
    Actual behaviour
K9 crash when I select the files whit Amaze or other files manager (process  com fsck k9  stop)  if I select files from stock image gallery app or stock audio library app it works fine 
Downgrading K9 to v5 008 everything works fine
    Steps to reproduce
1 Create new email
2 Add attachment
3 Select a file whit Amaze or any other files manager
    Environment
K 9 Mail version:
5 010
Android version:
4 0 4
Account type (IMAP  POP3  WebDAV Exchange):
IMAP
</t>
  </si>
  <si>
    <t>Cloudkibo-Android-86</t>
  </si>
  <si>
    <t xml:space="preserve">Application crashed </t>
  </si>
  <si>
    <t xml:space="preserve">Application crashed   Dump sent to Android
 sojharo  Please pick the dump and attach it to this bug
</t>
  </si>
  <si>
    <t>vickychijwani-quill-124</t>
  </si>
  <si>
    <t>User image is null</t>
  </si>
  <si>
    <t xml:space="preserve">     in me vickychijwani spectre util AppUtils a
  Number of crashes: 1
  Impacted devices: 1
There s a lot more information about this crash on crashlytics com:
 https:  fabric io individual16 android apps me vickychijwani spectre issues 573d0cdcffcdc042500d764f (https:  fabric io individual16 android apps me vickychijwani spectre issues 573d0cdcffcdc042500d764f)
</t>
  </si>
  <si>
    <t>OneBusAway-onebusaway-android-505</t>
  </si>
  <si>
    <t>Release builds fail due to missing/extra translations</t>
  </si>
  <si>
    <t xml:space="preserve">  Summary:   
When doing  gradlew assembleRelease   we get the following error:
  gradlew assembleRelease
Observed package id  add ons addon amazon fire phone addon amazon 17  in inconsistent
 location  F: APIs android sdk add ons addon amazon fire phone addon amazon 17 1  (Ex
pected  F: APIs android sdk add ons addon amazon fire phone addon amazon 17 )
Observed package id  add ons addon google apis google 19  in inconsistent location  F
: APIs android sdk add ons addon google apis google 19 1  (Expected  F: APIs android 
sdk add ons addon google apis google 19 )
Observed package id  build tools 20 0 0  in inconsistent location  F: APIs android sd
k build tools android 4 4W  (Expected  F: APIs android sdk build tools 20 0 0 )
WARNING: Dependency org json:json:20141113 is ignored for agencyXAmazonDebug as it ma
y be conflicting with the internal version provided by Android 
         In case of problem  please repackage with jarjar to change the class package
s
WARNING: Dependency org json:json:20141113 is ignored for agencyXAmazonRelease as it
may be conflicting with the internal version provided by Android 
         In case of problem  please repackage with jarjar to change the class package
s
WARNING: Dependency org json:json:20141113 is ignored for agencyXGoogleDebug as it ma
y be conflicting with the internal version provided by Android 
         In case of problem  please repackage with jarjar to change the class package
s
WARNING: Dependency org json:json:20141113 is ignored for agencyXGoogleRelease as it
may be conflicting with the internal version provided by Android 
         In case of problem  please repackage with jarjar to change the class package
s
WARNING: Dependency org json:json:20141113 is ignored for agencyYAmazonDebug as it ma
y be conflicting with the internal version provided by Android 
         In case of problem  please repackage with jarjar to change the class package
s
WARNING: Dependency org json:json:20141113 is ignored for agencyYAmazonRelease as it
may be conflicting with the internal version provided by Android 
         In case of problem  please repackage with jarjar to change the class package
s
WARNING: Dependency org json:json:20141113 is ignored for agencyYGoogleDebug as it ma
y be conflicting with the internal version provided by Android 
         In case of problem  please repackage with jarjar to change the class package
s
WARNING: Dependency org json:json:20141113 is ignored for agencyYGoogleRelease as it
may be conflicting with the internal version provided by Android 
         In case of problem  please repackage with jarjar to change the class package
s
WARNING: Dependency org json:json:20141113 is ignored for obaAmazonDebug as it may be
 conflicting with the internal version provided by Android 
         In case of problem  please repackage with jarjar to change the class package
s
WARNING: Dependency org json:json:20141113 is ignored for obaAmazonRelease as it may
be conflicting with the internal version provided by Android 
         In case of problem  please repackage with jarjar to change the class package
s
WARNING: Dependency org json:json:20141113 is ignored for obaGoogleDebug as it may be
 conflicting with the internal version provided by Android 
         In case of problem  please repackage with jarjar to change the class package
s
WARNING: Dependency org json:json:20141113 is ignored for obaGoogleRelease as it may
be conflicting with the internal version provided by Android 
         In case of problem  please repackage with jarjar to change the class package
s
Incremental java compilation is an incubating feature 
:onebusaway android:copyMapsApiV2Classes UP TO DATE
:onebusaway android:preBuild UP TO DATE
:onebusaway android:preAgencyXAmazonReleaseBuild UP TO DATE
:onebusaway android:checkAgencyXAmazonReleaseManifest
:onebusaway android:preAgencyXAmazonDebugBuild UP TO DATE
:onebusaway android:preAgencyYAmazonDebugBuild UP TO DATE
:onebusaway android:preAgencyYAmazonReleaseBuild UP TO DATE
:onebusaway android:preObaAmazonDebugBuild UP TO DATE
:onebusaway android:preObaAmazonReleaseBuild UP TO DATE
:onebusaway android:prepareComAmazonAndroidAmazonMapsApi20Library UP TO DATE
:onebusaway android:preAgencyXGoogleDebugBuild UP TO DATE
:onebusaway android:preAgencyXGoogleReleaseBuild UP TO DATE
:onebusaway android:preAgencyYGoogleDebugBuild UP TO DATE
:onebusaway android:preAgencyYGoogleReleaseBuild UP TO DATE
:onebusaway android:preObaGoogleDebugBuild UP TO DATE
:onebusaway android:preObaGoogleReleaseBuild UP TO DATE
:onebusaway android:prepareComAndroidSupportAppcompatV72221Library UP TO DATE
:onebusaway android:prepareComAndroidSupportCardviewV72221Library UP TO DATE
:onebusaway android:prepareComAndroidSupportDesign2221Library UP TO DATE
:onebusaway android:prepareComAndroidSupportSupportV42311Library UP TO DATE
:onebusaway android:prepareComGithubAmlcurranShowcaseviewLibrary543Library UP TO DATE
:onebusaway android:prepareComGoogleAndroidGmsPlayServicesAnalytics830Library UP TO D
ATE
:onebusaway android:prepareComGoogleAndroidGmsPlayServicesBase830Library UP TO DATE
:onebusaway android:prepareComGoogleAndroidGmsPlayServicesBasement830Library UP TO DA
TE
:onebusaway android:prepareComGoogleAndroidGmsPlayServicesLocation830Library UP TO DA
TE
:onebusaway android:prepareComGoogleAndroidGmsPlayServicesMaps830Library UP TO DATE
:onebusaway android:prepareComSothreeSlidinguppanelLibrary311Library UP TO DATE
:onebusaway android:prepareAgencyXAmazonReleaseDependencies
:onebusaway android:compileAgencyXAmazonReleaseAidl UP TO DATE
:onebusaway android:compileAgencyXAmazonReleaseRenderscript UP TO DATE
:onebusaway android:generateAgencyXAmazonReleaseBuildConfig UP TO DATE
:onebusaway android:mergeAgencyXAmazonReleaseShaders UP TO DATE
:onebusaway android:compileAgencyXAmazonReleaseShaders UP TO DATE
:onebusaway android:generateAgencyXAmazonReleaseAssets UP TO DATE
:onebusaway android:mergeAgencyXAmazonReleaseAssets UP TO DATE
:onebusaway android:generateAgencyXAmazonReleaseResValues UP TO DATE
:onebusaway android:generateAgencyXAmazonReleaseResources UP TO DATE
:onebusaway android:mergeAgencyXAmazonReleaseResources UP TO DATE
:onebusaway android:processAgencyXAmazonReleaseManifest UP TO DATE
:onebusaway android:processAgencyXAmazonReleaseResources UP TO DATE
:onebusaway android:generateAgencyXAmazonReleaseSources UP TO DATE
:onebusaway android:incrementalAgencyXAmazonReleaseJavaCompilationSafeguard UP TO DAT
E
:onebusaway android:compileAgencyXAmazonReleaseJavaWithJavac UP TO DATE
:onebusaway android:compileAgencyXAmazonReleaseNdk UP TO DATE
:onebusaway android:compileAgencyXAmazonReleaseSources UP TO DATE
:onebusaway android:lintVitalAgencyXAmazonRelease
F: Android Studio onebusaway android onebusaway android src main res values arrays xm
l:180: Error:  report stop issue tutorial desc  is not translated in  es  (Spanish) 
 fi  (Finnish)  MissingTranslation 
     string array name  report stop issue tutorial desc  
F: Android Studio onebusaway android onebusaway android src main res values arrays xm
l:186: Error:  report stop transit category keywords  is not translated in  es  (Span
ish)   fi  (Finnish)  MissingTranslation 
     string array name  report stop transit category keywords  
F: Android Studio onebusaway android onebusaway android src main res values arrays xm
l:192: Error:  report trip transit category keywords  is not translated in  es  (Span
ish)   fi  (Finnish)  MissingTranslation 
     string array name  report trip transit category keywords  
F: Android Studio onebusaway android onebusaway android src main res values arrays xm
l:198: Error:  report stop id field keywords  is not translated in  es  (Spanish)   f
i  (Finnish)  MissingTranslation 
     string array name  report stop id field keywords  
F: Android Studio onebusaway android onebusaway android src agencyX res values do not
 translate xml:20: Error:  apiv2 key  is not translated in  es  (Spanish)   fi  (Finn
ish)  MissingTranslation 
     string name  apiv2 key  AIzaSyBooMg0AliKO3WXfg8Z4s7ASS9pjSU9TJY  string 
F: Android Studio onebusaway android onebusaway android src main res values fonts xml
:20: Error:  font fontFamily medium  is not translated in  es  (Spanish)   fi  (Finni
sh)  MissingTranslation 
     string name  font fontFamily medium  sans serif  string 
F: Android Studio onebusaway android onebusaway android src main res values strings x
ml:115: Error:  main help legend title  is not translated in  es  (Spanish)   fi  (Fi
nnish)  MissingTranslation 
     string name  main help legend title  Legend  string 
F: Android Studio onebusaway android onebusaway android src main res values strings x
ml:116: Error:  main help legend ontime  is not translated in  es  (Spanish)   fi  (F
innish)  MissingTranslation 
     string name  main help legend ontime  Green means   On time    string 
F: Android Studio onebusaway android onebusaway android src main res values strings x
ml:117: Error:  main help legend late  is not translated in  es  (Spanish)   fi  (Fin
nish)  MissingTranslation 
     string name  main help legend late  Blue means   Running late    string 
F: Android Studio onebusaway android onebusaway android src main res values strings x
ml:118: Error:  main help legend early  is not translated in  es  (Spanish)   fi  (Fi
nnish)  MissingTranslation 
     string name  main help legend early  Red means   Running early    string 
F: Android Studio onebusaway android onebusaway android src main res values strings x
ml:119: Error:  main help legend scheduled  is not translated in  es  (Spanish)   fi 
 (Finnish)  MissingTranslation 
     string name  main help legend scheduled  Gray means   Scheduled arrival     We d
on  t know
F: Android Studio onebusaway android onebusaway android src main res values strings x
ml:235: Error:  stop info option report problem  is not translated in  fi  (Finnish)
 MissingTranslation 
     string name  stop info option report problem  Report stop problem  string 
F: Android Studio onebusaway android onebusaway android src main res values strings x
ml:465: Error:  bug report body without location  is not translated in  es  (Spanish)
   fi  (Finnish)  MissingTranslation 
     string name  bug report body without location  Complaints  kudos  or bug reports
 are welcome  n n nApp Version:
F: Android Studio onebusaway android onebusaway android src main res values strings x
ml:560: Error:  region dialog message  is not translated in  es  (Spanish)   fi  (Fin
nish)  MissingTranslation 
     string name  region dialog message  Are you in the  1 s region   string 
F: Android Studio onebusaway android onebusaway android src main res values strings x
ml:561: Error:  preference region dialog message  is not translated in  es  (Spanish)
   fi  (Finnish)  MissingTranslation 
     string name  preference region dialog message   Your region is currently set to
 1 s 
F: Android Studio onebusaway android onebusaway android src main res values strings x
ml:563: Error:  preference region dialog title  is not translated in  es  (Spanish) 
 fi  (Finnish)  MissingTranslation 
     string name  preference region dialog title  Please check region  string 
F: Android Studio onebusaway android onebusaway android src main res values strings x
ml:564: Error:  report dialog out of region message  is not translated in  es  (Spani
sh)   fi  (Finnish)  MissingTranslation 
     string name  report dialog out of region message   Please select a stop   string
F: Android Studio onebusaway android onebusaway android src main res values strings x
ml:565: Error:  report dialog trip  is not translated in  es  (Spanish)   fi  (Finnis
h)  MissingTranslation 
     string name  report dialog trip   Please select an arrival time   string 
F: Android Studio onebusaway android onebusaway android src main res values strings x
ml:568: Error:  ri desc hint  is not translated in  es  (Spanish)   fi  (Finnish)  Mi
ssingTranslation 
     string name  ri desc hint  Issue description  string 
F: Android Studio onebusaway android onebusaway android src main res values strings x
ml:569: Error:  ri button camera  is not translated in  es  (Spanish)   fi  (Finnish)
  MissingTranslation 
     string name  ri button camera  Camera  string 
F: Android Studio onebusaway android onebusaway android src main res values strings x
ml:570: Error:  ri button image  is not translated in  es  (Spanish)   fi  (Finnish)
 MissingTranslation 
     string name  ri button image  ADD IMAGE  string 
F: Android Studio onebusaway android onebusaway android src main res values strings x
ml:571: Error:  ri button gallery  is not translated in  es  (Spanish)   fi  (Finnish
)  MissingTranslation 
     string name  ri button gallery  Gallery  string 
F: Android Studio onebusaway android onebusaway android src main res values strings x
ml:572: Error:  ri address not found  is not translated in  es  (Spanish)   fi  (Finn
ish)  MissingTranslation 
     string name  ri address not found  Address not found  Please check your address 
  string 
F: Android Studio onebusaway android onebusaway android src main res values strings x
ml:573: Error:  ri service description problem  is not translated in  es  (Spanish) 
 fi  (Finnish)  MissingTranslation 
     string name  ri service description problem  Service description could not be fo
und   string 
F: Android Studio onebusaway android onebusaway android src main res values strings x
ml:574: Error:  ri service default  is not translated in  es  (Spanish)   fi  (Finnis
h)  MissingTranslation 
     string name  ri service default  Choose a Problem  string 
F: Android Studio onebusaway android onebusaway android src main res values strings x
ml:575: Error:  ri service stop  is not translated in  es  (Spanish)   fi  (Finnish)
 MissingTranslation 
     string name  ri service stop  Stop Problem  string 
F: Android Studio onebusaway android onebusaway android src main res values strings x
ml:576: Error:  ri service trip  is not translated in  es  (Spanish)   fi  (Finnish)
 MissingTranslation 
     string name  ri service trip  Arrival Time Problem  string 
F: Android Studio onebusaway android onebusaway android src main res values strings x
ml:577: Error:  ri user name hint  is not translated in  es  (Spanish)   fi  (Finnish
)  MissingTranslation 
     string name  ri user name hint  First name  string 
F: Android Studio onebusaway android onebusaway android src main res values strings x
ml:578: Error:  ri user lastname hint  is not translated in  es  (Spanish)   fi  (Fin
nish)  MissingTranslation 
     string name  ri user lastname hint  Last name  string 
F: Android Studio onebusaway android onebusaway android src main res values strings x
ml:579: Error:  ri user email hint  is not translated in  es  (Spanish)   fi  (Finnis
h)  MissingTranslation 
     string name  ri user email hint  Email  string 
F: Android Studio onebusaway android onebusaway android src main res values strings x
ml:580: Error:  ri user phone hint  is not translated in  es  (Spanish)   fi  (Finnis
h)  MissingTranslation 
     string name  ri user phone hint  Phone number  string 
F: Android Studio onebusaway android onebusaway android src main res values strings x
ml:581: Error:  ri no trip  is not translated in  es  (Spanish)   fi  (Finnish)  Miss
ingTranslation 
     string name  ri no trip  No arrival times  please check back later   string 
F: Android Studio onebusaway android onebusaway android src main res values strings x
ml:582: Error:  ri anonymous checkbox  is not translated in  es  (Spanish)   fi  (Fin
nish)  MissingTranslation 
     string name  ri anonymous checkbox  Keep it anonymous  string 
F: Android Studio onebusaway android onebusaway android src main res values strings x
ml:583: Error:  ri submitting message  is not translated in  es  (Spanish)   fi  (Fin
nish)  MissingTranslation 
     string name  ri submitting message  Submitting your report  string 
F: Android Studio onebusaway android onebusaway android src main res values strings x
ml:584: Error:  ri unsuccessful submit  is not translated in  es  (Spanish)   fi  (Fi
nnish)  MissingTranslation 
     string name  ri unsuccessful submit  An error occurred during submission  please
 try again later   string 
F: Android Studio onebusaway android onebusaway android src main res values strings x
ml:588: Error:  rt infrastructure problem  is not translated in  es  (Spanish)   fi 
(Finnish)  MissingTranslation 
     string name  rt infrastructure problem  Report a Stop Problem  string 
F: Android Studio onebusaway android onebusaway android src main res values strings x
ml:589: Error:  rt customer service  is not translated in  es  (Spanish)   fi  (Finni
sh)  MissingTranslation 
     string name  rt customer service  Contact Customer Service  string 
F: Android Studio onebusaway android onebusaway android src main res values strings x
ml:590: Error:  rt stop problem  is not translated in  es  (Spanish)   fi  (Finnish)
 MissingTranslation 
     string name  rt stop problem  Report a Stop Problem  string 
F: Android Studio onebusaway android onebusaway android src main res values strings x
ml:591: Error:  rt arrival problem  is not translated in  es  (Spanish)   fi  (Finnis
h)  MissingTranslation 
     string name  rt arrival problem  Report an Arrival Time Problem  string 
F: Android Studio onebusaway android onebusaway android src main res values strings x
ml:592: Error:  rt infrastructure problem title  is not translated in  es  (Spanish) 
  fi  (Finnish)  MissingTranslation 
     string name  rt infrastructure problem title  Report a Problem  string 
F: Android Studio onebusaway android onebusaway android src main res values strings x
ml:593: Error:  rt stop problem title  is not translated in  es  (Spanish)   fi  (Fin
nish)  MissingTranslation 
     string name  rt stop problem title  Stop Problem  string 
F: Android Studio onebusaway android onebusaway android src main res values strings x
ml:594: Error:  rt arrival problem title  is not translated in  es  (Spanish)   fi  (
Finnish)  MissingTranslation 
     string name  rt arrival problem title  Arrival Time Problem  string 
F: Android Studio onebusaway android onebusaway android src main res values strings x
ml:595: Error:  rt app feedback  is not translated in  es  (Spanish)   fi  (Finnish)
 MissingTranslation 
     string name  rt app feedback  Send App Feedback  string 
F: Android Studio onebusaway android onebusaway android src main res values strings x
ml:596: Error:  rt ideas  is not translated in  es  (Spanish)   fi  (Finnish)  Missin
gTranslation 
     string name  rt ideas  Ideas For New Features  string 
F: Android Studio onebusaway android onebusaway android src main res values strings x
ml:597: Error:  rt message infrastructure problem  is not translated in  es  (Spanish
)   fi  (Finnish)  MissingTranslation 
     string name  rt message infrastructure problem  Missing route  broken bench  etc
   string 
F: Android Studio onebusaway android onebusaway android src main res values strings x
ml:598: Error:  rt message customer service  is not translated in  es  (Spanish)   fi
  (Finnish)  MissingTranslation 
     string name  rt message customer service  Driver compliments and complaints  los
t  amp  found  etc   string 
F: Android Studio onebusaway android onebusaway android src main res values strings x
ml:599: Error:  rt message stop problem  is not translated in  es  (Spanish)   fi  (F
innish)  MissingTranslation 
     string name  rt message stop problem  Missing route  wrong stop name  etc   stri
ng 
F: Android Studio onebusaway android onebusaway android src main res values strings x
ml:600: Error:  rt message arrival problem  is not translated in  es  (Spanish)   fi 
 (Finnish)  MissingTranslation 
     string name  rt message arrival problem  Vehicle never came  wrong arrival time 
 etc   string 
F: Android Studio onebusaway android onebusaway android src main res values strings x
ml:601: Error:  rt message app feedback  is not translated in  es  (Spanish)   fi  (F
innish)  MissingTranslation 
     string name  rt message app feedback  Design  bugs  etc   string 
F: Android Studio onebusaway android onebusaway android src main res values strings x
ml:602: Error:  rt message ideas  is not translated in  es  (Spanish)   fi  (Finnish)
  MissingTranslation 
     string name  rt message ideas  Submit and vote on future improvements  string 
F: Android Studio onebusaway android onebusaway android src main res values strings x
ml:603: Error:  rt address hint  is not translated in  es  (Spanish)   fi  (Finnish)
 MissingTranslation 
     string name  rt address hint  Address of problem (optional)  string 
F: Android Studio onebusaway android onebusaway android src main res values strings x
ml:604: Error:  rt yes  is not translated in  es  (Spanish)   fi  (Finnish)  MissingT
ranslation 
     string name  rt yes  YES  string 
F: Android Studio onebusaway android onebusaway android src main res values strings x
ml:605: Error:  rt no  is not translated in  es  (Spanish)   fi  (Finnish)  MissingTr
anslation 
     string name  rt no  NO  string 
F: Android Studio onebusaway android onebusaway android src main res values strings x
ml:709: Error:  tutorial send feedback title  is not translated in  es  (Spanish)   f
i  (Finnish)  MissingTranslation 
     string name  tutorial send feedback title  Tell us what you think  string 
F: Android Studio onebusaway android onebusaway android src main res values strings x
ml:710: Error:  tutorial send feedback text  is not translated in  es  (Spanish)   fi
  (Finnish)  MissingTranslation 
     string name  tutorial send feedback text  Help us improve OneBusAway  Tap on   S
end feedback  
F: Android Studio onebusaway android onebusaway android src main res values strings x
ml:713: Error:  tutorial send feedback transit service title  is not translated in  e
s  (Spanish)   fi  (Finnish)  MissingTranslation 
     string name  tutorial send feedback transit service title  More than just transi
t  string 
F: Android Studio onebusaway android onebusaway android src main res values strings x
ml:714: Error:  tutorial send feedback transit service text  is not translated in  es
  (Spanish)   fi  (Finnish)  MissingTranslation 
     string name  tutorial send feedback transit service text  You can report a varie
ty of issue
   Explanation for issues of type  MissingTranslation :
   If an application has more than one locale  then all the strings declared
   in one language should also be translated in all other languages 
   If the string should not be translated  you can add the attribute
   translatable  false  on the  string  element  or you can define all your
   non translatable strings in a resource file called donottranslate xml  Or 
   you can ignore the issue with a tools:ignore  MissingTranslation 
   attribute 
   By default this detector allows regions of a language to just provide a
   subset of the strings and fall back to the standard language strings  You
   can require all regions to provide a full translation by setting the
   environment variable ANDROID LINT COMPLETE REGIONS 
   You can tell lint (and other tools) which language is the default language
   in your res values  folder by specifying tools:locale  languageCode  for
   the root  resources  element in your resource file  (The tools prefix
   refers to the namespace declaration http:  schemas android com tools )
F: Android Studio onebusaway android onebusaway android src main res values fi string
s xml:225: Error:  stop info option reportproblem  is translated here but not found i
n default locale  ExtraTranslation 
     string name  stop info option reportproblem  Ilmoita ongelmasta  string 
F: Android Studio onebusaway android onebusaway android src main res values es string
s xml:395: Error:  report problem code  is translated here but not found in default l
ocale  ExtraTranslation 
     string name  report problem code   Cu l es el problema   string 
    F: Android Studio onebusaway android onebusaway android src main res values fi st
rings xml:395: Also translated here
F: Android Studio onebusaway android onebusaway android src main res values es string
s xml:396: Error:  report problem comment  is translated here but not found in defaul
t locale  ExtraTranslation 
     string name  report problem comment   Algo m s   string 
    F: Android Studio onebusaway android onebusaway android src main res values fi st
rings xml:396: Also translated here
F: Android Studio onebusaway android onebusaway android src main res values es string
s xml:398: Error:  report problem email  is translated here but not found in default
locale  ExtraTranslation 
     string name  report problem email  Tu correo electr nico  string 
    F: Android Studio onebusaway android onebusaway android src main res values fi st
rings xml:398: Also translated here
F: Android Studio onebusaway android onebusaway android src main res values es string
s xml:399: Error:  report problem email hint  is translated here but not found in def
ault locale  ExtraTranslation 
     string name  report problem email hint  opcional  string 
    F: Android Studio onebusaway android onebusaway android src main res values fi st
rings xml:399: Also translated here
F: Android Studio onebusaway android onebusaway android src main res values es string
s xml:400: Error:  report problem cancel  is translated here but not found in default
 locale  ExtraTranslation 
     string name  report problem cancel  Cancelar  string 
    F: Android Studio onebusaway android onebusaway android src main res values fi st
rings xml:400: Also translated here
F: Android Studio onebusaway android onebusaway android src main res values es string
s xml:408: Error:  report problem vehiclenumber bus  is translated here but not found
 in default locale  ExtraTranslation 
     string name  report problem vehiclenumber bus  N mero del bus  string 
    F: Android Studio onebusaway android onebusaway android src main res values fi st
rings xml:408: Also translated here
   Explanation for issues of type  ExtraTranslation :
   If a string appears in a specific language translation file  but there is
   no corresponding string in the default locale  then this string is probably
   unused  (It s technically possible that your application is only intended
   to run in a specific locale  but it s still a good idea to provide a
   fallback ) 
   Note that these strings can lead to crashes if the string is looked up on
   any locale not providing a translation  so it s important to clean them
   up 
64 errors  0 warnings
                                                                                    :
onebusaway android:lintVitalAgencyXAmazonRelease                                    F
AILED
FAILURE: Build failed with an exception 
  What went wrong:
Execution failed for task  :onebusaway android:lintVitalAgencyXAmazonRelease  
  Lint found fatal errors while assembling a release target 
To proceed  either fix the issues identified by lint  or modify your build script as
follows:
android  
    lintOptions  
        checkReleaseBuilds false
           Or  if you prefer  you can continue to check for errors in release builds 
           but continue the build even when errors are found:
        abortOnError false
  Try:
Run with   stacktrace option to get the stack trace  Run with   info or   debug optio
n to get more log output 
BUILD FAILED
Total time: 15 789 secs
barbeau USF271882C  F Android Studio onebusaway android (master)
This is because the translations (Spanish    503  and Finnish    504) haven t caught up with the main strings xml 
It s desirable to be able to release alphas and betas without all the translations in place  because our translators are volunteers and can t always work on our release schedule 
  Steps to reproduce:   
From command line    gradlew assembleRelease 
  Expected behavior:   
Build successfully
  Observed behavior:   
Build fails with the above error 
  Device and Android version:   
N A
</t>
  </si>
  <si>
    <t>lukaspili-Reactive-Billing-3</t>
  </si>
  <si>
    <t>java.lang.IllegalStateException: Doesn't have any subscription</t>
  </si>
  <si>
    <t xml:space="preserve">On my fragment s  onCreate()  I subscribe to the  purchaseFlow()  as:
    java
    mSubscription   ReactiveBilling getInstance(mActivity) purchaseFlow()   
And on the fragment s  onDestroy()  I unsubscribe it as:
    java
    if (mSubscription    null)  
           mSubscription unsubscribe() 
           mSubscription   null 
This fragment is triggered by a menu button (and dismissed by another close button within the fragment)  When the menu and close button is tapped in quick succession  sometimes I will get the crash as below  May I ask if there s any way to prevent it 
                                                            Caused by: java lang IllegalStateException: Doesn t have any subscription
                                                               at com github lukaspili reactivebilling PurchaseFlowService 1 call(PurchaseFlowService java:38)
                                                               at rx subscriptions BooleanSubscription unsubscribe(BooleanSubscription java:71)
                                                               at rx internal util SubscriptionList unsubscribeFromAll(SubscriptionList java:124)
                                                               at rx internal util SubscriptionList unsubscribe(SubscriptionList java:113)
                                                               at rx Subscriber unsubscribe(Subscriber java:98)
                                                               at rx internal util SubscriptionList unsubscribeFromAll(SubscriptionList java:124)
                                                               at rx internal util SubscriptionList unsubscribe(SubscriptionList java:113)
                                                               at rx Subscriber unsubscribe(Subscriber java:98)
                                                               at rx internal util SubscriptionList unsubscribeFromAll(SubscriptionList java:124)
                                                               at rx internal util SubscriptionList unsubscribe(SubscriptionList java:113)
                                                               at rx Subscriber unsubscribe(Subscriber java:98)
                                                               at com example controller MenuMainFragment onDestroy(MenuMainFragment java:332)
                                                               at android support v4 app Fragment performDestroy(Fragment java:2202)
                                                               at android support v4 app FragmentManagerImpl moveToState(FragmentManager java:1196)
                                                               at android support v4 app FragmentManagerImpl moveToState(FragmentManager java:1252)
                                                               at android support v4 app FragmentManagerImpl moveToState(FragmentManager java:1234)
                                                               at android support v4 app FragmentManagerImpl dispatchDestroy(FragmentManager java:2083)
                                                               at android support v4 app FragmentController dispatchDestroy(FragmentController java:244)
                                                               at android support v4 app FragmentActivity onDestroy(FragmentActivity java:368)
                                                               at android support v7 app AppCompatActivity onDestroy(AppCompatActivity java:203)
                                                               at com example BaseActivity onDestroy(BaseActivity java:131)
                                                               at android app Activity performDestroy(Activity java:6169)
                                                               at android app Instrumentation callActivityOnDestroy(Instrumentation java:1141)
                                                               at android app ActivityThread performDestroyActivity(ActivityThread java:3693)
                                                               at android app ActivityThread handleDestroyActivity(ActivityThread java:3724) 
                                                               at android app ActivityThread access 1400(ActivityThread java:151) 
                                                               at android app ActivityThread H handleMessage(ActivityThread java:1357)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</si>
  <si>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pazaan-600SeriesAndroidUploader-37</t>
  </si>
  <si>
    <t>App crashes if "REST API Upload" is switched on, but "Nightscout URL" is invalid.</t>
  </si>
  <si>
    <t xml:space="preserve">http:   YOUR API SERVER  will cause the app to crash with this:
http:   YOUR API SERVER  api devicestatus
    at java net URI create(URI java:733)   na:0 0 
    at org apache http client methods HttpPost  init (HttpPost java:84)   na:0 0 
    at info nightscout android upload UploadHelper postDeviceStatus(UploadHelper java:694)   na:0 0 
    at info nightscout android upload UploadHelper doRESTUploadTo(UploadHelper java:481)   na:0 0 
    at info nightscout android upload UploadHelper doRESTUpload(UploadHelper java:417)   na:0 0 
    at info nightscout android upload UploadHelper doInBackground(UploadHelper java:364)   na:0 0 
    at info nightscout android upload UploadHelper doInBackground(UploadHelper java:65)   na:0 0 
    at android os AsyncTask 2 call(AsyncTask java:295)   na:0 0 
    at java util concurrent FutureTask run(FutureTask java:237)   na:0 0 
    at android os AsyncTask SerialExecutor 1 run(AsyncTask java:234)   na:0 0 
    at java util concurrent ThreadPoolExecutor runWorker(ThreadPoolExecutor java:1113)   na:0 0 
    at java util concurrent ThreadPoolExecutor Worker run(ThreadPoolExecutor java:588)   na:0 0 
    at java lang Thread run(Thread java:818)   na:0 0 
</t>
  </si>
  <si>
    <t>requery-sqlite-android-20</t>
  </si>
  <si>
    <t>"JNI FatalError called: RegisterNatives failed.."</t>
  </si>
  <si>
    <t xml:space="preserve">My app accesses an SQLite Database as soon as it s opened  but as of version  3 13 0 1   it crashes at launch with a  very large stacktrace (linked    me sebj times beta  is my app s ID) (http:  pastebin com raw TgLAg2aS)  which includes the message:
  JNI FatalError called: RegisterNatives failed for  io requery android database sqlite SQLiteConnection   aborting   
My app is being built for release (with ProGuard enabled) and crashes both in an Android Emulator on 5 0  and on my own 5 1 1 device (probably others) 
Downgrading to  3 12 2 2  in my Gradle file  building  and running instantly fixes the problem   the app runs perfectly 
</t>
  </si>
  <si>
    <t>translation-cards-translation-cards-196</t>
  </si>
  <si>
    <t>App crashes if user denies microphone permission</t>
  </si>
  <si>
    <t xml:space="preserve">When a user tries to record a new audio and is prompted for microphone permissions  if they deny the access the app crashes 
</t>
  </si>
  <si>
    <t>translation-cards-translation-cards-195</t>
  </si>
  <si>
    <t>Quickly press record button several times</t>
  </si>
  <si>
    <t xml:space="preserve">When the user tries to record an audio for a translation card (either by creating a new one or editing it)  if the user quickly presses the record button many times  the app crashes 
</t>
  </si>
  <si>
    <t>translation-cards-translation-cards-192</t>
  </si>
  <si>
    <t>Microphone permissions app crash on edit</t>
  </si>
  <si>
    <t xml:space="preserve">When assets are loaded and you try to edit an existing translation card when trying to record audio  the app crashes because permissions to access the microphone are not asked 
Cause of this: the GetStartedActivity logic to check the proper permissions is not executed because of the assets bypasses the logic 
</t>
  </si>
  <si>
    <t>wallabag-android-app-260</t>
  </si>
  <si>
    <t>RuntimeException: An error occured while executing doInBackground() Caused by: ExceptionInInitializerError WallabagConnection.getClient()</t>
  </si>
  <si>
    <t xml:space="preserve">already reported 5 times in Gplay:
java lang RuntimeException: An error occured while executing doInBackground()
    at android os AsyncTask 3 done(AsyncTask java:300)
    at java util concurrent FutureTask finishCompletion(FutureTask java:355)
    at java util concurrent FutureTask setException(FutureTask java:222)
    at java util concurrent FutureTask run(FutureTask java:242)
    at android os AsyncTask SerialExecutor 1 run(AsyncTask java:231)
    at java util concurrent ThreadPoolExecutor runWorker(ThreadPoolExecutor java:1112)
    at java util concurrent ThreadPoolExecutor Worker run(ThreadPoolExecutor java:587)
    at java lang Thread run(Thread java:841)
Caused by: java lang ExceptionInInitializerError
    at fr gaulupeau apps Poche network WallabagConnection getClient(WallabagConnection java:107)
    at fr gaulupeau apps Poche network tasks UpdateFeedTask getInputStream(UpdateFeedTask java:248)
    at fr gaulupeau apps Poche network tasks UpdateFeedTask updateByFeed(UpdateFeedTask java:190)
    at fr gaulupeau apps Poche network tasks UpdateFeedTask update(UpdateFeedTask java:172)
    at fr gaulupeau apps Poche network tasks UpdateFeedTask doInBackground(UpdateFeedTask java:93)
    at fr gaulupeau apps Poche network tasks UpdateFeedTask doInBackground(UpdateFeedTask java:32)
    at android os AsyncTask 2 call(AsyncTask java:288)
    at java util concurrent FutureTask run(FutureTask java:237)
        4 more
Caused by: java lang NullPointerException
    at okhttp3 internal tls RealTrustRootIndex  init (RealTrustRootIndex java:31)
    at okhttp3 internal Platform trustRootIndex(Platform java:100)
    at okhttp3 internal Platform Android trustRootIndex(Platform java:249)
    at okhttp3 OkHttpClient  init (OkHttpClient java:189)
    at okhttp3 OkHttpClient  init (OkHttpClient java:60)
    at okhttp3 OkHttpClient Builder build(OkHttpClient java:718)
    at fr gaulupeau apps Poche network WallabagConnection createClient(WallabagConnection java:175)
    at fr gaulupeau apps Poche network WallabagConnection getClient(WallabagConnection java:110)
    at fr gaulupeau apps Poche network WallabagConnection Holder  clinit (WallabagConnection java:179)
        12 more
vor 47 Minuten
1 9 9 4
Aquaris E10 (Aquaris E10)
fallo cuando sincronizo
Gestern  21:34
1 9 9 4
Galaxy Tab Pro 8 4 (mondrianwifiue)
it crashes while syncing
Android 4 4     3
Android 6 0     2   
</t>
  </si>
  <si>
    <t>zhuowei-MCPELauncher-1018</t>
  </si>
  <si>
    <t>Desnoguns r016 mod crash [had to disable it]</t>
  </si>
  <si>
    <t xml:space="preserve">I was playing blocklauncher then when i loaded desnoguns  blocklauncher crashed
xD  i just wanted to play it :(
</t>
  </si>
  <si>
    <t>zhuowei-MCPELauncher-1017</t>
  </si>
  <si>
    <t>New bugs and glitches</t>
  </si>
  <si>
    <t xml:space="preserve">Ok  to start of  I wanna congratulate you and thank you for this app so  Thanks and congratulations  zhuowei   
Back to the point  the new update this week that supports the 0 14 2  versions makes it harder for me to check my mod if there was any bugs and or glitches cause some functions aren t working properly  One good example is the  ModPE showTipMessage()   that I use for the countdowns and timers  It also crashes when some block of codes were executed  
This is the code I use and function well before the update that crashes the app every time it s executed:
 if (Player getCarriedItemCount()   1)  
                Entity setCarriedItem(getPlayerEnt()  1004  Player getCarriedItemCount() 1  0) 
            else  
                Player clearInventorySlot(Player getSelectedSlotId()) 
This is the new code I m using after the update that didn t crash when executed:
 if (Player getCarriedItemCount()   1)  
            Entity setCarriedItem(getPlayerEnt()  1004  Player getCarriedItemCount() 1  0) 
        else  
                Player clearInventorySlot(Player getSelectedSlotId()) 
</t>
  </si>
  <si>
    <t>geopaparazzi-geopaparazzi-322</t>
  </si>
  <si>
    <t>error from ACRA - https - should be solved already</t>
  </si>
  <si>
    <t xml:space="preserve">APP VERSION CODE 74
APP VERSION NAME 5 0 1
ANDROID VERSION 6 0
PHONE MODEL MotoG3
CUSTOM DATA 
STACK TRACE java lang NullPointerException: Attempt to invoke virtual method  java lang String java lang String trim()  on a null object reference
at eu hydrologis geopaparazzi ui activities ImportActivity onWMSLayersAdded(ImportActivity java:369)
at gov nasa worldwind AddWMSDialog 3 onClick(AddWMSDialog java:171)
at com android internal app AlertController ButtonHandler handleMessage(AlertController java:163)
at android os Handler dispatchMessage(Handler java:102)
at android os Looper loop(Looper java:148)
at android app ActivityThread main(ActivityThread java:5443)
at java lang reflect Method invoke(Native Method)
at com android internal os ZygoteInit MethodAndArgsCaller run(ZygoteInit java:728)
at com android internal os ZygoteInit main(ZygoteInit java:618)
LOGCAT           beginning of system
          beginning of main
More information for wms import crash
WMS: 
http:  ogc larioja org wms request php
LAYER: arboles singulares
</t>
  </si>
  <si>
    <t>EyeSeeTea-malariapp-1034</t>
  </si>
  <si>
    <t>Application crash adding registers in Scoreregister from survey session</t>
  </si>
  <si>
    <t xml:space="preserve">The Application crash when tries to add registers in the scoreRegisters from the Survey saved in session 
This problem appears when  the user open one survey feedback and some surveys are pushing in backgraund at the same time 
</t>
  </si>
  <si>
    <t>EyeSeeTea-EDSApp-48</t>
  </si>
  <si>
    <t>Crash: Clinical Observation Results (resolved?)</t>
  </si>
  <si>
    <t xml:space="preserve">The application crashed when I tried to open the clinical observation results  
It crashed and then showed the settings page  
When I went back in after the crash  it opened  then crashed again  
After this  I tried opening a new Clinical Obs module and it crashed  but after the initial crash I was able to re open the new one and create another new one without a crash  
I could not replicate this crash 
</t>
  </si>
  <si>
    <t>EyeSeeTea-EDSApp-47</t>
  </si>
  <si>
    <t>Crash: Clinical Observation 1</t>
  </si>
  <si>
    <t xml:space="preserve">Clincial Observation 1 always crashes when you answer  No  to
 Supervisor: should the patient be referred admitted  
Or when you uncheck  Yes  for the same question
and then it brings up the settings screen
</t>
  </si>
  <si>
    <t>EyeSeeTea-EDSApp-44</t>
  </si>
  <si>
    <t>Crash: General OTSS tab crashed when exiting</t>
  </si>
  <si>
    <t xml:space="preserve">Could not replicate  App crashed when exiting Gen OTSS survey though  I had answered a few questions and tried to go back to the landing page  It crashed before the landing page loaded  
I cant replicate but it happened and I am reporting
</t>
  </si>
  <si>
    <t>EyeSeeTea-EDSApp-42</t>
  </si>
  <si>
    <t>Crash: return to landing page from feedback</t>
  </si>
  <si>
    <t xml:space="preserve">Application crashes consistently when you return to the landing page from the feedback section  if the feedback section has not yet fully loaded   See video below 
 Video (https:  drive google com open id 0BwFVG9gNmqDyNUREMENOOUtCeEE)
</t>
  </si>
  <si>
    <t>OneBusAway-onebusaway-android-518</t>
  </si>
  <si>
    <t>NPE when changing screen orientations in HomeActivity in route mode w/ interruption</t>
  </si>
  <si>
    <t xml:space="preserve">  Summary:   
NPE when changing screen orientations in HomeActivity  showing the route  after I received an incoming phone call and returned to the app:
AndroidRuntime: FATAL EXCEPTION: main
    Process: com joulespersecond seattlebusbot  PID: 28657
    java lang NullPointerException: Attempt to invoke virtual method  java lang Object android content Context getSystemService(java lang String)  on a null object reference
        at org onebusaway android util UIUtils isConnected(UIUtils java:543)
        at org onebusaway android util UIUtils getMapErrorString(UIUtils java:518)
        at org onebusaway android map googlemapsv2 BaseMapFragment showMapError(BaseMapFragment java:604)
        at org onebusaway android map RouteMapController RouteLoaderListener onLoadFinished(RouteMapController java:398)
        at org onebusaway android map RouteMapController RouteLoaderListener onLoadComplete(RouteMapController java:435)
        at org onebusaway android map RouteMapController RouteLoaderListener onLoadComplete(RouteMapController java:382)
        at android support v4 content Loader deliverResult(Loader java:126)
        at org onebusaway android map RouteMapController RoutesLoader deliverResult(RouteMapController java:373)
        at org onebusaway android map RouteMapController RoutesLoader deliverResult(RouteMapController java:345)
        at android support v4 content AsyncTaskLoader dispatchOnLoadComplete(AsyncTaskLoader java:249)
        at android support v4 content AsyncTaskLoader LoadTask onPostExecute(AsyncTaskLoader java:77)
        at android support v4 content ModernAsyncTask finish(ModernAsyncTask java:466)
        at android support v4 content ModernAsyncTask access 400(ModernAsyncTask java:48)
        at android support v4 content ModernAsyncTask InternalHandler handleMessage(ModernAsyncTask java:483)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Steps to reproduce:   
I saw this while trying to grab screenshots for https:  github com OneBusAway onebusaway android issues 517 
Steps were something along the lines of:
1  Tap on a stop on the map in portrait orientation
2  Tap on an arrival time  and choose  Show route on map 
3  Close the sliding panel by hitting the Back button
4  Rotate the device to landscape orientation
I then got an incoming phone call and answered it  and then returned to OBA   At this point it crashed and I grabbed the above stack trace via Android Studio 
  Expected behavior:   
Show me the route on the map 
  Observed behavior:   
It crashed 
  Device and Android version:   
Stock LG G4 w  Android 6 0 and Google Play Services v9 0 83 on the device 
  Screenshots:   
N A
</t>
  </si>
  <si>
    <t>OneBusAway-onebusaway-android-515</t>
  </si>
  <si>
    <t>NPE in TripDetailsListFragment</t>
  </si>
  <si>
    <t xml:space="preserve">  Summary:   
Crash from Android Developer Console:
java lang NullPointerException: Attempt to invoke interface method  java lang String org onebusaway android io elements ObaTrip getRouteId()  on a null object reference
    at org onebusaway android ui TripDetailsListFragment onOptionsItemSelected(TripDetailsListFragment java:193)
    at android support v4 app Fragment performOptionsItemSelected(Fragment java:2070)
    at android support v4 app FragmentManagerImpl dispatchOptionsItemSelected(FragmentManager java:2159)
    at android support v4 app FragmentController dispatchOptionsItemSelected(FragmentController java:295)
    at android support v4 app FragmentActivity onMenuItemSelected(FragmentActivity java:367)
    at android support v7 app AppCompatActivity onMenuItemSelected(AppCompatActivity java:144)
    at android support v7 internal view WindowCallbackWrapper onMenuItemSelected(WindowCallbackWrapper java:99)
    at android support v7 app AppCompatDelegateImplV7 onMenuItemSelected(AppCompatDelegateImplV7 java:541)
    at android support v7 internal view menu MenuBuilder dispatchMenuItemSelected(MenuBuilder java:811)
    at android support v7 internal view menu MenuItemImpl invoke(MenuItemImpl java:153)
    at android support v7 internal view menu MenuBuilder performItemAction(MenuBuilder java:958)
    at android support v7 internal view menu MenuBuilder performItemAction(MenuBuilder java:948)
    at android support v7 widget ActionMenuView invokeItem(ActionMenuView java:598)
    at android support v7 internal view menu ActionMenuItemView onClick(ActionMenuItemView java:139)
    at android view View performClick(View java:5697)
    at android widget TextView performClick(TextView java:10826)
    at android view View PerformClick run(View java:22526)
    at android os Handler handleCallback(Handler java:739)
    at android os Handler dispatchMessage(Handler java:95)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Steps to reproduce:   
Unknown
Looks like this happened when the user tapped on the  Show on Map  option   the  ObaTrip  in the following line was  null :
 ObaTrip trip   refs getTrip(tripId)  
  Expected behavior:   
Not crash
  Observed behavior:   
Crash
  Device and Android version:   
Samsung Galaxy S5 w  Android 6 0
</t>
  </si>
  <si>
    <t>itachi1706-SingBuses-47</t>
  </si>
  <si>
    <t>Sanitize all DB queries</t>
  </si>
  <si>
    <t xml:space="preserve">While the web API has sanitized all db transactions  there are some cases not properly sanitized in the Android app when querying with the internal SQLite DB on the device and crashes the app  Example here  
https:  fabric io itachi1706s projects android apps com itachi1706 busarrivalsg issues 5746e936ffcdc0425067a41d
</t>
  </si>
  <si>
    <t>CellularPrivacy-Android-IMSI-Catcher-Detector-879</t>
  </si>
  <si>
    <t>Permanent LAC-Change Alert, and every Cell have the same PSC</t>
  </si>
  <si>
    <t xml:space="preserve">Hello  
on my samsung A5 (2016)
i get always the Changing LAC Alert  and the PSC of all Cells are exactly the same 
since the 04 05 2016 to the 26 05 2016 i had 511 Alarms  All Cells had the PSC 2147483647  is there a BTS which is tracking me  my internet is extrem slow too with 4g and 3g  
and when i go on  gemessene Signalst rken  (measured signal strength ) the program crashes and end  
And i have another app which tells me a other connected Cell than Aimsicd its do 
On Aimsicd my Cell ID is 1327        and on  the other app its 276    but they have the same LAC  
Greetings A  
  Thank you for your feedback  Please add below details so that we can help you a bit faster 
     Agreements
  Please check these boxes to ensure you ve actually read and understood these important rules 
   x    I have reviewed and accepted the  guidelines for contributing (https:  github com CellularPrivacy Android IMSI Catcher Detector blob development  github CONTRIBUTING md) to this project   
   x    I have searched the  open Issues (https:  github com CellularPrivacy Android IMSI Catcher Detector issues) and made sure I am not filing a duplicate   
   x    I have read the notes on  debugging (https:  github com CellularPrivacy Android IMSI Catcher Detector blob development  github CONTRIBUTING md debugging) and will properly maintain this Issue   
     Overview
  Please add a short and easy to understand description of the Issue you ve experienced here 
   AIMSICD  version (see the  About  screen):
  Phone and ROM running  current  release:
  Link to logfile without identifyable data:
     Reproduction
  Please tell us the detailed steps on how to reproduce your Issue here 
     References
  If your Issue is related to any other existing Issues or pull requests  please link them here 
     Screenshots
  If you experienced visual glitches  please add a screenshot without metadata here 
</t>
  </si>
  <si>
    <t>hidroh-materialistic-484</t>
  </si>
  <si>
    <t xml:space="preserve">Saved article issue's </t>
  </si>
  <si>
    <t xml:space="preserve">Tested saved articles in aeroplane mode  Seems to be a problem parsing many of them in  Readability   Downloading  Comments  and  Articles  doesn t seem to be working either  App has crashed several times in aeroplane mode also 
Device: LGE Nexus 4  SDK: 22  app version: 52
</t>
  </si>
  <si>
    <t>mycelium-com-wallet-android-272</t>
  </si>
  <si>
    <t>trying to enter an amount to send crashes the app</t>
  </si>
  <si>
    <t xml:space="preserve">steps:
1  tap send
2  tap Scan QR Code
3  scan a QR code
4  tap the Keyboard Icon
5  watch the app crash into oblivion      :(
this is horrible  all my bitcoins are stuck within the app and i can t release them
please fix this   the whole point of a wallet is to send and receive funds  
android 4 2 2
mycelium 2 8 0
same crash when i scan a QR code that has an amount associated with it
</t>
  </si>
  <si>
    <t>kontalk-androidclient-750</t>
  </si>
  <si>
    <t>Disable focus for message list header</t>
  </si>
  <si>
    <t xml:space="preserve">Only the button should be focusable (and most importantly clickable)  Otherwise  bad things happen:
java lang NullPointerException
       at org kontalk ui ComposeMessageFragment onListItemClick(ComposeMessageFragment java:969)
       at android support v4 app ListFragment 2 onItemClick(ListFragment java:58)
       at android widget AdapterView performItemClick(AdapterView java:284)
       at android widget ListView performItemClick(ListView java:3736)
       at android widget AbsListView PerformClick run(AbsListView java:1974)
       at android os Handler handleCallback(Handler java:587)
       at android os Handler dispatchMessage(Handler java:92)
       at android os Looper loop(Looper java:130)
       at android app ActivityThread main(ActivityThread java:3687)
       at java lang reflect Method invokeNative(Method java)
       at java lang reflect Method invoke(Method java:507)
       at com android internal os ZygoteInit MethodAndArgsCaller run(ZygoteInit java:867)
       at com android internal os ZygoteInit main(ZygoteInit java:625)
       at dalvik system NativeStart main(NativeStart java)
App crashes only when the item is manually focused (via d pad or keyboard)
</t>
  </si>
  <si>
    <t>gitskarios-Gitskarios-429</t>
  </si>
  <si>
    <t>Crash at first launch in landscape tablet mode</t>
  </si>
  <si>
    <t xml:space="preserve">Starting up the app in landscape mode on my Pixel C I got a soft crash  
</t>
  </si>
  <si>
    <t>user-don-Caregiver-14</t>
  </si>
  <si>
    <t>Crash on hitting help button</t>
  </si>
  <si>
    <t xml:space="preserve">Got a crash when hitting the help button just now  Here is the stacktrace:
05 29 17:18:14 346 3107 5079 edu cs65 caregiver caregiver E AndroidRuntime: FATAL EXCEPTION: IntentService GcmIntentService 
                                                                            Process: edu cs65 caregiver caregiver  PID: 3107
                                                                            android util AndroidRuntimeException: Calling startActivity() from outside of an Activity  context requires the FLAG ACTIVITY NEW TASK flag  Is this really what you want 
                                                                                at android app ContextImpl startActivity(ContextImpl java:672)
                                                                                at android app ContextImpl startActivity(ContextImpl java:659)
                                                                                at android content ContextWrapper startActivity(ContextWrapper java:331)
                                                                                at edu cs65 caregiver caregiver GcmIntentService onHandleIntent(GcmIntentService java:90)
                                                                                at android app IntentService ServiceHandler handleMessage(IntentService java:66)
                                                                                at android os Handler dispatchMessage(Handler java:102)
                                                                                at android os Looper loop(Looper java:148)
                                                                                at android os HandlerThread run(HandlerThread java:61)
Reproduction Steps
  Make a new caregiver account  input patient name  go to main dashboard
  Log onto patient account on separate device and press help button
</t>
  </si>
  <si>
    <t>VinkasHQ-reminders-android-4</t>
  </si>
  <si>
    <t>Reminder notification onclick error</t>
  </si>
  <si>
    <t xml:space="preserve">App crashing while opening the app by clicking the reminder notification
</t>
  </si>
  <si>
    <t>arimorty-floatingsearchview-58</t>
  </si>
  <si>
    <t>Array index out of bounds exception</t>
  </si>
  <si>
    <t xml:space="preserve">Hi  I ve implemented your library in my proj and when I click somewhere outside of search box  it crashes with  ArrayIndexOutOfBoundsException  in MenuView  Here is the stacktrace:
java lang ArrayIndexOutOfBoundsException: length 0  index 0
                   at android animation AnimatorSet playTogether(AnimatorSet java:142)
                   at com arlib floatingsearchview util view MenuView showIfRoomItems(MenuView java:506)
                   at com arlib floatingsearchview FloatingSearchView setSearchFocusedInternal(FloatingSearchView java:1361)
                   at com arlib floatingsearchview FloatingSearchView access 1500(FloatingSearchView java:87)
                   at com arlib floatingsearchview FloatingSearchView 23 onTouch(FloatingSearchView java:1657)
                   at android view View dispatchTouchEvent(View java:8382)
</t>
  </si>
  <si>
    <t>popcorn-official-popcorn-android-36</t>
  </si>
  <si>
    <t>Internal player crash</t>
  </si>
  <si>
    <t xml:space="preserve">Version:  0 27
Download date:  05 30 2016
Android version:  5 0 Lollipop:  
     Expected Behaviour
Video player is going to play the whole video  
     Actual Behaviour
Player stops reproduction up to 10s from start when watching shows  This is not happening with movies  When going back the whole app goes black and crash  
     Steps to repoduce the behaviour
1  Open app
2  Navigate to shows
3  Play a show (I chose Game of Thrones) 
4  Play on internal player
5  Wait up to 10s
6  Player freezes 
7  Try going back
8  App crashes
</t>
  </si>
  <si>
    <t>AnySoftKeyboard-AnySoftKeyboard-660</t>
  </si>
  <si>
    <t>NPE @ SetupSupport</t>
  </si>
  <si>
    <t xml:space="preserve">Reported in Fabric: http:  crashes to s 0ca2bc7820a
</t>
  </si>
  <si>
    <t>LeafSWE-clips-31</t>
  </si>
  <si>
    <t>Rotazione schermo fallita</t>
  </si>
  <si>
    <t xml:space="preserve">L applicazione attualmente non supporta la modalit  landscape del display  tentare il passaggio provoca un brusco crash 
</t>
  </si>
  <si>
    <t>davideas-FlexibleAdapter-92</t>
  </si>
  <si>
    <t>[5.0.0-b6 &amp; May 29th Snapshot] Crash after top sticky header collapse-&gt;expand-&gt;collapse</t>
  </si>
  <si>
    <t xml:space="preserve">Hi  The lib is great  but I ve found a bug in it 
I use expandable sections and sticky headers similar to  Expandable Sections  in example app 
All sections are expanded at startup 
Collapse the topmost section  then expand it 
Then  when you collapse it again  the app crashes with fatal exception 
both 5 0 0 b6 and May 29th SNAPSHOT have this bug 
BTW Found the same exact bug in  Expandable Sections  in the latest Example App from this repo (cloned the latest version of this repo)  
 FATAL EXCEPTION: main
                                                                                    Process:   PID: 12203
                                                                                    java lang RuntimeException: trying to unhide a view that was not hiddenandroid widget LinearLayout 1e27b719 V E   CL          0 1627 1080 2155 
                                                                                        at android support v7 widget ChildHelper unhide(ChildHelper java:355)
                                                                                        at android support v7 widget RecyclerView Recycler getScrapViewForPosition(RecyclerView java:5080)
                                                                                        at android support v7 widget RecyclerView Recycler getViewForPosition(RecyclerView java:4634)
                                                                                        at android support v7 widget RecyclerView Recycler getViewForPosition(RecyclerView java:4617)
                                                                                        at android support v7 widget LinearLayoutManager LayoutState next(LinearLayoutManager java:1994)
                                                                                        at android support v7 widget LinearLayoutManager layoutChunk(LinearLayoutManager java:1390)
                                                                                        at android support v7 widget LinearLayoutManager fill(LinearLayoutManager java:1353)
                                                                                        at android support v7 widget LinearLayoutManager onLayoutChildren(LinearLayoutManager java:592)
                                                                                        at android support v7 widget RecyclerView dispatchLayoutStep1(RecyclerView java:2979)
                                                                                        at android support v7 widget RecyclerView dispatchLayout(RecyclerView java:2904)
                                                                                        at android support v7 widget RecyclerView consumePendingUpdateOperations(RecyclerView java:1482)
                                                                                        at android support v7 widget RecyclerView access 400(RecyclerView java:147)
                                                                                        at android support v7 widget RecyclerView 1 run(RecyclerView java:294)
                                                                                        at android view Choreographer CallbackRecord run(Choreographer java:767)
                                                                                        at android view Choreographer doCallbacks(Choreographer java:580)
                                                                                        at android view Choreographer doFrame(Choreographer java:549)
                                                                                        at android view Choreographer FrameDisplayEventReceiver run(Choreographer java:753)
                                                                                        at android os Handler handleCallback(Handler java:739)
                                                                                        at android os Handler dispatchMessage(Handler java:95)
                                                                                        at android os Looper loop(Looper java:135)
                                                                                        at android app ActivityThread main(ActivityThread java:5294)
                                                                                        at java lang reflect Method invoke(Native Method)
                                                                                        at java lang reflect Method invoke(Method java:372)
                                                                                        at com android internal os ZygoteInit MethodAndArgsCaller run(ZygoteInit java:904)
                                                                                        at com android internal os ZygoteInit main(ZygoteInit java:699)
                                                                                        at de robv android xposed XposedBridge main(XposedBridge java:115) 
</t>
  </si>
  <si>
    <t>requery-requery-170</t>
  </si>
  <si>
    <t>ClassCastException when using primitive data type in CompoundKey</t>
  </si>
  <si>
    <t xml:space="preserve">Hi 
One of my models has the following primary keys:
    java
 Entity
public abstract class Measure  
     Key
    int measureNb 
     Key
    String instrumentId 
and I wanted to fetch one using  findByKey()   the key being constructed via the following
    java
    private CompositeKey MeasureEntity  makeKey(Measure m)  
        Map Attribute MeasureEntity     Object  map   new HashMap  () 
        map put(MeasureEntity INSTRUMENT ID  m getInstrument() getId()) 
        map put(MeasureEntity MEASURE NB  m getNumber()) 
        return new CompositeKey  (map) 
 getNumber()  returns an  int  
When I run findByKey  I get the following crash:
Caused by: java lang ClassCastException: java lang Integer cannot be cast to int
                                                                                at java lang Class cast(Class java:1402)
                                                                                at io requery proxy CompositeKey get(CompositeKey java:58)
                                                                                at io requery sql EntityDataStore findByKey(EntityDataStore java:371)
                                                                                at io requery rx SingleEntityStoreFromBlocking 15 get(SingleEntityStoreFromBlocking java:232)
                                                                                at io requery rx SingleOnSubscribeFromSupplier call(SingleOnSubscribeFromSupplier java:34)
                                                                                at io requery rx SingleOnSubscribeFromSupplier call(SingleOnSubscribeFromSupplier java:23)
                                                                                at rx Single 1 call(Single java:110)
                                                                                at rx Single 1 call(Single java:90)
                                                                                at rx Observable unsafeSubscribe(Observable java:8098)
                                                                                at rx internal operators OperatorSubscribeOn 1 1 call(OperatorSubscribeOn java:62)
                                                                                at rx internal schedulers ScheduledAction run(ScheduledAction java:55)
                                                                                at rx schedulers ExecutorScheduler ExecutorSchedulerWorker run(ExecutorScheduler java:98)
                                                                                at java util concurrent ThreadPoolExecutor runWorker(ThreadPoolExecutor java:1076) 
                                                                                at java util concurrent ThreadPoolExecutor Worker run(ThreadPoolExecutor java:569) 
                                                                                at java lang Thread run(Thread java:856)
Somewhere in there  there is problem with the un boxing of Java primitive types  it seems 
Cheers 
Simon
</t>
  </si>
  <si>
    <t>davideas-FlexibleAdapter-95</t>
  </si>
  <si>
    <t>[5.0.0-b6] Duplicate SubItems when starting with expanded Headers</t>
  </si>
  <si>
    <t xml:space="preserve">I ve encountered an interesting bug:
if Header is set to be Expanded in constructor or at any time before it s passed to Adapter 
its SubItems are duplicated (and sometimes tripled) when displayed 
  I ve checked the list that I pass to updateDataSet()   it has no duplicates  
If you collapse this header and expand it again  duplicates disappear 
But if it is the last header in the list  the app crashes when you try to collapse it
with following exception
 FATAL EXCEPTION: main
                                                                                    Process:   PID: 12372
                                                                                    java lang IndexOutOfBoundsException: Inconsistency detected  Invalid view holder adapter positionViewHolder 1630a510 position 44 id  1  oldPos 45  pLpos:45 scrap  attachedScrap  tmpDetached no parent 
                                                                                        at android support v7 widget RecyclerView Recycler validateViewHolderForOffsetPosition(RecyclerView java:4505)
                                                                                        at android support v7 widget RecyclerView Recycler getViewForPosition(RecyclerView java:4636)
                                                                                        at android support v7 widget RecyclerView Recycler getViewForPosition(RecyclerView java:4617)
                                                                                        at android support v7 widget LinearLayoutManager LayoutState next(LinearLayoutManager java:1994)
                                                                                        at android support v7 widget LinearLayoutManager layoutChunk(LinearLayoutManager java:1390)
                                                                                        at android support v7 widget LinearLayoutManager fill(LinearLayoutManager java:1353)
                                                                                        at android support v7 widget LinearLayoutManager onLayoutChildren(LinearLayoutManager java:574)
                                                                                        at android support v7 widget RecyclerView dispatchLayoutStep1(RecyclerView java:2979)
                                                                                        at android support v7 widget RecyclerView dispatchLayout(RecyclerView java:2904)
                                                                                        at android support v7 widget RecyclerView consumePendingUpdateOperations(RecyclerView java:1482)
                                                                                        at android support v7 widget RecyclerView access 400(RecyclerView java:147)
                                                                                        at android support v7 widget RecyclerView 1 run(RecyclerView java:294)
                                                                                        at android view Choreographer CallbackRecord run(Choreographer java:767)
                                                                                        at android view Choreographer doCallbacks(Choreographer java:580)
                                                                                        at android view Choreographer doFrame(Choreographer java:549)
                                                                                        at android view Choreographer FrameDisplayEventReceiver run(Choreographer java:753)
                                                                                        at android os Handler handleCallback(Handler java:739)
                                                                                        at android os Handler dispatchMessage(Handler java:95)
                                                                                        at android os Looper loop(Looper java:135)
                                                                                        at android app ActivityThread main(ActivityThread java:5294)
                                                                                        at java lang reflect Method invoke(Native Method)
                                                                                        at java lang reflect Method invoke(Method java:372)
                                                                                        at com android internal os ZygoteInit MethodAndArgsCaller run(ZygoteInit java:904)
                                                                                        at com android internal os ZygoteInit main(ZygoteInit java:699)
                                                                                        at de robv android xposed XposedBridge main(XposedBridge java:115) 
And if you set the Header to be Collapsed in constructor or at any time before it s passed to Adapter 
there are no duplicate SubItems and everything is OK 
(I wonder why example app doesn t have this issue)
</t>
  </si>
  <si>
    <t>popeen-Booksonic-App-42</t>
  </si>
  <si>
    <t>Android app crashes on connect to server</t>
  </si>
  <si>
    <t xml:space="preserve">The android app crashes on connect to the booksonic server:
    Booksonic Server (docker version):  
  Version   1 1 beta1   February 7  2016
  Server    Apache Tomcat 8 5 0  java 1 8 0 72 internal  Linux (57 2 MB   196 0 MB)
    Booksonic App:  
  Version 1 0 7
The booksonic server itself and the web interface work without issues (library  media scanning  playback) and is accessible externally 
I access the server externally through a squid reverse proxy with ssl  but the app also crashes by accessing the server internally  bypassing the reverse proxy 
The docker server publishes the web interface on port 8080  so my URL would be 
  https:   host :8080 booksonic
The app connects successfully on  Test connection  (external and internal)  so general connectivity exists  But as soon as is try to browse the library with the app it crashes without any error message 
I testet this with:
  Sony Xperia Z3 Tablet Compact  Android 6 0 1
  Nexus 7 (2012)  Android 5 1 1
I also run a similar setup (external access through reverse proxy) with my Subsonic server   DSub App without any issues
I also testet this with the   windows version   of the booksonic server  which   works without crash    Apparently the docker linux version of the server causes the app to crash
</t>
  </si>
  <si>
    <t>commons-app-apps-android-commons-109</t>
  </si>
  <si>
    <t>NullPointerException in ShareActivity</t>
  </si>
  <si>
    <t xml:space="preserve">Reported by andrea as on 15 Apr
USER COMMENT null
ANDROID VERSION 6 0 1
APP VERSION NAME 1 6
BRAND google
PHONE MODEL Nexus 6
CUSTOM DATA 
STACK TRACE java lang RuntimeException: Unable to start activity ComponentInfo fr free nrw commons fr free nrw commons upload ShareActivity : java lang NullPointerException: Attempt to invoke virtual method  java lang String android net Uri toString()  on a null object reference
at android app ActivityThread performLaunchActivity(ActivityThread java:2416)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NullPointerException: Attempt to invoke virtual method  java lang String android net Uri toString()  on a null object reference
at fr free nrw commons upload ShareActivity onCreate(ShareActivity java:190)
at android app Activity performCreate(Activity java:6251)
at android app Instrumentation callActivityOnCreate(Instrumentation java:1107)
at android app ActivityThread performLaunchActivity(ActivityThread java:2369)
    9 more
java lang NullPointerException: Attempt to invoke virtual method  java lang String android net Uri toString()  on a null object reference
at fr free nrw commons upload ShareActivity onCreate(ShareActivity java:190)
at android app Activity performCreate(Activity java:6251)
at android app Instrumentation callActivityOnCreate(Instrumentation java:1107)
at android app ActivityThread performLaunchActivity(ActivityThread java:2369)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I ll add a null check to prevent this crash  but still unsure as to why the mediaUri is returning null 
</t>
  </si>
  <si>
    <t>nbossard-packlist-34</t>
  </si>
  <si>
    <t>Crashes and toggling not working</t>
  </si>
  <si>
    <t xml:space="preserve">It s crashing a lot mainly while toggling an item Tick untick(toggling) doesn t work if I press back key after that(Tried it with different times between toggling and it just doesn t work)
</t>
  </si>
  <si>
    <t>EmergentOrganization-cell-rpg-101</t>
  </si>
  <si>
    <t>0.3.5 crash on start arcade mode</t>
  </si>
  <si>
    <t xml:space="preserve"> Reported by  u japtar (https:  www reddit com r gamedev comments 4lzqy9 wip wednesday 6 unlimited budgets d3tt7o5)
  I downloaded the jar file  and managed to run the menu  but the game crashed after clicking the Arcade mode  Am I doing something wrong 
System info: Windows 10 with JRE 8 0 91
App log: 
 INFO   18:52:30 736    tools FileStructure  init       JAR detected
 INFO   18:52:42 804    mixpanel UserIdentifier getId       UID:dd7bb8cf 2c51 43a2 be69 08b3e0fdca1a
 INFO   18:52:42 809    mixpanel UserIdentifier getId       UID:dd7bb8cf 2c51 43a2 be69 08b3e0fdca1a
 INFO   18:52:43 403    systems MusicSystem  init       music loops loading from resources sounds music arcade 30s loops
 INFO   18:52:43 845    cellrpg PixelonTransmission create      Game started
 INFO   18:52:55 422    systems MusicSystem processSystem       12 music loops loaded
 INFO   18:54:08 571    tools Scores saveScores     saved scores to file
 INFO   18:54:08 579    cellrpg PixelonTransmission dispose     Game shutdown
 INFO   19:51:22 351    mixpanel UserIdentifier getId       UID:dd7bb8cf 2c51 43a2 be69 08b3e0fdca1a
 INFO   19:51:22 361    mixpanel UserIdentifier getId       UID:dd7bb8cf 2c51 43a2 be69 08b3e0fdca1a
 INFO   19:51:22 856    systems MusicSystem  init       music loops loading from resources sounds music arcade 30s loops
 INFO   19:51:23 152    cellrpg PixelonTransmission create      Game started
 INFO   19:51:34 379    systems MusicSystem processSystem       12 music loops loaded
 INFO   19:56:13 822    systems MusicSystem  init       music loops loading from resources sounds music arcade 30s loops
 INFO   19:56:13 835    game Arcade  init       enter arcade mode
 INFO   19:56:36 894    mixpanel UserIdentifier getId       UID:dd7bb8cf 2c51 43a2 be69 08b3e0fdca1a
 INFO   19:56:36 905    mixpanel UserIdentifier getId       UID:dd7bb8cf 2c51 43a2 be69 08b3e0fdca1a
 INFO   19:56:37 390    systems MusicSystem  init       music loops loading from resources sounds music arcade 30s loops
 INFO   19:56:37 761    cellrpg PixelonTransmission create      Game started
 INFO   19:56:48 374    systems MusicSystem processSystem       12 music loops loaded
 ERROR  19:56:48 424    pause EquipmentMenu launchSubmenu       cannot show equipment (player not instantiated )
java lang NullPointerException
    at io github emergentorganization cellrpg scenes game menu pause EquipmentMenu launchSubmenu(EquipmentMenu java:52)  desktop jar:  
    at io github emergentorganization cellrpg scenes game menu pause Submenu 1 clicked(Submenu java:29)  desktop jar:  
    at com badlogic gdx scenes scene2d utils ClickListener touchUp(ClickListener java:89)  desktop jar:  
    at com badlogic gdx scenes scene2d InputListener handle(InputListener java:58)  desktop jar:  
    at com badlogic gdx scenes scene2d Stage touchUp(Stage java:348)  desktop jar:  
    at com badlogic gdx backends lwjgl LwjglInput processEvents(LwjglInput java:306)  desktop jar:  
    at com badlogic gdx backends lwjgl LwjglApplication mainLoop(LwjglApplication java:207)  desktop jar:  
    at com badlogic gdx backends lwjgl LwjglApplication 1 run(LwjglApplication java:120)  desktop jar:  
 INFO   19:56:50 425    pause PauseWindow fadeOut       closing pause window
 INFO   19:56:52 040    systems MusicSystem  init       music loops loading from resources sounds music arcade 30s loops
 INFO   19:56:52 056    game Arcade  init       enter arcade mode
</t>
  </si>
  <si>
    <t>Flaredown-FlaredownAndroid-41</t>
  </si>
  <si>
    <t>Realm migration not handled.</t>
  </si>
  <si>
    <t xml:space="preserve">If a realm migration needs to take place currently the app will crash forcing the user to reinstall the application (with no message just a Flaredown has stopped working) 
</t>
  </si>
  <si>
    <t>Crash-Test-Buddies-WiFi-Buddy-100</t>
  </si>
  <si>
    <t>Connecting to a service that has changed causes other device to crash</t>
  </si>
  <si>
    <t xml:space="preserve">If a service shows up in the list and then you change the name of the device for that service  it then appears as a new list item with the new name and device info  If you tap the service with the old name  it forms a group and crashes the other device  There are also errors if you try to connect to a service that is no longer being broadcast  
It d be nice to automatically refresh the list  
</t>
  </si>
  <si>
    <t>EmergentOrganization-cell-rpg-104</t>
  </si>
  <si>
    <t>Box2D Crash in Arcade mode</t>
  </si>
  <si>
    <t xml:space="preserve">When I was wandering around the area in Arcade  a few times I have crashed to desktop with the following stack trace:
 INFO   13:35:17 795    game Arcade  init       enter arcade mode
 INFO   13:35:26 319    regions WarpInEventRegion getNextRegion     leaving TimedRegion  Time spent in region:7004
 INFO   13:35:33 343    regions WarpInEventRegion getNextRegion     leaving TimedRegion  Time spent in region:7008
java:  var lib jenkins workspace libgdx extensions gdx box2d gdx box2d jni Box2D Dynamics b2Body cpp:168: b2Fixture  b2Body::CreateFixture(const b2FixtureDef ): Assertion  m world  IsLocked()    false  failed 
I haven t pinned down where it goes wrong  but it seems to occur when changing regions 
</t>
  </si>
  <si>
    <t>microg-GmsCore-141</t>
  </si>
  <si>
    <t>Severe Weather App - map tile click and default centered location problem</t>
  </si>
  <si>
    <t xml:space="preserve">SevereWeather App  Unwetter  from Michael Diener opens and centers the screen on the wrong Position  If i move the screen right down it shows my GPS marker on the Google map  With Googles gms   the marker was always in the center of the screen after App open without manually moving right down  
Further difference  When using microg gms instead of Googles gms  i cannot click coloured tiles of the map (these should display weather warnings Form DWD if the Tile is coloured   a Warning is present and can be clicked  ) 
Sometimes i can work around the microg bug by zooming a little bit in and out or moving the map so the spot of my location dies no longer fit in the screen center 
Here is some logcat  Rarely App crashes  so i only geht this error on crash  Above symptoms always occur  Cm13 on Lg h815  Nightly 29 05 2016  fakesig and xposed 85 arm64 
06 04 10:39:16 679 E AndroidRuntime(7571): FATAL EXCEPTION: VtmAsyncExecutor
06 04 10:39:16 679 E AndroidRuntime(7571): Process: de mdiener unwetter gm  PID: 7571
06 04 10:39:16 679 E AndroidRuntime(7571): java lang NullPointerException: Attempt to read from field  java lang Object org oscim utils quadtree TreeNode item  on a null object reference
(More oscim errors follow)
All those problems do not occur when using Google gms 
</t>
  </si>
  <si>
    <t>Cloudkibo-Android-108</t>
  </si>
  <si>
    <t>kiboApp crashed after install</t>
  </si>
  <si>
    <t xml:space="preserve">kiboApp crashed on install on new iphone device 
</t>
  </si>
  <si>
    <t>k9mail-k-9-1434</t>
  </si>
  <si>
    <t>crash when trying to create new mail (marshmallow)</t>
  </si>
  <si>
    <t xml:space="preserve">    Expected behaviour
I would expect to see the  new mail  dialogue 
    Actual behaviour
The app crashes 
    Steps to reproduce
1  start k 9 mail
2  select new mail icon
3  crash
    Environment
K 9 Mail version: 5 109
Android version: Android 6 0 marshmallow  huawei style (EMUI)
Account type (IMAP  POP3  WebDAV Exchange): IMAP
    Thoughts on this:
Could this result from a permission problem  K 9 requests access rights for  contacts  and  storage   which are granted  Four additional permissions show up in a subfolder (read email attachments  read emails  delete emails  k 9 remote control)  Everytime I manually grant those  the slider is back to  off  when I revisit this tab   
Does k 9 fail in requesting those rights at installation time 
    logcat: generated as described in HOWTO:
int logctl get(): open   dev hwlog switch  fail  1  13  Permission denied
Note: log switch off  only log main and log events will have logs 
          beginning of main
06 05 11:30:42 296 I k9      ( 3371): Committing preference changes
06 05 11:30:42 358 I k9      ( 3371): Preferences commit took 62ms
06 05 11:30:46 704 I k9      ( 4596): Loading preferences from DB into Storage
06 05 11:30:46 723 I k9      ( 4596): Preferences load took 19ms
06 05 11:30:46 768 I k9      ( 4596): Registered: unmount receiver
06 05 11:30:46 771 I k9      ( 4596): Registered: shutdown receiver
06 05 11:31:05 784 I k9      ( 4596): Committing preference changes
06 05 11:31:05 794 I k9      ( 4596): Preferences commit took 10ms
06 05 11:31:08 781 I k9      ( 4690): Loading preferences from DB into Storage
06 05 11:31:08 798 I k9      ( 4690): Preferences load took 17ms
06 05 11:31:08 837 I k9      ( 4690): Registered: unmount receiver
06 05 11:31:08 839 I k9      ( 4690): Registered: shutdown receiver
06 05 11:31:16 667 I k9      ( 4690): Committing preference changes
06 05 11:31:16 710 I k9      ( 4690): Preferences commit took 43ms
</t>
  </si>
  <si>
    <t>Crash-Test-Buddies-WiFi-Buddy-111</t>
  </si>
  <si>
    <t>App crashes if you discover, go back, discover, go back</t>
  </si>
  <si>
    <t xml:space="preserve">1  Launch app
2  Discover services
3  Go back
4  Discover services
5  Go back
6  App crashes
It s adding deviceInfoFragment when it s already added  
</t>
  </si>
  <si>
    <t>Crash-Test-Buddies-WiFi-Buddy-110</t>
  </si>
  <si>
    <t>App crashes when paused with Wi-Fi off</t>
  </si>
  <si>
    <t xml:space="preserve">The app crashes if you pause it with Wi Fi toggled off 
It s calling cancelConnect on a null object  
</t>
  </si>
  <si>
    <t>square-picasso-1406</t>
  </si>
  <si>
    <t>into() API with RemoteViews and Notifications does not handle nulls &amp; placeholders</t>
  </si>
  <si>
    <t xml:space="preserve">I m using load(String) with into(RemoteViews  int  int  Notification): http:  square github io picasso 2 x picasso com squareup picasso RequestCreator html into android widget RemoteViews int int android app Notification 
If I pass a null String  Picasso will crash: 
06 06 15:38:09 919  3295  3797 E AndroidRuntime: java lang NullPointerException: Attempt to invoke virtual method  java lang String android net Uri getScheme()  on a null object reference
06 06 15:38:09 919  3295  3797 E AndroidRuntime:    at com squareup picasso ResourceRequestHandler canHandleRequest(ResourceRequestHandler java:39)
06 06 15:38:09 919  3295  3797 E AndroidRuntime:    at com squareup picasso BitmapHunter forRequest(BitmapHunter java:416)
06 06 15:38:09 919  3295  3797 E AndroidRuntime:    at com squareup picasso Dispatcher performSubmit(Dispatcher java:201)
06 06 15:38:09 919  3295  3797 E AndroidRuntime:    at com squareup picasso Dispatcher performSubmit(Dispatcher java:175)
06 06 15:38:09 919  3295  3797 E AndroidRuntime:    at com squareup picasso Dispatcher DispatcherHandler handleMessage(Dispatcher java:482)
This seems counter to the documentation which states that a null path will not trigger any request and set a placeholder if specified (one is not specified) 
Now however  if I do go to use the placeholder API to set a placeholder  that too fails  It doesn t crash  but it doesn t apply the placeholder image into the view in the Notification 
A direct load(int drawableRes) works  so at the end of the day I m left implementing my own placeholder logic
</t>
  </si>
  <si>
    <t>dimagi-commcare-android-1303</t>
  </si>
  <si>
    <t>Synchronize Persisted's Field.setField calls</t>
  </si>
  <si>
    <t xml:space="preserve">Fixes serialization crashes of the following nature that seem to be caused by object serialization synchronization issues when multiple threads are involved  Specifically  since we cache class fields that we do reflection on  issues arise if one thread sets a field to accessible  and before it can access the field another thread sets it to inaccessible 
org commcare android adapters IncompleteFormListAdapter resetRecords(IncompleteFormListAdapter java:164)
at org commcare dalvik activities FormRecordListActivity refreshView(FormRecordListActivity java:312)
at org commcare dalvik activities FormRecordListActivity onCreate(FormRecordListActivity java:223)
at android app Activity performCreate(Activity java:5451)
at android app Instrumentation callActivityOnCreate(Instrumentation java:1093)
at android app ActivityThread performLaunchActivity(ActivityThread java:2377)
    11 more
Caused by: org javarosa core util externalizable DeserializationException: for fieldappId
at org commcare android storage framework Persisted readExternal(Persisted java:41)
at org commcare android database SqlStorage newObject(SqlStorage java:227)
    19 more
Caused by: java lang IllegalAccessException: access to field not allowed
at java lang reflect Field setField(Native Method)
at java lang reflect Field set(Field java:585)
at org commcare android storage framework Persisted readVal(Persisted java:107)
at org commcare android storage framework Persisted readExternal(Persisted java:38)
    20 more
https:  github com dimagi commcare odk pull 1298 files diff b72fa8b3bcb18ed59a32788845cc84b1R272 reproduces the crash above and I ve verified in that PR that these changes prevent the crash 
Since this is a timing issue  it is hard to test  But before hotfixing we should verify that the following work fine:
   x  Opening forms while old form purging is running in the background
   x  Opening a form while a form submission is happening in the background
   x  No noticeable slow down loading a hundred saved forms 
</t>
  </si>
  <si>
    <t>qtmdev-AndroidInference-18</t>
  </si>
  <si>
    <t>Uninstall deadline notification back button</t>
  </si>
  <si>
    <t xml:space="preserve">On receiving the uninstall deadline notification  the back button takes the user to a transparent activity screen  where it appears that the phone has crashed (this is not the case    it is just that interaction does nothing  The user must hit the back button one more time) 
Override the back button to fix this 
</t>
  </si>
  <si>
    <t>qtmdev-AndroidInference-16</t>
  </si>
  <si>
    <t>Service restarting with phone reboot after Force Stop</t>
  </si>
  <si>
    <t xml:space="preserve">1  Force stop CompassLogger in the Android settings
2  Reboot the phone
Does the service restart  Does the service attempt to restart (I got a  Unfortunately CompassLogger has stopped working  crash message upon a restart   )  
</t>
  </si>
  <si>
    <t>dimagi-commcare-android-1300</t>
  </si>
  <si>
    <t xml:space="preserve">Fixes serialization crashes of the following nature that seem to be caused by object serialization synchronization issues when multiple threads are involved  Specifically  since we cache class fields that we do reflection on  issues arise if one thread sets a field to accessible  and before it can access the field another thread sets it to inaccessible 
org commcare android adapters IncompleteFormListAdapter resetRecords(IncompleteFormListAdapter java:164)
at org commcare dalvik activities FormRecordListActivity refreshView(FormRecordListActivity java:312)
at org commcare dalvik activities FormRecordListActivity onCreate(FormRecordListActivity java:223)
at android app Activity performCreate(Activity java:5451)
at android app Instrumentation callActivityOnCreate(Instrumentation java:1093)
at android app ActivityThread performLaunchActivity(ActivityThread java:2377)
    11 more
Caused by: org javarosa core util externalizable DeserializationException: for fieldappId
at org commcare android storage framework Persisted readExternal(Persisted java:41)
at org commcare android database SqlStorage newObject(SqlStorage java:227)
    19 more
Caused by: java lang IllegalAccessException: access to field not allowed
at java lang reflect Field setField(Native Method)
at java lang reflect Field set(Field java:585)
at org commcare android storage framework Persisted readVal(Persisted java:107)
at org commcare android storage framework Persisted readExternal(Persisted java:38)
    20 more
https:  github com dimagi commcare odk pull 1298 files diff b72fa8b3bcb18ed59a32788845cc84b1R272 reproduces the crash above and I ve verified in that PR that these changes prevent the crash 
Since this is a timing issue  it is hard to test  But before hotfixing we should verify that the following work fine:
   x  Opening forms while old form purging is running in the background
   x  Opening a form while a form submission is happening in the background
</t>
  </si>
  <si>
    <t>square-okhttp-2606</t>
  </si>
  <si>
    <t>[Bug][WebSocket] Crash when use 'ws' for websocket</t>
  </si>
  <si>
    <t xml:space="preserve">I use okhttp ws:2 6 for websocket support  When I use  wss  to create websocket  there s nothing bad happend  but when I change to use  ws  to create websocket  there are quite a lot of crashes  
The stack info is below:
Fatal Exception: java lang IllegalStateException: state: 4
       at com squareup okhttp internal http HttpConnection writeRequest(SourceFile:171)
       at com squareup okhttp internal http HttpTransport writeRequestHeaders(SourceFile:75)
       at com squareup okhttp internal http HttpEngine readResponse(SourceFile:744)
       at com squareup okhttp Call getResponse(SourceFile:277)
       at com squareup okhttp Call ApplicationInterceptorChain proceed(SourceFile:234)
       at com squareup okhttp Call getResponseWithInterceptorChain(SourceFile:196)
       at com squareup okhttp Call access 100(SourceFile:34)
       at com squareup okhttp Call AsyncCall execute(SourceFile:162)
       at com squareup okhttp internal NamedRunnable run(SourceFile:33)
       at java util concurrent ThreadPoolExecutor runWorker(ThreadPoolExecutor java:1112)
       at java util concurrent ThreadPoolExecutor Worker run(ThreadPoolExecutor java:587)
       at java lang Thread run(Thread java:841)
I cannot figure out why HttpConnection state change to STATE OPEN RESPONSE BODY(value 4) and how the crash is happened  
Here is the crash device infos:
  ttttt (https:  cloud githubusercontent com assets 7324175 15823492 7a77ab12 2c2d 11e6 833d 985a038a3025 jpg)
</t>
  </si>
  <si>
    <t>google-ExoPlayer-1573</t>
  </si>
  <si>
    <t>Yt-dash-mse-test sample media doesn't play in ExoPlayer</t>
  </si>
  <si>
    <t xml:space="preserve">Dear all:
I need to test EXO player on a platform which is still under develop but the network is not ready 
So i just copy the MPD as well as the corresponding files from Google s standard test URL  
http:  yt dash mse test commondatastorage googleapis com media car 20120827 manifest mpd
Also I have added an instance in samples jave to indicate the path of MPD 
It looks like: file:   storage sdcard0 test mpd 
The path file:   storage sdcard0 links to a USB device   I have checked the MPD parser indeed could find the MPD   do parse well 
After then I can see a few seconds the movie is played well but it crashed suddenly 
I am not sure if EXO player allows the media segments (files) to be played locates locally instead of on the network (so a HTTP connection is in need) 
Could I use EXO player to play MPEG DASH as this case 
Why the crash happens (but I still can playback about a while)  
Thanks in advance 
</t>
  </si>
  <si>
    <t>davideas-FlexibleAdapter-103</t>
  </si>
  <si>
    <t>NPE crash when removing filter</t>
  </si>
  <si>
    <t xml:space="preserve">When using AbstractExpandableItem with not initialized sub item list  after setting empty filter and call adapter filterItems() we have got this crash 
I had work around it setting empty list of subitems after creating expandable item 
 Process:       PID: 25237
                                                                  java lang NullPointerException: Attempt to invoke interface method  java util Iterator java util List iterator()  on a null object reference
                                                                      at eu davidea flexibleadapter FlexibleAdapter resetFilterFlags(FlexibleAdapter java:2854)
                                                                      at eu davidea flexibleadapter FlexibleAdapter filterItems(FlexibleAdapter java:2453)
</t>
  </si>
  <si>
    <t>commons-app-apps-android-commons-117</t>
  </si>
  <si>
    <t>Uploading from SD card does not work with API 23+ permissions</t>
  </si>
  <si>
    <t xml:space="preserve">Can t seem to replicate it on the emulator  only my actual phone 
App crashes if you try to upload a file by selecting the gallery option and then choose an image that is saved on the SD card  I don t know why it doesn t occur with emulator as I have tested simulating a SD card on it 
Also thinking about it this should also apply to ACCESS FINE LOCATION too
Need to implement this:
https:  developer android com training permissions requesting html
ANDROID VERSION 6 0 1
APP VERSION NAME 1 13
BRAND samsung
PHONE MODEL SM G920F
CUSTOM DATA 
STACK TRACE java lang RuntimeException: Unable to resume activity  fr free nrw commons fr free nrw commons upload ShareActivity : java lang SecurityException: Permission Denial: reading com android providers media MediaProvider uri content:  media external images media from pid 962  uid 10319 requires android permission READ EXTERNAL STORAGE  or grantUriPermission()
at android app ActivityThread performResumeActivity(ActivityThread java:4155)
at android app ActivityThread handleResumeActivity(ActivityThread java:4245)
at android app ActivityThread handleLaunchActivity(ActivityThread java:3360)
at android app ActivityThread access 1100(ActivityThread java:221)
at android app ActivityThread H handleMessage(ActivityThread java:1794)
at android os Handler dispatchMessage(Handler java:102)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Caused by: java lang SecurityException: Permission Denial: reading com android providers media MediaProvider uri content:  media external images media from pid 962  uid 10319 requires android permission READ EXTERNAL STORAGE  or grantUriPermission()
at android os Parcel readException(Parcel java:1620)
at android database DatabaseUtils readExceptionFromParcel(DatabaseUtils java:183)
at android database DatabaseUtils readExceptionFromParcel(DatabaseUtils java:135)
at android content ContentProviderProxy query(ContentProviderNative java:421)
at android content ContentResolver query(ContentResolver java:502)
at android content ContentResolver query(ContentResolver java:445)
at fr free nrw commons upload FileUtils getDataColumn(FileUtils java:103)
at fr free nrw commons upload FileUtils getPath(FileUtils java:68)
at fr free nrw commons upload ShareActivity onResume(ShareActivity java:214)
at android app Instrumentation callActivityOnResume(Instrumentation java:1286)
at android app Activity performResume(Activity java:6987)
at android app ActivityThread performResumeActivity(ActivityThread java:4144)
    10 more
java lang SecurityException: Permission Denial: reading com android providers media MediaProvider uri content:  media external images media from pid 962  uid 10319 requires android permission READ EXTERNAL STORAGE  or grantUriPermission()
at android os Parcel readException(Parcel java:1620)
at android database DatabaseUtils readExceptionFromParcel(DatabaseUtils java:183)
at android database DatabaseUtils readExceptionFromParcel(DatabaseUtils java:135)
at android content ContentProviderProxy query(ContentProviderNative java:421)
at android content ContentResolver query(ContentResolver java:502)
at android content ContentResolver query(ContentResolver java:445)
at fr free nrw commons upload FileUtils getDataColumn(FileUtils java:103)
at fr free nrw commons upload FileUtils getPath(FileUtils java:68)
at fr free nrw commons upload ShareActivity onResume(ShareActivity java:214)
at android app Instrumentation callActivityOnResume(Instrumentation java:1286)
at android app Activity performResume(Activity java:6987)
at android app ActivityThread performResumeActivity(ActivityThread java:4144)
at android app ActivityThread handleResumeActivity(ActivityThread java:4245)
at android app ActivityThread handleLaunchActivity(ActivityThread java:3360)
at android app ActivityThread access 1100(ActivityThread java:221)
at android app ActivityThread H handleMessage(ActivityThread java:1794)
at android os Handler dispatchMessage(Handler java:102)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t>
  </si>
  <si>
    <t>Flaredown-FlaredownAndroid-42</t>
  </si>
  <si>
    <t>App crashes if activity rotated during mid web request.</t>
  </si>
  <si>
    <t xml:space="preserve">Application crashes stating that volley has executed code after the onSaveInstanceState method has been called  Looking around about the issue this site describes the problem and how to resolve http:  www androiddesignpatterns com 2013 04 retaining objects across config changes html
</t>
  </si>
  <si>
    <t>wasdennnoch-AndroidN-ify-412</t>
  </si>
  <si>
    <t>QS not working</t>
  </si>
  <si>
    <t xml:space="preserve">Hi  I have LG G Flex2 H955 International version with Android 5 1 1  v15e software  I don t have QS in status bar  only EDIT button  but system UI crashes when I click it  Here s video when I tried to extend QS and click EDIT button: https:  youtu be oeiHUdpGPiQ
Here s my logcat for Android N ify module when I click EDIT button (when I tried to expand there was no logs): http:  www46 zippyshare com v pDqddmJD file html
And there s full logcat for a little time: http:  www46 zippyshare com v ZgcuJkD5 file html
And xposed log: http:  www46 zippyshare com v SfQWToCl file html
</t>
  </si>
  <si>
    <t>wasdennnoch-AndroidN-ify-411</t>
  </si>
  <si>
    <t>Edit button crash on Candy 3.0</t>
  </si>
  <si>
    <t xml:space="preserve">I m using the very lastest version of CandySiX and the lastest version of AndroidN Ify 
As soon as I press the back button to exit the EDIT mode in Notifications  the UI crashes  
Log: http:  hastebin com izimipuxif avrasm (I guess it can t find a method )
Thank you :)
</t>
  </si>
  <si>
    <t>translation-cards-translation-cards-216</t>
  </si>
  <si>
    <t>Export Bugs</t>
  </si>
  <si>
    <t xml:space="preserve">   x  Alert Dialog crashes when an export exception write error occurs during deck export
   x  write error occurs during deck export when exporting translations with no audio
</t>
  </si>
  <si>
    <t>erickok-transdroid-315</t>
  </si>
  <si>
    <t>Crash when loading main page</t>
  </si>
  <si>
    <t xml:space="preserve">As soon as I set up my Dediseedbox and return to the main page  it starts loading then crashes 
This isnt the full logcat  more of a filtered version since Im not sure if there is any personal info in there 
 logcat filtered txt (https:  github com erickok transdroid files 305262 logcat filtered txt)
Edit: I forgot to add that restarting the app also results in an instantaneous crash 
</t>
  </si>
  <si>
    <t>nosybore-Tasker-MQTT-Publish-Plugin-11</t>
  </si>
  <si>
    <t>Crash if space in host</t>
  </si>
  <si>
    <t xml:space="preserve">I kept running into an issue with this plugin crashing when attempting to send a message to my mqtt server    Eventually I realized the crash was due to a space in my mqtt host   Ex:  mqtt mydomain com  instead of  mqtt mydomain com      
I m assuming either a real error should be displayed  or extra whitespace should be stripped when saving the config 
</t>
  </si>
  <si>
    <t>dimagi-commcare-android-1311</t>
  </si>
  <si>
    <t>Fix saved form crash when app has sync-request</t>
  </si>
  <si>
    <t xml:space="preserve">If you install an app that has a  sync request  entry in the suite xml file  CommCare crashes when you open the  saved forms  view 
Also update  mockEasiestRoute  with the same fix   mockEasiestRoute  is only a debug method used to load saved forms onto a device manually
</t>
  </si>
  <si>
    <t>OneBusAway-onebusaway-android-533</t>
  </si>
  <si>
    <t xml:space="preserve">NPEs when clicking a bus stop and changing screen orientation at the same time in HomeActivity </t>
  </si>
  <si>
    <t xml:space="preserve">  Summary:   
Getting following NPEs when clicking a bus stop and just after changing the screen orientation in  HomeActivity :
  Issue 1:  
 FATAL EXCEPTION: main
                                                                                   java lang NullPointerException
at org onebusaway android ui HomeActivity 6 onPanelSlide(HomeActivity java:1322)
at com sothree slidinguppanel SlidingUpPanelLayout dispatchOnPanelSlide(SlidingUpPanelLayout java:631)
at com sothree slidinguppanel SlidingUpPanelLayout onPanelDragged(SlidingUpPanelLayout java:1154)
at com sothree slidinguppanel SlidingUpPanelLayout access 900(SlidingUpPanelLayout java:29)
SlidingUpPanelLayout java:1384)
at com sothree slidinguppanel ViewDragHelper continueSettling(ViewDragHelper java:735)
at com sothree slidinguppanel SlidingUpPanelLayout computeScroll(SlidingUpPanelLayout java:1231)
at android view View getDisplayList(View java:10444)
at android view ViewGroup dispatchGetDisplayList(ViewGroup java:2605)
at android view View getDisplayList(View java:10418)
at android view ViewGroup dispatchGetDisplayList(ViewGroup java:2605)
at android view View getDisplayList(View java:10418)
at android view ViewGroup dispatchGetDisplayList(ViewGroup java:2605)
at android view View getDisplayList(View java:10418)
at android view ViewGroup dispatchGetDisplayList(ViewGroup java:2605)
at android view View getDisplayList(View java:10418)
at android view ViewGroup dispatchGetDisplayList(ViewGroup java:2605)
at android view View getDisplayList(View java:10418)
at android view ViewGroup dispatchGetDisplayList(ViewGroup java:2605)
at android view View getDisplayList(View java:10418)
at android view ViewGroup dispatchGetDisplayList(ViewGroup java:2605)
at android view View getDisplayList(View java:10418)
at android view HardwareRenderer GlRenderer draw(HardwareRenderer java:879)
at android view ViewRootImpl draw(ViewRootImpl java:1955)
at android view ViewRootImpl performTraversals(ViewRootImpl java:1661)
at android view ViewRootImpl handleMessage(ViewRootImpl java:2505)
at android os Handler dispatchMessage(Handler java:99)
at android os Looper loop(Looper java:154)
at android app ActivityThread main(ActivityThread java:4945)
at java lang reflect Method invokeNative(Native Method)
at java lang reflect Method invoke(Method java:511)
at com android internal os ZygoteInit MethodAndArgsCaller run(ZygoteInit java:784)
at com android internal os ZygoteInit main(ZygoteInit java:551)
at dalvik system NativeStart main(Native Method)
  Issue 2:  
Process: com joulespersecond seattlebusbot  PID: 
 java lang NullPointerException: Attempt to invoke virtual method  android content ContentResolver android content Context getContentResolver()  on a null object reference
  at org onebusaway android provider ObaContract RouteHeadsignFavorites isFavorite(ObaContract java:1395)
 at org onebusaway android ui ArrivalInfo  init (ArrivalInfo java:249)
 at org onebusaway android ui ArrivalInfo convertObaArrivalInfo(ArrivalInfo java:75)
 at org onebusaway android ui ArrivalsListFragment getArrivalInfo(ArrivalsListFragment java:868)
 at org onebusaway android ui ArrivalsListHeader refreshArrivalInfoData(ArrivalsListHeader java:648)
 at org onebusaway android ui ArrivalsListHeader refresh(ArrivalsListHeader java:624)
 at org onebusaway android ui HomeActivity 6 onPanelCollapsed(HomeActivity java:1352)
 at com sothree slidinguppanel SlidingUpPanelLayout dispatchOnPanelCollapsed(SlidingUpPanelLayout java:644)
at com sothree slidinguppanel SlidingUpPanelLayout DragHelperCallback onViewDragStateChanged(SlidingUpPanelLayout java:1363)
at com sothree slidinguppanel ViewDragHelper setDragState(ViewDragHelper java:873)
at com sothree slidinguppanel ViewDragHelper 2 run(ViewDragHelper java:336)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Steps to reproduce:   
1  In  HomeActivity  click on a bus stop icon
2  Rotate the screen very fast just before  ArrivalsListLoader  has been finished
  Expected behavior:   
Not crash
  Observed behavior:   
It crashed 
  Device and Android version:   
Issue 1 was observed with:
HTC EVO 3D w  Android v4  
Issue 2 was observed with:
Motorola Nexus 6 w  Android 6 0 1
</t>
  </si>
  <si>
    <t>OneBusAway-onebusaway-android-530</t>
  </si>
  <si>
    <t>NPE when getting Location in Send Feedback flow</t>
  </si>
  <si>
    <t xml:space="preserve">  Summary:   
From Android Developer Console for staged rollout v2 0 12:
java lang NullPointerException: Attempt to invoke virtual method  double android location Location getLatitude()  on a null object reference
    at org onebusaway android ui HomeActivity goToSendFeedBack(HomeActivity java:1054)
    at org onebusaway android ui HomeActivity goToNavDrawerItem(HomeActivity java:411)
    at org onebusaway android ui HomeActivity onNavigationDrawerItemSelected(HomeActivity java:355)
    at org onebusaway android ui NavigationDrawerFragment selectItem(NavigationDrawerFragment java:263)
    at org onebusaway android ui NavigationDrawerFragment 3 onClick(NavigationDrawerFragment java:430)
    at android view View performClick(View java:5197)
    at android view View PerformClick run(View java:20926)
    at android os Handler handleCallback(Handler java:739)
    at android os Handler dispatchMessage(Handler java:95)
    at android os Looper loop(Looper java:145)
    at android app ActivityThread main(ActivityThread java:5942)
    at java lang reflect Method invoke(Native Method)
    at java lang reflect Method invoke(Method java:372)
    at com android internal os ZygoteInit MethodAndArgsCaller run(ZygoteInit java:1399)
    at com android internal os ZygoteInit main(ZygoteInit java:1194)
User comment:
  Upgrade is terrible  No improvements  more confusing  can t turn off hints help  crashes  Appears there was no testing by actual users 
  Steps to reproduce:   
Unknown
  Expected behavior:   
Not crash
  Observed behavior:   
Crash
  Device and Android version:   
Galaxy S4 (jfltevzw)
Manufacturer Samsung 
Android version Android 4 2 
RAM (MB) 2048 
Screen size 1080   1920 
Screen density (dpi) 480 
OpenGL ES version 2 0 
Native platform armeabi v7a 
CPU make Qualcomm 
CPU model APQ8064
 cagryInside Could you please take a look   Thanks 
</t>
  </si>
  <si>
    <t>OneBusAway-onebusaway-android-529</t>
  </si>
  <si>
    <t xml:space="preserve">  Summary:   
From Android Developer Console for staged rollout v2 0 12:
java lang IllegalStateException: Can not perform this action after onSaveInstanceState
    at android support v4 app FragmentManagerImpl checkStateLoss(FragmentManager java:1489)
    at android support v4 app FragmentManagerImpl enqueueAction(FragmentManager java:1507)
    at android support v4 app BackStackRecord commitInternal(BackStackRecord java:634)
    at android support v4 app BackStackRecord commit(BackStackRecord java:613)
    at org onebusaway android report ui SimpleArrivalListFragment show(SimpleArrivalListFragment java:87)
    at org onebusaway android report ui InfrastructureIssueActivity showArrivalListFragment(InfrastructureIssueActivity java:1055)
    at org onebusaway android report ui InfrastructureIssueActivity showTripProblemFragment(InfrastructureIssueActivity java:1040)
    at org onebusaway android report ui InfrastructureIssueActivity showTransitService(InfrastructureIssueActivity java:982)
    at org onebusaway android report ui InfrastructureIssueActivity onSpinnerItemSelected(InfrastructureIssueActivity java:522)
    at org onebusaway android report ui InfrastructureIssueActivity access 300(InfrastructureIssueActivity java:78)
    at org onebusaway android report ui InfrastructureIssueActivity 2 onItemSelected(InfrastructureIssueActivity java:457)
    at android widget AdapterView fireOnSelected(AdapterView java:931)
    at android widget AdapterView dispatchOnItemSelected(AdapterView java:920)
    at android widget AdapterView  wrap1(AdapterView java)
    at android widget AdapterView SelectionNotifier run(AdapterView java:890)
    at android os Handler handleCallback(Handler java:739)
    at android os Handler dispatchMessage(Handler java:95)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There is also a similar stacktrace from a crash in April for the production v1 7 9   not sure if this is related to the same problem  but both stack traces including the flow for trip problem reporting:
java lang IllegalStateException: Can not perform this action after onSaveInstanceState
    at android support v4 app FragmentManagerImpl checkStateLoss(FragmentManager java:1360)
    at android support v4 app FragmentManagerImpl enqueueAction(FragmentManager java:1378)
    at android support v4 app BackStackRecord commitInternal(BackStackRecord java:595)
    at android support v4 app BackStackRecord commit(BackStackRecord java:574)
    at com joulespersecond seattlebusbot ReportTripProblemFragment show(ReportTripProblemFragment java:77)
    at com joulespersecond seattlebusbot ArrivalsListFragment 3 onClick(ArrivalsListFragment java:436)
    at com android internal app AlertController AlertParams 3 onItemClick(AlertController java:954)
    at android widget AdapterView performItemClick(AdapterView java:308)
    at android widget AbsListView performItemClick(AbsListView java:1524)
    at android widget AbsListView PerformClick run(AbsListView java:3531)
    at android widget AbsListView 3 run(AbsListView java:4898)
    at android os Handler handleCallback(Handler java:733)
    at android os Handler dispatchMessage(Handler java:95)
    at android os Looper loop(Looper java:136)
    at android app ActivityThread main(ActivityThread java:5586)
    at java lang reflect Method invokeNative(Native Method)
    at java lang reflect Method invoke(Method java:515)
    at com android internal os ZygoteInit MethodAndArgsCaller run(ZygoteInit java:1268)
    at com android internal os ZygoteInit main(ZygoteInit java:1084)
    at dalvik system NativeStart main(Native Method)
  Steps to reproduce:   
Unknown
  Expected behavior:   
Not crash
  Observed behavior:   
Crash
  Device and Android version:   
For v2 0 12 crash:
  Nexus 6P (angler)
  Manufacturer Google 
  Android version Android 6 0 
  RAM (MB) 3072 
  Screen size 1440   2560 
  Screen density (dpi) 560 
  OpenGL ES version 3 1 
  Native platform armeabi v7a 
  CPU make Qualcomm 
  CPU model MSM8994
for v1 7 9 crash:
  Galaxy S5 (k3g)
  Manufacturer Samsung 
  Android version Android 4 4 
  RAM (MB) 2048 
  Screen size 1080   1920 
  Screen density (dpi) 480 
  OpenGL ES version 3 0 
  Native platform armeabi v7a 
  CPU make Samsung 
  CPU model Exynos 5422
 cagryInside Could you please take a look at this   Thanks 
</t>
  </si>
  <si>
    <t>k9mail-k-9-1452</t>
  </si>
  <si>
    <t>Crashes on startup and then corrupts/loses accounts and settings</t>
  </si>
  <si>
    <t xml:space="preserve">    Expected behaviour
I get my inbox
    Actual behaviour
I get a crash  and on trying again to open K 9 e mail I get the welcome screen asking me whether I want to import my settings from somewhere 
    Steps to reproduce
Sadly I don t know  but it s happened to me twice now  First time I don t have a backtrace of  but this time I caught it in time  There is some similarity with  1272 but that one doesn t happen at startup nor do I see a mention of settings getting lost 
This is the stacktrace  including the second attempt going straight to the welcome screen instead:
06 09 12:49:12 611  5440  6985 I ActivityManager: START u0  act android intent action MAIN cat  android intent category LAUNCHER  flg 0x10200000 cmp com fsck k9  activity Accounts bnds  13 242  224 495  (has extras)  from uid 10031 on display 0
06 09 12:49:12 736  5440  3544 I ActivityManager: Start proc 1674:com fsck k9 u0a121 for activity com fsck k9  activity MessageList
06 09 12:49:13 057  1674  1674 E AndroidRuntime: FATAL EXCEPTION: main
06 09 12:49:13 057  1674  1674 E AndroidRuntime: Process: com fsck k9  PID: 1674
06 09 12:49:13 057  1674  1674 E AndroidRuntime: java lang RuntimeException: Unable to start activity ComponentInfo com fsck k9 com fsck k9 activity MessageList : java lang NullPointerException: Attempt to invoke virtual method  java lang String com fsck k9 Account getUuid()  on a null object reference
06 09 12:49:13 057  1674  1674 E AndroidRuntime:        at android app ActivityThread performLaunchActivity(ActivityThread java:2416)
06 09 12:49:13 057  1674  1674 E AndroidRuntime:        at android app ActivityThread handleLaunchActivity(ActivityThread java:2476)
06 09 12:49:13 057  1674  1674 E AndroidRuntime:        at android app ActivityThread  wrap11(ActivityThread java)
06 09 12:49:13 057  1674  1674 E AndroidRuntime:        at android app ActivityThread H handleMessage(ActivityThread java:1344)
06 09 12:49:13 057  1674  1674 E AndroidRuntime:        at android os Handler dispatchMessage(Handler java:102)
06 09 12:49:13 057  1674  1674 E AndroidRuntime:        at android os Looper loop(Looper java:148)
06 09 12:49:13 057  1674  1674 E AndroidRuntime:        at android app ActivityThread main(ActivityThread java:5422)
06 09 12:49:13 057  1674  1674 E AndroidRuntime:        at java lang reflect Method invoke(Native Method)
06 09 12:49:13 057  1674  1674 E AndroidRuntime:        at com android internal os ZygoteInit MethodAndArgsCaller run(ZygoteInit java:726)
06 09 12:49:13 057  1674  1674 E AndroidRuntime:        at com android internal os ZygoteInit main(ZygoteInit java:616)
06 09 12:49:13 057  1674  1674 E AndroidRuntime: Caused by: java lang NullPointerException: Attempt to invoke virtual method  java lang String com fsck k9 Account getUuid()  on a null object reference
06 09 12:49:13 057  1674  1674 E AndroidRuntime:        at com fsck k9 fragment MessageListFragment decodeArguments(MessageListFragment java:957)
06 09 12:49:13 057  1674  1674 E AndroidRuntime:        at com fsck k9 fragment MessageListFragment onCreate(MessageListFragment java:810)
06 09 12:49:13 057  1674  1674 E AndroidRuntime:        at android app Fragment performCreate(Fragment java:2198)
06 09 12:49:13 057  1674  1674 E AndroidRuntime:        at android app FragmentManagerImpl moveToState(FragmentManager java:942)
06 09 12:49:13 057  1674  1674 E AndroidRuntime:        at android app FragmentManagerImpl moveToState(FragmentManager java:1148)
06 09 12:49:13 057  1674  1674 E AndroidRuntime:        at android app FragmentManagerImpl moveToState(FragmentManager java:1130)
06 09 12:49:13 057  1674  1674 E AndroidRuntime:        at android app FragmentManagerImpl dispatchCreate(FragmentManager java:1948)
06 09 12:49:13 057  1674  1674 E AndroidRuntime:        at android app FragmentController dispatchCreate(FragmentController java:141)
06 09 12:49:13 057  1674  1674 E AndroidRuntime:        at android app Activity onCreate(Activity java:921)
06 09 12:49:13 057  1674  1674 E AndroidRuntime:        at com fsck k9 activity K9FragmentActivity onCreate(K9FragmentActivity java:19)
06 09 12:49:13 057  1674  1674 E AndroidRuntime:        at com fsck k9 activity MessageList onCreate(MessageList java:194)
06 09 12:49:13 057  1674  1674 E AndroidRuntime:        at android app Activity performCreate(Activity java:6251)
06 09 12:49:13 057  1674  1674 E AndroidRuntime:        at android app Instrumentation callActivityOnCreate(Instrumentation java:1107)
06 09 12:49:13 057  1674  1674 E AndroidRuntime:        at android app ActivityThread performLaunchActivity(ActivityThread java:2369)
06 09 12:49:13 057  1674  1674 E AndroidRuntime:            9 more
06 09 12:49:13 060  5440  6985 W ActivityManager:   Force finishing activity com fsck k9  activity MessageList
06 09 12:49:13 258  5440  6858 D ConnectivityService: updateNetworkScore for NetworkAgentInfo  WIFI ()   561  to 60
06 09 12:49:13 592  5440  5507 W ActivityManager: Activity pause timeout for ActivityRecord 8b20213 u0 com fsck k9  activity MessageList t2810 f 
06 09 12:49:14 346  5440 10803 W InputMethodManagerService: Window already focused  ignoring focus gain of: com android internal view IInputMethodClient Stub Proxy 4ea8042 attribute null  token   android os BinderProxy 10656c8
06 09 12:49:14 367  5440 10979 I ActivityManager: Process com fsck k9 (pid 1674) has died
06 09 12:49:14 545  5440  5553 W AppOps  : Finishing op nesting under run: uid 1000 pkg android code 24 time 0 duration 0 nesting 0
06 09 12:49:14 876  5440  6987 I ActivityManager: START u0  act android intent action MAIN cat  android intent category LAUNCHER  flg 0x10200000 cmp com fsck k9  activity Accounts bnds  13 242  224 495  (has extras)  from uid 10031 on display 0
06 09 12:49:14 924  5440  6429 I ActivityManager: Start proc 1705:com fsck k9 u0a121 for activity com fsck k9  activity Accounts
06 09 12:49:15 037  5440  3544 I ActivityManager: START u0  cmp com fsck k9  activity setup WelcomeMessage  from uid 10121 on display 0
    Environment
K 9 Mail version: Version from Play Store which is currently 5 010 
Android version: 6 0 1
Account type (IMAP  POP3  WebDAV Exchange): IMAP
</t>
  </si>
  <si>
    <t>OneBusAway-onebusaway-android-538</t>
  </si>
  <si>
    <t>NPE - Invoke virtual method 'java.lang.String edu.usf.cutr.open311client.Open311.getJurisdiction()'</t>
  </si>
  <si>
    <t xml:space="preserve">  Summary:   
I happened to see this crash today on my device:
E AndroidRuntime: FATAL EXCEPTION: main
   Process: com joulespersecond seattlebusbot  PID: 32155
   java lang RuntimeException: Unable to start activity ComponentInfo com joulespersecond seattlebusbot org onebusaway android report ui InfrastructureIssueActivity : java lang NullPointerException: Attempt to invoke virtual method  java lang String edu usf cutr open311client Open311 getJurisdiction()  on a null object reference
       at android app ActivityThread performLaunchActivity(ActivityThread java:2434)
       at android app ActivityThread handleLaunchActivity(ActivityThread java:2494)
       at android app ActivityThread access 900(ActivityThread java:157)
       at android app ActivityThread H handleMessage(ActivityThread java:1356)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Caused by: java lang NullPointerException: Attempt to invoke virtual method  java lang String edu usf cutr open311client Open311 getJurisdiction()  on a null object reference
       at org onebusaway android report ui Open311ProblemFragment callServiceDescription(Open311ProblemFragment java:369)
       at org onebusaway android report ui Open311ProblemFragment onViewCreated(Open311ProblemFragment java:216)
       at android support v4 app FragmentManagerImpl moveToState(FragmentManager java:1086)
       at android support v4 app FragmentManagerImpl moveToState(FragmentManager java:1252)
       at android support v4 app FragmentManagerImpl moveToState(FragmentManager java:1234)
       at android support v4 app FragmentManagerImpl dispatchActivityCreated(FragmentManager java:2046)
       at android support v4 app FragmentController dispatchActivityCreated(FragmentController java:174)
       at android support v4 app FragmentActivity onStart(FragmentActivity java:597)
       at org onebusaway android report ui InfrastructureIssueActivity onStart(InfrastructureIssueActivity java:282)
       at android app Instrumentation callActivityOnStart(Instrumentation java:1237)
       at android app Activity performStart(Activity java:6288)
       at android app ActivityThread performLaunchActivity(ActivityThread java:2397)
       at android app ActivityThread handleLaunchActivity(ActivityThread java:2494) 
       at android app ActivityThread access 900(ActivityThread java:157) 
       at android app ActivityThread H handleMessage(ActivityThread java:1356) 
       at android os Handler dispatchMessage(Handler java:102) 
       at android os Looper loop(Looper java:148) 
       at android app ActivityThread main(ActivityThread java:5525) 
       at java lang reflect Method invoke(Native Method
  Steps to reproduce:   
I think the steps were the following:
1  Tap  Send Feedback 
2  Tap on  Stop Problem Report 
3  Scroll map to PSTA stop and tap on stop
4  Switch to  PSTA   Arrival info schedule  category
5  Put app in the background and browse other apps
6  Return to OBA
  Expected behavior:   
Not crash
  Observed behavior:   
Crash with above stack trace 
  Device and Android version:   
Stock LG G4 w  Android 6 0
  Screenshots:   
This is the last screen I saw before putting app in the background   I hadn t selected any category yet:
  image (https:  cloud githubusercontent com assets 928045 15973594 5b1dd2a4 2f12 11e6 888d f453fc00117b png)
</t>
  </si>
  <si>
    <t>zxing-zxing-607</t>
  </si>
  <si>
    <t>ArrayIndexOutOfBoundsException on files with only 1 pixel</t>
  </si>
  <si>
    <t xml:space="preserve">When running on a file like https:  commons wikimedia org wiki File:Pix gif which has only 1 pixel  zxing throws an error:
Exception in thread  main  java lang ArrayIndexOutOfBoundsException: 1
    at com google zxing common GlobalHistogramBinarizer getBlackRow(GlobalHistogramBinarizer java:71)
    at com google zxing BinaryBitmap getBlackRow(BinaryBitmap java:66)
    at com google zxing oned OneDReader doDecode(OneDReader java:132)
    at com google zxing oned OneDReader decode(OneDReader java:54)
    at com google zxing MultiFormatReader decodeInternal(MultiFormatReader java:171)
    at com google zxing MultiFormatReader decode(MultiFormatReader java:69)
    at com google zxing multi GenericMultipleBarcodeReader doDecodeMultiple(GenericMultipleBarcodeReader java:84)
    at com google zxing multi GenericMultipleBarcodeReader decodeMultiple(GenericMultipleBarcodeReader java:65)
    at com google zxing client j2se DecodeWorker decode(DecodeWorker java:140)
    at com google zxing client j2se DecodeWorker call(DecodeWorker java:75)
    at com google zxing client j2se CommandLineRunner main(CommandLineRunner java:84)
Obviously barcodes will never exist in files that have 1 pixel  but zxing should not crash for it  (I m running it on a lot of files  and this happened to be one of them)
The issue is that  localLuminance  in  GlobalHistogramBinarizer (https:  github com zxing zxing blob b189fd1d5629770b1ecbdf3e2f55a37776538957 core src main java com google zxing common GlobalHistogramBinarizer java L71) directly accesses the 2nd element (which does not exist) 
</t>
  </si>
  <si>
    <t>andpor-react-native-sqlite-storage-58</t>
  </si>
  <si>
    <t>crash when reloading in simulator "pointerValue"</t>
  </si>
  <si>
    <t xml:space="preserve">With the latest commit  reloading the simulator with an already loaded DB causes a crash  The stack trace hints that the error is in dealloc (in SQLite m) and has to do with pointerValue being unrecognized 
This seems to fix it:
 (void)dealloc
  int i 
  NSArray  keys    openDBs allKeys  
  NSDictionary  dbInfo 
  NSString  key 
  sqlite3  db 
     close db the user forgot   
  for (i 0  i  keys count   i  )  
    key    keys objectAtIndex:i  
    dbInfo    openDBs objectForKey:key  
    db    ((NSValue  ) dbInfo   dbPointer  ) pointerValue  
    sqlite3 close (db) 
 if    has feature(objc arc)
   openDBs release  
   appDBPaths release  
   super dealloc  
 endif
</t>
  </si>
  <si>
    <t>AEFeinstein-mtg-familiar-129</t>
  </si>
  <si>
    <t>App Crash, resource leaks?</t>
  </si>
  <si>
    <t xml:space="preserve">Found on Android 6 0 1 with Hardware Version G900V 05 and MTG Familiar 3 3 1
  I found another crash when my phone screen keep rotate too many times while viewing the card image 
  Another crash bug is if I am continuously using the magnify glass search icon to search another specific card while being on the phone screen with card image  the app crashed after searched around 15 20 different cards 
</t>
  </si>
  <si>
    <t>autyzm-pg-friendly-plans-26</t>
  </si>
  <si>
    <t>Return to previous plan activity in slide mode error</t>
  </si>
  <si>
    <t xml:space="preserve">    ENG  :
      Actual  :
TODO
      Expected  :
TODO
    PL:  
      Stan obecny:  
1  Wy wietlanie w trybie slajd w
2  Przechodzenie po aktywno ciach 
3  Powr t do aktywno ci typu galeria aktywno ci poprzez wybranie strza ki powrotu powoduje b  d aplikacji (crash)
      Stan oczekiwany:   
 Powr t do poprzedniej aktywno ci 
</t>
  </si>
  <si>
    <t>zettaapi-zetta-sdk-android-12</t>
  </si>
  <si>
    <t>Crash when attempting to stream bangalore porch light</t>
  </si>
  <si>
    <t xml:space="preserve">   
06 11 08:42:36 947 18261 18397 com zetta android D NoTils:  OkHttp http:  stage zettaapi org servers bangalore events topic light 2Fea246bad f4d7 4b3f a06c 88a0079998a2 2Fstate  (ZettaSdkApi java:164) onUpdate  turning on 
06 11 08:42:36 947 18261 18399 com zetta android E AndroidRuntime: FATAL EXCEPTION: OkHttp Dispatcher
                                                                   Process: com zetta android  PID: 18261
                                                                   java lang IllegalArgumentException: Platform   annotated    requires explicit JsonAdapter to be registered
                                                                       at com squareup moshi ClassJsonAdapter 1 create(ClassJsonAdapter java:41)
                                                                       at com squareup moshi Moshi adapter(Moshi java:94)
                                                                       at com squareup moshi Moshi adapter(Moshi java:57)
                                                                       at com squareup moshi CollectionJsonAdapter newArrayListAdapter(CollectionJsonAdapter java:51)
                                                                       at com squareup moshi CollectionJsonAdapter 1 create(CollectionJsonAdapter java:35)
                                                                       at com squareup moshi Moshi adapter(Moshi java:94)
                                                                       at com squareup moshi ClassJsonAdapter 1 createFieldBindings(ClassJsonAdapter java:81)
                                                                       at com squareup moshi ClassJsonAdapter 1 create(ClassJsonAdapter java:65)
                                                                       at com squareup moshi Moshi adapter(Moshi java:94)
                                                                       at com squareup moshi AdapterMethodsFactory 5 fromJson(AdapterMethodsFactory java:212)
                                                                       at com squareup moshi AdapterMethodsFactory 1 fromJson(AdapterMethodsFactory java:81)
                                                                       at com squareup moshi JsonAdapter fromJson(JsonAdapter java:33)
                                                                       at com squareup moshi JsonAdapter fromJson(JsonAdapter java:37)
                                                                       at com apigee zettakit utils ZIKJsonUtils createObjectFromJson(ZIKJsonUtils java:41)
                                                                       at com apigee zettakit ZIKStream 2 onMessage(ZIKStream java:128)
                                                                       at okhttp3 internal ws RealWebSocket 1 onMessage(RealWebSocket java:62)
                                                                       at okhttp3 internal ws WebSocketReader readMessageFrame(WebSocketReader java:242)
                                                                       at okhttp3 internal ws WebSocketReader processNextFrame(WebSocketReader java:108)
                                                                       at okhttp3 internal ws RealWebSocket readMessage(RealWebSocket java:97)
                                                                       at okhttp3 ws WebSocketCall createWebSocket(WebSocketCall java:152)
                                                                       at okhttp3 ws WebSocketCall access 000(WebSocketCall java:41)
                                                                       at okhttp3 ws WebSocketCall 1 onResponse(WebSocketCall java:97)
                                                                       at okhttp3 RealCall AsyncCall execute(RealCall java:133)
                                                                       at okhttp3 internal NamedRunnable run(NamedRunnable java:32)
                                                                       at java util concurrent ThreadPoolExecutor runWorker(ThreadPoolExecutor java:1112)
                                                                       at java util concurrent ThreadPoolExecutor Worker run(ThreadPoolExecutor java:587)
                                                                       at java lang Thread run(Thread java:818)
06 11 08:42:38 059 18261 18397 com zetta android D NoTils:  OkHttp http:  stage zettaapi org servers bangalore events topic light 2Fea246bad f4d7 4b3f a06c 88a0079998a2 2Fstate  (ZettaSdkApi java:164) onUpdate  on 
I get this crash on a 5 0 0 device  register for stream updates to the bangalore porch light  (doesn t happen for the thermometer  which the test is for)
</t>
  </si>
  <si>
    <t>autyzm-pg-friendly-plans-22</t>
  </si>
  <si>
    <t>Some methods are not bound with a view</t>
  </si>
  <si>
    <t xml:space="preserve">    ENG  :
TODO
    PL:  
      Stan obecny:  
Podczas u ywania aplikacji (g  wnie Manager) i wybranie niekt rych akcji (np  przyci ni ciu przycisku) powoduje crash   wyj tek informuje o braku odpowiedniej metody w kodzie logiki widoku  Metoda znajduje si  w tej klasie  jednak posiada b  dn  nazw  (r  ni c  si  od tej wskazanej w pliku widoku) 
      Stan oczekiwany:  
Wszystkie metody s  powi zane poprawnie z widokiem i u ywanie aplikacji nie powoduje crashy 
</t>
  </si>
  <si>
    <t>MythTV-Clients-MythtvPlayerForAndroid-184</t>
  </si>
  <si>
    <t>AndroidTV Search Crash</t>
  </si>
  <si>
    <t xml:space="preserve">Crash when rendering search result list on AndroidTV
                        beginning of crash
              E AndroidRuntime: FATAL EXCEPTION: main
              Process: org mythtv android  PID: 2624
              android view InflateException: Binary XML file line  21: Binary XML file line  21: You must supply a layout width attribute 
                  at android view LayoutInflater inflate(LayoutInflater java:539)
                  at android view LayoutInflater inflate(LayoutInflater java:423)
                  at android view LayoutInflater inflate(LayoutInflater java:374)
                  at android support v17 leanback widget ImageCardView buildImageCardView(ImageCardView java:165)
                  at android support v17 leanback widget ImageCardView  init (ImageCardView java:156)
                  at android support v17 leanback widget ImageCardView  init (ImageCardView java:282)
                  at android support v17 leanback widget ImageCardView  init (ImageCardView java:275)
                  at org mythtv android presenter tv CardPresenter 1  init (CardPresenter java:70)
                  at org mythtv android presenter tv CardPresenter onCreateViewHolder(CardPresenter java:70)
                  at android support v17 leanback widget ItemBridgeAdapter onCreateViewHolder(ItemBridgeAdapter java:312)
                  at android support v7 widget RecyclerView Adapter createViewHolder(RecyclerView java:5482)
                  at android support v7 widget RecyclerView Recycler getViewForPosition(RecyclerView java:4707)
                  at android support v7 widget RecyclerView Recycler getViewForPosition(RecyclerView java:4617)
                  at android support v17 leanback widget GridLayoutManager measureScrapChild(GridLayoutManager java:1178)
                  at android support v17 leanback widget GridLayoutManager processRowSizeSecondary(GridLayoutManager java:1244)
                  at android support v17 leanback widget GridLayoutManager onMeasure(GridLayoutManager java:1356)
                  at android support v7 widget RecyclerView onMeasure(RecyclerView java:2668)
                  at android view View measure(View java:18788)
                  at android view ViewGroup measureChildWithMargins(ViewGroup java:5951)
                  at android widget LinearLayout measureChildBeforeLayout(LinearLayout java:1465)
                  at android widget LinearLayout measureVertical(LinearLayout java:748)
                  at android widget LinearLayout onMeasure(LinearLayout java:630)
                  at android view View measure(View java:18788)
                  at android view ViewGroup measureChildWithMargins(ViewGroup java:5951)
                  at android widget LinearLayout measureChildBeforeLayout(LinearLayout java:1465)
                  at android widget LinearLayout measureVertical(LinearLayout java:748)
                  at android widget LinearLayout onMeasure(LinearLayout java:630)
                  at android view View measure(View java:18788)
                  at android support v17 leanback widget GridLayoutManager measureChild(GridLayoutManager java:1447)
                  at android support v17 leanback widget GridLayoutManager access 2400(GridLayoutManager java:53)
                  at android support v17 leanback widget GridLayoutManager 3 createItem(GridLayoutManager java:1535)
                  at android support v17 leanback widget SingleRow appendVisibleItems(SingleRow java:111)
                  at android support v17 leanback widget Grid appendOneColumnVisibleItems(Grid java:364)
                  at android support v17 leanback widget GridLayoutManager appendOneColumnVisibleItems(GridLayoutManager java:1721)
                  at android support v17 leanback widget GridLayoutManager onLayoutChildren(GridLayoutManager java:1904)
                  at android support v7 widget RecyclerView dispatchLayoutStep2(RecyclerView java:3028)
                  at android support v7 widget RecyclerView dispatchLayout(RecyclerView java:2906)
                  at android support v7 widget RecyclerView onLayout(RecyclerView java:3283)
                  at android view View layout(View java:16630)
                  at android view ViewGroup layout(ViewGroup java:5437)
                  at android support v17 leanback widget ScaleFrameLayout onLayout(ScaleFrameLayout java:137)
                  at android view View layout(View java:16630)
                  at android view ViewGroup layout(ViewGroup java:5437)
                  at android widget FrameLayout layoutChildren(FrameLayout java:336)
                  at android widget FrameLayout onLayout(FrameLayout java:273)
                  at android view View layout(View java:16630)
                  at android view ViewGroup layout(ViewGroup java:5437)
                  at android widget FrameLayout layoutChildren(FrameLayout java:336)
                  at android widget FrameLayout onLayout(FrameLayout java:273)
                  at android view View layout(View java:16630)
                at android view
reported by  dekarl 
</t>
  </si>
  <si>
    <t>processing-processing-android-225</t>
  </si>
  <si>
    <t>Permissions are not working</t>
  </si>
  <si>
    <t xml:space="preserve"> This sketch (https:  github com codeanticode processing android tutorials blob master location permissions gps example gps example pde) uses GPS location  but even after enabling both the ACCESS COARSE LOCATION and ACCESS FINE LOCATION permissions from the mode  it crashes with the following error:
06 12 12:30:31 265  2171  2171 E AndroidRuntime: java lang RuntimeException: Unable to resume activity  processing test gps example processing test gps example MainActivity : java lang SecurityException:  network  location provider requires ACCESS COARSE LOCATION or ACCESS FINE LOCATION permission 
VIBRATE permission also crashes a watch face with the following error:
06 13 19:11:02 123  3308  3308 E AndroidRuntime: java lang SecurityException: Requires VIBRATE permission
although it was set in the manifest file 
</t>
  </si>
  <si>
    <t>autyzm-pg-friendly-plans-28</t>
  </si>
  <si>
    <t>Editing action in Manager causes crash</t>
  </si>
  <si>
    <t xml:space="preserve">    ENG  :
      Actual  :
TODO
      Expected  :
TODO
    PL:  
      Stan obecny:  
1  Aplikacja Manager
2  Tworzenie nowej aktywno ci lub edycja istniej cej
3  Zarz dzanie czynno ciami   po dodaniu nowej czynno ci  a nast pnie wej ciu w edycj  istniej cej aplikacja crashuje si  
      Stan oczekiwany:   
Wy wietlenie okna edycji wybranej czynno ci
</t>
  </si>
  <si>
    <t>wasdennnoch-AndroidN-ify-447</t>
  </si>
  <si>
    <t>Resurrection ROM issues</t>
  </si>
  <si>
    <t xml:space="preserve">Hi
Thanks for your exceptional work  
I have following issues on RR ROM 5 6 9 (10th June)  : 
1  No QS animation  Tiles just run to left 
2  Doesn t show all RR tiles most importantly Power Menu  Application picker tiles (would love to get all RR tiles if possible)
3  Tapping DONE crashes SystemUI
4  Tap to add tile was much more comfortable  Can t drag lowest tile to top 
Xposed log is attached 
Thank you once again  
 ResurrectionRemix 5 6 9 Errors txt (https:  github com wasdennnoch AndroidN ify files 312094 ResurrectionRemix 5 6 9 Errors txt)
</t>
  </si>
  <si>
    <t>commons-app-apps-android-commons-124</t>
  </si>
  <si>
    <t>File extension not added to filename of audio files</t>
  </si>
  <si>
    <t xml:space="preserve"> I ve made a couple of uploads of audio files (https:  commons wikimedia org w index php title Special:Search search incategory 3A Audio files by User 3A1Veertje  incategory 3A Uploaded with Mobile 2FAndroid )
When I don t add  ogg to de title of the file  the upload fails  
Since the end of May the app crashes after I ve put in a title and description  This wasn t the case back in April  when I was still able to add categories through the app  
</t>
  </si>
  <si>
    <t>mauron85-cordova-plugin-background-geolocation-89</t>
  </si>
  <si>
    <t>Android crash on start</t>
  </si>
  <si>
    <t xml:space="preserve">I am experiencing a crash on app start issue on the following android version: 6 0 1  4 3 2  4 2 2  basically  it crash whenever app is open  I tried both locationService ANDROID DISTANCE FILTER and ANDROID FUSED LOCATION  still crashes  Please advise  thanks 
here s the config of the bg location 
backgroundGeoLocation configure(callbackFn  failureFn   
            desiredAccuracy:                        10 
            stationaryRadius:                       150    20    150                   production should be 150
            distanceFilter:                          scope dist2sync 1000            test val  30 or 50 meters
            stopOnTerminate:  true         enable this to clear background location settings when the app terminates
            locationService: backgroundGeoLocation service ANDROID DISTANCE FILTER    ANDROID DISTANCE FILTER or ANDROID FUSED LOCATION (may causing crash if using fused)
              interval: 60000          poll for position every minute on ANDROID FUSED LOCATION only
              fastestInterval: 120000    on ANDROID FUSED LOCATION only
            debug:                                  false         enable this hear sounds for background geolocation life cycle 
            useSignificantChangesOnly:              true       ios only  change location only when cell tower change is detected
            locationUpdateInterval:                 60000           in miliseconds  default it to 30000 for test
            fastestLocationUpdateInterval:          60000           prod  : 60 sec  test: 30000   30 sec
            activityRecognitionInterval:            45000          millis  default 10000   10 sec
              stopTimeout:                            5              Wait x miutes to turn off location system after stop detection
            activityType:                            AutomotiveNavigation  
            notificationText:                        Location tracking is active  
            notificationTitle:                       Location Service 
         ) 
</t>
  </si>
  <si>
    <t>kontalk-androidclient-758</t>
  </si>
  <si>
    <t>Intent sent with no phone number available in Kontalk sync data</t>
  </si>
  <si>
    <t xml:space="preserve">Code executing query from contacts here:
https:  github com kontalk androidclient blob stable app src main java org kontalk ui ComposeMessageFragment java L1606
May result in a crash because mUserJID is never set  This is due to the given contact not having been synchronized yet  Despite the Intent should come directly from a Kontalk contact type (from Android Contacts app)  it may have been deleted in the meantime or it maybe just be an odd firmware  Take the information somewhere else 
java lang RuntimeException: Unable to start activity ComponentInfo org kontalk org kontalk ui ComposeMessage : java lang NullPointerException: key    null
       at android app ActivityThread performLaunchActivity(ActivityThread java:2344)
       at android app ActivityThread handleLaunchActivity(ActivityThread java:2404)
       at android app ActivityThread access 800(ActivityThread java:145)
       at android app ActivityThread H handleMessage(ActivityThread java:1323)
       at android os Handler dispatchMessage(Handler java:102)
       at android os Looper loop(Looper java:135)
       at android app ActivityThread main(ActivityThread java:5319)
       at java lang reflect Method invoke(Method java)
       at java lang reflect Method invoke(Method java:372)
       at com android internal os ZygoteInit MethodAndArgsCaller run(ZygoteInit java:1016)
       at com android internal os ZygoteInit main(ZygoteInit java:811)
Caused by java lang NullPointerException: key    null
       at android support v4 util LruCache get(LruCache java:79)
       at org kontalk data Contact ContactCache get(Contact java:137)
       at org kontalk data Contact findByUserId(Contact java:483)
       at org kontalk data Conversation loadContact(Conversation java:147)
       at org kontalk data Conversation setRecipient(Conversation java:181)
       at org kontalk ui ComposeMessageFragment processArguments(ComposeMessageFragment java:1631)
       at org kontalk ui ComposeMessageFragment onActivityCreated(ComposeMessageFragment java:313)
       at android support v4 app Fragment performActivityCreated(Fragment java:1983)
       at android support v4 app FragmentManagerImpl moveToState(FragmentManager java:1092)
       at android support v4 app FragmentManagerImpl moveToState(FragmentManager java:1252)
       at android support v4 app FragmentManagerImpl moveToState(FragmentManager java:1234)
       at android support v4 app FragmentManagerImpl dispatchActivityCreated(FragmentManager java:2046)
       at android support v4 app FragmentController dispatchActivityCreated(FragmentController java:174)
       at android support v4 app FragmentActivity onStart(FragmentActivity java:597)
       at android app Instrumentation callActivityOnStart(Instrumentation java:1220)
       at android app Activity performStart(Activity java:5992)
       at android app ActivityThread performLaunchActivity(ActivityThread java:2307)
       at android app ActivityThread handleLaunchActivity(ActivityThread java:2404)
       at android app ActivityThread access 800(ActivityThread java:145)
       at android app ActivityThread H handleMessage(ActivityThread java:1323)
       at android os Handler dispatchMessage(Handler java:102)
       at android os Looper loop(Looper java:135)
       at android app ActivityThread main(ActivityThread java:5319)
       at java lang reflect Method invoke(Method java)
       at java lang reflect Method invoke(Method java:372)
       at com android internal os ZygoteInit MethodAndArgsCaller run(ZygoteInit java:1016)
       at com android internal os ZygoteInit main(ZygoteInit java:811)
</t>
  </si>
  <si>
    <t>bumptech-glide-1267</t>
  </si>
  <si>
    <t>Vector drawable can't be used as error drawable</t>
  </si>
  <si>
    <t xml:space="preserve">1  Create a vector drawable in xml
2  Refer the drawable id in the  error  method
3  Run the app on Android   5 0
4  Make sure main image is not loaded and the error drawable is displayed
5  The app crashes with:
android content res Resources NotFoundException: File res drawable no image placeholder xml from drawable resource ID  0x7f020080
   at android content res Resources loadDrawable(Resources java:3376)
   at android content res Resources getDrawable(Resources java:1872)
   at com bumptech glide request GenericRequest getErrorDrawable(GenericRequest java:409)
   at com bumptech glide request GenericRequest setErrorPlaceholder(GenericRequest java:399)
   at com bumptech glide request GenericRequest onException(GenericRequest java:548)
   at com bumptech glide load engine EngineJob handleExceptionOnMainThread(EngineJob java:183)
   at com bumptech glide load engine EngineJob access 200(EngineJob java:22)
   at com bumptech glide load engine EngineJob MainThreadCallback handleMessage(EngineJob java:204)
   at android os Handler dispatchMessage(Handler java:98)
   at android os Looper loop(Looper java:146)
   at android app ActivityThread main(ActivityThread java:5653)
   at java lang reflect Method invokeNative(Native Method)
   at java lang reflect Method invoke(Method java:515)
   at com android internal os ZygoteInit MethodAndArgsCaller run(ZygoteInit java:1291)
   at com android internal os ZygoteInit main(ZygoteInit java:1107)
   at dalvik system NativeStart main(Native Method)
Caused by: org xmlpull v1 XmlPullParserException: Binary XML file line  2: invalid drawable tag vector
   at android graphics drawable Drawable createFromXmlInner(Drawable java:986)
   at android graphics drawable Drawable createFromXml(Drawable java:930)
   at android content res Resources loadDrawable(Resources java:3372)
   at android content res Resources getDrawable(Resources java:1872) 
   at com bumptech glide request GenericRequest getErrorDrawable(GenericRequest java:409) 
   at com bumptech glide request GenericRequest setErrorPlaceholder(GenericRequest java:399) 
   at com bumptech glide request GenericRequest onException(GenericRequest java:548) 
   at com bumptech glide load engine EngineJob handleExceptionOnMainThread(EngineJob java:183) 
   at com bumptech glide load engine EngineJob access 200(EngineJob java:22) 
   at com bumptech glide load engine EngineJob MainThreadCallback handleMessage(EngineJob java:204) 
   at android os Handler dispatchMessage(Handler java:98) 
   at android os Looper loop(Looper java:146) 
   at android app ActivityThread main(ActivityThread java:5653) 
   at java lang reflect Method invokeNative(Native Method) 
   at java lang reflect Method invoke(Method java:515) 
   at com android internal os ZygoteInit MethodAndArgsCaller run(ZygoteInit java:1291) 
   at com android internal os ZygoteInit main(ZygoteInit java:1107) 
   at dalvik system NativeStart main(Native Method)
The problem is that  GenericRequest gets resources from the application context  not the provided context  All the AppCompat classes (like  AppCompatActivity ) can return the  VectorEnabledTintResources class  which supports vector drawable  Unfortunately  there s no  AppCompatApplication   so the  Application class always returns just plain  Resources class which doesn t support vector drawables before Android 5 0 
  Glide Version  :
3 7 0
  Integration libraries  :
okhttp3 integration:1 4 0
  Device Android Version  :
GT P5210 Android 4 4 2
</t>
  </si>
  <si>
    <t>Flaredown-FlaredownAndroid-44</t>
  </si>
  <si>
    <t>Check in Activity crashes if open and closed rapidly</t>
  </si>
  <si>
    <t xml:space="preserve">If the check in activity is closed before the popular tags has loaded the app crashes   
06 15 21:11:14 678 23532 23532 com flaredown flaredownApp DEBUG E AndroidRuntime: FATAL EXCEPTION: main
  Process: com flaredown flaredownApp DEBUG  PID: 23532
  java lang NullPointerException: Attempt to invoke virtual method  android content res Resources android content Context getResources()  on a null object reference
      at android view ViewConfiguration get(ViewConfiguration java:364)
      at android view View  init (View java:3794)
      at android view View  init (View java:3898)
      at android widget TextView  init (TextView java:677)
      at android widget TextView  init (TextView java:671)
      at android widget TextView  init (TextView java:667)
      at android widget TextView  init (TextView java:663)
      at com flaredown flaredownApp Checkin tags TagFragment 3 viewCreation(TagFragment java:145)
      at com flaredown flaredownApp Checkin tags TagFragment 3 viewCreation(TagFragment java:142)
      at com flaredown flaredownApp Helpers FlowLayoutHelper addItem(FlowLayoutHelper java:44)
      at com flaredown flaredownApp Checkin tags TagFragment 2 onSuccess(TagFragment java:113)
      at com flaredown flaredownApp Checkin tags TagFragment 2 onSuccess(TagFragment java:108)
      at com flaredown flaredownApp Helpers APIv2 Communicate 27 onResponse(Communicate java:568)
      at com flaredown flaredownApp Helpers APIv2 Communicate 27 onResponse(Communicate java:558)
      at com flaredown flaredownApp Helpers Volley JsonObjectExtraRequest 1 onResponse(JsonObjectExtraRequest java:48)
      at com flaredown flaredownApp Helpers Volley JsonObjectExtraRequest 1 onResponse(JsonObjectExtraRequest java:44)
      at com android volley toolbox StringRequest deliverResponse(StringRequest java:60)
      at com android volley toolbox StringRequest deliverResponse(StringRequest java:30)
      at com android volley ExecutorDelivery ResponseDeliveryRunnable run(ExecutorDelivery java:99)
      at android os Handler handleCallback(Handler java:739)
      at android os Handler dispatchMessage(Handler java:95)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t>
  </si>
  <si>
    <t>zom-Zom-Android-XMPP-108</t>
  </si>
  <si>
    <t>Zom Crashes when verifying contact</t>
  </si>
  <si>
    <t xml:space="preserve">In friend s  Me  page  when I clicked on  Verify Contact  from top right menu  Zom crashed 
</t>
  </si>
  <si>
    <t>duniter-duniter-android-app-53</t>
  </si>
  <si>
    <t>App crash when adding a new wallet from another node</t>
  </si>
  <si>
    <t xml:space="preserve">I have tried with : 
   test net duniter fr:9201    app crash
  metab ucoin fr:9201    le mesage n est pas coh rent : si on sait que le noeud n est pas joignable  il faudrait etre plus explicite 
  Par exemple : noeud non joignable  
</t>
  </si>
  <si>
    <t>duniter-duniter-android-app-50</t>
  </si>
  <si>
    <t>Add a contact : hide "add" button when added</t>
  </si>
  <si>
    <t xml:space="preserve">When i add a user as contact  i must not see the  add  button after added 
I a use the button again  the app crashes
</t>
  </si>
  <si>
    <t>square-okhttp-2628</t>
  </si>
  <si>
    <t>Reading cache headers crashes when header contains utf-8 chars</t>
  </si>
  <si>
    <t xml:space="preserve">When a  Cache  is set on a okhttp3 instance and a connection to a server is created that uses utf 8 chars in its header response the library crashes with the following exception:
    java
  java lang IllegalArgumentException: Unexpected char 0xfffd at 67 in If None Match value:  562949954286466 404 Fri Jun 03 2016 17:43:42 GMT 0200 (Mitteleurop ische Sommerzeit) 
   at okhttp3 Headers Builder checkNameAndValue(Headers java:320)
   at okhttp3 Headers Builder set(Headers java:300)
   at okhttp3 Request Builder header(Request java:163)
   at okhttp3 internal http CacheStrategy Factory getCandidate(CacheStrategy java:235)
   at okhttp3 internal http CacheStrategy Factory get(CacheStrategy java:168)
   at okhttp3 internal http HttpEngine sendRequest(HttpEngine java:207)
   at okhttp3 RealCall getResponse(RealCall java:235)
   at okhttp3 RealCall ApplicationInterceptorChain proceed(RealCall java:193)
   at okhttp3 RealCall getResponseWithInterceptorChain(RealCall java:155)
   at okhttp3 RealCall execute(RealCall java:57)
The problem can be experienced on  3 3 1  as well as an  3 4 0 SNAPSHOT  
I think an attempt to fix similar issues has been made in the pull request https:  github com square okhttp pull 2587 by  swankjesse 
</t>
  </si>
  <si>
    <t>balthazar-react-native-zeroconf-12</t>
  </si>
  <si>
    <t>crash when network status changes</t>
  </si>
  <si>
    <t xml:space="preserve">I find that when I toggle wifi on off while scanning  my app crash 
For some reason  this causes the  service  to become nil and crashes when it tries to set a nil key in a dictionary 
  screen shot 2016 06 15 at 12 45 38 (https:  cloud githubusercontent com assets 1440796 16077115 266611a0 32f7 11e6 84f1 4df1d9924378 png)
</t>
  </si>
  <si>
    <t>wasdennnoch-AndroidN-ify-469</t>
  </si>
  <si>
    <t>Tiles not working on my device</t>
  </si>
  <si>
    <t xml:space="preserve">In previous updates when i press edit button in qs system UI always crashes in latest build nothing is happen overall issue is edit tile doesn t working
Logs
https:  www mediafire com download 1ajfzr6i9ps8jn5
</t>
  </si>
  <si>
    <t>jMonkeyEngine-sdk-78</t>
  </si>
  <si>
    <t>Changing loopMode in the scene explorer causes the scene to crash</t>
  </si>
  <si>
    <t xml:space="preserve">If you change the loop mode in the playback parameters to dontLoop then play the animation the scene will crash at the end of the animation 
error message  exception in control   scene content removed   java stack overflow 
</t>
  </si>
  <si>
    <t>zom-Zom-Android-XMPP-110</t>
  </si>
  <si>
    <t>Zom Crashes when opening chat with contact with Username in Tibetan</t>
  </si>
  <si>
    <t xml:space="preserve">Where I am now  I invited someone using LG G Pad 7 0 LTE OS 5 0 2 to Zom  He downloaded from Playstore and created user name in Tibetan 
In the contact  his initial appears as question mark 
Each time we (myself and another person who added him) clicked on the message he sent  Zom crashes 
</t>
  </si>
  <si>
    <t>MythTV-Clients-MythtvPlayerForAndroid-186</t>
  </si>
  <si>
    <t>Amazon FireTV does not support Google Voice Search</t>
  </si>
  <si>
    <t xml:space="preserve">Reported by  dekarl 
I tried with the APK from github releases with the following result
when trying to search in the recordings screen 
Looks like com google android voicesearch is missing from FireOS   
(according to
http:  stackoverflow com questions 9479846 no activity found to handle intent act android speech action recognize speech
)
But even that app is not available in my country  yet 
Looks like the missing speech to text activity is not handled  yet 
 NOTE: There may not be any applications installed to handle this
action  so you should make sure to catch ActivityNotFoundException  
I ActivityManager( 1832): START u0
 act android speech action RECOGNIZE SPEECH (has extras)  from uid 10015
on display 0
D AndroidRuntime(10607): Shutting down VM
E AndroidRuntime(10607): FATAL EXCEPTION: main
E AndroidRuntime(10607): Process: org mythtv android  PID: 10607
E AndroidRuntime(10607): android content ActivityNotFoundException: No
Activity found to handle Intent  act android speech action RECOGNIZE SPEECH (has extras)  
E AndroidRuntime(10607):        at
android app Instrumentation checkStartActivityResult(Instrumentation java:1797)
E AndroidRuntime(10607):        at 
android app Instrumentation execStartActivity(Instrumentation java:1517)
E AndroidRuntime(10607):        at
android app Activity startActivityForResult(Activity java:3771)
E AndroidRuntime(10607):        at
android app Activity startActivityForResult(Activity java:3732)
E AndroidRuntime(10607):        at
org mythtv android view activity tv SearchableActivity 1 recognizeSpeech(SearchableActivity java:145)
E AndroidRuntime(10607):        at
android support v17 leanback widget SearchBar startRecognition(SearchBar java:554)
E AndroidRuntime(10607):        at
android support v17 leanback app SearchFragment 4 run(SearchFragment java:194)
E AndroidRuntime(10607):        at
android os Handler handleCallback(Handler java:739)
E AndroidRuntime(10607):        at
android os Handler dispatchMessage(Handler java:95)
E AndroidRuntime(10607):        at android os Looper loop(Looper java:135)
E AndroidRuntime(10607):        at
android app ActivityThread main(ActivityThread java:5466)
E AndroidRuntime(10607):        at java lang reflect Method invoke(Native Method)
E AndroidRuntime(10607):        at
java lang reflect Method invoke(Method java:372)
E AndroidRuntime(10607):        at
com android internal os ZygoteInit MethodAndArgsCaller run(ZygoteInit java:984)
E AndroidRuntime(10607):        at
com android internal os ZygoteInit main(ZygoteInit java:779)
I AndroidRuntime(10607): To Report FATAL to activityManagerService
I ActivityManager( 1832): handleApplicationCrash
W ActivityManager( 1832):   Force finishing activity 1
org mythtv android  view activity tv SearchableActivity
I ActivityManager( 1832): addErrorToDropBox inserted
hashcode 558234d2102138a369448751c2d68515a627a295 for eventType crash 
I Vlog    ( 1832):
3p:fg crash:fgtracking true DV 1 key org mythtv android DV 1 Counter 1 0 CT 1 unit count DV 1 metadata 558234d2102138a369448751c2d68515a627a295 DV 1:HI
I ActivityManager( 1832): Next activity is on the same task  skipping
moveHomeStackTaskToTop()
I Process (10607): Sending signal  PID: 10607 SIG: 9
I AndroidRuntime(10607): Finished reporting FATAL to activityManagerService
I CrashDescriptorUtil( 1832): addErrorToCommonLog Hash already present
in file
I WindowState( 1832): WIN DEATH: Window 1c90a472 u0
org mythtv android org mythtv android view activity tv RecordingsActivity 
I WindowState( 1832): WIN DEATH: Window 311c5458 u0
org mythtv android org mythtv android view activity tv SearchableActivity 
I ActivityManager( 1832): Process org mythtv android (pid 10607) has died
W art     (  746): PreZygoteFork called when we already have a zygote space 
V WindowManager( 1832): Adding window Window 1fe4850f u0 Starting
org mythtv android  at 12 of 15 (before Window 311c5458 u0
org mythtv android org mythtv android view activity tv SearchableActivity EXITING )
I ActivityManager( 1832): Start proc 10777:org mythtv android u0a15 for
activity org mythtv android  view activity tv RecordingsActivity
</t>
  </si>
  <si>
    <t>yigit-android-priority-jobqueue-187</t>
  </si>
  <si>
    <t>JobQueue went crazy on some device.</t>
  </si>
  <si>
    <t xml:space="preserve">Hi 
Thanks for the awesome library 
I have one problem on the JobQueue on a specific device 
JobQueue went crazy and resulting in the   phone   to crash and restart 
I ve tested with 5 phones  and the one that s having this problem is OnePlus One on CM13 1s 
 Attached trimmed log (https:  github com malvinstn test jobqueue blob master queue log txt)
When I count the log  there s 3 000 lines printed in a space of 1s 
I ve created a test repo here 
 test repo (github com malvinstn test jobqueue)
Any advice 
</t>
  </si>
  <si>
    <t>square-okhttp-2634</t>
  </si>
  <si>
    <t>Handshake's localPrincipal causes NPE.</t>
  </si>
  <si>
    <t xml:space="preserve">Hello  I got a strange crash report from Crashlytics today 
Fatal Exception: java lang NullPointerException: Attempt to invoke interface method  boolean java util List isEmpty()  on a null object reference
       at okhttp3 Handshake localPrincipal(Handshake java:114)
       at android support v4 view ViewPager populate(ViewPager java)
       at android support v4 view ViewPager populate(ViewPager java:1025)
       at android support v4 view ViewPager onMeasure(ViewPager java:1545)
       at android view View measure(View java:18646)
       at android widget RelativeLayout measureChildHorizontal(RelativeLayout java:728)
       at android widget RelativeLayout onMeasure(RelativeLayout java:464)
       at android view View measure(View java:18646)
       at android view ViewGroup measureChildWithMargins(ViewGroup java:5832)
       at android widget FrameLayout onMeasure(FrameLayout java:430)
       at  my package  onMeasure( my view  java:937)
       at android view View measure(View java:18646)
       at android widget RelativeLayout measureChildHorizontal(RelativeLayout java:728)
       at android widget RelativeLayout onMeasure(RelativeLayout java:464)
       at android view View measure(View java:18646)
       at android view ViewGroup measureChildWithMargins(ViewGroup java:5832)
       at android widget FrameLayout onMeasure(FrameLayout java:430)
       at android support v7 widget ContentFrameLayout onMeasure(ContentFrameLayout java:135)
       at android view View measure(View java:18646)
       at android view ViewGroup measureChildWithMargins(ViewGroup java:5832)
       at android widget LinearLayout measureChildBeforeLayout(LinearLayout java:1435)
       at android widget LinearLayout measureVertical(LinearLayout java:721)
       at android widget LinearLayout onMeasure(LinearLayout java:612)
       at android view View measure(View java:18646)
       at android view ViewGroup measureChildWithMargins(ViewGroup java:5832)
       at android widget FrameLayout onMeasure(FrameLayout java:430)
       at android view View measure(View java:18646)
       at android view ViewGroup measureChildWithMargins(ViewGroup java:5832)
       at android widget LinearLayout measureChildBeforeLayout(LinearLayout java:1435)
       at android widget LinearLayout measureVertical(LinearLayout java:721)
       at android widget LinearLayout onMeasure(LinearLayout java:612)
       at android view View measure(View java:18646)
       at android view ViewGroup measureChildWithMargins(ViewGroup java:5832)
       at android widget FrameLayout onMeasure(FrameLayout java:430)
       at com android internal policy impl PhoneWindow DecorView onMeasure(PhoneWindow java:3011)
       at android view View measure(View java:18646)
       at android view ViewRootImpl performMeasure(ViewRootImpl java:2310)
       at android view ViewRootImpl measureHierarchy(ViewRootImpl java:1354)
       at android view ViewRootImpl performTraversals(ViewRootImpl java:1597)
       at android view ViewRootImpl doTraversal(ViewRootImpl java:1239)
       at android view ViewRootImpl TraversalRunnable run(ViewRootImpl java:6752)
       at android view Choreographer CallbackRecord run(Choreographer java:777)
       at android view Choreographer doCallbacks(Choreographer java:590)
       at android view Choreographer doFrame(Choreographer java:560)
       at android view Choreographer FrameDisplayEventReceiver run(Choreographer java:763)
       at android os Handler handleCallback(Handler java:739)
       at android os Handler dispatchMessage(Handler java:95)
       at android os Looper loop(Looper java:145)
       at android app ActivityThread main(ActivityThread java:6145)
       at java lang reflect Method invoke(Method java)
       at java lang reflect Method invoke(Method java:372)
       at com android internal os ZygoteInit MethodAndArgsCaller run(ZygoteInit java:1399)
       at com android internal os ZygoteInit main(ZygoteInit java:1194)
OkHttp https:      com     apsx
       at com android org conscrypt NativeCrypto SSL read(NativeCrypto java)
       at com android org conscrypt OpenSSLSocketImpl SSLInputStream read(OpenSSLSocketImpl java:728)
       at okio Okio 2 read(Okio java:139)
       at okio AsyncTimeout 2 read(AsyncTimeout java:211)
       at okio RealBufferedSource indexOf(RealBufferedSource java:306)
       at okio RealBufferedSource indexOf(RealBufferedSource java:300)
       at okio RealBufferedSource readUtf8LineStrict(RealBufferedSource java:196)
       at okhttp3 internal http Http1xStream readResponse(Http1xStream java:184)
       at okhttp3 internal http Http1xStream readResponseHeaders(Http1xStream java:125)
       at okhttp3 internal http HttpEngine readNetworkResponse(HttpEngine java:723)
       at okhttp3 internal http HttpEngine access 200(HttpEngine java:81)
       at okhttp3 internal http HttpEngine NetworkInterceptorChain proceed(HttpEngine java:708)
       at okhttp3 internal http HttpEngine readResponse(HttpEngine java:563)
       at okhttp3 RealCall getResponse(RealCall java:241)
       at okhttp3 RealCall ApplicationInterceptorChain proceed(RealCall java:198)
       at okhttp3 logging HttpLoggingInterceptor intercept(HttpLoggingInterceptor java:142)
       at okhttp3 RealCall ApplicationInterceptorChain proceed(RealCall java:187)
       at okhttp3 RealCall getResponseWithInterceptorChain(RealCall java:160)
       at okhttp3 RealCall access 100(RealCall java:30)
       at okhttp3 RealCall AsyncCall execute(RealCall java:127)
       at okhttp3 internal NamedRunnable run(NamedRunnable java:32)
       at java util concurrent ThreadPoolExecutor runWorker(ThreadPoolExecutor java:1112)
       at java util concurrent ThreadPoolExecutor Worker run(ThreadPoolExecutor java:587)
       at java lang Thread run(Thread java:818)
I m wondering what causes this problem  
I m using Retrofit2(v2 0 2) with okhttp(v3 2 0) and the device is sm a700l and OS version is 5 0 2 
</t>
  </si>
  <si>
    <t>k9mail-k-9-1468</t>
  </si>
  <si>
    <t>K9 crash on delete when full message was not downloaded</t>
  </si>
  <si>
    <t xml:space="preserve">    Expected behavior
When I press delete  even if the message was not full downloaded  the message get deleted and the program does not crash  Small messages got deleted without crash  Large messages (when there is the option to download it full) crashes k9 
    Actual behavior
The message get deleted on the server but K9 crashes 
    Steps to reproduce
1  open large email that is not full downloaded
2  press delete
3  confirm
4  k9 crashes
Stacktrace:
06 20 21:01:03 828 11593 11593   E AndroidRuntime: FATAL EXCEPTION: main
                                                   Process: com fsck k9  PID: 11593
                                                   java lang IllegalStateException: Couldn t read row 829  col 0 from CursorWindow   Make sure the Cursor is initialized correctly before accessing data from it 
                                                       at android database CursorWindow nativeGetLong(Native Method)
                                                       at android database CursorWindow getLong(CursorWindow java:511)
                                                       at android database AbstractWindowedCursor getLong(AbstractWindowedCursor java:75)
                                                       at android database CursorWrapper getLong(CursorWrapper java:127)
                                                       at android database CursorWrapper getLong(CursorWrapper java:127)
                                                       at com fsck k9 provider EmailProvider SpecialColumnsCursor getLong(EmailProvider java:776)
                                                       at android database CursorWrapper getLong(CursorWrapper java:127)
                                                       at android database CursorWrapper getLong(CursorWrapper java:127)
                                                       at com fsck k9 helper MergeCursor getLong(MergeCursor java:188)
                                                       at com fsck k9 helper MergeCursorWithUniqueId getPerCursorId(MergeCursorWithUniqueId java:81)
                                                       at com fsck k9 helper MergeCursorWithUniqueId getLong(MergeCursorWithUniqueId java:56)
                                                       at com fsck k9 fragment MessageListFragment computeBatchDirection(MessageListFragment java:2317)
                                                       at com fsck k9 fragment MessageListFragment onLoadFinished(MessageListFragment java:3467)
                                                       at com fsck k9 fragment MessageListFragment onLoadFinished(MessageListFragment java:108)
                                                       at android app LoaderManagerImpl LoaderInfo callOnLoadFinished(LoaderManager java:483)
                                                       at android app LoaderManagerImpl LoaderInfo onLoadComplete(LoaderManager java:451)
                                                       at android content Loader deliverResult(Loader java:144)
                                                       at android content CursorLoader deliverResult(CursorLoader java:109)
                                                       at android content CursorLoader deliverResult(CursorLoader java:97)
                                                       at android content AsyncTaskLoader dispatchOnLoadComplete(AsyncTaskLoader java:265)
                                                       at android content AsyncTaskLoader LoadTask onPostExecute(AsyncTaskLoader java:92)
                                                       at android os AsyncTask finish(AsyncTask java:651)
                                                       at android os AsyncTask  wrap1(AsyncTask java)
                                                       at android os AsyncTask InternalHandler handleMessage(AsyncTask java:668)
                                                       at android os Handler dispatchMessage(Handler java:102)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Environment
K 9 Mail version: 5 010
Android version: 6 0 1
Account type (IMAP  POP3  WebDAV Exchange): IMAP
</t>
  </si>
  <si>
    <t>react-native-camera-react-native-camera-326</t>
  </si>
  <si>
    <t>App crashes on Code Reload when permission for Microphone is not set</t>
  </si>
  <si>
    <t xml:space="preserve">    Steps to reproduce
1  Edit permissions: Allow Camera but disallow Microphone usage
2  Run react native app via Xcode on a physical device (including node server)
3  Open Screen with camera embedded
4  Shuffle iOS device and  Reload  or if  Live Reload  is enabled  just save the code
5  App tries to reload JavaScript code
    Expected behaviour
Reload app and continue developing
    Actual behaviour
App crashes  needs to be stopped and rerun via Xcode 
If microphone permission is given  everything is fine  (BTW: is it possible to  disable  microphone usage completely )
  bildschirmfoto 2016 06 20 um 16 37 11 (https:  cloud githubusercontent com assets 6025496 16199652 b63efd16 370a 11e6 8c9c 218ab3214656 png)
Console says:
2016 06 20 17:34:04 154  info  tid:main  RCTCameraManager m:244  Error setting property  captureAudio  of RCTCamera with tag  28: capturing audio
2016 06 20 17:34:04 653 PrototypeApp 1139:575961  Error Domain AVFoundationErrorDomain Code  11852  Cannot use iPad Mikrofon  UserInfo  NSLocalizedDescription Cannot use iPad Mikrofon  NSLocalizedFailureReason This app is not authorized to use iPad Mikrofon   AVErrorDeviceKey  AVCaptureFigAudioDevice: 0x1556fb220  iPad Mikrofon  com apple avfoundation avcapturedevice built in audio:0   
2016 06 20 17:07:30 862 PrototypeApp 1126:569807      Terminating app due to uncaught exception  NSGenericException   reason:      AVCaptureSession can t stopRunning between calls to beginConfiguration   commitConfiguration 
    First throw call stack:
(0x184b80f5c 0x19945bf80 0x1830d15b8 0x1001d5154 0x10098dd70 0x10098dd30 0x10099a7f0 0x100991a20 0x10098dd30 0x10099cf38 0x10099c600 0x199e5d478 0x199e5d028)
libc  abi dylib: terminating with uncaught exception of type NSException
(lldb) 
    Environment
    Node js version  : v6 2 1
    React Native version  : 0 27 2
    React Native platform   platform version  : iOS 9 0 2 on iPad Mini Retina
    react native camera
  Version  : master
</t>
  </si>
  <si>
    <t>stephanenicolas-toothpick-94</t>
  </si>
  <si>
    <t>Discard @Singleton annotated methods</t>
  </si>
  <si>
    <t xml:space="preserve">TP crashes on  Singleton annotated methods (when migrating from Dagger 2 for instance) 
The methods should not crash and the annotation processor should simply return an error  
</t>
  </si>
  <si>
    <t>Crash-Test-Buddies-WiFi-Buddy-138</t>
  </si>
  <si>
    <t>Service Discovery is called when chat fragment opens</t>
  </si>
  <si>
    <t xml:space="preserve">Don t think this should be happening 
06 21 09:39:44 727 25408 25408 edu rit se crashavoidance I wfd : Connection info available
06 21 09:39:44 727 25408 25408 edu rit se crashavoidance I wfd : Connected as group owner
06 21 09:39:44 728 25408 25408 edu rit se crashavoidance I System out:  CDS close 0 
06 21 09:39:44 728 25408 25408 edu rit se crashavoidance E wfd OwnerSocketHandler: Error starting server socket
06 21 09:39:44 728 25408 25408 edu rit se crashavoidance E wfd OwnerSocketHandler: bind failed: EADDRINUSE (Address already in use)
06 21 09:39:44 728 25408 25408 edu rit se crashavoidance I wfd : Failed to create a server thread   bind failed: EADDRINUSE (Address already in use)
06 21 09:39:44 750 25408 25408 edu rit se crashavoidance I wfd CommReceiver: This device changed
06 21 09:39:45 293 25408 27478 edu rit se crashavoidance I wfd OwnerSocketHandler: Launching the I O handler
06 21 09:39:45 295 25408 27478 edu rit se crashavoidance I wfd OwnerSocketHandler: Launching the I O handler
06 21 09:39:45 296 25408 25408 edu rit se crashavoidance I wfd : handleMessage() called
06 21 09:39:45 296 25408 25408 edu rit se crashavoidance I wfd : handleMessage() called
  06 21 09:41:01 285 25408 27091 edu rit se crashavoidance I wfd : Discover services called
06 21 09:41:01 286 25408 27091 edu rit se crashavoidance I wfd : Submitting discover task
06 21 09:41:01 292 25408 25408 edu rit se crashavoidance I wfd : Service discovery initiated
06 21 09:43:01 286 25408 28145 edu rit se crashavoidance I wfd : Discover services called
06 21 09:43:01 287 25408 28145 edu rit se crashavoidance I wfd : Submitting discover task
06 21 09:43:01 290 25408 25408 edu rit se crashavoidance I wfd : Service discovery initiated  
</t>
  </si>
  <si>
    <t>mattstraehl-AmgiNori-1</t>
  </si>
  <si>
    <t>Crash loading apkg</t>
  </si>
  <si>
    <t xml:space="preserve">I tried twice to load the apkg you linked on Reddit and the app crashed both times  Let me know if I can provide more information
</t>
  </si>
  <si>
    <t>duniter-duniter-android-app-62</t>
  </si>
  <si>
    <t>La dernière MAJ a rendu mon téléphone fou !</t>
  </si>
  <si>
    <t xml:space="preserve">Donc voici le sc nario 
1) Je fais la MAJ de DuniterApp  je viens de la version publi e aux RML7
2) J ouvre l application  je vois les menus  Inscription  et  Connexion   Je d cide de cliquer sur  Connexion 
3) L application me demande un code PIN  Je rentre le m me que la derni re fois  celui qui prot ge mon compte sur cette application
4) L application me demande mes identifiants salt password  Je les rentre et je valide
5) L application plante
6) Et l   a part en freestyle
7) Android me dit que l application a plant  et me propose d envoyer un rapport d erreur aux d veloppeurs
8) Je dis non  je dis oui  c est pareil sauf qu Android tente  d ouvrir  une popup d  criture de mail avant de me forcer   aller   l  tape 9) si je dis oui
9) Android relance l application
10) L application recrash imm diatement de la m me fa on sans que j ai aucune action   faire
11) Retour   l  tape 7)
Donc boucle infinie entre l  tape 7) et 11)  Certes Android fait clairement un traitement inappropri   et devrait d finitivement stopper DuniterApp vu qu elle crash au lancement  mais d un autre c t  DuniterApp crash au lancement et c est un vrai probl me 
D sole je n ai aucun rapport d erreur   envoyer  du coup 
</t>
  </si>
  <si>
    <t>Z3r0byte-Magis-4</t>
  </si>
  <si>
    <t>Bug on rotation while loading</t>
  </si>
  <si>
    <t xml:space="preserve">App crashes when a user rotates the screen while the app is logging in loading appointments 
</t>
  </si>
  <si>
    <t>Crash-Test-Buddies-WiFi-Buddy-143</t>
  </si>
  <si>
    <t>FirebaseApp initialization unsuccessful</t>
  </si>
  <si>
    <t xml:space="preserve">The first log line when starting the app:
06 21 20:03:32 006 3527 3527 edu rit se crashavoidance I FirebaseInitProvider: FirebaseApp initialization unsuccessful
</t>
  </si>
  <si>
    <t>Crash-Test-Buddies-WiFi-Buddy-142</t>
  </si>
  <si>
    <t>Group Owner tries to start socket after already starting one</t>
  </si>
  <si>
    <t xml:space="preserve">The Group Owner always fails to to start a server socket after connecting to a client  For some reason it s trying to start a socket again and create another server thread  
Below is everything that occurred on the Group Owner device after the client accepted the invitation to connect  
06 21 19:56:03 196 32053 32053 edu rit se crashavoidance I wfd : This device changed
06 21 19:56:03 196 32053 32053 edu rit se crashavoidance I wfd : Device name: Brendan BLU
                                                                 Device address: 5a:f1:02:2f:c0:76
                                                                 Is group owner: false
                                                                 Status: Connected
06 21 19:56:03 196 32053 32053 edu rit se crashavoidance I wfd : This device changed
06 21 19:56:03 197 32053 32053 edu rit se crashavoidance I wfd : Device name: Brendan BLU
                                                                 Device address: 5a:f1:02:2f:c0:76
                                                                 Is group owner: false
                                                                 Status: Connected
06 21 19:56:03 197 32053 32053 edu rit se crashavoidance I wfd CommReceiver: This device changed
06 21 19:56:03 200 32053 32053 edu rit se crashavoidance I wfd CommReceiver: This device changed
06 21 19:56:03 414 32053 32053 edu rit se crashavoidance I wfd : List of discovered peers changed
06 21 19:56:03 414 32053 32053 edu rit se crashavoidance I wfd : List of discovered peers changed
06 21 19:56:03 414 32053 32053 edu rit se crashavoidance I wfd : Wi Fi P2P Connection Changed
06 21 19:56:03 415 32053 32053 edu rit se crashavoidance I wfd : Connected to p2p network  Requesting connection details
06 21 19:56:03 415 32053 32053 edu rit se crashavoidance I wfd : Wi Fi P2P Connection Changed
06 21 19:56:03 415 32053 32053 edu rit se crashavoidance I wfd : Connected to p2p network  Requesting connection details
06 21 19:56:03 423 32053 32053 edu rit se crashavoidance I wfd : Connection info available
06 21 19:56:03 423 32053 32053 edu rit se crashavoidance I wfd : Connected as group owner
06 21 19:56:03 426 32053 32053 edu rit se crashavoidance I wfd OwnerSocketHandler: Group owner server socket started
06 21 19:56:03 426 32053 32053 edu rit se crashavoidance I wfd CommReceiver: This device changed
06 21 19:56:03 427 32053 32268 edu rit se crashavoidance I wfd OwnerSocketHandler: Group owner server socket thread running
06 21 19:56:03 429 32053 32053 edu rit se crashavoidance I wfd CommReceiver: Service connected
06 21 19:56:03 430 32053 32053 edu rit se crashavoidance I wfd CommReceiver: Switching to Chat fragment
06 21 19:56:03 430 32053 32053 edu rit se crashavoidance I wfd : Connection info available
06 21 19:56:03 430 32053 32053 edu rit se crashavoidance I wfd : Connected as group owner
06 21 19:56:03 432 32053 32053 edu rit se crashavoidance I System out:  CDS close 0 
  06 21 19:56:03 432 32053 32053 edu rit se crashavoidance E wfd OwnerSocketHandler: Error starting server socket
06 21 19:56:03 432 32053 32053 edu rit se crashavoidance E wfd OwnerSocketHandler: bind failed: EADDRINUSE (Address already in use)
06 21 19:56:03 432 32053 32053 edu rit se crashavoidance I wfd : Failed to create a server thread   bind failed: EADDRINUSE (Address already in use)  
06 21 19:56:03 461 32053 32053 edu rit se crashavoidance I wfd CommReceiver: This device changed
06 21 19:56:03 907 32053 32268 edu rit se crashavoidance I wfd OwnerSocketHandler: Launching the I O handler
06 21 19:56:03 911 32053 32053 edu rit se crashavoidance I wfd : handleMessage() called
06 21 19:56:03 911 32053 32268 edu rit se crashavoidance I wfd OwnerSocketHandler: Launching the I O handler
06 21 19:56:03 914 32053 32053 edu rit se crashavoidance I wfd : handleMessage() called
</t>
  </si>
  <si>
    <t>btkelly-gnag-93</t>
  </si>
  <si>
    <t>Exception while parsing Android lint output</t>
  </si>
  <si>
    <t xml:space="preserve">  Gnag version:   1 1
  Gnag configuration:  
    groovy
gnag  
    pmd  
        enabled false
    github  
        repoName  redacted redacted 
  Stack trace   (recorded output when running    gradlew clean gnagCheck ):
    text
Error reading line number from Android Lint violations 
java lang NumberFormatException: For input string:   
        at java lang NumberFormatException forInputString(NumberFormatException java:65)
        at java lang Integer parseInt(Integer java:592)
        at java lang Integer valueOf(Integer java:766)
        at org codehaus groovy runtime StringGroovyMethods toInteger(StringGroovyMethods java:3333)
        at org codehaus groovy runtime StringGroovyMethods toInteger(StringGroovyMethods java:3342)
        at groovy util slurpersupport GPathResult toInteger(GPathResult java:281)
        at sun reflect GeneratedMethodAccessor97 invoke(Unknown Source)
        at sun reflect DelegatingMethodAccessorImpl invoke(DelegatingMethodAccessorImpl java:43)
        at java lang reflect Method invoke(Method java:498)
        at org codehaus groovy reflection CachedMethod invoke(CachedMethod java:93)
        at groovy lang MetaMethod doMethodInvoke(MetaMethod java:325)
        at groovy lang MetaClassImpl invokeMethod(MetaClassImpl java:1210)
        at groovy lang MetaClassImpl invokeMethod(MetaClassImpl java:1019)
        at groovy lang DelegatingMetaClass invokeMethod(DelegatingMetaClass java:151)
        at org codehaus groovy runtime callsite PogoMetaClassSite call(PogoMetaClassSite java:42)
        at org codehaus groovy runtime callsite CallSiteArray defaultCall(CallSiteArray java:48)
        at org codehaus groovy runtime callsite AbstractCallSite call(AbstractCallSite java:113)
        at org codehaus groovy runtime callsite AbstractCallSite call(AbstractCallSite java:117)
        at com btkelly gnag reporters AndroidLintViolationDetector  getDetectedViolations closure2 doCall(AndroidLintViolationDetector groovy:65)
        at sun reflect NativeMethodAccessorImpl invoke0(Native Method)
        at sun reflect NativeMethodAccessorImpl invoke(NativeMethodAccessorImpl java:62)
        at sun reflect DelegatingMethodAccessorImpl invoke(DelegatingMethodAccessorImpl java:43)
        at java lang reflect Method invoke(Method java:498)
        at org codehaus groovy reflection CachedMethod invoke(CachedMethod java:93)
        at groovy lang MetaMethod doMethodInvoke(MetaMethod java:325)
        at org codehaus groovy runtime metaclass ClosureMetaClass invokeMethod(ClosureMetaClass java:294)
        at groovy lang MetaClassImpl invokeMethod(MetaClassImpl java:1019)
        at groovy lang Closure call(Closure java:426)
        at groovy lang Closure call(Closure java:442)
        at org codehaus groovy runtime DefaultGroovyMethods each(DefaultGroovyMethods java:2030)
        at org codehaus groovy runtime DefaultGroovyMethods each(DefaultGroovyMethods java:2015)
        at org codehaus groovy runtime dgm 158 doMethodInvoke(Unknown Source)
        at groovy lang MetaClassImpl invokeMethod(MetaClassImpl java:1210)
        at groovy lang MetaClassImpl invokeMethod(MetaClassImpl java:1019)
        at groovy lang DelegatingMetaClass invokeMethod(DelegatingMetaClass java:151)
        at org codehaus groovy runtime callsite PogoMetaClassSite call(PogoMetaClassSite java:42)
        at org codehaus groovy runtime callsite CallSiteArray defaultCall(CallSiteArray java:48)
        at org codehaus groovy runtime callsite AbstractCallSite call(AbstractCallSite java:113)
        at org codehaus groovy runtime callsite AbstractCallSite call(AbstractCallSite java:125)
        at com btkelly gnag reporters AndroidLintViolationDetector getDetectedViolations(AndroidLintViolationDetector groovy:60)
        at com btkelly gnag tasks GnagCheck lambda executeGnagCheck 2(GnagCheck java:87)
        at java util stream ForEachOps ForEachOp OfRef accept(ForEachOps java:184)
        at java util stream ReferencePipeline 2 1 accept(ReferencePipeline java:175)
        at java util ArrayList ArrayListSpliterator forEachRemaining(ArrayList java:1374)
        at java util stream AbstractPipeline copyInto(AbstractPipeline java:481)
        at java util stream AbstractPipeline wrapAndCopyInto(AbstractPipeline java:471)
        at java util stream ForEachOps ForEachOp evaluateSequential(ForEachOps java:151)
        at java util stream ForEachOps ForEachOp OfRef evaluateSequential(ForEachOps java:174)
        at java util stream AbstractPipeline evaluate(AbstractPipeline java:234)
        at java util stream ReferencePipeline forEach(ReferencePipeline java:418)
        at com btkelly gnag tasks GnagCheck executeGnagCheck(GnagCheck java:81)
        at com btkelly gnag tasks GnagCheck taskAction(GnagCheck java:71)
        at sun reflect NativeMethodAccessorImpl invoke0(Native Method)
        at sun reflect NativeMethodAccessorImpl invoke(NativeMethodAccessorImpl java:62)
        at sun reflect DelegatingMethodAccessorImpl invoke(DelegatingMethodAccessorImpl java:43)
        at java lang reflect Method invoke(Method java:498)
        at org gradle internal reflect JavaMethod invoke(JavaMethod java:75)
        at org gradle api internal project taskfactory AnnotationProcessingTaskFactory StandardTaskAction doExecute(AnnotationProcessingTaskFactory java:227)
        at org gradle api internal project taskfactory AnnotationProcessingTaskFactory StandardTaskAction execute(AnnotationProcessingTaskFactory java:220)
        at org gradle api internal project taskfactory AnnotationProcessingTaskFactory StandardTaskAction execute(AnnotationProcessingTaskFactory java:209)
        at org gradle api internal AbstractTask TaskActionWrapper execute(AbstractTask java:585)
        at org gradle api internal AbstractTask TaskActionWrapper execute(AbstractTask java:568)
        at org gradle api internal tasks execution ExecuteActionsTaskExecuter executeAction(ExecuteActionsTaskExecuter java:80)
        at org gradle api internal tasks execution ExecuteActionsTaskExecuter executeActions(ExecuteActionsTaskExecuter java:61)
        at org gradle api internal tasks execution ExecuteActionsTaskExecuter execute(ExecuteActionsTaskExecuter java:46)
        at org gradle api internal tasks execution PostExecutionAnalysisTaskExecuter execute(PostExecutionAnalysisTaskExecuter java:35)
        at org gradle api internal tasks execution SkipUpToDateTaskExecuter execute(SkipUpToDateTaskExecuter java:64)
        at org gradle api internal tasks execution ValidatingTaskExecuter execute(ValidatingTaskExecuter java:58)
        at org gradle api internal tasks execution SkipEmptySourceFilesTaskExecuter execute(SkipEmptySourceFilesTaskExecuter java:52)
        at org gradle api internal tasks execution SkipTaskWithNoActionsExecuter execute(SkipTaskWithNoActionsExecuter java:52)
        at org gradle api internal tasks execution SkipOnlyIfTaskExecuter execute(SkipOnlyIfTaskExecuter java:53)
        at org gradle api internal tasks execution ExecuteAtMostOnceTaskExecuter execute(ExecuteAtMostOnceTaskExecuter java:43)
        at org gradle execution taskgraph DefaultTaskGraphExecuter EventFiringTaskWorker execute(DefaultTaskGraphExecuter java:203)
        at org gradle execution taskgraph DefaultTaskGraphExecuter EventFiringTaskWorker execute(DefaultTaskGraphExecuter java:185)
        at org gradle execution taskgraph AbstractTaskPlanExecutor TaskExecutorWorker processTask(AbstractTaskPlanExecutor java:66)
        at org gradle execution taskgraph AbstractTaskPlanExecutor TaskExecutorWorker run(AbstractTaskPlanExecutor java:50)
        at org gradle execution taskgraph DefaultTaskPlanExecutor process(DefaultTaskPlanExecutor java:25)
        at org gradle execution taskgraph DefaultTaskGraphExecuter execute(DefaultTaskGraphExecuter java:110)
        at org gradle execution SelectedTaskExecutionAction execute(SelectedTaskExecutionAction java:37)
        at org gradle execution DefaultBuildExecuter execute(DefaultBuildExecuter java:37)
        at org gradle execution DefaultBuildExecuter access 000(DefaultBuildExecuter java:23)
        at org gradle execution DefaultBuildExecuter 1 proceed(DefaultBuildExecuter java:43)
        at org gradle execution DryRunBuildExecutionAction execute(DryRunBuildExecutionAction java:32)
        at org gradle execution DefaultBuildExecuter execute(DefaultBuildExecuter java:37)
        at org gradle execution DefaultBuildExecuter execute(DefaultBuildExecuter java:30)
        at org gradle initialization DefaultGradleLauncher 4 run(DefaultGradleLauncher java:154)
        at org gradle internal Factories 1 create(Factories java:22)
        at org gradle internal progress DefaultBuildOperationExecutor run(DefaultBuildOperationExecutor java:90)
        at org gradle internal progress DefaultBuildOperationExecutor run(DefaultBuildOperationExecutor java:52)
        at org gradle initialization DefaultGradleLauncher doBuildStages(DefaultGradleLauncher java:151)
        at org gradle initialization DefaultGradleLauncher access 200(DefaultGradleLauncher java:32)
        at org gradle initialization DefaultGradleLauncher 1 create(DefaultGradleLauncher java:99)
        at org gradle initialization DefaultGradleLauncher 1 create(DefaultGradleLauncher java:93)
        at org gradle internal progress DefaultBuildOperationExecutor run(DefaultBuildOperationExecutor java:90)
        at org gradle internal progress DefaultBuildOperationExecutor run(DefaultBuildOperationExecutor java:62)
        at org gradle initialization DefaultGradleLauncher doBuild(DefaultGradleLauncher java:93)
        at org gradle initialization DefaultGradleLauncher run(DefaultGradleLauncher java:82)
        at org gradle launcher exec InProcessBuildActionExecuter DefaultBuildController run(InProcessBuildActionExecuter java:94)
        at org gradle tooling internal provider ExecuteBuildActionRunner run(ExecuteBuildActionRunner java:28)
        at org gradle launcher exec ChainingBuildActionRunner run(ChainingBuildActionRunner java:35)
        at org gradle launcher exec InProcessBuildActionExecuter execute(InProcessBuildActionExecuter java:43)
        at org gradle launcher exec InProcessBuildActionExecuter execute(InProcessBuildActionExecuter java:28)
        at org gradle launcher exec ContinuousBuildActionExecuter execute(ContinuousBuildActionExecuter java:75)
        at org gradle launcher exec ContinuousBuildActionExecuter execute(ContinuousBuildActionExecuter java:45)
        at org gradle launcher exec DaemonUsageSuggestingBuildActionExecuter execute(DaemonUsageSuggestingBuildActionExecuter java:51)
        at org gradle launcher exec DaemonUsageSuggestingBuildActionExecuter execute(DaemonUsageSuggestingBuildActionExecuter java:28)
        at org gradle launcher cli RunBuildAction run(RunBuildAction java:43)
        at org gradle internal Actions RunnableActionAdapter execute(Actions java:170)
        at org gradle launcher cli CommandLineActionFactory ParseAndBuildAction execute(CommandLineActionFactory java:237)
        at org gradle launcher cli CommandLineActionFactory ParseAndBuildAction execute(CommandLineActionFactory java:210)
        at org gradle launcher cli JavaRuntimeValidationAction execute(JavaRuntimeValidationAction java:35)
        at org gradle launcher cli JavaRuntimeValidationAction execute(JavaRuntimeValidationAction java:24)
        at org gradle launcher cli CommandLineActionFactory WithLogging execute(CommandLineActionFactory java:206)
        at org gradle launcher cli CommandLineActionFactory WithLogging execute(CommandLineActionFactory java:169)
        at org gradle launcher cli ExceptionReportingAction execute(ExceptionReportingAction java:33)
        at org gradle launcher cli ExceptionReportingAction execute(ExceptionReportingAction java:22)
        at org gradle launcher Main doAction(Main java:33)
        at org gradle launcher bootstrap EntryPoint run(EntryPoint java:45)
        at sun reflect NativeMethodAccessorImpl invoke0(Native Method)
        at sun reflect NativeMethodAccessorImpl invoke(NativeMethodAccessorImpl java:62)
        at sun reflect DelegatingMethodAccessorImpl invoke(DelegatingMethodAccessorImpl java:43)
        at java lang reflect Method invoke(Method java:498)
        at org gradle launcher bootstrap ProcessBootstrap runNoExit(ProcessBootstrap java:54)
        at org gradle launcher bootstrap ProcessBootstrap run(ProcessBootstrap java:35)
        at org gradle launcher GradleMain main(GradleMain java:23)
        at sun reflect NativeMethodAccessorImpl invoke0(Native Method)
        at sun reflect NativeMethodAccessorImpl invoke(NativeMethodAccessorImpl java:62)
        at sun reflect DelegatingMethodAccessorImpl invoke(DelegatingMethodAccessorImpl java:43)
        at java lang reflect Method invoke(Method java:498)
        at org gradle wrapper BootstrapMainStarter start(BootstrapMainStarter java:30)
        at org gradle wrapper WrapperExecutor execute(WrapperExecutor java:129)
        at org gradle wrapper GradleWrapperMain main(GradleWrapperMain java:61)
  Lint output   (check the errors of type  InvalidPackage   they are missing line column numbers):
    xml
  xml version  1 0  encoding  UTF 8   
 issues format  4  by  lint 25 1 7  
     issue
        id  InlinedApi 
        severity  Warning 
        message  Field requires API level 23 (current min is 16):  android view View SYSTEM UI FLAG LIGHT STATUS BAR  
        category  Correctness 
        priority  6 
        summary  Using inlined constants on older versions 
        explanation  This check scans through all the Android API field references in the application and flags certain constants  such as static final integers and Strings  which were introduced in later versions  These will actually be copied into the class files rather than being referenced  which means that the value is available even when running on older devices  In some cases that apos s fine  and in other cases it can result in a runtime crash or incorrect behavior  It depends on the context  so consider the code carefully and device whether it apos s safe and can be suppressed or whether the code needs tbe guarded 
If you really want to use this API and don apos t need to support older devices just set the  minSdkVersion  in your  build gradle  or  AndroidManifest xml  files 
If your code is  deliberately  accessing newer APIs  and you have ensured (e g  with conditional execution) that this code will only ever be called on a supported platform  then you can annotate your class or method with the   TargetApi  annotation specifying the local minimum SDK to apply  such as   TargetApi(11)   such that this check considers 11 rather than your manifest file apos s minimum SDK as the required API level 
        errorLine1  import static android view View SYSTEM UI FLAG LIGHT STATUS BAR  
        errorLine2                                                                  
        quickfix  studio adt  
         location
            file   Users stkent dev detroit labs apps redacted app src main java com detroitlabs redacted BaseActivity java 
            line  20 
            column  15   
      issue 
     issue
        id  InvalidPackage 
        severity  Error 
        message  Invalid package reference in library  not included in Android:  java nio file   Referenced from  okio Okio   
        category  Correctness 
        priority  6 
        summary  Package not included in Android 
        explanation  This check scans through libraries looking for calls to APIs that are not included in Android 
When you create Android projects  the classpath is set up such that you can only access classes in the API packages that are included in Android  However  if you add other projects to your libs  folder  there is no guarantee that those  jar files were built with an Android specific classpath  and in particular  they could be accessing unsupported APIs such as java applet 
This check scans through library jars and looks for references to API packages that are not included in Android and flags these  This is only an error if your code calls one of the library classes which wind up referencing the unsupported package   
         location
            file   Users stkent  gradle caches modules 2 files 2 1 com squareup okio okio 1 8 0 5ea7af56cc7c567ed9856d99efb30740e9b17ff okio 1 8 0 jar   
      issue 
     issue
        id  InvalidPackage 
        severity  Error 
        message  Invalid package reference in library  not included in Android:  java lang invoke   Referenced from  retrofit2 Platform Java8   
        category  Correctness 
        priority  6 
        summary  Package not included in Android 
        explanation  This check scans through libraries looking for calls to APIs that are not included in Android 
When you create Android projects  the classpath is set up such that you can only access classes in the API packages that are included in Android  However  if you add other projects to your libs  folder  there is no guarantee that those  jar files were built with an Android specific classpath  and in particular  they could be accessing unsupported APIs such as java applet 
This check scans through library jars and looks for references to API packages that are not included in Android and flags these  This is only an error if your code calls one of the library classes which wind up referencing the unsupported package   
         location
            file   Users stkent  gradle caches modules 2 files 2 1 com squareup retrofit2 retrofit 2 0 2 43eeae0b9fb087bb3194ba59ab63a38a32fbf3e retrofit 2 0 2 jar   
      issue 
     issue
        id  OldTargetApi 
        severity  Warning 
        message  Not targeting the latest versions of Android  compatibility modes apply  Consider testing and updating this version  Consult the android os Build VERSION CODES javadoc for details  
        category  Correctness 
        priority  6 
        summary  Target SDK attribute is not targeting latest version 
        explanation  When your application runs on a version of Android that is more recent than your  targetSdkVersion  specifies that it has been tested with  various compatibility modes kick in  This ensures that your application continues to work  but it may look out of place  For example  if the  targetSdkVersion  is less than 14  your app may get an option button in the UI 
To fix this issue  set the  targetSdkVersion  to the highest available value  Then test your app to make sure everything works correctly  You may want to consult the compatibility notes to see what changes apply to each version you are adding support for: http:  developer android com reference android os Build VERSION CODES html 
        url  http:  developer android com reference android os Build VERSION CODES html 
        urls  http:  developer android com reference android os Build VERSION CODES html 
        errorLine1          targetSdkVersion 23 
        errorLine2                              
        quickfix  studio  
         location
            file   Users stkent dev detroit labs apps redacted app build gradle 
            line  42 
            column  9   
      issue 
     issue
        id  UnusedAttribute 
        severity  Warning 
        message  Attribute  elevation  is only used in API level 21 and higher (current min is 16) 
        category  Correctness 
        priority  6 
        summary  Attribute unused on older versions 
        explanation  This check finds attributes set in XML files that were introduced in a version newer than the oldest version targeted by your application (with the  minSdkVersion  attribute) 
This is not an error  the application will simply ignore the attribute  However  if the attribute is important to the appearance of functionality of your application  you should consider finding an alternative way to achieve the same result with only available attributes  and then you can optionally create a copy of the layout in a layout vNN folder which will be used on API NN or higher where you can take advantage of the newer attribute 
Note: This check does not only apply to attributes  For example  some tags can be unused too  such as the new   lt tag   element in layouts introduced in API 21  
        errorLine1              android:elevation  quot 0dp quot  
        errorLine2                                      
        quickfix  studio  
         location
            file   Users stkent dev detroit labs apps redacted app src main res layout activity login xml 
            line  56 
            column  13   
      issue 
     issue
        id  UnusedAttribute 
        severity  Warning 
        message  Attribute  stateListAnimator  is only used in API level 21 and higher (current min is 16) 
        category  Correctness 
        priority  6 
        summary  Attribute unused on older versions 
        explanation  This check finds attributes set in XML files that were introduced in a version newer than the oldest version targeted by your application (with the  minSdkVersion  attribute) 
This is not an error  the application will simply ignore the attribute  However  if the attribute is important to the appearance of functionality of your application  you should consider finding an alternative way to achieve the same result with only available attributes  and then you can optionally create a copy of the layout in a layout vNN folder which will be used on API NN or higher where you can take advantage of the newer attribute 
Note: This check does not only apply to attributes  For example  some tags can be unused too  such as the new   lt tag   element in layouts introduced in API 21  
        errorLine1              android:stateListAnimator  quot  null quot  
        errorLine2                                                
        quickfix  studio  
         location
            file   Users stkent dev detroit labs apps redacted app src main res layout activity login xml 
            line  57 
            column  13   
      issue 
     issue
        id  GradleDependency 
        severity  Warning 
        message  A newer version of com android support:design than 23 4 0 is available: 24 0 0 
        category  Correctness 
        priority  4 
        summary  Obsolete Gradle Dependency 
        explanation  This detector looks for usages of libraries where the version you are using is not the current stable release  Using older versions is fine  and there are cases where you deliberately want to stick with an older version  However  you may simply not be aware that a more recent version is available  and that is what this lint check helps find  
        errorLine1      compile  quot com android support:design:23 4 0 quot  
        errorLine2                                                  
        quickfix  studio  
         location
            file   Users stkent dev detroit labs apps redacted app build gradle 
            line  78 
            column  5   
      issue 
     issue
        id  GradleDynamicVersion 
        severity  Warning 
        message  Avoid using   in version numbers  can lead to unpredictable and unrepeatable builds (io fabric tools:gradle:1  ) 
        category  Correctness 
        priority  4 
        summary  Gradle Dynamic Version 
        explanation  Using     in dependencies lets you automatically pick up the latest available version rather than a specific  named version  However  this is not recommended  your builds are not repeatable  you may have tested with a slightly different version than what the build server used  (Using a dynamic version as the major version number is more problematic than using it in the minor version position ) 
        errorLine1          classpath  apos io fabric tools:gradle:1   apos  
        errorLine2                                                 
        quickfix  studio  
         location
            file   Users stkent dev detroit labs apps redacted app build gradle 
            line  12 
            column  9   
      issue 
     issue
        id  AllowBackup 
        severity  Warning 
        message  On SDK version 23 and up  your app data will be automatically backed up and restored on app install  Consider adding the attribute  android:fullBackupContent  to specify an   xml  resource which configures which files to backup  More info: https:  developer android com preview backup index html 
        category  Security 
        priority  3 
        summary  AllowBackup FullBackupContent Problems 
        explanation  The  allowBackup  attribute determines if an application apos s data can be backed up and restored  It is documented at http:  developer android com reference android R attr html allowBackup
By default  this flag is set to  true   When this flag is set to  true   application data can be backed up and restored by the user using  adb backup  and  adb restore  
This may have security consequences for an application   adb backup  allows users who have enabled USB debugging to copy application data off of the device  Once backed up  all application data can be read by the user   adb restore  allows creation of application data from a source specified by the user  Following a restore  applications should not assume that the data  file permissions  and directory permissions were created by the application itself 
Setting  allowBackup  quot false quot   opts an application out of both backup and restore 
To fix this warning  decide whether your application should support backup  and explicitly set  android:allowBackup (true false) quot   
If not set to false  and if targeting API 23 or later  lint will also warn that you should set  android:fullBackupContent  to configure auto backup  
        url  https:  developer android com preview backup index html 
        urls  https:  developer android com preview backup index html http:  developer android com reference android R attr html allowBackup 
        errorLine1       lt application 
        errorLine2        
        includedVariants  debug 
        excludedVariants  release 
        quickfix  studio adt  
         location
            file   Users stkent dev detroit labs apps redacted app src debug AndroidManifest xml 
            line  7 
            column  5   
      issue 
     issue
        id  AllowBackup 
        severity  Warning 
        message  On SDK version 23 and up  your app data will be automatically backed up and restored on app install  Consider adding the attribute  android:fullBackupContent  to specify an   xml  resource which configures which files to backup  More info: https:  developer android com preview backup index html 
        category  Security 
        priority  3 
        summary  AllowBackup FullBackupContent Problems 
        explanation  The  allowBackup  attribute determines if an application apos s data can be backed up and restored  It is documented at http:  developer android com reference android R attr html allowBackup
By default  this flag is set to  true   When this flag is set to  true   application data can be backed up and restored by the user using  adb backup  and  adb restore  
This may have security consequences for an application   adb backup  allows users who have enabled USB debugging to copy application data off of the device  Once backed up  all application data can be read by the user   adb restore  allows creation of application data from a source specified by the user  Following a restore  applications should not assume that the data  file permissions  and directory permissions were created by the application itself 
Setting  allowBackup  quot false quot   opts an application out of both backup and restore 
To fix this warning  decide whether your application should support backup  and explicitly set  android:allowBackup (true false) quot   
If not set to false  and if targeting API 23 or later  lint will also warn that you should set  android:fullBackupContent  to configure auto backup  
        url  https:  developer android com preview backup index html 
        urls  https:  developer android com preview backup index html http:  developer android com reference android R attr html allowBackup 
        errorLine1       lt application 
        errorLine2        
        quickfix  studio adt  
         location
            file   Users stkent dev detroit labs apps redacted app src main AndroidManifest xml 
            line  8 
            column  5   
      issue 
     issue
        id  AllowBackup 
        severity  Warning 
        message  Should explicitly set  android:allowBackup  to  true  or  false  (it apos s  true  by default  and that can have some security implications for the application apos s data) 
        category  Security 
        priority  3 
        summary  AllowBackup FullBackupContent Problems 
        explanation  The  allowBackup  attribute determines if an application apos s data can be backed up and restored  It is documented at http:  developer android com reference android R attr html allowBackup
By default  this flag is set to  true   When this flag is set to  true   application data can be backed up and restored by the user using  adb backup  and  adb restore  
This may have security consequences for an application   adb backup  allows users who have enabled USB debugging to copy application data off of the device  Once backed up  all application data can be read by the user   adb restore  allows creation of application data from a source specified by the user  Following a restore  applications should not assume that the data  file permissions  and directory permissions were created by the application itself 
Setting  allowBackup  quot false quot   opts an application out of both backup and restore 
To fix this warning  decide whether your application should support backup  and explicitly set  android:allowBackup (true false) quot   
If not set to false  and if targeting API 23 or later  lint will also warn that you should set  android:fullBackupContent  to configure auto backup  
        url  https:  developer android com preview backup index html 
        urls  https:  developer android com preview backup index html http:  developer android com reference android R attr html allowBackup 
        errorLine1       lt application 
        errorLine2        
        quickfix  studio adt  
         location
            file   Users stkent dev detroit labs apps redacted app src main AndroidManifest xml 
            line  8 
            column  5   
      issue 
     issue
        id  Overdraw 
        severity  Warning 
        message  Possible overdraw: Root element paints background   color brightBlue  with a theme that also paints a background (inferred theme is   style AppTheme ) 
        category  Performance 
        priority  3 
        summary  Overdraw: Painting regions more than once 
        explanation  If you set a background drawable on a root view  then you should use a custom theme where the theme background is null  Otherwise  the theme background will be painted first  only to have your custom background completely cover it  this is called  quot overdraw quot  
NOTE: This detector relies on figuring out which layouts are associated with which activities based on scanning the Java code  and it apos s currently doing that using an inexact pattern matching algorithm  Therefore  it can incorrectly conclude which activity the layout is associated with and then wrongly complain that a background theme is hidden 
If you want your custom background on multiple pages  then you should consider making a custom theme with your custom background and just using that theme instead of a root element background 
Of course it apos s possible that your custom drawable is translucent and you want it to be mixed with the background  However  you will get better performance if you pre mix the background with your drawable and use that resulting image or color as a custom theme background instead 
        errorLine1      android:background  quot  color brightBlue quot   
        errorLine2                                              
         location
            file   Users stkent dev detroit labs apps redacted app src main res layout activity login xml 
            line  8 
            column  5   
      issue 
     issue
        id  UnusedResources 
        severity  Warning 
        message  The resource  R color darkBlue  appears to be unused 
        category  Performance 
        priority  3 
        summary  Unused resources 
        explanation  Unused resources make applications larger and slow down builds</t>
  </si>
  <si>
    <t>Devlight-NavigationTabStrip-9</t>
  </si>
  <si>
    <t>ClassNotFoundException on activity creation</t>
  </si>
  <si>
    <t xml:space="preserve">I imported the library by using Gralde Maven Central  I got no problem when I sync the projet and when I build the app but when I run it on my second activity (where the NavigationTabStrip is used) it crashes 
Here is the stacktrace :
06 23 21:38:27 792 29422 29422 com linkpulsion nethernalvibes E AndroidRuntime: FATAL EXCEPTION: main
                                                                                Process: com linkpulsion nethernalvibes  PID: 29422
                                                                                java lang RuntimeException: Unable to start activity ComponentInfo com linkpulsion nethernalvibes com linkpulsion nethernalvibes Player : android view InflateException: Binary XML file line  17: Binary XML file line  17: Error inflating class com gigamole library NavigationTabStrip
                                                                                    at android app ActivityThread performLaunchActivity(ActivityThread java:3253)
                                                                                    at android app ActivityThread handleLaunchActivity(ActivityThread java:3349)
                                                                                    at android app ActivityThread access 1100(ActivityThread java:221)
                                                                                    at android app ActivityThread H handleMessage(ActivityThread java:1794)
                                                                                    at android os Handler dispatchMessage(Handler java:102)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Caused by: android view InflateException: Binary XML file line  17: Binary XML file line  17: Error inflating class com gigamole library NavigationTabStrip
                                                                                    at android view LayoutInflater inflate(LayoutInflater java:551)
                                                                                    at android view LayoutInflater inflate(LayoutInflater java:429)
                                                                                    at android view LayoutInflater inflate(LayoutInflater java:380)
                                                                                    at android support v7 app AppCompatDelegateImplV7 setContentView(AppCompatDelegateImplV7 java:280)
                                                                                    at android support v7 app AppCompatActivity setContentView(AppCompatActivity java:140)
                                                                                    at com linkpulsion nethernalvibes Player onCreate(Player java:29)
                                                                                    at android app Activity performCreate(Activity java:6876)
                                                                                    at android app Instrumentation callActivityOnCreate(Instrumentation java:1135)
                                                                                    at android app ActivityThread performLaunchActivity(ActivityThread java:3206)
                                                                                    at android app ActivityThread handleLaunchActivity(ActivityThread java:3349) 
                                                                                    at android app ActivityThread access 1100(ActivityThread java:221) 
                                                                                    at android app ActivityThread H handleMessage(ActivityThread java:1794) 
                                                                                    at android os Handler dispatchMessage(Handler java:102)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Caused by: android view InflateException: Binary XML file line  17: Error inflating class com gigamole library NavigationTabStrip
                                                                                    at android view LayoutInflater createViewFromTag(LayoutInflater java:788)
                                                                                    at android view LayoutInflater createViewFromTag(LayoutInflater java:716)
                                                                                    at android view LayoutInflater rInflate(LayoutInflater java:847)
                                                                                    at android view LayoutInflater rInflateChildren(LayoutInflater java:810)
                                                                                    at android view LayoutInflater inflate(LayoutInflater java:527)
                                                                                    at android view LayoutInflater inflate(LayoutInflater java:429) 
                                                                                    at android view LayoutInflater inflate(LayoutInflater java:380) 
                                                                                    at android support v7 app AppCompatDelegateImplV7 setContentView(AppCompatDelegateImplV7 java:280) 
                                                                                    at android support v7 app AppCompatActivity setContentView(AppCompatActivity java:140) 
                                                                                    at com linkpulsion nethernalvibes Player onCreate(Player java:29) 
                                                                                    at android app Activity performCreate(Activity java:6876) 
                                                                                    at android app Instrumentation callActivityOnCreate(Instrumentation java:1135) 
                                                                                    at android app ActivityThread performLaunchActivity(ActivityThread java:3206) 
                                                                                    at android app ActivityThread handleLaunchActivity(ActivityThread java:3349) 
                                                                                    at android app ActivityThread access 1100(ActivityThread java:221) 
                                                                                    at android app ActivityThread H handleMessage(ActivityThread java:1794) 
                                                                                    at android os Handler dispatchMessage(Handler java:102)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Caused by: java lang ClassNotFoundException: Didn t find class  com gigamole library NavigationTabStrip  on path: DexPathList  zip file   data app com linkpulsion nethernalvibes 1 base apk   nativeLibraryDirectories   data app com linkpulsion nethernalvibes 1 lib arm64   vendor lib64   system lib64  
                                                                                    at dalvik system BaseDexClassLoader findClass(BaseDexClassLoader java:56)
                                                                                    at java lang ClassLoader loadClass(ClassLoader java:511)
                                                                                    at java lang ClassLoader loadClass(ClassLoader java:469)
                                                                                    at android view LayoutInflater createView(LayoutInflater java:595)
                                                                                    at android view LayoutInflater createViewFromTag(LayoutInflater java:776)
                                                                                    at android view LayoutInflater createViewFromTag(LayoutInflater java:716) 
                                                                                    at android view LayoutInflater rInflate(LayoutInflater java:847) 
                                                                                    at android view LayoutInflater rInflateChildren(LayoutInflater java:810) 
                                                                                    at android view LayoutInflater inflate(LayoutInflater java:527) 
                                                                                    at android view LayoutInflater inflate(LayoutInflater java:429) 
                                                                                    at android view LayoutInflater inflate(LayoutInflater java:380) 
                                                                                    at android support v7 app AppCompatDelegateImplV7 setContentView(AppCompatDelegateImplV7 java:280) 
                                                                                    at android support v7 app AppCompatActivity setContentView(AppCompatActivity java:140) 
                                                                                    at com linkpulsion nethernalvibes Player onCreate(Player java:29) 
                                                                                    at android app Activity performCreate(Activity java:6876) 
                                                                                    at android app Instrumentation callActivityOnCreate(Instrumentation java:1135) 
                                                                                    at android app ActivityThread performLaunchActivity(ActivityThread java:3206) 
                                                                                    at android app ActivityThread handleLaunchActivity(ActivityThread java:3349) 
                                                                                    at android app ActivityThread access 1100(ActivityThread java:221) 
                                                                                    at android app ActivityThread H handleMessage(ActivityThread java:1794) 
                                                                                    at android os Handler dispatchMessage(Handler java:102)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Suppressed: java lang ClassNotFoundException: Didn t find class  com gigamole library NavigationTabStrip  on path: DexPathList  dex file   data data com linkpulsion nethernalvibes files instant run dex slice support annotations 23 4 0 a6bb2a5bb9a40e4d6f6829e6518129a51f2ebb3b classes dex   dex file   data data com linkpulsion nethernalvibes files instant run dex slice slice 9 classes dex   dex file   data data com linkpulsion nethernalvibes files instant run dex slice slice 8 classes dex   dex file   data data com linkpulsion nethernalvibes files instant run dex slice slice 7 classes dex   dex file   data data com linkpulsion nethernalvibes files instant run dex slice slice 6 classes dex   dex file   data data com linkpulsion nethernalvibes files instant run dex slice slice 5 classes dex   dex file   data data com linkpulsion nethernalvibes files instant run dex slice slice 4 classes dex   dex file   data data com linkpulsion nethernalvibes files instant run dex slice slice 3 classes dex   dex file   data data com linkpulsion nethernalvibes
06 23 21:38:27 792 29422 29422 com linkpulsion nethernalvibes D Error: ERR: exClass java lang ClassNotFoundException
06 23 21:38:27 792 29422 29422 com linkpulsion nethernalvibes D Error: ERR: exMsg Didn t find class  com gigamole library NavigationTabStrip  on path: DexPathList  zip file   data app com linkpulsion nethernalvibes 1 base apk   nativeLibraryDirectories   data app com linkpulsion nethernalvibes 1 lib arm64   vendor lib64   system lib64  
06 23 21:38:27 792 29422 29422 com linkpulsion nethernalvibes D Error: ERR: file BaseDexClassLoader java
06 23 21:38:27 792 29422 29422 com linkpulsion nethernalvibes D Error: ERR: class dalvik system BaseDexClassLoader
06 23 21:38:27 792 29422 29422 com linkpulsion nethernalvibes D Error: ERR: method findClass line 56
</t>
  </si>
  <si>
    <t>Crash-Test-Buddies-WiFi-Buddy-149</t>
  </si>
  <si>
    <t>Handle failure initiating connection to service</t>
  </si>
  <si>
    <t xml:space="preserve">Sometimes you tap on a service and the invitation is sent  but the connection isn t made  This is usually because initiate connection to service failed with error code BUSY  
06 22 21:40:20 485 15243 15243 edu rit se crashavoidance I wfd MainActivity: Service List item tapped
06 22 21:40:20 503 15243 15243 edu rit se crashavoidance I wfd : Service request removed
  06 22 21:40:20 503 15243 15243 edu rit se crashavoidance E wfd : Failure initiating connection to service: BUSY  
06 22 21:40:20 537 15243 15269 edu rit se crashavoidance I MaliEGL:  Mali window type 1  is framebuffer 0  errnum   0
06 22 21:40:20 537 15243 15269 edu rit se crashavoidance I MaliEGL:  Mali surface  num buffers 4  surface  num frames 3  win min undequeued 1
06 22 21:40:20 537 15243 15269 edu rit se crashavoidance I MaliEGL:  Mali max allowed dequeued buffers 3
06 22 21:41:33 495 15243 15243 edu rit se crashavoidance I wfd : Wi Fi P2P Connection Changed
</t>
  </si>
  <si>
    <t>fossasia-open-event-droidgen-439</t>
  </si>
  <si>
    <t xml:space="preserve">App crashes when a bad API URL is entered </t>
  </si>
  <si>
    <t xml:space="preserve">When I add an arbitary wrong url in the app generator like  api v1 com  the app crashes  This error should be handled graciously 
</t>
  </si>
  <si>
    <t>ttocsneb-qubed-1</t>
  </si>
  <si>
    <t>re-open error</t>
  </si>
  <si>
    <t xml:space="preserve">after closing the app with the back button  then re opening the app causes the game to crash 
06 24 14:16:42 144: A libc(12608): Fatal signal 11 (SIGSEGV) at 0x5cf27008 (code 2)
</t>
  </si>
  <si>
    <t>k9mail-k-9-1473</t>
  </si>
  <si>
    <t>[Bug: Regression] Upgrading from K-9 Mail 5.008 to 5.010 breaks its Share functionality under AlienDalvik (AOSP 4.1.2): K-9 always crashes</t>
  </si>
  <si>
    <t xml:space="preserve">Upgrading from K 9 Mail 5 008 to 5 010 breaks its Share functionality when attaching a file to an email under AlienDalvik (based on AOSP 4 1 2) in Jolla s SailfishOS 2 0 1 11 
K 9 always crashes  a pop up window is displayed stating   Unfortunately the application com fsck k9 has stopped   OK    By clicking on  OK   K 9 restarts  and saves the message in the Drafts folder  but without the file being attached  
I checked the following: 
  Using the Share functionality between other applications works: I tested between Amaze  OpenKeychain  TurboEditor and a few native SailfishOS applications   
  Using the Share functionality in other Android applications in order to send a file to K 9 Mail always crashes K 9 in exactly the same way (as described above)  no matter if K 9 was running or not  
  Sharing data (not a file) does not crash K 9 Mail  but seems to exhibit another bug: a handle ( ) is inserted into the mail body  not the data sent  e g  with data sent from BarcodeScanner: 
   Subject  Barcode Scanner   Plain text
   Body  market:  details id com fsck k9
  I will file a separate bug report  when sufficiently tested to write up something more comprehensive 
  It also makes no difference  which Android application is picked  when using the Share functionality from within K 9 Mail for attaching a file to an email: K 9 always crashes   Tested with Amaze file manager and TurboEditor   
  Only when I pick SailfishOS  native Gallery application (which is the third application offered besides Amaze and TurboEditor when attaching a file in K 9 Mail on my Jolla Phone)  K 9 does not crash and the file is indeed attached   But it is not Android s internal Share mechanism being used here  instead the still somewhat fragile Share functionality between Android and SailfishOS applications provided by Jolla s SailfishOS 2 is utilised   In this specific case (attaching a file to an email in K 9) it even works consistently stable  but unfortunately SailfishOS  native Gallery app allows to select picture file formats (e g  jpg  png)  only  
  After downgrading from K 9 Mail 5 010 to 5 008  the Share functionality works fine  again  
I am sure willing to make further tests  checks and balances  when provided with instructions how to  
Please do try to fix that  as the inability to attach arbitrary files to emails in K 9 Mail renders the beautiful and feature laden K 9 useless as a generic email client  
Cheers and Kudos for maintaining and enhancing the best mobile email client I am aware of   And I am really looking forward to the progress on PGP MIME  
P S : I suspect the MIME handling changes introduced in K 9 Mail 5 009 to be the cause   From K 9 s changelog on https:  k9mail github io k 9 changelog 5 0 MAINT branch xml: 
5 010
5 009
Improved MIME type handling when other apps share files to K 9 Mail
</t>
  </si>
  <si>
    <t>nextcloud-android-78</t>
  </si>
  <si>
    <t>App crashes regularly (connecting to ownCloud 9.0.2 )</t>
  </si>
  <si>
    <t xml:space="preserve">    Actual behaviour
App crashes regularly
    Expected behaviour
App doesn t crash regularly
    Steps to reproduce
Unfortunately  I haven t found a consistent pattern for reproducing the problem yet  The last time it happened I was switching between detail to grid view 
    Environment data
Android version:
5 1 1
Device model: 
Galaxy Grand Prime
Stock or customized system:
Nextcloud app version:
20160621
Nextcloud server version:
Actually it s interfacing with ownCloud 9 0 2
    Logs
              CAUSE OF ERROR             
java lang IllegalStateException: Cannot add header view to grid    setAdapter has already been called 
    at third parties in srain cube GridViewWithHeaderAndFooter addFooterView(GridViewWithHeaderAndFooter java:183)
    at com owncloud android ui fragment ExtendedListFragment setFooterEnabled(ExtendedListFragment java:533)
    at com owncloud android ui fragment ExtendedListFragment setFooterText(ExtendedListFragment java:559)
    at com owncloud android ui fragment OCFileListFragment updateLayout(OCFileListFragment java:855)
    at com owncloud android ui fragment OCFileListFragment listDirectory(OCFileListFragment java:830)
    at com owncloud android ui fragment OCFileListFragment onBrowseUp(OCFileListFragment java:541)
    at com owncloud android ui activity FileDisplayActivity onBackPressed(FileDisplayActivity java:857)
    at com owncloud android ui activity FileDisplayActivity onOptionsItemSelected(FileDisplayActivity java:560)
    at android app Activity onMenuItemSelected(Activity java:3137)
    at android support v4 app FragmentActivity onMenuItemSelected(FragmentActivity java:361)
    at android support v7 app AppCompatActivity onMenuItemSelected(AppCompatActivity java:147)
    at android support v7 view WindowCallbackWrapper onMenuItemSelected(WindowCallbackWrapper java:100)
    at android support v7 view WindowCallbackWrapper onMenuItemSelected(WindowCallbackWrapper java:100)
    at android support v7 widget ToolbarWidgetWrapper 1 onClick(ToolbarWidgetWrapper java:194)
    at android view View performClick(View java:5254)
    at android view View PerformClick run(View java:21173)
    at android os Handler handleCallback(Handler java:739)
    at android os Handler dispatchMessage(Handler java:95)
    at android os Looper loop(Looper java:145)
    at android app ActivityThread main(ActivityThread java:6838)
    at java lang reflect Method invoke(Native Method)
    at java lang reflect Method invoke(Method java:372)
    at com android internal os ZygoteInit MethodAndArgsCaller run(ZygoteInit java:1404)
    at com android internal os ZygoteInit main(ZygoteInit java:1199)
              DEVICE INFORMATION            
Brand: samsung
Device: gprimeltecan
Model: SM G530W
Id: LMY47X
Product: gprimeltevl
              FIRMWARE             
SDK: 22
Release: 5 1 1
Incremental: G530WVLU1AOFB
</t>
  </si>
  <si>
    <t>IvoGoman-Diabetes-App-42</t>
  </si>
  <si>
    <t>Possibility to have an incomplete daily routine</t>
  </si>
  <si>
    <t xml:space="preserve">When there is no activity at the current time  the app will crash  
  Solution 1:   avoid the crash by catching null pointer
  Solution 2:   avoid having an incomplete daily routine
  Solution 3:   both
</t>
  </si>
  <si>
    <t>Scaronthesky-UK-Gebaerden_Muensterland-65</t>
  </si>
  <si>
    <t xml:space="preserve">Videos can't be played on Samsung Galaxy S3 mini I8190 with Android 4.1.2 </t>
  </si>
  <si>
    <t xml:space="preserve">  Videos won t play ( Video konnte nicht geladen werden  )
  No crash report 
  Alpha version works  but not the beta  
</t>
  </si>
  <si>
    <t>OneBusAway-onebusaway-android-565</t>
  </si>
  <si>
    <t>BadTokenException - Unable to add window - when leaving tutorial opt out</t>
  </si>
  <si>
    <t xml:space="preserve">  Summary:   
From Android Developer console   stack trace:
android view WindowManager BadTokenException: Unable to add window    token android os BinderProxy b1d71da is not valid  is your activity running 
    at android view ViewRootImpl setView(ViewRootImpl java:571)
    at android view WindowManagerGlobal addView(WindowManagerGlobal java:310)
    at android view WindowManagerImpl addView(WindowManagerImpl java:85)
    at android app Dialog show(Dialog java:319)
    at org onebusaway android util ShowcaseViewUtils showOptOutDialog(ShowcaseViewUtils java:318)
    at org onebusaway android ui HomeActivity 3 onDismiss(HomeActivity java:688)
    at android app Dialog ListenersHandler handleMessage(Dialog java:1323)
    at android os Handler dispatchMessage(Handler java:102)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User message:
  back button from started widget
  Steps to reproduce:   
Unknown
  Expected behavior:   
Not crash
  Observed behavior:   
Crash
  Device and Android version:   
Nexus 5X (bullhead)
Manufacturer Google 
Android version Android 6 0 
RAM (MB) 2048 
Screen size 1080   1920 
Screen density (dpi) 420 
OpenGL ES version 3 1 
Native platform armeabi v7a 
CPU make Qualcomm 
CPU model MSM8992
</t>
  </si>
  <si>
    <t>OneBusAway-onebusaway-android-563</t>
  </si>
  <si>
    <t>NPE when showing route search results on map</t>
  </si>
  <si>
    <t xml:space="preserve">  Summary:   
I was searching for a route ( link  in Puget Sound region)  and when I tapped on the search result and selected  Show on map  the app crashed and I got this stack trace:
E AndroidRuntime: FATAL EXCEPTION: main
       Process: com joulespersecond seattlebusbot  PID: 16284
       java lang RuntimeException: Unable to start activity ComponentInfo com joulespersecond seattlebusbot org onebusaway android ui HomeActivity : java lang NullPointerException: Attempt to invoke virtual method  java lang String android os Bundle getString(java lang String)  on a null object reference
           at android app ActivityThread performLaunchActivity(ActivityThread java:2434)
           at android app ActivityThread handleLaunchActivity(ActivityThread java:2494)
           at android app ActivityThread access 900(ActivityThread java:157)
           at android app ActivityThread H handleMessage(ActivityThread java:1356)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Caused by: java lang NullPointerException: Attempt to invoke virtual method  java lang String android os Bundle getString(java lang String)  on a null object reference
           at org onebusaway android map RouteMapController onViewStateRestored(RouteMapController java:224)
           at org onebusaway android map googlemapsv2 BaseMapFragment onViewStateRestored(BaseMapFragment java:327)
           at android support v4 app Fragment restoreViewState(Fragment java:469)
           at android support v4 app FragmentManagerImpl moveToState(FragmentManager java:1094)
           at android support v4 app FragmentManagerImpl moveToState(FragmentManager java:1252)
           at android support v4 app BackStackRecord run(BackStackRecord java:742)
           at android support v4 app FragmentManagerImpl execPendingActions(FragmentManager java:1617)
           at android support v4 app FragmentController execPendingActions(FragmentController java:339)
           at android support v4 app FragmentActivity onStart(FragmentActivity java:601)
           at org onebusaway android ui HomeActivity onStart(HomeActivity java:332)
           at android app Instrumentation callActivityOnStart(Instrumentation java:1237)
           at android app Activity performStart(Activity java:6288)
           at android app ActivityThread performLaunchActivity(ActivityThread java:2397)
           at android app ActivityThread handleLaunchActivity(ActivityThread java:2494) 
           at android app ActivityThread access 900(ActivityThread java:157) 
           at android app ActivityThread H handleMessage(ActivityThread java:1356)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I believe this is an unintended side effect of https:  github com OneBusAway onebusaway android pull 543 files  which restores the zoom level and map location on orientation changes for route mode 
  Steps to reproduce:   
1  Search for route number
2  Tap on route search result
3  Select  Show on map 
  Expected behavior:   
Show the route on the map
  Observed behavior:   
App crashed 
  Device and Android version:   
LG G4 w  Android 6 0
</t>
  </si>
  <si>
    <t>Dimezis-BlurView-15</t>
  </si>
  <si>
    <t>Drawing not stopped when used in RecyclerView</t>
  </si>
  <si>
    <t xml:space="preserve">I m adding multiple BlurViews in a RecyclerView   
When I scroll to the point that a BlurView is outside the screen area and then scroll back to see that view  it crashes because the functions are called on null objects 
Maybe I can manage this outside the library  from the RecyclerView but how could I stop the draw calls on the BlurViews when they re not rendered and start them back when they are 
I tried adding conditions checks in the library but it does not start blurring back when the views are displayed again 
</t>
  </si>
  <si>
    <t>commons-app-apps-android-commons-146</t>
  </si>
  <si>
    <t>CursorIndexOutOfBoundsException: Index 0 requested, with a size of 0</t>
  </si>
  <si>
    <t xml:space="preserve">Crash report sent by Vera de Kok on 26 Jun:
USER COMMENT Batch upload fail to categorize 
ANDROID VERSION 6 0 1
APP VERSION NAME 1 15
BRAND Android
PHONE MODEL XT1572
CUSTOM DATA 
STACK TRACE android database CursorIndexOutOfBoundsException: Index 0 requested  with a size of 0
at android database AbstractCursor checkPosition(AbstractCursor java:460)
at android database AbstractWindowedCursor checkPosition(AbstractWindowedCursor java:136)
at android database AbstractWindowedCursor getInt(AbstractWindowedCursor java:68)
at fr free nrw commons contributions Contribution fromCursor(Contribution java:224)
at fr free nrw commons modifications ModificationsSyncAdapter onPerformSync(ModificationsSyncAdapter java:90)
at android content AbstractThreadedSyncAdapter SyncThread run(AbstractThreadedSyncAdapter java:272)
USER COMMENT Okayed categories  then crash 
ANDROID VERSION 6 0 1
APP VERSION NAME 1 15
BRAND Android
PHONE MODEL XT1572
CUSTOM DATA 
STACK TRACE android database CursorIndexOutOfBoundsException: Index 0 requested  with a size of 0
at android database AbstractCursor checkPosition(AbstractCursor java:460)
at android database AbstractWindowedCursor checkPosition(AbstractWindowedCursor java:136)
at android database AbstractWindowedCursor getInt(AbstractWindowedCursor java:68)
at fr free nrw commons contributions Contribution fromCursor(Contribution java:224)
at fr free nrw commons modifications ModificationsSyncAdapter onPerformSync(ModificationsSyncAdapter java:90)
at android content AbstractThreadedSyncAdapter SyncThread run(AbstractThreadedSyncAdapter java:272)
</t>
  </si>
  <si>
    <t>nextcloud-android-81</t>
  </si>
  <si>
    <t>Grid view &gt; back while folder is loading crashes app</t>
  </si>
  <si>
    <t xml:space="preserve">    Actual behaviour
If  Show grid view  and then the back arrow in the top left corner are clicked  while a folders contents are still loading  the nextcloud app crashes 
    Expected behaviour
The app should just go back to the previous folder without crashing 
    Steps to reproduce
1  Open a folder with many files (I used my instant upload folder  and tested with others)
2  While it s loading  click the three dot menu in the top right
3  Click  Grid view  (going the opposite direction and choosing  List view  won t crash the app)
4  Click the left back arrow in the top  left corner of the app
Works every time 
    Environment data
Android version:
5 1 1
Device model: 
Samsung galaxy prime
Stock or customized system:
Stock for Samsung
Nextcloud app version:
1 1 0
Nextcloud server version:
ownCloud 9 0 2
</t>
  </si>
  <si>
    <t>OneBusAway-onebusaway-android-572</t>
  </si>
  <si>
    <t xml:space="preserve">NPE - invoke virtual method 'void org.onebusaway.android.ui.ArrivalsListHeader.closeStatusPopups()' </t>
  </si>
  <si>
    <t xml:space="preserve">  Summary:   
From Android Developer Console for v2 0 13:
java lang NullPointerException: Attempt to invoke virtual method  void org onebusaway android ui ArrivalsListHeader closeStatusPopups()  on a null object reference
    at org onebusaway android ui HomeActivity 7 onPanelSlide(HomeActivity java:1278)
    at com sothree slidinguppanel SlidingUpPanelLayout dispatchOnPanelSlide(SlidingUpPanelLayout java:631)
    at com sothree slidinguppanel SlidingUpPanelLayout onPanelDragged(SlidingUpPanelLayout java:1154)
    at com sothree slidinguppanel SlidingUpPanelLayout access 900(SlidingUpPanelLayout java:29)
    at com sothree slidinguppanel SlidingUpPanelLayout DragHelperCallback onViewPositionChanged(SlidingUpPanelLayout java:1384)
    at com sothree slidinguppanel ViewDragHelper continueSettling(ViewDragHelper java:735)
    at com sothree slidinguppanel SlidingUpPanelLayout computeScroll(SlidingUpPanelLayout java:1231)
    at android view View updateDisplayListIfDirty(View java:16451)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ViewGroup recreateChildDisplayList(ViewGroup java:3905)
    at android view ViewGroup dispatchGetDisplayList(ViewGroup java:3885)
    at android view View updateDisplayListIfDirty(View java:16424)
    at android view ThreadedRenderer updateViewTreeDisplayList(ThreadedRenderer java:325)
    at android view ThreadedRenderer updateRootDisplayList(ThreadedRenderer java:331)
    at android view ThreadedRenderer draw(ThreadedRenderer java:366)
    at android view ViewRootImpl draw(ViewRootImpl java:3140)
    at android view ViewRootImpl performDraw(ViewRootImpl java:2939)
    at android view ViewRootImpl performTraversals(ViewRootImpl java:2522)
    at android view ViewRootImpl doTraversal(ViewRootImpl java:1437)
    at android view ViewRootImpl TraversalRunnable run(ViewRootImpl java:7403)
    at android view Choreographer CallbackRecord run(Choreographer java:920)
    at android view Choreographer doCallbacks(Choreographer java:695)
    at android view Choreographer doFrame(Choreographer java:631)
    at android view Choreographer FrameDisplayEventReceiver run(Choreographer java:906)
    at android os Handler handleCallback(Handler java:739)
    at android os Handler dispatchMessage(Handler java:95)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User message:
  had it open for a few min then stop working
  Steps to reproduce:   
Unknown
  Expected behavior:   
Not crash
  Observed behavior:   
Crash
  Device and Android version:   
Galaxy S7 (heroqltevzw)
Manufacturer Samsung 
Android version Android 6 0 
RAM (MB) 4096 
Screen size 1440   2560 
Screen density (dpi) 640 
OpenGL ES version 3 1 
Native platform armeabi v7a 
CPU make Qualcomm 
CPU model MSM8996
</t>
  </si>
  <si>
    <t>OneBusAway-onebusaway-android-571</t>
  </si>
  <si>
    <t>NPE tapping on arrival time - ObaReferences.getRoute(java.lang.String)</t>
  </si>
  <si>
    <t xml:space="preserve">  Summary:   
From Android Developer Console for v2 0 13:
java lang NullPointerException: Attempt to invoke interface method  org onebusaway android io elements ObaRoute org onebusaway android io elements ObaReferences getRoute(java lang String)  on a null object reference
    at org onebusaway android ui ArrivalsListFragment 1 onClick(ArrivalsListFragment java:737)
    at com android internal app AlertController AlertParams 3 onItemClick(AlertController java:1019)
    at android widget AdapterView performItemClick(AdapterView java:334)
    at android widget AbsListView performItemClick(AbsListView java:1531)
    at android widget AbsListView PerformClick run(AbsListView java:3667)
    at android widget AbsListView 3 run(AbsListView java:5590)
    at android os Handler handleCallback(Handler java:739)
    at android os Handler dispatchMessage(Handler java:95)
    at android os Looper loop(Looper java:145)
    at android app ActivityThread main(ActivityThread java:5951)
    at java lang reflect Method invoke(Native Method)
    at java lang reflect Method invoke(Method java:372)
    at com android internal os ZygoteInit MethodAndArgsCaller run(ZygoteInit java:1399)
    at com android internal os ZygoteInit main(ZygoteInit java:1194)
Looks like this happens when trying to report an arrival time problems after tapping on an arrival time 
  Steps to reproduce:   
Unknown (involves tapping on arrival time  and then tapping  Report arrival time problem )
  Expected behavior:   
Not crash
  Observed behavior:   
Crash
  Device and Android version:   
Galaxy S4 (jflterefreshspr)
Manufacturer Samsung 
Android version Android 4 2 
RAM (MB) 2048 
Screen size 1080   1920
Screen density (dpi) 480 
OpenGL ES version 2 0 
Native platform armeabi v7a
CPU make Qualcomm
CPU model APQ8064
</t>
  </si>
  <si>
    <t>OneBusAway-onebusaway-android-570</t>
  </si>
  <si>
    <t>IllegalStateException: Fragment BaseMapFragment not attached to Activity</t>
  </si>
  <si>
    <t xml:space="preserve">  Summary:   
From Android Developer Console for v2 0 13:
java lang IllegalStateException: Fragment BaseMapFragment 221a95f8  not attached to Activity
    at android support v4 app Fragment getResources(Fragment java:639)
    at android support v4 app Fragment getString(Fragment java:661)
    at org onebusaway android map googlemapsv2 BaseMapFragment onRegionTaskFinished(BaseMapFragment java:499)
    at org onebusaway android region ObaRegionsTask 2 run(ObaRegionsTask java:266)
    at android os Handler handleCallback(Handler java:739)
    at android os Handler dispatchMessage(Handler java:95)
    at android os Looper loop(Looper java:145)
    at android app ActivityThread main(ActivityThread java:5951)
    at java lang reflect Method invoke(Native Method)
    at java lang reflect Method invoke(Method java:372)
    at com android internal os ZygoteInit MethodAndArgsCaller run(ZygoteInit java:1399)
    at com android internal os ZygoteInit main(ZygoteInit java:1194)
  Steps to reproduce:   
Unknown
  Expected behavior:   
Not crash
  Observed behavior:   
Crash
  Device and Android version:   
Manufacturer Samsung 
Android version Android 4 2 
RAM (MB) 2048 
Screen size 1080   1920 
Screen density (dpi) 480 
OpenGL ES version 2 0 
Native platform armeabi v7a 
CPU make Qualcomm 
CPU model APQ8064
</t>
  </si>
  <si>
    <t>square-okhttp-2679</t>
  </si>
  <si>
    <t>(ssl_parse_serverhello_tlsext+262) native crash on KitKat and lower</t>
  </si>
  <si>
    <t>Hello 
I m using RxJava   Retrofit 2 1 0 (i e OkHttp 3 3 0) to interact with Google Places Service API 
Sometimes I m getting app crashes on SSL handshake layer on Android 4 4 and lower  Not able to reproduce on Android 5 and higher  Issue is easier to reproduce on devices with a smaller RAM  1GB 
The issue is mostly happening when doing a lot of request at the same time and coming from one of threads used to communicate with places service 
I checked all similar issues listed in okhttp repo  but most of them are very old and suggesting to update OkHttpClient version 
Crash dumps:
Android 4 4 2 Galaxy S4 mini:
06 29 12:42:55 071 20653 22035 com androidapi productname A libc: heap corruption detected by dlmalloc
06 29 12:42:55 081 20653 22035 com androidapi productname A libc: Fatal signal 6 (SIGABRT) at 0x000050ad (code  6)  thread 22035 (RxIoScheduler 1)
06 29 12:42:55 191 6808 6808   I DEBUG:                                                                
06 29 12:42:55 191 6808 6808   I DEBUG: Build fingerprint:  samsung serranodsxx serranods:4 4 2 KOT49H I9192XXUCNJ3:user release keys 
06 29 12:42:55 191 6808 6808   I DEBUG: Revision:  5 
06 29 12:42:55 191 6808 6808   I DEBUG: pid: 20653  tid: 22035  name: RxIoScheduler 1      com androidapi productname    
06 29 12:42:55 191 6808 6808   I DEBUG: signal 6 (SIGABRT)  code  6 (SI TKILL)  fault addr         
06 29 12:42:55 191 6808 6808   I DEBUG: Abort message:  heap corruption detected by dlmalloc 
06 29 12:42:55 591 6808 6808   I DEBUG:     r0 00000000  r1 00005613  r2 00000006  r3 00000000
06 29 12:42:55 591 6808 6808   I DEBUG:     r4 00000006  r5 00000000  r6 00005613  r7 0000010c
06 29 12:42:55 591 6808 6808   I DEBUG:     r8 40b4de34  r9 6b3d505d  sl 00000001  fp 6b3d505f
06 29 12:42:55 591 6808 6808   I DEBUG:     ip 40d95319  sp 69ea1908  lr 400f419d  pc 40103144  cpsr 000f0010
06 29 12:42:55 591 6808 6808   I DEBUG:     d0  0000000000000000  d1  0000000000000000
06 29 12:42:55 591 6808 6808   I DEBUG:     d2  0000000000000000  d3  0000000000000000
06 29 12:42:55 591 6808 6808   I DEBUG:     d4  4000000000000000  d5  42d6bcc41e900000
06 29 12:42:55 601 6808 6808   I DEBUG:     d6  405866094812be49  d7  0000040058f561b1
06 29 12:42:55 601 6808 6808   I DEBUG:     d8  bf50624dd2f1a9fc  d9  c05796b342b80b74
06 29 12:42:55 601 6808 6808   I DEBUG:     d10 4000000000000000  d11 3ddb7cdfd9d7bdbb
06 29 12:42:55 601 6808 6808   I DEBUG:     d12 0000000000000000  d13 0000000000000000
06 29 12:42:55 601 6808 6808   I DEBUG:     d14 0000000000000000  d15 0000000000000000
06 29 12:42:55 601 6808 6808   I DEBUG:     d16 726f632070616568  d17 206e6f6974707572
06 29 12:42:55 601 6808 6808   I DEBUG:     d18 ace6cec0ccbd56f0  d19 dc9416bb094e8d9a
06 29 12:42:55 601 6808 6808   I DEBUG:     d20 292057f725a7e50b  d21 c8364d4857dbab3a
06 29 12:42:55 601 6808 6808   I DEBUG:     d22 c40656106e4906cb  d23 70d21d910f3c8b6c
06 29 12:42:55 601 6808 6808   I DEBUG:     d24 be82d4808d800000  d25 3ff0000000000000
06 29 12:42:55 601 6808 6808   I DEBUG:     d26 bc7015d25246ff62  d27 3fd28677c2e00000
06 29 12:42:55 601 6808 6808   I DEBUG:     d28 bfaac2fded606360  d29 3fbf981d28947509
06 29 12:42:55 601 6808 6808   I DEBUG:     d30 be82d4808d8c37be  d31 3f11497f54c4fdd3
06 29 12:42:55 601 6808 6808   I DEBUG:     scr 60000013
06 29 12:42:55 611 6808 6808   I DEBUG:      00  pc 00022144   system lib libc so (tgkill 12)
06 29 12:42:55 611 6808 6808   I DEBUG:      01  pc 00013199   system lib libc so (pthread kill 48)
06 29 12:42:55 611 6808 6808   I DEBUG:      02  pc 000133ad   system lib libc so (raise 10)
06 29 12:42:55 611 6808 6808   I DEBUG:      03  pc 000120e3   system lib libc so
06 29 12:42:55 611 6808 6808   I DEBUG:      04  pc 000219f8   system lib libc so (abort 4)
06 29 12:42:55 611 6808 6808   I DEBUG:      05  pc 00012bc9   system lib libc so
06 29 12:42:55 611 6808 6808   I DEBUG:      06  pc 0000f2d5   system lib libc so
06 29 12:42:55 611 6808 6808   I DEBUG:      07  pc 000101e1   system lib libc so (dlmalloc 604)
06 29 12:42:55 611 6808 6808   I DEBUG:      08  pc 0000dd0f   system lib libc so (malloc 10)
06 29 12:42:55 611 6808 6808   I DEBUG:      09  pc 00081e39   system lib libcrypto so
06 29 12:42:55 611 6808 6808   I DEBUG:      10  pc 000822d3   system lib libcrypto so (CRYPTO malloc 66)
06 29 12:42:55 611 6808 6808   I DEBUG:      11  pc 0002ab0b   system lib libssl so (ssl parse serverhello tlsext 262)
06 29 12:42:55 611 6808 6808   I DEBUG:      12  pc 00016bd9   system lib libssl so (ssl3 get server hello 924)
06 29 12:42:55 611 6808 6808   I DEBUG:      13  pc 000196db   system lib libssl so (ssl3 connect 642)
06 29 12:42:55 611 6808 6808   I DEBUG:      14  pc 00024fc9   system lib libssl so (SSL do handshake 72)
06 29 12:42:55 611 6808 6808   I DEBUG:      15  pc 0000c6a9   system lib libjavacrypto so
06 29 12:42:55 611 6808 6808   I DEBUG:      16  pc 00020e0c   system lib libdvm so (dvmPlatformInvoke 112)
06 29 12:42:55 611 6808 6808   I DEBUG:      17  pc 00051aaf   system lib libdvm so (dvmCallJNIMethod(unsigned int const   JValue   Method const   Thread ) 398)
06 29 12:42:55 611 6808 6808   I DEBUG:      18  pc 0002a2a0   system lib libdvm so
06 29 12:42:55 611 6808 6808   I DEBUG:      19  pc 00031750   system lib libdvm so (dvmMterpStd(Thread ) 76)
06 29 12:42:55 611 6808 6808   I DEBUG:      20  pc 0002ede8   system lib libdvm so (dvmInterpret(Thread   Method const   JValue ) 184)
06 29 12:42:55 611 6808 6808   I DEBUG:      21  pc 00063f15   system lib libdvm so (dvmCallMethodV(Thread   Method const   Object   bool  JValue   std::  va list) 336)
06 29 12:42:55 611 6808 6808   I DEBUG:      22  pc 00063f39   system lib libdvm so (dvmCallMethod(Thread   Method const   Object   JValue      ) 20)
06 29 12:42:55 611 6808 6808   I DEBUG:      23  pc 00058c0b   system lib libdvm so
06 29 12:42:55 611 6808 6808   I DEBUG:      24  pc 0000d288   system lib libc so (  thread entry 72)
06 29 12:42:55 611 6808 6808   I DEBUG:      25  pc 0000d420   system lib libc so (pthread create 240)
06 29 12:42:55 611 6808 6808   I DEBUG:          69ea18c8  64e16745   stack:20747 
06 29 12:42:55 611 6808 6808   I DEBUG:          69ea18cc  329f83a0  
06 29 12:42:55 611 6808 6808   I DEBUG:          69ea18d0  8832bef3  
06 29 12:42:55 611 6808 6808   I DEBUG:          69ea18d4  5acf0826   system framework services odex
06 29 12:42:55 611 6808 6808   I DEBUG:          69ea18d8  68325c48   dev kgsl 3d0
06 29 12:42:55 611 6808 6808   I DEBUG:          69ea18dc  eaa70fae  
06 29 12:42:55 611 6808 6808   I DEBUG:          69ea18e0  b9ac5ed6  
06 29 12:42:55 611 6808 6808   I DEBUG:          69ea18e4  54eea8ea   dev ashmem dalvik mark stack (deleted)
06 29 12:42:55 611 6808 6808   I DEBUG:          69ea18e8  68574bcb  anon inode:dmabuf
06 29 12:42:55 611 6808 6808   I DEBUG:          69ea18ec  e47e2839  
06 29 12:42:55 611 6808 6808   I DEBUG:          69ea18f0  f6573824  
06 29 12:42:55 611 6808 6808   I DEBUG:          69ea18f4  8891099f  
06 29 12:42:55 611 6808 6808   I DEBUG:          69ea18f8  a95023bd  
06 29 12:42:55 611 6808 6808   I DEBUG:          69ea18fc  8dbb6e07  
06 29 12:42:55 611 6808 6808   I DEBUG:          69ea1900  a85647f1  
06 29 12:42:55 611 6808 6808   I DEBUG:          69ea1904  a95ea3c4  
06 29 12:42:55 611 6808 6808   I DEBUG:      00  69ea1908  00000006  
06 29 12:42:55 611 6808 6808   I DEBUG:          69ea190c  00000000  
06 29 12:42:55 611 6808 6808   I DEBUG:          69ea1910  00005613  
06 29 12:42:55 611 6808 6808   I DEBUG:          69ea1914  40d95319   system lib libssl so
06 29 12:42:55 611 6808 6808   I DEBUG:          69ea1918  40d95319   system lib libssl so
06 29 12:42:55 611 6808 6808   I DEBUG:          69ea191c  400f419d   system lib libc so (pthread kill 52)
06 29 12:42:55 611 6808 6808   I DEBUG:      01  69ea1920  00000006  
06 29 12:42:55 611 6808 6808   I DEBUG:          69ea1924  00000000  
06 29 12:42:55 611 6808 6808   I DEBUG:          69ea1928  6697fad8  
06 29 12:42:55 611 6808 6808   I DEBUG:          69ea192c  400f43b1   system lib libc so (raise 14)
06 29 12:42:55 611 6808 6808   I DEBUG:      02  69ea1930  69ea193c   stack:22035 
06 29 12:42:55 611 6808 6808   I DEBUG:          69ea1934  400f30e7   system lib libc so
06 29 12:42:55 631 6808 6808   I DEBUG:     000055f0 ffffffff ffffffff ffffffff ffffffff  
06 29 12:42:55 631 6808 6808   I DEBUG:     00005600 ffffffff ffffffff ffffffff ffffffff  
06 29 12:42:55 631 6808 6808   I DEBUG:     00005610 ffffffff ffffffff ffffffff ffffffff  
06 29 12:42:55 631 6808 6808   I DEBUG:     00005620 ffffffff ffffffff ffffffff ffffffff  
06 29 12:42:55 631 6808 6808   I DEBUG:     00005630 ffffffff ffffffff ffffffff ffffffff  
06 29 12:42:55 631 6808 6808   I DEBUG:     00005640 ffffffff ffffffff ffffffff ffffffff  
06 29 12:42:55 631 6808 6808   I DEBUG:     00005650 ffffffff ffffffff ffffffff ffffffff  
06 29 12:42:55 631 6808 6808   I DEBUG:     00005660 ffffffff ffffffff ffffffff ffffffff  
06 29 12:42:55 631 6808 6808   I DEBUG:     00005670 ffffffff ffffffff ffffffff ffffffff  
06 29 12:42:55 631 6808 6808   I DEBUG:     00005680 ffffffff ffffffff ffffffff ffffffff  
06 29 12:42:55 631 6808 6808   I DEBUG:     00005690 ffffffff ffffffff ffffffff ffffffff  
06 29 12:42:55 631 6808 6808   I DEBUG:     000056a0 ffffffff ffffffff ffffffff ffffffff  
06 29 12:42:55 631 6808 6808   I DEBUG:     000056b0 ffffffff ffffffff ffffffff ffffffff  
06 29 12:42:55 631 6808 6808   I DEBUG:     000056c0 ffffffff ffffffff ffffffff ffffffff  
06 29 12:42:55 631 6808 6808   I DEBUG:     000056d0 ffffffff ffffffff ffffffff ffffffff  
06 29 12:42:55 631 6808 6808   I DEBUG:     000056e0 ffffffff ffffffff ffffffff ffffffff  
06 29 12:42:55 631 6808 6808   I DEBUG:     000055f0 ffffffff ffffffff ffffffff ffffffff  
06 29 12:42:55 631 6808 6808   I DEBUG:     00005600 ffffffff ffffffff ffffffff ffffffff  
06 29 12:42:55 631 6808 6808   I DEBUG:     00005610 ffffffff ffffffff ffffffff ffffffff  
06 29 12:42:55 631 6808 6808   I DEBUG:     00005620 ffffffff ffffffff ffffffff ffffffff  
06 29 12:42:55 631 6808 6808   I DEBUG:     00005630 ffffffff ffffffff ffffffff ffffffff  
06 29 12:42:55 631 6808 6808   I DEBUG:     00005640 ffffffff ffffffff ffffffff ffffffff  
06 29 12:42:55 631 6808 6808   I DEBUG:     00005650 ffffffff ffffffff ffffffff ffffffff  
06 29 12:42:55 631 6808 6808   I DEBUG:     00005660 ffffffff ffffffff ffffffff ffffffff  
06 29 12:42:55 631 6808 6808   I DEBUG:     00005670 ffffffff ffffffff ffffffff ffffffff  
06 29 12:42:55 631 6808 6808   I DEBUG:     00005680 ffffffff ffffffff ffffffff ffffffff  
06 29 12:42:55 631 6808 6808   I DEBUG:     00005690 ffffffff ffffffff ffffffff ffffffff  
06 29 12:42:55 631 6808 6808   I DEBUG:     000056a0 ffffffff ffffffff ffffffff ffffffff  
06 29 12:42:55 631 6808 6808   I DEBUG:     000056b0 ffffffff ffffffff ffffffff ffffffff  
06 29 12:42:55 631 6808 6808   I DEBUG:     000056c0 ffffffff ffffffff ffffffff ffffffff  
06 29 12:42:55 631 6808 6808   I DEBUG:     000056d0 ffffffff ffffffff ffffffff ffffffff  
06 29 12:42:55 631 6808 6808   I DEBUG:     000056e0 ffffffff ffffffff ffffffff ffffffff  
06 29 12:42:55 631 6808 6808   I DEBUG:     40b4de14 40afc800 40afb740 40b57650 40b03c80  
06 29 12:42:55 631 6808 6808   I DEBUG:     40b4de24 40b03cc0 40b03b74 40b03a30 40b3512c  
06 29 12:42:55 631 6808 6808   I DEBUG:     40b4de34 00000000 00000000 00000000 400f5cc5  
06 29 12:42:55 631 6808 6808   I DEBUG:     40b4de44 40100f10 401068c5 401072e5 400f6201  
06 29 12:42:55 631 6808 6808   I DEBUG:     40b4de54 401066c9 40109b31 40109a3d 40103181  
06 29 12:42:55 631 6808 6808   I DEBUG:     40b4de64 400f30ad 40102d24 40103330 40104319  
06 29 12:42:55 631 6808 6808   I DEBUG:     40b4de74 40104617 4011b868 400f7079 4011b37d  
06 29 12:42:55 631 6808 6808   I DEBUG:     40b4de84 4010c225 4010338c 4011b944 4010c55d  
06 29 12:42:55 631 6808 6808   I DEBUG:     40b4de94 4011b3f3 401044b9 40103179 40103304  
06 29 12:42:55 631 6808 6808   I DEBUG:     40b4dea4 4011cab4 40111b91 4010ca39 40118a09  
06 29 12:42:55 631 6808 6808   I DEBUG:     40b4deb4 400f5601 40102538 4010dec5 4010237c  
06 29 12:42:55 631 6808 6808   I DEBUG:     40b4dec4 4010250c 401023c0 401023e4 40101544  
06 29 12:42:55 631 6808 6808   I DEBUG:     40b4ded4 40102408 40102428 400f5be5 401024e8  
06 29 12:42:55 631 6808 6808   I DEBUG:     40b4dee4 40101470 40101490 4010244c 4010ec9d  
06 29 12:42:55 631 6808 6808   I DEBUG:     40b4def4 40101fcc 401024c0 40102494 40101564  
06 29 12:42:55 631 6808 6808   I DEBUG:     40b4df04 400f596d 400f564d 40106f8d 400f57b9  
06 29 12:42:55 631 6808 6808   I DEBUG:     6b3d503c c4065610 0f3c8b6c 70d21d91 c47dfd56  
06 29 12:42:55 631 6808 6808   I DEBUG:     6b3d504c c08c76b1 0b000013 010001ff 000b0000  
06 29 12:42:55 631 6808 6808   I DEBUG:     6b3d505c 00000102 00000000 00000000 00000000  
06 29 12:42:55 631 6808 6808   I DEBUG:     6b3d506c 00000000 00000000 00000000 00000000  
06 29 12:42:55 631 6808 6808   I DEBUG:     6b3d507c 00000000 00000000 00000000 00000000  
06 29 12:42:55 631 6808 6808   I DEBUG:     6b3d508c 00000000 00000000 00000000 00000000  
06 29 12:42:55 631 6808 6808   I DEBUG:     6b3d509c 00000000 00000000 00000000 00000000  
06 29 12:42:55 631 6808 6808   I DEBUG:     6b3d50ac 00000000 00000000 00000000 00000000  
06 29 12:42:55 631 6808 6808   I DEBUG:     6b3d50bc 00000000 00000000 00000000 00000000  
06 29 12:42:55 631 6808 6808   I DEBUG:     6b3d50cc 00000000 00000000 00000000 00000000  
06 29 12:42:55 631 6808 6808   I DEBUG:     6b3d50dc 00000000 00000000 00000000 00000000  
06 29 12:42:55 631 6808 6808   I DEBUG:     6b3d50ec 00000000 00000000 00000000 00000000  
06 29 12:42:55 631 6808 6808   I DEBUG:     6b3d50fc 00000000 00000000 00000000 00000000  
06 29 12:42:55 631 6808 6808   I DEBUG:     6b3d510c 00000000 00000000 00000000 00000000  
06 29 12:42:55 631 6808 6808   I DEBUG:     6b3d511c 00000000 00000000 00000000 00000000  
06 29 12:42:55 631 6808 6808   I DEBUG:     6b3d512c 00000000 00000000 00000000 00000000  
06 29 12:42:55 631 6808 6808   I DEBUG:     6b3d503c c4065610 0f3c8b6c 70d21d91 c47dfd56  
06 29 12:42:55 631 6808 6808   I DEBUG:     6b3d504c c08c76b1 0b000013 010001ff 000b0000  
06 29 12:42:55 631 6808 6808   I DEBUG:     6b3d505c 00000102 00000000 00000000 00000000  
06 29 12:42:55 631 6808 6808   I DEBUG:     6b3d506c 00000000 00000000 00000000 00000000  
06 29 12:42:55 631 6808 6808   I DEBUG:     6b3d507c 00000000 00000000 00000000 00000000  
06 29 12:42:55 631 6808 6808   I DEBUG:     6b3d508c 00000000 00000000 00000000 00000000  
06 29 12:42:55 631 6808 6808   I DEBUG:     6b3d509c 00000000 00000000 00000000 00000000  
06 29 12:42:55 631 6808 6808   I DEBUG:     6b3d50ac 00000000 00000000 00000000 00000000  
06 29 12:42:55 641 6808 6808   I DEBUG:     6b3d50bc 00000000 00000000 00000000 00000000  
06 29 12:42:55 641 6808 6808   I DEBUG:     6b3d50cc 00000000 00000000 00000000 00000000  
06 29 12:42:55 641 6808 6808   I DEBUG:     6b3d50dc 00000000 00000000 00000000 00000000  
06 29 12:42:55 641 6808 6808   I DEBUG:     6b3d50ec 00000000 00000000 00000000 00000000  
06 29 12:42:55 641 6808 6808   I DEBUG:     6b3d50fc 00000000 00000000 00000000 00000000  
06 29 12:42:55 641 6808 6808   I DEBUG:     6b3d510c 00000000 00000000 00000000 00000000  
06 29 12:42:55 641 6808 6808   I DEBUG:     6b3d511c 00000000 00000000 00000000 00000000  
06 29 12:42:55 641 6808 6808   I DEBUG:     6b3d512c 00000000 00000000 00000000 00000000  
06 29 12:42:55 641 6808 6808   I DEBUG:     40d952f8 203d3e20 20740030 30203d3e 3e207400  
06 29 12:42:55 641 6808 6808   I DEBUG:     40d95308 6d003020 65747361 65732072 74657263  
06 29 12:42:55 641 6808 6808   I DEBUG:     40d95318 74786500 616e7265 706f2f6c 73736e65  
06 29 12:42:55 641 6808 6808   I DEBUG:     40d95328 73732f6c 31742f6c 62696c5f 6500632e  
06 29 12:42:55 641 6808 6808   I DEBUG:     40d95338 72657478 2f6c616e 6e65706f 2f6c7373  
06 29 12:42:55 641 6808 6808   I DEBUG:     40d95348 2f6c7373 725f3174 67656e65 2100632e  
06 29 12:42:55 641 6808 6808   I DEBUG:     40d95358 65707865 64657463 6e656c5f 207c7c20  
06 29 12:42:55 641 6808 6808   I DEBUG:     40d95368 733e2d73 703e2d33 69766572 5f73756f  
06 29 12:42:55 641 6808 6808   I DEBUG:     40d95378 65696c63 665f746e 73696e69 5f646568  
06 29 12:42:55 641 6808 6808   I DEBUG:     40d95388 006e656c 70786521 65746365 656c5f64  
06 29 12:42:55 641 6808 6808   I DEBUG:     40d95398 7c7c206e 3e2d7320 3e2d3373 76657270  
06 29 12:42:55 641 6808 6808   I DEBUG:     40d953a8 73756f69 7265735f 5f726576 696e6966  
06 29 12:42:55 641 6808 6808   I DEBUG:     40d953b8 64656873 6e656c5f 74786500 616e7265  
06 29 12:42:55 641 6808 6808   I DEBUG:     40d953c8 706f2f6c 73736e65 73732f6c 6c742f6c  
06 29 12:42:55 641 6808 6808   I DEBUG:     40d953d8 72735f73 00632e70 070301ff 7f3f1f0f  
06 29 12:42:55 641 6808 6808   I DEBUG:     40d953e8 f8fcfeff 80c0e0f0 534c5444 70203176  
06 29 12:42:55 641 6808 6808   I DEBUG:     69ea18e8 68574bcb e47e2839 f6573824 8891099f  
06 29 12:42:55 641 6808 6808   I DEBUG:     69ea18f8 a95023bd 8dbb6e07 a85647f1 a95ea3c4  
06 29 12:42:55 641 6808 6808   I DEBUG:     69ea1908 00000006 00000000 00005613 40d95319  
06 29 12:42:55 641 6808 6808   I DEBUG:     69ea1918 40d95319 400f419d 00000006 00000000  
06 29 12:42:55 641 6808 6808   I DEBUG:     69ea1928 6697fad8 400f43b1 69ea193c 400f30e7  
06 29 12:42:55 641 6808 6808   I DEBUG:     69ea1938 7fcbc425 ffffffdf beb3cb25 d108cef3  
06 29 12:42:55 641 6808 6808   I DEBUG:     69ea1948 b7e1749c 00000000 00000008 4012f1c8  
06 29 12:42:55 641 6808 6808   I DEBUG:     69ea1958 00000000 401029fc 6989d169 400f3bcd  
06 29 12:42:55 641 6808 6808   I DEBUG:     69ea1968 4012115f 69ea197c ffffff60 400f02d9  
06 29 12:42:55 641 6808 6808   I DEBUG:     69ea1978 4012115f 40124d4c ffffff60 4012f388  
06 29 12:42:55 641 6808 6808   I DEBUG:     69ea1988 00000000 400f11e5 00000001 fff867f4  
06 29 12:42:55 641 6808 6808   I DEBUG:     69ea1998 400f0f85 00000001 00000000 00000641  
06 29 12:42:55 641 6808 6808   I DEBUG:     69ea19a8 40d95319 40b4de34 6b3d505d 00000001  
06 29 12:42:55 641 6808 6808   I DEBUG:     69ea19b8 6b3d505f 400eed11 40b50f50 40aa7e3b  
06 29 12:42:55 641 6808 6808   I DEBUG:     69ea19c8 40aa7e31 40aa82d5 00000001 40d95319  
06 29 12:42:55 641 6808 6808   I DEBUG:     69ea19d8 6b4969f0 69ea1a54 6b3d505e 66975a60  
06 29 12:42:55 641 6808 6808   I DEBUG:     40103124 e8bd00f0 e3700a01 912fff1e e2600000  
06 29 12:42:55 651 6808 6808   I DEBUG:     40103134 ea006e4f e92d50f0 e3a07f43 ef000000  
06 29 12:42:55 651 6808 6808   I DEBUG:     40103144 e8bd50f0 e3700a01 912fff1e e2600000  
06 29 12:42:55 651 6808 6808   I DEBUG:     40103154 ea006e47 e92d50f0 e3a070ee ef000000  
06 29 12:42:55 651 6808 6808   I DEBUG:     40103164 e8bd50f0 e3700a01 912fff1e e2600000  
06 29 12:42:55 651 6808 6808   I DEBUG:     40103174 ea006e3f f200429a bf0080b9 f040f891  
06 29 12:42:55 651 6808 6808   I DEBUG:     40103184 4001e92d f2c02a04 2a1080a5 8093f2c0  
06 29 12:42:55 651 6808 6808   I DEBUG:     40103194 f2c02a20 2a408088 ea4fdb7f f1bc1c92  
06 29 12:42:55 651 6808 6808   I DEBUG:     401031a4 dd6c0f0a 0600e92d 0f40f1bc f500dd4a  
06 29 12:42:55 651 6808 6808   I DEBUG:     401031b4 f5016e80 ebae7920 ea4f0e09 ea4f5e4e  
06 29 12:42:55 651 6808 6808   I DEBUG:     401031c4 f50e5e5e ebbc7e20 dd3b1f9e f04fbfc4  
06 29 12:42:55 651 6808 6808   I DEBUG:     401031d4 ebd9090a dd35199e 0a0eeb01 0a3ff02a  
06 29 12:42:55 651 6808 6808   I DEBUG:     401031e4 1c9eebac bfd245e1 0c09ebac f04f46e1  
06 29 12:42:55 651 6808 6808   I DEBUG:     401031f4 f8910c00 f891f240 f921f280 f921028d  
06 29 12:42:55 651 6808 6808   I DEBUG:     40103204 f8da428d f1b93000 f9000901 f900028d  
06 29 12:42:55 651 6808 6808   I DEBUG:     40103214 f10a428d d1ee0a40 0f00f1bc f5bcd02b  
06 29 12:42:55 651 6808 6808   I DEBUG:     400f417c 447b4b13 42b3e010 6a1ed10e 44784811  
06 29 12:42:55 651 6808 6808   I DEBUG:     400f418c ec84f7fb ea0cf00d 46224631 efcef00e  
06 29 12:42:55 651 6808 6808   I DEBUG:     400f419c d00a3001 e00b2400 2b00681b 480ad1eb  
06 29 12:42:55 651 6808 6808   I DEBUG:     400f41ac 44782403 ec72f7fb f001e002 6804fa23  
06 29 12:42:55 651 6808 6808   I DEBUG:     400f41bc fa20f001 46206005 bf00bd70 0003b236  
06 29 12:42:55 651 6808 6808   I DEBUG:     400f41cc 0003b22a 0003b222 0003b1fe bf7ef7ff  
06 29 12:42:55 651 6808 6808   I DEBUG:     400f41dc 4a3e4b3d e92d447b b08b43f0 4606589c  
06 29 12:42:55 651 6808 6808   I DEBUG:     400f41ec 6823460d 930946a1 fa04f001 8000f8d0  
06 29 12:42:55 651 6808 6808   I DEBUG:     400f41fc d0482d00 f0104628 280ff889 d8444604  
06 29 12:42:55 651 6808 6808   I DEBUG:     400f420c ffe4f7ff d1064286 4629200f e8d6f00d  
06 29 12:42:55 651 6808 6808   I DEBUG:     400f421c d03c2800 482ee02e f7fb4478 482debb6  
06 29 12:42:55 651 6808 6808   I DEBUG:     400f422c e0154478 d11342b0 482b6a06 f7fb4478  
06 29 12:42:55 651 6808 6808   I DEBUG:     400f423c 4a2aec2e 46332120 a801447a f92af013  
06 29 12:42:55 651 6808 6808   I DEBUG:     400f424c a8012101 fc48f01a 46061c42 e011d104  
06 29 12:42:55 651 6808 6808   I DEBUG:     400f425c 28006800 e02cd1e6 46294630 f00d4622  
06 29 12:42:55 651 6808 6808   I DEBUG:     400f426c 1c43e912 d11e4607 f9c4f001 29046801
Similar crash on Android 4 1 2 Galaxy S3:
06 27 14:42:33 239 23962 24724 com androidapi productname A libc:     ABORTING: INVALID HEAP ADDRESS IN dlfree addr 0x60bfc220
06 27 14:42:33 239 23962 24724 com androidapi productname A libc: Fatal signal 11 (SIGSEGV) at 0xdeadbaad (code 1)  thread 24724 (RxIoScheduler 1)
06 27 14:42:33 289 1900 1900   I DEBUG:                                                                
06 27 14:42:33 289 1900 1900   I DEBUG: Build fingerprint:  samsung m0xx m0:4 1 2 JZO54K I9300XXEMB5:user release keys 
06 27 14:42:33 289 1900 1900   I DEBUG: pid: 23962  tid: 24724  name: RxIoScheduler 1      com androidapi productname    
06 27 14:42:33 289 1900 1900   I DEBUG: signal 11 (SIGSEGV)  code 1 (SEGV MAPERR)  fault addr deadbaad
06 27 14:42:33 419 1900 1900   I DEBUG:     r0 00000043  r1 671109e0  r2 00000003  r3 deadbaad
06 27 14:42:33 419 1900 1900   I DEBUG:     r4 400dca6c  r5 60bfc220  r6 67110a08  r7 400c6333
06 27 14:42:33 419 1900 1900   I DEBUG:     r8 60bfc228  r9 0000000b  sl 67110bc4  fp 40b21278
06 27 14:42:33 419 1900 1900   I DEBUG:     ip 00000000  sp 67110a08  lr 400b4285  pc 4009fa08  cpsr 00000030
06 27 14:42:33 419 1900 1900   I DEBUG:     d0  400e666640733333  d1  fff0000000000000
06 27 14:42:33 419 1900 1900   I DEBUG:     d2  4080341ae147ae14  d3  3f8000003f800000
06 27 14:42:33 419 1900 1900   I DEBUG:     d4  0000000000000000  d5  0000000000000000
06 27 14:42:33 419 1900 1900   I DEBUG:     d6  0000000000000000  d7  000004003f800000
06 27 14:42:33 419 1900 1900   I DEBUG:     d8  fff0000000000000  d9  400e666666666666
06 27 14:42:33 419 1900 1900   I DEBUG:     d10 3ff8151824c07946  d11 3fd34413509f79fe
06 27 14:42:33 419 1900 1900   I DEBUG:     d12 3ddb7cdfd9d7bdbb  d13 0000000000000000
06 27 14:42:33 419 1900 1900   I DEBUG:     d14 0000000000000000  d15 0000000000000000
06 27 14:42:33 419 1900 1900   I DEBUG:     d16 4040000000000000  d17 4040000000000000
06 27 14:42:33 419 1900 1900   I DEBUG:     d18 400e666666666666  d19 0000000000000000
06 27 14:42:33 419 1900 1900   I DEBUG:     d20 4000000000000000  d21 be82d4808d800000
06 27 14:42:33 419 1900 1900   I DEBUG:     d22 bfd71d19f39ec352  d23 bf66b145b9da6a2e
06 27 14:42:33 419 1900 1900   I DEBUG:     d24 3fc54abbc7ddeba2  d25 3ff4000000000000
06 27 14:42:33 419 1900 1900   I DEBUG:     d26 3fd57a85a5222f8b  d27 0000000000000006
06 27 14:42:33 419 1900 1900   I DEBUG:     d28 0000000000000012  d29 bfd0000000000000
06 27 14:42:33 424 1900 1900   I DEBUG:     d30 4006000000000000  d31 3fe2b80340000000
06 27 14:42:33 424 1900 1900   I DEBUG:     scr 60000013
06 27 14:42:33 429 1900 1900   I DEBUG:      00  pc 00013a08   system lib libc so
06 27 14:42:33 429 1900 1900   I DEBUG:      01  pc 00015de5   system lib libc so (dlfree 1628)
06 27 14:42:33 429 1900 1900   I DEBUG:      02  pc 00016f93   system lib libc so (free 10)
06 27 14:42:33 429 1900 1900   I DEBUG:      03  pc 00037fa9   system lib libcrypto so (CRYPTO free 24)
06 27 14:42:33 429 1900 1900   I DEBUG:      04  pc 00028f21   system lib libssl so (ssl parse serverhello tlsext 216)
06 27 14:42:33 429 1900 1900   I DEBUG:      05  pc 0001590b   system lib libssl so (ssl3 get server hello 894)
06 27 14:42:33 429 1900 1900   I DEBUG:      06  pc 00018147   system lib libssl so (ssl3 connect 618)
06 27 14:42:33 429 1900 1900   I DEBUG:      07  pc 000234c3   system lib libssl so (SSL do handshake 66)
06 27 14:42:33 429 1900 1900   I DEBUG:      08  pc 000209c7   system lib libjavacore so
06 27 14:42:33 429 1900 1900   I DEBUG:      09  pc 0001deb0   system lib libdvm so (dvmPlatformInvoke 112)
06 27 14:42:33 429 1900 1900   I DEBUG:      10  pc 0004d103   system lib libdvm so (dvmCallJNIMethod(unsigned int const   JValue   Method const   Thread ) 394)
06 27 14:42:33 429 1900 1900   I DEBUG:      11  pc 000272e0   system lib libdvm so
06 27 14:42:33 429 1900 1900   I DEBUG:      12  pc 0002bbe8   system lib libdvm so (dvmInterpret(Thread   Method const   JValue ) 180)
06 27 14:42:33 429 1900 1900   I DEBUG:      13  pc 0005f871   system lib libdvm so (dvmCallMethodV(Thread   Method const   Object   bool  JValue   std::  va list) 272)
06 27 14:42:33 429 1900 1900   I DEBUG:      14  pc 0005f89b   system lib libdvm so (dvmCallMethod(Thread   Method const   Object   JValue      ) 20)
06 27 14:42:33 429 1900 1900   I DEBUG:      15  pc 00054453   system lib libdvm so
06 27 14:42:33 429 1900 1900   I DEBUG:      16  pc 00012e00   system lib libc so (  thread entry 48)
06 27 14:42:33 429 1900 1900   I DEBUG:      17  pc 00012558   system lib libc so (pthread create 172)
06 27 14:42:33 429 1900 1900   I DEBUG:          671109c8  00000001  
06 27 14:42:33 429 1900 1900   I DEBUG:          671109cc  400c6333   system lib libc so
06 27 14:42:33 429 1900 1900   I DEBUG:          671109d0  60bfc228  
06 27 14:42:33 429 1900 1900   I DEBUG:          671109d4  400b42ef   system lib libc so
06 27 14:42:33 429 1900 1900   I DEBUG:          671109d8  00000001  
06 27 14:42:33 429 1900 1900   I DEBUG:          671109dc  00000007  
06 27 14:42:33 429 1900 1900   I DEBUG:          671109e0  671109dc  
06 27 14:42:33 429 1900 1900   I DEBUG:          671109e4  00000001  
06 27 14:42:33 429 1900 1900   I DEBUG:          671109e8  400c6317   system lib libc so
06 27 14:42:33 429 1900 1900   I DEBUG:          671109ec  00000005  
06 27 14:42:33 429 1900 1900   I DEBUG:          671109f0  67110a14  
06 27 14:42:33 429 1900 1900   I DEBUG:          671109f4  0000003d  
06 27 14:42:33 429 1900 1900   I DEBUG:          671109f8  400dca6c  
06 27 14:42:33 429 1900 1900   I DEBUG:          671109fc  60bfc220  
06 27 14:42:33 429 1900 1900   I DEBUG:          67110a00  df0027ad  
06 27 14:42:33 429 1900 1900   I DEBUG:          67110a04  00000000  
06 27 14:42:33 429 1900 1900   I DEBUG:      00  67110a08  66623036  
06 27 14:42:33 429 1900 1900   I DEBUG:          67110a0c  30323263  
06 27 14:42:33 429 1900 1900   I DEBUG:          67110a10  8d836d00  
06 27 14:42:33 429 1900 1900   I DEBUG:          67110a14  20404040  
06 27 14:42:33 429 1900 1900   I DEBUG:          67110a18  524f4241   dev ashmem dalvik mark stack (deleted)
06 27 14:42:33 429 1900 1900   I DEBUG:          67110a1c  474e4954   dev ashmem dalvik heap (deleted)
06 27 14:42:33 429 1900 1900   I DEBUG:          67110a20  4e49203a   dev ashmem dalvik heap (deleted)
06 27 14:42:33 429 1900 1900   I DEBUG:          67110a24  494c4156   dev ashmem dalvik heap (deleted)
06 27 14:42:33 429 1900 1900   I DEBUG:          67110a28  45482044   dev ashmem dalvik heap (deleted)
06 27 14:42:33 429 1900 1900   I DEBUG:          67110a2c  41205041   dev ashmem dalvik bitmap 2 (deleted)
06 27 14:42:33 429 1900 1900   I DEBUG:          67110a30  45524444   dev ashmem dalvik heap (deleted)
06 27 14:42:33 429 1900 1900   I DEBUG:          67110a34  49205353   dev ashmem dalvik heap (deleted)
06 27 14:42:33 429 1900 1900   I DEBUG:          67110a38  6c64204e  
06 27 14:42:33 429 1900 1900   I DEBUG:          67110a3c  65657266   dev mali
06 27 14:42:33 429 1900 1900   I DEBUG:          67110a40  64646120   data data com google android gms app chimera m 00000003 DynamiteModulesA GmsCore prod xhdpi release odex
06 27 14:42:33 429 1900 1900   I DEBUG:          67110a44  78303d72  
06 27 14:42:33 429 1900 1900   I DEBUG:                            
06 27 14:42:33 429 1900 1900   I DEBUG:      01  67110b30  400a1789   system lib libc so (dlfree)
06 27 14:42:33 429 1900 1900   I DEBUG:          67110b34  60bfc228  
06 27 14:42:33 429 1900 1900   I DEBUG:          67110b38  00000001  
06 27 14:42:33 429 1900 1900   I DEBUG:          67110b3c  67d22801  
06 27 14:42:33 429 1900 1900   I DEBUG:          67110b40  6211a080  
06 27 14:42:33 429 1900 1900   I DEBUG:          67110b44  67d22805  
06 27 14:42:33 429 1900 1900   I DEBUG:          67110b48  0000000b  
06 27 14:42:33 429 1900 1900   I DEBUG:          67110b4c  400a2f95   system lib libc so (free 12)
06 27 14:42:33 429 1900 1900   I DEBUG:      02  67110b50  400a2f89   system lib libc so (free)
06 27 14:42:33 429 1900 1900   I DEBUG:          67110b54  40a4efab   system lib libcrypto so (CRYPTO free 26)
06 27 14:42:33 434 1900 1900   I DEBUG:     671109c0 400c6317 67110a14 00000001 400c6333   c     g    3c  
06 27 14:42:33 434 1900 1900   I DEBUG:     671109d0 60bfc228 400b42ef 00000001 00000007  (    B          
06 27 14:42:33 434 1900 1900   I DEBUG:     671109e0 671109dc 00000001 400c6317 00000005     g     c      
06 27 14:42:33 434 1900 1900   I DEBUG:     671109f0 67110a14 0000003d 400dca6c 60bfc220     g    l       
06 27 14:42:33 434 1900 1900   I DEBUG:     67110a00 df0027ad 00000000 66623036 30323263          60bfc220
06 27 14:42:33 434 1900 1900   I DEBUG:     400dca4c 00000000 00000000 00000000 00000000                  
06 27 14:42:33 434 1900 1900   I DEBUG:     400dca5c 00000000 00000000 00000000 00000000                  
06 27 14:42:33 434 1900 1900   I DEBUG:     400dca6c 52feba25 00000000 00000000 00000000     R            
06 27 14:42:33 434 1900 1900   I DEBUG:     400dca7c 00000000 00000000 00000000 00000000                  
06 27 14:42:33 434 1900 1900   I DEBUG:     400dca8c 00000000 00000000 00000000 00000000                  
06 27 14:42:33 434 1900 1900   I DEBUG:     60bfc200 0922081e 0b260924 0f2b0f28 0e2f0a2d          (       
06 27 14:42:33 434 1900 1900   I DEBUG:     60bfc210 0e360e33 0b390937 0b400b3d 00000000  3 6 7 9         
06 27 14:42:33 434 1900 1900   I DEBUG:     60bfc220 00000048 00000011 6213f248 400d5534  H       H  b4U  
06 27 14:42:33 434 1900 1900   I DEBUG:     60bfc230 00000010 0000001a 42a67038 400d553c          8p B U  
06 27 14:42:33 434 1900 1900   I DEBUG:     60bfc240 00796765 74636146 00000018 0000001b  egy Fact        
06 27 14:42:33 434 1900 1900   I DEBUG:     671109e8 400c6317 00000005 67110a14 0000003d   c         g    
06 27 14:42:33 434 1900 1900   I DEBUG:     671109f8 400dca6c 60bfc220 df0027ad 00000000  l               
06 27 14:42:33 434 1900 1900   I DEBUG:     67110a08 66623036 30323263 8d836d00 20404040  60bfc220 m      
06 27 14:42:33 439 1900 1900   I DEBUG:     67110a18 524f4241 474e4954 4e49203a 494c4156  ABORTING: INVALI
06 27 14:42:33 439 1900 1900   I DEBUG:     67110a28 45482044 41205041 45524444 49205353  D HEAP ADDRESS I
06 27 14:42:33 439 1900 1900   I DEBUG:     400c6310 3d726464 6c007830 00636269 50414548  ddr 0x libc HEAP
06 27 14:42:33 439 1900 1900   I DEBUG:     400c6320 4d454d20 2059524f 52524f43 49545055   MEMORY CORRUPTI
06 27 14:42:33 439 1900 1900   I DEBUG:     400c6330 49004e4f 4c41564e 48204449 20504145  ON INVALID HEAP 
06 27 14:42:33 439 1900 1900   I DEBUG:     400c6340 52444441 00535345 2078616d 74737973  ADDRESS max syst
06 27 14:42:33 439 1900 1900   I DEBUG:     400c6350 62206d65 73657479 25203d20 756c3031  em bytes    10lu
06 27 14:42:33 439 1900 1900   I DEBUG:     60bfc208 0f2b0f28 0e2f0a2d 0e360e33 0b390937  (       3 6 7 9 
06 27 14:42:33 439 1900 1900   I DEBUG:     60bfc218 0b400b3d 00000000 00000048 00000011          H       
06 27 14:42:33 439 1900 1900   I DEBUG:     60bfc228 6213f248 400d5534 00000010 0000001a  H  b4U          
06 27 14:42:33 439 1900 1900   I DEBUG:     60bfc238 42a67038 400d553c 00796765 74636146  8p B U  egy Fact
06 27 14:42:33 439 1900 1900   I DEBUG:     60bfc248 00000018 0000001b 573</t>
  </si>
  <si>
    <t>OneBusAway-onebusaway-android-573</t>
  </si>
  <si>
    <t>NPE tapping on trip details list item</t>
  </si>
  <si>
    <t xml:space="preserve">  Summary:   
From Android Developer Console for v2 0 13:
java lang NullPointerException: Attempt to invoke virtual method  org onebusaway android io elements ObaTripSchedule StopTime   org onebusaway android io elements ObaTripSchedule getStopTimes()  on a null object reference
    at org onebusaway android ui TripDetailsListFragment 3 onItemClick(TripDetailsListFragment java:394)
    at android widget AdapterView performItemClick(AdapterView java:345)
    at android widget AbsListView performItemClick(AbsListView java:1547)
    at android widget AbsListView PerformClick run(AbsListView java:3821)
    at android widget AbsListView 3 run(AbsListView java:5841)
    at android os Handler handleCallback(Handler java:739)
    at android os Handler dispatchMessage(Handler java:95)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User message:
  App stopped while viewing progress of bus
  Steps to reproduce:   
Unknown
  Expected behavior:   
Not crash
  Observed behavior:   
Crash
  Device and Android version:   
Galaxy S5 (klteMetroPCS)
Manufacturer Samsung 
Android version Android 4 4 
RAM (MB) 2048 
Screen size 1080   1920 
Screen density (dpi) 480 
OpenGL ES version 3 0 
Native platform armeabi v7a 
CPU make Qualcomm 
CPU model MSM8974
</t>
  </si>
  <si>
    <t>syncthing-syncthing-android-690</t>
  </si>
  <si>
    <t>Nexus 6p: App crashes on adding new device</t>
  </si>
  <si>
    <t xml:space="preserve">Nexus 6P  stock image  up to date  On fresh install  hitting the     sign in device tab causes it to crash every time  Does not happen on Nexus 10  stock  up to date  (Only two devices I tried it on so far)
</t>
  </si>
  <si>
    <t>OneBusAway-onebusaway-android-574</t>
  </si>
  <si>
    <t>NPE in BaseMapFragment getting map center location in onPause()</t>
  </si>
  <si>
    <t xml:space="preserve">  Summary:   
From Google Play Developer Console for v2 0 14:
java lang RuntimeException: Unable to pause activity  com joulespersecond seattlebusbot org onebusaway android ui HomeActivity : java lang NullPointerException: Attempt to invoke virtual method  double android location Location getLatitude()  on a null object reference
    at android app ActivityThread performPauseActivity(ActivityThread java:4429)
    at android app ActivityThread performPauseActivity(ActivityThread java:4388)
    at android app ActivityThread handlePauseActivity(ActivityThread java:4363)
    at android app ActivityThread access 1200(ActivityThread java:210)
    at android app ActivityThread H handleMessage(ActivityThread java:1722)
    at android os Handler dispatchMessage(Handler java:102)
    at android os Looper loop(Looper java:145)
    at android app ActivityThread main(ActivityThread java:6938)
    at java lang reflect Method invoke(Native Method)
    at java lang reflect Method invoke(Method java:372)
    at com android internal os ZygoteInit MethodAndArgsCaller run(ZygoteInit java:1404)
    at com android internal os ZygoteInit main(ZygoteInit java:1199)
Caused by: java lang NullPointerException: Attempt to invoke virtual method  double android location Location getLatitude()  on a null object reference
    at org onebusaway android map googlemapsv2 BaseMapFragment onPause(BaseMapFragment java:283)
    at android support v4 app Fragment performPause(Fragment java:2123)
    at android support v4 app FragmentManagerImpl moveToState(FragmentManager java:1118)
    at android support v4 app FragmentManagerImpl moveToState(FragmentManager java:1248)
    at android support v4 app FragmentManagerImpl moveToState(FragmentManager java:1230)
    at android support v4 app FragmentManagerImpl dispatchPause(FragmentManager java:2056)
    at android support v4 app FragmentController dispatchPause(FragmentController java:198)
    at android support v4 app FragmentActivity onPause(FragmentActivity java:401)
    at org onebusaway android ui HomeActivity onPause(HomeActivity java:338)
    at android app Activity performPause(Activity java:6731)
    at android app Instrumentation callActivityOnPause(Instrumentation java:1338)
    at android app ActivityThread performPauseActivity(ActivityThread java:4415)
        11 more
We should do a null check on the map center location before saving it 
  Steps to reproduce:   
Unknown
  Expected behavior:   
Not crash 
  Observed behavior:   
Crash 
  Device and Android version:   
Galaxy S6  Galaxy Grand Prime  Galaxy S5 (all Android 5 1)
</t>
  </si>
  <si>
    <t>twitter-archive-twitter-kit-android-55</t>
  </si>
  <si>
    <t>Memory leak - context passed to TweetTimelineListAdapter.Builder()</t>
  </si>
  <si>
    <t xml:space="preserve">Memory leak detection can be verified by adding Leak Canary library into project (https:  github com square leakcanary)  It is easy to add  just one line of code in Application class 
Here is stack returned by Leak Canary:
D LeakCanary:   com example activities SocialMediaActivity has leaked:
D LeakCanary:   GC ROOT static com squareup picasso Picasso singleton
D LeakCanary:   references com squareup picasso Picasso targetToDeferredRequestCreator
D LeakCanary:   references java util WeakHashMap elementData
D LeakCanary:   references array java util WeakHashMap Entry    12 
D LeakCanary:   references java util WeakHashMap Entry value
D LeakCanary:   references com squareup picasso DeferredRequestCreator callback
D LeakCanary:   references com twitter sdk android tweetui BaseTweetView PicassoCallback this 0
D LeakCanary:   references com twitter sdk android tweetui CompactTweetView mContext
D LeakCanary:   leaks com example activities SocialMediaActivity instance
I am adding UserTimeline as part of android support v4 app Fragment that is a page in android support v4 view ViewPager  Leaked Activity that holds ViewPager extends android support v7 app AppCompatActivity  Leak is detected after calling SocialMediaActivity onDestroy() 
How I add timeline:
UserTimeline userTimeline   new UserTimeline Builder() screenName(mTwitterUserName) maxItemsPerRequest(3) build() 
TweetTimelineListAdapter adapter   new TweetTimelineListAdapter Builder(getActivity()) setTimeline(userTimeline) build() 
mListView setAdapter(adapter) 
Android 5 1 1 Nexus 4
     com twitter sdk android:twitter:1      1 14 0
          com twitter sdk android:tweet ui:1 11 0
               io fabric sdk android:fabric:1 3 12
               com twitter sdk android:twitter core:1 7 0
                    com squareup retrofit:retrofit:1 8 0
                         com google code gson:gson:2 3    2 7
                    io fabric sdk android:fabric:1 3 12
                    com google code gson:gson:2 4    2 7
               com android support:support v4:23 1 1    24 0 0 ( )
               com squareup picasso:picasso:2 5 2
          io fabric sdk android:fabric:1 3 12
          com digits sdk android:digits:1 11 0
               io fabric sdk android:fabric:1 3 12
               com twitter sdk android:twitter core:1 7 0 ( )
               com crashlytics sdk android:answers shim:0 0 3
               com squareup retrofit:retrofit mock:1 8 0
                    com squareup retrofit:retrofit:1 8 0 ( )
          com twitter sdk android:twitter core:1 7 0 ( )
          com twitter sdk android:tweet composer:1 0 5
               com twitter:twitter text:1 13 0
               io fabric sdk android:fabric:1 3 12
               com squareup picasso:picasso:2 5 2
I tried workaround by calling something like this in Fragment onDestroy()  but it didn t work:
private void clearRequests(ViewGroup viewGroup)  
    for (int i   0  i   viewGroup getChildCount()  i  )  
        View item   viewGroup getChildAt(i) 
        if (item instanceof ViewGroup)  
            clearRequests((ViewGroup) item) 
          else if (item instanceof ImageView)  
            Picasso with(getContext()) cancelRequest((ImageView) item) 
If I understand correctly there are some Picasso requests still being executed after activity have been destroyed  As a solution maybe add some tags to each Picasso request:  Picasso with(getContext()) load(url) tag(tag) into(imageView)   so they can be cancelled by Picasso cancelTag(Object tag)  e g  for TweetTimelineListAdapter it might be UserTimeline object and you can add TweetTimelineListAdapter cancelImageRequests() method thath could be called in onDestroy  If it won t help with memory leak it will at least help save some transfer   downloading pictures that will never be shown to user because parent activity have been destroyed 
As a side note please consider upgrading to Retrofit 2  so if someone is using up to date version of Retrofit  apk won t need to contain two versions of the same library 
</t>
  </si>
  <si>
    <t>bitstadium-HockeySDK-Android-165</t>
  </si>
  <si>
    <t>PaintActivity Crash</t>
  </si>
  <si>
    <t xml:space="preserve">I have lots of crashes from an device which is called  Full Android on Emulator  with the PaintActivity  I think this device is a monkeyrunner from Google  The monkeyrunner starts all activities and the PaintActivity expects an extra which isn t given 
  Here is a crashlog:  
Package: XXXXXX
Version Code: 5284
Version Name: 5 284
Android: 4 1 1
Android Build: full eng 4 1 1 JRO03R eng john 20160603 092221 test keys
Manufacturer: unknown
Model: Full Android on Emulator
Thread: main 1
CrashReporter Key: 50F4AE5B 594A B426 DCA4 D81E15C32B3E35EF291A
Start Date: Mon Jun 27 10:15:04 PDT 2016
Date: Mon Jun 27 10:15:16 PDT 2016
java lang RuntimeException: Unable to start activity ComponentInfo XXXXXX net hockeyapp android PaintActivity : java lang NullPointerException
    at android app ActivityThread performLaunchActivity(ActivityThread java:2118)
    at android app ActivityThread handleLaunchActivity(ActivityThread java:2145)
    at android app ActivityThread access 600(ActivityThread java:130)
    at android app ActivityThread H handleMessage(ActivityThread java:1211)
    at android os Handler dispatchMessage(Handler java:99)
    at android os Looper loop(Looper java:137)
    at android app ActivityThread main(ActivityThread java:4847)
    at java lang reflect Method invokeNative(Native Method)
    at java lang reflect Method invoke(Method java:535)
    at com android internal os ZygoteInit MethodAndArgsCaller run(ZygoteInit java:786)
    at com android internal os ZygoteInit main(ZygoteInit java:553)
    at dalvik system NativeStart main(Native Method)
Caused by: java lang NullPointerException
    at net hockeyapp android PaintActivity onCreate(PaintActivity java:49)
    at android app Activity performCreate(Activity java:5187)
    at android app Instrumentation callActivityOnCreate(Instrumentation java:1104)
    at android app ActivityThread performLaunchActivity(ActivityThread java:2064)
        11 more
</t>
  </si>
  <si>
    <t>nextcloud-android-90</t>
  </si>
  <si>
    <t>Crash on deleting three local+remote files with latestF-Droid beta release(20160621)</t>
  </si>
  <si>
    <t xml:space="preserve">    Actual behaviour
 Crash on deleting three local remote files
    Expected behaviour
 Remove 3 files without crash rather than only two with a crash
    Environment data
Android version: 6 0 1
Device model: 1 1 
Stock or customized system: official cyanogen
Nextcloud app version: 20160621 (beta)
Nextcloud server version: unsure (owncloud external provider)
    Logs
     Web server error log
Insert your webserver log here
     Nextcloud log (data nextcloud log)
Lost it when toggling between Firefox and the app on mobile 
What about adding automatically the log to that shortcut 
I could reproduce the crash  here is the log:
             CAUSE OF ERROR             
java lang NullPointerException: Attempt to invoke virtual method  java lang String com owncloud android datamodel OCFile getMimetype()  on a null object reference
    at com owncloud android ui fragment OCFileListFragment checkSendable(OCFileListFragment java:455)
    at com owncloud android ui fragment OCFileListFragment access 400(OCFileListFragment java:81)
    at com owncloud android ui fragment OCFileListFragment 10 onItemCheckedStateChanged(OCFileListFragment java:400)
    at android widget AbsListView MultiChoiceModeWrapper onItemCheckedStateChanged(AbsListView java:6287)
    at android widget AbsListView confirmCheckedPositionsById(AbsListView java:5327)
    at android widget AbsListView handleDataChanged(AbsListView java:5348)
    at android widget ListView layoutChildren(ListView java:1563)
    at android widget AbsListView onLayout(AbsListView java:2148)
    at android view View layout(View java:16639)
    at android view ViewGroup layout(ViewGroup java:5437)
    at android support v4 widget SwipeRefreshLayout onLayout(SwipeRefreshLayout java:584)
    at android view View layout(View java:16639)
    at android view ViewGroup layout(ViewGroup java:5437)
    at android widget FrameLayout layoutChildren(FrameLayout java:336)
    at android widget FrameLayout onLayout(FrameLayout java:273)
    at android view View layout(View java:16639)
    at android view ViewGroup layout(ViewGroup java:5437)
    at android widget RelativeLayout onLayout(RelativeLayout java:1079)
    at android view View layout(View java:16639)
    at android view ViewGroup layout(ViewGroup java:5437)
    at android widget FrameLayout layoutChildren(FrameLayout java:336)
    at android widget FrameLayout onLayout(FrameLayout java:273)
    at android view View layout(View java:16639)
    at android view ViewGroup layout(ViewGroup java:5437)
    at android widget LinearLayout setChildFrame(LinearLayout java:1735)
    at android widget LinearLayout layoutHorizontal(LinearLayout java:1724)
    at android widget LinearLayout onLayout(LinearLayout java:1490)
    at android view View layout(View java:16639)
    at android view ViewGroup layout(ViewGroup java:5437)
    at android widget LinearLayout setChildFrame(LinearLayout java:1735)
    at android widget LinearLayout layoutVertical(LinearLayout java:1579)
    at android widget LinearLayout onLayout(LinearLayout java:1488)
    at android view View layout(View java:16639)
    at android view ViewGroup layout(ViewGroup java:5437)
    at android support v4 widget DrawerLayout onLayout(DrawerLayout java:1043)
    at android view View layout(View java:16639)
    at android view ViewGroup layout(ViewGroup java:5437)
    at android widget FrameLayout layoutChildren(FrameLayout java:336)
    at android widget FrameLayout onLayout(FrameLayout java:273)
    at android view View layout(View java:16639)
    at android view ViewGroup layout(ViewGroup java:5437)
    at android widget FrameLayout layoutChildren(FrameLayout java:336)
    at android widget FrameLayout onLayout(FrameLayout java:273)
    at android view View layout(View java:16639)
    at android view ViewGroup layout(ViewGroup java:5437)
    at android widget FrameLayout layoutChildren(FrameLayout java:336)
    at android widget FrameLayout onLayout(FrameLayout java:273)
    at android view View layout(View java:16639)
    at android view ViewGroup layout(ViewGroup java:5437)
    at android widget LinearLayout setChildFrame(LinearLayout java:1735)
    at android widget LinearLayout layoutVertical(LinearLayout java:1579)
    at android widget LinearLayout onLayout(LinearLayout java:1488)
    at android view View layout(View java:16639)
    at android view ViewGroup layout(ViewGroup java:5437)
    at android widget FrameLayout layoutChildren(FrameLayout java:336)
    at android widget FrameLayout onLayout(FrameLayout java:273)
    at com android internal policy PhoneWindow DecorView onLayout(PhoneWindow java:2934)
    at android view View layout(View java:16639)
    at android view ViewGroup layout(ViewGroup java:5437)
    at android view ViewRootImpl performLayout(ViewRootImpl java:2179)
    at android view ViewRootImpl performTraversals(ViewRootImpl java:1939)
    at android view ViewRootImpl doTraversal(ViewRootImpl java:1115)
    at android view ViewRootImpl TraversalRunnable run(ViewRootImpl java:6023)
    at android view Choreographer CallbackRecord run(Choreographer java:858)
    at android view Choreographer doCallbacks(Choreographer java:670)
    at android view Choreographer doFrame(Choreographer java:606)
    at android view Choreographer FrameDisplayEventReceiver run(Choreographer java:844)
    at android os Handler handleCallback(Handler java:739)
    at android os Handler dispatchMessage(Handler java:95)
    at android os Looper loop(Looper java:148)
    at android app ActivityThread main(ActivityThread java:5461)
    at java lang reflect Method invoke(Native Method)
    at com android internal os ZygoteInit MethodAndArgsCaller run(ZygoteInit java:726)
    at com android internal os ZygoteInit main(ZygoteInit java:616)
             DEVICE INFORMATION            
Brand: oneplus
Device: A0001
Model: A0001
Id: MHC19Q
Product: bacon
             FIRMWARE             
SDK: 23
Release: 6 0 1
Incremental: ced5430fc0
</t>
  </si>
  <si>
    <t>nextcloud-android-88</t>
  </si>
  <si>
    <t>Fix settings</t>
  </si>
  <si>
    <t xml:space="preserve">ManageSpaceActivty must be named explicitly  otherwise settings is crashing
</t>
  </si>
  <si>
    <t>jroal-a2dpvolume-216</t>
  </si>
  <si>
    <t>App crashes if permissions are not granted in Marshmallow</t>
  </si>
  <si>
    <t xml:space="preserve">Marshmallow introduced changes to app permissions that allows users to deny each permissions in the app settings screen in Android   A2DP Volume does not handle this   It crashes if all permissions are not granted   Need to handle this much better   App should not crash but rather just not perform the functions that required the permissions that were not granted   I need to implement this: https:  developer android com training permissions requesting html    Looks like a nice way to deal with this but implement this will take some work   In the mean time  please make sure all permissions are granted   You can do this in Android settings    apps    A2DP Volume    permissions and enable them all 
</t>
  </si>
  <si>
    <t>cgeo-cgeo-5810</t>
  </si>
  <si>
    <t>Crash while opening certain cache</t>
  </si>
  <si>
    <t xml:space="preserve">      Detailed steps causing the problem:
From Facebook:
  Open GC6661W
      Actual behavior after performing these steps:
c:geo crashes reproducibly 
      Expected behavior after performing these steps:
Cache details should be opened
      Version of c:geo used:
2016 06 09 (and current master)
      Is the problem reproducible for you 
Yes
      Other comments and remarks:
23:20:10 071 Debug cgeo 18728   network 8  GeokretyConnector searchTrackables: wpt GC6661W
23:20:10 072 Debug cgeo 18728   OkHttp  GET https:  www geocaching com seek cache details aspx decrypt y wp GC6661W log y numlogs 0
23:20:10 072 Debug cgeo 18728   main  LocationProvider: requesting most precise locations
23:20:10 291 Debug cgeo 18728   OkHttp  GET https:  api geokretymap org export2 php wpt GC6661W
23:20:10 403 Debug cgeo 18728   OkHttp  301  Moved Permanently  (281 ms) GET https:  www geocaching com seek cache details aspx decrypt y wp GC6661W log y numlogs 0 (http 1 1)
23:20:10 403 Debug cgeo 18728   OkHttp  GET https:  www geocaching com geocache GC6661W kohikohi paru decrypt y log y numlogs 0
23:20:10 404 Debug cgeo 18728   OkHttp  302  Moved Temporarily  (141 ms) GET https:  api geokretymap org export2 php wpt GC6661W (http 1 1)
23:20:10 509 Debug cgeo 18728   OkHttp  GET http:  api gkm kumy org export2 php wpt GC6661W
23:20:10 617 Debug cgeo 18728   OkHttp  200 (40 ms) GET http:  api gkm kumy org export2 php wpt GC6661W (http 1 1)
23:20:10 838 Debug cgeo 18728   OkHttp  200 (465 ms) GET https:  www geocaching com geocache GC6661W kohikohi paru decrypt y log y numlogs 0 (http 1 1)
23:20:12 255 Error cgeo 18728   network 7  UncaughtException
23:20:12 255 Error cgeo 18728  java lang IllegalStateException: Fatal Exception thrown on Scheduler Worker thread 
23:20:12 255 Error cgeo 18728   at rx internal schedulers ScheduledAction run(ScheduledAction java:62)
23:20:12 255 Error cgeo 18728   at rx internal schedulers ExecutorScheduler ExecutorSchedulerWorker run(ExecutorScheduler java:108)
23:20:12 255 Error cgeo 18728   at java util concurrent ThreadPoolExecutor runWorker(ThreadPoolExecutor java:1112)
23:20:12 255 Error cgeo 18728   at java util concurrent ThreadPoolExecutor Worker run(ThreadPoolExecutor java:587)
23:20:12 255 Error cgeo 18728   at java lang Thread run(Thread java:818)
23:20:12 255 Error cgeo 18728  Caused by: java lang IllegalArgumentException: Invalid   sequence at 1: z u00e4nkisches Bergvolk amp sortdir desc amp sort placed
23:20:12 256 Error cgeo 18728   at libcore net UriCodec decode(UriCodec java:169)
23:20:12 256 Error cgeo 18728   at java net URLDecoder decode(URLDecoder java:60)
23:20:12 256 Error cgeo 18728   at cgeo geocaching network Network decode(Network java:479)
23:20:12 256 Error cgeo 18728   at cgeo geocaching connector gc GCParser parseCacheFromText(GCParser java:479)
23:20:12 256 Error cgeo 18728   at cgeo geocaching connector gc GCParser parseCache(GCParser java:372)
23:20:12 256 Error cgeo 18728   at cgeo geocaching connector gc GCConnector searchByGeocode(GCConnector java:187)
23:20:12 256 Error cgeo 18728   at cgeo geocaching models Geocache searchByGeocode(Geocache java:1739)
23:20:12 256 Error cgeo 18728   at cgeo geocaching CacheDetailActivity 2 call(CacheDetailActivity java:331)
23:20:12 256 Error cgeo 18728   at rx internal schedulers ScheduledAction run(ScheduledAction java:55)
23:20:12 256 Error cgeo 18728       4 more
23:20:12 256 Error cgeo 18728   network 7  UncaughtException
23:20:12 256 Error cgeo 18728  java lang IllegalStateException: Fatal Exception thrown on Scheduler Worker thread 
23:20:12 256 Error cgeo 18728   at rx internal schedulers ScheduledAction run(ScheduledAction java:62)
23:20:12 257 Error cgeo 18728   at rx internal schedulers ExecutorScheduler ExecutorSchedulerWorker run(ExecutorScheduler java:108)
23:20:12 257 Error cgeo 18728   at java util concurrent ThreadPoolExecutor runWorker(ThreadPoolExecutor java:1112)
23:20:12 257 Error cgeo 18728   at java util concurrent ThreadPoolExecutor Worker run(ThreadPoolExecutor java:587)
23:20:12 257 Error cgeo 18728   at java lang Thread run(Thread java:818)
23:20:12 257 Error cgeo 18728  Caused by: java lang IllegalArgumentException: Invalid   sequence at 1: z u00e4nkisches Bergvolk amp sortdir desc amp sort placed
23:20:12 257 Error cgeo 18728   at libcore net UriCodec decode(UriCodec java:169)
23:20:12 257 Error cgeo 18728   at java net URLDecoder decode(URLDecoder java:60)
23:20:12 257 Error cgeo 18728   at cgeo geocaching network Network decode(Network java:479)
23:20:12 257 Error cgeo 18728   at cgeo geocaching connector gc GCParser parseCacheFromText(GCParser java:479)
23:20:12 257 Error cgeo 18728   at cgeo geocaching connector gc GCParser parseCache(GCParser java:372)
23:20:12 257 Error cgeo 18728   at cgeo geocaching connector gc GCConnector searchByGeocode(GCConnector java:187)
23:20:12 257 Error cgeo 18728   at cgeo geocaching models Geocache searchByGeocode(Geocache java:1739)
23:20:12 257 Error cgeo 18728   at cgeo geocaching CacheDetailActivity 2 call(CacheDetailActivity java:331)
23:20:12 257 Error cgeo 18728   at rx internal schedulers ScheduledAction run(ScheduledAction java:55)
</t>
  </si>
  <si>
    <t>haiwen-seadroid-550</t>
  </si>
  <si>
    <t>Sadroid crashes on file upload</t>
  </si>
  <si>
    <t xml:space="preserve">Hello 
I am using seadroid 2 1 1 on Android 6 0 1 (CM13) and upon trying to upload a file via the android share dialogue to an encrypted library  seadroid crashes  This does not happen when I do the same to an unencrypted library nor does it happen when i try to upload a file directly via the app to an encrypted library 
Also my flatmate has the same problem  (Android 6 0 1 stock)
</t>
  </si>
  <si>
    <t>dimagi-commcare-android-1357</t>
  </si>
  <si>
    <t>Don't setup sandbox on app update</t>
  </si>
  <si>
    <t xml:space="preserve">Remove unnecessary sandbox setup in app update task code  Hoping to prevent the following crash:
Totally Unexpected Error during form submissionjava lang NullPointerException:
Attempt to invoke virtual method  org commcare android database global models ApplicationRecord
org commcare dalvik application CommCareApp getAppRecord()  on a null object reference at
org commcare dalvik odk provider ProviderUtils getSandboxedAppId(ProviderUtils java:42) at
org commcare dalvik odk provider InstanceProvider init(InstanceProvider java:108) at
org commcare dalvik odk provider InstanceProvider query(InstanceProvider java:118) at
android content ContentProvider query(ContentProvider java:984) at
android content ContentProvider Transport query(ContentProvider java:213) at
android content ContentResolver query(ContentResolver java:478) at
android content ContentResolver query(ContentResolver java:422) at
org commcare android database user models FormRecord getPath(FormRecord java:177) at
org commcare android tasks ProcessAndSendTask sendForms(ProcessAndSendTask java:255) at
org commcare android tasks ProcessAndSendTask doTaskBackground(ProcessAndSendTask java:132) at
org commcare android tasks ProcessAndSendTask doTaskBackground(ProcessAndSendTask java:35) at
org commcare android tasks templates CommCareTask doInBackground(CommCareTask java:35) at
android os AsyncTask 2 call(AsyncTask java:288) at
java util concurrent FutureTask run(FutureTask java:237) at
java util concurrent ThreadPoolExecutor runWorker(ThreadPoolExecutor java:1112)
</t>
  </si>
  <si>
    <t>mridul-gupta-RetailerJunction-1</t>
  </si>
  <si>
    <t xml:space="preserve">Retail junction crashed </t>
  </si>
  <si>
    <t xml:space="preserve">Retail junction crashed on tapping back when the app download process is just going to start 
Steps:
1  Install the retail junction app 
2  Download the apps from server and simultaneously tap back when the downloading process is just going to start  
</t>
  </si>
  <si>
    <t>Z3r0byte-Magis-18</t>
  </si>
  <si>
    <t>Unresponsive interface</t>
  </si>
  <si>
    <t xml:space="preserve">As of version 0 6 0 the app becomes completely unresponsive and ends up crashing the device  
It looks like a severe memory leak 
  HTC One M8
  Android 6 0
</t>
  </si>
  <si>
    <t>devadvance-rootcloak-61</t>
  </si>
  <si>
    <t>SAP SuccessFactors</t>
  </si>
  <si>
    <t xml:space="preserve">https:  play google com store apps details id com successfactors android
The app crashes on boot after being entered into rootcloak 
</t>
  </si>
  <si>
    <t>rapidpro-surveyor-9</t>
  </si>
  <si>
    <t>Incomplete submissions fail to submit</t>
  </si>
  <si>
    <t xml:space="preserve">When users fail to acquire location and cause a crash the resulting incomplete submissions fail to post and hang around forever 
</t>
  </si>
  <si>
    <t>rapidpro-surveyor-8</t>
  </si>
  <si>
    <t>Google API Client causes crash</t>
  </si>
  <si>
    <t xml:space="preserve">Failure to connection GoogleApiClient causes crash  This is for location fetching flows on only a handful of devices   accounts
Stack trace:
  java lang IllegalStateException: GoogleApiClient is not connected yet 
  E AndroidRuntime(23481):    at android app ActivityThread performPauseActivity(ActivityThread java:3345)
  E AndroidRuntime(23481):    at android app ActivityThread performPauseActivity(ActivityThread java:3292)
  E AndroidRuntime(23481):    at android app ActivityThread handlePauseActivity(ActivityThread java:3267)
  E AndroidRuntime(23481):    at android app ActivityThread access 1000(ActivityThread java:155)
  E AndroidRuntime(23481):    at android app ActivityThread H handleMessage(ActivityThread java:1328)
  E AndroidRuntime(23481):    at android os Handler dispatchMessage(Handler java:102)
  E AndroidRuntime(23481):    at android os Looper loop(Looper java:135)
  E AndroidRuntime(23481):    at android app ActivityThread main(ActivityThread java:5343)
  E AndroidRuntime(23481):    at java lang reflect Method invoke(Native Method)
  E AndroidRuntime(23481):    at java lang reflect Method invoke(Method java:372)
  E AndroidRuntime(23481):    at com android internal os ZygoteInit MethodAndArgsCaller run(ZygoteInit java:905)
  E AndroidRuntime(23481):    at com android internal os ZygoteInit main(ZygoteInit java:700)
  E AndroidRuntime(23481): Caused by: java lang IllegalStateException: GoogleApiClient is not connected yet 
  E AndroidRuntime(23481):    at com google android gms internal zzoe zzd(Unknown Source)
  E AndroidRuntime(23481):    at com google android gms internal zzoh zzd(Unknown Source)
  E AndroidRuntime(23481):    at com google android gms internal zzof zzd(Unknown Source)
  E AndroidRuntime(23481):    at com google android gms location internal zzd removeLocationUpdates(Unknown Source)
  E AndroidRuntime(23481):    at io rapidpro surveyor activity FlowRunActivity stopLocationUpdates(FlowRunActivity java:531)
  E AndroidRuntime(23481):    at io rapidpro surveyor activity FlowRunActivity onPause(FlowRunActivity java:271)
  E AndroidRuntime(23481):    at android app Activity performPause(Activity java:6121)
  E AndroidRuntime(23481):    at android app Instrumentation callActivityOnPause(Instrumentation java:1333)
  E AndroidRuntime(23481):    at android app ActivityThread performPauseActivity(ActivityThread java:3325)
</t>
  </si>
  <si>
    <t>dimagi-commcare-android-1359</t>
  </si>
  <si>
    <t>XspeedPL-XSharedLibrary-1</t>
  </si>
  <si>
    <t>Improper reference to API 23 in a common method causes crash on API &lt; 23</t>
  </si>
  <si>
    <t xml:space="preserve">XSharedLibrary src xeed library view TextSeekBar java has the following:
    java
     TargetApi(23)
     SuppressWarnings( deprecation )
    public final void setTextAppearance(final int resId)
        if (Build VERSION SDK INT   22) mAttrs setTextAppearance(resId) 
        else mAttrs setTextAppearance(getContext()  resId) 
        mPaint setColor(mAttrs getCurrentTextColor()) 
        mPaint setTextSize(mAttrs getTextSize()) 
        mPaint setTypeface(mAttrs getTypeface()) 
This method is intended to provide backwards compatibility with API   23 (6 0 Marshmallow) but does it incorrectly  As written  for instance  when trying to edit an entry in Physical Button Music Control  there is an instant crash which begins with:
07 05 12:05:38 138 14620 14620 I dalvikvm: Could not find method android widget TextView setTextAppearance  referenced from method xeed library view TextSeekBar setTextAppearance
07 05 12:05:38 138 14620 14620 W dalvikvm: VFY: unable to resolve virtual method 8333: Landroid widget TextView  setTextAppearance (I)V
07 05 12:05:38 138 14620 14620 D dalvikvm: VFY: replacing opcode 0x6e at 0x0008
07 05 12:05:38 138 14620 14620 E InputEventReceiver: Exception dispatching input event 
07 05 12:05:38 138 14620 14620 E MessageQueue JNI: Exception in MessageQueue callback: handleReceiveCallback
07 05 12:05:38 158 14620 14620 E MessageQueue JNI: android view InflateException: Binary XML file line  113: Error inflating class xeed library view TextSeekBar
07 05 12:05:38 158 14620 14620 E MessageQueue JNI:  at android view LayoutInflater createView(LayoutInflater java:613)
This happens because the API 23 new method  TextView setTextAppearance(int)  is called right there  and the class loader is trying to link to that when TextSeekBar setTextAppearance(int) executes  This fails because older devices don t have that method
The correct way to provide this compatibility is a set of two methods  one for the basic functionality  and one as a trampoline to the newer API method  To do this:
  remove the   TargetApi(23)  from  setTextAppearance(int) 
  create a new  private method which calls  mAttrs setTextAppearance(resId)   and is set to   TargetApi(23) 
  replace the call in the  if  statement to a call to this method 
This removes the link time dependency and allows the class to link properly on pre 6 0 devices  For example:
    java
     SuppressWarnings( deprecation )
    public final void setTextAppearance(final int resId)
        if (Build VERSION SDK INT   22) setTextAppearanceMM(resId) 
        else mAttrs setTextAppearance(getContext()  resId) 
        mPaint setColor(mAttrs getCurrentTextColor()) 
        mPaint setTextSize(mAttrs getTextSize()) 
        mPaint setTypeface(mAttrs getTypeface()) 
     TargetApi(23)
    private void setTextAppearanceMM(final int resId)
        mAttrs setTextAppearance(resId) 
</t>
  </si>
  <si>
    <t>dimagi-commcare-android-1358</t>
  </si>
  <si>
    <t>Test coverage for ManageKeyRecordTask</t>
  </si>
  <si>
    <t xml:space="preserve">Addresses the following crash that happens when a user key record expires on HQ and HQ sends down a new one 
Unexpected error while migrating database: android database SQLException: Failed to insert row into content:  org commcare android provider odk instances instances at
org commcare provider InstanceProvider insert(InstanceProvider java:222) at
android content ContentProvider Transport insert(ContentProvider java:220) at
android content ContentResolver insert(ContentResolver java:1190) at
org commcare models database user UserSandboxUtils migrateData(UserSandboxUtils java:147) at
org commcare tasks ManageKeyRecordTask lookForAndMigrateOldSandbox(ManageKeyRecordTask java:556) at
org commcare tasks ManageKeyRecordTask doPostCalloutTask(ManageKeyRecordTask java:445) at
org commcare network HttpCalloutTask doTaskBackground(HttpCalloutTask java:107) at
org commcare network HttpCalloutTask doTaskBackground(HttpCalloutTask java:29) at
org commcare tasks templates CommCareTask doInBackground(CommCareTask java:37) at
android os AsyncTask 2 call(AsyncTask java:288) at
java util concurrent FutureTask run(FutureTask java:237) at
android os AsyncTask SerialExecutor 1 run(AsyncTask java:231) at
java util concurrent ThreadPoolExecutor runWorker(ThreadPoolExecutor java:1112) at
java util concurrent ThreadPoolExecutor Worker run(ThreadPoolExecutor java:587) at
java lang Thread run(Thread java:841)
</t>
  </si>
  <si>
    <t>arimorty-floatingsearchview-87</t>
  </si>
  <si>
    <t>Edittext longClickable setSpan crash</t>
  </si>
  <si>
    <t xml:space="preserve">On Samsung devices when the edittext contains a character with accents like (    etc) when the user performs a longClick on it the app crashes with an IndexOutOfBoundsException setSpan () ends beyond length 0  http:  crashes to s 84f0064bf89
I ve just forked and added longClickable  false  to the floatingsearhview edittext and it doesn t crash anymore 
Here is the PR https:  github com arimorty floatingsearchview pull 86
</t>
  </si>
  <si>
    <t>moneymanagerex-android-money-manager-ex-856</t>
  </si>
  <si>
    <t>Unhandled Exception when no network present</t>
  </si>
  <si>
    <t xml:space="preserve">              FEEDBACK             
Mmex beta crashes if network is not available 
              APP DETAILS             
Version: 2016 07 05 beta
Build: 847
              FIRMWARE             
SDK: 21
Release: 5 0 2
Incremental: C109B170
              CAUSE OF ERROR             
java lang RuntimeException: ServiceCode Error in function selfTest at 26
    at com cloudrail si servicecode Interpreter run(Interpreter java:108)
    at com cloudrail si servicecode Interpreter callFunction(Interpreter java:42)
    at com cloudrail si servicecode InitSelfTest execute(InitSelfTest java:135)
    at com cloudrail si servicecode InitSelfTest initTest(InitSelfTest java:28)
    at com cloudrail si services GoogleDrive 2 run(GoogleDrive java:882)
Caused by: java net UnknownHostException: Unable to resolve host  stat si cloudrail com : No address associated with hostname
    at java net InetAddress lookupHostByName(InetAddress java:427)
    at java net InetAddress getAllByNameImpl(InetAddress java:252)
    at java net InetAddress getAllByName(InetAddress java:215)
    at com android okhttp HostResolver 1 getAllByName(HostResolver java:29)
    at com android okhttp internal http RouteSelector resetNextInetSocketAddress(RouteSelector java:232)
    at com android okhttp internal http RouteSelector next(RouteSelector java:124)
    at com android okhttp internal http HttpEngine connect(HttpEngine java:272)
    at com android okhttp internal http HttpEngine sendRequest(HttpEngine java:211)
    at com android okhttp internal http HttpURLConnectionImpl execute(HttpURLConnectionImpl java:373)
    at com android okhttp internal http HttpURLConnectionImpl getResponse(HttpURLConnectionImpl java:323)
    at com android okhttp internal http HttpURLConnectionImpl getHeaderFields(HttpURLConnectionImpl java:169)
    at com android okhttp internal http DelegatingHttpsURLConnection getHeaderFields(DelegatingHttpsURLConnection java:178)
    at com android okhttp internal http HttpsURLConnectionImpl getHeaderFields(HttpsURLConnectionImpl java:25)
    at com cloudrail si servicecode commands http RequestCall execute(RequestCall java:112)
    at com cloudrail si servicecode Interpreter run(Interpreter java:84)
        4 more
</t>
  </si>
  <si>
    <t>OneBusAway-onebusaway-android-582</t>
  </si>
  <si>
    <t>GPS left on after exiting app</t>
  </si>
  <si>
    <t xml:space="preserve">  Summary:   
Reported by user via email for v2 0 14:
    Today the app used 9 hours of my gps  It hasn t done this before  Ill see if I can get a repro scenario  but for now just wanted to bring the issue up    I did not see any crashing or anything else that was unusual  before this happened  
Reported by another user as well:
    Had to remove app  Makes phone run hot and eat batteries   
  Steps to reproduce:   
Unknown
  Expected behavior:   
Stop using GPS as soon as you leave the app
  Observed behavior:   
GPS was left on for 9 hours
  Device and Android version:   
1st user:
App Version: 2 0 14
Model: VS987
OS Version: 6 0 1   23
Region API: Puget Sound (selected manually)
Loc: fused
2nd user:
App Version: 2 0 14
Model: SGH T769
OS Version: 4 0 4   15
Region API: Washington  D C  (selected automatically)
Loc: network
  Screenshot:  
1st user:
  image (https:  cloud githubusercontent com assets 928045 16631468 46e76d88 438d 11e6 9ff5 b8128d0f0495 png)
</t>
  </si>
  <si>
    <t>OneBusAway-onebusaway-android-581</t>
  </si>
  <si>
    <t>IllegalStateException - Map size can't be 0</t>
  </si>
  <si>
    <t xml:space="preserve">  Summary:   
From Android Developer Console for v2 0 14:
java lang IllegalStateException: Error using newLatLngBounds(LatLngBounds  int): Map size can t be 0  Most likely  layout has not yet occured for the map view   Either wait until layout has occurred or use newLatLngBounds(LatLngBounds  int  int  int) which allows you to specify the map s dimensions 
    at maps f g b(Unknown Source)
    at maps E a a(Unknown Source)
    at maps af k 2 a(Unknown Source)
    at maps E a a(Unknown Source)
    at maps af t b(Unknown Source)
    at vl onTransact(:com google android gms DynamiteModulesB:92)
    at android os Binder transact(Binder java:380)
    at com google android gms maps internal IGoogleMapDelegate zza zza animateCamera(Unknown Source)
    at com google android gms maps GoogleMap animateCamera(Unknown Source)
    at org onebusaway android map googlemapsv2 BaseMapFragment zoomToRegion(BaseMapFragment java:606)
    at org onebusaway android map googlemapsv2 BaseMapFragment MapDialogFragment 2 onClick(BaseMapFragment java:960)
    at android support v7 app AlertController ButtonHandler handleMessage(AlertController java:153)
    at android os Handler dispatchMessage(Handler java:102)
    at android os Looper loop(Looper java:135)
    at android app ActivityThread main(ActivityThread java:5343)
    at java lang reflect Method invoke(Native Method)
    at java lang reflect Method invoke(Method java:372)
    at com android internal os ZygoteInit MethodAndArgsCaller run(ZygoteInit java:905)
    at com android internal os ZygoteInit main(ZygoteInit java:700)
  Steps to reproduce:   
Unknown
  Expected behavior:   
Not crash
  Observed behavior:   
Crash
  Device and Android version:   
Moto X (1st Gen) (ghost)
Manufacturer Motorola 
Android version Android 4 2 
RAM (MB) 2048 
Screen size 720   1280 
Screen density (dpi) 320 
OpenGL ES version 2 0 
Native platform armeabi v7a 
CPU make Qualcomm 
CPU model MSM8960
</t>
  </si>
  <si>
    <t>OneBusAway-onebusaway-android-580</t>
  </si>
  <si>
    <t>NPE in SlidingUpPanelLayout$SavedState.writeToParcel()</t>
  </si>
  <si>
    <t xml:space="preserve">  Summary:   
From Android Developer Console for v2 0 14:
java lang NullPointerException
    at com sothree slidinguppanel SlidingUpPanelLayout SavedState writeToParcel(SlidingUpPanelLayout java:1491)
    at android os Parcel writeParcelable(Parcel java:1254)
    at android os Parcel writeValue(Parcel java:1173)
    at android os Parcel writeSparseArray(Parcel java:662)
    at android os Parcel writeValue(Parcel java:1198)
    at android os Parcel writeMapInternal(Parcel java:591)
    at android os Bundle writeToParcel(Bundle java:1619)
    at android os Parcel writeBundle(Parcel java:605)
    at android os Parcel writeValue(Parcel java:1170)
    at android os Parcel writeMapInternal(Parcel java:591)
    at android os Bundle writeToParcel(Bundle java:1619)
    at android os Parcel writeBundle(Parcel java:605)
    at android app ActivityManagerProxy activityStopped(ActivityManagerNative java:2213)
    at android app ActivityThread StopInfo run(ActivityThread java:2877)
    at android os Handler handleCallback(Handler java:615)
    at android os Handler dispatchMessage(Handler java:92)
    at android os Looper loop(Looper java:137)
    at android app ActivityThread main(ActivityThread java:4777)
    at java lang reflect Method invokeNative(Native Method)
    at java lang reflect Method invoke(Method java:511)
    at com android internal os ZygoteInit MethodAndArgsCaller run(ZygoteInit java:998)
    at com android internal os ZygoteInit main(ZygoteInit java:765)
    at dalvik system NativeStart main(Native Method)
Looks like this is an issue in the SlidingUpPanel library 
  Steps to reproduce:   
Unknown
  Expected behavior:   
Not crash
  Observed behavior:   
Crash
  Device and Android version:   
Device
Galaxy Prevail2 (raybst)
Manufacturer Samsung 
Android version Android 4 1 
RAM (MB) 1024 
Screen size 480   800 
Screen density (dpi) 240 
OpenGL ES version 2 0 
Native platform armeabi v7a 
CPU make Qualcomm 
CPU model MSM8655
</t>
  </si>
  <si>
    <t>dimagi-commcare-android-1364</t>
  </si>
  <si>
    <t>Add migration stragety to InstanceProvider.insert</t>
  </si>
  <si>
    <t xml:space="preserve">2 28 version of https:  github com dimagi commcare android pull 1358 with minimal changes and no tests (since they require more changes  even though all those changes are to test files   )
Should be viewed with  w 1
Addresses the following crash that happens when a user key record expires on HQ and HQ sends down a new one 
The underlying issue was that a while ago I moved a bunch of instance save logic into the  InstanceProvider  where it should be  but didn t realize that instances were migrated in a very specific way when key records expired  Hence  the instance migration code was handling all its form record upkeep  but the instance insert code was also trying to manage form records by linking it to the session s form record (which in this case doesn t exist) 
Unexpected error while migrating database: android database SQLException: Failed to insert row into content:  org commcare android provider odk instances instances at
org commcare provider InstanceProvider insert(InstanceProvider java:222) at
android content ContentProvider Transport insert(ContentProvider java:220) at
android content ContentResolver insert(ContentResolver java:1190) at
org commcare models database user UserSandboxUtils migrateData(UserSandboxUtils java:147) at
org commcare tasks ManageKeyRecordTask lookForAndMigrateOldSandbox(ManageKeyRecordTask java:556) at
org commcare tasks ManageKeyRecordTask doPostCalloutTask(ManageKeyRecordTask java:445) at
org commcare network HttpCalloutTask doTaskBackground(HttpCalloutTask java:107) at
org commcare network HttpCalloutTask doTaskBackground(HttpCalloutTask java:29) at
org commcare tasks templates CommCareTask doInBackground(CommCareTask java:37) at
android os AsyncTask 2 call(AsyncTask java:288) at
java util concurrent FutureTask run(FutureTask java:237) at
android os AsyncTask SerialExecutor 1 run(AsyncTask java:231) at
java util concurrent ThreadPoolExecutor runWorker(ThreadPoolExecutor java:1112) at
java util concurrent ThreadPoolExecutor Worker run(ThreadPoolExecutor java:587) at
java lang Thread run(Thread java:841)
</t>
  </si>
  <si>
    <t>BrimeNotes-android-23</t>
  </si>
  <si>
    <t>App crash when onSignupSuccess is called</t>
  </si>
  <si>
    <t xml:space="preserve">Suraj  your onSignupSuccess function crashes the app  fix it 
</t>
  </si>
  <si>
    <t>k9mail-k-9-1494</t>
  </si>
  <si>
    <t>Crash when deleting all messages in threaded view</t>
  </si>
  <si>
    <t xml:space="preserve">    Expected behavior
K9 mail should not crash when deleting all messages in a thread 
    Actual behavior
K9 mail crashes when deleting all messages in a thread  If you delete all but one and then the last one then it goes fine 
    Steps to reproduce
1  Enable threaded view
2  Enter a thread with a bunch (10 or so) of messages
3  Select all messages and delete them
    Environment
K 9 Mail version:5 010
Android version:
6 0 1
Account type (IMAP  POP3  WebDAV Exchange):
IMAP (dovecot)
    Logcat
07 08 21:38:56 122 10519 10519 E AndroidRuntime: java lang IllegalStateException: attempt to re open an already closed object: SQLiteQuery: SELECT m id AS id uid internal date subject date sender list to list cc list read flagged answered forwarded attachment count folder id preview root name FROM threads t JOIN messages m ON (m id   t message id) LEFT JOIN folders f ON (m folder id   f id) WHERE root     AND deleted   0 AND (empty IS NULL OR empty    1) ORDER BY read ASC  date DESC  m id DESC
07 08 21:38:56 122 10519 10519 E AndroidRuntime:    at android database sqlite SQLiteClosable acquireReference(SQLiteClosable java:55)
07 08 21:38:56 122 10519 10519 E AndroidRuntime:    at android database sqlite SQLiteQuery fillWindow(SQLiteQuery java:58)
07 08 21:38:56 122 10519 10519 E AndroidRuntime:    at android database sqlite SQLiteCursor fillWindow(SQLiteCursor java:151)
07 08 21:38:56 122 10519 10519 E AndroidRuntime:    at android database sqlite SQLiteCursor onMove(SQLiteCursor java:123)
07 08 21:38:56 122 10519 10519 E AndroidRuntime:    at android database AbstractCursor moveToPosition(AbstractCursor java:236)
07 08 21:38:56 122 10519 10519 E AndroidRuntime:    at android database CursorWrapper moveToPosition(CursorWrapper java:197)
07 08 21:38:56 122 10519 10519 E AndroidRuntime:    at android database CursorWrapper moveToPosition(CursorWrapper java:197)
07 08 21:38:56 122 10519 10519 E AndroidRuntime:    at android database CursorWrapper moveToPosition(CursorWrapper java:197)
07 08 21:38:56 122 10519 10519 E AndroidRuntime:    at com fsck k9 cache EmailProviderCacheCursor moveToPosition(EmailProviderCacheCursor java:112)
07 08 21:38:56 122 10519 10519 E AndroidRuntime:    at android database CursorWrapper moveToPosition(CursorWrapper java:197)
07 08 21:38:56 122 10519 10519 E AndroidRuntime:    at android widget CursorAdapter getItemId(CursorAdapter java:258)
07 08 21:38:56 122 10519 10519 E AndroidRuntime:    at android widget HeaderViewListAdapter getItemId(HeaderViewListAdapter java:194)
07 08 21:38:56 122 10519 10519 E AndroidRuntime:    at android widget AbsListView RecycleBin retrieveFromScrap(AbsListView java:6868)
07 08 21:38:56 122 10519 10519 E AndroidRuntime:    at android widget AbsListView RecycleBin getScrapView(AbsListView java:6598)
07 08 21:38:56 122 10519 10519 E AndroidRuntime:    at android widget AbsListView obtainView(AbsListView java:2345)
07 08 21:38:56 122 10519 10519 E AndroidRuntime:    at android widget ListView makeAndAddView(ListView java:1876)
07 08 21:38:56 122 10519 10519 E AndroidRuntime:    at android widget ListView fillDown(ListView java:702)
07 08 21:38:56 122 10519 10519 E AndroidRuntime:    at android widget ListView fillSpecific(ListView java:1367)
07 08 21:38:56 122 10519 10519 E AndroidRuntime:    at android widget ListView layoutChildren(ListView java:1663)
07 08 21:38:56 122 10519 10519 E AndroidRuntime:    at android widget AbsListView onLayout(AbsListView java:2148)
07 08 21:38:56 122 10519 10519 E AndroidRuntime:    at android view View layout(View java:16722)
07 08 21:38:56 122 10519 10519 E AndroidRuntime:    at android view ViewGroup layout(ViewGroup java:5438)
07 08 21:38:56 122 10519 10519 E AndroidRuntime:    at android widget FrameLayout layoutChildren(FrameLayout java:336)
07 08 21:38:56 122 10519 10519 E AndroidRuntime:    at android widget FrameLayout onLayout(FrameLayout java:273)
07 08 21:38:56 122 10519 10519 E AndroidRuntime:    at android view View layout(View java:16722)
07 08 21:38:56 122 10519 10519 E AndroidRuntime:    at android view ViewGroup layout(ViewGroup java:5438)
07 08 21:38:56 122 10519 10519 E AndroidRuntime:    at android widget LinearLayout setChildFrame(LinearLayout java:1743)
07 08 21:38:56 122 10519 10519 E AndroidRuntime:    at android widget LinearLayout layoutVertical(LinearLayout java:1586)
07 08 21:38:56 122 10519 10519 E AndroidRuntime:    at android widget LinearLayout onLayout(LinearLayout java:1495)
07 08 21:38:56 122 10519 10519 E AndroidRuntime:    at android view View layout(View java:16722)
07 08 21:38:56 122 10519 10519 E AndroidRuntime:    at android view ViewGroup layout(ViewGroup java:5438)
07 08 21:38:56 122 10519 10519 E AndroidRuntime:    at android widget FrameLayout layoutChildren(FrameLayout java:336)
07 08 21:38:56 122 10519 10519 E AndroidRuntime:    at android widget FrameLayout onLayout(FrameLayout java:273)
07 08 21:38:56 122 10519 10519 E AndroidRuntime:    at android view View layout(View java:16722)
07 08 21:38:56 122 10519 10519 E AndroidRuntime:    at android view ViewGroup layout(ViewGroup java:5438)
07 08 21:38:56 122 10519 10519 E AndroidRuntime:    at android widget FrameLayout layoutChildren(FrameLayout java:336)
07 08 21:38:56 122 10519 10519 E AndroidRuntime:    at android widget FrameLayout onLayout(FrameLayout java:273)
07 08 21:38:56 122 10519 10519 E AndroidRuntime:    at android view View layout(View java:16722)
07 08 21:38:56 122 10519 10519 E AndroidRuntime:    at android view ViewGroup layout(ViewGroup java:5438)
07 08 21:38:56 122 10519 10519 E AndroidRuntime:    at android widget FrameLayout layoutChildren(FrameLayout java:336)
07 08 21:38:56 122 10519 10519 E AndroidRuntime:    at android widget FrameLayout onLayout(FrameLayout java:273)
07 08 21:38:56 122 10519 10519 E AndroidRuntime:    at android view View layout(View java:16722)
07 08 21:38:56 122 10519 10519 E AndroidRuntime:    at android view ViewGroup layout(ViewGroup java:5438)
07 08 21:38:56 122 10519 10519 E AndroidRuntime:    at com android internal widget ActionBarOverlayLayout onLayout(ActionBarOverlayLayout java:493)
07 08 21:38:56 122 10519 10519 E AndroidRuntime:    at android view View layout(View java:16722)
07 08 21:38:56 122 10519 10519 E AndroidRuntime:    at android view ViewGroup layout(ViewGroup java:5438)
07 08 21:38:56 122 10519 10519 E AndroidRuntime:    at android widget FrameLayout layoutChildren(FrameLayout java:336)
07 08 21:38:56 122 10519 10519 E AndroidRuntime:    at android widget FrameLayout onLayout(FrameLayout java:273)
07 08 21:38:56 122 10519 10519 E AndroidRuntime:    at com android internal policy PhoneWindow DecorView onLayout(PhoneWindow java:2685)
07 08 21:38:56 122 10519 10519 E AndroidRuntime:    at android view View layout(View java:16722)
07 08 21:38:56 122 10519 10519 E AndroidRuntime:    at android view ViewGroup layout(ViewGroup java:5438)
07 08 21:38:56 122 10519 10519 E AndroidRuntime:    at android view ViewRootImpl performLayout(ViewRootImpl java:2175)
07 08 21:38:56 122 10519 10519 E AndroidRuntime:    at android view ViewRootImpl performTraversals(ViewRootImpl java:1935)
07 08 21:38:56 122 10519 10519 E AndroidRuntime:    at android view ViewRootImpl doTraversal(ViewRootImpl java:1111)
07 08 21:38:56 122 10519 10519 E AndroidRuntime:    at android view ViewRootImpl TraversalRunnable 
</t>
  </si>
  <si>
    <t>translation-cards-translation-cards-239</t>
  </si>
  <si>
    <t>Destination Languages stored incorrectly</t>
  </si>
  <si>
    <t xml:space="preserve">Destination languages after the first one are stored with an extra space  This causes calls to LanguageService getTitleCase(   ) to fail  as the split results in       Afrikaans    which causes the subsequent substring call to fail  
  Steps to reproduce:  
1  Create a deck with multiple destination languages
2  Click that deck
3  Create a new card
4  Reach the Record Audio Screen
   app crashes
  screen shot 2016 07 07 at 10 03 42 pm (https:  cloud githubusercontent com assets 838585 16676317 bdf7bf52 448e 11e6 9a43 e317635f4bef png)
</t>
  </si>
  <si>
    <t>EyeSeeTea-malariapp-1112</t>
  </si>
  <si>
    <t>the progressactivity still listening SyncProgressStatus after pull</t>
  </si>
  <si>
    <t xml:space="preserve">the first pull is not closing the progressactivity  propertly(or something similar)  And the first push crashes 
The progressactivity still listening a next step in  Subscribe onProgressChange method  and it shouldn t 
I introduce temporal fix in  1110
</t>
  </si>
  <si>
    <t>openbmap-radiocells-nlp-android-25</t>
  </si>
  <si>
    <t>openbmap is very crashy</t>
  </si>
  <si>
    <t xml:space="preserve">Every time my phone starts  I get a dialogue telling me it has crashed  Also again at other points when I am using the phone 
I used alogcat to check logs and get errors about no database 
So  I go to settings to download nz database  The icon for downloading files appears in the top left corner  but nothing happens  I can download the file from my web browser OK  but not from within openbmap settings  I have tried killing and restarting the download  but the same thing happens  no progress 
The download folder exists on my phone and there is enough space to store it 
This is on Replicant 4 2  downloaded via f droid 
Cheers
</t>
  </si>
  <si>
    <t>cgeo-cgeo-5818</t>
  </si>
  <si>
    <t>Crash when opening Live map when offline</t>
  </si>
  <si>
    <t xml:space="preserve">      Detailed steps causing the problem:
  Disable Internet connections
  open c:geo
  Click Live Map
      Actual behavior after performing these steps:
App crashes
      Expected behavior after performing these steps:
App should open map with stored caches and saved map data
      Version of c:geo used:
2016 07 05 NB 4b95531
      Is the problem reproducible for you 
Yes
      System information:
Attach system information here if available (see c:geo menu    About c:geo    System)
    System information    
Device: D5803 (D5803  Sony)
Android version: 5 1 1
Android build: 23 4 A 1 232
Cgeo version: 2016 07 05 NB 4b95531
Google Play services: enabled
Low power mode: inactive
Compass capabilities: yes
Rotation vector sensor: present
Orientation sensor: present
Magnetometer   Accelerometer sensor: present
Direction sensor used: rotation vector
Hide own found: false
Map strategy: detailed
HW acceleration: enabled (default state)
System language: en US
Debug mode active: no
Geocaching sites enabled:
   geocaching com: Logged in (Login OK)   BASIC
   Geocaching su
Installed cgeo plugins: calendar  contacts
    End of system information    
      Other comments and remarks:
If click  disable live  in map settings when online  then it diesnt crash when following the use case above  So seems the root cause is connected with incorrect handling live when offline 
</t>
  </si>
  <si>
    <t>nextcloud-android-117</t>
  </si>
  <si>
    <t>Crash when last account is deleted</t>
  </si>
  <si>
    <t xml:space="preserve">    Actual behaviour
  App crashes when last account is removed
    Expected behaviour
  Account setup dialog should appear
    Steps to reproduce
1  Setup only account
2  Delete account
3  Press back
    Environment data
Android version:
Device model: 
Stock or customized system:
Nextcloud app version:
Nextcloud server version:
    Logs
     Web server error log
Insert your webserver log here
     Nextcloud log (data nextcloud log)
Insert your Nextcloud log here
PR:  132
</t>
  </si>
  <si>
    <t>redsolution-xabber-android-658</t>
  </si>
  <si>
    <t>Crash, possibly avatar/vCard related</t>
  </si>
  <si>
    <t xml:space="preserve">Hello 
I just installed Xabber Dev for the first time (from F Droid  version 1 0 74) and connected to my existing account  which works just fine with yaxim  Beem  ChatSecure  BitlBee  and Thunderbird 
Unfortunately  as soon as I connect  Xabber crashes  I think it s related to this backtrace I find in the logs:
07 10 13:39:32 448 24910 24910 D AndroidRuntime: Shutting down VM
07 10 13:39:32 448 24910 24910 E AndroidRuntime: FATAL EXCEPTION: main
07 10 13:39:32 448 24910 24910 E AndroidRuntime: Process: com xabber androiddev  PID: 24910
07 10 13:39:32 448 24910 24910 E AndroidRuntime: java lang IllegalArgumentException: bad base 64
07 10 13:39:32 448 24910 24910 E AndroidRuntime:    at android util Base64 decode(Base64 java:161)
07 10 13:39:32 448 24910 24910 E AndroidRuntime:    at android util Base64 decode(Base64 java:136)
07 10 13:39:32 448 24910 24910 E AndroidRuntime:    at android util Base64 decode(Base64 java:118)
07 10 13:39:32 448 24910 24910 E AndroidRuntime:    at org jivesoftware smack util stringencoder android AndroidBase64Encoder decode(AndroidBase64Encoder java:41)
07 10 13:39:32 448 24910 24910 E AndroidRuntime:    at org jivesoftware smack util stringencoder Base64 decode(Base64 java:86)
07 10 13:39:32 448 24910 24910 E AndroidRuntime:    at org jivesoftware smackx vcardtemp packet VCard getAvatar(VCard java:454)
07 10 13:39:32 448 24910 24910 E AndroidRuntime:    at org jivesoftware smackx vcardtemp packet VCard getAvatarHash(VCard java:506)
07 10 13:39:32 448 24910 24910 E AndroidRuntime:    at com xabber android data extension vcard VCardManager onVCardReceived(VCardManager java:201)
07 10 13:39:32 448 24910 24910 E AndroidRuntime:    at com xabber android data extension vcard VCardManager access 300(VCardManager java:62)
07 10 13:39:32 448 24910 24910 E AndroidRuntime:    at com xabber android data extension vcard VCardManager 4 1 run(VCardManager java:331)
07 10 13:39:32 448 24910 24910 E AndroidRuntime:    at android os Handler handleCallback(Handler java:739)
07 10 13:39:32 448 24910 24910 E AndroidRuntime:    at android os Handler dispatchMessage(Handler java:95)
07 10 13:39:32 448 24910 24910 E AndroidRuntime:    at android os Looper loop(Looper java:158)
07 10 13:39:32 448 24910 24910 E AndroidRuntime:    at android app ActivityThread main(ActivityThread java:7229)
07 10 13:39:32 448 24910 24910 E AndroidRuntime:    at java lang reflect Method invoke(Native Method)
07 10 13:39:32 448 24910 24910 E AndroidRuntime:    at com android internal os ZygoteInit MethodAndArgsCaller run(ZygoteInit java:1230)
07 10 13:39:32 448 24910 24910 E AndroidRuntime:    at com android internal os ZygoteInit main(ZygoteInit java:1120)
07 10 13:39:32 448 24910 24910 E AndroidRuntime:    at de robv android xposed XposedBridge main(XposedBridge java:133)
07 10 13:39:32 458 30311 31411 W VirtualScreenManagerService: moveTaskBackToDisplayIfNeeded(): The task has more than one activity
07 10 13:39:32 458 30311 31411 W ActivityManager:   Force finishing activity com xabber androiddev com xabber android ui preferences AccountList
I ve tried disabling avatars (Settings   Contact list   Show account panel and Show avatars)  but that has no effect 
How can I debug this further and determine where the alleged false base64 comes from 
</t>
  </si>
  <si>
    <t>BrimeNotes-android-34</t>
  </si>
  <si>
    <t>App Crashes on clicking Signout from menu</t>
  </si>
  <si>
    <t xml:space="preserve">Though signout function works and it erase user session but it crashes and after that open SigninActivity
</t>
  </si>
  <si>
    <t>OneBusAway-onebusaway-android-588</t>
  </si>
  <si>
    <t>NPE when loading routes</t>
  </si>
  <si>
    <t xml:space="preserve">  Summary:   
From Android Developer Console for v2 0 14:
java lang NullPointerException: Attempt to invoke virtual method  int org onebusaway android io request ObaStopsForRouteResponse getCode()  on a null object reference
    at org onebusaway android map RouteMapController RouteLoaderListener onLoadFinished(RouteMapController java:397)
    at org onebusaway android map RouteMapController RouteLoaderListener onLoadComplete(RouteMapController java:435)
    at org onebusaway android map RouteMapController RouteLoaderListener onLoadComplete(RouteMapController java:382)
    at android support v4 content Loader deliverResult(Loader java:126)
    at org onebusaway android map RouteMapController RoutesLoader deliverResult(RouteMapController java:373)
    at org onebusaway android map RouteMapController RoutesLoader deliverResult(RouteMapController java:345)
    at android support v4 content AsyncTaskLoader dispatchOnLoadComplete(AsyncTaskLoader java:249)
    at android support v4 content AsyncTaskLoader LoadTask onPostExecute(AsyncTaskLoader java:77)
    at android support v4 content ModernAsyncTask finish(ModernAsyncTask java:466)
    at android support v4 content ModernAsyncTask access 400(ModernAsyncTask java:48)
    at android support v4 content ModernAsyncTask InternalHandler handleMessage(ModernAsyncTask java:483)
    at android os Handler dispatchMessage(Handler java:102)
    at android os Looper loop(Looper java:168)
    at android app ActivityThread main(ActivityThread java:5885)
    at java lang reflect Method invoke(Native Method)
    at com android internal os ZygoteInit MethodAndArgsCaller run(ZygoteInit java:819)
    at com android internal os ZygoteInit main(ZygoteInit java:709)
  Steps to reproduce:   
Unknown
  Expected behavior:   
Not crash
  Observed behavior:   
Crash
  Device and Android version:   
HTC 10 (htc pmewl)
Manufacturer HTC 
Android version Android 6 0 
RAM (MB) 4096 
Screen size 1440   2560 
Screen density (dpi) 640 
OpenGL ES version 3 1 
Native platform armeabi v7a 
CPU make Qualcomm 
CPU model MSM8996
</t>
  </si>
  <si>
    <t>zhuowei-MCPELauncher-1272</t>
  </si>
  <si>
    <t>Segfault on mpep</t>
  </si>
  <si>
    <t xml:space="preserve">swagmodpkg modpkg crashes with null pointer exception
</t>
  </si>
  <si>
    <t>cohenadair-anglers-log-73</t>
  </si>
  <si>
    <t>UIImagePickerContoller force (3D) touch crash</t>
  </si>
  <si>
    <t xml:space="preserve"> From  cohenadair on March 6  2016 17:56 
This is an Apple bug that I am unable to reproduce without an iPhone 6s  The force touch is not supported in the iOS Simulator 
Actual crash report can be viewed  here (https:  app crittercism com developers crash details 569e5966cb99e10e00c7ed69 38e2bc00ed772004a8fdc833645cb4b57804064e5937d91e0fc2a782) 
 Copied from original issue: cohenadair AnglersLog iOS 17 
</t>
  </si>
  <si>
    <t>mpcjanssen-simpletask-android-476</t>
  </si>
  <si>
    <t>Crash on widget/filter creation (ClassNotFoundException: FilterScriptFragment).</t>
  </si>
  <si>
    <t xml:space="preserve">Upon attempting to create a widget on the home screen  the application crashes   The following stack trace is printed to the log:
07 11 16:47:37 208 9085 9085   E AndroidRuntime: FATAL EXCEPTION: main
                                                 Process: nl mpcjanssen todotxtholo  PID: 9085
                                                 java lang NoClassDefFoundError: Failed resolution of: Lnl mpcjanssen simpletask FilterScriptFragment 
                                                     at nl mpcjanssen simpletask FilterActivity onCreate(FilterActivity kt:141)
                                                     at android app Activity performCreate(Activity java:6658)
                                                     at android app Instrumentation callActivityOnCreate(Instrumentation java:1118)
                                                     at android app ActivityThread performLaunchActivity(ActivityThread java:2584)
                                                     at android app ActivityThread handleLaunchActivity(ActivityThread java:2692)
                                                     at android app ActivityThread  wrap12(ActivityThread java)
                                                     at android app ActivityThread H handleMessage(ActivityThread java:1445)
                                                     at android os Handler dispatchMessage(Handler java:102)
                                                     at android os Looper loop(Looper java:154)
                                                     at android app ActivityThread main(ActivityThread java:6044)
                                                     at java lang reflect Method invoke(Native Method)
                                                     at com android internal os ZygoteInit MethodAndArgsCaller run(ZygoteInit java:865)
                                                     at com android internal os ZygoteInit main(ZygoteInit java:755)
                                                  Caused by: java lang ClassNotFoundException: Didn t find class  nl mpcjanssen simpletask FilterScriptFragment  on path: DexPathList  zip file   data app nl mpcjanssen todotxtholo 1 base apk   nativeLibraryDirectories   data app nl mpcjanssen todotxtholo 1 lib arm64   system lib64   vendor lib64  
                                                     at dalvik system BaseDexClassLoader findClass(BaseDexClassLoader java:56)
                                                     at java lang ClassLoader loadClass(ClassLoader java:380)
                                                     at java lang ClassLoader loadClass(ClassLoader java:312)
                                                     at nl mpcjanssen simpletask FilterActivity onCreate(FilterActivity kt:141) 
                                                     at android app Activity performCreate(Activity java:6658) 
                                                     at android app Instrumentation callActivityOnCreate(Instrumentation java:1118) 
                                                     at android app ActivityThread performLaunchActivity(ActivityThread java:2584) 
                                                     at android app ActivityThread handleLaunchActivity(ActivityThread java:2692) 
                                                     at android app ActivityThread  wrap12(ActivityThread java) 
                                                     at android app ActivityThread H handleMessage(ActivityThread java:1445) 
                                                     at android os Handler dispatchMessage(Handler java:102) 
                                                     at android os Looper loop(Looper java:154) 
                                                     at android app ActivityThread main(ActivityThread java:6044) 
                                                     at java lang reflect Method invoke(Native Method) 
                                                     at com android internal os ZygoteInit MethodAndArgsCaller run(ZygoteInit java:865) 
                                                     at com android internal os ZygoteInit main(ZygoteInit java:755) 
My hardware is an LG Nexus 5X running the updated N Developer Preview (build NPD56N)   Please let me know if you need more information or have experiments you d like me to try 
</t>
  </si>
  <si>
    <t>ZorgeR-datFM-1</t>
  </si>
  <si>
    <t>Can't open /data on Android 2.3</t>
  </si>
  <si>
    <t xml:space="preserve">If I open  data on my XT862 (GB) with enabled ROOT then datFM crashes 
I sent you bugreport from my device (July  9th) 
</t>
  </si>
  <si>
    <t>cohenadair-anglers-log-13</t>
  </si>
  <si>
    <t>Crash selecting items MainActivity.onMyListItemSelected</t>
  </si>
  <si>
    <t xml:space="preserve"> From  cohenadair on May 16  2016 0:12 
This is a rare crash and I am unable to reproduce it   It has something to do with restoring the  Activity  from the background   Requires investigation 
 Crashlytics report (https:  www fabric io cohen adairs projects android apps com cohenadair anglerslog issues 57354c56ffcdc04250c23a20)
 Copied from original issue: cohenadair AnglersLog Android 13 
</t>
  </si>
  <si>
    <t>cohenadair-anglers-log-11</t>
  </si>
  <si>
    <t>Crash while selecting photos to attach</t>
  </si>
  <si>
    <t xml:space="preserve"> From  cohenadair on May 16  2016 0:8 
Not sure how to reproduce  need to investigate  but there have been crash reports when attaching a single photo and multiple photos 
 Crashlytics report (multiple photo) (https:  www fabric io cohen adairs projects android apps com cohenadair anglerslog issues 5738c187ffcdc04250e3808c)
 Crashlytics report (single photo) (https:  www fabric io cohen adairs projects android apps com cohenadair anglerslog issues 5737147fffcdc04250d418aa)
 Related Instabug issue (https:  instabug com applications anglers log android live issues 37)
 Copied from original issue: cohenadair AnglersLog Android 11 
</t>
  </si>
  <si>
    <t>cohenadair-anglers-log-9</t>
  </si>
  <si>
    <t>Crash accepting "Storage &amp; File" permissions</t>
  </si>
  <si>
    <t xml:space="preserve"> From  cohenadair on May 16  2016 0:6 
 Crashlytics report (https:  www fabric io cohen adairs projects android apps com cohenadair anglerslog issues 572cbb83ffcdc04250725104)
The crash occurs when accepting permissions for the first time  
Reproduction steps:
  Uninstall Anglers  Log from device
  Install Anglers  Log
  Attempt to take a photo for a Bait and or Catch
  Click  Allow 
 Copied from original issue: cohenadair AnglersLog Android 9 
</t>
  </si>
  <si>
    <t>cohenadair-anglers-log-3</t>
  </si>
  <si>
    <t>Issue creating fishing spots</t>
  </si>
  <si>
    <t xml:space="preserve"> From  cohenadair on May 5  2016 15:57 
App is crashing when trying to add fishing spots 
Instabug issue  29  here (https:  instabug com applications anglers log android live issues 29)  has useful stacktrace 
 Copied from original issue: cohenadair AnglersLog Android 3 
</t>
  </si>
  <si>
    <t>dbaldwin-DronePan-Android-2</t>
  </si>
  <si>
    <t>Landscape mode crashes in emulator and device</t>
  </si>
  <si>
    <t xml:space="preserve">When running DronePan in landscape mode the app will crash with the following error:
7506 7506 com dronepan AndroidApp E DJICrashHandler: uncaughtException 3
Attached is a screen of the emulator crash  The same thing happens on my Nexus 9 tablet 
 img width  1272  alt  screenshot 2016 07 11 20 20 29  src  https:  cloud githubusercontent com assets 38339 16752243 676a6454 47a5 11e6 8f79 296c384e9379 png  
Everything runs just fine in portrait mode  but a majority of users will be running landscape 
</t>
  </si>
  <si>
    <t>OneBusAway-onebusaway-android-594</t>
  </si>
  <si>
    <t>SecurityException when trying to access location when user has denied permission</t>
  </si>
  <si>
    <t xml:space="preserve">  Summary:   
On newer versions of Android  users can choose to disable certain permissions via the system settings   Because we re still using install time permissions  this results in a crash  like:
java lang SecurityException: Client must have ACCESS FINE LOCATION permission to request PRIORITY HIGH ACCURACY locations 
    at android os Parcel readException(Parcel java:1620)
    at android os Parcel readException(Parcel java:1573)
    at com google android gms location internal zzi zza zza zza(Unknown Source)
    at com google android gms location internal zzk zza(Unknown Source)
    at com google android gms location internal zzl zza(Unknown Source)
    at com google android gms location internal zzd 1 zza(Unknown Source)
    at com google android gms location internal zzd 1 zza(Unknown Source)
    at com google android gms internal zzlx zza zzb(Unknown Source)
    at com google android gms internal zzmd zza(Unknown Source)
    at com google android gms internal zzmd zzb(Unknown Source)
    at com google android gms internal zzmi zzb(Unknown Source)
    at com google android gms internal zzmg zzb(Unknown Source)
    at com google android gms location internal zzd requestLocationUpdates(Unknown Source)
    at org onebusaway android util LocationHelper onConnected(LocationHelper java:204)
    at com google android gms common internal zzk zzk(Unknown Source)
    at com google android gms internal zzmg zzi(Unknown Source)
    at com google android gms internal zzme zzpi(Unknown Source)
    at com google android gms internal zzme onConnected(Unknown Source)
    at com google android gms internal zzmi onConnected(Unknown Source)
    at com google android gms internal zzlz onConnected(Unknown Source)
    at com google android gms common internal zzj zzg zzqv(Unknown Source)
    at com google android gms common internal zzj zza zzc(Unknown Source)
    at com google android gms common internal zzj zza zzv(Unknown Source)
    at com google android gms common internal zzj zzc zzqx(Unknown Source)
    at com google android gms common internal zzj zzb handleMessage(Unknown Source)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and:
java lang SecurityException: Client must have ACCESS COARSE LOCATION or ACCESS FINE LOCATION permission to perform any location operations 
    at android os Parcel readException(Parcel java:1620)
    at android os Parcel readException(Parcel java:1573)
    at com google android gms internal lx a a bW(Unknown Source)
    at com google android gms internal ly getLastLocation(Unknown Source)
    at com google android gms internal lz getLastLocation(Unknown Source)
    at com google android gms location LocationClient getLastLocation(Unknown Source)
    at com joulespersecond seattlebusbot util LocationHelp getLocation2(LocationHelp java:103)
    at com joulespersecond seattlebusbot map StopMapController onLoadFinished(StopMapController java:274)
    at com joulespersecond seattlebusbot map StopMapController onLoadComplete(StopMapController java:309)
    at com joulespersecond seattlebusbot map StopMapController onLoadComplete(StopMapController java:135)
    at android support v4 content Loader deliverResult(Loader java:104)
    at com joulespersecond seattlebusbot map StopMapController StopsLoader deliverResult(StopMapController java:378)
    at com joulespersecond seattlebusbot map StopMapController StopsLoader deliverResult(StopMapController java:340)
    at android support v4 content AsyncTaskLoader dispatchOnLoadComplete(AsyncTaskLoader java:223)
    at android support v4 content AsyncTaskLoader LoadTask onPostExecute(AsyncTaskLoader java:61)
    at android support v4 content ModernAsyncTask finish(ModernAsyncTask java:461)
    at android support v4 content ModernAsyncTask access 500(ModernAsyncTask java:47)
    at android support v4 content ModernAsyncTask InternalHandler handleMessage(ModernAsyncTask java:474)
    at android os Handler dispatchMessage(Handler java:102)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The permanent fix is to move to the Android 6 0 runtime permissions  which is ticketed in https:  github com OneBusAway onebusaway android issues 330 
In the mean time  though  we can try to just catch and ignore these security exception 
  Steps to reproduce:   
Install the app  and then revoke the location permissions via system settings 
  Expected behavior:   
Not crash
  Observed behavior:   
Crash 
  Device and Android version:   
Any Android device 6 0 and higher
</t>
  </si>
  <si>
    <t>IvoGoman-Diabetes-App-59</t>
  </si>
  <si>
    <t>[Measurment Input] Avoid same time/Override last measurment input</t>
  </si>
  <si>
    <t xml:space="preserve">The timestamp has to be unique  So if you input the bloodsugar twice at the same time the app will crash  
Solutions:
  avoid when inputting by the user
  override old measurement when user inputs the value at the same time
  make the timestamp not unique
</t>
  </si>
  <si>
    <t>commons-app-apps-android-commons-187</t>
  </si>
  <si>
    <t>Gallery crashes when selected after manually revoking storage permission</t>
  </si>
  <si>
    <t xml:space="preserve">The counterpart to the camera permission issue   selecting image from gallery to upload also causes a crash if user has manually revoked storage perm (API 23)  Will implement a check for permissions if user taps  upload from gallery  button 
</t>
  </si>
  <si>
    <t>couchbaselabs-couchbase-lite-java-forestdb-72</t>
  </si>
  <si>
    <t>ForestDB crash in fdb_log() method (32-bit only)</t>
  </si>
  <si>
    <t xml:space="preserve">   
07 13 20:43:06 085 1399 1412 com couchbase lite test V Database: Opening com couchbase lite Database  data data com couchbase lite test files test replacedb cblite2 
07 13 20:43:06 085 1399 1412 com couchbase lite test A libc: Fatal signal 11 (SIGSEGV) at 0x00000200 (code 1)  thread 1412 (ationTestRunner)
07 13 20:43:06 137 174 174   I DEBUG:                                                                
07 13 20:43:06 137 174 174   I DEBUG: Build fingerprint:  generic vbox86p vbox86p:4 4 4 KTU84P eng genymotion 20160609 162149:userdebug test keys 
07 13 20:43:06 137 174 174   I DEBUG: Revision:  0 
07 13 20:43:06 137 174 174   I DEBUG: pid: 1399  tid: 1412  name: ationTestRunner      com couchbase lite test    
07 13 20:43:06 137 174 174   I DEBUG: signal 11 (SIGSEGV)  code 1 (SEGV MAPERR)  fault addr 00000200
07 13 20:43:06 545 174 174   I DEBUG:     eax 00000000  ebx b76d9fcc  ecx 949681ac  edx 00000200
07 13 20:43:06 545 174 174   I DEBUG:     esi ffffffff  edi 94969848
07 13 20:43:06 545 174 174   I DEBUG:     xcs 00000073  xds 0000007b  xes 0000007b  xfs 00000000  xss 0000007b
07 13 20:43:06 545 174 174   I DEBUG:     eip b767efe6  ebp 94968748  esp 949680ac  flags 00010246
07 13 20:43:06 545 174 174   E Corkscrew: unrecognized dwarf lower part encoding: 0x48
07 13 20:43:06 545 174 174   I DEBUG: backtrace:
07 13 20:43:06 545 174 174   I DEBUG:      00  pc 00040fe6   system lib libc so (strlen 6)
07 13 20:43:06 545 174 174   I DEBUG:      01  pc 0004c23b   system lib libc so (  vfprintf 9243)
07 13 20:43:06 545 174 174   I DEBUG:      02  pc 0004dd71   system lib libc so (vsprintf 129)
07 13 20:43:06 545 174 174   I DEBUG:      03  pc 000ec464   data app lib com couchbase lite test 1 libCouchbaseLiteJavaForestDB so (fdb log 116)
07 13 20:43:06 545 174 174   I DEBUG:      04  pc 0013f25a   data app lib com couchbase lite test 1 libCouchbaseLiteJavaForestDB so
07 13 20:43:06 545 174 174   I DEBUG:      05  pc 0013eb30   data app lib com couchbase lite test 1 libCouchbaseLiteJavaForestDB so (sb read latest 368)
07 13 20:43:06 545 174 174   I DEBUG:      06  pc 000eff56   data app lib com couchbase lite test 1 libCouchbaseLiteJavaForestDB so
07 13 20:43:06 545 174 174   I DEBUG:      07  pc 000ee94a   data app lib com couchbase lite test 1 libCouchbaseLiteJavaForestDB so (filemgr open 4394)
07 13 20:43:06 545 174 174   I DEBUG:      08  pc 000ff46e   data app lib com couchbase lite test 1 libCouchbaseLiteJavaForestDB so ( fdb open 974)
07 13 20:43:06 545 174 174   I DEBUG:      09  pc 000fef40   data app lib com couchbase lite test 1 libCouchbaseLiteJavaForestDB so (fdb open 880)
07 13 20:43:06 545 174 174   I DEBUG:      10  pc 00157692   data app lib com couchbase lite test 1 libCouchbaseLiteJavaForestDB so (cbforest::Database::reopen() 178)
07 13 20:43:06 545 174 174   I DEBUG:      11  pc 001573ad   data app lib com couchbase lite test 1 libCouchbaseLiteJavaForestDB so (cbforest::Database::Database(std::string  fdb config const ) 365)
07 13 20:43:06 545 174 174   I DEBUG: stack:
07 13 20:43:06 545 174 174   I DEBUG:          9496806c  00000000  
07 13 20:43:06 545 174 174   I DEBUG:          94968070  00000000  
07 13 20:43:06 545 174 174   I DEBUG:          94968074  00000000  
07 13 20:43:06 545 174 174   I DEBUG:          94968078  00000000  
07 13 20:43:06 545 174 174   I DEBUG:          9496807c  00000000  
07 13 20:43:06 545 174 174   I DEBUG:          94968080  94968488   stack:1412 
07 13 20:43:06 545 174 174   I DEBUG:          94968084  00000014  
07 13 20:43:06 545 174 174   I DEBUG:          94968088  949681b4   stack:1412 
07 13 20:43:06 545 174 174   I DEBUG:          9496808c  00000000  
07 13 20:43:06 545 174 174   I DEBUG:          94968090  0000000a  
07 13 20:43:06 545 174 174   I DEBUG:          94968094  00000000  
07 13 20:43:06 545 174 174   I DEBUG:          94968098  b76852e9   system lib libc so (  sfvwrite 9)
07 13 20:43:06 545 174 174   I DEBUG:          9496809c  b76d9fcc   system lib libc so
07 13 20:43:06 545 174 174   I DEBUG:          949680a0  0000004e  
07 13 20:43:06 545 174 174   I DEBUG:          949680a4  00000000  
07 13 20:43:06 545 174 174   I DEBUG:          949680a8  94968748   stack:1412 
07 13 20:43:06 545 174 174   I DEBUG:      00  949680ac  b768a23c   system lib libc so (  vfprintf 9244)
07 13 20:43:06 545 174 174   I DEBUG:      01  949680b0  00000200  
07 13 20:43:06 545 174 174   I DEBUG:          949680b4  94968178   stack:1412 
07 13 20:43:06 545 174 174   I DEBUG:          949680b8  0000000a  
07 13 20:43:06 545 174 174   I DEBUG:          949680bc  00000000  
07 13 20:43:06 545 174 174   I DEBUG:          949680c0  b76da268   system lib libc so
07 13 20:43:06 545 174 174   I DEBUG:          949680c4  b76d9fcc   system lib libc so
07 13 20:43:06 545 174 174   I DEBUG:          949680c8  000000ad  
07 13 20:43:06 545 174 174   I DEBUG:          949680cc  b7684041   system lib libc so (  sflush 81)
07 13 20:43:06 545 174 174   I DEBUG:          949680d0  b76da268   system lib libc so
07 13 20:43:06 545 174 174   I DEBUG:          949680d4  9496836c   stack:1412 
07 13 20:43:06 545 174 174   I DEBUG:          949680d8  000000ad  
07 13 20:43:06 545 174 174   I DEBUG:          949680dc  949681ac   stack:1412 
07 13 20:43:06 545 174 174   I DEBUG:          949680e0  949681e4   stack:1412 
07 13 20:43:06 545 174 174   I DEBUG:          949680e4  949687e8   stack:1412 
07 13 20:43:06 545 174 174   I DEBUG:          949680e8  94968788   stack:1412 
07 13 20:43:06 545 174 174   I DEBUG:          949680ec  b768839e   system lib libc so (  vfprintf 1406)
07 13 20:43:06 545 174 174   I DEBUG:                            
07 13 20:43:06 545 174 174   I DEBUG:      02  94968750  9496877c   stack:1412 
07 13 20:43:06 545 174 174   I DEBUG:          94968754  947c8bc3   data app lib com couchbase lite test 1 libCouchbaseLiteJavaForestDB so
07 13 20:43:06 545 174 174   I DEBUG:          94968758  9496983c   stack:1412 
07 13 20:43:06 545 174 174   I DEBUG:          9496875c  b76d9fcc   system lib libc so
07 13 20:43:06 545 174 174   I DEBUG:          94968760  b76df174  
07 13 20:43:06 545 174 174   I DEBUG:          94968764  b76da268   system lib libc so
07 13 20:43:06 545 174 174   I DEBUG:          94968768  94969828   stack:1412 
07 13 20:43:06 545 174 174   I DEBUG:          9496876c  00000000  
07 13 20:43:06 545 174 174   I DEBUG:          94968770  00000000  
07 13 20:43:06 545 174 174   I DEBUG:          94968774  00000000  
07 13 20:43:06 545 174 174   I DEBUG:          94968778  00004000  
07 13 20:43:06 545 174 174   I DEBUG:          9496877c  94968866   stack:1412 
07 13 20:43:06 545 174 174   I DEBUG:          94968780  b76df174  
07 13 20:43:06 545 174 174   I DEBUG:          94968784  7fffffb1  
07 13 20:43:06 545 174 174   I DEBUG:          94968788  ffff0208  
07 13 20:43:06 545 174 174   I DEBUG:          9496878c  94968818   stack:1412 
07 13 20:43:06 545 174 174   I DEBUG:                            
07 13 20:43:06 625 640 662 system process I BootReceiver: Copying  data tombstones tombstone 08 to DropBox (SYSTEM TOMBSTONE)
07 13 20:43:06 629 640 1714 system process W ActivityManager: Error in app com couchbase lite test running instrumentation ComponentInfo com couchbase lite test android test InstrumentationTestRunner :
07 13 20:43:06 629 640 1714 system process W ActivityManager:   Native crash
07 13 20:43:06 629 1388 1388   D AndroidRuntime: Shutting down VM
07 13 20:43:06 629 1388 1395   D jdwp: Got wake up signal  bailing out of select
07 13 20:43:06 629 1388 1395   D dalvikvm: Debugger has detached  object registry had 1 entries
07 13 20:43:06 629 640 1714 system process W ActivityManager:   Native crash: Segmentation fault
</t>
  </si>
  <si>
    <t>eclipse-californium-73</t>
  </si>
  <si>
    <t>Small possibility of Exchange leak when receiving non-piggybacked responses</t>
  </si>
  <si>
    <t xml:space="preserve">Repro steps:
1) Client sends a CON request
2) Server calls exchange acknowledge()  but then never sends a response  either due to a bug  or because server crashed 
3) The exchange on the client side never times out 
This has two undersired effects:
If client used CoapClient (put get delete post) variant with CoapHandler  then neither onLoad() nor onError() methods are ever called  Furthermore  the offending exchange is never removed from Matcher s tracking maps 
Potential solution: have one of CoapStack layers add a task that will fire after EXCHANGE LIFETIME and call Exchange timeout() if Exchange is still incomplete 
</t>
  </si>
  <si>
    <t>translation-cards-translation-cards-247</t>
  </si>
  <si>
    <t>On upgrade attempt to open an old deck results in app crash</t>
  </si>
  <si>
    <t xml:space="preserve">1  create a deck in the old version of the app
2  upgrade the app to the latest version 1 1 0
3  Try to open the deck that was created with the old version
4  App crashes because the old version saves the dictionary name with a space in front
</t>
  </si>
  <si>
    <t>Devsoc-BPGC-DoJMA-19</t>
  </si>
  <si>
    <t>ANR on scroll when search results are null</t>
  </si>
  <si>
    <t xml:space="preserve">If search query in Herald is such that there are no results  then if material scroll bar is used then app will crash every single time and can only be used again if it is reset
</t>
  </si>
  <si>
    <t>OneBusAway-onebusaway-android-599</t>
  </si>
  <si>
    <t>NPE in BaseMapFragment.onViewStateRestored()</t>
  </si>
  <si>
    <t xml:space="preserve">  Summary:   
From Android Developer console for v2 0 15:
java lang RuntimeException: Unable to start activity ComponentInfo com joulespersecond seattlebusbot org onebusaway android ui HomeActivity : java lang NullPointerException
    at android app ActivityThread performLaunchActivity(ActivityThread java:2073)
    at android app ActivityThread handleLaunchActivity(ActivityThread java:2098)
    at android app ActivityThread access 600(ActivityThread java:138)
    at android app ActivityThread H handleMessage(ActivityThread java:1204)
    at android os Handler dispatchMessage(Handler java:99)
    at android os Looper loop(Looper java:137)
    at android app ActivityThread main(ActivityThread java:4945)
    at java lang reflect Method invokeNative(Native Method)
    at java lang reflect Method invoke(Method java:511)
    at com android internal os ZygoteInit MethodAndArgsCaller run(ZygoteInit java:794)
    at com android internal os ZygoteInit main(ZygoteInit java:561)
    at dalvik system NativeStart main(Native Method)
Caused by: java lang NullPointerException
    at org onebusaway android map googlemapsv2 BaseMapFragment onViewStateRestored(BaseMapFragment java:345)
    at android support v4 app Fragment restoreViewState(Fragment java:469)
    at android support v4 app FragmentManagerImpl moveToState(FragmentManager java:1094)
    at android support v4 app FragmentManagerImpl moveToState(FragmentManager java:1252)
    at android support v4 app BackStackRecord run(BackStackRecord java:742)
    at android support v4 app FragmentManagerImpl execPendingActions(FragmentManager java:1617)
    at android support v4 app FragmentController execPendingActions(FragmentController java:339)
    at android support v4 app FragmentActivity onStart(FragmentActivity java:601)
    at org onebusaway android ui HomeActivity onStart(HomeActivity java:330)
    at android app Instrumentation callActivityOnStart(Instrumentation java:1166)
    at android app Activity performStart(Activity java:5212)
    at android app ActivityThread performLaunchActivity(ActivityThread java:2046)
        11 more
and:
java lang RuntimeException: Unable to start activity ComponentInfo com joulespersecond seattlebusbot org onebusaway android ui HomeActivity : java lang NullPointerException: Attempt to invoke interface method  void org onebusaway android map MapModeController onViewStateRestored(android os Bundle)  on a null object reference
    at android app ActivityThread performLaunchActivity(ActivityThread java:2661)
    at android app ActivityThread handleLaunchActivity(ActivityThread java:2726)
    at android app ActivityThread access 900(ActivityThread java:172)
    at android app ActivityThread H handleMessage(ActivityThread java:1421)
    at android os Handler dispatchMessage(Handler java:102)
    at android os Looper loop(Looper java:145)
    at android app ActivityThread main(ActivityThread java:5835)
    at java lang reflect Method invoke(Native Method)
    at java lang reflect Method invoke(Method java:372)
    at com android internal os ZygoteInit MethodAndArgsCaller run(ZygoteInit java:1399)
    at com android internal os ZygoteInit main(ZygoteInit java:1194)
Caused by: java lang NullPointerException: Attempt to invoke interface method  void org onebusaway android map MapModeController onViewStateRestored(android os Bundle)  on a null object reference
    at org onebusaway android map googlemapsv2 BaseMapFragment onViewStateRestored(BaseMapFragment java:345)
    at android support v4 app Fragment restoreViewState(Fragment java:469)
    at android support v4 app FragmentManagerImpl moveToState(FragmentManager java:1094)
    at android support v4 app FragmentManagerImpl moveToState(FragmentManager java:1252)
    at android support v4 app BackStackRecord run(BackStackRecord java:742)
    at android support v4 app FragmentManagerImpl execPendingActions(FragmentManager java:1617)
    at android support v4 app FragmentController execPendingActions(FragmentController java:339)
    at android support v4 app FragmentActivity onStart(FragmentActivity java:601)
    at org onebusaway android ui HomeActivity onStart(HomeActivity java:330)
    at android app Instrumentation callActivityOnStart(Instrumentation java:1234)
    at android app Activity performStart(Activity java:6258)
    at android app ActivityThread performLaunchActivity(ActivityThread java:2624)
        10 more
  Steps to reproduce:   
Unknown
  Expected behavior:   
Not crash
  Observed behavior:   
Crash
  Device and Android version:   
For first stacktrace:
Optimus F3 (fx3)
Manufacturer LGE 
Android version Android 4 1 
RAM (MB) 1000 
Screen size 480   800 
Screen density (dpi) 240
OpenGL ES version 2 0 
Native platform armeabi v7a 
CPU make Qualcomm 
CPU model MSM8930
2nd stacktrace:
Galaxy S5 (kltevzw)
Manufacturer Samsung 
Android version Android 4 4 
RAM (MB) 2048 
Screen size 1080   1920 
Screen density (dpi) 480 
OpenGL ES version 3 0
Native platform armeabi v7a 
CPU make Qualcomm 
CPU model MSM8974
</t>
  </si>
  <si>
    <t>eclipse-paho.mqtt.android-101</t>
  </si>
  <si>
    <t>NPE on CONNECTIVITY_CHANGE event</t>
  </si>
  <si>
    <t xml:space="preserve">Please fill out the form below before submitting  thank you 
   x  Bug exists Release Version 1 1 0 (Java Repository Master Branch)
   x  Bug exists in Snapshot Version 1 1 1 SNAPSHOT (Android Service Repository Master Branch)
      Bug is just in the Sample Application 
  Android API Version Bug Seen on:  
  Android Version Bug Seen on:  
Android 4  5  6
   Description of Bug:
This bug is reported on this ticket with closed status: https:  github com eclipse paho mqtt android issues 81 
   Console Log output (if available):
This is crashes reported on Fabric:  http:  crashes to s 4b5e49649ff
</t>
  </si>
  <si>
    <t>gearvrf-GearVRf-Demos-256</t>
  </si>
  <si>
    <t>gvr-events app crash</t>
  </si>
  <si>
    <t xml:space="preserve">After i update my repositories with new GVRf  gvr events app crashed 
</t>
  </si>
  <si>
    <t>nextcloud-android-138</t>
  </si>
  <si>
    <t>Fix crash when adding a saml account</t>
  </si>
  <si>
    <t xml:space="preserve">merge from oC  fix for 1719 which crashes when adding a SAML login based account
   java lang ClassCastException: com owncloud android lib resources users GetRemoteUserInfoOperation UserInfo cannot be cast to java lang String at com owncloud android authentication AuthenticatorActivity onGetUserNameFinish(AuthenticatorActivity java:1044) 
please review and merge  nextcloud android 
</t>
  </si>
  <si>
    <t>Gericop-Android-Support-Preference-V7-Fix-29</t>
  </si>
  <si>
    <t>Crash on 24.1.0.0</t>
  </si>
  <si>
    <t xml:space="preserve">I m seeing a crash on a user  It s a Note 3 with Android 4 4 2  It seems it s because of the reflection not finding the fields  I can t reproduce this on my Nexus 5 
Here s the stacktrace:
Fatal Exception: java lang NullPointerException
       at com takisoft fix support v7 preference PreferenceGroupAdapter getReflectedIds(Unknown Source)
       at com takisoft fix support v7 preference PreferenceGroupAdapter getReflectedIds(Unknown Source)
       at com takisoft fix support v7 preference PreferenceGroupAdapter onCreateViewHolder(Unknown Source)
       at android support v7 widget RecyclerView Adapter createViewHolder(Unknown Source)
       at android support v7 widget RecyclerView Recycler clear(Unknown Source)
       at android support v7 widget RecyclerView Recycler getViewForPosition(Unknown Source)
       at android support v7 widget LinearLayoutManager LayoutState hasMore(Unknown Source)
       at android support v7 widget LinearLayoutManager generateDefaultLayoutParams(Unknown Source)
       at android support v7 widget LinearLayoutManager generateDefaultLayoutParams(Unknown Source)
       at android support v7 widget LinearLayoutManager findViewByPosition(Unknown Source)
       at android support v7 widget RecyclerView dispatchLayoutStep2(Unknown Source)
       at android support v7 widget RecyclerView dispatchLayout(Unknown Source)
       at android support v7 widget RecyclerView onLayout(Unknown Source)
       at android view View layout(View java:15648)
       at android view ViewGroup layout(ViewGroup java:4856)
       at android widget FrameLayout layoutChildren(FrameLayout java:453)
       at android widget FrameLayout onLayout(FrameLayout java:388)
       at android view View layout(View java:15648)
       at android view ViewGroup layout(ViewGroup java:4856)
       at android widget LinearLayout setChildFrame(LinearLayout java:1677)
       at android widget LinearLayout layoutVertical(LinearLayout java:1531)
       at android widget LinearLayout onLayout(LinearLayout java:1440)
       at android view View layout(View java:15648)
       at android view ViewGroup layout(ViewGroup java:4856)
       at android widget FrameLayout layoutChildren(FrameLayout java:453)
       at android widget FrameLayout onLayout(FrameLayout java:388)
       at android view View layout(View java:15648)
       at android view ViewGroup layout(ViewGroup java:4856)
       at android widget RelativeLayout onLayout(RelativeLayout java:1055)
       at android view View layout(View java:15648)
       at android view ViewGroup layout(ViewGroup java:4856)
       at android widget FrameLayout layoutChildren(FrameLayout java:453)
       at android widget FrameLayout onLayout(FrameLayout java:388)
       at android view View layout(View java:15648)
       at android view ViewGroup layout(ViewGroup java:4856)
       at android widget LinearLayout setChildFrame(LinearLayout java:1677)
       at android widget LinearLayout layoutVertical(LinearLayout java:1531)
       at android widget LinearLayout onLayout(LinearLayout java:1440)
       at android view View layout(View java:15648)
       at android view ViewGroup layout(ViewGroup java:4856)
       at android widget FrameLayout layoutChildren(FrameLayout java:453)
       at android widget FrameLayout onLayout(FrameLayout java:388)
       at android view View layout(View java:15648)
       at android view ViewGroup layout(ViewGroup java:4856)
       at android widget LinearLayout setChildFrame(LinearLayout java:1677)
       at android widget LinearLayout layoutVertical(LinearLayout java:1531)
       at android widget LinearLayout onLayout(LinearLayout java:1440)
       at android view View layout(View java:15648)
       at android view ViewGroup layout(ViewGroup java:4856)
       at android widget FrameLayout layoutChildren(FrameLayout java:453)
       at android widget FrameLayout onLayout(FrameLayout java:388)
       at android view View layout(View java:15648)
       at android view ViewGroup layout(ViewGroup java:4856)
       at android widget FrameLayout layoutChildren(FrameLayout java:453)
       at android widget FrameLayout onLayout(FrameLayout java:388)
       at android view View layout(View java:15648)
       at android view ViewGroup layout(ViewGroup java:4856)
       at android view ViewRootImpl performLayout(ViewRootImpl java:2245)
       at android view ViewRootImpl performTraversals(ViewRootImpl java:1967)
       at android view ViewRootImpl doTraversal(ViewRootImpl java:1199)
       at android view ViewRootImpl TraversalRunnable run(ViewRootImpl java:6383)
       at android view Choreographer CallbackRecord run(Choreographer java:803)
       at android view Choreographer doCallbacks(Choreographer java:603)
       at android view Choreographer doFrame(Choreographer java:573)
       at android view Choreographer FrameDisplayEventReceiver run(Choreographer java:789)
       at android os Handler handleCallback(Handler java:733)
       at android os Handler dispatchMessage(Handler java:95)
       at android os Looper loop(Looper java:157)
       at android app ActivityThread main(ActivityThread java:5293)
       at java lang reflect Method invokeNative(Method java)
       at java lang reflect Method invoke(Method java:515)
       at com android internal os ZygoteInit MethodAndArgsCaller run(ZygoteInit java:1265)
       at com android internal os ZygoteInit main(ZygoteInit java:1081)
       at de robv android xposed XposedBridge main(XposedBridge java:132)
       at dalvik system NativeStart main(NativeStart java)
</t>
  </si>
  <si>
    <t>h6ah4i-android-tablayouthelper-8</t>
  </si>
  <si>
    <t>Attempt to invoke virtual method 'void android.view.View.setSelected(boolean)' on a null object reference</t>
  </si>
  <si>
    <t xml:space="preserve">Hi  I updated sdk version to 24  and appcompat to v7:24:0:0 and design:24:0:0 and launched app  and app crashed:
 Caused by: java lang NullPointerException: Attempt to invoke virtual method  void android view View setSelected(boolean)  on a null object reference
at android support design widget TabLayout Tab setCustomView(TabLayout java:1298)
at com h6ah4i android tablayouthelper TabLayoutHelper onUpdateTab(TabLayoutHelper java:204)
at com h6ah4i android tablayouthelper TabLayoutHelper updateTab(TabLayoutHelper java:351)
at com h6ah4i android tablayouthelper TabLayoutHelper setTabsFromPagerAdapter(TabLayoutHelper java:323)
at com h6ah4i android tablayouthelper TabLayoutHelper setupWithViewPager(TabLayoutHelper java:302)
at com h6ah4i android tablayouthelper TabLayoutHelper  init (TabLayoutHelper java:90)
at com my app MainActivity onCreate(MainActivity java:100)
at android app Activity performCreate(Activity java:6092)
at android app Instrumentation callActivityOnCreate(Instrumentation java:1112)
at android app ActivityThread performLaunchActivity(ActivityThread java:2468)
at android app ActivityThread handleLaunchActivity(ActivityThread java:2595) 
at android app ActivityThread access 800(ActivityThread java:178) 
at android app ActivityThread H handleMessage(ActivityThread java:1470) 
at android os Handler dispatchMessage(Handler java:111) 
at android os Looper loop(Looper java:194) 
at android app ActivityThread main(ActivityThread java:5624) 
at java lang reflect Method invoke(Native Method) 
at java lang reflect Method invoke(Method java:372) 
at com android internal os ZygoteInit MethodAndArgsCaller run(ZygoteInit java:959) 
at com android internal os ZygoteInit main(ZygoteInit java:754)  
my app MainActivity
 100  TabLayoutHelper mTabLayoutHelper   new TabLayoutHelper(tabLayout viewPager) 
101  mTabLayoutHelper setAutoAdjustTabModeEnabled(true)  
If i change sdk version to 23 and AppCompat to v7:23:7:0: and design to 23:7:0   all works
</t>
  </si>
  <si>
    <t>omkarmoghe-Pokemap-7</t>
  </si>
  <si>
    <t>Permission request code can only use lower 8 bits (MapWrapperFragment)</t>
  </si>
  <si>
    <t xml:space="preserve">The error is on  MapWrapperFragment:39 
The int should be from 0 to 255  otherwise it will crash with
 java lang IllegalArgumentException: Can only use lower 8 bits for requestCode 
</t>
  </si>
  <si>
    <t>omkarmoghe-Pokemap-1</t>
  </si>
  <si>
    <t>App is crashing, getting null response from server</t>
  </si>
  <si>
    <t xml:space="preserve">Application is crashing  response object is null  Check at line 150 in MainActivity java 
</t>
  </si>
  <si>
    <t>commons-app-apps-android-commons-197</t>
  </si>
  <si>
    <t>Failure delivering result ResultInfo{who=null, request=65538, result=0, data=null} to activity {fr.free.nrw.commons/fr.free.nrw.commons.contributions.ContributionsActivity}: java.lang.NullPointerException</t>
  </si>
  <si>
    <t xml:space="preserve">By              on 20th July:
USER COMMENT I pressed photo icon at top right  then back button and app crashed
ANDROID VERSION 4 2 2
APP VERSION NAME 1 19
BRAND Lenovo
PHONE MODEL Lenovo A859
CUSTOM DATA 
STACK TRACE java lang RuntimeException: Failure delivering result ResultInfo who null  request 65538  result 0  data null  to activity  fr free nrw commons fr free nrw commons contributions ContributionsActivity : java lang NullPointerException
at android app ActivityThread deliverResults(ActivityThread java:3566)
at android app ActivityThread handleSendResult(ActivityThread java:3609)
at android app ActivityThread access 1100(ActivityThread java:169)
at android app ActivityThread H handleMessage(ActivityThread java:1425)
at android os Handler dispatchMessage(Handler java:107)
at android os Looper loop(Looper java:194)
at android app ActivityThread main(ActivityThread java:5449)
at java lang reflect Method invokeNative(Native Method)
at java lang reflect Method invoke(Method java:525)
at com android internal os ZygoteInit MethodAndArgsCaller run(ZygoteInit java:833)
at com android internal os ZygoteInit main(ZygoteInit java:600)
at dalvik system NativeStart main(Native Method)
Caused by: java lang NullPointerException
at fr free nrw commons contributions ContributionsListFragment onActivityResult(ContributionsListFragment java:95)
at android support v4 app FragmentActivity onActivityResult(FragmentActivity java:175)
at android app Activity dispatchActivityResult(Activity java:5324)
at android app ActivityThread deliverResults(ActivityThread java:3562)
    11 more
java lang NullPointerException
at fr free nrw commons contributions ContributionsListFragment onActivityResult(ContributionsListFragment java:95)
at android support v4 app FragmentActivity onActivityResult(FragmentActivity java:175)
at android app Activity dispatchActivityResult(Activity java:5324)
at android app ActivityThread deliverResults(ActivityThread java:3562)
at android app ActivityThread handleSendResult(ActivityThread java:3609)
at android app ActivityThread access 1100(ActivityThread java:169)
at android app ActivityThread H handleMessage(ActivityThread java:1425)
at android os Handler dispatchMessage(Handler java:107)
at android os Looper loop(Looper java:194)
at android app ActivityThread main(ActivityThread java:5449)
at java lang reflect Method invokeNative(Native Method)
at java lang reflect Method invoke(Method java:525)
at com android internal os ZygoteInit MethodAndArgsCaller run(ZygoteInit java:833)
at com android internal os ZygoteInit main(ZygoteInit java:600)
at dalvik system NativeStart main(Native Method)
By Don Hamza on 20th July:
USER COMMENT          
ANDROID VERSION 4 4 2
APP VERSION NAME 1 19
BRAND Lenovo
PHONE MODEL Lenovo A319
CUSTOM DATA 
STACK TRACE java lang RuntimeException: Failure delivering result ResultInfo who null  request 65538  result  1  data null  to activity  fr free nrw commons fr free nrw commons contributions ContributionsActivity : java lang NullPointerException
at android app ActivityThread deliverResults(ActivityThread java:3553)
at android app ActivityThread handleSendResult(ActivityThread java:3596)
at android app ActivityThread access 1300(ActivityThread java:151)
at android app ActivityThread H handleMessage(ActivityThread java:1369)
at android os Handler dispatchMessage(Handler java:110)
at android os Looper loop(Looper java:193)
at android app ActivityThread main(ActivityThread java:5299)
at java lang reflect Method invokeNative(Native Method)
at java lang reflect Method invoke(Method java:515)
at com android internal os ZygoteInit MethodAndArgsCaller run(ZygoteInit java:829)
at com android internal os ZygoteInit main(ZygoteInit java:645)
at dalvik system NativeStart main(Native Method)
Caused by: java lang NullPointerException
at fr free nrw commons contributions ContributionsListFragment onActivityResult(ContributionsListFragment java:95)
at android support v4 app FragmentActivity onActivityResult(FragmentActivity java:175)
at android app Activity dispatchActivityResult(Activity java:5456)
at android app ActivityThread deliverResults(ActivityThread java:3549)
    11 more
java lang NullPointerException
at fr free nrw commons contributions ContributionsListFragment onActivityResult(ContributionsListFragment java:95)
at android support v4 app FragmentActivity onActivityResult(FragmentActivity java:175)
at android app Activity dispatchActivityResult(Activity java:5456)
at android app ActivityThread deliverResults(ActivityThread java:3549)
at android app ActivityThread handleSendResult(ActivityThread java:3596)
at android app ActivityThread access 1300(ActivityThread java:151)
at android app ActivityThread H handleMessage(ActivityThread java:1369)
at android os Handler dispatchMessage(Handler java:110)
at android os Looper loop(Looper java:193)
at android app ActivityThread main(ActivityThread java:5299)
at java lang reflect Method invokeNative(Native Method)
at java lang reflect Method invoke(Method java:515)
at com android internal os ZygoteInit MethodAndArgsCaller run(ZygoteInit java:829)
at com android internal os ZygoteInit main(ZygoteInit java:645)
at dalvik system NativeStart main(Native Method)
</t>
  </si>
  <si>
    <t>Devsoc-BPGC-DoJMA-22</t>
  </si>
  <si>
    <t xml:space="preserve">Google now on tab doesn't works on chrome custom tab </t>
  </si>
  <si>
    <t xml:space="preserve">If you use Google now on tap (on marshmallow devices only) chrome custom tab will crash 
</t>
  </si>
  <si>
    <t>OneBusAway-onebusaway-android-612</t>
  </si>
  <si>
    <t xml:space="preserve">NPE in BaseMapFragment.onRegionTaskFinished() getting map center as location </t>
  </si>
  <si>
    <t xml:space="preserve">  Summary:   
From Android Developer Console for v2 0 16:
java lang NullPointerException: Attempt to invoke virtual method  double android location Location getLatitude()  on a null object reference
    at org onebusaway android map googlemapsv2 BaseMapFragment onRegionTaskFinished(BaseMapFragment java:527)
    at org onebusaway android region ObaRegionsTask 2 run(ObaRegionsTask java:267)
    at android os Handler handleCallback(Handler java:739)
    at android os Handler dispatchMessage(Handler java:95)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Steps to reproduce:   
Unknown
  Expected behavior:   
No crash
  Observed behavior:   
Crash
  Device and Android version:   
Nexus 6P (angler)
Manufacturer Google 
Android version Android 6 0 
RAM (MB) 3072 
Screen size 1440   2560 
Screen density (dpi) 560 
OpenGL ES version 3 1 
Native platform armeabi v7a 
CPU make Qualcomm 
CPU model MSM8994
</t>
  </si>
  <si>
    <t>cgeo-cgeo-5851</t>
  </si>
  <si>
    <t>"Invite Friends" IllegalArgumentException</t>
  </si>
  <si>
    <t xml:space="preserve">      Detailed steps causing the problem:
  Open GC6NW52 (or GC5BRQK)
  menu    Invite friends
      Actual behavior after performing these steps:
App crash
      Expected behavior after performing these steps:
Invite friend activity should start
      Version of c:geo used:
master
      Is the problem reproducible for you 
Yes
      System information:
    System information    
Device: m8 (cm m8  htc)
Android version: 5 1 1
Android build: cm m8 userdebug 5 1 1 LMY48Y a4d1ba3b73 test keys
Cgeo version: 2016 07 21 621ba36 developer build
Google Play services: enabled
Low power mode: inactive
Compass capabilities: yes
Rotation vector sensor: present
Orientation sensor: present
Magnetometer   Accelerometer sensor: present
Direction sensor used: rotation vector
Hide own found: false
Map strategy: auto
HW acceleration: enabled (default state)
System language: en US
Log date format: 7 22 2016
Debug mode active: no
Geocaching sites enabled:
geocaching com: Logged in (Login OK)   PREMIUM
Installed cgeo plugins: none
    End of system information    
      Other comments and remarks:
Works with GC6EJJB
</t>
  </si>
  <si>
    <t>ac-pm-Inspeckage-35</t>
  </si>
  <si>
    <t>Application crashes on start when targeted by Inspeckage on LG G4 MM</t>
  </si>
  <si>
    <t xml:space="preserve">When I target an application (eg  Firefox  FM radio  any app) with Inspeckage and try to launch it (through Inspeckage or directly from native android launcher) the application immediately crashes with a system error message  The application has stop working  
  Mobile: LG G4 (H815)
  Android version:  6 0
  Kernel version: 3 10 84
  Software version: V20e 208 01
  Xposed framework installed in version 86 for arm64
  Inspeckage version: 1 4 1
Here are logcat with crash of Firefox
 logcat txt (https:  github com ac pm Inspeckage files 378214 logcat txt)
</t>
  </si>
  <si>
    <t>3meters-patchr-android-242</t>
  </si>
  <si>
    <t>Crash after Android tries to restore crashed activity</t>
  </si>
  <si>
    <t xml:space="preserve">Android tries to restart crashed activities and restore the back stack  We don t like that because our state is usually inconsistent  When image editor crashes  the restart escapes our guards and we get another crash:
07 24 09:18:08 113 com patchr android E AndroidRuntime: FATAL EXCEPTION: main
Process: com patchr android  PID: 6669
java lang RuntimeException: Unable to destroy activity  com patchr android com patchr ui MainScreen : java lang NullPointerException: Attempt to read from field  android support v4 widget SwipeRefreshLayout com patchr ui widgets ListWidget swipeRefresh  on a null object reference
    at android app ActivityThread performDestroyActivity(ActivityThread java:3831)
    at android app ActivityThread handleDestroyActivity(ActivityThread java:3849)
    at android app ActivityThread  wrap5(ActivityThread java)
    at android app ActivityThread H handleMessage(ActivityThread java:1398)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NullPointerException: Attempt to read from field  android support v4 widget SwipeRefreshLayout com patchr ui widgets ListWidget swipeRefresh  on a null object reference
    at com patchr ui fragments NearbyListFragment onActivityCreated(NearbyListFragment java:47)
    at android support v4 app Fragment performActivityCreated(Fragment java:2083)
    at android support v4 app FragmentManagerImpl moveToState(FragmentManager java:1129)
    at android support v4 app FragmentManagerImpl moveToState(FragmentManager java:1286)
    at android support v4 app FragmentManagerImpl moveToState(FragmentManager java:1268)
    at android support v4 app FragmentManagerImpl dispatchReallyStop(FragmentManager java:2170)
    at android support v4 app FragmentController dispatchReallyStop(FragmentController java:249)
    at android support v4 app FragmentActivity onReallyStop(FragmentActivity java:828)
    at android support v4 app FragmentActivity doReallyStop(FragmentActivity java:807)
    at android support v4 app FragmentActivity onDestroy(FragmentActivity java:384)
    at android support v7 app AppCompatActivity onDestroy(AppCompatActivity java:202)
    at com patchr ui BaseScreen onDestroy(BaseScreen java:140)
    at android app Activity performDestroy(Activity java:6422)
    at android app Instrumentation callActivityOnDestroy(Instrumentation java:1142)
    at android app ActivityThread performDestroyActivity(ActivityThread java:3818)
    at android app ActivityThread handleDestroyActivity(ActivityThread java:3849) 
    at android app ActivityThread  wrap5(ActivityThread java) 
    at android app ActivityThread H handleMessage(ActivityThread java:1398)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</si>
  <si>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OneBusAway-onebusaway-android-632</t>
  </si>
  <si>
    <t>NPE when hiding trip planning notification preference</t>
  </si>
  <si>
    <t xml:space="preserve">  Summary:   
From Android Developer Console for v2 1 1:
java lang RuntimeException: Unable to resume activity  com joulespersecond seattlebusbot org onebusaway android ui PreferencesActivity : java lang NullPointerException: Attempt to invoke virtual method  boolean android preference PreferenceCategory removePreference(android preference Preference)  on a null object reference
    at android app ActivityThread performResumeActivity(ActivityThread java:3103)
    at android app ActivityThread handleResumeActivity(ActivityThread java:3134)
    at android app ActivityThread H handleMessage(ActivityThread java:1388)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NullPointerException: Attempt to invoke virtual method  boolean android preference PreferenceCategory removePreference(android preference Preference)  on a null object reference
    at org onebusaway android ui PreferencesActivity onResume(PreferencesActivity java:172)
    at android app Instrumentation callActivityOnResume(Instrumentation java:1258)
    at android app Activity performResume(Activity java:6327)
    at android app ActivityThread performResumeActivity(ActivityThread java:3092)
  Steps to reproduce:   
Unknown
  Expected behavior:   
Not crash
  Observed behavior:   
Crash
  Device and Android version:   
First device:
Nexus 6 (shamu)
Manufacturer Google 
Android version Android 4 2 
RAM (MB) 3072 
Screen size 1440   2560 
Screen density (dpi) 560 
OpenGL ES version 3 0 
Native platform armeabi v7a 
CPU make Qualcomm 
CPU model APQ8084AB
Second device:
Nexus 5X (bullhead)
Manufacturer Google 
Android version Android 6 0 
RAM (MB) 2048 
Screen size 1080   1920 
Screen density (dpi) 420 
OpenGL ES version 3 1 
Native platform armeabi v7a 
CPU make Qualcomm 
CPU model MSM8992
</t>
  </si>
  <si>
    <t>requery-requery-232</t>
  </si>
  <si>
    <t>Repeated @Embedded fields conflict</t>
  </si>
  <si>
    <t xml:space="preserve">When specifying two fields in the same class with the same   Embeddable  reference  the generated embedded fields conflict (and the code generator errors) 
Minimal example:
 AutoValue
 Entity
public abstract class Bike  
     AutoValue Builder
    public static abstract class Builder  
        public abstract Builder setSeat(Seat seat) 
        public abstract Builder setSecondSeat(Seat secondSeat) 
        public abstract Bike build() 
    public static Builder builder()  
        return new AutoValue Bike Builder() 
     Embedded
    public abstract Seat getSeat() 
     Embedded
    public abstract Seat getSecondSeat() 
 AutoValue
 Embeddable
public abstract class Seat  
     AutoValue Builder
    public static abstract class Builder  
        public abstract Builder setMake(String name) 
        public abstract Builder setYear(int year) 
        public abstract Seat build() 
    public static Builder builder()  
        return new AutoValue Seat Builder() 
    public abstract String getMake() 
    public abstract int getYear() 
When attempting to build this  it attempts to recreate the  BikeType SeatType  generated class (crashes)  Further  the fields  make  and  year  are not namespaced  leading to a conflict 
Expected:
1   Bike SeatType  crash doesn t happen
2  Embedded fields are namespaced so they can be repeatedly composed 
I attempted to put together a PR but got over my head in  EntityGenerator generateAttribute   so opening an issue instead 
</t>
  </si>
  <si>
    <t>omkarmoghe-Pokemap-131</t>
  </si>
  <si>
    <t>FATAL EXCEPTION: Niantic Manager Thread</t>
  </si>
  <si>
    <t xml:space="preserve">  Run the app
  Log in
  Long click on the map
  bug: crash
suggestion : change Thread to RxJava observable with backgroundThread to avoid crashes
FATAL EXCEPTION: Niantic Manager Thread
                                                                        Process: com omkarmoghe pokemap  PID: 22647
                                                                        java lang RuntimeException: Generated message class  POGOProtos Map Fort FortDataOuterClass FortData Builder  missing method  getId  
                                                                            at com google protobuf GeneratedMessage getMethodOrDie(GeneratedMessage java:1806)
                                                                            at com google protobuf GeneratedMessage access 1100(GeneratedMessage java:61)
                                                                            at com google protobuf GeneratedMessage FieldAccessorTable SingularFieldAccessor  init (GeneratedMessage java:2095)
                                                                            at com google protobuf GeneratedMessage FieldAccessorTable SingularStringFieldAccessor  init (GeneratedMessage java:2694)
                                                                            at com google protobuf GeneratedMessage FieldAccessorTable ensureFieldAccessorsInitialized(GeneratedMessage java:1944)
                                                                            at POGOProtos Map Fort FortDataOuterClass FortData internalGetFieldAccessorTable(FortDataOuterClass java:327)
                                                                            at com google protobuf GeneratedMessage getDescriptorForType(GeneratedMessage java:108)
                                                                            at com google protobuf AbstractMessage equals(AbstractMessage java:119)
                                                                            at java util ArrayList remove(ArrayList java:418)
                                                                            at com pokegoapi api map MapObjects update(MapObjects java:190)
                                                                            at com pokegoapi api map Map getMapObjects(Map java:312)
                                                                            at com pokegoapi api map Map getMapObjects(Map java:250)
                                                                            at com pokegoapi api map Map getMapObjects(Map java:185)
                                                                            at com pokegoapi api map Map getMapObjects(Map java:175)
                                                                            at com pokegoapi api map Map getCatchablePokemon(Map java:101)
                                                                            at com omkarmoghe pokemap controllers net NianticManager 8 run(NianticManager java:284)
                                                                            at android os Handler handleCallback(Handler java:739)
                                                                            at android os Handler dispatchMessage(Handler java:95)
                                                                            at android os Looper loop(Looper java:158)
                                                                            at android os HandlerThread run(HandlerThread java:61)
                                                                         Caused by: java lang NoSuchMethodException: getId   
                                                                            at java lang Class getMethod(Class java:630)
                                                                            at java lang Class getMethod(Class java:609)
                                                                            at com google protobuf GeneratedMessage getMethodOrDie(GeneratedMessage java:1804)
                                                                            at com google protobuf GeneratedMessage access 1100(GeneratedMessage java:61) 
                                                                            at com google protobuf GeneratedMessage FieldAccessorTable SingularFieldAccessor  init (GeneratedMessage java:2095) 
                                                                            at com google protobuf GeneratedMessage FieldAccessorTable SingularStringFieldAccessor  init (GeneratedMessage java:2694) 
                                                                            at com google protobuf GeneratedMessage FieldAccessorTable ensureFieldAccessorsInitialized(GeneratedMessage java:1944) 
                                                                            at POGOProtos Map Fort FortDataOuterClass FortData internalGetFieldAccessorTable(FortDataOuterClass java:327) 
                                                                            at com google protobuf GeneratedMessage getDescriptorForType(GeneratedMessage java:108) 
                                                                            at com google protobuf AbstractMessage equals(AbstractMessage java:119) 
                                                                            at java util ArrayList remove(ArrayList java:418) 
                                                                            at com pokegoapi api map MapObjects update(MapObjects java:190) 
                                                                            at com pokegoapi api map Map getMapObjects(Map java:312) 
                                                                            at com pokegoapi api map Map getMapObjects(Map java:250) 
                                                                            at com pokegoapi api map Map getMapObjects(Map java:185) 
                                                                            at com pokegoapi api map Map getMapObjects(Map java:175) 
                                                                            at com pokegoapi api map Map getCatchablePokemon(Map java:101) 
                                                                            at com omkarmoghe pokemap controllers net NianticManager 8 run(NianticManager java:284) 
                                                                            at android os Handler handleCallback(Handler java:739) 
                                                                            at android os Handler dispatchMessage(Handler java:95) 
                                                                            at android os Looper loop(Looper java:158) 
                                                                            at android os HandlerThread run(HandlerThread java:61) 
</t>
  </si>
  <si>
    <t>OneBusAway-onebusaway-android-628</t>
  </si>
  <si>
    <t>NPE in TripDetailsListFragment.findIndexForStop()</t>
  </si>
  <si>
    <t xml:space="preserve">  Summary:   
From Android Developer Console for v2 0 16 and v2 1 0:
java lang NullPointerException: Attempt to invoke virtual method  boolean java lang String equals(java lang Object)  on a null object reference
    at org onebusaway android ui TripDetailsListFragment findIndexForStop(TripDetailsListFragment java:361)
    at org onebusaway android ui TripDetailsListFragment setScroller(TripDetailsListFragment java:713)
    at org onebusaway android ui TripDetailsListFragment setTripDetails(TripDetailsListFragment java:239)
    at org onebusaway android ui TripDetailsListFragment access 500(TripDetailsListFragment java:58)
    at org onebusaway android ui TripDetailsListFragment TripDetailsLoaderCallback onLoadFinished(TripDetailsListFragment java:427)
    at org onebusaway android ui TripDetailsListFragment TripDetailsLoaderCallback onLoadFinished(TripDetailsListFragment java:416)
    at android support v4 app LoaderManagerImpl LoaderInfo callOnLoadFinished(LoaderManager java:476)
    at android support v4 app LoaderManagerImpl LoaderInfo onLoadComplete(LoaderManager java:444)
    at android support v4 content Loader deliverResult(Loader java:126)
    at org onebusaway android ui TripDetailsListFragment TripDetailsLoader deliverResult(TripDetailsListFragment java:476)
    at org onebusaway android ui TripDetailsListFragment TripDetailsLoader deliverResult(TripDetailsListFragment java:449)
    at android support v4 content AsyncTaskLoader dispatchOnLoadComplete(AsyncTaskLoader java:249)
    at android support v4 content AsyncTaskLoader LoadTask onPostExecute(AsyncTaskLoader java:77)
    at android support v4 content ModernAsyncTask finish(ModernAsyncTask java:466)
    at android support v4 content ModernAsyncTask access 400(ModernAsyncTask java:48)
    at android support v4 content ModernAsyncTask InternalHandler handleMessage(ModernAsyncTask java:483)
    at android os Handler dispatchMessage(Handler java:102)
    at android os Looper loop(Looper java:145)
    at android app ActivityThread main(ActivityThread java:5942)
    at java lang reflect Method invoke(Native Method)
    at java lang reflect Method invoke(Method java:372)
    at com android internal os ZygoteInit MethodAndArgsCaller run(ZygoteInit java:1399)
    at com android internal os ZygoteInit main(ZygoteInit java:1194)
  Steps to reproduce:   
Unknown
  Expected behavior:   
Not crash
  Observed behavior:   
Crash
  Device and Android version:   
Droid Turbo (quark) 1   33 3 
LG G4 (p1)  1   33 3 
Galaxy S4 (jfltevzw)    1   33 3 
</t>
  </si>
  <si>
    <t>Freeyourgadget-Gadgetbridge-364</t>
  </si>
  <si>
    <t>Mi Band 1A recognized as 1S during firmware update</t>
  </si>
  <si>
    <t xml:space="preserve">I recently bought a Mi Band 1A and it came with firmware version 5 15 11 19 installed according to Gadgetbridge 0 11 2  Wiki recommends firmware version 5 15 7 14 so I tried installing the matching Mili 1a fw and it crashes Gadgetbridge every time I try it  I looked around the issues and the wiki but couldn t find a solution 
Checking the logs it seems to me like my 1A was detected as a 1S:
 07 26 19:58:42 993 10508 10508 E nodomain freeyourgadget gadgetbridge LoggingExceptionHandler: Caused by: java lang IllegalArgumentException: preparing single fw not allowed for 1S
I think it might be caused by wrong detection of heart rate support:
https:  github com Freeyourgadget Gadgetbridge blob 0 11 2 app src main java nodomain freeyourgadget gadgetbridge service devices miband operations UpdateFirmwareOperation java L53
</t>
  </si>
  <si>
    <t>marverenic-Jockey-102</t>
  </si>
  <si>
    <t>android kitkat</t>
  </si>
  <si>
    <t xml:space="preserve">Not working on kitkat it keeps crashing on the splash screen
</t>
  </si>
  <si>
    <t>ludomuse-Ludomuse-19</t>
  </si>
  <si>
    <t>Crash lors de passages trop rapides sur les jeux</t>
  </si>
  <si>
    <t xml:space="preserve">Si l on passe trop rapidement   la sc ne suivante sur un jeu avec des fade in out (avant la fin des animations) le jeu crash 
</t>
  </si>
  <si>
    <t>OneBusAway-onebusaway-android-641</t>
  </si>
  <si>
    <t>IllegalArgumentException when dismissing region dialog</t>
  </si>
  <si>
    <t xml:space="preserve">  Summary:   
From Android Developer Console for v2 1 1:
java lang IllegalArgumentException: View not attached to window manager
    at android view WindowManagerImpl findViewLocked(WindowManagerImpl java:378)
    at android view WindowManagerImpl removeView(WindowManagerImpl java:223)
    at android view Window LocalWindowManager removeView(Window java:432)
    at android app Dialog dismissDialog(Dialog java:278)
    at android app Dialog access 000(Dialog java:71)
    at android app Dialog 1 run(Dialog java:111)
    at android app Dialog dismiss(Dialog java:268)
    at org onebusaway android region ObaRegionsTask onPostExecute(ObaRegionsTask java:151)
    at org onebusaway android region ObaRegionsTask onPostExecute(ObaRegionsTask java:53)
    at android os AsyncTask finish(AsyncTask java:417)
    at android os AsyncTask access 300(AsyncTask java:127)
    at android os AsyncTask InternalHandler handleMessage(AsyncTask java:429)
    at android os Handler dispatchMessage(Handler java:99)
    at android os Looper loop(Looper java:130)
    at android app ActivityThread main(ActivityThread java:3687)
    at java lang reflect Method invokeNative(Native Method)
    at java lang reflect Method invoke(Method java:507)
    at com android internal os ZygoteInit MethodAndArgsCaller run(ZygoteInit java:842)
    at com android internal os ZygoteInit main(ZygoteInit java:600)
    at dalvik system NativeStart main(Native Method)
  Steps to reproduce:   
Unknown
  Expected behavior:   
Not crash
  Observed behavior:   
Crash
  Device and Android version:   
Manufacturer Samsung 
Android version Android 2 1 
RAM (MB) 128 
Screen size 800   480 
Screen density (dpi) 240 
OpenGL ES version 2 0 
Native platform armeabi v7a 
CPU make   
CPU model  
Interestingly  Google Play labels the Android version for this device as  Android 2 3 3   2 3 7   but the device details reports it as Android 2 1 above 
</t>
  </si>
  <si>
    <t>OneBusAway-onebusaway-android-640</t>
  </si>
  <si>
    <t>NPE when rendering Navigation Drawer</t>
  </si>
  <si>
    <t xml:space="preserve">  Summary:   
From Android Developer Console for v2 1 1:
java lang NullPointerException: Attempt to invoke virtual method  android view LayoutInflater android support v4 app FragmentActivity getLayoutInflater()  on a null object reference
    at org onebusaway android ui NavigationDrawerFragment makeNavDrawerItem(NavigationDrawerFragment java:396)
    at org onebusaway android ui NavigationDrawerFragment createNavDrawerItems(NavigationDrawerFragment java:380)
    at org onebusaway android ui NavigationDrawerFragment populateNavDrawer(NavigationDrawerFragment java:363)
    at org onebusaway android ui HomeActivity redrawNavigationDrawerFragment(HomeActivity java:1036)
    at org onebusaway android ui HomeActivity onRegionTaskFinished(HomeActivity java:1179)
    at org onebusaway android region ObaRegionsTask 2 run(ObaRegionsTask java:268)
    at android os Handler handleCallback(Handler java:746)
    at android os Handler dispatchMessage(Handler java:95)
    at android os Looper loop(Looper java:148)
    at android app ActivityThread main(ActivityThread java:5443)
    at java lang reflect Method invoke(Native Method)
    at com android internal os ZygoteInit MethodAndArgsCaller run(ZygoteInit java:728)
    at com android internal os ZygoteInit main(ZygoteInit java:618)
  Steps to reproduce:   
Unknown   It looks like the Regions Task is finishing and then trying to render the Navigation Drawer  and that is failing   So I m guessing the task is finishing earlier or later than the normal lifecycle (e g   maybe the user is closing the app fast) 
  Expected behavior:   
Not crash
  Observed behavior:   
Crash
  Device and Android version:   
Two devices:
Moto X (2nd Gen) (victara)
Manufacturer Motorola 
Android version Android 4 4 
RAM (MB) 2000 
Screen size 1080   1920 
Screen density (dpi) 480 
OpenGL ES version 3 0 
Native platform armeabi v7a 
CPU make Qualcomm 
CPU model MSM8974
DROID Turbo 2 (kinzie)
Manufacturer Motorola 
Android version Android 5 1 
RAM (MB) 3000 
Screen size 1440   2560 
Screen density (dpi) 640 
OpenGL ES version 3 1 
Native platform armeabi v7a 
CPU make Qualcomm 
CPU model MSM8994
</t>
  </si>
  <si>
    <t>WycliffeAssociates-translationRecorder-521</t>
  </si>
  <si>
    <t>Crashes when Home button is hit during backup</t>
  </si>
  <si>
    <t xml:space="preserve">Bibin or Roycen may have access to the tablet in question 
While backing up to the SD card  the application crashed 
</t>
  </si>
  <si>
    <t>commons-app-apps-android-commons-211</t>
  </si>
  <si>
    <t>NullPointerException: Attempt to invoke virtual method 'java.lang.String java.lang.String.replaceFirst(java.lang.String, java.lang.String)' on a null object reference</t>
  </si>
  <si>
    <t xml:space="preserve">Reported by me on 27 Jul (I was doing random stuff to test the crash report being sent to the right mailing list  but this crash is unrelated to the crash report change):
USER COMMENT testing crash report
ANDROID VERSION 5 0 1
APP VERSION NAME 1 22
BRAND samsung
PHONE MODEL GT I9505
CUSTOM DATA 
STACK TRACE java lang NullPointerException: Attempt to invoke virtual method  java lang String java lang String replaceFirst(java lang String  java lang String)  on a null object reference
at fr free nrw commons Utils makeThumbBaseUrl(Utils java:52)
at fr free nrw commons Media getImageUrl(Media java:62)
at fr free nrw commons Media getThumbnailUrl(Media java:108)
at fr free nrw commons media MediaDetailFragment displayMediaDetails(MediaDetailFragment java:187)
at fr free nrw commons media MediaDetailFragment onCreateView(MediaDetailFragment java:147)
at android support v4 app Fragment performCreateView(Fragment java:1974)
at android support v4 app FragmentManagerImpl moveToState(FragmentManager java:1067)
at android support v4 app FragmentManagerImpl moveToState(FragmentManager java:1252)
at android support v4 app BackStackRecord run(BackStackRecord java:742)
at android support v4 app FragmentManagerImpl execPendingActions(FragmentManager java:1617)
at android support v4 app FragmentManagerImpl executePendingTransactions(FragmentManager java:570)
at android support v4 app FragmentStatePagerAdapter finishUpdate(FragmentStatePagerAdapter java:164)
at android support v4 view ViewPager populate(ViewPager java:1177)
at android support v4 view ViewPager populate(ViewPager java:1025)
at android support v4 view ViewPager onMeasure(ViewPager java:1545)
at android view View measure(View java:18596)
at android view ViewGroup measureChildWithMargins(ViewGroup java:5827)
at android widget LinearLayout measureChildBeforeLayout(LinearLayout java:1435)
at android widget LinearLayout measureVertical(LinearLayout java:721)
at android widget LinearLayout onMeasure(LinearLayout java:612)
at android view View measure(View java:18596)
at android view ViewGroup measureChildWithMargins(ViewGroup java:5827)
at android widget FrameLayout onMeasure(FrameLayout java:430)
at android view View measure(View java:18596)
at android view ViewGroup measureChildWithMargins(ViewGroup java:5827)
at android widget FrameLayout onMeasure(FrameLayout java:430)
at android support v7 widget ContentFrameLayout onMeasure(ContentFrameLayout java:135)
at android view View measure(View java:18596)
at android view ViewGroup measureChildWithMargins(ViewGroup java:5827)
at android support v7 widget ActionBarOverlayLayout onMeasure(ActionBarOverlayLayout java:391)
at android view View measure(View java:18596)
at android view ViewGroup measureChildWithMargins(ViewGroup java:5827)
at android widget FrameLayout onMeasure(FrameLayout java:430)
at android view View measure(View java:18596)
at android view ViewGroup measureChildWithMargins(ViewGroup java:5827)
at android widget LinearLayout measureChildBeforeLayout(LinearLayout java:1435)
at android widget LinearLayout measureVertical(LinearLayout java:721)
at android widget LinearLayout onMeasure(LinearLayout java:612)
at android view View measure(View java:18596)
at android view ViewGroup measureChildWithMargins(ViewGroup java:5827)
at android widget FrameLayout onMeasure(FrameLayout java:430)
at com android internal policy impl PhoneWindow DecorView onMeasure(PhoneWindow java:2897)
at android view View measure(View java:18596)
at android view ViewRootImpl performMeasure(ViewRootImpl java:2248)
at android view ViewRootImpl measureHierarchy(ViewRootImpl java:1306)
at android view ViewRootImpl performTraversals(ViewRootImpl java:1548)
at android view ViewRootImpl doTraversal(ViewRootImpl java:1191)
at android view ViewRootImpl TraversalRunnable run(ViewRootImpl java:6642)
at android view Choreographer CallbackRecord run(Choreographer java:777)
at android view Choreographer doCallbacks(Choreographer java:590)
at android view Choreographer doFrame(Choreographer java:560)
at android view Choreographer FrameDisplayEventReceiver run(Choreographer java:763)
at android os Handler handleCallback(Handler java:739)
at android os Handler dispatchMessage(Handler java:95)
at android os Looper loop(Looper java:145)
at android app ActivityThread main(ActivityThread java:5951)
at java lang reflect Method invoke(Native Method)
at java lang reflect Method invoke(Method java:372)
at com android internal os ZygoteInit MethodAndArgsCaller run(ZygoteInit java:1399)
at com android internal os ZygoteInit main(ZygoteInit java:1194)
</t>
  </si>
  <si>
    <t>aws-amplify-aws-sdk-android-182</t>
  </si>
  <si>
    <t>Infinite Loop in AbstractKinesisRecorder.nextBatch(..)</t>
  </si>
  <si>
    <t xml:space="preserve">I found this loop after my Kinesis cache file was corrupted after my application stopped unexpectedly (crash or shut down)  The next time I called KinesisFirehoseRecorder submitAllRecords()  it get stuck in this infinite loop where it calls iterator peek()  tries to parse the data  catches an exception  calls continue  calls iterator peek()  etc  
while (iterator hasNext()    count   maxCount    size   maxSize)  
        String line   iterator peek() 
        if (line    null    line isEmpty())  
            continue 
           parse a line  Skip in case of corrupted data
        try  
            frp parse(line) 
          catch (Exception e)  
            Log w(TAG   Failed to read line  Skip    e) 
            continue 
</t>
  </si>
  <si>
    <t>omkarmoghe-Pokemap-300</t>
  </si>
  <si>
    <t>App crashes on launch</t>
  </si>
  <si>
    <t xml:space="preserve">Have just pulled latest changes and app crashes on launch  
 07 28 11:43:28 677 30063 30063 com omkarmoghe pokemap E AndroidRuntime: FATAL EXCEPTION: main
                                                                        Process: com omkarmoghe pokemap  PID: 30063
                                                                        java lang RuntimeException: Unable to start activity ComponentInfo com omkarmoghe pokemap com omkarmoghe pokemap views LoginActivity : java lang NullPointerException: Attempt to invoke virtual method  boolean java lang String contains(java lang CharSequence)  on a null object reference
                                                                            at android app ActivityThread performLaunchActivity(ActivityThread java:2426)
                                                                            at android app ActivityThread handleLaunchActivity(ActivityThread java:2490)
                                                                            at android app ActivityThread  wrap11(ActivityThread java)
                                                                            at android app ActivityThread H handleMessage(ActivityThread java:1354)
                                                                            at android os Handler dispatchMessage(Handler java:102)
                                                                            at android os Looper loop(Looper java:148)
                                                                            at android app ActivityThread main(ActivityThread java:5443)
                                                                            at java lang reflect Method invoke(Native Method)
                                                                            at com android internal os ZygoteInit MethodAndArgsCaller run(ZygoteInit java:728)
                                                                            at com android internal os ZygoteInit main(ZygoteInit java:618)
                                                                         Caused by: java lang NullPointerException: Attempt to invoke virtual method  boolean java lang String contains(java lang CharSequence)  on a null object reference
                                                                            at com omkarmoghe pokemap controllers app preferences PokemapSharedPreferences getLoginInfo(PokemapSharedPreferences java:66)
                                                                            at com omkarmoghe pokemap views LoginActivity onCreate(LoginActivity java:153)
                                                                            at android app Activity performCreate(Activity java:6245)
                                                                            at android app Instrumentation callActivityOnCreate(Instrumentation java:1130)
                                                                            at android app ActivityThread performLaunchActivity(ActivityThread java:2379)
                                                                            at android app ActivityThread handleLaunchActivity(ActivityThread java:2490) 
                                                                            at android app ActivityThread  wrap11(ActivityThread java) 
                                                                            at android app ActivityThread H handleMessage(ActivityThread java:1354) 
                                                                            at android os Handler dispatchMessage(Handler java:102) 
                                                                            at android os Looper loop(Looper java:148) 
                                                                            at android app ActivityThread main(ActivityThread java:5443) 
                                                                            at java lang reflect Method invoke(Native Method) 
                                                                            at com android internal os ZygoteInit MethodAndArgsCaller run(ZygoteInit java:728) 
                                                                            at com android internal os ZygoteInit main(ZygoteInit java:618) 
</t>
  </si>
  <si>
    <t>nextcloud-android-176</t>
  </si>
  <si>
    <t>android.os.TransactionTooLargeException</t>
  </si>
  <si>
    <t xml:space="preserve">java lang RuntimeException: Failure from system
    at android app ContextImpl sendStickyBroadcast(ContextImpl java:1021)
    at android content ContextWrapper sendStickyBroadcast(ContextWrapper java:509)
    at com owncloud android syncadapter FileSyncAdapter sendLocalBroadcast(FileSyncAdapter java:384)
    at com owncloud android syncadapter FileSyncAdapter synchronizeFolder(FileSyncAdapter java:282)
    at com owncloud android syncadapter FileSyncAdapter syncChildren(FileSyncAdapter java:354)
    at com owncloud android syncadapter FileSyncAdapter synchronizeFolder(FileSyncAdapter java:298)
    at com owncloud android syncadapter FileSyncAdapter syncChildren(FileSyncAdapter java:354)
    at com owncloud android syncadapter FileSyncAdapter synchronizeFolder(FileSyncAdapter java:298)
    at com owncloud android syncadapter FileSyncAdapter syncChildren(FileSyncAdapter java:354)
    at com owncloud android syncadapter FileSyncAdapter synchronizeFolder(FileSyncAdapter java:298)
    at com owncloud android syncadapter FileSyncAdapter onPerformSync(FileSyncAdapter java:187)
    at android content AbstractThreadedSyncAdapter SyncThread run(AbstractThreadedSyncAdapter java:272)
Caused by: android os TransactionTooLargeException: data parcel size 1645084 bytes
    at android os BinderProxy transactNative(Native Method)
    at android os BinderProxy transact(Binder java:503)
    at android app ActivityManagerProxy broadcastIntent(ActivityManagerNative java:3075)
    at android app ContextImpl sendStickyBroadcast(ContextImpl java:1016)
        11 more
Feedback: Trying to get sync to work with a file marked as available offline to sync changes from phone to server  App crashes when I try to open it after trying sync now in phone account settings that didn t sync the file to the server 
</t>
  </si>
  <si>
    <t>hesa-tranarappen-104</t>
  </si>
  <si>
    <t>video recording crashes when pressing androids back</t>
  </si>
  <si>
    <t xml:space="preserve">interrupting recording of a member with back key (android) causes crash  interrupting recording with cancel or flipping screen works though 
</t>
  </si>
  <si>
    <t>bitstadium-HockeySDK-Android-167</t>
  </si>
  <si>
    <t>App updating does not work when targeting the API 24 on Android N</t>
  </si>
  <si>
    <t xml:space="preserve">When targeting API 24 and running on an Android N device  the update manager s installation feature doesn t work 
UpdateManager will download the APK from hockeyapp (including requesting permission to access external storage)  but then it crashes with  FileUriExposedException (https:  developer android com reference android os FileUriExposedException html)  Here s the stack trace:
Process: com censored android  PID: 29021
android os FileUriExposedException: file:   storage emulated 0 Download 2e5b188e 41fc 45ed 9a50 d5b67bcfa515 apk exposed beyond app through Intent getData()
   at android os StrictMode onFileUriExposed(StrictMode java:1799)
   at android net Uri checkFileUriExposed(Uri java:2346)
   at android content Intent prepareToLeaveProcess(Intent java:8933)
   at android content Intent prepareToLeaveProcess(Intent java:8894)
   at android app Instrumentation execStartActivity(Instrumentation java:1517)
   at android app Activity startActivityForResult(Activity java:4224)
   at android app Activity startActivityForResult(Activity java:4183)
   at android app Activity startActivity(Activity java:4507)
   at android app Activity startActivity(Activity java:4475)
   at net hockeyapp android tasks DownloadFileTask onPostExecute(DownloadFileTask java:197)
   at net hockeyapp android tasks DownloadFileTask onPostExecute(DownloadFileTask java:34)
   at android os AsyncTask finish(AsyncTask java:660)
   at android os AsyncTask  wrap1(AsyncTask java)
   at android os AsyncTask InternalHandler handleMessage(AsyncTask java:677)
   at android os Handler dispatchMessage(Handler java:102)
   at android os Looper loop(Looper java:154)
   at android app ActivityThread main(ActivityThread java:6077)
   at java lang reflect Method invoke(Native Method)
   at com android internal os ZygoteInit MethodAndArgsCaller run(ZygoteInit java:865)
   at com android internal os ZygoteInit main(ZygoteInit java:755)
This issue can be easily reproduced by creating an app targeting API 24  running the app on Android N  and calling  net hockeyapp android UpdateManager register(this)  from the main activity s  onCreate(Bundle)  method 
</t>
  </si>
  <si>
    <t>QuantumBadger-RedReader-360</t>
  </si>
  <si>
    <t>Crashes when phone language is set to Arabic</t>
  </si>
  <si>
    <t xml:space="preserve">I always used my phone with English language  for some reason I needed to change my language to Arabic to test something on another app  then I launched Redreader and had a problem  Whenever I click a subreddit it crashes (I tried to choose from pinned subreddits  I think it s the same if I search or choose from subscribed subreddits but not sure)  Now I m using English again but thought I would share so you check out and other people who are using their phones in Arabic (and  probably  other  RTL  languages) won t miss this awesome app : )
And sure  the specs: Android 6 0  phone: LG G4 not rooted 
</t>
  </si>
  <si>
    <t>kartaview-android-10</t>
  </si>
  <si>
    <t>Can't upload an interrupted sequence</t>
  </si>
  <si>
    <t xml:space="preserve">I have a sequence that i can t upload  When I open the sequence there are no photos and if I try to upload the aplication crashes 
How I can attach more information to help the debug  There is any log 
</t>
  </si>
  <si>
    <t>yigit-android-priority-jobqueue-220</t>
  </si>
  <si>
    <t>Crash related to DB version</t>
  </si>
  <si>
    <t xml:space="preserve">Hi 
We are facing crashes in our android application related to this library  The play store version of the app used the older path job queue library (1 1 2)   We upgraded the version to use yirgit job queue (2 0 0 alpha5)   But sometimes when we try to upgrade the app from playstore version to latest one   we see this crash  This is device independent Could it be something wrong  with our usage of this library  
 07 28 10:49:25 186 29626 29626   E AndroidRuntime: FATAL EXCEPTION: main
                                                   java lang RuntimeException: Unable to create application android database sqlite SQLiteException: Can t downgrade database from version 11 to 3
                                                       at android app ActivityThread handleBindApplication(ActivityThread java:6320)
                                                       at android app ActivityThread access 1800(ActivityThread java:221)
                                                       at android app ActivityThread H handleMessage(ActivityThread java:1860)
                                                       at android os Handler dispatchMessage(Handler java:102)
                                                       at android os Looper loop(Looper java:158)
                                                       at android app ActivityThread main(ActivityThread java:7225)
                                                       at java lang reflect Method invoke(Native Method)
                                                       at com android internal os ZygoteInit MethodAndArgsCaller run(ZygoteInit java:1230)
                                                       at com android internal os ZygoteInit main(ZygoteInit java:1120)
                                                    Caused by: android database sqlite SQLiteException: Can t downgrade database from version 11 to 3
                                                       at android database sqlite SQLiteOpenHelper onDowngrade(SQLiteOpenHelper java:360)
                                                       at android database sqlite SQLiteOpenHelper getDatabaseLocked(SQLiteOpenHelper java:254)
                                                       at android database sqlite SQLiteOpenHelper getWritableDatabase(SQLiteOpenHelper java:163)
                                                       at com path android jobqueue persistentQueue sqlite SqliteJobQueue  init (SqliteJobQueue java:42)
                                                       at com path android jobqueue JobManager DefaultQueueFactory createPersistentQueue(JobManager java:594)
                                                       at com path android jobqueue JobManager  init (JobManager java:77)
                                                       at com path android jobqueue JobManager  init (JobManager java:61) 
</t>
  </si>
  <si>
    <t>kartaview-android-9</t>
  </si>
  <si>
    <t>Android App Crashes</t>
  </si>
  <si>
    <t xml:space="preserve"> From  MikeTho16 on July 27  2016 17:14 
I have had about six cases where the Android app crashes  I have a Samsung S3 with Android version 4 4 2  This happened twice on my way to work this morning which is about a 1 2 hour  15 mile drive  The app shut down after about five to 10 minutes of recording   It also happened a couple of times while walking with the app after only a few photos were taken  
 Copied from original issue: openstreetview openstreetview org 18 
</t>
  </si>
  <si>
    <t>fenimore-DemocracyDroid-7</t>
  </si>
  <si>
    <t>IndexOutOfBounds error</t>
  </si>
  <si>
    <t xml:space="preserve">Seemingly random crashes happen  I think it has something to do with the way tabs positions are sent around  Hard to reproduce  but it  ll crash if you mess around enough (switching between tabs frantically) 
</t>
  </si>
  <si>
    <t>coomar2841-android-multipicker-library-44</t>
  </si>
  <si>
    <t xml:space="preserve">I get resource not found while it tries to fetch App Name </t>
  </si>
  <si>
    <t xml:space="preserve">I get Resource not found after picking the pic from gallery   
on further debugging i found the library was crashing on a very simple thing   which was when it was trying to fetch app name from ApplicationInfo  
funny part was ur sample app works seamlessly on my phone and blue stacks 
but ur library integrated crashes     
wat is the best solution u propose     
</t>
  </si>
  <si>
    <t>gsantner-dandelion-42</t>
  </si>
  <si>
    <t>Cannot share images from within Diaspora to Telegram</t>
  </si>
  <si>
    <t xml:space="preserve">     General information
    Device:   eg Nexus 5
    Android Version:   eg Android 6 0 1 CopperheadOS
    Pod:   doesn t matter
    App source:   F Droid
    App version:   HEAD
I have:
   x  searched open and closed issues for duplicates
   x  read https:  github com Diaspora for Android diaspora android blob master CONTRIBUTING md
     Steps to reproduce
1  Long press on image and select  Share image 
2  select Telegram contact
     Expected result
What is the expected output  
Image appears in selected Telegram chat
What do you see instead 
Nothing happens
     Debug output
08 02 21:32:11 421 12800 12800   E AndroidRuntime: FATAL EXCEPTION: main
                                                   Process: org telegram messenger  PID: 12800
                                                   java lang NullPointerException: Attempt to invoke interface method  int java lang CharSequence length()  on a null object reference
                                                       at java util regex Matcher reset(Matcher java:177)
                                                       at java util regex Matcher  init (Matcher java:90)
                                                       at java util regex Pattern matcher(Pattern java:297)
                                                       at org telegram ui LaunchActivity handleIntent(LaunchActivity java:646)
                                                       at org telegram ui LaunchActivity onNewIntent(LaunchActivity java:1366)
                                                       at android app Instrumentation callActivityOnNewIntent(Instrumentation java:1212)
                                                       at android app Instrumentation callActivityOnNewIntent(Instrumentation java:1224)
                                                       at android app ActivityThread deliverNewIntents(ActivityThread java:2545)
                                                       at android app ActivityThread performNewIntents(ActivityThread java:2557)
                                                       at android app ActivityThread handleNewIntent(ActivityThread java:2566)
                                                       at android app ActivityThread  wrap12(ActivityThread java)
                                                       at android app ActivityThread H handleMessage(ActivityThread java:1416)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ExecInit main(ExecInit java:56)
                                                       at com android internal os RuntimeInit nativeFinishInit(Native Method)
                                                       at com android internal os RuntimeInit main(RuntimeInit java:251)
08 02 21:32:11 422 12800 12800   E AndroidRuntime: Error reporting crash
                                                   java lang RuntimeException: Bad file descriptor
                                                       at android os BinderProxy transactNative(Native Method)
                                                       at android os BinderProxy transact(Binder java:503)
                                                       at android app ActivityManagerProxy handleApplicationCrash(ActivityManagerNative java:4427)
                                                       at com android internal os RuntimeInit UncaughtHandler uncaughtException(RuntimeInit java:90)
                                                       at java lang ThreadGroup uncaughtException(ThreadGroup java:693)
                                                       at java lang ThreadGroup uncaughtException(ThreadGroup java:690)
This might be a bug on Telegrams side (Telegram FOSS 3 10 1  FDroid)  sharing to Conversations works as intended 
</t>
  </si>
  <si>
    <t>Beamanator-Ulti-Mate-68</t>
  </si>
  <si>
    <t>Game Crash: Game created from scratch and started (with time caps) then exited</t>
  </si>
  <si>
    <t xml:space="preserve">Game crashes when game has future time caps (CountDownTimer starts)  then game started  then:
1  Up button pressed
2  Back button pressed
3  Game Ended
Always crashes on:  io scoober ulti ulti mate GameDisplayFragment 6 onTick(GameDisplayFragment java:439)  getActivity returns null  so cannot do getActivity getResources 
</t>
  </si>
  <si>
    <t>nitaliano-react-native-mapbox-gl-394</t>
  </si>
  <si>
    <t>Crash when adding large polyline annotations</t>
  </si>
  <si>
    <t xml:space="preserve">I am creating an app where I need to draw driving directions over road networks  I ve been using annotations to draw the routes  but I am experiencing a crash without an error message if my route annotation is too large (typically occurs at over 3000 points)  I ve solved my particular problem by splitting the points up into smaller chunks and drawing many smaller annotations instead of one large annotation  but performance is still less than ideal (the component hangs while drawing the annotations)  I wonder if there s a better way of drawing driving directions (or any large polylines) on the map   How is it done in the Java SDK itself (https:  www mapbox com directions )  Should some directions interface be implemented in this library 
I ve put up a repo where you can reproduce the problem: https:  github com RagnarHal MapboxLargeAnnotationExample
</t>
  </si>
  <si>
    <t>tera-insights-2Q2R-android-5</t>
  </si>
  <si>
    <t>App sometimes crashes</t>
  </si>
  <si>
    <t xml:space="preserve">Refer to issue  4 for tested devices 
On both phones  register and sometimes authenticate crashed the app  displaying the default android  app has crashed  message 
I do not have any error messages because the problem seems to no longer happen  however  look out for it 
</t>
  </si>
  <si>
    <t>Dimezis-BlurView-22</t>
  </si>
  <si>
    <t>Crash, Fatal Exception: java.lang.ArrayIndexOutOfBoundsException</t>
  </si>
  <si>
    <t xml:space="preserve">Hi Dmitriy  Now I got a crash in blur view  I can t reproduce it on my devices  but it happens several time  It happened  only on Samsung SM G900F  This is crashlytics log:
 Fatal Exception: java lang ArrayIndexOutOfBoundsException: length 1024  index 1064
       at eightbitlab com blurview StackBlur blur(SourceFile:115)
       at eightbitlab com blurview DefaultBlurController blurAndSave(SourceFile:233)
       at eightbitlab com blurview DefaultBlurController drawBlurredContent(SourceFile:216)
       at eightbitlab com blurview BlurView draw(SourceFile:56)
       at android view View getDisplayList(View java:13397)
       at android view View getDisplayList(View java:13439)
       at android view View draw(View java:14217)
       at android view ViewGroup drawChild(ViewGroup java:3103)
       at android view ViewGroup dispatchDraw(ViewGroup java:2940)
       at android view View getDisplayList(View java:13392)
       at android view View getDisplayList(View java:13439)
       at android view View draw(View java:14217)
       at android view ViewGroup drawChild(ViewGroup java:3103)
       at android view ViewGroup dispatchDraw(ViewGroup java:2940)
       at android view View draw(View java:14503)
       at android widget FrameLayout draw(FrameLayout java:472)
       at com android internal policy impl PhoneWindow DecorView draw(PhoneWindow java:2326)
       at android view View getDisplayList(View java:13397)
       at android view View getDisplayList(View java:13439)
       at android view HardwareRenderer GlRenderer buildDisplayList(HardwareRenderer java:1582)
       at android view HardwareRenderer GlRenderer draw(HardwareRenderer java:1449)
       at android view ViewRootImpl draw(ViewRootImpl java:2388)
       at android view ViewRootImpl performDraw(ViewRootImpl java:2260)
       at android view ViewRootImpl performTraversals(ViewRootImpl java:1890)
       at android view ViewRootImpl doTraversal(ViewRootImpl java:1007)
       at android view ViewRootImpl TraversalRunnable run(ViewRootImpl java:5677)
       at android view Choreographer CallbackRecord run(Choreographer java:761)
       at android view Choreographer doCallbacks(Choreographer java:574)
       at android view Choreographer doFrame(Choreographer java:544)
       at android view Choreographer FrameDisplayEventReceiver run(Choreographer java:747)
       at android os Handler handleCallback(Handler java:733)
       at android os Handler dispatchMessage(Handler java:95)
       at android os Looper loop(Looper java:136)
       at android app ActivityThread main(ActivityThread java:5021)
       at java lang reflect Method invokeNative(Method java)
       at java lang reflect Method invoke(Method java:515)
       at com android internal os ZygoteInit MethodAndArgsCaller run(ZygoteInit java:827)
       at com android internal os ZygoteInit main(ZygoteInit java:643)
       at dalvik system NativeStart main(NativeStart java) 
Please look at it  maybe you have some ideas  
</t>
  </si>
  <si>
    <t>react-native-camera-react-native-camera-357</t>
  </si>
  <si>
    <t>Caused by: java.lang.RuntimeException: Camera is being used after Camera.release() was called</t>
  </si>
  <si>
    <t xml:space="preserve">    Steps to reproduce
1  AView push to BView then pop to AView with Navigator  and BView has Camera
2  Repeated step 1 several times  It will crash with log:
08 02 15:19:46 891 26725 26880 com rn basic E AndroidRuntime: FATAL EXCEPTION: AsyncTask  7
08 02 15:19:46 891 26725 26880 com rn basic E AndroidRuntime: Process: com rn basic  PID: 26725
08 02 15:19:46 891 26725 26880 com rn basic E AndroidRuntime: java lang RuntimeException: An error occurred while executing doInBackground()
08 02 15:19:46 891 26725 26880 com rn basic E AndroidRuntime:     at android os AsyncTask 3 done(AsyncTask java:309)
08 02 15:19:46 891 26725 26880 com rn basic E AndroidRuntime:     at java util concurrent FutureTask finishCompletion(FutureTask java:354)
08 02 15:19:46 891 26725 26880 com rn basic E AndroidRuntime:     at java util concurrent FutureTask setException(FutureTask java:223)
08 02 15:19:46 891 26725 26880 com rn basic E AndroidRuntime:     at java util concurrent FutureTask run(FutureTask java:242)
08 02 15:19:46 891 26725 26880 com rn basic E AndroidRuntime:     at android os AsyncTask SerialExecutor 1 run(AsyncTask java:234)
08 02 15:19:46 891 26725 26880 com rn basic E AndroidRuntime:     at java util concurrent ThreadPoolExecutor runWorker(ThreadPoolExecutor java:1113)
08 02 15:19:46 891 26725 26880 com rn basic E AndroidRuntime:     at java util concurrent ThreadPoolExecutor Worker run(ThreadPoolExecutor java:588)
08 02 15:19:46 891 26725 26880 com rn basic E AndroidRuntime:     at java lang Thread run(Thread java:818)
08 02 15:19:46 891 26725 26880 com rn basic E AndroidRuntime:  Caused by: java lang RuntimeException: Camera is being used after Camera release() was called
08 02 15:19:46 891 26725 26880 com rn basic E AndroidRuntime:     at android hardware Camera setHasPreviewCallback(Native Method)
08 02 15:19:46 891 26725 26880 com rn basic E AndroidRuntime:     at android hardware Camera setOneShotPreviewCallback(Camera java:953)
08 02 15:19:46 891 26725 26880 com rn basic E AndroidRuntime:     at com lwansbrough RCTCamera RCTCameraViewFinder onResult(RCTCameraViewFinder java:166)
08 02 15:19:46 891 26725 26880 com rn basic E AndroidRuntime:     at com lwansbrough RCTCamera BarcodeReader ReaderAsyncTask doInBackground(BarcodeReader java:62)
08 02 15:19:46 891 26725 26880 com rn basic E AndroidRuntime:     at com lwansbrough RCTCamera BarcodeReader ReaderAsyncTask doInBackground(BarcodeReader java:40)
08 02 15:19:46 891 26725 26880 com rn basic E AndroidRuntime:     at android os AsyncTask 2 call(AsyncTask java:295)
08 02 15:19:46 891 26725 26880 com rn basic E AndroidRuntime:     at java util concurrent FutureTask run(FutureTask java:237)
08 02 15:19:46 891 26725 26880 com rn basic E AndroidRuntime:     at android os AsyncTask SerialExecutor 1 run(AsyncTask java:234) 
08 02 15:19:46 891 26725 26880 com rn basic E AndroidRuntime:     at java util concurrent ThreadPoolExecutor runWorker(ThreadPoolExecutor java:1113) 
08 02 15:19:46 891 26725 26880 com rn basic E AndroidRuntime:     at java util concurrent ThreadPoolExecutor Worker run(ThreadPoolExecutor java:588) 
08 02 15:19:46 891 26725 26880 com rn basic E AndroidRuntime:     at java lang Thread run(Thread java:818) 
    Environment
    Node js version  : 3 8 3
    React Native version  : 0 30
    React Native platform   platform version  : Android 5 0
    react native camera
  Version  : master
</t>
  </si>
  <si>
    <t>lingochamp-FileDownloader-243</t>
  </si>
  <si>
    <t>The exception 'SQLite error: disk is full'  is not submitted to `FileDownloadListener#error`</t>
  </si>
  <si>
    <t xml:space="preserve">   
android database sqlite SQLiteConnection nativeExecuteForChangedRowCount (SQLiteConnection java)
android database sqlite SQLiteConnection executeForChangedRowCount (SQLiteConnection java:731)
android database sqlite SQLiteSession executeForChangedRowCount (SQLiteSession java:754)
android database sqlite SQLiteStatement executeUpdateDelete (SQLiteStatement java:64)
android database sqlite SQLiteDatabase updateWithOnConflict (SQLiteDatabase java:1565)
android database sqlite SQLiteDatabase update (SQLiteDatabase java:1514)
com liulishuo filedownloader services FileDownloadDBHelper update (SourceFile:340)
com liulishuo filedownloader services FileDownloadDBHelper updateError (SourceFile:286)
com liulishuo filedownloader services FileDownloadRunnable onError (SourceFile:701)
com liulishuo filedownloader services FileDownloadRunnable loop (SourceFile:384)
com liulishuo filedownloader services FileDownloadRunnable run (SourceFile:200)
java util concurrent ThreadPoolExecutor runWorker (ThreadPoolExecutor java:1080)
java util concurrent ThreadPoolExecutor Worker run (ThreadPoolExecutor java:573)
java lang Thread run (Thread java:838)
this is a stacktrace of an error I got from crash reports of firebase  It hurts some of my users  Different Android version (17 23)  different devices  
I see that error themes that user is out of free space  But is that internal system partition  where application data is stored(data data  app package name )  or some other partition  And also how can this be fixed  or at least how can I get called back about this error to show some message to user 
</t>
  </si>
  <si>
    <t>OneBusAway-onebusaway-android-649</t>
  </si>
  <si>
    <t>OBA App crashes when using custom api url</t>
  </si>
  <si>
    <t xml:space="preserve">  Summary:   
The app crashes if the settings are accessed after setting a custom api url 
  Steps to reproduce:   
1   Reinstall app
2   Go to settings  enter in a custom api url
3   Exit settings and go to map
4   Find and click a stop to see arrival times
5   Go back to the menu and tap  settings       app crashes here
  Expected behavior:   
Should go back into settings menu without crashing 
  Observed behavior:   
App crashed 
  Device and Android version:   
Make Model:  LG G3 (LG D850)
Android version:  6 0
</t>
  </si>
  <si>
    <t>3meters-patchr-android-244</t>
  </si>
  <si>
    <t>Crash trying to use Adobe login</t>
  </si>
  <si>
    <t xml:space="preserve">When trying to use additional Adobe content packs that require login using adobe account  we crash 
java lang NullPointerException: Attempt to invoke virtual method  android content SharedPreferences android content Context getSharedPreferences(java lang String  int)  on a null object reference
        at com adobe creativesdk foundation internal auth AdobeCSDKAuthAESKeyMgr getStringFromAuthAESFoundationPreference(AdobeCSDKAuthAESKeyMgr java:168)
        at com adobe creativesdk foundation internal auth AdobeCSDKAuthAESKeyMgr getAESKeyFromPreference Common(AdobeCSDKAuthAESKeyMgr java:177)
        at com adobe creativesdk foundation internal auth AdobeCSDKAuthAESKeyMgr getFoundation AESKey fromPreference(AdobeCSDKAuthAESKeyMgr java:195)
        at com adobe creativesdk foundation internal auth AdobeCSDKAuthAESKeyMgr getFoundationAuthAESKey(AdobeCSDKAuthAESKeyMgr java:122)
        at com adobe creativesdk foundation internal auth AdobeAuthIdentityManagementService  init (AdobeAuthIdentityManagementService java:163)
        at com adobe creativesdk foundation internal auth AdobeAuthIdentityManagementService getSharedInstance(AdobeAuthIdentityManagementService java:182)
        at com adobe creativesdk foundation internal analytics AdobeAnalyticsGlobalData addActionData(AdobeAnalyticsGlobalData java:37)
        at com adobe creativesdk foundation internal analytics AdobeAnalyticsSDKReporter trackAction(AdobeAnalyticsSDKReporter java:221)
        at com adobe creativesdk foundation internal analytics AdobeAnalyticsSDKReporter trackAuthStep(AdobeAnalyticsSDKReporter java:177)
        at com adobe creativesdk foundation internal auth AdobeAuthManager login(AdobeAuthManager java:320)
        at com adobe creativesdk aviary internal account AdobeBillingContentManager login(AdobeBillingContentManager java:261)
        at com adobe creativesdk aviary internal account BillingContentFactory requestLogin(BillingContentFactory java:488)
        at com adobe creativesdk aviary AdobeImageBillingService requestLogin(AdobeImageBillingService java:158)
        at com adobe creativesdk aviary dialogs LoginDialogFragment onClick(LoginDialogFragment java:281)
        at android view View performClick(View java:5204)
        at android view View PerformClick run(View java:21153)
        at android os Handler handleCallback(Handler java:739)
        at android os Handler dispatchMessage(Handler java:95)
        at android os Looper loop(Looper java:148)
        at android app ActivityThread main(ActivityThread java:5417)
        at java lang reflect Method invoke(Method java: 2)
        at com android internal os ZygoteInit MethodAndArgsCaller run(ZygoteInit java:726)
        at com android internal os ZygoteInit main(ZygoteInit java:616)
</t>
  </si>
  <si>
    <t>mozilla-magnet-magnet-client-200</t>
  </si>
  <si>
    <t>Crash: 'Unfortunately, project magnet has stopped'</t>
  </si>
  <si>
    <t xml:space="preserve">There is something that causes this crash  I can reproduce it 100  with the automated tests (please see video: https:  youtu be sMK65BxEtLs) but not manually  although I got to see it 
With the automated tests it happens just when disabling bt and opening the app  but manually it is not reproducible following the same steps  It seems to happen when disabling bluetooth and leaving the app in background for a while but so far I see it randomly 
I was wondering if there was something wrong with the automated tests  but once I saw it at least once manually there is something that is causing this  
I will investigate further to try to get some clear steps 
</t>
  </si>
  <si>
    <t>Pushjet-Pushjet-Android-9</t>
  </si>
  <si>
    <t>Crashing when opening app</t>
  </si>
  <si>
    <t xml:space="preserve">I have submitted a report via the android feedback mechanism but no idea if its ended up in the right hands 
The app installed fine and I was able to subscribe to my channel  After a few days I can no longer open the app  It immediately crashes with   
Exception class name:
java lang OutOfMemoryError
Source file:
VMRuntime java
Source Class
dalvik system VMRuntime
Line number
 2
My device has plenty of RAM available and the same occurs immediately after a reboot  Strangely I still receive notifications from my subscriptions as normal  its just opening the app which doesnt work  After uninstalling and reinstalling it works for a few days then the problem reoccurs 
Running CyanagenMod 13 (MM) on a OnePlus One
</t>
  </si>
  <si>
    <t>UWICompSociety-FSTApp-4</t>
  </si>
  <si>
    <t>Video Player Acitivity Crash</t>
  </si>
  <si>
    <t xml:space="preserve">App crashes when you click on one of the videos to play it 
logcat:
  Unable to start activity ComponentInfo com uwimonacs fstmobile com uwimonacs fstmobile activities PlayerActivity : android view InflateException: Binary XML file line  37: Error inflating class Button
</t>
  </si>
  <si>
    <t>UWICompSociety-FSTApp-3</t>
  </si>
  <si>
    <t>SettingsActivity Crash</t>
  </si>
  <si>
    <t xml:space="preserve">On pre lolipop devices app crashes when you go to settings 
logcat:
  This Activity already has an action bar supplied by the window decor  Do not request Window FEATURE SUPPORT ACTION BAR and set windowActionBar to false in your theme to use a Toolbar instead 
</t>
  </si>
  <si>
    <t>UWICompSociety-FSTApp-2</t>
  </si>
  <si>
    <t>SASLoginActivity Crash</t>
  </si>
  <si>
    <t xml:space="preserve">On pre lolipop devices the app crashes when you go to the login activity to sas  debug message mentions  something about textinputlayout and something to do with the theme
</t>
  </si>
  <si>
    <t>Ereza-CustomActivityOnCrash-26</t>
  </si>
  <si>
    <t>custom theme</t>
  </si>
  <si>
    <t xml:space="preserve">hi  awesome stuff you made 
not an expert on Android  but i m trying to use this to style the crash activity  mainly its action bar colors but with no success
    xml
  xml version  1 0  encoding  utf 8   
 resources 
     style name  AppTheme  parent  Theme AppCompat Light NoActionBar  
         item name  colorPrimary   color primary  item 
         item name  colorPrimaryDark   color primary dark  item 
         item name  colorAccent   color accent  item 
      style 
     style name  CustomActivityOnCrashTheme  parent  AppTheme    
  resources 
my app s activity action bar is styled in red colors  whoever the crash activity action bar is in blue
</t>
  </si>
  <si>
    <t>google-ExoPlayer-1716</t>
  </si>
  <si>
    <t>[DASH] Crash when receiving empty SegmentTimeline</t>
  </si>
  <si>
    <t xml:space="preserve">When the player receives the following MPD it crashes:
    xml
  xml version  1 0  encoding  utf 8   
 MPD xmlns:xsi  http:  www w3 org 2001 XMLSchema instance 
    xmlns  urn:mpeg:dash:schema:mpd:2011 
    xmlns:xlink  http:  www w3 org 1999 xlink 
    xsi:schemaLocation  urn:mpeg:DASH:schema:MPD:2011 http:  standards iso org ittf PubliclyAvailableStandards MPEG DASH schema files DASH MPD xsd 
    profiles  urn:mpeg:dash:profile:isoff live:2011 
    type  dynamic 
    minimumUpdatePeriod  PT0S 
    suggestedPresentationDelay  PT0S 
    publishTime  2016 08 04T07:25:53 
    timeShiftBufferDepth  PT0 0S 
    minBufferTime  PT0 0S  
     ProgramInformation 
      ProgramInformation 
     Period start  PT0 0S  
         AdaptationSet contentType  audio  segmentAlignment  true  bitstreamSwitching  true  
             Representation id  0  mimeType  audio mp4  codecs  mp4a 40 2  bandwidth  128000  audioSamplingRate  22050  
                 AudioChannelConfiguration schemeIdUri  urn:mpeg:dash:23003:3:audio channel configuration:2011  value  1    
                 SegmentTemplate timescale  22050  initialization  init stream RepresentationID  m4s  media  chunk stream RepresentationID   Number 05d  m4s  startNumber  1  
                     SegmentTimeline 
                      SegmentTimeline 
                  SegmentTemplate 
              Representation 
          AdaptationSet 
      Period 
  MPD 
The exception is:
E AndroidRuntime: FATAL EXCEPTION: ExoPlayerImplInternal:Handler
                  Process: com google android exoplayer2 demo  PID: 8455
                  java lang IndexOutOfBoundsException: Invalid index 0  size is 0
                      at java util ArrayList throwIndexOutOfBoundsException(ArrayList java:255)
                      at java util ArrayList get(ArrayList java:308)
                      at com google android exoplayer2 source dash manifest SegmentBase MultiSegmentBase getSegmentTimeUs(SegmentBase java:191)
                      at com google android exoplayer2 source dash manifest Representation MultiSegmentRepresentation getTimeUs(Representation java:252)
                      at com google android exoplayer2 source dash DefaultDashChunkSource RepresentationHolder updateRepresentation(DefaultDashChunkSource java:402)
                      at com google android exoplayer2 source dash DefaultDashChunkSource updateManifest(DefaultDashChunkSource java:128)
                      at com google android exoplayer2 source dash DashMediaPeriod updateManifest(DashMediaPeriod java:84)
                      at com google android exoplayer2 source dash DashMediaSource updatePeriod(DashMediaSource java:214)
                      at com google android exoplayer2 source dash DashMediaSource onManifestLoadCompleted(DashMediaSource java:203)
                      at com google android exoplayer2 source dash DashMediaSource ManifestCallback onLoadCompleted(DashMediaSource java:389)
                      at com google android exoplayer2 source dash DashMediaSource ManifestCallback onLoadCompleted(DashMediaSource java:383)
                      at com google android exoplayer2 upstream Loader LoadTask handleMessage(Loader java:356)
                      at android os Handler dispatchMessage(Handler java:102)
                      at android os Looper loop(Looper java:148)
                      at android os HandlerThread run(HandlerThread java:61)
                      at com google android exoplayer2 util PriorityHandlerThread run(PriorityHandlerThread java:40)
I originally thought that the crash was related to something else and opened another issue ( 1715)  but after some investigation it turned out that the crash is not related 
</t>
  </si>
  <si>
    <t>ukanth-afwall-555</t>
  </si>
  <si>
    <t xml:space="preserve"> A/libc: Fatal signal 13 (SIGPIPE)</t>
  </si>
  <si>
    <t xml:space="preserve"> 551 reopening as i got this when i close afwall window
6807 6807 dev ukanth ufirewall I art: System exit called  status: 0
6807 6807 dev ukanth ufirewall I AndroidRuntime: VM exiting with result code 0  cleanup skipped 
763 1003   D GraphicsStats: Buffer count: 7
763 1003   I WindowState: WIN DEATH: Window 7e6602 u0 dev ukanth ufirewall dev ukanth ufirewall MainActivity 
763 778   I libprocessgroup: Killing pid 6840 in uid 10068 as part of process group 6807
763 778   I libprocessgroup: Killing pid 7566 in uid 10068 as part of process group 6807
763 778   I ActivityManager: Process dev ukanth ufirewall (pid 6807) has died
763 778   W ActivityManager: Scheduling restart of crashed service dev ukanth ufirewall  service RootShell in 1000ms
763 778   W ActivityManager: Scheduling restart of crashed service dev ukanth ufirewall  log LogService in 11000ms
763 1003   W InputMethodManagerService: Got RemoteException sending setActive(false) notification to pid 6807 uid 10068
10060 10060   A libc: Fatal signal 13 (SIGPIPE)  code 0 in tid 10060 (dmesg)
333 333   I DEBUG: property debug db uid not set  NOT waiting for gdb 
333 333   I DEBUG: HINT: adb shell setprop debug db uid 100000
333 333   I DEBUG: HINT: adb forward tcp:5039 tcp:5039
333 333   A DEBUG:                                                                
333 333   A DEBUG: CM Version:  13 0 20160803 UNOFFICIAL temasek hlte 
333 333   A DEBUG: Build fingerprint:  samsung hltexx hlte:5 0 LRX21V N9005XXUGBOK6:user release keys 
333 333   A DEBUG: Revision:  0 
333 333   A DEBUG: ABI:  arm 
333 333   A DEBUG: pid: 10060  tid: 10060  name: dmesg      dmesg    
333 333   A DEBUG: signal 13 (SIGPIPE)  code 0 (SI USER)  fault addr         
333 333   A DEBUG:     r0 ffffffe0  r1 b6c40000  r2 00000283  r3 b6c4023f
333 333   A DEBUG:     r4 00000283  r5 b6c40000  r6 00000001  r7 00000004
333 333   A DEBUG:     r8 b6f98568  r9 00000000  sl 00000000  fp be8a1a3c
333 333   A DEBUG:     ip 00000000  sp be8a1988  lr b6f41ca9  pc b6e7de0c  cpsr 20060010
763 971   W NativeCrashListener: Couldn t find ProcessRecord for pid 10060
333 333   A DEBUG: backtrace:
333 333   E DEBUG: AM write failed: Broken pipe
333 333   A DEBUG:      00 pc 00041e0c   system lib libc so (write 12)
333 333   A DEBUG:      01 pc 00007ca5   system bin toybox
333 333   A DEBUG:      02 pc 00009a5d   system bin toybox
333 333   A DEBUG:      03 pc 0000a851   system bin toybox
333 333   A DEBUG:      04 pc 0000711d   system bin toybox
333 333   A DEBUG:      05 pc 00006d01   system bin toybox
333 333   A DEBUG:      06 pc 00007167   system bin toybox
333 333   A DEBUG:      07 pc 000173bd   system lib libc so (  libc init 44)
333 333   A DEBUG:      08 pc 00006c10   system bin toybox
333 333   A DEBUG: Tombstone written to:  data tombstones tombstone 08
763 797   I BootReceiver: Copying  data tombstones tombstone 08 to DropBox (SYSTEM TOMBSTONE)
763 899   I TemperatureHumiditySensor: Accuracy has been changed to 3
763 791   I ActivityManager: Start proc 10061:dev ukanth ufirewall u0a68 for service dev ukanth ufirewall  service RootShell
10061 10061   I art: Late enabling  Xcheck:jni
10061 10061 dev ukanth ufirewall W System: ClassLoader referenced unknown path:  data app dev ukanth ufirewall 1 lib arm
10061 10061 dev ukanth ufirewall I AFWall: Starting Log Service: while true  do dmesg  c   sleep 1   done for LogTarget: LOG
10061 10061 dev ukanth ufirewall I AFWall: rootSession is not Null
10061 10061 dev ukanth ufirewall D AFWall: logservice shell started
10102 10102   D AndroidRuntime:        START com android internal os RuntimeInit uid 0       
10102 10102   D AndroidRuntime: CheckJNI is OFF
16661 16661   D ICU: No timezone override file found:  data misc zoneinfo current icu icu tzdata dat
16661 16661   I Radio JNI: register android hardware Radio DONE
16661 16661   D AndroidRuntime: Calling main entry com android commands am Am
16661 16661   D AndroidRuntime: Shutting down VM
</t>
  </si>
  <si>
    <t>lgallard-qBittorrent-Controller-101</t>
  </si>
  <si>
    <t>Label crashes the app</t>
  </si>
  <si>
    <t xml:space="preserve">Labels still crashes (times out) the app  It seems that my labels with only a few torrents in them work fine  but my labels with a lot of torrents in them cause the app to crash 
Reported by Chris  via email 
</t>
  </si>
  <si>
    <t>codinguser-gnucash-android-532</t>
  </si>
  <si>
    <t>Selecting custom date range in reports causes the app to crash</t>
  </si>
  <si>
    <t xml:space="preserve">Open (any) reports section and select the spinner for custom date range  
The app crashes 
</t>
  </si>
  <si>
    <t>translation-cards-translation-cards-278</t>
  </si>
  <si>
    <t>App Crashes When User Clicks on 'Add New Card' Button</t>
  </si>
  <si>
    <t xml:space="preserve">  Description:  
When user opens a deck and clicks the  ADD NEW CARD  button to enter the card creation flow  the application crashes and a message appears informing the user  Unfortunately  Translation Cards has stopped  
  Steps to Reproduce:  
1  Open the App
2  From the My Decks view  click on one of the available decks
3  In the Deck  scroll down to the  ADD NEW CARD  button that appears at the bottom of the list of cards
4  Click on  ADD NEW CARD  
  Stack Trace:  
FATAL EXCEPTION: main
Process: org mercycorps translationcards  PID: 4034
java lang RuntimeException: Parcelable encountered IOException writing serializable object (name   org mercycorps translationcards activity addTranslation AddNewTranslationContext)
Caused by: java io NotSerializableException: org mercycorps translationcards service TranslationService
</t>
  </si>
  <si>
    <t>the-blue-alliance-the-blue-alliance-android-768</t>
  </si>
  <si>
    <t>Crashes on launch for lack of a client id in tba.properties</t>
  </si>
  <si>
    <t xml:space="preserve">To reproduce:
  Sync d to master at 19acc7d 
  Do the Firebase auth setup and add a    android src debug google services json  file 
  Launch on Android M or N emulator 
Result: Crash   Unable to start activity ComponentInfo    Caused by: java lang IllegalArgumentException: Given String is empty or null  at  GoogleSignInOptions gso      requestIdToken(clientId)  in  GoogleAuthProvider  init   
 Scroll horizontally to read this                
08 07 12:30:04 018 2939 2939 com thebluealliance androidclient development W System err: java io FileNotFoundException: tba properties
                                                                                                       beginning of crash
08 07 12:30:04 020 2939 2939 com thebluealliance androidclient development E AndroidRuntime: FATAL EXCEPTION: main
                                                                                             Process: com thebluealliance androidclient development  PID: 2939
                                                                                             java lang RuntimeException: Unable to start activity ComponentInfo com thebluealliance androidclient development com thebluealliance androidclient activities OnboardingActivity : java lang IllegalArgumentException: Given String is empty or null
                                                                                                 at android app ActivityThread performLaunchActivity(ActivityThread java:2416)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IllegalArgumentException: Given String is empty or null
                                                                                                 at com google android gms common internal zzab zzhs(Unknown Source)
                                                                                                 at com google android gms auth api signin GoogleSignInOptions Builder zzfs(Unknown Source)
                                                                                                 at com google android gms auth api signin GoogleSignInOptions Builder requestIdToken(Unknown Source)
                                                                                                 at com thebluealliance androidclient auth google GoogleAuthProvider  init (GoogleAuthProvider java:42)
                                                                                                 at com thebluealliance androidclient auth AuthModule provideGoogleAuthProvider(AuthModule java:34)
                                                                                                 at com thebluealliance androidclient auth AuthModule ProvideGoogleAuthProviderFactory get(AuthModule ProvideGoogleAuthProviderFactory java:31)
                                                                                                 at com thebluealliance androidclient auth AuthModule ProvideGoogleAuthProviderFactory get(AuthModule ProvideGoogleAuthProviderFactory java:10)
                                                                                                 at com thebluealliance androidclient auth AuthModule ProvideFirebaseAuthProviderFactory get(AuthModule ProvideFirebaseAuthProviderFactory java:36)
                                                                                                 at com thebluealliance androidclient auth AuthModule ProvideFirebaseAuthProviderFactory get(AuthModule ProvideFirebaseAuthProviderFactory java:10)
                                                                                                 at com thebluealliance androidclient activities OnboardingActivity MembersInjector injectMembers(OnboardingActivity MembersInjector java:39)
                                                                                                 at com thebluealliance androidclient activities OnboardingActivity MembersInjector injectMembers(OnboardingActivity MembersInjector java:9)
                                                                                                 at com thebluealliance androidclient di components DaggerAuthComponent inject(DaggerAuthComponent java:128)
                                                                                                 at com thebluealliance androidclient activities OnboardingActivity onCreate(OnboardingActivity java:90)
                                                                                                 at android app Activity performCreate(Activity java:6237)
                                                                                                 at android app Instrumentation callActivityOnCreate(Instrumentation java:1107)
                                                                                                 at android app ActivityThread performLaunchActivity(ActivityThread java:2369)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</si>
  <si>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translation-cards-translation-cards-279</t>
  </si>
  <si>
    <t>App crashes during DB migration</t>
  </si>
  <si>
    <t xml:space="preserve">After checking out 301c964  my app crashes on startup  Some of my ISO codes are stored as  INVALID  (rather than the expected  xx  or  null )  and  DatabaseHelper updateInvalidIso()  doesn t fix it correctly 
Since 2142f2fcc6f6224f6fa40aee152b591ef1972b88   LanguageService getIsoForLanguage  would return  INVALID  for an invalid mapping  but it was changed to return  xx  in 613037284bb35196b2e30778b72b157563cb66c9  The former commit made it into production but the latter didn t  so it s possible that this could affect users that got the most recent update 
However  I think this only arose for me because I temporarily added some fake languages to my language mappings and created decks with them  The crash would only happen to users who managed to save a deck with an invalid language mapping  which I don t think is possible through normal use of the app  
java lang RuntimeException: Unable to create application com android tools fd runtime BootstrapApplication: java lang IllegalArgumentException: Empty values
   at android app ActivityThread handleBindApplication(ActivityThread java:4710)
   at android app ActivityThread  wrap1(ActivityThread java)
   at android app ActivityThread H handleMessage(ActivityThread java:1405)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IllegalArgumentException: Empty values
   at android database sqlite SQLiteDatabase updateWithOnConflict(SQLiteDatabase java:1542)
   at android database sqlite SQLiteDatabase update(SQLiteDatabase java:1522)
   at org mercycorps translationcards model DatabaseHelper updateEmptyOrInvalidLabelAndIsoCodes(DatabaseHelper java:197)
   at org mercycorps translationcards model DatabaseHelper onUpgrade(DatabaseHelper java:162)
   at android database sqlite SQLiteOpenHelper getDatabaseLocked(SQLiteOpenHelper java:256)
   at android database sqlite SQLiteOpenHelper getReadableDatabase(SQLiteOpenHelper java:187)
   at org mercycorps translationcards repository DeckRepository retrieveKeyForDeckWithExternalId(DeckRepository java:122)
   at org mercycorps translationcards MainApplication checkForBundledDeckAndLoad(MainApplication java:98)
   at org mercycorps translationcards MainApplication onCreate(MainApplication java:70)
   at com android tools fd runtime BootstrapApplication onCreate(BootstrapApplication java:369)
   at android app Instrumentation callApplicationOnCreate(Instrumentation java:1013)
   at android app ActivityThread handleBindApplication(ActivityThread java:4707)
</t>
  </si>
  <si>
    <t>vexelon-dot-net-currencybg.app-13</t>
  </si>
  <si>
    <t>Не работи свалянето на валути</t>
  </si>
  <si>
    <t xml:space="preserve">                                                                        crash                                                                                    hot fix 
</t>
  </si>
  <si>
    <t>OneBusAway-onebusaway-android-653</t>
  </si>
  <si>
    <t>Trip plan activity is potentially referenced outside its lifecycle</t>
  </si>
  <si>
    <t xml:space="preserve">  Summary:   
I found this when fixing https:  github com OneBusAway onebusaway android issues 652 
When a user plans a trip  we poll the server for a period to check if there are any real time changes that might impact the trip (see https:  github com OneBusAway onebusaway android issues 617 issuecomment 234952817 for details)   If there are changes  we notify the user 
In  RealtimeServiceImpl showNotification()    mActivity  is referenced to get the Class to register with the notification  so when the user taps on the notification they are brought to the trip planning activity 
The issue here is that  showNotification()  is called from the  BroadcastReceiver onReceive()  within  RealtimeServiceImpl   which continues to poll the server after a trip is planned   So  the activity may have been killed by the time the  BroadcastReceiver  attempts to notify the user   This would then result in an NPE when trying to access  mActivity  
There is no other use of  mActivity  in  RealtimeServiceImpl   so I believe an easy fix for this is to pass in the  Class  instead of the  Activity  in the  RealtimeServiceImpl  constructor   I ll put together a PR for this 
cc  sdjacobs 
  Steps to reproduce:   
I haven t actually produced an NPE  but looking at the code this should do it:
1   Plan a trip
2   Kill the TripPlanActivity
3   Have the BroadcastReceiver generate a notification for a trip that s no longer recommended
  Expected behavior:   
Not crash
  Observed behavior:   
It would crash 
  Device and Android version:   
N A 
</t>
  </si>
  <si>
    <t>OneBusAway-onebusaway-android-652</t>
  </si>
  <si>
    <t>NPE on trip plan notifications</t>
  </si>
  <si>
    <t xml:space="preserve">  Summary:   
When planning a trip using the current master branch  I saw this crash on my device:
E AndroidRuntime: FATAL EXCEPTION: main
   Process: com joulespersecond seattlebusbot  PID: 28269
   java lang NullPointerException: Attempt to invoke virtual method  java lang Class java lang Object getClass()  on a null object reference
       at org onebusaway android directions realtime RealtimeServiceImpl showNotification(RealtimeServiceImpl java:196)
       at org onebusaway android directions realtime RealtimeServiceImpl access 000(RealtimeServiceImpl java:48)
       at org onebusaway android directions realtime RealtimeServiceImpl 1 onTripRequestComplete(RealtimeServiceImpl java:154)
       at org onebusaway android directions tasks TripRequest onPostExecute(TripRequest java:108)
       at org onebusaway android directions tasks TripRequest onPostExecute(TripRequest java:46)
       at android os AsyncTask finish(AsyncTask java:651)
       at android os AsyncTask access 500(AsyncTask java:180)
       at android os AsyncTask InternalHandler handleMessage(AsyncTask java:668)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It looks like I introduced this when refactoring via https:  github com OneBusAway onebusaway android commit 4a4331c2e9902d9a40baffcaec56834ce62b0f2f 
  Steps to reproduce:   
1  Plan a trip
2  Have the service try to issue a notification if the trip plan was no longer recommended
  Expected behavior:   
Not crash
  Observed behavior:   
Crash
  Device and Android version:   
Stock LG G4 w  Android 6 0
</t>
  </si>
  <si>
    <t>nextcloud-android-198</t>
  </si>
  <si>
    <t>IllegalArgumentException: Comparison method violates its general contract!</t>
  </si>
  <si>
    <t xml:space="preserve">    Actual behaviour
 Uploads view crashes
    Expected behaviour
 Uploads view shouldn t crash
    Steps to reproduce
1   Open the Uploads view in the drawer
    Backround
This bug has been reported several times on the Play developer console 
This bug is present in oC and Nc  
Research shows it is likely related to a wrongly implemented comparator and Android s swicth to JDK 7 which leads to Array sort using a different algorithm: https:  dertompson com 2012 11 23 sort algorithm changes in java 7 
    Environment data
Android version: 5 6 etc 
Device model: Nexus5X amoung others
Stock or customized system: stock
Nextcloud app version: 1 2 0
    Logs
     Nextcloud log (data nextcloud log)
java lang RuntimeException: Unable to start activity ComponentInfo com nextcloud client com owncloud android ui activity UploadListActivity : java lang IllegalArgumentException: Comparison method violates its general contract 
    at android app ActivityThread performLaunchActivity(ActivityThread java:2416)
    at android app ActivityThread handleLaunchActivity(ActivityThread java:2476)
    at android app ActivityThread  wrap11(ActivityThread java)
    at android app ActivityThread H handleMessage(ActivityThread java:1344)
    at android os Handler dispatchMessage(Handler java:102)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Caused by: java lang IllegalArgumentException: Comparison method violates its general contract 
    at java util TimSort mergeHi(TimSort java:882)
    at java util TimSort mergeAt(TimSort java:499)
    at java util TimSort mergeForceCollapse(TimSort java:440)
    at java util TimSort sort(TimSort java:219)
    at java util TimSort sort(TimSort java:169)
    at java util Arrays sort(Arrays java:2010)
    at com owncloud android ui adapter ExpandableUploadListAdapter 2 refresh(ExpandableUploadListAdapter java:154)
    at com owncloud android ui adapter ExpandableUploadListAdapter loadUploadItemsFromDb(ExpandableUploadListAdapter java:605)
    at com owncloud android ui adapter ExpandableUploadListAdapter  init (ExpandableUploadListAdapter java:176)
    at com owncloud android ui fragment UploadListFragment onStart(UploadListFragment java:102)
    at android support v4 app Fragment performStart(Fragment java:2000)
    at android support v4 app FragmentManagerImpl moveToState(FragmentManager java:1102)
    at android support v4 app FragmentManagerImpl moveToState(FragmentManager java:1252)
    at android support v4 app FragmentManagerImpl moveToState(FragmentManager java:1234)
    at android support v4 app FragmentManagerImpl dispatchStart(FragmentManager java:2051)
    at android support v4 app FragmentController dispatchStart(FragmentController java:185)
    at android support v4 app FragmentActivity onStart(FragmentActivity java:607)
    at com owncloud android ui activity BaseActivity onStart(BaseActivity java:186)
    at com owncloud android ui activity FileActivity onStart(FileActivity java:181)
    at android app Instrumentation callActivityOnStart(Instrumentation java:1237)
    at android app Activity performStart(Activity java:6268)
    at android app ActivityThread performLaunchActivity(ActivityThread java:2379)
        9 more
</t>
  </si>
  <si>
    <t>PhilJay-MPAndroidChart-2115</t>
  </si>
  <si>
    <t>setCircleRadius(0) not working on v3.0.0</t>
  </si>
  <si>
    <t xml:space="preserve">setCircleRadius(0) for lineCharts throws an error and crash the app 
java lang IllegalArgumentException: width and height must be   0
at android graphics Bitmap createBitmap(Bitmap java:829)
at android graphics Bitmap createBitmap(Bitmap java:808)
at android graphics Bitmap createBitmap(Bitmap java:775)
at com github mikephil charting renderer LineChartRenderer drawCircles(LineChartRenderer java:687)
at com github mikephil charting renderer LineChartRenderer drawExtras(LineChartRenderer java:595)
at com github mikephil charting charts BarLineChartBase onDraw(BarLineChartBase java:252)
at android view View draw(View java:16178)
at android view View updateDisplayListIfDirty(View java:15174)
at android view View draw(View java:15948)
at android view ViewGroup drawChild(ViewGroup java:3609)
at android view ViewGroup dispatchDraw(ViewGroup java:3399)
at android view View updateDisplayListIfDirty(View java:15169)
at android view View draw(View java:15948)
Edit : Found that there is the setDrawCircles method
</t>
  </si>
  <si>
    <t>OpenTreeMap-otm-android-275</t>
  </si>
  <si>
    <t>Exception in Nearby List screen parsing plot ID</t>
  </si>
  <si>
    <t xml:space="preserve">Error was reported by Rollbar 
Stacktrace:
 org json JSONException: Value null at id of type org json JSONObject 1 cannot be converted to int
1 at org json JSON typeMismatch (JSON java:100)
2 at org json JSONObject getInt (JSONObject java:481)
3 at org azavea otm data Plot getId (Plot java:106)
4 at org azavea otm data PlotContainer getAll (PlotContainer java:16)
5 at org azavea lists NearbyList getDisplayValues (NearbyList java:114)
6 at org azavea lists NearbyList getDisplayValues (NearbyList java:26)
7 at org azavea otm ui ListDisplay update (ListDisplay java:132)
8 at org azavea lists NearbyList notifyObservers (NearbyList java:171)
9 at org azavea lists NearbyList access 300 (NearbyList java:26)
10 at org azavea lists NearbyList 2 dataReceived (NearbyList java:159)
11 at org azavea lists NearbyList 2 dataReceived (NearbyList java:155)
12 at org azavea otm rest handlers ContainerRestHandler onSuccess (ContainerRestHandler java:17)
13 at com loopj android http JsonHttpResponseHandler 1 1 run (JsonHttpResponseHandler java:127)
Since this block of code is wrapped in a  try    catch  I don t think this is manifesting as a crash for the user   it probably just appears that this screen doesn t work 
It s unclear if this is a problem in the app or a problem in the API 
</t>
  </si>
  <si>
    <t>open-keychain-open-keychain-1908</t>
  </si>
  <si>
    <t>Key import crash: NPE when removing cert in canonicalize()</t>
  </si>
  <si>
    <t xml:space="preserve">This could be possibly related to the key  the key contains many IDs  OKC crashes on import from server or from file  I can import all other key fine  OKC also crashed on updating all keys and I added this key somehow before  I now removed it to test if updating all works and it does work now without a crash  But I can t import the key again into OKC  
Key Fingerprint is:  B83559F2E5B4743316FB760A9C44492F5D25FD75 (https:  pgp mit edu pks lookup search 0xB83559F2E5B4743316FB760A9C44492F5D25FD75 op index)
</t>
  </si>
  <si>
    <t>JoaquimLey-avenging-2</t>
  </si>
  <si>
    <t>mobile: Character fragment on configuration change</t>
  </si>
  <si>
    <t xml:space="preserve">ANR on configuration change in Character detail screen
   Context
App should not crash on the Character details screen rotation
   Process
  On the list screen click on any character
  On character details screen make the screen rotate 
  Application sometimes crashes
   Expected result
Should be able to rotate screen without loosing any info or causing ANRs
   Current result
Application sometimes crashes on configuration change
   Possible Fix
  Handle the save instance state and retrieve required data on resume 
</t>
  </si>
  <si>
    <t>JoaquimLey-avenging-1</t>
  </si>
  <si>
    <t>mobile: List fragment on configuration change</t>
  </si>
  <si>
    <t xml:space="preserve">ANR on configuration change in List screen
   Context
App should not crash on the List screen rotation
   Process
  On List screen make the screen rotate 
  Application sometimes crashes
   Expected result
Should be able to rotate screen without loosing any info or causing ANRs
   Current result
Application sometimes crashes on configuration change
   Possible Fix
  Handle the save instance state and retrieve required data on resume 
</t>
  </si>
  <si>
    <t>pedrovgs-EffectiveAndroidUI-23</t>
  </si>
  <si>
    <t>Crashed in Smartisan T1</t>
  </si>
  <si>
    <t xml:space="preserve">when i click item in the main view  it crashed  this is the error:
26643 26643 com github pedrovgs effectiveandroidui E AndroidRuntime: FATAL EXCEPTION: main
                                                                                        Process: com github pedrovgs effectiveandroidui  PID: 26643
                                                                                        android view InflateException: Binary XML file line  7: Error inflating class  unknown 
                                                                                            at android view LayoutInflater createView(LayoutInflater java:620)
                                                                                            at com android internal policy impl PhoneLayoutInflater onCreateView(PhoneLayoutInflater java:56)
                                                                                            at android view LayoutInflater onCreateView(LayoutInflater java:669)
                                                                                            at android view LayoutInflater createViewFromTag(LayoutInflater java:694)
                                                                                            at android view LayoutInflater rInflate(LayoutInflater java:755)
                                                                                            at android view LayoutInflater inflate(LayoutInflater java:492)
                                                                                            at android view LayoutInflater inflate(LayoutInflater java:397)
                                                                                            at com github pedrovgs effectiveandroidui ui renderer chapter ChapterRenderer inflate(ChapterRenderer java:61)
                                                                                            at com pedrogomez renderers Renderer onCreate(Renderer java:52)
                                                                                            at com pedrogomez renderers RendererBuilder createRenderer(RendererBuilder java:143)
                                                                                            at com pedrogomez renderers RendererBuilder build(RendererBuilder java:115)
                                                                                            at com pedrogomez renderers RendererAdapter getView(RendererAdapter java:89)
                                                                                            at android widget HeaderViewListAdapter getView(HeaderViewListAdapter java:220)
                                                                                            at android widget AbsListView obtainView(AbsListView java:2377)
                                                                                            at android widget ListView makeAndAddView(ListView java:1792)
                                                                                            at android widget ListView fillDown(ListView java:693)
                                                                                            at android widget ListView fillFromTop(ListView java:754)
                                                                                            at android widget ListView layoutChildren(ListView java:1632)
                                                                                            at android widget AbsListView onLayout(AbsListView java:2202)
                                                                                            at android view View layout(View java:14845)
                                                                                            at android view ViewGroup layout(ViewGroup java:4633)
                                                                                            at com github pedrovgs DraggableView onLayout(DraggableView java:433)
                                                                                            at android view View layout(View java:14845)
                                                                                            at android view ViewGroup layout(ViewGroup java:4633)
                                                                                            at android widget FrameLayout layoutChildren(FrameLayout java:453)
                                                                                            at android widget FrameLayout onLayout(FrameLayout java:388)
                                                                                            at android view View layout(View java:14845)
                                                                                            at android view ViewGroup layout(ViewGroup java:4633)
                                                                                            at android widget FrameLayout layoutChildren(FrameLayout java:453)
                                                                                            at android widget FrameLayout onLayout(FrameLayout java:388)
                                                                                            at android view View layout(View java:14845)
                                                                                            at android view ViewGroup layout(ViewGroup java:4633)
                                                                                            at android widget FrameLayout layoutChildren(FrameLayout java:453)
                                                                                            at android widget FrameLayout onLayout(FrameLayout java:388)
                                                                                            at android view View layout(View java:14845)
                                                                                            at android view ViewGroup layout(ViewGroup java:4633)
                                                                                            at android support v7 internal widget ActionBarOverlayLayout onLayout(ActionBarOverlayLayout java:437)
                                                                                            at android view View layout(View java:14845)
                                                                                            at android view ViewGroup layout(ViewGroup java:4633)
                                                                                            at android widget FrameLayout layoutChildren(FrameLayout java:453)
                                                                                            at android widget FrameLayout onLayout(FrameLayout java:388)
                                                                                            at android view View layout(View java:14845)
                                                                                            at android view ViewGroup layout(ViewGroup java:4633)
                                                                                            at android widget LinearLayout setChildFrame(LinearLayout java:1671)
                                                                                            at android widget LinearLayout layoutVertical(LinearLayout java:1525)
                                                                                            at android widget LinearLayout onLayout(LinearLayout java:1434)
                                                                                            at android view View layout(View java:14845)
                                                                                            at android view ViewGroup layout(ViewGroup java:4633)
                                                                                            at android widget FrameLayout layoutChildren(FrameLayout java:453)
                                                                                            at android widget FrameLayout onLayout(FrameLayout java:388)
                                                                                            at com android internal policy impl PhoneWindow DecorView onLayout(PhoneWindow java:2966)
                                                                                            at android view View layout(View java:14845)
                                                                                            at android view ViewGroup layout(ViewGroup java:4633)
                                                                                            at android view ViewRootImpl performLayout(ViewRootImpl java:2070)
                                                                                            at android view ViewRootImpl performTraversals(ViewRootImpl java:1810)
                                                                                            at android view ViewRootImpl doTraversal(ViewRootImpl java:1065)
                                                                                            at android view ViewRootImpl TraversalRunnable run(ViewRootImpl java:5790)
                                                                                            at android view Choreographer CallbackRecord run(Choreographer java:761)
                                                                                            at android view Choreographer doCallbacks(Choreographer java:574)
                                                                                            at android view Choreographer doFrame(Choreographer java:5
Error occurred in the line 61 of the ChapterRenderer class  this is the code:
  Override protected View inflate(LayoutInflater layoutInflater  ViewGroup viewGroup)  
    return layoutInflater inflate(R layout row chapter  viewGroup  false) 
i don t know why such a error occurred 
</t>
  </si>
  <si>
    <t>niclabs-adkintunmobile-androidclient-125</t>
  </si>
  <si>
    <t>HttpMultipartRequest.java line 168</t>
  </si>
  <si>
    <t xml:space="preserve">     in cl niclabs adkintunmobile utils volley HttpMultipartRequest buildPart
  Number of crashes: 1
  Impacted devices: 1
There s a lot more information about this crash on crashlytics com:
 https:  fabric io niclabs android apps cl niclabs adkintunmobile issues 57abb5e1ffcdc042506c2e49 (https:  fabric io niclabs android apps cl niclabs adkintunmobile issues 57abb5e1ffcdc042506c2e49)
</t>
  </si>
  <si>
    <t>davideas-FlexibleAdapter-161</t>
  </si>
  <si>
    <t>android:theme tag is not allowed in layout file.</t>
  </si>
  <si>
    <t xml:space="preserve">   I integrated FlexibleAdapter library for Sticky List in my project  And I have to define android:theme tag on my layout  But when I added android:theme tag  my project is crash because of sticky header enabled   I can create the header with section view  But when I will enable sticky header using   adapter enableStickyHeaders()    Then App will be crashed  
Actual behavior : App crash when call     adapter enableStickyHeaders()    If I have android:theme tag in layout file 
Expected behavior: App shouldn t crash  App should support the android:theme tag in layout file 
  Example design xml:   
   my view xml   
 RelativeLayout xmlns:android  http:  schemas android com apk res android 
    android:layout width  match parent 
    android:layout height  match parent 
    android:theme   style mytheme      will crash when i will add theme tag here 
 android support v7 widget RecyclerView
    android:id    id myRecyclerView 
    android:layout width  match parent 
    android:layout height  match parent    
    We have to include this for sticky header   
 include layout   layout sticky header layout    
  RelativeLayout 
  Coding:  
  adapter enableStickyHeaders()   will crash when I will call this 
  Error O P  
FATAL EXCEPTION: main
Process: stickyrecyvlerviewlistexample  PID: 32355
java lang ClassCastException: android view ContextThemeWrapper cannot be cast to android app Activity
at eu davidea flexibleadapter FlexibleAdapter getStickySectionHeadersHolder(FlexibleAdapter java:975)
at eu davidea flexibleadapter helpers StickyHeaderHelper initStickyHeadersHolder(StickyHeaderHelper java:113)
at eu davidea flexibleadapter helpers StickyHeaderHelper access 000(StickyHeaderHelper java:41)
at eu davidea flexibleadapter helpers StickyHeaderHelper 1 run(StickyHeaderHelper java:79)
at android os Handler handleCallback(Handler java:739)
at android os Handler dispatchMessage(Handler java:95)
at android os Looper loop(Looper java:145)
at android app ActivityThread main(ActivityThread java:6873)
at java lang reflect Method invoke(Native Method)
at java lang reflect Method invoke(Method java:372)
at com android internal os ZygoteInit MethodAndArgsCaller run(ZygoteInit java:1404)
at com android internal os ZygoteInit main(ZygoteInit java:1199)
</t>
  </si>
  <si>
    <t>react-native-camera-react-native-camera-367</t>
  </si>
  <si>
    <t>Camera does not appear to work with Android 6 (Marshmellow)</t>
  </si>
  <si>
    <t xml:space="preserve">    Steps to reproduce
1   Emulator works under android 4
2  Emulator and actual android 6 device does NOT WORK  crashes on the render with  Camera 
   3 
    Expected behaviour
Camera should open up in my app 
    Actual behaviour
Camera crashes the application   Works in Genymotion 4 0 Android emulator  crashes in any 6 0 emulator or LG G4 (running android 6) 
    Environment
    Node js version  :3 9 3
    React Native version  : 0 31 0
    React Native platform   platform version  : Android 6 0
    react native camera
  Version  : npm version or  master : Master
Also   IN any version the following occurs but may not be related:
My camera no longer works as well 
React Native 0 31 0
Android 6 does NOT WORK either in the emulator or on an actual device   The  Camera  crashes the app with no explaination 
Android 4 (Emulator) still DOES work 
This is perplexing 
Also this code snippit says that the module is undefined:
Error: TypeError: undefined is not a function (evaluating   reactNativeCamera2 default checkDeviceAuthorizationStatus() )
  test permissions()  
    try  
      console log(Camera checkDeviceAuthorizationStatus()) 
      catch(e)  
      console log( Error:     e) 
</t>
  </si>
  <si>
    <t>niclabs-adkintunmobile-androidclient-126</t>
  </si>
  <si>
    <t>DonutchartViewFragment.java line 3042</t>
  </si>
  <si>
    <t xml:space="preserve">     in cl niclabs adkintunmobile views connectiontype DonutchartViewFragment cl niclabs adkintunmobile utils display DoughnutChartBuilder createGraphicStatistic
  Number of crashes: 1
  Impacted devices: 1
There s a lot more information about this crash on crashlytics com:
 https:  fabric io niclabs android apps cl niclabs adkintunmobile issues 57acaa1dffcdc04250781afe (https:  fabric io niclabs android apps cl niclabs adkintunmobile issues 57acaa1dffcdc04250781afe)
</t>
  </si>
  <si>
    <t>kontalk-androidclient-780</t>
  </si>
  <si>
    <t>Crash on key exporting</t>
  </si>
  <si>
    <t xml:space="preserve">Can t use Kontalk on other device because I can t export zip archive with key  After entering the correct password application crashes 
Ask me for logs you are interested in and I ll attach them 
</t>
  </si>
  <si>
    <t>NemProject-NEMAndroidApp-242</t>
  </si>
  <si>
    <t>"NEM client crashed, sending report..." Namespaces &amp; Subdomains+Mosaics</t>
  </si>
  <si>
    <t xml:space="preserve">It seems there is a bug with multi sig   Namespaces   Subdomains Mosaics  I don t really know what happened but now the mob app keeps crashing every time I start it  I was playing with multisig nanoW Namespaces   Subdomains Mosaics  When I went to the mob  app to confirm m sig tx it just started crashing 
These are the addresses involved:
TBIG2FEVUMVSFCEDUM2OISQED5M2HUD67RYV6ZSE
TABFN75542Z66BPZMRZOP4QDUZRFABE6DNOZ3DIV
TDQUTONAF37FDIET6XXTNZP4O7SZX5LUHXDI3F6T
  photo 2016 08 12 19 38 28 (https:  cloud githubusercontent com assets 17099341 17631634 29caea4a 60c5 11e6 85ce 2f91b83805ee jpg)
Mobile: Samsung S3
Android 4 3
NEM 1 0 53
NDAZM2 KCD2XB 4Y7XMM J5UUZ3 2ZCBHE MHRHF4 3U3W
</t>
  </si>
  <si>
    <t>ably-demo-mobile-android-6</t>
  </si>
  <si>
    <t>Crash on sending message</t>
  </si>
  <si>
    <t xml:space="preserve">Can login to the app  send a message  but right after I send a message  the app crashes:
I System out: (INFO): TokenAuth authorise(): using cached token  expires   1471051651986
I System out: (INFO): TokenAuth getEncodedToken(): 
E AndroidRuntime: FATAL EXCEPTION: AsyncTask  1
                  Process: com ablydemo  PID: 2251
                  java lang RuntimeException: An error occurred while executing doInBackground()
                      at android os AsyncTask 3 done(AsyncTask java:318)
                      at java util concurrent FutureTask finishCompletion(FutureTask java:354)
                      at java util concurrent FutureTask setException(FutureTask java:223)
                      at java util concurrent FutureTask run(FutureTask java:242)
                      at android os AsyncTask SerialExecutor 1 run(AsyncTask java:243)
                      at java util concurrent ThreadPoolExecutor runWorker(ThreadPoolExecutor java:1133)
                      at java util concurrent ThreadPoolExecutor Worker run(ThreadPoolExecutor java:607)
                      at java lang Thread run(Thread java:761)
                   Caused by: org msgpack core MessageTypeException: Expected String  but got Map (81)
                      at org msgpack core MessageUnpacker unexpected(MessageUnpacker java:472)
                      at org msgpack core MessageUnpacker unpackRawStringHeader(MessageUnpacker java:1179)
                      at org msgpack core MessageUnpacker unpackString(MessageUnpacker java:916)
                      at io ably lib types BaseMessage readField(BaseMessage java:176)
                      at io ably lib types PresenceMessage readMsgpack(PresenceMessage java:108)
                      at io ably lib types PresenceMessage fromMsgpack(PresenceMessage java:120)
                      at io ably lib types PresenceSerializer readMsgpackArray(PresenceSerializer java:30)
                      at io ably lib types PresenceSerializer readMsgpack(PresenceSerializer java:37)
                      at io ably lib types PresenceSerializer PresenceBodyHandler handleResponseBody(PresenceSerializer java:105)
                      at io ably lib types PresenceSerializer PresenceBodyHandler handleResponseBody(PresenceSerializer java:94)
                      at io ably lib http PaginatedQuery handleResponse(PaginatedQuery java:114)
                      at io ably lib http PaginatedQuery handleResponse(PaginatedQuery java:23)
                      at io ably lib http Http httpExecute(Http java:392)
                      at io ably lib http Http ablyHttpExecute(Http java:283)
                      at io ably lib http Http get(Http java:207)
                      at io ably lib http PaginatedQuery get(PaginatedQuery java:49)
                      at io ably lib realtime Presence history(Presence java:466)
                      at io ably demo connection Connection 2 doInBackground(Connection java:110)
                      at android os AsyncTask 2 call(AsyncTask java:304)
</t>
  </si>
  <si>
    <t>k9mail-k-9-1561</t>
  </si>
  <si>
    <t>K9 Mail consistently crashing on email delete</t>
  </si>
  <si>
    <t xml:space="preserve">    Expected behaviour_x000D_
_x000D_
Email should be deleted and the next email in the list should be displayed_x000D_
    Actual behaviour_x000D_
_x000D_
I have K9 Mail installed on a Android Tablet Samsung Tab A and a Smartphone Moto G 1  I remember having problems with crashes a while back that stopped when I cleaned my trash folder _x000D_
_x000D_
Now  around the same day  K9 Mail crashes every time I delete an Email  I can see parts of the next email in the list sometimes  but not always  I cleaned the trash folder (now empty) and restarted the IMAP server  (No other program accessing the server has any trouble)  I found a consistent error logging from K9 Mail when deleting emails:_x000D_
_x000D_
   _x000D_
W CursorWindow(27940): Window is full: requested allocation 525 bytes  free space 363 bytes  window size 2097152 bytes_x000D_
W cr AwContents(27940): onDetachedFromWindow called when already detached  Ignoring_x000D_
E libEGL  (27940): validate display:255 error 3008 (EGL BAD DISPLAY)_x000D_
W VideoCapabilities(27940): Unrecognized profile 2130706433 for video avc_x000D_
W AudioCapabilities(27940): Unsupported mime audio amr wb plus_x000D_
W VideoCapabilities(27940): Unsupported mime video mpeg2_x000D_
W cr BindingManager(27940): Cannot call determinedVisibility()   never saw a connection for the pid: 27940_x000D_
W CursorWindow(27940): Window is full: requested allocation 525 bytes  free space 363 bytes  window size 2097152 bytes_x000D_
W CursorWindow(27940): Window is full: requested allocation 525 bytes  free space 363 bytes  window size 2097152 bytes_x000D_
W CursorWindow(27940): Window is full: requested allocation 525 bytes  free space 363 bytes  window size 2097152 bytes_x000D_
W cr BindingManager(27940): Cannot call determinedVisibility()   never saw a connection for the pid: 27940_x000D_
W cr BindingManager(27940): Cannot call determinedVisibility()   never saw a connection for the pid: 27940_x000D_
W CursorWindow(27940): Window is full: requested allocation 525 bytes  free space 363 bytes  window size 2097152 bytes_x000D_
W CursorWindow(27940): Window is full: requested allocation 525 bytes  free space 363 bytes  window size 2097152 bytes_x000D_
W CursorWindow(27940): Window is full: requested allocation 525 bytes  free space 363 bytes  window size 2097152 bytes_x000D_
W CursorWindow(27940): Window is full: requested allocation 525 bytes  free space 363 bytes  window size 2097152 bytes_x000D_
W CursorWindow(27940): Window is full: requested allocation 525 bytes  free space 363 bytes  window size 2097152 bytes_x000D_
E WifiStateMachine(  827): WifiStateMachine CMD START SCAN source  2 txSuccessRate 7 84 rxSuccessRate 7 34 targetRoamBSSID any RSSI  69_x000D_
E WifiStateMachine(  827): startDelayedScan send    22742 milli 20000_x000D_
E WifiStateMachine(  827): WifiStateMachine CMD START SCAN with age 20003 interval 151875 maxinterval 300000_x000D_
E WifiStateMachine(  827): WifiStateMachine CMD START SCAN full false_x000D_
E WifiStateMachine(  827): WifiStateMachine starting scan for  WLAN 001C4AA14D4E WPA PSK with 2437_x000D_
E WifiStateMachine(  827):  1 471 092 449 031 ms  noteScanstart no scan source uid  2_x000D_
E WifiStateMachine(  827):  1 471 092 449 093 ms  noteScanEnd no scan source onTime 0_x000D_
E WifiStateMachine(  827): wifi setScanResults statecom android server wifi WifiStateMachine ConnectedState c6e54e7 sup state COMPLETED debouncing false mConnectionRequests 1 selection  none _x000D_
E FastThread(  290): did not receive expected priority boost_x000D_
W CursorWindow(27940): Window is full: requested allocation 525 bytes  free space 363 bytes  window size 2097152 bytes_x000D_
W cr AwContents(27940): onDetachedFromWindow called when already detached  Ignoring_x000D_
W CursorWindow(27940): Window is full: requested allocation 525 bytes  free space 363 bytes  window size 2097152 bytes_x000D_
W CursorWindow(27940): Window is full: requested allocation 525 bytes  free space 363 bytes  window size 2097152 bytes_x000D_
W CursorWindow(27940): Window is full: requested allocation 525 bytes  free space 363 bytes  window size 2097152 bytes_x000D_
W CursorWindow(27940): Window is full: requested allocation 525 bytes  free space 363 bytes  window size 2097152 bytes_x000D_
W cr BindingManager(27940): Cannot call determinedVisibility()   never saw a connection for the pid: 27940_x000D_
W CursorWindow(27940): Window is full: requested allocation 270 bytes  free space 261 bytes  window size 2097152 bytes_x000D_
E CursorWindow(27940): Failed to read row 927  column 16 from a CursorWindow which has 927 rows  18 columns _x000D_
E AndroidRuntime(27940): FATAL EXCEPTION: main_x000D_
E AndroidRuntime(27940): Process: com fsck k9  PID: 27940_x000D_
E AndroidRuntime(27940): java lang IllegalStateException: Couldn t read row 927  col 16 from CursorWindow   Make sure the Cursor is initialized correctly before accessing data from it _x000D_
E AndroidRuntime(27940):        at android database CursorWindow nativeGetString(Native Method)_x000D_
E AndroidRuntime(27940):        at android database CursorWindow getString(CursorWindow java:438)_x000D_
E AndroidRuntime(27940):        at android database AbstractWindowedCursor getString(AbstractWindowedCursor java:51)_x000D_
E AndroidRuntime(27940):        at android database CursorWrapper getString(CursorWrapper java:114)_x000D_
E AndroidRuntime(27940):        at android database CursorWrapper getString(CursorWrapper java:114)_x000D_
E AndroidRuntime(27940):        at com fsck k9 provider EmailProvider SpecialColumnsCursor getString(EmailProvider java:796)_x000D_
E AndroidRuntime(27940):        at android database CursorWrapper getString(CursorWrapper java:114)_x000D_
E AndroidRuntime(27940):        at android database CursorWrapper getString(CursorWrapper java:114)_x000D_
E AndroidRuntime(27940):        at com fsck k9 fragment MessageListFragment getReferenceForPosition(MessageListFragment java:3069)_x000D_
E AndroidRuntime(27940):        at com fsck k9 fragment MessageListFragment isLast(MessageListFragment java:3062)_x000D_
E AndroidRuntime(27940):        at com fsck k9 activity MessageList configureMenu(MessageList java:1002)_x000D_
E AndroidRuntime(27940):        at com fsck k9 activity MessageList onPrepareOptionsMenu(MessageList java:938)_x000D_
E AndroidRuntime(27940):        at android app Activity onPreparePanel(Activity java:2851)_x000D_
E AndroidRuntime(27940):        at com android internal policy impl PhoneWindow preparePanel(PhoneWindow java:577)_x000D_
E AndroidRuntime(27940):        at com android internal policy impl PhoneWindow doInvalidatePanelMenu(PhoneWindow java:921)_x000D_
E AndroidRuntime(27940):        at com android internal policy impl PhoneWindow 1 run(PhoneWindow java:259)_x000D_
E AndroidRuntime(27940):        at android view Choreographer CallbackRecord run(Choreographer java:767)_x000D_
E AndroidRuntime(27940):        at android view Choreographer doCallbacks(Choreographer java:580)_x000D_
E AndroidRuntime(27940):        at android view Choreographer doFrame(Choreographer java:549)_x000D_
E AndroidRuntime(27940):        at android view Choreographer FrameDisplayEventReceiver run(Choreographer java:753)_x000D_
E AndroidRuntime(27940):        at android os Handler handleCallback(Handler java:739)_x000D_
E AndroidRuntime(27940):        at android os Handler dispatchMessage(Handler java:95)_x000D_
E AndroidRuntime(27940):        at android os Looper loop(Looper java:135)_x000D_
E AndroidRuntime(27940):        at android app ActivityThread main(ActivityThread java:5343)_x000D_
E AndroidRuntime(27940):        at java lang reflect Method invoke(Native Method)_x000D_
E AndroidRuntime(27940):        at java lang reflect Method invoke(Method java:372)_x000D_
E AndroidRuntime(27940):        at com android internal os ZygoteInit MethodAndArgsCaller run(ZygoteInit java:905)_x000D_
E AndroidRuntime(27940):        at com android internal os ZygoteInit main(ZygoteInit java:700)_x000D_
W ActivityManager(  827):   Force finishing activity 1 com fsck k9  activity MessageList_x000D_
W ActivityManager(  827): Activity pause timeout for ActivityRecord dea196 u0 com fsck k9  activity MessageList t6129 f _x000D_
   _x000D_
_x000D_
    Steps to reproduce_x000D_
1  Hmm  good question  Have lots of emails in various folders and start deleting _x000D_
   2 _x000D_
   3 _x000D_
    Environment_x000D_
_x000D_
K 9 Mail version:_x000D_
5 010_x000D_
Android version:_x000D_
5 1_x000D_
Account type (IMAP  POP3  WebDAV Exchange):_x000D_
IMAP_x000D_
</t>
  </si>
  <si>
    <t>ma1co-OpenMemories-Tweak-95</t>
  </si>
  <si>
    <t>Wifi + Telnet Crash when going back</t>
  </si>
  <si>
    <t xml:space="preserve">Started Wifi and Telnet (which work fine at this time)  when I now press back to get to the native camera UI  the camera crashes 
Testing on RX100 M3
</t>
  </si>
  <si>
    <t>rosenpin-always-on-amoled-217</t>
  </si>
  <si>
    <t>System UI crashed after plugin installed</t>
  </si>
  <si>
    <t xml:space="preserve">Not running a custom ROM  phone is rooted  Currently running 5 0 2 
  I managed to fix the issue  but this is a pretty crucial problem that might cause some people inconvenience 
  I am using a Galaxy S6 (SM G920A) 
  I insralled the Always On AMOLED apk and started the service and installed the hardware button disable plugin for the app  After installing  the Always On AMOLED app process crashed and my screen shut off  Since the plugin was also installed  I couldn t turn on the screen or enter recovery mode  My phone was pretty much in a bricked state  but the notification LED would still blink 
  After calling myself from a different phone  the screen finally lit up  showing that the System UI stopped  and from there I could disable the Always On AMOLED service 
  I just wanted to let you know about this issue  Sorry for the inconvenience 
   Device info:
 table 
 tr  td App version  td  td 0 9 1 97  td   tr 
 tr  td App version code  td  td 147  td   tr 
 tr  td Android build version  td  td G920AUCU1AOCE  td   tr 
 tr  td Android release version  td  td 5 0 2  td   tr 
 tr  td Android SDK version  td  td 21  td   tr 
 tr  td Android build ID  td  td LRX22G G920AUCU1AOCE  td   tr 
 tr  td Device brand  td  td samsung  td   tr 
 tr  td Device manufacturer  td  td samsung  td   tr 
 tr  td Device name  td  td zeroflteatt  td   tr 
 tr  td Device model  td  td SAMSUNG SM G920A  td   tr 
 tr  td Device product name  td  td zeroflteuc  td   tr 
 tr  td Device hardware name  td  td samsungexynos7420  td   tr 
 tr  td ABIs  td  td  arm64 v8a  armeabi v7a  armeabi   td   tr 
 tr  td ABIs (32bit)  td  td  armeabi v7a  armeabi   td   tr 
 tr  td ABIs (64bit)  td  td  arm64 v8a   td   tr 
  table 
   Extra info:
 table 
 tr  td showampm  td  td false  td   tr 
 tr  td google now shortcut  td  td false  td   tr 
 tr  td double tap action  td  td 1  td   tr 
 tr  td stop delay  td  td 0  td   tr 
 tr  td enabled  td  td true  td   tr 
 tr  td back button action  td  td 0  td   tr 
 tr  td camera shortcut  td  td false  td   tr 
 tr  td persistent notification  td  td true  td   tr 
 tr  td greenify enabled  td  td true  td   tr 
 tr  td permissiongrantingscreen  td  td true  td   tr 
 tr  td watchface clock  td  td 1  td   tr 
 tr  td proximity to lock  td  td false  td   tr 
 tr  td volume keys action  td  td 0  td   tr 
 tr  td startafterlock  td  td true  td   tr 
 tr  td screen orientation  td  td vertical  td   tr 
 tr  td swipe up action  td  td 0  td   tr 
 tr  td doze mode  td  td false  td   tr 
 tr  td notifications alerts  td  td false  td   tr 
 tr  td watchface battery  td  td 0  td   tr 
 tr  td watchface date  td  td 1  td   tr 
 tr  td notifications alerts preview  td  td true  td   tr 
 tr  td auto brightness  td  td false  td   tr 
 tr  td has soft keys  td  td false  td   tr 
 tr  td disable volume keys  td  td true  td   tr 
 tr  td rules  td  td always  td   tr 
 tr  td exit animation  td  td 1  td   tr 
 tr  td movement style  td  td 2  td   tr 
 tr  td battery rules  td  td 0  td   tr 
  table 
</t>
  </si>
  <si>
    <t>teotigraphix-CausticSDK-86</t>
  </si>
  <si>
    <t>root 'caustic' folder is being created, needs to be disabled for my apps</t>
  </si>
  <si>
    <t xml:space="preserve">As in my email  there are file permission problems or something that is crashing the apps if it exists already 
</t>
  </si>
  <si>
    <t>barteksc-AndroidPdfViewer-66</t>
  </si>
  <si>
    <t>RuntimeException: Unable to destroy activity NullPointerException: Attempt to invoke virtual method 'void android.view.View.dispatchDetachedFromWindow()' on a null object reference</t>
  </si>
  <si>
    <t xml:space="preserve">Updated to 2 0 and getting this error when hitting the back button from the PDF activity  Everything else loads up fine and the PDF view works great just when I try to exit that activity it crashes  I didn t change anything else besides remove the scroll bar  Thanks for the help and awesome library 
   pdfView fromFile(newFile)
                 defaultPage(0)
                 scrollHandle(new DefaultScrollHandle(getActivity()))
                 enableAnnotationRendering(true)
                 load() 
W OpenGLRenderer: Failed to set EGL SWAP BEHAVIOR on surface 0xdf214680  error EGL SUCCESS
E Surface: getSlotFromBufferLocked: unknown buffer: 0xdf92dc80
D jniPdfium: Destroy FPDF library
D AndroidRuntime: Shutting down VM
E AndroidRuntime: FATAL EXCEPTION: main
java lang RuntimeException: Unable to destroy activity  myapp PDFViewer PDFView activity : java lang NullPointerException: Attempt to invoke virtual method  void android view View dispatchDetachedFromWindow()  on a null object reference
                                                                                 at android app ActivityThread performDestroyActivity(ActivityThread java:3831)
                                                                                 at android app ActivityThread handleDestroyActivity(ActivityThread java:3849)
                                                                                 at android app ActivityThread  wrap5(ActivityThread java)
                                                                                 at android app ActivityThread H handleMessage(ActivityThread java:1398)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NullPointerException: Attempt to invoke virtual method  void android view View dispatchDetachedFromWindow()  on a null object reference
                                                                                 at android view ViewGroup dispatchDetachedFromWindow(ViewGroup java:3063)
                                                                                 at android view ViewGroup removeViewInternal(ViewGroup java:4603)
                                                                                 at android view ViewGroup removeViewInternal(ViewGroup java:4576)
                                                                                 at android view ViewGroup removeView(ViewGroup java:4507)
                                                                                 at android support v4 app FragmentManagerImpl moveToState(FragmentManager java:1165)
                                                                                 at android support v4 app FragmentManagerImpl moveToState(FragmentManager java:1252)
                                                                                 at android support v4 app FragmentManagerImpl moveToState(FragmentManager java:1234)
                                                                                 at android support v4 app FragmentManagerImpl dispatchDestroy(FragmentManager java:2083)
                                                                                 at android support v4 app FragmentController dispatchDestroy(FragmentController java:244)
                                                                                 at android support v4 app FragmentActivity onDestroy(FragmentActivity java:368)
                                                                                 at android support v7 app AppCompatActivity onDestroy(AppCompatActivity java:203)
                                                                                 at android app Activity performDestroy(Activity java:6407)
                                                                                 at android app Instrumentation callActivityOnDestroy(Instrumentation java:1142)
                                                                                 at android app ActivityThread performDestroyActivity(ActivityThread java:3818)
                                                                                 at android app ActivityThread handleDestroyActivity(ActivityThread java:3849) 
                                                                                 at android app ActivityThread  wrap5(ActivityThread java) 
                                                                                 at android app ActivityThread H handleMessage(ActivityThread java:1398)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I Process: Sending signal  PID: 9432 SIG: 9
</t>
  </si>
  <si>
    <t>gsantner-dandelion-52</t>
  </si>
  <si>
    <t>Rare crashes when bringing app back from background</t>
  </si>
  <si>
    <t xml:space="preserve">     General information
    Device:   Nexus 5
    Android Version:   CopperheadOS
    Pod:   doesn t matter
    Diaspora pod version:   doesn t matter
    App source:   self build (latest HEAD)
    App version:   eg 0 1 5
I have:
  searched open and closed issues for duplicates
  read  https:  github com Diaspora for Android diaspora android blob master CONTRIBUTING md 
  not submitted translations   see  Crowdin (https:  crowdin com project diaspora for android invite)  
     Steps to reproduce
1  Open Diaspora and follow a link (open with eg  Firefox)
2  Do something in other app
3  Switch back to Diaspora
     Expected result
What is the expected output  
Works as intended
What do you see instead 
I experience rare crashes (Diaspora has been stopped)
I ll try to reproduce it while logcat is running  I think a log I once got suggested that the webview has had a sigsev  I m on CopperheadOS  which uses Chromium as WebView  so this might only happen on CopperheadOS devices 
</t>
  </si>
  <si>
    <t>marzika-Snapprefs-155</t>
  </si>
  <si>
    <t>Latest commit break support for colour and text editor (Build #19)</t>
  </si>
  <si>
    <t xml:space="preserve">From the Jenkins build  19 is affected with the bug and  18 is good 
Snapchat would instantly crash on attempting to use either function  no logs in aLogcat from what i saw 
As of right now this can be solved by downgraded to build  18 because there was a clean up of unused functions for build  19 and it seems someone were mistakenly removed 
Sorry i was not able to get any logs  i will check if there were any produced from the crashes
 Commit  (https:  github com marzika Snapprefs commit d2172e67dd861d6d1c3c81adfabb5528c8251cd8) seems to be the culprit
Edit: minor bug ive noticed with  18 is that there do seem to be a few times where the editor will not show in  18 but it is solved with a reboot (seems to be random what parts show and dont  once the text editor showed but the colour editor didnt)
</t>
  </si>
  <si>
    <t>OneBusAway-onebusaway-android-669</t>
  </si>
  <si>
    <t>NPE when adding/updating stop in database</t>
  </si>
  <si>
    <t xml:space="preserve">  Summary:   
This is a long standing but infrequently occurring bug that I ve seen since v1 x  and has occurred most recently in v2 1 2 (staged rollout):
java lang NullPointerException: Attempt to invoke virtual method  android content ContentResolver android content Context getContentResolver()  on a null object reference
    at org onebusaway android provider ObaContract Stops insertOrUpdate(ObaContract java:533)
    at org onebusaway android ui ArrivalsListFragment addToDB(ArrivalsListFragment java:1507)
    at org onebusaway android ui ArrivalsListFragment onLoadFinished(ArrivalsListFragment java:435)
    at org onebusaway android ui ArrivalsListFragment onLoadFinished(ArrivalsListFragment java:89)
    at android support v4 app LoaderManagerImpl LoaderInfo callOnLoadFinished(LoaderManager java:476)
    at android support v4 app LoaderManagerImpl LoaderInfo reportStart(LoaderManager java:315)
    at android support v4 app LoaderManagerImpl doReportStart(LoaderManager java:819)
    at android support v4 app Fragment performStart(Fragment java:2009)
    at android support v4 app FragmentManagerImpl moveToState(FragmentManager java:1102)
    at android support v4 app FragmentManagerImpl moveToState(FragmentManager java:1252)
    at android support v4 app BackStackRecord run(BackStackRecord java:742)
    at android support v4 app FragmentManagerImpl execPendingActions(FragmentManager java:1617)
    at android support v4 app FragmentManagerImpl 1 run(FragmentManager java:517)
    at android os Handler handleCallback(Handler java:739)
    at android os Handler dispatchMessage(Handler java:95)
    at android os Looper loop(Looper java:158)
    at android app ActivityThread main(ActivityThread java:7230)
    at java lang reflect Method invoke(Native Method)
    at com android internal os ZygoteInit MethodAndArgsCaller run(ZygoteInit java:1230)
    at com android internal os ZygoteInit main(ZygoteInit java:1120)
  Steps to reproduce:   
Unknown   user comments:
    adding star to route from list of routes at a stop crashes it
    it radumbly stopped working
    app crashed when trying to filter route info at a stop
  Expected behavior:   
Not crash
  Observed behavior:   
Crash
  Device and Android version:   
A variety of devices  including:
  Galaxy S5 (kltetmo)
  Galaxy J1 (j1xlteaio)
  Galaxy S7 (heroqltetfnvzw)
  HTC One (m7)
  Moto X Pure Edition (clark)
   and a variety of Android versions  including 5 0  5 1  and 6 0 
</t>
  </si>
  <si>
    <t>vector-im-riot-android-387</t>
  </si>
  <si>
    <t>[VoIP] Caller crash if callee does not answer</t>
  </si>
  <si>
    <t xml:space="preserve">Steps:
1  A call B
2  B does not answser
3  A terminate the call
4  A crashes
  Note: a fix is available
</t>
  </si>
  <si>
    <t>fossasia-phimpme-android-11</t>
  </si>
  <si>
    <t xml:space="preserve">App crashed while mounting images from different accounts </t>
  </si>
  <si>
    <t xml:space="preserve">There is security exception as per the crash report 
java lang SecurityException: Permission Denial: not allowed to send broadcast android intent action MEDIA MOUNTED from pid 8193  uid 10325
                                                                   at android os Parcel readException(Parcel java:1620)
                                                                   at android os Parcel readException(Parcel java:1573)
                                                                   at android app ActivityManagerProxy broadcastIntent(ActivityManagerNative java:3074)
                                                                   at android app ContextImpl sendBroadcast(ContextImpl java:777)
                                                                   at android content ContextWrapper sendBroadcast(ContextWrapper java:402)
                                                                   at vn mbm phimp me newGallery DownloadImageAsyncTask onPostExecute(newGallery java:6951)
                                                                   at vn mbm phimp me newGallery DownloadImageAsyncTask onPostExecute(newGallery java:6704)
                                                                   at android os AsyncTask finish(AsyncTask java:651)
                                                                   at android os AsyncTask  wrap1(AsyncTask java)
                                                                   at android os AsyncTask InternalHandler handleMessage(AsyncTask java:668)
                                                                   at android os Handler dispatchMessage(Handler java:102)
                                                                   at android os Looper loop(Looper java:148)
                                                                   at android app ActivityThread main(ActivityThread java:5461)
                                                                   at java lang reflect Method invoke(Native Method)
                                                                   at com android internal os ZygoteInit MethodAndArgsCaller run(ZygoteInit java:726)
                                                                   at com android internal os ZygoteInit main(ZygoteInit java:616)
                                                                   at de robv android xposed XposedBridge main(XposedBridge java:102)
</t>
  </si>
  <si>
    <t>anyaudio-anyaudio-android-app-19</t>
  </si>
  <si>
    <t>App Crash Due to BroadcastReceiver</t>
  </si>
  <si>
    <t xml:space="preserve">App get crashed due to   Broadcast Receiver   
crash log
   java lang RuntimeException: Unable to instantiate receiver musicgenie com musicgenie activity ErrorSplashActivity ConnectivityBroadcastReceiver: java lang ClassNotFoundException: Didn t find class  musicgenie com musicgenie activity ErrorSplashActivity ConnectivityBroadcastReceiver  on path: DexPathList  zip file   data app musicgenie com musicgenie 1 base apk   nativeLibraryDirectories   vendor lib   system lib  
            at android app ActivityThread handleReceiver(ActivityThread java:2717)
            at android app ActivityThread access 1700(ActivityThread java:162)
            at android app ActivityThread H handleMessage(ActivityThread java:1489)
            at android os Handler dispatchMessage(Handler java:106)
            at android os Looper loop(Looper java:189)
            at android app ActivityThread main(ActivityThread java:5529)
            at java lang reflect Method invoke(Native Method)
            at java lang reflect Method invoke(Method java:372)
            at com android internal os ZygoteInit MethodAndArgsCaller run(ZygoteInit java:950)
            at com android internal os ZygoteInit main(ZygoteInit java:745)
     Caused by: java lang ClassNotFoundException: Didn t find class  musicgenie com musicgenie activity ErrorSplashActivity ConnectivityBroadcastReceiver  on path: DexPathList  zip file   data app musicgenie com musicgenie 1 base apk   nativeLibraryDirectories   vendor lib   system lib  
            at dalvik system BaseDexClassLoader findClass(BaseDexClassLoader java:56)
            at java lang ClassLoader loadClass(ClassLoader java:511)
            at java lang ClassLoader loadClass(ClassLoader java:469)
            at android app ActivityThread handleReceiver(ActivityThread java:2712)
            at android app ActivityThread access 1700(ActivityThread java:162)
            at android app ActivityThread H handleMessage(ActivityThread java:1489)
            at android os Handler dispatchMessage(Handler java:106)
            at android os Looper loop(Looper java:189)
            at android app ActivityThread main(ActivityThread java:5529)
            at java lang reflect Method invoke(Native Method)
            at java lang reflect Method invoke(Method java:372)
            at com android internal os ZygoteInit MethodAndArgsCaller run(ZygoteInit java:950)
            at com android internal os ZygoteInit main(ZygoteInit java:745)
    Suppressed: java lang ClassNotFoundException: musicgenie com musicgenie activity ErrorSplashActivity ConnectivityBroadcastReceiver
            at java lang Class classForName(Native Method)
            at java lang BootClassLoader findClass(ClassLoader java:781)
            at java lang BootClassLoader loadClass(ClassLoader java:841)
            at java lang ClassLoader loadClass(ClassLoader java:504)
                11 more
     Caused by: java lang NoClassDefFoundError: Class not found using the boot class loader  no stack available
There is no need of receivers as per current requirements
</t>
  </si>
  <si>
    <t>auth0-Lock.Android-331</t>
  </si>
  <si>
    <t>IllegalStateException in GoogleIdentityProvider.onPermissionsRequireExplanation</t>
  </si>
  <si>
    <t xml:space="preserve">Hi 
We upgraded to 1 17 0 and are having a major problem with the native Google authentication  We thought we were using the textbook integration :
   setup Auth0 and the native Google integration
ParameterBuilder paramsBuilder   ParameterBuilder newBuilder() 
String scope   ParameterBuilder SCOPE OFFLINE ACCESS     email  
Map String  Object  parameters   paramsBuilder setScope(scope) asDictionary() 
LockContext configureLock(
        new Lock Builder()
                 loadFromApplication(this)
                 withIdentityProvider(Strategies GooglePlus  new GoogleIdentityProvider(this))
                 authenticationParameters(parameters)
) 
When a user uses the Google authentication button  the native integration correctly asks for permission to access the contacts  then if the user cancels that request  all future use of the Google auth button will crash the app with this stacktrace :
08 18 22:55:40 078 24786 24786  REDACTED  E AndroidRuntime: FATAL EXCEPTION: main
                                                              Process:  REDACTED   PID: 24786
                                                              java lang RuntimeException: Could not dispatch event: class com auth0 lock event IdentityProviderAuthenticationRequestEvent to handler  EventHandler public void com auth0 lock LockActivity onIdentityProviderAuthentication(com auth0 lock event IdentityProviderAuthenticationRequestEvent) : You need to use a Theme AppCompat theme (or descendant) with this activity 
                                                                  at com squareup otto Bus throwRuntimeException(Bus java:456)
                                                                  at com squareup otto Bus dispatch(Bus java:386)
                                                                  at com squareup otto Bus dispatchQueuedEvents(Bus java:367)
                                                                  at com squareup otto Bus post(Bus java:336)
                                                                  at com auth0 lock fragment SmallSocialListFragment 1 onItemClick(SmallSocialListFragment java:84)
                                                                  at android widget AdapterView performItemClick(AdapterView java:310)
                                                                  at android widget AbsListView performItemClick(AbsListView java:1145)
                                                                  at android widget AbsListView PerformClick run(AbsListView java:3066)
                                                                  at android widget AbsListView 3 run(AbsListView java:3903)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IllegalStateException: You need to use a Theme AppCompat theme (or descendant) with this activity 
                                                                  at android support v7 app AppCompatDelegateImplV7 createSubDecor(AppCompatDelegateImplV7 java:343)
                                                                  at android support v7 app AppCompatDelegateImplV7 ensureSubDecor(AppCompatDelegateImplV7 java:312)
                                                                  at android support v7 app AppCompatDelegateImplV7 setContentView(AppCompatDelegateImplV7 java:277)
                                                                  at android support v7 app AppCompatDialog setContentView(AppCompatDialog java:80)
                                                                  at android support v7 app AlertController installContent(AlertController java:214)
                                                                  at android support v7 app AlertDialog onCreate(AlertDialog java:257)
                                                                  at android app Dialog dispatchOnCreate(Dialog java:394)
                                                                  at android app Dialog show(Dialog java:295)
                                                                  at android support v7 app AlertDialog Builder show(AlertDialog java:953)
                                                                  at com auth0 google GoogleIdentityProvider onPermissionsRequireExplanation(GoogleIdentityProvider java:97)
                                                                  at com auth0 identity AuthorizedIdentityProvider checkPermissions(AuthorizedIdentityProvider java:156)
                                                                  at com auth0 identity AuthorizedIdentityProvider start(AuthorizedIdentityProvider java:72)
                                                                  at com auth0 lock LockActivity onIdentityProviderAuthentication(LockActivity java:296)
                                                                  at java lang reflect Method invoke(Native Method)
                                                                  at com squareup otto EventHandler handleEvent(EventHandler java:89)
                                                                  at com squareup otto Bus dispatch(Bus java:384)
                                                                  at com squareup otto Bus dispatchQueuedEvents(Bus java:367) 
                                                                  at com squareup otto Bus post(Bus java:336) 
                                                                  at com auth0 lock fragment SmallSocialListFragment 1 onItemClick(SmallSocialListFragment java:84) 
                                                                  at android widget AdapterView performItemClick(AdapterView java:310) 
                                                                  at android widget AbsListView performItemClick(AbsListView java:1145) 
                                                                  at android widget AbsListView PerformClick run(AbsListView java:3066) 
                                                                  at android widget AbsListView 3 run(AbsListView java:3903)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This is on a Nexus 5  Android 6 0 1  in an app with these settings :
android  
    compileSdkVersion 24
    buildToolsVersion  24 0 0 
    defaultConfig  
        minSdkVersion 16
        targetSdkVersion 23
Gradle :  2 14 1 
Android Plugin :  com android tools build:gradle:2 1 3 
Debugging a little bit this issue  as the AppCompat dialog builder is using the context from the application  it s true that there is no theme  But the issue should not be there  as we got the code from the Auth0 sample code which also uses the application instance to build the  GoogleIdentityProvider  
Happy to provide more info if needed  Thanks 
</t>
  </si>
  <si>
    <t>OneBusAway-onebusaway-android-674</t>
  </si>
  <si>
    <t>NPE updating ArrivalsListHeader with trip info</t>
  </si>
  <si>
    <t xml:space="preserve">  Summary:   
From Android Developer Console for v2 1 0:
java lang NullPointerException: Attempt to invoke virtual method  void org onebusaway android ui ArrivalsListHeader setTripsForStop(android content ContentQueryMap)  on a null object reference
    at org onebusaway android ui ArrivalsListFragment TripsForStopCallback onLoadFinished(ArrivalsListFragment java:1536)
    at org onebusaway android ui ArrivalsListFragment TripsForStopCallback onLoadFinished(ArrivalsListFragment java:1517)
    at android support v4 app LoaderManagerImpl LoaderInfo callOnLoadFinished(LoaderManager java:476)
    at android support v4 app LoaderManagerImpl LoaderInfo reportStart(LoaderManager java:315)
    at android support v4 app LoaderManagerImpl doReportStart(LoaderManager java:819)
    at android support v4 app Fragment performStart(Fragment java:2009)
    at android support v4 app FragmentManagerImpl moveToState(FragmentManager java:1102)
    at android support v4 app FragmentManagerImpl moveToState(FragmentManager java:1252)
    at android support v4 app BackStackRecord run(BackStackRecord java:742)
    at android support v4 app FragmentManagerImpl execPendingActions(FragmentManager java:1617)
    at android support v4 app FragmentManagerImpl 1 run(FragmentManager java:517)
    at android os Handler handleCallback(Handler java:739)
    at android os Handler dispatchMessage(Handler java:95)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Steps to reproduce:   
Unknown 
  Expected behavior:   
Not crash
  Observed behavior:   
Crash
  Device and Android version:   
Variety of devices  including:
  Nexus 5X (bullhead)
  Galaxy S6 (zerofltespr)
  Galaxy S5 (kltetmo)
  Galaxy Note4 (trlteatt)
Variety of Android versions  including:
  Android 6 0
  Android 5 1
</t>
  </si>
  <si>
    <t>OneBusAway-onebusaway-android-673</t>
  </si>
  <si>
    <t>NPE when accessing route favorite in database</t>
  </si>
  <si>
    <t xml:space="preserve">  Summary:   
From Android Developer Console for v2 1 1 and v2 0 14:
java lang NullPointerException: Attempt to invoke virtual method  android content ContentResolver android content Context getContentResolver()  on a null object reference
    at org onebusaway android provider ObaContract RouteHeadsignFavorites isFavorite(ObaContract java:1415)
    at org onebusaway android ui ArrivalInfo  init (ArrivalInfo java:249)
    at org onebusaway android ui ArrivalInfo convertObaArrivalInfo(ArrivalInfo java:65)
    at org onebusaway android ui ArrivalsListFragment getArrivalInfo(ArrivalsListFragment java:841)
    at org onebusaway android ui ArrivalsListHeader refreshArrivalInfoData(ArrivalsListHeader java:648)
    at org onebusaway android ui ArrivalsListHeader refresh(ArrivalsListHeader java:624)
    at org onebusaway android ui HomeActivity 7 onPanelCollapsed(HomeActivity java:1400)
    at org onebusaway android ui HomeActivity 7 onPanelStateChanged(HomeActivity java:1359)
    at com sothree slidinguppanel SlidingUpPanelLayout dispatchOnPanelStateChanged(SlidingUpPanelLayout java:644)
    at com sothree slidinguppanel SlidingUpPanelLayout setPanelStateInternal(SlidingUpPanelLayout java:1108)
    at com sothree slidinguppanel SlidingUpPanelLayout access 900(SlidingUpPanelLayout java:32)
    at com sothree slidinguppanel SlidingUpPanelLayout DragHelperCallback onViewDragStateChanged(SlidingUpPanelLayout java:1340)
    at com sothree slidinguppanel ViewDragHelper setDragState(ViewDragHelper java:911)
    at com sothree slidinguppanel ViewDragHelper 2 run(ViewDragHelper java:336)
    at android os Handler handleCallback(Handler java:739)
    at android os Handler dispatchMessage(Handler java:95)
    at android os Looper loop(Looper java:148)
    at android app ActivityThread main(ActivityThread java:5461)
    at java lang reflect Method invoke(Native Method)
    at com android internal os ZygoteInit MethodAndArgsCaller run(ZygoteInit java:726)
    at com android internal os ZygoteInit main(ZygoteInit java:616)
  Steps to reproduce:   
Unknown
  Expected behavior:   
Not crash
  Observed behavior:   
Crash
  Device and Android version:   
Variety of devices  including:
  OnePlus One (A0001)
  Galaxy Grand Prime (gprimeltetmo)
  LG G4 (p1)
Variety of Android versions  including:
  Android 6 0
  Android 5 1
</t>
  </si>
  <si>
    <t>javiersantos-BottomDialogs-16</t>
  </si>
  <si>
    <t>Crash when showing the same builder two times</t>
  </si>
  <si>
    <t xml:space="preserve">Hello  
I built the Sheet and show it  then I want to update the title so I set the new title and rebuilt but I show for the second time I get crash:
log:  The specified child already has a parent  You must call removeView() on the child s parent first  
    Java
private void showNewEventSheet(String address  LatLng latLng)  
        if (mEventDialog    null)  
            mEventDialog   new BottomDialog Builder(mActivity)
                     setTitle(address)
                     setContent(R string radius content message)
                     setPositiveText(R string save)
                     setNegativeText( Cancel )
                     setCustomView(mSheetView)
                     setCancelable(false)
                     onPositive(bottomDialog     
                        new GeoModel(mRadius  latLng latitude  latLng longitude  address) save() 
                        enterRadiusAndStayStillFence(latLng  mRadius) 
                        getViewState() showFenceIndicate() 
                        getViewState() showSettingsFab() 
                     )
                     onNegative(bottomDialog    cancelEvent())
                     show() 
          else  
              mEventDialog getBuilder() setTitle(address) build()   
            mEventDialog show() 
</t>
  </si>
  <si>
    <t>iomodo-Wally-42</t>
  </si>
  <si>
    <t>Pause while adding new content</t>
  </si>
  <si>
    <t xml:space="preserve">When paused while fitting app crashed 
very rare  
</t>
  </si>
  <si>
    <t>yigit-android-priority-jobqueue-233</t>
  </si>
  <si>
    <t>App crashes on first launch after update from 2.0.0-beta2 to 2.0.0</t>
  </si>
  <si>
    <t xml:space="preserve">If I update JobQueue in my app from 2 0 0 beta2 to 2 0 0 then the app crashes on first launch of the updated version  The next launch the error does not occur  Seems like there is some SQLite migration issue 
java lang RuntimeException: Unable to create application ru softinvent myapp MyApp: android database sqlite SQLiteException: duplicate column name: cancelled (code 1)
     at android app ActivityThread handleBindApplication(ActivityThread java:4556)
     at android app ActivityThread access 1500(ActivityThread java:151)
     at android app ActivityThread H handleMessage(ActivityThread java:1364)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Caused by: android database sqlite SQLiteException: duplicate column name: cancelled (code 1)
     at android database sqlite SQLiteConnection nativeExecuteForChangedRowCount(Native Method)
     at android database sqlite SQLiteConnection executeForChangedRowCount(SQLiteConnection java:734)
     at android database sqlite SQLiteSession executeForChangedRowCount(SQLiteSession java:754)
     at android database sqlite SQLiteStatement executeUpdateDelete(SQLiteStatement java:64)
     at android database sqlite SQLiteDatabase executeSql(SQLiteDatabase java:1676)
     at android database sqlite SQLiteDatabase execSQL(SQLiteDatabase java:1605)
     at com birbit android jobqueue persistentQueue sqlite DbOpenHelper addCancelColumn(DbOpenHelper java:84)
     at com birbit android jobqueue persistentQueue sqlite DbOpenHelper onUpgrade(DbOpenHelper java:72)
     at android database sqlite SQLiteOpenHelper getDatabaseLocked(SQLiteOpenHelper java:256)
     at android database sqlite SQLiteOpenHelper getWritableDatabase(SQLiteOpenHelper java:163)
     at com birbit android jobqueue persistentQueue sqlite SqliteJobQueue  init (SqliteJobQueue java:49)
     at com birbit android jobqueue DefaultQueueFactory createPersistentQueue(DefaultQueueFactory java:27)
     at com birbit android jobqueue JobManagerThread  init (JobManagerThread java:85)
     at com birbit android jobqueue JobManager  init (JobManager java:62)
     at ru softinvent myapp MyApp initJobQueue(MyApp java:248)
     at ru softinvent myapp MyApp onCreate(MyApp java:144)
     at android app Instrumentation callApplicationOnCreate(Instrumentation java:1012)
Initialization code:
    java
private void initJobQueue()  
  Configuration configuration   new Configuration Builder(this)
       customLogger(new CustomLogger()  
        private static final String TAG    JOBS   
           Override
          public boolean isDebugEnabled()  
            return BuildConfig DEBUG 
           Override
          public void d(String text  Object    args)  
            Log d(BuildConfig TAG  TAG   String format(text  args)) 
           Override
          public void e(Throwable t  String text  Object    args)  
            Log e(BuildConfig TAG  TAG   String format(text  args)  t) 
           Override
          public void e(String text  Object    args)  
            Log e(BuildConfig TAG  TAG   String format(text  args)) 
           Override
          public void v(String text  Object    args)  
            Log v(BuildConfig TAG  TAG   String format(text  args)) 
         )
         loadFactor(1)
         build() 
    jobManager   new JobManager(configuration) 
</t>
  </si>
  <si>
    <t>nextcloud-android-221</t>
  </si>
  <si>
    <t>Upload activity crashes in empty folder</t>
  </si>
  <si>
    <t xml:space="preserve">    Steps to reproduce
1  Create an empty folder on your phone (Not via the nextcloud app)
2  Open nextcloud app
3   
4  Upload (top icon in the menu)
5  Navigate to the empty folder
6  Go inside the empty folder
    Actual behaviour
Crashes
    Expected behaviour
Should not crash but show  empty list 
    Environment data
Android version: 6 0
Device model: Huawei P8 lite
Stock or customized system: stock
Nextcloud app version: 1 2
Nextcloud server version: 9 0 53
</t>
  </si>
  <si>
    <t>cforlando-PetAdoption-Android-41</t>
  </si>
  <si>
    <t>Tapping on Email from Details Fragment causes app to crash</t>
  </si>
  <si>
    <t xml:space="preserve">Since I only have access to the Android emulator to test this  this may be a non issue   When on the Details Fragment for a pet  I tapped the Email button ( ) and the app crashed 
</t>
  </si>
  <si>
    <t>longdivision-hex-9</t>
  </si>
  <si>
    <t>Hex crashes when device is rotated</t>
  </si>
  <si>
    <t xml:space="preserve">If I rotate my Nexus 5 while I am viewing an article or the comments  Hex crashes    Unfortunately  Hex has stopped  
Rotating the device is not a problem if I am viewing the first page 
Steps to reproduce:
Open Hex 
Choose a link 
When the article has loaded  rotate the device 
Hex crashes 
It also crashes if you are viewing the comments 
It also crashes if you are viewing the front page in landscape orientation  choose an article  and the rotate the device to portrait orientation 
My device is a Nexus 5 
</t>
  </si>
  <si>
    <t>alibaba-freeline-4</t>
  </si>
  <si>
    <t>当gradle插件有在编译过程中注入资源文件时，会引起freeline编译资源失败</t>
  </si>
  <si>
    <t xml:space="preserve">      gcm crashlytics 
</t>
  </si>
  <si>
    <t>erickok-transdroid-325</t>
  </si>
  <si>
    <t>Crash deleting rss feed</t>
  </si>
  <si>
    <t xml:space="preserve">When I try to remove an rss feed the app crash and don t remove rss   
I m using a Nexus 9 with last android patch
this is the log of the app
Transdroid 2 5 7 (227)
rTorrent settings: http:  peppe url
Connection and error log:
24711    Sun Aug 14 20:00:52 GMT 02:00 2016    3    Boot signal received  starting server and rss checker background services
24712    Sun Aug 14 20:00:52 GMT 02:00 2016    3    Calling system client version with params    
24713    Sun Aug 14 20:00:52 GMT 02:00 2016    3    Boot signal received  starting app update checker service
24714    Sun Aug 14 20:00:52 GMT 02:00 2016    3    Calling d multicall2 with params    main d hash  d name  d state  d down rate  d up rate  d peers connected  d peers not connected  d      
24715    Sun Aug 14 20:03:51 GMT 02:00 2016    3    Boot signal received  starting server and rss checker background services
24716    Sun Aug 14 20:03:51 GMT 02:00 2016    3    Calling system client version with params    
24717    Sun Aug 14 20:03:51 GMT 02:00 2016    3    Boot signal received  starting app update checker service
24718    Sun Aug 14 20:03:51 GMT 02:00 2016    3    Calling d multicall2 with params    main d hash  d name  d state  d down rate  d up rate  d peers connected  d peers not connected  d      
24719    Sun Aug 14 20:04:17 GMT 02:00 2016    3    Skip the server checker service  as background data is disabled  the service is disabled or we are not connected 
24720    Sun Aug 14 20:04:17 GMT 02:00 2016    3    Skip checker for kat rartv as alarms are disabled
24721    Sun Aug 14 20:04:17 GMT 02:00 2016    3    Skip the update service  as we already checked the last 24 hours (or to be exact at Sun Aug 14 09:35:37 GMT 02:00 2016) 
24722    Sun Aug 14 20:04:17 GMT 02:00 2016    3    Skip checker for kat ettv as alarms are disabled
24723    Sun Aug 14 20:04:17 GMT 02:00 2016    3    Skip checker for torrentproject ettv as alarms are disabled
24724    Sun Aug 14 20:04:17 GMT 02:00 2016    3    Skip checker for torrentproject rarbg as alarms are disabled
24725    Sun Aug 14 20:04:59 GMT 02:00 2016    6    E: java lang ClassCastException: java lang String cannot be cast to java lang Long
24726    Sun Aug 14 20:04:59 GMT 02:00 2016    6    E: android app SharedPreferencesImpl getLong(SharedPreferencesImpl java:249)
24727    Sun Aug 14 20:04:59 GMT 02:00 2016    6    E: org transdroid core app settings ApplicationSettings removeRssfeedSettings(ApplicationSettings java:505)
24728    Sun Aug 14 20:04:59 GMT 02:00 2016    6    E: org transdroid core gui settings RssfeedSettingsActivity 1 onClick(RssfeedSettingsActivity java:83)
24729    Sun Aug 14 20:04:59 GMT 02:00 2016    6    E: com android internal app AlertController ButtonHandler handleMessage(AlertController java:163)
24730    Sun Aug 14 20:04:59 GMT 02:00 2016    6    E: android os Handler dispatchMessage(Handler java:102)
24731    Sun Aug 14 20:04:59 GMT 02:00 2016    6    E: android os Looper loop(Looper java:148)
24732    Sun Aug 14 20:04:59 GMT 02:00 2016    6    E: android app ActivityThread main(ActivityThread java:5417)
24733    Sun Aug 14 20:04:59 GMT 02:00 2016    6    E: java lang reflect Method invoke(Native Method)
24734    Sun Aug 14 20:04:59 GMT 02:00 2016    6    E: com android internal os ZygoteInit MethodAndArgsCaller run(ZygoteInit java:726)
24735    Sun Aug 14 20:04:59 GMT 02:00 2016    6    E: com android internal os ZygoteInit main(ZygoteInit java:616)
24736    Sun Aug 14 20:05:06 GMT 02:00 2016    3    Boot signal received  starting server and rss checker background services
24737    Sun Aug 14 20:05:06 GMT 02:00 2016    3    Boot signal received  starting app update checker service
24738    Sun Aug 14 20:05:20 GMT 02:00 2016    3    Skip the server checker service  as background data is disabled  the service is disabled or we are not connected 
24739    Sun Aug 14 20:05:20 GMT 02:00 2016    3    Skip checker for kat rartv as alarms are disabled
24740    Sun Aug 14 20:05:20 GMT 02:00 2016    3    Skip the update service  as we already checked the last 24 hours (or to be exact at Sun Aug 14 09:35:37 GMT 02:00 2016) 
24741    Sun Aug 14 20:05:20 GMT 02:00 2016    3    Skip checker for kat ettv as alarms are disabled
24742    Sun Aug 14 20:05:20 GMT 02:00 2016    3    Skip checker for torrentproject ettv as alarms are disabled
24743    Sun Aug 14 20:05:20 GMT 02:00 2016    3    Skip checker for torrentproject rarbg as alarms are disabled
</t>
  </si>
  <si>
    <t>clockbyte-admobadapter-20</t>
  </si>
  <si>
    <t xml:space="preserve">Dear Clockbyte
My application crash when I exit the app  Please see attached image
  screenshot 1 (https:  cloud githubusercontent com assets 10971659 17829106 94e69c30 66cd 11e6 87fa 1126830ac21a png)
</t>
  </si>
  <si>
    <t>codinguser-gnucash-android-553</t>
  </si>
  <si>
    <t>Widget creation crashes opening accounts list</t>
  </si>
  <si>
    <t xml:space="preserve">I already sent a report a couple of days ago  Everytime I try to add a widget and opening the accounts list to select one the app crashes 
Also the app is too slow on opening and navigating after the latest upgrade 
</t>
  </si>
  <si>
    <t>fossasia-phimpme-android-15</t>
  </si>
  <si>
    <t>Front camera not working in every phone.</t>
  </si>
  <si>
    <t xml:space="preserve">App is crashing when setting parameters 
</t>
  </si>
  <si>
    <t>fossasia-open-event-droidgen-638</t>
  </si>
  <si>
    <t>[Fdroid]App crashing on schedules.</t>
  </si>
  <si>
    <t xml:space="preserve">App is crashing on schedules  mananwason  the dagger 
steps to reproduce crash:
  1  open schedule 
  2  turn internet OFF 
  3  turn internet ON 
adding stacktrace: 
08 23 22:54:29 889 2571 2571 org fossasia openevent E AndroidRuntime: FATAL EXCEPTION: main
                                                                      Process: org fossasia openevent  PID: 2571
                                                                      java lang RuntimeException: Could not dispatch event: class org fossasia openevent events CounterEvent to handler  EventHandler public void org fossasia openevent activities MainActivity onCounterReceiver(org fossasia openevent events CounterEvent) : Invalid index 0  size is 0
                                                                          at com squareup otto Bus throwRuntimeException(Bus java:460)
                                                                          at com squareup otto Bus dispatch(Bus java:387)
                                                                          at com squareup otto Bus dispatchQueuedEvents(Bus java:368)
                                                                          at com squareup otto Bus post(Bus java:337)
                                                                          at org fossasia openevent OpenEventApp 1 run(OpenEventApp java:59)
                                                                          at android os Handler handleCallback(Handler java:733)
                                                                          at android os Handler dispatchMessage(Handler java:95)
                                                                          at android os Looper loop(Looper java:136)
                                                                          at android app ActivityThread main(ActivityThread java:5001)
                                                                          at java lang reflect Method invokeNative(Native Method)
                                                                          at java lang reflect Method invoke(Method java:515)
                                                                          at com android internal os ZygoteInit MethodAndArgsCaller run(ZygoteInit java:785)
                                                                          at com android internal os ZygoteInit main(ZygoteInit java:601)
                                                                          at dalvik system NativeStart main(Native Method)
                                                                       Caused by: java lang IndexOutOfBoundsException: Invalid index 0  size is 0
                                                                          at java util ArrayList throwIndexOutOfBoundsException(ArrayList java:255)
                                                                          at java util ArrayList get(ArrayList java:308)
                                                                          at org fossasia openevent utils ISO8601Date setEventTimezone(ISO8601Date java:135)
                                                                          at org fossasia openevent utils ISO8601Date getDateObject(ISO8601Date java:91)
                                                                          at org fossasia openevent activities MainActivity syncComplete(MainActivity java:327)
                                                                          at org fossasia openevent activities MainActivity onCounterReceiver(MainActivity java:511)
                                                                          at java lang reflect Method invokeNative(Native Method)
                                                                          at java lang reflect Method invoke(Method java:515)
                                                                          at com squareup otto EventHandler handleEvent(EventHandler java:89)
                                                                          at com squareup otto Bus dispatch(Bus java:385)
                                                                          at com squareup otto Bus dispatchQueuedEvents(Bus java:368) 
                                                                          at com squareup otto Bus post(Bus java:337) 
                                                                          at org fossasia openevent OpenEventApp 1 run(OpenEventApp java:59) 
                                                                          at android os Handler handleCallback(Handler java:733) 
                                                                          at android os Handler dispatchMessage(Handler java:95) 
                                                                          at android os Looper loop(Looper java:136) 
                                                                          at android app ActivityThread main(ActivityThread java:5001) 
                                                                          at java lang reflect Method invokeNative(Native Method) 
                                                                          at java lang reflect Method invoke(Method java:515) 
                                                                          at com android internal os ZygoteInit MethodAndArgsCaller run(ZygoteInit java:785) 
                                                                          at com android internal os ZygoteInit main(ZygoteInit java:601) 
                                                                          at dalvik system NativeStart main(Native Method)
Android version: 4 4 4  API 19
Device: Genymotion emulator   768x1280
</t>
  </si>
  <si>
    <t>kentsay-Zurich-Velo-Challenge-35</t>
  </si>
  <si>
    <t>App crashes oh Honor 6 Plus</t>
  </si>
  <si>
    <t xml:space="preserve">I really like the idea of your app  but unfortunately I can not use it  since it is constantly crashing 
The only buttons I can push without the app crashing are  Favorite  (which is empty in my case) and  Rent a bike   The blue buttons immediately lead to a shutdown of the app 
I took a screenshot of my phone details  
  media 20160823 (https:  cloud githubusercontent com assets 14146757 17895841 b187b10c 694e 11e6 9a07 529c321cc253 jpg)
Hope this helps 
</t>
  </si>
  <si>
    <t>cgeo-cgeo-5919</t>
  </si>
  <si>
    <t>Livemap crash</t>
  </si>
  <si>
    <t xml:space="preserve">In rare cases starting the (live) map freezes or crashes c:geo permanently  This is a rare problem we were not yet able to debug 
If this happens to you please send us a log (as described in this FAQ) 
      Detailed steps causing the problem:
  Start c:geo on my xperia Z3 compact
  Enable live map ( google map ) 
   Zooming in or zooming out ( even occours when i turn the device from portrait to landscape )
      Actual behavior after performing these steps:
  c:geo hangs  Must wait for  c:geo has stopped answering  do you want to close application   or I have to restart the device 
      Expected behavior after performing these steps:
      Version of c:geo used:
Version 2016 08 16 ( got much much worse after last upgrade ) 
      Is the problem reproducible for you 
Will   it happens 8 times out of 10  geocaching is not so fun anymore    just getting frustrated over all device restarts    
      System information:
Attach system information here if available (see c:geo menu    About c:geo    System)
   System information    
Device: D5503 (D5503  Sony)
Android version: 5 1 1
Android build: 14 6 A 1 236
Cgeo version: 2016 08 16
Google Play services: enabled
Low power mode: inactive
Compass capabilities: yes
Rotation vector sensor: present
Orientation sensor: present
Magnetometer   Accelerometer sensor: present
Direction sensor used: rotation vector
Hide own found: true
Map strategy: auto
HW acceleration: enabled (default state)
System language: sv SE
Log date format: 2016 08 23
Debug mode active: yes
Geocaching sites enabled:
   geocaching com: Logged in (Inloggning OK)   PREMIUM
Installed cgeo plugins:  none
    End of system information    
      Other comments and remarks:
</t>
  </si>
  <si>
    <t>barteksc-AndroidPdfViewer-77</t>
  </si>
  <si>
    <t>Problem with crash of AndroidPdfViewer when reloanching activity after closing using finish()</t>
  </si>
  <si>
    <t xml:space="preserve">I am having a problem where if I have a app that displays multiple PDFs using different icons  
So you have one activity with some icons that each launch an activity that displays a PDF activity that gets the name of the pdf from the Bundle extras   getIntent() getExtras()  It then displays the pdf pdfView fromAsset(pdf)
                         defaultPage(0)
                         enableAnnotationRendering(false)
                         onLoad(this)
                         load() 
You then can close out of the pdf by clicking a close button that calls finish()  
Now if you click the same pdf again it with then crash the app and sometimes the activity  With this error 
E com shockwave pdfium PdfiumCore: mContext may be null
This is on android 4 1 1 
pdf size is 266 KB
08 24 13:05:37 338 21865 28104  E com shockwave pdfium PdfiumCore: mContext may be null
08 24 13:05:37 338 21865 28104  W System err: java lang NullPointerException
08 24 13:05:37 338 21865 28104  W System err:     at com shockwave pdfium PdfiumCore renderPageBitmap(PdfiumCore java:216)
08 24 13:05:37 338 21865 28104  W System err:     at com github barteksc pdfviewer RenderingAsyncTask proceed(RenderingAsyncTask java:123)
08 24 13:05:37 338 21865 28104  W System err:     at com github barteksc pdfviewer RenderingAsyncTask doInBackground(RenderingAsyncTask java:77)
08 24 13:05:37 338 21865 28104  W System err:     at com github barteksc pdfviewer RenderingAsyncTask doInBackground(RenderingAsyncTask java:34)
08 24 13:05:37 338 21865 28104  W System err:     at android os AsyncTask 2 call(AsyncTask java:287)
08 24 13:05:37 338 21865 28104  W System err:     at java util concurrent FutureTask Sync innerRun(FutureTask java:305)
08 24 13:05:37 338 21865 28104  W System err:     at java util concurrent FutureTask run(FutureTask java:137)
08 24 13:05:37 338 21865 28104  W System err:     at java util concurrent ThreadPoolExecutor runWorker(ThreadPoolExecutor java:1076)
08 24 13:05:37 348 21865 28104  W System err:     at java util concurrent ThreadPoolExecutor Worker run(ThreadPoolExecutor java:569)
08 24 13:05:37 348 21865 28104  W System err:     at java lang Thread run(Thread java:856)
08 24 13:05:37 348 21865 28104  E com shockwave pdfium PdfiumCore: mContext may be null
08 24 13:05:37 348 21865 28104  W System err: java lang NullPointerException
08 24 13:05:37 348 21865 28104  W System err:     at com shockwave pdfium PdfiumCore renderPageBitmap(PdfiumCore java:216)
08 24 13:05:37 348 21865 28104  W System err:     at com github barteksc pdfviewer RenderingAsyncTask proceed(RenderingAsyncTask java:123)
08 24 13:05:37 348 21865 28104  W System err:     at com github barteksc pdfviewer RenderingAsyncTask doInBackground(RenderingAsyncTask java:77)
08 24 13:05:37 348 21865 28104  W System err:     at com github barteksc pdfviewer RenderingAsyncTask doInBackground(RenderingAsyncTask java:34)
08 24 13:05:37 348 21865 28104  W System err:     at android os AsyncTask 2 call(AsyncTask java:287)
08 24 13:05:37 348 21865 28104  W System err:     at java util concurrent FutureTask Sync innerRun(FutureTask java:305)
08 24 13:05:37 348 21865 28104  W System err:     at java util concurrent FutureTask run(FutureTask java:137)
08 24 13:05:37 348 21865 28104  W System err:     at java util concurrent ThreadPoolExecutor runWorker(ThreadPoolExecutor java:1076)
08 24 13:05:37 348 21865 28104  W System err:     at java util concurrent ThreadPoolExecutor Worker run(ThreadPoolExecutor java:569)
08 24 13:05:37 348 21865 28104  W System err:     at java lang Thread run(Thread java:856)
08 24 13:05:37 358 21865 28104  E com shockwave pdfium PdfiumCore: mContext may be null
08 24 13:05:37 358 21865 28104  W System err: java lang NullPointerException
08 24 13:05:37 358 21865 28104  W System err:     at com shockwave pdfium PdfiumCore renderPageBitmap(PdfiumCore java:216)
08 24 13:05:37 358 21865 28104  W System err:     at com github barteksc pdfviewer RenderingAsyncTask proceed(RenderingAsyncTask java:123)
08 24 13:05:37 358 21865 28104  W System err:     at com github barteksc pdfviewer RenderingAsyncTask doInBackground(RenderingAsyncTask java:77)
08 24 13:05:37 358 21865 28104  W System err:     at com github barteksc pdfviewer RenderingAsyncTask doInBackground(RenderingAsyncTask java:34)
08 24 13:05:37 358 21865 28104  W System err:     at android os AsyncTask 2 call(AsyncTask java:287)
08 24 13:05:37 358 21865 28104  W System err:     at java util concurrent FutureTask Sync innerRun(FutureTask java:305)
08 24 13:05:37 358 21865 28104  W System err:     at java util concurrent FutureTask run(FutureTask java:137)
08 24 13:05:37 358 21865 28104  W System err:     at java util concurrent ThreadPoolExecutor runWorker(ThreadPoolExecutor java:1076)
08 24 13:05:37 358 21865 28104  W System err:     at java util concurrent ThreadPoolExecutor Worker run(ThreadPoolExecutor java:569)
08 24 13:05:37 358 21865 28104  W System err:     at java lang Thread run(Thread java:856)
08 24 13:05:37 358 21865 28104  E com shockwave pdfium PdfiumCore: mContext may be null
08 24 13:05:37 358 21865 28104  W System err: java lang NullPointerException
08 24 13:05:37 358 21865 28104  W System err:     at com shockwave pdfium PdfiumCore renderPageBitmap(PdfiumCore java:216)
08 24 13:05:37 358 21865 28104  W System err:     at com github barteksc pdfviewer RenderingAsyncTask proceed(RenderingAsyncTask java:123)
08 24 13:05:37 358 21865 28104  W System err:     at com github barteksc pdfviewer RenderingAsyncTask doInBackground(RenderingAsyncTask java:77)
08 24 13:05:37 358 21865 28104  W System err:     at com github barteksc pdfviewer RenderingAsyncTask doInBackground(RenderingAsyncTask java:34)
08 24 13:05:37 358 21865 28104  W System err:     at android os AsyncTask 2 call(AsyncTask java:287)
08 24 13:05:37 358 21865 28104  W System err:     at java util concurrent FutureTask Sync innerRun(FutureTask java:305)
08 24 13:05:37 368 21865 28104  W System err:     at java util concurrent FutureTask run(FutureTask java:137)
08 24 13:05:37 368 21865 28104  W System err:     at java util concurrent ThreadPoolExecutor runWorker(ThreadPoolExecutor java:1076)
08 24 13:05:37 368 21865 28104  W System err:     at java util concurrent ThreadPoolExecutor Worker run(ThreadPoolExecutor java:569)
08 24 13:05:37 368 21865 28104  W System err:     at java lang Thread run(Thread java:856)
08 24 13:05:37 368 21865 28104  E com shockwave pdfium PdfiumCore: mContext may be null
08 24 13:05:37 368 21865 28104  W System err: java lang NullPointerException
08 24 13:05:37 368 21865 28104  W System err:     at com shockwave pdfium PdfiumCore renderPageBitmap(PdfiumCore java:216)
08 24 13:05:37 368 21865 28104  W System err:     at com github barteksc pdfviewer RenderingAsyncTask proceed(RenderingAsyncTask java:123)
08 24 13:05:37 368 21865 28104  W System err:     at com github barteksc pdfviewer RenderingAsyncTask doInBackground(RenderingAsyncTask java:77)
08 24 13:05:37 368 21865 28104  W System err:     at com github barteksc pdfviewer RenderingAsyncTask doInBackground(RenderingAsyncTask java:34)
08 24 13:05:37 368 21865 28104  W System err:     at android os AsyncTask 2 call(AsyncTask java:287)
08 24 13:05:37 368 21865 28104  W System err:     at java util concurrent FutureTask Sync innerRun(FutureTask java:305)
08 24 13:05:37 368 21865 28104  W System err:     at java util concurrent FutureTask run(FutureTask java:137)
08 24 13:05:37 368 21865 28104  W System err:     at java util concurrent ThreadPoolExecutor runWorker(ThreadPoolExecutor java:1076)
08 24 13:05:37 368 21865 28104  W System err:     at java util concurrent ThreadPoolExecutor Worker run(ThreadPoolExecutor java:569)
08 24 13:05:37 368 21865 28104  W System err:     at java lang Thread run(Thread java:856)
08 24 13:05:37 398 21865 21866  D dalvikvm: GC CONCURRENT freed 1843K  23  free 13239K 17159K  paused 12ms 2ms  total 30ms
08 24 13:05:37 398 21865 28104  D dalvikvm: WAIT FOR CONCURRENT GC blocked 8ms
08 24 13:05:37 398 21865 28104  E com shockwave pdfium PdfiumCore: mContext may be null
08 24 13:05:37 408 21865 28104  W System err: java lang NullPointerException
08 24 13:05:37 408 21865 28104  W System err:     at com shockwave pdfium PdfiumCore renderPageBitmap(PdfiumCore java:216)
08 24 13:05:37 408 21865 28104  W System err:     at com github barteksc pdfviewer RenderingAsyncTask proceed(RenderingAsyncTask java:123)
08 24 13:05:37 408 21865 28104  W System err:     at com github barteksc pdfviewer RenderingAsyncTask doInBackground(RenderingAsyncTask java:77)
08 24 13:05:37 408 21865 28104  W System err:     at com github barteksc pdfviewer RenderingAsyncTask doInBackground(RenderingAsyncTask java:34)
08 24 13:05:37 408 21865 28104  W System err:     at android os AsyncTask 2 call(AsyncTask java:287)
08 24 13:05:37 408 21865 28104  W System err:     at java util concurrent FutureTask Sync innerRun(FutureTask java:305)
08 24 13:05:37 408 21865 28104  W System err:     at java util concurrent FutureTask run(FutureTask java:137)
08 24 13:05:37 408 21865 28104  W System err:     at java util concurrent ThreadPoolExecutor runWorker(ThreadPoolExecutor java:1076)
08 24 13:05:37 408 21865 28104  W System err:     at java util concurrent ThreadPoolExecutor Worker run(ThreadPoolExecutor java:569)
08 24 13:05:37 408 21865 28104  W System err:     at java lang Thread run(Thread java:856)
08 24 13:05:37 408 21865 28104  E com shockwave pdfium PdfiumCore: mContext may be null
08 24 13:05:37 408 21865 28104  W System err: java lang NullPointerException
08 24 13:05:37 408 21865 28104  W System err:     at com shockwave pdfium PdfiumCore renderPageBitmap(PdfiumCore java:216)
08 24 13:05:37 408 21865 28104  W System err:     at com github barteksc pdfviewer RenderingAsyncTask proceed(RenderingAsyncTask java:123)
08 24 13:05:37 408 21865 28104  W System err:     at com github barteksc pdfviewer RenderingAsyncTask doInBackground(RenderingAsyncTask java:77)
08 24 13:05:37 408 21865 28104  W System err:     at com github barteksc pdfviewer RenderingAsyncTask doInBackground(RenderingAsyncTask java:34)
08 24 13:05:37 408 21865 28104  W System err:     at android os AsyncTask 2 call(AsyncTask java:287)
08 24 13:05:37 408 21865 28104  W System err:     at java util concurrent FutureTask Sync innerRun(FutureTask java:305)
08 24 13:05:37 408 21865 28104  W System err:     at java util concurrent FutureTask run(FutureTask java:137)
08 24 13:05:37 408 21865 28104  W System err:     at java util concurrent ThreadPoolExecutor runWorker(ThreadPoolExecutor java:1076)
08 24 13:05:37 408 21865 28104  W System err:     at java util concurrent ThreadPoolExecutor Worker run(ThreadPoolExecutor java:569)
08 24 13:05:37 408 21865 28104  W System err:     at java lang Thread run(Thread java:856)
08 24 13:05:37 418 21865 28104  E com shockwave pdfium PdfiumCore: mContext may be null
08 24 13:05:37 418 21865 28104  W System err: java lang NullPointerException
08 24 13:05:37 418 21865 28104  W System err:     at com shockwave pdfium PdfiumCore renderPageBitmap(PdfiumCore java:216)
08 24 13:05:37 418 21865 28104  W System err:     at com github barteksc pdfviewer RenderingAsyncTask proceed(RenderingAsyncTask java:123)
08 24 13:05:37 418 21865 28104  W System err:     at com github barteksc pdfviewer RenderingAsyncTask doInBackground(RenderingAsyncTask java:77)
08 24 13:05:37 418 21865 28104  W System err:     at com github barteksc pdfviewer RenderingAsyncTask doInBackground(RenderingAsyncTask java:34)
08 24 13:05:37 418 21865 28104  W System err:     at android os AsyncTask 2 call(AsyncTask java:287)
08 24 13:05:37 418 21865 28104  W System err:     at java util concurrent FutureTask Sync innerRun(FutureTask java:305)
08 24 13:05:37 418 21865 28104  W System err:     at java util concurrent FutureTask run(FutureTask java:137)
08 24 13:05:37 418 21865 28104  W System err:     at java util concurrent ThreadPoolExecutor runWorker(ThreadPoolExecutor java:1076)
08 24 13:05:37 418 21865 28104  W System err:     at java util concurrent ThreadPoolExecutor Worker run(ThreadPoolExecutor java:569)
08 24 13:05:37 418 21865 28104  W System err:     at java lang Thread run(Thread java:856)
08 24 13:05:37 418 21865 28104  E com shockwave pdfium PdfiumCore: mContext may be null
08 24 13:05:37 418 21865 28104  W System err: java lang NullPointerException
08 24 13:05:37 418 21865 28104  W System err:     at com shockwave pdfium PdfiumCore renderPageBitmap(PdfiumCore java:216)
08 24 13:05:37 418 21865 28104  W System err:     at com github barteksc pdfviewer RenderingAsyncTask proceed(RenderingAsyncTask java:123)
08 24 13:05:37 418 21865 28104  W System err:     at com github barteksc pdfviewer RenderingAsyncTask doInBackground(RenderingAsyncTask java:77)
08 24 13:05:37 418 21865 28104  W System err:     at com github barteksc pdfviewer RenderingAsyncTask doInBackground(RenderingAsyncTask java:34)
08 24 13:05:37 418 21865 28104  W System err:     at android os AsyncTask 2 call(AsyncTask java:287)
08 24 13:05:37 418 21865 28104  W System err:     at java util concurrent FutureTask Sync innerRun(FutureTask java:305)
08 24 13:05:37 418 21865 28104  W System err:     at java util concurrent FutureTask run(FutureTask java:137)
08 24 13:05:37 418 21865 28104  W System err:     at java util concurrent ThreadPoolExecutor runWorker(ThreadPoolExecutor java:1076)
08 24 13:05:37 418 21865 28104  W System err:     at java util concurrent ThreadPoolExecutor Worker run(ThreadPoolExecutor java:569)
08 24 13:05:37 418 21865 28104  W System err:     at java lang Thread run(Thread java:856)
08 24 13:05:37 428 21865 28104  E com shockwave pdfium PdfiumCore: mContext may be null
08 24 13:05:37 428 21865 28104  W System err: java lang NullPointerException
08 24 13:05:37 428 21865 28104  W System err:     at com shockwave pdfium PdfiumCore renderPageBitmap(PdfiumCore java:216)
08 24 13:05:37 428 21865 28104  W System err:     at com github barteksc pdfviewer RenderingAsyncTask proceed(RenderingAsyncTask java:123)
08 24 13:05:37 428 21865 28104  W System err:     at com github barteksc pdfviewer RenderingAsyncTask doInBackground(RenderingAsyncTask java:77)
08 24 13:05:37 428 21865 28104  W System err:     at com github barteksc pdfviewer RenderingAsyncTask doInBackground(RenderingAsyncTask java:34)
08 24 13:05:37 428 21865 28104  W System err:     at android os AsyncTask 2 call(AsyncTask java:287)
08 24 13:05:37 428 21865 28104  W System err:     at java util concurrent FutureTask Sync innerRun(FutureTask java:305)
08 24 13:05:37 428 21865 28104  W System err:     at java util concurrent FutureTask run(FutureTask java:137)
08 24 13:05:37 428 21865 28104  W System err:     at java util concurrent ThreadPoolExecutor runWorker(ThreadPoolExecutor java:1076)
08 24 13:05:37 428 21865 28104  W System err:     at java util concurrent ThreadPoolExecutor Worker run(ThreadPoolExecutor java:569)
08 24 13:05:37 428 21865 28104  W System err:     at java lang Thread run(Thread java:856)
08 24 13:05:37 448 21865 21866  D dalvikvm: GC CONCURRENT freed 1967K  23  free 13237K 17159K  paused 3ms 2ms  total 20ms
08 24 13:05:37 448 21865 28104  D dalvikvm: WAIT FOR CONCURRENT GC blocked 18ms
08 24 13:05:37 448 21865 28104  E com shockwave pdfium PdfiumCore: mContext may be null
08 24 13:05:37 448 21865 28104  W System err: java lang NullPointerException
08 24 13:05:37 448 21865 28104  W System err:     at com shockwave pdfium PdfiumCore renderPageBitmap(PdfiumCore java:216)
08 24 13:05:37 448 21865 28104  W System err:     at com github barteksc pdfviewer RenderingAsyncTask proceed(RenderingAsyncTask java:123)
08 24 13:05:37 448 21865 28104  W System err:     at com github barteksc pdfviewer RenderingAsyncTask doInBackground(RenderingAsyncTask java:77)
08 24 13:05:37 448 21865 28104  W System err:     at com github barteksc pdfviewer RenderingAsyncTask doInBackground(RenderingAsyncTask java:34)
08 24 13:05:37 448 21865 28104  W System err:     at android os AsyncTask 2 call(AsyncTask java:287)
08 24 13:05:37 448 21865 28104  W System err:     at java util concurrent FutureTask Sync innerRun(FutureTask java:305)
08 24 13:05:37 448 21865 28104  W System err:     at java util concurrent FutureTask run(FutureTask java:137)
08 24 13:05:37 448 21865 28104  W System err:     at java util concurrent ThreadPoolExecutor runWorker(ThreadPoolExecutor java:1076)
08 24 13:05:37 448 21865 28104  W System err:     at java util concurrent ThreadPoolExecutor Worker run(ThreadPoolExecutor java:569)
08 24 13:05:37 448 21865 28104  W System err:     at java lang Thread run(Thread java:856)
08 24 13:05:37 448 21865 28104  E com shockwave pdfium PdfiumCore: mContext may be null
08 24 13:05:37 448 21865 28104  W System err: java lang NullPointerException
08 24 13:05:37 448 21865 28104  W System err:     at com shockwave pdfium PdfiumCore renderPageBitmap(PdfiumCore java:216)
08 24 13:05:37 448 21865 28104  W System err:     at com github barteksc pdfviewer RenderingAsyncTask proceed(RenderingAsyncTask java:123)
08 24 13:05:37 448 21865 28104  W System err:     at com github barteksc pdfviewer RenderingAsyncTask doInBackground(RenderingAsyncTask java:77)
08 24 13:05:37 448 21865 28104  W System err:     at com github barteksc pdfviewer RenderingAsyncTask doInBackground(RenderingAsyncTask java:34)
08 24 13:05:37 458 21865 28104  W System err:     at android os AsyncTask 2 call(AsyncTask java:287)
08 24 13:05:37 458 21865 28104  W System err:     at java util concurrent FutureTask Sync innerRun(FutureTask java:305)
08 24 13:05:37 458 21865 28104  W System err:     at java util concurrent FutureTask run(FutureTask java:137)
08 24 13:05:37 458 21865 28104  W System err:     at java util concurrent ThreadPoolExecutor runWorker(ThreadPoolExecutor java:1076)
08 24 13:05:37 458 21865 28104  W System err:     at java util concurrent ThreadPoolExecutor Worker run(ThreadPoolExecutor java:569)
08 24 13:05:37 458 21865 28104  W System err:     at java lang Thread run(Thread java:856)
08 24 13:05:37 458 21865 28104  E com shockwave pdfium PdfiumCore: mContext may be null
08 24 13:05:37 458 21865 28104  W System err: java lang NullPointerException
08 24 13:05:37 458 21865 28104  W System err:     at com shockwave pdfium PdfiumCore renderPageBitmap(PdfiumCore java:216)
08 24 13:05:37 458 21865 28104  W System err:     at com github barteksc pdfviewer RenderingAsyncTask proceed(RenderingAsyncTask java:123)
08 24 13:05:37 458 21865 28104  W System err:     at com github barteksc pdfviewer RenderingAsyncTask doInBackground(RenderingAsyncTask java:77)
08 24 13:05:37 458 21865 28104  W System err:     at com github barteksc pdfviewer RenderingAsyncTask doInBackground(RenderingAsyncTask java:34)
08 24 13:05:37 458 21865 28104  W System err:     at android os AsyncTask 2 call(AsyncTask java:287)
08 24 13:05:37 458 21865 28104  W System err:     at java util concurrent FutureTask Sync innerRun(FutureTask java:305)
08 24 13:05:37 458 21865 28104  W System err:     at java util concurrent FutureTask run(FutureTask java:137)
08 24 13:05:37 458 21865 28104  W System err:     at java util concurrent ThreadPoolExecutor runWorker(ThreadPoolExecutor java:1076)
08 24 13:05:37 458 21865 28104  W System err:     at java util concurrent ThreadPoolExecutor Worker run(ThreadPoolExecutor java:569)
08 24 13:05:37 458 21865 28104  W System err:     at java lang Thread run(Thread java:856)
08 24 13:05:37 458 21865 28104  E com shockwave pdfium PdfiumCore: mContext may be null
08 24 13:05:37 458 21865 28104  W System err: java lang NullPointerException
08 24 13:05:37 458 21865 28104  W System err:     at com shockwave pdfium PdfiumCore renderPageBitmap(PdfiumCore java:216)
08 24 13:05:37 458 21865 28104  W System err:     at com github barteksc pdfviewer RenderingAsyncTask proceed(RenderingAsyncTask java:123)
08 24 13:05:37 468 21865 28104  W System err:     at com github barteksc pdfviewer RenderingAsyncTask doInBackground(RenderingAsyncTask java:77)
08 24 13:05:37 468 21865 28104  W System err:     at com github barteksc pdfviewer RenderingAsyncTask doInBackground(RenderingAsyncTask java:34)
08 24 13:05:37 468 21865 28104  W System err:     at android os AsyncTask 2 call(AsyncTask java:287)
08 24 13:05:37 468 21865 28104  W System err:     at java util concurrent FutureTask Sync innerRun(FutureTask java:305)
08 24 13:05:37 468 21865 28104  W System err:     at java util concurrent FutureTask run(FutureTask java:137)
08 24 13:05:37 468 21865 28104  W System err:     at java util concurrent ThreadPoolExecutor runWorker(ThreadPoolExecutor java:1076)
08 24 13:05:37 468 21865 28104  W System err:     at java util concurrent ThreadPoolExecutor Worker run(ThreadPoolExecutor java:569)
08 24 13:05:37 468 21865 28104  W System err:     at java lang Thread run(Thread java:856)
08 24 13:05:37 468 21865 28104  E com shockwave pdfium PdfiumCore: mContext may be null
08 24 13:05:37 468 21865 28104  W System err: java lang NullPointerException
08 24 13:05:37 468 21865 28104  W System err:     at com shockwave pdfium PdfiumCore renderPageBitmap(PdfiumCore java:216)
08 24 13:05:37 468 21865 28104  W System err:     at com github barteksc pdfviewer RenderingAsyncTask proceed(RenderingAsyncTask java:123)
08 24 13:05:37 468 21865 28104  W System err:     at com github barteksc pdfviewer RenderingAsyncTask doInBackground(RenderingAsyncTask java:77)
08 24 13:05:37 468 21865 28104  W System err:     at com github barteksc pdfviewer RenderingAsyncTask doInBackground(RenderingAsyncTask java:34)
08 24 13:05:37 468 21865 28104  W System err:     at android os AsyncTask 2 call(AsyncTask java:287)
08 24 13:05:37 468 21865 28104  W System err:     at java util concurrent FutureTask Sync innerRun(FutureTask java:305)
08 24 13:05:37 468 21865 28104  W System err:     at java util concurrent FutureTask run(FutureTask java:137)
08 24 13:05:37 468 21865 28104  W System err:     at java util concurrent ThreadPoolExecutor runWorker(ThreadPoolExecutor java:1076)
08 24 13:05:37 468 21865 28104  W System err:     at java util concurrent ThreadPoolExecutor Worker run(ThreadPoolExecutor java:569)
08 24 13:05:37 468 21865 28104  W System err:     at java lang Thread run(Thread java:856)
08 24 13:05:37 498 21865 21866  D dalvikvm: GC CONCURRENT freed 1966K  23  free 13237K 17159K  paused 12ms 3ms  total 29ms
08 24 13:05:37 498 21865 28104  D dalvikvm: WAIT FOR CONCURRENT GC blocked 14ms
08 24 13:05:37 498 21865 28104  E com shockwave pdfium PdfiumCore: mContext may be null
08 24 13:05:37 498 21865 28104  W System err: java lang NullPointerException
08 24 13:05:37 498 21865 28104  W System err:     at com shockwave pdfium PdfiumCore renderPageBitmap(PdfiumCore java:216)
08 24 13:05:37 498 21865 28104  W System err:     at com github barteksc pdfviewer RenderingAsyncTask proceed(RenderingAsyncTask java:123)
08 24 13:05:37 498 21865 28104  W System err:     at com github barteksc pdfviewer RenderingAsyncTask doInBackground(RenderingAsyncTask java:77)
08 24 13:05:37 498 21865 28104  W System err:     at com github barteksc pdfviewer RenderingAsyncTask doInBackground(RenderingAsyncTask java:34)
08 24 13:05:37 498 21865 28104  W System err:     at android os AsyncTask 2 call(AsyncTask java:287)
08 24 13:05:37 498 21865 28104  W System err:     at java util concurrent FutureTask Sync innerRun(FutureTask java:305)
08 24 13:05:37 498 21865 28104  W System err:     at java util concurrent FutureTask run(FutureTask java:137)
08 24 13:05:37 498 21865 28104  W System err:     at java util concurrent ThreadPoolExecutor runWorker(ThreadPoolExecutor java:1076)
08 24 13:05:37 498 21865 28104  W System err:     at java util concurrent ThreadPoolExecutor Worker run(ThreadPoolExecutor java:569)
08 24 13:05:37 498 21865 28104  W System err:     at java lang Thread run(Thread java:856)
08 24 13:05:37 508 21865 28104  E com shockwave pdfium PdfiumCore: mContext may be null
08 24 13:05:37 508 21865 28104  W System err: java lang NullPointerException
08 24 13:05:37 508 21865 28104  W System err:     at com shockwave pdfium PdfiumCore renderPageBitmap(PdfiumCore java:216)
08 24 13:05:37 508 21865 28104  W System err:     at com github barteksc pdfviewer RenderingAsyncTask proceed(RenderingAsyncTask java:123)
08 24 13:05:37 508 21865 28104  W System err:     at com github barteksc pdfviewer RenderingAsyncTask doInBackground(RenderingAsyncTask java:77)
08 24 13:05:37 508 21865 28104  W System err:     at com github barteksc pdfviewer RenderingAsyncTask doInBackground(RenderingAsyncTask java:34)
08 24 13:05:37 508 21865 28104  W System err:     at android os AsyncTask 2 call(AsyncTask java:287)
08 24 13:05:37 508 21865 28104  W System err:     at java util concurrent FutureTask Sync innerRun(FutureTask java:305)
08 24 13:05:37 508 21865 28104  W System err:     at java util concurrent FutureTask run(FutureTask java:137)
08 24 13:05:37 508 21865 28104  W System err:     at java util concurrent ThreadPoolExecutor runWorker(ThreadPoolExecutor java:1076)
08 24 13:05:37 508 21865 28104  W System err:     at java util concurrent ThreadPoolExecutor Worker run(ThreadPoolExecutor java:569)
08 24 13:05:37 508 21865 28104  W System err:     at java lang Thread run(Thread java:856)
08 24 13:05:37 508 21865 28104  E com shockwave pdfium PdfiumCore: mContext may be null
08 24 13:05:37 508 21865 28104  W System err: java lang NullPointerException
08 24 13:05:37 508 21865 28104  W System err:     at com shockwave pdfium PdfiumCore renderPageBitmap(PdfiumCore java:216)
08 24 13:05:37 508 21865 28104  W System err:     at com github barteksc pdfviewer RenderingAsyncTask proceed(RenderingAsyncTask java:123)
08 24 13:05:37 508 21865 28104  W System err:     at com github barteksc pdfviewer RenderingAsyncTask doInBackground(RenderingAsyncTask java:77)
08 24 13:05:37 508 21865 28104  W System err:     at com github barteksc pdfviewer RenderingAsyncTask doInBackground(RenderingAsyncTask java:34)
08 24 13:05:37 508 21865 28104  W System err:     at android os AsyncTask 2 call(AsyncTask java:287)
08 24 13:05:37 508 21865 28104  W System err:     at java util concurrent FutureTask Sync innerRun(FutureTask java:305)
08 24 13:05:37 508 21865 28104  W System err:     at java util concurrent FutureTask run(FutureTask java:137)
08 24 13:05:37 508 21865 28104  W System err:     at java util concurrent ThreadPoolExecutor runWorker(ThreadPoolExecutor java:1076)
08 24 13:05:37 508 21865 28104  W System err:     at java util concurrent ThreadPoolExecutor Worker run(ThreadPoolExecutor java:569)
08 24 13:05:37 518 21865 28104  W System err:     at java lang Thread run(Thread java:856)
08 24 13:05:37 518 21865 28104  E com shockwave pdfium PdfiumCore: mContext may be null
08 24 13:05:37 518 21865 28104  W System err: java lang NullPointerException
08 24 13:05:37 518 21865 28104  W System err:     at com shockwave pdfium PdfiumCore renderPageBitmap(PdfiumCore java:216)
08 24 13:05:37 518 21865 28104  W System err:     at com github barteksc pdfviewer RenderingAsyncTask proceed(RenderingAsyncTask java:123)
08 24 13:05:37 518 21865 28104  W System err:     at com github barteksc pdfviewer RenderingAsyncTask doInBackground(RenderingAsyncTask java:77)
08 24 13:05:37 518 21865 28104  W System err:     at com github barteksc pdfviewer RenderingAsyncTask doInBackground(RenderingAsyncTask java:34)
08 24 13:05:37 518 21865 28104  W System err:     at android os AsyncTask 2 call(AsyncTask java:287)
08 24 13:05:37 518 21865 28104  W System err:     at java util concurrent FutureTask Sync innerRun(FutureTask java:305)
08 24 13:05:37 518 21865 28104  W System err:     at java util concurrent FutureTask run(FutureTask java:137)
08 24 13:05:37 518 21865 28104  W System err:     at java util concurrent ThreadPoolExecutor runWorker(ThreadPoolExecutor java:1076)
08 24 13:05:37 518 21865 28104  W System err:     at java util concurrent ThreadPoolExecutor Worker run(ThreadPoolExecutor java:569)
08 24 13:05:37 518 21865 28104  W System err:     at java lang Thread run(Thread java:856)
</t>
  </si>
  <si>
    <t>farkam135-GoIV-171</t>
  </si>
  <si>
    <t>GoIV crashes when deleting CP/HP</t>
  </si>
  <si>
    <t xml:space="preserve">Reported by https:  www reddit com r GoIV comments 4zarig bug if you click the iv button while the pokemon d6urlno 
To just fix the crash  we need a try  catch here  and show  say  a Toast to report the error:
https:  github com farkam135 GoIV blob 37336a661e400d2c0a47b4823f6ed6347954d9ee app src main java com kamron pogoiv Pokefly java L421 L422
But it d be good to have some nicer validation UX 
</t>
  </si>
  <si>
    <t>nbsp-team-MaterialFilePicker-34</t>
  </si>
  <si>
    <t>Can't use ARG_FILE_FILTER as documented</t>
  </si>
  <si>
    <t xml:space="preserve">The  ARG FILE FILTER  shown in the readme doesn t exist   Apparently it was replaced by  ARG FILTER    But it doesn t work 
intent putExtra(FilePickerActivity ARG FILTER  Pattern compile(      txt  )) 
   results in this crash:
FATAL EXCEPTION: main
 Process: com chalcodes maps  PID: 5164
 java lang RuntimeException: Unable to start activity ComponentInfo com chalcodes maps com nbsp materialfilepicker ui FilePickerActivity : java lang ClassCastException: java util regex Pattern cannot be cast to com nbsp materialfilepicker filter CompositeFilter
     at android app ActivityThread performLaunchActivity(ActivityThread java:2339)
     at android app ActivityThread handleLaunchActivity(ActivityThread java:2413)
     at android app ActivityThread access 800(ActivityThread java:155)
     at android app ActivityThread H handleMessage(ActivityThread java:1317)
     at android os Handler dispatchMessage(Handler java:102)
     at android os Looper loop(Looper java:135)
     at android app ActivityThread main(ActivityThread java:5343)
     at java lang reflect Method invoke(Native Method)
     at java lang reflect Method invoke(Method java:372)
     at com android internal os ZygoteInit MethodAndArgsCaller run(ZygoteInit java:905)
     at com android internal os ZygoteInit main(ZygoteInit java:700)
  Caused by: java lang ClassCastException: java util regex Pattern cannot be cast to com nbsp materialfilepicker filter CompositeFilter
     at com nbsp materialfilepicker ui FilePickerActivity initArguments(FilePickerActivity java:62)
     at com nbsp materialfilepicker ui FilePickerActivity onCreate(FilePickerActivity java:47)
     at android app Activity performCreate(Activity java:6010)
     at android app Instrumentation callActivityOnCreate(Instrumentation java:1129)
     at android app ActivityThread performLaunchActivity(ActivityThread java:2292)
     at android app ActivityThread handleLaunchActivity(ActivityThread java:2413) 
     at android app ActivityThread access 800(ActivityThread java:155) 
     at android app ActivityThread H handleMessage(ActivityThread java:1317) 
     at android os Handler dispatchMessage(Handler java:102) 
     at android os Looper loop(Looper java:135) 
     at android app ActivityThread main(ActivityThread java:5343) 
     at java lang reflect Method invoke(Native Method) 
     at java lang reflect Method invoke(Method java:372) 
     at com android internal os ZygoteInit MethodAndArgsCaller run(ZygoteInit java:905) 
     at com android internal os ZygoteInit main(ZygoteInit java:700) 
</t>
  </si>
  <si>
    <t>dimagi-commcare-android-1469</t>
  </si>
  <si>
    <t>Catch another session expiration crash in home button logic</t>
  </si>
  <si>
    <t xml:space="preserve">Yet another crash due to home screen button setup code not handling session expiration correctly 
org commcare utils SessionUnavailableException
at org commcare CommCareApplication getSession(CommCareApplication java:1190)
at org commcare CommCareApplication getUserDbHandle(CommCareApplication java:737)
at org commcare CommCareApplication 3 getHandle(CommCareApplication java:791)
at org commcare models database SqlStorage getIDsForValues(SqlStorage java:87)
at org commcare utils StorageUtils getNumIncompleteForms(StorageUtils java:47)
at org commcare activities HomeButtons 6 update(HomeButtons java:160)
at org commcare adapters SquareButtonAdapter bindCard(SquareButtonAdapter java:78)
at org commcare adapters SquareButtonAdapter onBindViewHolder(SquareButtonAdapter java:63)
at org commcare adapters HomeScreenAdapter onBindViewHolder(HomeScreenAdapter java:84)
at android support v7 widget RecyclerView Adapter bindViewHolder(RecyclerView java:5801)
at android support v7 widget RecyclerView Recycler getViewForPosition(RecyclerView java:5037)
at android support v7 widget RecyclerView Recycler getViewForPosition(RecyclerView java:4913)
at android support v7 widget LayoutState next(LayoutState java:100)
at android support v7 widget StaggeredGridLayoutManager fill(StaggeredGridLayoutManager java:1555)
at android support v7 widget StaggeredGridLayoutManager onLayoutChildren(StaggeredGridLayoutManager java:665)
at android support v7 widget StaggeredGridLayoutManager onLayoutChildren(StaggeredGridLayoutManager java:597)
at android support v7 widget RecyclerView dispatchLayoutStep2(RecyclerView java:3260)
at android support v7 widget RecyclerView dispatchLayout(RecyclerView java:3069)
at android support v7 widget RecyclerView onLayout(RecyclerView java:3518)
at android view View layout(View java:17938)
at android view ViewGroup layout(ViewGroup java:5814)
at android widget LinearLayout setChildFrame(LinearLayout java:1742)
at android widget LinearLayout layoutVertical(LinearLayout java:1585)
at android widget LinearLayout onLayout(LinearLayout java:1494)
at android view View layout(View java:17938)
at android view ViewGroup layout(ViewGroup java:5814)
at android widget FrameLayout layoutChildren(FrameLayout java:344)
at android widget FrameLayout onLayout(FrameLayout java:281)
at android view View layout(View java:17938)
at android view ViewGroup layout(ViewGroup java:5814)
at com android internal widget ActionBarOverlayLayout onLayout(ActionBarOverlayLayout java:493)
at android view View layout(View java:17938)
at android view ViewGroup layout(ViewGroup java:5814)
at android widget FrameLayout layoutChildren(FrameLayout java:344)
at android widget FrameLayout onLayout(FrameLayout java:281)
at com android internal policy PhoneWindow DecorView onLayout(PhoneWindow java:3193)
at android view View layout(View java:17938)
at android view ViewGroup layout(ViewGroup java:5814)
at android view ViewRootImpl performLayout(ViewRootImpl java:2666)
at android view ViewRootImpl performTraversals(ViewRootImpl java:2367)
at android view ViewRootImpl doTraversal(ViewRootImpl java:1437)
at android view ViewRootImpl TraversalRunnable run(ViewRootImpl java:7397)
at android view Choreographer CallbackRecord run(Choreographer java:920)
at android view Choreographer doCallbacks(Choreographer java:695)
at android view Choreographer doFrame(Choreographer java:631)
at android view Choreographer FrameDisplayEventReceiver run(Choreographer java:906)
at android os Handler handleCallback(Handler java:739)
at android os Handler dispatchMessage(Handler java:95)
at android os Looper loop(Looper java:158)
at android app ActivityThread main(ActivityThread java:7224)
at java lang reflect Method invoke(Native Method)
at com android internal os ZygoteInit MethodAndArgsCaller run(ZygoteInit java:1230)
at com android internal os ZygoteInit main(ZygoteInit java:1120)
</t>
  </si>
  <si>
    <t>dimagi-commcare-android-1468</t>
  </si>
  <si>
    <t>Try/catch around FormEntryActivity unregisterReceiver</t>
  </si>
  <si>
    <t xml:space="preserve">Seeing some of the following crashes on ACRA for 2 29 1
In practice  the receiver in question ( mLocationServiceIssueReceiver ) should always be registered  so I have no idea how this is coming up  Figured it is better to not crash the app though 
java lang RuntimeException: Unable to pause activity  org commcare dalvik org commcare activities FormEntryActivity : java lang IllegalArgumentException: Receiver not registered: org commcare activities FormEntryActivity 1 43ebef50
at android app ActivityThread performPauseActivity(ActivityThread java:3242)
at android app ActivityThread performPauseActivity(ActivityThread java:3193)
at android app ActivityThread handlePauseActivity(ActivityThread java:3171)
at android app ActivityThread access 1000(ActivityThread java:151)
at android app ActivityThread H handleMessage(ActivityThread java:1338)
at android os Handler dispatchMessage(Handler java:110)
at android os Looper loop(Looper java:193)
at android app ActivityThread main(ActivityThread java:5292)
at java lang reflect Method invokeNative(Native Method)
at java lang reflect Method invoke(Method java:515)
at com android internal os ZygoteInit MethodAndArgsCaller run(ZygoteInit java:824)
at com android internal os ZygoteInit main(ZygoteInit java:640)
at dalvik system NativeStart main(Native Method)
Caused by: java lang IllegalArgumentException: Receiver not registered: org commcare activities FormEntryActivity 1 43ebef50
at android app LoadedApk forgetReceiverDispatcher(LoadedApk java:667)
at android app ContextImpl unregisterReceiver(ContextImpl java:1549)
at android content ContextWrapper unregisterReceiver(ContextWrapper java:489)
at org commcare activities FormEntryActivity onPause(FormEntryActivity java:1631)
at android app Activity performPause(Activity java:5368)
at android app Instrumentation callActivityOnPause(Instrumentation java:1239)
at android app ActivityThread performPauseActivity(ActivityThread java:3224)
    12 more
java lang IllegalArgumentException: Receiver not registered: org commcare activities FormEntryActivity 1 43ebef50
at android app LoadedApk forgetReceiverDispatcher(LoadedApk java:667)
at android app ContextImpl unregisterReceiver(ContextImpl java:1549)
at android content ContextWrapper unregisterReceiver(ContextWrapper java:489)
at org commcare activities FormEntryActivity onPause(FormEntryActivity java:1631)
at android app Activity performPause(Activity java:5368)
at android app Instrumentation callActivityOnPause(Instrumentation java:1239)
at android app ActivityThread performPauseActivity(ActivityThread java:3224)
at android app ActivityThread performPauseActivity(ActivityThread java:3193)
at android app ActivityThread handlePauseActivity(ActivityThread java:3171)
at android app ActivityThread access 1000(ActivityThread java:151)
at android app ActivityThread H handleMessage(ActivityThread java:1338)
at android os Handler dispatchMessage(Handler java:110)
at android os Looper loop(Looper java:193)
at android app ActivityThread main(ActivityThread java:5292)
at java lang reflect Method invokeNative(Native Method)
at java lang reflect Method invoke(Method java:515)
at com android internal os ZygoteInit MethodAndArgsCaller run(ZygoteInit java:824)
at com android internal os ZygoteInit main(ZygoteInit java:640)
at dalvik system NativeStart main(Native Method)
</t>
  </si>
  <si>
    <t>farkam135-GoIV-183</t>
  </si>
  <si>
    <t>Possible race condition at startup</t>
  </si>
  <si>
    <t xml:space="preserve">I have just seen GoIV crash at startup when pressing Start Stop fast enough 
While reviewing other code   MainActivity onCreate  sets up a handler for the launch button  before  the rest of the setup is finished  Should probably be avoided (by changing order) to make sure this does not cause trouble 
</t>
  </si>
  <si>
    <t>ArtiomCX75-WeatherForecast-18</t>
  </si>
  <si>
    <t>specify the fix libraries version</t>
  </si>
  <si>
    <t xml:space="preserve">crash because of version like  22   
</t>
  </si>
  <si>
    <t>grpc-grpc-java-2207</t>
  </si>
  <si>
    <t>Android HelloWorld example release build is broken</t>
  </si>
  <si>
    <t xml:space="preserve">When trying to send the RPC it crashes with:
08 26 12:45:47 761  6837  6837 E AndroidRuntime: java lang NullPointerException: Attempt to invoke virtual method  io grpc l io grpc l a()  on a null object reference
08 26 12:45:47 761  6837  6837 E AndroidRuntime:    at io grpc helloworldexample b a(Unknown Source)
08 26 12:45:47 761  6837  6837 E AndroidRuntime:    at io grpc helloworldexample b onPostExecute(Unknown Source)
08 26 12:45:47 761  6837  6837 E AndroidRuntime:    at android os AsyncTask finish(AsyncTask java:651)
After fixing the NPE (caused by calling  shutdown()  on a  null   ManagedChannel )  then it gracefully fails with:
Failed    :
io grpc p: No functional channel service provider found  Try adding a dependency on the grpc okhttp or grpc netty artifact
okhttp is not included after ProGuard  However  android interop testing doesn t suffer from the same issue  and I don t understand how  For android interop testing  I do see OkHttpChannelBuilder in mapping txt  but I don t see OkHttpChannelProvider  Maybe it is being inlined  But I don t know why it would be included for one application but not for the other  I do know that android interop testing includes a cast to OkHttpChannelBuilder  but it seems like the provider should still break  The only reference to OkHttpChannelProvider in a  Class forName()  in ManagedChannelProvider 
CC  zsurocking 
</t>
  </si>
  <si>
    <t>thaliproject-Thali_CordovaPlugin_BtLibrary-85</t>
  </si>
  <si>
    <t>We need to distinguish between Bluetooth crashing and the user disabling Bluetooth</t>
  </si>
  <si>
    <t xml:space="preserve">If the user has disabled Bluetooth we need to just accept that Bluetooth is off and wait for it to turn back on if we are in an advertising mode and start advertising only when it turns back on 
But if Bluetooth crashed then we need to run a heuristic to figure out when it is back and try to work again 
</t>
  </si>
  <si>
    <t>farkam135-GoIV-234</t>
  </si>
  <si>
    <t>[3.0.1] Killing the application makes it unusable thereafter</t>
  </si>
  <si>
    <t xml:space="preserve">Coming from  217 4):
Start GoIV (with  Launch Pokemon Go  disabled to make it faster)  kill it  Restart it  kill it again and it will crash 
It seems the crash itself is fixed  However  it would look as if GoIV stops working if you kill it just once: the IV button won t do anything and battery saver mode won t trigger detection  Only way to get it working again (from what I tried) was reinstalling 
</t>
  </si>
  <si>
    <t>fossasia-open-event-droidgen-667</t>
  </si>
  <si>
    <t>App crashes on refreshing if no API link was provided</t>
  </si>
  <si>
    <t xml:space="preserve">If the app was created from zip file  the app crashes when any of the fragment is refreshed 
We need to display a dialogue instead when this happen 
</t>
  </si>
  <si>
    <t>bgogetap-StickyHeaders-18</t>
  </si>
  <si>
    <t xml:space="preserve">Crash when use scrollToPosition </t>
  </si>
  <si>
    <t xml:space="preserve">(Sorry for my English skill   )
Yes as title  i get crash when use scrollToPosition
Have any solution for fix it  Thank you so much 
Here my log
 ava lang ClassCastException: android widget FrameLayout LayoutParams cannot be cast to android support v7 widget RecyclerView LayoutParams
                                                                        at android support v7 widget RecyclerView getChildViewHolderInt(RecyclerView java:3979)
                                                                        at android support v7 widget RecyclerView LayoutManager removeAndRecycleScrapInt(RecyclerView java:7719)
                                                                        at android support v7 widget RecyclerView dispatchLayoutStep3(RecyclerView java:3388)
                                                                        at android support v7 widget RecyclerView dispatchLayout(RecyclerView java:3135)
                                                                        at android support v7 widget RecyclerView onLayout(RecyclerView java:3568)
                                                                        at android view View layout(View java:17938)
                                                                        at android view ViewGroup layout(ViewGroup java:5812)
                                                                        at android widget FrameLayout layoutChildren(FrameLayout java:344)
                                                                        at android widget FrameLayout onLayout(FrameLayout java:281)
                                                                        at android view View layout(View java:17938)
                                                                        at android view ViewGroup layout(ViewGroup java:5812)
                                                                        at android widget LinearLayout setChildFrame(LinearLayout java:1742)
                                                                        at android widget LinearLayout layoutVertical(LinearLayout java:1585)
                                                                        at android widget LinearLayout onLayout(LinearLayout java:1494)
                                                                        at android view View layout(View java:17938)
                                                                        at android view ViewGroup layout(ViewGroup java:5812)
                                                                        at android widget RelativeLayout onLayout(RelativeLayout java:1080)
                                                                        at android view View layout(View java:17938)
                                                                        at android view ViewGroup layout(ViewGroup java:5812)
                                                                        at android widget FrameLayout layoutChildren(FrameLayout java:344)
                                                                        at android widget FrameLayout onLayout(FrameLayout java:281)
                                                                        at android view View layout(View java:17938)
                                                                        at android view ViewGroup layout(ViewGroup java:5812)
                                                                        at android support v4 view ViewPager onLayout(ViewPager java:1767)
                                                                        at android view View layout(View java:17938)
                                                                        at android view ViewGroup layout(ViewGroup java:5812)
                                                                        at android support design widget HeaderScrollingViewBehavior layoutChild(HeaderScrollingViewBehavior java:131)
                                                                        at android support design widget ViewOffsetBehavior onLayoutChild(ViewOffsetBehavior java:42)
                                                                        at android support design widget AppBarLayout ScrollingViewBehavior onLayoutChild(AppBarLayout java:1364)
                                                                        at android support design widget CoordinatorLayout onLayout(CoordinatorLayout java:852)
                                                                        at android view View layout(View java:17938)
                                                                        at android view ViewGroup layout(ViewGroup java:5812)
                                                                        at android widget RelativeLayout onLayout(RelativeLayout java:1080)
                                                                        at android view View layout(View java:17938)
                                                                        at android view ViewGroup layout(ViewGroup java:5812)
                                                                        at android widget FrameLayout layoutChildren(FrameLayout java:344)
                                                                        at android widget FrameLayout onLayout(FrameLayout java:281)
                                                                        at android view View layout(View java:17938)
                                                                        at android view ViewGroup layout(ViewGroup java:5812)
                                                                        at android widget LinearLayout setChildFrame(LinearLayout java:1742)
                                                                        at android widget LinearLayout layoutVertical(LinearLayout java:1585)
                                                                        at android widget LinearLayout onLayout(LinearLayout java:1494)
                                                                        at android view View layout(View java:17938)
                                                                        at android view ViewGroup layout(ViewGroup java:5812)
                                                                        at android widget FrameLayout layoutChildren(FrameLayout java:344)
                                                                        at android widget FrameLayout onLayout(FrameLayout java:281)
                                                                        at android view View layout(View java:17938)
                                                                        at android view ViewGroup layout(ViewGroup java:5812)
                                                                        at android widget LinearLayout setChildFrame(LinearLayout java:1742)
                                                                        at android widget LinearLayout layoutVertical(LinearLayout java:1585)
                                                                        at android widget LinearLayout onLayout(LinearLayout java:1494)
                                                                        at android view View layout(View java:17938)
                                                                        at android view ViewGroup layout(ViewGroup java:5812)
                                                                        at android widget FrameLayout layoutChildren(FrameLayout java:344)
                                                                        at android widget FrameLayout onLayout(FrameLayout java:281)
                                                                        at com android internal policy PhoneWindow DecorView onLayout(PhoneWindow java:3193)
                                                                        at android view View layout(View java:17938)
                                                                        at android view ViewGroup layout(ViewGroup java:5812)
                                                                        at android view ViewRootImpl performLayout(ViewRootImpl java:2666)
                                                                        at android view ViewRootImpl performTraversals(ViewRootImpl java:2367) 
</t>
  </si>
  <si>
    <t>marzika-Snapprefs-185</t>
  </si>
  <si>
    <t>Plethora of crash logs</t>
  </si>
  <si>
    <t xml:space="preserve">I have a droid turbo running on the latest version of Snapprefs compatible snapchat and also latest version of cyanogenmod  
Sorry I haven t kept what I did before the crash but hopefully the logs speak for them self  If not  let me know 
 Crashes zip (https:  github com marzika Snapprefs files 441418 Crashes zip)
</t>
  </si>
  <si>
    <t>SufficientlySecure-document-viewer-203</t>
  </si>
  <si>
    <t>The app crashes on "Intro_to_Algo_Selected_Solutions.pdf"</t>
  </si>
  <si>
    <t xml:space="preserve">Document Viewer (Version 2 7 6 from F Droid) crashes on the file
https:  mitpress mit edu sites default files titles content Intro to Algo Selected Solutions pdf
(it s a supplement for the famous book  Introduction to Algorithms  by Thomas H  Cormen  Charles E  Leiserson  Ronald L  Rivest and Clifford Stein) 
</t>
  </si>
  <si>
    <t>farkam135-GoIV-256</t>
  </si>
  <si>
    <t>Application can reach a state where IV button does nothing</t>
  </si>
  <si>
    <t xml:space="preserve">https:  www reddit com r GoIV comments 4zvnvh version 301 hotfix released d6zgcut   several people have the issue
and another one:  https:  www reddit com r GoIV comments 4zvnvh version 301 hotfix released d6zyu9x
Ive managed to get the bug once on my own S7  and I did not get any crashlog  I do not know how to reproduce the issue 
</t>
  </si>
  <si>
    <t>iomodo-Wally-53</t>
  </si>
  <si>
    <t>Filtering of Friends list Doesn't works</t>
  </si>
  <si>
    <t xml:space="preserve">Filtering friends when sharing with friends  doesn t work  And crash  
java lang IndexOutOfBoundsException: Index: 16  Size: 0
   at java util ArrayList add(ArrayList java:457)
   at com wally wally controllers contentCreator peopleChooser FilterRecyclerViewAdapter moveItem(FilterRecyclerViewAdapter java:115)
   at com wally wally controllers contentCreator peopleChooser FilterRecyclerViewAdapter applyAndAnimateMovedItems(FilterRecyclerViewAdapter java:97)
   at com wally wally controllers contentCreator peopleChooser FilterRecyclerViewAdapter animateTo(FilterRecyclerViewAdapter java:70)
   at com wally wally controllers contentCreator peopleChooser FilterRecyclerViewAdapter filter(FilterRecyclerViewAdapter java:61)
   at com wally wally controllers contentCreator peopleChooser PeopleChooserPopup onTextChanged(PeopleChooserPopup java:101)
   at com doodle android chips ChipsView EditTextListener afterTextChanged(ChipsView java:434)
</t>
  </si>
  <si>
    <t>ELynx-pokemon-go-xposed-mitm-9</t>
  </si>
  <si>
    <t>PoGo randomly crashed after enabling module</t>
  </si>
  <si>
    <t xml:space="preserve">Xiaomi Redmi note 2  AOSP 5 0 2  Tested on 0 33 and 0 35  PoGo randomly crashed without any notice 
In the module IV check is off  Lure time is on 
Just for u information )
</t>
  </si>
  <si>
    <t>farkam135-GoIV-284</t>
  </si>
  <si>
    <t>`scanPokemon` might hang the application</t>
  </si>
  <si>
    <t xml:space="preserve">This is a regression introduced (I think) in https:  github com farkam135 GoIV commit 9ac1355ba784d1b85700d110edfd775c8421c377 from  262 
 sarav s  248 changed the code  but we have still Pokefly sending an intent to itself  and flags not getting changed if that doesn t happen 
I m not 100  sure there s a bug  but if there is no bug it s by luck  not by design  And luck isn t reliable  We should refactor this 
  To fix this bug  we could send again an empty intent when the OCR isn t initialized 
  But the new logic uses default values (which I find worse)  so an empty intent is not something we re handling 
  Moreover  those default values end up in the dialog instead of having something  actually  missing there 
  Alternatively  now that  sarav s fixed the root cause for the OCR being not initialized  we could drop that code for ocr    null  Recent releases have shown that handling problematic conditions badly is more painful than crashing crashing resets the app to a working state  hiding the problem makes it harder to reset the app  with users claiming they need to reboot their phone (though I still don t believe that s necessary) 
</t>
  </si>
  <si>
    <t>itachi1706-CheesecakeAppUpdater-2</t>
  </si>
  <si>
    <t>DownloadLatestUpdate.java line 170</t>
  </si>
  <si>
    <t xml:space="preserve">in com itachi1706 appupdater DownloadLatestUpdate onPostExecute
Number of crashes: 1
Impacted devices: 1
There s a lot more information about this crash on crashlytics com:
https:  fabric io itachi1706s projects android apps com itachi1706 cheesecakeutilities issues 57c3ccdd0aeb16625b5a3faf
Referenced from https:  github com itachi1706 CheesecakeUtilities issues 20
</t>
  </si>
  <si>
    <t>TodorGinchev-ThePRECIOUSprojectAPP-3</t>
  </si>
  <si>
    <t>Sign In with non-numeric/empty group Id</t>
  </si>
  <si>
    <t xml:space="preserve">Signing in with a non numeric or empty group id results in an app crash 
</t>
  </si>
  <si>
    <t>k9mail-k-9-1583</t>
  </si>
  <si>
    <t>Crash when downloading attachment</t>
  </si>
  <si>
    <t xml:space="preserve">Reported via Google Play:
java lang IllegalStateException: Can not perform this action after onSaveInstanceState
    at android app FragmentManagerImpl checkStateLoss(FragmentManager java:1328)
    at android app FragmentManagerImpl enqueueAction(FragmentManager java:1346)
    at android app BackStackRecord commitInternal(BackStackRecord java:729)
    at android app BackStackRecord commit(BackStackRecord java:705)
    at android app DialogFragment dismissInternal(DialogFragment java:292)
    at android app DialogFragment dismiss(DialogFragment java:258)
    at com fsck k9 ui messageview MessageViewFragment removeDialog(MessageViewFragment java:546)
    at com fsck k9 ui messageview MessageViewFragment access 200(MessageViewFragment java:55)
    at com fsck k9 ui messageview MessageViewFragment 3 run(MessageViewFragment java:643)
    at android os Handler handleCallback(Handler java:739)
    at android os Handler dispatchMessage(Handler java:95)
    at android os Looper loop(Looper java:135)
    at android app ActivityThread main(ActivityThread java:5254)
    at java lang reflect Method invoke(Native Method)
    at java lang reflect Method invoke(Method java:372)
    at com android internal os ZygoteInit MethodAndArgsCaller run(ZygoteInit java:904)
    at com android internal os ZygoteInit main(ZygoteInit java:699)
User messages:
  Was loading an attachment in the background 
  saving Attachments
  downloading complete versions of several photo heavy messages on a weak WiFi link
  crashed trying to get attachment
  keeps hanging then crashing when downliading images attached to emails 
  tried opening a jpeg attachment
  tried to open attatchment
  didn t like a calendar invitation
</t>
  </si>
  <si>
    <t>k9mail-k-9-1582</t>
  </si>
  <si>
    <t>Crash while moving message</t>
  </si>
  <si>
    <t xml:space="preserve">Reported via Google Play:
java lang RuntimeException: Failure delivering result ResultInfo who android:fragment:1  request 1  result  1  data Intent   (has extras)    to activity  com fsck k9 com fsck k9 activity MessageList : java lang IllegalStateException: got an activity result that wasn t meant for us  this is a bug 
    at android app ActivityThread deliverResults(ActivityThread java:3574)
    at android app ActivityThread handleSendResult(ActivityThread java:3617)
    at android app ActivityThread access 1300(ActivityThread java:151)
    at android app ActivityThread H handleMessage(ActivityThread java:1352)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java:904)
    at com android internal os ZygoteInit main(ZygoteInit java:699)
    at de robv android xposed XposedBridge main(XposedBridge java:102)
Caused by: java lang IllegalStateException: got an activity result that wasn t meant for us  this is a bug 
    at com fsck k9 ui messageview MessageCryptoPresenter onActivityResult(MessageCryptoPresenter java:158)
    at com fsck k9 ui messageview MessageViewFragment onActivityResult(MessageViewFragment java:405)
    at android app Activity dispatchActivityResult(Activity java:6197)
    at android app ActivityThread deliverResults(ActivityThread java:3570)
        11 more
User messages:
  moved a message that was opened to a different folder 
  Crash on moving opened email to another IMAP folder  Crash after selecting target folder 
  crash at moving message to different folder  is consistent problem
  tried to move a message to another folder  crash  happens wavy time I select move and a folder in the refile menu 
</t>
  </si>
  <si>
    <t>osmdroid-osmdroid-393</t>
  </si>
  <si>
    <t>Sql Tile Cache can crash the app if storage is not writable</t>
  </si>
  <si>
    <t xml:space="preserve">i found in some emulator configurations  the sample app can crash due to the storage being read only  This mod should fix the error conditions and reduce the log output for this case
</t>
  </si>
  <si>
    <t>NemProject-NEMAndroidApp-248</t>
  </si>
  <si>
    <t>"NEM client crashed, sending report..." Second Case</t>
  </si>
  <si>
    <t xml:space="preserve">Used the QR scanner on the Nano Wallet QR code and the app crashed giving  NEM client crashed  sending report    
QR used:
  crashed with nw qr (https:  cloud githubusercontent com assets 17099341 18137884 8ef3fecc 6faa 11e6 862f 083d05d48e20 png)
Mobile: Samsung S3
Android 4 3
NEM 1 0 60
NDAZM2 KCD2XB 4Y7XMM J5UUZ3 2ZCBHE MHRHF4 3U3W
</t>
  </si>
  <si>
    <t>square-okhttp-2827</t>
  </si>
  <si>
    <t>AndroidPlatform.trustManager() not using ClassLoader from delegate object</t>
  </si>
  <si>
    <t xml:space="preserve">I am seeing a very similar crash to  2323  reproducible on KitKat and Marshmellow  i e :
java lang IllegalStateException: Unable to extract the trust manager on okhttp3 internal platform AndroidPlatform b1a3a6d8  sslSocketFactory is class com paypal android sdk cg
                                                                                at okhttp3 OkHttpClient Builder sslSocketFactory(OkHttpClient java:599)
                                                                                at com paypal android sdk cc a(Unknown Source)
                                                                                at com paypal android sdk cm  init (Unknown Source)
                                                                                at com paypal android sdk payments PayPalService a(Unknown Source)
                                                                                at com paypal android sdk payments PayPalService onBind(Unknown Source)
From what I can tell  for me the fallback mechanism inside AndroidPlatform trustManager() is trying to work  i e :
 Override public X509TrustManager trustManager(SSLSocketFactory sslSocketFactory)  
    Object context   readFieldOrNull(sslSocketFactory  sslParametersClass   sslParameters ) 
    if (context    null)  
         If that didn t work  try the Google Play Services SSL provider before giving up  This
         must be loaded by the SSLSocketFactory s class loader 
      try  
        Class    gmsSslParametersClass   Class forName(
             com google android gms org conscrypt SSLParametersImpl   false 
            sslSocketFactory getClass() getClassLoader()) 
However  it seems that the sslSocketFactory class loader can t load that class  however the   sslSocketFactory delegate   class loader   can   load the class 
A little background: my app allows both Google and PayPal login  PayPal login from start is OK  Attempting a Google login first somehow swaps the  com android org conscrypt SSLParametersImpl  for a  com google android gms org conscrypt SSLParametersImpl  under the hood  after which attempting a PayPal login fails to load  gmsSslParametersClass  and leads to the crash 
The  sslSocketFactory  is provided by the PayPal SDK and so loaded from my app s classloader  The delegate seems to be able to be loaded from   system priv app PrebuiltGmsCore apk 
Correct me if I m wrong  but doesn t that code need to cater for the class loader in the delegate case as well 
</t>
  </si>
  <si>
    <t>stefan-niedermann-nextcloud-notes-130</t>
  </si>
  <si>
    <t>Bugfixes for 0.9.0</t>
  </si>
  <si>
    <t xml:space="preserve">     x  Select more then one file in the listview and bulk delete them crashes the app (but deletes successfully)   Not reproducable
   x  On first initial setup a network error is shown (since there is no server configured in this state  a sync error is odd)
   x  Server URL checkmark in settings activity is misaligned    caused by using support library 24 2 0   bug is fixed in 24 2 1 (https:  code google com p android issues detail id 220728 can 1 q label 3ATarget Support 24 2 1 colspec ID 20Status 20Priority 20Owner 20Summary 20Stars 20Reporter 20Opened)
   x  Test: Login has to fail if server side notes app is not installed ( 131)
 korelstar your help is very welcome if you have some time :)
</t>
  </si>
  <si>
    <t>aws-amplify-aws-sdk-android-191</t>
  </si>
  <si>
    <t>AmazonClientException on CognitoIdentityProvider/CognitoUser.confirmPasswordInBackground</t>
  </si>
  <si>
    <t xml:space="preserve">Hello  I experienced crash implementing forgot password feature 
Looks like that on the second step  where I have to enter confirmation code with a new password
ForgotPasswordContinuation lead to CognitoUser confirmPasswordInBackground that at the moment
catches only AmazonServiceException 
In my case I got AmazonClientException (so it crashes inside SDK)  The way I got this: switch off internet before second step and continue 
callstack:
Fatal Exception: com amazonaws AmazonClientException
Unable to execute HTTP request: Unable to resolve host  cognito idp us east 1 amazonaws com : No address associated with hostname
com amazonaws http AmazonHttpClient executeHelper (AmazonHttpClient java:424)
com amazonaws http AmazonHttpClient execute (AmazonHttpClient java:199)
com amazonaws services cognitoidentityprovider AmazonCognitoIdentityProviderClient invoke (AmazonCognitoIdentityProviderClient java:1918)
com amazonaws services cognitoidentityprovider AmazonCognitoIdentityProviderClient confirmForgotPassword (AmazonCognitoIdentityProviderClient java:637)
com amazonaws mobileconnectors cognitoidentityprovider CognitoUser confirmPasswordInternal (CognitoUser java:524)
com amazonaws mobileconnectors cognitoidentityprovider CognitoUser access 000 (CognitoUser java:103)
com amazonaws mobileconnectors cognitoidentityprovider CognitoUser 4 run (CognitoUser java:465)
java lang Thread run (Thread java:841)
Caused by java net UnknownHostException
java net InetAddress lookupHostByName (InetAddress java:394)
libcore net http HttpsURLConnectionImpl getOutputStream (HttpsURLConnectionImpl java:281)
com amazonaws http UrlHttpClient writeContentToConnection (UrlHttpClient java:128)
com amazonaws http UrlHttpClient execute (UrlHttpClient java:65)
com amazonaws http AmazonHttpClient executeHelper (AmazonHttpClient java:356)
com amazonaws http AmazonHttpClient execute (AmazonHttpClient java:199)
com amazonaws services cognitoidentityprovider AmazonCognitoIdentityProviderClient invoke (AmazonCognitoIdentityProviderClient java:1918)
com amazonaws services cognitoidentityprovider AmazonCognitoIdentityProviderClient confirmForgotPassword (AmazonCognitoIdentityProviderClient java:637)
com amazonaws mobileconnectors cognitoidentityprovider CognitoUser confirmPasswordInternal (CognitoUser java:524)
com amazonaws mobileconnectors cognitoidentityprovider CognitoUser access 000 (CognitoUser java:103)
com amazonaws mobileconnectors cognitoidentityprovider CognitoUser 4 run (CognitoUser java:465)
java lang Thread run (Thread java:841)
</t>
  </si>
  <si>
    <t>requery-requery-267</t>
  </si>
  <si>
    <t>What is the proper way to define Parent-Child relationships?</t>
  </si>
  <si>
    <t xml:space="preserve">What is the proper way to define a foreign model relationship  Given the following models:
 Entity
interface Parent : Persistable  
     get:Key
    var primaryId: String
    var children: MutableList Child 
 Entity
interface Child: Persistable  
     get:Key
    var primaryId: String
    var name: String
   The following methods seem to be the possible ways to define the  children  relationship  yet each has an issue that prevents use 
 get:OneToMany
var children: MutableList com nlefler requerytest Child 
causes
Causes stack overflow
           at io requery proxy EntityProxy toString(EntityProxy java:387)
                      at com nlefler requerytest ParentEntity toString(ParentEntity java:160)
                      at io requery proxy EntityProxy toString(EntityProxy java:387)
                      at com nlefler requerytest ChildEntity toString(ChildEntity java:192)
                      at java lang String valueOf(String java:2683)
                      at java lang StringBuilder append(StringBuilder java:129)
                      at java util AbstractCollection toString(AbstractCollection java:458)
                      at io requery proxy EntityProxy toString(EntityProxy java:387)
                      at com nlefler requerytest ParentEntity toString(ParentEntity java:160)
                      at io requery android sqlite BasePreparedStatement setObject(BasePreparedStatement java:286)
                      at io requery sql BaseType write(BaseType java:63)
                      at io requery sql GenericMapping write(GenericMapping java:351)
                      at io requery sql EntityWriter bindParameters(EntityWriter java:363)
                      at io requery sql EntityWriter 6 bindParameters(EntityWriter java:542)
                      at io requery sql EntityUpdateOperation 1 evaluate(EntityUpdateOperation java:67)
                      at io requery sql EntityUpdateOperation 1 evaluate(EntityUpdateOperation java:55)
                      at io requery query BaseScalar value(BaseScalar java:49)
                      at io requery sql EntityWriter update(EntityWriter java:592)
                      at io requery sql EntityWriter cascadeWrite(EntityWriter java:927)
                      at io requery sql EntityWriter updateInverseAssociation(EntityWriter java:780)
                      at io requery sql EntityWriter updateAssociations(EntityWriter java:663)
                      at io requery sql EntityWriter insert(EntityWriter java:453)
                      at io requery sql EntityWriter insert(EntityWriter java:410)
                      at io requery sql EntityDataStore insert(EntityDataStore java:199)
                      at io requery sql EntityDataStore insert(EntityDataStore java:189)
                      at io requery sql KotlinEntityDataStore insert(KotlinEntityDataStore kt:113)
                      at com nlefler requerytest MainActivity onCreate(MainActivity kt:29)
 get:OneToMany(mappedBy    parent )
var children: MutableList Child 
with
var parent: Parent
causes
at io requery sql EntityWriter updateInverseAssociation(EntityWriter java:780)
             at io requery sql EntityWriter updateAssociations(EntityWriter java:663)
             at io requery sql EntityWriter update(EntityWriter java:601)
             at io requery sql EntityWriter cascadeWrite(EntityWriter java:927)
             at io requery sql EntityWriter update(EntityWriter java:573)
             at io requery sql EntityWriter cascadeWrite(EntityWriter java:927)
             at io requery sql EntityWriter updateInverseAssociation(EntityWriter java:780)
var children: MutableList Child 
does not crash  but inserts the following into the database  which is not sustainable
 CREATE TABLE Child (primaryId varchar(255) primary key  name varchar(255)) 
CREATE TABLE Parent (primaryId varchar(255) primary key  children varchar(255)) 
INSERT INTO  Parent  VALUES( fc67661b d8b0 4d51 8bea 4182548e6bc3    Child  a18b5208 6478 47c2 9574 f42ef2547da5  A   ) 
Example project here: https:  github com nlefler requery test
</t>
  </si>
  <si>
    <t>farkam135-GoIV-315</t>
  </si>
  <si>
    <t>Battery-saver mode is only force-enabled on 4.4 when entering settings</t>
  </si>
  <si>
    <t xml:space="preserve">To reproduce:
  start GoIV on Android 4 4
  press start
  observe a crash
To workaround:
  enter the settings menu (without having to touch anything)  return  and start  Tis must be done only once IIUC  the issue stays fixed 
Solution approach:
  force battery saver mode on when starting the MainActivity  not in settings 
</t>
  </si>
  <si>
    <t>KeepSafe-ReLinker-27</t>
  </si>
  <si>
    <t>Can't catch MissingLibraryException</t>
  </si>
  <si>
    <t xml:space="preserve">Hey  guys  I have imported your library to my project  Recently I found the following crash log  It means that the library doesn t exist in apk for some unknown reason  But the Exception is thrown from a thread  thus I can t catch it myself  Could you protect app from crash in this special case 
Fatal Exception: com getkeepsafe relinker MissingLibraryException: lib armeabi v7a libcheckemu so
       at com getkeepsafe relinker ApkLibraryInstaller installLibrary(SourceFile:85)
       at com getkeepsafe relinker ReLinkerInstance loadLibraryInternal(SourceFile:182)
       at com getkeepsafe relinker ReLinkerInstance access 000(SourceFile:35)
       at com getkeepsafe relinker ReLinkerInstance 1 run(SourceFile:146)
       at java lang Thread run(Thread java:841)
</t>
  </si>
  <si>
    <t>farkam135-GoIV-357</t>
  </si>
  <si>
    <t>".../".split("/")[1] crashes</t>
  </si>
  <si>
    <t xml:space="preserve">This looks impossible  pokemonHPStr contains      but splitting on     produces a 1 element array  WTF  I don t know what the string in question is 
Stacktrace at http:  crashes to s ad8a16ae9c1 
</t>
  </si>
  <si>
    <t>hidroh-materialistic-654</t>
  </si>
  <si>
    <t>Comment load crash</t>
  </si>
  <si>
    <t xml:space="preserve">I can consistently reproduce a crash 
1  Open app
2  Press the comment shortcut on a post
3  Wait for load
4  Go back
5  Press the comment shortcut on the same post (or any others)
6  Crash   
Let me know if there s anything else I can do to further help 
</t>
  </si>
  <si>
    <t>getodk-collect-188</t>
  </si>
  <si>
    <t>Collect: Cascading select demo forms cause crash</t>
  </si>
  <si>
    <t xml:space="preserve"> a href  https:  github com yanokwa   img src  https:  avatars githubusercontent com u 32369 v 3  align  left  width  96  height  96  hspace  10    img   a    Issue by  yanokwa (https:  github com yanokwa)  
 Saturday Nov 21  2015 at 11:26 GMT 
 Originally opened as https:  github com opendatakit opendatakit issues 1179 (1 comment(s)) 
Both Cascading Select and Cascading Triple Select demo forms seem to cause crashes and weird behavior on Collect  Seems to happen on second open 
</t>
  </si>
  <si>
    <t>getodk-collect-175</t>
  </si>
  <si>
    <t>WebUtils.createOpenRosaHttpHead can throw uncaught IllegalArgumentException</t>
  </si>
  <si>
    <t xml:space="preserve"> a href  https:  github com mitchellsundt   img src  https:  avatars githubusercontent com u 2281171 v 3  align  left  width  96  height  96  hspace  10    img   a    Issue by  mitchellsundt (https:  github com mitchellsundt)  
 Thursday Jul 09  2015 at 19:46 GMT 
 Originally opened as https:  github com opendatakit opendatakit issues 1147 (0 comment(s)) 
Originally reported on Google Code with ID 1146
What steps will reproduce the problem 
1  Enter an ODK Collect URL with a leading space (e g    https:  foobar com )
2  Attempt to submit a form
What is the expected output  What do you see instead 
Expected outcome: ODK Collect should indicate that the URL is invalid
Actual outcome: ODK Collect crashes
Please provide any additional information below 
WebUtils createOpenRosaHttpHead uses java net URI create without catching the thrown
IllegalArgumentException   This only manifests itself when forms are uploaded   This
bit us during a training exercise when half our users were unable to upload forms from
the field with ODK crashing when they tried   When I got the devices back  I found
this in the logfile:
E AndroidRuntime(16668): Caused by: java lang IllegalArgumentException: Illegal character
in scheme at index 0:  https:   URI removed 
E AndroidRuntime(16668):    at java net URI create(URI java:733)
E AndroidRuntime(16668):    at org odk collect android utilities WebUtils createOpenRosaHttpHead(WebUtils java:204)
etc
Fix is simple:
1) trim() the URI string before attempting to create a URI  to make this more robust
2) Delcare that the method throws IllegalArgumentException  and catch it in InstanceUplaoderTask uploadOneSubmission 
along with the other exceptions that are caught and logged properly there 
Reported by  inverarity  on 2015 05 26 10:01:32
</t>
  </si>
  <si>
    <t>getodk-collect-156</t>
  </si>
  <si>
    <t>ODK Crashes when itemsets.csv is empty</t>
  </si>
  <si>
    <t xml:space="preserve"> a href  https:  github com mitchellsundt   img src  https:  avatars githubusercontent com u 2281171 v 3  align  left  width  96  height  96  hspace  10    img   a    Issue by  mitchellsundt (https:  github com mitchellsundt)  
 Thursday Jul 09  2015 at 19:45 GMT 
 Originally opened as https:  github com opendatakit opendatakit issues 1090 (0 comment(s)) 
Originally reported on Google Code with ID 1089
What steps will reproduce the problem 
1  Provide an xform together with an empty itemset csv
2  Choose Fill Blank form
What is the expected output  What do you see instead 
Should start the survey  Instead ODK crashes:
E AndroidRuntime(13567): FATAL EXCEPTION: AsyncTask opendatakit opendatakit 2
E AndroidRuntime(13567): java lang RuntimeException: An error occured while executing
doInBackground()
E AndroidRuntime(13567):        at android os AsyncTask 3 done(AsyncTask java:299)
E AndroidRuntime(13567):        at java util concurrent FutureTask Sync innerSetException(FutureTask java:273)
E AndroidRuntime(13567):        at java util concurrent FutureTask setException(FutureTask java:124)
E AndroidRuntime(13567):        at java util concurrent FutureTask Sync innerRun(FutureTask java:307)
E AndroidRuntime(13567):        at java util concurrent FutureTask run(FutureTask java:137)
E AndroidRuntime(13567):        at java util concurrent ThreadPoolExecutor runWorker(ThreadPoolExecutor java:1076)
E AndroidRuntime(13567):        at java util concurrent ThreadPoolExecutor Worker run(ThreadPoolExecutor java:569)
E AndroidRuntime(13567):        at java lang Thread run(Thread java:856)
E AndroidRuntime(13567): Caused by: java lang IllegalStateException: Cannot perform
this operation because there is no current transaction 
E AndroidRuntime(13567):        at android database sqlite SQLiteSession throwIfNoTransaction(SQLiteSession java:937)
E AndroidRuntime(13567):        at android database sqlite SQLiteSession setTransactionSuccessful(SQLiteSession java:371)
E AndroidRuntime(13567):        at android database sqlite SQLiteSession executeSpecial(SQLiteSession java:879)
E AndroidRuntime(13567):        at android database sqlite SQLiteSession executeForChangedRowCount(SQLiteSession java:748)
E AndroidRuntime(13567):        at android database sqlite SQLiteStatement executeUpdateDelete(SQLiteStatement java:64)
E AndroidRuntime(13567):        at android database sqlite SQLiteDatabase executeSql(SQLiteDatabase java:1693)
E AndroidRuntime(13567):        at android database sqlite SQLiteDatabase execSQL(SQLiteDatabase java:1622)
E AndroidRuntime(13567):        at org odk collect android database ItemsetDbAdapter commit(ItemsetDbAdapter java:157)
E AndroidRuntime(13567):        at org odk collect android tasks FormLoaderTask readCSV(FormLoaderTask java:626)
E AndroidRuntime(13567):        at org odk collect android tasks FormLoaderTask doInBackground(FormLoaderTask java:304)
E AndroidRuntime(13567):        at org odk collect android tasks FormLoaderTask doInBackground(FormLoaderTask java:1)
E AndroidRuntime(13567):        at android os AsyncTask 2 call(AsyncTask java:287)
E AndroidRuntime(13567):        at java util concurrent FutureTask Sync innerRun(FutureTask java:305)
E AndroidRuntime(13567):            4 more
W ActivityManager(  474):   Force finishing activity org odk collect android  activities FormEntryActivity
What version of the product are you using  On what operating system 
ODK Collect 1 4 4 (1045)
Please provide any additional information below 
We always include a itemsets csv file in the manifest because we generate xforms on
demand and so don t know ahead of time if a survey will require itemsets  For those
that do not  we were serving an empty itemsets csv  We have worked around the problem
by adding a  dummy  itemset with one item that is never referenced  but it took awhile
to figure out : )
Reported by  alex bedatadriven com  on 2014 11 22 22:10:55
</t>
  </si>
  <si>
    <t>getodk-collect-149</t>
  </si>
  <si>
    <t>blank columns in csv cause crash</t>
  </si>
  <si>
    <t xml:space="preserve"> a href  https:  github com mitchellsundt   img src  https:  avatars githubusercontent com u 2281171 v 3  align  left  width  96  height  96  hspace  10    img   a    Issue by  mitchellsundt (https:  github com mitchellsundt)  
 Thursday Jul 09  2015 at 19:44 GMT 
 Originally opened as https:  github com opendatakit opendatakit issues 1061 (0 comment(s)) 
Originally reported on Google Code with ID 1060
If the itemsets csv has empty columns  Collect 1 4 4 will crash 
  input
list name name label AI01 AI02 AS02 AI05   
Dept 5 Artibonite       
  crash
I ItemsetDbAdapter(24131): create string: create table itemset 5be3cb0929c796b242a63eef884f6340
( id integer primary key autoincrement     list name  text     name  text     label 
text     AI01  text     AI02  text     AS02  text     AI05  text       text       text
      text ) 
E SQLiteLog(24131): (1) duplicate column name: 
W dalvikvm(24131): threadid 12: thread exiting with uncaught exception (group 0x415acba8)
E AndroidRuntime(24131): FATAL EXCEPTION: AsyncTask opendatakit opendatakit 2
E AndroidRuntime(24131): Process: org odk collect android  PID: 24131
E AndroidRuntime(24131): java lang RuntimeException: An error occured while executing
doInBackground()
E AndroidRuntime(24131):    at android os AsyncTask 3 done(AsyncTask java:300)
Reported by  yanokwa nafundi com  on 2014 09 09 16:42:01
 hr 
   Attachment:  itemsets csv (https:  storage googleapis com google code attachments opendatakit issue 1060 comment 0 itemsets csv) 
   Attachment:  Selection2 csv (https:  storage googleapis com google code attachments opendatakit issue 1060 comment 0 Selection2 csv) 
   Attachment:  Testing xlsx (https:  storage googleapis com google code attachments opendatakit issue 1060 comment 0 Testing xlsx) 
   Attachment:  Testing xml (https:  storage googleapis com google code attachments opendatakit issue 1060 comment 0 Testing xml) 
</t>
  </si>
  <si>
    <t>getodk-collect-145</t>
  </si>
  <si>
    <t>Date May 01 1990 crashed ODK</t>
  </si>
  <si>
    <t xml:space="preserve"> a href  https:  github com mitchellsundt   img src  https:  avatars githubusercontent com u 2281171 v 3  align  left  width  96  height  96  hspace  10    img   a    Issue by  mitchellsundt (https:  github com mitchellsundt)  
 Thursday Jul 09  2015 at 19:43 GMT 
 Originally opened as https:  github com opendatakit opendatakit issues 1049 (2 comment(s)) 
Originally reported on Google Code with ID 1048
What steps will reproduce the problem 
1  Open the attached XLSForm in ODK
2  Enter the date May 01 1990
3  Go the next page
What is the expected output  What do you see instead 
It should be able to move to the next page  Instead  ODK crashes 
What version of the product are you using  On what operating system 
I am using ODK Collect 1 4 3 (1042) on full stock ASUS Google Nexus 4 running Android
4 4 4  build number KTU84P  The language locale is English (United States) 
Please provide any additional information below 
Yaw Anokwa tested this on Nexus 4  and he faced no issues 
Reported by  sydney 117  on 2014 08 18 06:03:49
 hr 
   Attachment:  test date xlsx (https:  storage googleapis com google code attachments opendatakit issue 1048 comment 0 test date xlsx) 
   Attachment:  logfile txt (https:  storage googleapis com google code attachments opendatakit issue 1048 comment 0 logfile txt) 
</t>
  </si>
  <si>
    <t>getodk-collect-137</t>
  </si>
  <si>
    <t>repeat_count not working for embedded repeats</t>
  </si>
  <si>
    <t xml:space="preserve"> a href  https:  github com mitchellsundt   img src  https:  avatars githubusercontent com u 2281171 v 3  align  left  width  96  height  96  hspace  10    img   a    Issue by  mitchellsundt (https:  github com mitchellsundt)  
 Thursday Jul 09  2015 at 19:41 GMT 
 Originally opened as https:  github com opendatakit opendatakit issues 1021 (0 comment(s)) 
Originally reported on Google Code with ID 1020
https:  groups google com d msg opendatakit OZ xUx5iZII rHKJn0Cgg2AJ
 I m working on a form which has two repeat groups  The first one records the information
about all household members and another one recording the education of the household
member  Problem is that I want to limit the occurrence of the second group based on
the number of household members recorded in the first group  It seems that repeat count
should be used for the job but it makes ODK collect crash  If I remove the corresponding
syntax  it works fine  
Reported by  yanokwa nafundi com  on 2014 06 17 20:24:14
</t>
  </si>
  <si>
    <t>getodk-collect-132</t>
  </si>
  <si>
    <t>Show error message when trying to use GPS but Play Services isn't installed</t>
  </si>
  <si>
    <t xml:space="preserve"> a href  https:  github com mitchellsundt   img src  https:  avatars githubusercontent com u 2281171 v 3  align  left  width  96  height  96  hspace  10    img   a    Issue by  mitchellsundt (https:  github com mitchellsundt)  
 Thursday Jul 09  2015 at 19:40 GMT 
 Originally opened as https:  github com opendatakit opendatakit issues 1009 (1 comment(s)) 
Originally reported on Google Code with ID 1008
The issue we encountered with ODK Collect is the following :
When I am filling the form and I want to change the location using the GPS   we got
message error :  Unfortunately  ODK Collect has stopped    Then I thought the GPS doesn t
work  therefore I tried an apps using the GPS and it seems to work perfectly  
At the end after numerous test we found a way to work but you need to add Google Account
you need to run Google Services  otherwise ODK Collect will crash instantaneously when
you try to get the location 
The tablet are : Acer Iconia B1 710  running with Android 4 1 2
You will find the log file and the form attached
Reported by  acfedatacollect  on 2014 05 23 14:05:01
 hr 
   Attachment:  logfile txt (https:  storage googleapis com google code attachments opendatakit issue 1008 comment 0 logfile txt) 
   Attachment:  RCA Suivi des prix V 1 1 xml (https:  storage googleapis com google code attachments opendatakit issue 1008 comment 0 RCA Suivi des prix V 1 1 xml) 
</t>
  </si>
  <si>
    <t>getodk-collect-126</t>
  </si>
  <si>
    <t>regex causes ODK to crash</t>
  </si>
  <si>
    <t xml:space="preserve"> a href  https:  github com mitchellsundt   img src  https:  avatars githubusercontent com u 2281171 v 3  align  left  width  96  height  96  hspace  10    img   a    Issue by  mitchellsundt (https:  github com mitchellsundt)  
 Thursday Jul 09  2015 at 19:38 GMT 
 Originally opened as https:  github com opendatakit opendatakit issues 984 (4 comment(s)) 
Originally reported on Google Code with ID 983
The help at http:  opendatakit org help form design binding warns that complex regex
patterns may cause stack overflow crashes  But I think I m encountering a different
problem with similar symptoms  I have a form that has a repeat to solicit any number
of 10 digit ID numbers (mwid)  I want to check that the ID numbers are not duplicated 
Which I am doing by (a) having a calculated field outside the repeat (mwids) for which
the calculation is:
    join(      mwid )
and (b) a required question inside the loop with relevant condition:
    regex(  mwids  concat(  mwid          mwid ))
and constraint false() 
This all works  as long as I don t enter more than 5 ID numbers  If I enter 8 or more
ID numbers  it all seems to work until the form is saved  At which point  ODK Collect
1 4 (1038) crashes  The application ODK Collect (process org odk collect android) has
stopped unexpectedly  Please try again    But before it crashes  it has written (in
the  cache folder) an  xml save file containing all the data from the current instance 
If I enter 6 or 7 numbers  ODK sometimes crashes and sometimes doesn t  If I make the
ID number 5 digits instead of 10 digits  I can enter more ID numbers before the crash
occurs on saving 
So it looks to me as if it is the length of the string to be searched  rather than
the complexity of the regex pattern  that is causing the crash  and that for some reason 
the crash is only induced when ODK Collect re checks the current instance data before
saving 
The xlsform definition and catlog output attached (crash happened at 13:01:34 031) 
Reported by  james beard tz  on 2014 03 12 07:50:35
 hr 
   Attachment:  TestDup xls (https:  storage googleapis com google code attachments opendatakit issue 983 comment 0 TestDup xls) 
   Attachment:  logcat and device info zip (https:  storage googleapis com google code attachments opendatakit issue 983 comment 0 logcat and device info zip) 
</t>
  </si>
  <si>
    <t>getodk-collect-113</t>
  </si>
  <si>
    <t>jr:repeat-count crashes after going back and changing values that specify a new count limit.</t>
  </si>
  <si>
    <t xml:space="preserve"> a href  https:  github com mitchellsundt   img src  https:  avatars githubusercontent com u 2281171 v 3  align  left  width  96  height  96  hspace  10    img   a    Issue by  mitchellsundt (https:  github com mitchellsundt)  
 Thursday Jul 09  2015 at 19:33 GMT 
 Originally opened as https:  github com opendatakit opendatakit issues 914 (2 comment(s)) 
Originally reported on Google Code with ID 913
Reported by:
Tumaini Kilimba
tkilimba ihi or tz
Dear Sirs Madam 
I am currently working on a form which does:
1  Ask if there are mosquito nets in the household (select1 question  YES NO)
2  Ask for the number of mosquito nets (int) (relevant if answer to above is YES)
3  Loop for each mosquito net (using the above answer to inform jr:count)
     Ask mosquito net specific questions 
If the fieldworker goes through the process in a linear fashion (no going back to amend
previous answers) there is no problem  However if the user goes from step 1 3  then
suddenly goes back to step 1 and change the response from YES to NO (rendering step
two irrelevant)  there is a crash  stack trace below:
09 12 13:29:10 480: E InputEventReceiver(13233): Exception dispatching input event 
09 12 13:29:10 480: E MessageQueue JNI(13233): Exception in MessageQueue callback:
handleReceiveCallback
09 12 13:29:10 490: E MessageQueue JNI(13233): java lang ArrayIndexOutOfBoundsException:
length 0  index 0
09 12 13:29:10 490: E MessageQueue JNI(13233): at java util Vector arrayIndexOutOfBoundsException(Vector java:907)
09 12 13:29:10 490: E MessageQueue JNI(13233): at java util Vector elementAt(Vector java:328)
09 12 13:29:10 490: E MessageQueue JNI(13233): at org javarosa xpath XPathNodeset getRefAt(XPathNodeset java:54)
09 12 13:29:10 490: E MessageQueue JNI(13233): at org javarosa xpath expr XPathFuncExpr eval(XPathFuncExpr java:185)
09 12 13:29:10 490: E MessageQueue JNI(13233): at org javarosa xpath XPathConditional evalRaw(XPathConditional java:68)
09 12 13:29:10 490: E MessageQueue JNI(13233): at org javarosa core model condition Recalculate eval(Recalculate java:53)
09 12 13:29:10 490: E MessageQueue JNI(13233): at org javarosa core model condition Triggerable apply(Triggerable java:69)
09 12 13:29:10 490: E MessageQueue JNI(13233): at org javarosa core model FormDef evaluateTriggerable(FormDef java:708)
09 12 13:29:10 490: E MessageQueue JNI(13233): at org javarosa core model FormDef evaluateTriggerables(FormDef java:698)
09 12 13:29:10 490: E MessageQueue JNI(13233): at org javarosa core model FormDef triggerTriggerables(FormDef java:671)
09 12 13:29:10 490: E MessageQueue JNI(13233): at org javarosa core model FormDef setValue(FormDef java:305)
09 12 13:29:10 490: E MessageQueue JNI(13233): at org javarosa form api FormEntryController commitAnswer(FormEntryController java:155)
09 12 13:29:10 490: E MessageQueue JNI(13233): at org javarosa form api FormEntryController answerQuestion(FormEntryController java:92)
09 12 13:29:10 490: E MessageQueue JNI(13233): at org odk collect android logic FormController answerQuestion(FormController java:406)
09 12 13:29:10 490: E MessageQueue JNI(13233): at org odk collect android logic FormController saveAllScreenAnswers(FormController java:677)
09 12 13:29:10 490: E MessageQueue JNI(13233): at org odk collect android activities FormEntryActivity saveAnswersForCurrentScreen(FormEntryActivity java:804)
09 12 13:29:10 490: E MessageQueue JNI(13233): at org odk collect android activities FormEntryActivity showNextView(FormEntryActivity java:1166)
09 12 13:29:10 490: E MessageQueue JNI(13233): at org odk collect android activities FormEntryActivity onFling(FormEntryActivity java:2467)
09 12 13:29:10 490: E MessageQueue JNI(13233): at android view GestureDetector onTouchEvent(GestureDetector java:609)
09 12 13:29:10 490: E MessageQueue JNI(13233): at org odk collect android activities FormEntryActivity dispatchTouchEvent(FormEntryActivity java:1149)
09 12 13:29:10 490: E MessageQueue JNI(13233): at com android internal policy impl PhoneWindow DecorView dispatchTouchEvent(PhoneWindow java:1914)
09 12 13:29:10 490: E MessageQueue JNI(13233): at android view View dispatchPointerEvent(View java:7564)
09 12 13:29:10 490: E MessageQueue JNI(13233): at android view ViewRootImpl ViewPostImeInputStage processPointerEvent(ViewRootImpl java:3883)
09 12 13:29:10 490: E MessageQueue JNI(13233): at android view ViewRootImpl ViewPostImeInputStage onProcess(ViewRootImpl java:3778)
09 12 13:29:10 490: E MessageQueue JNI(13233): at android view ViewRootImpl InputStage deliver(ViewRootImpl java:3379)
09 12 13:29:10 490: E MessageQueue JNI(13233): at android view ViewRootImpl InputStage onDeliverToNext(ViewRootImpl java:3429)
09 12 13:29:10 490: E MessageQueue JNI(13233): at android view ViewRootImpl InputStage forward(ViewRootImpl java:3398)
09 12 13:29:10 490: E MessageQueue JNI(13233): at android view ViewRootImpl AsyncInputStage forward(ViewRootImpl java:3483)
09 12 13:29:10 490: E MessageQueue JNI(13233): at android view ViewRootImpl InputStage apply(ViewRootImpl java:3406)
09 12 13:29:10 490: E MessageQueue JNI(13233): at android view ViewRootImpl AsyncInputStage apply(ViewRootImpl java:3540)
09 12 13:29:10 490: E MessageQueue JNI(13233): at android view ViewRootImpl InputStage deliver(ViewRootImpl java:3379)
09 12 13:29:10 490: E MessageQueue JNI(13233): at android view ViewRootImpl InputStage onDeliverToNext(ViewRootImpl java:3429)
09 12 13:29:10 490: E MessageQueue JNI(13233): at android view ViewRootImpl InputStage forward(ViewRootImpl java:3398)
09 12 13:29:10 490: E MessageQueue JNI(13233): at android view ViewRootImpl InputStage apply(ViewRootImpl java:3406)
09 12 13:29:10 490: E MessageQueue JNI(13233): at android view ViewRootImpl InputStage deliver(ViewRootImpl java:3379)
09 12 13:29:10 490: E MessageQueue JNI(13233): at android view ViewRootImpl deliverInputEvent(ViewRootImpl java:5419)
09 12 13:29:10 490: E MessageQueue JNI(13233): at android view ViewRootImpl doProcessInputEvents(ViewRootImpl java:5399)
09 12 13:29:10 490: E MessageQueue JNI(13233): at android view ViewRootImpl enqueueInputEvent(ViewRootImpl java:5370)
09 12 13:29:10 490: E MessageQueue JNI(13233): at android view ViewRootImpl WindowInputEventReceiver onInputEvent(ViewRootImpl java:5493)
09 12 13:29:10 490: E MessageQueue JNI(13233): at android view InputEventReceiver dispatchInputEvent(InputEventReceiver java:182)
09 12 13:29:10 490: E MessageQueue JNI(13233): at android os MessageQueue nativePollOnce(Native
Method)
09 12 13:29:10 490: E MessageQueue JNI(13233): at android os MessageQueue next(MessageQueue java:132)
09 12 13:29:10 490: E MessageQueue JNI(13233): at android os Looper loop(Looper java:124)
09 12 13:29:10 490: E MessageQueue JNI(13233): at android app ActivityThread main(ActivityThread java:5103)
09 12 13:29:10 490: E MessageQueue JNI(13233): at java lang reflect Method invokeNative(Native
Method)
09 12 13:29:10 490: E MessageQueue JNI(13233): at java lang reflect Method invoke(Method java:525)
09 12 13:29:10 490: E MessageQueue JNI(13233): at com android internal os ZygoteInit MethodAndArgsCaller run(ZygoteInit java:737)
09 12 13:29:10 490: E MessageQueue JNI(13233): at com android internal os ZygoteInit main(ZygoteInit java:553)
09 12 13:29:10 490: E MessageQueue JNI(13233): at dalvik system NativeStart main(Native
Method)
I believe this is because the jr:count value  for the question 3 loop changes because
question 2 is no longer relevant  Does anyone have a suggestion how this could be implemented 
I was trying to do an 
PSEUDOCODE:
  If(selected(qtn1  NO ) then currentNode 0  else currentNode  userInput)
ACTUAL CODE:
   bind nodeset   form agepassed q23  calculate  if(selected( form agepassed q22   0 )
  0   form agepassed q23)        
This resulted in cyclic dependency errors due to the ELSE part of the conditional 
In reality I only want the IF THEN  I dont need the ELSE  
   bind nodeset   form agepassed q23  calculate  if(selected( form agepassed q22   0 )
  0)        
But javarosa syntax insists on the ELSE clause 
Any help greatly appreciated
Tumaini
Reported by  mitchellsundt  on 2013 09 12 21:17:35
</t>
  </si>
  <si>
    <t>getodk-collect-94</t>
  </si>
  <si>
    <t>Invalid form crashes odk collect</t>
  </si>
  <si>
    <t xml:space="preserve"> a href  https:  github com mitchellsundt   img src  https:  avatars githubusercontent com u 2281171 v 3  align  left  width  96  height  96  hspace  10    img   a    Issue by  mitchellsundt (https:  github com mitchellsundt)  
 Thursday Jul 09  2015 at 19:17 GMT 
 Originally opened as https:  github com opendatakit opendatakit issues 790 (2 comment(s)) 
Originally reported on Google Code with ID 789
What steps will reproduce the problem 
1  Use a form with nested groups  both having appearance  field list 
What is the expected output  What do you see instead 
When moving to the invalid group ODK collect crashes  and by reading the crash report
I found out that a group with appearance  field list  can only contain questions and
no groups  Not really sure if the validator allowed this  will check that later 
What version of the product are you using  On what operating system 
ODK Collect 1 2 2 (1023)
Please provide any additional information below 
I will attach a small sample form later 
Reported by  menno dekker erasmusmc nl  on 2013 03 18 10:31:04
</t>
  </si>
  <si>
    <t>getodk-collect-51</t>
  </si>
  <si>
    <t>empty group crashes ODK Collect</t>
  </si>
  <si>
    <t xml:space="preserve"> a href  https:  github com mitchellsundt   img src  https:  avatars githubusercontent com u 2281171 v 3  align  left  width  96  height  96  hspace  10    img   a    Issue by  mitchellsundt (https:  github com mitchellsundt)  
 Thursday Jul 09  2015 at 18:30 GMT 
 Originally opened as https:  github com opendatakit opendatakit issues 438 (4 comment(s)) 
Originally reported on Google Code with ID 437
What steps will reproduce the problem 
1  install the attached form ( xml file) on a device
2  open Collect and start a new form  choose JavaRosa Test
3  browse past the first page
What is the expected output  What do you see instead 
expect to see the last page  Instead  Collect crashes 
What version of the product are you using  On what operating system 
Collect 1 1 7 RC2 on a Samsung Galaxy Tab P1000
Please provide any additional information below 
Reported by  chris aptivate org  on 2011 11 19 20:02:49
 hr 
   Attachment:  odk collect crash empty group xls (https:  storage googleapis com google code attachments opendatakit issue 437 comment 0 odk collect crash empty group xls) 
   Attachment:  odk collect crash empty group xml (https:  storage googleapis com google code attachments opendatakit issue 437 comment 0 odk collect crash empty group xml) 
</t>
  </si>
  <si>
    <t>getodk-collect-43</t>
  </si>
  <si>
    <t>odk collect 1.1.7 crashes getting formlist</t>
  </si>
  <si>
    <t xml:space="preserve"> a href  https:  github com mitchellsundt   img src  https:  avatars githubusercontent com u 2281171 v 3  align  left  width  96  height  96  hspace  10    img   a    Issue by  mitchellsundt (https:  github com mitchellsundt)  
 Thursday Jul 09  2015 at 18:13 GMT 
 Originally opened as https:  github com opendatakit opendatakit issues 336 (7 comment(s)) 
Originally reported on Google Code with ID 335
I m trying to implement a custom server  so there s almost surely an issue on the server
side  however  even in the case of wrong or even malicious response from the server 
ODK collect should never crash 
It looks like it crashes when retrieving the formList over https if the server doesn t
have a valid certificate (I m only guessing)
What steps will reproduce the problem 
1  get the form list from a server with https without a certificate
What is the expected output  What do you see instead 
Expected is some meaningful error message to the user saying that the identity of the
server cannot be verified
Observed is that ODK Collect crashes
I think this is the relevant part of the log:
09 24 18:50:13 152 W System err(25941): javax net ssl SSLPeerUnverifiedException: No
peer certificate
09 24 18:50:13 152 W System err(25941): at org apache harmony xnet provider jsse SSLSessionImpl getPeerCertificates(SSLSessionImpl java:258)
09 24 18:50:13 152 W System err(25941): at org apache http conn ssl AbstractVerifier verify(AbstractVerifier java:93)
09 24 18:50:13 152 W System err(25941): at org apache http conn ssl SSLSocketFactory createSocket(SSLSocketFactory java:381)
09 24 18:50:13 152 W System err(25941): at org apache http impl conn DefaultClientConnectionOperator openConnection(DefaultClientConnectionOperator java:164)
09 24 18:50:13 152 W System err(25941): at org apache http impl conn AbstractPoolEntry open(AbstractPoolEntry java:164)
09 24 18:50:13 162 W System err(25941): at org apache http impl conn AbstractPooledConnAdapter open(AbstractPooledConnAdapter java:119)
09 24 18:50:13 162 W System err(25941): at org apache http impl client DefaultRequestDirector execute(DefaultRequestDirector java:359)
09 24 18:50:13 162 W System err(25941): at org apache http impl client AbstractHttpClient execute(AbstractHttpClient java:555)
09 24 18:50:13 162 W System err(25941): at org apache http impl client AbstractHttpClient execute(AbstractHttpClient java:487)
09 24 18:50:13 162 W System err(25941): at org odk collect android utilities WebUtils getXmlDocument(WebUtils java:216)
09 24 18:50:13 162 W System err(25941): at org odk collect android tasks DownloadFormListTask doInBackground(DownloadFormListTask java:82)
09 24 18:50:13 162 W System err(25941): at org odk collect android tasks DownloadFormListTask doInBackground(DownloadFormListTask java:1)
09 24 18:50:13 162 W System err(25941): at android os AsyncTask 2 call(AsyncTask java:185)
09 24 18:50:13 162 W System err(25941): at java util concurrent FutureTask Sync innerRun(FutureTask java:306)
09 24 18:50:13 162 W System err(25941): at java util concurrent FutureTask run(FutureTask java:138)
09 24 18:50:13 172 W System err(25941): at java util concurrent ThreadPoolExecutor runWorker(ThreadPoolExecutor java:1088)
09 24 18:50:13 172 W System err(25941): at java util concurrent ThreadPoolExecutor Worker run(ThreadPoolExecutor java:581)
09 24 18:50:13 172 W System err(25941): at java lang Thread run(Thread java:1027)
09 24 18:50:13 192 W dalvikvm(25941): threadid 12: thread exiting with uncaught exception
(group 0x4001d5a0)
09 24 18:50:13 213 D dalvikvm(25941): GC CONCURRENT freed 418K  50  free 3067K 6023K 
external 0K 0K  paused 1ms 1ms
09 24 18:50:13 213 E AndroidRuntime(25941): FATAL EXCEPTION: AsyncTask opendatakit opendatakit 4
09 24 18:50:13 213 E AndroidRuntime(25941): java lang RuntimeException: An error occured
while executing doInBackground()
09 24 18:50:13 213 E AndroidRuntime(25941): at android os AsyncTask 3 done(AsyncTask java:200)
09 24 18:50:13 213 E AndroidRuntime(25941): at java util concurrent FutureTask Sync innerSetException(FutureTask java:274)
09 24 18:50:13 213 E AndroidRuntime(25941): at java util concurrent FutureTask setException(FutureTask java:125)
09 24 18:50:13 213 E AndroidRuntime(25941): at java util concurrent FutureTask Sync innerRun(FutureTask java:308)
09 24 18:50:13 213 E AndroidRuntime(25941): at java util concurrent FutureTask run(FutureTask java:138)
09 24 18:50:13 213 E AndroidRuntime(25941): at java util concurrent ThreadPoolExecutor runWorker(ThreadPoolExecutor java:1088)
09 24 18:50:13 213 E AndroidRuntime(25941): at java util concurrent ThreadPoolExecutor Worker run(ThreadPoolExecutor java:581)
09 24 18:50:13 213 E AndroidRuntime(25941): at java lang Thread run(Thread java:1027)
09 24 18:50:13 213 E AndroidRuntime(25941): Caused by: java lang NullPointerException
09 24 18:50:13 213 E AndroidRuntime(25941): at org odk collect android utilities WebUtils getXmlDocument(WebUtils java:327)
09 24 18:50:13 213 E AndroidRuntime(25941): at org odk collect android tasks DownloadFormListTask doInBackground(DownloadFormListTask java:82)
09 24 18:50:13 213 E AndroidRuntime(25941): at org odk collect android tasks DownloadFormListTask doInBackground(DownloadFormListTask java:1)
09 24 18:50:13 213 E AndroidRuntime(25941): at android os AsyncTask 2 call(AsyncTask java:185)
09 24 18:50:13 213 E AndroidRuntime(25941): at java util concurrent FutureTask Sync innerRun(FutureTask java:306)
09 24 18:50:13 213 E AndroidRuntime(25941):     4 more
09 24 18:50:13 213 W ActivityManager( 1487):   Force finishing activity org odk collect android  activities FormDownloadList
Reported by  matteosistisette  on 2011 09 24 17:02:19
</t>
  </si>
  <si>
    <t>getodk-collect-32</t>
  </si>
  <si>
    <t>Memory Issues with Images</t>
  </si>
  <si>
    <t xml:space="preserve"> a href  https:  github com mitchellsundt   img src  https:  avatars githubusercontent com u 2281171 v 3  align  left  width  96  height  96  hspace  10    img   a    Issue by  mitchellsundt (https:  github com mitchellsundt)  
 Wednesday Jul 08  2015 at 22:55 GMT 
 Originally opened as https:  github com opendatakit opendatakit issues 106 (3 comment(s)) 
Originally reported on Google Code with ID 105
What steps will reproduce the problem 
1  Use the widget form from the ODK repo
2  Take a photo in the image question
3  Retake the photo after it displays
4  It should crash
What is the expected output  What do you see instead 
I get this error from the log (http:  dpaste com 223770 ) 
What version of the product are you using  On what operating system 
v1 1 4 on Cyanogenmod 5 0 8
Please provide any additional information below 
Reported by  andrewazman  on 2010 07 31 16:47:05
</t>
  </si>
  <si>
    <t>getodk-collect-31</t>
  </si>
  <si>
    <t>crash when changing to landscape mode during form entry</t>
  </si>
  <si>
    <t xml:space="preserve"> a href  https:  github com mitchellsundt   img src  https:  avatars githubusercontent com u 2281171 v 3  align  left  width  96  height  96  hspace  10    img   a    Issue by  mitchellsundt (https:  github com mitchellsundt)  
 Wednesday Jul 08  2015 at 22:47 GMT 
 Originally opened as https:  github com opendatakit opendatakit issues 75 (7 comment(s)) 
Originally reported on Google Code with ID 74
Steps to reproduce:
1 Open a form in ODK Collect v1 1 4 while running Android 2 2
The form should go into landscape mode  but instead the form crashes with a
popup window saying  The application ODK Collect (process
org odk collect android) has stopped unexpectedly  Please try again  
I am running Android 2 2 on a Nexus One with the latest ODK Collect from
the svn repository (which says v1 1 4)  I have tested this out on the
Android 2 2 emulator with an identical result  Here is the log from the
phone from the point of switching to landscape while a form is open:
05 23 23:59:02 528: INFO WindowManager(88): Setting rotation to 1  animFlags 0
05 23 23:59:02 548: INFO ActivityManager(88): Config changed:   scale 1 0
imsi 310 260 loc en US touch 3 keys 1 1 2 nav 3 1 orien 2 layout 34
uiMode 17 seq 92 
05 23 23:59:02 598: DEBUG FormEntryActivity(8162): onPause
05 23 23:59:02 608: INFO UsageStats(88): Unexpected resume of
org odk collect android while already resumed in org odk collect android
05 23 23:59:02 668: INFO PropertyManager(8162): calling constructor
05 23 23:59:02 688: DEBUG AndroidRuntime(8162): Shutting down VM
05 23 23:59:02 688: WARN dalvikvm(8162): threadid 1: thread exiting with
uncaught exception (group 0x4001d7e8)
05 23 23:59:02 698: ERROR AndroidRuntime(8162): FATAL EXCEPTION: main
05 23 23:59:02 698: ERROR AndroidRuntime(8162): java lang RuntimeException:
Unable to start activity
ComponentInfo org odk collect android org odk collect android activities FormEntryActivity :
java lang NullPointerException
05 23 23:59:02 698: ERROR AndroidRuntime(8162):     at
android app ActivityThread performLaunchActivity(ActivityThread java:2663)
05 23 23:59:02 698: ERROR AndroidRuntime(8162):     at
android app ActivityThread handleLaunchActivity(ActivityThread java:2679)
05 23 23:59:02 698: ERROR AndroidRuntime(8162):     at
android app ActivityThread handleRelaunchActivity(ActivityThread java:3815)
05 23 23:59:02 698: ERROR AndroidRuntime(8162):     at
android app ActivityThread access 2400(ActivityThread java:125)
05 23 23:59:02 698: ERROR AndroidRuntime(8162):     at
android app ActivityThread H handleMessage(ActivityThread java:2037)
05 23 23:59:02 698: ERROR AndroidRuntime(8162):     at
android os Handler dispatchMessage(Handler java:99)
05 23 23:59:02 698: ERROR AndroidRuntime(8162):     at
android os Looper loop(Looper java:123)
05 23 23:59:02 698: ERROR AndroidRuntime(8162):     at
android app ActivityThread main(ActivityThread java:4627)
05 23 23:59:02 698: ERROR AndroidRuntime(8162):     at
java lang reflect Method invokeNative(Native Method)
05 23 23:59:02 698: ERROR AndroidRuntime(8162):     at
java lang reflect Method invoke(Method java:521)
05 23 23:59:02 698: ERROR AndroidRuntime(8162):     at
com android internal os ZygoteInit MethodAndArgsCaller run(ZygoteInit java:868)
05 23 23:59:02 698: ERROR AndroidRuntime(8162):     at
com android internal os ZygoteInit main(ZygoteInit java:626)
05 23 23:59:02 698: ERROR AndroidRuntime(8162):     at
dalvik system NativeStart main(Native Method)
05 23 23:59:02 698: ERROR AndroidRuntime(8162): Caused by:
java lang NullPointerException
05 23 23:59:02 698: ERROR AndroidRuntime(8162):     at
org odk collect android activities FormEntryActivity refreshCurrentView(FormEntryActivity java:284)
05 23 23:59:02 698: ERROR AndroidRuntime(8162):     at
org odk collect android activities FormEntryActivity onCreate(FormEntryActivity java:174)
05 23 23:59:02 698: ERROR AndroidRuntime(8162):     at
android app Instrumentation callActivityOnCreate(Instrumentation java:1047)
05 23 23:59:02 698: ERROR AndroidRuntime(8162):     at
android app ActivityThread performLaunchActivity(ActivityThread java:2627)
05 23 23:59:02 698: ERROR AndroidRuntime(8162):         12 more
05 23 23:59:02 718: WARN ActivityManager(88):   Force finishing activity
org odk collect android  activities FormEntryActivity
05 23 23:59:02 908: DEBUG dalvikvm(144): GC EXTERNAL ALLOC freed 1459
objects   67320 bytes in 113ms
05 23 23:59:03 225: WARN ActivityManager(88): Activity pause timeout for
HistoryRecord 44bff5a0 org odk collect android  activities FormEntryActivity 
05 23 23:59:05 008: DEBUG dalvikvm(88): GC EXPLICIT freed 3463 objects  
161320 bytes in 101ms
05 23 23:59:12 028: DEBUG dalvikvm(7811): GC FOR MALLOC freed 4289 objects
  632496 bytes in 58ms
05 23 23:59:12 726: WARN ActivityManager(88): Launch timeout has expired 
giving up wake lock 
05 23 23:59:16 678: INFO Process(8162): Sending signal  PID: 8162 SIG: 9
05 23 23:59:16 708: INFO ActivityManager(88): Process
org odk collect android (pid 8162) has died 
05 23 23:59:16 708: INFO WindowManager(88): WIN DEATH: Window 44c56590
org odk collect android org odk collect android activities MainMenuActivity
paused false 
05 23 23:59:16 718: INFO ActivityManager(88): Start proc
org odk collect android for activity
org odk collect android  activities MainMenuActivity: pid 8175 uid 10083
gids  3003  1015 
Reported by  joshua purcell  on 2010 05 24 05:12:27
</t>
  </si>
  <si>
    <t>Karumi-Dexter-86</t>
  </si>
  <si>
    <t>java.lang.RuntimeException: Unknown exception code: 1 msg null</t>
  </si>
  <si>
    <t xml:space="preserve">I don t have that many users but I have a few occurrences of this exception  Not many for the number of users but still it s annoying that it crashes for some people 
Caused by java lang RuntimeException: Unknown exception code: 1 msg null
       at android os Parcel readException(Parcel java:1477)
       at android os Parcel readException(Parcel java:1419)
       at android app ActivityManagerProxy checkPermission(ActivityManagerNative java:3518)
       at android app ContextImpl checkPermission(ContextImpl java:1747)
       at android content ContextWrapper checkPermission(ContextWrapper java:545)
       at android support v4 content ContextCompat checkSelfPermission(SourceFile:425)
       at com karumi dexter AndroidPermissionService checkSelfPermission(SourceFile:34)
       at com karumi dexter DexterInstance getPermissionStates(SourceFile:190)
       at com karumi dexter DexterInstance onActivityReady(SourceFile:127)
       at com karumi dexter Dexter onActivityReady(SourceFile:162)
       at com karumi dexter DexterActivity onCreate(SourceFile:31)
       at android app Activity performCreate(Activity java:5318)
       at android app Instrumentation callActivityOnCreate(Instrumentation java:1088)
       at android app ActivityThread performLaunchActivity(ActivityThread java:2302)
       at android app ActivityThread handleLaunchActivity(ActivityThread java:2390)
       at android app ActivityThread access 800(ActivityThread java:151)
       at android app ActivityThread H handleMessage(ActivityThread java:1321)
       at android os Handler dispatchMessage(Handler java:110)
       at android os Looper loop(Looper java:193)
       at android app ActivityThread main(ActivityThread java:5292)
       at java lang reflect Method invokeNative(Method java)
       at java lang reflect Method invoke(Method java:515)
       at com android internal os ZygoteInit MethodAndArgsCaller run(ZygoteInit java:825)
       at com android internal os ZygoteInit main(ZygoteInit java:641)
       at dalvik system NativeStart main(NativeStart java)
AFAIK  this is the same issue as hotchemi PermissionsDispatcher 107 and Appboy appboy android sdk 42 
The solution has been to wrap  android support v4 content ContextCompat checkSelfPermission  in a try catch block 
I have a PR for this in this works (credits to original fix developers) which I ll post in a few minutes   
</t>
  </si>
  <si>
    <t>Gericop-Android-Support-Preference-V7-Fix-44</t>
  </si>
  <si>
    <t>Crashes in SwitchPreferencesCompat</t>
  </si>
  <si>
    <t xml:space="preserve">Got some crashes from SwitchPreferencesCompat:
java lang IllegalStateException: Cannot call this method while RecyclerView is computing a layout or scrolling
    at android support v7 widget RecyclerView assertNotInLayoutOrScroll(RecyclerView java)
    at android support v7 widget RecyclerView RecyclerViewDataObserver onItemRangeChanged(RecyclerView java)
    at android support v7 widget RecyclerView AdapterDataObservable notifyItemRangeChanged(RecyclerView java)
    at android support v7 widget RecyclerView Adapter notifyItemChanged(RecyclerView java)
    at android support v7 preference PreferenceGroupAdapter onPreferenceChange(PreferenceGroupAdapter java)
    at android support v7 preference Preference notifyChanged(Preference java)
    at android support v7 preference TwoStatePreference setChecked(TwoStatePreference java)
    at com takisoft fix support v7 preference SwitchPreferenceCompat setChecked(SwitchPreferenceCompat java)
    at android support v7 preference SwitchPreferenceCompat Listener onCheckedChanged(SwitchPreferenceCompat java)
    at android widget CompoundButton setChecked(CompoundButton java:165)
    at android support v7 widget SwitchCompat setChecked(SwitchCompat java)
    at com takisoft fix support v7 preference SwitchPreferenceCompat onBindViewHolder(SwitchPreferenceCompat java)
This came from developer console and I can t reproduce it from my test devices  Could it be the animation when switching state 
</t>
  </si>
  <si>
    <t>Cloudkibo-Android-183</t>
  </si>
  <si>
    <t>Video call crashed on Android 6.0</t>
  </si>
  <si>
    <t xml:space="preserve">I had been testing video calls between 5 0 and 5 0 and it has alway worked   Today  I tested between 5 0 and 6 0 and app on 6 0 got crashed  Then after reading I understood that on Android 6 0 we have to explicitly ask permission of user for such access due to increased security reasons  Here is the acra trace of crash:
 img width  1162  alt  screen shot 2016 09 06 at 11 32 05 pm  src  https:  cloud githubusercontent com assets 5811465 18286369 e8a8da74 748b 11e6 8338 443f35607e24 png  
</t>
  </si>
  <si>
    <t>OneBusAway-onebusaway-android-683</t>
  </si>
  <si>
    <t>NPE when setting focused stop in BaseMapFragment.setupStopOverlay()</t>
  </si>
  <si>
    <t xml:space="preserve">  Summary:   
From Google  Play Developer Console for v2 1 2 and v2 1 3:
java lang NullPointerException: Attempt to invoke virtual method  void com google android gms maps GoogleMap setOnMarkerClickListener(com google android gms maps GoogleMap OnMarkerClickListener)  on a null object reference
    at org onebusaway android map googlemapsv2 StopOverlay  init (StopOverlay java:135)
    at org onebusaway android map googlemapsv2 BaseMapFragment setupStopOverlay(BaseMapFragment java:354)
    at org onebusaway android map googlemapsv2 BaseMapFragment setFocusStop(BaseMapFragment java:931)
    at org onebusaway android report ui InfrastructureIssueActivity prepareServiceList(InfrastructureIssueActivity java:762)
    at org onebusaway android report ui InfrastructureIssueActivity onServicesTaskCompleted(InfrastructureIssueActivity java:729)
    at org onebusaway android report connection ServiceListTask onPostExecute(ServiceListTask java:85)
    at org onebusaway android report connection ServiceListTask onPostExecute(ServiceListTask java:33)
    at android os AsyncTask finish(AsyncTask java:651)
    at android os AsyncTask access 500(AsyncTask java:180)
    at android os AsyncTask InternalHandler handleMessage(AsyncTask java:668)
    at android os Handler dispatchMessage(Handler java:102)
    at android os Looper loop(Looper java:168)
    at android app ActivityThread main(ActivityThread java:5885)
    at java lang reflect Method invoke(Native Method)
    at com android internal os ZygoteInit MethodAndArgsCaller run(ZygoteInit java:819)
    at com android internal os ZygoteInit main(ZygoteInit java:709)
There is also a similar ish stack trace only for v2 1 2:
java lang NullPointerException
    at org onebusaway android map googlemapsv2 StopOverlay  init (StopOverlay java:135)
    at org onebusaway android map googlemapsv2 BaseMapFragment setupStopOverlay(BaseMapFragment java:359)
    at org onebusaway android map googlemapsv2 BaseMapFragment setFocusStop(BaseMapFragment java:936)
    at org onebusaway android ui HomeActivity onArrivalTimesUpdated(HomeActivity java:923)
    at org onebusaway android ui ArrivalsListFragment onLoadFinished(ArrivalsListFragment java:501)
    at org onebusaway android ui ArrivalsListFragment onLoadFinished(ArrivalsListFragment java:89)
    at android support v4 app LoaderManagerImpl LoaderInfo callOnLoadFinished(LoaderManager java:476)
    at android support v4 app LoaderManagerImpl LoaderInfo onLoadComplete(LoaderManager java:444)
    at android support v4 content Loader deliverResult(Loader java:126)
    at org onebusaway android ui ArrivalsListLoader deliverResult(ArrivalsListLoader java:59)
    at org onebusaway android ui ArrivalsListLoader deliverResult(ArrivalsListLoader java:27)
    at android support v4 content AsyncTaskLoader dispatchOnLoadComplete(AsyncTaskLoader java:249)
    at android support v4 content AsyncTaskLoader LoadTask onPostExecute(AsyncTaskLoader java:77)
    at android support v4 content ModernAsyncTask finish(ModernAsyncTask java:466)
    at android support v4 content ModernAsyncTask access 400(ModernAsyncTask java:48)
    at android support v4 content ModernAsyncTask InternalHandler handleMessage(ModernAsyncTask java:483)
    at android os Handler dispatchMessage(Handler java:102)
    at android os Looper loop(Looper java:136)
    at android app ActivityThread main(ActivityThread java:5034)
    at java lang reflect Method invokeNative(Native Method)
    at java lang reflect Method invoke(Method java:515)
    at com android internal os ZygoteInit MethodAndArgsCaller run(ZygoteInit java:786)
    at com android internal os ZygoteInit main(ZygoteInit java:602)
    at dalvik system NativeStart main(Native Method)
  Steps to reproduce:   
Unknown
  Expected behavior:   
Not crash
  Observed behavior:   
Crash
  Device and Android version:   
Device
HTC 10 (htc pmewl)
Manufacturer HTC 
Android version Android 6 0 
RAM (MB) 4096 
Screen size 1440   2560 
Screen density (dpi) 640 
OpenGL ES version 3 1 
Native platform armeabi v7a 
CPU make Qualcomm 
CPU model MSM8996
Grand S Flex (iris)
Manufacturer ZTE 
Android version Android 4 1 
RAM (MB) 1024 
Screen size 720   1280 
Screen density (dpi) 320 
OpenGL ES version 2 0 
Native platform armeabi v7a 
CPU make Qualcomm 
CPU model MSM8930
  Screenshots:   
N A
 cagryInside If you have a chance to look at this and see what might be happening (top stack trace includes Open311 API call) any wisdom is appreciated   Looks like it s potentially related to setting a focus stop before the overlay initializes   If not  no worries  I ll take a look myself 
</t>
  </si>
  <si>
    <t>fossasia-phimpme-android-20</t>
  </si>
  <si>
    <t>Settings features not working, app crash on click.</t>
  </si>
  <si>
    <t xml:space="preserve">Most of the features in settings activity are not working 
On click app crashed 
</t>
  </si>
  <si>
    <t>SufficientlySecure-document-viewer-211</t>
  </si>
  <si>
    <t>Crash on x86 API 10 (Google APIs) emulator</t>
  </si>
  <si>
    <t xml:space="preserve">  install https:  f droid org repo org sufficientlysecure viewer 2763 apk
  Open a PDF  and DV crashes  
  logcat:
E AndroidRuntime( 2411): FATAL EXCEPTION: main
E AndroidRuntime( 2411): java lang RuntimeException: Unable to start activity ComponentInfo org sufficientlysecure viewer org ebookdroid ui viewer ViewerActivity : java lang RuntimeException: java lang ExceptionInInitializerError
E AndroidRuntime( 2411):    at android app ActivityThread performLaunchActivity(ActivityThread java:1647)
E AndroidRuntime( 2411):    at android app ActivityThread handleLaunchActivity(ActivityThread java:1663)
E AndroidRuntime( 2411):    at android app ActivityThread access 1500(ActivityThread java:117)
E AndroidRuntime( 2411):    at android app ActivityThread H handleMessage(ActivityThread java:931)
E AndroidRuntime( 2411):    at android os Handler dispatchMessage(Handler java:99)
E AndroidRuntime( 2411):    at android os Looper loop(Looper java:130)
E AndroidRuntime( 2411):    at android app ActivityThread main(ActivityThread java:3683)
E AndroidRuntime( 2411):    at java lang reflect Method invokeNative(Native Method)
E AndroidRuntime( 2411):    at java lang reflect Method invoke(Method java:507)
E AndroidRuntime( 2411):    at com android internal os ZygoteInit MethodAndArgsCaller run(ZygoteInit java:839)
E AndroidRuntime( 2411):    at com android internal os ZygoteInit main(ZygoteInit java:597)
E AndroidRuntime( 2411):    at dalvik system NativeStart main(Native Method)
E AndroidRuntime( 2411): Caused by: java lang RuntimeException: java lang ExceptionInInitializerError
E AndroidRuntime( 2411):    at org ebookdroid core models DocumentModel  init (DocumentModel java:71)
E AndroidRuntime( 2411):    at org ebookdroid ui viewer ViewerActivityController afterCreate(ViewerActivityController java:238)
E AndroidRuntime( 2411):    at org ebookdroid ui viewer ViewerActivityController afterCreate(ViewerActivityController java:94)
E AndroidRuntime( 2411):    at org emdev ui AbstractActionActivity onCreate(AbstractActionActivity java:107)
E AndroidRuntime( 2411):    at android app Instrumentation callActivityOnCreate(Instrumentation java:1047)
E AndroidRuntime( 2411):    at android app ActivityThread performLaunchActivity(ActivityThread java:1611)
E AndroidRuntime( 2411):        11 more
E AndroidRuntime( 2411): Caused by: java lang ExceptionInInitializerError
E AndroidRuntime( 2411):    at java lang Class newInstanceImpl(Native Method)
E AndroidRuntime( 2411):    at java lang Class newInstance(Class java:1409)
E AndroidRuntime( 2411):    at org ebookdroid core models DocumentModel  init (DocumentModel java:68)
E AndroidRuntime( 2411):        16 more
E AndroidRuntime( 2411): Caused by: java lang RuntimeException: java lang UnsatisfiedLinkError: Cannot load library: reloc library 1311 :  1129 cannot locate  sigsetjmp    
E AndroidRuntime( 2411): 
E AndroidRuntime( 2411):    at org ebookdroid EBookDroidLibraryLoader load(EBookDroidLibraryLoader java:21)
E AndroidRuntime( 2411):    at org ebookdroid droids mupdf codec MuPdfContext  clinit (MuPdfContext java:24)
E AndroidRuntime( 2411):        19 more
E AndroidRuntime( 2411): Caused by: java lang UnsatisfiedLinkError: Cannot load library: reloc library 1311 :  1129 cannot locate  sigsetjmp    
E AndroidRuntime( 2411): 
E AndroidRuntime( 2411):    at java lang Runtime loadLibrary(Runtime java:434)
E AndroidRuntime( 2411):    at java lang System loadLibrary(System java:554)
E AndroidRuntime( 2411):    at org ebookdroid EBookDroidLibraryLoader load(EBookDroidLibraryLoader java:17)
E AndroidRuntime( 2411):        20 more
</t>
  </si>
  <si>
    <t>Flaredown-FlaredownAndroid-61</t>
  </si>
  <si>
    <t>App Crashes When Browsed Quickly</t>
  </si>
  <si>
    <t xml:space="preserve">If you change dates and browse the check in (not a summary view) the following error occurs and the application crashes  (If it doesn t happen first time keep changing dates and rapidly changing the page) 
09 07 23:45:11 774 11426 11426 com flaredown flaredownApp E AndroidRuntime: FATAL EXCEPTION: main
    Process: com flaredown flaredownApp  PID: 11426
    java lang IllegalStateException: Fragment already active
    at android support v4 app Fragment setInitialSavedState(Fragment java:583)
    at android support v4 app FragmentStatePagerAdapter instantiateItem(FragmentStatePagerAdapter java:114)
    at android support v4 view ViewPager addNewItem(ViewPager java:1006)
    at android support v4 view ViewPager populate(ViewPager java:1220)
    at android support v4 view ViewPager populate(ViewPager java:1088)
    at android support v4 view ViewPager 3 run(ViewPager java:275)
    at android support v4 view ViewPager completeScroll(ViewPager java:1997)
    at android support v4 view ViewPager onInterceptTouchEvent(ViewPager java:2127)
    at android view ViewGroup dispatchTouchEvent(ViewGroup java:2212)
    at android view ViewGroup dispatchTransformedTouchEvent(ViewGroup java:2669)
    at android view ViewGroup dispatchTouchEvent(ViewGroup java:2301)
    at android view ViewGroup dispatchTransformedTouchEvent(ViewGroup java:2669)
    at android view ViewGroup dispatchTouchEvent(ViewGroup java:2301)
    at android view ViewGroup dispatchTransformedTouchEvent(ViewGroup java:2669)
    at android view ViewGroup dispatchTouchEvent(ViewGroup java:2301)
    at android view ViewGroup dispatchTransformedTouchEvent(ViewGroup java:2669)
    at android view ViewGroup dispatchTouchEvent(ViewGroup java:2301)
    at android view ViewGroup dispatchTransformedTouchEvent(ViewGroup java:2669)
    at android view ViewGroup dispatchTouchEvent(ViewGroup java:2301)
    at android view ViewGroup dispatchTransformedTouchEvent(ViewGroup java:2669)
    at android view ViewGroup dispatchTouchEvent(ViewGroup java:2301)
    at android view ViewGroup dispatchTransformedTouchEvent(ViewGroup java:2669)
    at android view ViewGroup dispatchTouchEvent(ViewGroup java:2301)
    at android view ViewGroup dispatchTransformedTouchEvent(ViewGroup java:2669)
    at android view ViewGroup dispatchTouchEvent(ViewGroup java:2301)
    at com android internal policy DecorView superDispatchTouchEvent(DecorView java:411)
    at com android internal policy PhoneWindow superDispatchTouchEvent(PhoneWindow java:1810)
    at android app Activity dispatchTouchEvent(Activity java:3061)
    at android support v7 view WindowCallbackWrapper dispatchTouchEvent(WindowCallbackWrapper java:63)
    at android support v7 view WindowCallbackWrapper dispatchTouchEvent(WindowCallbackWrapper java:63)
    at com android internal policy DecorView dispatchTouchEvent(DecorView java:373)
    at android view View dispatchPointerEvent(View java:10159)
    at android view ViewRootImpl ViewPostImeInputStage processPointerEvent(ViewRootImpl java:4434)
    at android view ViewRootImpl ViewPostImeInputStage onProcess(ViewRootImpl java:4302)
    at android view ViewRootImpl InputStage deliver(ViewRootImpl java:3849)
    at android view ViewRootImpl InputStage onDeliverToNext(ViewRootImpl java:3902)
    at android view ViewRootImpl InputStage forward(ViewRootImpl java:3868)
    at android view ViewRootImpl AsyncInputStage forward(ViewRootImpl java:3995)
    at android view ViewRootImpl InputStage apply(ViewRootImpl java:3876)
    at android view ViewRootImpl AsyncInputStage apply(ViewRootImpl java:4052)
    at android view ViewRootImpl InputStage deliver(ViewRootImpl java:3849)
    at android view ViewRootImpl InputStage onDeliverToNext(ViewRootImpl java:3902)
    at android view ViewRootImpl InputStage forward(ViewRootImpl java:3868)
    at android view ViewRootImpl InputStage apply(ViewRootImpl java:3876)
    at android view ViewRootImpl InputStage deliver(ViewRootImpl java:3849)
    at android view ViewRootImpl deliverInputEvent(ViewRootImpl java:6210)
    at android view ViewRootImpl doProcessInputEvents(ViewRootImpl java:6184)
    at android view ViewRootImpl enqueueInputEvent(ViewRootImpl java:6145)
    at android view ViewRootImpl WindowInputEventReceiver onInputEvent(ViewRootImpl java:6313)
    at android view InputEventReceiver dispatchInputEvent(InputEventReceiver java:185)
    at android os MessageQueue nativePollOnce(Native Method)
    09 07 23:45:11 774 11426 11426 com flaredown flaredownApp E AndroidRuntime:     at android os MessageQueue next(MessageQueue java:323)
    at android os Looper loop(Looper java:136)
    at android app ActivityThread main(ActivityThread java:6077)
    at java lang reflect Method invoke(Native Method)
    at com android internal os ZygoteInit MethodAndArgsCaller run(ZygoteInit java:865)
    at com android internal os ZygoteInit main(ZygoteInit java:755)
</t>
  </si>
  <si>
    <t>Flaredown-FlaredownAndroid-60</t>
  </si>
  <si>
    <t>Rotating Screen when in CheckinSummary crashes</t>
  </si>
  <si>
    <t xml:space="preserve">When a checkin has been completed and the checkin summary is displayed  rotation the screen produces the following crash 
 FATAL EXCEPTION: main
                                                                                Process: com flaredown flaredownApp DEBUG  PID: 7099
                                                                                java lang RuntimeException: Unable to start activity ComponentInfo com flaredown flaredownApp DEBUG com flaredown flaredownApp Main MainActivity : java lang IllegalArgumentException: No view found for id 0x7f0e008e (com flaredown flaredownApp DEBUG:id fl checkin summary) for fragment CheckInSummaryFragment f984a6d  1 id 0x7f0e008e 
                                                                                    at android app ActivityThread performLaunchActivity(ActivityThread java:2416)
                                                                                    at android app ActivityThread handleLaunchActivity(ActivityThread java:2476)
                                                                                    at android app ActivityThread handleRelaunchActivity(ActivityThread java:4077)
                                                                                    at android app ActivityThread  wrap15(ActivityThread java)
                                                                                    at android app ActivityThread H handleMessage(ActivityThread java:1350)
                                                                                    at android os Handler dispatchMessage(Handler java:102)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at de robv android xposed XposedBridge main(XposedBridge java:102)
                                                                                 Caused by: java lang IllegalArgumentException: No view found for id 0x7f0e008e (com flaredown flaredownApp DEBUG:id fl checkin summary) for fragment CheckInSummaryFragment f984a6d  1 id 0x7f0e008e 
                                                                                    at android support v4 app FragmentManagerImpl moveToState(FragmentManager java:1059)
                                                                                    at android support v4 app FragmentManagerImpl moveToState(FragmentManager java:1252)
                                                                                    at android support v4 app FragmentManagerImpl moveToState(FragmentManager java:1234)
                                                                                    at android support v4 app FragmentManagerImpl dispatchActivityCreated(FragmentManager java:2046)
                                                                                    at android support v4 app FragmentController dispatchActivityCreated(FragmentController java:174)
                                                                                    at android support v4 app FragmentActivity onStart(FragmentActivity java:598)
                                                                                    at android app Instrumentation callActivityOnStart(Instrumentation java:1237)
                                                                                    at android app Activity performStart(Activity java:6268)
                                                                                    at android app ActivityThread performLaunchActivity(ActivityThread java:2379)
                                                                                    at android app ActivityThread handleLaunchActivity(ActivityThread java:2476) 
                                                                                    at android app ActivityThread handleRelaunchActivity(ActivityThread java:4077) 
                                                                                    at android app ActivityThread  wrap15(ActivityThread java) 
                                                                                    at android app ActivityThread H handleMessage(ActivityThread java:1350) 
                                                                                    at android os Handler dispatchMessage(Handler java:102) 
                                                                                    at android os Looper loop(Looper java:148) 
                                                                                    at android app ActivityThread main(ActivityThread java:5422) 
                                                                                    at java lang reflect Method invoke(Native Method) 
                                                                                    at com android internal os ZygoteInit MethodAndArgsCaller run(ZygoteInit java:726) 
                                                                                    at com android internal os ZygoteInit main(ZygoteInit java:616) 
                                                                                    at de robv android xposed XposedBridge main(XposedBridge java:102)  
</t>
  </si>
  <si>
    <t>alter-ego-androidbound-57</t>
  </si>
  <si>
    <t>BindableRecyclerView shouldn't crash for unknown objects</t>
  </si>
  <si>
    <t xml:space="preserve">when the  BindableRecyclerView  is looking for templates for objects  it shouldn t crash if the object is not present 
java lang NullPointerException: Attempt to invoke virtual method  int java lang Integer intValue()  on a null object reference
                                                                                  at solutions alterego androidbound android adapters BindableRecyclerViewAdapter onCreateViewHolder(BindableRecyclerViewAdapter java:49)
                                                                                  at android support v7 widget RecyclerView Adapter createViewHolder(RecyclerView java:5833)
                                                                                  at android support v7 widget RecyclerView Recycler getViewForPosition(RecyclerView java:5057)
                                                                                  at android support v7 widget RecyclerView Recycler getViewForPosition(RecyclerView java:4967)
</t>
  </si>
  <si>
    <t>translation-cards-translation-cards-291</t>
  </si>
  <si>
    <t>Crash when duplicate audio files</t>
  </si>
  <si>
    <t xml:space="preserve">1  Import:  Austin s Test Deck 2 zip (https:  github com translation cards translation cards files 458165 Austin s Test Deck 2 zip) (github won t let you upload it unless it s  zip)
2  Go to Farsi tab
3     crash
The farsi language in this deck has two translations with the same audio file  I assume this is the cause for the crash  but the deck also does not have the same translations across all three languages so it could be related to that  
I don t think it should be expected that decks from the txcmaker will be set up in this manner  but i wanted to document the crash 
</t>
  </si>
  <si>
    <t>gsantner-dandelion-65</t>
  </si>
  <si>
    <t>Splashscreen images consume massive memory</t>
  </si>
  <si>
    <t xml:space="preserve">     General information
    Device:   especially devices with low memory
    Android Version:   doesn t matter
    Pod:   doesn t matter
    Diaspora pod version:   doesn t matter
    App source:   doesn t matter
    App version:   HEAD
I have:
  searched open and closed issues for duplicates
  read  https:  github com Diaspora for Android diaspora android blob master CONTRIBUTING md 
  not submitted translations   see  Crowdin (https:  crowdin com project diaspora for android invite)  
     Steps to reproduce
1  Open app
2  See logcat for evidence :D
     Expected result
What is the expected output  
DfA consumes little memory resources
What do you see instead 
Rendering the Splash Screen image costs a lot of memory  Its so bad  that emulators with default configuration crash when starting the app  Logcat suggests  that background apps are killed to free memory for DfA 
     Debug output
09 08 21:22:42 319   181   181 E lowmemorykiller: Error writing  proc 14814 oom score adj  errno 22
09 08 21:22:42 321   181   181 E lowmemorykiller: Error writing  proc 14814 oom score adj  errno 22
09 08 21:22:42 326   181   181 E lowmemorykiller: Error writing  proc 14814 oom score adj  errno 22
09 08 21:22:42 326   181   181 E lowmemorykiller: Error writing  proc 14814 oom score adj  errno 22
09 08 21:22:42 354  1651  2435 I ActivityManager: Process org dmfs tasks (pid 14814) has died
09 08 21:22:42 356 19991 19991 D GeckoMemoryMonitor: onTrimMemory() notification received with level 80
09 08 21:22:43 897  1651  1956 D ConnectivityService: updateNetworkScore for NetworkAgentInfo  WIFI ()   188  to 60
09 08 21:22:45 605 18074 18074 W cr BindingManager: Cannot call determinedVisibility()   never saw a connection for the pid: 18074
09 08 21:22:45 827 18074 18074 I chromium:  INFO:CONSOLE(1)   Uncaught TypeError: Cannot read property  style  of null   source:  (1)
09 08 21:22:45 852 18074 18074 I chromium:  INFO:CONSOLE(0)    results  attribute is deprecated and will be removed in M53  around September 2016  See https:  www chromestatus com features 5738199536107520 for more details    source:  (0)
09 08 21:22:45 885  1651  1661 I art     : Background partial concurrent mark sweep GC freed 18660(918KB) AllocSpace objects  1(20KB) LOS objects  33  free  22MB 34MB  paused 2 279ms total 103 186ms
09 08 21:22:46 264  1651 29725 I ActivityManager: Process org mozilla fennec fdroid (pid 16068) has died
09 08 21:22:46 277  1651  1669 I ActivityManager: Process org smssecure smssecure (pid 16042) has died
09 08 21:22:47 039   181   181 E lowmemorykiller: Error writing  proc 16090 oom score adj  errno 22
09 08 21:22:47 044   181   181 E lowmemorykiller: Error writing  proc 16090 oom score adj  errno 22
09 08 21:22:47 046   181   181 E lowmemorykiller: Error writing  proc 16090 oom score adj  errno 22
09 08 21:22:47 047   181   181 E lowmemorykiller: Error writing  proc 16090 oom score adj  errno 22
09 08 21:22:47 124  1651  9024 I ActivityManager: Process at bitfire davdroid (pid 16090) has died
09 08 21:22:47 217  1651  9332 I ActivityManager: Process com humblebundle library (pid 14679) has died
09 08 21:22:47 327  1651  7461 I ActivityManager: Process com android defcontainer (pid 15788) has died
</t>
  </si>
  <si>
    <t>krtkush-MarsExplorer-1</t>
  </si>
  <si>
    <t>Manage App's memory consumption</t>
  </si>
  <si>
    <t xml:space="preserve">1  https:  developer android com training articles memory html
2  https:  developer android com studio profile investigate ram html
3  https:  stackoverflow com questions 8177802 garbage collection in android done manually
4  https:  developer android com training displaying bitmaps index html
5  http:  doublenegative com android fragments and memory 
Loading multiple tabs makes the app stutre and ultimately crash with  OutOfMemoryException   
</t>
  </si>
  <si>
    <t>alhazmy13-MediaPicker-10</t>
  </si>
  <si>
    <t>Crash on Android 7.0</t>
  </si>
  <si>
    <t xml:space="preserve">Duo to behavior change on Android 7 0  library start to produce following crash when trying to capture image from Camera:
 Fatal Exception: android os FileUriExposedException: file:   storage emulated 0 mediapicker images afb88089 b317 4f37 99e7 9dcc131dd994 png exposed beyond app through ClipData Item getUri() 
In Android 7 0   file:    is not allowed anymore to pass with Intent and should be replaced with  content:    while declaring a file provider in the manifest file 
</t>
  </si>
  <si>
    <t>IvoGoman-Diabetes-App-69</t>
  </si>
  <si>
    <t>[FileChooser] Ask for storage permission</t>
  </si>
  <si>
    <t xml:space="preserve">For Android 6 the user can manually assign permissions to the app  Since the user is not asked for a permission to access the storage the FileChooser will crash because by default the permission is not granted  There is a standard way to ask for permissions on runtime for Android 6  please include this  If the user does not grant the permission  just make the file chooser not to open  Otherwise the app will crash  
</t>
  </si>
  <si>
    <t>QuantumBadger-RedReader-383</t>
  </si>
  <si>
    <t>red reader crash</t>
  </si>
  <si>
    <t xml:space="preserve">Today Evert time i open the front page red reader try to update the post list and crash  I can see the list appear for a moment before crashing 
</t>
  </si>
  <si>
    <t>leancloud-LeanCloudChatKit-Android-25</t>
  </si>
  <si>
    <t>Android LCIMConversationItemCache.getInstance().deleteConversation(id) crash</t>
  </si>
  <si>
    <t xml:space="preserve">   https:  forum leancloud cn t android lcimconversationitemcache getinstance deleteconversation id crash 10773
</t>
  </si>
  <si>
    <t>google-cameraview-1</t>
  </si>
  <si>
    <t>Camera2 always crashes after Permission Dialog</t>
  </si>
  <si>
    <t xml:space="preserve">1) Build and run the Demo app
2) When the Permission dialog pops up  just accept it
3) Demo app crashes immediately
    or    
1) Revoke the Permission from Setting and re enter the app  
2) after the Permission Rationale dialog is shown  just accept the Permission Dialog
3) watch it crash again 
Device: Nexus 5x running on Nougat (NRD90M)
https:  github com google cameraview blob master library src main camera2 com google android cameraview Camera2 java L132
    java
09 11 07:05:44 562 23963 23963 com google android cameraview demo E AndroidRuntime: FATAL EXCEPTION: main
     Process: com google android cameraview demo  PID: 23963
     java lang IllegalStateException: Session has been closed  further changes are illegal 
         at android hardware camera2 impl CameraCaptureSessionImpl checkNotClosed(CameraCaptureSessionImpl java:606)
         at android hardware camera2 impl CameraCaptureSessionImpl setRepeatingRequest(CameraCaptureSessionImpl java:227)
         at com google android cameraview Camera2 3 onConfigured(Camera2 java:132)
         at java lang reflect Method invoke(Native Method)
         at android hardware camera2 dispatch InvokeDispatcher dispatch(InvokeDispatcher java:39)
         at android hardware camera2 dispatch HandlerDispatcher 1 run(HandlerDispatcher java:65)
         at android os Handler handleCallback(Handler java:751)
         at android os Handler dispatchMessage(Handler java:95)
         at android os Looper loop(Looper java:154)
         at android app ActivityThread main(ActivityThread java:6077)
         at java lang reflect Method invoke(Native Method)
         at com android internal os ZygoteInit MethodAndArgsCaller run(ZygoteInit java:865)
         at com android internal os ZygoteInit main(ZygoteInit java:755)
</t>
  </si>
  <si>
    <t>Z3r0byte-Magis-35</t>
  </si>
  <si>
    <t>App crashes while loading 'Cijfers' page</t>
  </si>
  <si>
    <t xml:space="preserve">Build version: 1 1 4 
Build date: 1979 11 30 00:00:00 
Current date: 2016 09 10 09:45:42 
Device: OnePlus One (A0001)
OS: CyanogenMod 13 0 (Android 6 0 1)
I think  com google gson JsonArray com google gson JsonElement getAsJsonArray()  is not initialized properly 
For a few milliseconds the app shows  geen cijfers  but then it crashes and shows the following:
Stack trace:  
java lang RuntimeException: An error occurred while executing doInBackground()
    at android os AsyncTask 3 done(AsyncTask java:309)
    at java util concurrent FutureTask finishCompletion(FutureTask java:354)
    at java util concurrent FutureTask setException(FutureTask java:223)
    at java util concurrent FutureTask run(FutureTask java:242)
    at android os AsyncTask SerialExecutor 1 run(AsyncTask java:234)
    at java util concurrent ThreadPoolExecutor runWorker(ThreadPoolExecutor java:1113)
    at java util concurrent ThreadPoolExecutor Worker run(ThreadPoolExecutor java:588)
    at java lang Thread run(Thread java:818)
Caused by: java lang NullPointerException: Attempt to invoke virtual method  com google gson JsonArray com google gson JsonElement getAsJsonArray()  on a null object reference
    at net ilexiconn magister adapter GradeAdapter read(GradeAdapter java:50)
    at net ilexiconn magister adapter GradeAdapter read(GradeAdapter java:39)
    at com google gson Gson fromJson(Gson java:879)
    at com google gson Gson fromJson(Gson java:817)
    at net ilexiconn magister handler GradeHandler getGradesFromStudy(GradeHandler java:69)
    at com z3r0byte magis Tasks GradesTask doInBackground(GradesTask java:85)
    at com z3r0byte magis Tasks GradesTask doInBackground(GradesTask java:40)
    at android os AsyncTask 2 call(AsyncTask java:295)
    at java util concurrent FutureTask run(FutureTask java:237)
        4 more
</t>
  </si>
  <si>
    <t>Beamanator-Ulti-Mate-81</t>
  </si>
  <si>
    <t>App Crashes when time caps are changed mid game</t>
  </si>
  <si>
    <t xml:space="preserve">For example  if the user sets the soft cap at 9:15  to 10:10 AM from 10:20 AM  the app will crash at 10:20 AM 
</t>
  </si>
  <si>
    <t>d4rken-reddit-android-appstore-42</t>
  </si>
  <si>
    <t>App crashes when server is unavailable.</t>
  </si>
  <si>
    <t xml:space="preserve">When the server is unavailable (like blocked in my country) the app will crash rather than displaying an error message 
</t>
  </si>
  <si>
    <t>cgeo-cgeo-5948</t>
  </si>
  <si>
    <t>Live map crashing</t>
  </si>
  <si>
    <t xml:space="preserve">Sine this morning we get complaints about freezing crashing live map 
I can reproduce this after short usage of the live map 
As it wasnt the case last days I assume we have a server issue one again (or still) where cgeo crashes instead of catching the error and giving a proper error message 
Maybe someone can reproduce and provide a log 
IMHO we should urgently fix this because people blame cgeo for this 
</t>
  </si>
  <si>
    <t>RFO-BASIC-Basic-216</t>
  </si>
  <si>
    <t>RUN "" crashes BASIC!</t>
  </si>
  <si>
    <t xml:space="preserve">Calling RUN with empty string as a parameter crashes BASIC  with a null pointer exception on  BufferedReader readLine()  called from  Basic loadProgramFileToList()  
See  related post in the forum (http:  rfobasic freeforums org post32627 html p32627)
I have a very simple fix (1 line)  in  Run executeRun()   that I will try to release with the new RUN enhancement (which is restarting the current program if called without parameter  goes along with the new  PROGRAM PATH  runningBas svar   command) 
</t>
  </si>
  <si>
    <t>lostzen-lost-107</t>
  </si>
  <si>
    <t>Location listener demo crashes on first launch</t>
  </si>
  <si>
    <t xml:space="preserve">    Description
After installing demo app and launching for the first time if you navigate to the  LocationListener  demo activity the app crashes  User is never prompted to agree to location permissions 
    Steps to Reproduce
1  Uninstall demo app (if installed)
2  Install demo app
3  Launch and navigate to FusedLocationApi   LocationListener example
4  Runtime permission dialog will not be displayed and app will force quit
    Lost   Android Version
Lost 1 1 2 SNAPSHOT (local build on master)
Android 6 0 1
</t>
  </si>
  <si>
    <t>OneBusAway-onebusaway-android-691</t>
  </si>
  <si>
    <t>NPE when loading arrivals for trips with null headsigns</t>
  </si>
  <si>
    <t xml:space="preserve">  Summary:   
If you tap on a stop to show arrivals and one of the trips has a null headsign  you get a crash with this stack trace:
FATAL EXCEPTION: main
   Process: com joulespersecond seattlebusbot  PID: 20562
   java lang NullPointerException: Attempt to invoke virtual method  java lang String java lang String toUpperCase()  on a null object reference
       at org onebusaway android util MyTextUtils isAllCaps(MyTextUtils java:60)
       at org onebusaway android util UIUtils formatHeadsign(UIUtils java:221)
       at org onebusaway android ui ArrivalsListHeader refreshArrivalInfoData(ArrivalsListHeader java:679)
       at org onebusaway android ui ArrivalsListHeader refresh(ArrivalsListHeader java:627)
       at org onebusaway android ui ArrivalsListFragment setResponseData(ArrivalsListFragment java:550)
       at org onebusaway android ui ArrivalsListFragment onLoadFinished(ArrivalsListFragment java:459)
       at org onebusaway android ui ArrivalsListFragment onLoadFinished(ArrivalsListFragment java:89)
       at android support v4 app LoaderManagerImpl LoaderInfo callOnLoadFinished(LoaderManager java:476)
       at android support v4 app LoaderManagerImpl LoaderInfo onLoadComplete(LoaderManager java:444)
       at android support v4 content Loader deliverResult(Loader java:126)
       at org onebusaway android ui ArrivalsListLoader deliverResult(ArrivalsListLoader java:59)
       at org onebusaway android ui ArrivalsListLoader deliverResult(ArrivalsListLoader java:27)
       at android support v4 content AsyncTaskLoader dispatchOnLoadComplete(AsyncTaskLoader java:249)
       at android support v4 content AsyncTaskLoader LoadTask onPostExecute(AsyncTaskLoader java:77)
       at android support v4 content ModernAsyncTask finish(ModernAsyncTask java:466)
       at android support v4 content ModernAsyncTask access 400(ModernAsyncTask java:48)
       at android support v4 content ModernAsyncTask InternalHandler handleMessage(ModernAsyncTask java:483)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This happens after https:  github com OneBusAway onebusaway android issues 690 is fixed 
It s rare for trip headsigns to be null but it apparently happens in Puget Sound and RVTD occasionally   this trip seems to be the problem at RVTD stop code 610030 (http:  oba rvtd org:8080 onebusaway api webapp api where arrivals and departures for stop 1739 b18f3200 6bc5 475b ac91 c6b06d47d124 json minutesAfter 65 app ver 70 version 2 key v1 BktoDJ2gJlu6nLM6LsT9H8IUbWc 3DcGF1bGN3YXR0c0BnbWFpbC5jb20 3D):
trips:  
blockId:  1739 null  
directionId:  0  
id:  1739 0aac7fc5 01c2 4686 b509 0d25fc0f0c53  
routeId:  1739 72415cec 22c1 4514 be5d b29f06d6d180  
routeShortName:    
serviceId:  1739 c626d3e9 e829 4f37 9c36 ef67bcc10a88  
shapeId:  1739 0305bf6c 51ab 4e18 b17e 3d55285d2f0e  
timeZone:    
tripHeadsign: null 
tripShortName:  61 
  Steps to reproduce:   
1  Go to Rogue Valley (RVTD)
2  Go to stop code 610030 (via search or map) and show arrivals for that stop
  Expected behavior:   
Not crash and show arrivals
  Observed behavior:   
Crash
  Device and Android version:   
Reproduced on LG G4 w  Android 6 0
</t>
  </si>
  <si>
    <t>OneBusAway-onebusaway-android-690</t>
  </si>
  <si>
    <t>IllegalArgumentException when loading arrivals for trips with null headsigns</t>
  </si>
  <si>
    <t xml:space="preserve">  Summary:   
If you tap on a stop that has a trip with a null headsign  you get a crash with below stack trace:
 Process: com joulespersecond seattlebusbot  PID: 3860
 java lang IllegalArgumentException: the bind value at index 2 is null
     at android database sqlite SQLiteProgram bindString(SQLiteProgram java:164)
     at android database sqlite SQLiteProgram bindAllArgsAsStrings(SQLiteProgram java:200)
     at android database sqlite SQLiteDirectCursorDriver query(SQLiteDirectCursorDriver java:47)
     at android database sqlite SQLiteDatabase rawQueryWithFactory(SQLiteDatabase java:1426)
     at android database sqlite SQLiteQueryBuilder query(SQLiteQueryBuilder java:400)
     at android database sqlite SQLiteQueryBuilder query(SQLiteQueryBuilder java:333)
     at org onebusaway android provider ObaProvider queryInternal(ObaProvider java:866)
     at org onebusaway android provider ObaProvider query(ObaProvider java:589)
     at android content ContentProvider query(ContentProvider java:1017)
     at android content ContentProvider Transport query(ContentProvider java:238)
     at android content ContentResolver query(ContentResolver java:498)
     at android content ContentResolver query(ContentResolver java:441)
     at org onebusaway android provider ObaContract RouteHeadsignFavorites isFavorite(ObaContract java:1418)
     at org onebusaway android ui ArrivalInfo  init (ArrivalInfo java:248)
     at org onebusaway android ui ArrivalInfo convertObaArrivalInfo(ArrivalInfo java:75)
     at org onebusaway android ui ArrivalsListAdapterStyleA setData(ArrivalsListAdapterStyleA java:53)
     at org onebusaway android ui ArrivalsListFragment setResponseData(ArrivalsListFragment java:546)
     at org onebusaway android ui ArrivalsListFragment onLoadFinished(ArrivalsListFragment java:459)
     at org onebusaway android ui ArrivalsListFragment onLoadFinished(ArrivalsListFragment java:89)
     at android support v4 app LoaderManagerImpl LoaderInfo callOnLoadFinished(LoaderManager java:476)
     at android support v4 app LoaderManagerImpl LoaderInfo onLoadComplete(LoaderManager java:444)
     at android support v4 content Loader deliverResult(Loader java:126)
     at org onebusaway android ui ArrivalsListLoader deliverResult(ArrivalsListLoader java:59)
     at org onebusaway android ui ArrivalsListLoader deliverResult(ArrivalsListLoader java:27)
     at android support v4 content AsyncTaskLoader dispatchOnLoadComplete(AsyncTaskLoader java:249)
     at android support v4 content AsyncTaskLoader LoadTask onPostExecute(AsyncTaskLoader java:77)
     at android support v4 content ModernAsyncTask finish(ModernAsyncTask java:466)
     at android support v4 content ModernAsyncTask access 400(ModernAsyncTask java:48)
     at android support v4 content ModernAsyncTask InternalHandler handleMessage(ModernAsyncTask java:483)
     at android os Handler dispatchMessage(Handler java:102)
     at android os Looper loop(Looper java:148)
     at android app ActivityThread main(ActivityThread java:5525)
     at java lang reflect Method invoke(Native Method)
     at com android internal os ZygoteInit MethodAndArgsCaller run(ZygoteInit java:730)
     at com android internal os ZygoteInit main(ZygoteInit java:620)
It s rare for trip headsigns to be null but it apparently happens in Puget Sound and RVTD occasionally   this trip seems to be the problem at RVTD stop code 610030 (http:  oba rvtd org:8080 onebusaway api webapp api where arrivals and departures for stop 1739 b18f3200 6bc5 475b ac91 c6b06d47d124 json minutesAfter 65 app ver 70 version 2 key v1 BktoDJ2gJlu6nLM6LsT9H8IUbWc 3DcGF1bGN3YXR0c0BnbWFpbC5jb20 3D):
trips:  
blockId:  1739 null  
directionId:  0  
id:  1739 0aac7fc5 01c2 4686 b509 0d25fc0f0c53  
routeId:  1739 72415cec 22c1 4514 be5d b29f06d6d180  
routeShortName:    
serviceId:  1739 c626d3e9 e829 4f37 9c36 ef67bcc10a88  
shapeId:  1739 0305bf6c 51ab 4e18 b17e 3d55285d2f0e  
timeZone:    
tripHeadsign: null 
tripShortName:  61 
  Steps to reproduce:   
1  Go to Rogue Valley (RVTD)
2  Go to stop code 610030 (via search or map) and show arrivals for that stop
  Expected behavior:   
Not crash and show arrivals
  Observed behavior:   
Crash
  Device and Android version:   
Reproduced on LG G4 w  Android 6 0
</t>
  </si>
  <si>
    <t>moneymanagerex-android-money-manager-ex-1005</t>
  </si>
  <si>
    <t>IncomeVsExpense Reports crashing the app</t>
  </si>
  <si>
    <t xml:space="preserve">  incomevsexpense (https:  cloud githubusercontent com assets 21218122 18436493 f3c72104 793b 11e6 9464 a681b0c9d882 png)
Clicking on any of the lines crashes the app in my Android in Samsung Note 3 
</t>
  </si>
  <si>
    <t>michael-rapp-AndroidPreferenceActivity-18</t>
  </si>
  <si>
    <t>Fix Orientation change crash on Tablets.</t>
  </si>
  <si>
    <t xml:space="preserve">On Tablets greater then 7 s on the second orientation change the fragment would not be null however would not be added to the fragment manager causing a crash 
09 11 20:08:40 180 6675 6675 de mrapp android preference activity example E AndroidRuntime: FATAL EXCEPTION: main
                                                                                            Process: de mrapp android preference activity example  PID: 6675
                                                                                            java lang IllegalStateException: Fragment IntroductionPreferenceFragment 10220286  is not currently in the FragmentManager
                                                                                                at android app FragmentManagerImpl putFragment(FragmentManager java:568)
                                                                                                at de mrapp android preference activity PreferenceActivity onSaveInstanceState(PreferenceActivity java:2653)
                                                                                                at android app Activity performSaveInstanceState(Activity java:1298)
                                                                                                at android app Instrumentation callActivityOnSaveInstanceState(Instrumentation java:1288)
                                                                                                at android app ActivityThread callCallActivityOnSaveInstanceState(ActivityThread java:3958)
                                                                                                at android app ActivityThread handleRelaunchActivity(ActivityThread java:3921)
                                                                                                at android app ActivityThread access 900(ActivityThread java:151)
                                                                                                at android app ActivityThread H handleMessage(ActivityThread java:1309)
                                                                                                at android os Handler dispatchMessage(Handler java:102)
                                                                                                at android os Looper loop(Looper java:135)
                                                                                                at android app ActivityThread main(ActivityThread java:5254)
                                                                                                at java lang reflect Method invoke(Native Method)
                                                                                                at java lang reflect Method invoke(Method java:372)
                                                                                                at com android internal os ZygoteInit MethodAndArgsCaller run(ZygoteInit java:903)
                                                                                                at com android internal os ZygoteInit main(ZygoteInit java:698)
</t>
  </si>
  <si>
    <t>forrestguice-SuntimesWidget-58</t>
  </si>
  <si>
    <t>app crash Settings-&gt;General-&gt;DataSource api10</t>
  </si>
  <si>
    <t xml:space="preserve">The app crashes ( has stopped unexpectedly ) when trying to bring up the  data source  preference from  General Settings   Tapping the pref causes the crash (list of choices isn t displayed) 
Tested using  v0 2 1  w   api10  (emulator) 
</t>
  </si>
  <si>
    <t>alhazmy13-MediaPicker-13</t>
  </si>
  <si>
    <t>Crash when return back from Gallery</t>
  </si>
  <si>
    <t xml:space="preserve">When return back from Image Gallery without selecting any image  following crash happen:
Caused by: java lang NullPointerException: Attempt to invoke virtual method  android net Uri android content Intent getData()  on a null object reference
at net alhazmy13 mediapicker Image ImageProcessing processMultiImage(ImageProcessing java:26)
at net alhazmy13 mediapicker Image ImageActivity onActivityResult(ImageActivity java:204)
</t>
  </si>
  <si>
    <t>tom-anders-Easy_xkcd-101</t>
  </si>
  <si>
    <t>Xkcd 1732 problems</t>
  </si>
  <si>
    <t xml:space="preserve">The current   maybe too big   comic causes two issues:
1  It let s easy xkcd regularly crash in the background (I think this is caused by the widget)
2  Even when starting the app manually the comic is not displayed
</t>
  </si>
  <si>
    <t>duckduckgo-android-search-and-stories-258</t>
  </si>
  <si>
    <t>Physical keyboard = crashes</t>
  </si>
  <si>
    <t xml:space="preserve">This app crashes when you try and navigate using the arrow keys on a keyboard or on a device with physical keys 
Please fix  
</t>
  </si>
  <si>
    <t>forrestguice-SuntimesWidget-55</t>
  </si>
  <si>
    <t>app crash on SettingsActivity</t>
  </si>
  <si>
    <t xml:space="preserve">On  ActionBar    Settings  the app is crashing  the  Unfortunately  Suntimes has stopped  dialog is displayed  
Tested using  v0 2 1  on a Toshiba AT270 (7  tablet) (Android version  4 0 3 ) (api 15) 
Tested on a phone running Android  4 4 2  (api 19)   crash doesn t occur 
Tested on emulator running Android  4 1 1  (api 16)    crash doesn t occur 
</t>
  </si>
  <si>
    <t>alibaba-freeline-137</t>
  </si>
  <si>
    <t>【兼容性】修改资源文件失败incremental res build failed.</t>
  </si>
  <si>
    <t xml:space="preserve">0 6 3
C: developer works work space git syswin toon toon android freeline py
 DEBUG   dispatcher  command line args: Namespace(all False  clean False  cleanBuild False  d
ebug False  init False  version False)
 DEBUG   scan changed files command  find C: developer works work space git syswin toon toon 
android Toon res values strings xml has modification 
 DEBUG   scan changed files command  find C: developer works work space git syswin toon toon 
android systoonCore SystoonCore libs armeabi libcom systoon gif so has modification 
 DEBUG   scan changed files command  find C: developer works work space git syswin toon toon 
android systoonCore SystoonCore libs armeabi libcom systoon gif surface so has modification 
 DEBUG   scan changed files command  find C: developer works work space git syswin toon toon 
android systoonCore SystoonCore libs x86 libcom systoon gif so has modification 
 DEBUG   scan changed files command  find C: developer works work space git syswin toon toon 
android systoonCore SystoonCore libs x86 libcom systoon gif surface so has modification 
 DEBUG  find Toon has 0 java files modified 
 DEBUG  find SystoonMedia has 0 java files modified 
 DEBUG  find SystoonCore has 0 java files modified 
 DEBUG  project just need a incremental build 
 DEBUG  file changed list:
     build info :  
         last clean build time : 1473764031 6479619 
         is root config changed : false
     projects :  
         Toon :  
             src :    
             so :    
             assets :    
             libs :    
             res :  
                 C:  developer  works  work space git syswin  toon  toon android  Toon  res  
values  strings xml 
             config :    
             cpp :    
             manifest :   
         SystoonMedia :  
             src :    
             so :    
             assets :    
             libs :    
             res :    
             config :    
             cpp :    
             manifest :   
         SystoonCore :  
             src :    
             so :  
                 C:  developer  works  work space git syswin  toon  toon android  systoonCore
  SystoonCore  libs  armeabi  libcom systoon gif so  
                 C:  developer  works  work space git syswin  toon  toon android  systoonCore
  SystoonCore  libs  armeabi  libcom systoon gif surface so  
                 C:  developer  works  work space git syswin  toon  toon android  systoonCore
  SystoonCore  libs  x86  libcom systoon gif so  
                 C:  developer  works  work space git syswin  toon  toon android  systoonCore
  SystoonCore  libs  x86  libcom systoon gif surface so 
             assets :    
             libs :    
             res :    
             config :    
             cpp :    
             manifest :   
 DEBUG   gradle inc builder  find Toon modules have res changed
 DEBUG   gradle inc builder  append C: developer works work space git syswin toon toon androi
d systoonCore SystoonCore libs armeabi libcom systoon gif so to native queue
 DEBUG   gradle inc builder  append C: developer works work space git syswin toon toon androi
d systoonCore SystoonCore libs armeabi libcom systoon gif surface so to native queue
 DEBUG   gradle inc builder  append C: developer works work space git syswin toon toon androi
d systoonCore SystoonCore libs x86 libcom systoon gif so to native queue
 DEBUG   gradle inc builder  append C: developer works work space git syswin toon toon androi
d systoonCore SystoonCore libs x86 libcom systoon gif surface so to native queue
 DEBUG   task engine  depth: 1  task:  connect device task 
 DEBUG   task engine  depth: 1  task:  gradle aapt task 
 DEBUG   task engine  depth: 2  task:  SystoonCore 
 DEBUG   task engine  depth: 2  task:  SystoonMedia 
 DEBUG   task engine  depth: 4  task:  Toon 
 DEBUG   task engine  depth: 5  task:  merge dex task 
 DEBUG   task engine  depth: 7  task:  gradle sync task 
 DEBUG   task engine  depth: 8  task:  clean cache task 
 DEBUG   task engine  depth: 9  task:  update stat task 
 DEBUG   connect device task  connect device task start to run after waiting 0 0s
 DEBUG   gradle aapt task  gradle aapt task start to run after waiting 0 0s
 DEBUG   sync client  start to connect device   
 DEBUG   Toon inc invoker  find Toon has resource files modification 
 DEBUG   sync client  apktime path: C: developer works work space git syswin toon toon androi
d Toon build freeline freeline assets apktime
 DEBUG   gradle aapt task  start to execute aapt command   
 DEBUG   sync client  your local sync value is: 314000
 DEBUG   sync client  your local uuid value is: 314000
 DEBUG   tracing  generate id keeper files: 0 999927520752ms
 DEBUG   Toon inc invoker  find relative path: res values strings xml
 DEBUG   Toon inc invoker  find relative path: res values freeline id keeper public xml
 DEBUG   Toon inc invoker  find relative path: res values freeline id keeper ids xml
 DEBUG   Toon inc invoker  aapt exec: freeline release tools FreelineAapt exe package  f  I C
: developer engineering tools sdk platforms android 22 android jar  M C: developer works work
 space git syswin toon toon android Toon build intermediates manifests full debug AndroidMani
fest xml  S C: developer works work space git syswin toon toon android Toon res  S C: develop
er works work space git syswin toon toon android SystoonMedia res  S C: developer works work 
space git syswin toon toon android systoonCore SystoonCore res  S C: developer works work spa
ce git syswin toon toon android Toon build intermediates exploded aar com squareup leakcanary
 leakcanary android 1 3 1 res  S C: developer works work space git syswin toon toon android T
oon build intermediates exploded aar com github moduth blockcanary 1 0 2 res  S C: developer 
works work space git syswin toon toon android Toon build intermediates exploded aar com antfo
rtune freeline runtime 0 6 3 res  S C: developer works work space git syswin toon toon androi
d Toon build intermediates exploded aar io reactivex rxandroid 1 2 1 res  S C: developer work
s work space git syswin toon toon android Toon build intermediates exploded aar com tencent b
ugly crashreport 2 2 2 res  S C: developer works work space git syswin toon toon android Toon
 build intermediates exploded aar org altbeacon android beacon library 2 9 1 res  S C: develo
per works work space git syswin toon toon android Toon build intermediates exploded aar appco
mpat v7 22 2 1 res  S C: developer works work space git syswin toon toon android Toon build i
ntermediates exploded aar beaconlib res  S C: developer works work space git syswin toon toon
 android Toon build intermediates exploded aar com alipay euler andfix 0 4 0 res  S C: develo
per works work space git syswin toon toon android Toon build intermediates exploded aar com a
ndroid support multidex 1 0 1 res  S C: developer works work space git syswin toon toon andro
id Toon build generated res rs debug  S C: developer works work space git syswin toon toon an
droid Toon build freeline Toon backup res  A C: developer works work space git syswin toon to
on android Toon build freeline freeline assets  A C: developer works work space git syswin to
on toon android Toon assets   custom package com systoon toon  m  J C: developer works work s
pace git syswin toon toon android Toon build freeline Toon backup   auto add overlay  P C: de
veloper works work space git syswin toon toon android Toon build freeline Toon backup res val
ues freeline id keeper public xml  F C: developer works work space git syswin toon toon andro
id Toon build freeline Toon respack Toon pack   debug mode   auto add overlay   no version ve
ctors   ignore assets public id xml:public xml:  bak:  
 DEBUG   sync client  server result is 1
 DEBUG   sync client  find device port: 41128
 DEBUG   connect device task  connect device task finish in 0 3s
 DEBUG   gradle aapt task  gradle aapt task finish in 19 9s
 DEBUG   SystoonMedia  SystoonMedia start to run after waiting 19 9s
 DEBUG   SystoonCore  SystoonCore start to run after waiting 19 9s
 DEBUG   Toon  Toon start to run after waiting 19 9s
 DEBUG   merge dex task  merge dex task start to run after waiting 19 9s
 DEBUG   gradle sync task  gradle sync task start to run after waiting 19 7s
 DEBUG   clean cache task  clean cache task start to run after waiting 0 0s
 DEBUG   update stat task  update stat task start to run after waiting 0 0s
 DEBUG   task engine  task engine occurs exception  engine will exit 
 DEBUG   task engine  it takes task engine 19 94s to execute tasks 
 ERROR                                                          
 ERROR  Freeline ERROR
 ERROR                                                          
Freeline trace:: makeFileResources all resource  Time Elapsed: 15 596000 ms
Freeline trace:: compile values  Time Elapsed: 2 866000 ms
Freeline trace:: makeFileResources for color and menu  Time Elapsed: 0 000000 ms
C: developer works work space git syswin toon toon android Toon build freeline Toon backup re
s values freeline id keeper public xml:5800: error: Public symbol raw blur declared here is n
ot defined 
C: developer works work space git syswin toon toon android Toon build freeline Toon backup re
s values freeline id keeper public xml:5810: error: Public symbol raw rotate declared here is
 not defined 
 ERROR                                                          
 ERROR  incremental res build failed 
 ERROR                                                          
 DEBUG  Prepare tasks time: 0 9s
 DEBUG  Task engine running time: 19 9s
 DEBUG  Total time: 20 8s
 DEBUG                                                          
Log   
09 13 18:42:41 228 15532 15532 com systoon toon I Freeline: freeline start initial process   
09 13 18:42:41 228 15532 15532 com systoon toon I Freeline: freeline init application
09 13 18:42:41 228 15532 15532 com systoon toon I Freeline: start to inject dex   
09 13 18:42:41 228 15532 15532 com systoon toon I Freeline: start to inject resources   
09 13 18:42:41 228 15532 15532 com systoon toon I Freeline: dynamicInfoSp:   
09 13 18:42:41 228 15532 15532 com systoon toon I Freeline: resMap:   
09 13 18:42:41 228 15532 15532 com systoon toon I Freeline: start to load hackload dex   
09 13 18:42:41 238 15532 15532 com systoon toon I Freeline hackDex:  data data com systoon toon cache hack hackload dex dex length: 848
09 13 18:42:41 238 15532 15532 com systoon toon I Freeline hackDex:  data data com systoon toon cache hack opt opt length: 4096
09 13 18:42:41 238 15532 15532 com systoon toon I Freeline hackDex: after opt  dex len:848  opt len:4096
09 13 18:42:41 238 15532 15532 com systoon toon I Freeline: load hackload dex size:848
09 13 18:42:41 238 15532 15532 com systoon toon I Freeline: start to inject native lib   
09 13 18:42:41 238 15532 15532 com systoon toon I Freeline hackNative: native lib inject process start   
09 13 18:42:41 238 15532 15532 com systoon toon I Freeline hackNative: inject native lib success  Ljava io File  423d1f20
09 13 18:42:41 238 15532 15532 com systoon toon I Freeline: freeline init server
09 13 18:42:41 348 15568 15568 com systoon toon:freeline I Freeline: freeline start initial process   
09 13 18:42:41 358 15568 15568 com systoon toon:freeline I Freeline Service: onStartCommand Received start id 1  intent: Intent   cmp com systoon toon com antfortune freeline FreelineService  
09 13 18:42:41 368 15568 15568 com systoon toon:freeline D Freeline LongLinkServer: Freeline increment server running on port 41128
09 13 18:42:41 378 15568 15568 com systoon toon:freeline I Freeline Service Inner: onStartCommand Received start id 1  intent: Intent   cmp com systoon toon com antfortune freeline FreelineService InnerService  
09 13 18:42:55 928 15568 15583 com systoon toon:freeline I Freeline: ext:98000
09 13 18:42:55 928 15568 15583 com systoon toon:freeline I Freeline CheckSync: devUuid: 98000
09 13 18:42:55 928 15568 15583 com systoon toon:freeline I Freeline CheckSync: dev apkflag:98000  last sync is:98000  current sync is:98000
09 13 18:44:10 718 15568 15583 com systoon toon:freeline I Freeline CheckSync: devUuid: 98000
09 13 18:44:10 718 15568 15583 com systoon toon:freeline I Freeline CheckSync: dev apkflag:98000  last sync is:98000  current sync is:98000
09 13 18:54:58 778 29644 29644 com systoon toon I Freeline: freeline start initial process   
09 13 18:54:58 778 29644 29644 com systoon toon I Freeline: freeline init application
09 13 18:54:58 788 29644 29644 com systoon toon I Freeline: start to inject dex   
09 13 18:54:58 788 29644 29644 com systoon toon I Freeline: start to inject resources   
09 13 18:54:58 788 29644 29644 com systoon toon I Freeline: dynamicInfoSp:   
09 13 18:54:58 788 29644 29644 com systoon toon I Freeline: resMap:   
09 13 18:54:58 788 29644 29644 com systoon toon I Freeline: start to load hackload dex   
09 13 18:54:58 788 29644 29644 com systoon toon I Freeline hackDex:  data data com systoon toon cache hack hackload dex dex length: 848
09 13 18:54:58 788 29644 29644 com systoon toon I Freeline hackDex:  data data com systoon toon cache hack opt opt length: 4096
09 13 18:54:58 798 29644 29644 com systoon toon I Freeline hackDex: after opt  dex len:848  opt len:4096
09 13 18:54:58 798 29644 29644 com systoon toon I Freeline: load hackload dex size:848
09 13 18:54:58 798 29644 29644 com systoon toon I Freeline: start to inject native lib   
09 13 18:54:58 798 29644 29644 com systoon toon I Freeline hackNative: native lib inject process start   
09 13 18:54:58 798 29644 29644 com systoon toon I Freeline hackNative: inject native lib success  Ljava io File  4250a5b8
09 13 18:54:58 798 29644 29644 com systoon toon I Freeline: freeline init server
09 13 18:54:58 988 30607 30607 com systoon toon:freeline I Freeline: freeline start initial process   
09 13 18:54:58 998 30607 30607 com systoon toon:freeline I Freeline Service: onStartCommand Received start id 1  intent: Intent   cmp com systoon toon com antfortune freeline FreelineService  
09 13 18:54:59 018 30607 30607 com systoon toon:freeline D Freeline LongLinkServer: Freeline increment server running on port 41128
09 13 18:54:59 038 30607 30607 com systoon toon:freeline I Freeline Service Inner: onStartCommand Received start id 1  intent: Intent   cmp com systoon toon com antfortune freeline FreelineService InnerService  
09 13 18:55:01 408 30735 30735 com systoon toon:TNMsgBoxService I Freeline: freeline start initial process   
09 13 19:05:33 618 30607 30627 com systoon toon:freeline I Freeline: ext:314000
09 13 19:05:33 628 30607 30627 com systoon toon:freeline I Freeline CheckSync: devUuid: 314000
09 13 19:05:33 628 30607 30627 com systoon toon:freeline I Freeline CheckSync: dev apkflag:314000  last sync is:314000  current sync is:314000
09 13 19:06:20 058 30607 30627 com systoon toon:freeline I Freeline CheckSync: devUuid: 314000
09 13 19:06:20 058 30607 30627 com systoon toon:freeline I Freeline CheckSync: dev apkflag:314000  last sync is:314000  current sync is:314000
</t>
  </si>
  <si>
    <t>google-cameraview-8</t>
  </si>
  <si>
    <t>Demo app crashes when trying to open non-existent front facing camera</t>
  </si>
  <si>
    <t xml:space="preserve">The demo app crashes when running on a phone with only 1 back camera and clicking the  switch camera  icon  This is the stack trace:
com google android cameraview demo E AndroidRuntime: FATAL EXCEPTION: main
    java lang RuntimeException: Fail to connect to camera service
        at android hardware Camera native setup(Native Method)
        at android hardware Camera  init (Camera java:429)
        at android hardware Camera open(Camera java:388)
        at com google android cameraview Camera1 openCamera(Camera1 java:278)
        at com google android cameraview Camera1 start(Camera1 java:114)
        at com google android cameraview Camera1 setFacing(Camera1 java:152)
        at com google android cameraview CameraView setFacing(CameraView java:292)
        at com google android cameraview demo MainActivity onOptionsItemSelected(MainActivity java:220)
        at android app Activity onMenuItemSelected(Activity java:2592)
        at android support v4 app FragmentActivity onMenuItemSelected(FragmentActivity java:421)
        at android support v7 app AppCompatActivity onMenuItemSelected(AppCompatActivity java:188)
        at android support v7 view WindowCallbackWrapper onMenuItemSelected(WindowCallbackWrapper java:103)
        at android support v7 view WindowCallbackWrapper onMenuItemSelected(WindowCallbackWrapper java:103)
        at android support v7 app ToolbarActionBar 2 onMenuItemClick(ToolbarActionBar java:69)
        at android support v7 widget Toolbar 1 onMenuItemClick(Toolbar java:202)
        at android support v7 widget ActionMenuView MenuBuilderCallback onMenuItemSelected(ActionMenuView java:761)
        at android support v7 view menu MenuBuilder dispatchMenuItemSelected(MenuBuilder java:810)
        at android support v7 view menu MenuItemImpl invoke(MenuItemImpl java:152)
        at android support v7 view menu MenuBuilder performItemAction(MenuBuilder java:957)
        at android support v7 view menu MenuBuilder performItemAction(MenuBuilder java:947)
        at android support v7 widget ActionMenuView invokeItem(ActionMenuView java:618)
        at android support v7 view menu ActionMenuItemView onClick(ActionMenuItemView java:155)
        at android view View performClick(View java:4220)
        at android view View PerformClick run(View java:17513)
        at android os Handler handleCallback(Handler java:800)
        at android os Handler dispatchMessage(Handler java:100)
        at android os Looper loop(Looper java:194)
        at android app ActivityThread main(ActivityThread java:5455)
        at java lang reflect Method invokeNative(Native Method)
        at java lang reflect Method invoke(Method java:525)
        at com android internal os ZygoteInit MethodAndArgsCaller run(ZygoteInit java:966)
        at com android internal os ZygoteInit main(ZygoteInit java:733)
        at dalvik system NativeStart main(Native Method)
Perhaps it s not the library s responsibility to check which cameras are supported on the device  but I guess it would be nice if the demo app doesn t crash in this cases 
</t>
  </si>
  <si>
    <t>google-cameraview-7</t>
  </si>
  <si>
    <t>NPE when camera does not support flash modes</t>
  </si>
  <si>
    <t xml:space="preserve">I experienced a crash of the demo app when running on an API level 17 device  This is the stacktrace:
com google android cameraview demo E AndroidRuntime: FATAL EXCEPTION: main
    java lang RuntimeException: Unable to resume activity  com google android cameraview demo com google android cameraview demo MainActivity : java lang NullPointerException
        at android app ActivityThread performResumeActivity(ActivityThread java:2957)
        at android app ActivityThread handleResumeActivity(ActivityThread java:2986)
        at android app ActivityThread handleLaunchActivity(ActivityThread java:2421)
        at android app ActivityThread access 600(ActivityThread java:166)
        at android app ActivityThread H handleMessage(ActivityThread java:1379)
        at android os Handler dispatchMessage(Handler java:107)
        at android os Looper loop(Looper java:194)
        at android app ActivityThread main(ActivityThread java:5455)
        at java lang reflect Method invokeNative(Native Method)
        at java lang reflect Method invoke(Method java:525)
        at com android internal os ZygoteInit MethodAndArgsCaller run(ZygoteInit java:966)
        at com android internal os ZygoteInit main(ZygoteInit java:733)
        at dalvik system NativeStart main(Native Method)
     Caused by: java lang NullPointerException
        at com google android cameraview Camera1 setFlashInternal(Camera1 java:405)
        at com google android cameraview Camera1 adjustCameraParameters(Camera1 java:327)
        at com google android cameraview Camera1 openCamera(Camera1 java:294)
        at com google android cameraview Camera1 start(Camera1 java:114)
        at com google android cameraview CameraView start(CameraView java:226)
        at com google android cameraview demo MainActivity onResume(MainActivity java:140)
        at android app Instrumentation callActivityOnResume(Instrumentation java:1190)
        at android app Activity performResume(Activity java:5289)
        at android app ActivityThread performResumeActivity(ActivityThread java:2944)
        at android app ActivityThread handleResumeActivity(ActivityThread java:2986) 
        at android app ActivityThread handleLaunchActivity(ActivityThread java:2421) 
        at android app ActivityThread access 600(ActivityThread java:166) 
        at android app ActivityThread H handleMessage(ActivityThread java:1379) 
        at android os Handler dispatchMessage(Handler java:107) 
        at android os Looper loop(Looper java:194) 
        at android app ActivityThread main(ActivityThread java:5455) 
        at java lang reflect Method invokeNative(Native Method) 
        at java lang reflect Method invoke(Method java:525) 
        at com android internal os ZygoteInit MethodAndArgsCaller run(ZygoteInit java:966) 
        at com android internal os ZygoteInit main(ZygoteInit java:733) 
        at dalvik system NativeStart main(Native Method)
The cause seems to be that Camera1 does not expect devices to not support flash modes  which is possible by the  Camera Parameters API (https:  developer android com reference android hardware Camera Parameters html getSupportedFlashModes 28 29) 
</t>
  </si>
  <si>
    <t>zom-Zom-Android-XMPP-142</t>
  </si>
  <si>
    <t>Zom crashing on using none xmpp-style username</t>
  </si>
  <si>
    <t xml:space="preserve">Signing into an existing account without a  username matching the XMPP username pattern causes the app to crash and stays in a not usable state  Zom needs to be restarted afterwards  The login needs a pattern matcher for usernames and a disabled login button as long as the username is not valid 
Crash on split:
https:  github com zom Zom Android blob master app src main java org awesomeapp messenger ui onboarding OnboardingManager java L363
Should be checked here:
https:  github com zom Zom Android blob master app src main java org awesomeapp messenger ui onboarding OnboardingActivity java L709
</t>
  </si>
  <si>
    <t>Rajawali-Rajawali-1773</t>
  </si>
  <si>
    <t>NPE on swapping between fragments using TextureView</t>
  </si>
  <si>
    <t xml:space="preserve">     Rajawali Version or Branch
version 1 1 610 aar
     Device and Android Version
Samsung Galaxy Tab S4  Android 6
     Summary
I have two fragments  When switching between the two fragments the application crashes with a NullPointerException thrown in the  onResume  method of  TextureView    Both fragments have a  TextureView   Even if I set the surfaces renderer in  Fragment onResume  it will make the application crash  How is the best way to make the lifecycle work 
     Steps to Reproduce
Initialization: 
surfaceView   (TextureView) view findViewById(R id surface view) 
surfaceView setFrameRate(1 0) 
surfaceView setRenderMode(ISurface RENDERMODE WHEN DIRTY) 
Setting the renderer in a fragment:
 Override
public void onResume()  
  super onResume() 
  surfaceView setSurfaceRenderer(parent getRenderer()) 
Creating the renderer:
  renderer   new SmartLoaderRenderer(this) 
  LoaderSTL loader   new LoaderSTL(getResources()  renderer getTextureManager()  R raw smart loader2) 
  renderer loadModel(loader  renderer getLoaderCallback()  1) 
     Trace or Log Output
java lang NullPointerException: Attempt to read from field  org rajawali3d renderer ISurfaceRenderer org rajawali3d view TextureView RendererDelegate mRenderer  
on a null object reference
at org rajawali3d view TextureView onResume(TextureView java:465)
at org rajawali3d view TextureView onVisibilityChanged(TextureView java:163)
at android view View dispatchAttachedToWindow(View java:15860)
at android view ViewGroup dispatchAttachedToWindow(ViewGroup java:3147)
at android view ViewGroup dispatchAttachedToWindow(ViewGroup java:3147)
at android view ViewGroup addViewInner(ViewGroup java:4695)
at android view ViewGroup addView(ViewGroup java:4492)
at android view ViewGroup addView(ViewGroup java:4433)
at android view ViewGroup addView(ViewGroup java:4406)
at android app FragmentManagerImpl moveToState(FragmentManager java:996)
at android app FragmentManagerImpl moveToState(FragmentManager java:1164)
at android app BackStackRecord run(BackStackRecord java:793)
at android app FragmentManagerImpl execPendingActions(FragmentManager java:1557)
at android app FragmentManagerImpl 1 run(FragmentManager java:488)
at android os Handler handleCallback(Handler java:739)
at android os Handler dispatchMessage(Handler java:95)
at android os Looper loop(Looper java:158)
at android app ActivityThread main(ActivityThread java:7231)
at java lang reflect Method invoke(Native Method)
at com android internal os ZygoteInit MethodAndArgsCaller run(ZygoteInit java:1230)
at com android internal os ZygoteInit main(ZygoteInit java:1120)
</t>
  </si>
  <si>
    <t>niclabs-adkintunmobile-androidclient-131</t>
  </si>
  <si>
    <t>ActiveConnectionMapBottomSheetDialogFragment.java line 208</t>
  </si>
  <si>
    <t xml:space="preserve">     in cl niclabs adkintunmobile views activeconnections ActiveConnectionMapBottomSheetDialogFragment onMapReady
  Number of crashes: 1
  Impacted devices: 1
There s a lot more information about this crash on crashlytics com:
 https:  fabric io niclabs android apps cl niclabs adkintunmobile issues 57d94b3a0aeb16625b3c1499 (https:  fabric io niclabs android apps cl niclabs adkintunmobile issues 57d94b3a0aeb16625b3c1499)
</t>
  </si>
  <si>
    <t>CodelightStudios-Android-Smart-Login-29</t>
  </si>
  <si>
    <t>Can't log out</t>
  </si>
  <si>
    <t xml:space="preserve">When I try to sign out my superUser  application crashes  Log says that transaction is too large  Below is part of the logcat  I m I the only one with this issue 
 09 14 11:49:37 965 7904 7904 studios codelight smartlogin D Error: ERR: TOTAL BYTES WRITTEN: 28404168
09 14 11:49:37 968 7904 7904 studios codelight smartlogin E JavaBinder:     FAILED BINDER TRANSACTION      (parcel size   28404252)
09 14 11:49:37 968 7904 7914 studios codelight smartlogin I art: Background sticky concurrent mark sweep GC freed 23(1360B) AllocSpace objects  1(27MB) LOS objects  2  free  129MB 133MB  paused 5 134ms total 83 796ms
09 14 11:49:37 973 7904 7904 studios codelight smartlogin E AndroidRuntime: Error reporting crash
                                                                            android os TransactionTooLargeException: data parcel size 28404252 bytes
                                                                                at android os BinderProxy transactNative(Native Method)
                                                                                at android os BinderProxy transact(Binder java:503)
                                                                                at android app ActivityManagerProxy handleApplicationCrash(ActivityManagerNative java:4425)
                                                                                at com android internal os RuntimeInit UncaughtHandler uncaughtException(RuntimeInit java:90)
                                                                                at java lang ThreadGroup uncaughtException(ThreadGroup java:693)
                                                                                at java lang ThreadGroup uncaughtException(ThreadGroup java:690) 
</t>
  </si>
  <si>
    <t>vector-im-riot-android-501</t>
  </si>
  <si>
    <t>[VoIP] crash in caller side when a started video call is stopped asap</t>
  </si>
  <si>
    <t xml:space="preserve">The caller side crash on a video call  when right after starting the call  the hang up button press is pressed asap  
  Steps:  
1  Start a video call
2  Immediatley press the hang up button to cancel the call
3  a crash (libc: Fatal signal 11 (SIGSEGV)) is triggered
</t>
  </si>
  <si>
    <t>vector-im-riot-android-499</t>
  </si>
  <si>
    <t>[VoIP] crash in callee side when a started call is stoped asap</t>
  </si>
  <si>
    <t xml:space="preserve">The callee side crash when the calling side hangs up right after the call was started 
So far  this crash was only detected on the Galaxy S6
  Steps  :
1  caller: Start a call
2  caller: Hang up immediately
3  callee: crash
</t>
  </si>
  <si>
    <t>harrij15-SquareMeals-35</t>
  </si>
  <si>
    <t>Login keyboard bug fix</t>
  </si>
  <si>
    <t xml:space="preserve">When the ENTER key is pressed after a user inputs login information  the app either goes to the SignUpActivity  or it crashes
</t>
  </si>
  <si>
    <t>portexe-CompTIA-Aplus-Study-Practice-8</t>
  </si>
  <si>
    <t>java.lang.IllegalStateException: attempt to re-open an already-closed object: SQLiteDatabase: /data/data/com.freeparking.zack.a_plus_practice/databases/Struggling</t>
  </si>
  <si>
    <t xml:space="preserve">The application has been up for two weeks and we ve only had a single crash reported   Here are the full contents of the crash log:
java lang IllegalStateException: Could not execute method for android:onClick
at android support v7 app AppCompatViewInflater DeclaredOnClickListener onClick(AppCompatViewInflater java:293)
at android view View performClick(View java:4466)
at android view View PerformClick run(View java:18542)
at android os Handler handleCallback(Handler java:733)
at android os Handler dispatchMessage(Handler java:95)
at android os Looper loop(Looper java:136)
at android app ActivityThread main(ActivityThread java:5097)
at java lang reflect Method invokeNative(Native Method)
at java lang reflect Method invoke(Method java:515)
at com android internal os ZygoteInit MethodAndArgsCaller run(ZygoteInit java:785)
at com android internal os ZygoteInit main(ZygoteInit java:601)
at dalvik system NativeStart main(Native Method)
Caused by: java lang reflect InvocationTargetException
at java lang reflect Method invokeNative(Native Method)
at java lang reflect Method invoke(Method java:515)
at android support v7 app AppCompatViewInflater DeclaredOnClickListener onClick(AppCompatViewInflater java:288)
    11 more
Caused by: java lang IllegalStateException: attempt to re open an already closed object: SQLiteDatabase:  data data com freeparking zack a plus practice databases Struggling
at android database sqlite SQLiteClosable acquireReference(SQLiteClosable java:55)
at android database sqlite SQLiteDatabase executeSql(SQLiteDatabase java:1657)
at android database sqlite SQLiteDatabase execSQL(SQLiteDatabase java:1603)
at com freeparking zack a plus practice PracticeMode addQuestionToDB(PracticeMode java:295)
at com freeparking zack a plus practice PracticeMode onStrugglingButtonClick(PracticeMode java:269)
</t>
  </si>
  <si>
    <t>Intelehealth-Android-Mobile-Client-164</t>
  </si>
  <si>
    <t>App crashes if you hit OK in the Age entry dialog box when its left blank - Add New Patient screen</t>
  </si>
  <si>
    <t xml:space="preserve">Sequence of steps:
Add New Patient Screen   Age   Dialog box opens with  Please enter age in years   If I hit OK without entering anything here  it crashes 
(It doesn t matter what else I have entered on the screen  whether I ve entered the age using the DOB date picker dialog before doing this or not) 
</t>
  </si>
  <si>
    <t>cgeo-cgeo-5965</t>
  </si>
  <si>
    <t>java.lang.SecurityException accessing location through gms</t>
  </si>
  <si>
    <t xml:space="preserve">We regularly get such crashes fro Android 6 0 and 7 0 devices  I could reproduce it by denying location access for c:geo in the app settings 
Perhaps we should try to expect this  capture it and inform the user accordingly 
java lang SecurityException: Client must have ACCESS FINE LOCATION permission to request PRIORITY HIGH ACCURACY locations 
    at android os Parcel readException(Parcel java:1620)
    at android os Parcel readException(Parcel java:1573)
    at com google android gms location internal zzi zza zza zza(Unknown Source)
    at com google android gms location internal zzk zza(Unknown Source)
    at com google android gms location internal zzl zza(Unknown Source)
    at com google android gms location internal zzd 7 zza(Unknown Source)
    at com google android gms location internal zzd 7 zza(Unknown Source)
    at com google android gms internal zzpr zza zzb(Unknown Source)
    at com google android gms internal zzqa zzf(Unknown Source)
    at com google android gms internal zzqa zzd(Unknown Source)
    at com google android gms internal zzqf zzd(Unknown Source)
    at com google android gms internal zzqd zzd(Unknown Source)
    at com google android gms location internal zzd requestLocationUpdates(Unknown Source)
    at cgeo geocaching playservices LocationProvider updateRequest(LocationProvider java:54)
    at cgeo geocaching playservices LocationProvider onConnected(LocationProvider java:140)
    at com google android gms common internal zzl zzo(Unknown Source)
    at com google android gms internal zzqd zzm(Unknown Source)
    at com google android gms internal zzqb zzapm(Unknown Source)
    at com google android gms internal zzqb onConnected(Unknown Source)
    at com google android gms internal zzqf onConnected(Unknown Source)
    at com google android gms internal zzpu onConnected(Unknown Source)
    at com google android gms common internal zzk 1 onConnected(Unknown Source)
    at com google android gms common internal zzd zzj zzarz(Unknown Source)
    at com google android gms common internal zzd zza zzc(Unknown Source)
    at com google android gms common internal zzd zza zzx(Unknown Source)
    at com google android gms common internal zzd zze zzasb(Unknown Source)
    at com google android gms common internal zzd zzd handleMessage(Unknown Source)
    at android os Handler dispatchMessage(Handler java:102)
    at android os Looper loop(Looper java:148)
    at android app ActivityThread main(ActivityThread java:5461)
    at java lang reflect Method invoke(Native Method)
    at com android internal os ZygoteInit MethodAndArgsCaller run(ZygoteInit java:726)
    at com android internal os ZygoteInit main(ZygoteInit java:616)
</t>
  </si>
  <si>
    <t>cgeo-cgeo-5963</t>
  </si>
  <si>
    <t>Gradle build daemon crash (or kill)</t>
  </si>
  <si>
    <t xml:space="preserve">This also seem to make builds fail as tests are interrupted and no results are gathered 
Gradle build daemon disappeared unexpectedly (it may have been killed or may have crashed)
04:46 040  
04:46 040    Try:
04:46 040  Run with   info or   debug option to get more log output 
04:46 040  
04:46 040    Exception is:
04:46 122  org gradle launcher daemon client DaemonDisappearedException: Gradle build daemon disappeared unexpectedly (it may have been killed or may have crashed)
04:46 123   at org gradle launcher daemon client DaemonClient handleDaemonDisappearance(DaemonClient java:222)
04:46 123   at org gradle launcher daemon client DaemonClient monitorBuild(DaemonClient java:198)
04:46 123   at org gradle launcher daemon client DaemonClient executeBuild(DaemonClient java:162)
04:46 124   at org gradle launcher daemon client SingleUseDaemonClient execute(SingleUseDaemonClient java:55)
04:46 124   at org gradle launcher daemon client SingleUseDaemonClient execute(SingleUseDaemonClient java:37)
04:46 124   at org gradle launcher cli RunBuildAction run(RunBuildAction java:43)
04:46 124   at org gradle internal Actions RunnableActionAdapter execute(Actions java:173)
04:46 124   at org gradle launcher cli CommandLineActionFactory ParseAndBuildAction execute(CommandLineActionFactory java:244)
04:46 124   at org gradle launcher cli CommandLineActionFactory ParseAndBuildAction execute(CommandLineActionFactory java:217)
04:46 124   at org gradle launcher cli JavaRuntimeValidationAction execute(JavaRuntimeValidationAction java:33)
04:46 124   at org gradle launcher cli JavaRuntimeValidationAction execute(JavaRuntimeValidationAction java:24)
04:46 124   at org gradle launcher cli ExceptionReportingAction execute(ExceptionReportingAction java:33)
04:46 124   at org gradle launcher cli ExceptionReportingAction execute(ExceptionReportingAction java:22)
04:46 125   at org gradle launcher cli CommandLineActionFactory WithLogging execute(CommandLineActionFactory java:210)
04:46 125   at org gradle launcher cli CommandLineActionFactory WithLogging execute(CommandLineActionFactory java:174)
04:46 125   at org gradle launcher Main doAction(Main java:33)
04:46 125   at org gradle launcher bootstrap EntryPoint run(EntryPoint java:45)
04:46 125   at sun reflect NativeMethodAccessorImpl invoke0(Native Method)
04:46 125   at sun reflect NativeMethodAccessorImpl invoke(NativeMethodAccessorImpl java:62)
04:46 125   at sun reflect DelegatingMethodAccessorImpl invoke(DelegatingMethodAccessorImpl java:43)
04:46 125   at java lang reflect Method invoke(Method java:483)
04:46 126   at org gradle launcher bootstrap ProcessBootstrap runNoExit(ProcessBootstrap java:60)
04:46 126   at org gradle launcher bootstrap ProcessBootstrap run(ProcessBootstrap java:37)
04:46 126   at org gradle launcher GradleMain main(GradleMain java:23)
04:46 126   at sun reflect NativeMethodAccessorImpl invoke0(Native Method)
04:46 126   at sun reflect NativeMethodAccessorImpl invoke(NativeMethodAccessorImpl java:62)
04:46 166   at sun reflect DelegatingMethodAccessorImpl invoke(DelegatingMethodAccessorImpl java:43)
04:46 166   at java lang reflect Method invoke(Method java:483)
04:46 166   at org gradle wrapper BootstrapMainStarter start(BootstrapMainStarter java:30)
04:46 166   at org gradle wrapper WrapperExecutor execute(WrapperExecutor java:129)
04:46 167   at org gradle wrapper GradleWrapperMain main(GradleWrapperMain java:61)
 Bananeweizen Any idea of what might be wrong 
Would there be a timeout somewhere in the Jenkins configuration that would kill the gradle daemon process 
</t>
  </si>
  <si>
    <t>k3b-APhotoManager-71</t>
  </si>
  <si>
    <t>APM crashes when attempting to view details of whatsapp image</t>
  </si>
  <si>
    <t xml:space="preserve">To reproduce:
  in Whatsapp  open a picture sb sent you ( view in gallery )
  choose APM if not the standard to view the image
  tap the overflow menu  tap more  tap  Details  and APM will crash
</t>
  </si>
  <si>
    <t>IvoGoman-Diabetes-App-76</t>
  </si>
  <si>
    <t>Return of GetDay false</t>
  </si>
  <si>
    <t xml:space="preserve">As mentioned in  74 there are too many cursors open 
The GetDay Method in the DatabaseHandler class does not work as it is supposed to 
For example if you try to retrieve the Items for July 6th it will return 172 Items and crash 
Another time it will return 86 items and don t crash 
If I am copying the Database to my laptop and run the exact same query then I will get the correct result 
I have the same problem for the  getAllActivitiesByWeekday  Method  which was working fine until Tuesday and now it does not return any values in the app  while running the query on the database on my laptop works fine 
I assigned everybody who did changes to the database in the last days maybe you know what could be the issue at hand 
</t>
  </si>
  <si>
    <t>IvoGoman-Diabetes-App-73</t>
  </si>
  <si>
    <t>Food Recommendation</t>
  </si>
  <si>
    <t xml:space="preserve">App crashes after fresh install and beeing granted all permissions
 Caused by: java lang ArrayIndexOutOfBoundsException: length 0  index  1
                                                                                             at java util ArrayList get(ArrayList java:310)
                                                                                             at uni mannheim teamproject diabetesplaner DataMining Recommendation FoodRecommendation getLastActivity(FoodRecommendation java:198)
                                                                                             at uni mannheim teamproject diabetesplaner DataMining Recommendation FoodRecommendation recommend(FoodRecommendation java:77)
                                                                                             at uni mannheim teamproject diabetesplaner DataMining Recommendation Recommendation 1 run(Recommendation java:59)
                                                                                             at uni mannheim teamproject diabetesplaner DataMining Recommendation Recommendation startRecommendation(Recommendation java:67)
                                                                                             at uni mannheim teamproject diabetesplaner DataMining Recommendation FoodRecommendation onBind(FoodRecommendation java:56) 
</t>
  </si>
  <si>
    <t>Cloudkibo-Android-189</t>
  </si>
  <si>
    <t>App crashing on opening of application</t>
  </si>
  <si>
    <t xml:space="preserve">It was also experienced by Sir Jawaid that sometimes app did crash on start  I found the logs in acra for this 
 img width  1218  alt  screen shot 2016 09 16 at 9 57 33 am  src  https:  cloud githubusercontent com assets 5811465 18575710 2a1ff518 7bf4 11e6 8b29 1db77d537c3d png  
</t>
  </si>
  <si>
    <t>farkam135-GoIV-420</t>
  </si>
  <si>
    <t>Better bound-checking when cutting images</t>
  </si>
  <si>
    <t xml:space="preserve">Somehow  sometimes  we go out of bounds when extracting the name from a bitmap: http:  crashes to s c9a025fd5e9 
</t>
  </si>
  <si>
    <t>Cloudkibo-Android-191</t>
  </si>
  <si>
    <t xml:space="preserve">Calling is not working between two devices. </t>
  </si>
  <si>
    <t xml:space="preserve">When we make call from one device to other  the call is not attended even taping the attend widget many times  Now if caller cancels the call  the other person is still getting the notification of call until he rejects the call 
Call log still updated as received call though 
Edited: Sometimes  call is attended but the caller app is crashed right after it  The receiver side is still on call  When the receiver cut the call  his app crashes too 
Repro Steps:
1  Open KiboChat app in one device 
2  navigate to the preferred contact 
3  tap and hold the contact to make call
4  select call option 
5  Call is made 
6  Cancel the call (when the other person couldn t attend the call)
PFA screenshots:
Caller:
  14389958 1828573404087017 810188239 n (https:  cloud githubusercontent com assets 16760128 18607279 c7855d46 7ce1 11e6 96e2 2c286c525009 png)
Receiver:
  14389910 601750789997604 1976411131 n (https:  cloud githubusercontent com assets 16760128 18607282 d677a78c 7ce1 11e6 90f5 16850706544d png)
</t>
  </si>
  <si>
    <t>redsolution-xabber-android-663</t>
  </si>
  <si>
    <t>Crashes when receiving message in MUC</t>
  </si>
  <si>
    <t xml:space="preserve">When I receive a new message in a multi user chat  Xabber is crashing with exception below  Only happens when I have the MUC chat window open 
Affects Xabber Beta 1 0 74
09 16 20:02:37 255  9920  9920 D AndroidRuntime: Shutting down VM
09 16 20:02:37 258  9920  9920 E AndroidRuntime: FATAL EXCEPTION: main
09 16 20:02:37 258  9920  9920 E AndroidRuntime: Process: com xabber android beta  PID: 9920
09 16 20:02:37 258  9920  9920 E AndroidRuntime: java lang IllegalArgumentException: Invalid notification (no valid small icon): Notification(pri 0 contentView com xabber android beta 0x1090086 vibrate default sound content:  settings system notification sound defaults 0x6 flags 0x1 color 0x00000000 vis PRIVATE)
09 16 20:02:37 258  9920  9920 E AndroidRuntime:    at android app NotificationManager notify(NotificationManager java:222)
09 16 20:02:37 258  9920  9920 E AndroidRuntime:    at android app NotificationManager notify(NotificationManager java:194)
09 16 20:02:37 258  9920  9920 E AndroidRuntime:    at com xabber android data notification NotificationManager notify(NotificationManager java:448)
09 16 20:02:37 258  9920  9920 E AndroidRuntime:    at com xabber android data notification NotificationManager onCurrentChatMessageNotification(NotificationManager java:496)
09 16 20:02:37 258  9920  9920 E AndroidRuntime:    at com xabber android data message AbstractChat newMessage(AbstractChat java:440)
09 16 20:02:37 258  9920  9920 E AndroidRuntime:    at com xabber android data extension muc RoomChat onPacket(RoomChat java:256)
09 16 20:02:37 258  9920  9920 E AndroidRuntime:    at com xabber android data message MessageManager onPacket(MessageManager java:593)
09 16 20:02:37 258  9920  9920 E AndroidRuntime:    at com xabber android data connection ConnectionManager processPacket(ConnectionManager java:265)
09 16 20:02:37 258  9920  9920 E AndroidRuntime:    at com xabber android data connection ConnectionThread 16 run(ConnectionThread java:604)
09 16 20:02:37 258  9920  9920 E AndroidRuntime:    at android os Handler handleCallback(Handler java:746)
09 16 20:02:37 258  9920  9920 E AndroidRuntime:    at android os Handler dispatchMessage(Handler java:95)
09 16 20:02:37 258  9920  9920 E AndroidRuntime:    at android os Looper loop(Looper java:148)
09 16 20:02:37 258  9920  9920 E AndroidRuntime:    at android app ActivityThread main(ActivityThread java:5491)
09 16 20:02:37 258  9920  9920 E AndroidRuntime:    at java lang reflect Method invoke(Native Method)
09 16 20:02:37 258  9920  9920 E AndroidRuntime:    at com android internal os ZygoteInit MethodAndArgsCaller run(ZygoteInit java:728)
09 16 20:02:37 258  9920  9920 E AndroidRuntime:    at com android internal os ZygoteInit main(ZygoteInit java:618)
09 16 20:02:37 264  1469  2676 W ActivityManager:   Force finishing activity com xabber android beta com xabber android ui activity ChatViewer
</t>
  </si>
  <si>
    <t>lgallard-qBittorrent-Controller-109</t>
  </si>
  <si>
    <t>Not working with Nexus 5X with Android 7</t>
  </si>
  <si>
    <t xml:space="preserve">App no longer works when I updated my Nexus 5X to Android 7 0  The app will open but as soon as I tap on a torrent that is downloading the app crashes  Maybe some testing with Android 7 is needed and an update to Fix the bug  
Reported by Nathan (Google Play Console)
</t>
  </si>
  <si>
    <t>mvysny-aedict-700</t>
  </si>
  <si>
    <t>Crash on Kanji search (BlackBerry 10)</t>
  </si>
  <si>
    <t xml:space="preserve">When using the Kanji search feature the app will crash and give an  Unfortunately  Aedict has stopped   This happens specifically when the kanji icons are tapped  I ran the self check and 15 tests passed  0 failed and 6 crashed  I have included a screen shot of which crashed 
I understand that BlackBerry is most likely not a large seller  but it would be greatly appreciated if a fix were possible as Aedict is really useful 
  img 20160919 010717 (https:  cloud githubusercontent com assets 22289903 18625887 5d1a16e2 7e06 11e6 9504 a18788323ef4 png)
  img 20160919 010721 (https:  cloud githubusercontent com assets 22289903 18625893 640bada8 7e06 11e6 929e 8a715d24490d png)
  img 20160919 011508 (https:  cloud githubusercontent com assets 22289903 18625938 a9b8636e 7e06 11e6 876a 59ec07c640fd png)
</t>
  </si>
  <si>
    <t>Cloudkibo-Android-198</t>
  </si>
  <si>
    <t>Version 54 crashes and cannot be opened</t>
  </si>
  <si>
    <t xml:space="preserve">I installed the latest version and I cannot open Kibochat  It crashes all the time 
</t>
  </si>
  <si>
    <t>nextcloud-android-279</t>
  </si>
  <si>
    <t>dismiss(DialogFragment) after pause/resume crashes</t>
  </si>
  <si>
    <t xml:space="preserve">    Steps to reproduce
1  Enable the app passcode
2  Open the share view and share a file folder by link
3  Minimize the app using the device main button with the share view in foreground
4  Open again to the app
    Actual behaviour
Passcode view is displayed and app crashes
    Expected behaviour
Passcode view is displayed
    Stack Trace
8 10 11:32:06 187 25328 25328 com owncloud android E AndroidRuntime: FATAL EXCEPTION: main
  Process: com owncloud android  PID: 25328
  java lang IllegalStateException: Can not perform this action after onSaveInstanceState
      at android support v4 app FragmentManagerImpl checkStateLoss(FragmentManager java:1489)
      at android support v4 app FragmentManagerImpl enqueueAction(FragmentManager java:1507)
      at android support v4 app BackStackRecord commitInternal(BackStackRecord java:634)
      at android support v4 app BackStackRecord commit(BackStackRecord java:613)
      at android support v4 app DialogFragment dismissInternal(DialogFragment java:201)
      at android support v4 app DialogFragment dismiss(DialogFragment java:167)
      at com owncloud android ui activity FileActivity dismissLoadingDialog(FileActivity java:934)
      at com owncloud android ui activity FileActivity onRemoteOperationFinish(FileActivity java:753)
      at com owncloud android ui activity ShareActivity onRemoteOperationFinish(ShareActivity java:220)
      at com owncloud android utils GetShareWithUsersAsyncTask onPostExecute(GetShareWithUsersAsyncTask java:94)
      at com owncloud android utils GetShareWithUsersAsyncTask onPostExecute(GetShareWithUsersAsyncTask java:44)
      at android os AsyncTask finish(AsyncTask java:651)
      at android os AsyncTask access 500(AsyncTask java:180)
      at android os AsyncTask InternalHandler handleMessage(AsyncTask java:668)
      at android os Handler dispatchMessage(Handler java:102)
      at android os Looper loop(Looper java:158)
      at android app ActivityThread main(ActivityThread java:7225)
      at java lang reflect Method invoke(Native Method)
      at com android internal os ZygoteInit MethodAndArgsCaller run(ZygoteInit java:1230)
      at com android internal os ZygoteInit main(ZygoteInit java:1120)
</t>
  </si>
  <si>
    <t>react-native-camera-react-native-camera-417</t>
  </si>
  <si>
    <t>[Crash] No active/enabled connections</t>
  </si>
  <si>
    <t xml:space="preserve">Received a crash 
Fatal Exception: NSInvalidArgumentException
      AVCaptureMovieFileOutput startRecordingToOutputFileURL:recordingDelegate:    no active enabled connections 
Camera is using captureSource temp  recording a video  orientation auto
    Environment
    React Native version  : 0 31 0
    React Native platform   platform version  : iOS 9 3
    Device  : iPhone 5s
    react native camera
  Version  : master
    Full crash report
 22  Crashed: com twitter crashlytics ios exception
0  Ramble                         0x100136aa8 CLSProcessRecordAllThreads   4296616616
1  Ramble                         0x100136aa8 CLSProcessRecordAllThreads   4296616616
2  Ramble                         0x100136964 CLSProcessRecordAllThreads   4296616292
3  Ramble                         0x100127124 CLSHandler   4296552740
4  Ramble                         0x100134b7c   CLSExceptionRecord block invoke   4296608636
5  libdispatch dylib              0x1813b547c  dispatch client callout   16
6  libdispatch dylib              0x1813c0728  dispatch barrier sync f invoke   100
7  Ramble                         0x100134620 CLSExceptionRecord   4296607264
8  Ramble                         0x100134454 CLSExceptionRecordNSException   4296606804
9  Ramble                         0x100134074 CLSTerminateHandler()   4296605812
10 libc  abi dylib                0x180fc2f44 std::  terminate(void ( )())   16
11 libc  abi dylib                0x180fc285c   cxxabiv1::exception cleanup func( Unwind Reason Code   Unwind Exception )   134
12 libobjc A dylib                0x180fd0094  objc exception destructor(void )   330
13 AVFoundation                   0x18809fecc   AVCaptureMovieFileOutput stopRecording    490
14 Ramble                         0x1001f94f0   68  RCTCameraManager captureVideo:options:orientation:resolve:reject:  block invoke   4297413872
15 libdispatch dylib              0x1813b54bc  dispatch call block and release   24
16 libdispatch dylib              0x1813b547c  dispatch client callout   16
17 libdispatch dylib              0x1813c14c0  dispatch queue drain   864
18 libdispatch dylib              0x1813b8f80  dispatch queue invoke   464
19 libdispatch dylib              0x1813c3390  dispatch root queue drain   728
20 libdispatch dylib              0x1813c30b0  dispatch worker thread3   112
21 libsystem pthread dylib        0x1815cd470  pthread wqthread   1092
22 libsystem pthread dylib        0x1815cd020 start wqthread   4
Fatal Exception: NSInvalidArgumentException
0  CoreFoundation                 0x18196ae38   exceptionPreprocess
1  libobjc A dylib                0x180fcff80 objc exception throw
2  AVFoundation                   0x18809fecc   AVCaptureMovieFileOutput stopRecording 
3  Ramble                         0x1001f94f0   68  RCTCameraManager captureVideo:options:orientation:resolve:reject:  block invoke
4  libdispatch dylib              0x1813b54bc  dispatch call block and release
5  libdispatch dylib              0x1813b547c  dispatch client callout
6  libdispatch dylib              0x1813c14c0  dispatch queue drain
7  libdispatch dylib              0x1813b8f80  dispatch queue invoke
8  libdispatch dylib              0x1813c3390  dispatch root queue drain
9  libdispatch dylib              0x1813c30b0  dispatch worker thread3
10 libsystem pthread dylib        0x1815cd470  pthread wqthread
11 libsystem pthread dylib        0x1815cd020 start wqthread
 0  com apple main thread
0  libsystem kernel dylib         0x1814e8fd8 mach msg trap   8
1  libsystem kernel dylib         0x1814e8e54 mach msg   72
2  MediaToolbox                   0x1878f2544 FigPlayerRemoteClient SetPlaybackItemPropertyFixedSize   260
3  MediaToolbox                   0x1878f235c itemremote SetProperty   1768
4  MediaToolbox                   0x1878f7120 itemremote makeReadyForInspection   72
5  MediaToolbox                   0x1879fc64c playerremote updateLayerDurationsWhenItemReady   168
6  MediaToolbox                   0x1878ff054 itemremote postNotificationWithPayload   2576
7  MediaToolbox                   0x1879fa2b4 playerremote fetchNotifications   996
8  MediaToolbox                   0x1878fa354 FigPlayerRemoteCallbacksServer SendNotifyPing   132
9  MediaToolbox                   0x1878fa2a4  XSendNotifyPing   56
10 MediaToolbox                   0x1878f6834 figmoviecallbacks server   108
11 MediaToolbox                   0x1879f9cf4 fpr ClientPortDispatchCallBack   16
12 libdispatch dylib              0x1813bbba8 dispatch mig server   432
13 libdispatch dylib              0x1813b547c  dispatch client callout   16
14 libdispatch dylib              0x1813cc090  dispatch source latch and call   2556
15 libdispatch dylib              0x1813b7970  dispatch source invoke   808
16 libdispatch dylib              0x1813ba63c  dispatch main queue callback 4CF   492
17 CoreFoundation                 0x181920dd8   CFRUNLOOP IS SERVICING THE MAIN DISPATCH QUEUE     12
18 CoreFoundation                 0x18191ec40   CFRunLoopRun   1628
19 CoreFoundation                 0x181848d10 CFRunLoopRunSpecific   384
20 GraphicsServices               0x183130088 GSEventRunModal   180
21 UIKit                          0x186b1df70 UIApplicationMain   204
22 Ramble                         0x100034970 main (main m:16)
23 libdispatch dylib              0x1813e68b8 (Missing)
 1  com apple libdispatch manager
0  libsystem kernel dylib         0x1815054d8 kevent qos   8
1  libdispatch dylib              0x1813c87d8  dispatch mgr invoke   232
2  libdispatch dylib              0x1813b7648  dispatch source invoke   50
 2  com facebook react JavaScript
0  JavaScriptCore                 0x185097d9c JSC::JSFinalObject::visitChildren(JSC::JSCell   JSC::SlotVisitor )   408
1  JavaScriptCore                 0x185097c58 JSC::JSFinalObject::visitChildren(JSC::JSCell   JSC::SlotVisitor )   84
2  JavaScriptCore                 0x184ff6dc0 JSC::SlotVisitor::drain()   460
3  JavaScriptCore                 0x184ff7c20 JSC::SlotVisitor::drainFromShared(JSC::SlotVisitor::SharedDrainMode)   112
4  JavaScriptCore                 0x18531d808 JSC::Heap::markRoots(double  void   void   int ( )  48 )   888
5  JavaScriptCore                 0x18531f19c JSC::Heap::collectImpl(JSC::HeapOperation  void   void   int ( )  48 )   616
6  JavaScriptCore                 0x18531ef08 JSC::Heap::collect(JSC::HeapOperation)   96
7  JavaScriptCore                 0x185173728 JSC::GCActivityCallback::doWork()   92
8  JavaScriptCore                 0x184ff5380 JSC::HeapTimer::timerDidFire(  CFRunLoopTimer   void )   220
9  CoreFoundation                 0x18192181c   CFRUNLOOP IS CALLING OUT TO A TIMER CALLBACK FUNCTION     28
10 CoreFoundation                 0x1819214c0   CFRunLoopDoTimer   884
11 CoreFoundation                 0x18191ebd4   CFRunLoopRun   1520
12 CoreFoundation                 0x181848d10 CFRunLoopRunSpecific   384
13 Ramble                         0x10018fec8   RCTJSCExecutor runRunLoopThread    4296982216
14 Foundation                     0x18233fe1c   NSThread  start     1000
15 libsystem pthread dylib        0x1815cfb28  pthread body   156
16 libsystem pthread dylib        0x1815cfa8c  pthread body   154
17 libsystem pthread dylib        0x1815cd028 thread start   4
 3  JavaScriptCore::Marking
0  libsystem kernel dylib         0x181503f24   psynch cvwait   8
1  libsystem pthread dylib        0x1815cece8  pthread cond wait   648
2  libc   1 dylib                 0x180f5b42c std::  1::condition variable::wait(std::  1::unique lock std::  1::mutex  )   56
3  JavaScriptCore                 0x184ff7d4c JSC::SlotVisitor::drainFromShared(JSC::SlotVisitor::SharedDrainMode)   412
4  JavaScriptCore                 0x185319388 JSC::GCThread::gcThreadMain()   120
5  JavaScriptCore                 0x184feed44 WTF::threadEntryPoint(void )   212
6  JavaScriptCore                 0x184feec54 WTF::wtfThreadEntryPoint(void )   24
7  libsystem pthread dylib        0x1815cfb28  pthread body   156
8  libsystem pthread dylib        0x1815cfa8c  pthread body   154
9  libsystem pthread dylib        0x1815cd028 thread start   4
 4  com twitter crashlytics ios MachExceptionServer
0  libsystem kernel dylib         0x1814e8fd8 mach msg trap   8
1  libsystem kernel dylib         0x1814e8e54 mach msg   72
2  Ramble                         0x100121f84 CLSMachExceptionServer   4296531844
3  libsystem pthread dylib        0x1815cfb28  pthread body   156
4  libsystem pthread dylib        0x1815cfa8c  pthread body   154
5  libsystem pthread dylib        0x1815cd028 thread start   4
 5  com apple NSURLConnectionLoader
0  libsystem kernel dylib         0x1814e9014 semaphore wait trap   8
1  libsystem platform dylib       0x1815c697c  os semaphore wait   24
2  libdispatch dylib              0x1813c0378  dispatch barrier sync f slow   560
3  libsystem network dylib        0x18155714c tcp connection cancel   120
4  CFNetwork                      0x181f2b7b4 SocketStream::close(void const )   316
5  CoreFoundation                 0x181861fa4  CFStreamClose   108
6  CFNetwork                      0x181f54bf4 HTTPWriteFilter:: streamImpl Close()   40
7  CFNetwork                      0x181f2b624 CoreStreamBase:: streamInterface Close()   96
8  CFNetwork                      0x181fda6b0 NetConnection::shutdownConnectionStreams(void )   284
9  CFNetwork                      0x181f54b54 NetConnection::closeStreamsIfPossibleOrSignalThatThatNeedsToBeDonePrettyPlease()   108
10 CFNetwork                      0x1820a8a10 SHTTPConnectionCacheEntry::removeUnauthConnection(HTTPNetConnection )   240
11 CoreFoundation                 0x18184873c CFArrayApplyFunction   68
12 CFNetwork                      0x1820ac4bc SHTTPConnectionCacheEntry::purgeIdleConnections(double  double)   224
13 CFNetwork                      0x1820366c0 SHTTPConnectionCache::performIdleSweep()   156
14 CFNetwork                      0x182036f40 SHTTPConnectionCache::timeoutIdleCellConnections()   36
15 libdispatch dylib              0x1813b547c  dispatch client callout   16
16 libdispatch dylib              0x1813be7b8  dispatch block invoke   540
17 CFNetwork                      0x181f37c6c RunloopBlockContext:: invoke block(void const   void )   36
18 CoreFoundation                 0x18184873c CFArrayApplyFunction   68
19 CFNetwork                      0x181f37b50 RunloopBlockContext::perform()   136
20 CFNetwork                      0x181f37a10 MultiplexerSource::perform()   312
21 CFNetwork                      0x181f3783c MultiplexerSource:: perform(void )   68
22 CoreFoundation                 0x181921124   CFRUNLOOP IS CALLING OUT TO A SOURCE0 PERFORM FUNCTION     24
23 CoreFoundation                 0x181920bb8   CFRunLoopDoSources0   540
24 CoreFoundation                 0x18191e8b8   CFRunLoopRun   724
25 CoreFoundation                 0x181848d10 CFRunLoopRunSpecific   384
26 CFNetwork                      0x181fc9af4   NSURLConnection(Loader)  resourceLoadLoop:    412
27 Foundation                     0x18233fe1c   NSThread  start     1000
28 libsystem pthread dylib        0x1815cfb28  pthread body   156
29 libsystem pthread dylib        0x1815cfa8c  pthread body   154
30 libsystem pthread dylib        0x1815cd028 thread start   4
 6  WebThread
0  libsystem kernel dylib         0x1814e8fd8 mach msg trap   8
1  libsystem kernel dylib         0x1814e8e54 mach msg   72
2  CoreFoundation                 0x181920ce8   CFRunLoopServiceMachPort   196
3  CoreFoundation                 0x18191e9ec   CFRunLoopRun   1032
4  CoreFoundation                 0x181848d10 CFRunLoopRunSpecific   384
5  WebCore                        0x185832558 RunWebThread(void )   456
6  libsystem pthread dylib        0x1815cfb28  pthread body   156
7  libsystem pthread dylib        0x1815cfa8c  pthread body   154
8  libsystem pthread dylib        0x1815cd028 thread start   4
 7  JavaScriptCore::Marking
0  libsystem kernel dylib         0x181503f24   psynch cvwait   8
1  libsystem pthread dylib        0x1815cece8  pthread cond wait   648
2  libc   1 dylib                 0x180f5b42c std::  1::condition variable::wait(std::  1::unique lock std::  1::mutex  )   56
3  JavaScriptCore                 0x1853192cc JSC::GCThread::waitForNextPhase()   144
4  JavaScriptCore                 0x185319364 JSC::GCThread::gcThreadMain()   84
5  JavaScriptCore                 0x184feed44 WTF::threadEntryPoint(void )   212
6  JavaScriptCore                 0x184feec54 WTF::wtfThreadEntryPoint(void )   24
7  libsystem pthread dylib        0x1815cfb28  pthread body   156
8  libsystem pthread dylib        0x1815cfa8c  pthread body   154
9  libsystem pthread dylib        0x1815cd028 thread start   4
 8  com apple CoreMotion MotionThread
0  libsystem kernel dylib         0x1814e8fd8 mach msg trap   8
1  libsystem kernel dylib         0x1814e8e54 mach msg   72
2  CoreFoundation                 0x181920ce8   CFRunLoopServiceMachPort   196
3  CoreFoundation                 0x18191e9ec   CFRunLoopRun   1032
4  CoreFoundation                 0x181848d10 CFRunLoopRunSpecific   384
5  CoreFoundation                 0x181896464 CFRunLoopRun   112
6  CoreMotion                     0x18780341c (null)   100061224
7  libsystem pthread dylib        0x1815cfb28  pthread body   156
8  libsystem pthread dylib        0x1815cfa8c  pthread body   154
9  libsystem pthread dylib        0x1815cd028 thread start   4
 9  com apple CFSocket private
0  libsystem kernel dylib         0x181504344   select   8
1  CoreFoundation                 0x181927250   CFSocketManager   648
2  libsystem pthread dylib        0x1815cfb28  pthread body   156
3  libsystem pthread dylib        0x1815cfa8c  pthread body   154
4  libsystem pthread dylib        0x1815cd028 thread start   4
 10  com squareup SocketRocket NetworkThread
0  libsystem kernel dylib         0x1814e8fd8 mach msg trap   8
1  libsystem kernel dylib         0x1814e8e54 mach msg   72
2  CoreFoundation                 0x181920ce8   CFRunLoopServiceMachPort   196
3  CoreFoundation                 0x18191e9ec   CFRunLoopRun   1032
4  CoreFoundation                 0x181848d10 CFRunLoopRunSpecific   384
5  Foundation                     0x182258d8c   NSRunLoop(NSRunLoop) runMode:beforeDate:    308
6  Ramble                         0x1001f2120    RCTSRRunLoopThread main    4297384224
7  Foundation                     0x18233fe1c   NSThread  start     1000
8  libsystem pthread dylib        0x1815cfb28  pthread body   156
9  libsystem pthread dylib        0x1815cfa8c  pthread body   154
10 libsystem pthread dylib        0x1815cd028 thread start   4
 11  com apple coremedia player async
0  libsystem kernel dylib         0x1814e9014 semaphore wait trap   8
1  libdispatch dylib              0x1813c63e8  dispatch semaphore wait slow   244
2  MediaToolbox                   0x1878e96d0 fpa AsyncMovieControlThread   1948
3  CoreMedia                      0x183d2ada0 figThreadMain   272
4  libsystem pthread dylib        0x1815cfb28  pthread body   156
5  libsystem pthread dylib        0x1815cfa8c  pthread body   154
6  libsystem pthread dylib        0x1815cd028 thread start   4
 12  AVAudioSession Notify Thread
0  libsystem kernel dylib         0x1814e8fd8 mach msg trap   8
1  libsystem kernel dylib         0x1814e8e54 mach msg   72
2  CoreFoundation                 0x181920ce8   CFRunLoopServiceMachPort   196
3  CoreFoundation                 0x18191e9ec   CFRunLoopRun   1032
4  CoreFoundation                 0x181848d10 CFRunLoopRunSpecific   384
5  libAVFAudio dylib              0x187fb19e0 GenericRunLoopThread::Entry(void )   164
6  libAVFAudio dylib              0x187f8675c CAPThread::Entry(CAPThread )   84
7  libsystem pthread dylib        0x1815cfb28  pthread body   156
8  libsystem pthread dylib        0x1815cfa8c  pthread body   154
9  libsystem pthread dylib        0x1815cd028 thread start   4
 13  com apple coremedia player async
0  libsystem kernel dylib         0x1814e9014 semaphore wait trap   8
1  libdispatch dylib              0x1813c63e8  dispatch semaphore wait slow   244
2  MediaToolbox                   0x1878e96d0 fpa AsyncMovieControlThread   1948
3  CoreMedia                      0x183d2ada0 figThreadMain   272
4  libsystem pthread dylib        0x1815cfb28  pthread body   156
5  libsystem pthread dylib        0x1815cfa8c  pthread body   154
6  libsystem pthread dylib        0x1815cd028 thread start   4
 14  com apple coremedia player async
0  libsystem kernel dylib         0x1814e9014 semaphore wait trap   8
1  libdispatch dylib              0x1813c63e8  dispatch semaphore wait slow   244
2  MediaToolbox                   0x1878e96d0 fpa AsyncMovieControlThread   1948
3  CoreMedia                      0x183d2ada0 figThreadMain   272
4  libsystem pthread dylib        0x1815cfb28  pthread body   156
5  libsystem pthread dylib        0x1815cfa8c  pthread body   154
6  libsystem pthread dylib        0x1815cd028 thread start   4
 15  com apple coremedia player async
0  libsystem kernel dylib         0x1814e9014 semaphore wait trap   8
1  libdispatch dylib              0x1813c63e8  dispatch semaphore wait slow   244
2  MediaToolbox                   0x1878e96d0 fpa AsyncMovieControlThread   1948
3  CoreMedia                      0x183d2ada0 figThreadMain   272
4  libsystem pthread dylib        0x1815cfb28  pthread body   156
5  libsystem pthread dylib        0x1815cfa8c  pthread body   154
6  libsystem pthread dylib        0x1815cd028 thread start   4
 16  com apple coremedia player async
0  libsystem kernel dylib         0x1814e9014 semaphore wait trap   8
1  libdispatch dylib              0x1813c63e8  dispatch semaphore wait slow   244
2  MediaToolbox                   0x1878e96d0 fpa AsyncMovieControlThread   1948
3  CoreMedia                      0x183d2ada0 figThreadMain   272
4  libsystem pthread dylib        0x1815cfb28  pthread body   156
5  libsystem pthread dylib        0x1815cfa8c  pthread body   154
6  libsystem pthread dylib        0x1815cd028 thread start   4
 17  Thread
0  libsystem kernel dylib         0x18150441c   semwait signal   8
1  libsystem c dylib              0x18142122c nanosleep   212
2  libc   1 dylib                 0x180f993b4 std::  1::this thread::sleep for(std::  1::chrono::duration long long  std::  1::ratio 1l  1000000000l    const )   84
3  JavaScriptCore                 0x185566690 bmalloc::Heap::scavenge(std::  1::unique lock bmalloc::StaticMutex    std::  1::chrono::duration long long  std::  1::ratio 1l  1000l   )   188
4  JavaScriptCore                 0x185566340 bmalloc::Heap::concurrentScavenge()   84
5  JavaScriptCore                 0x185568ad8 bmalloc::AsyncTask bmalloc::Heap  void (bmalloc::Heap:: )() ::entryPoint()   100
6  JavaScriptCore                 0x185568a68 bmalloc::AsyncTask bmalloc::Heap  void (bmalloc::Heap:: )() ::pthreadEntryPoint(void )   12
7  libsystem pthread dylib        0x1815cfb28  pthread body   156
8  libsystem pthread dylib        0x1815cfa8c  pthread body   154
9  libsystem pthread dylib        0x1815cd028 thread start   4
 18  com apple networking connection 0x127593640
0  libsystem kernel dylib         0x1814e9a20 mach port deallocate   60
1  libsystem kernel dylib         0x1814e99fc mach port deallocate   24
2  libxpc dylib                   0x1815fe6e8  xpc dictionary dispose   88
3  libxpc dylib                   0x1815fe674  xpc dispose   28
4  libxpc dylib                   0x1815fe640   OS xpc object  xref dispose    56
5  libsystem network dylib        0x181562f6c   net helper endpoint deliver block invoke 2   52
6  libdispatch dylib              0x1813b54bc  dispatch call block and release   24
7  libdispatch dylib              0x1813b547c  dispatch client callout   16
8  libdispatch dylib              0x1813c14c0  dispatch queue drain   864
9  libdispatch dylib              0x1813b8f80  dispatch queue invoke   464
10 libdispatch dylib              0x1813c3390  dispatch root queue drain   728
11 libdispatch dylib              0x1813c30b0  dispatch worker thread3   112
12 libsystem pthread dylib        0x1815cd470  pthread wqthread   1092
13 libsystem pthread dylib        0x1815cd020 start wqthread   4
 19  Thread
0  libsystem kernel dylib         0x181504b48   workq kernreturn   8
1  libsystem pthread dylib        0x1815cd530  pthread wqthread   1284
2  libsystem pthread dylib        0x1815cd020 start wqthread   4
 20  Thread
0  libsystem kernel dylib         0x181504b48   workq kernreturn   8
1  libsystem pthread dylib        0x1815cd530  pthread wqthread   1284
2  libsystem pthread dylib        0x1815cd020 start wqthread   4
 21  com apple NSURLSession work
0  libsystem kernel dylib         0x1814e9014 semaphore wait trap   8
1  libdispatch dylib              0x1813c63e8  dispatch semaphore wait slow   244
2  CFNetwork                      0x181fccc80     NSURLBackgroundSession setupBackgroundSession    540
3  CFNetwork                      0x181fcc090   46    NSURLBackgroundSession setupXPCConnection  block invoke 2   176
4  libdispatch dylib              0x1813b54bc  dispatch call block and release   24
5  libdispatch dylib              0x1813b547c  dispatch client callout   16
6  libdispatch dylib              0x1813c14c0  dispatch queue drain   864
7  libdispatch dylib              0x1813b8f80  dispatch queue invoke   464
8  libdispatch dylib              0x1813c3390  dispatch root queue drain   728
9  libdispatch dylib              0x1813c30b0  dispatch worker thread3   112
10 libsystem pthread dylib        0x1815cd470  pthread wqthread   1092
11 libsystem pthread dylib        0x1815cd020 start wqthread   4
 22  Crashed: com twitter crashlytics ios exception
0  Ramble                         0x100136aa8 CLSProcessRecordAllThreads   4296616616
1  Ramble                         0x100136aa8 CLSProcessRecordAllThreads   4296616616
2  Ramble                         0x100136964 CLSProcessRecordAllThreads   4296616292
3  Ramble                         0x100127124 CLSHandler   4296552740
4  Ramble                         0x100134b7c   CLSExceptionRecord block invoke   4296608636
5  libdispatch dylib              0x1813b547c  dispatch client callout   16
6  libdispatch dylib              0x1813c0728  dispatch barrier sync f invoke   100
7  Ramble                         0x100134620 CLSExceptionRecord   4296607264
8  Ramble                         0x100134454 CLSExceptionRecordNSException   4296606804
9  Ramble                         0x100134074 CLSTerminateHandler()   4296605812
10 libc  abi dylib                0x180fc2f44 std::  terminate(void ( )())   16
11 libc  abi dylib                0x180fc285c   cxxabiv1::exception cleanup func( Unwind Reason Code   Unwind Exception )   134
12 libobjc A dylib                0x180fd0094  objc exception destructor(void )   330
13 AVFoundation                   0x18809fecc   AVCaptureMovieFileOutput stopRecording    490
14 Ramble                         0x1001f94f0   68  RCTCameraManager captureVideo:options:orientation:resolve:reject:  block invoke   4297413872
15 libdispatch dylib              0x1813b54bc  dispatch call block and release   24
16 libdispatch dylib              0x1813b547c  dispatch client callout   16
17 libdispatch dylib              0x1813c14c0  dispatch queue drain   864
18 libdispatch dylib              0x1813b8f80  dispatch queue invoke   464
19 libdispatch dylib              0x1813c3390  dispatch root queue drain   728
20 libdispatch dylib              0x1813c30b0  dispatch worker thread3   112
21 libsystem pthread dylib        0x1815cd470  pthread wqthread   1092
22 libsystem pthread dylib        0x1815cd020 start wqthread   4
 23  Thread
0  libsystem pthread dylib        0x1815cd01c start wqthread   14
 24  Thread
0  libsystem kernel dylib         0x181504b48   workq kernreturn   8
1  libsystem pthread dylib        0x1815cd530  pthread wqthread   1284
2  libsystem pthread dylib        0x1815cd020 start wqthread   4
 25  Thread
0  libsystem kernel dylib         0x181504b48   workq kernreturn   8
1  libsystem pthread dylib        0x1815cd530  pthread wqthread   1284
2  libsystem pthread dylib        0x1815cd020 start wqthread   4
 26  Thread
0  libsystem kernel dylib         0x181504b48   workq kernreturn   8
1  libsystem pthread dylib        0x1815cd530  pthread wqthread   1284
2  libsystem pthread dylib        0x1815cd020 start wqthread   4
 27  Thread
0  libsystem kernel dylib         0x181504b48   workq kernreturn   8
1  libsystem pthread dylib        0x1815cd530  pthread wqthread   1284
2  libsystem pthread dylib        0x1815cd020 start wqthread   4
</t>
  </si>
  <si>
    <t>processing-processing-android-253</t>
  </si>
  <si>
    <t>Application randomly (mostly) crashed at start.</t>
  </si>
  <si>
    <t xml:space="preserve">When building sketch with Processing IDE 3 2 1 in Android Mode on PC  installed APK fails to start on mobile phone  randomly crashing at start  After hitting the icon several times it might run well  Same sketch compiled with APDE on the phone itself runs perfectly  
My phone is: Philips Xenium I908 (with FullHD display 1920x1080 and 2 GB RAM)
My pc runs: Windows 8 1 Pro x64 and Processing 3 2 1 (x64)   Android Mode 3 0 1
Processing IDE gives me this when app crashes:
  java lang NullPointerException
      at processing core PGraphicsAndroid2D backgroundImpl(Unknown Source)
      at processing core PGraphics backgroundFromCalc(Unknown Source)
      at processing core PGraphics background(Unknown Source)
      at processing core PGraphics defaultSettings(Unknown Source)
      at processing core PGraphics checkSettings(Unknown Source)
      at processing core PGraphicsAndroid2D beginDraw(Unknown Source)
      at processing core PApplet handleDraw(Unknown Source)
      at processing core PGraphicsAndroid2D requestDraw(Unknown Source)
      at processing core PApplet run(Unknown Source)
      at java lang Thread run(Thread java:841)
  FATAL EXCEPTION: Animation Thread
  Process: processing test sketch 160921a  PID: 5683
  java lang NullPointerException
      at processing core PGraphicsAndroid2D backgroundImpl(Unknown Source)
      at processing core PGraphics backgroundFromCalc(Unknown Source)
      at processing core PGraphics background(Unknown Source)
      at processing core PGraphics defaultSettings(Unknown Source)
      at processing core PGraphics checkSettings(Unknown Source)
      at processing core PGraphicsAndroid2D beginDraw(Unknown Source)
      at processing core PApplet handleDraw(Unknown Source)
      at processing core PGraphicsAndroid2D requestDraw(Unknown Source)
      at processing core PApplet run(Unknown Source)
      at java lang Thread run(Thread java:841)
</t>
  </si>
  <si>
    <t>k9mail-k-9-1627</t>
  </si>
  <si>
    <t>App crashes after tapping the compose email button</t>
  </si>
  <si>
    <t xml:space="preserve">  I am having the same issue as the one listed here: https:  github com k9mail k 9 issues 1112  
    Expected behavior
After tapping the compose button a compose window should appear  so I can type an email to someone 
    Actual behavior
After tapping the compose button the app crashes and a messages pops up saying that K 9 Mail has crashed 
    Steps to reproduce
1  Open K 9 Mail
2  Tap the compose button (plus sign on top of a letter icon)
    Environment
K 9 Mail version:   5 111 (Current Alpha)  
Android version:   Droid Bionic (targa) 4 1 2  
Account type (IMAP  POP3  WebDAV Exchange):   IMAP  
</t>
  </si>
  <si>
    <t>yongjhih-RetroFacebook-41</t>
  </si>
  <si>
    <t>Sample app crashes on Android N</t>
  </si>
  <si>
    <t xml:space="preserve">Hi  yongjhih  faced that issue while testing your sample app :
Steps to reproduce : 
  log out of your fb app
  run the retrofacebook sample app
  login with your account
  accept FB required permissions
   crash
09 21 14:51:19 196 25885 25885 retrofacebook app E AndroidRuntime: FATAL EXCEPTION: main
                                                                   Process: retrofacebook app  PID: 25885
                                                                   java lang NullPointerException: Attempt to invoke virtual method  rx Observable rx Observable observeOn(rx Scheduler)  on a null object reference
                                                                       at rx android app AppObservable bindFragment(AppObservable java:98)
                                                                       at retrofacebook app RxCardsFragment load(RxCardsFragment java:109)
                                                                       at retrofacebook app RxCardsFragment setUserVisibleHint(RxCardsFragment java:102)
                                                                       at android support v4 app FragmentPagerAdapter setPrimaryItem(FragmentPagerAdapter java:130)
                                                                       at android support v4 view ViewPager populate(ViewPager java:1104)
                                                                       at android support v4 view ViewPager populate(ViewPager java:952)
                                                                       at android support v4 view ViewPager onMeasure(ViewPager java:1474)
                                                                       at android view View measure(View java:19730)
                                                                       at android view ViewGroup measureChildWithMargins(ViewGroup java:6120)
                                                                       at android support design widget CoordinatorLayout onMeasureChild(CoordinatorLayout java:610)
                                                                       at android support design widget CoordinatorLayout onMeasure(CoordinatorLayout java:677)
                                                                       at android view View measure(View java:19730)
                                                                       at android support v4 widget DrawerLayout onMeasure(DrawerLayout java:940)
                                                                       at android view View measure(View java:19730)
                                                                       at android view ViewGroup measureChildWithMargins(ViewGroup java:6120)
                                                                       at android widget FrameLayout onMeasure(FrameLayout java:185)
                                                                       at android support v7 widget ContentFrameLayout onMeasure(ContentFrameLayout java:135)
                                                                       at android view View measure(View java:19730)
                                                                       at android view ViewGroup measureChildWithMargins(ViewGroup java:6120)
                                                                       at android widget LinearLayout measureChildBeforeLayout(LinearLayout java:1464)
                                                                       at android widget LinearLayout measureVertical(LinearLayout java:758)
                                                                       at android widget LinearLayout onMeasure(LinearLayout java:640)
                                                                       at android view View measure(View java:19730)
                                                                       at android view ViewGroup measureChildWithMargins(ViewGroup java:6120)
                                                                       at android widget FrameLayout onMeasure(FrameLayout java:185)
                                                                       at android view View measure(View java:19730)
                                                                       at android view ViewGroup measureChildWithMargins(ViewGroup java:6120)
                                                                       at android widget LinearLayout measureChildBeforeLayout(LinearLayout java:1464)
                                                                       at android widget LinearLayout measureVertical(LinearLayout java:758)
                                                                       at android widget LinearLayout onMeasure(LinearLayout java:640)
                                                                       at android view View measure(View java:19730)
                                                                       at android view ViewGroup measureChildWithMargins(ViewGroup java:6120)
                                                                       at android widget FrameLayout onMeasure(FrameLayout java:185)
                                                                       at com android internal policy DecorView onMeasure(DecorView java:687)
                                                                       at android view View measure(View java:19730)
                                                                       at android view ViewRootImpl performMeasure(ViewRootImpl java:2271)
                                                                       at android view ViewRootImpl measureHierarchy(ViewRootImpl java:1358)
                                                                       at android view ViewRootImpl performTraversals(ViewRootImpl java:1607)
                                                                       at android view ViewRootImpl doTraversal(ViewRootImpl java:1246)
                                                                       at android view ViewRootImpl TraversalRunnable run(ViewRootImpl java:6301)
                                                                       at android view Choreographer CallbackRecord run(Choreographer java:871)
                                                                       at android view Choreographer doCallbacks(Choreographer java:683)
                                                                       at android view Choreographer doFrame(Choreographer java:619)
                                                                       at android view Choreographer FrameDisplayEventReceiver run(Choreographer java:857)
                                                                       at android os Handler handleCallback(Handler java:751)
                                                                       at android os Handler dispatchMessage(Handler java:95)
                                                                       at android os Looper loop(Looper java:154)
                                                                       at android app ActivityThread main(ActivityThread java:6077)
                                                                       at java lang reflect Method invoke(Native Method)
                                                                       at com android internal os ZygoteInit MethodAndArgsCaller run(ZygoteInit java:865)
                                                                       at com android internal os ZygoteInit main(ZygoteInit java:755)
09 21 14:51:19 198 4751 5157   W ActivityManager:   Force finishing activity retrofacebook app  MainActivity
09 21 14:51:19 284 4751 6312   I OpenGLRenderer: Initialized EGL  version 1 4
09 21 14:51:19 284 4751 6312   D OpenGLRenderer: Swap behavior 1
09 21 14:51:19 363 26221 26298   W VideoCapabilities: Unrecognized profile 2130706433 for video avc
09 21 14:51:19 394 4751 4800   I WindowManager: Destroying surface Surface(name Starting retrofacebook app) called by com android server wm WindowStateAnimator destroySurface:2014 com android server wm WindowStateAnimator destroySurfaceLocked:881 com android server wm WindowState removeLocked:1449 com android server wm WindowManagerService removeWindowInnerLocked:2478 com android server wm AppWindowToken destroySurfaces:365 com android server wm WindowStateAnimator finishExit:565 com android server wm AppWindowAnimator stepAnimationLocked:427 com android server wm WindowAnimator updateAppWindowsLocked:176 
_x000D_
_x000D_
 bountysource plugin _x000D_
   _x000D_
Want to back this issue     Post a bounty on it  (https:  www bountysource com issues 39935838 sample app crashes on android n utm campaign plugin utm content tracker 2F17798003 utm medium issues utm source github)   We accept bounties via  Bountysource (https:  www bountysource com  utm campaign plugin utm content tracker 2F17798003 utm medium issues utm source github) _x000D_
  bountysource plugin </t>
  </si>
  <si>
    <t>osmdroid-osmdroid-424</t>
  </si>
  <si>
    <t>MyLocationNewOverlay memory leak</t>
  </si>
  <si>
    <t xml:space="preserve">Hi 
I am getting this exception every time I leave and reenter the Fragment that contains the map:
E ExceptionHandler: java lang RuntimeException: Canvas: trying to use a recycled bitmap android graphics Bitmap 6139d6d
                                                                      at android graphics Canvas throwIfCannotDraw(Canvas java:1270)
                                                                      at android graphics Canvas drawBitmap(Canvas java:1325)
                                                                      at org osmdroid views overlay mylocation MyLocationNewOverlay drawMyLocation(MyLocationNewOverlay java:259)
                                                                      at org osmdroid views overlay mylocation MyLocationNewOverlay draw(MyLocationNewOverlay java:323)
                                                                      at org osmdroid views overlay DefaultOverlayManager onDraw(DefaultOverlayManager java:134)
                                                                      at org osmdroid views MapView dispatchDraw(MapView java:1076)
                                                                      at android view View updateDisplayListIfDirty(View java:15279)
I tried this on my onDestroyView method:
     Override
    public void onDestroyView()  
        super onDestroyView() 
         myLocationOverlay onDetach( mapView) 
        if ( mapEventOverlay    null)  
             mapEventOverlay onDetach( mapView) 
             mapView getOverlays() remove( mapEventOverlay) 
        if ( myLocationOverlay    null)  
             myLocationOverlay disableMyLocation() 
             myLocationOverlay disableFollowLocation() 
             mapView getOverlays() remove( myLocationOverlay) 
         mapView onDetach() 
         mapView getTileProvider() clearTileCache() 
         mapView   null 
         myLocationOverlay   null 
         mapEventOverlay   null 
I am in a hurry and I cannot fix this problem  Any suggestion 
It is also happening on the demo app  If you try to enter exit several times it crashes with the same Exception 
Thanks in advance 
</t>
  </si>
  <si>
    <t>koelleChristian-trickytripper-21</t>
  </si>
  <si>
    <t>ExtraTranslation error</t>
  </si>
  <si>
    <t xml:space="preserve">I get some ExtraTranslation lint errors  Please either fix them or disable them with   android   lintOptions   disable  ExtraTranslation       in your build gradle:
   Explanation for issues of type  ExtraTranslation :
   If a string appears in a specific language translation file  but there is
   no corresponding string in the default locale  then this string is probably
   unused  (It s technically possible that your application is only intended
   to run in a specific locale  but it s still a good idea to provide a
   fallback ) 
   Note that these strings can lead to crashes if the string is looked up on
   any locale not providing a translation  so it s important to clean them
   up 
</t>
  </si>
  <si>
    <t>eleme-Amigo-73</t>
  </si>
  <si>
    <t>Apply a new patch APK based on the working patch apk would crash</t>
  </si>
  <si>
    <t xml:space="preserve">Running host apk and apply a patch apk  Now running on the patch apk   And when apply a newer patch apk  release process crashes  
</t>
  </si>
  <si>
    <t>Intelehealth-Android-Mobile-Client-184</t>
  </si>
  <si>
    <t>App crashes when starting new visit</t>
  </si>
  <si>
    <t xml:space="preserve">Can t move past the patient summary screen  app crashes on clicking  Start New Visit  
Tablet: Samsung Galaxy Tab 3V
Android version 4 4 4
</t>
  </si>
  <si>
    <t>mauron85-cordova-plugin-background-geolocation-173</t>
  </si>
  <si>
    <t>Geolocation does not stop after closing and reopening the app</t>
  </si>
  <si>
    <t xml:space="preserve">  Plugin version: 2 2 1
  Platform: Android
  OS version: 6 0 1
  Device manufacturer and model: LG Nexus 5  same problem with Nexus 5x
  Cordova version: built with phonegap build v cli 6 3 0
  Cordova platform version: 5 2 1
  Plugin configuration options: 
  desiredAccuracy: 1
  stationaryRadius: 1
  debug: false
  distanceFilter: 10
  stopOnTerminate: false
  interval: 1    60    1000
  url:  http:  xxx:9101 geo 
  httpHeaders:   key: val  
  Context
  Tracking starts normally and all locations are sent to the server 
  even if the app is closed by the user 
  The problem is that when the app is started again  stoping tracking
  does not work   the background service does not close  
  If I try to close the app afterwards android crashes 
  Cases:
  1 
  backgroundGeolocation start() 
  Leave app running or pause it and resume it 
  backgroundGeolocation stop() 
  Tracking terminates normally 
2 
backgroundGeolocation start() 
Close app and open it again 
backgroundGeolocation stop() 
Tracking does not terminate and there is a android error after closing the app 
3 
backgroundGeolocation start() 
Close app and open it again 
backgroundGeolocation stop() 
Tracking does not terminate 
backgroundGeolocation start() 
backgroundGeolocation stop() 
Tracking terminates and no errors after closing app 
  Log for the java error
09 22 22:38:59 745 20459 20459 I com tenforwardconsulting cordova BackgroundGeolocationPlugin: Destroying plugin
09 22 22:38:59 783 20459 20459 D AndroidRuntime: Shutting down VM
09 22 22:38:59 784 20459 20459 E AndroidRuntime: FATAL EXCEPTION: main
09 22 22:38:59 784 20459 20459 E AndroidRuntime: Process: net zazler sahko ukko  PID: 20459
09 22 22:38:59 784 20459 20459 E AndroidRuntime: java lang RuntimeException: Unable to destroy activity  net zazler sahko ukko net zazler sahko ukko S hk  Ukko : java lang NullPointerException: Attempt to invoke virtual method  java lang Boolean com marianhello bgloc Config getStopOnTerminate()  on a null object reference
09 22 22:38:59 784 20459 20459 E AndroidRuntime:        at android app ActivityThread performDestroyActivity(ActivityThread java:3831)
09 22 22:38:59 784 20459 20459 E AndroidRuntime:        at android app ActivityThread handleDestroyActivity(ActivityThread java:3849)
09 22 22:38:59 784 20459 20459 E AndroidRuntime:        at android app ActivityThread  wrap5(ActivityThread java)
09 22 22:38:59 784 20459 20459 E AndroidRuntime:        at android app ActivityThread H handleMessage(ActivityThread java:1398)
09 22 22:38:59 784 20459 20459 E AndroidRuntime:        at android os Handler dispatchMessage(Handler java:102)
09 22 22:38:59 784 20459 20459 E AndroidRuntime:        at android os Looper loop(Looper java:148)
09 22 22:38:59 784 20459 20459 E AndroidRuntime:        at android app ActivityThread main(ActivityThread java:5417)
09 22 22:38:59 784 20459 20459 E AndroidRuntime:        at java lang reflect Method invoke(Native Method)
09 22 22:38:59 784 20459 20459 E AndroidRuntime:        at com android internal os ZygoteInit MethodAndArgsCaller run(ZygoteInit java:726)
09 22 22:38:59 784 20459 20459 E AndroidRuntime:        at com android internal os ZygoteInit main(ZygoteInit java:616)
09 22 22:38:59 784 20459 20459 E AndroidRuntime: Caused by: java lang NullPointerException: Attempt to invoke virtual method  java lang Boolean com marianhello bgloc Config getStopOnTerminate()  on a null object reference
09 22 22:38:59 784 20459 20459 E AndroidRuntime:        at com tenforwardconsulting cordova BackgroundGeolocationPlugin onDestroy(BackgroundGeolocationPlugin java:476)
09 22 22:38:59 784 20459 20459 E AndroidRuntime:        at org apache cordova PluginManager onDestroy(PluginManager java:298)
09 22 22:38:59 784 20459 20459 E AndroidRuntime:        at org apache cordova CordovaWebViewImpl handleDestroy(CordovaWebViewImpl java:481)
09 22 22:38:59 784 20459 20459 E AndroidRuntime:        at org apache cordova CordovaActivity onDestroy(CordovaActivity java:305)
09 22 22:38:59 784 20459 20459 E AndroidRuntime:        at android app Activity performDestroy(Activity java:6422)
09 22 22:38:59 784 20459 20459 E AndroidRuntime:        at android app Instrumentation callActivityOnDestroy(Instrumentation java:1142)
09 22 22:38:59 784 20459 20459 E AndroidRuntime:        at android app ActivityThread performDestroyActivity(ActivityThread java:3818)
09 22 22:38:59 784 20459 20459 E AndroidRuntime:            9 more
Is there a way to prevent this from happening or am I just using the plugin wrong 
</t>
  </si>
  <si>
    <t>k9mail-k-9-1628</t>
  </si>
  <si>
    <t>Problems opening an email</t>
  </si>
  <si>
    <t xml:space="preserve">    Expected behavior
Able to read an email
    Actual behavior
It showas up as download entire message enabled but clicking on it shows nothing  no matter how big I make the message size  Can t forward it or reply to it either  k9 mail crashes
    Steps to reproduce
1 open this email
2 
3 
    Environment
K 9 Mail version:
5 111
Android version:
6 0
Account type (IMAP  POP3  WebDAV Exchange):
Imap
</t>
  </si>
  <si>
    <t>Odoo-mobile-framework-228</t>
  </si>
  <si>
    <t>Crash app when create a new customer with photo in the example app</t>
  </si>
  <si>
    <t xml:space="preserve">Steps to produce:
1  Go to customers and create new one
2  Take a picture to attach to customer data
3  Save and crash app
E AndroidRuntime: FATAL EXCEPTION: main
                                                             Process: com eiru odoo  PID: 6468
                                                             java lang IllegalStateException: Couldn t read row 0  col 18 from CursorWindow   Make sure the Cursor is initialized correctly before accessing data from it 
                                                                 at android database CursorWindow nativeGetString(Native Method)
                                                                 at android database CursorWindow getString(CursorWindow java:451)
                                                                 at android database AbstractWindowedCursor getString(AbstractWindowedCursor java:51)
                                                                 at android database CursorWrapper getString(CursorWrapper java:137)
                                                                 at com odoo core support list OCursorListAdapter notifyDataSetChanged(OCursorListAdapter java:196)
                                                                 at android widget CursorAdapter swapCursor(CursorAdapter java:381)
                                                                 at android widget CursorAdapter changeCursor(CursorAdapter java:349)
                                                                 at com odoo addons customers Customers onLoadFinished(Customers java:148)
                                                                 at com odoo addons customers Customers onLoadFinished(Customers java:58)
                                                                 at android support v4 app LoaderManagerImpl LoaderInfo callOnLoadFinished(LoaderManager java:479)
                                                                 at android support v4 app LoaderManagerImpl LoaderInfo onLoadComplete(LoaderManager java:447)
                                                                 at android support v4 content Loader deliverResult(Loader java:126)
                                                                 at android support v4 content CursorLoader deliverResult(CursorLoader java:105)
                                                                 at android support v4 content CursorLoader deliverResult(CursorLoader java:37)
                                                                 at android support v4 content AsyncTaskLoader dispatchOnLoadComplete(AsyncTaskLoader java:249)
                                                                 at android support v4 content AsyncTaskLoader LoadTask onPostExecute(AsyncTaskLoader java:77)
                                                                 at android support v4 content ModernAsyncTask finish(ModernAsyncTask java:466)
                                                                 at android support v4 content ModernAsyncTask access 400(ModernAsyncTask java:48)
                                                                 at android support v4 content ModernAsyncTask InternalHandler handleMessage(ModernAsyncTask java:483)
                                                                 at android os Handler dispatchMessage(Handler java:102)
                                                                 at android os Looper loop(Looper java:158)
                                                                 at android app ActivityThread main(ActivityThread java:7229)
                                                                 at java lang reflect Method invoke(Native Method)
                                                                 at com android internal os ZygoteInit MethodAndArgsCaller run(ZygoteInit java:1230)
                                                                 at com android internal os ZygoteInit main(ZygoteInit java:1120)
</t>
  </si>
  <si>
    <t>farkam135-GoIV-463</t>
  </si>
  <si>
    <t>Crash when scanning screenshot from another Android/iPhone phone</t>
  </si>
  <si>
    <t xml:space="preserve">Hi Team 
A friend of mind send me a screenshot from an Iphone to check IV  I open the text message  clicked on share then GoIV  GoIV crashed 
Took same screenshot  took a screenshot of the screenshot using google now  sent to GoIV  calculated successfully 
Could this be bug  420   
I have a galaxy S7 edge  stock  not rooted 
Example screenshot that fails
  img951676 (https:  cloud githubusercontent com assets 22281828 18755502 86adc5e2 80ba 11e6 887c e49b8e1ee6ff png)  Level 22 Cloyster 
also  in order to scan I must enable powersave mode  even if i share the screenshot using the android share button  is this a bug  
</t>
  </si>
  <si>
    <t>koral---android-gif-drawable-343</t>
  </si>
  <si>
    <t xml:space="preserve">crashed on devices with cpu-x86  </t>
  </si>
  <si>
    <t xml:space="preserve">Hi 
I receive a crash that just occurs on devices that cpu x86  Below is the logs
 pre 
 00 pc 00006acf  data app lib com douban frodo 1 libpl droidsonroids gif so  x86 
2  01 pc 00004711  data app lib com douban frodo 1 libpl droidsonroids gif so  x86 
3  02 pc 00003eb0  data app lib com douban frodo 1 libpl droidsonroids gif so (Java pl droidsonroids gif GifInfoHandle renderFrame 208)  x86 
4  03 pc 0003118f  system lib libdvm so (dvmPlatformInvoke 79)  x86 
5  04 pc 0008c427  system lib libdvm so (dvmCallJNIMethod(unsigned int const   JValue   Method const   Thread ) 679)  x86 
6  05 pc 61a40118  unknown 
7  06 pc 00044415  system lib libdvm so (dvmMterpStd(Thread ) 69)  x86 
8  07 pc 00041ee2  system lib libdvm so (dvmInterpret(Thread   Method const   JValue ) 226)  x86 
9  08 pc 000be26f  system lib libdvm so (dvmCallMethodV(Thread   Method const   Object   bool  JValue   char ) 719)  x86 
10  09 pc 000be647  system lib libdvm so (dvmCallMethod(Thread   Method const   Object   JValue      ) 55)  x86 
11  10 pc 0009fc6b  system lib libdvm so  x86 
12  11 pc 0000f4a8  system lib libc so (  thread entry 328)  x86 
13  12 pc 000284d4  system lib libc so  x86 
14 java:
15 pl droidsonroids gif GifInfoHandle renderFrame(Native Method)
16 pl droidsonroids gif GifInfoHandle renderFrame(GifInfoHandle java:152)
17 pl droidsonroids gif RenderTask doWork(RenderTask java:17)
18 pl droidsonroids gif SafeRunnable run(SafeRunnable java:18)
19 java util concurrent Executors RunnableAdapter call(Executors java:390)
20 java util concurrent FutureTask run(FutureTask java:234)
21 java util concurrent ScheduledThreadPoolExecutor ScheduledFutureTask access 201(ScheduledThreadPoolExecutor java:153)
22 java util concurrent ScheduledThreadPoolExecutor ScheduledFutureTask run(ScheduledThreadPoolExecutor java:267)
23 java util concurrent ThreadPoolExecutor runWorker(ThreadPoolExecutor java:1080)
24 java util concurrent ThreadPoolExecutor Worker run(ThreadPoolExecutor java:573)
25 java lang Thread run(Thread java:856)
  pre 
</t>
  </si>
  <si>
    <t>google-physical-web-838</t>
  </si>
  <si>
    <t>App is crashing on IPhone6 Plus</t>
  </si>
  <si>
    <t xml:space="preserve">The App is crashing on IPhone6 Plus
</t>
  </si>
  <si>
    <t>davideas-FlexibleAdapter-173</t>
  </si>
  <si>
    <t>Inconsistency detected on beta8 with asynchronous item update</t>
  </si>
  <si>
    <t xml:space="preserve">Hi 
I started using your library with beta7  and it worked very well  Since the update to beta8  I am having crashes like this one : 
  java lang IndexOutOfBoundsException: Inconsistency detected  Invalid view holder adapter positionViewHolder dd3598b position 7 id  1  oldPos 0  pLpos:0 scrap  attachedScrap  tmpDetached no parent 
After some debugging  I think I found the cause of the problem  I use  updateDataSet  function with animations enabled  which internally calls  animateTo  function of the FlexibleAdapter  which does this :
List T  tempItems   new ArrayList  (mItems) 
applyAndAnimateRemovals(tempItems  newItems) 
applyAndAnimateAdditions(tempItems  newItems) 
if (notifyMoveOfFilteredItems)
    applyAndAnimateMovedItems(tempItems  newItems) 
mItems   tempItems 
The problem is that the notifications created with all the  applyAndAnimate  functions are executed asynchronously some time after mItems is set  If a layout pass occurs after mItems   tempItems and before the notifications are executed  the exception will be thrown  
This is because the RecycleView checks for the itemCount in the adapter during its layout  and prepare the views 
For example  in an adapter without items  if you want to add 5 items :
  You change mItems
  The layout pass occurs : the recycler view checks the itemCount and think they are 5 items  so it prepares 5 view holders 
  The adapter makes the notify calls : the recycler view is notified of 5 pending adds 
  The next layout pass occurs : the recycler thinks it has 5 items   5 pending items  so 10 items  The exception is thrown 
I activated the debug mode of the FlexibleAdapter  which makes it appear 
When it works :
  I FlexibleAdapter: Performing 7 notifications
  I FlexibleAdapter: Mapped viewType 2130903232 from NavigationAdapterItem
  V FlexibleAdapter: onViewBound Holder ViewHolder position 0 itemId  1 layoutPosition 0
  I FlexibleAdapter: Mapped viewType 2130903173 from NavigationAdapterItem
  V FlexibleAdapter: onViewBound Holder ViewHolder position 1 itemId  1 layoutPosition 1
  V FlexibleAdapter: onViewBound Holder ViewHolder position 2 itemId  1 layoutPosition 2
  V FlexibleAdapter: onViewBound Holder ViewHolder position 3 itemId  1 layoutPosition 3
  V FlexibleAdapter: onViewBound Holder ViewHolder position 4 itemId  1 layoutPosition 4
  V FlexibleAdapter: onViewBound Holder ViewHolder position 5 itemId  1 layoutPosition 5
  V FlexibleAdapter: onViewBound Holder ViewHolder position 6 itemId  1 layoutPosition 6
When it crashes :
  I FlexibleAdapter: Mapped viewType 2130903232 from NavigationAdapterItem
  V FlexibleAdapter: onViewBound Holder ViewHolder position 0 itemId  1 layoutPosition 0
  I FlexibleAdapter: Mapped viewType 2130903173 from NavigationAdapterItem
  V FlexibleAdapter: onViewBound Holder ViewHolder position 1 itemId  1 layoutPosition 1
  V FlexibleAdapter: onViewBound Holder ViewHolder position 2 itemId  1 layoutPosition 2
  V FlexibleAdapter: onViewBound Holder ViewHolder position 3 itemId  1 layoutPosition 3
  V FlexibleAdapter: onViewBound Holder ViewHolder position 4 itemId  1 layoutPosition 4
  V FlexibleAdapter: onViewBound Holder ViewHolder position 5 itemId  1 layoutPosition 5
  V FlexibleAdapter: onViewBound Holder ViewHolder position 6 itemId  1 layoutPosition 6
  I FlexibleAdapter: Performing 7 notifications
As you can see  when it crashes  views are bound before the notifications are executed 
I think you can try to postpone  mItems        to the same place where you make the notifications  You would probably have to keep a  pendingItems  list and maybe use it internally if you need to know what is currently loading 
To test this I think you can add a delay in the  doInBackground  function of the  FilterAsyncTask   Something like :
  switch (what)  
  try  
     Thread sleep(500) 
    catch (InterruptedException e)  
     e printStackTrace() 
  return null 
Then you open an empty list and set the items using  updateDataSet(items  true)  
This should postpone the notifications by 500ms  time during which the RecyclerView should make a layout pass 
Hope I was clear enough  
</t>
  </si>
  <si>
    <t>eclipse-paho.mqtt.android-122</t>
  </si>
  <si>
    <t>AlarmPingSender not work correctly on Motorola phone</t>
  </si>
  <si>
    <t xml:space="preserve">Please fill out the form below before submitting  thank you 
   x  Bug exists Release Version 1 1 0 (Java Repository Master Branch)
   x  Bug exists in Snapshot Version 1 1 1 SNAPSHOT (Android Service Repository Master Branch)
      Bug is just in the Sample Application 
  Android API Version Bug Seen on:  
23
  Android Version Bug Seen on:  
Android 5 1 1 (Moto X 2013)
Please also check that if you have found the bug in the Release version (1 1 0) that you check that it also exists in the Snapshot (1 1 1 SNAPSHOT) before raising a bug 
   Description of Bug:
This code will not work on Motorola device  because getIntExtra always returns default value  1 and won t throw ClassCastException  so the catch code will never reached  
    java
  AlarmPingSender java
  org eclipse paho android service AlarmPingSender  starts from line 132
try  
    count   intent getIntExtra(Intent EXTRA ALARM COUNT   1) 
  catch (ClassCastException ex) 
       This is a Motorola Phone (Probably a Moto G or X)
       And so Intent EXTRA ALARM COUNT is actually a Long 
    Long longCount   intent getLongExtra(Intent EXTRA ALARM COUNT   1) 
    count   longCount intValue() 
A possible fix code will look like this
    java
try  
    count   intent getIntExtra(Intent EXTRA ALARM COUNT   1) 
    if (count     1)  
           getIntExtra fails  may be a Motorola phone  try with getLongExtra
        Long longCount   intent getLongExtra(Intent EXTRA ALARM COUNT   1) 
        count   longCount intValue() 
  catch (ClassCastException ex)  
       I m not sure this code is version safe
       Keep this try catch structure to prevent crash
    count    1 
</t>
  </si>
  <si>
    <t>k9mail-k-9-1629</t>
  </si>
  <si>
    <t>Attempting to save an attachment causes K-9 to enter a download loop</t>
  </si>
  <si>
    <t xml:space="preserve">    Expected behavior
Tell us what should happen
    Actual behavior
A modal for Downloading attachment comes on screen  the background activity darkens  then the dialog closes  the screen goes white  then the dialog reappears  etc:
Log trace:
09 23 00:55:51 979 24747 24765 com fsck k9 debug I k9:  Command  loadAttachment  completed
09 23 00:55:52 000 24747 24765 com fsck k9 debug I k9: Running command  loadAttachment   seq   109(foregroundpriority)
09 23 00:55:52 184 24747 24765 com fsck k9 debug I k9:  Command  loadAttachment  completed
09 23 00:55:52 202 24747 24765 com fsck k9 debug I k9: Running command  loadAttachment   seq   110(foregroundpriority)
09 23 00:55:53 193 24747 24765 com fsck k9 debug I k9:  Command  loadAttachment  completed
09 23 00:55:53 223 24747 24765 com fsck k9 debug I k9: Running command  loadAttachment   seq   111(foregroundpriority)
09 23 00:55:55 195 24747 24765 com fsck k9 debug I k9:  Command  loadAttachment  completed
09 23 00:55:55 214 24747 24765 com fsck k9 debug I k9: Running command  loadAttachment   seq   112(foregroundpriority)
09 23 00:55:55 653 24747 24765 com fsck k9 debug I k9:  Command  loadAttachment  completed
09 23 00:55:55 684 24747 24765 com fsck k9 debug I k9: Running command  loadAttachment   seq   113(foregroundpriority)
09 23 00:55:56 201 24747 24765 com fsck k9 debug I k9:  Command  loadAttachment  completed
Eventually the app crashed with:
09 23 00:58:12 126 24747 24747   E AndroidRuntime: FATAL EXCEPTION: main
                                                   Process: com fsck k9 debug  PID: 24747
                                                   java lang IllegalStateException: Can not perform this action after onSaveInstanceState
                                                       at android app FragmentManagerImpl checkStateLoss(FragmentManager java:1434)
                                                       at android app FragmentManagerImpl enqueueAction(FragmentManager java:1452)
                                                       at android app BackStackRecord commitInternal(BackStackRecord java:707)
                                                       at android app BackStackRecord commit(BackStackRecord java:671)
                                                       at android app DialogFragment dismissInternal(DialogFragment java:301)
                                                       at android app DialogFragment dismiss(DialogFragment java:267)
                                                       at com fsck k9 ui messageview MessageViewFragment removeDialog(MessageViewFragment java:551)
                                                       at com fsck k9 ui messageview MessageViewFragment access 200(MessageViewFragment java:55)
                                                       at com fsck k9 ui messageview MessageViewFragment 3 run(MessageViewFragment java:648)
When the application was opened again  the attachment was saved successfully 
    Steps to reproduce
1  Receive an email with an attachment
2  Try to save it
    Environment
K 9 Mail version: master
Android version: 7 0 0
Account type (IMAP  POP3  WebDAV Exchange): IMAP
</t>
  </si>
  <si>
    <t>farkam135-GoIV-477</t>
  </si>
  <si>
    <t>Unknown crash due to view being null</t>
  </si>
  <si>
    <t xml:space="preserve">Not sure what is causing the crash  Could not reproduce  but seems like many are facing this 
  Fatal Exception: java lang RuntimeException: Unable to stop service com kamron pogoiv Pokefly 6616382: java lang IllegalArgumentException: view must not be null
         at android app ActivityThread handleStopService(ActivityThread java:3101)
         at android app ActivityThread  wrap21(ActivityThread java)
         at android app ActivityThread H handleMessage(ActivityThread java:1448)
         at android os Handler dispatchMessage(Handler java:104)
         at android os Looper loop(Looper java:148)
         at android app ActivityThread main(ActivityThread java:5460)
         at java lang reflect Method invoke(Method java)
         at com android internal os ZygoteInit MethodAndArgsCaller run(ZygoteInit java:726)
         at com android internal os ZygoteInit main(ZygoteInit java:616)
  Caused by java lang IllegalArgumentException: view must not be null
         at android view WindowManagerGlobal removeView(WindowManagerGlobal java:346)
         at android view WindowManagerImpl removeView(WindowManagerImpl java:111)
         at com kamron pogoiv Pokefly unwatchScreen(Pokefly java:448)
         at com kamron pogoiv Pokefly onDestroy(Pokefly java:497)
         at android app ActivityThread handleStopService(ActivityThread java:3082)
         at android app ActivityThread  wrap21(ActivityThread java)
         at android app ActivityThread H handleMessage(ActivityThread java:1448)
         at android os Handler dispatchMessage(Handler java:104)
         at android os Looper loop(Looper java:148)
         at android app ActivityThread main(ActivityThread java:5460)
         at java lang reflect Method invoke(Method java)
         at com android internal os ZygoteInit MethodAndArgsCaller run(ZygoteInit java:726)
         at com android internal os ZygoteInit main(ZygoteInit java:616)
</t>
  </si>
  <si>
    <t>wasdennnoch-AndroidN-ify-953</t>
  </si>
  <si>
    <t>N-settings drawer and statusbar overlap</t>
  </si>
  <si>
    <t xml:space="preserve">With the new n setting drawer my settings overlap with statusbar and looks like this 
   Settings crashes in some submenus and in some menus the header with some extra information and settings is missing 
All in all my settings app looks really weird 
HTC 10 with Android 6 0 1
N ify 171
  screenshot 20160924 142059 (https:  cloud githubusercontent com assets 13015934 18808428 cd887de6 8262 11e6 88d5 7a207de3552b png)
 xposed error 20160924 142411 txt (https:  github com wasdennnoch AndroidN ify files 491101 xposed error 20160924 142411 txt)
 xposed error 20160924 223646 txt (https:  github com wasdennnoch AndroidN ify files 491620 xposed error 20160924 223646 txt)
</t>
  </si>
  <si>
    <t>farkam135-GoIV-475</t>
  </si>
  <si>
    <t>Appraisal Refining in screenshot mode crash on Android 4.4</t>
  </si>
  <si>
    <t xml:space="preserve">Clicking  Appraisal Refining  instantly crashes GoIV 3 2 showing the  Unfortunately GoIV has stopped   dialog 
This happens on my tablet (cm11 android 4 4) but not on my phone (android 6) 
</t>
  </si>
  <si>
    <t>farkam135-GoIV-472</t>
  </si>
  <si>
    <t>Updater crashes on Android 7.0 or N preview (?)</t>
  </si>
  <si>
    <t xml:space="preserve">This was reported on fabric  268 crashes 
EDIT: This could be the issue https:  developer android com training articles scoped directory access html
  Fatal Exception: java lang RuntimeException: Error receiving broadcast Intent   act android intent action DOWNLOAD COMPLETE flg 0x10 pkg com kamron pogoiv (has extras)   in com kamron pogoiv updater DownloadUpdateService 1 c31af1c
         at android app LoadedApk ReceiverDispatcher Args run(LoadedApk java:1132)
         at android os Handler handleCallback(Handler java:751)
         at android os Handler dispatchMessage(Handler java:95)
         at android os Looper loop(Looper java:154)
         at android app ActivityThread main(ActivityThread java:6077)
         at java lang reflect Method invoke(Method java)
         at com android internal os ZygoteInit MethodAndArgsCaller run(ZygoteInit java:865)
         at com android internal os ZygoteInit main(ZygoteInit java:755)
  Caused by android os FileUriExposedException: file:   storage emulated 0 Android data com kamron pogoiv files Download GoIV new apk exposed beyond app through Intent getData()
         at android os StrictMode onFileUriExposed(StrictMode java:1799)
         at android net Uri checkFileUriExposed(Uri java:2346)
         at android content Intent prepareToLeaveProcess(Intent java:8933)
         at android content Intent prepareToLeaveProcess(Intent java:8894)
         at android app Instrumentation execStartActivity(Instrumentation java:1517)
         at android app ContextImpl startActivity(ContextImpl java:819)
         at android app ContextImpl startActivity(ContextImpl java:796)
         at android content ContextWrapper startActivity(ContextWrapper java:356)
         at com kamron pogoiv updater DownloadUpdateService 1 onReceive(DownloadUpdateService java:60)
         at android app LoadedApk ReceiverDispatcher Args run(LoadedApk java:1122)
         at android os Handler handleCallback(Handler java:751)
         at android os Handler dispatchMessage(Handler java:95)
         at android os Looper loop(Looper java:154)
         at android app ActivityThread main(ActivityThread java:6077)
         at java lang reflect Method invoke(Method java)
         at com android internal os ZygoteInit MethodAndArgsCaller run(ZygoteInit java:865)
         at com android internal os ZygoteInit main(ZygoteInit java:755)
</t>
  </si>
  <si>
    <t>microg-RemoteDroidGuard-1</t>
  </si>
  <si>
    <t>crashes by testing with "SafetyNet Helper" app</t>
  </si>
  <si>
    <t xml:space="preserve">First I want to thank you for your amazing work 
I just saw the DroidGuard Helper coming up and wanted to give it a try 
Samsung Galaxy S2 (gt i9100)
cm13 0 nightly20160924
with Xposed
I got the  SafetyNet Helper  app from the PlayStore and started the test  but DroidGuard helper crashed and the test failed 
I saved the log via Catlog  maybe it is helpfull for you 
 2016 09 25 18 45 43 txt (https:  github com microg android packages apps RemoteDroidGuard files 491771 2016 09 25 18 45 43 txt)
</t>
  </si>
  <si>
    <t>CellularPrivacy-Android-IMSI-Catcher-Detector-900</t>
  </si>
  <si>
    <t>AIMSICD crash in Map view</t>
  </si>
  <si>
    <t xml:space="preserve">  Thank you for your feedback  Please add below details so that we can help you a bit faster 
     Agreements
  Please check these boxes to ensure you ve actually read and understood these important rules 
   x     I have reviewed and accepted the  guidelines for contributing (https:  github com CellularPrivacy Android IMSI Catcher Detector blob development  github CONTRIBUTING md) to this project   
   x     I have searched the  open Issues (https:  github com CellularPrivacy Android IMSI Catcher Detector issues) and made sure I am not filing a duplicate   
   x     I have read the notes on  debugging (https:  github com CellularPrivacy Android IMSI Catcher Detector blob development  github CONTRIBUTING md debugging) and will properly maintain this Issue   
     Overview
  Please add a short and easy to understand description of the Issue you ve experienced here 
   AIMSICD  version (see the  About  screen): 0 1 43 alpha SNAPSHOT normal debug
  Phone and ROM running  current  release: Sony Experia V   CM 6 0 1
  Link to logfile without identifyable data:
       ACTIVE CODENAMES:   
    BASE OS: 
    CODENAME: REL
    INCREMENTAL: d8b6c6b0eb
    PREVIEW SDK INT: 0
    RELEASE: 6 0 1
    RESOURCES SDK INT: 23
    SDK: 23
    SDK INT: 23
    SECURITY PATCH: 2016 09 06
    App Information:
    APPLICATION ID: com SecUpwN AIMSICD
    BUILD NUMBER: null
    BUILD TYPE: debug
    DEBUG: true
    FLAVOR: normal
    GIT SHA: 
    OPEN CELLID API KEY: NA
    VERSION CODE: 43
    VERSION NAME: v0 1 43 alpha SNAPSHOT normal debug
    Crash Information
    Timestamp: September 26  2016 7:30:38 PM GMT 02:00
    Thread: Thread main 5 main 
    Stacktrace:
    java lang IllegalStateException: This Realm instance has already been closed  making it unusable 
    at io realm BaseRealm checkIfValid(BaseRealm java:437)
    at io realm RealmResults isLoaded(RealmResults java:872)
    at io realm RealmResults size(RealmResults java:371)
    at io realm RealmBaseAdapter getCount(RealmBaseAdapter java:98)
    at android widget ListView onMeasure(ListView java:1155)
         at android view View measure(View java:18799)
    at android widget RelativeLayout measureChildHorizontal(RelativeLayout java:715)
    at android widget RelativeLayout onMeasure(RelativeLayout java:461)
    at android view View measure(View java:18799)
    at android view ViewGroup measureChildWithMargins(ViewGroup java:5951)
    at android widget FrameLayout onMeasure(FrameLayout java:194)
    at android view View measure(View java:18799)
    at android widget RelativeLayout measureChildHorizontal(RelativeLayout java:715)
    at android widget RelativeLayout onMeasure(RelativeLayout java:461)
    at android view View measure(View java:18799)
    at android support v4 widget DrawerLayout onMeasure(DrawerLayout java:1075)
    at android view View measure(View java:18799)
    at android view ViewGroup measureChildWithMargins(ViewGroup java:5951)
    at android widget FrameLayout onMeasure(FrameLayout java:194)
    at android support v7 widget ContentFrameLayout onMeasure(ContentFrameLayout java:135)
    at android view View measure(View java:18799)
    at android view ViewGroup measureChildWithMargins(ViewGroup java:5951)
    at android support v7 widget ActionBarOverlayLayout onMeasure(ActionBarOverlayLayout java:391)
    at android view View measure(View java:18799)
    at android view ViewGroup measureChildWithMargins(ViewGroup java:5951)
    at android widget FrameLayout onMeasure(FrameLayout java:194)
    at android view View measure(View java:18799)
    at android view ViewGroup measureChildWithMargins(ViewGroup java:5951)
    at android widget LinearLayout measureChildBeforeLayout(LinearLayout java:1458)
    at android widget LinearLayout measureVertical(LinearLayout java:746)
    at android widget LinearLayout onMeasure(LinearLayout java:629)
    at android view View measure(View java:18799)
    at android view ViewGroup measureChildWithMargins(ViewGroup java:5951)
    at android widget FrameLayout onMeasure(FrameLayout java:194)
    at com android internal policy PhoneWindow DecorView onMeasure(PhoneWindow java:2899)
    at android view View measure(View java:18799)
    at android view ViewRootImpl performMeasure(ViewRootImpl java:2108)
    at android view ViewRootImpl measureHierarchy(ViewRootImpl java:1224)
    at android view ViewRootImpl performTraversals(ViewRootImpl java:1460)
    at android view ViewRootImpl doTraversal(ViewRootImpl java:1115)
    at android view ViewRootImpl TraversalRunnable run(ViewRootImpl java:6023)
    at android view Choreographer CallbackRecord run(Choreographer java:858)
    at android view Choreographer doCallbacks(Choreographer java:670)
    at android view Choreographer doFrame(Choreographer java:606)
    at android view Choreographer FrameDisplayEventReceiver run(Choreographer java:844)
    at android os Handler handleCallback(Handler java:739)
    at android os Handler dispatchMessage(Handler java:95)
    at android os Looper loop(Looper java:148)
    at android app ActivityThread main(ActivityThread java:5461)
    at java lang reflect Method invoke(Native Method)
    at com android internal os ZygoteInit MethodAndArgsCaller run(ZygoteInit java:726)
    at com android internal os ZygoteInit main(ZygoteInit java:616)
     Reproduction
  Please tell us the detailed steps on how to reproduce your Issue here 
     Periodic crash  
Turned on GPS  started AIMSICD  vent to Map view  waited for GPS fix so I could see my position 
Used finger on the screen too move the Map  Then crash   
     References
  If your Issue is related to any other existing Issues or pull requests  please link them here 
     Screenshots
  If you experienced visual glitches  please add a screenshot without metadata here 
</t>
  </si>
  <si>
    <t>nextcloud-android-290</t>
  </si>
  <si>
    <t>Fix NPE in ExpandableUploadListAdapter...setText</t>
  </si>
  <si>
    <t xml:space="preserve">corresponding issue:  201 
 tobiasKaminsky please review (and merge in case you approve the changes) since this fixes some crashes reported in the Play console 
</t>
  </si>
  <si>
    <t>google-ExoPlayer-1865</t>
  </si>
  <si>
    <t>ExoPlayer2 crashes when fetching a Dash manifest with no SegmentTimeline items (yet)</t>
  </si>
  <si>
    <t xml:space="preserve">When doing a live broadcast  and the transmission just started  the Dash manifest may have an empty SegmentTimeline (while the first chunk is getting filled)  ExoPlayer2 crashes on that moment 
This is the manifest I m testing:
  xml version  1 0  encoding  utf 8   
 MPD xmlns:xsi  http:  www w3 org 2001 XMLSchema instance 
    xmlns  urn:mpeg:dash:schema:mpd:2011 
    xmlns:xlink  http:  www w3 org 1999 xlink 
    xsi:schemaLocation  urn:mpeg:DASH:schema:MPD:2011 http:  standards iso org ittf PubliclyAvailableStandards MPEG DASH schema files DASH MPD xsd 
    profiles  urn:mpeg:dash:profile:isoff live:2011 
    type  dynamic 
    minimumUpdatePeriod  PT0S 
    suggestedPresentationDelay  PT0S 
    publishTime  2016 09 27T16:48:01 
    timeShiftBufferDepth  PT0 0S 
    minBufferTime  PT0 0S  
     ProgramInformation 
      ProgramInformation 
     Period start  PT0 0S  
         AdaptationSet contentType  video  segmentAlignment  true  bitstreamSwitching  true  frameRate  90000 1  
             Representation id  0  mimeType  video mp4  codecs  avc1 640034  bandwidth  1000000  width  1280  height  720  frameRate  90000 1  
                 SegmentTemplate timescale  90000  initialization  init stream RepresentationID  m4s  media  chunk stream RepresentationID   Number 05d  m4s  startNumber  1  
                     SegmentTimeline 
                      SegmentTimeline 
                  SegmentTemplate 
              Representation 
          AdaptationSet 
         AdaptationSet contentType  audio  segmentAlignment  true  bitstreamSwitching  true  
             Representation id  1  mimeType  audio mp4  codecs  mp4a 40 2  bandwidth  128000  audioSamplingRate  44100  
                 AudioChannelConfiguration schemeIdUri  urn:mpeg:dash:23003:3:audio channel configuration:2011  value  2    
                 SegmentTemplate timescale  44100  initialization  init stream RepresentationID  m4s  media  chunk stream RepresentationID   Number 05d  m4s  startNumber  1  
                     SegmentTimeline 
                      SegmentTimeline 
                  SegmentTemplate 
              Representation 
          AdaptationSet 
      Period 
  MPD 
And here is an example of the stack trace I m getting:
java lang IndexOutOfBoundsException: Index: 0  Size: 0
      at java util ArrayList get(ArrayList java:411)
      at com google android exoplayer2 source dash manifest SegmentBase MultiSegmentBase getSegmentTimeUs(SegmentBase java:190)
      at com google android exoplayer2 source dash manifest Representation MultiSegmentRepresentation getTimeUs(Representation java:257)
      at com google android exoplayer2 source dash DashMediaSource PeriodSeekInfo createPeriodSeekInfo(DashMediaSource java:493)
      at com google android exoplayer2 source dash DashMediaSource processManifest(DashMediaSource java:359)
      at com google android exoplayer2 source dash DashMediaSource processManifestAndScheduleRefresh(DashMediaSource java:341)
      at com google android exoplayer2 source dash DashMediaSource onManifestLoadCompleted(DashMediaSource java:251)
      at com google android exoplayer2 source dash DashMediaSource ManifestCallback onLoadCompleted(DashMediaSource java:589)
      at com google android exoplayer2 source dash DashMediaSource ManifestCallback onLoadCompleted(DashMediaSource java:583)
</t>
  </si>
  <si>
    <t>ikurek-PWr-App-30</t>
  </si>
  <si>
    <t>Crash aplikacji w budynkach</t>
  </si>
  <si>
    <t xml:space="preserve">Przy wej ciu w budynki od B 5 do B 11 w  cznie aplikacja si  crashuje  
</t>
  </si>
  <si>
    <t>nitaliano-react-native-mapbox-gl-428</t>
  </si>
  <si>
    <t>[Android] Error while updating property 'contentInset' of a view managed by RCTMapboxGL</t>
  </si>
  <si>
    <t xml:space="preserve">I get this on a device running Android 4:
  stack (http:  i imgur com YRPdO7V jpg)
I tested on another device running Android 5  and the map was working but contentInset wasn t being applied 
On the simulator my app just crashes 
                   MapView
                    style  styles map 
                    pointerEvents  none 
                    initialCenterCoordinate  location 
                    contentInset   100  0  0  0  
                    initialZoomLevel  14 
                    attributionButtonIsHidden
                    compassIsHidden
                    logoIsHidden
                    showsUserLocation
                    pitchEnabled  false 
                    scrollEnabled  false 
                    rotateEnabled  false 
                    zoomEnabled  false 
                    annotations          
                    annotationsAreImmutable
</t>
  </si>
  <si>
    <t>vector-im-riot-android-563</t>
  </si>
  <si>
    <t>Crash after opening third party notices when the device is turned vertically then horizontaly</t>
  </si>
  <si>
    <t xml:space="preserve">To reproduce :
  Open Riot 
  From the lateral menu  touch  Third party notices  
  Don t touch OK to close the window 
  Turn the device horizontaly
  The view is automatically closed  is that normal  
  Since the device is still turned horizontaly  open again  Third party notices 
  Riot crash
version 0 5 2 (d20f5b2)
</t>
  </si>
  <si>
    <t>inaturalist-iNaturalistAndroid-249</t>
  </si>
  <si>
    <t>Settings crash in Android 4</t>
  </si>
  <si>
    <t xml:space="preserve">https:  groups google com d topic inaturalist 47KjbGSjsbM discussion
Definitely doesn t happen in Android 5  6  or 7 
I suspect it s one of the  View java  crashes at https:  fabric io inaturalist android apps org inaturalist android issues event type all time last seven days subFilter device state open cohort active build 5B0 5D 1 4 13 20 28160 29 osMinorVersion 5B0 5D 4 4 4
</t>
  </si>
  <si>
    <t>Rajawali-Rajawali-1781</t>
  </si>
  <si>
    <t>Error when using vertex colors</t>
  </si>
  <si>
    <t xml:space="preserve">     Rajawali Version or Branch
current master branch
     Device and Android Version
all devices
     Summary
line 869 of Geometry3D java
    java
public void setColors(float   colors)  
    setTextureCoords(colors  false)      error
should be changed to    setColors(colors  false)  
     Steps to Reproduce
 Describe reproducable steps and sample code 
     Trace or Log Output
 include stacktrace(s) if relevant to the issue  Engine crashes can not be debugged without a stacktrace or at minimum reproduction code  
</t>
  </si>
  <si>
    <t>OneBusAway-onebusaway-android-703</t>
  </si>
  <si>
    <t>NPE when refreshing arrival data during fragment transition</t>
  </si>
  <si>
    <t xml:space="preserve">  Summary:   
Using current master branch (https:  github com OneBusAway onebusaway android commit 27979debe534a77731a551cb2bd79326362a5841)  I had the app open on my phone on my desk to the  Nearby  screen with a stop selected (Tampa  stop id 6497)   I starred the stop  and then tapped on the menu and tapped on  Starred Stops   and the app crashed with this stack trace:
E AndroidRuntime: FATAL EXCEPTION: main
   Process: com joulespersecond seattlebusbot  PID: 22701
   java lang NullPointerException: Attempt to invoke virtual method  int org onebusaway android ui ArrivalsListLoader getMinutesAfter()  on a null object reference
       at org onebusaway android ui ArrivalsListFragment setResponseData(ArrivalsListFragment java:545)
       at org onebusaway android ui ArrivalsListFragment onLoadFinished(ArrivalsListFragment java:459)
       at org onebusaway android ui ArrivalsListFragment onLoadFinished(ArrivalsListFragment java:89)
       at android support v4 app LoaderManagerImpl LoaderInfo callOnLoadFinished(LoaderManager java:476)
       at android support v4 app LoaderManagerImpl LoaderInfo reportStart(LoaderManager java:315)
       at android support v4 app LoaderManagerImpl doReportStart(LoaderManager java:819)
       at android support v4 app Fragment performStart(Fragment java:2009)
       at android support v4 app FragmentManagerImpl moveToState(FragmentManager java:1102)
       at android support v4 app FragmentManagerImpl moveToState(FragmentManager java:1252)
       at android support v4 app BackStackRecord run(BackStackRecord java:742)
       at android support v4 app FragmentManagerImpl execPendingActions(FragmentManager java:1617)
       at android support v4 app FragmentManagerImpl 1 run(FragmentManager java:517)
       at android os Handler handleCallback(Handler java:739)
       at android os Handler dispatchMessage(Handler java:95)
       at android os Looper loop(Looper java:148)
       at android app ActivityThread main(ActivityThread java:5551)
       at java lang reflect Method invoke(Native Method)
       at com android internal os ZygoteInit MethodAndArgsCaller run(ZygoteInit java:730)
       at com android internal os ZygoteInit main(ZygoteInit java:620)
  Steps to reproduce:   
Appears to be related to switching fragments in HomeActivity right when the arrival time is refreshed in ArrivalsListFragment (steps under which it occurred are above)
  Expected behavior:   
Not crash
  Observed behavior:   
Crash
  Device and Android version:   
LG G5 w  Android 6 0 1 w  Google Play Services 9 6 83
</t>
  </si>
  <si>
    <t>RestComm-restcomm-android-sdk-412</t>
  </si>
  <si>
    <t>Inter-App integration issues with Olympus</t>
  </si>
  <si>
    <t xml:space="preserve"> leftyb reported the following issues:
  When going to Android default Message App and going to the overflow button  you have the option to make a call  If you tap on that you get presented with Restcomm Olympus as a choice to make a call  If you select that Olympus crashes
  Would be nice if we have the same option when going to Android default Contacts App  to be able to call via Restcomm Olympus
</t>
  </si>
  <si>
    <t>daneren2005-Subsonic-738</t>
  </si>
  <si>
    <t>Internet Radio stations do not play</t>
  </si>
  <si>
    <t xml:space="preserve">I was excited to see this new functionality in the latest release  Unfortunately it doesn t seem to be working for me  I ve tested with a number of streams  all of which are verified to work on desktop  in iTunes  and in the Subsonic web client  They are all fairy conventional 
  http:  wxyc org files streams wxyc mp3 m3u
  http:  newmedia kcrw com legacy pls kcrwnews pls
The specific behavior in Dsub is one of the following:
  In jukebox mode  it sits at 0:00  doesn t begin playback  shows a pause symbol
  In  normal  mode  it flashes Buffering and the play pauses symbols continuously
  On my first attempt  with another track already playing  in jukebox mode  it actually crashed my Subsonic server and I had to restart the app 
Subsonic 6 is running on a Mac Mini  macOS Sierra installed  
Dsub is running on a Nexus 7  on the latest Android M release 
</t>
  </si>
  <si>
    <t>RestComm-restcomm-android-sdk-415</t>
  </si>
  <si>
    <t>Fix crash on SDK</t>
  </si>
  <si>
    <t xml:space="preserve"> desipepova got this crash:
java lang RuntimeException: SIP transaction error
    at org restcomm android sdk SignalingClient JainSipClient JainSipCall jainSipCallHangup(JainSipCall java:233)
    at org restcomm android sdk SignalingClient JainSipClient JainSipCall disconnect(JainSipCall java:157)
    at org restcomm android sdk SignalingClient JainSipClient JainSipClient disconnect(JainSipClient java:363)
    at org restcomm android sdk SignalingClient SignalingHandler handleMessage(SignalingHandler java:87)
    at android os Handler dispatchMessage(Handler java:111)
    at android os Looper loop(Looper java:194)
    at android os HandlerThread run(HandlerThread java:61)
Caused by: org restcomm android sdk SignalingClient JainSipClient JainSipException
    at org restcomm android sdk SignalingClient JainSipClient JainSipMessageBuilder buildByeRequest(JainSipMessageBuilder java:312)
    at org restcomm android sdk SignalingClient JainSipClient JainSipCall jainSipCallHangup(JainSipCall java:217)
        6 more
Caused by: android javax sip SipException: Cannot find listening point for transport TLS
    at android gov nist javax sip stack SIPDialog createRequest(SIPDialog java:2419)
    at android gov nist javax sip stack SIPDialog createRequest(SIPDialog java:2350)
    at org restcomm android sdk SignalingClient JainSipClient JainSipMessageBuilder buildByeRequest(JainSipMessageBuilder java:280)
        7 more
Here s the associated session:
https:  app testfairy com projects 3369662 restcommolympus builds 4345950 sessions 27
</t>
  </si>
  <si>
    <t>pwittchen-ReactiveNetwork-87</t>
  </si>
  <si>
    <t>Unregister receiver crash for Pre-Lollipop devices</t>
  </si>
  <si>
    <t xml:space="preserve">Got a crash on an Asus Transformer (API 16) when rotating the device  I unsubscribe in  onPause  and subscribe in  onResume  but I think there s a problem unregistering the receiver if it s not attached 
I have a subscription from it to a  BehaviourSubject  and multiple subscriptions from the  BehaviourSubject  to other subscribers 
09 29 11:04:31 350 1174 1174 uk co imagitech learn2 hp E ActivityThread: Activity uk co imagitech learn2 hp MainActivity has leaked IntentReceiver com github pwittchen reactivenetwork library network observing strategy PreLollipopNetworkObservingStrategy 1 1 416c8ad0 that was originally registered here  Are you missing a call to unregisterReceiver() 
     android app IntentReceiverLeaked: Activity uk co imagitech learn2 hp MainActivity has leaked IntentReceiver com github pwittchen reactivenetwork library network observing strategy PreLollipopNetworkObservingStrategy 1 1 416c8ad0 that was originally registered here  Are you missing a call to unregisterReceiver() 
         at android app LoadedApk ReceiverDispatcher  init (LoadedApk java:792)
         at android app LoadedApk getReceiverDispatcher(LoadedApk java:593)
         at android app ContextImpl registerReceiverInternal(ContextImpl java:1120)
         at android app ContextImpl registerReceiver(ContextImpl java:1107)
         at android app ContextImpl registerReceiver(ContextImpl java:1101)
         at android content ContextWrapper registerReceiver(ContextWrapper java:365)
         at com github pwittchen reactivenetwork library network observing strategy PreLollipopNetworkObservingStrategy 1 call(PreLollipopNetworkObservingStrategy java:50)
         at com github pwittchen reactivenetwork library network observing strategy PreLollipopNetworkObservingStrategy 1 call(PreLollipopNetworkObservingStrategy java:42)
         at rx internal operators OnSubscribeLift call(OnSubscribeLift java:48)
         at rx internal operators OnSubscribeLift call(OnSubscribeLift java:30)
         at rx Observable unsafeSubscribe(Observable java:10150)
         at rx internal operators OperatorSubscribeOn 1 call(OperatorSubscribeOn java:94)
         at rx internal schedulers CachedThreadScheduler EventLoopWorker 1 call(CachedThreadScheduler java:228)
         at rx internal schedulers ScheduledAction run(ScheduledAction java:55)
         at java util concurrent Executors RunnableAdapter call(Executors java:442)
         at java util concurrent FutureTask Sync innerRun(FutureTask java:305)
         at java util concurrent FutureTask run(FutureTask java:137)
         at java util concurrent ScheduledThreadPoolExecutor ScheduledFutureTask access 201(ScheduledThreadPoolExecutor java:150)
         at java util concurrent ScheduledThreadPoolExecutor ScheduledFutureTask run(ScheduledThreadPoolExecutor java:264)
         at java util concurrent ThreadPoolExecutor runWorker(ThreadPoolExecutor java:1076)
         at java util concurrent ThreadPoolExecutor Worker run(ThreadPoolExecutor java:569)
         at java lang Thread run(Thread java:856)
09 29 11:04:31 360 1174 1174 uk co imagitech learn2 hp E AndroidRuntime: FATAL EXCEPTION: main
     java lang IllegalStateException: Fatal Exception thrown on Scheduler Worker thread 
         at rx android schedulers LooperScheduler ScheduledAction run(LooperScheduler java:114)
         at android os Handler handleCallback(Handler java:615)
         at android os Handler dispatchMessage(Handler java:92)
         at android os Looper loop(Looper java:137)
         at android app ActivityThread main(ActivityThread java:4745)
         at java lang reflect Method invokeNative(Native Method)
         at java lang reflect Method invoke(Method java:511)
         at com android internal os ZygoteInit MethodAndArgsCaller run(ZygoteInit java:786)
         at com android internal os ZygoteInit main(ZygoteInit java:553)
         at dalvik system NativeStart main(Native Method)
      Caused by: java lang IllegalArgumentException: Receiver not registered: com github pwittchen reactivenetwork library network observing strategy PreLollipopNetworkObservingStrategy 1 1 416c8ad0
         at android app LoadedApk forgetReceiverDispatcher(LoadedApk java:654)
         at android app ContextImpl unregisterReceiver(ContextImpl java:1143)
         at android content ContextWrapper unregisterReceiver(ContextWrapper java:378)
         at com github pwittchen reactivenetwork library network observing strategy PreLollipopNetworkObservingStrategy 1 2 call(PreLollipopNetworkObservingStrategy java:54)
         at com github pwittchen reactivenetwork library network observing strategy PreLollipopNetworkObservingStrategy 2 1 call(PreLollipopNetworkObservingStrategy java:71)
         at rx android schedulers LooperScheduler ScheduledAction run(LooperScheduler java:107)
         at android os Handler handleCallback(Handler java:615) 
         at android os Handler dispatchMessage(Handler java:92) 
         at android os Looper loop(Looper java:137) 
         at android app ActivityThread main(ActivityThread java:4745) 
         at java lang reflect Method invokeNative(Native Method) 
         at java lang reflect Method invoke(Method java:511) 
         at com android internal os ZygoteInit MethodAndArgsCaller run(ZygoteInit java:786) 
         at com android internal os ZygoteInit main(ZygoteInit java:553) 
         at dalvik system NativeStart main(Native Method) 
</t>
  </si>
  <si>
    <t>google-ExoPlayer-1882</t>
  </si>
  <si>
    <t>Problems Side Loading Subtitles in ExoPlayer v2.0.1</t>
  </si>
  <si>
    <t xml:space="preserve">We use SmoothStreaming   Playready and depend on Side Loading independent TTML Subtitles 
Found two problems trying to Side Load TTML Subtitles using MergingMediaSource containing SingleSampleMediaSource and SsMediaSource:
1 
DefaultTrackSelector selectTextTrack correctly receives the TTML track  but it never gets it selected 
Hint : adjusting the score check in a DefaultTrackSelector subclass to be   if (trackScore    selectedTrackScore)         Solved it and got it selected 
2  
Received crash:
    Caused by: java lang NullPointerException: Attempt to get length of null array
    at com google android exoplayer2 source SingleSampleMediaPeriod SourceLoadable load(SingleSampleMediaPeriod java:272)
Examining this NullPointerException crash   we found that it is checking length of SourceLoadable sampleData before it ever gets initialized or assigned 
</t>
  </si>
  <si>
    <t>couchbaselabs-couchbase-lite-java-forestdb-89</t>
  </si>
  <si>
    <t>Android crash - Forestdb Handle is being used by another thread (-39)</t>
  </si>
  <si>
    <t>I keep trying to migrate to use Forest in my client s Android App but seem to keep coming across threading crashes  My latest attempt I upgraded to v1 3 1 of couchbase lite android and couchbase lite android forestdb  But now intermittently get the following error in the adb log which crashes the app  
(Not sure how to log any more info on the source cause)
E CBForest: Forestdb Handle is being used by another thread ( 39)
A libc: Fatal signal 6 (SIGABRT)  code  6 in tid 28092 (AsyncTask  1)</t>
  </si>
  <si>
    <t>ludomuse-Ludomuse-22</t>
  </si>
  <si>
    <t>Ajouter la possibilité de personnaliser son écran d'attente</t>
  </si>
  <si>
    <t xml:space="preserve">Pour le moment impossible de personnaliser l  cran d attente  Le fichier image qui sera affich  est hardcod   
Cause un crash dans l  diteur lorsque l on clique sur suivant avant une sc ne synchronis e car la ressource n est pas trouv e 
</t>
  </si>
  <si>
    <t>bgogetap-StickyHeaders-23</t>
  </si>
  <si>
    <t>Crash on FrameLayout layoutChildren</t>
  </si>
  <si>
    <t xml:space="preserve">Recently I wrapped my RecyclerView with FrameLayout so I can use StickyHeaders  Since then from time to time I notice this strange crash  I extracted the log from Fabric  I can t reproduce it but I it could it s related to onNotifyDataSetChanged when data goes from N to 0 items and list was scrolled to the half height 
 android support v4 widget SwipeRefreshLayout
            android:id    id refreshView 
            android:layout width  match parent 
            android:layout height  match parent 
            android:layout below   id resultDateView  
             FrameLayout
                android:layout width  wrap content 
                android:id    id stickyHolder 
                android:layout height  wrap content  
                 android support v7 widget RecyclerView xmlns:android  http:  schemas android com apk res android 
                    android:id    id live rw liveMatchList 
                    android:layout width  match parent 
                    android:layout height  match parent 
                    android:scrollbars  vertical    
              FrameLayout 
  android support v4 widget SwipeRefreshLayout 
Fatal Exception: java lang NullPointerException
       at android widget FrameLayout layoutChildren(FrameLayout java:405)
       at android widget FrameLayout onLayout(FrameLayout java:388)
       at android view View layout(View java:15749)
       at android view ViewGroup layout(ViewGroup java:4880)
       at android support v4 widget SwipeRefreshLayout onLayout(SwipeRefreshLayout java:596)
       at android view View layout(View java:15749)
       at android view ViewGroup layout(ViewGroup java:4880)
Do you know what is going on here  
</t>
  </si>
  <si>
    <t>k9mail-k-9-1658</t>
  </si>
  <si>
    <t>Cannot configure an email account</t>
  </si>
  <si>
    <t xml:space="preserve">    Expected behavior
I should be able to enter my username password and access my emails
    Actual behavior
K9 was installed and working fine  I just  emptied  the application s data to save some space 
Now  K9 starts as if it were freshly installed and asks agains for account configuration  Entering username and password results in application crash 
Even when cleaning data again  removing totally the app and reinstalling it  it still crashes 
Entering a false username password tuple results in a message  cannot contact server  with a dialog showing options  continue modify configuration   Both options results in app crash   
    Steps to reproduce
1  clear app data from the android OS menus
2  try to configure an email account
    Environment
K 9 Mail version: latest from PlayStore as of today (2016 10 03)
Android version: 4 4 2
Account type (IMAP  POP3  WebDAV Exchange):
GMail
</t>
  </si>
  <si>
    <t>wasdennnoch-AndroidN-ify-1016</t>
  </si>
  <si>
    <t xml:space="preserve">Quick reply stops working on some apps. </t>
  </si>
  <si>
    <t xml:space="preserve">Build 696(6)  Nexus 5  stock 6 0 1 
After installing Android N ify for the first time  things seems to work just fine  but after a while the quick reply button disappears in some apps  Textra and Gmail in my case  At the time I m writing this  Textra s  and Gmail s notifications do not have the quick reply option  but whatsapp does  I think I only saw quick reply in Gmail notifications once and then never again  
The first time this happened I had enabled System UI tuner in Android s settings and got a system UI freeze and crash when trying to edit them (inside Android settings  not Android N ify)  along with a weird boot up (dark screen and only back and home buttons in navbar showing  then system UI restart)  I wiped the phone after that and reinstalled everything  I then enabled again System UI tuner in Android s settings and it all happened again (system UI freeze crash and QR buttons disappearing) but this time disabling System UI tuner brought the quick reply buttons back  However  shortly after they disappeared again  I also tried disabling  uninstalling and reinstalling the module but QR buttons are still not showing 
EDIT: Enabling and disabling System UI tuner (and rebooting) brought the the quick reply feature back after a third try
I didn t get logs the first time  but here s one I took a while ago 
10 02 23:10:39 573 I Xposed  (  325):                  
10 02 23:10:39 573 I Xposed  (  325): Starting Xposed version 86  compiled for SDK 23
10 02 23:10:39 573 I Xposed  (  325): Device: Nexus 5 (LGE)  Android version 6 0 1 (SDK 23)
10 02 23:10:39 573 I Xposed  (  325): ROM: MOB31E
10 02 23:10:39 573 I Xposed  (  325): Build fingerprint: google hammerhead hammerhead:6 0 1 MOB31E 3142026:user release keys
10 02 23:10:39 573 I Xposed  (  325): Platform: armeabi v7a  32 bit binary  system server: yes
10 02 23:10:39 573 I Xposed  (  325): SELinux enabled: yes  enforcing: yes
10 02 23:10:39 611 I Xposed  (  325):                  
10 02 23:10:39 611 I Xposed  (  325): Added Xposed ( system framework XposedBridge jar) to CLASSPATH
10 02 23:10:40 732 I Xposed  (  325): Detected ART runtime
10 02 23:10:40 780 I Xposed  (  325): Found Xposed class  de robv android xposed XposedBridge   now initializing
10 02 23:10:41 719 I Xposed  (  325): Loading modules from  data app com ryansteckler nlpunbounce 1 base apk
10 02 23:10:42 559 I Xposed  (  325):   Loading class com ryansteckler nlpunbounce hooks Wakelocks
10 02 23:10:42 881 I Xposed  (  325): Loading modules from  data app com ceco marshmallow gravitybox 1 base apk
10 02 23:10:43 517 I Xposed  (  325):   Loading class com ceco marshmallow gravitybox GravityBox
10 02 23:10:43 556 I Xposed  (  325): GB:Hardware: hammerhead
10 02 23:10:43 556 I Xposed  (  325): GB:Product: hammerhead
10 02 23:10:43 556 I Xposed  (  325): GB:Device manufacturer: LGE
10 02 23:10:43 556 I Xposed  (  325): GB:Device brand: google
10 02 23:10:43 556 I Xposed  (  325): GB:Device model: Nexus 5
10 02 23:10:43 587 I Xposed  (  325): GB:Device type: phone
10 02 23:10:43 588 I Xposed  (  325): GB:Is MTK device: false
10 02 23:10:43 588 I Xposed  (  325): GB:Is Xperia device: false
10 02 23:10:43 588 I Xposed  (  325): GB:Is Moto XT device: false
10 02 23:10:43 589 I Xposed  (  325): GB:Has Lenovo custom UI: false
10 02 23:10:43 595 I Xposed  (  325): GB:Has telephony support: true
10 02 23:10:43 595 I Xposed  (  325): GB:Has Gemini support: false
10 02 23:10:43 595 I Xposed  (  325): GB:Android SDK: 23
10 02 23:10:43 595 I Xposed  (  325): GB:Android Release: 6 0 1
10 02 23:10:43 595 I Xposed  (  325): GB:ROM: MOB31E
10 02 23:10:43 657 I Xposed  (  325): Loading modules from  data app com Taptigo Xposed XNotifications 1 base apk
10 02 23:10:43 912 I Xposed  (  325):   Loading class com Taptigo Xposed XNotifications Hooks Hook
10 02 23:10:44 028 I Xposed  (  325): Loading modules from  data app tk wasdennnoch androidn ify 1 base apk
10 02 23:10:44 190 I Xposed  (  325):   Loading class tk wasdennnoch androidn ify XposedHook
10 02 23:10:44 231 I Xposed  (  325):  Android N ify   INFO  XposedHook: Version jenkins AndroidN ify 696 (6)
10 02 23:10:44 231 I Xposed  (  325):  Android N ify   INFO  XposedHook: Automated Build  Version: 696
10 02 23:10:44 231 I Xposed  (  325):  Android N ify   INFO  XposedHook: Build Time: 2016 09 27T19:53Z
10 02 23:10:44 232 I Xposed  (  325):  Android N ify   INFO  XposedHook: Git SHA: f2b053aff35e8b8dc36cd4a2892e991d99d0a27c
10 02 23:10:44 247 I Xposed  (  325):  Android N ify   INFO  XposedHook:      Device info     
10 02 23:10:44 248 I Xposed  (  325):  Android N ify   INFO  XposedHook: SDK Version: 23
10 02 23:10:44 248 I Xposed  (  325):  Android N ify   INFO  XposedHook: Build ID: MOB31E
10 02 23:10:44 248 I Xposed  (  325):  Android N ify   INFO  XposedHook: Manufacturer: LGE
10 02 23:10:44 248 I Xposed  (  325):  Android N ify   INFO  XposedHook: Brand: google
10 02 23:10:44 249 I Xposed  (  325):  Android N ify   INFO  XposedHook: Model: Nexus 5
10 02 23:10:44 249 I Xposed  (  325): Loading modules from  data app com oasisfeng greenify 1 base apk
10 02 23:10:44 403 I Xposed  (  325):   Loading class com oasisfeng greenify pro FrameworkPatch
10 02 23:10:44 432 I Xposed  (  325):   Loading class com oasisfeng greenify pro SettingsPatch
10 02 23:10:44 433 I Xposed  (  325): Loading modules from  data app com intangibleobject securesettings plugin 1 base apk
10 02 23:10:44 588 I Xposed  (  325):   Loading class com intangibleobject securesettings plugin xposed Main
10 02 23:10:44 658 E Xposed  (  325): de robv android xposed XposedHelpers ClassNotFoundError: java lang ClassNotFoundException: com android server LockSettingsService
10 02 23:10:44 658 E Xposed  (  325):   at de robv android xposed XposedHelpers findClass(XposedHelpers java:64)
10 02 23:10:44 658 E Xposed  (  325):   at com intangibleobject securesettings plugin xposed a a(LockSettings java:35)
10 02 23:10:44 658 E Xposed  (  325):   at com intangibleobject securesettings plugin xposed Main initZygote(Main java:31)
10 02 23:10:44 658 E Xposed  (  325):   at de robv android xposed XposedInit loadModule(XposedInit java:436)
10 02 23:10:44 658 E Xposed  (  325):   at de robv android xposed XposedInit loadModules(XposedInit java:361)
10 02 23:10:44 658 E Xposed  (  325):   at de robv android xposed XposedBridge main(XposedBridge java:91)
10 02 23:10:44 658 E Xposed  (  325): Caused by: java lang ClassNotFoundException: com android server LockSettingsService
10 02 23:10:44 658 E Xposed  (  325):   at java lang Class classForName(Native Method)
10 02 23:10:44 658 E Xposed  (  325):   at java lang Class forName(Class java:324)
10 02 23:10:44 658 E Xposed  (  325):   at external org apache commons lang3 ClassUtils getClass(ClassUtils java:823)
10 02 23:10:44 658 E Xposed  (  325):   at de robv android xposed XposedHelpers findClass(XposedHelpers java:62)
10 02 23:10:44 658 E Xposed  (  325):       5 more
10 02 23:10:44 658 E Xposed  (  325): Caused by: java lang ClassNotFoundException: Didn t find class  com android server LockSettingsService  on path: DexPathList  zip file   system framework XposedBridge jar   nativeLibraryDirectories   vendor lib   system lib  
10 02 23:10:44 658 E Xposed  (  325):   at dalvik system BaseDexClassLoader findClass(BaseDexClassLoader java:56)
10 02 23:10:44 658 E Xposed  (  325):   at java lang ClassLoader loadClass(ClassLoader java:511)
10 02 23:10:44 658 E Xposed  (  325):   at java lang ClassLoader loadClass(ClassLoader java:469)
10 02 23:10:44 658 E Xposed  (  325):       9 more
10 02 23:10:44 658 E Xposed  (  325):   Suppressed: java lang ClassNotFoundException: Didn t find class  com android server LockSettingsService  on path: DexPathList  dex file   data dalvik cache xposed XResourcesSuperClass dex   nativeLibraryDirectories   vendor lib   system lib  
10 02 23:10:44 658 E Xposed  (  325):       at dalvik system BaseDexClassLoader findClass(BaseDexClassLoader java:56)
10 02 23:10:44 658 E Xposed  (  325):       at java lang ClassLoader loadClass(ClassLoader java:511)
10 02 23:10:44 658 E Xposed  (  325):       at java lang ClassLoader loadClass(ClassLoader java:504)
10 02 23:10:44 658 E Xposed  (  325):           10 more
10 02 23:10:44 658 E Xposed  (  325):       Suppressed: java lang ClassNotFoundException: com android server LockSettingsService
10 02 23:10:44 658 E Xposed  (  325):           at java lang Class classForName(Native Method)
10 02 23:10:44 658 E Xposed  (  325):           at java lang BootClassLoader findClass(ClassLoader java:781)
10 02 23:10:44 658 E Xposed  (  325):           at java lang BootClassLoader loadClass(ClassLoader java:841)
10 02 23:10:44 658 E Xposed  (  325):           at java lang ClassLoader loadClass(ClassLoader java:504)
10 02 23:10:44 658 E Xposed  (  325):               11 more
10 02 23:10:44 658 E Xposed  (  325):       Caused by: java lang NoClassDefFoundError: Class not found using the boot class loader  no stack trace available
10 02 23:10:44 658 I Xposed  (  325): SecureSettings:Initialized
10 02 23:10:46 705 I Xposed  (  980): GB:Is AOSP forced: false
10 02 23:10:46 812 I Xposed  (  980): Amplify: Version 3 3 6c
10 02 23:10:46 813 I Xposed  (  980): Amplify: Attempting 19to21 AlarmHook
10 02 23:10:46 814 I Xposed  (  980): Amplify: Successful 19to21 AlarmHook
10 02 23:10:46 814 I Xposed  (  980): Amplify: Attempting 21 WakeLockHook
10 02 23:10:46 815 I Xposed  (  980): Amplify: Successful 21 WakeLockHook
10 02 23:10:46 815 I Xposed  (  980): Amplify: Service Blocking Status: true
10 02 23:10:46 815 I Xposed  (  980): Amplify: Attempting 23 ServiceHook
10 02 23:10:46 816 I Xposed  (  980): Amplify: Successful 23 ServiceHook
10 02 23:10:58 346 I Xposed  ( 1119):  Taptigo XNotifications  Hooking systemUI
10 02 23:10:58 425 I Xposed  ( 1119):  Taptigo XNotifications  Headsup is controlled by headsup manager
10 02 23:10:58 547 I Xposed  ( 1119):  Taptigo XNotifications  ERROR  Error dumping com android systemui statusbar policy HeadsUpNotificationView  Exception: Exception message: Didn t find class  com android systemui statusbar policy HeadsUpNotificationView  on path: DexPathList  zip file   system priv app SystemUI SystemUI apk   nativeLibraryDirectories   system priv app SystemUI lib arm   vendor lib   system lib  
10 02 23:10:58 547 I Xposed  ( 1119): 
10 02 23:10:58 547 I Xposed  ( 1119):  Stack trace:dalvik system BaseDexClassLoader findClass(BaseDexClassLoader java:56)
10 02 23:10:58 547 I Xposed  ( 1119): java lang ClassLoader loadClass(ClassLoader java:511)
10 02 23:10:58 547 I Xposed  ( 1119): java lang ClassLoader loadClass(ClassLoader java:469)
10 02 23:10:58 547 I Xposed  ( 1119): com Taptigo Xposed XNotifications Hooks aw a(Unknown Source)
10 02 23:10:58 547 I Xposed  ( 1119): com Taptigo Xposed XNotifications Hooks aw c(Unknown Source)
10 02 23:10:58 547 I Xposed  ( 1119): com Taptigo Xposed XNotifications Hooks aw a(Unknown Source)
10 02 23:10:58 547 I Xposed  ( 1119): com Taptigo Xposed XNotifications Hooks Hook handleLoadPackage(Unknown Source)
10 02 23:10:58 547 I Xposed  ( 1119): de robv android xposed IXposedHookLoadPackage Wrapper handleLoadPackage(IXposedHookLoadPackage java:34)
10 02 23:10:58 547 I Xposed  ( 1119): de robv android xposed callbacks XC LoadPackage call(XC LoadPackage java:61)
10 02 23:10:58 547 I Xposed  ( 1119): de robv android xposed callbacks XCallback callAll(XCallback java:106)
10 02 23:10:58 547 I Xposed  ( 1119): de robv android xposed XposedInit 1 beforeHookedMethod(XposedInit java:93)
10 02 23:10:58 547 I Xposed  ( 1119): de robv android xposed XposedBridge handleHookedMethod(XposedBridge java:314)
10 02 23:10:58 547 I Xposed  ( 1119): android app ActivityThread handleBindApplication( Xposed )
10 02 23:10:58 547 I Xposed  ( 1119): android app ActivityThread  wrap1(ActivityThread java)
10 02 23:10:58 547 I Xposed  ( 1119): android app ActivityThread H handleMessage(ActivityThread java:1405)
10 02 23:10:58 547 I Xposed  ( 1119): android os Handler dispatchMessage(Handler java:102)
10 02 23:10:58 547 I Xposed  ( 1119): android os Looper loop(Looper java:148)
10 02 23:10:58 547 I Xposed  ( 1119): android app ActivityThread main(ActivityThread java:5417)
10 02 23:10:58 547 I Xposed  ( 1119): java lang reflect Method invoke(Native Method)
10 02 23:10:58 547 I Xposed  ( 1119): com android internal os ZygoteInit MethodAndArgsCaller run(ZygoteInit java:726)
10 02 23:10:58 547 I Xposed  ( 1119): com android internal os ZygoteInit main(ZygoteInit java:616)
10 02 23:10:58 547 I Xposed  ( 1119): de robv android xposed XposedBridge main(XposedBridge java:102)
10 02 23:10:58 615 I Xposed  ( 1119):  Taptigo XNotifications  Global Uncaught Exception handler set
10 02 23:10:58 619 I Xposed  ( 1119):  Taptigo XNotifications  HeadsUpNotificationView class not found  trying Marshmallow implementation
10 02 23:10:58 619 I Xposed  ( 1119):  Taptigo XNotifications  HeadsUpNotificationView class not found  trying Marshmallow implementation
10 02 23:10:58 633 I Xposed  ( 1119):  Taptigo XNotifications  Hooking systemUI finished
10 02 23:11:01 429 I Xposed  ( 1119):  Taptigo XNotifications  VERBOSE  ActiveNotificationsWrapper isApplicable: true
10 02 23:11:01 444 I Xposed  ( 1119):  Taptigo XNotifications  StatusBarSnoozeNotificationExtender is applicable
10 02 23:11:02 837 I Xposed  ( 1119):  Taptigo XNotifications  VERBOSE  Context found after start method
10 02 23:11:03 473 I Xposed  ( 1954):  Taptigo XNotifications GmailInboxMarkAsReadHook  com google android gm loaded
10 02 23:11:05 252 I Xposed  ( 2094):  Taptigo XNotifications WhatsappMarkAsReadHook  WhatsappMarkAsReadHook Receiver hooked
10 02 23:11:06 438 I Xposed  ( 2094):  Taptigo XNotifications SplitNotifications  
10 02 23:11:06 438 I Xposed  ( 2094): Found update notifications runnable: com whatsapp notification am
10 02 23:11:06 558 I Xposed  ( 2094):  Taptigo XNotifications SplitNotifications  
 getConversations method hooked: public static java util ArrayList com whatsapp rs b()
10 02 23:11:06 558 I Xposed  ( 2094):  Taptigo XNotifications SplitNotifications  
 getConversations method hooked: public static java util ArrayList com whatsapp rs c()
10 02 23:11:06 559 I Xposed  ( 2094):  Taptigo XNotifications SplitNotifications  
 getConversations method hooked: public static java util ArrayList com whatsapp rs g()
10 02 23:11:06 559 I Xposed  ( 2094):  Taptigo XNotifications SplitNotifications  
 getConversations method hooked: public static java util ArrayList com whatsapp rs i()
10 02 23:11:06 833 I Xposed  ( 2094):  Taptigo XNotifications WhatsappMarkAsReadHook  Whatsapp App created  Version: 2 16 275(451402)
10 02 23:11:06 834 I Xposed  ( 2094):  Taptigo XNotifications WhatsappMarkAsReadHook  ConversationsFragment class not found  trying Conversation class
10 02 23:11:06 835 I Xposed  ( 2094):  Taptigo XNotifications WhatsappMarkAsReadHook  Adding candidate com whatsapp c bf from method public static android content Intent com whatsapp Conversation a(com whatsapp c bf)
10 02 23:11:06 835 I Xposed  ( 2094):  Taptigo XNotifications WhatsappMarkAsReadHook  Adding filtered candidate com whatsapp c bf from method public static android content Intent com whatsapp Conversation a(android content Context com whatsapp c bf)
10 02 23:11:06 836 I Xposed  ( 2094):  Taptigo XNotifications WhatsappMarkAsReadHook  Found single jid holder candidate: class com whatsapp c bf
10 02 23:11:06 847 I Xposed  ( 2094):  Taptigo XNotifications WhatsappMarkAsReadHook  Got cached class for version 2 16 275 451402: com whatsapp c c
10 02 23:11:06 847 I Xposed  ( 2094):  Taptigo XNotifications WhatsappMarkAsReadHook  Initializing ContactsProvider with class: com whatsapp c c
10 02 23:11:06 850 I Xposed  ( 2094):  Taptigo XNotifications WhatsappMarkAsReadHook  VERBOSE  Found contacts map field: public final java util Map com whatsapp c c a
10 02 23:11:06 865 I Xposed  ( 2094):  Taptigo XNotifications WhatsappMarkAsReadHook  VERBOSE  JIDs map initialized with 328 entries
10 02 23:11:06 867 I Xposed  ( 2094):  Taptigo XNotifications WhatsappMarkAsReadHook  Refresh method (2nd way): public final void com whatsapp App a(java lang String boolean com whatsapp protocol by b java lang Integer)
10 02 23:11:06 868 I Xposed  ( 2094):  Taptigo XNotifications WhatsappMarkAsReadHook  WhatsappMarkAsReadHook initialized successfully
10 02 23:11:06 870 I Xposed  ( 2094):  Taptigo XNotifications WhatsappMarkAsReadHook  Checking method public static void com whatsapp App a(java lang String java lang String com whatsapp bdd)
10 02 23:11:06 871 I Xposed  ( 2094):  Taptigo XNotifications WhatsappMarkAsReadHook  Verified method public static void com whatsapp App a(java lang String java lang String com whatsapp bdd)
10 02 23:11:06 871 I Xposed  ( 2094):  Taptigo XNotifications WhatsappMarkAsReadHook  WhatsappQuickResponseHook canSendQuickResponse(): true
10 02 23:11:07 381 I Xposed  ( 2094):  Taptigo XNotifications WhatsappMarkAsReadHook   unseenMsgCountField: public int com whatsapp c bf s
10 02 23:11:19 781 I Xposed  ( 1954):  Taptigo XNotifications GmailInboxMarkAsReadHook  In hooked receiver GoogleMailDeviceStartupReceiver  GMAIL MARK AS READ HOOK KEY not found in intent  invoking original
10 02 23:11:21 781 I Xposed  ( 3598):  Taptigo XNotifications GoogleMessengerMarkAsReadHook  In hooked receiver
10 02 23:11:22 579 I Xposed  ( 3766): Loading package com intangibleobject securesettings plugin
10 02 23:11:28 295 I Xposed  ( 4210):  Taptigo XNotifications GmailInboxMarkAsReadHook  com google android gm loaded
10 02 23:11:43 288 I Xposed  ( 2530):  Taptigo XNotifications Wearable  com textra  tag   null  id   4
10 02 23:11:43 288 I Xposed  ( 2530): Responder  remote inputs: 1
10 02 23:11:43 288 I Xposed  ( 2530): Marcar como le do  remote inputs: 0
10 02 23:11:43 288 I Xposed  ( 2530): Llamar  remote inputs: 0
10 02 23:12:10 316 I Xposed  ( 1119):  Android N ify   INFO  SystemUIHooks: Debug log enabled
10 02 23:12:32 685 I Xposed  ( 2530):  Taptigo XNotifications Wearable  com textra  tag   null  id   4
10 02 23:12:32 685 I Xposed  ( 2530): Responder  remote inputs: 1
10 02 23:12:32 685 I Xposed  ( 2530): Marcar como le do  remote inputs: 0
10 02 23:12:32 685 I Xposed  ( 2530): Llamar  remote inputs: 0
10 02 23:12:35 336 I Xposed  ( 1119):  Android N ify   DEBUG  StatusBarHeaderHooks: handl
</t>
  </si>
  <si>
    <t>google-cameraview-29</t>
  </si>
  <si>
    <t>NULL reference exception on takePicture()</t>
  </si>
  <si>
    <t xml:space="preserve">I only got this error on my Huawei Ascend P7 device and not on a Samsung Galaxy S5  When taking a picture  it crashes 
    java
mTakePicture setOnClickListener(new View OnClickListener()  
     Override
    public void onClick(View v)  
        if (mCameraView isCameraOpened())  
            mCameraView takePicture() 
 ) 
mCameraView addCallback(new CameraView Callback()  
     Override
    public void onPictureTaken(CameraView cameraView  byte   data)  
        super onPictureTaken(cameraView  data) 
        mListener onPictureTaken(data)     Custom method to process the data
        mCameraView stop() 
        getActivity() getSupportFragmentManager() popBackStack() 
 ) 
When deleting the following line it works  however I need to close the camera fragment 
 getActivity() getSupportFragmentManager() popBackStack()  
This is the error:
java lang NullPointerException: Attempt to invoke virtual method  int android hardware camera2 CameraCaptureSession capture(android hardware camera2 CaptureRequest  android hardware camera2 CameraCaptureSession CaptureCallback  android os Handler)  on a null object reference
    at com google android cameraview Camera2 unlockFocus(Camera2 java:625)
    at com google android cameraview Camera2 access 900(Camera2 java:45)
    at com google android cameraview Camera2 6 onCaptureCompleted(Camera2 java:609)
    at java lang reflect Method invoke(Native Method)
    at java lang reflect Method invoke(Method java:372)
    at android hardware camera2 dispatch InvokeDispatcher dispatch(InvokeDispatcher java:39)
    at android hardware camera2 dispatch HandlerDispatcher 1 run(HandlerDispatcher java:65)
    at android os Handler handleCallback(Handler java:739)
    at android os Handler dispatchMessage(Handler java:95)
    at android os Looper loop(Looper java:135)
    at android app ActivityThread main(ActivityThread java:5569)
    at java lang reflect Method invoke(Native Method)
    at java lang reflect Method invoke(Method java:372)
    at com android internal os ZygoteInit MethodAndArgsCaller run(ZygoteInit java:931)
    at com android internal os ZygoteInit main(ZygoteInit java:726)
My guess is that I need to listen to another callback before killing the camera  but I couldn t find one 
</t>
  </si>
  <si>
    <t>iomodo-Wally-74</t>
  </si>
  <si>
    <t>TangoUX bug</t>
  </si>
  <si>
    <t xml:space="preserve">                      
10 06 00:14:21 144 14938 15884 com wally wally D AdfScheduler: schedulingLoop() called with: 
10 06 00:14:21 144 14938 15515 com wally wally D FA: Logging event (FE): Resume  Bundle   o app  Count 1  
10 06 00:14:21 147 14938 15884 com wally wally D AdfScheduler: end
10 06 00:14:21 148 14938 15884 com wally wally D TangoStateConnector: toNextState(TangoForCloudAdfs      TangoForLearning)
10 06 00:14:21 148 14938 15884 com wally wally D TangoForCloudAdfs: pause  Thread   Thread Thread 860 5 main 
10 06 00:14:21 148 14938 15884 com wally wally D TangoForCloudAdfs: Disconnect Tango
10 06 00:14:21 171 14938 14938 com wally wally D AndroidRuntime: Shutting down VM
                                                                       beginning of crash
10 06 00:14:21 172 14938 14938 com wally wally E AndroidRuntime: FATAL EXCEPTION: main
                                                                 Process: com wally wally  PID: 14938
                                                                 java lang NullPointerException: Attempt to invoke virtual method  void com google atap tango ux ExceptionHelper checkForIncompatibleVM()  on a null object reference
                                                                     at com google atap tango ux TangoUx UiHandler handleStart(TangoUx java:694)
                                                                     at com google atap tango ux TangoUx UiHandler handleMessage(TangoUx java:604)
                                                                     at android os Handler dispatchMessage(Handler java:102)
                                                                     at android os Looper loop(Looper java:148)
                                                                     at android app ActivityThread main(ActivityThread java:5418)
                                                                     at java lang reflect Method invoke(Native Method)
                                                                     at com android internal os ZygoteInit MethodAndArgsCaller run(ZygoteInit java:726)
                                                                     at com android internal os ZygoteInit main(ZygoteInit java:616)
10 06 00:14:21 173 14938 15884 com wally wally D TangoDriver: onStateChange(TangoForCloudAdfs      TangoForLearning)
10 06 00:14:21 173 14938 15884 com wally wally D TangoUpdater: removeTangoUpdaterListener() called with: listener    TangoForCloudAdfs 
10 06 00:14:21 173 14938 15884 com wally wally D TangoUpdater: TangoUpdaters: start
10 06 00:14:21 173 14938 15884 com wally wally D TangoUpdater: TangoForCloudAdfs
</t>
  </si>
  <si>
    <t>Z3r0byte-Magis-47</t>
  </si>
  <si>
    <t>Crash on boot</t>
  </si>
  <si>
    <t xml:space="preserve">Due to a typo  magis crashes at boot :( Will fix it tomorrow 
</t>
  </si>
  <si>
    <t>google-ExoPlayer-1899</t>
  </si>
  <si>
    <t>Crash after trying to play FLV on r2.0.1</t>
  </si>
  <si>
    <t xml:space="preserve">Got a crash after trying to play one flv stream on Nexus 7 (2013):
java lang NullPointerException: Attempt to read from null array
at com google android exoplayer2 source ExtractorMediaPeriod configureRetry(ExtractorMediaPeriod java:460)
at com google android exoplayer2 source ExtractorMediaPeriod onLoadError(ExtractorMediaPeriod java:352)
at com google android exoplayer2 source ExtractorMediaPeriod onLoadError(ExtractorMediaPeriod java:49)
 at com google android exoplayer2 upstream Loader LoadTask handleMessage(Loader java:359)
 at android os Handler dispatchMessage(Handler java:102)
at android os Looper loop(Looper java:148)
 at android os HandlerThread run(HandlerThread java:61)
at com google android exoplayer2 util PriorityHandlerThread run(PriorityHandlerThread java:40)
Example stream: http:  webtv net ua:8080 stream flv
This stream cannot be played by r1 5 11 either (got error  Audio format not supported: 2 ) but at least it doesn t crash 
</t>
  </si>
  <si>
    <t>ludomuse-Ludomuse-23</t>
  </si>
  <si>
    <t>crash au démarrage</t>
  </si>
  <si>
    <t xml:space="preserve">crash al atoire au d marrage sur Android    situ  dans le code du wifi direct 
</t>
  </si>
  <si>
    <t>chandevel-Clover-239</t>
  </si>
  <si>
    <t>Changing the save location crashes.</t>
  </si>
  <si>
    <t xml:space="preserve">Changing the save location crashes the app 
Install a fresh copy of Clover  go to the settings and change the save directory to reproduce the issue 
Android version: 7 0
Phone model: Nexus 5X
Clover version: v2 2 0
</t>
  </si>
  <si>
    <t>ftctechnh-ftc_app-224</t>
  </si>
  <si>
    <t>Robot Controller app crashes when trying to load a resource config file that no longer exists</t>
  </si>
  <si>
    <t xml:space="preserve">This has become extremely annoying in our workflow  in which we often download from a feature testing branch with an additional resource config file to a phone  and then later want to download from our  master  branch  Steps to reproduce:
1  Download the app with an included resource config file
2  Select the config file on the phone
3  Quit the app
4  Remove the resource config file from the Android Studio project
5  Redownload the app
6  Watch the app crash on launch with the following error:
09 01 09:58:18 403 26835 26835 com qualcomm ftcrobotcontroller E AndroidRuntime: FATAL EXCEPTION: main
   Process: com qualcomm ftcrobotcontroller  PID: 26835
   android content res Resources NotFoundException: Resource ID  0x7f04000b
       at android content res Resources getValue(Resources java:1351)
       at android content res Resources loadXmlResourceParser(Resources java:2777)
       at android content res Resources getXml(Resources java:1214)
       at com qualcomm ftccommon configuration RobotConfigFile getXmlResource(RobotConfigFile java:190)
       at com qualcomm ftccommon configuration RobotConfigFile getXml(RobotConfigFile java:159)
       at org firstinspires ftc robotcontroller internal FtcRobotControllerActivity requestRobotSetup(FtcRobotControllerActivity java:492)
       at org firstinspires ftc robotcontroller internal FtcRobotControllerActivity updateUIAndRequestRobotSetup(FtcRobotControllerActivity java:482)
       at org firstinspires ftc robotcontroller internal FtcRobotControllerActivity onServiceBind(FtcRobotControllerActivity java:475)
       at org firstinspires ftc robotcontroller internal FtcRobotControllerActivity 1 onServiceConnected(FtcRobotControllerActivity java:149)
       at android app LoadedApk ServiceDispatcher doConnected(LoadedApk java:1223)
       at android app LoadedApk ServiceDispatcher RunConnection run(LoadedApk java:1240)
       at android os Handler handleCallback(Handler java:746)
       at android os Handler dispatchMessage(Handler java:95)
       at android os Looper loop(Looper java:148)
       at android app ActivityThread main(ActivityThread java:5443)
       at java lang reflect Method invoke(Native Method)
       at com android internal os ZygoteInit MethodAndArgsCaller run(ZygoteInit java:728)
       at com android internal os ZygoteInit main(ZygoteInit java:618)
</t>
  </si>
  <si>
    <t>OneBusAway-onebusaway-android-704</t>
  </si>
  <si>
    <t>Crash when tapping on stop that contains a forward slash "/" in stopId</t>
  </si>
  <si>
    <t xml:space="preserve">  Summary:   _x000D_
_x000D_
If you tap on a stop that has a     in the  stopId   the app crashes with:_x000D_
_x000D_
 java lang IllegalArgumentException: Unknown URI: content:  com joulespersecond oba stops 1 Forge Park   495 _x000D_
_x000D_
   once the ArrivalsListFragment calls  setUserInfo()  and the URI is queried in  OBAProvider queryInternal()    This particular URI falls through the switch statement which filters query types and generates an  IllegalArgumentException  _x000D_
_x000D_
Seems like client side we should probably escape     as   2F    see http:  stackoverflow com questions 2992231 slashes in url variables  _x000D_
_x000D_
Just opened server issue here as well   it s not clear that even if we escape the     client side that servers can accept this in a REST API paramater :_x000D_
https:  github com OneBusAway onebusaway application modules issues 182_x000D_
_x000D_
  Steps to reproduce:   _x000D_
1  Using Boston OBA server  search for  stop code     Forge Park   495 _x000D_
2  Show stop on map and tap to see arrivals_x000D_
_x000D_
I m also guessing that even tapping on the stop in the search list will generate the exception (before you can show it on the map) _x000D_
_x000D_
It has the following stopId:_x000D_
 1 Forge Park   495 _x000D_
_x000D_
   and it can be seen in the list of stops returned in this stops for location query:_x000D_
http:  developer onebusaway org mbta api api where stops for location json lat 42 078482127189595 lon  71 43382396548986 latSpan 0 08702002322407765 lonSpan 0 07993753999471664 version 2 key TEST_x000D_
_x000D_
  Expected behavior:   _x000D_
_x000D_
Not crash and show arrival times for that stop_x000D_
_x000D_
Encoded ID should be  1 Forge 20Park 20 2 20495 _x000D_
_x000D_
  Observed behavior:   _x000D_
_x000D_
Crash_x000D_
_x000D_
  Device and Android version:   _x000D_
_x000D_
N A_x000D_
</t>
  </si>
  <si>
    <t>innoveit-react-native-ble-manager-64</t>
  </si>
  <si>
    <t>BleManager.enableBluetooth() crashes on Android</t>
  </si>
  <si>
    <t xml:space="preserve">Hey there  i am trying to use enableBluetooth() on Android on a real device and it always crashes  
My stacktrace: 
  screen shot 2016 10 06 at 16 51 15 (https:  cloud githubusercontent com assets 7880624 19157290 21f28d82 8be5 11e6 929b 78021c579195 png)
Any hints on this how to fix it 
</t>
  </si>
  <si>
    <t>davideas-FlexibleAdapter-191</t>
  </si>
  <si>
    <t>AsyncFilter fatal error</t>
  </si>
  <si>
    <t xml:space="preserve">Hello   
Your work is incredible  I ve found error in async filter  I hope that it s not hard to repair it 
The app crash when I try to write space in the SearchView
java lang NullPointerException: null object reference size()
FlexibleAdapter executeNotifications(FlexibleAdapter java:3478)
lots of greetings   
</t>
  </si>
  <si>
    <t>iomodo-Wally-76</t>
  </si>
  <si>
    <t>Power button behaves strangely</t>
  </si>
  <si>
    <t xml:space="preserve">When I press power button the app continues working  Calls onPause and onResume 
If I have Map opened when I press power button then we have a crash:
10 07 18:35:21 542 12263 12263 com wally wally D CameraARTangoActivity: onPause() called with: Thread   Thread main 5 main 
10 07 18:35:21 571 12263 12263 com wally wally D TangoForReadyState: pause  Thread   Thread main 5 main 
10 07 18:35:21 571 12263 12263 com wally wally D TangoForReadyState: Disconnect Tango
10 07 18:35:21 572 12263 12263 com wally wally I tango client api jni: DisconnectTexture context 0x7f5d2062c8  camera 0
10 07 18:35:21 572 12263 12263 com wally wally I tango client api: TangoErrorType TangoService disconnectCamera(TangoCameraId): Disconnecting camera id   0   
10 07 18:35:21 573 12263 12263 com wally wally I tango client api: TangoErrorType TangoService disconnectCamera(TangoCameraId): Done disconnecting camera 
10 07 18:35:21 573 12263 12263 com wally wally I tango client api: void TangoService disconnect(): Disconnecting from Tango   
10 07 18:35:23 610 12263 12263 com wally wally I tango client api: void TangoService disconnect(): Successfully disconnected from Tango 
10 07 18:35:23 618 12263 12263 com wally wally D TangoForReadyState: onLocalization   false
10 07 18:35:23 620 12263 12263 com wally wally D VisualContentManager: notLocalized() called with: 
10 07 18:35:23 629 12263 12263 com wally wally D TangoStateConnector: toNextState(TangoForReadyState      TangoForSavedAdf)
10 07 18:35:23 629 12263 12263 com wally wally D TangoDriver: onStateChange(TangoForReadyState      TangoForSavedAdf)
10 07 18:35:23 630 12263 12263 com wally wally D TangoUpdater: removeTangoUpdaterListener() called with: listener    TangoForReadyState 
10 07 18:35:23 630 12263 12263 com wally wally D TangoUpdater: TangoUpdaters: start
10 07 18:35:23 630 12263 12263 com wally wally D TangoUpdater: TangoForReadyState
10 07 18:35:23 631 12263 12263 com wally wally D TangoUpdater: com wally wally controllers main CameraARTangoActivity 455f52f
10 07 18:35:23 631 12263 12263 com wally wally D TangoUpdater: TangoUpdaters: finish                  
10 07 18:35:23 631 12263 12263 com wally wally D TangoUpdater: TangoUpdaters: start
10 07 18:35:23 631 12263 12263 com wally wally D TangoUpdater: com wally wally controllers main CameraARTangoActivity 455f52f
10 07 18:35:23 631 12263 12263 com wally wally D TangoUpdater: TangoUpdaters: finish                  
10 07 18:35:23 631 12263 12263 com wally wally D TangoUpdater: addTangoUpdaterListener() called with: listener    TangoForSavedAdf 
10 07 18:35:23 631 12263 12263 com wally wally D TangoUpdater: TangoUpdaters: start
10 07 18:35:23 632 12263 12263 com wally wally D TangoUpdater: com wally wally controllers main CameraARTangoActivity 455f52f
10 07 18:35:23 632 12263 12263 com wally wally D TangoUpdater: TangoUpdaters: finish                  
10 07 18:35:23 632 12263 12263 com wally wally D TangoUpdater: TangoUpdaters: start
10 07 18:35:23 632 12263 12263 com wally wally D TangoUpdater: TangoForSavedAdf
10 07 18:35:23 632 12263 12263 com wally wally D TangoUpdater: com wally wally controllers main CameraARTangoActivity 455f52f
10 07 18:35:23 632 12263 12263 com wally wally D TangoUpdater: TangoUpdaters: finish                  
10 07 18:35:23 782 12263 12263 com wally wally D TangoUpdater: addTangoUpdaterListener() called with: listener    com wally wally controllers main CameraARTangoActivity 8937c55 
10 07 18:35:23 782 12263 12263 com wally wally D TangoUpdater: TangoUpdaters: start
10 07 18:35:23 782 12263 12263 com wally wally D TangoUpdater: TangoUpdaters: finish                  
10 07 18:35:23 782 12263 12263 com wally wally D TangoUpdater: TangoUpdaters: start
10 07 18:35:23 782 12263 12263 com wally wally D TangoUpdater: com wally wally controllers main CameraARTangoActivity 8937c55
10 07 18:35:23 782 12263 12263 com wally wally D TangoUpdater: TangoUpdaters: finish                  
10 07 18:35:23 782 12263 12263 com wally wally I Rajawali: Rajawali   Anchor Steam   v1 0 
10 07 18:35:23 787 12263 12263 com wally wally D TangoUpdater: addTangoUpdaterListener() called with: listener    TangoForCloudAdfs 
10 07 18:35:23 787 12263 12263 com wally wally D TangoUpdater: TangoUpdaters: start
10 07 18:35:23 787 12263 12263 com wally wally D TangoUpdater: com wally wally controllers main CameraARTangoActivity 8937c55
10 07 18:35:23 787 12263 12263 com wally wally D TangoUpdater: TangoUpdaters: finish                  
10 07 18:35:23 788 12263 12263 com wally wally D TangoUpdater: TangoUpdaters: start
10 07 18:35:23 788 12263 12263 com wally wally D TangoUpdater: TangoForCloudAdfs
10 07 18:35:23 788 12263 12263 com wally wally D TangoUpdater: com wally wally controllers main CameraARTangoActivity 8937c55
10 07 18:35:23 788 12263 12263 com wally wally D TangoUpdater: TangoUpdaters: finish                  
10 07 18:35:23 814 12263 12263 com wally wally I FloatingActionButton: Setting a custom background is not supported 
10 07 18:35:23 817 12263 12263 com wally wally I FloatingActionButton: Setting a custom background is not supported 
10 07 18:35:23 827 12263 12263 com wally wally V BoostFramework: BoostFramework() : mPerf   com qualcomm qti Performance e19efa
10 07 18:35:23 827 12263 12263 com wally wally V BoostFramework: BoostFramework() : mPerf   com qualcomm qti Performance ddd0cab
10 07 18:35:23 838 12263 12263 com wally wally I Google Maps Android API: Google Play services package version: 9683448
10 07 18:35:23 933 12263 12263 com wally wally E Parcel: Class not found when unmarshalling: android support v7 widget RecyclerView SavedState
                                                         java lang ClassNotFoundException: android support v7 widget RecyclerView SavedState
                                                             at java lang Class classForName(Native Method)
                                                             at java lang Class forName(Class java:324)
                                                             at android os Parcel readParcelableCreator(Parcel java:2404)
                                                             at android os Parcel readParcelable(Parcel java:2358)
                                                             at android os Parcel readValue(Parcel java:2264)
                                                             at android os Parcel readSparseArrayInternal(Parcel java:2675)
                                                             at android os Parcel readSparseArray(Parcel java:1967)
                                                             at android os Parcel readValue(Parcel java:2321)
                                                             at android os Parcel readArrayMapInternal(Parcel java:2614)
                                                             at android os BaseBundle unparcel(BaseBundle java:221)
                                                             at android os Bundle getBundle(Bundle java:763)
                                                             at yp a(:com google android gms DynamiteModulesB:74)
                                                             at maps ad t a(Unknown Source)
                                                             at maps ad R a(Unknown Source)
                                                             at uo onTransact(:com google android gms DynamiteModulesB:66)
                                                             at android os Binder transact(Binder java:387)
                                                             at com google android gms maps internal IMapViewDelegate zza zza onCreate(Unknown Source)
                                                             at com google android gms maps MapView zza onCreate(Unknown Source)
                                                             at com google android gms dynamic zza 3 zzb(Unknown Source)
                                                             at com google android gms dynamic zza 1 zza(Unknown Source)
                                                             at com google android gms maps MapView zzb zzbru(Unknown Source)
                                                             at com google android gms maps MapView zzb zza(Unknown Source)
                                                             at com google android gms dynamic zza zza(Unknown Source)
                                                             at com google android gms dynamic zza onCreate(Unknown Source)
                                                             at com google android gms maps MapView onCreate(Unknown Source)
                                                             at com wally wally controllers map MapsFragment onCreateView(MapsFragment java:172)
                                                             at android support v4 app Fragment performCreateView(Fragment java:2080)
                                                             at android support v4 app FragmentManagerImpl moveToState(FragmentManager java:1108)
                                                             at android support v4 app FragmentManagerImpl moveToState(FragmentManager java:1290)
                                                             at android support v4 app FragmentManagerImpl moveToState(FragmentManager java:1272)
                                                             at android support v4 app FragmentManagerImpl dispatchActivityCreated(FragmentManager java:2149)
                                                             at android support v4 app FragmentController dispatchActivityCreated(FragmentController java:201)
                                                             at android support v4 app FragmentActivity onStart(FragmentActivity java:600)
                                                             at android support v7 app AppCompatActivity onStart(AppCompatActivity java:178)
                                                             at com wally wally controllers main CameraARActivity onStart(CameraARActivity java:118)
                                                             at android app Instrumentation callActivityOnStart(Instrumentation java:1238)
                                                             at android app Activity performStart(Activity java:6302)
                                                             at android app ActivityThread performLaunchActivity(ActivityThread java:2380)
                                                             at android app ActivityThread handleLaunchActivity(ActivityThread java:2477)
                                                             at android app ActivityThread handleRelaunchActivity(ActivityThread java:4078)
                                                             at android app ActivityThread access 1000(ActivityThread java:150)
                                                             at android app ActivityThread H handleMessage(ActivityThread java:1350)
                                                             at android os Handler dispatchMessage(Handler java:102)
                                                             at android os Looper loop(Looper java:148)
                                                             at android app ActivityThread main(ActivityThread java:5418)
                                                             at java lang reflect Method invoke(Native Method)
                                                             at com android internal os ZygoteInit MethodAndArgsCaller run(ZygoteInit java:726)
                                                             at com android internal os ZygoteInit main(ZygoteInit java:616)
                                                          Caused by: java lang ClassNotFoundException: Didn t find class  android support v7 widget RecyclerView SavedState  on path: DexPathList  zip file   data data com google android gms app chimera m 00000004 DynamiteModulesB GmsCore prodmnc xxhdpi release apk   nativeLibraryDirectories   data user 0 com google android gms app chimera m 00000004 n arm64 v8a   vendor lib64   system lib64  
                                                             at dalvik system BaseDexClassLoader findClass(BaseDexClassLoader java:56)
                                                             at java lang ClassLoader loadClass(ClassLoader java:511)
                                                             at com google android chimera container internal DelegateLastPathClassLoader loadClass(:com google android gms:34)
                                                             at java lang ClassLoader loadClass(ClassLoader java:469)
                                                             at java lang Class classForName(Native Method) 
                                                             at java lang Class forName(Class java:324) 
                                                             at android os Parcel readParcelableCreator(Parcel java:2404) 
                                                             at android os Parcel readParcelable(Parcel java:2358) 
                                                             at android os Parcel readValue(Parcel java:2264) 
                                                             at android os Parcel readSparseArrayInternal(Parcel java:2675) 
                                                             at android os Parcel readSparseArray(Parcel java:1967) 
                                                             at android os Parcel readValue(Parcel java:2321) 
                                                             at android os Parcel readArrayMapInternal(Parcel java:2614) 
                                                             at android os BaseBundle unparcel(BaseBundle java:221) 
                                                             at android os Bundle getBundle(Bundle java:763) 
                                                             at yp a(:com google android gms DynamiteModulesB:74) 
                                                             at maps ad t a(Unknown Source) 
                                                             at maps ad R a(Unknown Source) 
                                                             at uo onTransact(:com google android gms DynamiteModulesB:66) 
                                                             at android os Binder transact(Binder java:387) 
                                                             at com google android gms maps internal IMapViewDelegate zza zza onCreate(Unknown Source) 
                                                             at com google android gms maps MapView zza onCreate(Unknown Source) 
                                                             at com google android gms dynamic zza 3 zzb(Unknown Source) 
                                                             at com google android gms dynamic zza 1 zza(Unknown Source) 
                                                             at com google android gms maps MapView zzb zzbru(Unknown Source) 
                                                             at com google android gms maps MapView zzb zza(Unknown Source) 
                                                             at com google android gms dynamic zza zza(Unknown Source) 
                                                             at com google android gms dynamic zza onCreate(Unknown Source) 
                                                             at com google android gms maps MapView onCreate(Unknown Source) 
                                                             at com wally wally controllers map MapsFragment onCreateView(MapsFragment java:172) 
                                                             at android support v4 app Fragment performCreateView(Fragment java:2080) 
                                                             at android support v4 app FragmentManagerImpl moveToState(FragmentManager java:1108) 
                                                             at android support v4 app FragmentManagerImpl moveToState(FragmentManager java:1290) 
                                                             at android support v4 app FragmentManagerImpl moveToState(FragmentManager java:1272) 
                                                             at android support v4 app FragmentManagerImpl dispatchActivityCreated(FragmentManager java:2149) 
                                                             at android support v4 app FragmentController dispatchActivityCreated(FragmentController java:201) 
                                                             at android support v4 app FragmentActivity onStart(FragmentActivity java:600) 
                                                             at android support v7 app AppCompatActivity onStart(AppCompatActivity java:178) 
                                                             at com wally wally controllers main CameraARActivity onStart(CameraARActivity java:118) 
                                                             at android app Instrumentation callActivityOnStart(Instrumentation java:1238) 
                                                             at android app Activity performStart(Activity java:6302) 
                                                             at android app ActivityThread performLaunchActivity(ActivityThread java:2380) 
                                                             at android app ActivityThread handleLaunchActivity(ActivityThread java:2477) 
                                                             at android app ActivityThread handleRelaunchActivity(ActivityThread java:4078) 
                                                             at android app ActivityThread access 1000(ActivityThread java:150) 
                                                             at android app ActivityThread H handleMessage(ActivityThread java:1350) 
                                                             at android os Handler dispatchMessage(Handler java:102) 
                                                             at android os Looper loop(Looper java:148) 
                                                             at android app ActivityThread main(ActivityThread java:5418) 
                                                             at java lang reflect Method invoke(Native Method) 
                                                             at com android internal os ZygoteInit MethodAndArgsCaller run(ZygoteInit java:726) 
                                                             at com android internal os ZygoteInit main(ZygoteInit java:616) 
                                                            Suppressed: java lang Cl
10 07 18:35:23 934 12263 12263 com wally wally D AndroidRuntime: Shutting down VM
                                                                       beginning of crash
10 07 18:35:23 935 12263 12263 com wally wally E AndroidRuntime: FATAL EXCEPTION: main
                                                                 Process: com wally wally  PID: 12263
                                                                 java lang RuntimeException: Unable to start activity ComponentInfo com wally wally com wally wally controllers main CameraARTangoActivity : android os BadParcelableException: ClassNotFoundException when unmarshalling: android support v7 widget RecyclerView SavedState
                                                                     at android app ActivityThread performLaunchActivity(ActivityThread java:2417)
                                                                     at android app ActivityThread handleLaunchActivity(ActivityThread java:2477)
                                                                     at android app ActivityThread handleRelaunchActivity(ActivityThread java:4078)
                                                                     at android app ActivityThread access 1000(ActivityThread java:150)
                                                                     at android app ActivityThread H handleMessage(ActivityThread java:1350)
                                                                     at android os Handler dispatchMessage(Handler java:102)
                                                                     at android os Looper loop(Looper java:148)
                                                                     at android app ActivityThread main(ActivityThread java:5418)
                                                                     at java lang reflect Method invoke(Native Method)
                                                                     at com android internal os ZygoteInit MethodAndArgsCaller run(ZygoteInit java:726)
                                                                     at com android internal os ZygoteInit main(ZygoteInit java:616)
                                                                  Caused by: android os BadParcelableException: ClassNotFoundException when unmarshalling: android support v7 widget RecyclerView SavedState
                                                                     at android os Parcel readParcelableCreator(Parcel java:2432)
                                                                     at android os Parcel readParcelable(Parcel java:2358)
                                                                     at android os Parcel readValue(Parcel java:2264)
                                                                     at android os Parcel readSparseArrayInternal(Parcel java:2675)
                                                                     at android os Parcel readSparseArray(Parcel java:1967)
                                                                     at android os Parcel readValue(Parcel java:2321)
                                                                     at android os Parcel readArrayMapInternal(Parcel java:2614)
                                                                     at android os BaseBundle unparcel(BaseBundle java:221)
                                                                     at android os Bundle getBundle(Bundle java:763)
                                                                     at yp a(:com google android gms DynamiteModulesB:74)
                                                                     at maps ad t a(Unknown Source)
                                                                     at maps ad R a(Unknown Source)
                                                                     at uo onTransact(:com google android gms DynamiteModulesB:66)
                                                                     at android os Binder transact(Binder java:387)
                                                                     at com google android gms maps internal IMapViewDelegate zza zza onCreate(Unknown Source)
                                                                     at com google android gms maps MapView zza onCreate(Unknown Source)
                                                                     at com google android gms dynamic zza 3 zzb(Unknown Source)
                                                                     at com google android gms dynamic zza 1 zza(Unknown Source)
                                                                     at com google android gms maps MapView zzb zzbru(Unknown Source)
                                                                     at com google android gms maps MapView zzb zza(Unknown Source)
                                                                     at com google android gms dynamic zza zza(Unknown Source)
                                                                     at com google android gms dynamic zza onCreate(Unknown Source)
                                                                     at com google android gms maps MapView onCreate(Unknown Source)
                                                                     at com wally wally controllers map MapsFragment onCreateView(MapsFragment java:172)
                                                                     at android support v4 app Fragment performCreateView(Fragment java:2080)
                                                                     at android support v4 app FragmentManagerImpl moveToState(FragmentManager java:1108)
                                                                     at android support v4 app FragmentManagerImpl moveToState(FragmentManager java:1290)
                                                                     at android support v4 app FragmentManagerImpl moveToState(FragmentManager java:1272)
                                                                     at android support v4 app FragmentManagerImpl dispatchActivityCreated(FragmentManager java:2149)
                                                                     at android support v4 app FragmentController dispatchActivityCreated(FragmentController java:201)
                                                                     at android support v4 app FragmentActivity onStart(FragmentActivity java:600)
                                                                     at android support v7 app AppCompatActivity onStart(AppCompatActivity java:178)
                                                                     at com wally wally controllers main CameraARActivity onStart(CameraARActivity java:118)
                                                                     at android app Instrumentation callActivityOnStart(Instrumentation java:1238)
                                                                     at android app Activity performStart(Activity java:6302)
                                                                     at android app ActivityThread performLaunchActivity(ActivityThread java:2380)
                                                                     at android app ActivityThread handleLaunchActivity(ActivityThread java:2477) 
                                                                     at android app ActivityThread handleRelaunchActivity(ActivityThread java:4078) 
                                                                     at android app ActivityThread access 1000(ActivityThread java:150) 
                                                                     at android app ActivityThread H handleMessage(ActivityThread java:1350) 
                                                                     at android os Handler dispatchMessage(Handler java:102) 
                                                                     at android os Looper loop(Looper java:148) 
                                                                     at android app ActivityThread main(ActivityThread java:5418) 
                                                                     at java lang reflect Method invoke(Native Method) 
                                                                     at com android internal os ZygoteInit MethodAndArgsCaller run(ZygoteInit java:726) 
                                                                     at com android internal os ZygoteInit main(ZygoteInit java:616) 
10 07 18:35:24 045 12263 12263 com wally wally I Process: Sending signal  PID: 12263 SIG: 9
</t>
  </si>
  <si>
    <t>cgeo-cgeo-6025</t>
  </si>
  <si>
    <t>"Make list unique" menu makes cgeo crash in nearest cache list</t>
  </si>
  <si>
    <t xml:space="preserve">Hello Cgeo team   
      Detailed steps causing the problem:
  Launch the app
  Click on  Nearest cache list 
  Click on menu (top right)
  Click on  Make list unique 
      Actual behavior after performing these steps:
CGeo   crashes  
      Expected behavior after performing these steps:
CGeo doesn t crash
      Version of c:geo used:
Master
      Is the problem reproducible for you 
Yes  systematic
      System information:
Device: SDK build for x86
Android version 6 0
Android build: sdk google phone x86 userdebug 6 0 MASTER 3287151 test keys
Cgeo version: 2016 10 08 14bbb90 developer build
      Other comments and remarks:
No
Many thanks in advance  
Morice
</t>
  </si>
  <si>
    <t>marzika-Snapprefs-261</t>
  </si>
  <si>
    <t>[Bug] Snapprefs crashing after cancelling pic share via button above camera button on SC</t>
  </si>
  <si>
    <t xml:space="preserve">Sometimes  when trying to take a pic  I press the share button above the circle button on SC  and when I back out of it via the back button or  Cancel  SP crashes  and SC freezes until SP is force closed  This doesn t stop SP from working when SC comes to its senses 
Not sure how to obtain a Logcat for the issue  Downloaded aLogcat and left it open while replicating the issue but nothing is logged 
SC 9 31 1 0
SP 2 0 0
Device: Samsung Galaxy S3 Virgin Mobile
OS: Exodus 10 08 2016 nightly
Android: 6 0 1
</t>
  </si>
  <si>
    <t>alter-ego-androidbound-63</t>
  </si>
  <si>
    <t>viewresolver shouldn't crash for unknown classes</t>
  </si>
  <si>
    <t xml:space="preserve">   
10 11 08:17:05 077: D SHARETHEMEAL(4185): ViewResolver resolveName()   line 117: Resolving rg sharethemeal app ui bindable ExtendedBindableButton with rg sharethemeal app ui bindable ExtendedBindableButton
10 11 08:17:05 078: W SHARETHEMEAL(4185): ViewResolver createView()   line 73: View not found for name rg sharethemeal app ui bindable ExtendedBindableButton
wrong package name made  ViewBinder  crash 
10 11 08:17:04 523: E SHARETHEMEAL(4185): PropertyInfo getValue()   line 52: Reflector getValue exception   java lang NullPointerException: iterable must not be null
10 11 08:17:05 429: E AndroidRuntime(4185): FATAL EXCEPTION: main
10 11 08:17:05 429: E AndroidRuntime(4185): Process: org sharethemeal app android  PID: 4185
10 11 08:17:05 429: E AndroidRuntime(4185): android view InflateException: Binary XML file line  2: Error inflating class rg sharethemeal app ui bindable ExtendedBindableButton
10 11 08:17:05 429: E AndroidRuntime(4185):     at android view LayoutInflater createViewFromTag(LayoutInflater java:757)
10 11 08:17:05 429: E AndroidRuntime(4185):     at android view LayoutInflater inflate(LayoutInflater java:482)
10 11 08:17:05 429: E AndroidRuntime(4185):     at android view LayoutInflater inflate(LayoutInflater java:414)
10 11 08:17:05 429: E AndroidRuntime(4185):     at android view LayoutInflater inflate(LayoutInflater java:365)
10 11 08:17:05 429: E AndroidRuntime(4185):     at solutions alterego androidbound ViewBinder inflate(ViewBinder java:259)
10 11 08:17:05 429: E AndroidRuntime(4185):     at solutions alterego androidbound android ui BindableListItemView  init (BindableListItemView java:32)
10 11 08:17:05 429: E AndroidRuntime(4185):     at solutions alterego androidbound android adapters BindableListAdapter inflateViewForObject(BindableListAdapter java:92)
10 11 08:17:05 429: E AndroidRuntime(4185):     at solutions alterego androidbound android adapters BindableListAdapter getView(BindableListAdapter java:79)
10 11 08:17:05 429: E AndroidRuntime(4185):     at android widget AbsListView obtainView(AbsListView java:2347)
10 11 08:17:05 429: E AndroidRuntime(4185):     at android widget ListView onMeasure(ListView java:1154)
10 11 08:17:05 429: E AndroidRuntime(4185):     at android view View measure(View java:17547)
10 11 08:17:05 429: E AndroidRuntime(4185):     at android view ViewGroup measureChildWithMargins(ViewGroup java:5535)
10 11 08:17:05 429: E AndroidRuntime(4185):     at android widget LinearLayout measureChildBeforeLayout(LinearLayout java:1436)
10 11 08:17:05 429: E AndroidRuntime(4185):     at android widget LinearLayout measureVertical(LinearLayout java:722)
10 11 08:17:05 429: E AndroidRuntime(4185):     at android widget LinearLayout onMeasure(LinearLayout java:613)
10 11 08:17:05 429: E AndroidRuntime(4185):     at android view View measure(View java:17547)
10 11 08:17:05 429: E AndroidRuntime(4185):     at android support v4 widget NestedScrollView measureChildWithMargins(NestedScrollView java:1411)
10 11 08:17:05 429: E AndroidRuntime(4185):     at android widget FrameLayout onMeasure(FrameLayout java:436)
10 11 08:17:05 429: E AndroidRuntime(4185):     at android support v4 widget NestedScrollView onMeasure(NestedScrollView java:479)
10 11 08:17:05 429: E AndroidRuntime(4185):     at android view View measure(View java:17547)
10 11 08:17:05 429: E AndroidRuntime(4185):     at android widget RelativeLayout measureChildHorizontal(RelativeLayout java:727)
10 11 08:17:05 429: E AndroidRuntime(4185):     at android widget RelativeLayout onMeasure(RelativeLayout java:463)
10 11 08:17:05 429: E AndroidRuntime(4185):     at android view View measure(View java:17547)
10 11 08:17:05 429: E AndroidRuntime(4185):     at android support v4 widget SwipeRefreshLayout onMeasure(SwipeRefreshLayout java:629)
10 11 08:17:05 429: E AndroidRuntime(4185):     at android view View measure(View java:17547)
10 11 08:17:05 429: E AndroidRuntime(4185):     at android view ViewGroup measureChildWithMargins(ViewGroup java:5535)
10 11 08:17:05 429: E AndroidRuntime(4185):     at android widget FrameLayout onMeasure(FrameLayout java:436)
10 11 08:17:05 429: E AndroidRuntime(4185):     at android support v7 widget ContentFrameLayout onMeasure(ContentFrameLayout java:135)
10 11 08:17:05 429: E AndroidRuntime(4185):     at android view View measure(View java:17547)
10 11 08:17:05 429: E AndroidRuntime(4185):     at android view ViewGroup measureChildWithMargins(ViewGroup java:5535)
10 11 08:17:05 429: E AndroidRuntime(4185):     at android support v7 widget ActionBarOverlayLayout onMeasure(ActionBarOverlayLayout java:389)
10 11 08:17:05 429: E AndroidRuntime(4185):     at android view View measure(View java:17547)
10 11 08:17:05 429: E AndroidRuntime(4185):     at android view ViewGroup measureChildWithMargins(ViewGroup java:5535)
10 11 08:17:05 429: E AndroidRuntime(4185):     at android widget FrameLayout onMeasure(FrameLayout java:436)
10 11 08:17:05 429: E AndroidRuntime(4185):     at android view View measure(View java:17547)
10 11 08:17:05 429: E AndroidRuntime(4185):     at android view ViewGroup measureChildWithMargins(ViewGroup java:5535)
10 11 08:17:05 429: E AndroidRuntime(4185):     at android widget LinearLayout measureChildBeforeLayout(LinearLayout java:1436)
10 11 08:17:05 429: E AndroidRuntime(4185):     at android widget LinearLayout measureVertical(LinearLayout java:722)
10 11 08:17:05 429: E AndroidRuntime(4185):     at android widget LinearLayout onMeasure(LinearLayout java:613)
10 11 08:17:05 429: E AndroidRuntime(4185):     at android view View measure(View java:17547)
10 11 08:17:05 429: E AndroidRuntime(4185):     at android view ViewGroup measureChildWithMargins(ViewGroup java:5535)
10 11 08:17:05 429: E AndroidRuntime(4185):     at android widget FrameLayout onMeasure(FrameLayout java:436)
10 11 08:17:05 429: E AndroidRuntime(4185):     at com android internal policy impl PhoneWindow DecorView onMeasure(PhoneWindow java:2615)
10 11 08:17:05 429: E AndroidRuntime(4185):     at android view View measure(View java:17547)
10 11 08:17:05 429: E AndroidRuntime(4185):     at android view ViewRootImpl performMeasure(ViewRootImpl java:2015)
10 11 08:17:05 429: E AndroidRuntime(4185):     at android view ViewRootImpl measureHierarchy(ViewRootImpl java:1173)
10 11 08:17:05 429: E AndroidRuntime(4185):     at android view ViewRootImpl performTraversals(ViewRootImpl java:1379)
10 11 08:17:05 429: E AndroidRuntime(4185):     at android view ViewRootImpl doTraversal(ViewRootImpl java:1061)
10 11 08:17:05 429: E AndroidRuntime(4185):     at android view ViewRootImpl TraversalRunnable run(ViewRootImpl java:5885)
10 11 08:17:05 429: E AndroidRuntime(4185):     at android view Choreographer CallbackRecord run(Choreographer java:767)
10 11 08:17:05 429: E AndroidRuntime(4185):     at android view Choreographer doCallbacks(Choreographer java:580)
10 11 08:17:05 429: E AndroidRuntime(4185):     at android view Choreographer doFrame(Choreographer java:550)
10 11 08:17:05 429: E AndroidRuntime(4185):     at android view Choreographer FrameDisplayEventReceiver run(Choreographer java:753)
10 11 08:17:05 429: E AndroidRuntime(4185):     at android os Handler handleCallback(Handler java:739)
10 11 08:17:05 429: E AndroidRuntime(4185):     at android os Handler dispatchMessage(Handler java:95)
10 11 08:17:05 429: E AndroidRuntime(4185):     at and
</t>
  </si>
  <si>
    <t>dmfs-opentasks-286</t>
  </si>
  <si>
    <t>Crashes when attempting to display a task with a given content</t>
  </si>
  <si>
    <t xml:space="preserve">Opentasks will crash everytime it reaches a certain task in a list of tasks  if the task starts with the following:
Basically  something very similar to the format used for checklists       but without the space between the square brackets 
Adding the space back in makes the task readable by OpenTasks again 
Hope this helps 
</t>
  </si>
  <si>
    <t>barbeau-gpstest-61</t>
  </si>
  <si>
    <t>NPE crash on startup on Android N</t>
  </si>
  <si>
    <t xml:space="preserve">  Summary:   
When starting master branch or v2 1 4 on Android N device  it crashes with following stack trace:
 FATAL EXCEPTION: main
 Process: com android gpstest  PID: 26801
 java lang RuntimeException: Unable to resume activity  com android gpstest com android gpstest GpsTestActivity : java lang NullPointerException
     at android app ActivityThread performResumeActivity(ActivityThread java:3400)
     at android app ActivityThread handleResumeActivity(ActivityThread java:3440)
     at android app ActivityThread handleLaunchActivity(ActivityThread java:2713)
     at android app ActivityThread  wrap12(ActivityThread java)
     at android app ActivityThread H handleMessage(ActivityThread java:1460)
     at android os Handler dispatchMessage(Handler java:102)
     at android os Looper loop(Looper java:154)
     at android app ActivityThread main(ActivityThread java:6077)
     at java lang reflect Method invoke(Native Method)
     at com android internal os ZygoteInit MethodAndArgsCaller run(ZygoteInit java:865)
     at com android internal os ZygoteInit main(ZygoteInit java:755)
  Caused by: java lang NullPointerException
     at com android internal util Preconditions checkNotNull(Preconditions java:94)
     at android location LocalListenerHelper remove(LocalListenerHelper java:76)
     at android location LocationManager unregisterGnssNavigationMessageCallback(LocationManager java:2171)
     at com android gpstest GpsTestActivity removeNavMessageListener(GpsTestActivity java:503)
     at com android gpstest GpsTestActivity checkNavMessageOutput(GpsTestActivity java:604)
     at com android gpstest GpsTestActivity onResume(GpsTestActivity java:295)
     at android app Instrumentation callActivityOnResume(Instrumentation java:1269)
     at android app Activity performResume(Activity java:6768)
     at android app ActivityThread performResumeActivity(ActivityThread java:3377)
     at android app ActivityThread handleResumeActivity(ActivityThread java:3440) 
     at android app ActivityThread handleLaunchActivity(ActivityThread java:2713) 
     at android app ActivityThread  wrap12(ActivityThread java) 
     at android app ActivityThread H handleMessage(ActivityThread java:1460) 
     at android os Handler dispatchMessage(Handler java:102) 
     at android os Looper loop(Looper java:154) 
     at android app ActivityThread main(ActivityThread java:6077) 
     at java lang reflect Method invoke(Native Method) 
     at com android internal os ZygoteInit MethodAndArgsCaller run(ZygoteInit java:865) 
     at com android internal os ZygoteInit main(ZygoteInit java:755) 
  Steps to reproduce:   
Start app on Android N device
  Expected behavior:   
Start up as normal
  Observed behavior:   
App crashes
  Device and Android version:   
Nexus 5X with Android N
</t>
  </si>
  <si>
    <t>open-keychain-open-keychain-1936</t>
  </si>
  <si>
    <t>OutOfMemory with Nitrokey Pro</t>
  </si>
  <si>
    <t xml:space="preserve">Application crashes when I insert Nitrokey Pro and try to use it as a security token to generate key  Same was after clearing the stick with  factory reset  command (done using Nitrokey App)  
Please let me know how can I create   extract the logs 
App version: 4 2 beta 1 (42000)
Android 6 0 1  Galaxy S6
Nitrokey Pro v0 7 (OTG USB)
Frequency: High (9 10)
Scenario:
1  Insert Pro stick
2  Open application
3   Tap  Manage my keys 
4  Tap  USE SECURITY TOKEN 
4a  Red led on device flashes 2 times
5  Application crashes
</t>
  </si>
  <si>
    <t>greenrobot-greenDAO-466</t>
  </si>
  <si>
    <t>insertInTx and saveInTx hide insert fail (like due to constraint conflict)</t>
  </si>
  <si>
    <t xml:space="preserve">List Chapter  chapters   new ArrayList  () 
chapterDao saveInTx(chapters) 
when chapters size   1000  database crashed  can t open  how to solve this problem 
</t>
  </si>
  <si>
    <t>google-ExoPlayer-1943</t>
  </si>
  <si>
    <t>Memory leak with ExoPlayer2 (r2.0.2)</t>
  </si>
  <si>
    <t xml:space="preserve">I ve been using ExoPlayer r1 5 6 but upgraded a week ago to r2 0 2 to try and fix a crash I occasionally get due to using several instances at once (another issue) 
I currently use ExoPlayer in a FragmentStatePagerAdapter with a few instances running  and when a user swipes between pages local mp4 s on the device they play pause    
I use my own TextureView due to aspect ratio issues that I ve already discussed here with  ojw28 
Since upgrading to ExoPlayer2  I ve noticed a memory leak that I ve spent several days to solve  and have no idea where to go from now  
Before I open my activity with the ViewPager  I m using around 30MB  
This is me swiping through my ViewPager:
  mem ok (https:  cloud githubusercontent com assets 1142713 19367588 7304a82e 91ce 11e6 8e39 802012a82964 PNG)
This is after I ve exited  and initiated GC (memory returns to baseline)  
  mem ok sweep (https:  cloud githubusercontent com assets 1142713 19367591 78e4e16e 91ce 11e6 80bc 72ad667b4790 PNG)
This is after upgrading to r2 0 2 and swiping through my ViewPager:
  mem bad (https:  cloud githubusercontent com assets 1142713 19367596 7cdc61ac 91ce 11e6 967f 88be7493f2a1 PNG)
After I exit my activity and initiate GC (memory remains at  20MB)
  mem bad sweep (https:  cloud githubusercontent com assets 1142713 19367606 817699e4 91ce 11e6 8c1d 50234ba41a74 PNG)
The problem is each time I enter  swipe around 10 times  and exit  my baseline memory grows by 20MB and stays there even after initiating GC  Enter and exit a few times and my app crashes with a MemoryException  
I ve tried everything I can think of to free this memory  I made everything global so I can try and remove any references in  onDestroyView :
    java
        if (mVideoTextureView    null)  
            mVideoTextureView setSurfaceTextureListener(null) 
            mVideoTextureView   null 
        mVideoSurfaceTextureListener   null 
        mOnGlobalLayoutListener   null 
        mViewCreated   null 
        mActivity   null 
        mBus unregister(this) 
        releasePlayer() 
        mExoPlayerSurface   null 
        mVideoTextureView   null 
        mVideoSurfaceTextureListener   null 
        mRenderers   null 
        mExoPlayerHandler   null 
        if (mTrackSelector    null)  
            mTrackSelector removeListener(mTrackSelectorEventListener) 
        mTrackSelector   null 
        mMediaDataSourceFactory   null 
        mMediaSource   null 
        mLoopingMediaSource   null 
        mTrackSelectorEventListener   null 
        mExoPlayerEventListener   null 
        mExoPlayerMessage   null 
        mMediaCodecVideoRenderer   null 
        mAudioRenderer   null 
        mExtractorsFactory   null 
        mDefaultLoadControl   null 
My releasePlayer function looks like this:
    java
    private void releasePlayer()  
           Release mExoPlayer and record mExoPlayerPosition
        Log i(TAG   releasePlayer() called ) 
        if (mExoPlayer    null)  
            if (mExoPlayer getPlayWhenReady()    mExoPlayer getPlaybackState()    ExoPlayer STATE IDLE)  
                mExoPlayerPosition   mExoPlayer getCurrentPosition() 
            mExoPlayer prepare(null) 
            mExoPlayer removeListener(mExoPlayerEventListener) 
            mExoPlayer stop() 
            mExoPlayer release() 
            mExoPlayer   null 
Here is how I set things up:
    java
       Video
    private void setupExoPlayer()  
        Log d(TAG   setupExoPlayer() called with:       ) 
        mExoPlayerHandler   new Handler() 
        mMediaDataSourceFactory   new DefaultDataSourceFactory(XXXApplication getInstance() 
                BANDWIDTH METER 
                new DefaultHttpDataSourceFactory(Util getUserAgent(XXXApplication getInstance()  XXXApplication class getSimpleName())  BANDWIDTH METER)) 
        TrackSelection Factory videoTrackSelectionFactory   new AdaptiveVideoTrackSelection Factory(BANDWIDTH METER) 
        mTrackSelector   new DefaultTrackSelector(mExoPlayerHandler  videoTrackSelectionFactory) 
        mTrackSelectorEventListener   new TrackSelector EventListener MappingTrackSelector MappedTrackInfo ()  
             Override
            public void onTrackSelectionsChanged(TrackSelections   extends MappingTrackSelector MappedTrackInfo  trackSelections)  
                Log d(TAG   onTrackSelectionsChanged() called with: trackSelections        trackSelections      ) 
        mTrackSelector addListener(mTrackSelectorEventListener) 
        ArrayList Renderer  renderersList   new ArrayList  () 
        mMediaCodecVideoRenderer   new MediaCodecVideoRenderer(getContext() 
                MediaCodecSelector DEFAULT  MediaCodec VIDEO SCALING MODE SCALE TO FIT) 
        renderersList add(mMediaCodecVideoRenderer) 
        mAudioRenderer   new MediaCodecAudioRenderer(MediaCodecSelector DEFAULT) 
        renderersList add(mAudioRenderer) 
        mRenderers   renderersList toArray(new Renderer renderersList size() ) 
        renderersList clear() 
        mDefaultLoadControl   new DefaultLoadControl() 
        mExoPlayer   ExoPlayerFactory newInstance(mRenderers  mTrackSelector  mDefaultLoadControl) 
        mExoPlayerEventListener   new ExoPlayer EventListener()  
             Override
            public void onPlayerStateChanged(boolean playWhenReady  int playbackState)  
                Log d(TAG   onPlayerStateChanged() called with:      playWhenReady        playWhenReady       playbackState        playbackState      ) 
             Override
            public void onPositionDiscontinuity()  
                Log v(TAG   onPositionDiscontinuity() called ) 
             Override
            public void onTimelineChanged(Timeline timeline  Object manifest)  
                Log v(TAG   onTimelineChanged() called with: timeline        timeline       manifest        manifest      ) 
             Override
            public void onLoadingChanged(boolean isLoading)  
                Log v(TAG   onLoadingChanged() called with: isLoading        isLoading      ) 
             Override
            public void onPlayerError(ExoPlaybackException error)  
                Log e(TAG   onPlayerError() called with:      error        error      ) 
                String errorString   null 
                if (error type    ExoPlaybackException TYPE RENDERER)  
                    Exception cause   error getRendererException() 
                    if (cause instanceof MediaCodecRenderer DecoderInitializationException)  
                        MediaCodecRenderer DecoderInitializationException decoderInitializationException  
                                (MediaCodecRenderer DecoderInitializationException) cause 
                        if (decoderInitializationException decoderName    null)  
                            if (decoderInitializationException getCause() instanceof MediaCodecUtil DecoderQueryException)  
                                errorString   getString(R string error querying decoders) 
                              else if (decoderInitializationException secureDecoderRequired)  
                                errorString   getString(R string error no secure decoder 
                                        decoderInitializationException mimeType) 
                              else  
                                errorString   getString(R string error no decoder 
                                        decoderInitializationException mimeType) 
                          else  
                            errorString   getString(R string error instantiating decoder 
                                    decoderInitializationException decoderName) 
                if (errorString    null)  
                    errorString    Could not play back video due to an unknown error   
                EventBus getDefault() post(new MessageEvent( Playback error:     errorString)) 
                Log e(TAG   onPlayerError: cause:    errorString) 
        mExoPlayer addListener(mExoPlayerEventListener) 
       Called in onResume
    private void initiateNewVideo()  
        Log d(TAG   initiateNewVideo() called with:       ) 
        Log d(TAG   initiateNewVideo: mExoPlayerPosition     mExoPlayerPosition) 
        Log d(TAG   initiateNewVideo: mContentUri     mContentUri) 
        if (mExoPlayer    null)  
               Reset mExoPlayer
            mExoPlayer stop() 
            mExoPlayer seekTo(mExoPlayerPosition) 
               Play video
            if (mContentUri    null)  
                playNewVideo(mContentUri) 
          else  
            EventBus getDefault() post(new MessageEvent( Playback error: can t initiate video  player not ready )) 
    private void playNewVideo(Uri contentUri)  
        if (mExoPlayer    null    mRenderers    null    mMediaDataSourceFactory    null
                   mExoPlayerHandler    null    mExoPlayerSurface    null)  
            mExtractorsFactory   new DefaultExtractorsFactory() 
            mMediaSource   new ExtractorMediaSource(contentUri  mMediaDataSourceFactory  mExtractorsFactory  mExoPlayerHandler  null) 
            mExoPlayerMessage   new ExoPlayer ExoPlayerMessage(mRenderers 0   C MSG SET SURFACE  mExoPlayerSurface) 
              mLoopingMediaSource   new LoopingMediaSource(mMediaSource) 
            mExoPlayer prepare(mMediaSource) 
            mExoPlayer sendMessages(mExoPlayerMessage) 
            mExoPlayer setPlayWhenReady(mIsFragmentVisible)  
          else  
            EventBus getDefault() post(new MessageEvent( Playback error: null check constraint )) 
I ve tried the last version before ExoPlayer2  r1 5 11  and that works perfectly too with 0 memory leak  
If I can t resolve this  I m going to have to revert back to r1 5 11 which will be a massive bummer  
If there anyway to fix this memory leak in r2   Thanks 
</t>
  </si>
  <si>
    <t>openid-AppAuth-Android-114</t>
  </si>
  <si>
    <t>RedirectUriReceiverActivity not always being triggered with chrome 53</t>
  </si>
  <si>
    <t xml:space="preserve">I realize this is likely a chrome bug  but when using App Auth with chrome 53 (i ve tried this on both a nexus 5x and a nexus6 with the same result)   After authenticating via a pass though (ie  with prompt none  or an existing browser cookie with no prompt value)  the browser window will close  but RedirectUriReceiverActivity is not triggering 
However  if i roll back to chrome 51  everything works fine 
Also  using firefox or the system browser doesn t seem to be suffering from the same issue 
I m seeing the following in the system logs:
10 13 09:11:49 850 28569 28569   W Thread 3: type 1400 audit(0 0:244): avc: denied   ioctl   for path  socket: 466550   dev  sockfs  ino 466550 ioctlcmd 8b1b scontext u:r:untrusted app:s0:c512 c768 tcontext u:r:untrusted app:s0:c512 c768 tclass udp socket permissive 0
10 13 09:11:49 859 28508 28569   D cr SafeBrowsingApi:  SafeBrowsingApiHandlerInternal java:136  Starting request 
10 13 09:11:49 869 28508 28569   D cr SafeBrowsingApi:  SafeBrowsingApiHandlerInternal java:145  Done starting request
10 13 09:11:49 870 28508 28508   D cr SafeBrowsingApi:  SafeBrowsingApiHandlerInternal java:116  Done calling callback
10 13 09:11:49 870 28508 28569   D cr SafeBrowsingApi:  SafeBrowsingApiBridge java:62  Done starting request
10 13 09:11:51 304 28569 28569   W Thread 3: type 1400 audit(0 0:245): avc: denied   ioctl   for path  socket: 468157   dev  sockfs  ino 468157 ioctlcmd 8b1b scontext u:r:untrusted app:s0:c512 c768 tcontext u:r:untrusted app:s0:c512 c768 tclass udp socket permissive 0
10 13 09:11:51 317 871 2934   I ActivityManager: START u0  act android intent action VIEW cat  android intent category BROWSABLE  dat myapp:  auth code 0 ac qddqkI state s46UZ53hhjoB4HsVZ2YLGA flg 0x10000000 cmp com myapp net openid appauth RedirectUriReceiverActivity (has extras)  from uid 10041 on display 0
10 13 09:11:51 337 871 3025   I ActivityManager: moveTaskToBack: TaskRecord f5b15c7  308 A com myapp U 0 StackId 1 sz 3 
10 13 09:11:51 359 28508 28508   W cr ScreenOrientation: Removing an inexistent observer 
10 13 09:11:51 379 28508 28508   D cr GCore:  LifecycleHook java:73  onApplicationStateChange
10 13 09:11:51 380 28508 28611   E ConnectivityManager CallbackHandler: callback not found for RELEASED message
10 13 09:11:51 385 399 399   E lowmemorykiller: Error writing  proc 29481 oom score adj  errno 22
10 13 09:11:51 400 871 3534   I ActivityManager: Process com android chrome:sandboxed process1 (pid 29481) has died
10 13 09:11:51 400 871 3534   D ActivityManager: cleanUpApplicationRecord    29481
10 13 09:11:51 400 871 3534   W ActivityManager: Scheduling restart of crashed service com android chrome org chromium content app SandboxedProcessService1 in 1000ms
10 13 09:11:51 420 28508 28508   W cr ChildProcessConnect: onServiceDisconnected (crash or killed by oom): pid 29481
10 13 09:11:51 423 28508 28508   D cr ChildProcLauncher:  ChildProcessLauncher java:878  stopping child connection: pid 29481
10 13 09:11:51 424 28508 28508   D cr ChildProcLauncher:  ChildProcessLauncher java:119  Allocator freed a connection  sandbox: true  slot: 1
10 13 09:11:51 722 28508 28508   D cr GCore:  LifecycleHook java:73  onApplicationStateChange
10 13 09:11:51 723 28508 28508   D cr GCore:  LifecycleHook java:79  Application visibilty changed to false  Updating state of 1 client(s) 
10 13 09:11:51 742 28508 28508   D cr GCore:  LifecycleHook java:73  onApplicationStateChange
10 13 09:11:51 886 871 891   I WindowManager: Destroying surface Surface(name SurfaceView   com android chrome org chromium chrome browser customtabs CustomTabActivity) called by com android server wm WindowStateAnimator destroySurface:2014 com android server wm WindowStateAnimator destroySurfaceLocked:881 com android server wm WindowState removeLocked:1449 com android server wm WindowManagerService removeWindowInnerLocked:2478 com android server wm AppWindowToken destroySurfaces:365 com android server wm WindowStateAnimator finishExit:565 com android server wm WindowStateAnimator finishExit:516 com android server wm WindowStateAnimator stepAnimationLocked:491 
10 13 09:11:51 898 871 891   I WindowManager: Destroying surface Surface(name com android chrome org chromium chrome browser customtabs CustomTabActivity) called by com android server wm WindowStateAnimator destroySurface:2014 com android server wm WindowStateAnimator destroySurfaceLocked:881 com android server wm WindowState destroyOrSaveSurface:2073 com android server wm AppWindowToken destroySurfaces:363 com android server wm WindowStateAnimator finishExit:565 com android server wm WindowStateAnimator stepAnimationLocked:491 com android server wm WindowAnimator updateWindowsLocked:303 com android server wm WindowAnimator animateLocked:704 
10 13 09:11:51 901 401 401   W SurfaceFlinger: couldn t log to binary event log: overflow 
10 13 09:11:56 812 28508 28508   D cr GCore:  GoogleApiClientHelper java:185  Disconnect delay expired 
</t>
  </si>
  <si>
    <t>bumptech-glide-1523</t>
  </si>
  <si>
    <t>Native crash on Nexus 5x with October patches (NBD90W)</t>
  </si>
  <si>
    <t xml:space="preserve">    
Please fill in the below fields with some data to help us best diagnose the issue 
The more specific you are  the better  You can help a lot by not making us ask these questions 
Feel free to remove any irrelevant parts that you know are not related to the issue 
Any HTML comment like this will be stripped when rendering markdown  no need to delete them 
     What version of Glide you re running  for example: 3 7 1   3 8 0 SNAPSHOT   4 0 0 SNAPSHOT
It s essentially the version number from your build gradle:  dependencies   compile     :x y z        
  Glide Version  : 3 7 0
     Do you use any integration library  like OkHttp3 or Volley  For example:
Fails to display with stock networking  but works with okhttp3 1 4 0    
  Integration libraries  : 
    compile  com squareup okhttp:okhttp urlconnection:2 6 0 
    compile  com mcxiaoke volley:library:1 0 19 
     What devices you managed to get the issue to come up on  For example:
fails on Galaxy S4 GT I9500 4 4 2  works fine on Nexus 6P 5 1 and Genymotion Nexus 5 5 0 1    
  Device Android Version  : Nexus 5x  Android 7 0  Android build NBD90W (October 2016 security patches)
     Share the details of your issue in prose  detailing actual and expected behavior  It also helps if you give some info   why   you are trying to do something as opposed to   what   is not working     
  Issue details   Repro steps   Use case background  : After upgrading from September security patches (also on Android 7 0) to October security patches  we started seeing lots of native android crashes in our app  Specifically  after closing the app  within about 5 seconds the app would crash from its background state 
The crash text was extremely vague  stating  Leaked 2 GPU objects   (full log at the bottom of this bug)  I bisected our app s commits until I found one commit that didn t crash and one that did    the culprit was when we added the Glide library to our app and used it to display a couple of images 
For what it s worth  the crash doesn t seem to be happening on the Nexus 6p with the same security patches applied  So it might only be affecting the 5x  but unsure 
     How do you use Glide 
Make sure you include everything as is in your app s code:
Changing a single method parameter can yield totally different results 
Please clarify any magic variables that appear in the code  for example:      this  is a Fragment 
  Glide load line    GlideModule  (if any)   list Adapter code (if any)  :
    java
mGlide load(url)
              Bug: Requires  SOURCE  to load animated gifs in reasonable amount of time:
              https:  github com bumptech glide issues 281
            diskCacheStrategy(DiskCacheStrategy SOURCE)
            centerCrop()
            into(mImageView) 
We use dependency injection to provide the Glide instance:
    java
  RequestManager provideGlide( ApplicationContext Context context)  
    return Glide with(context) 
     How does your app look like 
We re most interested in the layout attributes and the hierarchy around the ImageView    
  Layout XML  :
It s pretty standard stuff  but we use glide in all types of layouts  especially in recycler views 
What is the error message that you got in the log 
You can find some help on diagnosing issues here: https:  github com bumptech glide wiki Debugging and Error Handling
  Stack trace   LogCat  :
Here s the full output from adb logcat:
10 14 14:44:07 604 16174 16600 E OpenGLRenderer: Texture is using 0 00B  count   1
10 14 14:44:07 604 16174 16600 E OpenGLRenderer: OffscreenBuffer is using 0 00B  count   0
10 14 14:44:07 604 16174 16600 E OpenGLRenderer: Layer is using 0 00B  count   1
10 14 14:44:07 604 16174 16600 F OpenGLRenderer: Leaked 2 GPU objects 
10 14 14:44:07 743 17778 16600 F google breakpad:      BEGIN BREAKPAD MICRODUMP     
10 14 14:44:07 743 17778 16600 F google breakpad: V WebView:53 0 2785 124
10 14 14:44:07 743 17778 16600 F google breakpad: O A arm64 06 aarch64 google bullhead bullhead:7 0 NBD90W 3239497:user release keys
10 14 14:44:07 743 17778 16600 F google breakpad: G OpenGL ES 3 2 V 145 0 (GIT I409c65498b) Qualcomm Adreno (TM) 418
10 14 14:44:07 743 17778 16600 F google breakpad: S 0 0000007C914F9AC0 0000007C914F9000 0000000000002000
10 14 14:44:07 746 17778 16600 F google breakpad: S 0000007C914F9000 1500000000000000A0994F917C00000050994F917C000000104619B27C00000050904F917C00000074B3A9A47C00000020924F917C000000D40477A17C000000E0593F927C0000006C000000000000006C0000007C00000098BFA9A4000000006D944F917C0000000100000000000000010000007C0000006E944F91000000008D944F917C00000083944F917C000000FF934F917C0000008E944F917C00000082944F917C000000B186A4AF7C0000000100000000000000010000000100000010944F917C00000000944F917C00000001000000000000000000000001000000000000000000000010944F917C00000070994F917C000000000000000000000000000000000000000000000002000000A0994F917C00000039CE54C88BFA34FB00924F917C0000003C7B17B27C000000FFFFFFFF0100000008AAC0917C000000FFFFFFFF0801000008AAC0917C000000FFFFFFFF00000000F043208C7C000000FFFFFFFF00791A00000000000000000001000000000000000000000000000000
10 14 14:44:07 746 17778 16600 F google breakpad: S 0000007C914F9180 FFFFFFFF000000000810408E7C000000FFFFFFFF7C00000039CE54C88BFA34FB60A04F917C000000E09B4F917C000000B09B4F917C000000D8FFFFFF80FFFFFF60A04F917C000000009C4F917C000000D09B4F917C000000D8FFFFFF80FFFFFF2CA61FB27C000000000000000000000000944F917C000000000000000000000039CE54C88BFA34FB39CE54C88BFA34FB0000000000000000000000007C00000050964F917C0000000000000000000000000000000000000000000000000000000100000000000000E09B4F917C000000909B4F917C000000104619B27C000000040000007C00000070AC0090000000007D964F917C00000073964F917C000000EF954F917C0000007E964F917C00000072964F917C000000989E4F917C00000001000000000000000100000000000000010000007C000000F0954F9100000000CD964F917C000000C3964F917C0000003F964F917C000000CE964F917C000000C2964F917C000000E09E4F917C00000001000000000000000100000001000000
10 14 14:44:07 747 17778 16600 F google breakpad: S 0000007C914F9300 50964F917C00000040964F917C0000000100000000000000E083009101000000000000000000000040964F917C000000B09B4F917C000000000000000000000000000000000000001C7776A102000000E09B4F917C00000039CE54C88BFA34FBFFFFFFFF7C00000040A620927C000000FFFFFFFF7C000000809880907C000000FFFFFFFF00000000F06400907C0000000100000000000000F06400907C000000010000007C000000809880907C000000709E4F917C000000E09D4F917C000000C09D4F917C000000E0FFFFFF80FFFFFFFFFFFFFF7C000000000000000000000020860F917C0000006C00000000000000CDE91FB27C000000F043208C01000032BB86A4AF7C0000000D00000000000000FF934F917C00000001000000000000000000000000000000000000000000000040964F917C0000000000000000000000010000007C000000809880907C000000FFFFFFFF7C00000010B6E08D7C000000FFFFFFFF7C000000908460917C0000000000000000000000000000007C000000
10 14 14:44:07 747 17778 16600 F google breakpad: S 0000007C914F9480 FFFFFFFF00000000087E00907C0000000100000000000000F01740A77C000000010000007C000000F01740A77C0000000100000000000000709600907C000000010000007C000000888380907C000000FFFFFFFF0000000088AF00907C000000FFFFFFFF0400000070AC00907C000000FFFFFFFF7C000000789700907C0000000100000000000000688A00907C000000FFFFFFFF00000000B05C00907C0000000100000000000000184900907C000000010000007C000000586700907C0000000100000080070000586700907C000000FFFFFFFF00000000809880907C000000FFFFFFFF00000000881520927C000000FFFFFFFF00000000B08800907C000000FFFFFFFF00000000087E00907C0000000100000000000000C03D00907C000000010000007C000000B09300907C0000000100000000000000808280907C000000FFFFFFFF0000000070A100907C000000FFFFFFFF00000000789700907C000000010000007C0000000000000000000000CCE91FB27C0000000100000000000000
10 14 14:44:07 748 17778 16600 F google breakpad: S 0000007C914F9600 20341DB27C00000001000000000000003CA61FB27C000000020000000000000001000000000000000000000000000000FFFFFFFF7C000000D89880907C0000313F964F917C0000000100000000000000FFFFFFFF7C000000382CE08D7C00000001000000000000000000000000000000010000007C0000000000000000000000010000000000000000000000000000000100000000000000607340A77C0000000000000000000000000000000000000000000000000000000000000000000000001000000000000000000000000000006C3820B27C000000208CC0917C000000FFFFFFFF7C0000006895408E7C000000FFFFFFFF7C000000C05EA08C7C000000FFFFFFFF7C00000068AB208C7C000000FFFFFFFF000000007028208C7C000000FFFFFFFF7C000000104860917C000000010000000000000028B920927C000000FFFFFFFF7C00000038BB60917C000000010000007C000000A09C20927C000000FFFFFFFF00000000F04E20927C0000000100000000000000988580907C000000
10 14 14:44:07 748 17778 16600 F google breakpad: S 0000007C914F9780 FFFFFFFF7C000000784A408E7C000000FFFFFFFF7C000000886D208C7C000000FFFFFFFF000000006827208C7C000000FFFFFFFF00000000F02220927C000000FFFFFFFF7C000000F02220927C000000FFFFFFFF00000000008800907C000000010000000000000028B920927C000000FFFFFFFF7C00000038BB60917C000000010000007C000000A09C20927C00000000853A927C00000000000000000000006C3820B27C00000058994F917C0000000C000000000000000000000000000000001000001600000000F09AB27C00000000000000000000000100000000000000020000000000000039CE54C88BFA34FB006411AF7C000000106411AF7C000000880300000000000050994F917C00000039CE54C88BFA34FB106411AF7C00000040994F917C000000589210AF7C000000040000000000000039CE54C88BFA34FB002000000000000039CE54C88BFA34FB00100000000000000000000000000000783DC6AE7C000000D018B1887C000000FFFFFFFFFFFFFF7FB045BF8B7C000000
10 14 14:44:07 749 17778 16600 F google breakpad: S 0000007C914F9900 783DC6AE7C000000D018B1887C000000FFFFFFFFFFFFFF7FB045BF8B7C000000389A4F917C00000039CE54C88BFA34FB209C4F917C0000000004000000000000880300000000000070994F917C00000070994F917C0000000000000000000000309A4F917C000000C0DB10AF7C000000C8994F917C0000000B00000000000000B49A4F917C00000001000000000000003B5BA4AF7C0000000F00000000000000209C4F917C000000160000000000000008020000FFFFFFFF39CE54C88BFA34FB783DC6AE7C00000000D840A7510158E0BB0A24FFFFFFFF7F39CE54C88BFA34FB783DC6AE7C000000D018B1887C000000C06211AF7C00000039CE54C88BFA34FB586011AF7C000000010000000000000000000000000000000000000000000000D89A4F917C0000000300000000000000A09A4F917C000000F88010AF7C0000000000000000000000A751015800000000E0BB0A240000000039CE54C88BFA34FBFFFFFFFFFFFFFF7FB045BF8B7C000000FFFFFFFF0000000039CE54C88BFA34FB
10 14 14:44:07 750 17778 16600 F google breakpad: S 0000007C914F9A80 FFFFFFFFFFFFFFFF0412000000000000DFFFFFFFFFFFFFFF39CE54C88BFA34FB0600000000000000F8A44F917C000000E09A4F917C00000040FE19B27C000000A0D2D6B07C00000060D2D6B07C00000090A04F917C0000000600000000000000009B4F917C000000DCAE15B27C00000090A04F917C0000003B5BA4AF7C000000409B4F917C000000943715B27C000000FFFFFFFF00000000406011AF7C000000A0D2D6B07C00000060D2D6B07C00000090A04F917C000000DFFFFFFFFFFFFFFF50A04F917C000000F87710AF7C000000706572736973742E6C6F672E7461672E60A04F917C000000E09B4F917C0000003804000080070000000000000000000000000000000000000000000000000000000000000000000000000000000000000000F04400000000000000000000000000000000000000000000000000000000000087440000000000000000000000002A3392907C0000000200000000000000F80000000000000000000000000000000010A7B27C0000000000000000000000
10 14 14:44:07 750 17778 16600 F google breakpad: S 0000007C914F9C00 60A04F917C000000009C4F917C000000D09B4F917C000000D8FFFFFF80FFFFFF4C65616B6564203220475055206F626A6563747321006E6720302E3030422C20636F756E74203D20310A4F666673637265656E427566666572206973207573696E6720302E3030422C20636F756E74203D20300A4C61796572206973207573696E6720302E3030422C20636F756E74203D20310A0000000000000000000000000000000000000000FFFFFFFF000000000040000000000000000000000000000000000000000000000000000000000000000000000000000000CE54C88BFA34FBDA9E4F917C0000001E000000000000000200000000000000A0A04F917C00000039CE54C88BFA34FB39CE54C88BFA34FB020000000000000039CE54C88BFA34FB39CE54C88BFA34FB39CE54C88BFA34FB129F4F917C00000016000000000000000100000000000000FFFFFFFFFFFFFFFF809D4F917C000000D48315B27C000000129F4F917C00000016000000000000000100000000000000FFFFFFFFFFFFFFFF
10 14 14:44:07 751 17778 16600 F google breakpad: S 0000007C914F9D80 B09E4F917C000000707BD6AF7C00000000000000000000000000000000000000709E4F917C000000E09D4F917C00000038040000800700000000000000000000A831DCAF7C00000048D4D7AF7C000000000000000000000000000000000000000000F0440000000039CE54C88BFA34FB129F4F917C000000D89E4F917C000000139F4F917C00000039CE54C88BFA34FB200000000000000000000000000000000100000000000000E99E4F917C00000010A14F917C000000A8A04F917C000000B09E4F917C0000009080D6AF7C000000000000000000000039CE54C88BFA34FB020000000000000039CE54C88BFA34FB020000000000000039CE54C88BFA34FB39CE54C88BFA34FB129F4F917C000000139F4F917C000000A8A04F917C00000010A14F917C0000002000000000000000609F4F917C000000D879D6AF7C00000020000000000000000030DCAF7C000000EA9E4F917C000000E99E4F917C000000256C640000000000A8314F917C000000709F4F917C0000005CF59FAF7C000000
10 14 14:44:07 752 17778 16600 F google breakpad: S 0000007C914F9F00 00000000000090400000000000000000281F31007C00000048D4D7AF7C000000000000000000000039CE54C88BFA34FB0A00000000000000A8A04F917C00000010A14F917C000000C02EDCAF7C0000000100000000000000A0A04F917C000000D09F4F917C00000064E09FAF7C000000D09F4F917C0000000030DCAF7C0000005831DCAF7C00000039CE54C88BFA34FB783DC6AE7C000000D018B1887C0000006C3820B27C00000039CE54C88BFA34FBA0D2D6B07C00000008685F937C00000000685F937C00000020860F917C00000050A04F917C000000D4731CB27C00000000A04F917C0000001C42D4AF7C000000700000000000000060A04F917C00000050A04F917C00000039CE54C88BFA34FBFFFFFFFFFFFFFF7FB045BF8B7C00000060A04F917C000000009C4F917C000000D09B4F917C000000D8FFFFFF80FFFFFF90A04F917C00000060A04F917C000000E0A14F917C000000C4DC9FAF7C00000071000000000000006C0000000000000020860F917C0000000000000000000000
10 14 14:44:07 752 17778 16600 F google breakpad: S 0000007C914FA080 0000000000000000000000000000000078D2D6B07C0000000000000000000000A0D2D6B07C000000F0B911B07C0000000030DCAF7C000000C03292907C000000C03292907C000000203392907C000000C03292907C0000002C3392907C0000007F3392907C000000C100000000000000BF00000000000000C03292907C0000002C3392907C000000180000008BFA34FBC8D2D6B07C000000061000007C000000020000000000000000000000000000000000000000000000A8A04F917C0000000030DCAF7C00000000000000000000000000000000000000000000000000000000000000000000000000000000000000000000000000000000000000000000000000000000000000000000000000000000000000000000000000000000000000200000007C00000039CE54C88BFA34FB783DC6AE7C000000D018B1887C000000546311AF7C00000039CE54C88BFA34FB5000000000000000400942A77C00000000A24F917C000000FCE09DAF7C0000005000000000000000403CC6AE7C000000
10 14 14:44:07 753 17778 16600 F google breakpad: S 0000007C914FA200 50A24F917C000000CCB89DAF7C000000280000000000000039CE54C88BFA34FBFFFFFFFF00000000603DC6AE7C000000583DC6AE7C0000000000000000000000D03CC6AE7C000000B045BF8B7C00000060A24F917C0000004C039EAF7C00000080A24F917C00000038149EAF7C000000D03CC6AE7C000000403CC6AE7C000000F0A24F917C00000094289EAF7C000000703DC6AE7C000000603DC6AE7C000000008193A47C000000043D05B27C00000039CE54C88BFA34FB00D00F0000000000D0A44F917C00000039CE54C88BFA34FB0000000000000000583CC6AE7C00000010A34F917C000000403CC6AE7C00000060A34F917C000000644405B27C00000060A34F917C000000D4F48CAE7C000000403CC6AE7C000000C0A951937C000000403CC6AE7C00000039CE54C88BFA34FBD0A44F917C000000403CC6AE7C00000000505D937C000000504305B27C000000B875C3B07C0000000000C3B07C00000070A34F917C000000504CB1B07C00000030A44F917C00000040F619B27C000000
10 14 14:44:07 753 17778 16600 F google breakpad: S 0000007C914FA380 50A44F917C000000D0A44F917C0000002E3F00000000000040AA51937C00000039CE54C88BFA34FBD84BB1B07C00000040AA51937C00000000E93C927C000000040001007C00000000505D937C000000000000000000000039CE54C88BFA34FB008193A47C000000043D05B27C00000039CE54C88BFA34FB00D00F0000000000D0A44F917C00000039CE54C88BFA34FB40AA51937C0000002E3F000000000000984AB2B27C00000039CE54C88BFA34FB40A44F917C000000004A15B27C0000000000000000000000000000000000000050549F917C00000050F45F917C000000D84000002E3F0000010000007F00000000E03F917C00000050C40F00000000000010000000000000000000000000000020AA51937C00000090D1C4FF7F00000003000000000000000000000000000000043D05B27C00000040AA51937C000000000000000000000000B070A77C000000010000000000000000D00F00000000000000000000000000E8A44F917C00000050A44F917C0000001600000000000000
10 14 14:44:07 754 17778 16600 F google breakpad: S 0000007C914FA500 F027D7B07C000000000000000000000039CE54C88BFA34FB0000000000000000003A64917C0000000000000000000000010000000000000000685F937C0000000100000000000000FFFFFFFFFFFFFFFF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10000000000000060D63A927C000000000000000000000000000000000000000000000000000000000000000000000000000000000000000000000000000000000000000000000000000000000000000100000000000000103073917C0000000100000000000000E0AB3A927C000000010000000000000000853A927C000000000000000000000000000000000000000100000000000000C0E37F917C000000
10 14 14:44:07 754 17778 16600 F google breakpad: S 0000007C914FA680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
10 14 14:44:07 755 17778 16600 F google breakpad: S 0000007C914FA800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
10 14 14:44:07 756 17778 16600 F google breakpad: S 0000007C914FA980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
10 14 14:44:07 756 17778 16600 F google breakpad: S 0000007C914FAB00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
10 14 14:44:07 757 17778 16600 F google breakpad: S 0000007C914FAC80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
10 14 14:44:07 757 17778 16600 F google breakpad: S 0000007C914FAE00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
10 14 14:44:07 757 17778 16600 F google breakpad: S 0000007C914FAF80 0000000000000000000000000000000000000000000000000000000000000000000000000000000000000000000000000000000000000000000000000000000000000000000000000000000000000000000000000000000000000000000000000000000000000000000000000000000000000000000000000000000000000000
10 14 14:44:07 760 17778 16600 F google breakpad: C 06000080000000000000000000000000D84000000000000006000000000000000800000000000000696E7374616E000000000000000000000010A7B27C00000000000000000000008300000000000000DFFFFFFFFFFFFFFF00000000000000000100000000000000180000000000000000000000000000000000000000000000D7F39BE0BB0A2400D08E1FB27C0000002C2A1AB27C0000000004000000000000F8A44F917C000000060000000000000050A44F917C0000000B00000000000000406011AF7C000000FFFFFFFF00000000B045BF8B7C000000FFFFFFFFFFFFFF7FD018B1887C000000783DC6AE7C000000E09A4F917C00000058FE19B27C000000C09A4F917C000000342A1AB27C000000000000601300000000000000706572736973742E6C6F672E7461672E60A04F917C000000009C4F917C0000003804000080070000000000000000000000000000000000000000000000000000000000000000000000000000000000000000F0440000000000000000000000000000000000000000000000000000000000008744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803F000000000000000000000000000000000000000000000000000000000000803F00000000000000000000000000000000000000000000000000000000000000000000000000000000000000000000803F00000000000000000000000000A0D24400000000000000000000000000A0D8440000000000000000000000000080F74600000000000000000000000000007044000000000000000000000000000004420000000000000000000000000000803F0000000000000000000000000000003F0000000000000000000000000000803F0000000000000000000000000000803F000000000000000000000000
10 14 14:44:07 760 17778 16600 F google breakpad: M 0000005591732000 0000000000000000 0000000000004000 8EC9A85DD231ED9DAF9AED22325EECDE0 app process64
10 14 14:44:07 760 17778 16600 F google breakpad: M 0000000070BA0000 00000000005A1000 0000000000409000 000000000000000000000000000000000 boot oat
10 14 14:44:07 760 17778 16600 F google breakpad: M 000000007144B000 00000000004A0000 0000000000316000 000000000000000000000000000000000 boot core libart oat
10 14 14:44:07 760 17778 16600 F google breakpad: M 00000000717D3000 0000000000070000 0000000000058000 000000000000000000000000000000000 boot conscrypt oat
10 14 14:44:07 760 17778 16600 F google breakpad: M 00000000718B7000 000000000008A000 0000000000065000 000000000000000000000000000000000 boot okhttp oat
10 14 14:44:07 760 17778 16600 F google breakpad: M 0000000071927000 0000000000009000 0000000000003000 000000000000000000000000000000000 boot core junit oat
10 14 14:44:07 760 17778 16600 F google breakpad: M 0000000071A97000 000000000016B000 0000000000047000 000000000000000000000000000000000 boot bouncycastle oat
10 14 14:44:07 760 17778 16600 F google breakpad: M 0000000071BFD000 000000000011D000 0000000000043000 000000000000000000000000000000000 boot ext oat
10 14 14:44:07 760 17778 16600 F google breakpad: M 000000007327D000 000000000163B000 000000000107E000 000000000000000000000000000000000 boot framework oat
10 14 14:44:07 761 17778 16600 F google breakpad: M 00000000745BE000 00000000002C1000 000000000020B000 000000000000000000000000000000000 boot telephony common oat
10 14 14:44:07 761 17778 16600 F google breakpad: M 00000000747FB000 0000000000030000 0000000000012000 000000000000000000000000000000000 boot voip common oat
10 14 14:44:07 761 17778 16600 F google breakpad: M 0000000074839000 000000000002A000 000000000001C000 000000000000000000000000000000000 boot ims common oat
10 14 14:44:07 761 17778 16600 F google breakpad: M 00000000749A7000 0000000000150000 0000000000025000 000000000000000000000000000000000 boot apache xml oat
10 14 14:44:07 761 17778 16600 F google breakpad: M 0000000074A7C000 00000000000AE000 0000000000075000 000000000000000000000000000000000 boot org apache http legacy boot oat
10 14 14:44:07 761 17778 16600 F google breakpad: M 0000007C8AC85000 0000000000CD5000 0000000000C85000 000000000000000000000000000000000 base odex
10 14 14:44:07 761 17778 16600 F google breakpad: M 0000007C94A2C000 0000000001029000 0000000000426000 000000000000000000000000000000000 base odex
10 14 14:44:07 761 17778 16600 F google breakpad: M 0000007C97000000 0000000000000000 0000000002000000 000000000000000000000000000000000 dalvik jit code cache (deleted)
10 14 14:44:07 766 17778 16600 F google breakpad: M 0000007C9A000000 0000000000B81000 000000000370B000 F2DC85166DEC73B9FC814E0FDA4C11120 libmonochrome so
10 14 14:44:07 766 17778 16600 F google breakpad: M 0000007CA1429000 0000000000000000 0000000000002000 35606CF353FCF5BEDE18C097619EB7820 libwebviewchromium loader so
10 14 14:44:07 766 17778 16600 F google breakpad: M 0000007CA1540000 0000000000000000 0000000000020000 DC38B1E610AA814EA71C3A224E5613EC0 libcompiler rt so
10 14 14:44:07 766 17778 16600 F google breakpad: M 0000007CA15CE000 0000000000000000 0000000000006000 1749D2DA3AB4E2470075D39E047A21C80 libmemalloc so
10 14 14:44:07 766 17778 16600 F google breakpad: M 0000007CA15B6000 0000000000000000 000000000032B000 3F724AD419284DAE2534EEE9B03300770 libGLESv2 adreno so
10 14 14:44:07 767 17778 16600 F google breakpad: M 0000007CA18C5000 0000000000000000 0000000000BDD000 3BEC6430BF27C3DAA7F18EF7D59656E00 libllvm glnext so
10 14 14:44:07 767 17778 16600 F google breakpad: M 0000007CA4A01000 0000000000000000 0000000000001000 31D906D5F58D8C8E241FBA995B9BA5860 libqdMetaData so
10 14 14:44:07 767 17778 16600 F google breakpad: M 0000007CA4A04000 0000000000000000 000000000000A000 9F5C09E4C00D4EA4F063ABF610A3646E0 libqdutils so
10 14 14:44:07 767 17778 16600 F google breakpad: M 0000007CA4A0E000 0000000000000000 0000000000009000 95F6409462BD1FE1E331712FE66CCEB80 libqservice so
10 14 14:44:07 767 17778 16600 F google breakpad: M 0000007CA4A1B000 0000000000000000 0000000000007000 402539034E72BEE60D5821AE06146EC20 gralloc msm8992 so
10 14 14:44:07 767 17778 16600 F google breakpad: M 0000007CA4A26000 0000000000000000 0000000000032000 45AA0947BD52D84F5F07469E16A303FF0 libGLESv1 CM adreno so
10 14 14:44:07 767 17778 16600 F google breakpad: M 0000007CA4A5A000 0000000000000000 0000000000018000 749540BD708E30C6D9D84E4607BC879F0 libEGL adreno so
10 14 14:44:07 767 17778 16600 F google breakpad: M 0000007CA4A76000 0000000000000000 0000000000048000 CE580C0BC9A2686AB5AB5F2CD2A72FFF0 libgsl so
10 14 14:44:07 767 17778 16600 F google breakpad: M 0000007CA4B02000 0000000000000000 000000000000F000 B4B2DC51DE51D7CF1B0DFDC68DCADA050 libkeymaster messages so
10 14 14:44:07 767 17778 16600 F google breakpad: M 0000007CA4B10000 0000000000000000 000000000001E000 FA8E7C8F25E778CAD13831448C270FB70 libkeystore binder so
10 14 14:44:07 767 17778 16600 F google breakpad: M 0000007CA4B33000 0000000000000000 0000000000002000 3EF2886C3E0AC15EE5CFCC83072DA2350 libkeystore engine so
10 14 14:44:07 767 17778 16600 F google breakpad: M 0000007CA4B37000 0000000000000000 0000000000020000 0CB138BCE136BDF8BE63BA758C7EC86F0 libsoftkeymasterdevice so
10 14 14:44:07 767 17778 16600 F google breakpad: M 0000007CA4B58000 0000000000000000 000000000002E000 A09DB8F5E30A8ACC0CCD8D8B8645789E0 libkeymaster1 so
10 14 14:44:07 767 17778 16600 F google breakpad: M 0000007CA4B88000 0000000000000000 0000000000029000 4C23CF95604586E65D9307467C0DF4CF0 libjavacrypto so
10 14 14:44:07 767 17778 16600 F google breakpad: M 0000007CA4BC1000 0000000000000000 0000000000006000 7B2907A86EB2397F768155079F6B2CCC0 libadreno utils so
10 14 14:44:07 767 17778 16600 F google breakpad: M 0000007CA4BE9000 0000000000000000 000000000001F000 7BA7E3B3612FAC8B3F2E2DD938F8DA3F0 libmtp so
10 14 14:44:07 767 17778 16600 F google breakpad: M 0000007CA4C03000 0000000000000000 000000000007B000 3E77D4D2F5BCF9D54C63124BFF9380C00 libmedia jni so
10 14 14:44:07 767 17778 16600 F google breakpad: M 0000007CA4C7D000 0000000000000000 000000000002F000 DFE07BBAA4CD3C6F38FCEDAFBE2243210 libexif so
10 14 14:44:07 767 17778 16600 F google breakpad: M 0000007CA4CC1000 0000000000000000 0000000000010000 79D80DD0901EFD83359C244B84B82A560 libstagefright amrnb common so
10 14 14:44:07 767 17778 16600 F google breakpad: M 0000007CA4CE2000 0000000000000000 000000000000D000 F975DEC38870B764C654764D13094A0B0 eglSubDriverAndroid so
10 14 14:44:07 767 17778 16600 F google breakpad: M 0000007CA8DBD000 0000000000000000 00000000000D5000 0A0C8EB39646B1F0EEF2242CBCDEBC8B0 libvixl so
10 14 14:44:07 768 17778 16600 F google breakpad: M 0000007CA8E6C000 0000000000000000 00000000003ED000 E92D752902EBAE67666A45340177F2950 libart compiler so
10 14 14:44:07 768 17778 16600 F google breakpad: M 0000007CA927B000 0000000000000000 000000000003F000 0E2DA26CE778651B6A95905EB1CB80AE0 libopenjdk so
10 14 14:44:07 768 17778 16600 F google breakpad: M 0000007CA92BB000 0000000000000000 000000000003D000 A65A8F65E10F6630CB7E41D8CA79BDCA0 libjavacore so
10 14 14:44:07 768 17778 16600 F google breakpad: M 0000007CAE5DD000 0000000000000000 000000000060E000 0E75C72CA8DDE6BAEBE9A4B3D69B4CE80 libart so
10 14 14:44:07 768 17778 16600 F google breakpad: M 0000007CAF0F7000 0000000000000000 000000000001D000 FE4FF135FCAA7DD7E968673D1D9A9C600 libcutils so
10 14 14:44:07 768 17778 16600 F google breakpad: M 0000007CAF0FE000 0000000000000000 0000000000183000 462932A7034CD5DFA20793E52309A79C0 libicuuc so
10 14 14:44:07 768 17778 16600 F google breakpad: M 0000007CAF296000 0000000000000000 000000000001C000 10CF908BFB972163D06A3B4AD8DF33AD0 libvulkan so
10 14 14:44:07 768 17778 16600 F google breakpad: M 0000007CAF2B6000 0000000000000000 0000000000001000 DD49D9CF04ED0143963B7797A28F7E1B0 libstagefright enc common so
10 14 14:44:07 768 17778 16600 F google breakpad: M 0000007CAF2B9000 0000000000000000 0000000000008000 8B84BC3890207EBF2A28F26FAAC24B9B0 libstagefright avc common so
10 14 14:44:07 768 17778 16600 F google breakpad: M 0000007CAF2C2000 0000000000000000 0000000000041000 0AFDAC68528D7EDE0029D946F492BF580 libandroidfw so
10 14 14:44:07 768 17778 16600 F google breakpad: M 0000007CAF2BA000 0000000000000000 000000000059A000 6F3A752A784EA6B332B8E1F7876D59390 libskia so
10 14 14:44:07 768 17778 16600 F google breakpad: M 0000007CAF897000 0000000000000000 0000000000006000 E6CD825B803E6846F09315324B8A651D0 libnetutils so
10 14 14:44:07 768 17778 16600 F google breakpad: M 0000007CAF886000 0000000000000000 000000000005C000 F59998BC291E5EF0C516E97C026FFF140 libcamera client so
10 14 14:44:07 768 17778 16600 F google breakpad: M 0000007CAF8F0000 0000000000000000 0000000000059000 30FF74B47DC101DAD2791D8A62E827830 libinputflinger so
10 14 14:44:07 768 17778 16600 F google breakpa</t>
  </si>
  <si>
    <t>mapzen-android-201</t>
  </si>
  <si>
    <t>SDK Routing Sample Crash</t>
  </si>
  <si>
    <t xml:space="preserve">SDK Sample App crashes when backing out of Routing example
</t>
  </si>
  <si>
    <t>twilio-video-quickstart-android-31</t>
  </si>
  <si>
    <t>Emulated web cam causes a crash in com.twilio:video-android:1.0.0-beta1</t>
  </si>
  <si>
    <t xml:space="preserve">Using the camera on an emulator will result in a native crash 
  adb shell am start  n  com twilio video quickstart com twilio video quickstart activity VideoActivity   a android intent action MAIN  c android intent category LAUNCHER 
Connected to process 2704 on device emulator 5554 
I InstantRun: Instant Run Runtime started  Android package is com twilio video quickstart  real application class is null  
W art: Before Android 4 1  method android graphics PorterDuffColorFilter android support graphics drawable VectorDrawableCompat updateTintFilter(android graphics PorterDuffColorFilter  android content res ColorStateList  android graphics PorterDuff Mode) would have incorrectly overridden the package private method in android graphics drawable Drawable 
D OpenGLRenderer: Use EGL SWAP BEHAVIOR PRESERVED: true 
                    10 13 15:38:21 799  2704: 2704 D            
                  HostConnection::get() New Host Connection established 0xad1fa410  tid 2704 
I org webrtc Logging: EglBase14: SDK version: 23  isEGL14Supported: true 
I org webrtc Logging: SurfaceViewRenderer: thumbnail video view: Initializing  
I org webrtc Logging: EglBase14: SDK version: 23  isEGL14Supported: true 
I org webrtc Logging: SurfaceViewRenderer: primary video view: Initializing  
I org webrtc Logging: EglBase14: SDK version: 23  isEGL14Supported: true 
I OpenGLRenderer: Initialized EGL  version 1 4 
                    10 13 15:38:21 961  2704: 2821 D            
                  HostConnection::get() New Host Connection established 0xae467690  tid 2821 
I org webrtc Logging: SurfaceViewRenderer: primary video view: Surface created  
I org webrtc Logging: SurfaceViewRenderer: primary video view: Surface changed: 1080x1536 
                        10 13 15:38:22 047  2704: 2836 D            
                      HostConnection::get() New Host Connection established 0xae467f90  tid 2836 
                        10 13 15:38:22 080  2822: 2837 D            
                      HostConnection::get() New Host Connection established 0xae467450  tid 2837 
D JVM: JVM::Initialize  tid 2704  
D JVM: JVM::JVM  tid 2704  
W VideoCapabilities: Unrecognized profile level 0 0 for video mpeg2 
W VideoCapabilities: Unrecognized profile level 0 2 for video mpeg2 
W VideoCapabilities: Unrecognized profile level 0 3 for video mpeg2 
I VideoCapabilities: Unsupported profile 4 for video mp4v es 
I org webrtc Logging: MediaCodecVideoDecoder: Trying to find HW decoder for mime video x vnd on2 vp8 
I org webrtc Logging: MediaCodecVideoDecoder: Found candidate decoder OMX google vp8 decoder 
I org webrtc Logging: MediaCodecVideoDecoder: No HW decoder found for mime video x vnd on2 vp8 
I org webrtc Logging: MediaCodecVideoDecoder: Trying to find HW decoder for mime video x vnd on2 vp9 
I org webrtc Logging: MediaCodecVideoDecoder: Found candidate decoder OMX google vp9 decoder 
I org webrtc Logging: MediaCodecVideoDecoder: No HW decoder found for mime video x vnd on2 vp9 
I org webrtc Logging: MediaCodecVideoDecoder: Trying to find HW decoder for mime video avc 
I org webrtc Logging: MediaCodecVideoDecoder: Found candidate decoder OMX google h264 decoder 
I org webrtc Logging: MediaCodecVideoDecoder: No HW decoder found for mime video avc 
D JVM: AttachCurrentThreadIfNeeded::ctor  tid 2841  
D JVM: Attaching thread to JVM 
D JVM: JVM::environment  tid 2841  
D JVM: JNIEnvironment::ctor  tid 2841  
D AudioManager: ctor  tid 2841  
D JVM: JNIEnvironment::RegisterNatives(org webrtc voiceengine WebRtcAudioManager) 
D JVM: NativeRegistration::ctor  tid 2841  
D JVM: NativeRegistration::NewObject  tid 2841  
I org webrtc Logging: WebRtcAudioManager: ctor  name Thread 126  id 126  
I org webrtc Logging: WebRtcAudioManager: Sample rate is set to 44100 Hz 
I org webrtc Logging: WebRtcAudioEffects: canUseAcousticEchoCanceler: false 
I org webrtc Logging: WebRtcAudioEffects: canUseAutomaticGainControl: false 
I org webrtc Logging: WebRtcAudioEffects: canUseNoiseSuppressor: false 
D AudioManager: OnCacheAudioParameters  tid 2841  
D AudioManager: hardware aec: 0 
D AudioManager: hardware agc: 0 
D AudioManager: hardware ns: 0 
D AudioManager: low latency output: 0 
D AudioManager: sample rate: 44100 
D AudioManager: channels: 1 
D AudioManager: output buffer size: 2052 
D AudioManager: input buffer size: 320 
D JVM: GlobalRef::ctor  tid 2841  
D AudioManager: JavaAudioManager::ctor  tid 2841  
D AudioManager: IsLowLatencyPlayoutSupported() 
D JVM: AttachCurrentThreadIfNeeded::ctor  tid 2841  
D JVM: JVM::environment  tid 2841  
D JVM: JNIEnvironment::ctor  tid 2841  
D AudioTrackJni: ctor  tid 2841  
D JVM: JNIEnvironment::RegisterNatives(org webrtc voiceengine WebRtcAudioTrack) 
D JVM: NativeRegistration::ctor  tid 2841  
D JVM: NativeRegistration::NewObject  tid 2841  
I org webrtc Logging: WebRtcAudioTrack: ctor  name Thread 126  id 126  
D JVM: GlobalRef::ctor  tid 2841  
D JVM: AttachCurrentThreadIfNeeded::ctor  tid 2841  
D JVM: JVM::environment  tid 2841  
D JVM: JNIEnvironment::ctor  tid 2841  
D AudioRecordJni: ctor  tid 2841  
D JVM: JNIEnvironment::RegisterNatives(org webrtc voiceengine WebRtcAudioRecord) 
D JVM: NativeRegistration::ctor  tid 2841  
D JVM: NativeRegistration::NewObject  tid 2841  
I org webrtc Logging: WebRtcAudioRecord: ctor  name Thread 126  id 126  
I org webrtc Logging: WebRtcAudioEffects: ctor  name Thread 126  id 126  
D JVM: GlobalRef::ctor  tid 2841  
D AudioManager: SetActiveAudioLayer(5)  tid 2841  
D AudioManager: delay estimate in milliseconds: 150 
D AudioTrackJni: AttachAudioBuffer  tid 2841  
D AudioTrackJni: SetPlayoutSampleRate(44100) 
D AudioTrackJni: SetPlayoutChannels(1) 
D AudioRecordJni: AttachAudioBuffer 
D AudioRecordJni: SetRecordingSampleRate(44100) 
D AudioRecordJni: SetRecordingChannels(1) 
D AudioRecordJni: total delay in milliseconds: 150 
D AudioManager: Init  tid 2841  
I org webrtc Logging: WebRtcAudioManager: init  name Thread 126  id 126  
I org webrtc Logging: WebRtcAudioManager: audio mode is: MODE NORMAL 
D AudioTrackJni: Init  tid 2841  
D AudioRecordJni: Init  tid 2841  
I org webrtc Logging: EglBase14: SDK version: 23  isEGL14Supported: true 
                        10 13 15:39:39 901  2704: 2843 D            
                      HostConnection::get() New Host Connection established 0xae468da0  tid 2843 
W CameraBase: An error occurred while connecting to camera:  1 
E art: 0xb409cb80 SpaceTypeMallocSpace begin 0x12c00000 end 0x12faa000 limit 0x2ac00000 size 3MB capacity 384MB non growth limit capacity 384MB name  main rosalloc space   
E art: 0xaaabe9c0 allocspace main rosalloc space live bitmap 3 begin 0x12c00000 end 0x2ac00000  
E art: 0xaaabe980 allocspace main rosalloc space mark bitmap 3 begin 0x12c00000 end 0x2ac00000  
E art: 0xb405c0c0 SpaceTypeImageSpace begin 0x6ff8c000 end 0x70691760 size 7MB name   data dalvik cache x86 system framework boot art   
E art: 0xb40492c0 imagespace  data dalvik cache x86 system framework boot art live bitmap 0 begin 0x6ff8c000 end 0x706cc000  
E art: 0xb40492c0 imagespace  data dalvik cache x86 system framework boot art live bitmap 0 begin 0x6ff8c000 end 0x706cc000  
E art: 0xaff88740 SpaceTypeZygoteSpace begin 0x74514000 end 0x745ee000 size 872KB name  Zygote space   
E art: 0xb405eaa0 allocspace zygote   non moving space live bitmap 0 begin 0x74514000 end 0x745ee000  
E art: 0xb405ea60 allocspace zygote   non moving space mark bitmap 0 begin 0x74514000 end 0x745ee000  
E art: 0xae479080 SpaceTypeMallocSpace begin 0x745ee000 end 0x74601000 limit 0x78514000 size 76KB capacity 63MB non growth limit capacity 63MB name  non moving space   
E art: 0xaaabe020 allocspace non moving space live bitmap 4 begin 0x745ee000 end 0x78514000  
E art: 0xaaabe600 allocspace non moving space mark bitmap 4 begin 0x745ee000 end 0x78514000  
E art: 0xb40e2180 mem map large object space:GcRetentionPolicyAlwaysCollect 
A art: art runtime java vm ext cc:410  JNI DETECTED ERROR IN APPLICATION: invalid jfieldID: 0xb7321c9d 
A art: art runtime java vm ext cc:410      in call to GetStaticObjectField 
A art: art runtime java vm ext cc:410   Thread 126  prio 5 tid 16 Runnable 
A art: art runtime java vm ext cc:410      group  main  sCount 0 dsCount 0 obj 0x12d190a0 self 0xa27b3600 
A art: art runtime java vm ext cc:410      sysTid 2841 nice 0 cgrp default sched 0 0 handle 0xa0580930 
A art: art runtime java vm ext cc:410      state R schedstat ( 0 0 0 ) utm 1 stm 0 core 1 HZ 100 
A art: art runtime java vm ext cc:410      stack 0xa0484000 0xa0486000 stackSize 1014KB 
A art: art runtime java vm ext cc:410      held mutexes   mutator lock (shared held) 
A art: art runtime java vm ext cc:410    native:  00 pc 0058bd02   system lib libart so (art::DumpNativeStack(std::  1::basic ostream char  std::  1::char traits char      int  char const   art::ArtMethod   void ) 226) 
A art: art runtime java vm ext cc:410    native:  01 pc 0055194e   system lib libart so (art::Thread::Dump(std::  1::basic ostream char  std::  1::char traits char    ) const 286) 
A art: art runtime java vm ext cc:410    native:  02 pc 003a482f   system lib libart so (art::JavaVMExt::JniAbort(char const   char const ) 1247) 
A art: art runtime java vm ext cc:410    native:  03 pc 003a5eac   system lib libart so (art::JavaVMExt::JniAbortV(char const   char const   char ) 116) 
A art: art runtime java vm ext cc:410    native:  04 pc 00163a10   system lib libart so (art::ScopedCheck::AbortF(char const      ) 62) 
A art: art runtime java vm ext cc:410    native:  05 pc 0016e1fd   system lib libart so (art::ScopedCheck::Check(art::ScopedObjectAccess   bool  char const   art::JniValueType ) ( constprop 114) 749) 
A art: art runtime java vm ext cc:410    native:  06 pc 0017a1a3   system lib libart so (art::CheckJNI::GetField(char const    JNIEnv    jobject    jfieldID   bool  art::Primitive::Type) 643) 
A art: art runtime java vm ext cc:410    native:  07 pc 0017ab25   system lib libart so (art::CheckJNI::GetStaticObjectField( JNIEnv    jclass    jfieldID ) 76) 
A art: art runtime java vm ext cc:410    native:  08 pc 001de93d   data app com twilio video quickstart 1 lib x86 libjingle peerconnection so so (twilio video jni::VideoPixelFormat::getJavaVideoPixelFormat(unsigned int) 109) 
A art: art runtime java vm ext cc:410    native:  09 pc 001d85c9   data app com twilio video quickstart 1 lib x86 libjingle peerconnection so so (twilio video jni::VideoCapturerDelegate::Start(cricket::VideoFormat const   webrtc::AndroidVideoCapturer ) 89) 
A art: art runtime java vm ext cc:410    native:  10 pc 00a67459   data app com twilio video quickstart 1 lib x86 libjingle peerconnection so so (   ) 
A art: art runtime java vm ext cc:410    native:  11 pc 005bc6bd   data app com twilio video quickstart 1 lib x86 libjingle peerconnection so so (   ) 
A art: art runtime java vm ext cc:410    native:  12 pc 0053f347   data app com twilio video quickstart 1 lib x86 libjingle peerconnection so so (   ) 
A art: art runtime java vm ext cc:410    native:  13 pc 005235cf   data app com twilio video quickstart 1 lib x86 libjingle peerconnection so so (   ) 
A art: art runtime java vm ext cc:410    native:  14 pc 00523616   data app com twilio video quickstart 1 lib x86 libjingle peerconnection so so (   ) 
A art: art runtime java vm ext cc:410    native:  15 pc 00522f6c   data app com twilio video quickstart 1 lib x86 libjingle peerconnection so so (   ) 
A art: art runtime java vm ext cc:410    native:  16 pc 00523750   data app com twilio video quickstart 1 lib x86 libjingle peerconnection so so (   ) 
A art: art runtime java vm ext cc:410    native:  17 pc 005237b6   data app com twilio video quickstart 1 lib x86 libjingle peerconnection so so (   ) 
A art: art runtime java vm ext cc:410    native:  18 pc 00524187   data app com twilio video quickstart 1 lib x86 libjingle peerconnection so so (   ) 
A art: art runtime java vm ext cc:410    native:  19 pc 00080a93   system lib libc so (  pthread start(void ) 56) 
A art: art runtime java vm ext cc:410    native:  20 pc 00021952   system lib libc so (  start thread 25) 
A art: art runtime java vm ext cc:410    native:  21 pc 000170b6   system lib libc so (  bionic clone 70) 
A art: art runtime java vm ext cc:410    (no managed stack frames) 
A art: art runtime java vm ext cc:410   
A art: art runtime runtime cc:366  Runtime aborting    
A art: art runtime runtime cc:366  Aborting thread: 
A art: art runtime runtime cc:366   Thread 126  prio 5 tid 16 Native 
A art: art runtime runtime cc:366      group    sCount 0 dsCount 0 obj 0x12d190a0 self 0xa27b3600 
A art: art runtime runtime cc:366      sysTid 2841 nice 0 cgrp default sched 0 0 handle 0xa0580930 
A art: art runtime runtime cc:366      state R schedstat ( 0 0 0 ) utm 2 stm 0 core 1 HZ 100 
A art: art runtime runtime cc:366      stack 0xa0484000 0xa0486000 stackSize 1014KB 
A art: art runtime runtime cc:366      held mutexes   abort lock  
A art: art runtime runtime cc:366    native:  00 pc 0058bd02   system lib libart so (art::DumpNativeStack(std::  1::basic ostream char  std::  1::char traits char      int  char const   art::ArtMethod   void ) 226) 
A art: art runtime runtime cc:366    native:  01 pc 0055194e   system lib libart so (art::Thread::Dump(std::  1::basic ostream char  std::  1::char traits char    ) const 286) 
A art: art runtime runtime cc:366    native:  02 pc 005176de   system lib libart so (art::Runtime::Abort() 1164) 
A art: art runtime runtime cc:366    native:  03 pc 0014d9f3   system lib libart so (art::LogMessage:: LogMessage() 1343) 
A art: art runtime runtime cc:366    native:  04 pc 003a5252   system lib libart so (art::JavaVMExt::JniAbort(char const   char const ) 3842) 
A art: art runtime runtime cc:366    native:  05 pc 003a5eac   system lib libart so (art::JavaVMExt::JniAbortV(char const   char const   char ) 116) 
A art: art runtime runtime cc:366    native:  06 pc 00163a10   system lib libart so (art::ScopedCheck::AbortF(char const      ) 62) 
A art: art runtime runtime cc:366    native:  07 pc 0016e1fd   system lib libart so (art::ScopedCheck::Check(art::ScopedObjectAccess   bool  char const   art::JniValueType ) ( constprop 114) 749) 
A art: art runtime runtime cc:366    native:  08 pc 0017a1a3   system lib libart so (art::CheckJNI::GetField(char const    JNIEnv    jobject    jfieldID   bool  art::Primitive::Type) 643) 
A art: art runtime runtime cc:366    native:  09 pc 0017ab25   system lib libart so (art::CheckJNI::GetStaticObjectField( JNIEnv    jclass    jfieldID ) 76) 
A art: art runtime runtime cc:366    native:  10 pc 001de93d   data app com twilio video quickstart 1 lib x86 libjingle peerconnection so so (twilio video jni::VideoPixelFormat::getJavaVideoPixelFormat(unsigned int) 109) 
A art: art runtime runtime cc:366    native:  11 pc 001d85c9   data app com twilio video quickstart 1 lib x86 libjingle peerconnection so so (twilio video jni::VideoCapturerDelegate::Start(cricket::VideoFormat const   webrtc::AndroidVideoCapturer ) 89) 
A art: art runtime runtime cc:366    native:  12 pc 00a67459   data app com twilio video quickstart 1 lib x86 libjingle peerconnection so so (   ) 
A art: art runtime runtime cc:366    native:  13 pc 005bc6bd   data app com twilio video quickstart 1 lib x86 libjingle peerconnection so so (   ) 
A art: art runtime runtime cc:366    native:  14 pc 0053f347   data app com twilio video quickstart 1 lib x86 libjingle peerconnection so so (   ) 
A art: art runtime runtime cc:366    native:  15 pc 005235cf   data app com twilio video quickstart 1 lib x86 libjingle peerconnection so so (   ) 
A art: art runtime runtime cc:366    native:  16 pc 00523616   data app com twilio video quickstart 1 lib x86 libjingle peerconnection so so (   ) 
A art: art runtime runtime cc:366    native:  17 pc 00522f6c   data app com twilio video quickstart 1 lib x86 libjingle peerconnection so so (   ) 
A art: art runtime runtime cc:366    native:  18 pc 00523750   data app com twilio video quickstart 1 lib x86 libjingle peerconnection so so (   ) 
A art: art runtime runtime cc:366    native:  19 pc 005237b6   data app com twilio video quickstart 1 lib x86 libjingle peerconnection so so (   ) 
A art: art runtime runtime cc:366    native:  20 pc 00524187   data app com twilio video quickstart 1 lib x86 libjingle peerconnection so so (   ) 
A art: art runtime runtime cc:366    native:  21 pc 00080a93   system lib libc so (  pthread start(void ) 56) 
A art: art runtime runtime cc:366    native:  22 pc 00021952   system lib libc so (  start thread 25) 
A art: art runtime runtime cc:366    native:  23 pc 000170b6   system lib libc so (  bionic clone 70) 
A art: art runtime runtime cc:366    (no managed stack frames) 
A art: art runtime runtime cc:366  Dumping all threads without appropriate locks held: thread list lock mutator lock 
A art: art runtime runtime cc:366  All threads: 
A art: art runtime runtime cc:366  DALVIK THREADS (17): 
A art: art runtime runtime cc:366   Thread 126  prio 5 tid 16 Runnable 
A art: art runtime runtime cc:366      group    sCount 0 dsCount 0 obj 0x12d190a0 self 0xa27b3600 
A art: art runtime runtime cc:366      sysTid 2841 nice 0 cgrp default sched 0 0 handle 0xa0580930 
A art: art runtime runtime cc:366      state R schedstat ( 0 0 0 ) utm 2 stm 1 core 1 HZ 100 
A art: art runtime runtime cc:366      stack 0xa0484000 0xa0486000 stackSize 1014KB 
A art: art runtime runtime cc:366      held mutexes   abort lock   mutator lock (shared held) 
A art: art runtime runtime cc:366    native:  00 pc 0058bd02   system lib libart so (art::DumpNativeStack(std::  1::basic ostream char  std::  1::char traits char      int  char const   art::ArtMethod   void ) 226) 
A art: art runtime runtime cc:366    native:  01 pc 0055194e   system lib libart so (art::Thread::Dump(std::  1::basic ostream char  std::  1::char traits char    ) const 286) 
A art: art runtime runtime cc:366    native:  02 pc 0055c25b   system lib libart so (art::DumpCheckpoint::Run(art::Thread ) 923) 
A art: art runtime runtime cc:366    native:  03 pc 0055edfd   system lib libart so (art::ThreadList::RunCheckpoint(art::Closure ) 301) 
A art: art runtime runtime cc:366    native:  04 pc 005600f3   system lib libart so (art::ThreadList::Dump(std::  1::basic ostream char  std::  1::char traits char    ) 243) 
A art: art runtime runtime cc:366    native:  05 pc 00517548   system lib libart so (art::Runtime::Abort() 758) 
A art: art runtime runtime cc:366    native:  06 pc 0014d9f3   system lib libart so (art::LogMessage:: LogMessage() 1343) 
A art: art runtime runtime cc:366    native:  07 pc 003a5252   system lib libart so (art::JavaVMExt::JniAbort(char const   char const ) 3842) 
A art: art runtime runtime cc:366    native:  08 pc 003a5eac   system lib libart so (art::JavaVMExt::JniAbortV(char const   char const   char ) 116) 
A art: art runtime runtime cc:366    native:  09 pc 00163a10   system lib libart so (art::ScopedCheck::AbortF(char const      ) 62) 
A art: art runtime runtime cc:366    native:  10 pc 0016e1fd   system lib libart so (art::ScopedCheck::Check(art::ScopedObjectAccess   bool  char const   art::JniValueType ) ( constprop 114) 749) 
A art: art runtime runtime cc:366    native:  11 pc 0017a1a3   system lib libart so (art::CheckJNI::GetField(char const    JNIEnv    jobject    jfieldID   bool  art::Primitive::Type) 643) 
A art: art runtime runtime cc:366    native:  12 pc 0017ab25   system lib libart so (art::CheckJNI::GetStaticObjectField( JNIEnv    jclass    jfieldID ) 76) 
A art: art runtime runtime cc:366    native:  13 pc 001de93d   data app com twilio video quickstart 1 lib x86 libjingle peerconnection so so (twilio video jni::VideoPixelFormat::getJavaVideoPixelFormat(unsigned int) 109) 
A art: art runtime runtime cc:366    native:  14 pc 001d85c9   data app com twilio video quickstart 1 lib x86 libjingle peerconnection so so (twilio video jni::VideoCapturerDelegate::Start(cricket::VideoFormat const   webrtc::AndroidVideoCapturer ) 89) 
A art: art runtime runtime cc:366    native:  15 pc 00a67459   data app com twilio video quickstart 1 lib x86 libjingle peerconnection so so (   ) 
A art: art runtime runtime cc:366    native:  16 pc 005bc6bd   data app com twilio video quickstart 1 lib x86 libjingle peerconnection so so (   ) 
A art: art runtime runtime cc:366    native:  17 pc 0053f347   data app com twilio video quickstart 1 lib x86 libjingle peerconnection so so (   ) 
A art: art runtime runtime cc:366    native:  18 pc 005235cf   data app com twilio video quickstart 1 lib x86 libjingle peerconnection so so (   ) 
A art: art runtime runtime cc:366    native:  19 pc 00523616   data app com twilio video quickstart 1 lib x86 libjingle peerconnection so so (   ) 
A art: art runtime runtime cc:366    native:  20 pc 00522f6c   data app com twilio video quickstart 1 lib x86 libjingle peerconnection so so (   ) 
A art: art runtime runtime cc:366    native:  21 pc 00523750   data app com twilio video quickstart 1 lib x86 libjingle peerconnection so so (   ) 
A art: art runtime runtime cc:366    native:  22 pc 005237b6   data app com twilio video quickstart 1 lib x86 libjingle peerconnection so so (   ) 
A art: art runtime runtime cc:366    native:  23 pc 00524187   data app com twilio video quickstart 1 lib x86 libjingle peerconnection so so (   ) 
A art: art runtime runtime cc:366    native:  24 pc 00080a93   system lib libc so (  pthread start(void ) 56) 
A art: art runtime runtime cc:366    native:  25 pc 00021952   system lib libc so (  start thread 25) 
A art: art runtime runtime cc:366    native:  26 pc 000170b6   system lib libc so (  bionic clone 70) 
A art: art runtime runtime cc:366    (no managed stack frames) 
A art: art runtime runtime cc:366   
A art: art runtime runtime cc:366   main  prio 5 tid 1 Native 
A art: art runtime runtime cc:366      group    sCount 1 dsCount 0 obj 0x74515f68 self 0xb40f4500 
A art: art runtime runtime cc:366      sysTid 2704 nice 0 cgrp default sched 0 0 handle 0xb77c5c00 
A art: art runtime runtime cc:366      state S schedstat ( 0 0 0 ) utm 41 stm 24 core 1 HZ 100 
A art: art runtime runtime cc:366      stack 0xbf7b6000 0xbf7b8000 stackSize 8MB 
A art: art runtime runtime cc:366      held mutexes  
A art: art runtime runtime cc:366    kernel: futex wait queue me 0xcd 0x113 
A art: art runtime runtime cc:366    kernel: futex wait 0xc5 0x197 
A art: art runtime runtime cc:366    kernel: do futex 0x9b 0x742 
A art: art runtime runtime cc:366    kernel: SyS futex 0xaf 0xf6 
A art: art runtime runtime cc:366    kernel: syscall call 0x7 0xb 
A art: art runtime runtime cc:366    native:  00 pc 000171e0   system lib libc so (syscall 32) 
A art: art runtime runtime cc:366    native:  01 pc 00080678   system lib libc so (pthread cond wait 106) 
A art: art runtime runtime cc:366    native:  02 pc 0059a6a3   data app com twilio video quickstart 1 lib x86 libjingle peerconnection so so (   ) 
A art: art runtime runtime cc:366    native:  03 pc 005381d2   data app com twilio video quickstart 1 lib x86 libjingle peerconnection so so (   ) 
A art: art runtime runtime cc:366    native:  04 pc 0053ce12   data app com twilio video quickstart 1 lib x86 libjingle peerconnection so so (   ) 
A art: art runtime runtime cc:366    native:  05 pc 0020993b   data app com twilio video quickstart 1 lib x86 libjingle peerconnection so so (twilio::media::LocalMediaImpl::addVideoTrack(bool  twilio::media::MediaConstraints const   cricket::VideoCapturer ) 171) 
A art: art runtime runtime cc:366    native:  06 pc 001eb512   data app com twilio video quickstart 1 lib x86 libjingle peerconnection so so (Java com twilio video LocalMedia nativeAddVideoTrack 258) 
A art: art runtime runtime cc:366    native:  07 pc 00005ecc   data data com twilio video quickstart cache slice com twilio video android 1 0 0 beta1 19893996ff02348f56f7d939e476718475190765 classes dex (com twilio video LocalVideoTrack com twilio video LocalMedia nativeAddVideoTrack(long  boolean  com twilio video VideoCapturer  com twilio video VideoConstraints) 192) 
A art: art runtime runtime cc:366    native:  08 pc 000065bf   data data com twilio video quickstart cache slice com twilio video android 1 0 0 beta1 19893996ff02348f56f7d939e476718475190765 classes dex (com twilio video LocalVideoTrack com twilio video LocalMedia addVideoTrack(boolean  com twilio video VideoCapturer  com twilio video VideoConstraints) 211) 
A art: art runtime runtime cc:366    native:  09 pc 000064b4   data data com twilio video quickstart cache slice com twilio video android 1 0 0 beta1 19893996ff02348f56f7d939e476718475190765 classes dex (com twilio video LocalVideoTrack com twilio video LocalMedia addVideoTrack(boolean  com twilio video VideoCapturer) 88) 
A art: art runtime runtime cc:366    native:  10 pc 0001985d   data data com twilio video quickstart cache slice slice 3 classes dex (void com twilio video quickstart activity VideoActivity createLocalMedia() 385) 
A art: art runtime runtime cc:366    native:  11 pc 0001b8a5   data data com twilio video quickstart cache slice slice 3 classes dex (void com twilio video quickstart activity VideoActivity onRequestPermissionsResult(int  java lang String    int  ) 425) 
A art: art runtime runtime cc:366    native:  12 pc 00982ecd   data dalvik cache x86 system framework boot oat (   ) 
A art: art runtime runtime cc:366    at com twilio video LocalMedia nativeAddVideoTrack(Native method) 
A art: art runtime runtime cc:366    at com twilio video LocalMedia addVideoTrack(LocalMedia java:135) 
A art: art runtime runtime cc:366    at com twilio video LocalMedia addVideoTrack(LocalMedia java:120) 
A art: art runtime runtime cc:366    at com twilio video quickstart activity VideoActivity createLocalMedia(VideoActivity java:196) 
A art: art runtime runtime cc:366    at com twilio video quickstart activity VideoActivity onRequestPermissionsResult(VideoActivity java:139) 
A art: art runtime runtime cc:366    at android app Activity dispatchRequestPermissionsResult(Activity java:6553) 
A art: art runtime runtime cc:366    at android app Activity dispatchActivityResult(Activity java:6432) 
A art: art runtime runtime cc:366    at android app ActivityThread deliverResults(ActivityThread java:3695) 
A art: art runtime runtime cc:366    at android app ActivityThread handleSendResult(ActivityThread java:3742) 
A art: art runtime runtime cc:366    at android app ActivityThread  wrap16(ActivityThread java: 1) 
A art: art runtime runtime cc:366    at android app ActivityThread H handleMessage(ActivityThread java:1393) 
A art: art runtime runtime cc:366    at android os Handler dispatchMessage(Handler java:102) 
A art: art runtime runtime cc:366    at android os Looper loop(Looper java:148) 
A art: art runtime runtime cc:366    at android app ActivityThread main(ActivityThread java:5417) 
A art: art runtime runtime cc:366    at java lang reflect Method invoke (Native method) 
A art: art runtime runtime cc:366    at com android internal os ZygoteInit MethodAndArgsCaller run(ZygoteInit java:726) 
A art: art runtime runtime cc:366    at com android internal os ZygoteInit main(ZygoteInit java:616) 
A art: art runtime runtime cc:366   
A art: art runtime runtime cc:366   Signal Catcher  prio 5 tid 2 WaitingInMainSignalCatcherLoop 
A art: art runtime runtime cc:366      group    sCount 1 dsCount 0 obj 0x12c5f0a0 self 0xaab42000 
A art: art runtime runtime cc:366      sysTid 2709 nice 0 cgrp default sched 0 0 handle 0xb34d5930 
A art: art runtime runtime cc:366      state S schedstat ( 0 0 0 ) utm 0 stm 0 core 1 HZ 100 
A art: art runtime runtime cc:366      stack 0xb33d9000 0xb33db000 stackSize 1014KB 
A art: art runtime runtime cc:366      held mutexes  
A art: art runtime runtime cc:366    kernel: do sigtimedwait 0xd7 0x19f 
A art: art runtime runtime cc:366    kernel: SyS rt sigtimedwait 0x6d 0x9c 
A art: art runtime runtime cc:366    kernel: syscall call 0x7 0xb 
A art: art runtime runtime cc:366    native:  00 pc 00084bdb   system lib libc so (  rt sigtimedwait 27) 
A art: art runtime runtime cc:366    native:  01 pc 00027fcc   system lib libc so (sigwait 69) 
A art: art runtime runtime cc:366    native:  02 pc 00522bd6   system lib libart so (art::SignalCatcher::WaitForSignal(art::Thread   art::SignalSet ) 118) 
A art: art runtime runtime cc:366    native:  03 pc 005263ce   system lib libart so (art::SignalCatcher::Run(void ) 302) 
A art: art runtime runtime cc:366    native:  04 pc 00080a93   system lib libc so (  pthread start(void ) 56) 
A art: art runtime runtime cc:366    native:  05 pc 00021952   system lib libc so (  start thread 25) 
A art: art runtime runtime cc:366    native:  06 pc 000170b6   system lib libc so (  bionic clone 70) 
A art: art runtime runtime cc:366    (no managed stack frames) 
A art: art runtime runtime cc:366   
A art: art runtime runtime cc:366   JDWP  prio 5 tid 3 WaitingInMainDebuggerLoop 
A art: art runtime runtime cc:366      group    sCount 1 dsCount 0 obj 0x12c610a0 self 0xac42bd00 
A art: art runtime runtime cc:366      sysTid 2710 nice 0 cgrp default sched 0 0 handle 0xb33d4930 
A art: art runtime runtime cc:366      state S schedstat ( 0 0 0 ) utm 0 stm 0 core 0 HZ 100 
A art: art runtime runtime cc:366      stack 0xb32d8000 0xb32da000 stackSize 1014KB 
A art: art runtime runtime cc:366      held mutexes  
A art: art runtime runtime cc:366    kernel: poll schedule timeout 0x42 0x8e 
A art: art runtime runtime cc:366    kernel: do select 0x4a6 0x4f4 
A art: art runtime runtime cc:366    kernel: core sys select 0x16c 0x24c 
A art: art runtime runtime cc:366    kernel: SyS pselect6 0xff 0x17a 
A art: art runtime runtime cc:366    kernel: syscall call 0x7 0xb 
A art: art runtime runtime cc:366    native:  00 pc 00083d65   system lib libc so (  pselect6 37) 
A art: art runtime runtime cc:366    native:  01 pc 000264ec   system lib libc so (select 173) 
A art: art runtime runtime cc:366    native:  02 pc 0066c9fc   system lib libart so (art::JDWP::JdwpAdbState::ProcessIncoming() 268) 
A art: art runtime runtime cc:366    native:  03 pc 003bea62   system lib libart so (art::JDWP::JdwpState::Run() 386) 
A art: art runtime runtime cc:366    native:  04 pc 003c08b1   system lib libart so (art::JDWP::StartJdwpThread(void ) 32) 
A art: art runtime runtime cc:366    native:  05 pc 00080a93   system lib libc so (  pthread start(void ) 56) 
A art: art runtime runtime cc:366    native:  06 pc 00021952   system lib libc so (  start thread 25) 
A art: art runtime runtime cc:366    native:  07 pc 000170b6   system lib libc so (  bionic clone 70) 
A art: art runtime runtime cc:366    (no managed stack frames) 
A art: art runtime runtime cc:366   
A art: art runtime runtime cc:366   Binder 1  prio 5 tid 4 Native 
A art: art runtime runtime cc:366      group    sCount 1 dsCount 0 obj 0x12c9a0a0 self 0xaab43400 
A art: art runtime runtime cc:366      sysTid 2715 nice 0 cgrp default sched 0 0 handle 0xb2db6930 
A art: art runtime runtime cc:366      state S schedstat ( 0 0 0 ) utm 0 stm 0 core 1 HZ 100 
A art: art runtime runtime cc:366      stack 0xb2cba000 0xb2cbc000 stackSize 1014KB 
A art: art runtime runtime cc:366      held mutexes  
A art: art runtime runtime cc:366    kernel: binder thread read 0xa4a 0xbf3 
A art: art runtime runtime cc:366    kernel: binder ioctl 0xce0 0x1114 
A art: art runtime runtime cc:366    kernel: do vfs ioctl 0x36b 0x418 
A art: art runtime runtime cc:366    kernel: SyS ioctl 0x4a 0x6a 
A art: art runtime runtime cc:366    kernel: syscall call 0x7 0xb 
A art: art runtime runtime cc:366    native:  00 pc 00085154   system lib libc so (  ioctl 20) 
A art: art runtime runtime cc:366    native:  01 pc 00094f8a   system lib libc so (ioctl 42) 
A art: art runtime runtime cc:366    native:  02 pc 000267ab   system lib libbinder so (android::IPCThreadState::talkWithDriver(bool) 187) 
A art: art runtime runtime cc:366    native:  03 pc 000270e7   system lib libbinder so (android::IPCThreadState::getAndExecuteCommand() 37) 
A art: art runtime runtime cc:366    native:  04 pc 00027227   system lib libbinder so (android::IPCThreadState::joinThreadPool(bool) 151) 
A art: art runtime runtime cc:366    native:  05 pc 0003004a   system lib libbinder so (android::PoolThread::threadLoop() 40) 
A art: art runtime runtime cc:366    native:  06 pc 00014aac   system lib libutils so (android::Thread:: threadLoop(void ) 418) 
A art: art runtime runtime cc:366    native:  07 pc 0006bfee   system lib libandroid runtime so (android::AndroidRuntime::javaThreadShell(void ) 98) 
A art: art runtime runtime cc:366    native:  08 pc 000141cf   system lib libutils so (thread data t::trampoline(thread data t const ) </t>
  </si>
  <si>
    <t>wasdennnoch-AndroidN-ify-1049</t>
  </si>
  <si>
    <t>Settings App</t>
  </si>
  <si>
    <t xml:space="preserve">Android N ify crash when I try to open the main app 
</t>
  </si>
  <si>
    <t>gitskarios-Gitskarios-592</t>
  </si>
  <si>
    <t>Crash on profile click</t>
  </si>
  <si>
    <t xml:space="preserve">Hello 
I m quite new to GitSkarios so I m not really sure this is the right way to post this kind of issues 
Basically  the application crashed and went to the bug view after pressing on any profile picture from the main view 
Not quite sure this is a known issue  but thought I could post it anyway 
Btw  I m posting this from GitSkarios  so this is no fatal bug IMO 
Here s the stack trace produced by GitSkarios:
Build version: 4 4 4 
Build date: 1979 11 30 00:00:00 
Current date: 2016 10 14 19:09:36 
Device: OnePlus ONE A2003 
Stack trace:  
java lang NullPointerException: Attempt to invoke virtual method  boolean java lang String equals(java lang Object)  on a null object reference
    at com alorma github ui view UserAvatarView onClick(UserAvatarView java:77)
    at android view View performClick(View java:5233)
    at android view View PerformClick run(View java:21209)
    at android os Handler handleCallback(Handler java:739)
    at android os Handler dispatchMessage(Handler java:95)
    at android os Looper loop(Looper java:152)
    at android app ActivityThread main(ActivityThread java:5497)
    at java lang reflect Method invoke(Native Method)
    at com android internal os ZygoteInit MethodAndArgsCaller run(ZygoteInit java:726)
    at com android internal os ZygoteInit main(ZygoteInit java:616)
</t>
  </si>
  <si>
    <t>nextcloud-android-336</t>
  </si>
  <si>
    <t>android app crashes when trying to sort a directory of photos to upload</t>
  </si>
  <si>
    <t xml:space="preserve">    Actual behaviour
When trying to sort a folder of photos on my android device while in the upload screen of the nextcloud app  the app crashes 
    Expected behaviour
It should sort the folder without crashing
    Steps to reproduce
1  Click upload in app
2  Find the DCIM folder on phone to get to camera photos
3  Click sort in the app
    Environment data
Android version: 6 0 1
Device model: Nexus 6
Stock or customized system: stock
Nextcloud app version: 1 3 1
Nextcloud server version: 10 0 1
Don t have time to upload logs right now  Hopefully I can add later 
    Logs
     Web server error log
Insert your webserver log here
     Nextcloud log (data nextcloud log)
Insert your Nextcloud log here
</t>
  </si>
  <si>
    <t>BaseballCardTracker-bbct-android-401</t>
  </si>
  <si>
    <t>BaseballCardProvider.java line 209</t>
  </si>
  <si>
    <t xml:space="preserve">     in bbct android common provider BaseballCardProvider update
  Number of crashes: 1
  Impacted devices: 1
There s a lot more information about this crash on crashlytics com:
 https:  fabric io codeguru apps android apps bbct android premium issues 5801b0380aeb16625b8379d6 (https:  fabric io codeguru apps android apps bbct android premium issues 5801b0380aeb16625b8379d6)
</t>
  </si>
  <si>
    <t>barbeau-gpstest-64</t>
  </si>
  <si>
    <t>Android N crash - ArrayIndexOutOfBoundsException, CalledFromWrongThreadException</t>
  </si>
  <si>
    <t xml:space="preserve">  Summary:   
When the app starts receiving GnssStatus updates on Android N  the app crashes with:
10 14 11:11:34 122 21959 21959   E AndroidRuntime: FATAL EXCEPTION: main
           Process: com android gpstest  PID: 21959
           java lang ArrayIndexOutOfBoundsException: length 5  index 5
               at com android gpstest GpsStatusFragment updateGnssStatus(GpsStatusFragment java:349)
               at com android gpstest GpsStatusFragment onSatelliteStatusChanged(GpsStatusFragment java:270)
               at com android gpstest GpsTestActivity 1 onSatelliteStatusChanged(GpsTestActivity java:352)
               at android location LocationManager GnssStatusListenerTransport GnssHandler handleMessage(LocationManager java:1434)
               at android os Handler dispatchMessage(Handler java:102)
               at android os Looper loop(Looper java:154)
               at android app ActivityThread main(ActivityThread java:6077)
               at java lang reflect Method invoke(Native Method)
               at com android internal os ZygoteInit MethodAndArgsCaller run(ZygoteInit java:865)
               at com android internal os ZygoteInit main(ZygoteInit java:755)
10 14 11:11:34 131 21959 21971   W Binder: Binder call failed 
   android view ViewRootImpl CalledFromWrongThreadException: Only the original thread that created a view hierarchy can touch its views 
       at android view ViewRootImpl checkThread(ViewRootImpl java:6855)
       at android view ViewRootImpl invalidateChildInParent(ViewRootImpl java:1075)
       at android view ViewGroup invalidateChild(ViewGroup java:5242)
       at android view View invalidateInternal(View java:13573)
       at android view View invalidate(View java:13537)
       at android view View invalidate(View java:13521)
       at com android gpstest GpsSkyFragment GpsSkyView setGnssMeasurementEvent(GpsSkyFragment java:344)
       at com android gpstest GpsSkyFragment onGnssMeasurementsReceived(GpsSkyFragment java:137)
       at com android gpstest GpsTestActivity 2 onGnssMeasurementsReceived(GpsTestActivity java:368)
       at android location GnssMeasurementCallbackTransport ListenerTransport 1 execute(GnssMeasurementCallbackTransport java:58)
       at android location GnssMeasurementCallbackTransport ListenerTransport 1 execute(GnssMeasurementCallbackTransport java:56)
       at android location LocalListenerHelper executeOperation(LocalListenerHelper java:104)
       at android location LocalListenerHelper foreach(LocalListenerHelper java:118)
       at android location GnssMeasurementCallbackTransport ListenerTransport onGnssMeasurementsReceived(GnssMeasurementCallbackTransport java:61)
       at android location IGnssMeasurementsListener Stub onTransact(IGnssMeasurementsListener java:58)
       at android os Binder execTransact(Binder java:565)
  Steps to reproduce:   
Start app and wait for sat status update
  Expected behavior:   
Not crash and show sat status
  Observed behavior:   
Crash
  Device and Android version:   
Nexus 5X with Android 7 0
</t>
  </si>
  <si>
    <t>nextcloud-android-346</t>
  </si>
  <si>
    <t>Use correct array of options</t>
  </si>
  <si>
    <t xml:space="preserve">Resolves:  336_x000D_
_x000D_
  android app crashes when trying to sort a directory of photos to upload_x000D_
_x000D_
 tobiasKaminsky please review   This is a work in progress since imho the implementation is broken for a simply reason  OCFIleList and LocalFileList both use the same preference for the sorting choice  So if you choose BySize in the main screen and then open upload via the FAB it ll load  by Size  and will try to sort this way  Unfortunately the local file sorting by size also sorts folders  by recursively calculating their size which takes around one minute on my phone    So imho we either need to _x000D_
  remove folders from the local file sorting as in sort by size with folders on top sorted alphabetically or_x000D_
  split the sorting choice into two preferences and don t offer sorting by size at all _x000D_
_x000D_
What do you think  tobiasKaminsky   I vote for ignore folders during size sorting (locally)_x000D_
</t>
  </si>
  <si>
    <t>vector-im-riot-android-634</t>
  </si>
  <si>
    <t>Crash on searching for a room</t>
  </si>
  <si>
    <t xml:space="preserve">To reproduce:
1  Log in Riot
2  Hit the search button
3  Enter a text :  test   don t press enter
4  Touch Browse directory
5  Riot crash
Version 0 5 3 dev (8f034c8)
</t>
  </si>
  <si>
    <t>sidgvpta-ContactifyAndroid-2</t>
  </si>
  <si>
    <t>BUG: App crashes if message is received while app is running in the background</t>
  </si>
  <si>
    <t xml:space="preserve">If the app is being retrieved from running in the background  and a message was received whilst it was running in the background  the app crashes 
</t>
  </si>
  <si>
    <t>Tencent-tinker-127</t>
  </si>
  <si>
    <t>Gradle编译1.7.0过程中类重复：java.util.zip.ZipException: duplicate entry: META-INF/services/javax.annotation.processing.Processor</t>
  </si>
  <si>
    <t xml:space="preserve">   1 6 2          
  1 6 2  1 7 0   gradle clean aR   build         
:app:prepareComGoogleAndroidGmsPlayServicesAppinvite920Library
:app:prepareComGoogleAndroidGmsPlayServicesAuth920Library
:app:prepareComGoogleAndroidGmsPlayServicesAuthBase920Library
:app:prepareComGoogleAndroidGmsPlayServicesBase920Library
:app:prepareComGoogleAndroidGmsPlayServicesBasement920Library
:app:prepareComGoogleAndroidGmsPlayServicesCast920Library
:app:prepareComGoogleAndroidGmsPlayServicesCastFramework920Library
:app:prepareComGoogleAndroidGmsPlayServicesClearcut920Library
:app:prepareComGoogleAndroidGmsPlayServicesContextmanager920Library
:app:prepareComGoogleAndroidGmsPlayServicesDrive920Library
:app:prepareComGoogleAndroidGmsPlayServicesFitness920Library
:app:prepareComGoogleAndroidGmsPlayServicesGames920Library
:app:prepareComGoogleAndroidGmsPlayServicesGass920Library
:app:prepareComGoogleAndroidGmsPlayServicesGcm920Library
:app:prepareComGoogleAndroidGmsPlayServicesIdentity920Library
:app:prepareComGoogleAndroidGmsPlayServicesIid920Library
:app:prepareComGoogleAndroidGmsPlayServicesLocation920Library
:app:prepareComGoogleAndroidGmsPlayServicesMaps920Library
:app:prepareComGoogleAndroidGmsPlayServicesNearby920Library
:app:prepareComGoogleAndroidGmsPlayServicesPanorama920Library
:app:prepareComGoogleAndroidGmsPlayServicesPlaces920Library
:app:prepareComGoogleAndroidGmsPlayServicesPlus920Library
:app:prepareComGoogleAndroidGmsPlayServicesSafetynet920Library
:app:prepareComGoogleAndroidGmsPlayServicesTagmanager920Library
:app:prepareComGoogleAndroidGmsPlayServicesTagmanagerApi920Library
:app:prepareComGoogleAndroidGmsPlayServicesTasks920Library
:app:prepareComGoogleAndroidGmsPlayServicesVision920Library
:app:prepareComGoogleAndroidGmsPlayServicesWallet920Library
:app:prepareComGoogleAndroidGmsPlayServicesWearable920Library
:app:prepareComGoogleFirebaseFirebaseAnalytics920Library
:app:prepareComGoogleFirebaseFirebaseAnalyticsImpl920Library
:app:prepareComGoogleFirebaseFirebaseAuth920Library
:app:prepareComGoogleFirebaseFirebaseAuthCommon920Library
:app:prepareComGoogleFirebaseFirebaseAuthModule920Library
:app:prepareComGoogleFirebaseFirebaseCommon920Library
:app:prepareComGoogleFirebaseFirebaseConfig920Library
:app:prepareComGoogleFirebaseFirebaseCrash920Library
:app:prepareComGoogleFirebaseFirebaseDatabase920Library
:app:prepareComGoogleFirebaseFirebaseDatabaseConnection920Library
:app:prepareComGoogleFirebaseFirebaseIid920Library
:app:prepareComGoogleFirebaseFirebaseMessaging920Library
:app:prepareComGoogleFirebaseFirebaseStorage920Library
:app:prepareComGoogleFirebaseFirebaseStorageCommon920Library
:app:prepareComMakeramenRoundedimageview221Library
:app:prepareComMeiyouAd sdk202TestSNAPSHOTLibrary
:app:prepareComMeiyouAppCommon202TestSNAPSHOTLibrary
:app:prepareComMeiyouBrand202TestSNAPSHOTLibrary
:app:prepareComMeiyouCalendar202TestSNAPSHOTLibrary
:app:prepareComMeiyouChartview202TestSNAPSHOTLibrary
:app:prepareComMeiyouCommunity202TestSNAPSHOTLibrary
:app:prepareComMeiyouEcolib202TestSNAPSHOTLibrary
:app:prepareComMeiyouEcoucoin202TestSNAPSHOTLibrary
:app:prepareComMeiyouFrameworkBiz202TestSNAPSHOTLibrary
:app:prepareComMeiyouFrameworkCameraLib009SNAPSHOTLibrary
:app:prepareComMeiyouFrameworkDaemon202TestSNAPSHOTLibrary
:app:prepareComMeiyouFrameworkNetworktool202TestSNAPSHOTLibrary
:app:prepareComMeiyouFrameworkShare202TestSNAPSHOTLibrary
:app:prepareComMeiyouFrameworkUi202TestSNAPSHOTLibrary
:app:prepareComMeiyouFrameworkUriProtocol202TestSNAPSHOTLibrary
:app:prepareComMeiyouFrescoFrescoAnimatedBase0022LinhonghongSNAPSHOTLibrary
:app:prepareComMeiyouFrescoFrescoAnimatedBaseSupport0022LinhonghongSNAPSHOTLibrary
:app:prepareComMeiyouFrescoFrescoAnimatedGif0022LinhonghongSNAPSHOTLibrary
:app:prepareComMeiyouFrescoFrescoAnimatedWebp0022LinhonghongSNAPSHOTLibrary
:app:prepareComMeiyouFrescoFrescoDrawee0022LinhonghongSNAPSHOTLibrary
:app:prepareComMeiyouFrescoFrescoDraweePipeline0022LinhonghongSNAPSHOTLibrary
:app:prepareComMeiyouFrescoFrescoFbcore0022LinhonghongSNAPSHOTLibrary
:app:prepareComMeiyouFrescoFrescoFrescopainter0022LinhonghongSNAPSHOTLibrary
:app:prepareComMeiyouFrescoFrescoImagepipeline0022LinhonghongSNAPSHOTLibrary
:app:prepareComMeiyouFrescoFrescoImagepipelineBase0022LinhonghongSNAPSHOTLibrary
:app:prepareComMeiyouFrescoFrescoImagepipelineOkhttp30022LinhonghongSNAPSHOTLibrary
:app:prepareComMeiyouFrescoFrescoWebpsupport0022LinhonghongSNAPSHOTLibrary
:app:prepareComMeiyouPregnancyPregnancyCommon202TestSNAPSHOTLibrary
:app:prepareComMeiyouPregnancyPregnancyHome202TestSNAPSHOTLibrary
:app:prepareComMeiyouPregnancyPregnancyTools202TestSNAPSHOTLibrary
:app:prepareComMeiyouSdkBaseUi202TestSNAPSHOTLibrary
:app:prepareComMeiyouSdkCommon202TestSNAPSHOTLibrary
:app:prepareComMeiyouSdkCore202TestSNAPSHOTLibrary
:app:prepareComMeiyouSdkSwipeback202TestSNAPSHOTLibrary
:app:prepareComMeiyouSlidingmenu202TestSNAPSHOTLibrary
:app:prepareComMeiyouSocket202TestSNAPSHOTLibrary
:app:prepareComMeiyouSupportlib202TestSNAPSHOTLibrary
:app:prepareComTencentBuglyCrashreport230Library
:app:prepareComTencentBuglyNativecrashreport30Library
:app:prepareComTencentTinkerTinkerAndroidLib170Library
:app:prepareComTencentTinkerTinkerAndroidLoader170Library
:app:prepareProductReleaseDependencies
:app:compileProductReleaseAidl
:app:compileProductReleaseRenderscript
:app:mergeProductReleaseAssets
:app:generateProductReleaseResources
:app:mergeProductReleaseResources
:app:processProductReleaseManifest
 Users mu PeriodProjectTemp SeeyouClient app src main AndroidManifest xml:45:5 68 Warning:
        Element uses permission android permission BLUETOOTH at AndroidManifest xml:45:5 68 duplicated with element declared at AndroidManifest xml:30:5 67
 Users mu PeriodProjectTemp SeeyouClient app src main AndroidManifest xml:57:5 816:19 Warning:
        application android:theme was tagged at AndroidManifest xml:57 to replace other declarations but no other declaration present
:app:tinkerProcessProductReleaseManifest
tinker add e8ba0d5 to your AndroidManifest xml  Users mu PeriodProjectTemp SeeyouClient app build intermediates manifests full product release AndroidManifest xml
tinker gen AndroidManifest xml in build intermediates tinker intermediates AndroidManifest xml
:app:processProductReleaseResources
:app:generateProductReleaseSources
:app:compileProductReleaseJavaWithJavac
:app:compileProductReleaseJavaWithJavac   is not incremental (e g  outputs have changed  no previous execution  etc ) 
collectClassInfo forProtocolShadow
find ProtocolShadow size 0
collectClassInfo forProtocol
get Annotation from Class :PregnancyHomeMainImplement
create file for protocol  PregnancyHomeMainStub
collectClassInfo forProtocolShadow
find ProtocolShadow size 0
collectClassInfo forProtocol
find Protocol size 0
collectClassInfo forProtocolShadow
find ProtocolShadow size 0
collectClassInfo forProtocol
find Protocol size 0
Note: Some input files use or override a deprecated API 
Note: Recompile with  Xlint:deprecation for details 
Note: Some input files use unchecked or unsafe operations 
Note: Recompile with  Xlint:unchecked for details 
:app:compileProductReleaseSources
:app:lintVitalProductRelease
:app:transformClassesWithAuxiliaryInjectForProductRelease
 AuxiliaryInject  PreGeneratedPatchDex mode is disabled  skip transforming 
:app:transformClassesWithAuxiliaryInjectForProductRelease FAILED
FAILURE: Build failed with an exception 
  What went wrong:
  Execution failed for task  :app:transformClassesWithAuxiliaryInjectForProductRelease  
    java util zip ZipException: duplicate entry: META INF services javax annotation processing Processor
  Try:
  Run with   stacktrace option to get the stack trace  Run with   info or   debug option to get more log output 
BUILD FAILED
  build gradle    
    packagingOptions  
        exclude  META INF DEPENDENCIES txt 
        exclude  META INF LICENSE txt 
        exclude  META INF NOTICE txt 
        exclude  META INF NOTICE 
        exclude  META INF LICENSE 
        exclude  META INF DEPENDENCIES 
        exclude  META INF notice txt 
        exclude  META INF license txt 
        exclude  META INF dependencies txt 
        exclude  META INF LGPL2 1 
        exclude  META INF ASL2 0 
        pickFirst  META INF services javax annotation processing Processor 
</t>
  </si>
  <si>
    <t>SkyTubeTeam-SkyTube-34</t>
  </si>
  <si>
    <t>Crash when clicking too quickly on screen when launched from external app</t>
  </si>
  <si>
    <t xml:space="preserve">When you choose SkyTube as the app to open a YouTube video from an external app  if you click on the screen too quickly  the app crashes  due to it trying to get the title for the video before the video info is loaded  This only happens when YouTubePlayerActivity is launched with an url instead of a YouTubeVideo object  Here is the stack trace(from the master branch):
 FATAL EXCEPTION: main
                                                                    Process: free rm skytube hd  PID: 32264
                                                                    java lang NullPointerException: Attempt to invoke virtual method  java lang String free rm skytube businessobjects YouTubeVideo getTitle()  on a null object reference
                                                                        at free rm skytube gui fragments YouTubePlayerFragment showHud(YouTubePlayerFragment java:248)
                                                                        at free rm skytube gui fragments YouTubePlayerFragment showOrHideHud(YouTubePlayerFragment java:237)
                                                                        at free rm skytube gui fragments YouTubePlayerFragment access 000(YouTubePlayerFragment java:51)
                                                                        at free rm skytube gui fragments YouTubePlayerFragment 1 onClick(YouTubePlayerFragment java:109)
                                                                        at android view View performClick(View java:5609)
                                                                        at android view View PerformClick run(View java:22259)
                                                                        at android os Handler handleCallback(Handler java:751)
                                                                        at android os Handler dispatchMessage(Handler java:95)
                                                                        at android os Looper loop(Looper java:154)
                                                                        at android app ActivityThread main(ActivityThread java:6077)
                                                                        at java lang reflect Method invoke(Native Method)
                                                                        at com android internal os ZygoteInit MethodAndArgsCaller run(ZygoteInit java:865)
                                                                        at com android internal os ZygoteInit main(ZygoteInit java:755) 
I can fix this  but should it just not show the hud when  youTubeVideo  is null (line 237)  or should it not try to show the video title in the hud (line 248) 
Note:I ve found to reliably replicate this you should force close the app  then open a video in another app  choosing SkyTube  and immediately start tapping the screen 
</t>
  </si>
  <si>
    <t>flowupio-FlowUpAndroidSDK-91</t>
  </si>
  <si>
    <t>Release 0.0.6 crashes</t>
  </si>
  <si>
    <t xml:space="preserve">The app crashes during the activity lifecycle because one of the timers used in the ActivityLifecycleCollector is null :S
</t>
  </si>
  <si>
    <t>d4rken-reddit-android-appstore-74</t>
  </si>
  <si>
    <t>.screens.details.AppDetailsActivity has crash when try to send email</t>
  </si>
  <si>
    <t xml:space="preserve">   
   CRASH: subreddit android appstore (pid 5975)
   Short Msg: android content ActivityNotFoundException
   Long Msg: android content ActivityNotFoundException: No Activity found to handle Intent   act android intent action SENDTO dat mailto:xxxxxx xxxxxxxxxxxxx xx  
   Build Label: Android aosp flo flo:6 0 1 MOB30P tianchi10041651:userdebug test keys
   Build Changelist: eng tianchi 20161004 165046
   Build Time: 1475571199000
   android content ActivityNotFoundException: No Activity found to handle Intent   act android intent action SENDTO dat mailto:xxxxxx xxxxxxxxxxxxx xx  
    at android app Instrumentation checkStartActivityResult(Instrumentation java:1798)
    at android app Instrumentation execStartActivity(Instrumentation java:1512)
    at android app Activity startActivityForResult(Activity java:3930)
    at de robv android xposed XposedBridge invokeOriginalMethodNative(Native Method)
    at de robv android xposed XposedBridge handleHookedMethod(XposedBridge java:334)
    at android app Activity startActivityForResult( Xposed )
    at android support v4 app BaseFragmentActivityJB startActivityForResult(BaseFragmentActivityJB java:48)
    at android support v4 app FragmentActivity startActivityForResult(FragmentActivity java:75)
    at android support v4 app ActivityCompatJB startActivityForResult(ActivityCompatJB java:31)
    at android support v4 app ActivityCompat startActivityForResult(ActivityCompat java:169)
    at android support v4 app FragmentActivity startActivityFromFragment(FragmentActivity java:929)
    at android support v4 app FragmentActivity HostCallbacks onStartActivityFromFragment(FragmentActivity java:1043)
    at android support v4 app Fragment startActivity(Fragment java:932)
    at android support v4 app Fragment startActivity(Fragment java:921)
    at subreddit android appstore screens details AppDetailsFragment openContact(AppDetailsFragment java:169)
    at subreddit android appstore screens details AppDetailsFragment onContactClicked(AppDetailsFragment java:152)
    at subreddit android appstore screens details AppDetailsFragment onMenuItemClick(AppDetailsFragment java:94)
    at android support v7 widget Toolbar 1 onMenuItemClick(Toolbar java:203)
    at android support v7 widget ActionMenuView MenuBuilderCallback onMenuItemSelected(ActionMenuView java:762)
    at android support v7 view menu MenuBuilder dispatchMenuItemSelected(MenuBuilder java:810)
    at android support v7 view menu MenuItemImpl invoke(MenuItemImpl java:152)
    at android support v7 view menu MenuBuilder performItemAction(MenuBuilder java:957)
    at android support v7 view menu MenuBuilder performItemAction(MenuBuilder java:947)
    at android support v7 widget ActionMenuView invokeItem(ActionMenuView java:616)
    at android support v7 view menu ActionMenuItemView onClick(ActionMenuItemView java:153)
    at android view View performClick(View java:5204)
    at android view View PerformClick run(View java:21153)
    at android os Handler handleCallback(Handler java:739)
    at android os Handler dispatchMessage(Handler java:95)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When it comes to AppDetailsActivity and you click email logo that tries to send a e mail  it will show this crash  Mybe my android os doesn t have this activity to send e mail  but I think it should have checked if the activity SENDTO exists or catch this exception    
</t>
  </si>
  <si>
    <t>nilsbraden-ttrss-reader-fork-331</t>
  </si>
  <si>
    <t xml:space="preserve">Crash  with 436eae89982c25efe3c6bd8e2850752c6b17251a and above </t>
  </si>
  <si>
    <t xml:space="preserve">While 1 90 1 is working fine  I build and installed 436eae8  but it seems that  mdewilde PR makes ttrss reader crash on with my Replicant 4 2 0004 Samsung S (I9000)  Same goes for the current HEAD 
logcat does not seem to show anything useful:
I ActivityManager( 1827): START u0  act android intent action MAIN cat  android intent category LAUNCHER  flg 0x10200000 cmp org ttrssreader  gui CategoryActivity bnds  0 452  96 572   from pid 2062
I ActivityManager( 1827): Start proc org ttrssreader for activity org ttrssreader  gui CategoryActivity: pid 6509 uid 10039 gids  50039  3003  1015  1028
I ActivityManager( 1827): Process org ttrssreader (pid 6509) has died
</t>
  </si>
  <si>
    <t>JakeWharton-butterknife-782</t>
  </si>
  <si>
    <t>@OnTextChanged crashes on string</t>
  </si>
  <si>
    <t xml:space="preserve">   
 OnTextChanged(R id foo) void onTextChanged(String bar)  
This crashes when the generated code attempts to cast the CharSequence to a String  but the CharSequence isn t actually a String 
Either Butterknife should complain about String as a type here  or it should call toString() on the CharSequence 
</t>
  </si>
  <si>
    <t>syncthing-syncthing-android-767</t>
  </si>
  <si>
    <t>0.8.6 continually crashes / freezes</t>
  </si>
  <si>
    <t xml:space="preserve">Since install of 0 8 6  all 3 of my Android devices are crashing or freezing repeatedly 
Many times have crashed entire device leading to a reboot 
Have been using ST a year and never happened before 
Android v4 2 2  v4 2 3
</t>
  </si>
  <si>
    <t>dariuszseweryn-RxAndroidBle-83</t>
  </si>
  <si>
    <t>Can't establish connection on Android 7.1.1</t>
  </si>
  <si>
    <t xml:space="preserve">    Summary
Establish connection with  autoconnect true  connection crashes with reflection exception 
     Preconditions
Android 7 1 1
     Steps to reproduce actual result
1  Try to establish connection with  autoconnect true 
    br   
     Actual result
java lang IllegalArgumentException: method android bluetooth BluetoothGatt  init  argument 1 has type android bluetooth IBluetoothGatt  got context
    at java lang reflect Constructor newInstance0(Native Method)
    at java lang reflect Constructor newInstance(Constructor java:430)
    at com polidea rxandroidble internal util BleConnectionCompat createBluetoothGatt(BleConnectionCompat java:108)
    at com polidea rxandroidble internal util BleConnectionCompat connectGatt(BleConnectionCompat java:53)
    at com polidea rxandroidble internal operations RxBleRadioOperationConnect lambda getConnectedBluetoothGatt 40(RxBleRadioOperationConnect java:77)
    at com polidea rxandroidble internal operations RxBleRadioOperationConnect  Lambda 8 call(Unknown Source)
 br   
     Expected result
Connection got established
 br   
</t>
  </si>
  <si>
    <t>lostzen-lost-132</t>
  </si>
  <si>
    <t>Verify service is bound before attempting to disconnect</t>
  </si>
  <si>
    <t xml:space="preserve">    Description
Calling  LostApiClientImpl disconnect()  can result in fatal crash if service is not bound 
    Steps to Reproduce
Attempt to disconnect client before fully connected 
    Lost   Android Version
Lost 2 1 1
Android 6 0 1
10 21 17:26:00 092 24813 24813   E AndroidRuntime: FATAL EXCEPTION: main
                                                   Process: com mapzen erasermap  PID: 24813
                                                   java lang RuntimeException: Unable to pause activity  com mapzen erasermap com mapzen erasermap controller MainActivity : java lang IllegalArgumentException: Service not registered: com mapzen android lost internal FusedLocationProviderApiImpl 2 c390cb5
                                                       at android app ActivityThread performPauseActivity(ActivityThread java:3381)
                                                       at android app ActivityThread performPauseActivity(ActivityThread java:3340)
                                                       at android app ActivityThread handlePauseActivity(ActivityThread java:3315)
                                                       at android app ActivityThread access 1100(ActivityThread java:150)
                                                       at android app ActivityThread H handleMessage(ActivityThread java:1355)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Caused by: java lang IllegalArgumentException: Service not registered: com mapzen android lost internal FusedLocationProviderApiImpl 2 c390cb5
                                                       at android app LoadedApk forgetServiceDispatcher(LoadedApk java:1044)
                                                       at android app ContextImpl unbindService(ContextImpl java:1337)
                                                       at android content ContextWrapper unbindService(ContextWrapper java:616)
                                                       at com mapzen android lost internal FusedLocationProviderApiImpl 1 onDisconnect(FusedLocationProviderApiImpl java:59)
                                                       at com mapzen android lost internal FusedLocationServiceConnectionManager disconnect(FusedLocationServiceConnectionManager java:65)
                                                       at com mapzen android lost internal FusedLocationProviderApiImpl disconnect(FusedLocationProviderApiImpl java:94)
                                                       at com mapzen android lost internal LostApiClientImpl disconnect(LostApiClientImpl java:53)
                                                       at com mapzen erasermap model LostClientManager disconnect(LostClientManager kt:55)
                                                       at com mapzen erasermap controller MainActivity onPause(MainActivity kt:217)
                                                       at android app Activity performPause(Activity java:6403)
                                                       at android app Instrumentation callActivityOnPause(Instrumentation java:1312)
                                                       at android app ActivityThread performPauseActivity(ActivityThread java:3367)
                                                       at android app ActivityThread performPauseActivity(ActivityThread java:3340) 
                                                       at android app ActivityThread handlePauseActivity(ActivityThread java:3315) 
                                                       at android app ActivityThread access 1100(ActivityThread java:150) 
                                                       at android app ActivityThread H handleMessage(ActivityThread java:1355) 
                                                       at android os Handler dispatchMessage(Handler java:102) 
                                                       at android os Looper loop(Looper java:148) 
                                                       at android app ActivityThread main(ActivityThread java:5417) 
                                                       at java lang reflect Method invoke(Native Method) 
                                                       at com android internal os ZygoteInit MethodAndArgsCaller run(ZygoteInit java:726) 
                                                       at com android internal os ZygoteInit main(ZygoteInit java:616) 
</t>
  </si>
  <si>
    <t>grpc-grpc-java-2363</t>
  </si>
  <si>
    <t>Handle java.lang.IllegalStateException properly</t>
  </si>
  <si>
    <t xml:space="preserve">I m currently using gRPC on Android  and it crashes due to the following exceptions:
Case 1: 
Fatal Exception: java lang IllegalStateException: activeTransport still points to the delayedTransport  Seems transportShutdown() was not called 
       at com google common base Preconditions checkState(Preconditions java:174)
       at io grpc internal TransportSet TransportListener transportTerminated(TransportSet java:495)
       at io grpc okhttp OkHttpClientTransport ClientFrameHandler run(OkHttpClientTransport java:759)
       at java util concurrent ThreadPoolExecutor runWorker(ThreadPoolExecutor java:1113)
       at java util concurrent ThreadPoolExecutor Worker run(ThreadPoolExecutor java:588)
       at java lang Thread run(Thread java:818)
Case 2:
Fatal Exception: java lang IllegalStateException
       at com google common base Preconditions checkState(Preconditions java:159)
       at io grpc internal DelayedClientTransport startBackoff(DelayedClientTransport java:324)
       at io grpc internal TransportSet 2 run(TransportSet java:297)
       at io grpc internal TransportSet TransportListener transportShutdown(TransportSet java:477)
       at io grpc okhttp OkHttpClientTransport startGoAway(OkHttpClientTransport java:568)
       at io grpc okhttp OkHttpClientTransport access 1400(OkHttpClientTransport java:98)
       at io grpc okhttp OkHttpClientTransport ClientFrameHandler run(OkHttpClientTransport java:752)
       at java util concurrent ThreadPoolExecutor runWorker(ThreadPoolExecutor java:1113)
       at java util concurrent ThreadPoolExecutor Worker run(ThreadPoolExecutor java:588)
       at java lang Thread run(Thread java:818)
Is there any way to handle these exceptions before crashing 
Thanks in advance 
</t>
  </si>
  <si>
    <t>square-okhttp-2934</t>
  </si>
  <si>
    <t>Replace IllegalStateException by IOException, SecurityException etc. where possible</t>
  </si>
  <si>
    <t xml:space="preserve">okhttp seems to throw IllegalStateException quite often  for instance when unexpected data is received (see
https:  github com square okhttp issues 2683) 
Please consider replacing all IllegalStateExceptions by
  IOException when unexpected network traffic occurs (for instance  HTTP2 frame errors etc)
  SecurityException for TLS errors etc 
The IllegalStateExceptions cause apps using okhttp to crash unexpectedly and as far as I know  IllegalStateExceptions should only be thrown when an API is called incorrectly (for instance  sending a request before it was specified or something like that)  
</t>
  </si>
  <si>
    <t>alexstyl-Memento-Calendar-65</t>
  </si>
  <si>
    <t>Support-TransitionManager crash fix and check for permission before use</t>
  </si>
  <si>
    <t xml:space="preserve">     Description
This PR fixes the crash on pre Lollipop devices when trying to use the TransitionManager  Instead of using the RecyclerViews getRootView() the root view of the activity has been extracted and used instead 
Additionally  PeopleEventsUpdater now checks if we have the required permission before updating contacts
      Test(s) added
Nope  Just bug fixing
</t>
  </si>
  <si>
    <t>appteam-nith-Hillffair-118</t>
  </si>
  <si>
    <t>App Crashing When Trying to send code in forgot password</t>
  </si>
  <si>
    <t xml:space="preserve">I tried to send myself a  code on my email but the app crashed  Make sure its solved asap
</t>
  </si>
  <si>
    <t>gitskarios-Gitskarios-607</t>
  </si>
  <si>
    <t>Crashes All the time</t>
  </si>
  <si>
    <t xml:space="preserve">Build version: 4 4 8 
Build date: 1979 11 30 00:00:00 
Current date: 2016 10 23 18:17:59 
Device: OnePlus ONEPLUS A3003 
Stack trace:  
java lang IllegalStateException: Fatal Exception thrown on Scheduler Worker thread 
    at rx internal schedulers ScheduledAction run(ScheduledAction java:59)
    at android os Handler handleCallback(Handler java:739)
    at android os Handler dispatchMessage(Handler java:95)
    at android os Looper loop(Looper java:152)
    at android app ActivityThread main(ActivityThread java:5507)
    at java lang reflect Method invoke(Native Method)
    at com android internal os ZygoteInit MethodAndArgsCaller run(ZygoteInit java:726)
    at com android internal os ZygoteInit main(ZygoteInit java:616)
    at de robv android xposed XposedBridge main(XposedBridge java:102)
Caused by: rx exceptions OnErrorFailedException: Error occurred when trying to propagate error to Observer onError
    at rx observers SafeSubscriber  onError(SafeSubscriber java:186)
    at rx observers SafeSubscriber onError(SafeSubscriber java:115)
    at rx exceptions Exceptions throwOrReport(Exceptions java:205)
    at rx observers SafeSubscriber onNext(SafeSubscriber java:139)
    at rx internal operators OnSubscribeMap MapSubscriber onNext(OnSubscribeMap java:77)
    at rx internal operators OperatorDoOnEach 1 onNext(OperatorDoOnEach java:86)
    at rx observers Subscribers 5 onNext(Subscribers java:235)
    at rx internal operators OperatorObserveOn ObserveOnSubscriber call(OperatorObserveOn java:227)
    at rx internal schedulers ScheduledAction run(ScheduledAction java:55)
        8 more
Caused by: rx exceptions CompositeException: 2 exceptions occurred  
        17 more
Caused by: rx exceptions CompositeException CompositeExceptionCausalChain: Chain of Causes for CompositeException In Order Received   
    at com crashlytics android core SessionProtobufHelper getEventAppExecutionExceptionSize(SessionProtobufHelper java:619)
    at com crashlytics android core SessionProtobufHelper getEventAppExecutionExceptionSize(SessionProtobufHelper java:622)
    at com crashlytics android core SessionProtobufHelper getEventAppExecutionExceptionSize(SessionProtobufHelper java:622)
    at com crashlytics android core SessionProtobufHelper getEventAppExecutionSize(SessionProtobufHelper java:554)
    at com crashlytics android core SessionProtobufHelper getEventAppSize(SessionProtobufHelper java:510)
    at com crashlytics android core SessionProtobufHelper getSessionEventSize(SessionProtobufHelper java:482)
    at com crashlytics android core SessionProtobufHelper writeSessionEvent(SessionProtobufHelper java:180)
    at com crashlytics android core CrashlyticsUncaughtExceptionHandler writeSessionEvent(CrashlyticsUncaughtExceptionHandler java:1032)
    at com crashlytics android core CrashlyticsUncaughtExceptionHandler writeFatal(CrashlyticsUncaughtExceptionHandler java:766)
    at com crashlytics android core CrashlyticsUncaughtExceptionHandler handleUncaughtException(CrashlyticsUncaughtExceptionHandler java:262)
    at com crashlytics android core CrashlyticsUncaughtExceptionHandler access 100(CrashlyticsUncaughtExceptionHandler java:55)
    at com crashlytics android core CrashlyticsUncaughtExceptionHandler 5 call(CrashlyticsUncaughtExceptionHandler java:238)
    at com crashlytics android core CrashlyticsUncaughtExceptionHandler 5 call(CrashlyticsUncaughtExceptionHandler java:235)
    at java util concurrent FutureTask run(FutureTask java:237)
    at java util concurrent ThreadPoolExecutor runWorker(ThreadPoolExecutor java:1113)
    at java util concurrent ThreadPoolExecutor Worker run(ThreadPoolExecutor java:588)
    at io fabric sdk android services common ExecutorUtils 1 1 onRun(ExecutorUtils java:75)
    at io fabric sdk android services common BackgroundPriorityRunnable run(BackgroundPriorityRunnable java:30)
    at java lang Thread run(Thread java:818)
Caused by: java lang NullPointerException: Attempt to invoke interface method  void com alorma github presenter View onDataReceived(java lang Object  boolean)  on a null object reference
    at com alorma github ui activity issue IssueMilestonePresenter lambda execute 4(IssueMilestonePresenter java:43)
    at com alorma github ui activity issue IssueMilestonePresenter access lambda 3(IssueMilestonePresenter java)
    at com alorma github ui activity issue IssueMilestonePresenter  Lambda 4 call(Unknown Source)
    at rx internal util ActionSubscriber onNext(ActionSubscriber java:39)
    at rx observers SafeSubscriber onNext(SafeSubscriber java:134)
    at rx internal operators OnSubscribeMap MapSubscriber onNext(OnSubscribeMap java:77)
    at rx internal operators OperatorDoOnEach 1 onNext(OperatorDoOnEach java:86)
    at rx observers Subscribers 5 onNext(Subscribers java:235)
    at rx internal operators OperatorObserveOn ObserveOnSubscriber call(OperatorObserveOn java:227)
    at rx internal schedulers ScheduledAction run(ScheduledAction java:55)
    at android os Handler handleCallback(Handler java:739)
    at android os Handler dispatchMessage(Handler java:95)
    at android os Looper loop(Looper java:152)
    at android app ActivityThread main(ActivityThread java:5507)
    at java lang reflect Method invoke(Native Method)
    at com android internal os ZygoteInit MethodAndArgsCaller run(ZygoteInit java:726)
    at com android internal os ZygoteInit main(ZygoteInit java:616)
    at de robv android xposed XposedBridge main(XposedBridge java:102)
Caused by: java lang NullPointerException: Attempt to invoke interface method  void com alorma github presenter View showError(java lang Throwable)  on a null object reference
    at com alorma github ui activity issue IssueMilestonePresenter lambda execute 5(IssueMilestonePresenter java:44)
    at com alorma github ui activity issue IssueMilestonePresenter access lambda 4(IssueMilestonePresenter java)
    at com alorma github ui activity issue IssueMilestonePresenter  Lambda 5 call(Unknown Source)
    at rx internal util ActionSubscriber onError(ActionSubscriber java:44)
    at rx observers SafeSubscriber  onError(SafeSubscriber java:152)
    at rx observers SafeSubscriber onError(SafeSubscriber java:115)
    at rx exceptions Exceptions throwOrReport(Exceptions java:205)
    at rx observers SafeSubscriber onNext(SafeSubscriber java:139)
        13 more
</t>
  </si>
  <si>
    <t>Yalantis-uCrop-212</t>
  </si>
  <si>
    <t>SecurityException in Version 2.2.0 when trying to display the image from the Gallery</t>
  </si>
  <si>
    <t xml:space="preserve">  Do you want to request a  feature  or report a  bug    
Bug
  What is the current behavior   
When selecting a picture from the Gallery and opening it with uCrop  via the returned Uri from the onActivityResult intent  the app will crash:
  Caused by: java lang SecurityException: Permission Denial: reading com android providers media MediaProvider uri content:  media external images media from pid 14071  uid 10350 requires android permission READ EXTERNAL STORAGE  or grantUriPermission()
  What is the expected behavior   
To not crash and nonetheless display the chosen picture as it was done in version  1 5 0  of the library 
  If the current behavior is a bug  please provide the steps to reproduce and if possible a minimal demo of the problem   
1  Let the user choose a picture from the gallery
2  Take the  Uri  from the onActivityResult callback and open uCrop with it
3  App will crash
  Which versions of uCrop  and which Android API versions are affected by this issue  Did this work in previous versions of uCrop   
Android versions affected:    Marshmallow
Version 2 2 0 of uCrop is affected 
</t>
  </si>
  <si>
    <t>dimagi-commcare-android-1524</t>
  </si>
  <si>
    <t>Clear fixture before wiping wiping user db on 'clear user data'</t>
  </si>
  <si>
    <t xml:space="preserve">Without this change   clear user data  crashes 
As  described here (https:  github com dimagi commcare android pull 1500 files 75a837dabef56b15267c4e7266519c5274d93c7e r83646913):
  Since the user db was being cleared before this was called I don t think it was doing anything  because the file paths were cleared before this code could remove the files  Hence leaving dangling fixture data (for fixtures over 1mb)  Moving it here ensures that files are deleted before the db is cleared 
Here is the stacktrace of the crash:
FATAL EXCEPTION: main
Process: org commcare dalvik  PID: 14445
net sqlcipher database SQLiteException: error code 8: attempt to write a readonly database
   at net sqlcipher database SQLiteStatement native execute(Native Method)
   at net sqlcipher database SQLiteStatement execute(SQLiteStatement java:58)
   at net sqlcipher database SQLiteDatabase delete(SQLiteDatabase java:2047)
   at org commcare models database HybridFileBackedSqlStorage removeAll(HybridFileBackedSqlStorage java:474)
   at org commcare CommCareApplication clearUserData(CommCareApplication java:845)
   at org commcare activities AdvancedActionsActivity 10 onClick(AdvancedActionsActivity java:239)
   at org commcare views dialogs StandardAlertDialog 3 onClick(StandardAlertDialog java:94)
   at android view View performClick(View java:5609)
   at android view View PerformClick run(View java:22262)
   at android os Handler handleCallback(Handler java:751)
   at android os Handler dispatchMessage(Handler java:95)
   at android os Looper loop(Looper java:154)
   at android app ActivityThread main(ActivityThread java:6077)
   at java lang reflect Method invoke(Native Method)
   at com android internal os ZygoteInit MethodAndArgsCaller run(ZygoteInit java:865)
   at com android internal os ZygoteInit main(ZygoteInit java:755)
</t>
  </si>
  <si>
    <t>gsantner-dandelion-97</t>
  </si>
  <si>
    <t>WebView crashes on Copperhead OS Nougat</t>
  </si>
  <si>
    <t xml:space="preserve">     General information
    Device:   Nexus 6p
    Android Version:   7 0 0 CopperheadOS
    Pod:   pod geraspora de
    Diaspora pod version:   eg 0 5 99 0 p9bd2337c  (can be found on the bottom)
    App source:   F Droid  self build (latest HEAD)
    App version:   HEAD
I have:
  searched open and closed issues for duplicates
  read  https:  github com Diaspora for Android diaspora android blob master CONTRIBUTING md 
  not submitted translations   see  Crowdin (https:  crowdin com project diaspora for android invite)  
     Steps to reproduce
1  Open app and let stream load
     Expected result
  What is the expected output    
No crash
  What do you see instead   
App crashes sometimes after  4 5 secs  If the crash once happened  it will happen most starts afterwards  This can be fixed by deleting all app data 
     Debug output
Edit: Whoops  wrong log   
10 25 22:35:46 216 16967 16967   D AndroidRuntime: Shutting down VM
10 25 22:35:46 217 16967 16967   E AndroidRuntime: FATAL EXCEPTION: main
                                                   Process: com github dfa diaspora android  PID: 16967
                                                   java lang NullPointerException: Attempt to invoke virtual method  int android graphics Bitmap getWidth()  on a null object reference
                                                       at com android webview chromium WebViewContentsClientAdapter getDefaultVideoPoster(WebViewContentsClientAdapter java:1181)
                                                       at org chromium android webview DefaultVideoPosterRequestHandler 1 run(DefaultVideoPosterRequestHandler java:39)
                                                       at android os Handler handleCallback(Handler java:751)
                                                       at android os Handler dispatchMessage(Handler java:95)
                                                       at android os Looper loop(Looper java:154)
                                                       at android app ActivityThread main(ActivityThread java:6080)
                                                       at java lang reflect Method invoke(Native Method)
                                                       at com android internal os ZygoteInit MethodAndArgsCaller run(ZygoteInit java:853)
                                                       at com android internal os ExecInit main(ExecInit java:56)
                                                       at com android internal os RuntimeInit nativeFinishInit(Native Method)
                                                       at com android internal os RuntimeInit main(RuntimeInit java:262)
10 25 22:35:46 219 16967 16967   E AndroidRuntime: Error reporting crash
                                                   java lang RuntimeException: Bad file descriptor
                                                       at android os BinderProxy transactNative(Native Method)
                                                       at android os BinderProxy transact(Binder java:615)
                                                       at android app ActivityManagerProxy handleApplicationCrash(ActivityManagerNative java:5103)
                                                       at com android internal os RuntimeInit UncaughtHandler uncaughtException(RuntimeInit java:97)
                                                       at java lang ThreadGroup uncaughtException(ThreadGroup java:1068)
                                                       at java lang ThreadGroup uncaughtException(ThreadGroup java:1063)
10 25 22:35:46 219 16967 16967   I Process: Sending signal  PID: 16967 SIG: 9
10 25 22:35:46 279 4424 4767   I WindowManager: WIN DEATH: Window 2b8301b u0 com github dfa diaspora android com github dfa diaspora android activity MainActivity 
</t>
  </si>
  <si>
    <t>appdockProject-appDockApp-2</t>
  </si>
  <si>
    <t>Survey page crashes if permissions aren't allowed</t>
  </si>
  <si>
    <t xml:space="preserve">It continues to crash until permissions are granted  
</t>
  </si>
  <si>
    <t>Ereza-CustomActivityOnCrash-28</t>
  </si>
  <si>
    <t>Does not work with Firebase</t>
  </si>
  <si>
    <t xml:space="preserve">as per the title says  the library does not catch the crash when using Firebase crash reporting 
maybe this could be helpful  
http:  stackoverflow com questions 38048314 deal with firebase crash reporting and custom application class with custom unca
</t>
  </si>
  <si>
    <t>WishCanTaiwan-VocabuLazy-Android-55</t>
  </si>
  <si>
    <t>Rotation causes crash</t>
  </si>
  <si>
    <t xml:space="preserve">Rotation causes crash and should be disable 
</t>
  </si>
  <si>
    <t>gsantner-dandelion-99</t>
  </si>
  <si>
    <t>App crashes on API 17 on startup (Related to vector graphics)</t>
  </si>
  <si>
    <t xml:space="preserve">     General information
    Device:   AndroidStudio Emulator with API 17
    Android Version:   Api 17 emulator
    Pod:   eg pod geraspora de
    Diaspora pod version:   eg 0 5 99 0 p9bd2337c  (can be found on the bottom)
    App source:   F Droid  self build (latest HEAD)
    App version:   HEAD
I have:
  searched open and closed issues for duplicates
  read  https:  github com Diaspora for Android diaspora android blob master CONTRIBUTING md 
  not submitted translations   see  Crowdin (https:  crowdin com project diaspora for android invite)  
     Steps to reproduce
1  Open app
     Expected result
  What is the expected output    
App starts normal
  What do you see instead   
App crashes directly
I guess it has to do with the way icon drawables are set on toolbar entries 
 gsantner I ll assign you to this issue  since I don t have a clue about vector drawables :D
     Debug output
10 26 19:55:36 481 1882 1882   E AndroidRuntime: FATAL EXCEPTION: main
                                                 android content res Resources NotFoundException: File res drawable ic notifications white 48px  layer xml from drawable resource ID  0x7f020069  If the resource you are trying to use is a vector resource  you may be referencing it in an unsupported way  See AppCompatDelegate setCompatVectorFromResourcesEnabled() for more info 
                                                     at android content res Resources loadDrawable(Resources java:1958)
                                                     at android content res Resources getDrawable(Resources java:660)
                                                     at android support v4 content ContextCompat getDrawable(ContextCompat java:346)
                                                     at android support v7 widget AppCompatDrawableManager getDrawable(AppCompatDrawableManager java:197)
                                                     at android support v7 widget AppCompatDrawableManager getDrawable(AppCompatDrawableManager java:185)
                                                     at android support v7 content res AppCompatResources getDrawable(AppCompatResources java:100)
                                                     at android support v7 view menu MenuItemImpl getIcon(MenuItemImpl java:421)
                                                     at android support v7 view menu ActionMenuItemView initialize(ActionMenuItemView java:128)
                                                     at android support v7 widget ActionMenuPresenter bindItemView(ActionMenuPresenter java:211)
                                                     at android support v7 view menu BaseMenuPresenter getItemView(BaseMenuPresenter java:182)
                                                     at android support v7 widget ActionMenuPresenter getItemView(ActionMenuPresenter java:197)
                                                     at android support v7 widget ActionMenuPresenter flagActionItems(ActionMenuPresenter java:479)
                                                     at android support v7 view menu MenuBuilder flagActionItems(MenuBuilder java:1144)
                                                     at android support v7 view menu BaseMenuPresenter updateMenuView(BaseMenuPresenter java:91)
                                                     at android support v7 widget ActionMenuPresenter updateMenuView(ActionMenuPresenter java:234)
                                                     at android support v7 view menu MenuBuilder dispatchPresenterUpdate(MenuBuilder java:283)
                                                     at android support v7 view menu MenuBuilder onItemsChanged(MenuBuilder java:1035)
                                                     at android support v7 view menu MenuBuilder startDispatchingItemsChanged(MenuBuilder java:1058)
                                                     at android support v7 app ToolbarActionBar populateOptionsMenu(ToolbarActionBar java:460)
                                                     at android support v7 app ToolbarActionBar 1 run(ToolbarActionBar java:61)
                                                     at android os Handler handleCallback(Handler java:725)
                                                     at android os Handler dispatchMessage(Handler java:92)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Caused by: android content res Resources NotFoundException: File res drawable ic notifications white 48px xml from drawable resource ID  0x7f020068
                                                     at android content res Resources loadDrawable(Resources java:1958)
                                                     at android content res Resources getDrawable(Resources java:660)
                                                     at android graphics drawable LayerDrawable inflate(LayerDrawable java:156)
                                                     at android graphics drawable Drawable createFromXmlInner(Drawable java:885)
                                                     at android graphics drawable Drawable createFromXml(Drawable java:822)
                                                     at android content res Resources loadDrawable(Resources java:1955)
                                                     at android content res Resources getDrawable(Resources java:660) 
                                                     at android support v4 content ContextCompat getDrawable(ContextCompat java:346) 
                                                     at android support v7 widget AppCompatDrawableManager getDrawable(AppCompatDrawableManager java:197) 
                                                     at android support v7 widget AppCompatDrawableManager getDrawable(AppCompatDrawableManager java:185) 
                                                     at android support v7 content res AppCompatResources getDrawable(AppCompatResources java:100) 
                                                     at android support v7 view menu MenuItemImpl getIcon(MenuItemImpl java:421) 
                                                     at android support v7 view menu ActionMenuItemView initialize(ActionMenuItemView java:128) 
                                                     at android support v7 widget ActionMenuPresenter bindItemView(ActionMenuPresenter java:211) 
                                                     at android support v7 view menu BaseMenuPresenter getItemView(BaseMenuPresenter java:182) 
                                                     at android support v7 widget ActionMenuPresenter getItemView(ActionMenuPresenter java:197) 
                                                     at android support v7 widget ActionMenuPresenter flagActionItems(ActionMenuPresenter java:479) 
                                                     at android support v7 view menu MenuBuilder flagActionItems(MenuBuilder java:1144) 
                                                     at android support v7 view menu BaseMenuPresenter updateMenuView(BaseMenuPresenter java:91) 
                                                     at android support v7 widget ActionMenuPresenter updateMenuView(ActionMenuPresenter java:234) 
                                                     at android support v7 view menu MenuBuilder dispatchPresenterUpdate(MenuBuilder java:283) 
                                                     at android support v7 view menu MenuBuilder onItemsChanged(MenuBuilder java:1035) 
                                                     at android support v7 view menu MenuBuilder startDispatchingItemsChanged(MenuBuilder java:1058) 
                                                     at android support v7 app ToolbarActionBar populateOptionsMenu(ToolbarActionBar java:460) 
                                                     at android support v7 app ToolbarActionBar 1 run(ToolbarActionBar java:61) 
                                                     at android os Handler handleCallback(Handler java:725) 
                                                     at android os Handler dispatchMessage(Handler java:92)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Caused by: org xmlpull v1 XmlPullParserException: Binary XML file line  1: invalid drawable tag vector
                                                     at android graphics drawable Drawable createFromXmlInner(Drawable java:881)
                                                     at android graphics drawable Drawable createFromXml(Drawable java:822)
                                                     at android content res Resources loadDrawable(Resources java:1955)
                                                     at android content res Resources getDrawable(Resources java:660) 
                                                     at android graphics drawable LayerDrawable inflate(LayerDrawable java:156) 
                                                     at android graphics drawable Drawable createFromXmlInner(Drawable java:885) 
                                                     at android graphics drawable Drawable createFromXml(Drawable java:822) 
                                                     at android content res Resources loadDrawable(Resources java:1955) 
                                                     at android content res Resources getDrawable(Resources java:660) 
                                                     at android support v4 content ContextCompat getDrawable(ContextCompat java:346) 
                                                     at android support v7 widget AppCompatDrawableManager getDrawable(AppCompatDrawableManager java:197) 
                                                     at android support v7 widget AppCompatDrawableManager getDrawable(AppCompatDrawableManager java:185) 
                                                     at android support v7 content res AppCompatResources getDrawable(AppCompatResources java:100) 
                                                     at android support v7 view menu MenuItemImpl getIcon(MenuItemImpl java:421) 
                                                     at android support v7 view menu ActionMenuItemView initialize(ActionMenuItemView java:128) 
                                                     at android support v7 widget ActionMenuPresenter bindItemView(ActionMenuPresenter java:211) 
                                                     at android support v7 view menu BaseMenuPresenter getItemView(BaseMenuPresenter java:182) 
                                                     at android support v7 widget ActionMenuPresenter getItemView(ActionMenuPresenter java:197) 
                                                     at android support v7 widget ActionMenuPresenter flagActionItems(ActionMenuPresenter java:479) 
                                                     at android support v7 view menu MenuBuilder flagActionItems(MenuBuilder java:1144) 
                                                     at android support v7 view menu BaseMenuPresenter updateMenuView(BaseMenuPresenter java:91) 
                                                     at android support v7 widget ActionMenuPresenter updateMenuView(ActionMenuPresenter java:234) 
                                                     at android support v7 view menu MenuBuilder dispatchPresenterUpdate(MenuBuilder java:283) 
                                                     at android support v7 view menu MenuBuilder onItemsChanged(MenuBuilder java:1035) 
                                                     at android support v7 view menu MenuBuilder startDispatchingItemsChanged(MenuBuilder java:1058) 
                                                     at android support v7 app ToolbarActionBar populateOptionsMenu(ToolbarActionBar java:460) 
                                                     at android support v7 app ToolbarActionBar 1 run(ToolbarActionBar java:61) 
                                                     at android os Handler handleCallback(Handler java:725) 
                                                     at android os Handler dispatchMessage(Handler java:92) 
                                                     at android os Looper loop(Looper java:137) 
                                                     at android app ActivityThread main(ActivityThread java:5041) 
                                                     at java lang reflect Method invokeNative(Native Method) 
                                                     at java lang reflect Method invoke(Method java:511) 
                                                     at com android internal os ZygoteInit MethodAndArgsCaller run(ZygoteInit java:793) 
                                                     at com android internal os ZygoteInit main(ZygoteInit java:560) 
                                                     at dalvik system NativeStart main(Native Method) 
</t>
  </si>
  <si>
    <t>smartdevicelink-sdl_java_suite-350</t>
  </si>
  <si>
    <t>ArrayIndexOutOfBounds in SdlRouterService when connecting to HU.</t>
  </si>
  <si>
    <t xml:space="preserve">This happens only some of the time  seems like after HS phone restarted then first connect to HU 
https:  github com smartdevicelink sdl android blob master sdl android lib src com smartdevicelink transport SdlRouterService java L1800
I m getting this stack trace:
10 25 19:04:14 393 8674 8674 com smartdevicelink router E AndroidRuntime: FATAL EXCEPTION: main
        Process: com smartdevicelink router  PID: 8674
        java lang ArrayIndexOutOfBoundsException: src length 83 srcPos 0 dst length 83 dstPos 12 length 83
        at java lang System arraycopy(Native Method)
        at com smartdevicelink transport SdlRouterService createForceUnregisterApp(SdlRouterService java:1800)
        at com smartdevicelink transport SdlRouterService attemptToCleanUpModule(SdlRouterService java:1398)
        at com smartdevicelink transport SdlRouterService removeAllSessionsForApp(SdlRouterService java:1674)
        at com smartdevicelink transport SdlRouterService access 900(SdlRouterService java:77)
        at com smartdevicelink transport SdlRouterService RouterHandler handleMessage(SdlRouterService java:364)
        at android os Handler dispatchMessage(Handler java:102)
        at android os Looper loop(Looper java:135)
        at android app ActivityThread main(ActivityThread java:5221)
        at java lang reflect Method invoke(Native Method)
        at java lang reflect Method invoke(Method java:372)
        at com android internal os ZygoteInit MethodAndArgsCaller run(ZygoteInit java:899)
        at com android internal os ZygoteInit main(ZygoteInit java:694)
I added a log message to see what the version parameter was:
 10 26 10:33:11 004  6098  6098 E JT DBG RTR: Going to crash with ArrayIndexOutOfBounds on messsage of version  1 
</t>
  </si>
  <si>
    <t>OneBusAway-onebusaway-android-711</t>
  </si>
  <si>
    <t>java.io.FileNotFoundException for resource icon on OnePlus One devices</t>
  </si>
  <si>
    <t xml:space="preserve">  Summary:   
We ve seen a spike in crashes (87 over last week  126 total over 2 weeks) mostly for OnePlus One devices (111 crashes on OnePlusOne  3 on Droid Turbo  and 1 on Galaxy S5) with this stack trace:
java lang RuntimeException: Unable to start activity ComponentInfo com joulespersecond seattlebusbot org onebusaway android ui HomeActivity : android content res Resources NotFoundException: File  data system theme icons com joulespersecond seattlebusbot 7f030000 0 png from drawable resource ID  0x7f030000
    at android app ActivityThread performLaunchActivity(ActivityThread java:2450)
    at android app ActivityThread handleLaunchActivity(ActivityThread java:2510)
    at android app ActivityThread  wrap11(ActivityThread java)
    at android app ActivityThread H handleMessage(ActivityThread java:1363)
    at android os Handler dispatchMessage(Handler java:102)
    at android os Looper loop(Looper java:148)
    at android app ActivityThread main(ActivityThread java:5461)
    at java lang reflect Method invoke(Native Method)
    at com android internal os ZygoteInit MethodAndArgsCaller run(ZygoteInit java:726)
    at com android internal os ZygoteInit main(ZygoteInit java:616)
Caused by: android content res Resources NotFoundException: File  data system theme icons com joulespersecond seattlebusbot 7f030000 0 png from drawable resource ID  0x7f030000
    at android content res Resources openRawResource(Resources java:1336)
    at android content res Resources openRawResource(Resources java:1306)
    at maps V N a(Unknown Source)
    at maps D e a(Unknown Source)
    at maps D p a(Unknown Source)
    at maps ad ae a(Unknown Source)
    at maps ad t a(Unknown Source)
    at maps ad M a(Unknown Source)
    at wd onTransact(:com google android gms DynamiteModulesB:107)
    at android os Binder transact(Binder java:387)
    at com google android gms maps internal IMapFragmentDelegate zza zza onCreateView(Unknown Source)
    at com google android gms maps SupportMapFragment zza onCreateView(Unknown Source)
    at com google android gms dynamic zza 4 zzb(Unknown Source)
    at com google android gms dynamic zza zza(Unknown Source)
    at com google android gms dynamic zza onCreateView(Unknown Source)
    at com google android gms maps SupportMapFragment onCreateView(Unknown Source)
    at org onebusaway android map googlemapsv2 BaseMapFragment onCreateView(BaseMapFragment java:181)
    at android support v4 app Fragment performCreateView(Fragment java:1974)
    at android support v4 app FragmentManagerImpl moveToState(FragmentManager java:1067)
    at android support v4 app FragmentManagerImpl moveToState(FragmentManager java:1252)
    at android support v4 app BackStackRecord run(BackStackRecord java:742)
    at android support v4 app FragmentManagerImpl execPendingActions(FragmentManager java:1617)
    at android support v4 app FragmentController execPendingActions(FragmentController java:339)
    at android support v4 app FragmentActivity onStart(FragmentActivity java:601)
    at org onebusaway android ui HomeActivity onStart(HomeActivity java:334)
    at android app Instrumentation callActivityOnStart(Instrumentation java:1238)
    at android app Activity performStart(Activity java:6268)
    at android app ActivityThread performLaunchActivity(ActivityThread java:2413)
        9 more
Caused by: java io FileNotFoundException:  data system theme icons com joulespersecond seattlebusbot 7f030000 0 png
    at android content res AssetManager openNonAssetNative(Native Method)
    at android content res AssetManager openNonAsset(AssetManager java:423)
    at android content res Resources openRawResource(Resources java:1333)
        36 more
This doesn t seem to be related to any change by us  as it happened 2 times on app version 70 and 126 times on version 71 
This  StackOverflow issue (http:  stackoverflow com questions 40109898 location map crash in oneplus one device) points to this  CyanogenMod issue (https:  jira cyanogenmod org browse BACON 5169)   From that issue:
  Changing from the Hexo theme to any other CyanogenMod theme fixes the issue 
I m going to mark this as  Won t fix   as it seems to be an issue with CyanogenMod 
  Steps to reproduce:   
Start app on OnePlus One with Hexo theme active
  Expected behavior:   
Not crash
  Observed behavior:   
Crash with above stacktrace
  Device and Android version:   
111 crashes on:
OnePlus One (A0001)
Manufacturer Symphony Teleca
Android version Android 4 3 
RAM (MB) 3072 
Screen size 1080   1920 
Screen density (dpi) 480 
OpenGL ES version 3 0 
Native platform armeabi v7a 
CPU make Qualcomm 
CPU model MSM8974AC
3 crashes on:
Droid Turbo (quark)
Manufacturer Motorola
Android version Android 4 4 
RAM (MB) 3000 
Screen size 1440   2560 
Screen density (dpi) 640 
OpenGL ES version 3 0 
Native platform armeabi v7a 
CPU make Qualcomm 
CPU model APQ8084
1 crash on:
Galaxy S5 (kltetmo)
Manufacturer Samsung 
Android version Android 4 4 
RAM (MB) 2048 
Screen size 1080   1920 
Screen density (dpi) 480 
OpenGL ES version 3 0 
Native platform armeabi v7a 
CPU make Qualcomm 
CPU model MSM8974
  Screenshots:   
N A
</t>
  </si>
  <si>
    <t>nextcloud-android-361</t>
  </si>
  <si>
    <t>Newest F-Droid beta crashes app when opening instant upload</t>
  </si>
  <si>
    <t xml:space="preserve">    Actual behaviour
After upgrading to the latest beta  a message pops up stating instant uploads has been revamped  After clicking the open button  the app crashes  Selecting instant uploads from the slide out menu continues to crash the app 
    Expected behaviour
After selecting open button  the user should be taken to the new instant uploads menu 
    Steps to reproduce
1  Open the latest F droid beta 
2  Select instant uploads from the slide out menu 
3  App crashes
    Environment data
Android version: 7 0
Device model: Nexus 6p angler
Stock or customized system: customized  Copperhead OS
Nextcloud app version: F droid Nextcloud beta 20161026
Nextcloud server version: 10 0 1 (stable)
    Logs
     Web server error log
   CAUSE OF ERROR   
android database sqlite SQLiteException: near  s : syntax error (code 1):   while compiling: SELECT  data FROM images WHERE ( data LIKE   storage emulated 0  PATH TO FILE    ) ORDER BY datetaken DESC LIMIT 8
    at android database DatabaseUtils readExceptionFromParcel(DatabaseUtils java:179)
    at android database DatabaseUtils readExceptionFromParcel(DatabaseUtils java:135)
    at android content ContentProviderProxy query(ContentProviderNative java:421)
    at android content ContentResolver query(ContentResolver java:530)
    at android content ContentResolver query(ContentResolver java:472)
    at com owncloud android datamodel MediaProvider getMediaFolders(MediaProvider java:79)
    at com owncloud android ui activity FolderSyncActivity 1 run(FolderSyncActivity java:130)
    at java lang Thread run(Thread java:761)
   DEVICE INFORMATION  
Brand: Android
Device: angler
Model: Nexus 6P
Id: NBD90Z
Product: aosp angler
   FIRMWARE   
SDK: 24
Release: 7 0
Incremental: 2016 10 21 23 10 25
</t>
  </si>
  <si>
    <t>jaagameister-learning-170</t>
  </si>
  <si>
    <t xml:space="preserve">SriniBot crash </t>
  </si>
  <si>
    <t xml:space="preserve">After completing all sections of math it s getting crashed 
</t>
  </si>
  <si>
    <t>KeepSafe-TapTargetView-55</t>
  </si>
  <si>
    <t>NPE</t>
  </si>
  <si>
    <t xml:space="preserve">Hello
im facing an NPE in fabrics crash dashboard  but dont know how to solve this  can you give me a hint please 
i have a sequence of two items  first is a toolbar action item second is a spinner view  it works correctly on my phone but crashes a lot on my users phones 
Fatal Exception: java lang NullPointerException: Attempt to read from null array
       at com getkeepsafe taptargetview TapTargetView 10 onClick(TapTargetView java:435)
       at android view View performClick(View java:5207)
       at android view View PerformClick run(View java:21168)
       at android os Handler handleCallback(Handler java:746)
       at android os Handler dispatchMessage(Handler java:95)
       at android os Looper loop(Looper java:148)
       at android app ActivityThread main(ActivityThread java:5443)
       at java lang reflect Method invoke(Method java)
       at com android internal os ZygoteInit MethodAndArgsCaller run(ZygoteInit java:728)
       at com android internal os ZygoteInit main(ZygoteInit java:618)
</t>
  </si>
  <si>
    <t>GCX-HCI-ThirtyInch-28</t>
  </si>
  <si>
    <t>Use of compose(RxTiPresenterUtils.deliverLatestCacheToView(this)) creates too many instances of OperatorSemaphore</t>
  </si>
  <si>
    <t xml:space="preserve">When using your lib  I noticed weird side effect  when using 
    java
compose(RxTiPresenterUtils deliverLatestCacheToView(this))
it creates too many instances of OperatorSemaphore  After config changes and moving between screens with  Don t Keep Activities  flag  I tried to trigger GC  but it didn t help 
  screenshot from 2016 10 26 15 56 24 (https:  cloud githubusercontent com assets 3674446 19759104 0b2bfafc 9c34 11e6 9560 cf986f63a1fc png)
On the opposite side using 
    java
compose(RxTiPresenterUtils deliverToView(this))
worked just fine  Firstly  it didn t create so many instances  secondly  after triggering GC  the existing instances of OperatorSemaphore was destroyed 
I did look into the internals of caching version it seemed to me that after presenter is destroyed lifecycle observers should be removed therefore triggering GC should clear OperatorSemaphore instances 
Can you better explain how it should work  and when GC should clear out those instances 
Couple of unrelated questions
1  Should  deliverLatestCacheToView  propagate cached Error 
2   Any actions with view in  doOnSubscribe doOnTerminate  will crash the app when user will leave and go back to view during network request  I expect isViewReady(presenter) will emit items and deliver cache only when view fully attached 
Full code
    java
   Override protected void onWakeUp()  
    super onWakeUp() 
    loadChats() 
  public void loadChats()  
    rxSubscriptionHelper manageSubscription(
        chatOperations getChats(chatType)
             observeOn(AndroidSchedulers mainThread())
             doOnSubscribe(()     
              if (getView()    null)  
                getView() showRefreshing() 
             )
             doOnTerminate(()     
              if (getView()    null)  
                getView() stopRefresginAndHideMsgs() 
             )
             compose(RxTiPresenterUtils deliverLatestCacheToView(this))
             subscribe(chats     
              getView() setChats(chats) 
               e     
              if (e instanceof RxNetworkException)  
                getView() stopRefreshAndShowError(e getMessage()) 
                else  
                throw new RuntimeException(e) 
             )
    ) 
</t>
  </si>
  <si>
    <t>Tencent-tinker-144</t>
  </si>
  <si>
    <t>vivo X3t补丁加载后重新启动会造成程序崩溃</t>
  </si>
  <si>
    <t xml:space="preserve">   vivo X3t     OS       60 Android  4 2 1                                             db ic guide1 b png                         string xml name db recharge tip                   
    java
0 27 10:01:55 705 7753 7753   E dalvikvm: Could not find class  android util ArrayMap   referenced from method com tencent tinker loader TinkerResourcePatcher isResourceCanPatch
10 27 10:01:55 816 7753 7753   E dalvikvm: Could not find class  android app AppOpsManager   referenced from method com google android gms internal zzrt zzg
10 27 10:01:56 112 7753 7753   E com umeng message UmengRegistrar: isRegisteredToUmeng: empty registration id
10 27 10:01:56 145 7753 7753   E com umeng message UTrack: RegistrationId is empty
10 27 10:01:56 198 7753 7753   E Tinker SampleUncaughtExHandler: uncaughtException:Unable to start activity ComponentInfo com yyxx new com cry test ui SplashActivity  : android view InflateException: Binary XML file line  36: Error inflating class android support v7 widget Toolbar
10 27 10:01:56 217 7753 7753   E Tinker SampleUncaughtExHandler: tinker has fast crash 2 times
10 27 10:01:56 221 7753 7753   E AndroidRuntime: FATAL EXCEPTION: main
                                                 java lang RuntimeException: Unable to start activity ComponentInfo com yyxx new com cry test ui SplashActivity  : android view InflateException: Binary XML file line  36: Error inflating class android support v7 widget Toolbar
                                                     at android app ActivityThread performLaunchActivity(ActivityThread java:2308)
                                                     at android app ActivityThread handleLaunchActivity(ActivityThread java:2360)
                                                     at android app ActivityThread access 600(ActivityThread java:156)
                                                     at android app ActivityThread H handleMessage(ActivityThread java:1342)
                                                     at android os Handler dispatchMessage(Handler java:99)
                                                     at android os Looper loop(Looper java:153)
                                                     at android app ActivityThread main(ActivityThread java:5338)
                                                     at java lang reflect Method invokeNative(Native Method)
                                                     at java lang reflect Method invoke(Method java:511)
                                                     at com android internal os ZygoteInit MethodAndArgsCaller run(ZygoteInit java:833)
                                                     at com android internal os ZygoteInit main(ZygoteInit java:600)
                                                     at dalvik system NativeStart main(Native Method)
                                                  Caused by: android view InflateException: Binary XML file line  36: Error inflating class android support v7 widget Toolbar
                                                     at android view LayoutInflater createView(LayoutInflater java:613)
                                                     at android view LayoutInflater createViewFromTag(LayoutInflater java:687)
                                                     at android view LayoutInflater rInflate(LayoutInflater java:746)
                                                     at android view LayoutInflater rInflate(LayoutInflater java:749)
                                                     at android view LayoutInflater inflate(LayoutInflater java:489)
                                                     at android view LayoutInflater inflate(LayoutInflater java:396)
                                                     at android view LayoutInflater inflate(LayoutInflater java:352)
                                                     at android support v7 app AppCompatDelegateImplV7 createSubDecor(AppCompatDelegateImplV7 java:357)
                                                     at android support v7 app AppCompatDelegateImplV7 ensureSubDecor(AppCompatDelegateImplV7 java:278)
                                                     at android support v7 app AppCompatDelegateImplV7 initWindowDecorActionBar(AppCompatDelegateImplV7 java:171)
                                                     at android support v7 app AppCompatDelegateImplBase getSupportActionBar(AppCompatDelegateImplBase java:87)
                                                     at android support v7 app AppCompatActivity getSupportActionBar(AppCompatActivity java:79)
                                                     at com cry test ui base BaseActivity initTitle(BaseActivity java:33)
                                                     at com cry test ui base BaseActivity onCreate(BaseActivity java:25)
                                                     at com cry test ui SplashActivity onCreate(SplashActivity java:60)
                                                     at com cry test ui SplashActivity  onCreate(SplashActivity  java:41)
                                                     at android app Activity performCreate(Activity java:5232)
                                                     at android app Instrumentation callActivityOnCreate(Instrumentation java:1081)
                                                     at android app ActivityThread performLaunchActivity(ActivityThread java:2272)
                                                     at android app ActivityThread handleLaunchActivity(ActivityThread java:2360) 
                                                     at android app ActivityThread access 600(ActivityThread java:156) 
                                                     at android app ActivityThread H handleMessage(ActivityThread java:1342) 
                                                     at android os Handler dispatchMessage(Handler java:99) 
                                                     at android os Looper loop(Looper java:153) 
                                                     at android app ActivityThread main(ActivityThread java:5338) 
                                                     at java lang reflect Method invokeNative(Native Method) 
                                                     at java lang reflect Method invoke(Method java:511) 
                                                     at com android internal os ZygoteInit MethodAndArgsCaller run(ZygoteInit java:833) 
                                                     at com android internal os ZygoteInit main(ZygoteInit java:600) 
                                                     at dalvik system NativeStart main(Native Method) 
                                                  Caused by: java lang reflect InvocationTargetException
                                                     at java lang reflect Constructor constructNative(Native Method)
                                                     at java lang reflect Constructor newInstance(Constructor java:417)
                                                     at android view LayoutInflater createView(LayoutInflater java:587)
                                                     at android view LayoutInflater createViewFromTag(LayoutInflater java:687) 
                                                     at android view LayoutInflater rInflate(LayoutInflater java:746) 
                                                     at android view LayoutInflater rInflate(LayoutInflater java:749) 
                                                     at android view LayoutInflater inflate(LayoutInflater java:489) 
                                                     at android view LayoutInflater inflate(LayoutInflater java:396) 
                                                     at android view LayoutInflater inflate(LayoutInflater java:352) 
                                                     at android support v7 app AppCompatDelegateImplV7 createSubDecor(AppCompatDelegateImplV7 java:357) 
                                                     at android support v7 app AppCompatDelegateImplV7 ensureSubDecor(AppCompatDelegateImplV7 java:278) 
                                                     at android support v7 app AppCompatDelegateImplV7 initWindowDecorActionBar(AppCompatDelegateImplV7 java:171) 
                                                     at android support v7 app AppCompatDelegateImplBase getSupportActionBar(AppCompatDelegateImplBase java:87) 
                                                     at android support v7 app AppCompatActivity getSupportActionBar(AppCompatActivity java:79) 
                                                     at com cry test ui base BaseActivity initTitle(BaseActivity java:33) 
                                                     at com cry test ui base BaseActivity onCreate(BaseActivity java:25) 
                                                     at com cry test ui SplashActivity onCreate(SplashActivity java:60) 
                                                     at com cry test ui SplashActivity  onCreate(SplashActivity  java:41) 
                                                     at android app Activity performCreate(Activity java:5232) 
                                                     at android app Instrumentation callActivityOnCreate(Instrumentation java:1081) 
                                                     at android app ActivityThread performLaunchActivity(ActivityThread java:2272) 
                                                     at android app ActivityThread handleLaunchActivity(ActivityThread java:2360) 
                                                     at android app ActivityThread access 600(ActivityThread java:156) 
                                                     at android app ActivityThread H handleMessage(ActivityThread java:1342) 
                                                     at android os Handler dispatchMessage(Handler java:99) 
                                                     at android os Looper loop(Looper java:153) 
                                                     at android app ActivityThread main(ActivityThread java:5338) 
                                                     at java lang reflect Method invokeNative(Native Method) 
                                                     at java lang reflect Method invoke(Method java:511) 
                                                     at com android internal os ZygoteInit MethodAndArgsCaller run(ZygoteInit java:833) 
                                                     at com android internal os ZygoteInit main(ZygoteInit java:600) 
                                                     at dalvik system NativeStart main(Native Method) 
                                                  Caused by: android content res Resources NotFoundException: File res mipmap xhdpi v4 db actionbar ic top back png from drawable resource ID  0x7f030013
                                                     at android content res BaiduResources loadDrawableBaidu(BaiduResources java:180)
                                                     at android content res BaiduResources loadDrawable(BaiduResources java:103)
                                                     at android content res Resources getDrawable(Resources java:673)
                                                     at android support v4 content ContextCompat getDrawable(ContextCompat java:323)
                                                     at android support v7 internal widget TintManager getDrawable(TintManager java:174)
                                                     at android support v7 internal widget TintManager getDrawable(TintManager java:167)
                                                     at android support v7 internal widget TintTypedArray getDrawable(TintTypedArray java:62)
                                                     at android support v7 widget Toolbar  init (Toolbar java:265)
                                                     at android support v7 widget Toolbar  init (Toolbar java:207)
                                                     at java lang reflect Constructor constructNative(Native Method) 
                                                     at java lang reflect Constructor newInstance(Constructor java:417) 
                                                     at android view LayoutInflater createView(LayoutInflater java:587) 
                                                     at android view LayoutInflater createViewFromTag(LayoutInflater java:687) 
                                                     at android view LayoutInflater rInflate(LayoutInflater java:746) 
                                                     at android view LayoutInflater rInflate(LayoutInflater java:749) 
                                                     at android view LayoutInflater inflate(LayoutInflater java:489) 
                                                     at android view LayoutInflater inflate(LayoutInflater java:396) 
                                                     at android view LayoutInflater inflate(LayoutInflater java:352) 
                                                     at android support v7 app AppCompatDelegateImplV7 createSubDecor(AppCompatDelegateImplV7 java:357) 
                                                     at android support v7 app AppCompatDelegateImplV7 ensureSubDecor(AppCompatDelegateImplV7 java:278) 
                                                     at android support v7 app AppCompatDelegateImplV7 initWindowDecorActionBar(AppCompatDelegateImplV7 java:171) 
                                                     at android support v7 app AppCompatDelegateImplBase getSupportActionBar(AppCompatDelegateImplBase java:87) 
                                                     at android support v7 app AppCompatActivity getSupportActionBar(AppCompatActivity java:79) 
                                                     at com cry test ui base BaseActivity initTitle(BaseActivity java:33) 
                                                     at com cry test ui base BaseActivity onCreate(BaseActivity java:25) 
                                                     at com cry test ui SplashActivity onCreate(SplashActivity java:60) 
                                                     at com cry test ui SplashActivity  onCreate(SplashActivity  java:41) 
                                                     at android app Activity performCreate(Activity java:5232) 
                                                     at android app Instrumentation callActivityOnCreate(Instrumentation java:1081) 
                                                     at android app ActivityThread performLaunchActivity(ActivityThread java:2272) 
                                                     at android app ActivityThread handleLaunchActivity(ActivityThread java:2360) 
                                                     at android app ActivityThread access 600(ActivityThread java:156) 
                                                     at android app ActivityThread H handleMessage(ActivityThread java:1342) 
                                                     at android os Handler dispatchMessage(Handler java:99) 
                                                     at android os Looper loop(Looper java:153) 
                                                     at android app ActivityThread main(ActivityThread java:5338) 
                                                     at java lang reflect Method invokeNative(Native Method) 
                                                     at java lang reflect Method invoke(Method java:511) 
                                                     at com android internal os ZygoteInit MethodAndArgsCaller run(ZygoteInit java:833) 
                                                     at com android internal os ZygoteInit main(ZygoteInit java:600) 
                                                     at dalvik system NativeStart main(Native Method) 
                                                  Caused by: java lang ClassCastException: android content res AssetManager cannot be cast to android content res BaiduAssetManager
                                                     at android content res BaiduResources loadDrawableBaidu(BaiduResources java:168)
                                                     at android content res BaiduResources loadDrawable(BaiduResources java:103) 
                                                     at android content res Resources getDrawable(Resources java:673) 
                                                     at android support v4 content ContextCompat getDrawable(ContextCompat java:323) 
                                                     at android support v7 internal widget TintManager getDrawable(TintManager java:174) 
                                                     at android support v7 internal widget TintManager getDrawable(TintManager java:167) 
                                                     at android support v7 internal widget TintTypedArray getDrawable(TintTypedArray java:62) 
                                                     at android support v7 widget Toolbar  init (Toolbar java:265) 
                                                     at android support v7 widget Toolbar  init (Toolbar java:207) 
                                                     at java lang reflect Constructor constructNative(Native Method) 
                                                     at java lang reflect Constructor newInstance(Constructor java:417) 
                                                     at android view LayoutInflater createView(LayoutInflater java:587) 
                                                     at android view LayoutInflater createViewFromTag(LayoutInflater java:687) 
                                                     at android view LayoutInflater rInflate(LayoutInflater java:746) 
                                                     at android view LayoutInflater rInflate(LayoutInflater java:749) 
                                                     at android view LayoutInflater inflate(LayoutInflater java:489) 
                                                     at android view LayoutInflater inflate(LayoutInflater java:396) 
                                                     at android view LayoutInflater inflate(LayoutInflater java:352) 
                                                     at android support v7 app AppCompatDelegateImplV7 createSubDecor(AppCompatDelegateImplV7 java:357) 
                                                     at android support v7 app AppCompatDelegateImplV7 ensureSubDecor(AppCompatDelegateImplV7 java:278) 
                                                     at android support v7 app AppCompatDelegateImplV7 initWindowDecorActionBar(AppCompatDelegateImplV7 java:171) 
                                                     at android support v7 app AppCompatDelegateImplBase getSupportActionBar(AppCompatDelegateImplBase java:87) 
                                                     at android support v7 app AppCompatActivity getSupportActionBar(AppCompatActivity java:79) 
                                                     at com cry test ui base BaseActivity initTitle(BaseActivity java:33) 
                                                     at com cry test ui base BaseActivity onCreate(BaseActivity java:25) 
                                                     at com cry test ui SplashActivity onCreate(SplashActivity java:60) 
                                                     at com cry test ui SplashActivity  onCreate(SplashActivity  java:41) 
                                                     at android app Activity performCreate(Activity java:5232) 
                                                     at android app Instrumentation callActivityOnCreate(Instrumentation java:1081) 
                                                     at android app ActivityThread performLaunchActivity(ActivityThread java:2272) 
                                                     at android app ActivityThread handleLaunchActivity(ActivityThread java:2360) 
                                                     at android app ActivityThread access 600(ActivityThread java:156) 
                                                     at android app ActivityThread H handleMessage(ActivityThread java:1342) 
                                                     at android os Handler dispatchMessage(Handler java:99) 
                                                     at android os Looper loop(Looper java:153) 
                                                     at android app ActivityThread main(ActivityThread java:5338) 
                                                     at java lang reflect Method invokeNative(Native Method) 
                                                     at java lang reflect Method invoke(Method java:511) 
                                                     at com android internal os ZygoteInit MethodAndArgsCaller run(ZygoteInit java:833) 
                                                     at com android internal os ZygoteInit main(ZygoteInit java:600) 
                                                     at dalvik system NativeStart main(Native Method) 
</t>
  </si>
  <si>
    <t>square-okhttp-2940</t>
  </si>
  <si>
    <t>Bug Report: validateCloseCode() throws IllegalArgumentException for CLOSE_NO_STATUS_CODE</t>
  </si>
  <si>
    <t xml:space="preserve">When the server closes by sending a Close control frame  and there is no body  I received the following exception:
java lang IllegalArgumentException: Code 1005 is reserved and may not be used 
at okhttp3 internal ws WebSocketProtocol validateCloseCode(WebSocketProtocol java:114)
at okhttp3 internal ws WebSocketWriter writeClose(WebSocketWriter java:101)
at okhttp3 internal ws RealWebSocket 2 execute(RealWebSocket java:190)
at okhttp3 internal NamedRunnable run(NamedRunnable java:32)
at java util concurrent ThreadPoolExecutor runWorker(ThreadPoolExecutor java:1113)
at java util concurrent ThreadPoolExecutor Worker run(ThreadPoolExecutor java:588)
at java lang Thread run(Thread java:818)
I found this confusing because as stated in https:  tools ietf org html rfc6455 section 5 5 1:
The Close frame MAY contain a body (the  Application data  portion of
the frame) that indicates a reason for closing  such as an endpoint
shutting down  an endpoint having received a frame too large  or an
endpoint having received a frame that does not conform to the format
expected by the endpoint   If there is a body  the first two bytes of
the body MUST be a 2 byte unsigned integer (in network byte order)
representing a status code with value  code  defined in Section 7 4 
Furthermore  as stated in https:  tools ietf org html rfc6455 section 7 1 6:
As defined in Sections 5 5 1 and 7 4  a Close control frame may
contain a status code indicating a reason for closure
My understanding is that what my server sent was valid  
Searching 1005  https:  tools ietf org html rfc6455 section 7 4 1 states the following:
1005 is a reserved value and MUST NOT be set as a status code in a
Close control frame by an endpoint   It is designated for use in
applications expecting a status code to indicate that no status
code was actually present 
I understand OkHttp should validate my server did not send 1005  but I sent nothing  Searching the code https:  github com square okhttp blob master okhttp src main java okhttp3 internal ws WebSocketReader java L192 L205 assumes 1005 without checking first I sent nothing  I believe this is contrary to the behaviour outline in https:  tools ietf org html rfc6455 section 7 1 5
If this Close control frame contains no status code   The WebSocket
Connection Close Code  is considered to be 1005 
Thus  OkHttp is unfairly assuming my server sent 1005 and crashing with the following code when I didn t 
https:  github com square okhttp blob master okhttp src main java okhttp3 internal ws WebSocketProtocol java L105 L118 
I can create a PR fixing this issue  Thank you 
</t>
  </si>
  <si>
    <t>haiwen-seadroid-592</t>
  </si>
  <si>
    <t>app crash when trying to view or download any text file</t>
  </si>
  <si>
    <t xml:space="preserve">If I either tap on on a text file or try to download it  the app crashes  I ve tried deleting all appdata  uninstalling  different text files but still am getting the same thing  I tried creating a text file on my phone  uploading it  and it looks like if it is already cached I am able to open it just fine 
I get this in the log:
10 28 20:00:34 727 E ConcurrentAsyncTask(16836): Uncaught exception in thread pool
10 28 20:00:34 727 E ConcurrentAsyncTask(16836): java lang RuntimeException: An error occurred while executing doInBackground()
10 28 20:00:34 727 E ConcurrentAsyncTask(16836):    at android os AsyncTask 3 done(AsyncTask java:309)
10 28 20:00:34 727 E ConcurrentAsyncTask(16836):    at java util concurrent FutureTask finishCompletion(FutureTask java:354)
10 28 20:00:34 727 E ConcurrentAsyncTask(16836):    at java util concurrent FutureTask setException(FutureTask java:223)
10 28 20:00:34 727 E ConcurrentAsyncTask(16836):    at java util concurrent FutureTask run(FutureTask java:242)
10 28 20:00:34 727 E ConcurrentAsyncTask(16836):    at java util concurrent ThreadPoolExecutor runWorker(ThreadPoolExecutor java:1113)
10 28 20:00:34 727 E ConcurrentAsyncTask(16836):    at java util concurrent ThreadPoolExecutor Worker run(ThreadPoolExecutor java:588)
10 28 20:00:34 727 E ConcurrentAsyncTask(16836):    at java lang Thread run(Thread java:818)
10 28 20:00:34 727 E ConcurrentAsyncTask(16836): Caused by: java lang NumberFormatException: Invalid long:  null 
10 28 20:00:34 727 E ConcurrentAsyncTask(16836):    at java lang Long invalidLong(Long java:124)
10 28 20:00:34 727 E ConcurrentAsyncTask(16836):    at java lang Long parseLong(Long java:345)
10 28 20:00:34 727 E ConcurrentAsyncTask(16836):    at java lang Long parseLong(Long java:321)
10 28 20:00:34 727 E ConcurrentAsyncTask(16836):    at com seafile seadroid2 SeafConnection getFileFromLink(SeafConnection java:566)
10 28 20:00:34 727 E ConcurrentAsyncTask(16836):    at com seafile seadroid2 SeafConnection getFile(SeafConnection java:678)
10 28 20:00:34 727 E ConcurrentAsyncTask(16836):    at com seafile seadroid2 data DataManager getFile(DataManager java:403)
10 28 20:00:34 727 E ConcurrentAsyncTask(16836):    at com seafile seadroid2 transfer DownloadTask doInBackground(DownloadTask java:71)
10 28 20:00:34 727 E ConcurrentAsyncTask(16836):    at com seafile seadroid2 transfer DownloadTask doInBackground(DownloadTask java:19)
10 28 20:00:34 727 E ConcurrentAsyncTask(16836):    at android os AsyncTask 2 call(AsyncTask java:295)
10 28 20:00:34 727 E ConcurrentAsyncTask(16836):    at java util concurrent FutureTask run(FutureTask java:237)
10 28 20:00:34 727 E ConcurrentAsyncTask(16836):        3 more
10 28 20:00:34 727 E AndroidRuntime(16836): FATAL EXCEPTION: SeadroidAsyncTask  4
10 28 20:00:34 727 E AndroidRuntime(16836): Process: com seafile seadroid2  PID: 16836
10 28 20:00:34 727 E AndroidRuntime(16836): java lang RuntimeException: An error occurred while executing doInBackground()
10 28 20:00:34 727 E AndroidRuntime(16836):     at android os AsyncTask 3 done(AsyncTask java:309)
10 28 20:00:34 727 E AndroidRuntime(16836):     at java util concurrent FutureTask finishCompletion(FutureTask java:354)
10 28 20:00:34 727 E AndroidRuntime(16836):     at java util concurrent FutureTask setException(FutureTask java:223)
10 28 20:00:34 727 E AndroidRuntime(16836):     at java util concurrent FutureTask run(FutureTask java:242)
10 28 20:00:34 727 E AndroidRuntime(16836):     at java util concurrent ThreadPoolExecutor runWorker(ThreadPoolExecutor java:1113)
10 28 20:00:34 727 E AndroidRuntime(16836):     at java util concurrent ThreadPoolExecutor Worker run(ThreadPoolExecutor java:588)
10 28 20:00:34 727 E AndroidRuntime(16836):     at java lang Thread run(Thread java:818)
10 28 20:00:34 727 E AndroidRuntime(16836): Caused by: java lang NumberFormatException: Invalid long:  null 
10 28 20:00:34 727 E AndroidRuntime(16836):     at java lang Long invalidLong(Long java:124)
10 28 20:00:34 727 E AndroidRuntime(16836):     at java lang Long parseLong(Long java:345)
10 28 20:00:34 727 E AndroidRuntime(16836):     at java lang Long parseLong(Long java:321)
10 28 20:00:34 727 E AndroidRuntime(16836):     at com seafile seadroid2 SeafConnection getFileFromLink(SeafConnection java:566)
10 28 20:00:34 727 E AndroidRuntime(16836):     at com seafile seadroid2 SeafConnection getFile(SeafConnection java:678)
10 28 20:00:34 727 E AndroidRuntime(16836):     at com seafile seadroid2 data DataManager getFile(DataManager java:403)
10 28 20:00:34 727 E AndroidRuntime(16836):     at com seafile seadroid2 transfer DownloadTask doInBackground(DownloadTask java:71)
10 28 20:00:34 727 E AndroidRuntime(16836):     at com seafile seadroid2 transfer DownloadTask doInBackground(DownloadTask java:19)
10 28 20:00:34 727 E AndroidRuntime(16836):     at android os AsyncTask 2 call(AsyncTask java:295)
10 28 20:00:34 727 E AndroidRuntime(16836):     at java util concurrent FutureTask run(FutureTask java:237)
10 28 20:00:34 727 E AndroidRuntime(16836):         3 more
10 28 20:00:34 728 E AbstractTracker(16836): Can t create handler inside thread that has not called Looper prepare()
10 28 20:00:34 728 D AppTracker(16836): App Event: crash
10 28 20:00:34 738 E AbstractTracker(16836): mTrackerAsyncQueryHandler is null
10 28 20:00:34 740 W ActivityManager(3377):   Force finishing activity com seafile seadroid2  ui activity FileActivity
10 28 20:00:34 743 W ActivityManager(3377):   Force finishing activity com seafile seadroid2  ui activity BrowserActivity
10 28 20:00:34 750 D AbstractTracker(16836): Event success
</t>
  </si>
  <si>
    <t>tlenclos-react-native-audio-streaming-33</t>
  </si>
  <si>
    <t>App crashes on Android when Notifications set to false</t>
  </si>
  <si>
    <t xml:space="preserve">Everything seems to work fine with Notifications enabled  but as soon as I turn them off  the app crashes on  play()   Here is the error log:_x000D_
_x000D_
   _x000D_
                       beginning of crash_x000D_
E AndroidRuntime: FATAL EXCEPTION: Thread 189_x000D_
  Process: com girondins  PID: 2705_x000D_
  java lang NullPointerException: Attempt to invoke virtual method  void android widget RemoteViews setTextViewText(int  java lang CharSequence)  on a null object reference_x000D_
    at com audioStreaming Signal playerMetadata(Signal java:333)_x000D_
    at com spoledge aacdecoder IcyInputStream parseMetadata(IcyInputStream java:231)_x000D_
    at com spoledge aacdecoder IcyInputStream fetchMetadata(IcyInputStream java:205)_x000D_
    at com spoledge aacdecoder IcyInputStream read(IcyInputStream java:133)_x000D_
    at com spoledge aacdecoder BufferReader run(BufferReader java:155)_x000D_
    at java lang Thread run(Thread java:818)_x000D_
   _x000D_
_x000D_
I did a simple  ReactNativeAudioStreaming play(url    showIniOSMediaCenter: true  showInAndroidNotifications: false  )  </t>
  </si>
  <si>
    <t>nerzhul-ncsms-android-113</t>
  </si>
  <si>
    <t>App crashes on incoming SMS</t>
  </si>
  <si>
    <t xml:space="preserve">    Steps to reproduce_x000D_
Not sure about it  Probably: receive a new SMS when there are no messages _x000D_
_x000D_
    Expected behaviour_x000D_
The app should not crash _x000D_
_x000D_
    Actual behaviour_x000D_
The app crashes _x000D_
_x000D_
    Client configuration_x000D_
_x000D_
  Android version:   4 4 4 (CM11)_x000D_
_x000D_
  ownCloud SMS app version:   0 22 1 (from F Droid)_x000D_
_x000D_
    Logs_x000D_
_x000D_
   _x000D_
11 02 02:00:04 086 25816 25816   E AndroidRuntime: FATAL EXCEPTION: main_x000D_
                                                   Process: fr unix experience owncloud sms  PID: 25816_x000D_
                                                   android database CursorIndexOutOfBoundsException: Index 0 requested  with a size of 0_x000D_
                                                       at android database AbstractCursor checkPosition(AbstractCursor java:426)_x000D_
                                                       at android database AbstractWindowedCursor checkPosition(AbstractWindowedCursor java:136)_x000D_
                                                       at android database AbstractWindowedCursor getInt(AbstractWindowedCursor java:68)_x000D_
                                                       at android database CursorWrapper getInt(CursorWrapper java:102)_x000D_
                                                       at fr unix experience owncloud sms engine SmsFetcher handleProviderColumn(SmsFetcher java:202)_x000D_
                                                       at fr unix experience owncloud sms engine SmsFetcher getLastMessage(SmsFetcher java:112)_x000D_
                                                       at fr unix experience owncloud sms observers SmsObserver onChange(SmsObserver java:63)_x000D_
                                                       at android database ContentObserver onChange(ContentObserver java:129)_x000D_
                                                       at android database ContentObserver NotificationRunnable run(ContentObserver java:180)_x000D_
                                                       at android os Handler handleCallback(Handler java:733)_x000D_
                                                       at android os Handler dispatchMessage(Handler java:95)_x000D_
                                                       at android os Looper loop(Looper java:136)_x000D_
                                                       at android app ActivityThread main(ActivityThread java:5146)_x000D_
                                                       at java lang reflect Method invokeNative(Native Method)_x000D_
                                                       at java lang reflect Method invoke(Method java:515)_x000D_
                                                       at com android internal os ZygoteInit MethodAndArgsCaller run(ZygoteInit java:732)_x000D_
                                                       at com android internal os ZygoteInit main(ZygoteInit java:566)_x000D_
                                                       at dalvik system NativeStart main(Native Method)_x000D_
   _x000D_
_x000D_
I skipped some details from the issue template that seemed to be unrelated  I can provide this info if it really matters </t>
  </si>
  <si>
    <t>NikitaKozlov-Pury-26</t>
  </si>
  <si>
    <t>Crash when I was not careful with stageOrder numbering</t>
  </si>
  <si>
    <t xml:space="preserve">Hi _x000D_
I have tested the profiling with our app as we spoke about it on droidconUK  it seems useful especially for people  who don t want to dig in systrace too much  However I ve found an issue which causes a crash when I had few method profiling annotations in one class with nested method calls  I have attached my setup and stacktrace _x000D_
_x000D_
  MethodProfiling(profilerName    Article open   runsCounter   3  stageName    setParagraph   stageOrder   4)_x000D_
public void method1()    _x000D_
 _x000D_
  MethodProfiling(profilerName    Article open   runsCounter   3  stageName    createSpannableTexts   stageOrder   5)_x000D_
public void method2()        this one is called from method1 _x000D_
_x000D_
 11 01 02:08:34 422 6696 6696 com dailymail online debug E AndroidRuntime: FATAL EXCEPTION: main_x000D_
Process: com dailymail online debug  PID: 6696_x000D_
java lang IndexOutOfBoundsException_x000D_
 at java util Collections EmptyList get(Collections java:102)_x000D_
 at com nikitakozlov pury profile ProfileResultProcessor transpose(ProfileResultProcessor java:67)_x000D_
 at com nikitakozlov pury profile ProfileResultProcessor getAverageProfileResults(ProfileResultProcessor java:89)_x000D_
 at com nikitakozlov pury profile ProfileResultProcessor takeAverage(ProfileResultProcessor java:58)_x000D_
 at com nikitakozlov pury profile ProfileResultProcessor process(ProfileResultProcessor java:27)_x000D_
 at com nikitakozlov pury profile Profiler logIfFinished(Profiler java:94)_x000D_
 at com nikitakozlov pury profile Profiler stopStage(Profiler java:78)_x000D_
 at com nikitakozlov pury aspects StopProfilingAspect weaveJoinPoint(StopProfilingAspect java:60)_x000D_
 at com dailymail online modules article views ArticleItemHtmlView onDraw(ArticleItemHtmlView java:227)_x000D_
   </t>
  </si>
  <si>
    <t>pretix-pretixdroid-2</t>
  </si>
  <si>
    <t>java.lang.RuntimeException: getParameters failed (empty parameters)</t>
  </si>
  <si>
    <t xml:space="preserve">Wast just opening the app again as I was setting up a pretix installation  Unfortunately the first time opening the app crashed and even worse I cannot reproduce this anymore currently  Opening the app after this and until now worked like a charm _x000D_
_x000D_
   _x000D_
11 02 21:29:24 176   515  2358 W QCamera2Factory: getCameraInfo: E  camera id   0_x000D_
11 02 21:29:24 176   515  2358 I QCamera2HWI: getFlashInfo cameraId:0 hasFlash:1_x000D_
11 02 21:29:24 176   515  2358 I QCamera2HWI: getCapabilities id:0 hasFlash:1_x000D_
11 02 21:29:24 176   515  2358 W QCamera2HWI:   dbg: info  orientation : 90 rc   0_x000D_
11 02 21:29:24 176   515  2358 W QCamera2Factory: getCameraInfo: X_x000D_
11 02 21:29:24 176   515  2358 W QCamera2Factory: cameraDeviceOpen : E_x000D_
11 02 21:29:24 176 13358 13358 E AndroidRuntime: FATAL EXCEPTION: main_x000D_
11 02 21:29:24 176 13358 13358 E AndroidRuntime: Process: eu pretix pretixdroid debug  PID: 13358_x000D_
11 02 21:29:24 176 13358 13358 E AndroidRuntime: java lang RuntimeException: getParameters failed (empty parameters)_x000D_
11 02 21:29:24 176 13358 13358 E AndroidRuntime: 	at android hardware Camera native getParameters(Native Method)_x000D_
11 02 21:29:24 176 13358 13358 E AndroidRuntime: 	at android hardware Camera getParameters(Camera java:1996)_x000D_
11 02 21:29:24 176 13358 13358 E AndroidRuntime: 	at me dm7 barcodescanner core CameraUtils isFlashSupported(CameraUtils java:47)_x000D_
11 02 21:29:24 176 13358 13358 E AndroidRuntime: 	at me dm7 barcodescanner core BarcodeScannerView setFlash(BarcodeScannerView java:153)_x000D_
11 02 21:29:24 176 13358 13358 E AndroidRuntime: 	at me dm7 barcodescanner core BarcodeScannerView setupCameraPreview(BarcodeScannerView java:90)_x000D_
11 02 21:29:24 176 13358 13358 E AndroidRuntime: 	at me dm7 barcodescanner core CameraHandlerThread 1 1 run(CameraHandlerThread java:31)_x000D_
11 02 21:29:24 176 13358 13358 E AndroidRuntime: 	at android os Handler handleCallback(Handler java:739)_x000D_
11 02 21:29:24 176 13358 13358 E AndroidRuntime: 	at android os Handler dispatchMessage(Handler java:95)_x000D_
11 02 21:29:24 176 13358 13358 E AndroidRuntime: 	at android os Looper loop(Looper java:158)_x000D_
11 02 21:29:24 176 13358 13358 E AndroidRuntime: 	at android app ActivityThread main(ActivityThread java:7225)_x000D_
11 02 21:29:24 176 13358 13358 E AndroidRuntime: 	at java lang reflect Method invoke(Native Method)_x000D_
11 02 21:29:24 176 13358 13358 E AndroidRuntime: 	at com android internal os ZygoteInit MethodAndArgsCaller run(ZygoteInit java:1230)_x000D_
11 02 21:29:24 176 13358 13358 E AndroidRuntime: 	at com android internal os ZygoteInit main(ZygoteInit java:1120)_x000D_
11 02 21:29:24 176   515  2358 I QCamera2HWI:  KPI Perf  openCamera: E_x000D_
11 02 21:29:24 176   515  2358 W QCamera2HWI:  CORELOCK DBG  perf lock acq was called by openCamera_x000D_
11 02 21:29:24 176   515  2358 W QCamera2HWI:  CORELOCK DBG  perf lock acq limit max clock for protection peak current    mPerfMaxLockHandle   40_x000D_
11 02 21:29:24 176   515  2358 I QCamera2HWI: getFlashInfo cameraId:0 hasFlash:1_x000D_
_x000D_
   </t>
  </si>
  <si>
    <t>vickychijwani-quill-147</t>
  </si>
  <si>
    <t>Quill crash on creating a new post (2 drafts created)</t>
  </si>
  <si>
    <t xml:space="preserve">  App version: 1 3 5 on Android 6 0_x000D_
_x000D_
    _x000D_
_x000D_
Hi  it s me again  After previous issue has been resolved  now  actually since the last update  I ve got Quill crashes everytime I create a new post  The symptom is when I tap on floating button right below to create a new post  it crashes a few seconds later  And it creates 2  Untitled  post drafts after I open it again _x000D_
_x000D_
FYI  I always submit the error logs via Google Playstore bug reporter </t>
  </si>
  <si>
    <t>pcuco-eSettings-2</t>
  </si>
  <si>
    <t>[Crash] App crash on Android 6</t>
  </si>
  <si>
    <t xml:space="preserve">  Pre Conditions  _x000D_
Fresh install_x000D_
_x000D_
  Steps  _x000D_
User opens app_x000D_
_x000D_
  Results  _x000D_
App crash_x000D_
_x000D_
  Additional Information  _x000D_
 11 02 10:51:26 719: E NEW BHD(21002): Battery Power Supply logging Daemon start     _x000D_
11 02 10:51:26 720: E NEW BHD(21002): Cannot run on production devices _x000D_
11 02 10:51:28 784: E DataBuffer(3826): Internal data leak within a DataBuffer object detected   Be sure to explicitly call release() on all DataBuffer extending objects when you are done with them  (internal object: com google android gms common data DataHolder 3824c4f)_x000D_
11 02 10:51:29 203: E AndroidRuntime(21004): FATAL EXCEPTION: main_x000D_
11 02 10:51:29 203: E AndroidRuntime(21004): Process: com app esettings  PID: 21004_x000D_
11 02 10:51:29 203: E AndroidRuntime(21004): java lang RuntimeException: Unable to start activity ComponentInfo com app esettings com app esettings MainActivity : java lang SecurityException: getLine1NumberForDisplay: Neither user 10094 nor current process has android permission READ SMS _x000D_
11 02 10:51:29 203: E AndroidRuntime(21004): 	at android app ActivityThread performLaunchActivity(ActivityThread java:2426)_x000D_
11 02 10:51:29 203: E AndroidRuntime(21004): 	at android app ActivityThread handleLaunchActivity(ActivityThread java:2490)_x000D_
11 02 10:51:29 203: E AndroidRuntime(21004): 	at android app ActivityThread  wrap11(ActivityThread java)_x000D_
11 02 10:51:29 203: E AndroidRuntime(21004): 	at android app ActivityThread H handleMessage(ActivityThread java:1354)_x000D_
11 02 10:51:29 203: E AndroidRuntime(21004): 	at android os Handler dispatchMessage(Handler java:102)_x000D_
11 02 10:51:29 203: E AndroidRuntime(21004): 	at android os Looper loop(Looper java:148)_x000D_
11 02 10:51:29 203: E AndroidRuntime(21004): 	at android app ActivityThread main(ActivityThread java:5443)_x000D_
11 02 10:51:29 203: E AndroidRuntime(21004): 	at java lang reflect Method invoke(Native Method)_x000D_
11 02 10:51:29 203: E AndroidRuntime(21004): 	at com android internal os ZygoteInit MethodAndArgsCaller run(ZygoteInit java:728)_x000D_
11 02 10:51:29 203: E AndroidRuntime(21004): 	at com android internal os ZygoteInit main(ZygoteInit java:618)_x000D_
11 02 10:51:29 203: E AndroidRuntime(21004): Caused by: java lang SecurityException: getLine1NumberForDisplay: Neither user 10094 nor current process has android permission READ SMS _x000D_
11 02 10:51:29 203: E AndroidRuntime(21004): 	at android os Parcel readException(Parcel java:1620)_x000D_
11 02 10:51:29 203: E AndroidRuntime(21004): 	at android os Parcel readException(Parcel java:1573)_x000D_
11 02 10:51:29 203: E AndroidRuntime(21004): 	at com android internal telephony ITelephony Stub Proxy getLine1NumberForDisplay(ITelephony java:4101)_x000D_
11 02 10:51:29 203: E AndroidRuntime(21004): 	at android telephony TelephonyManager getLine1NumberForSubscriber(TelephonyManager java:2132)_x000D_
11 02 10:51:29 203: E AndroidRuntime(21004): 	at android telephony TelephonyManager getLine1Number(TelephonyManager java:2110)_x000D_
11 02 10:51:29 203: E AndroidRuntime(21004): 	at com app esettings SIMCard getNumber(SIMCard java:20)_x000D_
11 02 10:51:29 203: E AndroidRuntime(21004): 	at com app esettings MainActivity onCreate(MainActivity java:15)_x000D_
11 02 10:51:29 203: E AndroidRuntime(21004): 	at android app Activity performCreate(Activity java:6259)_x000D_
11 02 10:51:29 203: E AndroidRuntime(21004): 	at android app Instrumentation callActivityOnCreate(Instrumentation java:1130)_x000D_
11 02 10:51:29 203: E AndroidRuntime(21004): 	at android app ActivityThread performLaunchActivity(ActivityThread java:2379)_x000D_
11 02 10:51:29 203: E AndroidRuntime(21004): 	    9 more_x000D_
: E (): Device disconnected: 1_x000D_
: E (): Device disconnected_x000D_
 </t>
  </si>
  <si>
    <t>iamMehedi-Secured-Preference-Store-5</t>
  </si>
  <si>
    <t>App crashes when the users changes the lock screen pattern</t>
  </si>
  <si>
    <t xml:space="preserve">I m testing on a 4 4 4 device where the screen lock was set to None  I changed it to PIN and after that I m getting a crash  Are you experiencing the same  It s one of the problematic cases pointed on The Forgetful Keystore where the keys are lost _x000D_
java lang RuntimeException: java io IOException: Error while finalizing cipher_x000D_
at devliving online securedpreferencestore SecuredPreferenceStore a(SourceFile:46)_x000D_
_x000D_
I debugged the code and the keys are not generated again  the key store contains the alias but it crashes when it s trying to load the key on the RSADecrypt method_x000D_
while ((nextByte   cipherInputStream read())     1)  _x000D_
_x000D_
 Caused by: javax crypto BadPaddingException: error:0407106B:rsa routines:RSA padding check PKCS1 type 2:block type is not 02_x000D_
at com android org conscrypt NativeCrypto RSA private decrypt(Native Method)_x000D_
at com android org conscrypt OpenSSLCipherRSA engineDoFinal(OpenSSLCipherRSA java:273)_x000D_
at com android org conscrypt OpenSSLCipherRSA engineDoFinal(OpenSSLCipherRSA java:297)_x000D_
                                                                     </t>
  </si>
  <si>
    <t>SimoUmbMos-TL_Project-2</t>
  </si>
  <si>
    <t>Bug skd23+</t>
  </si>
  <si>
    <t xml:space="preserve">Game crash on map Activity on android 6 </t>
  </si>
  <si>
    <t>kiall-android-tvheadend-84</t>
  </si>
  <si>
    <t xml:space="preserve">Crashing with Sony Android 6 </t>
  </si>
  <si>
    <t xml:space="preserve">Tried to run the app on Android 6 sony zd9 the program guide is crashing instantly when the app configures everything  As well on every app start in a loop  _x000D_
This is the TVH version running on my synology NAS HTS Tvheadend 4 1 2247  Tell me please how to provide logs from AndroidTV  </t>
  </si>
  <si>
    <t>dividiti-crowdsource-video-experiments-on-android-27</t>
  </si>
  <si>
    <t>Urgent: can't pre-load new scenarios or app crashes</t>
  </si>
  <si>
    <t xml:space="preserve">Hi all _x000D_
I have added 4 more scenarios to this app (they may not work due to classification quite hardwired to AlexNet with mean file  but we need to at least make app not fail) _x000D_
_x000D_
Here I have two major problems:_x000D_
_x000D_
  When pressing on Update  actually new scenarios are not loaded  When checking out app (the behavior of pipeline is now becoming quite complex and not very clear  while I think it can be quite simple)  I noticed that in fact  whenever we get new scenarios for the first time  they will never be updated  That s wrong  When we press  Update   we should simply go through the original process or testing CK server  detecting features  saving them  getting scenarios  recording them  and showing them (WITHOUT pre loading or running any default scenario )  _x000D_
_x000D_
  When I manually cleaned scenarios  I managed to get all scenarios  Now  when I run any scenario  including the original one  I see files being downloaded  but then app simply crashes  Even after files are preloaded  app not still crashes even on the original scenario     _x000D_
_x000D_
Therefore  may I ask to slightly simplify up  so that I can get all scenarios from the web and update platform features  each time I press  Update   and then confirm and check that app now crashes on all scenarios   _x000D_
_x000D_
Thanks a lot   _x000D_
</t>
  </si>
  <si>
    <t>mauron85-cordova-plugin-background-geolocation-202</t>
  </si>
  <si>
    <t>JS errors with BackgroundGeolocation.finish() on Android with Ionic 2</t>
  </si>
  <si>
    <t xml:space="preserve">   Your Environment_x000D_
      Include as many relevant details about the environment you experienced the bug in    _x000D_
  Plugin version:  2 2 4 _x000D_
  Platform:  Android _x000D_
  OS version:  Android 6 0  API 23 _x000D_
  Device manufacturer and model:  Android Studio emulator   Nexus 5 API 23 2 (Android 6 0  API 23) _x000D_
  Cordova version:  6 3 1 _x000D_
  Ionic version: Ionic 2 project using Ionic  2 0 0 rc 1 (2016 10 13) _x000D_
  Cordova platform version:_x000D_
   _x000D_
Installed platforms:_x000D_
  android 5 2 2_x000D_
  ios 4 1 1_x000D_
   _x000D_
_x000D_
  Plugin configuration options: _x000D_
   _x000D_
    let config    _x000D_
       desiredAccuracy: 0 _x000D_
       stationaryRadius: 20 _x000D_
       distanceFilter: 10 _x000D_
       debug: true _x000D_
       interval: 2000_x000D_
      _x000D_
   _x000D_
_x000D_
  Link to your project:_x000D_
Recreated Ionic 2 background geolocation project from  Josh Morony (http:  www joshmorony com adding background geolocation to an ionic 2 application )_x000D_
_x000D_
   Context_x000D_
Building Ionic2 app with background geolocation  Was able to recreate the bug using Josh Morony s instructions on how to add bg geo to Ionic 2 apps  It appears the   BackgroundGeolocation finish()   method throws errors on Android  When I added it to the success callback function as per docs (so that iOS doesn t kill background processes) it throws errors on Android _x000D_
_x000D_
_x000D_
This solution causes error on Android  but OK for iOS:_x000D_
   _x000D_
BackgroundGeolocation configure(_x000D_
      (location)     _x000D_
          console log( Background location update:     location latitude         location longitude) _x000D_
             Code to run update inside Angular s zone_x000D_
          BackgroundGeolocation finish()   _x000D_
        _x000D_
      (error)     _x000D_
          console error( Background location error   error) _x000D_
         config) _x000D_
   _x000D_
_x000D_
_x000D_
This solution OK for Android  but iOS kills background process:_x000D_
   _x000D_
BackgroundGeolocation configure(_x000D_
      (location)     _x000D_
           console log( Background location update:     location latitude         location longitude) _x000D_
              Code to run update inside Angular s zone_x000D_
              no call to BackgroundGeolocation finish()_x000D_
        _x000D_
      (error)     _x000D_
           console error( Background location error   error) _x000D_
         config) _x000D_
   _x000D_
_x000D_
   Expected Behavior_x000D_
When BackgroundGeolocation finish() is included in callback  no errors received:  _x000D_
   _x000D_
Background location update: 45 39999833333333  119 4  _x000D_
Background location zone run()  _x000D_
Calling BackgroundGeolocation finish()  _x000D_
   NO ERROR HERE  _x000D_
Foreground location update: 45 3999983  119 4 _x000D_
   _x000D_
_x000D_
   Actual Behavior_x000D_
When BackgroundGeolocation finish() is included in callback  we get following error:  _x000D_
   _x000D_
Background location update: 45 89999833333333  119 09999833333335  _x000D_
Background location zone run()  _x000D_
Calling BackgroundGeolocation finish()  _x000D_
Unhandled Promise rejection: Invalid action   Zone:  root    Task: Promise then   Value: Invalid action undefined  _x000D_
Error: Uncaught (in promise): Invalid action  _x000D_
    at s (file:   android asset www build polyfills js:3:8546)  _x000D_
    at file:   android asset www build polyfills js:3:8296  _x000D_
    at Object cordova callbackFromNative (file:   android asset www cordova js:295:52)  _x000D_
    at processMessage (file:   android asset www cordova js:1081:17)  _x000D_
    at processMessages (file:   android asset www cordova js:1104:9)  _x000D_
    at t invoke (file:   android asset www build polyfills js:3:13400)  _x000D_
    at e run (file:   android asset www build polyfills js:3:10787)  _x000D_
    at file:   android asset www build polyfills js:3:8889  _x000D_
    at t invokeTask (file:   android asset www build polyfills js:3:14029)  _x000D_
    at e runTask (file:   android asset www build polyfills js:3:11389)  _x000D_
Foreground location update: 45 1  119 0999983_x000D_
   _x000D_
_x000D_
   Steps to Reproduce_x000D_
      Provide a link to a live example  or an unambiguous set of steps to    _x000D_
      reproduce this bug include code to reproduce  if relevant    _x000D_
1  Create Ionic 2 project per article from  Josh Morony (http:  www joshmorony com adding background geolocation to an ionic 2 application )_x000D_
2  Per article  don t include   BackgroundGeolocation finish()     project will run fine on Android  but   iOS will kill background process  _x000D_
   _x000D_
BackgroundGeolocation configure(_x000D_
      (location)     _x000D_
           console log( Background location update:     location latitude         location longitude) _x000D_
              Code to run update inside Angular s zone_x000D_
              NO CALL to BackgroundGeolocation finish()_x000D_
        _x000D_
      (error)     _x000D_
           console error( Background location error   error) _x000D_
         config) _x000D_
   _x000D_
_x000D_
3  Per plug in docs  include   BackgroundGeolocation finish()     project will run fine on iOS  but  will get   errors on Android  _x000D_
   _x000D_
BackgroundGeolocation configure(_x000D_
      (location)     _x000D_
          console log( Background location update:     location latitude         location longitude) _x000D_
             Code to run update inside Angular s zone_x000D_
          BackgroundGeolocation finish()   _x000D_
        _x000D_
      (error)     _x000D_
          console error( Background location error   error) _x000D_
         config) _x000D_
   _x000D_
_x000D_
_x000D_
   Context_x000D_
      How has this bug affected you  What were you trying to accomplish     _x000D_
Unable to use plug in without getting errors on either iOS or Android _x000D_
_x000D_
_x000D_
   Debug logs_x000D_
     Relevant parts from printAndroidLogs or printIosLogs _x000D_
More info in README md section Debugging _x000D_
If you re reporting app crash also provide output of  adb logcat     _x000D_
Logs include console log messages from within app _x000D_
_x000D_
 Android without BackgroundGeolocation finish 1478157603179 txt (https:  github com mauron85 cordova plugin background geolocation files 568417 Android without BackgroundGeolocation finish 1478157603179 txt)_x000D_
 Android with BackgroundGeolocation finish 1478157089114 txt (https:  github com mauron85 cordova plugin background geolocation files 568418 Android with BackgroundGeolocation finish 1478157089114 txt)_x000D_
_x000D_
_x000D_
</t>
  </si>
  <si>
    <t>Diolor-Swipecards-165</t>
  </si>
  <si>
    <t>Handle null layout params.</t>
  </si>
  <si>
    <t xml:space="preserve">The child view may have been created in a custom adapter without assigning layout params to it  In this case the app will crash with a runtime exception:_x000D_
_x000D_
java lang NullPointerException: Attempt to read from field  int android view ViewGroup MarginLayoutParams leftMargin  on a null object reference_x000D_
_x000D_
At line 153 of my fork when  childWidthSpec  is defined _x000D_
_x000D_
I think this patch is preferable to a crash scenario </t>
  </si>
  <si>
    <t>infinum-MjolnirRecyclerView-16</t>
  </si>
  <si>
    <t>Wrong item removed from list in UI</t>
  </si>
  <si>
    <t xml:space="preserve">The library doesn t seem to take headers into account when removing items _x000D_
_x000D_
When I do adapter remove(item) _x000D_
It will remove the item before that if I have a header  and if I remove the very first item  it crashes with the following stacktrace:_x000D_
_x000D_
   _x000D_
11 04 14:20:05 422 10076 10076   E AndroidRuntime: FATAL EXCEPTION: main_x000D_
                                                   Process: se thefarm yourblock  PID: 10076_x000D_
                                                   java lang IllegalArgumentException: Called attach on a child which is not detached: ViewHolder 49e503 position 0 id  1  oldPos  1  pLpos: 1 _x000D_
                                                       at android support v7 widget RecyclerView 5 attachViewToParent(RecyclerView java:692)_x000D_
                                                       at android support v7 widget ChildHelper attachViewToParent(ChildHelper java:239)_x000D_
                                                       at android support v7 widget RecyclerView addAnimatingView(RecyclerView java:1178)_x000D_
                                                       at android support v7 widget RecyclerView animateDisappearance(RecyclerView java:3535)_x000D_
                                                       at android support v7 widget RecyclerView 4 processDisappeared(RecyclerView java:456)_x000D_
                                                       at android support v7 widget ViewInfoStore process(ViewInfoStore java:246)_x000D_
                                                       at android support v7 widget RecyclerView dispatchLayoutStep3(RecyclerView java:3385)_x000D_
                                                       at android support v7 widget RecyclerView dispatchLayout(RecyclerView java:3135)_x000D_
                                                       at android support v7 widget RecyclerView consumePendingUpdateOperations(RecyclerView java:1549)_x000D_
                                                       at android support v7 widget RecyclerView 1 run(RecyclerView java:305)_x000D_
                                                       at android view Choreographer CallbackRecord run(Choreographer java:767)_x000D_
                                                       at android view Choreographer doCallbacks(Choreographer java:580)_x000D_
                                                       at android view Choreographer doFrame(Choreographer java:549)_x000D_
                                                       at android view Choreographer FrameDisplayEventReceiver run(Choreographer java:753)_x000D_
                                                       at android os Handler handleCallback(Handler java:739)_x000D_
                                                       at android os Handler dispatchMessage(Handler java:95)_x000D_
                                                       at android os Looper loop(Looper java:135)_x000D_
                                                       at android app ActivityThread main(ActivityThread java:5254)_x000D_
                                                       at java lang reflect Method invoke(Native Method)_x000D_
                                                       at java lang reflect Method invoke(Method java:372)_x000D_
                                                       at com android internal os ZygoteInit MethodAndArgsCaller run(ZygoteInit java:903)_x000D_
                                                       at com android internal os ZygoteInit main(ZygoteInit java:698)_x000D_
_x000D_
   </t>
  </si>
  <si>
    <t>Diolor-Swipecards-166</t>
  </si>
  <si>
    <t>Support Adapters with null child params</t>
  </si>
  <si>
    <t xml:space="preserve">If a view in the adapter has no layout parameters the app will crash _x000D_
A default layout parameters should be created </t>
  </si>
  <si>
    <t>NemProject-NEMAndroidApp-261</t>
  </si>
  <si>
    <t>App crashes if QR permission is not provided</t>
  </si>
  <si>
    <t xml:space="preserve">On some devices  if the QR scanning permission is blocked by the cellphone s security software  when switching to QR panel  instead of asking for permission or giving out error  the app crashes _x000D_
_x000D_
This issue prevented baidu mobile assistant (most popular chinese android market) from listing NEM Wallet  please fix it </t>
  </si>
  <si>
    <t>couchbaselabs-react-native-couchbase-lite-98</t>
  </si>
  <si>
    <t>app crashing on ios simulator.</t>
  </si>
  <si>
    <t xml:space="preserve">App is crashed on ios simulator when network down of host _x000D_
I tested some code to find a problem _x000D_
And then I found it from manager module of  react native couchbase lite  _x000D_
When I skip changesEventEmitter on( changes   handler) from my code the problem is not occurred _x000D_
But the problem is occurred after this method is called on my app _x000D_
What is this  Just only on simulator  or is there another issue _x000D_
I want to test for offline situation on my app  Can t do that for  or if there is how to do that let me know </t>
  </si>
  <si>
    <t>requery-requery-329</t>
  </si>
  <si>
    <t>Example Android App crash</t>
  </si>
  <si>
    <t xml:space="preserve">Hi there _x000D_
_x000D_
the example Android App crashes immediately after installation  Tested on the emulator with Android API 22 and the latest source code _x000D_
_x000D_
   Java_x000D_
 java lang RuntimeException: Unable to start activity ComponentInfo io requery android example app io requery android example app PeopleActivity : rx exceptions OnErrorNotImplementedException: java sql SQLException: android database sqlite SQLiteException: near  Group : syntax error (code 1):   while compiling: create table Group (id integer primary key autoincrement not null  name varchar(255))_x000D_
     at android app ActivityThread performLaunchActivity(ActivityThread java:2325)_x000D_
     at android app ActivityThread handleLaunchActivity(ActivityThread java:2387)_x000D_
     at android app ActivityThread access 800(ActivityThread java:151)_x000D_
     at android app ActivityThread H handleMessage(ActivityThread java:1303)_x000D_
     at android os Handler dispatchMessage(Handler java:102)_x000D_
     at android os Looper loop(Looper java:135)_x000D_
     at android app ActivityThread main(ActivityThread java:5254)_x000D_
     at java lang reflect Method invoke(Native Method)_x000D_
     at java lang reflect Method invoke(Method java:372)_x000D_
     at com android internal os ZygoteInit MethodAndArgsCaller run(ZygoteInit java:903)_x000D_
     at com android internal os ZygoteInit main(ZygoteInit java:698)_x000D_
  Caused by: rx exceptions OnErrorNotImplementedException: java sql SQLException: android database sqlite SQLiteException: near  Group : syntax error (code 1):   while compiling: create table Group (id integer primary key autoincrement not null  name varchar(255))_x000D_
     at rx Single 15 onError(Single java:1637)_x000D_
     at rx observers SafeSubscriber  onError(SafeSubscriber java:152)_x000D_
     at rx observers SafeSubscriber onError(SafeSubscriber java:115)_x000D_
     at rx Single 1 1 onError(Single java:84)_x000D_
     at io requery rx SingleOnSubscribeFromSupplier call(SingleOnSubscribeFromSupplier java:37)_x000D_
     at io requery rx SingleOnSubscribeFromSupplier call(SingleOnSubscribeFromSupplier java:23)_x000D_
     at rx Single 1 call(Single java:89)_x000D_
     at rx Single 1 call(Single java:69)_x000D_
     at rx Single subscribe(Single java:1824)_x000D_
     at rx Single subscribe(Single java:1628)_x000D_
     at io requery android example app PeopleActivity onCreate(PeopleActivity java:72)_x000D_
     at android app Activity performCreate(Activity java:5990)_x000D_
     at android app Instrumentation callActivityOnCreate(Instrumentation java:1106)_x000D_
     at android app ActivityThread performLaunchActivity(ActivityThread java:2278)_x000D_
     at android app ActivityThread handleLaunchActivity(ActivityThread java:2387) _x000D_
     at android app ActivityThread access 800(ActivityThread java:151) _x000D_
     at android app ActivityThread H handleMessage(ActivityThread java:1303) _x000D_
     at android os Handler dispatchMessage(Handler java:102) _x000D_
     at android os Looper loop(Looper java:135) _x000D_
     at android app ActivityThread main(ActivityThread java:5254) _x000D_
     at java lang reflect Method invoke(Native Method) _x000D_
     at java lang reflect Method invoke(Method java:372) _x000D_
     at com android internal os ZygoteInit MethodAndArgsCaller run(ZygoteInit java:903) _x000D_
     at com android internal os ZygoteInit main(ZygoteInit java:698) _x000D_
  Caused by: io requery sql TableModificationException: java sql SQLException: android database sqlite SQLiteException: near  Group : syntax error (code 1):   while compiling: create table Group (id integer primary key autoincrement not null  name varchar(255))_x000D_
     at io requery sql SchemaModifier createTables(SchemaModifier java:142)_x000D_
     at io requery android sqlite DatabaseSource onCreate(DatabaseSource java:201)_x000D_
     at android database sqlite SQLiteOpenHelper getDatabaseLocked(SQLiteOpenHelper java:251)_x000D_
     at android database sqlite SQLiteOpenHelper getWritableDatabase(SQLiteOpenHelper java:163)_x000D_
     at io requery android sqlite DatabaseSource getConnection(DatabaseSource java:230)_x000D_
     at io requery sql EntityDataStore DataContext getConnection(EntityDataStore java:607)_x000D_
     at io requery sql EntityDataStore checkConnectionMetadata(EntityDataStore java:546)_x000D_
     at io requery sql EntityDataStore DataContext getPlatform(EntityDataStore java:685)_x000D_
     at io requery sql EntityDataStore DataContext getStatementGenerator(EntityDataStore java:692)_x000D_
     at io requery sql gen DefaultOutput  init (DefaultOutput java:65)_x000D_
     at io requery sql SelectResult createQuery(SelectResult java:97)_x000D_
     at io requery sql SelectResult iterator(SelectResult java:106)_x000D_
     at io requery query BaseResult iterator(BaseResult java:123)_x000D_
     at io requery query BaseResult first(BaseResult java:87)_x000D_
     at io requery sql SelectCountOperation 1 evaluate(SelectCountOperation java:42)_x000D_
     at io requery sql SelectCountOperation 1 evaluate(SelectCountOperation java:38)_x000D_
     at io requery query BaseScalar value(BaseScalar java:49)_x000D_
     at io requery query BaseScalar 2 get(BaseScalar java:98)_x000D_
     at io requery rx SingleOnSubscribeFromSupplier call(SingleOnSubscribeFromSupplier java:34)_x000D_
     at io requery rx SingleOnSubscribeFromSupplier call(SingleOnSubscribeFromSupplier java:23) _x000D_
     at rx Single 1 call(Single java:89) _x000D_
     at rx Single 1 call(Single java:69) _x000D_
     at rx Single subscribe(Single java:1824) _x000D_
     at rx Single subscribe(Single java:1628) _x000D_
     at io requery android example app PeopleActivity onCreate(PeopleActivity java:72) _x000D_
     at android app Activity performCreate(Activity java:5990) _x000D_
     at android app Instrumentation callActivityOnCreate(Instrumentation java:1106) _x000D_
     at android app ActivityThread performLaunchActivity(ActivityThread java:2278) _x000D_
     at android app ActivityThread handleLaunchActivity(ActivityThread java:2387) _x000D_
     at android app ActivityThread access 800(ActivityThread java:151) _x000D_
     at android app ActivityThread H handleMessage(ActivityThread java:1303) _x000D_
     at android os Handler dispatchMessage(Handler java:102) _x000D_
     at android os Looper loop(Looper java:135) _x000D_
     at android app ActivityThread main(ActivityThread java:5254) _x000D_
     at java lang reflect Method invoke(Native Method) _x000D_
     at java lang reflect Method invoke(Method java:372) _x000D_
     at com android internal os ZygoteInit MethodAndArgsCaller run(ZygoteInit java:903) _x000D_
     at com android internal os ZygoteInit main(ZygoteInit java:698) _x000D_
   </t>
  </si>
  <si>
    <t>requery-requery-332</t>
  </si>
  <si>
    <t>Relationships not working with Java 8 Android Jack compiler</t>
  </si>
  <si>
    <t xml:space="preserve">If enable jackOptions and add some relations to entities app it was crashed during build_x000D_
_x000D_
 Caused by: java lang NullPointerException_x000D_
        at io requery processor Mirrors namesEqual(Mirrors java:159)_x000D_
        at io requery processor Mirrors implementsInterface(Mirrors java:109)_x000D_
        at io requery processor Mirrors isInstance(Mirrors java:91)_x000D_
        at io requery processor AttributeMember validateCollectionType(AttributeMember java:202)_x000D_
        at io requery processor AttributeMember checkMemberType(AttributeMember java:194)_x000D_
        at io requery processor AttributeMember process(AttributeMember java:147)_x000D_
        at io requery processor EntityType lambda process 5(EntityType java:114)_x000D_
        at io requery processor EntityType process(EntityType java:114)_x000D_
        at io requery processor EntityProcessor process(EntityProcessor java:147)_x000D_
        at com android jack eclipse jdt internal compiler apt dispatch RoundDispatcher handleProcessor(RoundDispatcher java:139)_x000D_
 </t>
  </si>
  <si>
    <t>smartdevicelink-sdl_java_suite-363</t>
  </si>
  <si>
    <t>When disconnecting SDL Core, SDL Router sometimes crashes in TransportBroker</t>
  </si>
  <si>
    <t xml:space="preserve">A WeakReference is kept to the TransportBroker instance in the ClientHandler in TransportBroker class   The ClientHandler handleMessage() checks for null but only logs an error message  later resulting in a NullPointerException crash of SDL Router   This can happen when stopping the SDL Core connection (power off HU) _x000D_
_x000D_
The exception is happening here: https:  github com smartdevicelink sdl android blob develop sdl android lib src com smartdevicelink transport TransportBroker java L155_x000D_
_x000D_
Here is the log messages and stack trace that I m getting:_x000D_
_x000D_
   _x000D_
11 10 12:37:09 595  4288 12355 I SdlTransportBroker: Attempting to unregister with Sdl Router Service_x000D_
11 10 12:37:09 595  4288 12355 E SdlTransportBroker: Unable to send message to router service  Not registered _x000D_
11 10 12:39:10 560  4288 12381 E SdlTransportBroker: Broker object null  unable to process message_x000D_
11 10 12:39:10 565  4288 12104 D SdlTransportBroker: Hardware disconnected_x000D_
11 10 12:39:10 567  4288 12104 D Multiplex Transport: Handling disconnect_x000D_
11 10 12:39:10 567  4288 12104 D Multiplex Transport: Handle transport Error_x000D_
11 10 12:39:10 633  4288 12381 E AndroidRuntime: FATAL EXCEPTION: Thread 464_x000D_
11 10 12:39:10 633  4288 12381 E AndroidRuntime: Process: com toyota tcapp  PID: 4288_x000D_
11 10 12:39:10 633  4288 12381 E AndroidRuntime: java lang NullPointerException: Attempt to invoke virtual method  void com smartdevicelink transport TransportBroker enableLegacyMode(boolean)  on a null object reference_x000D_
11 10 12:39:10 633  4288 12381 E AndroidRuntime:        at com smartdevicelink transport TransportBroker ClientHandler handleMessage(SourceFile:155)_x000D_
11 10 12:39:10 633  4288 12381 E AndroidRuntime:        at android os Handler dispatchMessage(Handler java:102)_x000D_
11 10 12:39:10 633  4288 12381 E AndroidRuntime:        at android os Looper loop(Looper java:135)_x000D_
11 10 12:39:10 633  4288 12381 E AndroidRuntime:        at com smartdevicelink transport MultiplexTransport TransportBrokerThread run(SourceFile:230)_x000D_
11 10 12:39:22 486  4288 12381 I Process : Sending signal  PID: 4288 SIG: 9_x000D_
11 10 12:39:22 577   797   813 I ActivityManager: Process com toyota tcapp (pid 4288) has died_x000D_
   </t>
  </si>
  <si>
    <t>kennanmell-Handoff-4</t>
  </si>
  <si>
    <t>Facebook crashes the App if it doesn't exist</t>
  </si>
  <si>
    <t xml:space="preserve">If the phone doesn t have Facebook installed (might only be an issue on emulators)  pressing the  login with facebook  button makes the app crash </t>
  </si>
  <si>
    <t>CSE403FindersKeepers-finders-keepers-14</t>
  </si>
  <si>
    <t>findViewById currently returning null in the AddItemWindowActivity activity.</t>
  </si>
  <si>
    <t xml:space="preserve">AddItemWindowActivity currently crashes the app when opened </t>
  </si>
  <si>
    <t>flowupio-FlowUpAndroidSDK-124</t>
  </si>
  <si>
    <t>Support initialization from a background thread.</t>
  </si>
  <si>
    <t xml:space="preserve">Some of our customers are initializing the library from a background thread and the app is crashing  We should check if we can support it </t>
  </si>
  <si>
    <t>avluis-Hentoid-131</t>
  </si>
  <si>
    <t>Storage Full: Queue Crash</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</si>
  <si>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If an issue does not have the following template filled out  it will be closed without discussion _x000D_
   _x000D_
_x000D_
     What version of Hentoid you re running  for example: 1 2 0r3   1 2 1r1   1 2 1r2_x000D_
It s essentially the version number from the About Screen    _x000D_
  Hentoid Version  : 1 2 1r2_x000D_
_x000D_
     What devices you managed to get the issue to come up on  For example:_x000D_
fails on Galaxy S4 GT I9500 4 4 2  works fine on Nexus 6P 5 1 and Genymotion Nexus 5 5 0 1    _x000D_
  Device Android Version  :Huawei P9 lite_x000D_
Android 6 0 EMUI 4 1 1_x000D_
_x000D_
     Share the details of your issue in prose  detailing actual and expected behavior     _x000D_
  Issue details   Repro steps  : Crashes when going to Queue    I have queued alot of doujins  Sorry i can t remember the quantity  But if i download another doujin it would start the download and finish it  The problem is that the queues can t be resumed because it crashes before seeing it _x000D_
_x000D_
     What is the error message that you got in the log     _x000D_
  Stack trace   LogCat  :don t know where to find this sorry_x000D_
   ruby_x000D_
paste stack trace and or log here_x000D_
   _x000D_
_x000D_
     Bonus points if you attach a relevant screenshot or a screen recording    _x000D_
https:  youtu be 23JDja4u3SI_x000D_
 AVnetWS admin team</t>
  </si>
  <si>
    <t>codinguser-gnucash-android-613</t>
  </si>
  <si>
    <t>multiple books - widget says that acount was deleted or shows "account name"</t>
  </si>
  <si>
    <t xml:space="preserve">     Steps to reproduce the behaviour_x000D_
1  use several books_x000D_
2  use widgets for differen books_x000D_
_x000D_
     Expected behaviour_x000D_
Widgets show the account name _x000D_
_x000D_
     Actual behaviour_x000D_
1  Sometimes some widget show  Kontoname  (German version  translation might be  account name ) and no amount  Neither the click on the widget or the click on the   button has a visible effect _x000D_
2  Sometimes some widget shows a message that the account was deleted  A click on the widget opens GnuCash _x000D_
_x000D_
Both effects are temporary  The last time I observed 1  it happend after I added a new transaction and GnuCash reported a crash  I sent the crash report and verified the transaction had been successfully safed  After editing one transaction of the account  the widget becomes usable again _x000D_
_x000D_
     Software specifications_x000D_
  GnuCash Android version: 2 1 3 beta_x000D_
  System Android version: 6 0 1_x000D_
  Device type: Sony Xperia Z3 compact_x000D_
</t>
  </si>
  <si>
    <t>nextcloud-android-380</t>
  </si>
  <si>
    <t>IllegalStateException</t>
  </si>
  <si>
    <t xml:space="preserve">    Actual behaviour_x000D_
nextCloud Beta crashes in the background or with the app open  The app appears to be updating the files but never stops  This does not occur in the non beta app _x000D_
_x000D_
    Expected behaviour_x000D_
Files update and the app goes into a passive state _x000D_
 _x000D_
    Steps to reproduce_x000D_
Not positive of steps but believe this to be it _x000D_
1  Share a folder with content with another owncloud user _x000D_
2  This folder is synced with a desktop client _x000D_
3  Delete the folder from the desktop client without unsharing first _x000D_
4  Open the Beta app and go to the directory where the deleted folder is _x000D_
5  Wait 3 5 minutes and crash _x000D_
_x000D_
_x000D_
    Environment data_x000D_
Android version: 7 0_x000D_
_x000D_
Device model: Nexus 6P Angler_x000D_
_x000D_
Stock or customized system: Customized CopperheadOS_x000D_
_x000D_
Nextcloud app version: F Droid Beta 20161111_x000D_
_x000D_
Nextcloud server version: 10 0 1 (stable)_x000D_
_x000D_
    Logs_x000D_
     Nextcloud log (data nextcloud log)_x000D_
   _x000D_
             CAUSE OF ERROR             _x000D_
_x000D_
java lang IllegalStateException: Couldn t read row 1643  col 0 from CursorWindow   Make sure the Cursor is initialized correctly before accessing data from it _x000D_
	at android database CursorWindow nativeGetLong(Native Method)_x000D_
	at android database CursorWindow getLong(CursorWindow java:511)_x000D_
	at android database AbstractWindowedCursor getLong(AbstractWindowedCursor java:75)_x000D_
	at com owncloud android providers FileContentProvider delete(FileContentProvider java:146)_x000D_
	at com owncloud android providers FileContentProvider delete(FileContentProvider java:152)_x000D_
	at com owncloud android providers FileContentProvider delete(FileContentProvider java:95)_x000D_
	at android content ContentProviderOperation apply(ContentProviderOperation java:311)_x000D_
	at com owncloud android providers FileContentProvider applyBatch(FileContentProvider java:549)_x000D_
	at android content ContentProvider Transport applyBatch(ContentProvider java:316)_x000D_
	at android content ContentProviderClient applyBatch(ContentProviderClient java:438)_x000D_
	at com owncloud android datamodel FileDataStorageManager saveFolder(FileDataStorageManager java:405)_x000D_
	at com owncloud android operations RefreshFolderOperation synchronizeData(RefreshFolderOperation java:444)_x000D_
	at com owncloud android operations RefreshFolderOperation fetchAndSyncRemoteFolder(RefreshFolderOperation java:317)_x000D_
	at com owncloud android operations RefreshFolderOperation run(RefreshFolderOperation java:197)_x000D_
	at com owncloud android lib common operations RemoteOperation execute(RemoteOperation java:136)_x000D_
	at com owncloud android syncadapter FileSyncAdapter synchronizeFolder(FileSyncAdapter java:271)_x000D_
	at com owncloud android syncadapter FileSyncAdapter syncChildren(FileSyncAdapter java:347)_x000D_
	at com owncloud android syncadapter FileSyncAdapter synchronizeFolder(FileSyncAdapter java:291)_x000D_
	at com owncloud android syncadapter FileSyncAdapter syncChildren(FileSyncAdapter java:347)_x000D_
	at com owncloud android syncadapter FileSyncAdapter synchronizeFolder(FileSyncAdapter java:291)_x000D_
	at com owncloud android syncadapter FileSyncAdapter onPerformSync(FileSyncAdapter java:179)_x000D_
	at android content AbstractThreadedSyncAdapter SyncThread run(AbstractThreadedSyncAdapter java:272)_x000D_
_x000D_
             DEVICE INFORMATION            _x000D_
Brand: Android_x000D_
Device: angler_x000D_
Model: Nexus 6P_x000D_
Id: NBD91P_x000D_
Product: aosp angler_x000D_
_x000D_
             FIRMWARE             _x000D_
SDK: 24_x000D_
Release: 7 0_x000D_
Incremental: 2016 11 10 09 53 38_x000D_
   _x000D_
</t>
  </si>
  <si>
    <t>cgeo-cgeo-6114</t>
  </si>
  <si>
    <t xml:space="preserve">Live map handling became massively instable with latest nightlies </t>
  </si>
  <si>
    <t>More a reminder to myself to take a closer look later
Either its the server once again or something within cgeo 
E g  the following makes cgeo crash in a high percentage of cases:
  Open live map
  While map is still loading click on a saved cache
  Click to open details from popup
Using mapsforge beta with nightly 2016 11 12</t>
  </si>
  <si>
    <t>CSE403FindersKeepers-finders-keepers-23</t>
  </si>
  <si>
    <t>Entering an invalid zip crashes the application.</t>
  </si>
  <si>
    <t xml:space="preserve">Invalid zip codes crash the application  _x000D_
_x000D_
Workaround: Do not enter invalid zip codes </t>
  </si>
  <si>
    <t>kennanmell-Handoff-8</t>
  </si>
  <si>
    <t>App may crash without internet</t>
  </si>
  <si>
    <t>It seems that when trying to access the request feed without internet  the app may crash</t>
  </si>
  <si>
    <t>dxl360-Student_Portal-6</t>
  </si>
  <si>
    <t>Homepage - fragments</t>
  </si>
  <si>
    <t>fragments not loading properly on start of app  causes app to crash</t>
  </si>
  <si>
    <t>dimamo5-movimento1euro-android-22</t>
  </si>
  <si>
    <t>Back button crashes app on app restart</t>
  </si>
  <si>
    <t>Quando se est  com a sess o iniciada e se fecha a app manualmente  depois ao voltar a iniciar e ao carregar no bot o Back  a app crasha</t>
  </si>
  <si>
    <t>atroutt-AndroidBeginnerFirstApp-2</t>
  </si>
  <si>
    <t>API 24 Crash FileUriExposedException when creating camera or share intent</t>
  </si>
  <si>
    <t>API 24 devices will crash on the camera or social share intents because of the file Uri we are using for the image uri _x000D_
_x000D_
    android os FileUriExposedException: file:   storage emulated 0       _x000D_
_x000D_
See https:  inthecheesefactory com blog how to share access to file with fileprovider on android nougat en</t>
  </si>
  <si>
    <t>vector-im-riot-android-697</t>
  </si>
  <si>
    <t>[Direct Message] Crash when confirm a "Start chat" room with no member</t>
  </si>
  <si>
    <t xml:space="preserve">To reproduce:_x000D_
  Hit     button  then  Start chat _x000D_
  Choose a member  then delete it (X button)_x000D_
  Hit the confirm button_x000D_
_x000D_
Riot crashes_x000D_
Version 0 60 dev (dbcb396)_x000D_
_x000D_
</t>
  </si>
  <si>
    <t>flowupio-FlowUpAndroidSDK-127</t>
  </si>
  <si>
    <t>Release 0.1.3 crashes</t>
  </si>
  <si>
    <t xml:space="preserve">One of our users reported us two crashes reproduced two times each one  These are the traces:_x000D_
_x000D_
  crash2saul (https:  cloud githubusercontent com assets 4030704 20261710 4e2b473e aa5f 11e6 8fef 7570b9185549 png)_x000D_
  crash1saul (https:  cloud githubusercontent com assets 4030704 20261711 4e430a7c aa5f 11e6 92e0 7d08c48f0ebc png)_x000D_
</t>
  </si>
  <si>
    <t>akexorcist-GoogleDirectionLibrary-22</t>
  </si>
  <si>
    <t>project not building with firebase</t>
  </si>
  <si>
    <t xml:space="preserve">cant build my project if firebase messaging lib is also there in build gradle with this library_x000D_
_x000D_
my current setup has play service version 37 and google repository version 38_x000D_
_x000D_
but it was working with with version 36 but now it is not building_x000D_
_x000D_
im getting this error_x000D_
_x000D_
  Error:Error converting bytecode to dex:_x000D_
  Cause: com android dex DexException: Multiple dex files define Lcom google android gms actions ItemListIntents _x000D_
_x000D_
_x000D_
and even if i include multidex support i get error_x000D_
_x000D_
  Error:Execution failed for task  :app:transformClassesWithJarMergingForKioskModeUat  _x000D_
    com android build api transform TransformException: java util zip ZipException: duplicate entry: com google android gms actions ItemListIntents class_x000D_
_x000D_
build gradle _x000D_
_x000D_
   _x000D_
 _x000D_
 _x000D_
 dependencies  _x000D_
    compile fileTree(dir:  libs   include:     jar  )_x000D_
    compile( com mikepenz:materialdrawer:5 6 0 aar )  _x000D_
        transitive   true_x000D_
     _x000D_
    compile( com crashlytics sdk android:crashlytics:2 6 5 aar )  _x000D_
        transitive   true _x000D_
     _x000D_
    compile  jp wasabeef:recyclerview animators:2 2 4 _x000D_
    compile  com michaelpardo:activeandroid:3 1 0 SNAPSHOT _x000D_
    compile  com android support:design:24 2 1 _x000D_
    compile  com android support:cardview v7:24 2 1 _x000D_
    compile  com android support:appcompat v7:24 2 1 _x000D_
    compile  org greenrobot:eventbus:3 0 0 _x000D_
    compile  com makeramen:roundedimageview:2 2 0 _x000D_
    compile  com weiwangcn betterspinner:library:1 1 0 _x000D_
    compile  com squareup retrofit2:retrofit:2 1 0 _x000D_
    compile  com squareup okhttp3:okhttp urlconnection:3 4 1 _x000D_
    compile  com squareup retrofit2:converter gson:2 1 0 _x000D_
    compile  com squareup okhttp3:logging interceptor:3 4 1 _x000D_
    compile  com squareup picasso:picasso:2 5 2 _x000D_
    compile  com github johnkil android robototextview:robototextview:2 5 0 _x000D_
    compile  com google firebase:firebase messaging:9 6 1 _x000D_
    compile  com akexorcist:googledirectionlibrary:1 0 4 _x000D_
 _x000D_
 _x000D_
 _x000D_
_x000D_
   </t>
  </si>
  <si>
    <t>chatrealm-DctvAndroid-16</t>
  </si>
  <si>
    <t>libstlport_shared.so not found on Nexus 6p</t>
  </si>
  <si>
    <t xml:space="preserve">When I click on a stream on my Nexus 6p (except via chromecast)  the app crashes with the following exception:_x000D_
   _x000D_
11 15 19:26:40 432 29746 29746 com tinnvec dctvandroid E Vitamio Player : Error loading libs_x000D_
                                                                          java lang UnsatisfiedLinkError: dlopen failed: library   data user 0 com tinnvec dctvandroid lib libstlport shared so  not found_x000D_
                                                                              at java lang Runtime load0(Runtime java:908)_x000D_
                                                                              at java lang System load(System java:1505)_x000D_
                                                                              at io vov vitamio MediaPlayer load lib(MediaPlayer java:261)_x000D_
                                                                              at io vov vitamio MediaPlayer  clinit (MediaPlayer java:320)_x000D_
                                                                              at io vov vitamio widget VideoView openVideo(VideoView java:427)_x000D_
                                                                              at io vov vitamio widget VideoView access 1400(VideoView java:70)_x000D_
                                                                              at io vov vitamio widget VideoView 3 surfaceCreated(VideoView java:158)_x000D_
                                                                              at android view SurfaceView updateWindow(SurfaceView java:618)_x000D_
                                                                              at android view SurfaceView 3 onPreDraw(SurfaceView java:161)_x000D_
                                                                              at android view ViewTreeObserver dispatchOnPreDraw(ViewTreeObserver java:944)_x000D_
                                                                              at android view ViewRootImpl performTraversals(ViewRootImpl java:2205)_x000D_
                                                                              at android view ViewRootImpl doTraversal(ViewRootImpl java:1254)_x000D_
                                                                              at android view ViewRootImpl TraversalRunnable run(ViewRootImpl java:6337)_x000D_
                                                                              at android view Choreographer CallbackRecord run(Choreographer java:874)_x000D_
                                                                              at android view Choreographer doCallbacks(Choreographer java:686)_x000D_
                                                                              at android view Choreographer doFrame(Choreographer java:621)_x000D_
                                                                              at android view Choreographer FrameDisplayEventReceiver run(Choreographer java:860)_x000D_
                                                                              at android os Handler handleCallback(Handler java:751)_x000D_
                                                                              at android os Handler dispatchMessage(Handler java:95)_x000D_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I couldn t replicate this with any Nexus 6p emulator  no matter what Android version  It just occurs on my physical device  It s a Nexus 6p with Android 7 0 1  original Google image _x000D_
_x000D_
My guess is some hardware thing  maybe the cpu architecture is not supported </t>
  </si>
  <si>
    <t>rodrif-RecorridasZOTP-87</t>
  </si>
  <si>
    <t>No recibe notificaciones al cerrar la app completamente</t>
  </si>
  <si>
    <t>Tampoco despues de un crash</t>
  </si>
  <si>
    <t>vector-im-riot-android-704</t>
  </si>
  <si>
    <t>[Direct Message] Crash on trying to untag Direct Chat from empty Direct Message Room</t>
  </si>
  <si>
    <t>To reproduce:_x000D_
  Direct message room wither user 1 and user 2_x000D_
  User 2 left_x000D_
  With user 1  from the rooms list   click on the context menu  and try to uncheck  Direct Chat _x000D_
_x000D_
Riot crashes_x000D_
https:  matrix org  matrix media v1 download matrix org GVaOdikECSFNqyYGwPCUtVVM_x000D_
Version 0 6 0 dev (40a2744)</t>
  </si>
  <si>
    <t>vector-im-riot-android-699</t>
  </si>
  <si>
    <t>Crash after hitting a user profile in room</t>
  </si>
  <si>
    <t xml:space="preserve">To reproduce:_x000D_
  Open a room_x000D_
  Hit on a user profile_x000D_
_x000D_
Riot crashes _x000D_
Version: 0 6 0 dev (40a2744)_x000D_
Logs:_x000D_
https:  matrix org  matrix media v1 download matrix org zkLrtEZSFkMlhqTwXXhCzdbc_x000D_
</t>
  </si>
  <si>
    <t>flowupio-FlowUpAndroidSDK-135</t>
  </si>
  <si>
    <t>Move realm version to one not crashing</t>
  </si>
  <si>
    <t xml:space="preserve">As the version 2 X of realm is crashing we should move the version used to the last stable version which is the 0 1 2 </t>
  </si>
  <si>
    <t>wasdennnoch-AndroidN-ify-1225</t>
  </si>
  <si>
    <t>System UI crashes when "more settings" is tapped from an expand QS tile</t>
  </si>
  <si>
    <t>The system UI crashes when I click the  settings  button within an expanded QS tile whenever the experimental  fix huge slave under qs header  feature is enabled  _x000D_
_x000D_
_x000D_
 xposed error 20161117 182850 txt (https:  github com wasdennnoch AndroidN ify files 598710 xposed error 20161117 182850 txt)_x000D_
_x000D_
 Log 2016 11 17 18 16 40 txt (https:  github com wasdennnoch AndroidN ify files 598713 Log 2016 11 17 18 16 40 txt)</t>
  </si>
  <si>
    <t>azb-SE195A_SeniorProject-16</t>
  </si>
  <si>
    <t>Short Password Causes Crash in Account Creation</t>
  </si>
  <si>
    <t xml:space="preserve">Found while testing around with application preparing for the demo  if too short of a password is used in the signup page it causes a crash when clicking on the button  and no account is created _x000D_
_x000D_
May just be a restriction from Firebase on the minimum required length for passwords  and Firebase returns some exception if that length is not met  and we might not be handling that so it causes a crash _x000D_
_x000D_
Something to look into later </t>
  </si>
  <si>
    <t>commons-app-apps-android-commons-326</t>
  </si>
  <si>
    <t>Resources$NotFoundException - issues with Korean translation?</t>
  </si>
  <si>
    <t xml:space="preserve">Received this crash report from Teemeah (from the Community Wishlist survey):_x000D_
_x000D_
   _x000D_
USER COMMENT right after logging in it stopped_x000D_
ANDROID VERSION 6 0_x000D_
APP VERSION NAME 1 38_x000D_
BRAND HONOR_x000D_
PHONE MODEL PLK L01_x000D_
CUSTOM DATA _x000D_
STACK TRACE android content res Resources NotFoundException: Plural resource ID  0x7f070000 quantity 0 item other_x000D_
at android content res Resources getQuantityText(Resources java:381)_x000D_
at android content res Resources getQuantityString(Resources java:493)_x000D_
at fr free nrw commons contributions ContributionsActivity onLoadFinished(ContributionsActivity java:217)_x000D_
at android support v4 app LoaderManagerImpl LoaderInfo callOnLoadFinished(LoaderManager java:476)_x000D_
at android support v4 app LoaderManagerImpl LoaderInfo onLoadComplete(LoaderManager java:444)_x000D_
at android support v4 content Loader deliverResult(Loader java:126)_x000D_
at android support v4 content CursorLoader deliverResult(CursorLoader java:105)_x000D_
at android support v4 content CursorLoader deliverResult(CursorLoader java:37)_x000D_
at android support v4 content AsyncTaskLoader dispatchOnLoadComplete(AsyncTaskLoader java:252)_x000D_
at android support v4 content AsyncTaskLoader LoadTask onPostExecute(AsyncTaskLoader java:80)_x000D_
at android support v4 content ModernAsyncTask finish(ModernAsyncTask java:485)_x000D_
at android support v4 content ModernAsyncTask InternalHandler handleMessage(ModernAsyncTask java:502)_x000D_
at android os Handler dispatchMessage(Handler java:102)_x000D_
at android os Looper loop(Looper java:150)_x000D_
at android app ActivityThread main(ActivityThread java:5546)_x000D_
at java lang reflect Method invoke(Native Method)_x000D_
at com android internal os ZygoteInit MethodAndArgsCaller run(ZygoteInit java:794)_x000D_
at com android internal os ZygoteInit main(ZygoteInit java:684)_x000D_
   _x000D_
_x000D_
She sent me an accompanying screenshot  It seems the issue might be with the Korean translations  How do we fix the issue if we can t read write Korean  (The stack trace doesn t seem to point to the exact string causing the issues)_x000D_
_x000D_
  screenshot 2016 11 17 12 01 19 (https:  cloud githubusercontent com assets 3611199 20387266 293edcc0 ad24 11e6 94bf 67eaa03dcfab png)_x000D_
</t>
  </si>
  <si>
    <t>vector-im-riot-android-709</t>
  </si>
  <si>
    <t>Crash on hitting tabs on search view</t>
  </si>
  <si>
    <t>To reproduce:_x000D_
  From the rooms list  hit the search button_x000D_
  Select MESSAGES or FILES tab_x000D_
_x000D_
Riot crashes _x000D_
Logs : https:  matrix org  matrix media v1 download matrix org oItLJaucmzvylQGbilewWExW_x000D_
Version 0 6 0 dev (40a2744)</t>
  </si>
  <si>
    <t>bumptech-glide-1592</t>
  </si>
  <si>
    <t>java.lang.IllegalStateException: Activity has been destroyed on Nested Fragment (Demo Project Inside)</t>
  </si>
  <si>
    <t xml:space="preserve">  Glide Version  : 3 7 0_x000D_
_x000D_
  Issue details   Repro steps   Use case background  : _x000D_
Use Case: Master Detail view with choices on the left  and nested detail fragments on the right (many different kinds)   All of our detail fragments work fine  except the one that uses Glide to load images _x000D_
_x000D_
Details of Simple Demo: Master Detail view with Master fragment being retained  and nested Detail fragment being replaced anytime after a rotation   Calling Glide with(this) load in the new replacement fragment will crash _x000D_
_x000D_
I ve created a project to demonstrate: https:  github com jt gilkeson GlideCrash_x000D_
_x000D_
Note: this project uses a technique to retain the child fragment manager to get around a bug in the Support Lib _x000D_
_x000D_
Steps to reproduce:_x000D_
_x000D_
  Launch App  Press Show Details Fragment   Notice nested fragment displays _x000D_
  Rotate  Notice Details Fragment is still there   _x000D_
  Click Show Details Fragment (creates a new fragment to replace the existing one) crash:_x000D_
_x000D_
   _x000D_
FATAL EXCEPTION: main_x000D_
    Process: com jt glidecrash  PID: 11153_x000D_
    java lang IllegalStateException: Activity has been destroyed_x000D_
        at android support v4 app FragmentManagerImpl enqueueAction(FragmentManager java:1515)_x000D_
        at android support v4 app BackStackRecord commitInternal(BackStackRecord java:638)_x000D_
        at android support v4 app BackStackRecord commitAllowingStateLoss(BackStackRecord java:621)_x000D_
        at com bumptech glide manager RequestManagerRetriever getSupportRequestManagerFragment(RequestManagerRetriever java:187)_x000D_
        at com bumptech glide manager SupportRequestManagerFragment onAttach(SupportRequestManagerFragment java:116)_x000D_
        at android support v4 app Fragment onAttach(Fragment java:1165)_x000D_
        at android support v4 app FragmentManagerImpl moveToState(FragmentManager java:1019)_x000D_
        at android support v4 app BackStackRecord setLastIn(BackStackRecord java:779)_x000D_
        at android support v4 app BackStackRecord calculateFragments(BackStackRecord java:802)_x000D_
        at android support v4 app BackStackRecord run(BackStackRecord java:660)_x000D_
        at android support v4 app FragmentManagerImpl execPendingActions(FragmentManager java:1617)_x000D_
        at android support v4 app Fragment performStart(Fragment java:1996)_x000D_
        at android support v4 app FragmentManagerImpl moveToState(FragmentManager java:1102)_x000D_
        at android support v4 app FragmentManagerImpl moveToState(FragmentManager java:1252)_x000D_
        at android support v4 app BackStackRecord run(BackStackRecord java:742)_x000D_
        at android support v4 app FragmentManagerImpl execPendingActions(FragmentManager java:1617)_x000D_
        at android support v4 app FragmentManagerImpl 1 run(FragmentManager java:517)_x000D_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_x000D_
Using other image libraries this way does not crash   it s glide specific   _x000D_
_x000D_
Note: _x000D_
_x000D_
  Glide with(this) (fragment) crashes when you create a new Details fragment and replace _x000D_
  Glide with(iv getContext()) crashes on rotation  _x000D_
  Glide with(getActivity()) crashes on rotation _x000D_
  Glide with(getContext() getApplicationContext()) works (and appears to be the only way to get this to work)_x000D_
_x000D_
Disclaimer: I know that people don t like using Retained Instance for UI  and that using the workaround for the support lib problem seems like a hack  but hopefully this example will help debug what s going on in Glide under the covers that may be causing this issue for more conventional uses _x000D_
_x000D_
This may be a related to or a dupe of issues:_x000D_
_x000D_
  https:  github com bumptech glide issues 795_x000D_
  https:  github com bumptech glide issues 850 </t>
  </si>
  <si>
    <t>JRempel-HKBU-Map-33</t>
  </si>
  <si>
    <t>RecyclerView OOM</t>
  </si>
  <si>
    <t xml:space="preserve">Application crashes on the RecyclerView Tab with an OutOfMemory error  likely due to image loading </t>
  </si>
  <si>
    <t>nextcloud-android-388</t>
  </si>
  <si>
    <t>1.4.0 RC2 - App crashing after taking a photo on Android &lt; 7</t>
  </si>
  <si>
    <t xml:space="preserve">From Google Play Developer Console:_x000D_
_x000D_
  APP crash after making a photo_x000D_
  im rc2 ist jetzt photoupload wieder vorhanden  nachdem das aktiviert wurde und ein Photo gemacht wird   st rzt die nextcloud App ab_x000D_
_x000D_
   _x000D_
java lang RuntimeException: Unable to start receiver com owncloud android files InstantUploadBroadcastReceiver: java lang NullPointerException: Attempt to invoke virtual method  int java lang Integer intValue()  on a null object reference_x000D_
	at android app ActivityThread handleReceiver(ActivityThread java:2766)_x000D_
	at android app ActivityThread  wrap14(ActivityThread java)_x000D_
	at android app ActivityThread H handleMessage(ActivityThread java:1440)_x000D_
	at android os Handler dispatchMessage(Handler java:102)_x000D_
	at android os Looper loop(Looper java:148)_x000D_
	at android app ActivityThread main(ActivityThread java:5461)_x000D_
	at java lang reflect Method invoke(Native Method)_x000D_
	at com android internal os ZygoteInit MethodAndArgsCaller run(ZygoteInit java:726)_x000D_
	at com android internal os ZygoteInit main(ZygoteInit java:616)_x000D_
Caused by: java lang NullPointerException: Attempt to invoke virtual method  int java lang Integer intValue()  on a null object reference_x000D_
	at com owncloud android files InstantUploadBroadcastReceiver handleNewPictureAction(InstantUploadBroadcastReceiver java:134)_x000D_
	at com owncloud android files InstantUploadBroadcastReceiver onReceive(InstantUploadBroadcastReceiver java:65)_x000D_
	at android app ActivityThread handleReceiver(ActivityThread java:2759)_x000D_
	    8 more_x000D_
   _x000D_
_x000D_
   _x000D_
java lang RuntimeException: Unable to start receiver com owncloud android files InstantUploadBroadcastReceiver: java lang NullPointerException: Attempt to invoke virtual method  int java lang Integer intValue()  on a null object reference_x000D_
	at android app ActivityThread handleReceiver(ActivityThread java:3642)_x000D_
	at android app ActivityThread access 2000(ActivityThread java:222)_x000D_
	at android app ActivityThread H handleMessage(ActivityThread java:1877)_x000D_
	at android os Handler dispatchMessage(Handler java:102)_x000D_
	at android os Looper loop(Looper java:158)_x000D_
	at android app ActivityThread main(ActivityThread java:7229)_x000D_
	at java lang reflect Method invoke(Native Method)_x000D_
	at com android internal os ZygoteInit MethodAndArgsCaller run(ZygoteInit java:1230)_x000D_
	at com android internal os ZygoteInit main(ZygoteInit java:1120)_x000D_
Caused by: java lang NullPointerException: Attempt to invoke virtual method  int java lang Integer intValue()  on a null object reference_x000D_
	at com owncloud android files InstantUploadBroadcastReceiver handleNewPictureAction(InstantUploadBroadcastReceiver java:134)_x000D_
	at com owncloud android files InstantUploadBroadcastReceiver onReceive(InstantUploadBroadcastReceiver java:65)_x000D_
	at android app ActivityThread handleReceiver(ActivityThread java:3635)_x000D_
	    8 more_x000D_
   </t>
  </si>
  <si>
    <t>vijai1996-screenrecorder-9</t>
  </si>
  <si>
    <t>App crashes</t>
  </si>
  <si>
    <t xml:space="preserve"> crash txt (https:  github com vijai1996 screenrecorder files 602390 crash txt)_x000D_
_x000D_
Hey bro  thanks a lot for this useful app  and thanks even more for having it on f droid  Unfortunately I the app crashes very frequently on my phone  It s an Android 6 0 1  It seems to be a problem with switch to and from the app with the recent apps menu  After switching back to screenrecorder the rec button shows the stop symbol and the app crashes when I press it  I also get notified that the app crashed if I swipe it away in the recent apps menu _x000D_
I attached a log  hope it can help   </t>
  </si>
  <si>
    <t>haiwen-seadroid-598</t>
  </si>
  <si>
    <t>Uploading 2gb video</t>
  </si>
  <si>
    <t xml:space="preserve">Files videos upload fine but just down to this one 2 14GB mp4 video and Seafile instantly crashes with the  unfortunately  seafile has stopped  message   (I have to move this file outside of the instant camera upload directory so the crashing stops) _x000D_
_x000D_
                                                      _x000D_
Seafile android client 2 1 6_x000D_
Logs: not sure where error logs are for android client_x000D_
_x000D_
Seafile Server Version: 5 1 3_x000D_
Apache 2 4 10 (Debian)_x000D_
mysql  Ver 15 1 Distrib 10 1 14 MariaDB_x000D_
Linux debian 3 16 0 4 amd64  1 SMP Debian 3 16 7 ckt25 2 (2016 04 08) x86 64_x000D_
MemTotal:  1696140 kB  MemFree: 106036 kB  MemAvailable: 802968 kB_x000D_
SwapTotal:  392188 kB   SwapFree: 391692 kB_x000D_
Logs: no relevant info (new log data) in the logs directory (seafile log was the only one updated today but no events within the hour where this error happened)_x000D_
</t>
  </si>
  <si>
    <t>kontalk-androidclient-863</t>
  </si>
  <si>
    <t>Kontalk crashes when accepting untrusted personal key</t>
  </si>
  <si>
    <t xml:space="preserve">    Expected behavior_x000D_
The key will be accepted_x000D_
_x000D_
    Actual behavior_x000D_
Kontalk crashes_x000D_
_x000D_
    Steps to reproduce_x000D_
1  Turn encryption off_x000D_
2  Start a new chat with a XMPP contact ( elaon de)_x000D_
3  Warning message appears_x000D_
4  Click on Details_x000D_
5  Click on Accept_x000D_
_x000D_
    Environment_x000D_
_x000D_
Kontalk version: 4 0 0 alpha8_x000D_
_x000D_
Android version: 6 0 1_x000D_
Device model: Galaxy S7_x000D_
_x000D_
    Other_x000D_
_x000D_
It does not happen when you click on   Identity   first an THEN   Accept  _x000D_
_x000D_
Some screenshots documenting the behavior _x000D_
_x000D_
 img src  https:  cloud githubusercontent com assets 3693437 20503874 f42735cc b044 11e6 8ea7 6e0ec0476734 png  width  180  _x000D_
 img src  https:  cloud githubusercontent com assets 3693437 20503875 f42bda3c b044 11e6 9772 e2e5977ca759 png  width  180  _x000D_
 img src  https:  cloud githubusercontent com assets 3693437 20503876 f42dac2c b044 11e6 9745 21914c00d170 png  width  180  </t>
  </si>
  <si>
    <t>kontalk-androidclient-862</t>
  </si>
  <si>
    <t>Crash when clicking back arrow in group member view</t>
  </si>
  <si>
    <t xml:space="preserve">    Expected behavior
No crash
    Actual behavior
Crash
    Steps to reproduce
1  Open a group chat with 4 people  including yourself  One person is not authorized and Kontalk shows fade in notification prompting user to verify that person in a private chat 
2  Give the group chat a name 
4  Type a draft and then remember that not all people are verified (it s not possible to send the message) 
3  Go to the group member view 
4  Click the back arrow in the upper left corner 
5  Kontalk crashes and cannot be restarted  not eben after trying to reinstall it  I fear that I ll have to clear data (clearing cache of the app doesn t do the trick) 
    Environment
Kontalk version: Kontalk Alpha8 Basic 
Android version: Android 4 4 2
Device model: Fairphone 1
    Other
I ll try to catch a log  I just received a private message and could open that chat via the notification that was shown in the status bar  Also in the PM view Kontalk crashes when I click the back arrow </t>
  </si>
  <si>
    <t>google-cameraview-51</t>
  </si>
  <si>
    <t>java.lang.RuntimeException: autoFocus failed</t>
  </si>
  <si>
    <t>On tapping multiple times on the capture image button the demo app crashes _x000D_
The issue appeared on Samsung GT I9300I running Android 4 4 4_x000D_
(By the way very helpful library  Can t even begin to tell how big a help this has been )_x000D_
_x000D_
com google android cameraview demo E AndroidRuntime: FATAL EXCEPTION: main_x000D_
                                                                                    Process: com google android cameraview demo  PID: 22695_x000D_
                                                                                    java lang RuntimeException: autoFocus failed_x000D_
                                                                                        at android hardware Camera native autoFocus(Native Method)_x000D_
                                                                                        at android hardware Camera autoFocus(Camera java:1131)_x000D_
                                                                                        at com google android cameraview Camera1 takePicture(Camera1 java:212)_x000D_
                                                                                        at com google android cameraview CameraView takePicture(CameraView java:378)_x000D_
                                                                                        at com google android cameraview demo MainActivity 1 onClick(MainActivity java:91)_x000D_
                                                                                        at android view View performClick(View java:4741)_x000D_
                                                                                        at android view View PerformClick run(View java:19384)_x000D_
                                                                                        at android os Handler handleCallback(Handler java:733)_x000D_
                                                                                        at android os Handler dispatchMessage(Handler java:95)_x000D_
                                                                                        at android os Looper loop(Looper java:146)_x000D_
                                                                                        at android app ActivityThread main(ActivityThread java:5679)_x000D_
                                                                                        at java lang reflect Method invokeNative(Native Method)_x000D_
                                                                                        at java lang reflect Method invoke(Method java:515)_x000D_
                                                                                        at com android internal os ZygoteInit MethodAndArgsCaller run(ZygoteInit java:1291)_x000D_
                                                                                        at com android internal os ZygoteInit main(ZygoteInit java:1107)_x000D_
                                                                                        at dalvik system NativeStart main(Native Method)</t>
  </si>
  <si>
    <t>google-physical-web-856</t>
  </si>
  <si>
    <t>Crash on first startup</t>
  </si>
  <si>
    <t>Installing a build from master  the first startup crashes for me on Android   Second startup seems to work fine _x000D_
_x000D_
11 22 11:07:12 365 26121 26121 E AndroidRuntime: java lang NullPointerException: Attempt to invoke virtual method  org physical web collection PwsResult org physical web collection PwPair getPwsResult()  on a null object reference_x000D_
11 22 11:07:12 365 26121 26121 E AndroidRuntime:        at org physical web physicalweb Utils PwPairRelevanceComparator compare(Utils java:120)_x000D_
11 22 11:07:12 365 26121 26121 E AndroidRuntime:        at org physical web physicalweb Utils PwPairRelevanceComparator compare(Utils java:119)_x000D_
11 22 11:07:12 365 26121 26121 E AndroidRuntime:        at java util TimSort binarySort(TimSort java:292)_x000D_
11 22 11:07:12 365 26121 26121 E AndroidRuntime:        at java util TimSort sort(TimSort java:217)_x000D_
11 22 11:07:12 365 26121 26121 E AndroidRuntime:        at java util Arrays sort(Arrays java:1523)_x000D_
11 22 11:07:12 365 26121 26121 E AndroidRuntime:        at java util Collections sort(Collections java:238)_x000D_
11 22 11:07:12 365 26121 26121 E AndroidRuntime:        at org physical web physicalweb NearbyBeaconsFragment emptyGroupIdQueue(NearbyBeaconsFragment java:392)_x000D_
11 22 11:07:12 365 26121 26121 E AndroidRuntime:        at org physical web physicalweb NearbyBeaconsFragment  wrap1(NearbyBeaconsFragment java)_x000D_
11 22 11:07:12 365 26121 26121 E AndroidRuntime:        at org physical web physicalweb NearbyBeaconsFragment 1 run(NearbyBeaconsFragment java:101)_x000D_
11 22 11:07:12 365 26121 26121 E AndroidRuntime:        at android os Handler handleCallback(Handler java:751)_x000D_
11 22 11:07:12 365 26121 26121 E AndroidRuntime:        at android os Handler dispatchMessage(Handler java:95)_x000D_
11 22 11:07:12 365 26121 26121 E AndroidRuntime:        at android os Looper loop(Looper java:154)</t>
  </si>
  <si>
    <t>CSE403FindersKeepers-finders-keepers-29</t>
  </si>
  <si>
    <t>Accessing a trade holding a deleted item crashes the app</t>
  </si>
  <si>
    <t xml:space="preserve">The application needs proper error handling to handle this case without crashing  which we hope to have in place in time for the release candidate </t>
  </si>
  <si>
    <t>aricneto-TwistyTimer-68</t>
  </si>
  <si>
    <t>Example format for text import correct</t>
  </si>
  <si>
    <t xml:space="preserve">The example format shown in the dialog when importing a  txt format is incorrect  The pop up shows: _x000D_
_x000D_
  1:32 15    R U2    2016 03 16T08:16:42  _x000D_
_x000D_
But it should be:_x000D_
_x000D_
  4:24 58   R U2   2016 11 22T23:52:48 000 01:00   _x000D_
_x000D_
Importing a file just the first sample line leads to a crashing application  Importing the correct format works without a problem  I found the correct format by exporting some results and opening it with a text editor </t>
  </si>
  <si>
    <t>yigit-android-priority-jobqueue-288</t>
  </si>
  <si>
    <t>SQLiteDatabaseLockedException</t>
  </si>
  <si>
    <t>With the latest version 2 we are getting the following crash which we never had with the previous version _x000D_
_x000D_
Fatal Exception: android database sqlite SQLiteDatabaseLockedException: database is locked (code 5)_x000D_
       at android database sqlite SQLiteConnection nativeExecute(SQLiteConnection java)_x000D_
       at android database sqlite SQLiteConnection execute(SQLiteConnection java:725)_x000D_
       at android database sqlite SQLiteSession beginTransactionUnchecked(SQLiteSession java:323)_x000D_
       at android database sqlite SQLiteSession beginTransaction(SQLiteSession java:298)_x000D_
       at android database sqlite SQLiteDatabase beginTransaction(SQLiteDatabase java:510)_x000D_
       at android database sqlite SQLiteDatabase beginTransaction(SQLiteDatabase java:421)_x000D_
       at com birbit android jobqueue h a d b(SqliteJobQueue java:205)_x000D_
       at com birbit android jobqueue h a d c(SqliteJobQueue java:201)_x000D_
       at com birbit android jobqueue a a c(CachedJobQueue java:51)_x000D_
       at com birbit android jobqueue l a(JobManagerThread java:561)_x000D_
       at com birbit android jobqueue l a(JobManagerThread java:36472)_x000D_
       at com birbit android jobqueue l 1 a(JobManagerThread java:237)_x000D_
       at com birbit android jobqueue l run(JobManagerThread java:7039)_x000D_
       at java lang Thread run(Thread java:818)</t>
  </si>
  <si>
    <t>leobel-WinLine98-29</t>
  </si>
  <si>
    <t>Buddybuild crash report on build #12</t>
  </si>
  <si>
    <t xml:space="preserve">CrashReport
  Link to buddybuild crash report from build 12 (https:  dashboard buddybuild com apps 581b98f12312590100559210 crashreport 9672728f1b84fa07fb257bc43bed8c89)
 table  tr  td Build  td  td 12  td   tr  tr  td File  td  td ActivityThread java  td   tr  tr  td Function  td  td ActivityThread performResumeActivity  td   tr  tr  td Line  td  td 4156  td   tr   table </t>
  </si>
  <si>
    <t>cgeo-cgeo-6159</t>
  </si>
  <si>
    <t>New Map: NullPointerException</t>
  </si>
  <si>
    <t xml:space="preserve">From Google Play with beta version 2016 11 21 RC:_x000D_
   _x000D_
java lang NullPointerException_x000D_
	at cgeo geocaching maps mapsforge v6 NewMap onPrepareOptionsMenu(NewMap java:294)_x000D_
	at android support v7 app ActionBarActivityDelegate onPrepareOptionsPanel(ActionBarActivityDelegate java:157)_x000D_
	at android support v7 app ActionBarActivity onPrepareOptionsPanel(ActionBarActivity java:213)_x000D_
	at android support v4 app FragmentActivity onPreparePanel(FragmentActivity java:440)_x000D_
	at android support v7 app ActionBarActivity superOnPreparePanel(ActionBarActivity java:237)_x000D_
	at android support v7 app ActionBarActivityDelegateICS onPreparePanel(ActionBarActivityDelegateICS java:154)_x000D_
	at android support v7 app ActionBarActivity onPreparePanel(ActionBarActivity java:205)_x000D_
	at android support v7 app ActionBarActivityDelegateICS WindowCallbackWrapper onPreparePanel(ActionBarActivityDelegateICS java:298)_x000D_
	at com android internal policy impl PhoneWindow preparePanel(PhoneWindow java:416)_x000D_
	at com android internal policy impl PhoneWindow invalidatePanelMenu(PhoneWindow java:739)_x000D_
	at com android internal policy impl PhoneWindow 1 run(PhoneWindow java:2833)_x000D_
	at android os Handler handleCallback(Handler java:605)_x000D_
	at android os Handler dispatchMessage(Handler java:92)_x000D_
	at android os Looper loop(Looper java:137)_x000D_
	at android app ActivityThread main(ActivityThread java:4430)_x000D_
	at java lang reflect Method invokeNative(Native Method)_x000D_
	at java lang reflect Method invoke(Method java:511)_x000D_
	at com android internal os ZygoteInit MethodAndArgsCaller run(ZygoteInit java:792)_x000D_
	at com android internal os ZygoteInit main(ZygoteInit java:559)_x000D_
	at dalvik system NativeStart main(Native Method)_x000D_
   _x000D_
_x000D_
User message:_x000D_
ust a crash while selection fom C:Geo app </t>
  </si>
  <si>
    <t>Cloudkibo-Android-313</t>
  </si>
  <si>
    <t>Android version 79 crashes</t>
  </si>
  <si>
    <t xml:space="preserve"> Assadbintahir  dayemsiddiqui The following crash is due to the way we are handling the database upgrade  Let s discuss on how do we securely make changes in database which doesn t crash the application on app update  The current workaround for this is to uninstall the app and install it again _x000D_
_x000D_
 img width  880  alt  screen shot 2016 11 24 at 9 52 14 pm  src  https:  cloud githubusercontent com assets 5811465 20606098 a018b17e b290 11e6 9133 46b316d2f6e7 png  _x000D_
</t>
  </si>
  <si>
    <t>vector-im-riot-android-754</t>
  </si>
  <si>
    <t>Memory leak when opening a room</t>
  </si>
  <si>
    <t xml:space="preserve">Opening a room from the recents list causes Riot s memory footprint to permanently increase by a small amount  Going back to the recents list does not release the memory  and opening the  same  room again causes another increase  Repeatedly opening the same room will quickly run up the memory  until the app crashes _x000D_
_x000D_
To demonstrate  this is what happens when I repeatedly tap on  Matrix HQ     back     Matrix HQ     back     Matrix HQ     back     Matrix HQ     back     Matrix HQ     back       _x000D_
_x000D_
  mmpwqjplludubwsivvxlichn (https:  cloud githubusercontent com assets 21172059 20635468 462cfd80 b355 11e6 8ad4 2bc9dd2f05d6 jpeg)_x000D_
_x000D_
As you can see by the blue line  it took me about four minutes to get Riot close to the point of crashing  (It usually crashes at about 30  of memory on my phone )_x000D_
_x000D_
For contrast  this is me using Riot normally:_x000D_
_x000D_
  dlfnvupbvktehgfaarjncuwf (https:  cloud githubusercontent com assets 21172059 20635507 b61b920a b355 11e6 8243 d290ca94281a jpeg)_x000D_
_x000D_
I realize my phone has limited memory  However  having studies the app s behavour  I believe it should be able to run Riot well and indefinitely if all leaks like these are fixed </t>
  </si>
  <si>
    <t>elimu-ai-appstore-38</t>
  </si>
  <si>
    <t>Fix NullPointerException [1-2h]</t>
  </si>
  <si>
    <t xml:space="preserve">          beginning of crash_x000D_
11 26 16:43:04 831  1445  2003 E AndroidRuntime: FATAL EXCEPTION: AsyncTask  1_x000D_
11 26 16:43:04 831  1445  2003 E AndroidRuntime: Process: org literacyapp appstore  PID: 1445_x000D_
11 26 16:43:04 831  1445  2003 E AndroidRuntime: Theme: themes:  _x000D_
11 26 16:43:04 831  1445  2003 E AndroidRuntime: java lang RuntimeException: An error occurred while executing doInBackground()_x000D_
11 26 16:43:04 831  1445  2003 E AndroidRuntime: 	at android os AsyncTask 3 done(AsyncTask java:309)_x000D_
11 26 16:43:04 831  1445  2003 E AndroidRuntime: 	at java util concurrent FutureTask finishCompletion(FutureTask java:354)_x000D_
11 26 16:43:04 831  1445  2003 E AndroidRuntime: 	at java util concurrent FutureTask setException(FutureTask java:223)_x000D_
11 26 16:43:04 831  1445  2003 E AndroidRuntime: 	at java util concurrent FutureTask run(FutureTask java:242)_x000D_
11 26 16:43:04 831  1445  2003 E AndroidRuntime: 	at android os AsyncTask SerialExecutor 1 run(AsyncTask java:234)_x000D_
11 26 16:43:04 831  1445  2003 E AndroidRuntime: 	at java util concurrent ThreadPoolExecutor runWorker(ThreadPoolExecutor java:1113)_x000D_
11 26 16:43:04 831  1445  2003 E AndroidRuntime: 	at java util concurrent ThreadPoolExecutor Worker run(ThreadPoolExecutor java:588)_x000D_
11 26 16:43:04 831  1445  2003 E AndroidRuntime: 	at java lang Thread run(Thread java:818)_x000D_
11 26 16:43:04 831  1445  2003 E AndroidRuntime: Caused by: java lang IndexOutOfBoundsException: Invalid index 0  size is 0_x000D_
11 26 16:43:04 831  1445  2003 E AndroidRuntime: 	at java util ArrayList throwIndexOutOfBoundsException(ArrayList java:255)_x000D_
11 26 16:43:04 831  1445  2003 E AndroidRuntime: 	at java util ArrayList get(ArrayList java:308)_x000D_
11 26 16:43:04 831  1445  2003 E AndroidRuntime: 	at org literacyapp appstore task DownloadApplicationsAsyncTask doInBackground(DownloadApplicationsAsyncTask java:88)_x000D_
11 26 16:43:04 831  1445  2003 E AndroidRuntime: 	at org literacyapp appstore task DownloadApplicationsAsyncTask doInBackground(DownloadApplicationsAsyncTask java:40)_x000D_
11 26 16:43:04 831  1445  2003 E AndroidRuntime: 	at android os AsyncTask 2 call(AsyncTask java:295)_x000D_
11 26 16:43:04 831  1445  2003 E AndroidRuntime: 	at java util concurrent FutureTask run(FutureTask java:237)_x000D_
11 26 16:43:04 831  1445  2003 E AndroidRuntime: 	    4 more_x000D_
11 26 16:43:04 841   514  2013 D OpenGLRenderer: Use EGL SWAP BEHAVIOR PRESERVED: true_x000D_
11 26 16:43:04 841   514   529 W HardwareRenderer: Could not acquire gfx stats buffer_x000D_
11 26 16:43:04 841   514   529 W HardwareRenderer: android os RemoteException: Invalid package name_x000D_
11 26 16:43:04 841   514   529 W HardwareRenderer: 	at com android server GraphicsStatsService requestBufferForProcess(GraphicsStatsService java:97)_x000D_
11 26 16:43:04 841   514   529 W HardwareRenderer: 	at android view ThreadedRenderer ProcessInitializer initGraphicsStats(ThreadedRenderer java:459)_x000D_
11 26 16:43:04 841   514   529 W HardwareRenderer: 	at android view ThreadedRenderer ProcessInitializer init(ThreadedRenderer java:447)_x000D_
11 26 16:43:04 841   514   529 W HardwareRenderer: 	at android view ThreadedRenderer  init (ThreadedRenderer java:126)_x000D_
11 26 16:43:04 841   514   529 W HardwareRenderer: 	at android view HardwareRenderer create(HardwareRenderer java:436)_x000D_
11 26 16:43:04 841   514   529 W HardwareRenderer: 	at android view ViewRootImpl enableHardwareAcceleration(ViewRootImpl java:759)_x000D_
11 26 16:43:04 841   514   529 W HardwareRenderer: 	at android view ViewRootImpl setView(ViewRootImpl java:492)_x000D_
11 26 16:43:04 841   514   529 W HardwareRenderer: 	at android view WindowManagerGlobal addView(WindowManagerGlobal java:310)_x000D_
11 26 16:43:04 841   514   529 W HardwareRenderer: 	at android view WindowManagerImpl addView(WindowManagerImpl java:86)_x000D_
11 26 16:43:04 841   514   529 W HardwareRenderer: 	at android app Dialog show(Dialog java:319)_x000D_
11 26 16:43:04 841   514   529 W HardwareRenderer: 	at com android server am ActivityManagerService UiHandler handleMessage(ActivityManagerService java:1489)_x000D_
11 26 16:43:04 841   514   529 W HardwareRenderer: 	at android os Handler dispatchMessage(Handler java:102)_x000D_
11 26 16:43:04 841   514   529 W HardwareRenderer: 	at android os Looper loop(Looper java:148)_x000D_
11 26 16:43:04 841   514   529 W HardwareRenderer: 	at android os HandlerThread run(HandlerThread java:61)_x000D_
11 26 16:43:04 841   514   529 W HardwareRenderer: 	at com android server ServiceThread run(ServiceThread java:46)</t>
  </si>
  <si>
    <t>barbeau-gpstest-77</t>
  </si>
  <si>
    <t>java.lang.IllegalStateException: GpsStatusFragment not attached to Activity</t>
  </si>
  <si>
    <t xml:space="preserve">  Summary:   _x000D_
_x000D_
It looks like NMEA sentences are being delivered before the fragment is attached   From Android Developer Console:_x000D_
_x000D_
   _x000D_
java lang IllegalStateException: Fragment GpsStatusFragment 345a8e3  not attached to Activity_x000D_
	at android support v4 app Fragment getResources(Fragment java:648)_x000D_
	at android support v4 app Fragment getString(Fragment java:683)_x000D_
	at com android gpstest GpsStatusFragment onNmeaMessage(GpsStatusFragment java:299)_x000D_
	at com android gpstest GpsTestActivity 5 onNmeaReceived(GpsTestActivity java:508)_x000D_
	at android location LocationManager GpsStatusListenerTransport 1 handleMessage(LocationManager java:1537)_x000D_
	at android os Handler dispatchMessage(Handler java:102)_x000D_
	at android os Looper loop(Looper java:158)_x000D_
	at android app ActivityThread main(ActivityThread java:7229)_x000D_
	at java lang reflect Method invoke(Native Method)_x000D_
	at com android internal os ZygoteInit MethodAndArgsCaller run(ZygoteInit java:1230)_x000D_
	at com android internal os ZygoteInit main(ZygoteInit java:1120)_x000D_
   _x000D_
_x000D_
  Steps to reproduce:   _x000D_
_x000D_
Unknown_x000D_
_x000D_
  Expected behavior:   _x000D_
_x000D_
Not crash_x000D_
_x000D_
  Observed behavior:   _x000D_
_x000D_
Crash_x000D_
_x000D_
  Device and Android version:   _x000D_
_x000D_
Galaxy S7 Edge (hero2lte) w  Android 6 0</t>
  </si>
  <si>
    <t>flowupio-FlowUpAndroidSDK-147</t>
  </si>
  <si>
    <t>SQLiteLockedException</t>
  </si>
  <si>
    <t xml:space="preserve">Even when we are using a   ReentrantReadWriteLock   handling concurrency for our DB access we still have some errors related to the DB  _x000D_
_x000D_
This is the crash:_x000D_
_x000D_
   _x000D_
  Crashlytics   plaintext stacktrace downloaded by Nero Angelo at Mon  28 Nov 2016 09:01:30 GMT_x000D_
  URL: https:  fabric io nero angelos projects android apps com nero elrubiusomg issues 582fa9830aeb16625b06f16d sessions 583a4d2202840001250250c954238e9d_x000D_
  Organization: Nero Angelo s Projects_x000D_
  Platform: android_x000D_
  Application: El Rubius Videos_x000D_
  Version: 2 1 7 (217)_x000D_
  Bundle Identifier: com nero elrubiusomg_x000D_
  Issue  : 34_x000D_
  Issue ID: 582fa9830aeb16625b06f16d_x000D_
  Session ID: 583a4d2202840001250250c954238e9d_x000D_
  Date: 2016 11 27T18:06:21Z_x000D_
  OS Version: 5 1_x000D_
  Device: orbis_x000D_
  RAM Free: 22 9 _x000D_
  Disk Free: 5 9 _x000D_
_x000D_
 0  Crashed: gcm task 1: 0 0 0x0000000000000000_x000D_
       at android database sqlite SQLiteConnection nativePrepareStatement(SQLiteConnection java)_x000D_
       at android database sqlite SQLiteConnection acquirePreparedStatement(SQLiteConnection java:898)_x000D_
       at android database sqlite SQLiteConnection executeForString(SQLiteConnection java:643)_x000D_
       at android database sqlite SQLiteConnection setJournalMode(SQLiteConnection java:325)_x000D_
       at android database sqlite SQLiteConnection setWalModeFromConfiguration(SQLiteConnection java:299)_x000D_
       at android database sqlite SQLiteConnection open(SQLiteConnection java:220)_x000D_
       at android database sqlite SQLiteConnection open(SQLiteConnection java:198)_x000D_
       at android database sqlite SQLiteConnectionPool openConnectionLocked(SQLiteConnectionPool java:463)_x000D_
       at android database sqlite SQLiteConnectionPool open(SQLiteConnectionPool java:185)_x000D_
       at android database sqlite SQLiteConnectionPool open(SQLiteConnectionPool java:177)_x000D_
       at android database sqlite SQLiteDatabase openInner(SQLiteDatabase java:836)_x000D_
       at android database sqlite SQLiteDatabase open(SQLiteDatabase java:821)_x000D_
       at android database sqlite SQLiteDatabase openDatabase(SQLiteDatabase java:714)_x000D_
       at android app ContextImpl openOrCreateDatabase(ContextImpl java:1261)_x000D_
       at android content ContextWrapper openOrCreateDatabase(ContextWrapper java:268)_x000D_
       at android database sqlite SQLiteOpenHelper getDatabaseLocked(SQLiteOpenHelper java:223)_x000D_
       at android database sqlite SQLiteOpenHelper getWritableDatabase(SQLiteOpenHelper java:163)_x000D_
       at io flowup f a a(Unknown Source)_x000D_
       at io flowup reporter c f a(Unknown Source)_x000D_
       at io flowup reporter android WiFiSyncService b(Unknown Source)_x000D_
       at io flowup reporter android WiFiSyncService onRunTask(Unknown Source)_x000D_
       at com google android gms gcm GcmTaskService zza run(Unknown Source)_x000D_
       at java util concurrent ThreadPoolExecutor runWorker(ThreadPoolExecutor java:1112)_x000D_
       at java util concurrent ThreadPoolExecutor Worker run(ThreadPoolExecutor java:587)_x000D_
       at java lang Thread run(Thread java:818)_x000D_
_x000D_
  _x000D_
_x000D_
Fatal Exception: android database sqlite SQLiteDatabaseLockedException: database is locked (code 5):   while compiling: PRAGMA journal mode_x000D_
       at android database sqlite SQLiteConnection nativePrepareStatement(SQLiteConnection java)_x000D_
       at android database sqlite SQLiteConnection acquirePreparedStatement(SQLiteConnection java:898)_x000D_
       at android database sqlite SQLiteConnection executeForString(SQLiteConnection java:643)_x000D_
       at android database sqlite SQLiteConnection setJournalMode(SQLiteConnection java:325)_x000D_
       at android database sqlite SQLiteConnection setWalModeFromConfiguration(SQLiteConnection java:299)_x000D_
       at android database sqlite SQLiteConnection open(SQLiteConnection java:220)_x000D_
       at android database sqlite SQLiteConnection open(SQLiteConnection java:198)_x000D_
       at android database sqlite SQLiteConnectionPool openConnectionLocked(SQLiteConnectionPool java:463)_x000D_
       at android database sqlite SQLiteConnectionPool open(SQLiteConnectionPool java:185)_x000D_
       at android database sqlite SQLiteConnectionPool open(SQLiteConnectionPool java:177)_x000D_
       at android database sqlite SQLiteDatabase openInner(SQLiteDatabase java:836)_x000D_
       at android database sqlite SQLiteDatabase open(SQLiteDatabase java:821)_x000D_
       at android database sqlite SQLiteDatabase openDatabase(SQLiteDatabase java:714)_x000D_
       at android app ContextImpl openOrCreateDatabase(ContextImpl java:1261)_x000D_
       at android content ContextWrapper openOrCreateDatabase(ContextWrapper java:268)_x000D_
       at android database sqlite SQLiteOpenHelper getDatabaseLocked(SQLiteOpenHelper java:223)_x000D_
       at android database sqlite SQLiteOpenHelper getWritableDatabase(SQLiteOpenHelper java:163)_x000D_
       at io flowup f a a(Unknown Source)_x000D_
       at io flowup reporter c f a(Unknown Source)_x000D_
       at io flowup reporter android WiFiSyncService b(Unknown Source)_x000D_
       at io flowup reporter android WiFiSyncService onRunTask(Unknown Source)_x000D_
       at com google android gms gcm GcmTaskService zza run(Unknown Source)_x000D_
       at java util concurrent ThreadPoolExecutor runWorker(ThreadPoolExecutor java:1112)_x000D_
       at java util concurrent ThreadPoolExecutor Worker run(ThreadPoolExecutor java:587)_x000D_
       at java lang Thread run(Thread java:818)_x000D_
_x000D_
 0  Crashed: gcm task 1: 0 0 0x0000000000000000_x000D_
       at android database sqlite SQLiteConnection nativePrepareStatement(SQLiteConnection java)_x000D_
       at android database sqlite SQLiteConnection acquirePreparedStatement(SQLiteConnection java:898)_x000D_
       at android database sqlite SQLiteConnection executeForString(SQLiteConnection java:643)_x000D_
       at android database sqlite SQLiteConnection setJournalMode(SQLiteConnection java:325)_x000D_
       at android database sqlite SQLiteConnection setWalModeFromConfiguration(SQLiteConnection java:299)_x000D_
       at android database sqlite SQLiteConnection open(SQLiteConnection java:220)_x000D_
       at android database sqlite SQLiteConnection open(SQLiteConnection java:198)_x000D_
       at android database sqlite SQLiteConnectionPool openConnectionLocked(SQLiteConnectionPool java:463)_x000D_
       at android database sqlite SQLiteConnectionPool open(SQLiteConnectionPool java:185)_x000D_
       at android database sqlite SQLiteConnectionPool open(SQLiteConnectionPool java:177)_x000D_
       at android database sqlite SQLiteDatabase openInner(SQLiteDatabase java:836)_x000D_
       at android database sqlite SQLiteDatabase open(SQLiteDatabase java:821)_x000D_
       at android database sqlite SQLiteDatabase openDatabase(SQLiteDatabase java:714)_x000D_
       at android app ContextImpl openOrCreateDatabase(ContextImpl java:1261)_x000D_
       at android content ContextWrapper openOrCreateDatabase(ContextWrapper java:268)_x000D_
       at android database sqlite SQLiteOpenHelper getDatabaseLocked(SQLiteOpenHelper java:223)_x000D_
       at android database sqlite SQLiteOpenHelper getWritableDatabase(SQLiteOpenHelper java:163)_x000D_
       at io flowup f a a(Unknown Source)_x000D_
       at io flowup reporter c f a(Unknown Source)_x000D_
       at io flowup reporter android WiFiSyncService b(Unknown Source)_x000D_
       at io flowup reporter android WiFiSyncService onRunTask(Unknown Source)_x000D_
       at com google android gms gcm GcmTaskService zza run(Unknown Source)_x000D_
       at java util concurrent ThreadPoolExecutor runWorker(ThreadPoolExecutor java:1112)_x000D_
       at java util concurrent ThreadPoolExecutor Worker run(ThreadPoolExecutor java:587)_x000D_
       at java lang Thread run(Thread java:818)_x000D_
_x000D_
 1  Crashlytics Exception Handler1_x000D_
       at dalvik system VMStack getThreadStackTrace(VMStack java)_x000D_
       at java lang Thread getStackTrace(Thread java:580)_x000D_
       at java lang Thread getAllStackTraces(Thread java:522)_x000D_
       at com crashlytics android core CrashlyticsUncaughtExceptionHandler writeSessionEvent(CrashlyticsUncaughtExceptionHandler java:1078)_x000D_
       at com crashlytics android core CrashlyticsUncaughtExceptionHandler writeFatal(CrashlyticsUncaughtExceptionHandler java:812)_x000D_
       at com crashlytics android core CrashlyticsUncaughtExceptionHandler handleUncaughtException(CrashlyticsUncaughtExceptionHandler java:278)_x000D_
       at com crashlytics android core CrashlyticsUncaughtExceptionHandler access 100(CrashlyticsUncaughtExceptionHandler java:55)_x000D_
       at com crashlytics android core CrashlyticsUncaughtExceptionHandler 5 call(CrashlyticsUncaughtExceptionHandler java:254)_x000D_
       at com crashlytics android core CrashlyticsUncaughtExceptionHandler 5 call(CrashlyticsUncaughtExceptionHandler java:251)_x000D_
       at java util concurrent FutureTask run(FutureTask java:237)_x000D_
       at java util concurrent ThreadPoolExecutor runWorker(ThreadPoolExecutor java:1112)_x000D_
       at java util concurrent ThreadPoolExecutor Worker run(ThreadPoolExecutor java:587)_x000D_
       at io fabric sdk android services common ExecutorUtils 1 1 onRun(ExecutorUtils java:75)_x000D_
       at io fabric sdk android services common BackgroundPriorityRunnable run(BackgroundPriorityRunnable java:30)_x000D_
       at java lang Thread run(Thread java:818)_x000D_
_x000D_
 2  pool 3 thread 2_x000D_
       at java lang Object wait(Object java)_x000D_
       at java lang Thread parkFor(Thread java:1220)_x000D_
       at sun misc Unsafe park(Unsafe java:299)_x000D_
       at java util concurrent locks LockSupport park(LockSupport java:157)_x000D_
       at java util concurrent locks AbstractQueuedSynchronizer ConditionObject await(AbstractQueuedSynchronizer java:2016)_x000D_
       at java util concurrent LinkedBlockingQueue take(LinkedBlockingQueue java:410)_x000D_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3  metrics FlowUp Reporter 1 thread 1_x000D_
       at java lang Object wait(Object java)_x000D_
       at java lang Thread parkFor(Thread java:1220)_x000D_
       at sun misc Unsafe park(Unsafe java:299)_x000D_
       at java util concurrent locks LockSupport parkNanos(LockSupport java:197)_x000D_
       at java util concurrent locks AbstractQueuedSynchronizer ConditionObject awaitNanos(AbstractQueuedSynchronizer java:2055)_x000D_
       at java util concurrent ScheduledThreadPoolExecutor DelayedWorkQueue take(ScheduledThreadPoolExecutor java:1060)_x000D_
       at java util concurrent ScheduledThreadPoolExecutor DelayedWorkQueue take(ScheduledThreadPoolExecutor java:776)_x000D_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4  Queue_x000D_
       at java lang Object wait(Object java)_x000D_
       at java lang Thread parkFor(Thread java:1220)_x000D_
       at sun misc Unsafe park(Unsafe java:299)_x000D_
       at java util concurrent locks LockSupport park(LockSupport java:157)_x000D_
       at java util concurrent locks AbstractQueuedSynchronizer ConditionObject await(AbstractQueuedSynchronizer java:2016)_x000D_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5  Queue_x000D_
       at java lang Object wait(Object java)_x000D_
       at java lang Thread parkFor(Thread java:1220)_x000D_
       at sun misc Unsafe park(Unsafe java:299)_x000D_
       at java util concurrent locks LockSupport park(LockSupport java:157)_x000D_
       at java util concurrent locks AbstractQueuedSynchronizer ConditionObject await(AbstractQueuedSynchronizer java:2016)_x000D_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6  Okio Watchdog_x000D_
       at java lang Object wait(Object java)_x000D_
       at okio AsyncTimeout awaitTimeout(AsyncTimeout java:350)_x000D_
       at okio AsyncTimeout Watchdog run(AsyncTimeout java:313)_x000D_
_x000D_
 7  FinalizerWatchdogDaemon_x000D_
       at java lang Object wait(Object java)_x000D_
       at java lang Daemons FinalizerWatchdogDaemon waitForObject(Daemons java:240)_x000D_
       at java lang Daemons FinalizerWatchdogDaemon run(Daemons java:212)_x000D_
       at java lang Thread run(Thread java:818)_x000D_
_x000D_
 8  Queue_x000D_
       at java lang Object wait(Object java)_x000D_
       at java lang Thread parkFor(Thread java:1220)_x000D_
       at sun misc Unsafe park(Unsafe java:299)_x000D_
       at java util concurrent locks LockSupport park(LockSupport java:157)_x000D_
       at java util concurrent locks AbstractQueuedSynchronizer ConditionObject await(AbstractQueuedSynchronizer java:2016)_x000D_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9  gcm task 2_x000D_
       at java lang Object wait(Object java)_x000D_
       at java lang Thread parkFor(Thread java:1220)_x000D_
       at sun misc Unsafe park(Unsafe java:299)_x000D_
       at java util concurrent locks LockSupport park(LockSupport java:157)_x000D_
       at java util concurrent locks AbstractQueuedSynchronizer ConditionObject await(AbstractQueuedSynchronizer java:2016)_x000D_
       at java util concurrent LinkedBlockingQueue take(LinkedBlockingQueue java:410)_x000D_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10  Queue_x000D_
       at java lang Object wait(Object java)_x000D_
       at java lang Thread parkFor(Thread java:1220)_x000D_
       at sun misc Unsafe park(Unsafe java:299)_x000D_
       at java util concurrent locks LockSupport park(LockSupport java:157)_x000D_
       at java util concurrent locks AbstractQueuedSynchronizer ConditionObject await(AbstractQueuedSynchronizer java:2016)_x000D_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11  main_x000D_
       at android os MessageQueue nativePollOnce(MessageQueue java)_x000D_
       at android os MessageQueue next(MessageQueue java:148)_x000D_
       at android os Looper loop(Looper java:151)_x000D_
       at android app ActivityThread main(ActivityThread java:5631)_x000D_
       at java lang reflect Method invoke(Method java)_x000D_
       at java lang reflect Method invoke(Method java:372)_x000D_
       at com android internal os ZygoteInit MethodAndArgsCaller run(ZygoteInit java:959)_x000D_
       at com android internal os ZygoteInit main(ZygoteInit java:754)_x000D_
_x000D_
 12  gcm task 1_x000D_
       at java lang Object wait(Object java)_x000D_
       at java lang Thread parkFor(Thread java:1220)_x000D_
       at sun misc Unsafe park(Unsafe java:299)_x000D_
       at java util concurrent locks LockSupport park(LockSupport java:157)_x000D_
       at java util concurrent FutureTask awaitDone(FutureTask java:400)_x000D_
       at java util concurrent FutureTask get(FutureTask java:162)_x000D_
       at com crashlytics android core CrashlyticsExecutorServiceWrapper executeSyncLoggingException(CrashlyticsExecutorServiceWrapper java:47)_x000D_
       at com crashlytics android core CrashlyticsUncaughtExceptionHandler uncaughtException(CrashlyticsUncaughtExceptionHandler java:251)_x000D_
       at com newrelic agent android crashes CrashReporter UncaughtExceptionHandler chainExceptionHandler(CrashReporter java:232)_x000D_
       at com newrelic agent android crashes CrashReporter UncaughtExceptionHandler uncaughtException(CrashReporter java:222)_x000D_
       at java lang ThreadGroup uncaughtException(ThreadGroup java:693)_x000D_
       at java lang ThreadGroup uncaughtException(ThreadGroup java:690)_x000D_
_x000D_
 13  java lang ProcessManager_x000D_
       at java lang Object wait(Object java)_x000D_
       at java lang ProcessManager waitForMoreChildren(ProcessManager java:140)_x000D_
       at java lang ProcessManager watchChildren(ProcessManager java:105)_x000D_
       at java lang ProcessManager access 000(ProcessManager java:40)_x000D_
       at java lang ProcessManager 1 run(ProcessManager java:58)_x000D_
_x000D_
 14  ReferenceQueueDaemon_x000D_
       at java lang Object wait(Object java)_x000D_
       at java lang Daemons ReferenceQueueDaemon run(Daemons java:134)_x000D_
       at java lang Thread run(Thread java:818)_x000D_
_x000D_
 15  OkHttp ConnectionPool_x000D_
       at java lang Object wait(Object java)_x000D_
       at java lang Thread parkFor(Thread java:1220)_x000D_
       at sun misc Unsafe park(Unsafe java:299)_x000D_
       at java util concurrent locks LockSupport parkNanos(LockSupport java:197)_x000D_
       at java util concurrent locks AbstractQueuedSynchronizer ConditionObject awaitNanos(AbstractQueuedSynchronizer java:2055)_x000D_
       at java util concurrent LinkedBlockingQueue poll(LinkedBlockingQueue java:435)_x000D_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16  NR TaskQueue 1_x000D_
       at java lang Object wait(Object java)_x000D_
       at java lang Thread parkFor(Thread java:1220)_x000D_
       at sun misc Unsafe park(Unsafe java:299)_x000D_
       at java util concurrent locks LockSupport parkNanos(LockSupport java:197)_x000D_
       at java util concurrent locks AbstractQueuedSynchronizer ConditionObject awaitNanos(AbstractQueuedSynchronizer java:2055)_x000D_
       at java util concurrent ScheduledThreadPoolExecutor DelayedWorkQueue take(ScheduledThreadPoolExecutor java:1060)_x000D_
       at java util concurrent ScheduledThreadPoolExecutor DelayedWorkQueue take(ScheduledThreadPoolExecutor java:776)_x000D_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17  HeapTrimmerDaemon_x000D_
       at dalvik system VMRuntime trimHeap(VMRuntime java)_x000D_
       at java lang Daemons HeapTrimmerDaemon run(Daemons java:313)_x000D_
       at java lang Thread run(Thread java:818)_x000D_
_x000D_
 18  pool 3 thread 1_x000D_
       at java lang Object wait(Object java)_x000D_
       at java lang Thread parkFor(Thread java:1220)_x000D_
       at sun misc Unsafe park(Unsafe java:299)_x000D_
       at java util concurrent locks LockSupport park(LockSupport java:157)_x000D_
       at java util concurrent locks AbstractQueuedSynchronizer ConditionObject await(AbstractQueuedSynchronizer java:2016)_x000D_
       at java util concurrent LinkedBlockingQueue take(LinkedBlockingQueue java:410)_x000D_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19  Answers Events Handler1_x000D_
       at java lang Object wait(Object java)_x000D_
       at java lang Thread parkFor(Thread java:1220)_x000D_
       at sun misc Unsafe park(Unsafe java:299)_x000D_
       at java util concurrent locks LockSupport parkNanos(LockSupport java:197)_x000D_
       at java util concurrent locks AbstractQueuedSynchronizer ConditionObject awaitNanos(AbstractQueuedSynchronizer java:2055)_x000D_
       at java util concurrent ScheduledThreadPoolExecutor DelayedWorkQueue take(ScheduledThreadPoolExecutor java:1060)_x000D_
       at java util concurrent ScheduledThreadPoolExecutor DelayedWorkQueue take(ScheduledThreadPoolExecutor java:776)_x000D_
       at java util concurrent ThreadPoolExecutor getTask(ThreadPoolExecutor java:1035)_x000D_
       at java util concurrent ThreadPoolExecutor runWorker(ThreadPoolExecutor java:1097)_x000D_
       at java util concurrent ThreadPoolExecutor Worker run(ThreadPoolExecutor java:587)_x000D_
       at io fabric sdk android services common ExecutorUtils 1 1 onRun(ExecutorUtils java:75)_x000D_
       at io fabric sdk android services common BackgroundPriorityRunnable run(BackgroundPriorityRunnable java:30)_x000D_
       at java lang Thread run(Thread java:818)_x000D_
_x000D_
 20  pool 3 thread 3_x000D_
       at java lang Object wait(Object java)_x000D_
       at java lang Thread parkFor(Thread java:1220)_x000D_
       at sun misc Unsafe park(Unsafe java:299)_x000D_
       at java util concurrent locks LockSupport park(LockSupport java:157)_x000D_
       at java util concurrent locks AbstractQueuedSynchronizer ConditionObject await(AbstractQueuedSynchronizer java:2016)_x000D_
       at java util concurrent LinkedBlockingQueue take(LinkedBlockingQueue java:410)_x000D_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21  NR AppStateMon 1_x000D_
       at java lang Object wait(Object java)_x000D_
       at java lang Thread parkFor(Thread java:1220)_x000D_
       at sun misc Unsafe park(Unsafe java:299)_x000D_
       at java util concurrent locks LockSupport parkNanos(LockSupport java:197)_x000D_
       at java util concurrent locks AbstractQueuedSynchronizer ConditionObject awaitNanos(AbstractQueuedSynchronizer java:2055)_x000D_
       at java util concurrent ScheduledThreadPoolExecutor DelayedWorkQueue take(ScheduledThreadPoolExecutor java:1060)_x000D_
       at java util concurrent ScheduledThreadPoolExecutor DelayedWorkQueue take(ScheduledThreadPoolExecutor java:776)_x000D_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22  OkHttp ConnectionPool_x000D_
       at java lang Object wait(Object java)_x000D_
       at okhttp3 ConnectionPool 1 run(ConnectionPool java:66)_x000D_
       at java util concurrent ThreadPoolExecutor runWorker(ThreadPoolExecutor java:1112)_x000D_
       at java util concurrent ThreadPoolExecutor Worker run(ThreadPoolExecutor java:587)_x000D_
       at java lang Thread run(Thread java:818)_x000D_
_x000D_
 23  NR Harvester 1_x000D_
       at java lang Object wait(Object java)_x000D_
       at java lang Thread parkFor(Thread java:1220)_x000D_
       at sun misc Unsafe park(Unsafe java:299)_x000D_
       at java util concurrent locks LockSupport parkNanos(LockSupport java:197)_x000D_
       at java util concurrent locks AbstractQueuedSynchronizer ConditionObject awaitNanos(AbstractQueuedSynchronizer java:2055)_x000D_
       at java util concurrent ScheduledThreadPoolExecutor DelayedWorkQueue take(ScheduledThreadPoolExecutor java:1060)_x000D_
       at java util concurrent ScheduledThreadPoolExecutor DelayedWorkQueue take(ScheduledThreadPoolExecutor java:776)_x000D_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24  GCDaemon_x000D_
       at java lang Object wait(Object java)_x000D_
       at java lang Daemons GCDaemon run(Daemons java:344)_x000D_
       at java lang Thread run(Thread java:818)_x000D_
_x000D_
 25  Queue_x000D_
       at java lang Object wait(Object java)_x000D_
       at java lang Thread parkFor(Thread java:1220)_x000D_
       at sun misc Unsafe park(Unsafe java:299)_x000D_
       at java util concurrent locks LockSupport park(LockSupport java:157)_x000D_
       at java util concurrent locks AbstractQueuedSynchronizer ConditionObject await(AbstractQueuedSynchronizer java:2016)_x000D_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java:818)_x000D_
_x000D_
 26  FinalizerDaemon_x000D_
       at java lang Object wait(Object java)_x000D_
       at java lang Object wait(Object java:422)_x000D_
       at java lang ref ReferenceQueue remove(ReferenceQueue java:101)_x000D_
       at java lang ref ReferenceQueue remove(ReferenceQueue java:72)_x000D_
       at java lang Daemons FinalizerDaemon run(Daemons java:174)_x000D_
       at java lang Thread run(Thread java:818)_x000D_
_x000D_
   </t>
  </si>
  <si>
    <t>ParanoidAndroid3-Journey-30</t>
  </si>
  <si>
    <t xml:space="preserve">FIx map FAB and crashing when changing days </t>
  </si>
  <si>
    <t xml:space="preserve">The map zoom FAB is incorrectly staying in zoom out state when user navigates to a different leg from the view pager and the map is zoomed in _x000D_
Also in certain cases the app may crash when swiping to another day due to incorrect registration of map markers _x000D_
</t>
  </si>
  <si>
    <t>ParanoidAndroid3-Journey-28</t>
  </si>
  <si>
    <t>Vector Drawables compatibility issue</t>
  </si>
  <si>
    <t xml:space="preserve">On API   21 devices  the app is crashing in the Planner and Recommendations activities due to vector drawables not being supported _x000D_
Make app support vector drawables throughout all activities </t>
  </si>
  <si>
    <t>teamOSC-DigitalOceanApp-34</t>
  </si>
  <si>
    <t xml:space="preserve">App crashes on every launch (except the first launch)_x000D_
   FATAL EXCEPTION: main_x000D_
                                                                         Process: in tosc digitaloceanapp  PID: 18707_x000D_
                                                                         java lang RuntimeException: Unable to start activity ComponentInfo in tosc digitaloceanapp in tosc digitaloceanapp DropletActivity : java lang NullPointerException: Attempt to invoke virtual method  java lang Object retrofit2 Retrofit create(java lang Class)  on a null object reference_x000D_
                                                                             at android app ActivityThread performLaunchActivity(ActivityThread java:2456)_x000D_
                                                                             at android app ActivityThread handleLaunchActivity(ActivityThread java:2539)_x000D_
                                                                             at android app ActivityThread access 900(ActivityThread java:159)_x000D_
                                                                             at android app ActivityThread H handleMessage(ActivityThread java:1384)_x000D_
                                                                             at android os Handler dispatchMessage(Handler java:102)_x000D_
                                                                             at android os Looper loop(Looper java:152)_x000D_
                                                                             at android app ActivityThread main(ActivityThread java:5507)_x000D_
                                                                             at java lang reflect Method invoke(Native Method)_x000D_
                                                                             at com android internal os ZygoteInit MethodAndArgsCaller run(ZygoteInit java:726)_x000D_
                                                                             at com android internal os ZygoteInit main(ZygoteInit java:616)_x000D_
                                                                             at de robv android xposed XposedBridge main(XposedBridge java:102)_x000D_
                                                                          Caused by: java lang NullPointerException: Attempt to invoke virtual method  java lang Object retrofit2 Retrofit create(java lang Class)  on a null object reference_x000D_
                                                                             at in tosc doandroidlib DigitalOcean getDOClient(DigitalOcean java:109)_x000D_
                                                                             at in tosc digitaloceanapp DropletActivity onCreate(DropletActivity java:65)_x000D_
                                                                             at android app Activity performCreate(Activity java:6304)_x000D_
                                                                             at android app Instrumentation callActivityOnCreate(Instrumentation java:1118)_x000D_
                                                                             at android app ActivityThread performLaunchActivity(ActivityThread java:2409)_x000D_
                                                                             at android app ActivityThread handleLaunchActivity(ActivityThread java:2539) _x000D_
                                                                             at android app ActivityThread access 900(ActivityThread java:159) _x000D_
                                                                             at android app ActivityThread H handleMessage(ActivityThread java:1384) _x000D_
                                                                             at android os Handler dispatchMessage(Handler java:102) _x000D_
                                                                             at android os Looper loop(Looper java:152) _x000D_
                                                                             at android app ActivityThread main(ActivityThread java:5507) _x000D_
                                                                             at java lang reflect Method invoke(Native Method) _x000D_
                                                                             at com android internal os ZygoteInit MethodAndArgsCaller run(ZygoteInit java:726) _x000D_
                                                                             at com android internal os ZygoteInit main(ZygoteInit java:616) _x000D_
                                                                             at de robv android xposed XposedBridge main(XposedBridge java:102)    </t>
  </si>
  <si>
    <t>inaturalist-iNaturalistAndroid-266</t>
  </si>
  <si>
    <t>back arrow closes the app (sometimes)</t>
  </si>
  <si>
    <t xml:space="preserve">Worst kind of bug report  I know: sometimes I ll open the app and it will be on an obs detail view because that was the last thing I was looking at  Then I tap the back arrow in the upper left and instead of returning to my obs list or Explore and the app just closes and I m looking at my home screen  I don t think the app is crashing since I m not seeing any request to file a bug report or any alert that iNat crashed  but maybe  When I open the app again it shows my obs list  as if it was really starting again and not just coming out of the background _x000D_
_x000D_
This only seems to happen if I haven t used the app in a while  e g  when I use it for the first time in the morning  so maybe it has something to do with data not being available when brought out of the background _x000D_
_x000D_
 Revised _x000D_
_x000D_
If there s no history  tapping the back arrow should always return to the obs list </t>
  </si>
  <si>
    <t>unfoldingWord-dev-uw-android-181</t>
  </si>
  <si>
    <t>Assamese ULB Causing Crash</t>
  </si>
  <si>
    <t xml:space="preserve">We are aware of an issue that causes the unfoldingWord Android app to crash when opening the Assamese ULB NT _x000D_
</t>
  </si>
  <si>
    <t>frc2052-FRC-Krawler-15</t>
  </si>
  <si>
    <t>Unique crashes export</t>
  </si>
  <si>
    <t xml:space="preserve">Unique operator crashes export on_x000D_
_x000D_
 MatchData matchData   dbManager getMatchDataTable() query(robot getId()  metric getId()  matchNumber  null  eventId  null) unique()   in CompilerManager_x000D_
_x000D_
The type of data isn t provided  so it  crashes  This is because the user added practice match data that was had the same parameters as regular match data  Query for the type of match data  either practice match data  or regular match data </t>
  </si>
  <si>
    <t>praekeltfoundation-gem-bbb-indo-155</t>
  </si>
  <si>
    <t>Tip Favourite Internal Server Error</t>
  </si>
  <si>
    <t xml:space="preserve">Favourite and unfavourite endpoiitns crashing when Tips are deleted </t>
  </si>
  <si>
    <t>nextcloud-android-413</t>
  </si>
  <si>
    <t>Crash on openning app on Android 7.1 (android.app.RemoteServiceException: can't deliver broadcast)</t>
  </si>
  <si>
    <t xml:space="preserve">    Actual behaviour_x000D_
 App crashes after logging in_x000D_
_x000D_
    Expected behaviour_x000D_
 It should open the root of the cloud_x000D_
 _x000D_
    Steps to reproduce_x000D_
1  Be on my ROM (Android 7 1  RR)_x000D_
2  Enter credentials and server name_x000D_
3  Crash_x000D_
_x000D_
_x000D_
    Environment data_x000D_
Android version: 7 1_x000D_
_x000D_
Device model: kenzo_x000D_
_x000D_
Stock or customized system: custom rom (Resurrection Remix)_x000D_
_x000D_
_x000D_
     Nextcloud log (data nextcloud log)_x000D_
   _x000D_
             CAUSE OF ERROR             _x000D_
_x000D_
android app RemoteServiceException: can t deliver broadcast_x000D_
	at android app ActivityThread H handleMessage(ActivityThread java:1634)_x000D_
	at android os Handler dispatchMessage(Handler java:102)_x000D_
	at android os Looper loop(Looper java:154)_x000D_
	at android app ActivityThread main(ActivityThread java:6095)_x000D_
	at java lang reflect Method invoke(Native Method)_x000D_
	at com android internal os ZygoteInit MethodAndArgsCaller run(ZygoteInit java:886)_x000D_
	at com android internal os ZygoteInit main(ZygoteInit java:776)_x000D_
_x000D_
             DEVICE INFORMATION            _x000D_
Brand: Xiaomi_x000D_
Device: kenzo_x000D_
Model: Redmi Note 3_x000D_
Id: NDE63X_x000D_
Product: cm kenzo_x000D_
_x000D_
             FIRMWARE             _x000D_
SDK: 25_x000D_
Release: 7 1_x000D_
Incremental: 98c0f57ee4_x000D_
_x000D_
   _x000D_
_x000D_
What is weird is that I can tell that app is somewhat working   I uploaded this log just fine  But I cant open it   it results in instant crash and this log being displayed  </t>
  </si>
  <si>
    <t>flowupio-FlowUpAndroidSDK-155</t>
  </si>
  <si>
    <t xml:space="preserve">This is the crash trace:_x000D_
_x000D_
   _x000D_
  Crashlytics   plaintext stacktrace downloaded by Nero Angelo at Thu  01 Dec 2016 15:11:29 GMT_x000D_
  URL: https:  fabric io nero angelos projects android apps com nero elrubiusomg issues 582fa9830aeb16625b06f16d sessions 583f1fdf02a400011169a417668579a0_x000D_
  Organization: Nero Angelo s Projects_x000D_
  Platform: android_x000D_
  Application: El Rubius Videos_x000D_
  Version: 2 2 3 (223)_x000D_
  Bundle Identifier: com nero elrubiusomg_x000D_
  Issue  : 34_x000D_
  Issue ID: 582fa9830aeb16625b06f16d_x000D_
  Session ID: 583f1fdf02a400011169a417668579a0_x000D_
  Date: 2016 11 30T22:52:58Z_x000D_
  OS Version: 4 4 2_x000D_
  Device: SM T530_x000D_
  RAM Free: 14 9 _x000D_
  Disk Free: 4 5 _x000D_
_x000D_
 0  Crashed: gcm task 1: 0 0 0x0000000000000000_x000D_
       at android database sqlite SQLiteConnection nativePrepareStatement(SQLiteConnection java)_x000D_
       at android database sqlite SQLiteConnection acquirePreparedStatement(SQLiteConnection java:1113)_x000D_
       at android database sqlite SQLiteConnection executeForString(SQLiteConnection java:824)_x000D_
       at android database sqlite SQLiteConnection setJournalMode(SQLiteConnection java:510)_x000D_
       at android database sqlite SQLiteConnection setWalModeFromConfiguration(SQLiteConnection java:484)_x000D_
       at android database sqlite SQLiteConnection open(SQLiteConnection java:383)_x000D_
       at android database sqlite SQLiteConnection open(SQLiteConnection java:232)_x000D_
       at android database sqlite SQLiteConnectionPool openConnectionLocked(SQLiteConnectionPool java:512)_x000D_
       at android database sqlite SQLiteConnectionPool open(SQLiteConnectionPool java:206)_x000D_
       at android database sqlite SQLiteConnectionPool open(SQLiteConnectionPool java:178)_x000D_
       at android database sqlite SQLiteDatabase openInner(SQLiteDatabase java:902)_x000D_
       at android database sqlite SQLiteDatabase open(SQLiteDatabase java:872)_x000D_
       at android database sqlite SQLiteDatabase openDatabase(SQLiteDatabase java:709)_x000D_
       at android app ContextImpl openOrCreateDatabase(ContextImpl java:1330)_x000D_
       at android content ContextWrapper openOrCreateDatabase(ContextWrapper java:268)_x000D_
       at android database sqlite SQLiteOpenHelper getDatabaseLocked(SQLiteOpenHelper java:224)_x000D_
       at android database sqlite SQLiteOpenHelper getWritableDatabase(SQLiteOpenHelper java:164)_x000D_
       at io flowup f a a(Unknown Source)_x000D_
       at io flowup reporter c f a(Unknown Source)_x000D_
       at io flowup reporter android WiFiSyncService b(Unknown Source)_x000D_
       at io flowup reporter android WiFiSyncService onRunTask(Unknown Source)_x000D_
       at com google android gms gcm GcmTaskService zza run(Unknown Source)_x000D_
       at java util concurrent ThreadPoolExecutor runWorker(ThreadPoolExecutor java:1112)_x000D_
       at java util concurrent ThreadPoolExecutor Worker run(ThreadPoolExecutor java:587)_x000D_
       at java lang Thread run(Thread java:841)_x000D_
_x000D_
  _x000D_
_x000D_
Fatal Exception: android database sqlite SQLiteDatabaseLockedException: database is locked (code 5):   while compiling: PRAGMA journal mode_x000D_
       at android database sqlite SQLiteConnection nativePrepareStatement(SQLiteConnection java)_x000D_
       at android database sqlite SQLiteConnection acquirePreparedStatement(SQLiteConnection java:1113)_x000D_
       at android database sqlite SQLiteConnection executeForString(SQLiteConnection java:824)_x000D_
       at android database sqlite SQLiteConnection setJournalMode(SQLiteConnection java:510)_x000D_
       at android database sqlite SQLiteConnection setWalModeFromConfiguration(SQLiteConnection java:484)_x000D_
       at android database sqlite SQLiteConnection open(SQLiteConnection java:383)_x000D_
       at android database sqlite SQLiteConnection open(SQLiteConnection java:232)_x000D_
       at android database sqlite SQLiteConnectionPool openConnectionLocked(SQLiteConnectionPool java:512)_x000D_
       at android database sqlite SQLiteConnectionPool open(SQLiteConnectionPool java:206)_x000D_
       at android database sqlite SQLiteConnectionPool open(SQLiteConnectionPool java:178)_x000D_
       at android database sqlite SQLiteDatabase openInner(SQLiteDatabase java:902)_x000D_
       at android database sqlite SQLiteDatabase open(SQLiteDatabase java:872)_x000D_
       at android database sqlite SQLiteDatabase openDatabase(SQLiteDatabase java:709)_x000D_
       at android app ContextImpl openOrCreateDatabase(ContextImpl java:1330)_x000D_
       at android content ContextWrapper openOrCreateDatabase(ContextWrapper java:268)_x000D_
       at android database sqlite SQLiteOpenHelper getDatabaseLocked(SQLiteOpenHelper java:224)_x000D_
       at android database sqlite SQLiteOpenHelper getWritableDatabase(SQLiteOpenHelper java:164)_x000D_
       at io flowup f a a(Unknown Source)_x000D_
       at io flowup reporter c f a(Unknown Source)_x000D_
       at io flowup reporter android WiFiSyncService b(Unknown Source)_x000D_
       at io flowup reporter android WiFiSyncService onRunTask(Unknown Source)_x000D_
       at com google android gms gcm GcmTaskService zza run(Unknown Source)_x000D_
       at java util concurrent ThreadPoolExecutor runWorker(ThreadPoolExecutor java:1112)_x000D_
       at java util concurrent ThreadPoolExecutor Worker run(ThreadPoolExecutor java:587)_x000D_
       at java lang Thread run(Thread java:841)_x000D_
_x000D_
 0  Crashed: gcm task 1: 0 0 0x0000000000000000_x000D_
       at android database sqlite SQLiteConnection nativePrepareStatement(SQLiteConnection java)_x000D_
       at android database sqlite SQLiteConnection acquirePreparedStatement(SQLiteConnection java:1113)_x000D_
       at android database sqlite SQLiteConnection executeForString(SQLiteConnection java:824)_x000D_
       at android database sqlite SQLiteConnection setJournalMode(SQLiteConnection java:510)_x000D_
       at android database sqlite SQLiteConnection setWalModeFromConfiguration(SQLiteConnection java:484)_x000D_
       at android database sqlite SQLiteConnection open(SQLiteConnection java:383)_x000D_
       at android database sqlite SQLiteConnection open(SQLiteConnection java:232)_x000D_
       at android database sqlite SQLiteConnectionPool openConnectionLocked(SQLiteConnectionPool java:512)_x000D_
       at android database sqlite SQLiteConnectionPool open(SQLiteConnectionPool java:206)_x000D_
       at android database sqlite SQLiteConnectionPool open(SQLiteConnectionPool java:178)_x000D_
       at android database sqlite SQLiteDatabase openInner(SQLiteDatabase java:902)_x000D_
       at android database sqlite SQLiteDatabase open(SQLiteDatabase java:872)_x000D_
       at android database sqlite SQLiteDatabase openDatabase(SQLiteDatabase java:709)_x000D_
       at android app ContextImpl openOrCreateDatabase(ContextImpl java:1330)_x000D_
       at android content ContextWrapper openOrCreateDatabase(ContextWrapper java:268)_x000D_
       at android database sqlite SQLiteOpenHelper getDatabaseLocked(SQLiteOpenHelper java:224)_x000D_
       at android database sqlite SQLiteOpenHelper getWritableDatabase(SQLiteOpenHelper java:164)_x000D_
       at io flowup f a a(Unknown Source)_x000D_
       at io flowup reporter c f a(Unknown Source)_x000D_
       at io flowup reporter android WiFiSyncService b(Unknown Source)_x000D_
       at io flowup reporter android WiFiSyncService onRunTask(Unknown Source)_x000D_
       at com google android gms gcm GcmTaskService zza run(Unknown Source)_x000D_
       at java util concurrent ThreadPoolExecutor runWorker(ThreadPoolExecutor java:1112)_x000D_
       at java util concurrent ThreadPoolExecutor Worker run(ThreadPoolExecutor java:587)_x000D_
       at java lang Thread run(Thread java:841)_x000D_
_x000D_
 1  Queue_x000D_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2  OkHttp ConnectionPool_x000D_
       at java lang Object wait(Object java)_x000D_
       at okhttp3 ConnectionPool 1 run(ConnectionPool java:66)_x000D_
       at java util concurrent ThreadPoolExecutor runWorker(ThreadPoolExecutor java:1112)_x000D_
       at java util concurrent ThreadPoolExecutor Worker run(ThreadPoolExecutor java:587)_x000D_
       at java lang Thread run(Thread java:841)_x000D_
_x000D_
 3  GC_x000D_
       at dalvik system NativeStart run(NativeStart java)_x000D_
_x000D_
 4  Binder 3_x000D_
       at dalvik system NativeStart run(NativeStart java)_x000D_
_x000D_
 5  Binder 1_x000D_
       at dalvik system NativeStart run(NativeStart java)_x000D_
_x000D_
 6  Okio Watchdog_x000D_
       at java lang Object wait(Object java)_x000D_
       at okio AsyncTimeout awaitTimeout(AsyncTimeout java:350)_x000D_
       at okio AsyncTimeout Watchdog run(AsyncTimeout java:313)_x000D_
_x000D_
 7  FinalizerDaemon_x000D_
       at java lang Object wait(Object java)_x000D_
       at java lang Object wait(Object java:401)_x000D_
       at java lang ref ReferenceQueue remove(ReferenceQueue java:102)_x000D_
       at java lang ref ReferenceQueue remove(ReferenceQueue java:73)_x000D_
       at java lang Daemons FinalizerDaemon run(Daemons java:170)_x000D_
       at java lang Thread run(Thread java:841)_x000D_
_x000D_
 8  pool 4 thread 2_x000D_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LinkedBlockingQueue take(LinkedBlockingQueue java:410)_x000D_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9  Queue_x000D_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10  OkHttp ConnectionPool_x000D_
       at java lang Object wait(Object java)_x000D_
       at java lang Thread parkFor(Thread java:1205)_x000D_
       at sun misc Unsafe park(Unsafe java:325)_x000D_
       at java util concurrent locks LockSupport parkNanos(LockSupport java:197)_x000D_
       at java util concurrent locks AbstractQueuedSynchronizer ConditionObject awaitNanos(AbstractQueuedSynchronizer java:2056)_x000D_
       at java util concurrent LinkedBlockingQueue poll(LinkedBlockingQueue java:435)_x000D_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11  gcm task 2_x000D_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LinkedBlockingQueue take(LinkedBlockingQueue java:410)_x000D_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12  Binder 2_x000D_
       at dalvik system NativeStart run(NativeStart java)_x000D_
_x000D_
 13  NR TaskQueue 1_x000D_
       at java lang Object wait(Object java)_x000D_
       at java lang Thread parkFor(Thread java:1205)_x000D_
       at sun misc Unsafe park(Unsafe java:325)_x000D_
       at java util concurrent locks LockSupport parkNanos(LockSupport java:197)_x000D_
       at java util concurrent locks AbstractQueuedSynchronizer ConditionObject awaitNanos(AbstractQueuedSynchronizer java:2056)_x000D_
       at java util concurrent ScheduledThreadPoolExecutor DelayedWorkQueue take(ScheduledThreadPoolExecutor java:1062)_x000D_
       at java util concurrent ScheduledThreadPoolExecutor DelayedWorkQueue take(ScheduledThreadPoolExecutor java:778)_x000D_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14  pool 5 thread 1_x000D_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LinkedBlockingQueue take(LinkedBlockingQueue java:410)_x000D_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15  pool 4 thread 1_x000D_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LinkedBlockingQueue take(LinkedBlockingQueue java:410)_x000D_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16  Answers Events Handler1_x000D_
       at java lang Object wait(Object java)_x000D_
       at java lang Thread parkFor(Thread java:1205)_x000D_
       at sun misc Unsafe park(Unsafe java:325)_x000D_
       at java util concurrent locks LockSupport parkNanos(LockSupport java:197)_x000D_
       at java util concurrent locks AbstractQueuedSynchronizer ConditionObject awaitNanos(AbstractQueuedSynchronizer java:2056)_x000D_
       at java util concurrent ScheduledThreadPoolExecutor DelayedWorkQueue take(ScheduledThreadPoolExecutor java:1062)_x000D_
       at java util concurrent ScheduledThreadPoolExecutor DelayedWorkQueue take(ScheduledThreadPoolExecutor java:778)_x000D_
       at java util concurrent ThreadPoolExecutor getTask(ThreadPoolExecutor java:1035)_x000D_
       at java util concurrent ThreadPoolExecutor runWorker(ThreadPoolExecutor java:1097)_x000D_
       at java util concurrent ThreadPoolExecutor Worker run(ThreadPoolExecutor java:587)_x000D_
       at io fabric sdk android services common ExecutorUtils 1 1 onRun(ExecutorUtils java:75)_x000D_
       at io fabric sdk android services common BackgroundPriorityRunnable run(BackgroundPriorityRunnable java:30)_x000D_
       at java lang Thread run(Thread java:841)_x000D_
_x000D_
 17  Binder A_x000D_
       at dalvik system NativeStart run(NativeStart java)_x000D_
_x000D_
 18  Binder 5_x000D_
       at dalvik system NativeStart run(NativeStart java)_x000D_
_x000D_
 19  Binder 7_x000D_
       at dalvik system NativeStart run(NativeStart java)_x000D_
_x000D_
 20  gcm task 1_x000D_
       at java lang Object wait(Object java)_x000D_
       at java lang Thread parkFor(Thread java:1205)_x000D_
       at sun misc Unsafe park(Unsafe java:325)_x000D_
       at java util concurrent locks LockSupport park(LockSupport java:157)_x000D_
       at java util concurrent FutureTask awaitDone(FutureTask java:400)_x000D_
       at java util concurrent FutureTask get(FutureTask java:162)_x000D_
       at com crashlytics android core CrashlyticsExecutorServiceWrapper executeSyncLoggingException(CrashlyticsExecutorServiceWrapper java:47)_x000D_
       at com crashlytics android core CrashlyticsUncaughtExceptionHandler uncaughtException(CrashlyticsUncaughtExceptionHandler java:251)_x000D_
       at com newrelic agent android crashes CrashReporter UncaughtExceptionHandler chainExceptionHandler(CrashReporter java:232)_x000D_
       at com newrelic agent android crashes CrashReporter UncaughtExceptionHandler uncaughtException(CrashReporter java:222)_x000D_
       at java lang ThreadGroup uncaughtException(ThreadGroup java:693)_x000D_
       at java lang ThreadGroup uncaughtException(ThreadGroup java:690)_x000D_
_x000D_
 21  Compiler_x000D_
       at dalvik system NativeStart run(NativeStart java)_x000D_
_x000D_
 22  metrics FlowUp Reporter 1 thread 1_x000D_
       at java lang Object wait(Object java)_x000D_
       at java lang Thread parkFor(Thread java:1205)_x000D_
       at sun misc Unsafe park(Unsafe java:325)_x000D_
       at java util concurrent locks LockSupport parkNanos(LockSupport java:197)_x000D_
       at java util concurrent locks AbstractQueuedSynchronizer ConditionObject awaitNanos(AbstractQueuedSynchronizer java:2056)_x000D_
       at java util concurrent ScheduledThreadPoolExecutor DelayedWorkQueue take(ScheduledThreadPoolExecutor java:1062)_x000D_
       at java util concurrent ScheduledThreadPoolExecutor DelayedWorkQueue take(ScheduledThreadPoolExecutor java:778)_x000D_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23  Binder 9_x000D_
       at dalvik system NativeStart run(NativeStart java)_x000D_
_x000D_
 24  Crashlytics Exception Handler1_x000D_
       at dalvik system VMStack getThreadStackTrace(VMStack java)_x000D_
       at java lang Thread getStackTrace(Thread java:579)_x000D_
       at java lang Thread getAllStackTraces(Thread java:521)_x000D_
       at com crashlytics android core CrashlyticsUncaughtExceptionHandler writeSessionEvent(CrashlyticsUncaughtExceptionHandler java:1078)_x000D_
       at com crashlytics android core CrashlyticsUncaughtExceptionHandler writeFatal(CrashlyticsUncaughtExceptionHandler java:812)_x000D_
       at com crashlytics android core CrashlyticsUncaughtExceptionHandler handleUncaughtException(CrashlyticsUncaughtExceptionHandler java:278)_x000D_
       at com crashlytics android core CrashlyticsUncaughtExceptionHandler access 100(CrashlyticsUncaughtExceptionHandler java:55)_x000D_
       at com crashlytics android core CrashlyticsUncaughtExceptionHandler 5 call(CrashlyticsUncaughtExceptionHandler java:254)_x000D_
       at com crashlytics android core CrashlyticsUncaughtExceptionHandler 5 call(CrashlyticsUncaughtExceptionHandler java:251)_x000D_
       at java util concurrent FutureTask run(FutureTask java:237)_x000D_
       at java util concurrent ThreadPoolExecutor runWorker(ThreadPoolExecutor java:1112)_x000D_
       at java util concurrent ThreadPoolExecutor Worker run(ThreadPoolExecutor java:587)_x000D_
       at io fabric sdk android services common ExecutorUtils 1 1 onRun(ExecutorUtils java:75)_x000D_
       at io fabric sdk android services common BackgroundPriorityRunnable run(BackgroundPriorityRunnable java:30)_x000D_
       at java lang Thread run(Thread java:841)_x000D_
_x000D_
 25  NR Harvester 1_x000D_
       at java lang Object wait(Object java)_x000D_
       at java lang Thread parkFor(Thread java:1205)_x000D_
       at sun misc Unsafe park(Unsafe java:325)_x000D_
       at java util concurrent locks LockSupport parkNanos(LockSupport java:197)_x000D_
       at java util concurrent locks AbstractQueuedSynchronizer ConditionObject awaitNanos(AbstractQueuedSynchronizer java:2056)_x000D_
       at java util concurrent ScheduledThreadPoolExecutor DelayedWorkQueue take(ScheduledThreadPoolExecutor java:1062)_x000D_
       at java util concurrent ScheduledThreadPoolExecutor DelayedWorkQueue take(ScheduledThreadPoolExecutor java:778)_x000D_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26  Binder 8_x000D_
       at dalvik system NativeStart run(NativeStart java)_x000D_
_x000D_
 27  NR AppStateMon 1_x000D_
       at java lang Object wait(Object java)_x000D_
       at java lang Thread parkFor(Thread java:1205)_x000D_
       at sun misc Unsafe park(Unsafe java:325)_x000D_
       at java util concurrent locks LockSupport parkNanos(LockSupport java:197)_x000D_
       at java util concurrent locks AbstractQueuedSynchronizer ConditionObject awaitNanos(AbstractQueuedSynchronizer java:2056)_x000D_
       at java util concurrent ScheduledThreadPoolExecutor DelayedWorkQueue take(ScheduledThreadPoolExecutor java:1062)_x000D_
       at java util concurrent ScheduledThreadPoolExecutor DelayedWorkQueue take(ScheduledThreadPoolExecutor java:778)_x000D_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28  Binder 4_x000D_
       at dalvik system NativeStart run(NativeStart java)_x000D_
_x000D_
 29  FinalizerWatchdogDaemon_x000D_
       at java lang VMThread sleep(VMThread java)_x000D_
       at java lang Thread sleep(Thread java:1013)_x000D_
       at java lang Thread sleep(Thread java:995)_x000D_
       at java lang Daemons FinalizerWatchdogDaemon sleepFor(Daemons java:248)_x000D_
       at java lang Daemons FinalizerWatchdogDaemon waitForFinalization(Daemons java:258)_x000D_
       at java lang Daemons FinalizerWatchdogDaemon run(Daemons java:212)_x000D_
       at java lang Thread run(Thread java:841)_x000D_
_x000D_
 30  main_x000D_
       at android os MessageQueue nativePollOnce(MessageQueue java)_x000D_
       at android os MessageQueue next(MessageQueue java:138)_x000D_
       at android os Looper loop(Looper java:123)_x000D_
       at android app ActivityThread main(ActivityThread java:5479)_x000D_
       at java lang reflect Method invokeNative(Method java)_x000D_
       at java lang reflect Method invoke(Method java:515)_x000D_
       at com android internal os ZygoteInit MethodAndArgsCaller run(ZygoteInit java:1283)_x000D_
       at com android internal os ZygoteInit main(ZygoteInit java:1099)_x000D_
       at dalvik system NativeStart main(NativeStart java)_x000D_
_x000D_
 31  Signal Catcher_x000D_
       at dalvik system NativeStart run(NativeStart java)_x000D_
_x000D_
 32  Queue_x000D_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33  Queue_x000D_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34  pool 4 thread 3_x000D_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LinkedBlockingQueue take(LinkedBlockingQueue java:410)_x000D_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35  OkHttp ConnectionPool_x000D_
       at java lang Object wait(Object java)_x000D_
       at java lang Thread parkFor(Thread java:1205)_x000D_
       at sun misc Unsafe park(Unsafe java:325)_x000D_
       at java util concurrent locks LockSupport parkNanos(LockSupport java:197)_x000D_
       at java util concurrent locks AbstractQueuedSynchronizer ConditionObject awaitNanos(AbstractQueuedSynchronizer java:2056)_x000D_
       at java util concurrent LinkedBlockingQueue poll(LinkedBlockingQueue java:435)_x000D_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36  ReferenceQueueDaemon_x000D_
       at java lang Object wait(Object java)_x000D_
       at java lang Object wait(Object java:364)_x000D_
       at java lang Daemons ReferenceQueueDaemon run(Daemons java:130)_x000D_
       at java lang Thread run(Thread java:841)_x000D_
_x000D_
 37  Queue_x000D_
       at java lang Object wait(Object java)_x000D_
       at java lang Thread parkFor(Thread java:1205)_x000D_
       at sun misc Unsafe park(Unsafe java:325)_x000D_
       at java util concurrent locks LockSupport park(LockSupport java:157)_x000D_
       at java util concurrent locks AbstractQueuedSynchronizer ConditionObject await(AbstractQueuedSynchronizer java:2017)_x000D_
       at java util concurrent PriorityBlockingQueue take(PriorityBlockingQueue java:510)_x000D_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java:1035)_x000D_
       at java util concurrent ThreadPoolExecutor runWorker(ThreadPoolExecutor java:1097)_x000D_
       at java util concurrent ThreadPoolExecutor Worker run(ThreadPoolExecutor java:587)_x000D_
       at java lang Thread run(Thread java:841)_x000D_
_x000D_
 38  java lang ProcessManager_x000D_
       at java lang Object wait(Object java)_x000D_
       at java lang Object wait(Object java:364)_x000D_
       at java lang ProcessManager waitForMoreChildren(ProcessManager java:140)_x000D_
       at java lang ProcessManager watchChildren(ProcessManager java:105)_x000D_
       at java lang ProcessManager access 000(ProcessManager java:40)_x000D_
       at java lang ProcessManager 1 run(ProcessManager java:58)_x000D_
_x000D_
 39  Binder 6_x000D_
       at dalvik system NativeStart run(NativeStart java)_x000D_
_x000D_
_x000D_
   </t>
  </si>
  <si>
    <t>k9mail-k-9-1826</t>
  </si>
  <si>
    <t>K-9 mail crashes when trying to download an attachment</t>
  </si>
  <si>
    <t xml:space="preserve">I searched for a message containing a train ticket  I entered it and tried to save it  Then the app crashed _x000D_
The mail account used here was the same as in  1794 _x000D_
_x000D_
    Environment_x000D_
K 9 Mail version: 5 115_x000D_
Android version: CM13_x000D_
_x000D_
Account type (IMAP  POP3  WebDAV Exchange): IMAP_x000D_
_x000D_
   _x000D_
12 01 12:57:01 186 11371 11422 E AndroidRuntime: FATAL EXCEPTION: AsyncTask  3_x000D_
12 01 12:57:01 186 11371 11422 E AndroidRuntime: Process: com fsck k9  PID: 11371_x000D_
12 01 12:57:01 186 11371 11422 E AndroidRuntime: Theme: themes: default overlay:system  iconPack:system  fontPkg:system  com android systemui overlay:system  com android systemui navbar overlay:system _x000D_
12 01 12:57:01 186 11371 11422 E AndroidRuntime: java lang RuntimeException: An error occurred while executing doInBackground()_x000D_
12 01 12:57:01 186 11371 11422 E AndroidRuntime: 	at android os AsyncTask 3 done(AsyncTask java:309)_x000D_
12 01 12:57:01 186 11371 11422 E AndroidRuntime: 	at java util concurrent FutureTask finishCompletion(FutureTask java:354)_x000D_
12 01 12:57:01 186 11371 11422 E AndroidRuntime: 	at java util concurrent FutureTask setException(FutureTask java:223)_x000D_
12 01 12:57:01 186 11371 11422 E AndroidRuntime: 	at java util concurrent FutureTask run(FutureTask java:242)_x000D_
12 01 12:57:01 186 11371 11422 E AndroidRuntime: 	at java util concurrent ThreadPoolExecutor runWorker(ThreadPoolExecutor java:1113)_x000D_
12 01 12:57:01 186 11371 11422 E AndroidRuntime: 	at java util concurrent ThreadPoolExecutor Worker run(ThreadPoolExecutor java:588)_x000D_
12 01 12:57:01 186 11371 11422 E AndroidRuntime: 	at java lang Thread run(Thread java:818)_x000D_
12 01 12:57:01 186 11371 11422 E AndroidRuntime: Caused by: java lang IllegalStateException: No attachment data available_x000D_
12 01 12:57:01 186 11371 11422 E AndroidRuntime: 	at com fsck k9 mailstore LocalStore getRawAttachmentInputStream(LocalStore java:725)_x000D_
12 01 12:57:01 186 11371 11422 E AndroidRuntime: 	at com fsck k9 mailstore LocalStore access 100(LocalStore java:66)_x000D_
12 01 12:57:01 186 11371 11422 E AndroidRuntime: 	at com fsck k9 mailstore LocalStore 15 doDbWork(LocalStore java:700)_x000D_
12 01 12:57:01 186 11371 11422 E AndroidRuntime: 	at com fsck k9 mailstore LocalStore 15 doDbWork(LocalStore java:684)_x000D_
12 01 12:57:01 186 11371 11422 E AndroidRuntime: 	at com fsck k9 mailstore LockableDatabase execute(LockableDatabase java:275)_x000D_
12 01 12:57:01 186 11371 11422 E AndroidRuntime: 	at com fsck k9 mailstore LocalStore getAttachmentInputStream(LocalStore java:684)_x000D_
12 01 12:57:01 186 11371 11422 E AndroidRuntime: 	at com fsck k9 provider AttachmentProvider getAttachmentInputStream(AttachmentProvider java:186)_x000D_
12 01 12:57:01 186 11371 11422 E AndroidRuntime: 	at com fsck k9 provider AttachmentProvider openAttachment(AttachmentProvider java:167)_x000D_
12 01 12:57:01 186 11371 11422 E AndroidRuntime: 	at com fsck k9 provider AttachmentProvider openFile(AttachmentProvider java:78)_x000D_
12 01 12:57:01 186 11371 11422 E AndroidRuntime: 	at android content ContentProvider openAssetFile(ContentProvider java:1374)_x000D_
12 01 12:57:01 186 11371 11422 E AndroidRuntime: 	at android content ContentProvider openTypedAssetFile(ContentProvider java:1554)_x000D_
12 01 12:57:01 186 11371 11422 E AndroidRuntime: 	at android content ContentProvider openTypedAssetFile(ContentProvider java:1620)_x000D_
12 01 12:57:01 186 11371 11422 E AndroidRuntime: 	at android content ContentProvider Transport openTypedAssetFile(ContentProvider java:419)_x000D_
12 01 12:57:01 186 11371 11422 E AndroidRuntime: 	at android content ContentResolver openTypedAssetFileDescriptor(ContentResolver java:1107)_x000D_
12 01 12:57:01 186 11371 11422 E AndroidRuntime: 	at android content ContentResolver openAssetFileDescriptor(ContentResolver java:944)_x000D_
12 01 12:57:01 186 11371 11422 E AndroidRuntime: 	at android content ContentResolver openInputStream(ContentResolver java:664)_x000D_
12 01 12:57:01 186 11371 11422 E AndroidRuntime: 	at com fsck k9 ui messageview AttachmentController writeAttachmentToStorage(AttachmentController java:149)_x000D_
12 01 12:57:01 186 11371 11422 E AndroidRuntime: 	at com fsck k9 ui messageview AttachmentController saveAttachmentWithUniqueFileName(AttachmentController java:141)_x000D_
12 01 12:57:01 186 11371 11422 E AndroidRuntime: 	at com fsck k9 ui messageview AttachmentController access 900(AttachmentController java:42)_x000D_
12 01 12:57:01 186 11371 11422 E AndroidRuntime: 	at com fsck k9 ui messageview AttachmentController SaveAttachmentAsyncTask doInBackground(AttachmentController java:348)_x000D_
12 01 12:57:01 186 11371 11422 E AndroidRuntime: 	at com fsck k9 ui messageview AttachmentController SaveAttachmentAsyncTask doInBackground(AttachmentController java:337)_x000D_
12 01 12:57:01 186 11371 11422 E AndroidRuntime: 	at android os AsyncTask 2 call(AsyncTask java:295)_x000D_
12 01 12:57:01 186 11371 11422 E AndroidRuntime: 	at java util concurrent FutureTask run(FutureTask java:237)_x000D_
12 01 12:57:01 186 11371 11422 E AndroidRuntime: 	    3 more_x000D_
12 01 12:57:01 190  1350  1883 W ActivityManager:   Force finishing activity com fsck k9  activity Search_x000D_
   _x000D_
</t>
  </si>
  <si>
    <t>WhatAKitty-react-native-bottom-sheet-4</t>
  </si>
  <si>
    <t>React Native &gt;= 0.33</t>
  </si>
  <si>
    <t xml:space="preserve">The usage of this package with React Native    0 33 causes crashes whenever this or any other package invokes  onActivityResult  (due to RN 0 33 breaking change of  ActivityEventListener  interface) _x000D_
 WhatAKitty there s a fork fixing this problem  are you planning to integrate   ask for a PR  _x000D_
It s a really annoying issue  and it would be great to keep the distribution of your package consistent  avoiding the spreading of forks for such a simple update _x000D_
_x000D_
Thanks for this package btw </t>
  </si>
  <si>
    <t>BandUp-band-up-android-6</t>
  </si>
  <si>
    <t>Crashes when searching by name with no results</t>
  </si>
  <si>
    <t xml:space="preserve">In Search by name:_x000D_
Search for someone that isn t in the database  The app crashes </t>
  </si>
  <si>
    <t>ludomuse-Ludomuse-26</t>
  </si>
  <si>
    <t>crash de l'émulateur lors de messages réseau après fermeture d'un joueur</t>
  </si>
  <si>
    <t>Si par exemple le joueur 1 de l  mulateur utilise une fonctionnalit  qui envoie un message par le r seau alors que la connexion a  t  rompu par le joueur 2 (fermeture de la fen tre joueur 2 de l  mulateur) alors le joueur 1 crash</t>
  </si>
  <si>
    <t>tanrabad-survey-2</t>
  </si>
  <si>
    <t>Fabric Integration Test</t>
  </si>
  <si>
    <t xml:space="preserve">     in some crashed method
  Number of crashes: 0
  Impacted devices: 0
There s a lot more information about this crash on crashlytics com:
 http:  example com path to fabric issue (http:  example com path to fabric issue)</t>
  </si>
  <si>
    <t>Cloudkibo-Android-330</t>
  </si>
  <si>
    <t>Android crashing on sending images or documents</t>
  </si>
  <si>
    <t xml:space="preserve">Android crashing on sending images or documents_x000D_
_x000D_
  image (https:  cloud githubusercontent com assets 5336012 20862878 73abebf0 b96c 11e6 8914 8e128b4f9c9e png)_x000D_
_x000D_
</t>
  </si>
  <si>
    <t>danimahardhika-candybar-library-10</t>
  </si>
  <si>
    <t>Wrong requested icon count results in App crash</t>
  </si>
  <si>
    <t xml:space="preserve">When you select a few Apps  which you want to request and then spam(click very rapidly) one this may sometimes resolve in a wrong selected apps count in the toolbar(count is one to high)  If you then click the FAB to send the request the app crashes  I tried this in the Sample App and in the Delta Icon Pack  it worked on both  _x000D_
_x000D_
PS: Please don t ask me why somebody would do something like that </t>
  </si>
  <si>
    <t>tanrabad-survey-5</t>
  </si>
  <si>
    <t xml:space="preserve">     in org tanrabad survey presenter BuildingFormActivity onCreate
  Number of crashes: 1
  Impacted devices: 1
There s a lot more information about this crash on crashlytics com:
 https:  fabric io tanrabad android apps org tanrabad survey issues 5843d4fe0aeb16625b9812b5 (https:  fabric io tanrabad android apps org tanrabad survey issues 5843d4fe0aeb16625b9812b5)</t>
  </si>
  <si>
    <t>tanrabad-survey-4</t>
  </si>
  <si>
    <t xml:space="preserve">     in org tanrabad survey presenter SurveyBuildingHistoryActivity showPlaceInfo
  Number of crashes: 1
  Impacted devices: 1
There s a lot more information about this crash on crashlytics com:
 https:  fabric io tanrabad android apps org tanrabad survey issues 5843d4960aeb16625b981056 (https:  fabric io tanrabad android apps org tanrabad survey issues 5843d4960aeb16625b981056)</t>
  </si>
  <si>
    <t>tanrabad-survey-3</t>
  </si>
  <si>
    <t xml:space="preserve">     in org tanrabad survey presenter BuildingListActivity getPlaceUuidFromIntent
  Number of crashes: 1
  Impacted devices: 1
There s a lot more information about this crash on crashlytics com:
 https:  fabric io tanrabad android apps org tanrabad survey issues 5843d4870aeb16625b980ff3 (https:  fabric io tanrabad android apps org tanrabad survey issues 5843d4870aeb16625b980ff3)</t>
  </si>
  <si>
    <t>nextcloud-android-425</t>
  </si>
  <si>
    <t>SQLiteDatabase.updateWithOnConflict: IllegalArgumentException: Empty values</t>
  </si>
  <si>
    <t>Via Google Play  1 4 0 RC only (any of them RC1 RC4) _x000D_
_x000D_
   _x000D_
java lang IllegalArgumentException: Empty values_x000D_
	at android database sqlite SQLiteDatabase updateWithOnConflict(SQLiteDatabase java:1680)_x000D_
	at android database sqlite SQLiteDatabase update(SQLiteDatabase java:1660)_x000D_
	at com owncloud android providers FileContentProvider updateFilesTableAccordingToShareInsertion(FileContentProvider java:349)_x000D_
	at com owncloud android providers FileContentProvider insert(FileContentProvider java:283)_x000D_
	at com owncloud android providers FileContentProvider insert(FileContentProvider java:227)_x000D_
	at android content ContentProviderOperation apply(ContentProviderOperation java:245)_x000D_
	at com owncloud android providers FileContentProvider applyBatch(FileContentProvider java:549)_x000D_
	at android content ContentProvider Transport applyBatch(ContentProvider java:301)_x000D_
	at android content ContentProviderClient applyBatch(ContentProviderClient java:402)_x000D_
	at android content ContentResolver applyBatch(ContentResolver java:1297)_x000D_
	at com owncloud android datamodel FileDataStorageManager saveSharesInFolder(FileDataStorageManager java:1484)_x000D_
	at com owncloud android operations RefreshFolderOperation refreshSharesForFolder(RefreshFolderOperation java:504)_x000D_
	at com owncloud android operations RefreshFolderOperation run(RefreshFolderOperation java:216)_x000D_
	at com owncloud android lib common operations RemoteOperation run(RemoteOperation java:303)_x000D_
	at java lang Thread run(Thread java:818)_x000D_
   _x000D_
_x000D_
Comments:_x000D_
1 4 0 RC4: Opening one folder crashes the app_x000D_
1 4 0 RC2: Nextcloud app beendet sich sobald ich einen Ordner  ffnen der geshared ist</t>
  </si>
  <si>
    <t>Fleker-CumulusTV-199</t>
  </si>
  <si>
    <t>Cumulus crashes alot on Mi Box</t>
  </si>
  <si>
    <t xml:space="preserve">Hi _x000D_
_x000D_
I have a Mi Box (international) with Android TV 6 0 1  Using latest Live channels app and 1 6 7 Cumulus TV _x000D_
I have a  m3u file containing 120 channels which I open via ES File Explorer and open with Cumulus TV  This works  But when I go to the Live channels app it will freeze up when I load the channels  the parsing channels will lock up and be a black screen _x000D_
Eventually I can restart Live channels and 1 in 10 times I am able to watch a channel  but it almost always crashes with the result that Android asks me if I want to close Cumulus TV _x000D_
_x000D_
I also get an error about loading screen not showing but its loading in the background anyway _x000D_
_x000D_
Any ideas </t>
  </si>
  <si>
    <t>ozelevrim-EvrimNews-4</t>
  </si>
  <si>
    <t>Immediate Crash</t>
  </si>
  <si>
    <t xml:space="preserve">Because of a bug  the app will immediately crash on launch </t>
  </si>
  <si>
    <t>ozelevrim-EvrimNews-1</t>
  </si>
  <si>
    <t>Because of an OnClick request, the app would crash immediately</t>
  </si>
  <si>
    <t xml:space="preserve">Because of an OnClick request  the app would crash immediately </t>
  </si>
  <si>
    <t>k9mail-k-9-1836</t>
  </si>
  <si>
    <t>Properly handle multipart/digest content type</t>
  </si>
  <si>
    <t xml:space="preserve">As per  rfc1341 (https:  tools ietf org html rfc1341)  the default content type for sub parts of a multipart digest part is  message rfc822  rather than  text plain  as usual  The mime4j parser handles this correctly and we get a structure of MimeMessage sub parts  however those don t have an explicit content type (they have no headers) so they return  text plain   This leads to a crash because the text extractor tries to extract the text from a body that considers itself a multipart _x000D_
_x000D_
The immediate fix is simple: If a part s parent is  multipart digest   return a different default mime type  Though I think we re still dos able from malformed messages _x000D_
_x000D_
This fixes  1794  see the debian digest mail linked there for a real world test case </t>
  </si>
  <si>
    <t>elimu-ai-ml-authentication-230</t>
  </si>
  <si>
    <t>Copy deer.jpg to SD card [1h]</t>
  </si>
  <si>
    <t xml:space="preserve">Application crashes due to missing animal template image:_x000D_
_x000D_
   _x000D_
12 06 18:31:03 738 18576 18576   E cv::error(): OpenCV Error: Assertion failed (scn    3    scn    4) in void cv::cvtColor(cv::InputArray  cv::OutputArray  int  int)  file  Volumes Linux builds master pack android opencv modules imgproc src color cpp  line 7943_x000D_
12 06 18:31:03 739 18576 18576   E org opencv imgproc: imgproc::cvtColor 11() caught cv::Exception:  Volumes Linux builds master pack android opencv modules imgproc src color cpp:7943: error: ( 215) scn    3    scn    4 in function void cv::cvtColor(cv::InputArray  cv::OutputArray  int  int)_x000D_
12 06 18:31:03 740 18576 18576   E AndroidRuntime: FATAL EXCEPTION: main_x000D_
                                                   Process: org literacyapp  PID: 18576_x000D_
                                                   Theme: themes:  _x000D_
                                                   java lang RuntimeException: Unable to resume activity  org literacyapp org literacyapp authentication CameraViewActivity : CvException  org opencv core CvException: cv::Exception:  Volumes Linux builds master pack android opencv modules imgproc src color cpp:7943: error: ( 215) scn    3    scn    4 in function void cv::cvtColor(cv::InputArray  cv::OutputArray  int  int)_x000D_
                                                    _x000D_
                                                       at android app ActivityThread performResumeActivity(ActivityThread java:3137)_x000D_
                                                       at android app ActivityThread handleResumeActivity(ActivityThread java:3168)_x000D_
                                                       at android app ActivityThread handleLaunchActivity(ActivityThread java:2515)_x000D_
                                                       at android app ActivityThread  wrap11(ActivityThread java)_x000D_
                                                       at android app ActivityThread H handleMessage(ActivityThread java:1363)_x000D_
                                                       at android os Handler dispatchMessage(Handler java:102)_x000D_
                                                       at android os Looper loop(Looper java:148)_x000D_
                                                       at android app ActivityThread main(ActivityThread java:5461)_x000D_
                                                       at java lang reflect Method invoke(Native Method)_x000D_
                                                       at com android internal os ZygoteInit MethodAndArgsCaller run(ZygoteInit java:726)_x000D_
                                                       at com android internal os ZygoteInit main(ZygoteInit java:616)_x000D_
                                                    Caused by: CvException  org opencv core CvException: cv::Exception:  Volumes Linux builds master pack android opencv modules imgproc src color cpp:7943: error: ( 215) scn    3    scn    4 in function void cv::cvtColor(cv::InputArray  cv::OutputArray  int  int)_x000D_
                                                    _x000D_
                                                       at org opencv imgproc Imgproc cvtColor 1(Native Method)_x000D_
                                                       at org opencv imgproc Imgproc cvtColor(Imgproc java:1724)_x000D_
                                                       at org literacyapp authentication CameraViewActivity createOverlay(CameraViewActivity java:221)_x000D_
                                                       at org literacyapp authentication CameraViewActivity onResume(CameraViewActivity java:193)_x000D_
                                                       at android app Instrumentation callActivityOnResume(Instrumentation java:1259)_x000D_
                                                       at android app Activity performResume(Activity java:6327)_x000D_
                                                       at android app ActivityThread performResumeActivity(ActivityThread java:3126)_x000D_
                                                       	    10 more_x000D_
   </t>
  </si>
  <si>
    <t>HugoGresse-Anecdote-19</t>
  </si>
  <si>
    <t>Crashes after selecting website</t>
  </si>
  <si>
    <t>When I start the app  select a website and click on save  the app crashes  This happens with all website I have tested_x000D_
_x000D_
F Droid version on Android 6 0 1</t>
  </si>
  <si>
    <t>Cloudkibo-Android-337</t>
  </si>
  <si>
    <t>Urgent: When I open KiboChat I am getting a blank page</t>
  </si>
  <si>
    <t xml:space="preserve">Urgent: When I open KiboChat I am getting a blank page  Do you see a crash  _x000D_
_x000D_
One time it crashed and since then I am getting this _x000D_
_x000D_
  image (https:  cloud githubusercontent com assets 5336012 20918659 10691b52 bb4d 11e6 80bc 459cb0042cd2 png)_x000D_
</t>
  </si>
  <si>
    <t>inaturalist-iNaturalistAndroid-275</t>
  </si>
  <si>
    <t>OutOfMemoryError when importing photos on a Moto G</t>
  </si>
  <si>
    <t xml:space="preserve">https:  play google com apps publish  dev acc 15421172454815845728 ErrorClusterDetailsPlace:p org inaturalist android et CRASH sh true lr LAST 7 DAYS ecn java lang OutOfMemoryError tf VMRuntime java tc dalvik system VMRuntime tm newNonMovableArray nid an c s new status desc ed 1480988737625_x000D_
_x000D_
   _x000D_
java lang OutOfMemoryError: Failed to allocate a 3244812 byte allocation with 2064120 free bytes and 2015KB until OOM_x000D_
	at dalvik system VMRuntime newNonMovableArray(Native Method)_x000D_
	at android graphics BitmapFactory nativeDecodeStream(Native Method)_x000D_
	at android graphics BitmapFactory decodeStreamInternal(BitmapFactory java:635)_x000D_
	at android graphics BitmapFactory decodeStream(BitmapFactory java:611)_x000D_
	at android graphics BitmapFactory decodeFile(BitmapFactory java:391)_x000D_
	at org inaturalist android ObservationEditor GalleryCursorAdapter getView(ObservationEditor java:2441)_x000D_
	at org lucasr twowayview TwoWayView obtainView(TwoWayView java:5534)_x000D_
	at org lucasr twowayview TwoWayView makeAndAddView(TwoWayView java:5032)_x000D_
	at org lucasr twowayview TwoWayView fillAfter(TwoWayView java:5156)_x000D_
	at org lucasr twowayview TwoWayView fillFromOffset(TwoWayView java:5207)_x000D_
	at org lucasr twowayview TwoWayView layoutChildren(TwoWayView java:4188)_x000D_
	at org lucasr twowayview TwoWayView onLayout(TwoWayView java:4016)_x000D_
   _x000D_
_x000D_
Like any good memory error this is hard to replicate  but on my old Moto G (running Android 6 0) it happens pretty consistently when I import more than one photo at a time using the new stock photo chooser with multiselect  Sometimes it happens with just one photo  The crash definitely happens after the chooser is dismissed at the obs edit screen appears  and I think it happens after the loading modal goes away  It results in observations that appear to have photos but when you upload them the photos don t get uploaded  just the observations  FWIW  I can import as many as I like on my Nexus 5X  but maybe it has tons more memory _x000D_
_x000D_
IMO  this is a release blocker  I think we ve got a lot of people on older phones like this </t>
  </si>
  <si>
    <t>Cloudkibo-Android-339</t>
  </si>
  <si>
    <t>Out of Memory Error when showing group profile image in chat list</t>
  </si>
  <si>
    <t xml:space="preserve"> Assadbintahir you had implemented the logic to display the group profile image in the following issue:_x000D_
_x000D_
https:  github com Cloudkibo Android issues 223_x000D_
_x000D_
It displays the icons of group correctly in the chat list but however when there are more than 3 groups with icons  The application is crashing and log says memory exceeded the allocated limit _x000D_
_x000D_
Here is the crash report:_x000D_
_x000D_
 img width  1196  alt  screen shot 2016 12 07 at 5 38 35 pm  src  https:  cloud githubusercontent com assets 5811465 20968064 4fcf955c bca4 11e6 93ee f014c0a15c70 png  _x000D_
_x000D_
_x000D_
This is where error is happening in code : _x000D_
_x000D_
 img width  890  alt  screen shot 2016 12 07 at 5 41 10 pm  src  https:  cloud githubusercontent com assets 5811465 20968078 662f8366 bca4 11e6 9b4a 1fde7e46ca5d png  _x000D_
_x000D_
_x000D_
 dayemsiddiqui is using a very good library to load images  Please sit with him and see how he is loading images  We should load images in such a way that they are not stored in memory forever _x000D_
_x000D_
 dayemsiddiqui please discuss the library you used with  Assadbintahir </t>
  </si>
  <si>
    <t>AppsFlyerSDK-appsflyer-react-native-plugin-4</t>
  </si>
  <si>
    <t>App crashed because AndroidManifest.xml contains Google Analytics receiver, which is not on classpath</t>
  </si>
  <si>
    <t>Hey  _x000D_
_x000D_
I m experiencing a crash  when receiving  INSTALL REFERRER  intent _x000D_
_x000D_
   _x000D_
12 05 14:12:35 079 16995 16995 E AndroidRuntime: java lang RuntimeException: _x000D_
Unable to instantiate receiver com google android apps analytics AnalyticsReceiver: java lang ClassNotFoundException: Didn t find class  com google android apps analytics AnalyticsReceiver  on path: DexPathList  zip file   data app com wondermall prod 1 base apk   nativeLibraryDirectories   data app com wondermall prod 1 lib arm   system fake libs   data app com wondermall prod 1 base apk  lib armeabi v7a   system lib   vendor lib  _x000D_
12 05 14:12:35 079 16995 16995 E AndroidRuntime: 	at android app ActivityThread handleReceiver(ActivityThread java:2995)_x000D_
12 05 14:12:35 079 16995 16995 E AndroidRuntime: 	at android app ActivityThread  wrap18(ActivityThread java)_x000D_
12 05 14:12:35 079 16995 16995 E AndroidRuntime: 	at android app ActivityThread H handleMessage(ActivityThread java:1545)_x000D_
12 05 14:12:35 079 16995 16995 E AndroidRuntime: 	at android os Handler dispatchMessage(Handler java:102)_x000D_
12 05 14:12:35 079 16995 16995 E AndroidRuntime: 	at android os Looper loop(Looper java:154)_x000D_
12 05 14:12:35 079 16995 16995 E AndroidRuntime: 	at android app ActivityThread main(ActivityThread java:6088)_x000D_
12 05 14:12:35 079 16995 16995 E AndroidRuntime: 	at java lang reflect Method invoke(Native Method)_x000D_
12 05 14:12:35 079 16995 16995 E AndroidRuntime: 	at com android internal os ZygoteInit MethodAndArgsCaller run(ZygoteInit java:886)_x000D_
12 05 14:12:35 079 16995 16995 E AndroidRuntime: 	at com android internal os ZygoteInit main(ZygoteInit java:776)_x000D_
12 05 14:12:35 079 16995 16995 E AndroidRuntime: Caused by: java lang ClassNotFoundException: Didn t find class  com google android apps analytics AnalyticsReceiver  on path: DexPathList  zip file   data app com wondermall prod 1 base apk   nativeLibraryDirectories   data app com wondermall prod 1 lib arm   system fake libs   data app com wondermall prod 1 base apk  lib armeabi v7a   system lib   vendor lib  _x000D_
12 05 14:12:35 079 16995 16995 E AndroidRuntime: 	at dalvik system BaseDexClassLoader findClass(BaseDexClassLoader java:56)_x000D_
12 05 14:12:35 079 16995 16995 E AndroidRuntime: 	at java lang ClassLoader loadClass(ClassLoader java:380)_x000D_
12 05 14:12:35 079 16995 16995 E AndroidRuntime: 	at java lang ClassLoader loadClass(ClassLoader java:312)_x000D_
12 05 14:12:35 079 16995 16995 E AndroidRuntime: 	at android app ActivityThread handleReceiver(ActivityThread java:2990)_x000D_
12 05 14:12:35 079 16995 16995 E AndroidRuntime: 	    8 more_x000D_
   _x000D_
_x000D_
The SDK s  AndroidManifest xml  contains two receivers:_x000D_
   _x000D_
         receiver android:name  com google android apps analytics AnalyticsReceiver  android:exported  true  _x000D_
             intent filter _x000D_
                 action android:name  com android vending INSTALL REFERRER    _x000D_
              intent filter _x000D_
          receiver _x000D_
         receiver android:name  com admob android ads analytics InstallReceiver  android:exported  true  _x000D_
             intent filter _x000D_
                 action android:name  com android vending INSTALL REFERRER    _x000D_
              intent filter _x000D_
          receiver _x000D_
   _x000D_
_x000D_
One of them is not part of my app dependencies  this causes the crash _x000D_
Do you need those receivers  Can they be removed _x000D_
_x000D_
Thanks_x000D_
_x000D_
Alex</t>
  </si>
  <si>
    <t>AdevintaSpain-Parallax-Layer-Layout-12</t>
  </si>
  <si>
    <t>Avoid registering the sensor if it's null</t>
  </si>
  <si>
    <t xml:space="preserve">For some reason  some phones return a null sensor when getting the default one  So  we will check for it before registering the sensort to avoid crashes like http:  crashes to s 2fd03a11431_x000D_
_x000D_
BTW  sorry for the last line  I edited the file using the website so I don t have any idea about why it has changed :  </t>
  </si>
  <si>
    <t>getodk-collect-289</t>
  </si>
  <si>
    <t>Browsing Google Drive on a fresh Gmail account causes crash</t>
  </si>
  <si>
    <t xml:space="preserve">     Software and hardware versions _x000D_
ODK Collect v1 4 12  Android v6 0 1  Nexus 5_x000D_
_x000D_
     Problem description_x000D_
ODK Collect crashes when trying to load My Drive _x000D_
_x000D_
     Steps to reproduce the problem_x000D_
1  Create a totally new Gmail account _x000D_
1  Add the Gmail account to the device_x000D_
1  Change settings in Collect to Google Drive Sheets platform and add the Gmail account as Google account_x000D_
1  In the Main Menu  tap Get Blank Form  tap My Drive _x000D_
1  Collect crashes with a GoogleAuthIOException _x000D_
_x000D_
     Expected behavior_x000D_
Collect should not crash  You should get a pop up dialog asking for OAuth permissions _x000D_
_x000D_
     Other information _x000D_
In my tests  if instead of My Drive  you use the magnifying glass and try to search for a form  then the application shows the pop up dialog asking for OAuth   You can deny that dialog  and the My Drive works  _x000D_
_x000D_
If this is not reproducible  it might be because you are not using a new account  or this bug is caused my something server side _x000D_
_x000D_
   _x000D_
12 08 15:54:44 592 17965 18054 W System err: com google api client googleapis extensions android gms auth GoogleAuthIOException_x000D_
12 08 15:54:44 596 17965 18054 W System err: 	at com google api client googleapis extensions android gms auth GoogleAccountCredential RequestHandler intercept(GoogleAccountCredential java:286)_x000D_
12 08 15:54:44 596 17965 18054 W System err: 	at com google api client http HttpRequest execute(HttpRequest java:859)_x000D_
12 08 15:54:44 596 17965 18054 W System err: 	at com google api client googleapis services AbstractGoogleClientRequest executeUnparsed(AbstractGoogleClientRequest java:419)_x000D_
12 08 15:54:44 597 17965 18054 W System err: 	at com google api client googleapis services AbstractGoogleClientRequest executeUnparsed(AbstractGoogleClientRequest java:352)_x000D_
12 08 15:54:44 597 17965 18054 W System err: 	at com google api client googleapis services AbstractGoogleClientRequest execute(AbstractGoogleClientRequest java:469)_x000D_
12 08 15:54:44 597 17965 18054 W System err: 	at org odk collect android activities GoogleDriveActivity RetrieveDriveFileContentsAsyncTask doInBackground(GoogleDriveActivity java:564)_x000D_
12 08 15:54:44 597 17965 18054 W System err: 	at org odk collect android activities GoogleDriveActivity RetrieveDriveFileContentsAsyncTask doInBackground(GoogleDriveActivity java:528)_x000D_
12 08 15:54:44 597 17965 18054 W System err: 	at android os AsyncTask 2 call(AsyncTask java:295)_x000D_
12 08 15:54:44 597 17965 18054 W System err: 	at java util concurrent FutureTask run(FutureTask java:237)_x000D_
12 08 15:54:44 597 17965 18054 W System err: 	at java util concurrent ThreadPoolExecutor runWorker(ThreadPoolExecutor java:1113)_x000D_
12 08 15:54:44 597 17965 18054 W System err: 	at java util concurrent ThreadPoolExecutor Worker run(ThreadPoolExecutor java:588)_x000D_
12 08 15:54:44 597 17965 18054 W System err: 	at java lang Thread run(Thread java:818)_x000D_
12 08 15:54:44 597 17965 18054 W System err: Caused by: com google android gms auth GoogleAuthException: Unknown_x000D_
12 08 15:54:44 598 17965 18054 W System err: 	at com google android gms auth GoogleAuthUtil getToken(Unknown Source)_x000D_
12 08 15:54:44 598 17965 18054 W System err: 	at com google android gms auth GoogleAuthUtil getToken(Unknown Source)_x000D_
12 08 15:54:44 598 17965 18054 W System err: 	at com google api client googleapis extensions android gms auth GoogleAccountCredential getToken(GoogleAccountCredential java:255)_x000D_
12 08 15:54:44 598 17965 18054 W System err: 	at com google api client googleapis extensions android gms auth GoogleAccountCredential RequestHandler intercept(GoogleAccountCredential java:279)_x000D_
12 08 15:54:44 598 17965 18054 W System err: 	    11 more_x000D_
12 08 15:54:44 600 17965 18054 E AndroidRuntime: FATAL EXCEPTION: AsyncTask  2_x000D_
12 08 15:54:44 600 17965 18054 E AndroidRuntime: Process: org odk collect android  PID: 17965_x000D_
12 08 15:54:44 600 17965 18054 E AndroidRuntime: java lang RuntimeException: An error occurred while executing doInBackground()_x000D_
12 08 15:54:44 600 17965 18054 E AndroidRuntime: 	at android os AsyncTask 3 done(AsyncTask java:309)_x000D_
12 08 15:54:44 600 17965 18054 E AndroidRuntime: 	at java util concurrent FutureTask finishCompletion(FutureTask java:354)_x000D_
12 08 15:54:44 600 17965 18054 E AndroidRuntime: 	at java util concurrent FutureTask setException(FutureTask java:223)_x000D_
12 08 15:54:44 600 17965 18054 E AndroidRuntime: 	at java util concurrent FutureTask run(FutureTask java:242)_x000D_
12 08 15:54:44 600 17965 18054 E AndroidRuntime: 	at java util concurrent ThreadPoolExecutor runWorker(ThreadPoolExecutor java:1113)_x000D_
12 08 15:54:44 600 17965 18054 E AndroidRuntime: 	at java util concurrent ThreadPoolExecutor Worker run(ThreadPoolExecutor java:588)_x000D_
12 08 15:54:44 600 17965 18054 E AndroidRuntime: 	at java lang Thread run(Thread java:818)_x000D_
12 08 15:54:44 600 17965 18054 E AndroidRuntime: Caused by: java lang NullPointerException: Attempt to invoke virtual method  java lang String com google api services drive model File getId()  on a null object reference_x000D_
12 08 15:54:44 600 17965 18054 E AndroidRuntime: 	at org odk collect android activities GoogleDriveActivity RetrieveDriveFileContentsAsyncTask doInBackground(GoogleDriveActivity java:572)_x000D_
12 08 15:54:44 600 17965 18054 E AndroidRuntime: 	at org odk collect android activities GoogleDriveActivity RetrieveDriveFileContentsAsyncTask doInBackground(GoogleDriveActivity java:528)_x000D_
12 08 15:54:44 600 17965 18054 E AndroidRuntime: 	at android os AsyncTask 2 call(AsyncTask java:295)_x000D_
12 08 15:54:44 600 17965 18054 E AndroidRuntime: 	at java util concurrent FutureTask run(FutureTask java:237)_x000D_
12 08 15:54:44 600 17965 18054 E AndroidRuntime: 	    3 more_x000D_
12 08 15:54:44 609   778  3228 W ActivityManager:   Force finishing activity org odk collect android  activities GoogleDriveActivity_x000D_
   _x000D_
</t>
  </si>
  <si>
    <t>klinker-apps-Android-Blur-Launcher-7</t>
  </si>
  <si>
    <t>FragmentStatePager from Blur 2.0</t>
  </si>
  <si>
    <t xml:space="preserve">This one was a bit more customized  with some safety built around it  _x000D_
_x000D_
I would like to go back to using it  rather than using Google support lib version _x000D_
_x000D_
The support lib version doesn t seem to be as safe  I have experienced a few crashes </t>
  </si>
  <si>
    <t>lingochamp-FileDownloader-420</t>
  </si>
  <si>
    <t>Crash: Unable to create application com.myapp.MyApplication: java.lang.IllegalStateException: the DownloadMgrInitialParams is only can be touched in the process which the download service settles on</t>
  </si>
  <si>
    <t xml:space="preserve">Hey there _x000D_
_x000D_
I m experiencing a crash with following stack trace:_x000D_
_x000D_
   _x000D_
Fatal Exception: java lang RuntimeException: Unable to create application com myapp MyApplication: java lang IllegalStateException: the DownloadMgrInitialParams is only can be touched in the process which the download service settles on_x000D_
       at android app ActivityThread handleBindApplication(ActivityThread java:4293)_x000D_
       at android app ActivityThread access 1400(ActivityThread java:143)_x000D_
       at android app ActivityThread H handleMessage(ActivityThread java:1301)_x000D_
       at android os Handler dispatchMessage(Handler java:99)_x000D_
       at android os Looper loop(Looper java:137)_x000D_
       at android app ActivityThread main(ActivityThread java:4960)_x000D_
       at java lang reflect Method invokeNative(Method java)_x000D_
       at java lang reflect Method invoke(Method java:511)_x000D_
       at com android internal os ZygoteInit MethodAndArgsCaller run(ZygoteInit java:1038)_x000D_
       at com android internal os ZygoteInit main(ZygoteInit java:805)_x000D_
       at dalvik system NativeStart main(NativeStart java)_x000D_
Caused by java lang IllegalStateException: the DownloadMgrInitialParams is only can be touched in the process which the download service settles on_x000D_
       at com liulishuo filedownloader util FileDownloadHelper initializeDownloadMgrParams(FileDownloadHelper java:58)_x000D_
       at com liulishuo filedownloader FileDownloader init(FileDownloader java:101)_x000D_
       at com liulishuo filedownloader FileDownloader init(FileDownloader java:68)_x000D_
       at br com hotmart hifire HiFireApplication setupFileDownloader(HiFireApplication java:74)_x000D_
       at br com hotmart hifire HiFireApplication onCreate(HiFireApplication java:46)_x000D_
       at android app Instrumentation callApplicationOnCreate(Instrumentation java:1014)_x000D_
       at android app ActivityThread handleBindApplication(ActivityThread java:4290)_x000D_
       at android app ActivityThread access 1400(ActivityThread java:143)_x000D_
       at android app ActivityThread H handleMessage(ActivityThread java:1301)_x000D_
       at android os Handler dispatchMessage(Handler java:99)_x000D_
       at android os Looper loop(Looper java:137)_x000D_
       at android app ActivityThread main(ActivityThread java:4960)_x000D_
       at java lang reflect Method invokeNative(Method java)_x000D_
       at java lang reflect Method invoke(Method java:511)_x000D_
       at com android internal os ZygoteInit MethodAndArgsCaller run(ZygoteInit java:1038)_x000D_
       at com android internal os ZygoteInit main(ZygoteInit java:805)_x000D_
       at dalvik system NativeStart main(NativeStart java)_x000D_
   _x000D_
_x000D_
Here is the main code from my Application class:_x000D_
_x000D_
   _x000D_
public class MyApplication extends MultiDexApplication implements Application ActivityLifecycleCallbacks  _x000D_
_x000D_
     Override_x000D_
    public void onCreate()  _x000D_
        super onCreate() _x000D_
_x000D_
           some code before    _x000D_
        setupFileDownloader() _x000D_
           some code after   _x000D_
     _x000D_
_x000D_
    private void setupFileDownloader()  _x000D_
        FileDownloadHelper OkHttpClientCustomMaker okHttp  _x000D_
                new FileDownloadHelper OkHttpClientCustomMaker()      is not has to provide _x000D_
                     Override_x000D_
                    public OkHttpClient customMake()  _x000D_
                        final OkHttpClient Builder builder   new OkHttpClient Builder() _x000D_
                        builder authenticator(new AppAuthenticator(getApplicationContext())) _x000D_
                        return builder build() _x000D_
                     _x000D_
                  _x000D_
          _x000D_
           Just for cache Application s Context  and  :filedownloader  progress will NOT be launched_x000D_
           by below code  so please do not worry about performance _x000D_
           _x000D_
        FileDownloader init(getApplicationContext()  okHttp) _x000D_
     _x000D_
 _x000D_
   _x000D_
_x000D_
I get this crash reported from Crashlytics  in production  It occurs with a very low frequency  and I can t reproduce the wrong behavior in development environment  So  I would like some help about what is the expected behavior of the Library in my Application  and what could went wrong </t>
  </si>
  <si>
    <t>syncthing-syncthing-android-806</t>
  </si>
  <si>
    <t>Crash on device rotation</t>
  </si>
  <si>
    <t>When I perform this sequence of events  the app crashes_x000D_
_x000D_
1  Open Side Drawer_x000D_
2  Click on Settings_x000D_
 optional  Click on any settings item _x000D_
3  Orientation Change</t>
  </si>
  <si>
    <t>popcorn-official-popcorn-android-106</t>
  </si>
  <si>
    <t>Crashes on Android TV</t>
  </si>
  <si>
    <t xml:space="preserve">Version:  tv arm64 v8a development 130_x000D_
Download date:  11 Dec 2016_x000D_
Android version:  Android TV 6 0 _x000D_
_x000D_
     Expected Behaviour_x000D_
     What did you think the app was going to do     _x000D_
The App should have played the movie_x000D_
_x000D_
     Actual Behaviour_x000D_
     What does the app do instead     _x000D_
Crashed with error  unfortunatly Popcorntime crashed _x000D_
_x000D_
     Steps to repoduce the behaviour_x000D_
     What steps do we need to take to find the same bug that you found     _x000D_
_x000D_
1  Install the apk_x000D_
2  open the app and select a movie_x000D_
3  Click on play EN_x000D_
</t>
  </si>
  <si>
    <t>HugoGresse-Anecdote-27</t>
  </si>
  <si>
    <t>App crashes on Add Custom Website</t>
  </si>
  <si>
    <t>When I perform this sequence of events  the app crashes:_x000D_
1  Click on Add Custom Website_x000D_
2  Fill the text fields  entering in Website URL a empty or malformed URL_x000D_
3  Click on ADD</t>
  </si>
  <si>
    <t>yydcdut-RxMarkdown-8</t>
  </si>
  <si>
    <t>Some style issues</t>
  </si>
  <si>
    <t>Hi  yydcdut _x000D_
first of all: thanks for this great lib  I am planning to use it in the  Nextcloud Notes (https:  github com stefan niedermann OwnCloud Notes tree RxMarkdown) app _x000D_
Currently i am struggling with  some style issues (https:  github com stefan niedermann OwnCloud Notes issues 2 issuecomment 266115838) we experienced while testing _x000D_
Maybe these style issues could be fixed or at least a configuration option could be provided by you for these _x000D_
_x000D_
   x    1 ) Headings in TextView have a padding or margin on the left side:   (fixed in   10)_x000D_
_x000D_
  hadings (https:  cloud githubusercontent com assets 4741199 21072267 ba280eba bebc 11e6 927c 04ae5140cb8c png)_x000D_
_x000D_
Expected behavior: There is no padding or margin or there is a configuration to disable it or set it to zero _x000D_
_x000D_
        2 ) Very long quotes (   Text ) that do not fit into  a single line crash on the grey border (TextView    EditView)  _x000D_
_x000D_
  quote (https:  cloud githubusercontent com assets 4741199 21072283 1f343f2c bebd 11e6 9e16 54604d1352be png)_x000D_
_x000D_
Expected behavior: Even if the line breaks because it does not fit into a single row the padding margin on the left side should be equal to the first line _x000D_
Bonus: Make the padding configurable (i personally would like to have some more padding here)</t>
  </si>
  <si>
    <t>maximova136-EffectiveTravel-client-25</t>
  </si>
  <si>
    <t>Bug in PersonalStatsActivity</t>
  </si>
  <si>
    <t>App is crashed when you re trying to open this activity</t>
  </si>
  <si>
    <t>nextcloud-android-442</t>
  </si>
  <si>
    <t>Instant upload crashes client</t>
  </si>
  <si>
    <t xml:space="preserve">    Actual behaviour_x000D_
  Android 6 Sony Xperia XA  1 4 0 RC2 from f droid org _x000D_
  Take a photo using factory camera app with instant upload enabled  client crashes (message  Unfortunately  Nextcloud has stopped  ) _x000D_
  Upload doesn t happen even when restart client _x000D_
  External SD card selected for storage path in settings  _x000D_
_x000D_
    Expected behaviour_x000D_
  Photos uploaded automatically after being taken using factory camera app  _x000D_
 _x000D_
    Steps to reproduce_x000D_
1  _x000D_
2  _x000D_
3  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t>
  </si>
  <si>
    <t>wasdennnoch-AndroidN-ify-1259</t>
  </si>
  <si>
    <t>PIN not providing</t>
  </si>
  <si>
    <t xml:space="preserve">    _x000D_
Hey there  You found a problem with the module and found your way here to report it  Great  But there are some things you have to keep in mind before submitting a new issue:_x000D_
_x000D_
First  CHECK FOR DUPLICATES  Use the search function to search for keywords matching your issue  If there already is one which sounds similar to your one  please reply there instead of opening a new issue  Only exception are SystemUI crashes as they can be caused by various reasons  If any contributor finds a duplicate (or the same crash) he will close it _x000D_
_x000D_
Second  ALWAYS ATTACH YOUR XPOSED LOG  If an app crashes though you ll have to add a logcat  Use Google to learn how to capture a logcat _x000D_
_x000D_
Third  if you are using a stable version from the Xposed repository  INSTALL A SNAPSHOT BUILD to see if the issue is already fixed  You can find these snapshot in the readme _x000D_
_x000D_
If the issue is new and not yet fixed in the snapshot builds go ahead and DESCRIBE YOUR ISSUE AS PRECISE AS POSSIBLE  add screenshots or videos if necessary _x000D_
_x000D_
Note that there is no time limit in which the issue will be adressed  Some get fixed quickly  others take some time  Don t open a new issue because you think we forgot about the old one   we don t  forget  issues _x000D_
Now that you ve read all of this (and hopefully followed the instructions       ) you can add the description and logs  Do with this text what you want  it won t appear in the issue anyways _x000D_
   _x000D_
_x000D_
  Description  _x000D_
When AndroidN ify is enabled  I can t provide PIN for SIM Card _x000D_
When I click on number  its not writing to textbox _x000D_
_x000D_
_x000D_
  Module version (build version)  _x000D_
Latest_x000D_
_x000D_
  Xposed log   logcat  _x000D_
There is nothing in xposed log and logcat </t>
  </si>
  <si>
    <t>niclabs-adkintunmobile-androidclient-142</t>
  </si>
  <si>
    <t>TimelineViewFragment.java line 30</t>
  </si>
  <si>
    <t xml:space="preserve">     in cl niclabs adkintunmobile views connectiontype TimelineViewFragment updateView
  Number of crashes: 1
  Impacted devices: 1
There s a lot more information about this crash on crashlytics com:
 https:  fabric io niclabs android apps cl niclabs adkintunmobile issues 584ebdb90aeb16625be7cb5c (https:  fabric io niclabs android apps cl niclabs adkintunmobile issues 584ebdb90aeb16625be7cb5c)</t>
  </si>
  <si>
    <t>Cloudkibo-Android-351</t>
  </si>
  <si>
    <t>chat in group crashes the app</t>
  </si>
  <si>
    <t xml:space="preserve">I had just merged the latest pull request and after this  I am having some troubles with the group related features of application  I created group and added on person in the group  After this  on the other mobile the group appeared in chat list  When I tried to open it  application crashed with following problem:_x000D_
_x000D_
 img width  718  alt  screen shot 2016 12 13 at 7 30 31 pm  src  https:  cloud githubusercontent com assets 5811465 21144016 d9a31644 c16a 11e6 9258 bd889c1bf5a8 png  _x000D_
</t>
  </si>
  <si>
    <t>wasdennnoch-AndroidN-ify-1267</t>
  </si>
  <si>
    <t>Progress bar issue</t>
  </si>
  <si>
    <t xml:space="preserve">    _x000D_
Hey there  You found a problem with the module and found your way here to report it  Great  But there are some things you have to keep in mind before submitting a new issue:_x000D_
_x000D_
First  CHECK FOR DUPLICATES  Use the search function to search for keywords matching your issue  If there already is one which sounds similar to your one  please reply there instead of opening a new issue  Only exception are SystemUI crashes as they can be caused by various reasons  If any contributor finds a duplicate (or the same crash) he will close it _x000D_
_x000D_
Second  ALWAYS ATTACH YOUR XPOSED LOG  If an app crashes though you ll have to add a logcat  Use Google to learn how to capture a logcat _x000D_
_x000D_
Third  if you are using a stable version from the Xposed repository  INSTALL A SNAPSHOT BUILD to see if the issue is already fixed  You can find these snapshot in the readme _x000D_
_x000D_
If the issue is new and not yet fixed in the snapshot builds go ahead and DESCRIBE YOUR ISSUE AS PRECISE AS POSSIBLE  add screenshots or videos if necessary _x000D_
_x000D_
Note that there is no time limit in which the issue will be adressed  Some get fixed quickly  others take some time  Don t open a new issue because you think we forgot about the old one   we don t  forget  issues _x000D_
Now that you ve read all of this (and hopefully followed the instructions       ) you can add the description and logs  Do with this text what you want  it won t appear in the issue anyways _x000D_
   _x000D_
_x000D_
  Description  _x000D_
I know this issue was fixed  But my progress bar is still short _x000D_
  Module version (build version)  _x000D_
Latest build 792 _x000D_
  Xposed log   logcat  </t>
  </si>
  <si>
    <t>zom-Zom-Android-XMPP-168</t>
  </si>
  <si>
    <t xml:space="preserve">Crash as new user by bypassing sign-in, clicking photos/contacts  </t>
  </si>
  <si>
    <t xml:space="preserve">As a new user  it s possible to skip the sign in sign up page by having the app open and clicking on the pinned  Zom is running  notification when it appears in your list of notifications   This takes you to the main screen without having created credentials (Zom   me page shows a default profile name  user person  with address  user domain com )  From here it s possible to produce crashes by clicking  Create a group   naming the group and hitting OK  or by clicking Photo Stream and attempting to click the camera button  _x000D_
_x000D_
I know that it is not desired behaviour (a username is required for using the app) but I thought I should mention it anyway   Keep up the great work  </t>
  </si>
  <si>
    <t>julian-klode-dns66-51</t>
  </si>
  <si>
    <t>Regression 0.2.0: Service crash on MainActivity.config == null</t>
  </si>
  <si>
    <t xml:space="preserve">The service accidentally accesses the config when the config may be null  causing it to crash when the service is restarted without the app running </t>
  </si>
  <si>
    <t>praekeltfoundation-gem-bbb-indo-265</t>
  </si>
  <si>
    <t>Challenge Fragment: Can not perform this action after onSaveInstanceState</t>
  </si>
  <si>
    <t xml:space="preserve"> rjacobs31 I started up the app  logged in  and immediately scrolled to tips  While waiting for a tip article to load  it crashed with the below exception  I think it s async code in the Challenges fragment thats trying to handle destroyed fragments activities _x000D_
_x000D_
I m on the latest  develop  _x000D_
_x000D_
   _x000D_
E CrashlyticsCore: Failed to execute task _x000D_
                   java lang InterruptedException_x000D_
                       at java util concurrent FutureTask awaitDone(FutureTask java:391)_x000D_
                       at java util concurrent FutureTask get(FutureTask java:163)_x000D_
                       at com crashlytics android core CrashlyticsExecutorServiceWrapper executeSyncLoggingException(CrashlyticsExecutorServiceWrapper java:47)_x000D_
                       at com crashlytics android core CrashlyticsUncaughtExceptionHandler uncaughtException(CrashlyticsUncaughtExceptionHandler java:251)_x000D_
                       at java lang ThreadGroup uncaughtException(ThreadGroup java:1068)_x000D_
                       at java lang ThreadGroup uncaughtException(ThreadGroup java:1063)_x000D_
                       at rx internal schedulers ScheduledAction run(ScheduledAction java:66)_x000D_
                       at java util concurrent Executors RunnableAdapter call(Executors java:428)_x000D_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E AndroidRuntime: FATAL EXCEPTION: RxNewThreadScheduler 21_x000D_
                  Process: org gem indo dooit  PID: 2331_x000D_
                  java lang IllegalStateException: Exception thrown on Scheduler Worker thread  Add  onError  handling _x000D_
                      at rx internal schedulers ScheduledAction run(ScheduledAction java:60)_x000D_
                      at java util concurrent Executors RunnableAdapter call(Executors java:428)_x000D_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Caused by: rx exceptions OnErrorNotImplementedException: Can not perform this action after onSaveInstanceState_x000D_
                      at rx internal util InternalObservableUtils ErrorNotImplementedAction call(InternalObservableUtils java:374)_x000D_
                      at rx internal util InternalObservableUtils ErrorNotImplementedAction call(InternalObservableUtils java:371)_x000D_
                      at rx internal util ActionSubscriber onError(ActionSubscriber java:44)_x000D_
                      at rx observers SafeSubscriber  onError(SafeSubscriber java:157)_x000D_
                      at rx observers SafeSubscriber onError(SafeSubscriber java:120)_x000D_
                      at rx exceptions Exceptions throwOrReport(Exceptions java:204)_x000D_
                      at rx observers SafeSubscriber onNext(SafeSubscriber java:144)_x000D_
                      at rx internal operators OperatorObserveOn ObserveOnSubscriber call(OperatorObserveOn java:215)_x000D_
                      at rx internal schedulers ScheduledAction run(ScheduledAction java:55)_x000D_
                      at java util concurrent Executors RunnableAdapter call(Executors java:428) _x000D_
                      at java util concurrent FutureTask run(FutureTask java:237) _x000D_
                      at java util concurrent ScheduledThreadPoolExecutor ScheduledFutureTask run(ScheduledThreadPoolExecutor java:272) _x000D_
                      at java util concurrent ThreadPoolExecutor runWorker(ThreadPoolExecutor java:1133) _x000D_
                      at java util concurrent ThreadPoolExecutor Worker run(ThreadPoolExecutor java:607) _x000D_
                      at java lang Thread run(Thread java:761) _x000D_
                   Caused by: java lang IllegalStateException: Can not perform this action after onSaveInstanceState_x000D_
                      at android support v4 app FragmentManagerImpl checkStateLoss(FragmentManager java:1538)_x000D_
                      at android support v4 app FragmentManagerImpl enqueueAction(FragmentManager java:1556)_x000D_
                      at android support v4 app BackStackRecord commitInternal(BackStackRecord java:696)_x000D_
                      at android support v4 app BackStackRecord commit(BackStackRecord java:662)_x000D_
                      at org gem indo dooit views main fragments challenge ChallengeFragment loadTypeFragment(ChallengeFragment java:126)_x000D_
                      at org gem indo dooit views main fragments challenge ChallengeFragment access 000(ChallengeFragment java:41)_x000D_
                      at org gem indo dooit views main fragments challenge ChallengeFragment 2 call(ChallengeFragment java:162)_x000D_
                      at org gem indo dooit views main fragments challenge ChallengeFragment 2 call(ChallengeFragment java:159)_x000D_
                      at rx internal util ActionSubscriber onNext(ActionSubscriber java:39)_x000D_
                      at rx observers SafeSubscriber onNext(SafeSubscriber java:139)_x000D_
                      at rx internal operators OperatorObserveOn ObserveOnSubscriber call(OperatorObserveOn java:215) _x000D_
                      at rx internal schedulers ScheduledAction run(ScheduledAction java:55) _x000D_
                      at java util concurrent Executors RunnableAdapter call(Executors java:428) _x000D_
                      at java util concurrent FutureTask run(FutureTask java:237) _x000D_
                      at java util concurrent ScheduledThreadPoolExecutor ScheduledFutureTask run(ScheduledThreadPoolExecutor java:272) _x000D_
                      at java util concurrent ThreadPoolExecutor runWorker(ThreadPoolExecutor java:1133) _x000D_
                      at java util concurrent ThreadPoolExecutor Worker run(ThreadPoolExecutor java:607) _x000D_
                      at java lang Thread run(Thread java:761) _x000D_
   </t>
  </si>
  <si>
    <t>OneBusAway-onebusaway-android-730</t>
  </si>
  <si>
    <t>OutOfMemoryError when choosing gallery photo in issue report</t>
  </si>
  <si>
    <t xml:space="preserve">  Summary:   _x000D_
_x000D_
Reported by HART  and via Android Developer Console:_x000D_
_x000D_
   _x000D_
java lang OutOfMemoryError: Failed to allocate a 63489036 byte allocation with 16777216 free bytes and 33MB until OOM_x000D_
	at dalvik system VMRuntime newNonMovableArray(Native Method)_x000D_
	at android graphics BitmapFactory nativeDecodeStream(Native Method)_x000D_
	at android graphics BitmapFactory decodeStreamInternal(BitmapFactory java:882)_x000D_
	at android graphics BitmapFactory decodeStream(BitmapFactory java:858)_x000D_
	at android graphics BitmapFactory decodeFile(BitmapFactory java:478)_x000D_
	at android graphics BitmapFactory decodeFile(BitmapFactory java:516)_x000D_
	at org onebusaway android report ui Open311ProblemFragment onActivityResult(Open311ProblemFragment java:447)_x000D_
	at android support v4 app FragmentActivity onActivityResult(FragmentActivity java:175)_x000D_
	at org onebusaway android report ui BaseReportActivity onActivityResult(BaseReportActivity java:52)_x000D_
	at android app Activity dispatchActivityResult(Activity java:7137)_x000D_
	at android app ActivityThread deliverResults(ActivityThread java:4916)_x000D_
	at android app ActivityThread handleSendResult(ActivityThread java:4963)_x000D_
	at android app ActivityThread access 1600(ActivityThread java:221)_x000D_
	at android app ActivityThread H handleMessage(ActivityThread java:1848)_x000D_
	at android os Handler dispatchMessage(Handler java:102)_x000D_
	at android os Looper loop(Looper java:158)_x000D_
	at android app ActivityThread main(ActivityThread java:7224)_x000D_
	at java lang reflect Method invoke(Native Method)_x000D_
	at com android internal os ZygoteInit MethodAndArgsCaller run(ZygoteInit java:1230)_x000D_
	at com android internal os ZygoteInit main(ZygoteInit java:1120)_x000D_
   _x000D_
_x000D_
 When I report trash at a stop from OBA and try to submit a photo via the gallery  the app crashes  However it responds will by taking a picture _x000D_
_x000D_
Device was a Samsung Galaxy S5 _x000D_
_x000D_
I can t reproduce this on a LG G5 w  Android 7 0  LG G3 w  Android 5 0 1  an Amazon Fire Phone (I believe Android 4 4 4)  or a Nexus S 4G w  Android 4 1 2 _x000D_
_x000D_
  Steps to reproduce:   _x000D_
_x000D_
On an affected device:_x000D_
_x000D_
1  Tap on  Send feedback  Report stop problem _x000D_
1  Tap on stop_x000D_
1  Choose any issue category_x000D_
1  Scroll down and tap on  Add Image  button  and then  Gallery _x000D_
1  Choose photo_x000D_
_x000D_
  Expected behavior:   _x000D_
_x000D_
Add the photo to the issue report_x000D_
_x000D_
  Observed behavior:   _x000D_
_x000D_
App crashes with OutOfMemoryError _x000D_
_x000D_
  Device and Android version:   _x000D_
_x000D_
   _x000D_
Galaxy S5 (kltevzw)_x000D_
Manufacturer Samsung _x000D_
Android version Android 4 4 _x000D_
RAM (MB) 2048 _x000D_
Screen size 1080   1920 _x000D_
Screen density (dpi) 480 _x000D_
OpenGL ES version 3 0 _x000D_
Native platform armeabi v7a _x000D_
CPU make Qualcomm _x000D_
CPU model MSM8974_x000D_
   _x000D_
_x000D_
  Screenshots:   _x000D_
_x000D_
N A</t>
  </si>
  <si>
    <t>OneBusAway-onebusaway-android-729</t>
  </si>
  <si>
    <t>Crash when reporting arrival time problem via ArrivalListFragment</t>
  </si>
  <si>
    <t xml:space="preserve">  Summary:   _x000D_
_x000D_
From Android Developer console:_x000D_
_x000D_
   _x000D_
java lang NullPointerException: Attempt to invoke virtual method  java lang String android content Context getPackageName()  on a null object reference_x000D_
	at android content ComponentName  init (ComponentName java:77)_x000D_
	at android content Intent  init (Intent java:4170)_x000D_
	at org onebusaway android ui ArrivalsListFragment makeIntent(ArrivalsListFragment java:661)_x000D_
	at org onebusaway android ui ArrivalsListFragment 1 onClick(ArrivalsListFragment java:756)_x000D_
	at com android internal app AlertController AlertParams 3 onItemClick(AlertController java:1142)_x000D_
	at android widget AdapterView performItemClick(AdapterView java:305)_x000D_
	at android widget AbsListView performItemClick(AbsListView java:1146)_x000D_
	at android widget AbsListView PerformClick run(AbsListView java:3053)_x000D_
	at android widget AbsListView onTouchUp(AbsListView java:3872)_x000D_
	at android widget AbsListView onTouchEvent(AbsListView java:3637)_x000D_
	at android view View dispatchTouchEvent(View java:8476)_x000D_
	at android view ViewGroup dispatchTransformedTouchEvent(ViewGroup java:2401)_x000D_
	at android view ViewGroup dispatchTouchEvent(ViewGroup java:2092)_x000D_
	at android view ViewGroup dispatchTransformedTouchEvent(ViewGroup java:2407)_x000D_
	at android view ViewGroup dispatchTouchEvent(ViewGroup java:2106)_x000D_
	at android view ViewGroup dispatchTransformedTouchEvent(ViewGroup java:2407)_x000D_
	at android view ViewGroup dispatchTouchEvent(ViewGroup java:2106)_x000D_
	at android view ViewGroup dispatchTransformedTouchEvent(ViewGroup java:2407)_x000D_
	at android view ViewGroup dispatchTouchEvent(ViewGroup java:2106)_x000D_
	at android view ViewGroup dispatchTransformedTouchEvent(ViewGroup java:2407)_x000D_
	at android view ViewGroup dispatchTouchEvent(ViewGroup java:2106)_x000D_
	at android view ViewGroup dispatchTransformedTouchEvent(ViewGroup java:2407)_x000D_
	at android view ViewGroup dispatchTouchEvent(ViewGroup java:2106)_x000D_
	at com android internal policy impl PhoneWindow DecorView superDispatchTouchEvent(PhoneWindow java:2369)_x000D_
	at com android internal policy impl PhoneWindow superDispatchTouchEvent(PhoneWindow java:1719)_x000D_
	at android app Dialog dispatchTouchEvent(Dialog java:785)_x000D_
	at com android internal policy impl PhoneWindow DecorView dispatchTouchEvent(PhoneWindow java:2330)_x000D_
	at android view View dispatchPointerEvent(View java:8671)_x000D_
	at android view ViewRootImpl ViewPostImeInputStage processPointerEvent(ViewRootImpl java:4193)_x000D_
	at android view ViewRootImpl ViewPostImeInputStage onProcess(ViewRootImpl java:4059)_x000D_
	at android view ViewRootImpl InputStage deliver(ViewRootImpl java:3604)_x000D_
	at android view ViewRootImpl InputStage onDeliverToNext(ViewRootImpl java:3657)_x000D_
	at android view ViewRootImpl InputStage forward(ViewRootImpl java:3623)_x000D_
	at android view ViewRootImpl AsyncInputStage forward(ViewRootImpl java:3740)_x000D_
	at android view ViewRootImpl InputStage apply(ViewRootImpl java:3631)_x000D_
	at android view ViewRootImpl AsyncInputStage apply(ViewRootImpl java:3797)_x000D_
	at android view ViewRootImpl InputStage deliver(ViewRootImpl java:3604)_x000D_
	at android view ViewRootImpl InputStage onDeliverToNext(ViewRootImpl java:3657)_x000D_
	at android view ViewRootImpl InputStage forward(ViewRootImpl java:3623)_x000D_
	at android view ViewRootImpl InputStage apply(ViewRootImpl java:3631)_x000D_
	at android view ViewRootImpl InputStage deliver(ViewRootImpl java:3604)_x000D_
	at android view ViewRootImpl deliverInputEvent(ViewRootImpl java:5912)_x000D_
	at android view ViewRootImpl doProcessInputEvents(ViewRootImpl java:5851)_x000D_
	at android view ViewRootImpl enqueueInputEvent(ViewRootImpl java:5822)_x000D_
	at android view ViewRootImpl WindowInputEventReceiver onInputEvent(ViewRootImpl java:6002)_x000D_
	at android view InputEventReceiver dispatchInputEvent(InputEventReceiver java:192)_x000D_
	at android os MessageQueue nativePollOnce(Native Method)_x000D_
	at android os MessageQueue next(MessageQueue java:143)_x000D_
	at android os Looper loop(Looper java:122)_x000D_
	at android app ActivityThread main(ActivityThread java:5356)_x000D_
	at java lang reflect Method invoke(Native Method)_x000D_
	at java lang reflect Method invoke(Method java:372)_x000D_
	at com android internal os ZygoteInit MethodAndArgsCaller run(ZygoteInit java:905)_x000D_
	at com android internal os ZygoteInit main(ZygoteInit java:700)_x000D_
   _x000D_
_x000D_
  Steps to reproduce:   _x000D_
_x000D_
Unknown   maybe rotate phone while dialog is open _x000D_
_x000D_
  Expected behavior:   _x000D_
_x000D_
Not crash_x000D_
_x000D_
  Observed behavior:   _x000D_
_x000D_
Crash_x000D_
_x000D_
  Device and Android version:   _x000D_
_x000D_
LG Leon 4G LTE (c50)_x000D_
Manufacturer LGE _x000D_
Android version Android 5 0 _x000D_
RAM (MB) 1024 _x000D_
Screen size 480   854 _x000D_
Screen density (dpi) 240 _x000D_
OpenGL ES version 3 0 _x000D_
Native platform armeabi v7a _x000D_
CPU make Qualcomm _x000D_
CPU model MSM8916</t>
  </si>
  <si>
    <t>googlesamples-easypermissions-65</t>
  </si>
  <si>
    <t>Crash when requesting permissions</t>
  </si>
  <si>
    <t xml:space="preserve">Using version  0 2 1  I am sometimes seeing this crash in production:_x000D_
_x000D_
   _x000D_
Exception java lang RuntimeException: Failure delivering result ResultInfo who  android:requestPermissions:  request 101  result  1  data Intent   act android content pm action REQUEST PERMISSIONS VirtualScreenParam Params mDisplayId  1  null  mFlags 0x00000000)  (has extras)    to activity  com google android apps santatracker com google android apps santatracker presentquest MapsActivity : java lang IllegalStateException: Can not perform this action after onSaveInstanceState_x000D_
android app ActivityThread deliverResults (ActivityThread java:4925)_x000D_
android app ActivityThread handleSendResult (ActivityThread java:4968)_x000D_
android app ActivityThread access 1600 (ActivityThread java:222)_x000D_
android app ActivityThread H handleMessage (ActivityThread java:1849)_x000D_
android os Handler dispatchMessage (Handler java:102)_x000D_
android os Looper loop (Looper java:158)_x000D_
android app ActivityThread main (ActivityThread java:7229)_x000D_
java lang reflect Method invoke (Method java)_x000D_
com android internal os ZygoteInit MethodAndArgsCaller run (ZygoteInit java:1230)_x000D_
com android internal os ZygoteInit main (ZygoteInit java:1120)_x000D_
   _x000D_
_x000D_
   _x000D_
Caused by java lang IllegalStateException: Can not perform this action after onSaveInstanceState_x000D_
android support v4 app FragmentManagerImpl checkStateLoss (FragmentManager java:1533)_x000D_
android support v4 app FragmentManagerImpl enqueueAction (FragmentManager java:1551)_x000D_
android support v4 app BackStackRecord commitInternal (BackStackRecord java:696)_x000D_
android support v4 app BackStackRecord commit (BackStackRecord java:662)_x000D_
android support v4 app DialogFragment show (DialogFragment java:139)_x000D_
pub devrel easypermissions EasyPermissions showRationaleDialogFragmentCompat (EasyPermissions java:176)_x000D_
pub devrel easypermissions EasyPermissions requestPermissions (EasyPermissions java:149)_x000D_
pub devrel easypermissions EasyPermissions requestPermissions (EasyPermissions java:104)_x000D_
   </t>
  </si>
  <si>
    <t>OpenArchive-Save-app-android-51</t>
  </si>
  <si>
    <t>Crash after using camera</t>
  </si>
  <si>
    <t xml:space="preserve">Taking a still picture and then accepting (blue checkmark button) is resulting in a crash every time (Nexus 5x Android N)  Video does not cause this problem  Crash report has been submitted  Thanks for your work _x000D_
_x000D_
edit: stacktrace   Also: this occurs with the version of the app on the Google Play store _x000D_
           beginning of crash_x000D_
12 15 11:49:36 506 17742 17742   E AndroidRuntime: FATAL EXCEPTION: main_x000D_
                                                   Process: net opendasharchive openarchive release  PID: 17742_x000D_
                                                   java lang RuntimeException: Failure delivering result ResultInfo who null  request 101  result  1  data Intent       to activity  net opendasharchive openarchive release net opendasharchive openarchive MainActivity : java lang NullPointerException: url_x000D_
                                                       at android app ActivityThread deliverResults(ActivityThread java:4053)_x000D_
                                                       at android app ActivityThread handleSendResult(ActivityThread java:4096)_x000D_
                                                       at android app ActivityThread  wrap20(ActivityThread java)_x000D_
                                                       at android app ActivityThread H handleMessage(ActivityThread java:1516)_x000D_
                                                       at android os Handler dispatchMessage(Handler java:102)_x000D_
                                                       at android os Looper loop(Looper java:154)_x000D_
                                                       at android app ActivityThread main(ActivityThread java:6077)_x000D_
                                                       at java lang reflect Method invoke(Native Method)_x000D_
                                                       at com android internal os ZygoteInit MethodAndArgsCaller run(ZygoteInit java:865)_x000D_
                                                       at com android internal os ZygoteInit main(ZygoteInit java:755)_x000D_
                                                    Caused by: java lang NullPointerException: url_x000D_
                                                       at com android internal util Preconditions checkNotNull(Preconditions java:111)_x000D_
                                                       at android content ContentResolver getType(ContentResolver java:367)_x000D_
                                                       at net opendasharchive openarchive MainActivity onActivityResult(MainActivity java:182)_x000D_
                                                       at android app Activity dispatchActivityResult(Activity java:6917)_x000D_
                                                       at android app ActivityThread deliverResults(ActivityThread java:4049)_x000D_
                                                       at android app ActivityThread handleSendResult(ActivityThread java:4096) _x000D_
                                                       at android app ActivityThread  wrap20(ActivityThread java) _x000D_
                                                       at android app ActivityThread H handleMessage(ActivityThread java:1516) _x000D_
                                                       at android os Handler dispatchMessage(Handler java:102) _x000D_
                                                       at android os Looper loop(Looper java:154) _x000D_
                                                       at android app ActivityThread main(ActivityThread java:6077) _x000D_
                                                       at java lang reflect Method invoke(Native Method) _x000D_
                                                       at com android internal os ZygoteInit MethodAndArgsCaller run(ZygoteInit java:865) _x000D_
                                                       at com android internal os ZygoteInit main(ZygoteInit java:755) _x000D_
12 15 11:49:36 508 4857 6122   W ActivityManager:   Force finishing activity net opendasharchive openarchive release net opendasharchive openarchive MainActivity_x000D_
 </t>
  </si>
  <si>
    <t>HRVBand-hrv-band-76</t>
  </si>
  <si>
    <t>The app crashes in the first minute of measurements.</t>
  </si>
  <si>
    <t xml:space="preserve">User reports that app crashes in first minute of measurement:_x000D_
_x000D_
Exception:_x000D_
   _x000D_
java lang NullPointerException: Attempt to invoke virtual method  void android app Activity runOnUiThread(java lang Runnable)  on a null object reference_x000D_
	at hrv band app view UiHandlingUtil updateTextView(UiHandlingUtil java:32)_x000D_
	at hrv band app view fragment MeasuringFragment 3 onAnimationEnd(MeasuringFragment java:137)_x000D_
	at android animation ValueAnimator endAnimation(ValueAnimator java:1089)_x000D_
	at android animation ValueAnimator AnimationHandler doAnimationFrame(ValueAnimator java:666)_x000D_
	at android animation ValueAnimator AnimationHandler run(ValueAnimator java:682)_x000D_
	at android view Choreographer CallbackRecord run(Choreographer java:777)_x000D_
	at android view Choreographer doCallbacks(Choreographer java:590)_x000D_
	at android view Choreographer doFrame(Choreographer java:559)_x000D_
	at android view Choreographer FrameDisplayEventReceiver run(Choreographer java:763)_x000D_
	at android os Handler handleCallback(Handler java:739)_x000D_
	at android os Handler dispatchMessage(Handler java:95)_x000D_
	at android os Looper loop(Looper java:145)_x000D_
	at android app ActivityThread main(ActivityThread java:5951)_x000D_
	at java lang reflect Method invoke(Native Method)_x000D_
	at java lang reflect Method invoke(Method java:372)_x000D_
	at com android internal os ZygoteInit MethodAndArgsCaller run(ZygoteInit java:1400)_x000D_
	at com android internal os ZygoteInit main(ZygoteInit java:1195)_x000D_
   _x000D_
Device:_x000D_
   _x000D_
Galaxy S4_x000D_
Hersteller: Samsung _x000D_
Android Version: 5 0 _x000D_
RAM (MB): 2048 _x000D_
Bildschirmgr  e: 1920   1080 _x000D_
Bildschirmdichte (dpi): 480 _x000D_
OpenGL ES Version: 2 0 _x000D_
Native Plattform: armeabi v7a _x000D_
CPU Marke: Samsung _x000D_
CPU Modell: Exynos5410_x000D_
   </t>
  </si>
  <si>
    <t>schotten-totten-company-schotten-totten-8</t>
  </si>
  <si>
    <t>crash lors d'une reclamation de borne</t>
  </si>
  <si>
    <t xml:space="preserve">cf capture d  cran  crash lorsque l utilisateur essai de reclamer la borne 888 (qui gagne contre le 222 d en face)_x000D_
  screenshot 2016 12 15 10 34 59 (https:  cloud githubusercontent com assets 15614863 21218908 d6ee281e c2b2 11e6 9856 3edb7d6cd464 png)_x000D_
</t>
  </si>
  <si>
    <t>projectwife-mtesitoo-android-59</t>
  </si>
  <si>
    <t>Fatal Crash in Prod: Null Pointer Exception</t>
  </si>
  <si>
    <t xml:space="preserve">No message returning on error response  _x000D_
Can t currently see which user is attached to the crash  Will look at adding this in future update so we can correlate to a specific user _x000D_
_x000D_
https:  fabric io socialcoder android apps com mtesitoo issues 57f4234a0aeb16625b23f4c9_x000D_
_x000D_
   java_x000D_
Fatal Exception: java lang NullPointerException: println needs a message_x000D_
       at android util Log println native(Log java)_x000D_
       at android util Log e(Log java:334)_x000D_
       at com mtesitoo backend service LoginResponse onErrorResponse(LoginResponse java:51)_x000D_
       at com android volley Request deliverError(Request java:590)_x000D_
       at com android volley ExecutorDelivery ResponseDeliveryRunnable run(ExecutorDelivery java:101)_x000D_
       at android os Handler handleCallback(Handler java:733)_x000D_
       at android os Handler dispatchMessage(Handler java:95)_x000D_
       at android os Looper loop(Looper java:136)_x000D_
       at android app ActivityThread main(ActivityThread java:5590)_x000D_
       at java lang reflect Method invokeNative(Method java)_x000D_
       at java lang reflect Method invoke(Method java:515)_x000D_
       at com android internal os ZygoteInit MethodAndArgsCaller run(ZygoteInit java:1268)_x000D_
       at com android internal os ZygoteInit main(ZygoteInit java:1084)_x000D_
       at dalvik system NativeStart main(NativeStart java)_x000D_
   </t>
  </si>
  <si>
    <t>veritrans-veritrans-android-194</t>
  </si>
  <si>
    <t>Fix expiry details on UI</t>
  </si>
  <si>
    <t>also fix crash on instruction</t>
  </si>
  <si>
    <t>tvbarthel-IntentShare-46</t>
  </si>
  <si>
    <t>IndexOutOfBoundsException when using back button</t>
  </si>
  <si>
    <t xml:space="preserve">Hey there _x000D_
_x000D_
first thanks for creating this libary  Sharing is by far not that easy on Android as it should  so  IntentShare  comes in very handy _x000D_
_x000D_
Now to my issue: Selecting an app to share to from the  TargetChooserActivity  works as expected  But going back to my app using Android s back button or application switcher causes a crash of my app with the following stacktrace:_x000D_
_x000D_
 java lang IndexOutOfBoundsException: Inconsistency detected  Invalid item position 0(offset:2) state:2_x000D_
                                                                                at android support v7 widget RecyclerView Recycler tryGetViewHolderForPositionByDeadline(RecyclerView java:5427)_x000D_
                                                                                at android support v7 widget RecyclerView Recycler getViewForPosition(RecyclerView java:5363)_x000D_
                                                                                at android support v7 widget RecyclerView Recycler getViewForPosition(RecyclerView java:5359)_x000D_
                                                                                at android support v7 widget LinearLayoutManager LayoutState next(LinearLayoutManager java:2141)_x000D_
                                                                                at android support v7 widget LinearLayoutManager layoutChunk(LinearLayoutManager java:1525)_x000D_
                                                                                at android support v7 widget LinearLayoutManager fill(LinearLayoutManager java:1488)_x000D_
                                                                                at android support v7 widget LinearLayoutManager onLayoutChildren(LinearLayoutManager java:585)_x000D_
                                                                                at android support v7 widget RecyclerView dispatchLayoutStep1(RecyclerView java:3457)_x000D_
                                                                                at android support v7 widget RecyclerView dispatchLayout(RecyclerView java:3252)_x000D_
                                                                                at android support v7 widget RecyclerView onLayout(RecyclerView java:3767)_x000D_
                                                                                at android view View layout(View java:16646)_x000D_
                                                                                at android view ViewGroup layout(ViewGroup java:5440)_x000D_
                                                                                at android widget LinearLayout setChildFrame(LinearLayout java:1743)_x000D_
                                                                                at android widget LinearLayout layoutVertical(LinearLayout java:1586)_x000D_
                                                                                at android widget LinearLayout onLayout(LinearLayout java:1495)_x000D_
                                                                                at android view View layout(View java:16646)_x000D_
                                                                                at android view ViewGroup layout(ViewGroup java:5440)_x000D_
                                                                                at android widget FrameLayout layoutChildren(FrameLayout java:336)_x000D_
                                                                                at android widget FrameLayout onLayout(FrameLayout java:273)_x000D_
                                                                                at android view View layout(View java:16646)_x000D_
                                                                                at android view ViewGroup layout(ViewGroup java:5440)_x000D_
                                                                                at android widget FrameLayout layoutChildren(FrameLayout java:336)_x000D_
                                                                                at android widget FrameLayout onLayout(FrameLayout java:273)_x000D_
                                                                                at android view View layout(View java:16646)_x000D_
                                                                                at android view ViewGroup layout(ViewGroup java:5440)_x000D_
                                                                                at android widget FrameLayout layoutChildren(FrameLayout java:336)_x000D_
                                                                                at android widget FrameLayout onLayout(FrameLayout java:273)_x000D_
                                                                                at android widget ScrollView onLayout(ScrollView java:1528)_x000D_
                                                                                at android view View layout(View java:16646)_x000D_
                                                                                at android view ViewGroup layout(ViewGroup java:5440)_x000D_
                                                                                at android widget FrameLayout layoutChildren(FrameLayout java:336)_x000D_
                                                                                at android widget FrameLayout onLayout(FrameLayout java:273)_x000D_
                                                                                at android view View layout(View java:16646)_x000D_
                                                                                at android view ViewGroup layout(ViewGroup java:5440)_x000D_
                                                                                at android support v4 widget DrawerLayout onLayout(DrawerLayout java:1193)_x000D_
                                                                                at android view View layout(View java:16646)_x000D_
                                                                                at android view ViewGroup layout(ViewGroup java:5440)_x000D_
                                                                                at android widget FrameLayout layoutChildren(FrameLayout java:336)_x000D_
                                                                                at android widget FrameLayout onLayout(FrameLayout java:273)_x000D_
                                                                                at android view View layout(View java:16646)_x000D_
                                                                                at android view ViewGroup layout(ViewGroup java:5440)_x000D_
                                                                                at android support v7 widget ActionBarOverlayLayout onLayout(ActionBarOverlayLayout java:437)_x000D_
                                                                                at android view View layout(View java:16646)_x000D_
                                                                                at android view ViewGroup layout(ViewGroup java:5440)_x000D_
                                                                                at android widget FrameLayout layoutChildren(FrameLayout java:336)_x000D_
                                                                                at android widget FrameLayout onLayout(FrameLayout java:273)_x000D_
                                                                                at android view View layout(View java:16646)_x000D_
                                                                                at android view ViewGroup layout(ViewGroup java:5440)_x000D_
                                                                                at android widget LinearLayout setChildFrame(LinearLayout java:1743)_x000D_
                                                                                at android widget LinearLayout layoutVertical(LinearLayout java:1586)_x000D_
                                                                                at android widget LinearLayout onLayout(LinearLayout java:1495)_x000D_
                                                                                at android view View layout(View java:16646)_x000D_
                                                                                at android view ViewGroup layout(ViewGroup java:5440)_x000D_
                                                                                at android widget FrameLayout layoutChildren(FrameLayout java:336)_x000D_
                                                                                at android widget FrameLayout onLayout(FrameLayout java:273)_x000D_
                                                                                at com android internal policy PhoneWindow DecorView onLayout(PhoneWindow java:2678)_x000D_
                                                                                at android view View layout(View java:16646)_x000D_
                                                                                at android view ViewGroup layout(ViewGroup java:5440)_x000D_
                                                                                at android view ViewRootImpl performLayout(ViewRootImpl java:2183)_x000D_
                                                                            	at android view ViewRootImpl performTraver _x000D_
_x000D_
For me it seems that the  RecyclerView  in  TargetChooserActivity  is causing the issue as I don t have one in my layout of my activity _x000D_
_x000D_
Looking forward to a fix   keep up the good work </t>
  </si>
  <si>
    <t>google-cameraview-70</t>
  </si>
  <si>
    <t>LG G4 startCaptureSession fails.</t>
  </si>
  <si>
    <t xml:space="preserve">I tried to test app on LG g4 with 23 api  But after Error:_x000D_
 com google android cameraview demo E Camera2: onError: 0 (1)_x000D_
I see nothing on the surface  _x000D_
Take photo doesn t work after this and crashes with lockFocus issue _x000D_
_x000D_
To make it work  I commented setSize calling:_x000D_
_x000D_
_x000D_
    private final TextureView mTextureView _x000D_
_x000D_
    private int mDisplayOrientation _x000D_
_x000D_
    TextureViewPreview(Context context  ViewGroup parent)  _x000D_
        final View view   View inflate(context  R layout texture view  parent) _x000D_
        mTextureView   (TextureView) view findViewById(R id texture view) _x000D_
        mTextureView setSurfaceTextureListener(new TextureView SurfaceTextureListener()  _x000D_
_x000D_
             Override_x000D_
            public void onSurfaceTextureAvailable(SurfaceTexture surface  int width  int height)  _x000D_
                  setSize(width  height) _x000D_
                configureTransform() _x000D_
                dispatchSurfaceChanged() _x000D_
             _x000D_
_x000D_
             Override_x000D_
            public void onSurfaceTextureSizeChanged(SurfaceTexture surface  int width  int height)  _x000D_
                  setSize(width  height) _x000D_
                configureTransform() _x000D_
                dispatchSurfaceChanged() _x000D_
             _x000D_
_x000D_
             Override_x000D_
            public boolean onSurfaceTextureDestroyed(SurfaceTexture surface)  _x000D_
                setSize(0  0) _x000D_
                return true _x000D_
             _x000D_
_x000D_
             Override_x000D_
            public void onSurfaceTextureUpdated(SurfaceTexture surface)  _x000D_
             _x000D_
         ) _x000D_
     _x000D_
_x000D_
I tried google samples for camera2 api  and these samples work on LG g4 _x000D_
https:  github com googlesamples android Camera2Basic_x000D_
_x000D_
In callbacks of the SurfaceTextureListener they process little bit in other way  </t>
  </si>
  <si>
    <t>kontalk-androidclient-908</t>
  </si>
  <si>
    <t>Crash: no encryption methods specified</t>
  </si>
  <si>
    <t xml:space="preserve">    Expected behavior_x000D_
No crash _x000D_
_x000D_
    Actual behavior_x000D_
Within seconds of starting the app Kontalk crashes _x000D_
_x000D_
    Steps to reproduce_x000D_
1  Start Kontalk _x000D_
2  Count to 2 or 3 _x000D_
3  Kontalk crashes_x000D_
_x000D_
    Environment_x000D_
_x000D_
Kontalk version: beta4 basic apk_x000D_
_x000D_
Android version: Lollipop 5 1_x000D_
_x000D_
Device model: Fairphone 2_x000D_
_x000D_
    Logs_x000D_
_x000D_
I ll send it immediately after creating this issue _x000D_
_x000D_
    Other_x000D_
_x000D_
Happens to two Fairphone 2 users (I only have a log of one of them)  but not to the third  All of them are using the same beta4 basic apk </t>
  </si>
  <si>
    <t>danikula-AndroidVideoCache-105</t>
  </si>
  <si>
    <t>Fatal Exception: java.lang.ArrayIndexOutOfBoundsException</t>
  </si>
  <si>
    <t>Hi _x000D_
I am getting crash from HttpUrlSource close() method  only Android 5 x devices Crashlytics says _x000D_
Crash stack trace is below:_x000D_
How can I resolve this issue   I am using version 2 6 4 _x000D_
Also I am getting your Exception description:_x000D_
_x000D_
 Wait    but why  WTF   Really shouldn t happen any more after fixing https:  github com danikula AndroidVideoCache issues 43  If you read it on your device log  please  notify me danikula gmail com or create issue here https:  github com danikula AndroidVideoCache issues _x000D_
_x000D_
_x000D_
Fatal Exception: java lang ArrayIndexOutOfBoundsException_x000D_
       at com android okio Util checkOffsetAndCount(Util java:29)_x000D_
       at com android okio OkBuffer skip(OkBuffer java:391)_x000D_
       at com android okio OkBuffer clear(OkBuffer java:386)_x000D_
       at com android okio RealBufferedSource close(RealBufferedSource java:205)_x000D_
       at com android okio RealBufferedSource 1 close(RealBufferedSource java:187)_x000D_
       at com android okhttp internal Util closeQuietly(Util java:97)_x000D_
       at com android okhttp internal http HttpEngine close(HttpEngine java:583)_x000D_
       at com android okhttp internal http HttpURLConnectionImpl disconnect(HttpURLConnectionImpl java:113)_x000D_
       at com danikula videocache HttpUrlSource close(HttpUrlSource java:85)_x000D_
       at com danikula videocache ProxyCache closeSource(ProxyCache java:165)_x000D_
       at com danikula videocache ProxyCache readSource(ProxyCache java:140)_x000D_
       at com danikula videocache ProxyCache access 100(ProxyCache java:17)_x000D_
       at com danikula videocache ProxyCache SourceReaderRunnable run(ProxyCache java:184)_x000D_
       at java lang Thread run(Thread java:818)</t>
  </si>
  <si>
    <t>schedjoules-android-event-discovery-sdk-48</t>
  </si>
  <si>
    <t>Crash when rotating event list after error</t>
  </si>
  <si>
    <t xml:space="preserve"> when I loaded the page initially I had no network connection  and the error was shown  After rotating the device  it crashed _x000D_
_x000D_
   _x000D_
12 20 18:20:53 168  8796  8796 E AndroidRuntime: FATAL EXCEPTION: main_x000D_
12 20 18:20:53 168  8796  8796 E AndroidRuntime: Process: com schedjoules eventdiscovery demo  PID: 8796_x000D_
12 20 18:20:53 168  8796  8796 E AndroidRuntime: java lang NullPointerException: Attempt to invoke interface method  boolean com schedjoules client eventsdiscovery ResultPage isFirstPage()  on a null object reference_x000D_
12 20 18:20:53 168  8796  8796 E AndroidRuntime:     at com schedjoules eventdiscovery eventlist itemsprovider ScrollDirection 1 hasComingPageQuery(ScrollDirection java:42)_x000D_
12 20 18:20:53 168  8796  8796 E AndroidRuntime:     at com schedjoules eventdiscovery eventlist itemsprovider EventListItemsProviderImpl queueComingPage(EventListItemsProviderImpl java:151)_x000D_
12 20 18:20:53 168  8796  8796 E AndroidRuntime:     at com schedjoules eventdiscovery eventlist itemsprovider EventListItemsProviderImpl onScrolledCloseToEdge(EventListItemsProviderImpl java:176)_x000D_
12 20 18:20:53 168  8796  8796 E AndroidRuntime:     at com schedjoules eventdiscovery eventlist view EdgeReachScrollListener onScrollStateChanged(EdgeReachScrollListener java:69)_x000D_
12 20 18:20:53 168  8796  8796 E AndroidRuntime:     at android support v7 widget RecyclerView dispatchOnScrollStateChanged(RecyclerView java:4426)_x000D_
12 20 18:20:53 168  8796  8796 E AndroidRuntime:     at android support v7 widget RecyclerView setScrollState(RecyclerView java:1334)_x000D_
12 20 18:20:53 168  8796  8796 E AndroidRuntime:     at android support v7 widget RecyclerView onTouchEvent(RecyclerView java:2756)_x000D_
12 20 18:20:53 168  8796  8796 E AndroidRuntime:     at android view View dispatchTouchEvent(View java:9415)_x000D_
12 20 18:20:53 168  8796  8796 E AndroidRuntime:     at android view ViewGroup dispatchTransformedTouchEvent(ViewGroup java:2660)_x000D_
12 20 18:20:53 168  8796  8796 E AndroidRuntime:     at android view ViewGroup dispatchTouchEvent(ViewGroup java:2304)_x000D_
12 20 18:20:53 168  8796  8796 E AndroidRuntime:     at android view ViewGroup dispatchTransformedTouchEvent(ViewGroup java:2666)_x000D_
12 20 18:20:53 168  8796  8796 E AndroidRuntime:     at android view ViewGroup dispatchTouchEvent(ViewGroup java:2318)_x000D_
12 20 18:20:53 168  8796  8796 E AndroidRuntime:     at android view ViewGroup dispatchTransformedTouchEvent(ViewGroup java:2666)_x000D_
12 20 18:20:53 168  8796  8796 E AndroidRuntime:     at android view ViewGroup dispatchTouchEvent(ViewGroup java:2318)_x000D_
12 20 18:20:53 168  8796  8796 E AndroidRuntime:     at android view ViewGroup dispatchTransformedTouchEvent(ViewGroup java:2666)_x000D_
12 20 18:20:53 168  8796  8796 E AndroidRuntime:     at android view ViewGroup dispatchTouchEvent(ViewGroup java:2318)_x000D_
12 20 18:20:53 168  8796  8796 E AndroidRuntime:     at android view ViewGroup dispatchTransformedTouchEvent(ViewGroup java:2666)_x000D_
12 20 18:20:53 168  8796  8796 E AndroidRuntime:     at android view ViewGroup dispatchTouchEvent(ViewGroup java:2318)_x000D_
   </t>
  </si>
  <si>
    <t>kontalk-androidclient-911</t>
  </si>
  <si>
    <t>Crash: user leaves group</t>
  </si>
  <si>
    <t xml:space="preserve">    Expected behavior_x000D_
No crash _x000D_
_x000D_
    Actual behavior_x000D_
Kontalk crashes after clicking the group _x000D_
_x000D_
    Steps to reproduce_x000D_
1 create group with at least 2 members_x000D_
2 admin owner leaves the group_x000D_
3 entering the chat again crashes Kontalk (for owner and member)_x000D_
_x000D_
    Environment_x000D_
_x000D_
Kontalk version: build from scratch  basic flavor   f3c5664edf8071d249abf85df883d6f9e88b058a_x000D_
_x000D_
Android version: CyanogenMod 14 1_x000D_
_x000D_
Device model: iyokan   Sony Ericsson Xperia Pro_x000D_
_x000D_
localization: german_x000D_
_x000D_
    Logs_x000D_
_x000D_
relevant parts:_x000D_
_x000D_
  12 21 21:13:07 273 18755 18755 E AndroidRuntime: FATAL EXCEPTION: main_x000D_
12 21 21:13:07 273 18755 18755 E AndroidRuntime: Process: org kontalk  PID: 18755_x000D_
12 21 21:13:07 273 18755 18755 E AndroidRuntime: java util UnknownFormatConversionException: Conversion    ) _x000D_
12 21 21:13:07 273 18755 18755 E AndroidRuntime: 	at java util Formatter FormatSpecifier conversion(Formatter java:2730)_x000D_
12 21 21:13:07 273 18755 18755 E AndroidRuntime: 	at java util Formatter FormatSpecifier  init (Formatter java:2759)_x000D_
12 21 21:13:07 273 18755 18755 E AndroidRuntime: 	at java util Formatter FormatSpecifierParser  init (Formatter java:2591)_x000D_
12 21 21:13:07 273 18755 18755 E AndroidRuntime: 	at java util Formatter parse(Formatter java:2524)_x000D_
12 21 21:13:07 273 18755 18755 E AndroidRuntime: 	at java util Formatter format(Formatter java:2472)_x000D_
12 21 21:13:07 273 18755 18755 E AndroidRuntime: 	at java util Formatter format(Formatter java:2426)_x000D_
12 21 21:13:07 273 18755 18755 E AndroidRuntime: 	at java lang String format(String java:2670)_x000D_
12 21 21:13:07 273 18755 18755 E AndroidRuntime: 	at android content res Resources getString(Resources java:406)_x000D_
12 21 21:13:07 273 18755 18755 E AndroidRuntime: 	at org kontalk ui view GroupContentView bind(GroupContentView java:83)_x000D_
12 21 21:13:07 273 18755 18755 E AndroidRuntime: 	at org kontalk ui view GroupContentView bind(GroupContentView java:38)_x000D_
12 21 21:13:07 273 18755 18755 E AndroidRuntime: 	at org kontalk ui view MessageContentViewFactory createContent(MessageContentViewFactory java:71)_x000D_
12 21 21:13:07 273 18755 18755 E AndroidRuntime: 	at org kontalk ui view EventMessageTheme processComponents(EventMessageTheme java:83)_x000D_
12 21 21:13:07 273 18755 18755 E AndroidRuntime: 	at org kontalk ui view MessageListItem bind(MessageListItem java:165)_x000D_
12 21 21:13:07 273 18755 18755 E AndroidRuntime: 	at org kontalk ui adapter MessageListAdapter bindView(MessageListAdapter java:87)_x000D_
</t>
  </si>
  <si>
    <t>flowupio-FlowUpAndroidSDK-173</t>
  </si>
  <si>
    <t>NullPointerExpection in io.flowup.reporter</t>
  </si>
  <si>
    <t xml:space="preserve">Affected Version: 0 2 4_x000D_
Company: bloco io_x000D_
http:  crashes to s 20e7d0ca3d3_x000D_
   _x000D_
Fatal Exception: java lang NullPointerException: Attempt to invoke virtual method  int java lang Object hashCode()  on a null object reference_x000D_
       at java util concurrent ConcurrentHashMap get(ConcurrentHashMap java:915)_x000D_
       at com google gson Gson getAdapter(SourceFile:399)_x000D_
       at com google gson internal bind TypeAdapterRuntimeTypeWrapper write(SourceFile:56)_x000D_
       at com google gson internal bind ReflectiveTypeAdapterFactory 1 write(SourceFile:125)_x000D_
       at com google gson internal bind ReflectiveTypeAdapterFactory Adapter write(SourceFile:243)_x000D_
       at com google gson internal bind TypeAdapterRuntimeTypeWrapper write(SourceFile:69)_x000D_
       at com google gson internal bind CollectionTypeAdapterFactory Adapter write(SourceFile:97)_x000D_
       at com google gson internal bind CollectionTypeAdapterFactory Adapter write(SourceFile:61)_x000D_
       at com google gson internal bind TypeAdapterRuntimeTypeWrapper write(SourceFile:69)_x000D_
       at com google gson internal bind ReflectiveTypeAdapterFactory 1 write(SourceFile:125)_x000D_
       at com google gson internal bind ReflectiveTypeAdapterFactory Adapter write(SourceFile:243)_x000D_
       at com google gson Gson toJson(SourceFile:669)_x000D_
       at com google gson Gson toJson(SourceFile:648)_x000D_
       at com google gson Gson toJson(SourceFile:603)_x000D_
       at com google gson Gson toJson(SourceFile:583)_x000D_
       at io flowup reporter a a b(Unknown Source)_x000D_
       at io flowup reporter a a a(Unknown Source)_x000D_
       at io flowup reporter android WiFiSyncService b(Unknown Source)_x000D_
       at io flowup reporter android WiFiSyncService onRunTask(Unknown Source)_x000D_
       at com google android gms gcm GcmTaskService zza run(Unknown Source)_x000D_
   </t>
  </si>
  <si>
    <t>flowupio-FlowUpAndroidSDK-172</t>
  </si>
  <si>
    <t>SQLiteDatabaseLockedException in io.flowup.config</t>
  </si>
  <si>
    <t xml:space="preserve">In com anuntis segundamano with suposed version 0 2 6_x000D_
_x000D_
We get the following crash:_x000D_
http:  crashes to s dc6823f68f7_x000D_
   _x000D_
Fatal Exception: android database sqlite SQLiteDatabaseLockedException: database is locked (code 5):   while compiling: PRAGMA journal mode_x000D_
       at android database sqlite SQLiteConnection nativePrepareStatement(SQLiteConnection java)_x000D_
       at android database sqlite SQLiteConnection acquirePreparedStatement(SQLiteConnection java:1112)_x000D_
       at android database sqlite SQLiteConnection executeForString(SQLiteConnection java:823)_x000D_
       at android database sqlite SQLiteConnection setJournalMode(SQLiteConnection java:509)_x000D_
       at android database sqlite SQLiteConnection setWalModeFromConfiguration(SQLiteConnection java:483)_x000D_
       at android database sqlite SQLiteConnection open(SQLiteConnection java:382)_x000D_
       at android database sqlite SQLiteConnection open(SQLiteConnection java:232)_x000D_
       at android database sqlite SQLiteConnectionPool openConnectionLocked(SQLiteConnectionPool java:512)_x000D_
       at android database sqlite SQLiteConnectionPool open(SQLiteConnectionPool java:206)_x000D_
       at android database sqlite SQLiteConnectionPool open(SQLiteConnectionPool java:178)_x000D_
       at android database sqlite SQLiteDatabase openInner(SQLiteDatabase java:888)_x000D_
       at android database sqlite SQLiteDatabase open(SQLiteDatabase java:858)_x000D_
       at android database sqlite SQLiteDatabase openDatabase(SQLiteDatabase java:695)_x000D_
       at android app ContextImpl openOrCreateDatabase(ContextImpl java:1159)_x000D_
       at android content ContextWrapper openOrCreateDatabase(ContextWrapper java:275)_x000D_
       at android database sqlite SQLiteOpenHelper getDatabaseLocked(SQLiteOpenHelper java:224)_x000D_
       at android database sqlite SQLiteOpenHelper getWritableDatabase(SQLiteOpenHelper java:164)_x000D_
       at io flowup f a a(Unknown Source)_x000D_
       at io flowup config b c a(Unknown Source)_x000D_
       at io flowup config b b(Unknown Source)_x000D_
       at io flowup config android ConfigSyncService onRunTask(Unknown Source)_x000D_
       at io flowup config android ConfigSyncService onRunTask(Unknown Source)_x000D_
       at com google android gms gcm GcmTaskService zza run(Unknown Source)_x000D_
       at java util concurrent ThreadPoolExecutor runWorker(ThreadPoolExecutor java:1112)_x000D_
       at java util concurrent ThreadPoolExecutor Worker run(ThreadPoolExecutor java:587)_x000D_
       at java lang Thread run(Thread java:841)_x000D_
   </t>
  </si>
  <si>
    <t>flowupio-FlowUpAndroidSDK-171</t>
  </si>
  <si>
    <t>NullPointerException io.flowup.reporter</t>
  </si>
  <si>
    <t xml:space="preserve">In com anuntis segundamano with suposed version 0 2 6_x000D_
_x000D_
We get the following crash:_x000D_
http:  crashes to s 73781d71911_x000D_
_x000D_
   Java_x000D_
Fatal Exception: java lang NullPointerException_x000D_
       at io flowup reporter c j c(Unknown Source)_x000D_
       at io flowup reporter c j a(Unknown Source)_x000D_
       at io flowup reporter c f 2 a(Unknown Source)_x000D_
       at io flowup reporter c f 2 b(Unknown Source)_x000D_
       at io flowup f a a(Unknown Source)_x000D_
       at io flowup reporter c f a(Unknown Source)_x000D_
       at io flowup reporter android WiFiSyncService c(Unknown Source)_x000D_
       at io flowup reporter android WiFiSyncService onRunTask(Unknown Source)_x000D_
       at com google android gms gcm GcmTaskService zza run(Unknown Source)_x000D_
       at java util concurrent ThreadPoolExecutor runWorker(ThreadPoolExecutor java:1112)_x000D_
       at java util concurrent ThreadPoolExecutor Worker run(ThreadPoolExecutor java:587)_x000D_
       at java lang Thread run(Thread java:841)_x000D_
   </t>
  </si>
  <si>
    <t>syncthing-syncthing-android-822</t>
  </si>
  <si>
    <t>Open folder crash app</t>
  </si>
  <si>
    <t>There is problem with this new feature _x000D_
When I click folder icon from the app then it s immediately crash _x000D_
_x000D_
App Version: 0 9 3_x000D_
Syncthing Version: v0 4 16_x000D_
Android Version: Android 6 0 1 (Nexus5  root)</t>
  </si>
  <si>
    <t>SecUSo-privacy-friendly-pedometer-28</t>
  </si>
  <si>
    <t>Android 4.4.2/ Samsung GT-N7100: Crashes on start.</t>
  </si>
  <si>
    <t xml:space="preserve">Android 4 4 2  Samsung GT N7100: This app gives a notice: 0 of n steps walked and crashes on start  every time  Have rebooted device and no change </t>
  </si>
  <si>
    <t>Cloudkibo-Android-380</t>
  </si>
  <si>
    <t>App crash after receiving the message version 95</t>
  </si>
  <si>
    <t xml:space="preserve"> sojharo _x000D_
_x000D_
The app is crashing after the receiving the message_x000D_
_x000D_
  image (https:  cloud githubusercontent com assets 5336012 21469228 9f1f0b4a c9f3 11e6 8bdd 6afd71921502 png)_x000D_
</t>
  </si>
  <si>
    <t>morenoh149-react-native-contacts-136</t>
  </si>
  <si>
    <t>getPhotoForId crash on iOS</t>
  </si>
  <si>
    <t>Hi_x000D_
_x000D_
In the mean time we were trying to use the getPhotoForId function on iOS _x000D_
We added the following code:_x000D_
   _x000D_
      Contacts getPhotoForId(contactList i  recordID  (err  result)     _x000D_
                   if (result      )   console log(  PATH RESULT :   result)        _x000D_
      ) _x000D_
   _x000D_
It does display path but on a real device with 3000 contacts  it often endup with a crash and the following error:_x000D_
   _x000D_
AB: Could not compile statement for query (ABCCopyArrayOfAllInstancesOfClassInSourceMatchingPredicates):_x000D_
SELECT ROWID  Name  ExternalIdentifier  Type  ConstraintsPath  ExternalModificationTag  ExternalSyncTag  AccountID  Enabled  SyncData  MeIdentifier  Capabilities FROM ABStore WHERE Enabled     _x000D_
   _x000D_
And sometime:_x000D_
   _x000D_
 error  tid:com facebook react ContactsQueue  RCTConvert m:59  JSON value  1  of type NSString cannot be converted to NSNumber_x000D_
   _x000D_
:(</t>
  </si>
  <si>
    <t>nextcloud-android-477</t>
  </si>
  <si>
    <t>Client 20161224 crashes</t>
  </si>
  <si>
    <t xml:space="preserve">    Actual behaviour_x000D_
Client  crashes every  now and then_x000D_
_x000D_
    Expected behaviour_x000D_
 no crashes of course _x000D_
 _x000D_
    Steps to reproduce_x000D_
1   Don t know  mostly while listing directories (fast scrolling larger directories ) _x000D_
2  _x000D_
3  _x000D_
_x000D_
_x000D_
    Environment data_x000D_
Android version:_x000D_
_x000D_
Device model: _x000D_
Samsung klte_x000D_
Stock or customized system:_x000D_
Cm 13_x000D_
Nextcloud app version:_x000D_
Beta 20161224_x000D_
Nextcloud server version:_x000D_
11_x000D_
    Logs_x000D_
             CAUSE OF ERROR             _x000D_
_x000D_
java lang IllegalArgumentException: Empty values_x000D_
	at android database sqlite SQLiteDatabase updateWithOnConflict(SQLiteDatabase java:1542)_x000D_
	at android database sqlite SQLiteDatabase update(SQLiteDatabase java:1522)_x000D_
	at com owncloud android providers FileContentProvider updateFilesTableAccordingToShareInsertion(FileContentProvider java:349)_x000D_
	at com owncloud android providers FileContentProvider insert(FileContentProvider java:283)_x000D_
	at com owncloud android providers FileContentProvider insert(FileContentProvider java:227)_x000D_
	at android content ContentProviderOperation apply(ContentProviderOperation java:302)_x000D_
	at com owncloud android providers FileContentProvider applyBatch(FileContentProvider java:549)_x000D_
	at android content ContentProvider Transport applyBatch(ContentProvider java:315)_x000D_
	at android content ContentProviderClient applyBatch(ContentProviderClient java:419)_x000D_
	at android content ContentResolver applyBatch(ContentResolver java:1275)_x000D_
	at com owncloud android datamodel FileDataStorageManager saveSharesInFolder(FileDataStorageManager java:1484)_x000D_
	at com owncloud android operations RefreshFolderOperation refreshSharesForFolder(RefreshFolderOperation java:504)_x000D_
	at com owncloud android operations RefreshFolderOperation run(RefreshFolderOperation java:216)_x000D_
	at com owncloud android lib common operations RemoteOperation run(RemoteOperation java:303)_x000D_
	at java lang Thread run(Thread java:818)_x000D_
_x000D_
             DEVICE INFORMATION            _x000D_
Brand: samsung_x000D_
Device: klte_x000D_
Model: SM G900F_x000D_
Id: M4B30X_x000D_
Product: cm klte_x000D_
_x000D_
             FIRMWARE             _x000D_
SDK: 23_x000D_
Release: 6 0 1_x000D_
Incremental: d0edb3bba9_x000D_
_x000D_
     Web server error log_x000D_
   _x000D_
Insert your webserver log here_x000D_
   _x000D_
_x000D_
     Nextcloud log (data nextcloud log)_x000D_
   _x000D_
Insert your Nextcloud log here_x000D_
   _x000D_
</t>
  </si>
  <si>
    <t>cgeo-cgeo-6205</t>
  </si>
  <si>
    <t xml:space="preserve">Concurrent modification exception </t>
  </si>
  <si>
    <t xml:space="preserve">Beta feedback:_x000D_
  Samsung S7_x000D_
  2016 12 09 RC_x000D_
_x000D_
User message:_x000D_
langsam reicht es ich habe 1500 caches gespeichert u d ein anzeigen aller auf der Karte f hrt jedesmal zu absturz der App  so kann man hier nicht arbeiten    _x000D_
English: User tries to map a list of 1500 caches on map  which makes it crash all the time _x000D_
_x000D_
Looks similar to  5907 which was fixed by  rsudev   but the fix should already by included in the used version of this user _x000D_
_x000D_
   _x000D_
java lang RuntimeException: Unable to resume activity  cgeo geocaching cgeo geocaching maps mapsforge v6 NewMap : java util ConcurrentModificationException_x000D_
	at android app ActivityThread performResumeActivity(ActivityThread java:4221)_x000D_
	at android app ActivityThread handleResumeActivity(ActivityThread java:4323)_x000D_
	at android app ActivityThread H handleMessage(ActivityThread java:1865)_x000D_
	at android os Handler dispatchMessage(Handler java:102)_x000D_
	at android os Looper loop(Looper java:148)_x000D_
	at android app ActivityThread main(ActivityThread java:7325)_x000D_
	at java lang reflect Method invoke(Native Method)_x000D_
	at com android internal os ZygoteInit MethodAndArgsCaller run(ZygoteInit java:1230)_x000D_
	at com android internal os ZygoteInit main(ZygoteInit java:1120)_x000D_
Caused by: java util ConcurrentModificationException_x000D_
	at java util LinkedHashMap LinkedHashIterator nextEntry(LinkedHashMap java:346)_x000D_
	at java util LinkedHashMap ValueIterator next(LinkedHashMap java:370)_x000D_
	at org mapsforge map layer cache InMemoryTileCache purge(InMemoryTileCache java:82)_x000D_
	at org mapsforge map layer cache TwoLevelTileCache purge(TwoLevelTileCache java:80)_x000D_
	at cgeo geocaching maps mapsforge v6 NewMap switchTileLayer(NewMap java:647)_x000D_
	at cgeo geocaching maps mapsforge v6 NewMap initializeLayers(NewMap java:686)_x000D_
	at cgeo geocaching maps mapsforge v6 NewMap onStart(NewMap java:681)_x000D_
	at android app Instrumentation callActivityOnStart(Instrumentation java:1266)_x000D_
	at android app Activity performStart(Activity java:6943)_x000D_
	at android app Activity performRestart(Activity java:7002)_x000D_
	at android app Activity performResume(Activity java:7007)_x000D_
	at android app ActivityThread performResumeActivity(ActivityThread java:4210)_x000D_
	    8 more_x000D_
   _x000D_
</t>
  </si>
  <si>
    <t>openbmap-radiocells-scanner-android-173</t>
  </si>
  <si>
    <t>App crashes when "Location" permission is off (revoked)</t>
  </si>
  <si>
    <t xml:space="preserve"> What steps will reproduce the problem  _x000D_
1  Revoke the location permission for the app (In Android OS    M  it is revoked by default after app installation)_x000D_
2  Start a new session _x000D_
_x000D_
Here is the screenshot:_x000D_
  openbmap (https:  cloud githubusercontent com assets 11197005 21507462 5169eab4 cc2d 11e6 86d0 de8700adf6a8 gif)_x000D_
_x000D_
 What is the expected output  What do you see instead  _x000D_
If the  Location  permission is not granted upon creating a new session  should show the permission dialog and ask the user to grant the missing (i e  Location) permission _x000D_
_x000D_
 What version are you using  On what operating system  _x000D_
Master branch on Nexus 5  API 23_x000D_
_x000D_
 Please provide any additional information below  _x000D_
stack trace after the crash:_x000D_
   _x000D_
12 27 12:15:03 057 15619 15619 org openbmap E AndroidRuntime: FATAL EXCEPTION: main_x000D_
                                                              Process: org openbmap  PID: 15619_x000D_
                                                              java lang RuntimeException: Unable to create service org openbmap services wireless WirelessLoggerService: java lang SecurityException: Neither user 10401 nor current process has android permission ACCESS COARSE LOCATION _x000D_
                                                                  at android app ActivityThread handleCreateService(ActivityThread java:2887)_x000D_
                                                                  at android app ActivityThread  wrap4(ActivityThread java)_x000D_
                                                                  at android app ActivityThread H handleMessage(ActivityThread java:1427)_x000D_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SecurityException: Neither user 10401 nor current process has android permission ACCESS COARSE LOCATION _x000D_
                                                                  at android os Parcel readException(Parcel java:1599)_x000D_
                                                                  at android os Parcel readException(Parcel java:1552)_x000D_
                                                                  at com android internal telephony ITelephonyRegistry Stub Proxy listenForSubscriber(ITelephonyRegistry java:553)_x000D_
                                                                  at android telephony TelephonyManager listen(TelephonyManager java:2675)_x000D_
                                                                  at org openbmap services wireless WirelessLoggerService registerPhoneStateManager(WirelessLoggerService java:416)_x000D_
                                                                  at org openbmap services wireless WirelessLoggerService onCreate(WirelessLoggerService java:297)_x000D_
                                                                  at android app ActivityThread handleCreateService(ActivityThread java:2877)_x000D_
                                                                  at android app ActivityThread  wrap4(ActivityThread java) _x000D_
                                                                  at android app ActivityThread H handleMessage(ActivityThread java:1427) _x000D_
                                                                  at android os Handler dispatchMessage(Handler java:102) _x000D_
                                                                  at android os Looper loop(Looper java:148) _x000D_
                                                                  at android app ActivityThread main(ActivityThread java:5417) _x000D_
                                                                  at java lang reflect Method invoke(Native Method)_x000D_
   </t>
  </si>
  <si>
    <t>dimagi-commcare-android-1608</t>
  </si>
  <si>
    <t>Stop audio button animation on question validation issue</t>
  </si>
  <si>
    <t>If you swipe forward while audio is playing and hit a validation condition issue  the animation continues but the audio stops  Then if you try to resume playback CC crashes _x000D_
This PR fixes these issues by stopping the playback and animation _x000D_
_x000D_
Fix for http:  manage dimagi com default asp 244503</t>
  </si>
  <si>
    <t>google-ExoPlayer-2264</t>
  </si>
  <si>
    <t>NPE in HlsMediaSource.releaseSource()</t>
  </si>
  <si>
    <t xml:space="preserve">Sometimes I have a crash with this stacktrace  _x000D_
Probably it happens when non prepared Source is goes to be released _x000D_
Could you  please  add check  playlistTracker  for null when  releaseSource()  is called _x000D_
Lib version is 2 1 1_x000D_
_x000D_
   _x000D_
AndroidRuntime: FATAL EXCEPTION: ExoPlayerImplInternal:Handler_x000D_
    Process: com xxx  PID: 5770_x000D_
    java lang NullPointerException: Attempt to invoke virtual method  void com google android exoplayer2 source hls playlist HlsPlaylistTracker release()  on a null object reference_x000D_
                 at com google android exoplayer2 source hls HlsMediaSource releaseSource(HlsMediaSource java:97)_x000D_
                 at com google android exoplayer2 ExoPlayerImplInternal resetInternal(ExoPlayerImplInternal java:698)_x000D_
                 at com google android exoplayer2 ExoPlayerImplInternal stopInternal(ExoPlayerImplInternal java:658)_x000D_
                 at com google android exoplayer2 ExoPlayerImplInternal handleMessage(ExoPlayerImplInternal java:367)_x000D_
                 at android os Handler dispatchMessage(Handler java:98)_x000D_
                 at android os Looper loop(Looper java:154)_x000D_
                 at android os HandlerThread run(HandlerThread java:61)_x000D_
                 at com google android exoplayer2 util PriorityHandlerThread run(PriorityHandlerThread java:40)_x000D_
                 at InfoAboutApp VersionCode(numberVersionCode:1047)_x000D_
   _x000D_
_x000D_
   _x000D_
   Override_x000D_
  public void releaseSource()  _x000D_
    playlistTracker release() _x000D_
    playlistTracker   null _x000D_
    sourceListener   null _x000D_
   _x000D_
   </t>
  </si>
  <si>
    <t>romandanylyk-PageIndicatorView-13</t>
  </si>
  <si>
    <t>Caused by java.lang.IllegalStateException</t>
  </si>
  <si>
    <t xml:space="preserve">android database Observable unregisterObserver (Observable java:69)_x000D_
android support v4 view PagerAdapter unregisterDataSetObserver (PagerAdapter java:305)_x000D_
com rd PageIndicatorView unRegisterSetObserver (PageIndicatorView java:1114)_x000D_
com rd PageIndicatorView onDetachedFromWindow (PageIndicatorView java:117)_x000D_
android view View dispatchDetachedFromWindow (View java:14579)_x000D_
com android internal os ZygoteInit main (ZygoteInit java:628)_x000D_
_x000D_
I am getting this error reports for my app after i integrated your library in my app _x000D_
However i am not able to recreate the error myself but i am getting this error in my crashlytics dashboard </t>
  </si>
  <si>
    <t>cachapa-AerialDream-4</t>
  </si>
  <si>
    <t>Loads new aerials quickly until it crashes or freezes</t>
  </si>
  <si>
    <t>It worked for a week or two before it started doing this  I assume it s related to when there was an update to the app  but I didn t keep track of when it started (sorry )_x000D_
I ve manually started it to show what s going on and it worked much better than usual (but still failed)   It goes to the daydream menu at the end because it only managed to crash itself this time instead of my entire TV _x000D_
I believe our TV is a Sony Bravia 4K Android TV  I could probably find more details if needed _x000D_
video:_x000D_
https:  goo gl photos Hw3pAA2oQdFA9WDf6</t>
  </si>
  <si>
    <t>nextcloud-android-483</t>
  </si>
  <si>
    <t>Crash for email-shared folders/files</t>
  </si>
  <si>
    <t xml:space="preserve">This came in via the Google Play review:_x000D_
_x000D_
  The app provides some  but the sharing of folders or files with external (ie an email address instead of LDAP) unfortunately leads reliably the app to crash  Once you delete the items in question  the app works perfectly again  Please fix  I have found in the app also no way to know from whom I got assigned to a file  Otherwise  keep it up _x000D_
_x000D_
_x000D_
Device_x000D_
    Galaxy S7 (herolte)_x000D_
_x000D_
App version_x000D_
    10040099 (1 4 0)_x000D_
_x000D_
OS_x000D_
    Android 6 0 </t>
  </si>
  <si>
    <t>inaturalist-iNaturalistAndroid-287</t>
  </si>
  <si>
    <t>OutOfMemory errors on species and identification lists</t>
  </si>
  <si>
    <t>Build 185  I released despite this but I think this is the highest priority bug at the moment  Easy to replicate if you have a lot of species or identifications  just scroll for a while on either list and the app will crash  Happens a lot sooner if you re in grid view so I assume this is related to image loading  Also more pronounced on a low memory device than the Moto G than on a Nexus 5X  but it affects both _x000D_
_x000D_
Here s a log excerpt:_x000D_
_x000D_
   _x000D_
12 29 13:45:16 549  3644  4923 I art     : Waiting for a blocking GC Alloc_x000D_
12 29 13:45:16 596  3644  3644 I art     : Clamp target GC heap from 207MB to 192MB_x000D_
12 29 13:45:16 596  3644  3644 I art     : Alloc partial concurrent mark sweep GC freed 6(144B) AllocSpace objects  0(0B) LOS objects  0  free  191MB 192MB  paused 634us total 47 434ms_x000D_
12 29 13:45:16 596  3644  3644 I art     : Starting a blocking GC Alloc_x000D_
12 29 13:45:16 597  3644  4922 I art     : Waiting for a blocking GC Alloc_x000D_
12 29 13:45:16 597  3644  4925 I art     : Waiting for a blocking GC Alloc_x000D_
12 29 13:45:16 597  3644  4923 I art     : Waiting for a blocking GC Alloc_x000D_
12 29 13:45:16 597  3644  4924 I art     : Waiting for a blocking GC Alloc_x000D_
12 29 13:45:16 645  3644  3644 I art     : Clamp target GC heap from 207MB to 192MB_x000D_
12 29 13:45:16 645  3644  3644 I art     : Alloc concurrent mark sweep GC freed 3(72B) AllocSpace objects  0(0B) LOS objects  0  free  191MB 192MB  paused 637us total 48 137ms_x000D_
12 29 13:45:16 645  3644  3644 I art     : Forcing collection of SoftReferences for 650KB allocation_x000D_
12 29 13:45:16 645  3644  3644 I art     : Starting a blocking GC Alloc_x000D_
12 29 13:45:16 645  3644  4922 I art     : Waiting for a blocking GC Alloc_x000D_
12 29 13:45:16 645  3644  4925 I art     : Waiting for a blocking GC Alloc_x000D_
12 29 13:45:16 645  3644  4924 I art     : Waiting for a blocking GC Alloc_x000D_
12 29 13:45:16 646  3644  4923 I art     : Waiting for a blocking GC Alloc_x000D_
12 29 13:45:16 680  4495  5102 W AbstractGoogleClient: Application name is not set  Call Builder setApplicationName _x000D_
12 29 13:45:16 693  3644  3644 I art     : Clamp target GC heap from 207MB to 192MB_x000D_
12 29 13:45:16 693  3644  3644 I art     : Alloc concurrent mark sweep GC freed 3(72B) AllocSpace objects  0(0B) LOS objects  0  free  191MB 192MB  paused 680us total 48 405ms_x000D_
12 29 13:45:16 694  3644  3644 W art     : Throwing OutOfMemoryError  Failed to allocate a 666012 byte allocation with 408808 free bytes and 399KB until OOM _x000D_
12 29 13:45:16 694  3644  4922 I art     : WaitForGcToComplete blocked for 154 004ms for cause Alloc_x000D_
12 29 13:45:16 694  3644  4922 I art     : Starting a blocking GC Alloc_x000D_
12 29 13:45:16 694  3644  4922 I art     : Starting a blocking GC Alloc_x000D_
12 29 13:45:16 695  3644  4925 I art     : Waiting for a blocking GC Alloc_x000D_
12 29 13:45:16 695  3644  4923 I art     : Waiting for a blocking GC Alloc_x000D_
12 29 13:45:16 696  3644  4924 I art     : Waiting for a blocking GC Alloc_x000D_
12 29 13:45:16 725  3644  3644 D AndroidRuntime: Shutting down VM_x000D_
12 29 13:45:16 726  3644  4922 I art     : Alloc sticky concurrent mark sweep GC freed 0(0B) AllocSpace objects  0(0B) LOS objects  0  free  191MB 192MB  paused 1 001ms total 31 349ms_x000D_
12 29 13:45:16 726  3644  4925 I art     : WaitForGcToComplete blocked for 598 524ms for cause Alloc_x000D_
12 29 13:45:16 729  3644  4925 I art     : Starting a blocking GC Alloc_x000D_
12 29 13:45:16 730  3644  4923 I art     : WaitForGcToComplete blocked for 488 641ms for cause Alloc_x000D_
12 29 13:45:16 730  3644  4923 I art     : Starting a blocking GC Alloc_x000D_
12 29 13:45:16 730  3644  4924 I art     : Waiting for a blocking GC Alloc_x000D_
12 29 13:45:16 734  3644  4922 I art     : Waiting for a blocking GC Alloc_x000D_
12 29 13:45:16 742  3644  3644 W System err: java lang OutOfMemoryError: Failed to allocate a 666012 byte allocation with 408808 free bytes and 399KB until OOM_x000D_
12 29 13:45:16 814  3644  3644 W System err: 	at dalvik system VMRuntime newNonMovableArray(Native Method)_x000D_
12 29 13:45:16 814  3644  3644 W System err: 	at android graphics Bitmap nativeCreate(Native Method)_x000D_
12 29 13:45:16 814  3644  3644 W System err: 	at android graphics Bitmap createBitmap(Bitmap java:879)_x000D_
12 29 13:45:16 814  3644  3644 W System err: 	at android graphics Bitmap createBitmap(Bitmap java:856)_x000D_
12 29 13:45:16 814  3644  3644 W System err: 	at android graphics Bitmap createBitmap(Bitmap java:823)_x000D_
12 29 13:45:16 815  3644  3644 W System err: 	at org inaturalist android ImageUtils getRoundedCornerBitmap(ImageUtils java:119)_x000D_
12 29 13:45:16 815  3644  3644 W System err: 	at org inaturalist android UserSpeciesAdapter 1 onLoaded(UserSpeciesAdapter java:162)_x000D_
12 29 13:45:16 815  3644  3644 W System err: 	at com koushikdutta urlimageviewhelper UrlImageViewHelper setUrlDrawable(UrlImageViewHelper java:538)_x000D_
12 29 13:45:16 815  3644  3644 W System err: 	at com koushikdutta urlimageviewhelper UrlImageViewHelper setUrlDrawable(UrlImageViewHelper java:269)_x000D_
12 29 13:45:16 815  3644  3644 W System err: 	at org inaturalist android UserSpeciesAdapter loadObsImage(UserSpeciesAdapter java:182)_x000D_
12 29 13:45:16 815  3644  3644 W System err: 	at org inaturalist android UserSpeciesAdapter getView(UserSpeciesAdapter java:132)_x000D_
12 29 13:45:16 815  3644  3644 W System err: 	at android widget AbsListView obtainView(AbsListView java:2362)_x000D_
12 29 13:45:16 815  3644  3644 W System err: 	at android widget GridView onMeasure(GridView java:1065)_x000D_
12 29 13:45:16 815  3644  3644 W System err: 	at android view View measure(View java:19733)_x000D_
12 29 13:45:16 815  3644  3644 W System err: 	at android view ViewGroup measureChildWithMargins(ViewGroup java:6120)_x000D_
12 29 13:45:16 815  3644  3644 W System err: 	at android widget FrameLayout onMeasure(FrameLayout java:185)_x000D_
12 29 13:45:16 815  3644  3644 W System err: 	at android view View measure(View java:19733)_x000D_
12 29 13:45:16 815  3644  3644 W System err: 	at android view ViewGroup measureChildWithMargins(ViewGroup java:6120)_x000D_
12 29 13:45:16 815  3644  3644 W System err: 	at android widget LinearLayout measureChildBeforeLayout(LinearLayout java:1464)_x000D_
12 29 13:45:16 815  3644  3644 W System err: 	at android widget LinearLayout measureVertical(LinearLayout java:758)_x000D_
12 29 13:45:16 815  3644  3644 W System err: 	at android widget LinearLayout onMeasure(LinearLayout java:640)_x000D_
12 29 13:45:16 815  3644  3644 W System err: 	at android view View measure(View java:19733)_x000D_
12 29 13:45:16 815  3644  3644 W System err: 	at android widget RelativeLayout measureChild(RelativeLayout java:676)_x000D_
12 29 13:45:16 815  3644  3644 W System err: 	at android widget RelativeLayout onMeasure(RelativeLayout java:479)_x000D_
12 29 13:45:16 815  3644  3644 W System err: 	at android view View measure(View java:19733)_x000D_
12 29 13:45:16 815  3644  3644 W System err: 	at android widget RelativeLayout measureChild(RelativeLayout java:676)_x000D_
12 29 13:45:16 815  3644  3644 W System err: 	at android widget RelativeLayout onMeasure(RelativeLayout java:479)_x000D_
12 29 13:45:16 815  3644  3644 W System err: 	at android view View measure(View java:19733)_x000D_
12 29 13:45:16 815  3644  3644 W System err: 	at android support v4 view ViewPager onMeasure(ViewPager java:1560)_x000D_
12 29 13:45:16 815  3644  3644 W System err: 	at android view View measure(View java:19733)_x000D_
12 29 13:45:16 815  3644  3644 W System err: 	at android widget RelativeLayout measureChildHorizontal(RelativeLayout java:715)_x000D_
12 29 13:45:16 815  3644  3644 W System err: 	at android widget RelativeLayout onMeasure(RelativeLayout java:461)_x000D_
12 29 13:45:16 815  3644  3644 W System err: 	at android view View measure(View java:19733)_x000D_
12 29 13:45:16 815  3644  3644 W System err: 	at android view ViewGroup measureChildWithMargins(ViewGroup java:6120)_x000D_
12 29 13:45:16 815  3644  3644 W System err: 	at android widget FrameLayout onMeasure(FrameLayout java:185)_x000D_
12 29 13:45:16 815  3644  3644 W System err: 	at android support v7 widget ContentFrameLayout onMeasure(ContentFrameLayout java:135)_x000D_
12 29 13:45:16 816  3644  3644 W System err: 	at android view View measure(View java:19733)_x000D_
12 29 13:45:16 816  3644  3644 W System err: 	at android view ViewGroup measureChildWithMargins(ViewGroup java:6120)_x000D_
12 29 13:45:16 816  3644  3644 W System err: 	at android support v7 widget ActionBarOverlayLayout onMeasure(ActionBarOverlayLayout java:391)_x000D_
12 29 13:45:16 816  3644  3644 W System err: 	at android view View measure(View java:19733)_x000D_
12 29 13:45:16 816  3644  3644 W System err: 	at android view ViewGroup measureChildWithMargins(ViewGroup java:6120)_x000D_
12 29 13:45:16 816  3644  3644 W System err: 	at android widget FrameLayout onMeasure(FrameLayout java:185)_x000D_
12 29 13:45:16 816  3644  3644 W System err: 	at android view View measure(View java:19733)_x000D_
12 29 13:45:16 816  3644  3644 W System err: 	at android view ViewGroup measureChildWithMargins(ViewGroup java:6120)_x000D_
12 29 13:45:16 816  3644  3644 W System err: 	at android widget LinearLayout measureChildBeforeLayout(LinearLayout java:1464)_x000D_
12 29 13:45:16 816  3644  3644 W System err: 	at android widget LinearLayout measureVertical(LinearLayout java:758)_x000D_
12 29 13:45:16 816  3644  3644 W System err: 	at android widget LinearLayout onMeasure(LinearLayout java:640)_x000D_
12 29 13:45:16 816  3644  3644 W System err: 	at android view View measure(View java:19733)_x000D_
12 29 13:45:16 816  3644  3644 W System err: 	at android widget RelativeLayout measureChild(RelativeLayout java:676)_x000D_
12 29 13:45:16 816  3644  3644 W System err: 	at android widget RelativeLayout onMeasure(RelativeLayout java:479)_x000D_
12 29 13:45:16 816  3644  3644 W System err: 	at android view View measure(View java:19733)_x000D_
12 29 13:45:16 816  3644  3644 W System err: 	at android support v4 widget DrawerLayout onMeasure(DrawerLayout java:1075)_x000D_
12 29 13:45:16 816  3644  3644 W System err: 	at android view View measure(View java:19733)_x000D_
12 29 13:45:16 816  3644  3644 W System err: 	at android view ViewGroup measureChildWithMargins(ViewGroup java:6120)_x000D_
12 29 13:45:16 816  3644  3644 W System err: 	at android widget FrameLayout onMeasure(FrameLayout java:185)_x000D_
12 29 13:45:16 816  3644  3644 W System err: 	at com android internal policy DecorView onMeasure(DecorView java:687)_x000D_
12 29 13:45:16 816  3644  3644 W System err: 	at android view View measure(View java:19733)_x000D_
12 29 13:45:16 816  3644  3644 W System err: 	at android view ViewRootImpl performMeasure(ViewRootImpl java:2271)_x000D_
12 29 13:45:16 816  3644  3644 W System err: 	at android view ViewRootImpl measureHierarchy(ViewRootImpl java:1358)_x000D_
12 29 13:45:16 816  3644  3644 W System err: 	at android view ViewRootImpl performTraversals(ViewRootImpl java:1607)_x000D_
12 29 13:45:16 816  3644  3644 W System err: 	at android view ViewRootImpl doTraversal(ViewRootImpl java:1246)_x000D_
12 29 13:45:16 816  3644  3644 W System err: 	at android view ViewRootImpl TraversalRunnable run(ViewRootImpl java:6301)_x000D_
12 29 13:45:16 816  3644  3644 W System err: 	at android view Choreographer CallbackRecord run(Choreographer java:871)_x000D_
12 29 13:45:16 816  3644  3644 W System err: 	at android view Choreographer doCallbacks(Choreographer java:683)_x000D_
12 29 13:45:16 816  3644  3644 W System err: 	at android view Choreographer doFrame(Choreographer java:619)_x000D_
12 29 13:45:16 816  3644  3644 W System err: 	at android view Choreographer FrameDisplayEventReceiver run(Choreographer java:857)_x000D_
12 29 13:45:16 816  3644  3644 W System err: 	at android os Handler handleCallback(Handler java:751)_x000D_
12 29 13:45:16 816  3644  3644 W System err: 	at android os Handler dispatchMessage(Handler java:95)_x000D_
12 29 13:45:16 816  3644  3644 W System err: 	at android os Looper loop(Looper java:154)_x000D_
12 29 13:45:16 816  3644  3644 W System err: 	at android app ActivityThread main(ActivityThread java:6077)_x000D_
12 29 13:45:16 816  3644  3644 W System err: 	at java lang reflect Method invoke(Native Method)_x000D_
12 29 13:45:16 816  3644  3644 W System err: 	at com android internal os ZygoteInit MethodAndArgsCaller run(ZygoteInit java:865)_x000D_
12 29 13:45:16 817  3644  3644 W System err: 	at com android internal os ZygoteInit main(ZygoteInit java:755)_x000D_
12 29 13:45:16 839  3644  4923 W art     : Suspending all threads took: 11 040ms_x000D_
12 29 13:45:16 844  3644  4923 I art     : Clamp target GC heap from 207MB to 192MB_x000D_
12 29 13:45:16 845  3644  4923 I art     : Alloc concurrent mark sweep GC freed 2018(127KB) AllocSpace objects  0(0B) LOS objects  0  free  191MB 192MB  paused 12 617ms total 114 236ms_x000D_
12 29 13:45:16 845  3644  4923 W art     : Throwing OutOfMemoryError  Failed to allocate a 666012 byte allocation with 364536 free bytes and 355KB until OOM _x000D_
12 29 13:45:16 845  3644  4923 I art     : Starting a blocking GC Alloc_x000D_
12 29 13:45:16 845  3644  4923 I art     : Starting a blocking GC Alloc_x000D_
12 29 13:45:16 846  3644  4924 I art     : Waiting for a blocking GC Alloc_x000D_
12 29 13:45:16 846  3644  4922 I art     : Waiting for a blocking GC Alloc_x000D_
12 29 13:45:16 849  3644  3644 W FlurryAgent: Error logged: uncaught_x000D_
12 29 13:45:16 859  3644  4923 I art     : Alloc sticky concurrent mark sweep GC freed 88(4KB) AllocSpace objects  0(0B) LOS objects  0  free  191MB 192MB  paused 1 790ms total 14 020ms_x000D_
12 29 13:45:16 859  3644  4923 I art     : Starting a blocking GC Alloc_x000D_
12 29 13:45:16 859  3644  4922 I art     : Waiting for a blocking GC Alloc_x000D_
12 29 13:45:16 859  3644  4924 I art     : Waiting for a blocking GC Alloc_x000D_
12 29 13:45:16 879  3644  3644 W FlurryAgent: End session with context: org inaturalist android ObservationListActivity 859aabc count:0_x000D_
12 29 13:45:16 880   857  4486 I GnssLocationProvider: WakeLock acquired by sendMessage(3  0  com android server location GnssLocationProvider GpsRequest 53716b2)_x000D_
12 29 13:45:16 885   857   869 I GnssLocationProvider: WakeLock released by handleMessage(3  0  com android server location GnssLocationProvider GpsRequest 53716b2)_x000D_
12 29 13:45:16 903  3644  3644 W FlurryAgent: Finalize session_x000D_
12 29 13:45:16 909  3644  3685 I art     : Waiting for a blocking GC Alloc_x000D_
12 29 13:45:16 912  3644  3644 I art     : Waiting for a blocking GC Alloc_x000D_
12 29 13:45:16 941  3644  4923 I art     : Clamp target GC heap from 205MB to 192MB_x000D_
12 29 13:45:16 941  3644  4923 I art     : Alloc partial concurrent mark sweep GC freed 2662(301KB) AllocSpace objects  6(1796KB) LOS objects  1  free  189MB 192MB  paused 915us total 81 769ms_x000D_
12 29 13:45:16 941  3644  4922 I art     : WaitForGcToComplete blocked for 207 408ms for cause Alloc_x000D_
12 29 13:45:16 941  3644  4922 I art     : Starting a blocking GC Alloc_x000D_
12 29 13:45:16 942  3644  4924 I art     : Waiting for a blocking GC Alloc_x000D_
12 29 13:45:16 942  3644  3685 I art     : Waiting for a blocking GC Alloc_x000D_
12 29 13:45:16 943  3644  3644 I art     : Waiting for a blocking GC Alloc_x000D_
12 29 13:45:17 026  3644  4922 I art     : Clamp target GC heap from 206MB to 192MB_x000D_
12 29 13:45:17 026  3644  4922 I art     : Alloc partial concurrent mark sweep GC freed 328(23KB) AllocSpace objects  0(0B) LOS objects  0  free  190MB 192MB  paused 935us total 84 504ms_x000D_
12 29 13:45:17 026  3644  4924 I art     : WaitForGcToComplete blocked for 955 544ms for cause Alloc_x000D_
12 29 13:45:17 026  3644  4924 I art     : Starting a blocking GC Alloc_x000D_
12 29 13:45:17 027  3644  3685 I art     : WaitForGcToComplete blocked for 118 043ms for cause Alloc_x000D_
12 29 13:45:17 027  3644  3685 I art     : Starting a blocking GC Alloc_x000D_
12 29 13:45:17 027  3644  3644 I art     : WaitForGcToComplete blocked for 114 966ms for cause Alloc_x000D_
12 29 13:45:17 027  3644  3644 I art     : Starting a blocking GC Alloc_x000D_
12 29 13:45:17 040  3644  4922 I art     : Waiting for a blocking GC Alloc_x000D_
12 29 13:45:17 040  3644  3685 I art     : Waiting for a blocking GC Alloc_x000D_
12 29 13:45:17 042  3644  3644 I art     : Waiting for a blocking GC Alloc_x000D_
12 29 13:45:17 043  3644  4922 I art     : Waiting for a blocking GC Alloc_x000D_
12 29 13:45:17 043  3644  3644 I art     : Waiting for a blocking GC Alloc_x000D_
12 29 13:45:17 043  3644  3685 I art     : Waiting for a blocking GC Alloc_x000D_
12 29 13:45:17 045  3644  4923 I art     : Waiting for a blocking GC Alloc_x000D_
12 29 13:45:17 046  3644  4925 I art     : Waiting for a blocking GC Alloc_x000D_
12 29 13:45:17 049  3644  4924 I art     : Waiting for a blocking GC Alloc_x000D_
12 29 13:45:17 085  3644  3654 I art     : Clamp target GC heap from 207MB to 192MB_x000D_
12 29 13:45:17 085  3644  4922 I art     : WaitForGcToComplete blocked for 45 863ms for cause Alloc_x000D_
12 29 13:45:17 086  3644  4922 I art     : Starting a blocking GC Alloc_x000D_
12 29 13:45:17 086  3644  3644 I art     : WaitForGcToComplete blocked for 44 086ms for cause Alloc_x000D_
12 29 13:45:17 086  3644  3644 I art     : Starting a blocking GC Alloc_x000D_
12 29 13:45:17 086  3644  3685 I art     : WaitForGcToComplete blocked for 46 263ms for cause Alloc_x000D_
12 29 13:45:17 086  3644  3685 I art     : Starting a blocking GC Alloc_x000D_
12 29 13:45:17 086  3644  4923 I art     : WaitForGcToComplete blocked for 41 536ms for cause Alloc_x000D_
12 29 13:45:17 086  3644  4923 I art     : Starting a blocking GC Alloc_x000D_
12 29 13:45:17 087  3644  4925 I art     : WaitForGcToComplete blocked for 41 052ms for cause Alloc_x000D_
12 29 13:45:17 087  3644  4925 I art     : Starting a blocking GC Alloc_x000D_
12 29 13:45:17 087  3644  4924 I art     : WaitForGcToComplete blocked for 37 496ms for cause Alloc_x000D_
12 29 13:45:17 087  3644  4924 I art     : Starting a blocking GC Alloc_x000D_
12 29 13:45:17 087  3644  4923 I art     : Waiting for a blocking GC Alloc_x000D_
12 29 13:45:17 101  3644  4923 I art     : WaitForGcToComplete blocked for 13 759ms for cause Alloc_x000D_
12 29 13:45:17 101  3644  4923 I art     : Starting a blocking GC Alloc_x000D_
12 29 13:45:17 101  3644  4923 I art     : Starting a blocking GC Alloc_x000D_
12 29 13:45:17 103  3644  4925 I art     : Waiting for a blocking GC Alloc_x000D_
12 29 13:45:17 104  3644  3666 I art     : Waiting for a blocking GC Alloc_x000D_
12 29 13:45:17 104  3644  5107 I art     : Waiting for a blocking GC Alloc_x000D_
12 29 13:45:17 184  3644  4923 I art     : Clamp target GC heap from 207MB to 192MB_x000D_
12 29 13:45:17 184  3644  4923 I art     : Alloc partial concurrent mark sweep GC freed 324(143KB) AllocSpace objects  3(60KB) LOS objects  0  free  191MB 192MB  paused 867us total 82 541ms_x000D_
12 29 13:45:17 184  3644  4923 I art     : Starting a blocking GC Alloc_x000D_
12 29 13:45:17 184  3644  4925 I art     : Waiting for a blocking GC Alloc_x000D_
12 29 13:45:17 184  3644  3666 I art     : Waiting for a blocking GC Alloc_x000D_
12 29 13:45:17 185  3644  5107 I art     : Waiting for a blocking GC Alloc_x000D_
12 29 13:45:17 191  3644  4923 I art     : Alloc sticky concurrent mark sweep GC freed 0(0B) AllocSpace objects  0(0B) LOS objects  0  free  191MB 192MB  paused 733us total 6 781ms_x000D_
12 29 13:45:17 191  3644  4923 I art     : Starting a blocking GC Alloc_x000D_
12 29 13:45:17 191  3644  4925 I art     : Waiting for a blocking GC Alloc_x000D_
12 29 13:45:17 191  3644  5107 I art     : Waiting for a blocking GC Alloc_x000D_
12 29 13:45:17 191  3644  3666 I art     : Waiting for a blocking GC Alloc_x000D_
12 29 13:45:17 280  3644  4923 I art     : Clamp target GC heap from 207MB to 192MB_x000D_
12 29 13:45:17 280  3644  4923 I art     : Alloc concurrent mark sweep GC freed 59(1512B) AllocSpace objects  0(0B) LOS objects  0  free  191MB 192MB  paused 870us total 88 193ms_x000D_
12 29 13:45:17 280  3644  4923 I art     : Forcing collection of SoftReferences for 757KB allocation_x000D_
12 29 13:45:17 280  3644  4925 I art     : WaitForGcToComplete blocked for 176 709ms for cause Alloc_x000D_
12 29 13:45:17 280  3644  4925 I art     : Starting a blocking GC Alloc_x000D_
12 29 13:45:17 280  3644  4925 I art     : Starting a blocking GC Alloc_x000D_
12 29 13:45:17 280  3644  5107 I art     : Waiting for a blocking GC Alloc_x000D_
12 29 13:45:17 280  3644  3666 I art     : Waiting for a blocking GC Alloc_x000D_
12 29 13:45:17 282  3644  4923 I art     : Waiting for a blocking GC Alloc_x000D_
12 29 13:45:17 287  3644  4925 I art     : Alloc sticky concurrent mark sweep GC freed 0(0B) AllocSpace objects  0(0B) LOS objects  0  free  191MB 192MB  paused 764us total 7 155ms_x000D_
12 29 13:45:17 287  3644  4925 I art     : Starting a blocking GC Alloc_x000D_
12 29 13:45:17 288  3644  3666 I art     : Waiting for a blocking GC Alloc_x000D_
12 29 13:45:17 289  3644  4923 I art     : Waiting for a blocking GC Alloc_x000D_
12 29 13:45:17 289  3644  5107 I art     : Waiting for a blocking GC Alloc_x000D_
12 29 13:45:17 355  4495  5110 W AbstractGoogleClient: Application name is not set  Call Builder setApplicationName _x000D_
12 29 13:45:17 367  3644  4925 I art     : Clamp target GC heap from 207MB to 192MB_x000D_
12 29 13:45:17 367  3644  4925 I art     : Alloc partial concurrent mark sweep GC freed 25(768B) AllocSpace objects  0(0B) LOS objects  0  free  191MB 192MB  paused 943us total 79 576ms_x000D_
12 29 13:45:17 367  3644  4925 I art     : Starting a blocking GC Alloc_x000D_
12 29 13:45:17 367  3644  3666 I art     : Waiting for a blocking GC Alloc_x000D_
12 29 13:45:17 367  3644  4923 I art     : Waiting for a blocking GC Alloc_x000D_
12 29 13:45:17 368  3644  5107 I art     : Waiting for a blocking GC Alloc_x000D_
12 29 13:45:17 455  3644  4925 I art     : Clamp target GC heap from 207MB to 192MB_x000D_
12 29 13:45:17 455  3644  4925 I art     : Alloc concurrent mark sweep GC freed 3(72B) AllocSpace objects  0(0B) LOS objects  0  free  191MB 192MB  paused 979us total 87 064ms_x000D_
12 29 13:45:17 455  3644  4925 I art     : Forcing collection of SoftReferences for 597KB allocation_x000D_
12 29 13:45:17 455  3644  3666 I art     : WaitForGcToComplete blocked for 350 845ms for cause Alloc_x000D_
12 29 13:45:17 455  3644  3666 I art     : Starting a blocking GC Alloc_x000D_
12 29 13:45:17 455  3644  4923 I art     : WaitForGcToComplete blocked for 173 135ms for cause Alloc_x000D_
12 29 13:45:17 455  3644  4923 I art     : Starting a blocking GC Alloc_x000D_
12 29 13:45:17 455  3644  5107 I art     : Waiting for a blocking GC Alloc_x000D_
12 29 13:45:17 455  3644  4925 I art     : Waiting for a blocking GC Alloc_x000D_
12 29 13:45:17 567  3644  4923 I art     : Clamp target GC heap from 207MB to 192MB_x000D_
12 29 13:45:17 567  3644  4923 I art     : Alloc concurrent mark sweep GC freed 187(22KB) AllocSpace objects  0(0B) LOS objects  0  free  191MB 192MB  paused 963us total 111 929ms_x000D_
12 29 13:45:17 567  3644  4923 W art     : Throwing OutOfMemoryError  Failed to allocate a 776012 byte allocation with 204072 free bytes and 199KB until OOM _x000D_
12 29 13:45:17 567  3644  3654 I art     : WaitForGcToComplete blocked for 465 786ms for cause Background_x000D_
12 29 13:45:17 567  3644  4923 I art     : Starting a blocking GC Alloc_x000D_
12 29 13:45:17 567  3644  4923 I art     : Starting a blocking GC Alloc_x000D_
12 29 13:45:17 567  3644  5107 I art     : Waiting for a blocking GC Alloc_x000D_
12 29 13:45:17 568  3644  4925 I art     : Waiting for a blocking GC Alloc_x000D_
12 29 13:45:17 577  3644  4923 I art     : Alloc sticky concurrent mark sweep GC freed 14(968B) AllocSpace objects  0(0B) LOS objects  0  free  191MB 192MB  paused 1 375ms total 9 841ms_x000D_
12 29 13:45:17 578  3644  4923 I art     : Starting a blocking GC Alloc_x000D_
12 29 13:45:17 578  3644  4925 I art     : Waiting for a blocking GC Alloc_x000D_
12 29 13:45:17 578  3644  5107 I art     : Waiting for a blocking GC Alloc_x000D_
12 29 13:45:17 652  3644  3666 I art     : Waiting for a blocking GC Alloc_x000D_
12 29 13:45:17 660  3644  4923 I art     : Clamp target GC heap from 207MB to 192MB_x000D_
12 29 13:45:17 660  3644  4923 I art     : Alloc partial concurrent mark sweep GC freed 2320(138KB) AllocSpace objects  0(0B) LOS objects  0  free  191MB 192MB  paused 843us total 82 336ms_x000D_
12 29 13:45:17 660  3644  4923 I art     : Starting a blocking GC Alloc_x000D_
12 29 13:45:17 660  3644  5107 I art     : Waiting for a blocking GC Alloc_x000D_
12 29 13:45:17 660  3644  3666 I art     : Waiting for a blocking GC Alloc_x000D_
12 29 13:45:17 661  3644  4925 I art     : Waiting for a blocking GC Alloc_x000D_
12 29 13:45:17 750  3644  4923 I art     : Clamp target GC heap from 207MB to 192MB_x000D_
12 29 13:45:17 750  3644  4923 I art     : Alloc concurrent mark sweep GC freed 4(144B) AllocSpace objects  0(0B) LOS objects  0  free  191MB 192MB  paused 769us total 89 149ms_x000D_
12 29 13:45:17 750  3644  4923 I art     : Forcing collection of SoftReferences for 757KB allocation_x000D_
12 29 13:45:17 750  3644  4923 I art     : Starting a blocking GC Alloc_x000D_
12 29 13:45:17 750  3644  5107 I art     : Waiting for a blocking GC Alloc_x000D_
12 29 13:45:17 750  3644  3666 I art     : Waiting for a blocking GC Alloc_x000D_
12 29 13:45:17 750  3644  4925 I art     : Waiting for a blocking GC Alloc_x000D_
12 29 13:45:17 839  3644  4923 I art     : Clamp target GC heap from 207MB to 192MB_x000D_
12 29 13:45:17 839  3644  4923 I art     : Alloc concurrent mark sweep GC freed 3(72B) AllocSpace objects  0(0B) LOS objects  0  free  191MB 192MB  paused 961us total 88 763ms_x000D_
12 29 13:45:17 839  3644  5107 I art     : WaitForGcToComplete blocked for 734 922ms for cause Alloc_x000D_
12 29 13:45:17 839  3644  5107 I art     : Starting a blocking GC Alloc_x000D_
12 29 13:45:17 839  3644  4923 W art     : Throwing OutOfMemoryError  Failed to allocate a 776012 byte allocation with 171808 free bytes and 167KB until OOM _x000D_
12 29 13:45:17 839  3644  3666 I art     : WaitForGcToComplete blocked for 187 341ms for cause Alloc_x000D_
12 29 13:45:17 839  3644  3666 I art     : Starting a blocking GC Alloc_x000D_
12 29 13:45:17 839  3644  4925 I art     : WaitForGcToComplete blocked for 383 983ms for cause Alloc_x000D_
12 29 13:45:17 839  3644  4925 I art     : Starting a blocking GC Alloc_x000D_
12 29 13:45:17 842  3644  4923 W System err: java lang OutOfMemoryError: Failed to allocate a 776012 byte allocation with 171808 free bytes and 167KB until OOM_x000D_
12 29 13:45:17 842  3644  4923 W System err: 	at dalvik system VMRuntime newNonMovableArray(Native Method)_x000D_
12 29 13:45:17 842  3644  4923 W System err: 	at android graphics BitmapFactory nativeDecodeStream(Native Method)_x000D_
12 29 13:45:17 842  3644  4923 W System err: 	at android graphics BitmapFactory decodeStreamInternal(BitmapFactory java:646)_x000D_
12 29 13:45:17 843  3644  4923 W System err: 	at android graphics BitmapFactory decodeStream(BitmapFactory java:622)_x000D_
12 29 13:45:17 843  3644  4923 W System err: 	at com koushikdutta urlimageviewhelper UrlImageViewHelper loadBitmapFromStream(UrlImageViewHelper java:109)_x000D_
12 29 13:45:17 843  3644  4923 W System err: 	at com koushikdutta urlimageviewhelper UrlImageViewHelper access 100(UrlImageViewHelper java:27)_x000D_
12 29 13:45:17 843  3644  4923 W System err: 	at com koushikdutta urlimageviewhelper UrlImageViewHelper 1 onDownloadComplete(UrlImageViewHelper java:594)_x000D_
12 29 13:45:17 843  3644  4923 W System err: 	at com koushikdutta urlimageviewhelper HttpUrlDownloader 1 doInBackground(HttpUrlDownloader java:61)_x000D_
12 29 13:45:17 843  3644  4923 W System err: 	at com koushikdutta urlimageviewhelper HttpUrlDownloader 1 doInBackground(HttpUrlDownloader java:29)_x000D_
12 29 13:45:17 843  3644  4923 W System err: 	at android os AsyncTask 2 call(AsyncTask java:304)_x000D_
12 29 13:45:17 843  3644  4923 W System err: 	at java util concurrent FutureTask run(FutureTask java:237)_x000D_
12 29 13:45:17 843  3644  4923 W System err: 	at java util concurrent ThreadPoolExecutor runWorker(ThreadPoolExecutor java:1133)_x000D_
12 29 13:45:17 843  3644  4923 W System err: 	at java util concurrent ThreadPoolExecutor Worker run(ThreadPoolExecutor java:607)_x000D_
12 29 13:45:17 843  3644  4923 W System err: 	at java lang Thread run(Thread java:761)_x000D_
12 29 13:45:17 843  3644  3666 I art     : Waiting for a blocking GC Alloc_x000D_
12 29 13:45:17 845  3644  5107 I art     : Waiting for a blocking GC Alloc_x000D_
12 29 13:45:17 938  3644  4925 I art     : Clamp target GC heap from 207MB to 192MB_x000D_
12 29 13:45:17 938  3644  4925 I art     : Alloc concurrent mark sweep GC freed 1152(87KB) AllocSpace objects  1(20KB) LOS objects  0  free  191MB 192MB  paused 946us total 98 538ms_x000D_
12 29 13:45:17 938  3644  3666 I art     : WaitForGcToComplete blocked for 94 978ms for cause Alloc_x000D_
12 29 13:45:17 938  3644  3666 I art     : Starting a blocking GC Alloc_x000D_
12 29 13:45:17 939  3644  4925 W art     : Throwing OutOfMemoryError  Failed to allocate a 612012 byte allocation with 138608 free bytes and 135KB until OOM _x000D_
12 29 13:45:17 939  3644  4925 I art     : Starting a blocking GC Alloc_x000D_
12 29 13:45:17 939  3644  4925 I art     : Starting a blocking GC Alloc_x000D_
12 29 13:45:17 939  3644  5107 I art     : Waiting for a blocking GC Alloc_x000D_
12 29 13:45:17 948  3644  4925 I art     : Alloc sticky concurrent mark sweep GC freed 1276(73KB) AllocSpace objects  0(0B) LOS objects  0  free  191MB 192MB  paused 897us total 9 226ms_x000D_
12 29 13:45:17 948  3644  4925 I art     : Starting a blocking GC Alloc_x000D_
12 29 13:45:17 948  3644  5107 I art     : Waiting for a blocking GC Alloc_x000D_
12 29 13:45:17 956  3644  3666 I art     : Waiting for a blocking GC Alloc_x000D_
12 29 13:45:18 010  4232  5771 W ctxmgr  :  ContextSpecificAclFactory LocationConsent failed  ULR opt in status is: false  account  234410783 _x000D_
12 29 13:45:18 010  4232  5771 W ctxmgr  :  AclManager No 2 for (accnt account  234410783   com google android gms(10013):UserLocationProducer  vrsn 10084000  0  3pPkg   null    3pMdlId   null)  Was: 2 for 1  account  234410783 _x000D_
12 29 13:45:18 015  4232  5771 W ctxmgr  :  ContextSpecificAclFactory LocationConsent failed  ULR opt in status is: false  account  1679950637 _x000D_
12 29 13:45:18 015  4232  5771 W ctxmgr  :  AclManager No 2 for (accnt account  1679950637   com google android gms(10013):UserLocationProducer  vrsn 10084000  0  3pPkg   null    3pMdlId   null)  Was: 2 for 1  account  1679950637 _x000D_
12 29 13:45:18 016  4232  5771 W ctxmgr  :  ContextSpecificAclFactory LocationConsent failed  ULR opt in status is: false  account 447388056 _x000D_
12 29 13:45:18 017  4232  5771 W ctxmgr  :  AclManager No 2 for (accnt account 447388056   com google android gms(10013):UserLocationProducer  vrsn 10084000  0  3pPkg   null    3pMdlId   null)  Was: 2 for 1  account 447388056 _x000D_
12 29 13:45:18 021  4232  5771 W ctxmgr  :  ContextSpecificAclFactory LocationConsent failed  ULR opt in status is: false  account 27886749 _x000D_
12 29 13:45:18 021  4232  5771 W ctxmgr  :  AclManager No 2 for (accnt account 27886749   com google android gms(10013):UserLocationProducer  vrsn 10084000  0  3pPkg   null    3pMdlId   null)  Was: 2 for 1  account 27886749 _x000D_
12 29 13:45:18 031  3644  4925 I art     : Clamp target GC heap from 207MB to 192MB_x000D_
12 29 13:45:18 031  3644  4925 I art     : Alloc partial concurrent mark sweep GC freed 2905(195KB) AllocSpace objects  0(0B) LOS objects  0  free  191MB 192MB  paused 962us total 82 224ms_x000D_
12 29 13:45:18 031  3644  4925 I art     : Starting a blocking GC Alloc_x000D_
12 29 13:45:18 031  3644  5107 I art     : Waiting for a blocking GC Alloc_x000D_
12 29 13:45:18 031  3644  3666 I art     : Waiting for a blocking GC Alloc_x000D_
12 29 13:45:18 073  4495  5113 W AbstractGoogleClient: Application name is not set  Call Builder setApplicationName _x000D_
12 29 13:45:18 120  3644  4925 I art     : Clamp target GC heap from 207MB to 192MB_x000D_
12 29 13:45:18 120  3644  4925 I art     : Alloc concurrent mark sweep GC freed 10(360B) AllocSpace objects  0(0B) LOS objects  0  free  191MB 192MB  paused 961us total 88 975ms_x000D_
12 29 13:45:18 120  3644  4925 I art     : Forcing collection of SoftReferences for 597KB allocation_x000D_
12 29 13:45:18 120  3644  5107 I art     : WaitForGcToComplete blocked for 275 077ms for cause Alloc_x000D_
12 29 13:45:18 120  3644  5107 I art     : Starting a blocking GC Alloc_x000D_
12 29 13:45:18 120  3644  3666 I art     : WaitForGcToComplete blocked for 164 544ms for cause Alloc_x000D_
12 29 13:45:18 120  3644  3666 I art     : Starting a blocking GC Alloc_x000D_
12 29 13:45:18 122  3644  4925 I art     : Starting a blocking GC Alloc_x000D_
12 29 13:45:18 129  3644  3666 I art     : Waiting for a blocking GC Alloc_x000D_
12 29 13:45:18 169  3644  5107 I art     : Waiting for a blocking GC Alloc_x000D_
12 29 13:45:18 212  3644  4925 I art     : Clamp target GC heap from 207MB to 192MB_x000D_
12 29 13:45:18 212  3644  4925 I art     : Alloc concurrent mark sweep GC freed 2982(177KB) AllocSpace objects  0(0B) LOS objects  0  free  191MB 192MB  paused 935us total 89 829ms_x000D_
12 29 13:45:18 212  3644  4925 W art     : Throwing OutOfMemoryError  Failed to allocate a 612012 byte allocation with 212648 free bytes and 207KB until OOM _x000D_
12 29 13:45:18 212  3644  3666 I art     : WaitForGcToComplete blocked for 82 708ms for cause Alloc_x000D_
12 29 13:45:18 212  3644  3666 I art     : Starting a blocking GC Alloc_x000D_
12 29 13:45:18 212  3644  4925 W System err: java lang OutOfMemoryError: Failed to allocate a 612012 byte allocation with 212648 free bytes and 207KB until OOM_x000D_
12 29 13:45:18 213  3644  4925 W System err: 	at dalvik system VMRuntime newNonMovableArray(Native Method)_x000D_
12 29 13:45:18 213  3644  4925 W System err: 	at android graphics BitmapFactory nativeDecodeStream(Native Method)_x000D_
12 29 13:45:18 213  3644  4925 W System err: 	at android graphics BitmapFactory decodeStreamInter</t>
  </si>
  <si>
    <t>niclabs-adkintunmobile-androidclient-149</t>
  </si>
  <si>
    <t>MediaTestDialog.java line 119</t>
  </si>
  <si>
    <t xml:space="preserve">     in cl niclabs adkintunmobile views activemeasurements MediaTestDialog 4 onClick
  Number of crashes: 1
  Impacted devices: 1
There s a lot more information about this crash on crashlytics com:
 https:  fabric io niclabs android apps cl niclabs adkintunmobile issues 586552a80aeb16625b90c78a (https:  fabric io niclabs android apps cl niclabs adkintunmobile issues 586552a80aeb16625b90c78a)</t>
  </si>
  <si>
    <t>eclipse-californium-187</t>
  </si>
  <si>
    <t>Crash inside API CoapObserveRelation.reactiveCancel()</t>
  </si>
  <si>
    <t xml:space="preserve">Hi  _x000D_
_x000D_
I found an crash inside API CoapObserveRelation reactiveCancel()  when we tried to cancel a observer relation  Please check and provide your input _x000D_
_x000D_
12 29 15:31:26 781 6871 6871   E AndroidRuntime: FATAL EXCEPTION: main_x000D_
                                                 Process: com ikea frekvens  PID: 6871_x000D_
                                                 java lang RuntimeException: Unable to resume activity  com ikea frekvens com ikea frekvens home activity WelcomeActivity : java lang IllegalArgumentException: MID must not be a 16 bit unsigned int_x000D_
                                                     at android app ActivityThread performResumeActivity(ActivityThread java:2986)_x000D_
                                                     at android app ActivityThread handleResumeActivity(ActivityThread java:3017)_x000D_
                                                     at android app ActivityThread handleLaunchActivity(ActivityThread java:2392)_x000D_
                                                     at android app ActivityThread access 800(ActivityThread java:151)_x000D_
                                                     at android app ActivityThread H handleMessage(ActivityThread java:1303)_x000D_
                                                     at android os Handler dispatchMessage(Handler java:102)_x000D_
                                                     at android os Looper loop(Looper java:135)_x000D_
                                                     at android app ActivityThread main(ActivityThread java:5254)_x000D_
                                                     at java lang reflect Method invoke(Native Method)_x000D_
                                                     at java lang reflect Method invoke(Method java:372)_x000D_
                                                     at com android internal os ZygoteInit MethodAndArgsCaller run(ZygoteInit java:903)_x000D_
                                                     at com android internal os ZygoteInit main(ZygoteInit java:698)_x000D_
                                                  Caused by: java lang IllegalArgumentException: MID must not be a 16 bit unsigned int_x000D_
                                                     at org eclipse californium core network Exchange KeyMID  init (Exchange java:552)_x000D_
                                                     at org eclipse californium core network Exchange KeyMID fromOutboundMessage(Exchange java:623)_x000D_
                                                     at org eclipse californium core network UdpMatcher ExchangeObserverImpl completed(UdpMatcher java:397)_x000D_
                                                     at org eclipse californium core network Exchange setComplete(Exchange java:441)_x000D_
                                                     at org eclipse californium core network stack ExchangeCleanupLayer CancelledMessageObserver onCancel(ExchangeCleanupLayer java:27)_x000D_
                                                     at org eclipse californium core coap Message setCanceled(Message java:556)_x000D_
                                                     at org eclipse californium core coap Request setCanceled(Request java:552)_x000D_
                                                     at org eclipse californium core coap Message cancel(Message java:624)_x000D_
                                                     at org eclipse californium core CoapObserveRelation reactiveCancel(CoapObserveRelation java:136)_x000D_
                                                     at com ikea frekvens network model ResourceObserveRelation cancel(ResourceObserveRelation java:38)_x000D_
                                                     at com ikea frekvens shared manager LSDataManager resetObserver(LSDataManager java:2856)_x000D_
                                                     at com ikea frekvens shared manager LSDataManager clearData(LSDataManager java:2816)_x000D_
                                                     at com ikea frekvens shared manager LSDataManager init(LSDataManager java:503)_x000D_
                                                     at com ikea frekvens home fragment GatewayDataLoadingFragment setTimeoutOfProgressDialog(GatewayDataLoadingFragment java:64)_x000D_
                                                     at com ikea frekvens home fragment GatewayDataLoadingFragment onResume(GatewayDataLoadingFragment java:90)_x000D_
                                                     at android support v4 app Fragment performResume(Fragment java:2133)_x000D_
                                                     at android support v4 app FragmentManagerImpl moveToState(FragmentManager java:1156)_x000D_
                                                     at android support v4 app FragmentManagerImpl moveToState(FragmentManager java:1295)_x000D_
                                                     at android support v4 app BackStackRecord run(BackStackRecord java:801)_x000D_
                                                     at android support v4 app FragmentManagerImpl execPendingActions(FragmentManager java:1682)_x000D_
                                                     at android support v4 app FragmentController execPendingActions(FragmentController java:388)_x000D_
                                                     at android support v4 app FragmentActivity onPostResume(FragmentActivity java:499)_x000D_
                                                     at android support v7 app AppCompatActivity onPostResume(AppCompatActivity java:175)_x000D_
                                                     at android app Activity performResume(Activity java:6089)_x000D_
                                                     at android app ActivityThread performResumeActivity(ActivityThread java:2975)_x000D_
                                                     at android app ActivityThread handleResumeActivity(ActivityThread java:3017) _x000D_
                                                     at android app ActivityThread handleLaunchActivity(ActivityThread java:2392) _x000D_
                                                     at android app ActivityThread access 800(ActivityThread java:151) _x000D_
                                                     at android app ActivityThread H handleMessage(ActivityThread java:1303) _x000D_
                                                     at android os Handler dispatchMessage(Handler java:102) _x000D_
                                                     at android os Looper loop(Looper java:135) _x000D_
                                                     at android app ActivityThread main(ActivityThread java:5254) _x000D_
                                                     at java lang reflect Method invoke(Native Method) _x000D_
                                                     at java lang reflect Method invoke(Method java:372) _x000D_
                                                     at com android internal os ZygoteInit MethodAndArgsCaller run(ZygoteInit java:903) _x000D_
                                                     at com android internal os ZygoteInit main(ZygoteInit java:698) _x000D_
12 29 15:31:30 025 450 466   E CwMcuSensor: Sync: sensor hub is on reset_x000D_
_x000D_
_x000D_
_x000D_
Thanks _x000D_
Rajesh Kumar </t>
  </si>
  <si>
    <t>elimu-ai-ml-authentication-308</t>
  </si>
  <si>
    <t>AuthenticationActivity crashes if it starts while the screen is turned off and then turned on</t>
  </si>
  <si>
    <t xml:space="preserve">Description:_x000D_
  Turn the screen off and wait for the AuthenticationActivity to start_x000D_
_x000D_
Expected Result:_x000D_
  The AuthenticationActivity starts but pauses until the screen is turned on (or maybe we shouldn t even start it )_x000D_
_x000D_
Actual Result:_x000D_
  The app crashes (see log)_x000D_
_x000D_
Log:_x000D_
   java_x000D_
12 30 20:59:57 700 20030 20030 org literacyapp E AndroidRuntime: FATAL EXCEPTION: main_x000D_
                                                                 Process: org literacyapp  PID: 20030_x000D_
                                                                 Theme: themes:  _x000D_
                                                                 java lang RuntimeException: Unable to resume activity  org literacyapp org literacyapp authentication AuthenticationActivity : java lang IllegalThreadStateException: Thread already started_x000D_
                                                                     at android app ActivityThread performResumeActivity(ActivityThread java:3137)_x000D_
                                                                     at android app ActivityThread handleResumeActivity(ActivityThread java:3168)_x000D_
                                                                     at android app ActivityThread H handleMessage(ActivityThread java:1407)_x000D_
                                                                     at android os Handler dispatchMessage(Handler java:102)_x000D_
                                                                     at android os Looper loop(Looper java:148)_x000D_
                                                                     at android app ActivityThread main(ActivityThread java:5461)_x000D_
                                                                     at java lang reflect Method invoke(Native Method)_x000D_
                                                                     at com android internal os ZygoteInit MethodAndArgsCaller run(ZygoteInit java:726)_x000D_
                                                                     at com android internal os ZygoteInit main(ZygoteInit java:616)_x000D_
                                                                  Caused by: java lang IllegalThreadStateException: Thread already started_x000D_
                                                                     at java lang Thread checkNotStarted(Thread java:849)_x000D_
                                                                     at java lang Thread start(Thread java:1059)_x000D_
                                                                     at org literacyapp authentication AuthenticationActivity onResume(AuthenticationActivity java:209)_x000D_
                                                                     at android app Instrumentation callActivityOnResume(Instrumentation java:1259)_x000D_
                                                                     at android app Activity performResume(Activity java:6327)_x000D_
                                                                     at android app ActivityThread performResumeActivity(ActivityThread java:3126)_x000D_
                                                                     at android app ActivityThread handleResumeActivity(ActivityThread java:3168) _x000D_
                                                                     at android app ActivityThread H handleMessage(ActivityThread java:1407) _x000D_
                                                                     at android os Handler dispatchMessage(Handler java:102) _x000D_
                                                                     at android os Looper loop(Looper java:148) _x000D_
                                                                     at android app ActivityThread main(ActivityThread java:5461) _x000D_
                                                                     at java lang reflect Method invoke(Native Method) _x000D_
                                                                     at com android internal os ZygoteInit MethodAndArgsCaller run(ZygoteInit java:726) _x000D_
                                                                     at com android internal os ZygoteInit main(ZygoteInit java:616) _x000D_
   </t>
  </si>
  <si>
    <t>nextcloud-android-492</t>
  </si>
  <si>
    <t>proper email sharee handling</t>
  </si>
  <si>
    <t xml:space="preserve">Fixes  483 _x000D_
_x000D_
This issue makes up for  80  of all 1 4 0 related crash reports on the Google developer console _x000D_
_x000D_
</t>
  </si>
  <si>
    <t>nextcloud-android-491</t>
  </si>
  <si>
    <t>Upload view crash when playing with flight mode</t>
  </si>
  <si>
    <t xml:space="preserve">Steps to reproduce:_x000D_
1  set auto upload for Camera   wifi only upload_x000D_
2  activate flight mode_x000D_
3  take pictures_x000D_
4  open clients upload view_x000D_
5  deactivate flight mode (leadign to a wifi reconnect)_x000D_
6  right when activated go back to the Nc client   uploads view_x000D_
7  crash_x000D_
_x000D_
_x000D_
   _x000D_
12 30 15:57:41 624 26034 26034 com nextcloud client E AndroidRuntime: FATAL EXCEPTION: main_x000D_
  Process: com nextcloud client  PID: 26034_x000D_
  java lang RuntimeException: Error receiving broadcast Intent   act com owncloud android files services FileUploaderUPLOADS ADDED flg 0x10   in com owncloud android ui activity UploadListActivity UploadMessagesReceiver 64a4f11_x000D_
      at android app LoadedApk ReceiverDispatcher Args run(LoadedApk java:1132)_x000D_
      at android os Handler handleCallback(Handler java:751)_x000D_
      at android os Handler dispatchMessage(Handler java:95)_x000D_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Caused by: java lang NullPointerException: Attempt to invoke virtual method  com owncloud android datamodel UploadsStorageManager UploadStatus com owncloud android db OCUpload getUploadStatus()  on a null object reference_x000D_
      at com owncloud android ui adapter ExpandableUploadListAdapter UploadGroup 1 compare(ExpandableUploadListAdapter java:98)_x000D_
      at com owncloud android ui adapter ExpandableUploadListAdapter UploadGroup 1 compare(ExpandableUploadListAdapter java:93)_x000D_
      at java util TimSort countRunAndMakeAscending(TimSort java:351)_x000D_
      at java util TimSort sort(TimSort java:216)_x000D_
      at java util Arrays sort(Arrays java:1450)_x000D_
      at com owncloud android ui adapter ExpandableUploadListAdapter 1 refresh(ExpandableUploadListAdapter java:145)_x000D_
      at com owncloud android ui adapter ExpandableUploadListAdapter loadUploadItemsFromDb(ExpandableUploadListAdapter java:616)_x000D_
      at com owncloud android ui adapter ExpandableUploadListAdapter refreshView(ExpandableUploadListAdapter java:631)_x000D_
      at com owncloud android ui fragment UploadListFragment updateUploads(UploadListFragment java:148)_x000D_
      at com owncloud android ui activity UploadListActivity UploadMessagesReceiver onReceive(UploadListActivity java:337)_x000D_
      at android app LoadedApk ReceiverDispatcher Args run(LoadedApk java:1122)_x000D_
      at android os Handler handleCallback(Handler java:751) _x000D_
      at android os Handler dispatchMessage(Handler java:95) _x000D_
      at android os Looper loop(Looper java:154) _x000D_
      at android app ActivityThread main(ActivityThread java:6119) _x000D_
      at java lang reflect Method invoke(Native Method) _x000D_
      at com android internal os ZygoteInit MethodAndArgsCaller run(ZygoteInit java:886) _x000D_
      at com android internal os ZygoteInit main(ZygoteInit java:776) _x000D_
   _x000D_
</t>
  </si>
  <si>
    <t>elimu-ai-ml-authentication-301</t>
  </si>
  <si>
    <t>MediaPlayer IllegalStateException</t>
  </si>
  <si>
    <t>Precondition:_x000D_
  Training already executed for the person testing_x000D_
_x000D_
Description:_x000D_
  Execute the AuthenticationActivity_x000D_
  Wait until the recognition has recognized you_x000D_
_x000D_
Expected Result:_x000D_
  The AuthenticationActivity closes and sends a broadcast to the UI app_x000D_
_x000D_
Actual Result:_x000D_
  The AuthenticationActivity crashes (but still sends the broadcast) with an IllegalStateException_x000D_
_x000D_
Solution:_x000D_
  The MediaPlayer shouldn t start in the OnCameraFrame after the AuthenticationActivity finished</t>
  </si>
  <si>
    <t>niclabs-adkintunmobile-androidclient-152</t>
  </si>
  <si>
    <t>NotificationManager.java line 41</t>
  </si>
  <si>
    <t xml:space="preserve">     in cl niclabs adkintunmobile utils display NotificationManager showNotification
  Number of crashes: 1
  Impacted devices: 1
There s a lot more information about this crash on crashlytics com:
 https:  fabric io niclabs android apps cl niclabs adkintunmobile issues 586739210aeb16625b9cbd57 (https:  fabric io niclabs android apps cl niclabs adkintunmobile issues 586739210aeb16625b9cbd57)</t>
  </si>
  <si>
    <t>codinguser-gnucash-android-633</t>
  </si>
  <si>
    <t>App crashes when changing orientation while viewing reports</t>
  </si>
  <si>
    <t xml:space="preserve">     Steps to reproduce the behaviour_x000D_
1  Open one of the reports (pie chart  line chart  bar chart or sheet) _x000D_
2  Turn the phone to change the screen orientation _x000D_
_x000D_
     Expected behaviour_x000D_
Report shows in the new screen orientation _x000D_
_x000D_
     Actual behaviour_x000D_
App crashes _x000D_
_x000D_
     Software specifications_x000D_
  GnuCash Android version: 2 1 3_x000D_
  System Android version: Android 6 0 1  CyanogenMod 13 0_x000D_
  Device type: Nexus 4_x000D_
</t>
  </si>
  <si>
    <t>Neamar-KISS-597</t>
  </si>
  <si>
    <t>crash on opening protected apps (cyanogenmod/lineageos)</t>
  </si>
  <si>
    <t xml:space="preserve">With CM Lineage you can protect apps with a secure pattern in Settings    privacy (Cyanogenmod Settings)    protected apps _x000D_
_x000D_
KISS (2 29 0) always crashes upon attempting to open any of the protected apps </t>
  </si>
  <si>
    <t>k9mail-k-9-1908</t>
  </si>
  <si>
    <t>Cannot zoom HTML messages properly if at all</t>
  </si>
  <si>
    <t xml:space="preserve">    Expected behavior_x000D_
HTML mail should pinch zoom as it always has_x000D_
_x000D_
    Actual behavior_x000D_
In 5 201 I tried zooming a few HTML emails  Nether would pinch zoom (though double tapping made them a tiny bit bigger)  At least once this led to a crash of the app _x000D_
_x000D_
I reverted to 5 010 and zoom works just fine with the same mail   in fact  it never had any such issue so I m not upgrading until this is fixed _x000D_
_x000D_
    Steps to reproduce_x000D_
Open html email e g  from Xbox com_x000D_
Pinch zoom_x000D_
Either nothing happens  it moves a tiny bit  or it ends up crashing _x000D_
_x000D_
    Environment_x000D_
K 9 Mail version:_x000D_
5 201 is broken for this  Works fine in 5 010_x000D_
_x000D_
Android version:_x000D_
7 0 on Nexus 6_x000D_
_x000D_
IMAP_x000D_
</t>
  </si>
  <si>
    <t>niclabs-adkintunmobile-androidclient-153</t>
  </si>
  <si>
    <t>ActiveServersDialog.java line 41</t>
  </si>
  <si>
    <t xml:space="preserve">     in cl niclabs adkintunmobile utils activemeasurements speedtest ActiveServersDialog onCreateDialog 5709b310
  Number of crashes: 1
  Impacted devices: 1
There s a lot more information about this crash on crashlytics com:
 https:  fabric io niclabs android apps cl niclabs adkintunmobile issues 586a74150aeb16625baf1620 (https:  fabric io niclabs android apps cl niclabs adkintunmobile issues 586a74150aeb16625baf1620)</t>
  </si>
  <si>
    <t>schedjoules-android-event-discovery-sdk-66</t>
  </si>
  <si>
    <t>App crash when home is pressed while details screen is loading</t>
  </si>
  <si>
    <t xml:space="preserve">Doesn t happen always  but the app can crash if the home button is pressed while the details screen is loading _x000D_
_x000D_
Stacktrace:_x000D_
   _x000D_
12 30 13:16:47 454 E AndroidRuntime: FATAL EXCEPTION: main_x000D_
                                     Process: com schedjoules eventdiscovery demo  PID: 31014_x000D_
                                     java lang IllegalStateException: Can not perform this action after onSaveInstanceState_x000D_
                                         at android support v4 app FragmentManagerImpl checkStateLoss(FragmentManager java:1538)_x000D_
                                         at android support v4 app FragmentManagerImpl enqueueAction(FragmentManager java:1556)_x000D_
                                         at android support v4 app BackStackRecord commitInternal(BackStackRecord java:696)_x000D_
                                         at android support v4 app BackStackRecord commit(BackStackRecord java:662)_x000D_
                                         at com schedjoules eventdiscovery eventdetails transitions ForwardFadeOperation apply(ForwardFadeOperation java:79)_x000D_
                                         at org dmfs android dumbledore WizardHost 1 1 run(WizardHost java:161)_x000D_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t>
  </si>
  <si>
    <t>k9mail-k-9-1910</t>
  </si>
  <si>
    <t>After recent update, email doesn't download or delete</t>
  </si>
  <si>
    <t xml:space="preserve">    Expected behavior_x000D_
Example: emptying the trash should empty the trash_x000D_
_x000D_
    Actual behavior_x000D_
Nothing happens  sometimes the app crashes_x000D_
_x000D_
    Steps to reproduce_x000D_
1  Click on folder icon next to account_x000D_
2  Expand menu_x000D_
3  Click empty trash_x000D_
_x000D_
    Environment_x000D_
K 9 Mail version:_x000D_
5 201_x000D_
Android version:_x000D_
6 0 1_x000D_
Account type (IMAP  POP3  WebDAV Exchange):_x000D_
Pop3</t>
  </si>
  <si>
    <t>BaseballCardTracker-bbct-android-410</t>
  </si>
  <si>
    <t>BaseballCardDetails.java line 284</t>
  </si>
  <si>
    <t xml:space="preserve">     in bbct android common activity BaseballCardDetails getBaseballCard
  Number of crashes: 1
  Impacted devices: 1
There s a lot more information about this crash on crashlytics com:
 https:  fabric io codeguru apps android apps bbct android issues 586c238b0aeb16625bb9e8b6 (https:  fabric io codeguru apps android apps bbct android issues 586c238b0aeb16625bb9e8b6)</t>
  </si>
  <si>
    <t>reloZid-android-anuto-61</t>
  </si>
  <si>
    <t>[Bug] App crashes after selecting level for the second time</t>
  </si>
  <si>
    <t>Steps to reproduce: start app  select level  place tower  open tower info  close tower info  start next round  press back  after   select level   app crashes _x000D_
_x000D_
This bug was introduced with  50  The app crashes with the following exception:_x000D_
_x000D_
  FATAL EXCEPTION: main_x000D_
                    Process: ch logixisland anuto  PID: 10769_x000D_
                    java lang IllegalStateException: Fragment TowerInfoFragment eb96976  not attached to Activity_x000D_
                        at android app Fragment getResources(Fragment java:805)_x000D_
                        at ch logixisland anuto view game TowerInfoFragment refresh(TowerInfoFragment java:145)</t>
  </si>
  <si>
    <t>StoryMaker-storymaker-181</t>
  </si>
  <si>
    <t>youtube upload crashes when cyrillic text in description/title</t>
  </si>
  <si>
    <t xml:space="preserve">When user attempts to upload a video with cyrillic characters in the title or decription  the upload will not complete  and storymaker crashes _x000D_
_x000D_
user can upload same video without difficulty  by removing the cyrillic characters _x000D_
 bugreport txt (https:  github com StoryMaker storymaker files 683006 bugreport txt)_x000D_
</t>
  </si>
  <si>
    <t>k9mail-k-9-1940</t>
  </si>
  <si>
    <t>K9 5.201 crashing...</t>
  </si>
  <si>
    <t xml:space="preserve">    Expected behavior_x000D_
A nice and stable app is going real unstable and bad  It start crashing  and response slow _x000D_
 Update of db is ok with success _x000D_
 Normal day use it crash some time when it receive a mail  _x000D_
    Environment_x000D_
K 9 Mail version:_x000D_
 5 201_x000D_
Android version:_x000D_
 6 0 1_x000D_
Account type (IMAP  POP3  WebDAV Exchange):_x000D_
 IMAP_x000D_
 Start crashing after latest update  have runned for years </t>
  </si>
  <si>
    <t>davcpas1234-MaterialSettings-17</t>
  </si>
  <si>
    <t>ClassCastException with LG Devices</t>
  </si>
  <si>
    <t xml:space="preserve">Hi  _x000D_
_x000D_
  My firebase crash reporting reports this error:   _x000D_
 Exception java lang ClassCastException: android widget FrameLayout cannot be cast to android widget LinearLayout_x000D_
com kosratdahmad myprayers activities SettingsActivity setUpNestedScreen (SettingsActivity java)_x000D_
com kosratdahmad myprayers activities SettingsActivity onPreferenceTreeClick (SettingsActivity java)_x000D_
android preference Preference performClick (Preference java:1005)_x000D_
android preference PreferenceScreen onItemClick (PreferenceScreen java:214)_x000D_
android widget AdapterView performItemClick (AdapterView java:310)_x000D_
android widget AbsListView performItemClick (AbsListView java:1199)_x000D_
android widget AbsListView PerformClick run (AbsListView java:3171)_x000D_
android widget AbsListView 3 run (AbsListView java:4225)_x000D_
android os Handler handleCallback (Handler java:751)_x000D_
android os Handler dispatchMessage (Handler java:95)_x000D_
android os Looper loop (Looper java:154)_x000D_
android app ActivityThread main (ActivityThread java:6247)_x000D_
java lang reflect Method invoke (Method java)_x000D_
com android internal os ZygoteInit MethodAndArgsCaller run (ZygoteInit java:872)_x000D_
com android internal os ZygoteInit main (ZygoteInit java:762) _x000D_
_x000D_
  This code makes this error only in LG G5 and LG V20 on api level 24:  _x000D_
 if (Build VERSION SDK INT    Build VERSION CODES N)  _x000D_
            LinearLayout root   (LinearLayout) dialog findViewById(android R id list) getParent() _x000D_
            appBar   (AppBarLayout) LayoutInflater from(this) inflate(R layout toolbar settings  root  false) _x000D_
            root addView(appBar  0) _x000D_
          _x000D_
_x000D_
  I tested on Nexus 5X api level 24 and 25 it works fine and I don t know why makes this error on LG devices  </t>
  </si>
  <si>
    <t>niclabs-adkintunmobile-androidclient-154</t>
  </si>
  <si>
    <t>GraphView.java line 286</t>
  </si>
  <si>
    <t xml:space="preserve">     in com jjoe64 graphview GraphView drawGraphElements
  Number of crashes: 1
  Impacted devices: 1
There s a lot more information about this crash on crashlytics com:
 https:  fabric io niclabs android apps cl niclabs adkintunmobile issues 586c81970aeb16625bbc0dda (https:  fabric io niclabs android apps cl niclabs adkintunmobile issues 586c81970aeb16625bbc0dda)</t>
  </si>
  <si>
    <t>balthazar-react-native-zeroconf-23</t>
  </si>
  <si>
    <t>Unspecified error when phone put to sleep during zeroconf scan</t>
  </si>
  <si>
    <t xml:space="preserve">Been using the library with a recent project and very satisfied with how easy to implement it was  _x000D_
_x000D_
However  in tightening things up recently  I ve noticed that zeroconf seems to be responsible for two types of crashes in my app _x000D_
_x000D_
1  When the app is minimized as the user navigates to the home screen  Error is encountered on resuming the app _x000D_
_x000D_
2  When the phone is put to sleep by pressing the power button  Error once again encountered on resuming the app _x000D_
_x000D_
In both cases  the error is an  Uncaught  unspecified  error  event  (10)  with the following log_x000D_
_x000D_
   _x000D_
Unhandled JS Exception: Uncaught  unspecified  error  event  ( 72000)_x000D_
2017 01 05 16:01:20 156716 Tavern 310:44322     nw socket get input frames recvmsg(fd 7  1024 bytes):  57  Socket is not connected_x000D_
2017 01 05 16:01:20 241348 Tavern 310:44322     nw socket get input frames recvmsg(fd 10  1024 bytes):  57  Socket is not connected_x000D_
2017 01 05 16:01:20 248243 Tavern 310:44322     nw endpoint handler add write request  8 1 192 168 1 25:8081 failed socket flow (satisfied)  cannot accept write requests_x000D_
2017 01 05 16:01:20 249545 Tavern 310:43888       tcp connection write eof block invoke Write close callback received error:  22  Invalid argument_x000D_
   _x000D_
_x000D_
Both errors only occur when a react native zeroconf scan is actively running  Disabling zeroconf or stopping the scan prevents the errors _x000D_
_x000D_
I was able to work around the first type of crash by writing some code to stop the zeroconf scan when the app is moved to the background  This was easy enough to do with React Native AppState  However  it seems significantly trickier to write such a workaround for handling when the phone s screen is turned off  at least using pure React Native _x000D_
_x000D_
Any ideas as to how the library could be updated to prevent these errors when the app state is changed during a zeroconf scan </t>
  </si>
  <si>
    <t>OpenTreeMap-otm-android-299</t>
  </si>
  <si>
    <t>navigate up while adding tree crashes app</t>
  </si>
  <si>
    <t xml:space="preserve">The sequence I followed was this:_x000D_
_x000D_
1  login to the app_x000D_
2  add a tree_x000D_
3  place a marker_x000D_
4  tap the map while the add tree step 3 form is showing to get into the Move Tree activity_x000D_
5  tap the navigate up OTM logo_x000D_
_x000D_
I d expect step 5 to just cancel the add operation  but it crashes the app _x000D_
_x000D_
This only happens from within the Move Tree activity _x000D_
_x000D_
Here s the stacktrace:_x000D_
   _x000D_
                  Process: org azavea otm2 dev  PID: 23581_x000D_
                  java lang IllegalArgumentException: Activity TreeMove does not have a parent activity name specified  (Did you forget to add the android support PARENT ACTIVITY  meta data   element in your manifest )_x000D_
                      at android support v4 app NavUtils navigateUpFromSameTask(NavUtils java:179)_x000D_
                      at org azavea otm ui UpEnabledActionBarActivity onOptionsItemSelected(UpEnabledActionBarActivity java:19)_x000D_
                      at android app Activity onMenuItemSelected(Activity java:3204)_x000D_
                      at com android internal widget ActionBarView 2 onClick(ActionBarView java:169)_x000D_
                      at android view View performClick(View java:5697)_x000D_
                      at android view View PerformClick run(View java:22526)_x000D_
                      at android os Handler handleCallback(Handler java:739)_x000D_
                      at android os Handler dispatchMessage(Handler java:95)_x000D_
                      at android os Looper loop(Looper java:158)_x000D_
                      at android app ActivityThread main(ActivityThread java:7224)_x000D_
                      at java lang reflect Method invoke(Native Method)_x000D_
                      at com android internal os ZygoteInit MethodAndArgsCaller run(ZygoteInit java:1230)_x000D_
                      at com android internal os ZygoteInit main(ZygoteInit java:1120)_x000D_
   </t>
  </si>
  <si>
    <t>grmpl-StepandHeightcounter-6</t>
  </si>
  <si>
    <t>Application crash when changing AutoClean settings</t>
  </si>
  <si>
    <t xml:space="preserve">Application will crash if changing AutoClean settings when no directory was created yet  (Fresh install)_x000D_
_x000D_
This is due to the immediate call of the delete function which does not check for existence of the directory _x000D_
</t>
  </si>
  <si>
    <t>niclabs-adkintunmobile-androidclient-157</t>
  </si>
  <si>
    <t xml:space="preserve">     in cl niclabs adkintunmobile views dashboard DashboardFragment 4 run
  Number of crashes: 1
  Impacted devices: 1
There s a lot more information about this crash on crashlytics com:
 https:  fabric io niclabs android apps cl niclabs adkintunmobile issues 586e4a170aeb16625bc8cc09 (https:  fabric io niclabs android apps cl niclabs adkintunmobile issues 586e4a170aeb16625bc8cc09)</t>
  </si>
  <si>
    <t>sriharshachilakapati-SilenceEngine-86</t>
  </si>
  <si>
    <t>Android backend crashes on relaunch</t>
  </si>
  <si>
    <t xml:space="preserve">Android backend crashes on relaunch for two reasons:_x000D_
_x000D_
     x  If there are pending IO tasks_x000D_
     x  Game loop events are being started before init_x000D_
_x000D_
The IO tasks are a problem because they are designed as  AsyncTask  but without cancellation support  All pending tasks need to be cancelled on relaunch _x000D_
_x000D_
The second issue is the same one we experienced a while back in the case of LWJGL backend  Since we call the  game init()  only after SilenceEngine initializes  we have to stop calling gameloop until this happens </t>
  </si>
  <si>
    <t>niclabs-adkintunmobile-androidclient-158</t>
  </si>
  <si>
    <t>ActiveMeasurementsActivity.java line 183</t>
  </si>
  <si>
    <t xml:space="preserve">     in cl niclabs adkintunmobile views activemeasurements ActiveMeasurementsActivity startSpeedTest
  Number of crashes: 1
  Impacted devices: 1
There s a lot more information about this crash on crashlytics com:
 https:  fabric io niclabs android apps cl niclabs adkintunmobile issues 5872ab070aeb16625be575aa (https:  fabric io niclabs android apps cl niclabs adkintunmobile issues 5872ab070aeb16625be575aa)</t>
  </si>
  <si>
    <t>syncthing-syncthing-android-829</t>
  </si>
  <si>
    <t>Crash on startup. NumberFormatException on minDiskFreePct</t>
  </si>
  <si>
    <t>Syncthing is crashing on startup for me  Looks like I ve set minimum free space to 0 5  in 0 8 x version  and now I can t change it  It would help if minDiskFreePct was set to float _x000D_
_x000D_
Log:_x000D_
D AndroidRuntime: Shutting down VM_x000D_
E AndroidRuntime: FATAL EXCEPTION: main_x000D_
E AndroidRuntime: Process: com nutomic syncthingandroid  PID: 30396_x000D_
E AndroidRuntime: com google gson JsonSyntaxException: java lang NumberFormatException: Expected an int but was 0 5 at line 1 column 781 path   folders 0  minDiskFreePct_x000D_
_x000D_
_x000D_
    Version Information_x000D_
_x000D_
    App Version: 0 9 3_x000D_
    Android Version: Android 6 0</t>
  </si>
  <si>
    <t>elimu-ai-ml-authentication-327</t>
  </si>
  <si>
    <t>StudentImageCollectionActivity has no animalOverlay and crashes because of the MediaPlayer</t>
  </si>
  <si>
    <t>Precondition:_x000D_
  At least one  other  student must be already trained_x000D_
_x000D_
Description:_x000D_
  Start the AuthenticationActivity by restarting the tablet_x000D_
  If you are not the same student which is already trained  the authentication should fail 3 times and then start the StudentImageCollectionActivity_x000D_
_x000D_
Expected Result:_x000D_
  StudentImageCollectionActivity starts normally_x000D_
_x000D_
Actual Result:_x000D_
  StudentImageCollectionActivity starts without animalOverlay_x000D_
  StudentImageCollectionActivity crashes on exit (MediaPlayer)</t>
  </si>
  <si>
    <t>elimu-ai-ml-authentication-326</t>
  </si>
  <si>
    <t>TrainingThread crashes if model file is missing</t>
  </si>
  <si>
    <t xml:space="preserve">   java_x000D_
01 08 03:18:56 616 1188 1188   E org literacyapp authentication TrainingHelper: Model file:  storage emulated 0  literacyapp ai model vgg faces pb doesn t exist  Please copy it manually  Find the download link in the file  storage emulated 0  literacyapp ai model download link txt_x000D_
01 08 03:18:56 629 1188 1188   I org literacyapp authentication TrainingHelper: trainClassifier_x000D_
01 08 03:18:56 630 1188 1188   D org literacyapp dao converter CalendarConverter: convertToEntityProperty_x000D_
01 08 03:18:56 631 1188 1188   D org literacyapp dao converter CalendarConverter: calendar getTime(): Sun Jan 08 03:03:26 GMT 03:00 2017_x000D_
01 08 03:18:56 631 1188 1188   I org literacyapp authentication TrainingHelper: Count of StudentImageCollectionEvents where MeanFeatureVector is null: 1_x000D_
01 08 03:18:56 634 1188 1188   E JobService: Error while executing job: 0_x000D_
01 08 03:18:56 634 1188 1188   D AndroidRuntime: Shutting down VM_x000D_
                                                 _x000D_
                                                 _x000D_
                                                           beginning of crash_x000D_
01 08 03:18:56 637 1188 1188   E AndroidRuntime: FATAL EXCEPTION: main_x000D_
                                                 Process: org literacyapp  PID: 1188_x000D_
                                                 Theme: themes:  _x000D_
                                                 java lang RuntimeException: java lang NullPointerException: Attempt to invoke virtual method  java lang String org literacyapp model StudentImageFeature getFeatureVector()  on a null object reference_x000D_
                                                     at android app job JobService JobHandler handleMessage(JobService java:130)_x000D_
                                                     at android os Handler dispatchMessage(Handler java:102)_x000D_
                                                     at android os Looper loop(Looper java:148)_x000D_
                                                     at android app ActivityThread main(ActivityThread java:5461)_x000D_
                                                     at java lang reflect Method invoke(Native Method)_x000D_
                                                     at com android internal os ZygoteInit MethodAndArgsCaller run(ZygoteInit java:726)_x000D_
                                                     at com android internal os ZygoteInit main(ZygoteInit java:616)_x000D_
                                                  Caused by: java lang NullPointerException: Attempt to invoke virtual method  java lang String org literacyapp model StudentImageFeature getFeatureVector()  on a null object reference_x000D_
                                                     at org literacyapp authentication TrainingHelper trainClassifier(TrainingHelper java:224)_x000D_
                                                     at org literacyapp service FaceRecognitionTrainingJobService onStartJob(FaceRecognitionTrainingJobService java:22)_x000D_
                                                     at android app job JobService JobHandler handleMessage(JobService java:126)_x000D_
                                                     at android os Handler dispatchMessage(Handler java:102) _x000D_
                                                     at android os Looper loop(Looper java:148) _x000D_
                                                     at android app ActivityThread main(ActivityThread java:5461) _x000D_
                                                     at java lang reflect Method invoke(Native Method) _x000D_
                                                     at com android internal os ZygoteInit MethodAndArgsCaller run(ZygoteInit java:726) _x000D_
                                                     at com android internal os ZygoteInit main(ZygoteInit java:616) _x000D_
   _x000D_
_x000D_
Solution:_x000D_
_x000D_
Add  if ( TextUtils isEmpty(featureVectorString) </t>
  </si>
  <si>
    <t>forrestguice-SuntimesWidget-74</t>
  </si>
  <si>
    <t>app crash (latitude edge case)</t>
  </si>
  <si>
    <t xml:space="preserve">the app crashes ( unfortunately has stopped ) on far northern southern latitudes on specific dates where a rise set transition occurs   i e  a rise set event occurs one day  but doesn t occur on the next _x000D_
_x000D_
tested using v0 2 3 on api19  _x000D_
  start with clean app installation_x000D_
  set location to 83 124  23 1592_x000D_
  set date to Feb 19  2017_x000D_
    crashes on apply date_x000D_
_x000D_
At 83 124  23 1592  astronomical twilight rises sets on the 18th  but no longer does so on the 19th     should be reproducible with other dates locations where a similar transition occurs </t>
  </si>
  <si>
    <t>twilio-voice-quickstart-android-12</t>
  </si>
  <si>
    <t>Error in twilio voice quickstart app</t>
  </si>
  <si>
    <t xml:space="preserve"> abhinay w3bminds filed the following issue: https:  github com twilio video quickstart android issues 46_x000D_
_x000D_
stacktrace of my app_x000D_
   _x000D_
JNI DETECTED ERROR IN APPLICATION: use of deleted global reference 0x2008da_x000D_
_x000D_
01 05 18:04:55 286 25034 25034   I art: Late enabling  Xcheck:jni_x000D_
01 05 18:04:55 359 25034 25034 com twilio voice quickstart I InstantRun: Instant Run Runtime started  Android package is com twilio voice quickstart  real application class is null _x000D_
01 05 18:05:05 887 25034 25034 com twilio voice quickstart D FirebaseApp: com google firebase auth FirebaseAuth is not linked  Skipping initialization _x000D_
01 05 18:05:05 901 25034 25034 com twilio voice quickstart W InstanceID Rpc: Found 10034_x000D_
01 05 18:05:05 913 25034 25034 com twilio voice quickstart D FirebaseApp: com google firebase crash FirebaseCrash is not linked  Skipping initialization _x000D_
01 05 18:05:05 941 25034 25034 com twilio voice quickstart I FA: App measurement is starting up  version: 9452_x000D_
01 05 18:05:05 942 25034 25034 com twilio voice quickstart I FA: To enable debug logging run: adb shell setprop log tag FA VERBOSE_x000D_
01 05 18:05:05 942 25034 25034 com twilio voice quickstart D FA: Debug logging enabled_x000D_
01 05 18:05:05 942 25034 25034 com twilio voice quickstart D FA: AppMeasurement singleton hash: 242193723_x000D_
01 05 18:05:05 997 25034 25034 com twilio voice quickstart I FirebaseInitProvider: FirebaseApp initialization successful_x000D_
01 05 18:05:06 220 25034 25034 com twilio voice quickstart W art: Before Android 4 1  method android graphics PorterDuffColorFilter android support graphics drawable VectorDrawableCompat updateTintFilter(android graphics PorterDuffColorFilter  android content res ColorStateList  android graphics PorterDuff Mode) would have incorrectly overridden the package private method in android graphics drawable Drawable_x000D_
01 05 18:05:06 643 25034 25449 com twilio voice quickstart I Adreno: QUALCOMM build : 7d18700  I8ee426a9a2_x000D_
Build Date : 10 07 16_x000D_
OpenGL ES Shader Compiler Version: XE031 09 00 03_x000D_
Local Branch : mybranch22308589_x000D_
Remote Branch : quic LA BR 1 3 6 rb1 6_x000D_
Remote Branch : NONE_x000D_
Reconstruct Branch : NOTHING_x000D_
01 05 18:05:06 659 25034 25449 com twilio voice quickstart I OpenGLRenderer: Initialized EGL  version 1 4_x000D_
01 05 18:05:06 660 25034 25449 com twilio voice quickstart D OpenGLRenderer: Swap behavior 1_x000D_
01 05 18:05:06 820 25034 25438 com twilio voice quickstart D FA: Connected to remote service_x000D_
01 05 18:05:10 765 25034 25526 com twilio voice quickstart W InstanceID Rpc: Found 10034_x000D_
01 05 18:05:11 518 25034 25034 com twilio voice quickstart I VoiceActivity: GCM Token : cZjg1gOXjrI:APA91bG237MpqqAaumdkObnO5 gLmTSIYOheI9Lzyf79SSFx8UHCL oeRKg29Kj6qEgr3kNZYO28wvFTyCVnkC1N 55Njlxpipybtx13GUq1xtVQx3wHcpqx6RB4ZndHOm RuND2L3sa_x000D_
01 05 18:05:11 700 25034 25544 com twilio voice quickstart D NetworkSecurityConfig: No Network Security Config specified  using platform default_x000D_
01 05 18:05:11 767 25034 25544 com twilio voice quickstart W linker:  data app com google android gms 1 lib arm libgmscore so: unused DT entry: type 0x7ffffffd arg 0x79f_x000D_
01 05 18:05:11 775 25034 25544 com twilio voice quickstart W linker:  data app com google android gms 1 lib arm libconscrypt gmscore jni so: unused DT entry: type 0x7ffffffd arg 0x1cb_x000D_
01 05 18:05:11 829 25034 25544 com twilio voice quickstart I ProviderInstaller: Installed default security provider GmsCore OpenSSL_x000D_
01 05 18:05:12 074 25034 25034 com twilio voice quickstart D VoiceActivity: Access token: eyJ0eXAiOiJKV1QiLCJhbGciOiJIUzI1NiIsImN0eSI6InR3aWxpby1mcGE7dj0xIn0 eyJqdGkiOiJTS2ZjMWRkYzhlNzBiMDIwYzM5NmJiZjdkYmIwNTMzMTA2LTE0ODM2MTk3MTIiLCJpc3MiOiJTS2ZjMWRkYzhlNzBiMDIwYzM5NmJiZjdkYmIwNTMzMTA2Iiwic3ViIjoiQUNiMzAyYjljNzczMDFlNTI2MWYwMDI2YTVkYjhmNzdjYyIsImV4cCI6MTQ4MzYyMzMxMiwiZ3JhbnRzIjp7ImlkZW50aXR5IjoiS2lsbGVyV2VuZHlKYW1lc3Rvd24iLCJ2b2ljZSI6eyJvdXRnb2luZyI6eyJhcHBsaWNhdGlvbl9zaWQiOiJBUDBhMjg4NWEyNTY5YTdlODg4ZjEwNjczYTQ0NjJmZjVhIn0sImVuZHBvaW50X2lkIjoiVFRUIFN0YXJ0dXAgQXBwbGljYXRpb24ifX19 KXtSpabzQfo7u0VHu10g5ZLycrM0jIgMNabS4oT4sSg_x000D_
01 05 18:05:14 796 25034 25034 com twilio voice quickstart D VoiceActivity: Successfully registered_x000D_
01 05 18:05:15 442 25034 25034 com twilio voice quickstart I PJSIP: 18:05:15 442 os core unix c  pjlib 2 5 1 for POSIX initialized_x000D_
01 05 18:05:15 445 25034 25034 com twilio voice quickstart D PJSIP: 18:05:15 445 sip endpoint c  Creating endpoint instance   _x000D_
01 05 18:05:15 445 25034 25034 com twilio voice quickstart I PJSIP: 18:05:15 445 pjlib  select() I O Queue created (0x7fd36a84)_x000D_
01 05 18:05:15 445 25034 25034 com twilio voice quickstart I PJSIP: 18:05:15 445 sip endpoint c  Module  mod msg print  registered_x000D_
01 05 18:05:15 445 25034 25034 com twilio voice quickstart D PJSIP: 18:05:15 445 sip transport   Transport manager created _x000D_
01 05 18:05:15 445 25034 25034 com twilio voice quickstart I PJSIP: 18:05:15 445 pjsua core c  PJSUA state changed: NULL     CREATED_x000D_
01 05 18:05:15 447 25034 25034 com twilio voice quickstart I PJSIP: 18:05:15 447 sip endpoint c  Module  mod pjsua log  registered_x000D_
01 05 18:05:15 447 25034 25034 com twilio voice quickstart I PJSIP: 18:05:15 447 pjsua core c  Nameserver 49 45 0 1 added_x000D_
01 05 18:05:15 447 25034 25034 com twilio voice quickstart I PJSIP: 18:05:15 447 pjsua core c  Nameserver 0 2 5 36 added_x000D_
01 05 18:05:15 447 25034 25034 com twilio voice quickstart I PJSIP: 18:05:15 447 sip endpoint c  Module  mod tsx layer  registered_x000D_
01 05 18:05:15 447 25034 25034 com twilio voice quickstart I PJSIP: 18:05:15 447 sip endpoint c  Module  mod stateful util  registered_x000D_
01 05 18:05:15 447 25034 25034 com twilio voice quickstart I PJSIP: 18:05:15 447 sip endpoint c  Module  mod ua  registered_x000D_
01 05 18:05:15 447 25034 25034 com twilio voice quickstart I PJSIP: 18:05:15 447 sip endpoint c  Module  mod 100rel  registered_x000D_
01 05 18:05:15 447 25034 25034 com twilio voice quickstart I PJSIP: 18:05:15 447 sip endpoint c  Module  mod pjsua  registered_x000D_
01 05 18:05:15 448 25034 25034 com twilio voice quickstart I PJSIP: 18:05:15 448 sip endpoint c  Module  mod invite  registered_x000D_
01 05 18:05:15 448 25034 25034 com twilio voice quickstart I PJSIP: 18:05:15 448 opensl dev c   OpenSL sound library initialized_x000D_
01 05 18:05:15 448 25034 25034 com twilio voice quickstart I PJSIP: 18:05:15 448 android jni de   Android JNI sound library initialized_x000D_
01 05 18:05:15 448 25034 25034 com twilio voice quickstart I PJSIP: 18:05:15 448 pjlib   select() I O Queue created (0x8b384e14)_x000D_
01 05 18:05:15 455 25034 25034 com twilio voice quickstart I PJSIP: 18:05:15 455 sip endpoint c  Module  mod evsub  registered_x000D_
01 05 18:05:15 455 25034 25034 com twilio voice quickstart I PJSIP: 18:05:15 455 sip endpoint c  Module  mod presence  registered_x000D_
01 05 18:05:15 455 25034 25034 com twilio voice quickstart I PJSIP: 18:05:15 455 sip endpoint c  Module  mod mwi  registered_x000D_
01 05 18:05:15 455 25034 25034 com twilio voice quickstart I PJSIP: 18:05:15 455 sip endpoint c  Module  mod refer  registered_x000D_
01 05 18:05:15 455 25034 25034 com twilio voice quickstart I PJSIP: 18:05:15 455 sip endpoint c  Module  mod pjsua pres  registered_x000D_
01 05 18:05:15 455 25034 25034 com twilio voice quickstart I PJSIP: 18:05:15 455 sip endpoint c  Module  mod pjsua im  registered_x000D_
01 05 18:05:15 455 25034 25034 com twilio voice quickstart I PJSIP: 18:05:15 455 sip endpoint c  Module  mod pjsua options  registered_x000D_
01 05 18:05:15 456 25034 25034 com twilio voice quickstart I PJSIP: 18:05:15 456 pjsua core c  1 SIP worker threads created_x000D_
01 05 18:05:15 456 25034 25034 com twilio voice quickstart W PJSIP: 18:05:15 456 pjsua core c  pjsua version 2 5 1 for Linux 3 10 84 armv7l initialized_x000D_
01 05 18:05:15 456 25034 25034 com twilio voice quickstart I PJSIP: 18:05:15 456 pjsua core c  PJSUA state changed: CREATED     INIT_x000D_
01 05 18:05:15 459 25034 25034 com twilio voice quickstart I PJSIP: 18:05:15 459 tlstp:38388 SIP TLS listener is ready for incoming connections at 10 20 219 24:38388_x000D_
01 05 18:05:15 459 25034 25034 com twilio voice quickstart I PJSIP: 18:05:15 459 pjsua core c PJSUA state changed: INIT     STARTING_x000D_
01 05 18:05:15 459 25034 25034 com twilio voice quickstart I PJSIP: 18:05:15 459 sip endpoint c  Module  mod unsolicited mwi  registered_x000D_
01 05 18:05:15 459 25034 25034 com twilio voice quickstart I PJSIP: 18:05:15 459 pjsua core c  PJSUA state changed: STARTING     RUNNING_x000D_
01 05 18:05:15 460 25034 25034 com twilio voice quickstart I PJSIP: 18:05:15 460 pjsua acc c Adding account: id sip:twilio chunderm gll twilio com_x000D_
01 05 18:05:15 461 25034 25034 com twilio voice quickstart I PJSIP: 18:05:15 461 pjsua acc c  Account sip:twilio chunderm gll twilio com added with id 0_x000D_
01 05 18:05:15 488 25034 25618 com twilio voice quickstart I libOpenSLES: Emulating old channel mask behavior (ignoring positional mask 0x4  using default mask 0x1 based on channel count of 1)_x000D_
01 05 18:05:15 489 25034 25618 com twilio voice quickstart W AudioTrack: AUDIO OUTPUT FLAG FAST denied by client  transfer 1  track 16000 Hz  output 48000 Hz_x000D_
01 05 18:05:15 490 25034 25618 com twilio voice quickstart D AudioTrack: Client defaulted notificationFrames to 216 for frameCount 648_x000D_
01 05 18:05:15 491 25034 25618 com twilio voice quickstart W libOpenSLES: Conversion from OpenSL ES positional channel mask 0x4 to Android mask 0 loses channels_x000D_
01 05 18:05:15 491 25034 25618 com twilio voice quickstart I libOpenSLES: Emulating old channel mask behavior (ignoring positional mask 0x4  using default mask 0x10 based on channel count of 1)_x000D_
01 05 18:05:15 496 25034 25618 com twilio voice quickstart W AudioRecord: AUDIO INPUT FLAG FAST denied by server  frameCount 0_x000D_
01 05 18:05:16 003 25034 25618 com twilio voice quickstart E CallControlManager: received transport error  status:  1964105628_x000D_
01 05 18:05:16 007 25034 25618 com twilio voice quickstart E art: JNI ERROR (app bug): accessed stale global reference 0x2008da (index 566 in a table of size 566)_x000D_
01 05 18:05:16 010 25034 25034 com twilio voice quickstart E VoiceActivity: Error: 31000  code:31000  message:Generic error_x000D_
01 05 18:05:16 057 25034 25618 com twilio voice quickstart A art: art runtime java vm ext cc:470  JNI DETECTED ERROR IN APPLICATION: use of deleted global reference 0x2008da_x000D_
01 05 18:05:16 057 25034 25618 com twilio voice quickstart A art: art runtime java vm ext cc:470  from void com twilio voice impl useragent Call makeCall(com twilio voice impl session Account  java lang String  com twilio voice impl useragent MessageData)_x000D_
01 05 18:05:16 057 25034 25618 com twilio voice quickstart A art: art runtime java vm ext cc:470   Thread 5  prio 5 tid 24 Runnable_x000D_
01 05 18:05:16 057 25034 25618 com twilio voice quickstart A art: art runtime java vm ext cc:470    group  main  sCount 0 dsCount 0 obj 0x12f9aec0 self 0x8af1a800_x000D_
01 05 18:05:16 057 25034 25618 com twilio voice quickstart A art: art runtime java vm ext cc:470    sysTid 25618 nice 0 cgrp default sched 0 0 handle 0x7fa02920_x000D_
01 05 18:05:16 057 25034 25618 com twilio voice quickstart A art: art runtime java vm ext cc:470    state R schedstat ( 22730627 15206979 79 ) utm 1 stm 0 core 5 HZ 100_x000D_
01 05 18:05:16 057 25034 25618 com twilio voice quickstart A art: art runtime java vm ext cc:470    stack 0x7f900000 0x7f902000 stackSize 1038KB_x000D_
01 05 18:05:16 057 25034 25618 com twilio voice quickstart A art: art runtime java vm ext cc:470    held mutexes   mutator lock (shared held)_x000D_
01 05 18:05:16 057 25034 25618 com twilio voice quickstart A art: art runtime java vm ext cc:470  native:  00 pc 0034e7f1  system lib libart so ( ZN3art15DumpNativeStackERNSt3  113basic ostreamIcNS0 11char traitsIcEEEEiP12BacktraceMapPKcPNS 9ArtMethodEPv 128)_x000D_
01 05 18:05:16 057 25034 25618 com twilio voice quickstart A art: art runtime java vm ext cc:470  native:  1 pc 0032f1b5  system lib libart so ( ZNK3art6Thread9DumpStackERNSt3  113basic ostreamIcNS1 11char traitsIcEEEEbP12BacktraceMap 308)_x000D_
01 05 18:05:16 057 25034 25618 com twilio voice quickstart A art: art runtime java vm ext cc:470  native:  2 pc 00238a9d  system lib libart so (ZN3art9JavaVMExt8JniAbortEPKcS2 848)_x000D_
01 05 18:05:16 057 25034 25618 com twilio voice quickstart A art: art runtime java vm ext cc:470  native:  3 pc 00239033  system lib libart so ( ZN3art9JavaVMExt9JniAbortFEPKcS2 z 66)_x000D_
01 05 18:05:16 057 25034 25618 com twilio voice quickstart A art: art runtime java vm ext cc:470  native:  4 pc 00332bdd  system lib libart so ( ZNK3art6Thread13DecodeJObjectEP8 jobject 240)_x000D_
01 05 18:05:16 057 25034 25618 com twilio voice quickstart A art: art runtime java vm ext cc:470  native:  5 pc 000c9991  system lib libart so ( ZN3art11ScopedCheck13CheckInstanceERNS 18ScopedObjectAccessENS0 12InstanceKindEP8 jobjectb 120)_x000D_
01 05 18:05:16 057 25034 25618 com twilio voice quickstart A art: art runtime java vm ext cc:470  native:  6 pc 000c8f43  system lib libart so ( ZN3art11ScopedCheck22CheckPossibleHeapValueERNS 18ScopedObjectAccessEcNS 12JniValueTypeE 190)_x000D_
01 05 18:05:16 057 25034 25618 com twilio voice quickstart A art: art runtime java vm ext cc:470  native:  7 pc 000c837b  system lib libart so ( ZN3art11ScopedCheck5CheckERNS 18ScopedObjectAccessEbPKcPNS 12JniValueTypeE 802)_x000D_
01 05 18:05:16 057 25034 25618 com twilio voice quickstart A art: art runtime java vm ext cc:470  native:  8 pc 000cb38d  system lib libart so ( ZN3art8CheckJNI9DeleteRefEPKcP7 JNIEnvP8 jobjectNS 15IndirectRefKindE 456)_x000D_
01 05 18:05:16 057 25034 25618 com twilio voice quickstart A art: art runtime java vm ext cc:470  native:  9 pc 00120e47  data app com twilio voice quickstart 1 lib arm libvoice so (Java com twilio voice impl useragent Call makeCall 174)_x000D_
01 05 18:05:16 057 25034 25618 com twilio voice quickstart A art: art runtime java vm ext cc:470  native:  10 pc 000122ad  data data com twilio voice quickstart cache slice com twilio voice android 2 0 0 beta3 71d18afe0c63b5d95145a1eb78426975d3464f7e classes dex (Java com twilio voice impl useragent Call makeCall  Lcom twilio voice impl session Account 2Ljava lang String 2Lcom twilio voice impl useragent MessageData 2 144)_x000D_
01 05 18:05:16 057 25034 25618 com twilio voice quickstart A art: art runtime java vm ext cc:470  at com twilio voice impl useragent Call makeCall(Native method)_x000D_
01 05 18:05:16 057 25034 25618 com twilio voice quickstart A art: art runtime java vm ext cc:470  at com twilio voice impl useragent Call (Call java:20)_x000D_
01 05 18:05:16 057 25034 25618 com twilio voice quickstart A art: art runtime java vm ext cc:470  at com twilio voice CallControlManager newCall(CallControlManager java:547)_x000D_
01 05 18:05:16 057 25034 25618 com twilio voice quickstart A art: art runtime java vm ext cc:470  at com twilio voice OutgoingCallCommand run(OutgoingCallCommand java:56)_x000D_
01 05 18:05:16 057 25034 25618 com twilio voice quickstart A art: art runtime java vm ext cc:470  at android os Handler handleCallback(Handler java:751)_x000D_
01 05 18:05:16 057 25034 25618 com twilio voice quickstart A art: art runtime java vm ext cc:470  at android os Handler dispatchMessage(Handler java:95)_x000D_
01 05 18:05:16 057 25034 25618 com twilio voice quickstart A art: art runtime java vm ext cc:470  at android os Looper loop(Looper java:154)_x000D_
01 05 18:05:16 057 25034 25618 com twilio voice quickstart A art: art runtime java vm ext cc:470  at com twilio voice CallCommandHandlerImpl run(CallCommandHandlerImpl java:48)_x000D_
01 05 18:05:16 057 25034 25618 com twilio voice quickstart A art: art runtime java vm ext cc:470 _x000D_
01 05 18:05:16 209 25034 25618 com twilio voice quickstart A art: art runtime runtime cc:441  Runtime aborting   _x000D_
01 05 18:05:16 209 25034 25618 com twilio voice quickstart A art: art runtime runtime cc:441  Aborting thread:_x000D_
01 05 18:05:16 209 25034 25618 com twilio voice quickstart A art: art runtime runtime cc:441   Thread 5  prio 5 tid 24 Native_x000D_
01 05 18:05:16 210 25034 25618 com twilio voice quickstart A art: art runtime runtime cc:441    group    sCount 0 dsCount 0 obj 0x12f9aec0 self 0x8af1a800_x000D_
01 05 18:05:16 210 25034 25618 com twilio voice quickstart A art: art runtime runtime cc:441    sysTid 25618 nice 0 cgrp default sched 0 0 handle 0x7fa02920_x000D_
01 05 18:05:16 210 25034 25618 com twilio voice quickstart A art: art runtime runtime cc:441    state R schedstat ( 66821827 20054375 125 ) utm 4 stm 1 core 5 HZ 100_x000D_
01 05 18:05:16 210 25034 25618 com twilio voice quickstart A art: art runtime runtime cc:441    stack 0x7f900000 0x7f902000 stackSize 1038KB_x000D_
01 05 18:05:16 210 25034 25618 com twilio voice quickstart A art: art runtime runtime cc:441    held mutexes   abort lock _x000D_
01 05 18:05:16 210 25034 25618 com twilio voice quickstart A art: art runtime runtime cc:441  native:  00 pc 0034e7f1  system lib libart so ( ZN3art15DumpNativeStackERNSt3  113basic ostreamIcNS0 11char traitsIcEEEEiP12BacktraceMapPKcPNS 9ArtMethodEPv 128)_x000D_
01 05 18:05:16 210 25034 25618 com twilio voice quickstart A art: art runtime runtime cc:441  native:  1 pc 0032f1b5  system lib libart so ( ZNK3art6Thread9DumpStackERNSt3  113basic ostreamIcNS1 11char traitsIcEEEEbP12BacktraceMap 308)_x000D_
01 05 18:05:16 210 25034 25618 com twilio voice quickstart A art: art runtime runtime cc:441  native:  2 pc 00322349  system lib libart so ( ZNK3art10AbortState10DumpThreadERNSt3  113basic ostreamIcNS1 11char traitsIcEEEEPNS 6ThreadE 24)_x000D_
01 05 18:05:16 210 25034 25618 com twilio voice quickstart A art: art runtime runtime cc:441  native:  3 pc 003221d1  system lib libart so ( ZNK3art10AbortState4DumpERNSt3  113basic ostreamIcNS1 11char traitsIcEEEE 424)_x000D_
01 05 18:05:16 210 25034 25618 com twilio voice quickstart A art: art runtime runtime cc:441  native:  4 pc 00318eef  system lib libart so ( ZN3art7Runtime5AbortEv 90)_x000D_
01 05 18:05:16 210 25034 25618 com twilio voice quickstart A art: art runtime runtime cc:441  native:  5 pc 000b48f9  system lib libart so ( ZN3art10LogMessageD2Ev 864)_x000D_
01 05 18:05:16 210 25034 25618 com twilio voice quickstart A art: art runtime runtime cc:441  native:  6 pc 00238dcd  system lib libart so (ZN3art9JavaVMExt8JniAbortEPKcS2 1664)_x000D_
01 05 18:05:16 210 25034 25618 com twilio voice quickstart A art: art runtime runtime cc:441  native:  7 pc 00239033  system lib libart so ( ZN3art9JavaVMExt9JniAbortFEPKcS2 z 66)_x000D_
01 05 18:05:16 210 25034 25618 com twilio voice quickstart A art: art runtime runtime cc:441  native:  8 pc 00332bdd  system lib libart so ( ZNK3art6Thread13DecodeJObjectEP8 jobject 240)_x000D_
01 05 18:05:16 210 25034 25618 com twilio voice quickstart A art: art runtime runtime cc:441  native:  9 pc 000c9991  system lib libart so ( ZN3art11ScopedCheck13CheckInstanceERNS 18ScopedObjectAccessENS0 12InstanceKindEP8 jobjectb 120)_x000D_
01 05 18:05:16 210 25034 25618 com twilio voice quickstart A art: art runtime runtime cc:441  native:  10 pc 000c8f43  system lib libart so ( ZN3art11ScopedCheck22CheckPossibleHeapValueERNS 18ScopedObjectAccessEcNS 12JniValueTypeE 190)_x000D_
01 05 18:05:16 210 25034 25618 com twilio voice quickstart A art: art runtime runtime cc:441  native:  11 pc 000c837b  system lib libart so ( ZN3art11ScopedCheck5CheckERNS 18ScopedObjectAccessEbPKcPNS 12JniValueTypeE 802)_x000D_
01 05 18:05:16 210 25034 25618 com twilio voice quickstart A art: art runtime runtime cc:441  native:  12 pc 000cb38d  system lib libart so ( ZN3art8CheckJNI9DeleteRefEPKcP7 JNIEnvP8 jobjectNS 15IndirectRefKindE 456)_x000D_
01 05 18:05:16 210 25034 25618 com twilio voice quickstart A art: art runtime runtime cc:441  native:  13 pc 00120e47  data app com twilio voice quickstart 1 lib arm libvoice so (Java com twilio voice impl useragent Call makeCall 174)_x000D_
01 05 18:05:16 210 25034 25618 com twilio voice quickstart A art: art runtime runtime cc:441  native:  14 pc 000122ad  data data com twilio voice quickstart cache slice com twilio voice android 2 0 0 beta3 71d18afe0c63b5d95145a1eb78426975d3464f7e classes dex (   )_x000D_
01 05 18:05:16 210 25034 25618 com twilio voice quickstart A art: art runtime runtime cc:441  at com twilio voice impl useragent Call makeCall(Native method)_x000D_
01 05 18:05:16 210 25034 25618 com twilio voice quickstart A art: art runtime runtime cc:441  at com twilio voice impl useragent Call (Call java:20)_x000D_
01 05 18:05:16 210 25034 25618 com twilio voice quickstart A art: art runtime runtime cc:441  at com twilio voice CallControlManager newCall(CallControlManager java:547)_x000D_
01 05 18:05:16 210 25034 25618 com twilio voice quickstart A art: art runtime runtime cc:441  at com twilio voice OutgoingCallCommand run(OutgoingCallCommand java:56)_x000D_
01 05 18:05:16 210 25034 25618 com twilio voice quickstart A art: art runtime runtime cc:441  at android os Handler handleCallback(Handler java:751)_x000D_
01 05 18:05:16 210 25034 25618 com twilio voice quickstart A art: art runtime runtime cc:441  at android os Handler dispatchMessage(Handler java:95)_x000D_
01 05 18:05:16 210 25034 25618 com twilio voice quickstart A art: art runtime runtime cc:441  at android os Looper loop(Looper java:154)_x000D_
01 05 18:05:16 210 25034 25618 com twilio voice quickstart A art: art runtime runtime cc:441  at com twilio voice CallCommandHandlerImpl run(CallCommandHandlerImpl java:48)_x000D_
01 05 18:05:16 210 25034 25618 com twilio voice quickstart A art: art runtime runtime cc:441  Dumping all threads without appropriate locks held: thread list lock mutator lock_x000D_
01 05 18:05:16 210 25034 25618 com twilio voice quickstart A art: art runtime runtime cc:441  All threads:_x000D_
01 05 18:05:16 210 25034 25618 com twilio voice quickstart A art: art runtime runtime cc:441  DALVIK THREADS (23):_x000D_
01 05 18:05:16 210 25034 25618 com twilio voice quickstart A art: art runtime runtime cc:441   Thread 5  prio 5 tid 24 Runnable_x000D_
01 05 18:05:16 210 25034 25618 com twilio voice quickstart A art: art runtime runtime cc:441    group    sCount 0 dsCount 0 obj 0x12f9aec0 self 0x8af1a800_x000D_
01 05 18:05:16 210 25034 25618 com twilio voice quickstart A art: art runtime runtime cc:441    sysTid 25618 nice 0 cgrp default sched 0 0 handle 0x7fa02920_x000D_
01 05 18:05:16 210 25034 25618 com twilio voice quickstart A art: art runtime runtime cc:441    state R schedstat ( 116208129 20656875 137 ) utm 6 stm 4 core 0 HZ 100_x000D_
01 05 18:05:16 210 25034 25618 com twilio voice quickstart A art: art runtime runtime cc:441    stack 0x7f900000 0x7f902000 stackSize 1038KB_x000D_
01 05 18:05:16 210 25034 25618 com twilio voice quickstart A art: art runtime runtime cc:441    held mutexes   abort lock   mutator lock (shared held)_x000D_
01 05 18:05:16 210 25034 25618 com twilio voice quickstart A art: art runtime runtime cc:441  native:  00 pc 0034e7f1  system lib libart so ( ZN3art15DumpNativeStackERNSt3  113basic ostreamIcNS0 11char traitsIcEEEEiP12BacktraceMapPKcPNS 9ArtMethodEPv 128)_x000D_
01 05 18:05:16 210 25034 25618 com twilio voice quickstart A art: art runtime runtime cc:441  native:  1 pc 0032f1b5  system lib libart so ( ZNK3art6Thread9DumpStackERNSt3  113basic ostreamIcNS1 11char traitsIcEEEEbP12BacktraceMap 308)_x000D_
01 05 18:05:16 210 25034 25618 com twilio voice quickstart A art: art runtime runtime cc:441  native:  2 pc 00341011  system lib libart so ( ZN3art14DumpCheckpoint3RunEPNS 6ThreadE 620)_x000D_
01 05 18:05:16 210 25034 25618 com twilio voice quickstart A art: art runtime runtime cc:441  native:  3 pc 0033b01b  system lib libart so ( ZN3art10ThreadList13RunCheckpointEPNS 7ClosureE 330)_x000D_
01 05 18:05:16 210 25034 25618 com twilio voice quickstart A art: art runtime runtime cc:441  native:  4 pc 0033ad41  system lib libart so ( ZN3art10ThreadList4DumpERNSt3  113basic ostreamIcNS1 11char traitsIcEEEEb 180)_x000D_
01 05 18:05:16 210 25034 25618 com twilio voice quickstart A art: art runtime runtime cc:441  native:  5 pc 0032219d  system lib libart so ( ZNK3art10AbortState4DumpERNSt3  113basic ostreamIcNS1 11char traitsIcEEEE 372)_x000D_
01 05 18:05:16 210 25034 25618 com twilio voice quickstart A art: art runtime runtime cc:441  native:  6 pc 00318eef  system lib libart so ( ZN3art7Runtime5AbortEv 90)_x000D_
01 05 18:05:16 210 25034 25618 com twilio voice quickstart A art: art runtime runtime cc:441  native:  7 pc 000b48f9  system lib libart so ( ZN3art10LogMessageD2Ev 864)_x000D_
01 05 18:05:16 210 25034 25618 com twilio voice quickstart A art: art runtime runtime cc:441  native:  8 pc 00238dcd  system lib libart so (ZN3art9JavaVMExt8JniAbortEPKcS2 1664)_x000D_
01 05 18:05:16 210 25034 25618 com twilio voice quickstart A art: art runtime runtime cc:441  native:  9 pc 00239033  system lib libart so ( ZN3art9JavaVMExt9JniAbortFEPKcS2 z 66)_x000D_
01 05 18:05:16 210 25034 25618 com twilio voice quickstart A art: art runtime runtime cc:441  native:  10 pc 00332bdd  system lib libart so ( ZNK3art6Thread13DecodeJObjectEP8 jobject 240)_x000D_
01 05 18:05:16 210 25034 25618 com twilio voice quickstart A art: art runtime runtime cc:441  native:  11 pc 000c9991  system lib libart so ( ZN3art11ScopedCheck13CheckInstanceERNS 18ScopedObjectAccessENS0 12InstanceKindEP8 jobjectb 120)_x000D_
01 05 18:05:16 210 25034 25618 com twilio voice quickstart A art: art runtime runtime cc:441  native:  12 pc 000c8f43  system lib libart so ( ZN3art11ScopedCheck22CheckPossibleHeapValueERNS 18ScopedObjectAccessEcNS 12JniValueTypeE 190)_x000D_
01 05 18:05:16 210 25034 25618 com twilio voice quickstart A art: art runtime runtime cc:441  native:  13 pc 000c837b  system lib libart so ( ZN3art11ScopedCheck5CheckERNS 18ScopedObjectAccessEbPKcPNS 12JniValueTypeE 802)_x000D_
01 05 18:05:16 210 25034 25618 com twilio voice quickstart A art: art runtime runtime cc:441  native:  14 pc 000cb38d  system lib libart so ( ZN3art8CheckJNI9DeleteRefEPKcP7 JNIEnvP8 jobjectNS 15IndirectRefKindE 456)_x000D_
01 05 18:05:16 210 25034 25618 com twilio voice quickstart A art: art runtime runtime cc:441  native:  15 pc 00120e47  data app com twilio voice quickstart 1 lib arm libvoice so (Java com twilio voice impl useragent Call makeCall 174)_x000D_
01 05 18:05:16 210 25034 25618 com twilio voice quickstart A art: art runtime runtime cc:441  native:  16 pc 000122ad  data data com twilio voice quickstart cache slice com twilio voice android 2 0 0 beta3 71d18afe0c63b5d95145a1eb78426975d3464f7e classes dex (Java com twilio voice impl useragent Call makeCall  Lcom twilio voice impl session Account 2Ljava lang String 2Lcom twilio voice impl useragent MessageData 2 144)_x000D_
01 05 18:05:16 210 25034 25618 com twilio voice quickstart A art: art runtime runtime cc:441  at com twilio voice impl useragent Call makeCall(Native method)_x000D_
01 05 18:05:16 210 25034 25618 com twilio voice quickstart A art: art runtime runtime cc:441  at com twilio voice impl useragent Call (Call java:20)_x000D_
01 05 18:05:16 210 25034 25618 com twilio voice quickstart A art: art runtime runtime cc:441  at com twilio voice CallControlManager newCall(CallControlManager java:547)_x000D_
01 05 18:05:16 210 25034 25618 com twilio voice quickstart A art: art runtime runtime cc:441  at com twilio voice OutgoingCallCommand run(OutgoingCallCommand java:56)_x000D_
01 05 18:05:16 210 25034 25618 com twilio voice quickstart A art: art runtime runtime cc:441  at android os Handler handleCallback(Handler java:751)_x000D_
01 05 18:05:16 210 25034 25618 com twilio voice quickstart A art: art runtime runtime cc:441  at android os Handler dispatchMessage(Handler java:95)_x000D_
01 05 18:05:16 210 25034 25618 com twilio voice quickstart A art: art runtime runtime cc:441  at android os Looper loop(Looper java:154)_x000D_
01 05 18:05:16 210 25034 25618 com twilio voice quickstart A art: art runtime runtime cc:441  at com twilio voice CallCommandHandlerImpl run(CallCommandHandlerImpl java:48)_x000D_
01 05 18:05:16 210 25034 25618 com twilio voice quickstart A art: art runtime runtime cc:441 _x000D_
01 05 18:05:16 210 25034 25618 com twilio voice quickstart A art: art runtime runtime cc:441   main  prio 5 tid 1 Native_x000D_
01 05 18:05:16 210 25034 25618 com twilio voice quickstart A art: art runtime runtime cc:441    group    sCount 1 dsCount 0 obj 0x73c05e80 self 0xa4b85400_x000D_
01 05 18:05:16 210 25034 25618 com twilio voice quickstart A art: art runtime runtime cc:441    sysTid 25034 nice  10 cgrp default sched 0 0 handle 0xa7878534_x000D_
01 05 18:05:16 210 25034 25618 com twilio voice quickstart A art: art runtime runtime cc:441    state S schedstat ( 2617071949 82164952 857 ) utm 208 stm 52 core 6 HZ 100_x000D_
01 05 18:05:16 210 25034 25618 com twilio voice quickstart A art: art runtime runtime cc:441    stack 0xbe4b3000 0xbe4b5000 stackSize 8MB_x000D_
01 05 18:05:16 210 25034 25618 com twilio voice quickstart A art: art runtime runtime cc:441    held mutexes _x000D_
01 05 18:05:16 210 25034 25618 com twilio voice quickstart A art: art runtime runtime cc:441  native:  00 pc 000482a8  system lib libc so (  epoll pwait 20)_x000D_
01 05 18:05:16 210 25034 25618 com twilio voice quickstart A art: art runtime runtime cc:441  native:  1 pc 00019e7d  system lib libc so (epoll pwait 60)_x000D_
01 05 18:05:16 210 25034 25618 com twilio voice quickstart A art: art runtime runtime cc:441  native:  2 pc 00019ead  system lib libc so (epoll wait 12)_x000D_
01 05 18:05:16 210 25034 25618 com twilio voice quickstart A art: art runtime runtime cc:441  native:  3 pc 00011c9f  system lib libutils so ( ZN7android6Looper9pollInnerEi 118)_x000D_
01 05 18:05:16 210 25034 25618 com twilio voice quickstart A art: art runtime runtime cc:441  native:  4 pc 00011b9b  system lib libutils so ( ZN7android6Looper8pollOnceEiPiS1 PPv 26)_x000D_
01 05 18:05:16 210 25034 25618 com twilio voice quickstart A art: art runtime runtime cc:441  native:  5 pc 0008f839  system lib libandroid runtime so ( ZN7android18NativeMessageQueue8pollOnceEP7 JNIEnvP8 jobjecti 22)_x000D_
01 05 18:05:16 210 25034 25618 com twilio voice quickstart A art: art runtime runtime cc:441  native:  6 pc 0062ad85  system framework arm boot framework oat (Java android os MessageQueue nativePollOnce  JI 96)_x000D_
01 05 18:05:16 210 25034 25618 com twilio voice quickstart A art: art runtime runtime cc:441  at android os MessageQueue nativePollOnce(Native method)_x000D_
01 05 18:05:16 210 25034 25618 com twilio voice quickstart A art: art runtime runtime cc:441  at android os MessageQueue next(MessageQueue java:323)_x000D_
01 05 18:05:16 210 25034 25618 com twilio voice quickstart A art: art runtime runtime cc:441  at android os Looper loop(Looper java:136)_x000D_
01 05 18:05:16 210 25034 25618 com twilio voice quickstart A art: art runtime runtime cc:441  at android app ActivityThread main(ActivityThread java:6123)_x000D_
01 05 18:05:16 210 25034 25618 com twilio voice quickstart A art: art runtime runtime cc:441  at java lang reflect Method invoke (Native method)_x000D_
01 05 18:05:16 210 25034 25618 com twilio voice quickstart A art: art runtime runtime cc:441  at com android internal os ZygoteInit MethodAndArgsCaller run(ZygoteInit java:867)_x000D_
01 05 18:05:16 210 25034 25618 com twilio voice quickstart A art: art runtime runtime cc:441  at com android internal os ZygoteInit main(ZygoteInit java:757)_x000D_
01 05 18:05:16 210 25034 25618 com twilio voice quickstart A art: art runtime runtime cc:441 _x000D_
01 05 18:05:16 210 25034 25618 com twilio voice quickstart A art: art runtime runtime cc:441   Jit thread pool worker thread 0  prio 5 tid 2 Native (still starting up)_x000D_
01 05 18:05:16 210 25034 25618 com twilio voice quickstart A art: art runtime runtime cc:441    group    sCount 1 dsCount 0 obj 0x0 self 0x9df17000_x000D_
01 05 18:05:16 210 25034 25618 com twilio voice quickstart A art: art runtime runtime cc:441    sysTid 25043 nice 9 cgrp default sched 0 0 handle 0xa42a6920_x000D_
01 05 18:05:16 210 25034 25618 com twilio voice quickstart A art: art runtime runtime cc:441    state S schedstat ( 51069687 10010262 17 ) utm 4 stm 0 core 6 HZ 100_x000D_
01 05 18:05:16 210 25034 25618 com twilio voice quickstart A art: art runtime runtime cc:441    stack 0xa41a8000 0xa41aa000 stackSize 1022KB_x000D_
01 05 18:05:16 210 25034 25618 com twilio voice quickstart A art: art runtime runtime cc:441    held mutexes _x000D_
01 05 18:05:16 210 25034 25618 com twilio voice quickstart A art: art runtime runtime cc:441  native:  00 pc 000174b4  system lib libc so (syscall 28)_x000D_
01 05 18:05:16 210 25034 25618 com twilio voice quickstart A art: art runtime runtime cc:441  native:  1 pc 000b64bd  system lib libart so ( ZN3art17ConditionVariable16WaitHoldingLocksEPNS 6ThreadE 92)_x000D_
01 05 18:05:16 210 25034 25618 com twilio voice quickstart A art: art runtime runtime cc:441  native:  2 pc 00342559  system lib libart so ( ZN3art10ThreadPool7GetTaskEPNS 6ThreadE 160)_x000D_
01 05 18:05:16 210 25034 25618 com twilio voice quickstart A art: art runtime runtime cc:441  native:  3 pc 00341d83  system lib libart so ( ZN3art16ThreadPoolWorker3RunEv 62)_x000D_
01 05 18:05:16 210 25034 25618 com twilio voice quickstart A art: art runtime runtime cc:441  native:  4 pc 003418b1  system lib libart so ( ZN3art16ThreadPoolWorker8CallbackEPv 64)_x000D_
01 05 18:05:16 210 25034 25618 com twilio voice quickstart A art: art runtime runtime cc:441  native:  5 pc 00046e33  system lib libc so ( ZL15 </t>
  </si>
  <si>
    <t>syncthing-syncthing-android-831</t>
  </si>
  <si>
    <t>Open folder crashes on Android 7</t>
  </si>
  <si>
    <t>The same problem as here: http:  stackoverflow com q 38200282_x000D_
_x000D_
The suggested solution is to use a FileProvider  but I m not sure if that makes sense in our case (opening a file manager)  Alternatively  we can set the vm policy to not crash when we share the path: http:  stackoverflow com a 40674771</t>
  </si>
  <si>
    <t>cgeo-cgeo-6241</t>
  </si>
  <si>
    <t>org.apache.harmony.xml.ExpatParser$ParseException when opening map</t>
  </si>
  <si>
    <t xml:space="preserve">Outcome of  6236 (put into a new issue):_x000D_
_x000D_
Beta version: 2016 01 08 RC2_x000D_
_x000D_
   _x000D_
java lang RuntimeException: Aborting on Log e()_x000D_
	at cgeo geocaching utils Log e(Log java:108)_x000D_
	at cgeo geocaching maps routing Routing parseGpxTrack(Routing java:143)_x000D_
	at cgeo geocaching maps routing Routing calculateRouting(Routing java:115)_x000D_
	at cgeo geocaching maps routing Routing getTrack(Routing java:95)_x000D_
	at cgeo geocaching maps DirectionDrawer drawDirection(DirectionDrawer java:62)_x000D_
	at cgeo geocaching maps PositionAndScaleOverlay drawInternal(PositionAndScaleOverlay java:78)_x000D_
	at cgeo geocaching maps PositionAndScaleOverlay drawOverlayBitmap(PositionAndScaleOverlay java:67)_x000D_
	at cgeo geocaching maps mapsforge MapsforgeOverlay drawOverlayBitmap(MapsforgeOverlay java:32)_x000D_
	at org mapsforge v3 android maps overlay Overlay redrawOverlay(Overlay java:313)_x000D_
	at org mapsforge v3 android maps overlay Overlay run(Overlay java:250)_x000D_
Caused by: org apache harmony xml ExpatParser ParseException: At line 1  column 0: syntax error_x000D_
	at org apache harmony xml ExpatParser parseFragment(ExpatParser java:499)_x000D_
	at org apache harmony xml ExpatParser parseDocument(ExpatParser java:484)_x000D_
	at org apache harmony xml ExpatReader parse(ExpatReader java:309)_x000D_
	at org apache harmony xml ExpatReader parse(ExpatReader java:267)_x000D_
	at android util Xml parse(Xml java:57)_x000D_
	at cgeo geocaching maps routing Routing parseGpxTrack(Routing java:122)_x000D_
	    8 more_x000D_
   _x000D_
Comment of  schafma_x000D_
_x000D_
testing version: 2017 01 08 RC2_x000D_
With disable option  show direction  the map can be open for a cache _x000D_
With enabled option or when enabling the option while the map for a cache is open  c:geo stops _x000D_
Forgot to mention: I ve installed BRouter_x000D_
_x000D_
System information (taken from  6236):_x000D_
   _x000D_
    System information    _x000D_
Device: SM G800F (kminiltexx  samsung)_x000D_
Android version: 5 1 1_x000D_
Android build: LMY47X G800FXXU1BOK7_x000D_
Cgeo version:  see above (removed here by  Lineflyer as not matching anymore)_x000D_
Google Play services: enabled_x000D_
Low power mode: inactive_x000D_
Compass capabilities: yes_x000D_
Rotation vector sensor: present_x000D_
Orientation sensor: present_x000D_
Magnetometer   Accelerometer sensor: present_x000D_
Direction sensor used: rotation vector_x000D_
Hide own found: true_x000D_
Map strategy: auto_x000D_
HW acceleration: enabled (default state)_x000D_
System language: de DE (cgeo forced to English)_x000D_
Log date format: 1 8 2017_x000D_
Debug mode active: no_x000D_
Fine location permission: granted_x000D_
Write external storage permission: granted_x000D_
Geocaching sites enabled:_x000D_
geocaching com: Logged in (Login OK)   PREMIUM_x000D_
Geocaching com date format: dd MMM yy_x000D_
Installed cgeo plugins: calendar  contacts_x000D_
    End of system information    _x000D_
   _x000D_
_x000D_
 schafma_x000D_
Aborting on log e in the crash report is suspicious for me _x000D_
Can you please now doublecheck if you enabled the debug logging in c:geo Menu   Settings   System _x000D_
Does the problem disappear if you   disable    the debug logging </t>
  </si>
  <si>
    <t>cloudant-sync-android-470</t>
  </si>
  <si>
    <t>Incorrect SQLException handling on Android</t>
  </si>
  <si>
    <t xml:space="preserve">There are three classes named  SQLException :_x000D_
   java sql SQLException  (checked exception)_x000D_
   android database SQLException  (unchecked exception)_x000D_
   net sqlcipher SQLException  (unchecked exception)_x000D_
_x000D_
The abstract class  SQLDatabase  declares that some methods throw  SQLException  (referring to  java sql SQLException )  however  the concrete classes  AndroidSQLite  and  AndroidSQLCipherSQLite  throw the unchecked exceptions  android database SQLException  and  net sqlcipher SQLException  respectively  which could lead to crashes at runtime for exceptions that on initial inspection appear to be handled _x000D_
_x000D_
To fix this  we should catch  android database SQLException  and  net sqlcipher SQLException  and wrap them in a  java sql SQLException  so they behave as expected _x000D_
_x000D_
</t>
  </si>
  <si>
    <t>cgeo-cgeo-6240</t>
  </si>
  <si>
    <t>NegativeArraySizeException when opening map</t>
  </si>
  <si>
    <t>From Google Play Beta crash reports for version 2017 01 08 RC2 and one beta earlier as well:_x000D_
_x000D_
   _x000D_
java lang NegativeArraySizeException:  4_x000D_
	at cgeo geocaching utils CanvasUtils drawPath(CanvasUtils java:25)_x000D_
	at cgeo geocaching maps DirectionDrawer drawDirection(DirectionDrawer java:69)_x000D_
	at cgeo geocaching maps PositionAndScaleOverlay drawInternal(PositionAndScaleOverlay java:78)_x000D_
	at cgeo geocaching maps PositionAndScaleOverlay drawOverlayBitmap(PositionAndScaleOverlay java:67)_x000D_
	at cgeo geocaching maps mapsforge MapsforgeOverlay drawOverlayBitmap(MapsforgeOverlay java:32)_x000D_
	at org mapsforge v3 android maps overlay Overlay redrawOverlay(Overlay java:313)_x000D_
	at org mapsforge v3 android maps overlay Overlay run(Overlay java:250)_x000D_
   _x000D_
_x000D_
User coments like:_x000D_
Crash when opening map for a cache</t>
  </si>
  <si>
    <t>tanrabad-survey-6</t>
  </si>
  <si>
    <t>:com.google.android.gms line 1227</t>
  </si>
  <si>
    <t xml:space="preserve">     in kie a
  Number of crashes: 1
  Impacted devices: 1
There s a lot more information about this crash on crashlytics com:
 https:  fabric io tanrabad android apps org tanrabad survey issues 5874440b0aeb16625befb1ed (https:  fabric io tanrabad android apps org tanrabad survey issues 5874440b0aeb16625befb1ed)</t>
  </si>
  <si>
    <t>SteamGifts-SteamGifts-44</t>
  </si>
  <si>
    <t>Crashes when opening the sidebar</t>
  </si>
  <si>
    <t xml:space="preserve">Some issue with the latest beta update  where the update to the new material drawer   dependencies seems to cause a crash only when you re logged in  _x000D_
_x000D_
Happens both on my phone and the emulator  </t>
  </si>
  <si>
    <t>userid451-HiddenEye-30</t>
  </si>
  <si>
    <t>modifying the firebase database</t>
  </si>
  <si>
    <t xml:space="preserve">when Adding markers within the application  then removing of the points from the firebase console the application will crash in the begging throwing </t>
  </si>
  <si>
    <t>kontalk-androidclient-930</t>
  </si>
  <si>
    <t>Missing plurals</t>
  </si>
  <si>
    <t xml:space="preserve">Bad plural translations will cause crashes in some cases (unknown language):_x000D_
_x000D_
   _x000D_
android content res Resources NotFoundException: Plural resource ID  0x7f0b0001 quantity 1 item other_x000D_
       at android content res Resources getQuantityText(Resources java:411)_x000D_
       at android content res Resources getQuantityString(Resources java:521)_x000D_
       at org kontalk ui ConversationListFragment onItemCheckedStateChanged(ConversationListFragment java:231)_x000D_
   _x000D_
_x000D_
Fill in (and mark with  need review ) strings in all language until lint clears of all the errors </t>
  </si>
  <si>
    <t>jehy-rutracker-free-28</t>
  </si>
  <si>
    <t>DownloadUpdateService.java line 64</t>
  </si>
  <si>
    <t xml:space="preserve">     in ru jehy rutracker free updater DownloadUpdateService 1 onReceive
  Number of crashes: 1
  Impacted devices: 1
There s a lot more information about this crash on crashlytics com:
 https:  fabric io jehy android apps ru jehy rutracker free issues 5877cc830aeb16625b0a2076 (https:  fabric io jehy android apps ru jehy rutracker free issues 5877cc830aeb16625b0a2076)</t>
  </si>
  <si>
    <t>rubensousa-BottomSheetBuilder-12</t>
  </si>
  <si>
    <t>crash</t>
  </si>
  <si>
    <t xml:space="preserve">_x000D_
android view WindowManagerGlobal findViewLocked (WindowManagerGlobal java:454)_x000D_
android view WindowManagerGlobal removeView (WindowManagerGlobal java:380)_x000D_
android view WindowManagerImpl removeViewImmediate (WindowManagerImpl java:140)_x000D_
android app Dialog dismissDialog (Dialog java:701)_x000D_
android app Dialog dismiss (Dialog java:684)_x000D_
com github rubensousa bottomsheetbuilder BottomSheetMenuDialog access 101 (BottomSheetMenuDialog java:34)_x000D_
com github rubensousa bottomsheetbuilder BottomSheetMenuDialog 3 onStateChanged (BottomSheetMenuDialog java:201)_x000D_
android support design widget BottomSheetBehavior setStateInternal (BottomSheetBehavior java:576)_x000D_
android support design widget BottomSheetBehavior SettleRunnable run (BottomSheetBehavior java:757)_x000D_
android os Handler handleCallback (Handler java:739)_x000D_
android os Handler dispatchMessage (Handler java:95)_x000D_
android os Looper loop (Looper java:148)_x000D_
android app ActivityThread main (ActivityThread java:7325)_x000D_
java lang reflect Method invoke (Method java)_x000D_
com android internal os ZygoteInit MethodAndArgsCaller run (ZygoteInit java:1230)_x000D_
com android internal os ZygoteInit main (ZygoteInit java:1120)_x000D_
_x000D_
_x000D_
Steps to reproduce :_x000D_
_x000D_
1  Enable this option on your device: Settings    Developer Options    Don t keep Activities _x000D_
_x000D_
1  open bottomsheet  then click on any item which causes new activity to launch _x000D_
_x000D_
The old activity is removed  and causes the crash _x000D_
</t>
  </si>
  <si>
    <t>maks-MGit-102</t>
  </si>
  <si>
    <t>Editing file and then saving (.md) causes random crash</t>
  </si>
  <si>
    <t>When editing a markdown file  saving  then hitting the back button: MGit crashes maybe 50  of the time  The file doesn t appear to be saved when it crashes  despite the message_x000D_
_x000D_
Just in case: LG L90 and a Moto G  both on CM 13 w root  Android 6 0 1</t>
  </si>
  <si>
    <t>Fleker-CumulusTV-234</t>
  </si>
  <si>
    <t>epgUrl parameter triggers CumulusTV crash</t>
  </si>
  <si>
    <t xml:space="preserve">Hi  I ve added the following XMLTV url to a channel in my json_x000D_
_x000D_
http:  tvprofil net xmltv data rai 1 it weekly rai 1 it tvprofil net xml_x000D_
_x000D_
this triggers a crash of CumulusTV when importing the channels in Live channels and when opening the CumulusTV _x000D_
_x000D_
I ve submitted my crash reports </t>
  </si>
  <si>
    <t>amirarcane-recent-images-20</t>
  </si>
  <si>
    <t>Sample App Crashes When No Image Returned</t>
  </si>
  <si>
    <t xml:space="preserve"> Sample App crashes when user opens gallery and then returns to app without selecting an image  </t>
  </si>
  <si>
    <t>ashqal-MD360Player4Android-145</t>
  </si>
  <si>
    <t>提一个比较重要的bug</t>
  </si>
  <si>
    <t xml:space="preserve"> ProjectionModeManager::on      mStrategy on()  post GLThread   override     _x000D_
   _x000D_
           destroy prev main plugin_x000D_
        if( mMainPlugin    null) _x000D_
            mMainPlugin destroy() _x000D_
            mMainPlugin   null _x000D_
         _x000D_
_x000D_
        mDirectors clear() _x000D_
_x000D_
        MD360DirectorFactory factory   getStrategy() hijackDirectorFactory() _x000D_
        factory   factory    null   mCustomDirectorFactory : factory _x000D_
_x000D_
        for (int i   0  i   MDVRLibrary sMultiScreenSize  i  ) _x000D_
            mDirectors add(factory createDirector(i)) _x000D_
         _x000D_
   _x000D_
   GLThread            ProjectionMode   mMainPlugin     new    destroy    init  crash     _x000D_
java lang NullPointerException: Attempt to invoke virtual method  void com asha vrlib texture MD360Texture create()  on a null object reference_x000D_
	at com asha vrlib plugins MDPanoramaPlugin init(MDPanoramaPlugin java)_x000D_
	at com asha vrlib plugins MDAbsPlugin setup(MDAbsPlugin java)_x000D_
	at com asha vrlib MD360Renderer onDrawFrame(MD360Renderer java)_x000D_
	at android opengl GLSurfaceView GLThread guardedRun(GLSurfaceView java)_x000D_
	at android opengl GLSurfaceView GLThread run(GLSurfaceView java)_x000D_
_x000D_
       1       _x000D_
</t>
  </si>
  <si>
    <t>praekeltfoundation-gem-bbb-indo-420</t>
  </si>
  <si>
    <t>Goal: Saving or adding goal crashed app</t>
  </si>
  <si>
    <t>From the testers:_x000D_
_x000D_
  Hitting the save or add this goal button with the coach causes the app to crash all the time  reproduced this bug 7 times</t>
  </si>
  <si>
    <t>forrestguice-SuntimesWidget-75</t>
  </si>
  <si>
    <t>app crash on "Set Date" api10</t>
  </si>
  <si>
    <t xml:space="preserve">tested on emulator api10 _x000D_
 Set Date     the dialog fails to appear  instead the app crashes _x000D_
_x000D_
   _x000D_
java lang IllegalArgumentException: current should be    start and    end_x000D_
            at android widget NumberPicker setCurrent(NumberPicker java:288)_x000D_
            at android widget DatePicker updateDaySpinner(DatePicker java:397)_x000D_
            at android widget DatePicker updateSpinners(DatePicker java:383)_x000D_
            at android widget DatePicker init(DatePicker java:379)_x000D_
            at com forrestguice suntimeswidget TimeDateDialog initViews(TimeDateDialog java:126)_x000D_
   _x000D_
values are  1  1  1 (init called before values are initialized)_x000D_
tested on api19 no crash </t>
  </si>
  <si>
    <t>TeamNewPipe-NewPipe-412</t>
  </si>
  <si>
    <t>[Bug] access external sdcard failes</t>
  </si>
  <si>
    <t>In lollipop and higher when you set a default download location to a folder on an external SD card an app needs to invoke certain intents to request read write permissions on that folder the following link contains a brief explanation of the new API  Please ensure that this is properly implemented since new pipe currently crashes when attempting to download files to an external SD card_x000D_
_x000D_
http:  amp androidcentral com lollipop brings changes way your sd card works kind youll client ms opera mobile espv 1</t>
  </si>
  <si>
    <t>cgeo-cgeo-6258</t>
  </si>
  <si>
    <t>c: geo crashes when opening offline map with routing</t>
  </si>
  <si>
    <t xml:space="preserve">      Detailed steps causing the problem:_x000D_
  Open a cache_x000D_
  Routing enabled and set to  Car _x000D_
  Offline map is selected_x000D_
  Go to the waypoints page_x000D_
  Choose a  certain  waypoint_x000D_
  Show map including routing for that waypoint_x000D_
_x000D_
      Actual behavior after performing these steps:_x000D_
c:geo crashes _x000D_
c:geo also crashes on that certain waypoint when routing is disabled (Straight line) and then changed to  Car  _x000D_
It does not crash on Google Maps (GM)  I guess because routing seems to be disabled with GM _x000D_
_x000D_
Not sure why some waypoints trigger this  But they do that reproducible _x000D_
_x000D_
      Version of c:geo used:_x000D_
See System Information _x000D_
_x000D_
      Is the problem reproducible for you _x000D_
Yes  for certain waypoints _x000D_
As the problem is routing related the current GPS position might be also relevant for reproducing the crash _x000D_
_x000D_
      System information:_x000D_
   _x000D_
    System information    _x000D_
Device: D5503 (D5503  Sony)_x000D_
Android version: 5 1 1_x000D_
Android build: 14 6 A 1 236_x000D_
Cgeo version: 2017 01 15 NB 6e9a53e_x000D_
Google Play services: disabled   10 0 84 (236 137749526)_x000D_
Low power mode: inactive_x000D_
Compass capabilities: yes_x000D_
Rotation vector sensor: present_x000D_
Orientation sensor: present_x000D_
Magnetometer   Accelerometer sensor: present_x000D_
Direction sensor used: orientation_x000D_
Hide own found: true_x000D_
Map strategy: detailed_x000D_
HW acceleration: enabled (default state)_x000D_
System language: de DE (cgeo forced to English)_x000D_
Log date format: 15 01 2017_x000D_
Debug mode active: no_x000D_
Fine location permission: granted_x000D_
Write external storage permission: granted_x000D_
Geocaching sites enabled:_x000D_
   geocaching com: Logged in (Login OK)   BASIC_x000D_
Geocaching com date format: MM dd yyyy_x000D_
Installed cgeo plugins:  none_x000D_
    End of system information    _x000D_
   _x000D_
</t>
  </si>
  <si>
    <t>jehy-rutracker-free-29</t>
  </si>
  <si>
    <t>TorProgressTask.java line 66</t>
  </si>
  <si>
    <t xml:space="preserve">     in ru jehy rutracker free TorProgressTask onPostExecute
  Number of crashes: 1
  Impacted devices: 1
There s a lot more information about this crash on crashlytics com:
 https:  fabric io jehy android apps ru jehy rutracker free issues 587b3b170aeb16625b218f62 (https:  fabric io jehy android apps ru jehy rutracker free issues 587b3b170aeb16625b218f62)</t>
  </si>
  <si>
    <t>justdave-MCStatus-10</t>
  </si>
  <si>
    <t>Crash if user enters an invalid port number for a server</t>
  </si>
  <si>
    <t xml:space="preserve">   _x000D_
java lang IllegalArgumentException: Port out of range: 265571_x000D_
	at java net Socket checkDestination(Socket java:306)_x000D_
	at java net Socket tryAllAddresses(Socket java:129)_x000D_
	at java net Socket  init (Socket java:180)_x000D_
	at java net Socket  init (Socket java:152)_x000D_
	at net justdave mcstatus MinecraftServer query(MinecraftServer java:256)_x000D_
	at net justdave mcstatus MainActivity 2 run(MainActivity java:231)_x000D_
	at java lang Thread run(Thread java:818)_x000D_
   _x000D_
_x000D_
This is obviously a user error  but I should trap for it and tell them nicely instead of crashing </t>
  </si>
  <si>
    <t>Cloudkibo-Android-424</t>
  </si>
  <si>
    <t>Version 100 Keeps crashing</t>
  </si>
  <si>
    <t xml:space="preserve">Once I reinstall version 100 it keeps crashing  I have tried everything _x000D_
_x000D_
1) Remove the App and installed it again _x000D_
_x000D_
2) Went to Andriod setup and removed the storage also _x000D_
_x000D_
3) The App comes up and it crashed soon_x000D_
_x000D_
4) First time after the install it say last version was 96_x000D_
_x000D_
5) It never asked me about phone number verification_x000D_
_x000D_
6) See the error below from the crash report_x000D_
_x000D_
  image (https:  cloud githubusercontent com assets 5336012 21961110 d8b44938 dab5 11e6 9b73 26b2f52f6093 png)_x000D_
_x000D_
_x000D_
</t>
  </si>
  <si>
    <t>CrazyOrr-FFmpegRecorder-15</t>
  </si>
  <si>
    <t>OutOfMemoryError: Failed to allocate memory within limits</t>
  </si>
  <si>
    <t xml:space="preserve">Dear CrazyOrr:_x000D_
I use this Project  after recording 1 minutes will be crash  the reason is                                                                                     java lang OutOfMemoryError: Failed to allocate memory within limits: totalBytes   255M   112K   maxBytes   256M_x000D_
do you have some good suggestions to correct this error_x000D_
Thanks very much_x000D_
</t>
  </si>
  <si>
    <t>h6ah4i-android-advancedrecyclerview-339</t>
  </si>
  <si>
    <t>illegalStateException: Cannot call this method while RecyclerView is computing a layout or scrolling</t>
  </si>
  <si>
    <t xml:space="preserve">Seeing a lot of these in crashlytics  _x000D_
_x000D_
 Fatal Exception: java lang IllegalStateException: Cannot call this method while RecyclerView is computing a layout or scrolling_x000D_
       at android support v7 widget RecyclerView assertNotInLayoutOrScroll(SourceFile:2457)_x000D_
       at android support v7 widget RecyclerView RecyclerViewDataObserver onItemRangeInserted(SourceFile:4811)_x000D_
       at android support v7 widget RecyclerView AdapterDataObservable notifyItemRangeInserted(SourceFile:10793)_x000D_
       at android support v7 widget RecyclerView Adapter notifyItemRangeInserted(SourceFile:6490)_x000D_
       at com h6ah4i android widget advrecyclerview expandable ExpandableRecyclerViewWrapperAdapter expandGroup(SourceFile:764)_x000D_
       at com h6ah4i android widget advrecyclerview expandable ExpandableRecyclerViewWrapperAdapter onTapItem(SourceFile:693)_x000D_
       at com h6ah4i android widget advrecyclerview expandable RecyclerViewExpandableItemManager handleActionUpOrCancel(SourceFile:291)_x000D_
       at com h6ah4i android widget advrecyclerview expandable RecyclerViewExpandableItemManager onInterceptTouchEvent(SourceFile:224)_x000D_
       at com h6ah4i android widget advrecyclerview expandable RecyclerViewExpandableItemManager 1 onInterceptTouchEvent(SourceFile:101)_x000D_
       at android support v7 widget RecyclerView dispatchOnItemTouchIntercept(SourceFile:2509)_x000D_
       at android support v7 widget RecyclerView onInterceptTouchEvent(SourceFile:2555)_x000D_
       at android view ViewGroup dispatchTouchEvent(ViewGroup java:2368)_x000D_
       at android view ViewGroup dispatchTransformedTouchEvent(ViewGroup java:2841)_x000D_
       at android view ViewGroup dispatchTouchEvent(ViewGroup java:2516)_x000D_
       at android view ViewGroup dispatchTransformedTouchEvent(ViewGroup java:2841)_x000D_
       at android view ViewGroup dispatchTouchEvent(ViewGroup java:2516)_x000D_
       at android view ViewGroup dispatchTransformedTouchEvent(ViewGroup java:2841)_x000D_
       at android view ViewGroup dispatchTouchEvent(ViewGroup java:2516)_x000D_
       at android view ViewGroup dispatchTransformedTouchEvent(ViewGroup java:2841)_x000D_
       at android view ViewGroup dispatchTouchEvent(ViewGroup java:2516)_x000D_
       at android view ViewGroup dispatchTransformedTouchEvent(ViewGroup java:2841)_x000D_
       at android view ViewGroup dispatchTouchEvent(ViewGroup java:2516)_x000D_
       at android view ViewGroup dispatchTransformedTouchEvent(ViewGroup java:2841)_x000D_
       at android view ViewGroup dispatchTouchEvent(ViewGroup java:2516)_x000D_
       at android view ViewGroup dispatchTransformedTouchEvent(ViewGroup java:2841)_x000D_
       at android view ViewGroup dispatchTouchEvent(ViewGroup java:2516)_x000D_
       at android view ViewGroup dispatchTransformedTouchEvent(ViewGroup java:2841)_x000D_
       at android view ViewGroup dispatchTouchEvent(ViewGroup java:2516)_x000D_
       at com android internal policy PhoneWindow DecorView superDispatchTouchEvent(PhoneWindow java:2810)_x000D_
       at com android internal policy PhoneWindow superDispatchTouchEvent(PhoneWindow java:1863)_x000D_
       at android app Activity dispatchTouchEvent(Activity java:3047)_x000D_
       at android support v7 view WindowCallbackWrapper dispatchTouchEvent(SourceFile:67)_x000D_
       at com android internal policy PhoneWindow DecorView dispatchTouchEvent(PhoneWindow java:2771)_x000D_
       at android view View dispatchPointerEvent(View java:10229)_x000D_
       at android view ViewRootImpl ViewPostImeInputStage processPointerEvent(ViewRootImpl java:5352)_x000D_
       at android view ViewRootImpl ViewPostImeInputStage onProcess(ViewRootImpl java:5188)_x000D_
       at android view ViewRootImpl InputStage deliver(ViewRootImpl java:4628)_x000D_
       at android view ViewRootImpl InputStage onDeliverToNext(ViewRootImpl java:4681)_x000D_
       at android view ViewRootImpl InputStage forward(ViewRootImpl java:4647)_x000D_
       at android view ViewRootImpl AsyncInputStage forward(ViewRootImpl java:4789)_x000D_
       at android view ViewRootImpl InputStage apply(ViewRootImpl java:4655)_x000D_
       at android view ViewRootImpl AsyncInputStage apply(ViewRootImpl java:4846)_x000D_
       at android view ViewRootImpl InputStage deliver(ViewRootImpl java:4628)_x000D_
       at android view ViewRootImpl InputStage onDeliverToNext(ViewRootImpl java:4681)_x000D_
       at android view ViewRootImpl InputStage forward(ViewRootImpl java:4647)_x000D_
       at android view ViewRootImpl InputStage apply(ViewRootImpl java:4655)_x000D_
       at android view ViewRootImpl InputStage deliver(ViewRootImpl java:4628)_x000D_
       at android view ViewRootImpl deliverInputEvent(ViewRootImpl java:7325)_x000D_
       at android view ViewRootImpl doProcessInputEvents(ViewRootImpl java:7203)_x000D_
       at android view ViewRootImpl enqueueInputEvent(ViewRootImpl java:7164)_x000D_
       at android view ViewRootImpl WindowInputEventReceiver onInputEvent(ViewRootImpl java:7435)_x000D_
       at android view InputEventReceiver dispatchInputEvent(InputEventReceiver java:185)_x000D_
       at android os MessageQueue nativePollOnce(MessageQueue java)_x000D_
       at android os MessageQueue next(MessageQueue java:323)_x000D_
       at android os Looper loop(Looper java:143)_x000D_
       at android app ActivityThread main(ActivityThread java:7230)_x000D_
       at java lang reflect Method invoke(Method java)_x000D_
       at com android internal os ZygoteInit MethodAndArgsCaller run(ZygoteInit java:1230)_x000D_
       at com android internal os ZygoteInit main(ZygoteInit java:1120) </t>
  </si>
  <si>
    <t>gsantner-dandelion-139</t>
  </si>
  <si>
    <t>Dandelion crashes when uploading image to post</t>
  </si>
  <si>
    <t xml:space="preserve">     General information_x000D_
_x000D_
_x000D_
    Device:     Samsung Galaxy J1_x000D_
    Android Version:    5 1 1_x000D_
    App version:    0 2 2_x000D_
    App source:    F Droid_x000D_
    Pod:    ShrekIsLove_x000D_
    Diaspora pod version:    0 6 2 0_x000D_
_x000D_
_x000D_
    _x000D_
I have:_x000D_
_x000D_
  At least version 0 2 0 installed  see About   Debug  If it is not visible you have an very old version  and _x000D_
  your issue will be closed _x000D_
  searched open and closed issues for duplicates_x000D_
  read  https:  github com Diaspora for Android diaspora android blob master CONTRIBUTING md _x000D_
  not submitted translations   see  Crowdin (https:  crowdin com project diaspora for android invite)  _x000D_
   _x000D_
_x000D_
     Steps to reproduce_x000D_
_x000D_
1  Write a post_x000D_
2  Press the little camera button for uploading a photo_x000D_
3  Exit out of the photo selector_x000D_
4  Press the camera button again_x000D_
_x000D_
_x000D_
     Expected result_x000D_
  What is the expected output    _x000D_
The photo selector to reappear_x000D_
_x000D_
  What do you see instead   _x000D_
My home screen since Dandelion crashes_x000D_
_x000D_
_x000D_
     Debug output_x000D_
_x000D_
I couldn t get a log of the issue for some reason  Literally spent 45 minutes trying to obtain one with aLogcat  Termux  and other apps _x000D_
_x000D_
     In App debug log_x000D_
</t>
  </si>
  <si>
    <t>cgeo-cgeo-6261</t>
  </si>
  <si>
    <t>Crash when decoding JPEG image</t>
  </si>
  <si>
    <t xml:space="preserve">Reported on support for cgeo 2017 01 12 RC1 _x000D_
_x000D_
  Bug: if I open up GC15NP2 (not saved)  swipe right to the finders tab  and then right again  I get a crash  Please let me know if you want a debug log _x000D_
_x000D_
   _x000D_
    System information    _x000D_
Device: SM N900P (cm hltespr  samsung)_x000D_
Android version: 6 0 1_x000D_
Android build: MOB31K test keys_x000D_
Cgeo version: 2017 01 12 RC1_x000D_
Google Play services: enabled   10 0 84 (438 137749526)_x000D_
Low power mode: inactive_x000D_
Compass capabilities: yes_x000D_
Rotation vector sensor: present_x000D_
Orientation sensor: present_x000D_
Magnetometer   Accelerometer sensor: present_x000D_
Direction sensor used: rotation vector_x000D_
Hide own found: false_x000D_
Map strategy: auto_x000D_
HW acceleration: enabled (default state)_x000D_
System language: en US_x000D_
Log date format: 1 15 17_x000D_
Debug mode active: no_x000D_
Fine location permission: granted_x000D_
Write external storage permission: granted_x000D_
Geocaching sites enabled:_x000D_
   geocaching com: Logged in (Login OK)   PREMIUM_x000D_
Geocaching com date format: MM dd yyyy_x000D_
Installed cgeo plugins:  none_x000D_
    End of system information    _x000D_
   </t>
  </si>
  <si>
    <t>ataulm-talkback-toggle-tile-2</t>
  </si>
  <si>
    <t>Tile crashes on first use (permission already granted)</t>
  </si>
  <si>
    <t xml:space="preserve">  Create new Genymotion device  7 0 0_x000D_
  Install TalkBack 5 1 0_x000D_
  Install TalkBack Toggle Tile_x000D_
  set permission_x000D_
  try to use tile    crashes (expected: talkback enables  starts tutorial)_x000D_
_x000D_
  enable talkback_x000D_
  try to use tile    nothing happens (expected: talkback turn off)_x000D_
_x000D_
  disable talkback_x000D_
  try to use tile    works as expected :boom: _x000D_
_x000D_
what </t>
  </si>
  <si>
    <t>tanrabad-survey-7</t>
  </si>
  <si>
    <t>Thread.java</t>
  </si>
  <si>
    <t xml:space="preserve">     in java lang Thread nativeCreate
  Number of crashes: 1
  Impacted devices: 1
There s a lot more information about this crash on crashlytics com:
 https:  fabric io tanrabad android apps org tanrabad survey issues 587cd29e0aeb16625b2c3464 (https:  fabric io tanrabad android apps org tanrabad survey issues 587cd29e0aeb16625b2c3464)</t>
  </si>
  <si>
    <t>Karumi-Dexter-107</t>
  </si>
  <si>
    <t>Caused by java.lang.NullPointerException: Attempt to invoke virtual method 'void com.karumi.dexter.DexterInstance.onActivityReady(android.app.Activity)' on a null object reference</t>
  </si>
  <si>
    <t xml:space="preserve">    Expected behaviour_x000D_
To work without crashing _x000D_
_x000D_
    Actual behaviour_x000D_
Received crash reports from several users with the folosing stacktrace:_x000D_
   _x000D_
Fatal Exception: java lang RuntimeException: Unable to start activity ComponentInfo MYPACKAGE com karumi dexter DexterActivity : java lang NullPointerException: Attempt to invoke virtual method  void com karumi dexter DexterInstance onActivityReady(android app Activity)  on a null object reference_x000D_
       at android app ActivityThread performLaunchActivity(ActivityThread java:3254)_x000D_
       at android app ActivityThread handleLaunchActivity(ActivityThread java:3350)_x000D_
       at android app ActivityThread access 1100(ActivityThread java:222)_x000D_
       at android app ActivityThread H handleMessage(ActivityThread java:1795)_x000D_
       at android os Handler dispatchMessage(Handler java:102)_x000D_
       at android os Looper loop(Looper java:158)_x000D_
       at android app ActivityThread main(ActivityThread java:7237)_x000D_
       at java lang reflect Method invoke(Method java)_x000D_
       at com android internal os ZygoteInit MethodAndArgsCaller run(ZygoteInit java:1230)_x000D_
       at com android internal os ZygoteInit main(ZygoteInit java:1120)_x000D_
Caused by java lang NullPointerException: Attempt to invoke virtual method  void com karumi dexter DexterInstance onActivityReady(android app Activity)  on a null object reference_x000D_
       at com karumi dexter Dexter onActivityReady(Dexter java:138)_x000D_
       at com karumi dexter DexterActivity onCreate(DexterActivity java:31)_x000D_
       at android app Activity performCreate(Activity java:6876)_x000D_
       at android app Instrumentation callActivityOnCreate(Instrumentation java:1135)_x000D_
       at android app ActivityThread performLaunchActivity(ActivityThread java:3207)_x000D_
       at android app ActivityThread handleLaunchActivity(ActivityThread java:3350)_x000D_
       at android app ActivityThread access 1100(ActivityThread java:222)_x000D_
       at android app ActivityThread H handleMessage(ActivityThread java:1795)_x000D_
       at android os Handler dispatchMessage(Handler java:102)_x000D_
       at android os Looper loop(Looper java:158)_x000D_
       at android app ActivityThread main(ActivityThread java:7237)_x000D_
       at java lang reflect Method invoke(Method java)_x000D_
       at com android internal os ZygoteInit MethodAndArgsCaller run(ZygoteInit java:1230)_x000D_
       at com android internal os ZygoteInit main(ZygoteInit java:1120)_x000D_
   _x000D_
_x000D_
    Steps to reproduce_x000D_
I didn t have any crashes on my device but this is how the library is used  In an Activity:_x000D_
_x000D_
   _x000D_
     Override_x000D_
    protected void onCreate(Bundle savedInstanceState)  _x000D_
        super onCreate(savedInstanceState) _x000D_
_x000D_
        setContentView(R layout activity login) _x000D_
        PermissionListener dialogPermissionListener  _x000D_
                DialogOnDeniedPermissionListener Builder_x000D_
                         withContext(this)_x000D_
                         withTitle( Title )_x000D_
                         withMessage( Message )_x000D_
                         withButtonText(android R string ok)_x000D_
                         withIcon(R mipmap ic launcher)_x000D_
                         build() _x000D_
        Dexter withActivity(this)_x000D_
                 withPermission(Manifest permission GET ACCOUNTS)_x000D_
                 withListener(dialogPermissionListener) check() _x000D_
 _x000D_
   _x000D_
_x000D_
_x000D_
    Version of the library_x000D_
3 0 0_x000D_
_x000D_
</t>
  </si>
  <si>
    <t>Calsign-APDE-24</t>
  </si>
  <si>
    <t>Code on external storage deleted in certain situations</t>
  </si>
  <si>
    <t xml:space="preserve">(As of 0 4 0) I really don t know what happened here but I m lucky to have tested on an older copy of a sketch first  The compilation process seemed to go okay without throwing any errors  but when trying to launch the app it crashes (the code was fully working in 0 3 3  besides I do a lot of my own exception handling in it)  When it crashed back to APDE I was greeted with no code at all  It s not scrolled off screen  does not return after fully restarting the app  I have also checked the sketchbook in a file explorer and that file is zero bytes in size  I consider this to be a critical bug  although I m not sure if it triggers every time (and am not really willing to find out as I have no backups)  If it is relevant  the app would have been locked to landscape orientation  so APDE would have been loading and changing orientation at the same time _x000D_
  Note: I m now using the account  1icri  so please mention contact that account instead of Techy4198 </t>
  </si>
  <si>
    <t>niclabs-adkintunmobile-androidclient-159</t>
  </si>
  <si>
    <t>ActiveMeasurementsActivity.java line 168</t>
  </si>
  <si>
    <t xml:space="preserve">     in cl niclabs adkintunmobile views activemeasurements ActiveMeasurementsActivity 3 handleActiveServers
  Number of crashes: 1
  Impacted devices: 1
There s a lot more information about this crash on crashlytics com:
 https:  fabric io niclabs android apps cl niclabs adkintunmobile issues 587e802f0aeb16625b388d6f (https:  fabric io niclabs android apps cl niclabs adkintunmobile issues 587e802f0aeb16625b388d6f)</t>
  </si>
  <si>
    <t>jehy-rutracker-free-30</t>
  </si>
  <si>
    <t>ViewRootImpl.java line 894</t>
  </si>
  <si>
    <t xml:space="preserve">     in android view ViewRootImpl setView
  Number of crashes: 1
  Impacted devices: 1
There s a lot more information about this crash on crashlytics com:
 https:  fabric io jehy android apps ru jehy rutracker free issues 587dd8f20aeb16625b3313ba (https:  fabric io jehy android apps ru jehy rutracker free issues 587dd8f20aeb16625b3313ba)</t>
  </si>
  <si>
    <t>tanrabad-survey-10</t>
  </si>
  <si>
    <t xml:space="preserve">     in org tanrabad survey repository persistence DbUserRepository getMapper
  Number of crashes: 1
  Impacted devices: 1
There s a lot more information about this crash on crashlytics com:
 https:  fabric io tanrabad android apps org tanrabad survey issues 587dc0160aeb16625b3260cf (https:  fabric io tanrabad android apps org tanrabad survey issues 587dc0160aeb16625b3260cf)</t>
  </si>
  <si>
    <t>tanrabad-survey-9</t>
  </si>
  <si>
    <t xml:space="preserve">     in org tanrabad survey presenter PlaceSurveyAdapter 1 onClick
  Number of crashes: 1
  Impacted devices: 1
There s a lot more information about this crash on crashlytics com:
 https:  fabric io tanrabad android apps org tanrabad survey issues 587da29f0aeb16625b31a873 (https:  fabric io tanrabad android apps org tanrabad survey issues 587da29f0aeb16625b31a873)</t>
  </si>
  <si>
    <t>syncthing-syncthing-android-834</t>
  </si>
  <si>
    <t>Crash (NullPointerException) when adding new device</t>
  </si>
  <si>
    <t xml:space="preserve">    Version Information_x000D_
_x000D_
    App Version: 0 9 3_x000D_
    Syncthing Version: v0 14 16_x000D_
    Android Version: 6 0 1 Android patch level: Dec 1  2016  (OnePlus Two)_x000D_
_x000D_
_x000D_
This was happening since I started a fresh install of Syncthing on my phone and other devices   Simply adding a new device causes the GUI to crash  At times the remote Syncthing instance will notify that I m trying to add it (and appear on my phone after Syncthing is restarted)   but most of the time the GUI just silently crashes   I had to pull the log from adb logcat:_x000D_
_x000D_
   _x000D_
Process: com nutomic syncthingandroid_x000D_
Flags: 0x38c83e44_x000D_
Package: com nutomic syncthingandroid v4113 (0 9 3)_x000D_
Build: OnePlus OnePlus2 OnePlus2:6 0 1 MMB29M 1447841100:user release keys_x000D_
_x000D_
java lang NullPointerException: Attempt to read from field  boolean com nutomic syncthingandroid model Connections Connection connected  on a null object reference_x000D_
	at com nutomic syncthingandroid views DevicesAdapter getView(DevicesAdapter java:48)_x000D_
	at android widget AbsListView obtainView(AbsListView java:2348)_x000D_
	at android widget ListView makeAndAddView(ListView java:1876)_x000D_
	at android widget ListView fillSpecific(ListView java:1355)_x000D_
	at android widget ListView layoutChildren(ListView java:1663)_x000D_
	at android widget AbsListView onLayout(AbsListView java:2150)_x000D_
	at android view View layout(View java:16692)_x000D_
	at android view ViewGroup layout(ViewGroup java:5449)_x000D_
	at android widget FrameLayout layoutChildren(FrameLayout java:336)_x000D_
	at android widget FrameLayout onLayout(FrameLayout java:273)_x000D_
	at android view View layout(View java:16692)_x000D_
	at android view ViewGroup layout(ViewGroup java:5449)_x000D_
	at android widget FrameLayout layoutChildren(FrameLayout java:336)_x000D_
	at android widget FrameLayout onLayout(FrameLayout java:273)_x000D_
	at android view View layout(View java:16692)_x000D_
	at android view ViewGroup layout(ViewGroup java:5449)_x000D_
	at android support v4 view ViewPager onLayout(ViewPager java:1795)_x000D_
	at android view View layout(View java:16692)_x000D_
	at android view ViewGroup layout(ViewGroup java:5449)_x000D_
	at android widget LinearLayout setChildFrame(LinearLayout java:1743)_x000D_
	at android widget LinearLayout layoutVertical(LinearLayout java:1586)_x000D_
	at android widget LinearLayout onLayout(LinearLayout java:1495)_x000D_
	at android view View layout(View java:16692)_x000D_
	at android view ViewGroup layout(ViewGroup java:5449)_x000D_
	at android support v4 widget DrawerLayout onLayout(DrawerLayout java:1193)_x000D_
	at android view View layout(View java:16692)_x000D_
	at android view ViewGroup layout(ViewGroup java:5449)_x000D_
	at android widget FrameLayout layoutChildren(FrameLayout java:336)_x000D_
	at android widget FrameLayout onLayout(FrameLayout java:273)_x000D_
	at android view View layout(View java:16692)_x000D_
	at android view ViewGroup layout(ViewGroup java:5449)_x000D_
	at android widget FrameLayout layoutChildren(FrameLayout java:336)_x000D_
	at android widget FrameLayout onLayout(FrameLayout java:273)_x000D_
	at android view View layout(View java:16692)_x000D_
	at android view ViewGroup layout(ViewGroup java:5449)_x000D_
	at android widget FrameLayout layoutChildren(FrameLayout java:336)_x000D_
	at android widget FrameLayout onLayout(FrameLayout java:273)_x000D_
	at android view View layout(View java:16692)_x000D_
	at android view ViewGroup layout(ViewGroup java:5449)_x000D_
	at android widget LinearLayout setChildFrame(LinearLayout java:1743)_x000D_
	at android widget LinearLayout layoutVertical(LinearLayout java:1586)_x000D_
	at android widget LinearLayout onLayout(LinearLayout java:1495)_x000D_
	at android view View layout(View java:16692)_x000D_
	at android view ViewGroup layout(ViewGroup java:5449)_x000D_
	at android widget FrameLayout layoutChildren(FrameLayout java:336)_x000D_
	at android widget FrameLayout onLayout(FrameLayout java:273)_x000D_
	at com android internal policy PhoneWindow DecorView onLayout(PhoneWindow java:2707)_x000D_
	at android view View layout(View java:16692)_x000D_
	at android view ViewGroup layout(ViewGroup java:5449)_x000D_
	at android view ViewRootImpl performLayout(ViewRootImpl java:2178)_x000D_
	at android view ViewRootImpl performTraversals(ViewRootImpl java:1938)_x000D_
	at android view ViewRootImpl doTraversal(ViewRootImpl java:1114)_x000D_
	at android view ViewRootImpl TraversalRunnable run(ViewRootImpl java:6068)_x000D_
	at android view Choreographer CallbackRecord run(Choreographer java:858)_x000D_
	at android view Choreographer doCallbacks(Choreographer java:670)_x000D_
	at android view Choreographer doFrame(Choreographer java:606)_x000D_
	at android view Choreographer FrameDisplayEventReceiver run(Choreographer java:844)_x000D_
	at android os Handler handleCallback(Handler java:739)_x000D_
	at android os Handler dispatchMessage(Handler java:95)_x000D_
	at android os Looper loop(Looper java:152)_x000D_
	at android app ActivityThread main(ActivityThread java:5497)_x000D_
	at java lang reflect Method invoke(Native Method)_x000D_
	at com android internal os ZygoteInit MethodAndArgsCaller run(ZygoteInit java:726)_x000D_
	at com android internal os ZygoteInit main(ZygoteInit java:616)_x000D_
_x000D_
   _x000D_
_x000D_
</t>
  </si>
  <si>
    <t>openbmap-radiocells-scanner-android-179</t>
  </si>
  <si>
    <t>App crashes trying to download maps when there is no internet connection</t>
  </si>
  <si>
    <t xml:space="preserve">What steps will reproduce the problem  Disconnect wifi and cellular network  Try to download offline maps  _x000D_
_x000D_
What is the expected output  What do you see instead  The app should gives an error that there is no active internet connection  Instead  it crashes  _x000D_
_x000D_
What version are you using  On what operating system _x000D_
Latest version downloaded from Github  running on Nexus 6 (Doze disabled)_x000D_
_x000D_
Please provide any additional information below _x000D_
_x000D_
 01 16 16:55:59 734 3586 3586   E AndroidRuntime: FATAL EXCEPTION: main_x000D_
                                                 Process: org openbmap  PID: 3586_x000D_
                                                 java lang NullPointerException: Attempt to read from field  java lang String org openbmap activities DialogPreferenceMapsGroup string  on a null object reference_x000D_
                                                     at org openbmap activities DialogPreferenceMapsListAdapter getGroupView(DialogPreferenceMapsListAdapter java:117)_x000D_
                                                     at android widget ExpandableListConnector getView(ExpandableListConnector java:446)_x000D_
                                                     at android widget AbsListView obtainView(AbsListView java:2346)_x000D_
                                                     at android widget ListView measureHeightOfChildren(ListView java:1281)_x000D_
                                                     at android widget ListView onMeasure(ListView java:1188)_x000D_
                                                     at android view View measure(View java:18794)_x000D_
                                                     at android view ViewGroup measureChildWithMargins(ViewGroup java:5951)_x000D_
                                                     at android widget LinearLayout measureChildBeforeLayout(LinearLayout java:1465)_x000D_
                                                     at android widget LinearLayout measureHorizontal(LinearLayout java:1112)_x000D_
                                                     at android widget LinearLayout onMeasure(LinearLayout java:632)_x000D_
                                                     at android view View measure(View java:18794)_x000D_
                                                     at android view ViewGroup measureChildWithMargins(ViewGroup java:5951)_x000D_
                                                     at android widget FrameLayout onMeasure(FrameLayout java:194)_x000D_
                                                     at android view View measure(View java:18794)_x000D_
                                                     at android view ViewGroup measureChildWithMargins(ViewGroup java:5951)_x000D_
                                                     at android widget FrameLayout onMeasure(FrameLayout java:194)_x000D_
                                                     at android view View measure(View java:18794)_x000D_
                                                     at android view ViewGroup measureChildWithMargins(ViewGroup java:5951)_x000D_
                                                     at android widget LinearLayout measureChildBeforeLayout(LinearLayout java:1465)_x000D_
                                                     at android widget LinearLayout measureVertical(LinearLayout java:748)_x000D_
                                                     at android widget LinearLayout onMeasure(LinearLayout java:630)_x000D_
                                                     at android view View measure(View java:18794)_x000D_
                                                     at android view ViewGroup measureChildWithMargins(ViewGroup java:5951)_x000D_
                                                     at android widget FrameLayout onMeasure(FrameLayout java:194)_x000D_
                                                     at android view View measure(View java:18794)_x000D_
                                                     at android view ViewGroup measureChildWithMargins(ViewGroup java:5951)_x000D_
                                                     at android widget FrameLayout onMeasure(FrameLayout java:194)_x000D_
                                                     at android view View measure(View java:18794)_x000D_
                                                     at android view ViewGroup measureChildWithMargins(ViewGroup java:5951)_x000D_
                                                     at android widget FrameLayout onMeasure(FrameLayout java:194)_x000D_
                                                     at com android internal policy PhoneWindow DecorView onMeasure(PhoneWindow java:2643)_x000D_
                                                     at android view View measure(View java:18794)_x000D_
                                                     at android view ViewRootImpl performMeasure(ViewRootImpl java:2100)_x000D_
                                                     at android view ViewRootImpl measureHierarchy(ViewRootImpl java:1191)_x000D_
                                                     at android view ViewRootImpl performTraversals(ViewRootImpl java:1452)_x000D_
                                                     at android view ViewRootImpl doTraversal(ViewRootImpl java:1107)_x000D_
                                                     at android view ViewRootImpl TraversalRunnable run(ViewRootImpl java:6013)_x000D_
                                                     at android view Choreographer CallbackRecord run(Choreographer java:858)_x000D_
                                                     at android view Choreographer doCallbacks(Choreographer java:670)_x000D_
                                                     at android view Choreographer doFrame(Choreographer java:606)_x000D_
                                                     at android view Choreographer FrameDisplayEventReceiver run(Choreographer java:844)_x000D_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 </t>
  </si>
  <si>
    <t>tanrabad-survey-8</t>
  </si>
  <si>
    <t xml:space="preserve">     in org tanrabad survey repository persistence DbSubdistrictRepository findByCode
  Number of crashes: 1
  Impacted devices: 1
There s a lot more information about this crash on crashlytics com:
 https:  fabric io tanrabad android apps org tanrabad survey issues 587d66dc0aeb16625b305264 (https:  fabric io tanrabad android apps org tanrabad survey issues 587d66dc0aeb16625b305264)</t>
  </si>
  <si>
    <t>praekeltfoundation-gem-bbb-indo-440</t>
  </si>
  <si>
    <t>Crash on Profile Image Activity</t>
  </si>
  <si>
    <t>There is a case where the  ProfileImageActivity  can crash _x000D_
_x000D_
   _x000D_
Caused by java lang NullPointerException_x000D_
       at org gem indo dooit views onboarding ProfileImageActivity 1 call(ProfileImageActivity java:109)_x000D_
       at org gem indo dooit views onboarding ProfileImageActivity 1 call(ProfileImageActivity java:105)_x000D_
   _x000D_
_x000D_
The stacktrace does not indicate which reference is null  It is either the user or imageUri that is unexpectedly null _x000D_
_x000D_
Version 0 0 13_x000D_
_x000D_
 See line 109 of ProfileImageActivity (https:  github com praekeltfoundation gem bbb indo blob develop app src main java org gem indo dooit views onboarding ProfileImageActivity java L109)_x000D_
_x000D_
 See stacktrace in Crashlytics issue  30 (https:  www fabric io retro rabbit android apps org gem indo dooit issues 587eaa830aeb16625b39a252)</t>
  </si>
  <si>
    <t>MythTV-Clients-MythtvPlayerForAndroid-212</t>
  </si>
  <si>
    <t>Fatal Exception: java.lang.RuntimeException: Unable to start activity</t>
  </si>
  <si>
    <t xml:space="preserve">Running on updated develop branch   f15eaa1_x000D_
_x000D_
   _x000D_
01 17 18:42:15 823 4132 4132 org mythtv android D MainPhoneActivity: onCreate : enter_x000D_
01 17 18:42:15 824 4132 4132 org mythtv android I MainPhoneActivity: Branch: develop  Tag: mythtv player 2 0 2 dirty  Commit: f15eaa1_x000D_
01 17 18:42:15 844 4132 4132 org mythtv android W art: Before Android 4 1  method android graphics PorterDuffColorFilter android support graphics drawable VectorDrawableCompat updateTintFilter(android graphics PorterDuffColorFilter  android content res ColorStateList  android graphics PorterDuff Mode) would have incorrectly overridden the package private method in android graphics drawable Drawable_x000D_
01 17 18:42:15 875 4132 4132 org mythtv android V FA: onActivityCreated_x000D_
01 17 18:42:15 985 4132 4132 org mythtv android I MediaRouter: Found default route: MediaRouter RouteInfo  uniqueId android  support v7 media SystemMediaRouteProvider:DEFAULT ROUTE  name Tablet  description null  iconUri null  enabled true  connecting false  connectionState 0  canDisconnect false  playbackType 0  playbackStream 3  deviceType 0  volumeHandling 1  volume 13  volumeMax 15  presentationDisplayId  1  extras null  settingsIntent null  providerPackageName android  _x000D_
01 17 18:42:15 996 4132 4132 org mythtv android I DynamiteModule: Considering local module com google android gms cast framework dynamite:0 and remote module com google android gms cast framework dynamite:6_x000D_
01 17 18:42:15 996 4132 4132 org mythtv android I DynamiteModule: Selected remote version of com google android gms cast framework dynamite  version    6_x000D_
01 17 18:42:15 997 4132 4132 org mythtv android E DynamiteModule: Failed to load DynamiteLoader: java lang IllegalArgumentException: Unexpected number of IObjectWrapper declared fields: 2_x000D_
01 17 18:42:15 998 4132 4132 org mythtv android W DynamiteModule: Failed to load remote module: Failed to get module context_x000D_
01 17 18:42:15 998 4132 4132 org mythtv android W DynamiteModule: Failed to load module via fast routecom google android gms dynamite DynamiteModule zza: Remote load failed  No local fallback found _x000D_
01 17 18:42:15 999 4132 4132 org mythtv android D AndroidRuntime: Shutting down VM_x000D_
                                                                  _x000D_
                                                                  _x000D_
                                                                            beginning of crash_x000D_
01 17 18:42:16 001 4132 4132 org mythtv android E AndroidRuntime: FATAL EXCEPTION: main_x000D_
                                                                  Process: org mythtv android  PID: 4132_x000D_
                                                                  java lang RuntimeException: Unable to start activity ComponentInfo org mythtv android org mythtv android presentation view activity phone MainPhoneActivity : android view InflateException: Binary XML file line  73: Binary XML file line  1: Error inflating class fragment_x000D_
                                                                      at android app ActivityThread performLaunchActivity(ActivityThread java:2416)_x000D_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android view InflateException: Binary XML file line  73: Binary XML file line  1: Error inflating class fragment_x000D_
                                                                      at android view LayoutInflater inflate(LayoutInflater java:539)_x000D_
                                                                      at android view LayoutInflater inflate(LayoutInflater java:423)_x000D_
                                                                      at android view LayoutInflater inflate(LayoutInflater java:374)_x000D_
                                                                      at android support v7 app AppCompatDelegateImplV9 setContentView(AppCompatDelegateImplV9 java:284)_x000D_
                                                                      at android support v7 app AppCompatActivity setContentView(AppCompatActivity java:143)_x000D_
                                                                      at org mythtv android presentation view activity phone AbstractBasePhoneActivity onCreate(AbstractBasePhoneActivity java:98)_x000D_
                                                                      at org mythtv android presentation view activity phone MainPhoneActivity onCreate(MainPhoneActivity java:84)_x000D_
                                                                      at android app Activity performCreate(Activity java:6251)_x000D_
                                                                      at android app Instrumentation callActivityOnCreate(Instrumentation java:1107)_x000D_
                                                                      at android app ActivityThread performLaunchActivity(ActivityThread java:2369)_x000D_
                                                                      at android app ActivityThread handleLaunchActivity(ActivityThread java:2476) _x000D_
                                                                      at android app ActivityThread  wrap11(ActivityThread java) _x000D_
                                                                      at android app ActivityThread H handleMessage(ActivityThread java:1344) _x000D_
                                                                      at android os Handler dispatchMessage(Handler java:102)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Caused by: android view InflateException: Binary XML file line  1: Error inflating class fragment_x000D_
                                                                      at android view LayoutInflater createViewFromTag(LayoutInflater java:782)_x000D_
                                                                      at android view LayoutInflater parseInclude(LayoutInflater java:941)_x000D_
                                                                      at android view LayoutInflater rInflate(LayoutInflater java:831)_x000D_
                                                                      at android view LayoutInflater rInflateChildren(LayoutInflater java:798)_x000D_
                                                                      at android view LayoutInflater rInflate(LayoutInflater java:838)_x000D_
                                                                      at android view LayoutInflater rInflateChildren(LayoutInflater java:798)_x000D_
                                                                      at android view LayoutInflater inflate(LayoutInflater java:515)_x000D_
                                                                      at android view LayoutInflater inflate(LayoutInflater java:423) _x000D_
                                                                      at android view LayoutInflater inflate(LayoutInflater java:374) _x000D_
                                                                      at android support v7 app AppCompatDelegateImplV9 setContentView(AppCompatDelegateImplV9 java:284) _x000D_
                                                                      at android support v7 app AppCompatActivity setContentView(AppCompatActivity java:143) _x000D_
                                                                      at org mythtv android presentation view activity phone AbstractBasePhoneActivity onCreate(AbstractBasePhoneActivity java:98) _x000D_
                                                                      at org mythtv android presentation view activity phone MainPhoneActivity onCreate(MainPhoneActivity java:84) _x000D_
                                                                      at android app Activity performCreate(Activity java:6251) _x000D_
                                                                      at android app Instrumentation callActivityOnCreate(Instrumentation java:1107) _x000D_
                                                                      at android app ActivityThread performLaunchActivity(ActivityThread java:2369) _x000D_
                                                                      at android app ActivityThread handleLaunchActivity(ActivityThread java:2476) _x000D_
                                                                      at android app ActivityThread  wrap11(ActivityThread java) _x000D_
                                                                      at android app ActivityThread H handleMessage(ActivityThread java:1344) _x000D_
                                                                      at android os Handler dispatchMessage(Handler java:102)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Caused by: java lang IllegalArgumentException: Unexpected number of IObjectWrapper declared fields: 2_x000D_
                                                                      at obd a(:com google android gms:79)_x000D_
                                                                      at com google android gms chimera container DynamiteLoaderImpl getModuleVersion2(:com google android gms:25)_x000D_
                                                                      at obv onTransact(:com google android gms:83)_x000D_
                                                                      at android os Binder transact(Binder java:387)_x000D_
                                                                      at com google android gms dynamite zza zza zza zza(Unknown Source)_x000D_
                                                                      at com google android gms dynamite DynamiteModule zzb(Unknown Source)_x000D_
                                                                      at com google android gms dynamite DynamiteModule 1 zzb(Unknown Source)_x000D_
                                                                      at com google android gms dynamite DynamiteModule 3 zza(Unknown Source)_x000D_
                                                                      at com google android gms dynamite DynamiteModule zza(Unknown Source)_x000D_
                                                                      at com google android gms dynamite DynamiteModule zza(Unknown Source)_x000D_
                                                                      at com google android gms internal zzwq zzae(Unknown Source)_x000D_
                                                                      at com google android gms internal zzwq zza(Unknown Source)_x000D_
                                                                      at com google android gms cast framework CastContext  init (Unknown Source)_x000D_
                                                                      at com google android gms cast framework CastContext getSharedInstance(Unknown Source)_x000D_
                                                                      at com google android gms cast framework media uicontroller UIMediaController  init (Unknown Source)_x000D_
                                                                      at com google android gms cast framework media widget MiniControllerFragment onCreateView(Unknown Source)_x000D_
                                                                      at android support v4 app Fragment performCreateView(Fragment java:2087)_x000D_
                                                                      at android support v4 app FragmentManagerImpl moveToState(FragmentManager java:1070)_x000D_
                                                                  	at android support v4 app FragmentManagerImpl moveToState(FragmentMana_x000D_
   </t>
  </si>
  <si>
    <t>inaturalist-iNaturalistAndroid-292</t>
  </si>
  <si>
    <t>crash on sign in on galaxy s4</t>
  </si>
  <si>
    <t xml:space="preserve">Signed in as a user with almost no data and the app crashed on the observations list  Build 187 on a Samsung Galaxy S4 running Android 4 4 2 _x000D_
_x000D_
   _x000D_
01 19 13:32:27 199 809 918   I ActivityManager: Killing 10502:org inaturalist android u0a238 (adj 7): stop org inaturalist android_x000D_
01 19 13:32:27 250 809 1452   I WindowState: WIN DEATH: Window 43f24a10 u0 org inaturalist android org inaturalist android ObservationListActivity _x000D_
01 19 13:32:27 300 809 933   W PackageManager: Couldn t delete native library directory  data app lib org inaturalist android_x000D_
01 19 13:32:27 300 809 933   I PackageManager: Removing old permission: org inaturalist android permission MAPS RECEIVE from package org inaturalist android_x000D_
01 19 13:32:34 326 809 933   D PackageManager: Sending to user 0: act android intent action PACKAGE REMOVED dat package:org inaturalist android flg 0x4000000 Bundle  android intent extra REMOVED FOR ALL USERS true  android intent extra UID 10238  android intent extra DATA REMOVED true  android intent extra user handle 0  _x000D_
01 19 13:32:34 437 809 933   D PackageManager: Sending to user 0: act android intent action PACKAGE FULLY REMOVED dat package:org inaturalist android flg 0x4000000 Bundle  android intent extra REMOVED FOR ALL USERS true  android intent extra UID 10238  android intent extra DATA REMOVED true  android intent extra user handle 0  _x000D_
01 19 13:32:34 457 1557 1557   D ContainerEventsRelayManager:     Intent data is       : package:org inaturalist android_x000D_
01 19 13:32:34 497 2895 2895   I elm: MainReceiver onReceive() : Intent   act android intent action PACKAGE REMOVED dat package:org inaturalist android flg 0x4000010 cmp com sec esdk elm  receiver MainReceiver (has extras)  _x000D_
01 19 13:32:34 497 2138 2250   D KnoxVpnEngine: handleActionPackageRemoved : packageName   org inaturalist android : replacing   false_x000D_
01 19 13:32:34 547 809 809   D BackupManagerService: Received broadcast Intent   act android intent action PACKAGE REMOVED dat package:org inaturalist android flg 0x4000010 (has extras)  _x000D_
01 19 13:32:34 567 1557 1557   D ContainerEventsRelayManager:     Intent data is       : package:org inaturalist android_x000D_
01 19 13:32:34 617 2895 2895   I elm: MainReceiver onReceive() END           : Intent   act android intent action PACKAGE REMOVED dat package:org inaturalist android flg 0x4000010 cmp com sec esdk elm  receiver MainReceiver (has extras)  _x000D_
01 19 13:32:35 277 809 919   I CrashAnrDetector: onPackageRemoved : org inaturalist android_x000D_
01 19 13:32:35 437 11269 11269   D CapabilityManagerService New: The package(org inaturalist android) removed_x000D_
01 19 13:32:35 788 809 1533   D PackageManager: START PACKAGE INSTALL: observer 1135740736 _x000D_
                                                          PackageURI file:   data local tmp org inaturalist android _x000D_
01 19 13:32:35 858 809 933   D PackageManager: Found 1 verifiers for intent Intent   act android intent action PACKAGE NEEDS VERIFICATION dat file:   data local tmp org inaturalist android typ application vnd android package archive flg 0x1   with 0 optional verifiers_x000D_
01 19 13:32:35 988 3672 3672   I Finsky:  1  com google android finsky wear WearSupportService a(310): Wear auto uninstall disabled for package org inaturalist android_x000D_
01 19 13:32:36 268 25574 11400   I LocationSettingsChecker: Removing dialog suppression flag for package org inaturalist android_x000D_
01 19 13:32:36 298 26900 26900   E SPPClientService:  PackageInfoChangeReceiver   handlePkgRemovedEvent  PackageName : org inaturalist android  false  true_x000D_
01 19 13:32:36 368 25574 29463   E WorkSourceUtil: Could not find package: org inaturalist android_x000D_
01 19 13:32:36 368 25574 30281   I Icing: doRemovePackageData org inaturalist android_x000D_
01 19 13:32:36 619 11412 11412   I DMAgent: Syncing now as package:org inaturalist android is android intent action PACKAGE REMOVED_x000D_
01 19 13:32:36 619 11379 11396   I UpdateIcingCorporaServi: Updating corpora: APPS org inaturalist android  CONTACTS MAYBE_x000D_
01 19 13:32:40 853 3672 3672   I Finsky:  1  com google android vending verifier ak c(195): Verification complete: id 13  package name org inaturalist android_x000D_
01 19 13:32:52 925 809 933   D PackageManager: Sending to user 0: act android intent action PACKAGE ADDED dat package:org inaturalist android flg 0x4000000 Bundle  android intent extra UID 10257  android intent extra user handle 0  _x000D_
01 19 13:32:52 955 1557 1557   D ContainerEventsRelayManager:     Intent data is       : package:org inaturalist android_x000D_
01 19 13:32:52 965 2138 2250   D KnoxVpnEngine: Inside updatePackageData : packageName   org inaturalist android_x000D_
01 19 13:32:53 085 809 809   D BackupManagerService: Received broadcast Intent   act android intent action PACKAGE ADDED dat package:org inaturalist android flg 0x4000010 (has extras)  _x000D_
01 19 13:32:53 135 809 809   D ECS EnterpriseContainerService:     Intent data is       : package:org inaturalist android_x000D_
01 19 13:32:53 916 25656 25656   D InstallAPKReceiver: appName:org inaturalist android_x000D_
01 19 13:32:54 006 809 919   I CrashAnrDetector: onPackageAdded : org inaturalist android_x000D_
01 19 13:32:54 516 809 1468   V ApplicationPolicy: isApplicationStateBlocked userId 0 pkgname org inaturalist android_x000D_
01 19 13:32:54 846 809 1193   V SmartFaceService   3rd party pause: onReceive  android intent action ACTIVITY STATE org inaturalist android create _x000D_
01 19 13:32:54 846 809 1193   V SmartFaceService   3rd party pause: onReceive  android intent action ACTIVITY STATE org inaturalist android pause _x000D_
01 19 13:32:54 846 11868 11868 org inaturalist android I MultiDex: VM with version 1 6 0 does not have multidex support_x000D_
01 19 13:32:54 846 11868 11868 org inaturalist android I MultiDex: install_x000D_
01 19 13:32:54 846 11868 11868 org inaturalist android I MultiDex: MultiDexExtractor load( data app org inaturalist android 1 apk  false)_x000D_
01 19 13:32:54 856 11868 11868 org inaturalist android I MultiDex: Detected that extraction must be performed _x000D_
01 19 13:32:54 896 11868 11868 org inaturalist android I MultiDex: Extraction is needed for file  data data org inaturalist android code cache secondary dexes org inaturalist android 1 apk classes2 zip_x000D_
01 19 13:32:54 896 11868 11868 org inaturalist android I MultiDex: Extracting  data data org inaturalist android code cache secondary dexes org inaturalist android 1 apk classes1020634997 zip_x000D_
01 19 13:32:55 317 11901 11901   D FileShare Server: ServerBroadcastReceiver onReceive   action android intent action PACKAGE ADDED    package:org inaturalist android_x000D_
01 19 13:32:55 817 11868 11868 org inaturalist android I MultiDex: Renaming to  data data org inaturalist android code cache secondary dexes org inaturalist android 1 apk classes2 zip_x000D_
01 19 13:32:55 817 11868 11868 org inaturalist android I MultiDex: Extraction success   length  data data org inaturalist android code cache secondary dexes org inaturalist android 1 apk classes2 zip: 1151876_x000D_
01 19 13:32:55 817 11868 11868 org inaturalist android I MultiDex: load found 1 secondary dex files_x000D_
01 19 13:32:55 887 11868 11868 org inaturalist android D dalvikvm: DexOpt:     BEGIN  org inaturalist android 1 apk classes2 zip  (bootstrap 0)    _x000D_
01 19 13:32:55 887 3672 3672   I Finsky:  1  com google android finsky activities a  init (114): org inaturalist android is installed but certificate mistmatch_x000D_
01 19 13:32:55 887 3672 3672   I Finsky:  1  com google android finsky wear WearSupportService a(307): Wear auto install disabled for package org inaturalist android_x000D_
01 19 13:32:55 937 11379 11988   I UpdateIcingCorporaServi: Updating corpora: APPS org inaturalist android  CONTACTS MAYBE_x000D_
01 19 13:32:57 079 11412 11412   I DMAgent: Syncing now as package:org inaturalist android is android intent action PACKAGE ADDED_x000D_
01 19 13:32:57 139 11868 11868 org inaturalist android D dalvikvm: DexOpt:     END  org inaturalist android 1 apk classes2 zip  (success)    _x000D_
01 19 13:32:57 139 11868 11868 org inaturalist android D dalvikvm: DEX prep   data data org inaturalist android code cache secondary dexes org inaturalist android 1 apk classes2 zip : unzip in 59ms  rewrite 1251ms_x000D_
01 19 13:32:57 139 11868 11868 org inaturalist android I MultiDex: install done_x000D_
01 19 13:32:57 139 11868 11868 org inaturalist android I MultiDex: install_x000D_
01 19 13:32:57 199 11868 11868 org inaturalist android W ApplicationPackageManager: getCSCPackageItemText()_x000D_
01 19 13:32:57 199 11868 11868 org inaturalist android I Fabric: Initializing Crashlytics 2 3 3 61_x000D_
01 19 13:32:57 249 11868 11868 org inaturalist android W ContextImpl: Failed to ensure directory:  storage extSdCard Android data org inaturalist android cache_x000D_
01 19 13:32:57 279 11868 11868 org inaturalist android I dalvikvm: Could not find method android widget GridView setSelectionFromTop  referenced from method org inaturalist android ObservationListActivity onResume_x000D_
01 19 13:32:57 279 11868 11868 org inaturalist android W dalvikvm: VFY: unable to resolve virtual method 22033: Landroid widget GridView  setSelectionFromTop (II)V_x000D_
01 19 13:32:57 279 11868 11868 org inaturalist android D dalvikvm: VFY: replacing opcode 0x6e at 0x0055_x000D_
01 19 13:32:57 279 11868 11868 org inaturalist android W ApplicationPackageManager: getCSCPackageItemText()_x000D_
01 19 13:32:57 289 11868 11868 org inaturalist android W dalvikvm: VFY: unable to find class referenced in signature (Landroid view SearchEvent )_x000D_
01 19 13:32:57 289 11868 11868 org inaturalist android I dalvikvm: Could not find method android view Window Callback onSearchRequested  referenced from method android support v7 view WindowCallbackWrapper onSearchRequested_x000D_
01 19 13:32:57 289 11868 11868 org inaturalist android W dalvikvm: VFY: unable to resolve interface method 21319: Landroid view Window Callback  onSearchRequested (Landroid view SearchEvent )Z_x000D_
01 19 13:32:57 289 11868 11868 org inaturalist android D dalvikvm: VFY: replacing opcode 0x72 at 0x0002_x000D_
01 19 13:32:57 289 11868 11868 org inaturalist android I dalvikvm: Could not find method android view Window Callback onWindowStartingActionMode  referenced from method android support v7 view WindowCallbackWrapper onWindowStartingActionMode_x000D_
01 19 13:32:57 289 11868 11868 org inaturalist android W dalvikvm: VFY: unable to resolve interface method 21323: Landroid view Window Callback  onWindowStartingActionMode (Landroid view ActionMode Callback I)Landroid view ActionMode _x000D_
01 19 13:32:57 289 11868 11868 org inaturalist android D dalvikvm: VFY: replacing opcode 0x72 at 0x0002_x000D_
01 19 13:32:57 329 11868 11868 org inaturalist android I dalvikvm: Could not find method android content res TypedArray getChangingConfigurations  referenced from method android support v7 widget TintTypedArray getChangingConfigurations_x000D_
01 19 13:32:57 329 11868 11868 org inaturalist android W dalvikvm: VFY: unable to resolve virtual method 743: Landroid content res TypedArray  getChangingConfigurations ()I_x000D_
01 19 13:32:57 329 11868 11868 org inaturalist android D dalvikvm: VFY: replacing opcode 0x6e at 0x0002_x000D_
01 19 13:32:57 329 11868 11868 org inaturalist android I dalvikvm: Could not find method android content res TypedArray getType  referenced from method android support v7 widget TintTypedArray getType_x000D_
01 19 13:32:57 329 11868 11868 org inaturalist android W dalvikvm: VFY: unable to resolve virtual method 765: Landroid content res TypedArray  getType (I)I_x000D_
01 19 13:32:57 329 11868 11868 org inaturalist android D dalvikvm: VFY: replacing opcode 0x6e at 0x0002_x000D_
01 19 13:32:57 349 11868 12012 org inaturalist android I dalvikvm: Could not find method android content pm PackageManager getPackageInstaller  referenced from method com google android gms common GooglePlayServicesUtil zzh_x000D_
01 19 13:32:57 349 11868 12012 org inaturalist android W dalvikvm: VFY: unable to resolve virtual method 659: Landroid content pm PackageManager  getPackageInstaller ()Landroid content pm PackageInstaller _x000D_
01 19 13:32:57 349 11868 12012 org inaturalist android D dalvikvm: VFY: replacing opcode 0x6e at 0x000b_x000D_
01 19 13:32:57 399 809 1193   V SmartFaceService   3rd party pause: onReceive  android intent action ACTIVITY STATE org inaturalist android create _x000D_
01 19 13:32:57 399 809 1193   V SmartFaceService   3rd party pause: onReceive  android intent action ACTIVITY STATE org inaturalist android pause _x000D_
01 19 13:32:57 459 11868 11868 org inaturalist android I INAT:ObservationListActivity: Registering ACTION SYNC COMPLETE_x000D_
01 19 13:32:57 459 11868 11868 org inaturalist android I INAT:ObservationListActivity: Registering CONNECTIVITY ACTION_x000D_
01 19 13:32:57 479 11868 11868 org inaturalist android I dalvikvm: Could not find method android content res Resources getDrawable  referenced from method android support v7 widget ResourcesWrapper getDrawable_x000D_
01 19 13:32:57 479 11868 11868 org inaturalist android W dalvikvm: VFY: unable to resolve virtual method 706: Landroid content res Resources  getDrawable (ILandroid content res Resources Theme )Landroid graphics drawable Drawable _x000D_
01 19 13:32:57 479 11868 11868 org inaturalist android D dalvikvm: VFY: replacing opcode 0x6e at 0x0002_x000D_
01 19 13:32:57 479 11868 11868 org inaturalist android I dalvikvm: Could not find method android content res Resources getDrawableForDensity  referenced from method android support v7 widget ResourcesWrapper getDrawableForDensity_x000D_
01 19 13:32:57 479 11868 11868 org inaturalist android W dalvikvm: VFY: unable to resolve virtual method 708: Landroid content res Resources  getDrawableForDensity (IILandroid content res Resources Theme )Landroid graphics drawable Drawable _x000D_
01 19 13:32:57 479 11868 11868 org inaturalist android D dalvikvm: VFY: replacing opcode 0x6e at 0x0002_x000D_
01 19 13:32:57 609 11868 11868 org inaturalist android D SQL: SQLiteQuery: SELECT  id   created at   synced at   updated at  created at  description  geoprivacy  iconic taxon id  iconic taxon name  id  id please  latitude  longitude  observed on  observed on string  out of range  captive  place guess  positional accuracy  positioning device  positioning method  private latitude  private longitude  private positional accuracy  quality grade  species guess  preferred common name  taxon id  time observed at  updated at  user agent  user id  user login  identifications count  comments count  last comments count  last identifications count  is deleted  uuid FROM observations WHERE (( synced at IS NULL) AND (is deleted   0 OR is deleted is NULL)) ORDER BY CASE WHEN id IS NULL THEN  created at ELSE created at END DESC_x000D_
01 19 13:32:57 649 11868 11868 org inaturalist android D SQL: SQLiteQuery: SELECT  id   created at   observation id   photo id   synced at   updated at  created at  uuid  id  observation id  photo id  position  updated at  photo url  is deleted  photo filename FROM observation photos WHERE ((photo filename IS NULL) AND (photo url IS NULL)) ORDER BY position ASC  id ASC   id ASC_x000D_
01 19 13:32:57 659 11868 11868 org inaturalist android D SQL: SQLiteQuery: SELECT  id   created at   synced at   updated at  created at  description  geoprivacy  iconic taxon id  iconic taxon name  id  id please  latitude  longitude  observed on  observed on string  out of range  captive  place guess  positional accuracy  positioning device  positioning method  private latitude  private longitude  private positional accuracy  quality grade  species guess  preferred common name  taxon id  time observed at  updated at  user agent  user id  user login  identifications count  comments count  last comments count  last identifications count  is deleted  uuid FROM observations WHERE ((( updated at    synced at AND  synced at IS NOT NULL) OR ( synced at IS NULL) OR (is deleted   1))) ORDER BY  created at ASC_x000D_
01 19 13:32:57 659 11868 11868 org inaturalist android D SQL: SQLiteQuery: SELECT  id   created at   observation id   photo id   synced at   updated at  created at  uuid  id  observation id  photo id  position  updated at  photo url  is deleted  photo filename FROM observation photos WHERE (((photo url IS NULL) AND ( updated at IS NOT NULL) AND ( synced at IS NULL)) OR ((photo url IS NULL) AND ( updated at IS NOT NULL) AND ( synced at IS NOT NULL) AND ( updated at    synced at)) OR (is deleted   1)) ORDER BY position ASC  id ASC   id ASC_x000D_
01 19 13:32:57 679 11868 11868 org inaturalist android W FlurryAgent: Start session with context: org inaturalist android ObservationListActivity 42c4f8f8 count:0_x000D_
01 19 13:32:57 689 809 1468   D LocationManagerService: request 43dc6138 gps Request ACCURACY FINE gps requested  10s0ms fastest  10s0ms  from org inaturalist android(10257)_x000D_
01 19 13:32:57 689 11868 11868 org inaturalist android W FlurryAgent: Event count started: ObservationListActivity_x000D_
01 19 13:32:57 689 11868 11868 org inaturalist android I BaseFragmentActivity: Registering ACTION GET USER DETAILS RESULT_x000D_
01 19 13:32:57 689 11868 11868 org inaturalist android D SQL: SQLiteQuery: SELECT  id   created at   synced at   updated at  created at  description  geoprivacy  iconic taxon id  iconic taxon name  id  id please  latitude  longitude  observed on  observed on string  out of range  captive  place guess  positional accuracy  positioning device  positioning method  private latitude  private longitude  private positional accuracy  quality grade  species guess  preferred common name  taxon id  time observed at  updated at  user agent  user id  user login  identifications count  comments count  last comments count  last identifications count  is deleted  uuid FROM observations WHERE (( synced at IS NULL) AND (is deleted   0 OR is deleted is NULL)) ORDER BY CASE WHEN id IS NULL THEN  created at ELSE created at END DESC_x000D_
01 19 13:32:57 699 11868 11868 org inaturalist android D SQL: SQLiteQuery: SELECT  id   created at   observation id   photo id   synced at   updated at  created at  uuid  id  observation id  photo id  position  updated at  photo url  is deleted  photo filename FROM observation photos WHERE ((photo filename IS NULL) AND (photo url IS NULL)) ORDER BY position ASC  id ASC   id ASC_x000D_
01 19 13:32:57 699 11868 11868 org inaturalist android D SQL: SQLiteQuery: SELECT  id   created at   synced at   updated at  created at  description  geoprivacy  iconic taxon id  iconic taxon name  id  id please  latitude  longitude  observed on  observed on string  out of range  captive  place guess  positional accuracy  positioning device  positioning method  private latitude  private longitude  private positional accuracy  quality grade  species guess  preferred common name  taxon id  time observed at  updated at  user agent  user id  user login  identifications count  comments count  last comments count  last identifications count  is deleted  uuid FROM observations WHERE ((( updated at    synced at AND  synced at IS NOT NULL) OR ( synced at IS NULL) OR (is deleted   1))) ORDER BY  created at ASC_x000D_
01 19 13:32:57 699 11868 11868 org inaturalist android D SQL: SQLiteQuery: SELECT  id   created at   observation id   photo id   synced at   updated at  created at  uuid  id  observation id  photo id  position  updated at  photo url  is deleted  photo filename FROM observation photos WHERE (((photo url IS NULL) AND ( updated at IS NOT NULL) AND ( synced at IS NULL)) OR ((photo url IS NULL) AND ( updated at IS NOT NULL) AND ( synced at IS NOT NULL) AND ( updated at    synced at)) OR (is deleted   1)) ORDER BY position ASC  id ASC   id ASC_x000D_
01 19 13:32:57 739 11868 11868 org inaturalist android W FlurryAgent: End session with context: org inaturalist android ObservationListActivity 42c4f8f8 count:0_x000D_
01 19 13:32:57 739 11868 11868 org inaturalist android W ApplicationPackageManager: getCSCPackageItemText()_x000D_
01 19 13:32:57 799 11868 11868 org inaturalist android D dalvikvm: GC FOR ALLOC freed 1708K  29  free 19082K 26608K  paused 26ms  total 26ms_x000D_
01 19 13:32:57 819 11868 11868 org inaturalist android I dalvikvm heap: Grow heap (frag case) to 31 766MB for 10396816 byte allocation_x000D_
01 19 13:32:57 869 11868 11868 org inaturalist android D dalvikvm: GC FOR ALLOC freed 789K  23  free 28468K 36764K  paused 22ms  total 22ms_x000D_
01 19 13:32:57 889 11868 11868 org inaturalist android I dalvikvm heap: Grow heap (frag case) to 40 932MB for 10396816 byte allocation_x000D_
01 19 13:32:57 919 809 1193   V SmartFaceService   3rd party pause: onReceive  android intent action ACTIVITY STATE org inaturalist android create _x000D_
01 19 13:32:57 919 809 1193   V SmartFaceService   3rd party pause: onReceive  android intent action ACTIVITY STATE org inaturalist android pause _x000D_
01 19 13:32:57 939 11868 11868 org inaturalist android D dalvikvm: GC FOR ALLOC freed  1K  18  free 38626K 46920K  paused 17ms  total 17ms_x000D_
01 19 13:32:57 959 11868 11868 org inaturalist android I dalvikvm heap: Grow heap (frag case) to 51 851MB for 10396816 byte allocation_x000D_
01 19 13:32:58 040 11868 11868 org inaturalist android W FlurryAgent: Start session with context: org inaturalist android OnboardingActivity 42dcdfd8 count:0_x000D_
01 19 13:32:58 040 11868 11868 org inaturalist android W FlurryAgent: Event count started: OnboardingActivity_x000D_
01 19 13:32:58 050 11868 11868 org inaturalist android D SQL: SQLiteQuery: SELECT  id   created at   observation id   photo id   synced at   updated at  created at  uuid  id  observation id  photo id  position  updated at  photo url  is deleted  photo filename FROM observation photos WHERE ((photo filename IS NULL) AND (photo url IS NULL)) ORDER BY position ASC  id ASC   id ASC_x000D_
01 19 13:32:58 050 11868 11868 org inaturalist android D SQL: SQLiteQuery: SELECT  id   created at   synced at   updated at  created at  description  geoprivacy  iconic taxon id  iconic taxon name  id  id please  latitude  longitude  observed on  observed on string  out of range  captive  place guess  positional accuracy  positioning device  positioning method  private latitude  private longitude  private positional accuracy  quality grade  species guess  preferred common name  taxon id  time observed at  updated at  user agent  user id  user login  identifications count  comments count  last comments count  last identifications count  is deleted  uuid FROM observations WHERE ((( updated at    synced at AND  synced at IS NOT NULL) OR ( synced at IS NULL) OR (is deleted   1))) ORDER BY  created at ASC_x000D_
01 19 13:32:58 060 11868 11868 org inaturalist android D SQL: SQLiteQuery: SELECT  id   created at   observation id   photo id   synced at   updated at  created at  uuid  id  observation id  photo id  position  updated at  photo url  is deleted  photo filename FROM observation photos WHERE (((photo url IS NULL) AND ( updated at IS NOT NULL) AND ( synced at IS NULL)) OR ((photo url IS NULL) AND ( updated at IS NOT NULL) AND ( synced at IS NOT NULL) AND ( updated at    synced at)) OR (is deleted   1)) ORDER BY position ASC  id ASC   id ASC_x000D_
01 19 13:32:58 110 11868 11868 org inaturalist android I dalvikvm: Could not find method android view Window setStatusBarColor  referenced from method org inaturalist android TutorialActivity onCreate_x000D_
01 19 13:32:58 110 11868 11868 org inaturalist android W dalvikvm: VFY: unable to resolve virtual method 21340: Landroid view Window  setStatusBarColor (I)V_x000D_
01 19 13:32:58 110 11868 11868 org inaturalist android D dalvikvm: VFY: replacing opcode 0x6e at 0x001a_x000D_
01 19 13:32:58 110 11868 11868 org inaturalist android W ApplicationPackageManager: getCSCPackageItemText()_x000D_
01 19 13:32:58 150 11868 11868 org inaturalist android D INAT: Application: Detected country: us_x000D_
01 19 13:32:58 160 11868 11868 org inaturalist android W FlurryAgent: Start session with context: org inaturalist android TutorialActivity 42b2a8c0 count:1_x000D_
01 19 13:32:58 160 11868 11868 org inaturalist android W FlurryAgent: Event count started: TutorialActivity_x000D_
01 19 13:32:58 170 11868 11868 org inaturalist android W FlurryAgent: End session with context: org inaturalist android OnboardingActivity 42dcdfd8 count:1_x000D_
01 19 13:32:58 230 11868 11868 org inaturalist android D dalvikvm: GC FOR ALLOC freed 1960K  13  free 49890K 57076K  paused 22ms  total 22ms_x000D_
01 19 13:32:58 290 11868 11868 org inaturalist android W FragmentManager: moveToState: Fragment state for TutorialFragment 42db3558  1 id 0x7f0e0248 android:switcher:2131624520:1  not updated inline  expected state 3 found 2_x000D_
01 19 13:32:58 320 11868 11868 org inaturalist android I Adreno EGL:  qeglDrvAPI eglInitialize:381 : EGL 1 4 QUALCOMM build:  (CL3869936)_x000D_
                                                                     OpenGL ES Shader Compiler Version: 17 01 11 SPL_x000D_
                                                                     Build Date: 01 17 14 Fri_x000D_
                                                                     Local Branch: _x000D_
                                                                     Remote Branch: _x000D_
                                                                     Local Patches: _x000D_
                                                                     Reconstruct Branch: _x000D_
01 19 13:32:58 350 11868 11868 org inaturalist android D OpenGLRenderer: Enabling debug mode 0_x000D_
01 19 13:32:58 370 11868 11868 org inaturalist android W FlurryAgent: End session with context: org inaturalist android TutorialActivity 42b2a8c0 count:0_x000D_
01 19 13:32:58 370 809 1307   I LocationManagerService: remove 43dc6138 by org inaturalist android_x000D_
01 19 13:33:01 843 11868 12050 org inaturalist android W FlurryAgent: FlurryDataSender: report 1517dec2 cd21 4cd0 8558 69aef82cb662 sent  HTTP response: 200_x000D_
01 19 13:33:08 380 11868 12058 org inaturalist android W FlurryAgent: Finalize session_x000D_
01 19 13:33:14 245 11868 12104 org inaturalist android W FlurryAgent: FlurryDataSender: report ff153eb7 ef52 4b6b 88a4 4f347683cb3c sent  HTTP response: 200_x000D_
01 19 13:34:00 140 809 1193   V SmartFaceService   3rd party pause: onReceive  android intent action ACTIVITY STATE org inaturalist android resume _x000D_
01 19 13:34:00 150 11868 11868 org inaturalist android W FlurryAgent: Start session with context: org inaturalist android TutorialActivity 42b2a8c0 count:0_x000D_
01 19 13:34:00 150 809 1119   D LocationManagerService: request 469b9a28 gps Request ACCURACY FINE gps requested  10s0ms fastest  10s0ms  from org inaturalist android(10257)_x000D_
01 19 13:34:00 150 11868 11868 org inaturalist android W FlurryAgent: Event count started: TutorialActivity_x000D_
01 19 13:34:00 661 11868 12241 org inaturalist android W FlurryAgent: FlurryDataSender: report e6019398 465b 411c ae8c fe26f3e6340e sent  HTTP response: 200_x000D_
01 19 13:34:07 627 11868 11868 org inaturalist android W FragmentManager: moveToState: Fragment state for TutorialFragment 4314ea18  2 id 0x7f0e0248 android:switcher:2131624520:2  not updated inline  expected state 3 found 2_x000D_
01 19 13:34:08 158 11868 11868 org inaturalist android W FragmentManager: moveToState: Fragment state for TutorialFragment 43158120  3 id 0x7f0e0248 android:switcher:2131624520:3  not updated inline  expected state 3 found 2_x000D_
01 19 13:34:08 668 11868 11868 org inaturalist android D dalvikvm: GC FOR ALLOC freed 3332K  9  free 60813K 66368K  paused 69ms  total 69ms_x000D_
01 19 13:34:08 718 11868 11868 org inaturalist android W FragmentManager: moveToState: Fragment state for TutorialFragment 43160fc8  4 id 0x7f0e0248 android:switcher:2131624520:4  not updated inline  expected state 3 found 2_x000D_
01 19 13:34:09 229 11868 11868 org inaturalist android W FragmentManager: moveToState: Fragment state for TutorialFragment 430a6858  5 id 0x7f0e0248 android:switcher:2131624520:5  not updated inline  expected state 3 found 2_x000D_
01 19 13:34:10 680 809 1193   V SmartFaceService   3rd party pause: onReceive  android intent action ACTIVITY STATE org inaturalist android pause _x000D_
01 19 13:34:10 710 809 1193   V SmartFaceService   3rd party pause: onReceive  android intent action ACTIVITY STATE org inaturalist android resume _x000D_
01 19 13:34:10 710 11868 11868 org inaturalist android W FlurryAgent: Start session with context: org inaturalist android OnboardingActivity 42dcdfd8 count:1_x000D_
01 19 13:34:10 720 11868 11868 org inaturalist android W FlurryAgent: Event count started: OnboardingActivity_x000D_
01 19 13:34:11 191 11868 11868 org inaturalist android W FlurryAgent: End session with context: org inaturalist android TutorialActivity 42b2a8c0 count:1_x000D_
01 19 13:34:14 074 809 1193   V SmartFaceService   3rd party pause: onReceive  android intent action ACTIVITY STATE org inaturalist android pause _x000D_
01 19 13:34:14 104 11868 11868 org inaturalist android W ApplicationPackageManager: getCSCPackageItemText()_x000D_
01 19 13:34:14 104 809 1193   V SmartFaceService   3rd party pause: onReceive  android intent action ACTIVITY STATE org inaturalist android create _x000D_
01 19 13:34:14 154 11868 11868 org inaturalist android D dalvikvm: GC FOR ALLOC freed 4750K  15  free 59527K 69468K  paused 22ms  total 22ms_x000D_
01 19 13:34:14 164 11868 11868 org inaturalist android I dalvikvm heap: Grow heap (frag case) to 71 262MB for 10396816 byte allocation_x000D_
01 19 13:34:14 284 11868 11868 org inaturalist android D dalvikvm: GC FOR ALLOC freed 9588K  25  free 60312K 79624K  paused 20ms  total 20ms_x000D_
01 19 13:34:14 284 11868 11868 org inaturalist android I dalvikvm heap: Grow heap (frag case) to 72 030MB for 10396816 byte allocation_x000D_
01 19 13:34:14 314 11868 11868 org inaturalist android W FlurryAgent: Start session with context: org inaturalist android LoginSignupActivity 42b88148 count:1_x000D_
01 19 13:34:14 324 11868 11868 org inaturalist android W FlurryAgent: Event count started: LoginSignupActivity_x000D_
01 19 13:34:15 025 11868 11868 org inaturalist android W FlurryAgent: End session with context: org inaturalist android OnboardingActivity 42dcdfd8 count:1_x000D_
01 19 13:34:27 437 11868 11868 org inaturalist android D ProgressBar: updateDrawableBounds: left   0_x000D_
01 19 13:34:27 437 11868 11868 org inaturalist android D ProgressBar: updateDrawableBounds: top   0_x000D_
01 19 13:34:27 437 11868 11868 org inaturalist android D ProgressBar: updateDrawableBounds: right   144_x000D_
01 19 13:34:27 437 11868 11868 org inaturalist android D ProgressBar: updateDrawableBounds: bottom   144_x000D_
01 19 13:34:28 638 11868 12024 org inaturalist android D INaturalistService: RESP2:   id :9812  login : inara   name : Ken ichi the Space Courtesan   email : kueda inara inaturalist org   created at : 2012 09 26T12:37:12 053 07:00   updated at : 2017 01 18T11:56:38 862 08:00   state : passive   time zone : Pacific Time (US  u0026 Canada)   description : One of my test accounts  For testing    life list id :65298  observations count :0  identifications count :1  journal posts count :0  life list taxa count :14  uri : http:  www inaturalist org users 9812   locale :    site id :1  place id :null  spammer :false  spam count :0  last active : 2017 01 19   subscriptions suspended at :null  test groups : taxon page   user icon url : https:  static inaturalist org attachments users icons 9812 thumb jpeg 1475603064   medium user icon url : https:  static inaturalist org attachments users icons 9812 medium jpeg 1475603064   original user icon url : https:  static inaturalist org attachments users icons 9812 original jpeg 1475603064   created at utc : 2012 09 26T19:37:12 053Z   updated at utc : 2017 01 18T19:56:38 862Z  _x000D_
01 19 13:34:28 718 809 1193   V SmartFaceService   3rd party pause: onReceive  android intent action ACTIVITY STATE org inaturalist android pause _x000D_
01 19 13:34:28 748 11868 11868 org inaturalist android E ViewRootImpl: sendUserActionEvent() mView    null_x000D_
01 19 13:34:28 788 11868 12699 org inaturalist android D INaturalistService: Service: first sync_x000D_
01 19 13:34:28 788 11868 12699 org inaturalist android D INaturalistService: URL: get   https:  www inaturalist org projects user inara json (null)_x000D_
01 19 13:34:28 788 809 1193   V SmartFaceService   3rd party pause: onReceive  android intent action ACTIVITY STATE org inaturalist android resume _x000D_
01 19 13:34:28 818 809 1193   V SmartFaceService   3rd party pause: onReceive  android intent action ACTIVITY STATE org inaturalist android pause _x000D_
01 19 13:34:28 828 11868 11868 org inaturalist android D AndroidRuntime: Shutting down VM_x000D_
01 19 13:34:28 828 11868 11868 org inaturalist android W dalvikvm: threadid 1: thread exiting with uncaught exception (group 0x41867da0)_x000D_
01 19 13:34:28 828 11868 11868 org inaturalist android W System err: java lang NullPointerException_x000D_
01 19 13:34:28 828 11868 11868 org inaturalist android W System err:     at org inaturalist android ObservationListActivity 2 run(ObservationListActivity java:663)_x000D_
01 19 13:34:28 828 11868 11868 org inaturalist android W System err:     at android os Handler handleCallback(Handler java:733)_x000D_
01 19 13:34:28 828 11868 11868 org inaturalist android W System err:     at android os Handler dispatchMessage(Handler java:95)_x000D_
01 19 13:34:28 828 11868 11868 org inaturalist </t>
  </si>
  <si>
    <t>FindItPS-findit-4</t>
  </si>
  <si>
    <t>[App Crash] App Closes on Offline Tech Search</t>
  </si>
  <si>
    <t xml:space="preserve">When an offline tech search is conducted the app crashes  This does not occur when another type of search is carried out offline </t>
  </si>
  <si>
    <t>PSDev-LicensesDialog-73</t>
  </si>
  <si>
    <t xml:space="preserve">Steps to reproduce_x000D_
Do as fast as possible:_x000D_
1  Press on a link at the license dialog_x000D_
2  Press back button_x000D_
3  Go to step 1_x000D_
_x000D_
  Stacktrace:  _x000D_
   _x000D_
01 18 11:06:11 303: W System err(21533): java lang NullPointerException: uriString_x000D_
01 18 11:06:11 313: W System err(21533): 	at android net Uri StringUri  init (Uri java:471)_x000D_
01 18 11:06:11 313: W System err(21533): 	at android net Uri StringUri  init (Uri java:461)_x000D_
01 18 11:06:11 313: W System err(21533): 	at android net Uri parse(Uri java:433)_x000D_
01 18 11:06:11 313: W System err(21533): 	at de psdev licensesdialog LicensesDialog 7 onCreateWindow(LicensesDialog java:185)_x000D_
01 18 11:06:11 313: W System err(21533): 	at com android webview chromium WebViewContentsClientAdapter onCreateWindow(WebViewContentsClientAdapter java:402)_x000D_
01 18 11:06:11 313: W System err(21533): 	at org chromium android webview AwWebContentsDelegateAdapter addNewContents(AwWebContentsDelegateAdapter java:241)_x000D_
01 18 11:06:11 313: W System err(21533): 	at org chromium base SystemMessageHandler nativeDoRunLoopOnce(Native Method)_x000D_
01 18 11:06:11 313: W System err(21533): 	at org chromium base SystemMessageHandler handleMessage(SystemMessageHandler java:53)_x000D_
01 18 11:06:11 313: W System err(21533): 	at android os Handler dispatchMessage(Handler java:102)_x000D_
01 18 11:06:11 313: W System err(21533): 	at android os Looper loop(Looper java:145)_x000D_
01 18 11:06:11 313: W System err(21533): 	at android app ActivityThread main(ActivityThread java:6837)_x000D_
01 18 11:06:11 313: W System err(21533): 	at java lang reflect Method invoke(Native Method)_x000D_
01 18 11:06:11 313: W System err(21533): 	at java lang reflect Method invoke(Method java:372)_x000D_
01 18 11:06:11 313: W System err(21533): 	at com android internal os ZygoteInit MethodAndArgsCaller run(ZygoteInit java:1404)_x000D_
01 18 11:06:11 313: W System err(21533): 	at com android internal os ZygoteInit main(ZygoteInit java:1199)_x000D_
01 18 11:06:11 313: A chromium(21533):  FATAL:jni android cc(295)  Check failed: false  Please include Java exception stack in crash report   </t>
  </si>
  <si>
    <t>tanrabad-survey-11</t>
  </si>
  <si>
    <t xml:space="preserve">     in okhttp3 internal platform AndroidPlatform connectSocket
  Number of crashes: 1
  Impacted devices: 1
There s a lot more information about this crash on crashlytics com:
 https:  fabric io tanrabad android apps org tanrabad survey issues 588078f20aeb16625b46ffcd (https:  fabric io tanrabad android apps org tanrabad survey issues 588078f20aeb16625b46ffcd)</t>
  </si>
  <si>
    <t>consp1racy-android-support-preference-59</t>
  </si>
  <si>
    <t>Version 1.2.3 crashes Proguard build</t>
  </si>
  <si>
    <t xml:space="preserve">  Library    1 2 3 _x000D_
  AppCompat    25 1 0 _x000D_
_x000D_
I just updated to version  1 2 3  and this sadly crashes  Proguard  and  NewClassShrinker  builds _x000D_
The error is:_x000D_
   _x000D_
Warning:net xpece android support preference ListPreference: can t find referenced method _x000D_
 void setEpicenterBounds(android graphics Rect) _x000D_
in program class net xpece android support widget XpListPopupWindow_x000D_
   _x000D_
_x000D_
Thanks in advance for having a look </t>
  </si>
  <si>
    <t>danvim-Procal-29</t>
  </si>
  <si>
    <t>Bugs known after putting Procal and ProcalParsing together</t>
  </si>
  <si>
    <t>1  sin( pi)   0E 15_x000D_
2  sin( pi pi)   0 430301217 _x000D_
3  If 1:Then 2:Else 3: IfEnd     Procal wholly crashes  Colon recognised after Suffix Function (lbp)_x000D_
_x000D_
n  5 6 sec wait to launch</t>
  </si>
  <si>
    <t>praekeltfoundation-gem-bbb-indo-469</t>
  </si>
  <si>
    <t>Out of Memory error on TilingDrawable.draw</t>
  </si>
  <si>
    <t xml:space="preserve">     in org gem indo dooit views custom TilingDrawable draw
  Number of crashes: 1
  Impacted devices: 1
There s a lot more information about this crash on crashlytics com:
 https:  fabric io retro rabbit android apps org gem indo dooit issues 588235700aeb16625b551d29 (https:  fabric io retro rabbit android apps org gem indo dooit issues 588235700aeb16625b551d29)</t>
  </si>
  <si>
    <t>praekeltfoundation-gem-bbb-indo-468</t>
  </si>
  <si>
    <t>Out of Memory error on Animated Welcome screens</t>
  </si>
  <si>
    <t xml:space="preserve">     in com facebook imagepipeline animated impl AnimatedDrawableCachingBackendImpl createNewBitmap
  Number of crashes: 1
  Impacted devices: 1
There s a lot more information about this crash on crashlytics com:
 https:  fabric io retro rabbit android apps org gem indo dooit issues 5882354c0aeb16625b551b9d (https:  fabric io retro rabbit android apps org gem indo dooit issues 5882354c0aeb16625b551b9d)</t>
  </si>
  <si>
    <t>wasdennnoch-Scoop-3</t>
  </si>
  <si>
    <t>Crashes From Google Newsstand Going Unnoticed</t>
  </si>
  <si>
    <t xml:space="preserve">I m experiencing crashes in Google Newsstand  I have attached a log of the crash which Scoop doesn t notice  It appears to be when it fails to get an ad or something it really wants for offline reading  Once it crashes it  usually  restarts the application but not always  Am I mistaken that  with nothing blacklisted and the option to ignore Thread Death turned off  it should be catching these _x000D_
_x000D_
 2017 01 15 10 22 09 crash txt (https:  github com wasdennnoch Scoop files 718616 2017 01 15 10 22 09 crash txt)_x000D_
</t>
  </si>
  <si>
    <t>praekeltfoundation-gem-bbb-indo-457</t>
  </si>
  <si>
    <t>Crash on weeks left, Goal date is null</t>
  </si>
  <si>
    <t>Goal date was null when Bot requested weeks left _x000D_
_x000D_
   _x000D_
Fatal Exception: java lang NullPointerException: Attempt to invoke virtual method  java util Date org joda time LocalDate toDate()  on a null object reference_x000D_
       at org gem indo dooit models goal Goal getWeeksLeft(Goal java:237)_x000D_
       at org gem indo dooit controllers goal GoalBotController resolveParam(GoalBotController java:110)_x000D_
       at org gem indo dooit views main fragments bot viewholders TextViewHolder populateModel(TextViewHolder java:75)_x000D_
       at org gem indo dooit views main fragments bot viewholders BaseBotViewHolder populate(BaseBotViewHolder java:42)_x000D_
       at org gem indo dooit views main fragments bot viewholders TextViewHolder populate(TextViewHolder java:51)_x000D_
       at org gem indo dooit views main fragments bot viewholders TextViewHolder populate(TextViewHolder java:29)_x000D_
       at org gem indo dooit views main fragments bot adapters BotAdapter onBindViewHolder(BotAdapter java:110)_x000D_
       at org gem indo dooit views main fragments bot adapters BotAdapter onBindViewHolder(BotAdapter java:38)_x000D_
   _x000D_
_x000D_
There s a lot more information about this crash on crashlytics com:_x000D_
 https:  fabric io retro rabbit android apps org gem indo dooit issues 5881a53d0aeb16625b504325 (https:  fabric io retro rabbit android apps org gem indo dooit issues 5881a53d0aeb16625b504325)_x000D_
_x000D_
1 Hour</t>
  </si>
  <si>
    <t>tanrabad-survey-12</t>
  </si>
  <si>
    <t xml:space="preserve">     in okio Okio 4 newTimeoutException
  Number of crashes: 1
  Impacted devices: 1
There s a lot more information about this crash on crashlytics com:
 https:  fabric io tanrabad android apps org tanrabad survey issues 588179a10aeb16625b4f272d (https:  fabric io tanrabad android apps org tanrabad survey issues 588179a10aeb16625b4f272d)</t>
  </si>
  <si>
    <t>inaturalist-iNaturalistAndroid-295</t>
  </si>
  <si>
    <t>crash on upload after upgrade</t>
  </si>
  <si>
    <t xml:space="preserve">Here s a report of a crash during upload:_x000D_
_x000D_
   I m using a Samsung Galaxy S6 Android version 6 0 1  I ve been away from iNat for several weeks  so there was an app update and it has crashed ever since    of observations or photos doesn t matter either   I ve tried one obsv with no photos  too  It happens every time without fail  both on wifi and cell data  Crash always happens at Syncing Observation Fields  _x000D_
_x000D_
Example User Agent  iNaturalist 1 5 1 (Build 187  Android 3 10 61 8352520 G920VVRS4CPL3  SDK 23  zerofltevzw SM G920V zerofltevzw)   They sent a log file after this happened that included the following (file is huge  I can forward if you want it):_x000D_
_x000D_
   _x000D_
01 18 16:36:20 154  1306  1937 D SQL     : SQLiteQuery: SELECT  id   created at   synced at   updated at  created at  description  geoprivacy  iconic taxon id  iconic taxon name  id  id please  latitude  longitude  observed on  observed on string  out of range  captive  place guess  positional accuracy  positioning device  positioning method  private latitude  private longitude  private positional accuracy  quality grade  species guess  preferred common name  taxon id  time observed at  updated at  user agent  user id  user login  identifications count  comments count  last comments count  last identifications count  is deleted  uuid FROM observations WHERE (id     AND  synced at IS NOT NULL) ORDER BY  id DESC_x000D_
01 18 16:36:20 164  1306  1937 W SQLiteLog: (28) failed to open   data user 0 org inaturalist android databases inaturalist db journal  with flag (131072) and mode t (1b0) due to error (24)_x000D_
01 18 16:36:20 164  1306  1937 E SQLiteLog: (14) cannot open file at line 31517 of  2ef4f3a5b1 _x000D_
01 18 16:36:20 164  1306  1937 E SQLiteLog: (14) os unix c:31517: (24) open( data user 0 org inaturalist android databases inaturalist db journal)   _x000D_
01 18 16:36:20 164  1306  1937 W SQLiteLog: (28) failed to open   data user 0 org inaturalist android databases inaturalist db journal  with flag (131074) and mode t (1b0) due to error (24)_x000D_
01 18 16:36:20 164  1306  1937 W SQLiteLog: (28) failed to open   data user 0 org inaturalist android databases inaturalist db journal  with flag (131072) and mode t (1b0) due to error (24)_x000D_
01 18 16:36:20 164  1306  1937 E SQLiteLog: (14) cannot open file at line 31517 of  2ef4f3a5b1 _x000D_
01 18 16:36:20 164  1306  1937 E SQLiteLog: (14) os unix c:31517: (24) open( data user 0 org inaturalist android databases inaturalist db journal)   _x000D_
01 18 16:36:20 164  1306  1937 E SQLiteLog: (2062) statement aborts at 55:  SELECT  id   created at   synced at   updated at  created at  description  geoprivacy  iconic taxon id  iconic taxon name  id  id please  latitude  longitude  observed on  observed on _x000D_
01 18 16:36:20 174  1306  1937 E SQLiteQuery: exception: unable to open database file (code 2062)_x000D_
01 18 16:36:20 174  1306  1937 E SQLiteQuery:                                                                  _x000D_
01 18 16:36:20 174  1306  1937 E SQLiteQuery: Error Code : 2062 (SQLITE CANTOPEN EMFILE)_x000D_
01 18 16:36:20 174  1306  1937 E SQLiteQuery: Caused By : Application has opened two many files  Maximum of available file descriptors in one process is 1024 in default _x000D_
01 18 16:36:20 174  1306  1937 E SQLiteQuery: 	(unable to open database file (code 2062))_x000D_
01 18 16:36:20 174  1306  1937 E SQLiteQuery:                                                                    query: SELECT  id   created at   synced at   updated at  created at  description  geoprivacy  iconic taxon id  iconic taxon name  id  id please  latitude  longitude  observed on  observed on string  out of range  captive  place guess  positional accuracy  positioning device  positioning method  private latitude  private longitude  private positional accuracy  quality grade  species guess  preferred common name  taxon id  time observed at  updated at  user agent  user id  user login  identifications count  comments count  last comments count  last identifications count  is deleted  uuid FROM observations WHERE (id     AND  synced at IS NOT NULL) ORDER BY  id DESC_x000D_
01 18 16:36:20 184  1306  1937 I INaturalistService: Sending ACTION SYNC COMPLETE_x000D_
01 18 16:36:20 184  1306  1937 W System err: android database sqlite SQLiteCantOpenDatabaseException: unable to open database file (code 2062)_x000D_
01 18 16:36:20 184  1306  1937 W System err:                                                                  _x000D_
01 18 16:36:20 184  1306  1937 W System err: Error Code : 2062 (SQLITE CANTOPEN EMFILE)_x000D_
01 18 16:36:20 184  1306  1937 W System err: Caused By : Application has opened two many files  Maximum of available file descriptors in one process is 1024 in default _x000D_
01 18 16:36:20 184  1306  1937 W System err: 	(unable to open database file (code 2062))_x000D_
01 18 16:36:20 184  1306  1937 W System err:                                                                  _x000D_
01 18 16:36:20 184  1306  1306 I INAT:ObservationListActivity: Got ACTION SYNC COMPLETE_x000D_
01 18 16:36:20 194  1306  1937 W System err: 	at android database sqlite SQLiteConnection nativeExecuteForCursorWindow(Native Method)_x000D_
01 18 16:36:20 194  1306  1937 W System err: 	at android database sqlite SQLiteConnection executeForCursorWindow(SQLiteConnection java:980)_x000D_
01 18 16:36:20 194  1306  1937 W System err: 	at android database sqlite SQLiteSession executeForCursorWindow(SQLiteSession java:836)_x000D_
01 18 16:36:20 194  1306  1937 W System err: 	at android database sqlite SQLiteQuery fillWindow(SQLiteQuery java:62)_x000D_
01 18 16:36:20 194  1306  1937 W System err: 	at android database sqlite SQLiteCursor fillWindow(SQLiteCursor java:143)_x000D_
01 18 16:36:20 194  1306  1937 W System err: 	at android database sqlite SQLiteCursor getCount(SQLiteCursor java:132)_x000D_
01 18 16:36:20 194  1306  1937 W System err: 	at android content ContentResolver query(ContentResolver java:521)_x000D_
01 18 16:36:20 194  1306  1937 W System err: 	at android content ContentResolver query(ContentResolver java:445)_x000D_
01 18 16:36:20 194  1306  1937 W System err: 	at org inaturalist android INaturalistService syncObservationFields(INaturalistService java:2313)_x000D_
01 18 16:36:20 194  1306  1937 W System err: 	at org inaturalist android INaturalistService syncObservations(INaturalistService java:802)_x000D_
01 18 16:36:20 194  1306  1937 W System err: 	at org inaturalist android INaturalistService onHandleIntent(INaturalistService java:758)_x000D_
01 18 16:36:20 194  1306  1937 W System err: 	at android app IntentService ServiceHandler handleMessage(IntentService java:66)_x000D_
01 18 16:36:20 194  1306  1937 W System err: 	at android os Handler dispatchMessage(Handler java:102)_x000D_
01 18 16:36:20 194  1306  1937 W System err: 	at android os Looper loop(Looper java:158)_x000D_
01 18 16:36:20 194  1306  1937 W System err: 	at android os HandlerThread run(HandlerThread java:61)_x000D_
01 18 16:36:20 194  1306  1937 W FlurryAgent: Error logged: uncaught_x000D_
01 18 16:36:20 194  1306  1306 D SQL     : SQLiteQuery: SELECT  id   created at   synced at   updated at  created at  description  geoprivacy  iconic taxon id  iconic taxon name  id  id please  latitude  longitude  observed on  observed on string  out of range  captive  place guess  positional accuracy  positioning device  positioning method  private latitude  private longitude  private positional accuracy  quality grade  species guess  preferred common name  taxon id  time observed at  updated at  user agent  user id  user login  identifications count  comments count  last comments count  last identifications count  is deleted  uuid FROM observations WHERE (( synced at IS NULL OR user login    kimberlietx ) AND (is deleted   0 OR is deleted is NULL)) ORDER BY CASE WHEN id IS NULL THEN  created at ELSE created at END DESC_x000D_
01 18 16:36:20 204  1306  1306 W SQLiteLog: (28) failed to open   data user 0 org inaturalist android databases inaturalist db journal  with flag (131072) and mode t (1b0) due to error (24)_x000D_
01 18 16:36:20 204  1306  1306 E SQLiteLog: (14) cannot open file at line 31517 of  2ef4f3a5b1 _x000D_
01 18 16:36:20 204  1306  1937 W FlurryAgent: End session with context: org inaturalist android ObservationListActivity ec3947b count:0_x000D_
01 18 16:36:20 204  1306  1306 E SQLiteLog: (14) os unix c:31517: (24) open( data user 0 org inaturalist android databases inaturalist db journal)   _x000D_
01 18 16:36:20 204  1306  1937 E art     : ashmem create region failed for  indirect ref table : Too many open files_x000D_
01 18 16:36:20 204  1306  1306 W SQLiteLog: (28) failed to open   data user 0 org inaturalist android databases inaturalist db journal  with flag (131074) and mode t (1b0) due to error (24)_x000D_
01 18 16:36:20 204  1306  1937 W art     : Throwing OutOfMemoryError  Could not allocate JNI Env _x000D_
01 18 16:36:20 204  1306  1306 W SQLiteLog: (28) failed to open   data user 0 org inaturalist android databases inaturalist db journal  with flag (131072) and mode t (1b0) due to error (24)_x000D_
01 18 16:36:20 204  1306  1306 E SQLiteLog: (14) cannot open file at line 31517 of  2ef4f3a5b1 _x000D_
01 18 16:36:20 204  1306  1306 E SQLiteLog: (14) os unix c:31517: (24) open( data user 0 org inaturalist android databases inaturalist db journal)   _x000D_
01 18 16:36:20 204  1306  1306 E SQLiteLog: (2062) statement aborts at 108:  SELECT  id   created at   synced at   updated at  created at  description  geoprivacy  iconic taxon id  iconic taxon name  id  id please  latitude  longitude  observed on  observed on_x000D_
01 18 16:36:20 204  1306  1306 E SQLiteQuery: exception: unable to open database file (code 2062)_x000D_
01 18 16:36:20 204  1306  1306 E SQLiteQuery:                                                                  _x000D_
01 18 16:36:20 204  1306  1306 E SQLiteQuery: Error Code : 2062 (SQLITE CANTOPEN EMFILE)_x000D_
01 18 16:36:20 204  1306  1306 E SQLiteQuery: Caused By : Application has opened two many files  Maximum of available file descriptors in one process is 1024 in default _x000D_
01 18 16:36:20 204  1306  1306 E SQLiteQuery: 	(unable to open database file (code 2062))_x000D_
01 18 16:36:20 204  1306  1306 E SQLiteQuery:                                                                    query: SELECT  id   created at   synced at   updated at  created at  description  geoprivacy  iconic taxon id  iconic taxon name  id  id please  latitude  longitude  observed on  observed on string  out of range  captive  place guess  positional accuracy  positioning device  positioning method  private latitude  private longitude  private positional accuracy  quality grade  species guess  preferred common name  taxon id  time observed at  updated at  user agent  user id  user login  identifications count  comments count  last comments count  last identifications count  is deleted  uuid FROM observations WHERE (( synced at IS NULL OR user login    kimberlietx ) AND (is deleted   0 OR is deleted is NULL)) ORDER BY CASE WHEN id IS NULL THEN  created at ELSE created at END DESC_x000D_
01 18 16:36:20 224  1306  1306 D AndroidRuntime: Shutting down VM_x000D_
01 18 16:36:20 224  1306  1306 W System err: java lang RuntimeException: Error receiving broadcast Intent   act sync complete flg 0x10 bqHint 4 (has extras)   in org inaturalist android ObservationListActivity SyncCompleteReceiver 2a5e298_x000D_
01 18 16:36:20 224  1306  1306 W System err: 	at android app LoadedApk ReceiverDispatcher Args run(LoadedApk java:1003)_x000D_
01 18 16:36:20 224  1306  1306 W System err: 	at android os Handler handleCallback(Handler java:739)_x000D_
01 18 16:36:20 224  1306  1306 W System err: 	at android os Handler dispatchMessage(Handler java:95)_x000D_
01 18 16:36:20 224  1306  1306 W System err: 	at android os Looper loop(Looper java:158)_x000D_
01 18 16:36:20 224  1306  1306 W System err: 	at android app ActivityThread main(ActivityThread java:7229)_x000D_
01 18 16:36:20 224  1306  1306 W System err: 	at java lang reflect Method invoke(Native Method)_x000D_
01 18 16:36:20 224  1306  1306 W System err: 	at com android internal os ZygoteInit MethodAndArgsCaller run(ZygoteInit java:1230)_x000D_
01 18 16:36:20 224  1306  1306 W System err: 	at com android internal os ZygoteInit main(ZygoteInit java:1120)_x000D_
01 18 16:36:20 224  1306  1306 W System err: Caused by: android database sqlite SQLiteCantOpenDatabaseException: unable to open database file (code 2062)_x000D_
01 18 16:36:20 224  1306  1306 W System err:                                                                  _x000D_
01 18 16:36:20 224  1306  1306 W System err: Error Code : 2062 (SQLITE CANTOPEN EMFILE)_x000D_
01 18 16:36:20 224  1306  1306 W System err: Caused By : Application has opened two many files  Maximum of available file descriptors in one process is 1024 in default _x000D_
01 18 16:36:20 224  1306  1306 W System err: 	(unable to open database file (code 2062))_x000D_
01 18 16:36:20 224  1306  1306 W System err:                                                                  _x000D_
01 18 16:36:20 224  1306  1306 W System err: 	at android database sqlite SQLiteConnection nativeExecuteForCursorWindow(Native Method)_x000D_
01 18 16:36:20 224  1306  1306 W System err: 	at android database sqlite SQLiteConnection executeForCursorWindow(SQLiteConnection java:980)_x000D_
01 18 16:36:20 224  1306  1306 W System err: 	at android database sqlite SQLiteSession executeForCursorWindow(SQLiteSession java:836)_x000D_
01 18 16:36:20 224  1306  1306 W System err: 	at android database sqlite SQLiteQuery fillWindow(SQLiteQuery java:62)_x000D_
01 18 16:36:20 224  1306  1306 W System err: 	at android database sqlite SQLiteCursor fillWindow(SQLiteCursor java:143)_x000D_
01 18 16:36:20 224  1306  1306 W System err: 	at android database sqlite SQLiteCursor getCount(SQLiteCursor java:132)_x000D_
01 18 16:36:20 224  1306  1306 W System err: 	at android content ContentResolver query(ContentResolver java:521)_x000D_
01 18 16:36:20 224  1306  1306 W System err: 	at android content ContentResolver query(ContentResolver java:445)_x000D_
01 18 16:36:20 224  1306  1306 W System err: 	at org inaturalist android ObservationCursorAdapter refreshCursor(ObservationCursorAdapter java:95)_x000D_
01 18 16:36:20 224  1306  1306 W System err: 	at org inaturalist android ObservationCursorAdapter refreshCursor(ObservationCursorAdapter java:73)_x000D_
01 18 16:36:20 224  1306  1306 W System err: 	at org inaturalist android ObservationListActivity SyncCompleteReceiver onReceive(ObservationListActivity java:168)_x000D_
01 18 16:36:20 224  1306  1306 W System err: 	at android app LoadedApk ReceiverDispatcher Args run(LoadedApk java:993)_x000D_
01 18 16:36:20 224  1306  1306 W System err: 	    7 more_x000D_
01 18 16:36:20 224  1306  1306 W FlurryAgent: Error logged: uncaught_x000D_
01 18 16:36:20 234  1306  1306 W FlurryAgent: End session with context: org inaturalist android ObservationListActivity ec3947b count:0_x000D_
01 18 16:36:20 234  1306  1306 W FlurryAgent: Finalize session_x000D_
01 18 16:36:20 244  1306  1973 I System out: (HTTPLog) Static: isSBSettingEnabled false_x000D_
01 18 16:36:20 254  1306  1973 I System out: (HTTPLog) Static: isSBSettingEnabled false_x000D_
01 18 16:36:20 264  1306  1332 E Fabric  : An error occurred in the fatal exception logger_x000D_
01 18 16:36:20 264  1306  1332 E Fabric  : java io FileNotFoundException:  data user 0 org inaturalist android files  Fabric com crashlytics sdk android crashlytics core 587FED4501EF 0001 051A 868A2AD839CCSessionCrash cls temp: open failed: EMFILE (Too many open files)_x000D_
01 18 16:36:20 264  1306  1332 E Fabric  : 	at libcore io IoBridge open(IoBridge java:452)_x000D_
01 18 16:36:20 264  1306  1332 E Fabric  : 	at java io FileOutputStream  init (FileOutputStream java:87)_x000D_
01 18 16:36:20 264  1306  1332 E Fabric  : 	at java io FileOutputStream  init (FileOutputStream java:72)_x000D_
01 18 16:36:20 264  1306  1332 E Fabric  : 	at com crashlytics android core ClsFileOutputStream  init (ClsFileOutputStream java:40)_x000D_
01 18 16:36:20 264  1306  1332 E Fabric  : 	at com crashlytics android core CrashlyticsUncaughtExceptionHandler writeFatal(CrashlyticsUncaughtExceptionHandler java:393)_x000D_
01 18 16:36:20 264  1306  1332 E Fabric  : 	at com crashlytics android core CrashlyticsUncaughtExceptionHandler handleUncaughtException(CrashlyticsUncaughtExceptionHandler java:298)_x000D_
01 18 16:36:20 264  1306  1332 E Fabric  : 	at com crashlytics android core CrashlyticsUncaughtExceptionHandler access 200(CrashlyticsUncaughtExceptionHandler java:56)_x000D_
01 18 16:36:20 264  1306  1332 E Fabric  : 	at com crashlytics android core CrashlyticsUncaughtExceptionHandler 7 call(CrashlyticsUncaughtExceptionHandler java:278)_x000D_
01 18 16:36:20 264  1306  1332 E Fabric  : 	at com crashlytics android core CrashlyticsUncaughtExceptionHandler 7 call(CrashlyticsUncaughtExceptionHandler java:275)_x000D_
01 18 16:36:20 264  1306  1332 E Fabric  : 	at java util concurrent FutureTask run(FutureTask java:237)_x000D_
01 18 16:36:20 264  1306  1332 E Fabric  : 	at java util concurrent ThreadPoolExecutor runWorker(ThreadPoolExecutor java:1113)_x000D_
01 18 16:36:20 264  1306  1332 E Fabric  : 	at java util concurrent ThreadPoolExecutor Worker run(ThreadPoolExecutor java:588)_x000D_
01 18 16:36:20 264  1306  1332 E Fabric  : 	at io fabric sdk android services common ExecutorUtils 1 1 onRun(ExecutorUtils java:75)_x000D_
01 18 16:36:20 264  1306  1332 E Fabric  : 	at io fabric sdk android services common BackgroundPriorityRunnable run(BackgroundPriorityRunnable java:30)_x000D_
01 18 16:36:20 264  1306  1332 E Fabric  : 	at java lang Thread run(Thread java:818)_x000D_
01 18 16:36:20 264  1306  1332 E Fabric  : Caused by: android system ErrnoException: open failed: EMFILE (Too many open files)_x000D_
01 18 16:36:20 264  1306  1332 E Fabric  : 	at libcore io Posix open(Native Method)_x000D_
01 18 16:36:20 264  1306  1332 E Fabric  : 	at libcore io BlockGuardOs open(BlockGuardOs java:186)_x000D_
01 18 16:36:20 264  1306  1332 E Fabric  : 	at libcore io IoBridge open(IoBridge java:438)_x000D_
01 18 16:36:20 264  1306  1332 E Fabric  : 	    14 more_x000D_
01 18 16:36:20 274  1306  1332 W System err: remove failed: ENOENT (No such file or directory) :  data user 0 org inaturalist android files  Fabric com crashlytics sdk android crashlytics core log files crashlytics userlog 587FED4501EF 0001 051A 868A2AD839CC temp_x000D_
01 18 16:36:20 294  1306  1937 E Fabric  : Failed to execute task _x000D_
01 18 16:36:20 294  1306  1937 E Fabric  : java util concurrent ExecutionException: java io FileNotFoundException:  data user 0 org inaturalist android files  Fabric com crashlytics sdk android crashlytics core 587FEDE40115 0002 051A 868A2AD839CCBeginSession cls temp: open failed: EMFILE (Too many open files)_x000D_
01 18 16:36:20 294  1306  1937 E Fabric  : 	at java util concurrent FutureTask report(FutureTask java:94)_x000D_
01 18 16:36:20 294  1306  1937 E Fabric  : 	at java util concurrent FutureTask get(FutureTask java:164)_x000D_
01 18 16:36:20 294  1306  1937 E Fabric  : 	at com crashlytics android core CrashlyticsExecutorServiceWrapper executeSyncLoggingException(CrashlyticsExecutorServiceWrapper java:47)_x000D_
01 18 16:36:20 294  1306  1937 E Fabric  : 	at com crashlytics android core CrashlyticsUncaughtExceptionHandler uncaughtException(CrashlyticsUncaughtExceptionHandler java:275)_x000D_
01 18 16:36:20 294  1306  1937 E Fabric  : 	at com flurry sdk ec b(SourceFile:99)_x000D_
01 18 16:36:20 294  1306  1937 E Fabric  : 	at com flurry sdk ec b(SourceFile:19)_x000D_
01 18 16:36:20 294  1306  1937 E Fabric  : 	at com flurry sdk ec a uncaughtException(SourceFile:107)_x000D_
01 18 16:36:20 294  1306  1937 E Fabric  : 	at java lang ThreadGroup uncaughtException(ThreadGroup java:693)_x000D_
01 18 16:36:20 294  1306  1937 E Fabric  : 	at java lang ThreadGroup uncaughtException(ThreadGroup java:690)_x000D_
01 18 16:36:20 294  1306  1937 E Fabric  : Caused by: java io FileNotFoundException:  data user 0 org inaturalist android files  Fabric com crashlytics sdk android crashlytics core 587FEDE40115 0002 051A 868A2AD839CCBeginSession cls temp: open failed: EMFILE (Too many open files)_x000D_
01 18 16:36:20 294  1306  1937 E Fabric  : 	at libcore io IoBridge open(IoBridge java:452)_x000D_
01 18 16:36:20 294  1306  1937 E Fabric  : 	at java io FileOutputStream  init (FileOutputStream java:87)_x000D_
01 18 16:36:20 294  1306  1937 E Fabric  : 	at java io FileOutputStream  init (FileOutputStream java:72)_x000D_
01 18 16:36:20 294  1306  1937 E Fabric  : 	at com crashlytics android core ClsFileOutputStream  init (ClsFileOutputStream java:40)_x000D_
01 18 16:36:20 294  1306  1937 E Fabric  : 	at com crashlytics android core CrashlyticsUncaughtExceptionHandler writeBeginSession(CrashlyticsUncaughtExceptionHandler java:832)_x000D_
01 18 16:36:20 294  1306  1937 E Fabric  : 	at com crashlytics android core CrashlyticsUncaughtExceptionHandler doOpenSession(CrashlyticsUncaughtExceptionHandler java:596)_x000D_
01 18 16:36:20 294  1306  1937 E Fabric  : 	at com crashlytics android core CrashlyticsUncaughtExceptionHandler handleUncaughtException(CrashlyticsUncaughtExceptionHandler java:301)_x000D_
01 18 16:36:20 294  1306  1937 E Fabric  : 	at com crashlytics android core CrashlyticsUncaughtExceptionHandler access 200(CrashlyticsUncaughtExceptionHandler java:56)_x000D_
01 18 16:36:20 294  1306  1937 E Fabric  : 	at com crashlytics android core CrashlyticsUncaughtExceptionHandler 7 call(CrashlyticsUncaughtExceptionHandler java:278)_x000D_
01 18 16:36:20 294  1306  1937 E Fabric  : 	at com crashlytics android core CrashlyticsUncaughtExceptionHandler 7 call(CrashlyticsUncaughtExceptionHandler java:275)_x000D_
01 18 16:36:20 294  1306  1937 E Fabric  : 	at java util concurrent FutureTask run(FutureTask java:237)_x000D_
01 18 16:36:20 294  1306  1937 E Fabric  : 	at java util concurrent ThreadPoolExecutor runWorker(ThreadPoolExecutor java:1113)_x000D_
01 18 16:36:20 294  1306  1937 E Fabric  : 	at java util concurrent ThreadPoolExecutor Worker run(ThreadPoolExecutor java:588)_x000D_
01 18 16:36:20 294  1306  1937 E Fabric  : 	at io fabric sdk android services common ExecutorUtils 1 1 onRun(ExecutorUtils java:75)_x000D_
01 18 16:36:20 294  1306  1937 E Fabric  : 	at io fabric sdk android services common BackgroundPriorityRunnable run(BackgroundPriorityRunnable java:30)_x000D_
01 18 16:36:20 294  1306  1937 E Fabric  : 	at java lang Thread run(Thread java:818)_x000D_
01 18 16:36:20 294  1306  1937 E Fabric  : Caused by: android system ErrnoException: open failed: EMFILE (Too many open files)_x000D_
01 18 16:36:20 294  1306  1937 E Fabric  : 	at libcore io Posix open(Native Method)_x000D_
01 18 16:36:20 294  1306  1937 E Fabric  : 	at libcore io BlockGuardOs open(BlockGuardOs java:186)_x000D_
01 18 16:36:20 294  1306  1937 E Fabric  : 	at libcore io IoBridge open(IoBridge java:438)_x000D_
01 18 16:36:20 294  1306  1937 E Fabric  : 	    15 more_x000D_
01 18 16:36:20 294  1306  1937 E AndroidRuntime: FATAL EXCEPTION: IntentService INaturalistService _x000D_
01 18 16:36:20 294  1306  1937 E AndroidRuntime: Process: org inaturalist android  PID: 1306_x000D_
01 18 16:36:20 294  1306  1937 E AndroidRuntime: android database sqlite SQLiteCantOpenDatabaseException: unable to open database file (code 2062)_x000D_
01 18 16:36:20 294  1306  1937 E AndroidRuntime:                                                                  _x000D_
01 18 16:36:20 294  1306  1937 E AndroidRuntime: Error Code : 2062 (SQLITE CANTOPEN EMFILE)_x000D_
01 18 16:36:20 294  1306  1937 E AndroidRuntime: Caused By : Application has opened two many files  Maximum of available file descriptors in one process is 1024 in default _x000D_
01 18 16:36:20 294  1306  1937 E AndroidRuntime: 	(unable to open database file (code 2062))_x000D_
01 18 16:36:20 294  1306  1937 E AndroidRuntime:                                                                  _x000D_
01 18 16:36:20 294  1306  1937 E AndroidRuntime: 	at android database sqlite SQLiteConnection nativeExecuteForCursorWindow(Native Method)_x000D_
01 18 16:36:20 294  1306  1937 E AndroidRuntime: 	at android database sqlite SQLiteConnection executeForCursorWindow(SQLiteConnection java:980)_x000D_
01 18 16:36:20 294  1306  1937 E AndroidRuntime: 	at android database sqlite SQLiteSession executeForCursorWindow(SQLiteSession java:836)_x000D_
01 18 16:36:20 294  1306  1937 E AndroidRuntime: 	at android database sqlite SQLiteQuery fillWindow(SQLiteQuery java:62)_x000D_
01 18 16:36:20 294  1306  1937 E AndroidRuntime: 	at android database sqlite SQLiteCursor fillWindow(SQLiteCursor java:143)_x000D_
01 18 16:36:20 294  1306  1937 E AndroidRuntime: 	at android database sqlite SQLiteCursor getCount(SQLiteCursor java:132)_x000D_
01 18 16:36:20 294  1306  1937 E AndroidRuntime: 	at android content ContentResolver query(ContentResolver java:521)_x000D_
01 18 16:36:20 294  1306  1937 E AndroidRuntime: 	at android content ContentResolver query(ContentResolver java:445)_x000D_
01 18 16:36:20 294  1306  1937 E AndroidRuntime: 	at org inaturalist android INaturalistService syncObservationFields(INaturalistService java:2313)_x000D_
01 18 16:36:20 294  1306  1937 E AndroidRuntime: 	at org inaturalist android INaturalistService syncObservations(INaturalistService java:802)_x000D_
01 18 16:36:20 294  1306  1937 E AndroidRuntime: 	at org inaturalist android INaturalistService onHandleIntent(INaturalistService java:758)_x000D_
01 18 16:36:20 294  1306  1937 E AndroidRuntime: 	at android app IntentService ServiceHandler handleMessage(IntentService java:66)_x000D_
01 18 16:36:20 294  1306  1937 E AndroidRuntime: 	at android os Handler dispatchMessage(Handler java:102)_x000D_
01 18 16:36:20 294  1306  1937 E AndroidRuntime: 	at android os Looper loop(Looper java:158)_x000D_
01 18 16:36:20 294  1306  1937 E AndroidRuntime: 	at android os HandlerThread run(HandlerThread java:61)_x000D_
01 18 16:36:20 304  1306  1313 E System  : Uncaught exception thrown by finalizer_x000D_
01 18 16:36:20 304  1306  1313 E System  : java lang NullPointerException: Attempt to invoke virtual method  boolean java io File renameTo(java io File)  on a null object reference_x000D_
01 18 16:36:20 304  1306  1313 E System  : 	at com crashlytics android core ClsFileOutputStream close(ClsFileOutputStream java:56)_x000D_
01 18 16:36:20 304  1306  1313 E System  : 	at java io FileOutputStream finalize(FileOutputStream java:152)_x000D_
01 18 16:36:20 304  1306  1313 E System  : 	at java lang Daemons FinalizerDaemon doFinalize(Daemons java:217)_x000D_
01 18 16:36:20 304  1306  1313 E System  : 	at java lang Daemons FinalizerDaemon run(Daemons java:200)_x000D_
01 18 16:36:20 304  1306  1313 E System  : 	at java lang Thread run(Thread java:818)_x000D_
01 18 16:36:20 304  1306  1313 W CursorWrapperInner: Cursor finalized without prior close()_x000D_
01 18 16:36:20 314  1306  1313 W CursorWrapperInner: Cursor finalized without prior close()_x000D_
01 18 16:36:20 314  1306  1313 W CursorWrapperInner: Cursor finalized without prior close()_x000D_
01 18 16:36:20 314  1306  1313 W CursorWrapperInner: Cursor finalized without prior close()_x000D_
01 18 16:36:20 324  1306  1313 W CursorWrapperInner: Cursor finalized without prior close()_x000D_
01 18 16:36:20 324  1306  1313 W CursorWrapperInner: Cursor finalized without prior close()_x000D_
01 18 16:36:20 324  1306  1313 W CursorWrapperInner: Cursor finalized without prior close()_x000D_
01 18 16:36:20 324  1306  1313 W CursorWrapperInner: Cursor finalized without prior close()_x000D_
01 18 16:36:20 334  1306  1313 W CursorWrapperInner: Cursor finalized without prior close()_x000D_
01 18 16:36:20 334  1306  1313 W CursorWrapperInner: Cursor finalized without prior close()_x000D_
01 18 16:36:20 334  1306  1313 W CursorWrapperInner: Cursor finalized without prior close()_x000D_
01 18 16:36:20 334  1306  1313 W CursorWrapperInner: Cursor finalized without prior close()_x000D_
01 18 16:36:20 344  1306  1313 W CursorWrapperInner: Cursor finalized without prior close()_x000D_
01 18 16:36:20 344  1306  1313 W CursorWrapperInner: Cursor finalized without prior close()_x000D_
01 18 16:36:20 354  1306  1313 W CursorWrapperInner: Cursor finalized without prior close()_x000D_
01 18 16:36:20 354  1306  1313 W CursorWrapperInner: Cursor finalized without prior close()_x000D_
01 18 16:36:20 354  1306  1313 W CursorWrapperInner: Cursor finalized without prior close()_x000D_
01 18 16:36:20 354  1306  1313 W CursorWrapperInner: Cursor finalized without prior close()_x000D_
   </t>
  </si>
  <si>
    <t>jklmnn-ParkenDD-38</t>
  </si>
  <si>
    <t>Crash on search.</t>
  </si>
  <si>
    <t xml:space="preserve">App crashed on search string  Dresden Zentrum  </t>
  </si>
  <si>
    <t>alexstyl-Memento-Calendar-83</t>
  </si>
  <si>
    <t>Birthday on February 29,2017 is not displayed</t>
  </si>
  <si>
    <t xml:space="preserve">     Short Description_x000D_
_x000D_
 App currently in Play Store crashes on Marshmallow  custom rom _x000D_
_x000D_
      Steps to reproduce_x000D_
 1  Open app from home screen s icon_x000D_
FYI: There s a contact that has his birthday on 29th of february _x000D_
_x000D_
      Resulted in_x000D_
App crashes _x000D_
_x000D_
   More details in case that could matter: My XPeria Z was acting fishy and especially gave a lot of bluetooth problems  That much that my bluetooth headset stopped working  Before buying another phone  I decided to unlock the bootloader and flash another rom  I chose StryFlex   an AOSP Marshmallow based ROM  based on the original Sony rom for the XPeria ZX  The phone is working smoothly now and I have no more issues  _x000D_
 _x000D_
   Except for Memento   _x000D_
_x000D_
I checked out the most recent code  build and installed that one to see whether I could solve the problem myself  But that build works smoothly    except for the fact that the contact isn t displayed  _x000D_
_x000D_
FYI: I am using dummy  crashlyticsKey    androidVendingKey  and  mixpanelKey  here and I even commented out  apply plugin:  com google gms google services   in mobile build gradle to work around the missing  google services json   So maybe the error is somewhere inthere _x000D_
_x000D_
So I sent the crash report anyway  Maybe you can find the cause    Since it s obfuscated  I can t read the stacktrace : )_x000D_
_x000D_
At the end of this post is the logcat   for the app installed using the Google Play Store    I included the entire logcat from the moment I start the application  not just the exception_x000D_
_x000D_
For now  I m going to install your  all events create event  branch on my phone  for which I m very grateful : )_x000D_
_x000D_
      logcat_x000D_
   _x000D_
01 21 14:11:42 064 645 3717 system process I ActivityManager: START u0  act android intent action MAIN cat  android intent category LAUNCHER  flg 0x10200000 cmp com alexstyl specialdates  ui activity MainActivity (has extras)  from uid 10117 on display 0_x000D_
01 21 14:11:42 347 645 21331 system process I ActivityManager: Start proc 30884:com alexstyl specialdates u0a187 for activity com alexstyl specialdates  ui activity MainActivity_x000D_
01 21 14:11:42 465 30884 30884 com alexstyl specialdates W System: ClassLoader referenced unknown path:  data app com alexstyl specialdates 1 lib arm_x000D_
01 21 14:11:42 494 30884 30884 com alexstyl specialdates D FirebaseApp: com google firebase auth FirebaseAuth is not linked  Skipping initialization _x000D_
01 21 14:11:42 503 30884 30884 com alexstyl specialdates D FirebaseApp: com google firebase crash FirebaseCrash is not linked  Skipping initialization _x000D_
01 21 14:11:42 523 30884 30884 com alexstyl specialdates I FA: App measurement is starting up  version: 9683_x000D_
01 21 14:11:42 524 30884 30884 com alexstyl specialdates I FA: To enable debug logging run: adb shell setprop log tag FA VERBOSE_x000D_
01 21 14:11:42 551 30884 30884 com alexstyl specialdates I FA: To enable faster debug mode event logging run:_x000D_
                                                                 adb shell setprop firebase analytics debug mode com alexstyl specialdates_x000D_
01 21 14:11:42 568 30884 30884 com alexstyl specialdates I FirebaseInitProvider: FirebaseApp initialization successful_x000D_
01 21 14:11:42 642 30884 30884 com alexstyl specialdates W d: diskCache() and diskCacheFileNameGenerator() calls overlap each other_x000D_
01 21 14:11:42 733 30884 30884 com alexstyl specialdates I CrashlyticsCore: Initializing Crashlytics 2 3 8 97_x000D_
01 21 14:11:42 785 30884 30895 com alexstyl specialdates I art: Background partial concurrent mark sweep GC freed 17599(1282KB) AllocSpace objects  18(360KB) LOS objects  72  free  1565KB 5MB  paused 14 007ms total 40 679ms_x000D_
01 21 14:11:42 841 30884 30913 com alexstyl specialdates W System: ClassLoader referenced unknown path:  system framework tcmclient jar_x000D_
01 21 14:11:42 939 30884 30884 com alexstyl specialdates W MixpanelAPI RsrcReader: Can t load names for Android view ids from  com alexstyl specialdates R id   ids by name will not be available in the events editor _x000D_
01 21 14:11:42 939 30884 30884 com alexstyl specialdates I MixpanelAPI RsrcReader: You may be missing a Resources class for your package due to your proguard configuration  or you may be using an applicationId in your build that isn t the same as the package declared in your AndroidManifest xml file _x000D_
                                                                                   If you re using proguard  you can fix this issue by adding the following to your proguard configuration:_x000D_
                                                                                   _x000D_
                                                                                    keep class    R    _x000D_
                                                                                        fields  _x000D_
                                                                                    _x000D_
                                                                                   _x000D_
                                                                                   If you re not using proguard  or if your proguard configuration already contains the directive above  you can add the following to your AndroidManifest xml file to explicitly point the Mixpanel library to the appropriate library for your resources class:_x000D_
                                                                                   _x000D_
                                                                                    meta data android:name  com mixpanel android MPConfig ResourcePackageName  android:value  YOUR PACKAGE NAME    _x000D_
                                                                                   _x000D_
                                                                                   where YOUR PACKAGE NAME is the same string you use for the  package  attribute in your  manifest  tag _x000D_
01 21 14:11:42 970 30884 30884 com alexstyl specialdates D MixpanelAPI AL: To enable App Links tracking android support v4 must be installed: getInstance  class android content Context _x000D_
01 21 14:11:42 971 30884 30884 com alexstyl specialdates D MixpanelAPI AL: Please install the Bolts library    1 1 2 to track App Links: bolts AppLinks_x000D_
01 21 14:11:43 125 30884 30884 com alexstyl specialdates W MixpanelAPI ConfigurationChecker: com mixpanel android surveys a is not registered as an activity in your application  so surveys can t be shown _x000D_
01 21 14:11:43 125 30884 30884 com alexstyl specialdates I MixpanelAPI ConfigurationChecker: Please add the child tag  activity android:name  com mixpanel android surveys SurveyActivity     to your  application  tag _x000D_
01 21 14:11:43 197 30884 30937 com alexstyl specialdates D OpenGLRenderer: Use EGL SWAP BEHAVIOR PRESERVED: true_x000D_
01 21 14:11:43 293 30884 30937 com alexstyl specialdates I Adreno EGL:  qeglDrvAPI eglInitialize:379 : QUALCOMM Build: 10 21 15  369a2ea  I96aee987eb_x000D_
01 21 14:11:43 297 30884 30937 com alexstyl specialdates I OpenGLRenderer: Initialized EGL  version 1 4_x000D_
01 21 14:11:43 471 645 664 system process I ActivityManager: Displayed com alexstyl specialdates  ui activity MainActivity:  1s145ms_x000D_
01 21 14:11:43 644 30884 30903 com alexstyl specialdates I FA: Tag Manager is not found and thus will not be used_x000D_
                                                               _x000D_
                                                                         beginning of crash_x000D_
01 21 14:11:45 338 30884 30935 com alexstyl specialdates E AndroidRuntime: FATAL EXCEPTION: ModernAsyncTask  1_x000D_
                                                                           Process: com alexstyl specialdates  PID: 30884_x000D_
                                                                           java lang RuntimeException: An error occurred while executing doInBackground()_x000D_
                                                                               at android support v4 b k 3 done(ModernAsyncTask java:161)_x000D_
                                                                               at java util concurrent FutureTask finishCompletion(FutureTask java:354)_x000D_
                                                                               at java util concurrent FutureTask setException(FutureTask java:223)_x000D_
                                                                               at java util concurrent FutureTask run(FutureTask java:242)_x000D_
                                                                               at java util concurrent ThreadPoolExecutor runWorker(ThreadPoolExecutor java:1113)_x000D_
                                                                               at java util concurrent ThreadPoolExecutor Worker run(ThreadPoolExecutor java:588)_x000D_
                                                                               at java lang Thread run(Thread java:818)_x000D_
                                                                            Caused by: java lang IllegalArgumentException: 29 2 2017 is invalid_x000D_
                                                                               at com alexstyl specialdates c c a(Date java:48)_x000D_
                                                                               at com alexstyl specialdates events b b a a(PeopleEventsContract java:55)_x000D_
                                                                               at com alexstyl specialdates events b b a a(PeopleEventsContract java:30)_x000D_
                                                                               at com alexstyl specialdates service a b(PeopleEventsProvider java:193)_x000D_
                                                                               at com alexstyl specialdates service a a(PeopleEventsProvider java:149)_x000D_
                                                                               at com alexstyl specialdates upcoming l B(UpcomingEventsLoader java:59)_x000D_
                                                                               at com alexstyl specialdates upcoming l d(UpcomingEventsLoader java:29)_x000D_
                                                                               at android support v4 b a e(AsyncTaskLoader java:299)_x000D_
                                                                               at android support v4 b a a a(AsyncTaskLoader java:57)_x000D_
                                                                               at android support v4 b a a a(AsyncTaskLoader java:45)_x000D_
                                                                               at android support v4 b k 2 call(ModernAsyncTask java:138)_x000D_
                                                                               at java util concurrent FutureTask run(FutureTask java:237)_x000D_
                                                                               at java util concurrent ThreadPoolExecutor runWorker(ThreadPoolExecutor java:1113) _x000D_
                                                                               at java util concurrent ThreadPoolExecutor Worker run(ThreadPoolExecutor java:588) _x000D_
                                                                               at java lang Thread run(Thread java:818) _x000D_
01 21 14:11:45 345 645 21331 system process W ActivityManager:   Force finishing activity com alexstyl specialdates  ui activity MainActivity_x000D_
01 21 14:11:45 354 30884 30893 com alexstyl specialdates W CursorWrapperInner: Cursor finalized without prior close()_x000D_
01 21 14:11:46 125 30884 30916 com alexstyl specialdates I CrashlyticsCore: Crashlytics report upload complete: 58835E0E030B 0001 78A4 2590DBC70216 cls_x000D_
_x000D_
   </t>
  </si>
  <si>
    <t>tanrabad-survey-13</t>
  </si>
  <si>
    <t xml:space="preserve">     in okhttp3 internal connection RealConnection buildConnection
  Number of crashes: 1
  Impacted devices: 1
There s a lot more information about this crash on crashlytics com:
 https:  fabric io tanrabad android apps org tanrabad survey issues 58830dda0aeb16625b5ad4f7 (https:  fabric io tanrabad android apps org tanrabad survey issues 58830dda0aeb16625b5ad4f7)</t>
  </si>
  <si>
    <t>peng8350-JPTabBar-8</t>
  </si>
  <si>
    <t>NullPointerException when declare/initialize JPTabbar in Lollipop 5.1.0</t>
  </si>
  <si>
    <t>Thanks for your awesome library  it s works in almost all device  but i have a problem when it run on Asus Fonepad 8 (Lollipop 5 1 0) it s crash and said NullPointerException at all of tabbar initialize</t>
  </si>
  <si>
    <t>kontalk-androidclient-935</t>
  </si>
  <si>
    <t xml:space="preserve">Crash by try to share a link via Browser </t>
  </si>
  <si>
    <t xml:space="preserve">    Expected behavior_x000D_
It should be possible to share a link via Firefox browser_x000D_
_x000D_
    Actual behavior_x000D_
Kontalk crashed if I try that_x000D_
_x000D_
    Steps to reproduce_x000D_
1  Open a website in Firefox (or other Browser ) _x000D_
2  Click the share sign_x000D_
3  Choose Kontalk _x000D_
4  Choose a contact_x000D_
5  Kontalk will closed_x000D_
_x000D_
    Environment_x000D_
_x000D_
Kontalk version: 4 0 0 beta6 Play store version _x000D_
_x000D_
Android version: 6 0 1 _x000D_
_x000D_
Device model: Sony Xperia M4 Aqua _x000D_
_x000D_
    Logs_x000D_
_x000D_
In a few minutes I will send a log_x000D_
</t>
  </si>
  <si>
    <t>Cloudkibo-Android-438</t>
  </si>
  <si>
    <t>URGENT: Chat List Empty</t>
  </si>
  <si>
    <t xml:space="preserve">Urgent: Chat List Empty_x000D_
_x000D_
This needs URGENT attention so you have captured the data _x000D_
_x000D_
I have been testing with 425 435 4422 and now all of a sudden I have empty chat list _x000D_
_x000D_
Prior to this I was testing receiving contacts  locations   etc   _x000D_
_x000D_
  image (https:  cloud githubusercontent com assets 5336012 22180115 b31decc2 e01b 11e6 8997 a0d0a09acbbb png)_x000D_
_x000D_
I do not know if this crash is related but we cannot lose data _x000D_
_x000D_
  image (https:  cloud githubusercontent com assets 5336012 22180120 130da0dc e01c 11e6 898e 75c3b12d7d9d png)_x000D_
_x000D_
 </t>
  </si>
  <si>
    <t>Cloudkibo-Android-437</t>
  </si>
  <si>
    <t>KiboChat crash when sending document</t>
  </si>
  <si>
    <t xml:space="preserve">KiboChat crash when sending document _x000D_
_x000D_
  image (https:  cloud githubusercontent com assets 5336012 22179753 c78afd30 e011 11e6 8a5b 511fb4a27c8a png)_x000D_
_x000D_
  image (https:  cloud githubusercontent com assets 5336012 22179733 5e40819c e011 11e6 84b6 ea6820b95f1f png)_x000D_
_x000D_
  image (https:  cloud githubusercontent com assets 5336012 22179780 4f5da956 e012 11e6 8699 a489d164d8a2 png)_x000D_
_x000D_
_x000D_
 sojharo  Do we have this test case covered in our testing _x000D_
</t>
  </si>
  <si>
    <t>dermalikmann-burning-series-4</t>
  </si>
  <si>
    <t>App crash on hoster selection</t>
  </si>
  <si>
    <t xml:space="preserve">If hoster returns an error code app crashes while trying to display a snackbar </t>
  </si>
  <si>
    <t>Cloudkibo-Android-441</t>
  </si>
  <si>
    <t>App crashes when pending group messages are synced to server</t>
  </si>
  <si>
    <t xml:space="preserve">When messages in a group are sent by turning internet off  app crashes when we reconnect the internet and app tries to sync the group messages _x000D_
_x000D_
Steps:_x000D_
1  Turn off internet in device A _x000D_
2  Open a group chat window _x000D_
3  Send some messages _x000D_
4  Reconnect the internet _x000D_
5  App crashes _x000D_
6  Relaunch the app and messages are synced _x000D_
_x000D_
First two logs in attachment are the logs for this error _x000D_
_x000D_
  screenshot from 2017 01 23 21 51 59 (https:  cloud githubusercontent com assets 16760128 22217548 38e7d318 e1c5 11e6 9dc8 17ce53899887 png)_x000D_
</t>
  </si>
  <si>
    <t>dermalikmann-burning-series-3</t>
  </si>
  <si>
    <t>Randomly occuring NullPointerException</t>
  </si>
  <si>
    <t xml:space="preserve">See screenshot for details  the app crashes without any error popup (I guess there should be one from the system normally   :confused:)_x000D_
_x000D_
  screenshot 20170123 193135 01 01 (https:  cloud githubusercontent com assets 5559994 22217323 cfd20050 e1a2 11e6 90b9 f7f3aa285938 png)_x000D_
</t>
  </si>
  <si>
    <t>elimu-ai-ml-authentication-354</t>
  </si>
  <si>
    <t>Bug: AuthenticationActivity crashes on Amazon Fire [2-4h]</t>
  </si>
  <si>
    <t xml:space="preserve">versionCode: 1003009_x000D_
_x000D_
   _x000D_
          beginning of crash_x000D_
E AndroidRuntime( 1108): FATAL EXCEPTION: main_x000D_
E AndroidRuntime( 1108): Process: org literacyapp  PID: 1108_x000D_
E AndroidRuntime( 1108): java lang RuntimeException: Unable to start activity ComponentInfo org literacyapp org literacyapp authentication AuthenticationActivity : java lang NumberFormatException: Invalid int:  null _x000D_
E AndroidRuntime( 1108): 	at android app ActivityThread performLaunchActivity(ActivityThread java:2358)_x000D_
E AndroidRuntime( 1108): 	at android app ActivityThread handleLaunchActivity(ActivityThread java:2420)_x000D_
E AndroidRuntime( 1108): 	at android app ActivityThread access 900(ActivityThread java:154)_x000D_
E AndroidRuntime( 1108): 	at android app ActivityThread H handleMessage(ActivityThread java:1321)_x000D_
E AndroidRuntime( 1108): 	at android os Handler dispatchMessage(Handler java:102)_x000D_
E AndroidRuntime( 1108): 	at android os Looper loop(Looper java:135)_x000D_
E AndroidRuntime( 1108): 	at android app ActivityThread main(ActivityThread java:5294)_x000D_
E AndroidRuntime( 1108): 	at java lang reflect Method invoke(Native Method)_x000D_
E AndroidRuntime( 1108): 	at java lang reflect Method invoke(Method java:372)_x000D_
E AndroidRuntime( 1108): 	at com android internal os ZygoteInit MethodAndArgsCaller run(ZygoteInit java:904)_x000D_
E AndroidRuntime( 1108): 	at com android internal os ZygoteInit main(ZygoteInit java:699)_x000D_
E AndroidRuntime( 1108): Caused by: java lang NumberFormatException: Invalid int:  null _x000D_
E AndroidRuntime( 1108): 	at java lang Integer invalidInt(Integer java:138)_x000D_
E AndroidRuntime( 1108): 	at java lang Integer parseInt(Integer java:358)_x000D_
E AndroidRuntime( 1108): 	at java lang Integer parseInt(Integer java:334)_x000D_
E AndroidRuntime( 1108): 	at java lang Integer valueOf(Integer java:525)_x000D_
E AndroidRuntime( 1108): 	at org literacyapp authentication helper DetectionHelper getDisplayTemperatureNight(DetectionHelper java:184)_x000D_
E AndroidRuntime( 1108): 	at org literacyapp authentication AuthenticationActivity onCreate(AuthenticationActivity java:80)_x000D_
E AndroidRuntime( 1108): 	at android app Activity performCreate(Activity java:5990)_x000D_
E AndroidRuntime( 1108): 	at android app Instrumentation callActivityOnCreate(Instrumentation java:1106)_x000D_
E AndroidRuntime( 1108): 	at android app ActivityThread performLaunchActivity(ActivityThread java:2311)_x000D_
E AndroidRuntime( 1108): 	    10 more_x000D_
I WindowManager(  470): Screen frozen for  1s17ms due to AppWindowToken 3e38cbad token Token 31dcd0c4 ActivityRecord 31ddefd7 u0 org literacyapp  authentication AuthenticationActivity t35   _x000D_
E  EGL ERROR (  134): egl image   egl create image ANDROID native buffer(egl display   egl context   EGLClientBuffer  EGLint   void ):593: CHUN try create image with crop 0 0 0 0_x000D_
E         (  134): CHUN map external image rgb 1024 x 31_x000D_
W ActivityManager(  470):   Force finishing activity 1 org literacyapp  authentication AuthenticationActivity_x000D_
   </t>
  </si>
  <si>
    <t>Joseph82-PinnedRecyclerView-Android-2</t>
  </si>
  <si>
    <t>Crash when scroll on list with no items in it</t>
  </si>
  <si>
    <t xml:space="preserve">When try to scroll on a list with no items  the library crashes_x000D_
_x000D_
Stacktrace:_x000D_
   01 23 16:15:12 289 30952 30952 gvillani it pinnedlistdemo E AndroidRuntime: FATAL EXCEPTION: main_x000D_
                                                                            Process: gvillani it pinnedlistdemo  PID: 30952_x000D_
                                                                            java lang ArrayIndexOutOfBoundsException: length 0  index  1_x000D_
                                                                                at java util ArrayList get(ArrayList java:310)_x000D_
                                                                                at com gvillani pinnedlist GroupListWrapper getItemPinned(GroupListWrapper java:56)_x000D_
                                                                                at com gvillani pinnedlist PinnedAdapter getItem(PinnedAdapter java:66)_x000D_
                                                                                at com gvillani pinnedlist PinBehavior updatePinContent(PinBehavior java:288)_x000D_
                                                                                at com gvillani pinnedlist PinBehavior initPin(PinBehavior java:315)_x000D_
                                                                                at com gvillani pinnedlist PinBehavior onNestedPreScroll(PinBehavior java:186)_x000D_
                                                                                at android support design widget CoordinatorLayout onNestedPreScroll(CoordinatorLayout java:1743)_x000D_
                                                                                at android support v4 view ViewParentCompatLollipop onNestedPreScroll(ViewParentCompatLollipop java:70)_x000D_
                                                                                at android support v4 view ViewParentCompat ViewParentCompatLollipopImpl onNestedPreScroll(ViewParentCompat java:184)_x000D_
                                                                                at android support v4 view ViewParentCompat onNestedPreScroll(ViewParentCompat java:353)_x000D_
                                                                                at android support v4 view NestedScrollingChildHelper dispatchNestedPreScroll(NestedScrollingChildHelper java:209)_x000D_
                                                                                at android support v7 widget RecyclerView dispatchNestedPreScroll(RecyclerView java:10162)_x000D_
                                                                                at android support v7 widget RecyclerView onTouchEvent(RecyclerView java:2723)_x000D_
                                                                                at android view View dispatchTouchEvent(View java:9993)_x000D_
                                                                                at android view ViewGroup dispatchTransformedTouchEvent(ViewGroup java:2828)_x000D_
                                                                                at android view ViewGroup dispatchTouchEvent(ViewGroup java:2499)_x000D_
                                                                                at android view ViewGroup dispatchTransformedTouchEvent(ViewGroup java:2839)_x000D_
                                                                                at android view ViewGroup dispatchTouchEvent(ViewGroup java:2514)_x000D_
                                                                                at android view ViewGroup dispatchTransformedTouchEvent(ViewGroup java:2839)_x000D_
                                                                                at android view ViewGroup dispatchTouchEvent(ViewGroup java:2514)_x000D_
                                                                                at android view ViewGroup dispatchTransformedTouchEvent(ViewGroup java:2839)_x000D_
                                                                                at android view ViewGroup dispatchTouchEvent(ViewGroup java:2514)_x000D_
                                                                                at android view ViewGroup dispatchTransformedTouchEvent(ViewGroup java:2839)_x000D_
                                                                                at android view ViewGroup dispatchTouchEvent(ViewGroup java:2514)_x000D_
                                                                                at android view ViewGroup dispatchTransformedTouchEvent(ViewGroup java:2839)_x000D_
                                                                                at android view ViewGroup dispatchTouchEvent(ViewGroup java:2514)_x000D_
                                                                                at android view ViewGroup dispatchTransformedTouchEvent(ViewGroup java:2839)_x000D_
                                                                                at android view ViewGroup dispatchTouchEvent(ViewGroup java:2514)_x000D_
                                                                                at com android internal policy PhoneWindow DecorView superDispatchTouchEvent(PhoneWindow java:2831)_x000D_
                                                                                at com android internal policy PhoneWindow superDispatchTouchEvent(PhoneWindow java:1863)_x000D_
                                                                                at android app Activity dispatchTouchEvent(Activity java:3046)_x000D_
                                                                                at android support v7 view WindowCallbackWrapper dispatchTouchEvent(WindowCallbackWrapper java:67)_x000D_
                                                                                at android support v7 view WindowCallbackWrapper dispatchTouchEvent(WindowCallbackWrapper java:67)_x000D_
                                                                                at com android internal policy PhoneWindow DecorView dispatchTouchEvent(PhoneWindow java:2792)_x000D_
                                                                                at android view View dispatchPointerEvent(View java:10228)_x000D_
                                                                                at android view ViewRootImpl ViewPostImeInputStage processPointerEvent(ViewRootImpl java:5350)_x000D_
                                                                                at android view ViewRootImpl ViewPostImeInputStage onProcess(ViewRootImpl java:5186)_x000D_
                                                                                at android view ViewRootImpl InputStage deliver(ViewRootImpl java:4626)_x000D_
                                                                                at android view ViewRootImpl InputStage onDeliverToNext(ViewRootImpl java:4679)_x000D_
                                                                                at android view ViewRootImpl InputStage forward(ViewRootImpl java:4645)_x000D_
                                                                                at android view ViewRootImpl AsyncInputStage forward(ViewRootImpl java:4787)_x000D_
                                                                                at android view ViewRootImpl InputStage apply(ViewRootImpl java:4653)_x000D_
                                                                                at android view ViewRootImpl AsyncInputStage apply(ViewRootImpl java:4844)_x000D_
                                                                                at android view ViewRootImpl InputStage deliver(ViewRootImpl java:4626)_x000D_
                                                                                at android view ViewRootImpl InputStage onDeliverToNext(ViewRootImpl java:4679)_x000D_
                                                                                at android view ViewRootImpl InputStage forward(ViewRootImpl java:4645)_x000D_
                                                                                at android view ViewRootImpl InputStage apply(ViewRootImpl java:4653)_x000D_
                                                                                at android view ViewRootImpl InputStage deliver(ViewRootImpl java:4626)_x000D_
                                                                                at android view ViewRootImpl deliverInputEvent(ViewRootImpl java:7312)_x000D_
                                                                            	at android view ViewRootImpl d_x000D_
   </t>
  </si>
  <si>
    <t>tanrabad-survey-14</t>
  </si>
  <si>
    <t xml:space="preserve">     in android support v4 app FragmentActivity onPause
  Number of crashes: 1
  Impacted devices: 1
There s a lot more information about this crash on crashlytics com:
 https:  fabric io tanrabad android apps org tanrabad survey issues 5886029b0aeb16625b6e6ce1 (https:  fabric io tanrabad android apps org tanrabad survey issues 5886029b0aeb16625b6e6ce1)</t>
  </si>
  <si>
    <t>praekeltfoundation-gem-bbb-indo-470</t>
  </si>
  <si>
    <t>ChallengePictureFragment got null from data.getData()</t>
  </si>
  <si>
    <t>Possibly fixed by Picture Challenge now using  ImageActivity _x000D_
_x000D_
     in org gem indo dooit helpers images MediaUriHelper getPath_x000D_
_x000D_
  Number of crashes: 1_x000D_
  Impacted devices: 1_x000D_
_x000D_
There s a lot more information about this crash on crashlytics com:_x000D_
 https:  fabric io retro rabbit android apps org gem indo dooit staging issues 5885a43b0aeb16625b6ba4df (https:  fabric io retro rabbit android apps org gem indo dooit staging issues 5885a43b0aeb16625b6ba4df)</t>
  </si>
  <si>
    <t>quaap-LaunchTime-4</t>
  </si>
  <si>
    <t>Crash on widget deny premission</t>
  </si>
  <si>
    <t xml:space="preserve">If you create a widget which asks for permission and you deny it  you may receive a crash like the one below   If you receive a crash like this  please let me know which widget you were adding _x000D_
_x000D_
java lang RuntimeException: Failure delivering result ResultInfo who null  request 5645  result 0  data null  to activity  com quaap launchtime com quaap launchtime MainActivity : java lang NullPointerException: Attempt to invoke virtual method  int android content Intent getIntExtra(java lang String  int)  on a null object reference_x000D_
	at android app ActivityThread deliverResults(ActivityThread java:4058)_x000D_
	at android app ActivityThread handleSendResult(ActivityThread java:4101)_x000D_
	at android app ActivityThread access 1400(ActivityThread java:177)_x000D_
	at android app ActivityThread H handleMessage(ActivityThread java:1497)_x000D_
	at android os Handler dispatchMessage(Handler java:102)_x000D_
	at android os Looper loop(Looper java:145)_x000D_
	at android app ActivityThread main(ActivityThread java:5942)_x000D_
	at java lang reflect Method invoke(Native Method)_x000D_
	at java lang reflect Method invoke(Method java:372)_x000D_
	at com android internal os ZygoteInit MethodAndArgsCaller run(ZygoteInit java:1399)_x000D_
	at com android internal os ZygoteInit main(ZygoteInit java:1194)_x000D_
	at de robv android xposed XposedBridge main(XposedBridge java:134)_x000D_
Caused by: java lang NullPointerException: Attempt to invoke virtual method  int android content Intent getIntExtra(java lang String  int)  on a null object reference_x000D_
	at com quaap launchtime widgets Widget onActivityResult(Widget java:213)_x000D_
	at com quaap launchtime MainActivity onActivityResult(MainActivity java:1334)_x000D_
</t>
  </si>
  <si>
    <t>getodk-collect-356</t>
  </si>
  <si>
    <t>ODK crashes after entering "1 Jan 1960" in Nairobi time zone</t>
  </si>
  <si>
    <t xml:space="preserve">     Software and hardware versions _x000D_
Discovered on Collect v1 4 12  Android v5 0 1  Samsung Galaxy S4_x000D_
_x000D_
     Problem description_x000D_
ODK crashes after entering  1 Jan 1960  in Nairobi time zone_x000D_
_x000D_
     Steps to reproduce the problem_x000D_
1  Change time zone to Nairobi (East Africa Time Zone (GMT 03:00))_x000D_
2  Use DateWidget or DateTimeWidget (if you use DateTimeWidget you have to set time to 00:00)_x000D_
3  Enter  1 Jan 1960 _x000D_
_x000D_
     Actual behavior_x000D_
ODK crashes _x000D_
     Other information _x000D_
  org joda time IllegalInstantException: Illegal instant due to time zone offset transition (daylight savings time  gap ): 1960 01 01T00:00:00 000 (Africa Nairobi)_x000D_
                                                                           at org joda time chrono ZonedChronology localToUTC(ZonedChronology java:157)_x000D_
                                                                           at org joda time chrono ZonedChronology getDateTimeMillis(ZonedChronology java:122)_x000D_
                                                                           at org joda time chrono AssembledChronology getDateTimeMillis(AssembledChronology java:133)_x000D_
                                                                           at org joda time base BaseDateTime  init (BaseDateTime java:257)_x000D_
                                                                           at org joda time base BaseDateTime  init (BaseDateTime java:198)_x000D_
                                                                           at org joda time DateTime  init (DateTime java:397)_x000D_
                                                                           at org odk collect android widgets DateTimeWidget getAnswer(DateTimeWidget java:295)_x000D_
                                                                           at org odk collect android views ODKView getAnswers(ODKView java:265)_x000D_
                                                                           at org odk collect android activities FormEntryActivity saveAnswersForCurrentScreen(FormEntryActivity java:918)_x000D_
                                                                           at org odk collect android activities FormEntryActivity showNextView(FormEntryActivity java:1282)_x000D_
                                                                           at org odk collect android activities FormEntryActivity onFling(FormEntryActivity java:2789)_x000D_
                                                                           at android view GestureDetector onTouchEvent(GestureDetector java:620)_x000D_
                                                                           at org odk collect android activities FormEntryActivity dispatchTouchEvent(FormEntryActivity java:1255)_x000D_
_x000D_
This has also been reproduced with:_x000D_
  the Sao Paulo time zone and  16 Oct 2016  as the date ( here (https:  github com opendatakit collect issues 227 issuecomment 275272870)  note also the crazy calendar issues which may or may not be related)_x000D_
  an unspecified time zone and May 01 1990 in issue  145 _x000D_
  the Peru time zone and  1 Jan 1990 1994 1986 1987  in  217 </t>
  </si>
  <si>
    <t>square-okhttp-3135</t>
  </si>
  <si>
    <t>SecurityException: Failed to read sufficient bytes from /dev/urandom</t>
  </si>
  <si>
    <t>In our app we are using OkHttp WebSockets from ReactNative  And sometimes okhttp ws  WebSocketCall create method crash with  SecurityException: Failed to read sufficient bytes from  dev urandom  Expected: 1024  actual: 0 _x000D_
_x000D_
The crash happens only on Android 5 x x  After some source codes research I found out that in Android 5 x x other Security Provider   OpenSSL than is used in Android 4 x and Android 6 _x000D_
_x000D_
OpenSSL uses RAND load file function (https:  github com openssl openssl blob 6974fca49d9d0b110c02c83a7bbe01907472ac5e crypto rand randfile c) to read entropy stored in file  dev urandom in order to initialize pseudo random number generator with a truly random seed  Apparently in some cases either file can t be opened for read or only 0 bytes are read  _x000D_
_x000D_
Unfortunately I can t understand the root cause why only 0 bytes are read or file fails to be opened _x000D_
_x000D_
However  I think that in WebSocketCall you should use not a default SecureRandom constructor  but rather instantiate SecureRandom with a more reliable Security Provider like those used in Android 4 or Android 6 (need to derive from SecureRandom and override protected constructor) _x000D_
_x000D_
  The problem reproduces on a range of Android 5 x x devices  Here s top:  _x000D_
8   Redmi Note 3	_x000D_
8   SM N9005	_x000D_
6   Lenovo A6020a40	_x000D_
5   LG H955	_x000D_
5   m2	_x000D_
69  40 other machines	_x000D_
_x000D_
  Here s the complete exception stacktrace:  _x000D_
com android org conscrypt OpenSSLRandom seedOpenSSLPRNGFromLinuxRNG in OpenSSLRandom java::75_x000D_
com android org conscrypt OpenSSLRandom selfSeedIfNotSeeded in OpenSSLRandom java::61_x000D_
com android org conscrypt OpenSSLRandom engineNextBytes in OpenSSLRandom java::37_x000D_
java security SecureRandom nextBytes in SecureRandom java::271_x000D_
okhttp3 ws WebSocketCall  init  in WebSocketCall java::64_x000D_
okhttp3 ws WebSocketCall  init  in WebSocketCall java::54_x000D_
okhttp3 ws WebSocketCall create in WebSocketCall java::46_x000D_
com facebook react modules websocket WebSocketModule connect in WebSocketModule java::115_x000D_
java lang reflect Method invoke in Method java:: 2_x000D_
java lang reflect Method invoke in Method java::372_x000D_
com facebook react bridge BaseJavaModule JavaMethod invoke in BaseJavaModule java::319_x000D_
com facebook react cxxbridge JavaModuleWrapper invoke in JavaModuleWrapper java::139_x000D_
com facebook react bridge queue NativeRunnable run in NativeRunnable java:: 2_x000D_
android os Handler handleCallback in Handler java::815_x000D_
android os Handler dispatchMessage in Handler java::104_x000D_
com facebook react bridge queue MessageQueueThreadHandler dispatchMessage in MessageQueueThreadHandler java::31_x000D_
android os Looper loop in Looper java::194_x000D_
com facebook react bridge queue MessageQueueThreadImpl 3 run in MessageQueueThreadImpl java::196_x000D_
java lang Thread run in Thread java::831</t>
  </si>
  <si>
    <t>Fleker-CumulusTV-241</t>
  </si>
  <si>
    <t>m3u import, google drive crash latest beta</t>
  </si>
  <si>
    <t xml:space="preserve">using cumulus 1 7 2 beta and android tv 6 0 1 (Mibox) when trying to import m3u standard format :_x000D_
_x000D_
 EXTINF: 1 tvg ID    tvg name  channel  tvg logo    group title  group 1  channel_x000D_
http:  s xxx com:8000 live xxx xxx 1 ts_x000D_
_x000D_
cumulus is crashing   while :_x000D_
_x000D_
 EXTINF: 1  channel_x000D_
http:  s xxx com:8000 live xxx xxx 1 ts_x000D_
_x000D_
is working  maybe because some fields are empty  _x000D_
_x000D_
also google drive is not working anymore  it crash when you try to use it  i have tried to reset app datas already_x000D_
_x000D_
i will try to send bugreports next time that i will use the app </t>
  </si>
  <si>
    <t>osmdroid-osmdroid-550</t>
  </si>
  <si>
    <t xml:space="preserve">On Location changed error </t>
  </si>
  <si>
    <t>I get this error which is making my app crash and its really a drawback in our app as it happens at critical moments: _x000D_
_x000D_
 FATAL EXCEPTION:_x000D_
java lang NullPointerException_x000D_
    at org osmdroid views overlay mylocation GpsMyLocationProvider onLocationChanged(GpsMyLocationProvider java:143)_x000D_
    at android location LocationManager ListenerTransport  handleMessage(LocationManager java:300)_x000D_
    at android location LocationManager ListenerTransport access 000(LocationManager java:215)_x000D_
    at android location LocationManager ListenerTransport 1 handleMessage(LocationManager java:231)_x000D_
    at android os Handler dispatchMessage(Handler java:102)_x000D_
    at android os Looper loop(Looper java:136)_x000D_
    at android app ActivityThread main(ActivityThread java:5333)_x000D_
    at java lang reflect Method invokeNative(Native Method)_x000D_
    at java lang reflect Method invoke(Method java:515)_x000D_
    at com android internal os ZygoteInit MethodAndArgsCaller run(ZygoteInit java:895)_x000D_
    at com android internal os ZygoteInit main(ZygoteInit java:711)_x000D_
    at dalvik system NativeStart main(Native Method)_x000D_
_x000D_
Please help me resolve it</t>
  </si>
  <si>
    <t>quaap-LaunchTime-7</t>
  </si>
  <si>
    <t>Crash on drag/removing from recent list</t>
  </si>
  <si>
    <t>An inconsistent crash like the below when dragging to remove something fro the recent list  Not reproduced yet  If anyone reproduces  leave a note here with the exact circumstances _x000D_
_x000D_
java lang NullPointerException: Attempt to invoke virtual method  java lang String com quaap launchtime components AppShortcut getActivityName()  on a null object reference_x000D_
	at com quaap launchtime MainActivity 11 removeDroppedRecentItem(MainActivity java:1198)_x000D_
	at com quaap launchtime MainActivity 11 handleDrop(MainActivity java:1133)_x000D_
	at com quaap launchtime MainActivity 11 onDrag(MainActivity java:1112)_x000D_
	at android view View dispatchDragEvent(View java:20078)_x000D_
	at android view ViewGroup dispatchDragEvent(ViewGroup java:1562)</t>
  </si>
  <si>
    <t>RestComm-restcomm-android-sdk-502</t>
  </si>
  <si>
    <t>Sporadic crash if registration with Restcomm-Connect times out</t>
  </si>
  <si>
    <t>Steps to reproduce:_x000D_
  Open Olympus with Wifi enabled_x000D_
  Turn of Wifi_x000D_
  Re enable it and make sure that the REGISTER response comes back after it times out locally_x000D_
_x000D_
If that happens the state machine messes up because the timed out job is not deleted  and we get a crash</t>
  </si>
  <si>
    <t>romandanylyk-PageIndicatorView-17</t>
  </si>
  <si>
    <t>Invisible pageIndicator issue</t>
  </si>
  <si>
    <t xml:space="preserve">Hi again  romandanylyk  Referring to an earlier case https:  github com romandanylyk PageIndicatorView issues 7_x000D_
_x000D_
If I upgrade to version 7 or higher  I get invisible indicator in my views  I get no crashes or exceptions  All properties are set  I get proper page count as well  ViewPager works fine  I can also see that the pageIndicator instance has a parent view  But still  nothing is shown  _x000D_
_x000D_
Do you perhaps have any idea what this might be  I should say that my views   layouts are defined in code only  no xml  Does pageIndicator only work with RelativeLayout or can we use anything  _x000D_
_x000D_
Version 6 and earlier works without issues  </t>
  </si>
  <si>
    <t>BenGoBlue05-UdacityAlumni-40</t>
  </si>
  <si>
    <t>App crashes on first load with IllegalArgumentException</t>
  </si>
  <si>
    <t xml:space="preserve">    Steps to reproduce_x000D_
Open the application  Shortly after loading the home page  the application will crash with the following LogCat message:_x000D_
_x000D_
   _x000D_
java lang IllegalArgumentException: n    0: 0_x000D_
    at java util Random nextInt(Random java:182)_x000D_
    at com google developer udacityalumni service AlumIntentService addArticles(AlumIntentService java:55)_x000D_
    at com google developer udacityalumni service AlumIntentService onHandleIntent(AlumIntentService java:109)_x000D_
    at android app IntentService ServiceHandler handleMessage(IntentService java:66)_x000D_
    at android os Handler dispatchMessage(Handler java:111)_x000D_
    at android os Looper loop(Looper java:207)_x000D_
    at android os HandlerThread run(HandlerThread java:61)_x000D_
   _x000D_
_x000D_
    Other Information_x000D_
_x000D_
The problem appears to be caused on this line in  AlumIntentService :_x000D_
   _x000D_
JSONArray tags   article getJSONArray(KEY TAGS) _x000D_
int ind   new Random() nextInt(tags length()) _x000D_
   _x000D_
If   tags  has a length of zero  then the application crashes as the  nextInt()  method in  Random  cannot accept zero as an argument _x000D_
_x000D_
Checking the JSON file at  http:  udacity alumni api herokuapp com api v1 articles  shows what s likely causing the problem (note the empty tags array):_x000D_
_x000D_
   _x000D_
     _x000D_
       id : 11 _x000D_
       title :  my title  _x000D_
       featured : false _x000D_
       spotlighted : true _x000D_
       content :  yo this is my story n  _x000D_
       feature image :    _x000D_
       status :  draft  _x000D_
       slug :  my title  _x000D_
       user :  _x000D_
         id : 15 _x000D_
         email :  noahedwardhall gmail com  _x000D_
         created at :  2017 01 25T09:33:40 858Z  _x000D_
         updated at :  2017 01 25T09:43:34 337Z  _x000D_
         name :  noah hall  _x000D_
         avatar : null _x000D_
         role :  user  _x000D_
         bio :    _x000D_
         public : true_x000D_
        _x000D_
       created at :  2017 01 25T10:41:15 683Z  _x000D_
       updated at :  2017 01 25T10:41:15 709Z  _x000D_
       tags :  _x000D_
        _x000D_
       _x000D_
      _x000D_
   </t>
  </si>
  <si>
    <t>HellPie-dev.hellpie.apps.music09-1</t>
  </si>
  <si>
    <t>Instant crash/close on launch</t>
  </si>
  <si>
    <t xml:space="preserve">Using Android 7 1 on a rooted Nexus 6P:_x000D_
When opening the application a window opens indicating that the application is starting  After a split second the window closes  The first time this happened there were a window telling the application had crashed  This was without any audio files on the device  Second test was with a singular mp3 file located in the  Music directory in the user folder  This time the same happened but now with no message that the application had crashed  Not sure whether this is important to the issue or if it is just a android 7 feature </t>
  </si>
  <si>
    <t>tanrabad-survey-15</t>
  </si>
  <si>
    <t xml:space="preserve">     in android support v4 app FragmentManagerImpl execPendingActions
  Number of crashes: 1
  Impacted devices: 1
There s a lot more information about this crash on crashlytics com:
 https:  fabric io tanrabad android apps org tanrabad survey issues 588804d90aeb16625b7d9326 (https:  fabric io tanrabad android apps org tanrabad survey issues 588804d90aeb16625b7d9326)</t>
  </si>
  <si>
    <t>praekeltfoundation-gem-bbb-indo-501</t>
  </si>
  <si>
    <t>Context null in TargetFragment</t>
  </si>
  <si>
    <t>An asynchronous callback attempted to use the null context_x000D_
_x000D_
     in org gem indo dooit views main fragments target TargetFragment 2 1 run_x000D_
_x000D_
  Number of crashes: 1_x000D_
  Impacted devices: 1_x000D_
_x000D_
There s a lot more information about this crash on crashlytics com:_x000D_
 https:  fabric io retro rabbit android apps org gem indo dooit issues 588a78730aeb16625b90d3a0 (https:  fabric io retro rabbit android apps org gem indo dooit issues 588a78730aeb16625b90d3a0)</t>
  </si>
  <si>
    <t>WycliffeAssociates-translationRecorder-800</t>
  </si>
  <si>
    <t>BUG -  alien files or folders that reside in the translationRecoder directories should not crash the app</t>
  </si>
  <si>
    <t>Scenario:_x000D_
_x000D_
Introduction of folders that do not follow the expected folder structure will cause the app to crash when the parent directory is asked to expand in the TR app</t>
  </si>
  <si>
    <t>journeyapps-zxing-android-embedded-272</t>
  </si>
  <si>
    <t>IllegalStateException: CameraInstance is not open</t>
  </si>
  <si>
    <t xml:space="preserve">     Description of the problem:_x000D_
Encountered a crash on using your library  Crash log is as follows:_x000D_
IllegalStateException: CameraInstance is not open_x000D_
  Module  com journeyapps barcodescanner v   line 38  in handleMessage_x000D_
  Module  com journeyapps barcodescanner u   line 22  in a_x000D_
  Module  com journeyapps barcodescanner u   line 162  in b_x000D_
  Module  com journeyapps barcodescanner u   line 118  in c_x000D_
  Module  com journeyapps barcodescanner a e   line 143  in a_x000D_
_x000D_
Apologies as our code is obfuscated but the app occured on your library_x000D_
_x000D_
_x000D_
  Which library version are you using    E g  3 2 0 _x000D_
3 1 0_x000D_
_x000D_
  Which phone tablet are you using  and which Android version does it run  (e g  Samsung Galaxy S5 _x000D_
  Android 5 0)  _x000D_
_x000D_
  Does the same happen on other devices or an emulator   _x000D_
_x000D_
  Can you reproduce the issue in the sample project included with the library  If not  can you_x000D_
  provide your own sample project or sample code that produces this error   _x000D_
_x000D_
  In the case of an error do you have a stack trace or adb logs   _x000D_
Encountered a crash on using your library  Crash log is as follows:_x000D_
IllegalStateException: CameraInstance is not open_x000D_
  Module  com journeyapps barcodescanner v   line 38  in handleMessage_x000D_
  Module  com journeyapps barcodescanner u   line 22  in a_x000D_
  Module  com journeyapps barcodescanner u   line 162  in b_x000D_
  Module  com journeyapps barcodescanner u   line 118  in c_x000D_
  Module  com journeyapps barcodescanner a e   line 143  in a_x000D_
_x000D_
    _x000D_
If you have an issue scanning specific barcodes  please test with the Barcode Scanner application _x000D_
available on the Play Store: https:  play google com store apps details id com google zxing client android hl en_x000D_
_x000D_
If you are also not able to scan the barcode there  the issue may be with the underlying zxing library _x000D_
in which case you should report the issue here: https:  github com zxing zxing issues_x000D_
   _x000D_
_x000D_
    _x000D_
If you have a question on usage of the library  please check the documentation and sample_x000D_
application first:_x000D_
_x000D_
_x000D_
https:  github com journeyapps zxing android embedded blob master README md_x000D_
https:  github com journeyapps zxing android embedded blob master EMBEDDING md_x000D_
https:  github com journeyapps zxing android embedded tree master sample src main java example zxing_x000D_
   _x000D_
_x000D_
</t>
  </si>
  <si>
    <t>HutchBusinessGroup-ELDv3.0-65</t>
  </si>
  <si>
    <t>Inspector Mode Crash</t>
  </si>
  <si>
    <t>Clicking on inspector mode causes a crash of ELD App</t>
  </si>
  <si>
    <t>quaap-LaunchTime-9</t>
  </si>
  <si>
    <t>Cursor error after running for a while</t>
  </si>
  <si>
    <t xml:space="preserve">After a period of use a crash may occur with an exception mentioning a cursor error  such as  android database CursorWindowAllocationException: Cursor window allocation of 2048 kb failed    _x000D_
_x000D_
Root cause: failure to close all cursors  Will be fixed in next release </t>
  </si>
  <si>
    <t>quaap-LaunchTime-10</t>
  </si>
  <si>
    <t>Categories can be dragged to paces they shouldn't</t>
  </si>
  <si>
    <t xml:space="preserve">You can accidentally drag a category onto the icon screen or the quickbar  sometimes resulting in a crash </t>
  </si>
  <si>
    <t>shymmq-librus-client-50</t>
  </si>
  <si>
    <t>Crash when entering to timetable</t>
  </si>
  <si>
    <t xml:space="preserve">_x000D_
  image (http:  im ezgif com tmp ezgif com c6957ac18a gif)_x000D_
_x000D_
 01 29 23:25:30 191 30889 30889 pl librus client E UncaughtException: java lang NullPointerException: Attempt to invoke virtual method  int java util ArrayList size()  on a null object reference_x000D_
                                                                         at android support v4 app FragmentManagerImpl getFragment(FragmentManager java:872)_x000D_
                                                                         at android support v4 app FragmentStatePagerAdapter restoreState(FragmentStatePagerAdapter java:215)_x000D_
                                                                         at android support v4 view ViewPager onRestoreInstanceState(ViewPager java:1481)_x000D_
                                                                         at android view View dispatchRestoreInstanceState(View java:15755)_x000D_
                                                                         at android view ViewGroup dispatchRestoreInstanceState(ViewGroup java:3231)_x000D_
                                                                         at android view ViewGroup dispatchRestoreInstanceState(ViewGroup java:3237)_x000D_
                                                                         at android view View restoreHierarchyState(View java:15733)_x000D_
                                                                         at android support v4 app Fragment restoreViewState(Fragment java:470)_x000D_
                                                                         at android support v4 app FragmentManagerImpl moveToState(FragmentManager java:1326)_x000D_
                                                                         at android support v4 app FragmentManagerImpl moveFragmentsToInvisible(FragmentManager java:2323)_x000D_
                                                                         at android support v4 app FragmentManagerImpl executeOpsTogether(FragmentManager java:2136)_x000D_
                                                                         at android support v4 app FragmentManagerImpl optimizeAndExecuteOps(FragmentManager java:2092)_x000D_
                                                                         at android support v4 app FragmentManagerImpl execPendingActions(FragmentManager java:1998)_x000D_
                                                                         at android support v4 app FragmentManagerImpl 1 run(FragmentManager java:709)_x000D_
                                                                         at android os Handler handleCallback(Handler java:751)_x000D_
                                                                         at android os Handler dispatchMessage(Handler java:95)_x000D_
                                                                         at android os Looper loop(Looper java:154)_x000D_
                                                                         at android app ActivityThread main(ActivityThread java:6176)_x000D_
                                                                         at java lang reflect Method invoke(Native Method)_x000D_
                                                                         at com android internal os ZygoteInit MethodAndArgsCaller run(ZygoteInit java:888)_x000D_
                                                                         at com android internal os ZygoteInit main(ZygoteInit java:778)_x000D_
01 29 23:25:30 228 30889 31033 pl librus client I DynamiteModule: Considering local module com google android gms tagmanager:8 and remote module com google android gms tagmanager:8_x000D_
01 29 23:25:30 228 30889 31033 pl librus client I DynamiteModule: Selected local version of com google android gms tagmanager_x000D_
01 29 23:25:30 283 30889 31033   W GoogleTagManager: No container asset found in  assets containers  Checking top level  assets directory for container assets _x000D_
01 29 23:25:30 284 30889 31033   W GoogleTagManager: Tag Manager s event handler WILL NOT be installed (no container loaded)_x000D_
01 29 23:25:30 285 30889 31033   I GoogleTagManager: Tag Manager initilization took 3ms_x000D_
01 29 23:25:30 290 30889 31033   D FA: Logging event (FE):  ae  Bundle   o crash   sc MainActivity   si  4018912270804065806  timestamp 1485728730191  fatal 1  _x000D_
01 29 23:25:30 474 30889 30889   E AndroidRuntime: FATAL EXCEPTION: main_x000D_
                                                   Process: pl librus client  PID: 30889_x000D_
                                                   java lang NullPointerException: Attempt to invoke virtual method  int java util ArrayList size()  on a null object reference_x000D_
                                                       at android support v4 app FragmentManagerImpl getFragment(FragmentManager java:872)_x000D_
                                                       at android support v4 app FragmentStatePagerAdapter restoreState(FragmentStatePagerAdapter java:215)_x000D_
                                                       at android support v4 view ViewPager onRestoreInstanceState(ViewPager java:1481)_x000D_
                                                       at android view View dispatchRestoreInstanceState(View java:15755)_x000D_
                                                       at android view ViewGroup dispatchRestoreInstanceState(ViewGroup java:3231)_x000D_
                                                       at android view ViewGroup dispatchRestoreInstanceState(ViewGroup java:3237)_x000D_
                                                       at android view View restoreHierarchyState(View java:15733)_x000D_
                                                       at android support v4 app Fragment restoreViewState(Fragment java:470)_x000D_
                                                       at android support v4 app FragmentManagerImpl moveToState(FragmentManager java:1326)_x000D_
                                                       at android support v4 app FragmentManagerImpl moveFragmentsToInvisible(FragmentManager java:2323)_x000D_
                                                       at android support v4 app FragmentManagerImpl executeOpsTogether(FragmentManager java:2136)_x000D_
                                                       at android support v4 app FragmentManagerImpl optimizeAndExecuteOps(FragmentManager java:2092)_x000D_
                                                       at android support v4 app FragmentManagerImpl execPendingActions(FragmentManager java:1998)_x000D_
                                                       at android support v4 app FragmentManagerImpl 1 run(FragmentManager java:709)_x000D_
                                                       at android os Handler handleCallback(Handler java:751)_x000D_
                                                       at android os Handler dispatchMessage(Handler java:95)_x000D_
                                                       at android os Looper loop(Looper java:154)_x000D_
                                                       at android app ActivityThread main(ActivityThread java:6176)_x000D_
                                                       at java lang reflect Method invoke(Native Method)_x000D_
                                                       at com android internal os ZygoteInit MethodAndArgsCaller run(ZygoteInit java:888)_x000D_
                                                       at com android internal os ZygoteInit main(ZygoteInit java:778)_x000D_
01 29 23:25:30 486 30889 30889   I Process: Sending signal  PID: 30889 SIG: 9_x000D_
    </t>
  </si>
  <si>
    <t>wallabag-android-app-410</t>
  </si>
  <si>
    <t>wallabag app crashes when "Cache in article embedded images" enabled</t>
  </si>
  <si>
    <t xml:space="preserve">I m using the latest version of the Android app with wallabag it _x000D_
_x000D_
This morning  I saw the update and I went in my settings to enable  Cache in article embedded images   Immediately after that the application crashes with  wallabag has stopped   _x000D_
_x000D_
Now the application crashes when I try to synchronise with the  reload  button in the menu and sometimes crashes when I open it _x000D_
_x000D_
If I disable the  Cache in article embedded images  settings  everything is working fine again </t>
  </si>
  <si>
    <t>emcorrales-location-spoofer-android-4</t>
  </si>
  <si>
    <t>Fix Provider "gps" unknown.</t>
  </si>
  <si>
    <t>Device crashing _x000D_
  Replication  : Restart device then start the app  Spoof with the form  Crash occurs _x000D_
  Devices  : Sony E5603 Marshmallow  Huawei Nexus 6P  Nexus 6P emulator_x000D_
  Android Version  : 6 0  7 1 1_x000D_
_x000D_
_x000D_
_x000D_
Fatal Exception: java lang IllegalArgumentException: Provider  gps  unknown_x000D_
       at android os Parcel readException(Parcel java:1688)_x000D_
       at android os Parcel readException(Parcel java:1637)_x000D_
       at android location ILocationManager Stub Proxy setTestProviderLocation(ILocationManager java:1160)_x000D_
       at android location LocationManager setTestProviderLocation(LocationManager java:1291)_x000D_
       at com emmanuelcorrales locationspoofer activities MainActivity mockLocation(MainActivity java:202)_x000D_
       at com emmanuelcorrales locationspoofer activities MainActivity mockLocation(MainActivity java:190)_x000D_
       at com emmanuelcorrales locationspoofer activities MainActivity access 000(MainActivity java:34)_x000D_
       at com emmanuelcorrales locationspoofer activities MainActivity 1 onClick(MainActivity java:121)_x000D_
       at android support v7 app AlertController ButtonHandler handleMessage(AlertController java:157)_x000D_
       at android os Handler dispatchMessage(Handler java:102)_x000D_
       at android os Looper loop(Looper java:154)_x000D_
       at android app ActivityThread main(ActivityThread java:6119)_x000D_
       at java lang reflect Method invoke(Method java)_x000D_
       at com android internal os ZygoteInit MethodAndArgsCaller run(ZygoteInit java:886)_x000D_
       at com android internal os ZygoteInit main(ZygoteInit java:776)</t>
  </si>
  <si>
    <t>Mishiranu-Dashchan-112</t>
  </si>
  <si>
    <t>Highlighting the bottom post of a threads crashes the app</t>
  </si>
  <si>
    <t xml:space="preserve">Device: HTC 10  Android 7 0_x000D_
_x000D_
If I try to double tap the bottom last post of a thread to select its text  the app crashes sometimes  </t>
  </si>
  <si>
    <t>aws-amplify-aws-sdk-android-249</t>
  </si>
  <si>
    <t>NullPointerException in KinesisRecorder.submitAllRecords()</t>
  </si>
  <si>
    <t xml:space="preserve">I am investigating a crash caused by  NullPointerException  coming from  KinesisRecorder submitAllRecords()   SDK version is 2 3 3  we are using core and Kinesis libraries  devices: from 4 x to 6 x (maybe 7 x too) _x000D_
_x000D_
Here s the stack trace:_x000D_
   _x000D_
java lang NullPointerException: file    null_x000D_
at java io FileOutputStream  init (FileOutputStream java:85)_x000D_
at com amazonaws mobileconnectors kinesis kinesisrecorder FileManager newOutputStream(FileManager java:115)_x000D_
at com amazonaws mobileconnectors kinesis kinesisrecorder FileRecordStore tryInitializeWriter(FileRecordStore java:119)_x000D_
at com amazonaws mobileconnectors kinesis kinesisrecorder FileRecordStore put(FileRecordStore java:78)_x000D_
at com amazonaws mobileconnectors kinesis kinesisrecorder AbstractKinesisRecorder saveRecord(AbstractKinesisRecorder java:97)_x000D_
at com amazonaws mobileconnectors kinesis kinesisrecorder KinesisRecorder saveRecord(KinesisRecorder java:236)_x000D_
at com amazonaws mobileconnectors kinesis kinesisrecorder AbstractKinesisRecorder submitAllRecords(AbstractKinesisRecorder java:153)_x000D_
   _x000D_
It s inconsistent  but some projects also have a call to  KinesisRecorder submitAllRecords()  in a different thread _x000D_
   _x000D_
libcore io Posix getaddrinfo(Native Method)_x000D_
libcore io ForwardingOs getaddrinfo(ForwardingOs java:61)_x000D_
java net InetAddress lookupHostByName(InetAddress java:412)_x000D_
java net InetAddress getAllByNameImpl(InetAddress java:236)_x000D_
java net InetAddress getAllByName(InetAddress java:214)_x000D_
com android okhttp internal Dns 1 getAllByName(Dns java:28)_x000D_
com android okhttp internal http RouteSelector resetNextInetSocketAddress(RouteSelector java:216)_x000D_
com android okhttp internal http RouteSelector next(RouteSelector java:122)_x000D_
com android okhttp internal http HttpEngine connect(HttpEngine java:292)_x000D_
com android okhttp internal http HttpEngine sendSocketRequest(HttpEngine java:255)_x000D_
com android okhttp internal http HttpEngine sendRequest(HttpEngine java:206)_x000D_
com android okhttp internal http HttpURLConnectionImpl execute(HttpURLConnectionImpl java:345)_x000D_
com android okhttp internal http HttpURLConnectionImpl connect(HttpURLConnectionImpl java:89)_x000D_
com android okhttp internal http HttpURLConnectionImpl getOutputStream(HttpURLConnectionImpl java:197)_x000D_
com android okhttp internal http HttpsURLConnectionImpl getOutputStream(HttpsURLConnectionImpl java:254)_x000D_
com amazonaws http UrlHttpClient writeContentToConnection(UrlHttpClient java:128)_x000D_
com amazonaws http UrlHttpClient execute(UrlHttpClient java:65)_x000D_
com amazonaws http AmazonHttpClient executeHelper(AmazonHttpClient java:356)_x000D_
com amazonaws http AmazonHttpClient execute(AmazonHttpClient java:199)_x000D_
com amazonaws services kinesis AmazonKinesisClient invoke(AmazonKinesisClient java:2775)_x000D_
com amazonaws services kinesis AmazonKinesisClient putRecords(AmazonKinesisClient java:1451)_x000D_
com amazonaws mobileconnectors kinesis kinesisrecorder KinesisStreamRecordSender sendBatch(KinesisStreamRecordSender java:71)_x000D_
com amazonaws mobileconnectors kinesis kinesisrecorder AbstractKinesisRecorder submitAllRecords(AbstractKinesisRecorder java:138)_x000D_
   _x000D_
   _x000D_
I was unable to reproduce this issue  so I don t know if updating to 2 3 8 would fix the problem  However  I ve been able to crash application with the following code in SDK 2 3 3 and 2 3 8:_x000D_
   _x000D_
   Initialization_x000D_
kinesis   new KinesisRecorder(context getDir( somedir   0)  region  cognito) _x000D_
_x000D_
   Later_x000D_
for (int i   0  i   10  i  )  _x000D_
    new Thread(String format( writer  d   i))  _x000D_
         Override_x000D_
        public void run()  _x000D_
            for (    )  _x000D_
                byte   bytes   new byte 1024  _x000D_
                kinesis saveRecord(bytes  STREAM NAME) _x000D_
_x000D_
                try  _x000D_
                    mKinesis submitAllRecords() _x000D_
                  catch (AmazonClientException e)  _x000D_
                       Whatever_x000D_
                 _x000D_
                try  _x000D_
                    Thread sleep(100L) _x000D_
                  catch (InterruptedException e)  _x000D_
                    throw propagate(e) _x000D_
                 _x000D_
                kinesis submitAllRecords() _x000D_
             _x000D_
         _x000D_
      start() _x000D_
 _x000D_
   _x000D_
This is under assumption that  KinesisRecorder  does not properly synchronize calls  I don t know if it is the same problem  This code crashes when device is offline  Stack trace is missing though   _x000D_
</t>
  </si>
  <si>
    <t>Freeyourgadget-Gadgetbridge-533</t>
  </si>
  <si>
    <t>VLC makes Gadgetbridge crash</t>
  </si>
  <si>
    <t xml:space="preserve">     Your issue is:_x000D_
_x000D_
When playing any music on VLC  Gadgetbridge (0 17 3) crashes  After restarting GB and setting the default music player to another value  the problem seems to disappear  but then it happens again after some time _x000D_
_x000D_
     Your wearable device is:_x000D_
_x000D_
Mi Band 2  FW: 1 0 1 34  It happened with previous versions _x000D_
_x000D_
     Your android version is:_x000D_
_x000D_
LineageOS 14 1 (Android 7 1 1) on Xiaomi Redmi Note 3 Pro_x000D_
_x000D_
     Your Gadgetbridge version is:_x000D_
_x000D_
0 17 3_x000D_
_x000D_
 gadgetbridge zip (https:  github com Freeyourgadget Gadgetbridge files 741855 gadgetbridge zip)_x000D_
_x000D_
If anything else is needed  feel free to ask  Thank you very much for your hard work </t>
  </si>
  <si>
    <t>OneBusAway-onebusaway-android-749</t>
  </si>
  <si>
    <t>NPE when trying to get updated trip plan in the background</t>
  </si>
  <si>
    <t xml:space="preserve">  Summary:   _x000D_
_x000D_
For current  master  branch and v2 1 6 (73)   crash after planning a trip  when the app attempts to check for changes in the itinerary:_x000D_
_x000D_
   _x000D_
java lang NullPointerException: Attempt to invoke virtual method  java lang Object java util ArrayList get(int)  on a null object reference_x000D_
	at org onebusaway android directions realtime RealtimeService getItinerary(RealtimeService java:276)_x000D_
	at org onebusaway android directions realtime RealtimeService onHandleIntent(RealtimeService java:76)_x000D_
	at android app IntentService ServiceHandler handleMessage(IntentService java:67)_x000D_
	at android os Handler dispatchMessage(Handler java:102)_x000D_
	at android os Looper loop(Looper java:154)_x000D_
	at android os HandlerThread run(HandlerThread java:61)_x000D_
   _x000D_
_x000D_
Very likely caused by https:  github com OneBusAway onebusaway android pull 678  which was manually merged due to conflicts in https:  github com OneBusAway onebusaway android commit 7dc279332e0dfc7638233acb1fc50b6f4f3016f9 _x000D_
_x000D_
I m not sure this is consistently reproducible for all trips   I produced it back to back on the same trip plan  but later couldn t repro it  although I couldn t find a trip with real time info _x000D_
_x000D_
 sdjacobs Would you be able to take a look at this   I m halting the public rollout of v2 1 6 until we can figure this out so everyone doesn t encounter this during trip planning in Tampa   _x000D_
_x000D_
  Steps to reproduce:   _x000D_
_x000D_
1  Plan a trip with real time info  and wait for the update on the same screen_x000D_
_x000D_
  Expected behavior:   _x000D_
_x000D_
Not crash_x000D_
_x000D_
  Observed behavior:   _x000D_
_x000D_
NPE and crash_x000D_
_x000D_
  Device and Android version:   _x000D_
_x000D_
LG G5 with Android 7 0</t>
  </si>
  <si>
    <t>niclabs-adkintunmobile-androidclient-160</t>
  </si>
  <si>
    <t>DailyConnectionTypeInformation.java line 158</t>
  </si>
  <si>
    <t xml:space="preserve">     in cl niclabs adkintunmobile views connectiontype DailyConnectionTypeInformation getSummary
  Number of crashes: 1
  Impacted devices: 1
There s a lot more information about this crash on crashlytics com:
 https:  fabric io niclabs android apps cl niclabs adkintunmobile issues 5891f07c0aeb16625bc649ad (https:  fabric io niclabs android apps cl niclabs adkintunmobile issues 5891f07c0aeb16625bc649ad)</t>
  </si>
  <si>
    <t>DigitalCampus-oppia-mobile-android-610</t>
  </si>
  <si>
    <t>App crashing issues on password reset and video download</t>
  </si>
  <si>
    <t>On both these tasks  the app crashes  Very similar to the login carshing we had the other day   so suspect that it may be the same cause issue</t>
  </si>
  <si>
    <t>alexkats-Space-Arcade-22</t>
  </si>
  <si>
    <t>[SA-13] There is no asteroid crash sound</t>
  </si>
  <si>
    <t xml:space="preserve">  Steps to reproduce  _x000D_
1  Start the game_x000D_
2  Try to destroy any asteroid with your laser_x000D_
_x000D_
  Expected result  _x000D_
Some sound effect immediately after asteroid crash_x000D_
_x000D_
  Actual result  _x000D_
There isn t any sound at all</t>
  </si>
  <si>
    <t>praekeltfoundation-gem-bbb-indo-515</t>
  </si>
  <si>
    <t>Null reference exception in GoalAddController</t>
  </si>
  <si>
    <t xml:space="preserve"> GoalAddController  threw a null reference exception on line 128 _x000D_
_x000D_
   java_x000D_
try  _x000D_
    goal setEndDate(DateTimeFormat forPattern( yyyy MM dd )_x000D_
         parseLocalDate(answerLog get( goalDate ) getValue() substring(0  10))) _x000D_
  catch (NullPointerException nullException)  _x000D_
    CrashlyticsHelper logException(nullException) _x000D_
 _x000D_
   _x000D_
_x000D_
This has since been removed in 0 1 2_x000D_
_x000D_
     in org gem indo dooit controllers goal GoalAddController doPopulate_x000D_
_x000D_
  Number of crashes: 1_x000D_
  Impacted devices: 1_x000D_
_x000D_
There s a lot more information about this crash on crashlytics com:_x000D_
 https:  fabric io retro rabbit android apps org gem indo dooit staging issues 5891829a0aeb16625bc22fba (https:  fabric io retro rabbit android apps org gem indo dooit staging issues 5891829a0aeb16625bc22fba)</t>
  </si>
  <si>
    <t>praekeltfoundation-gem-bbb-indo-513</t>
  </si>
  <si>
    <t>Null reference Exception in TargetFragment</t>
  </si>
  <si>
    <t xml:space="preserve">     in org gem indo dooit views main fragments target TargetFragment refreshGoals
  Number of crashes: 1
  Impacted devices: 1
There s a lot more information about this crash on crashlytics com:
 https:  fabric io retro rabbit android apps org gem indo dooit issues 58914e970aeb16625bc0e806 (https:  fabric io retro rabbit android apps org gem indo dooit issues 58914e970aeb16625bc0e806)</t>
  </si>
  <si>
    <t>Fleker-CumulusTV-253</t>
  </si>
  <si>
    <t>Better file handling through Google Drive</t>
  </si>
  <si>
    <t xml:space="preserve">Multiple users have been trying to import M3u playlists using the Google Drive option  Of course  this is not intended  causing the file to be interpreted as JSON and causing the app to constantly crash  This should be mitigated by either giving up front warnings about the import or allowing users to import other types of files </t>
  </si>
  <si>
    <t>HRVBand-hrv-band-116</t>
  </si>
  <si>
    <t>NullPointerException in hrv.band.app.storage.SQLite.SQLController.saveData</t>
  </si>
  <si>
    <t xml:space="preserve">User reports that if he enters no note after a measurement the app crashes:_x000D_
_x000D_
Stacktrace:_x000D_
   _x000D_
java lang IllegalStateException: Could not execute method of the activity_x000D_
	at android view View 1 onClick(View java:3843)_x000D_
	at android view View performClick(View java:4458)_x000D_
	at android view View PerformClick run(View java:18618)_x000D_
	at android os Handler handleCallback(Handler java:733)_x000D_
	at android os Handler dispatchMessage(Handler java:95)_x000D_
	at android os Looper loop(Looper java:136)_x000D_
	at android app ActivityThread main(ActivityThread java:5310)_x000D_
	at java lang reflect Method invokeNative(Native Method)_x000D_
	at java lang reflect Method invoke(Method java:515)_x000D_
	at com android internal os ZygoteInit MethodAndArgsCaller run(ZygoteInit java:816)_x000D_
	at com android internal os ZygoteInit main(ZygoteInit java:632)_x000D_
	at dalvik system NativeStart main(Native Method)_x000D_
Caused by: java lang reflect InvocationTargetException_x000D_
	at java lang reflect Method invokeNative(Native Method)_x000D_
	at java lang reflect Method invoke(Method java:515)_x000D_
	at android view View 1 onClick(View java:3838)_x000D_
	    11 more_x000D_
Caused by: java lang NullPointerException_x000D_
	at hrv band app storage SQLite SQLController saveData(SQLController java:55)_x000D_
	at hrv band app view HRVMeasurementActivity saveMeasurement(HRVMeasurementActivity java:50)_x000D_
	    14 more_x000D_
   _x000D_
_x000D_
User device:_x000D_
   _x000D_
_x000D_
Hersteller_x000D_
    Lenovo Mobile_x000D_
Android Version_x000D_
    Android 4 4_x000D_
RAM (MB)_x000D_
    1024_x000D_
Bildschirmgr  e_x000D_
    540   960_x000D_
Bildschirmdichte (dpi)_x000D_
    240_x000D_
OpenGL ES Version_x000D_
    3 0_x000D_
Native Plattform_x000D_
    armeabi v7a_x000D_
CPU Marke_x000D_
    Qualcomm_x000D_
CPU Modell_x000D_
    MSM8916 _x000D_
   _x000D_
</t>
  </si>
  <si>
    <t>tpb1908-AndroidProjectsClient-85</t>
  </si>
  <si>
    <t>Resolved #84. The number of weeks is now the ceiling of days/7.</t>
  </si>
  <si>
    <t xml:space="preserve">Also fixed a crash when access level was returned after the fragments has been destroyed </t>
  </si>
  <si>
    <t>Criptext-Monkey-Chat-Android-93</t>
  </si>
  <si>
    <t xml:space="preserve">Random crash when reopening app after a while </t>
  </si>
  <si>
    <t xml:space="preserve">If you open the sample app use it a little  then let the screen stay off for a while  the app may crash when you come back  This bug is not easy to reproduce but it seems to be happening after we changed the service to not stop itself during rotation </t>
  </si>
  <si>
    <t>open-keychain-open-keychain-2033</t>
  </si>
  <si>
    <t>cursor error during key refresh</t>
  </si>
  <si>
    <t xml:space="preserve">   _x000D_
A key could not be imported during multi threaded import_x000D_
java util concurrent ExecutionException: java lang IllegalStateException: Couldn t read row 0  col 0 from CursorWindow   Make sure the Cursor is initialized correctly before accessing data from it _x000D_
at java util concurrent FutureTask report(FutureTask java:94)_x000D_
at java util concurrent FutureTask get(FutureTask java:164)_x000D_
at org sufficientlysecure keychain operations ImportOperation multiThreadedKeyImport(ImportOperation java:506)_x000D_
at org sufficientlysecure keychain operations ImportOperation execute(ImportOperation java:456)_x000D_
at org sufficientlysecure keychain service KeyserverSyncAdapterService directUpdate(KeyserverSyncAdapterService java:324)_x000D_
at org sufficientlysecure keychain service KeyserverSyncAdapterService updateKeysFromKeyserver(KeyserverSyncAdapterService java:313)_x000D_
at org sufficientlysecure keychain service KeyserverSyncAdapterService access 300(KeyserverSyncAdapterService java:55)_x000D_
at org sufficientlysecure keychain service KeyserverSyncAdapterService 3 run(KeyserverSyncAdapterService java:291)_x000D_
at java lang Thread run(Thread java:818)_x000D_
Caused by: java lang IllegalStateException: Couldn t read row 0  col 0 from CursorWindow   Make sure the Cursor is initialized correctly before accessing data from it _x000D_
at android database CursorWindow nativeGetLong(Native Method)_x000D_
at android database CursorWindow getLong(CursorWindow java:511)_x000D_
at android database CursorWindow getInt(CursorWindow java:578)_x000D_
at android database AbstractWindowedCursor getInt(AbstractWindowedCursor java:69)_x000D_
at android database CursorWrapper getInt(CursorWrapper java:122)_x000D_
at org sufficientlysecure keychain provider ProviderHelper getCanonicalizedKeyRing(ProviderHelper java:311)_x000D_
at org sufficientlysecure keychain provider ProviderHelper getCanonicalizedPublicKeyRing(ProviderHelper java:263)_x000D_
at org sufficientlysecure keychain provider ProviderHelper savePublicKeyRing(ProviderHelper java:935)_x000D_
at org sufficientlysecure keychain operations ImportOperation serialKeyRingImport(ImportOperation java:325)_x000D_
at org sufficientlysecure keychain operations ImportOperation access 000(ImportOperation java:83)_x000D_
at org sufficientlysecure keychain operations ImportOperation 1 call(ImportOperation java:495)_x000D_
at org sufficientlysecure keychain operations ImportOperation 1 call(ImportOperation java:483)_x000D_
at java util concurrent FutureTask run(FutureTask java:237)_x000D_
at java util concurrent Executors RunnableAdapter call(Executors java:423)_x000D_
at java util concurrent FutureTask run(FutureTask java:237)_x000D_
at java util concurrent ThreadPoolExecutor runWorker(ThreadPoolExecutor java:1113)_x000D_
at java util concurrent ThreadPoolExecutor Worker run(ThreadPoolExecutor java:588)_x000D_
   _x000D_
_x000D_
_x000D_
This does not happen reproducibly  but it does happen in the auto update service  meaning random crash popup from OpenKeychain : </t>
  </si>
  <si>
    <t>niclabs-adkintunmobile-androidclient-161</t>
  </si>
  <si>
    <t>MainActivity.java line 58</t>
  </si>
  <si>
    <t xml:space="preserve">     in cl niclabs adkintunmobile views dashboard MainActivity onCreate
  Number of crashes: 1
  Impacted devices: 1
There s a lot more information about this crash on crashlytics com:
 https:  fabric io niclabs android apps cl niclabs adkintunmobile issues 58948bf30aeb16625bdac2dc (https:  fabric io niclabs android apps cl niclabs adkintunmobile issues 58948bf30aeb16625bdac2dc)</t>
  </si>
  <si>
    <t>scottyab-rootbeer-35</t>
  </si>
  <si>
    <t>UnsatisfiedLinkError</t>
  </si>
  <si>
    <t>Time to time I receive crash reported in Fabric that library crashed _x000D_
_x000D_
 Fatal Exception: java lang UnsatisfiedLinkError: Couldn t load tool checker from loader dalvik system PathClassLoader dexPath  data app com myapp example 2 apk libraryPath  data app lib com myapp example 2 : findLibrary returned null _x000D_
_x000D_
       at java lang Runtime loadLibrary(Runtime java:355)_x000D_
       at java lang System loadLibrary(System java:525)_x000D_
       at com scottyab rootbeer RootBeerNative (SourceFile)_x000D_
       at com scottyab rootbeer RootBeer checkForRootNative(SourceFile:305)_x000D_
       at com myapp example entity DeviceConfig com scottyab rootbeer RootBeer isRooted(SourceFile:2044)_x000D_
       at com myapp example entity DeviceConfig parseJson(SourceFile:359)_x000D_
       at com myapp example net request Request prepareRequest(SourceFile:2197)_x000D_
       at com myapp example net request Request execute(SourceFile:129)_x000D_
       at com myapp example service AppStartService onStartCommand(SourceFile:65)_x000D_
       at android app ActivityThread handleServiceArgs(ActivityThread java:2833)_x000D_
       at android app ActivityThread access 2000(ActivityThread java:159)_x000D_
       at android app ActivityThread H handleMessage(ActivityThread java:1419)_x000D_
       at android os Handler dispatchMessage(Handler java:99)_x000D_
       at android os Looper loop(Looper java:176)_x000D_
       at android app ActivityThread main(ActivityThread java:5419)_x000D_
       at java lang reflect Method invokeNative(Method java)_x000D_
       at java lang reflect Method invoke(Method java:525)_x000D_
       at com android internal os ZygoteInit MethodAndArgsCaller run(ZygoteInit java:1046)_x000D_
       at com android internal os ZygoteInit main(ZygoteInit java:862)_x000D_
       at dalvik system NativeStart main(NativeStart java)_x000D_
_x000D_
_x000D_
  Devices and values provided by Fabric:  _x000D_
ASUS T00J 4 4 2 No rooted_x000D_
K6000 Pro 6 0 No rooted_x000D_
GT I9300 4 3 No rooted_x000D_
B1 810 4 4 4 No rooted_x000D_
P400 4 1 2 Rooted</t>
  </si>
  <si>
    <t>nextcloud-android-617</t>
  </si>
  <si>
    <t>Nextcloud beta 20170130 unrecoverable crash</t>
  </si>
  <si>
    <t xml:space="preserve">    Actual behaviour_x000D_
 Tell us what happens_x000D_
Trying to get access to  Settings  caused the dispplay to turn black  but some of the phone overlay such as network  time and others were still visible _x000D_
Nextcloud app would then return to the  passcode  page _x000D_
Once passcode entered  the  error  log would appear and upon deleting the log  the app would crash again _x000D_
I was able to send the log with my normal Nextcloud app version 1 4 1 which works concurrently on my phone _x000D_
I couldn t get pass the  error  log under Nextcloud Beta  My only option was to unsintall it from the phone _x000D_
During this issue  several things seemed to have happen so this makes troubleshooting more difficult:_x000D_
_x000D_
  It seems there was a Google update in the process _x000D_
  I lost connection to the Nextcloud 11 server due to  Brute force attack  prevention  I don t know the cause of it  but one of my account  was causing the issue  Maybe one of the Nextcloud app had the wrong account password causing the loss of server connection  I know which account triggered the attack defense  as I logged to my Nextcloud server from a different IP address _x000D_
_x000D_
I installed the newer 20170202 Beta version and will be monitoring its behavior _x000D_
_x000D_
    Expected behaviour_x000D_
 Tell us what should happen_x000D_
 _x000D_
    Steps to reproduce_x000D_
1  Cannot reproduce_x000D_
2  _x000D_
3  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CAUSE OF ERROR             _x000D_
_x000D_
java lang RuntimeException: Unable to start activity ComponentInfo com nextcloud android beta com owncloud android ui activity Preferences : java lang NullPointerException: Attempt to invoke virtual method  long com owncloud android ui adapter DiskLruImageCache getMaxSize()  on a null object reference_x000D_
	at android app ActivityThread performLaunchActivity(ActivityThread java:2434)_x000D_
	at android app ActivityThread handleLaunchActivity(ActivityThread java:2494)_x000D_
	at android app ActivityThread access 900(ActivityThread java:157)_x000D_
	at android app ActivityThread H handleMessage(ActivityThread java:1356)_x000D_
	at android os Handler dispatchMessage(Handler java:102)_x000D_
	at android os Looper loop(Looper java:148)_x000D_
	at android app ActivityThread main(ActivityThread java:5551)_x000D_
	at java lang reflect Method invoke(Native Method)_x000D_
	at com android internal os ZygoteInit MethodAndArgsCaller run(ZygoteInit java:730)_x000D_
	at com android internal os ZygoteInit main(ZygoteInit java:620)_x000D_
Caused by: java lang NullPointerException: Attempt to invoke virtual method  long com owncloud android ui adapter DiskLruImageCache getMaxSize()  on a null object reference_x000D_
	at com owncloud android datamodel ThumbnailsCacheManager getMaxSize(ThumbnailsCacheManager java:228)_x000D_
	at com owncloud android ui activity Preferences onCreate(Preferences java:227)_x000D_
	at android app Activity performCreate(Activity java:6272)_x000D_
	at android app Instrumentation callActivityOnCreate(Instrumentation java:1108)_x000D_
	at android app ActivityThread performLaunchActivity(ActivityThread java:2387)_x000D_
	    9 more_x000D_
_x000D_
             DEVICE INFORMATION            _x000D_
Brand: lge_x000D_
Device: g3_x000D_
Model: LG D852_x000D_
Id: MRA58K_x000D_
Product: g3 bell ca_x000D_
_x000D_
             FIRMWARE             _x000D_
SDK: 23_x000D_
Release: 6 0_x000D_
Incremental: 162091130443e_x000D_
</t>
  </si>
  <si>
    <t>5calls-android-25</t>
  </si>
  <si>
    <t>Crash when returning to the LocationActivity from a permissions request</t>
  </si>
  <si>
    <t xml:space="preserve">Description of the issue and brute force fix from  18 _x000D_
_x000D_
 I also fixed a crash I encountered multiple times  when returning to the LocationActivity from a permissions request  When onBackPressed() was called  I was getting an IllegalStateException because onSaveInstanceState() had already been called  It s kind of awkward  since we re not doing FragmentTransaction  which is the normal reason this crash happens  Instead  AppCompatActivity inherits from FragmentActivity  which accesses the fragment manager in onBackPressed()  in case there s a fragment showing  So  the normal fixes don t work  I looked for an elegant solution for a while and couldn t find one  so I brute forced the solution by getting rid of the optimization to call onBackPressed()  I think this is fine because  with the current UX  we wouldn t expect people to be going back and forth between the MainActivity and LocationActivity frequently  </t>
  </si>
  <si>
    <t>niclabs-adkintunmobile-androidclient-163</t>
  </si>
  <si>
    <t>PriorityBlockingQueue.java line 264</t>
  </si>
  <si>
    <t xml:space="preserve">     in java util concurrent PriorityBlockingQueue tryGrow
  Number of crashes: 1
  Impacted devices: 1
There s a lot more information about this crash on crashlytics com:
 https:  fabric io niclabs android apps cl niclabs adkintunmobile issues 58962e790aeb16625be6f487 (https:  fabric io niclabs android apps cl niclabs adkintunmobile issues 58962e790aeb16625be6f487)</t>
  </si>
  <si>
    <t>niclabs-adkintunmobile-androidclient-162</t>
  </si>
  <si>
    <t xml:space="preserve">     in cl niclabs adkintunmobile views dashboard MainActivity onCreate
  Number of crashes: 1
  Impacted devices: 1
There s a lot more information about this crash on crashlytics com:
 https:  fabric io niclabs android apps cl niclabs adkintunmobile issues 5896291f0aeb16625be6cfd2 (https:  fabric io niclabs android apps cl niclabs adkintunmobile issues 5896291f0aeb16625be6cfd2)</t>
  </si>
  <si>
    <t>jaychang0917-SimpleRecyclerView-1</t>
  </si>
  <si>
    <t>Crash on swipe to dismiss sample</t>
  </si>
  <si>
    <t xml:space="preserve">Quite hard to reproduce  but I played with it a little  and it crashed  Here s the log:_x000D_
_x000D_
02 05 22:28:13 343 19941 19941 com jaychang demo srv E InputEventReceiver: Exception dispatching input event _x000D_
02 05 22:28:13 372 19941 19941 com jaychang demo srv E AndroidRuntime: FATAL EXCEPTION: main_x000D_
                                                                       Process: com jaychang demo srv  PID: 19941_x000D_
                                                                       java lang ArrayIndexOutOfBoundsException: length 10  index  1_x000D_
                                                                           at java util ArrayList get(ArrayList java:413)_x000D_
                                                                           at com jaychang srv SimpleAdapter getCell(SimpleAdapter java:262)_x000D_
                                                                           at com jaychang srv SimpleRecyclerView getCell(SimpleRecyclerView java:724)_x000D_
                                                                           at com jaychang srv behavior SwipeToDismissItemCallback getMovementFlags(SwipeToDismissItemCallback java:37)_x000D_
                                                                           at android support v7 widget helper ItemTouchHelper Callback getAbsoluteMovementFlags(ItemTouchHelper java:1568)_x000D_
                                                                           at android support v7 widget helper ItemTouchHelper checkSelectForSwipe(ItemTouchHelper java:960)_x000D_
                                                                           at android support v7 widget helper ItemTouchHelper 2 onInterceptTouchEvent(ItemTouchHelper java:340)_x000D_
                                                                           at android support v7 widget RecyclerView dispatchOnItemTouch(RecyclerView java:2602)_x000D_
                                                                           at android support v7 widget RecyclerView onTouchEvent(RecyclerView java:2730)_x000D_
                                                                           at android view View dispatchTouchEvent(View java:10023)_x000D_
                                                                           at android view ViewGroup dispatchTransformedTouchEvent(ViewGroup java:2626)_x000D_
                                                                           at android view ViewGroup dispatchTouchEvent(ViewGroup java:2307)_x000D_
                                                                           at android view ViewGroup dispatchTransformedTouchEvent(ViewGroup java:2632)_x000D_
                                                                           at android view ViewGroup dispatchTouchEvent(ViewGroup java:2321)_x000D_
                                                                           at android view ViewGroup dispatchTransformedTouchEvent(ViewGroup java:2632)_x000D_
                                                                           at android view ViewGroup dispatchTouchEvent(ViewGroup java:2321)_x000D_
                                                                           at android view ViewGroup dispatchTransformedTouchEvent(ViewGroup java:2632)_x000D_
                                                                           at android view ViewGroup dispatchTouchEvent(ViewGroup java:2321)_x000D_
                                                                           at android view ViewGroup dispatchTransformedTouchEvent(ViewGroup java:2632)_x000D_
                                                                           at android view ViewGroup dispatchTouchEvent(ViewGroup java:2321)_x000D_
                                                                           at android view ViewGroup dispatchTransformedTouchEvent(ViewGroup java:2632)_x000D_
                                                                           at android view ViewGroup dispatchTouchEvent(ViewGroup java:2321)_x000D_
                                                                           at android view ViewGroup dispatchTransformedTouchEvent(ViewGroup java:2632)_x000D_
                                                                           at android view ViewGroup dispatchTouchEvent(ViewGroup java:2321)_x000D_
                                                                           at com android internal policy DecorView superDispatchTouchEvent(DecorView java:413)_x000D_
                                                                           at com android internal policy PhoneWindow superDispatchTouchEvent(PhoneWindow java:1808)_x000D_
                                                                           at android app Activity dispatchTouchEvent(Activity java:3070)_x000D_
                                                                           at android support v7 view WindowCallbackWrapper dispatchTouchEvent(WindowCallbackWrapper java:71)_x000D_
                                                                           at com android internal policy DecorView dispatchTouchEvent(DecorView java:375)_x000D_
                                                                           at android view View dispatchPointerEvent(View java:10243)_x000D_
                                                                           at android view ViewRootImpl ViewPostImeInputStage processPointerEvent(ViewRootImpl java:4438)_x000D_
                                                                           at android view ViewRootImpl ViewPostImeInputStage onProcess(ViewRootImpl java:4306)_x000D_
                                                                           at android view ViewRootImpl InputStage deliver(ViewRootImpl java:3853)_x000D_
                                                                           at android view ViewRootImpl InputStage onDeliverToNext(ViewRootImpl java:3906)_x000D_
                                                                           at android view ViewRootImpl InputStage forward(ViewRootImpl java:3872)_x000D_
                                                                           at android view ViewRootImpl AsyncInputStage forward(ViewRootImpl java:3999)_x000D_
                                                                           at android view ViewRootImpl InputStage apply(ViewRootImpl java:3880)_x000D_
                                                                           at android view ViewRootImpl AsyncInputStage apply(ViewRootImpl java:4056)_x000D_
                                                                           at android view ViewRootImpl InputStage deliver(ViewRootImpl java:3853)_x000D_
                                                                           at android view ViewRootImpl InputStage onDeliverToNext(ViewRootImpl java:3906)_x000D_
                                                                           at android view ViewRootImpl InputStage forward(ViewRootImpl java:3872)_x000D_
                                                                           at android view ViewRootImpl InputStage apply(ViewRootImpl java:3880)_x000D_
                                                                           at android view ViewRootImpl InputStage deliver(ViewRootImpl java:3853)_x000D_
                                                                           at android view ViewRootImpl deliverInputEvent(ViewRootImpl java:6246)_x000D_
                                                                           at android view ViewRootImpl doProcessInputEvents(ViewRootImpl java:6220)_x000D_
                                                                           at android view ViewRootImpl enqueueInputEvent(ViewRootImpl java:6181)_x000D_
                                                                           at android view ViewRootImpl WindowInputEventReceiver onInputEvent(ViewRootImpl java:6349)_x000D_
                                                                           at android view InputEventReceiver dispatchInputEvent(InputEventReceiver java:185)_x000D_
                                                                           at android view InputEventReceiver nativeConsumeBatchedInputEvents(Native Method)_x000D_
02 05 22:28:13 372 19941 19941 com jaychang demo srv E AndroidRuntime:     at android view InputEventReceiver consumeBatchedInputEvents(InputEventReceiver java:176)_x000D_
                                                                           at android view ViewRootImpl doConsumeBatchedInput(ViewRootImpl java:6320)_x000D_
                                                                           at android view ViewRootImpl ConsumeBatchedInputRunnable run(ViewRootImpl java:6372)_x000D_
                                                                           at android view Choreographer CallbackRecord run(Choreographer java:874)_x000D_
                                                                           at android view Choreographer doCallbacks(Choreographer java:686)_x000D_
                                                                           at android view Choreographer doFrame(Choreographer java:615)_x000D_
                                                                           at android view Choreographer FrameDisplayEventReceiver run(Choreographer java:860)_x000D_
                                                                           at android os Handler handleCallback(Handler java:751)_x000D_
                                                                           at android os Handler dispatchMessage(Handler java:95)_x000D_
                                                                           at android os Looper loop(Looper java:154)_x000D_
                                                                           at android app ActivityThread main(ActivityThread java:6169)_x000D_
                                                                           at java lang reflect Method invoke(Native Method)_x000D_
                                                                           at com android internal os ZygoteInit MethodAndArgsCaller run(ZygoteInit java:888)_x000D_
                                                                           at com android internal os ZygoteInit main(ZygoteInit java:778)_x000D_
02 05 22:28:13 729 904 15827 system process E ActivityManager: Found activity ActivityRecord 36079ba u0 com jaychang demo srv  MainActivity t2877 f  in proc activity list using null instead of expected ProcessRecord 64b8120 19941:com jaychang demo srv u0a307 _x000D_
02 05 22:28:13 916 3326 3326 com touchtype swiftkey beta E FullInputEventModel: onStartInput event aborted: com touchtype keyboard d am: could not obtain extracted text (class com touchtype keyboard d am)_x000D_
</t>
  </si>
  <si>
    <t>deltachat-deltachat-android-26</t>
  </si>
  <si>
    <t>Delta crashes with mail-account by strato</t>
  </si>
  <si>
    <t xml:space="preserve">Trying to use delta with my account by strato de delta crashes immediately _x000D_
GMX de and autistici org are working fine </t>
  </si>
  <si>
    <t>Cloudkibo-Android-490</t>
  </si>
  <si>
    <t>group member leave feature not working when done offline</t>
  </si>
  <si>
    <t xml:space="preserve">Steps:_x000D_
_x000D_
1  Add device A and B to same group _x000D_
2  Turn off the internet on device B _x000D_
3  Leave the group on device B _x000D_
4  after sometime  connect device B to internet _x000D_
5  Push notification   log not received on device A _x000D_
6  While UI on device B is updated according to when we leave the group _x000D_
7  Now send message from device A _x000D_
8  App crashes on device A _x000D_
9  Message is received on device B and UI is again updated as if member B never left the group _x000D_
_x000D_
_x000D_
  16650314 672956709543678 1410409893 n (https:  cloud githubusercontent com assets 16760128 22662696 bb55c3f2 ec5e 11e6 8a3b 04fea63685dc png)_x000D_
</t>
  </si>
  <si>
    <t>Cloudkibo-Android-489</t>
  </si>
  <si>
    <t>app crashes upon receiving group message when app is closed</t>
  </si>
  <si>
    <t xml:space="preserve">Steps:_x000D_
_x000D_
1  add device A and B to same group_x000D_
2  Send message from A to B while app is closed on B_x000D_
3  the Toast for app crash appears on device B_x000D_
4  Some logs are also sent to the acralyzer _x000D_
_x000D_
  16558944 672954209543928 131524168 n (https:  cloud githubusercontent com assets 16760128 22662437 e0fdaf6c ec5d 11e6 9222 ef8a19c0075d png)_x000D_
</t>
  </si>
  <si>
    <t>cgeo-cgeo-6301</t>
  </si>
  <si>
    <t>Index Out Of Bounds in Mapsforge map (old)</t>
  </si>
  <si>
    <t xml:space="preserve">From Google Play (partly discussed in  5690 already):_x000D_
_x000D_
This is the most frequent crash report on Google Play (but  only  9 reports per week) currently:_x000D_
_x000D_
   _x000D_
java lang IndexOutOfBoundsException: Invalid index 46  size is 46_x000D_
	at java util ArrayList throwIndexOutOfBoundsException(ArrayList java:255)_x000D_
	at java util ArrayList get(ArrayList java:308)_x000D_
	at cgeo geocaching maps CachesOverlay createItem(CachesOverlay java:269)_x000D_
	at cgeo geocaching maps mapsforge MapsforgeCacheOverlay createItem(MapsforgeCacheOverlay java:39)_x000D_
	at cgeo geocaching maps mapsforge MapsforgeCacheOverlay createItem(MapsforgeCacheOverlay java:20)_x000D_
	at org mapsforge v3 android maps overlay ItemizedOverlay drawOverlayBitmap(ItemizedOverlay java:220)_x000D_
	at cgeo geocaching maps mapsforge MapsforgeCacheOverlay superDrawOverlayBitmap(MapsforgeCacheOverlay java:86)_x000D_
	at cgeo geocaching maps AbstractItemizedOverlay drawOverlayBitmap(AbstractItemizedOverlay java:50)_x000D_
	at cgeo geocaching maps CachesOverlay drawOverlayBitmap(CachesOverlay java:123)_x000D_
	at cgeo geocaching maps mapsforge MapsforgeCacheOverlay drawOverlayBitmap(MapsforgeCacheOverlay java:55)_x000D_
	at org mapsforge v3 android maps overlay Overlay redrawOverlay(Overlay java:313)_x000D_
	at org mapsforge v3 android maps overlay Overlay run(Overlay java:250)_x000D_
   _x000D_
_x000D_
   _x000D_
ava lang IndexOutOfBoundsException: Invalid index 329  size is 108_x000D_
	at java util ArrayList throwIndexOutOfBoundsException(ArrayList java:255)_x000D_
	at java util ArrayList get(ArrayList java:308)_x000D_
	at cgeo geocaching maps CachesOverlay createItem(CachesOverlay java:269)_x000D_
	at cgeo geocaching maps mapsforge MapsforgeCacheOverlay createItem(MapsforgeCacheOverlay java:39)_x000D_
	at cgeo geocaching maps mapsforge MapsforgeCacheOverlay createItem(MapsforgeCacheOverlay java:20)_x000D_
	at org mapsforge v3 android maps overlay ItemizedOverlay drawOverlayBitmap(ItemizedOverlay java:220)_x000D_
	at cgeo geocaching maps mapsforge MapsforgeCacheOverlay superDrawOverlayBitmap(MapsforgeCacheOverlay java:86)_x000D_
	at cgeo geocaching maps AbstractItemizedOverlay drawOverlayBitmap(AbstractItemizedOverlay java:50)_x000D_
	at cgeo geocaching maps CachesOverlay drawOverlayBitmap(CachesOverlay java:123)_x000D_
	at cgeo geocaching maps mapsforge MapsforgeCacheOverlay drawOverlayBitmap(MapsforgeCacheOverlay java:55)_x000D_
	at org mapsforge v3 android maps overlay Overlay redrawOverlay(Overlay java:313)_x000D_
	at org mapsforge v3 android maps overlay Overlay run(Overlay java:250)_x000D_
   _x000D_
_x000D_
Wasn t there a protection introduced recently to avoid this </t>
  </si>
  <si>
    <t>react-native-camera-react-native-camera-588</t>
  </si>
  <si>
    <t>Video recording not working from android</t>
  </si>
  <si>
    <t>Hello _x000D_
_x000D_
I have install your component and its working perfectly by camera    _x000D_
_x000D_
but i was try to video recording from android emulator  but every time crash  video inserted on library but not data transfer    _x000D_
_x000D_
I like default video recording  Is it possible to default video recording screen open on my android react native app with your component _x000D_
_x000D_
  default  video recording (https:  cloud githubusercontent com assets 542535 22649957 339a3430 eca3 11e6 980d 3982a0f7dedc png)_x000D_
  react native  video recording (https:  cloud githubusercontent com assets 542535 22649959 34e190e0 eca3 11e6 84df 3d2cd1f4f3a6 png)_x000D_
_x000D_
My code:_x000D_
 View style  styles container  _x000D_
	  _x000D_
         Camera_x000D_
          ref  (cam)     _x000D_
            this camera   cam _x000D_
            _x000D_
          style  styles preview _x000D_
		  captureTarget  Camera constants CaptureTarget disk _x000D_
		  captureMode    Camera constants CaptureMode video _x000D_
		  type   Camera constants Type front _x000D_
          aspect  Camera constants Aspect fill  _x000D_
           Text style  styles capture  onPress  this startRecording bind(this)   Video start Record   Text _x000D_
		   Text style  styles capture  onPress  this stopRecording bind(this)   Video stop Record   Text _x000D_
          Camera _x000D_
        View _x000D_
_x000D_
Please help me      how to default video recording screen open by your component _x000D_
_x000D_
Thanks_x000D_
Subhash</t>
  </si>
  <si>
    <t>flowupio-FlowUpAndroidSDK-182</t>
  </si>
  <si>
    <t>Fatal error on reboot</t>
  </si>
  <si>
    <t xml:space="preserve">On a   Aquaris 4 5   device during the phone reboot stage the library is crashing  This is the trace:_x000D_
_x000D_
   java_x000D_
Fatal Exception: java lang IllegalArgumentException: A metric named com fortysevendeg ninecardslauncher 0c937fed 6fb5 4028 b4f4 a4889209e374 Aquaris A4 5 4 hdpi 540X888 API23 2 0 10 rc1 false false cpuUsage already exists_x000D_
       at com codahale metrics MetricRegistry register(MetricRegistry java:91)_x000D_
       at io flowup c d a(Unknown Source)_x000D_
       at io flowup c d a(Unknown Source)_x000D_
       at io flowup FlowUp q(Unknown Source)_x000D_
       at io flowup FlowUp h(Unknown Source)_x000D_
       at io flowup FlowUp 1 run(Unknown Source)_x000D_
       at java lang Thread run(Thread java:818)_x000D_
   </t>
  </si>
  <si>
    <t>TedaLIEz-ParsingPlayer-2</t>
  </si>
  <si>
    <t>Crash when I click back key several times</t>
  </si>
  <si>
    <t xml:space="preserve">The sample will crash when I click back key several times One back key means exiting the app So exiting and starting app for several times  there is a crash _x000D_
_x000D_
Log:_x000D_
_x000D_
   _x000D_
02 06 11:03:32 957 16443 16443 com hustunique jianguo parsingplayer E AndroidRuntime: FATAL EXCEPTION: main_x000D_
                                                                                      Process: com hustunique jianguo parsingplayer  PID: 16443_x000D_
                                                                                      java lang ClassCastException: com hustunique parsingplayer player io CallbackTask cannot be cast to java lang Comparable_x000D_
                                                                                          at java util concurrent PriorityBlockingQueue siftUpComparable(PriorityBlockingQueue java:318)_x000D_
                                                                                          at java util concurrent PriorityBlockingQueue offer(PriorityBlockingQueue java:450)_x000D_
                                                                                          at java util concurrent ThreadPoolExecutor execute(ThreadPoolExecutor java:1332)_x000D_
                                                                                          at com hustunique parsingplayer player io ParsingFileManager write(ParsingFileManager java:55)_x000D_
                                                                                          at com hustunique parsingplayer player ParsingPlayer setConcatVideoPath(ParsingPlayer java:96)_x000D_
                                                                                          at com hustunique parsingplayer player ParsingVideoView setConcatVideos(ParsingVideoView java:416)_x000D_
                                                                                          at com hustunique sample MainActivity 1 onSuccess(MainActivity java:29)_x000D_
                                                                                          at com hustunique parsingplayer parser extractor Extractor 2 1 run(Extractor java:90)_x000D_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t>
  </si>
  <si>
    <t>DSpotDevelopers-declex-58</t>
  </si>
  <si>
    <t>Crash calling fragment in Actions</t>
  </si>
  <si>
    <t xml:space="preserve">If a fragment is invoked in an Action  and the context is not valid anymore (the fragment was detached from the activity) the application with crash  cause  the transaction object will be null  When replacing or adding the fragment  it would be useful to check if the transaction object is not null in the Fragment Action Holder  </t>
  </si>
  <si>
    <t>DSpotDevelopers-declex-57</t>
  </si>
  <si>
    <t>In the adapters (for AdapterViews and RecyclerView) it is important to check if the position is valid</t>
  </si>
  <si>
    <t xml:space="preserve">Lists can change externally  if this is done during updating the ListView  the application will crash for trying to get a method in a different position (or nonexistent one)  It is necessary to check if the position is a valid one in the adapters  </t>
  </si>
  <si>
    <t>open-keychain-open-keychain-2042</t>
  </si>
  <si>
    <t>4.2.3 crash: IllegalStateException: Couldn't read row 0, col 0 from CursorWindow</t>
  </si>
  <si>
    <t>After upgrading to 4 2 3   Valodim and other users got a crash with the stack trace:_x000D_
 java lang IllegalStateException: Couldn t read row 0  col 0 from CursorWindow   Make sure the Cursor is initialized correctly before accessing data from it  _x000D_
_x000D_
Afterwards all keys were marked as insecure _x000D_
This means that the upgrade worked  but consolidate crashed _x000D_
_x000D_
We are currently not sure why this happens  but it shouldn t be directly related to the marking of keys as insecure _x000D_
For now I deployed a workaround in https:  github com open keychain open keychain commit 8fa9f3b2ba084794ca6385450d56378d16efd2b9 and pushed to Google Play with 4 2 4_x000D_
_x000D_
Ideas:_x000D_
  https:  code google com p android issues detail id 32472_x000D_
  https:  tapreason wordpress com 2014 03 02 how to resolve java lang illegalstateexception couldnt read row 0 col y from cursorwindow make sure the cursor is initialized correctly before accessing data from it _x000D_
  Looks like there is a maximum of data a cursor can hold around 2MB</t>
  </si>
  <si>
    <t>yigit-android-priority-jobqueue-314</t>
  </si>
  <si>
    <t>StrictMode violation</t>
  </si>
  <si>
    <t xml:space="preserve">I am getting a StrictModeDiskReadViolation and a StrictModeDiskWriteViolation warning even without running any jobs  seemingly by just instantiating JobManager _x000D_
_x000D_
I put this in onCreate() of Application _x000D_
 StrictMode setThreadPolicy(new StrictMode ThreadPolicy Builder()_x000D_
                 detectAll()_x000D_
                 penaltyLog()_x000D_
                 penaltyDeath()_x000D_
                 build())  _x000D_
_x000D_
   and the app crashes immediately with this:_x000D_
_x000D_
  D StrictMode: StrictMode policy violation   duration 51 ms: android os StrictMode StrictModeDiskReadViolation: policy 95 violation 2_x000D_
                                                 at android os StrictMode AndroidBlockGuardPolicy onReadFromDisk(StrictMode java:1137)_x000D_
                                                 at libcore io BlockGuardOs access(BlockGuardOs java:67)_x000D_
                                                 at java io File doAccess(File java:283)_x000D_
                                                 at java io File exists(File java:363)_x000D_
                                                 at android app ContextImpl getDir(ContextImpl java:2668)_x000D_
                                                 at android content ContextWrapper getDir(ContextWrapper java:271)_x000D_
                                                 at com birbit android jobqueue persistentQueue sqlite FileStorage  init (FileStorage java:26)_x000D_
                                                 at com birbit android jobqueue persistentQueue sqlite SqliteJobQueue  init (SqliteJobQueue java:45)_x000D_
                                                 at com birbit android jobqueue DefaultQueueFactory createPersistentQueue(DefaultQueueFactory java:27)_x000D_
                                                 at com birbit android jobqueue JobManagerThread  init (JobManagerThread java:87)_x000D_
                                                 at com birbit android jobqueue JobManager  init (JobManager java:62)_x000D_
                                                 at com example marklloyd voxrecdev dagger2 injection modules AppModule jobManager(AppModule java:106)_x000D_
                                                 at com example marklloyd voxrecdev dagger2 injection modules AppModule JobManagerFactory get(AppModule JobManagerFactory java:23)_x000D_
                                                 at com example marklloyd voxrecdev dagger2 injection modules AppModule JobManagerFactory get(AppModule JobManagerFactory java:8)_x000D_
                                                 at dagger internal DoubleCheck get(DoubleCheck java:47)_x000D_
                                                 at com example marklloyd voxrecdev global App MembersInjector injectMembers(App MembersInjector java:45)_x000D_
                                                 at com example marklloyd voxrecdev global App MembersInjector injectMembers(App MembersInjector java:9)_x000D_
                                                 at com example marklloyd voxrecdev dagger2 injection components DaggerAppComponent inject(DaggerAppComponent java:384)_x000D_
                                                 at com example marklloyd voxrecdev global App onCreate(App java:89)_x000D_
                                                 at android app Instrumentation callApplicationOnCreate(Instrumentation java:1020)_x000D_
                                                 at android app ActivityThread handleBindApplication(ActivityThread java:5010)_x000D_
                                                 at android app ActivityThread access 1600(ActivityThread java:172)_x000D_
                                                 at android app ActivityThread H handleMessage(ActivityThread java:1482)_x000D_
                                                 at android os Handler dispatchMessage(Handler java:102)_x000D_
                                                 at android os Looper loop(Looper java:145)_x000D_
                                                 at android app ActivityThread main(ActivityThread java:5835)_x000D_
                                                 at java lang reflect Method invoke(Native Method)_x000D_
                                                 at java lang reflect Method invoke(Method java:372)_x000D_
                                                 at com android internal os ZygoteInit MethodAndArgsCaller run(ZygoteInit java:1399)_x000D_
                                                 at com android internal os ZygoteInit main(ZygoteInit java:1194)_x000D_
_x000D_
_x000D_
My JobManager is created like so :_x000D_
_x000D_
 Provides_x000D_
     AppScope_x000D_
    public JobManager jobManager()  _x000D_
        Configuration config   new Configuration Builder(app)_x000D_
                 consumerKeepAlive(45)_x000D_
                 maxConsumerCount(3)_x000D_
                 minConsumerCount(1)_x000D_
                 customLogger(new CustomLogger()  _x000D_
                     Override_x000D_
                    public boolean isDebugEnabled()  _x000D_
                        return true _x000D_
                     _x000D_
_x000D_
                     Override_x000D_
                    public void d(String text  Object    args)  _x000D_
_x000D_
                          Timber d(text  args) _x000D_
                     _x000D_
_x000D_
                     Override_x000D_
                    public void e(Throwable t  String text  Object    args)  _x000D_
_x000D_
                        Timber e(t  text  args) _x000D_
                     _x000D_
_x000D_
                     Override_x000D_
                    public void e(String text  Object    args)  _x000D_
_x000D_
                        Timber e(text args) _x000D_
                     _x000D_
_x000D_
                     Override_x000D_
                    public void v(String text  Object    args)  _x000D_
_x000D_
                          Timber v(text  args) _x000D_
                     _x000D_
                 )_x000D_
                 injector(new DependencyInjector()  _x000D_
                     Override_x000D_
                    public void inject(Job job)  _x000D_
                        if (job instanceof BaseJob)  _x000D_
                            ((BaseJob) job) inject(app getAppComponent()) _x000D_
                         _x000D_
                     _x000D_
                 )_x000D_
                 build() _x000D_
        return new JobManager(config) _x000D_
     _x000D_
_x000D_
_x000D_
Can this shed any light on why this is happening  I greatly appreciate any help you can offer  Thanks </t>
  </si>
  <si>
    <t>sonicmax-eti-app-36</t>
  </si>
  <si>
    <t>Check network status before making requests</t>
  </si>
  <si>
    <t>Should display some kind of notification (Snackbar ) if the phone is not connected to internet and prevent the app from making web requests  Otherwise it crashes</t>
  </si>
  <si>
    <t>f2prateek-dart-150</t>
  </si>
  <si>
    <t>Dart can't find injector when using Proguard</t>
  </si>
  <si>
    <t>After enabling  minifyEnabled  for release build  crashes start occurring _x000D_
I have a proguard rules:_x000D_
   _x000D_
 dontwarn com f2prateek dart internal   _x000D_
 keep class     ExtraInjector       _x000D_
 keepclasseswithmembernames class    _x000D_
     com f2prateek dart    fields  _x000D_
 _x000D_
   _x000D_
and seeing in log:_x000D_
   _x000D_
02 08 22:03:31 765 11321 11440   D Dart: Looking up extra injector for pl srw service AService_x000D_
02 08 22:03:31 767 11321 11440   D Dart: Not found  Trying superclass pl srw service a_x000D_
02 08 22:03:31 768 11321 11440   D Dart: Not found  Trying superclass android app IntentService_x000D_
02 08 22:03:31 768 11321 11440   D Dart: MISS: Reached framework class  Abandoning search _x000D_
   _x000D_
_x000D_
I m on version 1 1 0</t>
  </si>
  <si>
    <t>ForstaLabs-relay-12</t>
  </si>
  <si>
    <t>App crashes when attempting to attach image to message.</t>
  </si>
  <si>
    <t xml:space="preserve">On Sawyer s phone  the app crashes when in ConversationActivity  Clicking the  attach  icon opens the gallery app  but Forsta crashes when trying to return after the selection </t>
  </si>
  <si>
    <t>Karumi-Rosie-84</t>
  </si>
  <si>
    <t>New list in UseCaseHandler to retain error adapters in a non-weak reference</t>
  </si>
  <si>
    <t xml:space="preserve">  This change solves a NullPointerException in RosieUseCase notifyError that was happening when the error adapter was cleared of memory  because the adapter was only saved in a WeakReference in RosieUseCase_x000D_
  Also  I am modifying OnErrorCallbackToErrorHandlerAdapter to save the constructor parameters in weak references_x000D_
  I am using Rosie in an app available in Google Play  everything is working fine except for a few crashes caused by this error  I have solved this issue temporally replacing UseCaseHandler with my own class with these changes _x000D_
_x000D_
Thanks for this amazing framework</t>
  </si>
  <si>
    <t>nextcloud-news-android-553</t>
  </si>
  <si>
    <t>Crash after refresh, view and return</t>
  </si>
  <si>
    <t>Hi _x000D_
_x000D_
The app always crash when the following receipt is followed _x000D_
_x000D_
1  Open the News program from  cold   i e  without having it in the background first _x000D_
2  Open the podcast folder category in the News program _x000D_
3  New podcasts entries are added _x000D_
4  Open an entry and click  back   to return to the list of all new podcasts entries _x000D_
5  The News program crashes _x000D_
_x000D_
It does not happen if new entries are not added in step 3 _x000D_
_x000D_
I hope it s clear enough  It might be related to  535  though I experience the crash when I return to the overview   I m happy to provide more details _x000D_
_x000D_
I m using the latest F droid version _x000D_
_x000D_
Thanks _x000D_
Rasmus</t>
  </si>
  <si>
    <t>mvysny-aedict-727</t>
  </si>
  <si>
    <t>Notepad with embedded database: crash when launching quiz</t>
  </si>
  <si>
    <t xml:space="preserve">After switching to the new embedded database and syncing with aedict online  the app crashes on both my devices when I try to launch a quiz for a notepad category by tapping the quiz button (the three question marks) in the notepad screen  It worked before with the old file format _x000D_
It is possible to launch the quiz from the JLPT quiz menu entry by selecting the notepad category  this works well also with the new format </t>
  </si>
  <si>
    <t>open-keychain-open-keychain-2044</t>
  </si>
  <si>
    <t>Crash in MultiUserIdsFragment on empty name?</t>
  </si>
  <si>
    <t xml:space="preserve">From Google Play dev console _x000D_
_x000D_
But I suspect this crash happens on empty name or empty email address  Should be easy to fix _x000D_
_x000D_
_x000D_
   _x000D_
java lang NullPointerException: Attempt to invoke virtual method  boolean java lang String equals(java lang Object)  on a null object reference_x000D_
	at org sufficientlysecure keychain ui MultiUserIdsFragment onLoadFinished(MultiUserIdsFragment java:183)_x000D_
	at org sufficientlysecure keychain ui MultiUserIdsFragment onLoadFinished(MultiUserIdsFragment java:47)_x000D_
	at android support v4 app LoaderManagerImpl LoaderInfo callOnLoadFinished(LoaderManager java:476)_x000D_
	at android support v4 app LoaderManagerImpl LoaderInfo onLoadComplete(LoaderManager java:444)_x000D_
	at android support v4 content Loader deliverResult(Loader java:126)_x000D_
	at android support v4 content CursorLoader deliverResult(CursorLoader java:105)_x000D_
	at android support v4 content CursorLoader deliverResult(CursorLoader java:37)_x000D_
	at android support v4 content AsyncTaskLoader dispatchOnLoadComplete(AsyncTaskLoader java:252)_x000D_
	at android support v4 content AsyncTaskLoader LoadTask onPostExecute(AsyncTaskLoader java:80)_x000D_
	at android support v4 content ModernAsyncTask finish(ModernAsyncTask java:485)_x000D_
	at android support v4 content ModernAsyncTask InternalHandler handleMessage(ModernAsyncTask java:502)_x000D_
	at android os Handler dispatchMessage(Handler java:102)_x000D_
	at android os Looper loop(Looper java:148)_x000D_
	at android app ActivityThread main(ActivityThread java:5521)_x000D_
	at java lang reflect Method invoke(Native Method)_x000D_
	at com android internal os ZygoteInit MethodAndArgsCaller run(ZygoteInit java:804)_x000D_
	at com android internal os ZygoteInit main(ZygoteInit java:666)_x000D_
   _x000D_
</t>
  </si>
  <si>
    <t>flowupio-FlowUpAndroidSDK-183</t>
  </si>
  <si>
    <t>Fatal error</t>
  </si>
  <si>
    <t>http:  crashes to s 48396823fa2</t>
  </si>
  <si>
    <t>tanrabad-survey-16</t>
  </si>
  <si>
    <t xml:space="preserve">     in okhttp3 internal http1 Http1Codec FixedLengthSource read
  Number of crashes: 1
  Impacted devices: 1
There s a lot more information about this crash on crashlytics com:
 https:  fabric io tanrabad android apps org tanrabad survey issues 589be05d0aeb16625b10eb48 (https:  fabric io tanrabad android apps org tanrabad survey issues 589be05d0aeb16625b10eb48)</t>
  </si>
  <si>
    <t>andresth-Kandroid-2</t>
  </si>
  <si>
    <t>Crash if project description is empty</t>
  </si>
  <si>
    <t xml:space="preserve">  Please  do not create duplicate issues  _x000D_
_x000D_
_x000D_
    Actual behaviour_x000D_
_x000D_
Kandroid stop works when logged in Kanboard _x000D_
_x000D_
_x000D_
    Expected behaviour_x000D_
_x000D_
Just see the tasks _x000D_
_x000D_
_x000D_
    Steps to reproduce_x000D_
I installed 0 4 and 0 4 1 but Kandroid crash on start  I can uninstall the application  configure the url but when Kandroid makes the loggin the application has a unexpected close  _x000D_
_x000D_
    Configuration_x000D_
_x000D_
  Kandroid version: 0 4 1_x000D_
  Android Mod version: Android 6 0  EMUI 4 0_x000D_
  Theme (if you use one): Spectrum_x000D_
  Device type  name and manufacturer: Huawei Mate 8_x000D_
  Kanboard version: 1 0 38_x000D_
_x000D_
</t>
  </si>
  <si>
    <t>requery-requery-429</t>
  </si>
  <si>
    <t>Adding a foreign key column on non-SQLite platform may fail</t>
  </si>
  <si>
    <t xml:space="preserve">Requery 1 1 2_x000D_
_x000D_
io requery sql SchemaModifier:205_x000D_
_x000D_
    public  T  void addColumn(Attribute T     attribute)  _x000D_
        Type T  type   attribute getDeclaringType() _x000D_
        QueryBuilder qb   createQueryBuilder() _x000D_
        qb keyword(ALTER  TABLE) tableName(type getName()) _x000D_
        if (attribute isForeignKey())  _x000D_
            if (platform supportsAddingConstraint())  _x000D_
                   create the column first then the constraint_x000D_
                qb keyword(ADD  COLUMN) _x000D_
                createColumn(qb  attribute)                     We prepare a column creating statement _x000D_
                executeSql(qb)                                  We create a column _x000D_
                qb   createQueryBuilder() _x000D_
                qb keyword(ALTER  TABLE)_x000D_
                     tableName(type getName()) keyword(ADD) _x000D_
                createForeignKeyColumn(qb  attribute  true)     We prepare a statement that_x000D_
                                                                creates a column with a foreign key contraint _x000D_
              else  _x000D_
                qb   createQueryBuilder() _x000D_
                qb keyword(ALTER  TABLE)_x000D_
                     tableName(type getName()) keyword(ADD) _x000D_
                createForeignKeyColumn(qb  attribute  false) _x000D_
             _x000D_
          else  _x000D_
            qb keyword(ADD  COLUMN) _x000D_
            createColumn(qb  attribute) _x000D_
         _x000D_
        executeSql(qb)     We create a column with a for _x000D_
                           Nope  column with such name already exists  cannot create  crash _x000D_
     _x000D_
_x000D_
I d expect something like  createForeignKeyReferenceOnColumn  instead of  createForeignKeyColumn  _x000D_
_x000D_
I haven t tested what actually happens if you try executing this code so please correct me if creating a column that already exists is OK _x000D_
</t>
  </si>
  <si>
    <t>Ereza-CustomActivityOnCrash-29</t>
  </si>
  <si>
    <t>restartApplicationWithIntent() more than Home key</t>
  </si>
  <si>
    <t xml:space="preserve">me App crash according to sample do restartApplicationWithIntent() method   _x000D_
Then  press Home key perhaps repeat this operation   _x000D_
App Stack no clean  _x000D_
if in LAUNCHER Activity onCreate() add  following code would not produce   _x000D_
But I don t know why _x000D_
   java_x000D_
 if ( isTaskRoot())  _x000D_
            finish() _x000D_
            return _x000D_
   _x000D_
   _x000D_
</t>
  </si>
  <si>
    <t>k9mail-k-9-2225</t>
  </si>
  <si>
    <t>IndexOutOfBoundsException on opening multipart/signed object with stripped signature</t>
  </si>
  <si>
    <t>I sent a multipart signed message to a mailing list  The mailing list decided to strip out the MIME part containing the signature  On opening the message in K9  I get a crash with the following backtrace:_x000D_
_x000D_
   _x000D_
java lang IndexOutOfBoundsException: Invalid index 1  size is 1_x000D_
	at java util ArrayList throwIndexOutOfBoundsException(ArrayList java:255)_x000D_
	at java util ArrayList get(ArrayList java:308)_x000D_
	at com fsck k9 mail Multipart getBodyPart(Multipart java:24)_x000D_
	at com fsck k9 crypto MessageDecryptVerifier getSignatureData(MessageDecryptVerifier java:155)_x000D_
	at com fsck k9 ui crypto MessageCryptoHelper callAsyncDetachedVerify(MessageCryptoHelper java:352)_x000D_
	at com fsck k9 ui crypto MessageCryptoHelper decryptVerify(MessageCryptoHelper java:260)_x000D_
	at com fsck k9 ui crypto MessageCryptoHelper decryptOrVerifyPart(MessageCryptoHelper java:238)_x000D_
	at com fsck k9 ui crypto MessageCryptoHelper startDecryptingOrVerifyingPart(MessageCryptoHelper java:204)_x000D_
	at com fsck k9 ui crypto MessageCryptoHelper decryptOrVerifyNextPart(MessageCryptoHelper java:197)_x000D_
	at com fsck k9 ui crypto MessageCryptoHelper access 200(MessageCryptoHelper java:58)_x000D_
	at com fsck k9 ui crypto MessageCryptoHelper 1 onBound(MessageCryptoHelper java:219)_x000D_
	at org openintents openpgp util OpenPgpServiceConnection 1 onServiceConnected(OpenPgpServiceConnection java:81)_x000D_
	at android app LoadedApk ServiceDispatcher doConnected(LoadedApk java:1224)_x000D_
	at android app LoadedApk ServiceDispatcher RunConnection run(LoadedApk java:1241)_x000D_
	at android os Handler handleCallback(Handler java:739)_x000D_
	at android os Handler dispatchMessage(Handler java:95)_x000D_
	at android os Looper loop(Looper java:148)_x000D_
	at android app ActivityThread main(ActivityThread java:5461)_x000D_
	at java lang reflect Method invoke(Native Method)_x000D_
	at com android internal os ZygoteInit MethodAndArgsCaller run(ZygoteInit java:726)_x000D_
	at com android internal os ZygoteInit main(ZygoteInit java:616)_x000D_
   _x000D_
_x000D_
The message should obviously not be reported as signed  but it shouldn t crash the program either _x000D_
_x000D_
The MIME structure of the final message is as follows  The content type of the message as a whole is multipart mixed  This outer MIME layer has two parts  which I will call parts 1 and 2  Part 1 is of content type multipart signed  Part 1 s MIME content has one part  which I will call part 1 1  Part 1 1  is of content type text plain and contains my original message  Part 2 is of content type text plain and contains a small signature tacked on by the mailing list  All the boundary strings are properly formatted as far as I can tell _x000D_
_x000D_
    Environment_x000D_
K 9 Mail version: 5 203_x000D_
_x000D_
Android version: 6 0 1_x000D_
_x000D_
Account type (IMAP  POP3  WebDAV Exchange): IMAP</t>
  </si>
  <si>
    <t>stefan-niedermann-nextcloud-notes-177</t>
  </si>
  <si>
    <t>API Compatibility Issues</t>
  </si>
  <si>
    <t xml:space="preserve">Dear developers _x000D_
_x000D_
We have recently developed a state of the art static analysis tool for uncovering API compatibility issues in Android apps  Applying this tool to open source apps on F droid  we have exposed a few instances of compatibility issues and submitting them to development teams for a fix  _x000D_
_x000D_
For your app  we have found that this project has accessed the following APIs which are available only on an API level higher than the declared minSdkVersion and which are accessed without proper protection  In other words  if those APIs get called at runtime  it will trigger a NoSuchMethodError and thus result in a crash of the running application _x000D_
_x000D_
 android widget RemoteViews: void setRemoteAdapter(int android content Intent) : 14 25 _x000D_
_x000D_
Note that  because of the nature of the static analysis  we cannot confirm whether the flagged APIs would actually be called at runtime (e g   unreachable code)  However  we still believe that those APIs  which may cause compatibility issues  should not be accessed or at least be accessed with proper protections  _x000D_
_x000D_
In addition to the aforementioned APIs (i e   backward compatibility)  which could cause app crashes if accessed  we have also identified that this project has also accessed some APIs that have been removed from the latest public SDK  making the app possibly suffer from forward compatibility issues _x000D_
_x000D_
NONE_x000D_
_x000D_
We would be very much appreciated if you can acknowledge to us that those reported APIs are indeed problematic for the project s long term stability  please let us know if you need any more information relating to this issue report _x000D_
</t>
  </si>
  <si>
    <t>try2codesecure-ShellMS-14</t>
  </si>
  <si>
    <t xml:space="preserve">Dear developers _x000D_
_x000D_
We have recently developed a state of the art static analysis tool for uncovering API compatibility issues in Android apps  Applying this tool to open source apps on F droid  we have exposed a few instances of compatibility issues and submitting them to development teams for a fix  _x000D_
_x000D_
For your app  we have found that this project has accessed the following APIs which are available only on an API level higher than the declared minSdkVersion and which are accessed without proper protection  In other words  if those APIs get called at runtime  it will trigger a NoSuchMethodError and thus result in a crash of the running application _x000D_
_x000D_
 android telephony PhoneNumberUtils: java lang String normalizeNumber(java lang String) : 21 25 _x000D_
_x000D_
Note that  because of the nature of the static analysis  we cannot confirm whether the flagged APIs would actually be called at runtime (e g   unreachable code)  However  we still believe that those APIs  which may cause compatibility issues  should not be accessed or at least be accessed with proper protections  _x000D_
_x000D_
In addition to the aforementioned APIs (i e   backward compatibility)  which could cause app crashes if accessed  we have also identified that this project has also accessed some APIs that have been removed from the latest public SDK  making the app possibly suffer from forward compatibility issues _x000D_
_x000D_
NONE_x000D_
_x000D_
We would be very much appreciated if you can acknowledge to us that those reported APIs are indeed problematic for the project s long term stability  please let us know if you need any more information relating to this issue report </t>
  </si>
  <si>
    <t>ScreamingHawk-android-slideshow-18</t>
  </si>
  <si>
    <t>Handle Image Too Large error</t>
  </si>
  <si>
    <t>This exception is causing the application to crash: _x000D_
_x000D_
java lang RuntimeException: Canvas: trying to draw too large(xxxbytes) bitmap _x000D_
	at android view DisplayListCanvas throwIfCannotDraw(DisplayListCanvas java:260)_x000D_
	at android graphics Canvas drawBitmap(Canvas java:1415)_x000D_
	at android graphics drawable BitmapDrawable draw(BitmapDrawable java:528)</t>
  </si>
  <si>
    <t>tpb1908-AndroidProjectsClient-103</t>
  </si>
  <si>
    <t>There is a bug in HtmlTextView which can crash on list items without parents.</t>
  </si>
  <si>
    <t xml:space="preserve"> li Some text   li  Will crash_x000D_
_x000D_
as will  ul Some text  ul _x000D_
_x000D_
This is an issue on HtmlTextView and is caused by popping from an empty list stack </t>
  </si>
  <si>
    <t>cgeo-cgeo-6318</t>
  </si>
  <si>
    <t xml:space="preserve">Crash when adding a waypoint </t>
  </si>
  <si>
    <t xml:space="preserve">      Detailed steps causing the problem:_x000D_
  Open GC6Y8T8_x000D_
  Swipe tp waypoint tab_x000D_
  Click  Add waypoint _x000D_
  Click on coordinates field_x000D_
_x000D_
_x000D_
      Actual behavior after performing these steps:_x000D_
Crash_x000D_
_x000D_
Picture of Stacktrace:_x000D_
  screenshot 20170212 171633 (https:  cloud githubusercontent com assets 949669 22863827 3bc8f2a6 f147 11e6 96ec d3cbb1e6dd42 png)_x000D_
_x000D_
      Expected behavior after performing these steps:_x000D_
Coordinates can be edited without crash_x000D_
_x000D_
_x000D_
      Version of c:geo used:_x000D_
2016 02 12 NB_x000D_
_x000D_
      Is the problem reproducible for you _x000D_
Yes (on the mentioned cache)_x000D_
_x000D_
_x000D_
_x000D_
      Other comments and remarks:_x000D_
 pstorch I guess this is a side effect of your latest waypoint handling changes </t>
  </si>
  <si>
    <t>friendlyrobotnyc-TinyDancer-56</t>
  </si>
  <si>
    <t>Not compatible with Android TV?</t>
  </si>
  <si>
    <t xml:space="preserve">I tried using TinyDancer in my Android TV project  but app kept crashing during startup  The reason was:  java lang RuntimeException: Unable to create application com android tools fd runtime BootstrapApplication: android content ActivityNotFoundException: No Activity found to handle Intent   act android settings action MANAGE OVERLAY PERMISSION dat package:com mobitv client connect tv flg 0x10000000      there s no activity in Android TV that can request for overlay permission  Seems that  android permission SYSTEM ALERT WINDOW  is missing in Android TV too  so there s probably no chance to use TinyDancer on TV _x000D_
_x000D_
Maybe it s worth mentioning in readme about this limitation </t>
  </si>
  <si>
    <t>BelooS-ChipsLayoutManager-30</t>
  </si>
  <si>
    <t>TopGravityModifier checks improper values</t>
  </si>
  <si>
    <t xml:space="preserve">Hi _x000D_
I have a app I ve been playing with and had this library on 0 2 3  I just attempted to update to the latest 0 3 7  and receive a crash _x000D_
_x000D_
I experience this when I set:_x000D_
   _x000D_
setGravityResolver(new IChildGravityResolver()  _x000D_
                     Override_x000D_
                    public int getItemGravity(int position)   _x000D_
                        return Gravity TOP _x000D_
                     _x000D_
                 )_x000D_
   _x000D_
Using other Gravitys work fine (BOTTOM  CENTER)_x000D_
_x000D_
From looking in the source i see that the TopGravityModifier class was modified to check the left right edges of the rect against the minStart and minEnd  whereas the BOTTOM layout checks the top and bottom  and I do not experience the issue using BOTTOM _x000D_
_x000D_
   _x000D_
class TopGravityModifier implements IGravityModifier  _x000D_
    TopGravityModifier()  _x000D_
     _x000D_
_x000D_
    public Rect modifyChildRect(int minStart  int maxEnd  Rect childRect)  _x000D_
        if(childRect   left     minStart)  _x000D_
            throw new IllegalArgumentException( top point of input rect can  t be lower than minTop ) _x000D_
          else if(childRect   right     maxEnd)  _x000D_
            throw new IllegalArgumentException( bottom point of input rect can  t be bigger than maxTop ) _x000D_
          else  _x000D_
            childRect   new Rect(childRect) _x000D_
            if(childRect top   minStart)  _x000D_
                childRect bottom    childRect top   minStart _x000D_
                childRect top   minStart _x000D_
             _x000D_
_x000D_
            return childRect _x000D_
         _x000D_
     _x000D_
 _x000D_
   _x000D_
_x000D_
   _x000D_
class BottomGravityModifier implements IGravityModifier  _x000D_
    BottomGravityModifier()  _x000D_
     _x000D_
_x000D_
    public Rect modifyChildRect(int minStart  int maxEnd  Rect childRect)  _x000D_
        if(childRect   top     minStart)  _x000D_
            throw new IllegalArgumentException( top point of input rect can  t be lower than minTop ) _x000D_
          else if(childRect   bottom     maxEnd)  _x000D_
            throw new IllegalArgumentException( bottom point of input rect can  t be bigger than maxTop ) _x000D_
          else  _x000D_
            Rect modified   new Rect(childRect) _x000D_
            if(modified bottom   maxEnd)  _x000D_
                modified top    maxEnd   modified bottom _x000D_
                modified bottom   maxEnd _x000D_
             _x000D_
_x000D_
            return modified _x000D_
         _x000D_
     _x000D_
 _x000D_
   _x000D_
_x000D_
I m not certain that this is a mistake  but it looks fishy   Eitherway something changed and I can t seem to figure out how to use Gravity TOP again _x000D_
_x000D_
The crash I see when using Gravity TOP is as follows:_x000D_
_x000D_
  FATAL EXCEPTION: main_x000D_
Process: com foo  PID: 22659_x000D_
java lang IllegalArgumentException: bottom point of input rect can t be bigger than maxTop_x000D_
    at com beloo widget chipslayoutmanager gravity TopGravityModifier modifyChildRect(TopGravityModifier java:13)_x000D_
    at com beloo widget chipslayoutmanager layouter AbstractLayouter applyChildGravity(AbstractLayouter java:277)_x000D_
    at com beloo widget chipslayoutmanager layouter AbstractLayouter layoutRow(AbstractLayouter java:250)_x000D_
    at com beloo widget chipslayoutmanager ChipsLayoutManager fillWithLayouter(ChipsLayoutManager java:893)_x000D_
    at com beloo widget chipslayoutmanager ChipsLayoutManager fill(ChipsLayoutManager java:821)_x000D_
    at com beloo widget chipslayoutmanager ChipsLayoutManager onLayoutChildren(ChipsLayoutManager java:719)_x000D_
    at android support v7 widget RecyclerView dispatchLayoutStep2(RecyclerView java:3535)_x000D_
    at android support v7 widget RecyclerView dispatchLayout(RecyclerView java:3264)_x000D_
    at android support v7 widget RecyclerView onLayout(RecyclerView java:3796)_x000D_
    at android view View layout(View java:16694)_x000D_
    at android view ViewGroup layout(ViewGroup java:5481)_x000D_
    at android widget FrameLayout layoutChildren(FrameLayout java:336)_x000D_
    at android widget FrameLayout onLayout(FrameLayout java:273)_x000D_
    at android view View layout(View java:16694)_x000D_
    at android view ViewGroup layout(ViewGroup java:5481)_x000D_
    at android support v4 view ViewPager onLayout(ViewPager java:1795)_x000D_
    at android view View layout(View java:16694)_x000D_
    at android view ViewGroup layout(ViewGroup java:5481)_x000D_
    at android widget LinearLayout setChildFrame(LinearLayout java:1743)_x000D_
    at android widget LinearLayout layoutVertical(LinearLayout java:1586)_x000D_
    at android widget LinearLayout onLayout(LinearLayout java:1495)_x000D_
    at android view View layout(View java:16694)_x000D_
    at android view ViewGroup layout(ViewGroup java:5481)_x000D_
    at android widget FrameLayout layoutChildren(FrameLayout java:336)_x000D_
    at android widget FrameLayout onLayout(FrameLayout java:273)_x000D_
    at android view View layout(View java:16694)_x000D_
    at android view ViewGroup layout(ViewGroup java:5481)_x000D_
    at com android internal widget ActionBarOverlayLayout onLayout(ActionBarOverlayLayout java:493)_x000D_
    at android view View layout(View java:16694)_x000D_
    at android view ViewGroup layout(ViewGroup java:5481)_x000D_
    at android widget FrameLayout layoutChildren(FrameLayout java:336)_x000D_
    at android widget FrameLayout onLayout(FrameLayout java:273)_x000D_
    at com android internal policy PhoneWindow DecorView onLayout(PhoneWindow java:2697)_x000D_
    at android view View layout(View java:16694)_x000D_
    at android view ViewGroup layout(ViewGroup java:5481)_x000D_
    at android view ViewRootImpl performLayout(ViewRootImpl java:2228)_x000D_
    at android view ViewRootImpl performTraversals(ViewRootImpl java:1981)_x000D_
    at android view ViewRootImpl doTraversal(ViewRootImpl java:1140)_x000D_
    at android view ViewRootImpl TraversalRunnable run(ViewRootImpl java:6232)_x000D_
    at android view Choreographer CallbackRecord run(Choreographer java:858)_x000D_
    at android view Choreographer doCallbacks(Choreographer java:670)_x000D_
    at android view Choreographer doFrame(Choreographer java:606)_x000D_
    at android view Choreographer FrameDisplayEventReceiver run(Choreographer java:844)_x000D_
    at android os Handler handleCallback(Handler java:739)_x000D_
    at android os Handler dispatchMessage(Handler java:95)_x000D_
    at android os Looper loop(Looper java:148)_x000D_
    at android app ActivityThread main(ActivityThread java:5551)_x000D_
    at java lang reflect Method invoke(Native Method)_x000D_
    at com android internal os ZygoteInit MethodAndArgsCaller run(ZygoteInit java:730)_x000D_
    at com android internal os ZygoteInit main(ZygoteInit java:620) </t>
  </si>
  <si>
    <t>syncthing-syncthing-android-847</t>
  </si>
  <si>
    <t>Syncthing crashes on Android TV (SATV)</t>
  </si>
  <si>
    <t>I m attempting to get Syncthing running on my Shield Android TV  but can t seem to make it more than a day without Syncthing crashing and failing to restart _x000D_
_x000D_
I am syncing a large folder (811 items  111 subfolders   882 GB data)_x000D_
_x000D_
This is what I see in the log file after a crash:_x000D_
_x000D_
   _x000D_
SIGILL: illegal instruction_x000D_
PC 0xa0e30 m 9_x000D_
_x000D_
goroutine 0  idle :_x000D_
   _x000D_
_x000D_
The crashes seem to happen without any pattern  without any other log activity before or after a crash_x000D_
_x000D_
    App Version: 0 9 6_x000D_
    Syncthing Version: v0 14 22_x000D_
    Android Version: Shield Experience 5 0 1 (Android Nougat) for SHIELD 2017</t>
  </si>
  <si>
    <t>dariuszseweryn-RxAndroidBle-135</t>
  </si>
  <si>
    <t>Long write operations does not seem to work correctly</t>
  </si>
  <si>
    <t xml:space="preserve">    Summary_x000D_
_x000D_
I tested the new long write operation commit that has been pushed recently  Tried it in my application and it crashes after the second  long  write operation _x000D_
_x000D_
Let me explain a little more my use case  I m currently sending a rather big file to a BLE device  The file is a firmware in  Intel HEX forma (https:  en wikipedia org wiki Intel HEX)  From the defined application exchange protocol  I m iterating through each line  wrap the line in a application packet format (starts and ends with a predefined byte value)  chunk that into multiple packets (20 bytes) and write them one by one to the device by using  writeCharacteristic   The callback is then used to trigger the next packet once a line has been fully written  I start sending the next one _x000D_
_x000D_
I wanted to test the new long operation as it greatly reduce amount of operation on the queue since a full line using long write operation would used a single operation on the radio queue _x000D_
_x000D_
I tried it with the following code:_x000D_
_x000D_
   _x000D_
    getBleConnection() getCharacteristic(characteristicUuid) flatMap(characteristic     _x000D_
      characteristic setWriteType(BluetoothGattCharacteristic WRITE TYPE NO RESPONSE) _x000D_
_x000D_
      return getBleConnection() createNewLongWriteBuilder()_x000D_
                                setCharacteristic(characteristic)_x000D_
                                setMaxBatchSize(20)_x000D_
                                setBytes(bytes)_x000D_
                                build() _x000D_
     ) subscribe(ignore     _x000D_
       this::onError  this::onLineWritten) _x000D_
   _x000D_
_x000D_
Where the  onLineWritten  simply triggers the next line writing operation _x000D_
_x000D_
     Preconditions_x000D_
_x000D_
 br   _x000D_
_x000D_
     Steps to reproduce actual result_x000D_
_x000D_
Not clear  but here what I think _x000D_
_x000D_
1  Send multiple lines of data to a device  Each line taking more than 20 bytes _x000D_
2  Use the above code to trigger the line sending one by one and let RxAndroidBLE chunk them as needed _x000D_
3  Run the  upload  operation _x000D_
_x000D_
     Actual result_x000D_
_x000D_
There is crash happening  here the log part  the characteristic being written to is the one starting with  b4520104  and the  b4520107  is some kind of ACK channel that we don t really use _x000D_
_x000D_
The second line operation is hanging until a timeout occurs _x000D_
_x000D_
   _x000D_
02 13 12:28:21 426 D FlashFirmwareStateMachine: Trying to transition from  FLASH ACK RECEIVED (2)  to  FLASH PROGRESS (3)  _x000D_
02 13 12:28:21 427 D FlashFirmwareStateMachine: Writing  AA06063A000000003C4D23343232C223304B802923304B10105CCBAB51EE8C05A6CDD6A0531246B6977D4B49808AE5A6F85A6016D4BFD1DF18A791D803E82330D765D789540F3DCA0B942F3A203D07D16540C306BE7C9C4783F1C3111D7DC9E6516873A4C71C6C876836B1A7E523341F9BEC86DFF644E407AE1963E37AAEF666C6E1DC87AF1C5381F17D0E8E2D9F4382CB1792C3077482233197E21EC36416E53281696CB520F25675F749AD7451326E919660F183C98A250B7E1F1A6D43F81D769481559EDC8FF87480918BFA316A42B969DE118FF1928AF88F7230571E8DE2626D233587A67660BE6EC45049B07BC9CEBC975E30518C8456137AA9B1372779BC2D5BCCBB89B5E3C6D07BBE743FD39C12F33EBB  to device _x000D_
02 13 12:28:21 429 D RxBle Radio:   QUEUED RxBleRadioOperationCharacteristicLongWrite(91420617)_x000D_
02 13 12:28:21 430 D FlashFirmwareStateMachine: Emitting event  1   697 (0 14 )  _x000D_
02 13 12:28:21 430 D RxBle Radio:  STARTED RxBleRadioOperationCharacteristicLongWrite(91420617)_x000D_
02 13 12:28:21 451 D RxBle BluetoothGatt: onCharacteristicWrite characteristic b4520104 a308 4e56 8a52 536c2ad07147 status 0_x000D_
02 13 12:28:21 456 D RxBle BluetoothGatt: onCharacteristicWrite characteristic b4520104 a308 4e56 8a52 536c2ad07147 status 0_x000D_
02 13 12:28:21 463 D RxBle BluetoothGatt: onCharacteristicWrite characteristic b4520104 a308 4e56 8a52 536c2ad07147 status 0_x000D_
02 13 12:28:21 468 D RxBle BluetoothGatt: onCharacteristicWrite characteristic b4520104 a308 4e56 8a52 536c2ad07147 status 0_x000D_
02 13 12:28:21 473 D RxBle BluetoothGatt: onCharacteristicWrite characteristic b4520104 a308 4e56 8a52 536c2ad07147 status 0_x000D_
02 13 12:28:21 479 D RxBle BluetoothGatt: onCharacteristicWrite characteristic b4520104 a308 4e56 8a52 536c2ad07147 status 0_x000D_
02 13 12:28:21 483 D RxBle BluetoothGatt: onCharacteristicChanged characteristic b4520107 a308 4e56 8a52 536c2ad07147_x000D_
02 13 12:28:21 484 D RxBle BluetoothGatt: onCharacteristicWrite characteristic b4520104 a308 4e56 8a52 536c2ad07147 status 0_x000D_
02 13 12:28:21 497 D RxBle BluetoothGatt: onCharacteristicChanged characteristic b4520107 a308 4e56 8a52 536c2ad07147_x000D_
02 13 12:28:21 501 D RxBle BluetoothGatt: onCharacteristicWrite characteristic b4520104 a308 4e56 8a52 536c2ad07147 status 0_x000D_
02 13 12:28:21 515 D RxBle BluetoothGatt: onCharacteristicChanged characteristic b4520107 a308 4e56 8a52 536c2ad07147_x000D_
02 13 12:28:21 528 D RxBle BluetoothGatt: onCharacteristicChanged characteristic b4520107 a308 4e56 8a52 536c2ad07147_x000D_
02 13 12:28:21 530 D RxBle BluetoothGatt: onCharacteristicWrite characteristic b4520104 a308 4e56 8a52 536c2ad07147 status 0_x000D_
02 13 12:28:21 543 D RxBle BluetoothGatt: onCharacteristicWrite characteristic b4520104 a308 4e56 8a52 536c2ad07147 status 0_x000D_
02 13 12:28:21 553 D RxBle BluetoothGatt: onCharacteristicWrite characteristic b4520104 a308 4e56 8a52 536c2ad07147 status 0_x000D_
02 13 12:28:21 558 D RxBle BluetoothGatt: onCharacteristicWrite characteristic b4520104 a308 4e56 8a52 536c2ad07147 status 0_x000D_
02 13 12:28:21 560 D RxBle BluetoothGatt: onCharacteristicChanged characteristic b4520107 a308 4e56 8a52 536c2ad07147_x000D_
02 13 12:28:21 563 D RxBle BluetoothGatt: onCharacteristicWrite characteristic b4520104 a308 4e56 8a52 536c2ad07147 status 0_x000D_
02 13 12:28:21 572 D RxBle BluetoothGatt: onCharacteristicChanged characteristic b4520107 a308 4e56 8a52 536c2ad07147_x000D_
02 13 12:28:21 584 D RxBle BluetoothGatt: onCharacteristicWrite characteristic b4520104 a308 4e56 8a52 536c2ad07147 status 0_x000D_
02 13 12:28:21 585 V FlashFirmwareStateMachine: Wrote packet to device  checking if we can write next line _x000D_
02 13 12:28:21 586 D FlashFirmwareStateMachine: Writing  AA06063A000000003C414E559C91B161961B8DCCAA815466E15B9D0EF5726F256F00C65944F8E323302335664F946BBC30C24E91A5DEAC348D62AD8933C0EB1064A470FAC2E00FAB8BE012C5A670A52CFA433F1D6D01ED4F1AF62331D9B2938EBA4A701A524660D361496BA714204B01A9674A5FC6927AA7B3C98C8BFF3658C04F218EF3928329CF006B746A4841BD02BF682ED5C037571C5BDB92DD7F515049FF3DF608FB280784975CDF1D076F5CF1EADD3AE712B4F004E657DA6F21C7449541785223321A6AD1692542CE466C6BC6CCAADF427D99B0F21F98ACB88741592B15F242F5F9154B976E26F0D314C02262359612B240AF867B04CEA587EE6814CDBCCCBBD7F3609F45887562B87C5AB6EFE53EBB  to device _x000D_
02 13 12:28:21 590 D RxBle BluetoothGatt: onCharacteristicChanged characteristic b4520107 a308 4e56 8a52 536c2ad07147_x000D_
02 13 12:28:21 594 D RxBle Radio:   QUEUED RxBleRadioOperationCharacteristicLongWrite(10581863)_x000D_
02 13 12:28:21 596 D FlashFirmwareStateMachine: Emitting event  2   697 (0 29 )  _x000D_
02 13 12:28:21 598 D RxBle Radio: FINISHED RxBleRadioOperationCharacteristicLongWrite(91420617)_x000D_
02 13 12:28:21 599 D RxBle Radio:  STARTED RxBleRadioOperationCharacteristicLongWrite(10581863)_x000D_
02 13 12:28:21 604 D RxBle BluetoothGatt: onCharacteristicChanged characteristic b4520107 a308 4e56 8a52 536c2ad07147_x000D_
02 13 12:28:21 631 D RxBle BluetoothGatt: onCharacteristicWrite characteristic b4520104 a308 4e56 8a52 536c2ad07147 status 0_x000D_
02 13 12:28:21 662 D RxBle BluetoothGatt: onCharacteristicChanged characteristic b4520107 a308 4e56 8a52 536c2ad07147_x000D_
02 13 12:28:51 607 D RxBle Radio: FINISHED RxBleRadioOperationCharacteristicLongWrite(10581863)_x000D_
02 13 12:28:51 608 D FlashFirmwareStateMachine: Finishing with error (Received onError without having requested it) _x000D_
02 13 12:28:51 613 D FlashFirmwareStateMachine: Unsubscribing from subscriber(s) _x000D_
02 13 12:28:51 616 E BleDebugActivity: co samsao directardware exception NgmmDeviceStateMachineException: Received onError without having requested it_x000D_
02 13 12:28:51 616 E BleDebugActivity:     at co samsao directardware ngmm StateMachine finishWithError(StateMachine java:392)_x000D_
02 13 12:28:51 616 E BleDebugActivity:     at co samsao directardware ngmm StateMachine onError(StateMachine java:108)_x000D_
02 13 12:28:51 616 E BleDebugActivity:     at co samsao directardware ngmm StateMachine access lambda 10(StateMachine java)_x000D_
02 13 12:28:51 616 E BleDebugActivity:     at co samsao directardware ngmm StateMachine  Lambda 11 call(Unknown Source)_x000D_
02 13 12:28:51 616 E BleDebugActivity:     at rx internal util ActionSubscriber onError(ActionSubscriber java:44)_x000D_
02 13 12:28:51 616 E BleDebugActivity:     at rx observers SafeSubscriber  onError(SafeSubscriber java:153)_x000D_
02 13 12:28:51 616 E BleDebugActivity:     at rx observers SafeSubscriber onError(SafeSubscriber java:115)_x000D_
02 13 12:28:51 616 E BleDebugActivity:     at rx internal operators OperatorMerge MergeSubscriber reportError(OperatorMerge java:266)_x000D_
02 13 12:28:51 616 E BleDebugActivity:     at rx internal operators OperatorMerge MergeSubscriber checkTerminate(OperatorMerge java:818)_x000D_
02 13 12:28:51 616 E BleDebugActivity:     at rx internal operators OperatorMerge MergeSubscriber emitLoop(OperatorMerge java:579)_x000D_
02 13 12:28:51 616 E BleDebugActivity:     at rx internal operators OperatorMerge MergeSubscriber emit(OperatorMerge java:568)_x000D_
02 13 12:28:51 616 E BleDebugActivity:     at rx internal operators OperatorMerge InnerSubscriber onError(OperatorMerge java:852)_x000D_
02 13 12:28:51 616 E BleDebugActivity:     at rx observers Subscribers 5 onError(Subscribers java:230)_x000D_
02 13 12:28:51 616 E BleDebugActivity:     at rx observers Subscribers 5 onError(Subscribers java:230)_x000D_
02 13 12:28:51 616 E BleDebugActivity:     at rx observers Subscribers 5 onError(Subscribers java:230)_x000D_
02 13 12:28:51 616 E BleDebugActivity:     at rx subjects ReplaySubject ReplayUnboundedBuffer drain(ReplaySubject java:625)_x000D_
02 13 12:28:51 616 E BleDebugActivity:     at rx subjects ReplaySubject ReplayState onError(ReplaySubject java:470)_x000D_
02 13 12:28:51 616 E BleDebugActivity:     at rx subjects ReplaySubject onError(ReplaySubject java:247)_x000D_
02 13 12:28:51 616 E BleDebugActivity:     at com polidea rxandroidble internal RxBleRadioOperation onError(RxBleRadioOperation java:110)_x000D_
02 13 12:28:51 616 E BleDebugActivity:     at com polidea rxandroidble internal operations RxBleRadioOperationCharacteristicLongWrite access 400(RxBleRadioOperationCharacteristicLongWrite java:31)_x000D_
02 13 12:28:51 616 E BleDebugActivity:     at com polidea rxandroidble internal operations RxBleRadioOperationCharacteristicLongWrite 2 call(RxBleRadioOperationCharacteristicLongWrite java:111)_x000D_
02 13 12:28:51 616 E BleDebugActivity:     at com polidea rxandroidble internal operations RxBleRadioOperationCharacteristicLongWrite 2 call(RxBleRadioOperationCharacteristicLongWrite java:108)_x000D_
02 13 12:28:51 616 E BleDebugActivity:     at rx Completable 29 callOnError(Completable java:1997)_x000D_
02 13 12:28:51 616 E BleDebugActivity:     at rx Completable 29 onError(Completable java:1988)_x000D_
02 13 12:28:51 616 E BleDebugActivity:     at rx Completable 10 1 onError(Completable java:582)_x000D_
02 13 12:28:51 617 E BleDebugActivity:     at rx internal operators OnSubscribeRedo 4 1 onError(OnSubscribeRedo java:326)_x000D_
02 13 12:28:51 617 E BleDebugActivity:     at rx internal operators OperatorTakeWhile 2 onError(OperatorTakeWhile java:85)_x000D_
02 13 12:28:51 617 E BleDebugActivity:     at rx internal operators OnSubscribeMap MapSubscriber onError(OnSubscribeMap java:88)_x000D_
02 13 12:28:51 617 E BleDebugActivity:     at rx internal operators OnSubscribeMap MapSubscriber onError(OnSubscribeMap java:88)_x000D_
02 13 12:28:51 617 E BleDebugActivity:     at rx internal operators OnSubscribeRedo 3 1 onNext(OnSubscribeRedo java:300)_x000D_
02 13 12:28:51 617 E BleDebugActivity:     at rx internal operators OnSubscribeRedo 3 1 onNext(OnSubscribeRedo java:284)_x000D_
02 13 12:28:51 617 E BleDebugActivity:     at rx internal operators NotificationLite accept(NotificationLite java:141)_x000D_
02 13 12:28:51 617 E BleDebugActivity:     at rx subjects SubjectSubscriptionManager SubjectObserver emitNext(SubjectSubscriptionManager java:253)_x000D_
02 13 12:28:51 617 E BleDebugActivity:     at rx subjects BehaviorSubject onNext(BehaviorSubject java:160)_x000D_
02 13 12:28:51 617 E BleDebugActivity:     at rx observers SerializedObserver onNext(SerializedObserver java:91)_x000D_
02 13 12:28:51 617 E BleDebugActivity:     at rx subjects SerializedSubject onNext(SerializedSubject java:67)_x000D_
02 13 12:28:51 617 E BleDebugActivity:     at rx internal operators OnSubscribeRedo 2 1 onError(OnSubscribeRedo java:237)_x000D_
02 13 12:28:51 617 E BleDebugActivity:     at rx observers SerializedObserver onError(SerializedObserver java:152)_x000D_
02 13 12:28:51 617 E BleDebugActivity:     at rx observers SerializedSubscriber onError(SerializedSubscriber java:78)_x000D_
02 13 12:28:51 617 E BleDebugActivity:     at rx internal operators OperatorTimeoutBase TimeoutSubscriber 1 onError(OperatorTimeoutBase java:187)_x000D_
02 13 12:28:51 617 E BleDebugActivity:     at rx internal operators OnSubscribeThrow call(OnSubscribeThrow java:44)_x000D_
02 13 12:28:51 617 E BleDebugActivity:     at rx internal operators OnSubscribeThrow call(OnSubscribeThrow java:28)_x000D_
02 13 12:28:51 617 E BleDebugActivity:     at rx Observable unsafeSubscribe(Observable java:10200)_x000D_
02 13 12:28:51 617 E BleDebugActivity:     at rx internal operators OperatorTimeoutBase TimeoutSubscriber onTimeout(OperatorTimeoutBase java:200)_x000D_
02 13 12:28:51 617 E BleDebugActivity:     at rx internal operators OperatorTimeout 1 1 call(OperatorTimeout java:41)_x000D_
02 13 12:28:51 617 E BleDebugActivity:     at rx internal schedulers EventLoopsScheduler EventLoopWorker 2 call(EventLoopsScheduler java:189)_x000D_
02 13 12:28:51 617 E BleDebugActivity:     at rx internal schedulers ScheduledAction run(ScheduledAction java:55)_x000D_
02 13 12:28:51 617 E BleDebugActivity:     at java util concurrent Executors RunnableAdapter call(Executors java:428)_x000D_
02 13 12:28:51 617 E BleDebugActivity:     at java util concurrent FutureTask run(FutureTask java:237)_x000D_
02 13 12:28:51 617 E BleDebugActivity:     at java util concurrent ScheduledThreadPoolExecutor ScheduledFutureTask run(ScheduledThreadPoolExecutor java:272)_x000D_
02 13 12:28:51 617 E BleDebugActivity:     at java util concurrent ThreadPoolExecutor runWorker(ThreadPoolExecutor java:1133)_x000D_
02 13 12:28:51 617 E BleDebugActivity:     at java util concurrent ThreadPoolExecutor Worker run(ThreadPoolExecutor java:607)_x000D_
02 13 12:28:51 617 E BleDebugActivity:     at java lang Thread run(Thread java:761)_x000D_
02 13 12:28:51 617 E BleDebugActivity: Caused by: BleGattCallbackTimeoutException macAddress C9:27:49:98:4B:E2  status  1 (0xffffffff)  bleGattOperationType BleGattOperation description  CHARACTERISTIC LONG WRITE   _x000D_
02 13 12:28:51 617 E BleDebugActivity:     at com polidea rxandroidble internal operations RxBleRadioOperationCharacteristicLongWrite protectedRun(RxBleRadioOperationCharacteristicLongWrite java:82)_x000D_
02 13 12:28:51 617 E BleDebugActivity:     at com polidea rxandroidble internal RxBleRadioOperation run(RxBleRadioOperation java:44)_x000D_
02 13 12:28:51 617 E BleDebugActivity:     at com polidea rxandroidble internal radio RxBleRadioImpl 1 1 call(RxBleRadioImpl java:59)_x000D_
02 13 12:28:51 617 E BleDebugActivity:     at com polidea rxandroidble internal radio RxBleRadioImpl 1 1 call(RxBleRadioImpl java:56)_x000D_
   _x000D_
   _x000D_
     Expected result_x000D_
_x000D_
I think this code should work  Since I write the next line only on the  onComplete  callback  there is no reason the next line can not be written correctly and that a timeout occurs  _x000D_
_x000D_
Note that a similar code without using long write operation does work correctly:_x000D_
_x000D_
   _x000D_
        mPacketWriter write(characteristicUuid  bytes  delay  delayUnit) subscribe(ignore     _x000D_
           this::onError  this::onLineWritten) _x000D_
   _x000D_
_x000D_
Where  mPacketWriter  is a custom chunker that creates all the chunks to write and then  concatMap  them using the  mBleConnection writeCharacteristic  observable as the  synchronization  point _x000D_
</t>
  </si>
  <si>
    <t>BaseballCardTracker-bbct-android-411</t>
  </si>
  <si>
    <t xml:space="preserve">     in bbct android common provider BaseballCardProvider update
  Number of crashes: 1
  Impacted devices: 1
There s a lot more information about this crash on crashlytics com:
 https:  fabric io codeguru apps android apps bbct android issues 58a137540aeb16625b3907e4 (https:  fabric io codeguru apps android apps bbct android issues 58a137540aeb16625b3907e4)</t>
  </si>
  <si>
    <t>kontalk-androidclient-954</t>
  </si>
  <si>
    <t>Crash after reaching PTT time limit</t>
  </si>
  <si>
    <t xml:space="preserve">Try to record a voice message from the PTT button until the limit of 1 minute is reached  Recording is stopped and as soon as you lift your finger  the app will incur in a native crash </t>
  </si>
  <si>
    <t>ForstaLabs-relay-18</t>
  </si>
  <si>
    <t>Figure out why the version on the App store is not working for Art</t>
  </si>
  <si>
    <t xml:space="preserve">We were unable to get Art using the version of Relay from the App store because it would crash at the stage that it starts sending an SMS verification  (the section where is checks off the 4 tasks once you click the link in your email </t>
  </si>
  <si>
    <t>florent37-CameraFragment-12</t>
  </si>
  <si>
    <t>Nexus 7 crash</t>
  </si>
  <si>
    <t>Hey_x000D_
I got a crash on first nexus 7 device  it has no back camera   only front camera_x000D_
_x000D_
Crashlog_x000D_
 java lang RuntimeException: Unable to start activity ComponentInfo at rosenbauer emerec mobile at rosenbauer emerec feed feed photovideo CapturePhotoVideoActivity : java lang NullPointerException: Attempt to invoke virtual method  boolean java lang Integer equals(java lang Object)  on a null object reference_x000D_
02 14 08:53:31 563 17915 17915   W System err:     at android app ActivityThread performLaunchActivity(ActivityThread java:2358)_x000D_
02 14 08:53:31 563 17915 17915   W System err:     at android app ActivityThread handleLaunchActivity(ActivityThread java:2420)_x000D_
02 14 08:53:31 563 17915 17915   W System err:     at android app ActivityThread access 900(ActivityThread java:154)_x000D_
02 14 08:53:31 563 17915 17915   W System err:     at android app ActivityThread H handleMessage(ActivityThread java:1321)_x000D_
02 14 08:53:31 563 17915 17915   W System err:     at android os Handler dispatchMessage(Handler java:102)_x000D_
02 14 08:53:31 563 17915 17915   W System err:     at android os Looper loop(Looper java:135)_x000D_
02 14 08:53:31 563 17915 17915   W System err:     at android app ActivityThread main(ActivityThread java:5294)_x000D_
02 14 08:53:31 563 17915 17915   W System err:     at java lang reflect Method invoke(Native Method)_x000D_
02 14 08:53:31 563 17915 17915   W System err:     at java lang reflect Method invoke(Method java:372)_x000D_
02 14 08:53:31 563 17915 17915   W System err:     at com android internal os ZygoteInit MethodAndArgsCaller run(ZygoteInit java:904)_x000D_
02 14 08:53:31 563 17915 17915   W System err:     at com android internal os ZygoteInit main(ZygoteInit java:699)_x000D_
02 14 08:53:31 563 17915 17915   W System err: Caused by: java lang NullPointerException: Attempt to invoke virtual method  boolean java lang Integer equals(java lang Object)  on a null object reference_x000D_
02 14 08:53:31 563 17915 17915   W System err:     at com github florent37 camerafragment internal controller impl Camera1Controller switchCamera(Camera1Controller java:105)_x000D_
02 14 08:53:31 563 17915 17915   W System err:     at com github florent37 camerafragment internal ui BaseAnncaFragment setCameraTypeFrontBack(BaseAnncaFragment java:436)_x000D_
02 14 08:53:31 563 17915 17915   W System err:     at com github florent37 camerafragment internal ui BaseAnncaFragment onViewCreated(BaseAnncaFragment java:270)_x000D_
02 14 08:53:31 563 17915 17915   W System err:     at android support v4 app FragmentManagerImpl moveToState(FragmentManager java:1314)_x000D_
02 14 08:53:31 563 17915 17915   W System err:     at android support v4 app FragmentManagerImpl moveFragmentToExpectedState(FragmentManager java:1528)_x000D_
02 14 08:53:31 563 17915 17915   W System err:     at android support v4 app FragmentManagerImpl moveToState(FragmentManager java:1595)_x000D_
02 14 08:53:31 563 17915 17915   W System err:     at android support v4 app BackStackRecord executeOps(BackStackRecord java:757)_x000D_
02 14 08:53:31 563 17915 17915   W System err:     at android support v4 app FragmentManagerImpl executeOps(FragmentManager java:2355)_x000D_
02 14 08:53:31 563 17915 17915   W System err:     at android support v4 app FragmentManagerImpl executeOpsTogether(FragmentManager java:2146)_x000D_
02 14 08:53:31 563 17915 17915   W System err:     at android support v4 app FragmentManagerImpl optimizeAndExecuteOps(FragmentManager java:2098)_x000D_
02 14 08:53:31 563 17915 17915   W System err:     at android support v4 app FragmentManagerImpl execPendingActions(FragmentManager java:2008)_x000D_
02 14 08:53:31 564 17915 17915   W System err:     at android support v4 app FragmentController execPendingActions(FragmentController java:388)_x000D_
02 14 08:53:31 564 17915 17915   W System err:     at android support v4 app FragmentActivity onStart(FragmentActivity java:607)_x000D_
02 14 08:53:31 564 17915 17915   W System err:     at android support v7 app AppCompatActivity onStart(AppCompatActivity java:178)_x000D_
02 14 08:53:31 564 17915 17915   W System err:     at android app Instrumentation callActivityOnStart(Instrumentation java:1236)_x000D_
02 14 08:53:31 564 17915 17915   W System err:     at android app Activity performStart(Activity java:6006)_x000D_
02 14 08:53:31 564 17915 17915   W System err:     at android app ActivityThread performLaunchActivity(ActivityThread java:2321)_x000D_
02 14 08:53:31 564 17915 17915   W System err: 	    10 more</t>
  </si>
  <si>
    <t>scottwainstock-pbm-android-146</t>
  </si>
  <si>
    <t>If the region you're on gets deleted, the app crashes</t>
  </si>
  <si>
    <t xml:space="preserve">Steps:_x000D_
Open Android app to a region that I m about to delete _x000D_
Close Android app _x000D_
Delete region _x000D_
Open Android app _x000D_
_x000D_
Result:_x000D_
App crashes  Have to reinstall to get past it _x000D_
_x000D_
I think we need something similar to the iOS app  where the app checks if the current region exists  and if it doesn t  you get sent to the region select screen </t>
  </si>
  <si>
    <t>fr3ts0n-AndrOBD-27</t>
  </si>
  <si>
    <t>ConcurrentModificationException when displaying OBD data screen</t>
  </si>
  <si>
    <t xml:space="preserve">I am not sure it s relevant to this issue but for completeness sake: the car I have this issue on is a 2009 Hyundai Sonata GLS  The engine is started before I plug in the adapter  This adapter (a Bluetooth ELM  a clone I suppose though I don t know) has been used successfully with this car as well as a 2003 Pontiac Grand Am with another app that only retrieves trouble codes _x000D_
_x000D_
After connecting to the ECU  I can access the  OBD Vehicle Info  screen  It loads and is populated with the correct information (the VIN is correct  etc )  If I select  OBD Data  the application crashes  In logcat  I see this:_x000D_
_x000D_
02 15 10:29:13 240 16008 16008 E AndroidRuntime: FATAL EXCEPTION: main_x000D_
02 15 10:29:13 240 16008 16008 E AndroidRuntime: java util ConcurrentModificationException_x000D_
02 15 10:29:13 240 16008 16008 E AndroidRuntime: 	at java util HashMap HashIterator nextEntry(HashMap java:792)_x000D_
02 15 10:29:13 240 16008 16008 E AndroidRuntime: 	at java util HashMap ValueIterator next(HashMap java:824)_x000D_
02 15 10:29:13 240 16008 16008 E AndroidRuntime: 	at com fr3ts0n ecu gui androbd ObdItemAdapter addAllDataSeries(ObdItemAdapter java:231)_x000D_
02 15 10:29:13 240 16008 16008 E AndroidRuntime: 	at com fr3ts0n ecu gui androbd ObdItemAdapter setPvList(ObdItemAdapter java:97)_x000D_
02 15 10:29:13 240 16008 16008 E AndroidRuntime: 	at com fr3ts0n ecu gui androbd MainActivity 2 handleMessage(MainActivity java:373)_x000D_
02 15 10:29:13 240 16008 16008 E AndroidRuntime: 	at android os Handler dispatchMessage(Handler java:99)_x000D_
02 15 10:29:13 240 16008 16008 E AndroidRuntime: 	at android os Looper loop(Looper java:137)_x000D_
02 15 10:29:13 240 16008 16008 E AndroidRuntime: 	at android app ActivityThread main(ActivityThread java:5227)_x000D_
02 15 10:29:13 240 16008 16008 E AndroidRuntime: 	at java lang reflect Method invokeNative(Native Method)_x000D_
02 15 10:29:13 240 16008 16008 E AndroidRuntime: 	at java lang reflect Method invoke(Method java:511)_x000D_
02 15 10:29:13 240 16008 16008 E AndroidRuntime: 	at com android internal os ZygoteInit MethodAndArgsCaller run(ZygoteInit java:795)_x000D_
02 15 10:29:13 240 16008 16008 E AndroidRuntime: 	at com android internal os ZygoteInit main(ZygoteInit java:562)_x000D_
02 15 10:29:13 240 16008 16008 E AndroidRuntime: 	at dalvik system NativeStart main(Native Method)_x000D_
</t>
  </si>
  <si>
    <t>crazyhitty-Capstone-Project-9</t>
  </si>
  <si>
    <t>Application crashes on pre-nougat devices when sharing a post from post details screen.</t>
  </si>
  <si>
    <t xml:space="preserve">Application crashes whenever user shares any post from its details screen _x000D_
_x000D_
   _x000D_
Exception android util AndroidRuntimeException: Calling startActivity() from outside of an Activity context requires the FLAG ACTIVITY NEW TASK flag  Is this really what you want _x000D_
android app ContextImpl startActivity (ContextImpl java:677)_x000D_
android app ContextImpl startActivity (ContextImpl java:664)_x000D_
android content ContextWrapper startActivity (ContextWrapper java:331)_x000D_
com crazyhitty chdev ks predator core postDetails PostDetailsPresenter sharePostDetails (PostDetailsPresenter java:550)_x000D_
com crazyhitty chdev ks predator ui activities PostDetailsActivity onOptionsItemSelected (PostDetailsActivity java:484)_x000D_
android app Activity onMenuItemSelected (Activity java:2964)_x000D_
android support v4 app FragmentActivity onMenuItemSelected (FragmentActivity java:408)_x000D_
android support v7 app AppCompatActivity onMenuItemSelected (AppCompatActivity java:195)_x000D_
android support v7 view WindowCallbackWrapper onMenuItemSelected (WindowCallbackWrapper java:113)_x000D_
android support v7 view WindowCallbackWrapper onMenuItemSelected (WindowCallbackWrapper java:113)_x000D_
android support v7 app ToolbarActionBar 2 onMenuItemClick (ToolbarActionBar java:69)_x000D_
android support v7 widget Toolbar 1 onMenuItemClick (Toolbar java:206)_x000D_
android support v7 widget ActionMenuView MenuBuilderCallback onMenuItemSelected (ActionMenuView java:776)_x000D_
android support v7 view menu MenuBuilder dispatchMenuItemSelected (MenuBuilder java:822)_x000D_
android support v7 view menu MenuItemImpl invoke (MenuItemImpl java:156)_x000D_
android support v7 view menu MenuBuilder performItemAction (MenuBuilder java:969)_x000D_
android support v7 view menu MenuBuilder performItemAction (MenuBuilder java:959)_x000D_
android support v7 widget ActionMenuView invokeItem (ActionMenuView java:623)_x000D_
android support v7 view menu ActionMenuItemView onClick (ActionMenuItemView java:154)_x000D_
android view View performClick (View java:5265)_x000D_
android view View PerformClick run (View java:21534)_x000D_
android os Handler handleCallback (Handler java:815)_x000D_
android os Handler dispatchMessage (Handler java:104)_x000D_
android os Looper loop (Looper java:207)_x000D_
android app ActivityThread main (ActivityThread java:5728)_x000D_
java lang reflect Method invoke (Method java)_x000D_
com android internal os ZygoteInit MethodAndArgsCaller run (ZygoteInit java:789)_x000D_
com android internal os ZygoteInit main (ZygoteInit java:679)_x000D_
   _x000D_
_x000D_
The crash indicates that the application is starting the sharing intent without FLAG ACTIVITY NEW TASK flag  But the code already has it implemented  Weird bug  I guess  Will try to move sharing functionality from Presenter logic to Activity itself </t>
  </si>
  <si>
    <t>Cloudkibo-Android-499</t>
  </si>
  <si>
    <t>App crashes on new install</t>
  </si>
  <si>
    <t xml:space="preserve">Steps:_x000D_
1  Uninstall the current version of kibochat _x000D_
2  Download and install app from playstore _x000D_
3  Login with your number _x000D_
4  App crashes after you click continue after entering facebook login code _x000D_
_x000D_
Following are the acra logs for this error _x000D_
_x000D_
  screenshot 20170215 160300 (https:  cloud githubusercontent com assets 16760128 22971833 e07b39be f398 11e6 8200 bafb4c7f1fc6 png)_x000D_
</t>
  </si>
  <si>
    <t>michael-rapp-AndroidPreferenceActivity-20</t>
  </si>
  <si>
    <t>java.lang.IllegalStateException: Fragment AppearancePreferenceFragment not attached to Activity</t>
  </si>
  <si>
    <t xml:space="preserve">there is a problem with the restore defaults button  it works for the first time  if you keep pushing restore press ok in the dialog it will crash in both appearance and behavior  you don t need to change any value in preferences just press restore defaults for a few times and hit ok _x000D_
the error is different for appearance and behavior  and if you press restore defaults for 2nd time in appearance and press ok  the dialog comes again without needing to press restore this time _x000D_
here is the error for behavior:_x000D_
   _x000D_
java lang NullPointerException: Attempt to invoke virtual method  boolean java lang Boolean booleanValue()  on a null object reference_x000D_
                      at de mrapp android preference activity example fragment BehaviorPreferenceFragment 1 onPreferenceChange(BehaviorPreferenceFragment java:49)_x000D_
                      at de mrapp android preference activity example fragment BehaviorPreferenceFragment onRestoredDefaultValue(BehaviorPreferenceFragment java:112)_x000D_
                      at de mrapp android preference activity PreferenceFragment notifyOnRestoredDefaultValue(PreferenceFragment java:409)_x000D_
                      at de mrapp android preference activity PreferenceFragment restoreDefaults(PreferenceFragment java:316)_x000D_
                      at de mrapp android preference activity PreferenceFragment restoreDefaults(PreferenceFragment java:307)_x000D_
                      at de mrapp android preference activity PreferenceFragment restoreDefaults(PreferenceFragment java:472)_x000D_
                      at de mrapp android preference activity example fragment RestoreDefaultsDialogListener 1 onClick(RestoreDefaultsDialogListener java:55)_x000D_
                      at com android internal app AlertController ButtonHandler handleMessage(AlertController java:173)_x000D_
                      at android os Handler dispatchMessage(Handler java:102)_x000D_
                      at android os Looper loop(Looper java:158)_x000D_
                      at android app ActivityThread main(ActivityThread java:7229)_x000D_
                      at java lang reflect Method invoke(Native Method)_x000D_
                      at com android internal os ZygoteInit MethodAndArgsCaller run(ZygoteInit java:1230)_x000D_
                      at com android internal os ZygoteInit main(ZygoteInit java:1120)_x000D_
_x000D_
   _x000D_
here is the error for appearance:_x000D_
   _x000D_
java lang IllegalStateException: Fragment AppearancePreferenceFragment 9424a56  not attached to Activity_x000D_
                      at android app Fragment getResources(Fragment java:819)_x000D_
                      at android app Fragment getString(Fragment java:841)_x000D_
                      at de mrapp android preference activity example fragment AppearancePreferenceFragment onRestoredDefaultValue(AppearancePreferenceFragment java:228)_x000D_
                      at de mrapp android preference activity PreferenceFragment notifyOnRestoredDefaultValue(PreferenceFragment java:409)_x000D_
                      at de mrapp android preference activity PreferenceFragment restoreDefaults(PreferenceFragment java:316)_x000D_
                      at de mrapp android preference activity PreferenceFragment restoreDefaults(PreferenceFragment java:307)_x000D_
                      at de mrapp android preference activity PreferenceFragment restoreDefaults(PreferenceFragment java:472)_x000D_
                      at de mrapp android preference activity example fragment RestoreDefaultsDialogListener 1 onClick(RestoreDefaultsDialogListener java:55)_x000D_
                      at com android internal app AlertController ButtonHandler handleMessage(AlertController java:173)_x000D_
                      at android os Handler dispatchMessage(Handler java:102)_x000D_
                      at android os Looper loop(Looper java:158)_x000D_
                      at android app ActivityThread main(ActivityThread java:7229)_x000D_
                      at java lang reflect Method invoke(Native Method)_x000D_
                      at com android internal os ZygoteInit MethodAndArgsCaller run(ZygoteInit java:1230)_x000D_
                      at com android internal os ZygoteInit main(ZygoteInit java:1120)_x000D_
_x000D_
   </t>
  </si>
  <si>
    <t>nextcloud-android-665</t>
  </si>
  <si>
    <t>20170216 Cachesize</t>
  </si>
  <si>
    <t xml:space="preserve">    Actual behaviour_x000D_
Just a small thing:_x000D_
  enter 100 as cachesize: cachesize will be set to 100 MB_x000D_
  enter 0100 as cachesize: cachesize will be set to 64 mb_x000D_
  enter 0700 as cachesize: cachesize will be set to 448 MB_x000D_
  enter 018 as cachesize: app crashes _x000D_
  enter 008 as cachesize: app crashes _x000D_
    Expected behaviour_x000D_
  Also cachesizes with leading 0 should be handled correct_x000D_
 _x000D_
    Steps to reproduce_x000D_
see above_x000D_
_x000D_
    Environment data_x000D_
Android version:_x000D_
7 0_x000D_
Device model: _x000D_
sgs7_x000D_
Stock or customized system:_x000D_
stock _x000D_
Nextcloud app version:_x000D_
beta 20140216_x000D_
Nextcloud server version:_x000D_
11 0 2RC1_x000D_
    Logs_x000D_
     Web server error log_x000D_
Nothing related_x000D_
     Nextcloud log (data nextcloud log)_x000D_
Nothing related_x000D_
</t>
  </si>
  <si>
    <t>requery-sqlite-android-35</t>
  </si>
  <si>
    <t>Native crashes</t>
  </si>
  <si>
    <t xml:space="preserve">I am encountering some native crashes in my application  I don t know if this is a problem in the library  SQLite itself  or my own application  so any advice on narrowing this down would be appreciated  I am on release 3 16 0 _x000D_
_x000D_
In both cases below  data is inserted into the database which is then   closed   and then   opened   again shortly after  The crashes occur when trying to open the DB   I ve logged two crashes and I can t figure out any pattern to which one I end up with (my reproduction steps are not deterministic) _x000D_
_x000D_
1_x000D_
   _x000D_
02 16 12:02:22 656 19894 19954 com ichi2 anki A libc: Fatal signal 11 (SIGSEGV)  code 2  fault addr 0xaef15664 in tid 19954 (AsyncTask  1)_x000D_
02 16 12:02:22 762 201 201   A DEBUG:                                                                _x000D_
02 16 12:02:22 762 201 201   A DEBUG: Build fingerprint:  google hammerhead hammerhead:6 0 1 M4B30Z 3437181:user release keys _x000D_
02 16 12:02:22 762 201 201   A DEBUG: Revision:  11 _x000D_
02 16 12:02:22 762 201 201   A DEBUG: ABI:  arm _x000D_
02 16 12:02:22 762 201 201   A DEBUG: pid: 19894  tid: 19954  name: AsyncTask  1      com ichi2 anki    _x000D_
02 16 12:02:22 762 201 201   A DEBUG: signal 11 (SIGSEGV)  code 2 (SEGV ACCERR)  fault addr 0xaef15664_x000D_
02 16 12:02:22 781 201 201   A DEBUG:     r0 94740699  r1 aef15688  r2 000a4dcf  r3 94740000_x000D_
02 16 12:02:22 781 201 201   A DEBUG:     r4 ab4b2de0  r5 aef15688  r6 af05f228  r7 af05f260_x000D_
02 16 12:02:22 781 201 201   A DEBUG:     r8 1303da20  r9 acbd5e00  sl 1303d780  fp 70710558_x000D_
02 16 12:02:22 781 201 201   A DEBUG:     ip aef58b30  sp aef15688  lr aeed53ab  pc aeed62e8  cpsr 800e0030_x000D_
02 16 12:02:22 783 201 201   A DEBUG: backtrace:_x000D_
02 16 12:02:22 783 201 201   A DEBUG:      00 pc 0000f2e8   data app com ichi2 anki 1 lib arm libsqlite3x so ( ZNSs20 M compute next sizeEj 55)_x000D_
02 16 12:02:22 783 201 201   A DEBUG:      01 pc f8dab133   unknown _x000D_
02 16 12:02:23 659 201 201   A DEBUG: Tombstone written to:  data tombstones tombstone 02_x000D_
02 16 12:02:23 659 201 201   E DEBUG: AM write failed: Broken pipe_x000D_
   _x000D_
_x000D_
2_x000D_
   _x000D_
02 16 11:23:42 523 8556 8778 com ichi2 anki A libc: Fatal signal 11 (SIGSEGV)  code 1  fault addr 0x9c940000 in tid 8778 (AsyncTask  4)_x000D_
02 16 11:23:42 625 198 198   A DEBUG:                                                                _x000D_
02 16 11:23:42 625 198 198   A DEBUG: Build fingerprint:  google hammerhead hammerhead:6 0 1 M4B30Z 3437181:user release keys _x000D_
02 16 11:23:42 625 198 198   A DEBUG: Revision:  11 _x000D_
02 16 11:23:42 625 198 198   A DEBUG: ABI:  arm _x000D_
02 16 11:23:42 625 198 198   A DEBUG: pid: 8556  tid: 8778  name: AsyncTask  4      com ichi2 anki    _x000D_
02 16 11:23:42 625 198 198   A DEBUG: signal 11 (SIGSEGV)  code 1 (SEGV MAPERR)  fault addr 0x9c940000_x000D_
02 16 11:23:42 659 198 198   A DEBUG:     r0 92680699  r1 9c935688  r2 000a4dcf  r3 0000003e_x000D_
02 16 11:23:42 659 198 198   A DEBUG:     r4 0000003e  r5 00000002  r6 00000002  r7 00004bce_x000D_
02 16 11:23:42 659 198 198   A DEBUG:     r8 000000e4  r9 000054ed  sl 000054bc  fp 000000e0_x000D_
02 16 11:23:42 659 198 198   A DEBUG:     ip 0000fffd  sp 9c935664  lr 000054ec  pc aec023b0  cpsr 400e0030_x000D_
02 16 11:23:42 712 198 198   A DEBUG: backtrace:_x000D_
02 16 11:23:42 712 198 198   A DEBUG:      00 pc 0000f3b0   data app com ichi2 anki 2 lib arm libsqlite3x so ( ZN7android19utf8ToJavaCharArrayEPKcPti 199)_x000D_
02 16 11:23:42 712 198 198   A DEBUG:      01 pc 0000e3a7   data app com ichi2 anki 2 lib arm libsqlite3x so_x000D_
02 16 11:23:42 712 198 198   A DEBUG:      02 pc 00ccdd67   data app com ichi2 anki 2 oat arm base odex (offset 0x627000) (java lang String io requery android database CursorWindow nativeGetString(long  int  int) 106)_x000D_
02 16 11:23:42 712 198 198   A DEBUG:      03 pc 00cceb47   data app com ichi2 anki 2 oat arm base odex (offset 0x627000) (java lang String io requery android database CursorWindow getString(int  int) 106)_x000D_
02 16 11:23:42 712 198 198   A DEBUG:      04 pc 00cccee5   data app com ichi2 anki 2 oat arm base odex (offset 0x627000) (java lang String io requery android database AbstractWindowedCursor getString(int) 96)_x000D_
02 16 11:23:42 712 198 198   A DEBUG:      05 pc 0093d0ff   data app com ichi2 anki 2 oat arm base odex (offset 0x627000) (void com ichi2 libanki Collection load() 770)_x000D_
02 16 11:23:42 712 198 198   A DEBUG:      06 pc 0092ee35   data app com ichi2 anki 2 oat arm base odex (offset 0x627000) (void com ichi2 libanki Collection  init (android content Context  com ichi2 libanki DB  java lang String  boolean  boolean) 856)_x000D_
02 16 11:23:42 712 198 198   A DEBUG:      07 pc 009adf8f   data app com ichi2 anki 2 oat arm base odex (offset 0x627000) (com ichi2 libanki Collection com ichi2 libanki Storage Collection(android content Context  java lang String  boolean  boolean) 634)_x000D_
02 16 11:23:42 712 198 198   A DEBUG:      08 pc 008b951d   data app com ichi2 anki 2 oat arm base odex (offset 0x627000) (com ichi2 libanki Collection com ichi2 anki CollectionHelper getCol(android content Context) 440)_x000D_
02 16 11:23:42 712 198 198   A DEBUG:      09 pc 008b96d9   data app com ichi2 anki 2 oat arm base odex (offset 0x627000) (com ichi2 libanki Collection com ichi2 anki CollectionHelper getColSafe(android content Context) 60)_x000D_
02 16 11:23:42 713 198 198   A DEBUG:      10 pc 00c7112f   data app com ichi2 anki 2 oat arm base odex (offset 0x627000) (com ichi2 async DeckTask TaskData com ichi2 async DeckTask doInBackground(com ichi2 async DeckTask TaskData  ) 1218)_x000D_
02 16 11:23:42 713 198 198   A DEBUG:      11 pc 00c72281   data app com ichi2 anki 2 oat arm base odex (offset 0x627000) (java lang Object com ichi2 async DeckTask doInBackground(java lang Object  ) 92)_x000D_
02 16 11:23:42 713 198 198   A DEBUG:      12 pc 7355bfb3   data dalvik cache arm system framework boot oat (offset 0x1ed6000)_x000D_
02 16 11:23:43 395 198 198   A DEBUG: Tombstone written to:  data tombstones tombstone 01_x000D_
02 16 11:23:43 395 198 198   E DEBUG: AM write failed: Broken pipe_x000D_
   </t>
  </si>
  <si>
    <t>codinguser-gnucash-android-654</t>
  </si>
  <si>
    <t>App crashes when trying modify account if default transaction account no longer exist.</t>
  </si>
  <si>
    <t xml:space="preserve">     Steps to reproduce the behaviour_x000D_
1  Use double entry mode _x000D_
2  Create account A and B _x000D_
3  Set B s default transaction account to A _x000D_
4  Remove account A _x000D_
5  Modify account B  crash occurred _x000D_
_x000D_
     Expected behaviour_x000D_
Open account modifying interface _x000D_
_x000D_
     Actual behaviour_x000D_
App crashed _x000D_
_x000D_
     Software specifications_x000D_
  GnuCash Android version: 2 1 4_x000D_
  System Android version: Nougat 7 1 1_x000D_
  Device type: Google Pixel_x000D_
</t>
  </si>
  <si>
    <t>google-conscrypt-97</t>
  </si>
  <si>
    <t>Check for errors correctly</t>
  </si>
  <si>
    <t xml:space="preserve">Filing this here so someone remembers to deal with it:_x000D_
_x000D_
Conscrypt needs to make the equivalent change in error handling to this CL:_x000D_
https:  android googlesource com platform libcore   ef742f1823504e4166f678d2651cccf16e711b1e_x000D_
_x000D_
throwExceptionIfNecessary isn t the right pattern for these APIs  It s very easy to leave stuff in the error queue and  if there is anything left there  Conscrypt will incorrectly think a function failed  We ve seen Conscrypt crashes in Chrome when we call to the X 509 code due to this </t>
  </si>
  <si>
    <t>react-native-svg-react-native-svg-258</t>
  </si>
  <si>
    <t>Crash: removedChildren count (0)  was not what we expected (56)</t>
  </si>
  <si>
    <t xml:space="preserve">I get the error above which results in a crash _x000D_
_x000D_
This error happens when I try to remove the view that contains lot s of lines rendered like so:_x000D_
_x000D_
   javascript_x000D_
const linesArray      _x000D_
for (let i   0  lineCnt   Math ceil(realLineCnt)  i    lineCnt  i    1)  _x000D_
       top left pivot_x000D_
    linesArray push(_x000D_
       Line_x000D_
        key  i _x000D_
        x1  i   (props strokeWidth   2 83333333) _x000D_
        y1   5 _x000D_
_x000D_
        x2  (i   (props strokeWidth   2 83333333))   ((props width   props height)   props width) _x000D_
        y2  props height   5 _x000D_
_x000D_
        stroke  props strokeColor _x000D_
        strokeWidth  props strokeWidth _x000D_
        ) _x000D_
   _x000D_
   _x000D_
_x000D_
which are later rendered like so:_x000D_
_x000D_
   javascript_x000D_
 SvgRender_x000D_
        height  props height _x000D_
        width  props width _x000D_
        style  styles svgContainer _x000D_
       _x000D_
         linesArray _x000D_
   SvgRender _x000D_
   _x000D_
_x000D_
_x000D_
I see the error in a react native red box  but the error originates from  this react native (https:  github com facebook react native blob master React Modules RCTUIManager m L781) line of code _x000D_
_x000D_
_x000D_
I assume that the number 56 is the number of my lines _x000D_
Could it be that  react native svg  makes it hard for react native to remove it s children and deallocate their memory _x000D_
_x000D_
Please advise </t>
  </si>
  <si>
    <t>rodrif-RecorridasZOTP-90</t>
  </si>
  <si>
    <t>Crash app sin internet</t>
  </si>
  <si>
    <t>Al abrir la app sin internet y hacer click en nueva persona crashea la app en la version 1 8 9 prod</t>
  </si>
  <si>
    <t>Devsoc-BPGC-DoJMA-52</t>
  </si>
  <si>
    <t>Fav deselect causes ANR</t>
  </si>
  <si>
    <t>In  new  branch  on deselecting fav  app crashes</t>
  </si>
  <si>
    <t>nextcloud-android-669</t>
  </si>
  <si>
    <t>Beta 20170218 crash after moving directories for autoupload</t>
  </si>
  <si>
    <t xml:space="preserve">    Actual behaviour_x000D_
  From the server move the autoupload directory somewhere else_x000D_
  From the app open autoupload settings to change_x000D_
  App hangs while refreshing new content list _x000D_
  App crashes_x000D_
  App won t reopen_x000D_
_x000D_
    Expected behaviour_x000D_
  Allow the change with no fuss _x000D_
 _x000D_
    Steps to reproduce_x000D_
See above  Also video: _x000D_
_x000D_
https:  www youtube com watch v bUiMs8ZqaM8_x000D_
_x000D_
Just to add it corrected itself and opens again fine  now but it shouldn t have crashed in the first place  No logs available within the app _x000D_
_x000D_
    Environment data_x000D_
Android version: 6 0_x000D_
_x000D_
Device model: VFD 700_x000D_
_x000D_
Stock or customized system: Stock_x000D_
_x000D_
Nextcloud app version: 20170218_x000D_
_x000D_
Nextcloud server version: 11 0 1_x000D_
_x000D_
</t>
  </si>
  <si>
    <t>niclabs-adkintunmobile-androidclient-164</t>
  </si>
  <si>
    <t>ConnectivityTestFragment.java line 38</t>
  </si>
  <si>
    <t xml:space="preserve">     in cl niclabs adkintunmobile views activemeasurements viewfragments ConnectivityTestFragment setView
  Number of crashes: 1
  Impacted devices: 1
There s a lot more information about this crash on crashlytics com:
 https:  fabric io niclabs android apps cl niclabs adkintunmobile issues 58a7a05e0aeb16625b6d2275 (https:  fabric io niclabs android apps cl niclabs adkintunmobile issues 58a7a05e0aeb16625b6d2275)</t>
  </si>
  <si>
    <t>ably-ably-java-309</t>
  </si>
  <si>
    <t>Crash inside a library</t>
  </si>
  <si>
    <t xml:space="preserve">With _x000D_
 compile  io ably:ably java:0 8 4  _x000D_
_x000D_
I received this crash twice:_x000D_
_x000D_
   _x000D_
Fatal Exception: java lang NullPointerException_x000D_
Attempt to invoke interface method  void io ably lib transport ITransport send(io ably lib types ProtocolMessage)  on a null object reference_x000D_
 Raw Text_x000D_
io ably lib transport ConnectionManager sendImpl (ConnectionManager java:753)_x000D_
io ably lib transport ConnectionManager sendQueuedMessages (ConnectionManager java:760)_x000D_
io ably lib transport ConnectionManager setState (ConnectionManager java:201)_x000D_
io ably lib transport ConnectionManager handleStateChange (ConnectionManager java:503)_x000D_
io ably lib transport ConnectionManager run (ConnectionManager java:588)_x000D_
java lang Thread run (Thread java:818)_x000D_
   </t>
  </si>
  <si>
    <t>the-blue-alliance-the-blue-alliance-android-805</t>
  </si>
  <si>
    <t>Handle No Google Token Better</t>
  </si>
  <si>
    <t xml:space="preserve">Possible crashes_x000D_
_x000D_
   _x000D_
java lang RuntimeException: An error occurred while executing doInBackground()_x000D_
	at android os AsyncTask 3 done(AsyncTask java:325)_x000D_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java:761)_x000D_
Caused by: java lang IllegalArgumentException: the name must not be empty: null_x000D_
	at android accounts Account  init (Account java:78)_x000D_
	at android accounts Account  init (Account java:63)_x000D_
	at com google android gms auth GoogleAuthUtil getToken(Unknown Source)_x000D_
	at com google api client googleapis extensions android gms auth GoogleAccountCredential getToken(GoogleAccountCredential java:255)_x000D_
	at com thebluealliance androidclient accounts AccountHelper getAuthedTbaMobile(AccountHelper java:132)_x000D_
	at com thebluealliance androidclient accounts UpdateUserModelSettings doInBackground(UpdateUserModelSettings java:97)_x000D_
	at com thebluealliance androidclient accounts UpdateUserModelSettings doInBackground(UpdateUserModelSettings java:33)_x000D_
	at android os AsyncTask 2 call(AsyncTask java:305)_x000D_
	at java util concurrent FutureTask run(FutureTask java:237)_x000D_
	    4 more_x000D_
   </t>
  </si>
  <si>
    <t>mvysny-aedict-731</t>
  </si>
  <si>
    <t>Crash on Anki Export while in dictionary</t>
  </si>
  <si>
    <t xml:space="preserve">Hello _x000D_
_x000D_
Aedict v3 39 29 seems to crash when trying to do an export to Anki (CSV or direct) while having a selection inside a dictionary  It seems to work fine with normal search results selected  but inside a created dictionary in the notepad the app crashes after a few seconds instead of showing the export screen  I ve attached a log _x000D_
_x000D_
_x000D_
 log txt (https:  github com mvysny aedict files 787074 log txt)_x000D_
</t>
  </si>
  <si>
    <t>square-okhttp-3171</t>
  </si>
  <si>
    <t>java.lang.IllegalArgumentException: Unexpected code point: d83d</t>
  </si>
  <si>
    <t xml:space="preserve">The app crashes while calling   execute  method of Call _x000D_
_x000D_
   _x000D_
java lang IllegalArgumentException: Unexpected code point: d83d_x000D_
	at okio Buffer a(SourceFile:925)_x000D_
	at okhttp3 HttpUrl a(SourceFile:1851)_x000D_
	at okhttp3 HttpUrl a(SourceFile:1820)_x000D_
	at okhttp3 HttpUrl a(SourceFile:1867)_x000D_
	at okhttp3 HttpUrl Builder a(SourceFile:1133)_x000D_
	at retrofit2 RequestBuilder b(SourceFile:159)_x000D_
	at retrofit2 ParameterHandler Query a(SourceFile:109)_x000D_
	at retrofit2 ServiceMethod a(SourceFile:109)_x000D_
	at retrofit2 OkHttpCall g(SourceFile:178)_x000D_
	at retrofit2 OkHttpCall a(SourceFile:162)_x000D_
	at retrofit2 ExecutorCallAdapterFactory ExecutorCallbackCall a(SourceFile:89)_x000D_
_x000D_
   _x000D_
I am using okhttp 3 5 0 and okio 1 11 0  It s a bug or incorrect use of api  Better to handle it by  catch  _x000D_
_x000D_
Most problem devices are HTC ONE  HTC Desire 626G  HTC Desire 820G  but there are another manufactures </t>
  </si>
  <si>
    <t>Etar-Group-Etar-Calendar-176</t>
  </si>
  <si>
    <t>Etar is crashing.</t>
  </si>
  <si>
    <t xml:space="preserve">Yesterday everything was fine with etar  today it s crashing instantly  I don t know what could be the problem  i didn t changed anything ( major ) on my phone  ( Android 7 1 1 )_x000D_
_x000D_
I deisntalled the app and installed it again  but the app is crashing instantly  after asking for calender access  with im allowing _x000D_
_x000D_
EDIT: Stock calender is still working </t>
  </si>
  <si>
    <t>twilio-video-quickstart-android-61</t>
  </si>
  <si>
    <t>Crash attempting to use a USB Camera</t>
  </si>
  <si>
    <t>Hello _x000D_
I am trying to run the sample on an Nvidia Shield with logitech USB camera  Android version 7 0  _x000D_
The app crash with the following logs:_x000D_
_x000D_
   _x000D_
02 22 10:06:46 846 4479 4479 com twilio video examples advancedcameracapturer W CameraBase: An error occurred while connecting to camera  1: Service not available_x000D_
02 22 10:06:46 859 4479 4509 com twilio video examples advancedcameracapturer A art: art runtime java vm ext cc:470  JNI DETECTED ERROR IN APPLICATION: jfieldID was NULL_x000D_
02 22 10:06:46 859 4479 4509 com twilio video examples advancedcameracapturer A art: art runtime java vm ext cc:470      in call to GetStaticObjectField_x000D_
02 22 10:06:46 859 4479 4509 com twilio video examples advancedcameracapturer A art: art runtime java vm ext cc:470   Thread 2  prio 5 tid 11 Runnable_x000D_
02 22 10:06:46 859 4479 4509 com twilio video examples advancedcameracapturer A art: art runtime java vm ext cc:470      group  main  sCount 0 dsCount 0 obj 0x12c62430 self 0x201cc39c00_x000D_
02 22 10:06:46 859 4479 4509 com twilio video examples advancedcameracapturer A art: art runtime java vm ext cc:470      sysTid 4509 nice 0 cgrp default sched 0 0 handle 0x201c708450_x000D_
02 22 10:06:46 859 4479 4509 com twilio video examples advancedcameracapturer A art: art runtime java vm ext cc:470      state R schedstat ( 9327237 1258543 52 ) utm 0 stm 0 core 2 HZ 100_x000D_
02 22 10:06:46 859 4479 4509 com twilio video examples advancedcameracapturer A art: art runtime java vm ext cc:470      stack 0x201c60e000 0x201c610000 stackSize 1005KB_x000D_
02 22 10:06:46 859 4479 4509 com twilio video examples advancedcameracapturer A art: art runtime java vm ext cc:470      held mutexes   mutator lock (shared held)_x000D_
02 22 10:06:46 859 4479 4509 com twilio video examples advancedcameracapturer A art: art runtime java vm ext cc:470    native:  00 pc 0000000000475f3c   system lib64 libart so ( ZN3art15DumpNativeStackERNSt3  113basic ostreamIcNS0 11char traitsIcEEEEiP12BacktraceMapPKcPNS 9ArtMethodEPv 220)_x000D_
02 22 10:06:46 859 4479 4509 com twilio video examples advancedcameracapturer A art: art runtime java vm ext cc:470    native:  01 pc 0000000000475f38   system lib64 libart so ( ZN3art15DumpNativeStackERNSt3  113basic ostreamIcNS0 11char traitsIcEEEEiP12BacktraceMapPKcPNS 9ArtMethodEPv 216)_x000D_
02 22 10:06:46 859 4479 4509 com twilio video examples advancedcameracapturer A art: art runtime java vm ext cc:470    native:  02 pc 000000000044a784   system lib64 libart so ( ZNK3art6Thread9DumpStackERNSt3  113basic ostreamIcNS1 11char traitsIcEEEEbP12BacktraceMap 472)_x000D_
02 22 10:06:46 859 4479 4509 com twilio video examples advancedcameracapturer A art: art runtime java vm ext cc:470    native:  03 pc 00000000002ebdcc   system lib64 libart so ( ZN3art9JavaVMExt8JniAbortEPKcS2  1128)_x000D_
02 22 10:06:46 859 4479 4509 com twilio video examples advancedcameracapturer A art: art runtime java vm ext cc:470    native:  04 pc 00000000002ec4b4   system lib64 libart so ( ZN3art9JavaVMExt9JniAbortVEPKcS2 St9  va list 120)_x000D_
02 22 10:06:46 859 4479 4509 com twilio video examples advancedcameracapturer A art: art runtime java vm ext cc:470    native:  05 pc 0000000000101780   system lib64 libart so ( ZN3art11ScopedCheck6AbortFEPKcz 156)_x000D_
02 22 10:06:46 859 4479 4509 com twilio video examples advancedcameracapturer A art: art runtime java vm ext cc:470    native:  06 pc 0000000000100e5c   system lib64 libart so ( ZN3art11ScopedCheck12CheckFieldIDERNS 18ScopedObjectAccessEP9 jfieldID 180)_x000D_
02 22 10:06:46 859 4479 4509 com twilio video examples advancedcameracapturer A art: art runtime java vm ext cc:470    native:  07 pc 00000000000ffd6c   system lib64 libart so ( ZN3art11ScopedCheck22CheckPossibleHeapValueERNS 18ScopedObjectAccessEcNS 12JniValueTypeE 148)_x000D_
02 22 10:06:46 859 4479 4509 com twilio video examples advancedcameracapturer A art: art runtime java vm ext cc:470    native:  08 pc 00000000000fecc8   system lib64 libart so ( ZN3art11ScopedCheck5CheckERNS 18ScopedObjectAccessEbPKcPNS 12JniValueTypeE 1120)_x000D_
02 22 10:06:46 859 4479 4509 com twilio video examples advancedcameracapturer A art: art runtime java vm ext cc:470    native:  09 pc 0000000000105e74   system lib64 libart so ( ZN3art8CheckJNI8GetFieldEPKcP7 JNIEnvP8 jobjectP9 jfieldIDbNS 9Primitive4TypeE 668)_x000D_
02 22 10:06:46 859 4479 4509 com twilio video examples advancedcameracapturer A art: art runtime java vm ext cc:470    native:  10 pc 0000000000295e00   data app com twilio video examples advancedcameracapturer 1 lib arm64 libjingle peerconnection so so (   )_x000D_
02 22 10:06:46 859 4479 4509 com twilio video examples advancedcameracapturer A art: art runtime java vm ext cc:470    native:  11 pc 0000000000292a50   data app com twilio video examples advancedcameracapturer 1 lib arm64 libjingle peerconnection so so (   )_x000D_
02 22 10:06:46 859 4479 4509 com twilio video examples advancedcameracapturer A art: art runtime java vm ext cc:470    native:  12 pc 000000000027d730   data app com twilio video examples advancedcameracapturer 1 lib arm64 libjingle peerconnection so so (   )_x000D_
02 22 10:06:46 859 4479 4509 com twilio video examples advancedcameracapturer A art: art runtime java vm ext cc:470    native:  13 pc 000000000032a0d8   data app com twilio video examples advancedcameracapturer 1 lib arm64 libjingle peerconnection so so (   )_x000D_
02 22 10:06:46 859 4479 4509 com twilio video examples advancedcameracapturer A art: art runtime java vm ext cc:470    native:  14 pc 000000000033b9b4   data app com twilio video examples advancedcameracapturer 1 lib arm64 libjingle peerconnection so so (   )_x000D_
02 22 10:06:46 859 4479 4509 com twilio video examples advancedcameracapturer A art: art runtime java vm ext cc:470    native:  15 pc 000000000030bcb0   data app com twilio video examples advancedcameracapturer 1 lib arm64 libjingle peerconnection so so (   )_x000D_
02 22 10:06:46 859 4479 4509 com twilio video examples advancedcameracapturer A art: art runtime java vm ext cc:470    native:  16 pc 00000000003076ec   data app com twilio video examples advancedcameracapturer 1 lib arm64 libjingle peerconnection so so (   )_x000D_
02 22 10:06:46 859 4479 4509 com twilio video examples advancedcameracapturer A art: art runtime java vm ext cc:470    native:  17 pc 000000000030bea0   data app com twilio video examples advancedcameracapturer 1 lib arm64 libjingle peerconnection so so (   )_x000D_
02 22 10:06:46 859 4479 4509 com twilio video examples advancedcameracapturer A art: art runtime java vm ext cc:470    native:  18 pc 000000000030c978   data app com twilio video examples advancedcameracapturer 1 lib arm64 libjingle peerconnection so so (   )_x000D_
02 22 10:06:46 859 4479 4509 com twilio video examples advancedcameracapturer A art: art runtime java vm ext cc:470    native:  19 pc 0000000000067ebc   system lib64 libc so ( ZL15  pthread startPv 196)_x000D_
02 22 10:06:46 859 4479 4509 com twilio video examples advancedcameracapturer A art: art runtime java vm ext cc:470    native:  20 pc 000000000001d940   system lib64 libc so (  start thread 16)_x000D_
02 22 10:06:46 859 4479 4509 com twilio video examples advancedcameracapturer A art: art runtime java vm ext cc:470    (no managed stack frames)_x000D_
02 22 10:06:46 859 4479 4509 com twilio video examples advancedcameracapturer A art: art runtime java vm ext cc:470  _x000D_
02 22 10:06:46 892 4479 4509 com twilio video examples advancedcameracapturer A art: art runtime runtime cc:403  Runtime aborting   _x000D_
02 22 10:06:46 892 4479 4509 com twilio video examples advancedcameracapturer A art: art runtime runtime cc:403  Aborting thread:_x000D_
02 22 10:06:46 892 4479 4509 com twilio video examples advancedcameracapturer A art: art runtime runtime cc:403   Thread 2  prio 5 tid 11 Native_x000D_
02 22 10:06:46 892 4479 4509 com twilio video examples advancedcameracapturer A art: art runtime runtime cc:403      group    sCount 0 dsCount 0 obj 0x12c62430 self 0x201cc39c00_x000D_
02 22 10:06:46 892 4479 4509 com twilio video examples advancedcameracapturer A art: art runtime runtime cc:403      sysTid 4509 nice 0 cgrp default sched 0 0 handle 0x201c708450_x000D_
02 22 10:06:46 892 4479 4509 com twilio video examples advancedcameracapturer A art: art runtime runtime cc:403      state R schedstat ( 21810829 1706044 59 ) utm 2 stm 0 core 2 HZ 100_x000D_
02 22 10:06:46 892 4479 4509 com twilio video examples advancedcameracapturer A art: art runtime runtime cc:403      stack 0x201c60e000 0x201c610000 stackSize 1005KB_x000D_
02 22 10:06:46 892 4479 4509 com twilio video examples advancedcameracapturer A art: art runtime runtime cc:403      held mutexes   abort lock _x000D_
02 22 10:06:46 892 4479 4509 com twilio video examples advancedcameracapturer A art: art runtime runtime cc:403    native:  00 pc 0000000000475f3c   system lib64 libart so ( ZN3art15DumpNativeStackERNSt3  113basic ostreamIcNS0 11char traitsIcEEEEiP12BacktraceMapPKcPNS 9ArtMethodEPv 220)_x000D_
02 22 10:06:46 892 4479 4509 com twilio video examples advancedcameracapturer A art: art runtime runtime cc:403    native:  01 pc 0000000000475f38   system lib64 libart so ( ZN3art15DumpNativeStackERNSt3  113basic ostreamIcNS0 11char traitsIcEEEEiP12BacktraceMapPKcPNS 9ArtMethodEPv 216)_x000D_
02 22 10:06:46 892 4479 4509 com twilio video examples advancedcameracapturer A art: art runtime runtime cc:403    native:  02 pc 000000000044a784   system lib64 libart so ( ZNK3art6Thread9DumpStackERNSt3  113basic ostreamIcNS1 11char traitsIcEEEEbP12BacktraceMap 472)_x000D_
02 22 10:06:46 892 4479 4509 com twilio video examples advancedcameracapturer A art: art runtime runtime cc:403    native:  03 pc 0000000000438968   system lib64 libart so ( ZNK3art10AbortState10DumpThreadERNSt3  113basic ostreamIcNS1 11char traitsIcEEEEPNS 6ThreadE 56)_x000D_
02 22 10:06:46 892 4479 4509 com twilio video examples advancedcameracapturer A art: art runtime runtime cc:403    native:  04 pc 00000000004387e4   system lib64 libart so ( ZNK3art10AbortState4DumpERNSt3  113basic ostreamIcNS1 11char traitsIcEEEE 668)_x000D_
02 22 10:06:46 892 4479 4509 com twilio video examples advancedcameracapturer A art: art runtime runtime cc:403    native:  05 pc 000000000042c458   system lib64 libart so ( ZN3art7Runtime5AbortEv 140)_x000D_
02 22 10:06:46 892 4479 4509 com twilio video examples advancedcameracapturer A art: art runtime runtime cc:403    native:  06 pc 00000000000e4b24   system lib64 libart so ( ZN3art10LogMessageD2Ev 1204)_x000D_
02 22 10:06:46 892 4479 4509 com twilio video examples advancedcameracapturer A art: art runtime runtime cc:403    native:  07 pc 00000000002ec1e0   system lib64 libart so ( ZN3art9JavaVMExt8JniAbortEPKcS2  2172)_x000D_
02 22 10:06:46 892 4479 4509 com twilio video examples advancedcameracapturer A art: art runtime runtime cc:403    native:  08 pc 00000000002ec4b4   system lib64 libart so ( ZN3art9JavaVMExt9JniAbortVEPKcS2 St9  va list 120)_x000D_
02 22 10:06:46 892 4479 4509 com twilio video examples advancedcameracapturer A art: art runtime runtime cc:403    native:  09 pc 0000000000101780   system lib64 libart so ( ZN3art11ScopedCheck6AbortFEPKcz 156)_x000D_
02 22 10:06:46 892 4479 4509 com twilio video examples advancedcameracapturer A art: art runtime runtime cc:403    native:  10 pc 0000000000100e5c   system lib64 libart so ( ZN3art11ScopedCheck12CheckFieldIDERNS 18ScopedObjectAccessEP9 jfieldID 180)_x000D_
02 22 10:06:46 892 4479 4509 com twilio video examples advancedcameracapturer A art: art runtime runtime cc:403    native:  11 pc 00000000000ffd6c   system lib64 libart so ( ZN3art11ScopedCheck22CheckPossibleHeapValueERNS 18ScopedObjectAccessEcNS 12JniValueTypeE 148)_x000D_
02 22 10:06:46 892 4479 4509 com twilio video examples advancedcameracapturer A art: art runtime runtime cc:403    native:  12 pc 00000000000fecc8   system lib64 libart so ( ZN3art11ScopedCheck5CheckERNS 18ScopedObjectAccessEbPKcPNS 12JniValueTypeE 1120)_x000D_
02 22 10:06:46 892 4479 4509 com twilio video examples advancedcameracapturer A art: art runtime runtime cc:403    native:  13 pc 0000000000105e74   system lib64 libart so ( ZN3art8CheckJNI8GetFieldEPKcP7 JNIEnvP8 jobjectP9 jfieldIDbNS 9Primitive4TypeE 668)_x000D_
02 22 10:06:46 892 4479 4509 com twilio video examples advancedcameracapturer A art: art runtime runtime cc:403    native:  14 pc 0000000000295e00   data app com twilio video examples advancedcameracapturer 1 lib arm64 libjingle peerconnection so so (   )_x000D_
02 22 10:06:46 892 4479 4509 com twilio video examples advancedcameracapturer A art: art runtime runtime cc:403    native:  15 pc 0000000000292a50   data app com twilio video examples advancedcameracapturer 1 lib arm64 libjingle peerconnection so so (   )_x000D_
02 22 10:06:46 892 4479 4509 com twilio video examples advancedcameracapturer A art: art runtime runtime cc:403    native:  16 pc 000000000027d730   data app com twilio video examples advancedcameracapturer 1 lib arm64 libjingle peerconnection so so (   )_x000D_
02 22 10:06:46 892 4479 4509 com twilio video examples advancedcameracapturer A art: art runtime runtime cc:403    native:  17 pc 000000000032a0d8   data app com twilio video examples advancedcameracapturer 1 lib arm64 libjingle peerconnection so so (   )_x000D_
02 22 10:06:46 892 4479 4509 com twilio video examples advancedcameracapturer A art: art runtime runtime cc:403    native:  18 pc 000000000033b9b4   data app com twilio video examples advancedcameracapturer 1 lib arm64 libjingle peerconnection so so (   )_x000D_
02 22 10:06:46 892 4479 4509 com twilio video examples advancedcameracapturer A art: art runtime runtime cc:403    native:  19 pc 000000000030bcb0   data app com twilio video examples advancedcameracapturer 1 lib arm64 libjingle peerconnection so so (   )_x000D_
02 22 10:06:46 892 4479 4509 com twilio video examples advancedcameracapturer A art: art runtime runtime cc:403    native:  20 pc 00000000003076ec   data app com twilio video examples advancedcameracapturer 1 lib arm64 libjingle peerconnection so so (   )_x000D_
02 22 10:06:46 892 4479 4509 com twilio video examples advancedcameracapturer A art: art runtime runtime cc:403    native:  21 pc 000000000030bea0   data app com twilio video examples advancedcameracapturer 1 lib arm64 libjingle peerconnection so so (   )_x000D_
02 22 10:06:46 892 4479 4509 com twilio video examples advancedcameracapturer A art: art runtime runtime cc:403    native:  22 pc 000000000030c978   data app com twilio video examples advancedcameracapturer 1 lib arm64 libjingle peerconnection so so (   )_x000D_
02 22 10:06:46 892 4479 4509 com twilio video examples advancedcameracapturer A art: art runtime runtime cc:403    native:  23 pc 0000000000067ebc   system lib64 libc so ( ZL15  pthread startPv 196)_x000D_
02 22 10:06:46 892 4479 4509 com twilio video examples advancedcameracapturer A art: art runtime runtime cc:403    native:  24 pc 000000000001d940   system lib64 libc so (  start thread 16)_x000D_
02 22 10:06:46 892 4479 4509 com twilio video examples advancedcameracapturer A art: art runtime runtime cc:403    (no managed stack frames)_x000D_
02 22 10:06:46 892 4479 4509 com twilio video examples advancedcameracapturer A art: art runtime runtime cc:403  Dumping all threads without appropriate locks held: thread list lock mutator lock_x000D_
02 22 10:06:46 892 4479 4509 com twilio video examples advancedcameracapturer A art: art runtime runtime cc:403  All threads:_x000D_
02 22 10:06:46 892 4479 4509 com twilio video examples advancedcameracapturer A art: art runtime runtime cc:403  DALVIK THREADS (13):_x000D_
02 22 10:06:46 893 4479 4509 com twilio video examples advancedcameracapturer A art: art runtime runtime cc:403   Thread 2  prio 5 tid 11 Runnable_x000D_
02 22 10:06:46 893 4479 4509 com twilio video examples advancedcameracapturer A art: art runtime runtime cc:403      group    sCount 0 dsCount 0 obj 0x12c62430 self 0x201cc39c00_x000D_
02 22 10:06:46 893 4479 4509 com twilio video examples advancedcameracapturer A art: art runtime runtime cc:403      sysTid 4509 nice 0 cgrp default sched 0 0 handle 0x201c708450_x000D_
02 22 10:06:46 893 4479 4509 com twilio video examples advancedcameracapturer A art: art runtime runtime cc:403      state R schedstat ( 36115361 2013335 65 ) utm 3 stm 0 core 2 HZ 100_x000D_
02 22 10:06:46 893 4479 4509 com twilio video examples advancedcameracapturer A art: art runtime runtime cc:403      stack 0x201c60e000 0x201c610000 stackSize 1005KB_x000D_
02 22 10:06:46 893 4479 4509 com twilio video examples advancedcameracapturer A art: art runtime runtime cc:403      held mutexes   abort lock   mutator lock (shared held)_x000D_
02 22 10:06:46 893 4479 4509 com twilio video examples advancedcameracapturer A art: art runtime runtime cc:403    native:  00 pc 0000000000475f3c   system lib64 libart so ( ZN3art15DumpNativeStackERNSt3  113basic ostreamIcNS0 11char traitsIcEEEEiP12BacktraceMapPKcPNS 9ArtMethodEPv 220)_x000D_
02 22 10:06:46 893 4479 4509 com twilio video examples advancedcameracapturer A art: art runtime runtime cc:403    native:  01 pc 0000000000475f38   system lib64 libart so ( ZN3art15DumpNativeStackERNSt3  113basic ostreamIcNS0 11char traitsIcEEEEiP12BacktraceMapPKcPNS 9ArtMethodEPv 216)_x000D_
02 22 10:06:46 893 4479 4509 com twilio video examples advancedcameracapturer A art: art runtime runtime cc:403    native:  02 pc 000000000044a784   system lib64 libart so ( ZNK3art6Thread9DumpStackERNSt3  113basic ostreamIcNS1 11char traitsIcEEEEbP12BacktraceMap 472)_x000D_
02 22 10:06:46 893 4479 4509 com twilio video examples advancedcameracapturer A art: art runtime runtime cc:403    native:  03 pc 0000000000461ea4   system lib64 libart so ( ZN3art14DumpCheckpoint3RunEPNS 6ThreadE 820)_x000D_
02 22 10:06:46 893 4479 4509 com twilio video examples advancedcameracapturer A art: art runtime runtime cc:403    native:  04 pc 000000000045a184   system lib64 libart so ( ZN3art10ThreadList13RunCheckpointEPNS 7ClosureE 456)_x000D_
02 22 10:06:46 893 4479 4509 com twilio video examples advancedcameracapturer A art: art runtime runtime cc:403    native:  05 pc 0000000000459d94   system lib64 libart so ( ZN3art10ThreadList4DumpERNSt3  113basic ostreamIcNS1 11char traitsIcEEEEb 288)_x000D_
02 22 10:06:46 893 4479 4509 com twilio video examples advancedcameracapturer A art: art runtime runtime cc:403    native:  06 pc 0000000000438798   system lib64 libart so ( ZNK3art10AbortState4DumpERNSt3  113basic ostreamIcNS1 11char traitsIcEEEE 592)_x000D_
02 22 10:06:46 893 4479 4509 com twilio video examples advancedcameracapturer A art: art runtime runtime cc:403    native:  07 pc 000000000042c458   system lib64 libart so ( ZN3art7Runtime5AbortEv 140)_x000D_
02 22 10:06:46 893 4479 4509 com twilio video examples advancedcameracapturer A art: art runtime runtime cc:403    native:  08 pc 00000000000e4b24   system lib64 libart so ( ZN3art10LogMessageD2Ev 1204)_x000D_
02 22 10:06:46 893 4479 4509 com twilio video examples advancedcameracapturer A art: art runtime runtime cc:403    native:  09 pc 00000000002ec1e0   system lib64 libart so ( ZN3art9JavaVMExt8JniAbortEPKcS2  2172)_x000D_
02 22 10:06:46 893 4479 4509 com twilio video examples advancedcameracapturer A art: art runtime runtime cc:403    native:  10 pc 00000000002ec4b4   system lib64 libart so ( ZN3art9JavaVMExt9JniAbortVEPKcS2 St9  va list 120)_x000D_
02 22 10:06:46 893 4479 4509 com twilio video examples advancedcameracapturer A art: art runtime runtime cc:403    native:  11 pc 0000000000101780   system lib64 libart so ( ZN3art11ScopedCheck6AbortFEPKcz 156)_x000D_
02 22 10:06:46 893 4479 4509 com twilio video examples advancedcameracapturer A art: art runtime runtime cc:403    native:  12 pc 0000000000100e5c   system lib64 libart so ( ZN3art11ScopedCheck12CheckFieldIDERNS 18ScopedObjectAccessEP9 jfieldID 180)_x000D_
02 22 10:06:46 893 4479 4509 com twilio video examples advancedcameracapturer A art: art runtime runtime cc:403    native:  13 pc 00000000000ffd6c   system lib64 libart so ( ZN3art11ScopedCheck22CheckPossibleHeapValueERNS 18ScopedObjectAccessEcNS 12JniValueTypeE 148)_x000D_
02 22 10:06:46 893 4479 4509 com twilio video examples advancedcameracapturer A art: art runtime runtime cc:403    native:  14 pc 00000000000fecc8   system lib64 libart so ( ZN3art11ScopedCheck5CheckERNS 18ScopedObjectAccessEbPKcPNS 12JniValueTypeE 1120)_x000D_
02 22 10:06:46 893 4479 4509 com twilio video examples advancedcameracapturer A art: art runtime runtime cc:403    native:  15 pc 0000000000105e74   system lib64 libart so ( ZN3art8CheckJNI8GetFieldEPKcP7 JNIEnvP8 jobjectP9 jfieldIDbNS 9Primitive4TypeE 668)_x000D_
02 22 10:06:46 893 4479 4509 com twilio video examples advancedcameracapturer A art: art runtime runtime cc:403    native:  16 pc 0000000000295e00   data app com twilio video examples advancedcameracapturer 1 lib arm64 libjingle peerconnection so so (   )_x000D_
02 22 10:06:46 893 4479 4509 com twilio video examples advancedcameracapturer A art: art runtime runtime cc:403    native:  17 pc 0000000000292a50   data app com twilio video examples advancedcameracapturer 1 lib arm64 libjingle peerconnection so so (   )_x000D_
02 22 10:06:46 893 4479 4509 com twilio video examples advancedcameracapturer A art: art runtime runtime cc:403    native:  18 pc 000000000027d730   data app com twilio video examples advancedcameracapturer 1 lib arm64 libjingle peerconnection so so (   )_x000D_
02 22 10:06:46 893 4479 4509 com twilio video examples advancedcameracapturer A art: art runtime runtime cc:403    native:  19 pc 000000000032a0d8   data app com twilio video examples advancedcameracapturer 1 lib arm64 libjingle peerconnection so so (   )_x000D_
02 22 10:06:46 893 4479 4509 com twilio video examples advancedcameracapturer A art: art runtime runtime cc:403    native:  20 pc 000000000033b9b4   data app com twilio video examples advancedcameracapturer 1 lib arm64 libjingle peerconnection so so (   )_x000D_
02 22 10:06:46 893 4479 4509 com twilio video examples advancedcameracapturer A art: art runtime runtime cc:403    native:  21 pc 000000000030bcb0   data app com twilio video examples advancedcameracapturer 1 lib arm64 libjingle peerconnection so so (   )_x000D_
02 22 10:06:46 893 4479 4509 com twilio video examples advancedcameracapturer A art: art runtime runtime cc:403    native:  22 pc 00000000003076ec   data app com twilio video examples advancedcameracapturer 1 lib arm64 libjingle peerconnection so so (   )_x000D_
02 22 10:06:46 893 4479 4509 com twilio video examples advancedcameracapturer A art: art runtime runtime cc:403    native:  23 pc 000000000030bea0   data app com twilio video examples advancedcameracapturer 1 lib arm64 libjingle peerconnection so so (   )_x000D_
02 22 10:06:46 893 4479 4509 com twilio video examples advancedcameracapturer A art: art runtime runtime cc:403    native:  24 pc 000000000030c978   data app com twilio video examples advancedcameracapturer 1 lib arm64 libjingle peerconnection so so (   )_x000D_
02 22 10:06:46 893 4479 4509 com twilio video examples advancedcameracapturer A art: art runtime runtime cc:403    native:  25 pc 0000000000067ebc   system lib64 libc so ( ZL15  pthread startPv 196)_x000D_
02 22 10:06:46 893 4479 4509 com twilio video examples advancedcameracapturer A art: art runtime runtime cc:403    native:  26 pc 000000000001d940   system lib64 libc so (  start thread 16)_x000D_
02 22 10:06:46 893 4479 4509 com twilio video examples advancedcameracapturer A art: art runtime runtime cc:403    (no managed stack frames)_x000D_
02 22 10:06:46 893 4479 4509 com twilio video examples advancedcameracapturer A art: art runtime runtime cc:403  _x000D_
02 22 10:06:46 893 4479 4509 com twilio video examples advancedcameracapturer A art: art runtime runtime cc:403   main  prio 5 tid 1 Native_x000D_
02 22 10:06:46 893 4479 4509 com twilio video examples advancedcameracapturer A art: art runtime runtime cc:403      group    sCount 1 dsCount 0 obj 0x74b28870 self 0x20144a1a00_x000D_
02 22 10:06:46 893 4479 4509 com twilio video examples advancedcameracapturer A art: art runtime runtime cc:403      sysTid 4479 nice 0 cgrp default sched 0 0 handle 0x2010228a98_x000D_
02 22 10:06:46 893 4479 4509 com twilio video examples advancedcameracapturer A art: art runtime runtime cc:403      state S schedstat ( 135702657 14050209 502 ) utm 8 stm 5 core 0 HZ 100_x000D_
02 22 10:06:46 893 4479 4509 com twilio video examples advancedcameracapturer A art: art runtime runtime cc:403      stack 0x7fe0af2000 0x7fe0af4000 stackSize 8MB_x000D_
02 22 10:06:46 893 4479 4509 com twilio video examples advancedcameracapturer A art: art runtime runtime cc:403      held mutexes _x000D_
02 22 10:06:46 893 4479 4509 com twilio video examples advancedcameracapturer A art: art runtime runtime cc:403    kernel:   switch to 0x3c 0x48_x000D_
02 22 10:06:46 893 4479 4509 com twilio video examples advancedcameracapturer A art: art runtime runtime cc:403    kernel: futex wait queue me 0xcc 0x154_x000D_
02 22 10:06:46 893 4479 4509 com twilio video examples advancedcameracapturer A art: art runtime runtime cc:403    kernel: futex wait 0xf0 0x220_x000D_
02 22 10:06:46 893 4479 4509 com twilio video examples advancedcameracapturer A art: art runtime runtime cc:403    kernel: do futex 0xcc 0xa54_x000D_
02 22 10:06:46 893 4479 4509 com twilio video examples advancedcameracapturer A art: art runtime runtime cc:403    kernel: SyS futex 0x180 0x25c_x000D_
02 22 10:06:46 893 4479 4509 com twilio video examples advancedcameracapturer A art: art runtime runtime cc:403    kernel: ret fast syscall 0x0 0x24_x000D_
02 22 10:06:46 893 4479 4509 com twilio video examples advancedcameracapturer A art: art runtime runtime cc:403    native:  00 pc 000000000001bcac   system lib64 libc so (syscall 28)_x000D_
02 22 10:06:46 893 4479 4509 com twilio video examples advancedcameracapturer A art: art runtime runtime cc:403    native:  01 pc 0000000000067614   system lib64 libc so (pthread cond wait 96)_x000D_
02 22 10:06:46 893 4479 4509 com twilio video examples advancedcameracapturer A art: art runtime runtime cc:403    native:  02 pc 0000000000325d48   data app com twilio video examples advancedcameracapturer 1 lib arm64 libjingle peerconnection so so (   )_x000D_
02 22 10:06:46 893 4479 4509 com twilio video examples advancedcameracapturer A art: art runtime runtime cc:403    native:  03 pc 0000000000336400   data app com twilio video examples advancedcameracapturer 1 lib arm64 libjingle peerconnection so so (   )_x000D_
02 22 10:06:46 893 4479 4509 com twilio video examples advancedcameracapturer A art: art runtime runtime cc:403    native:  04 pc 00000000002af5fc   data app com twilio video examples advancedcameracapturer 1 lib arm64 libjingle peerconnection so so ( ZN6twilio5media14LocalMediaImpl13addVideoTrackEbPKNS0 16MediaConstraintsEPN7cricket13VideoCapturerE 112)_x000D_
02 22 10:06:46 893 4479 4509 com twilio video examples advancedcameracapturer A art: art runtime runtime cc:403    native:  05 pc 0000000000287938   data app com twilio video examples advancedcameracapturer 1 lib arm64 libjingle peerconnection so so (Java com twilio video LocalMedia nativeAddVideoTrack 292)_x000D_
02 22 10:06:46 893 4479 4509 com twilio video examples advancedcameracapturer A art: art runtime runtime cc:403    native:  06 pc 00000000001a3aa4   data app com twilio video examples advancedcameracapturer 1 oat arm64 base odex (Java com twilio video LocalMedia nativeAddVideoTrack  JZLcom twilio video VideoCapturer 2Lcom twilio video VideoConstraints 2Lorg webrtc EglBase 00024Context 2 224)_x000D_
02 22 10:06:46 893 4479 4509 com twilio video examples advancedcameracapturer A art: art runtime runtime cc:403    at com twilio video LocalMedia nativeAddVideoTrack(Native method)_x000D_
02 22 10:06:46 893 4479 4509 com twilio video examples advancedcameracapturer A art: art runtime runtime cc:403    at com twilio video LocalMedia addVideoTrack(LocalMedia java:150)_x000D_
02 22 10:06:46 893 4479 4509 com twilio video examples advancedcameracapturer A art: art runtime runtime cc:403    at com twilio video LocalMedia addVideoTrack(LocalMedia java:135)_x000D_
02 22 10:06:46 893 4479 4509 com twilio video examples advancedcameracapturer A art: art runtime runtime cc:403    at com twilio video examples advancedcameracapturer AdvancedCameraCapturerActivity addCameraVideo(AdvancedCameraCapturerActivity java:175)_x000D_
02 22 10:06:46 893 4479 4509 com twilio video examples advancedcameracapturer A art: art runtime runtime cc:403    at com twilio video examples advancedcameracapturer AdvancedCameraCapturerActivity onCreate(AdvancedCameraCapturerActivity java:127)_x000D_
02 22 10:06:46 893 4479 4509 com twilio video examples advancedcameracapturer A art: art runtime runtime cc:403    at android app Activity performCreate(Activity java:6664)_x000D_
02 22 10:06:46 893 4479 4509 com twilio video examples advancedcameracapturer A art: art runtime runtime cc:403    at android app Instrumentation callActivityOnCreate(Instrumentation java:1118)_x000D_
02 22 10:06:46 893 4479 4509 com twilio video examples advancedcameracapturer A art: art runtime runtime cc:403    at android app ActivityThread performLaunchActivity(ActivityThread java:2644)_x000D_
02 22 10:06:46 893 4479 4509 com twilio video examples advancedcameracapturer A art: art runtime runtime cc:403    at android app ActivityThread handleLaunchActivity(ActivityThread java:2752)_x000D_
02 22 10:06:46 893 4479 4509 com twilio video examples advancedcameracapturer A art: art runtime runtime cc:403    at android app ActivityThread  wrap12(ActivityThread java: 1)_x000D_
02 22 10:06:46 893 4479 4509 com twilio video examples advancedcameracapturer A art: art runtime runtime cc:403    at android app ActivityThread H handleMessage(ActivityThread java:1461)_x000D_
02 22 10:06:46 893 4479 4509 com twilio video examples advancedcameracapturer A art: art runtime runtime cc:403    at android os Handler dispatchMessage(Handler java:102)_x000D_
02 22 10:06:46 893 4479 4509 com twilio video examples advancedcameracapturer A art: art runtime runtime cc:403    at android os Looper loop(Looper java:154)_x000D_
02 22 10:06:46 893 4479 4509 com twilio video examples advancedcameracapturer A art: art runtime runtime cc:403    at android app ActivityThread main(ActivityThread java:6120)_x000D_
02 22 10:06:46 893 4479 4509 com twilio video examples advancedcameracapturer A art: art runtime runtime cc:403    at java lang reflect Method invoke (Native method)_x000D_
02 22 10:06:46 893 4479 4509 com twilio video examples advancedcameracapturer A art: art runtime runtime cc:403    at com android internal os ZygoteInit MethodAndArgsCaller run(ZygoteInit java:865)_x000D_
02 22 10:06:46 893 4479 4509 com twilio video examples advancedcameracapturer A art: art runtime runtime cc:403    at com android internal os ZygoteInit main(ZygoteInit java:755)_x000D_
02 22 10:06:46 893 4479 4509 com twilio video examples advancedcameracapturer A art: art runtime runtime cc:403  _x000D_
02 22 10:06:46 893 4479 4509 com twilio video examples advancedcameracapturer A art: art runtime runtime cc:403   Jit thread pool worker thread 0  prio 5 tid 2 Native (still starting up)_x000D_
02 22 10:06:46 893 4479 4509 com twilio video examples advancedcameracapturer A art: art runtime runtime cc:403      group    sCount 1 dsCount 0 obj 0x0 self 0x201cc19000_x000D_
02 22 10:06:46 893 4479 4509 com twilio video examples advancedcameracapturer A art: art runtime runtime cc:403      sysTid 4484 nice 9 cgrp default sched 0 0 handle 0x20150f2450_x000D_
02 22 10:06:46 893 4479 4509 com twilio video examples advancedcameracapturer A art: art runtime runtime cc:403      state S schedstat ( 682032 0 6 ) utm 0 stm 0 core 1 HZ 100_x000D_
02 22 10:06:46 893 4479 4509 com twilio video examples advancedcameracapturer A art: art runtime runtime cc:403      stack 0x2014ff4000 0x2014ff6000 stackSize 1021KB_x000D_
02 22 10:06:46 893 4479 4509 com twilio video examples advancedcameracapturer A art: art runtime runtime cc:403      held mutexes _x000D_
02 22 10:06:46 893 4479 4509 com twilio video examples advancedcameracapturer A art: art runtime runtime cc:403    kernel:   switch to 0x3c 0x48_x000D_
02 22 10:06:46 893 4479 4509 com twilio video examples advancedcameracapturer A art: art runtime runtime cc:403    kernel: futex wait queue me 0xcc 0x154_x000D_
02 22 10:06:46 893 4479 4509 com twilio video examples advancedcameracapturer A art: art runtime runtime cc:403    kernel: futex wait 0xf0 0x220_x000D_
02 22 10:06:46 893 4479 4509 com twilio video examples advancedcameracapturer A art: art runtime runtime cc:403    kernel: do futex 0xcc 0xa54_x000D_
02 22 10:06:46 893 4479 4509 com twilio video examples advancedcameracapturer A art: art runtime runtime cc:403    kernel: SyS futex 0x180 0x25c_x000D_
02 22 10:06:46 893 4479 4509 com twilio video examples advancedcameracapturer A art: art runtime runtime cc:403    kernel: ret fast syscall 0x0 0x24_x000D_
02 22 10:06:46 893 4479 4509 com twilio video examples advancedcameracapturer A art: art runtime runtime cc:403    native:  00 pc 000000000001bcac   system lib64 libc so (syscall 28)_x000D_
02 22 10:06:46 893 4479 4509 com twilio video examples advancedcameracapturer A art: art runtime runtime cc:403    native:  01 pc 00000000000e6dd4   system lib64 libart so ( ZN3art17ConditionVariable16WaitHoldingLocksEPNS 6ThreadE 160)_x000D_
02 22 10:06:46 893 4479 4509 com twilio video examples advancedc</t>
  </si>
  <si>
    <t>OpenCVBlueprints-OpenCVBlueprints-21</t>
  </si>
  <si>
    <t>Chapter 7 - Python Code error</t>
  </si>
  <si>
    <t xml:space="preserve">Hi _x000D_
_x000D_
I m running the python code given in chapter 7 after importing the video and gyroscope files on a mac  The application crashes in the meshwarp function with the following stack trace _x000D_
  _x000D_
   _x000D_
Traceback (most recent call last):_x000D_
  File   Users jeetdholakia PycharmProjects HyperlapseTest stable py   line 601  in  module _x000D_
    stabilize video(mp4path  csvpath)_x000D_
  File   Users jeetdholakia PycharmProjects HyperlapseTest stable py   line 577  in stabilize video_x000D_
    prev  focal length  gyro delay  gyro drift) _x000D_
  File   Users jeetdholakia PycharmProjects HyperlapseTest stable py   line 265  in accumulateRotation_x000D_
    o   utilities meshwarp(src  pts transformed)_x000D_
  File   Users jeetdholakia PycharmProjects HyperlapseTest utilities py   line 120  in meshwarp_x000D_
    mapx   np append(     ar : 0  for ar in g out ) reshape(mapsize) astype( float32 )_x000D_
ValueError: cannot reshape array of size 2332800 into shape (1080 1080 1)_x000D_
_x000D_
   _x000D_
_x000D_
The line which produces the error is:_x000D_
   _x000D_
utilities py    def meshwarp(src  distorted grid)_x000D_
mapx   np append(     ar : 0  for ar in g out ) reshape(mapsize) astype( float32 )_x000D_
   _x000D_
_x000D_
P S    There are small errors in other classes as well  which required minor changes in code to get it up and running  they include :_x000D_
_x000D_
1  Removing calibration worker import (module not found error ) and importing  from calibration import GyroscopeDataFile  to make the gyroscope data work _x000D_
2  The gyroscope file generated does not have the extension  gyro csv  its just XYZgyro csv  where as python code looks for the aforementioned extension  _x000D_
3   pts transformed  variable in  def accumulateRotation   is not initialized anywhere  hence i initialized it as an empty array  pts transformed       in the beginning of that function _x000D_
4  In the same function  the supplied code  output   cv2 perspectiveTransform(np array(  pixel x  pixel y    transform)   throws up numpy error  data type could not be understood   Hence  I changed it to  output   cv2 perspectiveTransform(np array(  pixel x  pixel y    dtype  float32 ) transform)   and the code worked  _x000D_
_x000D_
Please let me know how to fix the aforementioned issue  and if I have made any mistakes while correcting the code which threw some compile time and run time errors  _x000D_
_x000D_
Thanks  _x000D_
Jeet_x000D_
_x000D_
_x000D_
</t>
  </si>
  <si>
    <t>twilio-video-quickstart-android-60</t>
  </si>
  <si>
    <t>The app crashes with beta8/9</t>
  </si>
  <si>
    <t xml:space="preserve"> img width  1022  alt  screen shot 2017 02 22 at 5 15 51 pm  src  https:  cloud githubusercontent com assets 12425853 23220563 b028fbfe f922 11e6 9b14 1791a4db6690 png  _x000D_
_x000D_
I couldn t get any crash report on firebase or crashlytics  but in one of the tries the log kept there for a second_x000D_
_x000D_
 02 22 17:18:59 957 D MediaPlayer: setSubtitleAnchor in MediaPlayer_x000D_
02 22 17:18:59 993 I org webrtc Logging: EglBase14: SDK version: 25  isEGL14Supported: true_x000D_
02 22 17:18:59 996 I org webrtc Logging: EglBase14: SDK version: 25  isEGL14Supported: true_x000D_
02 22 17:18:59 998 I org webrtc Logging: EglBase14: SDK version: 25  isEGL14Supported: true_x000D_
02 22 17:19:00 000 D JVM: JVM::Initialize  tid 19048 _x000D_
02 22 17:19:00 000 D JVM: JVM::JVM  tid 19048 _x000D_
02 22 17:19:00 000 D JVM: LoadClasses_x000D_
02 22 17:19:00 000 D JVM: name: org webrtc voiceengine BuildInfo_x000D_
02 22 17:19:00 001 D JVM: name: org webrtc voiceengine WebRtcAudioManager_x000D_
02 22 17:19:00 001 D JVM: name: org webrtc voiceengine WebRtcAudioRecord_x000D_
02 22 17:19:00 001 D JVM: name: org webrtc voiceengine WebRtcAudioTrack_x000D_
02 22 17:19:00 021 W VideoCapabilities: Unrecognized profile 2130706433 for video avc_x000D_
02 22 17:19:00 050 I VideoCapabilities: Unsupported profile 4 for video mp4v es_x000D_
02 22 17:19:00 054 I org webrtc Logging: MediaCodecVideoEncoder: Found target encoder for mime video x vnd on2 vp8 : OMX qcom video encoder vp8  Color: 0x15  Bitrate adjustment: NO ADJUSTMENT_x000D_
02 22 17:19:00 055 W VideoCapabilities: Unrecognized profile 2130706433 for video avc_x000D_
02 22 17:19:00 056 I org webrtc Logging: MediaCodecVideoEncoder: Found target encoder for mime video avc : OMX qcom video encoder avc  Color: 0x15  Bitrate adjustment: NO ADJUSTMENT_x000D_
02 22 17:19:00 056 I org webrtc Logging: MediaCodecVideoDecoder: Trying to find HW decoder for mime video x vnd on2 vp8_x000D_
02 22 17:19:00 056 I org webrtc Logging: MediaCodecVideoDecoder: Found candidate decoder OMX qcom video decoder vp8_x000D_
02 22 17:19:00 057 I org webrtc Logging: MediaCodecVideoDecoder: Found target decoder OMX qcom video decoder vp8  Color: 0x13_x000D_
02 22 17:19:00 057 I org webrtc Logging: MediaCodecVideoDecoder: Trying to find HW decoder for mime video x vnd on2 vp9_x000D_
02 22 17:19:00 058 I org webrtc Logging: MediaCodecVideoDecoder: Found candidate decoder OMX google vp9 decoder_x000D_
02 22 17:19:00 058 I org webrtc Logging: MediaCodecVideoDecoder: No HW decoder found for mime video x vnd on2 vp9_x000D_
02 22 17:19:00 058 I org webrtc Logging: MediaCodecVideoDecoder: Trying to find HW decoder for mime video avc_x000D_
02 22 17:19:00 058 I org webrtc Logging: MediaCodecVideoDecoder: Found candidate decoder OMX qcom video decoder avc_x000D_
02 22 17:19:00 059 I org webrtc Logging: MediaCodecVideoDecoder: Found target decoder OMX qcom video decoder avc  Color: 0x13_x000D_
02 22 17:19:00 060 D JVM: AttachCurrentThreadIfNeeded::ctor  tid 20382 _x000D_
02 22 17:19:00 060 D JVM: Attaching thread to JVM_x000D_
02 22 17:19:00 061 D JVM: JVM::environment  tid 20382 _x000D_
02 22 17:19:00 061 D JVM: JNIEnvironment::ctor  tid 20382 _x000D_
02 22 17:19:00 061 D AudioManager: ctor  tid 20382 _x000D_
02 22 17:19:00 061 D JVM: JNIEnvironment::RegisterNatives(org webrtc voiceengine WebRtcAudioManager)_x000D_
02 22 17:19:00 061 D JVM: NativeRegistration::ctor  tid 20382 _x000D_
02 22 17:19:00 061 D JVM: NativeRegistration::NewObject  tid 20382 _x000D_
02 22 17:19:00 062 I org webrtc Logging: WebRtcAudioManager: ctor  name Thread 14  id 19965 _x000D_
02 22 17:19:00 063 I org webrtc Logging: WebRtcAudioManager: Sample rate is set to 48000 Hz_x000D_
02 22 17:19:00 081 I org webrtc Logging: WebRtcAudioEffects: canUseAcousticEchoCanceler: true_x000D_
02 22 17:19:00 081 I org webrtc Logging: WebRtcAudioEffects: canUseAutomaticGainControl: false_x000D_
02 22 17:19:00 082 I org webrtc Logging: WebRtcAudioEffects: canUseNoiseSuppressor: true_x000D_
02 22 17:19:00 085 D AudioManager: OnCacheAudioParameters  tid 20382 _x000D_
02 22 17:19:00 085 D AudioManager: hardware aec: 1_x000D_
02 22 17:19:00 085 D AudioManager: hardware agc: 0_x000D_
02 22 17:19:00 085 D AudioManager: hardware ns: 1_x000D_
02 22 17:19:00 085 D AudioManager: low latency output: 1_x000D_
02 22 17:19:00 085 D AudioManager: low latency input: 1_x000D_
02 22 17:19:00 085 D AudioManager: pro audio: 1_x000D_
02 22 17:19:00 085 D AudioManager: sample rate: 48000_x000D_
02 22 17:19:00 085 D AudioManager: channels: 1_x000D_
02 22 17:19:00 085 D AudioManager: output buffer size: 192_x000D_
02 22 17:19:00 085 D AudioManager: input buffer size: 192_x000D_
02 22 17:19:00 085 D JVM: GlobalRef::ctor  tid 20382 _x000D_
02 22 17:19:00 085 D AudioManager: JavaAudioManager::ctor  tid 20382 _x000D_
02 22 17:19:00 085 D AudioManager: IsLowLatencyPlayoutSupported()_x000D_
02 22 17:19:00 086 D AudioManager: IsLowLatencyRecordSupported()_x000D_
02 22 17:19:00 086 D OpenSLESPlayer: ctor  tid 20382 _x000D_
02 22 17:19:00 086 D OpenSLESRecorder: ctor  tid 20382 _x000D_
02 22 17:19:00 086 D AudioManager: SetActiveAudioLayer(6)  tid 20382 _x000D_
02 22 17:19:00 086 D AudioManager: delay estimate in milliseconds: 50_x000D_
02 22 17:19:00 086 D OpenSLESPlayer: AttachAudioBuffer_x000D_
02 22 17:19:00 086 D OpenSLESPlayer: SetPlayoutSampleRate(48000)_x000D_
02 22 17:19:00 086 D OpenSLESPlayer: SetPlayoutChannels(1)_x000D_
02 22 17:19:00 086 D OpenSLESPlayer: AllocateDataBuffers_x000D_
02 22 17:19:00 086 D OpenSLESPlayer: native buffer size: 384_x000D_
02 22 17:19:00 086 D OpenSLESPlayer: native buffer size in ms: 4 00_x000D_
02 22 17:19:00 086 D OpenSLESPlayer: required buffer size: 1344_x000D_
02 22 17:19:00 086 D OpenSLESRecorder: AttachAudioBuffer_x000D_
02 22 17:19:00 086 D OpenSLESRecorder: SetRecordingSampleRate(48000)_x000D_
02 22 17:19:00 086 D OpenSLESRecorder: SetRecordingChannels(1)_x000D_
02 22 17:19:00 086 D OpenSLESRecorder: AllocateDataBuffers_x000D_
02 22 17:19:00 086 D OpenSLESRecorder: frames per native buffer: 192_x000D_
02 22 17:19:00 086 D OpenSLESRecorder: frames per 10ms buffer: 480_x000D_
02 22 17:19:00 086 D OpenSLESRecorder: bytes per native buffer: 384_x000D_
02 22 17:19:00 086 D OpenSLESRecorder: native sample rate: 48000_x000D_
02 22 17:19:00 088 D AudioManager: Init  tid 20382 _x000D_
02 22 17:19:00 088 I org webrtc Logging: WebRtcAudioManager: init  name Thread 14  id 19965 _x000D_
02 22 17:19:00 089 I org webrtc Logging: WebRtcAudioManager: audio mode is: MODE NORMAL_x000D_
02 22 17:19:00 092 D OpenSLESPlayer: Init  tid 20382 _x000D_
02 22 17:19:00 092 D OpenSLESRecorder: Init  tid 20382 _x000D_
02 22 17:19:00 092 D OpenSLESRecorder: EnableBuiltInAEC(1)_x000D_
02 22 17:19:00 092 E OpenSLESRecorder: Not implemented_x000D_
02 22 17:19:00 092 D OpenSLESRecorder: EnableBuiltInNS(1)_x000D_
02 22 17:19:00 092 E OpenSLESRecorder: Not implemented_x000D_
02 22 17:19:00 107 D room: 1 trying to connect to room 39f1db22 c833 476d 9870 1c1c01b780e2_x000D_
02 22 17:19:00 247 D room: 2 trying to connect to room 39f1db22 c833 476d 9870 1c1c01b780e2_x000D_
02 22 17:19:00 257 D TwilioVideo:  Core :AsyncIOWorker::AsyncIOWorker()_x000D_
02 22 17:19:00 258 D TwilioVideo:  Core :SipSignalingStackImpl::SipSignalingStackImpl()_x000D_
02 22 17:19:00 258 I TwilioVideo:  Core :Starting async I O worker runloop  using method: epoll_x000D_
02 22 17:19:00 259 A libc: Fatal signal 11 (SIGSEGV)  code 1  fault addr 0x20 in tid 19048 (inic androidapp)_x000D_
                           _x000D_
                             02 22 17:19:00 259   366:  366 W           _x000D_
                           debuggerd: handling request: pid 19048 uid 10232 gid 10232 tid 19048 </t>
  </si>
  <si>
    <t>twilio-video-quickstart-android-59</t>
  </si>
  <si>
    <t>onPause causes the app to crash with the first participant leaves the room</t>
  </si>
  <si>
    <t>I am using the beta7 and i did the following:_x000D_
Setup: the call is started as soon as the activity starts and an invite is sent to join the room _x000D_
_x000D_
a  create a room_x000D_
b  participant a joined_x000D_
c  participant b joined_x000D_
d  participant a left_x000D_
e  pause the activity by going to any other activity or going to the the home page of the phone_x000D_
d  app crashes_x000D_
_x000D_
I will try to get the log and add it here later today</t>
  </si>
  <si>
    <t>Fleker-CumulusTV-272</t>
  </si>
  <si>
    <t>Sony Bravia running Android TV 6.0.1, constant crashes upon TV boot</t>
  </si>
  <si>
    <t xml:space="preserve">Hi  Fleker _x000D_
_x000D_
My TV got updated from 5 1 1 to 6 0 1   Upon load  it still uses Sony s own  Streaming Channels  app  however  the issue is that Cumulus TV keeps FC ing upon the TV being booted up _x000D_
_x000D_
Reporting the issue is hard as it constantly comes up with the FC _x000D_
_x000D_
I managed to get two reports through around 5 mins ago _x000D_
_x000D_
Unsure what is causing it to crash though  I even  Factory Data Reset  my TV in hope that would fix it  but to no avail </t>
  </si>
  <si>
    <t>microg-GmsCore-321</t>
  </si>
  <si>
    <t>Maps API v2 Animation</t>
  </si>
  <si>
    <t>Hi  _x000D_
So the fix for issue  318 (https:  github com microg android packages apps GmsCore issues 318) seams to be working  The app no longer crashes  but the animation is not working very well  It seams to be working to begin with  but slows down more and more like something is building up and getting heavier for each frame  _x000D_
_x000D_
It s difficult to explain  so I included a screen cast  It s not a big issue  As soon as the animation start  I can press the button that takes me to a new page and then go back  thereby skipping the animation  So I can now use the app  However  there might be other apps that will not work properly  so I thought that I would report it  _x000D_
_x000D_
 Screencast (https:  dl dropboxusercontent com u 14234754 Screencast mp4)</t>
  </si>
  <si>
    <t>lostzen-lost-164</t>
  </si>
  <si>
    <t>Connection callbacks not stored if fused location service is already connected</t>
  </si>
  <si>
    <t xml:space="preserve">    Description_x000D_
_x000D_
While debugging https:  github com mapzen lost issues 162 I found that we are not properly handling  ConnectionCallbacks  when the fused location service is already connected _x000D_
_x000D_
When a new  LostApiClient  is connected we check if the service is already running  If it is  then the  ConnectionCallbacks onConnected()  is invoked but the callbacks are not stored in the  FusedLocationServiceConnectionManager  _x000D_
_x000D_
  LostApiClientImpl java  _x000D_
_x000D_
   java_x000D_
   Override public void connect()  _x000D_
       _x000D_
    FusedLocationProviderApiImpl fusedApi   getFusedLocationProviderApiImpl() _x000D_
    if (fusedApi isConnected())  _x000D_
      if (connectionCallbacks    null)  _x000D_
        connectionCallbacks onConnected() _x000D_
       _x000D_
      else if (fusedApi isConnecting())  _x000D_
      if (connectionCallbacks    null)  _x000D_
        fusedApi addConnectionCallbacks(connectionCallbacks) _x000D_
       _x000D_
      else  _x000D_
      fusedApi connect(context  connectionCallbacks) _x000D_
     _x000D_
   _x000D_
   _x000D_
_x000D_
This is potentially problematic if the service is suspended by the system and  FusedLocationServiceManager onServiceDisconnected()  fires these clients will never be notified via  ConnectionCallbacks onConnectionSuspended()   nor will  ConnectionCallbacks onConnected()  be invoked when the service is reconnected _x000D_
_x000D_
From the docs for the  ServiceConnection (https:  developer android com reference android content ServiceConnection html) interface:_x000D_
_x000D_
  Called when a connection to the Service has been lost  This typically happens when the process hosting the service has crashed or been killed  This does not remove the ServiceConnection itself    this binding to the service will remain active  and you will receive a call to onServiceConnected when the Service is next running _x000D_
_x000D_
    Steps to Reproduce_x000D_
_x000D_
1  Connect one instance of  LostApiClient  _x000D_
2  In the  ConnectionCallbacks  instance for the first client create and connect a new  LostApiClient  instance with a new instance of  ConnectionCallbacks  _x000D_
3  Using the debugger you can see that  FusedLocationServiceConnectionManager connectionCallbacks  only contains the original set of  ConnectionCallbacks  as the second set has not been added _x000D_
_x000D_
    Solution_x000D_
_x000D_
 fusedApi addConnectionCallbacks(connectionCallbacks)  should be called for  all  connection callbacks even if the  FusedLocationApi  is already connected _x000D_
_x000D_
    Lost   Android Version_x000D_
_x000D_
Lost 2 2 0 rc1</t>
  </si>
  <si>
    <t>google-ExoPlayer-2497</t>
  </si>
  <si>
    <t xml:space="preserve">Crash: java.lang.IllegalArgumentException: Layout: -317 &lt; 0 </t>
  </si>
  <si>
    <t xml:space="preserve">Yesterday I used ExoPlayer to play a live stream  I also turned Closed caption ON  _x000D_
My app is using ExoPlayer r2 2 0 _x000D_
Device: Android Samsung Note 4 6 0 1_x000D_
After a while  I got a crash  This is my crash log from Hockey App:_x000D_
_x000D_
  android text Layout  init _x000D_
java lang IllegalArgumentException: Layout:  317   0_x000D_
Layout java  line 199_x000D_
1 	android text Layout  init  	Layout java  line 199_x000D_
2 	android text StaticLayout  init  	StaticLayout java  line 479_x000D_
3 	android text StaticLayout  init  	StaticLayout java  line 465_x000D_
4 	android text StaticLayout  init  	StaticLayout java  line 443_x000D_
5 	android text StaticLayout  init  	StaticLayout java  line 423_x000D_
6 	com google android exoplayer2 ui SubtitlePainter draw 	SubtitlePainter java  line 277_x000D_
7 	com google android exoplayer2 ui SubtitleView dispatchDraw 	SubtitleView java  line 246_x000D_
8 	android view View draw 	View java  line 17472_x000D_
9 	android view View updateDisplayListIfDirty 	View java  line 16464_x000D_
10 	android view ViewGroup recreateChildDisplayList 	ViewGroup java  line 3905_x000D_
11 	android view ViewGroup dispatchGetDisplayList 	ViewGroup java  line 3885_x000D_
12 	android view View updateDisplayListIfDirty 	View java  line 16424_x000D_
13 	android view ViewGroup recreateChildDisplayList 	ViewGroup java  line 3905_x000D_
14 	android view ViewGroup dispatchGetDisplayList 	ViewGroup java  line 3885_x000D_
15 	android view View updateDisplayListIfDirty 	View java  line 16424_x000D_
16 	android view ViewGroup recreateChildDisplayList 	ViewGroup java  line 3905_x000D_
17 	android view ViewGroup dispatchGetDisplayList 	ViewGroup java  line 3885_x000D_
18 	android view View updateDisplayListIfDirty 	View java  line 16424_x000D_
19 	android view ViewGroup recreateChildDisplayList 	ViewGroup java  line 3905_x000D_
20 	android view ViewGroup dispatchGetDisplayList 	ViewGroup java  line 3885_x000D_
21 	android view View updateDisplayListIfDirty 	View java  line 16424_x000D_
22 	android view ViewGroup recreateChildDisplayList 	ViewGroup java  line 3905_x000D_
23 	android view ViewGroup dispatchGetDisplayList 	ViewGroup java  line 3885_x000D_
24 	android view View updateDisplayListIfDirty 	View java  line 16424_x000D_
25 	android view ViewGroup recreateChildDisplayList 	ViewGroup java  line 3905_x000D_
26 	android view ViewGroup dispatchGetDisplayList 	ViewGroup java  line 3885_x000D_
27 	android view View updateDisplayListIfDirty 	View java  line 16424_x000D_
28 	android view ViewGroup recreateChildDisplayList 	ViewGroup java  line 3905_x000D_
29 	android view ViewGroup dispatchGetDisplayList 	ViewGroup java  line 3885_x000D_
30 	android view View updateDisplayListIfDirty 	View java  line 16424_x000D_
31 	android view ViewGroup recreateChildDisplayList 	ViewGroup java  line 3905_x000D_
32 	android view ViewGroup dispatchGetDisplayList 	ViewGroup java  line 3885_x000D_
33 	android view View updateDisplayListIfDirty 	View java  line 16424_x000D_
34 	android view ViewGroup recreateChildDisplayList 	ViewGroup java  line 3905_x000D_
35 	android view ViewGroup dispatchGetDisplayList 	ViewGroup java  line 3885_x000D_
36 	android view View updateDisplayListIfDirty 	View java  line 16424_x000D_
37 	android view ViewGroup recreateChildDisplayList 	ViewGroup java  line 3905_x000D_
38 	android view ViewGroup dispatchGetDisplayList 	ViewGroup java  line 3885_x000D_
39 	android view View updateDisplayListIfDirty 	View java  line 16424_x000D_
40 	android view ThreadedRenderer updateViewTreeDisplayList 	ThreadedRenderer java  line 325_x000D_
41 	android view ThreadedRenderer updateRootDisplayList 	ThreadedRenderer java  line 331_x000D_
42 	android view ThreadedRenderer draw 	ThreadedRenderer java  line 366_x000D_
43 	android view ViewRootImpl draw 	ViewRootImpl java  line 3134_x000D_
44 	android view ViewRootImpl performDraw 	ViewRootImpl java  line 2933_x000D_
45 	android view ViewRootImpl performTraversals 	ViewRootImpl java  line 2522_x000D_
46 	android view ViewRootImpl doTraversal 	ViewRootImpl java  line 1437_x000D_
47 	android view ViewRootImpl TraversalRunnable run 	ViewRootImpl java  line 7397_x000D_
48 	android view Choreographer CallbackRecord run 	Choreographer java  line 920_x000D_
49 	android view Choreographer doCallbacks 	Choreographer java  line 695_x000D_
50 	android view Choreographer doFrame 	Choreographer java  line 631_x000D_
51 	android view Choreographer FrameDisplayEventReceiver run 	Choreographer java  line 906_x000D_
52 	android os Handler handleCallback 	Handler java  line 739_x000D_
53 	android os Handler dispatchMessage 	Handler java  line 95_x000D_
54 	android os Looper loop 	Looper java  line 158_x000D_
55 	android app ActivityThread main 	ActivityThread java  line 7225_x000D_
56 	java lang reflect Method invoke 	Native Method_x000D_
57 	com android internal os ZygoteInit MethodAndArgsCaller run 	ZygoteInit java  line 1230_x000D_
58 	com android internal os ZygoteInit main 	ZygoteInit java  line 1120 _x000D_
_x000D_
My question is: _x000D_
  Is this error from subtitle content _x000D_
  How can I avoid the crash from this  _x000D_
_x000D_
Thank you </t>
  </si>
  <si>
    <t>mauron85-cordova-plugin-background-geolocation-268</t>
  </si>
  <si>
    <t>app crashes on first start after install (java.lang.NullPointerException: Attempt to invoke virtual method 'java.lang.String org.json.JSONObject.toString()' on a null object reference)</t>
  </si>
  <si>
    <t xml:space="preserve">after a fresh install the app crashes immediately as the plugin gets started  It runs fine from second start _x000D_
_x000D_
from the adb logcat_x000D_
   _x000D_
E AndroidRuntime(10266): FATAL EXCEPTION: pool 2 thread 2_x000D_
E AndroidRuntime(10266): Process: com apptum app  PID: 10266_x000D_
E AndroidRuntime(10266): java lang NullPointerException: Attempt to invoke virtual method  java lang String org json JSONObject toString()  on a null object reference_x000D_
E AndroidRuntime(10266): 	at org apache cordova PluginResult  init (PluginResult java:55)_x000D_
E AndroidRuntime(10266): 	at org apache cordova CallbackContext success(CallbackContext java:72)_x000D_
E AndroidRuntime(10266): 	at com tenforwardconsulting cordova BackgroundGeolocationPlugin 10 run(BackgroundGeolocationPlugin java:408)_x000D_
E AndroidRuntime(10266): 	at java util concurrent ThreadPoolExecutor runWorker(ThreadPoolExecutor java:1112)_x000D_
E AndroidRuntime(10266): 	at java util concurrent ThreadPoolExecutor Worker run(ThreadPoolExecutor java:587)_x000D_
E AndroidRuntime(10266): 	at java lang Thread run(Thread java:818)_x000D_
W ActivityManager(  651):   Force finishing activity 1 com apptum app  MainActivity_x000D_
W BroadcastQueue(  651): Skipping deliver  background  BroadcastRecord 11cf9798 u 1 android net conn CONNECTIVITY CHANGE callingPid  1 callingUid  1  to ReceiverList 2cf73f14 10266 com apptum app 10090 u0 remote:1e5ee567 : process crashing_x000D_
   _x000D_
_x000D_
Plugin version: 2 2 4_x000D_
Platform: Android_x000D_
OS version: 5 1_x000D_
Device manufacturer and model: HTC One_x000D_
Plugin configuration options:_x000D_
    debug: false _x000D_
desiredAccuracy: 0 _x000D_
stationaryRadius: 6 _x000D_
distanceFilter: 6 _x000D_
stopOnTerminate: true _x000D_
startOnBoot: false _x000D_
startForeground: true _x000D_
interval: 3000 _x000D_
fastestInterval: 3000 _x000D_
activitiesInterval: 5000 _x000D_
stopOnStillActivity: true _x000D_
stopOnStillMinAccuracy: 30_x000D_
   </t>
  </si>
  <si>
    <t>frostwire-frostwire-355</t>
  </si>
  <si>
    <t>[desktop] Testing Options &gt; BitTorrent &gt; Advanced &gt; VPN-Drop-Protecction - Fails when connecting/disconnecting</t>
  </si>
  <si>
    <t xml:space="preserve">Tested from git   pre release FrostWire 6 4 5 build 222_x000D_
_x000D_
  screen shot 2017 02 22 at 7 33 40 pm (https:  cloud githubusercontent com assets 1534723 23239566 07b4bfb2 f936 11e6 9f3e 75a85ef81944 png)_x000D_
_x000D_
     Resume    of Downloading files is not getting the Torrent again  I cannot reproduce the files ending in  Error  but the   Seeds and Speed remain 0 0 and 0 KB s   _x000D_
_x000D_
     Clear Inactive    is erasing the info of Files that were Seeding or Downloading too _x000D_
_x000D_
  FW crashes after trying to search and download files again on Windows  Log file already shared on Slack </t>
  </si>
  <si>
    <t>SecUSo-privacy-friendly-netmonitor-17</t>
  </si>
  <si>
    <t>System-UI crash with version 1.1.1</t>
  </si>
  <si>
    <t xml:space="preserve">When NetMonitor 1 1 1 (from f droid) is running and i use the  pull down menu   then crash the system ui _x000D_
And in few connections the certificate is displayed  The most connections displays:  PENDING  in version 1 1 1_x000D_
I downgraded to version 1 0 and it works perfectly </t>
  </si>
  <si>
    <t>hzi-braunschweig-SORMAS-Project-130</t>
  </si>
  <si>
    <t>person data bug when creating new case (app)</t>
  </si>
  <si>
    <t>create new case  enter all person data  save _x000D_
   data disappears  crashes if you hit save again</t>
  </si>
  <si>
    <t>lskk-Semut-Android-1</t>
  </si>
  <si>
    <t>E/MediaPlayer-JNI: QCMediaPlayer mediaplayer NOT present</t>
  </si>
  <si>
    <t xml:space="preserve">  MediaPlayer throws NOT present error when creating Media Player _x000D_
Terjadi ketika CCTV Player mulai memutar video CCTV  tetapi tidak menyebabkan UI crash   force close  _x000D_
_x000D_
   java_x000D_
     Override_x000D_
    public void onPrepared(MediaPlayer mp)  _x000D_
        hideDialog() _x000D_
        try  _x000D_
            if ( mediaController isShowing()) mediaController show() _x000D_
         catch (Exception e) _x000D_
            Log i(this getClass() getSimpleName()   Media Control Exception ) _x000D_
         _x000D_
     _x000D_
   _x000D_
_x000D_
_x000D_
</t>
  </si>
  <si>
    <t>Fleker-CumulusTV-273</t>
  </si>
  <si>
    <t>Problem opening edit dialog</t>
  </si>
  <si>
    <t>Getting this crash in the beta _x000D_
_x000D_
    Fatal Exception: java lang IllegalStateException: You need to use a Theme AppCompat theme (or descendant) with this activity _x000D_
       at android support v7 app AppCompatDelegateImplV9 createSubDecor(AppCompatDelegateImplV9 java:355)_x000D_
       at android support v7 app AppCompatDelegateImplV9 ensureSubDecor(AppCompatDelegateImplV9 java:324)_x000D_
       at android support v7 app AppCompatDelegateImplV9 setContentView(AppCompatDelegateImplV9 java:285)_x000D_
       at android support v7 app AppCompatDialog setContentView(AppCompatDialog java:83)_x000D_
       at android support v7 app AlertController installContent(AlertController java:225)_x000D_
       at android support v7 app AlertDialog onCreate(AlertDialog java:257)_x000D_
       at android app Dialog dispatchOnCreate(Dialog java:389)_x000D_
       at android app Dialog show(Dialog java:293)_x000D_
       at android support v7 app AlertDialog Builder show(AlertDialog java:955)_x000D_
       at com felkertech cumulustv plugins JsonListingPanelActivity showEditDialog(JsonListingPanelActivity java:140)_x000D_
       at com felkertech cumulustv plugins JsonListingPanelActivity access 200(JsonListingPanelActivity java:40)_x000D_
       at com felkertech cumulustv plugins JsonListingPanelActivity 5 onClick(JsonListingPanelActivity java:162)_x000D_
       at com felkertech cumulustv ui RecyclerViewColumnAdapter 1 onClick(RecyclerViewColumnAdapter java:52)_x000D_
       at android view View performClick(View java:5609)_x000D_
       at android view View onKeyUp(View java:10577)_x000D_
       at android widget TextView onKeyUp(TextView java:6380)_x000D_
       at android view KeyEvent dispatch(KeyEvent java:2699)_x000D_
       at android view View dispatchKeyEvent(View java:9876)_x000D_
       at android view ViewGroup dispatchKeyEvent(ViewGroup java:1667)_x000D_
       at android support v17 leanback widget BaseGridView dispatchKeyEvent(BaseGridView java:897)_x000D_
       at android support v17 leanback widget VerticalGridView dispatchKeyEvent(VerticalGridView java:40)_x000D_
       at android view ViewGroup dispatchKeyEvent(ViewGroup java:1667)_x000D_
       at android view ViewGroup dispatchKeyEvent(ViewGroup java:1667)_x000D_
       at android view ViewGroup dispatchKeyEvent(ViewGroup java:1667)_x000D_
       at android view ViewGroup dispatchKeyEvent(ViewGroup java:1667)_x000D_
       at com android internal policy DecorView superDispatchKeyEvent(DecorView java:403)_x000D_
       at com android internal policy PhoneWindow superDispatchKeyEvent(PhoneWindow java:1800)_x000D_
       at android app Activity dispatchKeyEvent(Activity java:3021)_x000D_
       at com android internal policy DecorView dispatchKeyEvent(DecorView java:317)_x000D_
       at android view ViewRootImpl ViewPostImeInputStage processKeyEvent(ViewRootImpl java:4500)_x000D_
       at android view ViewRootImpl ViewPostImeInputStage onProcess(ViewRootImpl java:4471)_x000D_
       at android view ViewRootImpl InputStage deliver(ViewRootImpl java:4017)_x000D_
       at android view ViewRootImpl InputStage onDeliverToNext(ViewRootImpl java:4070)_x000D_
       at android view ViewRootImpl InputStage forward(ViewRootImpl java:4036)_x000D_
       at android view ViewRootImpl AsyncInputStage forward(ViewRootImpl java:4166)_x000D_
       at android view ViewRootImpl InputStage apply(ViewRootImpl java:4044)_x000D_
       at android view ViewRootImpl AsyncInputStage apply(ViewRootImpl java:4223)_x000D_
       at android view ViewRootImpl InputStage deliver(ViewRootImpl java:4017)_x000D_
       at android view ViewRootImpl InputStage onDeliverToNext(ViewRootImpl java:4070)_x000D_
       at android view ViewRootImpl InputStage forward(ViewRootImpl java:4036)_x000D_
       at android view ViewRootImpl InputStage apply(ViewRootImpl java:4044)_x000D_
       at android view ViewRootImpl InputStage deliver(ViewRootImpl java:4017)_x000D_
       at android view ViewRootImpl InputStage onDeliverToNext(ViewRootImpl java:4070)_x000D_
       at android view ViewRootImpl InputStage forward(ViewRootImpl java:4036)_x000D_
       at android view ViewRootImpl AsyncInputStage forward(ViewRootImpl java:4199)_x000D_
       at android view ViewRootImpl ImeInputStage onFinishedInputEvent(ViewRootImpl java:4360)_x000D_
       at android view inputmethod InputMethodManager PendingEvent run(InputMethodManager java:2377)_x000D_
       at android view inputmethod InputMethodManager invokeFinishedInputEventCallback(InputMethodManager java:1973)_x000D_
       at android view inputmethod InputMethodManager finishedInputEvent(InputMethodManager java:1964)_x000D_
       at android view inputmethod InputMethodManager ImeInputEventSender onInputEventFinished(InputMethodManager java:2354)_x000D_
       at android view InputEventSender dispatchInputEventFinished(InputEventSender java:141)_x000D_
       at android os MessageQueue nativePollOnce(MessageQueue java)_x000D_
       at android os MessageQueue next(MessageQueue java:323)_x000D_
       at android os Looper loop(Looper java:136)_x000D_
       at android app ActivityThread main(ActivityThread java:6120)_x000D_
       at java lang reflect Method invoke(Method java)_x000D_
       at com android internal os ZygoteInit MethodAndArgsCaller run(ZygoteInit java:865)_x000D_
       at com android internal os ZygoteInit main(ZygoteInit java:755)</t>
  </si>
  <si>
    <t>smarek-httpclient-android-15</t>
  </si>
  <si>
    <t>Locale.ROOT doesn't exist in Android APIs prior to 9</t>
  </si>
  <si>
    <t xml:space="preserve">Using the library will crash on Android 2 2 and earlier due to a java lang NoSuchFieldError  _x000D_
_x000D_
https:  github com apache httpcore blob 4 4 x httpcore src main java org apache http config RegistryBuilder java references java util Locale ROOT that is not included in the Android runtimes prior to API 9 _x000D_
_x000D_
The best fix is likely to patch the original code to use Locale US for API versions prior to 9   </t>
  </si>
  <si>
    <t>esoxjem-MovieGuide-20</t>
  </si>
  <si>
    <t>App crashes when I switch to airplane mode and trying to open any movie details</t>
  </si>
  <si>
    <t xml:space="preserve">A couple of last log lines when app crashes:_x000D_
_x000D_
  I InjectionManager: dispatchOnViewCreated   Target : com esoxjem movieguide details MovieDetailsActivity isFragment :false_x000D_
  D SecWifiDisplayUtil: Metadata value : SecSettings2_x000D_
  D OkHttp:     GET http:  api themoviedb org 3 movie 341174 videos api key my key http 1 1_x000D_
  D OkHttp: Accept: application json_x000D_
  D OkHttp:     END GET_x000D_
  D OkHttp:     GET http:  api themoviedb org 3 movie 341174 reviews api key my key http 1 1_x000D_
  D OkHttp: Accept: application json_x000D_
  D OkHttp:     END GET_x000D_
  D ViewRootImpl:  1 mView   com android internal policy PhoneWindow DecorView bf6c185 I E       R     ID 0 0 0 0 _x000D_
  D OkHttp:     HTTP FAILED: java net UnknownHostException: Unable to resolve host  api themoviedb org : No address associated with hostname_x000D_
  D OkHttp:     HTTP FAILED: java net UnknownHostException: Unable to resolve host  api themoviedb org : No address associated with hostname_x000D_
  E AndroidRuntime:   FATAL EXCEPTION: main  _x000D_
  Process: com esoxjem movieguide  PID: 18198_x000D_
</t>
  </si>
  <si>
    <t>k9mail-k-9-2282</t>
  </si>
  <si>
    <t>Crash in 5.205: Bug in ParcelableUtil.unmarshall()?</t>
  </si>
  <si>
    <t xml:space="preserve">Crash reported via Google Play _x000D_
_x000D_
User messages:_x000D_
  crash when opening from 1x1 widget_x000D_
  using inbox icon to start k9 results in crash_x000D_
  force closes on start from widget_x000D_
_x000D_
_x000D_
   _x000D_
java lang RuntimeException: Unable to start activity ComponentInfo com fsck k9 com fsck k9 activity MessageList : java lang NullPointerException: Attempt to get length of null array_x000D_
	at android app ActivityThread performLaunchActivity(ActivityThread java:3253)_x000D_
	at android app ActivityThread handleLaunchActivity(ActivityThread java:3349)_x000D_
	at android app ActivityThread access 1100(ActivityThread java:221)_x000D_
	at android app ActivityThread H handleMessage(ActivityThread java:1794)_x000D_
	at android os Handler dispatchMessage(Handler java:102)_x000D_
	at android os Looper loop(Looper java:158)_x000D_
	at android app ActivityThread main(ActivityThread java:7224)_x000D_
	at java lang reflect Method invoke(Native Method)_x000D_
	at com android internal os ZygoteInit MethodAndArgsCaller run(ZygoteInit java:1230)_x000D_
	at com android internal os ZygoteInit main(ZygoteInit java:1120)_x000D_
Caused by: java lang NullPointerException: Attempt to get length of null array_x000D_
	at com fsck k9 helper ParcelableUtil unmarshall(ParcelableUtil java:27)_x000D_
	at com fsck k9 helper ParcelableUtil unmarshall(ParcelableUtil java:19)_x000D_
	at com fsck k9 activity MessageList decodeExtras(MessageList java:437)_x000D_
	at com fsck k9 activity MessageList onCreate(MessageList java:225)_x000D_
	at android app Activity performCreate(Activity java:6876)_x000D_
	at android app Instrumentation callActivityOnCreate(Instrumentation java:1135)_x000D_
	at android app ActivityThread performLaunchActivity(ActivityThread java:3206)_x000D_
	    9 more_x000D_
   </t>
  </si>
  <si>
    <t>google-blockly-android-537</t>
  </si>
  <si>
    <t>Block drag fails on API 16 &amp; 17</t>
  </si>
  <si>
    <t xml:space="preserve"> 1  Start Simple demo _x000D_
 1  Drag a block to the workspace _x000D_
 1  Drag it to new positions on the workspace  Repeat until crash _x000D_
_x000D_
Tested on master     _x000D_
   _x000D_
620 com google blockly demo E AndroidRuntime: FATAL EXCEPTION: main_x000D_
java lang NullPointerException_x000D_
     at android view ViewGroup dispatchDragEvent(ViewGroup java:1153)_x000D_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ViewGroup dispatchDragEvent(ViewGroup java:1147)_x000D_
     at android view ViewRootImpl handleDragEvent(ViewRootImpl java:3714)_x000D_
     at android view ViewRootImpl access 600(ViewRootImpl java:97)_x000D_
     at android view ViewRootImpl ViewRootHandler handleMessage(ViewRootImpl java:2955)_x000D_
     at android os Handler dispatchMessage(Handler java:99)_x000D_
     at android os Looper loop(Looper java:137)_x000D_
     at android app ActivityThread main(ActivityThread java:4745)_x000D_
     at java lang reflect Method invokeNative(Native Method)_x000D_
     at java lang reflect Method invoke(Method java:511)_x000D_
     at com android internal os ZygoteInit MethodAndArgsCaller run(ZygoteInit java:786)_x000D_
     at com android internal os ZygoteInit main(ZygoteInit java:553)_x000D_
     at dalvik system NativeStart main(Native Method)_x000D_
   _x000D_
_x000D_
 Relevant source (https:  github com AndroidSDKSources android sdk sources for api level 16 blob master android view ViewGroup java L1153):_x000D_
   _x000D_
case DragEvent ACTION DRAG ENDED:  _x000D_
       Release the bookkeeping now that the drag lifecycle has ended_x000D_
    if (mDragNotifiedChildren    null)  _x000D_
        for (View child : mDragNotifiedChildren)  _x000D_
               If a child was notified about an ongoing drag  it s told that it s over_x000D_
            child dispatchDragEvent(event) _x000D_
            child mPrivateFlags2     View DRAG MASK _x000D_
            child refreshDrawableState() _x000D_
         _x000D_
_x000D_
        mDragNotifiedChildren clear() _x000D_
        mCurrentDrag recycle()                  Crashes here                _x000D_
        mCurrentDrag   null _x000D_
     _x000D_
_x000D_
       We consider drag ended to have been handled if one of our children_x000D_
       had offered to handle the drag _x000D_
    if (mChildAcceptsDrag)  _x000D_
        retval   true _x000D_
     _x000D_
  break _x000D_
   </t>
  </si>
  <si>
    <t>connectbot-connectbot-493</t>
  </si>
  <si>
    <t>StringIndexOutOfBoundsException when generating public keys under Traditional Chinese locale</t>
  </si>
  <si>
    <t>Steps to reprduce:_x000D_
_x000D_
1  Use Traditional Chinese locale  On my phone it s displayed as   (  )_x000D_
2   Manage Pubkeys  (    )       _x000D_
3  Type a random name and hit  Generate  (  )_x000D_
_x000D_
Then the generation dialog crashes: (I add two    Log e()    to see what s wrong)_x000D_
   _x000D_
02 28 02:29:35 812  27000    27000                  DEBUG  E              0   _x000D_
02 28 02:29:35 813  27000    27000                  DEBUG  E   1_x000D_
02 28 02:29:35 818  27000    27000         AndroidRuntime  D  Shutting down VM_x000D_
02 28 02:29:35 819  27000    27000         AndroidRuntime  E  FATAL EXCEPTION: main_x000D_
02 28 02:29:35 819  27000    27000         AndroidRuntime  E  Process: org connectbot debug  PID: 27000_x000D_
02 28 02:29:35 819  27000    27000         AndroidRuntime  E  java lang StringIndexOutOfBoundsException: length 16  regionStart 0  regionLength  1_x000D_
02 28 02:29:35 819  27000    27000         AndroidRuntime  E  at java lang String startEndAndLength(String java:298)_x000D_
02 28 02:29:35 819  27000    27000         AndroidRuntime  E  at java lang String substring(String java:1087)_x000D_
02 28 02:29:35 819  27000    27000         AndroidRuntime  E  at org connectbot util EntropyView onDraw(EntropyView java:101)_x000D_
02 28 02:29:35 819  27000    27000         AndroidRuntime  E  at android view View draw(View java:16200)_x000D_
02 28 02:29:35 819  27000    27000         AndroidRuntime  E  at android view View updateDisplayListIfDirty(View java:15197)_x000D_
02 28 02:29:35 819  27000    27000         AndroidRuntime  E  at android view View draw(View java:15970)_x000D_
02 28 02:29:35 819  27000    27000         AndroidRuntime  E  at android view ViewGroup drawChild(ViewGroup java:3610)_x000D_
02 28 02:29:35 819  27000    27000         AndroidRuntime  E  at android view ViewGroup dispatchDraw(ViewGroup java:3400)_x000D_
02 28 02:29:35 819  27000    27000         AndroidRuntime  E  at android view View updateDisplayListIfDirty(View java:15192)_x000D_
02 28 02:29:35 819  27000    27000         AndroidRuntime  E  at android view View draw(View java:15970)_x000D_
02 28 02:29:35 819  27000    27000         AndroidRuntime  E  at android view ViewGroup drawChild(ViewGroup java:3610)_x000D_
02 28 02:29:35 819  27000    27000         AndroidRuntime  E  at android view ViewGroup dispatchDraw(ViewGroup java:3400)_x000D_
02 28 02:29:35 819  27000    27000         AndroidRuntime  E  at android view View updateDisplayListIfDirty(View java:15192)_x000D_
02 28 02:29:35 819  27000    27000         AndroidRuntime  E  at android view View draw(View java:15970)_x000D_
02 28 02:29:35 819  27000    27000         AndroidRuntime  E  at android view ViewGroup drawChild(ViewGroup java:3610)_x000D_
02 28 02:29:35 819  27000    27000         AndroidRuntime  E  at android view ViewGroup dispatchDraw(ViewGroup java:3400)_x000D_
02 28 02:29:35 819  27000    27000         AndroidRuntime  E  at android view View updateDisplayListIfDirty(View java:15192)_x000D_
02 28 02:29:35 819  27000    27000         AndroidRuntime  E  at android view View draw(View java:15970)_x000D_
02 28 02:29:35 819  27000    27000         AndroidRuntime  E  at android view ViewGroup drawChild(ViewGroup java:3610)_x000D_
02 28 02:29:35 819  27000    27000         AndroidRuntime  E  at android view ViewGroup dispatchDraw(ViewGroup java:3400)_x000D_
02 28 02:29:35 819  27000    27000         AndroidRuntime  E  at android view View draw(View java:16203)_x000D_
02 28 02:29:35 819  27000    27000         AndroidRuntime  E  at com android internal policy PhoneWindow DecorView draw(PhoneWindow java:2690)_x000D_
02 28 02:29:35 819  27000    27000         AndroidRuntime  E  at android view View updateDisplayListIfDirty(View java:15197)_x000D_
02 28 02:29:35 819  27000    27000         AndroidRuntime  E  at android view ThreadedRenderer updateViewTreeDisplayList(ThreadedRenderer java:281)_x000D_
02 28 02:29:35 819  27000    27000         AndroidRuntime  E  at android view ThreadedRenderer updateRootDisplayList(ThreadedRenderer java:287)_x000D_
02 28 02:29:35 819  27000    27000         AndroidRuntime  E  at android view ThreadedRenderer draw(ThreadedRenderer java:322)_x000D_
02 28 02:29:35 819  27000    27000         AndroidRuntime  E  at android view ViewRootImpl draw(ViewRootImpl java:2620)_x000D_
02 28 02:29:35 819  27000    27000         AndroidRuntime  E  at android view ViewRootImpl performDraw(ViewRootImpl java:2439)_x000D_
02 28 02:29:35 819  27000    27000         AndroidRuntime  E  at android view ViewRootImpl performTraversals(ViewRootImpl java:2072)_x000D_
02 28 02:29:35 819  27000    27000         AndroidRuntime  E  at android view ViewRootImpl doTraversal(ViewRootImpl java:1112)_x000D_
02 28 02:29:35 819  27000    27000         AndroidRuntime  E  at android view ViewRootImpl TraversalRunnable run(ViewRootImpl java:6035)_x000D_
02 28 02:29:35 819  27000    27000         AndroidRuntime  E  at android view Choreographer CallbackRecord run(Choreographer java:858)_x000D_
02 28 02:29:35 819  27000    27000         AndroidRuntime  E  at android view Choreographer doCallbacks(Choreographer java:670)_x000D_
02 28 02:29:35 819  27000    27000         AndroidRuntime  E  at android view Choreographer doFrame(Choreographer java:606)_x000D_
02 28 02:29:35 819  27000    27000         AndroidRuntime  E  at android view Choreographer FrameDisplayEventReceiver run(Choreographer java:844)_x000D_
02 28 02:29:35 819  27000    27000         AndroidRuntime  E  at android os Handler handleCallback(Handler java:739)_x000D_
02 28 02:29:35 819  27000    27000         AndroidRuntime  E  at android os Handler dispatchMessage(Handler java:95)_x000D_
02 28 02:29:35 819  27000    27000         AndroidRuntime  E  at android os Looper loop(Looper java:148)_x000D_
02 28 02:29:35 819  27000    27000         AndroidRuntime  E  at android app ActivityThread main(ActivityThread java:5451)_x000D_
02 28 02:29:35 819  27000    27000         AndroidRuntime  E  at java lang reflect Method invoke(Native Method)_x000D_
02 28 02:29:35 819  27000    27000         AndroidRuntime  E  at com android internal os ZygoteInit MethodAndArgsCaller run(ZygoteInit java:726)_x000D_
02 28 02:29:35 819  27000    27000         AndroidRuntime  E  at com android internal os ZygoteInit main(ZygoteInit java:616)_x000D_
   _x000D_
_x000D_
Everything works fine with English locale _x000D_
_x000D_
Tested with the latest git master (0a380c1795e088b2915446d2d270eb64b0902aff)</t>
  </si>
  <si>
    <t>Tencent-tinker-374</t>
  </si>
  <si>
    <t>补丁加载成功后WebView获取资源失败android.content.res.Resources$NotFoundException: Resource ID #0x0</t>
  </si>
  <si>
    <t xml:space="preserve">   _x000D_
     app     _x000D_
_x000D_
       5s(Android 7 1 1)     3T(Android7 0)   ZUK Z2(Android 7 0)_x000D_
_x000D_
       Android 7 0 _x000D_
_x000D_
tinker   1 7 7_x000D_
_x000D_
gradle   2 2 3_x000D_
_x000D_
    :Mac Windows_x000D_
_x000D_
WebView   52 0 2743 100_x000D_
_x000D_
      _x000D_
_x000D_
         resource            (     Tinker  ) _x000D_
_x000D_
                         WebView      _x000D_
_x000D_
                  WebView           App   _x000D_
_x000D_
        _x000D_
   _x000D_
_x000D_
   _x000D_
02 27 19:36:14 570 21658 21658 com xxx web E Tinker TinkerUncaughtExceptionHandler:  e: 1 uncaughtException:Resource ID  0x0_x000D_
02 27 19:36:15 476 21658 21658 com xxx web E Tinker UncaughtHandler: catch exception when loading tinker:android content res Resources NotFoundException: Resource ID  0x0_x000D_
     at android content res ResourcesImpl getValue(ResourcesImpl java:190)_x000D_
     at android content res Resources loadXmlResourceParser(Resources java:2101)_x000D_
     at android content res Resources getLayout(Resources java:1115)_x000D_
     at android view LayoutInflater inflate(LayoutInflater java:424)_x000D_
     at android widget ArrayAdapter createViewFromResource(ArrayAdapter java:380)_x000D_
     at android widget ArrayAdapter getView(ArrayAdapter java:371)_x000D_
     at org chromium content browser input SelectPopupAdapter getView(SelectPopupAdapter java:56)_x000D_
     at android widget AbsListView obtainView(AbsListView java:2370)_x000D_
     at android widget ListView measureHeightOfChildren(ListView java:1326)_x000D_
     at android widget ListView onMeasure(ListView java:1233)_x000D_
     at android view View measure(View java:19861)_x000D_
     at android view ViewGroup measureChildWithMargins(ViewGroup java:6083)_x000D_
     at android widget FrameLayout onMeasure(FrameLayout java:185)_x000D_
     at android view View measure(View java:19861)_x000D_
     at android view ViewGroup measureChildWithMargins(ViewGroup java:6083)_x000D_
     at android widget FrameLayout onMeasure(FrameLayout java:185)_x000D_
     at android view View measure(View java:19861)_x000D_
     at android view ViewGroup measureChildWithMargins(ViewGroup java:6083)_x000D_
     at android widget LinearLayout measureChildBeforeLayout(LinearLayout java:1464)_x000D_
     at android widget LinearLayout measureVertical(LinearLayout java:758)_x000D_
     at android widget LinearLayout onMeasure(LinearLayout java:640)_x000D_
     at android view View measure(View java:19861)_x000D_
     at android view ViewGroup measureChildWithMargins(ViewGroup java:6083)_x000D_
     at android widget FrameLayout onMeasure(FrameLayout java:185)_x000D_
     at android view View measure(View java:19861)_x000D_
     at android view ViewGroup measureChildWithMargins(ViewGroup java:6083)_x000D_
     at android widget FrameLayout onMeasure(FrameLayout java:185)_x000D_
     at android view View measure(View java:19861)_x000D_
     at android view ViewGroup measureChildWithMargins(ViewGroup java:6083)_x000D_
     at android widget FrameLayout onMeasure(FrameLayout java:185)_x000D_
     at com android internal policy DecorView onMeasure(DecorView java:689)_x000D_
     at android view View measure(View java:19861)_x000D_
     at android view ViewRootImpl performMeasure(ViewRootImpl java:2275)_x000D_
     at android view ViewRootImpl measureHierarchy(ViewRootImpl java:1339)_x000D_
     at android view ViewRootImpl performTraversals(ViewRootImpl java:1619)_x000D_
     at android view ViewRootImpl doTraversal(ViewRootImpl java:1254)_x000D_
     at android view ViewRootImpl TraversalRunnable run(ViewRootImpl java:6343)_x000D_
     at android view Choreographer CallbackRecord run(Choreographer java:874)_x000D_
     at android view Choreographer doCallbacks(Choreographer java:686)_x000D_
     at android view Choreographer doFrame(Choreographer java:621)_x000D_
     at android view Choreographer FrameDisplayEventReceiver run(Choreographer java:860)_x000D_
     at android os Handler handleCallback(Handler java:751)_x000D_
     at android os Handler dispatchMessage(Handler java:95)_x000D_
     at android os Looper loop(Looper java:154)_x000D_
     at android app ActivityThread main(ActivityThread java:6126)_x000D_
     at java lang reflect Method invoke(Native Method)_x000D_
     at com android internal os ZygoteInit MethodAndArgsCaller run(ZygoteInit java:886)_x000D_
     at com android internal os ZygoteInit main(ZygoteInit java:776)_x000D_
 _x000D_
 _x000D_
           beginning of crash_x000D_
   </t>
  </si>
  <si>
    <t>SecUSo-privacy-friendly-shopping-list-33</t>
  </si>
  <si>
    <t>Present quantity field to 1</t>
  </si>
  <si>
    <t xml:space="preserve">1  Add a new item to the list_x000D_
2  Press press     in quantity before pressing     or entering a number_x000D_
3  App crashes_x000D_
_x000D_
   _x000D_
java lang NumberFormatException: Invalid int:   _x000D_
	at java lang Integer invalidInt(Integer java:138)_x000D_
	at java lang Integer parseInt(Integer java:358)_x000D_
	at java lang Integer parseInt(Integer java:334)_x000D_
	at privacyfriendlyshoppinglist secuso org privacyfriendlyshoppinglist ui products dialog ProductDialogFragment 2 onClick(ProductDialogFragment java:207)_x000D_
	at android view View performClick(View java:5201)_x000D_
	at android view View PerformClick run(View java:21163)_x000D_
	at android os Handler handleCallback(Handler java:746)_x000D_
	at android os Handler dispatchMessage(Handler java:95)_x000D_
	at android os Looper loop(Looper java:148)_x000D_
	at android app ActivityThread main(ActivityThread java:5443)_x000D_
	at java lang reflect Method invoke(Native Method)_x000D_
	at com android internal os ZygoteInit MethodAndArgsCaller run(ZygoteInit java:728)_x000D_
	at com android internal os ZygoteInit main(ZygoteInit java:618)_x000D_
   _x000D_
_x000D_
</t>
  </si>
  <si>
    <t>platypusllc-tablet-28</t>
  </si>
  <si>
    <t>crash using "Drop Waypoint" without a boat fix</t>
  </si>
  <si>
    <t xml:space="preserve">If a user plays with the app and there isn t a boat connected  they can crash it by pressing the drop waypoint button  _x000D_
_x000D_
AndroidRuntime                 E  FATAL EXCEPTION: main                                                                                                                         _x000D_
AndroidRuntime                 E  Process: com platypus android tablet  PID: 3767                                                                                               _x000D_
AndroidRuntime                 E  Theme: themes: default overlay:system  iconPack:system  fontPkg:system  com android systemui overlay:system  com android systemui navbar overl_x000D_
                                  ay:system                                                                                                                                     _x000D_
AndroidRuntime                 E  java lang NullPointerException                                                                                                                _x000D_
AndroidRuntime                 E  at com mapbox mapboxsdk maps NativeMapView nativeAddPolylines(Native Method)                                                                  _x000D_
AndroidRuntime                 E  at com mapbox mapboxsdk maps NativeMapView addPolyline(NativeMapView java:376)                                                                _x000D_
AndroidRuntime                 E  at com mapbox mapboxsdk maps MapView addPolyline(MapView java:1185)                                                                           _x000D_
AndroidRuntime                 E  at com mapbox mapboxsdk maps MapboxMap addPolyline(MapboxMap java:1226)                                                                       _x000D_
AndroidRuntime                 E  at com platypus android tablet TeleOpPanel invalidate(TeleOpPanel java:3003)                                                                  _x000D_
AndroidRuntime                 E  at com platypus android tablet TeleOpPanel 37 onClick(TeleOpPanel java:2639)                                                                  _x000D_
AndroidRuntime                 E  at android view View performClick(View java:5204)                                                                                             _x000D_
AndroidRuntime                 E  at android view View PerformClick run(View java:21156)                                                                                        _x000D_
AndroidRuntime                 E  at android os Handler handleCallback(Handler java:739)                                                                                        _x000D_
AndroidRuntime                 E  at android os Handler dispatchMessage(Handler java:95)                                                                                        _x000D_
AndroidRuntime                 E  at android os Looper loop(Looper java:148)                                                                                                    _x000D_
AndroidRuntime                 E  at android app ActivityThread main(ActivityThread java:5466)                                                                                  _x000D_
AndroidRuntime                 E  at java lang reflect Method invoke(Native Method)                                                                                             _x000D_
AndroidRuntime                 E  at com android internal os ZygoteInit MethodAndArgsCaller run(ZygoteInit java:726)                                                            _x000D_
AndroidRuntime                 E  at com android internal os ZygoteInit main(ZygoteInit java:616)  </t>
  </si>
  <si>
    <t>getodk-collect-488</t>
  </si>
  <si>
    <t>Crash when trying to get GDrive contents in API 16 emulator</t>
  </si>
  <si>
    <t xml:space="preserve">     Software and hardware versions _x000D_
Collect v1 4 16 18 gd398fc05  Android 4 1 2 emulator  Google Play Services 9256030_x000D_
_x000D_
     Problem description_x000D_
Collect crashes when trying to list contents of GDrive _x000D_
_x000D_
     Steps to reproduce the problem_x000D_
1  Set Platform to Google Drive  Google Sheets in General Settings_x000D_
1  Tap Get Blank Form_x000D_
1  Tap My Drive_x000D_
_x000D_
     Expected behavior_x000D_
This seems to be due to the Play Services version  The user should be told that their Play Services is out of date and must be updated to use this feature  They should be given the option to cancel fetching new forms so the app doesn t crash  Perhaps they can be linked to update Play Services _x000D_
_x000D_
     Other information _x000D_
I can run the same code in an API 22 emulator with no problems _x000D_
_x000D_
This is related to  132 _x000D_
_x000D_
    _x000D_
W GooglePlayServicesUtil: Google Play services out of date   Requires 10084000 but found 9256030_x000D_
E AndroidRuntime: FATAL EXCEPTION: AsyncTask  1_x000D_
                  java lang RuntimeException: An error occured while executing doInBackground()_x000D_
                      at android os AsyncTask 3 done(AsyncTask java:299)_x000D_
                      at java util concurrent FutureTask Sync innerSetException(FutureTask java:273)_x000D_
                      at java util concurrent FutureTask setException(FutureTask java:124)_x000D_
                      at java util concurrent FutureTask Sync innerRun(FutureTask java:307)_x000D_
                      at java util concurrent FutureTask run(FutureTask java:137)_x000D_
                      at android os AsyncTask SerialExecutor 1 run(AsyncTask java:230)_x000D_
                      at java util concurrent ThreadPoolExecutor runWorker(ThreadPoolExecutor java:1076)_x000D_
                      at java util concurrent ThreadPoolExecutor Worker run(ThreadPoolExecutor java:569)_x000D_
                      at java lang Thread run(Thread java:856)_x000D_
                   Caused by: android content ActivityNotFoundException: No Activity found to handle Intent   act android intent action VIEW dat market:  details id com google android gms pcampaignid gcore 10084000 e org odk collect android 2029 flg 0x80000 pkg com android vending  _x000D_
                      at android app Instrumentation checkStartActivityResult(Instrumentation java:1545)_x000D_
                      at android app Instrumentation execStartActivity(Instrumentation java:1416)_x000D_
                      at android app Activity startActivityForResult(Activity java:3351)_x000D_
                      at android app Activity startActivityForResult(Activity java:3312)_x000D_
                      at org odk collect android activities GoogleDriveActivity RetrieveDriveFileContentsAsyncTask doInBackground(GoogleDriveActivity java:567)_x000D_
                      at org odk collect android activities GoogleDriveActivity RetrieveDriveFileContentsAsyncTask doInBackground(GoogleDriveActivity java:529)_x000D_
                      at android os AsyncTask 2 call(AsyncTask java:287)_x000D_
                      at java util concurrent FutureTask Sync innerRun(FutureTask java:305)_x000D_
                      at java util concurrent FutureTask run(FutureTask java:137) _x000D_
                      at android os AsyncTask SerialExecutor 1 run(AsyncTask java:230) _x000D_
                      at java util concurrent ThreadPoolExecutor runWorker(ThreadPoolExecutor java:1076) _x000D_
                      at java util concurrent ThreadPoolExecutor Worker run(ThreadPoolExecutor java:569) _x000D_
                      at java lang Thread run(Thread java:856) _x000D_
    _x000D_
</t>
  </si>
  <si>
    <t>timusus-Shuttle-46</t>
  </si>
  <si>
    <t>Bug: Shuttle Crashes when re-ordering a playlist</t>
  </si>
  <si>
    <t xml:space="preserve">  Description  _x000D_
It is possible to drag a song in a playlist above the album preview  As soon as I m dragging it back down  Shuttle crashes _x000D_
  screenshot 2017 03 01 11 28 49 (https:  cloud githubusercontent com assets 15124420 23456439 c46e3bd2 fe73 11e6 8f40 c6e7f79cae25 png)_x000D_
_x000D_
  Reproduction  _x000D_
1  Go to a playlist and drag a track above the album preview_x000D_
2  Drag it below the album preview_x000D_
3  Shuttle should crash_x000D_
_x000D_
  Software version  _x000D_
I m using Shuttle 1 6 4 (upgraded) on a my LG G3 (d855) running Android 6 0</t>
  </si>
  <si>
    <t>alexanderg931-ReviewApp-1</t>
  </si>
  <si>
    <t>[MASTER] Error with FileHandler</t>
  </si>
  <si>
    <t xml:space="preserve">  Issue:   FileHandler is crashing the program when loadRestaurants() is called  Already fixed a previous bug where we were trying to write to protected storage _x000D_
_x000D_
  Description:   When trying to write to internal memory  the file is clearly being created (no IOException is being caught)  however  reader readLine() seems to either be skipping over all the lines  or trying to parse an empty file in the Do While loop within loadRestaurants() in the FileHandler class _x000D_
_x000D_
Essentially  we need to figure out WHY data isn t being written to the file  but the file is still being created (write once storage )_x000D_
_x000D_
  Possible Solutions:   Switch to external memory  restructure do while loop_x000D_
_x000D_
</t>
  </si>
  <si>
    <t>Fleker-CumulusTV-274</t>
  </si>
  <si>
    <t>Crashes always</t>
  </si>
  <si>
    <t xml:space="preserve">After several updates and  l no fix for my problem  I came here to talk about it _x000D_
_x000D_
I used 1 5 7 for a long time because no other version works flawlessly for me yet  then I decided to update  but Cumulus app needs to be opened before opening Live Channels app _x000D_
_x000D_
Well let me explain  when I open Live Channels for the first time after a reboot or something like that  cumulus app crashes immediately and Live Channels wont tune the channel  I need to force close  go home and open cumulus so it can be in memory and Live Channels work _x000D_
_x000D_
I have a Nexus Player  I have tried reinstalling the app and it does the same always _x000D_
_x000D_
I updated to 1 7 8 just now and I still have the problem _x000D_
_x000D_
Thanks </t>
  </si>
  <si>
    <t>fossasia-phimpme-android-59</t>
  </si>
  <si>
    <t>Runtime permission error in API 23+</t>
  </si>
  <si>
    <t xml:space="preserve">App crashes while opening in Marshmallow above devices  Needs to get Runtime permission for READ EXTERNAL STORAGE _x000D_
   _x000D_
java lang RuntimeException: Unable to resume activity  vn mbm phimp me vn mbm phimp me PhimpMe : java lang SecurityException: Permission Denial: reading com android providers media MediaProvider uri content:  media external images thumbnails from pid 26836  uid 10126 requires android permission READ EXTERNAL STORAGE  or grantUriPermission()_x000D_
                                                                     at android app ActivityThread performResumeActivity(ActivityThread java:3121)_x000D_
                                                                     at android app ActivityThread handleResumeActivity(ActivityThread java:3152)_x000D_
                                                                     at android app ActivityThread handleLaunchActivity(ActivityThread java:2495)_x000D_
                                                                     at android app ActivityThread  wrap11(ActivityThread java)_x000D_
                                                                     at android app ActivityThread H handleMessage(ActivityThread java:1354)_x000D_
                                                                     at android os Handler dispatchMessage(Handler java:102)_x000D_
                                                                     at android os Looper loop(Looper java:148)_x000D_
                                                                     at android app ActivityThread main(ActivityThread java:5443)_x000D_
                                                                     at java lang reflect Method invoke(Native Method)_x000D_
                                                                     at com android internal os ZygoteInit MethodAndArgsCaller run(ZygoteInit java:728)_x000D_
                                                                     at com android internal os ZygoteInit main(ZygoteInit java:618)_x000D_
                                                                  Caused by: java lang SecurityException: Permission Denial: reading com android providers media MediaProvider uri content:  media external images thumbnails from pid 26836  uid 10126 requires android permission READ EXTERNAL STORAGE  or grantUriPermission()_x000D_
                                                                     at android os Parcel readException(Parcel java:1620)_x000D_
                                                                     at android database DatabaseUtils readExceptionFromParcel(DatabaseUtils java:183)_x000D_
                                                                     at android database DatabaseUtils readExceptionFromParcel(DatabaseUtils java:135)_x000D_
                                                                     at android content ContentProviderProxy query(ContentProviderNative java:421)_x000D_
                                                                     at android content ContentResolver query(ContentResolver java:491)_x000D_
                                                                     at android content ContentResolver query(ContentResolver java:434)_x000D_
                                                                     at vn mbm phimp me newGallery resumeLocalPhoto(newGallery java:3407)_x000D_
                                                                     at vn mbm phimp me newGallery onResume(newGallery java:3242)_x000D_
   </t>
  </si>
  <si>
    <t>facebook-stetho-505</t>
  </si>
  <si>
    <t>Missing support-compat Dependency</t>
  </si>
  <si>
    <t xml:space="preserve">Stetho needs  android support v4 view accessibility AccessibilityNodeInfoCompat   However  it does not depend upon  support compat   the Android SDK artifact that (now) houses that class  As a result  if the project does not already have that dependency  Stetho crashes _x000D_
_x000D_
The attached project can be used to reproduce the problem  At the moment   support compat  is commented out in  app build gradle   If you run the project  and you start navigating the view hierarchy using the Elements view  after a few layers  you eventually crash with:_x000D_
_x000D_
   _x000D_
java lang NoClassDefFoundError: Failed resolution of: Landroid support v4 view accessibility AccessibilityNodeInfoCompat _x000D_
      at com facebook stetho inspector elements android ViewDescriptor onGetAccessibilityStyles(ViewDescriptor java:189)_x000D_
      at com facebook stetho inspector elements android ViewDescriptor onGetAccessibilityStyles(ViewDescriptor java:40)_x000D_
      at com facebook stetho inspector elements AbstractChainedDescriptor getAccessibilityStyles(AbstractChainedDescriptor java:163)_x000D_
      at com facebook stetho inspector elements AbstractChainedDescriptor getAccessibilityStyles(AbstractChainedDescriptor java:162)_x000D_
      at com facebook stetho inspector elements Document getElementAccessibilityStyles(Document java:153)_x000D_
      at com facebook stetho inspector protocol module CSS 2 run(CSS java:150)_x000D_
      at com facebook stetho common android HandlerUtil 2 onRun(HandlerUtil java:90)_x000D_
      at com facebook stetho common android HandlerUtil 2 onRun(HandlerUtil java:87)_x000D_
      at com facebook stetho common android HandlerUtil WaitableRunnable run(HandlerUtil java:109)_x000D_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ClassNotFoundException: Didn t find class  android support v4 view accessibility AccessibilityNodeInfoCompat  on path: DexPathList  zip file   data app com commonsware android stetho 1 base apk   nativeLibraryDirectories   data app com commonsware android stetho 1 lib arm   vendor lib   system lib  _x000D_
      at dalvik system BaseDexClassLoader findClass(BaseDexClassLoader java:56)_x000D_
      at java lang ClassLoader loadClass(ClassLoader java:511)_x000D_
      at java lang ClassLoader loadClass(ClassLoader java:469)_x000D_
      at com facebook stetho inspector elements android ViewDescriptor onGetAccessibilityStyles(ViewDescriptor java:189) _x000D_
      at com facebook stetho inspector elements android ViewDescriptor onGetAccessibilityStyles(ViewDescriptor java:40) _x000D_
      at com facebook stetho inspector elements AbstractChainedDescriptor getAccessibilityStyles(AbstractChainedDescriptor java:163) _x000D_
      at com facebook stetho inspector elements AbstractChainedDescriptor getAccessibilityStyles(AbstractChainedDescriptor java:162) _x000D_
      at com facebook stetho inspector elements Document getElementAccessibilityStyles(Document java:153) _x000D_
      at com facebook stetho inspector protocol module CSS 2 run(CSS java:150) _x000D_
      at com facebook stetho common android HandlerUtil 2 onRun(HandlerUtil java:90) _x000D_
      at com facebook stetho common android HandlerUtil 2 onRun(HandlerUtil java:87) _x000D_
      at com facebook stetho common android HandlerUtil WaitableRunnable run(HandlerUtil java:109) _x000D_
      at android os Handler handleCallback(Handler java:739) _x000D_
      at android os Handler dispatchMessage(Handler java:95)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Suppressed: java lang ClassNotFoundException: android support v4 view accessibility AccessibilityNodeInfoCompat_x000D_
      at java lang Class classForName(Native Method)_x000D_
      at java lang BootClassLoader findClass(ClassLoader java:781)_x000D_
      at java lang BootClassLoader loadClass(ClassLoader java:841)_x000D_
      at java lang ClassLoader loadClass(ClassLoader java:504)_x000D_
              17 more_x000D_
Caused by: java lang NoClassDefFoundError: Class not found using the boot class loader  no stack trace available_x000D_
   _x000D_
_x000D_
If you uncomment the  debugCompile  com android support:support compat:25 2 0   statement in Gradle  Stetho runs without issue _x000D_
_x000D_
Let me know if you need additional information  mdash  thanks _x000D_
_x000D_
 Stetho zip (https:  github com facebook stetho files 814489 Stetho zip)_x000D_
</t>
  </si>
  <si>
    <t>square-okhttp-3200</t>
  </si>
  <si>
    <t>Attempt to invoke virtual method 'okio.Timeout okio.Timeout.clearDeadline()' on a null object reference</t>
  </si>
  <si>
    <t xml:space="preserve">I use OKhttp 3 5 0  often crashes _x000D_
_x000D_
  1 (https:  cloud githubusercontent com assets 17741114 23495767 82bc5916 ff55 11e6 8816 3ae2e7351d73 jpeg)_x000D_
_x000D_
_x000D_
The above is the error log </t>
  </si>
  <si>
    <t>pinball83-Masked-Edittext-28</t>
  </si>
  <si>
    <t>Mask gets deleted when entering special characters in a numeric MaskedEditText</t>
  </si>
  <si>
    <t xml:space="preserve">Special characters includes Spaces  Asterisk Minus  Plus        etc  Results in app crash   </t>
  </si>
  <si>
    <t>geopaparazzi-geopaparazzi-393</t>
  </si>
  <si>
    <t>Crash after enabling editing</t>
  </si>
  <si>
    <t xml:space="preserve">Geopaparazzi allows enabling the editing mode on a layer that is no longer available (because the Spatialite database has been removed from Geopaparazzi in the Spatialite Data List)  This produces a Geopaparazzi crash when a new geometry is created and saved _x000D_
_x000D_
Steps to reproduce:_x000D_
1  Load a Spatialite DB  make some layer visible  select this layer as the EditLayer and finally start edition_x000D_
2  Finish edition and remove the Spatialite DB from Geopaparazzi_x000D_
3  Start edition again  It should not be allowed  but it is  because the (non existing) layer is still set as EditLayer_x000D_
4  Add a new geometry and save_x000D_
Result: Geopaparazzi crashes_x000D_
_x000D_
It can be solved in 2 different ways:_x000D_
  In SpatialiteSourcesMananger removeSpatialite  we could set the EditLayer (on EditManager) to null if it is backed by the map we are removing  I think this is cleaner  but we don t have a way to know the table backing the ILayer (unless we cast to SpatialVectorTableLayer)  Maybe we need a new method (getTable  getSource or similar) on ILayer  _x000D_
  Another approach: checking if the layer is available before enabling editing  But we still lack the method on ILayer_x000D_
</t>
  </si>
  <si>
    <t>midhunhk-trip-o-meter-11</t>
  </si>
  <si>
    <t>App crashes due to permission issue.</t>
  </si>
  <si>
    <t xml:space="preserve">App crashes after clicking on Expenses tab This is after the new update _x000D_
Tried a fresh install too _x000D_
_x000D_
Error Log from logcat:_x000D_
   _x000D_
 FATAL EXCEPTION: main_x000D_
                                                   Process: com ae apps tripmeter  PID: 11111_x000D_
                                                   java lang RuntimeException: Unable to start activity ComponentInfo com ae apps tripmeter com ae apps tripmeter activities MainActivity : java lang SecurityException: Permission Denial: opening provider com android providers contacts ContactsProvider2 from ProcessRecord 8d29387 11111:com ae apps tripmeter u0a182  (pid 11111  uid 10182) requires android permission READ CONTACTS or android permission WRITE CONTACTS_x000D_
                                                       at android app ActivityThread performLaunchActivity(ActivityThread java:2423)_x000D_
                                                       at android app ActivityThread handleLaunchActivity(ActivityThread java:2483)_x000D_
                                                       at android app ActivityThread access 900(ActivityThread java:153)_x000D_
                                                       at android app ActivityThread H handleMessage(ActivityThread java:1349)_x000D_
                                                       at android os Handler dispatchMessage(Handler java:102)_x000D_
                                                       at android os Looper loop(Looper java:148)_x000D_
                                                       at android app ActivityThread main(ActivityThread java:5441)_x000D_
                                                       at java lang reflect Method invoke(Native Method)_x000D_
                                                       at com android internal os ZygoteInit MethodAndArgsCaller run(ZygoteInit java:738)_x000D_
                                                       at com android internal os ZygoteInit main(ZygoteInit java:628)_x000D_
                                                    Caused by: java lang SecurityException: Permission Denial: opening provider com android providers contacts ContactsProvider2 from ProcessRecord 8d29387 11111:com ae apps tripmeter u0a182  (pid 11111  uid 10182) requires android permission READ CONTACTS or android permission WRITE CONTACTS_x000D_
                                                       at android os Parcel readException(Parcel java:1620)_x000D_
                                                       at android os Parcel readException(Parcel java:1573)_x000D_
                                                       at android app ActivityManagerProxy getContentProvider(ActivityManagerNative java:3553)_x000D_
                                                       at android app ActivityThread acquireProvider(ActivityThread java:4797)_x000D_
                                                       at android app ContextImpl ApplicationContentResolver acquireUnstableProvider(ContextImpl java:2031)_x000D_
                                                       at android content ContentResolver acquireUnstableProvider(ContentResolver java:1484)_x000D_
                                                       at android content ContentResolver query(ContentResolver java:477)_x000D_
                                                       at android content ContentResolver query(ContentResolver java:435)_x000D_
                                                       at com ae apps common c a a(Unknown Source)_x000D_
                                                       at com ae apps common c a  init (Unknown Source)_x000D_
                                                       at com ae apps tripmeter d a  init (Unknown Source)_x000D_
                                                       at com ae apps tripmeter d b  init (Unknown Source)_x000D_
                                                       at com ae apps tripmeter d b a(Unknown Source)_x000D_
                                                       at com ae apps tripmeter b h a(Unknown Source)_x000D_
                                                       at android support v4 b l j(Unknown Source)_x000D_
                                                       at android support v4 b r a(Unknown Source)_x000D_
                                                       at android support v4 b r z(Unknown Source)_x000D_
                                                       at android support v4 b r a(Unknown Source)_x000D_
                                                       at android support v4 b r b(Unknown Source)_x000D_
                                                       at android support v4 b r f(Unknown Source)_x000D_
                                                       at android support v4 b o n(Unknown Source)_x000D_
                                                       at android support v4 b m onStart(Unknown Source)_x000D_
                                                       at android support v7 app c onStart(Unknown Source)_x000D_
                                                       at android app Instrumentation callActivityOnStart(Instrumentation java:1238)_x000D_
                                                       at android app Activity performStart(Activity java:6320)_x000D_
                                                       at android app ActivityThread performLaunchActivity(ActivityThread java:2386)_x000D_
                                                       at android app ActivityThread handleLaunchActivity(ActivityThread java:2483) _x000D_
                                                       at android app ActivityThread access 900(ActivityThread java:153) _x000D_
                                                       at android app ActivityThread H handleMessage(ActivityThread java:1349) _x000D_
                                                       at android os Handler dispatchMessage(Handler java:102) _x000D_
                                                       at android os Looper loop(Looper java:148) _x000D_
                                                       at android app ActivityThread main(ActivityThread java:5441) _x000D_
                                                       at java lang reflect Method invoke(Native Method) _x000D_
                                                       at com android internal os ZygoteInit MethodAndArgsCaller run(ZygoteInit java:738) _x000D_
                                                       at com android internal os ZygoteInit main(ZygoteInit java:628)_x000D_
   </t>
  </si>
  <si>
    <t>akexorcist-GoogleDirectionLibrary-28</t>
  </si>
  <si>
    <t>NPE on DirectionConverter class</t>
  </si>
  <si>
    <t>Hello bro _x000D_
i use you library in my application and my application crashes on your _x000D_
_x000D_
  DirectionConverter_x000D_
_x000D_
 class in method  dptopx  in line   130   causes NullPointerException_x000D_
if you like i can help you in this Issue or other Issues_x000D_
our user have android 5 client</t>
  </si>
  <si>
    <t>jacob-g-cleveland-rta-next-bus-train-49</t>
  </si>
  <si>
    <t>Make list of nearby stations fail gracefully on network failure</t>
  </si>
  <si>
    <t xml:space="preserve">In the event that loading the arrival times doesn t work for the list of nearby stations on the  Near me  page  don t crash the app and instead just don t update anything </t>
  </si>
  <si>
    <t>SufficientlySecure-html-textview-95</t>
  </si>
  <si>
    <t>ActivityNotFoundException</t>
  </si>
  <si>
    <t xml:space="preserve">I am getting ActivityNotFoundException when clicking an invalid link  for example  a link to a subreddit for reddit:_x000D_
_x000D_
  a href   all  all  a _x000D_
 _x000D_
_x000D_
   _x000D_
android content ActivityNotFoundException: No Activity found to handle Intent   act android intent action VIEW dat  r all (has extras)  _x000D_
                                                                          at android app Instrumentation checkStartActivityResult(Instrumentation java:1801)_x000D_
                                                                          at android app Instrumentation execStartActivity(Instrumentation java:1499)_x000D_
                                                                          at android app Activity startActivityForResult(Activity java:3942)_x000D_
                                                                          at android support v4 app BaseFragmentActivityJB startActivityForResult(BaseFragmentActivityJB java:50)_x000D_
                                                                          at android support v4 app FragmentActivity startActivityForResult(FragmentActivity java:79)_x000D_
                                                                          at android app Activity startActivityForResult(Activity java:3889)_x000D_
                                                                          at android support v4 app FragmentActivity startActivityForResult(FragmentActivity java:859)_x000D_
                                                                          at android app Activity startActivity(Activity java:4213)_x000D_
                                                                          at android app Activity startActivity(Activity java:4181)_x000D_
                                                                          at android text style URLSpan onClick(URLSpan java:62)_x000D_
                                                                          at org sufficientlysecure htmltextview LocalLinkMovementMethod onTouchEvent(LocalLinkMovementMethod java:64)_x000D_
                                                                          at android widget TextView onTouchEvent(TextView java:9600)_x000D_
                                                                          at org sufficientlysecure htmltextview HtmlTextView onTouchEvent(HtmlTextView java:154)_x000D_
                                                                          at android view View dispatchTouchEvent(View java:8981)_x000D_
   _x000D_
_x000D_
This causes a crash for Android L 5 1 on my Samsung Galaxy S4  however with my Nexus 5X 7 1 1 it does not crash  and does nothing when clicking on the link as expected </t>
  </si>
  <si>
    <t>nextcloud-android-718</t>
  </si>
  <si>
    <t>Fix crashes</t>
  </si>
  <si>
    <t xml:space="preserve">This fixes two crashes   one with regular  and one with local search (that we didn t touch for this release)  It also releases 1 4 2 RC3 :D_x000D_
</t>
  </si>
  <si>
    <t>midhunhk-trip-o-meter-12</t>
  </si>
  <si>
    <t>Fixing Permission related issue. Fixes #11</t>
  </si>
  <si>
    <t xml:space="preserve">Support for Android M   above _x000D_
  EDIT:Update of tasks  _x000D_
  Summary of Changes Requested:  _x000D_
_x000D_
   x  Rename String values to str permission contacts reason and such to allow multiple values _x000D_
_x000D_
   x  On entering to the expenses fragment if permission is already granted paint the normal view If permission is to be requested paint a empty view _x000D_
_x000D_
   x  onRequestPermissionsResult()_x000D_
PERMISSION GRANTED    inflate(R layout fragment trips list  container  false)  and add to view   we could cache the inflator_x000D_
PERMISSION DENIED    view add(new TextView())     add to empty view already created_x000D_
_x000D_
Two important tasks remain before merging related to transition of fragments for user  _x000D_
_x000D_
In onRequestPermissionsResult we need to handle both probable cases (allow   deny) _x000D_
_x000D_
Now the app won t crash but on denying allowing it would remain in the same fragment and there would be no possible action for user to do as the view was rendered without FloatingActionButton being binded to action _x000D_
_x000D_
Expected: On allow we need to re render fragment and on denial move to Price tab _x000D_
I will need help on implementing this as the options I tried did not work perfectly _x000D_
_x000D_
Updated Screenshots: Android N_x000D_
_x000D_
  screenshot 1488898778 (https:  cloud githubusercontent com assets 7160211 23664929 10e03ab6 037d 11e7 9380 a9613c1a0342 png)_x000D_
  screenshot 1488899091 (https:  cloud githubusercontent com assets 7160211 23664993 3cf15284 037d 11e7 9454 f9f8d9d1e8e1 png)_x000D_
  screenshot 1488899083 (https:  cloud githubusercontent com assets 7160211 23664995 3d133c00 037d 11e7 94c9 f328babc8207 png)_x000D_
_x000D_
</t>
  </si>
  <si>
    <t>nextcloud-android-717</t>
  </si>
  <si>
    <t>Changing Auto-Upload folder kill the app</t>
  </si>
  <si>
    <t xml:space="preserve">    Actual behaviour_x000D_
App was killed after selecting new autoupload folder  My folder has the following specs_x000D_
  1 Subfolder  Pics AutoUpload with 4 2GB all Pcis_x000D_
  6 pictures under  Pics _x000D_
_x000D_
_x000D_
Empty folder or folders with less files in it can be selected  But folder with round about 400Mb ebooks (50 100 files) also let crash the app_x000D_
_x000D_
    Expected behaviour_x000D_
No dead app_x000D_
 _x000D_
    Steps to reproduce_x000D_
1  Auto Upload_x000D_
2  Menu    Server folder_x000D_
3   Select a full folder_x000D_
_x000D_
_x000D_
    Environment data_x000D_
Android version: 6 0_x000D_
_x000D_
Device model: LG G4_x000D_
_x000D_
Stock or customized system: Stock_x000D_
_x000D_
Nextcloud app version: 1 4 2 RC2_x000D_
_x000D_
Nextcloud server version: 11 0 2</t>
  </si>
  <si>
    <t>SecUSo-privacy-friendly-werewolf-111</t>
  </si>
  <si>
    <t>No Connection possible with minifyEnabled in release version</t>
  </si>
  <si>
    <t>logcat log: _x000D_
_x000D_
3 05 12:11:07 032 24166 24166   I Timeline: Timeline: Activity launch request id:org secuso privacyfriendlywerwolf time:555167245_x000D_
03 05 12:11:07 034 938 955   I ActivityManager: START u0  cmp org secuso privacyfriendlywerwolf  activity StartHostActivity (has extras)  from uid 10281 on display 0_x000D_
03 05 12:11:07 124 938 3154   I ActivityManager: START u0  act android content pm action REQUEST PERMISSIONS pkg com google android packageinstaller cmp com google android packageinstaller com android packageinstaller permission ui GrantPermissionsActivity (has extras)  from uid 10281 on display 0_x000D_
03 05 12:11:07 235 938 4110   I ActivityManager: Start proc 26180:com google android packageinstaller u0a41 for activity com google android packageinstaller com android packageinstaller permission ui GrantPermissionsActivity_x000D_
03 05 12:11:07 256 340 340   W SurfaceFlinger: couldn t log to binary event log: overflow _x000D_
03 05 12:11:07 274 24166 24166   I Timeline: Timeline: Activity idle id: android os BinderProxy b4e627 time:555167487_x000D_
03 05 12:11:07 320 26180 26180   W System: ClassLoader referenced unknown path:  system priv app GooglePackageInstaller lib arm_x000D_
03 05 12:11:07 409 938 994   I Timeline: Timeline: Activity windows visible id: ActivityRecord 2029fef u0 org secuso privacyfriendlywerwolf  activity StartHostActivity t3583  time:555167622_x000D_
03 05 12:11:07 448 24166 24166   I Timeline: Timeline: Activity idle id: android os BinderProxy b4e627 time:555167661_x000D_
03 05 12:11:07 459 340 340   W SurfaceFlinger: couldn t log to binary event log: overflow _x000D_
03 05 12:11:12 927 938 970   I ActivityManager: Waited long enough for: ServiceRecord 1146cf6 u0 com sonyericsson extras liveware  asf ExperienceService _x000D_
03 05 12:11:13 304 474 474   I Gobi: vendor qcom proprietary RIDL RIDLClient RIDLSQL cpp:2500: GetTransState() EBADF_x000D_
03 05 12:11:13 304 474 474   I Gobi: vendor qcom proprietary RIDL RIDLClient MainCore cpp:1550: Failed to get TransState  rc 9_x000D_
03 05 12:11:13 305 474 474   I Gobi: vendor qcom proprietary RIDL RIDLClient RIDLSQL cpp:2500: GetTransState() EBADF_x000D_
03 05 12:11:13 305 474 474   I Gobi: vendor qcom proprietary RIDL RIDLClient RIDLSQL cpp:2500: GetTransState() EBADF_x000D_
  03 05 12:11:19 661 24166 26178   E AndroidRuntime: FATAL EXCEPTION: AsyncServer_x000D_
                                                   Process: org secuso privacyfriendlywerwolf  PID: 24166_x000D_
                                                   java lang AssertionError: java lang NoSuchFieldException: SERVER HELLO_x000D_
                                                       at a a a b a n a  init (Unknown Source)  _x000D_
                                                       at a a a b a n 24 a(Unknown Source)_x000D_
                                                       at a a a e a(Unknown Source)_x000D_
                                                       at a a a b a i a(Unknown Source)_x000D_
                                                       at a a a b a i a(Unknown Source)_x000D_
                                                       at a a a b a i a(Unknown Source)_x000D_
                                                       at a a a e a(Unknown Source)_x000D_
                                                       at a a a e a(Unknown Source)_x000D_
                                                       at a a a e a(Unknown Source)_x000D_
                                                       at a a a e a(Unknown Source)_x000D_
                                                       at a a a e a(Unknown Source)_x000D_
                                                       at org secuso privacyfriendlywerwolf h c 1 a(Unknown Source)_x000D_
                                                       at a b a c d a 2 a(Unknown Source)_x000D_
                                                       at a b a c d a a(Unknown Source)_x000D_
                                                       at a b a c d a 1 1 a(Unknown Source)_x000D_
                                                       at a b a c d c 2 a(Unknown Source)_x000D_
                                                       at a b a v a(Unknown Source)_x000D_
                                                       at a b a ab a(Unknown Source)_x000D_
                                                       at a b a b c(Unknown Source)_x000D_
                                                       at a b a g c(Unknown Source)_x000D_
                                                       at a b a g b(Unknown Source)_x000D_
                                                       at a b a g a(Unknown Source)_x000D_
                                                       at a b a g 3 run(Unknown Source)_x000D_
                                                    Caused by: java lang NoSuchFieldException: SERVER HELLO_x000D_
                                                       at java lang Class getField(Class java:891)_x000D_
                                                       at a a a b a n a  init (Unknown Source) _x000D_
                                                       at a a a b a n 24 a(Unknown Source) _x000D_
                                                       at a a a e a(Unknown Source) _x000D_
                                                       at a a a b a i a(Unknown Source) _x000D_
                                                       at a a a b a i a(Unknown Source) _x000D_
                                                       at a a a b a i a(Unknown Source) _x000D_
                                                       at a a a e a(Unknown Source) _x000D_
                                                       at a a a e a(Unknown Source) _x000D_
                                                       at a a a e a(Unknown Source) _x000D_
                                                       at a a a e a(Unknown Source) _x000D_
                                                       at a a a e a(Unknown Source) _x000D_
                                                       at org secuso privacyfriendlywerwolf h c 1 a(Unknown Source) _x000D_
                                                       at a b a c d a 2 a(Unknown Source) _x000D_
                                                       at a b a c d a a(Unknown Source) _x000D_
                                                       at a b a c d a 1 1 a(Unknown Source) _x000D_
                                                       at a b a c d c 2 a(Unknown Source) _x000D_
                                                       at a b a v a(Unknown Source) _x000D_
                                                       at a b a ab a(Unknown Source) _x000D_
                                                       at a b a b c(Unknown Source) _x000D_
                                                       at a b a g c(Unknown Source) _x000D_
                                                       at a b a g b(Unknown Source) _x000D_
                                                       at a b a g a(Unknown Source) _x000D_
                                                       at a b a g 3 run(Unknown Source) _x000D_
03 05 12:11:19 669 938 3863   W ActivityManager:   Force finishing activity org secuso privacyfriendlywerwolf  activity StartHostActivity_x000D_
03 05 12:11:19 726 938 970   I ActivityManager: Start proc 26206:com sonyericsson crashmonitor 1000 for broadcast com sonyericsson crashmonitor  receiver CrashMonitorServiceBroadcastReceiver_x000D_
03 05 12:11:19 745 938 12531   I OpenGLRenderer: Initialized EGL  version 1 4_x000D_
03 05 12:11:19 859 24166 24166   I Timeline: Timeline: Activity idle id: android os BinderProxy 4aaa1b8 time:555180072_x000D_
03 05 12:11:19 923 26206 26229   W ContextImpl: Calling a method in the system process without a qualified user: android app ContextImpl bindService:1271 android content ContextWrapper bindService:604 com sonyericsson crashmonitor MiscTaAdapter open:90 com sonyericsson crashmonitor service CrashMonitorService onInit:127 com sonyericsson crashmonitor service CrashMonitorService onHandleIntent:192 _x000D_
03 05 12:11:19 965 938 994   I Timeline: Timeline: Activity windows visible id: ActivityRecord db6e265 u0 org secuso privacyfriendlywerwolf  activity MainActivity t3583  time:555180178_x000D_
03 05 12:11:19 973 340 340   W SurfaceFlinger: couldn t log to binary event log: overflow _x000D_
03 05 12:11:23 315 474 474   I Gobi: vendor qcom proprietary RIDL RIDLClient RIDLSQL cpp:2500: GetTransState() EBADF_x000D_
03 05 12:11:23 315 474 474   I Gobi: vendor qcom proprietary RIDL RIDLClient MainCore cpp:1550: Failed to get TransState  rc 9_x000D_
03 05 12:11:23 315 474 474   I Gobi: vendor qcom proprietary RIDL RIDLClient RIDLSQL cpp:2500: GetTransState() EBADF_x000D_
03 05 12:11:23 315 474 474   I Gobi: vendor qcom proprietary RIDL RIDLClient RIDLSQL cpp:2500: GetTransState() EBADF_x000D_
03 05 12:11:24 953 2810 26230   W PlatformStatsUtil: Could not retrieve Usage   Diagnostics setting  Giving up _x000D_
03 05 12:11:33 324 474 474   I Gobi: vendor qcom proprietary RIDL RIDLClient RIDLSQL cpp:2500: GetTransState() EBADF_x000D_
03 05 12:11:33 324 474 474   I Gobi: vendor qcom proprietary RIDL RIDLClient MainCore cpp:1550: Failed to get TransState  rc 9_x000D_
03 05 12:11:33 324 474 474   I Gobi: vendor qcom proprietary RIDL RIDLClient RIDLSQL cpp:2500: GetTransState() EBADF_x000D_
03 05 12:11:33 324 474 474   I Gobi: vendor qcom proprietary RIDL RIDLClient RIDLSQL cpp:2500: GetTransState() EBADF</t>
  </si>
  <si>
    <t>airbnb-DeepLinkDispatch-163</t>
  </si>
  <si>
    <t>TaskStackBuilder not created</t>
  </si>
  <si>
    <t xml:space="preserve">Currently I m trying to use the TaskStackBuilder method  but i m getting a class cast exception:_x000D_
_x000D_
   _x000D_
java lang RuntimeException: Unable to start activity ComponentInfo co and andco development co and andco SplashActivity : java lang ClassCastException: android app TaskStackBuilder cannot be cast to android content Intent_x000D_
                                                                              at android app ActivityThread performLaunchActivity(ActivityThread java:2665)_x000D_
                                                                              at android app ActivityThread handleLaunchActivity(ActivityThread java:2726)_x000D_
                                                                              at android app ActivityThread  wrap12(ActivityThread java)_x000D_
                                                                              at android app ActivityThread H handleMessage(ActivityThread java:1477)_x000D_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Caused by: java lang ClassCastException: android app TaskStackBuilder cannot be cast to android content Intent_x000D_
                                                                              at co and andco DeepLinkDelegate dispatchFrom(DeepLinkDelegate java:104)_x000D_
                                                                              at co and andco DeepLinkDelegate dispatchFrom(DeepLinkDelegate java:50)_x000D_
                                                                              at co and andco SplashActivity onStart(SplashActivity java:43)_x000D_
                                                                              at android app Instrumentation callActivityOnStart(Instrumentation java:1248)_x000D_
                                                                              at android app Activity performStart(Activity java:6696)_x000D_
                                                                              at android app ActivityThread performLaunchActivity(ActivityThread java:2628)_x000D_
                                                                              at android app ActivityThread handleLaunchActivity(ActivityThread java:2726) _x000D_
                                                                              at android app ActivityThread  wrap12(ActivityThread java) _x000D_
                                                                              at android app ActivityThread H handleMessage(ActivityThread java:1477) _x000D_
                                                                              at android os Handler dispatchMessage(Handler java:102) _x000D_
                                                                              at android os Looper loop(Looper java:154) _x000D_
                                                                              at android app ActivityThread main(ActivityThread java:6119) _x000D_
                                                                              at java lang reflect Method invoke(Native Method) _x000D_
                                                                              at com android internal os ZygoteInit MethodAndArgsCaller run(ZygoteInit java:886) _x000D_
                                                                              at com android internal os ZygoteInit main(ZygoteInit java:776)_x000D_
   _x000D_
_x000D_
_x000D_
Digging into the crash:_x000D_
_x000D_
   _x000D_
  method   c getMethod(entry getMethod()  Context class) _x000D_
            if (method getReturnType() equals(TaskStackBuilder class))  _x000D_
              taskStackBuilder   (TaskStackBuilder) method invoke(c  activity) _x000D_
              if (taskStackBuilder getIntentCount()    0)  _x000D_
                return createResultAndNotify(activity  false  uri   Could not deep link to method:     entry getMethod()     intents length    0  ) _x000D_
               _x000D_
              newIntent   taskStackBuilder editIntentAt(taskStackBuilder getIntentCount() 1) _x000D_
              else  _x000D_
              newIntent   (Intent) method invoke(c  activity) _x000D_
             _x000D_
   _x000D_
_x000D_
It seems that the TaskStackBuilder has to be from the support library  Is it possible to relax this check or add a different error message  _x000D_
_x000D_
_x000D_
_x000D_
</t>
  </si>
  <si>
    <t>kgehmlich-soen341-group2-79</t>
  </si>
  <si>
    <t>Documents Activity throws exception</t>
  </si>
  <si>
    <t xml:space="preserve">The following exception is thrown when clicking on  UPLOAD DOCUMENT  button  causing the app to crash:_x000D_
_x000D_
   _x000D_
E AndroidRuntime: FATAL EXCEPTION: main_x000D_
                  Process: com amazon PocketMoodle  PID: 16510_x000D_
                  java lang NullPointerException: Attempt to get length of null array_x000D_
                      at com PocketMoodle DocumentsFragment DirectoryFiles(DocumentsFragment java:119)_x000D_
                      at com PocketMoodle DocumentsFragment 2 onClick(DocumentsFragment java:76)_x000D_
                      at android view View performClick(View java:5697)_x000D_
                      at android widget TextView performClick(TextView java:10826)_x000D_
                      at android view View PerformClick run(View java:22526)_x000D_
                      at android os Handler handleCallback(Handler java:739)_x000D_
                      at android os Handler dispatchMessage(Handler java:95)_x000D_
                      at android os Looper loop(Looper java:158)_x000D_
                      at android app ActivityThread main(ActivityThread java:7224)_x000D_
                      at java lang reflect Method invoke(Native Method)_x000D_
                      at com android internal os ZygoteInit MethodAndArgsCaller run(ZygoteInit java:1230)_x000D_
                      at com android internal os ZygoteInit main(ZygoteInit java:1120)_x000D_
   </t>
  </si>
  <si>
    <t>getodk-collect-518</t>
  </si>
  <si>
    <t>Large number of submissions results in too many open files error</t>
  </si>
  <si>
    <t xml:space="preserve">If you try to submit  say 1998 files  ODK Collect v1 4 16 will crash with the following stack trace _x000D_
_x000D_
If you need a test server  use https:  nafundi test appspot com  If you need 2000 submissions  use this  odk (https:  github com opendatakit collect files 832287 odk zip) folder  _x000D_
_x000D_
While testing  you might need to delete the form from the server (it s the best way to delete all submissions)  You can find the same blank form from   odk forms basic xml  _x000D_
_x000D_
   _x000D_
03 06 13:27:18 960  4830  4879 I InstanceUploaderTask: Using Uri remap for submission 1682  Now: https:  nafundi test appspot com submission_x000D_
03 06 13:27:18 962  4830  4879 I InstanceUploaderTask: added xml submission file: basic 2017 03 06 10 39 48 713 xml_x000D_
03 06 13:27:18 963  4830  4879 I InstanceUploaderTask: Issuing POST request for 1682 to: https:  nafundi test appspot com submission_x000D_
03 06 13:27:19 687  4830  4879 I InstanceUploaderTask: Response code:201_x000D_
03 06 13:27:19 698  4830  4879 I InstanceUploaderTask: Using Uri remap for submission 1683  Now: https:  nafundi test appspot com submission_x000D_
03 06 13:27:19 699  4830  4879 I InstanceUploaderTask: added xml submission file: basic 2017 03 06 10 39 48 714 xml_x000D_
03 06 13:27:19 699  4830  4879 I InstanceUploaderTask: Issuing POST request for 1683 to: https:  nafundi test appspot com submission_x000D_
03 06 13:27:20 004  4830  4879 W System err: java io FileNotFoundException:  storage emulated 0 odk instances basic 2017 03 06 10 39 48 714 basic 2017 03 06 10 39 48 714 xml (Too many open files)_x000D_
03 06 13:27:20 005  4830  4879 W System err: 	at java io FileInputStream open(Native Method)_x000D_
03 06 13:27:20 005  4830  4879 W System err: 	at java io FileInputStream  init (FileInputStream java:146)_x000D_
03 06 13:27:20 005  4830  4879 W System err: 	at org opendatakit httpclientandroidlib entity mime content FileBody writeTo(FileBody java:116)_x000D_
03 06 13:27:20 005  4830  4879 W System err: 	at org opendatakit httpclientandroidlib entity mime AbstractMultipartForm doWriteTo(AbstractMultipartForm java:134)_x000D_
03 06 13:27:20 005  4830  4879 W System err: 	at org opendatakit httpclientandroidlib entity mime AbstractMultipartForm writeTo(AbstractMultipartForm java:157)_x000D_
03 06 13:27:20 005  4830  4879 W System err: 	at org opendatakit httpclientandroidlib entity mime MultipartFormEntity writeTo(MultipartFormEntity java:113)_x000D_
03 06 13:27:20 005  4830  4879 W System err: 	at org opendatakit httpclientandroidlib impl DefaultBHttpClientConnection sendRequestEntity(DefaultBHttpClientConnection java:158)_x000D_
03 06 13:27:20 005  4830  4879 W System err: 	at org opendatakit httpclientandroidlib impl conn CPoolProxy sendRequestEntity(CPoolProxy java:162)_x000D_
03 06 13:27:20 005  4830  4879 W System err: 	at org opendatakit httpclientandroidlib protocol HttpRequestExecutor doSendRequest(HttpRequestExecutor java:237)_x000D_
03 06 13:27:20 005  4830  4879 W System err: 	at org opendatakit httpclientandroidlib protocol HttpRequestExecutor execute(HttpRequestExecutor java:122)_x000D_
03 06 13:27:20 005  4830  4879 W System err: 	at org opendatakit httpclientandroidlib impl execchain MainClientExec execute(MainClientExec java:271)_x000D_
03 06 13:27:20 005  4830  4879 W System err: 	at org opendatakit httpclientandroidlib impl execchain ProtocolExec execute(ProtocolExec java:184)_x000D_
03 06 13:27:20 005  4830  4879 W System err: 	at org opendatakit httpclientandroidlib impl execchain RetryExec execute(RetryExec java:88)_x000D_
03 06 13:27:20 005  4830  4879 W System err: 	at org opendatakit httpclientandroidlib impl execchain RedirectExec execute(RedirectExec java:110)_x000D_
03 06 13:27:20 005  4830  4879 W System err: 	at org opendatakit httpclientandroidlib impl client InternalHttpClient doExecute(InternalHttpClient java:184)_x000D_
03 06 13:27:20 005  4830  4879 W System err: 	at org opendatakit httpclientandroidlib impl client CloseableHttpClient execute(CloseableHttpClient java:82)_x000D_
03 06 13:27:20 005  4830  4879 W System err: 	at org opendatakit httpclientandroidlib impl client CloseableHttpClient execute(CloseableHttpClient java:55)_x000D_
03 06 13:27:20 005  4830  4879 W System err: 	at org odk collect android tasks InstanceUploaderTask uploadOneSubmission(InstanceUploaderTask java:476)_x000D_
03 06 13:27:20 005  4830  4879 W System err: 	at org odk collect android tasks InstanceUploaderTask processChunk(InstanceUploaderTask java:579)_x000D_
03 06 13:27:20 005  4830  4879 W System err: 	at org odk collect android tasks InstanceUploaderTask doInBackground(InstanceUploaderTask java:605)_x000D_
03 06 13:27:20 005  4830  4879 W System err: 	at org odk collect android tasks InstanceUploaderTask doInBackground(InstanceUploaderTask java:71)_x000D_
03 06 13:27:20 005  4830  4879 W System err: 	at android os AsyncTask 2 call(AsyncTask java:305)_x000D_
03 06 13:27:20 005  4830  4879 W System err: 	at java util concurrent FutureTask run(FutureTask java:237)_x000D_
03 06 13:27:20 005  4830  4879 W System err: 	at android os AsyncTask SerialExecutor 1 run(AsyncTask java:243)_x000D_
03 06 13:27:20 005  4830  4879 W System err: 	at java util concurrent ThreadPoolExecutor runWorker(ThreadPoolExecutor java:1133)_x000D_
03 06 13:27:20 005  4830  4879 W System err: 	at java util concurrent ThreadPoolExecutor Worker run(ThreadPoolExecutor java:607)_x000D_
03 06 13:27:20 005  4830  4879 W System err: 	at java lang Thread run(Thread java:761)_x000D_
03 06 13:27:20 005  4830  4879 E InstanceUploaderTask: java io FileNotFoundException:  storage emulated 0 odk instances basic 2017 03 06 10 39 48 714 basic 2017 03 06 10 39 48 714 xml (Too many open files)_x000D_
03 06 13:27:20 021  4830  4879 I InstanceUploaderTask: Using Uri remap for submission 1684  Now: https:  nafundi test appspot com submission_x000D_
03 06 13:27:20 022  4830  4879 I InstanceUploaderTask: added xml submission file: basic 2017 03 06 10 39 48 715 xml_x000D_
03 06 13:27:20 022  4830  4879 I InstanceUploaderTask: Issuing POST request for 1684 to: https:  nafundi test appspot com submission_x000D_
03 06 13:27:20 364  4830  4879 W System err: java io FileNotFoundException:  storage emulated 0 odk instances basic 2017 03 06 10 39 48 715 basic 2017 03 06 10 39 48 715 xml (Too many open files)_x000D_
03 06 13:27:20 364  4830  4879 W System err: 	at java io FileInputStream open(Native Method)_x000D_
03 06 13:27:20 364  4830  4879 W System err: 	at java io FileInputStream  init (FileInputStream java:146)_x000D_
03 06 13:27:20 364  4830  4879 W System err: 	at org opendatakit httpclientandroidlib entity mime content FileBody writeTo(FileBody java:116)_x000D_
03 06 13:27:20 364  4830  4879 W System err: 	at org opendatakit httpclientandroidlib entity mime AbstractMultipartForm doWriteTo(AbstractMultipartForm java:134)_x000D_
03 06 13:27:20 364  4830  4879 W System err: 	at org opendatakit httpclientandroidlib entity mime AbstractMultipartForm writeTo(AbstractMultipartForm java:157)_x000D_
03 06 13:27:20 364  4830  4879 W System err: 	at org opendatakit httpclientandroidlib entity mime MultipartFormEntity writeTo(MultipartFormEntity java:113)_x000D_
03 06 13:27:20 364  4830  4879 W System err: 	at org opendatakit httpclientandroidlib impl DefaultBHttpClientConnection sendRequestEntity(DefaultBHttpClientConnection java:158)_x000D_
03 06 13:27:20 364  4830  4879 W System err: 	at org opendatakit httpclientandroidlib impl conn CPoolProxy sendRequestEntity(CPoolProxy java:162)_x000D_
03 06 13:27:20 364  4830  4879 W System err: 	at org opendatakit httpclientandroidlib protocol HttpRequestExecutor doSendRequest(HttpRequestExecutor java:237)_x000D_
03 06 13:27:20 364  4830  4879 W System err: 	at org opendatakit httpclientandroidlib protocol HttpRequestExecutor execute(HttpRequestExecutor java:122)_x000D_
03 06 13:27:20 364  4830  4879 W System err: 	at org opendatakit httpclientandroidlib impl execchain MainClientExec execute(MainClientExec java:271)_x000D_
03 06 13:27:20 364  4830  4879 W System err: 	at org opendatakit httpclientandroidlib impl execchain ProtocolExec execute(ProtocolExec java:184)_x000D_
03 06 13:27:20 364  4830  4879 W System err: 	at org opendatakit httpclientandroidlib impl execchain RetryExec execute(RetryExec java:88)_x000D_
03 06 13:27:20 364  4830  4879 W System err: 	at org opendatakit httpclientandroidlib impl execchain RedirectExec execute(RedirectExec java:110)_x000D_
03 06 13:27:20 364  4830  4879 W System err: 	at org opendatakit httpclientandroidlib impl client InternalHttpClient doExecute(InternalHttpClient java:184)_x000D_
03 06 13:27:20 364  4830  4879 W System err: 	at org opendatakit httpclientandroidlib impl client CloseableHttpClient execute(CloseableHttpClient java:82)_x000D_
03 06 13:27:20 364  4830  4879 W System err: 	at org opendatakit httpclientandroidlib impl client CloseableHttpClient execute(CloseableHttpClient java:55)_x000D_
03 06 13:27:20 364  4830  4879 W System err: 	at org odk collect android tasks InstanceUploaderTask uploadOneSubmission(InstanceUploaderTask java:476)_x000D_
03 06 13:27:20 364  4830  4879 W System err: 	at org odk collect android tasks InstanceUploaderTask processChunk(InstanceUploaderTask java:579)_x000D_
03 06 13:27:20 364  4830  4879 W System err: 	at org odk collect android tasks InstanceUploaderTask doInBackground(InstanceUploaderTask java:605)_x000D_
03 06 13:27:20 364  4830  4879 W System err: 	at org odk collect android tasks InstanceUploaderTask doInBackground(InstanceUploaderTask java:71)_x000D_
03 06 13:27:20 364  4830  4879 W System err: 	at android os AsyncTask 2 call(AsyncTask java:305)_x000D_
03 06 13:27:20 364  4830  4879 W System err: 	at java util concurrent FutureTask run(FutureTask java:237)_x000D_
03 06 13:27:20 364  4830  4879 W System err: 	at android os AsyncTask SerialExecutor 1 run(AsyncTask java:243)_x000D_
03 06 13:27:20 364  4830  4879 W System err: 	at java util concurrent ThreadPoolExecutor runWorker(ThreadPoolExecutor java:1133)_x000D_
03 06 13:27:20 365  4830  4879 W System err: 	at java util concurrent ThreadPoolExecutor Worker run(ThreadPoolExecutor java:607)_x000D_
03 06 13:27:20 365  4830  4879 W System err: 	at java lang Thread run(Thread java:761)_x000D_
03 06 13:27:20 365  4830  4879 E InstanceUploaderTask: java io FileNotFoundException:  storage emulated 0 odk instances basic 2017 03 06 10 39 48 715 basic 2017 03 06 10 39 48 715 xml (Too many open files)_x000D_
03 06 13:27:20 378  4830  4879 I InstanceUploaderTask: Using Uri remap for submission 1685  Now: https:  nafundi test appspot com submission_x000D_
   </t>
  </si>
  <si>
    <t>callstack-react-native-fbads-48</t>
  </si>
  <si>
    <t>Crashing for me on Android 4.3 (works on more recent versions)</t>
  </si>
  <si>
    <t xml:space="preserve">   _x000D_
     react native :  0 37 0  _x000D_
     react native fbads :  3 1 1  _x000D_
     react native fbsdk :   0 5 0  _x000D_
   _x000D_
_x000D_
Crashes from adding this code:_x000D_
   _x000D_
import   NativeAdsManager   from  react native fbads  _x000D_
const adsManager   new NativeAdsManager( my placement id ) _x000D_
   _x000D_
_x000D_
   _x000D_
W dalvikvm( 9296): Invalid indirect reference 0xa4fdcc00 in decodeIndirectRef_x000D_
I dalvikvm( 9296):  main  prio 5 tid 1 RUNNABLE_x000D_
I dalvikvm( 9296):     group  main  sCount 0 dsCount 0 obj 0xa4b86480 self 0xb79b6bd0_x000D_
I dalvikvm( 9296):     sysTid 9296 nice  4 sched 0 0 cgrp  fopen error:2  handle  1217191904_x000D_
I dalvikvm( 9296):     state R schedstat ( 172387119 425972608 908 ) utm 10 stm 6 core 0_x000D_
I dalvikvm( 9296):   at android webkit CookieManagerClassic nativeAcceptCookie(Native Method)_x000D_
I dalvikvm( 9296):   at android webkit CookieManagerClassic acceptCookie(CookieManagerClassic java:49)_x000D_
I dalvikvm( 9296):   at com facebook ads internal f e  init ((null): 1)_x000D_
I dalvikvm( 9296):   at com facebook ads internal f e a((null): 1)_x000D_
I dalvikvm( 9296):   at com facebook ads internal server c a((null): 1)_x000D_
I dalvikvm( 9296):   at com facebook ads internal server c a((null): 1)_x000D_
I dalvikvm( 9296):   at com facebook ads internal server a a((null): 1)_x000D_
I dalvikvm( 9296):   at com facebook ads internal server a a((null): 1)_x000D_
I dalvikvm( 9296):   at com facebook ads internal server a 2 a((null): 1)_x000D_
I dalvikvm( 9296):   at com facebook ads internal i a h a((null): 1)_x000D_
I dalvikvm( 9296):   at com facebook ads internal i a h onPostExecute((null): 1)_x000D_
I dalvikvm( 9296):   at android os AsyncTask finish(AsyncTask java:631)_x000D_
I dalvikvm( 9296):   at android os AsyncTask access 600(AsyncTask java:177)_x000D_
I dalvikvm( 9296):   at android os AsyncTask InternalHandler handleMessage(AsyncTask java:644)_x000D_
I dalvikvm( 9296):   at android os Handler dispatchMessage(Handler java:99)_x000D_
I dalvikvm( 9296):   at android os Looper loop(Looper java:137)_x000D_
I dalvikvm( 9296):   at android app ActivityThread main(ActivityThread java:5103)_x000D_
I dalvikvm( 9296):   at java lang reflect Method invokeNative(Native Method)_x000D_
I dalvikvm( 9296):   at java lang reflect Method invoke(Method java:525)_x000D_
I dalvikvm( 9296):   at com android internal os ZygoteInit MethodAndArgsCaller run(ZygoteInit java:737)_x000D_
I dalvikvm( 9296):   at com android internal os ZygoteInit main(ZygoteInit java:553)_x000D_
I dalvikvm( 9296):   at dalvik system NativeStart main(Native Method)_x000D_
I dalvikvm( 9296):_x000D_
E dalvikvm( 9296): VM aborting_x000D_
F libc    ( 9296): Fatal signal 11 (SIGSEGV) at 0xdeadd00d (code 1)  thread 9296 (mycompany myapp)_x000D_
I DEBUG   ( 3470):                                                                _x000D_
I DEBUG   ( 3470): Build fingerprint:  generic vbox86p vbox86p:4 3 JLS36G eng genymotion 20160825 132445:userdebug test keys _x000D_
I DEBUG   ( 3470): Revision:  0 _x000D_
I DEBUG   ( 3470): pid: 9296  tid: 9296  name: mycompany myapp      com mycompany myapp    _x000D_
I DEBUG   ( 3470): signal 11 (SIGSEGV)  code 1 (SEGV MAPERR)  fault addr deadd00d_x000D_
I DEBUG   ( 3470):_x000D_
I DEBUG   ( 3470): backtrace:_x000D_
I DEBUG   ( 3470):      00  pc 00071022   system lib libdvm so (dvmAbort 194)_x000D_
I DEBUG   ( 3470):      01  pc 0007605d   system lib libdvm so ( Z20dvmDecodeIndirectRefP6ThreadP8 jobject part 36 77)_x000D_
I DEBUG   ( 3470):      02  pc 0007d8c1   system lib libdvm so (GetStringUTFChars( JNIEnv    jstring   unsigned char ) 97)_x000D_
I DEBUG   ( 3470):      03  pc 00535321   system lib libwebcore so (android::jstringToStdString( JNIEnv    jstring ) 81)_x000D_
I DEBUG   ( 3470):      04  pc 00512d18   system lib libwebcore so (android::databaseDirectory(bool) 1048)_x000D_
I DEBUG   ( 3470):      05  pc ffffffff   unknown _x000D_
I DEBUG   ( 3470):_x000D_
I DEBUG   ( 3470): stack:_x000D_
I DEBUG   ( 3470):          bf808b60  00000000_x000D_
I DEBUG   ( 3470):          bf808b64  00000000_x000D_
I DEBUG   ( 3470):          bf808b68  00000000_x000D_
I DEBUG   ( 3470):          bf808b6c  00000000_x000D_
I DEBUG   ( 3470):          bf808b70  00000000_x000D_
I DEBUG   ( 3470):          bf808b74  00000000_x000D_
I DEBUG   ( 3470):          bf808b78  00000000_x000D_
I DEBUG   ( 3470):          bf808b7c  00000000_x000D_
I DEBUG   ( 3470):          bf808b80  00000000_x000D_
I DEBUG   ( 3470):          bf808b84  00000000_x000D_
I DEBUG   ( 3470):          bf808b88  00000000_x000D_
I DEBUG   ( 3470):          bf808b8c  00000000_x000D_
I DEBUG   ( 3470):          bf808b90  00000000_x000D_
I DEBUG   ( 3470):          bf808b94  00000000_x000D_
I DEBUG   ( 3470):          bf808b98  00000000_x000D_
I DEBUG   ( 3470):          bf808b9c  46505845_x000D_
I DEBUG   ( 3470):      00  bf808ba0  00000000_x000D_
I DEBUG   ( 3470):          bf808ba4  b6137421   system lib libdvm so_x000D_
I DEBUG   ( 3470):          bf808ba8  b6138894   system lib libdvm so_x000D_
I DEBUG   ( 3470):          bf808bac  00000000_x000D_
I DEBUG   ( 3470):          bf808bb0  b7c8ad28   heap _x000D_
I DEBUG   ( 3470):          bf808bb4  b6137421   system lib libdvm so_x000D_
I DEBUG   ( 3470):          bf808bb8  b613790b   system lib libdvm so_x000D_
I DEBUG   ( 3470):          bf808bbc  6c756e28_x000D_
I DEBUG   ( 3470):          bf808bc0  0000296c_x000D_
I DEBUG   ( 3470):          bf808bc4  00000000_x000D_
I DEBUG   ( 3470):          bf808bc8  00000000_x000D_
I DEBUG   ( 3470):          bf808bcc  00000000_x000D_
I DEBUG   ( 3470):          bf808bd0  00000000_x000D_
I DEBUG   ( 3470):          bf808bd4  00000000_x000D_
I DEBUG   ( 3470):          bf808bd8  00000000_x000D_
I DEBUG   ( 3470):          bf808bdc  00000000_x000D_
I DEBUG   ( 3470):                            _x000D_
I DEBUG   ( 3470):      01  bf808dd0  b79b6bd0   heap _x000D_
I DEBUG   ( 3470):          bf808dd4  00000000_x000D_
I DEBUG   ( 3470):          bf808dd8  b6145838   system lib libdvm so_x000D_
I DEBUG   ( 3470):          bf808ddc  a4fdcc00   dev ashmem dalvik heap (deleted)_x000D_
I DEBUG   ( 3470):          bf808de0  b79b6bd0   heap _x000D_
I DEBUG   ( 3470):          bf808de4  b603a016   system lib libdvm so ( Z20dvmDecodeIndirectRefP6ThreadP8 jobject part 36 6)_x000D_
I DEBUG   ( 3470):          bf808de8  b6185ccc   system lib libdvm so_x000D_
I DEBUG   ( 3470):          bf808dec  b60418c2   system lib libdvm so (GetStringUTFChars( JNIEnv    jstring   unsigned char ) 98)_x000D_
I DEBUG   ( 3470):      02  bf808df0  b79b6bd0   heap _x000D_
I DEBUG   ( 3470):          bf808df4  a4fdcc00   dev ashmem dalvik heap (deleted)_x000D_
I DEBUG   ( 3470):          bf808df8  00000012_x000D_
I DEBUG   ( 3470):          bf808dfc  b6059b79   system lib libdvm so (dvmChangeStatus(Thread   ThreadStatus) 25)_x000D_
I DEBUG   ( 3470):          bf808e00  b75a06c0_x000D_
I DEBUG   ( 3470):          bf808e04  99aa3734   system lib libwebcore so_x000D_
I DEBUG   ( 3470):          bf808e08  00000016_x000D_
I DEBUG   ( 3470):          bf808e0c  b6059b79   system lib libdvm so (dvmChangeStatus(Thread   ThreadStatus) 25)_x000D_
I DEBUG   ( 3470):          bf808e10  b79b6bd0   heap _x000D_
I DEBUG   ( 3470):          bf808e14  0000003c_x000D_
I DEBUG   ( 3470):          bf808e18  bf808e00   stack _x000D_
I DEBUG   ( 3470):          bf808e1c  00000001_x000D_
I DEBUG   ( 3470):          bf808e20  00000000_x000D_
I DEBUG   ( 3470):          bf808e24  9ddfb748   dev ashmem dalvik LinearAlloc (deleted)_x000D_
I DEBUG   ( 3470):          bf808e28  0000000c_x000D_
I DEBUG   ( 3470):          bf808e2c  99e8a174   system lib libwebcore so_x000D_
I DEBUG   ( 3470):                            _x000D_
I DEBUG   ( 3470):_x000D_
I DEBUG   ( 3470): memory map around fault addr deadd00d:_x000D_
I DEBUG   ( 3470):     bf7ea000 bf80b000 rw   stack _x000D_
I DEBUG   ( 3470):     (no map for address)_x000D_
I DEBUG   ( 3470):     (no map above)_x000D_
I BootReceiver(  332): Copying  data tombstones tombstone 06 to DropBox (SYSTEM TOMBSTONE)_x000D_
W ActivityManager(  332):   Force finishing activity com mycompany myapp  MainActivity_x000D_
W InputDispatcher(  332): channel  529a1e7c com mycompany myapp com mycompany myapp MainActivity (server)    Consumer closed input channel or an error occurred   events 0x9_x000D_
E InputDispatcher(  332): channel  529a1e7c com mycompany myapp com mycompany myapp MainActivity (server)    Channel is unrecoverably broken and will be disposed _x000D_
D         (  332): HostConnection::get() New Host Connection established 0xb7a01f78  tid 9372_x000D_
D Zygote  (  172): Process 9296 terminated by signal (11)_x000D_
D dalvikvm(  332): GC FOR ALLOC freed 2427K  56  free 11576K 25772K  paused 11ms  total 12ms_x000D_
W InputDispatcher(  332): Attempted to unregister already unregistered input channel  529a1e7c com mycompany myapp com mycompany myapp MainActivity (server) _x000D_
I WindowState(  332): WIN DEATH: Window 529a1e7c u0 com mycompany myapp com mycompany myapp MainActivity _x000D_
W ActivityManager(  332): Exception thrown during pause_x000D_
W ActivityManager(  332): android os DeadObjectException_x000D_
W ActivityManager(  332): 	at android os BinderProxy transact(Native Method)_x000D_
W ActivityManager(  332): 	at android app ApplicationThreadProxy schedulePauseActivity(ApplicationThreadNative java:635)_x000D_
W ActivityManager(  332): 	at com android server am ActivityStack startPausingLocked(ActivityStack java:990)_x000D_
W ActivityManager(  332): 	at com android server am ActivityStack finishActivityLocked(ActivityStack java:3834)_x000D_
W ActivityManager(  332): 	at com android server am ActivityStack finishActivityLocked(ActivityStack java:3766)_x000D_
W ActivityManager(  332): 	at com android server am ActivityManagerService handleAppCrashLocked(ActivityManagerService java:8344)_x000D_
W ActivityManager(  332): 	at com android server am ActivityManagerService makeAppCrashingLocked(ActivityManagerService java:8221)_x000D_
W ActivityManager(  332): 	at com android server am ActivityManagerService crashApplication(ActivityManagerService java:8900)_x000D_
W ActivityManager(  332): 	at com android server am ActivityManagerService handleApplicationCrashInner(ActivityManagerService java:8455)_x000D_
W ActivityManager(  332): 	at com android server am NativeCrashListener NativeCrashReporter run(NativeCrashListener java:86)_x000D_
I ActivityManager(  332): Process com mycompany myapp (pid 9296) has died _x000D_
   _x000D_
_x000D_
Working great on Android 4 4  and iOS  however </t>
  </si>
  <si>
    <t>bergconnor-cis642-Team5-2</t>
  </si>
  <si>
    <t>Location Permission not asked for before attempt</t>
  </si>
  <si>
    <t>Location Permission on newly installed app is not asked for properly  causes crash when attempt is made after processing the image</t>
  </si>
  <si>
    <t>nextcloud-android-729</t>
  </si>
  <si>
    <t>Nextcloud beta 20170223: app crashes when open settings</t>
  </si>
  <si>
    <t xml:space="preserve">    Actual behaviour_x000D_
  The App crashes when I open the settings in Nextcloud app _x000D_
_x000D_
    Expected behaviour_x000D_
  It should open whitout crash_x000D_
 _x000D_
    Steps to reproduce_x000D_
1  Set the storage path to SD card on Android 7_x000D_
2  Open settings in Nextcloud_x000D_
_x000D_
_x000D_
    Environment data_x000D_
Android version: 7 0_x000D_
_x000D_
Device model: Samsung Galaxy S7 Edge_x000D_
_x000D_
Stock or customized system: Stock_x000D_
_x000D_
Nextcloud app version: 20170223_x000D_
_x000D_
Nextcloud server version: 11 0 2_x000D_
_x000D_
    Logs_x000D_
_x000D_
     Nextcloud log (data nextcloud log)_x000D_
   _x000D_
unfortunately there is no log file : _x000D_
   _x000D_
</t>
  </si>
  <si>
    <t>vector-im-riot-android-1004</t>
  </si>
  <si>
    <t>Crash on the contact picker</t>
  </si>
  <si>
    <t>To reproduce:_x000D_
1  Hit   button  then Start chat_x000D_
_x000D_
Or_x000D_
_x000D_
1  Hit the search button from recents  then people tab_x000D_
_x000D_
Riot crashes</t>
  </si>
  <si>
    <t>fossasia-phimpme-android-102</t>
  </si>
  <si>
    <t>Error in inflating layout due to adview in main.layout</t>
  </si>
  <si>
    <t xml:space="preserve">The app is crashing in tablet due to incorrect xmls:ads in main xml(layout) _x000D_
_x000D_
  Expected Behaviour  _x000D_
  xmlns:ads  http:  schemas android com apk lib com google ads  _x000D_
should be replaced with    _x000D_
 xmlns:app  http:  schemas android com apk res auto  _x000D_
    or  _x000D_
Comment adviews in main layout (large small x large) _x000D_
_x000D_
_x000D_
  Steps to reproduce it  _x000D_
_x000D_
Try to run this app in the tablet (large  screen devices)  Open mail xm(layout large small land x large) _x000D_
_x000D_
  LogCat for the issue  _x000D_
_x000D_
java lang RuntimeException: Unable to start activity ComponentInfo vn mbm phimp me vn mbm phimp me PhimpMe : android view InflateException: Binary   XML file line  47: Error inflating class com google ads AdView_x000D_
  at   android app ActivityThread performLaunchActivity(ActivityThread java:2260)_x000D_
  at android app ActivityThread handleLaunchActivity(ActivityThread java:2325)_x000D_
  at android app ActivityThread access 800(ActivityThread java:145)_x000D_
  at android app ActivityThread H handleMessage(ActivityThread java:1216)_x000D_
  at android os Handler dispatchMessage(Handler java:102)_x000D_
  at android os Looper loop(Looper java:145)_x000D_
  at android app ActivityThread main(ActivityThread java:5266)_x000D_
  at java lang reflect Method invokeNative(Native Method)_x000D_
  at java lang reflect Method invoke(Method java:515)_x000D_
  at com android internal os ZygoteInit MethodAndArgsCaller run(ZygoteInit java:826)_x000D_
  at com android internal os ZygoteInit main(ZygoteInit java:642)_x000D_
  at dalvik system NativeStart main(Native Method)_x000D_
  Caused by: android view InflateException: Binary XML file line  47: Error inflating class com google ads AdView_x000D_
  at android view LayoutInflater createViewFromTag(LayoutInflater java:711)_x000D_
  at android view LayoutInflater rInflate(LayoutInflater java:759)_x000D_
  at android view LayoutInflater inflate(LayoutInflater java:496)_x000D_
  at android view LayoutInflater inflate(LayoutInflater java:398)_x000D_
  at android view LayoutInflater inflate(LayoutInflater java:353)_x000D_
  at android support v7 app AppCompatDelegateImplV9 setContentView(AppCompatDelegateImplV9 java:284)_x000D_
  at android support v7 app AppCompatActivity setContentView(AppCompatActivity java:143)_x000D_
  at vn mbm phimp me PhimpMe onCreate(PhimpMe java:216)_x000D_
  at android app Activity performCreate(Activity java:5277)_x000D_
  at android app Instrumentation callActivityOnCreate(Instrumentation java:1087)_x000D_
  at android app ActivityThread performLaunchActivity(ActivityThread java:2213)_x000D_
  at android app ActivityThread handleLaunchActivity(ActivityThread java:2325) _x000D_
  at android app ActivityThread access 800(ActivityThread java:145) _x000D_
  at android app ActivityThread H handleMessage(ActivityThread java:1216) _x000D_
  at android os Handler dispatchMessage(Handler java:102) _x000D_
  at android os Looper loop(Looper java:145) _x000D_
  at android app ActivityThread main(ActivityThread java:5266) _x000D_
  at java lang reflect Method invokeNative(Native Method) _x000D_
  at java lang reflect Method invoke(Method java:515) _x000D_
  at com android internal os ZygoteInit MethodAndArgsCaller run(ZygoteInit java:826) _x000D_
  at com android internal os ZygoteInit main(ZygoteInit java:642) _x000D_
  at dalvik system NativeStart main(Native Method) _x000D_
  Caused by: java lang ClassNotFoundException: Didn t find class  com google ads AdView  on path: DexPathList  zip file   data app vn mbm phimp me 2 apk   zip file   system priv app AmazonPlatform release apk   zip file   system priv app DeviceClientPlatformContractsFramework apk   zip file   system priv app DeviceSoftwareOTAContracts apk   zip file   system priv app MetricsApi 2066310 apk   zip file   system priv app RemoteSettingsInternalSDK apk   zip file   system priv app amazon jackson 19 apk   zip file   system priv app com amazon communication apk   zip file   system priv app com amazon dp logger apk   nativeLibraryDirectories   data app lib vn mbm phimp me 2   vendor lib   system lib  _x000D_
  at dalvik system BaseDexClassLoader findClass(BaseDexClassLoader java:56)_x000D_
  at java lang ClassLoader loadClass(ClassLoader java:497)_x000D_
  at java lang ClassLoader loadClass(ClassLoader java:457)_x000D_
  at android view LayoutInflater createView(LayoutInflater java:563)_x000D_
  at android view LayoutInflater createViewFromTag(LayoutInflater java:700)_x000D_
  at android view LayoutInflater rInflate(LayoutInflater java:759) _x000D_
  at android view LayoutInflater inflate(LayoutInflater java:496) _x000D_
  at android view LayoutInflater inflate(LayoutInflater java:398) _x000D_
  at android view LayoutInflater inflate(LayoutInflater java:353) _x000D_
  at android support v7 app AppCompatDelegateImplV9 setContentView(AppCompatDelegateImplV9 java:284) _x000D_
  at android support v7 app AppCompatActivity setContentView(AppCompatActivity java:143) _x000D_
  at vn mbm phimp me PhimpMe onCreate(PhimpMe java:216) _x000D_
  at android app Activity performCreate(Activity java:5277) _x000D_
_x000D_
_x000D_
_x000D_
  Would you like to work on the issue   _x000D_
_x000D_
Yes _x000D_
_x000D_
</t>
  </si>
  <si>
    <t>timusus-Shuttle-67</t>
  </si>
  <si>
    <t>Crash when inverting notifications on SDK &lt; 21</t>
  </si>
  <si>
    <t xml:space="preserve">     Shuttle version:  _x000D_
1 6 4 _x000D_
     Device  OS:  _x000D_
OS running Android   21_x000D_
     Description of bug:  _x000D_
After choosing  invert notifications  from the settings  the app will crash when attempting to display the notification _x000D_
_x000D_
There is no  notification template base inverse  and  notification template big base inverse   so the  MusicService  crashes when referencing it</t>
  </si>
  <si>
    <t>koral---android-gif-drawable-391</t>
  </si>
  <si>
    <t>JNI DETECTED ERROR IN APPLICATION</t>
  </si>
  <si>
    <t>I try to get latest source code from github and run on Samsumg S5 android version 7 1 and get error when scroll to tap   GifTextureView placeholder   with crash log  Please help me check it  thanks   _x000D_
_x000D_
_x000D_
  03 09 22:51:31 189 28762 29030 pl droidsonroids gif sample A art: art runtime java vm ext cc:470  JNI DETECTED ERROR IN APPLICATION: can t call int android content res AssetManager AssetInputStream read(byte    int  int) on instance of pl droidsonroids gif sample TexturePlaceholderFragment SlowLoadingInputStream_x000D_
03 09 22:51:31 190 28762 29030 pl droidsonroids gif sample A art: art runtime java vm ext cc:470      in call to CallIntMethod_x000D_
03 09 22:51:31 190 28762 29030 pl droidsonroids gif sample A art: art runtime java vm ext cc:470      from long pl droidsonroids gif GifInfoHandle openStream(java io InputStream)_x000D_
03 09 22:51:31 190 28762 29030 pl droidsonroids gif sample A art: art runtime java vm ext cc:470   GifRenderThread  prio 5 tid 22 Runnable_x000D_
03 09 22:51:31 190 28762 29030 pl droidsonroids gif sample A art: art runtime java vm ext cc:470      group  main  sCount 0 dsCount 0 obj 0x12cd27e0 self 0x98065000_x000D_
03 09 22:51:31 190 28762 29030 pl droidsonroids gif sample A art: art runtime java vm ext cc:470      sysTid 29030 nice 0 cgrp default sched 0 0 handle 0x97061920_x000D_
03 09 22:51:31 190 28762 29030 pl droidsonroids gif sample A art: art runtime java vm ext cc:470      state R schedstat ( 429531 609062 2 ) utm 0 stm 0 core 3 HZ 100_x000D_
03 09 22:51:31 190 28762 29030 pl droidsonroids gif sample A art: art runtime java vm ext cc:470      stack 0x96f5f000 0x96f61000 stackSize 1038KB_x000D_
03 09 22:51:31 190 28762 29030 pl droidsonroids gif sample A art: art runtime java vm ext cc:470      held mutexes   mutator lock (shared held)_x000D_
03 09 22:51:31 190 28762 29030 pl droidsonroids gif sample A art: art runtime java vm ext cc:470    native:  00 pc 003c4cb3   system lib libart so ( ZN3art15DumpNativeStackERNSt3  113basic ostreamIcNS0 11char traitsIcEEEEiP12BacktraceMapPKcPNS 9ArtMethodEPv 130)_x000D_
03 09 22:51:31 191 28762 29030 pl droidsonroids gif sample A art: art runtime java vm ext cc:470    native:  01 pc 003a2115   system lib libart so ( ZNK3art6Thread9DumpStackERNSt3  113basic ostreamIcNS1 11char traitsIcEEEEbP12BacktraceMap 336)_x000D_
03 09 22:51:31 191 28762 29030 pl droidsonroids gif sample A art: art runtime java vm ext cc:470    native:  02 pc 0028516d   system lib libart so ( ZN3art9JavaVMExt8JniAbortEPKcS2  892)_x000D_
03 09 22:51:31 191 28762 29030 pl droidsonroids gif sample A art: art runtime java vm ext cc:470    native:  03 pc 002853d9   system lib libart so ( ZN3art9JavaVMExt9JniAbortVEPKcS2 St9  va list 68)_x000D_
03 09 22:51:31 191 28762 29030 pl droidsonroids gif sample A art: art runtime java vm ext cc:470    native:  04 pc 000cf9e7   system lib libart so ( ZN3art11ScopedCheck6AbortFEPKcz 46)_x000D_
03 09 22:51:31 192 28762 29030 pl droidsonroids gif sample A art: art runtime java vm ext cc:470    native:  05 pc 000d2031   system lib libart so ( ZN3art11ScopedCheck17CheckMethodAndSigERNS 18ScopedObjectAccessEP8 jobjectP7 jclassP10 jmethodIDNS 9Primitive4TypeENS 10InvokeTypeE 1352)_x000D_
03 09 22:51:31 192 28762 29030 pl droidsonroids gif sample A art: art runtime java vm ext cc:470    native:  06 pc 000d1017   system lib libart so ( ZN3art8CheckJNI11CallMethodVEPKcP7 JNIEnvP8 jobjectP7 jclassP10 jmethodIDSt9  va listNS 9Primitive4TypeENS 10InvokeTypeE 562)_x000D_
03 09 22:51:31 192 28762 29030 pl droidsonroids gif sample A art: art runtime java vm ext cc:470    native:  07 pc 000c6635   system lib libart so ( ZN3art8CheckJNI13CallIntMethodEP7 JNIEnvP8 jobjectP10 jmethodIDz 52)_x000D_
03 09 22:51:31 192 28762 29030 pl droidsonroids gif sample A art: art runtime java vm ext cc:470    native:  08 pc 00003e7d   data app pl droidsonroids gif sample 1 base apk (   )_x000D_
03 09 22:51:31 197 28762 29030 pl droidsonroids gif sample A art: art runtime java vm ext cc:470    native:  09 pc 00003cb3   data app pl droidsonroids gif sample 1 base apk (   )_x000D_
03 09 22:51:31 199 28762 29030 pl droidsonroids gif sample A art: art runtime java vm ext cc:470    native:  10 pc 00005e3f   data app pl droidsonroids gif sample 1 base apk (   )_x000D_
03 09 22:51:31 199 28762 29030 pl droidsonroids gif sample A art: art runtime java vm ext cc:470    native:  11 pc 00003b13   data app pl droidsonroids gif sample 1 base apk (   )_x000D_
03 09 22:51:31 199 28762 29030 pl droidsonroids gif sample A art: art runtime java vm ext cc:470    native:  12 pc 000470f9   data app pl droidsonroids gif sample 1 oat arm base odex (Java pl droidsonroids gif GifInfoHandle openStream  Ljava io InputStream 2 92)_x000D_
03 09 22:51:31 199 28762 29030 pl droidsonroids gif sample A art: art runtime java vm ext cc:470    at pl droidsonroids gif GifInfoHandle openStream(Native method)_x000D_
03 09 22:51:31 199 28762 29030 pl droidsonroids gif sample A art: art runtime java vm ext cc:470    at pl droidsonroids gif GifInfoHandle  init (GifInfoHandle java:53)_x000D_
03 09 22:51:31 199 28762 29030 pl droidsonroids gif sample A art: art runtime java vm ext cc:470    at pl droidsonroids gif InputSource InputStreamSource open(InputSource java:196)_x000D_
03 09 22:51:31 199 28762 29030 pl droidsonroids gif sample A art: art runtime java vm ext cc:470    at pl droidsonroids gif GifTextureView RenderThread run(GifTextureView java:182)_x000D_
03 09 22:51:31 199 28762 29030 pl droidsonroids gif sample A art: art runtime java vm ext cc:470  _x000D_
03 09 22:51:31 423 28762 29030 pl droidsonroids gif sample A art: art runtime runtime cc:422  Runtime aborting   _x000D_
03 09 22:51:31 423 28762 29030 pl droidsonroids gif sample A art: art runtime runtime cc:422  Aborting thread:_x000D_
03 09 22:51:31 423 28762 29030 pl droidsonroids gif sample A art: art runtime runtime cc:422   GifRenderThread  prio 5 tid 22 Native_x000D_
03 09 22:51:31 423 28762 29030 pl droidsonroids gif sample A art: art runtime runtime cc:422      group    sCount 0 dsCount 0 obj 0x12cd27e0 self 0x98065000_x000D_
03 09 22:51:31 423 28762 29030 pl droidsonroids gif sample A art: art runtime runtime cc:422      sysTid 29030 nice 0 cgrp default sched 0 0 handle 0x97061920_x000D_
03 09 22:51:31 423 28762 29030 pl droidsonroids gif sample A art: art runtime runtime cc:422      state R schedstat ( 50651670 45448069 39 ) utm 1 stm 2 core 0 HZ 100_x000D_
03 09 22:51:31 423 28762 29030 pl droidsonroids gif sample A art: art runtime runtime cc:422      stack 0x96f5f000 0x96f61000 stackSize 1038KB_x000D_
03 09 22:51:31 423 28762 29030 pl droidsonroids gif sample A art: art runtime runtime cc:422      held mutexes   abort lock _x000D_
03 09 22:51:31 423 28762 29030 pl droidsonroids gif sample A art: art runtime runtime cc:422    native:  00 pc 003c4cb3   system lib libart so ( ZN3art15DumpNativeStackERNSt3  113basic ostreamIcNS0 11char traitsIcEEEEiP12BacktraceMapPKcPNS 9ArtMethodEPv 130)_x000D_
03 09 22:51:31 423 28762 29030 pl droidsonroids gif sample A art: art runtime runtime cc:422    native:  01 pc 003a2115   system lib libart so ( ZNK3art6Thread9DumpStackERNSt3  113basic ostreamIcNS1 11char traitsIcEEEEbP12BacktraceMap 336)_x000D_
03 09 22:51:31 424 28762 29030 pl droidsonroids gif sample A art: art runtime runtime cc:422    native:  02 pc 00393c9f   system lib libart so ( ZNK3art10AbortState10DumpThreadERNSt3  113basic ostreamIcNS1 11char traitsIcEEEEPNS 6ThreadE 26)_x000D_
03 09 22:51:31 424 28762 29030 pl droidsonroids gif sample A art: art runtime runtime cc:422    native:  03 pc 00393b0f   system lib libart so ( ZNK3art10AbortState4DumpERNSt3  113basic ostreamIcNS1 11char traitsIcEEEE 494)_x000D_
03 09 22:51:31 425 28762 29030 pl droidsonroids gif sample A art: art runtime runtime cc:422    native:  04 pc 003894f5   system lib libart so ( ZN3art7Runtime5AbortEPKc 96)_x000D_
03 09 22:51:31 425 28762 29030 pl droidsonroids gif sample A art: art runtime runtime cc:422    native:  05 pc 000b7d8b   system lib libart so ( ZN3art10LogMessageD2Ev 1054)_x000D_
03 09 22:51:31 425 28762 29030 pl droidsonroids gif sample A art: art runtime runtime cc:422    native:  06 pc 00285327   system lib libart so ( ZN3art9JavaVMExt8JniAbortEPKcS2  1334)_x000D_
03 09 22:51:31 425 28762 29030 pl droidsonroids gif sample A art: art runtime runtime cc:422    native:  07 pc 002853d9   system lib libart so ( ZN3art9JavaVMExt9JniAbortVEPKcS2 St9  va list 68)_x000D_
03 09 22:51:31 425 28762 29030 pl droidsonroids gif sample A art: art runtime runtime cc:422    native:  08 pc 000cf9e7   system lib libart so ( ZN3art11ScopedCheck6AbortFEPKcz 46)_x000D_
03 09 22:51:31 425 28762 29030 pl droidsonroids gif sample A art: art runtime runtime cc:422    native:  09 pc 000d2031   system lib libart so ( ZN3art11ScopedCheck17CheckMethodAndSigERNS 18ScopedObjectAccessEP8 jobjectP7 jclassP10 jmethodIDNS 9Primitive4TypeENS 10InvokeTypeE 1352)_x000D_
03 09 22:51:31 426 28762 29030 pl droidsonroids gif sample A art: art runtime runtime cc:422    native:  10 pc 000d1017   system lib libart so ( ZN3art8CheckJNI11CallMethodVEPKcP7 JNIEnvP8 jobjectP7 jclassP10 jmethodIDSt9  va listNS 9Primitive4TypeENS 10InvokeTypeE 562)_x000D_
03 09 22:51:31 426 28762 29030 pl droidsonroids gif sample A art: art runtime runtime cc:422    native:  11 pc 000c6635   system lib libart so ( ZN3art8CheckJNI13CallIntMethodEP7 JNIEnvP8 jobjectP10 jmethodIDz 52)_x000D_
03 09 22:51:31 426 28762 29030 pl droidsonroids gif sample A art: art runtime runtime cc:422    native:  12 pc 00003e7d   data app pl droidsonroids gif sample 1 base apk (   )_x000D_
03 09 22:51:31 426 28762 29030 pl droidsonroids gif sample A art: art runtime runtime cc:422    native:  13 pc 00003cb3   data app pl droidsonroids gif sample 1 base apk (   )_x000D_
03 09 22:51:31 426 28762 29030 pl droidsonroids gif sample A art: art runtime runtime cc:422    native:  14 pc 00005e3f   data app pl droidsonroids gif sample 1 base apk (   )_x000D_
03 09 22:51:31 426 28762 29030 pl droidsonroids gif sample A art: art runtime runtime cc:422    native:  15 pc 00003b13   data app pl droidsonroids gif sample 1 base apk (   )_x000D_
03 09 22:51:31 426 28762 29030 pl droidsonroids gif sample A art: art runtime runtime cc:422    native:  16 pc 000470f9   data app pl droidsonroids gif sample 1 oat arm base odex (   )_x000D_
03 09 22:51:31 426 28762 29030 pl droidsonroids gif sample A art: art runtime runtime cc:422    at pl droidsonroids gif GifInfoHandle openStream(Native method)_x000D_
03 09 22:51:31 426 28762 29030 pl droidsonroids gif sample A art: art runtime runtime cc:422    at pl droidsonroids gif GifInfoHandle  init (GifInfoHandle java:53)_x000D_
03 09 22:51:31 427 28762 29030 pl droidsonroids gif sample A art: art runtime runtime cc:422    at pl droidsonroids gif InputSource InputStreamSource open(InputSource java:196)_x000D_
03 09 22:51:31 427 28762 29030 pl droidsonroids gif sample A art: art runtime runtime cc:422    at pl droidsonroids gif GifTextureView RenderThread run(GifTextureView java:182)_x000D_
03 09 22:51:31 427 28762 29030 pl droidsonroids gif sample A art: art runtime runtime cc:422  Dumping all threads without appropriate locks held: thread list lock mutator lock_x000D_
03 09 22:51:31 427 28762 29030 pl droidsonroids gif sample A art: art runtime runtime cc:422  All threads:_x000D_
03 09 22:51:31 427 28762 29030 pl droidsonroids gif sample A art: art runtime runtime cc:422  DALVIK THREADS (22):_x000D_
03 09 22:51:31 427 28762 29030 pl droidsonroids gif sample A art: art runtime runtime cc:422   GifRenderThread  prio 5 tid 22 Runnable_x000D_
03 09 22:51:31 427 28762 29030 pl droidsonroids gif sample A art: art runtime runtime cc:422      group    sCount 0 dsCount 0 obj 0x12cd27e0 self 0x98065000_x000D_
03 09 22:51:31 427 28762 29030 pl droidsonroids gif sample A art: art runtime runtime cc:422      sysTid 29030 nice 0 cgrp default sched 0 0 handle 0x97061920_x000D_
03 09 22:51:31 427 28762 29030 pl droidsonroids gif sample A art: art runtime runtime cc:422      state R schedstat ( 110332715 54492024 65 ) utm 4 stm 6 core 0 HZ 100_x000D_
03 09 22:51:31 427 28762 29030 pl droidsonroids gif sample A art: art runtime runtime cc:422      stack 0x96f5f000 0x96f61000 stackSize 1038KB_x000D_
03 09 22:51:31 427 28762 29030 pl droidsonroids gif sample A art: art runtime runtime cc:422      held mutexes   abort lock   mutator lock (shared held)_x000D_
03 09 22:51:31 427 28762 29030 pl droidsonroids gif sample A art: art runtime runtime cc:422    native:  00 pc 003c4cb3   system lib libart so ( ZN3art15DumpNativeStackERNSt3  113basic ostreamIcNS0 11char traitsIcEEEEiP12BacktraceMapPKcPNS 9ArtMethodEPv 130)_x000D_
03 09 22:51:31 427 28762 29030 pl droidsonroids gif sample A art: art runtime runtime cc:422    native:  01 pc 003a2115   system lib libart so ( ZNK3art6Thread9DumpStackERNSt3  113basic ostreamIcNS1 11char traitsIcEEEEbP12BacktraceMap 336)_x000D_
03 09 22:51:31 427 28762 29030 pl droidsonroids gif sample A art: art runtime runtime cc:422    native:  02 pc 003b5dc5   system lib libart so ( ZN3art14DumpCheckpoint3RunEPNS 6ThreadE 672)_x000D_
03 09 22:51:31 427 28762 29030 pl droidsonroids gif sample A art: art runtime runtime cc:422    native:  03 pc 003af77d   system lib libart so ( ZN3art10ThreadList13RunCheckpointEPNS 7ClosureE 352)_x000D_
03 09 22:51:31 427 28762 29030 pl droidsonroids gif sample A art: art runtime runtime cc:422    native:  04 pc 003af441   system lib libart so ( ZN3art10ThreadList4DumpERNSt3  113basic ostreamIcNS1 11char traitsIcEEEEb 644)_x000D_
03 09 22:51:31 427 28762 29030 pl droidsonroids gif sample A art: art runtime runtime cc:422    native:  05 pc 00393a85   system lib libart so ( ZNK3art10AbortState4DumpERNSt3  113basic ostreamIcNS1 11char traitsIcEEEE 356)_x000D_
03 09 22:51:31 428 28762 29030 pl droidsonroids gif sample A art: art runtime runtime cc:422    native:  06 pc 003894f5   system lib libart so ( ZN3art7Runtime5AbortEPKc 96)_x000D_
03 09 22:51:31 428 28762 29030 pl droidsonroids gif sample A art: art runtime runtime cc:422    native:  07 pc 000b7d8b   system lib libart so ( ZN3art10LogMessageD2Ev 1054)_x000D_
03 09 22:51:31 428 28762 29030 pl droidsonroids gif sample A art: art runtime runtime cc:422    native:  08 pc 00285327   system lib libart so ( ZN3art9JavaVMExt8JniAbortEPKcS2  1334)_x000D_
03 09 22:51:31 428 28762 29030 pl droidsonroids gif sample A art: art runtime runtime cc:422    native:  09 pc 002853d9   system lib libart so ( ZN3art9JavaVMExt9JniAbortVEPKcS2 St9  va list 68)_x000D_
03 09 22:51:31 428 28762 29030 pl droidsonroids gif sample A art: art runtime runtime cc:422    native:  10 pc 000cf9e7   system lib libart so ( ZN3art11ScopedCheck6AbortFEPKcz 46)_x000D_
03 09 22:51:31 428 28762 29030 pl droidsonroids gif sample A art: art runtime runtime cc:422    native:  11 pc 000d2031   system lib libart so ( ZN3art11ScopedCheck17CheckMethodAndSigERNS 18ScopedObjectAccessEP8 jobjectP7 jclassP10 jmethodIDNS 9Primitive4TypeENS 10InvokeTypeE 1352)_x000D_
03 09 22:51:31 428 28762 29030 pl droidsonroids gif sample A art: art runtime runtime cc:422    native:  12 pc 000d1017   system lib libart so ( ZN3art8CheckJNI11CallMethodVEPKcP7 JNIEnvP8 jobjectP7 jclassP10 jmethodIDSt9  va listNS 9Primitive4TypeENS 10InvokeTypeE 562)_x000D_
03 09 22:51:31 428 28762 29030 pl droidsonroids gif sample A art: art runtime runtime cc:422    native:  13 pc 000c6635   system lib libart so ( ZN3art8CheckJNI13CallIntMethodEP7 JNIEnvP8 jobjectP10 jmethodIDz 52)_x000D_
03 09 22:51:31 428 28762 29030 pl droidsonroids gif sample A art: art runtime runtime cc:422    native:  14 pc 00003e7d   data app pl droidsonroids gif sample 1 base apk (   )_x000D_
03 09 22:51:31 428 28762 29030 pl droidsonroids gif sample A art: art runtime runtime cc:422    native:  15 pc 00003cb3   data app pl droidsonroids gif sample 1 base apk (   )_x000D_
03 09 22:51:31 428 28762 29030 pl droidsonroids gif sample A art: art runtime runtime cc:422    native:  16 pc 00005e3f   data app pl droidsonroids gif sample 1 base apk (   )_x000D_
03 09 22:51:31 428 28762 29030 pl droidsonroids gif sample A art: art runtime runtime cc:422    native:  17 pc 00003b13   data app pl droidsonroids gif sample 1 base apk (   )_x000D_
03 09 22:51:31 428 28762 29030 pl droidsonroids gif sample A art: art runtime runtime cc:422    native:  18 pc 000470f9   data app pl droidsonroids gif sample 1 oat arm base odex (Java pl droidsonroids gif GifInfoHandle openStream  Ljava io InputStream 2 92)_x000D_
03 09 22:51:31 428 28762 29030 pl droidsonroids gif sample A art: art runtime runtime cc:422    at pl droidsonroids gif GifInfoHandle openStream(Native method)_x000D_
03 09 22:51:31 428 28762 29030 pl droidsonroids gif sample A art: art runtime runtime cc:422    at pl droidsonroids gif GifInfoHandle  init (GifInfoHandle java:53)_x000D_
03 09 22:51:31 428 28762 29030 pl droidsonroids gif sample A art: art runtime runtime cc:422    at pl droidsonroids gif InputSource InputStreamSource open(InputSource java:196)_x000D_
03 09 22:51:31 428 28762 29030 pl droidsonroids gif sample A art: art runtime runtime cc:422    at pl droidsonroids gif GifTextureView RenderThread run(GifTextureView java:182)_x000D_
03 09 22:51:31 429 28762 29030 pl droidsonroids gif sample A art: art runtime runtime cc:422  _x000D_
03 09 22:51:31 429 28762 29030 pl droidsonroids gif sample A art: art runtime runtime cc:422   main  prio 5 tid 1 Native_x000D_
03 09 22:51:31 429 28762 29030 pl droidsonroids gif sample A art: art runtime runtime cc:422      group    sCount 1 dsCount 0 obj 0x74bb2bf0 self 0xb3f05400_x000D_
03 09 22:51:31 429 28762 29030 pl droidsonroids gif sample A art: art runtime runtime cc:422      sysTid 28762 nice  10 cgrp default sched 0 0 handle 0xb6fc0534_x000D_
03 09 22:51:31 429 28762 29030 pl droidsonroids gif sample A art: art runtime runtime cc:422      state S schedstat ( 1675471818 418473383 2009 ) utm 137 stm 29 core 0 HZ 100_x000D_
03 09 22:51:31 429 28762 29030 pl droidsonroids gif sample A art: art runtime runtime cc:422      stack 0xbe0a3000 0xbe0a5000 stackSize 8MB_x000D_
03 09 22:51:31 429 28762 29030 pl droidsonroids gif sample A art: art runtime runtime cc:422      held mutexes _x000D_
03 09 22:51:31 429 28762 29030 pl droidsonroids gif sample A art: art runtime runtime cc:422    native:  00 pc 0004ef28   system lib libc so (  epoll pwait 20)_x000D_
03 09 22:51:31 429 28762 29030 pl droidsonroids gif sample A art: art runtime runtime cc:422    native:  01 pc 0001a395   system lib libc so (epoll pwait 60)_x000D_
03 09 22:51:31 429 28762 29030 pl droidsonroids gif sample A art: art runtime runtime cc:422    native:  02 pc 0001a3c5   system lib libc so (epoll wait 12)_x000D_
03 09 22:51:31 429 28762 29030 pl droidsonroids gif sample A art: art runtime runtime cc:422    native:  03 pc 0001288d   system lib libutils so ( ZN7android6Looper9pollInnerEi 132)_x000D_
03 09 22:51:31 429 28762 29030 pl droidsonroids gif sample A art: art runtime runtime cc:422    native:  04 pc 00012785   system lib libutils so ( ZN7android6Looper8pollOnceEiPiS1 PPv 24)_x000D_
03 09 22:51:31 429 28762 29030 pl droidsonroids gif sample A art: art runtime runtime cc:422    native:  05 pc 00093951   system lib libandroid runtime so ( ZN7android18NativeMessageQueue8pollOnceEP7 JNIEnvP8 jobjecti 22)_x000D_
03 09 22:51:31 429 28762 29030 pl droidsonroids gif sample A art: art runtime runtime cc:422    native:  06 pc 00bf135d   data dalvik cache arm system framework boot oat (Java android os MessageQueue nativePollOnce  JI 96)_x000D_
03 09 22:51:31 429 28762 29030 pl droidsonroids gif sample A art: art runtime runtime cc:422    at android os MessageQueue nativePollOnce(Native method)_x000D_
03 09 22:51:31 430 28762 29030 pl droidsonroids gif sample A art: art runtime runtime cc:422    at android os MessageQueue next(MessageQueue java:323)_x000D_
03 09 22:51:31 430 28762 29030 pl droidsonroids gif sample A art: art runtime runtime cc:422    at android os Looper loop(Looper java:136)_x000D_
03 09 22:51:31 430 28762 29030 pl droidsonroids gif sample A art: art runtime runtime cc:422    at android app ActivityThread main(ActivityThread java:6126)_x000D_
03 09 22:51:31 430 28762 29030 pl droidsonroids gif sample A art: art runtime runtime cc:422    at java lang reflect Method invoke (Native method)_x000D_
03 09 22:51:31 430 28762 29030 pl droidsonroids gif sample A art: art runtime runtime cc:422    at com android internal os ZygoteInit MethodAndArgsCaller run(ZygoteInit java:886)_x000D_
03 09 22:51:31 430 28762 29030 pl droidsonroids gif sample A art: art runtime runtime cc:422    at com android internal os ZygoteInit main(ZygoteInit java:776)_x000D_
03 09 22:51:31 430 28762 29030 pl droidsonroids gif sample A art: art runtime runtime cc:422  _x000D_
03 09 22:51:31 430 28762 29030 pl droidsonroids gif sample A art: art runtime runtime cc:422   Jit thread pool worker thread 0  prio 5 tid 2 Native (still starting up)_x000D_
03 09 22:51:31 430 28762 29030 pl droidsonroids gif sample A art: art runtime runtime cc:422      group    sCount 1 dsCount 0 obj 0x0 self 0xaca16000_x000D_
03 09 22:51:31 430 28762 29030 pl droidsonroids gif sample A art: art runtime runtime cc:422      sysTid 28767 nice 9 cgrp default sched 0 0 handle 0xb3506920_x000D_
03 09 22:51:31 430 28762 29030 pl droidsonroids gif sample A art: art runtime runtime cc:422      state S schedstat ( 216064491 582808638 309 ) utm 13 stm 7 core 0 HZ 100_x000D_
03 09 22:51:31 430 28762 29030 pl droidsonroids gif sample A art: art runtime runtime cc:422      stack 0xb3408000 0xb340a000 stackSize 1022KB_x000D_
03 09 22:51:31 430 28762 29030 pl droidsonroids gif sample A art: art runtime runtime cc:422      held mutexes _x000D_
03 09 22:51:31 430 28762 29030 pl droidsonroids gif sample A art: art runtime runtime cc:422    native:  00 pc 00017718   system lib libc so (syscall 28)_x000D_
03 09 22:51:31 430 28762 29030 pl droidsonroids gif sample A art: art runtime runtime cc:422    native:  01 pc 000b9c29   system lib libart so ( ZN3art17ConditionVariable16WaitHoldingLocksEPNS 6ThreadE 100)_x000D_
03 09 22:51:31 430 28762 29030 pl droidsonroids gif sample A art: art runtime runtime cc:422    native:  02 pc 003b7243   system lib libart so ( ZN3art10ThreadPool7GetTaskEPNS 6ThreadE 196)_x000D_
03 09 22:51:31 430 28762 29030   A art: art runtime runtime cc:422    native:  03 pc 003b6a87   system lib libart so ( ZN3art16ThreadPoolWorker3RunEv 78)_x000D_
03 09 22:51:31 431 28762 29030   A art: art runtime runtime cc:422    native:  04 pc 003b655f   system lib libart so ( ZN3art16ThreadPoolWorker8CallbackEPv 66)_x000D_
03 09 22:51:31 431 28762 29030   A art: art runtime runtime cc:422    native:  05 pc 0004d8ff   system lib libc so ( ZL15  pthread startPv 22)_x000D_
03 09 22:51:31 431 28762 29030   A art: art runtime runtime cc:422    native:  06 pc 00019fc5   system lib libc so (  start thread 6)_x000D_
03 09 22:51:31 431 28762 29030   A art: art runtime runtime cc:422    (no managed stack frames)_x000D_
03 09 22:51:31 431 28762 29030   A art: art runtime runtime cc:422  _x000D_
03 09 22:51:31 431 28762 29030   A art: art runtime runtime cc:422   Signal Catcher  prio 5 tid 3 WaitingInMainSignalCatcherLoop_x000D_
03 09 22:51:31 431 28762 29030   A art: art runtime runtime cc:422      group    sCount 1 dsCount 0 obj 0x12c73940 self 0xaa010e00_x000D_
03 09 22:51:31 431 28762 29030   A art: art runtime runtime cc:422      sysTid 28768 nice 0 cgrp default sched 0 0 handle 0xb3405920_x000D_
03 09 22:51:31 431 28762 29030   A art: art runtime runtime cc:422      state S schedstat ( 1050364 10344167 2 ) utm 0 stm 0 core 0 HZ 100_x000D_
03 09 22:51:31 431 28762 29030   A art: art runtime runtime cc:422      stack 0xb3309000 0xb330b000 stackSize 1014KB_x000D_
03 09 22:51:31 431 28762 29030   A art: art runtime runtime cc:422      held mutexes _x000D_
03 09 22:51:31 431 28762 29030   A art: art runtime runtime cc:422    native:  00 pc 0004f294   system lib libc so (  rt sigtimedwait 12)_x000D_
03 09 22:51:31 431 28762 29030   A art: art runtime runtime cc:422    native:  01 pc 0001e8f3   system lib libc so (sigwait 34)_x000D_
03 09 22:51:31 431 28762 29030   A art: art runtime runtime cc:422    native:  02 pc 00397303   system lib libart so ( ZN3art9SignalSet4WaitEv 22)_x000D_
03 09 22:51:31 431 28762 29030   A art: art runtime runtime cc:422    native:  03 pc 00396ebf   system lib libart so ( ZN3art13SignalCatcher13WaitForSignalEPNS 6ThreadERNS 9SignalSetE 166)_x000D_
03 09 22:51:31 431 28762 29030   A art: art runtime runtime cc:422    native:  04 pc 00395b8d   system lib libart so ( ZN3art13SignalCatcher3RunEPv 276)_x000D_
03 09 22:51:31 431 28762 29030   A art: art runtime runtime cc:422    native:  05 pc 0004d8ff   system lib libc so ( ZL15  pthread startPv 22)_x000D_
03 09 22:51:31 432 28762 29030   A art: art runtime runtime cc:422    native:  06 pc 00019fc5   system lib libc so (  start thread 6)_x000D_
03 09 22:51:31 432 28762 29030   A art: art runtime runtime cc:422    (no managed stack frames)_x000D_
03 09 22:51:31 436 28762 29030   A art: art runtime runtime cc:422  _x000D_
03 09 22:51:31 436 28762 29030   A art: art runtime runtime cc:422   JDWP  prio 5 tid 4 WaitingInMainDebuggerLoop_x000D_
03 09 22:51:31 436 28762 29030   A art: art runtime runtime cc:422      group    sCount 1 dsCount 0 obj 0x12c739d0 self 0xaca17400_x000D_
03 09 22:51:31 436 28762 29030   A art: art runtime runtime cc:422      sysTid 28769 nice 0 cgrp default sched 0 0 handle 0xb3306920_x000D_
03 09 22:51:31 436 28762 29030   A art: art runtime runtime cc:422      state S schedstat ( 51721775 44328125 65 ) utm 3 stm 1 core 3 HZ 100_x000D_
03 09 22:51:31 436 28762 29030   A art: art runtime runtime cc:422      stack 0xb320a000 0xb320c000 stackSize 1014KB_x000D_
03 09 22:51:31 436 28762 29030   A art: art runtime runtime cc:422      held mutexes _x000D_
03 09 22:51:31 436 28762 29030   A art: art runtime runtime cc:422    native:  00 pc 0004f16c   system lib libc so (  pselect6 20)_x000D_
03 09 22:51:31 437 28762 29030   A art: art runtime runtime cc:422    native:  01 pc 0001d5dd   system lib libc so (select 92)_x000D_
03 09 22:51:31 437 28762 29030   A art: art runtime runtime cc:422    native:  02 pc 00486c9f   system lib libart so ( ZN3art4JDWP12JdwpAdbState15ProcessIncomingEv 338)_x000D_
03 09 22:51:31 437 28762 29030   A art: art runtime runtime cc:422    native:  03 pc 00296507   system lib libart so ( ZN3art4JDWP9JdwpState3RunEv 1510)_x000D_
03 09 22:51:31 437 28762 29030   A art: art runtime runtime cc:422    native:  04 pc 0029591b   system lib libart so ( ZN3art4JDWPL15StartJdwpThreadEPv 22)_x000D_
03 09 22:51:31 437 28762 29030   A art: art runtime runtime cc:422    native:  05 pc 0004d8ff   system lib libc so ( ZL15  pthread startPv 22)_x000D_
03 09 22:51:31 437 28762 29030   A art: art runtime runtime cc:422    native:  06 pc 00019fc5   system lib libc so (  start thread 6)_x000D_
03 09 22:51:31 437 28762 29030   A art: art runtime runtime cc:422    (no managed stack frames)_x000D_
03 09 22:51:31 437 28762 29030   A art: art runtime runtime cc:422  _x000D_
03 09 22:51:31 437 28762 29030   A art: art runtime runtime cc:422   ReferenceQueueDaemon  prio 5 tid 5 Waiting_x000D_
03 09 22:51:31 437 28762 29030   A art: art runtime runtime cc:422      group    sCount 1 dsCount 0 obj 0x12c73a60 self 0xaa012700_x000D_
03 09 22:51:31 437 28762 29030   A art: art runtime runtime cc:422      sysTid 28770 nice 0 cgrp default sched 0 0 handle 0xb3207920_x000D_
03 09 22:51:31 437 28762 29030   A art: art runtime runtime cc:422      state S schedstat ( 2646615 11871198 28 ) utm 0 stm 0 core 3 HZ 100_x000D_
03 09 22:51:31 437 28762 29030   A art: art runtime runtime cc:422      stack 0xb3105000 0xb3107000 stackSize 1038KB_x000D_
03 09 22:51:31 437 28762 29030   A art: art runtime runtime cc:422      held mutexes _x000D_
03 09 22:51:31 438 28762 29030   A art: art runtime runtime cc:422    native:  00 pc 00017718   system lib libc so (syscall 28)_x000D_
03 09 22:51:31 438 28762 29030   A art: art runtime runtime cc:422    native:  01 pc 000b9c29   system lib libart so ( ZN3art17ConditionVariable16WaitHoldingLocksEPNS 6ThreadE 100)_x000D_
03 09 22:51:31 438 28762 29030   A art: art runtime runtime cc:422    native:  02 pc 002f6099   system lib libart so ( ZN3art7Monitor4WaitEPNS 6ThreadExibNS 11ThreadStateE 580)_x000D_
03 09 22:51:31 438 28762 29030   A art: art runtime runtime cc:422    native:  03 pc 002f7a95   system lib libart so ( ZN3art7Monitor4WaitEPNS 6ThreadEPNS 6mirror6ObjectExibNS 11ThreadStateE 128)_x000D_
03 09 22:51:31 438 28762 29030   A art: art runtime runtime cc:422    native:  04 pc 00307a33   system lib libart so ( ZN3artL11Object waitEP7 JNIEnvP8 jobject 34)_x000D_
03 09 22:51:31 438 28762 29030   A art: art runtime runtime cc:422    native:  05 pc 00000537   data dalvik cache arm system framework boot oat (Java java lang Object wait   74)_x000D_
03 09 22:51:31 439 28762 29030   A art: art runtime runtime cc:422    at java lang Object wait (Native method)_x000D_
03 09 22:51:31 439 28762 29030   A art: art runtime runtime cc:422      waiting on  0x0ee13ff8  (a java lang Class java lang ref ReferenceQueue )_x000D_
03 09 22:51:31 439 28762 29030   A art: art runtime runtime cc:422    at java lang Daemons ReferenceQueueDaemon run(Daemons java:150)_x000D_
03 09 22:51:31 439 28762 29030   A art: art runtime runtime cc:422      locked  0x0ee13ff8  (a java lang Class java lang ref ReferenceQueue )_x000D_
03 09 22:51:31 448 28762 29030   A art: art runtime runtime cc:422    at java lang Thread run(Thread java:761)_x000D_
03 09 22:51:31 448 28762 29030   A art: art runtime runtime cc:422  _x000D_
03 09 22:51:31 448 28762 29030   A art: art runtime runtime cc:422   Binder:28762 1  prio 5 tid 6 Native_x000D_
03 09 22:51:31 448 28762 29030   A art: art runtime runtime cc:422      group    sCount 1 dsCount 0 obj 0x12c73dc0 self 0xaca18800_x000D_
03 09 22:51:31 449 28762 29030   A art: art runtime runtime cc:422      sysTid 28774 nice 0 cgrp default sched 0 0 handle 0xb2cf5920_x000D_
03 09 22:51:31 449 28762 29030   A art: art runtime runtime cc:422      state S schedstat ( 18558848 71990626 136 ) utm 0 stm 0 core 0 HZ 100_x000D_
03 09 22:51:31 449 28762 29030   A art: art runtime runtime cc:422      stack 0xb2bf9000 0xb2bfb000 stackSize 1014KB_x000D_
03 09 22:51:31 449 28762 29030   A art: art runtime runtime cc:422      held mutexes _x000D_
03 09 22:51:31 449 28762 29030   A art: art runtime runtime cc:422    native:  00 pc 0004f068   system lib libc so (  ioctl 8)_x000D_
03 09 22:51:31 449 28762 29030   A art: art runtime runtime cc:422    native:  01 pc 0001b1ff   system lib libc so (ioctl 38)_x000D_
03 09 22:51:31 449 28762 29030   A art: art runtime runtime cc:422    native:  02 pc 0003d905   system lib libbinder so ( ZN7android14IPCThreadState14talkWithDriverEb 184)_x000D_
03 09 22:51:31 449 28762 29030   A art: art runtime runtime cc:422    native:  03 pc 0003da09   system lib libbinder so ( ZN7android14IPCThreadState20getAndExecuteCommandEv 8)_x000D_
03 09 22:51:31 449 28762 29030   A art: art runtime runtime cc:422    native:  04 pc 0003dfc3   system lib libbinder so ( ZN7android14IPCThreadState14joinThreadPoolEb 46)_x000D_
03 09 22:51:31 449 28762 29030   A art: art runtime runtime cc:422    native:  05 pc 000514f5   system lib libbinder so (   )_x000D_
03 09 22:51:31 449 28762 29030   A art: art runtime runtime cc:422    native:  06 pc 0000eb27   system lib libutils so ( ZN7android6Thread11 threadLoopEPv 246)_x000D_
03 09 22:51:31 449 28762 29030   A art: art runtime runtime cc:422    native:  07 pc 00067b9d   system lib libandroid runtime so ( ZN7android14AndroidRuntime15javaThreadShellEPv 80)_x000D_
03 09 22:51:31 449 28762 29030   A art: art runtime runtime cc:422    native:  08 pc 0004d8ff   system lib libc so ( ZL15  pthread startPv 22)_x000D_
03 09 22:51:31 450 28762 29030   A art: art runtime runtime cc:422    native:  09 pc 00019fc5   system lib libc so (  start thread 6)_x000D_
03 09 22:51:31 450 28762 29030   A art: art runtime runtime cc:422    (no managed stack frames)_x000D_
03 09 22:51:31 450 28762 29030   A art: art runtime runtime cc:422  _x000D_
03 09 22:51:31 450 28762 29030   A art: art runtime runtime cc:422   FinalizerWatchdogDaemon  prio 5 tid 7 Sleeping_x000D_
03 09 22:51:31 450 28762 29030   A art: art runtime runtime cc:422      group    sCount 1 dsCount 0 obj 0x12c73b80 self 0xaa013100_x000D_
03 09 22:51:31 450 28762 29030   A art: art runtime runtime cc:422      sysTid 28772 nice 0 cgrp default sched 0 0 handle 0xb2ffd920_x000D_
03 09 22:51:31 450 28762 29030   A art: art runtime runtime cc:422      state S schedstat ( 695106 18687866 13 ) utm 0 stm 0 core 0 HZ 100_x000D_
03 09 22:51:31 450 28762 29030   A art: art runtime runtime cc:422      stack 0xb2efb000 0xb2efd000 stackSize 1038KB_x000D_
03 09 22:51:31 450 28762 29030   A art: art runtime runtime cc:422      held mutexes _x000D_
03 09 22:51:31 450 28762 29030   A art: art runtime runtime cc:422    native:  00 pc 0001771c   system lib libc so (syscall 32)_x000D_
03 09 22:51:31 450 28762 29030   A art: art runtime runtime cc:422    native:  01 pc 000ba0a1   system lib libart so ( ZN3art17ConditionVariable9TimedWaitEPNS 6ThreadExi 120)_x000D_
03 09 22:51:31 450 28762 29030   A art: art runtime runtime cc:422    native:  02 pc 002f60a9   system lib libart so ( ZN3art7Monitor4WaitEPNS 6ThreadExibNS 11ThreadStateE 596)_x000D_
03 09 22:51:31 450 28762 29030   A art: art runtime runtime cc:422    native:  03 pc 002f7a95   system lib libart so ( ZN3art7Monitor4WaitEPNS 6ThreadEPNS 6mirror6ObjectExibNS 11ThreadStateE 128)_x000D_
03 09 22:51:31 450 28762 29030   A art: art runtime runtime cc:422    native:  04 pc 0030b8bf   system lib libart so ( ZN3artL12Thread sleepEP7 JNIEnvP7 jclassP8 jobjectxi 62</t>
  </si>
  <si>
    <t>OCSInventory-NG-AndroidAgent-17</t>
  </si>
  <si>
    <t>When permissions is not accorded, app crash when send inventory</t>
  </si>
  <si>
    <t xml:space="preserve">    General informations_x000D_
Android version : 6  7  _x000D_
_x000D_
    OCS Inventory informations_x000D_
Android agent version : 2 3 0_x000D_
_x000D_
    Problem s description_x000D_
When android permissions is not accorded  app crash when send inventory _x000D_
Verified in debug crash report on android studio _x000D_
_x000D_
_x000D_
</t>
  </si>
  <si>
    <t>Ekalips-ExpandableCardViewList-1</t>
  </si>
  <si>
    <t>Clicking on a card to expand it causes it to crash</t>
  </si>
  <si>
    <t xml:space="preserve">When I tried to expand one of the cards   the app crashed _x000D_
_x000D_
running _x000D_
  Android Studio 2 3_x000D_
  Android 7 1 1  Nexus 6P emulator _x000D_
_x000D_
  Logcat     _x000D_
_x000D_
 img width  1824  alt  screen shot 2017 03 10 at 5 24 24 pm  src  https:  cloud githubusercontent com assets 13317009 23815475 6ed51cfa 05b6 11e7 9764 c9ae345f5112 png  _x000D_
_x000D_
   _x000D_
03 10 17:17:53 930 7484 7484 com wldev expandablecardviewlist D Bindings: animate: _x000D_
03 10 17:17:53 931 7484 7484 com wldev expandablecardviewlist D AndroidRuntime: Shutting down VM_x000D_
03 10 17:17:53 935 7484 7484 com wldev expandablecardviewlist E AndroidRuntime: FATAL EXCEPTION: main_x000D_
  Process: com wldev expandablecardviewlist  PID: 7484_x000D_
_x000D_
 java lang NullPointerException: Attempt to invoke virtual method  java lang Class java lang Object getClass()  on a null object reference_x000D_
      at android graphics drawable AnimatedVectorDrawable VectorDrawableAnimatorRT createRTAnimator(AnimatedVectorDrawable java:1262)_x000D_
      at android graphics drawable AnimatedVectorDrawable VectorDrawableAnimatorRT parseAnimatorSet(AnimatedVectorDrawable java:1220)_x000D_
      at android graphics drawable AnimatedVectorDrawable VectorDrawableAnimatorRT init(AnimatedVectorDrawable java:1187)_x000D_
      at android graphics drawable AnimatedVectorDrawable ensureAnimatorSet(AnimatedVectorDrawable java:851)_x000D_
      at android graphics drawable AnimatedVectorDrawable start(AnimatedVectorDrawable java:834)_x000D_
      at com wldev expandablecardviewlist Bindings animate(Bindings java:111)_x000D_
      at com wldev expandablecardviewlist databinding RvItemBinding executeBindings(RvItemBinding java:294)_x000D_
      at android databinding ViewDataBinding executeBindingsInternal(ViewDataBinding java:379)_x000D_
      at android databinding ViewDataBinding executePendingBindings(ViewDataBinding java:351)_x000D_
      at android databinding ViewDataBinding 6 run(ViewDataBinding java:178)_x000D_
      at android databinding ViewDataBinding 7 doFrame(ViewDataBinding java:251)_x000D_
      at android view Choreographer CallbackRecord run(Choreographer java:872)_x000D_
      at android view Choreographer doCallbacks(Choreographer java:686)_x000D_
      at android view Choreographer doFrame(Choreographer java:618)_x000D_
      at android view Choreographer FrameDisplayEventReceiver run(Choreographer java:860)_x000D_
      at android os Handler handleCallback(Handler java:751)_x000D_
      at android os Handler dispatchMessage(Handler java:95)_x000D_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_x000D_
   _x000D_
_x000D_
_x000D_
</t>
  </si>
  <si>
    <t>pinball83-Masked-Edittext-29</t>
  </si>
  <si>
    <t>Save State Crash</t>
  </si>
  <si>
    <t xml:space="preserve">There is crash when there is  MaskedEditText  in xml layout and  Don t keep Activities  is checked in Phone settings  When i move App to background and come back  it crashes  Log: _x000D_
   _x000D_
FATAL EXCEPTION: main_x000D_
                                                                               Process: com pordiva surat kargo debug  PID: 13257_x000D_
                                                                               java lang RuntimeException: Unable to start activity ComponentInfo com pordiva surat kargo debug com pordiva surat kargo ui login LoginActivity : java lang IndexOutOfBoundsException: setSpan (5     5) ends beyond length 0_x000D_
                                                                                   at android app ActivityThread performLaunchActivity(ActivityThread java:3253)_x000D_
                                                                                   at android app ActivityThread handleLaunchActivity(ActivityThread java:3349)_x000D_
                                                                                   at android app ActivityThread access 1100(ActivityThread java:221)_x000D_
                                                                                   at android app ActivityThread H handleMessage(ActivityThread java:1794)_x000D_
                                                                                   at android os Handler dispatchMessage(Handler java:102)_x000D_
                                                                                   at android os Looper loop(Looper java:158)_x000D_
                                                                                   at android app ActivityThread main(ActivityThread java:7224)_x000D_
                                                                                   at java lang reflect Method invoke(Native Method)_x000D_
                                                                                   at com android internal os ZygoteInit MethodAndArgsCaller run(ZygoteInit java:1230)_x000D_
                                                                                   at com android internal os ZygoteInit main(ZygoteInit java:1120)_x000D_
                                                                                Caused by: java lang IndexOutOfBoundsException: setSpan (5     5) ends beyond length 0_x000D_
                                                                                   at android text SpannableStringBuilder checkRange(SpannableStringBuilder java:1094)_x000D_
                                                                                   at android text SpannableStringBuilder setSpan(SpannableStringBuilder java:669)_x000D_
                                                                                   at android text SpannableStringBuilder setSpan(SpannableStringBuilder java:662)_x000D_
                                                                                   at android text Selection setSelection(Selection java:123)_x000D_
                                                                                   at android text Selection setSelection(Selection java:134)_x000D_
                                                                                   at android widget EditText setSelection(EditText java:128)_x000D_
                                                                                   at com github pinball83 maskededittext MaskedEditText MaskedInputFilter skipSymbol(MaskedEditText java:365)_x000D_
                                                                                   at com github pinball83 maskededittext MaskedEditText MaskedInputFilter filter(MaskedEditText java:340)_x000D_
                                                                                   at android widget TextView setText(TextView java:4830)_x000D_
                                                                                   at android widget TextView setText(TextView java:4796)_x000D_
                                                                                   at android widget EditText setText(EditText java:114)_x000D_
                                                                                   at android widget TextView setText(TextView java:4771)_x000D_
                                                                                   at android widget TextView onRestoreInstanceState(TextView java:4664)_x000D_
                                                                                   at android view View dispatchRestoreInstanceState(View java:16037)_x000D_
                                                                                   at android view ViewGroup dispatchRestoreInstanceState(ViewGroup java:3438)_x000D_
                                                                                   at android view ViewGroup dispatchRestoreInstanceState(ViewGroup java:3438)_x000D_
                                                                                   at android view ViewGroup dispatchRestoreInstanceState(ViewGroup java:3438)_x000D_
                                                                                   at android view ViewGroup dispatchRestoreInstanceState(ViewGroup java:3438)_x000D_
                                                                                   at android view ViewGroup dispatchRestoreInstanceState(ViewGroup java:3438)_x000D_
                                                                                   at android view ViewGroup dispatchRestoreInstanceState(ViewGroup java:3438)_x000D_
                                                                                   at android view ViewGroup dispatchRestoreInstanceState(ViewGroup java:3438)_x000D_
                                                                                   at android view ViewGroup dispatchRestoreInstanceState(ViewGroup java:3438)_x000D_
                                                                                   at android view View restoreHierarchyState(View java:16015)_x000D_
                                                                                   at com android internal policy PhoneWindow restoreHierarchyState(PhoneWindow java:2329)_x000D_
                                                                                   at android app Activity onRestoreInstanceState(Activity java:1164)_x000D_
                                                                                   at android app Activity performRestoreInstanceState(Activity java:1109)_x000D_
                                                                                   at android app Instrumentation callActivityOnRestoreInstanceState(Instrumentation java:1191)_x000D_
                                                                                   at android app ActivityThread performLaunchActivity(ActivityThread java:3226)_x000D_
                                                                                   at android app ActivityThread handleLaunchActivity(ActivityThread java:3349) _x000D_
                                                                                   at android app ActivityThread access 1100(ActivityThread java:221) _x000D_
                                                                                   at android app ActivityThread H handleMessage(ActivityThread java:1794) _x000D_
                                                                                   at android os Handler dispatchMessage(Handler java:102) _x000D_
                                                                                   at android os Looper loop(Looper java:158) _x000D_
                                                                                   at android app ActivityThread main(ActivityThread java:7224) _x000D_
                                                                                   at java lang reflect Method invoke(Native Method) _x000D_
                                                                                   at com android internal os ZygoteInit MethodAndArgsCaller run(ZygoteInit java:1230) _x000D_
                                                                                   at com android internal os ZygoteInit main(ZygoteInit java:1120) _x000D_
   _x000D_
_x000D_
_x000D_
Current workaround:   android:saveEnabled  false   for  MaskedEditText   </t>
  </si>
  <si>
    <t>arunkumar9t2-lynket-browser-17</t>
  </si>
  <si>
    <t>Improve Draw over other apps permission handling for M+</t>
  </si>
  <si>
    <t xml:space="preserve">Seeing crash reports thrown when trying to open web heads and it crashes due to missing permission </t>
  </si>
  <si>
    <t>arunkumar9t2-lynket-browser-16</t>
  </si>
  <si>
    <t xml:space="preserve">/system/lib/libhwui.so Crash. </t>
  </si>
  <si>
    <t>Seeing this crash reported from people trying to use web heads  Based on a cursory check its thrown from JNI and can be caused when switching view layer type  This stack overflow answer says to try switching layers by posting runnable to view handler _x000D_
http:  stackoverflow com questions 19614526 android crash system lib libhwui so</t>
  </si>
  <si>
    <t>commons-app-apps-android-commons-429</t>
  </si>
  <si>
    <t>Attempt to invoke virtual method setShareIntent on a null object reference</t>
  </si>
  <si>
    <t xml:space="preserve">Am able to see quite a few  crashes with this error (https:  groups google com d msg commons app android private oHJ8biLgNgU yxj4cu SBAAJ)  Can we pick this up on top priority  _x000D_
_x000D_
   _x000D_
USER COMMENT                                 _x000D_
ANDROID VERSION 6 0 1_x000D_
APP VERSION NAME 2 0_x000D_
BRAND Wileyfox_x000D_
PHONE MODEL Wileyfox Swift_x000D_
_x000D_
CUSTOM DATA _x000D_
STACK TRACE java lang NullPointerException: Attempt to invoke virtual method  void android support v7 widget ShareActionProvider setShareIntent(android content Intent)  on a null object reference_x000D_
at fr free nrw commons media MediaDetailPagerFragment onCreateOptionsMenu(MediaDetailPagerFragment java:228)_x000D_
at android support v4 app Fragment performCreateOptionsMenu(Fragment java:2186)_x000D_
at android support v4 app FragmentManagerImpl dispatchCreateOptionsMenu(FragmentManager java:2250)_x000D_
at android support v4 app FragmentController dispatchCreateOptionsMenu(FragmentController java:328)_x000D_
at android support v4 app FragmentActivity onCreatePanelMenu(FragmentActivity java:363)_x000D_
at android support v7 view WindowCallbackWrapper onCreatePanelMenu(WindowCallbackWrapper java:92)_x000D_
at android support v7 app AppCompatDelegateImplBase AppCompatWindowCallbackBase onCreatePanelMenu(AppCompatDelegateImplBase java:331)_x000D_
at android support v7 app AppCompatDelegateImplV9 preparePanel(AppCompatDelegateImplV9 java:1357)_x000D_
at android support v7 app AppCompatDelegateImplV9 doInvalidatePanelMenu(AppCompatDelegateImplV9 java:1637)_x000D_
at android support v7 app AppCompatDelegateImplV9 1 run(AppCompatDelegateImplV9 java:129)_x000D_
at android view Choreographer CallbackRecord run(Choreographer java:858)_x000D_
at android view Choreographer doCallbacks(Choreographer java:670)_x000D_
at android view Choreographer doFrame(Choreographer java:603)_x000D_
at android view Choreographer FrameDisplayEventReceiver run(Choreographer java:844)_x000D_
at android os Handler handleCallback(Handler java:739)_x000D_
at android os Handler dispatchMessage(Handler java:95)_x000D_
at android os Looper loop(Looper java:148)_x000D_
at android app ActivityThread main(ActivityThread java:5461)_x000D_
_x000D_
at java lang reflect Method invoke(Native Method)_x000D_
at com android internal os ZygoteInit MethodAndArgsCaller run(ZygoteInit java:726)_x000D_
at com android internal os ZygoteInit main(ZygoteInit java:616)_x000D_
   </t>
  </si>
  <si>
    <t>czyzby-gdx-lml-53</t>
  </si>
  <si>
    <t>Application crash on VisLml with Turkish locale</t>
  </si>
  <si>
    <t xml:space="preserve">     Issue details_x000D_
Application crashes completely if your Locale getDefault() is Locale forLanguageTag( tr ) _x000D_
_x000D_
     Reproduction steps code_x000D_
https:  garygregory wordpress com 2015 11 03 java lowercase conversion turkey _x000D_
_x000D_
     Version of LibGDX and or relevant dependencies_x000D_
Libgdx 1 9 4   _x000D_
_x000D_
     Stacktrace_x000D_
   java_x000D_
com github czyzby lml util LmlParsingException: Error occurred during parsing near line 31 of the original file:  main menu lml  _x000D_
REASON: Unable to parser alignment from raw data: right  no alignment value matching: right_x000D_
	Due implementation of the parser  the real problematic line might SLIGHTLY vary from the given line number(s)  but exception message should be clear enough to find the actual error _x000D_
	Currently parsed template part:_x000D_
28  VALID                vistable _x000D_
29  VALID            vistable _x000D_
30  VALID  _x000D_
31  ERROR           vistable width  0 50   height  1 00   tablealign  right  _x000D_
32                      myvistable id  main coins cont  onclick  main coins cont click  visible  false  width  400  height  60  pad  10  tablealign  right  _x000D_
33                          visimage size  60  style  image coin   _x000D_
34         _x000D_
_x000D_
   _x000D_
_x000D_
     Please select the affected platforms_x000D_
      Android_x000D_
      iOS (robovm)_x000D_
      iOS (MOE)_x000D_
      HTML GWT_x000D_
      Windows_x000D_
      Linux_x000D_
      MacOS_x000D_
</t>
  </si>
  <si>
    <t>platypusllc-tablet-41</t>
  </si>
  <si>
    <t>"start waypoints" before very first waypoint causes crash</t>
  </si>
  <si>
    <t xml:space="preserve">Once you create a waypoint and clear it  then the Toast warning pops up correctly  But if you hit start waypoints  after connecting phone but before creating any first waypoint  the app crashes:_x000D_
_x000D_
AndroidRuntime                 E  FATAL EXCEPTION: Thread 1991                                                                                                                  _x000D_
AndroidRuntime                 E  Process: com platypus android tablet  PID: 4639                                                                                               _x000D_
AndroidRuntime                 E  java lang NullPointerException: Attempt to invoke virtual method  java util ArrayList com platypus android tablet Path Path getPoints()  on a _x000D_
                                  null object reference                                                                                                                         _x000D_
AndroidRuntime                 E  at com platypus android tablet TeleOpPanel 35 run(TeleOpPanel java:2563) </t>
  </si>
  <si>
    <t>platypusllc-tablet-38</t>
  </si>
  <si>
    <t>preferences_api, "save last location" causes crash</t>
  </si>
  <si>
    <t xml:space="preserve">Changing the checkbox labeled  Save last location  causes the following crash:_x000D_
_x000D_
 AndroidRuntime                 E  FATAL EXCEPTION: main                                                                                                                         _x000D_
AndroidRuntime                 E  Process: com platypus android tablet  PID: 5582                                                                                               _x000D_
AndroidRuntime                 E  java lang ClassCastException: java lang Boolean cannot be cast to java lang String                                                            _x000D_
AndroidRuntime                 E  at android app SharedPreferencesImpl getString(SharedPreferencesImpl java:223)                                                                _x000D_
AndroidRuntime                 E  at com platypus android tablet SettingsActivity onSharedPreferenceChanged(SettingsActivity java:83)                                           _x000D_
AndroidRuntime                 E  at android app SharedPreferencesImpl EditorImpl notifyListeners(SharedPreferencesImpl java:476)                                               _x000D_
AndroidRuntime                 E  at android app SharedPreferencesImpl EditorImpl apply(SharedPreferencesImpl java:384)                                                         _x000D_
AndroidRuntime                 E  at android preference Preference tryCommit(Preference java:1404)                                                                              _x000D_
AndroidRuntime                 E  at android preference Preference persistBoolean(Preference java:1670)                                                                         _x000D_
AndroidRuntime                 E  at android preference TwoStatePreference setChecked(TwoStatePreference java:80)                                                               _x000D_
AndroidRuntime                 E  at android preference TwoStatePreference onClick(TwoStatePreference java:65)                                                                  _x000D_
AndroidRuntime                 E  at android preference Preference performClick(Preference java:984)                                                                            _x000D_
AndroidRuntime                 E  at android preference PreferenceScreen onItemClick(PreferenceScreen java:214)                                                                 _x000D_
AndroidRuntime                 E  at android widget AdapterView performItemClick(AdapterView java:305)                                                                          _x000D_
AndroidRuntime                 E  at android widget AbsListView performItemClick(AbsListView java:1160)                                                                         _x000D_
AndroidRuntime                 E  at android widget AbsListView PerformClick run(AbsListView java:3067)                                                                         _x000D_
AndroidRuntime                 E  at android widget AbsListView 3 run(AbsListView java:3862)                                                                                    _x000D_
AndroidRuntime                 E  at android os Handler handleCallback(Handler java:739)                                                                                        _x000D_
AndroidRuntime                 E  at android os Handler dispatchMessage(Handler java:95)                                                                                        _x000D_
AndroidRuntime                 E  at android os Looper loop(Looper java:135)                                                                                                    _x000D_
AndroidRuntime                 E  at android app ActivityThread main(ActivityThread java:5466)                                                                                  _x000D_
AndroidRuntime                 E  at java lang reflect Method invoke(Native Method)                                                                                             _x000D_
AndroidRuntime                 E  at java lang reflect Method invoke(Method java:372)                                                                                           _x000D_
AndroidRuntime                 E  at com android internal os ZygoteInit MethodAndArgsCaller run(ZygoteInit java:984)                                                            _x000D_
AndroidRuntime                 E  at com android internal os ZygoteInit main(ZygoteInit java:779)     </t>
  </si>
  <si>
    <t>nextcloud-android-738</t>
  </si>
  <si>
    <t>ViewGroup.dispatchCollectViewAttributes NPE</t>
  </si>
  <si>
    <t>Running monkey i got this crash  it appeared that mChildren i  null which is supposed never happened  Or is there any posibility cause that _x000D_
_x000D_
    Logs_x000D_
java lang NullPointerException_x000D_
at android view ViewGroup dispatchCollectViewAttributes(ViewGroup java:1112)_x000D_
at android view ViewGroup dispatchCollectViewAttributes(ViewGroup java:1112)_x000D_
at android view ViewGroup dispatchCollectViewAttributes(ViewGroup java:1112)_x000D_
at android view ViewGroup dispatchCollectViewAttributes(ViewGroup java:1112)_x000D_
at android view ViewGroup dispatchCollectViewAttributes(ViewGroup java:1112)_x000D_
at android view ViewGroup dispatchCollectViewAttributes(ViewGroup java:1112)_x000D_
at android view ViewGroup dispatchCollectViewAttributes(ViewGroup java:1112)_x000D_
at android view ViewGroup dispatchCollectViewAttributes(ViewGroup java:1112)_x000D_
at android view ViewRootImpl collectViewAttributes(ViewRootImpl java:1038)_x000D_
at android view ViewRootImpl performTraversals(ViewRootImpl java:1304)_x000D_
at android view ViewRootImpl doTraversal(ViewRootImpl java:1005)_x000D_
at android view ViewRootImpl TraversalRunnable run(ViewRootImpl java:5609)_x000D_
at android view Choreographer CallbackRecord run(Choreographer java:761)_x000D_
at android view Choreographer doCallbacks(Choreographer java:574)_x000D_
at android view Choreographer doFrame(Choreographer java:544)_x000D_
at android view Choreographer FrameDisplayEventReceiver run(Choreographer java:747)_x000D_
at android os Handler handleCallback(Handler java:733)_x000D_
at android os Handler dispatchMessage(Handler java:95)_x000D_
at android os Looper loop(Looper java:136)_x000D_
at android app ActivityThread main(ActivityThread java:5001)_x000D_
at java lang reflect Method invokeNative(Native Method)_x000D_
at java lang reflect Method invoke(Method java:515)_x000D_
at com android internal os ZygoteInit MethodAndArgsCaller run(ZygoteInit java:736)_x000D_
at com android internal os ZygoteInit main(ZygoteInit java:570)_x000D_
at dalvik system NativeStart main(Native Method)_x000D_
_x000D_
    Logs_x000D_
java lang NullPointerException_x000D_
    at android view ViewGroup canViewReceivePointerEvents(ViewGroup java:2140)_x000D_
    at android view ViewGroup dispatchTouchEvent(ViewGroup java:1903)_x000D_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android view ViewGroup dispatchTransformedTouchEvent(ViewGroup java:2216)_x000D_
    at android view ViewGroup dispatchTouchEvent(ViewGroup java:1917)_x000D_
    at com android internal policy impl PhoneWindow DecorView superDispatchTouchEvent(PhoneWindow java:2105)_x000D_
    at com android internal policy impl PhoneWindow superDispatchTouchEvent(PhoneWindow java:1531)_x000D_
    at android app Activity dispatchTouchEvent(Activity java:2531)_x000D_
_x000D_
    Logs_x000D_
java lang NullPointerException_x000D_
    at android view ViewGroup dispatchVisibilityChanged(ViewGroup java:1064)_x000D_
    at android view View setFlags(View java:8956)_x000D_
    at android view View setVisibility(View java:6027)</t>
  </si>
  <si>
    <t>cross-border-bridge-data-bus-android-2</t>
  </si>
  <si>
    <t>bugfix: crash in MultiplexDataBus</t>
  </si>
  <si>
    <t>App crashes when sending or receiving the JSONArray data that contains null in MultiplexDataBus _x000D_
_x000D_
   x  cross check_x000D_
   x  publish</t>
  </si>
  <si>
    <t>twilio-video-quickstart-android-80</t>
  </si>
  <si>
    <t>Participant disconnect event is fired too late</t>
  </si>
  <si>
    <t xml:space="preserve">Hi guys _x000D_
_x000D_
We developed a video call app with Twilio  In a call  assume has 2 participants A   B  When device of A be crashed or lost network  after 1 minutes and 13 seconds later  Twilio (on A device) threw  B disconnect  event  How can I make it faster  because our service charge over call duration </t>
  </si>
  <si>
    <t>KeepSafe-TapTargetView-146</t>
  </si>
  <si>
    <t>java.lang.IllegalArgumentException: Layout: -230 &lt; 0</t>
  </si>
  <si>
    <t xml:space="preserve">the tap target view is not running inside fragments   in devices with api level 23 vr 6 0 1 (OxygenOS version 3 5 6)_x000D_
showing the above issues_x000D_
java lang IllegalArgumentException: Layout:  230   0_x000D_
_x000D_
_x000D_
As i call the tragetsequence start() the code crashes   _x000D_
_x000D_
_x000D_
_x000D_
_x000D_
  xml version  1 0  encoding  utf 8   _x000D_
 android support v4 widget SwipeRefreshLayout_x000D_
    xmlns:android  http:  schemas android com apk res android _x000D_
    android:id    id refreshStories _x000D_
    android:layout width  match parent _x000D_
    android:layout height  match parent  _x000D_
_x000D_
     ListView_x000D_
        android:id    id listview stories _x000D_
        android:layout width  match parent _x000D_
        android:layout height  match parent _x000D_
        android:divider   null _x000D_
          _x000D_
      android support v4 widget SwipeRefreshLayout _x000D_
_x000D_
_x000D_
  Inside fragment   _x000D_
_x000D_
  header   (ViewGroup) inflater inflate(R layout layout home header  lvStories  false) _x000D_
        lvStories addHeaderView(header) _x000D_
_x000D_
_x000D_
                                                                    _x000D_
  the view am passing is the header   _x000D_
_x000D_
_x000D_
  public void showTapTour(View view)  _x000D_
          TapTargetSequence t   new TapTargetSequence(getActivity())_x000D_
                     targets(_x000D_
                            TapTarget forView(view findViewById(R id button search)   Tap and make a search on go    Surf through thousands of smartphones and know everything from stories  to reviews and videos  )_x000D_
                                     cancelable(false)_x000D_
                                     drawShadow(true)_x000D_
                                     tintTarget(false) _x000D_
                            TapTarget forView(view findViewById(R id button compare)   Comparing smartphones now made easy    Compare any two smartphones head to head and then decide for yourself with the help of a very simplified layout )_x000D_
                                     cancelable(false)_x000D_
                                     drawShadow(true)_x000D_
                                     tintTarget(false)_x000D_
                    )_x000D_
                     listener(new TapTargetSequence Listener()  _x000D_
_x000D_
                         Override_x000D_
                        public void onSequenceFinish()  _x000D_
                           _x000D_
                            selectCountry() _x000D_
_x000D_
                         _x000D_
_x000D_
                         Override_x000D_
                        public void onSequenceStep(TapTarget lastTarget)  _x000D_
_x000D_
                         _x000D_
_x000D_
                         Override_x000D_
                        public void onSequenceCanceled(TapTarget lastTarget)  _x000D_
                               Boo_x000D_
                         _x000D_
                     ) _x000D_
_x000D_
        try _x000D_
        t start() _x000D_
          catch (Exception e ) _x000D_
            e printStackTrace() _x000D_
         _x000D_
     _x000D_
_x000D_
_x000D_
_x000D_
</t>
  </si>
  <si>
    <t>tanrabad-survey-17</t>
  </si>
  <si>
    <t xml:space="preserve">     in org tanrabad survey service ApiSyncInfoPreference clear
  Number of crashes: 1
  Impacted devices: 1
There s a lot more information about this crash on crashlytics com:
 https:  fabric io tanrabad android apps org tanrabad survey issues 58c95b980aeb16625b6cb2c4 (https:  fabric io tanrabad android apps org tanrabad survey issues 58c95b980aeb16625b6cb2c4)</t>
  </si>
  <si>
    <t>getodk-collect-651</t>
  </si>
  <si>
    <t>Double clicking on folder in Google Drive listing results in crash</t>
  </si>
  <si>
    <t xml:space="preserve">     Software and hardware versions _x000D_
Collect v1 4 16_x000D_
_x000D_
     Problem description_x000D_
Double clicking on a folder in  Get Blank Form  when protocol is  Google Sheets  Google Drive  results in crash _x000D_
_x000D_
     Steps to reproduce the problem_x000D_
1  Set protocol to  Google Sheets  Google Drive _x000D_
1  Select a Google account that has at least one folder in its GDrive_x000D_
1  Tap on  Get Blank Form _x000D_
1  Tap  My Drive _x000D_
1  Double tap on a folder in the drive_x000D_
_x000D_
     Expected behavior_x000D_
The app should not crash _x000D_
_x000D_
     Other information _x000D_
I think this is happening because listing a directory is a time consuming action and shouldn t be triggered again before completion  This should be fixable by disabling tapping on items in the list until the operation requested completes _x000D_
_x000D_
   _x000D_
java lang NullPointerException: Attempt to invoke virtual method  org odk collect android logic DriveListItem org odk collect android adapters FileArrayAdapter getItem(int)  on a null object reference_x000D_
E AndroidRuntime(17777):     at org odk collect android activities GoogleDriveActivity onListItemClick(GoogleDriveActivity java:371)_x000D_
E AndroidRuntime(17777):     at android app ListActivity 2 onItemClick(ListActivity java:319)_x000D_
E AndroidRuntime(17777):     at android widget AdapterView performItemClick(AdapterView java:305)_x000D_
E AndroidRuntime(17777):     at android widget AbsListView performItemClick(AbsListView java:1146)_x000D_
E AndroidRuntime(17777):     at android widget AbsListView PerformClick run(AbsListView java:3053)_x000D_
E AndroidRuntime(17777):     at android widget AbsListView 3 run(AbsListView java:3860)_x000D_
E AndroidRuntime(17777):     at android os Handler handleCallback(Handler java:739)_x000D_
E AndroidRuntime(17777):     at android os Handler dispatchMessage(Handler java:95)_x000D_
E AndroidRuntime(17777):     at android os Looper loop(Looper java:135)_x000D_
E AndroidRuntime(17777):     at android app ActivityThread main(ActivityThread java:5254)_x000D_
E AndroidRuntime(17777):     at java lang reflect Method invoke(Native Method)_x000D_
E AndroidRuntime(17777):     at java lang reflect Method invoke(Method java:372)_x000D_
E AndroidRuntime(17777):     at com android internal os ZygoteInit MethodAndArgsCaller run(ZygoteInit java:903)_x000D_
E AndroidRuntime(17777):     at com android internal os ZygoteInit main(ZygoteInit java:698)_x000D_
W ActivityManager( 4192):   Force finishing activity 1 org odk collect android  activities GoogleDriveActivity_x000D_
   _x000D_
</t>
  </si>
  <si>
    <t>evernote-android-job-153</t>
  </si>
  <si>
    <t>Intent is null in JobRescheduleService.java</t>
  </si>
  <si>
    <t xml:space="preserve">hello :)_x000D_
_x000D_
I m using this library for retry api call _x000D_
these days I checked crashlytics report then i found crash issue _x000D_
check please_x000D_
thank you_x000D_
http:  crashes to s b46cc3ffec0_x000D_
_x000D_
so I m now fork and add null check code_x000D_
_x000D_
           finally  _x000D_
_x000D_
            if(intent    null)   add null check_x000D_
                WakefulBroadcastReceiver completeWakefulIntent(intent) _x000D_
          _x000D_
</t>
  </si>
  <si>
    <t>Cloudkibo-Android-543</t>
  </si>
  <si>
    <t>Chat screen is always empty</t>
  </si>
  <si>
    <t xml:space="preserve">After fresh installation  ChatList goes and remains empty after sometime  This behavior also occures if app crashes for even once  Chatlist will then remain empty  Chat window can be opened from Contacts _x000D_
_x000D_
_x000D_
Steps:_x000D_
_x000D_
  Install latest version from play store_x000D_
  Once the application is opened _x000D_
  Open contacts  _x000D_
  send someone some message_x000D_
  Go back to chat_x000D_
  It is empty_x000D_
  Create a group_x000D_
  ChatList is still empty_x000D_
_x000D_
  3 (https:  cloud githubusercontent com assets 16760128 23976747 a6ee82da 0a0b 11e7 8d3e df0722b5a8c6 png)_x000D_
_x000D_
_x000D_
  4 1 (https:  cloud githubusercontent com assets 16760128 23976756 b3389bfc 0a0b 11e7 86fa 7a9f9bdd93b9 png)_x000D_
</t>
  </si>
  <si>
    <t>react-native-camera-react-native-camera-632</t>
  </si>
  <si>
    <t>help with buddybuild android crash</t>
  </si>
  <si>
    <t xml:space="preserve">I don t know exactly how this happens  Can someone help me in spotting where the issue could be _x000D_
_x000D_
   https:  github com lwansbrough react native camera blob master android src main java com lwansbrough RCTCamera RCTCameraViewFinder java L284_x000D_
   _x000D_
java lang RuntimeException: An error occurred while executing doInBackground()_x000D_
_x000D_
FRAME	MODULE	CRASH DETAILS_x000D_
0	android  os	_x000D_
AsyncTask java   Line 309_x000D_
AsyncTask 3 done_x000D_
1	java  util  concurrent	_x000D_
FutureTask java   Line 354_x000D_
FutureTask finishCompletion_x000D_
2	java  util  concurrent	_x000D_
FutureTask java   Line 223_x000D_
FutureTask setException_x000D_
3	java  util  concurrent	_x000D_
FutureTask java   Line 242_x000D_
FutureTask run_x000D_
4	android  os	_x000D_
AsyncTask java   Line 234_x000D_
AsyncTask SerialExecutor 1 run_x000D_
5	java  util  concurrent	_x000D_
ThreadPoolExecutor java   Line 1113_x000D_
ThreadPoolExecutor runWorker_x000D_
6	java  util  concurrent	_x000D_
ThreadPoolExecutor java   Line 588_x000D_
ThreadPoolExecutor Worker run_x000D_
7	java  lang	_x000D_
Thread java   Line 818_x000D_
Thread run_x000D_
_x000D_
_x000D_
java lang RuntimeException: getParameters failed (empty parameters)_x000D_
_x000D_
FRAME	MODULE	CRASH DETAILS_x000D_
0	android  hardware	_x000D_
Camera native getParameters_x000D_
1	android  hardware	_x000D_
Camera java   Line 1996_x000D_
Camera getParameters_x000D_
2	com  lwansbrough  RCTCamera	_x000D_
RCTCameraViewFinder java   Line 284_x000D_
RCTCameraViewFinder ReaderAsyncTask doInBackground_x000D_
3	com  lwansbrough  RCTCamera	_x000D_
RCTCameraViewFinder java   Line 269_x000D_
RCTCameraViewFinder ReaderAsyncTask doInBackground_x000D_
4	android  os	_x000D_
AsyncTask java   Line 295_x000D_
AsyncTask 2 call_x000D_
5	java  util  concurrent	_x000D_
FutureTask java   Line 237_x000D_
FutureTask run_x000D_
6	android  os	_x000D_
AsyncTask java   Line 234_x000D_
AsyncTask SerialExecutor 1 run_x000D_
7	java  util  concurrent	_x000D_
ThreadPoolExecutor java   Line 1113_x000D_
ThreadPoolExecutor runWorker_x000D_
8	java  util  concurrent	_x000D_
ThreadPoolExecutor java   Line 588_x000D_
ThreadPoolExecutor Worker run_x000D_
9	java  lang	_x000D_
Thread java   Line 818_x000D_
Thread run_x000D_
   _x000D_
_x000D_
my render function returns something like this:_x000D_
   jsx_x000D_
       View onLayout  this onLayout  style  styles camera  _x000D_
         Camera type  cameraSide     front   onBarCodeRead  this onBarCodeRead  style  styles camera  _x000D_
           View style   styles rectangleContainer  found   styles rectangleContainerFound : null   _x000D_
             Animated View style   styles rectangle  found   styles rectangleFound : null    width: rHA  height: rHA     _x000D_
               View style  found   null :  styles rectangleInner    width: riH  height: riH  top: 0  left: 0  borderTopWidth: 2  borderLeftWidth: 2       _x000D_
               View style  found   null :  styles rectangleInner    width: riH  height: riH  top: 0  right: 0  borderTopWidth: 2  borderRightWidth: 2       _x000D_
               View style  found   null :  styles rectangleInner    width: riH  height: riH  bottom: 0  left: 0  borderBottomWidth: 2  borderLeftWidth: 2       _x000D_
               View style  found   null :  styles rectangleInner    width: riH  height: riH  bottom: 0  right: 0  borderBottomWidth: 2  borderRightWidth: 2       _x000D_
               _x000D_
                found     Icon name  icon success  success xlarge   _x000D_
               _x000D_
              Animated View _x000D_
            View _x000D_
          Camera _x000D_
        View _x000D_
   _x000D_
_x000D_
    Steps to reproduce_x000D_
1  Go to a view that renders the Camera component_x000D_
2  Switch to an other view that renders the Camera component_x000D_
_x000D_
    Expected behaviour_x000D_
No crash   )_x000D_
_x000D_
    Actual behaviour_x000D_
App crashes_x000D_
_x000D_
    Environment_x000D_
    Node js version  : v6 9 10_x000D_
    React Native version  : v0 43 0 rc 2_x000D_
    React Native platform   platform version  : Android 6 0 1_x000D_
_x000D_
    react native camera_x000D_
  Version  : 0 6 0_x000D_
</t>
  </si>
  <si>
    <t>tanrabad-survey-18</t>
  </si>
  <si>
    <t xml:space="preserve">     in org tanrabad survey repository persistence SurveyCursorMapper map
  Number of crashes: 1
  Impacted devices: 1
There s a lot more information about this crash on crashlytics com:
 https:  fabric io tanrabad android apps org tanrabad survey issues 58cb4a100aeb16625b7c994f (https:  fabric io tanrabad android apps org tanrabad survey issues 58cb4a100aeb16625b7c994f)</t>
  </si>
  <si>
    <t>Freeyourgadget-Gadgetbridge-603</t>
  </si>
  <si>
    <t>GB crash on Mi Band Settings page</t>
  </si>
  <si>
    <t>Hi_x000D_
_x000D_
I just installed the new Version 0 18  Thank you for the great work done _x000D_
_x000D_
But I found two severe issues  that make Gadgetbridge crash reproducably:_x000D_
1  Going into setting    Mi Band Settings_x000D_
2  Selecting  either  Chat  or  Social Networks  (both have the same issue)_x000D_
3  clicking on  Test  cashes the app _x000D_
_x000D_
     Your wearable device is:_x000D_
Mi Band 2_x000D_
FW: 1 0 1 39   corresponding font packages_x000D_
HW: v0 1 3 2_x000D_
_x000D_
My android version is: Android 7 0_x000D_
_x000D_
My Gadgetbridge version is: 0 18 0</t>
  </si>
  <si>
    <t>BaseballCardTracker-bbct-android-412</t>
  </si>
  <si>
    <t>BaseFragmentActivityJB.java line 48</t>
  </si>
  <si>
    <t xml:space="preserve">     in android support v4 app BaseFragmentActivityJB startActivityForResult
  Number of crashes: 1
  Impacted devices: 1
There s a lot more information about this crash on crashlytics com:
 https:  fabric io codeguru apps android apps bbct android issues 58cc80ac0aeb16625b8738dc (https:  fabric io codeguru apps android apps bbct android issues 58cc80ac0aeb16625b8738dc)</t>
  </si>
  <si>
    <t>fossasia-phimpme-android-200</t>
  </si>
  <si>
    <t>App Crash in uploading image</t>
  </si>
  <si>
    <t xml:space="preserve">  Actual Behaviour  _x000D_
_x000D_
The app is crashing in the uploading section in a particular workflow _x000D_
_x000D_
  Expected Behaviour  _x000D_
_x000D_
The app should not crash _x000D_
_x000D_
  Steps to reproduce it  _x000D_
_x000D_
1  Open upload section _x000D_
2  Add images to upload _x000D_
3  After the images are added in the upload fragment  select one of the images to add filters to it _x000D_
4  DO not change anything  and click discard _x000D_
5  Click the same image again _x000D_
_x000D_
  LogCat for the issue  _x000D_
_x000D_
  screenshot from 2017 03 20 02 33 40 (https:  cloud githubusercontent com assets 13241256 24084751 47afa9da 0d16 11e7 8066 fbd24014cce2 png)_x000D_
_x000D_
  Would you like to work on the issue   _x000D_
_x000D_
Yes  I would like to work on it _x000D_
</t>
  </si>
  <si>
    <t>getodk-collect-709</t>
  </si>
  <si>
    <t>Bad submission_url causes crash on submission</t>
  </si>
  <si>
    <t xml:space="preserve">     Software and hardware versions _x000D_
Collect v1 4 16_x000D_
_x000D_
     Problem description_x000D_
Form with bad submission url crashes Collect on submission _x000D_
_x000D_
   _x000D_
AndroidRuntime: FATAL EXCEPTION: AsyncTask  3_x000D_
AndroidRuntime: Process: org odk collect android  PID: 3533_x000D_
AndroidRuntime: java lang RuntimeException: An error occurred while executing doInBackground()_x000D_
AndroidRuntime: 	at android os AsyncTask 3 done(AsyncTask java:325)_x000D_
AndroidRuntime: 	at java util concurrent FutureTask finishCompletion(FutureTask java:354)_x000D_
AndroidRuntime: 	at java util concurrent FutureTask setException(FutureTask java:223)_x000D_
AndroidRuntime: 	at java util concurrent FutureTask run(FutureTask java:242)_x000D_
AndroidRuntime: 	at java util concurrent ThreadPoolExecutor runWorker(_x000D_
AndroidRuntime: 	at java util concurrent ThreadPoolExecutor Worker run(_x000D_
AndroidRuntime: 	at java lang Thread run(Thread java:761)_x000D_
AndroidRuntime: Caused by: java lang IllegalArgumentException: Host name may not be null_x000D_
AndroidRuntime: 	at org opendatakit httpclientandroidlib util Args containsNoBlanks(Args java:81)_x000D_
AndroidRuntime: 	at org opendatakit httpclientandroidlib HttpHost  init (HttpHost java:80)_x000D_
AndroidRuntime: 	at org opendatakit httpclientandroidlib HttpHost  init (HttpHost java:135)_x000D_
AndroidRuntime: 	at org odk collect android utilities WebUtils enablePreemptiveBasicAuth(_x000D_
AndroidRuntime: 	at org odk collect android tasks InstanceUploaderTask uploadOneSubmission(_x000D_
AndroidRuntime: 	at org odk collect android tasks InstanceUploaderTask doInBackground(_x000D_
AndroidRuntime: 	at org odk collect android tasks InstanceUploaderTask doInBackground(_x000D_
AndroidRuntime: 	at android os AsyncTask 2 call(AsyncTask java:305)_x000D_
AndroidRuntime: 	at java util concurrent FutureTask run(FutureTask java:237)_x000D_
AndroidRuntime: 	    3 more_x000D_
ActivityManager:   Force finishing activity es InstanceUploaderActivity_x000D_
ActivityManager:   Force finishing activity org odk collect android  activities InstanceUploaderList_x000D_
   _x000D_
_x000D_
     Steps to reproduce the problem_x000D_
Create a form with a bad URL (e g    https: server com  instead of  https:  server com )  Fill out form and submit  To reproduce  try these forms:_x000D_
   bug xlsx (https:  github com opendatakit collect files 853365 bug xlsx)_x000D_
   bug xml txt (https:  github com opendatakit collect files 853366 bug xml txt)_x000D_
_x000D_
If you d like to make your own forms  for XLSForm (put a  submission url  header with the value below in the  settings  sheet)  For XForm  _x000D_
   _x000D_
 model _x000D_
   submission action  https: server com submission  method  form data post   _x000D_
   instance _x000D_
   _x000D_
_x000D_
     Expected behavior_x000D_
Users should be alerted as soon as possible when the submission URL is bad  _x000D_
_x000D_
     Proposed fix_x000D_
One potential fix is that  DiskSyncTask java  should check the submission url and make sure it s valid  Validity should match to what we do when saving server preferences (see  175 for more)  If a URL is valid  great  If it s not  then it should alert the user and rename it to  form xml bad  (or just delete it) _x000D_
_x000D_
</t>
  </si>
  <si>
    <t>getodk-collect-705</t>
  </si>
  <si>
    <t>Audio recording widget doesn't work with Sony Audio Recorder app</t>
  </si>
  <si>
    <t xml:space="preserve">     Software and hardware versions _x000D_
v1 4 16 113 g3f707159  Android v6 0 1  Nexus 5  Sony Audio Recorder 2 00 30_x000D_
_x000D_
     Problem description_x000D_
Crash when trying to use Sony Audio Recorder app from audio widget _x000D_
_x000D_
     Steps to reproduce the problem_x000D_
1  Open a form with an audio widget such as Widgets from the test server_x000D_
1  Launch a recording application such as Sony Audio Recorder from the  record audio  button_x000D_
1  Record audio_x000D_
1  Go back to Collect_x000D_
_x000D_
     Expected behavior_x000D_
If the audio type can t be handled or some other such problem occurs  Collect should show an appropriate error message rather than crashing _x000D_
_x000D_
     Other information _x000D_
   _x000D_
java lang RuntimeException: Failure delivering result ResultInfo who null  request 3  result  1  data Intent   dat content:  com sonymobile androidapp audiorecorder content audio 1 typ audio raw    to activity  org odk collect android org odk collect android activities FormEntryActivity : java lang UnsupportedOperationException: You cannot use this method_x000D_
	at android app ActivityThread deliverResults(ActivityThread java:3699)_x000D_
	at android app ActivityThread handleSendResult(ActivityThread java:3742)_x000D_
	at android app ActivityThread  wrap16(ActivityThread java)_x000D_
	at android app ActivityThread H handleMessage(ActivityThread java:1393)_x000D_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UnsupportedOperationException: You cannot use this method_x000D_
	at android database DatabaseUtils readExceptionFromParcel(DatabaseUtils java:167)_x000D_
	at android database DatabaseUtils readExceptionFromParcel(DatabaseUtils java:135)_x000D_
	at android content ContentProviderProxy delete(ContentProviderNative java:544)_x000D_
	at android content ContentResolver delete(ContentResolver java:1327)_x000D_
	at org odk collect android activities FormEntryActivity onActivityResult(FormEntryActivity java:713)_x000D_
	at android app Activity dispatchActivityResult(Activity java:6456)_x000D_
	at android app ActivityThread deliverResults(ActivityThread java:3695)_x000D_
	    9 more_x000D_
   Force finishing activity org odk collect android  activities FormEntryActivity_x000D_
   </t>
  </si>
  <si>
    <t>fossasia-phimpme-android-183</t>
  </si>
  <si>
    <t>Back button is not working properly</t>
  </si>
  <si>
    <t xml:space="preserve">  Actual Behaviour  _x000D_
_x000D_
If we click back button in gallery activity then it shows dialog box but in other activity on pressing back button app closed _x000D_
_x000D_
  Expected Behaviour  _x000D_
_x000D_
it should not happen _x000D_
_x000D_
  Steps to reproduce it  _x000D_
_x000D_
Add steps to reproduce bugs or add information on the place where the feature should be implemented  Add links to a sample deployment or code _x000D_
_x000D_
  LogCat for the issue  _x000D_
_x000D_
Provide logs for the crash here_x000D_
_x000D_
  Screenshots of the issue  _x000D_
_x000D_
Where ever possible attach a screenshot of the issue _x000D_
_x000D_
  Would you like to work on the issue   _x000D_
_x000D_
yes_x000D_
</t>
  </si>
  <si>
    <t>QuadFlask-colorpicker-74</t>
  </si>
  <si>
    <t>"Squash listener exceptions" - wtf?</t>
  </si>
  <si>
    <t xml:space="preserve">In ColorPickerView s callOnColorChangedListeners method:_x000D_
_x000D_
 				try  _x000D_
					listener onColorChanged(newColor) _x000D_
				  catch (Exception e)  _x000D_
					  Squash individual listener exceptions_x000D_
				 _x000D_
 _x000D_
_x000D_
Why do you do this  This makes it a pain to use your library because you just hide the exceptions  If I have an exception I want my app to crash so I can find the cause  _x000D_
I have found other empty catches in this library but until it catches exceptions in the library only it doesn t bother me that much  But this one is  funky  </t>
  </si>
  <si>
    <t>fossasia-phimpme-android-217</t>
  </si>
  <si>
    <t>issue with uploading images</t>
  </si>
  <si>
    <t xml:space="preserve">  Actual Behaviour  _x000D_
_x000D_
If an image is added for upload and then it is deleted from gallery  image get deleted from upload section but text remain there _x000D_
_x000D_
  Expected Behaviour  _x000D_
_x000D_
State here what the feature should enable the user to do _x000D_
_x000D_
  Steps to reproduce it  _x000D_
_x000D_
Add steps to reproduce bugs or add information on the place where the feature should be implemented  Add links to a sample deployment or code _x000D_
_x000D_
  LogCat for the issue  _x000D_
_x000D_
Provide logs for the crash here_x000D_
_x000D_
_x000D_
Where ever possible attach a screenshot of the issue _x000D_
  screenshot 2017 03 21 05 03 28 (https:  cloud githubusercontent com assets 14003244 24126524 59c6764c 0df4 11e7 8a6e 5f665277f54c png)_x000D_
_x000D_
  Would you like to work on the issue   _x000D_
_x000D_
yes_x000D_
</t>
  </si>
  <si>
    <t>commons-app-apps-android-commons-443</t>
  </si>
  <si>
    <t>Crash at login (pre-release)</t>
  </si>
  <si>
    <t xml:space="preserve">Logging in to the pre release (current master) version crashes on all APIs that I ve tried (23 and 25 so far)  Trying to figure out what changes we made that broke it _x000D_
_x000D_
   _x000D_
03 20 18:13:03 129: E ACRA(8560): ACRA caught a RuntimeException for fr free nrw commons_x000D_
03 20 18:13:03 129: E ACRA(8560): java lang RuntimeException: An error occurred while executing doInBackground()_x000D_
03 20 18:13:03 129: E ACRA(8560): 	at android os AsyncTask 3 done(AsyncTask java:309)_x000D_
03 20 18:13:03 129: E ACRA(8560): 	at java util concurrent FutureTask finishCompletion(FutureTask java:354)_x000D_
03 20 18:13:03 129: E ACRA(8560): 	at java util concurrent FutureTask setException(FutureTask java:223)_x000D_
03 20 18:13:03 129: E ACRA(8560): 	at java util concurrent FutureTask run(FutureTask java:242)_x000D_
03 20 18:13:03 129: E ACRA(8560): 	at android os AsyncTask SerialExecutor 1 run(AsyncTask java:234)_x000D_
03 20 18:13:03 129: E ACRA(8560): 	at java util concurrent ThreadPoolExecutor runWorker(ThreadPoolExecutor java:1113)_x000D_
03 20 18:13:03 129: E ACRA(8560): 	at java util concurrent ThreadPoolExecutor Worker run(ThreadPoolExecutor java:588)_x000D_
03 20 18:13:03 129: E ACRA(8560): 	at java lang Thread run(Thread java:818)_x000D_
03 20 18:13:03 129: E ACRA(8560): Caused by: java lang IllegalArgumentException: account is null_x000D_
03 20 18:13:03 129: E ACRA(8560): 	at android accounts AccountManager blockingGetAuthToken(AccountManager java:1189)_x000D_
03 20 18:13:03 129: E ACRA(8560): 	at fr free nrw commons auth AuthenticatedActivity GetAuthCookieTask doInBackground(AuthenticatedActivity java:55)_x000D_
03 20 18:13:03 129: E ACRA(8560): 	at fr free nrw commons auth AuthenticatedActivity GetAuthCookieTask doInBackground(AuthenticatedActivity java:32)_x000D_
03 20 18:13:03 129: E ACRA(8560): 	at android os AsyncTask 2 call(AsyncTask java:295)_x000D_
03 20 18:13:03 129: E ACRA(8560): 	at java util concurrent FutureTask run(FutureTask java:237)_x000D_
03 20 18:13:03 129: E ACRA(8560): 	    4 more_x000D_
03 20 18:13:03 166: E ACRA(8560): fr free nrw commons fatal error : An error occurred while executing doInBackground()_x000D_
03 20 18:13:03 166: E ACRA(8560): java lang RuntimeException: An error occurred while executing doInBackground()_x000D_
03 20 18:13:03 166: E ACRA(8560): 	at android os AsyncTask 3 done(AsyncTask java:309)_x000D_
03 20 18:13:03 166: E ACRA(8560): 	at java util concurrent FutureTask finishCompletion(FutureTask java:354)_x000D_
03 20 18:13:03 166: E ACRA(8560): 	at java util concurrent FutureTask setException(FutureTask java:223)_x000D_
03 20 18:13:03 166: E ACRA(8560): 	at java util concurrent FutureTask run(FutureTask java:242)_x000D_
03 20 18:13:03 166: E ACRA(8560): 	at android os AsyncTask SerialExecutor 1 run(AsyncTask java:234)_x000D_
03 20 18:13:03 166: E ACRA(8560): 	at java util concurrent ThreadPoolExecutor runWorker(ThreadPoolExecutor java:1113)_x000D_
03 20 18:13:03 166: E ACRA(8560): 	at java util concurrent ThreadPoolExecutor Worker run(ThreadPoolExecutor java:588)_x000D_
03 20 18:13:03 166: E ACRA(8560): 	at java lang Thread run(Thread java:818)_x000D_
03 20 18:13:03 166: E ACRA(8560): Caused by: java lang IllegalArgumentException: account is null_x000D_
03 20 18:13:03 166: E ACRA(8560): 	at android accounts AccountManager blockingGetAuthToken(AccountManager java:1189)_x000D_
03 20 18:13:03 166: E ACRA(8560): 	at fr free nrw commons auth AuthenticatedActivity GetAuthCookieTask doInBackground(AuthenticatedActivity java:55)_x000D_
03 20 18:13:03 166: E ACRA(8560): 	at fr free nrw commons auth AuthenticatedActivity GetAuthCookieTask doInBackground(AuthenticatedActivity java:32)_x000D_
03 20 18:13:03 166: E ACRA(8560): 	at android os AsyncTask 2 call(AsyncTask java:295)_x000D_
03 20 18:13:03 166: E ACRA(8560): 	at java util concurrent FutureTask run(FutureTask java:237)_x000D_
03 20 18:13:03 166: E ACRA(8560): 	    4 more_x000D_
_x000D_
   </t>
  </si>
  <si>
    <t>Cloudkibo-Android-555</t>
  </si>
  <si>
    <t>App crashes During the first backup</t>
  </si>
  <si>
    <t xml:space="preserve">Whenever we try to back up for the first time  after fresh installation  app crashes with following _x000D_
_x000D_
  screenshot 20170320 065831 (https:  cloud githubusercontent com assets 16760128 24086986 aa2b93a2 0d3a 11e7 9ff9 be290cbe92a2 png)_x000D_
</t>
  </si>
  <si>
    <t>mauron85-cordova-plugin-background-geolocation-276</t>
  </si>
  <si>
    <t>NullPointerException: onTaskRemoved (LocationService.java:199)</t>
  </si>
  <si>
    <t>Exception reported on google play  No feedback from the user unfortunately  If I manage to reproduce it or get more info I ll update the issue _x000D_
_x000D_
   Your Environment_x000D_
      Include as many relevant details about the environment you experienced the bug in    _x000D_
  Plugin version: 2 2 5_x000D_
  Platform: Android_x000D_
  OS version: 5 0 2_x000D_
  Device manufacturer and model: Sony C6916_x000D_
  Cordova version ( cordova  v ): 6 4 0_x000D_
  Cordova platform version ( cordova platform ls ): 6 0 0_x000D_
  Plugin configuration options: _x000D_
  Link to your project:_x000D_
_x000D_
   Debug logs_x000D_
     Relevant parts from printAndroidLogs or printIosLogs _x000D_
More info in README md section Debugging _x000D_
If you re reporting app crash also provide output of  adb logcat     _x000D_
_x000D_
_x000D_
  Exception java lang RuntimeException: Unable to start service com marianhello bgloc LocationService 3fef4865 with Intent   act android intent action MAIN cat  android intent category LAUNCHER  flg 0x10200000  : java lang NullPointerException: Attempt to invoke virtual method  java lang Boolean com marianhello bgloc Config getStopOnTerminate()  on a null object reference  _x000D_
_x000D_
Caused by java lang NullPointerException: Attempt to invoke virtual method  java lang Boolean com marianhello bgloc Config getStopOnTerminate()  on a null object reference_x000D_
com marianhello bgloc LocationService onTaskRemoved (LocationService java:199)_x000D_
android app ActivityThread handleServiceArgs (ActivityThread java:2920)_x000D_
android app ActivityThread access 2100 (ActivityThread java:149)_x000D_
android app ActivityThread H handleMessage (ActivityThread java:1422)_x000D_
android os Handler dispatchMessage (Handler java:102)_x000D_
android os Looper loop (Looper java:211)_x000D_
android app ActivityThread main (ActivityThread java:5317)_x000D_
java lang reflect Method invoke (Method java)_x000D_
java lang reflect Method invoke (Method java:372)_x000D_
com android internal os ZygoteInit MethodAndArgsCaller run (ZygoteInit java:1016)_x000D_
com android internal os ZygoteInit main (ZygoteInit java:811)</t>
  </si>
  <si>
    <t>cgeo-cgeo-6419</t>
  </si>
  <si>
    <t>App crashs while trying to move a stored cache to another list</t>
  </si>
  <si>
    <t xml:space="preserve">      Detailed steps causing the problem:_x000D_
  Select one stored cache_x000D_
  Ask to move to another list_x000D_
_x000D_
      Actual behavior after performing these steps:_x000D_
The app crashes_x000D_
_x000D_
_x000D_
      Expected behavior after performing these steps:_x000D_
The cache should be moved to the other list_x000D_
_x000D_
_x000D_
      Version of c:geo used:_x000D_
 2017 03 19 _x000D_
_x000D_
_x000D_
      Is the problem reproducible for you _x000D_
Yes_x000D_
_x000D_
_x000D_
      System information:_x000D_
   _x000D_
Device: XT1069 (titan retbr dstv  motorola)_x000D_
Android version: 6 0_x000D_
Android build: MPB24 65 34 3_x000D_
Cgeo version: 2017 03 19_x000D_
Google Play services: enabled   10 2 98 (436 146496160)_x000D_
Low power mode: inactive_x000D_
Compass capabilities: yes_x000D_
Rotation vector sensor: present_x000D_
Orientation sensor: present_x000D_
Magnetometer   Accelerometer sensor: present_x000D_
Direction sensor used: rotation vector_x000D_
Hide own found: false_x000D_
Map strategy: detailed_x000D_
HW acceleration: enabled (default state)_x000D_
System language: pt BR (cgeo forced to English)_x000D_
System date format: dd MM yy_x000D_
Debug mode active: no_x000D_
Fine location permission: granted_x000D_
Write external storage permission: granted_x000D_
Geocaching sites enabled:_x000D_
   geocaching com: Logged in (Login OK)   BASIC_x000D_
Geocaching com date format: dd MM yyyy_x000D_
Installed cgeo plugins:  none_x000D_
   _x000D_
_x000D_
_x000D_
      Other comments and remarks:_x000D_
From logcat:_x000D_
_x000D_
   _x000D_
03 21 09:07:36 814 12037 17477 E AndroidRuntime: FATAL EXCEPTION: AsyncTask  3_x000D_
03 21 09:07:36 814 12037 17477 E AndroidRuntime: Process: cgeo geocaching  PID: 12037_x000D_
03 21 09:07:36 814 12037 17477 E AndroidRuntime: java lang RuntimeException: An error occurred while executing doInBackground()_x000D_
03 21 09:07:36 814 12037 17477 E AndroidRuntime:        at android os AsyncTask 3 done(AsyncTask java:309)_x000D_
03 21 09:07:36 814 12037 17477 E AndroidRuntime:        at java util concurrent FutureTask finishCompletion(FutureTask java:354)_x000D_
03 21 09:07:36 814 12037 17477 E AndroidRuntime:        at java util concurrent FutureTask setException(FutureTask java:223)_x000D_
03 21 09:07:36 814 12037 17477 E AndroidRuntime:        at java util concurrent FutureTask run(FutureTask java:242)_x000D_
03 21 09:07:36 814 12037 17477 E AndroidRuntime:        at android os AsyncTask SerialExecutor 1 run(AsyncTask java:234)_x000D_
03 21 09:07:36 814 12037 17477 E AndroidRuntime:        at java util concurrent ThreadPoolExecutor runWorker(ThreadPoolExecutor java:1113)_x000D_
03 21 09:07:36 814 12037 17477 E AndroidRuntime:        at java util concurrent ThreadPoolExecutor Worker run(ThreadPoolExecutor java:588)_x000D_
03 21 09:07:36 814 12037 17477 E AndroidRuntime:        at java lang Thread run(Thread java:818)_x000D_
03 21 09:07:36 814 12037 17477 E AndroidRuntime: Caused by: java lang UnsupportedOperationException_x000D_
03 21 09:07:36 814 12037 17477 E AndroidRuntime:        at java util Collections SingletonSet 1 remove(Collections java:260)_x000D_
03 21 09:07:36 814 12037 17477 E AndroidRuntime:        at java util AbstractCollection remove(AbstractCollection java:229)_x000D_
03 21 09:07:36 814 12037 17477 E AndroidRuntime:        at cgeo geocaching storage DataStore moveToList(DataStore java:2939)_x000D_
03 21 09:07:36 814 12037 17477 E AndroidRuntime:        at cgeo geocaching command MoveToListCommand doCommand(MoveToListCommand java:47)_x000D_
03 21 09:07:36 814 12037 17477 E AndroidRuntime:        at cgeo geocaching CacheListActivity 14 doCommand(CacheListActivity java:965)_x000D_
03 21 09:07:36 814 12037 17477 E AndroidRuntime:        at cgeo geocaching command AbstractCommand ActionAsyncTask doInBackgroundInternal(AbstractCommand java:110)_x000D_
03 21 09:07:36 814 12037 17477 E AndroidRuntime:        at cgeo geocaching command AbstractCommand ActionAsyncTask doInBackgroundInternal(AbstractCommand java:103)_x000D_
03 21 09:07:36 814 12037 17477 E AndroidRuntime:        at cgeo geocaching utils AsyncTaskWithProgress doInBackground(AsyncTaskWithProgress java:104)_x000D_
03 21 09:07:36 814 12037 17477 E AndroidRuntime:        at android os AsyncTask 2 call(AsyncTask java:295)_x000D_
03 21 09:07:36 814 12037 17477 E AndroidRuntime:        at java util concurrent FutureTask run(FutureTask java:237)_x000D_
03 21 09:07:36 814 12037 17477 E AndroidRuntime:            4 more_x000D_
03 21 09:07:36 830  1783  4144 W ActivityManager:   Force finishing activity cgeo geocaching  CacheListActivity_x000D_
   _x000D_
_x000D_
   _x000D_
03 21 09:07:37 350 12037 12037 E WindowManager: android view WindowLeaked: Activity cgeo geocaching CacheListActivity has leaked window com android internal policy PhoneWindow DecorView 3dbce2b V E       R     ID 0 0 684 192  that was originally added here_x000D_
03 21 09:07:37 350 12037 12037 E WindowManager:         at android view ViewRootImpl  init (ViewRootImpl java:375)_x000D_
03 21 09:07:37 350 12037 12037 E WindowManager:         at android view WindowManagerGlobal addView(WindowManagerGlobal java:299)_x000D_
03 21 09:07:37 350 12037 12037 E WindowManager:         at android view WindowManagerImpl addView(WindowManagerImpl java:85)_x000D_
03 21 09:07:37 350 12037 12037 E WindowManager:         at android app Dialog show(Dialog java:319)_x000D_
03 21 09:07:37 350 12037 12037 E WindowManager:         at cgeo geocaching activity Progress show(Progress java:45)_x000D_
03 21 09:07:37 350 12037 12037 E WindowManager:         at cgeo geocaching utils AsyncTaskWithProgress onPreExecute(AsyncTaskWithProgress java:67)_x000D_
03 21 09:07:37 350 12037 12037 E WindowManager:         at android os AsyncTask executeOnExecutor(AsyncTask java:604)_x000D_
03 21 09:07:37 350 12037 12037 E WindowManager:         at android os AsyncTask execute(AsyncTask java:551)_x000D_
03 21 09:07:37 350 12037 12037 E WindowManager:         at cgeo geocaching command AbstractCommand execute(AbstractCommand java:96)_x000D_
03 21 09:07:37 350 12037 12037 E WindowManager:         at cgeo geocaching command MoveToListCommand access 101(MoveToListCommand java:16)_x000D_
03 21 09:07:37 350 12037 12037 E WindowManager:         at cgeo geocaching command MoveToListCommand 1 call(MoveToListCommand java:39)_x000D_
03 21 09:07:37 350 12037 12037 E WindowManager:         at cgeo geocaching command MoveToListCommand 1 call(MoveToListCommand java:29)_x000D_
03 21 09:07:37 350 12037 12037 E WindowManager:         at cgeo geocaching list StoredList UserInterface 3 call(StoredList java:229)_x000D_
03 21 09:07:37 350 12037 12037 E WindowManager:         at cgeo geocaching list StoredList UserInterface 3 call(StoredList java:215)_x000D_
03 21 09:07:37 350 12037 12037 E WindowManager:         at cgeo geocaching list StoredList UserInterface 5 call(StoredList java:275)_x000D_
03 21 09:07:37 350 12037 12037 E WindowManager:         at cgeo geocaching list StoredList UserInterface 5 call(StoredList java:268)_x000D_
03 21 09:07:37 350 12037 12037 E WindowManager:         at cgeo geocaching ui dialog Dialogs 2 onClick(Dialogs java:404)_x000D_
03 21 09:07:37 350 12037 12037 E WindowManager:         at com android internal app AlertController ButtonHandler handleMessage(AlertController java:163)_x000D_
03 21 09:07:37 350 12037 12037 E WindowManager:         at android os Handler dispatchMessage(Handler java:102)_x000D_
03 21 09:07:37 350 12037 12037 E WindowManager:         at android os Looper loop(Looper java:148)_x000D_
03 21 09:07:37 350 12037 12037 E WindowManager:         at android app ActivityThread main(ActivityThread java:5443)_x000D_
03 21 09:07:37 350 12037 12037 E WindowManager:         at java lang reflect Method invoke(Native Method)_x000D_
03 21 09:07:37 350 12037 12037 E WindowManager:         at com android internal os ZygoteInit MethodAndArgsCaller run(ZygoteInit java:728)_x000D_
03 21 09:07:37 350 12037 12037 E WindowManager:         at com android internal os ZygoteInit main(ZygoteInit java:618)_x000D_
03 21 09:07:37 389  1783  2377 W WindowManager: Failed looking up window_x000D_
03 21 09:07:37 389  1783  2377 W WindowManager: java lang IllegalArgumentException: Requested window android os BinderProxy cfad71f does not exist_x000D_
03 21 09:07:37 389  1783  2377 W WindowManager:         at com android server wm WindowManagerService windowForClientLocked(WindowManagerService java:8803)_x000D_
03 21 09:07:37 389  1783  2377 W WindowManager:         at com android server wm WindowManagerService windowForClientLocked(WindowManagerService java:8794)_x000D_
03 21 09:07:37 389  1783  2377 W WindowManager:         at com android server wm WindowManagerService removeWindow(WindowManagerService java:2740)_x000D_
03 21 09:07:37 389  1783  2377 W WindowManager:         at com android server wm Session remove(Session java:187)_x000D_
03 21 09:07:37 389  1783  2377 W WindowManager:         at android view IWindowSession Stub onTransact(IWindowSession java:242)_x000D_
03 21 09:07:37 389  1783  2377 W WindowManager:         at com android server wm Session onTransact(Session java:130)_x000D_
03 21 09:07:37 389  1783  2377 W WindowManager:         at android os Binder execTransact(Binder java:453)_x000D_
   _x000D_
</t>
  </si>
  <si>
    <t>google-ExoPlayer-2592</t>
  </si>
  <si>
    <t>Can not catch all ExoPlayer errors leading to app crash</t>
  </si>
  <si>
    <t xml:space="preserve">Hello _x000D_
_x000D_
I described problem  here (http:  stackoverflow com questions 42948036 how to catch all errors for exoplayer) _x000D_
_x000D_
Problem is that application crash on some (not all  some of them I can catch) random errors mainly with DRM  but I am not able to catch them with set listener  Even after I set listener  app still sometime crash  if there is bigger error  _x000D_
_x000D_
Last crash I could observe  was this:_x000D_
Caused by: com google android exoplayer2 drm DrmSession DrmSessionException: com google android exoplayer2 upstream HttpDataSource HttpDataSourceException: Unable to connect to https:     _x000D_
_x000D_
Please help me to catch all errors to avoid app crashing _x000D_
_x000D_
Thank you _x000D_
</t>
  </si>
  <si>
    <t>commons-app-apps-android-commons-457</t>
  </si>
  <si>
    <t>Crash when selecting camera</t>
  </si>
  <si>
    <t xml:space="preserve">This happens 100  of the time when I select the camera in my real device (Samsung Galaxy S7  API 24)  Not sure when this crash was introduced  as I haven t tested the camera function for the past 3 months _x000D_
_x000D_
   _x000D_
03 22 17:07:31 466: E ACRA(740): ACRA caught a FileUriExposedException for fr free nrw commons_x000D_
03 22 17:07:31 466: E ACRA(740): 	at fr free nrw commons contributions ContributionController startCameraCapture(ContributionController java:60)_x000D_
03 22 17:07:31 466: E ACRA(740): 	at fr free nrw commons contributions ContributionsListFragment onOptionsItemSelected(ContributionsListFragment java:133)_x000D_
03 22 17:07:31 535: E ACRA(740): fr free nrw commons fatal error : file:   storage emulated 0 Commons images 1490166451455 jpg exposed beyond app through ClipData Item getUri()_x000D_
03 22 17:07:31 535: E ACRA(740): 	at fr free nrw commons contributions ContributionController startCameraCapture(ContributionController java:60)_x000D_
03 22 17:07:31 535: E ACRA(740): 	at fr free nrw commons contributions ContributionsListFragment onOptionsItemSelected(ContributionsListFragment java:133)_x000D_
_x000D_
   </t>
  </si>
  <si>
    <t>grawin-ParkingReminder-2</t>
  </si>
  <si>
    <t>Long term timer usage can fail</t>
  </si>
  <si>
    <t xml:space="preserve">Using the parking timer function for longer than several hours can reportedly fail  Unfortunately I have no crash error reports on this behavior happening nor device OS info _x000D_
_x000D_
My theory is that when the phone goes into a low power state after X amount of time w o use then the timer gets messed up _x000D_
_x000D_
Should probably change the timer to use some Android system provided alarm mechanism that will NOT get messed up in a low power state </t>
  </si>
  <si>
    <t>projectwife-mtesitoo-android-75</t>
  </si>
  <si>
    <t>app crashes when trying to upload a profile picture</t>
  </si>
  <si>
    <t>I created a new account through the app  and now log in to try and upload a profile picture _x000D_
I choose to select an image from the gallery _x000D_
When I click on the image to select it  the app crashes  saying  Unfortunately  Tesitoo has stopped  _x000D_
_x000D_
It also crashes with the same message when I choose  Add an image  _x000D_
_x000D_
Device: Moto G3  Android 5 1 1</t>
  </si>
  <si>
    <t>google-ExoPlayer-2604</t>
  </si>
  <si>
    <t>Softcrash on invalid ID3 validation</t>
  </si>
  <si>
    <t xml:space="preserve">    Issue description_x000D_
ExoPlayer 2 x isn t supporting corrupt ID3 tags while the rest of the audio is still playable  _x000D_
_x000D_
    Reproduction steps_x000D_
1) In the demo app  add a new media source linking to  http:  stream audiobooks com STREAM SABLIB9784075 mp3 AudTTL 1490460462 AudSig 578c4100af873ae93e2dd69ec36ccf3a rs 68 ri 2000000 ib 13 fs 1544000 _x000D_
2) (attempted) playing the audio_x000D_
3) ExoPlayer refuses to play content due to a crash while validating the ID3v2 4 data_x000D_
   _x000D_
com google android exoplayer2 demo E LoadTask: Unexpected exception loading stream_x000D_
  java lang IllegalStateException: Top bit not zero:  388812344_x000D_
    at com google android exoplayer2 util ParsableByteArray readUnsignedIntToInt(ParsableByteArray java:370)_x000D_
    at com google android exoplayer2 metadata id3 Id3Decoder validateV4Frames(Id3Decoder java:224)_x000D_
    at com google android exoplayer2 metadata id3 Id3Decoder decode(Id3Decoder java:134)_x000D_
    at com google android exoplayer2 extractor mp3 Mp3Extractor peekId3Data(Mp3Extractor java:324)_x000D_
    at com google android exoplayer2 extractor mp3 Mp3Extractor synchronize(Mp3Extractor java:242)_x000D_
    at com google android exoplayer2 extractor mp3 Mp3Extractor sniff(Mp3Extractor java:147)_x000D_
    at com google android exoplayer2 source ExtractorMediaPeriod ExtractorHolder selectExtractor(ExtractorMediaPeriod java:701)_x000D_
    at com google android exoplayer2 source ExtractorMediaPeriod ExtractingLoadable load(ExtractorMediaPeriod java:636)_x000D_
    at com google android exoplayer2 upstream Loader LoadTask run(Loader java:295)_x000D_
    at java util concurrent ThreadPoolExecutor runWorker(ThreadPoolExecutor java:1112)_x000D_
    at java util concurrent ThreadPoolExecutor Worker run(ThreadPoolExecutor java:587)_x000D_
    at java lang Thread run(Thread java:818)_x000D_
com google android exoplayer2 demo E EventLogger: internalError  0 55  loadError _x000D_
  com google android exoplayer2 upstream Loader UnexpectedLoaderException: Unexpected IllegalStateException: Top bit not zero:  388812344_x000D_
    at com google android exoplayer2 upstream Loader LoadTask run(Loader java:317)_x000D_
    at java util concurrent ThreadPoolExecutor runWorker(ThreadPoolExecutor java:1112)_x000D_
    at java util concurrent ThreadPoolExecutor Worker run(ThreadPoolExecutor java:587)_x000D_
    at java lang Thread run(Thread java:818)_x000D_
  Caused by: java lang IllegalStateException: Top bit not zero:  388812344_x000D_
    at com google android exoplayer2 util ParsableByteArray readUnsignedIntToInt(ParsableByteArray java:370)_x000D_
    at com google android exoplayer2 metadata id3 Id3Decoder validateV4Frames(Id3Decoder java:224)_x000D_
    at com google android exoplayer2 metadata id3 Id3Decoder decode(Id3Decoder java:134)_x000D_
    at com google android exoplayer2 extractor mp3 Mp3Extractor peekId3Data(Mp3Extractor java:324)_x000D_
    at com google android exoplayer2 extractor mp3 Mp3Extractor synchronize(Mp3Extractor java:242)_x000D_
    at com google android exoplayer2 extractor mp3 Mp3Extractor sniff(Mp3Extractor java:147)_x000D_
    at com google android exoplayer2 source ExtractorMediaPeriod ExtractorHolder selectExtractor(ExtractorMediaPeriod java:701)_x000D_
    at com google android exoplayer2 source ExtractorMediaPeriod ExtractingLoadable load(ExtractorMediaPeriod java:636)_x000D_
    at com google android exoplayer2 upstream Loader LoadTask run(Loader java:295)_x000D_
   _x000D_
_x000D_
Returned ID3 data (bytes):_x000D_
  73 68 51 4 0 0 0 0 1 105 84 82 67  12  84 70 105 108  97 119  1  28  88 26  96 56 16 16 115 9  106 42  121 61 0 42 126 121 5 105  111  107 20 49 13  115 44 64  67  88 106  102 66  60  69  44  98 99  19  17  11 127  93  4  1  47  24  3  73 127  89  77  89  39  87 127  1  11  81  21  123  128 120  20 69 111 18  54 13 40  39 79 0 50  45 9 18  86 79 57 81 90  82 111  82  81 75  57  102 21 69 109 98  22 33 40  118 44 52 69 53 91  102  43 21 26  106  84 84  64 22 31 60 89 63  4 127  1  13  126 100 57 18 41 71 86 123 61 15 127 10 64 2 46 52 0 0 0 29  89 29 39  33 17 55 63  5  39  31  67  76 67 44  127 67 36 59 6  25  71 118  117 46 115  73  71 26 15 11 122 63  64 58 19  126 72 98 43  45  124  95 41  90  12 61  98  5  68 56  8 96 82 42 51  105  109 95  30 6  73  104  126 112  5  89 22 31 20  3 76 94  88 42 37 20 124 107 84  58  128 125  38  66_x000D_
_x000D_
    Proposed fix_x000D_
id3Decoder decode(   )   ln 131_x000D_
   _x000D_
boolean unsignedIntFrameSizeHack   false _x000D_
if (id3Header majorVersion    4)  _x000D_
   try  _x000D_
      if ( validateV4Frames(id3Data  false))  _x000D_
         if (validateV4Frames(id3Data  true))  _x000D_
            unsignedIntFrameSizeHack   true _x000D_
           else  _x000D_
            Log w(TAG   Failed to validate V4 ID3 tag ) _x000D_
            return null _x000D_
          _x000D_
       _x000D_
     catch (Exception e)     ADDED CATCH CASE_x000D_
      Log w(TAG   Failed to validate V4 ID3 tag ) _x000D_
      return null _x000D_
    _x000D_
 _x000D_
   _x000D_
Audio plays successfully with the proposed fix  ID3 tag is scrambled  attempt to salvage anything wouldn t work anyway  Audiobooks is also being notified of their corrupt book  but the problem could happen with others too (outside of audiobooks  books) _x000D_
_x000D_
    Version of ExoPlayer being used_x000D_
v2 2 0 and v2 3 0_x000D_
_x000D_
    Device(s) and version(s) of Android being used_x000D_
  Custom device using Android v5 1 (Api 22)_x000D_
  Samsung Galaxy S7 using Android v6 0 1 (Api 23)_x000D_
Issue is reproducible on any device used_x000D_
_x000D_
    A full bug report captured from the device_x000D_
Issue is linked to known corrupt ID3 tags  device report not needed _x000D_
</t>
  </si>
  <si>
    <t>chat-sdk-chat-sdk-android-51</t>
  </si>
  <si>
    <t>Sending two image messages quickly causes crash</t>
  </si>
  <si>
    <t xml:space="preserve">The SuperToast service is crashing the app if two image messages are sent quickly  _x000D_
The crash happens in  ChatSDKUiHelper showProgressCard(String text)  at the bolded line shown below  _x000D_
_x000D_
 pre _x000D_
_x000D_
    public void showProgressCard(String text) _x000D_
_x000D_
        if (colleted())_x000D_
            return _x000D_
_x000D_
        if (context get() instanceof Activity)  _x000D_
_x000D_
            initCardToast() _x000D_
_x000D_
            View decorView   ((Activity) context get()) getWindow() getDecorView() findViewById(android R id content) _x000D_
            ViewGroup viewGroup   superCardToastProgress getViewGroup() _x000D_
_x000D_
            if (viewGroup  null    superCardToastProgress getView()   null    viewGroup findViewById(superCardToastProgress getView() getId())    null)_x000D_
                viewGroup removeView(superCardToastProgress getView()) _x000D_
_x000D_
            decorView findViewById(R id card container) bringToFront() _x000D_
_x000D_
            superCardToastProgress setText(text) _x000D_
_x000D_
            if ( superCardToastProgress isShowing())_x000D_
                b  superCardToastProgress show()    b _x000D_
_x000D_
         _x000D_
     _x000D_
  pre _x000D_
_x000D_
The stack trace is the following _x000D_
   _x000D_
                                                                                            beginning of crash_x000D_
03 24 17:51:56 147 12215 12215 com braunster androidchatsdk app E AndroidRuntime: FATAL EXCEPTION: main_x000D_
                                                                                  Process: com braunster androidchatsdk app  PID: 12215_x000D_
                                                                                  java lang RuntimeException: Failure delivering result ResultInfo who null  request 6809  result  1  data Intent   (has extras)    to activity  com braunster androidchatsdk app com braunster chatsdk activities ChatSDKChatActivity : java lang IllegalArgumentException: Cannot add a null child view to a ViewGroup_x000D_
                                                                                      at android app ActivityThread deliverResults(ActivityThread java:4089)_x000D_
                                                                                      at android app ActivityThread handleSendResult(ActivityThread java:4132)_x000D_
                                                                                      at android app ActivityThread  wrap20(ActivityThread java)_x000D_
                                                                                      at android app ActivityThread H handleMessage(ActivityThread java:1533)_x000D_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Caused by: java lang IllegalArgumentException: Cannot add a null child view to a ViewGroup_x000D_
                                                                                      at android view ViewGroup addView(ViewGroup java:4189)_x000D_
                                                                                      at android view ViewGroup addView(ViewGroup java:4171)_x000D_
                                                                                      at com github johnpersano supertoasts SuperCardToast show(SuperCardToast java:348)_x000D_
                                                                                      at com braunster chatsdk Utils helper ChatSDKUiHelper showProgressCard(ChatSDKUiHelper java:388)_x000D_
                                                                                      at com braunster chatsdk Utils helper ChatSDKChatHelper sendingMessageToast(ChatSDKChatHelper java:486)_x000D_
                                                                                      at com braunster chatsdk Utils helper ChatSDKChatHelper sendImageMessage(ChatSDKChatHelper java:641)_x000D_
                                                                                      at com braunster chatsdk Utils helper ChatSDKChatHelper processCroppedPhoto(ChatSDKChatHelper java:420)_x000D_
                                                                                      at com braunster chatsdk Utils helper ChatSDKChatHelper handleResult(ChatSDKChatHelper java:373)_x000D_
                                                                                      at com braunster chatsdk activities abstracted ChatSDKAbstractChatActivity onActivityResult(ChatSDKAbstractChatActivity java:566)_x000D_
                                                                                      at android app Activity dispatchActivityResult(Activity java:6932)_x000D_
                                                                                      at android app ActivityThread deliverResults(ActivityThread java:4085)_x000D_
                                                                                      at android app ActivityThread handleSendResult(ActivityThread java:4132) _x000D_
                                                                                      at android app ActivityThread  wrap20(ActivityThread java) _x000D_
                                                                                      at android app ActivityThread H handleMessage(ActivityThread java:1533) _x000D_
                                                                                      at android os Handler dispatchMessage(Handler java:102) _x000D_
                                                                                      at android os Looper loop(Looper java:154) _x000D_
                                                                                      at android app ActivityThread main(ActivityThread java:6119) _x000D_
                                                                                      at java lang reflect Method invoke(Native Method) _x000D_
                                                                                      at com android internal os ZygoteInit MethodAndArgsCaller run(ZygoteInit java:886) _x000D_
                                                                                      at com android internal os ZygoteInit main(ZygoteInit java:776) _x000D_
   _x000D_
_x000D_
The toast should not be launching if it is already displayed  and I need to check how this problem is occurring despite us checking if the toast is filled or not  </t>
  </si>
  <si>
    <t>getodk-collect-768</t>
  </si>
  <si>
    <t>Adding second account breaks Google Drive</t>
  </si>
  <si>
    <t xml:space="preserve">     Software and hardware versions _x000D_
Collect v1 4 16  Android 6 0  Moto X Pure_x000D_
_x000D_
     Problem description_x000D_
When I add a second gmail account  the collect break with NPE _x000D_
_x000D_
     Steps to reproduce the problem_x000D_
  Ensure your google account is not connected to ODK yet:  Google Account Permissions (https:  myaccount google com permissions) (If you have not visited this in a while  now is a good time to go through it) _x000D_
  In general settings  change the platform to  Google Drive  Google Sheets _x000D_
  Select your primary gmail account for the google account _x000D_
  Go to get blank form section and press  My Drive  _x000D_
  It will ask you to allow Collect to access your drive _x000D_
  Add a second gmail account to your phone:  Add Account (https:  support google com googleplay answer 2521798 hl en) _x000D_
  Change your google account in the general settings to the new account _x000D_
  Go to the get blank form section and press  My Drive  and Collect will crash _x000D_
  Adding a third gmail account strangely make Collect work again _x000D_
_x000D_
     Expected behavior_x000D_
Collect should allow adding the second account without crashing _x000D_
_x000D_
     Other information _x000D_
This might not even be issue on the Collect side </t>
  </si>
  <si>
    <t>cgeo-cgeo-6446</t>
  </si>
  <si>
    <t>NullPointerException (Mapsforge V3)</t>
  </si>
  <si>
    <t xml:space="preserve">Appearing on Google Play crash reports starting with November 2016 releases _x000D_
_x000D_
   _x000D_
java lang NullPointerException: Attempt to invoke virtual method  boolean android graphics Bitmap isRecycled()  on a null object reference_x000D_
	at android graphics Canvas throwIfCannotDraw(Canvas java:1307)_x000D_
	at android graphics Canvas drawBitmap(Canvas java:1363)_x000D_
	at org mapsforge v3 android maps FrameBuffer drawBitmap(FrameBuffer java:101)_x000D_
	at org mapsforge v3 android maps MapView redrawTiles(MapView java:402)_x000D_
	at org mapsforge v3 android maps inputhandling MultiTouchHandler onActionMove(MultiTouchHandler java:91)_x000D_
	at org mapsforge v3 android maps inputhandling MultiTouchHandler handleMotionEvent(MultiTouchHandler java:186)_x000D_
	at org mapsforge v3 android maps inputhandling TouchEventHandler handleTouchEvent(TouchEventHandler java:149)_x000D_
	at org mapsforge v3 android maps MapView onTouchEvent(MapView java:349)_x000D_
	at cgeo geocaching maps mapsforge MapsforgeMapView onTouchEvent(MapsforgeMapView java:277)_x000D_
	at android view View dispatchTouchEvent(View java:9187)_x000D_
	at android view ViewGroup dispatchTransformedTouchEvent(ViewGroup java:2680)_x000D_
	at android view ViewGroup dispatchTouchEvent(ViewGroup java:2351)_x000D_
	at android view ViewGroup dispatchTransformedTouchEvent(ViewGroup java:2691)_x000D_
	at android view ViewGroup dispatchTouchEvent(ViewGroup java:2366)_x000D_
	at android view ViewGroup dispatchTransformedTouchEvent(ViewGroup java:2691)_x000D_
	at android view ViewGroup dispatchTouchEvent(ViewGroup java:2366)_x000D_
	at android view ViewGroup dispatchTransformedTouchEvent(ViewGroup java:2691)_x000D_
	at android view ViewGroup dispatchTouchEvent(ViewGroup java:2366)_x000D_
	at android view ViewGroup dispatchTransformedTouchEvent(ViewGroup java:2691)_x000D_
	at android view ViewGroup dispatchTouchEvent(ViewGroup java:2366)_x000D_
	at android view ViewGroup dispatchTransformedTouchEvent(ViewGroup java:2691)_x000D_
	at android view ViewGroup dispatchTouchEvent(ViewGroup java:2366)_x000D_
	at com android internal policy impl PhoneWindow DecorView superDispatchTouchEvent(PhoneWindow java:2743)_x000D_
	at com android internal policy impl PhoneWindow superDispatchTouchEvent(PhoneWindow java:1836)_x000D_
	at android app Activity dispatchTouchEvent(Activity java:3043)_x000D_
	at com android internal policy impl PhoneWindow DecorView dispatchTouchEvent(PhoneWindow java:2704)_x000D_
	at android view View dispatchPointerEvent(View java:9397)_x000D_
	at android view ViewRootImpl ViewPostImeInputStage processPointerEvent(ViewRootImpl java:5082)_x000D_
	at android view ViewRootImpl ViewPostImeInputStage onProcess(ViewRootImpl java:4899)_x000D_
	at android view ViewRootImpl InputStage deliver(ViewRootImpl java:4356)_x000D_
	at android view ViewRootImpl InputStage onDeliverToNext(ViewRootImpl java:4409)_x000D_
	at android view ViewRootImpl InputStage forward(ViewRootImpl java:4375)_x000D_
	at android view ViewRootImpl AsyncInputStage forward(ViewRootImpl java:4501)_x000D_
	at android view ViewRootImpl InputStage apply(ViewRootImpl java:4383)_x000D_
	at android view ViewRootImpl AsyncInputStage apply(ViewRootImpl java:4558)_x000D_
	at android view ViewRootImpl InputStage deliver(ViewRootImpl java:4356)_x000D_
	at android view ViewRootImpl InputStage onDeliverToNext(ViewRootImpl java:4409)_x000D_
	at android view ViewRootImpl InputStage forward(ViewRootImpl java:4375)_x000D_
	at android view ViewRootImpl InputStage apply(ViewRootImpl java:4383)_x000D_
	at android view ViewRootImpl InputStage deliver(ViewRootImpl java:4356)_x000D_
	at android view ViewRootImpl deliverInputEvent(ViewRootImpl java:6979)_x000D_
	at android view ViewRootImpl doProcessInputEvents(ViewRootImpl java:6852)_x000D_
	at android view ViewRootImpl enqueueInputEvent(ViewRootImpl java:6823)_x000D_
	at android view ViewRootImpl WindowInputEventReceiver onInputEvent(ViewRootImpl java:7069)_x000D_
	at android view InputEventReceiver dispatchInputEvent(InputEventReceiver java:185)_x000D_
	at android view InputEventReceiver nativeConsumeBatchedInputEvents(Native Method)_x000D_
	at android view InputEventReceiver consumeBatchedInputEvents(InputEventReceiver java:176)_x000D_
	at android view ViewRootImpl doConsumeBatchedInput(ViewRootImpl java:7040)_x000D_
	at android view ViewRootImpl ConsumeBatchedInputRunnable run(ViewRootImpl java:7092)_x000D_
	at android view Choreographer CallbackRecord run(Choreographer java:829)_x000D_
	at android view Choreographer doCallbacks(Choreographer java:606)_x000D_
	at android view Choreographer doFrame(Choreographer java:574)_x000D_
	at android view Choreographer FrameDisplayEventReceiver run(Choreographer java:815)_x000D_
	at android os Handler handleCallback(Handler java:739)_x000D_
	at android os Handler dispatchMessage(Handler java:95)_x000D_
	at android os Looper loop(Looper java:145)_x000D_
	at android app ActivityThread main(ActivityThread java:6934)_x000D_
	at java lang reflect Method invoke(Native Method)_x000D_
	at java lang reflect Method invoke(Method java:372)_x000D_
	at com android internal os ZygoteInit MethodAndArgsCaller run(ZygoteInit java:1404)_x000D_
	at com android internal os ZygoteInit main(ZygoteInit java:1199)_x000D_
   </t>
  </si>
  <si>
    <t>mattmikolay-pocket-ctc-2</t>
  </si>
  <si>
    <t>RejectedExecutionException from translation request</t>
  </si>
  <si>
    <t xml:space="preserve">Received the following app crash in version 1 0:_x000D_
_x000D_
   _x000D_
java util concurrent RejectedExecutionException: Task java util concurrent FutureTask 8b1c184 rejected from java util concurrent ThreadPoolExecutor cbdcd6d Terminated  pool size   0  active threads   0  queued tasks   0  completed tasks   1 _x000D_
    at java util concurrent ThreadPoolExecutor AbortPolicy rejectedExecution(ThreadPoolExecutor java:2014)_x000D_
    at java util concurrent ThreadPoolExecutor reject(ThreadPoolExecutor java:794)_x000D_
    at java util concurrent ThreadPoolExecutor execute(ThreadPoolExecutor java:1340)_x000D_
    at java util concurrent AbstractExecutorService submit(AbstractExecutorService java:82)_x000D_
    at java util concurrent Executors DelegatedExecutorService submit(Executors java:594)_x000D_
    at com mattmik dianma TranslateActivity loadInputTextFromIntent(Unknown Source)_x000D_
                                            requestTranslation_x000D_
                                            access 000_x000D_
                                            access 100_x000D_
    at com mattmik dianma TranslateActivity loadInputTextFromIntent(Unknown Source)_x000D_
                                            requestTranslation_x000D_
                                            access 000_x000D_
                                            access 100_x000D_
    at com mattmik dianma TranslateActivity 2 handleMessage(Unknown Source)_x000D_
    at android os Handler dispatchMessage(Handler java:102)_x000D_
    at android os Looper loop(Looper java:158)_x000D_
    at android app ActivityThread main(ActivityThread java:7229)_x000D_
    at java lang reflect Method invoke(Native Method)_x000D_
    at com android internal os ZygoteInit MethodAndArgsCaller run(ZygoteInit java:1230)_x000D_
    at com android internal os ZygoteInit main(ZygoteInit java:1120)_x000D_
   _x000D_
_x000D_
The  ExecutorService  used for translation is shut down in  onDestroy()   Here s what I think is occurring:_x000D_
1  User enters text for translation _x000D_
2  User navigates away from  TranslateActivity  and  onDestroy()  is called  (This could be due to memory pressure while  SettingsActivity  is started  or because the user is exiting the app ) Here   mExecutor  is shut down _x000D_
3   MSG REQUEST TRANSLATION  is received by  mHandler  in the dying  TranslateActivity  _x000D_
4   requestTranslation(String inputText)  is called from within this handler and attempts to submit a new  Runnable  to  mExecutor  _x000D_
_x000D_
It should be possible to fix this by checking  mExecutor isShutdown()  before submitting the new  Runnable  </t>
  </si>
  <si>
    <t>evernote-android-state-13</t>
  </si>
  <si>
    <t>Build error with Android Gradle plugin 2.4.0-alpha3</t>
  </si>
  <si>
    <t xml:space="preserve">Any clues about why is this _x000D_
_x000D_
   _x000D_
Error:Bad service configuration file  or exception thrown while constructing Processor object: javax annotation processing Processor: Provider com evernote android state StateProcessor could not be instantiated: java lang NoClassDefFoundError: com evernote android state State_x000D_
   _x000D_
   _x000D_
  Exception is:_x000D_
org gradle api tasks TaskExecutionException: Execution failed for task  :app:compileDevDebugJavaWithJavac  _x000D_
	at org gradle api internal tasks execution ExecuteActionsTaskExecuter executeActions(ExecuteActionsTaskExecuter java:84)_x000D_
	at org gradle api internal tasks execution ExecuteActionsTaskExecuter execute(ExecuteActionsTaskExecuter java:55)_x000D_
	at org gradle api internal tasks execution SkipUpToDateTaskExecuter execute(SkipUpToDateTaskExecuter java:62)_x000D_
	at org gradle api internal tasks execution ValidatingTaskExecuter execute(ValidatingTaskExecuter java:58)_x000D_
	at org gradle api internal tasks execution SkipEmptySourceFilesTaskExecuter execute(SkipEmptySourceFilesTaskExecuter java:88)_x000D_
	at org gradle api internal tasks execution ResolveTaskArtifactStateTaskExecuter execute(ResolveTaskArtifactStateTaskExecuter java:46)_x000D_
	at org gradle api internal tasks execution SkipTaskWithNoActionsExecuter execute(SkipTaskWithNoActionsExecuter java:51)_x000D_
	at org gradle api internal tasks execution SkipOnlyIfTaskExecuter execute(SkipOnlyIfTaskExecuter java:54)_x000D_
	at org gradle api internal tasks execution ExecuteAtMostOnceTaskExecuter execute(ExecuteAtMostOnceTaskExecuter java:43)_x000D_
	at org gradle api internal tasks execution CatchExceptionTaskExecuter execute(CatchExceptionTaskExecuter java:34)_x000D_
	at org gradle execution taskgraph DefaultTaskGraphExecuter EventFiringTaskWorker 1 execute(DefaultTaskGraphExecuter java:236)_x000D_
	at org gradle execution taskgraph DefaultTaskGraphExecuter EventFiringTaskWorker 1 execute(DefaultTaskGraphExecuter java:228)_x000D_
	at org gradle internal Transformers 4 transform(Transformers java:169)_x000D_
	at org gradle internal progress DefaultBuildOperationExecutor run(DefaultBuildOperationExecutor java:106)_x000D_
	at org gradle internal progress DefaultBuildOperationExecutor run(DefaultBuildOperationExecutor java:61)_x000D_
	at org gradle execution taskgraph DefaultTaskGraphExecuter EventFiringTaskWorker execute(DefaultTaskGraphExecuter java:228)_x000D_
	at org gradle execution taskgraph DefaultTaskGraphExecuter EventFiringTaskWorker execute(DefaultTaskGraphExecuter java:215)_x000D_
	at org gradle execution taskgraph AbstractTaskPlanExecutor TaskExecutorWorker processTask(AbstractTaskPlanExecutor java:77)_x000D_
	at org gradle execution taskgraph AbstractTaskPlanExecutor TaskExecutorWorker run(AbstractTaskPlanExecutor java:58)_x000D_
	at org gradle internal concurrent ExecutorPolicy CatchAndRecordFailures onExecute(ExecutorPolicy java:54)_x000D_
	at org gradle internal concurrent StoppableExecutorImpl 1 run(StoppableExecutorImpl java:40)_x000D_
Caused by: org gradle api internal tasks compile CompilationFailedException: Compilation failed  see the compiler error output for details _x000D_
	at org gradle api internal tasks compile JdkJavaCompiler execute(JdkJavaCompiler java:48)_x000D_
	at org gradle api internal tasks compile JdkJavaCompiler execute(JdkJavaCompiler java:33)_x000D_
	at org gradle api internal tasks compile NormalizingJavaCompiler delegateAndHandleErrors(NormalizingJavaCompiler java:104)_x000D_
	at org gradle api internal tasks compile NormalizingJavaCompiler execute(NormalizingJavaCompiler java:53)_x000D_
	at org gradle api internal tasks compile NormalizingJavaCompiler execute(NormalizingJavaCompiler java:38)_x000D_
	at org gradle api internal tasks compile CleaningJavaCompilerSupport execute(CleaningJavaCompilerSupport java:35)_x000D_
	at org gradle api internal tasks compile CleaningJavaCompilerSupport execute(CleaningJavaCompilerSupport java:25)_x000D_
	at org gradle api tasks compile JavaCompile performCompilation(JavaCompile java:206)_x000D_
	at org gradle api tasks compile JavaCompile compile(JavaCompile java:187)_x000D_
	at org gradle api tasks compile JavaCompile compile(JavaCompile java:130)_x000D_
	at com android build gradle tasks factory AndroidJavaCompile compile(AndroidJavaCompile java:49)_x000D_
	at org gradle internal reflect JavaMethod invoke(JavaMethod java:73)_x000D_
	at org gradle api internal project taskfactory DefaultTaskClassInfoStore IncrementalTaskAction doExecute(DefaultTaskClassInfoStore java:163)_x000D_
	at org gradle api internal project taskfactory DefaultTaskClassInfoStore StandardTaskAction execute(DefaultTaskClassInfoStore java:134)_x000D_
	at org gradle api internal project taskfactory DefaultTaskClassInfoStore StandardTaskAction execute(DefaultTaskClassInfoStore java:123)_x000D_
	at org gradle api internal tasks execution ExecuteActionsTaskExecuter executeAction(ExecuteActionsTaskExecuter java:95)_x000D_
	at org gradle api internal tasks execution ExecuteActionsTaskExecuter executeActions(ExecuteActionsTaskExecuter java:76)_x000D_
	    20 more_x000D_
_x000D_
   _x000D_
_x000D_
_x000D_
I am on Android Studio 2 4 Preview 2_x000D_
Build  AI 171 3804685  built on March 15  2017_x000D_
JRE: 1 8 0 112 release b736 x86 64_x000D_
JVM: OpenJDK 64 Bit Server VM by JetBrains s r o_x000D_
_x000D_
My  build gradle _x000D_
_x000D_
_x000D_
   _x000D_
buildscript  _x000D_
    repositories  _x000D_
        maven   url  https:  maven fabric io public   _x000D_
        jcenter()_x000D_
        maven   url  https:  jitpack io   _x000D_
        maven  _x000D_
            url  https:  clojars org repo  _x000D_
         _x000D_
     _x000D_
_x000D_
    dependencies  _x000D_
        classpath  io fabric tools:gradle:1   _x000D_
        classpath  me tatarka:gradle retrolambda:3 6 0 _x000D_
_x000D_
     _x000D_
 _x000D_
_x000D_
_x000D_
apply plugin:  com android application _x000D_
apply plugin:  me tatarka retrolambda _x000D_
apply plugin:  io fabric _x000D_
  apply plugin:  com f2prateek javafmt _x000D_
_x000D_
_x000D_
_x000D_
android  _x000D_
    compileSdkVersion 25_x000D_
    buildToolsVersion  25 0 2 _x000D_
_x000D_
    defaultConfig  _x000D_
        applicationId  site paid2party android _x000D_
        minSdkVersion 16_x000D_
        targetSdkVersion 25_x000D_
        versionCode 1_x000D_
        versionName  1 0 _x000D_
        multiDexEnabled true_x000D_
     _x000D_
    buildTypes  _x000D_
        debug  _x000D_
            applicationIdSuffix   debug _x000D_
            versionNameSuffix   DEBUG _x000D_
            ext enableCrashlytics   true_x000D_
            testCoverageEnabled   false_x000D_
            debug  _x000D_
                debuggable true_x000D_
             _x000D_
         _x000D_
        release  _x000D_
            minifyEnabled false_x000D_
            proguardFiles getDefaultProguardFile( proguard android txt )   proguard rules pro _x000D_
            debug  _x000D_
                debuggable true_x000D_
             _x000D_
         _x000D_
        buildTypes each  _x000D_
            it buildConfigField  String    TEST KEY   TEST KEY_x000D_
         _x000D_
     _x000D_
    dexOptions  _x000D_
        javaMaxHeapSize  2048M _x000D_
        preDexLibraries   false_x000D_
     _x000D_
    productFlavors  _x000D_
           When building a variant that uses this flavor  the following configurations_x000D_
           override those in the defaultConfig block _x000D_
        dev  _x000D_
               To avoid using legacy multidex  set minSdkVersion to 21 or higher _x000D_
            minSdkVersion 21_x000D_
            versionNameSuffix   dev _x000D_
            applicationIdSuffix   dev _x000D_
            resConfigs  en    xxhdpi _x000D_
         _x000D_
_x000D_
        prod  _x000D_
               If you ve configured the defaultConfig block for the release version of_x000D_
               your app  you can leave this block empty and Gradle uses configurations in_x000D_
               the defaultConfig block instead  You still need to create this flavor _x000D_
               Otherwise  all variants use the  dev  flavor configurations _x000D_
         _x000D_
     _x000D_
    compileOptions  _x000D_
        sourceCompatibility JavaVersion VERSION 1 8_x000D_
        targetCompatibility JavaVersion VERSION 1 8_x000D_
     _x000D_
 _x000D_
_x000D_
repositories  _x000D_
    mavenCentral()_x000D_
    maven   url  https:  jitpack io   _x000D_
    maven   url  https:  maven fabric io public   _x000D_
_x000D_
 _x000D_
_x000D_
   Define versions in a single place_x000D_
ext  _x000D_
_x000D_
_x000D_
       App dependencies_x000D_
    supportLibraryVersion    25 2 0 _x000D_
    playServicesVersion    10 2 0 _x000D_
_x000D_
 _x000D_
  https:  developer android com topic libraries support library packages html_x000D_
dependencies  _x000D_
    compile fileTree(include:     jar    dir:  libs )_x000D_
    compile  com android support:appcompat v7:  supportLibraryVersion  _x000D_
    compile  com android support:cardview v7:  supportLibraryVersion  _x000D_
    compile  com android support:design:  supportLibraryVersion  _x000D_
    compile  com android support:support v4:  supportLibraryVersion  _x000D_
    compile  com android support:recyclerview v7:  supportLibraryVersion  _x000D_
    compile  com android support:palette v7:  supportLibraryVersion  _x000D_
    compile  com android support:gridlayout v7:  supportLibraryVersion  _x000D_
_x000D_
    compile  com google android gms:play services identity: playServicesVersion _x000D_
    compile  com google android gms:play services: playServicesVersion _x000D_
    compile  com google android gms:play services places: playServicesVersion _x000D_
    compile  com google android gms:play services location: playServicesVersion _x000D_
_x000D_
    compile( com crashlytics sdk android:crashlytics:2 6 7 aar )  _x000D_
        transitive   true _x000D_
     _x000D_
_x000D_
    compile  com evernote:android state:1 0 5 _x000D_
    annotationProcessor  com evernote:android state processor:1 0 5 _x000D_
_x000D_
    debugCompile  com squareup leakcanary:leakcanary android:1 5 _x000D_
    releaseCompile  com squareup leakcanary:leakcanary android no op:1 5 _x000D_
    testCompile  com squareup leakcanary:leakcanary android no op:1 5 _x000D_
_x000D_
_x000D_
 _x000D_
   </t>
  </si>
  <si>
    <t>cgeo-cgeo-6450</t>
  </si>
  <si>
    <t>Crash in settings if SD card was removed</t>
  </si>
  <si>
    <t xml:space="preserve">      Detailed steps causing the problem:_x000D_
  Have GeocacheData moved to external SD card_x000D_
  Close and kill c:geo_x000D_
  Remove SD card from device_x000D_
  Start c:geo_x000D_
  Log shows Warning (see first sdb log attached)_x000D_
  Try to enter Menu    Settings (e g  if you plan to set the storage to internal again)_x000D_
_x000D_
      Actual behavior after performing these steps:_x000D_
Crash_x000D_
_x000D_
      Expected behavior after performing these steps:_x000D_
Detect absence of GeocacheData dir and e g  fallback (to be discussed) to internal dir in that case _x000D_
Also without a fallback c:geo should not crash when entering settings menu allowing the user to manually adjust the dir setting _x000D_
_x000D_
      Version of c:geo used:_x000D_
2017 03 25 NB_x000D_
_x000D_
      Is the problem reproducible for you _x000D_
Yes_x000D_
_x000D_
      System information:_x000D_
Android 5 1 1_x000D_
Samsung Galaxy Note 10 1 Edition 2014 (SD removeable without power down)_x000D_
_x000D_
      Other comments and remarks:_x000D_
_x000D_
Log after c:geo startup:_x000D_
   _x000D_
12:08:54 776 Warning cgeo 26754   RxCachedThreadScheduler 2  DataStore clean_x000D_
12:08:54 776 Warning cgeo 26754  java lang NullPointerException: Attempt to invoke virtual method  java io File java io File getCanonicalFile()  on a null object reference_x000D_
12:08:54 776 Warning cgeo 26754  	at android os Environment getStorageVolume(Environment java:900)_x000D_
12:08:54 776 Warning cgeo 26754  	at android os Environment getExternalStorageState(Environment java:758)_x000D_
12:08:54 776 Warning cgeo 26754  	at android os Environment getStorageState(Environment java:744)_x000D_
12:08:54 776 Warning cgeo 26754  	at android support v4 os EnvironmentCompatKitKat getStorageState(EnvironmentCompatKitKat java:25)_x000D_
12:08:54 776 Warning cgeo 26754  	at android support v4 os EnvironmentCompat getStorageState(EnvironmentCompat java:58)_x000D_
12:08:54 776 Warning cgeo 26754  	at cgeo geocaching storage LocalStorage getAvailableExternalPrivateCgeoDirectories(LocalStorage java:82)_x000D_
12:08:54 776 Warning cgeo 26754  	at cgeo geocaching storage LocalStorage getExternalPrivateCgeoDirectory(LocalStorage java:98)_x000D_
12:08:54 776 Warning cgeo 26754  	at cgeo geocaching storage LocalStorage getGeocacheDataDirectory(LocalStorage java:281)_x000D_
12:08:54 776 Warning cgeo 26754  	at cgeo geocaching storage LocalStorage getGeocacheDataDirectory(LocalStorage java:156)_x000D_
12:08:54 776 Warning cgeo 26754  	at cgeo geocaching storage DataStore 10 run(DataStore java:2481)_x000D_
12:08:54 776 Warning cgeo 26754  	at io reactivex Scheduler 1 run(Scheduler java:138)_x000D_
12:08:54 776 Warning cgeo 26754  	at io reactivex internal schedulers ScheduledRunnable run(ScheduledRunnable java:59)_x000D_
12:08:54 776 Warning cgeo 26754  	at io reactivex internal schedulers ScheduledRunnable call(ScheduledRunnable java:51)_x000D_
12:08:54 776 Warning cgeo 26754  	at java util concurrent FutureTask run(FutureTask java:237)_x000D_
12:08:54 776 Warning cgeo 26754  	at java util concurrent ScheduledThreadPoolExecutor ScheduledFutureTask access 201(ScheduledThreadPoolExecutor java:152)_x000D_
12:08:54 776 Warning cgeo 26754  	at java util concurrent ScheduledThreadPoolExecutor ScheduledFutureTask run(ScheduledThreadPoolExecutor java:265)_x000D_
12:08:54 776 Warning cgeo 26754  	at java util concurrent ThreadPoolExecutor runWorker(ThreadPoolExecutor java:1112)_x000D_
12:08:54 776 Warning cgeo 26754  	at java util concurrent ThreadPoolExecutor Worker run(ThreadPoolExecutor java:587)_x000D_
12:08:54 776 Warning cgeo 26754  	at java lang Thread run(Thread java:818)_x000D_
   _x000D_
_x000D_
Log when trying to enter settings:_x000D_
   _x000D_
12:09:41 659 Error AndroidRuntime 26950  FATAL EXCEPTION: main_x000D_
12:09:41 659 Error AndroidRuntime 26950  Process: cgeo geocaching  PID: 26950_x000D_
12:09:41 659 Error AndroidRuntime 26950  java lang RuntimeException: Unable to start activity ComponentInfo cgeo geocaching cgeo geocaching settings SettingsActivity : java lang NullPointerException: Attempt to invoke virtual method  java io File java io File getCanonicalFile()  on a null object reference_x000D_
12:09:41 659 Error AndroidRuntime 26950  	at android app ActivityThread performLaunchActivity(ActivityThread java:3124)_x000D_
12:09:41 659 Error AndroidRuntime 26950  	at android app ActivityThread handleLaunchActivity(ActivityThread java:3233)_x000D_
12:09:41 659 Error AndroidRuntime 26950  	at android app ActivityThread access 1000(ActivityThread java:197)_x000D_
12:09:41 659 Error AndroidRuntime 26950  	at android app ActivityThread H handleMessage(ActivityThread java:1656)_x000D_
12:09:41 659 Error AndroidRuntime 26950  	at android os Handler dispatchMessage(Handler java:102)_x000D_
12:09:41 659 Error AndroidRuntime 26950  	at android os Looper loop(Looper java:145)_x000D_
12:09:41 659 Error AndroidRuntime 26950  	at android app ActivityThread main(ActivityThread java:6873)_x000D_
12:09:41 659 Error AndroidRuntime 26950  	at java lang reflect Method invoke(Native Method)_x000D_
12:09:41 659 Error AndroidRuntime 26950  	at java lang reflect Method invoke(Method java:372)_x000D_
12:09:41 659 Error AndroidRuntime 26950  	at com android internal os ZygoteInit MethodAndArgsCaller run(ZygoteInit java:1404)_x000D_
12:09:41 659 Error AndroidRuntime 26950  	at com android internal os ZygoteInit main(ZygoteInit java:1199)_x000D_
12:09:41 659 Error AndroidRuntime 26950  Caused by: java lang NullPointerException: Attempt to invoke virtual method  java io File java io File getCanonicalFile()  on a null object reference_x000D_
12:09:41 659 Error AndroidRuntime 26950  	at android os Environment getStorageVolume(Environment java:900)_x000D_
12:09:41 659 Error AndroidRuntime 26950  	at android os Environment getExternalStorageState(Environment java:758)_x000D_
12:09:41 659 Error AndroidRuntime 26950  	at android os Environment getStorageState(Environment java:744)_x000D_
12:09:41 659 Error AndroidRuntime 26950  	at android support v4 os EnvironmentCompatKitKat getStorageState(EnvironmentCompatKitKat java:25)_x000D_
12:09:41 659 Error AndroidRuntime 26950  	at android support v4 os EnvironmentCompat getStorageState(EnvironmentCompat java:58)_x000D_
12:09:41 659 Error AndroidRuntime 26950  	at cgeo geocaching storage LocalStorage getAvailableExternalPrivateCgeoDirectories(LocalStorage java:82)_x000D_
12:09:41 659 Error AndroidRuntime 26950  	at cgeo geocaching settings SettingsActivity initExtCgeoDirPreference(SettingsActivity java:265)_x000D_
12:09:41 659 Error AndroidRuntime 26950  	at cgeo geocaching settings SettingsActivity initPreferences(SettingsActivity java:144)_x000D_
12:09:41 659 Error AndroidRuntime 26950  	at cgeo geocaching settings SettingsActivity onCreate(SettingsActivity java:111)_x000D_
12:09:41 659 Error AndroidRuntime 26950  	at android app Activity performCreate(Activity java:6550)_x000D_
12:09:41 659 Error AndroidRuntime 26950  	at android app Instrumentation callActivityOnCreate(Instrumentation java:1120)_x000D_
12:09:41 659 Error AndroidRuntime 26950  	at android app ActivityThread performLaunchActivity(ActivityThread java:3077)_x000D_
12:09:41 659 Error AndroidRuntime 26950  	    10 more_x000D_
12:09:41 659 Warning ActivityManager 2919    Force finishing activity 1 cgeo geocaching  settings SettingsActivity_x000D_
   </t>
  </si>
  <si>
    <t>ZeeRooo-MaterialFBook-59</t>
  </si>
  <si>
    <t>Crash (stopped working) when tapping E-mail button on Page contact</t>
  </si>
  <si>
    <t xml:space="preserve">Issue: App crashes when tapping the email button on the About section of any Page _x000D_
To reproduce:_x000D_
1  In MaterialFB  navigate to any Page _x000D_
2  Go to the About section_x000D_
3  If available  tap the email contact button  App crashes _x000D_
_x000D_
Expected result: MFB goes through the proper calls to dispatch an email  Meaning  either the prompt for selecting an email app opens  or the default email app opens up a blank email addressed to the correct recipient </t>
  </si>
  <si>
    <t>inaturalist-iNaturalistAndroid-312</t>
  </si>
  <si>
    <t>app crashing when obs json is too large</t>
  </si>
  <si>
    <t xml:space="preserve">I  think  an observation s JSON is too large the app will crash when loading comments and IDs  This was happening when you try to view https:  www inaturalist org observations 5407184 json in the app (it s not now b c I removed a lot of the photos)  You could definitely argue that this response is absurd with a ton of duplicate taxon and photos records  and you would be right  but regardless  the app should not choke on JSON just b c it s too big unless it s absurdly big  like 5  MB or something  Or maybe I m mis diagnosing this  but I m definitely getting a crash on my 5X  build 199  I do not get that crash with build 203 after having removed the photos  Yes I should have tested the most recent version before removing the photos  I am a bad bug filer _x000D_
_x000D_
The user who reported this is the one who owns this observation  and they also say that when they try to view it in the app  the app hangs and posts an older version of their ID (you can see the sequence of replaced IDs on their observation)  I m not entirely sure that s related  but maybe _x000D_
_x000D_
Anyway  if there is some kind of cap on the size of JSON we can load  can we remove it _x000D_
_x000D_
Log data:_x000D_
   _x000D_
03 24 21:56:48 289 16607 19244 D INaturalistService: RESP:    id :5406499  observed on : 2015 09 17   description :null  latitude : 30 1886227692   longitude :  97 7197442204   map scale :null  timeframe :null  species guess : Rabid Wolf Spider   user id :370785  taxon id :147930  created at : 2017 03 19T22:00:43 804 07:00   updated at : 2017 03 20T18:17:59 438 07:00   place guess : Austin  TX   id please :false  observed on string : 2015 09 17 12:56:00 PM CDT   iconic taxon id :47119  num identification agreements :1  num identification disagreements :0  time observed at : 2015 09 17T10:56:00 000 07:00   time zone : Central Time (US  u0026 Canada)   location is exact :false  delta :false  positional accuracy :86  geoprivacy :null  quality grade : research   positioning method : gps   positioning device : gps   out of range :null  license :null  uri : https:  www inaturalist org observations 5406499   observation photos count :1  comments count :0  zic time zone : America Chicago   oauth application id :2  observation sounds count :0  identifications count :6  captive :false  community taxon id :147930  site id :1  old uuid :null  public positional accuracy :86  mappable :true  cached votes total :0  last indexed at : 2017 03 22T17:56:03 899 07:00   uuid : 555394fc 587a 4d34 b784 52ab3401878c   short description :null  user login : star3   iconic taxon name : Arachnida   tag list :    faves count :0  created at utc : 2017 03 20T05:00:43 804Z   updated at utc : 2017 03 21T01:17:59 438Z   time observed at utc : 2015 09 17T17:56:00 000Z   coordinates obscured :false  taxon :  id :147930  name : Rabidosa rabida   rank : species   ancestry : 48460 1 47120 245097 47119 47118 120474 342614 367161 47416 147238   common name :  id :248732  name : Rabid Wolf Spider   is valid :true  lexicon : English     iconic taxon :  id :47119  name : Arachnida   rank : class   rank level :50  ancestry : 48460 1 47120 245097    user :  login : star3   user icon url :null   photos :   id :6644200  user id :370785  native photo id : 6644200   square url : https:  static inaturalist org photos 6644200 square jpeg 1489986051   thumb url : https:  static inaturalist org photos 6644200 thumb jpeg 1489986051   small url : https:  static inaturalist org photos 6644200 small jpeg 1489986051   medium url : https:  static inaturalist org photos 6644200 medium jpeg 1489986051   large url : https:  static inaturalist org photos 6644200 large jpeg 1489986051   created at : 2017 03 19T22:00:49 668 07:00   updated at : 2017 03 19T22:00:53 251 07:00   native page url : https:  www inaturalist org photos 6644200   native username : star3   native realname : Star Donovan   license :0  subtype :null  native original image url :null  license code : C   attribution : (c) Star Donovan  all rights reserved   license name : Copyright   license url : http:  en wikipedia org wiki Copyright   type : LocalPhoto     observation photos :   id :6301732  observation id :5406499  photo id :6644200  position :0  created at : 2017 03 19T22:00:50 339 07:00   updated at : 2017 03 19T22:00:50 339 07:00   old uuid :null  uuid : 86b29f32 5767 4004 919e 4886c5bf84ab   photo :  id :6644200  user id :370785  native photo id : 6644200   square url : https:  static inaturalist org photos 6644200 square jpeg 1489986051   thumb url : https:  static inaturalist org photos 6644200 thumb jpeg 1489986051   small url : https:  static inaturalist org photos 6644200 small jpeg 1489986051   medium url : https:  static inaturalist org photos 6644200 medium jpeg 1489986051   large url : https:  static inaturalist org photos 6644200 large jpeg 1489986051   created at : 2017 03 19T22:00:49 668 07:00   updated at : 2017 03 19T22:00:53 251 07:00   native page url : https:  www inaturalist org photos 6644200   native username : star3   native realname : Star Donovan   license :0  subtype :null  native original image url :null  license name : Copyright   license url : http:  en wikipedia org wiki Copyright   attribution : (c) Star Donovan  all rights reserved   type : LocalPhoto        id :5406410  observed on _x000D_
03 24 21:56:48 334 16607 19244 D INaturalistService: Service: get observation_x000D_
03 24 21:56:48 336 16607 19244 D INaturalistService: URL: get   https:  www inaturalist org observations 5407184 json locale en (null)_x000D_
03 24 21:56:48 488 16607 16607 W FlurryAgent: End session with context: org inaturalist android INaturalistMapActivity 14bbb16 count:1_x000D_
03 24 21:56:48 500 16607 16607 E JavaBinder:     FAILED BINDER TRANSACTION      (parcel size   987252)_x000D_
03 24 21:56:48 503 16607 16607 E ActivityThread: App sent too much data in instance state  so it was ignored_x000D_
03 24 21:56:48 503 16607 16607 E ActivityThread: android os TransactionTooLargeException: data parcel size 987252 bytes_x000D_
03 24 21:56:48 503 16607 16607 E ActivityThread: 	at android os BinderProxy transactNative(Native Method)_x000D_
03 24 21:56:48 503 16607 16607 E ActivityThread: 	at android os BinderProxy transact(Binder java:615)_x000D_
03 24 21:56:48 503 16607 16607 E ActivityThread: 	at android app ActivityManagerProxy activityStopped(ActivityManagerNative java:3636)_x000D_
03 24 21:56:48 503 16607 16607 E ActivityThread: 	at android app ActivityThread StopInfo run(ActivityThread java:3773)_x000D_
03 24 21:56:48 503 16607 16607 E ActivityThread: 	at android os Handler handleCallback(Handler java:751)_x000D_
03 24 21:56:48 503 16607 16607 E ActivityThread: 	at android os Handler dispatchMessage(Handler java:95)_x000D_
03 24 21:56:48 503 16607 16607 E ActivityThread: 	at android os Looper loop(Looper java:154)_x000D_
03 24 21:56:48 503 16607 16607 E ActivityThread: 	at android app ActivityThread main(ActivityThread java:6119)_x000D_
03 24 21:56:48 503 16607 16607 E ActivityThread: 	at java lang reflect Method invoke(Native Method)_x000D_
03 24 21:56:48 503 16607 16607 E ActivityThread: 	at com android internal os ZygoteInit MethodAndArgsCaller run(ZygoteInit java:886)_x000D_
03 24 21:56:48 503 16607 16607 E ActivityThread: 	at com android internal os ZygoteInit main(ZygoteInit java:776)_x000D_
03 24 21:56:48 731 16607 16612 I art     : Do partial code cache collection  code 221KB  data 230KB_x000D_
03 24 21:56:48 732 16607 16612 I art     : After code cache collection  code 198KB  data 208KB_x000D_
03 24 21:56:48 732 16607 16612 I art     : Increasing code cache capacity to 1024KB_x000D_
03 24 21:56:52 053 16607 19244 D INaturalistService: RESP:   id :5407184  observed on : 2016 04 07   description :null  latitude : 30 1950011529   longitude :  97 7162627131   map scale :null  timeframe :null  species guess : Flaxes   user id :370785  taxon id :51309  created at : 2017 03 20T07:37:34 493 01:00   updated at : 2017 03 23T06:07:56 365 01:00   place guess : 4200 Smith School Drive Austin  TX 78744   id please :false  observed on string : 2016 04 07 12:09:00 PM CDT   iconic taxon id :47126  num identification agreements :1  num identification disagreements :0  time observed at : 2016 04 07T18:09:00 000 01:00   time zone : Central Time (US  u0026 Canada)   location is exact :false  delta :false  positional accuracy :344  geoprivacy :null  quality grade : needs id   positioning method : gps   positioning device : gps   out of range :null  license :null  uri : https:  www inaturalist org observations 5407184   observation photos count :2  comments count :1  zic time zone : America Chicago   oauth application id :2  observation sounds count :0  identifications count :9  captive :false  community taxon id :51309  site id :1  old uuid :null  public positional accuracy :344  mappable :true  cached votes total :0  last indexed at : 2017 03 23T06:24:39 561 01:00   uuid : 255d4efe 3968 4c59 be04 e363d6f61a3e   user login : star3   iconic taxon name : Plantae   captive flag :false  created at utc : 2017 03 20T06:37:34 493Z   updated at utc : 2017 03 23T05:07:56 365Z   time observed at utc : 2016 04 07T17:09:00 000Z   faves count :0  coordinates obscured :false  user :  id :370785  login : star3   name : Star Donovan   created at : 2016 11 17T20:03:36 419 01:00   updated at : 2017 03 22T23:57:24 900 01:00   time zone :null  description :null  life list id :516782  observations count :118  identifications count :18  journal posts count :0  life list taxa count :137  icon url : http:  graph facebook com 10211134117611402 picture type square   uri : http:  www inaturalist org users 370785   locale : en   site id :null  place id :null  spammer :false  spam count :0  last active : 2017 03 24   subscriptions suspended at :null  test groups :null  latitude :30 0787  longitude : 97 8341  lat lon acc admin level :2  icon file name :null  icon content type :null  icon file size :null  icon updated at :null  user icon url :null  medium user icon url :null  original user icon url :null   observation field values :   id :4030105  observation id :5407184  observation field id :379  value : unknown   created at : 2017 03 20T07:38:15 029 01:00   updated at : 2017 03 20T07:38:15 029 01:00   user id :370785  updater id :370785  uuid : c24846be 0bfd 41e0 991a 989c81fce2f0   observation field :  name : Invasive       project observations :   id :7982657  project id :544  observation id :5407184  created at : 2017 03 20T07:38:16 138 01:00   updated at : 2017 03 20T07:38:16 138 01:00   curator identification id :null  tracking code :null  user id :370785  uuid : 4255f83f 69b2 4202 8347 9ee0f466274c   project :  id :544  title : Plants of Texas   description : The purpose of this project is to broaden the understanding of Texas plant communities   both native and non native   and contribute to knowledge of their diversity and range  It is hoped that the observations within this project will lead to a greater appreciation of the botanical Texas  while also helping guide resources toward conservation efforts     r n r nWhile this project was started by a citizen scientist and Texas Master Naturalist as a hobby project  we encourage the use of the project and data by research and conservation professionals working in all areas of Texas botany  Also  observations of Species of Greatest Conservation Need (SGCN) may be invited to other appropriate projects  such as the TPWD curated project  Texas Botanical Treasures at http:  www inaturalist org projects texas botanical treasures  so that conservation planning and resources can be directed at the plant community as needed   r n r nAs such  we need accurate location data  good photos  and   hopefully   s_x000D_
03 24 21:56:52 122 16607 19244 E INaturalistService: Failed to create JSONArray  JSONException: org json JSONException: Value   id :5407184  observed on : 2016 04 07   description :null  latitude : 30 1950011529   longitude :  97 7162627131   map scale :null  timeframe :null  species guess : Flaxes   user id :370785  taxon id :51309  created at : 2017 03 20T07:37:34 493 01:00   updated at : 2017 03 23T06:07:56 365 01:00   place guess : 4200 Smith School Drive Austin  TX 78744   id please :false  observed on string : 2016 04 07 12:09:00 PM CDT   iconic taxon id :47126  num identification agreements :1  num identification disagreements :0  time observed at : 2016 04 07T18:09:00 000 01:00   time zone : Central Time (US   Canada)   location is exact :false  delta :false  positional accuracy :344  geoprivacy :null  quality grade : needs id   positioning method : gps   positioning device : gps   out of range :null  license :null  uri : https:    www inaturalist org  observations  5407184   observation photos count :2  comments count :1  zic time zone : America  Chicago   oauth application id :2  observation sounds count :0  identifications count :9  captive :false  community taxon id :51309  site id :1  old uuid :null  public positional accuracy :344  mappable :true  cached votes total :0  last indexed at : 2017 03 23T06:24:39 561 01:00   uuid : 255d4efe 3968 4c59 be04 e363d6f61a3e   user login : star3   iconic taxon name : Plantae   captive flag :false  created at utc : 2017 03 20T06:37:34 493Z   updated at utc : 2017 03 23T05:07:56 365Z   time observed at utc : 2016 04 07T17:09:00 000Z   faves count :0  coordinates obscured :false  user :  id :370785  login : star3   name : Star Donovan   created at : 2016 11 17T20:03:36 419 01:00   updated at : 2017 03 22T23:57:24 900 01:00   time zone :null  description :null  life list id :516782  observations count :118  identifications count :18  journal posts count :0  life list taxa count :137  icon url : http:    graph facebook com  10211134117611402  picture type square   uri : http:    www inaturalist org  users  370785   locale : en   site id :null  place id :null  spammer :false  spam count :0  last active : 2017 03 24   subscriptions suspended at :null  test groups :null  latitude :30 0787  longitude : 97 8341  lat lon acc admin level :2  icon file name :null  icon content type :null  icon file size :null  icon updated at :null  user icon url :null  medium user icon url :null  original user icon url :null   observation field values :   id :4030105  observation id :5407184  observation field id :379  value : unknown   created at : 2017 03 20T07:38:15 029 01:00   updated at : 2017 03 20T07:38:15 029 01:00   user id :370785  updater id :370785  uuid : c24846be 0bfd 41e0 991a 989c81fce2f0   observation field :  name : Invasive       project observations :   id :7982657  project id :544  observation id :5407184  created at : 2017 03 20T07:38:16 138 01:00   updated at : 2017 03 20T07:38:16 138 01:00   curator identification id :null  tracking code :null  user id :370785  uuid : 4255f83f 69b2 4202 8347 9ee0f466274c   project :  id :544  title : Plants of Texas   description : The purpose of this project is to broaden the understanding of Texas plant communities   both native and non native   and contribute to knowledge of their diversity and range  It is hoped that the observations within this project will lead to a greater appreciation of the botanical Texas  while also helping guide resources toward conservation efforts     r n r nWhile this project was started by a citizen scientist and Texas Master Naturalist as a hobby project  we encourage the use of the project and data by research and conservation professionals working in all areas of Texas botany  Also  observations of Species of Greatest Conservation Need (SGCN) may be invited to other appropriate projects  such as the TPWD curated project  Texas Botanical Treasures at http:    www inaturalist org  projects  texas botanical treasures  so that conservation planning and resources can be directed at the plant community as needed   r_x000D_
03 24 21:56:52 257 16607 19244 D INaturalistService: Service: get observation_x000D_
03 24 21:56:52 258 16607 16607 D AndroidRuntime: Shutting down VM_x000D_
03 24 21:56:52 260 16607 19244 D INaturalistService: URL: get   https:  www inaturalist org observations 5407184 json locale en (null)_x000D_
03 24 21:56:52 261 16607 16607 W System err: android app RemoteServiceException: can t deliver broadcast_x000D_
03 24 21:56:52 261 16607 16607 W System err: 	at android app ActivityThread H handleMessage(ActivityThread java:1650)_x000D_
03 24 21:56:52 261 16607 16607 W System err: 	at android os Handler dispatchMessage(Handler java:102)_x000D_
03 24 21:56:52 261 16607 16607 W System err: 	at android os Looper loop(Looper java:154)_x000D_
03 24 21:56:52 261 16607 16607 W System err: 	at android app ActivityThread main(ActivityThread java:6119)_x000D_
03 24 21:56:52 261 16607 16607 W System err: 	at java lang reflect Method invoke(Native Method)_x000D_
03 24 21:56:52 261 16607 16607 W System err: 	at com android internal os ZygoteInit MethodAndArgsCaller run(ZygoteInit java:886)_x000D_
03 24 21:56:52 261 16607 16607 W System err: 	at com android internal os ZygoteInit main(ZygoteInit java:776)_x000D_
03 24 21:56:52 271 16607 16607 W FlurryAgent: Error logged: uncaught_x000D_
03 24 21:56:52 275 16607 16607 W FlurryAgent: End session with context: org inaturalist android ObservationViewerActivity 41602aa count:0_x000D_
03 24 21:56:52 278 16607 16607 W FlurryAgent: Finalize session_x000D_
03 24 21:56:52 499 16607 16607 E AndroidRuntime: FATAL EXCEPTION: main_x000D_
03 24 21:56:52 499 16607 16607 E AndroidRuntime: Process: org inaturalist android  PID: 16607_x000D_
03 24 21:56:52 499 16607 16607 E AndroidRuntime: android app RemoteServiceException: can t deliver broadcast_x000D_
03 24 21:56:52 499 16607 16607 E AndroidRuntime: 	at android app ActivityThread H handleMessage(ActivityThread java:1650)_x000D_
03 24 21:56:52 499 16607 16607 E AndroidRuntime: 	at android os Handler dispatchMessage(Handler java:102)_x000D_
03 24 21:56:52 499 16607 16607 E AndroidRuntime: 	at android os Looper loop(Looper java:154)_x000D_
03 24 21:56:52 499 16607 16607 E AndroidRuntime: 	at android app ActivityThread main(ActivityThread java:6119)_x000D_
03 24 21:56:52 499 16607 16607 E AndroidRuntime: 	at java lang reflect Method invoke(Native Method)_x000D_
03 24 21:56:52 499 16607 16607 E AndroidRuntime: 	at com android internal os ZygoteInit MethodAndArgsCaller run(ZygoteInit java:886)_x000D_
03 24 21:56:52 499 16607 16607 E AndroidRuntime: 	at com android internal os ZygoteInit main(ZygoteInit java:776)_x000D_
03 24 21:56:53 069 16607 19292 W FlurryAgent: FlurryDataSender: report 209d7eda 7123 4a59 9eab e9e5ff31b35c sent  HTTP response: 200_x000D_
03 24 21:56:53 619 16607 16629 I Fabric  : Crashlytics report upload complete: 58D5F0E80032 0001 40DF 46BDB01DD930 cls_x000D_
   </t>
  </si>
  <si>
    <t>alexvasilkov-GestureViews-66</t>
  </si>
  <si>
    <t>Crash on API 19</t>
  </si>
  <si>
    <t xml:space="preserve">2 things:_x000D_
 1   The sample APK is not working on API 19 _x000D_
 2   I add the library (v 2 2 0) to a project  I have a recycler view and a view pager  On API 19   is working great  But in API 19  when i rotate the device  the app crashes  and i have not log  Its very strange  The error occurs when the recyclerview render  If i set  view Gone  to the visibility of the recyclerview  the apps not crashes _x000D_
_x000D_
Thanks </t>
  </si>
  <si>
    <t>playmusicexporter-playmusicexporter-24</t>
  </si>
  <si>
    <t>Remove debug preference screen from release builds.</t>
  </si>
  <si>
    <t xml:space="preserve">I have got some crash reports that  if I interpreted the stack trace correctly  come from the debug settings  I am not sure why people click on something like that and bother to send a report for that (I ve got at least three)  but we should remove that to stop these reports from coming in </t>
  </si>
  <si>
    <t>google-ExoPlayer-2607</t>
  </si>
  <si>
    <t>HLS/H264 stream crashes in libstagefright on Galaxy Nexus</t>
  </si>
  <si>
    <t xml:space="preserve">    Issue description_x000D_
HLS stream crashes on Samsung Galaxy Nexus running Android 4 2 2 with following backtrace_x000D_
_x000D_
   _x000D_
03 26 10:02:20 066 126 126   I DEBUG:                                                                _x000D_
03 26 10:02:20 066 126 126   I DEBUG: Build fingerprint:  google takju maguro:4 2 2 JDQ39 573038:user release keys _x000D_
03 26 10:02:20 066 126 126   I DEBUG: Revision:  9 _x000D_
03 26 10:02:20 066 126 126   I DEBUG: pid: 31825  tid: 31969  name: CodecLooper      no nrk tv    _x000D_
03 26 10:02:20 066 126 126   I DEBUG: signal 11 (SIGSEGV)  code 1 (SEGV MAPERR)  fault addr deadbaad_x000D_
03 26 10:02:20 449 126 126   I DEBUG:     r0 00000027  r1 deadbaad  r2 40179258  r3 00000000_x000D_
03 26 10:02:20 449 126 126   I DEBUG:     r4 00000000  r5 6246888c  r6 000a8c00  r7 5aeb0823_x000D_
03 26 10:02:20 449 126 126   I DEBUG:     r8 5ce6c110  r9 5af2f8cc  sl 00000000  fp 00000000_x000D_
03 26 10:02:20 449 126 126   I DEBUG:     ip 401a7e78  sp 62468888  lr 4014c0d9  pc 40148772  cpsr 60000030_x000D_
03 26 10:02:20 449 126 126   I DEBUG:     d0  203d3e20657a6969  d1  61662029657a696c_x000D_
03 26 10:02:20 449 126 126   I DEBUG:     d2  6567617473626965  d3  412f746867697264_x000D_
03 26 10:02:20 449 126 126   I DEBUG:     d4  70632e6365646f43  d5  4320303530313a70_x000D_
03 26 10:02:20 449 126 126   I DEBUG:     d6  666564284b434548  d7  7265666675426e2e_x000D_
03 26 10:02:20 449 126 126   I DEBUG:     d8  4053400000000000  d9  405360000000004d_x000D_
03 26 10:02:20 449 126 126   I DEBUG:     d10 0000000047f26d00  d11 0000000000000000_x000D_
03 26 10:02:20 449 126 126   I DEBUG:     d12 0000000000000000  d13 0000000000000000_x000D_
03 26 10:02:20 449 126 126   I DEBUG:     d14 0000000000000000  d15 0000000000000000_x000D_
03 26 10:02:20 449 126 126   I DEBUG:     d16 7fffffffffffffff  d17 7fffffffffffffff_x000D_
03 26 10:02:20 449 126 126   I DEBUG:     d18 0000000000000000  d19 0000000000000000_x000D_
03 26 10:02:20 449 126 126   I DEBUG:     d20 4044000000000000  d21 3ff0000000000000_x000D_
03 26 10:02:20 449 126 126   I DEBUG:     d22 4036000000000000  d23 3ff0000000000000_x000D_
03 26 10:02:20 449 126 126   I DEBUG:     d24 3ff0000000000000  d25 0000000000000000_x000D_
03 26 10:02:20 449 126 126   I DEBUG:     d26 4036000000000000  d27 3fdb7aff0778f531_x000D_
03 26 10:02:20 449 126 126   I DEBUG:     d28 3fe33bbccf6b1b91  d29 bfc207ac00000000_x000D_
03 26 10:02:20 449 126 126   I DEBUG:     d30 4006df8500000000  d31 3fe2b80340000000_x000D_
03 26 10:02:20 449 126 126   I DEBUG:     scr 60000093_x000D_
03 26 10:02:20 457 126 126   I DEBUG: backtrace:_x000D_
03 26 10:02:20 457 126 126   I DEBUG:      00  pc 0001a772   system lib libc so_x000D_
03 26 10:02:20 457 126 126   I DEBUG:      01  pc 00018070   system lib libc so (abort 4)_x000D_
03 26 10:02:20 457 126 126   I DEBUG:      02  pc 00003df9   system lib libcutils so (  android log assert 88)_x000D_
03 26 10:02:20 457 126 126   I DEBUG:      03  pc 00046fb3   system lib libstagefright so (android::ACodec::setMinBufferSize(unsigned long  unsigned int) 118)_x000D_
03 26 10:02:20 457 126 126   I DEBUG:      04  pc 00048d93   system lib libstagefright so (android::ACodec::configureCodec(char const   android::sp android::AMessage  const ) 938)_x000D_
03 26 10:02:20 457 126 126   I DEBUG:      05  pc 0004a665   system lib libstagefright so (android::ACodec::LoadedState::onConfigureComponent(android::sp android::AMessage  const ) 72)_x000D_
03 26 10:02:20 457 126 126   I DEBUG:      06  pc 0004b3ef   system lib libstagefright so (android::ACodec::LoadedState::onMessageReceived(android::sp android::AMessage  const ) 46)_x000D_
03 26 10:02:20 457 126 126   I DEBUG:      07  pc 000066a5   system lib libstagefright foundation so (android::AHierarchicalStateMachine::onMessageReceived(android::sp android::AMessage  const ) 80)_x000D_
03 26 10:02:20 457 126 126   I DEBUG:      08  pc 00007439   system lib libstagefright foundation so (android::ALooperRoster::deliverMessage(android::sp android::AMessage  const ) 188)_x000D_
03 26 10:02:20 457 126 126   I DEBUG:      09  pc 00006ced   system lib libstagefright foundation so (android::ALooper::loop() 204)_x000D_
03 26 10:02:20 457 126 126   I DEBUG:      10  pc 00011253   system lib libutils so (android::Thread:: threadLoop(void ) 94)_x000D_
03 26 10:02:20 457 126 126   I DEBUG:      11  pc 00010dcd   system lib libutils so_x000D_
03 26 10:02:20 457 126 126   I DEBUG:      12  pc 0000e3d8   system lib libc so (  thread entry 72)_x000D_
03 26 10:02:20 457 126 126   I DEBUG:      13  pc 0000dac4   system lib libc so (pthread create 160)_x000D_
03 26 10:02:20 457 126 126   I DEBUG: stack:_x000D_
03 26 10:02:20 457 126 126   I DEBUG:          62468848  00000000  _x000D_
03 26 10:02:20 457 126 126   I DEBUG:          6246884c  00000000  _x000D_
03 26 10:02:20 457 126 126   I DEBUG:          62468850  00000000  _x000D_
03 26 10:02:20 457 126 126   I DEBUG:          62468854  aa1196f1  _x000D_
03 26 10:02:20 457 126 126   I DEBUG:          62468858  00004000  _x000D_
03 26 10:02:20 457 126 126   I DEBUG:          6246885c  62468915  _x000D_
03 26 10:02:20 457 126 126   I DEBUG:          62468860  40176254   system lib libc so_x000D_
03 26 10:02:20 457 126 126   I DEBUG:          62468864  401761b4   system lib libc so_x000D_
03 26 10:02:20 457 126 126   I DEBUG:          62468868  00000000  _x000D_
03 26 10:02:20 457 126 126   I DEBUG:          6246886c  4014c0d9   system lib libc so ( fwalk 32)_x000D_
03 26 10:02:20 457 126 126   I DEBUG:          62468870  00000001  _x000D_
03 26 10:02:20 457 126 126   I DEBUG:          62468874  6246888c  _x000D_
03 26 10:02:20 457 126 126   I DEBUG:          62468878  000a8c00  _x000D_
03 26 10:02:20 457 126 126   I DEBUG:          6246887c  5aeb0823   system lib libstagefright so (android::MuxOMX::setParameter(void   OMX INDEXTYPE  void const   unsigned int))_x000D_
03 26 10:02:20 457 126 126   I DEBUG:          62468880  df0027ad  _x000D_
03 26 10:02:20 457 126 126   I DEBUG:          62468884  00000000  _x000D_
03 26 10:02:20 465 126 126   I DEBUG:      00  62468888  00000000  _x000D_
03 26 10:02:20 465 126 126   I DEBUG:          6246888c  fffffbdf  _x000D_
03 26 10:02:20 465 126 126   I DEBUG:          62468890  6246888c  _x000D_
03 26 10:02:20 465 126 126   I DEBUG:          62468894  00000001  _x000D_
03 26 10:02:20 465 126 126   I DEBUG:          62468898  5aefcb33   system lib libstagefright so_x000D_
03 26 10:02:20 465 126 126   I DEBUG:          6246889c  00000007  _x000D_
03 26 10:02:20 465 126 126   I DEBUG:          624688a0  624688bc  _x000D_
03 26 10:02:20 465 126 126   I DEBUG:          624688a4  5aefcb33   system lib libstagefright so_x000D_
03 26 10:02:20 465 126 126   I DEBUG:          624688a8  5aeb0843   system lib libstagefright so (android::MuxOMX::getParameter(void   OMX INDEXTYPE  void   unsigned int))_x000D_
03 26 10:02:20 465 126 126   I DEBUG:          624688ac  40146074   system lib libc so (  pthread clone)_x000D_
03 26 10:02:20 465 126 126   I DEBUG:      01  624688b0  4019da5d   system lib libcutils so_x000D_
03 26 10:02:20 465 126 126   I DEBUG:          624688b4  4019ddfd   system lib libcutils so (  android log assert 92)_x000D_
03 26 10:02:20 465 126 126   I DEBUG:      02  624688b8  62468ccc  _x000D_
03 26 10:02:20 465 126 126   I DEBUG:          624688bc  6d617266  _x000D_
03 26 10:02:20 465 126 126   I DEBUG:          624688c0  726f7765  _x000D_
03 26 10:02:20 465 126 126   I DEBUG:          624688c4  612f736b  _x000D_
03 26 10:02:20 465 126 126   I DEBUG:          624688c8  656d2f76  _x000D_
03 26 10:02:20 465 126 126   I DEBUG:          624688cc  2f616964  _x000D_
03 26 10:02:20 465 126 126   I DEBUG:          624688d0  7362696c  _x000D_
03 26 10:02:20 465 126 126   I DEBUG:          624688d4  65676174  _x000D_
03 26 10:02:20 465 126 126   I DEBUG:          624688d8  67697266  _x000D_
03 26 10:02:20 465 126 126   I DEBUG:          624688dc  412f7468   dev ashmem dalvik heap (deleted)_x000D_
03 26 10:02:20 465 126 126   I DEBUG:          624688e0  65646f43  _x000D_
03 26 10:02:20 465 126 126   I DEBUG:          624688e4  70632e63  _x000D_
03 26 10:02:20 465 126 126   I DEBUG:          624688e8  30313a70  _x000D_
03 26 10:02:20 465 126 126   I DEBUG:          624688ec  43203035   dev ashmem dalvik heap (deleted)_x000D_
03 26 10:02:20 465 126 126   I DEBUG:          624688f0  4b434548   dev ashmem dalvik heap (deleted)_x000D_
03 26 10:02:20 465 126 126   I DEBUG:          624688f4  66656428  _x000D_
03 26 10:02:20 465 126 126   I DEBUG:                            _x000D_
03 26 10:02:20 472 126 126   I DEBUG: memory near r2:_x000D_
03 26 10:02:20 472 126 126   I DEBUG:     40179238 00000007 00000002 00000000 00000000  _x000D_
03 26 10:02:20 472 126 126   I DEBUG:     40179248 00000000 00000000 00000000 00000000  _x000D_
03 26 10:02:20 472 126 126   I DEBUG:     40179258 00000001 00000000 00000000 00000000  _x000D_
03 26 10:02:20 472 126 126   I DEBUG:     40179268 00000000 00000000 00000000 00000000  _x000D_
03 26 10:02:20 472 126 126   I DEBUG:     40179278 00000000 00000000 00000000 00000000  _x000D_
03 26 10:02:20 472 126 126   I DEBUG:     40179288 00000000 00000000 00000000 00000000  _x000D_
03 26 10:02:20 472 126 126   I DEBUG:     40179298 00000000 00000000 00616edf 00000000  _x000D_
03 26 10:02:20 472 126 126   I DEBUG:     401792a8 00000000 00000000 00000000 00000000  _x000D_
03 26 10:02:20 472 126 126   I DEBUG:     401792b8 00000000 00000000 00000000 00000000  _x000D_
03 26 10:02:20 472 126 126   I DEBUG:     401792c8 00000000 00000000 00000000 00000000  _x000D_
03 26 10:02:20 472 126 126   I DEBUG:     401792d8 00000000 00000000 00000000 00000000  _x000D_
03 26 10:02:20 472 126 126   I DEBUG:     401792e8 00000000 00000000 00000000 00000000  _x000D_
03 26 10:02:20 480 126 126   I DEBUG:     401792f8 00000000 00000000 00000000 00004000  _x000D_
03 26 10:02:20 480 126 126   I DEBUG:     40179308 00000000 00000000 00000000 00004000  _x000D_
03 26 10:02:20 480 126 126   I DEBUG:     40179318 00000000 00000000 00000000 00004000  _x000D_
03 26 10:02:20 480 126 126   I DEBUG:     40179328 00000000 00000000 00000000 00004000  _x000D_
03 26 10:02:20 480 126 126   I DEBUG: memory near r5:_x000D_
03 26 10:02:20 480 126 126   I DEBUG:     6246886c 4014c0d9 00000001 6246888c 000a8c00  _x000D_
03 26 10:02:20 480 126 126   I DEBUG:     6246887c 5aeb0823 df0027ad 00000000 00000000  _x000D_
03 26 10:02:20 480 126 126   I DEBUG:     6246888c fffffbdf 6246888c 00000001 5aefcb33  _x000D_
03 26 10:02:20 480 126 126   I DEBUG:     6246889c 00000007 624688bc 5aefcb33 5aeb0843  _x000D_
03 26 10:02:20 480 126 126   I DEBUG:     624688ac 40146074 4019da5d 4019ddfd 62468ccc  _x000D_
03 26 10:02:20 480 126 126   I DEBUG:     624688bc 6d617266 726f7765 612f736b 656d2f76  _x000D_
03 26 10:02:20 480 126 126   I DEBUG:     624688cc 2f616964 7362696c 65676174 67697266  _x000D_
03 26 10:02:20 480 126 126   I DEBUG:     624688dc 412f7468 65646f43 70632e63 30313a70  _x000D_
03 26 10:02:20 480 126 126   I DEBUG:     624688ec 43203035 4b434548 66656428 75426e2e  _x000D_
03 26 10:02:20 480 126 126   I DEBUG:     624688fc 72656666 657a6953 203d3e20 657a6973  _x000D_
03 26 10:02:20 480 126 126   I DEBUG:     6246890c 61662029 64656c69 4d4f002e 756d2058  _x000D_
03 26 10:02:20 480 126 126   I DEBUG:     6246891c 00002e78 00000000 00000000 00000000  _x000D_
03 26 10:02:20 480 126 126   I DEBUG:     6246892c 00000000 00000000 00000000 00000000  _x000D_
03 26 10:02:20 480 126 126   I DEBUG:     6246893c 00000000 00000000 00000000 00000000  _x000D_
03 26 10:02:20 480 126 126   I DEBUG:     6246894c 00000000 00000000 00000000 00000000  _x000D_
03 26 10:02:20 480 126 126   I DEBUG:     6246895c 00000000 00000000 00000000 00000000  _x000D_
03 26 10:02:20 480 126 126   I DEBUG: memory near r6:_x000D_
03 26 10:02:20 480 126 126   I DEBUG:     000a8be0 ffffffff ffffffff ffffffff ffffffff  _x000D_
03 26 10:02:20 480 126 126   I DEBUG:     000a8bf0 ffffffff ffffffff ffffffff ffffffff  _x000D_
03 26 10:02:20 480 126 126   I DEBUG:     000a8c00 ffffffff ffffffff ffffffff ffffffff  _x000D_
03 26 10:02:20 480 126 126   I DEBUG:     000a8c10 ffffffff ffffffff ffffffff ffffffff  _x000D_
03 26 10:02:20 480 126 126   I DEBUG:     000a8c20 ffffffff ffffffff ffffffff ffffffff  _x000D_
03 26 10:02:20 480 126 126   I DEBUG:     000a8c30 ffffffff ffffffff ffffffff ffffffff  _x000D_
03 26 10:02:20 480 126 126   I DEBUG:     000a8c40 ffffffff ffffffff ffffffff ffffffff  _x000D_
03 26 10:02:20 488 126 126   I DEBUG:     000a8c50 ffffffff ffffffff ffffffff ffffffff  _x000D_
03 26 10:02:20 488 126 126   I DEBUG:     000a8c60 ffffffff ffffffff ffffffff ffffffff  _x000D_
03 26 10:02:20 488 126 126   I DEBUG:     000a8c70 ffffffff ffffffff ffffffff ffffffff  _x000D_
03 26 10:02:20 488 126 126   I DEBUG:     000a8c80 ffffffff ffffffff ffffffff ffffffff  _x000D_
03 26 10:02:20 488 126 126   I DEBUG:     000a8c90 ffffffff ffffffff ffffffff ffffffff  _x000D_
03 26 10:02:20 488 126 126   I DEBUG:     000a8ca0 ffffffff ffffffff ffffffff ffffffff  _x000D_
03 26 10:02:20 488 126 126   I DEBUG:     000a8cb0 ffffffff ffffffff ffffffff ffffffff  _x000D_
03 26 10:02:20 488 126 126   I DEBUG:     000a8cc0 ffffffff ffffffff ffffffff ffffffff  _x000D_
03 26 10:02:20 488 126 126   I DEBUG:     000a8cd0 ffffffff ffffffff ffffffff ffffffff  _x000D_
03 26 10:02:20 488 126 126   I DEBUG: memory near r7:_x000D_
03 26 10:02:20 488 126 126   I DEBUG:     5aeb0800 b5f7bdfe 461e4617 f7ff460c 9a08ff25  _x000D_
03 26 10:02:20 488 126 126   I DEBUG:     5aeb0810 68004621 92006803 6add463a 47a84633  _x000D_
03 26 10:02:20 488 126 126   I DEBUG:     5aeb0820 b5f7bdfe 461e4617 f7ff460c 9a08ff15  _x000D_
03 26 10:02:20 488 126 126   I DEBUG:     5aeb0830 68004621 92006803 6a9d463a 47a84633  _x000D_
03 26 10:02:20 488 126 126   I DEBUG:     5aeb0840 b5f7bdfe 461e4617 f7ff460c 9a08ff05  _x000D_
03 26 10:02:20 488 126 126   I DEBUG:     5aeb0850 68004621 92006803 6a5d463a 47a84633  _x000D_
03 26 10:02:20 488 126 126   I DEBUG:     5aeb0860 b5f8bdfe 460c461e f7ff4617 4621fef5  _x000D_
03 26 10:02:20 488 126 126   I DEBUG:     5aeb0870 6800463a 6a1d6803 47a84633 b538bdf8  _x000D_
03 26 10:02:20 488 126 126   I DEBUG:     5aeb0880 4615460c fee8f7ff 6800462a 690b6801  _x000D_
03 26 10:02:20 488 126 126   I DEBUG:     5aeb0890 47984621 b510bd38 f7ff4604 b110feb3  _x000D_
03 26 10:02:20 488 126 126   I DEBUG:     5aeb08a0 000cf104 f104bd10 bd100008 1d07b5f7  _x000D_
03 26 10:02:20 488 126 126   I DEBUG:     5aeb08b0 4604460d f7d74638 4629ef70 f7ff4620  _x000D_
03 26 10:02:20 488 126 126   I DEBUG:     5aeb08c0 6800ffea 69cb6801 47984629 b9384606  _x000D_
03 26 10:02:20 488 126 126   I DEBUG:     5aeb08d0 4669a802 5d08f840 0010f104 eb58f7d8  _x000D_
03 26 10:02:20 488 126 126   I DEBUG:     5aeb08e0 f7d74638 4630ef60 6801bdfe 3c0cf851  _x000D_
03 26 10:02:20 488 126 126   I DEBUG:     5aeb08f0 f00018c0 0000b801 b5104b11 f103447b  _x000D_
03 26 10:02:20 488 126 126   I DEBUG: memory near r8:_x000D_
03 26 10:02:20 488 126 126   I DEBUG:     5ce6c0f0 00000010 00000000 00000000 00000000  _x000D_
03 26 10:02:20 488 126 126   I DEBUG:     5ce6c100 00000000 00000000 00000000 0000002b  _x000D_
03 26 10:02:20 496 126 126   I DEBUG:     5ce6c110 65646976 76612f6f 00000063 00000077  _x000D_
03 26 10:02:20 496 126 126   I DEBUG:     5ce6c120 5ce68d78 5ce68d78 00000000 00000000  _x000D_
03 26 10:02:20 496 126 126   I DEBUG:     5ce6c130 00000028 0000001b 5ce6c150 0000000d  _x000D_
03 26 10:02:20 496 126 126   I DEBUG:     5ce6c140 00000020 40e45a98 40e45a98 0000002b  _x000D_
03 26 10:02:20 496 126 126   I DEBUG:     5ce6c150 6974616e 772d6576 6f646e69 00000077  _x000D_
03 26 10:02:20 496 126 126   I DEBUG:     5ce6c160 00000000 00000000 00000000 00000000  _x000D_
03 26 10:02:20 496 126 126   I DEBUG:     5ce6c170 00000000 000000ab 5d7c1428 00007ce0  _x000D_
03 26 10:02:20 496 126 126   I DEBUG:     5ce6c180 401dc628 00000000 00000000 00000007  _x000D_
03 26 10:02:20 496 126 126   I DEBUG:     5ce6c190 00000004 401dc670 00000000 00000000  _x000D_
03 26 10:02:20 496 126 126   I DEBUG:     5ce6c1a0 00000007 00000004 00000000 5ce6c220  _x000D_
03 26 10:02:20 496 126 126   I DEBUG:     5ce6c1b0 00000030 00000100 00000030 00000000  _x000D_
03 26 10:02:20 496 126 126   I DEBUG:     5ce6c1c0 00000000 00000000 00000000 00010001  _x000D_
03 26 10:02:20 496 126 126   I DEBUG:     5ce6c1d0 00000000 00000000 00000000 5ce6c328  _x000D_
03 26 10:02:20 496 126 126   I DEBUG:     5ce6c1e0 00000008 00000100 00000008 00000000  _x000D_
03 26 10:02:20 496 126 126   I DEBUG: memory near r9:_x000D_
03 26 10:02:20 496 126 126   I DEBUG:     5af2f8ac 5af286e8 5af2872c 5aef7ea4 5aef7ccc  _x000D_
03 26 10:02:20 496 126 126   I DEBUG:     5af2f8bc 5aef377c 5af30260 5af28718 5af28484  _x000D_
03 26 10:02:20 496 126 126   I DEBUG:     5af2f8cc 00000000 00000000 00000000 4014f761  _x000D_
03 26 10:02:20 496 126 126   I DEBUG:     5af2f8dc 4014f651 40a5f5e9 400768f7 40147690  _x000D_
03 26 10:02:20 496 126 126   I DEBUG:     5af2f8ec 40146600 400e1fb9 400e49f9 400e1f07  _x000D_
03 26 10:02:20 504 126 126   I DEBUG:     5af2f8fc 40a2d795 400e26c3 400e27bf 400e26b5  _x000D_
03 26 10:02:20 504 126 126   I DEBUG:     5af2f90c 400e4e47 400e4d1d 400e1ea9 401d0595  _x000D_
03 26 10:02:20 504 126 126   I DEBUG:     5af2f91c 40a1e451 4019dda1 40152f71 400768e9  _x000D_
03 26 10:02:20 504 126 126   I DEBUG:     5af2f92c 40a606cd 40a606d5 40a611c9 40a606a5  _x000D_
03 26 10:02:20 504 126 126   I DEBUG:     5af2f93c 400e4f4f 40076855 400768ab 40153121  _x000D_
03 26 10:02:20 504 126 126   I DEBUG:     5af2f94c 40a61215 4019dced 40140771 401469a4  _x000D_
03 26 10:02:20 504 126 126   I DEBUG:     5af2f95c 40a60831 40a608a5 400e20e5 400e4d91  _x000D_
03 26 10:02:20 504 126 126   I DEBUG:     5af2f96c 400e51a5 40a5f541 4019ef1c 40146ca9  _x000D_
03 26 10:02:20 504 126 126   I DEBUG:     5af2f97c 4047097d 4019eefc 40470915 40470933  _x000D_
03 26 10:02:20 504 126 126   I DEBUG:     5af2f98c 404707ff 40a61095 40a60821 40a608e5  _x000D_
03 26 10:02:20 504 126 126   I DEBUG:     5af2f99c 40a60845 40a5f705 40a611f9 40a614a1  _x000D_
03 26 10:02:20 504 126 126   I DEBUG: memory near ip:_x000D_
03 26 10:02:20 504 126 126   I DEBUG:     401a7e58 40145558 401469a4 40166bb3 40147560  _x000D_
03 26 10:02:20 504 126 126   I DEBUG:     401a7e68 4014f29d 40140771 4014ca7d 401468ac  _x000D_
03 26 10:02:20 504 126 126   I DEBUG:     401a7e78 4014606c 40146600 4014b635 4013af1d  _x000D_
03 26 10:02:20 504 126 126   I DEBUG:     401a7e88 4013af09 40153041 40153061 401531c7  _x000D_
03 26 10:02:20 504 126 126   I DEBUG:     401a7e98 4014b6f5 40155dd1 40156bc1 40166c9c  _x000D_
03 26 10:02:20 504 126 126   I DEBUG:     401a7ea8 4013aef5 40153021 401530f9 40144d88  _x000D_
03 26 10:02:20 504 126 126   I DEBUG:     401a7eb8 40144ec4 40146ca9 40144e44 40149d53  _x000D_
03 26 10:02:20 504 126 126   I DEBUG:     401a7ec8 40152629 4014fd77 4013af31 40147690  _x000D_
03 26 10:02:20 504 126 126   I DEBUG:     401a7ed8 4014670c 40166bd4 4013b524 4013bfe8  _x000D_
03 26 10:02:20 504 126 126   I DEBUG:     401a7ee8 40144d6c 401459f4 40145b58 40145a30  _x000D_
03 26 10:02:20 504 126 126   I DEBUG:     401a7ef8 40145a70 401534b1 40145a50 40145374  _x000D_
03 26 10:02:20 504 126 126   I DEBUG:     401a7f08 4015cee5 40153309 40145b80 4014b5b5  _x000D_
03 26 10:02:20 504 126 126   I DEBUG:     401a7f18 40152ddd 4015333d 4014b2ad 4014af35  _x000D_
03 26 10:02:20 504 126 126   I DEBUG:     401a7f28 4014be19 40144cd8 4015b18d 4015b171  _x000D_
03 26 10:02:20 504 126 126   I DEBUG:     401a7f38 4015b12d 4015b0bd 4013c8a8 4013c5fc  _x000D_
03 26 10:02:20 504 126 126   I DEBUG:     401a7f48 4013c7fc 40144a4c 4013c9c0 40153559  _x000D_
03 26 10:02:20 504 126 126   I DEBUG: memory near sp:_x000D_
03 26 10:02:20 504 126 126   I DEBUG:     62468868 00000000 4014c0d9 00000001 6246888c  _x000D_
03 26 10:02:20 504 126 126   I DEBUG:     62468878 000a8c00 5aeb0823 df0027ad 00000000  _x000D_
03 26 10:02:20 504 126 126   I DEBUG:     62468888 00000000 fffffbdf 6246888c 00000001  _x000D_
03 26 10:02:20 504 126 126   I DEBUG:     62468898 5aefcb33 00000007 624688bc 5aefcb33  _x000D_
03 26 10:02:20 511 126 126   I DEBUG:     624688a8 5aeb0843 40146074 4019da5d 4019ddfd  _x000D_
03 26 10:02:20 511 126 126   I DEBUG:     624688b8 62468ccc 6d617266 726f7765 612f736b  _x000D_
03 26 10:02:20 511 126 126   I DEBUG:     624688c8 656d2f76 2f616964 7362696c 65676174  _x000D_
03 26 10:02:20 511 126 126   I DEBUG:     624688d8 67697266 412f7468 65646f43 70632e63  _x000D_
03 26 10:02:20 511 126 126   I DEBUG:     624688e8 30313a70 43203035 4b434548 66656428  _x000D_
03 26 10:02:20 511 126 126   I DEBUG:     624688f8 75426e2e 72656666 657a6953 203d3e20  _x000D_
03 26 10:02:20 511 126 126   I DEBUG:     62468908 657a6973 61662029 64656c69 4d4f002e  _x000D_
03 26 10:02:20 511 126 126   I DEBUG:     62468918 756d2058 00002e78 00000000 00000000  _x000D_
03 26 10:02:20 511 126 126   I DEBUG:     62468928 00000000 00000000 00000000 00000000  _x000D_
03 26 10:02:20 511 126 126   I DEBUG:     62468938 00000000 00000000 00000000 00000000  _x000D_
03 26 10:02:20 511 126 126   I DEBUG:     62468948 00000000 00000000 00000000 00000000  _x000D_
03 26 10:02:20 511 126 126   I DEBUG:     62468958 00000000 00000000 00000000 00000000  _x000D_
03 26 10:02:20 511 126 126   I DEBUG: code around pc:_x000D_
03 26 10:02:20 511 126 126   I DEBUG:     40148750 e000b164 6823461c d1fb2b00 68e3e026  _x000D_
03 26 10:02:20 511 126 126   I DEBUG:     40148760 4a17b123 447a2401 47986014 20274911  _x000D_
03 26 10:02:20 511 126 126   I DEBUG:     40148770 70082400 eb86f7fc f7fd2106 a902ecea  _x000D_
03 26 10:02:20 511 126 126   I DEBUG:     40148780 f04f2006 460a5380 94029304 f7fd9403  _x000D_
03 26 10:02:20 511 126 126   I DEBUG:     40148790 4629e8d0 20024622 e8d8f7fd eb72f7fc  _x000D_
03 26 10:02:20 511 126 126   I DEBUG:     401487a0 f7fd2106 2001ecd6 e892f7fc 2a006962  _x000D_
03 26 10:02:20 511 126 126   I DEBUG:     401487b0 e7d4d1dc deadbaad 0002d826 00030b0a  _x000D_
03 26 10:02:20 511 126 126   I DEBUG:     401487c0 00030aee 2400b510 aa04b088 46699002  _x000D_
03 26 10:02:20 511 126 126   I DEBUG:     401487d0 94014620 94039400 e830f7fd bfb842a0  _x000D_
03 26 10:02:20 511 126 126   I DEBUG:     401487e0 db054620 b1139b07 1c489906 98069006  _x000D_
03 26 10:02:20 511 126 126   I DEBUG:     401487f0 bd10b008 4604b510 e9c6f7fc d10542a0  _x000D_
03 26 10:02:20 511 126 126   I DEBUG:     40148800 447b4b04 6018681b bd102000 30fff04f  _x000D_
03 26 10:02:20 511 126 126   I DEBUG:     40148810 bf00bd10 0002d75a 460db538 481eb928  _x000D_
03 26 10:02:20 511 126 126   I DEBUG:     40148820 f7fc4478 2800edc4 b9fdd130 2102481b  _x000D_
03 26 10:02:20 511 126 126   I DEBUG:     40148830 f0014478 2800faae db274604 f7fc4629  _x000D_
03 26 10:02:20 511 126 126   I DEBUG:     40148840 2800ec4e 2101db0b f7fc4620 2800ec48  _x000D_
03 26 10:02:20 511 126 126   I DEBUG: code around lr:_x000D_
03 26 10:02:20 511 126 126   I DEBUG:     4014c0b8 41f0e92d 4c0b2600 447c4680 68a56824  _x000D_
03 26 10:02:20 511 126 126   I DEBUG:     4014c0c8 e0076867 300cf9b5 dd022b00 47c04628  _x000D_
03 26 10:02:20 511 126 126   I DEBUG:     4014c0d8 35544306 d5f53f01 2c006824 4630d1ef  _x000D_
03 26 10:02:20 511 126 126   I DEBUG:     4014c0e8 81f0e8bd 00029ec2 43f0e92d fb01461f  _x000D_
03 26 10:02:20 511 126 126   I DEBUG:     4014c0f8 f8dff602 b0878058 44f8460c 8000f8d8  _x000D_
03 26 10:02:20 511 126 126   I DEBUG:     4014c108 9001a901 f8d84615 20013000 96059602  _x000D_
03 26 10:02:20 511 126 126   I DEBUG:     4014c118 90049103 4638b113 fa35f7ff a9034638  _x000D_
03 26 10:02:20 511 126 126   I DEBUG:     4014c128 fe9bf7ff 2000f8d8 b1124681 f7ff4638  _x000D_
03 26 10:02:20 511 126 126   I DEBUG:     4014c138 f1b9fa37 d0050f00 46219d05 f01a1b70  _x000D_
03 26 10:02:20 519 126 126   I DEBUG:     4014c148 4605ed46 b0074628 83f0e8bd 00029e3a  _x000D_
03 26 10:02:20 519 126 126   I DEBUG:     4014c158 1e4b6841 2b006043 f000da01 6803bbab  _x000D_
03 26 10:02:20 519 126 126   I DEBUG:     4014c168 2b01f813 46106003 00004770 4604b570  _x000D_
03 26 10:02:20 519 126 126   I DEBUG:     4014c178 447e4e0d 68336836 f7ffb10b 6861fa04  _x000D_
03 26 10:02:20 519 126 126   I DEBUG:     4014c188 60601e48 bfa22800 f8106820 60205b01  _x000D_
03 26 10:02:20 519 126 126   I DEBUG:     4014c198 4620da03 fb8ef000 68324605 4620b112  _x000D_
03 26 10:02:20 519 126 126   I DEBUG:     4014c1a8 f9fef7ff bd704628 00029dc2 447b4b07  _x000D_
03 26 10:02:20 519 126 126   I DEBUG: memory map around fault addr deadbaad:_x000D_
03 26 10:02:20 519 126 126   I DEBUG:     be9fc000 bea1d000  stack _x000D_
03 26 10:02:20 519 126 126   I DEBUG:     (no map for address)_x000D_
03 26 10:02:20 519 126 126   I DEBUG:     ffff0000 ffff1000  vectors _x000D_
03 26 10:02:21 340 391 414   I BootReceiver: Copying  data tombstones tombstone 08 to DropBox (SYSTEM TOMBSTONE)_x000D_
03 26 10:02:21 379 131 27726   E OMXNodeInstance:     Observer died  Quickly  do something      anything   _x000D_
03 26 10:02:21 379 32072 32072   I CastMediaRouteProvider: in onDiscoveryRequestChanged: request null_x000D_
03 26 10:02:21 379 391 1654   I WindowState: WIN DEATH: Window 418ded78 u0 no nrk tv no nrk tv view TvActivity _x000D_
03 26 10:02:21 394 391 624   I ActivityManager: Process no nrk tv (pid 31825) has died _x000D_
03 26 10:02:21 402 391 402   I WindowState: WIN DEATH: Window 4191e2e8 u0 no nrk tv no nrk tv player NrkPlayerActivity _x000D_
   _x000D_
_x000D_
    Reproduction steps_x000D_
  Build demo app with the HLS Media  https:  github com alexbirkett ExoPlayer tree hls bug galaxy nexus _x000D_
  Open demo app on Galaxy Nexus running Android 4 2 2_x000D_
  Scroll to the bottom of list of media_x000D_
  Tap  NRK _x000D_
  Tap  Dagsrevyen _x000D_
_x000D_
Expected results_x000D_
  Content plays_x000D_
_x000D_
Actual results_x000D_
  Native crash in libstagefright_x000D_
_x000D_
    Link to test content_x000D_
See  https:  github com alexbirkett ExoPlayer tree hls bug galaxy nexus _x000D_
_x000D_
    Version of ExoPlayer being used_x000D_
2 3 0_x000D_
_x000D_
    Device(s) and version(s) of Android being used_x000D_
Galaxy Nexus 4 2 2_x000D_
</t>
  </si>
  <si>
    <t>kabouzeid-Phonograph-112</t>
  </si>
  <si>
    <t>App shortcut: "Shuffle all" crashes</t>
  </si>
  <si>
    <t xml:space="preserve">   _x000D_
03 27 10:49:02 997 I ActivityManager(2110): START u0  act android intent action VIEW flg 0x10000000 cmp com kabouzeid gramophone  appshortcuts AppShortcutLauncherActivity bnds  368 1133  867 1248  (has extras)  from uid 10134 on display 0_x000D_
03 27 10:49:03 037 I ActivityManager(2110): Start proc 7838:com kabouzeid gramophone u0a134 for activity com kabouzeid gramophone  appshortcuts AppShortcutLauncherActivity_x000D_
03 27 10:49:03 080 W System  (7838): ClassLoader referenced unknown path:  data app com kabouzeid gramophone 1 lib arm_x000D_
03 27 10:49:03 495 E AndroidRuntime(7838): Process: com kabouzeid gramophone  PID: 7838_x000D_
03 27 10:49:03 495 E AndroidRuntime(7838): java lang RuntimeException: Unable to start activity ComponentInfo com kabouzeid gramophone com kabouzeid gramophone appshortcuts AppShortcutLauncherActivity : java lang RuntimeException: android os TransactionTooLargeException: data parcel size 1614956 bytes_x000D_
03 27 10:49:03 495 E AndroidRuntime(7838): 	at com kabouzeid gramophone appshortcuts AppShortcutLauncherActivity startServiceWithSongs(Unknown Source)_x000D_
03 27 10:49:03 495 E AndroidRuntime(7838): 	at com kabouzeid gramophone appshortcuts AppShortcutLauncherActivity onCreate(Unknown Source)_x000D_
03 27 10:49:03 499 W ActivityManager(2110):   Force finishing activity com kabouzeid gramophone  appshortcuts AppShortcutLauncherActivity_x000D_
03 27 10:49:04 010 W ActivityManager(2110): Activity pause timeout for ActivityRecord a09ce1f u0 com kabouzeid gramophone  appshortcuts AppShortcutLauncherActivity t433 f _x000D_
03 27 10:49:04 199 W ActivityManager(2110):   Force finishing activity com kabouzeid gramophone  appshortcuts AppShortcutLauncherActivity_x000D_
03 27 10:49:04 199 I ActivityManager(2110): Killing 7838:com kabouzeid gramophone u0a134 (adj 900): crash_x000D_
   </t>
  </si>
  <si>
    <t>fossasia-phimpme-android-252</t>
  </si>
  <si>
    <t>App getting crashed on double tapping capture button in camera</t>
  </si>
  <si>
    <t xml:space="preserve">  Actual Behaviour  _x000D_
_x000D_
App getting crashed on double tapping capture button in camera_x000D_
_x000D_
  Expected Behaviour  _x000D_
_x000D_
second click should not have any effect _x000D_
_x000D_
  LogCat for the issue  _x000D_
_x000D_
 java lang RuntimeException: takePicture failed_x000D_
                                                                     at android hardware Camera native takePicture(Native Method)_x000D_
                                                                     at android hardware Camera takePicture(Camera java:1492)_x000D_
                                                                     at android hardware Camera takePicture(Camera java:1436)_x000D_
                                                                     at vn mbm phimp me Camera2 3 onClick(Camera2 java:303)_x000D_
                                                                     at android view View performClick(View java:5204)_x000D_
                                                                     at android view View PerformClick run(View java:21158)_x000D_
                                                                     at android os Handler handleCallback(Handler java:739)_x000D_
                                                                     at android os Handler dispatchMessage(Handler java:95)_x000D_
                                                                     at android os Looper loop(Looper java:148)_x000D_
                                                                     at android app ActivityThread main(ActivityThread java:5461)_x000D_
                                                                     at java lang reflect Method invoke(Native Method)_x000D_
                                                                     at com android internal os ZygoteInit MethodAndArgsCaller run(ZygoteInit java:726)_x000D_
                                                                     at com android internal os ZygoteInit main(ZygoteInit java:616)_x000D_
_x000D_
  Would you like to work on the issue   _x000D_
_x000D_
Yes  I would like to work on the issue </t>
  </si>
  <si>
    <t>0xbowerbird-Wallser-1</t>
  </si>
  <si>
    <t xml:space="preserve">mine crashes at load_x000D_
_x000D_
   _x000D_
java lang ClassCastException: thenextvoyager wallser activity MainActivity cannot be cast to thenextvoyager wallser callback OnResultFetchedCallback_x000D_
                                                                            at thenextvoyager wallser network FetchImageVolley 1 onResponse(FetchImageVolley java:51)_x000D_
                                                                            at thenextvoyager wallser network FetchImageVolley 1 onResponse(FetchImageVolley java:48)_x000D_
                                                                            at com android volley toolbox JsonRequest deliverResponse(JsonRequest java:65)_x000D_
                                                                            at com android volley ExecutorDelivery ResponseDeliveryRunnable run(ExecutorDelivery java:99)_x000D_
   </t>
  </si>
  <si>
    <t>square-okhttp-3251</t>
  </si>
  <si>
    <t>Recover gracefully from corrupted cache</t>
  </si>
  <si>
    <t xml:space="preserve">In an application using Retrofit 2 2 0 and OkHttp 3 6 0  I m getting several crashes per day with a strange error inside OkHttp classes  which I can t catch because I m using async calls _x000D_
_x000D_
   _x000D_
Fatal Exception: java lang IllegalArgumentException: unexpected url: :  example com api recommend Ans 20_x000D_
       at okhttp3 Request Builder url(Request java:141)_x000D_
       at okhttp3 Cache Entry response(Cache java:705)_x000D_
       at okhttp3 Cache get(Cache java:210)_x000D_
       at okhttp3 Cache 1 get(Cache java:144)_x000D_
       at okhttp3 internal cache CacheInterceptor intercept(CacheInterceptor java:70)_x000D_
       at okhttp3 internal http RealInterceptorChain proceed(RealInterceptorChain java:92)_x000D_
       at okhttp3 internal http RealInterceptorChain proceed(RealInterceptorChain java:67)_x000D_
       at okhttp3 internal http BridgeInterceptor intercept(BridgeInterceptor java:93)_x000D_
       at okhttp3 internal http RealInterceptorChain proceed(RealInterceptorChain java:92)_x000D_
       at okhttp3 internal http RetryAndFollowUpInterceptor intercept(RetryAndFollowUpInterceptor java:124)_x000D_
       at okhttp3 internal http RealInterceptorChain proceed(RealInterceptorChain java:92)_x000D_
       at okhttp3 internal http RealInterceptorChain proceed(RealInterceptorChain java:67)_x000D_
       at okhttp3 RealCall getResponseWithInterceptorChain(RealCall java:170)_x000D_
       at okhttp3 RealCall access 100(RealCall java:33)_x000D_
       at okhttp3 RealCall AsyncCall execute(RealCall java:120)_x000D_
       at okhttp3 internal NamedRunnable run(NamedRunnable java:32)_x000D_
       at java util concurrent ThreadPoolExecutor runWorker(ThreadPoolExecutor java:1113)_x000D_
       at java util concurrent ThreadPoolExecutor Worker run(ThreadPoolExecutor java:588)_x000D_
       at java lang Thread run(Thread java:833)_x000D_
   _x000D_
_x000D_
I guess what s happening is the cache is somehow corrupted (the URL scheme is missing)  and when the  CacheInterceptor  tries to create an  HttpUrl   this exception gets thrown  and since it s not an  IOException   it s not caught and given to my failure handler _x000D_
_x000D_
Shouldn t such RuntimeExceptions be caught by  RealCall  and wrapped in an  IOException  for delivery to the failure handler </t>
  </si>
  <si>
    <t>butterproject-butter-android-153</t>
  </si>
  <si>
    <t>Issues with BeamerService (possible memory leak or related)</t>
  </si>
  <si>
    <t xml:space="preserve">Android version:  4 4 but easily replicable also on 7 0_x000D_
_x000D_
This needs further investigation _x000D_
_x000D_
Steps to reproduce the behaviour (sometimes works  sometimes not):_x000D_
_x000D_
1  Open Butter app_x000D_
2  Select media with Trailer_x000D_
3  Click on Watch Trailer_x000D_
4  Go back to previous screen_x000D_
5  Click again on Watch Trailer_x000D_
_x000D_
   _x000D_
03 28 18:33:49 415 695 695 com android systemui V DeadZone: consuming errant click: (1275 3357 21 0625)_x000D_
03 28 18:33:51 731 638 653 system process I Process: Sending signal  PID: 3373 SIG: 3_x000D_
03 28 18:33:51 731 638 653 system process W ActivityManager: Timeout executing service: ServiceRecord 52af3378 u0 butter droid dev butter droid base manager beaming server BeamServerService _x000D_
03 28 18:33:51 735 3373 3378 butter droid dev I dalvikvm: threadid 3: reacting to signal 3_x000D_
03 28 18:33:51 763 3373 3378 butter droid dev I dalvikvm: Wrote stack traces to   data anr traces txt _x000D_
03 28 18:33:51 763 638 653 system process I Process: Sending signal  PID: 638 SIG: 3_x000D_
03 28 18:33:51 763 638 642 system process I dalvikvm: threadid 3: reacting to signal 3_x000D_
03 28 18:33:51 819 638 672 system process W EventHub: poll failed (errno 1)_x000D_
03 28 18:33:51 843 638 651 system process E Sensors: Select fail  disconnect all clients (errno 4)_x000D_
03 28 18:33:51 855 638 642 system process I dalvikvm: Wrote stack traces to   data anr traces txt _x000D_
03 28 18:33:51 855 638 653 system process I Process: Sending signal  PID: 800 SIG: 3_x000D_
03 28 18:33:51 855 800 805 com android phone I dalvikvm: threadid 3: reacting to signal 3_x000D_
03 28 18:33:51 899 800 805 com android phone I dalvikvm: Wrote stack traces to   data anr traces txt _x000D_
03 28 18:33:51 899 638 653 system process I Process: Sending signal  PID: 695 SIG: 3_x000D_
03 28 18:33:51 899 695 700 com android systemui I dalvikvm: threadid 3: reacting to signal 3_x000D_
03 28 18:33:51 919 695 700 com android systemui I dalvikvm: Wrote stack traces to   data anr traces txt _x000D_
03 28 18:33:52 915 638 653 system process D dalvikvm: GC FOR ALLOC freed 1130K  29  free 11006K 15300K  paused 7ms  total 7ms_x000D_
03 28 18:33:52 935 638 653 system process D dalvikvm: GC EXPLICIT freed 270K  28  free 11042K 15300K  paused 1ms 1ms  total 8ms_x000D_
03 28 18:33:53 439 638 653 system process E ActivityManager: ANR in butter droid dev_x000D_
                                                             PID: 3373_x000D_
                                                             Reason: Executing service butter droid dev butter droid base manager beaming server BeamServerService_x000D_
                                                             Load: 0 32   0 4   0 3_x000D_
                                                             CPU usage from 8348ms to 0ms ago:_x000D_
                                                               0 3  638 system server: 0  user   0 3  kernel_x000D_
                                                               0  1  init: 0  user   0  kernel_x000D_
                                                               0  86 adbd: 0  user   0  kernel   faults: 114 minor_x000D_
                                                               0  308 surfaceflinger: 0  user   0  kernel_x000D_
                                                               0 1  3373 butter droid dev: 0  user   0 1  kernel   faults: 3 minor_x000D_
                                                               0  3454 logcat: 0  user   0  kernel_x000D_
                                                             0 2  TOTAL: 0  user   0 1  kernel_x000D_
                                                             CPU usage from 1203ms to 1706ms later:_x000D_
                                                               2  638 system server: 0  user   2  kernel_x000D_
                                                             0  TOTAL: 0  user   0  kernel_x000D_
03 28 18:33:54 539 638 684 system process D MobileDataStateTracker: default: setPolicyDataEnable(enabled true)_x000D_
03 28 18:33:54 691 638 651 system process D Sensors: Client connection accepted (150)_x000D_
03 28 18:33:54 727 638 684 system process D MobileDataStateTracker: default: setPolicyDataEnable(enabled true)_x000D_
03 28 18:33:54 815 638 684 system process D MobileDataStateTracker: default: setPolicyDataEnable(enabled true)_x000D_
03 28 18:33:54 867 638 684 system process D MobileDataStateTracker: default: setPolicyDataEnable(enabled true)_x000D_
03 28 18:33:54 919 638 684 system process D MobileDataStateTracker: default: setPolicyDataEnable(enabled true)_x000D_
03 28 18:33:55 655 638 684 system process D MobileDataStateTracker: default: setPolicyDataEnable(enabled true)_x000D_
03 28 18:33:55 679 638 653 system process W ActivityManager:   Force finishing activity butter droid dev butter droid ui main MainActivity_x000D_
03 28 18:33:55 683 638 653 system process I ActivityManager: Killing 3373:butter droid dev u0a58 (adj 0): user request after error_x000D_
03 28 18:33:55 687 310 335   W genymotion audio: out write() limiting sleep time 116462 to 39909_x000D_
03 28 18:33:55 699 638 682 system process E WifiStateMachine: Error  unhandled message  when 0 what 131156 target com android internal util StateMachine SmHandler  _x000D_
03 28 18:33:55 699 638 671 system process W InputDispatcher: channel  52965a80 butter droid dev butter droid ui media detail MediaDetailActivity (server)    Consumer closed input channel or an error occurred   events 0x9_x000D_
03 28 18:33:55 699 638 671 system process E InputDispatcher: channel  52965a80 butter droid dev butter droid ui media detail MediaDetailActivity (server)    Channel is unrecoverably broken and will be disposed _x000D_
03 28 18:33:55 699 638 812 system process W InputDispatcher: Attempted to unregister already unregistered input channel  52965a80 butter droid dev butter droid ui media detail MediaDetailActivity (server) _x000D_
03 28 18:33:55 699 638 930 system process I WindowState: WIN DEATH: Window 529525d4 u0 butter droid dev butter droid ui main MainActivity _x000D_
03 28 18:33:55 699 638 828 system process W ActivityManager: Service crashed 2 times  stopping: ServiceRecord 52af3378 u0 butter droid dev butter droid base manager beaming server BeamServerService _x000D_
03 28 18:33:55 699 638 650 system process E WifiService: Multicaster binderDied_x000D_
03 28 18:33:55 699 638 828 system process W ActivityManager: Service crashed 2 times  stopping: ServiceRecord 52ae897c u0 butter droid dev butter droid base torrent TorrentService _x000D_
03 28 18:33:55 699 638 812 system process I WindowState: WIN DEATH: Window 52965a80 u0 butter droid dev butter droid ui media detail MediaDetailActivity _x000D_
03 28 18:33:55 727 310 335   W genymotion audio: out write() limiting sleep time 89977 to 39909_x000D_
03 28 18:33:55 747 815 815 com android launcher W EGL genymotion: eglSurfaceAttrib not implemented_x000D_
03 28 18:33:55 755 638 708 system process W InputMethodManagerService: Window already focused  ignoring focus gain of: com android internal view IInputMethodClient Stub Proxy 52972be4 attribute null  token   android os BinderProxy 5297f29c_x000D_
03 28 18:33:55 767 310 335   W genymotion audio: out write() limiting sleep time 63492 to 39909_x000D_
03 28 18:33:55 843 310 335   W genymotion audio: out write() limiting sleep time 50792 to 39909_x000D_
   _x000D_
_x000D_
_x000D_
</t>
  </si>
  <si>
    <t>danimahardhika-wallpaperboard-8</t>
  </si>
  <si>
    <t>Double tap on filter force closes the app</t>
  </si>
  <si>
    <t xml:space="preserve">Double tap on filter button force closes the app _x000D_
Here is a log that a user send me along with the crash report _x000D_
_x000D_
Class Name : java lang NullPointerException_x000D_
Caused By : java lang NullPointerException: Attempt to invoke virtual method  android support v4 app FragmentManager android support v4 app FragmentActivity getSupportFragmentManager()  on a null object reference_x000D_
com dm wallpaper board fragments dialogs FilterFragment onDismiss(SourceFile:105)_x000D_
android app Dialog ListenersHandler handleMessage(Dialog java:1343)_x000D_
android os Handler dispatchMessage(Handler java:102)_x000D_
android os Looper loop(Looper java:154)_x000D_
android app ActivityThread main(ActivityThread java:6126)_x000D_
java lang reflect Method invoke(Native Method)_x000D_
com android internal os ZygoteInit MethodAndArgsCaller run(ZygoteInit java:886)_x000D_
com android internal os ZygoteInit main(ZygoteInit java:776)_x000D_
_x000D_
</t>
  </si>
  <si>
    <t>codinguser-gnucash-android-663</t>
  </si>
  <si>
    <t>App crashes after creating account with BYN currency</t>
  </si>
  <si>
    <t xml:space="preserve">     Steps to reproduce the behaviour_x000D_
1  Create an account with BYN currency _x000D_
2  Hit Save  _x000D_
_x000D_
     Expected behaviour_x000D_
3  Account created and account list shown_x000D_
_x000D_
     Actual behaviour_x000D_
3  App crashes_x000D_
4  Any further attempts to start the app cause crashes_x000D_
_x000D_
     Software specifications_x000D_
  GnuCash Android version: 2 1 4_x000D_
  System Android version: 6 0 1_x000D_
  Device type: All_x000D_
</t>
  </si>
  <si>
    <t>google-ExoPlayer-2632</t>
  </si>
  <si>
    <t>Unexpected ID3 file Identifier,  on HLS stream</t>
  </si>
  <si>
    <t xml:space="preserve">Hi _x000D_
I have a crash on an HLS stream found and the crash log is on this  gist (https:  gist github com sanandrea 5244862008a21da740dd80a7c9c01942)  _x000D_
_x000D_
The same stream on the iOS AVPlayer does not have problems  I cannot post the link to the stream because credentials are needed to access the CDN of the stream  I have captured the chunk I thought has the wrong ID3 metadata  I have attached the chunk on which the streaming fails (u 6400 a 48 1 1 ts and the extracted aac source aac)_x000D_
_x000D_
thanks in advance_x000D_
_x000D_
_x000D_
_x000D_
 chunk zip (https:  github com google ExoPlayer files 881372 chunk zip)_x000D_
</t>
  </si>
  <si>
    <t>tanguyantoine-react-native-music-control-55</t>
  </si>
  <si>
    <t>Album Artwork not working on iOS</t>
  </si>
  <si>
    <t xml:space="preserve">Using local album artwork on iOS is causing the application to crash  because the javascript require() appears to be returning a number or something other than a string  so when the native module calls hasPrefix on it to check if it begins with  http:    the application crashes  saying that NSNumber does not have a function called hasPrefix   I am not quite sure how require() works or if calling it below is correct:_x000D_
_x000D_
 MusicControl setNowPlaying( artwork: require(    Images musicIcon png ) )  _x000D_
_x000D_
But using just     Images musicIcon png  (not wrapped in require)  while not crashing  does not seem to work either (as expected) _x000D_
</t>
  </si>
  <si>
    <t>jruesga-rview-24</t>
  </si>
  <si>
    <t>setup wizard</t>
  </si>
  <si>
    <t xml:space="preserve">On initial setup screen  when you get to account (where you choose to be anonymous or authenticated)  if you change orientation it skips forward to  Well Done  and then crashes </t>
  </si>
  <si>
    <t>grantkang-LandfillE-Forms-21</t>
  </si>
  <si>
    <t>Application crash on numeric input</t>
  </si>
  <si>
    <t xml:space="preserve">The application will fail to respond and crash when you put numeric input starting with a     (ex  67) for barometric pressure or methane _x000D_
_x000D_
Steps to recreate: _x000D_
Go to locations_x000D_
Pick a landfill location_x000D_
Pick a test_x000D_
For any numeric input  start with the     then a number  _x000D_
The application will stop responding  _x000D_
</t>
  </si>
  <si>
    <t>xenione-swipe-maker-7</t>
  </si>
  <si>
    <t xml:space="preserve">Crash Scrolling </t>
  </si>
  <si>
    <t xml:space="preserve">Hi Xenione  _x000D_
_x000D_
I m getting this error when try to show more items than 4 in a list with Both buttons (Right and Left)_x000D_
The app crash when scroll down:  int com xenione libs swipemaker Anchors cropInLimits(int)  on a null object reference_x000D_
_x000D_
 FATAL EXCEPTION: main_x000D_
                                                                        Process: com test  PID: 24047_x000D_
                                                                        java lang NullPointerException: Attempt to invoke virtual method  int com xenione libs swipemaker Anchors cropInLimits(int)  on a null object reference_x000D_
                                                                            at com xenione libs swipemaker Position cropInLimits(Position java:63)_x000D_
                                                                            at com xenione libs swipemaker orientation OrientationStrategy ensureInsideBounds(OrientationStrategy java:78)_x000D_
                                                                            at com xenione libs swipemaker orientation OrientationStrategy translateTo(OrientationStrategy java:57)_x000D_
                                                                            at com xenione libs swipemaker SwipeLayout translateTo(SwipeLayout java:103)_x000D_
                                                                            at com xenione libs swipemaker AbsCoordinatorLayout 1 run(AbsCoordinatorLayout java:20)_x000D_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 </t>
  </si>
  <si>
    <t>stefan-niedermann-nextcloud-notes-199</t>
  </si>
  <si>
    <t>App crashes when accessing note and go back to list</t>
  </si>
  <si>
    <t xml:space="preserve">It is very hard to reproduce this issue  Appears with current master and v0 10 0 _x000D_
_x000D_
Steps:_x000D_
_x000D_
1  Open any note from the list view_x000D_
2  Close this note as quick as possible (using native back button or top left arrow button does not matter)_x000D_
3  Repeat Steps 1   2 until the app crashes (10   15 times at my device)_x000D_
_x000D_
CC  korelstar _x000D_
_x000D_
   _x000D_
03 31 08:55:11 909 2691 2725   D SyncTask:    Process Remote Note: R20  ( )    MarkDown Test (2017 03 22 20:08:07   null)_x000D_
03 31 08:55:11 910 2691 2725   D SyncTask:        found    Update_x000D_
                                           _x000D_
                                                     beginning of crash_x000D_
03 31 08:55:11 915 2691 2725   E AndroidRuntime: FATAL EXCEPTION: AsyncTask  3_x000D_
                                                 Process: it niedermann owncloud notes  PID: 2691_x000D_
                                                 java lang RuntimeException: An error occurred while executing doInBackground()_x000D_
                                                     at android os AsyncTask 3 done(AsyncTask java:325)_x000D_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java:761)_x000D_
                                                  Caused by: java lang IllegalStateException: attempt to re open an already closed object: SQLiteDatabase:  data user 0 it niedermann owncloud notes databases OWNCLOUD NOTES_x000D_
                                                     at android database sqlite SQLiteClosable acquireReference(SQLiteClosable java:55)_x000D_
                                                     at android database sqlite SQLiteDatabase updateWithOnConflict(SQLiteDatabase java:1548)_x000D_
                                                     at android database sqlite SQLiteDatabase update(SQLiteDatabase java:1525)_x000D_
                                                     at it niedermann owncloud notes persistence NoteSQLiteOpenHelper updateNote(NoteSQLiteOpenHelper java:407)_x000D_
                                                     at it niedermann owncloud notes persistence NoteServerSyncHelper SyncTask pullRemoteChanges(NoteServerSyncHelper java:278)_x000D_
                                                     at it niedermann owncloud notes persistence NoteServerSyncHelper SyncTask doInBackground(NoteServerSyncHelper java:201)_x000D_
                                                     at it niedermann owncloud notes persistence NoteServerSyncHelper SyncTask doInBackground(NoteServerSyncHelper java:170)_x000D_
                                                     at android os AsyncTask 2 call(AsyncTask java:305)_x000D_
                                                     at java util concurrent FutureTask run(FutureTask java:237)_x000D_
                                                     at android os AsyncTask SerialExecutor 1 run(AsyncTask java:243) _x000D_
                                                     at java util concurrent ThreadPoolExecutor runWorker(ThreadPoolExecutor java:1133) _x000D_
                                                     at java util concurrent ThreadPoolExecutor Worker run(ThreadPoolExecutor java:607) _x000D_
                                                     at java lang Thread run(Thread java:761) _x000D_
   </t>
  </si>
  <si>
    <t>lostzen-lost-178</t>
  </si>
  <si>
    <t>IllegalArgumentException on LostApiClient.disconnect()</t>
  </si>
  <si>
    <t xml:space="preserve">    Description_x000D_
I am getting the following crash reports from users of my app:_x000D_
_x000D_
   _x000D_
java lang IllegalArgumentException: Service not registered: com mapzen android lost internal FusedLocationProviderApiImpl 96b2509_x000D_
	at android app LoadedApk forgetServiceDispatcher(LoadedApk java:1289)_x000D_
	at android app ContextImpl unbindService(ContextImpl java:1483)_x000D_
	at android content ContextWrapper unbindService(ContextWrapper java:648)_x000D_
	at com mapzen android lost internal FusedLocationProviderApiImpl onDisconnect(FusedLocationProviderApiImpl java:55)_x000D_
	at com mapzen android lost internal FusedLocationServiceConnectionManager disconnect(FusedLocationServiceConnectionManager java:70)_x000D_
	at com mapzen android lost internal FusedLocationProviderApiImpl disconnect(FusedLocationProviderApiImpl java:92)_x000D_
	at com mapzen android lost internal LostApiClientImpl disconnect(LostApiClientImpl java:60)_x000D_
	at de westnordost streetcomplete data QuestAutoSyncer stopPositionTracking(QuestAutoSyncer java:85)_x000D_
	at de westnordost streetcomplete data QuestAutoSyncer onStop(QuestAutoSyncer java:69)_x000D_
	at de westnordost streetcomplete MainActivity onStop(MainActivity java:280)_x000D_
	at android app Instrumentation callActivityOnStop(Instrumentation java:1289)_x000D_
	at android app Activity performStop(Activity java:6854)_x000D_
	at android app ActivityThread performDestroyActivity(ActivityThread java:4160)_x000D_
	    9 more_x000D_
   _x000D_
_x000D_
    Steps to Reproduce_x000D_
This is a crash report logged to the Android developer console  The code at that location looks like this:_x000D_
_x000D_
   _x000D_
if(lostApiClient isConnected())_x000D_
 _x000D_
	LocationServices FusedLocationApi removeLocationUpdates(lostApiClient  this) _x000D_
	lostApiClient disconnect() _x000D_
 _x000D_
   _x000D_
_x000D_
So  LOST complains that the service is not registered  even though I asked the client before if it is connected _x000D_
_x000D_
    Lost   Android Version_x000D_
Nexus 5X (bullhead)_x000D_
Android 7 1_x000D_
LOST 2 1 2 (can t update to 2 2 0 because of  170 yet)</t>
  </si>
  <si>
    <t>kgehmlich-soen341-group2-135</t>
  </si>
  <si>
    <t>Check for storage permissions before uploading file</t>
  </si>
  <si>
    <t>Currently  if the app is not granted storage permissions  it crashes when trying to upload a file to the server  A check should be made to ensure that either_x000D_
a) permissions are modified to grant storage access_x000D_
or_x000D_
b) no upload is attempted</t>
  </si>
  <si>
    <t>fossasia-phimpme-android-294</t>
  </si>
  <si>
    <t>Crash in Edit Images</t>
  </si>
  <si>
    <t xml:space="preserve">  Actual Behaviour  _x000D_
_x000D_
I was editing an image  Editing as in I was applying a filter and cropped the image and saved it  Then I clicked on the image and chose to edit again  I cropped the image a little bit more and saved and the app crashed  It happened many times to me  so reporting as a bug _x000D_
_x000D_
  Expected Behaviour  _x000D_
_x000D_
App should not crash  The image edited should be saved _x000D_
_x000D_
  Steps to reproduce it  _x000D_
_x000D_
1  Open app_x000D_
2  Click on an image and get the big image view_x000D_
3  Click on the FAB and select  Edit  button to open edit view_x000D_
4  Apply a filter and crop the image_x000D_
5  Click save_x000D_
6  From the gallery  select the saved edited image_x000D_
7  Get the image to editing view again_x000D_
8  Crop the image again_x000D_
9  Click  Save _x000D_
_x000D_
  LogCat for the issue  _x000D_
_x000D_
  04 02 19:59:57 324 20031 20031 vn mbm phimp me E AndroidRuntime: FATAL EXCEPTION: main_x000D_
                                                                 java lang RuntimeException: Canvas: trying to use a recycled bitmap android graphics Bitmap 41c07098_x000D_
                                                                     at android graphics Canvas throwIfRecycled(Canvas java:1026)_x000D_
                                                                     at android graphics Canvas drawBitmap(Canvas java:1127)_x000D_
                                                                     at vn mbm phimp me image CropImage onSaveClicked(CropImage java:772)_x000D_
                                                                     at vn mbm phimp me image CropImage access 1100(CropImage java:69)_x000D_
                                                                     at vn mbm phimp me image CropImage 14 onClick(CropImage java:496)_x000D_
                                                                     at android view View performClick(View java:4439)_x000D_
                                                                     at android widget Button performClick(Button java:139)_x000D_
                                                                     at android view View PerformClick run(View java:18395)_x000D_
                                                                     at android os Handler handleCallback(Handler java:725)_x000D_
                                                                     at android os Handler dispatchMessage(Handler java:92)_x000D_
                                                                     at android os Looper loop(Looper java:176)_x000D_
                                                                     at android app ActivityThread main(ActivityThread java:5317)_x000D_
                                                                     at java lang reflect Method invokeNative(Native Method)_x000D_
                                                                     at java lang reflect Method invoke(Method java:511)_x000D_
                                                                     at com android internal os ZygoteInit MethodAndArgsCaller run(ZygoteInit java:1102)_x000D_
                                                                     at com android internal os ZygoteInit main(ZygoteInit java:869)_x000D_
                                                                     at dalvik system NativeStart main(Native Method)_x000D_
_x000D_
  Screenshots of the issue  _x000D_
_x000D_
  Not Available_x000D_
_x000D_
  Would you like to work on the issue   _x000D_
_x000D_
I would like to give it a try _x000D_
</t>
  </si>
  <si>
    <t>google-ExoPlayer-2646</t>
  </si>
  <si>
    <t xml:space="preserve">request offline viewing license for local asset  </t>
  </si>
  <si>
    <t xml:space="preserve">    Issue description_x000D_
Fail to process local storage MPD file   DashUtil loadManifest is not suitable to process local storage file _x000D_
DashUtil loadManifest  is handling only input streaming   used for network   while local files should use FileInputStream_x000D_
_x000D_
    Reproduction steps_x000D_
Download Asset to my local storage  _x000D_
Request offline  viewing license _x000D_
See app crash report blow _x000D_
_x000D_
_x000D_
    Link to test content_x000D_
local content   simple DASH _x000D_
_x000D_
    Version of ExoPlayer being used_x000D_
Specify the absolute version number  Avoid using terms such as  latest  _x000D_
_x000D_
    Device(s) and version(s) of Android being used_x000D_
Using LG G3 android M _x000D_
_x000D_
    A full bug report captured from the device_x000D_
04 04 18:55:19 792 10209 10209 com cisco mdrm demo W ResourceType: For resource 0x01030481  entry index(1153) is beyond type entryCount(1)_x000D_
04 04 18:55:19 793 10209 10209 com cisco mdrm demo W ResourceType: For resource 0x01030481  entry index(1153) is beyond type entryCount(1)_x000D_
04 04 18:55:19 795 10209 10209 com cisco mdrm demo W ResourceType: For resource 0x01030481  entry index(1153) is beyond type entryCount(1)_x000D_
04 04 18:55:19 795 10209 10209 com cisco mdrm demo W ResourceType: For resource 0x01030481  entry index(1153) is beyond type entryCount(1)_x000D_
04 04 18:55:21 304 10209 10209 com cisco mdrm demo I ViewRootImpl: ViewRoot s Touch Event : ACTION DOWN_x000D_
04 04 18:55:21 381 10209 10209 com cisco mdrm demo I ViewRootImpl: ViewRoot s Touch Event : ACTION UP_x000D_
04 04 18:55:21 457 10209 10209 com cisco mdrm demo W ResourceType: For resource 0x01030046  entry index(70) is beyond type entryCount(1)_x000D_
04 04 18:55:21 460 10209 10209 com cisco mdrm demo W ResourceType: For resource 0x01030046  entry index(70) is beyond type entryCount(1)_x000D_
04 04 18:55:21 561 10209 11755 com cisco mdrm demo D MDrmOfflineViewingLicenseHandler: GetOfflineKeyFromServer offlineLicenseKeySetId: localURI:file: mnt sdcard assets Brave PRWV Brave PRWV mpd_x000D_
04 04 18:55:21 591 10209 11755 com cisco mdrm demo E AndroidRuntime: FATAL EXCEPTION: AsyncTask  2_x000D_
                                                                     Process: com cisco mdrm demo  PID: 10209_x000D_
                                                                     java lang RuntimeException: An error occurred while executing doInBackground()_x000D_
                                                                         at android os AsyncTask 3 done(AsyncTask java:309)_x000D_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java:234)_x000D_
                                                                         at java util concurrent ThreadPoolExecutor runWorker(ThreadPoolExecutor java:1113)_x000D_
                                                                         at java util concurrent ThreadPoolExecutor Worker run(ThreadPoolExecutor java:588)_x000D_
                                                                         at java lang Thread run(Thread java:818)_x000D_
                                                                      Caused by: java lang ClassCastException: libcore net url FileURLConnection cannot be cast to java net HttpURLConnection_x000D_
                                                                         at com google android exoplayer2 upstream DefaultHttpDataSource makeConnection(DefaultHttpDataSource java:393)_x000D_
                                                                         at com google android exoplayer2 upstream DefaultHttpDataSource makeConnection(DefaultHttpDataSource java:350)_x000D_
                                                                         at com google android exoplayer2 upstream DefaultHttpDataSource open(DefaultHttpDataSource java:192)_x000D_
                                                                         at com google android exoplayer2 upstream DataSourceInputStream checkOpened(DataSourceInputStream java:101)_x000D_
                                                                         at com google android exoplayer2 upstream DataSourceInputStream open(DataSourceInputStream java:64)_x000D_
                                                                         at com google android exoplayer2 source dash DashUtil loadManifest(DashUtil java:57)_x000D_
                                                                         at com google android exoplayer2 drm OfflineLicenseHelper download(OfflineLicenseHelper java:144)_x000D_
                                                                         at com cisco mdrm impl MDrmOfflineViewingLicenseHandler GetOfflineKeyFromServer doInBackground(MDrmOfflineViewingLicenseHandler java:103)_x000D_
                                                                         at com cisco mdrm impl MDrmOfflineViewingLicenseHandler GetOfflineKeyFromServer doInBackground(MDrmOfflineViewingLicenseHandler java:77)_x000D_
                                                                         at android os AsyncTask 2 call(AsyncTask java:295)_x000D_
                                                                         at java util concurrent FutureTask run(FutureTask java:237)_x000D_
                                                                         at android os AsyncTask SerialExecutor 1 run(AsyncTask java:234) _x000D_
                                                                         at java util concurrent ThreadPoolExecutor runWorker(ThreadPoolExecutor java:1113) _x000D_
                                                                         at java util concurrent ThreadPoolExecutor Worker run(ThreadPoolExecutor java:588) _x000D_
                                                                         at java lang Thread run(Thread java:818) _x000D_
04 04 18:55:21 616 10209 10209 com cisco mdrm demo V ViewRootImpl: Contents drawing finished : Toast_x000D_
04 04 18:55:21 924 10209 10252 com cisco mdrm demo E Surface: getSlotFromBufferLocked: unknown buffer: 0xa5c9a250_x000D_
04 04 18:55:21 933 10209 10252 com cisco mdrm demo D OpenGLRenderer: endAllActiveAnimators on 0xb3a6d400 (_x000D_
_x000D_
_x000D_
My Solution: _x000D_
_x000D_
   _x000D_
  public static DashManifest downloadManifest(HttpDataSource dataSource  String manifestUriString)_x000D_
      throws IOException_x000D_
   _x000D_
    String local file sufix    file:  _x000D_
    if (manifestUriString startsWith(local file sufix) )_x000D_
     _x000D_
      String file to Open    manifestUriString toString() replace(local file sufix   ) _x000D_
      Uri uri   Uri parse(file to Open) _x000D_
      File file   new File(file to Open) _x000D_
      FileInputStream fileInputStream   new FileInputStream(file) _x000D_
_x000D_
      DashManifestParser parser   new DashManifestParser() _x000D_
      return parser parse(uri  fileInputStream) _x000D_
     _x000D_
    else_x000D_
     _x000D_
_x000D_
      DataSourceInputStream inputStream   new DataSourceInputStream(_x000D_
              dataSource  new DataSpec(Uri parse(manifestUriString))) _x000D_
      try_x000D_
       _x000D_
        inputStream open() _x000D_
        DashManifestParser parser   new DashManifestParser() _x000D_
        return parser parse(dataSource getUri()  inputStream) _x000D_
       _x000D_
      finally_x000D_
       _x000D_
        inputStream close() _x000D_
       _x000D_
     _x000D_
   _x000D_
   </t>
  </si>
  <si>
    <t>Futsal-Manager-android-client-12</t>
  </si>
  <si>
    <t>OpenCV OOM</t>
  </si>
  <si>
    <t xml:space="preserve">   Problem File Name_x000D_
CalculateBallDetect java_x000D_
   Expected behavior_x000D_
Edge detect and some circle detect _x000D_
   Actual behavior_x000D_
App crashed _x000D_
   Steps to reproduce the behavior_x000D_
It always happen _x000D_
Just turn on the camera and wait sec _x000D_
   Program printed log_x000D_
   _x000D_
04 06 01:28:01 372 20944 20944   E Zygote: v2_x000D_
04 06 01:28:01 372 20944 20944   I libpersona: KNOX SDCARD checking this for 10233_x000D_
04 06 01:28:01 372 20944 20944   I libpersona: KNOX SDCARD not a persona_x000D_
04 06 01:28:01 372 20944 20944   W SELinux: Function: selinux compare spd ram  index 1   priority  2   priority version is VE SEPF SECMOBILE 6 0 1 0032_x000D_
04 06 01:28:01 377 20944 20944   E Zygote: accessInfo : 0_x000D_
04 06 01:28:01 377 20944 20944   W SELinux: SELinux: seapp context lookup: seinfo default  level s0:c512 c768  pkgname com futsal manager _x000D_
04 06 01:28:01 377 20944 20944   I art: Late enabling  Xcheck:jni_x000D_
04 06 01:28:01 397 20944 20944   D TimaKeyStoreProvider: TimaSignature is unavailable_x000D_
04 06 01:28:01 397 20944 20944   D ActivityThread: Added TimaKeyStore provider_x000D_
04 06 01:28:01 472 20944 20944 com futsal manager D OpenCV StaticHelper: Trying to get library list_x000D_
04 06 01:28:01 477 20944 20944 com futsal manager E OpenCV StaticHelper: OpenCV error: Cannot load info library for OpenCV_x000D_
04 06 01:28:01 477 20944 20944 com futsal manager D OpenCV StaticHelper: Library list:   _x000D_
04 06 01:28:01 477 20944 20944 com futsal manager D OpenCV StaticHelper: First attempt to load libs_x000D_
04 06 01:28:01 477 20944 20944 com futsal manager D OpenCV StaticHelper: Trying to init OpenCV libs_x000D_
04 06 01:28:01 477 20944 20944 com futsal manager D OpenCV StaticHelper: Trying to load library opencv java3_x000D_
04 06 01:28:01 487 20944 20944 com futsal manager D OpenCV StaticHelper: Library opencv java3 loaded_x000D_
04 06 01:28:01 487 20944 20944 com futsal manager D OpenCV StaticHelper: First attempt to load libs is OK_x000D_
04 06 01:28:01 492 20944 20944 com futsal manager I OpenCV StaticHelper: General configuration for OpenCV 3 2 0                                      _x000D_
04 06 01:28:01 492 20944 20944 com futsal manager I OpenCV StaticHelper:   Version control:               3 2 0_x000D_
04 06 01:28:01 492 20944 20944 com futsal manager I OpenCV StaticHelper:   Platform:_x000D_
04 06 01:28:01 492 20944 20944 com futsal manager I OpenCV StaticHelper:     Timestamp:                   2016 12 23T13:00:54Z_x000D_
04 06 01:28:01 492 20944 20944 com futsal manager I OpenCV StaticHelper:     Host:                        Linux 4 8 0 25 generic x86 64_x000D_
04 06 01:28:01 492 20944 20944 com futsal manager I OpenCV StaticHelper:     Target:                      Linux 1 armv7 a_x000D_
04 06 01:28:01 492 20944 20944 com futsal manager I OpenCV StaticHelper:     CMake:                       2 8 12 2_x000D_
04 06 01:28:01 492 20944 20944 com futsal manager I OpenCV StaticHelper:     CMake generator:             Ninja_x000D_
04 06 01:28:01 492 20944 20944 com futsal manager I OpenCV StaticHelper:     CMake build tool:             usr bin ninja_x000D_
04 06 01:28:01 492 20944 20944 com futsal manager I OpenCV StaticHelper:     Configuration:               Release_x000D_
04 06 01:28:01 492 20944 20944 com futsal manager I OpenCV StaticHelper:   C C  :_x000D_
04 06 01:28:01 492 20944 20944 com futsal manager I OpenCV StaticHelper:     Built as dynamic libs :      NO_x000D_
04 06 01:28:01 492 20944 20944 com futsal manager I OpenCV StaticHelper:     C   Compiler:                 usr bin ccache  opt android android ndk r10e toolchains arm linux androideabi 4 8 prebuilt linux x86 64 bin arm linux androideabi g   (ver 4 8)_x000D_
04 06 01:28:01 492 20944 20944 com futsal manager I OpenCV StaticHelper:     C   flags (Release):          fexceptions  frtti  fpic  Wno psabi   sysroot  opt android android ndk r10e platforms android 9 arch arm  funwind tables  finline limit 64  fsigned char  no canonical prefixes  march armv7 a  mfloat abi softfp  mfpu neon  fdata sections  ffunction sections  Wa   noexecstack     fsigned char  W  Wall  Werror return type  Werror non virtual dtor  Werror address  Werror sequence point  Wformat  Werror format security  Wmissing declarations  Wundef  Winit self  Wpointer arith  Wshadow  Wsign promo  Wno narrowing  Wno delete non virtual dtor  Wno comment  fdiagnostics show option  fomit frame pointer  mfp16 format ieee  mfpu neon  fvisibility hidden  fvisibility inlines hidden  mthumb  fomit frame pointer  fno strict aliasing  O3  DNDEBUG   DNDEBUG_x000D_
04 06 01:28:01 492 20944 20944 com futsal manager I OpenCV StaticHelper:     C   flags (Debug):            fexceptions  frtti  fpic  Wno psabi   sysroot  opt android android ndk r10e platforms android 9 arch arm  funwind tables  finline limit 64  fsigned char  no canonical prefixes  march armv7 a  mfloat abi softfp  mfpu neon  fdata sections  ffunction sections  Wa   noexecstack     fsigned char  W  Wall  Werror return type  Werror non virtual dtor  Werror address  Werror sequence point  Wformat  Werror format security  Wmissing declarations  Wundef  Winit self  Wpointer arith  Wshadow  Wsign promo  Wno narrowing  Wno delete non virtual dtor  Wno comment  fdiagnostics show option  fomit frame pointer  mfp16 format ieee  mfpu neon  fvisibility hidden  fvisibility inlines hidden  marm  fno omit frame pointer  fno strict aliasing  O0  g  DDEBUG  D DEBUG   O0  DDEBUG  D DEBUG_x000D_
04 06 01:28:01 492 20944 20944 com futsal manager I OpenCV StaticHelper:     C Compiler:                   usr bin ccache  opt android android ndk r10e toolchains arm linux androideabi 4 8 prebuilt linux x86 64 bin arm linux androideabi gcc_x000D_
04 06 01:28:01 492 20944 20944 com futsal manager I OpenCV StaticHelper:     C flags (Release):            fexceptions  fpic  Wno psabi   sysroot  opt android android ndk r10e platforms android 9 arch arm  funwind tables  finline limit 64  fsigned char  no canonical prefixes  march armv7 a  mfloat abi softfp  mfpu neon  fdata sections  ffunction sections  Wa   noexecstack     fsigned char  W  Wall  Werror return type  Werror non virtual dtor  Werror address  Werror sequence point  Wformat  Werror format security  Wmissing declarations  Wmissing prototypes  Wstrict prototypes  Wundef  Winit self  Wpointer arith  Wshadow  Wno narrowing  Wno comment  fdiagnostics show option  fomit frame pointer  mfp16 format ieee  mfpu neon  fvisibility hidden  mthumb  fomit frame pointer  fno strict aliasing  O3  DNDEBUG   DNDEBUG_x000D_
04 06 01:28:01 492 20944 20944 com futsal manager I OpenCV StaticHelper:     C flags (Debug):              fexceptions  fpic  Wno psabi   sysroot  opt android android ndk r10e platforms android 9 arch arm  funwind tables  finline limit 64  fsigned char  no canonical prefixes  march armv7 a  mfloat abi softfp  mfpu neon  fdata sections  ffunction sections  Wa   noexecstack     fsigned char  W  Wall  Werror return type  Werror non virtual dtor  Werror address  Werror sequence point  Wformat  Werror format security  Wmissing declarations  Wmissing prototypes  Wstrict prototypes  Wundef  Winit self  Wpointer arith  Wshadow  Wno narrowing  Wno comment  fdiagnostics show option  fomit frame pointer  mfp16 format ieee  mfpu neon  fvisibility hidden  marm  fno omit frame pointer  fno strict aliasing  O0  g  DDEBUG  D DEBUG   O0  DDEBUG  D DEBUG_x000D_
04 06 01:28:01 492 20944 20944 com futsal manager I OpenCV StaticHelper:     Linker flags (Release):       Wl   fix cortex a8  Wl   no undefined  Wl   gc sections  Wl  z noexecstack  Wl  z relro  Wl  z now _x000D_
04 06 01:28:01 492 20944 20944 com futsal manager I OpenCV StaticHelper:     Linker flags (Debug):         Wl   fix cortex a8  Wl   no undefined  Wl   gc sections  Wl  z noexecstack  Wl  z relro  Wl  z now _x000D_
04 06 01:28:01 492 20944 20944 com futsal manager I OpenCV StaticHelper:     ccache:                      YES_x000D_
04 06 01:28:01 492 20944 20944 com futsal manager I OpenCV StaticHelper:     Precompiled headers:         NO_x000D_
04 06 01:28:01 492 20944 20944 com futsal manager I OpenCV StaticHelper:     Extra dependencies:          z dl m log_x000D_
04 06 01:28:01 492 20944 20944 com futsal manager I OpenCV StaticHelper:     3rdparty dependencies:       libjpeg libwebp libpng libtiff libjasper IlmImf tegra hal tbb_x000D_
04 06 01:28:01 492 20944 20944 com futsal manager I OpenCV StaticHelper:   OpenCV modules:_x000D_
04 06 01:28:01 492 20944 20944 com futsal manager I OpenCV StaticHelper:     To be built:                 core flann imgproc ml photo video imgcodecs shape videoio highgui objdetect superres ts features2d calib3d java stitching videostab_x000D_
04 06 01:28:01 492 20944 20944 com futsal manager I OpenCV StaticHelper:     Disabled:                    world_x000D_
04 06 01:28:01 492 20944 20944 com futsal manager I OpenCV StaticHelper:     Disabled by dependency:       _x000D_
04 06 01:28:01 492 20944 20944 com futsal manager I OpenCV StaticHelper:     Unavailable:                 cudaarithm cudabgsegm cudacodec cudafeatures2d cudafilters cudaimgproc cudalegacy cudaobjdetect cudaoptflow cudastereo cudawarping cudev python2 viz_x000D_
04 06 01:28:01 492 20944 20944 com futsal manager I OpenCV StaticHelper:   Android: _x000D_
04 06 01:28:01 492 20944 20944 com futsal manager I OpenCV StaticHelper:     Android ABI:                 armeabi v7a with NEON_x000D_
04 06 01:28:01 492 20944 20944 com futsal manager I OpenCV StaticHelper:     STL type:                    gnustl static_x000D_
04 06 01:28:01 492 20944 20944 com futsal manager I OpenCV StaticHelper:     Native API level:            android 9_x000D_
04 06 01:28:01 492 20944 20944 com futsal manager I OpenCV StaticHelper:     SDK target:                  android 11_x000D_
04 06 01:28:01 492 20944 20944 com futsal manager I OpenCV StaticHelper:     Android NDK:                  opt android android ndk r10e (toolchain: arm linux androideabi 4 8)_x000D_
04 06 01:28:01 492 20944 20944 com futsal manager I OpenCV StaticHelper:     android tool:                 opt android android sdk java7 tools android (Android SDK Tools  revision 25 2 2 )_x000D_
04 06 01:28:01 492 20944 20944 com futsal manager I OpenCV StaticHelper:     Google Play manager:         NO_x000D_
04 06 01:28:01 492 20944 20944 com futsal manager I OpenCV StaticHelper:     Android examples:            YES_x000D_
04 06 01:28:01 492 20944 20944 com futsal manager I OpenCV StaticHelper:   GUI: _x000D_
04 06 01:28:01 492 20944 20944 com futsal manager I OpenCV StaticHelper:     GTK :                        NO_x000D_
04 06 01:28:01 492 20944 20944 com futsal manager I OpenCV StaticHelper:     GThread :                    NO_x000D_
04 06 01:28:01 492 20944 20944 com futsal manager I OpenCV StaticHelper:     GtkGlExt:                    NO_x000D_
04 06 01:28:01 492 20944 20944 com futsal manager I OpenCV StaticHelper:     OpenGL support:              NO_x000D_
04 06 01:28:01 492 20944 20944 com futsal manager I OpenCV StaticHelper:     VTK support:                 NO_x000D_
04 06 01:28:01 492 20944 20944 com futsal manager I OpenCV StaticHelper:   Media I O: _x000D_
04 06 01:28:01 492 20944 20944 com futsal manager I OpenCV StaticHelper:     ZLib:                        z (ver 1 2 3)_x000D_
04 06 01:28:01 492 20944 20944 com futsal manager I OpenCV StaticHelper:     JPEG:                        build (ver 90)_x000D_
04 06 01:28:01 492 20944 20944 com futsal manager I OpenCV StaticHelper:     WEBP:                        build (ver 0 3 1)_x000D_
04 06 01:28:01 492 20944 20944 com futsal manager I OpenCV StaticHelper:     PNG:                         build (ver 1 6 24)_x000D_
04 06 01:28:01 492 20944 20944 com futsal manager I OpenCV StaticHelper:     TIFF:                        build (ver 42   4 0 2)_x000D_
04 06 01:28:01 492 20944 20944 com futsal manager I OpenCV StaticHelper:     JPEG 2000:                   build (ver 1 900 1)_x000D_
04 06 01:28:01 492 20944 20944 com futsal manager I OpenCV StaticHelper:     OpenEXR:                     build (ver 1 7 1)_x000D_
04 06 01:28:01 492 20944 20944 com futsal manager I OpenCV StaticHelper:     GDAL:                        NO_x000D_
04 06 01:28:01 492 20944 20944 com futsal manager I OpenCV StaticHelper:     GDCM:                        NO_x000D_
04 06 01:28:01 492 20944 20944 com futsal manager I OpenCV StaticHelper:   Video I O:_x000D_
04 06 01:28:01 492 20944 20944 com futsal manager I OpenCV StaticHelper:   Parallel framework:            TBB (ver 4 4 interface 9003)_x000D_
04 06 01:28:01 492 20944 20944 com futsal manager I OpenCV StaticHelper:   Other third party libraries:_x000D_
04 06 01:28:01 492 20944 20944 com futsal manager I OpenCV StaticHelper:     Use IPP:                     NO_x000D_
04 06 01:28:01 492 20944 20944 com futsal manager I OpenCV StaticHelper:     Use Eigen:                   NO_x000D_
04 06 01:28:01 492 20944 20944 com futsal manager I OpenCV StaticHelper:     Use Cuda:                    NO_x000D_
04 06 01:28:01 492 20944 20944 com futsal manager I OpenCV StaticHelper:     Use OpenCL:                  NO_x000D_
04 06 01:28:01 492 20944 20944 com futsal manager I OpenCV StaticHelper:     Use OpenVX:                  NO_x000D_
04 06 01:28:01 492 20944 20944 com futsal manager I OpenCV StaticHelper:     Use custom HAL:              YES (carotene (ver 0 0 1))_x000D_
04 06 01:28:01 492 20944 20944 com futsal manager I OpenCV StaticHelper:   Python 2:_x000D_
04 06 01:28:01 492 20944 20944 com futsal manager I OpenCV StaticHelper:     Interpreter:                  usr bin python2 7 (ver 2 7 6)_x000D_
04 06 01:28:01 492 20944 20944 com futsal manager I OpenCV StaticHelper:   Python 3:_x000D_
04 06 01:28:01 492 20944 20944 com futsal manager I OpenCV StaticHelper:     Interpreter:                  usr bin python3 4 (ver 3 4 3)_x000D_
04 06 01:28:01 492 20944 20944 com futsal manager I OpenCV StaticHelper:   Python (for build):             usr bin python2 7_x000D_
04 06 01:28:01 492 20944 20944 com futsal manager I OpenCV StaticHelper:   Java:_x000D_
04 06 01:28:01 492 20944 20944 com futsal manager I OpenCV StaticHelper:     ant:                          usr bin ant (ver 1 9 3)_x000D_
04 06 01:28:01 492 20944 20944 com futsal manager I OpenCV StaticHelper:     Java wrappers:               YES_x000D_
04 06 01:28:01 492 20944 20944 com futsal manager I OpenCV StaticHelper:     Java tests:                  YES_x000D_
04 06 01:28:01 492 20944 20944 com futsal manager I OpenCV StaticHelper:   Matlab:                        NO_x000D_
04 06 01:28:01 492 20944 20944 com futsal manager I OpenCV StaticHelper:   Tests and samples:_x000D_
04 06 01:28:01 492 20944 20944 com futsal manager I OpenCV StaticHelper:     Tests:                       YES_x000D_
04 06 01:28:01 492 20944 20944 com futsal manager I OpenCV StaticHelper:     Performance tests:           NO_x000D_
04 06 01:28:01 492 20944 20944 com futsal manager I OpenCV StaticHelper:     C C   Examples:              NO_x000D_
04 06 01:28:01 492 20944 20944 com futsal manager I OpenCV StaticHelper:   Install path:                   build master pack android build o4a install_x000D_
04 06 01:28:01 492 20944 20944 com futsal manager I OpenCV StaticHelper:   cvconfig h is in:               build master pack android build o4a_x000D_
04 06 01:28:01 492 20944 20944 com futsal manager I OpenCV StaticHelper:                                                                  _x000D_
04 06 01:28:01 492 20944 20944 com futsal manager I FutsalManager:  FutsalManagerMain   static  (OpenCV Loaded)_x000D_
04 06 01:28:01 532 20944 20944 com futsal manager W art: Before Android 4 1  method android graphics PorterDuffColorFilter android support graphics drawable VectorDrawableCompat updateTintFilter(android graphics PorterDuffColorFilter  android content res ColorStateList  android graphics PorterDuff Mode) would have incorrectly overridden the package private method in android graphics drawable Drawable_x000D_
04 06 01:28:01 617 20944 20944 com futsal manager D SecWifiDisplayUtil: Metadata value : none_x000D_
04 06 01:28:01 622 20944 20944 com futsal manager D ViewRootImpl:  1 mView   com android internal policy PhoneWindow DecorView fe293aa I E       R     ID 0 0 0 0 _x000D_
04 06 01:28:01 622 20944 21012 com futsal manager D OpenGLRenderer: Use EGL SWAP BEHAVIOR PRESERVED: true_x000D_
04 06 01:28:01 677 20944 21012 com futsal manager D libEGL: eglInitialize EGLDisplay   0xb33ff7c4_x000D_
04 06 01:28:01 677 20944 21012 com futsal manager I OpenGLRenderer: Initialized EGL  version 1 4_x000D_
04 06 01:28:01 682 20944 21012 com futsal manager D mali winsys: new window surface returns 0x3000    1532x2560  format:1_x000D_
04 06 01:28:01 692 20944 20944 com futsal manager I FutsalManager:  RecyclerAdapter   onBindViewHolder  (added)_x000D_
04 06 01:28:01 697 20944 20944 com futsal manager I FutsalManager:  RecyclerAdapter   onBindViewHolder  (added)_x000D_
04 06 01:28:01 712 20944 20944 com futsal manager W DisplayListCanvas: DisplayListCanvas is started on unbinded RenderNode (without mOwningView)_x000D_
04 06 01:28:01 747 20944 20944 com futsal manager D ViewRootImpl: MSG RESIZED REPORT: ci Rect(0  96   0  0) vi Rect(0  96   0  0) or 1_x000D_
04 06 01:28:01 772 20944 20944 com futsal manager I Timeline: Timeline: Activity idle id: android os BinderProxy 42f695 time:17554783_x000D_
04 06 01:28:45 687 20944 20944 com futsal manager D ViewRootImpl: ViewPostImeInputStage processPointer 0_x000D_
04 06 01:28:45 782 20944 20944 com futsal manager D ViewRootImpl: ViewPostImeInputStage processPointer 1_x000D_
04 06 01:28:45 797 20944 20944 com futsal manager I Timeline: Timeline: Activity launch request id:com futsal manager time:17598806_x000D_
04 06 01:28:45 837 20944 20944 com futsal manager D AbsListView: Get MotionRecognitionManager_x000D_
04 06 01:28:45 837 20944 20944 com futsal manager E MotionRecognitionManager: mSContextService   android hardware scontext ISContextService Stub Proxy 937be29_x000D_
04 06 01:28:45 842 20944 20944 com futsal manager E MotionRecognitionManager: motionService   com samsung android motion IMotionRecognitionService Stub Proxy 562a5ae_x000D_
04 06 01:28:45 842 20944 20944 com futsal manager E MotionRecognitionManager: motionService   com samsung android motion IMotionRecognitionService Stub Proxy 562a5ae_x000D_
04 06 01:28:45 842 20944 20944 com futsal manager I FutsalManager:  BluetoothDeviceFinder   IsThatDeviceCanUseBluetooth  (bluetooth init ok)_x000D_
04 06 01:28:45 847 20944 20944 com futsal manager I FutsalManager:  BluetoothDeviceFinder   EnableDeviceBluetooth  (ok rdy to use bluetooth)_x000D_
04 06 01:28:45 847 20944 20944 com futsal manager I FutsalManager:  BluetoothDeviceFinder   ScanPairedDevicesList  (scan paired devices list)_x000D_
04 06 01:28:45 847 20944 20944 com futsal manager I FutsalManager:  BluetoothDeviceFinder   ScanPairedDevicesList  (Device:      iPhone_x000D_
                                                                   90:8D:6C:DF:26:4F)_x000D_
04 06 01:28:45 847 20944 20944 com futsal manager I FutsalManager:  BluetoothDeviceFinder   ScanPairedDevicesList  (Device: bw kang (SHV E330K)_x000D_
                                                                   B8:5E:7B:58:8F:0A)_x000D_
04 06 01:28:45 847 20944 20944 com futsal manager I FutsalManager:  BluetoothDeviceFinder   ScanPairedDevicesList  (Device: GT I9100_x000D_
                                                                   54:9B:12:F0:39:60)_x000D_
04 06 01:28:45 847 20944 20944 com futsal manager I FutsalManager:  BluetoothDeviceFinder   ScanPairedDevicesList  (Device: stories2_x000D_
                                                                   8C:8E:F2:B4:E1:FA)_x000D_
04 06 01:28:45 847 20944 20944 com futsal manager I FutsalManager:  BluetoothDeviceFinder   ScanPairedDevicesList  (Device: HC 06_x000D_
                                                                   20:16:06:30:75:02)_x000D_
04 06 01:28:45 852 20944 20944 com futsal manager D SecWifiDisplayUtil: Metadata value : none_x000D_
04 06 01:28:45 852 20944 20944 com futsal manager D ViewRootImpl:  1 mView   com android internal policy PhoneWindow DecorView c830574 I E       R     ID 0 0 0 0 _x000D_
04 06 01:28:45 877 20944 21012 com futsal manager D mali winsys: new window surface returns 0x3000    1532x2560  format:1_x000D_
04 06 01:28:45 882 20944 20944 com futsal manager W DisplayListCanvas: DisplayListCanvas is started on unbinded RenderNode (without mOwningView)_x000D_
04 06 01:28:45 917 20944 20944 com futsal manager D ViewRootImpl: MSG RESIZED REPORT: ci Rect(0  96   0  0) vi Rect(0  96   0  0) or 1_x000D_
04 06 01:28:45 987 20944 20944 com futsal manager I Timeline: Timeline: Activity idle id: android os BinderProxy afe4947 time:17598995_x000D_
04 06 01:28:46 202 20944 20944 com futsal manager V ActivityThread: updateVisibility : ActivityRecord facb3a4 token android os BinderProxy 42f695  com futsal manager com futsal manager FutsalManagerMain   show : false_x000D_
04 06 01:28:52 657 20944 20944 com futsal manager D ViewRootImpl: ViewPostImeInputStage processPointer 0_x000D_
04 06 01:28:52 752 20944 20944 com futsal manager D ViewRootImpl: ViewPostImeInputStage processPointer 1_x000D_
04 06 01:28:52 817 20944 20944 com futsal manager I FutsalManager:  BluetoothDeviceFinder   onItemClick  (Selected Device Address: 8C:8E:F2:B4:E1:FA)_x000D_
04 06 01:28:52 822 20944 20944 com futsal manager I Timeline: Timeline: Activity launch request id:com futsal manager time:17605830_x000D_
04 06 01:28:52 882 20944 20944 com futsal manager D CameraBridge: Attr count: 4_x000D_
04 06 01:28:52 962 20944 20944 com futsal manager I FutsalManager:  CameraRecordManager   onCreate  (ble adapter: android bluetooth BluetoothAdapter 35a42fb ble address: 8C:8E:F2:B4:E1:FA)_x000D_
04 06 01:28:52 982 20944 20944 com futsal manager D ble: connect uuid: 0000110a 0000 1000 8000 00805f9b34fb_x000D_
04 06 01:28:52 987 20944 20944 com futsal manager D ble: connect uuid: 00001116 0000 1000 8000 00805f9b34fb_x000D_
04 06 01:28:52 987 20944 20944 com futsal manager D ble: connect uuid: 0000110e 0000 1000 8000 00805f9b34fb_x000D_
04 06 01:28:52 987 20944 20944 com futsal manager D ble: connect uuid: 0000112f 0000 1000 8000 00805f9b34fb_x000D_
04 06 01:28:52 987 20944 20944 com futsal manager D ble: connect uuid: 0000111f 0000 1000 8000 00805f9b34fb_x000D_
04 06 01:28:52 987 20944 20944 com futsal manager D ble: connect uuid: 00001132 0000 1000 8000 00805f9b34fb_x000D_
04 06 01:28:52 987 20944 20944 com futsal manager D ble: connect uuid: 00000000 deca fade deca deafdecacafe_x000D_
04 06 01:28:53 012 20944 20944 com futsal manager D BluetoothUtils: isSocketAllowedBySecurityPolicy start : device null_x000D_
04 06 01:28:53 012 20944 20944 com futsal manager D BluetoothSocket: connect(): myUserId   0_x000D_
04 06 01:28:53 012 20944 20944 com futsal manager W BluetoothAdapter: getBluetoothService() called with no BluetoothManagerCallback_x000D_
04 06 01:28:53 467 20944 20944 com futsal manager E bluetooth communication: read failed  socket might closed or timeout  read ret:  1_x000D_
04 06 01:28:53 467 20944 20944 com futsal manager E bluetooth communication: trying fallback   _x000D_
04 06 01:28:53 472 20944 20944 com futsal manager D BluetoothSocket: connect(): myUserId   0_x000D_
04 06 01:28:53 472 20944 20944 com futsal manager W BluetoothAdapter: getBluetoothService() called with no BluetoothManagerCallback_x000D_
04 06 01:28:53 727 20944 20944 com futsal manager E bluetooth communication: Connected_x000D_
04 06 01:28:53 727 20944 20944 com futsal manager D bluetooth communication: Error in ConnectToTargetBluetoothDevice: Attempt to invoke virtual method  void java lang Thread start()  on a null object reference_x000D_
04 06 01:28:53 727 20944 20944 com futsal manager D SecWifiDisplayUtil: Metadata value : none_x000D_
04 06 01:28:53 727 20944 20944 com futsal manager D ViewRootImpl:  1 mView   com android internal policy PhoneWindow DecorView 9028d71 I E       R     ID 0 0 0 0 _x000D_
04 06 01:28:53 732 20944 20944 com futsal manager I Choreographer: Skipped 50 frames   The application may be doing too much work on its main thread _x000D_
04 06 01:28:53 747 20944 21012 com futsal manager D mali winsys: new window surface returns 0x3000    2560x1532  format:1_x000D_
04 06 01:28:53 772 20944 20944 com futsal manager I FutsalManager:  CameraRecordProcess   surfaceChanged  (Surface Changed Method Called)_x000D_
04 06 01:28:53 947 20944 20944 com futsal manager D CameraBridge: call checkCurrentState_x000D_
04 06 01:28:54 462 20944 20944 com futsal manager D CameraBridge: call surfaceChanged event_x000D_
04 06 01:28:54 462 20944 20944 com futsal manager D CameraBridge: call checkCurrentState_x000D_
04 06 01:28:54 462 20944 20944 com futsal manager D CameraBridge: call processExitState: 0_x000D_
04 06 01:28:54 462 20944 20944 com futsal manager D CameraBridge: call processEnterState: 1_x000D_
04 06 01:28:54 462 20944 20944 com futsal manager D CameraBridge: call onEnterStartedState_x000D_
04 06 01:28:54 462 20944 20944 com futsal manager D JavaCameraView: Connecting to camera_x000D_
04 06 01:28:54 462 20944 20944 com futsal manager D JavaCameraView: Initialize java camera_x000D_
04 06 01:28:54 462 20944 20944 com futsal manager D JavaCameraView: Trying to open camera with old open()_x000D_
04 06 01:28:54 722 20944 20944 com futsal manager D JavaCameraView: getSupportedPreviewSizes()_x000D_
04 06 01:28:54 722 20944 20944 com futsal manager D JavaCameraView: Set preview size to 1088x1088_x000D_
04 06 01:28:54 732 20944 20944 com futsal manager D JavaCameraView: startPreview_x000D_
04 06 01:28:55 077 20944 20944 com futsal manager D JavaCameraView: Starting processing thread_x000D_
04 06 01:28:55 082 20944 20944 com futsal manager D CameraBridge: call checkCurrentState_x000D_
04 06 01:28:55 082 20944 20944 com futsal manager D CameraBridge: call processExitState: 1_x000D_
04 06 01:28:55 082 20944 20944 com futsal manager D JavaCameraView: Disconnecting from camera_x000D_
04 06 01:28:55 082 20944 20944 com futsal manager D JavaCameraView: Notify thread_x000D_
04 06 01:28:55 082 20944 20944 com futsal manager D JavaCameraView: Wating for thread_x000D_
04 06 01:28:55 082 20944 23322 com futsal manager D JavaCameraView: Finish processing thread_x000D_
04 06 01:28:55 287 20944 20944 com futsal manager D CameraBridge: call processEnterState: 0_x000D_
04 06 01:28:55 287 20944 20944 com futsal manager D CameraBridge: call checkCurrentState_x000D_
04 06 01:28:55 297 20944 20944 com futsal manager D CameraBridge: call checkCurrentState_x000D_
04 06 01:28:55 302 20944 20944 com futsal manager D ViewRootImpl:  3 mView   null_x000D_
04 06 01:28:55 312 20944 20944 com futsal manager D CameraBridge: Attr count: 4_x000D_
04 06 01:28:55 317 20944 20944 com futsal manager I FutsalManager:  CameraRecordManager   onCreate  (ble adapter: android bluetooth BluetoothAdapter 35a42fb ble address: 8C:8E:F2:B4:E1:FA)_x000D_
04 06 01:28:55 317 20944 20944 com futsal manager D ble: connect uuid: 0000110a 0000 1000 8000 00805f9b34fb_x000D_
04 06 01:28:55 317 20944 20944 com futsal manager D ble: connect uuid: 00001116 0000 1000 8000 00805f9b34fb_x000D_
04 06 01:28:55 317 20944 20944 com futsal manager D ble: connect uuid: 0000110e 0000 1000 8000 00805f9b34fb_x000D_
04 06 01:28:55 317 20944 20944 com futsal manager D ble: connect uuid: 0000112f 0000 1000 8000 00805f9b34fb_x000D_
04 06 01:28:55 317 20944 20944 com futsal manager D ble: connect uuid: 0000111f 0000 1000 8000 00805f9b34fb_x000D_
04 06 01:28:55 317 20944 20944 com futsal manager D ble: connect uuid: 00001132 0000 1000 8000 00805f9b34fb_x000D_
04 06 01:28:55 317 20944 20944 com futsal manager D ble: connect uuid: 00000000 deca fade deca deafdecacafe_x000D_
04 06 01:28:55 322 20944 20944 com futsal manager D BluetoothUtils: isSocketAllowedBySecurityPolicy start : device null_x000D_
04 06 01:28:55 322 20944 20944 com futsal manager D BluetoothSocket: connect(): myUserId   0_x000D_
04 06 01:28:55 322 20944 20944 com futsal manager W BluetoothAdapter: getBluetoothService() called with no BluetoothManagerCallback_x000D_
04 06 01:28:55 347 20944 20944 com futsal manager E bluetooth communication: read failed  socket might closed or timeout  read ret:  1_x000D_
04 06 01:28:55 347 20944 20944 com futsal manager E bluetooth communication: trying fallback   _x000D_
04 06 01:28:55 347 20944 20944 com futsal manager D BluetoothSocket: connect(): myUserId   0_x000D_
04 06 01:28:55 347 20944 20944 com futsal manager W BluetoothAdapter: getBluetoothService() called with no BluetoothManagerCallback_x000D_
04 06 01:28:55 397 20944 20944 com futsal manager E bluetooth communication: Connected_x000D_
04 06 01:28:55 397 20944 20944 com futsal manager D bluetooth communication: Error in ConnectToTargetBluetoothDevice: Attempt to invoke virtual method  void java lang Thread start()  on a null object reference_x000D_
04 06 01:28:55 402 20944 20944 com futsal manager D SecWifiDisplayUtil: Metadata value : none_x000D_
04 06 01:28:55 402 20944 20944 com futsal manager D ViewRootImpl:  1 mView   com android internal policy PhoneWindow DecorView 1650ea7 I E       R     ID 0 0 0 0 _x000D_
04 06 01:28:55 402 20944 20944 com futsal manager I Choreographer: Skipped 98 frames   The application may be doing too much work on its main thread _x000D_
04 06 01:28:55 417 20944 21012 com futsal manager D mali winsys: new window surface returns 0x3000    2560x1532  format:1_x000D_
04 06 01:28:55 427 20944 20944 com futsal manager I FutsalManager:  CameraRecordProcess   surfaceChanged  (Surface Changed Method Called)_x000D_
04 06 01:28:55 597 20944 20944 com futsal manager D CameraBridge: call checkCurrentState_x000D_
04 06 01:28:56 107 20944 20944 com futsal manager D CameraBridge: call surfaceChanged event_x000D_
04 06 01:28:56 107 20944 20944 com futsal manager D CameraBridge: call checkCurrentState_x000D_
04 06 01:28:56 107 20944 20944 com futsal manager D CameraBridge: call processExitState: 0_x000D_
04 06 01:28:56 107 20944 20944 com futsal manager D CameraBridge: call processEnterState: 1_x000D_
04 06 01:28:56 107 20944 20944 com futsal manager D CameraBridge: call onEnterStartedState_x000D_
04 06 01:28:56 107 20944 20944 com futsal manager D JavaCameraView: Connecting to camera_x000D_
04 06 01:28:56 107 20944 20944 com futsal manager D JavaCameraView: Initialize java camera_x000D_
04 06 01:28:56 107 20944 20944 com futsal manager D JavaCameraView: Trying to open camera with old open()_x000D_
04 06 01:28:56 517 20944 20944 com futsal manager D JavaCameraView: getSupportedPreviewSizes()_x000D_
04 06 01:28:56 517 20944 20944 com futsal manager D JavaCameraView: Set preview size to 1088x1088_x000D_
04 06 01:28:56 527 20944 20944 com futsal manager D JavaCameraView: startPreview_x000D_
04 06 01:28:56 957 20944 20944 com futsal manager D JavaCameraView: Starting processing thread_x000D_
04 06 01:28:56 962 20944 20944 com futsal manager E ViewRootImpl: sendUserActionEvent() mView    null_x000D_
04 06 01:28:56 962 20944 20944 com futsal manager E Camera: Error 2_x000D_
04 06 01:28:56 962 20944 20944 com futsal manager E ViewRootImpl: sendUserActionEvent() mView    null_x000D_
04 06 01:28:56 962 20944 20944 com futsal manager I Choreographer: Skipped 91 frames   The application may be doing too much work on its main thread _x000D_
04 06 01:28:56 992 20944 20944 com futsal manager W DisplayListCanvas: DisplayListCanvas is started on unbinded RenderNode (without mOwningView)_x000D_
04 06 01:28:57 027 20944 20944 com futsal manager D ViewRootImpl: MSG RESIZED REPORT: ci Rect(0  0   0  0) vi Rect(0  0   0  0) or 2_x000D_
04 06 01:28:57 067 20944 20944 com futsal manager E Camera: Error 2_x000D_
04 06 01:28:57 142 20944 20944 com futsal manager I Timeline: Timeline: Activity idle id: android os BinderProxy 6f92f18 time:17610151_x000D_
04 06 01:28:57 142 20944 20944 com futsal manager I Timeline: Timeline: Activity idle id: android os BinderProxy 6f92f18 time:17610151_x000D_
04 06 01:28:57 147 20944 20944 com futsal manager V ActivityThread: updateVisibility : ActivityRecord ea84f54 token android os BinderProxy afe4947  com futsal manager com futsal manager MakeVideoModule BluetoothDeviceFinder   show : false_x000D_
04 06 01:29:03 322 20944 23444 com futsal manager I FutsalManager:  CalculateBallDetect   DetectBallPosition  (position:  1039 0  109 0  radius: 38)_x000D_
04 06 01:29:04 172 20944 23444 com futsal manager I FutsalManager:  CalculateBallDetect   DetectBallPosition  (position:  997 0  909 0  radius: 39)_x000D_
04 06 01:29:04 802 20944 23444 com futsal manager I FutsalManager:  CalculateBallDetect   DetectBallPosition  (position:  485 0  47 0  radius: 37)_x000D_
04 06 01:29:04 802 20944 23444 com futsal manager I FutsalManager:  CalculateBallDetect   DetectBallPosition  (position:  48 0  90 0  radius: 37)_x000D_
04 06 01:29:04 802 20944 23444 com futsal manager I FutsalManager:  CalculateBallDetect   DetectBallPosition  (position:  391 0  38 0  radius: 37)_x000D_
04 06 01:29:04 802 20944 23444 com futsal manager I FutsalManager:  CalculateBallDetect   DetectBallPosition  (position:  207 0  45 0  radius: 36)_x000D_
04 06 01:29:05 162 20944 23444 com futsal manager I FutsalManager:  CalculateBallDetect   DetectBallPosition  (position:  389 0  149 0  radius: 38)_x000D_
04 06 01:29:05 552 20944 23444 com futsal manager I FutsalManager:  CalculateBallDetect   DetectBallPosition  (position:  397 0  214 0  radius: 36)_x000D_
04 06 01:29:05 937 20944 23444 com futsal manager I FutsalManager:  CalculateBallDetect   DetectBallPosition  (position:  410 0  127 0  radius: 36)_x000D_
04 06 01:29:06 202 20944 23444 com futsal manager I FutsalManager:  CalculateBallDetect   DetectBallPosition  (position:  439 0  208 0  radius: 36)_x000D_
04 06 01:29:06 847 20944 23444 com futsal manager I FutsalManager:  CalculateBallDetect   DetectBallPosition  (position:  393 0  199 0  radius: 38)_x000D_
04 06 01:29:12 977 20944 23444 com futsal manager I FutsalManager:  CalculateBallDetect   DetectBallPosition  (position:  471 0  61 0  radius: 36)_x000D_
04 </t>
  </si>
  <si>
    <t>jMonkeyEngine-sdk-121</t>
  </si>
  <si>
    <t>Nifty-Editor crashes in 3.1 SDK</t>
  </si>
  <si>
    <t>I m happy editing my XML files as text  but I thought I ought to try out the Nifty Editor plug in  With an XML file open in the IDE  I click on the Visual button and immediately got an IllegalArgumentException  I got a similar result with several other Nifty XML files _x000D_
_x000D_
Running on jMonkeyEngine 3 1 stable_x000D_
  Branch: HEAD_x000D_
  Git Hash: af04bf9_x000D_
  Build Date: 2017 02 19_x000D_
LWJGL 2 9 3 context running on thread jME3 Main_x000D_
  Graphics Adapter: nvd3dumx nvwgf2umx nvwgf2umx_x000D_
  Driver Version: 21 21 13 7633_x000D_
  Scaling Factor: 1_x000D_
OpenGL Renderer Information_x000D_
  Vendor: NVIDIA Corporation_x000D_
  Renderer: GeForce GT 545 PCIe SSE2_x000D_
  OpenGL Version: 4 5 0 NVIDIA 376 33_x000D_
  GLSL Version: 4 50 NVIDIA_x000D_
  Profile: Compatibility_x000D_
Audio Renderer Information_x000D_
  Device: OpenAL Soft_x000D_
  Vendor: OpenAL Community_x000D_
  Renderer: OpenAL Soft_x000D_
  Version: 1 1 ALSOFT 1 15 1_x000D_
  Supported channels: 64_x000D_
  ALC extensions: ALC ENUMERATE ALL EXT ALC ENUMERATION EXT ALC EXT CAPTURE ALC EXT DEDICATED ALC EXT disconnect ALC EXT EFX ALC EXT thread local context ALC SOFT loopback_x000D_
  AL extensions: AL EXT ALAW AL EXT DOUBLE AL EXT EXPONENT DISTANCE AL EXT FLOAT32 AL EXT IMA4 AL EXT LINEAR DISTANCE AL EXT MCFORMATS AL EXT MULAW AL EXT MULAW MCFORMATS AL EXT OFFSET AL EXT source distance model AL LOKI quadriphonic AL SOFT buffer samples AL SOFT buffer sub data AL SOFTX deferred updates AL SOFT direct channels AL SOFT loop points AL SOFT source latency_x000D_
Pausing audio device not supported _x000D_
Audio effect extension version: 1 0_x000D_
Audio max auxiliary sends: 4_x000D_
Returning hash code of content_x000D_
Reading welcome page content from web failed _x000D_
wiki jmonkeyengine org_x000D_
Checking page id 0 vs stored id 0_x000D_
java lang IllegalArgumentException: No gui for your id_x000D_
at jada ngeditor model GuiEditorModel getGUI(GuiEditorModel java:31)_x000D_
at jada ngeditor model GuiEditorModel setCurrentGUI(GuiEditorModel java:72)_x000D_
at com jme3 gde gui view NiftyGuiVisualElement componentActivated(NiftyGuiVisualElement java:270)_x000D_
at org netbeans core multiview MultiViewPeer SelectionListener selectionActivatedByButton(MultiViewPeer java:937)_x000D_
at org netbeans core multiview MultiViewModel fireActivateCurrent(MultiViewModel java:269)_x000D_
at org netbeans core multiview TabsComponent ButtonMouseListener mousePressed(TabsComponent java:908)_x000D_
at java awt AWTEventMulticaster mousePressed(AWTEventMulticaster java:280)_x000D_
at java awt AWTEventMulticaster mousePressed(AWTEventMulticaster java:279)_x000D_
at java awt Component processMouseEvent(Component java:6530)_x000D_
at javax swing JComponent processMouseEvent(JComponent java:3324)_x000D_
at java awt Component processEvent(Component java:6298)_x000D_
at java awt Container processEvent(Container java:2236)_x000D_
at java awt Component dispatchEventImpl(Component java:4889)_x000D_
at java awt Container dispatchEventImpl(Container java:2294)_x000D_
at java awt Component dispatchEvent(Component java:4711)_x000D_
at java awt LightweightDispatcher retargetMouseEvent(Container java:4888)_x000D_
at java awt LightweightDispatcher processMouseEvent(Container java:4522)_x000D_
at java awt LightweightDispatcher dispatchEvent(Container java:4466)_x000D_
at java awt Container dispatchEventImpl(Container java:2280)_x000D_
at java awt Window dispatchEventImpl(Window java:2746)_x000D_
at java awt Component dispatchEvent(Component java:4711)_x000D_
at java awt EventQueue dispatchEventImpl(EventQueue java:758)_x000D_
at java awt EventQueue access 500(EventQueue java:97)_x000D_
at java awt EventQueue 3 run(EventQueue java:709)_x000D_
at java awt EventQueue 3 run(EventQueue java:703)_x000D_
at java security AccessController doPrivileged(Native Method)_x000D_
at java security ProtectionDomain JavaSecurityAccessImpl doIntersectionPrivilege(ProtectionDomain java:76)_x000D_
at java security ProtectionDomain JavaSecurityAccessImpl doIntersectionPrivilege(ProtectionDomain java:86)_x000D_
at java awt EventQueue 4 run(EventQueue java:731)_x000D_
at java awt EventQueue 4 run(EventQueue java:729)_x000D_
at java security AccessController doPrivileged(Native Method)_x000D_
at java security ProtectionDomain JavaSecurityAccessImpl doIntersectionPrivilege(ProtectionDomain java:76)_x000D_
at java awt EventQueue dispatchEvent(EventQueue java:728)_x000D_
at org netbeans core TimableEventQueue dispatchEvent(TimableEventQueue java:159)_x000D_
at java awt EventDispatchThread pumpOneEventForFilters(EventDispatchThread java:201)_x000D_
at java awt EventDispatchThread pumpEventsForFilter(EventDispatchThread java:116)_x000D_
at java awt EventDispatchThread pumpEventsForHierarchy(EventDispatchThread java:105)_x000D_
at java awt EventDispatchThread pumpEvents(EventDispatchThread java:101)_x000D_
at java awt EventDispatchThread pumpEvents(EventDispatchThread java:93)_x000D_
at java awt EventDispatchThread run(EventDispatchThread java:82)_x000D_
_x000D_
Prior discussion at the forums: https:  hub jmonkeyengine org t nifty editor crashes in 3 1 sdk 38309</t>
  </si>
  <si>
    <t>nextcloud-android-809</t>
  </si>
  <si>
    <t xml:space="preserve">Preview Image is crashing </t>
  </si>
  <si>
    <t xml:space="preserve">    Actual behaviour_x000D_
 The app is crashing in the Preview Image Fragment   with any image prior to Android API 23 _x000D_
_x000D_
    Expected behaviour_x000D_
 The app should show the preview image_x000D_
 _x000D_
    Steps to reproduce_x000D_
1  Open the app _x000D_
2  Login_x000D_
3  Choose an image _x000D_
_x000D_
_x000D_
    Environment data_x000D_
Android version:5 0 and 4 4 2_x000D_
_x000D_
Device model: Samsung Galaxy Tab SM T530 and Moto X 1  Gen  _x000D_
_x000D_
Stock or customized system: _x000D_
_x000D_
Nextcloud app version: master_x000D_
_x000D_
Nextcloud server version: 11_x000D_
_x000D_
    Logs_x000D_
_x000D_
   _x000D_
 04 06 13:01:42 018 799 799 com nextcloud client E AndroidRuntime: FATAL EXCEPTION: main_x000D_
                                                                  Process: com nextcloud client  PID: 799_x000D_
                                                                  java lang NoSuchMethodError: No virtual method setLayerHeight(II)V in class Landroid graphics drawable LayerDrawable  or its super classes (declaration of  android graphics drawable LayerDrawable  appears in  system framework framework jar:classes2 dex)_x000D_
                                                                      at com owncloud android ui preview PreviewImageFragment LoadBitmapTask showLoadedImage(PreviewImageFragment java:532)_x000D_
                                                                      at com owncloud android ui preview PreviewImageFragment LoadBitmapTask onPostExecute(PreviewImageFragment java:505)_x000D_
                                                                      at com owncloud android ui preview PreviewImageFragment LoadBitmapTask onPostExecute(PreviewImageFragment java:400)_x000D_
                                                                      at android os AsyncTask finish(AsyncTask java:632)_x000D_
                                                                      at android os AsyncTask access 600(AsyncTask java:177)_x000D_
                                                                      at android os AsyncTask InternalHandler handleMessage(AsyncTask java:645)_x000D_
                                                                      at android os Handler dispatchMessage(Handler java:102)_x000D_
                                                                      at android os Looper loop(Looper java:145)_x000D_
                                                                      at android app ActivityThread main(ActivityThread java:6134)_x000D_
                                                                      at java lang reflect Method invoke(Native Method)_x000D_
                                                                      at java lang reflect Method invoke(Method java:372)_x000D_
                                                                      at com android internal os ZygoteInit MethodAndArgsCaller run(ZygoteInit java:1399)_x000D_
                                                                      at com android internal os ZygoteInit main(ZygoteInit java:1194)_x000D_
 _x000D_
  NOTE:   Be super sure to remove sensitive data like passwords  note that everybody can look here  You can use the Issue Template application to prefill some of the required information: https:  apps nextcloud com apps issuetemplate_x000D_
</t>
  </si>
  <si>
    <t>niclabs-adkintunmobile-androidclient-165</t>
  </si>
  <si>
    <t>ActiveConnectionMapBottomSheetDialogFragment.java line 262</t>
  </si>
  <si>
    <t xml:space="preserve">     in cl niclabs adkintunmobile views activeconnections ActiveConnectionMapBottomSheetDialogFragment onDestroyView
  Number of crashes: 1
  Impacted devices: 1
There s a lot more information about this crash on crashlytics com:
 https:  fabric io niclabs android apps cl niclabs adkintunmobile issues 58e6019e0aeb16625b4ec454 (https:  fabric io niclabs android apps cl niclabs adkintunmobile issues 58e6019e0aeb16625b4ec454)</t>
  </si>
  <si>
    <t>OpenLauncherTeam-openlauncher-54</t>
  </si>
  <si>
    <t>alpha4 crashes when clickin on "all apps"</t>
  </si>
  <si>
    <t xml:space="preserve">Using the current alpha 4 on my Fairphone2 with Andoid6 (M) I experience a crash of openlauncher when I press the  dots  button to show all apps  The same crash occurs when I use the button via the sidebar  Is there any way to get helpful logs for you  This phone is not rooted so alogcat will probably not help  </t>
  </si>
  <si>
    <t>codinguser-gnucash-android-664</t>
  </si>
  <si>
    <t>Device rotation causes crash</t>
  </si>
  <si>
    <t xml:space="preserve">     Steps to reproduce the behaviour_x000D_
1  Open any accounts transactions view_x000D_
2  Rotate the device_x000D_
_x000D_
     Expected behaviour_x000D_
3  The list of accounts should be rotated_x000D_
_x000D_
     Actual behaviour_x000D_
3  The app crashes_x000D_
_x000D_
_x000D_
     Software specifications_x000D_
  GnuCash Android version: 6 0 1_x000D_
  System Android version: 2 1 5_x000D_
  Device type: Nexus 5_x000D_
</t>
  </si>
  <si>
    <t>spacecowboy-NoNonsense-FilePicker-136</t>
  </si>
  <si>
    <t>Version 4.0.0 crashes NullPointer Exception selecting a Dir</t>
  </si>
  <si>
    <t xml:space="preserve">After selecting a folder  I get this crash  and the activity called with FilePickerActivity MODE DIR  The crash only happens in Android 4 1  4 2  4 3 and 4 4  _x000D_
_x000D_
 FATAL EXCEPTION: main_x000D_
                                                                                    java lang NullPointerException_x000D_
                                                                                        at android support v4 content FileProvider parsePathStrategy(FileProvider java:583)_x000D_
                                                                                        at android support v4 content FileProvider getPathStrategy(FileProvider java:557)_x000D_
                                                                                        at android support v4 content FileProvider getUriForFile(FileProvider java:399)_x000D_
                                                                                        at com nononsenseapps filepicker FilePickerFragment toUri(FilePickerFragment java:201)_x000D_
                                                                                        at com nononsenseapps filepicker FilePickerFragment toUri(FilePickerFragment java:28)_x000D_
                                                                                        at com nononsenseapps filepicker AbstractFilePickerFragment onClickOk(AbstractFilePickerFragment java:314)_x000D_
                                                                                        at com nononsenseapps filepicker AbstractFilePickerFragment 2 onClick(AbstractFilePickerFragment java:196)_x000D_
                                                                                        at android view View performClick(View java:4204)_x000D_
                                                                                        at android view View PerformClick run(View java:17355)_x000D_
 </t>
  </si>
  <si>
    <t>5calls-android-81</t>
  </si>
  <si>
    <t>UnsupportedOperationException (@MainActivity$IssuesAdapter:addInactiveIssues:440) {main}</t>
  </si>
  <si>
    <t xml:space="preserve">1 crash in 1 7 1 </t>
  </si>
  <si>
    <t>tanrabad-survey-19</t>
  </si>
  <si>
    <t xml:space="preserve">     in org tanrabad survey repository persistence DbBuildingRepository findByPlaceUuid
  Number of crashes: 1
  Impacted devices: 1
There s a lot more information about this crash on crashlytics com:
 https:  fabric io tanrabad android apps org tanrabad survey issues 58e745d90aeb16625b59809c (https:  fabric io tanrabad android apps org tanrabad survey issues 58e745d90aeb16625b59809c)</t>
  </si>
  <si>
    <t>google-ExoPlayer-2663</t>
  </si>
  <si>
    <t>ID3 metadata COMM frame with size&lt;4 decoding error</t>
  </si>
  <si>
    <t xml:space="preserve">    Issue description_x000D_
I found some   mp3 tracks where ID3 metadata contains COMM frame with frameSize 1  In that case  Id3Decoder  throws  NegativeArraySizeException  on parsing such frame _x000D_
As I understand it s not illegal to set such data into COMM so player can just skip such frame as it s frameSize is only 1 byte  Other players have no problems with playing such files _x000D_
_x000D_
    Reproduction steps_x000D_
Just play track with such metadata_x000D_
_x000D_
    Link to test content_x000D_
https:  www dropbox com s qdsxgi8s462jql9 BAD COMM SAMPLE mp3 dl 0_x000D_
_x000D_
    Version of ExoPlayer being used_x000D_
2 3 1_x000D_
_x000D_
    Device(s) and version(s) of Android being used_x000D_
Any device  I ve tested on Emulator 6 0 and on Google Pixel 7 1 2_x000D_
_x000D_
    A full bug report captured from the device_x000D_
_x000D_
    Exo code problem and possible fix_x000D_
This bug occurs because according to ID3 specification COMM frame should contains encoding byte and then language iso (3 bytes)  So  ID3Decoder  (in method  decodeCommentFrame ) gets byte for encoding  then gets 3 bytes for language iso even if frameSize is less than 4 bytes  Then it is creating byte array with size frameSize 4  Then it crashes obviously _x000D_
_x000D_
My possible fix is to modify COMM frame decoding condition into  ID3Decoder decodeFrame _x000D_
_x000D_
from_x000D_
   java_x000D_
else if (frameId0     C     frameId1     O     frameId2     M _x000D_
             (frameId3     M     majorVersion    2))  _x000D_
        frame   decodeCommentFrame(id3Data  frameSize) _x000D_
       _x000D_
   _x000D_
to_x000D_
   java_x000D_
else if (frameId0     C     frameId1     O     frameId2     M _x000D_
             (frameId3     M     majorVersion    2)    frameSize   4)  _x000D_
        frame   decodeCommentFrame(id3Data  frameSize) _x000D_
       _x000D_
   _x000D_
_x000D_
but maybe it s better to modify  CommentFrame  to contains some default language and empty content for example  don t know   _x000D_
_x000D_
maybe it makes sense to check every frame on it s minimum frameSize to prevent such crashes in other frames decoding code</t>
  </si>
  <si>
    <t>tom-anders-Easy_xkcd-110</t>
  </si>
  <si>
    <t>Crashes when opened from widget</t>
  </si>
  <si>
    <t>The app is shown shortly  but afterwards crashes 
D AndroidRuntime( 9370): Shutting down VM
E AndroidRuntime( 9370): FATAL EXCEPTION: main
E AndroidRuntime( 9370): Process: de tap easy xkcd  PID: 9370
E AndroidRuntime( 9370): Theme: themes: com android providers downloads ui overlay:com spastef inversion  com fsck k9 overlay:com chummy jezebel material dark regression  default overlay:com chummy jezebel material dark regression  iconPack:system  fontPkg:com chummy jezebel material dark  com android systemui overlay:com chummy jezebel material dark regression  com android systemui navbar overlay:com chummy jezebel material dark regression 
E AndroidRuntime( 9370): java lang NullPointerException: Attempt to invoke virtual method  java lang Object android content Context getSystemService(java lang String)  on a null object reference
E AndroidRuntime( 9370): 	at de tap easy xkcd fragments comics ComicFragment ComicAdapter  init (ComicFragment java:134)
E AndroidRuntime( 9370): 	at de tap easy xkcd fragments comics ComicBrowserFragment ComicBrowserPagerAdapter  init (ComicBrowserFragment java:193)
E AndroidRuntime( 9370): 	at de tap easy xkcd fragments comics ComicBrowserFragment updateNewest onPostExecute(ComicBrowserFragment java:167)
E AndroidRuntime( 9370): 	at de tap easy xkcd fragments comics ComicBrowserFragment updateNewest onPostExecute(ComicBrowserFragment java:125)
E AndroidRuntime( 9370): 	at android os AsyncTask finish(AsyncTask java:651)
E AndroidRuntime( 9370): 	at android os AsyncTask  wrap1(AsyncTask java)
E AndroidRuntime( 9370): 	at android os AsyncTask InternalHandler handleMessage(AsyncTask java:668)
E AndroidRuntime( 9370): 	at android os Handler dispatchMessage(Handler java:102)
E AndroidRuntime( 9370): 	at android os Looper loop(Looper java:148)
E AndroidRuntime( 9370): 	at android app ActivityThread main(ActivityThread java:5461)
E AndroidRuntime( 9370): 	at java lang reflect Method invoke(Native Method)
E AndroidRuntime( 9370): 	at com android internal os ZygoteInit MethodAndArgsCaller run(ZygoteInit java:726)
E AndroidRuntime( 9370): 	at com android internal os ZygoteInit main(ZygoteInit java:616)
E AndroidRuntime( 9370): 	at de robv android xposed XposedBridge main(XposedBridge java:102)
After the crash the widget is empty  (Which is also not nice)
CM 13</t>
  </si>
  <si>
    <t>konradrenner-kolabnotes-android-160</t>
  </si>
  <si>
    <t>Permanent crash after adding image to KolabNotes</t>
  </si>
  <si>
    <t xml:space="preserve">KolabNotes crashed here when trying to add a photo to KolabNotes using the  Share  functionality of the photo app _x000D_
_x000D_
Since then KolabNotes can t be started anymore and crashes immediately on startup without even showing the UI _x000D_
_x000D_
  Device:   OnePlus 3_x000D_
  OS:   Android 7 1 1_x000D_
  App Version:   2 6 0_x000D_
_x000D_
Crash Log:_x000D_
   _x000D_
04 09 22:36:45 045 32297 32297 E AndroidRuntime: FATAL EXCEPTION: main_x000D_
04 09 22:36:45 045 32297 32297 E AndroidRuntime: Process: org kore kolabnotes android  PID: 32297_x000D_
04 09 22:36:45 045 32297 32297 E AndroidRuntime: java lang RuntimeException: Unable to start activity ComponentInfo org kore kolabnotes android org kore kolabnotes android MainActivity : java lang IllegalStateException: Couldn t read row 0  col 3 from CursorWindow   Make sure the Cursor is initialized correctly before accessing data from it _x000D_
04 09 22:36:45 045 32297 32297 E AndroidRuntime: 	at android app ActivityThread performLaunchActivity(ActivityThread java:2728)_x000D_
04 09 22:36:45 045 32297 32297 E AndroidRuntime: 	at android app ActivityThread handleLaunchActivity(ActivityThread java:2814)_x000D_
04 09 22:36:45 045 32297 32297 E AndroidRuntime: 	at android app ActivityThread  wrap12(ActivityThread java)_x000D_
04 09 22:36:45 045 32297 32297 E AndroidRuntime: 	at android app ActivityThread H handleMessage(ActivityThread java:1527)_x000D_
04 09 22:36:45 045 32297 32297 E AndroidRuntime: 	at android os Handler dispatchMessage(Handler java:102)_x000D_
04 09 22:36:45 045 32297 32297 E AndroidRuntime: 	at android os Looper loop(Looper java:154)_x000D_
04 09 22:36:45 045 32297 32297 E AndroidRuntime: 	at android app ActivityThread main(ActivityThread java:6290)_x000D_
04 09 22:36:45 045 32297 32297 E AndroidRuntime: 	at java lang reflect Method invoke(Native Method)_x000D_
04 09 22:36:45 045 32297 32297 E AndroidRuntime: 	at com android internal os ZygoteInit MethodAndArgsCaller run(ZygoteInit java:886)_x000D_
04 09 22:36:45 045 32297 32297 E AndroidRuntime: 	at com android internal os ZygoteInit main(ZygoteInit java:776)_x000D_
04 09 22:36:45 045 32297 32297 E AndroidRuntime: Caused by: java lang IllegalStateException: Couldn t read row 0  col 3 from CursorWindow   Make sure the Cursor is initialized correctly before accessing data from it _x000D_
04 09 22:36:45 045 32297 32297 E AndroidRuntime: 	at android database CursorWindow nativeGetString(Native Method)_x000D_
04 09 22:36:45 045 32297 32297 E AndroidRuntime: 	at android database CursorWindow getString(CursorWindow java:438)_x000D_
04 09 22:36:45 045 32297 32297 E AndroidRuntime: 	at android database AbstractWindowedCursor getString(AbstractWindowedCursor java:51)_x000D_
04 09 22:36:45 045 32297 32297 E AndroidRuntime: 	at org kore kolabnotes android content NoteRepository cursorToNoteWithoutDescription(NoteRepository java:355)_x000D_
04 09 22:36:45 045 32297 32297 E AndroidRuntime: 	at org kore kolabnotes android content NoteRepository getAll(NoteRepository java:241)_x000D_
04 09 22:36:45 045 32297 32297 E AndroidRuntime: 	at org kore kolabnotes android fragment OverviewFragment DrawerItemClickedListener changeNoteSelection(OverviewFragment java:1573)_x000D_
04 09 22:36:45 045 32297 32297 E AndroidRuntime: 	at org kore kolabnotes android fragment OverviewFragment DrawerItemClickedListener onItemClick(OverviewFragment java:1533)_x000D_
04 09 22:36:45 045 32297 32297 E AndroidRuntime: 	at com mikepenz materialdrawer DrawerUtils setListSelection(DrawerUtils java:107)_x000D_
04 09 22:36:45 045 32297 32297 E AndroidRuntime: 	at com mikepenz materialdrawer Drawer setSelection(Drawer java:411)_x000D_
04 09 22:36:45 045 32297 32297 E AndroidRuntime: 	at com mikepenz materialdrawer Drawer setSelection(Drawer java:398)_x000D_
04 09 22:36:45 045 32297 32297 E AndroidRuntime: 	at org kore kolabnotes android fragment OverviewFragment onActivityCreated(OverviewFragment java:269)_x000D_
04 09 22:36:45 045 32297 32297 E AndroidRuntime: 	at android app Fragment performActivityCreated(Fragment java:2362)_x000D_
04 09 22:36:45 045 32297 32297 E AndroidRuntime: 	at android app FragmentManagerImpl moveToState(FragmentManager java:1014)_x000D_
04 09 22:36:45 045 32297 32297 E AndroidRuntime: 	at android app FragmentManagerImpl moveToState(FragmentManager java:1171)_x000D_
04 09 22:36:45 045 32297 32297 E AndroidRuntime: 	at android app FragmentManagerImpl moveToState(FragmentManager java:1153)_x000D_
04 09 22:36:45 045 32297 32297 E AndroidRuntime: 	at android app FragmentManagerImpl dispatchActivityCreated(FragmentManager java:2039)_x000D_
04 09 22:36:45 045 32297 32297 E AndroidRuntime: 	at android app FragmentController dispatchActivityCreated(FragmentController java:176)_x000D_
04 09 22:36:45 045 32297 32297 E AndroidRuntime: 	at android app Activity performCreateCommon(Activity java:6754)_x000D_
04 09 22:36:45 045 32297 32297 E AndroidRuntime: 	at android app Activity performCreate(Activity java:6762)_x000D_
04 09 22:36:45 045 32297 32297 E AndroidRuntime: 	at android app Instrumentation callActivityOnCreate(Instrumentation java:1134)_x000D_
04 09 22:36:45 045 32297 32297 E AndroidRuntime: 	at android app ActivityThread performLaunchActivity(ActivityThread java:2681)_x000D_
04 09 22:36:45 045 32297 32297 E AndroidRuntime: 	    9 more_x000D_
04 09 22:36:45 045 32297 32297 D AppTracker: App Event: crash_x000D_
   _x000D_
_x000D_
Do you need any further data to debug this issue </t>
  </si>
  <si>
    <t>cgeo-cgeo-6481</t>
  </si>
  <si>
    <t>c:geo not working due to missing SD [HTC One V]</t>
  </si>
  <si>
    <t xml:space="preserve">      Detailed steps causing the problem:_x000D_
  I had the chance to test with an older Android 4 0 3 device (HTC One V) _x000D_
  Storage internal is on   mmt emmc _x000D_
  External SD is on   mmt sdcard  _x000D_
_x000D_
      Actual behavior after performing these steps:_x000D_
I had severe problems to get c:geo running at all when I tried to do the first start without inserted SD card _x000D_
Here is the log:_x000D_
   _x000D_
21:33:10 698 Error cgeo 4790   main  Could not make directories  mnt sdcard cgeo_x000D_
21:33:10 698 Warning cgeo 4790   RxCachedThreadScheduler 2  Chosen extCgeoDir null is not available  falling back to default extCgeoDir_x000D_
21:33:10 698 Warning cgeo 4790   RxCachedThreadScheduler 2  No extCgeoDir is available  falling back to internal storage_x000D_
21:33:10 811 Warning cgeo 4790   network  2  Login login: No login information stored_x000D_
21:33:11 563 Error cgeo 4790   main  Could not make directories  mnt sdcard cgeo_x000D_
21:33:11 563 Error cgeo 4790   main  Could not make directories  mnt sdcard cgeo_x000D_
21:33:13 617 Error cgeo 4790   main  Could not make directories  mnt sdcard cgeo_x000D_
   _x000D_
_x000D_
Thereafter c:geo returns several errors and crashes when trying to perform memory operations _x000D_
_x000D_
It seems as if the device reports   mnt sdcard  as the default  internal  storage (although there is not even an SD inserted) and never uses   mnt emmc   This is also the reason for the above message that   mnt sdcard cgeo  can not be created _x000D_
_x000D_
I currently have no idea whether this is a configuration issue on the device or a bug in that device _x000D_
_x000D_
After inserting a SD c:geo is working normal _x000D_
I can see   mnt sdcard  being the only option in geocache data dir selection _x000D_
_x000D_
      Expected behavior after performing these steps:_x000D_
c:geo should be able to use   mnt emmc  on this device _x000D_
There is already a directory structure   mnt emmc Android data      on this storage filled by other apps  So it seems usable somehow   _x000D_
_x000D_
      Version of c:geo used:_x000D_
2017 04 09 NB_x000D_
_x000D_
_x000D_
      Is the problem reproducible for you _x000D_
Yes_x000D_
_x000D_
      System information:_x000D_
   _x000D_
    System information    _x000D_
Device: HTC One V (htc primou  htc europe)_x000D_
Android version: 4 0 3_x000D_
Android build: htc primou userdebug 4 0 3 IML74K eng  20120319 235315 test keys_x000D_
Cgeo version: 2017 04 09 NB b85f032_x000D_
Google Play services: enabled   9 4 52 (034 127739847)_x000D_
Low power mode: inactive_x000D_
Compass capabilities: no_x000D_
Rotation vector sensor: absent_x000D_
Orientation sensor: absent_x000D_
Magnetometer   Accelerometer sensor: absent_x000D_
Direction sensor used: magnetometer   accelerometer_x000D_
Hide own found: false_x000D_
Map strategy: auto_x000D_
HW acceleration: disabled (default state)_x000D_
System language: de DE_x000D_
System date format: dd MM yyyy_x000D_
Debug mode active: yes_x000D_
Fine location permission: granted_x000D_
Write external storage permission: granted_x000D_
Geocaching sites enabled:_x000D_
   geocaching com: Not logged in (Anmeldung )_x000D_
Geocaching com date format: MM dd yyyy_x000D_
Installed cgeo plugins:  none_x000D_
    End of system information    _x000D_
   _x000D_
_x000D_
_x000D_
      Other comments and remarks:_x000D_
_x000D_
</t>
  </si>
  <si>
    <t>AdBlocker-Reborn-AdBlocker_Reborn-17</t>
  </si>
  <si>
    <t>Power button lags on some device</t>
  </si>
  <si>
    <t xml:space="preserve">    
Hey there  You found a problem with the module and found your way here to report it  Great  But there are some things you have to keep in mind before submitting a new issue:
First  CHECK FOR DUPLICATES  Use the search function to search for keywords matching your issue  If there already is one which sounds similar to your one  please reply there instead of opening a new issue  Only exception are SystemUI crashes as they can be caused by various reasons  If any contributor finds a duplicate (or the same crash) he will close it 
Second  ALWAYS ATTACH YOUR XPOSED LOG  If an app crashes though you ll have to add a logcat  Use Google to learn how to capture a logcat 
If the issue is new  go ahead and DESCRIBE YOUR ISSUE AS PRECISE AS POSSIBLE  add screenshots or videos if necessary 
Note that there is no time limit in which the issue will be adressed  Some get fixed quickly  others take some time  Don t open a new issue because you think we forgot about the old one   we don t  forget  issues 
Now that you ve read all of this (and hopefully followed the instructions) you can add the description and logs  Do with this text what you want  it won t appear in the issue anyways 
  Description  
  Xposed log   logcat  </t>
  </si>
  <si>
    <t>ankidroid-Anki-Android-4617</t>
  </si>
  <si>
    <t>Instant-Add API crashes AnkiDroid when AnkiDroid is not running in the background on Android N.</t>
  </si>
  <si>
    <t xml:space="preserve">       Background_x000D_
I ve recently written an app that uses the AnkiDroid Instant Add API  Many users reported that my app crashes when attempting to connect to AnkiDroid (actaully Ankidroid crashes at the same time  and this is the major issue)  and their issues can be solved by opening Ankidroid before using my app  After some debuging  I believed that it is either a problem with the  com ichi2 anki:api:1 1 0alpha5  package or the content provider of Ankidroid  I tried the  API sample  app from the Ankidroid API documentation and the problem remained  _x000D_
_x000D_
       Research_x000D_
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_x000D_
       Reproduction Steps_x000D_
_x000D_
1  On Android N (I use the official AVD rom from google on windows)  install the lasted version of AnkiDroid and the API sample  app for testing Instant API _x000D_
2  Go to settings and stop Ankidroid process to make sure it s not running on the background _x000D_
3  Open API sample app  allow requested permission  select an item and share it with the menu item  Ankidroid Instant Add  _x000D_
       Expected Result_x000D_
Card added to Ankidroid _x000D_
_x000D_
       Actual Result_x000D_
AnkiDroid crashes _x000D_
 API sample  crashes (because the api returned  null ) _x000D_
_x000D_
       Debug info_x000D_
I debuged this on Android Studio and this was the log when crash happened _x000D_
_x000D_
       from api sample app:_x000D_
   _x000D_
04 09 04:22:55 597 30484 30484 com ichi2 apisample E AndroidRuntime: FATAL EXCEPTION: main_x000D_
                                                                     Process: com ichi2 apisample  PID: 30484_x000D_
                                                                     java lang NullPointerException: Attempt to invoke interface method  java util Set java util Map entrySet()  on a null object reference_x000D_
                                                                         at com ichi2 apisample AnkiDroidHelper getDeckId(AnkiDroidHelper java:190)_x000D_
                                                                         at com ichi2 apisample AnkiDroidHelper findDeckIdByName(AnkiDroidHelper java:167)_x000D_
                                                                         at com ichi2 apisample MainActivity getDeckId(MainActivity java:249)_x000D_
                                                                         at com ichi2 apisample MainActivity addCardsToAnkiDroid(MainActivity java:272)_x000D_
                                                                         at com ichi2 apisample MainActivity access 300(MainActivity java:36)_x000D_
                                                                         at com ichi2 apisample MainActivity AnkiDroidActionProvider onMenuItemClick(MainActivity java:223)_x000D_
                                                                         at android support v7 view menu MenuItemImpl invoke(MenuItemImpl java:148)_x000D_
                                                                         at android support v7 view menu MenuBuilder performItemAction(MenuBuilder java:958)_x000D_
                                                                         at android support v7 view menu MenuBuilder performItemAction(MenuBuilder java:948)_x000D_
                                                                         at android support v7 view menu MenuPopupHelper onItemClick(MenuPopupHelper java:191)_x000D_
                                                                         at android widget AdapterView performItemClick(AdapterView java:310)_x000D_
                                                                         at android widget AbsListView performItemClick(AbsListView java:1156)_x000D_
                                                                         at android widget AbsListView PerformClick run(AbsListView java:3121)_x000D_
                                                                         at android widget AbsListView onTouchUp(AbsListView java:4048)_x000D_
                                                                         at android widget AbsListView onTouchEvent(AbsListView java:3807)_x000D_
                                                                         at android support v7 widget ListViewCompat onTouchEvent(ListViewCompat java:120)_x000D_
                                                                         at android view View dispatchTouchEvent(View java:10023)_x000D_
                                                                         at android view ViewGroup dispatchTransformedTouchEvent(ViewGroup java:2626)_x000D_
                                                                         at android view ViewGroup dispatchTouchEvent(ViewGroup java:2307)_x000D_
                                                                         at android view ViewGroup dispatchTransformedTouchEvent(ViewGroup java:2632)_x000D_
                                                                         at android view ViewGroup dispatchTouchEvent(ViewGroup java:2321)_x000D_
                                                                         at android view ViewGroup dispatchTransformedTouchEvent(ViewGroup java:2632)_x000D_
                                                                         at android view ViewGroup dispatchTouchEvent(ViewGroup java:2321)_x000D_
                                                                         at android widget PopupWindow PopupDecorView dispatchTouchEvent(PopupWindow java:2275)_x000D_
                                                                         at android view View dispatchPointerEvent(View java:10243)_x000D_
                                                                         at android view ViewRootImpl ViewPostImeInputStage processPointerEvent(ViewRootImpl java:4438)_x000D_
                                                                         at android view ViewRootImpl ViewPostImeInputStage onProcess(ViewRootImpl java:4306)_x000D_
                                                                         at android view ViewRootImpl InputStage deliver(ViewRootImpl java:3853)_x000D_
                                                                         at android view ViewRootImpl InputStage onDeliverToNext(ViewRootImpl java:3906)_x000D_
                                                                         at android view ViewRootImpl InputStage forward(ViewRootImpl java:3872)_x000D_
                                                                         at android view ViewRootImpl AsyncInputStage forward(ViewRootImpl java:3999)_x000D_
                                                                         at android view ViewRootImpl InputStage apply(ViewRootImpl java:3880)_x000D_
                                                                         at android view ViewRootImpl AsyncInputStage apply(ViewRootImpl java:4056)_x000D_
                                                                         at android view ViewRootImpl InputStage deliver(ViewRootImpl java:3853)_x000D_
                                                                         at android view ViewRootImpl InputStage onDeliverToNext(ViewRootImpl java:3906)_x000D_
                                                                         at android view ViewRootImpl InputStage forward(ViewRootImpl java:3872)_x000D_
                                                                         at android view ViewRootImpl InputStage apply(ViewRootImpl java:3880)_x000D_
                                                                         at android view ViewRootImpl InputStage deliver(ViewRootImpl java:3853)_x000D_
                                                                         at android view ViewRootImpl deliverInputEvent(ViewRootImpl java:6246)_x000D_
                                                                         at android view ViewRootImpl doProcessInputEvents(ViewRootImpl java:6220)_x000D_
                                                                         at android view ViewRootImpl enqueueInputEvent(ViewRootImpl java:6181)_x000D_
                                                                         at android view ViewRootImpl WindowInputEventReceiver onInputEvent(ViewRootImpl java:6349)_x000D_
                                                                         at android view InputEventReceiver dispatchInputEvent(InputEventReceiver java:185)_x000D_
                                                                         at android os MessageQueue nativePollOnce(Native Method)_x000D_
                                                                         at android os MessageQueue next(MessageQueue java:323)_x000D_
                                                                         at android os Looper loop(Looper java:136)_x000D_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_x000D_
       from AnkiDroid:_x000D_
   _x000D_
04 09 04:22:54 970 3088 3088 com ichi2 anki D ACRA: ACRA is enabled for com ichi2 anki  initializing   _x000D_
04 09 04:22:54 970 3088 3088 com ichi2 anki D ACRA: Using custom Report Fields_x000D_
04 09 04:22:54 974 3088 3088 com ichi2 anki D ACRA: Looking for error files in  data user 0 com ichi2 anki files_x000D_
04 09 04:22:54 975 3088 3088 com ichi2 anki D ACRA: Looking for error files in  data user 0 com ichi2 anki files_x000D_
04 09 04:22:55 002 3088 3100 com ichi2 anki A libc: Fatal signal 11 (SIGSEGV)  code 2  fault addr 0x8f22a000 in tid 3100 (Binder:3088 1)_x000D_
                                                    _x000D_
                                                      04 09 04:22:55 002  1252: 1252 W           _x000D_
                                                    debuggerd: handling request: pid 3088 uid 10072 gid 10072 tid 3100_x000D_
04 09 04:22:55 009 3088 3088 com ichi2 anki W System: ClassLoader referenced unknown path:  system app webview lib x86_x000D_
04 09 04:22:55 066 3105 3105   A DEBUG:                                                                _x000D_
04 09 04:22:55 066 3105 3105   A DEBUG: Build fingerprint:  Android sdk google phone x86 generic x86:7 1 1 NYC 3756122:userdebug test keys _x000D_
04 09 04:22:55 066 3105 3105   A DEBUG: Revision:  0 _x000D_
04 09 04:22:55 066 3105 3105   A DEBUG: ABI:  x86 _x000D_
04 09 04:22:55 066 3105 3105   A DEBUG: pid: 3088  tid: 3100  name: Binder:3088 1      com ichi2 anki    _x000D_
04 09 04:22:55 066 3105 3105   A DEBUG: signal 11 (SIGSEGV)  code 2 (SEGV ACCERR)  fault addr 0x8f22a000_x000D_
04 09 04:22:55 066 3105 3105   A DEBUG:     eax 00022b68  ebx 8e480333  ecx 0000006e  edx 0000006e_x000D_
04 09 04:22:55 067 3105 3105   A DEBUG:     esi 000a0ba5  edi 8f1e4930_x000D_
04 09 04:22:55 067 3105 3105   A DEBUG:     xcs 00000073  xds 0000007b  xes 0000007b  xfs 0000003b  xss 0000007b_x000D_
04 09 04:22:55 067 3105 3105   A DEBUG:     eip 8e6e6fc2  ebp 00022b78  esp 8f1e4904  flags 00010202_x000D_
04 09 04:22:55 067 3105 3105   A DEBUG: backtrace:_x000D_
04 09 04:22:55 067 3105 3105   A DEBUG:      00 pc 00010fc2   data app com ichi2 anki 2 lib x86 libsqlite3x so ( ZN7android19utf8ToJavaCharArrayEPKcPti 386)_x000D_
04 09 04:22:55 067 3105 3105   A DEBUG:      01 pc 0000ed70   data app com ichi2 anki 2 lib x86 libsqlite3x so_x000D_
04 09 04:22:55 067 3105 3105   A DEBUG:      02 pc 005311b2   data app com ichi2 anki 2 oat x86 base odex (offset 0x4c0000)_x000D_
_x000D_
   </t>
  </si>
  <si>
    <t>tanrabad-survey-20</t>
  </si>
  <si>
    <t xml:space="preserve">     in org tanrabad survey presenter PlaceSuggestionProvider querySuggestion
  Number of crashes: 1
  Impacted devices: 1
There s a lot more information about this crash on crashlytics com:
 https:  fabric io tanrabad android apps org tanrabad survey issues 58eb88a70aeb16625b7d3b8e (https:  fabric io tanrabad android apps org tanrabad survey issues 58eb88a70aeb16625b7d3b8e)</t>
  </si>
  <si>
    <t>getodk-collect-869</t>
  </si>
  <si>
    <t>App crashes when listing blank forms from Google Drive without API auth</t>
  </si>
  <si>
    <t xml:space="preserve">     Software and hardware versions _x000D_
Current master branch_x000D_
_x000D_
     Problem description_x000D_
App crashes when I try to open my google drive_x000D_
_x000D_
     Steps to reproduce the problem_x000D_
1  In  General Settings  set platform to  Google Drive  Google Sheets _x000D_
2  Click on  Get Blank Form  from Main menu_x000D_
_x000D_
     Other information _x000D_
_x000D_
  Caused by: java lang RuntimeException: Can t create handler inside thread that has not called Looper prepare()_x000D_
                                                       at android os Handler  init (Handler java:200)_x000D_
                                                       at android os Handler  init (Handler java:114)_x000D_
                                                       at android app Dialog  init (Dialog java:113)_x000D_
                                                       at android app AlertDialog  init (AlertDialog java:125)_x000D_
                                                       at android app AlertDialog Builder create(AlertDialog java:968)_x000D_
                                                       at org odk collect android activities GoogleDriveActivity createAlertDialog(GoogleDriveActivity java:529)_x000D_
                                                       at org odk collect android activities GoogleDriveActivity access 500(GoogleDriveActivity java:96)_x000D_
                                                       at org odk collect android activities GoogleDriveActivity RetrieveDriveFileContentsAsyncTask doInBackground(GoogleDriveActivity java:797)_x000D_
                                                       at org odk collect android activities GoogleDriveActivity RetrieveDriveFileContentsAsyncTask doInBackground(GoogleDriveActivity java:766)</t>
  </si>
  <si>
    <t>DroidsOnRoids-Workcation-3</t>
  </si>
  <si>
    <t>Sample is very different than the gif in the repo</t>
  </si>
  <si>
    <t>It looks like this:_x000D_
  image (https:  cloud githubusercontent com assets 5357526 24898453 aabdc598 1ea5 11e7 9610 fc19b27c75e3 png)_x000D_
_x000D_
_x000D_
Plus  when pressing the bottom tab  it crashes:_x000D_
_x000D_
04 11 10:56:04 706 7293 7293 com droidsonroids workcation E AndroidRuntime: FATAL EXCEPTION: main_x000D_
                                                                            Process: com droidsonroids workcation  PID: 7293_x000D_
                                                                            java lang NullPointerException: Attempt to read from field  java util Map android transition TransitionValues values  on a null object reference_x000D_
                                                                                at com droidsonroids workcation common transitions ScaleDownImageTransition createAnimator(ScaleDownImageTransition java:66)_x000D_
                                                                                at android transition Transition createAnimators(Transition java:732)_x000D_
                                                                                at android transition TransitionSet createAnimators(TransitionSet java:396)_x000D_
                                                                                at android transition Transition playTransition(Transition java:1777)_x000D_
                                                                                at android transition TransitionManager MultiListener onPreDraw(TransitionManager java:306)_x000D_
                                                                                at android view ViewTreeObserver dispatchOnPreDraw(ViewTreeObserver java:944)_x000D_
                                                                                at android view ViewRootImpl performTraversals(ViewRootImpl java:2205)_x000D_
                                                                                at android view ViewRootImpl doTraversal(ViewRootImpl java:1254)_x000D_
                                                                                at android view ViewRootImpl TraversalRunnable run(ViewRootImpl java:6338)_x000D_
                                                                                at android view Choreographer CallbackRecord run(Choreographer java:874)_x000D_
                                                                                at android view Choreographer doCallbacks(Choreographer java:686)_x000D_
                                                                                at android view Choreographer doFrame(Choreographer java:621)_x000D_
                                                                                at android view Choreographer FrameDisplayEventReceiver run(Choreographer java:860)_x000D_
                                                                                at android os Handler handleCallback(Handler java:751)_x000D_
                                                                                at android os Handler dispatchMessage(Handler java:95)_x000D_
                                                                                at android os Looper loop(Looper java:154)_x000D_
                                                                                at android app ActivityThread main(ActivityThread java:6121)_x000D_
                                                                                at java lang reflect Method invoke(Native Method)_x000D_
                                                                                at com android internal os ZygoteInit MethodAndArgsCaller run(ZygoteInit java:889)_x000D_
                                                                                at com android internal os ZygoteInit main(ZygoteInit java:779)</t>
  </si>
  <si>
    <t>nextcloud-android-820</t>
  </si>
  <si>
    <t>Crash on login</t>
  </si>
  <si>
    <t xml:space="preserve">    Actual behaviour_x000D_
Upon logging in after enabling TOTP  the app crashes  Switching off TOTP hasn t resolved the problem  and I ve cleared data cache for the app as well _x000D_
_x000D_
    Expected behaviour_x000D_
I should be able to login and use my Nextcloud account as I had been _x000D_
 _x000D_
    Steps to reproduce_x000D_
1  Enable TOTP_x000D_
2  Create Device Login_x000D_
3  Press the login button to see crach dialog  or to see the app just close _x000D_
_x000D_
_x000D_
    Environment data_x000D_
Android version: 7 1_x000D_
_x000D_
Device model: xt1045_x000D_
_x000D_
Stock or customized system: customized_x000D_
_x000D_
Nextcloud app version: 1 4 2_x000D_
_x000D_
Nextcloud server version:11 0 2_x000D_
_x000D_
    Logs_x000D_
relevant part of logcat:_x000D_
ExistenceCheckRemoteOperation: Existence check for https:  clove ele home remote php webdav  targeting for  existence finished with HTTP status 200_x000D_
04 10 18:06:57 158 32000   514 D OwnCloudClient  1: REQUEST GET  ocs v1 php cloud user_x000D_
04 10 18:06:57 580 32000   514 D GetRemoteUserInfoOperation: Successful response:   ocs :  meta :  status : ok   statuscode :100  message : OK   totalitems :    itemsperpage :     data :  enabled : true   id : roger   quota :  free :2791631941632  used :8274591  total :2791640216223  relative :0  quota : 3   email : dawson engr ccny cuny edu   phone :    address :    webpage :    twitter :    display name : Roger Dawson    _x000D_
04 10 18:06:57 605 32000 32000 D AuthenticatorActivity: Successful access   time to save the account_x000D_
04 10 18:06:57 611  1210 31953 W AccountManagerService: insertAccountIntoDatabase: Account  name roger clove ele home  type nextcloud   skipping since the account already exists_x000D_
04 10 18:06:57 720  1210  2445 W InputMethodManagerService: Window already focused  ignoring focus gain of: com android internal view IInputMethodClient Stub Proxy e139a6a attribute null  token   android os BinderProxy c06d9bd_x000D_
04 10 18:06:57 723  1210 21107 I ActivityManager: START u0  flg 0x4000000 cmp com nextcloud client com owncloud android ui activity FileDisplayActivity  from uid 10086 on display 0_x000D_
04 10 18:06:57 741  1210 21107 I ActivityManager: moveTaskToBack: TaskRecord 926a790  528 A com nextcloud client U 0 StackId 1 sz 3 _x000D_
04 10 18:06:57 747 32000 32000 D AuthenticatorActivity: onPause() ending_x000D_
_x000D_
    potential clues:_x000D_
c o pygi on IRC: https:  code google com p android issues detail id 210992</t>
  </si>
  <si>
    <t>zhanhui913-Budget-172</t>
  </si>
  <si>
    <t>Edit location bug</t>
  </si>
  <si>
    <t>Steps:_x000D_
Click on an existing location  change name to a new name  click save     crash</t>
  </si>
  <si>
    <t>SCCapstone-Gamecock-Study-45</t>
  </si>
  <si>
    <t>App crashes when I click to join certain events</t>
  </si>
  <si>
    <t xml:space="preserve">I don t know why that event makes it crash but not the other event _x000D_
_x000D_
  screenflow (https:  cloud githubusercontent com assets 228704 24887252 6a788036 1e28 11e7 88d5 021ec4e7c8fd gif)_x000D_
</t>
  </si>
  <si>
    <t>ViHtarb-Tooltip-26</t>
  </si>
  <si>
    <t>Exception android.view.WindowManager$BadTokenException: Unable to add window -- token null is not valid; is your activity running?</t>
  </si>
  <si>
    <t xml:space="preserve">I ve gotten a bunch of crash reports for this error since I released a new version of an app last week which included Tooltip for the first time _x000D_
_x000D_
 Exception android view WindowManager BadTokenException: Unable to add window    token null is not valid  is your activity running _x000D_
android view ViewRootImpl setView (ViewRootImpl java:850)_x000D_
android view WindowManagerGlobal addView (WindowManagerGlobal java:337)_x000D_
android view WindowManagerImpl addView (WindowManagerImpl java:91)_x000D_
android widget PopupWindow invokePopup (PopupWindow java:1329)_x000D_
android widget PopupWindow showAsDropDown (PopupWindow java:1155)_x000D_
android widget PopupWindow showAsDropDown (PopupWindow java:1114)_x000D_
android widget PopupWindow showAsDropDown (PopupWindow java:1093)_x000D_
com tooltip Tooltip 2 run (Tooltip java:211)_x000D_
android os Handler handleCallback (Handler java:739)_x000D_
android os Handler dispatchMessage (Handler java:95)_x000D_
android os Looper loop (Looper java:158)_x000D_
android app ActivityThread main (ActivityThread java:7224)_x000D_
java lang reflect Method invoke (Method java)_x000D_
com android internal os ZygoteInit MethodAndArgsCaller run (ZygoteInit java:1230)_x000D_
com android internal os ZygoteInit main (ZygoteInit java:1120) _x000D_
_x000D_
After some quick googling I found another tooltip library that had a very similar error in June 2016  It was fixed by checking the root view  https:  github com douglasjunior android simple tooltip commit b8bc55fa6fb8f17355830f3b678a40756be6d767_x000D_
_x000D_
As I m getting the crashes on line 211 in your Tooltip lib I would assume a similar check there would solve this  or what do you say  https:  github com ViHtarb Tooltip blame master library src main java com tooltip Tooltip java L211_x000D_
_x000D_
Thanks for a great lib otherwise _x000D_
</t>
  </si>
  <si>
    <t>schedjoules-android-event-discovery-sdk-195</t>
  </si>
  <si>
    <t>Duration may be absent</t>
  </si>
  <si>
    <t>The API might return events without  Duration   The SDK should handle these cases gracefully like an unknown duration instead of just crashing  The expected behavior is to omit the end time in case of an unknown duration _x000D_
Depends on schedjoules java api client 28</t>
  </si>
  <si>
    <t>Automattic-Automattic-Tracks-Android-28</t>
  </si>
  <si>
    <t xml:space="preserve">Fix null event names and event properties </t>
  </si>
  <si>
    <t xml:space="preserve">This PR fix an issue where passing an empty user to the library generates a bad crash _x000D_
I ve also added other checks over the properties passed to the event  so the library should not crash if an invalid input is given _x000D_
_x000D_
  Also modernized gradle  and SDK _x000D_
_x000D_
Version number is also bumped  so we can release a new version of the library when this is merged to develop _x000D_
_x000D_
cc  maxme </t>
  </si>
  <si>
    <t>evernote-android-job-176</t>
  </si>
  <si>
    <t>SQLiteConstraintException: UNIQUE constraint failed: jobs._id</t>
  </si>
  <si>
    <t xml:space="preserve">Not sure if this is just an concurrency issue of the users  db got corruped _x000D_
_x000D_
There following crash was observed by fabric on an Samsung 5 0 and 6 0 when executing:_x000D_
_x000D_
   java_x000D_
new JobRequest Builder(JOB WIDGET UPDATER)_x000D_
                 setExecutionWindow(SECONDS toMillis(3)  SECONDS toMillis(15))_x000D_
                 build()_x000D_
                 schedule() _x000D_
   _x000D_
_x000D_
_x000D_
  android database sqlite SQLiteConstraintException: UNIQUE constraint failed: jobs  id (code 1555)_x000D_
                                                                   _x000D_
  Error Code : 1555 (SQLITE CONSTRAINT PRIMARYKEY)_x000D_
  Caused By : Abort due to constraint violation _x000D_
  	(UNIQUE constraint failed: jobs  id (code 1555))_x000D_
                                                                   _x000D_
         at android app ActivityThread handleReceiver(ActivityThread java:3641)_x000D_
         at android app ActivityThread access 2000(ActivityThread java:221)_x000D_
         at android app ActivityThread H handleMessage(ActivityThread java:1876)_x000D_
         at android os Handler dispatchMessage(Handler java:102)_x000D_
         at android os Looper loop(Looper java:158)_x000D_
         at android app ActivityThread main(ActivityThread java:7224)_x000D_
         at java lang reflect Method invoke(Method java)_x000D_
         at com android internal os ZygoteInit MethodAndArgsCaller run(ZygoteInit java:1230)_x000D_
         at com android internal os ZygoteInit main(ZygoteInit java:1120)_x000D_
  Caused by android database sqlite SQLiteConstraintException: UNIQUE constraint failed: jobs  id (code 1555)_x000D_
                                                                   _x000D_
  Error Code : 1555 (SQLITE CONSTRAINT PRIMARYKEY)_x000D_
  Caused By : Abort due to constraint violation _x000D_
  	(UNIQUE constraint failed: jobs  id (code 1555))_x000D_
                                                                   _x000D_
         at android database sqlite SQLiteConnection nativeExecuteForLastInsertedRowId(SQLiteConnection java)_x000D_
         at android database sqlite SQLiteConnection executeForLastInsertedRowId(SQLiteConnection java:915)_x000D_
         at android database sqlite SQLiteSession executeForLastInsertedRowId(SQLiteSession java:788)_x000D_
         at android database sqlite SQLiteStatement executeInsert(SQLiteStatement java:86)_x000D_
         at android database sqlite SQLiteDatabase insertWithOnConflict(SQLiteDatabase java:1609)_x000D_
         at android database sqlite SQLiteDatabase insertOrThrow(SQLiteDatabase java:1505)_x000D_
         at com evernote android job JobStorage store(JobStorage java:245)_x000D_
         at com evernote android job JobStorage put(JobStorage java:127)_x000D_
         at com evernote android job JobManager schedule(JobManager java:231)_x000D_
         at com evernote android job JobRequest schedule(JobRequest java:354)_x000D_
</t>
  </si>
  <si>
    <t>amahi-android-198</t>
  </si>
  <si>
    <t>lots of crashes being reported by users playing music</t>
  </si>
  <si>
    <t xml:space="preserve">W re getting lots of crashes in ServerFile getMime calls  To reproduce  click on a music file to play  Play starts  but it crashes quickly and system asks the user to report a crash report  Music continues playing  however _x000D_
_x000D_
This appears to occur only on local share files  It appears to work from the  Welcome to Amahi  demo cloud server _x000D_
_x000D_
we re getting lots of crash reports that look like this  Any idea what could be causing this  and what should be a reliable fix _x000D_
_x000D_
   _x000D_
Fatal Exception: java lang NullPointerException: Attempt to invoke virtual method  java lang String org amahi anywhere server model ServerFile getMime()  on a null object reference_x000D_
       at org amahi anywhere util Intents Builder getServerFileActivity(Intents java:99)_x000D_
       at org amahi anywhere util Intents Builder buildServerFileIntent(Intents java:121)_x000D_
       at org amahi anywhere service AudioService setUpAudioPlayerNotification(AudioService java:289)_x000D_
       at org amahi anywhere service AudioService playAudio(AudioService java:389)_x000D_
       at org amahi anywhere service AudioService handleAudioFocusGain(AudioService java:477)_x000D_
       at org amahi anywhere service AudioService onAudioFocusChange(AudioService java:455)_x000D_
       at android media AudioManager FocusEventHandlerDelegate 1 handleMessage(AudioManager java:3119)_x000D_
       at android os Handler dispatchMessage(Handler java:102)_x000D_
       at android os Looper loop(Looper java:158)_x000D_
       at android app ActivityThread main(ActivityThread java:7237)_x000D_
   </t>
  </si>
  <si>
    <t>ozelevrim-EvrimNews-11</t>
  </si>
  <si>
    <t>Menu Buttons (About etc.) not working</t>
  </si>
  <si>
    <t xml:space="preserve">Menu Buttons are not working  When clicked  the app crashes </t>
  </si>
  <si>
    <t>ozelevrim-EvrimNews-8</t>
  </si>
  <si>
    <t>View Blog Posts button doesn't work (Crash)</t>
  </si>
  <si>
    <t xml:space="preserve">When entered to the admin panel (Blog Posts)  the app will crash </t>
  </si>
  <si>
    <t>erickok-transdroid-367</t>
  </si>
  <si>
    <t>Transdroid crashing when trying to remove RSS feed</t>
  </si>
  <si>
    <t>Hello  I m not sure how recent this issue is because this is the first time I ve toyed with my RSS feeds since migrating to my Pixel  Trying to delete old what cd feeds from my feed list and every time I hit to remove the app crashes  It will also sometimes crash when losing focus  but I don t know the exact conditions for that _x000D_
_x000D_
Running Transdroid 2 5 8_x000D_
Running Android 7 1 2_x000D_
on a Google Pixel</t>
  </si>
  <si>
    <t>timusus-Shuttle-91</t>
  </si>
  <si>
    <t>Crash when creating new playlist with apostrophe in the title</t>
  </si>
  <si>
    <t xml:space="preserve">  Shuttle version:  _x000D_
 _x000D_
 v1 6 5_x000D_
 _x000D_
  Device  OS:  _x000D_
 _x000D_
Nexus 6P  others_x000D_
_x000D_
  Description of bug:  _x000D_
 _x000D_
The app crashes when entering an apostrophe character in the title when creating a new playlist _x000D_
 _x000D_
  Steps to reproduce:  _x000D_
 _x000D_
 1  Create a new playlist_x000D_
 2  Enter apostrophe in title_x000D_
 3  Observe crash</t>
  </si>
  <si>
    <t>username115-FRCScouting-182</t>
  </si>
  <si>
    <t>App crashes in Data Lookup</t>
  </si>
  <si>
    <t xml:space="preserve">By clicking on a team s number  and pressing the back button  and repeating this action  eventually the app will crash  Usually happens in 3 10 attempts  and occurs regardless of time spent in the app </t>
  </si>
  <si>
    <t>codinguser-gnucash-android-672</t>
  </si>
  <si>
    <t>Crash when exporting directly to Google Drive with multi-currency</t>
  </si>
  <si>
    <t xml:space="preserve">     Steps to reproduce the behaviour_x000D_
 USER REPORT  I am seeing consistent crashing during export to Google Drive  I tried my first export in about 6 months  It was the first time since different currencies exported to different files (in case this is related)  I was trying to export to Google Drive (using  Share     and selecting Google Drive)  Oddly  it isn t GnuCash crashing  it is the Google Drive app crashing  But it crashes immediately after I select a folder  and the files are not uploaded  I have never seen Google Drive crash under any other circumstances _x000D_
I tried about 5 times  and it failed consistently each time  I tried the same thing on my wife s phone and got the exact same crashing results  (Her phone is a more standard Android setup than mine ) But exporting to SD card and then doing a Google Drive upload from the file manager worked without issue _x000D_
So there is an easy enough workaround for now  _x000D_
_x000D_
     Expected behaviour_x000D_
Exporting multi currency transactions to Google Drive should not cause app crash_x000D_
_x000D_
     Actual behaviour_x000D_
App crashes when multi currency transactions are exported to Google Drive_x000D_
_x000D_
     Software specifications_x000D_
  GnuCash Android version:_x000D_
  System Android version:_x000D_
  Device type:_x000D_
</t>
  </si>
  <si>
    <t>commons-app-apps-android-commons-506</t>
  </si>
  <si>
    <t>Beta version crashes: Unrecognized license value</t>
  </si>
  <si>
    <t>After upgrading to the beta version  the Settings screen immediately crashes for me _x000D_
_x000D_
1  Delete the app s local storage _x000D_
2  Uninstall the app _x000D_
3  Install the normal (non beta) app and launch it  (EDIT: or build and install v 2 1 )_x000D_
4  Enroll to the beta testing  (EDIT: or build and install v 2 2 )_x000D_
5  Install it and open Settings _x000D_
_x000D_
_x000D_
ANDROID VERSION 6 0 1_x000D_
APP VERSION NAME 2 2_x000D_
BRAND google_x000D_
PHONE MODEL Nexus 5_x000D_
CUSTOM DATA _x000D_
STACK TRACE _x000D_
java lang RuntimeException: Unable to start activity ComponentInfo fr free nrw commons fr free nrw commons settings SettingsActivity : java lang RuntimeException: Unrecognized license value_x000D_
at android app ActivityThread performLaunchActivity(ActivityThread java:2416)_x000D_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RuntimeException: Unrecognized license value_x000D_
at fr free nrw commons Utils licenseNameFor(Utils java:233)_x000D_
at fr free nrw commons settings SettingsFragment onCreate(SettingsFragment java:22)_x000D_
at android app Fragment performCreate(Fragment java:2198)_x000D_
at android app FragmentManagerImpl moveToState(FragmentManager java:942)_x000D_
at android app FragmentManagerImpl moveToState(FragmentManager java:1148)_x000D_
at android app BackStackRecord run(BackStackRecord java:793)_x000D_
at android app FragmentManagerImpl execPendingActions(FragmentManager java:1535)_x000D_
at android app FragmentController execPendingActions(FragmentController java:325)_x000D_
at android app Activity performStart(Activity java:6267)_x000D_
at android app ActivityThread performLaunchActivity(ActivityThread java:2379)_x000D_
    9 more_x000D_
java lang RuntimeException: Unrecognized license value_x000D_
at fr free nrw commons Utils licenseNameFor(Utils java:233)_x000D_
at fr free nrw commons settings SettingsFragment onCreate(SettingsFragment java:22)_x000D_
at android app Fragment performCreate(Fragment java:2198)_x000D_
at android app FragmentManagerImpl moveToState(FragmentManager java:942)_x000D_
at android app FragmentManagerImpl moveToState(FragmentManager java:1148)_x000D_
at android app BackStackRecord run(BackStackRecord java:793)_x000D_
at android app FragmentManagerImpl execPendingActions(FragmentManager java:1535)_x000D_
at android app FragmentController execPendingActions(FragmentController java:325)_x000D_
at android app Activity performStart(Activity java:6267)_x000D_
at android app ActivityThread performLaunchActivity(ActivityThread java:2379)_x000D_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t>
  </si>
  <si>
    <t>evernote-android-job-178</t>
  </si>
  <si>
    <t>There's a race condition when canceling jobs from multiple threads at the same time</t>
  </si>
  <si>
    <t>This has no impact  but the log is confusing  _x000D_
_x000D_
   _x000D_
04 15 09:28:28 066 7604 7632 de paul woitaschek evernotecrash I JobManager: Found pending job request id 10403  tag tag   canceling_x000D_
04 15 09:28:28 069 7604 7708 de paul woitaschek evernotecrash I JobManager: Found pending job request id 10395  tag tag   canceling_x000D_
04 15 09:28:28 073 7604 7715 de paul woitaschek evernotecrash I JobManager: Found pending job request id 10403  tag tag   canceling_x000D_
04 15 09:28:28 077 7604 7706 de paul woitaschek evernotecrash I JobManager: Found pending job request id 10460  tag tag   canceling_x000D_
04 15 09:28:28 081 7604 7702 de paul woitaschek evernotecrash I JobManager: Found pending job request id 10460  tag tag   canceling_x000D_
04 15 09:28:28 086 7604 7709 de paul woitaschek evernotecrash I JobManager: Found pending job request id 10467  tag tag   canceling_x000D_
04 15 09:28:28 091 7604 7707 de paul woitaschek evernotecrash I JobManager: Found pending job request id 10459  tag tag   canceling_x000D_
04 15 09:28:28 095 7604 7638 de paul woitaschek evernotecrash I JobManager: Found pending job request id 10395  tag tag   canceling_x000D_
04 15 09:28:28 100 7604 7713 de paul woitaschek evernotecrash I JobManager: Found pending job request id 10388  tag tag   canceling_x000D_
04 15 09:28:28 106 7604 7712 de paul woitaschek evernotecrash I JobManager: Found pending job request id 10395  tag tag   canceling_x000D_
04 15 09:28:28 110 7604 7717 de paul woitaschek evernotecrash I JobManager: Found pending job request id 10395  tag tag   canceling_x000D_
04 15 09:28:28 115 7604 7710 de paul woitaschek evernotecrash I JobManager: Found pending job request id 10395  tag tag   canceling_x000D_
   _x000D_
 PaulWoitaschek</t>
  </si>
  <si>
    <t>midhunhk-trip-o-meter-16</t>
  </si>
  <si>
    <t>App crashes on selecting some contacts</t>
  </si>
  <si>
    <t xml:space="preserve">The app crashes when adding some contacts with the below stack trace_x000D_
_x000D_
   Caused by: java lang NullPointerException: Attempt to invoke virtual method  java lang String com ae apps common vo ContactVo getId()  on a null object reference_x000D_
	 at com ae apps tripmeter fragments AddTripDialogFragment onActivityResult(AddTripDialogFragment java:175)_x000D_
	 at android support v4 app FragmentActivity onActivityResult(FragmentActivity java:164)_x000D_
	 at android app Activity dispatchActivityResult(Activity java:6218)_x000D_
	 at android app ActivityThread deliverResults(ActivityThread java:3655)_x000D_
	 at android app ActivityThread handleSendResult(ActivityThread java:3702) _x000D_
	 at android app ActivityThread access 1300(ActivityThread java:155) _x000D_
	 at android app ActivityThread H handleMessage(ActivityThread java:1366) _x000D_
	 at android os Handler dispatchMessage(Handler java:102) _x000D_
	 at android os Looper loop(Looper java:135) _x000D_
	 at android app ActivityThread main(ActivityThread java:5343) _x000D_
	 at java lang reflect Method invoke(Native Method) _x000D_
	 at java lang reflect Method invoke(Method java:372) _x000D_
	 at com android internal os ZygoteInit MethodAndArgsCaller run(ZygoteInit java:905) _x000D_
	 at com android internal os ZygoteInit main(ZygoteInit java:700) _x000D_
 </t>
  </si>
  <si>
    <t>i2p-i2p.i2p-bote-17</t>
  </si>
  <si>
    <t>Plugin crashes router / JVM on some systems (Trac #1241)</t>
  </si>
  <si>
    <t xml:space="preserve">Installing the Bote plugin causes the I2P router and or JVM to crash for some combinations of JRE and OS (but not all   I have never had this problem)  Anyone who encounters this problem  please post the information from the top of http:  127 0 0 1:7657 logs  along with any crash reports or logs 
Similar to  13  but probably not related 
Migrated from https:  trac i2p2 de ticket 1241
   json
     status :  assigned   
     changetime :  2017 01 15T15:28:50   
     description :  Installing the Bote plugin causes the I2P router and or JVM to crash for some combinations of JRE and OS (but not all   I have never had this problem)  Anyone who encounters this problem  please post the information from the top of http:  127 0 0 1:7657 logs  along with any crash reports or logs  n nSimilar to  926  but probably not related    
     reporter :  str4d   
     cc :     
     resolution :     
      ts :  1484494130296015   
     component :  apps plugins   
     summary :  I2P Bote: Crashes router   JVM on some systems   
     priority :  major   
     keywords :  I2P Bote heisenbug   
     version :  0 9 12   
     parents :     
     time :  2014 04 03T03:50:19   
     milestone :     
     owner :  str4d   
     type :  defect 
</t>
  </si>
  <si>
    <t>collls-SmartCityCrowd-3</t>
  </si>
  <si>
    <t>Getting Altitude data other than with Google Web Service</t>
  </si>
  <si>
    <t xml:space="preserve">Using any code or services other than google services to my understanding makes the program crash  SafetySense  crashes when using any other services  </t>
  </si>
  <si>
    <t>pchmn-MaterialChipsInput-1</t>
  </si>
  <si>
    <t>ClassCastException</t>
  </si>
  <si>
    <t xml:space="preserve">When using a DialogFragment (AppCompatDialogFragment) I see this crash when the layout is inflated _x000D_
_x000D_
If I get time  I might submit a fix and pull request  but have noted it here until then _x000D_
_x000D_
 Caused by: java lang ClassCastException: android view ContextThemeWrapper cannot be cast to android app Activity _x000D_
   at com pchmn materialchips ChipsInput init(ChipsInput java:144) _x000D_
   at com pchmn materialchips ChipsInput  init (ChipsInput java:78) _x000D_
   at java lang reflect Constructor newInstance0(Native Method)  </t>
  </si>
  <si>
    <t>commons-app-apps-android-commons-510</t>
  </si>
  <si>
    <t xml:space="preserve">Limit number of uploads displayed in main activity </t>
  </si>
  <si>
    <t xml:space="preserve">Someone suggested that we limit the number of uploads that we show in the main screen  to help with the OutOfMemoryError encountered by those running slower phones  I think he has a point  and there are quite a few others who are encountering the same issue _x000D_
_x000D_
IMO we should set the default to something like the last 10 uploads  and maybe have an option in Settings for the user to select to view more if they want to _x000D_
_x000D_
   _x000D_
USER COMMENT I updated to the latest version of the beta app  but it is still crashing when I access my uploads  I already cleared my RAM  but it seems that workaround doesn t work  I suggest that you don t make that uploads page the default screen and limit the number of uploads seen to 5  to avoid crashes due to memory _x000D_
ANDROID VERSION 4 3_x000D_
APP VERSION NAME 2 2_x000D_
BRAND samsung_x000D_
PHONE MODEL GT I9300_x000D_
CUSTOM DATA _x000D_
STACK TRACE java lang OutOfMemoryError_x000D_
at com android volley toolbox ByteArrayPool getBuf(ByteArrayPool java:101)_x000D_
at com android volley toolbox PoolingByteArrayOutputStream  init (PoolingByteArrayOutputStream java:53)_x000D_
at com android volley toolbox BasicNetwork entityToBytes(BasicNetwork java:228)_x000D_
at com android volley toolbox BasicNetwork performRequest(BasicNetwork java:123)_x000D_
at com android volley NetworkDispatcher run(NetworkDispatcher java:112)_x000D_
   </t>
  </si>
  <si>
    <t>cientopolis-samplers-38</t>
  </si>
  <si>
    <t>Error on PhotoStepFragment when rotating the phone</t>
  </si>
  <si>
    <t xml:space="preserve">      If you rotate the phone while taking the photo  the camera stops and application crashes if you hit the take photo button_x000D_
      If you rotate the phone after taking the photo and while in the preview  it goes to take the photo again_x000D_
_x000D_
</t>
  </si>
  <si>
    <t>inaturalist-iNaturalistAndroid-329</t>
  </si>
  <si>
    <t>missions crash cleanup</t>
  </si>
  <si>
    <t>Seems like there are several crashes related to Missions:_x000D_
_x000D_
https:  fabric io inaturalist android apps org inaturalist android issues 5890d1680aeb16625bbd65d6_x000D_
https:  fabric io inaturalist android apps org inaturalist android issues 5881b10c0aeb16625b5095a2_x000D_
https:  fabric io inaturalist android apps org inaturalist android issues 58e31dd00aeb16625b36f5c9_x000D_
https:  fabric io inaturalist android apps org inaturalist android issues 58e306390aeb16625b365b7e_x000D_
_x000D_
There are also a few OutOfMemory crashes (https:  fabric io inaturalist android apps org inaturalist android issues 56e95ae0ffcdc04250e1d8e1 and https:  fabric io inaturalist android apps org inaturalist android issues 56eeec1fffcdc0425000614f)  that might be related to a crash  joellebel just reported while looking at Missions categories:_x000D_
_x000D_
   _x000D_
04 11 00:49:45 452  5320  5320 E ActivityThread: android app IntentReceiverLeaked: Activity org inaturalist android ObservationListActivity has leaked IntentReceiver org inaturalist android ObservationListActivity UserDetailsReceiver d5b45ba that was originally registered here  Are you missing a call to unregisterReceiver() _x000D_
04 11 00:49:45 452  5320  5320 E ActivityThread: 	at android app LoadedApk ReceiverDispatcher  init (LoadedApk java:918)_x000D_
04 11 00:49:45 452  5320  5320 E ActivityThread: 	at android app LoadedApk getReceiverDispatcher(LoadedApk java:719)_x000D_
04 11 00:49:45 452  5320  5320 E ActivityThread: 	at android app ContextImpl registerReceiverInternal(ContextImpl java:1172)_x000D_
04 11 00:49:45 452  5320  5320 E ActivityThread: 	at android app ContextImpl registerReceiver(ContextImpl java:1152)_x000D_
04 11 00:49:45 452  5320  5320 E ActivityThread: 	at android app ContextImpl registerReceiver(ContextImpl java:1146)_x000D_
04 11 00:49:45 452  5320  5320 E ActivityThread: 	at android content ContextWrapper registerReceiver(ContextWrapper java:554)_x000D_
04 11 00:49:45 452  5320  5320 E ActivityThread: 	at org inaturalist android ObservationListActivity onResume(ObservationListActivity java:587)_x000D_
04 11 00:49:45 452  5320  5320 E ActivityThread: 	at android app Instrumentation callActivityOnResume(Instrumentation java:1258)_x000D_
04 11 00:49:45 452  5320  5320 E ActivityThread: 	at android app Activity performResume(Activity java:6327)_x000D_
04 11 00:49:45 452  5320  5320 E ActivityThread: 	at android app ActivityThread performResumeActivity(ActivityThread java:3092)_x000D_
04 11 00:49:45 452  5320  5320 E ActivityThread: 	at android app ActivityThread handleResumeActivity(ActivityThread java:3134)_x000D_
04 11 00:49:45 452  5320  5320 E ActivityThread: 	at android app ActivityThread H handleMessage(ActivityThread java:1388)_x000D_
04 11 00:49:45 452  5320  5320 E ActivityThread: 	at android os Handler dispatchMessage(Handler java:102)_x000D_
04 11 00:49:45 452  5320  5320 E ActivityThread: 	at android os Looper loop(Looper java:148)_x000D_
04 11 00:49:45 452  5320  5320 E ActivityThread: 	at android app ActivityThread main(ActivityThread java:5417)_x000D_
04 11 00:49:45 452  5320  5320 E ActivityThread: 	at java lang reflect Method invoke(Native Method)_x000D_
04 11 00:49:45 452  5320  5320 E ActivityThread: 	at com android internal os ZygoteInit MethodAndArgsCaller run(ZygoteInit java:726)_x000D_
04 11 00:49:45 452  5320  5320 E ActivityThread: 	at com android internal os ZygoteInit main(ZygoteInit java:616)_x000D_
04 11 00:50:01 176  5320  5320 I chatty  : uid 10246(org inaturalist android) expire 45 lines_x000D_
04 11 00:50:02 893  5320  5329 I chatty  : uid 10246(org inaturalist android) expire 1 line_x000D_
04 11 00:50:11 847  5320  5320 I chatty  : uid 10246(org inaturalist android) expire 240 lines_x000D_
04 11 00:50:12 909  5320 14315 I chatty  : uid 10246(org inaturalist android) expire 6 lines_x000D_
04 11 00:50:17 861  5320  5329 I chatty  : uid 10246(org inaturalist android) expire 6 lines_x000D_
04 11 00:50:19 936  5320  8849 I chatty  : uid 10246(org inaturalist android) expire 2 lines_x000D_
04 11 00:50:19 936  5320  8850 I chatty  : uid 10246(org inaturalist android) expire 5 lines_x000D_
04 11 00:50:20 581  5320 16724 I chatty  : uid 10246(org inaturalist android) expire 6 lines_x000D_
04 11 00:50:22 796  5320  5320 I chatty  : uid 10246(org inaturalist android) expire 3 lines_x000D_
04 11 00:50:22 979  5320  5320 D PullToRefresh: First Visible: 54  Visible Count: 12  Total Items:500_x000D_
04 11 00:50:23 012  5320  5320 D PullToRefresh: First Visible: 54  Visible Count: 12  Total Items:500_x000D_
04 11 00:50:23 029  5320  5320 D PullToRefresh: First Visible: 54  Visible Count: 12  Total Items:500_x000D_
04 11 00:50:23 062  5320  5320 D PullToRefresh: First Visible: 54  Visible Count: 12  Total Items:500_x000D_
04 11 00:50:23 079  5320  5320 D PullToRefresh: First Visible: 54  Visible Count: 12  Total Items:500_x000D_
04 11 00:50:23 097  5320  5320 D PullToRefresh: First Visible: 54  Visible Count: 12  Total Items:500_x000D_
04 11 00:50:23 128  5320  5320 D PullToRefresh: First Visible: 54  Visible Count: 12  Total Items:500_x000D_
04 11 00:50:23 161  5320  5320 D PullToRefresh: First Visible: 54  Visible Count: 12  Total Items:500_x000D_
04 11 00:50:23 179  5320  5320 D PullToRefresh: First Visible: 54  Visible Count: 12  Total Items:500_x000D_
04 11 00:50:23 261  5320  5320 D PullToRefresh: First Visible: 54  Visible Count: 12  Total Items:500_x000D_
04 11 00:50:23 310  5320  5320 D PullToRefresh: First Visible: 54  Visible Count: 12  Total Items:500_x000D_
04 11 00:50:23 327  5320  5320 D PullToRefresh: First Visible: 54  Visible Count: 12  Total Items:500_x000D_
04 11 00:50:23 344  5320  5320 D PullToRefresh: First Visible: 54  Visible Count: 12  Total Items:500_x000D_
04 11 00:50:23 377  5320  5320 D PullToRefresh: First Visible: 54  Visible Count: 12  Total Items:500_x000D_
04 11 00:50:23 427  5320  5320 D PullToRefresh: First Visible: 54  Visible Count: 12  Total Items:500_x000D_
04 11 00:50:23 460  5320  5320 D PullToRefresh: First Visible: 54  Visible Count: 12  Total Items:500_x000D_
04 11 00:50:23 493  5320  5320 D PullToRefresh: First Visible: 54  Visible Count: 12  Total Items:500_x000D_
04 11 00:50:23 510  5320  5320 D PullToRefresh: First Visible: 54  Visible Count: 12  Total Items:500_x000D_
04 11 00:50:23 543  5320  5320 D PullToRefresh: First Visible: 54  Visible Count: 12  Total Items:500_x000D_
04 11 00:50:23 560  5320  5320 D PullToRefresh: First Visible: 54  Visible Count: 12  Total Items:500_x000D_
04 11 00:50:23 642  5320  5320 D PullToRefresh: First Visible: 54  Visible Count: 12  Total Items:500_x000D_
04 11 00:50:23 662  5320  5320 D PullToRefresh: First Visible: 54  Visible Count: 12  Total Items:500_x000D_
04 11 00:50:23 692  5320  5320 D PullToRefresh: First Visible: 54  Visible Count: 12  Total Items:500_x000D_
04 11 00:50:23 709  5320  5320 D PullToRefresh: First Visible: 54  Visible Count: 12  Total Items:500_x000D_
04 11 00:50:23 726  5320  5320 D PullToRefresh: First Visible: 54  Visible Count: 12  Total Items:500_x000D_
04 11 00:50:23 742  5320  5320 D PullToRefresh: First Visible: 54  Visible Count: 12  Total Items:500_x000D_
04 11 00:50:23 775  5320  5320 D PullToRefresh: First Visible: 54  Visible Count: 12  Total Items:500_x000D_
04 11 00:50:23 808  5320  5320 D PullToRefresh: First Visible: 54  Visible Count: 12  Total Items:500_x000D_
04 11 00:50:23 825  5320  5320 D PullToRefresh: First Visible: 54  Visible Count: 12  Total Items:500_x000D_
04 11 00:50:23 842  5320  5320 D PullToRefresh: First Visible: 54  Visible Count: 12  Total Items:500_x000D_
04 11 00:50:23 891  5320  5320 D PullToRefresh: First Visible: 54  Visible Count: 12  Total Items:500_x000D_
04 11 00:50:23 908  5320  5320 D PullToRefresh: First Visible: 54  Visible Count: 12  Total Items:500_x000D_
04 11 00:50:23 924  5320  5320 D PullToRefresh: First Visible: 54  Visible Count: 12  Total Items:500_x000D_
04 11 00:50:23 941  5320  5320 D PullToRefresh: First Visible: 54  Visible Count: 12  Total Items:500_x000D_
04 11 00:50:23 958  5320  5320 D PullToRefresh: First Visible: 54  Visible Count: 12  Total Items:500_x000D_
04 11 00:50:23 974  5320  5320 D PullToRefresh: First Visible: 54  Visible Count: 12  Total Items:500_x000D_
04 11 00:50:23 991  5320  5320 D PullToRefresh: First Visible: 54  Visible Count: 12  Total Items:500_x000D_
04 11 00:50:24 007  5320  5320 D PullToRefresh: First Visible: 54  Visible Count: 12  Total Items:500_x000D_
04 11 00:50:24 024  5320  5320 D PullToRefresh: First Visible: 54  Visible Count: 12  Total Items:500_x000D_
04 11 00:50:24 041  5320  5320 D PullToRefresh: First Visible: 54  Visible Count: 12  Total Items:500_x000D_
04 11 00:50:24 057  5320  5320 D PullToRefresh: First Visible: 54  Visible Count: 12  Total Items:500_x000D_
04 11 00:50:24 074  5320  5320 D PullToRefresh: First Visible: 54  Visible Count: 12  Total Items:500_x000D_
04 11 00:50:24 091  5320  5320 D PullToRefresh: First Visible: 54  Visible Count: 12  Total Items:500_x000D_
04 11 00:50:24 107  5320  5320 D PullToRefresh: First Visible: 54  Visible Count: 12  Total Items:500_x000D_
04 11 00:50:24 124  5320  5320 D PullToRefresh: First Visible: 54  Visible Count: 12  Total Items:500_x000D_
04 11 00:50:24 140  5320  5320 D PullToRefresh: First Visible: 54  Visible Count: 12  Total Items:500_x000D_
04 11 00:50:24 157  5320  5320 D PullToRefresh: First Visible: 54  Visible Count: 12  Total Items:500_x000D_
04 11 00:50:24 173  5320  5320 D PullToRefresh: First Visible: 54  Visible Count: 12  Total Items:500_x000D_
04 11 00:50:24 190  5320  5320 D PullToRefresh: First Visible: 54  Visible Count: 12  Total Items:500_x000D_
04 11 00:50:24 207  5320  5320 D PullToRefresh: First Visible: 54  Visible Count: 12  Total Items:500_x000D_
04 11 00:50:24 245  5320  5320 I art     : Starting a blocking GC Alloc_x000D_
04 11 00:50:24 245  5320  5320 I art     : Starting a blocking GC Alloc_x000D_
04 11 00:50:24 257  5320  5320 I art     : Alloc sticky concurrent mark sweep GC freed 1393(1055KB) AllocSpace objects  11(2MB) LOS objects  2  free  187MB 192MB  paused 1 316ms total 11 853ms_x000D_
04 11 00:50:24 287  5320  5320 D PullToRefresh: First Visible: 54  Visible Count: 15  Total Items:500_x000D_
04 11 00:50:24 304  5320  5320 D PullToRefresh: First Visible: 54  Visible Count: 15  Total Items:500_x000D_
04 11 00:50:24 327  5320  5320 D PullToRefresh: First Visible: 54  Visible Count: 15  Total Items:500_x000D_
04 11 00:50:24 341  5320  5320 D PullToRefresh: First Visible: 54  Visible Count: 15  Total Items:500_x000D_
04 11 00:50:24 356  5320  5320 D PullToRefresh: First Visible: 54  Visible Count: 15  Total Items:500_x000D_
04 11 00:50:24 372  5320  5320 D PullToRefresh: First Visible: 54  Visible Count: 15  Total Items:500_x000D_
04 11 00:50:24 389  5320  5320 D PullToRefresh: First Visible: 54  Visible Count: 15  Total Items:500_x000D_
04 11 00:50:24 405  5320  5320 D PullToRefresh: First Visible: 54  Visible Count: 15  Total Items:500_x000D_
04 11 00:50:24 411  5320  8849 I art     : Starting a blocking GC Alloc_x000D_
04 11 00:50:24 411  5320  8849 I art     : Starting a blocking GC Alloc_x000D_
04 11 00:50:24 422  5320  5320 D PullToRefresh: First Visible: 54  Visible Count: 15  Total Items:500_x000D_
04 11 00:50:24 439  5320  5320 D PullToRefresh: First Visible: 54  Visible Count: 15  Total Items:500_x000D_
04 11 00:50:24 455  5320  5320 D PullToRefresh: First Visible: 54  Visible Count: 15  Total Items:500_x000D_
04 11 00:50:24 472  5320  5320 D PullToRefresh: First Visible: 54  Visible Count: 15  Total Items:500_x000D_
04 11 00:50:24 519  5320  8849 I art     : Clamp target GC heap from 202MB to 192MB_x000D_
04 11 00:50:24 520  5320  8849 I art     : Alloc partial concurrent mark sweep GC freed 1677(419KB) AllocSpace objects  11(5MB) LOS objects  3  free  186MB 192MB  paused 11 315ms total 106 869ms_x000D_
04 11 00:50:25 022  5320  5320 D PullToRefresh: First Visible: 54  Visible Count: 15  Total Items:500_x000D_
04 11 00:50:25 054  5320  5320 D PullToRefresh: First Visible: 54  Visible Count: 15  Total Items:500_x000D_
04 11 00:50:25 584  5320  5320 D PullToRefresh: First Visible: 54  Visible Count: 15  Total Items:500_x000D_
04 11 00:50:25 585  5320  5320 D PullToRefresh: First Visible: 54  Visible Count: 15  Total Items:500_x000D_
04 11 00:50:25 600  5320  5320 D PullToRefresh: First Visible: 54  Visible Count: 15  Total Items:500_x000D_
04 11 00:50:25 650  5320  5320 D PullToRefresh: First Visible: 54  Visible Count: 15  Total Items:500_x000D_
04 11 00:50:25 667  5320  5320 D PullToRefresh: First Visible: 54  Visible Count: 15  Total Items:500_x000D_
04 11 00:50:25 683  5320  5320 D PullToRefresh: First Visible: 54  Visible Count: 15  Total Items:500_x000D_
04 11 00:50:25 700  5320  5320 D PullToRefresh: First Visible: 54  Visible Count: 15  Total Items:500_x000D_
04 11 00:50:25 733  5320  5320 D PullToRefresh: First Visible: 54  Visible Count: 15  Total Items:500_x000D_
04 11 00:50:25 766  5320  5320 D PullToRefresh: First Visible: 54  Visible Count: 15  Total Items:500_x000D_
04 11 00:50:25 799  5320  5320 D PullToRefresh: First Visible: 54  Visible Count: 15  Total Items:500_x000D_
04 11 00:50:25 816  5320  5320 D PullToRefresh: First Visible: 54  Visible Count: 15  Total Items:500_x000D_
04 11 00:50:25 833  5320  5320 D PullToRefresh: First Visible: 54  Visible Count: 15  Total Items:500_x000D_
04 11 00:50:25 866  5320  5320 D PullToRefresh: First Visible: 54  Visible Count: 15  Total Items:500_x000D_
04 11 00:50:25 882  5320  5320 D PullToRefresh: First Visible: 54  Visible Count: 15  Total Items:500_x000D_
04 11 00:50:25 899  5320  5320 D PullToRefresh: First Visible: 54  Visible Count: 15  Total Items:500_x000D_
04 11 00:50:25 916  5320  5320 D PullToRefresh: First Visible: 54  Visible Count: 15  Total Items:500_x000D_
04 11 00:50:25 932  5320  5320 D PullToRefresh: First Visible: 54  Visible Count: 15  Total Items:500_x000D_
04 11 00:50:25 949  5320  5320 D PullToRefresh: First Visible: 54  Visible Count: 15  Total Items:500_x000D_
04 11 00:50:25 966  5320  5320 D PullToRefresh: First Visible: 54  Visible Count: 15  Total Items:500_x000D_
04 11 00:50:25 982  5320  5320 D PullToRefresh: First Visible: 54  Visible Count: 15  Total Items:500_x000D_
04 11 00:50:25 999  5320  5320 D PullToRefresh: First Visible: 54  Visible Count: 15  Total Items:500_x000D_
04 11 00:50:26 015  5320  5320 D PullToRefresh: First Visible: 54  Visible Count: 15  Total Items:500_x000D_
04 11 00:50:26 032  5320  5320 D PullToRefresh: First Visible: 54  Visible Count: 15  Total Items:500_x000D_
04 11 00:50:26 048  5320  5320 D PullToRefresh: First Visible: 54  Visible Count: 15  Total Items:500_x000D_
04 11 00:50:26 065  5320  5320 D PullToRefresh: First Visible: 54  Visible Count: 15  Total Items:500_x000D_
04 11 00:50:26 082  5320  5320 D PullToRefresh: First Visible: 54  Visible Count: 15  Total Items:500_x000D_
04 11 00:50:26 098  5320  5320 D PullToRefresh: First Visible: 54  Visible Count: 15  Total Items:500_x000D_
04 11 00:50:26 115  5320  5320 D PullToRefresh: First Visible: 54  Visible Count: 15  Total Items:500_x000D_
04 11 00:50:26 131  5320  5320 D PullToRefresh: First Visible: 57  Visible Count: 12  Total Items:500_x000D_
04 11 00:50:26 148  5320  5320 D PullToRefresh: First Visible: 57  Visible Count: 12  Total Items:500_x000D_
04 11 00:50:26 164  5320  5320 D PullToRefresh: First Visible: 57  Visible Count: 12  Total Items:500_x000D_
04 11 00:50:26 181  5320  5320 D PullToRefresh: First Visible: 57  Visible Count: 12  Total Items:500_x000D_
04 11 00:50:26 198  5320  5320 D PullToRefresh: First Visible: 57  Visible Count: 12  Total Items:500_x000D_
04 11 00:50:26 214  5320  5320 D PullToRefresh: First Visible: 57  Visible Count: 12  Total Items:500_x000D_
04 11 00:50:26 231  5320  5320 D PullToRefresh: First Visible: 57  Visible Count: 12  Total Items:500_x000D_
04 11 00:50:26 247  5320  5320 D PullToRefresh: First Visible: 57  Visible Count: 12  Total Items:500_x000D_
04 11 00:50:26 264  5320  5320 D PullToRefresh: First Visible: 57  Visible Count: 12  Total Items:500_x000D_
04 11 00:50:26 281  5320  5320 D PullToRefresh: First Visible: 57  Visible Count: 12  Total Items:500_x000D_
04 11 00:50:26 299  5320  5320 D PullToRefresh: First Visible: 57  Visible Count: 12  Total Items:500_x000D_
04 11 00:50:26 314  5320  5320 D PullToRefresh: First Visible: 57  Visible Count: 12  Total Items:500_x000D_
04 11 00:50:26 330  5320  5320 D PullToRefresh: First Visible: 57  Visible Count: 12  Total Items:500_x000D_
04 11 00:50:26 347  5320  5320 D PullToRefresh: First Visible: 57  Visible Count: 12  Total Items:500_x000D_
04 11 00:50:26 363  5320  5320 D PullToRefresh: First Visible: 57  Visible Count: 12  Total Items:500_x000D_
04 11 00:50:26 380  5320  5320 D PullToRefresh: First Visible: 57  Visible Count: 12  Total Items:500_x000D_
04 11 00:50:26 401  5320  5320 D PullToRefresh: First Visible: 57  Visible Count: 15  Total Items:500_x000D_
04 11 00:50:26 413  5320  5320 D PullToRefresh: First Visible: 57  Visible Count: 15  Total Items:500_x000D_
04 11 00:50:26 430  5320  5320 D PullToRefresh: First Visible: 57  Visible Count: 15  Total Items:500_x000D_
04 11 00:50:26 447  5320  5320 D PullToRefresh: First Visible: 57  Visible Count: 15  Total Items:500_x000D_
04 11 00:50:26 463  5320  5320 D PullToRefresh: First Visible: 57  Visible Count: 15  Total Items:500_x000D_
04 11 00:50:26 480  5320  5320 D PullToRefresh: First Visible: 57  Visible Count: 15  Total Items:500_x000D_
04 11 00:50:26 497  5320  5320 D PullToRefresh: First Visible: 57  Visible Count: 15  Total Items:500_x000D_
04 11 00:50:26 513  5320  5320 D PullToRefresh: First Visible: 57  Visible Count: 15  Total Items:500_x000D_
04 11 00:50:26 530  5320  5320 D PullToRefresh: First Visible: 57  Visible Count: 15  Total Items:500_x000D_
04 11 00:50:26 546  5320  5320 D PullToRefresh: First Visible: 57  Visible Count: 15  Total Items:500_x000D_
04 11 00:50:26 563  5320  5320 D PullToRefresh: First Visible: 57  Visible Count: 15  Total Items:500_x000D_
04 11 00:50:26 579  5320  5320 D PullToRefresh: First Visible: 57  Visible Count: 15  Total Items:500_x000D_
04 11 00:50:26 931  5320  8849 I art     : Starting a blocking GC Alloc_x000D_
04 11 00:50:26 931  5320  8849 I art     : Starting a blocking GC Alloc_x000D_
04 11 00:50:27 024  5320  8849 I art     : Clamp target GC heap from 203MB to 192MB_x000D_
04 11 00:50:27 024  5320  8849 I art     : Alloc partial concurrent mark sweep GC freed 7491(848KB) AllocSpace objects  16(3MB) LOS objects  2  free  187MB 192MB  paused 869us total 91 414ms_x000D_
04 11 00:50:27 138  5320  5320 D PullToRefresh: First Visible: 57  Visible Count: 15  Total Items:500_x000D_
04 11 00:50:27 550  5320  5320 D PullToRefresh: First Visible: 57  Visible Count: 15  Total Items:500_x000D_
04 11 00:50:27 559  5320  5320 D PullToRefresh: First Visible: 57  Visible Count: 15  Total Items:500_x000D_
04 11 00:50:27 575  5320  5320 D PullToRefresh: First Visible: 57  Visible Count: 15  Total Items:500_x000D_
04 11 00:50:27 577  5320  5320 D PullToRefresh: First Visible: 57  Visible Count: 15  Total Items:500_x000D_
04 11 00:50:27 592  5320  5320 D PullToRefresh: First Visible: 57  Visible Count: 15  Total Items:500_x000D_
04 11 00:50:27 609  5320  5320 D PullToRefresh: First Visible: 57  Visible Count: 15  Total Items:500_x000D_
04 11 00:50:27 625  5320  5320 D PullToRefresh: First Visible: 57  Visible Count: 15  Total Items:500_x000D_
04 11 00:50:27 642  5320  5320 D PullToRefresh: First Visible: 57  Visible Count: 15  Total Items:500_x000D_
04 11 00:50:27 656  5320  5320 D PullToRefresh: First Visible: 60  Visible Count: 12  Total Items:500_x000D_
04 11 00:50:27 657  5320  5320 D PullToRefresh: First Visible: 60  Visible Count: 12  Total Items:500_x000D_
04 11 00:50:27 674  5320  5320 D PullToRefresh: First Visible: 60  Visible Count: 12  Total Items:500_x000D_
04 11 00:50:27 691  5320  5320 D PullToRefresh: First Visible: 60  Visible Count: 12  Total Items:500_x000D_
04 11 00:50:27 707  5320  5320 D PullToRefresh: First Visible: 60  Visible Count: 12  Total Items:500_x000D_
04 11 00:50:27 724  5320  5320 D PullToRefresh: First Visible: 60  Visible Count: 12  Total Items:500_x000D_
04 11 00:50:27 740  5320  5320 D PullToRefresh: First Visible: 60  Visible Count: 12  Total Items:500_x000D_
04 11 00:50:27 757  5320  5320 D PullToRefresh: First Visible: 60  Visible Count: 12  Total Items:500_x000D_
04 11 00:50:27 774  5320  5320 D PullToRefresh: First Visible: 60  Visible Count: 12  Total Items:500_x000D_
04 11 00:50:27 790  5320  5320 D PullToRefresh: First Visible: 60  Visible Count: 12  Total Items:500_x000D_
04 11 00:50:27 814  5320  5320 D PullToRefresh: First Visible: 60  Visible Count: 15  Total Items:500_x000D_
04 11 00:50:27 824  5320  5320 D PullToRefresh: First Visible: 60  Visible Count: 15  Total Items:500_x000D_
04 11 00:50:27 840  5320  5320 D PullToRefresh: First Visible: 60  Visible Count: 15  Total Items:500_x000D_
04 11 00:50:27 857  5320  5320 D PullToRefresh: First Visible: 60  Visible Count: 15  Total Items:500_x000D_
04 11 00:50:27 873  5320  5320 D PullToRefresh: First Visible: 60  Visible Count: 15  Total Items:500_x000D_
04 11 00:50:27 890  5320  5320 D PullToRefresh: First Visible: 60  Visible Count: 15  Total Items:500_x000D_
04 11 00:50:27 906  5320  5320 D PullToRefresh: First Visible: 60  Visible Count: 15  Total Items:500_x000D_
04 11 00:50:27 923  5320  5320 D PullToRefresh: First Visible: 60  Visible Count: 15  Total Items:500_x000D_
04 11 00:50:27 940  5320  5320 D PullToRefresh: First Visible: 60  Visible Count: 15  Total Items:500_x000D_
04 11 00:50:27 956  5320  5320 D PullToRefresh: First Visible: 60  Visible Count: 15  Total Items:500_x000D_
04 11 00:50:27 973  5320  5320 D PullToRefresh: First Visible: 60  Visible Count: 15  Total Items:500_x000D_
04 11 00:50:27 990  5320  5320 D PullToRefresh: First Visible: 60  Visible Count: 15  Total Items:500_x000D_
04 11 00:50:28 006  5320  5320 D PullToRefresh: First Visible: 60  Visible Count: 15  Total Items:500_x000D_
04 11 00:50:28 023  5320  5320 D PullToRefresh: First Visible: 60  Visible Count: 15  Total Items:500_x000D_
04 11 00:50:28 040  5320  5320 D PullToRefresh: First Visible: 60  Visible Count: 15  Total Items:500_x000D_
04 11 00:50:28 057  5320  5320 D PullToRefresh: First Visible: 60  Visible Count: 15  Total Items:500_x000D_
04 11 00:50:28 073  5320  5320 D PullToRefresh: First Visible: 60  Visible Count: 15  Total Items:500_x000D_
04 11 00:50:28 089  5320  5320 D PullToRefresh: First Visible: 60  Visible Count: 15  Total Items:500_x000D_
04 11 00:50:28 106  5320  5320 D PullToRefresh: First Visible: 60  Visible Count: 15  Total Items:500_x000D_
04 11 00:50:28 122  5320  5320 D PullToRefresh: First Visible: 60  Visible Count: 15  Total Items:500_x000D_
04 11 00:50:28 139  5320  5320 D PullToRefresh: First Visible: 60  Visible Count: 15  Total Items:500_x000D_
04 11 00:50:28 155  5320  5320 D PullToRefresh: First Visible: 60  Visible Count: 15  Total Items:500_x000D_
04 11 00:50:28 440  5320  5320 I art     : Starting a blocking GC Alloc_x000D_
04 11 00:50:28 440  5320  5320 I art     : Starting a blocking GC Alloc_x000D_
04 11 00:50:28 525  5320  5320 I art     : Clamp target GC heap from 203MB to 192MB_x000D_
04 11 00:50:28 525  5320  5320 I art     : Alloc partial concurrent mark sweep GC freed 7918(523KB) AllocSpace objects  9(3MB) LOS objects  2  free  187MB 192MB  paused 1 018ms total 83 046ms_x000D_
04 11 00:50:28 533  5320  5320 D PullToRefresh: First Visible: 60  Visible Count: 15  Total Items:500_x000D_
04 11 00:50:29 467  5320  5320 D PullToRefresh: First Visible: 60  Visible Count: 15  Total Items:500_x000D_
04 11 00:50:31 149  5320  5320 D PullToRefresh: First Visible: 60  Visible Count: 15  Total Items:500_x000D_
04 11 00:50:31 242  5320  5320 D PullToRefresh: First Visible: 60  Visible Count: 15  Total Items:500_x000D_
04 11 00:50:31 258  5320  5320 D PullToRefresh: First Visible: 60  Visible Count: 15  Total Items:500_x000D_
04 11 00:50:31 274  5320  5320 D PullToRefresh: First Visible: 63  Visible Count: 12  Total Items:500_x000D_
04 11 00:50:31 291  5320  5320 D PullToRefresh: First Visible: 63  Visible Count: 12  Total Items:500_x000D_
04 11 00:50:31 306  5320  5320 D PullToRefresh: First Visible: 63  Visible Count: 12  Total Items:500_x000D_
04 11 00:50:31 322  5320  5320 D PullToRefresh: First Visible: 63  Visible Count: 12  Total Items:500_x000D_
04 11 00:50:31 339  5320  5320 D PullToRefresh: First Visible: 63  Visible Count: 12  Total Items:500_x000D_
04 11 00:50:31 356  5320  5320 D PullToRefresh: First Visible: 63  Visible Count: 12  Total Items:500_x000D_
04 11 00:50:31 372  5320  5320 D PullToRefresh: First Visible: 63  Visible Count: 12  Total Items:500_x000D_
04 11 00:50:31 389  5320  5320 D PullToRefresh: First Visible: 63  Visible Count: 12  Total Items:500_x000D_
04 11 00:50:31 427  5320  5320 I art     : Starting a blocking GC Alloc_x000D_
04 11 00:50:31 427  5320  5320 I art     : Starting a blocking GC Alloc_x000D_
04 11 00:50:31 493  5320  5320 I art     : Clamp target GC heap from 207MB to 192MB_x000D_
04 11 00:50:31 493  5320  5320 I art     : Alloc partial concurrent mark sweep GC freed 848(490KB) AllocSpace objects  0(0B) LOS objects  0  free  191MB 192MB  paused 893us total 65 859ms_x000D_
04 11 00:50:31 493  5320  5320 I art     : Starting a blocking GC Alloc_x000D_
04 11 00:50:31 499  5320  5320 I art     : Alloc sticky concurrent mark sweep GC freed 2(32B) AllocSpace objects  0(0B) LOS objects  0  free  191MB 192MB  paused 799us total 5 389ms_x000D_
04 11 00:50:31 499  5320  5320 I art     : Starting a blocking GC Alloc_x000D_
04 11 00:50:31 562  5320  5320 I art     : Clamp target GC heap from 207MB to 192MB_x000D_
04 11 00:50:31 562  5320  5320 I art     : Alloc concurrent mark sweep GC freed 123(101KB) AllocSpace objects  0(0B) LOS objects  0  free  191MB 192MB  paused 885us total 62 382ms_x000D_
04 11 00:50:31 562  5320  5320 I art     : Forcing collection of SoftReferences for 1406KB allocation_x000D_
04 11 00:50:31 562  5320  5320 I art     : Starting a blocking GC Alloc_x000D_
04 11 00:50:31 617  5320  5320 I art     : Clamp target GC heap from 206MB to 192MB_x000D_
04 11 00:50:31 618  5320  5320 I art     : Alloc concurrent mark sweep GC freed 165(19KB) AllocSpace objects  3(840KB) LOS objects  0  free  190MB 192MB  paused 1 029ms total 55 363ms_x000D_
04 11 00:50:31 618  5320  5329 I art     : WaitForGcToComplete blocked for 31 080ms for cause HeapTrim_x000D_
04 11 00:50:31 618  5320  5320 W art     : Throwing OutOfMemoryError  Failed to allocate a 1440012 byte allocation with 1235872 free bytes and 1206KB until OOM _x000D_
04 11 00:50:31 618  5320  5320 I art     : Waiting for a blocking GC Alloc_x000D_
04 11 00:50:31 618  5320  5320 I art     : Starting a blocking GC Alloc_x000D_
04 11 00:50:31 618  5320  5320 I art     : Starting a blocking GC Alloc_x000D_
04 11 00:50:31 624  5320  5320 I art     : Starting a blocking GC Alloc_x000D_
04 11 00:50:31 694  5320  5320 I art     : Clamp target GC heap from 206MB to 192MB_x000D_
04 11 00:50:31 694  5320  5320 I art     : Alloc partial concurrent mark sweep GC freed 20(752B) AllocSpace objects  0(0B) LOS objects  0  free  190MB 192MB  paused 1 401ms total 69 650ms_x000D_
04 11 00:50:31 694  5320  5320 I art     : Starting a blocking GC Alloc_x000D_
04 11 00:50:31 764  5320  5320 I art     : Clamp target GC heap from 206MB to 192MB_x000D_
04 11 00:50:31 764  5320  5320 I art     : Alloc concurrent mark sweep GC freed 3(96B) AllocSpace objects  0(0B) LOS objects  0  free  190MB 192MB  paused 748us total 70 021ms_x000D_
04 11 00:50:31 764  5320  5320 I art     : Forcing collection of SoftReferences for 1406KB allocation_x000D_
04 11 00:50:31 764  5320  5320 I art     : Starting a blocking GC Alloc_x000D_
04 11 00:50:31 817  5320  5320 I art     : Clamp target GC heap from 206MB to 192MB_x000D_
04 11 00:50:31 817  5320  5320 I art     : Alloc concurrent mark sweep GC freed 3(96B) AllocSpace objects  0(0B) LOS objects  0  free  190MB 192MB  paused 761us total 52 940ms_x000D_
04 11 00:50:31 817  5320  5320 W art     : Throwing OutOfMemoryError  Failed to allocate a 1440012 byte allocation with 1236352 free bytes and 1207KB until OOM _x000D_
04 11 00:50:31 825  5320  5320 D skia    :     allocation failed for scaled bitmap_x000D_
04 11 00:50:31 829  5320  5320 D AndroidRuntime: Shutting down VM_x000D_
04 11 00:50:31 836  5320  5320 W System err: java lang OutOfMemoryError: Failed to allocate a 1440012 byte allocation with 1236352 free bytes and 1207KB until OOM_x000D_
04 11 00:50:31 867  5320  5320 W System err: 	at dalvik system VMRuntime newNonMovableArray(Native Method)_x000D_
04 11 00:50:31 867  5320  5320 W System err: 	at android graphics BitmapFactory nativeDecodeAsset(Native Method)_x000D_
04 11 00:50:31 867  5320  5320 W System err: 	at android graphics BitmapFactory decodeStream(BitmapFactory java:609)_x000D_
04 11 00:50:31 867  5320  5320 W System err: 	at android graphics BitmapFactory decodeResourceStream(BitmapFactory java:444)_x000D_
04 11 00:50:31 867  5320  5320 W System err: 	at android graphics drawable Drawable createFromResourceStream(Drawable java:1080)_x000D_
04 11 00:50:31 867  5320  5320 W System err: 	at android content res Resources loadDrawableForCookie(Resources java:2635)_x000D_
04 11 00:50:31 867  5320  5320 W System err: 	at android content res Resources loadDrawable(Resources java:2540)_x000D_
04 11 00:50:31 867  5320  5320 W System err: 	at android content res Resources getDrawable(Resources java:806)_x000D_
04 11 00:50:31 867  5320  5320 W System err: 	at android content Context getDrawable(Context java:458)_x000D_
04 11 00:50:31 867  5320  5320 W System err: 	at android support v4 content ContextCompatApi21 getDrawable(ContextCompatApi21 java:30)_x000D_
04 11 00:50:31 867  5320  5320 W System err: 	at android support v4 content ContextCompat getDrawable(ContextCompat java:372)_x000D_
04 11 00:50:31 867  5320  5320 W System err: 	at android support v7 widget AppCompatDrawableManager getDrawable(AppCompatDrawableManager java:202)_x000D_
04 11 00:50:31 867  5320  5320 W System err: 	at android support v7 widget AppCompatDrawableManager getDrawable(AppCompatDrawableManager java:190)_x000D_
04 11 00:50:31 867  5320  5320 W System err: 	at android support v7 content res AppCompatResources getDrawable(AppCompatResources java:100)_x000D_
04 11 00:50:31 867  5320  5320 W System err: 	at android support v7 widget AppCompatImageHelper setImageResource(AppCompatImageHelper java:73)_x000D_
04 11 00:50:31 867  5320  5320 W System err: 	at android support v7 widget AppCompatImageView setImageResource(AppCompatImageView java:81)_x000D_
04 11 00:50:31 867  5320  5320 W System err: 	at org inaturalist android UserSpeciesAdapter getView(UserSpeciesAdapter java:157)_x000D_
04 11 00:50:31 867  5320  5320 W System err: 	at android widget AbsListView obtainView(AbsListView java:2346)_x000D_
04 11 00:50:31 867  5320  5320 W System err: 	at android widget GridView makeAndAddView(GridView java:1440)_x000D_
04 11 00:50:31 867  5320  5320 W System err: 	at android widget GridView makeRow(GridView java:366)_x000D_
04 11 00:50:31 867  5320  5320 W System err: 	at android widget GridView fillDown(GridView java:307)_x000D_
04 11 00:50:31 867  5320  5320 W System err: 	at android widget GridView fillGap(GridView java:267)_x000D_
04 11 00:50:31 867  5320  5320 W System err: 	at android widget AbsListView trackMotionScroll(AbsListView java:5053)_x000D_
04 11 00:50:31 867  5320  5320 W System err: 	at android widget AbsListView FlingRunnable run(AbsListView java:4601)_x000D_
04 11 00:50:31 867  5320  5320 W System err: 	at android view Choreographer CallbackRecord run(Choreographer java:858)_x000D_
04 11 00:50:31 867  5320  5320 W System err: 	at android view Choreographer doCallbacks(Choreographer java:670)_x000D_
04 11 00:50:31 867  5320  5320 W System err: 	at android view Choreographer doFrame(Choreographer java:603)_x000D_
04 11 00:50:31 867  5320  5320 W System err: 	at android view Choreographer FrameDisplayEventReceiver run(Choreographer java:844)_x000D_
04 11 00:50:31 867  5320  5320 W System err: 	at android os Handler handleCallback(Handler java:739)_x000D_
04 11 00:50:31 867  5320  5320 W System err: 	at android os Handler dispatchMessage(Handler java:95)_x000D_
04 11 00:50:31 867  5320  5320 W System err: 	at android os Looper loop(Looper java:148)_x000D_
04 11 00:50:31 867  5320  5320 W System err: 	at android app ActivityThread main(ActivityThread java:5417)_x000D_
04 11 00:50:31 867  5320  5320 W System err: 	at java lang reflect Method invoke(Native Method)_x000D_
04 11 00:50:31 867  5320  5320 W System err: 	at com android internal os ZygoteInit MethodAndArgsCaller run(ZygoteInit java:726)_x000D_
04 11 00:50:31 867  5320  5320 W System err: 	at com android internal os ZygoteInit main(ZygoteInit java:616)_x000D_
04 11 00:50:31 882  5320  5320 W FlurryAgent: Error logged: uncaught_x000D_
04 11 00:50:31 883  5320  5320 W FlurryAgent: End session with context: org inaturalist android MissionsGridActivity 8bb2d0d count:0_x000D_
04 11 00:50:31 885  5320  5320 W FlurryAgent: Finalize session_x000D_
04 11 00:50:32 017  5320  5367 I art     : Waiting for a blocking GC Alloc_x000D_
04 11 00:50:32 019  5320 25795 I art     : Waiting for a blocking GC Alloc_x000D_
04 11 00:50:32 025  5320  5367 I art     : WaitForGcToComplete blocked for 8 226ms for cause Alloc_x000D_
04 11 00:50:32 025  5320  5367 I art     : Starting a blocking GC Alloc_x000D_
04 11 00:50:32 025  5320 25795 I art     : WaitForGcToComplete blocked for 6 393ms for cause Alloc_x000D_
04 11 00:50:32 025  5320 25795 I art     : Starting a blocking GC Alloc_x000D_
04 11 00:50:32 063  5320  5367 I art     : Waiting for a blocking GC Alloc_x000D_
04 11 00:50:32 069  5320 25795 I art     : Waiting for a blocking GC Alloc_x000D_
04 11 00:50:32 123  5320  5329 I art     : Clamp target GC heap from 206MB to 192MB_x000D_
04 11 00:50:32 123  5320  5367 I art     : WaitForGcToComplete blocked for 59 818ms for cause Alloc_x000D_
04 11 00:50:32 123  5320  5367 I art     : Starting a blocking GC Alloc_x000D_
04 11 00:50:32 123  5320 25795 I art     : WaitForGcToComplete blocked for 53 823ms for cause Alloc_x000D_
04 11 00:50:32 123  5320 25795 I art     : Starting a blocking GC Alloc_x000D_
          beginning of crash_x000D_
04 11 00:50:32 158  532</t>
  </si>
  <si>
    <t>sbugert-react-native-admob-123</t>
  </si>
  <si>
    <t>Rewarded video: isReady crashes if not preceded by requestAd</t>
  </si>
  <si>
    <t xml:space="preserve">At least in Android  calling  AdMobRewarded isReady(cb)  crashes the app unless  AdMobRewarded requestAd()  was called before  _x000D_
It would be beneficial to be able to ask if video is present without need to do requestAd first  though </t>
  </si>
  <si>
    <t>zom-Zom-Android-XMPP-218</t>
  </si>
  <si>
    <t>App crashs when selecting camera within a chat</t>
  </si>
  <si>
    <t>When I tap on the camera to take a picture to send  it crashes  This is only happening on some models  It worked fine for Jodie _x000D_
_x000D_
Crashed on:_x000D_
Carrie s Samsung Galaxy 7 running Android 7 0 and Lala s Nexus5x_x000D_
_x000D_
version 15 1 0 alpha 1</t>
  </si>
  <si>
    <t>zom-Zom-Android-XMPP-215</t>
  </si>
  <si>
    <t>App crashed when trying to send voice message</t>
  </si>
  <si>
    <t>Jodie s phone crashed when she tried to send voice message  After crashing  once she restarted  a message she d sent before the voice message showed up under the voice message in the chat flow with a x check _x000D_
_x000D_
 n8fr8 This issue is double loaded  First  the crash when trying to send a voice message  Second  the occurrence of the x check  I noted the second in the x check issue  176 _x000D_
_x000D_
version 15 1 0 alpha 1</t>
  </si>
  <si>
    <t>nextcloud-android-850</t>
  </si>
  <si>
    <t xml:space="preserve">Crash when rotate </t>
  </si>
  <si>
    <t xml:space="preserve">    Actual behaviour_x000D_
If the user rotate the SmartPhone when the info is loading the app crashes _x000D_
It happens in Activities  Favorites  Photos  Shared _x000D_
 _x000D_
    Steps to reproduce_x000D_
1  Open the App_x000D_
2  Open Photos_x000D_
3  Rotate SmartPhone when the info is loading_x000D_
_x000D_
_x000D_
    Environment data_x000D_
Android version: 7 1 2_x000D_
_x000D_
Device model: Nexus 5X_x000D_
_x000D_
Stock or customized system:_x000D_
_x000D_
Nextcloud app version: Master_x000D_
_x000D_
Nextcloud server version: 11_x000D_
_x000D_
    Logs_x000D_
   _x000D_
04 19 12:10:03 438 30036 32726 com nextcloud client E AndroidRuntime: FATAL EXCEPTION: AsyncTask  11_x000D_
                                                                      Process: com nextcloud client  PID: 30036_x000D_
                                                                      java lang RuntimeException: An error occurred while executing doInBackground()_x000D_
                                                                          at android os AsyncTask 3 done(AsyncTask java:325)_x000D_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java:761)_x000D_
                                                                       Caused by: java lang IllegalArgumentException: Trying to execute a remote operation with a NULL Context_x000D_
                                                                          at com owncloud android lib common operations RemoteOperation execute(RemoteOperation java:106)_x000D_
                                                                          at com owncloud android ui fragment OCFileListFragment 12 doInBackground(OCFileListFragment java:1319)_x000D_
                                                                          at android os AsyncTask 2 call(AsyncTask java:305)_x000D_
                                                                          at java util concurrent FutureTask run(FutureTask java:237)_x000D_
                                                                          at android os AsyncTask SerialExecutor 1 run(AsyncTask java:243) _x000D_
                                                                          at java util concurrent ThreadPoolExecutor runWorker(ThreadPoolExecutor java:1133) _x000D_
                                                                          at java util concurrent ThreadPoolExecutor Worker run(ThreadPoolExecutor java:607) _x000D_
                                                                          at java lang Thread run(Thread java:761) _x000D_
   _x000D_
  ezgif com video to gif 3 (https:  cloud githubusercontent com assets 25756086 25194599 913a2790 2500 11e7 82d0 80491a94bb13 gif)_x000D_
_x000D_
_x000D_
_x000D_
  NOTE:   Be super sure to remove sensitive data like passwords  note that everybody can look here  You can use the Issue Template application to prefill some of the required information: https:  apps nextcloud com apps issuetemplate_x000D_
</t>
  </si>
  <si>
    <t>platypusllc-tablet-52</t>
  </si>
  <si>
    <t>Null pointer exception if long press used without colored pencil</t>
  </si>
  <si>
    <t xml:space="preserve">Does not occur if the pencil ever becomes colored  Once it is turned back to black the app will not crash on long press _x000D_
_x000D_
  AndroidRuntime                 E  FATAL EXCEPTION: main                                                  _x000D_
AndroidRuntime                 E  Process: com platypus android tablet  PID: 4871                        _x000D_
AndroidRuntime                 E  java lang NullPointerException: Attempt to invoke virtual method  void _x000D_
                                  com platypus android tablet Path Path updateRegionPoints()  on a null o_x000D_
                                  bject reference                                                        _x000D_
AndroidRuntime                 E  at com platypus android tablet TeleOpPanel invalidate(TeleOpPanel java:_x000D_
                                  2721)                                                                  _x000D_
AndroidRuntime                 E  at com platypus android tablet TeleOpPanel 7 2 onMapLongClick(TeleOpPan_x000D_
                                  el java:689)                                                           _x000D_
AndroidRuntime                 E  at com mapbox mapboxsdk maps MapView GestureListener onLongPress(MapVie_x000D_
                                  w java:1976)                                                           _x000D_
AndroidRuntime                 E  at android view GestureDetector dispatchLongPress(GestureDetector java:_x000D_
                                  690)                                                                   _x000D_
AndroidRuntime                 E  at android view GestureDetector access 200(GestureDetector java:37)    _x000D_
AndroidRuntime                 E  at android view GestureDetector GestureHandler handleMessage(GestureDet_x000D_
                                  ector java:266)                                                        _x000D_
AndroidRuntime                 E  at android os Handler dispatchMessage(Handler java:102)                _x000D_
AndroidRuntime                 E  at android os Looper loop(Looper java:135)                             _x000D_
AndroidRuntime                 E  at android app ActivityThread main(ActivityThread java:5484)           _x000D_
AndroidRuntime                 E  at java lang reflect Method invoke(Native Method)                      _x000D_
AndroidRuntime                 E  at java lang reflect Method invoke(Method java:372)                    _x000D_
AndroidRuntime                 E  at com android internal os ZygoteInit MethodAndArgsCaller run(ZygoteIni_x000D_
                                  t java:984)                                                            _x000D_
AndroidRuntime                 E  at com android internal os ZygoteInit main(ZygoteInit java:779) </t>
  </si>
  <si>
    <t>nextcloud-android-843</t>
  </si>
  <si>
    <t>Preview Image OutOfMemoryError</t>
  </si>
  <si>
    <t xml:space="preserve">    Actual behaviour_x000D_
After open many times PreviewImageActivity the App is crashing _x000D_
 _x000D_
    Steps to reproduce_x000D_
1  Open the App_x000D_
2  Select a Image_x000D_
3  Open Image Detail_x000D_
4  Open Participate Section_x000D_
5  Open All Files_x000D_
6  Repeat step  2  three or four times _x000D_
_x000D_
    Environment data_x000D_
Android version: 7 1 2_x000D_
_x000D_
Device model: Nexus 5X_x000D_
_x000D_
Stock or customized system:_x000D_
_x000D_
Nextcloud app version: Master_x000D_
_x000D_
Nextcloud server version: 11 _x000D_
_x000D_
    Logs_x000D_
_x000D_
  ezgif com video to gif (https:  cloud githubusercontent com assets 25756086 25157809 32202be8 2469 11e7 9109 ef6915815c0d gif)_x000D_
_x000D_
_x000D_
</t>
  </si>
  <si>
    <t>PhilJay-MPAndroidChart-3032</t>
  </si>
  <si>
    <t>PointerIndex out of range error (Multitouch zooming error, I think)</t>
  </si>
  <si>
    <t>My app crashes when I do a lot of zooming on charts  I get this  bug (https:  pastebin com UgXnUjvn) _x000D_
 _x000D_
 Here (https:  drive google com open id 0B7ArzBuNX7W9c3BwVjgwWTVERmM) is a video of me generating the bug_x000D_
_x000D_
Here is a stackoverflow post that may be helpful in fixing this issue  though I don t know for sure _x000D_
http:  stackoverflow com questions 6919292 pointerindex out of range android multitouch</t>
  </si>
  <si>
    <t>nextcloud-android-858</t>
  </si>
  <si>
    <t>prevent NPE if trying to store grid preference for favorites/shared</t>
  </si>
  <si>
    <t xml:space="preserve">If in favorites shared and  switch to grid  it crashes as it tries to store preference for this mFile _x000D_
Instead now do nothing _x000D_
_x000D_
To think of  if we want to store the preference for these searches    </t>
  </si>
  <si>
    <t>amosyuen-FFmpegVideoRecorder-5</t>
  </si>
  <si>
    <t>recorder crash on android 7.0 device</t>
  </si>
  <si>
    <t>Video recorder crash on android 7 0 device</t>
  </si>
  <si>
    <t>zom-Zom-Android-XMPP-221</t>
  </si>
  <si>
    <t>Photo not sent when contact’s app crashed</t>
  </si>
  <si>
    <t>TL tried to send Lala a photo just as Lhadon s app crashed and it didn t go through  TL saw it stuck at 63  the entire time _x000D_
_x000D_
version 15 1 0 alpha 1</t>
  </si>
  <si>
    <t>zom-Zom-Android-XMPP-220</t>
  </si>
  <si>
    <t>Messages sent before session is established are not going through</t>
  </si>
  <si>
    <t xml:space="preserve">  Lala sent 3 short messages that TL didn t get_x000D_
_x000D_
  TL sent one short message which Lala got and only after that did TL start receiving Lala s messages_x000D_
_x000D_
  No problems after that except that when Lala tried to take a picture directly from the chat the App crashed_x000D_
_x000D_
version 15 1 0 alpha 1</t>
  </si>
  <si>
    <t>openid-OpenYOLO-Android-27</t>
  </si>
  <si>
    <t>Test app: do not allow save credential until all mandatory fields populated</t>
  </si>
  <si>
    <t xml:space="preserve">You can press the  save credential  button in the test app when mandatory fields are not set:_x000D_
 _x000D_
  screenshot 20170421 120752 (https:  cloud githubusercontent com assets 309153 25292684 11e30b6e 268c 11e7 9a79 90bf0be642e0 png)_x000D_
_x000D_
This results in a crash  due to the RequireViolation thrown from the Credential builder  Either catch and handle this gracefully  or disable the button when mandatory fields do not have values </t>
  </si>
  <si>
    <t>nextcloud-android-874</t>
  </si>
  <si>
    <t>Contacts backup improvements/bugfixes</t>
  </si>
  <si>
    <t>This PR will fix the following things once completely ready:_x000D_
_x000D_
  refactor contacts backup into two separate fragments_x000D_
  fix inability to scroll in the backup fragment_x000D_
  fix fragment changes_x000D_
  fix rotation by remembering the state_x000D_
  fix contacts selection (currently broken)_x000D_
  fix several bugs that cause the application to crash_x000D_
  various other issues</t>
  </si>
  <si>
    <t>vector-im-riot-android-1148</t>
  </si>
  <si>
    <t>Cannot login when the device language is set to turkish</t>
  </si>
  <si>
    <t xml:space="preserve">I am able to login using riot web and tensor  But Riot Android gives this error:  invalid username password   I have installed the application from F droid  I am sure that the username password is correct _x000D_
_x000D_
Similarly  cannot login with Matrix Console application either  It crashes after pressing login button </t>
  </si>
  <si>
    <t>Freeyourgadget-Gadgetbridge-662</t>
  </si>
  <si>
    <t>Crash when synchronizing in "Your Activity" screen</t>
  </si>
  <si>
    <t xml:space="preserve">I already encountered three or four times a crash of the application when going to the  Your Activity  screen and tapping the  Synchronize  button while in  Steps a week  tab (not sure if it was always this tab) _x000D_
_x000D_
I couldn t find a way to reproduce the bug deterministically yet _x000D_
_x000D_
Wearable device: MI Band 2 (FW 1 0 1 39  HW V0 1 3 2)_x000D_
Gadgetbridge version: 0 18 5_x000D_
Android version: CyanogenMod 14 1 (Android 7 1 1)_x000D_
_x000D_
Here is the stack trace of the crash:_x000D_
_x000D_
   _x000D_
04 21 10:29:42 547 24811 24811 D AndroidRuntime: Shutting down VM_x000D_
04 21 10:29:42 570 24811 24811 E nodomain freeyourgadget gadgetbridge LoggingExceptionHandler: Uncaught exception: Index: 0  Size: 0java lang IndexOutOfBoundsException: Index: 0  Size: 0_x000D_
04 21 10:29:42 570 24811 24811 E nodomain freeyourgadget gadgetbridge LoggingExceptionHandler: 	at java util ArrayList get(ArrayList java:411)   na:0 0 _x000D_
04 21 10:29:42 570 24811 24811 E nodomain freeyourgadget gadgetbridge LoggingExceptionHandler: 	at com github mikephil charting data DataSet getEntryForIndex(DataSet java:286)   na:0 0 _x000D_
04 21 10:29:42 570 24811 24811 E nodomain freeyourgadget gadgetbridge LoggingExceptionHandler: 	at com github mikephil charting utils Transformer generateTransformedValuesLine(Transformer java:184)   na:0 0 _x000D_
04 21 10:29:42 570 24811 24811 E nodomain freeyourgadget gadgetbridge LoggingExceptionHandler: 	at com github mikephil charting renderer LineChartRenderer drawValues(LineChartRenderer java:547)   na:0 0 _x000D_
04 21 10:29:42 570 24811 24811 E nodomain freeyourgadget gadgetbridge LoggingExceptionHandler: 	at com github mikephil charting charts BarLineChartBase onDraw(BarLineChartBase java:263)   na:0 0 _x000D_
04 21 10:29:42 570 24811 24811 E nodomain freeyourgadget gadgetbridge LoggingExceptionHandler: 	at android view View draw(View java:17189)   na:0 0 _x000D_
04 21 10:29:42 570 24811 24811 E nodomain freeyourgadget gadgetbridge LoggingExceptionHandler: 	at android view View updateDisplayListIfDirty(View java:16171)   na:0 0 _x000D_
04 21 10:29:42 570 24811 24811 E nodomain freeyourgadget gadgetbridge LoggingExceptionHandler: 	at android view View draw(View java:16955)   na:0 0 _x000D_
04 21 10:29:42 570 24811 24811 E nodomain freeyourgadget gadgetbridge LoggingExceptionHandler: 	at android view ViewGroup drawChild(ViewGroup java:3727)   na:0 0 _x000D_
04 21 10:29:42 570 24811 24811 E nodomain freeyourgadget gadgetbridge LoggingExceptionHandler: 	at android view ViewGroup dispatchDraw(ViewGroup java:3513)   na:0 0 _x000D_
04 21 10:29:42 570 24811 24811 E nodomain freeyourgadget gadgetbridge LoggingExceptionHandler: 	at android view View updateDisplayListIfDirty(View java:16166)   na:0 0 _x000D_
04 21 10:29:42 570 24811 24811 E nodomain freeyourgadget gadgetbridge LoggingExceptionHandler: 	at android view ViewGroup recreateChildDisplayList(ViewGroup java:3711)   na:0 0 _x000D_
04 21 10:29:42 570 24811 24811 E nodomain freeyourgadget gadgetbridge LoggingExceptionHandler: 	at android view ViewGroup dispatchGetDisplayList(ViewGroup java:3691)   na:0 0 _x000D_
04 21 10:29:42 570 24811 24811 E nodomain freeyourgadget gadgetbridge LoggingExceptionHandler: 	at android view View updateDisplayListIfDirty(View java:16134)   na:0 0 _x000D_
04 21 10:29:42 570 24811 24811 E nodomain freeyourgadget gadgetbridge LoggingExceptionHandler: 	at android view ViewGroup recreateChildDisplayList(ViewGroup java:3711)   na:0 0 _x000D_
04 21 10:29:42 570 24811 24811 E nodomain freeyourgadget gadgetbridge LoggingExceptionHandler: 	at android view ViewGroup dispatchGetDisplayList(ViewGroup java:3691)   na:0 0 _x000D_
04 21 10:29:42 570 24811 24811 E nodomain freeyourgadget gadgetbridge LoggingExceptionHandler: 	at android view View updateDisplayListIfDirty(View java:16134)   na:0 0 _x000D_
04 21 10:29:42 570 24811 24811 E nodomain freeyourgadget gadgetbridge LoggingExceptionHandler: 	at android view ViewGroup recreateChildDisplayList(ViewGroup java:3711)   na:0 0 _x000D_
04 21 10:29:42 570 24811 24811 E nodomain freeyourgadget gadgetbridge LoggingExceptionHandler: 	at android view ViewGroup dispatchGetDisplayList(ViewGroup java:3691)   na:0 0 _x000D_
04 21 10:29:42 570 24811 24811 E nodomain freeyourgadget gadgetbridge LoggingExceptionHandler: 	at android view View updateDisplayListIfDirty(View java:16134)   na:0 0 _x000D_
04 21 10:29:42 570 24811 24811 E nodomain freeyourgadget gadgetbridge LoggingExceptionHandler: 	at android view ViewGroup recreateChildDisplayList(ViewGroup java:3711)   na:0 0 _x000D_
04 21 10:29:42 570 24811 24811 E nodomain freeyourgadget gadgetbridge LoggingExceptionHandler: 	at android view ViewGroup dispatchGetDisplayList(ViewGroup java:3691)   na:0 0 _x000D_
04 21 10:29:42 570 24811 24811 E nodomain freeyourgadget gadgetbridge LoggingExceptionHandler: 	at android view View updateDisplayListIfDirty(View java:16134)   na:0 0 _x000D_
04 21 10:29:42 570 24811 24811 E nodomain freeyourgadget gadgetbridge LoggingExceptionHandler: 	at android view ViewGroup recreateChildDisplayList(ViewGroup java:3711)   na:0 0 _x000D_
04 21 10:29:42 570 24811 24811 E nodomain freeyourgadget gadgetbridge LoggingExceptionHandler: 	at android view ViewGroup dispatchGetDisplayList(ViewGroup java:3691)   na:0 0 _x000D_
04 21 10:29:42 570 24811 24811 E nodomain freeyourgadget gadgetbridge LoggingExceptionHandler: 	at android view View updateDisplayListIfDirty(View java:16134)   na:0 0 _x000D_
04 21 10:29:42 570 24811 24811 E nodomain freeyourgadget gadgetbridge LoggingExceptionHandler: 	at android view ViewGroup recreateChildDisplayList(ViewGroup java:3711)   na:0 0 _x000D_
04 21 10:29:42 570 24811 24811 E nodomain freeyourgadget gadgetbridge LoggingExceptionHandler: 	at android view ViewGroup dispatchGetDisplayList(ViewGroup java:3691)   na:0 0 _x000D_
04 21 10:29:42 570 24811 24811 E nodomain freeyourgadget gadgetbridge LoggingExceptionHandler: 	at android view View updateDisplayListIfDirty(View java:16134)   na:0 0 _x000D_
04 21 10:29:42 570 24811 24811 E nodomain freeyourgadget gadgetbridge LoggingExceptionHandler: 	at android view ViewGroup recreateChildDisplayList(ViewGroup java:3711)   na:0 0 _x000D_
04 21 10:29:42 570 24811 24811 E nodomain freeyourgadget gadgetbridge LoggingExceptionHandler: 	at android view ViewGroup dispatchGetDisplayList(ViewGroup java:3691)   na:0 0 _x000D_
04 21 10:29:42 570 24811 24811 E nodomain freeyourgadget gadgetbridge LoggingExceptionHandler: 	at android view View updateDisplayListIfDirty(View java:16134)   na:0 0 _x000D_
04 21 10:29:42 570 24811 24811 E nodomain freeyourgadget gadgetbridge LoggingExceptionHandler: 	at android view ViewGroup recreateChildDisplayList(ViewGroup java:3711)   na:0 0 _x000D_
04 21 10:29:42 570 24811 24811 E nodomain freeyourgadget gadgetbridge LoggingExceptionHandler: 	at android view ViewGroup dispatchGetDisplayList(ViewGroup java:3691)   na:0 0 _x000D_
04 21 10:29:42 570 24811 24811 E nodomain freeyourgadget gadgetbridge LoggingExceptionHandler: 	at android view View updateDisplayListIfDirty(View java:16134)   na:0 0 _x000D_
04 21 10:29:42 570 24811 24811 E nodomain freeyourgadget gadgetbridge LoggingExceptionHandler: 	at android view ThreadedRenderer updateViewTreeDisplayList(ThreadedRenderer java:648)   na:0 0 _x000D_
04 21 10:29:42 570 24811 24811 E nodomain freeyourgadget gadgetbridge LoggingExceptionHandler: 	at android view ThreadedRenderer updateRootDisplayList(ThreadedRenderer java:654)   na:0 0 _x000D_
04 21 10:29:42 570 24811 24811 E nodomain freeyourgadget gadgetbridge LoggingExceptionHandler: 	at android view ThreadedRenderer draw(ThreadedRenderer java:762)   na:0 0 _x000D_
04 21 10:29:42 570 24811 24811 E nodomain freeyourgadget gadgetbridge LoggingExceptionHandler: 	at android view ViewRootImpl draw(ViewRootImpl java:2800)   na:0 0 _x000D_
04 21 10:29:42 570 24811 24811 E nodomain freeyourgadget gadgetbridge LoggingExceptionHandler: 	at android view ViewRootImpl performDraw(ViewRootImpl java:2608)   na:0 0 _x000D_
04 21 10:29:42 570 24811 24811 E nodomain freeyourgadget gadgetbridge LoggingExceptionHandler: 	at android view ViewRootImpl performTraversals(ViewRootImpl java:2215)   na:0 0 _x000D_
04 21 10:29:42 570 24811 24811 E nodomain freeyourgadget gadgetbridge LoggingExceptionHandler: 	at android view ViewRootImpl doTraversal(ViewRootImpl java:1254)   na:0 0 _x000D_
04 21 10:29:42 570 24811 24811 E nodomain freeyourgadget gadgetbridge LoggingExceptionHandler: 	at android view ViewRootImpl TraversalRunnable run(ViewRootImpl java:6343)   na:0 0 _x000D_
04 21 10:29:42 570 24811 24811 E nodomain freeyourgadget gadgetbridge LoggingExceptionHandler: 	at android view Choreographer CallbackRecord run(Choreographer java:874)   na:0 0 _x000D_
04 21 10:29:42 570 24811 24811 E nodomain freeyourgadget gadgetbridge LoggingExceptionHandler: 	at android view Choreographer doCallbacks(Choreographer java:686)   na:0 0 _x000D_
04 21 10:29:42 570 24811 24811 E nodomain freeyourgadget gadgetbridge LoggingExceptionHandler: 	at android view Choreographer doFrame(Choreographer java:621)   na:0 0 _x000D_
04 21 10:29:42 570 24811 24811 E nodomain freeyourgadget gadgetbridge LoggingExceptionHandler: 	at android view Choreographer FrameDisplayEventReceiver run(Choreographer java:860)   na:0 0 _x000D_
04 21 10:29:42 570 24811 24811 E nodomain freeyourgadget gadgetbridge LoggingExceptionHandler: 	at android os Handler handleCallback(Handler java:751)   na:0 0 _x000D_
04 21 10:29:42 570 24811 24811 E nodomain freeyourgadget gadgetbridge LoggingExceptionHandler: 	at android os Handler dispatchMessage(Handler java:95)   na:0 0 _x000D_
04 21 10:29:42 570 24811 24811 E nodomain freeyourgadget gadgetbridge LoggingExceptionHandler: 	at android os Looper loop_x000D_
          beginning of crash_x000D_
04 21 10:29:42 571 24811 24811 E AndroidRuntime: FATAL EXCEPTION: main_x000D_
04 21 10:29:42 571 24811 24811 E AndroidRuntime: Process: nodomain freeyourgadget gadgetbridge  PID: 24811_x000D_
04 21 10:29:42 571 24811 24811 E AndroidRuntime: java lang IndexOutOfBoundsException: Index: 0  Size: 0_x000D_
04 21 10:29:42 571 24811 24811 E AndroidRuntime: 	at java util ArrayList get(ArrayList java:411)_x000D_
04 21 10:29:42 571 24811 24811 E AndroidRuntime: 	at com github mikephil charting data DataSet getEntryForIndex(DataSet java:286)_x000D_
04 21 10:29:42 571 24811 24811 E AndroidRuntime: 	at com github mikephil charting utils Transformer generateTransformedValuesLine(Transformer java:184)_x000D_
04 21 10:29:42 571 24811 24811 E AndroidRuntime: 	at com github mikephil charting renderer LineChartRenderer drawValues(LineChartRenderer java:547)_x000D_
04 21 10:29:42 571 24811 24811 E AndroidRuntime: 	at com github mikephil charting charts BarLineChartBase onDraw(BarLineChartBase java:263)_x000D_
04 21 10:29:42 571 24811 24811 E AndroidRuntime: 	at android view View draw(View java:17189)_x000D_
04 21 10:29:42 571 24811 24811 E AndroidRuntime: 	at android view View updateDisplayListIfDirty(View java:16171)_x000D_
04 21 10:29:42 571 24811 24811 E AndroidRuntime: 	at android view View draw(View java:16955)_x000D_
04 21 10:29:42 571 24811 24811 E AndroidRuntime: 	at android view ViewGroup drawChild(ViewGroup java:3727)_x000D_
04 21 10:29:42 571 24811 24811 E AndroidRuntime: 	at android view ViewGroup dispatchDraw(ViewGroup java:3513)_x000D_
04 21 10:29:42 571 24811 24811 E AndroidRuntime: 	at android view View updateDisplayListIfDirty(View java:16166)_x000D_
04 21 10:29:42 571 24811 24811 E AndroidRuntime: 	at android view ViewGroup recreateChildDisplayList(ViewGroup java:3711)_x000D_
04 21 10:29:42 571 24811 24811 E AndroidRuntime: 	at android view ViewGroup dispatchGetDisplayList(ViewGroup java:3691)_x000D_
04 21 10:29:42 571 24811 24811 E AndroidRuntime: 	at android view View updateDisplayListIfDirty(View java:16134)_x000D_
04 21 10:29:42 571 24811 24811 E AndroidRuntime: 	at android view ViewGroup recreateChildDisplayList(ViewGroup java:3711)_x000D_
04 21 10:29:42 571 24811 24811 E AndroidRuntime: 	at android view ViewGroup dispatchGetDisplayList(ViewGroup java:3691)_x000D_
04 21 10:29:42 571 24811 24811 E AndroidRuntime: 	at android view View updateDisplayListIfDirty(View java:16134)_x000D_
04 21 10:29:42 571 24811 24811 E AndroidRuntime: 	at android view ViewGroup recreateChildDisplayList(ViewGroup java:3711)_x000D_
04 21 10:29:42 571 24811 24811 E AndroidRuntime: 	at android view ViewGroup dispatchGetDisplayList(ViewGroup java:3691)_x000D_
04 21 10:29:42 571 24811 24811 E AndroidRuntime: 	at android view View updateDisplayListIfDirty(View java:16134)_x000D_
04 21 10:29:42 571 24811 24811 E AndroidRuntime: 	at android view ViewGroup recreateChildDisplayList(ViewGroup java:3711)_x000D_
04 21 10:29:42 571 24811 24811 E AndroidRuntime: 	at android view ViewGroup dispatchGetDisplayList(ViewGroup java:3691)_x000D_
04 21 10:29:42 571 24811 24811 E AndroidRuntime: 	at android view View updateDisplayListIfDirty(View java:16134)_x000D_
04 21 10:29:42 571 24811 24811 E AndroidRuntime: 	at android view ViewGroup recreateChildDisplayList(ViewGroup java:3711)_x000D_
04 21 10:29:42 571 24811 24811 E AndroidRuntime: 	at android view ViewGroup dispatchGetDisplayList(ViewGroup java:3691)_x000D_
04 21 10:29:42 571 24811 24811 E AndroidRuntime: 	at android view View updateDisplayListIfDirty(View java:16134)_x000D_
04 21 10:29:42 571 24811 24811 E AndroidRuntime: 	at android view ViewGroup recreateChildDisplayList(ViewGroup java:3711)_x000D_
04 21 10:29:42 571 24811 24811 E AndroidRuntime: 	at android view ViewGroup dispatchGetDisplayList(ViewGroup java:3691)_x000D_
04 21 10:29:42 571 24811 24811 E AndroidRuntime: 	at android view View updateDisplayListIfDirty(View java:16134)_x000D_
04 21 10:29:42 571 24811 24811 E AndroidRuntime: 	at android view ViewGroup recreateChildDisplayList(ViewGroup java:3711)_x000D_
04 21 10:29:42 571 24811 24811 E AndroidRuntime: 	at android view ViewGroup dispatchGetDisplayList(ViewGroup java:3691)_x000D_
04 21 10:29:42 571 24811 24811 E AndroidRuntime: 	at android view View updateDisplayListIfDirty(View java:16134)_x000D_
04 21 10:29:42 571 24811 24811 E AndroidRuntime: 	at android view ViewGroup recreateChildDisplayList(ViewGroup java:3711)_x000D_
04 21 10:29:42 571 24811 24811 E AndroidRuntime: 	at android view ViewGroup dispatchGetDisplayList(ViewGroup java:3691)_x000D_
04 21 10:29:42 571 24811 24811 E AndroidRuntime: 	at android view View updateDisplayListIfDirty(View java:16134)_x000D_
04 21 10:29:42 571 24811 24811 E AndroidRuntime: 	at android view ThreadedRenderer updateViewTreeDisplayList(ThreadedRenderer java:648)_x000D_
04 21 10:29:42 571 24811 24811 E AndroidRuntime: 	at android view ThreadedRenderer updateRootDisplayList(ThreadedRenderer java:654)_x000D_
04 21 10:29:42 571 24811 24811 E AndroidRuntime: 	at android view ThreadedRenderer draw(ThreadedRenderer java:762)_x000D_
04 21 10:29:42 571 24811 24811 E AndroidRuntime: 	at android view ViewRootImpl draw(ViewRootImpl java:2800)_x000D_
04 21 10:29:42 571 24811 24811 E AndroidRuntime: 	at android view ViewRootImpl performDraw(ViewRootImpl java:2608)_x000D_
04 21 10:29:42 571 24811 24811 E AndroidRuntime: 	at android view ViewRootImpl performTraversals(ViewRootImpl java:2215)_x000D_
04 21 10:29:42 571 24811 24811 E AndroidRuntime: 	at android view ViewRootImpl doTraversal(ViewRootImpl java:1254)_x000D_
04 21 10:29:42 571 24811 24811 E AndroidRuntime: 	at android view ViewRootImpl TraversalRunnable run(ViewRootImpl java:6343)_x000D_
04 21 10:29:42 571 24811 24811 E AndroidRuntime: 	at android view Choreographer CallbackRecord run(Choreographer java:874)_x000D_
04 21 10:29:42 571 24811 24811 E AndroidRuntime: 	at android view Choreographer doCallbacks(Choreographer java:686)_x000D_
04 21 10:29:42 571 24811 24811 E AndroidRuntime: 	at android view Choreographer doFrame(Choreographer java:621)_x000D_
04 21 10:29:42 571 24811 24811 E AndroidRuntime: 	at android view Choreographer FrameDisplayEventReceiver run(Choreographer java:860)_x000D_
04 21 10:29:42 571 24811 24811 E AndroidRuntime: 	at android os Handler handleCallback(Handler java:751)_x000D_
04 21 10:29:42 571 24811 24811 E AndroidRuntime: 	at android os Handler dispatchMessage(Handler java:95)_x000D_
04 21 10:29:42 571 24811 24811 E AndroidRuntime: 	at android os Looper loop(Looper java:154)_x000D_
04 21 10:29:42 571 24811 24811 E AndroidRuntime: 	at android app ActivityThread main(ActivityThread java:6126)_x000D_
04 21 10:29:42 571 24811 24811 E AndroidRuntime: 	at java lang reflect Method invoke(Native Method)_x000D_
04 21 10:29:42 571 24811 24811 E AndroidRuntime: 	at com android internal os ZygoteInit MethodAndArgsCaller run(ZygoteInit java:886)_x000D_
04 21 10:29:42 571 24811 24811 E AndroidRuntime: 	at com android internal os ZygoteInit main(ZygoteInit java:776)_x000D_
04 21 10:29:42 575   903  2431 W ActivityManager:   Force finishing activity nodomain freeyourgadget gadgetbridge  activities charts ChartsActivity_x000D_
   _x000D_
_x000D_
I can provide a full logcat if more context is needed </t>
  </si>
  <si>
    <t>Openu20950-OpenApp-83</t>
  </si>
  <si>
    <t>Click on filter button as guest</t>
  </si>
  <si>
    <t xml:space="preserve">When clicking on the filter button in PlacesAround activity as guest  the app crashes _x000D_
_x000D_
 noambs  Please take a look at Product Backlog under  Sprint 2 Fixes  column _x000D_
_x000D_
</t>
  </si>
  <si>
    <t>Openu20950-OpenApp-82</t>
  </si>
  <si>
    <t>Adding a new place as guest</t>
  </si>
  <si>
    <t>When adding a new place with name only as guest the app crash _x000D_
_x000D_
 noambs</t>
  </si>
  <si>
    <t>regulaforensics-RegulaDocumentReader-Android-2</t>
  </si>
  <si>
    <t>Crashing onActivityResult</t>
  </si>
  <si>
    <t xml:space="preserve">Application is crashing onActivityResult when we use camera to read i d _x000D_
onActivityResult data is null  So  it throws null pointer exception </t>
  </si>
  <si>
    <t>kaczmarkiewiczp-GitCracking-285</t>
  </si>
  <si>
    <t>Crash if commit author is null</t>
  </si>
  <si>
    <t>There s a crash when commit author is not a github user  
In that case a commit author has to be used  and a placeholder user icon used  
The error occurs in CommitsAdapter  line 50</t>
  </si>
  <si>
    <t>kiall-android-tvheadend-166</t>
  </si>
  <si>
    <t>Player crashing after switching to channel with multi-audio to single audio</t>
  </si>
  <si>
    <t xml:space="preserve">If I am on a channel with 2 audio channels and select the 2nd channel  _x000D_
Then switch to a channel with only 1 _x000D_
  1) No audio output (I guess still set to channel 2 and no stream)_x000D_
  2) When I try to select the audio channel it crashes _x000D_
_x000D_
On restart  must be on channel 1 and dialog says no multi audio to pick (or something like that)_x000D_
_x000D_
</t>
  </si>
  <si>
    <t>jonasrottmann-realm-browser-14</t>
  </si>
  <si>
    <t>it crashed if the realm object contains byte[]</t>
  </si>
  <si>
    <t>First of all  thanks for your effort for such an wonderful tool_x000D_
just like the title described: it crashed if the realm object contains byte    when you click the record</t>
  </si>
  <si>
    <t>twilio-video-quickstart-android-102</t>
  </si>
  <si>
    <t>Crash on Call initialize</t>
  </si>
  <si>
    <t xml:space="preserve"> devganiyahitesh1 filed the following issue : _x000D_
_x000D_
Facing the issue with Nexus5 (armabi v7) and latest sdk ( com twilio:video android:1 0 0 beta16 ) _x000D_
It is working fine if i run application for particular architecture But crash when i release app in play store _x000D_
added Video setLogLevel(LogLevel DEBUG) _x000D_
_x000D_
 04 24 10:43:26 385 32736 32736   I org webrtc Logging: MediaCodecVideoDecoder: Trying to find HW decoder for mime video x vnd on2 vp8_x000D_
04 24 10:43:26 385 32736 32736   I org webrtc Logging: MediaCodecVideoDecoder: Found candidate decoder OMX qcom video decoder vp8_x000D_
04 24 10:43:26 386 32736 32736   I org webrtc Logging: MediaCodecVideoDecoder: Found target decoder OMX qcom video decoder vp8  Color: 0x13_x000D_
04 24 10:43:26 387 32736 32736   I org webrtc Logging: MediaCodecVideoDecoder: Trying to find HW decoder for mime video x vnd on2 vp9_x000D_
04 24 10:43:26 387 32736 32736   I org webrtc Logging: MediaCodecVideoDecoder: Found candidate decoder OMX google vp9 decoder_x000D_
04 24 10:43:26 387 32736 32736   I org webrtc Logging: MediaCodecVideoDecoder: No HW decoder found for mime video x vnd on2 vp9_x000D_
04 24 10:43:26 387 32736 32736   I org webrtc Logging: MediaCodecVideoDecoder: Trying to find HW decoder for mime video avc_x000D_
04 24 10:43:26 387 32736 32736   I org webrtc Logging: MediaCodecVideoDecoder: Found candidate decoder OMX qcom video decoder avc_x000D_
04 24 10:43:26 388 32736 32736   I org webrtc Logging: MediaCodecVideoDecoder: Found target decoder OMX qcom video decoder avc  Color: 0x13_x000D_
04 24 10:43:26 390 32736 3888   D JVM: AttachCurrentThreadIfNeeded::ctor  tid 3888 _x000D_
04 24 10:43:26 390 32736 3888   D JVM: Attaching thread to JVM_x000D_
04 24 10:43:26 391 32736 3888   D JVM: JVM::environment  tid 3888 _x000D_
04 24 10:43:26 391 32736 3888   D JVM: JNIEnvironment::ctor  tid 3888 _x000D_
04 24 10:43:26 391 32736 3888   D AudioManager: ctor  tid 3888 _x000D_
04 24 10:43:26 391 32736 3888   D JVM: JNIEnvironment::RegisterNatives(org webrtc voiceengine WebRtcAudioManager)_x000D_
04 24 10:43:26 391 32736 3888   D JVM: NativeRegistration::ctor  tid 3888 _x000D_
04 24 10:43:26 391 32736 3888   D JVM: NativeRegistration::NewObject  tid 3888 _x000D_
04 24 10:43:26 391 32736 3888   W System err: java lang NoSuchMethodError: no non static method  Lorg webrtc voiceengine WebRtcAudioManager  (Landroid content Context J)V _x000D_
04 24 10:43:26 391 32736 3888   E rtc:  _x000D_
  Fatal error in       webrtc modules utility source helpers android cc  line 51_x000D_
  last system error: 0_x000D_
  Check failed:  jni  ExceptionCheck()_x000D_
  Error during GetMethodID:   (Landroid content Context J)V_x000D_
 _x000D_
_x000D_
                                             beginning of crash_x000D_
04 24 10:43:26 511 3890 3888   A google breakpad:      BEGIN BREAKPAD MICRODUMP     _x000D_
04 24 10:43:26 511 3890 3888   A google breakpad: V WebView:55 0 2883 91_x000D_
04 24 10:43:26 511 3890 3888   A google breakpad: O A arm 04 armv7l google hammerhead hammerhead:6 0 1 M4B30X 3237893:user release keys_x000D_
04 24 10:43:26 511 3890 3888   A google breakpad: P webview_x000D_
04 24 10:43:26 511 3890 3888   A google breakpad: G OpenGL ES 3 0 V 127 0 AU  (GIT I96aee987eb) Qualcomm Adreno (TM) 330_x000D_
04 24 10:43:26 517 3890 3888   A google breakpad: H 12C00000 FFFF1000 00B7 41131000 9C326000 0C:2E 0D:16 0E:15 0F:23 10:11 11:01 14:03 15:03 16:04 17:07 18:0D 19:05 1A:03 1C:02 1E:01_x000D_
04 24 10:43:26 517 3890 3888   A google breakpad: S 0 889FB270 889FB000 00001000_x000D_
04 24 10:43:26 523 3890 3888   A google breakpad: S 889FB000 1CB19F885400000030B09F8890DD8270000000001CB19F8800174E9CA998C5B41CB19F880000000030B09F8840B09F8800000000E0721213B8B09F88DC000000B4B09F88AB00D05B00174E9C8CB09F88000000008090069478B09F8858B19F88A0B19F8800174E9C80900694010020004300000005002000020000007CB19F888090069400174E9CC01ED4B68C174E9CB0B09F8890DD8270C4B09F881CB19F8834B19F88273994B41CB19F880A58E170000000000A58E170000000000000000000000000000000000000000000000000000000000000000000000000AB00D05B94D5D3B61CB19F8800000000E4B19F8810B19F88DCB19F880100000090DD827000000000CF3CB8B41CB19F880A58E17008E156700A58E17058DE827000000000000000000A58E170010000000400000034B19F88E072121394D5D3B604000000B03AC7B4F83AC7B4F039C7B4183AC7B4403AC7B4743AC7B410FED9B4BC1AAC700001000048076070ECB19F88E4B19F8804000000000000006C81C8B400174E9C_x000D_
04 24 10:43:26 523 3890 3888   A google breakpad: S 889FB180 4300000043000000E4B19F8890DD8270D0A1D9B47CDECBB4DCB19F8800174E9C04000000D85EDDB404000000D85EDDB468017E8FA92FD1B62099D4B668017E8F0E00000068017E8F8048F19200007E8F8848F192E000000094D5D3B60E0000000053DDB43F42D2B600000000000000001B00000031EDD1B60E00000000C0D7B4E000000000174E9C8090069400C0D7B400174E9C381EC7B4000043000100000088B29F8800174E9C7138ADB4A06ACBB48848F19200F81C9100007E8FC8B29F880CA3D4B68048F192DFFFFFFF0000000030B99F8830B99F8800000000DD78D0B678B99F8880B99F8830B99F88517BD0B678B99F880600000000000000FCB29F88FCB29F881343CEB694B29F88C514CEB680900694DFFFFFFF0A091000757ED0B6CC04D4B600000000FCB29F88C8B29F882404D4B6B0F4CDB645000000A717D288FCB29F88C0514489E1000000D700000000F81C91AB00D05BFCB29F88F8B29F880A000000F7DB3089610831894336DC88000000007C494489C0514489DC364189_x000D_
04 24 10:43:26 523 3890 3888   A google breakpad: S 889FB300 88364189C051448900000000000000000000000000C51794D7C51794FFC5179401010000FF00000000C51794D7C5179410000000F0364189021000000600000000000000000000000000000000B39F88C0514489000000000000000000000000000000000000000000000000000000000000000000000000000000000000000020000000AB00D05BC01ED4B68090069420543C92B4B39F887CB49F8861083189F7DB3089C54EDC8880FC3B9268B49F88481BD993210000000B00000080FC3B920A00000038B49F88E8B39F880A0000000A00000039B49F888848F19280FC3B9200007E8F8CB49F880CA3D4B68048F19294D5D3B68848F19280FC3B925B02D2B68CB49F882DB49F880A00000090BA6E0138B49F88B13DDC880A000000000000000100000073FB308980FC3B9200000000000000000000000000000000AB00D05B0065059420543C927CB49F88C01ED4B6020910000065059490BA6E01000000003F35D3886108318902091000775ADC8800650594FFFFFFFF0053DDB400000000_x000D_
04 24 10:43:26 524 3890 3888   A google breakpad: S 889FB480 020931891D0931890532D388210000000B00000080FC3B9208000000980400000053DDB4E747D2B60100000000000000000000000CA3D4B6010000008048F19294D5D3B60CA3D4B68848F192A94ED2B60000000000000040EBF145D61900000040420F0040420F0000000000EBF145D6DB15000000000000010000004400000080074591C01ED4B628B59F880000000001000000AB00D05B0000000080074591C01ED4B65030438900000000BD29D388AB00D05B6784D2888848F1928001000094D5D3B6110000000053DDB43F42D2B600000000000000002B00000031EDD1B611000000C01ED4B680010000000000000000000000000000000000000000000004000000000000000000000000000000000000000000000000000000000000000000000000000000000000000000000000000000000000000000000000000000000000000000000000000000000000000000000060010000C01ED4B6E0B69F8800B69F88AB00D05B0100000080074591C01ED4B6E0B69F880000000000000000_x000D_
04 24 10:43:26 524 3890 3888   A google breakpad: S 889FB600 01000000952BD388000000000000000000000000000000000000000000000000000000000000000000000000000000000000000000000000000000000000000001000000709AD4B62085D0929859DDB40000D0920053DDB42085D0928848F1922085D09200000000B848F192A33BD1B6080000004C00D0924C00D092B848F1928048F192CB3BD1B64C00D0920000D0923952D2B65B02D2B6A475D4B6000000000000000000000000E298B09000000000000000000000000000000000AB00D05B209C259DE4B69F8800000000E0B69F88000000004129D488209C259D10B79F88000000002929D4885CA7AF888098B09010B79F8808B79F880000000067CDD388E098B0907175D2880097B090BB7A41D680CC3689992F31895CA7AF880000000000000000E3AD298900000000000000008BA5AF88C0B89F88010000008098B090F498B090C0B89F8801000000FFFFFFFFFFFFFFFF9151D28800000000000000000000000000000000FFFFFFFFFFFFFFFF0000000000000000FFFFFFFFFFFFFFFF_x000D_
04 24 10:43:26 524 3890 3888   A google breakpad: S 889FB780 FFFFFFFF90BA6E010000000001000000C01ED4B6B8B79F8816FD3089B9FC308990AC368977FB308907FD30890CFD308900000000E098B09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AB00D05B000000003954D2888098B0900000000000000000FFFFFFFFC0B89F8800000000FFFFFFFFC776D288F4DA3089F4DA30890000000000000000000000000000000000000000000000000000000000000000000000006073C28F70B99F8830B99F8878000000848BF9B6_x000D_
04 24 10:43:26 525 3890 3888   A google breakpad: S 889FB900 3099B09000D08F884D7DD288857DD28830B99F886174D0B64174D0B638B99F884174D0B6451BCEB678B99F880000000030A9AF8830C98F88300F0000E07F00000000000000D08F8830E90F0000100000000000000000000000000000000000004D7DD2886073C28F0000000000707C950100000000F00F0078B99F8830B99F88160000000000000000000000AB00D05B0000000000000000000000000000000000000000000000000000000000000000000000000000000000000000000000000000000000000000000000000000000000000000000000000000000000000000000000000000000000000000010000008048F192000000000000000000000000000000000100000000174E9C0000000000000000000000000000000000000000000000000000000000000000000000000000000000000000000000000000000000000000000000000000000000000000000000000000000000000000000000000000000000000000000000000000000000000000000000000000000000000000_x000D_
04 24 10:43:26 525 3890 3888   A google breakpad: S 889FBA80 0000000000000000000000000000000000000000000000000000000000000000000000000000000000000000000000000000000000000000000000000000000000000000010000009850CB920000000000000000010000008098B09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10:43:26 525 3890 3888   A google breakpad: S 889FBC00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10:43:26 526 3890 3888   A google breakpad: S 889FBD80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10:43:26 526 3890 3888   A google breakpad: S 889FBF00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10:43:26 526 3890 3888   A google breakpad: C 0600004000000000300F00000600000078B99F8880B99F8830B99F88000000000C0100000A00000080900694FCB29F880A0910000600000070B29F88617BD0B6509FD0B610000F4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10:43:26 526 3890 3888   A google breakpad: M B6F9B000 00000000 00005000 193A0C499FA710C22C906681C0F89A670 app process32_x000D_
04 24 10:43:26 526 3890 3888   A google breakpad: M 72950000 01ED6000 0172D000 000000000000000000000000000000000 system framework boot oat_x000D_
04 24 10:43:26 526 3890 3888   A google breakpad: M 88AFB000 00000000 00905000 8E2B01ED891DC0BEB6AEFF8DF5E4268D0 libjingle peerconnection so so_x000D_
04 24 10:43:26 527 3890 3888   A google breakpad: M 9743F000 00147000 000FA000 000000000000000000000000000000000 base odex_x000D_
04 24 10:43:26 527 3890 3888   A google breakpad: M 97DCD000 00000000 00004000 3388B46F29DD79CB14ED38FD27C912980 libOpenSLES so_x000D_
04 24 10:43:26 527 3890 3888   A google breakpad: M A01E7000 00000000 00004000 24246BB670B5D5FA004F4D328B8E4D880 libwebviewchromium plat support so_x000D_
04 24 10:43:26 527 3890 3888   A google breakpad: M A133B000 0114E000 00F98000 000000000000000000000000000000000 base odex_x000D_
04 24 10:43:26 527 3890 3888   A google breakpad: M A32D4000 00000000 02378000 BF012B766DEF00036DEA227FB4B0FAE60 libwebviewchromium so_x000D_
04 24 10:43:26 527 3890 3888   A google breakpad: M A96D4000 00000000 00004000 1186930A8F49E5F02B81F36B4772C0110 libwebviewchromium loader so_x000D_
04 24 10:43:26 527 3890 3888   A google breakpad: M A9779000 00000000 00003000 E86115E8C6E927001B3B1DCAF56028CC0 libjnigraphics so_x000D_
04 24 10:43:26 527 3890 3888   A google breakpad: M A977E000 00000000 00008000 36B70CE8129A921488159BD97847C5860 libcompiler rt so_x000D_
04 24 10:43:26 527 3890 3888   A google breakpad: M A9787000 00000000 0000F000 28E59C774D1DC0B81544C4B61E2AF14E0 libandroid so_x000D_
04 24 10:43:26 527 3890 3888   A google breakpad: M A9772000 00000000 00447000 C1FD4B15B4837CE09F7C23F1A5CF1CEB0 libsc a3xx so_x000D_
04 24 10:43:26 527 3890 3888   A google breakpad: M A9BE7000 00000000 00114000 8BAB07BC3ED5F869FA8A2C29411CA29F0 libGLESv2 adreno so_x000D_
04 24 10:43:26 527 3890 3888   A google breakpad: M A9D31000 00000000 00033000 B7B9D6F14CB892A5D59DE9C6965DFEA80 libGLESv1 CM adreno so_x000D_
04 24 10:43:26 527 3890 3888   A google breakpad: M A9D67000 00000000 00005000 B77504A5EB0AB2A7E06A3BEE532F11710 libadreno utils so_x000D_
04 24 10:43:26 527 3890 3888   A google breakpad: M A9D70000 00000000 0003B000 59375F20F46277C79376B1EA437AB02E0 libgsl so_x000D_
04 24 10:43:26 527 3890 3888   A google breakpad: M A9DAD000 00000000 0002B000 D7A6ADD4D179AD971D22C2B4F0D9E41B0 libEGL adreno so_x000D_
04 24 10:43:26 527 3890 3888   A google breakpad: M AB18E000 00000000 00018000 B04267D6932192186853403B34A636500 libkeymaster1 so_x000D_
04 24 10:43:26 527 3890 3888   A google breakpad: M AB1A9000 00000000 00014000 338DE85845C50CCE08D7E8AB6FC0FCCE0 libsoftkeymasterdevice so_x000D_
04 24 10:43:26 527 3890 3888   A google breakpad: M AB213000 00000000 0000B000 3E11CADB98A3CB51AF15D37F5DBDEDE20 libkeystore binder so_x000D_
04 24 10:43:26 528 3890 3888   A google breakpad: M AB220000 00000000 00017000 3B2F279DF1E89FE66BF63D45988D6D980 libjavacrypto so_x000D_
04 24 10:43:26 528 3890 3888   A google breakpad: M AB236000 00000000 00021000 D9921AE776ABBC9B9DCE747EF8953E8A0 libexif so_x000D_
04 24 10:43:26 528 3890 3888   A google breakpad: M AB263000 00000000 00045000 A5142224674141CEB124E340789824960 libmedia jni so_x000D_
04 24 10:43:26 528 3890 3888   A google breakpad: M ACC02000 00000000 00009000 BACBBA13BAF63FDD14BF40B84F772D3F0 libkeymaster messages so_x000D_
04 24 10:43:26 528 3890 3888   A google breakpad: M ACC0D000 00000000 0000E000 3937955766C22021B16578D512D4E9830 libstagefright amrnb common so_x000D_
04 24 10:43:26 528 3890 3888   A google breakpad: M ACC1D000 00000000 00015000 B0C5918AE09050178FAEAE43FA29D3600 libmtp so_x000D_
04 24 10:43:26 528 3890 3888   A google breakpad: M AE384000 00000000 00004000 6FB01F06F8AF23A5D85902FA943DAFB80 libkeystore engine so_x000D_
04 24 10:43:26 528 3890 3888   A google breakpad: M AEE9E000 00000000 001B3000 39950644FB7072A572B1A84D409AF0050 librealm jni so_x000D_
04 24 10:43:26 528 3890 3888   A google breakpad: M B06C8000 00000000 00034000 E0C932435E0C44EC5DC9E1976D11658B0 libjavacore so_x000D_
04 24 10:43:26 528 3890 3888   A google breakpad: M B074F000 00000000 00003000 05AB783FC39A13A57FB895A250BF1C970 memtrack msm8974 so_x000D_
04 24 10:43:26 528 3890 3888   A google breakpad: M B3646000 00000000 0000A000 325F1F0186F90B27807C3F2EBBF8F8AC0 eglsubAndroid so_x000D_
04 24 10:43:26 528 3890 3888   A google breakpad: M B3658000 00000000 00006000 B2F771B839C52B531AC3E03D8994123E0 libqdutils so_x000D_
04 24 10:43:26 528 3890 3888   A google breakpad: M B3660000 00000000 00005000 5D84C60E5F362D25B277913D222929890 libmemalloc so_x000D_
04 24 10:43:26 528 3890 3888   A google breakpad: M B3876000 00000000 00006000 0D46F308891586D53FEFA888079D88B20 gralloc msm8974 so_x000D_
04 24 10:43:26 528 3890 3888   A google breakpad: M B4857000 00000000 0045B000 6D26BB0DBB493E7ED4A814914ECF27850 libart so_x000D_
04 24 10:43:26 528 3890 3888   A google breakpad: M B4E04000 00000000 00003000 F61906BA1BEB278C34B9A8A6A4AF80820 libsigchain so_x000D_
04 24 10:43:26 528 3890 3888   A google breakpad: M B4E06000 00000000 00A35000 E79326377E168BA620C88135338321A50 libLLVM so_x000D_
04 24 10:43:26 528 3890 3888   A google breakpad: M B588F000 00000000 00035000 1F7A1A279869A393EAC78B57C56445520 libbcinfo so_x000D_
04 24 10:43:26 528 3890 3888   A google breakpad: M B58C7000 00000000 00058000 F994835A343389C79F4C30936C9004B30 libbcc so_x000D_
04 24 10:43:26 528 3890 3888   A google breakpad: M B5922000 00000000 0000B000 D8C092C1525B356CB13120FF56BB97380 libcommon time client so_x000D_
04 24 10:43:26 529 3890 3888   A google breakpad: M B5932000 00000000 00017000 444772154CB6CD48C30C918052E56F190 libprotobuf cpp lite so_x000D_
04 24 10:43:26 529 3890 3888   A google breakpad: M B594D000 00000000 00007000 9EB6557DD2AFBED3942745369C2432330 libstagefright avc common so_x000D_
04 24 10:43:26 529 3890 3888   A google breakpad: M B5957000 00000000 00003000 F830D5FCA8CE68AA16F4E7011897D9500 libstagefright enc common so_x000D_
04 24 10:43:26 529 3890 3888   A google breakpad: M B595D000 00000000 00004000 DCAE8541CE2FD7D421A500AA705392630 libpowermanager so_x000D_
04 24 10:43:26 529 3890 3888   A google breakpad: M B5965000 00000000 0001D000 A13A0221FB379E549828C9206B7FA6230 libvorbisidec so_x000D_
04 24 10:43:26 529 3890 3888   A google breakpad: M B5985000 00000000 00005000 CC4F2FB7800C2C6A6777CD503A198A740 libstagefright yuv so_x000D_
04 24 10:43:26 529 3890 3888   A google breakpad: M B598C000 00000000 0002E000 5B28D6F78B382DEA6AF10CE5F674BEA70 libstagefright omx so_x000D_
04 24 10:43:26 529 3890 3888   A google breakpad: M B59C0000 00000000 0003B000 DA62E34FF93B1765240288A71EAB823B0 libopus so_x000D_
04 24 10:43:26 529 3890 3888   A google breakpad: M B59FE000 00000000 00007000 D0FCBF2C2CA22C1F15D8E4B10941F3520 libmediautils so_x000D_
04 24 10:43:26 529 3890 3888   A google breakpad: M B5A08000 00000000 00016000 D0986C2BED782C8671E5FE07E837B4960 libdrmframework so_x000D_
04 24 10:43:26 529 3890 3888   A google breakpad: M B5A23000 00000000 0001F000 D0EDA30ECD09284153FDAF4E32DAA51B0 libRScpp so_x000D_
04 24 10:43:26 529 3890 3888   A google breakpad: M B5A44000 00000000 0003E000 179532B0AE18BF9C1E6CD7E79C75D40F0 libRS so_x000D_
04 24 10:43:26 529 3890 3888   A google breakpad: M B5A86000 00000000 00007000 86FCEBAFB9790E0EBD115368F48D2C930 libspeexresampler so_x000D_
04 24 10:43:26 529 3890 3888   A google breakpad: M B5A8F000 00000000 00009000 8C20262CB8CE5045100A935610F791270 libnbaio so_x000D_
04 24 10:43:26 529 3890 3888   A google breakpad: M B5A9A000 00000000 00012000 D5651523083F8FDC12B0711D98F2B9050 libpcre so_x000D_
04 24 10:43:26 529 3890 3888   A google breakpad: M B5AAF000 00000000 00005000 186C27905220043491FB10AF8779F9ED0 libwpa client so_x000D_
04 24 10:43:26 529 3890 3888   A google breakpad: M B5AB7000 00000000 0006D000 6717CFE62FEECECB00ABD6C1E9233FF70 libGLES trace so_x000D_
04 24 10:43:26 529 3890 3888   A google breakpad: M B5B29000 00000000 00064000 392AAD0F679066BE5ED9492EB23572350 libft2 so_x000D_
04 24 10:43:26 529 3890 3888   A google breakpad: M B5B91000 00000000 00025000 7A96CB2ACCBC8E9A57A36DF1777FDA280 libpng so_x000D_
04 24 10:43:26 529 3890 3888   A google breakpad: M B5BB9000 00000000 00003000 975DFFF3F80C05D28A719CC59D45EF520 libsync so_x000D_
04 24 10:43:26 529 3890 3888   A google breakpad: M B5BBE000 00000000 00005000 AD54FCB8953F0872A7D7506365A820DF0 libstdc   so_x000D_
04 24 10:43:26 529 3890 3888   A google breakpad: M B5BC5000 00000000 00010000 68DAA924AA53242911B524DD5F2F365B0 libunwind so_x000D_
04 24 10:43:26 529 3890 3888   A google breakpad: M B5C1D000 00000000 00009000 A625E650FD1A868F979B40295D18F37F0 libbase so_x000D_
04 24 10:43:26 530 3890 3888   A google breakpad: M B5C28000 00000000 00005000 0221BA677798F79F0EDE71D73000B0830 libeffects so_x000D_
04 24 10:43:26 530 3890 3888   A google breakpad: M B5C2F000 00000000 00003000 5B66E45FEF4A48E1BE145D2A7D196CA90 libstagefright http support so_x000D_
04 24 10:43:26 530 3890 3888   A google breakpad: M B5C36000 00000000 00018000 1378833BA17F4B188F63ACA4D93284E40 libstagefright foundation so_x000D_
04 24 10:43:26 530 3890 3888   A google breakpad: M B5C4B000 00000000 00154000 71F570FFDD8FFDA85CA781F3D990FAA40 libstagefright so_x000D_
04 24 10:43:26 530 3890 3888   A google breakpad: M B5DAB000 00000000 0006D000 CFB26F63B09DAE77611077B596B368B80 libhwui so_x000D_
04 24 10:43:26 530 3890 3888   A google breakpad: M B5E1E000 00000000 00003000 31F35FE9AE237D34526084C7735BAD710 libradio metadata so_x000D_
04 24 10:43:26 530 3890 3888   A google breakpad: M B5E24000 00000000 00004000 359D832D9304E16B432A7F383964CB230 libnativebridge so_x000D_
04 24 10:43:26 530 3890 3888   A google breakpad: M B5E2B000 00000000 00004000 C87225D3ECC6F5C77A87D8ACC190D75E0 libprocessgroup so_x000D_
04 24 10:43:26 530 3890 3888   A google breakpad: M B5E32000 00000000 0000E000 E5BF43FB98B262E19922EFAFC405041A0 libminikin so_x000D_
04 24 10:43:26 530 3890 3888   A google breakpad: M B5E42000 00000000 0000B000 D80CA7515725DD8FAB7948D50CDF5EAA0 libsoundtrigger so_x000D_
04 24 10:43:26 530 3890 3888   A google breakpad: M B5E51000 00000000 0000B000 91DCA759F70CDD7679C8E9D3A523CA800 libradio so_x000D_
04 24 10:43:26 530 3890 3888   A google breakpad: M B5E60000 00000000 00004000 82D86258B8C7231531BB04050783E8690 libnetd client so_x000D_
04 24 10:43:26 530 3890 3888   A google breakpad: M B5E67000 00000000 0000D000 BEEA59C940CE9D29A335E3F3DE9D0C290 libimg utils so_x000D_
04 24 10:43:26 530 3890 3888   A google breakpad: M B5E71000 00000000 00418000 82AB4D7DADE6D5C118789D0F63E33A850 libpdfium so_x000D_
04 24 10:43:26 530 3890 3888   A google breakpad: M B6298000 00000000 00007000 0D95C16E0319BAF0A66F8EE9561484B80 libaudioutils so_x000D_
04 24 10:43:26 530 3890 3888   A google breakpad: M B62A2000 00000000 0001B000 989408FFAB506BEA338258520EC0D8A80 libz so_x000D_
04 24 10:43:26 530 3890 3888   A google breakpad: M B62C0000 00000000 0004C000 7FBACB0A5DB01E4014768154A89319810 libharfbuzz ng so_x000D_
04 24 10:43:26 530 3890 3888   A google breakpad: M B630F000 00000000 00004000 FD7850F1D6C7CD3BABCBC5EA0AD4815E0 libusbhost so_x000D_
04 24 10:43:26 530 3890 3888   A google breakpad: M B6316000 00000000 00038000 274D060A09DE8149C4E1933FD725BA450 libjpeg so_x000D_
04 24 10:43:26 530 3890 3888   A google breakpad: M B6339000 00000000 000A8000 9B17D7EC1CAEA2CB8513FD65ADFDC7CA0 libmedia so_x000D_
04 24 10:43:26 530 3890 3888   A google breakpad: M B63F7000 00000000 0017A000 94E93744076C64969C2B0177F08614C30 libicui18n so_x000D_
04 24 10:43:26 531 3890 3888   A google breakpad: M B6576000 00000000 0011E000 737022BF3716A277DA9D773DBDA6AC420 libicuuc so_x000D_
04 24 10:43:26 531 3890 3888   A google breakpad: M B66A4000 00000000 00023000 1B7165386FE605802D368C055589C8880 libssl so_x000D_
04 24 10:43:26 531 3890 3888   A google breakpad: M B66CA000 00000000 00090000 F04FF1057C411459F79A9C7BAA88731E0 libcrypto so_x000D_
04 24 10:43:26 531 3890 3888   A google breakpad: M B6767000 00000000 00053000 A0B77A1519EC8DA5A6CD4E48511EDCF10 libsonivox so_x000D_
04 24 10:43:26 531 3890 3888   A google breakpad: M B67C2000 00000000 0000E000 E0C69154C412CA47264F984B241997B20 libselinux so_x000D_
04 24 10:43:26 531 3890 3888   A google breakpad: M B67D3000 00000000 00006000 09840C0CD88A3BD9EF8E92B458432A400 libhardware legacy so_x000D_
04 24 10:43:26 531 3890 3888   A google breakpad: M B67DC000 00000000 00003000 BE1E106B295304277CD701BB7AD933C50 libhardware so_x000D_
04 24 10:43:26 531 3890 3888   A google breakpad: M B67E1000 00000000 00004000 B1EDA46D6613B27D961784B34D6DC87C0 libETC1 so_x000D_
04 24 10:43:26 531 3890 3888   A google breakpad: M B67E7000 00000000 0000D000 8CA0C6B93197C860AAEC6A913B5A81E30 libGLESv2 so_x000D_
04 24 10:43:26 531 3890 3888   A google breakpad: M B67F6000 00000000 00008000 12DB6B4FBF4C256B18521A7A9C7768590 libGLESv1 CM so_x000D_
04 24 10:43:26 531 3890 3888   A google breakpad: M B67F8000 00000000 00064000 98A69E98CAF5A6410304D401BBA5066A0 libEGL so_x000D_
04 24 10:43:26 531 3890 3888   A google breakpad: M B686A000 00000000 00063000 563A21DA52824524EFD978971ECEBE930 libsqlite so_x000D_
04 24 10:43:26 531 3890 3888   A google breakpad: M B68BF000 00000000 00263000 88A157352C0FA3FFE49492763A7A444A0 libskia so_x000D_
04 24 10:43:26 531 3890 3888   A google breakpad: M B6B43000 00000000 00008000 3E55FEDB37E880D84772B7318046BCB80 libcamera metadata so_x000D_
04 24 10:43:26 531 3890 3888   A google breakpad: M B6B49000 00000000 00028000 F159F41CC71E5C5FF2C1A47EEBB2173C0 libcamera client so_x000D_
04 24 10:43:26 531 3890 3888   A google breakpad: M B6B79000 00000000 0003C000 C4CB7CB4954EDCE882441D60420ACB6B0 libinputflinger so_x000D_
04 24 10:43:26 531 3890 3888   A google breakpad: M B6BB8000 00000000 0001C000 1ACD55BF512ADF8086813BFE7A26FB970 libinput so_x000D_
04 24 10:43:26 531 3890 3888   A google breakpad: M B6BD0000 00000000 00055000 6BE57CD94DF5CE13FA91904D864D13D90 libgui so_x000D_
04 24 10:43:26 531 3890 3888   A google breakpad: M B6C33000 00000000 0000D000 9D45E134A41A4A59E527F776AF5AE4FC0 libui so_x000D_
04 24 10:43:26 531 3890 3888   A google breakpad: M B6C43000 00000000 00007000 4FCE682A944F5EE77E8DC7B6939050FA0 libnetutils so_x000D_
04 24 10:43:26 531 3890 3888   A google breakpad: M B6C4C000 00000000 00007000 2784CC1BA0E241691B489738CC145AC50 libnativehelper so_x000D_
04 24 10:43:26 532 3890 3888   A google breakpad: M B6C55000 00000000 00014000 57974C7186E91CD6E25891B4663B4A5D0 libexpat so_x000D_
04 24 10:43:26 532 3890 3888   A google breakpad: M B6C6C000 00000000 00027000 1860FE1627974D5FBD86574F36F2809D0 libandroidfw so_x000D_
04 24 10:43:26 532 3890 3888   A google breakpad: M B6C96000 00000000 00003000 862C020387AF6F23AB952159C80579E70 libmemtrack so_x000D_
04 24 10:43:26 532 3890 3888   A google breakpad: M B6C9B000 00000000 00009000 8013F5C42578C880B4427DD0634FA2C30 libbacktrace so_x000D_
04 24 10:43:26 532 3890 3888   A google breakpad: M B6CA6000 00000000 00020000 5F30D52DD65FD9D4E72DB9E22B4A2D1B0 libm so_x000D_
04 24 10:43:26 532 3890 3888   A google breakpad: M B6CC8000 00000000 00072000 A004D5DB1BCC805B1B17BFF9AD8DE8860 libc so_x000D_
04 24 10:43:26 532 3890 3888   A google breakpad: M B6D49000 00000000 0008A000 FE7C3DF45D70A711B6323BF19B6A2C000 libc   so_x000D_
04 24 10:43:26 532 3890 3888   A google breakpad: M B6DD9000 00000000 00029000 4F4924CEDD6EEC82549212B98F9C83540 libwilhelm so_x000D_
04 24 10:43:26 532 3890 3888   A google breakpad: M B6DF8000 00000000 000DC000 53E4383102BCBCEAC7193F8C0FE5125D0 libandroid runtime so_x000D_
04 24 10:43:26 532 3890 3888   A google breakpad: M B6EE5000 00000000 00029000 9966E0A84C6CB362772E4970F274471C0 libbinder so_x000D_
04 24 10:43:26 532 3890 3888   A google breakpad: M B6F17000 00000000 00008000 96D4ED3EE6B87C498EF4A82A2AA5DF8A0 liblog so_x000D_
04 24 10:43:26 532 3890 3888   A google breakpad: M B6F22000 00000000 00018000 4937CBE356A4A147E8364A69DEB2AC890 libutils so_x000D_
04 24 10:43:26 532 3890 3888   A google breakpad: M B6F3D000 00000000 0000E000 D515AE7FBFE9FBF600AA38A048404C940 libcutils so_x000D_
04 24 10:43:26 532 3890 3888   A google breakpad: M B6F79000 00000000 0001D000 0BBFA1D2AB7B7CBE9F683CCF8BBFB0DA0 linker_x000D_
04 24 10:43:26 532 3890 3888   A google breakpad:      END BREAKPAD MICRODUMP     _x000D_
04 24 10:43:26 555 32736 3888   W google breakpad:                                                    _x000D_
04 24 10:43:26 555 32736 3888   W google breakpad: Chrome build fingerprint:_x000D_
04 24 10:43:26 555 32736 3888   W google breakpad: 3 0 24_x000D_
04 24 10:43:26 555 32736 3888   W google breakpad: 20000032_x000D_
04 24 10:43:26 555 32736 3888   W google breakpad:                                                    _x000D_
04 24 10:43:26 555 32736 3888   A libc: Fatal signal 6 (SIGABRT)  code  6 in tid 3888 (Thread 1837)_x000D_
04 24 10:43:26 660 194 194   A DEBUG:                                                                _x000D_
04 24 10:43:26 660 194 194   A DEBUG: Build fingerprint:  google hammerhead hammerhead:6 0 1 M4B30X 3237893:user release keys _x000D_
04 24 10:43:26 660 194 194   A DEBUG: Revision:  11 _x000D_
04 24 10:43:26 660 194 194   A DEBUG: ABI:  arm _x000D_
04 24 10:43:26 660 194 194   A DEBUG: pid: 32736  tid: 3888  name: Thread 1837     com luvr    _x000D_
04 24 10:43:26 660 194 194   A DEBUG: signal 6 (SIGABRT)  code  6 (SI TKILL)  fault addr         _x000D_
04 24 10:43:26 693 194 194   A DEBUG: r0 00000000 r1 00000f30 r2 00000006 r3 889fb978_x000D_
04 24 10:43:26 693 194 194   A DEBUG: r4 889fb980 r5 889fb930 r6 00000000 r7 0000010c_x000D_
04 24 10:43:26 693 194 194   A DEBUG: r8 0000000a r9 94069080 sl 889fb2fc fp 0010090a_x000D_
04 24 10:43:26 693 194 194   A DEBUG: ip 00000006 sp 889fb270 lr b6d07b61 pc b6d09f50 cpsr 400f0010_x000D_
04 24 10:43:26 719 194 194   A DEBUG: backtrace:_x000D_
04 24 10:43:26 719 194 194   A DEBUG:  00 pc 00041f50  system lib libc so (tgkill 12)_x000D_
04 24 10:43:26 719 194 194   A DEBUG:  1 pc 0003fb5d  system lib libc so (pthread kill 32)_x000D_
04 24 10:43:26 719 194 194   A DEBUG:  2 pc 0001c30f  system lib libc so (raise 10)_x000D_
04 24 10:43:26 719 194 194   A DEBUG:  3 pc 000194c1  system lib libc so (  libc android abort 34)_x000D_
04 24 10:43:26 719 194 194   A DEBUG:  4 pc 000174ac  system lib libc so (abort 4)_x000D_
04 24 10:43:26 720 194 194   A DEBUG:  5 pc 002267a3  data app com luvr 1 lib arm libjingle peerconnection so so_x000D_
04 24 10:43:26 720 194 194   A DEBUG:  6 pc 002c863f  data app com luvr 1 lib arm libjingle peerconnection so so_x000D_
04 24 10:43:26 720 194 194   A DEBUG:  7 pc 002c9ec1  data app com luvr 1 lib arm libjingle peerconnection so so_x000D_
04 24 10:43:26 720 194 194   A DEBUG:  8 pc 0023853b  data app com luvr 1 lib arm libjingle peerconnection so so_x000D_
04 24 10:43:26 721 194 194   A DEBUG:  9 pc 002379b9  data app com luvr 1 lib arm libjingle peerconnection so so_x000D_
04 24 10:43:26 721 194 194   A DEBUG:  10 pc 00237b91  data app com luvr 1 lib arm libjingle peerconnection so so_x000D_
04 24 10:43:26 721 194 194   A DEBUG:  11 pc 0024793d  data app com luvr 1 lib arm libjingle peerconnection so so_x000D_
04 24 10:43:26 721 194 194   A DEBUG:  12 pc 00241d65  data app com luvr 1 lib arm libjingle peerconnection so so_x000D_
04 24 10:43:26 721 194 194   A DEBUG:  13 pc 0022c56f  data app com luvr 1 lib arm libjingle peerconnection so so_x000D_
04 24 10:43:26 722 194 194   A DEBUG:  14 pc 0022a18f  data app com luvr 1 lib arm libjingle peerconnection so so_x000D_
04 24 10:43:26 722 194 194   A DEBUG:  15 pc 0022c6c5  data app com luvr 1 lib arm libjingle peerconnection so so_x000D_
04 24 10:43:26 722 194 194   A DEBUG:  16 pc 0022cd83  data app com luvr 1 lib arm libjingle peerconnection so so_x000D_
04 24 10:43:26 722 194 194   A DEBUG:  17 pc 0003f45f  system lib libc so ( ZL15  pthread startPv 30)_x000D_
04 24 10:43:26 722 194 194   A DEBUG:  18 pc 00019b43  system lib libc so (  start thread 6)_x000D_
04 24 10:43:27 659 194 194   W debuggerd: type 1400 audit(0 0:3118): avc: denied   read   for name  kgsl 3d0  dev  tmpfs  ino 5747 scontext u:r:debuggerd:s0 tcontext u:object r:gpu device:s0 tclass chr file permissive 0_x000D_
04 24 10:43:27 829 194 194   W debuggerd: type 1400 audit(0 0:3119): avc: denied   read   for name  kgsl 3d0  dev  tmpfs  ino 5747 scontext u:r:debuggerd:s0 tcontext u:object r:gpu device:s0 tclass chr file permissive 0_x000D_
04 24 10:43:28 140 194 194   A DEBUG: Tombstone written to:  data tombstones tombstone 05_x000D_
04 24 10:43:28 1</t>
  </si>
  <si>
    <t>nextcloud-android-883</t>
  </si>
  <si>
    <t>ManageAccounts Activity Crash</t>
  </si>
  <si>
    <t xml:space="preserve">    Actual behaviour_x000D_
 The app crash after open ManageAccounts Activity_x000D_
_x000D_
    Steps to reproduce_x000D_
1  Open the app _x000D_
2  Open ManageAccounts Activity_x000D_
_x000D_
_x000D_
    Environment data_x000D_
Android version:7 1 2_x000D_
_x000D_
Device model: Nexus 5x_x000D_
_x000D_
Nextcloud app version: Master_x000D_
_x000D_
Nextcloud server version: 12_x000D_
_x000D_
    Logs_x000D_
     Web server error log_x000D_
   _x000D_
4 24 12:43:18 970 19636 19636 com nextcloud client E AndroidRuntime: FATAL EXCEPTION: main_x000D_
                                                                      Process: com nextcloud client  PID: 19636_x000D_
                                                                      java lang RuntimeException: Unable to start activity ComponentInfo com nextcloud client com owncloud android ui activity ManageAccountsActivity : java lang NullPointerException: Attempt to invoke virtual method  void android widget TextView setText(java lang CharSequence)  on a null object reference_x000D_
                                                                          at android app ActivityThread performLaunchActivity(ActivityThread java:2666)_x000D_
                                                                          at android app ActivityThread handleLaunchActivity(ActivityThread java:2727)_x000D_
                                                                          at android app ActivityThread  wrap12(ActivityThread java)_x000D_
                                                                          at android app ActivityThread H handleMessage(ActivityThread java:1478)_x000D_
                                                                          at android os Handler dispatchMessage(Handler java:102)_x000D_
                                                                          at android os Looper loop(Looper java:154)_x000D_
                                                                          at android app ActivityThread main(ActivityThread java:6121)_x000D_
                                                                          at java lang reflect Method invoke(Native Method)_x000D_
                                                                          at com android internal os ZygoteInit MethodAndArgsCaller run(ZygoteInit java:889)_x000D_
                                                                          at com android internal os ZygoteInit main(ZygoteInit java:779)_x000D_
                                                                       Caused by: java lang NullPointerException: Attempt to invoke virtual method  void android widget TextView setText(java lang CharSequence)  on a null object reference_x000D_
                                                                          at com owncloud android ui activity DrawerActivity updateQuotaLink(DrawerActivity java:832)_x000D_
                                                                          at com owncloud android ui activity DrawerActivity onPostCreate(DrawerActivity java:1034)_x000D_
                                                                          at android app Instrumentation callActivityOnPostCreate(Instrumentation java:1199)_x000D_
                                                                          at android app ActivityThread performLaunchActivity(ActivityThread java:2648)_x000D_
                                                                          at android app ActivityThread handleLaunchActivity(ActivityThread java:2727) _x000D_
                                                                          at android app ActivityThread  wrap12(ActivityThread java) _x000D_
                                                                          at android app ActivityThread H handleMessage(ActivityThread java:1478) _x000D_
                                                                          at android os Handler dispatchMessage(Handler java:102) _x000D_
                                                                          at android os Looper loop(Looper java:154) _x000D_
                                                                          at android app ActivityThread main(ActivityThread java:6121) _x000D_
                                                                          at java lang reflect Method invoke(Native Method) _x000D_
                                                                          at com android internal os ZygoteInit MethodAndArgsCaller run(ZygoteInit java:889) _x000D_
                                                                          at com android internal os ZygoteInit main(ZygoteInit java:779) _x000D_
04 24 12:43:18 972 4945 22557   W ActivityManager:   Force finishing activity com nextcloud client com owncloud android ui activity ManageAccountsActivity_x000D_
04 24 12:43:18 975 4945 22557   W ActivityManager:   Force finishing activity com nextcloud client com owncloud android ui activity FileDisplayActivity_x000D_
04 24 12:43:19 029 4945 2317   I OpenGLRenderer: Initialized EGL  version 1 4_x000D_
04 24 12:43:19 029 4945 2317   D OpenGLRenderer: Swap behavior 1_x000D_
04 24 12:43:19 475 4945 4970   W ActivityManager: Activity pause timeout for ActivityRecord 9e68106 u0 com nextcloud client com owncloud android ui activity ManageAccountsActivity t330 f _x000D_
   _x000D_
_x000D_
</t>
  </si>
  <si>
    <t>fossasia-phimpme-android-391</t>
  </si>
  <si>
    <t>App is crashing in camera activity</t>
  </si>
  <si>
    <t xml:space="preserve">  Actual Behaviour  _x000D_
_x000D_
App is crashing _x000D_
_x000D_
  Expected Behaviour  _x000D_
_x000D_
App should not crash_x000D_
_x000D_
  Steps to reproduce it  _x000D_
_x000D_
1 Go to camera activity _x000D_
2  click on switch button so that front camera open _x000D_
3 click on exposure button _x000D_
4 click on seekbar _x000D_
_x000D_
  LogCat for the issue  _x000D_
_x000D_
 java lang RuntimeException: setParameters failed_x000D_
                      at android hardware Camera native setParameters(Native Method)_x000D_
                      at android hardware Camera setParameters(Camera java:1943)_x000D_
                      at vn mbm phimp me Camera2 4 onProgressChanged(Camera2 java:379)_x000D_
                      at android widget SeekBar onProgressRefresh(SeekBar java:95)_x000D_
                      at android widget ProgressBar doRefreshProgress(ProgressBar java:1253)_x000D_
                      at android widget ProgressBar refreshProgress(ProgressBar java:1300)_x000D_
                      at android widget ProgressBar refreshProgress(ProgressBar java:1294)_x000D_
                      at android widget ProgressBar setProgress(ProgressBar java:1347)_x000D_
                      at android widget AbsSeekBar setProgress(AbsSeekBar java:744)_x000D_
                      at android widget AbsSeekBar trackTouchEvent(AbsSeekBar java:674)_x000D_
                      at android widget AbsSeekBar onTouchEvent(AbsSeekBar java:585)_x000D_
                      at android view View dispatchTouchEvent(View java:8389)_x000D_
                      at android view ViewGroup dispatchTransformedTouchEvent(ViewGroup java:2432)_x000D_
                      at android view ViewGroup dispatchTouchEvent(ViewGroup java:2120)_x000D_
                      at android view ViewGroup dispatchTransformedTouchEvent(ViewGroup java:2432)_x000D_
                      at android view ViewGroup dispatchTouchEvent(ViewGroup java:2120)_x000D_
                      at android view ViewGroup dispatchTransformedTouchEvent(ViewGroup java:2432)_x000D_
                      at android view ViewGroup dispatchTouchEvent(ViewGroup java:2120)_x000D_
                      at android view ViewGroup dispatchTransformedTouchEvent(ViewGroup java:2432)_x000D_
                      at android view ViewGroup dispatchTouchEvent(ViewGroup java:2120)_x000D_
                      at android view ViewGroup dispatchTransformedTouchEvent(ViewGroup java:2432)_x000D_
                      at android view ViewGroup dispatchTouchEvent(ViewGroup java:2120)_x000D_
                      at android view ViewGroup dispatchTransformedTouchEvent(ViewGroup java:2432)_x000D_
                      at android view ViewGroup dispatchTouchEvent(ViewGroup java:2120)_x000D_
                      at android view ViewGroup dispatchTransformedTouchEvent(ViewGroup java:2432)_x000D_
                      at android view ViewGroup dispatchTouchEvent(ViewGroup java:2120)_x000D_
                      at android view ViewGroup dispatchTransformedTouchEvent(ViewGroup java:2432)_x000D_
                      at android view ViewGroup dispatchTouchEvent(ViewGroup java:2120)_x000D_
                      at android view ViewGroup dispatchTransformedTouchEvent(ViewGroup java:2432)_x000D_
                      at android view ViewGroup dispatchTouchEvent(ViewGroup java:2120)_x000D_
                      at com android internal policy impl PhoneWindow DecorView superDispatchTouchEvent(PhoneWindow java:2349)_x000D_
                      at com android internal policy impl PhoneWindow superDispatchTouchEvent(PhoneWindow java:1727)_x000D_
                      at android app Activity dispatchTouchEvent(Activity java:2807)_x000D_
                      at android support v7 view WindowCallbackWrapper dispatchTouchEvent(WindowCallbackWrapper java:67)_x000D_
                      at android support v7 view WindowCallbackWrapper dispatchTouchEvent(WindowCallbackWrapper java:67)_x000D_
                      at com android internal policy impl PhoneWindow DecorView dispatchTouchEvent(PhoneWindow java:2310)_x000D_
                      at android view View dispatchPointerEvent(View java:8579)_x000D_
                      at android view ViewRootImpl ViewPostImeInputStage processPointerEvent(ViewRootImpl java:4028)_x000D_
                      at android view ViewRootImpl ViewPostImeInputStage onProcess(ViewRootImpl java:3894)_x000D_
                      at android view ViewRootImpl InputStage deliver(ViewRootImpl java:3456)_x000D_
                      at android view ViewRootImpl InputStage onDeliverToNext(ViewRootImpl java:3509)_x000D_
                      at android view ViewRootImpl InputStage forward(ViewRootImpl java:3475)_x000D_
                      at android view ViewRootImpl AsyncInputStage forward(ViewRootImpl java:3585)_x000D_
                      at android view ViewRootImpl InputStage apply(ViewRootImpl java:3483)_x000D_
                      at android view ViewRootImpl AsyncInputStage apply(ViewRootImpl java:3642)_x000D_
                      at android view ViewRootImpl InputStage deliver(ViewRootImpl java:3456)_x000D_
                      at android view ViewRootImpl InputStage onDeliverToNext(ViewRootImpl java:3509)_x000D_
                      at android view ViewRootImpl InputStage forward(ViewRootImpl java:3475)_x000D_
                      at android view ViewRootImpl InputStage apply(ViewRootImpl java:3483)_x000D_
                      at android view ViewRootImpl InputStage deliver(ViewRootImpl java:3456)_x000D_
                      at android view ViewRootImpl deliverInputEvent(ViewRootImpl java:5708)_x000D_
                      at android view ViewRootImpl doProcessInputEvents(ViewRootImpl java:5682)_x000D_
                      at android view ViewRootImpl enqueueInputEvent(ViewRootImpl java:5653)_x000D_
_x000D_
  Screenshots of the issue  _x000D_
_x000D_
_x000D_
_x000D_
  Would you like to work on the issue   _x000D_
_x000D_
Yes_x000D_
</t>
  </si>
  <si>
    <t>twilio-voice-quickstart-android-31</t>
  </si>
  <si>
    <t>Facing the issue with Nexus5 (armabi v7) and latest sdk ( com twilio:video android:1 0 0 beta16 ) _x000D_
It is working fine if i run application for particular architecture But crash when i release app in play store _x000D_
added Video setLogLevel(LogLevel DEBUG) _x000D_
_x000D_
 04 24 10:43:26 385 32736 32736   I org webrtc Logging: MediaCodecVideoDecoder: Trying to find HW decoder for mime video x vnd on2 vp8_x000D_
04 24 10:43:26 385 32736 32736   I org webrtc Logging: MediaCodecVideoDecoder: Found candidate decoder OMX qcom video decoder vp8_x000D_
04 24 10:43:26 386 32736 32736   I org webrtc Logging: MediaCodecVideoDecoder: Found target decoder OMX qcom video decoder vp8  Color: 0x13_x000D_
04 24 10:43:26 387 32736 32736   I org webrtc Logging: MediaCodecVideoDecoder: Trying to find HW decoder for mime video x vnd on2 vp9_x000D_
04 24 10:43:26 387 32736 32736   I org webrtc Logging: MediaCodecVideoDecoder: Found candidate decoder OMX google vp9 decoder_x000D_
04 24 10:43:26 387 32736 32736   I org webrtc Logging: MediaCodecVideoDecoder: No HW decoder found for mime video x vnd on2 vp9_x000D_
04 24 10:43:26 387 32736 32736   I org webrtc Logging: MediaCodecVideoDecoder: Trying to find HW decoder for mime video avc_x000D_
04 24 10:43:26 387 32736 32736   I org webrtc Logging: MediaCodecVideoDecoder: Found candidate decoder OMX qcom video decoder avc_x000D_
04 24 10:43:26 388 32736 32736   I org webrtc Logging: MediaCodecVideoDecoder: Found target decoder OMX qcom video decoder avc  Color: 0x13_x000D_
04 24 10:43:26 390 32736 3888   D JVM: AttachCurrentThreadIfNeeded::ctor  tid 3888 _x000D_
04 24 10:43:26 390 32736 3888   D JVM: Attaching thread to JVM_x000D_
04 24 10:43:26 391 32736 3888   D JVM: JVM::environment  tid 3888 _x000D_
04 24 10:43:26 391 32736 3888   D JVM: JNIEnvironment::ctor  tid 3888 _x000D_
04 24 10:43:26 391 32736 3888   D AudioManager: ctor  tid 3888 _x000D_
04 24 10:43:26 391 32736 3888   D JVM: JNIEnvironment::RegisterNatives(org webrtc voiceengine WebRtcAudioManager)_x000D_
04 24 10:43:26 391 32736 3888   D JVM: NativeRegistration::ctor  tid 3888 _x000D_
04 24 10:43:26 391 32736 3888   D JVM: NativeRegistration::NewObject  tid 3888 _x000D_
04 24 10:43:26 391 32736 3888   W System err: java lang NoSuchMethodError: no non static method  Lorg webrtc voiceengine WebRtcAudioManager   init (Landroid content Context J)V _x000D_
04 24 10:43:26 391 32736 3888   E rtc:  _x000D_
                                         Fatal error in       webrtc modules utility source helpers android cc  line 51_x000D_
                                         last system error: 0_x000D_
                                         Check failed:  jni  ExceptionCheck()_x000D_
                                         Error during GetMethodID:  init   (Landroid content Context J)V_x000D_
                                        _x000D_
                                       _x000D_
                                       _x000D_
                                                 beginning of crash_x000D_
04 24 10:43:26 511 3890 3888   A google breakpad:      BEGIN BREAKPAD MICRODUMP     _x000D_
04 24 10:43:26 511 3890 3888   A google breakpad: V WebView:55 0 2883 91_x000D_
04 24 10:43:26 511 3890 3888   A google breakpad: O A arm 04 armv7l google hammerhead hammerhead:6 0 1 M4B30X 3237893:user release keys_x000D_
04 24 10:43:26 511 3890 3888   A google breakpad: P webview_x000D_
04 24 10:43:26 511 3890 3888   A google breakpad: G OpenGL ES 3 0 V 127 0 AU   (GIT I96aee987eb) Qualcomm Adreno (TM) 330_x000D_
04 24 10:43:26 517 3890 3888   A google breakpad: H 12C00000 FFFF1000 00B7 41131000 9C326000 0C:2E 0D:16 0E:15 0F:23 10:11 11:01 14:03 15:03 16:04 17:07 18:0D 19:05 1A:03 1C:02 1E:01_x000D_
04 24 10:43:26 517 3890 3888   A google breakpad: S 0 889FB270 889FB000 00001000_x000D_
04 24 10:43:26 523 3890 3888   A google breakpad: S 889FB000 1CB19F885400000030B09F8890DD8270000000001CB19F8800174E9CA998C5B41CB19F880000000030B09F8840B09F8800000000E0721213B8B09F88DC000000B4B09F88AB00D05B00174E9C8CB09F88000000008090069478B09F8858B19F88A0B19F8800174E9C80900694010020004300000005002000020000007CB19F888090069400174E9CC01ED4B68C174E9CB0B09F8890DD8270C4B09F881CB19F8834B19F88273994B41CB19F880A58E170000000000A58E170000000000000000000000000000000000000000000000000000000000000000000000000AB00D05B94D5D3B61CB19F8800000000E4B19F8810B19F88DCB19F880100000090DD827000000000CF3CB8B41CB19F880A58E17008E156700A58E17058DE827000000000000000000A58E170010000000400000034B19F88E072121394D5D3B604000000B03AC7B4F83AC7B4F039C7B4183AC7B4403AC7B4743AC7B410FED9B4BC1AAC700001000048076070ECB19F88E4B19F8804000000000000006C81C8B400174E9C_x000D_
04 24 10:43:26 523 3890 3888   A google breakpad: S 889FB180 4300000043000000E4B19F8890DD8270D0A1D9B47CDECBB4DCB19F8800174E9C04000000D85EDDB404000000D85EDDB468017E8FA92FD1B62099D4B668017E8F0E00000068017E8F8048F19200007E8F8848F192E000000094D5D3B60E0000000053DDB43F42D2B600000000000000001B00000031EDD1B60E00000000C0D7B4E000000000174E9C8090069400C0D7B400174E9C381EC7B4000043000100000088B29F8800174E9C7138ADB4A06ACBB48848F19200F81C9100007E8FC8B29F880CA3D4B68048F192DFFFFFFF0000000030B99F8830B99F8800000000DD78D0B678B99F8880B99F8830B99F88517BD0B678B99F880600000000000000FCB29F88FCB29F881343CEB694B29F88C514CEB680900694DFFFFFFF0A091000757ED0B6CC04D4B600000000FCB29F88C8B29F882404D4B6B0F4CDB645000000A717D288FCB29F88C0514489E1000000D700000000F81C91AB00D05BFCB29F88F8B29F880A000000F7DB3089610831894336DC88000000007C494489C0514489DC364189_x000D_
04 24 10:43:26 523 3890 3888   A google breakpad: S 889FB300 88364189C051448900000000000000000000000000C51794D7C51794FFC5179401010000FF00000000C51794D7C5179410000000F0364189021000000600000000000000000000000000000000B39F88C0514489000000000000000000000000000000000000000000000000000000000000000000000000000000000000000020000000AB00D05BC01ED4B68090069420543C92B4B39F887CB49F8861083189F7DB3089C54EDC8880FC3B9268B49F88481BD993210000000B00000080FC3B920A00000038B49F88E8B39F880A0000000A00000039B49F888848F19280FC3B9200007E8F8CB49F880CA3D4B68048F19294D5D3B68848F19280FC3B925B02D2B68CB49F882DB49F880A00000090BA6E0138B49F88B13DDC880A000000000000000100000073FB308980FC3B9200000000000000000000000000000000AB00D05B0065059420543C927CB49F88C01ED4B6020910000065059490BA6E01000000003F35D3886108318902091000775ADC8800650594FFFFFFFF0053DDB400000000_x000D_
04 24 10:43:26 524 3890 3888   A google breakpad: S 889FB480 020931891D0931890532D388210000000B00000080FC3B9208000000980400000053DDB4E747D2B60100000000000000000000000CA3D4B6010000008048F19294D5D3B60CA3D4B68848F192A94ED2B60000000000000040EBF145D61900000040420F0040420F0000000000EBF145D6DB15000000000000010000004400000080074591C01ED4B628B59F880000000001000000AB00D05B0000000080074591C01ED4B65030438900000000BD29D388AB00D05B6784D2888848F1928001000094D5D3B6110000000053DDB43F42D2B600000000000000002B00000031EDD1B611000000C01ED4B680010000000000000000000000000000000000000000000004000000000000000000000000000000000000000000000000000000000000000000000000000000000000000000000000000000000000000000000000000000000000000000000000000000000000000000000060010000C01ED4B6E0B69F8800B69F88AB00D05B0100000080074591C01ED4B6E0B69F880000000000000000_x000D_
04 24 10:43:26 524 3890 3888   A google breakpad: S 889FB600 01000000952BD388000000000000000000000000000000000000000000000000000000000000000000000000000000000000000000000000000000000000000001000000709AD4B62085D0929859DDB40000D0920053DDB42085D0928848F1922085D09200000000B848F192A33BD1B6080000004C00D0924C00D092B848F1928048F192CB3BD1B64C00D0920000D0923952D2B65B02D2B6A475D4B6000000000000000000000000E298B09000000000000000000000000000000000AB00D05B209C259DE4B69F8800000000E0B69F88000000004129D488209C259D10B79F88000000002929D4885CA7AF888098B09010B79F8808B79F880000000067CDD388E098B0907175D2880097B090BB7A41D680CC3689992F31895CA7AF880000000000000000E3AD298900000000000000008BA5AF88C0B89F88010000008098B090F498B090C0B89F8801000000FFFFFFFFFFFFFFFF9151D28800000000000000000000000000000000FFFFFFFFFFFFFFFF0000000000000000FFFFFFFFFFFFFFFF_x000D_
04 24 10:43:26 524 3890 3888   A google breakpad: S 889FB780 FFFFFFFF90BA6E010000000001000000C01ED4B6B8B79F8816FD3089B9FC308990AC368977FB308907FD30890CFD308900000000E098B09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AB00D05B000000003954D2888098B0900000000000000000FFFFFFFFC0B89F8800000000FFFFFFFFC776D288F4DA3089F4DA30890000000000000000000000000000000000000000000000000000000000000000000000006073C28F70B99F8830B99F8878000000848BF9B6_x000D_
04 24 10:43:26 525 3890 3888   A google breakpad: S 889FB900 3099B09000D08F884D7DD288857DD28830B99F886174D0B64174D0B638B99F884174D0B6451BCEB678B99F880000000030A9AF8830C98F88300F0000E07F00000000000000D08F8830E90F0000100000000000000000000000000000000000004D7DD2886073C28F0000000000707C950100000000F00F0078B99F8830B99F88160000000000000000000000AB00D05B0000000000000000000000000000000000000000000000000000000000000000000000000000000000000000000000000000000000000000000000000000000000000000000000000000000000000000000000000000000000000000010000008048F192000000000000000000000000000000000100000000174E9C0000000000000000000000000000000000000000000000000000000000000000000000000000000000000000000000000000000000000000000000000000000000000000000000000000000000000000000000000000000000000000000000000000000000000000000000000000000000000000_x000D_
04 24 10:43:26 525 3890 3888   A google breakpad: S 889FBA80 0000000000000000000000000000000000000000000000000000000000000000000000000000000000000000000000000000000000000000000000000000000000000000010000009850CB920000000000000000010000008098B09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10:43:26 525 3890 3888   A google breakpad: S 889FBC00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10:43:26 526 3890 3888   A google breakpad: S 889FBD80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10:43:26 526 3890 3888   A google breakpad: S 889FBF00 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10:43:26 526 3890 3888   A google breakpad: C 0600004000000000300F00000600000078B99F8880B99F8830B99F88000000000C0100000A00000080900694FCB29F880A0910000600000070B29F88617BD0B6509FD0B610000F4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_x000D_
04 24 10:43:26 526 3890 3888   A google breakpad: M B6F9B000 00000000 00005000 193A0C499FA710C22C906681C0F89A670 app process32_x000D_
04 24 10:43:26 526 3890 3888   A google breakpad: M 72950000 01ED6000 0172D000 000000000000000000000000000000000 system framework boot oat_x000D_
04 24 10:43:26 526 3890 3888   A google breakpad: M 88AFB000 00000000 00905000 8E2B01ED891DC0BEB6AEFF8DF5E4268D0 libjingle peerconnection so so_x000D_
04 24 10:43:26 527 3890 3888   A google breakpad: M 9743F000 00147000 000FA000 000000000000000000000000000000000 base odex_x000D_
04 24 10:43:26 527 3890 3888   A google breakpad: M 97DCD000 00000000 00004000 3388B46F29DD79CB14ED38FD27C912980 libOpenSLES so_x000D_
04 24 10:43:26 527 3890 3888   A google breakpad: M A01E7000 00000000 00004000 24246BB670B5D5FA004F4D328B8E4D880 libwebviewchromium plat support so_x000D_
04 24 10:43:26 527 3890 3888   A google breakpad: M A133B000 0114E000 00F98000 000000000000000000000000000000000 base odex_x000D_
04 24 10:43:26 527 3890 3888   A google breakpad: M A32D4000 00000000 02378000 BF012B766DEF00036DEA227FB4B0FAE60 libwebviewchromium so_x000D_
04 24 10:43:26 527 3890 3888   A google breakpad: M A96D4000 00000000 00004000 1186930A8F49E5F02B81F36B4772C0110 libwebviewchromium loader so_x000D_
04 24 10:43:26 527 3890 3888   A google breakpad: M A9779000 00000000 00003000 E86115E8C6E927001B3B1DCAF56028CC0 libjnigraphics so_x000D_
04 24 10:43:26 527 3890 3888   A google breakpad: M A977E000 00000000 00008000 36B70CE8129A921488159BD97847C5860 libcompiler rt so_x000D_
04 24 10:43:26 527 3890 3888   A google breakpad: M A9787000 00000000 0000F000 28E59C774D1DC0B81544C4B61E2AF14E0 libandroid so_x000D_
04 24 10:43:26 527 3890 3888   A google breakpad: M A9772000 00000000 00447000 C1FD4B15B4837CE09F7C23F1A5CF1CEB0 libsc a3xx so_x000D_
04 24 10:43:26 527 3890 3888   A google breakpad: M A9BE7000 00000000 00114000 8BAB07BC3ED5F869FA8A2C29411CA29F0 libGLESv2 adreno so_x000D_
04 24 10:43:26 527 3890 3888   A google breakpad: M A9D31000 00000000 00033000 B7B9D6F14CB892A5D59DE9C6965DFEA80 libGLESv1 CM adreno so_x000D_
04 24 10:43:26 527 3890 3888   A google breakpad: M A9D67000 00000000 00005000 B77504A5EB0AB2A7E06A3BEE532F11710 libadreno utils so_x000D_
04 24 10:43:26 527 3890 3888   A google breakpad: M A9D70000 00000000 0003B000 59375F20F46277C79376B1EA437AB02E0 libgsl so_x000D_
04 24 10:43:26 527 3890 3888   A google breakpad: M A9DAD000 00000000 0002B000 D7A6ADD4D179AD971D22C2B4F0D9E41B0 libEGL adreno so_x000D_
04 24 10:43:26 527 3890 3888   A google breakpad: M AB18E000 00000000 00018000 B04267D6932192186853403B34A636500 libkeymaster1 so_x000D_
04 24 10:43:26 527 3890 3888   A google breakpad: M AB1A9000 00000000 00014000 338DE85845C50CCE08D7E8AB6FC0FCCE0 libsoftkeymasterdevice so_x000D_
04 24 10:43:26 527 3890 3888   A google breakpad: M AB213000 00000000 0000B000 3E11CADB98A3CB51AF15D37F5DBDEDE20 libkeystore binder so_x000D_
04 24 10:43:26 528 3890 3888   A google breakpad: M AB220000 00000000 00017000 3B2F279DF1E89FE66BF63D45988D6D980 libjavacrypto so_x000D_
04 24 10:43:26 528 3890 3888   A google breakpad: M AB236000 00000000 00021000 D9921AE776ABBC9B9DCE747EF8953E8A0 libexif so_x000D_
04 24 10:43:26 528 3890 3888   A google breakpad: M AB263000 00000000 00045000 A5142224674141CEB124E340789824960 libmedia jni so_x000D_
04 24 10:43:26 528 3890 3888   A google breakpad: M ACC02000 00000000 00009000 BACBBA13BAF63FDD14BF40B84F772D3F0 libkeymaster messages so_x000D_
04 24 10:43:26 528 3890 3888   A google breakpad: M ACC0D000 00000000 0000E000 3937955766C22021B16578D512D4E9830 libstagefright amrnb common so_x000D_
04 24 10:43:26 528 3890 3888   A google breakpad: M ACC1D000 00000000 00015000 B0C5918AE09050178FAEAE43FA29D3600 libmtp so_x000D_
04 24 10:43:26 528 3890 3888   A google breakpad: M AE384000 00000000 00004000 6FB01F06F8AF23A5D85902FA943DAFB80 libkeystore engine so_x000D_
04 24 10:43:26 528 3890 3888   A google breakpad: M AEE9E000 00000000 001B3000 39950644FB7072A572B1A84D409AF0050 librealm jni so_x000D_
04 24 10:43:26 528 3890 3888   A google breakpad: M B06C8000 00000000 00034000 E0C932435E0C44EC5DC9E1976D11658B0 libjavacore so_x000D_
04 24 10:43:26 528 3890 3888   A google breakpad: M B074F000 00000000 00003000 05AB783FC39A13A57FB895A250BF1C970 memtrack msm8974 so_x000D_
04 24 10:43:26 528 3890 3888   A google breakpad: M B3646000 00000000 0000A000 325F1F0186F90B27807C3F2EBBF8F8AC0 eglsubAndroid so_x000D_
04 24 10:43:26 528 3890 3888   A google breakpad: M B3658000 00000000 00006000 B2F771B839C52B531AC3E03D8994123E0 libqdutils so_x000D_
04 24 10:43:26 528 3890 3888   A google breakpad: M B3660000 00000000 00005000 5D84C60E5F362D25B277913D222929890 libmemalloc so_x000D_
04 24 10:43:26 528 3890 3888   A google breakpad: M B3876000 00000000 00006000 0D46F308891586D53FEFA888079D88B20 gralloc msm8974 so_x000D_
04 24 10:43:26 528 3890 3888   A google breakpad: M B4857000 00000000 0045B000 6D26BB0DBB493E7ED4A814914ECF27850 libart so_x000D_
04 24 10:43:26 528 3890 3888   A google breakpad: M B4E04000 00000000 00003000 F61906BA1BEB278C34B9A8A6A4AF80820 libsigchain so_x000D_
04 24 10:43:26 528 3890 3888   A google breakpad: M B4E06000 00000000 00A35000 E79326377E168BA620C88135338321A50 libLLVM so_x000D_
04 24 10:43:26 528 3890 3888   A google breakpad: M B588F000 00000000 00035000 1F7A1A279869A393EAC78B57C56445520 libbcinfo so_x000D_
04 24 10:43:26 528 3890 3888   A google breakpad: M B58C7000 00000000 00058000 F994835A343389C79F4C30936C9004B30 libbcc so_x000D_
04 24 10:43:26 528 3890 3888   A google breakpad: M B5922000 00000000 0000B000 D8C092C1525B356CB13120FF56BB97380 libcommon time client so_x000D_
04 24 10:43:26 529 3890 3888   A google breakpad: M B5932000 00000000 00017000 444772154CB6CD48C30C918052E56F190 libprotobuf cpp lite so_x000D_
04 24 10:43:26 529 3890 3888   A google breakpad: M B594D000 00000000 00007000 9EB6557DD2AFBED3942745369C2432330 libstagefright avc common so_x000D_
04 24 10:43:26 529 3890 3888   A google breakpad: M B5957000 00000000 00003000 F830D5FCA8CE68AA16F4E7011897D9500 libstagefright enc common so_x000D_
04 24 10:43:26 529 3890 3888   A google breakpad: M B595D000 00000000 00004000 DCAE8541CE2FD7D421A500AA705392630 libpowermanager so_x000D_
04 24 10:43:26 529 3890 3888   A google breakpad: M B5965000 00000000 0001D000 A13A0221FB379E549828C9206B7FA6230 libvorbisidec so_x000D_
04 24 10:43:26 529 3890 3888   A google breakpad: M B5985000 00000000 00005000 CC4F2FB7800C2C6A6777CD503A198A740 libstagefright yuv so_x000D_
04 24 10:43:26 529 3890 3888   A google breakpad: M B598C000 00000000 0002E000 5B28D6F78B382DEA6AF10CE5F674BEA70 libstagefright omx so_x000D_
04 24 10:43:26 529 3890 3888   A google breakpad: M B59C0000 00000000 0003B000 DA62E34FF93B1765240288A71EAB823B0 libopus so_x000D_
04 24 10:43:26 529 3890 3888   A google breakpad: M B59FE000 00000000 00007000 D0FCBF2C2CA22C1F15D8E4B10941F3520 libmediautils so_x000D_
04 24 10:43:26 529 3890 3888   A google breakpad: M B5A08000 00000000 00016000 D0986C2BED782C8671E5FE07E837B4960 libdrmframework so_x000D_
04 24 10:43:26 529 3890 3888   A google breakpad: M B5A23000 00000000 0001F000 D0EDA30ECD09284153FDAF4E32DAA51B0 libRScpp so_x000D_
04 24 10:43:26 529 3890 3888   A google breakpad: M B5A44000 00000000 0003E000 179532B0AE18BF9C1E6CD7E79C75D40F0 libRS so_x000D_
04 24 10:43:26 529 3890 3888   A google breakpad: M B5A86000 00000000 00007000 86FCEBAFB9790E0EBD115368F48D2C930 libspeexresampler so_x000D_
04 24 10:43:26 529 3890 3888   A google breakpad: M B5A8F000 00000000 00009000 8C20262CB8CE5045100A935610F791270 libnbaio so_x000D_
04 24 10:43:26 529 3890 3888   A google breakpad: M B5A9A000 00000000 00012000 D5651523083F8FDC12B0711D98F2B9050 libpcre so_x000D_
04 24 10:43:26 529 3890 3888   A google breakpad: M B5AAF000 00000000 00005000 186C27905220043491FB10AF8779F9ED0 libwpa client so_x000D_
04 24 10:43:26 529 3890 3888   A google breakpad: M B5AB7000 00000000 0006D000 6717CFE62FEECECB00ABD6C1E9233FF70 libGLES trace so_x000D_
04 24 10:43:26 529 3890 3888   A google breakpad: M B5B29000 00000000 00064000 392AAD0F679066BE5ED9492EB23572350 libft2 so_x000D_
04 24 10:43:26 529 3890 3888   A google breakpad: M B5B91000 00000000 00025000 7A96CB2ACCBC8E9A57A36DF1777FDA280 libpng so_x000D_
04 24 10:43:26 529 3890 3888   A google breakpad: M B5BB9000 00000000 00003000 975DFFF3F80C05D28A719CC59D45EF520 libsync so_x000D_
04 24 10:43:26 529 3890 3888   A google breakpad: M B5BBE000 00000000 00005000 AD54FCB8953F0872A7D7506365A820DF0 libstdc   so_x000D_
04 24 10:43:26 529 3890 3888   A google breakpad: M B5BC5000 00000000 00010000 68DAA924AA53242911B524DD5F2F365B0 libunwind so_x000D_
04 24 10:43:26 529 3890 3888   A google breakpad: M B5C1D000 00000000 00009000 A625E650FD1A868F979B40295D18F37F0 libbase so_x000D_
04 24 10:43:26 530 3890 3888   A google breakpad: M B5C28000 00000000 00005000 0221BA677798F79F0EDE71D73000B0830 libeffects so_x000D_
04 24 10:43:26 530 3890 3888   A google breakpad: M B5C2F000 00000000 00003000 5B66E45FEF4A48E1BE145D2A7D196CA90 libstagefright http support so_x000D_
04 24 10:43:26 530 3890 3888   A google breakpad: M B5C36000 00000000 00018000 1378833BA17F4B188F63ACA4D93284E40 libstagefright foundation so_x000D_
04 24 10:43:26 530 3890 3888   A google breakpad: M B5C4B000 00000000 00154000 71F570FFDD8FFDA85CA781F3D990FAA40 libstagefright so_x000D_
04 24 10:43:26 530 3890 3888   A google breakpad: M B5DAB000 00000000 0006D000 CFB26F63B09DAE77611077B596B368B80 libhwui so_x000D_
04 24 10:43:26 530 3890 3888   A google breakpad: M B5E1E000 00000000 00003000 31F35FE9AE237D34526084C7735BAD710 libradio metadata so_x000D_
04 24 10:43:26 530 3890 3888   A google breakpad: M B5E24000 00000000 00004000 359D832D9304E16B432A7F383964CB230 libnativebridge so_x000D_
04 24 10:43:26 530 3890 3888   A google breakpad: M B5E2B000 00000000 00004000 C87225D3ECC6F5C77A87D8ACC190D75E0 libprocessgroup so_x000D_
04 24 10:43:26 530 3890 3888   A google breakpad: M B5E32000 00000000 0000E000 E5BF43FB98B262E19922EFAFC405041A0 libminikin so_x000D_
04 24 10:43:26 530 3890 3888   A google breakpad: M B5E42000 00000000 0000B000 D80CA7515725DD8FAB7948D50CDF5EAA0 libsoundtrigger so_x000D_
04 24 10:43:26 530 3890 3888   A google breakpad: M B5E51000 00000000 0000B000 91DCA759F70CDD7679C8E9D3A523CA800 libradio so_x000D_
04 24 10:43:26 530 3890 3888   A google breakpad: M B5E60000 00000000 00004000 82D86258B8C7231531BB04050783E8690 libnetd client so_x000D_
04 24 10:43:26 530 3890 3888   A google breakpad: M B5E67000 00000000 0000D000 BEEA59C940CE9D29A335E3F3DE9D0C290 libimg utils so_x000D_
04 24 10:43:26 530 3890 3888   A google breakpad: M B5E71000 00000000 00418000 82AB4D7DADE6D5C118789D0F63E33A850 libpdfium so_x000D_
04 24 10:43:26 530 3890 3888   A google breakpad: M B6298000 00000000 00007000 0D95C16E0319BAF0A66F8EE9561484B80 libaudioutils so_x000D_
04 24 10:43:26 530 3890 3888   A google breakpad: M B62A2000 00000000 0001B000 989408FFAB506BEA338258520EC0D8A80 libz so_x000D_
04 24 10:43:26 530 3890 3888   A google breakpad: M B62C0000 00000000 0004C000 7FBACB0A5DB01E4014768154A89319810 libharfbuzz ng so_x000D_
04 24 10:43:26 530 3890 3888   A google breakpad: M B630F000 00000000 00004000 FD7850F1D6C7CD3BABCBC5EA0AD4815E0 libusbhost so_x000D_
04 24 10:43:26 530 3890 3888   A google breakpad: M B6316000 00000000 00038000 274D060A09DE8149C4E1933FD725BA450 libjpeg so_x000D_
04 24 10:43:26 530 3890 3888   A google breakpad: M B6339000 00000000 000A8000 9B17D7EC1CAEA2CB8513FD65ADFDC7CA0 libmedia so_x000D_
04 24 10:43:26 530 3890 3888   A google breakpad: M B63F7000 00000000 0017A000 94E93744076C64969C2B0177F08614C30 libicui18n so_x000D_
04 24 10:43:26 531 3890 3888   A google breakpad: M B6576000 00000000 0011E000 737022BF3716A277DA9D773DBDA6AC420 libicuuc so_x000D_
04 24 10:43:26 531 3890 3888   A google breakpad: M B66A4000 00000000 00023000 1B7165386FE605802D368C055589C8880 libssl so_x000D_
04 24 10:43:26 531 3890 3888   A google breakpad: M B66CA000 00000000 00090000 F04FF1057C411459F79A9C7BAA88731E0 libcrypto so_x000D_
04 24 10:43:26 531 3890 3888   A google breakpad: M B6767000 00000000 00053000 A0B77A1519EC8DA5A6CD4E48511EDCF10 libsonivox so_x000D_
04 24 10:43:26 531 3890 3888   A google breakpad: M B67C2000 00000000 0000E000 E0C69154C412CA47264F984B241997B20 libselinux so_x000D_
04 24 10:43:26 531 3890 3888   A google breakpad: M B67D3000 00000000 00006000 09840C0CD88A3BD9EF8E92B458432A400 libhardware legacy so_x000D_
04 24 10:43:26 531 3890 3888   A google breakpad: M B67DC000 00000000 00003000 BE1E106B295304277CD701BB7AD933C50 libhardware so_x000D_
04 24 10:43:26 531 3890 3888   A google breakpad: M B67E1000 00000000 00004000 B1EDA46D6613B27D961784B34D6DC87C0 libETC1 so_x000D_
04 24 10:43:26 531 3890 3888   A google breakpad: M B67E7000 00000000 0000D000 8CA0C6B93197C860AAEC6A913B5A81E30 libGLESv2 so_x000D_
04 24 10:43:26 531 3890 3888   A google breakpad: M B67F6000 00000000 00008000 12DB6B4FBF4C256B18521A7A9C7768590 libGLESv1 CM so_x000D_
04 24 10:43:26 531 3890 3888   A google breakpad: M B67F8000 00000000 00064000 98A69E98CAF5A6410304D401BBA5066A0 libEGL so_x000D_
04 24 10:43:26 531 3890 3888   A google breakpad: M B686A000 00000000 00063000 563A21DA52824524EFD978971ECEBE930 libsqlite so_x000D_
04 24 10:43:26 531 3890 3888   A google breakpad: M B68BF000 00000000 00263000 88A157352C0FA3FFE49492763A7A444A0 libskia so_x000D_
04 24 10:43:26 531 3890 3888   A google breakpad: M B6B43000 00000000 00008000 3E55FEDB37E880D84772B7318046BCB80 libcamera metadata so_x000D_
04 24 10:43:26 531 3890 3888   A google breakpad: M B6B49000 00000000 00028000 F159F41CC71E5C5FF2C1A47EEBB2173C0 libcamera client so_x000D_
04 24 10:43:26 531 3890 3888   A google breakpad: M B6B79000 00000000 0003C000 C4CB7CB4954EDCE882441D60420ACB6B0 libinputflinger so_x000D_
04 24 10:43:26 531 3890 3888   A google breakpad: M B6BB8000 00000000 0001C000 1ACD55BF512ADF8086813BFE7A26FB970 libinput so_x000D_
04 24 10:43:26 531 3890 3888   A google breakpad: M B6BD0000 00000000 00055000 6BE57CD94DF5CE13FA91904D864D13D90 libgui so_x000D_
04 24 10:43:26 531 3890 3888   A google breakpad: M B6C33000 00000000 0000D000 9D45E134A41A4A59E527F776AF5AE4FC0 libui so_x000D_
04 24 10:43:26 531 3890 3888   A google breakpad: M B6C43000 00000000 00007000 4FCE682A944F5EE77E8DC7B6939050FA0 libnetutils so_x000D_
04 24 10:43:26 531 3890 3888   A google breakpad: M B6C4C000 00000000 00007000 2784CC1BA0E241691B489738CC145AC50 libnativehelper so_x000D_
04 24 10:43:26 532 3890 3888   A google breakpad: M B6C55000 00000000 00014000 57974C7186E91CD6E25891B4663B4A5D0 libexpat so_x000D_
04 24 10:43:26 532 3890 3888   A google breakpad: M B6C6C000 00000000 00027000 1860FE1627974D5FBD86574F36F2809D0 libandroidfw so_x000D_
04 24 10:43:26 532 3890 3888   A google breakpad: M B6C96000 00000000 00003000 862C020387AF6F23AB952159C80579E70 libmemtrack so_x000D_
04 24 10:43:26 532 3890 3888   A google breakpad: M B6C9B000 00000000 00009000 8013F5C42578C880B4427DD0634FA2C30 libbacktrace so_x000D_
04 24 10:43:26 532 3890 3888   A google breakpad: M B6CA6000 00000000 00020000 5F30D52DD65FD9D4E72DB9E22B4A2D1B0 libm so_x000D_
04 24 10:43:26 532 3890 3888   A google breakpad: M B6CC8000 00000000 00072000 A004D5DB1BCC805B1B17BFF9AD8DE8860 libc so_x000D_
04 24 10:43:26 532 3890 3888   A google breakpad: M B6D49000 00000000 0008A000 FE7C3DF45D70A711B6323BF19B6A2C000 libc   so_x000D_
04 24 10:43:26 532 3890 3888   A google breakpad: M B6DD9000 00000000 00029000 4F4924CEDD6EEC82549212B98F9C83540 libwilhelm so_x000D_
04 24 10:43:26 532 3890 3888   A google breakpad: M B6DF8000 00000000 000DC000 53E4383102BCBCEAC7193F8C0FE5125D0 libandroid runtime so_x000D_
04 24 10:43:26 532 3890 3888   A google breakpad: M B6EE5000 00000000 00029000 9966E0A84C6CB362772E4970F274471C0 libbinder so_x000D_
04 24 10:43:26 532 3890 3888   A google breakpad: M B6F17000 00000000 00008000 96D4ED3EE6B87C498EF4A82A2AA5DF8A0 liblog so_x000D_
04 24 10:43:26 532 3890 3888   A google breakpad: M B6F22000 00000000 00018000 4937CBE356A4A147E8364A69DEB2AC890 libutils so_x000D_
04 24 10:43:26 532 3890 3888   A google breakpad: M B6F3D000 00000000 0000E000 D515AE7FBFE9FBF600AA38A048404C940 libcutils so_x000D_
04 24 10:43:26 532 3890 3888   A google breakpad: M B6F79000 00000000 0001D000 0BBFA1D2AB7B7CBE9F683CCF8BBFB0DA0 linker_x000D_
04 24 10:43:26 532 3890 3888   A google breakpad:      END BREAKPAD MICRODUMP     _x000D_
04 24 10:43:26 555 32736 3888   W google breakpad:                                                    _x000D_
04 24 10:43:26 555 32736 3888   W google breakpad: Chrome build fingerprint:_x000D_
04 24 10:43:26 555 32736 3888   W google breakpad: 3 0 24_x000D_
04 24 10:43:26 555 32736 3888   W google breakpad: 20000032_x000D_
04 24 10:43:26 555 32736 3888   W google breakpad:                                                    _x000D_
04 24 10:43:26 555 32736 3888   A libc: Fatal signal 6 (SIGABRT)  code  6 in tid 3888 (Thread 1837)_x000D_
04 24 10:43:26 660 194 194   A DEBUG:                                                                _x000D_
04 24 10:43:26 660 194 194   A DEBUG: Build fingerprint:  google hammerhead hammerhead:6 0 1 M4B30X 3237893:user release keys _x000D_
04 24 10:43:26 660 194 194   A DEBUG: Revision:  11 _x000D_
04 24 10:43:26 660 194 194   A DEBUG: ABI:  arm _x000D_
04 24 10:43:26 660 194 194   A DEBUG: pid: 32736  tid: 3888  name: Thread 1837      com luvr    _x000D_
04 24 10:43:26 660 194 194   A DEBUG: signal 6 (SIGABRT)  code  6 (SI TKILL)  fault addr         _x000D_
04 24 10:43:26 693 194 194   A DEBUG:     r0 00000000  r1 00000f30  r2 00000006  r3 889fb978_x000D_
04 24 10:43:26 693 194 194   A DEBUG:     r4 889fb980  r5 889fb930  r6 00000000  r7 0000010c_x000D_
04 24 10:43:26 693 194 194   A DEBUG:     r8 0000000a  r9 94069080  sl 889fb2fc  fp 0010090a_x000D_
04 24 10:43:26 693 194 194   A DEBUG:     ip 00000006  sp 889fb270  lr b6d07b61  pc b6d09f50  cpsr 400f0010_x000D_
04 24 10:43:26 719 194 194   A DEBUG: backtrace:_x000D_
04 24 10:43:26 719 194 194   A DEBUG:      00 pc 00041f50   system lib libc so (tgkill 12)_x000D_
04 24 10:43:26 719 194 194   A DEBUG:      01 pc 0003fb5d   system lib libc so (pthread kill 32)_x000D_
04 24 10:43:26 719 194 194   A DEBUG:      02 pc 0001c30f   system lib libc so (raise 10)_x000D_
04 24 10:43:26 719 194 194   A DEBUG:      03 pc 000194c1   system lib libc so (  libc android abort 34)_x000D_
04 24 10:43:26 719 194 194   A DEBUG:      04 pc 000174ac   system lib libc so (abort 4)_x000D_
04 24 10:43:26 720 194 194   A DEBUG:      05 pc 002267a3   data app com luvr 1 lib arm libjingle peerconnection so so_x000D_
04 24 10:43:26 720 194 194   A DEBUG:      06 pc 002c863f   data app com luvr 1 lib arm libjingle peerconnection so so_x000D_
04 24 10:43:26 720 194 194   A DEBUG:      07 pc 002c9ec1   data app com luvr 1 lib arm libjingle peerconnection so so_x000D_
04 24 10:43:26 720 194 194   A DEBUG:      08 pc 0023853b   data app com luvr 1 lib arm libjingle peerconnection so so_x000D_
04 24 10:43:26 721 194 194   A DEBUG:      09 pc 002379b9   data app com luvr 1 lib arm libjingle peerconnection so so_x000D_
04 24 10:43:26 721 194 194   A DEBUG:      10 pc 00237b91   data app com luvr 1 lib arm libjingle peerconnection so so_x000D_
04 24 10:43:26 721 194 194   A DEBUG:      11 pc 0024793d   data app com luvr 1 lib arm libjingle peerconnection so so_x000D_
04 24 10:43:26 721 194 194   A DEBUG:      12 pc 00241d65   data app com luvr 1 lib arm libjingle peerconnection so so_x000D_
04 24 10:43:26 721 194 194   A DEBUG:      13 pc 0022c56f   data app com luvr 1 lib arm libjingle peerconnection so so_x000D_
04 24 10:43:26 722 194 194   A DEBUG:      14 pc 0022a18f   data app com luvr 1 lib arm libjingle peerconnection so so_x000D_
04 24 10:43:26 722 194 194   A DEBUG:      15 pc 0022c6c5   data app com luvr 1 lib arm libjingle peerconnection so so_x000D_
04 24 10:43:26 722 194 194   A DEBUG:      16 pc 0022cd83   data app com luvr 1 lib arm libjingle peerconnection so so_x000D_
04 24 10:43:26 722 194 194   A DEBUG:      17 pc 0003f45f   system lib libc so ( ZL15  pthread startPv 30)_x000D_
04 24 10:43:26 722 194 194   A DEBUG:      18 pc 00019b43   system lib libc so (  start thread 6)_x000D_
04 24 10:43:27 659 194 194   W debuggerd: type 1400 audit(0 0:3118): avc: denied   read   for name  kgsl 3d0  dev  tmpfs  ino 5747 scontext u:r:debuggerd:s0 tcontext u:objec</t>
  </si>
  <si>
    <t>nextcloud-android-890</t>
  </si>
  <si>
    <t>Activities and Notification Crash</t>
  </si>
  <si>
    <t xml:space="preserve">    Actual behaviour_x000D_
The App crashes in Activities and Notification Section when the user rotates the app when is loading _x000D_
_x000D_
    Steps to reproduce_x000D_
1 Open App_x000D_
2 Open Activities or Notifications_x000D_
3 Swipe to refresh_x000D_
4 Rotate the App when is loading_x000D_
_x000D_
    Environment data_x000D_
Android version:7 1 2_x000D_
_x000D_
Device model: Nexus 5X_x000D_
_x000D_
Stock or customized system:_x000D_
_x000D_
Nextcloud app version:Master_x000D_
_x000D_
Nextcloud server version:12_x000D_
_x000D_
    Logs_x000D_
   _x000D_
04 25 16:55:53 066 18410 18410 com nextcloud client E AndroidRuntime: FATAL EXCEPTION: main_x000D_
                                                                      Process: com nextcloud client  PID: 18410_x000D_
                                                                      java lang NullPointerException: Attempt to invoke virtual method  void android support v4 widget SwipeRefreshLayout setVisibility(int)  on a null object reference_x000D_
                                                                          at com owncloud android ui activity ActivitiesListActivity 3 1 run(ActivitiesListActivity java:200)_x000D_
                                                                          at android os Handler handleCallback(Handler java:751)_x000D_
                                                                          at android os Handler dispatchMessage(Handler java:95)_x000D_
                                                                          at android os Looper loop(Looper java:154)_x000D_
                                                                          at android app ActivityThread main(ActivityThread java:6121)_x000D_
                                                                          at java lang reflect Method invoke(Native Method)_x000D_
                                                                          at com android internal os ZygoteInit MethodAndArgsCaller run(ZygoteInit java:889)_x000D_
                                                                          at com android internal os ZygoteInit main(ZygoteInit java:779)_x000D_
   _x000D_
_x000D_
</t>
  </si>
  <si>
    <t>twilio-video-quickstart-android-105</t>
  </si>
  <si>
    <t xml:space="preserve">VideoView crashes when rendering frames before initialized </t>
  </si>
  <si>
    <t xml:space="preserve">A customer reported a crash when attempting to add a  VideoView  as a  VideoTrack  renderer before the  VideoView  has been added to the view hierarchy  _x000D_
_x000D_
  Log  _x000D_
_x000D_
   _x000D_
I: MediaCodecVideoDecoder: Frame stride and slice height: 512 x 384 _x000D_
I: SurfaceViewRenderer: Reporting frame resolution changed to 480x360 with rotation 270 _x000D_
W: java lang NullPointerException: Attempt to invoke virtual method  boolean android os Handler post(java lang Runnable)  on a null object reference _x000D_
W: at org webrtc SurfaceViewRenderer updateFrameDimensionsAndReportEvents(SurfaceViewRenderer java:316) _x000D_
W: at org webrtc SurfaceViewRenderer renderFrame(SurfaceViewRenderer java:197) _x000D_
W: at com twilio video VideoView renderFrame(VideoView java:127) _x000D_
W: at com twilio video VideoTrack VideoRendererCallbackAdapter renderFrame(VideoTrack java:123) _x000D_
E:   _x000D_
  Fatal error in       webrtc sdk android src jni peerconnection jni cc  line 835 _x000D_
  last system error: 0 _x000D_
  Check failed:  jni()  ExceptionCheck() _x000D_
  _x000D_
  _x000D_
A: Fatal signal 6 (SIGABRT)  code  6 in tid 12650 (IncomingVideoSt) _x000D_
W: releaseBuffer() track 0x55a8090cd0 disabled due to previous underrun  restarting_x000D_
   _x000D_
_x000D_
  Workaround  _x000D_
_x000D_
Ensure that  VideoView  is added to view hierarchy before adding as a  VideoTrack  renderer </t>
  </si>
  <si>
    <t>appium-appium-uiautomator2-server-55</t>
  </si>
  <si>
    <t>Returning boolean value in get element atrribute</t>
  </si>
  <si>
    <t xml:space="preserve">Hi folks  _x000D_
I have a question regarding this:_x000D_
https:  github com appium appium uiautomator2 server blob master app src main java io appium uiautomator2 handler GetElementAttribute java L41_x000D_
_x000D_
I ve seen some problems with UIAUTOMATOR2 returning bool instead of string (it was causing python webdriver bindings to crash)  _x000D_
According to spec bool attributes should be return as strings as well:_x000D_
https:  w3c github io webdriver webdriver spec html get element attribute_x000D_
  13 2 Get Element Attribute_x000D_
     _x000D_
    If name is a boolean attribute  _x000D_
   true  (  string  ) if the element has the attribute  otherwise null _x000D_
  _x000D_
  Otherwise_x000D_
  The result of getting an attribute by name name _x000D_
_x000D_
Should this be fixed  </t>
  </si>
  <si>
    <t>evernote-android-job-184</t>
  </si>
  <si>
    <t>JobStorage.getDatabase StackOverflowError</t>
  </si>
  <si>
    <t>Hi _x000D_
_x000D_
literally  one user is having these weird fatal exceptions  79 crashes in past 7 days _x000D_
_x000D_
Library version: com evernote:android job:1 1 9_x000D_
Device: LG L50 Sporty (4 4 2)_x000D_
_x000D_
Stacktrace:_x000D_
_x000D_
  Fatal Exception: java lang StackOverflowError_x000D_
       at java util HashMap secondaryHash(HashMap java:350)_x000D_
       at java util LinkedHashMap get(LinkedHashMap java:251)_x000D_
       at android util LruCache get(LruCache java:118)_x000D_
       at android database sqlite SQLiteConnection acquirePreparedStatement(SQLiteConnection java:880)_x000D_
       at android database sqlite SQLiteConnection executeForLong(SQLiteConnection java:594)_x000D_
       at android database sqlite SQLiteConnection setPageSize(SQLiteConnection java:251)_x000D_
       at android database sqlite SQLiteConnection open(SQLiteConnection java:213)_x000D_
       at android database sqlite SQLiteConnection open(SQLiteConnection java:193)_x000D_
       at android database sqlite SQLiteConnectionPool openConnectionLocked(SQLiteConnectionPool java:463)_x000D_
       at android database sqlite SQLiteConnectionPool open(SQLiteConnectionPool java:185)_x000D_
       at android database sqlite SQLiteConnectionPool open(SQLiteConnectionPool java:177)_x000D_
       at android database sqlite SQLiteDatabase openInner(SQLiteDatabase java:905)_x000D_
       at android database sqlite SQLiteDatabase open(SQLiteDatabase java:890)_x000D_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database sqlite SQLiteDatabase openDatabase(SQLiteDatabase java:770)_x000D_
       at android database DefaultDatabaseErrorHandler repairDatabaseFile(DefaultDatabaseErrorHandler java:140)_x000D_
       at android database DefaultDatabaseErrorHandler onCorruption(DefaultDatabaseErrorHandler java:68)_x000D_
       at android database sqlite SQLiteDatabase onCorruption(SQLiteDatabase java:338)_x000D_
       at android database sqlite SQLiteDatabase open(SQLiteDatabase java:892)_x000D_
       at android database sqlite SQLiteDatabase openDatabase(SQLiteDatabase java:795)_x000D_
       at android app ContextImpl openOrCreateDatabase(ContextImpl java:1012)_x000D_
       at android content ContextWrapper openOrCreateDatabase(ContextWrapper java:256)_x000D_
       at android database sqlite SQLiteOpenHelper getDatabaseLocked(SQLiteOpenHelper java:224)_x000D_
       at android database sqlite SQLiteOpenHelper getWritableDatabase(SQLiteOpenHelper java:164)_x000D_
       at com evernote android job JobStorage getDatabase(JobStorage java:288)_x000D_
       at com evernote android job JobStorage getAllJobRequests(JobStorage java:173)_x000D_
       at com evernote android job JobRescheduleService onHandleIntent(JobRescheduleService java:44)_x000D_
       at android app IntentService ServiceHandler handleMessage(IntentService java:65)_x000D_
       at android os Handler dispatchMessage(Handler java:102)_x000D_
       at android os Looper loop(Looper java:136)_x000D_
       at android os HandlerThread run(HandlerThread java:61)</t>
  </si>
  <si>
    <t>tanrabad-survey-21</t>
  </si>
  <si>
    <t xml:space="preserve">     in org tanrabad survey service AbsRestService getApiFilterParam
  Number of crashes: 1
  Impacted devices: 1
There s a lot more information about this crash on crashlytics com:
 https:  fabric io tanrabad android apps org tanrabad survey issues 590123d6be077a4dccf62c11 (https:  fabric io tanrabad android apps org tanrabad survey issues 590123d6be077a4dccf62c11)</t>
  </si>
  <si>
    <t>projectwife-mtesitoo-android-92</t>
  </si>
  <si>
    <t>NullPointerException when trying to add a product with no image</t>
  </si>
  <si>
    <t xml:space="preserve">Running on the emulator   pt bugfixes  branch _x000D_
_x000D_
I click  Add  to add a new product _x000D_
I fill in all the fields with arbitrary values  But I don t add a new image _x000D_
I expect the product to be added with no images _x000D_
But instead a crash is reported   but then Tesitoo keeps running _x000D_
The product appears to be added  however _x000D_
_x000D_
If instead  I add an image (either from the camera or from the gallery)  then the product is added as expected  with no crash _x000D_
_x000D_
logcat shows a NullPointerException:_x000D_
_x000D_
   _x000D_
04 26 20:32:31 212 3591 3591 com tesitoo D Product: Product id  0 name  milk   description  milky   price  238   thumbnail null_x000D_
04 26 20:32:31 212 3591 3591 com tesitoo D Submit Product URL: https:  tesitoo com api v1  product product_x000D_
04 26 20:32:31 798 3591 3591 com tesitoo D AndroidRuntime: Shutting down VM_x000D_
04 26 20:32:31 798 3591 3591 com tesitoo E AndroidRuntime: FATAL EXCEPTION: main_x000D_
                                                           Process: com tesitoo  PID: 3591_x000D_
                                                           java lang NullPointerException: Attempt to invoke virtual method  java lang String android net Uri getScheme()  on a null object reference_x000D_
                                                               at android content ContentResolver openInputStream(ContentResolver java:630)_x000D_
                                                               at com mtesitoo backend service ProductRequest submitProductThumbnail(ProductRequest java:123)_x000D_
                                                               at com mtesitoo AddProductActivity2 6 onResult(AddProductActivity2 java:359)_x000D_
                                                               at com mtesitoo AddProductActivity2 6 onResult(AddProductActivity2 java:355)_x000D_
                                                               at com mtesitoo backend service ProductThumbnailResponse onResponse(ProductThumbnailResponse java:45)_x000D_
                                                               at com android volley toolbox StringRequest deliverResponse(StringRequest java:60)_x000D_
                                                               at com android volley toolbox StringRequest deliverResponse(StringRequest java:30)_x000D_
                                                               at com android volley ExecutorDelivery ResponseDeliveryRunnable run(ExecutorDelivery java:99)_x000D_
                                                               at android os Handler handleCallback(Handler java:739)_x000D_
                                                               at android os Handler dispatchMessage(Handler java:95)_x000D_
                                                               at android os Looper loop(Looper java:135)_x000D_
                                                               at android app ActivityThread main(ActivityThread java:5254)_x000D_
                                                               at java lang reflect Method invoke(Native Method)_x000D_
                                                               at java lang reflect Method invoke(Method java:372)_x000D_
                                                               at com android internal os ZygoteInit MethodAndArgsCaller run(ZygoteInit java:903)_x000D_
                                                               at com android internal os ZygoteInit main(ZygoteInit java:698)_x000D_
   </t>
  </si>
  <si>
    <t>cgeo-cgeo-6525</t>
  </si>
  <si>
    <t>App crashes with loss of database</t>
  </si>
  <si>
    <t xml:space="preserve">On support mail we have a user  who claims that c:geo constantly crashes when accessing the live map or the list of saved caches  After the crash the DB is empty _x000D_
Version used: 2017 03 29_x000D_
_x000D_
The user send me his DB and I can reproduce it by opening the list  PQs  (using 2017 04 25 NB)_x000D_
This is the log of the crash:_x000D_
   _x000D_
     26 04 2017 13:55:33     _x000D_
04 26 13:55:36 685  3097  3097 E SQLiteDatabase: PRAGMA integrity check on  data user 0 cgeo geocaching databases data returned:     in database main    _x000D_
04 26 13:55:37 712  3097  3097 E SQLiteDatabase: PRAGMA integrity check on  data user 0 cgeo geocaching databases data returned:     in database main    _x000D_
04 26 13:55:37 719  3097  3097 E DefaultDatabaseErrorHandler:    Back up corrupted DB File :  data user 0 cgeo geocaching databases data_x000D_
04 26 13:55:37 731  3097  3097 W cgeo    :  main  UncaughtException_x000D_
04 26 13:55:37 731  3097  3097 W cgeo    : android database sqlite SQLiteDatabaseCorruptException: database disk image is malformed (code 11)_x000D_
04 26 13:55:37 731  3097  3097 W cgeo    :                                                                  _x000D_
04 26 13:55:37 731  3097  3097 W cgeo    : Error Code : 11 (SQLITE CORRUPT)_x000D_
04 26 13:55:37 731  3097  3097 W cgeo    : Caused By : The database disk image is malformed _x000D_
04 26 13:55:37 731  3097  3097 W cgeo    : 	(database disk image is malformed (code 11))_x000D_
04 26 13:55:37 731  3097  3097 W cgeo    :                                                                  _x000D_
04 26 13:55:37 731  3097  3097 W cgeo    : 	at android database sqlite SQLiteConnection nativeExecuteForCursorWindow(Native Method)_x000D_
04 26 13:55:37 731  3097  3097 W cgeo    : 	at android database sqlite SQLiteConnection executeForCursorWindow(SQLiteConnection java:927)_x000D_
04 26 13:55:37 731  3097  3097 W cgeo    : 	at android database sqlite SQLiteSession executeForCursorWindow(SQLiteSession java:836)_x000D_
04 26 13:55:37 731  3097  3097 W cgeo    : 	at android database sqlite SQLiteQuery fillWindow(SQLiteQuery java:62)_x000D_
04 26 13:55:37 731  3097  3097 W cgeo    : 	at android database sqlite SQLiteCursor fillWindow(SQLiteCursor java:143)_x000D_
04 26 13:55:37 731  3097  3097 W cgeo    : 	at android database sqlite SQLiteCursor getCount(SQLiteCursor java:132)_x000D_
04 26 13:55:37 731  3097  3097 W cgeo    : 	at android database AbstractCursor moveToPosition(AbstractCursor java:219)_x000D_
04 26 13:55:37 731  3097  3097 W cgeo    : 	at android database AbstractCursor moveToNext(AbstractCursor java:268)_x000D_
04 26 13:55:37 731  3097  3097 W cgeo    : 	at cgeo geocaching storage DataStore loadCachesFromGeocodes(DataStore java:1743)_x000D_
04 26 13:55:37 731  3097  3097 W cgeo    : 	at cgeo geocaching storage DataStore loadCaches(DataStore java:1688)_x000D_
04 26 13:55:37 731  3097  3097 W cgeo    : 	at cgeo geocaching SearchResult getCachesFromSearchResult(SearchResult java:251)_x000D_
04 26 13:55:37 731  3097  3097 W cgeo    : 	at cgeo geocaching CacheListActivity onLoadFinished(CacheListActivity java:1914)_x000D_
04 26 13:55:37 731  3097  3097 W cgeo    : 	at cgeo geocaching CacheListActivity onLoadFinished(CacheListActivity java:132)_x000D_
04 26 13:55:37 731  3097  3097 W cgeo    : 	at android support v4 app LoaderManagerImpl LoaderInfo callOnLoadFinished(LoaderManager java:476)_x000D_
04 26 13:55:37 731  3097  3097 W cgeo    : 	at android support v4 app LoaderManagerImpl LoaderInfo onLoadComplete(LoaderManager java:444)_x000D_
04 26 13:55:37 731  3097  3097 W cgeo    : 	at android support v4 content Loader deliverResult(Loader java:126)_x000D_
04 26 13:55:37 731  3097  3097 W cgeo    : 	at android support v4 content AsyncTaskLoader dispatchOnLoadComplete(AsyncTaskLoader java:249)_x000D_
04 26 13:55:37 731  3097  3097 W cgeo    : 	at android support v4 content AsyncTaskLoader LoadTask onPostExecute(AsyncTaskLoader java:77)_x000D_
04 26 13:55:37 731  3097  3097 W cgeo    : 	at android support v4 content ModernAsyncTask finish(ModernAsyncTask java:466)_x000D_
04 26 13:55:37 731  3097  3097 W cgeo    : 	at android support v4 content ModernAsyncTask access 400(ModernAsyncTask java:48)_x000D_
04 26 13:55:37 731  3097  3097 W cgeo    : 	at android support v4 content ModernAsyncTask InternalHandler handleMessage(ModernAsyncTask java:483)_x000D_
04 26 13:55:37 731  3097  3097 W cgeo    : 	at android os Handler dispatchMessage(Handler java:102)_x000D_
04 26 13:55:37 731  3097  3097 W cgeo    : 	at android os Looper loop(Looper java:154)_x000D_
04 26 13:55:37 731  3097  3097 W cgeo    : 	at android app ActivityThread main(ActivityThread java:6688)_x000D_
04 26 13:55:37 731  3097  3097 W cgeo    : 	at java lang reflect Method invoke(Native Method)_x000D_
04 26 13:55:37 731  3097  3097 W cgeo    : 	at com android internal os ZygoteInit MethodAndArgsCaller run(ZygoteInit java:1468)_x000D_
04 26 13:55:37 731  3097  3097 W cgeo    : 	at com android internal os ZygoteInit main(ZygoteInit java:1358)_x000D_
04 26 13:55:37 731  3097  3097 E AndroidRuntime: Process: cgeo geocaching  PID: 3097_x000D_
04 26 13:55:37 731  3097  3097 E AndroidRuntime: 	at cgeo geocaching storage DataStore loadCachesFromGeocodes(DataStore java:1743)_x000D_
04 26 13:55:37 731  3097  3097 E AndroidRuntime: 	at cgeo geocaching storage DataStore loadCaches(DataStore java:1688)_x000D_
04 26 13:55:37 731  3097  3097 E AndroidRuntime: 	at cgeo geocaching SearchResult getCachesFromSearchResult(SearchResult java:251)_x000D_
04 26 13:55:37 731  3097  3097 E AndroidRuntime: 	at cgeo geocaching CacheListActivity onLoadFinished(CacheListActivity java:1914)_x000D_
04 26 13:55:37 731  3097  3097 E AndroidRuntime: 	at cgeo geocaching CacheListActivity onLoadFinished(CacheListActivity java:132)_x000D_
04 26 13:55:37 734  4967  6619 W ActivityManager:   Force finishing activity cgeo geocaching  CacheListActivity_x000D_
04 26 13:55:37 737  4967  6619 W ActivityManager:   Force finishing activity cgeo geocaching  MainActivity_x000D_
04 26 13:55:39 575  4967  6619 W ActivityManager:   Force finishing activity cgeo geocaching  CacheListActivity_x000D_
04 26 13:55:39 609  4967  6619 I WindowManager: Destroying surface Surface(name cgeo geocaching cgeo geocaching CacheListActivity) called by com android server wm WindowStateAnimator destroySurface:2838 com android server wm WindowStateAnimator destroySurfaceLocked:1069 com android server wm WindowState removeLocked:1776 com android server wm WindowManagerService removeWindowInnerLocked:2876 com android server wm WindowManagerService removeWindowLocked:2826 com android server wm WindowManagerService removeWindowLocked:2641 com android server wm AppWindowToken removeAllWindows:596 com android server wm AppWindowToken removeAppFromTaskLocked:358 _x000D_
04 26 13:55:39 636  4967  6619 W ActivityManager:   Force finishing activity cgeo geocaching  MainActivity_x000D_
04 26 13:55:39 640  4967  6619 I WindowManager: Destroying surface Surface(name cgeo geocaching cgeo geocaching MainActivity) called by com android server wm WindowStateAnimator destroySurface:2838 com android server wm WindowStateAnimator destroySurfaceLocked:1069 com android server wm WindowState removeLocked:1776 com android server wm WindowManagerService removeWindowInnerLocked:2876 com android server wm WindowManagerService removeWindowLocked:2826 com android server wm WindowManagerService removeWindowLocked:2641 com android server wm AppWindowToken removeAllWindows:596 com android server wm AppWindowToken removeAppFromTaskLocked:358 _x000D_
04 26 13:55:39 659  4967  6619 I ActivityManager: Killing 3097:cgeo geocaching u0a171 (adj 900): crash_x000D_
04 26 13:55:39 927  4967  5051 I WindowManager: Destroying surface Surface(name Application Error: cgeo geocaching) called by com android server wm WindowStateAnimator destroySurface:2838 com android server wm WindowStateAnimator destroySurfaceLocked:1069 com android server wm WindowState destroyOrSaveSurface:2534 com android server wm WindowSurfacePlacer performSurfacePlacementInner:499 com android server wm WindowSurfacePlacer performSurfacePlacementLoop:274 com android server wm WindowSurfacePlacer performSurfacePlacement:222 com android server wm WindowManagerService H handleMessage:9161 android os Handler dispatchMessage:102 _x000D_
     26 04 2017 13:55:40     _x000D_
   _x000D_
_x000D_
It seems the DB is corrupted  The user tells  that this often happens to him after importing saving caches _x000D_
So it might be worth taking a look what exactly is broken here  why this might have happend and if we can either avoid the corrupt data or handle it better than crashing and reseting _x000D_
_x000D_
I will send a link to the DB file via cgeo dev mailing list _x000D_
_x000D_
_x000D_
</t>
  </si>
  <si>
    <t>kabouzeid-Phonograph-142</t>
  </si>
  <si>
    <t>Phonograph always crashes after playing last song in queue</t>
  </si>
  <si>
    <t xml:space="preserve">Whatever the app is playing  if the song is the last in the queue (be it an album or a playlist) Phonograph will crash after playing it  When the song ends  the app is stuck and doesn t respond to touch controls  and it starts playing again the same last song  When it is finished playing it for the second time  the app closes itself and i get the Android message box saying Phonograph crashed  While the app is stuck playing the song for the second time  the notification is also stuck  I can get out of the app with the home button  the music still plays  and if i remove the app from the recents and reopen it  it waits a few seconds and then Android asks me if i want to kill it because it s not responding _x000D_
_x000D_
It has been happening ever since the app changed its name from Gramophone  and the bug occurs every single time  As a workaround i found that setting the loop mode to repeat the album prevents this _x000D_
_x000D_
I m attaching a logcat _x000D_
 phonograph txt (https:  github com kabouzeid Phonograph files 957573 phonograph txt)_x000D_
_x000D_
The device is an Alcatel OneTouch Idol 3 (6045Y) and it happened both with 5 1 1 and 6 0 1_x000D_
</t>
  </si>
  <si>
    <t>pchmn-MaterialChipsInput-7</t>
  </si>
  <si>
    <t>Sample app crashes when Contact List Example clicked on Xperia X Performance</t>
  </si>
  <si>
    <t xml:space="preserve">How to reproduce on Xperia X Performance:_x000D_
1  Install the latest repo code _x000D_
2  Click  Contact List Example _x000D_
3  App crashes with the error below _x000D_
_x000D_
   _x000D_
04 25 23:35:30 861 10895 10895 com pchmn sample materialchipsinput V BoostFramework: BoostFramework() : mPerf   com qualcomm qti Performance a748111_x000D_
04 25 23:35:30 926 10895 10895 com pchmn sample materialchipsinput I Timeline: Timeline: Activity launch request id:com pchmn sample materialchipsinput time:29040260_x000D_
04 25 23:35:31 000 10895 10895 com pchmn sample materialchipsinput V BoostFramework: BoostFramework() : mPerf   com qualcomm qti Performance fe9ec7c_x000D_
04 25 23:35:31 001 10895 10895 com pchmn sample materialchipsinput V BoostFramework: BoostFramework() : mPerf   com qualcomm qti Performance 8fa905_x000D_
04 25 23:35:31 051 10895 10895 com pchmn sample materialchipsinput V BoostFramework: BoostFramework() : mPerf   com qualcomm qti Performance a944526_x000D_
04 25 23:35:31 051 10895 10895 com pchmn sample materialchipsinput V BoostFramework: BoostFramework() : mPerf   com qualcomm qti Performance f973567_x000D_
04 25 23:35:31 055 10895 10895 com pchmn sample materialchipsinput V BoostFramework: BoostFramework() : mPerf   com qualcomm qti Performance 82ef3bd_x000D_
04 25 23:35:31 055 10895 10895 com pchmn sample materialchipsinput V BoostFramework: BoostFramework() : mPerf   com qualcomm qti Performance b6f8db2_x000D_
04 25 23:35:31 079 10895 10895 com pchmn sample materialchipsinput V BoostFramework: BoostFramework() : mPerf   com qualcomm qti Performance 557c103_x000D_
04 25 23:35:31 079 10895 10895 com pchmn sample materialchipsinput V BoostFramework: BoostFramework() : mPerf   com qualcomm qti Performance e7e4880_x000D_
04 25 23:35:31 317 10895 10895 com pchmn sample materialchipsinput I Timeline: Timeline: Activity idle id: android os BinderProxy f78e4e4 time:29040651_x000D_
04 25 23:35:31 506 10895 10956 com pchmn sample materialchipsinput D OpenGLRenderer: endAllActiveAnimators on 0x7f88aaf000 (RippleDrawable) with handle 0x7f88ab1400_x000D_
04 25 23:35:34 783 10895 10895 com pchmn sample materialchipsinput V BoostFramework: BoostFramework() : mPerf   com qualcomm qti Performance bdbe4d3_x000D_
04 25 23:35:34 784 10895 10895 com pchmn sample materialchipsinput V BoostFramework: BoostFramework() : mPerf   com qualcomm qti Performance a8ae810_x000D_
04 25 23:35:34 806 10895 10895 com pchmn sample materialchipsinput W System err: io reactivex exceptions OnErrorNotImplementedException_x000D_
04 25 23:35:34 807 10895 10895 com pchmn sample materialchipsinput W System err:     at io reactivex internal functions Functions OnErrorMissingConsumer accept(Functions java:704)_x000D_
04 25 23:35:34 807 10895 10895 com pchmn sample materialchipsinput W System err:     at io reactivex internal functions Functions OnErrorMissingConsumer accept(Functions java:701)_x000D_
04 25 23:35:34 807 10895 10895 com pchmn sample materialchipsinput W System err:     at io reactivex internal observers LambdaObserver onError(LambdaObserver java:74)_x000D_
04 25 23:35:34 807 10895 10895 com pchmn sample materialchipsinput W System err:     at io reactivex internal observers LambdaObserver onNext(LambdaObserver java:64)_x000D_
04 25 23:35:34 807 10895 10895 com pchmn sample materialchipsinput W System err:     at io reactivex internal operators observable ObservableFlatMap MergeObserver tryEmitScalar(ObservableFlatMap java:234)_x000D_
04 25 23:35:34 807 10895 10895 com pchmn sample materialchipsinput W System err:     at io reactivex internal operators observable ObservableFlatMap MergeObserver subscribeInner(ObservableFlatMap java:146)_x000D_
04 25 23:35:34 807 10895 10895 com pchmn sample materialchipsinput W System err:     at io reactivex internal operators observable ObservableFlatMap MergeObserver onNext(ObservableFlatMap java:139)_x000D_
04 25 23:35:34 807 10895 10895 com pchmn sample materialchipsinput W System err:     at io reactivex internal operators observable ObservableBuffer BufferExactObserver onNext(ObservableBuffer java:113)_x000D_
04 25 23:35:34 807 10895 10895 com pchmn sample materialchipsinput W System err:     at io reactivex internal operators observable ObservableFlatMap MergeObserver tryEmit(ObservableFlatMap java:262)_x000D_
04 25 23:35:34 807 10895 10895 com pchmn sample materialchipsinput W System err:     at io reactivex internal operators observable ObservableFlatMap InnerObserver onNext(ObservableFlatMap java:559)_x000D_
04 25 23:35:34 808 10895 10895 com pchmn sample materialchipsinput W System err:     at io reactivex observers SerializedObserver onNext(SerializedObserver java:112)_x000D_
04 25 23:35:34 808 10895 10895 com pchmn sample materialchipsinput W System err:     at io reactivex internal operators observable ObservableConcatMap SourceObserver InnerObserver onNext(ObservableConcatMap java:249)_x000D_
04 25 23:35:34 808 10895 10895 com pchmn sample materialchipsinput W System err:     at io reactivex subjects PublishSubject PublishDisposable onNext(PublishSubject java:265)_x000D_
04 25 23:35:34 808 10895 10895 com pchmn sample materialchipsinput W System err:     at io reactivex subjects PublishSubject onNext(PublishSubject java:184)_x000D_
04 25 23:35:34 808 10895 10895 com pchmn sample materialchipsinput W System err:     at com tbruyelle rxpermissions2 RxPermissionsFragment onRequestPermissionsResult(RxPermissionsFragment java:64)_x000D_
04 25 23:35:34 808 10895 10895 com pchmn sample materialchipsinput W System err:     at com tbruyelle rxpermissions2 RxPermissionsFragment onRequestPermissionsResult(RxPermissionsFragment java:49)_x000D_
04 25 23:35:34 808 10895 10895 com pchmn sample materialchipsinput W System err:     at android app Activity dispatchRequestPermissionsResultToFragment(Activity java:7120)_x000D_
04 25 23:35:34 808 10895 10895 com pchmn sample materialchipsinput W System err:     at android app Activity dispatchActivityResult(Activity java:6966)_x000D_
04 25 23:35:34 808 10895 10895 com pchmn sample materialchipsinput W System err:     at android app ActivityThread deliverResults(ActivityThread java:4162)_x000D_
04 25 23:35:34 808 10895 10895 com pchmn sample materialchipsinput W System err:     at android app ActivityThread handleSendResult(ActivityThread java:4209)_x000D_
04 25 23:35:34 808 10895 10895 com pchmn sample materialchipsinput W System err:     at android app ActivityThread  wrap20(ActivityThread java)_x000D_
04 25 23:35:34 808 10895 10895 com pchmn sample materialchipsinput W System err:     at android app ActivityThread H handleMessage(ActivityThread java:1571)_x000D_
04 25 23:35:34 808 10895 10895 com pchmn sample materialchipsinput W System err:     at android os Handler dispatchMessage(Handler java:102)_x000D_
04 25 23:35:34 808 10895 10895 com pchmn sample materialchipsinput W System err:     at android os Looper loop(Looper java:241)_x000D_
04 25 23:35:34 808 10895 10895 com pchmn sample materialchipsinput W System err:     at android app ActivityThread main(ActivityThread java:6223)_x000D_
04 25 23:35:34 808 10895 10895 com pchmn sample materialchipsinput W System err:     at java lang reflect Method invoke(Native Method)_x000D_
04 25 23:35:34 808 10895 10895 com pchmn sample materialchipsinput W System err:     at com android internal os ZygoteInit MethodAndArgsCaller run(ZygoteInit java:865)_x000D_
04 25 23:35:34 808 10895 10895 com pchmn sample materialchipsinput W System err:     at com android internal os ZygoteInit main(ZygoteInit java:755)_x000D_
04 25 23:35:34 809 10895 10895 com pchmn sample materialchipsinput W System err: Caused by: java lang NullPointerException_x000D_
04 25 23:35:34 809 10895 10895 com pchmn sample materialchipsinput W System err:     at java text RuleBasedCollator compare(RuleBasedCollator java:356)_x000D_
04 25 23:35:34 809 10895 10895 com pchmn sample materialchipsinput W System err:     at com pchmn materialchips adapter FilterableAdapter 1 compare(FilterableAdapter java:66)_x000D_
04 25 23:35:34 809 10895 10895 com pchmn sample materialchipsinput W System err:     at com pchmn materialchips adapter FilterableAdapter 1 compare(FilterableAdapter java:61)_x000D_
04 25 23:35:34 809 10895 10895 com pchmn sample materialchipsinput W System err:     at java util TimSort countRunAndMakeAscending(TimSort java:351)_x000D_
04 25 23:35:34 809 10895 10895 com pchmn sample materialchipsinput W System err:     at java util TimSort sort(TimSort java:230)_x000D_
04 25 23:35:34 809 10895 10895 com pchmn sample materialchipsinput W System err:     at java util Arrays sort(Arrays java:1523)_x000D_
04 25 23:35:34 809 10895 10895 com pchmn sample materialchipsinput W System err:     at java util Collections sort(Collections java:238)_x000D_
04 25 23:35:34 809 10895 10895 com pchmn sample materialchipsinput W System err:     at com pchmn materialchips adapter FilterableAdapter  init (FilterableAdapter java:61)_x000D_
04 25 23:35:34 809 10895 10895 com pchmn sample materialchipsinput W System err:     at com pchmn materialchips views FilterableListView build(FilterableListView java:66)_x000D_
04 25 23:35:34 809 10895 10895 com pchmn sample materialchipsinput W System err:     at com pchmn materialchips ChipsInput setFilterableList(ChipsInput java:342)_x000D_
04 25 23:35:34 809 10895 10895 com pchmn sample materialchipsinput W System err:     at com pchmn sample materialchipsinput ContactListActivity getContactList(ContactListActivity java:124)_x000D_
04 25 23:35:34 809 10895 10895 com pchmn sample materialchipsinput W System err:     at com pchmn sample materialchipsinput ContactListActivity lambda onCreate 12(ContactListActivity java:47)_x000D_
04 25 23:35:34 809 10895 10895 com pchmn sample materialchipsinput W System err:     at com pchmn sample materialchipsinput ContactListActivity  Lambda 1 accept(Unknown Source)_x000D_
04 25 23:35:34 809 10895 10895 com pchmn sample materialchipsinput W System err:     at io reactivex internal observers LambdaObserver onNext(LambdaObserver java:60)_x000D_
04 25 23:35:34 809 10895 10895 com pchmn sample materialchipsinput W System err: 	    24 more_x000D_
04 25 23:35:34 811 10895 10895 com pchmn sample materialchipsinput E AndroidRuntime: FATAL EXCEPTION: main_x000D_
                                                                                     Process: com pchmn sample materialchipsinput  PID: 10895_x000D_
                                                                                     io reactivex exceptions OnErrorNotImplementedException_x000D_
                                                                                         at io reactivex internal functions Functions OnErrorMissingConsumer accept(Functions java:704)_x000D_
                                                                                         at io reactivex internal functions Functions OnErrorMissingConsumer accept(Functions java:701)_x000D_
                                                                                         at io reactivex internal observers LambdaObserver onError(LambdaObserver java:74)_x000D_
                                                                                         at io reactivex internal observers LambdaObserver onNext(LambdaObserver java:64)_x000D_
                                                                                         at io reactivex internal operators observable ObservableFlatMap MergeObserver tryEmitScalar(ObservableFlatMap java:234)_x000D_
                                                                                         at io reactivex internal operators observable ObservableFlatMap MergeObserver subscribeInner(ObservableFlatMap java:146)_x000D_
                                                                                         at io reactivex internal operators observable ObservableFlatMap MergeObserver onNext(ObservableFlatMap java:139)_x000D_
                                                                                         at io reactivex internal operators observable ObservableBuffer BufferExactObserver onNext(ObservableBuffer java:113)_x000D_
                                                                                         at io reactivex internal operators observable ObservableFlatMap MergeObserver tryEmit(ObservableFlatMap java:262)_x000D_
                                                                                         at io reactivex internal operators observable ObservableFlatMap InnerObserver onNext(ObservableFlatMap java:559)_x000D_
                                                                                         at io reactivex observers SerializedObserver onNext(SerializedObserver java:112)_x000D_
                                                                                         at io reactivex internal operators observable ObservableConcatMap SourceObserver InnerObserver onNext(ObservableConcatMap java:249)_x000D_
                                                                                         at io reactivex subjects PublishSubject PublishDisposable onNext(PublishSubject java:265)_x000D_
                                                                                         at io reactivex subjects PublishSubject onNext(PublishSubject java:184)_x000D_
                                                                                         at com tbruyelle rxpermissions2 RxPermissionsFragment onRequestPermissionsResult(RxPermissionsFragment java:64)_x000D_
                                                                                         at com tbruyelle rxpermissions2 RxPermissionsFragment onRequestPermissionsResult(RxPermissionsFragment java:49)_x000D_
                                                                                         at android app Activity dispatchRequestPermissionsResultToFragment(Activity java:7120)_x000D_
                                                                                         at android app Activity dispatchActivityResult(Activity java:6966)_x000D_
                                                                                         at android app ActivityThread deliverResults(ActivityThread java:4162)_x000D_
                                                                                         at android app ActivityThread handleSendResult(ActivityThread java:4209)_x000D_
                                                                                         at android app ActivityThread  wrap20(ActivityThread java)_x000D_
                                                                                         at android app ActivityThread H handleMessage(ActivityThread java:1571)_x000D_
                                                                                         at android os Handler dispatchMessage(Handler java:102)_x000D_
                                                                                         at android os Looper loop(Looper java:241)_x000D_
                                                                                         at android app ActivityThread main(ActivityThread java:6223)_x000D_
                                                                                         at java lang reflect Method invoke(Native Method)_x000D_
                                                                                         at com android internal os ZygoteInit MethodAndArgsCaller run(ZygoteInit java:865)_x000D_
                                                                                         at com android internal os ZygoteInit main(ZygoteInit java:755)_x000D_
                                                                                      Caused by: java lang NullPointerException_x000D_
                                                                                         at java text RuleBasedCollator compare(RuleBasedCollator java:356)_x000D_
                                                                                         at com pchmn materialchips adapter FilterableAdapter 1 compare(FilterableAdapter java:66)_x000D_
                                                                                         at com pchmn materialchips adapter FilterableAdapter 1 compare(FilterableAdapter java:61)_x000D_
                                                                                         at java util TimSort countRunAndMakeAscending(TimSort java:351)_x000D_
                                                                                         at java util TimSort sort(TimSort java:230)_x000D_
                                                                                         at java util Arrays sort(Arrays java:1523)_x000D_
                                                                                         at java util Collections sort(Collections java:238)_x000D_
                                                                                         at com pchmn materialchips adapter FilterableAdapter  init (FilterableAdapter java:61)_x000D_
                                                                                         at com pchmn materialchips views FilterableListView build(FilterableListView java:66)_x000D_
                                                                                         at com pchmn materialchips ChipsInput setFilterableList(ChipsInput java:342)_x000D_
                                                                                         at com pchmn sample materialchipsinput ContactListActivity getContactList(ContactListActivity java:124)_x000D_
                                                                                         at com pchmn sample materialchipsinput ContactListActivity lambda onCreate 12(ContactListActivity java:47)_x000D_
                                                                                         at com pchmn sample materialchipsinput ContactListActivity  Lambda 1 accept(Unknown Source)_x000D_
                                                                                         at io reactivex internal observers LambdaObserver onNext(LambdaObserver java:60)_x000D_
                                                                                         at io reactivex internal operators observable ObservableFlatMap MergeObserver tryEmitScalar(ObservableFlatMap java:234) _x000D_
                                                                                         at io reactivex internal operators observable ObservableFlatMap MergeObserver subscribeInner(ObservableFlatMap java:146) _x000D_
                                                                                         at io reactivex internal operators observable ObservableFlatMap MergeObserver onNext(ObservableFlatMap java:139) _x000D_
                                                                                         at io reactivex internal operators observable ObservableBuffer BufferExactObserver onNext(ObservableBuffer java:113) _x000D_
                                                                                         at io reactivex internal operators observable ObservableFlatMap MergeObserver tryEmit(ObservableFlatMap java:262) _x000D_
                                                                                         at io reactivex internal operators observable ObservableFlatMap InnerObserver onNext(ObservableFlatMap java:559) _x000D_
                                                                                         at io reactivex observers SerializedObserver onNext(SerializedObserver java:112) _x000D_
                                                                                         at io reactivex internal operators observable ObservableConcatMap SourceObserver InnerObserver onNext(ObservableConcatMap java:249) _x000D_
                                                                                         at io reactivex subjects PublishSubject PublishDisposable onNext(PublishSubject java:265) _x000D_
                                                                                         at io reactivex subjects PublishSubject onNext(PublishSubject java:184) _x000D_
                                                                                         at com tbruyelle rxpermissions2 RxPermissionsFragment onRequestPermissionsResult(RxPermissionsFragment java:64) _x000D_
                                                                                         at com tbruyelle rxpermissions2 RxPermissionsFragment onRequestPermissionsResult(RxPermissionsFragment java:49) _x000D_
                                                                                         at android app Activity dispatchRequestPermissionsResultToFragment(Activity java:7120) _x000D_
                                                                                         at android app Activity dispatchActivityResult(Activity java:6966) _x000D_
                                                                                         at android app ActivityThread deliverResults(ActivityThread java:4162) _x000D_
                                                                                         at android app ActivityThread handleSendResult(ActivityThread java:4209) _x000D_
                                                                                         at android app ActivityThread  wrap20(ActivityThread java) _x000D_
                                                                                         at android app ActivityThread H handleMessage(ActivityThread java:1571) _x000D_
                                                                                         at android os Handler dispatchMessage(Handler java:102) _x000D_
                                                                                         at android os Looper loop(Looper java:241) _x000D_
                                                                                         at android app ActivityThread main(ActivityThread java:6223) _x000D_
                                                                                         at java lang reflect Method invoke(Native Method) _x000D_
                                                                                         at com android internal os ZygoteInit MethodAndArgsCaller run(ZygoteInit java:865) _x000D_
                                                                                         at com android internal os ZygoteInit main(ZygoteInit java:755) _x000D_
   _x000D_
_x000D_
Could React Java be causing a problem here  I am testing on a Sony Xperia X Performance with Android Nougat  The library seems to work fine in the emulators  What could the problem be on my Android device  </t>
  </si>
  <si>
    <t>linkedin-test-butler-60</t>
  </si>
  <si>
    <t>Crash from java.lang.AbstractMethodError: abstract method "int android.app.IActivityController.appEarlyNotResponding(java.lang.String, int, java.lang.String)</t>
  </si>
  <si>
    <t xml:space="preserve">I ve noticed occasional crashes like this in test butler:_x000D_
   04 25 17:19:19 000  1235  1256 W BroadcastQueue: Timeout of broadcast BroadcastRecord 2012bf82 u 1 android intent action TIME TICK    receiver android os BinderProxy 9f6ccc8  started 10017ms ago_x000D_
04 25 17:19:20 398  2362  2447 D      _x000D_
04 25 17:19:20 823  1235  1256 W BroadcastQueue: Receiver during timeout: BroadcastFilter 7d66486 u0 ReceiverList 1b2a5161 1503 com android systemui 10012 u0 remote:9f6ccc8  _x000D_
04 25 17:19:21 954  2362  3207 D      _x000D_
04 25 17:19:26 111  2362  3243 D      _x000D_
04 25 17:19:27 156  2421  2435 E JavaBinder:     Uncaught remote exception   (Exceptions are not yet supported across processes )_x000D_
04 25 17:19:27 156  2421  2435 E JavaBinder: java lang AbstractMethodError: abstract method  int android app IActivityController appEarlyNotResponding(java lang String  int  java lang String) _x000D_
04 25 17:19:27 156  2421  2435 E JavaBinder:     at android app IActivityController Stub onTransact(IActivityController java:106)_x000D_
04 25 17:19:27 156  2421  2435 E JavaBinder:     at android os Binder execTransact(Binder java:446)_x000D_
04 25 17:19:29 056  2362  3207 D      _x000D_
04 25 17:19:29 056  2362  2397 D      _x000D_
          beginning of crash_x000D_
04 25 17:19:29 368  2421  2435 E AndroidRuntime: FATAL EXCEPTION: Binder 2_x000D_
04 25 17:19:29 368  2421  2435 E AndroidRuntime: Process: com linkedin android testbutler  PID: 2421_x000D_
04 25 17:19:29 368  2421  2435 E AndroidRuntime: java lang AbstractMethodError: abstract method  int android app IActivityController appEarlyNotResponding(java lang String  int  java lang String) _x000D_
04 25 17:19:29 368  2421  2435 E AndroidRuntime:     at android app IActivityController Stub onTransact(IActivityController java:106)_x000D_
04 25 17:19:29 368  2421  2435 E AndroidRuntime:     at android os Binder execTransact(Binder java:446)_x000D_
04 25 17:19:32 766  1503  1503 I Choreographer: Skipped 100 frames   The application may be doing too much work on its main thread _x000D_
04 25 17:19:41 948  2362  3245 D      _x000D_
04 25 17:19:44 042  2421  2435 V NoDialogActivityController: appCrashed: com linkedin android testbutler:2421 java lang AbstractMethodError java lang AbstractMethodError: abstract method  int android app IActivityController appEarlyNotResponding(java lang String  int  java lang String)  java lang AbstractMethodError: abstract method  int android app IActivityController appEarlyNotResponding(java lang String  int  java lang String) _x000D_
04 25 17:19:44 042  2421  2435 V NoDialogActivityController:     at android app IActivityController Stub onTransact(IActivityController java:106)_x000D_
04 25 17:19:44 042  2421  2435 V NoDialogActivityController:     at android os Binder execTransact(Binder java:446)_x000D_
04 25 17:19:45 158  2362  2447 D      _x000D_
04 25 17:19:46 429  1235  1256 W ActivityManager: Force killing crashed app com linkedin android testbutler at watcher s request_x000D_
04 25 17:19:46 531  1235  1256 I ActivityManager: Killing 2421:com linkedin android testbutler 1000 (adj 1): crash_x000D_
   _x000D_
_x000D_
If I m reading that right it sounds like some kind of ANR on the system (some other log messages around the time suggest that things are running pretty slowly on the emulator) but then test butler doesn t implement an abstract callback method for IActivityController which causes a crash _x000D_
_x000D_
Running on an API 21 x86 emulator  I believe revision 3 </t>
  </si>
  <si>
    <t>inaturalist-iNaturalistAndroid-337</t>
  </si>
  <si>
    <t>unique key violations when inserting obs photos</t>
  </si>
  <si>
    <t xml:space="preserve">https:  fabric io inaturalist android apps org inaturalist android issues 5869794a0aeb16625ba97382 time last seven days_x000D_
_x000D_
 joellebel has also experienced this while trying to upload with auto upload turned off  here s her crash: _x000D_
_x000D_
   _x000D_
04 26 16:53:21 644 13041 18357 D ObservationProvider: Insert: observation photos  values: updated at 1493239860366 photo url https:  static inaturalist org photos 7461550 medium jpg 1493234063  updated at 1493250801643  created at 1493250801643  photo id 7461550 photo filename null uuid 2b95eeb9 151b 496a aa73 b0b5735d3eeb position null observation id 5972113  synced at 1493250801643 is deleted null id 7077445  observation id 156 created at 1493239860366 photo id 7461550  id 7077445_x000D_
04 26 16:53:21 657 13041 18357 E SQLiteDatabase: Error inserting updated at 1493239860366 photo url https:  static inaturalist org photos 7461550 medium jpg 1493234063  updated at 1493250801643  created at 1493250801643  photo id 7461550 photo filename null uuid 2b95eeb9 151b 496a aa73 b0b5735d3eeb position null observation id 5972113  synced at 1493250801643 is deleted null id 7077445  observation id 156 created at 1493239860366 photo id 7461550  id 7077445_x000D_
04 26 16:53:21 657 13041 18357 E SQLiteDatabase: android database sqlite SQLiteConstraintException: UNIQUE constraint failed: observation photos  id (code 1555)_x000D_
04 26 16:53:21 657 13041 18357 E SQLiteDatabase: 	at android database sqlite SQLiteConnection nativeExecuteForLastInsertedRowId(Native Method)_x000D_
04 26 16:53:21 657 13041 18357 E SQLiteDatabase: 	at android database sqlite SQLiteConnection executeForLastInsertedRowId(SQLiteConnection java:780)_x000D_
04 26 16:53:21 657 13041 18357 E SQLiteDatabase: 	at android database sqlite SQLiteSession executeForLastInsertedRowId(SQLiteSession java:788)_x000D_
04 26 16:53:21 657 13041 18357 E SQLiteDatabase: 	at android database sqlite SQLiteStatement executeInsert(SQLiteStatement java:86)_x000D_
04 26 16:53:21 657 13041 18357 E SQLiteDatabase: 	at android database sqlite SQLiteDatabase insertWithOnConflict(SQLiteDatabase java:1471)_x000D_
04 26 16:53:21 657 13041 18357 E SQLiteDatabase: 	at android database sqlite SQLiteDatabase insert(SQLiteDatabase java:1341)_x000D_
04 26 16:53:21 657 13041 18357 E SQLiteDatabase: 	at org inaturalist android ObservationProvider insert(ObservationProvider java:325)_x000D_
04 26 16:53:21 657 13041 18357 E SQLiteDatabase: 	at android content ContentProvider Transport insert(ContentProvider java:263)_x000D_
04 26 16:53:21 657 13041 18357 E SQLiteDatabase: 	at android content ContentResolver insert(ContentResolver java:1231)_x000D_
04 26 16:53:21 657 13041 18357 E SQLiteDatabase: 	at org inaturalist android INaturalistService syncJson(INaturalistService java:3428)_x000D_
04 26 16:53:21 657 13041 18357 E SQLiteDatabase: 	at org inaturalist android INaturalistService getUserObservations(INaturalistService java:2637)_x000D_
04 26 16:53:21 657 13041 18357 E SQLiteDatabase: 	at org inaturalist android INaturalistService syncObservations(INaturalistService java:968)_x000D_
04 26 16:53:21 657 13041 18357 E SQLiteDatabase: 	at org inaturalist android INaturalistService onHandleIntent(INaturalistService java:899)_x000D_
04 26 16:53:21 657 13041 18357 E SQLiteDatabase: 	at android app IntentService ServiceHandler handleMessage(IntentService java:66)_x000D_
04 26 16:53:21 657 13041 18357 E SQLiteDatabase: 	at android os Handler dispatchMessage(Handler java:102)_x000D_
04 26 16:53:21 657 13041 18357 E SQLiteDatabase: 	at android os Looper loop(Looper java:148)_x000D_
04 26 16:53:21 657 13041 18357 E SQLiteDatabase: 	at android os HandlerThread run(HandlerThread java:61)_x000D_
   </t>
  </si>
  <si>
    <t>vector-im-riot-android-1172</t>
  </si>
  <si>
    <t>Riot is stuck after network switching</t>
  </si>
  <si>
    <t xml:space="preserve">reported by  ThousandParsecs:matrix org_x000D_
_x000D_
Stopped receiving notifications then loading forever  Until device is rebooted  _x000D_
_x000D_
When I m at home I have my WiFi and mobile data turned on  but my device connects only via WiFi  When I leave my home  I would usually just bring my device without manually turning off my WiFi  So after the WiFi is lost  my device switches to connect via mobile data automatically  _x000D_
_x000D_
At this point riot would stop working  The app runs fine without crashing but it doesn t send or receive anything anymore  not messages  not notifications  nothing   bricked   Even if I kill the app and start it again  it s still the same  Until I completely reboot my device _x000D_
_x000D_
https:  riot im bugreports listing 2017 04 28 014707 details log gz_x000D_
_x000D_
</t>
  </si>
  <si>
    <t>chandevel-Clover-310</t>
  </si>
  <si>
    <t>Use FileProvider to open videos in external apps</t>
  </si>
  <si>
    <t>I cannot use MX Player or any other external player for viewing WEBMs_x000D_
_x000D_
I go to open a WEBM file and Clover crashes  I have the external player setting on and I ve tried switching that feature on and off multiple times _x000D_
_x000D_
Android version: Android 7 0 (literally updated to this not two days ago)_x000D_
Phone model: SM 920T (Samsung Galaxy Note5)_x000D_
Clover version: v2 3 0 F Droid</t>
  </si>
  <si>
    <t>hnocturna-project.kitchen-7</t>
  </si>
  <si>
    <t>Application sometimes crashes when selecting a recipe in tablet-portrait mode</t>
  </si>
  <si>
    <t>Occasionally when the user selects a recipe in tablet portrait mode  the app will crash with the following error:_x000D_
_x000D_
FATAL EXCEPTION: main_x000D_
                                                                       Process: project hnoct kitchen  PID: 12479_x000D_
                                                                       java lang IllegalArgumentException: No view found for id 0x7f0f00f8 (project hnoct kitchen:id fragment container) for fragment FragmentRecipeDetails 327bf29  7 id 0x7f0f00f8 _x000D_
                                                                           at android support v4 app FragmentManagerImpl moveToState(FragmentManager java:1293)_x000D_
                                                                           at android support v4 app FragmentManagerImpl moveFragmentToExpectedState(FragmentManager java:1528)_x000D_
                                                                           at android support v4 app FragmentManagerImpl moveToState(FragmentManager java:1595)_x000D_
                                                                           at android support v4 app BackStackRecord executeOps(BackStackRecord java:757)_x000D_
                                                                           at android support v4 app FragmentManagerImpl executeOps(FragmentManager java:2355)_x000D_
                                                                           at android support v4 app FragmentManagerImpl executeOpsTogether(FragmentManager java:2146)_x000D_
                                                                           at android support v4 app FragmentManagerImpl optimizeAndExecuteOps(FragmentManager java:2098)_x000D_
                                                                           at android support v4 app FragmentManagerImpl execPendingActions(FragmentManager java:2008)_x000D_
                                                                           at android support v4 app FragmentManagerImpl 1 run(FragmentManager java:710)_x000D_
                                                                           at android os Handler handleCallback(Handler java:751)_x000D_
                                                                           at android os Handler dispatchMessage(Handler java:95)_x000D_
                                                                           at android os Looper loop(Looper java:154)_x000D_
                                                                           at android app ActivityThread main(ActivityThread java:6077)_x000D_
                                                                           at java lang reflect Method invoke(Native Method)_x000D_
                                                                           at com android internal os ZygoteInit MethodAndArgsCaller run(ZygoteInit java:865)_x000D_
                                                                           at com android internal os ZygoteInit main(ZygoteInit java:755)</t>
  </si>
  <si>
    <t>inaturalist-iNaturalistAndroid-340</t>
  </si>
  <si>
    <t>crash while scrolling through Activity tabs</t>
  </si>
  <si>
    <t xml:space="preserve">This  usually  happens whenever I scroll through a bunch of rows in the Activity tabs _x000D_
_x000D_
https:  fabric io inaturalist android apps org inaturalist android issues 58f0cea30aeb16625bac5a67_x000D_
https:  play google com apps publish  dev acc 15421172454815845728 ErrorClusterDetailsPlace:p org inaturalist android et CRASH sh false lr LAST 7 DAYS av 1 5 14 ecn java lang NullPointerException tf Bitmap java tc android graphics Bitmap tm createBitmap nid an c s new status desc ed 1493608460947_x000D_
_x000D_
   _x000D_
java lang RuntimeException: Transformation circle crashed with exception _x000D_
	at com squareup picasso BitmapHunter 3 run(BitmapHunter java:434)_x000D_
	at android os Handler handleCallback(Handler java:751)_x000D_
	at android os Handler dispatchMessage(Handler java:95)_x000D_
	at android os Looper loop(Looper java:154)_x000D_
	at android app ActivityThread main(ActivityThread java:6121)_x000D_
	at java lang reflect Method invoke(Native Method)_x000D_
	at com android internal os ZygoteInit MethodAndArgsCaller run(ZygoteInit java:889)_x000D_
	at com android internal os ZygoteInit main(ZygoteInit java:779)_x000D_
Caused by: java lang NullPointerException: Attempt to read from field  int android graphics Bitmap Config nativeInt  on a null object reference_x000D_
	at android graphics Bitmap createBitmap(Bitmap java:879)_x000D_
	at android graphics Bitmap createBitmap(Bitmap java:856)_x000D_
	at android graphics Bitmap createBitmap(Bitmap java:823)_x000D_
	at org inaturalist android UserActivitiesAdapter CircleTransform transform(UserActivitiesAdapter java:449)_x000D_
	at com squareup picasso BitmapHunter applyCustomTransformations(BitmapHunter java:429)_x000D_
	at com squareup picasso BitmapHunter hunt(BitmapHunter java:238)_x000D_
	at com squareup picasso BitmapHunter run(BitmapHunter java:159)_x000D_
	at java util concurrent Executors RunnableAdapter call(Executors java:428)_x000D_
	at java util concurrent FutureTask run(FutureTask java:237)_x000D_
	at java util concurrent ThreadPoolExecutor runWorker(ThreadPoolExecutor java:1133)_x000D_
	at java util concurrent ThreadPoolExecutor Worker run(ThreadPoolExecutor java:607)_x000D_
	at java lang Thread run(Thread java:761)_x000D_
	at com squareup picasso Utils PicassoThread run(Utils java:411)_x000D_
   </t>
  </si>
  <si>
    <t>OpenLauncherTeam-openlauncher-79</t>
  </si>
  <si>
    <t>Crash when started: Unable to start activity</t>
  </si>
  <si>
    <t xml:space="preserve">this launcher looks pretty cool  unfortunately  i can t check it out because it crashes with the following as soon as i open it:_x000D_
   _x000D_
Build version: 0 3 1 _x000D_
Build date: 1980 01 01 00:00:00 _x000D_
Current date: 2017 05 01 19:18:54 _x000D_
Device: Sony E2105 _x000D_
 _x000D_
Stack trace:  _x000D_
java lang RuntimeException: Unable to start activity ComponentInfo com benny openlauncher com benny openlauncher activity Home : android view InflateException: Binary XML file line  51: Error inflating class  unknown _x000D_
	at android app ActivityThread performLaunchActivity(ActivityThread java:2385)_x000D_
	at android app ActivityThread handleLaunchActivity(ActivityThread java:2436)_x000D_
	at android app ActivityThread access 800(ActivityThread java:157)_x000D_
	at android app ActivityThread H handleMessage(ActivityThread java:1374)_x000D_
	at android os Handler dispatchMessage(Handler java:110)_x000D_
	at android os Looper loop(Looper java:193)_x000D_
	at android app ActivityThread main(ActivityThread java:5398)_x000D_
	at java lang reflect Method invokeNative(Native Method)_x000D_
	at java lang reflect Method invoke(Method java:515)_x000D_
	at com android internal os ZygoteInit MethodAndArgsCaller run(ZygoteInit java:940)_x000D_
	at com android internal os ZygoteInit main(ZygoteInit java:756)_x000D_
	at dalvik system NativeStart main(Native Method)_x000D_
Caused by: android view InflateException: Binary XML file line  51: Error inflating class  unknown _x000D_
	at android view LayoutInflater createView(LayoutInflater java:620)_x000D_
	at com android internal policy impl PhoneLayoutInflater onCreateView(PhoneLayoutInflater java:56)_x000D_
	at android view LayoutInflater onCreateView(LayoutInflater java:669)_x000D_
	at android view LayoutInflater createViewFromTag(LayoutInflater java:694)_x000D_
	at android view LayoutInflater rInflate(LayoutInflater java:755)_x000D_
	at android view LayoutInflater parseInclude(LayoutInflater java:839)_x000D_
	at android view LayoutInflater rInflate(LayoutInflater java:745)_x000D_
	at android view LayoutInflater parseInclude(LayoutInflater java:839)_x000D_
	at android view LayoutInflater rInflate(LayoutInflater java:745)_x000D_
	at android view LayoutInflater rInflate(LayoutInflater java:758)_x000D_
	at android view LayoutInflater inflate(LayoutInflater java:492)_x000D_
	at android view LayoutInflater inflate(LayoutInflater java:397)_x000D_
	at android view LayoutInflater inflate(LayoutInflater java:353)_x000D_
	at com benny openlauncher activity Home onCreate(Home java:194)_x000D_
	at android app Activity performCreate(Activity java:5264)_x000D_
	at android app Instrumentation callActivityOnCreate(Instrumentation java:1088)_x000D_
	at android app ActivityThread performLaunchActivity(ActivityThread java:2349)_x000D_
	    11 more_x000D_
Caused by: java lang reflect InvocationTargetException_x000D_
	at java lang reflect Constructor constructNative(Native Method)_x000D_
	at java lang reflect Constructor newInstance(Constructor java:423)_x000D_
	at android view LayoutInflater createView(LayoutInflater java:594)_x000D_
	    27 more_x000D_
Caused by: android content res Resources NotFoundException: File res drawable nodpi v4 ic settings launcher 36dp xml from drawable resource ID  0x7f020084_x000D_
	at android content res Resources loadDrawable(Resources java:2166)_x000D_
	at android content res TypedArray getDrawable(TypedArray java:602)_x000D_
	at android widget TextView  init (TextView java:835)_x000D_
	at android widget TextView  init (TextView java:644)_x000D_
	    30 more_x000D_
Caused by: org xmlpull v1 XmlPullParserException: Binary XML file line  1: invalid drawable tag vector_x000D_
	at android graphics drawable Drawable createFromXmlInner(Drawable java:961)_x000D_
	at android graphics drawable Drawable createFromXml(Drawable java:895)_x000D_
	at android content res Resources loadDrawable(Resources java:2162)_x000D_
	    33 more_x000D_
   _x000D_
</t>
  </si>
  <si>
    <t>getodk-collect-997</t>
  </si>
  <si>
    <t>Improve db migration from version 3 to 4 when an old fork (e.g. KoboCollect) is also installed</t>
  </si>
  <si>
    <t xml:space="preserve">     Problem description_x000D_
There s a crash that can happen when migrating from db versions 3 to 4 because it tries to create columns that are already there  This can happen when there s a Collect derived tool like Kobo on the device (see  this thread (https:  groups google com forum   topic opendatakit vOSPGNWQJGc)) or when going back to a version before the db migration and trying to upgrade again  _x000D_
_x000D_
     Steps to reproduce the problem_x000D_
1  Install and run a version of Collect   1 4 15 _x000D_
1  Go back to a version of Collect   1 4 15 (e g   git checkout v1 4 13 )_x000D_
1  Install and run a version of Collect   1 4 15_x000D_
_x000D_
     Expected behavior_x000D_
The migration should skip columns that already exist and not crash when trying to upgrade again _x000D_
_x000D_
     Other information _x000D_
v1 4 15 added a  deletedOn  column to support View Sent Forms _x000D_
_x000D_
   _x000D_
Exception android database sqlite SQLiteException: Can t upgrade read only database from version 3 to 4:  storage emulated 0 odk metadata instances db_x000D_
org odk collect android database ODKSQLiteOpenHelper getReadableDatabase (ODKSQLiteOpenHelper java:212)_x000D_
org odk collect android provider InstanceProvider query (InstanceProvider java:162)_x000D_
android content ContentProvider query (ContentProvider java:980)_x000D_
android content ContentProvider Transport query (ContentProvider java:213)_x000D_
android content ContentResolver query (ContentResolver java:484)_x000D_
android content ContentResolver query (ContentResolver java:428)_x000D_
org odk collect android dao InstancesDao getInstancesCursor (InstancesDao java:228)_x000D_
org odk collect android dao InstancesDao getSavedInstancesCursor (InstancesDao java:106)_x000D_
org odk collect android dao InstancesDao getSavedInstancesCursor (InstancesDao java:112)_x000D_
org odk collect android fragments DataManagerList getCursor (DataManagerList java:154)_x000D_
org odk collect android fragments DataManagerList setupAdapter (DataManagerList java:137)_x000D_
org odk collect android fragments DataManagerList onViewCreated (DataManagerList java:77)_x000D_
   </t>
  </si>
  <si>
    <t>mycelium-com-wallet-android-351</t>
  </si>
  <si>
    <t>Hide CPFP option if watch-only wallet</t>
  </si>
  <si>
    <t xml:space="preserve">The wallet crashes on Android when a user tries to do CPFP fee replacement on imported watch only accounts  I did it by mistake  so I noticed  I think a little message will do  or remove the option to begin with in this case </t>
  </si>
  <si>
    <t>getodk-collect-995</t>
  </si>
  <si>
    <t>Date widget issue on Android 7.1.X</t>
  </si>
  <si>
    <t xml:space="preserve">     Software and hardware versions _x000D_
Collect: v1 6 0_x000D_
Honor 5C   LineageOS 14 1   Android 7 1 1_x000D_
Nexus 5   LineageOS 14 1   Android 7 1 2_x000D_
Nexus 9   Stock 7 1 1_x000D_
_x000D_
Works on Android 6 0  4 2 _x000D_
_x000D_
     Problem description_x000D_
Since the 1 6 0 Collect update  existing forms using the Date widget crash when loading the date type question _x000D_
_x000D_
  screenshot 20170502 120511 (https:  cloud githubusercontent com assets 292081 25613905 30d3460e 2f30 11e7 9b8e 53a310f6c316 png)_x000D_
_x000D_
     Steps to reproduce the problem_x000D_
Fill an existing or new form that includes the Date widget _x000D_
_x000D_
     Expected behavior_x000D_
The Date widget should open when loading the concerned version _x000D_
_x000D_
    Other information_x000D_
Works on:_x000D_
  Sony C1904  Android 7 1 1 Lineage OS_x000D_
  Pixel emulator  Android 7 1 1_x000D_
  Genymotion emulator  Android 7 1 0</t>
  </si>
  <si>
    <t>ShawnLin013-NumberPicker-57</t>
  </si>
  <si>
    <t>Change height/width</t>
  </si>
  <si>
    <t>Hello _x000D_
_x000D_
Is there any chance to set number of currently visible rows except selected one _x000D_
Or is there any chance to hide all other rows except selected _x000D_
_x000D_
if I set _x000D_
app:np wheelItemCount  1 _x000D_
_x000D_
when try to scroll the app crashes with IndexOutOfBounds exception_x000D_
java lang ArrayIndexOutOfBoundsException: length 1  index  1_x000D_
                                                               at com shawnlin numberpicker NumberPicker incrementSelectorIndices(NumberPicker java:1695)_x000D_
_x000D_
WBR_x000D_
Vadim</t>
  </si>
  <si>
    <t>yigit-android-priority-jobqueue-363</t>
  </si>
  <si>
    <t>Null Pointer Power Manager</t>
  </si>
  <si>
    <t xml:space="preserve">Getting a crash report from our Firebase  any ideas _x000D_
_x000D_
Exception java lang NullPointerException: Attempt to invoke interface method  boolean android os IPowerManager isDeviceIdleMode()  on a null object reference_x000D_
_x000D_
   _x000D_
android os PowerManager isDeviceIdleMode (PowerManager java:995)_x000D_
com birbit android jobqueue network NetworkUtilImpl isDozing ()_x000D_
com birbit android jobqueue network NetworkUtilImpl getNetworkStatus ()_x000D_
com birbit android jobqueue JobManagerThread getNetworkStatus ()_x000D_
com birbit android jobqueue JobManagerThread a ()_x000D_
com birbit android jobqueue JobManagerThread 1 onIdle ()_x000D_
com birbit android jobqueue messaging PriorityMessageQueue next ()_x000D_
com birbit android jobqueue messaging PriorityMessageQueue consume ()_x000D_
com birbit android jobqueue JobManagerThread run ()_x000D_
java lang Thread run (Thread java:818)_x000D_
   </t>
  </si>
  <si>
    <t>google-ExoPlayer-2774</t>
  </si>
  <si>
    <t>Playback rate edge case</t>
  </si>
  <si>
    <t xml:space="preserve">First off I have to say thank you so much for the new playback rate feature going back to android 4 1 _x000D_
_x000D_
    Issue description_x000D_
I observed exoplayer crashing during the first second of audio playback _x000D_
_x000D_
    Reproduction steps_x000D_
When exoplayer is loading audio for the first time and before the first second of audio has played  seek to the end and change the playback rate _x000D_
_x000D_
    Link to test content_x000D_
Will work on emailing some test content  it is hls audio _x000D_
_x000D_
    Version of ExoPlayer being used_x000D_
2 4_x000D_
_x000D_
    Device(s) and version(s) of Android being used_x000D_
Amazon KFFOWI Android 5 1 1 (api 22)_x000D_
_x000D_
    A full bug report captured from the device_x000D_
Will email a full bug report  Here is the logcat  _x000D_
 E ExoPlayerImplInternal: Internal runtime error _x000D_
                                                                               java lang ArrayIndexOutOfBoundsException: length 2712  index 2712_x000D_
                                                                                   at com google android exoplayer2 audio Sonic interpolate(Sonic java:378)_x000D_
                                                                                   at com google android exoplayer2 audio Sonic adjustRate(Sonic java:405)_x000D_
                                                                                   at com google android exoplayer2 audio Sonic processStreamInput(Sonic java:490)_x000D_
                                                                                   at com google android exoplayer2 audio Sonic queueInput(Sonic java:127)_x000D_
                                                                                   at com google android exoplayer2 audio SonicAudioProcessor queueInput(SonicAudioProcessor java:151)_x000D_
                                                                                   at com google android exoplayer2 audio AudioTrack processBuffers(AudioTrack java:835)_x000D_
                                                                                   at com google android exoplayer2 audio AudioTrack handleBuffer(AudioTrack java:815)_x000D_
                                                                                   at com google android exoplayer2 audio MediaCodecAudioRenderer processOutputBuffer(MediaCodecAudioRenderer java:376)_x000D_
                                                                                   at com google android exoplayer2 mediacodec MediaCodecRenderer drainOutputBuffer(MediaCodecRenderer java:955)_x000D_
                                                                                   at com google android exoplayer2 mediacodec MediaCodecRenderer render(MediaCodecRenderer java:510)_x000D_
                                                                                   at com google android exoplayer2 ExoPlayerImplInternal doSomeWork(ExoPlayerImplInternal java:479)_x000D_
                                                                                   at com google android exoplayer2 ExoPlayerImplInternal handleMessage(ExoPlayerImplInternal java:308)_x000D_
                                                                                   at android os Handler dispatchMessage(Handler java:98)_x000D_
                                                                                   at android os Looper loop(Looper java:135)_x000D_
                                                                                   at android os HandlerThread run(HandlerThread java:61) _x000D_
</t>
  </si>
  <si>
    <t>maks-MGit-147</t>
  </si>
  <si>
    <t>NPE in showException</t>
  </si>
  <si>
    <t xml:space="preserve">from Play crash reports:_x000D_
   _x000D_
java lang NullPointerException_x000D_
	at me sheimi android utils BasicFunctions showException(BasicFunctions java:78)_x000D_
	at me sheimi sgit repo tasks SheimiAsyncTask showError(SheimiAsyncTask java:22)_x000D_
	at me sheimi sgit repo tasks repo RepoOpTask onPostExecute(RepoOpTask java:26)_x000D_
	at me sheimi sgit repo tasks repo CommitDiffTask onPostExecute(CommitDiffTask java:73)_x000D_
	at me sheimi sgit repo tasks repo CommitDiffTask onPostExecute(CommitDiffTask java:28)_x000D_
	at android os AsyncTask finish(AsyncTask java:631)_x000D_
	at android os AsyncTask access 600(AsyncTask java:177)_x000D_
	at android os AsyncTask InternalHandler handleMessage(AsyncTask java:644)_x000D_
	at android os Handler dispatchMessage(Handler java:99)_x000D_
	at android os Looper loop(Looper java:137)_x000D_
	at android app ActivityThread main(ActivityThread java:4929)_x000D_
	at java lang reflect Method invokeNative(Native Method)_x000D_
	at java lang reflect Method invoke(Method java:511)_x000D_
	at com android internal os ZygoteInit MethodAndArgsCaller run(ZygoteInit java:798)_x000D_
	at com android internal os ZygoteInit main(ZygoteInit java:565)_x000D_
	at dalvik system NativeStart main(Native Method)_x000D_
   </t>
  </si>
  <si>
    <t>nextcloud-android-959</t>
  </si>
  <si>
    <t>Crash After Rotation</t>
  </si>
  <si>
    <t xml:space="preserve">    Actual behaviour_x000D_
The app is crashing after rotate many times when quota is enable_x000D_
_x000D_
_x000D_
    Steps to reproduce_x000D_
1  Open App_x000D_
2  Open DrawerMenu_x000D_
3  Rotate many times _x000D_
_x000D_
_x000D_
    Environment data_x000D_
Android version:7 1 2_x000D_
_x000D_
Device model: Nexus 5X_x000D_
_x000D_
Nextcloud app version:Master_x000D_
_x000D_
Nextcloud server version:12_x000D_
_x000D_
    Logs_x000D_
_x000D_
   _x000D_
05 05 17:45:28 609 26313 26313 com claro sync E AndroidRuntime: FATAL EXCEPTION: main_x000D_
                                                                Process: com claro sync  PID: 26313_x000D_
                                                                java lang IllegalArgumentException: You cannot start a load for a destroyed activity_x000D_
                                                                    at com bumptech glide manager RequestManagerRetriever assertNotDestroyed(RequestManagerRetriever java:134)_x000D_
                                                                    at com bumptech glide manager RequestManagerRetriever get(RequestManagerRetriever java:102)_x000D_
                                                                    at com bumptech glide manager RequestManagerRetriever get(RequestManagerRetriever java:87)_x000D_
                                                                    at com bumptech glide Glide with(Glide java:629)_x000D_
                                                                    at com owncloud android utils DisplayUtils downloadSVGIcon(DisplayUtils java:562)_x000D_
                                                                    at com owncloud android utils DisplayUtils downloadIcon(DisplayUtils java:543)_x000D_
                                                                    at com owncloud android ui activity DrawerActivity updateQuotaLink(DrawerActivity java:877)_x000D_
                                                                    at com owncloud android ui activity DrawerActivity setQuotaInformation(DrawerActivity java:811)_x000D_
                                                                    at com owncloud android ui activity DrawerActivity access 500(DrawerActivity java:87)_x000D_
                                                                    at com owncloud android ui activity DrawerActivity 6 1 run(DrawerActivity java:934)_x000D_
                                                                    at android os Handler handleCallback(Handler java:751)_x000D_
                                                                    at android os Handler dispatchMessage(Handler java:95)_x000D_
                                                                    at android os Looper loop(Looper java:154)_x000D_
                                                                    at android app ActivityThread main(ActivityThread java:6121)_x000D_
                                                                    at java lang reflect Method invoke(Native Method)_x000D_
                                                                    at com android internal os ZygoteInit MethodAndArgsCaller run(ZygoteInit java:889)_x000D_
                                                                    at com android internal os ZygoteInit main(ZygoteInit java:779)_x000D_
   _x000D_
</t>
  </si>
  <si>
    <t>projectwife-mtesitoo-android-94</t>
  </si>
  <si>
    <t>It's possible (in a broken kind of a way) to delete non-existing product images</t>
  </si>
  <si>
    <t xml:space="preserve">_x000D_
_x000D_
  I viewed a product with no images _x000D_
  Then I clicked Edit _x000D_
  Then I clicked on the placeholder image _x000D_
  The regular dialog was shown _x000D_
  I clicked  Delete this image  _x000D_
  I m told it was deleted successfully  (this must be wrong)_x000D_
  Then I clicked  Delete this image  again _x000D_
  This time  I get a crash from a divide by zero exception (see the logs below)_x000D_
_x000D_
We should simply remove or disable the  Delete this image  button (keeping just the  add image  button) when the user clicks on a placeholder image _x000D_
_x000D_
_x000D_
   _x000D_
05 05 15:30:22 061 10332 10332 com tesitoo E AndroidRuntime: FATAL EXCEPTION: main_x000D_
                                                             Process: com tesitoo  PID: 10332_x000D_
                                                             java lang ArithmeticException: divide by zero_x000D_
                                                                 at com daimajia slider library SliderLayout getCurrentPosition(SliderLayout java:613)_x000D_
                                                                 at com mtesitoo fragment ProductDetailEditFragment 2 1 onResult(ProductDetailEditFragment java:270)_x000D_
                                                                 at com mtesitoo fragment ProductDetailEditFragment 2 1 onResult(ProductDetailEditFragment java:267)_x000D_
                                                                 at com mtesitoo backend service ProductImageDeleteResponse onResponse(ProductImageDeleteResponse java:29)_x000D_
                                                                 at com mtesitoo backend service ProductImageDeleteResponse onResponse(ProductImageDeleteResponse java:20)_x000D_
                                                                 at com android volley toolbox StringRequest deliverResponse(StringRequest java:60)_x000D_
                                                                 at com android volley toolbox StringRequest deliverResponse(StringRequest java:30)_x000D_
                                                                 at com android volley ExecutorDelivery ResponseDeliveryRunnable run(ExecutorDelivery java:99)_x000D_
                                                                 at android os Handler handleCallback(Handler java:739)_x000D_
                                                                 at android os Handler dispatchMessage(Handler java:95)_x000D_
                                                                 at android os Looper loop(Looper java:135)_x000D_
                                                                 at android app ActivityThread main(ActivityThread java:5254)_x000D_
                                                                 at java lang reflect Method invoke(Native Method)_x000D_
                                                                 at java lang reflect Method invoke(Method java:372)_x000D_
                                                                 at com android internal os ZygoteInit MethodAndArgsCaller run(ZygoteInit java:903)_x000D_
                                                                 at com android internal os ZygoteInit main(ZygoteInit java:698)_x000D_
   </t>
  </si>
  <si>
    <t>opensrp-opensrp-client-488</t>
  </si>
  <si>
    <t>App crash on clicking on child's dob - birth registration form</t>
  </si>
  <si>
    <t>App crashes on clicking child s dob field in the birth registration form  How to reproduce issue:_x000D_
 Open birth registration form  click on the child s dob form field_x000D_
 Test Device OS version:  Android 7 0_x000D_
 Exception _x000D_
java lang NullPointerException: Attempt to invoke virtual method  void android view ViewGroup removeAllViews()  on a null object reference_x000D_
                                                       at com vijay jsonwizard utils DatePickerUtils themeDatePicker(DatePickerUtils java:43)_x000D_
                                                       at com vijay jsonwizard utils DatePickerUtils themeDatePicker(DatePickerUtils java:24)_x000D_
                                                       at com vijay jsonwizard widgets DatePickerFactory showDatePickerDialog(DatePickerFactory java:349)_x000D_
                                                       at com vijay jsonwizard widgets DatePickerFactory access 100(DatePickerFactory java:47)_x000D_
                                                       at com vijay jsonwizard widgets DatePickerFactory 5 onFocusChange(DatePickerFactory java:215)_x000D_
                                                       at com vijay jsonwizard customviews GenericTextWatcher onFocusChange(GenericTextWatcher java:85)</t>
  </si>
  <si>
    <t>novoda-view-pager-adapter-14</t>
  </si>
  <si>
    <t>Fix crash when restoring state</t>
  </si>
  <si>
    <t xml:space="preserve">     Problem Goal_x000D_
_x000D_
There is a crash when the activity restores the state due to the fact that a String with the value   id   is tried to be parsed into an Integer _x000D_
_x000D_
 details _x000D_
   summary Stacktrace  summary _x000D_
Caused by: java lang NumberFormatException: Invalid int:  id _x000D_
  at java lang Integer invalidInt(Integer java:138)_x000D_
  at java lang Integer parse(Integer java:410)_x000D_
  at java lang Integer parseInt(Integer java:367)_x000D_
  at java lang Integer parseInt(Integer java:334)_x000D_
  at com novoda viewpageradapter ViewPagerAdapterState extractViewStatesFrom(ViewPagerAdapterState java:54)_x000D_
  at com novoda viewpageradapter ViewPagerAdapterState from(ViewPagerAdapterState java:36)_x000D_
  at com novoda viewpageradapter ViewPagerAdapterState access 000(ViewPagerAdapterState java:10)_x000D_
  at com novoda viewpageradapter ViewPagerAdapterState 1 createFromParcel(ViewPagerAdapterState java:15)_x000D_
  at com novoda viewpageradapter ViewPagerAdapterState 1 createFromParcel(ViewPagerAdapterState java:12)_x000D_
  at android os Parcel readParcelable(Parcel java:2367)_x000D_
  at android support v4 view ViewPager SavedState  init (ViewPager java:1454)_x000D_
  at android support v4 view ViewPager SavedState 1 createFromParcel(ViewPager java:1440)_x000D_
  at android support v4 view ViewPager SavedState 1 createFromParcel(ViewPager java:1437)_x000D_
  at android support v4 os ParcelableCompatCreatorHoneycombMR2 createFromParcel(ParcelableCompatHoneycombMR2 java:46)_x000D_
  at android os Parcel readParcelable(Parcel java:2365)_x000D_
  at android os Parcel readValue(Parcel java:2264)_x000D_
  at android os Parcel readSparseArrayInternal(Parcel java:2675)_x000D_
  at android os Parcel readSparseArray(Parcel java:1967)_x000D_
  at android os Parcel readValue(Parcel java:2321)_x000D_
  at android os Parcel readArrayMapInternal(Parcel java:2614)_x000D_
  at android os BaseBundle unparcel(BaseBundle java:221)_x000D_
  at android os Bundle getSparseParcelableArray(Bundle java:856)_x000D_
  at com android internal policy PhoneWindow restoreHierarchyState(PhoneWindow java:2033)_x000D_
  at android app Activity onRestoreInstanceState(Activity java:1008)_x000D_
  at android app Activity performRestoreInstanceState(Activity java:963)_x000D_
  details _x000D_
_x000D_
     Solution_x000D_
_x000D_
The proper thing to solve this  as pointed out by  ouchadam  is to put the view state in a different  Bundle   and put that  Bundle  into the  Bundle  that is written into the  Parcel   This way  integer keys are not mixed up with String keys _x000D_
_x000D_
      Test(s) added _x000D_
_x000D_
Nope_x000D_
_x000D_
      Screenshots_x000D_
_x000D_
No UI changes  crashing before  not anymore   </t>
  </si>
  <si>
    <t>uber-AutoDispose-67</t>
  </si>
  <si>
    <t>Investigate weird test failure in ViewScopeProviderTest</t>
  </si>
  <si>
    <t xml:space="preserve">Ignored in  57 _x000D_
_x000D_
All we get is  Instrumentation run failed due to  Process crashed     It crashes some time after  onError  is forward to the delegate  but I can t get the debugger to work to properly investigate _x000D_
_x000D_
CC  tonycosentini </t>
  </si>
  <si>
    <t>Freeyourgadget-Gadgetbridge-678</t>
  </si>
  <si>
    <t>Crashes on 0.19.1 when calendar permissions are not granted</t>
  </si>
  <si>
    <t xml:space="preserve">Hello _x000D_
i ve just made an update from 0 18 5 to 0 19 1 on my Moto G4  with LineageOS 14 1 (Android 7 1 2)  Before that i have had no problems to connect to my 2 gadgets  a Pebble Time Steel and a MiBand 2  Now i cant connect to my MiBand 2 and when i try to connect to my PTS GadgetBridge crashes _x000D_
I ve tried to reinstall an older version of GadgetBridge through F Droid but there is an error when i try this  I dont want to uninstall GadgetBridge to try it again because of the data _x000D_
I attach a log file _x000D_
Any hints _x000D_
With regards_x000D_
Thomas_x000D_
 gadgetbridgelog txt (https:  github com Freeyourgadget Gadgetbridge files 981003 gadgetbridgelog txt)_x000D_
_x000D_
</t>
  </si>
  <si>
    <t>codinguser-gnucash-android-685</t>
  </si>
  <si>
    <t>GnuCash crashes when auto backup triggers</t>
  </si>
  <si>
    <t xml:space="preserve">     Steps to reproduce the behaviour_x000D_
Nothing specific  just use your device and when the scheduled auto backup triggers a pop up shows up that tells you that GnuCash has stopped _x000D_
_x000D_
     Expected behaviour_x000D_
When auto backup triggers GnuCash should not crash _x000D_
_x000D_
     Actual behaviour_x000D_
GnuCash crashes regularly every time auto backup triggers  See attachment:  logcat txt (https:  github com codinguser gnucash android files 980985 logcat txt) _x000D_
_x000D_
     Software specifications_x000D_
  GnuCash Android version: 2 2 0_x000D_
  System Android version: Android 7 0_x000D_
  Device type: Lenovo Moto G5 Plus_x000D_
</t>
  </si>
  <si>
    <t>google-ExoPlayer-2782</t>
  </si>
  <si>
    <t>Playback failure when playing ogg file</t>
  </si>
  <si>
    <t xml:space="preserve">On version 2 4 0  when I play a certain ogg file  I get a crash and it s 100  reproducible  I ve attached the file that causes the issue  VLC player for Mac is able to play this file without issue  _x000D_
 Say My Name (feat  Zyra) ogg zip (https:  github com google ExoPlayer files 981840 Say My Name feat Zyra ogg zip)_x000D_
_x000D_
To reproduce this issue  place the file in  sdcard Music  then go into PlayerActivity java of the ExoPlayer sample app and replace the implementation of  buildMediaSource()  with _x000D_
_x000D_
    JAVA_x000D_
private MediaSource buildMediaSource(Uri uri  String overrideExtension)  _x000D_
_x000D_
    File sayMyNameFile   new File(  sdcard Music Say My Name (feat  Zyra) ogg ) _x000D_
_x000D_
    Uri sayMyNameUri   Uri fromFile(sayMyNameFile) _x000D_
_x000D_
    final MediaSource mediaSource   new ExtractorMediaSource(sayMyNameUri _x000D_
        new DefaultDataSourceFactory(this     )  new DefaultExtractorsFactory() _x000D_
        mainHandler  eventLogger) _x000D_
_x000D_
    return mediaSource _x000D_
   _x000D_
   _x000D_
_x000D_
Add the following permission to the AndroidManifest xml_x000D_
_x000D_
   XML_x000D_
 uses permission android:name  android permission READ EXTERNAL STORAGE   _x000D_
   _x000D_
_x000D_
Then run the following shell command to grant the read storage permission_x000D_
_x000D_
   _x000D_
adb shell pm grant com google android exoplayer2 demo android permission READ EXTERNAL STORAGE_x000D_
   _x000D_
_x000D_
You can now click on any format in the app to reproduce the error_x000D_
_x000D_
   _x000D_
Unexpected exception loading stream_x000D_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java:1133)_x000D_
    at java util concurrent ThreadPoolExecutor Worker run(ThreadPoolExecutor java:607)_x000D_
    at java lang Thread run(Thread java:761)_x000D_
E LoadTask: Unexpected exception loading stream_x000D_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java:1133)_x000D_
    at java util concurrent ThreadPoolExecutor Worker run(ThreadPoolExecutor java:607)_x000D_
    at java lang Thread run(Thread java:761)_x000D_
E EventLogger: internalError  0 14  loadError _x000D_
com google android exoplayer2 upstream Loader UnexpectedLoaderException: Unexpected ArrayIndexOutOfBoundsException: length 65025  regionStart 65025  regionLength 65025_x000D_
    at com google android exoplayer2 upstream Loader LoadTask run(Loader java:317)_x000D_
    at java util concurrent ThreadPoolExecutor runWorker(ThreadPoolExecutor java:1133)_x000D_
    at java util concurrent ThreadPoolExecutor Worker run(ThreadPoolExecutor java:607)_x000D_
    at java lang Thread run(Thread java:761)_x000D_
 Caused by: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 _x000D_
    at java util concurrent ThreadPoolExecutor Worker run(ThreadPoolExecutor java:607) _x000D_
    at java lang Thread run(Thread java:761) _x000D_
E EventLogger: internalError  0 14  loadError _x000D_
com google android exoplayer2 upstream Loader UnexpectedLoaderException: Unexpected ArrayIndexOutOfBoundsException: length 65025  regionStart 65025  regionLength 65025_x000D_
    at com google android exoplayer2 upstream Loader LoadTask run(Loader java:317)_x000D_
    at java util concurrent ThreadPoolExecutor runWorker(ThreadPoolExecutor java:1133)_x000D_
    at java util concurrent ThreadPoolExecutor Worker run(ThreadPoolExecutor java:607)_x000D_
    at java lang Thread run(Thread java:761)_x000D_
 Caused by: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 _x000D_
    at java util concurrent ThreadPoolExecutor Worker run(ThreadPoolExecutor java:607) _x000D_
    at java lang Thread run(Thread java:761) _x000D_
E LoadTask: Unexpected exception loading stream_x000D_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java:1133)_x000D_
    at java util concurrent ThreadPoolExecutor Worker run(ThreadPoolExecutor java:607)_x000D_
    at java lang Thread run(Thread java:761)_x000D_
E EventLogger: internalError  1 13  loadError _x000D_
com google android exoplayer2 upstream Loader UnexpectedLoaderException: Unexpected ArrayIndexOutOfBoundsException: length 65025  regionStart 65025  regionLength 65025_x000D_
    at com google android exoplayer2 upstream Loader LoadTask run(Loader java:317)_x000D_
    at java util concurrent ThreadPoolExecutor runWorker(ThreadPoolExecutor java:1133)_x000D_
    at java util concurrent ThreadPoolExecutor Worker run(ThreadPoolExecutor java:607)_x000D_
    at java lang Thread run(Thread java:761)_x000D_
 Caused by: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 _x000D_
    at java util concurrent ThreadPoolExecutor Worker run(ThreadPoolExecutor java:607) _x000D_
    at java lang Thread run(Thread java:761) _x000D_
E LoadTask: Unexpected exception loading stream_x000D_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java:1133)_x000D_
    at java util concurrent ThreadPoolExecutor Worker run(ThreadPoolExecutor java:607)_x000D_
    at java lang Thread run(Thread java:761)_x000D_
05 07 20:21:49 206 14785 14785 com google android exoplayer2 demo E EventLogger: internalError  3 14  loadError _x000D_
 com google android exoplayer2 upstream Loader UnexpectedLoaderException: Unexpected ArrayIndexOutOfBoundsException: length 65025  regionStart 65025  regionLength 65025_x000D_
     at com google android exoplayer2 upstream Loader LoadTask run(Loader java:317)_x000D_
     at java util concurrent ThreadPoolExecutor runWorker(ThreadPoolExecutor java:1133)_x000D_
     at java util concurrent ThreadPoolExecutor Worker run(ThreadPoolExecutor java:607)_x000D_
     at java lang Thread run(Thread java:761)_x000D_
  Caused by: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 _x000D_
     at java util concurrent ThreadPoolExecutor Worker run(ThreadPoolExecutor java:607) _x000D_
     at java lang Thread run(Thread java:761) _x000D_
E ExoPlayerImplInternal: Source error _x000D_
com google android exoplayer2 upstream Loader UnexpectedLoaderException: Unexpected ArrayIndexOutOfBoundsException: length 65025  regionStart 65025  regionLength 65025_x000D_
    at com google android exoplayer2 upstream Loader LoadTask run(Loader java:317)_x000D_
    at java util concurrent ThreadPoolExecutor runWorker(ThreadPoolExecutor java:1133)_x000D_
    at java util concurrent ThreadPoolExecutor Worker run(ThreadPoolExecutor java:607)_x000D_
    at java lang Thread run(Thread java:761)_x000D_
 Caused by: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 _x000D_
    at java util concurrent ThreadPoolExecutor Worker run(ThreadPoolExecutor java:607) _x000D_
    at java lang Thread run(Thread java:761) _x000D_
E EventLogger: playerFailed  3 15 _x000D_
 com google android exoplayer2 ExoPlaybackException_x000D_
     at com google android exoplayer2 ExoPlayerImplInternal handleMessage(ExoPlayerImplInternal java:357)_x000D_
     at android os Handler dispatchMessage(Handler java:98)_x000D_
     at android os Looper loop(Looper java:154)_x000D_
     at android os HandlerThread run(HandlerThread java:61)_x000D_
  Caused by: com google android exoplayer2 upstream Loader UnexpectedLoaderException: Unexpected ArrayIndexOutOfBoundsException: length 65025  regionStart 65025  regionLength 65025_x000D_
     at com google android exoplayer2 upstream Loader LoadTask run(Loader java:317)_x000D_
     at java util concurrent ThreadPoolExecutor runWorker(ThreadPoolExecutor java:1133)_x000D_
     at java util concurrent ThreadPoolExecutor Worker run(ThreadPoolExecutor java:607)_x000D_
     at java lang Thread run(Thread java:761)_x000D_
  Caused by: java lang ArrayIndexOutOfBoundsException: length 65025  regionStart 65025  regionLength 65025_x000D_
     at java util Arrays checkOffsetAndCount(Arrays java:4857)_x000D_
     at libcore io IoBridge read(IoBridge java:466)_x000D_
     at java io RandomAccessFile readBytes(RandomAccessFile java:325)_x000D_
     at java io RandomAccessFile read(RandomAccessFile java:354)_x000D_
     at com google android exoplayer2 upstream FileDataSource read(FileDataSource java:90)_x000D_
     at com google android exoplayer2 upstream DefaultDataSource read(DefaultDataSource java:128)_x000D_
     at com google android exoplayer2 extractor DefaultExtractorInput readFromDataSource(DefaultExtractorInput java:257)_x000D_
     at com google android exoplayer2 extractor DefaultExtractorInput readFully(DefaultExtractorInput java:70)_x000D_
     at com google android exoplayer2 extractor DefaultExtractorInput readFully(DefaultExtractorInput java:79)_x000D_
     at com google android exoplayer2 extractor ogg OggPacket populate(OggPacket java:88)_x000D_
     at com google android exoplayer2 extractor ogg StreamReader readHeaders(StreamReader java:124)_x000D_
     at com google android exoplayer2 extractor ogg StreamReader read(StreamReader java:105)_x000D_
     at com google android exoplayer2 extractor ogg OggExtractor read(OggExtractor java:98)_x000D_
     at com google android exoplayer2 source ExtractorMediaPeriod ExtractingLoadable load(ExtractorMediaPeriod java:652)_x000D_
     at com google android exoplayer2 upstream Loader LoadTask run(Loader java:295)_x000D_
     at java util concurrent ThreadPoolExecutor runWorker(ThreadPoolExecutor java:1133) _x000D_
     at java util concurrent ThreadPoolExecutor Worker run(ThreadPoolExecutor java:607) _x000D_
     at java lang Thread run(Thread java:761) _x000D_
05 07 20:21:49 219 14785 14785 com google android exoplayer2 demo D EventLogger: loading  false _x000D_
05 07 20:21:49 243 14785 14785 com google android exoplayer2 demo D EventLogger: state  3 18  true  I _x000D_
   </t>
  </si>
  <si>
    <t>projectwife-mtesitoo-android-97</t>
  </si>
  <si>
    <t>Crash when deleting images</t>
  </si>
  <si>
    <t xml:space="preserve">I created a new product  then went in to edit and deleted the image and received a successfully deleted message   Deleted it again 2 times and the application crashed </t>
  </si>
  <si>
    <t>kollerlukas-Camera-Roll-Android-App-14</t>
  </si>
  <si>
    <t>Sometimes resuming app does not work properly</t>
  </si>
  <si>
    <t xml:space="preserve">After resuming app  if in picture detailed view  the picture is gone  so only black background is visible  One cannot swipe to other picture  and pressing back button arrow makes the app crash </t>
  </si>
  <si>
    <t>projectwife-mtesitoo-android-101</t>
  </si>
  <si>
    <t>Price editing problem - inconsistent formats causing trouble</t>
  </si>
  <si>
    <t xml:space="preserve">Some requests accept or return prices as floats _x000D_
Other requests accept or return prices as formatted strings  including the currency symbol _x000D_
_x000D_
Unfortunately these are a bit mixed up _x000D_
_x000D_
This means that if you edit a product  you see eg   D3  _x000D_
If you change it to  D4   a crash happens  Only if you edit to a numeric value  and then save  are you able to successfully edit the product _x000D_
_x000D_
The most straightforward solution is to make all requests use floats  with no currency symbol included _x000D_
_x000D_
This will require testing and or changes on both client and server </t>
  </si>
  <si>
    <t>ably-ably-java-323</t>
  </si>
  <si>
    <t>Android push notification beta crash + API issue</t>
  </si>
  <si>
    <t xml:space="preserve"> Reported by customer Edgar (https:  app intercom io a apps ua39m1ld respond inbox all conversations 9472050594):_x000D_
_x000D_
   I was checking Android push notification implementation and I can t seem to subscribe to a channel after receiving the callback from  activate   ablyRealtime channels get(  ) push_x000D_
  I tried the following: ablyRealtime channels get( channel name ) push    Apparently push doesn t exist  I did as the installation instructions indicate _x000D_
_x000D_
Also  reported a crash:_x000D_
_x000D_
  Another issue is that after executing this: ablyRealtime push activate(context) _x000D_
The app crashes and I get:_x000D_
05 05 01:59:30 878 20620 20620 ee app conversamanager E AndroidRuntime: FATAL EXCEPTION: main_x000D_
Process: ee app conversamanager  PID: 20620_x000D_
java lang NoClassDefFoundError: io azam ulidj ULID_x000D_
at io ably lib rest LocalDevice load(LocalDevice java:33)_x000D_
at io ably lib rest AblyRest device(AblyRest java:21)_x000D_
at io ably lib rest Push ActivationStateMachine NotActivated transition(Push java:147)_x000D_
at io ably lib rest Push ActivationStateMachine handleEvent(Push java:449)_x000D_
at io ably lib rest Push activate(Push java:39)_x000D_
at io ably lib rest Push activate(Push java:34)_x000D_
at ee app conversamanager management AblyConnection initAbly(AblyConnection java:86)_x000D_
at ee app conversamanager ActivityMain onCreate(ActivityMain java:60)_x000D_
at android app Activity performCreate(Activity java:5231)_x000D_
at android app Instrumentation callActivityOnCreate(Instrumentation java:1087)_x000D_
at android app ActivityThread performLaunchActivity(ActivityThread java:2148)_x000D_
at android app ActivityThread handleLaunchActivity(ActivityThread java:2233)_x000D_
at android app ActivityThread access 800(ActivityThread java:135)_x000D_
at android app ActivityThread H handleMessage(ActivityThread java:1196)_x000D_
at android os Handler dispatchMessage(Handler java:102)_x000D_
at android os Looper loop(Looper java:136)_x000D_
at android app ActivityThread main(ActivityThread java:5001)_x000D_
at java lang reflect Method invokeNative(Native Method)_x000D_
at java lang reflect Method invoke(Method java:515)_x000D_
at com android internal os ZygoteInit MethodAndArgsCaller run(ZygoteInit java:785)_x000D_
at com android internal os ZygoteInit main(ZygoteInit java:601)_x000D_
at dalvik system NativeStart main(Native Method)_x000D_
</t>
  </si>
  <si>
    <t>google-ExoPlayer-2795</t>
  </si>
  <si>
    <t>Crash when reading a non-existing Adaptation Set from DASH manifest</t>
  </si>
  <si>
    <t xml:space="preserve">    Issue description_x000D_
When  reading the AdaptationSet (https:  github com google ExoPlayer blob release v2 library dash src main java com google android exoplayer2 source dash DefaultDashChunkSource java L301) from the Dash manifest (MPD) the ExoPlayer didn t check the provided indices of the Period and AdaptationSet elements  This could result in an  IndexOutOfBoundsException  when the referenced period or adaption set didn t exist _x000D_
_x000D_
    Reproduction steps_x000D_
The reason for the faulty reference is probably an error in the manifest file  but the ExoPlayer should handle it more robustly and without a crash  Currently I can t provide a manifest to reproduce the crash  However  the crash has occurred several times on different devices  I m not sure if a simple check of the indices is sufficient  Maybe the correct index of the period and the adaption set must be checked and handled earlier _x000D_
_x000D_
    Version of ExoPlayer being used_x000D_
ExoPlayer r2 3 1_x000D_
_x000D_
    Device(s) and version(s) of Android being used_x000D_
  Samsung SM T550 (Android 6 0 1)_x000D_
  Sony F8331 (Android 7 1 1)_x000D_
  NVIDIA SHIELD Tablet K1 (7 0)_x000D_
_x000D_
    Stacktrace_x000D_
   _x000D_
java lang IndexOutOfBoundsException: Index: 1  Size: 1_x000D_
	at java util ArrayList get(ArrayList java:411)_x000D_
	at java util Collections UnmodifiableList get(Collections java:1295)_x000D_
	at com google android exoplayer2 source dash DefaultDashChunkSource getAdaptationSet(DefaultDashChunkSource java:303)_x000D_
	at com google android exoplayer2 source dash DefaultDashChunkSource updateManifest(DefaultDashChunkSource java:145)_x000D_
	at com google android exoplayer2 source dash DashMediaPeriod updateManifest(DashMediaPeriod java:94)_x000D_
	at com google android exoplayer2 source dash DashMediaSource processManifest(DashMediaSource java:455)_x000D_
	at com google android exoplayer2 source dash DashMediaSource onManifestLoadCompleted(DashMediaSource java:365)_x000D_
	at com google android exoplayer2 source dash DashMediaSource ManifestCallback onLoadCompleted(DashMediaSource java:730)_x000D_
	at com google android exoplayer2 source dash DashMediaSource ManifestCallback onLoadError(DashMediaSource java:724)_x000D_
	at com google android exoplayer2 source dash DashMediaSource ManifestCallback onLoadCanceled(DashMediaSource java:724)_x000D_
	at com google android exoplayer2 source dash DashMediaSource ManifestCallback onLoadCompleted(DashMediaSource java:724)_x000D_
	at com google android exoplayer2 upstream Loader LoadTask handleMessage(Loader java:355)_x000D_
	at android os Handler dispatchMessage(Handler java:102)_x000D_
	at android os Looper loop(Looper java:154)_x000D_
	at android os HandlerThread run(HandlerThread java:61)_x000D_
	at com google android exoplayer2 util PriorityHandlerThread run(PriorityHandlerThread java:40)_x000D_
   _x000D_
_x000D_
_x000D_
</t>
  </si>
  <si>
    <t>maks-MGit-153</t>
  </si>
  <si>
    <t>Un-Staged/Staged diff causes app to crash.</t>
  </si>
  <si>
    <t xml:space="preserve">Clicking either of the diff buttons on the status page causes MGit to crash  files can be Staged or Un Staged and the result is the same  _x000D_
_x000D_
In the first image  the PDF exists on the remote already  but the  jar doesn t _x000D_
  Files Staged when crash (https:  cloud githubusercontent com assets 12553295 25834353 f82ae124 343c 11e7 9d32 89530c9ecde9 png)_x000D_
In the second image  the  jar does not exist on the remote still _x000D_
  File Un Staged when crash (https:  cloud githubusercontent com assets 12553295 25834489 dcaeab28 343d 11e7 8d8c 557a9a08697c png)_x000D_
</t>
  </si>
  <si>
    <t>square-okhttp-3334</t>
  </si>
  <si>
    <t>java.lang.InternalError: java.util.MissingResourceException</t>
  </si>
  <si>
    <t xml:space="preserve">There is such a crash reported from our app:_x000D_
_x000D_
   _x000D_
Caused by java lang InternalError: java util MissingResourceException: Can t find bundle for base name sun util logging resources logging  locale en AU_x000D_
       at java util logging Logger 1 run(Logger java:1385)_x000D_
       at java util logging Logger 1 run(Logger java:1379)_x000D_
       at java security AccessController doPrivileged(AccessController java:41)_x000D_
       at java util logging Logger findSystemResourceBundle(Logger java:1378)_x000D_
       at java util logging Logger findResourceBundle(Logger java:1425)_x000D_
       at java util logging Logger setupResourceInfo(Logger java:1523)_x000D_
       at java util logging Logger (Logger java)_x000D_
       at java util logging Logger (Logger java)_x000D_
       at java util logging LogManager SystemLoggerContext demandLogger(LogManager java:734)_x000D_
       at java util logging LogManager demandSystemLogger(LogManager java:399)_x000D_
       at java util logging Logger getPlatformLogger(Logger java:474)_x000D_
       at java util logging LoggingProxyImpl getLogger(LoggingProxyImpl java:41)_x000D_
       at sun util logging LoggingSupport getLogger(LoggingSupport java:100)_x000D_
       at sun util logging PlatformLogger JavaLoggerProxy (PlatformLogger java)_x000D_
       at sun util logging PlatformLogger JavaLoggerProxy (PlatformLogger java)_x000D_
       at sun util logging PlatformLogger (PlatformLogger java)_x000D_
       at sun util logging PlatformLogger getLogger(PlatformLogger java:205)_x000D_
       at java net CookieManager put(CookieManager java:262)_x000D_
       at okhttp3 JavaNetCookieJar saveFromResponse(SourceFile:47)_x000D_
       at okhttp3 internal http HttpEngine receiveHeaders(SourceFile:866)_x000D_
       at okhttp3 internal http HttpEngine readResponse(SourceFile:598)_x000D_
       at okhttp3 RealCall getResponse(SourceFile:241)_x000D_
       at okhttp3 RealCall ApplicationInterceptorChain proceed(SourceFile:198)_x000D_
       at okhttp3 RealCall getResponseWithInterceptorChain(SourceFile:160)_x000D_
       at okhttp3 RealCall execute(SourceFile:57)_x000D_
   _x000D_
We are using okhttp v3 2 0 _x000D_
And the configuration is looks like this:_x000D_
   java_x000D_
CookieHandler cookieHandler   new CookieManager(cookieStore  CookiePolicy ACCEPT ALL) _x000D_
OkHttpClient Builder okHttpBuilder   okHttpClient newBuilder()_x000D_
         cache(cache)_x000D_
         cookieJar(new JavaNetCookieJar(cookieHandler))_x000D_
         connectTimeout(HTTP TIMEOUT  TimeUnit SECONDS)_x000D_
         readTimeout(HTTP TIMEOUT  TimeUnit SECONDS) _x000D_
this okHttpClient   okHttpBuilder build() _x000D_
   _x000D_
_x000D_
This crash is not easy to reproduce _x000D_
I m not sure if it s an OS bug  because it only happens on Android 7 according to our collected data _x000D_
_x000D_
_x000D_
_x000D_
_x000D_
</t>
  </si>
  <si>
    <t>twilio-video-quickstart-android-116</t>
  </si>
  <si>
    <t>Disconnecting from a Room that is not connected sometimes results in crash</t>
  </si>
  <si>
    <t xml:space="preserve">We are sometimes seeing crashes when disconnecting from a Room that has not reached the connected state  _x000D_
_x000D_
  Stacktrace  _x000D_
_x000D_
   _x000D_
05 09 20:56:03 465: I org webrtc Logging(14462): WebRtcAudioManager: dispose  name Thread 2278  id 2278 _x000D_
05 09 20:56:03 465: I org webrtc Logging(14462):           beginning of crash_x000D_
05 09 20:56:03 468: A libc(14462): heap corruption detected by dlfree_x000D_
05 09 20:56:03 468: A libc(14462): Fatal signal 6 (SIGABRT)  code  6 in tid 27921 (Thread 2278)_x000D_
05 09 20:56:03 550: I DEBUG(202):                                                                _x000D_
05 09 20:56:03 551: I DEBUG(202): Build fingerprint:  google volantis flounder:5 0 2 LRX22L 1816899:user release keys _x000D_
05 09 20:56:03 551: I DEBUG(202): Revision:  0 _x000D_
05 09 20:56:03 551: I DEBUG(202): ABI:  arm64 _x000D_
05 09 20:56:03 551: I DEBUG(202): pid: 14462  tid: 27921  name: Thread 2278      com twilio video test    _x000D_
05 09 20:56:03 551: I DEBUG(202): signal 6 (SIGABRT)  code  6 (SI TKILL)  fault addr         _x000D_
05 09 20:56:03 626: I DEBUG(202): Abort message:  heap corruption detected by dlfree _x000D_
05 09 20:56:03 630: I DEBUG(202):     x0   0000000000000000  x1   0000000000006d11  x2   0000000000000006  x3   00000055857f5030_x000D_
05 09 20:56:03 630: I DEBUG(202):     x4   00000055857f5030  x5   0000000000000005  x6   0000000000000001  x7   0000000000000020_x000D_
05 09 20:56:03 630: I DEBUG(202):     x8   0000000000000083  x9   fefeff7e66ff6464  x10  7f7f7f7f7f7f7f7f  x11  0000000000000001_x000D_
05 09 20:56:03 630: I DEBUG(202):     x12  0000000000000001  x13  0000000000000000  x14  0000000000000000  x15  001be7d789713de2_x000D_
05 09 20:56:03 630: I DEBUG(202):     x16  0000007f813a57d8  x17  0000007f8136a424  x18  0000000000000000  x19  00000055857f5030_x000D_
05 09 20:56:03 630: I DEBUG(202):     x20  0000007f68326bb0  x21  0000007f813ab000  x22  0000000000000058  x23  0000000000000006_x000D_
05 09 20:56:03 630: I DEBUG(202):     x24  0000000000000001  x25  0000007f68c1cdc8  x26  00000000ffffffff  x27  0000005585a7c100_x000D_
05 09 20:56:03 630: I DEBUG(202):     x28  000000000082e432  x29  0000007f68326300  x30  0000007f81328bb0_x000D_
05 09 20:56:03 630: I DEBUG(202):     sp   0000007f68326300  pc   0000007f8136a42c  pstate 0000000060000000_x000D_
05 09 20:56:03 630: I DEBUG(202): backtrace:_x000D_
05 09 20:56:03 630: I DEBUG(202):      00 pc 000000000005f42c   system lib64 libc so (tgkill 8)_x000D_
05 09 20:56:03 630: I DEBUG(202):      01 pc 000000000001dbac   system lib64 libc so (pthread kill 160)_x000D_
05 09 20:56:03 630: I DEBUG(202):      02 pc 000000000001f0e0   system lib64 libc so (raise 28)_x000D_
05 09 20:56:03 631: I DEBUG(202):      03 pc 00000000000189fc   system lib64 libc so (abort 60)_x000D_
05 09 20:56:03 631: I DEBUG(202):      04 pc 000000000001af88   system lib64 libc so (  libc fatal 128)_x000D_
05 09 20:56:03 631: I DEBUG(202):      05 pc 000000000003e8c4   system lib64 libc so (  bionic heap corruption error 20)_x000D_
05 09 20:56:03 631: I DEBUG(202):      06 pc 0000000000041d50   system lib64 libc so (dlfree 1052)_x000D_
05 09 20:56:03 631: I DEBUG(202):      07 pc 00000000000171c4   system lib64 libc so (free 20)_x000D_
05 09 20:56:03 631: I DEBUG(202):      08 pc 0000000000774e7c   data app com twilio video test 1 lib arm64 libjingle peerconnection so so_x000D_
05 09 20:56:03 631: I DEBUG(202):      09 pc 0000000000777450   data app com twilio video test 1 lib arm64 libjingle peerconnection so so_x000D_
05 09 20:56:03 631: I DEBUG(202):      10 pc 0000000000777604   data app com twilio video test 1 lib arm64 libjingle peerconnection so so_x000D_
05 09 20:56:03 631: I DEBUG(202):      11 pc 00000000006d5288   data app com twilio video test 1 lib arm64 libjingle peerconnection so so_x000D_
05 09 20:56:03 631: I DEBUG(202):      12 pc 00000000006d9d9c   data app com twilio video test 1 lib arm64 libjingle peerconnection so so_x000D_
05 09 20:56:03 631: I DEBUG(202):      13 pc 00000000006d9e74   data app com twilio video test 1 lib arm64 libjingle peerconnection so so_x000D_
05 09 20:56:03 631: I DEBUG(202):      14 pc 0000000000685100   data app com twilio video test 1 lib arm64 libjingle peerconnection so so_x000D_
05 09 20:56:03 631: I DEBUG(202):      15 pc 0000000000670cac   data app com twilio video test 1 lib arm64 libjingle peerconnection so so_x000D_
05 09 20:56:03 631: I DEBUG(202):      16 pc 000000000062f46c   data app com twilio video test 1 lib arm64 libjingle peerconnection so so_x000D_
05 09 20:56:03 631: I DEBUG(202):      17 pc 000000000062f868   data app com twilio video test 1 lib arm64 libjingle peerconnection so so_x000D_
05 09 20:56:03 631: I DEBUG(202):      18 pc 0000000000582160   data app com twilio video test 1 lib arm64 libjingle peerconnection so so_x000D_
05 09 20:56:03 631: I DEBUG(202):      19 pc 000000000057db58   data app com twilio video test 1 lib arm64 libjingle peerconnection so so_x000D_
05 09 20:56:03 631: I DEBUG(202):      20 pc 0000000000582350   data app com twilio video test 1 lib arm64 libjingle peerconnection so so_x000D_
05 09 20:56:03 631: I DEBUG(202):      21 pc 0000000000582e28   data app com twilio video test 1 lib arm64 libjingle peerconnection so so_x000D_
05 09 20:56:03 631: I DEBUG(202):      22 pc 000000000001ccc0   system lib64 libc so (  pthread start(void ) 52)_x000D_
05 09 20:56:03 631: I DEBUG(202):      23 pc 0000000000018fc4   system lib64 libc so (  start thread 16)_x000D_
05 09 20:56:03 968: I DEBUG(202): Tombstone written to:  data tombstones tombstone 00_x000D_
   _x000D_
_x000D_
  Workaround  _x000D_
_x000D_
The SDK should allow disconnecting from a Room before being connected  but if you are experiencing this issue we recommend waiting for the  onConnected  callback before calling disconnect </t>
  </si>
  <si>
    <t>inaturalist-iNaturalistAndroid-350</t>
  </si>
  <si>
    <t>handle null resultsJSON from NewsReceiver</t>
  </si>
  <si>
    <t xml:space="preserve">https:  fabric io inaturalist android apps org inaturalist android issues 591151a4be077a4dcc79fbba time last seven days_x000D_
   _x000D_
Fatal Exception: java lang RuntimeException: Error receiving broadcast Intent   act updates results flg 0x10 (has extras)   in org inaturalist android ObservationListActivity NewsReceiver 4212f568_x000D_
       at android app LoadedApk ReceiverDispatcher Args run(LoadedApk java:769)_x000D_
       at android os Handler handleCallback(Handler java:733)_x000D_
       at android os Handler dispatchMessage(Handler java:95)_x000D_
       at android os Looper loop(Looper java:136)_x000D_
       at android app ActivityThread main(ActivityThread java:5590)_x000D_
       at java lang reflect Method invokeNative(Method java)_x000D_
       at java lang reflect Method invoke(Method java:515)_x000D_
       at com android internal os ZygoteInit MethodAndArgsCaller run(ZygoteInit java:1268)_x000D_
       at com android internal os ZygoteInit main(ZygoteInit java:1084)_x000D_
       at dalvik system NativeStart main(NativeStart java)_x000D_
Caused by java lang NullPointerException_x000D_
       at org inaturalist android ObservationListActivity NewsReceiver onReceive(ObservationListActivity java:1435)_x000D_
       at android app LoadedApk ReceiverDispatcher Args run(LoadedApk java:759)_x000D_
       at android os Handler handleCallback(Handler java:733)_x000D_
       at android os Handler dispatchMessage(Handler java:95)_x000D_
       at android os Looper loop(Looper java:136)_x000D_
       at android app ActivityThread main(ActivityThread java:5590)_x000D_
       at java lang reflect Method invokeNative(Method java)_x000D_
       at java lang reflect Method invoke(Method java:515)_x000D_
       at com android internal os ZygoteInit MethodAndArgsCaller run(ZygoteInit java:1268)_x000D_
       at com android internal os ZygoteInit main(ZygoteInit java:1084)_x000D_
       at dalvik system NativeStart main(NativeStart java)_x000D_
   _x000D_
_x000D_
I believe this is what Alison was reporting at https:  groups google com d topic inaturalist cA1TIXXfZ I discussion: she said the app was repeatedly crashing while offline  Is it possible to ask INaturalistService for news  go offline  the service task runs  gets no results b c it s offline  then broadcasts an intent with null instead of some valid JSON _x000D_
</t>
  </si>
  <si>
    <t>t3rmian-PBMap-2</t>
  </si>
  <si>
    <t>Map switch crash</t>
  </si>
  <si>
    <t xml:space="preserve">Spamming map switch (e g  switching floors) sometimes causes a crash </t>
  </si>
  <si>
    <t>pwittchen-ReactiveWiFi-28</t>
  </si>
  <si>
    <t>Error receiving broadcast Intent { act=android.net.wifi.supplicant.STATE_CHANGE flg=0x24000010 (has extras) } in com.github.pwittchen.reactivewifi.ReactiveWifi$4$1@b745bb</t>
  </si>
  <si>
    <t xml:space="preserve">I m using Android API level 22  everything works fine but occasionally the app crashes  I ve added stacktrace:_x000D_
_x000D_
 05 10 09:07:34 009 F MyExceptionHandler( 4098): Error receiving broadcast Intent   act android net wifi supplicant STATE CHANGE flg 0x24000010 (has extras)   in com github pwittchen reactivewifi ReactiveWifi 4 1 b745bb_x000D_
05 10 09:07:34 009 F MyExceptionHandler( 4098): java lang RuntimeException: Error receiving broadcast Intent   act android net wifi supplicant STATE CHANGE flg 0x24000010 (has extras)   in com github pwittchen reactivewifi ReactiveWifi 4 1 b745bb_x000D_
05 10 09:07:34 009 F MyExceptionHandler( 4098): 	at android app LoadedApk ReceiverDispatcher Args run(LoadedApk java:915)_x000D_
05 10 09:07:34 009 F MyExceptionHandler( 4098): 	at android os Handler handleCallback(Handler java:815)_x000D_
05 10 09:07:34 009 F MyExceptionHandler( 4098): 	at android os Handler dispatchMessage(Handler java:104)_x000D_
05 10 09:07:34 009 F MyExceptionHandler( 4098): 	at android os Looper loop(Looper java:194)_x000D_
05 10 09:07:34 009 F MyExceptionHandler( 4098): 	at android app ActivityThread main(ActivityThread java:5637)_x000D_
05 10 09:07:34 009 F MyExceptionHandler( 4098): 	at java lang reflect Method invoke(Native Method)_x000D_
05 10 09:07:34 009 F MyExceptionHandler( 4098): 	at java lang reflect Method invoke(Method java:372)_x000D_
05 10 09:07:34 009 F MyExceptionHandler( 4098): 	at com android internal os ZygoteInit MethodAndArgsCaller run(ZygoteInit java:959)_x000D_
05 10 09:07:34 009 F MyExceptionHandler( 4098): 	at com android internal os ZygoteInit main(ZygoteInit java:754)_x000D_
05 10 09:07:34 009 F MyExceptionHandler( 4098): Caused by: java lang IllegalStateException: more items arrived than were requested_x000D_
05 10 09:07:34 009 F MyExceptionHandler( 4098): 	at rx internal producers ProducerArbiter produced(ProducerArbiter java:98)_x000D_
05 10 09:07:34 009 F MyExceptionHandler( 4098): 	at rx internal operators OperatorSwitchIfEmpty ParentSubscriber onNext(OperatorSwitchIfEmpty java:91)_x000D_
05 10 09:07:34 009 F MyExceptionHandler( 4098): 	at com github pwittchen reactivewifi ReactiveWifi 4 1 onReceive(ReactiveWifi java:164)_x000D_
05 10 09:07:34 009 F MyExceptionHandler( 4098): 	at android app LoadedApk ReceiverDispatcher Args run(LoadedApk java:905)_x000D_
05 10 09:07:34 009 F MyExceptionHandler( 4098): 	    8 more_x000D_
05 10 09:07:34 011 I MyExceptionHandler( 4098): tv isern alexiafe activity LoginPacientActivity java lang RuntimeException: Error receiving broadcast Intent   act android net wifi supplicant STATE CHANGE flg 0x24000010 (has extras)   in com github pwittchen reactivewifi ReactiveWifi 4 1 b745bb_x000D_
05 10 09:07:34 011 I MyExceptionHandler( 4098): 	at android app LoadedApk ReceiverDispatcher Args run(LoadedApk java:915)_x000D_
05 10 09:07:34 011 I MyExceptionHandler( 4098): 	at android os Handler handleCallback(Handler java:815)_x000D_
05 10 09:07:34 011 I MyExceptionHandler( 4098): 	at android os Handler dispatchMessage(Handler java:104)_x000D_
05 10 09:07:34 011 I MyExceptionHandler( 4098): 	at android os Looper loop(Looper java:194)_x000D_
05 10 09:07:34 011 I MyExceptionHandler( 4098): 	at android app ActivityThread main(ActivityThread java:5637)_x000D_
05 10 09:07:34 011 I MyExceptionHandler( 4098): 	at java lang reflect Method invoke(Native Method)_x000D_
05 10 09:07:34 011 I MyExceptionHandler( 4098): 	at java lang reflect Method invoke(Method java:372)_x000D_
05 10 09:07:34 011 I MyExceptionHandler( 4098): 	at com android internal os ZygoteInit MethodAndArgsCaller run(ZygoteInit java:959)_x000D_
05 10 09:07:34 011 I MyExceptionHandler( 4098): 	at com android internal os ZygoteInit main(ZygoteInit java:754)_x000D_
05 10 09:07:34 011 I MyExceptionHandler( 4098): Caused by: java lang IllegalStateException: more items arrived than were requested_x000D_
05 10 09:07:34 011 I MyExceptionHandler( 4098): 	at rx internal producers ProducerArbiter produced(ProducerArbiter java:98)_x000D_
05 10 09:07:34 011 I MyExceptionHandler( 4098): 	at rx internal operators OperatorSwitchIfEmpty ParentSubscriber onNext(OperatorSwitchIfEmpty java:91)_x000D_
05 10 09:07:34 011 I MyExceptionHandler( 4098): 	at com github pwittchen reactivewifi ReactiveWifi 4 1 onReceive(ReactiveWifi java:164)_x000D_
05 10 09:07:34 011 I MyExceptionHandler( 4098): 	at android app LoadedApk ReceiverDispatcher Args run(LoadedApk java:905)_x000D_
05 10 09:07:34 011 I MyExceptionHandler( 4098): 	    8 more _x000D_
</t>
  </si>
  <si>
    <t>inaturalist-iNaturalistAndroid-353</t>
  </si>
  <si>
    <t>project list memory crash</t>
  </si>
  <si>
    <t xml:space="preserve">The app crashed for  joellebel while viewing the list of projects ( Joined   Joelle )  Here s the log:_x000D_
_x000D_
 logcat (2) txt (https:  github com inaturalist iNaturalistAndroid files 997895 logcat 2 txt)_x000D_
_x000D_
I find it a bit suspicious that the  OutOfMemoryError  occurrences seem to be preceeded by a lot of  IntentReceiverLeaked  errors  Do those leaked intent receivers cause memory usage to ratchet up  </t>
  </si>
  <si>
    <t>opw0011-OpenToiletAndroid-24</t>
  </si>
  <si>
    <t>[Minor] Memory issues with ToiletDetailActivity</t>
  </si>
  <si>
    <t xml:space="preserve">When open the ToiletDetailActivity and return to the Toilet list for a few times  the app crashes  The pictures is not cached correctly  as a result  it loads again and again  It seems that the full picture is loaded </t>
  </si>
  <si>
    <t>cgeo-cgeo-6560</t>
  </si>
  <si>
    <t>Trying to write to SD for GPX export leads to crash</t>
  </si>
  <si>
    <t xml:space="preserve">I have seen this crash on Google Play _x000D_
It seems the user set the GPX export dir to      sdcard gpx   where I assume we potentially have no write access _x000D_
Had no time to try to reproduce it yet  but will do later on _x000D_
_x000D_
If this is a general problem  we should either take care  that the user cannot even select this as export dir or we should present an appropriate error message _x000D_
_x000D_
   _x000D_
java lang RuntimeException: An error occurred while executing doInBackground()_x000D_
	at android os AsyncTask 3 done(AsyncTask java:318)_x000D_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java:762)_x000D_
Caused by: java lang RuntimeException: Aborting on Log e()_x000D_
	at cgeo geocaching utils Log e(Log java:108)_x000D_
	at cgeo geocaching export GpxExport ExportTask doInBackgroundInternal(GpxExport java:152)_x000D_
	at cgeo geocaching export GpxExport ExportTask doInBackgroundInternal(GpxExport java:110)_x000D_
	at cgeo geocaching utils AsyncTaskWithProgress doInBackground(AsyncTaskWithProgress java:104)_x000D_
	at android os AsyncTask 2 call(AsyncTask java:304)_x000D_
	at java util concurrent FutureTask run(FutureTask java:237)_x000D_
	    4 more_x000D_
Caused by: java io FileNotFoundException:  storage sdcard0 gpx export 2017 05 12 gpx (No such file or directory)_x000D_
	at java io FileOutputStream open(Native Method)_x000D_
	at java io FileOutputStream  init (FileOutputStream java:221)_x000D_
	at java io FileOutputStream  init (FileOutputStream java:169)_x000D_
	at cgeo geocaching export GpxExport ExportTask doInBackgroundInternal(GpxExport java:143)_x000D_
	    8 more_x000D_
   </t>
  </si>
  <si>
    <t>microsoft-project-rome-17</t>
  </si>
  <si>
    <t>Xamarin.Droid.Sample : Failed at Platform.InitializeAsync</t>
  </si>
  <si>
    <t xml:space="preserve">Hi _x000D_
I ve tried to run the xamarin samples ConnectedDevices Xamarin Droid Sample _x000D_
I could build it and run with my CLIENT ID  At the first time launch  I ve put the my MSA id and pass  But  the app crashed at this point _x000D_
It seems that the app crashed at MainActivity cs  line 63:_x000D_
_x000D_
             var result   await Platform InitializeAsync(this ApplicationContext  CLIENT ID)  _x000D_
_x000D_
I want to debug it but I can t _x000D_
Because   this Platform InitializeAsync is a part of Xamarin src ConnectedDevices Xamarin Droid    and the source is insufficient to build and debug  It seems that the Jars connecteddevices sdk armv7 release aar ( you can download it by download aas ps1) is old  and it does not contain the definition of AppServiceClientConnectionClosedStatus   This prevent the build of ConnectedDevices Xamarin Droid _x000D_
_x000D_
best regards _x000D_
</t>
  </si>
  <si>
    <t>SkyTubeTeam-SkyTube-111</t>
  </si>
  <si>
    <t>[Bug] Consistent crashing when pressing a back button from a playing video</t>
  </si>
  <si>
    <t xml:space="preserve">I m running version 2 41   The crash happens consistently and with an identical error log:_x000D_
_x000D_
   _x000D_
E AndroidRuntime: FATAL EXCEPTION: main_x000D_
    Process: free rm skytube oss  PID: xxxxxxxx_x000D_
    java lang IllegalArgumentException: You cannot start a load for a destroyed activity_x000D_
        at com bumptech glide manager RequestManagerRetriever assertNotDestroyed(RequestManagerRetriever java:134)_x000D_
        at com bumptech glide manager RequestManagerRetriever get(RequestManagerRetriever java:102)_x000D_
        at com bumptech glide manager RequestManagerRetriever get(RequestManagerRetriever java:87)_x000D_
        at com bumptech glide Glide with(Glide java:629)_x000D_
        at free rm skytube gui businessobjects SubsAdapter SubChannelViewHolder updateInfo(SubsAdapter java:193)_x000D_
        at free rm skytube gui businessobjects SubsAdapter onBindViewHolder(SubsAdapter java:163)_x000D_
        at free rm skytube gui businessobjects SubsAdapter onBindViewHolder(SubsAdapter java:42)_x000D_
        at android support v7 widget RecyclerView Adapter onBindViewHolder(RecyclerView java:6308)_x000D_
        at android support v7 widget RecyclerView Adapter bindViewHolder(RecyclerView java:6341)_x000D_
        at android support v7 widget RecyclerView Recycler tryBindViewHolderByDeadline(RecyclerView java:5287)_x000D_
        at android support v7 widget RecyclerView Recycler tryGetViewHolderForPositionByDeadline(RecyclerView java:5550)_x000D_
        at android support v7 widget RecyclerView Recycler getViewForPosition(RecyclerView java:5392)_x000D_
        at android support v7 widget RecyclerView Recycler getViewForPosition(RecyclerView java:5388)_x000D_
        at android support v7 widget LinearLayoutManager LayoutState next(LinearLayoutManager java:2149)_x000D_
        at android support v7 widget LinearLayoutManager layoutChunk(LinearLayoutManager java:1533)_x000D_
        at android support v7 widget LinearLayoutManager fill(LinearLayoutManager java:1496)_x000D_
        at android support v7 widget LinearLayoutManager onLayoutChildren(LinearLayoutManager java:593)_x000D_
        at android support v7 widget RecyclerView dispatchLayoutStep2(RecyclerView java:3535)_x000D_
        at android support v7 widget RecyclerView dispatchLayout(RecyclerView java:3264)_x000D_
        at android support v7 widget RecyclerView onLayout(RecyclerView java:3796)_x000D_
        at android view View layout(View java:17637)_x000D_
        at android view ViewGroup layout(ViewGroup java:5575)_x000D_
        at android widget RelativeLayout onLayout(RelativeLayout java:1079)_x000D_
        at android view View layout(View java:17637)_x000D_
        at android view ViewGroup layout(ViewGroup java:5575)_x000D_
        at android support v4 widget DrawerLayout onLayout(DrawerLayout java:1217)_x000D_
        at android view View layout(View java:17637)_x000D_
        at android view ViewGroup layout(ViewGroup java:5575)_x000D_
        at android widget FrameLayout layoutChildren(FrameLayout java:323)_x000D_
        at android widget FrameLayout onLayout(FrameLayout java:261)_x000D_
        at android view View layout(View java:17637)_x000D_
        at android view ViewGroup layout(ViewGroup java:5575)_x000D_
        at android widget FrameLayout layoutChildren(FrameLayout java:323)_x000D_
        at android widget FrameLayout onLayout(FrameLayout java:261)_x000D_
        at android view View layout(View java:17637)_x000D_
        at android view ViewGroup layout(ViewGroup java:5575)_x000D_
        at android widget LinearLayout setChildFrame(LinearLayout java:1741)_x000D_
        at android widget LinearLayout layoutVertical(LinearLayout java:1585)_x000D_
        at android widget LinearLayout onLayout(LinearLayout java:1494)_x000D_
        at android view View layout(View java:17637)_x000D_
        at android view ViewGroup layout(ViewGroup java:5575)_x000D_
        at android widget FrameLayout layoutChildren(FrameLayout java:323)_x000D_
        at android widget FrameLayout onLayout(FrameLayout java:261)_x000D_
        at android view View layout(View java:17637)_x000D_
        at android view ViewGroup layout(ViewGroup java:5575)_x000D_
        at android widget LinearLayout setChildFrame(LinearLayout java:1741)_x000D_
        at android widget LinearLayout layoutVertical(LinearLayout java:1585)_x000D_
        at android widget LinearLayout onLayout(LinearLayout java:1494)_x000D_
        at android view View layout(View java:17637)_x000D_
        at android view ViewGroup layout(ViewGroup java:5575)_x000D_
        at android widget FrameLayout layoutChildren(FrameLayout java:323)_x000D_
        at android widget FrameLayout onLayout(FrameLayout java:261)_x000D_
        at com android internal policy DecorView onLayout(DecorView java:727)_x000D_
        at android view View layout(View java:17637)_x000D_
E AndroidRuntime:     at android view ViewGroup layout(ViewGroup java:5575)_x000D_
        at android view ViewRootImpl performLayout(ViewRootImpl java:2346)_x000D_
        at android view ViewRootImpl performTraversals(ViewRootImpl java:2068)_x000D_
        at android view ViewRootImpl doTraversal(ViewRootImpl java:1254)_x000D_
        at android view ViewRootImpl TraversalRunnable run(ViewRootImpl java:6338)_x000D_
        at android view Choreographer CallbackRecord run(Choreographer java:874)_x000D_
        at android view Choreographer doCallbacks(Choreographer java:686)_x000D_
        at android view Choreographer doFrame(Choreographer java:621)_x000D_
        at android view Choreographer FrameDisplayEventReceiver run(Choreographer java:860)_x000D_
        at android os Handler handleCallback(Handler java:751)_x000D_
        at android os Handler dispatchMessage(Handler java:95)_x000D_
        at android os Looper loop(Looper java:154)_x000D_
        at android app ActivityThread main(ActivityThread java:6124)_x000D_
        at java lang reflect Method invoke(Native Method)_x000D_
        at com android internal os ZygoteInit MethodAndArgsCaller run(ZygoteInit java:882)_x000D_
        at com android internal os ExecInit main(ExecInit java:68)_x000D_
        at com android internal os RuntimeInit nativeFinishInit(Native Method)_x000D_
        at com android internal os RuntimeInit main(RuntimeInit java:262)_x000D_
E AndroidRuntime: Error reporting crash_x000D_
    java lang RuntimeException: Bad file descriptor_x000D_
        at android os BinderProxy transactNative(Native Method)_x000D_
        at android os BinderProxy transact(Binder java:615)_x000D_
        at android app ActivityManagerProxy handleApplicationCrash(ActivityManagerNative java:5133)_x000D_
        at com android internal os RuntimeInit UncaughtHandler uncaughtException(RuntimeInit java:97)_x000D_
        at java lang ThreadGroup uncaughtException(ThreadGroup java:1068)_x000D_
        at java lang ThreadGroup uncaughtException(ThreadGroup java:1063)_x000D_
_x000D_
   </t>
  </si>
  <si>
    <t>Kunzisoft-Android-SwitchDateTimePicker-19</t>
  </si>
  <si>
    <t>internal crash</t>
  </si>
  <si>
    <t>05 15 18:54:00 560 E CustomActivityOnCrash: App has crashed  executing CustomActivityOnCrash s UncaughtExceptionHandler_x000D_
                                            java lang NullPointerException: Attempt to invoke virtual method  void android widget TextView setOnKeyListener(android view View OnKeyListener)  on a null object reference_x000D_
                                                at com kunzisoft switchdatetime time SwitchTimePicker onCreateView(SwitchTimePicker java:193)_x000D_
                                                at com kunzisoft switchdatetime SwitchDateTimeDialogFragment onCreateDialog(SwitchDateTimeDialogFragment java:251)_x000D_
                                                at android support v4 app DialogFragment getLayoutInflater(DialogFragment java:312)_x000D_
                                                at android support v4 app FragmentManagerImpl moveToState(FragmentManager java:1299)_x000D_
                                                at android support v4 app FragmentManagerImpl moveFragmentToExpectedState(FragmentManager java:1528)_x000D_
                                                at android support v4 app FragmentManagerImpl moveToState(FragmentManager java:1595)_x000D_
                                                at android support v4 app BackStackRecord executeOps(BackStackRecord java:758)_x000D_
                                                at android support v4 app FragmentManagerImpl executeOps(FragmentManager java:2363)_x000D_
                                                at android support v4 app FragmentManagerImpl executeOpsTogether(FragmentManager java:2149)_x000D_
                                                at android support v4 app FragmentManagerImpl optimizeAndExecuteOps(FragmentManager java:2103)_x000D_
                                                at android support v4 app FragmentManagerImpl execPendingActions(FragmentManager java:2013)_x000D_
                                                at android support v4 app FragmentManagerImpl 1 run(FragmentManager java:710)_x000D_
                                                at android os Handler handleCallback(Handler java:739)_x000D_
                                                at android os Handler dispatchMessage(Handler java:95)_x000D_
                                                at android os Looper loop(Looper java:135)_x000D_
                                                at android app ActivityThread main(ActivityThread java:5254)_x000D_
                                                at java lang reflect Method invoke(Native Method)_x000D_
                                                at java lang reflect Method invoke(Method java:372)_x000D_
                                                at com android internal os ZygoteInit MethodAndArgsCaller run(ZygoteInit java:903)_x000D_
                                                at com android internal os ZygoteInit main(ZygoteInit java:698)</t>
  </si>
  <si>
    <t>yayaa-LocationManager-43</t>
  </si>
  <si>
    <t>NPE on googleApiClient</t>
  </si>
  <si>
    <t>Hi _x000D_
_x000D_
I am using this library in production and am unable to repro this on my devices but am getting this exception on many different users devices  I have error reporting through crashlytics and this is my highest crash _x000D_
_x000D_
Stack Trace:_x000D_
_x000D_
Fatal Exception: java lang NullPointerException: Attempt to invoke virtual method  boolean com google android gms location LocationAvailability isLocationAvailable()  on a null object reference_x000D_
 at com yayandroid locationmanager providers locationprovider GooglePlayServicesLocationSource getLocationAvailability(SourceFile:100)_x000D_
       at com yayandroid locationmanager providers locationprovider GooglePlayServicesLocationProvider checkLastKnowLocation(SourceFile:196)_x000D_
       at com yayandroid locationmanager providers locationprovider GooglePlayServicesLocationProvider onConnected(SourceFile:105)_x000D_
       at com yayandroid locationmanager providers locationprovider GooglePlayServicesLocationSource onConnected(SourceFile:110)_x000D_
_x000D_
I am extending LocationBaseActivity and my Location Configuration is:_x000D_
_x000D_
   java_x000D_
 Override_x000D_
public LocationConfiguration getLocationConfiguration()  _x000D_
return new LocationConfiguration Builder() askForPermission(new PermissionConfiguration Builder() build())_x000D_
                 useGooglePlayServices(new GooglePlayServicesConfiguration Builder()_x000D_
                         askForGooglePlayServices(true)_x000D_
                         setWaitPeriod(5   1000)_x000D_
                         build())_x000D_
                 useDefaultProviders(new DefaultProviderConfiguration Builder()_x000D_
                         acceptableTimePeriod(2   60   60   1000)_x000D_
                         setWaitPeriod(ProviderType GPS  10   1000)_x000D_
                         setWaitPeriod(ProviderType NETWORK  5   1000)_x000D_
                         gpsMessage( Would you mind to turn GPS on  ) build())_x000D_
                 build() _x000D_
     _x000D_
_x000D_
   _x000D_
After users on the app login to their account  I check location using:_x000D_
 getLocation()   inherited from LocationBaseActivity_x000D_
_x000D_
Could you please add a null check to _x000D_
com yayandroid locationmanager providers locationprovider GooglePlayServicesLocationSource getLocationAvailability(SourceFile:100) for variable googleApiClient</t>
  </si>
  <si>
    <t>aaronjwood-PortAuthority-72</t>
  </si>
  <si>
    <t>Send WoL UDP packet in a separate thread</t>
  </si>
  <si>
    <t xml:space="preserve">Some users are experiencing crashes with the current implementation </t>
  </si>
  <si>
    <t>QuantumBadger-RedReader-498</t>
  </si>
  <si>
    <t>Crashes with pull-to-refresh on old versions of Android</t>
  </si>
  <si>
    <t>Reported here:_x000D_
_x000D_
https:  www reddit com r RedReader comments 6b3qsy version 198 released dhmbrwb _x000D_
_x000D_
  when I swipe down to refresh (either in the post view or in the comments view) RedReader crashes  That doesn t happen when I use the refresh button though  And it used to work just fine in the previous version  This only seems to happen on my older phone using Android 4 0 _x000D_
_x000D_
Looks like more testing is needed on older Android versions :)</t>
  </si>
  <si>
    <t>commons-app-apps-android-commons-614</t>
  </si>
  <si>
    <t xml:space="preserve">Crash: Fragment State loss exception </t>
  </si>
  <si>
    <t xml:space="preserve">The app is crashing as we are trying to commit the fragment  onPostExecute  call of an  AsyncTask  but theres a possibility that the  onSaveInstanceState  has already been called for it  Here s a  blog post (http:  www androiddesignpatterns com 2013 08 fragment transaction commit state loss html) explaining why this happens  _x000D_
_x000D_
   _x000D_
FATAL EXCEPTION: main Process: fr free nrw commons  PID: 10644_x000D_
java lang IllegalStateException: Can not perform this action after onSaveInstanceState_x000D_
 at android support v4 app FragmentManagerImpl checkStateLoss(FragmentManager java:1842)_x000D_
 at android support v4 app FragmentManagerImpl enqueueAction(FragmentManager java:1860)_x000D_
 at android support v4 app BackStackRecord commitInternal(BackStackRecord java:649)_x000D_
 at android support v4 app BackStackRecord commit(BackStackRecord java:609)_x000D_
 at fr free nrw commons nearby NearbyActivity setListFragment(NearbyActivity java:247)_x000D_
 at fr free nrw commons nearby NearbyActivity NearbyAsyncTask onPostExecute(NearbyActivity java:219)_x000D_
 at fr free nrw commons nearby NearbyActivity NearbyAsyncTask onPostExecute(NearbyActivity java:166)_x000D_
 at android os AsyncTask finish(AsyncTask java:651)_x000D_
 at android os AsyncTask  wrap1(AsyncTask java)_x000D_
 at android os AsyncTask InternalHandler handleMessage(AsyncTask java:668)_x000D_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_x000D_
The issue is similar to  435 but its because of a different code path  And the fix in this case would be different as described in the blog post  </t>
  </si>
  <si>
    <t>digital-voting-pass-polling-station-app-34</t>
  </si>
  <si>
    <t>OCR activity crashes and won't start in special case</t>
  </si>
  <si>
    <t xml:space="preserve">When the OCR activity is open on landscape mode  then the screen is locked  and then the screen is unlocked again while phone is held in portrait mode  The OCR activity crashes and won t start up without restarting the entire app </t>
  </si>
  <si>
    <t>Cloudkibo-Android-595</t>
  </si>
  <si>
    <t xml:space="preserve">System Crash </t>
  </si>
  <si>
    <t xml:space="preserve"> sojharo _x000D_
_x000D_
My phone crashed   please analyze the dump_x000D_
_x000D_
 img width  1378  alt  screen shot 2017 05 16 at 12 57 18 am  src  https:  cloud githubusercontent com assets 5336012 26095500 bc4ea384 39d2 11e7 9151 f3cf5db1b63b png  _x000D_
 img width  1294  alt  screen shot 2017 05 16 at 12 57 40 am  src  https:  cloud githubusercontent com assets 5336012 26095509 c351e272 39d2 11e7 96cb 1ce049de6493 png  _x000D_
</t>
  </si>
  <si>
    <t>nextcloud-android-1017</t>
  </si>
  <si>
    <t>Contact backup first time crashes</t>
  </si>
  <si>
    <t xml:space="preserve">    Actual behaviour_x000D_
  Select backup contacts for the  first time  ( press button back up now ) application crashes_x000D_
_x000D_
    Expected behaviour_x000D_
  Contact backup file uploads to server  _x000D_
_x000D_
If it helps the problem is that the method  expireFiles  tries to get the folder    Contacts Backup   before it s creation in the  CreateFolderOperation _x000D_
 _x000D_
    Steps to reproduce_x000D_
1  Open app_x000D_
2  Select back up contacts menu_x000D_
3  Press the button backup now_x000D_
4  Wait until the service starts_x000D_
_x000D_
_x000D_
    Environment data_x000D_
Android version: 7 0_x000D_
_x000D_
Device model: Huawei P10_x000D_
_x000D_
Stock or customized system:_x000D_
_x000D_
Nextcloud app version:1 4 2_x000D_
_x000D_
Nextcloud server version:_x000D_
_x000D_
    Logs_x000D_
     Web server error log_x000D_
   _x000D_
Insert your webserver log here_x000D_
   _x000D_
_x000D_
     Nextcloud log (data nextcloud log)_x000D_
   _x000D_
Insert your Nextcloud log here_x000D_
05 17 15:32:20 336 20196 20196 com nextcloud client E AndroidRuntime: FATAL EXCEPTION: main_x000D_
                                                                Process: com nextcloud client  PID: 20196_x000D_
                                                                java lang NullPointerException: Attempt to invoke virtual method  java lang String com owncloud android datamodel OCFile getFileName()  on a null object reference_x000D_
                                                                    at com owncloud android services ContactsBackupJob expireFiles(ContactsBackupJob java:176)_x000D_
                                                                    at com owncloud android services ContactsBackupJob access 200(ContactsBackupJob java:62)_x000D_
                                                                    at com owncloud android services ContactsBackupJob OperationsServiceConnection onServiceConnected(ContactsBackupJob java:254)_x000D_
                                                                    at android app LoadedApk ServiceDispatcher doConnected(LoadedApk java:1586)_x000D_
                                                                    at android app LoadedApk ServiceDispatcher RunConnection run(LoadedApk java:1614)_x000D_
                                                                    at android os Handler handleCallback(Handler java:761)_x000D_
                                                                    at android os Handler dispatchMessage(Handler java:98)_x000D_
                                                                    at android os Looper loop(Looper java:156)_x000D_
                                                                    at android app ActivityThread main(ActivityThread java:6577)_x000D_
                                                                    at java lang reflect Method invoke(Native Method)_x000D_
                                                                    at com android internal os ZygoteInit MethodAndArgsCaller run(ZygoteInit java:941)_x000D_
                                                                    at com android internal os ZygoteInit main(ZygoteInit java:831)_x000D_
_x000D_
_x000D_
   _x000D_
  NOTE:   Be super sure to remove sensitive data like passwords  note that everybody can look here  You can use the Issue Template application to prefill some of the required information: https:  apps nextcloud com apps issuetemplate_x000D_
</t>
  </si>
  <si>
    <t>yayaa-LocationManager-48</t>
  </si>
  <si>
    <t>Permissions issue</t>
  </si>
  <si>
    <t xml:space="preserve">Hi _x000D_
_x000D_
I have had 20 different client devices crash on various device manufacturers with error:_x000D_
_x000D_
Client must have ACCESS COARSE LOCATION or ACCESS FINE LOCATION permission to perform any location operations _x000D_
at com yayandroid locationmanager providers locationprovider GooglePlayServicesLocationSource requestLocationUpdate(SourceFile:96)_x000D_
       at com yayandroid locationmanager providers locationprovider GooglePlayServicesLocationProvider requestLocationUpdate(SourceFile:227)_x000D_
       at com yayandroid locationmanager providers locationprovider GooglePlayServicesLocationProvider onResult(SourceFile:160)_x000D_
       at com yayandroid locationmanager providers locationprovider GooglePlayServicesLocationSource onResult(SourceFile:131)_x000D_
       at com yayandroid locationmanager providers locationprovider GooglePlayServicesLocationSource onResult(SourceFile:26)_x000D_
_x000D_
I have all the necessary permissions in manifest:_x000D_
    java_x000D_
 uses permission android:name  android permission INTERNET    _x000D_
     uses permission android:name  android permission ACCESS NETWORK STATE    _x000D_
     uses permission android:name  android permission ACCESS COARSE LOCATION    _x000D_
     uses permission android:name  android permission ACCESS FINE LOCATION    _x000D_
     uses feature android:name  android hardware location gps    _x000D_
   _x000D_
_x000D_
And my location configuration:_x000D_
_x000D_
    java_x000D_
return new LocationConfiguration Builder() askForPermission(new PermissionConfiguration Builder() build())_x000D_
                 useGooglePlayServices(new GooglePlayServicesConfiguration Builder()_x000D_
                         askForGooglePlayServices(true)_x000D_
                         setWaitPeriod(5   1000)_x000D_
                         build())_x000D_
                 useDefaultProviders(new DefaultProviderConfiguration Builder()_x000D_
                         acceptableTimePeriod(2   60   60   1000)_x000D_
                         setWaitPeriod(ProviderType GPS  10   1000)_x000D_
                         setWaitPeriod(ProviderType NETWORK  5   1000)_x000D_
                         gpsMessage( Would you mind to turn GPS on  ) build())_x000D_
                 build() _x000D_
   _x000D_
Please advise on how to avoid this issue </t>
  </si>
  <si>
    <t>tanguyantoine-react-native-music-control-68</t>
  </si>
  <si>
    <t>java.lang.RuntimeException Unable to start service</t>
  </si>
  <si>
    <t xml:space="preserve">Hey _x000D_
within our production app  I ve received the following crash report:_x000D_
_x000D_
   _x000D_
_x000D_
java lang RuntimeException Unable to start service com tanguyantoine react MusicControlNotification NotificationService 30b4c15 with Intent   act android intent action MAIN cat  android intent category LAUNCHER  flg 0x10200000 cmp com muzica android com squareup leakcanary internal DisplayLeakActivity bnds  827 614  995 782  (has extras)  : java lang NullPointerException: Attempt to invoke virtual method  void com tanguyantoine react MusicControlNotification hide()  on a null object reference _x000D_
    ActivityThread java:3468 android app ActivityThread handleServiceArgs_x000D_
    ActivityThread java: 1 android app ActivityThread  wrap21_x000D_
    ActivityThread java:1632 android app ActivityThread H handleMessage_x000D_
    Handler java:102 android os Handler dispatchMessage_x000D_
    Looper java:154 android os Looper loop_x000D_
    ActivityThread java:6290 android app ActivityThread main_x000D_
    Method java: 2 java lang reflect Method invoke_x000D_
    ZygoteInit java:886 com android internal os ZygoteInit MethodAndArgsCaller run_x000D_
    ZygoteInit java:776 com android internal os ZygoteInit main_x000D_
_x000D_
_x000D_
Caused: java lang NullPointerException Attempt to invoke virtual method  void com tanguyantoine react MusicControlNotification hide()  on a null object reference _x000D_
    MusicControlModule java:129 com tanguyantoine react MusicControlModule destroy_x000D_
    MusicControlNotification java:136 com tanguyantoine react MusicControlNotification NotificationService onTaskRemoved_x000D_
    ActivityThread java:3453 android app ActivityThread handleServiceArgs_x000D_
    ActivityThread java: 1 android app ActivityThread  wrap21_x000D_
    ActivityThread java:1632 android app ActivityThread H handleMessage_x000D_
    Handler java:102 android os Handler dispatchMessage_x000D_
    Looper java:154 android os Looper loop_x000D_
    ActivityThread java:6290 android app ActivityThread main_x000D_
    Method java: 2 java lang reflect Method invoke_x000D_
    ZygoteInit java:886 com android internal os ZygoteInit MethodAndArgsCaller run_x000D_
    ZygoteInit java:776 com android internal os ZygoteInit main_x000D_
_x000D_
   _x000D_
_x000D_
Both devices are on Android 6 0 and 7 0  Any idea what s causing this </t>
  </si>
  <si>
    <t>commons-app-apps-android-commons-631</t>
  </si>
  <si>
    <t>Crash on rotate</t>
  </si>
  <si>
    <t xml:space="preserve">App crashes when rotating device inside MediaDetailsFragment activity _x000D_
_x000D_
   _x000D_
05 19 15:45:34 151 11819 11819 fr free nrw commons E AndroidRuntime: FATAL EXCEPTION: main_x000D_
                                                                     Process: fr free nrw commons  PID: 11819_x000D_
                                                                     java lang RuntimeException: Unable to start activity ComponentInfo fr free nrw commons fr free nrw commons contributions ContributionsActivity : java lang NullPointerException: Attempt to invoke virtual method  void android support v7 app ActionBar setDisplayHomeAsUpEnabled(boolean)  on a null object reference_x000D_
                                                                         at android app ActivityThread performLaunchActivity(ActivityThread java:2947)_x000D_
                                                                         at android app ActivityThread handleLaunchActivity(ActivityThread java:3008)_x000D_
                                                                         at android app ActivityThread handleRelaunchActivity(ActivityThread java:4974)_x000D_
                                                                         at android app ActivityThread  wrap21(ActivityThread java)_x000D_
                                                                         at android app ActivityThread H handleMessage(ActivityThread java:1656)_x000D_
                                                                         at android os Handler dispatchMessage(Handler java:102)_x000D_
                                                                         at android os Looper loop(Looper java:154)_x000D_
                                                                         at android app ActivityThread main(ActivityThread java:6688)_x000D_
                                                                         at java lang reflect Method invoke(Native Method)_x000D_
                                                                         at com android internal os ZygoteInit MethodAndArgsCaller run(ZygoteInit java:1468)_x000D_
                                                                         at com android internal os ZygoteInit main(ZygoteInit java:1358)_x000D_
                                                                      Caused by: java lang NullPointerException: Attempt to invoke virtual method  void android support v7 app ActionBar setDisplayHomeAsUpEnabled(boolean)  on a null object reference_x000D_
                                                                         at fr free nrw commons contributions ContributionsActivity onCreate(ContributionsActivity java:139)_x000D_
                                                                         at android app Activity performCreate(Activity java:6912)_x000D_
                                                                         at android app Instrumentation callActivityOnCreate(Instrumentation java:1126)_x000D_
                                                                         at android app ActivityThread performLaunchActivity(ActivityThread java:2900)_x000D_
                                                                         at android app ActivityThread handleLaunchActivity(ActivityThread java:3008) _x000D_
                                                                         at android app ActivityThread handleRelaunchActivity(ActivityThread java:4974) _x000D_
                                                                         at android app ActivityThread  wrap21(ActivityThread java) _x000D_
                                                                         at android app ActivityThread H handleMessage(ActivityThread java:1656) _x000D_
                                                                         at android os Handler dispatchMessage(Handler java:102) _x000D_
                                                                         at android os Looper loop(Looper java:154) _x000D_
                                                                         at android app ActivityThread main(ActivityThread java:6688) _x000D_
                                                                         at java lang reflect Method invoke(Native Method) _x000D_
                                                                         at com android internal os ZygoteInit MethodAndArgsCaller run(ZygoteInit java:1468) _x000D_
                                                                         at com android internal os ZygoteInit main(ZygoteInit java:1358) _x000D_
_x000D_
   </t>
  </si>
  <si>
    <t>niclabs-adkintunmobile-androidclient-172</t>
  </si>
  <si>
    <t>SpeedTest.java line 72</t>
  </si>
  <si>
    <t xml:space="preserve">     in cl niclabs adkintunmobile utils activemeasurements speedtest SpeedTest 1 run
  Number of crashes: 1
  Impacted devices: 1
There s a lot more information about this crash on crashlytics com:
 https:  fabric io niclabs android apps cl niclabs adkintunmobile issues 591e6b48be077a4dcceba3eb (https:  fabric io niclabs android apps cl niclabs adkintunmobile issues 591e6b48be077a4dcceba3eb)</t>
  </si>
  <si>
    <t>projectwife-mtesitoo-android-107</t>
  </si>
  <si>
    <t>crash when adding image from gallery</t>
  </si>
  <si>
    <t>1  Add a new product _x000D_
2  See details_x000D_
3  Edit_x000D_
4  Add a new photo from the gallery_x000D_
_x000D_
   A crash is reported  and the app returns to the product list screen  No photo is added _x000D_
_x000D_
Tested on deployed Play Store app  Moto G3   5 1</t>
  </si>
  <si>
    <t>Telegram-FOSS-Team-Telegram-FOSS-153</t>
  </si>
  <si>
    <t>Fix translations</t>
  </si>
  <si>
    <t xml:space="preserve">Building 3 18 0b throws lint errors for translations:_x000D_
_x000D_
    _x000D_
:TMessagesProj:lintVitalFatRelease home vagrant build org telegram messenger TMessagesProj src main res values strings xml:463: Error:  NotificationEditedGroupName  is not translated in  ru  (Russian)  MissingTranslation _x000D_
     string name  NotificationEditedGroupName   1 s edited the group  s  2 s name  string _x000D_
                                              _x000D_
 home vagrant build org telegram messenger TMessagesProj src main res values strings xml:464: Error:  NotificationEditedGroupPhoto  is not translated in  ru  (Russian)  MissingTranslation _x000D_
     string name  NotificationEditedGroupPhoto   1 s edited the group  s  2 s photo  string _x000D_
                                               _x000D_
 home vagrant build org telegram messenger TMessagesProj src main res values strings xml:800: Error:  LocalAudioCache  is not translated in  ru  (Russian)  MissingTranslation _x000D_
     string name  LocalAudioCache  Voice messages  string _x000D_
                                  _x000D_
_x000D_
   Explanation for issues of type  MissingTranslation :_x000D_
   If an application has more than one locale  then all the strings declared_x000D_
   in one language should also be translated in all other languages _x000D_
_x000D_
   If the string should not be translated  you can add the attribute_x000D_
   translatable  false  on the  string  element  or you can define all your_x000D_
   non translatable strings in a resource file called donottranslate xml  Or _x000D_
   you can ignore the issue with a tools:ignore  MissingTranslation _x000D_
   attribute _x000D_
_x000D_
   By default this detector allows regions of a language to just provide a_x000D_
   subset of the strings and fall back to the standard language strings  You_x000D_
   can require all regions to provide a full translation by setting the_x000D_
   environment variable ANDROID LINT COMPLETE REGIONS _x000D_
_x000D_
   You can tell lint (and other tools) which language is the default language_x000D_
   in your res values  folder by specifying tools:locale  languageCode  for_x000D_
   the root  resources  element in your resource file  (The tools prefix_x000D_
   refers to the namespace declaration http:  schemas android com tools )_x000D_
_x000D_
 home vagrant build org telegram messenger TMessagesProj src main res values ru strings xml:90: Error:  PaymentWarning  is translated here but not found in default locale  ExtraTranslation _x000D_
   string name  PaymentWarning            string _x000D_
                               _x000D_
 home vagrant build org telegram messenger TMessagesProj src main res values ru strings xml:91: Error:  PaymentWarningText  is translated here but not found in default locale  ExtraTranslation _x000D_
   string name  PaymentWarningText                                                      1 s  Telegram                                  :                                                                                                          2 s                   string _x000D_
                                   _x000D_
 home vagrant build org telegram messenger TMessagesProj src main res values ru strings xml:171: Error:  ActionPinnedRound  is translated here but not found in default locale  ExtraTranslation _x000D_
   string name  ActionPinnedRound  un1          ( )                 string _x000D_
                                  _x000D_
 home vagrant build org telegram messenger TMessagesProj src main res values ru strings xml:275: Error:  ChannelMessageGroupRound  is translated here but not found in default locale  ExtraTranslation _x000D_
   string name  ChannelMessageGroupRound   1 s            ( )                            2 s   string _x000D_
                                         _x000D_
 home vagrant build org telegram messenger TMessagesProj src main res values ru strings xml:287: Error:  ChannelMessageRound  is translated here but not found in default locale  ExtraTranslation _x000D_
   string name  ChannelMessageRound   1 s            ( )                 string _x000D_
                                    _x000D_
 home vagrant build org telegram messenger TMessagesProj src main res values ru strings xml:330: Error:  IsRecordingRound  is translated here but not found in default locale  ExtraTranslation _x000D_
   string name  IsRecordingRound   1 s                               string _x000D_
                                 _x000D_
 home vagrant build org telegram messenger TMessagesProj src main res values ru strings xml:338: Error:  RecordingRound  is translated here but not found in default locale  ExtraTranslation _x000D_
   string name  RecordingRound                            string _x000D_
                               _x000D_
 home vagrant build org telegram messenger TMessagesProj src main res values ru strings xml:435: Error:  DiscardVoiceMessageTitle  is translated here but not found in default locale  ExtraTranslation _x000D_
   string name  DiscardVoiceMessageTitle                               string _x000D_
                                         _x000D_
 home vagrant build org telegram messenger TMessagesProj src main res values ru strings xml:436: Error:  DiscardVoiceMessageAction  is translated here but not found in default locale  ExtraTranslation _x000D_
   string name  DiscardVoiceMessageAction           string _x000D_
                                          _x000D_
_x000D_
   Explanation for issues of type  ExtraTranslation :_x000D_
   If a string appears in a specific language translation file  but there is_x000D_
   no corresponding string in the default locale  then this string is probably_x000D_
   unused  (It s technically possible that your application is only intended_x000D_
   to run in a specific locale  but it s still a good idea to provide a_x000D_
   fallback ) _x000D_
_x000D_
   Note that these strings can lead to crashes if the string is looked up on_x000D_
   any locale not providing a translation  so it s important to clean them_x000D_
   up _x000D_
_x000D_
12 errors  0 warnings_x000D_
 FAILED_x000D_
_x000D_
FAILURE: Build failed with an exception _x000D_
    _x000D_
_x000D_
While I worked around that with  echo  e  android   lintOptions   disable  MissingTranslation  n ndisable  ExtraTranslation          TMessagesProj build gradle   this should not happen on releases  Either fix the translation or apply the workaround to your repo </t>
  </si>
  <si>
    <t>openbase-bco.bcomfy-12</t>
  </si>
  <si>
    <t>[StartActivity] InterruptedException not handled during connection cancel</t>
  </si>
  <si>
    <t>Bcomfy is crashing if the connection could not be established but the cancel button was pressed _x000D_
_x000D_
 pre _x000D_
05 21 13:41:57 255 22665 22693 org openbase bco bcomfy W System err: java lang InterruptedException_x000D_
05 21 13:41:57 255 22665 22693 org openbase bco bcomfy W System err:     at java8 util concurrent CompletableFuture reportGet(CompletableFuture java:376)_x000D_
05 21 13:41:57 255 22665 22693 org openbase bco bcomfy W System err:     at java8 util concurrent CompletableFuture get(CompletableFuture java:1992)_x000D_
05 21 13:41:57 255 22665 22693 org openbase bco bcomfy W System err:     at org openbase jul extension rsb com RSBRemoteService waitForData(RSBRemoteService java:892)_x000D_
05 21 13:41:57 255 22665 22693 org openbase bco bcomfy W System err:     at org openbase bco registry unit remote CachedUnitRegistryRemote waitForData(CachedUnitRegistryRemote java:97)_x000D_
05 21 13:41:57 255 22665 22693 org openbase bco bcomfy W System err:     at org openbase bco registry remote Registries waitForData(Registries java:148)_x000D_
05 21 13:41:57 255 22665 22693 org openbase bco bcomfy W System err:     at org openbase bco bcomfy activityStart StartActivity InitBcoTask doInBackground(StartActivity java:299)_x000D_
05 21 13:41:57 255 22665 22693 org openbase bco bcomfy W System err:     at org openbase bco bcomfy activityStart StartActivity InitBcoTask doInBackground(StartActivity java:292)_x000D_
05 21 13:41:57 255 22665 22693 org openbase bco bcomfy W System err:     at android os AsyncTask 2 call(AsyncTask java:295)_x000D_
05 21 13:41:57 255 22665 22693 org openbase bco bcomfy W System err:     at java util concurrent FutureTask run(FutureTask java:237)_x000D_
05 21 13:41:57 255 22665 22693 org openbase bco bcomfy W System err:     at android os AsyncTask SerialExecutor 1 run(AsyncTask java:234)_x000D_
05 21 13:41:57 255 22665 22693 org openbase bco bcomfy W System err:     at java util concurrent ThreadPoolExecutor runWorker(ThreadPoolExecutor java:1113)_x000D_
05 21 13:41:57 255 22665 22693 org openbase bco bcomfy W System err:     at java util concurrent ThreadPoolExecutor Worker run(ThreadPoolExecutor java:588)_x000D_
05 21 13:41:57 255 22665 22693 org openbase bco bcomfy W System err:     at java lang Thread run(Thread java:818)_x000D_
  pre</t>
  </si>
  <si>
    <t>mdg-iitr-trianglify-36</t>
  </si>
  <si>
    <t>App Crashes on Fast Regeneration</t>
  </si>
  <si>
    <t xml:space="preserve">If the regenerate button is clicked fast and repeatedly  the app crashes   This is due to  divide by 0  error when the grid is generated by calling random on the variance of value 0 </t>
  </si>
  <si>
    <t>salRoid-Filmy-104</t>
  </si>
  <si>
    <t>Crash in DetailsActivity</t>
  </si>
  <si>
    <t xml:space="preserve">DetailedActivity crashes when opened for the first time then quickly closed </t>
  </si>
  <si>
    <t>openid-AppAuth-Android-228</t>
  </si>
  <si>
    <t xml:space="preserve">app crash on bad token response IllegalStateException JSONException </t>
  </si>
  <si>
    <t xml:space="preserve">This is caused by bad Authorization server  but the lib should not crash _x000D_
_x000D_
Version 0 6 0_x000D_
_x000D_
The AuthorizationService is catching JSONException but the exception was wrapped to be IllegalStateException_x000D_
_x000D_
FATAL EXCEPTION: main_x000D_
java lang IllegalStateException: JSONException thrown in violation of contract_x000D_
    at net openid appauth TokenResponse Builder fromResponseJson(TokenResponse java:235)_x000D_
    at net openid appauth AuthorizationService TokenRequestTask onPostExecute(AuthorizationService java:405)_x000D_
    at net openid appauth AuthorizationService TokenRequestTask onPostExecute(AuthorizationService java:306)_x000D_
    at android os AsyncTask finish(AsyncTask java:651)_x000D_
    at android os AsyncTask  wrap1(AsyncTask java)_x000D_
    at android os AsyncTask InternalHandler handleMessage(AsyncTask java:668)_x000D_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org json JSONException: field  token type  not found in json object_x000D_
    at net openid appauth JsonUtil getString(JsonUtil java:171)_x000D_
    at net openid appauth TokenResponse Builder fromResponseJson(TokenResponse java:217)_x000D_
    at net openid appauth AuthorizationService TokenRequestTask onPostExecute(AuthorizationService java:405) _x000D_
    at net openid appauth AuthorizationService TokenRequestTask onPostExecute(AuthorizationService java:306) _x000D_
    at android os AsyncTask finish(AsyncTask java:651) _x000D_
    at android os AsyncTask  wrap1(AsyncTask java) _x000D_
    at android os AsyncTask InternalHandler handleMessage(AsyncTask java:668) _x000D_
    at android os Handler dispatchMessage(Handler java:102)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t>
  </si>
  <si>
    <t>Mariovc-ImagePicker-21</t>
  </si>
  <si>
    <t>Very dangerous and unoptimized code inside library!</t>
  </si>
  <si>
    <t xml:space="preserve">   _x000D_
private static Bitmap getImageResized(Context context  Uri selectedImage)  _x000D_
        int   sampleSizes   new int   5  3  2  1  _x000D_
        int i   0 _x000D_
_x000D_
        Bitmap bm _x000D_
        do  _x000D_
            bm   decodeBitmap(context  selectedImage  sampleSizes i ) _x000D_
              i _x000D_
          while(bm    null    (bm getWidth()   minWidthQuality    bm getHeight()   minHeightQuality)    i   sampleSizes length) _x000D_
_x000D_
        Log i(TAG   Final bitmap width       (bm    null Integer valueOf(bm getWidth()): No final bitmap )) _x000D_
        return bm _x000D_
     _x000D_
   _x000D_
This code is absolutely HORRIBLE for these 3 reasons:_x000D_
_x000D_
1  Wastes CPU resources by creating up to 4 different bitmaps unnecessarily _x000D_
2  Risks OutOfMemory crash by potentially loading a too large Bitmap into RAM (you don t check the size from file before loading Bitmap  it might be 100 megapixels as far as I m concerned)_x000D_
4  Creates huge memory churn (again  by creating 4 unnecessary Bitmaps) which are then unnecessarily left for Garbage Collector to handle  _x000D_
_x000D_
Please watch this video to learn how to load images properly from files: https:  www youtube com watch v HY9aaXHx8yA_x000D_
_x000D_
I won t use your library for these reasons _x000D_
</t>
  </si>
  <si>
    <t>MatthijsKok-TI2806-Contextproject-123</t>
  </si>
  <si>
    <t>Non-reproducable lambda exception</t>
  </si>
  <si>
    <t xml:space="preserve">When opening the recentTransactions screen  the app sometimes crashes on the following call:_x000D_
_x000D_
                return CompletableFuture_x000D_
                 supplyAsync(this::loadOrCreateClientKeys)_x000D_
                 thenComposeAsync(session::doInstallation)_x000D_
                 thenComposeAsync(session::doDeviceRegistration)_x000D_
                 thenComposeAsync(session::doSessionStart)_x000D_
_x000D_
  image (https:  cloud githubusercontent com assets 9715314 26299399 02897de4 3edb 11e7 940b 9539113dc7ba png)_x000D_
_x000D_
It does not happen always  and it does not happen on everyone s machine </t>
  </si>
  <si>
    <t>smartdevicelink-sdl_java_suite-518</t>
  </si>
  <si>
    <t>Handle SecurityException during Bluetooth disconnection and where applicable.</t>
  </si>
  <si>
    <t>The Sticher app has been recording enormous amount of SecurityException crashes during Bluetooth disconnection _x000D_
Long  complete crash log below _x000D_
_x000D_
It appears that we attempt to catch and handle SecurityException in BTTransport java but only during connection and not in disconnection (and in a few other places)  _x000D_
_x000D_
 Handled (https:  github com smartdevicelink sdl android blob master sdl android src main java com smartdevicelink transport BTTransport java L160 L163)_x000D_
 Not handled (https:  github com smartdevicelink sdl android blob master sdl android src main java com smartdevicelink transport BTTransport java L372)_x000D_
 Not handled (https:  github com smartdevicelink sdl android blob master sdl android src main java com smartdevicelink transport BTTransport java L400)_x000D_
 Not handled (https:  github com smartdevicelink sdl android blob master sdl android src main java com smartdevicelink transport BTTransport java L498)_x000D_
 Not handled (https:  github com smartdevicelink sdl android blob master sdl android src main java com smartdevicelink transport BTTransport java L187)_x000D_
_x000D_
We need to catch and handle this exception where applicable (BTTransport and MultiplexBluetoothTransport) as the Bluetooth permission can potentially be abruptly revoked by security app running on the end devices that have running Bluetooth Sdl enabled apps (also can potentially be affected by run time permission changes made possible with Marshmallow update ) _x000D_
_x000D_
Crash log:_x000D_
   _x000D_
Fatal Exception: java lang SecurityException: Need BLUETOOTH permission: Neither user 10259 nor current process has android permission BLUETOOTH _x000D_
       at android os Parcel readException(Parcel java:1540)_x000D_
       at android os Parcel readException(Parcel java:1493)_x000D_
       at android bluetooth IBluetooth Stub Proxy isEnabled(IBluetooth java:1156)_x000D_
       at android bluetooth BluetoothAdapter isEnabled(BluetoothAdapter java:695)_x000D_
       at com smartdevicelink transport BTTransport BluetoothAdapterMonitor checkIfBluetoothAdapterDisabled(BTTransport java:491)_x000D_
       at com smartdevicelink transport BTTransport BluetoothAdapterMonitor access 700(BTTransport java:457)_x000D_
       at com smartdevicelink transport BTTransport BluetoothAdapterMonitor 1 run(BTTransport java:475)_x000D_
       at java lang Thread run(Thread java:818)_x000D_
 Signal Catcher  daemon prio 5 tid 3 Runnable_x000D_
    group  system  sCount 0 dsCount 0 obj 0x12c050d0 self 0x730265b000_x000D_
    sysTid 25167 nice 0 cgrp default sched 0 0 handle 0x73101f0450_x000D_
    state R schedstat ( 0 0 0 ) utm 5 stm 1 core 3 HZ 100_x000D_
    stack 0x73100f6000 0x73100f8000 stackSize 1005KB_x000D_
    held mutexes   mutator lock (shared held)_x000D_
_x000D_
  native: pc 0000000000476954   system lib64 libart so ( ZN3art15DumpNativeStackERNSt3  113basic ostreamIcNS0 11char traitsIcEEEEiP12BacktraceMapPKcPNS 9ArtMethodEPv 220)_x000D_
  native: pc 0000000000476950   system lib64 libart so ( ZN3art15DumpNativeStackERNSt3  113basic ostreamIcNS0 11char traitsIcEEEEiP12BacktraceMapPKcPNS 9ArtMethodEPv 216)_x000D_
  native: pc 000000000044b19c   system lib64 libart so ( ZNK3art6Thread9DumpStackERNSt3  113basic ostreamIcNS1 11char traitsIcEEEEbP12BacktraceMap 472)_x000D_
  native: pc 00000000004628bc   system lib64 libart so ( ZN3art14DumpCheckpoint3RunEPNS 6ThreadE 820)_x000D_
  native: pc 000000000045ab9c   system lib64 libart so ( ZN3art10ThreadList13RunCheckpointEPNS 7ClosureE 456)_x000D_
  native: pc 000000000045a7ac   system lib64 libart so ( ZN3art10ThreadList4DumpERNSt3  113basic ostreamIcNS1 11char traitsIcEEEEb 288)_x000D_
  native: pc 000000000045a648   system lib64 libart so ( ZN3art10ThreadList14DumpForSigQuitERNSt3  113basic ostreamIcNS1 11char traitsIcEEEE 804)_x000D_
  native: pc 00000000004367f4   system lib64 libart so ( ZN3art7Runtime14DumpForSigQuitERNSt3  113basic ostreamIcNS1 11char traitsIcEEEE 344)_x000D_
  native: pc 000000000043ceac   system lib64 libart so ( ZN3art13SignalCatcher13HandleSigQuitEv 2240)_x000D_
  native: pc 000000000043b9d4   system lib64 libart so ( ZN3art13SignalCatcher3RunEPv 476)_x000D_
  native: pc 0000000000068d48   system lib64 libc so ( ZL15  pthread startPv 196)_x000D_
  native: pc 000000000001e1f8   system lib64 libc so (  start thread 16)_x000D_
_x000D_
 main  prio 5 tid 1 Blocked_x000D_
    group  main  sCount 1 dsCount 0 obj 0x752cae10 self 0x7310e9ca00_x000D_
    sysTid 25159 nice  4 cgrp default sched 0 0 handle 0x7314f09a98_x000D_
    state S schedstat ( 0 0 0 ) utm 1055 stm 394 core 1 HZ 100_x000D_
    stack 0x7fe3435000 0x7fe3437000 stackSize 8MB_x000D_
    held mutexes _x000D_
_x000D_
  at com smartdevicelink transport BTTransport disconnect (BTTransport java:232)_x000D_
  waiting to lock  0x01c0a457  (a com smartdevicelink transport BTTransport) held by thread 51_x000D_
  at com smartdevicelink transport BTTransport disconnect (BTTransport java:221)_x000D_
  at com smartdevicelink SdlConnection SdlConnection closeConnection (SdlConnection java:158)_x000D_
  locked  0x0362ab44  (a java lang Object)_x000D_
  at com smartdevicelink SdlConnection SdlConnection unregisterSession (SdlConnection java:327)_x000D_
  at com smartdevicelink SdlConnection SdlSession close (SdlSession java:116)_x000D_
  at com smartdevicelink proxy SdlProxyBase cleanProxy (SdlProxyBase java:1324)_x000D_
  locked  0x0bc9d42d  (a java lang Object)_x000D_
  at com smartdevicelink proxy SdlProxyBase dispose (SdlProxyBase java:1348)_x000D_
  at com stitcher automotive SYNCProtocol close (SYNCProtocol java:1487)_x000D_
  at com stitcher automotive SYNCService 1 onReceive (SYNCService java:36)_x000D_
  at com stitcher receivers StitcherBroadcastReceiver onReceive (StitcherBroadcastReceiver java:87)_x000D_
  at android support v4 content LocalBroadcastManager executePendingBroadcasts (LocalBroadcastManager java:297)_x000D_
  at android support v4 content LocalBroadcastManager access 000 (LocalBroadcastManager java:46)_x000D_
  at android support v4 content LocalBroadcastManager 1 handleMessage (LocalBroadcastManager java:116)_x000D_
  at android os Handler dispatchMessage (Handler java:102)_x000D_
  at android os Looper loop (Looper java:154)_x000D_
  at android app ActivityThread main (ActivityThread java:6247)_x000D_
  at java lang reflect Method invoke  (Native method)_x000D_
  at com android internal os ZygoteInit MethodAndArgsCaller run (ZygoteInit java:872)_x000D_
  at com android internal os ZygoteInit main (ZygoteInit java:762)_x000D_
_x000D_
 Jit thread pool worker thread 0  prio 5 tid 2 Native (still starting up)_x000D_
    group    sCount 1 dsCount 0 obj 0x0 self 0x730900e000_x000D_
    sysTid 25166 nice 9 cgrp default sched 0 0 handle 0x73102f1450_x000D_
    state S schedstat ( 0 0 0 ) utm 20 stm 6 core 1 HZ 100_x000D_
    stack 0x73101f3000 0x73101f5000 stackSize 1021KB_x000D_
    held mutexes _x000D_
_x000D_
  native: pc 000000000001b124   system lib64 libc so (syscall 28)_x000D_
  native: pc 00000000000e6f54   system lib64 libart so ( ZN3art17ConditionVariable16WaitHoldingLocksEPNS 6ThreadE 160)_x000D_
  native: pc 0000000000464630   system lib64 libart so ( ZN3art10ThreadPool7GetTaskEPNS 6ThreadE 252)_x000D_
  native: pc 0000000000463aec   system lib64 libart so ( ZN3art16ThreadPoolWorker3RunEv 124)_x000D_
  native: pc 000000000046341c   system lib64 libart so ( ZN3art16ThreadPoolWorker8CallbackEPv 116)_x000D_
  native: pc 0000000000068d48   system lib64 libc so ( ZL15  pthread startPv 196)_x000D_
  native: pc 000000000001e1f8   system lib64 libc so (  start thread 16)_x000D_
_x000D_
 ReferenceQueueDaemon  daemon prio 5 tid 4 Waiting_x000D_
    group  system  sCount 1 dsCount 0 obj 0x12c05160 self 0x730265e200_x000D_
    sysTid 25168 nice 0 cgrp default sched 0 0 handle 0x73100f3450_x000D_
    state S schedstat ( 0 0 0 ) utm 2 stm 0 core 0 HZ 100_x000D_
    stack 0x730fff1000 0x730fff3000 stackSize 1037KB_x000D_
    held mutexes _x000D_
_x000D_
  at java lang Object wait  (Native method)_x000D_
  waiting on  0x0b633d62  (a java lang Class java lang ref ReferenceQueue )_x000D_
  at java lang Daemons ReferenceQueueDaemon run (Daemons java:150)_x000D_
  locked  0x0b633d62  (a java lang Class java lang ref ReferenceQueue )_x000D_
  at java lang Thread run (Thread java:761)_x000D_
_x000D_
 FinalizerDaemon  daemon prio 5 tid 5 Waiting_x000D_
    group  system  sCount 1 dsCount 0 obj 0x12c051f0 self 0x730265f600_x000D_
    sysTid 25170 nice 0 cgrp default sched 0 0 handle 0x730ffee450_x000D_
    state S schedstat ( 0 0 0 ) utm 2 stm 3 core 2 HZ 100_x000D_
    stack 0x730feec000 0x730feee000 stackSize 1037KB_x000D_
    held mutexes _x000D_
_x000D_
  at java lang Object wait  (Native method)_x000D_
  waiting on  0x01c12ef3  (a java lang Object)_x000D_
  at java lang Object wait (Object java:407)_x000D_
  at java lang ref ReferenceQueue remove (ReferenceQueue java:188)_x000D_
  locked  0x01c12ef3  (a java lang Object)_x000D_
  at java lang ref ReferenceQueue remove (ReferenceQueue java:209)_x000D_
  at java lang Daemons FinalizerDaemon run (Daemons java:204)_x000D_
  at java lang Thread run (Thread java:761)_x000D_
_x000D_
 FinalizerWatchdogDaemon  daemon prio 5 tid 6 Waiting_x000D_
    group  system  sCount 1 dsCount 0 obj 0x12c05280 self 0x7310e9f200_x000D_
    sysTid 25171 nice 0 cgrp default sched 0 0 handle 0x730fee9450_x000D_
    state S schedstat ( 0 0 0 ) utm 0 stm 0 core 3 HZ 100_x000D_
    stack 0x730fde7000 0x730fde9000 stackSize 1037KB_x000D_
    held mutexes _x000D_
_x000D_
  at java lang Object wait  (Native method)_x000D_
  waiting on  0x0e8137b0  (a java lang Daemons FinalizerWatchdogDaemon)_x000D_
  at java lang Daemons FinalizerWatchdogDaemon sleepUntilNeeded (Daemons java:269)_x000D_
  locked  0x0e8137b0  (a java lang Daemons FinalizerWatchdogDaemon)_x000D_
  at java lang Daemons FinalizerWatchdogDaemon run (Daemons java:249)_x000D_
  at java lang Thread run (Thread java:761)_x000D_
_x000D_
 HeapTaskDaemon  daemon prio 5 tid 7 Blocked_x000D_
    group  system  sCount 1 dsCount 0 obj 0x12c05310 self 0x7310f2d200_x000D_
    sysTid 25172 nice 0 cgrp default sched 0 0 handle 0x730fde4450_x000D_
    state S schedstat ( 0 0 0 ) utm 47 stm 17 core 2 HZ 100_x000D_
    stack 0x730fce2000 0x730fce4000 stackSize 1037KB_x000D_
    held mutexes _x000D_
_x000D_
  native: pc 000000000001b124   system lib64 libc so (syscall 28)_x000D_
  native: pc 00000000000e6f54   system lib64 libart so ( ZN3art17ConditionVariable16WaitHoldingLocksEPNS 6ThreadE 160)_x000D_
  native: pc 000000000023fb38   system lib64 libart so ( ZN3art2gc13TaskProcessor7GetTaskEPNS 6ThreadE 360)_x000D_
  native: pc 0000000000240414   system lib64 libart so ( ZN3art2gc13TaskProcessor11RunAllTasksEPNS 6ThreadE 92)_x000D_
  native: pc 00000000001e4e80   system framework arm64 boot core libart oat (Java dalvik system VMRuntime runHeapTasks   124)_x000D_
  at dalvik system VMRuntime runHeapTasks (Native method)_x000D_
  waiting to lock an unknown object_x000D_
  at java lang Daemons HeapTaskDaemon run (Daemons java:433)_x000D_
  at java lang Thread run (Thread java:761)_x000D_
_x000D_
 Binder:25159 1  prio 5 tid 8 Native_x000D_
    group  main  sCount 1 dsCount 0 obj 0x12c053a0 self 0x7309017400_x000D_
    sysTid 25173 nice 0 cgrp default sched 0 0 handle 0x730fbe1450_x000D_
    state S schedstat ( 0 0 0 ) utm 82 stm 53 core 2 HZ 100_x000D_
    stack 0x730fae7000 0x730fae9000 stackSize 1005KB_x000D_
    held mutexes _x000D_
_x000D_
  native: pc 000000000006b1d0   system lib64 libc so (  ioctl 4)_x000D_
  native: pc 0000000000020178   system lib64 libc so (ioctl 144)_x000D_
  native: pc 0000000000055534   system lib64 libbinder so ( ZN7android14IPCThreadState14talkWithDriverEb 260)_x000D_
  native: pc 0000000000055694   system lib64 libbinder so ( ZN7android14IPCThreadState20getAndExecuteCommandEv 24)_x000D_
  native: pc 0000000000055dc0   system lib64 libbinder so ( ZN7android14IPCThreadState14joinThreadPoolEb 72)_x000D_
  native: pc 0000000000072dc4   system lib64 libbinder so (   )_x000D_
  native: pc 0000000000012550   system lib64 libutils so ( ZN7android6Thread11 threadLoopEPv 272)_x000D_
  native: pc 00000000000a3718   system lib64 libandroid runtime so ( ZN7android14AndroidRuntime15javaThreadShellEPv 116)_x000D_
  native: pc 0000000000068d48   system lib64 libc so ( ZL15  pthread startPv 196)_x000D_
  native: pc 000000000001e1f8   system lib64 libc so (  start thread 16)_x000D_
_x000D_
 Binder:25159 2  prio 5 tid 9 Native_x000D_
    group  main  sCount 1 dsCount 0 obj 0x12c05430 self 0x73026dea00_x000D_
    sysTid 25174 nice 0 cgrp default sched 0 0 handle 0x730fae4450_x000D_
    state S schedstat ( 0 0 0 ) utm 82 stm 59 core 0 HZ 100_x000D_
    stack 0x730f9ea000 0x730f9ec000 stackSize 1005KB_x000D_
    held mutexes _x000D_
_x000D_
  native: pc 000000000006b1d0   system lib64 libc so (  ioctl 4)_x000D_
  native: pc 0000000000020178   system lib64 libc so (ioctl 144)_x000D_
  native: pc 0000000000055534   system lib64 libbinder so ( ZN7android14IPCThreadState14talkWithDriverEb 260)_x000D_
  native: pc 0000000000055694   system lib64 libbinder so ( ZN7android14IPCThreadState20getAndExecuteCommandEv 24)_x000D_
  native: pc 0000000000055dc0   system lib64 libbinder so ( ZN7android14IPCThreadState14joinThreadPoolEb 72)_x000D_
  native: pc 0000000000072dc4   system lib64 libbinder so (   )_x000D_
  native: pc 0000000000012550   system lib64 libutils so ( ZN7android6Thread11 threadLoopEPv 272)_x000D_
  native: pc 00000000000a3718   system lib64 libandroid runtime so ( ZN7android14AndroidRuntime15javaThreadShellEPv 116)_x000D_
  native: pc 0000000000068d48   system lib64 libc so ( ZL15  pthread startPv 196)_x000D_
  native: pc 000000000001e1f8   system lib64 libc so (  start thread 16)_x000D_
_x000D_
 Queue  prio 10 tid 10 Waiting_x000D_
    group  main  sCount 1 dsCount 0 obj 0x12c054c0 self 0x73026f9e00_x000D_
    sysTid 25182 nice 10 cgrp default sched 0 0 handle 0x730f7a2450_x000D_
    state S schedstat ( 0 0 0 ) utm 5 stm 0 core 3 HZ 100_x000D_
    stack 0x730f6a0000 0x730f6a2000 stackSize 1037KB_x000D_
    held mutexes _x000D_
_x000D_
  at java lang Object wait  (Native method)_x000D_
  waiting on  0x0e1c8629  (a java lang Object)_x000D_
  at java lang Thread parkFor  (Thread java:2127)_x000D_
  locked  0x0e1c8629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PriorityBlockingQueue take (PriorityBlockingQueue java:519)_x000D_
  at io fabric sdk android services concurrency DependencyPriorityBlockingQueue performOperation (DependencyPriorityBlockingQueue java:197)_x000D_
  at io fabric sdk android services concurrency DependencyPriorityBlockingQueue get (DependencyPriorityBlockingQueue java:236)_x000D_
  at io fabric sdk android services concurrency DependencyPriorityBlockingQueue take (DependencyPriorityBlockingQueue java:65)_x000D_
  at io fabric sdk android services concurrency DependencyPriorityBlockingQueue take (DependencyPriorityBlockingQueue java:46)_x000D_
  at java util concurrent ThreadPoolExecutor getTask (ThreadPoolExecutor java:1058)_x000D_
  at java util concurrent ThreadPoolExecutor runWorker (ThreadPoolExecutor java:1118)_x000D_
  at java util concurrent ThreadPoolExecutor Worker run (ThreadPoolExecutor java:607)_x000D_
  at java lang Thread run (Thread java:761)_x000D_
_x000D_
 Queue  prio 10 tid 11 Waiting_x000D_
    group  main  sCount 1 dsCount 0 obj 0x12c05550 self 0x73026fa800_x000D_
    sysTid 25183 nice 10 cgrp default sched 0 0 handle 0x730f696450_x000D_
    state S schedstat ( 0 0 0 ) utm 0 stm 5 core 0 HZ 100_x000D_
    stack 0x730f594000 0x730f596000 stackSize 1037KB_x000D_
    held mutexes _x000D_
_x000D_
  at java lang Object wait  (Native method)_x000D_
  waiting on  0x0fbbcdae  (a java lang Object)_x000D_
  at java lang Thread parkFor  (Thread java:2127)_x000D_
  locked  0x0fbbcdae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PriorityBlockingQueue take (PriorityBlockingQueue java:519)_x000D_
  at io fabric sdk android services concurrency DependencyPriorityBlockingQueue performOperation (DependencyPriorityBlockingQueue java:197)_x000D_
  at io fabric sdk android services concurrency DependencyPriorityBlockingQueue get (DependencyPriorityBlockingQueue java:236)_x000D_
  at io fabric sdk android services concurrency DependencyPriorityBlockingQueue take (DependencyPriorityBlockingQueue java:65)_x000D_
  at io fabric sdk android services concurrency DependencyPriorityBlockingQueue take (DependencyPriorityBlockingQueue java:46)_x000D_
  at java util concurrent ThreadPoolExecutor getTask (ThreadPoolExecutor java:1058)_x000D_
  at java util concurrent ThreadPoolExecutor runWorker (ThreadPoolExecutor java:1118)_x000D_
  at java util concurrent ThreadPoolExecutor Worker run (ThreadPoolExecutor java:607)_x000D_
  at java lang Thread run (Thread java:761)_x000D_
_x000D_
 Queue  prio 10 tid 12 Waiting_x000D_
    group  main  sCount 1 dsCount 0 obj 0x12c055e0 self 0x73026fb200_x000D_
    sysTid 25184 nice  8 cgrp default sched 0 0 handle 0x730972b450_x000D_
    state S schedstat ( 0 0 0 ) utm 0 stm 0 core 0 HZ 100_x000D_
    stack 0x7309629000 0x730962b000 stackSize 1037KB_x000D_
    held mutexes _x000D_
_x000D_
  at java lang Object wait  (Native method)_x000D_
  waiting on  0x0e35c74f  (a java lang Object)_x000D_
  at java lang Thread parkFor  (Thread java:2127)_x000D_
  locked  0x0e35c74f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PriorityBlockingQueue take (PriorityBlockingQueue java:519)_x000D_
  at io fabric sdk android services concurrency DependencyPriorityBlockingQueue performOperation (DependencyPriorityBlockingQueue java:197)_x000D_
  at io fabric sdk android services concurrency DependencyPriorityBlockingQueue get (DependencyPriorityBlockingQueue java:236)_x000D_
  at io fabric sdk android services concurrency DependencyPriorityBlockingQueue take (DependencyPriorityBlockingQueue java:65)_x000D_
  at io fabric sdk android services concurrency DependencyPriorityBlockingQueue take (DependencyPriorityBlockingQueue java:46)_x000D_
  at java util concurrent ThreadPoolExecutor getTask (ThreadPoolExecutor java:1058)_x000D_
  at java util concurrent ThreadPoolExecutor runWorker (ThreadPoolExecutor java:1118)_x000D_
  at java util concurrent ThreadPoolExecutor Worker run (ThreadPoolExecutor java:607)_x000D_
  at java lang Thread run (Thread java:761)_x000D_
_x000D_
 Queue  prio 10 tid 13 Waiting_x000D_
    group  main  sCount 1 dsCount 0 obj 0x12c05670 self 0x73026fbc00_x000D_
    sysTid 25185 nice 10 cgrp default sched 0 0 handle 0x7309626450_x000D_
    state S schedstat ( 0 0 0 ) utm 0 stm 0 core 2 HZ 100_x000D_
    stack 0x7309524000 0x7309526000 stackSize 1037KB_x000D_
    held mutexes _x000D_
_x000D_
  at java lang Object wait  (Native method)_x000D_
  waiting on  0x05ba1edc  (a java lang Object)_x000D_
  at java lang Thread parkFor  (Thread java:2127)_x000D_
  locked  0x05ba1edc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PriorityBlockingQueue take (PriorityBlockingQueue java:519)_x000D_
  at io fabric sdk android services concurrency DependencyPriorityBlockingQueue performOperation (DependencyPriorityBlockingQueue java:197)_x000D_
  at io fabric sdk android services concurrency DependencyPriorityBlockingQueue get (DependencyPriorityBlockingQueue java:236)_x000D_
  at io fabric sdk android services concurrency DependencyPriorityBlockingQueue take (DependencyPriorityBlockingQueue java:65)_x000D_
  at io fabric sdk android services concurrency DependencyPriorityBlockingQueue take (DependencyPriorityBlockingQueue java:46)_x000D_
  at java util concurrent ThreadPoolExecutor getTask (ThreadPoolExecutor java:1058)_x000D_
  at java util concurrent ThreadPoolExecutor runWorker (ThreadPoolExecutor java:1118)_x000D_
  at java util concurrent ThreadPoolExecutor Worker run (ThreadPoolExecutor java:607)_x000D_
  at java lang Thread run (Thread java:761)_x000D_
_x000D_
 Queue  prio 10 tid 14 Waiting_x000D_
    group  main  sCount 1 dsCount 0 obj 0x12c05700 self 0x73026fc600_x000D_
    sysTid 25186 nice 10 cgrp default sched 0 0 handle 0x7309521450_x000D_
    state S schedstat ( 0 0 0 ) utm 0 stm 0 core 1 HZ 100_x000D_
    stack 0x730941f000 0x7309421000 stackSize 1037KB_x000D_
    held mutexes _x000D_
_x000D_
  at java lang Object wait  (Native method)_x000D_
  waiting on  0x0fce5be5  (a java lang Object)_x000D_
  at java lang Thread parkFor  (Thread java:2127)_x000D_
  locked  0x0fce5be5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PriorityBlockingQueue take (PriorityBlockingQueue java:519)_x000D_
  at io fabric sdk android services concurrency DependencyPriorityBlockingQueue performOperation (DependencyPriorityBlockingQueue java:197)_x000D_
  at io fabric sdk android services concurrency DependencyPriorityBlockingQueue get (DependencyPriorityBlockingQueue java:236)_x000D_
  at io fabric sdk android services concurrency DependencyPriorityBlockingQueue take (DependencyPriorityBlockingQueue java:65)_x000D_
  at io fabric sdk android services concurrency DependencyPriorityBlockingQueue take (DependencyPriorityBlockingQueue java:46)_x000D_
  at java util concurrent ThreadPoolExecutor getTask (ThreadPoolExecutor java:1058)_x000D_
  at java util concurrent ThreadPoolExecutor runWorker (ThreadPoolExecutor java:1118)_x000D_
  at java util concurrent ThreadPoolExecutor Worker run (ThreadPoolExecutor java:607)_x000D_
  at java lang Thread run (Thread java:761)_x000D_
_x000D_
 Answers Events Handler1  prio 5 tid 15 Waiting_x000D_
    group  main  sCount 1 dsCount 0 obj 0x12c05790 self 0x7302728a00_x000D_
    sysTid 25189 nice 10 cgrp default sched 0 0 handle 0x72f2f49450_x000D_
    state S schedstat ( 0 0 0 ) utm 25 stm 10 core 3 HZ 100_x000D_
    stack 0x72f2e47000 0x72f2e49000 stackSize 1037KB_x000D_
    held mutexes _x000D_
_x000D_
  at java lang Object wait  (Native method)_x000D_
  waiting on  0x02fb16ba  (a java lang Object)_x000D_
  at java lang Thread parkFor  (Thread java:2127)_x000D_
  locked  0x02fb16ba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ScheduledThreadPoolExecutor DelayedWorkQueue take (ScheduledThreadPoolExecutor java:1091)_x000D_
  at java util concurrent ScheduledThreadPoolExecutor DelayedWorkQueue take (ScheduledThreadPoolExecutor java:1084)_x000D_
  at java util concurrent ThreadPoolExecutor getTask (ThreadPoolExecutor java:1058)_x000D_
  at java util concurrent ThreadPoolExecutor runWorker (ThreadPoolExecutor java:1118)_x000D_
  at java util concurrent ThreadPoolExecutor Worker run (ThreadPoolExecutor java:607)_x000D_
  at io fabric sdk android services common ExecutorUtils 1 1 onRun (ExecutorUtils java:75)_x000D_
  at io fabric sdk android services common BackgroundPriorityRunnable run (BackgroundPriorityRunnable java:30)_x000D_
  at java lang Thread run (Thread java:761)_x000D_
_x000D_
 Crashlytics Exception Handler1  prio 5 tid 16 Waiting_x000D_
    group  main  sCount 1 dsCount 0 obj 0x12c058b0 self 0x7302729e00_x000D_
    sysTid 25194 nice 10 cgrp default sched 0 0 handle 0x72f304e450_x000D_
    state S schedstat ( 0 0 0 ) utm 3 stm 5 core 1 HZ 100_x000D_
    stack 0x72f2f4c000 0x72f2f4e000 stackSize 1037KB_x000D_
    held mutexes _x000D_
_x000D_
  at java lang Object wait  (Native method)_x000D_
  waiting on  0x03b1896b  (a java lang Object)_x000D_
  at java lang Thread parkFor  (Thread java:2127)_x000D_
  locked  0x03b1896b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LinkedBlockingQueue take (LinkedBlockingQueue java:413)_x000D_
  at java util concurrent ThreadPoolExecutor getTask (ThreadPoolExecutor java:1058)_x000D_
  at java util concurrent ThreadPoolExecutor runWorker (ThreadPoolExecutor java:1118)_x000D_
  at java util concurrent ThreadPoolExecutor Worker run (ThreadPoolExecutor java:607)_x000D_
  at io fabric sdk android services common ExecutorUtils 1 1 onRun (ExecutorUtils java:75)_x000D_
  at io fabric sdk android services common BackgroundPriorityRunnable run (BackgroundPriorityRunnable java:30)_x000D_
  at java lang Thread run (Thread java:761)_x000D_
_x000D_
 ConnectivityThread  prio 9 tid 19 Native_x000D_
    group  main  sCount 1 dsCount 0 obj 0x12c05940 self 0x7309027800_x000D_
    sysTid 25197 nice 0 cgrp default sched 0 0 handle 0x72e9cfa450_x000D_
    state S schedstat ( 0 0 0 ) utm 0 stm 0 core 1 HZ 100_x000D_
    stack 0x72e9bf8000 0x72e9bfa000 stackSize 1037KB_x000D_
    held mutexes _x000D_
_x000D_
  native: pc 000000000006b0e4   system lib64 libc so (  epoll pwait 8)_x000D_
  native: pc 000000000001e92c   system lib64 libc so (epoll pwait 64)_x000D_
  native: pc 00000000000180bc   system lib64 libutils so ( ZN7android6Looper9pollInnerEi 156)_x000D_
  native: pc 0000000000017f70   system lib64 libutils so ( ZN7android6Looper8pollOnceEiPiS1 PPv 60)_x000D_
  native: pc 00000000000f395c   system lib64 libandroid runtime so ( ZN7android18NativeMessageQueue8pollOnceEP7 JNIEnvP8 jobjecti 48)_x000D_
  native: pc 00000000008dd500   system framework arm64 boot framework oat (Java android os MessageQueue nativePollOnce  JI 140)_x000D_
  at android os MessageQueue nativePollOnce (Native method)_x000D_
  at android os MessageQueue next (MessageQueue java:323)_x000D_
  at android os Looper loop (Looper java:136)_x000D_
  at android os HandlerThread run (HandlerThread java:61)_x000D_
_x000D_
 com stitcher utils g b  prio 5 tid 18 Native_x000D_
    group  main  sCount 1 dsCount 0 obj 0x12c059d0 self 0x7302774200_x000D_
    sysTid 25204 nice 4 cgrp default sched 0 0 handle 0x72e9dff450_x000D_
    state S schedstat ( 0 0 0 ) utm 460 stm 231 core 2 HZ 100_x000D_
    stack 0x72e9cfd000 0x72e9cff000 stackSize 1037KB_x000D_
    held mutexes _x000D_
_x000D_
  native: pc 000000000006b0e4   system lib64 libc so (  epoll pwait 8)_x000D_
  native: pc 000000000001e92c   system lib64 libc so (epoll pwait 64)_x000D_
  native: pc 00000000000180bc   system lib64 libutils so ( ZN7android6Looper9pollInnerEi 156)_x000D_
  native: pc 0000000000017f70   system lib64 libutils so ( ZN7android6Looper8pollOnceEiPiS1 PPv 60)_x000D_
  native: pc 00000000000f395c   system lib64 libandroid runtime so ( ZN7android18NativeMessageQueue8pollOnceEP7 JNIEnvP8 jobjecti 48)_x000D_
  native: pc 00000000008dd500   system framework arm64 boot framework oat (Java android os MessageQueue nativePollOnce  JI 140)_x000D_
  at android os MessageQueue nativePollOnce (Native method)_x000D_
  at android os MessageQueue next (MessageQueue java:323)_x000D_
  at android os Looper loop (Looper java:136)_x000D_
  at android os HandlerThread run (HandlerThread java:61)_x000D_
_x000D_
 FlurryAgent  prio 5 tid 20 Native_x000D_
    group  main  sCount 1 dsCount 0 obj 0x12c05a60 self 0x7302774c00_x000D_
    sysTid 25205 nice 0 cgrp default sched 0 0 handle 0x72e9969450_x000D_
    state S schedstat ( 0 0 0 ) utm 7 stm 2 core 0 HZ 100_x000D_
    stack 0x72e9867000 0x72e9869000 stackSize 1037KB_x000D_
    held mutexes _x000D_
_x000D_
  native: pc 000000000006b0e4   system lib64 libc so (  epoll pwait 8)_x000D_
  native: pc 000000000001e92c   system lib64 libc so (epoll pwait 64)_x000D_
  native: pc 00000000000180bc   system lib64 libutils so ( ZN7android6Looper9pollInnerEi 156)_x000D_
  native: pc 0000000000017f70   system lib64 libutils so ( ZN7android6Looper8pollOnceEiPiS1 PPv 60)_x000D_
  native: pc 00000000000f395c   system lib64 libandroid runtime so ( ZN7android18NativeMessageQueue8pollOnceEP7 JNIEnvP8 jobjecti 48)_x000D_
  native: pc 00000000008dd500   system framework arm64 boot framework oat (Java android os MessageQueue nativePollOnce  JI 140)_x000D_
  at android os MessageQueue nativePollOnce (Native method)_x000D_
  at android os MessageQueue next (MessageQueue java:323)_x000D_
  at android os Looper loop (Looper java:136)_x000D_
  at android os HandlerThread run (HandlerThread java:61)_x000D_
_x000D_
 com helpshift api runner  prio 5 tid 21 Native_x000D_
    group  main  sCount 1 dsCount 0 obj 0x12c05af0 self 0x7302775600_x000D_
    sysTid 25208 nice 0 cgrp default sched 0 0 handle 0x72e9864450_x000D_
    state S schedstat ( 0 0 0 ) utm 6 stm 4 core 3 HZ 100_x000D_
    stack 0x72e9762000 0x72e9764000 stackSize 1037KB_x000D_
    held mutexes _x000D_
_x000D_
  native: pc 000000000006b0e4   system lib64 libc so (  epoll pwait 8)_x000D_
  native: pc 000000000001e92c   system lib64 libc so (epoll pwait 64)_x000D_
  native: pc 00000000000180bc   system lib64 libutils so ( ZN7android6Looper9pollInnerEi 156)_x000D_
  native: pc 0000000000017f70   system lib64 libutils so ( ZN7android6Looper8pollOnceEiPiS1 PPv 60)_x000D_
  native: pc 00000000000f395c   system lib64 libandroid runtime so ( ZN7android18NativeMessageQueue8pollOnceEP7 JNIEnvP8 jobjecti 48)_x000D_
  native: pc 00000000008dd500   system framework arm64 boot framework oat (Java android os MessageQueue nativePollOnce  JI 140)_x000D_
  at android os MessageQueue nativePollOnce (Native method)_x000D_
  at android os MessageQueue next (MessageQueue java:323)_x000D_
  at android os Looper loop (Looper java:136)_x000D_
  at android os HandlerThread run (HandlerThread java:61)_x000D_
_x000D_
 pool 7 thread 1  prio 5 tid 24 Waiting_x000D_
    group  main  sCount 1 dsCount 0 obj 0x12c05b80 self 0x730272b200_x000D_
    sysTid 25212 nice 0 cgrp default sched 0 0 handle 0x72e9555450_x000D_
    state S schedstat ( 0 0 0 ) utm 2 stm 5 core 0 HZ 100_x000D_
    stack 0x72e9453000 0x72e9455000 stackSize 1037KB_x000D_
    held mutexes _x000D_
_x000D_
  at java lang Object wait  (Native method)_x000D_
  waiting on  0x0e384cc8  (a java lang Object)_x000D_
  at java lang Thread parkFor  (Thread java:2127)_x000D_
  locked  0x0e384cc8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LinkedBlockingQueue take (LinkedBlockingQueue java:413)_x000D_
  at java util concurrent ThreadPoolExecutor getTask (ThreadPoolExecutor java:1058)_x000D_
  at java util concurrent ThreadPoolExecutor runWorker (ThreadPoolExecutor java:1118)_x000D_
  at java util concurrent ThreadPoolExecutor Worker run (ThreadPoolExecutor java:607)_x000D_
  at java lang Thread run (Thread java:761)_x000D_
_x000D_
 dp  prio 5 tid 25 Native_x000D_
    group  main  sCount 1 dsCount 0 obj 0x12c05c10 self 0x73027b9400_x000D_
    sysTid 25231 nice 1 cgrp default sched 0 0 handle 0x72e8d61450_x000D_
    state S schedstat ( 0 0 0 ) utm 0 stm 0 core 1 HZ 100_x000D_
    stack 0x72e8c5f000 0x72e8c61000 stackSize 1037KB_x000D_
    held mutexes _x000D_
_x000D_
  native: pc 000000000006b0e4   system lib64 libc so (  epoll pwait 8)_x000D_
  native: pc 000000000001e92c   system lib64 libc so (epoll pwait 64)_x000D_
  native: pc 00000000000180bc   system lib64 libutils so ( ZN7android6Looper9pollInnerEi 156)_x000D_
  native: pc 0000000000017f70   system lib64 libutils so ( ZN7android6Looper8pollOnceEiPiS1 PPv 60)_x000D_
  native: pc 00000000000f395c   system lib64 libandroid runtime so ( ZN7android18NativeMessageQueue8pollOnceEP7 JNIEnvP8 jobjecti 48)_x000D_
  native: pc 00000000008dd500   system framework arm64 boot framework oat (Java android os MessageQueue nativePollOnce  JI 140)_x000D_
  at android os MessageQueue nativePollOnce (Native method)_x000D_
  at android os MessageQueue next (MessageQueue java:323)_x000D_
  at android os Looper loop (Looper java:136)_x000D_
  at android os HandlerThread run (HandlerThread java:61)_x000D_
_x000D_
 Thread 9  prio 5 tid 26 Waiting_x000D_
    group  main  sCount 1 dsCount 0 obj 0x12c17100 self 0x72e9ec3e00_x000D_
    sysTid 25232 nice 10 cgrp default sched 0 0 handle 0x72e8c3c450_x000D_
    state S schedstat ( 0 0 0 ) utm 0 stm 0 core 2 HZ 100_x000D_
    stack 0x72e8b3a000 0x72e8b3c000 stackSize 1037KB_x000D_
    held mutexes _x000D_
_x000D_
  at java lang Object wait  (Native method)_x000D_
  waiting on  0x000dd161  (a java lang Object)_x000D_
  at java lang Thread parkFor  (Thread java:2127)_x000D_
  locked  0x000dd161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PriorityBlockingQueue take (PriorityBlockingQueue java:519)_x000D_
  at com android volley CacheDispatcher run (CacheDispatcher java:91)_x000D_
_x000D_
 Thread 10  prio 5 tid 27 Waiting_x000D_
    group  main  sCount 1 dsCount 0 obj 0x12c171a0 self 0x72e9ec4800_x000D_
    sysTid 25233 nice 10 cgrp default sched 0 0 handle 0x72e8b37450_x000D_
    state S schedstat ( 0 0 0 ) utm 3 stm 0 core 3 HZ 100_x000D_
    stack 0x72e8a35000 0x72e8a37000 stackSize 1037KB_x000D_
    held mutexes _x000D_
_x000D_
  at java lang Object wait  (Native method)_x000D_
  waiting on  0x0db3e486  (a java lang Object)_x000D_
  at java lang Thread parkFor  (Thread java:2127)_x000D_
  locked  0x0db3e486  (a java lang Object)_x000D_
  at sun misc Unsafe park (Unsafe java:325)_x000D_
  at java util concurrent locks LockSupport park (LockSupport java:161)_x000D_
  at java util concurrent locks AbstractQueuedSynchronizer ConditionObject await (AbstractQueuedSynchronizer java:2035)_x000D_
  at java util concurrent PriorityBlockingQueue take (PriorityBlockingQueue java:519)_x000D_
  at com android volley NetworkDispatcher run (NetworkDispatcher java:92)_x000D_
_x000D_
 Thread 11  prio 5 tid 28 Waiting_x000D_
    group  main  sCount 1 dsCount 0 obj 0x12c17240 self 0x72e9ec5200_x000D_
    sysTid 25234 nice 10 cgrp default sched 0 0 handle 0x72e8a32450_x000D_
    state S schedstat ( 0 0 0 ) utm 1 stm 0 core 2 HZ 100_x000D_
    stack 0x72e8930000 0x</t>
  </si>
  <si>
    <t>7LPdWcaW-GrowTracker-Android-47</t>
  </si>
  <si>
    <t>[Crash] crash report (do not change)</t>
  </si>
  <si>
    <t xml:space="preserve">Was on battery saver mode  Slow phone due to that  took a picture then this_x000D_
crashed _x000D_
https:  zapier com engine hydrate 1577972  eJxN0smSokAQBuB34dxOVIFs3sAhtEVpZekWJiYqSijQolgLWTR892GWw5zzy8yIzP8p3Ere4TIm6JYIKwghWEqS CakN8ISVOKCCCsBdx2OrwUpOy68CfGVxDnKyTR7WVV1deZxVXZzGXVT bvBmVk 4DbjwuopFIRznP3dIEA5lhSoXHCKE0VXlFn P3714yn8cYazoclOd9huQ3sgRUdvTzTJeMhm2MiikehiUBSx6zD7pBn3qUaVSsyN4 pnQPpoNNzbwwPjrsbN1465gZ2WUJOr5BBS0hyuS61eBMdhSD2ydvGlNDGQfNoiz Y8i9OyXoxWHeCwvGe2bluuKcr3ER6mY5J4UVGLEFhUUyMAW5gblsQbOfOzZaScpGYaUGb0TUSzeqFBb31x8hGcKssuEVN75FI8DO46AiTyQzd5cJ9IhuJ8HXg7TlEG POOhTBNdfVDQrvPPhRPQxejdoj30A7bA2dpkG6b UM7Ht5FsB5Y2H7AkhJlwq3ENnVgykqurptPulVP7BaRNbokzMMKDwxSft U3KYUIwTe9 1SISetH5Z b3eLikPHqVg2X5qfta14Uwp5a03jo5OPxCzkjs2  pcISdNU8G1OTpx3LY6J8Pr5ev0C5ubDqw:1dDCVl:e29NZD5CgYVwihIbh7v428pLH44 </t>
  </si>
  <si>
    <t>evernote-android-job-200</t>
  </si>
  <si>
    <t>NoClassDefFoundError: PlatformAlarmReceiver</t>
  </si>
  <si>
    <t xml:space="preserve">Using this API for the first time  looking at the sample on the home page  I run into the crash below when I call_x000D_
   _x000D_
        new JobRequest Builder(MyJob TAG)_x000D_
                 setPeriodic(TimeUnit MINUTES toMillis(intervalInMins)  TimeUnit MINUTES toMillis(5))_x000D_
                 setPersisted(true)_x000D_
                 build()_x000D_
                 schedule() _x000D_
_x000D_
   _x000D_
Tried minSdkLevel 18 and 19 (I d like 18 preferably)   I got the api through Gradle using the following snippet:_x000D_
   _x000D_
_x000D_
dependencies  _x000D_
    compile  com evernote:android job:1 1 10 _x000D_
 _x000D_
   _x000D_
_x000D_
Stack trace:_x000D_
_x000D_
	05 23 02:20:23 713 2020 2020 com bla I dalvikvm: Could not find method android app AlarmManager setExact  referenced from method com evernote android job v14 JobProxy14 plantOneOffExact_x000D_
	05 23 02:20:23 713 2020 2020 com bla W dalvikvm: VFY: unable to resolve virtual method 5: Landroid app AlarmManager  setExact (IJLandroid app PendingIntent )V_x000D_
	05 23 02:20:23 713 2020 2020 com bla W dalvikvm: threadid 1: thread exiting with uncaught exception (group 0xa5021678)_x000D_
	05 23 02:20:23 713 2020 2020 com bla E AndroidRuntime: FATAL EXCEPTION: main_x000D_
	                                                                     java lang NoClassDefFoundError: com evernote android job v14 PlatformAlarmReceiver_x000D_
	                                                                         at com evernote android job v14 JobProxy14 getPendingIntent(JobProxy14 java:184)_x000D_
	                                                                         at com evernote android job v14 JobProxy14 cancel(JobProxy14 java:151)_x000D_
	                                                                         at com evernote android job JobProxy Common cleanUpOrphanedJob(JobProxy java:259)_x000D_
	                                                                         at com evernote android job JobManager schedule(JobManager java:218)_x000D_
	                                                                         at com evernote android job JobRequest schedule(JobRequest java:366)_x000D_
	                                                                         at com bla MyJob schedule(MyJob java:27)_x000D_
	                                                                         at com bla MainActivity onResume(MainActivity java:19)_x000D_
	                                                                         at android app Instrumentation callActivityOnResume(Instrumentation java:1192)_x000D_
	                                                                         at android app Activity performResume(Activity java:5211)_x000D_
	                                                                         at android app ActivityThread performResumeActivity(ActivityThread java:2780)_x000D_
	                                                                         at android app ActivityThread handleResumeActivity(ActivityThread java:2819)_x000D_
	                                                                         at android app ActivityThread handleLaunchActivity(ActivityThread java:2266)_x000D_
	                                                                         at android app ActivityThread access 600(ActivityThread java:141)_x000D_
	                                                                         at android app ActivityThread H handleMessage(ActivityThread java:1256)_x000D_
	                                                                         at android os Handler dispatchMessage(Handler java:99)_x000D_
	                                                                         at android os Looper loop(Looper java:137)_x000D_
	                                                                         at android app ActivityThread main(ActivityThread java:5103)_x000D_
	                                                                         at java lang reflect Method invokeNative(Native Method)_x000D_
	                                                                         at java lang reflect Method invoke(Method java:525)_x000D_
	                                                                         at com android internal os ZygoteInit MethodAndArgsCaller run(ZygoteInit java:737)_x000D_
	                                                                         at com android internal os ZygoteInit main(ZygoteInit java:553)_x000D_
	                                                                         at dalvik system NativeStart main(Native Method)_x000D_
	05 23 02:25:38 163 2020 2020   I Process: Sending signal  PID: 2020 SIG: 9_x000D_
_x000D_
</t>
  </si>
  <si>
    <t>inaturalist-iNaturalistAndroid-355</t>
  </si>
  <si>
    <t>null pointer when checking for missing file</t>
  </si>
  <si>
    <t xml:space="preserve">https:  fabric io inaturalist android apps org inaturalist android issues 5905ed8cbe077a4dcc1ea404 time last seven days_x000D_
_x000D_
   _x000D_
Fatal Exception: java lang NullPointerException_x000D_
       at java io File  init (File java:262)_x000D_
       at org inaturalist android INaturalistService postPhotos(INaturalistService java:1820)_x000D_
       at org inaturalist android INaturalistService syncObservations(INaturalistService java:970)_x000D_
       at org inaturalist android INaturalistService onHandleIntent(INaturalistService java:899)_x000D_
       at android app IntentService ServiceHandler handleMessage(IntentService java:67)_x000D_
       at android os Handler dispatchMessage(Handler java:102)_x000D_
       at android os Looper loop(Looper java:173)_x000D_
       at android os HandlerThread run(HandlerThread java:61)_x000D_
   _x000D_
The user experiencing this says the app crashes when it tries to upload photos  which seems reasonable given the error  What doesn t seem reasonable is that it s happening at _x000D_
 https:  github com inaturalist iNaturalistAndroid blob 35844794043a5fa2b3f3e991c5c475cb17c32610 iNaturalist src main java org inaturalist android INaturalistService java L1820  which seems to have a null check right before that  Is it that the results of  new File()  are null </t>
  </si>
  <si>
    <t>fossasia-phimpme-android-477</t>
  </si>
  <si>
    <t>Image not loading in Edit screen and app crashes on applying Edits</t>
  </si>
  <si>
    <t xml:space="preserve">  Actual Behaviour  _x000D_
_x000D_
When Edit option clicked from action menu  It intent to  EditImageActivity  but not load the image which passes in putextra  but a black screen appear  App also crashes after applying edits _x000D_
_x000D_
  Expected Behaviour  _x000D_
_x000D_
Show the correct image and save after editing _x000D_
_x000D_
Provide logs for the crash here_x000D_
_x000D_
  Screenshots of the issue  _x000D_
  edit blank screen (https:  cloud githubusercontent com assets 6936968 26418922 a2613896 40db 11e7 80b9 7c6ff9f70999 png)_x000D_
_x000D_
  Would you like to work on the issue   _x000D_
_x000D_
Yes_x000D_
</t>
  </si>
  <si>
    <t>cgeo-cgeo-6580</t>
  </si>
  <si>
    <t>RejectedExecutionException in RxJava</t>
  </si>
  <si>
    <t xml:space="preserve">From the Google Play consoles new  Android vitals  section (crashes not explicitly reported by users but collected by the system) _x000D_
Reports: 3500  Users: 2942_x000D_
_x000D_
Happening since version 20170320 on Anroid versions 4 x   7 0 _x000D_
_x000D_
   _x000D_
_x000D_
io reactivex exceptions UndeliverableException: _x000D_
  at io reactivex plugins RxJavaPlugins onError(RxJavaPlugins java:366)_x000D_
  at io reactivex internal schedulers NewThreadWorker scheduleActual(NewThreadWorker java:136)_x000D_
  at io reactivex internal schedulers NewThreadWorker schedule(NewThreadWorker java:51)_x000D_
  at io reactivex Scheduler Worker PeriodicTask run(Scheduler java:392)_x000D_
  at io reactivex internal schedulers ScheduledRunnable run(ScheduledRunnable java:61)_x000D_
  at io reactivex internal schedulers ScheduledRunnable call(ScheduledRunnable java:52)_x000D_
  at java util concurrent FutureTask run(FutureTask java:237)_x000D_
  at java util concurrent ScheduledThreadPoolExecutor ScheduledFutureTask access 201(ScheduledThreadPoolExecutor java:152)_x000D_
  at java util concurrent ScheduledThreadPoolExecutor ScheduledFutureTask run(ScheduledThreadPoolExecutor java:265)_x000D_
  at java util concurrent ThreadPoolExecutor runWorker(ThreadPoolExecutor java:1112)_x000D_
  at java util concurrent ThreadPoolExecutor Worker run(ThreadPoolExecutor java:587)_x000D_
  at java lang Thread run(Thread java:841)_x000D_
Caused by: java util concurrent RejectedExecutionException: _x000D_
  at java util concurrent ThreadPoolExecutor AbortPolicy rejectedExecution(ThreadPoolExecutor java:2011)_x000D_
  at java util concurrent ThreadPoolExecutor reject(ThreadPoolExecutor java:793)_x000D_
  at java util concurrent ScheduledThreadPoolExecutor delayedExecute(ScheduledThreadPoolExecutor java:298)_x000D_
  at java util concurrent ScheduledThreadPoolExecutor schedule(ScheduledThreadPoolExecutor java:519)_x000D_
  at io reactivex internal schedulers NewThreadWorker scheduleActual(NewThreadWorker java:129)_x000D_
   </t>
  </si>
  <si>
    <t>schedjoules-android-event-discovery-sdk-283</t>
  </si>
  <si>
    <t>Crash when going back to List from Location picker, error, tap to retry, when Activity was killed</t>
  </si>
  <si>
    <t xml:space="preserve">This occurred to me during working on  278  worth checking back to it after the refactors _x000D_
_x000D_
Steps to reproduce:_x000D_
1  Turn on  Don t keep Activities _x000D_
2  Modify code so that  EventListListLoaderFragment  error branch is executed_x000D_
3  Start app  go to location picker  select a location_x000D_
4  Tap on the error message to retry_x000D_
Result: crash:_x000D_
   _x000D_
05 24 15:07:58 512 E AndroidRuntime: FATAL EXCEPTION: main_x000D_
                                     Process: com schedjoules eventdiscovery demo  PID: 27392_x000D_
                                     java lang IllegalStateException: Activity has been destroyed_x000D_
                                         at android support v4 app FragmentManagerImpl enqueueAction(FragmentManager java:1560)_x000D_
                                         at android support v4 app BackStackRecord commitInternal(BackStackRecord java:696)_x000D_
                                         at android support v4 app BackStackRecord commit(BackStackRecord java:662)_x000D_
                                         at com schedjoules eventdiscovery framework utils fragment Replace doCommit(Replace java:60)_x000D_
                                         at com schedjoules eventdiscovery framework utils fragment Replace commit(Replace java:54)_x000D_
                                         at com schedjoules eventdiscovery framework eventlist EventListFragment reloadList(EventListFragment java:243)_x000D_
                                         at com schedjoules eventdiscovery framework eventlist EventListFragment access 200(EventListFragment java:74)_x000D_
                                         at com schedjoules eventdiscovery framework eventlist EventListFragment 3 onPigeonReturn(EventListFragment java:158)_x000D_
                                         at com schedjoules eventdiscovery framework eventlist EventListFragment 3 onPigeonReturn(EventListFragment java:154)_x000D_
                                         at org dmfs android microfragments utils BooleanDovecote DovecotReceiver 1 run(BooleanDovecote java:86)_x000D_
                                         at org dmfs pigeonpost localbroadcast tools MainThreadExecutor execute(MainThreadExecutor java:45)_x000D_
                                         at org dmfs android microfragments utils BooleanDovecote DovecotReceiver onReceive(BooleanDovecote java:82)_x000D_
                                         at android support v4 content LocalBroadcastManager executePendingBroadcasts(LocalBroadcastManager java:297)_x000D_
                                         at android support v4 content LocalBroadcastManager sendBroadcastSync(LocalBroadcastManager java:278)_x000D_
                                         at org dmfs android microfragments utils BooleanCage 2 send(BooleanCage java:74)_x000D_
                                         at com schedjoules eventdiscovery framework eventlist EventListListErrorFragment 1 onClick(EventListListErrorFragment java:69)_x000D_
                                         at android view View performClick(View java:5204)_x000D_
                                         at android view View PerformClick run(View java:21153)_x000D_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t>
  </si>
  <si>
    <t>jklmnn-ParkenDD-43</t>
  </si>
  <si>
    <t>Crash on map button click</t>
  </si>
  <si>
    <t xml:space="preserve">The app crashes when a user (or bot  ) ) clicks the  display map  button before the list of cities is loaded </t>
  </si>
  <si>
    <t>getodk-collect-1057</t>
  </si>
  <si>
    <t>Many fewer devices supported by 1.7.0 beta</t>
  </si>
  <si>
    <t xml:space="preserve">In the Google Play Console under Release Management   Artifact Library  the released version v1 6 1 is shown to be supported by 10800 devices  On the other hand  v1 7 0 beta is only supported by 8719 _x000D_
_x000D_
This is probably due to the introduction of 3 new feature requirements to support selfie mode:_x000D_
   _x000D_
android hardware CAMERA_x000D_
android hardware camera AUTOFOCUS_x000D_
android hardware screen PORTRAIT_x000D_
   _x000D_
_x000D_
These are used for the selfie mode and should be marked as not required  If a user without the required features uses the app and loads that widget  they may get a crash </t>
  </si>
  <si>
    <t>searles-FractviewAndroid-14</t>
  </si>
  <si>
    <t>Crash it no focus on startup</t>
  </si>
  <si>
    <t xml:space="preserve">This bug should receive move attention because it is responsible for the majority of remaining crashes  To reproduce  clear cache of the app  start it and immediately switch _x000D_
_x000D_
How to solve in a clean way: _x000D_
_x000D_
  The splash screen should be bound to the MainActivity  ie  the main activity decides when to show it  _x000D_
  Keep in mind  that a bitmap fragment might be activated any time  theoretically with a different drawer that always takes some time for initialization  _x000D_
  Thus  when a bitmap fragment is created  its initialization code should run in the background _x000D_
      During initialization  there is no interaction between others _x000D_
      For each bitmap fragment  initialization happens exactly once in the beginning when the drawer is created _x000D_
  This leads to the following clean way:_x000D_
      BitmapFragment contains a method  isInitializing()  that returns true if initialization is starting  A viewer can react to this and display a periodic message with a waiting wheel plus avoid any interaction  isInitializing must be true after start up  It may only change to false once in the entire lifetime of the bitmap fragment _x000D_
          Advantage: If the MainActivity is destroyed  it is no big deal _x000D_
      BitmapFragmentListeners are informed when the initialization is done  This call must happen in the UI Thread _x000D_
      In viewer s on create  if the attached fragment is busy  two components are added centered right after the viewer registered with the bitmap fragment _x000D_
_x000D_
About calling things from the ui thread: https:  stackoverflow com questions 13974661 runonuithread vs looper getmainlooper post in android _x000D_
_x000D_
For Toast messages  use DialogHelper and check whether app has focus  If not  ignore Toasts _x000D_
_x000D_
   _x000D_
05 27 01:06:18 213 4814 4814 at searles fractview E AndroidRuntime: FATAL EXCEPTION: main_x000D_
                                                                    Process: at searles fractview  PID: 4814_x000D_
                                                                    java lang IllegalStateException: Can not perform this action after onSaveInstanceState_x000D_
                                                                        at android app FragmentManagerImpl checkStateLoss(FragmentManager java:1434)_x000D_
                                                                        at android app FragmentManagerImpl enqueueAction(FragmentManager java:1452)_x000D_
                                                                        at android app BackStackRecord commitInternal(BackStackRecord java:708)_x000D_
                                                                        at android app BackStackRecord commit(BackStackRecord java:672)_x000D_
                                                                        at android app DialogFragment show(DialogFragment java:230)_x000D_
                                                                        at at searles fractview BitmapFragment 2 1 run(BitmapFragment java:283)_x000D_
   </t>
  </si>
  <si>
    <t>uw-ictd-dfs-phishing-sms-client-2</t>
  </si>
  <si>
    <t>Group messages cause a database crash</t>
  </si>
  <si>
    <t xml:space="preserve">    DESCRIPTION_x000D_
When the app tries to load a group message  it crashes _x000D_
_x000D_
    STEPS_x000D_
1  Make sure your message history includes a group thread _x000D_
2  Open the app _x000D_
3  If the group conversation is not in view  scroll down to the conversation _x000D_
4  App will crash _x000D_
_x000D_
    EXPECTED_x000D_
App shouldn t crash _x000D_
_x000D_
    OBSERVATIONS_x000D_
This seems to happen because the side database which stores metadata on conversations is indexed by address  The ConversationLegacy class returns a null address for group conversations  and this causes the app to crash  I created a temporary workaround to return the first user s address rather than null  This is only a temporary fix and will break compatibility  For a full solution  I propose changing the side database to be indexed by the thread ID  which is unique for groups </t>
  </si>
  <si>
    <t>tanrabad-survey-22</t>
  </si>
  <si>
    <t xml:space="preserve">     in okhttp3 internal connection RealConnection connect
  Number of crashes: 1
  Impacted devices: 1
There s a lot more information about this crash on crashlytics com:
 https:  fabric io tanrabad android apps org tanrabad survey issues 5927cf3cbe077a4dcc3fc248 (https:  fabric io tanrabad android apps org tanrabad survey issues 5927cf3cbe077a4dcc3fc248)</t>
  </si>
  <si>
    <t>shivamsriva31093-MovieFinder-3</t>
  </si>
  <si>
    <t>Sudden crash sometimes when query is made in the searchlist activity</t>
  </si>
  <si>
    <t xml:space="preserve">The app crashes sometimes especially when previous queries have been made  The exception thrown is   detachment of fragment from the activity </t>
  </si>
  <si>
    <t>getodk-collect-1074</t>
  </si>
  <si>
    <t>ODK crashes if we use some words as a section name</t>
  </si>
  <si>
    <t xml:space="preserve">     Software and hardware versions _x000D_
Collect v1 7 0_x000D_
_x000D_
     Problem description_x000D_
ODK crashes if we use words like:_x000D_
end  start  today  deviceid  simid  phonenumber as a section name </t>
  </si>
  <si>
    <t>tanrabad-survey-24</t>
  </si>
  <si>
    <t xml:space="preserve">     in okhttp3 internal connection StreamAllocation newStream
  Number of crashes: 1
  Impacted devices: 1
There s a lot more information about this crash on crashlytics com:
 https:  fabric io tanrabad android apps org tanrabad survey issues 592be726be077a4dcc614e06 (https:  fabric io tanrabad android apps org tanrabad survey issues 592be726be077a4dcc614e06)</t>
  </si>
  <si>
    <t>Mariovc-ImagePicker-23</t>
  </si>
  <si>
    <t>Crashes in Android O</t>
  </si>
  <si>
    <t xml:space="preserve">Here is the crash log from Android O beta :  _x000D_
It crashes when you are trying to show the picker_x000D_
_x000D_
_x000D_
_x000D_
_x000D_
 android os FileUriExposedException: file:   storage emulated 0 Android data com sample picker cache tempImage exposed beyond app through ClipData Item getUri()_x000D_
                                                                               at android os StrictMode onFileUriExposed(StrictMode java:1932)_x000D_
                                                                               at android net Uri checkFileUriExposed(Uri java:2348)_x000D_
                                                                               at android content ClipData prepareToLeaveProcess(ClipData java:935)_x000D_
                                                                               at android content Intent prepareToLeaveProcess(Intent java:9718)_x000D_
                                                                               at android content Intent prepareToLeaveProcess(Intent java:9724)_x000D_
                                                                               at android content Intent prepareToLeaveProcess(Intent java:9703)_x000D_
                                                                               at android app Instrumentation execStartActivity(Instrumentation java:1609)_x000D_
                                                                               at android app Activity startActivityForResult(Activity java:4462)_x000D_
                                                                               at android support v4 app BaseFragmentActivityJB startActivityForResult(BaseFragmentActivityJB java:50)_x000D_
                                                                               at android support v4 app FragmentActivity startActivityForResult(FragmentActivity java:79)_x000D_
                                                                               at android app Activity startActivityForResult(Activity java:4420)_x000D_
                                                                               at android support v4 app FragmentActivity startActivityForResult(FragmentActivity java:859)_x000D_
                                                                               at com mvc imagepicker ImagePicker pickImage(ImagePicker java:92) </t>
  </si>
  <si>
    <t>tanrabad-survey-23</t>
  </si>
  <si>
    <t xml:space="preserve">     in okhttp3 ConnectionPool get
  Number of crashes: 1
  Impacted devices: 1
There s a lot more information about this crash on crashlytics com:
 https:  fabric io tanrabad android apps org tanrabad survey issues 592ba06cbe077a4dcc5f2e29 (https:  fabric io tanrabad android apps org tanrabad survey issues 592ba06cbe077a4dcc5f2e29)</t>
  </si>
  <si>
    <t>dariuszseweryn-RxAndroidBle-206</t>
  </si>
  <si>
    <t>App crashes when bluetooth is turned off during a scan start/stop cycle</t>
  </si>
  <si>
    <t xml:space="preserve">    App crashes when bluetooth is turned off during a scan start stop cycle_x000D_
 br   _x000D_
Steps to reproduce actual result:  br _x000D_
1  Start scanning br _x000D_
2  Turn off bluetooth br _x000D_
3  Stop scanning br   br _x000D_
Actual result: br _x000D_
  App crashes because bluetoothAdapter is no longer available  so the library references a null object while trying to call bluetoothAdapter getBluetoothLeScanner() stopScan(scanCallback) _x000D_
 br    br _x000D_
Expected result: br _x000D_
The library should gracefully handle this case where the phone s bluetooth is turned off mid cycle (which could be during a scan   start or stop  gatt write  gatt read  etc)  I fixed this for the scan case in internal util RxBleAdapterWrapper java by just wrapping all the method calls that reference bluetoothAdapter with:  br _x000D_
if (isBluetoothEnabled())      add any reference to bluetoothAdapter call here    _x000D_
 _x000D_
_x000D_
_x000D_
 br   _x000D_
</t>
  </si>
  <si>
    <t>mancj-SlideUp-Android-28</t>
  </si>
  <si>
    <t>Issue selecting spinner location</t>
  </si>
  <si>
    <t xml:space="preserve">The slide up is working great but I ve noticed that in other parts of my app  I can t initialize the selected index of a spinner  The spinner is in an activity which isn t even implementing the SlideUp  I m performing the following line in an AlertDialog_x000D_
mySpinner setSelection(7) _x000D_
_x000D_
The line executes fine  but then when I tell the AlertDialog to show  the app crashes  I then remove your library and everything works fine  I m not sure how your library could be causing this  but it seems like it is _x000D_
_x000D_
Please let me know if there s any more information you need in order to get this resolved </t>
  </si>
  <si>
    <t>ericcornelissen-NervousFish-182</t>
  </si>
  <si>
    <t>No servicelocator when restarting after crash</t>
  </si>
  <si>
    <t xml:space="preserve">     Check if the title is descriptive     _x000D_
  Parent issues:  _x000D_
  Relevant issues:  _x000D_
_x000D_
     _x000D_
_x000D_
   Description of the bug_x000D_
When the app crashes and you press restart the app  the app will restart on the activity where it crashed  The problem here is that when it restarts at another place than the EntryActivity  the servicelocator is not created  So the app crashes again because the servicelocator is null _x000D_
_x000D_
   Possible solution_x000D_
Maybe check if a message or event is shown that there was a restart  because this should go to the EntryActivity </t>
  </si>
  <si>
    <t>IBM-Cloud-chatbot-watson-android-3</t>
  </si>
  <si>
    <t>Crash on Android API below 24</t>
  </si>
  <si>
    <t xml:space="preserve">Tested on API 22 and 23  crashed on start </t>
  </si>
  <si>
    <t>kontalk-androidclient-1011</t>
  </si>
  <si>
    <t>Check FTS MATCH expression</t>
  </si>
  <si>
    <t xml:space="preserve">The search string is actually a FTS MATCH expression  which is validated  crashing the app if it s not _x000D_
_x000D_
On a (probably) different note:_x000D_
_x000D_
   _x000D_
Fatal Exception: java lang RuntimeException: Unable to start activity ComponentInfo org kontalk org kontalk ui SearchActivity : android database sqlite SQLiteException: FTS expression tree is too large (maximum depth 12) (code 1)_x000D_
                                                                 _x000D_
Error Code : 1 (SQLITE ERROR)_x000D_
Caused By : SQL(query) error or missing database _x000D_
	(FTS expression tree is too large (maximum depth 12) (code 1))_x000D_
                                                                 _x000D_
       at android app ActivityThread performLaunchActivity(ActivityThread java:3319)_x000D_
       at android app ActivityThread handleLaunchActivity(ActivityThread java:3415)_x000D_
       at android app ActivityThread access 1100(ActivityThread java:229)_x000D_
       at android app ActivityThread H handleMessage(ActivityThread java:1821)_x000D_
       at android os Handler dispatchMessage(Handler java:102)_x000D_
       at android os Looper loop(Looper java:148)_x000D_
       at android app ActivityThread main(ActivityThread java:7325)_x000D_
       at java lang reflect Method invoke(Method java)_x000D_
       at com android internal os ZygoteInit MethodAndArgsCaller run(ZygoteInit java:1230)_x000D_
       at com android internal os ZygoteInit main(ZygoteInit java:1120)_x000D_
Caused by android database sqlite SQLiteException: FTS expression tree is too large (maximum depth 12) (code 1)_x000D_
                                                                 _x000D_
Error Code : 1 (SQLITE ERROR)_x000D_
Caused By : SQL(query) error or missing database _x000D_
	(FTS expression tree is too large (maximum depth 12) (code 1))_x000D_
                                                                 _x000D_
       at android database sqlite SQLiteConnection nativeExecuteForCursorWindow(SQLiteConnection java)_x000D_
       at android database sqlite SQLiteConnection executeForCursorWindow(SQLiteConnection java:980)_x000D_
       at android database sqlite SQLiteSession executeForCursorWindow(SQLiteSession java:836)_x000D_
       at android database sqlite SQLiteQuery fillWindow(SQLiteQuery java:62)_x000D_
       at android database sqlite SQLiteCursor fillWindow(SQLiteCursor java:143)_x000D_
       at android database sqlite SQLiteCursor getCount(SQLiteCursor java:132)_x000D_
       at android content ContentResolver query(ContentResolver java:521)_x000D_
       at android content ContentResolver query(ContentResolver java:445)_x000D_
       at org kontalk data SearchItem query(SearchItem java:85)_x000D_
       at org kontalk ui SearchFragment setQuery(SearchFragment java:73)_x000D_
       at org kontalk ui SearchActivity onCreate(SearchActivity java:52)_x000D_
       at android app Activity performCreate(Activity java:6904)_x000D_
       at android app Instrumentation callActivityOnCreate(Instrumentation java:1136)_x000D_
       at android app ActivityThread performLaunchActivity(ActivityThread java:3266)_x000D_
       at android app ActivityThread handleLaunchActivity(ActivityThread java:3415)_x000D_
       at android app ActivityThread access 1100(ActivityThread java:229)_x000D_
       at android app ActivityThread H handleMessage(ActivityThread java:1821)_x000D_
       at android os Handler dispatchMessage(Handler java:102)_x000D_
       at android os Looper loop(Looper java:148)_x000D_
       at android app ActivityThread main(ActivityThread java:7325)_x000D_
       at java lang reflect Method invoke(Method java)_x000D_
       at com android internal os ZygoteInit MethodAndArgsCaller run(ZygoteInit java:1230)_x000D_
       at com android internal os ZygoteInit main(ZygoteInit java:1120)_x000D_
   </t>
  </si>
  <si>
    <t>akvo-akvo-flow-mobile-740</t>
  </si>
  <si>
    <t xml:space="preserve">Crash option question (connect #739) </t>
  </si>
  <si>
    <t xml:space="preserve">     Before the PR (what is the issue or what needed to be done)_x000D_
App crashes when option question does not have options and user tries to switch languages _x000D_
     The solution_x000D_
Added null checks and also separated logic into diferent types of option question views: the null option  multiple selection and single selection for clarity _x000D_
     Screenshots (if appropriate)_x000D_
NA_x000D_
     Reviewer Checklist_x000D_
      Connect the issue_x000D_
      Test plan_x000D_
      Copyright header_x000D_
      Code formatting_x000D_
      Documentation_x000D_
</t>
  </si>
  <si>
    <t>vector-im-riot-android-1262</t>
  </si>
  <si>
    <t>Riot got into a startup loop after an OOM crash.</t>
  </si>
  <si>
    <t>Reported by Coffee_x000D_
_x000D_
Riot got into a startup loop after an OOM crash  Had to force stop it to come out of it  _x000D_
_x000D_
https:  github com matrix org riot android rageshakes issues 217</t>
  </si>
  <si>
    <t>bumptech-glide-1991</t>
  </si>
  <si>
    <t>NullPointerException in RequestManagerRetriever.findAllSupportFragmentsWithViews</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</si>
  <si>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_x000D_
sorry  I am not good at English _x000D_
_x000D_
     What version of Glide you re running  for example: 3 7 1   3 8 0 SNAPSHOT   4 0 0 SNAPSHOT_x000D_
It s essentially the version number from your build gradle:  dependencies   compile     :x y z        _x000D_
  Glide Version  : 4 0 0 RC0_x000D_
_x000D_
     Do you use any integration library  like OkHttp3 or Volley  For example:_x000D_
Fails to display with stock networking  but works with okhttp3 1 4 0    _x000D_
  Integration libraries  : okhttp3 integration 4 0 0 RC0 _x000D_
_x000D_
     What devices you managed to get the issue to come up on  For example:_x000D_
fails on Galaxy S4 GT I9500 4 4 2  works fine on Nexus 6P 5 1 and Genymotion Nexus 5 5 0 1    _x000D_
  Device Android Version  : Android 5 1_x000D_
_x000D_
     Share the details of your issue in prose  detailing actual and expected behavior  It also helps if you give some info   why   you are trying to do something as opposed to   what   is not working     _x000D_
  Issue details   Repro steps   Use case background  : _x000D_
NullPointerException in  RequestManagerRetriever findAllSupportFragmentsWithViews()  in  Glide with(View) _x000D_
_x000D_
in  findAllSupportFragmentsWithViews()     topLevelFragments  Collection is not null and not empty too _x000D_
but   topLevelFragments  have  null   so NullPointerException in for each _x000D_
_x000D_
I received crash reporting  but I could not reproduction _x000D_
I think that will occur when called  Glide with  after view is destroyed  _x000D_
But  I tried block after onDetachedFromWindow  It did not improve _x000D_
     How do you use Glide _x000D_
Make sure you include everything as is in your app s code:_x000D_
Changing a single method parameter can yield totally different results _x000D_
Please clarify any magic variables that appear in the code  for example:      this  is a Fragment _x000D_
   _x000D_
  Glide load line    GlideModule  (if any)   list Adapter code (if any)  :_x000D_
   java_x000D_
public void setImageUrl( NonNull String url)  _x000D_
  Glide with(this) load(url) into(this)      this  is ImageView instance_x000D_
 _x000D_
   _x000D_
_x000D_
   java_x000D_
public void setImageUrl( NonNull String url)  _x000D_
  if ( isViewDestroyed)       true  after called onDetachedFromWindow_x000D_
    Glide with(this) load(url) into(this)      this  is ImageView instance_x000D_
   _x000D_
 _x000D_
   _x000D_
_x000D_
NPE occurred too _x000D_
_x000D_
    _x000D_
What is the error message that you got in the log _x000D_
You can find some help on diagnosing issues here: https:  github com bumptech glide wiki Debugging and Error Handling_x000D_
   _x000D_
  Stack trace   LogCat  :_x000D_
   ruby_x000D_
Fatal Exception: java lang NullPointerException: Attempt to invoke virtual method  android view View android support v4 app Fragment getView()  on a null object reference_x000D_
       at com bumptech glide manager RequestManagerRetriever findAllSupportFragmentsWithViews(RequestManagerRetriever java:189)_x000D_
       at com bumptech glide manager RequestManagerRetriever findSupportFragment(RequestManagerRetriever java:200)_x000D_
       at com bumptech glide manager RequestManagerRetriever get(RequestManagerRetriever java:167)_x000D_
       at com bumptech glide Glide with(Glide java:609)_x000D_
       at com example views ExImageView setImageUrl(ExImageView java:55)_x000D_
       at    _x000D_
   _x000D_
_x000D_
 RequestManagerRetriever java 189 (https:  github com bumptech glide blob v4 0 0 RC0 library src main java com bumptech glide manager RequestManagerRetriever java L189) fragment is null_x000D_
_x000D_
     Bonus points if you attach a relevant screenshot  screen recording or a small demo project    _x000D_
_x000D_
Is it bug of glide  or Is my usage wrong </t>
  </si>
  <si>
    <t>nitroshare-nitroshare-android-25</t>
  </si>
  <si>
    <t>Revoking storage permission causes crash</t>
  </si>
  <si>
    <t xml:space="preserve">If the storage permission is revoked after being granted  the application will crash </t>
  </si>
  <si>
    <t>fossasia-phimpme-android-519</t>
  </si>
  <si>
    <t xml:space="preserve">Fixed bug on open camera </t>
  </si>
  <si>
    <t xml:space="preserve">Fixes issue  517 _x000D_
_x000D_
Changes:_x000D_
Fixed crash due to TinyDB _x000D_
_x000D_
</t>
  </si>
  <si>
    <t>fossasia-phimpme-android-517</t>
  </si>
  <si>
    <t xml:space="preserve">App crash on open camera. </t>
  </si>
  <si>
    <t xml:space="preserve">  Actual Behaviour  _x000D_
_x000D_
App crashed on opening camera from bottom navigation View _x000D_
_x000D_
  Expected Behaviour  _x000D_
_x000D_
It should not crash  open camera instead _x000D_
_x000D_
  Steps to reproduce it  _x000D_
_x000D_
Open camera from Bottom Navigation View _x000D_
_x000D_
  LogCat for the issue  _x000D_
_x000D_
 FATAL EXCEPTION: main_x000D_
                                                                 Process: vn mbm phimp me  PID: 12051_x000D_
                                                                 java lang NullPointerException_x000D_
                                                                     at vn mbm phimp me opencamera Camera TinyDB checkForNullValue(TinyDB java:565)_x000D_
                                                                     at vn mbm phimp me opencamera Camera TinyDB putString(TinyDB java:411)_x000D_
                                                                     at vn mbm phimp me opencamera Camera CameraActivity getSettingDetail(CameraActivity java:993)_x000D_
                                                                     at vn mbm phimp me opencamera Camera CameraActivity onWindowFocusChanged(CameraActivity java:742)_x000D_
                                                                     at android support v7 view WindowCallbackWrapper onWindowFocusChanged(WindowCallbackWrapper java:128)_x000D_
                                                                     at com android internal policy DecorView onWindowFocusChanged(DecorView java:1467)_x000D_
                                                                     at android view View dispatchWindowFocusChanged(View java:10258)_x000D_
                                                                     at android view ViewGroup dispatchWindowFocusChanged(ViewGroup java:1193)_x000D_
                                                                     at android view ViewRootImpl ViewRootHandler handleMessage(ViewRootImpl java:3605)_x000D_
                                                                     at android os Handler dispatchMessage(Handler java:102)_x000D_
                                                                     at android os Looper loop(Looper java:154)_x000D_
                                                                     at android app ActivityThread main(ActivityThread java:6176)_x000D_
                                                                     at java lang reflect Method invoke(Native Method)_x000D_
                                                                     at com android internal os ZygoteInit MethodAndArgsCaller run(ZygoteInit java:888)_x000D_
                                                                     at com android internal os ZygoteInit main(ZygoteInit java:778) _x000D_
_x000D_
</t>
  </si>
  <si>
    <t>dermalikmann-burning-series-32</t>
  </si>
  <si>
    <t>Bug: After watching an episode app crashes</t>
  </si>
  <si>
    <t>http:  crashes to s bed8a9c1fe0</t>
  </si>
  <si>
    <t>ZeeRooo-MaterialFBook-88</t>
  </si>
  <si>
    <t>Crashes when delete bookmark</t>
  </si>
  <si>
    <t>When I try to delete a bookmark from right slide panel  it crashes  v3 3 0</t>
  </si>
  <si>
    <t>tanrabad-survey-25</t>
  </si>
  <si>
    <t>IWindowSession.java line 790</t>
  </si>
  <si>
    <t xml:space="preserve">     in android view IWindowSession Stub Proxy addToDisplay
  Number of crashes: 1
  Impacted devices: 1
There s a lot more information about this crash on crashlytics com:
 https:  fabric io tanrabad android apps org tanrabad survey issues 593139f3be077a4dcc91bbb8 (https:  fabric io tanrabad android apps org tanrabad survey issues 593139f3be077a4dcc91bbb8)</t>
  </si>
  <si>
    <t>danimahardhika-candybar-library-63</t>
  </si>
  <si>
    <t>SqlLiteDatabaseLockedException</t>
  </si>
  <si>
    <t xml:space="preserve">I recieve the attached crashlog_x000D_
 crashlog txt (https:  github com danimahardhika candybar library files 1046616 crashlog txt)_x000D_
  (It says candybar version 3 1 4 but has already been updated the library to 3 1 6)_x000D_
_x000D_
</t>
  </si>
  <si>
    <t>tanrabad-survey-26</t>
  </si>
  <si>
    <t xml:space="preserve">     in org tanrabad survey repository persistence DbDistrictRepository findByCode
  Number of crashes: 1
  Impacted devices: 1
There s a lot more information about this crash on crashlytics com:
 https:  fabric io tanrabad android apps org tanrabad survey issues 59321a41be077a4dcc9a2549 (https:  fabric io tanrabad android apps org tanrabad survey issues 59321a41be077a4dcc9a2549)</t>
  </si>
  <si>
    <t>syncthing-syncthing-android-901</t>
  </si>
  <si>
    <t>NumberFormatException on minDiskFree</t>
  </si>
  <si>
    <t>Syncthing is crashing on startup for me (again :smiley:)  I ve still got minimum free space set to 0 5  for one folder _x000D_
Now it looks like    value    in model Folder java:_x000D_
   _x000D_
public static class MinDiskFree  _x000D_
      public int value _x000D_
        public String unit _x000D_
     _x000D_
   _x000D_
should be set to    float    _x000D_
I have a backup though  so I can change it  but someone else could run into this _x000D_
_x000D_
Logcat:_x000D_
   _x000D_
E AndroidRuntime: FATAL EXCEPTION: main_x000D_
E AndroidRuntime: Process: com nutomic syncthingandroid  PID: 17968_x000D_
E AndroidRuntime: com google gson JsonSyntaxException: java lang NumberFormatException: Expected an int but was 0 5 at line 1 column 884 path   folders 0  minDiskFree value_x000D_
   _x000D_
_x000D_
  Version Information  _x000D_
_x000D_
App Version: 0 9 10_x000D_
Android Version: Android 6 0</t>
  </si>
  <si>
    <t>k9mail-k-9-2569</t>
  </si>
  <si>
    <t>A lot of crashes with android 7.0</t>
  </si>
  <si>
    <t xml:space="preserve">I have k9 installed on some devices  but the only one with android 7 0 suffers of crashes which do not happen in android 4 4 _x000D_
_x000D_
    Expected behavior_x000D_
Tell us what should happen_x000D_
_x000D_
    Actual behavior_x000D_
Tell us what happens instead_x000D_
_x000D_
    Steps to reproduce_x000D_
1 _x000D_
2 _x000D_
3 _x000D_
_x000D_
    Environment_x000D_
K 9 Mail version:5 206_x000D_
_x000D_
Android version:7 0_x000D_
_x000D_
Account type (IMAP  POP3  WebDAV Exchange):imap_x000D_
</t>
  </si>
  <si>
    <t>nextcloud-android-1070</t>
  </si>
  <si>
    <t>Selecting "Automatic Uploads" crashes app instantly</t>
  </si>
  <si>
    <t xml:space="preserve">    Actual behaviour_x000D_
If I click on  Automatic Uploads  the app crashes instantly _x000D_
_x000D_
    Expected behaviour_x000D_
 Automatic Uploads  pane should show up _x000D_
 _x000D_
    Steps to reproduce_x000D_
1  Install Nextcloud Android App  stable 1 4 3 or dev 20170602 and set up a Nextcloud server in it _x000D_
2  Try opening up  Automatic uploads  where the app crashes immediately_x000D_
_x000D_
_x000D_
    Environment data_x000D_
Android version: 6 0 1_x000D_
_x000D_
Device model: BQ M5_x000D_
_x000D_
Stock or customized system: Stock ROM_x000D_
_x000D_
Nextcloud app version: 1 4 3 and 20170602_x000D_
_x000D_
Nextcloud server version: 12 0 0_x000D_
</t>
  </si>
  <si>
    <t>deltachat-deltachat-android-96</t>
  </si>
  <si>
    <t>Crash when switching activities during configuration</t>
  </si>
  <si>
    <t xml:space="preserve">Protocol:_x000D_
Start Delta Chat for the first time_x000D_
Next  set a valid server configuration manually  and let the focus on one of the lineedits _x000D_
Do not confirm yet  instead use the home button to leave the app (I opened the browser also  but I don t think it is necessary to)  and come back to Delta Chat _x000D_
Restarting the configuration kept my previous input (cool ) but the scroll is offset in an odd way that prevents me from reaching the lineedits at the bottom of the page (is it related )  Clicking to another lineedit crashes the app _x000D_
</t>
  </si>
  <si>
    <t>universAAL-nativeandroid-464</t>
  </si>
  <si>
    <t>Send OK result to GCM on receiver</t>
  </si>
  <si>
    <t xml:space="preserve"> Originally Opened:  Alfiva (2015 05 27 13:58:21 )
 Originally Closed: 2015 05 29 14:44:57 
Theory says you have to setResultCode(Activity RESULT OK)  at the end of the onReceive of the GCM broadcast receiver  The uAAL app does not do this  although this may not represent an actual  quot bug quot   since this result code would in theory only be necessary if launching services  But in any case  it s worth including it   it is known to generate error messages even if it does not crash 
From:  this issue has been automatically imported from our old issue tracker </t>
  </si>
  <si>
    <t>huhx0015-DashNearby-3</t>
  </si>
  <si>
    <t>Bug: Null pointer exception error when rotating the screen while restaurant list is loading.</t>
  </si>
  <si>
    <t xml:space="preserve">The app crashes when a screen orientation change occurs while the restaurant list is still loading:_x000D_
_x000D_
 java lang NullPointerException: collection    null_x000D_
                                                                                    at java util ArrayList  init (ArrayList java:94)_x000D_
                                                                                    at com huhx0015 doordashchallenge view fragments RestaurantListFragment onSaveInstanceState(RestaurantListFragment java:99)_x000D_
                                                                                    at android support v4 app Fragment performSaveInstanceState(Fragment java:2356)_x000D_
                                                                                    at android support v4 app FragmentManagerImpl saveFragmentBasicState(FragmentManager java:2607)_x000D_
                                                                                    at android support v4 app FragmentManagerImpl saveAllState(FragmentManager java:2678)_x000D_
                                                                                    at android support v4 app FragmentController saveAllState(FragmentController java:134)_x000D_
                                                                                    at android support v4 app FragmentActivity onSaveInstanceState(FragmentActivity java:571)_x000D_
                                                                                    at android support v7 app AppCompatActivity onSaveInstanceState(AppCompatActivity java:509)_x000D_
                                                                                    at com huhx0015 doordashchallenge view activities MainActivity onSaveInstanceState(MainActivity java:62)_x000D_
                                                                                    at android app Activity performSaveInstanceState(Activity java:1487)_x000D_
                                                                                    at android app Instrumentation callActivityOnSaveInstanceState(Instrumentation java:1318)_x000D_
                                                                                    at android app ActivityThread callCallActivityOnSaveInstanceState(ActivityThread java:5489)_x000D_
                                                                                    at android app ActivityThread handleRelaunchActivity(ActivityThread java:5440)_x000D_
                                                                                    at android app ActivityThread access 1200(ActivityThread java:229)_x000D_
                                                                                    at android app ActivityThread H handleMessage(ActivityThread java:1827)_x000D_
                                                                                    at android os Handler dispatchMessage(Handler java:102)_x000D_
                                                                                    at android os Looper loop(Looper java:148)_x000D_
                                                                                    at android app ActivityThread main(ActivityThread java:7331)_x000D_
                                                                                    at java lang reflect Method invoke(Native Method)_x000D_
                                                                                    at com android internal os ZygoteInit MethodAndArgsCaller run(ZygoteInit java:1230)_x000D_
                                                                                    at com android internal os ZygoteInit main(ZygoteInit java:1120)_x000D_
                                                                                    at de robv android xposed XposedBridge main(XposedBridge java:102) _x000D_
_x000D_
This crash occurs in    onSaveInstanceState()    when attempting to add    mRestaurantList    to the    Bundle outstate    when it is    null    </t>
  </si>
  <si>
    <t>shivamsriva31093-MovieFinder-12</t>
  </si>
  <si>
    <t>favorite activity crashing after going back to app after the activity is paused</t>
  </si>
  <si>
    <t>crash call in on destroy method at presenter destroy()</t>
  </si>
  <si>
    <t>renyuneyun-Easer-12</t>
  </si>
  <si>
    <t>Crash on every open</t>
  </si>
  <si>
    <t xml:space="preserve">Every time I created more than 2 profiles and 2 events  the app crashes  If I clear the app data and the cache manually now  I can start it until I created the profiles and events  I only used WiFi and time in the events if this help you  </t>
  </si>
  <si>
    <t>inaturalist-iNaturalistAndroid-359</t>
  </si>
  <si>
    <t>crash while resuming with auto-upload on</t>
  </si>
  <si>
    <t xml:space="preserve">Build 218  Nexus 5X  To replicate_x000D_
1  Turn on airplane mode_x000D_
1  Make sure auto upload is on_x000D_
1  Make an obs with a photo_x000D_
1  Close the app_x000D_
1  Turn off airplane mode_x000D_
1  Open the app  Crash should happen right as the obs list appears_x000D_
_x000D_
Here s the log:_x000D_
_x000D_
   _x000D_
          beginning of system_x000D_
06 03 19:47:14 516 29919 29919 E ActivityThread: Activity org inaturalist android ObservationEditor has leaked ServiceConnection android media MediaScannerConnection 7911549 that was originally bound here_x000D_
06 03 19:47:14 516 29919 29919 E ActivityThread: android app ServiceConnectionLeaked: Activity org inaturalist android ObservationEditor has leaked ServiceConnection android media MediaScannerConnection 7911549 that was originally bound here_x000D_
06 03 19:47:14 516 29919 29919 E ActivityThread: 	at android app LoadedApk ServiceDispatcher  init (LoadedApk java:1336)_x000D_
06 03 19:47:14 516 29919 29919 E ActivityThread: 	at android app LoadedApk getServiceDispatcher(LoadedApk java:1231)_x000D_
06 03 19:47:14 516 29919 29919 E ActivityThread: 	at android app ContextImpl bindServiceCommon(ContextImpl java:1450)_x000D_
06 03 19:47:14 516 29919 29919 E ActivityThread: 	at android app ContextImpl bindService(ContextImpl java:1422)_x000D_
06 03 19:47:14 516 29919 29919 E ActivityThread: 	at android content ContextWrapper bindService(ContextWrapper java:636)_x000D_
06 03 19:47:14 516 29919 29919 E ActivityThread: 	at android media MediaScannerConnection connect(MediaScannerConnection java:119)_x000D_
06 03 19:47:14 516 29919 29919 E ActivityThread: 	at android media MediaScannerConnection scanFile(MediaScannerConnection java:243)_x000D_
06 03 19:47:14 516 29919 29919 E ActivityThread: 	at org inaturalist android ObservationEditor addPhotoToGallery(ObservationEditor java:3058)_x000D_
06 03 19:47:14 516 29919 29919 E ActivityThread: 	at org inaturalist android ObservationEditor access 3700(ObservationEditor java:118)_x000D_
06 03 19:47:14 516 29919 29919 E ActivityThread: 	at org inaturalist android ObservationEditor 22 run(ObservationEditor java:2071)_x000D_
06 03 19:47:14 516 29919 29919 E ActivityThread: 	at java lang Thread run(Thread java:761)_x000D_
06 05 10:20:56 237 14780 14780 W ViewRootImpl ObservationListActivity : Dropping event due to root view being removed: MotionEvent   action ACTION UP  actionButton 0  id 0  0  x 0  374 0  y 0   547 0  toolType 0  TOOL TYPE FINGER  buttonState 0  metaState 0  flags 0x0  edgeFlags 0x0  pointerCount 1  historySize 0  eventTime 56835989  downTime 56835965  deviceId 7  source 0x1002  _x000D_
          beginning of crash_x000D_
06 05 18:03:51 008  2271  2271 E AndroidRuntime: FATAL EXCEPTION: main_x000D_
06 05 18:03:51 008  2271  2271 E AndroidRuntime: Process: org inaturalist android  PID: 2271_x000D_
06 05 18:03:51 008  2271  2271 E AndroidRuntime: java lang RuntimeException: Unable to start activity ComponentInfo org inaturalist android org inaturalist android ObservationListActivity : java util IllegalFormatConversionException: d    java lang Boolean_x000D_
06 05 18:03:51 008  2271  2271 E AndroidRuntime: 	at android app ActivityThread performLaunchActivity(ActivityThread java:2666)_x000D_
06 05 18:03:51 008  2271  2271 E AndroidRuntime: 	at android app ActivityThread handleLaunchActivity(ActivityThread java:2727)_x000D_
06 05 18:03:51 008  2271  2271 E AndroidRuntime: 	at android app ActivityThread  wrap12(ActivityThread java)_x000D_
06 05 18:03:51 008  2271  2271 E AndroidRuntime: 	at android app ActivityThread H handleMessage(ActivityThread java:1478)_x000D_
06 05 18:03:51 008  2271  2271 E AndroidRuntime: 	at android os Handler dispatchMessage(Handler java:102)_x000D_
06 05 18:03:51 008  2271  2271 E AndroidRuntime: 	at android os Looper loop(Looper java:154)_x000D_
06 05 18:03:51 008  2271  2271 E AndroidRuntime: 	at android app ActivityThread main(ActivityThread java:6121)_x000D_
06 05 18:03:51 008  2271  2271 E AndroidRuntime: 	at java lang reflect Method invoke(Native Method)_x000D_
06 05 18:03:51 008  2271  2271 E AndroidRuntime: 	at com android internal os ZygoteInit MethodAndArgsCaller run(ZygoteInit java:889)_x000D_
06 05 18:03:51 008  2271  2271 E AndroidRuntime: 	at com android internal os ZygoteInit main(ZygoteInit java:779)_x000D_
06 05 18:03:51 008  2271  2271 E AndroidRuntime: Caused by: java util IllegalFormatConversionException: d    java lang Boolean_x000D_
06 05 18:03:51 008  2271  2271 E AndroidRuntime: 	at java util Formatter FormatSpecifier failConversion(Formatter java:4135)_x000D_
06 05 18:03:51 008  2271  2271 E AndroidRuntime: 	at java util Formatter FormatSpecifier printInteger(Formatter java:2832)_x000D_
06 05 18:03:51 008  2271  2271 E AndroidRuntime: 	at java util Formatter FormatSpecifier print(Formatter java:2786)_x000D_
06 05 18:03:51 008  2271  2271 E AndroidRuntime: 	at java util Formatter format(Formatter java:2491)_x000D_
06 05 18:03:51 008  2271  2271 E AndroidRuntime: 	at java util Formatter format(Formatter java:2426)_x000D_
06 05 18:03:51 008  2271  2271 E AndroidRuntime: 	at java lang String format(String java:2626)_x000D_
06 05 18:03:51 008  2271  2271 E AndroidRuntime: 	at org inaturalist android ObservationListActivity triggerSyncIfNeeded(ObservationListActivity java:506)_x000D_
06 05 18:03:51 008  2271  2271 E AndroidRuntime: 	at org inaturalist android ObservationListActivity onCreate(ObservationListActivity java:348)_x000D_
06 05 18:03:51 008  2271  2271 E AndroidRuntime: 	at android app Activity performCreate(Activity java:6682)_x000D_
06 05 18:03:51 008  2271  2271 E AndroidRuntime: 	at android app Instrumentation callActivityOnCreate(Instrumentation java:1118)_x000D_
06 05 18:03:51 008  2271  2271 E AndroidRuntime: 	at android app ActivityThread performLaunchActivity(ActivityThread java:2619)_x000D_
06 05 18:03:51 008  2271  2271 E AndroidRuntime: 	    9 more_x000D_
06 05 18:03:57 661  2415  2415 E AndroidRuntime: FATAL EXCEPTION: main_x000D_
06 05 18:03:57 661  2415  2415 E AndroidRuntime: Process: org inaturalist android  PID: 2415_x000D_
06 05 18:03:57 661  2415  2415 E AndroidRuntime: java lang RuntimeException: Unable to start activity ComponentInfo org inaturalist android org inaturalist android ObservationListActivity : java util IllegalFormatConversionException: d    java lang Boolean_x000D_
06 05 18:03:57 661  2415  2415 E AndroidRuntime: 	at android app ActivityThread performLaunchActivity(ActivityThread java:2666)_x000D_
06 05 18:03:57 661  2415  2415 E AndroidRuntime: 	at android app ActivityThread handleLaunchActivity(ActivityThread java:2727)_x000D_
06 05 18:03:57 661  2415  2415 E AndroidRuntime: 	at android app ActivityThread  wrap12(ActivityThread java)_x000D_
06 05 18:03:57 661  2415  2415 E AndroidRuntime: 	at android app ActivityThread H handleMessage(ActivityThread java:1478)_x000D_
06 05 18:03:57 661  2415  2415 E AndroidRuntime: 	at android os Handler dispatchMessage(Handler java:102)_x000D_
06 05 18:03:57 661  2415  2415 E AndroidRuntime: 	at android os Looper loop(Looper java:154)_x000D_
06 05 18:03:57 661  2415  2415 E AndroidRuntime: 	at android app ActivityThread main(ActivityThread java:6121)_x000D_
06 05 18:03:57 661  2415  2415 E AndroidRuntime: 	at java lang reflect Method invoke(Native Method)_x000D_
06 05 18:03:57 661  2415  2415 E AndroidRuntime: 	at com android internal os ZygoteInit MethodAndArgsCaller run(ZygoteInit java:889)_x000D_
06 05 18:03:57 661  2415  2415 E AndroidRuntime: 	at com android internal os ZygoteInit main(ZygoteInit java:779)_x000D_
06 05 18:03:57 661  2415  2415 E AndroidRuntime: Caused by: java util IllegalFormatConversionException: d    java lang Boolean_x000D_
06 05 18:03:57 661  2415  2415 E AndroidRuntime: 	at java util Formatter FormatSpecifier failConversion(Formatter java:4135)_x000D_
06 05 18:03:57 661  2415  2415 E AndroidRuntime: 	at java util Formatter FormatSpecifier printInteger(Formatter java:2832)_x000D_
06 05 18:03:57 661  2415  2415 E AndroidRuntime: 	at java util Formatter FormatSpecifier print(Formatter java:2786)_x000D_
06 05 18:03:57 661  2415  2415 E AndroidRuntime: 	at java util Formatter format(Formatter java:2491)_x000D_
06 05 18:03:57 661  2415  2415 E AndroidRuntime: 	at java util Formatter format(Formatter java:2426)_x000D_
06 05 18:03:57 661  2415  2415 E AndroidRuntime: 	at java lang String format(String java:2626)_x000D_
06 05 18:03:57 661  2415  2415 E AndroidRuntime: 	at org inaturalist android ObservationListActivity triggerSyncIfNeeded(ObservationListActivity java:506)_x000D_
06 05 18:03:57 661  2415  2415 E AndroidRuntime: 	at org inaturalist android ObservationListActivity onCreate(ObservationListActivity java:348)_x000D_
06 05 18:03:57 661  2415  2415 E AndroidRuntime: 	at android app Activity performCreate(Activity java:6682)_x000D_
06 05 18:03:57 661  2415  2415 E AndroidRuntime: 	at android app Instrumentation callActivityOnCreate(Instrumentation java:1118)_x000D_
06 05 18:03:57 661  2415  2415 E AndroidRuntime: 	at android app ActivityThread performLaunchActivity(ActivityThread java:2619)_x000D_
   </t>
  </si>
  <si>
    <t>ericcornelissen-NervousFish-216</t>
  </si>
  <si>
    <t>Click on the text besides the fab button in the MainActivity</t>
  </si>
  <si>
    <t xml:space="preserve">     Check if the title is descriptive     _x000D_
  Parent issues:   _x000D_
  Relevant issues:    52 _x000D_
  Estimated effort:   2 hours (estimated by Cornel)_x000D_
_x000D_
     _x000D_
_x000D_
   What_x000D_
When you click the text  for example  Bluetooth  or  NFC   which is besides the fab buttons on the MainActivity the app crashes _x000D_
_x000D_
   How_x000D_
The error is pretty descriptive and says something like  IllegalArgumentException: Only existing buttons can be clicked   So this can be fixed pretty easily_x000D_
_x000D_
   Definition of done_x000D_
This task can be considered done when_x000D_
_x000D_
  the app doesn t crash anymore when the text besides the button is pressed_x000D_
_x000D_
   Notes_x000D_
     Is there anything important to know  Are there relevant links (or other sources) for this issue     _x000D_
</t>
  </si>
  <si>
    <t>geopaparazzi-geopaparazzi-404</t>
  </si>
  <si>
    <t>Error on select basemap on android 5.0.1</t>
  </si>
  <si>
    <t xml:space="preserve">Hi  _x000D_
_x000D_
When push on add button to select new basemap  the app crashes  I test it on two different smartphones and only crashes on android 5 0 1  The other mobile has android 6 0 1 and works ok _x000D_
_x000D_
We update today from 5 1 2 to 5 3 1 and on the previous version we don t had the error _x000D_
_x000D_
If you need more info please tell me _x000D_
</t>
  </si>
  <si>
    <t>jacob-g-cleveland-rta-next-bus-train-70</t>
  </si>
  <si>
    <t>App crashes when opening "Near me" far outside of Cleveland</t>
  </si>
  <si>
    <t xml:space="preserve">When opening  Near me  with a location significantly outside Cleveland  the app crashes </t>
  </si>
  <si>
    <t>tanrabad-survey-27</t>
  </si>
  <si>
    <t xml:space="preserve">     in android support v4 app Fragment performDestroy
  Number of crashes: 1
  Impacted devices: 1
There s a lot more information about this crash on crashlytics com:
 https:  fabric io tanrabad android apps org tanrabad survey issues 59360d36be077a4dccbb0885 (https:  fabric io tanrabad android apps org tanrabad survey issues 59360d36be077a4dccbb0885)</t>
  </si>
  <si>
    <t>fossasia-open-event-organizer-android-158</t>
  </si>
  <si>
    <t>Crash on null url binding on image load</t>
  </si>
  <si>
    <t>If thumbnail field is null  binding adapter does not check it and the app crashes</t>
  </si>
  <si>
    <t>ericcornelissen-NervousFish-223</t>
  </si>
  <si>
    <t>Make the ServiceLocator globally accessible via NervousFish</t>
  </si>
  <si>
    <t xml:space="preserve">     Check if the title is descriptive     _x000D_
  Relevant Issues:  182_x000D_
  Related Pull Requests:  _x000D_
_x000D_
     _x000D_
_x000D_
   What_x000D_
This Pull Request updates the code such that the  ServiceLocator  can be obtained via a call to NervousFish  First and foremost this solves issue  182  but it also makes using activities a little less of a pain since you re no longer required to put the  ServiceLocator  in an  Intent  _x000D_
_x000D_
   Why_x000D_
This Pull Request is needed because we want to fix the issue in  182 (crash due to a crash)  but also because the update will make using the  ServiceLocator  a bit easier _x000D_
_x000D_
   How_x000D_
This feature can be viewed tested within the project by just opening the app and trying stuff out   _x000D_
_x000D_
   Alternative implementation_x000D_
Other implementations that I ve have considered all failed one way or another  Android does not seem to be consistent with restarting and restarting after crashes which causes the ServiceLocator or services (e g  Bluetooth) to not always be available  Now that all these things are in the  NervousFish  class (which does seem to always start) everything should be available   _x000D_
_x000D_
   Notes_x000D_
Make sure you really run the app and do something  this way we can catch potential issues before the code is in the  develop  branch _x000D_
</t>
  </si>
  <si>
    <t>ganfra-MaterialSpinner-93</t>
  </si>
  <si>
    <t>Fatal Exception: java.lang.IndexOutOfBoundsException: Invalid index 0, size is 0</t>
  </si>
  <si>
    <t xml:space="preserve">So I got this crash yesterday from one of my testers:_x000D_
   _x000D_
Fatal Exception: java lang IndexOutOfBoundsException: Invalid index 0  size is 0_x000D_
       at java util ArrayList throwIndexOutOfBoundsException(ArrayList java:255)_x000D_
       at java util ArrayList get(ArrayList java:308)_x000D_
       at android widget ArrayAdapter getItem(ArrayAdapter java:337)_x000D_
       at android widget ArrayAdapter createViewFromResource(ArrayAdapter java:390)_x000D_
       at android widget ArrayAdapter getView(ArrayAdapter java:362)_x000D_
       at fr ganfra materialspinner MaterialSpinner HintAdapter buildView(MaterialSpinner java:786)_x000D_
       at fr ganfra materialspinner MaterialSpinner HintAdapter getView(MaterialSpinner java:769)_x000D_
       at android widget Spinner makeView(Spinner java:593)_x000D_
       at android widget Spinner layout(Spinner java:541)_x000D_
       at android widget Spinner onLayout(Spinner java:503)_x000D_
       at android view View layout(View java:15140)_x000D_
       at android view ViewGroup layout(ViewGroup java:4866)_x000D_
       at android widget RelativeLayout onLayout(RelativeLayout java:1160)_x000D_
       at android view View layout(View java:15140)_x000D_
       at android view ViewGroup layout(ViewGroup java:4866)_x000D_
       at android support v4 view ViewPager onLayout(ViewPager java:1795)_x000D_
       at android view View layout(View java:15140)_x000D_
       at android view ViewGroup layout(ViewGroup java:4866)_x000D_
       at android widget LinearLayout setChildFrame(LinearLayout java:1888)_x000D_
       at android widget LinearLayout layoutVertical(LinearLayout java:1742)_x000D_
       at android widget LinearLayout onLayout(LinearLayout java:1651)_x000D_
       at android view View layout(View java:15140)_x000D_
       at android view ViewGroup layout(ViewGroup java:4866)_x000D_
       at android widget FrameLayout layoutChildren(FrameLayout java:515)_x000D_
       at android widget FrameLayout onLayout(FrameLayout java:450)_x000D_
       at android view View layout(View java:15140)_x000D_
       at android view ViewGroup layout(ViewGroup java:4866)_x000D_
       at android widget LinearLayout setChildFrame(LinearLayout java:1888)_x000D_
       at android widget LinearLayout layoutVertical(LinearLayout java:1742)_x000D_
       at android widget LinearLayout onLayout(LinearLayout java:1651)_x000D_
       at android view View layout(View java:15140)_x000D_
       at android view ViewGroup layout(ViewGroup java:4866)_x000D_
       at android widget FrameLayout layoutChildren(FrameLayout java:515)_x000D_
       at android widget FrameLayout onLayout(FrameLayout java:450)_x000D_
       at android view View layout(View java:15140)_x000D_
       at android view ViewGroup layout(ViewGroup java:4866)_x000D_
       at android support v7 widget ActionBarOverlayLayout onLayout(ActionBarOverlayLayout java:437)_x000D_
       at android view View layout(View java:15140)_x000D_
       at android view ViewGroup layout(ViewGroup java:4866)_x000D_
       at android widget FrameLayout layoutChildren(FrameLayout java:515)_x000D_
       at android widget FrameLayout onLayout(FrameLayout java:450)_x000D_
       at android view View layout(View java:15140)_x000D_
       at android view ViewGroup layout(ViewGroup java:4866)_x000D_
       at android widget LinearLayout setChildFrame(LinearLayout java:1888)_x000D_
       at android widget LinearLayout layoutVertical(LinearLayout java:1742)_x000D_
       at android widget LinearLayout onLayout(LinearLayout java:1651)_x000D_
       at android view View layout(View java:15140)_x000D_
       at android view ViewGroup layout(ViewGroup java:4866)_x000D_
       at android widget FrameLayout layoutChildren(FrameLayout java:515)_x000D_
       at android widget FrameLayout onLayout(FrameLayout java:450)_x000D_
       at android view View layout(View java:15140)_x000D_
       at android view ViewGroup layout(ViewGroup java:4866)_x000D_
       at android view ViewRootImpl performLayout(ViewRootImpl java:2336)_x000D_
       at android view ViewRootImpl performTraversals(ViewRootImpl java:2042)_x000D_
       at android view ViewRootImpl doTraversal(ViewRootImpl java:1208)_x000D_
       at android view ViewRootImpl TraversalRunnable run(ViewRootImpl java:6274)_x000D_
       at android view Choreographer CallbackRecord run(Choreographer java:788)_x000D_
       at android view Choreographer doCallbacks(Choreographer java:591)_x000D_
       at android view Choreographer doFrame(Choreographer java:560)_x000D_
       at android view Choreographer FrameDisplayEventReceiver run(Choreographer java:774)_x000D_
       at android os Handler handleCallback(Handler java:808)_x000D_
       at android os Handler dispatchMessage(Handler java:103)_x000D_
       at android os Looper loop(Looper java:193)_x000D_
       at android app ActivityThread main(ActivityThread java:5299)_x000D_
       at java lang reflect Method invokeNative(Method java)_x000D_
       at java lang reflect Method invoke(Method java:515)_x000D_
       at com android internal os ZygoteInit MethodAndArgsCaller run(ZygoteInit java:829)_x000D_
       at com android internal os ZygoteInit main(ZygoteInit java:645)_x000D_
       at dalvik system NativeStart main(NativeStart java)_x000D_
   _x000D_
Does the spinner support empty lists </t>
  </si>
  <si>
    <t>twilio-voice-quickstart-android-61</t>
  </si>
  <si>
    <t>Voice Quickstart Android getting Crashed</t>
  </si>
  <si>
    <t>Hi _x000D_
_x000D_
I am using Twilio Voice Quickstart for Android to implement programmable voice and its implemented successfully but I am getting an issue of crash of Twilio SDK _x000D_
_x000D_
Scenario  _x000D_
_x000D_
I am making call by dialing a number  call is connecting properly _x000D_
Then internet disconnected in between running call  call disconnected from my end _x000D_
Then internet reconnected and I am going to dial a number again  after dial a number application is getting crashed _x000D_
_x000D_
Here is logs of crasing with DEBUG LogLevel of Twilio  _x000D_
_x000D_
06 07 17:44:33 802 3792 3870 com app dealer app D NetworkSecurityConfig: No Network Security Config specified  using platform default_x000D_
06 07 17:44:33 976 3792 3872 com app dealer app I Adreno: QUALCOMM build : 6818200  Idb2b4cb785_x000D_
                                                          Build Date : 11 18 16_x000D_
                                                          OpenGL ES Shader Compiler Version: XE031 09 00 04_x000D_
                                                          Local Branch : N25_x000D_
                                                          Remote Branch : _x000D_
                                                          Remote Branch : _x000D_
                                                          Reconstruct Branch : _x000D_
06 07 17:44:33 983 3792 3872 com app dealer app I OpenGLRenderer: Initialized EGL  version 1 4_x000D_
06 07 17:44:33 983 3792 3872 com app dealer app D OpenGLRenderer: Swap behavior 1_x000D_
06 07 17:44:34 204 3792 3828 com app dealer app D FA: Connected to remote service_x000D_
06 07 17:44:34 264 3792 3792 com app dealer app W art: Before Android 4 1  method android graphics PorterDuffColorFilter android support graphics drawable VectorDrawableCompat updateTintFilter(android graphics PorterDuffColorFilter  android content res ColorStateList  android graphics PorterDuff Mode) would have incorrectly overridden the package private method in android graphics drawable Drawable_x000D_
06 07 17:44:34 374 3792 3876 com app dealer app I ModelSpecificDistanceCalculator: Successfully saved new distance model file_x000D_
06 07 17:44:34 376 3792 3876 com app dealer app I ModelSpecificDistanceCalculator: Successfully updated distance model with latest from online database_x000D_
06 07 17:44:45 853 3792 3828 com app dealer app D FA: Logging event (FE):  s  Bundle   o auto   sc LoginActivity   si  8272505488395125241  _x000D_
06 07 17:44:45 916 3792 3828 com app dealer app D FA: Connected to remote service_x000D_
06 07 17:44:49 982 3792 3792 com app dealer app W IInputConnectionWrapper: finishComposingText on inactive InputConnection_x000D_
06 07 17:44:49 990 3792 3792 com app dealer app W IInputConnectionWrapper: finishComposingText on inactive InputConnection_x000D_
06 07 17:44:51 560 3792 3792 com app dealer app W IInputConnectionWrapper: finishComposingText on inactive InputConnection_x000D_
06 07 17:44:51 560 3792 3792 com app dealer app W IInputConnectionWrapper: finishComposingText on inactive InputConnection_x000D_
06 07 17:44:51 567 3792 3792 com app dealer app W IInputConnectionWrapper: finishComposingText on inactive InputConnection_x000D_
06 07 17:44:52 400 3792 3792 com app dealer app I AppCompatViewInflater: app:theme is now deprecated  Please move to using android:theme instead _x000D_
06 07 17:44:52 518 3792 3828 com app dealer app D FA: Connected to remote service_x000D_
06 07 17:44:52 627 3792 3799 com app dealer app W art: Suspending all threads took: 5 429ms_x000D_
06 07 17:44:52 640 3792 3797 com app dealer app I art: Do partial code cache collection  code 19KB  data 30KB_x000D_
06 07 17:44:52 641 3792 3797 com app dealer app I art: After code cache collection  code 19KB  data 30KB_x000D_
06 07 17:44:52 641 3792 3797 com app dealer app I art: Increasing code cache capacity to 128KB_x000D_
06 07 17:44:52 691 3792 4398 com app dealer app I ProviderInstaller: Installed default security provider GmsCore OpenSSL_x000D_
06 07 17:44:52 783 3792 3792 com app dealer app W IInputConnectionWrapper: finishComposingText on inactive InputConnection_x000D_
06 07 17:45:02 716 3792 3797 com app dealer app I art: Do partial code cache collection  code 49KB  data 59KB_x000D_
06 07 17:45:02 717 3792 3797 com app dealer app I art: After code cache collection  code 43KB  data 56KB_x000D_
06 07 17:45:02 717 3792 3797 com app dealer app I art: Increasing code cache capacity to 256KB_x000D_
06 07 17:45:10 583 3792 3828 com app dealer app D FA: Logging event (FE):  e  Bundle   o auto   et 18078   sc HomeActivity   si  8272505488395125240  _x000D_
06 07 17:45:10 687 3792 3792 com app dealer app I PJSIP: 17:45:10 687 os core unix c  pjlib 2 5 1 for POSIX initialized_x000D_
06 07 17:45:10 689 3792 3792 com app dealer app D PJSIP: 17:45:10 689 sip endpoint c  Creating endpoint instance   _x000D_
06 07 17:45:10 690 3792 3792 com app dealer app I PJSIP: 17:45:10 690 pjlib  select() I O Queue created (0x74c3dc8110)_x000D_
06 07 17:45:10 690 3792 3792 com app dealer app I PJSIP: 17:45:10 690 sip endpoint c  Module  mod msg print  registered_x000D_
06 07 17:45:10 690 3792 3792 com app dealer app D PJSIP: 17:45:10 690 sip transport   Transport manager created _x000D_
06 07 17:45:10 690 3792 3792 com app dealer app I PJSIP: 17:45:10 690 pjsua core c  PJSUA state changed: NULL     CREATED_x000D_
06 07 17:45:10 719 3792 4805 com app dealer app I libOpenSLES: Emulating old channel mask behavior (ignoring positional mask 0x4  using default mask 0x1 based on channel count of 1)_x000D_
06 07 17:45:10 724 3792 4805 com app dealer app W AudioTrack: AUDIO OUTPUT FLAG FAST denied by client  transfer 1  track 16000 Hz  output 48000 Hz_x000D_
06 07 17:45:10 726 3792 4805 com app dealer app D AudioTrack: Client defaulted notificationFrames to 216 for frameCount 648_x000D_
06 07 17:45:10 727 3792 4805 com app dealer app W libOpenSLES: Conversion from OpenSL ES positional channel mask 0x4 to Android mask 0 loses channels_x000D_
06 07 17:45:10 727 3792 4805 com app dealer app I libOpenSLES: Emulating old channel mask behavior (ignoring positional mask 0x4  using default mask 0x10 based on channel count of 1)_x000D_
06 07 17:45:10 731 3792 3828 com app dealer app D FA: Connected to remote service_x000D_
06 07 17:45:10 732 3792 3792 com app dealer app D CallControlManager: got connectivity broadcast: haveConn true  reason null  isFailover false_x000D_
06 07 17:45:10 736 3792 3792 com app dealer app D CallControlManager: got wifi SSID:  IdeaMessenger306 _x000D_
06 07 17:45:10 736 3792 3792 com app dealer app D CallControlManager: NET CHANGE EVENT: connected true  wasConnected true  netTypeChanged true_x000D_
06 07 17:45:10 736 3792 3792 com app dealer app D CallControlManager: switched networks to type 1_x000D_
06 07 17:45:10 741 3792 4805 com app dealer app W AudioRecord: AUDIO INPUT FLAG FAST denied by server  frameCount 0_x000D_
06 07 17:45:10 946 3792 4805 com app dealer app D CallControlManager: onCallSDPCreated notification received_x000D_
06 07 17:45:10 951 3792 4805 com app dealer app D CallControlManager: received CALLING_x000D_
06 07 17:45:13 165 3792 4803 com app dealer app D CallControlManager: received CONNECTING_x000D_
06 07 17:45:13 175 3792 4803 com app dealer app D CallControlManager: received CONFIRMED_x000D_
06 07 17:45:13 180 3792 4803 com app dealer app D CallControlManager: onTransactionState received CAa17dafc5d187021b6dd71024a8ab828a_x000D_
06 07 17:45:13 184 3792 4853 com app dealer app D RTCStatsSample:   timestamp : 2017 06 07T12:15:13 181Z   timestamp ms :1496837713181  call sid : CAa17dafc5d187021b6dd71024a8ab828a   sdk version : 2 0 0 beta10   packets received :0  packets lost :0  packets lost fraction :0  total packets sent :1  total packets received :0  total packets lost :0  total bytes received :0  total bytes sent :160  jitter :0  rtt :0  audio level in :0  audio level out :0  mos :4 437552191410176 _x000D_
06 07 17:45:14 229 3792 4853 com app dealer app D RTCStatsSample:   timestamp : 2017 06 07T12:15:14 227Z   timestamp ms :1496837714227  call sid : CAa17dafc5d187021b6dd71024a8ab828a   sdk version : 2 0 0 beta10   packets received :49  packets lost :0  packets lost fraction :0  total packets sent :53  total packets received :49  total packets lost :0  total bytes received :7840  total bytes sent :8480  jitter :1  rtt :0  audio level in :0  audio level out :10624  mos :4 437552191410176 _x000D_
06 07 17:45:15 259 3792 4853 com app dealer app D RTCStatsSample:   timestamp : 2017 06 07T12:15:15 256Z   timestamp ms :1496837715256  call sid : CAa17dafc5d187021b6dd71024a8ab828a   sdk version : 2 0 0 beta10   packets received :52  packets lost :0  packets lost fraction :0  total packets sent :104  total packets received :101  total packets lost :0  total bytes received :16160  total bytes sent :16640  jitter :1  rtt :0  audio level in :0  audio level out :11008  mos :4 437552191410176 _x000D_
06 07 17:45:16 302 3792 4853 com app dealer app D RTCStatsSample:   timestamp : 2017 06 07T12:15:16 301Z   timestamp ms :1496837716301  call sid : CAa17dafc5d187021b6dd71024a8ab828a   sdk version : 2 0 0 beta10   packets received :52  packets lost :0  packets lost fraction :0  total packets sent :156  total packets received :153  total packets lost :0  total bytes received :24480  total bytes sent :24960  jitter :1  rtt :0  audio level in :2432  audio level out :0  mos :4 437552191410176 _x000D_
06 07 17:45:17 314 3792 4853 com app dealer app D RTCStatsSample:   timestamp : 2017 06 07T12:15:17 312Z   timestamp ms :1496837717312  call sid : CAa17dafc5d187021b6dd71024a8ab828a   sdk version : 2 0 0 beta10   packets received :50  packets lost :0  packets lost fraction :0  total packets sent :207  total packets received :203  total packets lost :0  total bytes received :32480  total bytes sent :33120  jitter :1  rtt :0  audio level in :0  audio level out :8960  mos :4 437552191410176 _x000D_
06 07 17:45:18 346 3792 4853 com app dealer app D RTCStatsSample:   timestamp : 2017 06 07T12:15:18 341Z   timestamp ms :1496837718341  call sid : CAa17dafc5d187021b6dd71024a8ab828a   sdk version : 2 0 0 beta10   packets received :52  packets lost :0  packets lost fraction :0  total packets sent :258  total packets received :255  total packets lost :0  total bytes received :40800  total bytes sent :41280  jitter :4  rtt :75  audio level in :768  audio level out :8832  mos :4 400767940018177 _x000D_
06 07 17:45:19 360 3792 4853 com app dealer app D RTCStatsSample:   timestamp : 2017 06 07T12:15:19 358Z   timestamp ms :1496837719358  call sid : CAa17dafc5d187021b6dd71024a8ab828a   sdk version : 2 0 0 beta10   packets received :51  packets lost :0  packets lost fraction :0  total packets sent :310  total packets received :306  total packets lost :0  total bytes received :48960  total bytes sent :49600  jitter :2  rtt :75  audio level in :2304  audio level out :2176  mos :4 400767940018177 _x000D_
06 07 17:45:20 388 3792 4853 com app dealer app D RTCStatsSample:   timestamp : 2017 06 07T12:15:20 387Z   timestamp ms :1496837720387  call sid : CAa17dafc5d187021b6dd71024a8ab828a   sdk version : 2 0 0 beta10   packets received :46  packets lost :0  packets lost fraction :0  total packets sent :361  total packets received :352  total packets lost :0  total bytes received :56320  total bytes sent :57760  jitter :10  rtt :75  audio level in :0  audio level out :10624  mos :4 400767940018177 _x000D_
06 07 17:45:21 416 3792 4853 com app dealer app D RTCStatsSample:   timestamp : 2017 06 07T12:15:21 412Z   timestamp ms :1496837721412  call sid : CAa17dafc5d187021b6dd71024a8ab828a   sdk version : 2 0 0 beta10   packets received :45  packets lost :0  packets lost fraction :0  total packets sent :412  total packets received :397  total packets lost :0  total bytes received :63520  total bytes sent :65920  jitter :8  rtt :75  audio level in :1280  audio level out :512  mos :4 400767940018177 _x000D_
06 07 17:45:22 467 3792 4853 com app dealer app D RTCStatsSample:   timestamp : 2017 06 07T12:15:22 459Z   timestamp ms :1496837722459  call sid : CAa17dafc5d187021b6dd71024a8ab828a   sdk version : 2 0 0 beta10   packets received :0  packets lost :0  packets lost fraction :0  total packets sent :464  total packets received :397  total packets lost :0  total bytes received :63520  total bytes sent :74240  jitter :8  rtt :75  audio level in :0  audio level out :0  mos :4 400767940018177 _x000D_
06 07 17:45:22 543 3792 4853 com app dealer app D EventPublisher: Start publishing events to : https:  eventgw twilio com v3 EndpointMetrics_x000D_
                                                                    name : call metric event   group : call quality stats   timestamp : 2017 06 07T12:15:22 470Z   level : INFO   private :false  payload type : application  json   publisher : twilio voice android   publisher metadata :  client address : FE80::B0E2:F0FF:FE85:A010   os name : android   os version : 7 1 2   device model : LGE Nexus 5X   device vendor : LGE   device type : Nexus 5X   cpu architecture : arm64 v8a    payload :   timestamp : 2017 06 07T12:15:13 181Z   timestamp ms :1496837713181  call sid : CAa17dafc5d187021b6dd71024a8ab828a   sdk version : 2 0 0 beta10   packets received :0  packets lost :0  packets lost fraction :0  total packets sent :1  total packets received :0  total packets lost :0  total bytes received :0  total bytes sent :160  jitter :0  rtt :0  audio level in :0  audio level out :0  mos :4 437552191410176    timestamp : 2017 06 07T12:15:14 227Z   timestamp ms :1496837714227  call sid : CAa17dafc5d187021b6dd71024a8ab828a   sdk version : 2 0 0 beta10   packets received :49  packets lost :0  packets lost fraction :0  total packets sent :53  total packets received :49  total packets lost :0  total bytes received :7840  total bytes sent :8480  jitter :1  rtt :0  audio level in :0  audio level out :10624  mos :4 437552191410176    timestamp : 2017 06 07T12:15:15 256Z   timestamp ms :1496837715256  call sid : CAa17dafc5d187021b6dd71024a8ab828a   sdk version : 2 0 0 beta10   packets received :52  packets lost :0  packets lost fraction :0  total packets sent :104  total packets received :101  total packets lost :0  total bytes received :16160  total bytes sent :16640  jitter :1  rtt :0  audio level in :0  audio level out :11008  mos :4 437552191410176    timestamp : 2017 06 07T12:15:16 301Z   timestamp ms :1496837716301  call sid : CAa17dafc5d187021b6dd71024a8ab828a   sdk version : 2 0 0 beta10   packets received :52  packets lost :0  packets lost fraction :0  total packets sent :156  total packets received :153  total packets lost :0  total bytes received :24480  total bytes sent :24960  jitter :1  rtt :0  audio level in :2432  audio level out :0  mos :4 437552191410176    timestamp : 2017 06 07T12:15:17 312Z   timestamp ms :1496837717312  call sid : CAa17dafc5d187021b6dd71024a8ab828a   sdk version : 2 0 0 beta10   packets received :50  packets lost :0  packets lost fraction :0  total packets sent :207  total packets received :203  total packets lost :0  total bytes received :32480  total bytes sent :33120  jitter :1  rtt :0  audio level in :0  audio level out :8960  mos :4 437552191410176    timestamp : 2017 06 07T12:15:18 341Z   timestamp ms :1496837718341  call sid : CAa17dafc5d187021b6dd71024a8ab828a   sdk version : 2 0 0 beta10   packets received :52  packets lost :0  packets lost fraction :0  total packets sent :258  total packets received :255  total packets lost :0  total bytes received :40800  total bytes sent :41280  jitter :4  rtt :75  audio level in :768  audio level out :8832  mos :4 400767940018177    timestamp : 2017 06 07T12:15:19 358Z   timestamp ms :1496837719358  call sid : CAa17dafc5d187021b6dd71024a8ab828a   sdk version : 2 0 0 beta10   packets received :51  packets lost :0  packets lost fraction :0  total packets sent :310  total packets received :306  total packets lost :0  total bytes received :48960  total bytes sent :49600  jitter :2  rtt :75  audio level in :2304  audio level out :2176  mos :4 400767940018177    timestamp : 2017 06 07T12:15:20 387Z   timestamp ms :1496837720387  call sid : CAa17dafc5d187021b6dd71024a8ab828a   sdk version : 2 0 0 beta10   packets received :46  packets lost :0  packets lost fraction :0  total packets sent :361  total packets received :352  total packets lost :0  total bytes received :56320  total bytes sent :57760  jitter :10  rtt :75  audio level in :0  audio level out :10624  mos :4 400767940018177    timestamp : 2017 06 07T12:15:21 412Z   timestamp ms :1496837721412  call sid : CAa17dafc5d187021b6dd71024a8ab828a   sdk version : 2_x000D_
06 07 17:45:23 592 3792 4853 com app dealer app D RTCStatsSample:   timestamp : 2017 06 07T12:15:23 589Z   timestamp ms :1496837723589  call sid : CAa17dafc5d187021b6dd71024a8ab828a   sdk version : 2 0 0 beta10   packets received :38  packets lost :0  packets lost fraction :0  total packets sent :521  total packets received :435  total packets lost :0  total bytes received :69600  total bytes sent :83360  jitter :3  rtt :73  audio level in :0  audio level out :0  mos :4 400767940018177 _x000D_
06 07 17:45:24 616 3792 4853 com app dealer app D RTCStatsSample:   timestamp : 2017 06 07T12:15:24 612Z   timestamp ms :1496837724612  call sid : CAa17dafc5d187021b6dd71024a8ab828a   sdk version : 2 0 0 beta10   packets received :52  packets lost :0  packets lost fraction :0  total packets sent :572  total packets received :487  total packets lost :0  total bytes received :77920  total bytes sent :91520  jitter :3  rtt :73  audio level in :3968  audio level out :0  mos :4 400767940018177 _x000D_
06 07 17:45:24 642 3792 4994 com app dealer app D EventPublisher: Response: 200   OK_x000D_
06 07 17:45:25 661 3792 4853 com app dealer app D RTCStatsSample:   timestamp : 2017 06 07T12:15:25 659Z   timestamp ms :1496837725659  call sid : CAa17dafc5d187021b6dd71024a8ab828a   sdk version : 2 0 0 beta10   packets received :52  packets lost :0  packets lost fraction :0  total packets sent :624  total packets received :539  total packets lost :0  total bytes received :86240  total bytes sent :99840  jitter :2  rtt :73  audio level in :2944  audio level out :0  mos :4 400767940018177 _x000D_
06 07 17:45:26 703 3792 4853 com app dealer app D RTCStatsSample:   timestamp : 2017 06 07T12:15:26 701Z   timestamp ms :1496837726701  call sid : CAa17dafc5d187021b6dd71024a8ab828a   sdk version : 2 0 0 beta10   packets received :52  packets lost :0  packets lost fraction :0  total packets sent :677  total packets received :591  total packets lost :0  total bytes received :94560  total bytes sent :108320  jitter :1  rtt :73  audio level in :1408  audio level out :128  mos :4 400767940018177 _x000D_
06 07 17:45:27 749 3792 4853 com app dealer app D RTCStatsSample:   timestamp : 2017 06 07T12:15:27 744Z   timestamp ms :1496837727744  call sid : CAa17dafc5d187021b6dd71024a8ab828a   sdk version : 2 0 0 beta10   packets received :52  packets lost :0  packets lost fraction :0  total packets sent :728  total packets received :643  total packets lost :0  total bytes received :102880  total bytes sent :116480  jitter :5  rtt :73  audio level in :1920  audio level out :0  mos :4 400767940018177 _x000D_
06 07 17:45:28 795 3792 4853 com app dealer app D RTCStatsSample:   timestamp : 2017 06 07T12:15:28 792Z   timestamp ms :1496837728792  call sid : CAa17dafc5d187021b6dd71024a8ab828a   sdk version : 2 0 0 beta10   packets received :53  packets lost :0  packets lost fraction :0  total packets sent :781  total packets received :696  total packets lost :0  total bytes received :111360  total bytes sent :124960  jitter :2  rtt :74  audio level in :0  audio level out :11136  mos :4 400767940018177 _x000D_
06 07 17:45:29 841 3792 4853 com app dealer app D RTCStatsSample:   timestamp : 2017 06 07T12:15:29 838Z   timestamp ms :1496837729838  call sid : CAa17dafc5d187021b6dd71024a8ab828a   sdk version : 2 0 0 beta10   packets received :52  packets lost :0  packets lost fraction :0  total packets sent :833  total packets received :748  total packets lost :0  total bytes received :119680  total bytes sent :133280  jitter :2  rtt :74  audio level in :768  audio level out :0  mos :4 400767940018177 _x000D_
06 07 17:45:30 887 3792 4853 com app dealer app D RTCStatsSample:   timestamp : 2017 06 07T12:15:30 885Z   timestamp ms :1496837730885  call sid : CAa17dafc5d187021b6dd71024a8ab828a   sdk version : 2 0 0 beta10   packets received :63  packets lost :0  packets lost fraction :0  total packets sent :885  total packets received :811  total packets lost :0  total bytes received :129760  total bytes sent :141600  jitter :44435  rtt :74  audio level in :0  audio level out :128  mos :4220 096299943666 _x000D_
06 07 17:45:31 896 3792 4853 com app dealer app D RTCStatsSample:   timestamp : 2017 06 07T12:15:31 895Z   timestamp ms :1496837731895  call sid : CAa17dafc5d187021b6dd71024a8ab828a   sdk version : 2 0 0 beta10   packets received :50  packets lost :0  packets lost fraction :0  total packets sent :936  total packets received :861  total packets lost :0  total bytes received :137760  total bytes sent :149760  jitter :257396  rtt :74  audio level in :256  audio level out :128  mos :931881 1334032844 _x000D_
06 07 17:45:32 939 3792 4853 com app dealer app D RTCStatsSample:   timestamp : 2017 06 07T12:15:32 937Z   timestamp ms :1496837732937  call sid : CAa17dafc5d187021b6dd71024a8ab828a   sdk version : 2 0 0 beta10   packets received :52  packets lost :0  packets lost fraction :0  total packets sent :989  total packets received :913  total packets lost :0  total bytes received :146080  total bytes sent :158240  jitter :8979  rtt :74  audio level in :4096  audio level out :128  mos :14 067028446130177 _x000D_
06 07 17:45:32 944 3792 4853 com app dealer app D EventPublisher: Start publishing events to : https:  eventgw twilio com v3 EndpointMetrics_x000D_
                                                                    name : call metric event   group : call quality stats   timestamp : 2017 06 07T12:15:32 939Z   level : INFO   private :false  payload type : application  json   publisher : twilio voice android   publisher metadata :  client address : FE80::B0E2:F0FF:FE85:A010   os name : android   os version : 7 1 2   device model : LGE Nexus 5X   device vendor : LGE   device type : Nexus 5X   cpu architecture : arm64 v8a    payload :   timestamp : 2017 06 07T12:15:23 589Z   timestamp ms :1496837723589  call sid : CAa17dafc5d187021b6dd71024a8ab828a   sdk version : 2 0 0 beta10   packets received :38  packets lost :0  packets lost fraction :0  total packets sent :521  total packets received :435  total packets lost :0  total bytes received :69600  total bytes sent :83360  jitter :3  rtt :73  audio level in :0  audio level out :0  mos :4 400767940018177    timestamp : 2017 06 07T12:15:24 612Z   timestamp ms :1496837724612  call sid : CAa17dafc5d187021b6dd71024a8ab828a   sdk version : 2 0 0 beta10   packets received :52  packets lost :0  packets lost fraction :0  total packets sent :572  total packets received :487  total packets lost :0  total bytes received :77920  total bytes sent :91520  jitter :3  rtt :73  audio level in :3968  audio level out :0  mos :4 400767940018177    timestamp : 2017 06 07T12:15:25 659Z   timestamp ms :1496837725659  call sid : CAa17dafc5d187021b6dd71024a8ab828a   sdk version : 2 0 0 beta10   packets received :52  packets lost :0  packets lost fraction :0  total packets sent :624  total packets received :539  total packets lost :0  total bytes received :86240  total bytes sent :99840  jitter :2  rtt :73  audio level in :2944  audio level out :0  mos :4 400767940018177    timestamp : 2017 06 07T12:15:26 701Z   timestamp ms :1496837726701  call sid : CAa17dafc5d187021b6dd71024a8ab828a   sdk version : 2 0 0 beta10   packets received :52  packets lost :0  packets lost fraction :0  total packets sent :677  total packets received :591  total packets lost :0  total bytes received :94560  total bytes sent :108320  jitter :1  rtt :73  audio level in :1408  audio level out :128  mos :4 400767940018177    timestamp : 2017 06 07T12:15:27 744Z   timestamp ms :1496837727744  call sid : CAa17dafc5d187021b6dd71024a8ab828a   sdk version : 2 0 0 beta10   packets received :52  packets lost :0  packets lost fraction :0  total packets sent :728  total packets received :643  total packets lost :0  total bytes received :102880  total bytes sent :116480  jitter :5  rtt :73  audio level in :1920  audio level out :0  mos :4 400767940018177    timestamp : 2017 06 07T12:15:28 792Z   timestamp ms :1496837728792  call sid : CAa17dafc5d187021b6dd71024a8ab828a   sdk version : 2 0 0 beta10   packets received :53  packets lost :0  packets lost fraction :0  total packets sent :781  total packets received :696  total packets lost :0  total bytes received :111360  total bytes sent :124960  jitter :2  rtt :74  audio level in :0  audio level out :11136  mos :4 400767940018177    timestamp : 2017 06 07T12:15:29 838Z   timestamp ms :1496837729838  call sid : CAa17dafc5d187021b6dd71024a8ab828a   sdk version : 2 0 0 beta10   packets received :52  packets lost :0  packets lost fraction :0  total packets sent :833  total packets received :748  total packets lost :0  total bytes received :119680  total bytes sent :133280  jitter :2  rtt :74  audio level in :768  audio level out :0  mos :4 400767940018177    timestamp : 2017 06 07T12:15:30 885Z   timestamp ms :1496837730885  call sid : CAa17dafc5d187021b6dd71024a8ab828a   sdk version : 2 0 0 beta10   packets received :63  packets lost :0  packets lost fraction :0  total packets sent :885  total packets received :811  total packets lost :0  total bytes received :129760  total bytes sent :141600  jitter :44435  rtt :74  audio level in :0  audio level out :128  mos :4220 096299943666    timestamp : 2017 06 07T12:15:31 895Z   timestamp ms :1496837731895  call sid : CAa17dafc5d187021b6dd71024a_x000D_
06 07 17:45:32 954 3792 4853 com app dealer app D EventPublisher: Start publishing events to : https:  eventgw twilio com v3 EndpointEvents_x000D_
                                                                    name : high jitter   group : network quality warning raised   timestamp : 2017 06 07T12:15:32 950Z   level : WARNING   private :false  payload type : application  json   publisher : twilio voice android   publisher metadata :  client address : FE80::B0E2:F0FF:FE85:A010   os name : android   os version : 7 1 2   device model : LGE Nexus 5X   device vendor : LGE   device type : Nexus 5X   cpu architecture : arm64 v8a    payload :  timestamp ms :1496837732946  call sid : CAa17dafc5d187021b6dd71024a8ab828a   sdk version : 2 0 0 beta10   platform : android   direction : OUTGOING   data :  threshold :30  values : 2 2 44435 257396 8979    _x000D_
06 07 17:45:33 998 3792 4853 com app dealer app D RTCStatsSample:   timestamp : 2017 06 07T12:15:33 996Z   timestamp ms :1496837733996  call sid : CAa17dafc5d187021b6dd71024a8ab828a   sdk version : 2 0 0 beta10   packets received :53  packets lost :0  packets lost fraction :0  total packets sent :1041  total packets received :966  total packets lost :0  total bytes received :154560  total bytes sent :166560  jitter :295  rtt :77  audio level in :1280  audio level out :1664  mos :2 0526471581301764 _x000D_
06 07 17:45:34 008 3792 4853 com app dealer app D EventPublisher: Start publishing events to : https:  eventgw twilio com v3 EndpointEvents_x000D_
                                                                    name : high jitter   group : network quality warning raised   timestamp : 2017 06 07T12:15:34 003Z   level : WARNING   private :false  payload type : application  json   publisher : twilio voice android   publisher metadata :  client address : FE80::B0E2:F0FF:FE85:A010   os name : android   os version : 7 1 2   device model : LGE Nexus 5X   device vendor : LGE   device type : Nexus 5X   cpu architecture : arm64 v8a    payload :  timestamp ms :1496837734000  call sid : CAa17dafc5d187021b6dd71024a8ab828a   sdk version : 2 0 0 beta10   platform : android   direction : OUTGOING   data :  threshold :30  values : 2 44435 257396 8979 295    _x000D_
06 07 17:45:34 088 3792 5165 com app dealer app D EventPublisher: Response: 200   OK_x000D_
06 07 17:45:34 094 3792 5167 com app dealer app D EventPublisher: Response: 200   OK_x000D_
06 07 17:45:34 871 3792 4994 com app dealer app E EventPublisher: java net SocketException: Network is unreachable_x000D_
06 07 17:45:34 871 3792 4994 com app dealer app E EventPublisher: java net SocketException: Network is unreachable_x000D_
06 07 17:45:34 932 3792 3792 com app dealer app D CallControlManager: got connectivity broadcast: haveConn false  reason null  isFailover false_x000D_
06 07 17:45:34 933 3792 3792 com app dealer app D CallControlManager: NET CHANGE EVENT: connected false  wasConnected true  netTypeChanged false_x000D_
06 07 17:45:35 020 3792 4805 com app dealer app E ReinviteCallCommand: Failed to update call on IP address change  call will not be notified if the other party hangs up_x000D_
06 07 17:45:35 033 3792 4853 com app dealer app D RTCStatsSample:   timestamp : 2017 06 07T12:15:35 032Z   timestamp ms :1496837735032  call sid : CAa17dafc5d187021b6dd71024a8ab828a   sdk version : 2 0 0 beta10   packets received :42  packets lost :0  packets lost fraction :0  total packets sent :1083  total packets received :1008  total packets lost :0  total bytes received :161280  total bytes sent :173280  jitter :21  rtt :77  audio level in :0  audio level out :0  mos :4 3798704303221765 _x000D_
06 07 17:45:35 041 3792 4853 com app dealer app D EventPublisher: Start publishing events to : https:  eventgw twilio com v3 EndpointEvents_x000D_
                                                                    name : high jitter   group : network quality warning raised   timestamp : 2017 06 07T12:15:35 037Z   level : WARNING   private :false  payload type : application  json   publisher : twilio voice android   publisher metadata :  client address : FE80::B0E2:F0FF:FE85:A010   os name : android   os version : 7 1 2   device model : LGE Nexus 5X   device vendor : LGE   device type : Nexus 5X   cpu architecture : arm64 v8a    payload :  timestamp ms :1496837735035  call sid : CAa17dafc5d187021b6dd71024a8ab828a   sdk version : 2 0 0 beta10   platform : android   direction : OUTGOING   data :  threshold :30  values : 44435 257396 8979 295 21    _x000D_
06 07 17:45:35 082 3792 5165 com app dealer app E EventPublisher: java net UnknownHostException: Unable to resolve host  eventgw twilio com : No address associated with hostname_x000D_
06 07 17:45:35 082 3792 5165 com app dealer app E EventPublisher: java net UnknownHostException: Unable to resolve host  eventgw twilio com : No address associated with hostname_x000D_
06 07 17:45:36 083 3792 4853 com app dealer app D RTCStatsSample:   timestamp : 2017 06 07T12:15:36 082Z   timestamp ms :1496837736082  call sid : CAa17dafc5d187021b6dd71024a8ab828a   sdk version : 2 0 0 beta10   packets received :0  packets lost :0  packets lost fraction :0  total packets sent :1083  total packets received :1008  total packets lost :0  total bytes received :161280  total bytes sent :173280  jitter :21  rtt :77  audio level in :0  audio level out :0  mos :4 3798704303221765 _x000D_
06 07 17:45:36 089 3792 4853 com app dealer app D EventPublisher: Start publishing events to : https:  eventgw twilio com v3 EndpointEvents_x000D_
                                                                    name : high jitter   group : network quality warning raised   timestamp : 2017 06 07T12:15:36 086Z   level : WARNING   private :false  payload type : application  json   publisher : twilio voice android   publisher metadata :  client address : FE80::B0E2:F0FF:FE85:A010   os name : android   os version : 7 1 2   device model : LGE Nexus 5X   device vendor : LGE   device type : Nexus 5X   cpu architecture : arm64 v8a    payload :  timestamp ms :1496837736084  call sid : CAa17dafc5d187021b6dd71024a8ab828a   sdk version : 2 0 0 beta10   platform : android   direction : OUTGOING   data :  threshold :30  values : 257396 8979 295 21 21    _x000D_
06 07 17:45:36 096 3792 5167 com app dealer app E EventPublisher: java net UnknownHostException: Unable to resolve host  eventgw twilio com : No address associated with hostname_x000D_
06 07 17:45:36 096 3792 5167 com app dealer app E EventPublisher: java net UnknownHostException: Unable to resolve host  eventgw twilio com : No address associated with hostname_x000D_
06 07 17:45:37 141 3792 4853 com app dealer app D RTCStatsSample:   timestamp : 2017 06 07T12:15:37 139Z   timestamp ms :1496837737139  call sid : CAa17dafc5d187021b6dd71024a8ab828a   sdk version : 2 0 0 beta10   packets received :0  packets lost :0  packets lost fraction :0  total packets sent :1083  total packets received :1008  total packets lost :0  total bytes received :161280  total bytes sent :173280  jitter :21  rtt :77  audio level in :0  audio level out :0  mos :4 3798704303221765 _x000D_
06 07 17:45:38 154 3792 4853 com app dealer app D RTCStatsSample:   timestamp : 2017 06 07T12:15:38 152Z   timestamp ms :1496837738152  call sid : CAa17dafc5d187021b6dd71024a8ab828a   sdk version : 2 0 0 beta10   packets received :0  packets lost :0  packets lost fraction :0  total packet</t>
  </si>
  <si>
    <t>twilio-voice-quickstart-android-60</t>
  </si>
  <si>
    <t>Voice quickstart getting crashed when dialing a number</t>
  </si>
  <si>
    <t>Hi _x000D_
_x000D_
I am using Twilio Voice Quickstart for Android to implement programmable voice and its implemented successfully but I am getting an issue of crash of Twilio SDK _x000D_
_x000D_
Scenario   _x000D_
_x000D_
I am making call by dialing a number  call is connecting properly _x000D_
Then internet disconnected in between running call  call disconnected from my end _x000D_
Then internet reconnected and I am going to dial a number again  after dial a number application is getting crashed _x000D_
_x000D_
Here is logs of crasing   _x000D_
_x000D_
_x000D_
06 07 15:51:50 025 13915 14778   A art: art runtime java vm ext cc:470  JNI DETECTED ERROR IN APPLICATION: use of deleted global reference 0x9b6_x000D_
06 07 15:51:50 025 13915 14778   A art: art runtime java vm ext cc:470  from void com twilio voice impl useragent Call makeCall(com twilio voice impl session Account  java lang String  com twilio voice impl useragent MessageData)_x000D_
06 07 15:51:50 025 13915 14778   A art: art runtime java vm ext cc:470   Thread 16  prio 5 tid 44 Runnable_x000D_
06 07 15:51:50 025 13915 14778   A art: art runtime java vm ext cc:470    group  main  sCount 0 dsCount 0 obj 0x12fa3e20 self 0x74b3a43400_x000D_
06 07 15:51:50 025 13915 14778   A art: art runtime java vm ext cc:470    sysTid 14778 nice 0 cgrp default sched 0 0 handle 0x74ad508450_x000D_
06 07 15:51:50 025 13915 14778   A art: art runtime java vm ext cc:470    state R schedstat ( 34631871 23463905 120 ) utm 2 stm 0 core 1 HZ 100_x000D_
06 07 15:51:50 025 13915 14778   A art: art runtime java vm ext cc:470    stack 0x74ad406000 0x74ad408000 stackSize 1037KB_x000D_
06 07 15:51:50 025 13915 14778   A art: art runtime java vm ext cc:470    held mutexes   mutator lock (shared held)_x000D_
06 07 15:51:50 025 13915 14778   A art: art runtime java vm ext cc:470  native:  00 pc 000000000047ef3c  system lib64 libart so ( ZN3art15DumpNativeStackERNSt3  113basic ostreamIcNS0 11char traitsIcEEEEiP12BacktraceMapPKcPNS 9ArtMethodEPv 220)_x000D_
06 07 15:51:50 025 13915 14778   A art: art runtime java vm ext cc:470  native:  01 pc 000000000047ef38  system lib64 libart so ( ZN3art15DumpNativeStackERNSt3  113basic ostreamIcNS0 11char traitsIcEEEEiP12BacktraceMapPKcPNS 9ArtMethodEPv 216)_x000D_
06 07 15:51:50 025 13915 14778   A art: art runtime java vm ext cc:470  native:  02 pc 0000000000452fc4  system lib64 libart so ( ZNK3art6Thread9DumpStackERNSt3  113basic ostreamIcNS1 11char traitsIcEEEEbP12BacktraceMap 480)_x000D_
06 07 15:51:50 025 13915 14778   A art: art runtime java vm ext cc:470  native:  03 pc 00000000002f04a4  system lib64 libart so ( ZN3art9JavaVMExt8JniAbortEPKcS2  1136)_x000D_
06 07 15:51:50 025 13915 14778   A art: art runtime java vm ext cc:470  native:  04 pc 00000000002f0ca8  system lib64 libart so ( ZN3art9JavaVMExt9JniAbortFEPKcS2 z 188)_x000D_
06 07 15:51:50 025 13915 14778   A art: art runtime java vm ext cc:470  native:  05 pc 0000000000457c24  system lib64 libart so ( ZNK3art6Thread13DecodeJObjectEP8 jobject 352)_x000D_
06 07 15:51:50 025 13915 14778   A art: art runtime java vm ext cc:470  native:  06 pc 0000000000101ad8  system lib64 libart so ( ZN3art11ScopedCheck13CheckInstanceERNS 18ScopedObjectAccessENS0 12InstanceKindEP8 jobjectb 196)_x000D_
06 07 15:51:50 025 13915 14778   A art: art runtime java vm ext cc:470  native:  07 pc 00000000000ffce8  system lib64 libart so ( ZN3art11ScopedCheck5CheckERNS 18ScopedObjectAccessEbPKcPNS 12JniValueTypeE 1124)_x000D_
06 07 15:51:50 025 13915 14778   A art: art runtime java vm ext cc:470  native:  08 pc 0000000000103ec4  system lib64 libart so ( ZN3art8CheckJNI9DeleteRefEPKcP7 JNIEnvP8 jobjectNS 15IndirectRefKindE 636)_x000D_
06 07 15:51:50 025 13915 14778   A art: art runtime java vm ext cc:470  native:  09 pc 000000000018694c  data app com app dealer app 1 lib arm64 libvoice so (Java com twilio voice impl useragent Call makeCall 476)_x000D_
06 07 15:51:50 025 13915 14778   A art: art runtime java vm ext cc:470  native:  10 pc 00000000000a34b4  data app com app dealer app 1 oat arm64 base odex (Java com twilio voice impl useragent Call makeCall  Lcom twilio voice impl session Account 2Ljava lang String 2Lcom twilio voice impl useragent MessageData 2 208)_x000D_
06 07 15:51:50 025 13915 14778   A art: art runtime java vm ext cc:470  at com twilio voice impl useragent Call makeCall(Native method)_x000D_
06 07 15:51:50 025 13915 14778   A art: art runtime java vm ext cc:470  at com twilio voice impl useragent Call  init (Call java:20)_x000D_
06 07 15:51:50 025 13915 14778   A art: art runtime java vm ext cc:470  at com twilio voice CallControlManager newCall(CallControlManager java:546)_x000D_
06 07 15:51:50 025 13915 14778   A art: art runtime java vm ext cc:470  at com twilio voice OutgoingCallCommand run(OutgoingCallCommand java:55)_x000D_
06 07 15:51:50 025 13915 14778   A art: art runtime java vm ext cc:470  at android os Handler handleCallback(Handler java:751)_x000D_
06 07 15:51:50 025 13915 14778   A art: art runtime java vm ext cc:470  at android os Handler dispatchMessage(Handler java:95)_x000D_
06 07 15:51:50 025 13915 14778   A art: art runtime java vm ext cc:470  at android os Looper loop(Looper java:154)_x000D_
06 07 15:51:50 025 13915 14778   A art: art runtime java vm ext cc:470  at com twilio voice CallCommandHandlerImpl run(CallCommandHandlerImpl java:48)_x000D_
06 07 15:51:50 025 13915 14778   A art: art runtime java vm ext cc:470  _x000D_
06 07 15:51:50 025 13915 13922   W art: Suspending all threads took: 75 133ms_x000D_
06 07 15:51:50 032 13915 13939   V FA: Activity resumed  time: 10897011_x000D_
06 07 15:51:50 107 13915 13915   I BeaconService: set scan intervals received_x000D_
06 07 15:51:50 107 13915 13915   D CycledLeScanner: Set scan periods called with 1100  0 Background mode must have changed _x000D_
06 07 15:51:50 107 13915 13915   D CycledLeScanner: We are not in the background  Cancelling wakeup alarm_x000D_
06 07 15:51:50 107 13915 13915   D CycledLeScanner: cancel wakeup alarm: PendingIntent 4cc87fe: android os BinderProxy 8f97b5f _x000D_
06 07 15:51:50 109 13915 13915   D CycledLeScanner: Set a wakeup alarm to go off in 9223372036843878634 ms: PendingIntent 4cc87fe: android os BinderProxy 8f97b5f _x000D_
06 07 15:51:50 173 13915 14778   A art: art runtime runtime cc:422  Runtime aborting   _x000D_
06 07 15:51:50 173 13915 14778   A art: art runtime runtime cc:422  Aborting thread:_x000D_
06 07 15:51:50 173 13915 14778   A art: art runtime runtime cc:422  Dumping all threads without appropriate locks held: thread list lock mutator lock_x000D_
06 07 15:51:50 173 13915 14778   A art: art runtime runtime cc:422  All threads:_x000D_
06 07 15:51:50 173 13915 14778   A art: art runtime runtime cc:422  DALVIK THREADS (51):_x000D_
06 07 15:51:50 173 13915 14778   A art: art runtime runtime cc:422   Thread 16  prio 5 tid 44 Runnable_x000D_
06 07 15:51:50 173 13915 14778   A art: art runtime runtime cc:422    group    sCount 0 dsCount 0 obj 0x12fa3e20 self 0x74b3a43400_x000D_
06 07 15:51:50 173 13915 14778   A art: art runtime runtime cc:422    sysTid 14778 nice 0 cgrp default sched 0 0 handle 0x74ad508450_x000D_
06 07 15:51:50 173 13915 14778   A art: art runtime runtime cc:422    state R schedstat ( 84367032 30260678 191 ) utm 3 stm 4 core 5 HZ 100_x000D_
06 07 15:51:50 173 13915 14778   A art: art runtime runtime cc:422    stack 0x74ad406000 0x74ad408000 stackSize 1037KB_x000D_
06 07 15:51:50 173 13915 14778   A art: art runtime runtime cc:422    held mutexes   abort lock   mutator lock (shared held)_x000D_
06 07 15:51:50 173 13915 14778   A art: art runtime runtime cc:422  native:  00 pc 000000000047ef3c  system lib64 libart so ( ZN3art15DumpNativeStackERNSt3  113basic ostreamIcNS0 11char traitsIcEEEEiP12BacktraceMapPKcPNS 9ArtMethodEPv 220)_x000D_
06 07 15:51:50 173 13915 14778   A art: art runtime runtime cc:422  native:  01 pc 000000000047ef38  system lib64 libart so ( ZN3art15DumpNativeStackERNSt3  113basic ostreamIcNS0 11char traitsIcEEEEiP12BacktraceMapPKcPNS 9ArtMethodEPv 216)_x000D_
06 07 15:51:50 173 13915 14778   A art: art runtime runtime cc:422  native:  02 pc 0000000000452fc4  system lib64 libart so ( ZNK3art6Thread9DumpStackERNSt3  113basic ostreamIcNS1 11char traitsIcEEEEbP12BacktraceMap 480)_x000D_
06 07 15:51:50 173 13915 14778   A art: art runtime runtime cc:422  native:  03 pc 000000000046ab4c  system lib64 libart so ( ZN3art14DumpCheckpoint3RunEPNS 6ThreadE 832)_x000D_
06 07 15:51:50 173 13915 14778   A art: art runtime runtime cc:422  native:  04 pc 0000000000462d34  system lib64 libart so ( ZN3art10ThreadList13RunCheckpointEPNS 7ClosureE 476)_x000D_
06 07 15:51:50 173 13915 14778   A art: art runtime runtime cc:422  native:  05 pc 0000000000462924  system lib64 libart so ( ZN3art10ThreadList4DumpERNSt3  113basic ostreamIcNS1 11char traitsIcEEEEb 848)_x000D_
06 07 15:51:50 173 13915 14778   A art: art runtime runtime cc:422  native:  06 pc 0000000000440d6c  system lib64 libart so ( ZNK3art10AbortState4DumpERNSt3  113basic ostreamIcNS1 11char traitsIcEEEE 592)_x000D_
06 07 15:51:50 173 13915 14778   A art: art runtime runtime cc:422  native:  07 pc 000000000043473c  system lib64 libart so ( ZN3art7Runtime5AbortEPKc 148)_x000D_
06 07 15:51:50 173 13915 14778   A art: art runtime runtime cc:422  native:  08 pc 00000000000e5afc  system lib64 libart so ( ZN3art10LogMessageD2Ev 1592)_x000D_
06 07 15:51:50 174 13915 14778   A art: art runtime runtime cc:422  native:  09 pc 00000000002f08cc  system lib64 libart so ( ZN3art9JavaVMExt8JniAbortEPKcS2  2200)_x000D_
06 07 15:51:50 174 13915 14778   A art: art runtime runtime cc:422  native:  10 pc 00000000002f0ca8  system lib64 libart so ( ZN3art9JavaVMExt9JniAbortFEPKcS2 z 188)_x000D_
06 07 15:51:50 174 13915 14778   A art: art runtime runtime cc:422  native:  11 pc 0000000000457c24  system lib64 libart so ( ZNK3art6Thread13DecodeJObjectEP8 jobject 352)_x000D_
06 07 15:51:50 174 13915 14778   A art: art runtime runtime cc:422  native:  12 pc 0000000000101ad8  system lib64 libart so ( ZN3art11ScopedCheck13CheckInstanceERNS 18ScopedObjectAccessENS0 12InstanceKindEP8 jobjectb 196)_x000D_
06 07 15:51:50 174 13915 14778   A art: art runtime runtime cc:422  native:  13 pc 00000000000ffce8  system lib64 libart so ( ZN3art11ScopedCheck5CheckERNS 18ScopedObjectAccessEbPKcPNS 12JniValueTypeE 1124)_x000D_
06 07 15:51:50 174 13915 14778   A art: art runtime runtime cc:422  native:  14 pc 0000000000103ec4  system lib64 libart so ( ZN3art8CheckJNI9DeleteRefEPKcP7 JNIEnvP8 jobjectNS 15IndirectRefKindE 636)_x000D_
06 07 15:51:50 174 13915 14778   A art: art runtime runtime cc:422  native:  15 pc 000000000018694c  data app com app dealer app 1 lib arm64 libvoice so (Java com twilio voice impl useragent Call makeCall 476)_x000D_
06 07 15:51:50 174 13915 14778   A art: art runtime runtime cc:422  native:  16 pc 00000000000a34b4  data app com app dealer app 1 oat arm64 base odex (Java com twilio voice impl useragent Call makeCall  Lcom twilio voice impl session Account 2Ljava lang String 2Lcom twilio voice impl useragent MessageData 2 208)_x000D_
06 07 15:51:50 174 13915 14778   A art: art runtime runtime cc:422  at com twilio voice impl useragent Call makeCall(Native method)_x000D_
06 07 15:51:50 174 13915 14778   A art: art runtime runtime cc:422  at com twilio voice impl useragent Call  init (Call java:20)_x000D_
06 07 15:51:50 174 13915 14778   A art: art runtime runtime cc:422  at com twilio voice CallControlManager newCall(CallControlManager java:546)_x000D_
06 07 15:51:50 174 13915 14778   A art: art runtime runtime cc:422  at com twilio voice OutgoingCallCommand run(OutgoingCallCommand java:55)_x000D_
06 07 15:51:50 174 13915 14778   A art: art runtime runtime cc:422  at android os Handler handleCallback(Handler java:751)_x000D_
06 07 15:51:50 174 13915 14778   A art: art runtime runtime cc:422  at android os Handler dispatchMessage(Handler java:95)_x000D_
06 07 15:51:50 174 13915 14778   A art: art runtime runtime cc:422  at android os Looper loop(Looper java:154)_x000D_
06 07 15:51:50 174 13915 14778   A art: art runtime runtime cc:422  at com twilio voice CallCommandHandlerImpl run(CallCommandHandlerImpl java:48)_x000D_
06 07 15:51:50 174 13915 14778   A art: art runtime runtime cc:422  _x000D_
06 07 15:51:50 174 13915 14778   A art: art runtime runtime cc:422   main  prio 5 tid 1 Native_x000D_
06 07 15:51:50 174 13915 14778   A art: art runtime runtime cc:422    group    sCount 1 dsCount 0 obj 0x75aa1a88 self 0x74ce095a00_x000D_
06 07 15:51:50 174 13915 14778   A art: art runtime runtime cc:422    sysTid 13915 nice  10 cgrp default sched 0 0 handle 0x74d2006a98_x000D_
06 07 15:51:50 174 13915 14778   A art: art runtime runtime cc:422    state S schedstat ( 2732187600 470220672 3721 ) utm 228 stm 44 core 0 HZ 100_x000D_
06 07 15:51:50 174 13915 14778   A art: art runtime runtime cc:422    stack 0x7fe9438000 0x7fe943a000 stackSize 8MB_x000D_
06 07 15:51:50 174 13915 14778   A art: art runtime runtime cc:422    held mutexes _x000D_
06 07 15:51:50 174 13915 14778   A art: art runtime runtime cc:422  kernel:   switch to 0x8c 0x98_x000D_
06 07 15:51:50 174 13915 14778   A art: art runtime runtime cc:422  kernel: futex wait queue me 0xd4 0x130_x000D_
06 07 15:51:50 174 13915 14778   A art: art runtime runtime cc:422  kernel: futex wait 0xfc 0x210_x000D_
06 07 15:51:50 174 13915 14778   A art: art runtime runtime cc:422  kernel: do futex 0xe0 0x920_x000D_
06 07 15:51:50 174 13915 14778   A art: art runtime runtime cc:422  kernel: SyS futex 0x11c 0x1b0_x000D_
06 07 15:51:50 174 13915 14778   A art: art runtime runtime cc:422  kernel: cpu switch to 0x48 0x4c_x000D_
06 07 15:51:50 174 13915 14778   A art: art runtime runtime cc:422  native:  00 pc 000000000001bcec  system lib64 libc so (syscall 28)_x000D_
06 07 15:51:50 174 13915 14778   A art: art runtime runtime cc:422  native:  01 pc 00000000000e7e4c  system lib64 libart so ( ZN3art17ConditionVariable16WaitHoldingLocksEPNS 6ThreadE 156)_x000D_
06 07 15:51:50 174 13915 14778   A art: art runtime runtime cc:422  native:  02 pc 000000000054d754  system lib64 libart so ( ZN3artL12GoToRunnableEPNS 6ThreadE 328)_x000D_
06 07 15:51:50 174 13915 14778   A art: art runtime runtime cc:422  native:  03 pc 000000000054d5c8  system lib64 libart so ( ZN3art12JniMethodEndEjPNS 6ThreadE 28)_x000D_
06 07 15:51:50 174 13915 14778   A art: art runtime runtime cc:422  native:  04 pc 0000000000859030  system framework arm64 boot framework oat (Java android os BinderProxy transactNative  ILandroid os Parcel 2Landroid os Parcel 2I 220)_x000D_
06 07 15:51:50 174 13915 14778   A art: art runtime runtime cc:422  at android os BinderProxy transactNative(Native method)_x000D_
06 07 15:51:50 174 13915 14778   A art: art runtime runtime cc:422  at android os BinderProxy transact(Binder java:615)_x000D_
06 07 15:51:50 174 13915 14778   A art: art runtime runtime cc:422  at android view IWindowSession Stub Proxy relayout(IWindowSession java:952)_x000D_
06 07 15:51:50 174 13915 14778   A art: art runtime runtime cc:422  at android view ViewRootImpl relayoutWindow(ViewRootImpl java:5719)_x000D_
06 07 15:51:50 174 13915 14778   A art: art runtime runtime cc:422  at android view ViewRootImpl performTraversals(ViewRootImpl java:1758)_x000D_
06 07 15:51:50 174 13915 14778   A art: art runtime runtime cc:422  at android view ViewRootImpl doTraversal(ViewRootImpl java:1254)_x000D_
06 07 15:51:50 174 13915 14778   A art: art runtime runtime cc:422  at android view ViewRootImpl TraversalRunnable run(ViewRootImpl java:6338)_x000D_
06 07 15:51:50 174 13915 14778   A art: art runtime runtime cc:422  at android view Choreographer CallbackRecord run(Choreographer java:874)_x000D_
06 07 15:51:50 174 13915 14778   A art: art runtime runtime cc:422  at android view Choreographer doCallbacks(Choreographer java:686)_x000D_
06 07 15:51:50 174 13915 14778   A art: art runtime runtime cc:422  at android view Choreographer doFrame(Choreographer java:621)_x000D_
06 07 15:51:50 174 13915 14778   A art: art runtime runtime cc:422  at android view Choreographer FrameDisplayEventReceiver run(Choreographer java:860)_x000D_
06 07 15:51:50 174 13915 14778   A art: art runtime runtime cc:422  at android os Handler handleCallback(Handler java:751)_x000D_
06 07 15:51:50 174 13915 14778   A art: art runtime runtime cc:422  at android os Handler dispatchMessage(Handler java:95)_x000D_
06 07 15:51:50 174 13915 14778   A art: art runtime runtime cc:422  at android os Looper loop(Looper java:154)_x000D_
06 07 15:51:50 174 13915 14778   A art: art runtime runtime cc:422  at android app ActivityThread main(ActivityThread java:6121)_x000D_
06 07 15:51:50 174 13915 14778   A art: art runtime runtime cc:422  at java lang reflect Method invoke (Native method)_x000D_
06 07 15:51:50 174 13915 14778   A art: art runtime runtime cc:422  at com android internal os ZygoteInit MethodAndArgsCaller run(ZygoteInit java:889)_x000D_
06 07 15:51:50 174 13915 14778   A art: art runtime runtime cc:422  at com android internal os ZygoteInit main(ZygoteInit java:779)_x000D_
06 07 15:51:50 174 13915 14778   A art: art runtime runtime cc:422  _x000D_
06 07 15:51:50 174 13915 14778   A art: art runtime runtime cc:422   Jit thread pool worker thread 0  prio 5 tid 2 Native_x000D_
06 07 15:51:50 174 13915 14778   A art: art runtime runtime cc:422    group    sCount 1 dsCount 0 obj 0x12cc8310 self 0x74c6626000_x000D_
06 07 15:51:50 174 13915 14778   A art: art runtime runtime cc:422    sysTid 13920 nice 9 cgrp default sched 0 0 handle 0x74cd701450_x000D_
06 07 15:51:50 174 13915 14778   A art: art runtime runtime cc:422    state S schedstat ( 590560526 98475471 604 ) utm 49 stm 9 core 5 HZ 100_x000D_
06 07 15:51:50 174 13915 14778   A art: art runtime runtime cc:422    stack 0x74cd603000 0x74cd605000 stackSize 1021KB_x000D_
06 07 15:51:50 174 13915 14778   A art: art runtime runtime cc:422    held mutexes _x000D_
06 07 15:51:50 174 13915 14778   A art: art runtime runtime cc:422  kernel:   switch to 0x8c 0x98_x000D_
06 07 15:51:50 174 13915 14778   A art: art runtime runtime cc:422  kernel: futex wait queue me 0xd4 0x130_x000D_
06 07 15:51:50 174 13915 14778   A art: art runtime runtime cc:422  kernel: futex wait 0xfc 0x210_x000D_
06 07 15:51:50 174 13915 14778   A art: art runtime runtime cc:422  kernel: do futex 0xe0 0x920_x000D_
06 07 15:51:50 174 13915 14778   A art: art runtime runtime cc:422  kernel: SyS futex 0x11c 0x1b0_x000D_
06 07 15:51:50 174 13915 14778   A art: art runtime runtime cc:422  kernel: cpu switch to 0x48 0x4c_x000D_
06 07 15:51:50 174 13915 14778   A art: art runtime runtime cc:422  native:  00 pc 000000000001bcec  system lib64 libc so (syscall 28)_x000D_
06 07 15:51:50 174 13915 14778   A art: art runtime runtime cc:422  native:  01 pc 00000000000e7e4c  system lib64 libart so ( ZN3art17ConditionVariable16WaitHoldingLocksEPNS 6ThreadE 156)_x000D_
06 07 15:51:50 174 13915 14778   A art: art runtime runtime cc:422  native:  02 pc 000000000046c910  system lib64 libart so ( ZN3art10ThreadPool7GetTaskEPNS 6ThreadE 248)_x000D_
06 07 15:51:50 174 13915 14778   A art: art runtime runtime cc:422  native:  03 pc 000000000046bdac  system lib64 libart so ( ZN3art16ThreadPoolWorker3RunEv 124)_x000D_
06 07 15:51:50 174 13915 14778   A art: art runtime runtime cc:422  native:  04 pc 000000000046b6d0  system lib64 libart so ( ZN3art16ThreadPoolWorker8CallbackEPv 132)_x000D_
06 07 15:51:50 174 13915 14778   A art: art runtime runtime cc:422  native:  05 pc 0000000000068734  system lib64 libc so ( ZL15  pthread startPv 208)_x000D_
06 07 15:51:50 174 13915 14778   A art: art runtime runtime cc:422  native:  06 pc 000000000001da7c  system lib64 libc so (  start thread 16)_x000D_
06 07 15:51:50 174 13915 14778   A art: art runtime runtime cc:422  (no managed stack frames)_x000D_
06 07 15:51:50 174 13915 14778   A art: art runtime runtime cc:422  _x000D_
06 07 15:51:50 174 13915 14778   A art: art runtime runtime cc:422   Signal Catcher  prio 5 tid 3 WaitingInMainSignalCatcherLoop_x000D_
06 07 15:51:50 174 13915 14778   A art: art runtime runtime cc:422    group    sCount 1 dsCount 0 obj 0x12cc83a0 self 0x74ce096400_x000D_
06 07 15:51:50 174 13915 14778   A art: art runtime runtime cc:422    sysTid 13921 nice 0 cgrp default sched 0 0 handle 0x74cd600450_x000D_
06 07 15:51:50 174 13915 14778   A art: art runtime runtime cc:422    state S schedstat ( 326615 24948 1 ) utm 0 stm 0 core 4 HZ 100_x000D_
06 07 15:51:50 174 13915 14778   A art: art runtime runtime cc:422    stack 0x74cd506000 0x74cd508000 stackSize 1005KB_x000D_
06 07 15:51:50 174 13915 14778   A art: art runtime runtime cc:422    held mutexes _x000D_
06 07 15:51:50 174 13915 14778   A art: art runtime runtime cc:422  kernel:   switch to 0x8c 0x98_x000D_
06 07 15:51:50 174 13915 14778   A art: art runtime runtime cc:422  kernel: do sigtimedwait 0xec 0x1dc_x000D_
06 07 15:51:50 174 13915 14778   A art: art runtime runtime cc:422  kernel: SyS rt sigtimedwait 0xd8 0x134_x000D_
06 07 15:51:50 174 13915 14778   A art: art runtime runtime cc:422  kernel: cpu switch to 0x48 0x4c_x000D_
06 07 15:51:50 174 13915 14778   A art: art runtime runtime cc:422  native:  00 pc 000000000006ad4c  system lib64 libc so (  rt sigtimedwait 8)_x000D_
06 07 15:51:50 174 13915 14778   A art: art runtime runtime cc:422  native:  01 pc 0000000000024d48  system lib64 libc so (sigwait 64)_x000D_
06 07 15:51:50 174 13915 14778   A art: art runtime runtime cc:422  native:  02 pc 00000000004456a0  system lib64 libart so ( ZN3art9SignalSet4WaitEv 48)_x000D_
06 07 15:51:50 174 13915 14778   A art: art runtime runtime cc:422  native:  03 pc 000000000044515c  system lib64 libart so ( ZN3art13SignalCatcher13WaitForSignalEPNS 6ThreadERNS 9SignalSetE 232)_x000D_
06 07 15:51:50 174 13915 14778   A art: art runtime runtime cc:422  native:  04 pc 00000000004436f0  system lib64 libart so ( ZN3art13SignalCatcher3RunEPv 400)_x000D_
06 07 15:51:50 174 13915 14778   A art: art runtime runtime cc:422  native:  05 pc 0000000000068734  system lib64 libc so ( ZL15  pthread startPv 208)_x000D_
06 07 15:51:50 174 13915 14778   A art: art runtime runtime cc:422  native:  06 pc 000000000001da7c  system lib64 libc so (  start thread 16)_x000D_
06 07 15:51:50 174 13915 14778   A art: art runtime runtime cc:422  (no managed stack frames)_x000D_
06 07 15:51:50 174 13915 14778   A art: art runtime runtime cc:422  _x000D_
06 07 15:51:50 174 13915 14778   A art: art runtime runtime cc:422   JDWP  prio 5 tid 4 WaitingInMainDebuggerLoop_x000D_
06 07 15:51:50 174 13915 14778   A art: art runtime runtime cc:422    group    sCount 1 dsCount 0 obj 0x12cc8430 self 0x74c6636400_x000D_
06 07 15:51:50 174 13915 14778   A art: art runtime runtime cc:422    sysTid 13922 nice 0 cgrp default sched 0 0 handle 0x74cd503450_x000D_
06 07 15:51:50 174 13915 14778   A art: art runtime runtime cc:422    state S schedstat ( 1229031471 236091418 793 ) utm 117 stm 5 core 3 HZ 100_x000D_
06 07 15:51:50 174 13915 14778   A art: art runtime runtime cc:422    stack 0x74cd409000 0x74cd40b000 stackSize 1005KB_x000D_
06 07 15:51:50 174 13915 14778   A art: art runtime runtime cc:422    held mutexes _x000D_
06 07 15:51:50 174 13915 14778   A art: art runtime runtime cc:422  kernel:   switch to 0x8c 0x98_x000D_
06 07 15:51:50 174 13915 14778   A art: art runtime runtime cc:422  kernel: poll schedule timeout 0x54 0xbc_x000D_
06 07 15:51:50 174 13915 14778   A art: art runtime runtime cc:422  kernel: do select 0x454 0x4c0_x000D_
06 07 15:51:50 174 13915 14778   A art: art runtime runtime cc:422  kernel: core sys select 0x200 0x318_x000D_
06 07 15:51:50 174 13915 14778   A art: art runtime runtime cc:422  kernel: SyS pselect6 0x180 0x230_x000D_
06 07 15:51:50 174 13915 14778   A art: art runtime runtime cc:422  kernel: cpu switch to 0x48 0x4c_x000D_
06 07 15:51:50 174 13915 14778   A art: art runtime runtime cc:422  native:  00 pc 000000000006aca4  system lib64 libc so (  pselect6 8)_x000D_
06 07 15:51:50 174 13915 14778   A art: art runtime runtime cc:422  native:  01 pc 0000000000023244  system lib64 libc so (select 156)_x000D_
06 07 15:51:50 174 13915 14778   A art: art runtime runtime cc:422  native:  02 pc 00000000005581d0  system lib64 libart so ( ZN3art4JDWP12JdwpAdbState15ProcessIncomingEv 348)_x000D_
06 07 15:51:50 174 13915 14778   A art: art runtime runtime cc:422  native:  03 pc 00000000003052b4  system lib64 libart so ( ZN3art4JDWP9JdwpState3RunEv 916)_x000D_
06 07 15:51:50 174 13915 14778   A art: art runtime runtime cc:422  native:  04 pc 0000000000304764  system lib64 libart so ( ZN3art4JDWPL15StartJdwpThreadEPv 48)_x000D_
06 07 15:51:50 174 13915 14778   A art: art runtime runtime cc:422  native:  05 pc 0000000000068734  system lib64 libc so ( ZL15  pthread startPv 208)_x000D_
06 07 15:51:50 174 13915 14778   A art: art runtime runtime cc:422  native:  06 pc 000000000001da7c  system lib64 libc so (  start thread 16)_x000D_
06 07 15:51:50 174 13915 14778   A art: art runtime runtime cc:422  (no managed stack frames)_x000D_
06 07 15:51:50 174 13915 14778   A art: art runtime runtime cc:422  _x000D_
06 07 15:51:50 174 13915 14778   A art: art runtime runtime cc:422   ReferenceQueueDaemon  prio 5 tid 5 Waiting_x000D_
06 07 15:51:50 174 13915 14778   A art: art runtime runtime cc:422    group    sCount 1 dsCount 0 obj 0x12cc84c0 self 0x74ce098200_x000D_
06 07 15:51:50 174 13915 14778   A art: art runtime runtime cc:422    sysTid 13923 nice 0 cgrp default sched 0 0 handle 0x74cd406450_x000D_
06 07 15:51:50 174 13915 14778   A art: art runtime runtime cc:422    state S schedstat ( 12132034 1583695 41 ) utm 0 stm 0 core 3 HZ 100_x000D_
06 07 15:51:50 174 13915 14778   A art: art runtime runtime cc:422    stack 0x74cd304000 0x74cd306000 stackSize 1037KB_x000D_
06 07 15:51:50 174 13915 14778   A art: art runtime runtime cc:422    held mutexes _x000D_
06 07 15:51:50 174 13915 14778   A art: art runtime runtime cc:422  kernel:   switch to 0x8c 0x98_x000D_
06 07 15:51:50 174 13915 14778   A art: art runtime runtime cc:422  kernel: futex wait queue me 0xd4 0x130_x000D_
06 07 15:51:50 174 13915 14778   A art: art runtime runtime cc:422  kernel: futex wait 0xfc 0x210_x000D_
06 07 15:51:50 174 13915 14778   A art: art runtime runtime cc:422  kernel: do futex 0xe0 0x920_x000D_
06 07 15:51:50 174 13915 14778   A art: art runtime runtime cc:422  kernel: SyS futex 0x11c 0x1b0_x000D_
06 07 15:51:50 174 13915 14778   A art: art runtime runtime cc:422  kernel: cpu switch to 0x48 0x4c_x000D_
06 07 15:51:50 174 13915 14778   A art: art runtime runtime cc:422  native:  00 pc 000000000001bcec  system lib64 libc so (syscall 28)_x000D_
06 07 15:51:50 174 13915 14778   A art: art runtime runtime cc:422  native:  01 pc 00000000000e7e4c  system lib64 libart so ( ZN3art17ConditionVariable16WaitHoldingLocksEPNS 6ThreadE 156)_x000D_
06 07 15:51:50 174 13915 14778   A art: art runtime runtime cc:422  native:  02 pc 000000000037c0ac  system lib64 libart so ( ZN3art7Monitor4WaitEPNS 6ThreadElibNS 11ThreadStateE 660)_x000D_
06 07 15:51:50 174 13915 14778   A art: art runtime runtime cc:422  native:  03 pc 0000000000000810  system framework arm64 boot oat (Java java lang Object wait   124)_x000D_
06 07 15:51:50 174 13915 14778   A art: art runtime runtime cc:422  at java lang Object wait (Native method)_x000D_
06 07 15:51:50 174 13915 14778   A art: art runtime runtime cc:422    waiting on  0x024835ac  (a java lang Class java lang ref ReferenceQueue )_x000D_
06 07 15:51:50 174 13915 14778   A art: art runtime runtime cc:422  at java lang Daemons ReferenceQueueDaemon run(Daemons java:150)_x000D_
06 07 15:51:50 174 13915 14778   A art: art runtime runtime cc:422    locked  0x024835ac  (a java lang Class java lang ref ReferenceQueue )_x000D_
06 07 15:51:50 174 13915 14778   A art: art runtime runtime cc:422  at java lang Thread run(Thread java:761)_x000D_
06 07 15:51:50 174 13915 14778   A art: art runtime runtime cc:422  _x000D_
06 07 15:51:50 175 13915 14778   A art: art runtime runtime cc:422   FinalizerDaemon  prio 5 tid 6 Waiting_x000D_
06 07 15:51:50 175 13915 14778   A art: art runtime runtime cc:422    group    sCount 1 dsCount 0 obj 0x12cc8550 self 0x74c3ccc400_x000D_
06 07 15:51:50 175 13915 14778   A art: art runtime runtime cc:422    sysTid 13924 nice 0 cgrp default sched 0 0 handle 0x74cd301450_x000D_
06 07 15:51:50 175 13915 14778   A art: art runtime runtime cc:422    state S schedstat ( 17158702 1747237 44 ) utm 1 stm 0 core 4 HZ 100_x000D_
06 07 15:51:50 175 13915 14778   A art: art runtime runtime cc:422    stack 0x74cd1ff000 0x74cd201000 stackSize 1037KB_x000D_
06 07 15:51:50 175 13915 14778   A art: art runtime runtime cc:422    held mutexes _x000D_
06 07 15:51:50 175 13915 14778   A art: art runtime runtime cc:422  kernel:   switch to 0x8c 0x98_x000D_
06 07 15:51:50 175 13915 14778   A art: art runtime runtime cc:422  kernel: futex wait queue me 0xd4 0x130_x000D_
06 07 15:51:50 175 13915 14778   A art: art runtime runtime cc:422  kernel: futex wait 0xfc 0x210_x000D_
06 07 15:51:50 175 13915 14778   A art: art runtime runtime cc:422  kernel: do futex 0xe0 0x920_x000D_
06 07 15:51:50 175 13915 14778   A art: art runtime runtime cc:422  kernel: SyS futex 0x11c 0x1b0_x000D_
06 07 15:51:50 175 13915 14778   A art: art runtime runtime cc:422  kernel: cpu switch to 0x48 0x4c_x000D_
06 07 15:51:50 175 13915 14778   A art: art runtime runtime cc:422  native:  00 pc 000000000001bcec  system lib64 libc so (syscall 28)_x000D_
06 07 15:51:50 175 13915 14778   A art: art runtime runtime cc:422  native:  01 pc 00000000000e7e4c  system lib64 libart so ( ZN3art17ConditionVariable16WaitHoldingLocksEPNS 6ThreadE 156)_x000D_
06 07 15:51:50 175 13915 14778   A art: art runtime runtime cc:422  native:  02 pc 000000000037c0ac  system lib64 libart so ( ZN3art7Monitor4WaitEPNS 6ThreadElibNS 11ThreadStateE 660)_x000D_
06 07 15:51:50 175 13915 14778   A art: art runtime runtime cc:422  native:  03 pc 0000000000000980  system framework arm64 boot oat (Java java lang Object wait  JI 140)_x000D_
06 07 15:51:50 175 13915 14778   A art: art runtime runtime cc:422  at java lang Object wait (Native method)_x000D_
06 07 15:51:50 175 13915 14778   A art: art runtime runtime cc:422    waiting on  0x08217275  (a java lang Object)_x000D_
06 07 15:51:50 175 13915 14778   A art: art runtime runtime cc:422  at java lang Object wait(Object java:407)_x000D_
06 07 15:51:50 175 13915 14778   A art: art runtime runtime cc:422  at java lang ref ReferenceQueue remove(ReferenceQueue java:188)_x000D_
06 07 15:51:50 175 13915 14778   A art: art runtime runtime cc:422    locked  0x08217275  (a java lang Object)_x000D_
06 07 15:51:50 175 13915 14778   A art: art runtime runtime cc:422  at java lang ref ReferenceQueue remove(ReferenceQueue java:209)_x000D_
06 07 15:51:50 175 13915 14778   A art: art runtime runtime cc:422  at java lang Daemons FinalizerDaemon run(Daemons java:204)_x000D_
06 07 15:51:50 175 13915 14778   A art: art runtime runtime cc:422  at java lang Thread run(Thread java:761)_x000D_
06 07 15:51:50 175 13915 14778   A art: art runtime runtime cc:422  _x000D_
06 07 15:51:50 175 13915 14778   A art: art runtime runtime cc:422   FinalizerWatchdogDaemon  prio 5 tid 7 Sleeping_x000D_
06 07 15:51:50 175 13915 14778   A art: art runtime runtime cc:422    group    sCount 1 dsCount 0 obj 0x12cc85e0 self 0x74c3ccce00_x000D_
06 07 15:51:50 175 13915 14778   A art: art runtime runtime cc:422    sysTid 13925 nice 0 cgrp default sched 0 0 handle 0x74cd1fc450_x000D_
06 07 15:51:50 175 13915 14778   A art: art runtime runtime cc:422    state S schedstat ( 1412768 9114 24 ) utm 0 stm 0 core 3 HZ 100_x000D_
06 07 15:51:50 175 13915 14778   A art: art runtime runtime cc:422    stack 0x74cd0fa000 0x74cd0fc000 stackSize 1037KB_x000D_
06 07 15:51:50 175 13915 14778   A art: art runtime runtime cc:422    held mutexes _x000D_
06 07 15:51:50 175 13915 14778   A art: art runtime runtime cc:422  kernel:   switch to 0x8c 0x98_x000D_
06 07 15:51:50 175 13915 14778   A art: art runtime runtime cc:422  kernel: futex wait queue me 0xd4 0x130_x000D_
06 07 15:51:50 175 13915 14778   A art: art runtime runtime cc:422  kernel: futex wait 0xfc 0x210_x000D_
06 07 15:51:50 175 13915 14778   A art: art runtime runtime cc:422  kernel: do futex 0xe0 0x920_x000D_
06 07 15:51:50 175 13915 14778   A art: art runtime runtime cc:422  kernel: SyS futex 0x11c 0x1b0_x000D_
06 07 15:51:50 175 13915 14778   A art: art runtime runtime cc:422  kernel: cpu switch to 0x48 0x4c_x000D_
06 07 15:51:50 175 13915 14778   A art: art runtime runtime cc:422  native:  00 pc 000000000001bcf0  system lib64 libc so (syscall 32)_x000D_
06 07 15:51:50 175 13915 14778   A art: art runtime runtime cc:422  native:  01 pc 00000000000e83ec  system lib64 libart so ( ZN3art17ConditionVariable9TimedWaitEPNS 6ThreadEli 176)_x000D_
06 07 15:51:50 175 13915 14778   A art: art runtime runtime cc:422  native:  02 pc 000000000037c0bc  system lib64 libart so ( ZN3art7Monitor4WaitEPNS 6ThreadElibNS 11ThreadStateE 676)_x000D_
06 07 15:51:50 175 13915 14778   A art: art runtime runtime cc:422  native:  03 pc 00000000000b8288  system framework arm64 boot oat (Java java lang Thread sleep  Ljava lang Object 2JI 164)_x000D_
06 07 15:51:50 175 13915 14778   A art: art runtime runtime cc:422  at java lang Thread sleep (Native method)_x000D_
06 07 15:51:50 175 13915 14778   A art: art runtime runtime cc:422    sleeping on  0x029b920a  (a java lang Object)_x000D_
06 07 15:51:50 175 13915 14778   A art: art runtime runtime cc:422  at java lang Thread sleep(Thread java:371)_x000D_
06 07 15:51:50 175 13915 14778   A art: art runtime runtime cc:422    locked  0x029b920a  (a java lang Object)_x000D_
06 07 15:51:50 175 13915 14778   A art: art runtime runtime cc:422  at java lang Thread sleep(Thread java:313)_x000D_
06 07 15:51:50 175 13915 14778   A art: art runtime runtime cc:422  at java lang Daemons FinalizerWatchdogDaemon sleepFor(Daemons java:314)_x000D_
06 07 15:51:50 175 13915 14778   A art: art runtime runtime cc:422  at java lang Daemons FinalizerWatchdogDaemon waitForFinalization(Daemons java:336)_x000D_
06 07 15:51:50 175 13915 14778   A art: art runtim</t>
  </si>
  <si>
    <t>lingochamp-FileDownloader-598</t>
  </si>
  <si>
    <t>更新v1.5.1版本之后，出现NullPointerException</t>
  </si>
  <si>
    <t xml:space="preserve">  v1 5 1          NullPointerException       v1 4 2                     _x000D_
_x000D_
        crash log 1         _x000D_
Fatal Exception: java lang NullPointerException: Attempt to read from field  long com liulishuo filedownloader download e a  on a null object reference_x000D_
       at com liulishuo filedownloader download DownloadRunnable run(SourceFile:102)_x000D_
       at java util concurrent ThreadPoolExecutor runWorker(ThreadPoolExecutor java:1112)_x000D_
       at java util concurrent ThreadPoolExecutor Worker run(ThreadPoolExecutor java:587)_x000D_
       at java lang Thread run(Thread java:818)_x000D_
_x000D_
_x000D_
        crash log 2         _x000D_
Fatal Exception: java lang NullPointerException: Attempt to invoke interface method  void com liulishuo filedownloader services g a(int  int  long)  on a null object reference_x000D_
       at com liulishuo filedownloader download FetchDataTask sync(SourceFile:202)_x000D_
       at com liulishuo filedownloader download FetchDataTask pause(SourceFile:58)_x000D_
       at com liulishuo filedownloader download DownloadRunnable pause(SourceFile:58)_x000D_
       at com liulishuo filedownloader download DownloadRunnable discard(SourceFile:62)_x000D_
       at com liulishuo filedownloader download DownloadLaunchRunnable onError(SourceFile:623)_x000D_
       at com liulishuo filedownloader download DownloadRunnable run(SourceFile:106)_x000D_
       at java util concurrent ThreadPoolExecutor runWorker(ThreadPoolExecutor java:1112)_x000D_
       at java util concurrent ThreadPoolExecutor Worker run(ThreadPoolExecutor java:587)_x000D_
       at java lang Thread run(Thread java:818)_x000D_
_x000D_
_x000D_
        crash log 3         _x000D_
Fatal Exception: java lang NullPointerException: Attempt to invoke virtual method  void com liulishuo filedownloader download c a()  on a null object reference_x000D_
       at com liulishuo filedownloader download DownloadLaunchRunnable pause(SourceFile:134)_x000D_
       at com liulishuo filedownloader services FileDownloadThreadPool cancel(SourceFile:95)_x000D_
       at com liulishuo filedownloader services FileDownloadManager pause(SourceFile:200)_x000D_
       at com liulishuo filedownloader services FDServiceSharedHandler pause(SourceFile:66)_x000D_
       at com liulishuo filedownloader FileDownloadServiceSharedTransmit pause(SourceFile:65)_x000D_
       at com liulishuo filedownloader FileDownloadServiceProxy pause(SourceFile:72)_x000D_
       at com liulishuo filedownloader DownloadTaskHunter pause(SourceFile:419)_x000D_
       at com liulishuo filedownloader DownloadTask pause(SourceFile:338)_x000D_
       at com liulishuo filedownloader FileDownloader pauseAll(SourceFile:227)_x000D_
       at media itsme common download FileDownloadHelper pauseAllDownload(SourceFile:221)_x000D_
       at media itsme common utils LoginHelper logout(SourceFile:928)_x000D_
       at media itsme common activity setting UserSettingActivity logout(SourceFile:245)_x000D_
       at media itsme common activity setting UserSettingActivity onClick(SourceFile:142)_x000D_
       at android view View performClick(View java:5212)_x000D_
       at android view View PerformClick run(View java:21214)_x000D_
       at android os Handler handleCallback(Handler java:739)_x000D_
       at android os Handler dispatchMessage(Handler java:95)_x000D_
       at android os Looper loop(Looper java:148)_x000D_
       at android app ActivityThread main(ActivityThread java:5628)_x000D_
       at java lang reflect Method invoke(Method java)_x000D_
       at com android internal os ZygoteInit MethodAndArgsCaller run(ZygoteInit java:850)_x000D_
       at com android internal os ZygoteInit main(ZygoteInit java:734)_x000D_
</t>
  </si>
  <si>
    <t>DSpotDevelopers-declex-156</t>
  </si>
  <si>
    <t>When a view has multiple layouts, and a component has different classes, the inflate mechanism fails</t>
  </si>
  <si>
    <t xml:space="preserve">Let s say there s 2 layouts (land main activity xml and portrait main activity xml)  if a component exists in both layouts and it has different classes  the Populate method will crash the app (since it will try to typecast the View to one of the two classes)  _x000D_
_x000D_
To avoid this  in this situation  probably the best is to browse for the common class to both Views  </t>
  </si>
  <si>
    <t>nextcloud-android-1074</t>
  </si>
  <si>
    <t>Scrolling through "Activities" crashes app.</t>
  </si>
  <si>
    <t xml:space="preserve">    Actual behaviour_x000D_
 Tell us what happens_x000D_
Selecting  Activities   the page will be refreshed with the list of recent activities _x000D_
When I try to scroll toward the bottom of the list  the application will display the following error message before it quits:_x000D_
_x000D_
 Unfortunately  Nextcloud dev has stopped _x000D_
_x000D_
    Expected behaviour_x000D_
 Tell us what should happen_x000D_
No crash _x000D_
 _x000D_
    Steps to reproduce_x000D_
1  Select  Activities  _x000D_
2  When list is available  scroll the list _x000D_
3  _x000D_
_x000D_
_x000D_
    Environment data_x000D_
Android version:_x000D_
6 0_x000D_
Device model: _x000D_
LG 3 LG 852_x000D_
Stock or customized system:_x000D_
Stock_x000D_
_x000D_
Nextcloud app version:_x000D_
Nextcloud Dev 20170608_x000D_
_x000D_
Nextcloud server version:_x000D_
NC 12 0_x000D_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_x000D_
PR:  1153 </t>
  </si>
  <si>
    <t>philipphecht-react-native-doc-viewer-16</t>
  </si>
  <si>
    <t>Android app crashes after updating RN to 0.45</t>
  </si>
  <si>
    <t xml:space="preserve">I updated RN 0 45 0 and after that the app crashes as soon as I try to open any file  I found that If I change my targetSdkVersion to 23 (instead of 25) it doesn t crash  but instead tells me that  Media not found  _x000D_
_x000D_
Any solution </t>
  </si>
  <si>
    <t>requery-requery-582</t>
  </si>
  <si>
    <t>Cannot add a UNIQUE column (code 1): , while compiling</t>
  </si>
  <si>
    <t xml:space="preserve">Requery 1 3 0_x000D_
Requery sqlite 3 18 0_x000D_
_x000D_
After adding this to an already existing entity  IJobOffer _x000D_
_x000D_
     get:Column(unique   true)_x000D_
    var localCreatorId: String _x000D_
_x000D_
the app crashes when the entity is accessed and database upgraded_x000D_
_x000D_
  Caused by:_x000D_
io requery PersistenceException:_x000D_
java sql SQLException:_x000D_
android database sqlite SQLiteException:_x000D_
Cannot add a UNIQUE column (code 1):   while compiling: alter table IJobOffer add column localCreatorId varchar(255) unique_x000D_
at io requery sql SchemaModifier executeSql(SchemaModifier java:267)_x000D_
at io requery sql SchemaModifier executeSql(SchemaModifier java:254)_x000D_
at io requery sql SchemaModifier addColumn(SchemaModifier java:230)_x000D_
at io requery android sqlite SchemaUpdater update(SchemaUpdater java:106)_x000D_
at io requery android sqlitex SqlitexDatabaseSource onUpgrade(SqlitexDatabaseSource java:150)_x000D_
at cz quickjobs android database QuickJobsDatabaseSource onUpgrade(QuickJobsDatabaseSource kt:45)_x000D_
at io requery android database sqlite SQLiteOpenHelper getDatabaseLocked(SQLiteOpenHelper java:268)_x000D_
at io requery android database sqlite SQLiteOpenHelper getWritableDatabase(SQLiteOpenHelper java:170)_x000D_
at io requery android sqlitex SqlitexDatabaseSource getConnection(SqlitexDatabaseSource java:157)_x000D_
at io requery sql EntityDataStore DataContext getConnection(EntityDataStore java:631)_x000D_
at io requery sql EntityDataStore checkConnectionMetadata(EntityDataStore java:570)_x000D_
at io requery sql EntityDataStore DataContext read(EntityDataStore java:651)_x000D_
at io requery sql KotlinEntityDataStore select(KotlinEntityDataStore kt:51)_x000D_
   _x000D_
_x000D_
I believe adding the column and then adding the constriant should make it work </t>
  </si>
  <si>
    <t>commons-app-apps-android-commons-728</t>
  </si>
  <si>
    <t>NullPointerException at NavigationBaseFragment</t>
  </si>
  <si>
    <t xml:space="preserve"> neslihanturan  maskaravivek We are getting a new crash (in the production version of the app) from the hamburger menu  :(_x000D_
_x000D_
   _x000D_
java lang RuntimeException: _x000D_
  at android app ActivityThread performLaunchActivity(ActivityThread java:2684)_x000D_
  at android app ActivityThread handleLaunchActivity(ActivityThread java:2751)_x000D_
  at android app ActivityThread  wrap12(ActivityThread java:0)_x000D_
  at android app ActivityThread H handleMessage(ActivityThread java:1496)_x000D_
  at android os Handler dispatchMessage(Handler java:102)_x000D_
  at android os Looper loop(Looper java:154)_x000D_
  at android app ActivityThread main(ActivityThread java:6186)_x000D_
  at java lang reflect Method invoke(Native Method:0)_x000D_
  at com android internal os ZygoteInit MethodAndArgsCaller run(ZygoteInit java:889)_x000D_
  at com android internal os ZygoteInit main(ZygoteInit java:779)_x000D_
Caused by: java lang NullPointerException: _x000D_
  at fr free nrw commons hamburger NavigationBaseFragment setUsername(NavigationBaseFragment java:95)_x000D_
  at fr free nrw commons hamburger NavigationBaseFragment onCreateView(NavigationBaseFragment java:72)_x000D_
  at android support v4 app Fragment performCreateView(Fragment java:2189)_x000D_
  at android support v4 app FragmentManagerImpl moveToState(FragmentManager java:1299)_x000D_
  at android support v4 app FragmentManagerImpl moveFragmentToExpectedState(FragmentManager java:1528)_x000D_
  at android support v4 app FragmentManagerImpl moveToState(FragmentManager java:1595)_x000D_
  at android support v4 app FragmentManagerImpl dispatchActivityCreated(FragmentManager java:2888)_x000D_
  at android support v4 app FragmentController dispatchActivityCreated(FragmentController java:201)_x000D_
  at android support v4 app FragmentActivity onStart(FragmentActivity java:603)_x000D_
  at android support v7 app AppCompatActivity onStart(AppCompatActivity java:178)_x000D_
  at android app Instrumentation callActivityOnStart(Instrumentation java:1249)_x000D_
  at android app Activity performStart(Activity java:6701)_x000D_
  at android app ActivityThread performLaunchActivity(ActivityThread java:2647)_x000D_
   </t>
  </si>
  <si>
    <t>Intelehealth-Android-Mobile-Client-253</t>
  </si>
  <si>
    <t>App crashes if node object is empty</t>
  </si>
  <si>
    <t xml:space="preserve">If nothing is input into the node object  the app crashes (eg: The health worker does not answer any question on an activity and moves on to the next activity) _x000D_
Create an exception handler  if the node object is empty fill it with a default value (eg: Null  Empty  Skipped  Blank) </t>
  </si>
  <si>
    <t>tanrabad-survey-28</t>
  </si>
  <si>
    <t xml:space="preserve">     in uk co chrisjenx calligraphy CalligraphyLayoutInflater onCreateView
  Number of crashes: 1
  Impacted devices: 1
There s a lot more information about this crash on crashlytics com:
 https:  fabric io tanrabad android apps org tanrabad survey issues 5938f8d0be077a4dccd62b4f (https:  fabric io tanrabad android apps org tanrabad survey issues 5938f8d0be077a4dccd62b4f)</t>
  </si>
  <si>
    <t>lingochamp-FileDownloader-601</t>
  </si>
  <si>
    <t>java.lang.ArithmeticException</t>
  </si>
  <si>
    <t xml:space="preserve">  v1 5 2       crash_x000D_
_x000D_
crash log:_x000D_
Fatal Exception: java lang ArithmeticException: divide by zero_x000D_
       at com liulishuo filedownloader DownloadSpeedMonitor end(SourceFile:57)_x000D_
       at com liulishuo filedownloader DownloadTaskHunter onOver(SourceFile:289)_x000D_
       at com liulishuo filedownloader FileDownloadMessenger notifyError(SourceFile:170)_x000D_
       at com liulishuo filedownloader FileDownloadList remove(SourceFile:197)_x000D_
       at com liulishuo filedownloader DownloadTaskHunter update(SourceFile:189)_x000D_
       at com liulishuo filedownloader DownloadTaskHunter updateKeepFlow(SourceFile:83)_x000D_
       at com liulishuo filedownloader MessageSnapshotGate transmitMessage(SourceFile:44)_x000D_
       at com liulishuo filedownloader MessageSnapshotGate receive(SourceFile:83)_x000D_
       at com liulishuo filedownloader message MessageSnapshotThreadPool FlowSingleExecutor 1 run(SourceFile:100)_x000D_
       at java util concurrent ThreadPoolExecutor runWorker(ThreadPoolExecutor java:1113)_x000D_
       at java util concurrent ThreadPoolExecutor Worker run(ThreadPoolExecutor java:588)_x000D_
       at java lang Thread run(Thread java:818)</t>
  </si>
  <si>
    <t>fossasia-phimpme-android-553</t>
  </si>
  <si>
    <t>App crash on changing save location in camera settings</t>
  </si>
  <si>
    <t xml:space="preserve">  Actual Behaviour  _x000D_
_x000D_
App crash on changing the save location in camera settings _x000D_
_x000D_
  Steps to reproduce it  _x000D_
_x000D_
1  Open settings _x000D_
2  Camera settings _x000D_
3  Tap on save location_x000D_
</t>
  </si>
  <si>
    <t>pathsense-pathsense-samples-android-12</t>
  </si>
  <si>
    <t>Adding Geofence causes ClassCastException</t>
  </si>
  <si>
    <t xml:space="preserve">Hello  _x000D_
_x000D_
Adding a geofence causes this error in logcat  which prints about once every second and clutters the log  Fortunately it doesn t result in the app crashing  but wondering if this can be resolved  _x000D_
Android 7 1 2  Nexus 6P _x000D_
_x000D_
   _x000D_
PathsenseLocationProviderApi api   PathsenseLocationProviderApi getInstance(this) _x000D_
api addGeofence(geofenceId  latLng latitude  latLng longitude  (int) radius  GeofenceTrasitionReceiver class) _x000D_
   _x000D_
_x000D_
   _x000D_
java lang ClassCastException: com pathsense locationengine lib models data t cannot be cast to com pathsense locationengine lib models data m_x000D_
	at com pathsense locationengine apklib locationEngine serviceControllers d a(Unknown Source)_x000D_
	at com pathsense locationengine apklib locationEngine serviceControllers f a(Unknown Source)_x000D_
	at com pathsense locationengine lib detectionLogic sensorCore d a(Unknown Source)_x000D_
	at com pathsense locationengine lib detectionLogic sensorCore c d(Unknown Source)_x000D_
	at com pathsense locationengine lib detectionLogic a a run(Unknown Source)_x000D_
	at com pathsense locationengine lib concurrent e run(Unknown Source)_x000D_
	at com pathsense locationengine apklib concurrent c a handleMessage(Unknown Source)_x000D_
	at android os Handler dispatchMessage(Handler java:102)_x000D_
	at android os Looper loop(Looper java:154)_x000D_
	at android app ActivityThread main(ActivityThread java:6121)_x000D_
	at java lang reflect Method invoke(Native Method)_x000D_
	at com android internal os ZygoteInit MethodAndArgsCaller run(ZygoteInit java:889)_x000D_
	at com android internal os ZygoteInit main(ZygoteInit java:779)_x000D_
   </t>
  </si>
  <si>
    <t>fossasia-phimpme-android-564</t>
  </si>
  <si>
    <t>App crashes when we scrolled down to end after deleting an album</t>
  </si>
  <si>
    <t xml:space="preserve">  Actual Behaviour  _x000D_
_x000D_
App crashes when we scrolled down to end after deleting an album_x000D_
_x000D_
  Expected Behaviour  _x000D_
_x000D_
No crash should occur_x000D_
_x000D_
  Steps to reproduce it  _x000D_
_x000D_
In gallery page  delete album  scroll to bottom _x000D_
_x000D_
  LogCat for the issue  _x000D_
_x000D_
   _x000D_
06 10 04:12:59 057 1166 1166 vn mbm phimp me E AndroidRuntime: FATAL EXCEPTION: main_x000D_
                                                               Process: vn mbm phimp me  PID: 1166_x000D_
                                                               java lang IndexOutOfBoundsException: Index: 15  Size: 15_x000D_
                                                                   at java util ArrayList get(ArrayList java:411)_x000D_
                                                                   at vn mbm phimp me leafpic adapters AlbumsAdapter onBindViewHolder(AlbumsAdapter java:65)_x000D_
                                                                   at vn mbm phimp me leafpic adapters AlbumsAdapter onBindViewHolder(AlbumsAdapter java:34)_x000D_
                                                                   at android support v7 widget RecyclerView Adapter onBindViewHolder(RecyclerView java:6356)_x000D_
                                                                   at android support v7 widget RecyclerView Adapter bindViewHolder(RecyclerView java:6389)_x000D_
                                                                   at android support v7 widget RecyclerView Recycler tryBindViewHolderByDeadline(RecyclerView java:5335)_x000D_
                                                                   at android support v7 widget RecyclerView Recycler tryGetViewHolderForPositionByDeadline(RecyclerView java:5598)_x000D_
                                                                   at android support v7 widget GapWorker prefetchPositionWithDeadline(GapWorker java:282)_x000D_
                                                                   at android support v7 widget GapWorker flushTaskWithDeadline(GapWorker java:336)_x000D_
                                                                   at android support v7 widget GapWorker flushTasksWithDeadline(GapWorker java:349)_x000D_
                                                                   at android support v7 widget GapWorker prefetch(GapWorker java:356)_x000D_
                                                                   at android support v7 widget GapWorker run(GapWorker java:387)_x000D_
                                                                   at android os Handler handleCallback(Handler java)_x000D_
                                                                   at android os Handler dispatchMessage(Handler java)_x000D_
                                                                   at android os Looper loop(Looper java)_x000D_
                                                                   at android app ActivityThread main(ActivityThread java)_x000D_
                                                                   at java lang reflect Method invoke(Native Method)_x000D_
                                                                   at com android internal os ZygoteInit MethodAndArgsCaller run(ZygoteInit java)_x000D_
                                                                   at com android internal os ZygoteInit main(ZygoteInit java)_x000D_
   _x000D_
  Would you like to work on the issue   _x000D_
_x000D_
yes</t>
  </si>
  <si>
    <t>ac-pm-Inspeckage-56</t>
  </si>
  <si>
    <t>NPE on fresh install</t>
  </si>
  <si>
    <t xml:space="preserve">I installed the module bit did not yet restarted the phone  Intsead  i launched the app and it crashed _x000D_
_x000D_
   _x000D_
java lang RuntimeException: Unable to start activity ComponentInfo mobi acpm inspeckage mobi acpm inspeckage ui MainActivity : java lang NullPointerException: Attempt to invoke interface method  boolean java util Enumeration hasMoreElements()  on a null object reference_x000D_
	at android app ActivityThread performLaunchActivity(ActivityThread java:2456)_x000D_
	at android app ActivityThread handleLaunchActivity(ActivityThread java:2539)_x000D_
	at android app ActivityThread access 900(ActivityThread java:159)_x000D_
	at android app ActivityThread H handleMessage(ActivityThread java:1384)_x000D_
	at android os Handler dispatchMessage(Handler java:102)_x000D_
	at android os Looper loop(Looper java:152)_x000D_
	at android app ActivityThread main(ActivityThread java:5507)_x000D_
	at java lang reflect Method invoke(Native Method)_x000D_
	at com android internal os ZygoteInit MethodAndArgsCaller run(ZygoteInit java:726)_x000D_
	at com android internal os ZygoteInit main(ZygoteInit java:616)_x000D_
	at de robv android xposed XposedBridge main(XposedBridge java:102)_x000D_
Caused by: java lang NullPointerException: Attempt to invoke interface method  boolean java util Enumeration hasMoreElements()  on a null object reference_x000D_
	at mobi acpm inspeckage ui MainFragment loadInterfaces(MainFragment java:200)_x000D_
	at mobi acpm inspeckage ui MainFragment onCreateView(MainFragment java:158)_x000D_
	at android app Fragment performCreateView(Fragment java:2220)_x000D_
	at android app FragmentManagerImpl moveToState(FragmentManager java:973)_x000D_
	at android app FragmentManagerImpl moveToState(FragmentManager java:1148)_x000D_
	at android app BackStackRecord run(BackStackRecord java:793)_x000D_
	at android app FragmentManagerImpl execPendingActions(FragmentManager java:1535)_x000D_
	at android app FragmentController execPendingActions(FragmentController java:325)_x000D_
	at android app Activity performStart(Activity java:6320)_x000D_
	at android app ActivityThread performLaunchActivity(ActivityThread java:2419)_x000D_
	    10 more_x000D_
   </t>
  </si>
  <si>
    <t>fossasia-open-event-droidgen-1682</t>
  </si>
  <si>
    <t>Normalize Date Strings from server response</t>
  </si>
  <si>
    <t xml:space="preserve">  Actual Behaviour  _x000D_
_x000D_
The server response for the date time format has changed  and the app is crashing due to it_x000D_
_x000D_
  Expected Behaviour  _x000D_
_x000D_
Fix the current format to allow parsing_x000D_
_x000D_
  Would you like to work on the issue   _x000D_
_x000D_
Yes_x000D_
</t>
  </si>
  <si>
    <t>OpenLauncherTeam-openlauncher-161</t>
  </si>
  <si>
    <t>Crash when adding Dialer/Phone app to tray</t>
  </si>
  <si>
    <t xml:space="preserve">OpenLauncher crashes when adding the phone app to the bottom tray  Running Lineage OS 7 1 2  _x000D_
_x000D_
Crash code:_x000D_
Build version: 0 5 1 _x000D_
Build date: 1980 01 01 00:00:00 _x000D_
Current date: 2017 06 09 21:12:45 _x000D_
Device: LGE LG VS985 _x000D_
 _x000D_
Stack trace:  _x000D_
java lang NullPointerException: Attempt to invoke virtual method  java lang String android content ComponentName getPackageName()  on a null object reference_x000D_
	at com benny openlauncher util AppManager findApp(AppManager java:64)_x000D_
	at com benny openlauncher viewutil GroupIconDrawable  init (GroupIconDrawable java:48)_x000D_
	at com benny openlauncher widget AppItemView Builder setGroupItem(AppItemView java:234)_x000D_
	at com benny openlauncher viewutil ItemViewFactory getItemView(ItemViewFactory java:92)_x000D_
	at com benny openlauncher widget Dock addItemToPage(Dock java:210)_x000D_
	at com benny openlauncher widget Desktop handleOnDropOver(Desktop java:555)_x000D_
	at com benny openlauncher widget Dock onDrag(Dock java:134)_x000D_
	at android view View callDragEventHandler(View java:20902)_x000D_
	at android view View dispatchDragEvent(View java:20893)_x000D_
	at android view ViewGroup dispatchDragEvent(ViewGroup java:1510)_x000D_
	at android view ViewGroup dispatchDragEvent(ViewGroup java:1492)_x000D_
	at android view ViewGroup dispatchDragEvent(ViewGroup java:1492)_x000D_
	at android view ViewGroup dispatchDragEvent(ViewGroup java:1492)_x000D_
	at android view ViewGroup dispatchDragEvent(ViewGroup java:1492)_x000D_
	at android view ViewGroup dispatchDragEvent(ViewGroup java:1492)_x000D_
	at android view ViewGroup dispatchDragEvent(ViewGroup java:1492)_x000D_
	at android view ViewRootImpl handleDragEvent(ViewRootImpl java:5557)_x000D_
	at android view ViewRootImpl  wrap7(ViewRootImpl java)_x000D_
	at android view ViewRootImpl ViewRootHandler handleMessage(ViewRootImpl java:3671)_x000D_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t>
  </si>
  <si>
    <t>commons-app-apps-android-commons-731</t>
  </si>
  <si>
    <t>java.lang.OutOfMemoryError at NavigationBaseFragment.showPictureOfTheDay</t>
  </si>
  <si>
    <t xml:space="preserve">Also from Google Developer crash reports:_x000D_
_x000D_
   _x000D_
java lang OutOfMemoryError: _x000D_
  at dalvik system VMRuntime newNonMovableArray(Native Method:0)_x000D_
  at android graphics BitmapFactory nativeDecodeAsset(Native Method:0)_x000D_
  at android graphics BitmapFactory decodeStream(BitmapFactory java:620)_x000D_
  at android graphics BitmapFactory decodeResourceStream(BitmapFactory java:455)_x000D_
  at android graphics drawable Drawable createFromResourceStream(Drawable java:1155)_x000D_
  at android content res ResourcesImpl loadDrawableForCookie(ResourcesImpl java:720)_x000D_
  at android content res ResourcesImpl loadDrawable(ResourcesImpl java:571)_x000D_
  at android content res Resources getDrawable(Resources java:771)_x000D_
  at android content res Resources getDrawable(Resources java:742)_x000D_
  at fr free nrw commons hamburger NavigationBaseFragment showPictureOfTheDay(NavigationBaseFragment java:77)_x000D_
  at fr free nrw commons hamburger NavigationBaseFragment onCreateView(NavigationBaseFragment java:70)_x000D_
  at android support v4 app Fragment performCreateView(Fragment java:2189)_x000D_
  at android support v4 app FragmentManagerImpl moveToState(FragmentManager java:1299)_x000D_
  at android support v4 app FragmentManagerImpl moveFragmentToExpectedState(FragmentManager java:1528)_x000D_
  at android support v4 app FragmentManagerImpl moveToState(FragmentManager java:1595)_x000D_
  at android support v4 app FragmentManagerImpl dispatchActivityCreated(FragmentManager java:2888)_x000D_
  at android support v4 app FragmentController dispatchActivityCreated(FragmentController java:201)_x000D_
  at android support v4 app FragmentActivity onStart(FragmentActivity java:603)_x000D_
  at android support v7 app AppCompatActivity onStart(AppCompatActivity java:178)_x000D_
  at android app Instrumentation callActivityOnStart(Instrumentation java:1249)_x000D_
  at android app Activity performStart(Activity java:6701)_x000D_
  at android app ActivityThread performLaunchActivity(ActivityThread java:2647)_x000D_
  at android app ActivityThread handleLaunchActivity(ActivityThread java:2751)_x000D_
  at android app ActivityThread  wrap12(ActivityThread java:0)_x000D_
  at android app ActivityThread H handleMessage(ActivityThread java:1496)_x000D_
  at android os Handler dispatchMessage(Handler java:102)_x000D_
  at android os Looper loop(Looper java:154)_x000D_
  at android app ActivityThread main(ActivityThread java:6186)_x000D_
  at java lang reflect Method invoke(Native Method:0)_x000D_
  at com android internal os ZygoteInit MethodAndArgsCaller run(ZygoteInit java:889)_x000D_
  at com android internal os ZygoteInit main(ZygoteInit java:779)_x000D_
   _x000D_
_x000D_
  Report timestamp_x000D_
  Yesterday  04:20_x000D_
  Application version_x000D_
  73_x000D_
  Android version_x000D_
  Android 7 1_x000D_
  Device_x000D_
  Nexus 5 (hammerhead)_x000D_
  Manufacturer Google RAM (MB) 2048 Screen size 1080   1920 Screen density (dpi) 480 Native platform armeabi v7a OpenGL ES version 3 0 CPU make Qualcomm CPU model MSM8974_x000D_
_x000D_
This might be worth looking at  as 2GB of RAM is a pretty standard amount </t>
  </si>
  <si>
    <t>fossasia-open-event-droidgen-1689</t>
  </si>
  <si>
    <t>App crashing in offline state</t>
  </si>
  <si>
    <t xml:space="preserve">  Actual Behaviour  _x000D_
_x000D_
On first time install of the app  the app crashes  This is related to problem in check in date checking in realm repository _x000D_
_x000D_
  Expected Behaviour  _x000D_
_x000D_
App should run fine in offline state _x000D_
_x000D_
  Steps to reproduce it  _x000D_
_x000D_
 _x000D_
_x000D_
  LogCat for the issue  _x000D_
_x000D_
 _x000D_
_x000D_
  Screenshots of the issue  _x000D_
_x000D_
 _x000D_
_x000D_
  Would you like to work on the issue   _x000D_
_x000D_
 _x000D_
_x000D_
  Target Milestone to solve the issue  _x000D_
_x000D_
https:  github com fossasia open event android milestone 29</t>
  </si>
  <si>
    <t>osmdroid-osmdroid-616</t>
  </si>
  <si>
    <t>NullPointerException MapController.setCenter()</t>
  </si>
  <si>
    <t xml:space="preserve">Hi  I m getting such an NPE exception reported as crash in PlayStore and do not have actually any idea in which situation it happens  On the stack trace there is also no line of code from my application  _x000D_
Any help appreciated   Thanks _x000D_
_x000D_
Full stack I have (version 5 6 4):_x000D_
 _x000D_
java lang NullPointerException: _x000D_
  at org osmdroid views Projection toPixels(Projection java:121)_x000D_
  at org osmdroid views MapController setCenter(MapController java:229)_x000D_
  at org osmdroid views MapController ReplayController replayCalls(MapController java:533)_x000D_
  at org osmdroid views MapController onFirstLayout(MapController java:97)_x000D_
  at org osmdroid views MapView onLayout(MapView java:835)_x000D_
  at android view View layout(View java:16662)_x000D_
  at android view ViewGroup layout(ViewGroup java:5439)_x000D_
  at android support design widget CoordinatorLayout layoutChild(CoordinatorLayout java:1167)_x000D_
  at android support design widget CoordinatorLayout onLayoutChild(CoordinatorLayout java:852)_x000D_
  at android support design widget CoordinatorLayout onLayout(CoordinatorLayout java:871)_x000D_
  at android view View layout(View java:16662)_x000D_
  at android view ViewGroup layout(ViewGroup java:5439)_x000D_
  at android widget FrameLayout layoutChildren(FrameLayout java:336)_x000D_
  at android widget FrameLayout onLayout(FrameLayout java:273)_x000D_
  at android view View layout(View java:16662)_x000D_
  at android view ViewGroup layout(ViewGroup java:5439)_x000D_
  at android support design widget CoordinatorLayout layoutChild(CoordinatorLayout java:1167)_x000D_
  at android support design widget CoordinatorLayout onLayoutChild(CoordinatorLayout java:852)_x000D_
  at android support design widget CoordinatorLayout onLayout(CoordinatorLayout java:871)_x000D_
  at android view View layout(View java:16662)_x000D_
  at android view ViewGroup layout(ViewGroup java:5439)_x000D_
  at android widget FrameLayout layoutChildren(FrameLayout java:336)_x000D_
  at android widget FrameLayout onLayout(FrameLayout java:273)_x000D_
  at android view View layout(View java:16662)_x000D_
  at android view ViewGroup layout(ViewGroup java:5439)_x000D_
  at android support v7 widget ActionBarOverlayLayout onLayout(ActionBarOverlayLayout java:437)_x000D_
  at android view View layout(View java:16662)_x000D_
  at android view ViewGroup layout(ViewGroup java:5439)_x000D_
  at android widget FrameLayout layoutChildren(FrameLayout java:336)_x000D_
  at android widget FrameLayout onLayout(FrameLayout java:273)_x000D_
  at android view View layout(View java:16662)_x000D_
  at android view ViewGroup layout(ViewGroup java:5439)_x000D_
  at android widget LinearLayout setChildFrame(LinearLayout java:1743)_x000D_
  at android widget LinearLayout layoutVertical(LinearLayout java:1586)_x000D_
  at android widget LinearLayout onLayout(LinearLayout java:1495)_x000D_
  at android view View layout(View java:16662)_x000D_
  at android view ViewGroup layout(ViewGroup java:5439)_x000D_
  at android widget FrameLayout layoutChildren(FrameLayout java:336)_x000D_
  at android widget FrameLayout onLayout(FrameLayout java:273)_x000D_
  at com android internal policy PhoneWindow DecorView onLayout(PhoneWindow java:2720)_x000D_
  at android view View layout(View java:16662)_x000D_
  at android view ViewGroup layout(ViewGroup java:5439)_x000D_
  at android view ViewRootImpl performLayout(ViewRootImpl java:2202)_x000D_
  at android view ViewRootImpl performTraversals(ViewRootImpl java:1955)_x000D_
  at android view ViewRootImpl doTraversal(ViewRootImpl java:1125)_x000D_
  at android view ViewRootImpl TraversalRunnable run(ViewRootImpl java:6100)_x000D_
  at android view Choreographer CallbackRecord run(Choreographer java:858)_x000D_
  at android view Choreographer doCallbacks(Choreographer java:670)_x000D_
  at android view Choreographer doFrame(Choreographer java:606)_x000D_
  at android view Choreographer FrameDisplayEventReceiver run(Choreographer java:844)_x000D_
  at android os Handler handleCallback(Handler java:739)_x000D_
  at android os Handler dispatchMessage(Handler java:95)_x000D_
  at android os Looper loop(Looper java:148)_x000D_
  at android app ActivityThread main(ActivityThread java:5525)_x000D_
  at java lang reflect Method invoke(Native Method:0)_x000D_
  at com android internal os ZygoteInit MethodAndArgsCaller run(ZygoteInit java:730)_x000D_
  at com android internal os ZygoteInit main(ZygoteInit java:620)_x000D_
 _x000D_
</t>
  </si>
  <si>
    <t>ericcornelissen-NervousFish-247</t>
  </si>
  <si>
    <t>Quick fix to disable the NFC fab when the device doesn't support NFC</t>
  </si>
  <si>
    <t xml:space="preserve">     Check if the title is descriptive     _x000D_
  Relevant Issues:  8_x000D_
  Related Pull Requests:  _x000D_
_x000D_
     _x000D_
_x000D_
   What_x000D_
A non crashing app when you don t have NFC support _x000D_
_x000D_
   Why_x000D_
This Pull Request is needed because it s better when the app doesn t crash beacause of something out of users control_x000D_
_x000D_
   How_x000D_
This feature can be viewed tested within the project by using a device with no support for NFC while still being able to use other features _x000D_
_x000D_
   Alternative implementation_x000D_
Other implementations that I ve have considered are _x000D_
_x000D_
   Notes_x000D_
     Is there anything reviewers need to know about  Do they need to take something into account while_x000D_
reviewing  Is there something they should pay extra attention to     _x000D_
</t>
  </si>
  <si>
    <t>deepaktwr-BitFrames-8</t>
  </si>
  <si>
    <t>Get random crash when scroll</t>
  </si>
  <si>
    <t xml:space="preserve"> deepaktwr hello  _x000D_
i got one random crash when i scroll fast up and down   or redirect other activity before load frame _x000D_
i put here log  _x000D_
   _x000D_
FATAL EXCEPTION: main_x000D_
Process:   PID: 19700_x000D_
java lang IllegalArgumentException: Bitmap is not valid_x000D_
at android support v7 graphics Palette Builder  init (Palette java:587)_x000D_
at android support v7 graphics Palette from(Palette java:100)_x000D_
at proj me bitframe FrameHandler handleMessage(FrameHandler java:37)_x000D_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_x000D_
don t get why get this crash  sometime  </t>
  </si>
  <si>
    <t>Sloy-SeviBus-36</t>
  </si>
  <si>
    <t>Update database not working in some cases due to ClassCastException</t>
  </si>
  <si>
    <t xml:space="preserve">http:  crashes to s ea704e2d0bb_x000D_
_x000D_
It s a non fatal issue  but it s preventing some users from updating their database _x000D_
Seems like I forgot to test what happens when you already had a database version in preferences  I changed the preference from int to long  and it breaks in this one case _x000D_
_x000D_
As we say in Spanish   qu  huevos  macho  </t>
  </si>
  <si>
    <t>DoubleSymmetry-react-native-track-player-22</t>
  </si>
  <si>
    <t>Attempt to invoke virtual method 'boolean guichaguri.trackplayer.logic.track.Track.needsNetwork()' on a null object reference</t>
  </si>
  <si>
    <t xml:space="preserve">Another little crash that s popping up:_x000D_
_x000D_
   _x000D_
06 12 13:30:56 934  6738  6994 E AndroidRuntime: Process: com decoderhq indieshuffle  PID: 6738_x000D_
06 12 13:30:56 934  6738  6994 E AndroidRuntime: java lang NullPointerException: Attempt to invoke virtual method  boolean guichaguri trackplayer logic track Track needsNetwork()  on a null object reference_x000D_
06 12 13:30:56 934  6738  6994 E AndroidRuntime:        at guichaguri trackplayer logic MediaManager onPlayerStop(MediaManager java:317)_x000D_
06 12 13:30:56 934  6738  6994 E AndroidRuntime:        at guichaguri trackplayer logic MediaManager onStop(MediaManager java:169)_x000D_
06 12 13:30:56 934  6738  6994 E AndroidRuntime:        at guichaguri trackplayer player Player updateState(Player java:213)_x000D_
06 12 13:30:56 934  6738  6994 E AndroidRuntime:        at guichaguri trackplayer player players ExoPlayer onPlayerStateChanged(ExoPlayer java:199)_x000D_
06 12 13:30:56 934  6738  6994 E AndroidRuntime:        at com google android exoplayer2 ExoPlayerImpl handleEvent(ExoPlayerImpl java:326)_x000D_
06 12 13:30:56 934  6738  6994 E AndroidRuntime:        at com google android exoplayer2 ExoPlayerImpl 1 handleMessage(ExoPlayerImpl java:93)_x000D_
06 12 13:30:56 934  6738  6994 E AndroidRuntime:        at android os Handler dispatchMessage(Handler java:102)_x000D_
06 12 13:30:56 934  6738  6994 E AndroidRuntime:        at android os Looper loop(Looper java:148)_x000D_
06 12 13:30:56 934  6738  6994 E AndroidRuntime:        at com facebook react bridge queue MessageQueueThreadImpl 3 run(MessageQueueThreadImpl java:208)_x000D_
06 12 13:30:56 934  6738  6994 E AndroidRuntime:        at java lang Thread run(Thread java:818)_x000D_
06 12 13:30:56 938  1618  2967 W ActivityManager:   Force finishing activity com decoderhq indieshuffle  MainActivity_x000D_
_x000D_
   </t>
  </si>
  <si>
    <t>digital-voting-pass-polling-station-app-123</t>
  </si>
  <si>
    <t>Returning to mainactivity from OCR scanner by pressing back button is very slow</t>
  </si>
  <si>
    <t xml:space="preserve">Sometimes it causes the app to crash </t>
  </si>
  <si>
    <t>novoda-view-pager-adapter-16</t>
  </si>
  <si>
    <t>Don't use restoredId if there's no id to restore</t>
  </si>
  <si>
    <t xml:space="preserve">     Problem Goal_x000D_
When integrating v0 9 6 into a client project  we found a crash on launching a specific activity _x000D_
_x000D_
This was happening because a view s id was being changed by the ViewPagerAdapter class  meaning when we called  findViewById  to try and obtain it  we got  null  _x000D_
_x000D_
The id was changed because there was no previous instances of a view at that position in the  ViewPagerAdapterState  instance  so it was being re assigned _x000D_
_x000D_
     Solution_x000D_
The solution was just to make sure that only views with no id have an id assigned to them _x000D_
_x000D_
      Test(s) added _x000D_
No tests added as there are no tests in this entire project _x000D_
_x000D_
      Screenshots_x000D_
No screenshots I m afraid  but the demo app still works the same  and our client project doesn t crash now </t>
  </si>
  <si>
    <t>mycelium-com-wallet-android-362</t>
  </si>
  <si>
    <t>Bump Fee (Child pays for Parent) on view-only address crash the app</t>
  </si>
  <si>
    <t xml:space="preserve">I ve a pending transaction and tried just to see what would happen on my  view only  wallet to bump the fee _x000D_
_x000D_
As expected  not having the private key on the app  the replace by fee didn t work  However  instead of showing some error dialog or not even allowing me to do it  it complete crashed the application _x000D_
_x000D_
Probably  this was a use case not previewed _x000D_
_x000D_
Great app guys  Thanks </t>
  </si>
  <si>
    <t>chandevel-Clover-319</t>
  </si>
  <si>
    <t>ThreadStatusCell crash</t>
  </si>
  <si>
    <t xml:space="preserve">ThreadStatusCell crashes with a NPE for a ChanThread method _x000D_
_x000D_
The issue needs to be investigated  as I have not yet seen it myself  except for an obfuscated stacktrace _x000D_
_x000D_
Android version:  _x000D_
Phone model:  _x000D_
Clover version: v2 3 0_x000D_
</t>
  </si>
  <si>
    <t>seiginonakama-BlockCanaryEx-16</t>
  </si>
  <si>
    <t>CRASH on Android 8.0.0</t>
  </si>
  <si>
    <t xml:space="preserve">    java_x000D_
                                                                          beginning of crash_x000D_
06 13 20:21:54 090 6411 6411 com qmzhhchsh yp A libc: Fatal signal 11 (SIGSEGV)  code 1  fault addr 0x10 in tid 6411 (om qmzhhchsh yp)_x000D_
06 13 20:21:54 108 6498 6498   I crash dump32: obtaining output fd from tombstoned_x000D_
06 13 20:21:54 108 1425 1425   I  system bin tombstoned: received crash request for pid 6411_x000D_
06 13 20:21:54 108 6498 6498   I crash dump32: performing dump of process 6411 (target tid   6411)_x000D_
06 13 20:21:54 108 6498 6498   A DEBUG:                                                                _x000D_
06 13 20:21:54 109 6498 6498   A DEBUG: Build fingerprint:  google sdk gphone x86 generic x86:8 0 0 MASTER 4074420:user release keys _x000D_
06 13 20:21:54 109 6498 6498   A DEBUG: Revision:  0 _x000D_
06 13 20:21:54 109 6498 6498   A DEBUG: ABI:  x86 _x000D_
06 13 20:21:54 109 6498 6498   A DEBUG: pid: 6411  tid: 6411  name: om qmzhhchsh yp      com qmzhhchsh yp    _x000D_
06 13 20:21:54 109 6498 6498   A DEBUG: signal 11 (SIGSEGV)  code 1 (SEGV MAPERR)  fault addr 0x10_x000D_
06 13 20:21:54 109 6498 6498   A DEBUG: Cause: null pointer dereference_x000D_
06 13 20:21:54 109 6498 6498   A DEBUG:     eax 00000000  ebx 00000000  ecx b0eda000  edx 7046e840_x000D_
06 13 20:21:54 109 6498 6498   A DEBUG:     esi bfb80ff0  edi 00000000_x000D_
06 13 20:21:54 109 6498 6498   A DEBUG:     xcs 00000073  xds 0000007b  xes 0000007b  xfs 0000003b  xss 0000007b_x000D_
06 13 20:21:54 109 6498 6498   A DEBUG:     eip b0a10642  ebp bfb81058  esp bfb80ff0  flags 00010246_x000D_
06 13 20:21:54 325 6498 6498   A DEBUG: backtrace:_x000D_
06 13 20:21:54 325 6498 6498   A DEBUG:      00 pc 0031b642   system lib libart so ( ZN3art11interpreter6DoCallILb0ELb0EEEbPNS 9ArtMethodEPNS 6ThreadERNS 11ShadowFrameEPKNS 11InstructionEtPNS 6JValueE 338)_x000D_
06 13 20:21:54 325 6498 6498   A DEBUG:      01 pc 0061f3f2   system lib libart so (MterpInvokeStatic 498)_x000D_
06 13 20:21:54 325 6498 6498   A DEBUG:      02 pc 006292a1   system lib libart so (artMterpAsmInstructionStart 14497)_x000D_
06 13 20:21:54 325 6498 6498   A DEBUG:      03 pc 002f5999   system lib libart so ( ZN3art11interpreterL7ExecuteEPNS 6ThreadEPKNS 7DexFile8CodeItemERNS 11ShadowFrameENS 6JValueEb 537)_x000D_
06 13 20:21:54 325 6498 6498   A DEBUG:      04 pc 002fd91a   system lib libart so ( ZN3art11interpreter33ArtInterpreterToInterpreterBridgeEPNS 6ThreadEPKNS 7DexFile8CodeItemEPNS 11ShadowFrameEPNS 6JValueE 234)_x000D_
06 13 20:21:54 325 6498 6498   A DEBUG:      05 pc 0031b7f5   system lib libart so ( ZN3art11interpreter6DoCallILb0ELb0EEEbPNS 9ArtMethodEPNS 6ThreadERNS 11ShadowFrameEPKNS 11InstructionEtPNS 6JValueE 773)_x000D_
06 13 20:21:54 325 6498 6498   A DEBUG:      06 pc 0061da4c   system lib libart so (MterpInvokeVirtual 892)_x000D_
06 13 20:21:54 325 6498 6498   A DEBUG:      07 pc 00629121   system lib libart so (artMterpAsmInstructionStart 14113)_x000D_
06 13 20:21:54 325 6498 6498   A DEBUG:      08 pc 002f5999   system lib libart so ( ZN3art11interpreterL7ExecuteEPNS 6ThreadEPKNS 7DexFile8CodeItemERNS 11ShadowFrameENS 6JValueEb 537)_x000D_
06 13 20:21:54 325 6498 6498   A DEBUG:      09 pc 002fd91a   system lib libart so ( ZN3art11interpreter33ArtInterpreterToInterpreterBridgeEPNS 6ThreadEPKNS 7DexFile8CodeItemEPNS 11ShadowFrameEPNS 6JValueE 234)_x000D_
06 13 20:21:54 325 6498 6498   A DEBUG:      10 pc 0031b7f5   system lib libart so ( ZN3art11interpreter6DoCallILb0ELb0EEEbPNS 9ArtMethodEPNS 6ThreadERNS 11ShadowFrameEPKNS 11InstructionEtPNS 6JValueE 773)_x000D_
06 13 20:21:54 325 6498 6498   A DEBUG:      11 pc 0061da4c   system lib libart so (MterpInvokeVirtual 892)_x000D_
06 13 20:21:54 325 6498 6498   A DEBUG:      12 pc 00629121   system lib libart so (artMterpAsmInstructionStart 14113)_x000D_
06 13 20:21:54 325 6498 6498   A DEBUG:      13 pc 002f5999   system lib libart so ( ZN3art11interpreterL7ExecuteEPNS 6ThreadEPKNS 7DexFile8CodeItemERNS 11ShadowFrameENS 6JValueEb 537)_x000D_
06 13 20:21:54 325 6498 6498   A DEBUG:      14 pc 002fd91a   system lib libart so ( ZN3art11interpreter33ArtInterpreterToInterpreterBridgeEPNS 6ThreadEPKNS 7DexFile8CodeItemEPNS 11ShadowFrameEPNS 6JValueE 234)_x000D_
06 13 20:21:54 325 6498 6498   A DEBUG:      15 pc 0031b7f5   system lib libart so ( ZN3art11interpreter6DoCallILb0ELb0EEEbPNS 9ArtMethodEPNS 6ThreadERNS 11ShadowFrameEPKNS 11InstructionEtPNS 6JValueE 773)_x000D_
06 13 20:21:54 325 6498 6498   A DEBUG:      16 pc 0061f3f2   system lib libart so (MterpInvokeStatic 498)_x000D_
06 13 20:21:54 325 6498 6498   A DEBUG:      17 pc 006292a1   system lib libart so (artMterpAsmInstructionStart 14497)_x000D_
06 13 20:21:54 325 6498 6498   A DEBUG:      18 pc 002f5999   system lib libart so ( ZN3art11interpreterL7ExecuteEPNS 6ThreadEPKNS 7DexFile8CodeItemERNS 11ShadowFrameENS 6JValueEb 537)_x000D_
06 13 20:21:54 325 6498 6498   A DEBUG:      19 pc 002fd7fb   system lib libart so ( ZN3art11interpreter30EnterInterpreterFromEntryPointEPNS 6ThreadEPKNS 7DexFile8CodeItemEPNS 11ShadowFrameE 139)_x000D_
06 13 20:21:54 325 6498 6498   A DEBUG:      20 pc 0060de6f   system lib libart so (artQuickToInterpreterBridge 1375)_x000D_
06 13 20:21:54 325 6498 6498   A DEBUG:      21 pc 0063e5ad   system lib libart so (art quick to interpreter bridge 77)_x000D_
06 13 20:21:54 325 6498 6498   A DEBUG:      22 pc 00638722   system lib libart so (art quick invoke static stub 418)_x000D_
06 13 20:21:54 325 6498 6498   A DEBUG:      23 pc 00112992   system lib libart so ( ZN3art9ArtMethod6InvokeEPNS 6ThreadEPjjPNS 6JValueEPKc 306)_x000D_
06 13 20:21:54 325 6498 6498   A DEBUG:      24 pc 00532a35   system lib libart so ( ZN3artL18InvokeWithArgArrayERKNS 33ScopedObjectAccessAlreadyRunnableEPNS 9ArtMethodEPNS 8ArgArrayEPNS 6JValueEPKc 101)_x000D_
06 13 20:21:54 325 6498 6498   A DEBUG:      25 pc 00534ac6   system lib libart so ( ZN3art12InvokeMethodERKNS 33ScopedObjectAccessAlreadyRunnableEP8 jobjectS4 S4 j 1478)_x000D_
06 13 20:21:54 325 6498 6498   A DEBUG:      26 pc 004a1e70   system lib libart so ( ZN3artL13Method invokeEP7 JNIEnvP8 jobjectS3 S3  80)_x000D_
06 13 20:21:54 325 6498 6498   A DEBUG:      27 pc 00268c18   system framework x86 boot oat (offset 0x1d8000) (java lang Class getDeclaredMethodInternal  DEDUPED  168)_x000D_
06 13 20:21:54 325 6498 6498   A DEBUG:      28 pc 00638552   system lib libart so (art quick invoke stub 338)_x000D_
06 13 20:21:54 325 6498 6498   A DEBUG:      29 pc 00112948   system lib libart so ( ZN3art9ArtMethod6InvokeEPNS 6ThreadEPjjPNS 6JValueEPKc 232)_x000D_
06 13 20:21:54 325 6498 6498   A DEBUG:      30 pc 00322c3f   system lib libart so ( ZN3art11interpreter34ArtInterpreterToCompiledCodeBridgeEPNS 6ThreadEPNS 9ArtMethodEPKNS 7DexFile8CodeItemEPNS 11ShadowFrameEPNS 6JValueE 367)_x000D_
06 13 20:21:54 325 6498 6498   A DEBUG:      31 pc 0031b821   system lib libart so ( ZN3art11interpreter6DoCallILb0ELb0EEEbPNS 9ArtMethodEPNS 6ThreadERNS 11ShadowFrameEPKNS 11InstructionEtPNS 6JValueE 817)_x000D_
06 13 20:21:54 325 6498 6498   A DEBUG:      32 pc 0061da4c   system lib libart so (MterpInvokeVirtual 892)_x000D_
06 13 20:21:54 325 6498 6498   A DEBUG:      33 pc 00629121   system lib libart so (artMterpAsmInstructionStart 14113)_x000D_
06 13 20:21:54 325 6498 6498   A DEBUG:      34 pc 002f5999   system lib libart so ( ZN3art11interpreterL7ExecuteEPNS 6ThreadEPKNS 7DexFile8CodeItemERNS 11ShadowFrameENS 6JValueEb 537)_x000D_
06 13 20:21:54 325 6498 6498   A DEBUG:      35 pc 002fd7fb   system lib libart so ( ZN3art11interpreter30EnterInterpreterFromEntryPointEPNS 6ThreadEPKNS 7DexFile8CodeItemEPNS 11ShadowFrameE 139)_x000D_
06 13 20:21:54 325 6498 6498   A DEBUG:      36 pc 0060de6f   system lib libart so (artQuickToInterpreterBridge 1375)_x000D_
06 13 20:21:54 325 6498 6498   A DEBUG:      37 pc 0063e5ad   system lib libart so (art quick to interpreter bridge 77)_x000D_
06 13 20:21:54 325 6498 6498   A DEBUG:      38 pc 016c18d3   system framework x86 boot framework oat (offset 0x60b000) (com android internal os ZygoteInit main 2707)_x000D_
06 13 20:21:54 325 6498 6498   A DEBUG:      39 pc 00638722   system lib libart so (art quick invoke static stub 418)_x000D_
06 13 20:21:54 325 6498 6498   A DEBUG:      40 pc 00112992   system lib libart so ( ZN3art9ArtMethod6InvokeEPNS 6ThreadEPjjPNS 6JValueEPKc 306)_x000D_
06 13 20:21:54 325 6498 6498   A DEBUG:      41 pc 00532a35   system lib libart so ( ZN3artL18InvokeWithArgArrayERKNS 33ScopedObjectAccessAlreadyRunnableEPNS 9ArtMethodEPNS 8ArgArrayEPNS 6JValueEPKc 101)_x000D_
06 13 20:21:54 325 6498 6498   A DEBUG:      42 pc 005326f9   system lib libart so ( ZN3art17InvokeWithVarArgsERKNS 33ScopedObjectAccessAlreadyRunnableEP8 jobjectP10 jmethodIDPc 441)_x000D_
06 13 20:21:54 325 6498 6498   A DEBUG:      43 pc 004112d0   system lib libart so ( ZN3art3JNI21CallStaticVoidMethodVEP7 JNIEnvP7 jclassP10 jmethodIDPc 992)_x000D_
06 13 20:21:54 325 6498 6498   A DEBUG:      44 pc 00151e55   system lib libart so ( ZN3art8CheckJNI11CallMethodVEPKcP7 JNIEnvP8 jobjectP7 jclassP10 jmethodIDPcNS 9Primitive4TypeENS 10InvokeTypeE 3237)_x000D_
06 13 20:21:54 325 6498 6498   A DEBUG:      45 pc 0013e90b   system lib libart so ( ZN3art8CheckJNI21CallStaticVoidMethodVEP7 JNIEnvP7 jclassP10 jmethodIDPc 75)_x000D_
06 13 20:21:54 325 6498 6498   A DEBUG:      46 pc 000813be   system lib libandroid runtime so ( ZN7 JNIEnv20CallStaticVoidMethodEP7 jclassP10 jmethodIDz 62)_x000D_
06 13 20:21:54 325 6498 6498   A DEBUG:      47 pc 00083906   system lib libandroid runtime so ( ZN7android14AndroidRuntime5startEPKcRKNS 6VectorINS 7String8EEEb 838)_x000D_
06 13 20:21:54 325 6498 6498   A DEBUG:      48 pc 00001db3   system bin app process32 (main 1603)_x000D_
06 13 20:21:54 325 6498 6498   A DEBUG:      49 pc 00015fa4   system lib libc so (  libc init 100)_x000D_
06 13 20:21:54 325 6498 6498   A DEBUG:      50 pc 000016be   system bin app process32 ( start 97)_x000D_
06 13 20:21:54 325 6498 6498   A DEBUG:      51 pc 00000004   unknown _x000D_
06 13 20:21:54 327 6467 6473   I zygote: Do partial code cache collection  code 30KB  data 19KB_x000D_
06 13 20:21:54 327 6467 6473   I zygote: After code cache collection  code 29KB  data 19KB_x000D_
06 13 20:21:54 327 6467 6473   I zygote: Increasing code cache capacity to 128KB_x000D_
06 13 20:21:54 560 4026 4098   I Icing: Indexing 30A6C0824EF6C0D9F1A82E5D43D87FDA0ABA7133 from com google android gms_x000D_
06 13 20:21:54 567 1512 1530   I BootReceiver: Copying  data tombstones tombstone 03 to DropBox (SYSTEM TOMBSTONE)_x000D_
06 13 20:21:54 569 1512 6527   W ActivityManager:   Force finishing activity com qmzhhchsh yp com ldroid kwei ui activity StartActivity_x000D_
06 13 20:21:54 571 1512 1527   I ActivityManager: Showing crash dialog for package com qmzhhchsh yp u0_x000D_
   </t>
  </si>
  <si>
    <t>kiwiandroiddev-starcraft-2-build-player-1</t>
  </si>
  <si>
    <t>SQLiteDatabaseLockedException: database is locked while compiling: PRAGMA journal_mode</t>
  </si>
  <si>
    <t>This is a fatal crash affecting some users  One entry point is:_x000D_
_x000D_
 BuildOrderProvider query (BuildOrderProvider java:166) _x000D_
_x000D_
This is probably caused by a missing database close() call somewhere  A potential solution is to refactor to provide a single static Db instance that is open for the lifetime of the app (since the connection is just a file descriptor in this case)</t>
  </si>
  <si>
    <t>lingochamp-FileDownloader-610</t>
  </si>
  <si>
    <t>IllegalStateException database / CursorWindow</t>
  </si>
  <si>
    <t xml:space="preserve">I ve encounterd this issue on a Nexus 5 runing 6 0 1 : _x000D_
_x000D_
 Caused by java lang IllegalStateException: Couldn t read row 0  col  1 from CursorWindow   Make sure the Cursor is initialized correctly before accessing data from it  _x000D_
_x000D_
FileDownloader v1 5 5_x000D_
_x000D_
See full crash  here (http:  crashes to s e972fe81d0f)  _x000D_
_x000D_
It will really help if you can look into it  </t>
  </si>
  <si>
    <t>nextcloud-android-1090</t>
  </si>
  <si>
    <t>IncompatibleClassChangeError on android 4.0.4</t>
  </si>
  <si>
    <t xml:space="preserve">    Actual behaviour_x000D_
Nextcloud app crashes after some time without any user action  I ve googled and found this solution: _x000D_
_x000D_
https:  stackoverflow com questions 10797551 incompatibleclasschangeerror interface not implemented_x000D_
_x000D_
They say that you need to add android support v4 jar to libs  I did not test it yet because of it need application build from sources as I understand_x000D_
_x000D_
Previous version (1 4 1 from F Droid) worked for me _x000D_
_x000D_
    Steps to reproduce_x000D_
1  Run nextcloud app_x000D_
2  Just wait for crash_x000D_
_x000D_
    Environment data_x000D_
Android version: 4 0 4_x000D_
_x000D_
Device model: _x000D_
Star V1277_x000D_
_x000D_
Nextcloud app version:_x000D_
Both 1 4 2 from F Droid and https:  download nextcloud com android nightly nextcloud dev 20170614 apk crashes_x000D_
_x000D_
Nextcloud server version:_x000D_
12 0 0_x000D_
_x000D_
    Logs_x000D_
   _x000D_
E AndroidRuntime( 3223): FATAL EXCEPTION: IntentService JobRescheduleService _x000D_
E AndroidRuntime( 3223): java lang IncompatibleClassChangeError: interface not implemented_x000D_
E AndroidRuntime( 3223):        at com evernote android job JobStorage closeSilently(JobStorage java:453)_x000D_
E AndroidRuntime( 3223):        at com evernote android job JobStorage getAllJobRequests(JobStorage java:195)_x000D_
E AndroidRuntime( 3223):        at com evernote android job JobRescheduleService onHandleIntent(JobRescheduleService java:44)_x000D_
E AndroidRuntime( 3223):        at android app IntentService ServiceHandler handleMessage(IntentService java:65)_x000D_
E AndroidRuntime( 3223):        at android os Handler dispatchMessage(Handler java:99)_x000D_
E AndroidRuntime( 3223):        at android os Looper loop(Looper java:154)_x000D_
E AndroidRuntime( 3223):        at android os HandlerThread run(HandlerThread java:65)_x000D_
D dalvikvm(  243): threadid 85: interp stack at 0x4d263000_x000D_
W ActivityManager(  243):   Force finishing activity com nextcloud client com owncloud android ui activity FileDisplayActivity_x000D_
   _x000D_
_x000D_
See also:_x000D_
https:  gitlab com fdroid fdroiddata issues 754</t>
  </si>
  <si>
    <t>Openu20950-OpenApp-132</t>
  </si>
  <si>
    <t>Crash when opening "Notifications" settings</t>
  </si>
  <si>
    <t xml:space="preserve"> noambs When I click on  Notifications  in settings activity  I am getting an exception and the application crash</t>
  </si>
  <si>
    <t>vector-im-riot-android-1335</t>
  </si>
  <si>
    <t>Read marker: crash when turning device just after hitting "Jump to first unread msg" banner</t>
  </si>
  <si>
    <t xml:space="preserve">To reproduce:_x000D_
_x000D_
1  Hit  Jump to first unread msg  banner_x000D_
2  Quickly turn the device in landscape or portrait mode_x000D_
_x000D_
Crash  Try again if didn t crashed the first time _x000D_
I filled a crash report about it </t>
  </si>
  <si>
    <t>Schmitt-Florian-SchoolPlanner-57</t>
  </si>
  <si>
    <t>Issues with date selector</t>
  </si>
  <si>
    <t>there are a few errors with your new date selector:_x000D_
_x000D_
1    trying to save a exam homework without having selected a date crashes the app  _x000D_
2    if you open a already existing exam homework which is not on the current date  the date selector nevertheless opens the dialog with the current date  _x000D_
3    the selector dialog isn t supporting the different date formats  _x000D_
_x000D_
plus I have to highlight some coding style related flaws:_x000D_
_x000D_
1   those strings in the strings xml which are beginning with  string   should be the excact values to their keys  so something like   string name  string due date  Select Date  string   is not following the guidelines_x000D_
2  to keep the code as readable as possible we should keep methods at a max of ca  25 lines better 20_x000D_
3  related to 2  the initialisation of the date selector should happen in a seperate private method which is called by the  initGUI()   method_x000D_
4  if you change things in a method  keep an eye on the jdoc of the method to make sure it still represents the method  which is not the case at the  getDateFromMandatoryButton(View view  int id)   method in the GuiHelper class</t>
  </si>
  <si>
    <t>romankh-gat-app-6</t>
  </si>
  <si>
    <t>Crash on invalid msisdn</t>
  </si>
  <si>
    <t>when sending a sms with an invalid msisdn (e g   xxxxx ) via network protocol  the application hangs   crashs</t>
  </si>
  <si>
    <t>jonasoreland-runnerup-568</t>
  </si>
  <si>
    <t>Zero iteration repeat step causes race condition that crashes phone</t>
  </si>
  <si>
    <t>In trying to create a basic interval workout with timed warmup and cooldown  I modified the MalinEwerlov workout in the Advanced tab so that the later interval steps used zero iterations of zero duration  RunnerUp successfully processed the timed warmup and the five iterations of the first interval  _x000D_
_x000D_
Once it reached the zeroed out steps  however  my phone completely froze up  and I had to hard boot it  Upon restart  I reopened RunnerUp and opened the workout entry in the History tab  The workout was not accurate in regards to distance and duration (that much I expected)  However  opening up the laps page of the workout showed a huge number of zero value laps  I was unable to scroll through all these entries because RunnerUp crashed out again  and my phone reported that RunnerUp was consuming far too many system resources  It is apparent that RunnerUp did not catch the zero iteration setting correctly _x000D_
_x000D_
Version 1 57_x000D_
Android 6 0 1</t>
  </si>
  <si>
    <t>ericcornelissen-NervousFish-263</t>
  </si>
  <si>
    <t>Make it impossible to login without entering a password</t>
  </si>
  <si>
    <t xml:space="preserve">     Check if the title is descriptive     _x000D_
  Parent issues:  _x000D_
  Relevant issues:  202_x000D_
  Estimated effort:  _x000D_
_x000D_
     _x000D_
_x000D_
   User story_x000D_
As a develop I want to make it impossible to login without entering a password _x000D_
_x000D_
   What_x000D_
This issue demands that the code that allows one to login without a password is removed _x000D_
_x000D_
   Why_x000D_
This issue is needed for the project because we don t want people to be able to login without entering a password we don t want the app to crash when trying to login without entering a password _x000D_
_x000D_
   How_x000D_
This feature can be added by removing the relevant code from the  LoginActivity _x000D_
_x000D_
   Definition of ready_x000D_
Ready_x000D_
_x000D_
   Definition of done_x000D_
This task can be considered done when_x000D_
      It is no longer possible to login without entering a password _x000D_
      There is an androidTest that verifies that trying to login without entering a password doesn t work _x000D_
_x000D_
   Notes_x000D_
None</t>
  </si>
  <si>
    <t>Mishiranu-Dashchan-146</t>
  </si>
  <si>
    <t>picture overview bug</t>
  </si>
  <si>
    <t xml:space="preserve">_x000D_
 If a thread has a lot of images and you try to do the picture overview  it will just crash (https:  youtu be xZt855FqNFc)_x000D_
_x000D_
https:  endchan xyz pol res 34243 html Try this thread for example  Also can you make it so we can change the direction the picture overview works </t>
  </si>
  <si>
    <t>OpenLauncherTeam-openlauncher-164</t>
  </si>
  <si>
    <t>Total crash</t>
  </si>
  <si>
    <t xml:space="preserve">I started up this morning and folders with more than one app in them opened with only  one app and looked a bit strange  I moved the one app outside to see if that would change anything  I got this crash and it kept crashing when I clicked on Close App button  After 3 or 4 a times  I had to choose a launcher and I selected my system default  Everything was working well since 0 5 1 was released and all of a sudden this morning  it didn t work_x000D_
_x000D_
Build0 5 1 _x000D_
Build date: 1980 01 01 00:00:00 _x000D_
Current date: 2017 06 17 05:07:33 _x000D_
Device: UMI SUPER _x000D_
 _x000D_
Stack trace:  _x000D_
java lang NumberFormatException: For input string:   _x000D_
	at java lang Integer parseInt(Integer java:533)_x000D_
	at java lang Integer parseInt(Integer java:556)_x000D_
	at com benny openlauncher util DatabaseHelper getSelectionItem(DatabaseHelper java:272)_x000D_
	at com benny openlauncher util DatabaseHelper getDesktop(DatabaseHelper java:123)_x000D_
	at com benny openlauncher widget Desktop DesktopAdapter getItemFromCoordinate(Desktop java:442)_x000D_
	at com benny openlauncher widget Desktop DesktopAdapter access 100(Desktop java:342)_x000D_
	at com benny openlauncher widget Desktop DesktopAdapter 2 onItemRearrange(Desktop java:464)_x000D_
	at com benny openlauncher widget CellContainer onItemRearrange(CellContainer java:139)_x000D_
	at com benny openlauncher widget CellContainer peekItemAndSwap(CellContainer java:130)_x000D_
	at com benny openlauncher widget Desktop onDrag(Desktop java:204)_x000D_
	at android view View dispatchDragEvent(View java:21128)_x000D_
	at android view ViewGroup dispatchDragEvent(ViewGroup java:1526)_x000D_
	at android view ViewGroup dispatchDragEvent(ViewGroup java:1521)_x000D_
	at android view ViewGroup dispatchDragEvent(ViewGroup java:1521)_x000D_
	at android view ViewGroup dispatchDragEvent(ViewGroup java:1521)_x000D_
	at android view ViewGroup dispatchDragEvent(ViewGroup java:1521)_x000D_
	at android view ViewGroup dispatchDragEvent(ViewGroup java:1521)_x000D_
	at android view ViewGroup dispatchDragEvent(ViewGroup java:1521)_x000D_
	at android view ViewRootImpl handleDragEvent(ViewRootImpl java:6051)_x000D_
	at android view ViewRootImpl  wrap7(ViewRootImpl java)_x000D_
	at android view ViewRootImpl ViewRootHandler handleMessage(ViewRootImpl java:4096)_x000D_
	at android os Handler dispatchMessage(Handler java:110)_x000D_
	at android os Looper loop(Looper java:203)_x000D_
	at android app ActivityThread main(ActivityThread java:6247)_x000D_
	at java lang reflect Method invoke(Native Method)_x000D_
	at com android internal os ZygoteInit MethodAndArgsCaller run(ZygoteInit java:1063)_x000D_
	at com android internal os ZygoteInit main(ZygoteInit java:924)_x000D_
</t>
  </si>
  <si>
    <t>fossasia-pslab-android-193</t>
  </si>
  <si>
    <t>Handling faulty hardware attached</t>
  </si>
  <si>
    <t xml:space="preserve">  Actual Behaviour  _x000D_
_x000D_
If for some reason the processor in the PSLab hardware does not respond  the app freezes for over a minute or two instead of detecting a fault in the hardware _x000D_
_x000D_
A few minutes later it says  initialization complete  without actually realising the error_x000D_
_x000D_
  Expected Behaviour  _x000D_
report a hardware error  Do not try to load calibration _x000D_
_x000D_
  Steps to reproduce it  _x000D_
Reprogram the PSLab with some firmware that does not implement the PSLab state machine_x000D_
_x000D_
  LogCat for the issue  _x000D_
   _x000D_
D dalvikvm(22783): VFY: replacing opcode 0x6f at 0x0008_x000D_
D dalvikvm(22783): GC FOR ALLOC freed 119K  3  free 7698K 7879K  paused 41ms_x000D_
I dalvikvm heap(22783): Grow heap (frag case) to 8 547MB for 1048592 byte allocation_x000D_
D dalvikvm(22783): GC CONCURRENT freed 10K  3  free 8711K 8967K  paused 2ms 2ms_x000D_
D dalvikvm(22783): GC FOR ALLOC freed 2K  3  free 8718K 8967K  paused 17ms_x000D_
I dalvikvm heap(22783): Grow heap (frag case) to 9 543MB for 1048592 byte allocation_x000D_
D dalvikvm(22783): GC FOR ALLOC freed  1K  4  free 9741K 10055K  paused 18ms_x000D_
I ActivityManager(  158): Displayed org fossasia pslab  activity MainActivity:  1s534ms_x000D_
E CommunicationHandler(22783): Read Error: 0_x000D_
D dalvikvm(22783): GC FOR ALLOC freed 1071K  12  free 9610K 10887K  paused 19ms_x000D_
D dalvikvm(22783): GC CONCURRENT freed 2K  3  free 10624K 10887K  paused 1ms 2ms_x000D_
E CommunicationHandler(22783): Read Error: 0_x000D_
E CommunicationHandler(22783): Read Error: 0_x000D_
E CommunicationHandler(22783): Read Error: 0_x000D_
D audio hw primary(   90): start output stream: card:0  port:0  rate:44100_x000D_
D OpenGLRenderer(  223): Flushing caches (mode 0)_x000D_
E CommunicationHandler(22783): Read Error: 0_x000D_
I Process (  158): Sending signal  PID: 22783 SIG: 3_x000D_
I dalvikvm(22783): threadid 3: reacting to signal 3_x000D_
I dalvikvm(22783): Wrote stack traces to   data anr traces txt _x000D_
E CommunicationHandler(22783): Read Error: 0_x000D_
I Process (  158): Sending signal  PID: 22783 SIG: 3_x000D_
I dalvikvm(22783): threadid 3: reacting to signal 3_x000D_
I dalvikvm(22783): Wrote stack traces to   data anr traces txt _x000D_
E CommunicationHandler(22783): Read Error: 0_x000D_
I Process (  158): Sending signal  PID: 22783 SIG: 3_x000D_
I dalvikvm(22783): threadid 3: reacting to signal 3_x000D_
I dalvikvm(22783): Wrote stack traces to   data anr traces txt _x000D_
E CommunicationHandler(22783): Read Error: 0_x000D_
E PacketHandler(22783): Error in reading byte_x000D_
I Process (  158): Sending signal  PID: 22783 SIG: 3_x000D_
I dalvikvm(22783): threadid 3: reacting to signal 3_x000D_
I dalvikvm(22783): Wrote stack traces to   data anr traces txt _x000D_
E CommunicationHandler(22783): Read Error: 0_x000D_
E NRF24L01(22783): Radio transceiver not installed not found_x000D_
I Process (  158): Sending signal  PID: 22783 SIG: 3_x000D_
I dalvikvm(22783): threadid 3: reacting to signal 3_x000D_
I dalvikvm(22783): Wrote stack traces to   data anr traces txt _x000D_
E CommunicationHandler(22783): Read Error: 0_x000D_
E PacketHandler(22783): Error in packetHandler Reading_x000D_
I Process (  158): Sending signal  PID: 22783 SIG: 3_x000D_
I dalvikvm(22783): threadid 3: reacting to signal 3_x000D_
I dalvikvm(22783): Wrote stack traces to   data anr traces txt _x000D_
E CommunicationHandler(22783): Read Error: 0_x000D_
E PacketHandler(22783): Error in packetHandler Reading_x000D_
I Process (  158): Sending signal  PID: 22783 SIG: 3_x000D_
I dalvikvm(22783): threadid 3: reacting to signal 3_x000D_
I dalvikvm(22783): Wrote stack traces to   data anr traces txt _x000D_
E CommunicationHandler(22783): Read Error: 0_x000D_
E PacketHandler(22783): Error in packetHandler Reading_x000D_
V ScienceLab(22783): Cap and PCS calibration invalid_x000D_
I Process (  158): Sending signal  PID: 22783 SIG: 3_x000D_
I dalvikvm(22783): threadid 3: reacting to signal 3_x000D_
I dalvikvm(22783): Wrote stack traces to   data anr traces txt _x000D_
D OpenGLRenderer(  223): Flushing caches (mode 1)_x000D_
W ActivityManager(  158): Activity idle timeout for ActivityRecord 41072f90 org fossasia pslab  activity MainActivity _x000D_
E CommunicationHandler(22783): Read Error: 0_x000D_
E PacketHandler(22783): Error in packetHandler Reading_x000D_
E CommunicationHandler(22783): Read Error: 0_x000D_
E PacketHandler(22783): Error in packetHandler Reading_x000D_
E CommunicationHandler(22783): Read Error: 0_x000D_
E PacketHandler(22783): Error in packetHandler Reading_x000D_
E CommunicationHandler(22783): Read Error: 0_x000D_
E PacketHandler(22783): Error in packetHandler Reading_x000D_
E CommunicationHandler(22783): Read Error: 0_x000D_
   _x000D_
The timeouts go on for a while  Interspersed with a message from the OS regarding preparation of a crash report_x000D_
   _x000D_
I PlayCommon(21207):  546  com google android play a g e(220): Preparing logs for uploading_x000D_
I PlayCommon(21207):  546  com google android play a g e(224): No file ready to send_x000D_
E CommunicationHandler(22783): Read Error: 0_x000D_
E PacketHandler(22783): Error in packetHandler Reading_x000D_
E CommunicationHandler(22783): Read Error: 0_x000D_
E PacketHandler(22783): Error in packetHandler Reading_x000D_
E CommunicationHandler(22783): Read Error: 0_x000D_
E PacketHandler(22783): Error in packetHandler Reading_x000D_
E CommunicationHandler(22783): Read Error: 0_x000D_
E PacketHandler(22783): Error in packetHandler Reading_x000D_
_x000D_
and so on for a long while   _x000D_
_x000D_
 C_x000D_
_x000D_
   _x000D_
  Screenshots of the issue  _x000D_
start screen stuck at  initializing     _x000D_
_x000D_
  Would you like to work on the issue   _x000D_
nope  I can help with testing newer versions </t>
  </si>
  <si>
    <t>fossasia-phimpme-android-620</t>
  </si>
  <si>
    <t>App crashes on pressing home icon on bottomBar</t>
  </si>
  <si>
    <t xml:space="preserve">  Actual Behaviour  _x000D_
_x000D_
App crashes on pressing home button on bottomnavigationbar in starting page _x000D_
_x000D_
  Expected Behaviour  _x000D_
_x000D_
No crash should occur_x000D_
_x000D_
  Steps to reproduce it  _x000D_
_x000D_
open app  switch to camera or accounts page then switch to home(gallery) by pressing home button in the middle (not by pressing back button)_x000D_
_x000D_
  LogCat for the issue  _x000D_
_x000D_
   _x000D_
E AndroidRuntime: FATAL EXCEPTION: main_x000D_
                                                                      Process: org fossasia phimpme  PID: 15263_x000D_
                                                                      java lang RuntimeException: Unable to start activity ComponentInfo org fossasia phimpme org fossasia phimpme leafpic activities LFMainActivity : java lang NullPointerException: Attempt to invoke virtual method  boolean android os BaseBundle getBoolean(java lang String)  on a null object reference_x000D_
                                                                          at android app ActivityThread performLaunchActivity(ActivityThread java)_x000D_
                                                                          at android app ActivityThread handleLaunchActivity(ActivityThread java)_x000D_
                                                                          at android app ActivityThread  wrap12(ActivityThread java)_x000D_
                                                                          at android app ActivityThread H handleMessage(ActivityThread java)_x000D_
                                                                          at android os Handler dispatchMessage(Handler java)_x000D_
                                                                          at android os Looper loop(Looper java)_x000D_
                                                                          at android app ActivityThread main(ActivityThread java)_x000D_
                                                                          at java lang reflect Method invoke(Native Method)_x000D_
                                                                          at com android internal os ZygoteInit MethodAndArgsCaller run(ZygoteInit java)_x000D_
                                                                          at com android internal os ZygoteInit main(ZygoteInit java)_x000D_
                                                                       Caused by: java lang NullPointerException: Attempt to invoke virtual method  boolean android os BaseBundle getBoolean(java lang String)  on a null object reference_x000D_
                                                                          at org fossasia phimpme leafpic activities LFMainActivity onCreate(LFMainActivity java:189)_x000D_
                                                                          at android app Activity performCreate(Activity java)_x000D_
                                                                          at android app Instrumentation callActivityOnCreate(Instrumentation java)_x000D_
                                                                          at android app ActivityThread performLaunchActivity(ActivityThread java) _x000D_
                                                                          at android app ActivityThread handleLaunchActivity(ActivityThread java) _x000D_
                                                                          at android app ActivityThread  wrap12(ActivityThread java) _x000D_
                                                                          at android app ActivityThread H handleMessage(ActivityThread java) _x000D_
                                                                          at android os Handler dispatchMessage(Handler java) _x000D_
                                                                          at android os Looper loop(Looper java) _x000D_
                                                                          at android app ActivityThread main(ActivityThread java) _x000D_
                                                                          at java lang reflect Method invoke(Native Method) _x000D_
                                                                          at com android internal os ZygoteInit MethodAndArgsCaller run(ZygoteInit java) _x000D_
                                                                          at com android internal os ZygoteInit main(ZygoteInit java) _x000D_
_x000D_
   _x000D_
_x000D_
  Would you like to work on the issue   _x000D_
_x000D_
I like to  But if anyone wants to work on it  they can _x000D_
</t>
  </si>
  <si>
    <t>fossasia-phimpme-android-615</t>
  </si>
  <si>
    <t>App crash in editor</t>
  </si>
  <si>
    <t xml:space="preserve">  Actual Behaviour  _x000D_
_x000D_
App crashes in editor due to incomplete package name changes _x000D_
Package name is not refactored native code part _x000D_
_x000D_
  Expected Behaviour  _x000D_
_x000D_
Refactoring should be done in native code also _x000D_
_x000D_
  Steps to reproduce it  _x000D_
_x000D_
Open Editor_x000D_
_x000D_
  Would you like to work on the issue   _x000D_
_x000D_
Yes</t>
  </si>
  <si>
    <t>ForstaLabs-relay-73</t>
  </si>
  <si>
    <t>Crashes when opening group chat after OTA update</t>
  </si>
  <si>
    <t xml:space="preserve">     This is a bug report template  By following the instructions below and filling out the sections with your information  you will help the developers to get all the necessary data to fix your issue _x000D_
You can also preview your report before submitting it  You may remove sections that aren t relevant to your particular case _x000D_
_x000D_
Before we begin  please note that this tracker is only for issues  not questions or comments _x000D_
_x000D_
If you are looking for support  please see our support center instead:_x000D_
http:  support whispersystems org _x000D_
or email support whispersystems org_x000D_
_x000D_
Let s begin with a checklist: replace the empty checkboxes     below with checked ones  x  accordingly    _x000D_
_x000D_
I have:_x000D_
   x  searched open and closed issues for duplicates_x000D_
   x  read https:  github com WhisperSystems Signal Android wiki Submitting useful bug reports_x000D_
_x000D_
                                        _x000D_
_x000D_
    Bug description_x000D_
After allowing play google com to conduct an OTA update  message threads kept intact  but app crashed (Forsta stopped unexpectedly) when trying to (re)open group message  Individual messages loaded fine  Also  attempts to create new group message crashed app as well  (contacts issue )_x000D_
_x000D_
After uninstalling app  and reinstalling from https:  play google com apps testing io forsta relay  _x000D_
 app functioned great _x000D_
_x000D_
I notice after re installing that the only contacts available to the app are forsta members  After OTA   I had access to all of my phone s contacts  _x000D_
_x000D_
    Steps to reproduce_x000D_
  OTA update_x000D_
  click on existing group message   or   new group message (loaded contacts fine  but crashed upon attempt to save) _x000D_
  app crashes_x000D_
  _x000D_
_x000D_
    Screenshots_x000D_
     you can drag and drop images below    _x000D_
_x000D_
_x000D_
    Device info_x000D_
     replace the examples with your info    _x000D_
  Device:   Nexus 5X_x000D_
  Android version:   7 1 2_x000D_
  Signal version:   0 0 0_x000D_
_x000D_
    Link to debug log_x000D_
     immediately after the bug has happened capture a debug log via Signal s advanced settings and paste the link below    _x000D_
_x000D_
</t>
  </si>
  <si>
    <t>vector-im-riot-android-1347</t>
  </si>
  <si>
    <t>Sign out from stopped home server crashes after trying for ages</t>
  </si>
  <si>
    <t xml:space="preserve">To reproduce:_x000D_
_x000D_
1  Log in Riot on a local home server_x000D_
2  Stop the home server_x000D_
3  Sign out from Riot_x000D_
_x000D_
Takes ages (10mn) then crashes _x000D_
I think that it crashes after waking up the device after the screen time out _x000D_
_x000D_
On riot ios it s very fast </t>
  </si>
  <si>
    <t>ericcornelissen-NervousFish-294</t>
  </si>
  <si>
    <t>Clear the password in the LoginActivity</t>
  </si>
  <si>
    <t xml:space="preserve">     Check if the pull request title is descriptive     _x000D_
  Relevant Issues:  _x000D_
  Related Pull Requests:  _x000D_
_x000D_
     _x000D_
_x000D_
   What_x000D_
     Specify what this pull request adds to the project    _x000D_
This Pull Request updates the code base so the password entered in the login screen is cleared once the app progresses to the  MainActivity  _x000D_
_x000D_
   Why_x000D_
     Specify why this issue is needed in the project    _x000D_
This Pull Request is needed because it improves security  Now it is sometimes possible to get back to the  LoginActivity   and then the password is still there   _x000D_
_x000D_
   How_x000D_
     Specify how this feature can be viewed or tested    _x000D_
It is pretty hard to test this future  unless you know a way to cause your phone to get to the  LoginActivity  in an unexpected fashion  On my device  if the app crashes I immediately go back to the  LoginActivity  and then the password would still be there _x000D_
_x000D_
   Alternative implementation_x000D_
     Specify any alternative implementations you have considered    _x000D_
  Clear the input if the  LoginActivity  is created  Simply seemed like a worse idea then the current implementation _x000D_
_x000D_
   Notes_x000D_
     Is there anything important reviewers should know  Do they need to take something into account while reviewing     _x000D_
None_x000D_
</t>
  </si>
  <si>
    <t>maks-MGit-171</t>
  </si>
  <si>
    <t>FDroid containing pre-release version</t>
  </si>
  <si>
    <t>Hi folks _x000D_
_x000D_
I just stumbled across this issue: I installed MGit from FDroid and what I got was a crashing (pre release) version 1 5 2  I don t know if that s what is intended or whether the author of MGit has control over this  but I wanted bring this to your attention _x000D_
_x000D_
The 1 5 1 APK (latest stable) is working as expected _x000D_
_x000D_
Cheers_x000D_
Thomas</t>
  </si>
  <si>
    <t>sockeqwe-mosby-256</t>
  </si>
  <si>
    <t>DetachView retainInstance is true when activity is destroyed</t>
  </si>
  <si>
    <t xml:space="preserve">  Mosby Version:   3 0 4_x000D_
_x000D_
  Expected behavior   _x000D_
DetachView with retainInstance false when activity is destroyed_x000D_
_x000D_
  Actual behavior (include a stacktrace if crash)  _x000D_
DetachView with retainInstance true when activity is destroyed (onDestroy triggered on fragment)_x000D_
_x000D_
  Steps to reproduce the behavior or link to a sample repository  _x000D_
  Activate  Don t keep activities  in dev menu _x000D_
  setRetainInstance on fragment to true _x000D_
  Destroy activity by leaving the app _x000D_
  Restore activity by launching the app (new Presenter created with restore from previous state)_x000D_
_x000D_
  Device :   HTC One X   Android 5 1 1_x000D_
  Sample :    MosbyTest zip (https:  github com sockeqwe mosby files 1088226 MosbyTest zip)_x000D_
  Logs :  _x000D_
    Activate  Don t keep activities  and launch App_x000D_
06 20 12:49:47 799 4882 4882 com example mouda3 mosbytest D FRAGMENT: CREATED_x000D_
06 20 12:49:47 807 4882 4882 com example mouda3 mosbytest D PRESENTER: CREATE_x000D_
06 20 12:49:47 822 4882 4882 com example mouda3 mosbytest D VIEWSTATE: NEW_x000D_
    Config change portrait to landscape_x000D_
06 20 12:49:55 857 4882 4882 com example mouda3 mosbytest D TIMER: ALIVE 8_x000D_
06 20 12:49:56 311 4882 4882 com example mouda3 mosbytest D PRESENTER INSTANCE: true_x000D_
06 20 12:49:56 420 4882 4882 com example mouda3 mosbytest D VIEWSTATE RETAINED: true_x000D_
06 20 12:49:56 857 4882 4882 com example mouda3 mosbytest D TIMER: ALIVE 9_x000D_
     Config change landscape to portrait_x000D_
06 20 12:50:01 857 4882 4882 com example mouda3 mosbytest D TIMER: ALIVE 14_x000D_
06 20 12:50:02 698 4882 4882 com example mouda3 mosbytest D PRESENTER INSTANCE: true_x000D_
06 20 12:50:02 786 4882 4882 com example mouda3 mosbytest D VIEWSTATE RETAINED: true_x000D_
06 20 12:50:02 857 4882 4882 com example mouda3 mosbytest D TIMER: ALIVE 15_x000D_
    Leave App (Clicking on home button)_x000D_
06 20 12:50:04 858 4882 4882 com example mouda3 mosbytest D TIMER: ALIVE 17_x000D_
06 20 12:50:05 269 4882 4882 com example mouda3 mosbytest   D PRESENTER INSTANCE: true  _x000D_
06 20 12:50:05 270 4882 4882 com example mouda3 mosbytest   D FRAGMENT: DESTROYED  _x000D_
06 20 12:50:05 858 4882 4882 com example mouda3 mosbytest D TIMER: ALIVE 18</t>
  </si>
  <si>
    <t>fossasia-phimpme-android-638</t>
  </si>
  <si>
    <t>App crash on affixing images</t>
  </si>
  <si>
    <t xml:space="preserve">  Actual Behaviour  _x000D_
_x000D_
There is a java lang OutOfMemoryError while affixing bitmap and the app crashes due to this _x000D_
_x000D_
  Expected Behaviour  _x000D_
_x000D_
App should not crash_x000D_
_x000D_
  Steps to reproduce it  _x000D_
_x000D_
1  Open any album which contains high resolution  large size images _x000D_
2  Long press to select two or more images _x000D_
3  Press the affix button from the menu _x000D_
_x000D_
  Would you like to work on the issue   _x000D_
_x000D_
Yes_x000D_
</t>
  </si>
  <si>
    <t>getodk-collect-1191</t>
  </si>
  <si>
    <t>Crash if user changes devices orientation on Server settings and second time on General settings and then user clicks device back button</t>
  </si>
  <si>
    <t xml:space="preserve">     Software and hardware versions _x000D_
Collect current master v1 8 0 beta 9  _x000D_
Android v4 1  v4 4  v5 1  v6 0  _x000D_
Device used: _x000D_
  Samsung Galaxy Young GT S6310  _x000D_
  Samsung Galaxy J1 SM J100H  _x000D_
  Huawei Y560 L01  _x000D_
  Sony Xperia Z3 D6603_x000D_
_x000D_
     Problem description_x000D_
Crash if user changes devices orientation on Server settings and second time on General settings and then user clicks device back button_x000D_
_x000D_
     Steps to reproduce the problem_x000D_
1  User goes to General Settings_x000D_
2  User goes to Server_x000D_
3  User changes device orientation_x000D_
4  User is moved to General Settings (bug:  1184)_x000D_
5  User changes device orientation again_x000D_
6  User clicks device back button_x000D_
7  App crashes_x000D_
_x000D_
     Expected behavior_x000D_
User leaves Settings_x000D_
_x000D_
     Other information _x000D_
Problem discovered during testing  Settings redesign  1101 (https:  github com opendatakit collect pull 1101)_x000D_
Problem is not visible when user changes device orientation on User interface  Form management or User and device identity</t>
  </si>
  <si>
    <t>nextcloud-android-1100</t>
  </si>
  <si>
    <t>AutoUpload view crashes app</t>
  </si>
  <si>
    <t xml:space="preserve">    Actual behaviour_x000D_
  Switching to instant view upload crashes the app  _x000D_
  No files are ever auto uploaded_x000D_
_x000D_
    Expected behaviour_x000D_
  Switching to instant upload view should show instant upload view  _x000D_
  Files should be auto uploaded as configured_x000D_
 _x000D_
    Steps to reproduce_x000D_
1  Start nextcloud app_x000D_
2  Select Instant Upload view_x000D_
3    _x000D_
_x000D_
_x000D_
    Environment data_x000D_
Android version: 6 0 1_x000D_
_x000D_
Device model: STV100 1 (BlackBerry Priv)_x000D_
_x000D_
Stock or customized system: stock_x000D_
_x000D_
Nextcloud app version: 1 4 3_x000D_
_x000D_
Nextcloud server version: 11 0 3_x000D_
_x000D_
_x000D_
PR:  1201 </t>
  </si>
  <si>
    <t>ericcornelissen-NervousFish-313</t>
  </si>
  <si>
    <t>Prevent database errors from crashing the app</t>
  </si>
  <si>
    <t xml:space="preserve">     Check if the issue title is descriptive     _x000D_
  Parent issues:  _x000D_
  Relevant issues:  _x000D_
  Estimated effort: 5 hous_x000D_
_x000D_
     _x000D_
_x000D_
   User story_x000D_
     The user story for the issue  Remove if not applicable    _x000D_
As a user I don t want my app to crash when something goes wrong in the database _x000D_
_x000D_
   What_x000D_
     Specify what this issue adds to the project    _x000D_
This issue demands that the code base is updated so it can properly handle errors in the database _x000D_
_x000D_
   Why_x000D_
     Specify why this issue is needed in the project    _x000D_
This issue is needed for the project because it improves the user experience _x000D_
_x000D_
   How_x000D_
     Specify how this feature can be added to the project    _x000D_
This feature can be added by  suggestions are welcome _x000D_
_x000D_
   Definition of ready_x000D_
     Specify any issues that are still open that must be completed before people can start on this issue    _x000D_
This features is not ready until the following issues are finished:_x000D_
  Waiting on other issues is not needed_x000D_
_x000D_
   Definition of done_x000D_
     Specify exactly what must be done before this issue can be considered done    _x000D_
This task can be considered done when:_x000D_
      The application no longer crashes when something goes wrong in the database_x000D_
      Popups are added to inform the user about the issue _x000D_
_x000D_
   Notes_x000D_
     Is there anything important to know  Are there relevant links (or other sources) for this issue     _x000D_
None_x000D_
</t>
  </si>
  <si>
    <t>nextcloud-android-1107</t>
  </si>
  <si>
    <t>Crash on start when trying to open new account on device</t>
  </si>
  <si>
    <t xml:space="preserve">    Actual behaviour_x000D_
  app crashes when I try to create new account_x000D_
_x000D_
    Expected behaviour_x000D_
  I woudl like to login   _x000D_
 _x000D_
    Steps to reproduce_x000D_
1  install nextcloud from fdroid_x000D_
2  start app on brand new device_x000D_
3  app crashes_x000D_
4  I can see login form and  application stopped  popup_x000D_
_x000D_
    Environment data_x000D_
Android version: 6 0 1_x000D_
_x000D_
Stock or customized system: stock_x000D_
_x000D_
Nextcloud app version: 1 4 2_x000D_
_x000D_
Nextcloud server version: 11</t>
  </si>
  <si>
    <t>RestComm-restcomm-android-sdk-621</t>
  </si>
  <si>
    <t>Call timer not canceled if call is canceled before call setup is complete</t>
  </si>
  <si>
    <t xml:space="preserve">Here s an analysis of the issue:_x000D_
  Android Olympus receives a call (I think from another Android Olympus)_x000D_
  While candidates are still gathering the call is hung up from the other side (not sure why we get BYE instead of CANCEL we need to check that)_x000D_
  Call is disconnected_x000D_
  After a while we get a timeout to our handler ( onCallTimeout )_x000D_
  After a while Android Olympus makes a call and while the webrtc processing starts to generated SDP the App crashes_x000D_
_x000D_
Even though it s not clear what the root cause is  one issue we have is that the timer is not cancelled when the first call is disconnected  This could cause an exception due to disconnect logic being called again (due to the time out)  Still  the exception seems to happen later  So we need to try to reproduce _x000D_
_x000D_
For sure we need to cancel timeoutHandler in such events to avoid the exception _x000D_
_x000D_
With this opportunity let s also revisit the whole time logic because I have the impression there is room for improvement there (I see to recall some issues with it in the past)_x000D_
_x000D_
Here s Test Fairy  session (https:  telestax testfairy com projects 3369662 restcommolympus builds 5916479 sessions 59 source email crash)_x000D_
_x000D_
And here s the reported stack trace:_x000D_
   _x000D_
java lang RuntimeException: No RCConnection exists to handle message with jobid: 1498095728050_x000D_
	at org restcomm android sdk RCDevice getConnectionByJobId(RCDevice java:915)_x000D_
	at org restcomm android sdk SignalingClient SignalingClient handleMessage(SignalingClient java:351)_x000D_
	at android os Handler dispatchMessage(Handler java:102)_x000D_
	at android os Looper loop(Looper java:154)_x000D_
	at android app ActivityThread main(ActivityThread java:6247)_x000D_
	at java lang reflect Method invoke(Native Method)_x000D_
	at com android internal os ZygoteInit MethodAndArgsCaller run(ZygoteInit java:872)_x000D_
	at com android internal os ZygoteInit main(ZygoteInit java:762)_x000D_
   </t>
  </si>
  <si>
    <t>twilio-video-quickstart-android-126</t>
  </si>
  <si>
    <t>A VideoCapturer must provide at least one supported VideoFormat</t>
  </si>
  <si>
    <t xml:space="preserve">Hi  sometimes I faced this exception and it caused crash  Could you help me to solve this one  Thanks a lot _x000D_
 Caused by java lang IllegalStateException: A VideoCapturer must provide at least one supported VideoFormat_x000D_
       at com twilio video Preconditions checkState(Preconditions java:453)_x000D_
       at com twilio video LocalVideoTrack create(LocalVideoTrack java:70)_x000D_
       at com twilio video LocalVideoTrack create(LocalVideoTrack java:44)_x000D_
       at com neo lab calling presentation ui video calling channel VideoCallingChannelActivity channelConferenceConfigureAudioInitAudioAndVideoTracks(VideoCallingChannelActivity java:670)_x000D_
       at com neo lab calling presentation ui video calling channel VideoCallingChannelActivity onRequestPermissionsResult(VideoCallingChannelActivity java:593)_x000D_
       at android app Activity dispatchRequestPermissionsResult(Activity java:6582)_x000D_
       at android app Activity dispatchActivityResult(Activity java:6460)_x000D_
       at android app ActivityThread deliverResults(ActivityThread java:3695)_x000D_
       at android app ActivityThread handleSendResult(ActivityThread java:3742)_x000D_
       at android app ActivityThread  wrap16(ActivityThread java)_x000D_
       at android app ActivityThread H handleMessage(ActivityThread java:1393)_x000D_
       at android os Handler dispatchMessage(Handler java:102)_x000D_
       at android os Looper loop(Looper java:148)_x000D_
       at android app ActivityThread main(ActivityThread java:5417)_x000D_
       at java lang reflect Method invoke(Method java)_x000D_
       at com android internal os ZygoteInit MethodAndArgsCaller run(ZygoteInit java:726)_x000D_
       at com android internal os ZygoteInit main(ZygoteInit java:616) _x000D_
_x000D_
</t>
  </si>
  <si>
    <t>nextcloud-android-1123</t>
  </si>
  <si>
    <t>Nextcloud Dev 20170623 crashes on start.</t>
  </si>
  <si>
    <t xml:space="preserve">    Actual behaviour_x000D_
 Tell us what happens_x000D_
After updating from Nextcloud Dev 20170622 to 20170623  the app crashes with the following message:_x000D_
 Unfortunately  Nextcloud dev has stopped  _x000D_
_x000D_
_x000D_
    Expected behaviour_x000D_
 Tell us what should happen_x000D_
 _x000D_
    Steps to reproduce_x000D_
1  Update to Nextcloud Dev 20170623_x000D_
2  Start the app _x000D_
3  app crashes _x000D_
_x000D_
_x000D_
    Environment data_x000D_
Android version:_x000D_
6 0_x000D_
Device model: _x000D_
LG G3 852_x000D_
Stock or customized system:_x000D_
Stock_x000D_
Nextcloud app version:_x000D_
Nextcloud Dev 20170623_x000D_
_x000D_
Nextcloud server version:_x000D_
NC 12 0_x000D_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</si>
  <si>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project-travel-mate-Travel-Mate-22</t>
  </si>
  <si>
    <t>NetworkOnMainThreadException crashing app</t>
  </si>
  <si>
    <t>When I run and test the app on my emulator  the app crashes when I try to type in the search bar on the main page (destinations)  Sometimes it also randomly crashes when I click on some of options in the navigation drawer  Not sure if it s because of my emulator or if it s a bug  Anyways  here is the log:_x000D_
_x000D_
_x000D_
06 22 17:22:08 291 18492 18492 tie hackathon travelguide E AndroidRuntime: FATAL EXCEPTION: main_x000D_
                                                                           Process: tie hackathon travelguide  PID: 18492_x000D_
                                                                           android os NetworkOnMainThreadException_x000D_
                                                                               at android os StrictMode AndroidBlockGuardPolicy onNetwork(StrictMode java:1273)_x000D_
                                                                               at libcore io BlockGuardOs recvfrom(BlockGuardOs java:249)_x000D_
                                                                               at libcore io IoBridge recvfrom(IoBridge java:549)_x000D_
                                                                               at java net PlainSocketImpl read(PlainSocketImpl java:481)_x000D_
                                                                               at java net PlainSocketImpl  wrap0(PlainSocketImpl java)_x000D_
                                                                               at java net PlainSocketImpl PlainSocketInputStream read(PlainSocketImpl java:237)_x000D_
                                                                               at okio Okio 2 read(Okio java:138)_x000D_
                                                                               at okio AsyncTimeout 2 read(AsyncTimeout java:238)_x000D_
                                                                               at okio RealBufferedSource indexOf(RealBufferedSource java:325)_x000D_
                                                                               at okio RealBufferedSource indexOf(RealBufferedSource java:314)_x000D_
                                                                               at okio RealBufferedSource readUtf8LineStrict(RealBufferedSource java:210)_x000D_
                                                                               at okhttp3 internal http Http1xStream ChunkedSource readChunkSize(Http1xStream java:434)_x000D_
                                                                               at okhttp3 internal http Http1xStream ChunkedSource read(Http1xStream java:418)_x000D_
                                                                               at okhttp3 internal Util skipAll(Util java:176)_x000D_
                                                                               at okhttp3 internal Util discard(Util java:158)_x000D_
                                                                               at okhttp3 internal http Http1xStream ChunkedSource close(Http1xStream java:455)_x000D_
                                                                               at okio RealBufferedSource close(RealBufferedSource java:434)_x000D_
                                                                               at okio RealBufferedSource close(RealBufferedSource java:434)_x000D_
                                                                               at okio InflaterSource close(InflaterSource java:126)_x000D_
                                                                               at okio GzipSource close(GzipSource java:182)_x000D_
                                                                               at okio RealBufferedSource close(RealBufferedSource java:434)_x000D_
                                                                               at okhttp3 internal Util closeQuietly(Util java:88)_x000D_
                                                                               at okhttp3 ResponseBody bytes(ResponseBody java:130)_x000D_
                                                                               at okhttp3 ResponseBody string(ResponseBody java:154)_x000D_
                                                                               at tie hackathon travelguide CityFragment 1 lambda  tie hackathon travelguide CityFragment 1 lambda 6(CityFragment java:126)_x000D_
                                                                               at tie hackathon travelguide   Lambda 19  m 0(Unknown Source)_x000D_
                                                                               at tie hackathon travelguide   Lambda 19 run(Unknown Source)_x000D_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t>
  </si>
  <si>
    <t>fossasia-phimpme-android-670</t>
  </si>
  <si>
    <t>App crash on EditImageActivity</t>
  </si>
  <si>
    <t xml:space="preserve">  Actual Behaviour  _x000D_
_x000D_
App crashed on selecting the Edit option from the options menu on  SingleMediaActivity _x000D_
_x000D_
  Expected Behaviour  _x000D_
_x000D_
Should not crash and open  EditImageActivity _x000D_
_x000D_
  Steps to reproduce it  _x000D_
_x000D_
open Image     select Edit option from options menu_x000D_
_x000D_
  LogCat for the issue  _x000D_
_x000D_
Provide logs for the crash here_x000D_
_x000D_
  Would you like to work on the issue   _x000D_
_x000D_
Yes_x000D_
</t>
  </si>
  <si>
    <t>tanrabad-survey-29</t>
  </si>
  <si>
    <t>BaseInputConnection.java line 589</t>
  </si>
  <si>
    <t xml:space="preserve">     in android view inputmethod BaseInputConnection ensureDefaultComposingSpans
  Number of crashes: 1
  Impacted devices: 1
There s a lot more information about this crash on crashlytics com:
 https:  fabric io tanrabad android apps org tanrabad survey issues 594fb99fbe077a4dcc994622 utm medium service hooks github utm source issue impact (https:  fabric io tanrabad android apps org tanrabad survey issues 594fb99fbe077a4dcc994622 utm medium service hooks github utm source issue impact)</t>
  </si>
  <si>
    <t>fossasia-pslab-android-231</t>
  </si>
  <si>
    <t>App crash when increment/decrement buttons clicked when inputbox is empty</t>
  </si>
  <si>
    <t xml:space="preserve">  Actual Behaviour  _x000D_
_x000D_
When the input text boxes are empty  attempting to use increment decrement buttons in main control panel will crash the application _x000D_
_x000D_
  Expected Behaviour  _x000D_
_x000D_
App should not crash when user tries to click increment decrement buttons in control main panel_x000D_
_x000D_
  Steps to reproduce it  _x000D_
_x000D_
1  Open app_x000D_
2  Go to  Applications _x000D_
3  Open  Control _x000D_
4  Type a value or slide seek bar to set a value in any text box_x000D_
5  Delete the content and make the text box empty_x000D_
6  Try clicking increment decrement icons and observe_x000D_
_x000D_
  LogCat for the issue  _x000D_
_x000D_
   _x000D_
06 25 14:43:36 002 19448 19448 org fossasia pslab E AndroidRuntime: FATAL EXCEPTION: main_x000D_
                                                                    java lang NumberFormatException: Invalid double:   _x000D_
                                                                        at java lang StringToReal invalidReal(StringToReal java:63)_x000D_
                                                                        at java lang StringToReal parseDouble(StringToReal java:248)_x000D_
                                                                        at java lang Double parseDouble(Double java:295)_x000D_
                                                                        at java lang Double valueOf(Double java:332)_x000D_
                                                                        at org fossasia pslab adapters ControlMainAdapter 10 onClick(ControlMainAdapter java:211)_x000D_
                                                                        at android view View performClick(View java:4439)_x000D_
                                                                        at android widget Button performClick(Button java:139)_x000D_
                                                                        at android view View PerformClick run(View java:18395)_x000D_
                                                                        at android os Handler handleCallback(Handler java:725)_x000D_
                                                                        at android os Handler dispatchMessage(Handler java:92)_x000D_
                                                                        at android os Looper loop(Looper java:176)_x000D_
                                                                        at android app ActivityThread main(ActivityThread java:5317)_x000D_
                                                                        at java lang reflect Method invokeNative(Native Method)_x000D_
                                                                        at java lang reflect Method invoke(Method java:511)_x000D_
                                                                        at com android internal os ZygoteInit MethodAndArgsCaller run(ZygoteInit java:1102)_x000D_
                                                                        at com android internal os ZygoteInit main(ZygoteInit java:869)_x000D_
                                                                        at dalvik system NativeStart main(Native Method)_x000D_
   _x000D_
_x000D_
  Screenshots of the issue  _x000D_
_x000D_
  Not available_x000D_
_x000D_
  Would you like to work on the issue   _x000D_
_x000D_
I would like to work on it _x000D_
</t>
  </si>
  <si>
    <t>lingochamp-FileDownloader-631</t>
  </si>
  <si>
    <t>下载到最后回调两次99%但是接下来的任何进度</t>
  </si>
  <si>
    <t xml:space="preserve"> Gongcong  wanghaihui_x000D_
_x000D_
                      _x000D_
_x000D_
                                                     (https:  github com lingochamp FileDownloader wiki processing callback frequency) _x000D_
_x000D_
           (  Gongcong  wanghaihui )    : _x000D_
_x000D_
               1 5 7                           APP                      log progress 100          progress 99                     _x000D_
_x000D_
                             _x000D_
_x000D_
                             progress 99 ):_x000D_
_x000D_
1   FileDownloader getStatus(id  path)         _x000D_
2      FileDownloadUtils getTempPath(task getTargetFilePath())        _x000D_
3       task getTargetFilePath()        _x000D_
4    Logcat    crash     warn error   _x000D_
_x000D_
   _x000D_
_x000D_
     P S                                    Crash    error                    Crash           (https:  github com lingochamp FileDownloader issues 628 issuecomment 310268437)_x000D_
</t>
  </si>
  <si>
    <t>LawnchairLauncher-lawnchair-71</t>
  </si>
  <si>
    <t>Folder renaming crashes Lawnchair</t>
  </si>
  <si>
    <t>BUG: When renaming a folder  Lawnchair crashes</t>
  </si>
  <si>
    <t>k9mail-k-9-2604</t>
  </si>
  <si>
    <t>K9Mail crash often when I delete a message from threaded messages</t>
  </si>
  <si>
    <t xml:space="preserve">Hello _x000D_
_x000D_
    Expected behavior_x000D_
K9Mail doesn t crash when I delete a message from threaded messages _x000D_
_x000D_
    Actual behavior_x000D_
K9Mail crash often when I delete a message from threaded messages _x000D_
_x000D_
    Steps to reproduce_x000D_
1  Delete a message from threaded messages _x000D_
2  K9Mail crash_x000D_
_x000D_
    Environment_x000D_
K 9 Mail version: 5 207_x000D_
_x000D_
Here is a log : _x000D_
 2017 06 27 06 02 44 txt (https:  github com k9mail k 9 files 1104182 2017 06 27 06 02 44 txt)_x000D_
_x000D_
_x000D_
Android version: 4 4_x000D_
_x000D_
Account type (IMAP  POP3  WebDAV Exchange): IMAP_x000D_
_x000D_
Thanks  </t>
  </si>
  <si>
    <t>getodk-collect-1206</t>
  </si>
  <si>
    <t>Crash when attempting to get device details</t>
  </si>
  <si>
    <t xml:space="preserve">     Software and hardware versions _x000D_
Collect v1 4 10   seen across devices and Android versions in Play Store console_x000D_
_x000D_
     Problem description_x000D_
Collect crashes when trying to get the phone s serial number  I believe  telephonyManager getDeviceId()  is the culprit _x000D_
_x000D_
     Steps to reproduce the problem_x000D_
I m not able to reproduce this on my devices  Galaxy Note5  Galaxy S6 are common devices this happens on _x000D_
_x000D_
     Expected behavior_x000D_
No crash  The calls that can result in exceptions should be wrapped in try catch blocks _x000D_
_x000D_
     Other information _x000D_
   _x000D_
java lang RuntimeException: _x000D_
  at android app ActivityThread handleBindApplication(ActivityThread java:5973)_x000D_
  at android app ActivityThread  wrap3(ActivityThread java:0)_x000D_
  at android app ActivityThread H handleMessage(ActivityThread java:1710)_x000D_
  at android os Handler dispatchMessage(Handler java:102)_x000D_
  at android os Looper loop(Looper java:154)_x000D_
  at android app ActivityThread main(ActivityThread java:6776)_x000D_
  at java lang reflect Method invoke(Native Method:0)_x000D_
  at com android internal os ZygoteInit MethodAndArgsCaller run(ZygoteInit java:1496)_x000D_
  at com android internal os ZygoteInit main(ZygoteInit java:1386)_x000D_
Caused by: java lang SecurityException: _x000D_
  at android os Parcel readException(Parcel java:1693)_x000D_
  at android os Parcel readException(Parcel java:1646)_x000D_
  at com android internal telephony IPhoneSubInfo Stub Proxy getIccSerialNumberForSubscriber(IPhoneSubInfo java:910)_x000D_
  at android telephony TelephonyManager getSimSerialNumber(TelephonyManager java:2493)_x000D_
  at android telephony TelephonyManager getSimSerialNumber(TelephonyManager java:2476)_x000D_
  at org odk collect android logic PropertyManager  init (PropertyManager java:118)_x000D_
  at org odk collect android application Collect onCreate(Collect java:253)_x000D_
  at android app Instrumentation callApplicationOnCreate(Instrumentation java:1032)_x000D_
  at android app ActivityThread handleBindApplication(ActivityThread java:5970)_x000D_
   </t>
  </si>
  <si>
    <t>searles-FractviewAndroid-46</t>
  </si>
  <si>
    <t>Avoid crashes on invalid Json</t>
  </si>
  <si>
    <t xml:space="preserve">Avoid crashes in such a case </t>
  </si>
  <si>
    <t>hendraanggrian-socialview-10</t>
  </si>
  <si>
    <t>App crash when deleting</t>
  </si>
  <si>
    <t>Hi there _x000D_
First of all  amazing library  _x000D_
But wanted to know what can i do with a crash i am handling right now with the EditText (SocialAutoCompleteTextView) _x000D_
When i mention someone at the beginning and going to the middle of the word and start deleting it crashes with this error:_x000D_
_x000D_
 java lang IndexOutOfBoundsException: charAt:  1   0_x000D_
                                                                                   at android text SpannableStringBuilder charAt(SpannableStringBuilder java:121)_x000D_
                                                                                   at com hendraanggrian socialview SociableViewImpl onTextChanged(SociableViewImpl java:291)_x000D_
                                                                                   at android widget TextView sendOnTextChanged(TextView java:9332)_x000D_
                                                                                   at android widget TextView handleTextChanged(TextView java:9419)_x000D_
                                                                                   at android widget TextView ChangeWatcher onTextChanged(TextView java:11875)_x000D_
                                                                                   at android text SpannableStringBuilder sendTextChanged(SpannableStringBuilder java:1252)_x000D_
                                                                                   at android text SpannableStringBuilder replace(SpannableStringBuilder java:573)_x000D_
                                                                                   at android text SpannableStringBuilder delete(SpannableStringBuilder java:229)_x000D_
                                                                                   at android text SpannableStringBuilder delete(SpannableStringBuilder java:227)_x000D_
                                                                                   at android text method BaseKeyListener backspaceOrForwardDelete(BaseKeyListener java:370)_x000D_
                                                                                   at android text method BaseKeyListener backspace(BaseKeyListener java:71)_x000D_
                                                                                   at android text method BaseKeyListener onKeyDown(BaseKeyListener java:479)_x000D_
                                                                                   at android text method QwertyKeyListener onKeyDown(QwertyKeyListener java:362)_x000D_
                                                                                   at android text method TextKeyListener onKeyDown(TextKeyListener java:141)_x000D_
                                                                                   at android widget TextView doKeyDown(TextView java:7302)_x000D_
                                                                                   at android widget TextView onKeyDown(TextView java:7079)_x000D_
                                                                                   at android widget AutoCompleteTextView onKeyDown(AutoCompleteTextView java:831)_x000D_
                                                                                   at android view KeyEvent dispatch(KeyEvent java:2688)_x000D_
                                                                                   at android view View dispatchKeyEvent(View java:11465)_x000D_
                                                                                   at android view ViewGroup dispatchKeyEvent(ViewGroup java:1797)_x000D_
                                                                                   at android view ViewGroup dispatchKeyEvent(ViewGroup java:1797)_x000D_
                                                                                   at android view ViewGroup dispatchKeyEvent(ViewGroup java:1797)_x000D_
                                                                                   at android view ViewGroup dispatchKeyEvent(ViewGroup java:1797)_x000D_
                                                                                   at android view ViewGroup dispatchKeyEvent(ViewGroup java:1797)_x000D_
                                                                                   at android view ViewGroup dispatchKeyEvent(ViewGroup java:1797)_x000D_
                                                                                   at android view ViewGroup dispatchKeyEvent(ViewGroup java:1797)_x000D_
                                                                                   at android view ViewGroup dispatchKeyEvent(ViewGroup java:1797)_x000D_
                                                                                   at com android internal policy DecorView superDispatchKeyEvent(DecorView java:415)_x000D_
                                                                                   at com android internal policy PhoneWindow superDispatchKeyEvent(PhoneWindow java:1811)_x000D_
                                                                                   at android app Activity dispatchKeyEvent(Activity java:3251)_x000D_
                                                                                   at android support v7 app AppCompatActivity dispatchKeyEvent(AppCompatActivity java:535)_x000D_
                                                                                   at android support v7 view WindowCallbackWrapper dispatchKeyEvent(WindowCallbackWrapper java:58)_x000D_
                                                                                   at android support v7 app AppCompatDelegateImplBase AppCompatWindowCallbackBase dispatchKeyEvent(AppCompatDelegateImplBase java:316)_x000D_
                                                                                   at com android internal policy DecorView dispatchKeyEvent(DecorView java:329)_x000D_
                                                                                   at android view ViewRootImpl ViewPostImeInputStage processKeyEvent(ViewRootImpl java:4703)_x000D_
                                                                                   at android view ViewRootImpl ViewPostImeInputStage onProcess(ViewRootImpl java:4575)_x000D_
                                                                                   at android view ViewRootImpl InputStage deliver(ViewRootImpl java:4117)_x000D_
                                                                                   at android view ViewRootImpl InputStage onDeliverToNext(ViewRootImpl java:4170)_x000D_
                                                                                   at android view ViewRootImpl InputStage forward(ViewRootImpl java:4136)_x000D_
                                                                                   at android view ViewRootImpl AsyncInputStage forward(ViewRootImpl java:4263)_x000D_
                                                                                   at android view ViewRootImpl InputStage apply(ViewRootImpl java:4144)_x000D_
                                                                                   at android view ViewRootImpl AsyncInputStage apply(ViewRootImpl java:4320)_x000D_
                                                                                   at android view ViewRootImpl InputStage deliver(ViewRootImpl java:4117)_x000D_
                                                                                   at android view ViewRootImpl InputStage onDeliverToNext(ViewRootImpl java:4170)_x000D_
                                                                                   at android view ViewRootImpl InputStage forward(ViewRootImpl java:4136)_x000D_
                                                                                   at android view ViewRootImpl InputStage apply(ViewRootImpl java:4144)_x000D_
                                                                                   at android view ViewRootImpl InputStage deliver(ViewRootImpl java:4117)_x000D_
                                                                                   at android view ViewRootImpl InputStage onDeliverToNext(ViewRootImpl java:4170)_x000D_
                                                                                   at android view ViewRootImpl InputStage forward(ViewRootImpl java:4136)_x000D_
                                                                                   at android view ViewRootImpl AsyncInputStage forward(ViewRootImpl java:4296)_x000D_
                                                                                   at android view ViewRootImpl ImeInputStage onFinishedInputEvent(ViewRootImpl java:4457)_x000D_
                                                                                   at android view inputmethod InputMethodManager PendingEvent run(InputMethodManager java:2435)_x000D_
                                                                               	at an _x000D_
_x000D_
Thanks in advance :)</t>
  </si>
  <si>
    <t>mauron85-cordova-plugin-background-geolocation-308</t>
  </si>
  <si>
    <t>httpHeaders values are not sent with syncUrl on iOS</t>
  </si>
  <si>
    <t xml:space="preserve">      Provide a general summary of the issue in the Title above    _x000D_
_x000D_
   Your Environment_x000D_
global packages:_x000D_
_x000D_
     ionic cli utils : 1 4 0_x000D_
    Cordova CLI      : 7 0 1 _x000D_
    Ionic CLI        : 3 4 0_x000D_
_x000D_
local packages:_x000D_
_x000D_
     ionic app scripts              : 1 3 7_x000D_
     ionic cli plugin cordova       : 1 4 0_x000D_
     ionic cli plugin ionic angular : 1 3 1_x000D_
    Cordova Platforms               : android 6 2 3 ios 4 4 0_x000D_
    Ionic Framework                 : ionic angular 3 4 2_x000D_
_x000D_
System:_x000D_
_x000D_
    Node       : v6 9 1_x000D_
    OS         : macOS Sierra_x000D_
    Xcode      : Xcode 8 3 3 Build version 8E3004b _x000D_
    ios deploy : 1 9 0 _x000D_
    ios sim    : 5 0 8 _x000D_
    npm        : 3 10 8 _x000D_
_x000D_
      Include as many relevant details about the environment you experienced the bug in    _x000D_
  Plugin version:_x000D_
cordova plugin mauron85 background geolocation 2 2 5  CDVBackgroundGeolocation _x000D_
_x000D_
  Platform: iOS 10 3 2_x000D_
  OS version: macOS Sierra_x000D_
  Device manufacturer and model: iPhone 6 Plus_x000D_
  Cordova version ( cordova  v ):_x000D_
  Cordova platform version ( cordova platform ls ):_x000D_
  Plugin configuration options: _x000D_
  Link to your project:_x000D_
_x000D_
   Context_x000D_
      Provide a more detailed introduction to the issue itself  and why you consider it to be a bug    _x000D_
When use url to post each location  configured httpHeaders are sent in the request from both iOS and Android devices  But when use syncUrl to upload the batch of locations  configured httpHeaders are NOT sent in the request from iOS device  android device sends out httpHeaders fine  _x000D_
_x000D_
Is there any other ways besides setting httpHeaders values we can send device id and battery level along with the location data to the backend service  _x000D_
_x000D_
     the configuration      _x000D_
this config     desiredAccuracy: 10 _x000D_
                    stationaryRadius: 20 _x000D_
                    distanceFilter: 30 _x000D_
                    debug: true  _x000D_
                    stopOnTerminate: false _x000D_
                    url:      http:  141 213 145 178:3000 locations   _x000D_
                    syncThreshold: 2 _x000D_
                    maxLocations: 500 _x000D_
                    httpHeaders:   deviceid : this device uuid   batteryLevel :  0 95        _x000D_
      _x000D_
_x000D_
  node server js _x000D_
Server started   _x000D_
    request from iOS device     _x000D_
Headers:_x000D_
   host:  141 213 145 178:3000  _x000D_
   content type :  application json  _x000D_
  deviceid:  3C51B0D7 F6DB 478F B0E2 62C57735F61C  _x000D_
  batterylevel:  0 95  _x000D_
  connection:  keep alive  _x000D_
  accept:       _x000D_
   accept language :  en us  _x000D_
   user agent :  michigan mobile 5 0 CFNetwork 811 5 4 Darwin 16 6 0  _x000D_
   accept encoding :  gzip  deflate  _x000D_
   content length :  213   _x000D_
Body:_x000D_
     speed: 0 _x000D_
    time: 1498669657367 495 _x000D_
    longitude:  83 74704910450032 _x000D_
    bearing:  1 _x000D_
    location type:  current  _x000D_
    latitude: 42 2692720033622 _x000D_
    accuracy: 10 _x000D_
    heading:  1 _x000D_
    altitude: 253 5408668518066 _x000D_
    altitudeAccuracy: 3    _x000D_
                              _x000D_
_x000D_
    request from Android     _x000D_
Headers:_x000D_
    content type :  application json  _x000D_
  deviceid:  c722fee7c3ebfb06  _x000D_
  batterylevel:  0 95  _x000D_
   content length :  179  _x000D_
   user agent :  Dalvik 2 1 0 (Linux  U  Android 6 0  HTC6525LVW Build MRA58K)  _x000D_
  host:  141 213 145 178:3000  _x000D_
  connection:  Keep Alive  _x000D_
   accept encoding :  gzip   _x000D_
Body:_x000D_
     provider:  gps  _x000D_
    time: 1498669996000 _x000D_
    latitude: 42 26932721 _x000D_
    longitude:  83 74713347 _x000D_
    accuracy: 57 _x000D_
    speed: 3 5 _x000D_
    altitude: 251 _x000D_
    bearing: 248 3000030517578 _x000D_
    locationProvider: 0    _x000D_
                              _x000D_
_x000D_
     the configuration      _x000D_
this config     desiredAccuracy: 10 _x000D_
                    stationaryRadius: 20 _x000D_
                    distanceFilter: 30 _x000D_
                    debug: true  _x000D_
                    stopOnTerminate: false  _x000D_
                    syncUrl:  http:  141 213 145 178:3000 locations  _x000D_
                    syncThreshold: 2 _x000D_
                    maxLocations: 500 _x000D_
                    httpHeaders:   deviceid : this device uuid   batteryLevel :  0 95      _x000D_
      _x000D_
_x000D_
    request from iOS device     _x000D_
Headers:_x000D_
   host:  141 213 145 178:3000  _x000D_
   content type :  application json  _x000D_
  connection:  keep alive  _x000D_
  accept:       _x000D_
   user agent :  michigan mobile 5 0 CFNetwork 811 5 4 Darwin 16 6 0  _x000D_
   content length :  2232  _x000D_
   accept language :  en us  _x000D_
   accept encoding :  gzip  deflate   _x000D_
Body:_x000D_
     speed: 0 _x000D_
    time: 1498669657000 198 _x000D_
    longitude:  83 74704910450032 _x000D_
    bearing:  1 _x000D_
    service provider: 0 _x000D_
    latitude: 42 2692720033622 _x000D_
    accuracy: 10 _x000D_
    heading:  1 _x000D_
    altitude: 253 5408668518066   _x000D_
    speed: 0 _x000D_
    time: 1498669657367 495 _x000D_
    longitude:  83 74704910450032 _x000D_
    bearing:  1 _x000D_
    service provider: 0 _x000D_
    latitude: 42 2692720033622 _x000D_
    accuracy: 10 _x000D_
    heading:  1 _x000D_
    altitude: 253 5408668518066   _x000D_
    speed: 0 _x000D_
    time: 1498669657367 495 _x000D_
    longitude:  83 74704910450032 _x000D_
    bearing:  1 _x000D_
    service provider: 0 _x000D_
    latitude: 42 2692720033622 _x000D_
    accuracy: 10 _x000D_
    heading:  1 _x000D_
    altitude: 253 5408668518066   _x000D_
    speed: 0 _x000D_
    time: 1498669715000 197 _x000D_
    longitude:  83 74704910450032 _x000D_
    bearing:  1 _x000D_
    service provider: 0 _x000D_
    latitude: 42 2692720033622 _x000D_
    accuracy: 10 _x000D_
    heading:  1 _x000D_
    altitude: 253 5329322814941   _x000D_
    speed: 0 _x000D_
    time: 1498669715719 22 _x000D_
    longitude:  83 74704910450032 _x000D_
    bearing:  1 _x000D_
    service provider: 0 _x000D_
    latitude: 42 2692720033622 _x000D_
    accuracy: 10 _x000D_
    heading:  1 _x000D_
    altitude: 253 5329322814941   _x000D_
_x000D_
    request from Android     _x000D_
Headers:_x000D_
    content type :  application json  _x000D_
  deviceid:  c722fee7c3ebfb06  _x000D_
   x batch id :  1498672572450  _x000D_
  batterylevel:  0 95  _x000D_
   content length :  466  _x000D_
   user agent :  Dalvik 2 1 0 (Linux  U  Android 6 0  HTC6525LVW Build MRA58K)  _x000D_
  host:  141 213 145 178:3000  _x000D_
  connection:  Keep Alive  _x000D_
   accept encoding :  gzip   _x000D_
Body:_x000D_
     provider:  network  _x000D_
    time: 1498671294563 _x000D_
    latitude: 42 2692077 _x000D_
    longitude:  83 7470967 _x000D_
    accuracy: 19 375999450683594 _x000D_
    locationProvider: 0   _x000D_
    provider:  network  _x000D_
    time: 1498671378696 _x000D_
    latitude: 42 2692032 _x000D_
    longitude:  83 7470137 _x000D_
    accuracy: 18 660999298095703 _x000D_
    locationProvider: 0   _x000D_
    provider:  gps  _x000D_
    time: 1498671391000 _x000D_
    latitude: 42 26917246 _x000D_
    longitude:  83 74659899 _x000D_
    accuracy: 24 _x000D_
    speed: 1 75 _x000D_
    bearing: 120 4000015258789 _x000D_
    altitude: 267 _x000D_
    locationProvider: 0    _x000D_
                              _x000D_
_x000D_
_x000D_
   Expected Behavior_x000D_
      Tell us what should happen    _x000D_
Configured httpHeaders value   deviceid : this device uuid   batteryLevel :  0 95    should add to the location data  sync posting request from iOS devices _x000D_
 _x000D_
   Actual Behavior_x000D_
      Tell us what happens instead    _x000D_
_x000D_
   Possible Fix_x000D_
      Not obligatory  but suggest a fix or reason for the bug    _x000D_
_x000D_
   Steps to Reproduce_x000D_
      Provide a link to a live example  or an unambiguous set of steps to    _x000D_
      reproduce this bug include code to reproduce  if relevant    _x000D_
1 _x000D_
2 _x000D_
3 _x000D_
4 _x000D_
_x000D_
   Context_x000D_
      How has this bug affected you  What were you trying to accomplish     _x000D_
_x000D_
   Debug logs_x000D_
     Relevant parts from printAndroidLogs or printIosLogs _x000D_
More info in README md section Debugging _x000D_
If you re reporting app crash also provide output of  adb logcat     _x000D_
_x000D_
 2017 06 28 14:24:59  :Finished uploading task 1 http:  141 213 145 178:3000 locations: Success  NSHTTPURLResponse: 0x1704232e0    URL: http:  141 213 145 178:3000 locations     status code: 200  headers  _x000D_
    Connection    keep alive  _x000D_
     Content Length    2 _x000D_
     Content Type     text plain  charset utf 8  _x000D_
    Date    Wed  28 Jun 2017 18:24:59 GMT  _x000D_
    Etag    W   2 nOO9QiTIwXgNtWtBJezz8kv3SLc    _x000D_
     X Powered By    Express _x000D_
     HTTP 200_x000D_
 2017 06 28 14:24:59  :Response:: OK_x000D_
 2017 06 28 14:24:59  :LocationManager queue Location: id 0 time  2009748639216304001 lat 42 26928629450711 lon  83 74715002261451 accu 10 aaccu 4 speed 0 bear  1 alt 253 0968360900879 type current_x000D_
 2017 06 28 14:24:59  :Location age 0 094116_x000D_
 2017 06 28 14:24:59  :LocationManager didUpdateLocations (operationMode: 1)_x000D_
 2017 06 28 14:24:59  :Config: distanceFilter 30 stationaryRadius 20 desiredAccuracy 10 activityType OTHER isDebugging 1 stopOnTerminate 0 url (null) httpHeaders  _x000D_
    batteryLevel    0 95  _x000D_
    deviceid    3C51B0D7 F6DB 478F B0E2 62C57735F61C  _x000D_
  pauseLocationUpdates 1_x000D_
 2017 06 28 14:24:59  :LocationManager will start: 1_x000D_
 2017 06 28 14:24:58  :Started upload for locations 20170628 182458 json as task 1 locations 20170628 182458 json    NSCFBackgroundUploadTask: 0x139d1b780   taskIdentifier: 1  _x000D_
 2017 06 28 14:24:58  :CDVBackgroundGeolocation onLocationChanged_x000D_
 2017 06 28 14:24:58  :LocationManager sync Location: id  5764607523034234877 time 6243241728 lat 42 26928629450711 lon  83 74715002261451 accu 10 aaccu 4 speed 0 bear  1 alt 253 0710182189941 type current_x000D_
 2017 06 28 14:24:58  :LocationManager queue Location: id 0 time 6243241728 lat 42 26928629450711 lon  83 74715002261451 accu 10 aaccu 4 speed 0 bear  1 alt 253 0710182189941 type current_x000D_
 2017 06 28 14:24:58  :LocationManager found most accurate location before timeout_x000D_
 2017 06 28 14:24:58  :Location age 0 060562_x000D_
 2017 06 28 14:24:58  :LocationManager didUpdateLocations (operationMode: 1)_x000D_
 2017 06 28 14:24:57  :Location age 0 566460_x000D_
 2017 06 28 14:24:57  :LocationManager didUpdateLocations (operationMode: 1)_x000D_
 2017 06 28 14:24:56  :Location age 0 057121_x000D_
 2017 06 28 14:24:56  :LocationManager didUpdateLocations (operationMode: 1)_x000D_
 2017 06 28 14:24:55  :Location age 0 086070_x000D_
 2017 06 28 14:24:55  :LocationManager didUpdateLocations (operationMode: 1)_x000D_
 2017 06 28 14:24:54  :Location age 0 075171_x000D_
 2017 06 28 14:24:54  :LocationManager didUpdateLocations (operationMode: 1)_x000D_
 2017 06 28 14:24:53  :Location age 0 078903_x000D_
 2017 06 28 14:24:53  :LocationManager didUpdateLocations (operationMode: 1)_x000D_
 2017 06 28 14:24:52  :Location age 0 059751_x000D_
 2017 06 28 14:24:52  :LocationManager didUpdateLocations (operationMode: 1)_x000D_
 2017 06 28 14:24:51  :Location age 0 139382_x000D_
 2017 06 28 14:24:51  :LocationManager didUpdateLocations (operationMode: 1)_x000D_
 2017 06 28 14:24:47  :Location age 0 014723_x000D_
 2017 06 28 14:24:47  :LocationManager didUpdateLocations (operationMode: 1)_x000D_
 2017 06 28 14:24:46  :Location age 0 026497_x000D_
 2017 06 28 14:24:46  :LocationManager didUpdateLocations (operationMode: 1)_x000D_
 2017 06 28 14:24:46  :Location age 0 044767_x000D_
 2017 06 28 14:24:46  :LocationManager didUpdateLocations (operationMode: 1)_x000D_
 2017 06 28 14:24:46  :Location age 0 060082_x000D_
 2017 06 28 14:24:46  :LocationManager didUpdateLocations (operationMode: 1)_x000D_
 2017 06 28 14:24:46  :Location age 0 072692_x000D_
 2017 06 28 14:24:46  :LocationManager didUpdateLocations (operationMode: 1)_x000D_
 2017 06 28 14:24:46  :Location age 7 801159_x000D_
 2017 06 28 14:24:46  :LocationManager didUpdateLocations (operationMode: 1)_x000D_
 2017 06 28 14:24:46  :Location age 16 800152_x000D_
 2017 06 28 14:24:46  :LocationManager didUpdateLocations (operationMode: 1)_x000D_
 2017 06 28 14:24:46  :Location age 7 799426_x000D_
 2017 06 28 14:24:46  :LocationManager didUpdateLocations (operationMode: 1)_x000D_
 2017 06 28 14:24:46  :LocationManager switchMode 1_x000D_
 2017 06 28 14:24:46  :LocationManager will start: 0_x000D_
 2017 06 28 14:24:46  :Config: distanceFilter 30 stationaryRadius 20 desiredAccuracy 10 activityType OTHER isDebugging 1 stopOnTerminate 0 url (null) httpHeaders  _x000D_
    batteryLevel    0 95  _x000D_
    deviceid    3C51B0D7 F6DB 478F B0E2 62C57735F61C  _x000D_
  pauseLocationUpdates 1_x000D_
 2017 06 28 14:24:42  :LocationManager didChangeAuthorizationStatus 3_x000D_
 2017 06 28 14:24:42  :LocationManager iOS9 detected_x000D_
</t>
  </si>
  <si>
    <t>HueToYou-ChatExchange-old-5</t>
  </si>
  <si>
    <t>Weird loading bug</t>
  </si>
  <si>
    <t xml:space="preserve">Occasionally  if chats fail to load properly  or the app crashes  the loading symbol will never disappear  even once all chats have been added </t>
  </si>
  <si>
    <t>wallabag-android-app-580</t>
  </si>
  <si>
    <t>Tapping tags crashes app</t>
  </si>
  <si>
    <t xml:space="preserve">I downloaded the latest version of the app available on the play store  but it crashes when I tap on any tags  I also noticed there are duplicate and triplicates for some tags  All tags crash the app  not one in particular  Running Wallabag 2 0 Is there a newer version of the app I should  be using instead  </t>
  </si>
  <si>
    <t>RestComm-restcomm-android-sdk-634</t>
  </si>
  <si>
    <t>Investigate various TestFairy crashes</t>
  </si>
  <si>
    <t>Here are the links:_x000D_
1   java lang IllegalMonitorStateException (https:  telestax testfairy com projects 3369662 restcommolympus builds 5916479 sessions 181 source email crash) _x000D_
2   java lang RuntimeException: Failed to send Ringing to incoming Invite (https:  telestax testfairy com projects 3369662 restcommolympus builds 5916479 sessions 119 source email crash)_x000D_
3   java lang NullPointerException: Attempt to invoke virtual method  void org restcomm android sdk MediaClient PeerConnectionClient createPeerConnection(org webrtc EglBase Context  org webrtc VideoRenderer Callbacks  org webrtc VideoRenderer Callbacks  org webrtc VideoCapturer  org restcomm android sdk SignalingClient SignalingParameters)  on a null object reference (https:  telestax testfairy com projects 3369662 restcommolympus builds 5916479 sessions 108 source email crash)_x000D_
4   java lang RuntimeException: Error receiving broadcast Intent   act android net conn CONNECTIVITY CHANGE flg 0x4000010 bqHint 4 (has extras)   in org restcomm android sdk SignalingClient JainSipClient JainSipNotificationManager 829f935 (https:  telestax testfairy com projects 3369662 restcommolympus builds 5916479 sessions 190 source email crash)_x000D_
5   java lang RuntimeException: Failed to authenticate after max attempts (https:  telestax testfairy com projects 3369662 restcommolympus builds 5916479 sessions 326 source email crash)_x000D_
6   java lang NullPointerException: Attempt to invoke virtual method  void org restcomm android sdk RCConnection setConnectionListener(org restcomm android sdk RCConnectionListener)  on a null object reference (https:  telestax testfairy com projects 3369662 restcommolympus builds 5916479 sessions 299 source crash overview)_x000D_
_x000D_
_x000D_
Analysis:_x000D_
1  If anything is a JAIN SIP issue  so I opened RestComm jain sip 156 for further investigation  Also tried to reproduce with a samsung galaxy note 5 in Firebase Test Lab  but there s not one available _x000D_
These are all from BETA6 build  which is weird cause it s working fine for me the last couple of weeks _x000D_
2  Reason for the crash is that the incoming INVITE doesn t include a Contact header which is mandatory  The question here is why JAIN SIP stack didn t just reject the incoming INVITE  but let it pass only to break when the 180 Ringing was generated  Opened https:  github com RestComm jain sip issues 157 for that_x000D_
3  Issue here is in last call around 12:30  I can t really explain it since the object that is supposed to be null is guarded right above  One hint though is the fact that the incoming call is audio and is answered as video  so we might need to test that a bit (TODO)_x000D_
4  Seems same as (1)  The difference is that JAIN SIP tries to initialize facilities as a result of WiFi becoming available _x000D_
5  This was an issue by design  It doesn t make sense to try with same creds after the creds have been rejected  either with second  401 Unauthorized   407 Proxy Auth Required  or by  403 Forbidden   Remember that per SIP RFC both 401 and 407 are allowed as ways to challenge new REGISTER with credentials while 403 means that  server understood the request  but is refusing to fulfill it   What we should do is allow to send REGISTER INVITE with creds after 401 407 just once _x000D_
6  The issue here is in CallActivity java there is chance that pendingConnection is null if call activity is reopened after call has failed but used hasn t pressed ok to the dialog so that the call activity is destroyed  Need to guard for this</t>
  </si>
  <si>
    <t>novoda-no-player-61</t>
  </si>
  <si>
    <t>Subtitles crash and demo flow</t>
  </si>
  <si>
    <t xml:space="preserve">   Problem_x000D_
Crash when trying to check equality of equals on a object that was null   _x000D_
_x000D_
 NoPlayer  Demo doesn t exactly follow the flow we expect clients to implement   _x000D_
_x000D_
   Solution_x000D_
Swap the equality check to prevent crashes _x000D_
_x000D_
Make  NoPlayer  demo follow the flow we expect when creating and interacting with a  Player  _x000D_
_x000D_
    Test(s) added _x000D_
No  just changing flow in Activities _x000D_
_x000D_
    Screenshots_x000D_
No UI changes _x000D_
_x000D_
    Paired with _x000D_
 Dorvaryn _x000D_
</t>
  </si>
  <si>
    <t>fossasia-phimpme-android-689</t>
  </si>
  <si>
    <t>App crashes sometimes due to OutOfMem. Exception</t>
  </si>
  <si>
    <t xml:space="preserve">  Actual Behaviour  _x000D_
_x000D_
App crashes when clicked on any high resolution images and while trying to upload high quality images to twitter _x000D_
_x000D_
  Expected Behaviour  _x000D_
_x000D_
App should not crash _x000D_
_x000D_
  Steps to reproduce it  _x000D_
_x000D_
1  Open any  album _x000D_
2  Arrange photos according to size in descending order _x000D_
3  Click on the image at 0 index _x000D_
4  Picture won t load in single media activity or app will crash _x000D_
5  Now again try to upload the same image to twitter _x000D_
_x000D_
  Would you like to work on the issue   _x000D_
_x000D_
Yes_x000D_
</t>
  </si>
  <si>
    <t>novoda-merlin-134</t>
  </si>
  <si>
    <t>NetworkStatusDisplayer crash in demo</t>
  </si>
  <si>
    <t xml:space="preserve">   Problem_x000D_
Introduced  MerlinsBeard  into the  NetworkStatusDisplayer  and assumed that  Activities  were created in the same way  with  MerlinsBeard  being created in the same place  Don t make assumptions though because now it crashes   _x000D_
_x000D_
   Solution_x000D_
Pass  MerlinsBeard  into  NetworkStatusDisplayer  _x000D_
_x000D_
    Test(s) added_x000D_
No tests  but would be good to introduce some to catch stuff like this   _x000D_
_x000D_
    Screenshots_x000D_
No UI changes _x000D_
_x000D_
    Paired with_x000D_
Nobody _x000D_
</t>
  </si>
  <si>
    <t>square-okhttp-3438</t>
  </si>
  <si>
    <t>Android O CastException</t>
  </si>
  <si>
    <t xml:space="preserve">For Android O i noticed such crash in crashlytic _x000D_
 pre Fatal Exception: java lang ClassCastException: android system UnixSocketAddress cannot be cast to java net InetSocketAddress_x000D_
       at libcore io IoBridge getLocalInetSocketAddress(IoBridge java:700)_x000D_
       at libcore io IoBridge connectDetail(IoBridge java:197)_x000D_
       at libcore io IoBridge connect(IoBridge java:138)_x000D_
       at java net PlainSocketImpl socketConnect(PlainSocketImpl java:129)_x000D_
       at java net AbstractPlainSocketImpl doConnect(AbstractPlainSocketImpl java:356)_x000D_
       at java net AbstractPlainSocketImpl connectToAddress(AbstractPlainSocketImpl java:200)_x000D_
       at java net AbstractPlainSocketImpl connect(AbstractPlainSocketImpl java:182)_x000D_
       at java net SocksSocketImpl connect(SocksSocketImpl java:356)_x000D_
       at java net Socket connect(Socket java:616)_x000D_
       at okhttp3 internal platform AndroidPlatform connectSocket(AndroidPlatform java:63)_x000D_
       at okhttp3 internal connection RealConnection connectSocket(RealConnection java:223)_x000D_
       at okhttp3 internal connection RealConnection connect(RealConnection java:149)_x000D_
       at okhttp3 internal connection StreamAllocation findConnection(StreamAllocation java:192)_x000D_
       at okhttp3 internal connection StreamAllocation findHealthyConnection(StreamAllocation java:121)_x000D_
       at okhttp3 internal connection StreamAllocation newStream(StreamAllocation java:100)_x000D_
       at okhttp3 internal connection ConnectInterceptor intercept(ConnectInterceptor java:42)_x000D_
       at okhttp3 internal http RealInterceptorChain proceed(RealInterceptorChain java:92)_x000D_
       at okhttp3 internal http RealInterceptorChain proceed(RealInterceptorChain java:67)_x000D_
       at okhttp3 internal cache CacheInterceptor intercept(CacheInterceptor java:93)_x000D_
       at okhttp3 internal http RealInterceptorChain proceed(RealInterceptorChain java:92)_x000D_
       at okhttp3 internal http RealInterceptorChain proceed(RealInterceptorChain java:67)_x000D_
       at okhttp3 internal http BridgeInterceptor intercept(BridgeInterceptor java:93)_x000D_
       at okhttp3 internal http RealInterceptorChain proceed(RealInterceptorChain java:92)_x000D_
       at okhttp3 internal http RetryAndFollowUpInterceptor intercept(RetryAndFollowUpInterceptor java:120)_x000D_
       at okhttp3 internal http RealInterceptorChain proceed(RealInterceptorChain java:92)_x000D_
       at okhttp3 internal http RealInterceptorChain proceed(RealInterceptorChain java:67)_x000D_
       at com pubnub api interceptors SignatureInterceptor intercept(SignatureInterceptor java:32)_x000D_
       at okhttp3 internal http RealInterceptorChain proceed(RealInterceptorChain java:92)_x000D_
       at okhttp3 internal http RealInterceptorChain proceed(RealInterceptorChain java:67)_x000D_
       at okhttp3 RealCall getResponseWithInterceptorChain(RealCall java:185)_x000D_
       at okhttp3 RealCall AsyncCall execute(RealCall java:135)_x000D_
       at okhttp3 internal NamedRunnable run(NamedRunnable java:32)_x000D_
       at java util concurrent ThreadPoolExecutor runWorker(ThreadPoolExecutor java:1162)_x000D_
       at java util concurrent ThreadPoolExecutor Worker run(ThreadPoolExecutor java:636)_x000D_
       at java lang Thread run(Thread java:764)_x000D_
  pre _x000D_
Will this be fixed in new version of library </t>
  </si>
  <si>
    <t>fossasia-pslab-android-248</t>
  </si>
  <si>
    <t>Application crash in oscilloscope activity</t>
  </si>
  <si>
    <t xml:space="preserve">  Actual Behaviour  _x000D_
_x000D_
When a device is not connected  if I try to choose more than one channel from  Channel Parameters   application crashes_x000D_
_x000D_
  Expected Behaviour  _x000D_
_x000D_
Application should not crash when multiple check boxes are selected in oscilloscope_x000D_
_x000D_
  Steps to reproduce it  _x000D_
_x000D_
1  Open app_x000D_
2  Go to  Applications _x000D_
3  Select  Oscilloscope _x000D_
4  Try selecting more than one checkbox out of  CH1    CH2    CH3  and  Microphone _x000D_
_x000D_
  LogCat for the issue  _x000D_
_x000D_
   _x000D_
06 29 09:43:07 000 32283 910 org fossasia pslab E AndroidRuntime: FATAL EXCEPTION: AsyncTask  2_x000D_
                                                                  java lang RuntimeException: An error occured while executing doInBackground()_x000D_
                                                                      at android os AsyncTask 3 done(AsyncTask java:299)_x000D_
                                                                      at java util concurrent FutureTask finishCompletion(FutureTask java:352)_x000D_
                                                                      at java util concurrent FutureTask setException(FutureTask java:219)_x000D_
                                                                      at java util concurrent FutureTask run(FutureTask java:239)_x000D_
                                                                      at android os AsyncTask SerialExecutor 1 run(AsyncTask java:230)_x000D_
                                                                      at java util concurrent ThreadPoolExecutor runWorker(ThreadPoolExecutor java:1080)_x000D_
                                                                      at java util concurrent ThreadPoolExecutor Worker run(ThreadPoolExecutor java:573)_x000D_
                                                                      at java lang Thread run(Thread java:856)_x000D_
                                                                   Caused by: java lang IndexOutOfBoundsException: Invalid index 0  size is 0_x000D_
                                                                      at java util ArrayList throwIndexOutOfBoundsException(ArrayList java:251)_x000D_
                                                                      at java util ArrayList get(ArrayList java:304)_x000D_
                                                                      at org fossasia pslab communication ScienceLab fetchChannel(ScienceLab java:897)_x000D_
                                                                      at org fossasia pslab communication ScienceLab fetchTrace(ScienceLab java:867)_x000D_
                                                                      at org fossasia pslab activity OscilloscopeActivity Task doInBackground(OscilloscopeActivity java:429)_x000D_
                                                                      at org fossasia pslab activity OscilloscopeActivity Task doInBackground(OscilloscopeActivity java:419)_x000D_
                                                                      at android os AsyncTask 2 call(AsyncTask java:287)_x000D_
                                                                      at java util concurrent FutureTask run(FutureTask java:234)_x000D_
                                                                      at android os AsyncTask SerialExecutor 1 run(AsyncTask java:230) _x000D_
                                                                      at java util concurrent ThreadPoolExecutor runWorker(ThreadPoolExecutor java:1080) _x000D_
                                                                      at java util concurrent ThreadPoolExecutor Worker run(ThreadPoolExecutor java:573) _x000D_
                                                                      at java lang Thread run(Thread java:856) _x000D_
_x000D_
   _x000D_
_x000D_
  Screenshots of the issue  _x000D_
_x000D_
  crash (https:  user images githubusercontent com 14261304 27667796 cf593c14 5caf 11e7 8b63 6b6f426abf71 png)_x000D_
_x000D_
_x000D_
  Would you like to work on the issue   _x000D_
_x000D_
Yes _x000D_
</t>
  </si>
  <si>
    <t>eltos-SimpleDialogFragments-12</t>
  </si>
  <si>
    <t>minSdk9 branch not functional on Gingerbread</t>
  </si>
  <si>
    <t xml:space="preserve">While trying to use the SimpleColorDialog on Gingerbread I found the following problems:_x000D_
_x000D_
1  mListView setAdapter(mAdapter)  in CustomListDialog_x000D_
2  PorterDuff Mode ADD in ColorWheelView_x000D_
_x000D_
were added in API 11 and lead to crash _x000D_
</t>
  </si>
  <si>
    <t>fekracomputers-IslamicLibraryAndroid-29</t>
  </si>
  <si>
    <t>Crash in book list fragment on searching</t>
  </si>
  <si>
    <t>When using list layout in book list fragment and searching the app crashes due to cast exception on line 202</t>
  </si>
  <si>
    <t>gelin-weather-notification-45</t>
  </si>
  <si>
    <t>Crash on LineageOS</t>
  </si>
  <si>
    <t xml:space="preserve">   Original report (https:  bitbucket org gelin weather notification issue 45) by Anonymous   
Application stops working after starting it  or by clicking on the notification area icon 
OS:  LineageOS 14 1 Nightly  Android 7 1 1 
Interestingly  if cellural data connection is disabled  app works fine  no crashing 
</t>
  </si>
  <si>
    <t>hyperrail-hyperrail-for-android-40</t>
  </si>
  <si>
    <t>Version 0.9.3</t>
  </si>
  <si>
    <t>Version 0 9 3  version code 5 _x000D_
_x000D_
Features:_x000D_
  Show date separators in result lists_x000D_
  Language for station names can be picked by the user_x000D_
  Route duration includes delays and is color coded_x000D_
  Clicking a disturbance will open the NMBS website_x000D_
_x000D_
Bugfixes:_x000D_
  Fixed bug where  no disturbances  is not shown correctly_x000D_
  Fixed bug where the application would crash when a station can t be found_x000D_
  Fixed bug where trains could appear twice_x000D_
  Fixed bug where refreshing did not work</t>
  </si>
  <si>
    <t>dhbw-timetable-dhbw-timetable-android-41</t>
  </si>
  <si>
    <t>Unexpected crashes</t>
  </si>
  <si>
    <t xml:space="preserve">We have some crashes on some of our test devices   Unfortunately DHBW Timetable has stopped  _x000D_
A user reported that the devices android 5 1 1 also reported same unexpected message on device boot up _x000D_
Some tests from android studios emulators could not really resolve this issue but reported two error messages without exceptions:_x000D_
_x000D_
 A libc(4969): Fatal signal 11 (SIGSEGV) at     code 1 _x000D_
_x000D_
and on boot up: _x000D_
_x000D_
 failed to make and chown  acct uid 10058: Read only file system </t>
  </si>
  <si>
    <t>Nightonke-BoomMenu-134</t>
  </si>
  <si>
    <t>BMB crashes - IllegalArgumentException: width and height must be &gt; 0</t>
  </si>
  <si>
    <t xml:space="preserve">app crashes immediately  when go in to fragment   and shows this :_x000D_
_x000D_
_x000D_
   FATAL EXCEPTION: main_x000D_
                                                                        Process: com example all newgcm  PID: 19053_x000D_
                                                                        java lang IllegalArgumentException: width and height must be   0_x000D_
                                                                            at android graphics Bitmap createBitmap(Bitmap java:829)_x000D_
                                                                            at android graphics Bitmap createBitmap(Bitmap java:808)_x000D_
                                                                            at android graphics Bitmap createBitmap(Bitmap java:775)_x000D_
                                                                            at com nightonke boommenu BMBShadow createShadowBitmap(BMBShadow java:78)_x000D_
                                                                            at com nightonke boommenu BMBShadow createShadow(BMBShadow java:64)_x000D_
                                                                            at com nightonke boommenu BMBShadow onLayout(BMBShadow java:59)_x000D_
                                                                            at android view View layout(View java:16694)_x000D_
                                                                            at android view ViewGroup layout(ViewGroup java:5481)_x000D_
                                                                            at android widget FrameLayout layoutChildren(FrameLayout java:336)_x000D_
                                                                            at android widget FrameLayout onLayout(FrameLayout java:273)_x000D_
                                                                            at com nightonke boommenu BoomMenuButton onLayout(BoomMenuButton java:373)_x000D_
                                                                            at android view View layout(View java:16694)_x000D_
                                                                            at android view ViewGroup layout(ViewGroup java:5481)_x000D_
                                                                            at android widget LinearLayout setChildFrame(LinearLayout java:1743)_x000D_
                                                                            at android widget LinearLayout layoutVertical(LinearLayout java:1586)_x000D_
                                                                            at android widget LinearLayout onLayout(LinearLayout java:1495)_x000D_
                                                                            at android view View layout(View java:16694)_x000D_
                                                                            at android view ViewGroup layout(ViewGroup java:5481)_x000D_
                                                                            at android support v4 view ViewPager onLayout(ViewPager java:1795)_x000D_
                                                                            at android view View layout(View java:16694)_x000D_
                                                                            at android view ViewGroup layout(ViewGroup java:5481)_x000D_
                                                                            at android widget LinearLayout setChildFrame(LinearLayout java:1743)_x000D_
                                                                            at android widget LinearLayout layoutVertical(LinearLayout java:1586)_x000D_
                                                                            at android widget LinearLayout onLayout(LinearLayout java:1495)_x000D_
                                                                            at android view View layout(View java:16694)_x000D_
                                                                            at android view ViewGroup layout(ViewGroup java:5481)_x000D_
                                                                            at android widget RelativeLayout onLayout(RelativeLayout java:1079)_x000D_
                                                                            at android view View layout(View java:16694)_x000D_
                                                                            at android view ViewGroup layout(ViewGroup java:5481)_x000D_
                                                                            at android support design widget HeaderScrollingViewBehavior layoutChild(HeaderScrollingViewBehavior java:131)_x000D_
                                                                            at android support design widget ViewOffsetBehavior onLayoutChild(ViewOffsetBehavior java:42)_x000D_
                                                                            at android support design widget AppBarLayout ScrollingViewBehavior onLayoutChild(AppBarLayout java:1391)_x000D_
                                                                            at android support design widget CoordinatorLayout onLayout(CoordinatorLayout java:870)_x000D_
                                                                            at android view View layout(View java:16694)_x000D_
                                                                            at android view ViewGroup layout(ViewGroup java:5481)_x000D_
                                                                            at android widget FrameLayout layoutChildren(FrameLayout java:336)_x000D_
                                                                            at android widget FrameLayout onLayout(FrameLayout java:273)_x000D_
                                                                            at android view View layout(View java:16694)_x000D_
                                                                            at android view ViewGroup layout(ViewGroup java:5481)_x000D_
                                                                            at android widget LinearLayout setChildFrame(LinearLayout java:1743)_x000D_
                                                                            at android widget LinearLayout layoutVertical(LinearLayout java:1586)_x000D_
                                                                            at android widget LinearLayout onLayout(LinearLayout java:1495)_x000D_
                                                                            at android view View layout(View java:16694)_x000D_
                                                                            at android view ViewGroup layout(ViewGroup java:5481)_x000D_
                                                                            at android widget FrameLayout layoutChildren(FrameLayout java:336)_x000D_
                                                                            at android widget FrameLayout onLayout(FrameLayout java:273)_x000D_
                                                                            at android view View layout(View java:16694)_x000D_
                                                                            at android view ViewGroup layout(ViewGroup java:5481)_x000D_
                                                                            at android widget LinearLayout setChildFrame(LinearLayout java:1743)_x000D_
                                                                            at android widget LinearLayout layoutVertical(LinearLayout java:1586)_x000D_
                                                                            at android widget LinearLayout onLayout(LinearLayout java:1495)_x000D_
                                                                            at android view View layout(View java:16694)_x000D_
                                                                            at android view ViewGroup layout(ViewGroup java:5481)_x000D_
                                                                            at android widget FrameLayout layoutChildren(FrameLayout java:336)_x000D_
                                                                            at android widget FrameLayout onLayout(FrameLayout java:273)_x000D_
                                                                            at com android internal policy PhoneWindow DecorView onLayout(PhoneWindow java:2697)_x000D_
                                                                            at android view View layout(View java:16694)_x000D_
                                                                            at android view ViewGroup layout(ViewGroup java:5481)_x000D_
                                                                            at android view ViewRootImpl performLayout(ViewRootImpl java:2229)_x000D_
                                                                            at android view ViewRootImpl performTraversals(ViewRootImpl java:1982)_x000D_
                                                                            at android view ViewRootImpl doTraversal(ViewRootImpl java:1140)_x000D_
                                                                            at android view ViewRootImpl TraversalRunnable run(ViewRootImpl java:6233)_x000D_
                                                                        	at a_x000D_
_x000D_
</t>
  </si>
  <si>
    <t>fenimore-DemocracyDroid-30</t>
  </si>
  <si>
    <t>Story view Audio/Video link is Null before load</t>
  </si>
  <si>
    <t xml:space="preserve">When clicking to launch a video or audio stream from a stories tab  before the story has loaded  the links will be Null  And the app will crash NullPointer </t>
  </si>
  <si>
    <t>vector-im-riot-android-1398</t>
  </si>
  <si>
    <t xml:space="preserve">DM rooms lost their status after crash </t>
  </si>
  <si>
    <t>reported by  Coffee:matrix org_x000D_
DM rooms lost their status after crash_x000D_
_x000D_
Riot OOM crashed trying to read  matrix room  After it crashed  most DM rooms are no longer in the  people  section but in  rooms  _x000D_
_x000D_
I cleared the cache  but it did not help _x000D_
_x000D_
https:  github com matrix org riot android rageshakes issues 496</t>
  </si>
  <si>
    <t>redsolution-xabber-android-739</t>
  </si>
  <si>
    <t>Xabber crashes if OTR enabled and have notifications in current chat.</t>
  </si>
  <si>
    <t xml:space="preserve">Xabber crashes if OTR enabled and have notifications in current chat </t>
  </si>
  <si>
    <t>LawnchairLauncher-lawnchair-122</t>
  </si>
  <si>
    <t>Crash on Press-and-Hold action on Homescreen Folders</t>
  </si>
  <si>
    <t>Pressing and Holding a folder on homescreen results in crash</t>
  </si>
  <si>
    <t>LawnchairLauncher-lawnchair-121</t>
  </si>
  <si>
    <t>Dropping widgets from the shortcut menu crashes Lawnchair</t>
  </si>
  <si>
    <t xml:space="preserve">    Steps to reproduce
 1  Long press any app that has widgets
 2  When the shortcut menu appears  select  Widgets 
 3  Long press one of the listed widgets
    Expected behaviour
Widget is placeable on the current desktop
    Actual behaviour
App crashes</t>
  </si>
  <si>
    <t>react-native-camera-react-native-camera-774</t>
  </si>
  <si>
    <t>Crash when using backHandler.closeApp()</t>
  </si>
  <si>
    <t>Hello _x000D_
_x000D_
Have a problem with Android crashing when using back button to  close  the app  Here is the error:_x000D_
_x000D_
Exception java lang RuntimeException: Camera is being used after Camera release() was called</t>
  </si>
  <si>
    <t>wiglenet-wigle-wifi-wardriving-149</t>
  </si>
  <si>
    <t>FIX - just trap this error, since restoring map state isn't really that big a deal</t>
  </si>
  <si>
    <t>Common bug report on android versions 4 0    7 0  unable to repro in debugging _x000D_
Some notes online indicate that this happens with specific GMS versions  is not fault of use _x000D_
_x000D_
Since this shouldn t crash the app  we re trapping and logging  although we ll continue to look for more info</t>
  </si>
  <si>
    <t>HueToYou-ChatExchange-old-7</t>
  </si>
  <si>
    <t>App crashes on account removal</t>
  </si>
  <si>
    <t xml:space="preserve">Open Android Settings  Accounts  Chat Exchange and remove all accounts  while Chat Exchange is running in the background _x000D_
_x000D_
Open Chat Exchange and try to open Settings there  The app will crash  It will crash again on launch  but eventually go to the login screen _x000D_
_x000D_
Not a major issue  but definitely something we need to fix at some point </t>
  </si>
  <si>
    <t>SecUSo-privacy-friendly-shopping-list-41</t>
  </si>
  <si>
    <t>rx.exceptions.OnErrorNotImplementedException</t>
  </si>
  <si>
    <t xml:space="preserve">This is a very frequent problem causing the app to crash on at least 200 devices of our users _x000D_
_x000D_
This is the error on Android 5  6 and 7 _x000D_
 _x000D_
java lang IllegalStateException: _x000D_
  at rx android schedulers LooperScheduler ScheduledAction run(LooperScheduler java:112)_x000D_
  at android os Handler handleCallback(Handler java:739)_x000D_
  at android os Handler dispatchMessage(Handler java:95)_x000D_
  at android os Looper loop(Looper java:135)_x000D_
  at android app ActivityThread main(ActivityThread java:5254)_x000D_
  at java lang reflect Method invoke(Native Method:0)_x000D_
  at java lang reflect Method invoke(Method java:372)_x000D_
  at com android internal os ZygoteInit MethodAndArgsCaller run(ZygoteInit java:902)_x000D_
  at com android internal os ZygoteInit main(ZygoteInit java:697)_x000D_
Caused by: rx exceptions OnErrorNotImplementedException: _x000D_
  at rx internal util InternalObservableUtils ErrorNotImplementedAction call(InternalObservableUtils java:374)_x000D_
  at rx internal util InternalObservableUtils ErrorNotImplementedAction call(InternalObservableUtils java:371)_x000D_
  at rx internal util ActionSubscriber onError(ActionSubscriber java:44)_x000D_
  at rx observers SafeSubscriber  onError(SafeSubscriber java:157)_x000D_
  at rx observers SafeSubscriber onError(SafeSubscriber java:120)_x000D_
  at rx internal operators OperatorDoOnEach 1 onError(OperatorDoOnEach java:71)_x000D_
  at rx internal operators OperatorObserveOn ObserveOnSubscriber checkTerminated(OperatorObserveOn java:264)_x000D_
  at rx internal operators OperatorObserveOn ObserveOnSubscriber call(OperatorObserveOn java:207)_x000D_
  at rx android schedulers LooperScheduler ScheduledAction run(LooperScheduler java:107)_x000D_
 _x000D_
_x000D_
This is the error an Android 4:_x000D_
 _x000D_
java lang IllegalStateException: _x000D_
  at rx android schedulers LooperScheduler ScheduledAction run(LooperScheduler java:112)_x000D_
  at android os Handler handleCallback(Handler java:808)_x000D_
  at android os Handler dispatchMessage(Handler java:103)_x000D_
  at android os Looper loop(Looper java:193)_x000D_
  at android app ActivityThread main(ActivityThread java:5345)_x000D_
  at java lang reflect Method invokeNative(Native Method:0)_x000D_
  at java lang reflect Method invoke(Method java:515)_x000D_
  at com android internal os ZygoteInit MethodAndArgsCaller run(ZygoteInit java:824)_x000D_
  at com android internal os ZygoteInit main(ZygoteInit java:640)_x000D_
  at dalvik system NativeStart main(Native Method:0)_x000D_
Caused by: rx exceptions OnErrorNotImplementedException: _x000D_
  at rx internal util InternalObservableUtils ErrorNotImplementedAction call(InternalObservableUtils java:374)_x000D_
  at rx internal util InternalObservableUtils ErrorNotImplementedAction call(InternalObservableUtils java:371)_x000D_
  at rx internal util ActionSubscriber onError(ActionSubscriber java:44)_x000D_
  at rx observers SafeSubscriber  onError(SafeSubscriber java:157)_x000D_
  at rx observers SafeSubscriber onError(SafeSubscriber java:120)_x000D_
  at rx internal operators OperatorDoOnEach 1 onError(OperatorDoOnEach java:71)_x000D_
  at rx internal operators OperatorObserveOn ObserveOnSubscriber checkTerminated(OperatorObserveOn java:264)_x000D_
  at rx internal operators OperatorObserveOn ObserveOnSubscriber call(OperatorObserveOn java:207)_x000D_
  at rx android schedulers LooperScheduler ScheduledAction run(LooperScheduler java:107)_x000D_
 </t>
  </si>
  <si>
    <t>eurofurence-ef-app_android-97</t>
  </si>
  <si>
    <t>App crashes when viewing a Knowledge entry detail</t>
  </si>
  <si>
    <t xml:space="preserve">2 0 1 Build 65 on Android 7 1 1 (Emulator)_x000D_
_x000D_
Tapping on any item causes the app to crash _x000D_
_x000D_
  android (https:  user images githubusercontent com 13329381 27854343 c2fe5146 6166 11e7 8468 f19e75d435cb png)_x000D_
</t>
  </si>
  <si>
    <t>vector-im-riot-android-1410</t>
  </si>
  <si>
    <t>crash when the mark all response is received whereas the user switches to another fragment</t>
  </si>
  <si>
    <t xml:space="preserve">Steps to reproduce_x000D_
_x000D_
  Select  Mark all as read  on the home menu with many unread messages and on a slow network_x000D_
  Switch to another home tab_x000D_
      the app used to crash when the response was received_x000D_
_x000D_
https:  github com matrix org riot android rageshakes issues 515_x000D_
https:  github com matrix org riot android rageshakes issues 519_x000D_
_x000D_
_x000D_
</t>
  </si>
  <si>
    <t>twilio-voice-quickstart-android-74</t>
  </si>
  <si>
    <t>Outgoing call not disconnecting</t>
  </si>
  <si>
    <t>Hi _x000D_
_x000D_
Please look at this  its urgent  I am using   com twilio:voice android:2 0 0 beta14  _x000D_
_x000D_
When I dial a number and it running on data network(not wifi) then sometimes it does not disconnect for a long time i e  I hit disconnect button it does not disconnect from call even continuous hit of disconnect button not disconnecting the call for a long time _x000D_
_x000D_
Here are debug logs  please look at this   _x000D_
_x000D_
You can see in logs that sometimes disconnect call in a single hit of button but sometimes it does not disconnect call even for many hit of button  Please provide the reason and solutions _x000D_
_x000D_
07 06 10:46:50 153 6376 6376   I art: Late enabling  Xcheck:jni_x000D_
07 06 10:46:50 227 6376 6376 com app dealer app D FirebaseApp: com google firebase auth FirebaseAuth is not linked  Skipping initialization _x000D_
07 06 10:46:50 247 6376 6376 com app dealer app W InstanceID Rpc: Found 10015_x000D_
07 06 10:46:50 257 6376 6376 com app dealer app D FirebaseApp: com google firebase crash FirebaseCrash is not linked  Skipping initialization _x000D_
07 06 10:46:50 265 6376 6376 com app dealer app I FA: App measurement is starting up  version: 10298_x000D_
07 06 10:46:50 279 6376 6376 com app dealer app I FA: To enable faster debug mode event logging run:_x000D_
                                                        adb shell setprop debug firebase analytics app com app dealer app_x000D_
07 06 10:46:50 289 6376 6376 com app dealer app I FirebaseInitProvider: FirebaseApp initialization successful_x000D_
07 06 10:46:50 604 6376 6435 com app dealer app D OpenGLRenderer: Use EGL SWAP BEHAVIOR PRESERVED: true_x000D_
07 06 10:46:50 756 6376 6435 com app dealer app I Adreno: QUALCOMM build                   : 576fcee  I44fb0b5862_x000D_
                                                          Build Date                       : 08 26 15_x000D_
                                                          OpenGL ES Shader Compiler Version: XE031 05 13 02_x000D_
                                                          Local Branch                     : M13_x000D_
                                                          Remote Branch                    : _x000D_
                                                          Remote Branch                    : _x000D_
                                                          Reconstruct Branch               : _x000D_
07 06 10:46:50 763 6376 6435 com app dealer app I OpenGLRenderer: Initialized EGL  version 1 4_x000D_
07 06 10:46:50 933 6376 6408 com app dealer app D FA: Connected to remote service_x000D_
07 06 10:46:53 441 6376 6472 com app dealer app E Volley:  549  a a: Request at https:  app callproof com hustle check token has been redirected to http:  app callproof com hustle check token _x000D_
07 06 10:46:54 261 6376 6472 com app dealer app E Volley:  549  a a: Request at https:  app callproof com hustle check token has been redirected to https:  app callproof com hustle check token _x000D_
07 06 10:46:55 780 6376 6408 com app dealer app I FA: Tag Manager is not found and thus will not be used_x000D_
07 06 10:46:55 785 6376 6408 com app dealer app D FA: Logging event (FE):  e  Bundle   o auto   et 5175   sc SplashActivity   si  8312459897050214430  _x000D_
07 06 10:46:56 340 6376 6438 com app dealer app I ModelSpecificDistanceCalculator: Successfully saved new distance model file_x000D_
07 06 10:46:56 343 6376 6438 com app dealer app W ModelSpecificDistanceCalculator: Cannot find match for this device   Using default_x000D_
07 06 10:46:56 343 6376 6438 com app dealer app I ModelSpecificDistanceCalculator: Successfully updated distance model with latest from online database_x000D_
07 06 10:47:02 752 6376 6408 com app dealer app D FA: Logging event (FE):  s  Bundle   o auto   sc LoginActivity   si  8312459897050214429  _x000D_
07 06 10:47:02 780 6376 6408 com app dealer app D FA: Connected to remote service_x000D_
07 06 10:47:07 582 6376 6408 com app dealer app D FA: Logging event (FE):  e  Bundle   o auto   et 10745   sc LoginActivity   si  8312459897050214429  _x000D_
07 06 10:47:07 606 6376 6376 com app dealer app I AppCompatViewInflater: app:theme is now deprecated  Please move to using android:theme instead _x000D_
07 06 10:47:07 829 6376 6816 com app dealer app E ProviderInstaller: libgmscore version mismatch (0 vs  11055)_x000D_
07 06 10:47:07 829 6376 6816 com app dealer app W IonConscrypt: Conscrypt initialization failed _x000D_
07 06 10:47:26 642 6376 6408 com app dealer app D FA: Logging event (FE):  e  Bundle   o auto   et 18899   sc HomeActivity   si  8312459897050214428  _x000D_
07 06 10:47:26 817 6376 6376 com app dealer app I PJSIP: 10:47:26 817 os core unix c  pjlib 2 5 1 for POSIX initialized_x000D_
07 06 10:47:26 819 6376 6376 com app dealer app D PJSIP: 10:47:26 819 sip endpoint c   Creating endpoint instance   _x000D_
07 06 10:47:26 819 6376 6376 com app dealer app I PJSIP: 10:47:26 819          pjlib   select() I O Queue created (0x974fd044)_x000D_
07 06 10:47:26 819 6376 6376 com app dealer app I PJSIP: 10:47:26 819 sip endpoint c   Module  mod msg print  registered_x000D_
07 06 10:47:26 819 6376 6376 com app dealer app D PJSIP: 10:47:26 819 sip transport    Transport manager created _x000D_
07 06 10:47:26 819 6376 6376 com app dealer app I PJSIP: 10:47:26 819   pjsua core c   PJSUA state changed: NULL     CREATED_x000D_
07 06 10:47:26 845 6376 7318 com app dealer app W AudioTrack: AUDIO OUTPUT FLAG FAST denied by client  transfer 1  track 16000 Hz  output 48000 Hz_x000D_
07 06 10:47:26 848 6376 7318 com app dealer app W AudioRecord: AUDIO INPUT FLAG FAST denied by client  transfer 1  track 16000 Hz  primary 48000 Hz_x000D_
07 06 10:47:26 930 6376 6408 com app dealer app D FA: Connected to remote service_x000D_
07 06 10:47:26 932 6376 6376 com app dealer app D CallControlManager: got connectivity broadcast: haveConn true  reason null  isFailover false_x000D_
07 06 10:47:26 937 6376 6376 com app dealer app D CallControlManager: got wifi SSID:  IdeaMessenger306 _x000D_
07 06 10:47:26 937 6376 6376 com app dealer app D CallControlManager: NET CHANGE EVENT: connected true  wasConnected true  netTypeChanged true_x000D_
07 06 10:47:26 937 6376 6376 com app dealer app D CallControlManager: switched networks to type 1_x000D_
07 06 10:47:27 233 6376 6437 com app dealer app D BluetoothAdapter: STATE ON_x000D_
07 06 10:47:27 317 6376 7318 com app dealer app D CallControlManager: onCallSDPCreated notification received_x000D_
07 06 10:47:27 320 6376 7318 com app dealer app D CallControlManager: received CALLING_x000D_
07 06 10:47:27 793 6376 6376 com app dealer app D Call: Calling disconnect CONNECTING_x000D_
07 06 10:47:27 794 6376 6376 com app dealer app I TwilioOutgoingCallActivity:       disconnect_x000D_
07 06 10:47:29 120 6376 6376 com app dealer app D Call: Calling disconnect CONNECTING_x000D_
07 06 10:47:29 120 6376 6376 com app dealer app I TwilioOutgoingCallActivity:       disconnect_x000D_
07 06 10:47:29 681 6376 7316 com app dealer app D CallControlManager: received EARLY_x000D_
07 06 10:47:29 683 6376 7316 com app dealer app D CallControlManager: onTransactionState received CA857159ea02b3f83bc16d5045369d8aaf_x000D_
07 06 10:47:29 821 6376 7316 com app dealer app D CallControlManager: received DISCONNECTED_x000D_
07 06 10:47:29 822 6376 7316 com app dealer app D InternalCall: Publishing event : disconnected by local_x000D_
07 06 10:47:29 890 6376 7316 com app dealer app D EventPublisher: Start publishing events to : https:  eventgw twilio com v3 EndpointEvents_x000D_
                                                                    name : disconnected by local   group : connection   timestamp : 2017 07 06T05:17:29 827Z   level : INFO   private :false  payload type : application  json   publisher : twilio voice android   publisher metadata :  client address : FE80::C42:E9FF:FEAA:DFAB   os name : android   os version : 6 0   device model : Motorola Nexus 6   device vendor : motorola   device type : Nexus 6   cpu architecture : armeabi v7a    payload :  timestamp ms :1499318249823  call sid : CA857159ea02b3f83bc16d5045369d8aaf   sdk version : 2 0 0 beta14   platform : android   direction : OUTGOING   _x000D_
07 06 10:47:29 892 6376 6376 com app dealer app I TwilioOutgoingCallActivity:       disconnect 111_x000D_
07 06 10:47:29 919 6376 6408 com app dealer app D FA: Logging event (FE):  e  Bundle   o auto   et 3073   sc TwilioOutgoingCallActivity   si  8312459897050214427  _x000D_
07 06 10:47:30 957 6376 7318 com app dealer app D CallControlManager: onCallSDPCreated notification received_x000D_
07 06 10:47:30 960 6376 7318 com app dealer app D CallControlManager: received CALLING_x000D_
07 06 10:47:31 003 6376 7318 com app dealer app D CallCommandHandlerImpl: Shutting down thread_x000D_
07 06 10:47:31 029 6376 7374 com app dealer app D EventPublisher: Response: 200   OK_x000D_
07 06 10:47:31 864 6376 6376 com app dealer app D CallControlManager: received DISCONNECTED_x000D_
07 06 10:47:31 864 6376 6376 com app dealer app D InternalCall: Publishing event : disconnected by remote_x000D_
07 06 10:47:31 864 6376 6376 com app dealer app W InternalCall: sid is null  Not publishing disconnected by remote event _x000D_
07 06 10:47:32 395 6376 6376 com app dealer app I Choreographer: Skipped 85 frames   The application may be doing too much work on its main thread _x000D_
07 06 10:47:32 431 6376 6376 com app dealer app I TwilioOutgoingCallActivity:       disconnect 111_x000D_
07 06 10:47:32 483 6376 6408 com app dealer app D FA: Logging event (FE):  e  Bundle   o auto   et 1521   sc TwilioOutgoingCallActivity   si  8312459897050214426  _x000D_
07 06 10:47:50 288 6376 6408 com app dealer app D FA: Logging event (FE):  e  Bundle   o auto   et 17773   sc HomeActivity   si  8312459897050214428  _x000D_
07 06 10:47:50 433 6376 6376 com app dealer app I PJSIP: 10:47:50 433 os core unix c  pjlib 2 5 1 for POSIX initialized_x000D_
07 06 10:47:50 435 6376 6376 com app dealer app I PJSIP: 10:47:50 435          pjlib   select() I O Queue created (0x8cbbd044)_x000D_
07 06 10:47:50 436 6376 6376 com app dealer app I PJSIP: 10:47:50 436 sip endpoint c   Module  mod msg print  registered_x000D_
07 06 10:47:50 436 6376 6376 com app dealer app I PJSIP: 10:47:50 436   pjsua core c   PJSUA state changed: NULL     CREATED_x000D_
07 06 10:47:50 448 6376 7712 com app dealer app W AudioTrack: AUDIO OUTPUT FLAG FAST denied by client  transfer 1  track 16000 Hz  output 48000 Hz_x000D_
07 06 10:47:50 453 6376 7712 com app dealer app W AudioRecord: AUDIO INPUT FLAG FAST denied by client  transfer 1  track 16000 Hz  primary 48000 Hz_x000D_
07 06 10:47:50 503 6376 6376 com app dealer app D CallControlManager: got connectivity broadcast: haveConn true  reason null  isFailover false_x000D_
07 06 10:47:50 504 6376 6376 com app dealer app D CallControlManager: got wifi SSID:  IdeaMessenger306 _x000D_
07 06 10:47:50 505 6376 6376 com app dealer app D CallControlManager: NET CHANGE EVENT: connected true  wasConnected true  netTypeChanged true_x000D_
07 06 10:47:50 505 6376 6376 com app dealer app D CallControlManager: switched networks to type 1_x000D_
07 06 10:47:50 506 6376 6408 com app dealer app D FA: Connected to remote service_x000D_
07 06 10:47:50 927 6376 7712 com app dealer app D CallControlManager: onCallSDPCreated notification received_x000D_
07 06 10:47:50 928 6376 7712 com app dealer app D CallControlManager: received CALLING_x000D_
07 06 10:47:51 898 6376 6376 com app dealer app D Call: Calling disconnect CONNECTING_x000D_
07 06 10:47:51 898 6376 6376 com app dealer app I TwilioOutgoingCallActivity:       disconnect_x000D_
07 06 10:47:54 461 6376 7710 com app dealer app D CallControlManager: received EARLY_x000D_
07 06 10:47:54 463 6376 7710 com app dealer app D CallControlManager: onTransactionState received CA2a625b0031311293a36244b2677a8275_x000D_
07 06 10:47:54 467 6376 7710 com app dealer app D CallControlManager: received CONNECTING_x000D_
07 06 10:47:54 467 6376 7710 com app dealer app A PJSIP: 10:47:54 467   pjsua call c       Unable to create media session: No active media stream after negotiation (PJMEDIA SDPNEG ENOMEDIA)  status 220048 _x000D_
07 06 10:47:54 470 6376 7710 com app dealer app D CallControlManager: received CONFIRMED_x000D_
07 06 10:47:54 471 6376 7710 com app dealer app D CallControlManager: onTransactionState received CA2a625b0031311293a36244b2677a8275_x000D_
07 06 10:47:54 601 6376 7710 com app dealer app D CallControlManager: received DISCONNECTED_x000D_
07 06 10:47:54 603 6376 6376 com app dealer app I TwilioOutgoingCallActivity:       disconnect 111_x000D_
07 06 10:47:54 629 6376 6408 com app dealer app D FA: Logging event (FE):  e  Bundle   o auto   et 4177   sc TwilioOutgoingCallActivity   si  8312459897050214425  _x000D_
07 06 10:47:54 665 6376 6376 com app dealer app I CycledLeScanner: Adjusted nextScanStartTime to be Thu Jul 06 10:47:51 GMT 05:30 2017_x000D_
07 06 10:47:55 606 6376 7712 com app dealer app D CallCommandHandlerImpl: Shutting down thread_x000D_
07 06 10:48:40 985 6376 8773 com app dealer app D FA: Logging event (FE):  e  Bundle   o auto   et 46332   sc HomeActivity   si  8312459897050214428  _x000D_
07 06 10:48:41 011 6376 8773 com app dealer app D FA: Connected to remote service_x000D_
07 06 10:49:16 245 6376 9601 com app dealer app D FA: Logging event (FE):  e  Bundle   o auto   et 35119   sc HomeActivity   si  8312459897050214428  _x000D_
07 06 10:49:16 280 6376 9601 com app dealer app D FA: Connected to remote service_x000D_
07 06 10:49:48 774 6376 9601 com app dealer app D FA: Logging event (FE):  e  Bundle   o auto   et 32461   sc HomeActivity   si  8312459897050214428  _x000D_
07 06 10:49:48 918 6376 6376 com app dealer app I PJSIP: 10:49:48 918 os core unix c  pjlib 2 5 1 for POSIX initialized_x000D_
07 06 10:49:48 920 6376 6376 com app dealer app I PJSIP: 10:49:48 920          pjlib   select() I O Queue created (0x95ffc044)_x000D_
07 06 10:49:48 920 6376 6376 com app dealer app I PJSIP: 10:49:48 920 sip endpoint c   Module  mod msg print  registered_x000D_
07 06 10:49:48 920 6376 6376 com app dealer app I PJSIP: 10:49:48 920   pjsua core c   PJSUA state changed: NULL     CREATED_x000D_
07 06 10:49:48 932 6376 10348 com app dealer app W AudioTrack: AUDIO OUTPUT FLAG FAST denied by client  transfer 1  track 16000 Hz  output 48000 Hz_x000D_
07 06 10:49:48 937 6376 10348 com app dealer app W AudioRecord: AUDIO INPUT FLAG FAST denied by client  transfer 1  track 16000 Hz  primary 48000 Hz_x000D_
07 06 10:49:48 986 6376 6376 com app dealer app D CallControlManager: got connectivity broadcast: haveConn true  reason null  isFailover false_x000D_
07 06 10:49:48 987 6376 6376 com app dealer app D CallControlManager: NET CHANGE EVENT: connected true  wasConnected true  netTypeChanged true_x000D_
07 06 10:49:48 987 6376 6376 com app dealer app D CallControlManager: switched networks to type 0_x000D_
07 06 10:49:48 988 6376 9601 com app dealer app D FA: Connected to remote service_x000D_
07 06 10:49:49 415 6376 10348 com app dealer app D CallControlManager: onCallSDPCreated notification received_x000D_
07 06 10:49:49 417 6376 10348 com app dealer app D CallControlManager: received CALLING_x000D_
07 06 10:49:50 155 6376 6376 com app dealer app D Call: Calling disconnect CONNECTING_x000D_
07 06 10:49:50 156 6376 6376 com app dealer app I TwilioOutgoingCallActivity:       disconnect_x000D_
07 06 10:49:52 493 6376 10346 com app dealer app D CallControlManager: received EARLY_x000D_
07 06 10:49:52 494 6376 10346 com app dealer app D CallControlManager: onTransactionState received CA4317afcd79ad206c88cc934be0153756_x000D_
07 06 10:49:52 759 6376 6376 com app dealer app D Call: Calling disconnect CONNECTING_x000D_
07 06 10:49:52 759 6376 6376 com app dealer app I TwilioOutgoingCallActivity:       disconnect_x000D_
07 06 10:49:53 284 6376 10346 com app dealer app D CallControlManager: received DISCONNECTED_x000D_
07 06 10:49:53 284 6376 10346 com app dealer app D InternalCall: Publishing event : disconnected by local_x000D_
07 06 10:49:53 299 6376 10346 com app dealer app D EventPublisher: Start publishing events to : https:  eventgw twilio com v3 EndpointEvents_x000D_
                                                                     name : disconnected by local   group : connection   timestamp : 2017 07 06T05:19:53 286Z   level : INFO   private :false  payload type : application  json   publisher : twilio voice android   publisher metadata :  client address : FE80::C42:E9FF:FEAA:DFAB   os name : android   os version : 6 0   device model : Motorola Nexus 6   device vendor : motorola   device type : Nexus 6   cpu architecture : armeabi v7a    payload :  timestamp ms :1499318393285  call sid : CA4317afcd79ad206c88cc934be0153756   sdk version : 2 0 0 beta14   platform : android   direction : OUTGOING   _x000D_
07 06 10:49:53 300 6376 6376 com app dealer app I TwilioOutgoingCallActivity:       disconnect 111_x000D_
07 06 10:49:53 328 6376 9601 com app dealer app D FA: Logging event (FE):  e  Bundle   o auto   et 4391   sc TwilioOutgoingCallActivity   si  8312459897050214424  _x000D_
ler app D BluetoothAdapter: STATE ON_x000D_
07 06 10:49:54 300 6376 10348 com app dealer app D CallCommandHandlerImpl: Shutting down thread_x000D_
07 06 10:49:54 951 6376 10420 com app dealer app D EventPublisher: Response: 200   OK_x000D_
07 06 10:49:59 337 6376 9601 com app dealer app D FA: Logging event (FE):  e  Bundle   o auto   et 5990   sc HomeActivity   si  8312459897050214428  _x000D_
07 06 10:49:59 487 6376 6376 com app dealer app I PJSIP: 10:49:59 487 os core unix c  pjlib 2 5 1 for POSIX initialized_x000D_
07 06 10:49:59 490 6376 6376 com app dealer app I PJSIP: 10:49:59 490          pjlib   select() I O Queue created (0x8c451044)_x000D_
07 06 10:49:59 490 6376 6376 com app dealer app I PJSIP: 10:49:59 490 sip endpoint c   Module  mod msg print  registered_x000D_
07 06 10:49:59 490 6376 6376 com app dealer app I PJSIP: 10:49:59 490   pjsua core c   PJSUA state changed: NULL     CREATED_x000D_
07 06 10:49:59 505 6376 10540 com app dealer app W AudioTrack: AUDIO OUTPUT FLAG FAST denied by client  transfer 1  track 16000 Hz  output 48000 Hz_x000D_
07 06 10:49:59 509 6376 10540 com app dealer app W AudioRecord: AUDIO INPUT FLAG FAST denied by client  transfer 1  track 16000 Hz  primary 48000 Hz_x000D_
07 06 10:49:59 561 6376 9601 com app dealer app D FA: Connected to remote service_x000D_
07 06 10:49:59 561 6376 6376 com app dealer app D CallControlManager: got connectivity broadcast: haveConn true  reason null  isFailover false_x000D_
07 06 10:49:59 562 6376 6376 com app dealer app D CallControlManager: NET CHANGE EVENT: connected true  wasConnected true  netTypeChanged true_x000D_
07 06 10:49:59 562 6376 6376 com app dealer app D CallControlManager: switched networks to type 0_x000D_
07 06 10:49:59 971 6376 10540 com app dealer app D CallControlManager: onCallSDPCreated notification received_x000D_
07 06 10:49:59 976 6376 10540 com app dealer app D CallControlManager: received CALLING_x000D_
07 06 10:50:01 146 6376 6376 com app dealer app D Call: Calling disconnect CONNECTING_x000D_
07 06 10:50:01 146 6376 6376 com app dealer app I TwilioOutgoingCallActivity:       disconnect_x000D_
07 06 10:50:03 563 6376 10538 com app dealer app D CallControlManager: received EARLY_x000D_
07 06 10:50:03 564 6376 10538 com app dealer app D CallControlManager: onTransactionState received CAf4c9795dca88ee3374de1b0a26fb172a_x000D_
07 06 10:50:03 933 6376 10538 com app dealer app D CallControlManager: received CONNECTING_x000D_
07 06 10:50:03 935 6376 10538 com app dealer app D CallControlManager: received CONFIRMED_x000D_
07 06 10:50:03 936 6376 10538 com app dealer app D CallControlManager: onTransactionState received CAf4c9795dca88ee3374de1b0a26fb172a_x000D_
07 06 10:50:04 379 6376 10538 com app dealer app D CallControlManager: received DISCONNECTED_x000D_
07 06 10:50:04 379 6376 10538 com app dealer app D InternalCall: Publishing event : disconnected by local_x000D_
07 06 10:50:04 400 6376 10538 com app dealer app D EventPublisher: Start publishing events to : https:  eventgw twilio com v3 EndpointEvents_x000D_
                                                                     name : disconnected by local   group : connection   timestamp : 2017 07 06T05:20:04 384Z   level : INFO   private :false  payload type : application  json   publisher : twilio voice android   publisher metadata :  client address : FE80::C42:E9FF:FEAA:DFAB   os name : android   os version : 6 0   device model : Motorola Nexus 6   device vendor : motorola   device type : Nexus 6   cpu architecture : armeabi v7a    payload :  timestamp ms :1499318404381  call sid : CAf4c9795dca88ee3374de1b0a26fb172a   sdk version : 2 0 0 beta14   platform : android   direction : OUTGOING   _x000D_
07 06 10:50:04 401 6376 6376 com app dealer app I TwilioOutgoingCallActivity:       disconnect 111_x000D_
07 06 10:50:04 454 6376 9601 com app dealer app D FA: Logging event (FE):  e  Bundle   o auto   et 4938   sc TwilioOutgoingCallActivity   si  8312459897050214423  _x000D_
07 06 10:50:05 401 6376 10540 com app dealer app D CallCommandHandlerImpl: Shutting down thread_x000D_
07 06 10:50:05 741 6376 10616 com app dealer app D EventPublisher: Response: 200   OK_x000D_
07 06 10:50:09 318 6376 9601 com app dealer app D FA: Logging event (FE):  e  Bundle   o auto   et 4847   sc HomeActivity   si  8312459897050214428  _x000D_
07 06 10:50:09 488 6376 6376 com app dealer app I PJSIP: 10:50:09 488 os core unix c  pjlib 2 5 1 for POSIX initialized_x000D_
07 06 10:50:09 490 6376 6376 com app dealer app I PJSIP: 10:50:09 490          pjlib   select() I O Queue created (0x95ffc044)_x000D_
07 06 10:50:09 490 6376 6376 com app dealer app I PJSIP: 10:50:09 490 sip endpoint c   Module  mod msg print  registered_x000D_
07 06 10:50:09 490 6376 6376 com app dealer app I PJSIP: 10:50:09 490   pjsua core c   PJSUA state changed: NULL     CREATED_x000D_
07 06 10:50:09 505 6376 10718 com app dealer app W AudioTrack: AUDIO OUTPUT FLAG FAST denied by client  transfer 1  track 16000 Hz  output 48000 Hz_x000D_
07 06 10:50:09 509 6376 10718 com app dealer app W AudioRecord: AUDIO INPUT FLAG FAST denied by client  transfer 1  track 16000 Hz  primary 48000 Hz_x000D_
07 06 10:50:09 572 6376 6376 com app dealer app D CallControlManager: got connectivity broadcast: haveConn true  reason null  isFailover false_x000D_
07 06 10:50:09 573 6376 6376 com app dealer app D CallControlManager: NET CHANGE EVENT: connected true  wasConnected true  netTypeChanged true_x000D_
07 06 10:50:09 573 6376 6376 com app dealer app D CallControlManager: switched networks to type 0_x000D_
07 06 10:50:09 939 6376 6437 com app dealer app D BluetoothAdapter: STATE ON_x000D_
07 06 10:50:09 995 6376 10718 com app dealer app D CallControlManager: onCallSDPCreated notification received_x000D_
07 06 10:50:09 997 6376 10718 com app dealer app D CallControlManager: received CALLING_x000D_
07 06 10:50:12 139 6376 6376 com app dealer app D Call: Calling disconnect CONNECTING_x000D_
07 06 10:50:12 139 6376 6376 com app dealer app I TwilioOutgoingCallActivity:       disconnect_x000D_
07 06 10:50:12 833 6376 10716 com app dealer app D CallControlManager: received EARLY_x000D_
07 06 10:50:12 834 6376 10716 com app dealer app D CallControlManager: onTransactionState received CA459bb092cce03da46f09b847da1e8480_x000D_
07 06 10:50:13 173 6376 10716 com app dealer app D CallControlManager: received DISCONNECTED_x000D_
07 06 10:50:13 173 6376 10716 com app dealer app D InternalCall: Publishing event : disconnected by local_x000D_
07 06 10:50:13 190 6376 10716 com app dealer app D EventPublisher: Start publishing events to : https:  eventgw twilio com v3 EndpointEvents_x000D_
                                                                     name : disconnected by local   group : connection   timestamp : 2017 07 06T05:20:13 175Z   level : INFO   private :false  payload type : application  json   publisher : twilio voice android   publisher metadata :  client address : FE80::C42:E9FF:FEAA:DFAB   os name : android   os version : 6 0   device model : Motorola Nexus 6   device vendor : motorola   device type : Nexus 6   cpu architecture : armeabi v7a    payload :  timestamp ms :1499318413173  call sid : CA459bb092cce03da46f09b847da1e8480   sdk version : 2 0 0 beta14   platform : android   direction : OUTGOING   _x000D_
07 06 10:50:13 191 6376 6376 com app dealer app I TwilioOutgoingCallActivity:       disconnect 111_x000D_
07 06 10:50:13 215 6376 9601 com app dealer app D FA: Logging event (FE):  e  Bundle   o auto   et 3707   sc TwilioOutgoingCallActivity   si  8312459897050214422  _x000D_
07 06 10:50:14 192 6376 10718 com app dealer app D CallCommandHandlerImpl: Shutting down thread_x000D_
07 06 10:50:14 435 6376 10773 com app dealer app D EventPublisher: Response: 200   OK_x000D_
07 06 10:50:16 191 6376 9601 com app dealer app D FA: Logging event (FE):  e  Bundle   o auto   et 2967   sc HomeActivity   si  8312459897050214428  _x000D_
07 06 10:50:16 201 6376 6376 com app dealer app I BeaconService: set scan intervals received_x000D_
07 06 10:50:16 350 6376 6376 com app dealer app I PJSIP: 10:50:16 350 os core unix c  pjlib 2 5 1 for POSIX initialized_x000D_
07 06 10:50:16 352 6376 6376 com app dealer app I PJSIP: 10:50:16 351          pjlib   select() I O Queue created (0x8c451044)_x000D_
07 06 10:50:16 352 6376 6376 com app dealer app I PJSIP: 10:50:16 352 sip endpoint c   Module  mod msg print  registered_x000D_
07 06 10:50:16 352 6376 6376 com app dealer app I PJSIP: 10:50:16 352   pjsua core c   PJSUA state changed: NULL     CREATED_x000D_
07 06 10:50:16 367 6376 10845 com app dealer app W AudioTrack: AUDIO OUTPUT FLAG FAST denied by client  transfer 1  track 16000 Hz  output 48000 Hz_x000D_
07 06 10:50:16 370 6376 10845 com app dealer app W AudioRecord: AUDIO INPUT FLAG FAST denied by client  transfer 1  track 16000 Hz  primary 48000 Hz_x000D_
07 06 10:50:16 414 6376 6376 com app dealer app D CallControlManager: got connectivity broadcast: haveConn true  reason null  isFailover false_x000D_
07 06 10:50:16 415 6376 6376 com app dealer app D CallControlManager: NET CHANGE EVENT: connected true  wasConnected true  netTypeChanged true_x000D_
07 06 10:50:16 415 6376 6376 com app dealer app D CallControlManager: switched networks to type 0_x000D_
07 06 10:50:16 680 6376 6437 com app dealer app D BluetoothAdapter: STATE ON_x000D_
07 06 10:50:16 805 6376 10845 com app dealer app D CallControlManager: onCallSDPCreated notification received_x000D_
07 06 10:50:16 807 6376 10845 com app dealer app D CallControlManager: received CALLING_x000D_
07 06 10:50:17 538 6376 6376 com app dealer app D Call: Calling disconnect CONNECTING_x000D_
07 06 10:50:17 539 6376 6376 com app dealer app I TwilioOutgoingCallActivity:       disconnect_x000D_
07 06 10:50:24 836 6376 6376 com app dealer app D Call: Calling disconnect CONNECTING_x000D_
07 06 10:50:24 836 6376 6376 com app dealer app I TwilioOutgoingCallActivity:       disconnect_x000D_
07 06 10:50:32 895 6376 6376 com app dealer app D Call: Calling disconnect CONNECTING_x000D_
07 06 10:50:32 895 6376 6376 com app dealer app I TwilioOutgoingCallActivity:       disconnect_x000D_
07 06 10:50:34 974 6376 10843 com app dealer app D CallControlManager: received EARLY_x000D_
07 06 10:50:34 978 6376 10843 com app dealer app D CallControlManager: onTransactionState received CAfa291874604f558c1cd2f7df291f0a21_x000D_
07 06 10:50:34 980 6376 10843 com app dealer app D CallControlManager: received CONNECTING_x000D_
07 06 10:50:34 983 6376 10843 com app dealer app D CallControlManager: received CONFIRMED_x000D_
07 06 10:50:34 984 6376 10843 com app dealer app D CallControlManager: onTransactionState received CAfa291874604f558c1cd2f7df291f0a21_x000D_
07 06 10:50:37 258 6376 6376 com app dealer app D Call: Calling disconnect CONNECTING_x000D_
07 06 10:50:37 258 6376 6376 com app dealer app I TwilioOutgoingCallActivity:       disconnect_x000D_
07 06 10:50:39 522 6376 6376 com app dealer app D Call: Calling disconnect CONNECTING_x000D_
07 06 10:50:39 523 6376 6376 com app dealer app I TwilioOutgoingCallActivity:       disconnect_x000D_
07 06 10:50:41 337 6376 6376 com app dealer app D Call: Calling disconnect CONNECTING_x000D_
07 06 10:50:41 337 6376 6376 com app dealer app I TwilioOutgoingCallActivity:       disconnect_x000D_
07 06 10:50:44 589 6376 6376 com app dealer app D Call: Calling disconnect CONNECTING_x000D_
07 06 10:50:44 589 6376 6376 com app dealer app I TwilioOutgoingCallActivity:       disconnect_x000D_
07 06 10:50:46 289 6376 6376 com app dealer app D Call: Calling disconnect CONNECTING_x000D_
07 06 10:50:46 289 6376 6376 com app dealer app I TwilioOutgoingCallActivity:       disconnect_x000D_
07 06 10:50:47 099 6376 6376 com app dealer app D Call: Calling disconnect CONNECTING_x000D_
07 06 10:50:47 100 6376 6376 com app dealer app I TwilioOutgoingCallActivity:       disconnect_x000D_
07 06 10:50:47 769 6376 6376 com app dealer app D Call: Calling disconnect CONNECTING_x000D_
07 06 10:50:47 769 6376 6376 com app dealer app I TwilioOutgoingCallActivity:       disconnect_x000D_
07 06 10:50:48 403 6376 6376 com app dealer app D Call: Calling disconnect CONNECTING_x000D_
07 06 10:50:48 403 6376 6376 com app dealer app I TwilioOutgoingCallActivity:       disconnect_x000D_
07 06 10:50:48 991 6376 6376 com app dealer app D Call: Calling disconnect CONNECTING_x000D_
07 06 10:50:48 991 6376 6376 com app dealer app I TwilioOutgoingCallActivity:       disconnect_x000D_
07 06 10:50:49 541 6376 6376 com app dealer app D Call: Calling disconnect CONNECTING_x000D_
07 06 10:50:49 541 6376 6376 com app dealer app I TwilioOutgoingCallActivity:       disconnect_x000D_
07 06 10:50:50 064 6376 6376 com app dealer app D Call: Calling disconnect CONNECTING_x000D_
07 06 10:50:50 064 6376 6376 com app dealer app I TwilioOutgoingCallActivity:       disconnect_x000D_
07 06 10:50:51 057 6376 6376 com app dealer app D Call: Calling disconnect CONNECTING_x000D_
07 06 10:50:51 057 6376 6376 com app dealer app I TwilioOutgoingCallActivity:       disconnect_x000D_
07 06 10:50:51 694 6376 6376 com app dealer app D Call: Calling disconnect CONNECTING_x000D_
07 06 10:50:51 694 6376 6376 com app dealer app I TwilioOutgoingCallActivity:       disconnect_x000D_
07 06 10:50:52 341 6376 6376 com app dealer app D Call: Calling disconnect CONNECTING_x000D_
07 06 10:50:52 342 6376 6376 com app dealer app I TwilioOutgoingCallActivity:       disconnect_x000D_
07 06 10:50:52 914 6376 6376 com app dealer app D Call: Calling disconnect CONNECTING_x000D_
07 06 10:50:52 915 6376 6376 com app dealer app I TwilioOutgoingCallActivity:       disconnect_x000D_
07 06 10:50:53 223 6376 6376 com app dealer app D Call: Calling disconnect CONNECTING_x000D_
07 06 10:50:53 223 6376 6376 com app dealer app I TwilioOutgoingCallActivity:       disconnect_x000D_
07 06 10:51:00 667 6376 10843 com app dealer app D CallControlManager: received DISCONNECTED_x000D_
07 06 10:51:00 667 6376 10843 com app dealer app D InternalCall: Publishing event : disconnected by local_x000D_
07 06 10:51:00 696 6376 10843 com app dealer app D EventPublisher: Start publishing events to : https:  eventgw twilio com v3 EndpointEvents_x000D_
                                                                     name : disconnected by local   group : connection   timestamp : 2017 07 06T05:21:00 675Z   level : INFO   private :false  payload type : application  json   publisher : twilio voice android   publisher metadata :  client address : FE80::C42:E9FF:FEAA:DFAB   os name : android   os version : 6 0   device model : Motorola Nexus 6   device vendor : motorola   device type : Nexus 6   cpu architecture : armeabi v7a    payload :  timestamp ms :1499318460669  call sid : CAfa291874604f558c1cd2f7df291f0a21   sdk version : 2 0 0 beta14   platform : android   direction : OUTGOING   _x000D_
07 06 10:51:00 697 6376 6376 com app dealer app I TwilioOutgoingCallActivity:       disconnect 111_x000D_
07 06 10:51:00 754 6376 11506 com app dealer app D FA: Logging event (FE):  e  Bundle   o auto   et 44372   sc TwilioOutgoingCallActivity   si  8312459897050214421  _x000D_
07 06 10:51:00 774 6376 6376 com app dealer app I BeaconService: set scan intervals received_x000D_
07 06 10:51:00 776 6376 6376 com app dealer app I CycledLeScanner: Adjusted nextScanStartTime to be Thu Jul 06 10:50:16 GMT 05:30 2017_x000D_
07 06 10:51:00 800 6376 11506 com app dealer app D FA: Connected to remote service_x000D_
07 06 10:51:01 697 6376 10845 com app dealer app D CallCommandHandlerImpl: Shutting down thread_x000D_
07 06 10:51:02 514 6376 6438 com app dealer app D EventPublisher: Response: 200   OK_x000D_
07 06 10:52:47 844 6376 6383 com app dealer app W art: Suspending all threads took: 13 653ms_x000D_
07 06 10:55:03 245 6376 6376 com app dealer app I BeaconService: set scan intervals received_x000D_
07 06 10:55:03 247 6376 15112 com app dealer app D FA: Logging event (FE):  e  Bundle   o auto   et 242492   sc HomeActivity   si  8312459897050214428  _x000D_
07 06 10:55:03 251 6376 6376 com app dealer app I CycledLeScanner: Adjusted scanStopTime to be 425210_x000D_
07 06 10:55:03 402 6376 6376 com app dealer app I PJSIP: 10:55:03 402 os core unix c  pjlib 2 5 1 for POSIX initialized_x000D_
07 06 10:55:03 405 6376 6376 com app dealer app I PJSIP: 10:55:03 405          pjlib   select() I O Queue created (0x88abd044)_x000D_
07 06 10:55:03 405 6376 6376 com app dealer app I PJSIP: 10:55:03 405 sip endpoint c   Module  mod msg print  registered_x000D_
07 06 10:55:03 405 6376 6376 com app dealer app I PJSIP: 10:55:03 405   pjsua core c   PJSUA state changed: NULL     CREATED_x000D_
07 06 10:55:03 418 6376 15127 com app dealer app W AudioTrack: AUDIO OUTPUT FLAG FAST denied by client  transfer 1  track 16000 Hz  output 48000 Hz_x000D_
07 06 10:55:03 423 6376 15127 com app dealer app W AudioRecord: AUDIO INPUT FLAG FAST denied by client  transfer 1  track 16000 Hz  primary 48000 Hz_x000D_
07 06 10:55:03 458 6376 6376 com app dealer app D CallControlManager: got connectivity broadcast: haveConn true  reason null  isFailover false_x000D_
07 06 10:55:03 458 6376 6376 com a</t>
  </si>
  <si>
    <t>inaturalist-iNaturalistAndroid-377</t>
  </si>
  <si>
    <t>obs detail map causing crash</t>
  </si>
  <si>
    <t>I think I m getting this crash quite a bit on obs detail from Explore:_x000D_
_x000D_
https:  fabric io inaturalist android apps org inaturalist android issues 57bd23a7ffcdc04250281320 time last seven days_x000D_
   _x000D_
Fatal Exception: java lang IllegalStateException: Error using newLatLngBounds(LatLngBounds  int): View size is too small after padding is applied _x000D_
       at com google maps api android lib6 common l a(:com google android gms DynamiteModulesB:14)_x000D_
       at com google maps api android lib6 gmm6 api a a(:com google android gms DynamiteModulesB:172)_x000D_
       at com google maps api android lib6 impl y a(:com google android gms DynamiteModulesB:3)_x000D_
       at com google maps api android lib6 gmm6 api a a(:com google android gms DynamiteModulesB:42)_x000D_
       at com google maps api android lib6 impl az a(:com google android gms DynamiteModulesB:338)_x000D_
       at com google android gms maps internal j onTransact(:com google android gms DynamiteModulesB:35)_x000D_
       at android os Binder transact(Binder java:387)_x000D_
       at com google android gms maps internal IGoogleMapDelegate zza zza moveCamera(Unknown Source)_x000D_
       at com google android gms maps GoogleMap moveCamera(Unknown Source)_x000D_
       at org inaturalist android ActivityHelper 5 onMapLoaded(ActivityHelper java:348)_x000D_
       at com google android gms maps GoogleMap 4 onMapLoaded(Unknown Source)_x000D_
       at com google android gms maps internal zzk zza onTransact(Unknown Source)_x000D_
       at android os Binder transact(Binder java:387)_x000D_
       at com google android gms maps internal ao a(:com google android gms DynamiteModulesB:8)_x000D_
       at com google maps api android lib6 impl co run(:com google android gms DynamiteModulesB:32)_x000D_
       at android os Handler handleCallback(Handler java:746)_x000D_
       at android os Handler dispatchMessage(Handler java:95)_x000D_
       at android os Looper loop(Looper java:148)_x000D_
       at android app ActivityThread main(ActivityThread java:5443)_x000D_
       at java lang reflect Method invoke(Method java)_x000D_
       at com android internal os ZygoteInit MethodAndArgsCaller run(ZygoteInit java:728)_x000D_
       at com android internal os ZygoteInit main(ZygoteInit java:618)_x000D_
   _x000D_
_x000D_
Build 228  Possibly related to  272</t>
  </si>
  <si>
    <t>niclabs-adkintunmobile-androidclient-178</t>
  </si>
  <si>
    <t>SpeedTestPreferenceFragment.java line 106</t>
  </si>
  <si>
    <t xml:space="preserve">     in cl niclabs adkintunmobile views activemeasurements viewfragments SpeedTestPreferenceFragment startSpeedTest
  Number of crashes: 1
  Impacted devices: 1
There s a lot more information about this crash on crashlytics com:
 https:  fabric io niclabs android apps cl niclabs adkintunmobile issues 595fed87be077a4dcc344994 utm medium service hooks github utm source issue impact (https:  fabric io niclabs android apps cl niclabs adkintunmobile issues 595fed87be077a4dcc344994 utm medium service hooks github utm source issue impact)</t>
  </si>
  <si>
    <t>HueToYou-ChatExchange-old-8</t>
  </si>
  <si>
    <t>JVM crashes</t>
  </si>
  <si>
    <t>It has been observed that the JVM can  sometimes  crash when selecting a chatroom from the explore chats page on API 18</t>
  </si>
  <si>
    <t>fossasia-pslab-android-286</t>
  </si>
  <si>
    <t>App crash on setting Voltage/Current  from Control Main</t>
  </si>
  <si>
    <t xml:space="preserve">  Actual Behaviour  _x000D_
_x000D_
When   SET   button is pressed and device is connected  App crashes  _x000D_
_x000D_
  Expected Behaviour  _x000D_
_x000D_
App shouldn t crash instead whatever voltage current is specified in EditText should be set  _x000D_
_x000D_
  Steps to reproduce it  _x000D_
_x000D_
Connect Device and try to set Voltage Current  _x000D_
_x000D_
  LogCat for the issue  _x000D_
_x000D_
NA  Activity is restarted so error Logs aren t captured _x000D_
_x000D_
  Screenshots of the issue  _x000D_
_x000D_
NA_x000D_
_x000D_
  Would you like to work on the issue   _x000D_
_x000D_
Yes</t>
  </si>
  <si>
    <t>myinnos-AlphabetIndex-Fast-Scroll-RecyclerView-13</t>
  </si>
  <si>
    <t>crash when list size zero and click on index bar</t>
  </si>
  <si>
    <t>When list size zero and click on index bar crash app even hide the index bar and set width 0</t>
  </si>
  <si>
    <t>LawnchairLauncher-lawnchair-156</t>
  </si>
  <si>
    <t xml:space="preserve">Lawnchair crashes </t>
  </si>
  <si>
    <t xml:space="preserve">Thanks for the awesome  launcher 
I m having a slight problem  the launcher works as intended but sometimes after unlocking the screen (I only use fingerprint to unlock  not sure if it s relevant) the launcher crashes and I have to pick a  new  default launcher again 
Phone info : Xiaomi Redmi Note 4
                    MIUI  8 2 1 0 Global
                     Xposed Installed
                     Also got the Launcher3 by Amirzaidi
Crash log 
                         java lang SecurityException: Disallowed call from unknown notification listener: android service notification INotificationListener Stub Proxy d5a1690
	at android os Parcel readException(Parcel java:1599)
	at android os Parcel readException(Parcel java:1552)
	at android app INotificationManager Stub Proxy getActiveNotificationsFromListener(INotificationManager java:1046)
	at android service notification NotificationListenerService getActiveNotifications(NotificationListenerService java:467)
	at android service notification NotificationListenerService getActiveNotifications(NotificationListenerService java:420)
	at ch deletescape lawnchair notification NotificationListener C04631 handleMessage(Unknown Source)
	at android os Handler dispatchMessage(Handler java:107)
	at android os Looper loop(Looper java:207)
	at android os HandlerThread run(HandlerThread java:61) </t>
  </si>
  <si>
    <t>tanrabad-survey-30</t>
  </si>
  <si>
    <t xml:space="preserve">     in org tanrabad survey presenter view MainActivityNavigation NavigationViewSelected onNavigationItemSelected
  Number of crashes: 1
  Impacted devices: 1
There s a lot more information about this crash on crashlytics com:
 https:  fabric io tanrabad android apps org tanrabad survey issues 59609108be077a4dcc3a2d86 utm medium service hooks github utm source issue impact (https:  fabric io tanrabad android apps org tanrabad survey issues 59609108be077a4dcc3a2d86 utm medium service hooks github utm source issue impact)</t>
  </si>
  <si>
    <t>Ashok-Varma-BottomNavigation-134</t>
  </si>
  <si>
    <t>[BUG] Crash when adding a badge.</t>
  </si>
  <si>
    <t xml:space="preserve">Hi  Ashok Varma   _x000D_
_x000D_
I m using the  2 0 1  version  and I m having the following crash when trying to add a badge _x000D_
_x000D_
   _x000D_
java lang IllegalAccessError: Illegal class access:  ACTIVITY  attempting to access  com ashokvarma bottomnavigation BadgeItem  (declaration of  ACTIVITY  appears in  data app APK apk)_x000D_
   _x000D_
_x000D_
Here is the code that triggers it (it s Kotlin)_x000D_
   _x000D_
val tabNewBadge   TextBadgeItem() setBorderWidth(4)_x000D_
     setBackgroundColorResource(R color primary)_x000D_
     setText(  )_x000D_
val tabNew   BottomNavigationItem(_x000D_
    R drawable ic fiber new black 24dp _x000D_
    getString(R string tab new)_x000D_
) setActiveColor(accent)_x000D_
   setBadgeItem(tabNewBadge)       this crashes _x000D_
   _x000D_
Is there a way to solve this  </t>
  </si>
  <si>
    <t>kwmt-GitHubSearch-112</t>
  </si>
  <si>
    <t>[Crash] Caused by java.lang.NullPointerException: Attempt to invoke virtual method 'java.util.List net.kwmt27.codesearch.entity.SearchRepositoryResultEntity.getGithubRepoEntityList()' on a null object reference</t>
  </si>
  <si>
    <t>_x000D_
https:  console firebase google com project app githubsearch monitoring app android:net kwmt27 codesearch cluster e986590c utm source alerts utm medium email utm campaign crash utm content cluster pli 1 duration 2592000000</t>
  </si>
  <si>
    <t>ZieIony-Carbon-306</t>
  </si>
  <si>
    <t>Sometimes crash when click some items</t>
  </si>
  <si>
    <t>In this version  sometimes crash when click some items   test phone is Samsung s6 edge and XiaoMI Mi6</t>
  </si>
  <si>
    <t>smartdevicelink-sdl_java_suite-555</t>
  </si>
  <si>
    <t>NPE in onReceive method of SdlBroadcastReceiver</t>
  </si>
  <si>
    <t xml:space="preserve">In SdlBroadcastReceiver java  we try to access the variable  localRouterClass  at a few places  The value of this variable is supplied by the client app s defineLocalSdlRouterClass() in SdlReceiver java _x000D_
If   for some reasons   this value is returned as null  the SDL Library can potentially crash _x000D_
 Crash here (https:  github com smartdevicelink sdl android blob master sdl android src main java com smartdevicelink transport SdlBroadcastReceiver java L143)_x000D_
_x000D_
Log:_x000D_
   _x000D_
07 11 15:18:15 098 13112 13112 com sdl hellosdlandroid E AndroidRuntime: FATAL EXCEPTION: main_x000D_
                                                                         Process: com sdl hellosdlandroid  PID: 13112_x000D_
                                                                         java lang RuntimeException: Unable to start receiver com sdl hellosdlandroid SdlReceiver: java lang NullPointerException: Attempt to invoke virtual method  java lang String java lang Class getName()  on a null object reference_x000D_
                                                                             at android app ActivityThread handleReceiver(ActivityThread java:2732)_x000D_
                                                                             at android app ActivityThread  wrap14(ActivityThread java)_x000D_
                                                                             at android app ActivityThread H handleMessage(ActivityThread java:1421)_x000D_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NullPointerException: Attempt to invoke virtual method  java lang String java lang Class getName()  on a null object reference_x000D_
                                                                             at android content ComponentName  init (ComponentName java:129)_x000D_
                                                                             at android content Intent  init (Intent java:4449)_x000D_
                                                                             at com smartdevicelink transport SdlBroadcastReceiver wakeUpRouterService(SdlBroadcastReceiver java:162)_x000D_
                                                                             at com smartdevicelink transport SdlBroadcastReceiver onReceive(SdlBroadcastReceiver java:120)_x000D_
                                                                             at com sdl hellosdlandroid SdlReceiver onReceive(SdlReceiver java:32)_x000D_
                                                                             at android app ActivityThread handleReceiver(ActivityThread java:2725)_x000D_
                                                                             at android app ActivityThread  wrap14(ActivityThread java) _x000D_
                                                                             at android app ActivityThread H handleMessage(ActivityThread java:1421) _x000D_
                                                                             at android os Handler dispatchMessage(Handler java:102)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_x000D_
This is because we can be potentially calling  wakeUpRouterService(context  false altServiceWake )   at some point  and that method tries to access the said variable  localRouterClass  which can be null _x000D_
_x000D_
We should perform a null check and return immediately  effectively bypassing the whole multiplexing flow because if the router service class is null  there is no point of doing any further work on multiplex connection _x000D_
_x000D_
Then SdlBroadcastReceiver java should change from:  here (https:  github com smartdevicelink sdl android blob master sdl android src main java com smartdevicelink transport SdlBroadcastReceiver java L78)_x000D_
   _x000D_
localRouterClass   defineLocalSdlRouterClass() _x000D_
   _x000D_
to:_x000D_
   _x000D_
if ((localRouterClass   defineLocalSdlRouterClass())    null)  _x000D_
			return _x000D_
		 _x000D_
   _x000D_
It s true that the variable  localRouterClass  should not be null if the client app setups the Multiplexing flow correctly but we shouldn t make this assumption _x000D_
_x000D_
This issue was brought up by the Android Alexa team at Amazon and confirmed by us _x000D_
_x000D_
</t>
  </si>
  <si>
    <t>fuzz-productions-CutoutViewIndicator-71</t>
  </si>
  <si>
    <t>IllegalStateException if pager gains an adapter while attached to indicator</t>
  </si>
  <si>
    <t xml:space="preserve">Previously  the code assumed that it could call  StateProxy::disassociateFrom()  as many times as it likes  In the case of  ViewPagerStateProxy   however  an unbalanced call to  disassociateFrom()  or  associateWith()  may cause an  IllegalStateException  crash _x000D_
_x000D_
To resolve this  I think it ll be best to keep track of whether we originally associated up until the next call to  setStateProxy  </t>
  </si>
  <si>
    <t>RestComm-restcomm-android-sdk-637</t>
  </si>
  <si>
    <t>JAIN SIP resources managed poorly</t>
  </si>
  <si>
    <t>Right now if some signaling error occurs we usually remove the transaction from the high level transaction map we maintain and are done with it  In some cases we don t even do that which causes crashes if a future message arrives for that dialog _x000D_
_x000D_
What we should do instead is if the error is important enough as is with most TestFairy sessions we have been investigating:_x000D_
  Make sure that the transaction is removed from our container_x000D_
  Make sure that JAIN SIP resources like Transaction or Dialog entities are deleted terminated properly so that future messages on any of those are just ignored by the stack itself and not reach the application level_x000D_
  Make sure that if any hard signaling error occurs  which triggers RCConnection onCallErrorEvent()  that we don t try to do any corrective action (like right now that we try to disconnect) as we  re likely to mess things up more and to be inline with the handling in the signaling facilities where Dialog Transaction is terminated _x000D_
_x000D_
These issues have manifested themselves A LOT with latest official release (i e  BETA6)  Cases in point (each originating in a different Android device):_x000D_
  https:  telestax testfairy com projects 3369662 restcommolympus builds 5916479 sessions 37 source crash overview_x000D_
  https:  telestax testfairy com projects 3369662 restcommolympus builds 5916479 sessions 100 source crash overview_x000D_
  https:  telestax testfairy com projects 3369662 restcommolympus builds 5916479 sessions 115 source crash overview_x000D_
  https:  telestax testfairy com projects 3369662 restcommolympus builds 5916479 sessions 261 source crash overview</t>
  </si>
  <si>
    <t>cgeo-cgeo-6634</t>
  </si>
  <si>
    <t>OC cache export fails</t>
  </si>
  <si>
    <t xml:space="preserve">From support mail (untested):_x000D_
_x000D_
  Load and save OC12BE3_x000D_
  Try to export a GPX_x000D_
_x000D_
Result:_x000D_
c:geo crashes   shuts down_x000D_
_x000D_
Remark:_x000D_
The text contains copyright chars  not translated to HTML entities  May that be the problem _x000D_
</t>
  </si>
  <si>
    <t>novoda-merlin-139</t>
  </si>
  <si>
    <t>MerlinsBeard NetworkInfo Crash</t>
  </si>
  <si>
    <t xml:space="preserve">     Problem_x000D_
There is a check against a  NetworkInfo  that can be null  See:_x000D_
https:  github com novoda merlin blob 340edb002d496cbd95f3182a443490ce9fc0760d core src main java com novoda merlin MerlinsBeard java L94_x000D_
_x000D_
     Potential Solution_x000D_
Add null check to the above to avoid  NullPointerException  _x000D_
_x000D_
     Impact_x000D_
Leads to crashes in client applications </t>
  </si>
  <si>
    <t>davideas-FlexibleAdapter-409</t>
  </si>
  <si>
    <t>setEndlessScrollListener crashes when logging is enabled</t>
  </si>
  <si>
    <t xml:space="preserve">    java_x000D_
public FlexibleAdapter setEndlessScrollListener( Nullable FlexibleAdapter EndlessScrollListener endlessScrollListener   NonNull T progressItem)  _x000D_
    if (DEBUG)  _x000D_
        Log i(TAG   Set endlessScrollListener     Utils getClassName(endlessScrollListener)) _x000D_
     _x000D_
_x000D_
    this mEndlessScrollListener   endlessScrollListener _x000D_
    return this setEndlessProgressItem(progressItem) _x000D_
 _x000D_
   _x000D_
_x000D_
When endlessScrollListener is null  Utils getClassName will crash</t>
  </si>
  <si>
    <t>NineWorlds-serenity-android-336</t>
  </si>
  <si>
    <t>TV Shows pressing recently aired crashes app</t>
  </si>
  <si>
    <t xml:space="preserve">With the latest code change selecting Recently Aired will crash the application _x000D_
</t>
  </si>
  <si>
    <t>EyeSeeTea-SurveillanceCambodiaApp-124</t>
  </si>
  <si>
    <t>Hi all _x000D_
_x000D_
As we work through all the providers to upgrade to the newest version of the app (v1 3)  we ve encountered a handful ( 10) that seem to be crashing on startup continuously and providers cannot submit data  _x000D_
_x000D_
Panharith  who has been out in the field updating  was kind enough to collect that ADB output related to the application which I ve attached here  Could you look into this issue and estimate how much time effort it would take to fix this _x000D_
_x000D_
Here are two verbose ADB logs: https:  drive google com open id 0BwQE0UgKE3AmVU1JcWNCYlZMcDQ_x000D_
_x000D_
Thanks _x000D_
Eli</t>
  </si>
  <si>
    <t>novoda-no-player-70</t>
  </si>
  <si>
    <t xml:space="preserve">Only Play when transitioning </t>
  </si>
  <si>
    <t xml:space="preserve">   Problem_x000D_
We had a crash in a client app that occurred because we were double calling  onVideoPlaying  this occurs only on  MediaPlayer  which calls  play  when performing a seek _x000D_
_x000D_
   Solution_x000D_
Store the  isPlaying  state before calling  mediaPlayer start  and if the state is already  PLAYING  then do not call  onVideoPlaying  _x000D_
_x000D_
    Test(s) added _x000D_
Added a test to ensure that we do not call  onVideoPlaying  when the  Player  is already playing _x000D_
_x000D_
    Screenshots_x000D_
No UI changes _x000D_
_x000D_
    Paired with _x000D_
Nobody but  ouchadam found the problem   _x000D_
</t>
  </si>
  <si>
    <t>Tornaco-DataMigration-3</t>
  </si>
  <si>
    <t>App crash when switched theme on MIUI8</t>
  </si>
  <si>
    <t xml:space="preserve">How to reproduce:_x000D_
1  Launch app and switch a theme _x000D_
2  Quit and Relaunch _x000D_
3  Go to backup _x000D_
4  App crash </t>
  </si>
  <si>
    <t>simoneapp-S3-16-simone-22</t>
  </si>
  <si>
    <t>Checking if Game Play is installed</t>
  </si>
  <si>
    <t xml:space="preserve">I installed Simone app on a new smartphone and   I realized the single mode game crash if Game Play is not installed    We should add a controll before open the game activity </t>
  </si>
  <si>
    <t>timusus-Shuttle-108</t>
  </si>
  <si>
    <t>Creating a playlist from a folder in Folders view hangs the application</t>
  </si>
  <si>
    <t xml:space="preserve">  Shuttle version:  _x000D_
 _x000D_
 v1 6 7  Shuttle  (paid version from Play Store)_x000D_
 _x000D_
  Device  OS:  _x000D_
 _x000D_
Oneplus 3T  Android 7 1 2 (Lineage OS)_x000D_
_x000D_
  Description of bug:  _x000D_
 _x000D_
Creating a new playlist from Folders view hangs the application  Application shows a  Gathering songs     waiting popup forever while hung _x000D_
 _x000D_
  Steps to reproduce:  _x000D_
 _x000D_
 1  Go into the Folders view  select a folder with mp3 files inside and touch the three dots next to it_x000D_
 2  Select  Add to playlist   New  from the menu and provide a name for the playlist_x000D_
 3  Press Save_x000D_
 4   Gathering songs     pop up shows and stays forever  app stops reacting to touch _x000D_
 _x000D_
  Expected outcome:  _x000D_
 _x000D_
Create a new playlist with songs with selected folder without crashing the app_x000D_
 _x000D_
  Observations Actual Result:  _x000D_
 _x000D_
After killing the app via task manager and starting it up again  one can see that an empty playlist with the given name was created before the crash  Trying to add the same folder again to the existing empty playlist works  However  having a crash as a part of regular playlist creating via folder select workflow isn t the best UX _x000D_
_x000D_
Worth noting is also the fact that LineageOS has an app named Privacy Guard for managing app permissions  However  before submitting this bug report  I tested this scenario again with making sure all requested permissions are granted   the bug still happens </t>
  </si>
  <si>
    <t>nextcloud-android-1184</t>
  </si>
  <si>
    <t>Crash when opening remote image in nextcloud-dev</t>
  </si>
  <si>
    <t xml:space="preserve">    Actual behaviour_x000D_
 Tell us what happens_x000D_
App crashes when opening an remote image_x000D_
_x000D_
    Expected behaviour_x000D_
 Tell us what should happen_x000D_
dont crash_x000D_
 _x000D_
    Steps to reproduce_x000D_
1  click on remote image _x000D_
_x000D_
_x000D_
    Environment data_x000D_
Android version: 6 0 1_x000D_
Stock or customized system:stock_x000D_
_x000D_
Nextcloud app version: nextcloud dev from fdroid_x000D_
_x000D_
Nextcloud server version:11</t>
  </si>
  <si>
    <t>barbeau-gpstest-85</t>
  </si>
  <si>
    <t>IllegalStateException when updating status</t>
  </si>
  <si>
    <t xml:space="preserve">  Summary:   _x000D_
_x000D_
I saw a crash today with this in the log:_x000D_
_x000D_
   _x000D_
Process: com android gpstest  PID: 15575_x000D_
   java lang IllegalStateException: Fragment GpsStatusFragment f97116d  not attached to Activity_x000D_
	   at android support v4 app Fragment getResources(Fragment java:648)_x000D_
	   at android support v4 app Fragment getString(Fragment java:683)_x000D_
	   at com android gpstest GpsStatusFragment updateLegacyStatus(GpsStatusFragment java:409)_x000D_
	   at com android gpstest GpsStatusFragment onGpsStatusChanged(GpsStatusFragment java:251)_x000D_
	   at com android gpstest GpsTestActivity 3 onGpsStatusChanged(GpsTestActivity java:461)_x000D_
	   at android location LocationManager GnssStatusListenerTransport 1 onSatelliteStatusChanged(LocationManager java:1515)_x000D_
	   at android location LocationManager GnssStatusListenerTransport GnssHandler handleMessage(LocationManager java:1463)_x000D_
	   at android os Handler dispatchMessage(Handler java:102)_x000D_
	   at android os Looper loop(Looper java:154)_x000D_
	   at android app ActivityThread main(ActivityThread java:6247)_x000D_
	   at java lang reflect Method invoke(Native Method)_x000D_
	   at com android internal os ZygoteInit MethodAndArgsCaller run(ZygoteInit java:872)_x000D_
	   at com android internal os ZygoteInit main(ZygoteInit java:762)_x000D_
   _x000D_
_x000D_
  Steps to reproduce:   _x000D_
_x000D_
Unsure_x000D_
_x000D_
  Expected behavior:   _x000D_
_x000D_
Not crash_x000D_
_x000D_
  Observed behavior:   _x000D_
_x000D_
Crash_x000D_
_x000D_
  Device and Android version:   _x000D_
_x000D_
LG G5 w  Android 7 0</t>
  </si>
  <si>
    <t>k9mail-k-9-2627</t>
  </si>
  <si>
    <t>SQLiteDiskIOException: disk I/O error (code 1802) when querying DB from MessageController Thread</t>
  </si>
  <si>
    <t xml:space="preserve">Please search to check for an existing issue (including closed issues  for which the fix may not have yet been released) before opening a new issue: https:  github com k9mail k 9 issues q is 3Aissue_x000D_
_x000D_
    Expected behavior_x000D_
K9 should open emails and allow them to be read and change folders to read other emails without suddenly stopping_x000D_
_x000D_
    Actual behavior_x000D_
After reading an email  K 9 will occasionally (at least once a day) crash for no apparent reason  and I have to re start it _x000D_
_x000D_
    Steps to reproduce_x000D_
1  Tap on K 9 icon to open it_x000D_
2  Navigate to a folder_x000D_
3  Open an email_x000D_
4  Use phone s back button to exit email  K 9 may crash at this point _x000D_
5  Use phone s back button again to change to another account  K 9 may crash at this point (if not before)  This behaviour isn t consistent  unfortunately _x000D_
_x000D_
_x000D_
    Environment_x000D_
K 9 Mail version: 5 206_x000D_
_x000D_
Android version: 7 0 on Moto G5 phone_x000D_
_x000D_
Account type (IMAP  POP3  WebDAV Exchange): pop3 (six accounts in all)_x000D_
_x000D_
See attached screen shot for more Android info  also see attached debug log _x000D_
_x000D_
Thanks for reading this report _x000D_
Kind regards _x000D_
Roger V _x000D_
  about moto g5 phone (https:  user images githubusercontent com 28846333 28242315 7f7e1e46 69eb 11e7 8f76 98dbf5c93666 png)_x000D_
 debug 170716 txt (https:  github com k9mail k 9 files 1150587 debug 170716 txt)_x000D_
_x000D_
_x000D_
</t>
  </si>
  <si>
    <t>fossasia-pslab-android-316</t>
  </si>
  <si>
    <t>Measuring capacitance crashes the app</t>
  </si>
  <si>
    <t xml:space="preserve">  Actual Behaviour  _x000D_
_x000D_
When there is nothing connected to measure capacitance  the app crashed if the  Capacitance  button is clicked for a while in control read UI_x000D_
_x000D_
  Expected Behaviour  _x000D_
_x000D_
App shouldn t crash if the capacitance button is clicked _x000D_
_x000D_
  Steps to reproduce it  _x000D_
_x000D_
1  Open app_x000D_
2  Connect device_x000D_
3  Go to  Control _x000D_
4  Select  Read  tab_x000D_
5  Without connecting anything to measure capacitance  try clicking the  Capacitance  button for two three times_x000D_
_x000D_
  LogCat for the issue  _x000D_
_x000D_
   _x000D_
E AndroidRuntime: FATAL EXCEPTION: main_x000D_
                                                                    Process: org fossasia pslab  PID: 17977_x000D_
                                                                    java lang ArithmeticException: divide by zero_x000D_
                                                                        at org fossasia pslab communication ScienceLab getCapacitance(ScienceLab java:2240)_x000D_
                                                                        at org fossasia pslab fragment ControlFragmentRead 2 onClick(ControlFragmentRead java:94)_x000D_
                                                                        at android view View performClick(View java:5213)_x000D_
                                                                        at android view View PerformClick run(View java:21172)_x000D_
                                                                        at android os Handler handleCallback(Handler java:739)_x000D_
                                                                        at android os Handler dispatchMessage(Handler java:95)_x000D_
                                                                        at android os Looper loop(Looper java:148)_x000D_
                                                                        at android app ActivityThread main(ActivityThread java:5418)_x000D_
                                                                        at java lang reflect Method invoke(Native Method)_x000D_
                                                                        at com android internal os ZygoteInit MethodAndArgsCaller run(ZygoteInit java:726)_x000D_
                                                                        at com android internal os ZygoteInit main(ZygoteInit java:616)_x000D_
   _x000D_
_x000D_
  Screenshots of the issue  _x000D_
_x000D_
  Crash screen_x000D_
_x000D_
  Would you like to work on the issue   _x000D_
_x000D_
Yes_x000D_
</t>
  </si>
  <si>
    <t>tanrabad-survey-31</t>
  </si>
  <si>
    <t xml:space="preserve">     in org tanrabad survey presenter PlaceListInDatabaseFragment 1 run
  Number of crashes: 1
  Impacted devices: 1
There s a lot more information about this crash on crashlytics com:
 https:  fabric io tanrabad android apps org tanrabad survey issues 59698ce4be077a4dcc949925 utm medium service hooks github utm source issue impact (https:  fabric io tanrabad android apps org tanrabad survey issues 59698ce4be077a4dcc949925 utm medium service hooks github utm source issue impact)</t>
  </si>
  <si>
    <t>AppLozic-Applozic-Android-SDK-268</t>
  </si>
  <si>
    <t>File attachments bugs</t>
  </si>
  <si>
    <t xml:space="preserve">     _x000D_
_x000D_
We LOVE to help with any issues or bugs you have _x000D_
_x000D_
  Feature Request  : Just fill in the first two sections below _x000D_
_x000D_
  Bugs  : To help you as fast as possible with an issue please describe your issue_x000D_
and the steps you have taken to reproduce it in as many details as possible _x000D_
_x000D_
Thanks for helping us help you  : )_x000D_
   _x000D_
_x000D_
   Goals_x000D_
      What do you want to achieve     _x000D_
_x000D_
   Expected Results_x000D_
      What did you expect to happen     _x000D_
_x000D_
   Actual Results_x000D_
      What happened instead _x000D_
e g  the stack trace of a crash_x000D_
   _x000D_
_x000D_
   Steps to Reproduce_x000D_
      What are steps we can follow to reproduce this issue     _x000D_
_x000D_
   Code Sample_x000D_
     _x000D_
Provide a code sample or test case that highlights the issue _x000D_
For larger code samples  links to external gists repositories are preferred _x000D_
Android studio sample project that we can compile ourselves are ideal _x000D_
   _x000D_
_x000D_
Applozic Android SDK version:  _x000D_
      You can get the version from gradle Dependency or from module build gradle file versionName    _x000D_
_x000D_
Android device:  _x000D_
_x000D_
Android OS version:  _x000D_
_x000D_
Dependencies used with version:  </t>
  </si>
  <si>
    <t>nextcloud-android-1197</t>
  </si>
  <si>
    <t>client crashes upon first open</t>
  </si>
  <si>
    <t>I installed Nextcloud client 1 4 2 via F Droid on my phone  It does ask permission for folders  but then crashes ( Nextcloud has stopped )  It does the same after having given the folder permissions  In the background (behind the error) I can (sometimes) see the login screen _x000D_
_x000D_
After having installed a legacy version (1 4 1) from F Droid  start up works perfect  Then  after updating again via F Droid to 1 4 2  it crashes upon startup _x000D_
_x000D_
    Environment data_x000D_
Device: Fairphone 2_x000D_
OS: Fairphone OS 17 04 8 (Android 6 0 1)_x000D_
Nextcloud app version: 1 4 2</t>
  </si>
  <si>
    <t>fekracomputers-IslamicLibraryAndroid-32</t>
  </si>
  <si>
    <t>crash on android nougt (7.0 and 7.1) on opening any book</t>
  </si>
  <si>
    <t xml:space="preserve">on opening any book the application crashes this is reported several times only from these versions of android see this  issue (https:  github com duolingo rtl viewpager issues 5) for discussion_x000D_
_x000D_
here we have other options_x000D_
  use another way for right to left page turning than  duolingo rtl viewpager (https:  github com duolingo rtl viewpager)_x000D_
  use application value for rtl instead f the resolved one_x000D_
</t>
  </si>
  <si>
    <t>xkik-dev-XKik-5</t>
  </si>
  <si>
    <t>Dark mode</t>
  </si>
  <si>
    <t xml:space="preserve">When dark mode is turned on opening a chat will crash the Kik  </t>
  </si>
  <si>
    <t>projectwife-mtesitoo-android-120</t>
  </si>
  <si>
    <t>Random crash log</t>
  </si>
  <si>
    <t xml:space="preserve">Seeing this crash log when clicking to load product from Product listing:_x000D_
_x000D_
</t>
  </si>
  <si>
    <t>cientopolis-samplers-65</t>
  </si>
  <si>
    <t>Camera2Fragment crashes onPause</t>
  </si>
  <si>
    <t>When Camera2 is streaming and you press square button  the app crash</t>
  </si>
  <si>
    <t>maks-MGit-182</t>
  </si>
  <si>
    <t>Closing the editor leads to crash</t>
  </si>
  <si>
    <t xml:space="preserve">Closing CodeMirror makes the application crash _x000D_
  steps to reproduce_x000D_
It happens when pressing  back  while in editing mode  this immediately leads to a crash  Happens when I make modifications and even when I make no modifications </t>
  </si>
  <si>
    <t>GCX-HCI-ThirtyInch-107</t>
  </si>
  <si>
    <t>Fix crash when calling sendToView while the Presenter attaches the view</t>
  </si>
  <si>
    <t xml:space="preserve"> k0shk0sh discovered a one in a million crash in production_x000D_
_x000D_
   _x000D_
Fatal Exception: java lang IllegalStateException: no ui thread executor available_x000D_
       at net grandcentrix thirtyinch TiPresenter runOnUiThread(TiPresenter java:371)_x000D_
       at net grandcentrix thirtyinch TiPresenter sendToView(TiPresenter java:518)_x000D_
          _x000D_
   _x000D_
_x000D_
It was possible to call  sendToView  when the  view  is set but a  uiThreadExecutor  was not _x000D_
_x000D_
   java_x000D_
   attachView(view)_x000D_
          _x000D_
        mView   view _x000D_
        moveToState(State VIEW ATTACHED  false) _x000D_
          _x000D_
   _x000D_
_x000D_
 sendToView  was called after  mView   view   on a different Thread and before an observer was able to attach a executor_x000D_
_x000D_
This fix introduces a new state   Running   where the view is attached and all observers are informed  Actions will be postponed until this state has been reached</t>
  </si>
  <si>
    <t>fossasia-phimpme-android-815</t>
  </si>
  <si>
    <t>App crashes if the user tries to share on Pinterest without logging in</t>
  </si>
  <si>
    <t xml:space="preserve">  Actual Behaviour  _x000D_
_x000D_
App crashes if the user does not log in and tries to share the image from the Share activity  _x000D_
_x000D_
  Expected Behaviour  _x000D_
_x000D_
Check if the user is logged in or not  If not logged in direct the user to the Accounts Activity and log in  _x000D_
_x000D_
  Steps to reproduce it  _x000D_
_x000D_
SharingActivity  Pinterest_x000D_
_x000D_
_x000D_
  Would you like to work on the issue   _x000D_
_x000D_
Yes _x000D_
</t>
  </si>
  <si>
    <t>novoda-no-player-72</t>
  </si>
  <si>
    <t>onVideoStopped is double called</t>
  </si>
  <si>
    <t xml:space="preserve">     Problem_x000D_
As per  this (https:  github com novoda no player blob master core src main java com novoda noplayer internal mediaplayer AndroidMediaPlayerImpl java L310 L319)  on  stop  and on  release  both call  onVideoStopped  _x000D_
_x000D_
     Potential Solution_x000D_
Only emit a state if it is different from the previous state  Similar to how we handle it for the  play   here (https:  github com novoda no player blob master core src main java com novoda noplayer internal mediaplayer AndroidMediaPlayerImpl java L123 L128) _x000D_
_x000D_
     Impact_x000D_
Clients should not need to deal with multiple calls to the same state  it could potentially lead to inconsistencies and crashes  especially if we delay patching this </t>
  </si>
  <si>
    <t>google-ExoPlayer-3079</t>
  </si>
  <si>
    <t>HlsChunkSource starts with wrong track, despite resolution/bitrate constraints</t>
  </si>
  <si>
    <t xml:space="preserve">    Issue description_x000D_
As a user integrator of exoplayer i want to be able to set max bandwidth and or resolution for the exoplayer HLS adaptation logic  I would expect the player to never download and try to playback segments that do not satisfy the constraints I have set _x000D_
However  when the HLS manifest is written with inner playlists sorted from the highest to the lowest quality ExoPlayer will try to start with the highest quality no matter what the constraints are _x000D_
Devices like Samsung S4 mini will just crash right away when trying to decode segments with very high resolutions _x000D_
_x000D_
    Link to test content_x000D_
http:  dmvideo deltatre it VR TEST MBR main m3u_x000D_
_x000D_
    Version of ExoPlayer being used_x000D_
Latest exoplayer release v2 branch as of today_x000D_
_x000D_
    Device(s) and version(s) of Android being used_x000D_
Samsung S4 mini is one of the device which needs to have resolution bitrate constraints  Android 4 4 2_x000D_
_x000D_
    A full bug report captured from the device_x000D_
This is the output taken right after the Samsung S4 mini fails to play the manifest file as described above _x000D_
 bugreport 1 txt (https:  github com google ExoPlayer files 1156251 bugreport 1 txt)_x000D_
_x000D_
    Further discussion after hours of debugging_x000D_
_x000D_
Ref _x000D_
https:  github com google ExoPlayer blob release v2 library hls src main java com google android exoplayer2 source hls HlsChunkSource java L397_x000D_
_x000D_
 group  contains a list of formats ordered as they are ordered in the manifest file _x000D_
 indexOf()  instead looks up the given index in the list of formats sorted by decreasing bandwidth _x000D_
_x000D_
Using  group getFormat(0)  may return either the lowest or the highest available bitrate resolution depending on how the manifest was written  This effectively means that exoplayer MAY start loading segment starting with the highest or the lowest quality chunk before actual adaptation logic kicks in _x000D_
_x000D_
On some devices like the Samsung S4 mini we need to put constraints (maxBitrate  maxVideoHeight  maxVideoWidth) otherwise the device decoder will fail  Because of the aforementioned problem our constraints have no effects  Even with constraints the playback may still start from an unpredictable bitrate resolution depending on the manifest and the device fails to decode (no playback) </t>
  </si>
  <si>
    <t>LawnchairLauncher-lawnchair-237</t>
  </si>
  <si>
    <t>Crashes when battery saver is on.</t>
  </si>
  <si>
    <t>Whenever I press the home button with battery saver on the app crashes and my phone reverts to stock launcher 
Nexus 6p
Android 8 0 OPP3
Not rooted
Stock kernel
Unlocked bootloader</t>
  </si>
  <si>
    <t>alter-ego-androidbound-126</t>
  </si>
  <si>
    <t>BindableRecyclerView sometimes crashes when initializing</t>
  </si>
  <si>
    <t xml:space="preserve">In my app  when initializing some  BindableRecyclerView  (but not all)  I get this crash  Doesn t happen in the example app _x000D_
_x000D_
It seems to happen either because DiffUtil calculates on another thread or because  notifyItem   methods used by  BindableRecyclerViewAdapter  crash when called on an empty list adapter _x000D_
(both referenced here: https:  stackoverflow com questions 31759171 recyclerview and java lang indexoutofboundsexception inconsistency detected in)_x000D_
_x000D_
   _x000D_
FATAL EXCEPTION: main_x000D_
Process: org sharethemeal app android  PID: 3466_x000D_
java lang IndexOutOfBoundsException: Inconsistency detected  Invalid view holder adapter positionViewHolder 1219afe position 7 id  1  oldPos 0  pLpos:0 scrap  attachedScrap  tmpDetached no parent _x000D_
at android support v7 widget RecyclerView Recycler validateViewHolderForOffsetPosition(RecyclerView java:5297)_x000D_
at android support v7 widget RecyclerView Recycler tryGetViewHolderForPositionByDeadline(RecyclerView java:5479)_x000D_
at android support v7 widget RecyclerView Recycler getViewForPosition(RecyclerView java:5440)_x000D_
at android support v7 widget RecyclerView Recycler getViewForPosition(RecyclerView java:5436)_x000D_
at android support v7 widget LinearLayoutManager LayoutState next(LinearLayoutManager java:2224)_x000D_
at android support v7 widget LinearLayoutManager layoutChunk(LinearLayoutManager java:1551)_x000D_
at android support v7 widget LinearLayoutManager fill(LinearLayoutManager java:1511)_x000D_
at android support v7 widget LinearLayoutManager onLayoutChildren(LinearLayoutManager java:595)_x000D_
at android support v7 widget RecyclerView dispatchLayoutStep1(RecyclerView java:3534)_x000D_
at android support v7 widget RecyclerView onMeasure(RecyclerView java:3019)_x000D_
at android view View measure(View java:20190)_x000D_
at android view ViewGroup measureChildWithMargins(ViewGroup java:6330)_x000D_
at android widget LinearLayout measureChildBeforeLayout(LinearLayout java:1464)_x000D_
at android widget LinearLayout measureVertical(LinearLayout java:747)_x000D_
at android widget LinearLayout onMeasure(LinearLayout java:629)_x000D_
at android view View measure(View java:20190)_x000D_
at android support v7 widget RecyclerView LayoutManager measureChildWithMargins(RecyclerView java:8636)_x000D_
at android support v7 widget LinearLayoutManager layoutChunk(LinearLayoutManager java:1577)_x000D_
at android support v7 widget LinearLayoutManager fill(LinearLayoutManager java:1511)_x000D_
at android support v7 widget LinearLayoutManager onLayoutChildren(LinearLayoutManager java:595)_x000D_
at android support v7 widget RecyclerView dispatchLayoutStep2(RecyclerView java:3583)_x000D_
at android support v7 widget RecyclerView onMeasure(RecyclerView java:3025)_x000D_
at android view View measure(View java:20190)_x000D_
at android support v4 widget NestedScrollView measureChildWithMargins(NestedScrollView java:1420)_x000D_
at android widget FrameLayout onMeasure(FrameLayout java:194)_x000D_
at android support v4 widget NestedScrollView onMeasure(NestedScrollView java:482)_x000D_
at android view View measure(View java:20190)_x000D_
at android support v4 widget SwipeRefreshLayout onMeasure(SwipeRefreshLayout java:652)_x000D_
at android view View measure(View java:20190)_x000D_
at android support v4 view ViewPager onMeasure(ViewPager java:1658)_x000D_
at android view View measure(View java:20190)_x000D_
at android widget RelativeLayout measureChildHorizontal(RelativeLayout java:716)_x000D_
at android widget RelativeLayout onMeasure(RelativeLayout java:462)_x000D_
at android view View measure(View java:20190)_x000D_
at android view ViewGroup measureChildWithMargins(ViewGroup java:6330)_x000D_
at android widget FrameLayout onMeasure(FrameLayout java:194)_x000D_
at android support v7 widget ContentFrameLayout onMeasure(ContentFrameLayout java:139)_x000D_
at android view View measure(View java:20190)_x000D_
at android view ViewGroup measureChildWithMargins(ViewGroup java:6330)_x000D_
at android support v7 widget ActionBarOverlayLayout onMeasure(ActionBarOverlayLayout java:393)_x000D_
at android view View measure(View java:20190)_x000D_
at android view ViewGroup measureChildWithMargins(ViewGroup java:6330)_x000D_
at android widget FrameLayout onMeasure(FrameLayout java:194)_x000D_
at android view View measure(View java:20190)_x000D_
at android view ViewGroup measureChildWithMargins(ViewGroup java:6330)_x000D_
at android widget LinearLayout measureChildBeforeLayout(LinearLayout java:1464)_x000D_
at android widget LinearLayout measureVertical(LinearLayout java:747)_x000D_
at android widget LinearLayout onMeasure(LinearLayout java:629)_x000D_
at android view View measure(View java:20190)_x000D_
at android view ViewGroup measureChildWithMargins(ViewGroup java:6330)_x000D_
at android widget FrameLayout onMeasure(Fram_x000D_
   </t>
  </si>
  <si>
    <t>vector-im-riot-android-1442</t>
  </si>
  <si>
    <t>Crash when answering to a call</t>
  </si>
  <si>
    <t>Reported by  exul:exul org_x000D_
I placed a call and Riot crashed after the other user piked up the call  I ll send a bugreport from the other phone as well _x000D_
https:  github com matrix org riot android rageshakes issues 598</t>
  </si>
  <si>
    <t>tanrabad-survey-32</t>
  </si>
  <si>
    <t xml:space="preserve">     in org joda time format DateTimeFormatter parseDateTime
  Number of crashes: 1
  Impacted devices: 1
There s a lot more information about this crash on crashlytics com:
 https:  fabric io tanrabad android apps org tanrabad survey issues 596ee121be077a4dccc753df utm medium service hooks github utm source issue impact (https:  fabric io tanrabad android apps org tanrabad survey issues 596ee121be077a4dccc753df utm medium service hooks github utm source issue impact)</t>
  </si>
  <si>
    <t>BaseballCardTracker-bbct-android-416</t>
  </si>
  <si>
    <t>BaseballCardDetails.java line 282</t>
  </si>
  <si>
    <t xml:space="preserve">     in bbct android common activity BaseballCardDetails getBaseballCard
  Number of crashes: 1
  Impacted devices: 1
There s a lot more information about this crash on crashlytics com:
 https:  fabric io codeguru apps android apps bbct android issues 59724315be077a4dccec6b05 utm medium service hooks github utm source issue impact (https:  fabric io codeguru apps android apps bbct android issues 59724315be077a4dccec6b05 utm medium service hooks github utm source issue impact)</t>
  </si>
  <si>
    <t>TeamNewPipe-NewPipe-635</t>
  </si>
  <si>
    <t>Trying to use popup on Android TV crashes the app.</t>
  </si>
  <si>
    <t xml:space="preserve">I know were not supposed to report crashes here  but I don t have an email client installed on the Shield to send the crash report in  Everything else  including background play  functions as it should  Thanks for an otherwise amazing app  looking forward to future builds </t>
  </si>
  <si>
    <t>billthefarmer-editor-1</t>
  </si>
  <si>
    <t>App crashes when saving file on Android 7.1.2</t>
  </si>
  <si>
    <t xml:space="preserve">Hi _x000D_
When I try to save a file  the app crashes with the following stacktrace:_x000D_
_x000D_
   _x000D_
07 24 21:51:22 040  3758  4418 D WifiStateMachine: updateCapabilities for config:FRITZ Box 7362 SLfalse false_x000D_
07 24 21:51:22 100 19406 19406 D AndroidRuntime: Shutting down VM_x000D_
07 24 21:51:22 104 19406 19406 E AndroidRuntime: FATAL EXCEPTION: main_x000D_
07 24 21:51:22 104 19406 19406 E AndroidRuntime: Process: org billthefarmer editor  PID: 19406_x000D_
07 24 21:51:22 104 19406 19406 E AndroidRuntime: java lang NullPointerException: Attempt to invoke virtual method  java io File java io File getParentFile()  on a null object reference_x000D_
07 24 21:51:22 104 19406 19406 E AndroidRuntime: 	at org billthefarmer editor Editor write(Editor java:290)_x000D_
07 24 21:51:22 104 19406 19406 E AndroidRuntime: 	at org billthefarmer editor Editor saveFile(Editor java:282)_x000D_
07 24 21:51:22 104 19406 19406 E AndroidRuntime: 	at org billthefarmer editor Editor onOptionsItemSelected(Editor java:171)_x000D_
07 24 21:51:22 104 19406 19406 E AndroidRuntime: 	at android app Activity onMenuItemSelected(Activity java:3207)_x000D_
07 24 21:51:22 104 19406 19406 E AndroidRuntime: 	at com android internal policy PhoneWindow onMenuItemSelected(PhoneWindow java:1215)_x000D_
07 24 21:51:22 104 19406 19406 E AndroidRuntime: 	at com android internal view menu MenuBuilder dispatchMenuItemSelected(MenuBuilder java:761)_x000D_
07 24 21:51:22 104 19406 19406 E AndroidRuntime: 	at com android internal view menu MenuItemImpl invoke(MenuItemImpl java:152)_x000D_
07 24 21:51:22 104 19406 19406 E AndroidRuntime: 	at com android internal view menu MenuBuilder performItemAction(MenuBuilder java:904)_x000D_
07 24 21:51:22 104 19406 19406 E AndroidRuntime: 	at com android internal view menu MenuBuilder performItemAction(MenuBuilder java:894)_x000D_
07 24 21:51:22 104 19406 19406 E AndroidRuntime: 	at android widget ActionMenuView invokeItem(ActionMenuView java:616)_x000D_
07 24 21:51:22 104 19406 19406 E AndroidRuntime: 	at com android internal view menu ActionMenuItemView onClick(ActionMenuItemView java:152)_x000D_
07 24 21:51:22 104 19406 19406 E AndroidRuntime: 	at android view View performClick(View java:5637)_x000D_
07 24 21:51:22 104 19406 19406 E AndroidRuntime: 	at android view View PerformClick run(View java:22429)_x000D_
07 24 21:51:22 104 19406 19406 E AndroidRuntime: 	at android os Handler handleCallback(Handler java:751)_x000D_
07 24 21:51:22 104 19406 19406 E AndroidRuntime: 	at android os Handler dispatchMessage(Handler java:95)_x000D_
07 24 21:51:22 104 19406 19406 E AndroidRuntime: 	at android os Looper loop(Looper java:154)_x000D_
07 24 21:51:22 104 19406 19406 E AndroidRuntime: 	at android app ActivityThread main(ActivityThread java:6124)_x000D_
07 24 21:51:22 104 19406 19406 E AndroidRuntime: 	at java lang reflect Method invoke(Native Method)_x000D_
07 24 21:51:22 104 19406 19406 E AndroidRuntime: 	at com android internal os ZygoteInit MethodAndArgsCaller run(ZygoteInit java:882)_x000D_
07 24 21:51:22 104 19406 19406 E AndroidRuntime: 	at com android internal os ExecInit main(ExecInit java:74)_x000D_
07 24 21:51:22 104 19406 19406 E AndroidRuntime: 	at com android internal os RuntimeInit nativeFinishInit(Native Method)_x000D_
07 24 21:51:22 104 19406 19406 E AndroidRuntime: 	at com android internal os RuntimeInit main(RuntimeInit java:262)_x000D_
07 24 21:51:22 106 19406 19406 E AndroidRuntime: Error reporting crash_x000D_
07 24 21:51:22 106 19406 19406 E AndroidRuntime: java lang RuntimeException: Bad file descriptor_x000D_
07 24 21:51:22 106 19406 19406 E AndroidRuntime: 	at android os BinderProxy transactNative(Native Method)_x000D_
07 24 21:51:22 106 19406 19406 E AndroidRuntime: 	at android os BinderProxy transact(Binder java:615)_x000D_
07 24 21:51:22 106 19406 19406 E AndroidRuntime: 	at android app ActivityManagerProxy handleApplicationCrash(ActivityManagerNative java:5133)_x000D_
07 24 21:51:22 106 19406 19406 E AndroidRuntime: 	at com android internal os RuntimeInit UncaughtHandler uncaughtException(RuntimeInit java:97)_x000D_
07 24 21:51:22 106 19406 19406 E AndroidRuntime: 	at java lang ThreadGroup uncaughtException(ThreadGroup java:1068)_x000D_
07 24 21:51:22 106 19406 19406 E AndroidRuntime: 	at java lang ThreadGroup uncaughtException(ThreadGroup java:1063)_x000D_
07 24 21:51:22 106 19406 19406 I Process : Sending signal  PID: 19406 SIG: 9_x000D_
07 24 21:51:22 177  3758  9479 D GraphicsStats: Buffer count: 11_x000D_
_x000D_
   _x000D_
_x000D_
Edit: The app also dies when I change the screen orientation (Probably for the same reason):_x000D_
_x000D_
   _x000D_
07 24 21:54:28 639 19662 19662 D AndroidRuntime: Shutting down VM_x000D_
07 24 21:54:28 641 19662 19662 E AndroidRuntime: FATAL EXCEPTION: main_x000D_
07 24 21:54:28 641 19662 19662 E AndroidRuntime: Process: org billthefarmer editor  PID: 19662_x000D_
07 24 21:54:28 641 19662 19662 E AndroidRuntime: java lang RuntimeException: Unable to start activity ComponentInfo org billthefarmer editor org billthefarmer editor Editor : java lang NullPointerException_x000D_
07 24 21:54:28 641 19662 19662 E AndroidRuntime: 	at android app ActivityThread performLaunchActivity(ActivityThread java:2667)_x000D_
07 24 21:54:28 641 19662 19662 E AndroidRuntime: 	at android app ActivityThread handleLaunchActivity(ActivityThread java:2728)_x000D_
07 24 21:54:28 641 19662 19662 E AndroidRuntime: 	at android app ActivityThread handleRelaunchActivity(ActivityThread java:4521)_x000D_
07 24 21:54:28 641 19662 19662 E AndroidRuntime: 	at android app ActivityThread  wrap19(ActivityThread java)_x000D_
07 24 21:54:28 641 19662 19662 E AndroidRuntime: 	at android app ActivityThread H handleMessage(ActivityThread java:1485)_x000D_
07 24 21:54:28 641 19662 19662 E AndroidRuntime: 	at android os Handler dispatchMessage(Handler java:102)_x000D_
07 24 21:54:28 641 19662 19662 E AndroidRuntime: 	at android os Looper loop(Looper java:154)_x000D_
07 24 21:54:28 641 19662 19662 E AndroidRuntime: 	at android app ActivityThread main(ActivityThread java:6124)_x000D_
07 24 21:54:28 641 19662 19662 E AndroidRuntime: 	at java lang reflect Method invoke(Native Method)_x000D_
07 24 21:54:28 641 19662 19662 E AndroidRuntime: 	at com android internal os ZygoteInit MethodAndArgsCaller run(ZygoteInit java:882)_x000D_
07 24 21:54:28 641 19662 19662 E AndroidRuntime: 	at com android internal os ExecInit main(ExecInit java:74)_x000D_
07 24 21:54:28 641 19662 19662 E AndroidRuntime: 	at com android internal os RuntimeInit nativeFinishInit(Native Method)_x000D_
07 24 21:54:28 641 19662 19662 E AndroidRuntime: 	at com android internal os RuntimeInit main(RuntimeInit java:262)_x000D_
07 24 21:54:28 641 19662 19662 E AndroidRuntime: Caused by: java lang NullPointerException_x000D_
07 24 21:54:28 641 19662 19662 E AndroidRuntime: 	at java io File  init (File java:262)_x000D_
07 24 21:54:28 641 19662 19662 E AndroidRuntime: 	at org billthefarmer editor Editor onCreate(Editor java:90)_x000D_
07 24 21:54:28 641 19662 19662 E AndroidRuntime: 	at android app Activity performCreate(Activity java:6682)_x000D_
07 24 21:54:28 641 19662 19662 E AndroidRuntime: 	at android app Instrumentation callActivityOnCreate(Instrumentation java:1118)_x000D_
07 24 21:54:28 641 19662 19662 E AndroidRuntime: 	at android app ActivityThread performLaunchActivity(ActivityThread java:2620)_x000D_
07 24 21:54:28 641 19662 19662 E AndroidRuntime: 	    12 more_x000D_
07 24 21:54:28 642 19662 19662 E AndroidRuntime: Error reporting crash_x000D_
07 24 21:54:28 642 19662 19662 E AndroidRuntime: java lang RuntimeException: Bad file descriptor_x000D_
07 24 21:54:28 642 19662 19662 E AndroidRuntime: 	at android os BinderProxy transactNative(Native Method)_x000D_
07 24 21:54:28 642 19662 19662 E AndroidRuntime: 	at android os BinderProxy transact(Binder java:615)_x000D_
07 24 21:54:28 642 19662 19662 E AndroidRuntime: 	at android app ActivityManagerProxy handleApplicationCrash(ActivityManagerNative java:5133)_x000D_
07 24 21:54:28 642 19662 19662 E AndroidRuntime: 	at com android internal os RuntimeInit UncaughtHandler uncaughtException(RuntimeInit java:97)_x000D_
07 24 21:54:28 642 19662 19662 E AndroidRuntime: 	at java lang ThreadGroup uncaughtException(ThreadGroup java:1068)_x000D_
07 24 21:54:28 642 19662 19662 E AndroidRuntime: 	at java lang ThreadGroup uncaughtException(ThreadGroup java:1063)_x000D_
07 24 21:54:28 643 19662 19662 I Process : Sending signal  PID: 19662 SIG: 9_x000D_
07 24 21:54:28 687  3758  9485 D GraphicsStats: Buffer count: 11_x000D_
07 24 21:54:28 687  3758 12176 I ActivityManager: Process org billthefarmer editor (pid 19662) has died_x000D_
   </t>
  </si>
  <si>
    <t>dji-sdk-Mobile-SDK-Android-143</t>
  </si>
  <si>
    <t>fetchFileData doesn't work with MediaFile result from setMediaFileCallback</t>
  </si>
  <si>
    <t xml:space="preserve">   Description of the issue _x000D_
I want to immediately download the photo to my phone when taking picture   When setting the media file callback using  setMediaFileCallback   I can get the  MediaFile  of the newest photo taken  but calling  fetchFileData  does not download it to my mobile device  Nothing logs with the callback methods such as  onSuccess  and  onFailure  and  onProgress  _x000D_
   Steps to reproduce the bug or crash issues(It would be great if you can provide this)_x000D_
1  set callback to camera using  setMediaFileCallback _x000D_
2  When photo taken  call  fetchFileData  on the  MediaFile  result from  onNewFile _x000D_
   DJI Android SDK version you are using (Like Android SDK 3 4  etc)_x000D_
4 2 1_x000D_
   DJI Product you are using (Like Phantom 4  Mavic Pro  etc)_x000D_
Phantom 4 Pro_x000D_
   Android system version you are using (Like Android 6 0 1  Android 5 1 1  etc)_x000D_
Android 6 0 1_x000D_
   Android device you are using (Like Samsung Galaxy Note 5  Nexus 5  etc)_x000D_
Samsung Galaxy S7_x000D_
_x000D_
_x000D_
</t>
  </si>
  <si>
    <t>ZeusWPI-hydra-android-163</t>
  </si>
  <si>
    <t>Urgent.fm doesn't always work on Android O</t>
  </si>
  <si>
    <t xml:space="preserve">Due to  changes (https:  developer android com preview features background html services) in how foreground services are started in Android O _x000D_
_x000D_
Currently we start a foreground service and begin preparing the stream (resolving the audio URL  etc )  Once the stream starts playing  we show the notification and call   startForeground()  (https:  developer android com reference android app Service html startForeground(int android app Notification)) _x000D_
_x000D_
In Android O  we must call  startForeground()  within 5 seconds of starting the service  or the app crashes  The best way to fix this would be showing an notification immediately that says  Preparing  or something like that </t>
  </si>
  <si>
    <t>turing-tech-MaterialScrollBar-100</t>
  </si>
  <si>
    <t xml:space="preserve">Crash when set bar thickness </t>
  </si>
  <si>
    <t xml:space="preserve"> after set this  app:msb barThickness  3dp    the app crash _x000D_
_x000D_
   _x000D_
java lang RuntimeException: Unable to start activity ComponentInfo com example king myapplication com example king myapplication ScrollBarActivity : android view InflateException: Binary XML file line  14: Error inflating class com turingtechnologies materialscrollbar DragScrollBar_x000D_
   _x000D_
_x000D_
crash on NPE here_x000D_
   _x000D_
public T setBarThickness(int thickness) _x000D_
        LayoutParams layoutParams   (LayoutParams) handleThumb getLayoutParams() _x000D_
        layoutParams width   thickness _x000D_
        handleThumb setLayoutParams(layoutParams) _x000D_
_x000D_
        layoutParams   (LayoutParams) handleTrack getLayoutParams() _x000D_
        layoutParams width   thickness _x000D_
        handleTrack setLayoutParams(layoutParams) _x000D_
_x000D_
        if(indicator    null) _x000D_
            indicator setSizeCustom(thickness) _x000D_
         _x000D_
_x000D_
        layoutParams   (LayoutParams) getLayoutParams()          crash  reutn null _x000D_
        layoutParams width   thickness _x000D_
        setLayoutParams(layoutParams) _x000D_
_x000D_
        return (T)this _x000D_
     _x000D_
   _x000D_
_x000D_
Layout_x000D_
   _x000D_
  xml version  1 0  encoding  utf 8   _x000D_
 RelativeLayout xmlns:android  http:  schemas android com apk res android _x000D_
    xmlns:app  http:  schemas android com apk res auto _x000D_
    android:layout width  match parent _x000D_
    android:layout height  match parent  _x000D_
_x000D_
     android support v7 widget RecyclerView_x000D_
        android:id    id recyclerView _x000D_
        android:layout width  match parent _x000D_
        android:layout height  match parent    _x000D_
_x000D_
     com turingtechnologies materialscrollbar DragScrollBar_x000D_
        android:id    id touchScrollBar _x000D_
        android:layout width  wrap content _x000D_
        android:layout height  match parent _x000D_
        android:layout alignParentTop  true _x000D_
        android:layout alignParentRight  true _x000D_
        android:layout alignParentEnd  true _x000D_
        app:msb lightOnTouch  true _x000D_
        app:msb recyclerView   id recyclerView    _x000D_
  RelativeLayout _x000D_
   _x000D_
</t>
  </si>
  <si>
    <t>novoda-no-player-74</t>
  </si>
  <si>
    <t xml:space="preserve">BUG/Multiple codecs bound to a single surface </t>
  </si>
  <si>
    <t xml:space="preserve">   Problem_x000D_
_x000D_
We noticed crashes on the Nexus 6p and Blackberry Priv when swapping players with different content  _x000D_
_x000D_
The crash was due to the  SurfaceView  not being unbound as part of the  player stop   player release  which meant it was possible for multiple decoders to attempt to bind to it  _x000D_
_x000D_
   _x000D_
Caused by: com google android exoplayer2 mediacodec MediaCodecRenderer DecoderInitializationException: Decoder init failed: OMX qcom video decoder avc secure  Format(video 996000  null  video avc  996000  null   640  360  25 0     1   1 )_x000D_
                          at com google android exoplayer2 mediacodec MediaCodecRenderer maybeInitCodec(MediaCodecRenderer java:367) _x000D_
                          at com google android exoplayer2 mediacodec MediaCodecRenderer onInputFormatChanged(MediaCodecRenderer java:796) _x000D_
                          at com google android exoplayer2 video MediaCodecVideoRenderer onInputFormatChanged(MediaCodecVideoRenderer java:365) _x000D_
                          at com google android exoplayer2 mediacodec MediaCodecRenderer render(MediaCodecRenderer java:494) _x000D_
                          at com google android exoplayer2 ExoPlayerImplInternal doSomeWork(ExoPlayerImplInternal java:479) _x000D_
                          at com google android exoplayer2 ExoPlayerImplInternal handleMessage(ExoPlayerImplInternal java:308) _x000D_
   _x000D_
_x000D_
   Solution_x000D_
_x000D_
To destroy and recreate the surface as part of the  player load   player stop  lifecycle _x000D_
_x000D_
    Test(s) added _x000D_
_x000D_
Yes to ensure the view visibility is set correctly _x000D_
_x000D_
    Screenshots_x000D_
_x000D_
No UI changes _x000D_
_x000D_
_x000D_
    Paired with _x000D_
_x000D_
 zegnus  Mecharyry _x000D_
_x000D_
   (https:  media giphy com media VgeGEVTdwzZao giphy gif)</t>
  </si>
  <si>
    <t>codekidX-storage-chooser-43</t>
  </si>
  <si>
    <t>Fatal Exception: java.lang.IllegalArgumentException: Invalid path: /storage/container</t>
  </si>
  <si>
    <t xml:space="preserve">One of my users causes this error when I use your library : _x000D_
_x000D_
Link : http:  crashes to s 50412a88afe_x000D_
_x000D_
 Fatal Exception: java lang IllegalArgumentException: Invalid path:  storage container_x000D_
       at android os StatFs doStat(StatFs java:46)_x000D_
       at android os StatFs (StatFs java)_x000D_
       at com codekidlabs storagechooser utils MemoryUtil getTotalMemorySize(MemoryUtil java:71)_x000D_
       at com codekidlabs storagechooser fragments ChooserDialogFragment populateList(ChooserDialogFragment java:237)_x000D_
       at com codekidlabs storagechooser fragments ChooserDialogFragment initListView(ChooserDialogFragment java:98)_x000D_
       at com codekidlabs storagechooser fragments ChooserDialogFragment getLayout(ChooserDialogFragment java:81)_x000D_
       at com codekidlabs storagechooser fragments ChooserDialogFragment onCreateDialog(ChooserDialogFragment java:250)_x000D_
       at android app DialogFragment getLayoutInflater(DialogFragment java:398)_x000D_
       at android app FragmentManagerImpl moveToState(FragmentManager java:890)_x000D_
       at android app FragmentManagerImpl moveToState(FragmentManager java:1062)_x000D_
       at android app BackStackRecord run(BackStackRecord java:684)_x000D_
       at android app FragmentManagerImpl execPendingActions(FragmentManager java:1453)_x000D_
       at android app FragmentManagerImpl 1 run(FragmentManager java:443)_x000D_
       at android os Handler handleCallback(Handler java:733)_x000D_
       at android os Handler dispatchMessage(Handler java:95)_x000D_
       at android os Looper loop(Looper java:146)_x000D_
       at android app ActivityThread main(ActivityThread java:5679)_x000D_
       at java lang reflect Method invokeNative(Method java)_x000D_
       at java lang reflect Method invoke(Method java:515)_x000D_
       at com android internal os ZygoteInit MethodAndArgsCaller run(ZygoteInit java:1291)_x000D_
       at com android internal os ZygoteInit main(ZygoteInit java:1107)_x000D_
       at de robv android xposed XposedBridge main(XposedBridge java:132)_x000D_
       at dalvik system NativeStart main(NativeStart java)_x000D_
Caused by libcore io ErrnoException: statvfs failed: EACCES (Permission denied)_x000D_
       at libcore io Posix statvfs(Posix java)_x000D_
       at libcore io ForwardingOs statvfs(ForwardingOs java:132)_x000D_
       at android os StatFs doStat(StatFs java:44)_x000D_
       at android os StatFs (StatFs java)_x000D_
       at com codekidlabs storagechooser utils MemoryUtil getTotalMemorySize(MemoryUtil java:71)_x000D_
       at com codekidlabs storagechooser fragments ChooserDialogFragment populateList(ChooserDialogFragment java:237)_x000D_
       at com codekidlabs storagechooser fragments ChooserDialogFragment initListView(ChooserDialogFragment java:98)_x000D_
       at com codekidlabs storagechooser fragments ChooserDialogFragment getLayout(ChooserDialogFragment java:81)_x000D_
       at com codekidlabs storagechooser fragments ChooserDialogFragment onCreateDialog(ChooserDialogFragment java:250)_x000D_
       at android app DialogFragment getLayoutInflater(DialogFragment java:398)_x000D_
       at android app FragmentManagerImpl moveToState(FragmentManager java:890)_x000D_
       at android app FragmentManagerImpl moveToState(FragmentManager java:1062)_x000D_
       at android app BackStackRecord run(BackStackRecord java:684)_x000D_
       at android app FragmentManagerImpl execPendingActions(FragmentManager java:1453)_x000D_
       at android app FragmentManagerImpl 1 run(FragmentManager java:443)_x000D_
       at android os Handler handleCallback(Handler java:733)_x000D_
       at android os Handler dispatchMessage(Handler java:95)_x000D_
       at android os Looper loop(Looper java:146)_x000D_
       at android app ActivityThread main(ActivityThread java:5679)_x000D_
       at java lang reflect Method invokeNative(Method java)_x000D_
       at java lang reflect Method invoke(Method java:515)_x000D_
       at com android internal os ZygoteInit MethodAndArgsCaller run(ZygoteInit java:1291)_x000D_
       at com android internal os ZygoteInit main(ZygoteInit java:1107)_x000D_
       at de robv android xposed XposedBridge main(XposedBridge java:132)_x000D_
       at dalvik system NativeStart main(NativeStart java) </t>
  </si>
  <si>
    <t>novoda-no-player-76</t>
  </si>
  <si>
    <t>Jelly bean crash</t>
  </si>
  <si>
    <t xml:space="preserve">   Problem_x000D_
When trying to play DRM protected content on API level 18 we would see a crash  This occurred because  LocalDrmSessionManager  was targeting API level 19 when we should have been targeting API 18  We wrongly thought that we should be targeting 19 because  ResourceBusyException  is an API 19 exception    but apparently  if you just use  Exception  in your catch it doesn t matter      and yes ExoPlayer does this too in the Demo   _x000D_
_x000D_
   Solution_x000D_
Target API level 18 and catch a generic  Exception  rather than the unsupported  Exception    _x000D_
_x000D_
    Test(s) added _x000D_
No  just changed the target and edited the exception _x000D_
_x000D_
    Screenshots_x000D_
No UI changes _x000D_
_x000D_
    Paired with _x000D_
 ouchadam and  zegnus  debugging TEAM _x000D_
</t>
  </si>
  <si>
    <t>AniTrend-anitrend-app-4</t>
  </si>
  <si>
    <t>Crashes With YouTube Videos In Comment Activity</t>
  </si>
  <si>
    <t xml:space="preserve">YouTube causes crashes in comments activity in devices running android   Lollipop (5 0)_x000D_
_x000D_
Activities will crash if the intent flag  new task  is not added outside an activity or fragment context </t>
  </si>
  <si>
    <t>tanrabad-survey-33</t>
  </si>
  <si>
    <t xml:space="preserve">     in org tanrabad survey presenter SurveyResultDialogFragment setPlaceInfo
  Number of crashes: 1
  Impacted devices: 1
There s a lot more information about this crash on crashlytics com:
 https:  fabric io tanrabad android apps org tanrabad survey issues 59780a55be077a4dcc218f56 utm medium service hooks github utm source issue impact (https:  fabric io tanrabad android apps org tanrabad survey issues 59780a55be077a4dcc218f56 utm medium service hooks github utm source issue impact)</t>
  </si>
  <si>
    <t>open-keychain-open-keychain-2141</t>
  </si>
  <si>
    <t xml:space="preserve">IllegalArgumentException in TemporaryFileProvider.cleanUp </t>
  </si>
  <si>
    <t xml:space="preserve">From Google Play dev console:_x000D_
_x000D_
This is happening really often (most encountered crash) on Android 6 _x000D_
_x000D_
   _x000D_
java lang RuntimeException: _x000D_
  at android app ActivityThread handleBindApplication (ActivityThread java:6319)_x000D_
  at android app ActivityThread access 1800 (ActivityThread java:221)_x000D_
  at android app ActivityThread H handleMessage (ActivityThread java:1860)_x000D_
  at android os Handler dispatchMessage (Handler java:102)_x000D_
  at android os Looper loop (Looper java:158)_x000D_
  at android app ActivityThread main (ActivityThread java:7224)_x000D_
  at java lang reflect Method invoke (Native Method)_x000D_
  at com android internal os ZygoteInit MethodAndArgsCaller run (ZygoteInit java:1230)_x000D_
  at com android internal os ZygoteInit main (ZygoteInit java:1120)_x000D_
_x000D_
Caused by: java lang IllegalArgumentException: _x000D_
  at android content ContentResolver delete (ContentResolver java:1376)_x000D_
  at org sufficientlysecure keychain provider TemporaryFileProvider cleanUp (TemporaryFileProvider java:115)_x000D_
  at org sufficientlysecure keychain KeychainApplication onCreate (KeychainApplication java:121)_x000D_
  at android app Instrumentation callApplicationOnCreate (Instrumentation java:1036)_x000D_
  at android app ActivityThread handleBindApplication (ActivityThread java:6316)_x000D_
   _x000D_
</t>
  </si>
  <si>
    <t>getodk-collect-1277</t>
  </si>
  <si>
    <t>Better error handling for external instances</t>
  </si>
  <si>
    <t xml:space="preserve">There are a lot of crashes showing up in Firebase Crash with the stack trace below ( link to Firebase (https:  console firebase google com u 0 project api project 322300403941 monitoring app android:org odk collect android cluster 134a574c duration 2592000000) for those with permissions) _x000D_
_x000D_
The issue is in the external data handler  It s probably either a bad CSV or some kind of corruption that has happened to the database  The first step would be to try to get a reproduction _x000D_
_x000D_
   _x000D_
Exception android database sqlite SQLiteException: no such column: XXXX (code 1):   while compiling: SELECT XXXX FROM externalData WHERE YYYY  _x000D_
android database sqlite SQLiteConnection nativePrepareStatement (SQLiteConnection java)_x000D_
android database sqlite SQLiteConnection acquirePreparedStatement (SQLiteConnection java:898)_x000D_
android database sqlite SQLiteConnection prepare (SQLiteConnection java:509)_x000D_
android database sqlite SQLiteSession prepare (SQLiteSession java:588)_x000D_
android database sqlite SQLiteProgram  init  (SQLiteProgram java:58)_x000D_
android database sqlite SQLiteQuery  init  (SQLiteQuery java:37)_x000D_
android database sqlite SQLiteDirectCursorDriver query (SQLiteDirectCursorDriver java:44)_x000D_
android database sqlite SQLiteDatabase rawQueryWithFactory (SQLiteDatabase java:1346)_x000D_
android database sqlite SQLiteDatabase queryWithFactory (SQLiteDatabase java:1193)_x000D_
android database sqlite SQLiteDatabase query (SQLiteDatabase java:1064)_x000D_
android database sqlite SQLiteDatabase query (SQLiteDatabase java:1232)_x000D_
org odk collect android external handler ExternalDataHandlerPull eval (ExternalDataHandlerPull java:97)_x000D_
org javarosa xpath expr XPathFuncExpr evalCustomFunction (XPathFuncExpr java:497)_x000D_
org javarosa xpath expr XPathFuncExpr eval (XPathFuncExpr java:459)_x000D_
org javarosa xpath XPathConditional evalRaw (XPathConditional java:71)_x000D_
org javarosa core model condition Triggerable evalRaw (Triggerable java:219)_x000D_
org javarosa core model condition Recalculate eval (Recalculate java:56)_x000D_
org javarosa core model condition Triggerable apply (Triggerable java:152)_x000D_
org javarosa core model LatestDagBase evaluateTriggerable (LatestDagBase java:125)_x000D_
org javarosa core model LatestDagBase doEvaluateTriggerables (LatestDagBase java:63)_x000D_
org javarosa core model Safe2014DagImpl evaluateTriggerables (Safe2014DagImpl java:348)_x000D_
org javarosa core model Safe2014DagImpl initializeTriggerables (Safe2014DagImpl java:434)_x000D_
org javarosa core model Safe2014DagImpl initializeTriggerables (Safe2014DagImpl java:412)_x000D_
org javarosa core model FormDef initializeTriggerables (FormDef java:709)_x000D_
org javarosa core model FormDef initialize (FormDef java:1251)_x000D_
org odk collect android tasks FormLoaderTask doInBackground (FormLoaderTask java:251)_x000D_
org odk collect android tasks FormLoaderTask doInBackground (FormLoaderTask java:73)_x000D_
android os AsyncTask 2 call (AsyncTask java:292)_x000D_
java util concurrent FutureTask run (FutureTask java:237)_x000D_
android os AsyncTask SerialExecutor 1 run (AsyncTask java:231)_x000D_
java util concurrent ThreadPoolExecutor runWorker (ThreadPoolExecutor java:1112)_x000D_
java util concurrent ThreadPoolExecutor Worker run (ThreadPoolExecutor java:587)_x000D_
java lang Thread run (Thread java:818)_x000D_
   </t>
  </si>
  <si>
    <t>fossasia-phimpme-android-896</t>
  </si>
  <si>
    <t>Excluding last album from photos mode crashes the application</t>
  </si>
  <si>
    <t xml:space="preserve">  Actual Behaviour  _x000D_
_x000D_
Excluding last album from photos mode crashes the application _x000D_
_x000D_
  Expected Behaviour  _x000D_
_x000D_
The crash shouldn t occur _x000D_
The option shouldn t be there in photos mode or it should be renamed to  exclude album  instead of  exclude  because the user might confuse it with exclude specific photo _x000D_
_x000D_
  Steps to reproduce it  _x000D_
_x000D_
In gallery page    open last album    long press image to select it    in the context menu click exclude _x000D_
_x000D_
  LogCat for the issue  _x000D_
_x000D_
E AndroidRuntime: FATAL EXCEPTION: main_x000D_
                                                                      Process: org fossasia phimpme  PID: 22690_x000D_
                                                                      java lang IndexOutOfBoundsException: Index: 13  Size: 12_x000D_
                                                                          at java util ArrayList get(ArrayList java:411)_x000D_
                                                                          at org fossasia phimpme leafpic data HandlingAlbums getCurrentAlbum(HandlingAlbums java:85)_x000D_
                                                                          at org fossasia phimpme MyApplication getAlbum(MyApplication java:32)_x000D_
                                                                          at org fossasia phimpme base SharedMediaActivity getAlbum(SharedMediaActivity java:24)_x000D_
                                                                          at org fossasia phimpme leafpic activities LFMainActivity onPrepareOptionsMenu(LFMainActivity java:877)_x000D_
_x000D_
_x000D_
  Would you like to work on the issue   _x000D_
_x000D_
yes_x000D_
_x000D_
 pa1pal  mohitmanuja  anantprsd5  Subhankar29 _x000D_
Should the option be removed or renamed or just the crash be fixed _x000D_
</t>
  </si>
  <si>
    <t>hendraanggrian-socialview-15</t>
  </si>
  <si>
    <t>Crash when writing mention/tag</t>
  </si>
  <si>
    <t xml:space="preserve">Hi there friend _x000D_
Been using a lot your awesome library  but i came across an issue that never occurred to me before _x000D_
I made an custom adapter for the mentions and assigned it to the SocialAutoCompleteTextView _x000D_
When i enter a mention or even a hashtag and check if there are mentions or hashtags i get a crash (after pressing a  post  button that checks if there are mentions hashtags) _x000D_
_x000D_
My custom adapter:_x000D_
   _x000D_
public class MentionsCustomAdapter extends SocialAdapter Mention   _x000D_
    private Filter filter   new SocialFilter()  _x000D_
         Override_x000D_
        public CharSequence convertResultToString(Object resultValue)  _x000D_
            return ((Mention) resultValue) getUsername() _x000D_
         _x000D_
      _x000D_
_x000D_
    public MentionsCustomAdapter( NonNull Context context)  _x000D_
        super(context  R layout item mentions  R id textview mention username) _x000D_
     _x000D_
_x000D_
     NonNull_x000D_
     Override_x000D_
    public View getView(int position  View convertView   NonNull ViewGroup parent)  _x000D_
        ViewHolder holder _x000D_
        if (convertView    null)  _x000D_
            convertView   LayoutInflater from(getContext()) inflate(R layout item mentions  parent  false) _x000D_
            holder   new ViewHolder(convertView) _x000D_
            convertView setTag(holder) _x000D_
          else  _x000D_
            holder   (ViewHolder) convertView getTag() _x000D_
         _x000D_
        Mention item   getItem(position) _x000D_
        if (item    null)  _x000D_
            if (item getAvatar()    null)  _x000D_
                Glide with(getContext()) load(item getAvatar()) dontAnimate() into(holder imageView) _x000D_
             _x000D_
_x000D_
            holder textViewUsername setText(item getUsername()) _x000D_
            if (ViewsKt setVisibleBy(holder textViewDisplayName   TextUtils isEmpty(item getDisplayname())))_x000D_
                holder textViewDisplayName setText(item getDisplayname()) _x000D_
         _x000D_
        return convertView _x000D_
     _x000D_
_x000D_
     NonNull_x000D_
     Override_x000D_
    public Filter getFilter()  _x000D_
        return filter _x000D_
     _x000D_
_x000D_
    private static class ViewHolder  _x000D_
         NonNull_x000D_
        private final CircularImageView imageView _x000D_
         NonNull_x000D_
        private final TextView textViewUsername _x000D_
         NonNull_x000D_
        private final TextView textViewDisplayName _x000D_
_x000D_
        private ViewHolder( NonNull View view)  _x000D_
            imageView   view findViewById(R id imageview mention username) _x000D_
            textViewUsername   view findViewById(R id textview mention username) _x000D_
            textViewDisplayName   view findViewById(R id textview mention displayname) _x000D_
         _x000D_
     _x000D_
 _x000D_
   _x000D_
_x000D_
Adapter assignment:_x000D_
   _x000D_
        mentionArrayAdapter   new MentionsCustomAdapter(this) _x000D_
        hashtagArrayAdapter   new HashtagAdapter(this) _x000D_
_x000D_
        postContent setMentionAdapter(mentionArrayAdapter) _x000D_
        postContent setHashtagAdapter(hashtagArrayAdapter) _x000D_
   _x000D_
_x000D_
My checks:_x000D_
   _x000D_
                String mentionsToString      _x000D_
                if (postContent getMentions() size()   0)  _x000D_
                    StringBuilder builder   new StringBuilder() _x000D_
                    for (String s : postContent getMentions())  _x000D_
                        for (TagsModel model : originalTagsModels)  _x000D_
                            if (s equals(model getTagName() replace(       )))  _x000D_
                                builder append(model getTagId()) append(   ) _x000D_
                                content   content replace(s replace(       )  String valueOf(model getTagId())) _x000D_
                             _x000D_
                         _x000D_
                     _x000D_
                    mentionsToString   builder toString() _x000D_
                 _x000D_
_x000D_
                String tagsToString      _x000D_
                if (postContent getHashtags() size()   0)  _x000D_
                    StringBuilder builder2   new StringBuilder() _x000D_
                    for (String s : postContent getHashtags())  _x000D_
                        builder2 append(s) append(   ) _x000D_
                     _x000D_
                    tagsToString   builder2 toString() _x000D_
                 _x000D_
   _x000D_
This is the line where it crashes:  if (postContent getHashtags() size()   0)    With the following error:_x000D_
   _x000D_
07 28 10:48:45 180 5694 5694 app example com E AndroidRuntime: FATAL EXCEPTION: main_x000D_
                                                                  Process: app example com  PID: 5694_x000D_
                                                                  java lang ArrayIndexOutOfBoundsException: length 2  index 2_x000D_
                                                                      at java util regex Matcher group(Matcher java:370)_x000D_
                                                                      at com hendraanggrian socialview SocialView DefaultImpls newList(SocialView kt:111)_x000D_
                                                                      at com hendraanggrian socialview SocialView DefaultImpls getHashtags(SocialView kt:104)_x000D_
                                                                      at com hendraanggrian widget SocialAutoCompleteTextView getHashtags(SocialAutoCompleteTextView kt:15)_x000D_
                                                                      at app example com posts NewPostActivity 9 onClick(NewPostActivity java:408)_x000D_
                                                                      at android view View performClick(View java:6256)_x000D_
                                                                      at android view View PerformClick run(View java:24697)_x000D_
                                                                      at android os Handler handleCallback(Handler java:789)_x000D_
                                                                      at android os Handler dispatchMessage(Handler java:98)_x000D_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_x000D_
_x000D_
BTW  i m using the latest library version   0 15 2  _x000D_
Thanks </t>
  </si>
  <si>
    <t>rubensousa-FloatingToolbar-32</t>
  </si>
  <si>
    <t>Current FloatingToolbarMenuBuilder implementation makes the app crash</t>
  </si>
  <si>
    <t xml:space="preserve">If one does not set a menu in layout xml  but builds it and sets it programmatically  the app will crash  because the library calls  removeAllViews()  for the FloatingToolbar but it is null because there was no menu set before </t>
  </si>
  <si>
    <t>nextcloud-android-1242</t>
  </si>
  <si>
    <t>Support for Android 8.0</t>
  </si>
  <si>
    <t xml:space="preserve">    Actual behaviour_x000D_
On opening 1 4 3 the app force closes after the first initial logon (when setting up) and subsequently immediately on every following app launch _x000D_
_x000D_
    Expected behaviour_x000D_
It works as normal_x000D_
 _x000D_
    Steps to reproduce_x000D_
1  Grab a phone that supports the Android O beta and upgrade_x000D_
2  Download and login to the NC app_x000D_
3  Watch it crash_x000D_
_x000D_
_x000D_
    Environment data_x000D_
Android version: O (8 0)_x000D_
_x000D_
Device model: nexus 5x_x000D_
_x000D_
Stock or customized system: stock beta_x000D_
_x000D_
Nextcloud app version: 1 4 3_x000D_
_x000D_
Nextcloud server version: 11 0 3</t>
  </si>
  <si>
    <t>niclabs-adkintunmobile-androidclient-179</t>
  </si>
  <si>
    <t>RandomGen.java line 91</t>
  </si>
  <si>
    <t xml:space="preserve">     in fr bmartel speedtest RandomGen nextArray
  Number of crashes: 1
  Impacted devices: 1
There s a lot more information about this crash on crashlytics com:
 https:  fabric io niclabs android apps cl niclabs adkintunmobile issues 597e1c17be077a4dcc5a3692 utm medium service hooks github utm source issue impact (https:  fabric io niclabs android apps cl niclabs adkintunmobile issues 597e1c17be077a4dcc5a3692 utm medium service hooks github utm source issue impact)</t>
  </si>
  <si>
    <t>itachi1706-SingBuses-83</t>
  </si>
  <si>
    <t>BusLocationMapsDialogFragment.java line 160</t>
  </si>
  <si>
    <t xml:space="preserve">     in com itachi1706 busarrivalsg BusLocationMapsDialogFragment onMapReady
  Number of crashes: 1
  Impacted devices: 1
There s a lot more information about this crash on crashlytics com:
 https:  fabric io itachi1706s projects android apps com itachi1706 busarrivalsg issues 597dd0cfbe077a4dcc578b67 utm medium service hooks github utm source issue impact (https:  fabric io itachi1706s projects android apps com itachi1706 busarrivalsg issues 597dd0cfbe077a4dcc578b67 utm medium service hooks github utm source issue impact)</t>
  </si>
  <si>
    <t>cgeo-cgeo-6669</t>
  </si>
  <si>
    <t>Native crash on Android 7 "in tgkill"</t>
  </si>
  <si>
    <t>I am noticing quite a bunch of crash reports on Google Play refering to  native crash in tgkill  only providing a backtrace like this:_x000D_
   _x000D_
backtrace:_x000D_
  native: pc 000000000006ca30   system lib64 libc so (tgkill 8)_x000D_
  native: pc 0000000000069eb8   system lib64 libc so (pthread kill 64)_x000D_
  native: pc 0000000000024198   system lib64 libc so (raise 24)_x000D_
  native: pc 000000000001c9b0   system lib64 libc so (abort 52)_x000D_
  native: pc 0000000000011500   system lib64 libcutils so (  android log assert 252)_x000D_
  native: pc 000000000010fae8   system lib64 libandroid runtime so ( ZNK7android6Bitmap11assertValidEv 40)_x000D_
  native: pc 000000000010fbcc   system lib64 libandroid runtime so ( ZN7android6Bitmap11getSkBitmapEP8SkBitmap 20)_x000D_
  native: pc 000000000010bc34   system lib64 libandroid runtime so_x000D_
  native: pc 000000000243df00   system framework arm64 boot framework oat (android graphics Canvas nativeDrawBitmapMatrix 172)_x000D_
  native: pc 0000000002442618   system framework arm64 boot framework oat (android graphics Canvas drawBitmap 148)_x000D_
  native: pc 0000000000009070   dev ashmem dalvik jit code cache 7227 7227 (deleted)_x000D_
   _x000D_
_x000D_
Using Google for this kind of crashes shows many thready of app having similar problems and partly solve it  But I cannot judge what is written there    maybe someone else can investigate _x000D_
_x000D_
In fact it is happening in c:geo for_x000D_
  Android 7 0 and 7 1 device_x000D_
  Device list shows Samsung  Google  LG and Sony devices (maybe also others)</t>
  </si>
  <si>
    <t>nisrulz-screenshott-8</t>
  </si>
  <si>
    <t>Taking a screenshot within a fragment causes a crash</t>
  </si>
  <si>
    <t xml:space="preserve">       Please fill out the blanks below describing your issue      _x000D_
_x000D_
  Do you want to request a  feature  or report a  bug    _x000D_
Report A Bug_x000D_
_x000D_
  What is the current behavior   _x000D_
My app is crashing upon trying to take a screenshot in a fragment_x000D_
_x000D_
  If the current behavior is a bug  please provide the steps to reproduce   _x000D_
     If you can  provide a link to a public repository which contains the files necessary to reproduce this     _x000D_
_x000D_
_x000D_
  Any logs  error output  bugreport etc   _x000D_
       If it s long  please paste to https:  ghostbin com  and insert the link here )      _x000D_
07 30 22:32:47 013 2675 2675 com octothorpeplus evanstonsubaru E AndroidRuntime: FATAL EXCEPTION: main_x000D_
                                                                                 Process: com octothorpeplus evanstonsubaru  PID: 2675_x000D_
                                                                                 java lang NullPointerException: Attempt to invoke virtual method  void android view View measure(int  int)  on a null object reference_x000D_
                                                                                     at github nisrulz screenshott ScreenShott takeScreenShotOfJustView(ScreenShott java:98)_x000D_
                                                                                     at com octothropeplus octolib fragments RewardFragment saveScreenshot(RewardFragment java:71)_x000D_
                                                                                     at com octothropeplus octolib fragments RewardFragment onCreateView(RewardFragment java:63)_x000D_
                                                                                     at android support v4 app Fragment performCreateView(Fragment java:2087)_x000D_
                                                                                     at android support v4 app FragmentManagerImpl moveToState(FragmentManager java:1113)_x000D_
                                                                                     at android support v4 app FragmentManagerImpl moveToState(FragmentManager java:1295)_x000D_
                                                                                     at android support v4 app BackStackRecord run(BackStackRecord java:801)_x000D_
                                                                                     at android support v4 app FragmentManagerImpl execPendingActions(FragmentManager java:1682)_x000D_
                                                                                     at android support v4 app FragmentManagerImpl 1 run(FragmentManager java:541)_x000D_
                                                                                     at android os Handler handleCallback(Handler java:751)_x000D_
                                                                                     at android os Handler dispatchMessage(Handler java:95)_x000D_
                                                                                     at android os Looper loop(Looper java:154)_x000D_
                                                                                     at android app ActivityThread main(ActivityThread java:6682)_x000D_
                                                                                     at java lang reflect Method invoke(Native Method)_x000D_
                                                                                     at com android internal os ZygoteInit MethodAndArgsCaller run(ZygoteInit java:1520)_x000D_
                                                                                     at com android internal os ZygoteInit main(ZygoteInit java:1410)_x000D_
_x000D_
  What is the expected behavior   _x000D_
I expect it to take and save the screenshot_x000D_
  Any other comments   _x000D_
_x000D_
_x000D_
  What versions of software are you using   _x000D_
    Device Information:   _x000D_
Samsung Note 5_x000D_
    Android Version:   _x000D_
7 1 1_x000D_
    Configuration Information:   _x000D_
_x000D_
    Misc:   _x000D_
_x000D_
       More related information if you have can provide      </t>
  </si>
  <si>
    <t>ForstaLabs-relay-133</t>
  </si>
  <si>
    <t>App is crashing every time it is opened and has to be opened again</t>
  </si>
  <si>
    <t>In the current version of the app  when I go to open it  it crashes  _x000D_
_x000D_
Then if I re open it it seems fine  _x000D_
_x000D_
App Version 0 1 20</t>
  </si>
  <si>
    <t>processing-processing-android-368</t>
  </si>
  <si>
    <t>OpenGL watch faces cannot run in the emulator</t>
  </si>
  <si>
    <t xml:space="preserve">If running in the emulator  watch faces crash with the following error when selecting them:_x000D_
_x000D_
   _x000D_
FATAL EXCEPTION: main_x000D_
Process: processing test watchface  PID: 3082_x000D_
java lang RuntimeException: no matching EGL configs_x000D_
	at android support wearable watchface Gles2WatchFaceService Engine chooseEglConfig(Gles2WatchFaceService java:167)_x000D_
	at android support wearable watchface Gles2WatchFaceService Engine onCreate(Gles2WatchFaceService java:227)_x000D_
	at processing android PWatchFaceGLES GLES2Engine onCreate(Unknown Source)_x000D_
	at android service wallpaper WallpaperService Engine attach(WallpaperService java:875)_x000D_
	at android service wallpaper WallpaperService IWallpaperEngineWrapper executeMessage(WallpaperService java:1166)_x000D_
	at com android internal os HandlerCaller MyHandler handleMessage(HandlerCaller java:37)_x000D_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t>
  </si>
  <si>
    <t>nextcloud-android-1255</t>
  </si>
  <si>
    <t>app crash at start - android 7.1.2</t>
  </si>
  <si>
    <t xml:space="preserve">    Actual behaviour_x000D_
When I start the application this crash immediately without opening any activity_x000D_
_x000D_
    Expected behaviour_x000D_
the app start normaly_x000D_
 _x000D_
    Steps to reproduce_x000D_
1  install it via f droid_x000D_
2  start it_x000D_
_x000D_
    Environment data_x000D_
Android version: 7 1 2_x000D_
_x000D_
Device model: nexus 5_x000D_
_x000D_
Stock or customized system: LineageOS 14 1_x000D_
_x000D_
Nextcloud app version: 1 4 2_x000D_
_x000D_
Nextcloud server version: 12_x000D_
_x000D_
    Logs_x000D_
     Web server error log_x000D_
   _x000D_
   _x000D_
   _x000D_
_x000D_
     Nextcloud log (LOGCAT)_x000D_
   _x000D_
08 01 10:18:00 047 1809 1809 com nextcloud client V ConnectivityActionReceiver: action: android intent action ACTION POWER CONNECTED_x000D_
08 01 10:18:00 047 1809 1809 com nextcloud client V ConnectivityActionReceiver: component: ComponentInfo com nextcloud client com owncloud android files services ConnectivityActionReceiver _x000D_
08 01 10:18:00 067 1809 1809 com nextcloud client V ConnectivityActionReceiver: no extras_x000D_
08 01 10:26:11 771 1809 1809 com nextcloud client V FileDisplayActivity: onCreate() start_x000D_
08 01 10:26:11 801 1809 1809 com nextcloud client W art: Before Android 4 1  method android graphics PorterDuffColorFilter android support graphics drawable VectorDrawableCompat updateTintFilter(android graphics PorterDuffColorFilter  android content res ColorStateList  android graphics PorterDuff Mode) would have incorrectly overridden the package private method in android graphics drawable Drawable_x000D_
08 01 10:26:11 817 1809 1809 com nextcloud client D FileDisplayActivity: onCreate(Bundle) starting_x000D_
08 01 10:26:11 993 1809 1809 com nextcloud client I AppCompatViewInflater: app:theme is now deprecated  Please move to using android:theme instead _x000D_
08 01 10:26:12 185 1809 1809 com nextcloud client V FileDisplayActivity: onCreate() end_x000D_
08 01 10:26:12 186 1809 1809 com nextcloud client D FileDisplayActivity: onStart() starting_x000D_
08 01 10:26:12 204 1809 4207 com nextcloud client D ExternalLinks: links disabled_x000D_
08 01 10:26:12 230 1809 1809 com nextcloud client E FileDisplayActivity: Access to unexisting list of files fragment  _x000D_
08 01 10:26:12 230 1809 1809 com nextcloud client E FileDisplayActivity: Access to unexisting list of files fragment  _x000D_
08 01 10:26:12 230 1809 1809 com nextcloud client E FileDisplayActivity: OCFileListFragment is null_x000D_
08 01 10:26:12 231 1809 1809 com nextcloud client V FileDisplayActivity: onResume() start_x000D_
08 01 10:26:12 231 1809 1809 com nextcloud client D FileDisplayActivity: onResume() starting_x000D_
08 01 10:26:12 232 1809 1809 com nextcloud client I OCFileListFragment: onAttach_x000D_
08 01 10:26:12 238 1809 1809 com nextcloud client I OCFileListFragment: onCreateView() start_x000D_
08 01 10:26:12 238 1809 1809 com nextcloud client D ExtendedListFragment: onCreateView_x000D_
08 01 10:26:12 349 1809 1809 com nextcloud client I OCFileListFragment: onCreateView() end_x000D_
08 01 10:26:12 350 1809 1809 com nextcloud client I OCFileListFragment: onActivityCreated() start_x000D_
08 01 10:26:12 383 1809 1809 com nextcloud client V FileDisplayActivity: onResume() end_x000D_
08 01 10:26:12 404 1809 1822 com nextcloud client I AccountAuthenticator: Adding account with type nextcloud and auth token null_x000D_
08 01 10:26:12 410 1809 1809 com nextcloud client D OperationsService: Creating service_x000D_
08 01 10:26:12 418 1809 1809 com nextcloud client D FileDownloader: Creating service_x000D_
08 01 10:26:12 431 1809 1809 com nextcloud client D FileUploader: Creating service_x000D_
08 01 10:26:12 440 1809 1809 com nextcloud client V UploadsStorageManager: Updating state of any killed upload_x000D_
08 01 10:26:12 446 1809 1809 com nextcloud client V UploadsStorageManager: No upload was killed_x000D_
08 01 10:26:12 447 1809 1809 com nextcloud client D FileObserverService: Starting command Intent   act com owncloud android services observer FileObserverService action START OBSERVATION cmp com nextcloud client com owncloud android services observer FileObserverService  _x000D_
08 01 10:26:12 447 1809 1809 com nextcloud client D FileObserverService: Loading all kept in sync files from database to start watching them_x000D_
08 01 10:26:12 500 1809 4210 com nextcloud client I Adreno EGL:  qeglDrvAPI eglInitialize:379 : QUALCOMM Build: 10 21 15  369a2ea  I96aee987eb_x000D_
08 01 10:26:12 504 1809 4210 com nextcloud client I OpenGLRenderer: Initialized EGL  version 1 4_x000D_
08 01 10:26:12 504 1809 4210 com nextcloud client D OpenGLRenderer: Swap behavior 1_x000D_
08 01 10:26:12 581 1809 1809 com nextcloud client V FileDisplayActivity: onPause() start_x000D_
08 01 10:26:12 583 1809 1809 com nextcloud client D FileDisplayActivity: onPause() ending_x000D_
08 01 10:26:12 583 1809 1809 com nextcloud client V FileDisplayActivity: onPause() end_x000D_
08 01 10:26:12 592 1809 1809 com nextcloud client D FileActivity: Operations service connected_x000D_
08 01 10:26:12 592 1809 1809 com nextcloud client D FileDisplayActivity: Download service connected_x000D_
08 01 10:26:12 592 1809 1809 com nextcloud client D FileDisplayActivity: Upload service connected_x000D_
08 01 10:26:12 607 1809 1809 com nextcloud client W art: Before Android 4 1  method int android support v7 widget ListViewCompat lookForSelectablePosition(int  boolean) would have incorrectly overridden the package private method in android widget ListView_x000D_
08 01 10:26:12 764 1809 1809 com nextcloud client D AuthenticatorActivity: onCreate(Bundle) starting_x000D_
08 01 10:26:12 809 1809 1809 com nextcloud client I TextInputLayout: EditText added is not a TextInputEditText  Please switch to using that class instead _x000D_
08 01 10:26:12 814 1809 1814 com nextcloud client I art: Do partial code cache collection  code 24KB  data 31KB_x000D_
08 01 10:26:12 815 1809 1814 com nextcloud client I art: After code cache collection  code 19KB  data 28KB_x000D_
08 01 10:26:12 815 1809 1814 com nextcloud client I art: Increasing code cache capacity to 128KB_x000D_
08 01 10:26:12 831 1809 1809 com nextcloud client I TextInputLayout: EditText added is not a TextInputEditText  Please switch to using that class instead _x000D_
08 01 10:26:12 833 1809 1809 com nextcloud client I TextInputLayout: EditText added is not a TextInputEditText  Please switch to using that class instead _x000D_
08 01 10:26:12 836 1809 1809 com nextcloud client I TextInputLayout: EditText added is not a TextInputEditText  Please switch to using that class instead _x000D_
08 01 10:26:12 840 1809 1809 com nextcloud client I TextInputLayout: EditText added is not a TextInputEditText  Please switch to using that class instead _x000D_
08 01 10:26:12 853 1809 1809 com nextcloud client D AuthenticatorActivity: onStart() starting_x000D_
08 01 10:26:12 855 1809 1809 com nextcloud client D AuthenticatorActivity: onResume() starting_x000D_
08 01 10:26:12 942 1809 1809 com nextcloud client D AuthenticatorActivity: onPause() ending_x000D_
08 01 10:26:12 987 1809 1809 com nextcloud client D WhatsNewActivity: onCreate(Bundle) starting_x000D_
08 01 10:26:13 044 1809 1809 com nextcloud client W ResourceType: Failure getting entry for 0x7f08000a (t 7 e 10) (error  75)_x000D_
08 01 10:26:13 046 1809 1809 com nextcloud client D AndroidRuntime: Shutting down VM_x000D_
08 01 10:26:13 053 1809 1809 com nextcloud client E AndroidRuntime: FATAL EXCEPTION: main_x000D_
                                                                    Process: com nextcloud client  PID: 1809_x000D_
                                                                    java lang RuntimeException: Unable to start activity ComponentInfo com nextcloud client com owncloud android ui activity WhatsNewActivity : android content res Resources NotFoundException: String resource ID  0x7f08000a_x000D_
                                                                        at android app ActivityThread performLaunchActivity(ActivityThread java:2684)_x000D_
                                                                        at android app ActivityThread handleLaunchActivity(ActivityThread java:2751)_x000D_
                                                                        at android app ActivityThread  wrap12(ActivityThread java)_x000D_
                                                                        at android app ActivityThread H handleMessage(ActivityThread java:1496)_x000D_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Caused by: android content res Resources NotFoundException: String resource ID  0x7f08000a_x000D_
                                                                        at android content res Resources getText(Resources java:335)_x000D_
                                                                        at android widget TextView setText(TextView java:4555)_x000D_
                                                                        at com owncloud android ui activity WhatsNewActivity onCreate(WhatsNewActivity java:142)_x000D_
                                                                        at android app Activity performCreate(Activity java:6684)_x000D_
                                                                        at android app Instrumentation callActivityOnCreate(Instrumentation java:1119)_x000D_
                                                                        at android app ActivityThread performLaunchActivity(ActivityThread java:2637)_x000D_
                                                                        at android app ActivityThread handleLaunchActivity(ActivityThread java:2751) _x000D_
                                                                        at android app ActivityThread  wrap12(ActivityThread java) _x000D_
                                                                        at android app ActivityThread H handleMessage(ActivityThread java:1496) _x000D_
                                                                        at android os Handler dispatchMessage(Handler java:102) _x000D_
                                                                        at android os Looper loop(Looper java:154) _x000D_
                                                                        at android app ActivityThread main(ActivityThread java:6186) _x000D_
                                                                        at java lang reflect Method invoke(Native Method) _x000D_
                                                                        at com android internal os ZygoteInit MethodAndArgsCaller run(ZygoteInit java:889) _x000D_
                                                                        at com android internal os ZygoteInit main(ZygoteInit java:779) _x000D_
   _x000D_
</t>
  </si>
  <si>
    <t>kollerlukas-Camera-Roll-Android-App-64</t>
  </si>
  <si>
    <t xml:space="preserve">SD card access </t>
  </si>
  <si>
    <t xml:space="preserve">App crashes right after I try to give permission to SD card access  </t>
  </si>
  <si>
    <t>martykan-forecastie-234</t>
  </si>
  <si>
    <t>Crash report</t>
  </si>
  <si>
    <t>I think this crash has occurred when switching off the data network _x000D_
_x000D_
  08 01 01:55:28 589 W System err(17224): at cz martykan forecastie tasks GenericRequestTask doInBackground(GenericRequestTask java:77)_x000D_
  08 01 01:55:28 589 W System err(17224): at cz martykan forecastie tasks GenericRequestTask doInBackground(GenericRequestTask java:29)_x000D_
  08 01 01:55:28 616 E AndroidRuntime(17224): Process: cz martykan forecastie  PID: 17224_x000D_
  08 01 01:55:28 616 E AndroidRuntime(17224): at cz martykan forecastie activities MainActivity updateTodayWeatherUI(MainActivity java:420)_x000D_
  08 01 01:55:28 616 E AndroidRuntime(17224): at cz martykan forecastie activities MainActivity access 200(MainActivity java:66)_x000D_
  08 01 01:55:28 616 E AndroidRuntime(17224): at cz martykan forecastie activities MainActivity TodayWeatherTask updateMainUI(MainActivity java:826)_x000D_
  08 01 01:55:28 616 E AndroidRuntime(17224): at cz martykan forecastie tasks GenericRequestTask onPostExecute(GenericRequestTask java:132)_x000D_
  08 01 01:55:28 616 E AndroidRuntime(17224): at cz martykan forecastie activities MainActivity TodayWeatherTask onPostExecute(MainActivity java:808)_x000D_
  08 01 01:55:28 616 E AndroidRuntime(17224): at cz martykan forecastie activities MainActivity TodayWeatherTask onPostExecute(MainActivity java:795)_x000D_
  08 01 01:55:28 661 W System err(17224): at cz martykan forecastie tasks GenericRequestTask doInBackground(GenericRequestTask java:77)_x000D_
  08 01 01:55:28 661 W System err(17224): at cz martykan forecastie tasks GenericRequestTask doInBackground(GenericRequestTask java:29)_x000D_
  08 01 01:55:28 671 W System err(17224): at cz martykan forecastie tasks GenericRequestTask doInBackground(GenericRequestTask java:77)_x000D_
  08 01 01:55:28 671 W System err(17224): at cz martykan forecastie tasks GenericRequestTask doInBackground(GenericRequestTask java:29)_x000D_
  08 01 01:55:28 680 W System err(17224): at cz martykan forecastie tasks GenericRequestTask doInBackground(GenericRequestTask java:77)_x000D_
  08 01 01:55:28 680 W System err(17224): at cz martykan forecastie tasks GenericRequestTask doInBackground(GenericRequestTask java:29)_x000D_
  08 01 01:55:32 615 I ActivityManager(2971): Process cz martykan forecastie (pid 17224) has died</t>
  </si>
  <si>
    <t>fossasia-pslab-android-400</t>
  </si>
  <si>
    <t>perform experiment crashes on performing experiment when device isn't connected.</t>
  </si>
  <si>
    <t xml:space="preserve">  Actual Behaviour  _x000D_
_x000D_
App crashes when we try to perform experiment when pslab device isn t connected _x000D_
_x000D_
  Expected Behaviour  _x000D_
_x000D_
App shouldn t crash instead it should give appropriate message about no device connected _x000D_
_x000D_
  Steps to reproduce it  _x000D_
_x000D_
Saved Experiment    Electrical    Ohms law experiment    Read voltage at CH1 _x000D_
_x000D_
  LogCat for the issue  _x000D_
_x000D_
NA_x000D_
_x000D_
  Screenshots of the issue  _x000D_
_x000D_
NA_x000D_
_x000D_
  Would you like to work on the issue   _x000D_
_x000D_
Yes</t>
  </si>
  <si>
    <t>inaturalist-iNaturalistAndroid-392</t>
  </si>
  <si>
    <t>Memory issues with Google Maps</t>
  </si>
  <si>
    <t>Been seeing some users with explore screen crashes due to the Google Maps components not being able to allocate memory _x000D_
Some possible solutions for clearing memory:_x000D_
1  https:  stackoverflow com a 29862316 1233767_x000D_
2  https:  stackoverflow com a 16956014 1233767</t>
  </si>
  <si>
    <t>simoneapp-S3-16-simone-27</t>
  </si>
  <si>
    <t>Reset FB User ID after logout/login</t>
  </si>
  <si>
    <t xml:space="preserve">Use case: a logged user logs out and then logs in again  The app crashes </t>
  </si>
  <si>
    <t>Awful-Awful.apk-518</t>
  </si>
  <si>
    <t>Theme preference dialogs crash without storage permissions (Crashlytics #699)</t>
  </si>
  <si>
    <t>A bunch of users are getting crashes when they try and pick a theme from the list without granting storage permissions  This shouldn t matter  the   ThemeSettings   fragment populates the list with the standard entries and values when it starts up  and then adds any custom themes if it s able to access that directory and look for them  Any permission request result just repopulates the list  So either way  the standard theme entries and values should always be in the list _x000D_
_x000D_
I can t reproduce the problem on my phone or any emulators  but the crash looks like the entry list (the theme names) is populated but the corresponding values list only has the single default value  So they pick a theme and there s no matching index in the other array  And apparently if a non default theme is chosen (i e  anything but the first  default entry) the item isn t checked in the dialog  as though it couldn t find an item with a matching value (which makes sense if the values array hasn t been populated)_x000D_
_x000D_
I have no idea why this is happening  because the two lists are created together (always a matching element in the values list) and then the entries and values are set on the preference at the same time  No clue why the entries would be set (so the list is visible in the dialog) but the values aren t  Apparently this clears up if storage permissions are granted  so it s possible something weird is happening with the filesystem  but again I don t see any reason why this would affect one list and not the other</t>
  </si>
  <si>
    <t>fossasia-phimpme-android-944</t>
  </si>
  <si>
    <t>App crash on changing the storage access framework in Camera settings</t>
  </si>
  <si>
    <t xml:space="preserve">  Actual Behaviour  _x000D_
_x000D_
App crashes on changing the storage access framework _x000D_
_x000D_
  Expected Behaviour  _x000D_
_x000D_
The app should not crash_x000D_
_x000D_
  Steps to reproduce it  _x000D_
_x000D_
1  Open camera settings _x000D_
2  Go to more camera controls _x000D_
3  Try to change the storage access framework_x000D_
_x000D_
  Would you like to work on the issue   _x000D_
_x000D_
Yes_x000D_
</t>
  </si>
  <si>
    <t>openbase-bco.bcomfy-46</t>
  </si>
  <si>
    <t>BComfy crashes after selecting the first wall of the second room.</t>
  </si>
  <si>
    <t>First room can be configured without any problems (initial room) _x000D_
After this the mesurement can not be finished even if the  finish measuring  button is enabled _x000D_
The log output of the  finish measuring   button press is the following:_x000D_
 pre _x000D_
08 03 05:33:06 438 24069 24069 org openbase bco bcomfy I InitActivity: measurerState: INIT_x000D_
08 03 05:33:06 439 24069 24069 org openbase bco bcomfy I InitActivity: getCurrentFinishedWallCount:  1_x000D_
08 03 05:33:06 439 24069 24069 org openbase bco bcomfy I InitActivity: getNeededFinishedWallCount:  1_x000D_
08 03 05:33:06 439 24069 24069 org openbase bco bcomfy I InitActivity: getCurrentMeasurementCount:  1_x000D_
08 03 05:33:06 439 24069 24069 org openbase bco bcomfy I InitActivity: getNeededMeasurementCount:  1_x000D_
  pre _x000D_
_x000D_
By scanning the second room  the ground and the ceiling can be selected but after selecting the first wall bcozy crashes with the following exception:_x000D_
 pre _x000D_
08 03 05:33:35 187 24069 24069 org openbase bco bcomfy E InputEventReceiver: Exception dispatching input event _x000D_
08 03 05:33:35 187 24069 24069 org openbase bco bcomfy E MessageQueue JNI: Exception in MessageQueue callback: handleReceiveCallback_x000D_
08 03 05:33:35 190 24069 24069 org openbase bco bcomfy E MessageQueue JNI: java lang IndexOutOfBoundsException: Invalid index 1  size is 1_x000D_
                                                                               at java util ArrayList throwIndexOutOfBoundsException(ArrayList java:255)_x000D_
                                                                               at java util ArrayList get(ArrayList java:308)_x000D_
                                                                               at org openbase bco bcomfy activityInit measure Room getZeroPoint(Room java:110)_x000D_
                                                                               at org openbase bco bcomfy activityInit measure Measurer initTransforms(Measurer java:162)_x000D_
                                                                               at org openbase bco bcomfy activityInit measure Measurer addWallMeasurement(Measurer java:136)_x000D_
                                                                               at org openbase bco bcomfy activityInit measure Measurer addPlaneMeasurement(Measurer java:94)_x000D_
                                                                               at org openbase bco bcomfy activityInit InitActivity onTouch(InitActivity java:100)_x000D_
                                                                               at android view View dispatchTouchEvent(View java:9304)_x000D_
                                                                               at android view SurfaceView dispatchTouchEvent(SurfaceView java:308)_x000D_
                                                                               at android view ViewGroup dispatchTransformedTouchEvent(ViewGroup java:2554)_x000D_
                                                                               at android view ViewGroup dispatchTouchEvent(ViewGroup java:2255)_x000D_
                                                                               at android view ViewGroup dispatchTransformedTouchEvent(ViewGroup java:2554)_x000D_
                                                                               at android view ViewGroup dispatchTouchEvent(ViewGroup java:2255)_x000D_
                                                                               at android view ViewGroup dispatchTransformedTouchEvent(ViewGroup java:2554)_x000D_
                                                                               at android view ViewGroup dispatchTouchEvent(ViewGroup java:2255)_x000D_
                                                                               at android view ViewGroup dispatchTransformedTouchEvent(ViewGroup java:2554)_x000D_
                                                                               at android view ViewGroup dispatchTouchEvent(ViewGroup java:2255)_x000D_
                                                                               at com android internal policy PhoneWindow DecorView superDispatchTouchEvent(PhoneWindow java:2430)_x000D_
                                                                               at com android internal policy PhoneWindow superDispatchTouchEvent(PhoneWindow java:1740)_x000D_
                                                                               at android app Activity dispatchTouchEvent(Activity java:2805)_x000D_
                                                                               at com android internal policy PhoneWindow DecorView dispatchTouchEvent(PhoneWindow java:2391)_x000D_
                                                                               at android view View dispatchPointerEvent(View java:9530)_x000D_
                                                                               at android view ViewRootImpl ViewPostImeInputStage processPointerEvent(ViewRootImpl java:4230)_x000D_
                                                                               at android view ViewRootImpl ViewPostImeInputStage onProcess(ViewRootImpl java:4096)_x000D_
                                                                               at android view ViewRootImpl InputStage deliver(ViewRootImpl java:3642)_x000D_
                                                                               at android view ViewRootImpl InputStage onDeliverToNext(ViewRootImpl java:3695)_x000D_
                                                                               at android view ViewRootImpl InputStage forward(ViewRootImpl java:3661)_x000D_
                                                                               at android view ViewRootImpl AsyncInputStage forward(ViewRootImpl java:3787)_x000D_
                                                                               at android view ViewRootImpl InputStage apply(ViewRootImpl java:3669)_x000D_
                                                                               at android view ViewRootImpl AsyncInputStage apply(ViewRootImpl java:3844)_x000D_
                                                                               at android view ViewRootImpl InputStage deliver(ViewRootImpl java:3642)_x000D_
                                                                               at android view ViewRootImpl InputStage onDeliverToNext(ViewRootImpl java:3695)_x000D_
                                                                               at android view ViewRootImpl InputStage forward(ViewRootImpl java:3661)_x000D_
                                                                               at android view ViewRootImpl InputStage apply(ViewRootImpl java:3669)_x000D_
                                                                               at android view ViewRootImpl InputStage deliver(ViewRootImpl java:3642)_x000D_
                                                                               at android view ViewRootImpl deliverInputEvent(ViewRootImpl java:5922)_x000D_
                                                                               at android view ViewRootImpl doProcessInputEvents(ViewRootImpl java:5896)_x000D_
                                                                               at android view ViewRootImpl enqueueInputEvent(ViewRootImpl java:5857)_x000D_
                                                                               at android view ViewRootImpl WindowInputEventReceiver onInputEvent(ViewRootImpl java:6025)_x000D_
                                                                               at android view InputEventReceiver dispatchInputEvent(InputEventReceiver java:185)_x000D_
                                                                               at android os MessageQueue nativePollOnce(Native Method)_x000D_
                                                                               at android os MessageQueue next(MessageQueue java:323)_x000D_
                                                                               at android os Looper loop(Looper java:135)_x000D_
                                                                               at android app ActivityThread main(ActivityThread java:5418)_x000D_
                                                                               at java lang reflect Method invoke(Native Method)_x000D_
                                                                               at com android internal os ZygoteInit MethodAndArgsCaller run(ZygoteInit java:726)_x000D_
                                                                               at com android internal os ZygoteInit main(ZygoteInit java:616)_x000D_
08 03 05:33:35 190 24069 24069 org openbase bco bcomfy D AndroidRuntime: Shutting down VM_x000D_
08 03 05:33:35 192 24069 24069 org openbase bco bcomfy E AndroidRuntime: FATAL EXCEPTION: main_x000D_
                                                                         Process: org openbase bco bcomfy  PID: 24069_x000D_
                                                                         java lang IndexOutOfBoundsException: Invalid index 1  size is 1_x000D_
                                                                             at java util ArrayList throwIndexOutOfBoundsException(ArrayList java:255)_x000D_
                                                                             at java util ArrayList get(ArrayList java:308)_x000D_
                                                                             at org openbase bco bcomfy activityInit measure Room getZeroPoint(Room java:110)_x000D_
                                                                             at org openbase bco bcomfy activityInit measure Measurer initTransforms(Measurer java:162)_x000D_
                                                                             at org openbase bco bcomfy activityInit measure Measurer addWallMeasurement(Measurer java:136)_x000D_
                                                                             at org openbase bco bcomfy activityInit measure Measurer addPlaneMeasurement(Measurer java:94)_x000D_
                                                                             at org openbase bco bcomfy activityInit InitActivity onTouch(InitActivity java:100)_x000D_
                                                                             at android view View dispatchTouchEvent(View java:9304)_x000D_
                                                                             at android view SurfaceView dispatchTouchEvent(SurfaceView java:308)_x000D_
                                                                             at android view ViewGroup dispatchTransformedTouchEvent(ViewGroup java:2554)_x000D_
                                                                             at android view ViewGroup dispatchTouchEvent(ViewGroup java:2255)_x000D_
                                                                             at android view ViewGroup dispatchTransformedTouchEvent(ViewGroup java:2554)_x000D_
                                                                             at android view ViewGroup dispatchTouchEvent(ViewGroup java:2255)_x000D_
                                                                             at android view ViewGroup dispatchTransformedTouchEvent(ViewGroup java:2554)_x000D_
                                                                             at android view ViewGroup dispatchTouchEvent(ViewGroup java:2255)_x000D_
                                                                             at android view ViewGroup dispatchTransformedTouchEvent(ViewGroup java:2554)_x000D_
                                                                             at android view ViewGroup dispatchTouchEvent(ViewGroup java:2255)_x000D_
                                                                             at com android internal policy PhoneWindow DecorView superDispatchTouchEvent(PhoneWindow java:2430)_x000D_
                                                                             at com android internal policy PhoneWindow superDispatchTouchEvent(PhoneWindow java:1740)_x000D_
                                                                             at android app Activity dispatchTouchEvent(Activity java:2805)_x000D_
                                                                             at com android internal policy PhoneWindow DecorView dispatchTouchEvent(PhoneWindow java:2391)_x000D_
                                                                             at android view View dispatchPointerEvent(View java:9530)_x000D_
                                                                             at android view ViewRootImpl ViewPostImeInputStage processPointerEvent(ViewRootImpl java:4230)_x000D_
                                                                             at android view ViewRootImpl ViewPostImeInputStage onProcess(ViewRootImpl java:4096)_x000D_
                                                                             at android view ViewRootImpl InputStage deliver(ViewRootImpl java:3642)_x000D_
                                                                             at android view ViewRootImpl InputStage onDeliverToNext(ViewRootImpl java:3695)_x000D_
                                                                             at android view ViewRootImpl InputStage forward(ViewRootImpl java:3661)_x000D_
                                                                             at android view ViewRootImpl AsyncInputStage forward(ViewRootImpl java:3787)_x000D_
                                                                             at android view ViewRootImpl InputStage apply(ViewRootImpl java:3669)_x000D_
                                                                             at android view ViewRootImpl AsyncInputStage apply(ViewRootImpl java:3844)_x000D_
                                                                             at android view ViewRootImpl InputStage deliver(ViewRootImpl java:3642)_x000D_
                                                                             at android view ViewRootImpl InputStage onDeliverToNext(ViewRootImpl java:3695)_x000D_
                                                                             at android view ViewRootImpl InputStage forward(ViewRootImpl java:3661)_x000D_
                                                                             at android view ViewRootImpl InputStage apply(ViewRootImpl java:3669)_x000D_
                                                                             at android view ViewRootImpl InputStage deliver(ViewRootImpl java:3642)_x000D_
                                                                             at android view ViewRootImpl deliverInputEvent(ViewRootImpl java:5922)_x000D_
                                                                             at android view ViewRootImpl doProcessInputEvents(ViewRootImpl java:5896)_x000D_
                                                                             at android view ViewRootImpl enqueueInputEvent(ViewRootImpl java:5857)_x000D_
                                                                             at android view ViewRootImpl WindowInputEventReceiver onInputEvent(ViewRootImpl java:6025)_x000D_
                                                                             at android view InputEventReceiver dispatchInputEvent(InputEventReceiver java:185)_x000D_
                                                                             at android os MessageQueue nativePollOnce(Native Method)_x000D_
                                                                             at android os MessageQueue next(MessageQueue java:323)_x000D_
                                                                             at android os Looper loop(Looper java:135)_x000D_
                                                                             at android app ActivityThread main(ActivityThread java:5418)_x000D_
                                                                             at java lang reflect Method invoke(Native Method)_x000D_
                                                                             at com android internal os ZygoteInit MethodAndArgsCaller run(ZygoteInit java:726)_x000D_
                                                                             at com android internal os ZygoteInit main(ZygoteInit java:616)_x000D_
  pre _x000D_
_x000D_
Here is the full log of the bcomfy session until crash:_x000D_
 pre _x000D_
08 03 05:31:21 191 24069 24069   I art: Late enabling  Xcheck:jni_x000D_
08 03 05:31:21 332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dependencies apk apk   oat file  data dalvik cache arm64 data app org openbase bco bcomfy 2 split lib dependencies apk apk classes dex) because non 0 exit status_x000D_
08 03 05:31:22 324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0 apk apk   oat file  data dalvik cache arm64 data app org openbase bco bcomfy 2 split lib slice 0 apk apk classes dex) because non 0 exit status_x000D_
08 03 05:31:22 391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1 apk apk   oat file  data dalvik cache arm64 data app org openbase bco bcomfy 2 split lib slice 1 apk apk classes dex) because non 0 exit status_x000D_
08 03 05:31:22 455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2 apk apk   oat file  data dalvik cache arm64 data app org openbase bco bcomfy 2 split lib slice 2 apk apk classes dex) because non 0 exit status_x000D_
08 03 05:31:22 521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3 apk apk   oat file  data dalvik cache arm64 data app org openbase bco bcomfy 2 split lib slice 3 apk apk classes dex) because non 0 exit status_x000D_
08 03 05:31:22 593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4 apk apk   oat file  data dalvik cache arm64 data app org openbase bco bcomfy 2 split lib slice 4 apk apk classes dex) because non 0 exit status_x000D_
08 03 05:31:22 658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5 apk apk   oat file  data dalvik cache arm64 data app org openbase bco bcomfy 2 split lib slice 5 apk apk classes dex) because non 0 exit status_x000D_
08 03 05:31:22 751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6 apk apk   oat file  data dalvik cache arm64 data app org openbase bco bcomfy 2 split lib slice 6 apk apk classes dex) because non 0 exit status_x000D_
08 03 05:31:22 815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7 apk apk   oat file  data dalvik cache arm64 data app org openbase bco bcomfy 2 split lib slice 7 apk apk classes dex) because non 0 exit status_x000D_
08 03 05:31:22 873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8 apk apk   oat file  data dalvik cache arm64 data app org openbase bco bcomfy 2 split lib slice 8 apk apk classes dex) because non 0 exit status_x000D_
08 03 05:31:22 941 24069 24069 org openbase bco bcomfy W art: Failed execv( system bin dex2oat   runtime arg  classpath   runtime arg    instruction set arm64   instruction set features smp a53   runtime arg  Xrelocate   boot image  system framework boot art   runtime arg  Xms64m   runtime arg  Xmx512m   instruction set variant generic   instruction set features default   dex file  data app org openbase bco bcomfy 2 split lib slice 9 apk apk   oat file  data dalvik cache arm64 data app org openbase bco bcomfy 2 split lib slice 9 apk apk classes dex) because non 0 exit status_x000D_
08 03 05:31:22 958 24069 24069 org openbase bco bcomfy I InstantRun: starting instant run server: is main process_x000D_
08 03 05:31:23 037 24069 24069 org openbase bco bcomfy I TangoClientLibLoader: basePath:  data data com google tango libfiles _x000D_
08 03 05:31:23 065 24069 24069 org openbase bco bcomfy I TangoClientLibLoader: Success  Using default libtango client api _x000D_
08 03 05:31:23 110 24069 24192 org openbase bco bcomfy D OpenGLRenderer: Use EGL SWAP BEHAVIOR PRESERVED: true_x000D_
08 03 05:31:23 150 24069 24192 org openbase bco bcomfy I Adreno: QUALCOMM build                   : 36240ec  Id385c0b2ba_x000D_
                                                                 Build Date                       : 05 25 16_x000D_
                                                                 OpenGL ES Shader Compiler Version: XE031 06 00 02_x000D_
                                                                 Local Branch                     : mybranch19954368_x000D_
                                                                 Remote Branch                    : quic LA BR 1 3 4 rb1 12_x000D_
                                                                 Remote Branch                    : NONE_x000D_
                                                                 Reconstruct Branch               : NOTHING_x000D_
08 03 05:31:23 157 24069 24192 org openbase bco bcomfy I OpenGLRenderer: Initialized EGL  version 1 4_x000D_
08 03 05:31:23 276 24069 24077 org openbase bco bcomfy W CursorWrapperInner: Cursor finalized without prior close()_x000D_
08 03 05:31:23 441 24069 24191 org openbase bco bcomfy W PortableHostInfo: Unable to determine host name from runtime  Falling back to network resolution _x000D_
08 03 05:31:23 446 24069 24191 org openbase bco bcomfy W PortableProcessInfo: Unable to determine PID  process start time and arguments _x000D_
                                                                              rsb util os RuntimeOsUtilities RuntimeNotAvailableException: java lang ClassNotFoundException: java lang management ManagementFactory_x000D_
                                                                                  at rsb util os RuntimeOsUtilities  init (RuntimeOsUtilities java:125)_x000D_
                                                                                  at rsb util os PortableProcessInfo  init (PortableProcessInfo java:57)_x000D_
                                                                                  at rsb util os LinuxProcessInfo  init (LinuxProcessInfo java:88)_x000D_
                                                                                  at rsb util os LinuxProcessInfo  init (LinuxProcessInfo java:72)_x000D_
                                                                                  at rsb util os ProcessInfoSelector getProcessInfo(ProcessInfoSelector java:53)_x000D_
                                                                                  at rsb transport inprocess Bus  init (Bus java:58)_x000D_
                                                                                  at rsb transport inprocess InProcessFactory  clinit (InProcessFactory java:44)_x000D_
                                                                                  at rsb transport DefaultTransports register(DefaultTransports java:63)_x000D_
                                                                                  at rsb Factory  init (Factory java:156)_x000D_
                                                                                  at rsb Factory  clinit (Factory java:72)_x000D_
                                                                                  at rsb Factory getInstance(Factory java:193)_x000D_
                                                                                  at org openbase jul extension rsb com jp JPRSBHost loadHostFromParticipantConfig(JPRSBHost java:53)_x000D_
                                                                                  at org openbase jul extension rsb com jp JPRSBHost getPropertyDefaultValue(JPRSBHost java:44)_x000D_
                                                                                  at org openbase jul extension rsb com jp JPRSBHost getPropertyDefaultValue(JPRSBHost java:34)_x000D_
                                                                                  at org openbase jps core AbstractJavaProperty  init (AbstractJavaProperty java:75)_x000D_
                                                                                  at org openbase jps preset AbstractJPString  init (AbstractJPString java:42)_x000D_
                                                                                  at org openbase jul extension rsb com jp JPRSBHost  init (JPRSBHost java:39)_x000D_
                                                                                  at java lang Class newInstance(Native Method)_x000D_
                                                                                  at org openbase jps core JPService initProperty(JPService java:315)_x000D_
                                                                                  at org openbase jps core JPService getProperty(JPService java:470)_x000D_
                                                                                  at org openbase bco bcomfy activitySettings SettingsActivity updateJPServiceProperties(SettingsActivity java:189)_x000D_
                                                                                  at org openbase bco bcomfy activityStart StartActivity InitBcoTask doInBackground(StartActivity java:353)_x000D_
                                                                                  at org openbase bco bcomfy activityStart StartActivity InitBcoTask doInBackground(StartActivity java:341)_x000D_
                                                                                  at android os AsyncTask 2 call(AsyncTask java:295)_x000D_
                                                                                  at java util concurrent FutureTask run(FutureTask java:237)_x000D_
                                                                                  at android os AsyncTask SerialExecutor 1 run(AsyncTask java:234)_x000D_
                                                                                  at java util concurrent ThreadPoolExecutor runWorker(ThreadPoolExecutor java:1113)_x000D_
                                                                                  at java util concurrent ThreadPoolExecutor Worker run(ThreadPoolExecutor java:588)_x000D_
                                                                                  at java lang Thread run(Thread java:818)_x000D_
                                                                               Caused by: java lang ClassNotFoundException: java lang management ManagementFactory_x000D_
                                                                                  at java lang Class classForName(Native Method)_x000D_
                                                                                  at java lang Class forName(Class java:324)_x000D_
                                                                                  at java lang Class forName(Class java:285)_x000D_
                                                                                  at rsb util os RuntimeOsUtilities  init (RuntimeOsUtilities java:113)_x000D_
                                                                                  at rsb util os PortableProcessInfo  init (PortableProcessInfo java:57) _x000D_
                                                                                  at rsb util os LinuxProcessInfo  init (LinuxProcessInfo java:88) _x000D_
                                                                                  at rsb util os LinuxProcessInfo  init (LinuxProcessInfo java:72) _x000D_
                                                                                  at rsb util os ProcessInfoSelector getProcessInfo(ProcessInfoSelector java:53) _x000D_
                                                                                  at rsb transport inprocess Bus  init (Bus java:58) _x000D_
                                                                                  at rsb transport inprocess InProcessFactory  clinit (InProcessFactory java:44) _x000D_
                                                                                  at rsb transport DefaultTransports register(DefaultTransports java:63) _x000D_
                                                                                  at rsb Factory  init (Factory java:156) _x000D_
                                                                                  at rsb Factory  clinit (Factory java:72) _x000D_
                                                                                  at rsb Factory getInstance(Factory java:193) _x000D_
                                                                                  at org openbase jul extension rsb com jp JPRSBHost loadHostFromParticipantConfig(JPRSBHost java:53) _x000D_
                                                                                  at org openbase jul extension rsb com jp JPRSBHost getPropertyDefaultValue(JPRSBHost java:44) _x000D_
                                                                                  at org openbase jul extension rsb com jp JPRSBHost getPropertyDefaultValue(JPRSBHost java:34) _x000D_
                                                                                  at org openbase jps core AbstractJavaProperty  init (AbstractJavaProperty java:75) _x000D_
                                                                                  at org openbase jps preset AbstractJPString  init (AbstractJPString java:42) _x000D_
                                                                                  at org openbase jul extension rsb com jp JPRSBHost  init (JPRSBHost java:39) _x000D_
                                                                                  at java lang Class newInstance(Native Method) _x000D_
                                                                                  at org openbase jps core JPService initProperty(JPService java:315) _x000D_
                                                                                  at org openbase jps core JPService getProperty(J</t>
  </si>
  <si>
    <t>getodk-collect-1313</t>
  </si>
  <si>
    <t>NullPointerException in FormEntryActivity onClick</t>
  </si>
  <si>
    <t xml:space="preserve">     Software and hardware versions _x000D_
Collect v1 9 0  reported in Play Store Console  here (https:  play google com apps publish  dev acc 00659255839475882647 AndroidMetricsErrorsPlace:p org odk collect android appVersion 2390 clusterName apps org odk collect android clusters 66de1a9b)_x000D_
_x000D_
     Problem description_x000D_
This is a new crash in the latest release:_x000D_
   _x000D_
java lang NullPointerException: _x000D_
  at org odk collect android activities FormEntryActivity 14 onClick (FormEntryActivity java:1988)_x000D_
  at com android internal app AlertController AlertParams 3 onItemClick (AlertController java:1082)_x000D_
  at android widget AdapterView performItemClick (AdapterView java:305)_x000D_
  at android widget AbsListView performItemClick (AbsListView java:1250)_x000D_
  at android widget AbsListView PerformClick run (AbsListView java:3224)_x000D_
  at android widget AbsListView 3 run (AbsListView java:4036)_x000D_
  at android os Handler handleCallback (Handler java:739)_x000D_
  at android os Handler dispatchMessage (Handler java:95)_x000D_
  at android os Looper loop (Looper java:155)_x000D_
  at android app ActivityThread main (ActivityThread java:5725)_x000D_
  at java lang reflect Method invoke (Native Method)_x000D_
  at java lang reflect Method invoke (Method java:372)_x000D_
  at com android internal os ZygoteInit MethodAndArgsCaller run (ZygoteInit java:1030)_x000D_
  at com android internal os ZygoteInit main (ZygoteInit java:825)_x000D_
   </t>
  </si>
  <si>
    <t>billthefarmer-editor-3</t>
  </si>
  <si>
    <t>Possible crash on Android 6 Marshmallow</t>
  </si>
  <si>
    <t xml:space="preserve">There is a possibility of a crash when selecting the dark theme or word wrap on Android 6  This is due to the app restarting to apply the change  There appears to be an issue with using the  recreate()  function call in Android 6 that intermittently causes a crash  Restarting the app if it does crash will restore normal functionality  This does not appear to happen in android 4  5 1 or 7 1 _x000D_
_x000D_
Future versions of this app  if I can t find a workaround  will probably suggest the user restarts the app after changing theme or word wrap as some other apps do </t>
  </si>
  <si>
    <t>ccrama-Slide-2503</t>
  </si>
  <si>
    <t>Mod privileges not taken into account, causing crashes</t>
  </si>
  <si>
    <t xml:space="preserve">Slide version: 5 6 5_x000D_
Android version: 7 1 2_x000D_
_x000D_
I only have flair permissions for a given subreddit  but Slide still gives me all post management mod options  So when I try to approve something (for example) in that sub  Slide crashes  It s not checking for which exact permissions I have available as a mod </t>
  </si>
  <si>
    <t>koral---android-gif-drawable-434</t>
  </si>
  <si>
    <t>Multiple GifImageView's causing crash</t>
  </si>
  <si>
    <t>Hi  when I was implementing your library I found out that I can t use GifImageView s in a ViewPager because it causing library to crash _x000D_
_x000D_
Here is the stacktrace_x000D_
   _x000D_
08 04 08:01:06 027 11660 11713 pl droidsonroids gif sample A libc: Fatal signal 11 (SIGSEGV)  code 1  fault addr 0xa0535325 in tid 11713 (pool 3 thread 1)_x000D_
08 04 08:01:06 080 16452 16452   A DEBUG:                                                                _x000D_
08 04 08:01:06 080 16452 16452   A DEBUG: Build fingerprint:  google hammerhead hammerhead:6 0 1 MMB29K 2419427:user release keys _x000D_
08 04 08:01:06 080 16452 16452   A DEBUG: Revision:  0 _x000D_
08 04 08:01:06 080 16452 16452   A DEBUG: ABI:  arm _x000D_
08 04 08:01:06 080 16452 16452   A DEBUG: pid: 11660  tid: 11713  name: pool 3 thread 1      pl droidsonroids gif sample    _x000D_
08 04 08:01:06 080 16452 16452   A DEBUG: signal 11 (SIGSEGV)  code 1 (SEGV MAPERR)  fault addr 0xa0535325_x000D_
08 04 08:01:06 112 16452 16452   A DEBUG:     r0 9eb60393  r1 a0535325  r2 00000001  r3 00000000_x000D_
08 04 08:01:06 112 16452 16452   A DEBUG:     r4 00000001  r5 acc20430  r6 00000000  r7 9eb60388_x000D_
08 04 08:01:06 112 16452 16452   A DEBUG:     r8 00000000  r9 00000001  sl aa786440  fp 9eb603b8_x000D_
08 04 08:01:06 112 16452 16452   A DEBUG:     ip 80000000  sp 9eb60370  lr 9f9f5307  pc b6d296ae  cpsr 800b4430_x000D_
08 04 08:01:06 169 16452 16452   A DEBUG: backtrace:_x000D_
08 04 08:01:06 169 16452 16452   A DEBUG:      00 pc 000176ae   system lib libc so (  memcpy base 165)_x000D_
08 04 08:01:06 169 16452 16452   A DEBUG:      01 pc 00003303   data app pl droidsonroids gif sample 2 base apk (offset 0x11f000)_x000D_
08 04 08:01:06 169 16452 16452   A DEBUG:      02 pc 000039f9   data app pl droidsonroids gif sample 2 base apk (offset 0x11f000)_x000D_
08 04 08:01:06 169 16452 16452   A DEBUG:      03 pc 00002505   data app pl droidsonroids gif sample 2 base apk (offset 0x11f000)_x000D_
08 04 08:01:06 169 16452 16452   A DEBUG:      04 pc 00001fb7   data app pl droidsonroids gif sample 2 base apk (offset 0x11f000)_x000D_
08 04 08:01:06 169 16452 16452   A DEBUG:      05 pc 00910d21   data app pl droidsonroids gif sample 2 oat arm base odex (offset 0x421000) (long pl droidsonroids gif GifInfoHandle renderFrame(long  android graphics Bitmap) 116)_x000D_
08 04 08:01:06 169 16452 16452   A DEBUG:      06 pc 009128d7   data app pl droidsonroids gif sample 2 oat arm base odex (offset 0x421000) (long pl droidsonroids gif GifInfoHandle renderFrame(android graphics Bitmap) 90)_x000D_
08 04 08:01:06 169 16452 16452   A DEBUG:      07 pc 0091e3e3   data app pl droidsonroids gif sample 2 oat arm base odex (offset 0x421000) (void pl droidsonroids gif RenderTask doWork() 134)_x000D_
08 04 08:01:06 169 16452 16452   A DEBUG:      08 pc 00907615   data app pl droidsonroids gif sample 2 oat arm base odex (offset 0x421000) (void pl droidsonroids gif SafeRunnable run() 104)_x000D_
08 04 08:01:06 169 16452 16452   A DEBUG:      09 pc 71c7c8af   data dalvik cache arm system framework boot oat (offset 0x1ec9000)_x000D_
   _x000D_
_x000D_
 On my fork (https:  github com DanielSobczak android gif drawable tree imageview bug) you can find code that is causing the crash  to reproduce it just launch app and scroll through ViewPager_x000D_
_x000D_
I tested it on two devices (same result):_x000D_
  Nexus 5 (6 0 1)_x000D_
  Samsung Galaxy Note 4 (6 0 1)</t>
  </si>
  <si>
    <t>OWASP-Ruhrpott-owasp-workshop-android-pentest-20</t>
  </si>
  <si>
    <t>Fix app crash after HTTP timeout</t>
  </si>
  <si>
    <t xml:space="preserve">At the moment the app crashes if the http is intercepted by burp  Maybe some ui blocking issue </t>
  </si>
  <si>
    <t>ccrama-Slide-2506</t>
  </si>
  <si>
    <t>SytemUI crashes when downloading hi-res image</t>
  </si>
  <si>
    <t xml:space="preserve">Slide version: v5 6 3_x000D_
Android version: 7 1 2_x000D_
_x000D_
I m on LineageOS  and I found that SystemUI crashes when I download very high resolution images (for example a 8000x6000 from r EarthPorn)  I suspect that it s the notification when the download is done  it shows the full resolution of the image  causing SystemUI to run out of memory  Other than crashes  my notification page also lags severely when I download images not that large (for example a 4000x3000 image)  I would suggest that either use a scaled down version to be shown in the notification or not showing the image at all so that this would not be affecting user experience _x000D_
_x000D_
I think this issue should be categorised as high priority _x000D_
</t>
  </si>
  <si>
    <t>jacob-g-cleveland-rta-next-bus-train-87</t>
  </si>
  <si>
    <t>Erase cache on upgrade</t>
  </si>
  <si>
    <t xml:space="preserve">Otherwise important data will be missing and cause crashes </t>
  </si>
  <si>
    <t>projectwife-mtesitoo-android-135</t>
  </si>
  <si>
    <t>Crash editing profile picture</t>
  </si>
  <si>
    <t xml:space="preserve">Related to  107 _x000D_
_x000D_
The app crashes after selecting picture from gallery in Profile screen _x000D_
_x000D_
08 04 12:07:18 706 3097 3097 com tesitoo E AndroidRuntime: FATAL EXCEPTION: main_x000D_
                                                           Process: com tesitoo  PID: 3097_x000D_
                                                           java lang RuntimeException: Failure delivering result ResultInfo who null  request 65539  result  1  data Intent   dat content:  com android providers media documents document image:137 flg 0x1    to activity  com tesitoo com mtesitoo ProductActivity : java lang NullPointerException_x000D_
                                                               at android app ActivityThread deliverResults(ActivityThread java:4089)_x000D_
                                                               at android app ActivityThread handleSendResult(ActivityThread java:4132)_x000D_
                                                               at android app ActivityThread  wrap20(ActivityThread java)_x000D_
                                                               at android app ActivityThread H handleMessage(ActivityThread java:1533)_x000D_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Caused by: java lang NullPointerException_x000D_
                                                               at java io File  init (File java:262)_x000D_
                                                               at com mtesitoo model ImageFile  init (ImageFile java:0)_x000D_
                                                               at com mtesitoo fragment ProductDetailEditFragment onActivityResult(ProductDetailEditFragment java:507)_x000D_
                                                               at android support v4 app FragmentActivity onActivityResult(FragmentActivity java:164)_x000D_
                                                               at android app Activity dispatchActivityResult(Activity java:6932)_x000D_
                                                               at android app ActivityThread deliverResults(ActivityThread java:4085)_x000D_
                                                               at android app ActivityThread handleSendResult(ActivityThread java:4132) _x000D_
                                                               at android app ActivityThread  wrap20(ActivityThread java) _x000D_
                                                               at android app ActivityThread H handleMessage(ActivityThread java:1533) _x000D_
                                                               at android os Handler dispatchMessage(Handler java:102) _x000D_
                                                               at android os Looper loop(Looper java:154) _x000D_
                                                               at android app ActivityThread main(ActivityThread java:6119) _x000D_
                                                               at java lang reflect Method invoke(Native Method) _x000D_
                                                               at com android internal os ZygoteInit MethodAndArgsCaller run(ZygoteInit java:886) _x000D_
                                                               at com android internal os ZygoteInit main(ZygoteInit java:776) </t>
  </si>
  <si>
    <t>Vinetos-Hello-Music-7</t>
  </si>
  <si>
    <t>Menu | Crash</t>
  </si>
  <si>
    <t>Le menu 3 points verticals (en haut   droite)  fait crash l application  https:  imgur com gallery 6vqB6</t>
  </si>
  <si>
    <t>itachi1706-SingBuses-85</t>
  </si>
  <si>
    <t>BusStopsDB.java line 58</t>
  </si>
  <si>
    <t xml:space="preserve">     in com itachi1706 busarrivalsg Database BusStopsDB dropAndRebuildDB
  Number of crashes: 1
  Impacted devices: 1
There s a lot more information about this crash on crashlytics com:
 https:  fabric io itachi1706s projects android apps com itachi1706 busarrivalsg issues 5986e300be077a4dccae6947 utm medium service hooks github utm source issue impact (https:  fabric io itachi1706s projects android apps com itachi1706 busarrivalsg issues 5986e300be077a4dccae6947 utm medium service hooks github utm source issue impact)</t>
  </si>
  <si>
    <t>alhazmy13-MediaPicker-35</t>
  </si>
  <si>
    <t xml:space="preserve">crash on video recording on android lolipop </t>
  </si>
  <si>
    <t>Application is crashing when i try to record video</t>
  </si>
  <si>
    <t>psych-tech-smart-pm-30</t>
  </si>
  <si>
    <t>Crash on Certain User Click</t>
  </si>
  <si>
    <t>In my test  clicking on user  Zack Kysar  will crash the app  See the exception below: ArrayIndexOutOfBounds exception  Let me know if you can reproduce the bug _x000D_
_x000D_
FATAL EXCEPTION: main_x000D_
                                                                       Process: com emolance enterprise  PID: 3773_x000D_
                                                                       java lang ArrayIndexOutOfBoundsException: length 9  index 9_x000D_
                                                                           at com emolance enterprise ui UserProfileFragment 3 getFormattedValue(UserProfileFragment java:185)_x000D_
                                                                           at com github mikephil charting components AxisBase getFormattedLabel(AxisBase java:472)_x000D_
                                                                           at com github mikephil charting components AxisBase getLongestLabel(AxisBase java:458)_x000D_
                                                                           at com github mikephil charting renderer XAxisRenderer computeSize(XAxisRenderer java:79)_x000D_
                                                                           at com github mikephil charting renderer XAxisRenderer computeAxisValues(XAxisRenderer java:74)_x000D_
                                                                           at com github mikephil charting renderer XAxisRenderer computeAxis(XAxisRenderer java:67)_x000D_
                                                                           at com github mikephil charting charts BarLineChartBase notifyDataSetChanged(BarLineChartBase java:329)_x000D_
                                                                           at com github mikephil charting charts Chart onSizeChanged(Chart java:1691)_x000D_
                                                                           at com github mikephil charting charts BarLineChartBase onSizeChanged(BarLineChartBase java:1584)_x000D_
                                                                           at android view View sizeChange(View java:17637)_x000D_
                                                                           at android view View setFrame(View java:17599)_x000D_
                                                                           at android view View layout(View java:17516)_x000D_
                                                                           at android view ViewGroup layout(ViewGroup java:5612)_x000D_
                                                                           at android widget LinearLayout setChildFrame(LinearLayout java:1741)_x000D_
                                                                           at android widget LinearLayout layoutHorizontal(LinearLayout java:1730)_x000D_
                                                                           at android widget LinearLayout onLayout(LinearLayout java:1496)_x000D_
                                                                           at android view View layout(View java:17519)_x000D_
                                                                           at android view ViewGroup layout(ViewGroup java:5612)_x000D_
                                                                           at android widget LinearLayout setChildFrame(LinearLayout java:1741)_x000D_
                                                                           at android widget LinearLayout layoutVertical(LinearLayout java:1585)_x000D_
                                                                           at android widget LinearLayout onLayout(LinearLayout java:1494)_x000D_
                                                                           at android view View layout(View java:17519)_x000D_
                                                                           at android view ViewGroup layout(ViewGroup java:5612)_x000D_
                                                                           at android widget LinearLayout setChildFrame(LinearLayout java:1741)_x000D_
                                                                           at android widget LinearLayout layoutVertical(LinearLayout java:1585)_x000D_
                                                                           at android widget LinearLayout onLayout(LinearLayout java:1494)_x000D_
                                                                           at android view View layout(View java:17519)_x000D_
                                                                           at android view ViewGroup layout(ViewGroup java:5612)_x000D_
                                                                           at android widget FrameLayout layoutChildren(FrameLayout java:323)_x000D_
                                                                           at android widget FrameLayout onLayout(FrameLayout java:261)_x000D_
                                                                           at android view View layout(View java:17519)_x000D_
                                                                           at android view ViewGroup layout(ViewGroup java:5612)_x000D_
                                                                           at android widget LinearLayout setChildFrame(LinearLayout java:1741)_x000D_
                                                                           at android widget LinearLayout layoutHorizontal(LinearLayout java:1730)_x000D_
                                                                           at android widget LinearLayout onLayout(LinearLayout java:1496)_x000D_
                                                                           at android view View layout(View java:17519)_x000D_
                                                                           at android view ViewGroup layout(ViewGroup java:5612)_x000D_
                                                                           at android widget FrameLayout layoutChildren(FrameLayout java:323)_x000D_
                                                                           at android widget FrameLayout onLayout(FrameLayout java:261)_x000D_
                                                                           at android view View layout(View java:17519)_x000D_
                                                                           at android view ViewGroup layout(ViewGroup java:5612)_x000D_
                                                                           at com android internal widget ActionBarOverlayLayout onLayout(ActionBarOverlayLayout java:493)_x000D_
                                                                           at android view View layout(View java:17519)_x000D_
                                                                           at android view ViewGroup layout(ViewGroup java:5612)_x000D_
                                                                           at android widget FrameLayout layoutChildren(FrameLayout java:323)_x000D_
                                                                           at android widget FrameLayout onLayout(FrameLayout java:261)_x000D_
                                                                           at com android internal policy DecorView onLayout(DecorView java:724)_x000D_
                                                                           at android view View layout(View java:17519)_x000D_
                                                                           at android view ViewGroup layout(ViewGroup java:5612)_x000D_
                                                                           at android view ViewRootImpl performLayout(ViewRootImpl java:2342)_x000D_
                                                                           at android view ViewRootImpl performTraversals(ViewRootImpl java:2069)_x000D_
                                                                           at android view ViewRootImpl doTraversal(ViewRootImpl java:1246)_x000D_
                                                                           at android view ViewRootImpl TraversalRunnable run(ViewRootImpl java:6301)_x000D_
                                                                           at android view Choreographer CallbackRecord run(Choreographer java:871)_x000D_
                                                                           at android view Choreographer doCallbacks(Choreographer java:683)_x000D_
                                                                           at android view Choreographer doFrame(Choreographer java:619)_x000D_
                                                                           at android view Choreographer FrameDisplayEventReceiver run(Choreographer java:857)_x000D_
                                                                           at android os Handler handleCallback(Handler java:751)</t>
  </si>
  <si>
    <t>BaseballCardTracker-bbct-android-421</t>
  </si>
  <si>
    <t>ViewDebug.java line 960</t>
  </si>
  <si>
    <t xml:space="preserve">     in android view ViewDebug getExportedPropertyMethods
  Number of crashes: 1
  Impacted devices: 1
There s a lot more information about this crash on crashlytics com:
 https:  fabric io codeguru apps android apps bbct android issues 598813f7be077a4dccb8051b utm medium service hooks github utm source issue impact (https:  fabric io codeguru apps android apps bbct android issues 598813f7be077a4dccb8051b utm medium service hooks github utm source issue impact)</t>
  </si>
  <si>
    <t>BaseballCardTracker-bbct-android-420</t>
  </si>
  <si>
    <t xml:space="preserve">     in android view ViewDebug getExportedPropertyMethods
  Number of crashes: 1
  Impacted devices: 1
There s a lot more information about this crash on crashlytics com:
 https:  fabric io codeguru apps android apps bbct android premium issues 5988137ebe077a4dccb8011d utm medium service hooks github utm source issue impact (https:  fabric io codeguru apps android apps bbct android premium issues 5988137ebe077a4dccb8011d utm medium service hooks github utm source issue impact)</t>
  </si>
  <si>
    <t>fossasia-pslab-android-453</t>
  </si>
  <si>
    <t>App crashes on clicking Sensor Quick View tile when device isn't connected</t>
  </si>
  <si>
    <t xml:space="preserve">  Actual Behaviour  _x000D_
_x000D_
App crashes when device isn t connected _x000D_
_x000D_
  Expected Behaviour  _x000D_
_x000D_
App shouldn t crash when device isn t connected instead user should be provided with appropriate message _x000D_
_x000D_
  Steps to reproduce it  _x000D_
_x000D_
NavDrawer    Application Fragment   Sensor Quick View_x000D_
_x000D_
  LogCat for the issue  _x000D_
_x000D_
   _x000D_
                                                                    Process: org fossasia pslab  PID: 21939_x000D_
                                                                    java lang RuntimeException: Unable to start activity ComponentInfo org fossasia pslab org fossasia pslab activity SensorActivity : java lang NullPointerException: Attempt to invoke virtual method  java util ArrayList org fossasia pslab communication peripherals I2C scan(java lang Integer)  on a null object reference_x000D_
                                                                        at android app ActivityThread performLaunchActivity(ActivityThread java:2449)_x000D_
                                                                        at android app ActivityThread handleLaunchActivity(ActivityThread java:2509)_x000D_
                                                                        at android app ActivityThread access 1000(ActivityThread java:153)_x000D_
                                                                        at android app ActivityThread H handleMessage(ActivityThread java:1373)_x000D_
                                                                        at android os Handler dispatchMessage(Handler java:102)_x000D_
                                                                        at android os Looper loop(Looper java:154)_x000D_
                                                                        at android app ActivityThread main(ActivityThread java:5529)_x000D_
                                                                        at java lang reflect Method invoke(Native Method)_x000D_
                                                                        at com android internal os ZygoteInit MethodAndArgsCaller run(ZygoteInit java:739)_x000D_
                                                                        at com android internal os ZygoteInit main(ZygoteInit java:629)_x000D_
                                                                     Caused by: java lang NullPointerException: Attempt to invoke virtual method  java util ArrayList org fossasia pslab communication peripherals I2C scan(java lang Integer)  on a null object reference_x000D_
                                                                        at org fossasia pslab sensorfragment SensorFragmentMain onCreate(SensorFragmentMain java:66)_x000D_
                                                                        at android support v4 app Fragment performCreate(Fragment java:2180)_x000D_
                                                                        at android support v4 app FragmentManagerImpl moveToState(FragmentManager java:1244)_x000D_
                                                                        at android support v4 app FragmentTransition addToFirstInLastOut(FragmentTransition java:1085)_x000D_
                                                                        at android support v4 app FragmentTransition calculateFragments(FragmentTransition java:976)_x000D_
                                                                        at android support v4 app FragmentTransition startTransitions(FragmentTransition java:95)_x000D_
                                                                        at android support v4 app FragmentManagerImpl executeOpsTogether(FragmentManager java:2146)_x000D_
                                                                        at android support v4 app FragmentManagerImpl optimizeAndExecuteOps(FragmentManager java:2103)_x000D_
                                                                        at android support v4 app FragmentManagerImpl execPendingActions(FragmentManager java:2013)_x000D_
                                                                        at android support v4 app FragmentController execPendingActions(FragmentController java:388)_x000D_
                                                                        at android support v4 app FragmentActivity onStart(FragmentActivity java:607)_x000D_
                                                                        at android support v7 app AppCompatActivity onStart(AppCompatActivity java:178)_x000D_
                                                                        at android app Instrumentation callActivityOnStart(Instrumentation java:1238)_x000D_
                                                                        at android app Activity performStart(Activity java:6320)_x000D_
                                                                        at android app ActivityThread performLaunchActivity(ActivityThread java:2412)_x000D_
                                                                        at android app ActivityThread handleLaunchActivity(ActivityThread java:2509) _x000D_
                                                                        at android app ActivityThread access 1000(ActivityThread java:153) _x000D_
                                                                        at android app ActivityThread H handleMessage(ActivityThread java:1373) _x000D_
                                                                        at android os Handler dispatchMessage(Handler java:102) _x000D_
                                                                        at android os Looper loop(Looper java:154) _x000D_
                                                                        at android app ActivityThread main(ActivityThread java:5529) _x000D_
                                                                        at java lang reflect Method invoke(Native Method)_x000D_
   _x000D_
_x000D_
  Screenshots of the issue  _x000D_
_x000D_
NA_x000D_
_x000D_
  Would you like to work on the issue   _x000D_
_x000D_
Yes</t>
  </si>
  <si>
    <t>tanrabad-survey-34</t>
  </si>
  <si>
    <t xml:space="preserve">     in org joda time format DateTimeFormatterBuilder TextField parseInto
  Number of crashes: 1
  Impacted devices: 1
There s a lot more information about this crash on crashlytics com:
 https:  fabric io tanrabad android apps org tanrabad survey issues 5987e4f4be077a4dccb690d6 utm medium service hooks github utm source issue impact (https:  fabric io tanrabad android apps org tanrabad survey issues 5987e4f4be077a4dccb690d6 utm medium service hooks github utm source issue impact)</t>
  </si>
  <si>
    <t>fossasia-phimpme-android-984</t>
  </si>
  <si>
    <t>App crashes on opening the share activity with dark theme</t>
  </si>
  <si>
    <t xml:space="preserve">  Actual Behaviour  _x000D_
_x000D_
App crashes on opening share activity_x000D_
_x000D_
  Expected Behaviour  _x000D_
_x000D_
It should not crash _x000D_
_x000D_
  Would you like to work on the issue   _x000D_
_x000D_
Yes_x000D_
</t>
  </si>
  <si>
    <t>tanrabad-survey-35</t>
  </si>
  <si>
    <t>:com.google.android.gms.DynamiteModulesB line 59</t>
  </si>
  <si>
    <t xml:space="preserve">     in jd a
  Number of crashes: 1
  Impacted devices: 1
There s a lot more information about this crash on crashlytics com:
 https:  fabric io tanrabad android apps org tanrabad survey issues 598998c1be077a4dccc65c3b utm medium service hooks github utm source issue impact (https:  fabric io tanrabad android apps org tanrabad survey issues 598998c1be077a4dccc65c3b utm medium service hooks github utm source issue impact)</t>
  </si>
  <si>
    <t>no131614-Spion-C-1</t>
  </si>
  <si>
    <t>Camera does not work for API &gt;21</t>
  </si>
  <si>
    <t>App crashed after trying to take images in Android tablet ver 7 0_x000D_
Crashes on windowManager addView(sv  params)  (line: 420  CameraService java)_x000D_
Fixed: Need to change WindowManager LayoutParams TYPE PHONE to TYPE TOAST (permission issue)</t>
  </si>
  <si>
    <t>square-okhttp-3514</t>
  </si>
  <si>
    <t>Attempt to invoke interface method intercept on a null object reference</t>
  </si>
  <si>
    <t xml:space="preserve">Hi _x000D_
_x000D_
We are having a large number of crashes reported by Crashlytics with the following error  _x000D_
We have this issue with okhttp 3 5 and 3 8 _x000D_
Maybe there is something wrong in our code _x000D_
_x000D_
Can anyone help us _x000D_
_x000D_
Thanks a lot_x000D_
_x000D_
   _x000D_
Fatal Exception: java lang NullPointerException: Attempt to invoke interface method  okhttp3 Response okhttp3 Interceptor intercept(okhttp3 Interceptor Chain)  on a null object reference_x000D_
       at okhttp3 internal http RealInterceptorChain proceed(RealInterceptorChain java:92)_x000D_
       at okhttp3 internal http RealInterceptorChain proceed(RealInterceptorChain java:67)_x000D_
       at okhttp3 RealCall getResponseWithInterceptorChain(RealCall java:179)_x000D_
       at okhttp3 RealCall AsyncCall execute(RealCall java:129)_x000D_
       at okhttp3 internal NamedRunnable run(NamedRunnable java:32)_x000D_
       at java util concurrent ThreadPoolExecutor runWorker(ThreadPoolExecutor java:1133)_x000D_
       at java util concurrent ThreadPoolExecutor Worker run(ThreadPoolExecutor java:607)_x000D_
       at java lang Thread run(Thread java:762)_x000D_
   </t>
  </si>
  <si>
    <t>d4rken-reddit-android-appstore-124</t>
  </si>
  <si>
    <t>crash when i try to download an app</t>
  </si>
  <si>
    <t xml:space="preserve">hi  when i try to download an app it crash  if download it via play store you should check that the intent is handled correctly and possibly show a warning _x000D_
android : lineage os 7 1 2_x000D_
cell: nexus 5_x000D_
this is a log:_x000D_
   _x000D_
08 09 11:49:36 540 23465 23472   I art: Debugger is no longer active_x000D_
08 09 11:49:36 540 23465 23472   I art: Starting a blocking GC Instrumentation_x000D_
08 09 11:49:36 601 23465 23465   I art: Starting a blocking GC AddRemoveAppImageSpace_x000D_
08 09 11:49:36 688 23465 23465   D NetworkSecurityConfig: No Network Security Config specified  using platform default_x000D_
08 09 11:49:36 799 23465 23494   I Adreno EGL:  qeglDrvAPI eglInitialize:379 : QUALCOMM Build: 10 21 15  369a2ea  I96aee987eb_x000D_
08 09 11:49:36 801 23465 23494   I OpenGLRenderer: Initialized EGL  version 1 4_x000D_
08 09 11:49:36 801 23465 23494   D OpenGLRenderer: Swap behavior 1_x000D_
08 09 11:49:37 156 23465 23465   W Glide: Failed to find GeneratedAppGlideModule  You should include an annotationProcessor compile dependency on com github bumptech glide:glide:compiler in your application and a  GlideModule annotated AppGlideModule implementation or LibraryGlideModules will be silently ignored_x000D_
08 09 11:49:47 319 23465 23494 subreddit android appstore D OpenGLRenderer: endAllActiveAnimators on 0x96c74480 (RippleDrawable) with handle 0x9acf0080_x000D_
08 09 11:49:50 892 23465 23465 subreddit android appstore D AndroidRuntime: Shutting down VM_x000D_
08 09 11:49:50 893 23465 23465 subreddit android appstore E AndroidRuntime: FATAL EXCEPTION: main_x000D_
                                                                            Process: subreddit android appstore  PID: 23465_x000D_
                                                                            android content ActivityNotFoundException: No Activity found to handle Intent   act android intent action VIEW dat  https:  play google com store apps details id au com codeka advbatterygraph  _x000D_
                                                                                at android app Instrumentation checkStartActivityResult(Instrumentation java:1818)_x000D_
                                                                                at android app Instrumentation execStartActivity(Instrumentation java:1525)_x000D_
                                                                                at android app Activity startActivityForResult(Activity java:4229)_x000D_
                                                                                at android support v4 app BaseFragmentActivityJB startActivityForResult(BaseFragmentActivityJB java:50)_x000D_
                                                                                at android support v4 app FragmentActivity startActivityForResult(FragmentActivity java:79)_x000D_
                                                                                at android support v4 app ActivityCompatJB startActivityForResult(ActivityCompatJB java:30)_x000D_
                                                                                at android support v4 app ActivityCompat startActivityForResult(ActivityCompat java:146)_x000D_
                                                                                at android support v4 app FragmentActivity startActivityFromFragment(FragmentActivity java:932)_x000D_
                                                                                at android support v4 app FragmentActivity HostCallbacks onStartActivityFromFragment(FragmentActivity java:1047)_x000D_
                                                                                at android support v4 app Fragment startActivity(Fragment java:935)_x000D_
                                                                                at android support v4 app Fragment startActivity(Fragment java:924)_x000D_
                                                                                at subreddit android appstore screens details AppDetailsFragment openDownload(AppDetailsFragment java:186)_x000D_
                                                                                at subreddit android appstore screens details AppDetailsFragment onDownloadClicked(AppDetailsFragment java:163)_x000D_
                                                                                at subreddit android appstore screens details AppDetailsFragment  ViewBinder 1 doClick(AppDetailsFragment  ViewBinder java:28)_x000D_
                                                                                at butterknife internal DebouncingOnClickListener onClick(DebouncingOnClickListener java:22)_x000D_
                                                                                at android view View performClick(View java:5637)_x000D_
                                                                                at android view View PerformClick run(View java:22433)_x000D_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_x000D_
   </t>
  </si>
  <si>
    <t>novoda-merlin-148</t>
  </si>
  <si>
    <t>MER-146/Bind callback crash</t>
  </si>
  <si>
    <t xml:space="preserve">   Problem_x000D_
As per issue  146  calling  Merlin bind  crashes when the  withBindableCallbacks  has not been specified when using  MerlinBuilder  to build an instance of  Merlin   The  onBind  callback is an event that a client   can   register for  it is not compulsory  and hence  the  bindCallbackManager  can be null _x000D_
_x000D_
   Solution_x000D_
Add a null check to the  ConnectivityChangesForwarder  and only forward  onBind  events when the  bindCallbackManager  is not null _x000D_
_x000D_
    Test(s) added_x000D_
Yes  two tests were added to show the crash and then the  ConnectivityChangesForwarder  patched _x000D_
_x000D_
    Screenshots_x000D_
No UI changes _x000D_
_x000D_
    Paired with_x000D_
Nobody _x000D_
</t>
  </si>
  <si>
    <t>novoda-merlin-146</t>
  </si>
  <si>
    <t>Missing `withBindableCallbacks` crashes</t>
  </si>
  <si>
    <t xml:space="preserve">     Problem_x000D_
If a client creates an instance of  Merlin  without specifying  withBindableCallbacks  when creating  Merlin  a crash occurs when performing a  Merlin bind   This occurs because we do not check for a  null  instance when forwarding  onBind  events  See  here (https:  github com novoda merlin blob master core src main java com novoda merlin service ConnectivityChangesForwarder java L31 L38) for the problematic class _x000D_
_x000D_
     Potential Solution_x000D_
Only forward  onBind  events when the forwarder has an instance of the  BindCallbackManager  attached  _x000D_
_x000D_
     Impact_x000D_
No crash in client applications  Merlin should only respond to events that clients are interested in and swallow all others _x000D_
</t>
  </si>
  <si>
    <t>tanrabad-survey-36</t>
  </si>
  <si>
    <t xml:space="preserve">     in org trb authen client JsonOpenIDUtil 
  Number of crashes: 1
  Impacted devices: 1
There s a lot more information about this crash on crashlytics com:
 https:  fabric io tanrabad android apps org tanrabad survey issues 598bd12fbe077a4dccdca15b utm medium service hooks github utm source issue impact (https:  fabric io tanrabad android apps org tanrabad survey issues 598bd12fbe077a4dccdca15b utm medium service hooks github utm source issue impact)</t>
  </si>
  <si>
    <t>getodk-collect-1340</t>
  </si>
  <si>
    <t>Crash when loading form with audit</t>
  </si>
  <si>
    <t xml:space="preserve">     Software and hardware versions _x000D_
Collect v1 9 1_x000D_
_x000D_
     Problem description_x000D_
Forms with audit tags crash on load because the instance path is not yet set when  TimerLogger  objects are built  Regression introduced by  1322 _x000D_
_x000D_
     Steps to reproduce the problem_x000D_
Load a form with an audit such as  audit test orx txt (https:  github com opendatakit collect files 1218763 audit test orx txt)_x000D_
_x000D_
     Expected behavior_x000D_
No crash </t>
  </si>
  <si>
    <t>bumptech-glide-2237</t>
  </si>
  <si>
    <t>ConcurrentModificationException with RequestBuilder as a thumbnail</t>
  </si>
  <si>
    <t xml:space="preserve">  Glide Version  : 4 0 0_x000D_
_x000D_
  Integration libraries  : okhttp3 integration_x000D_
_x000D_
     What devices you managed to get the issue to come up on  For example:_x000D_
fails on Galaxy S4 GT I9500 4 4 2  works fine on Nexus 6P 5 1 and Genymotion Nexus 5 5 0 1    _x000D_
  Device Android Version  : Galaxy Note 5 7 0 Nexus 6P 8 0_x000D_
_x000D_
In my app there is a list (RecyclerView) of images  which load through Glide  Some images are GIF  so for them I use static thumbnails  When I quickly scroll down and up the app crashes with following exception:_x000D_
   _x000D_
E AndroidRuntime: FATAL EXCEPTION: main_x000D_
Process: com blinkseven jrviewer  PID: 18619_x000D_
java util ConcurrentModificationException_x000D_
    at java util ArrayList Itr next(ArrayList java:831)_x000D_
    at com bumptech glide request target ViewTarget SizeDeterminer notifyCbs(ViewTarget java:180)_x000D_
    at com bumptech glide request target ViewTarget SizeDeterminer checkCurrentDimens(ViewTarget java:197)_x000D_
    at com bumptech glide request target ViewTarget SizeDeterminer SizeDeterminerLayoutListener onPreDraw(ViewTarget java:310)_x000D_
    at android view ViewTreeObserver dispatchOnPreDraw(ViewTreeObserver java:1013)_x000D_
    at android view ViewRootImpl performTraversals(ViewRootImpl java:2513)_x000D_
    at android view ViewRootImpl doTraversal(ViewRootImpl java:1522)_x000D_
    at android view ViewRootImpl TraversalRunnable run(ViewRootImpl java:7098)_x000D_
    at android view Choreographer CallbackRecord run(Choreographer java:927)_x000D_
    at android view Choreographer doCallbacks(Choreographer java:702)_x000D_
    at android view Choreographer doFrame(Choreographer java:638)_x000D_
    at android view Choreographer FrameDisplayEventReceiver run(Choreographer java:913)_x000D_
    at android os Handler handleCallback(Handler java:751)_x000D_
    at android os Handler dispatchMessage(Handler java:95)_x000D_
    at android os Looper loop(Looper java:154)_x000D_
    at android app ActivityThread main(ActivityThread java:6682)_x000D_
    at java lang reflect Method invoke(Native Method)_x000D_
    at com android internal os ZygoteInit MethodAndArgsCaller run(ZygoteInit java:1520)_x000D_
    at com android internal os ZygoteInit main(ZygoteInit java:1410)_x000D_
   _x000D_
I noticed that the app crashes only on items with GIFs and its thumbnails  namely when I include thumbnails loading _x000D_
_x000D_
     How do you use Glide _x000D_
Make sure you include everything as is in your app s code:_x000D_
Changing a single method parameter can yield totally different results _x000D_
Please clarify any magic variables that appear in the code  for example:      this  is a Fragment _x000D_
   _x000D_
Here is an example of loading GIFs with Glide:_x000D_
   _x000D_
RequestBuilder Drawable  thumbnailRequest   GlideApp_x000D_
                 with(this)_x000D_
                 load(imageModel getUri())_x000D_
                 thumbnail(0 5f)_x000D_
                 fallback(android R color holo orange light)_x000D_
                 placeholder(android R color holo green light)_x000D_
                 error(android R color holo red light)_x000D_
                 dontAnimate() _x000D_
_x000D_
        GlideApp_x000D_
                 with(this)_x000D_
                 load(imageModel getFullUri())_x000D_
                 listener(listener)_x000D_
                   Load gif s thumbnail through RequestBuilder_x000D_
                 thumbnail(thumbnailRequest)_x000D_
                 fallback(android R color holo orange light)_x000D_
                 placeholder(android R color holo green light)_x000D_
                 error(android R color holo red light)_x000D_
                 into((ImageView) findViewById(R id image)) _x000D_
   _x000D_
_x000D_
If exclude  thumbnail  option there is no exception </t>
  </si>
  <si>
    <t>nextcloud-android-1316</t>
  </si>
  <si>
    <t>Crash on first Start (1.4.2)</t>
  </si>
  <si>
    <t xml:space="preserve">    Actual behaviour_x000D_
I Installed Nextcloud from f droid after first start Nextclud crashed _x000D_
_x000D_
    Expected behaviour_x000D_
nextcloud do start_x000D_
 _x000D_
    Steps to reproduce_x000D_
1  install nextcloud _x000D_
2  start nextcloud_x000D_
3  see Question for Storrage access and in background of this pop up the crash information pop up _x000D_
_x000D_
_x000D_
    Environment data_x000D_
Android version: 6 0 1_x000D_
_x000D_
_x000D_
Device model: Fairphone 2_x000D_
_x000D_
Stock or customized system:  FP Open 17 07 6_x000D_
 https:  code fairphone com projects fp osos user fairphone open source os downloads html (https:  code fairphone com projects fp osos user fairphone open source os downloads html)_x000D_
_x000D_
Nextcloud app version: 1 4 2_x000D_
_x000D_
    Logs_x000D_
_x000D_
 Log next 2017 08 11 02 28 31 txt (https:  github com nextcloud android files 1217996 Log next 2017 08 11 02 28 31 txt)_x000D_
_x000D_
_x000D_
   _x000D_
  NOTE:   Be super sure to remove sensitive data like passwords  note that everybody can look here  You can use the Issue Template application to prefill some of the required information: https:  apps nextcloud com apps issuetemplate_x000D_
</t>
  </si>
  <si>
    <t>fossasia-phimpme-android-1005</t>
  </si>
  <si>
    <t>App crashes on trying to share the selected text from add caption dialog box</t>
  </si>
  <si>
    <t xml:space="preserve">  Actual Behaviour  _x000D_
_x000D_
App crashes on trying to share the text_x000D_
_x000D_
  Expected Behaviour  _x000D_
_x000D_
It should not crash _x000D_
_x000D_
  Would you like to work on the issue   _x000D_
_x000D_
Yes _x000D_
</t>
  </si>
  <si>
    <t>timusus-Shuttle-121</t>
  </si>
  <si>
    <t>Crashes when click on equalizer</t>
  </si>
  <si>
    <t xml:space="preserve">  Shuttle version:  _x000D_
 _x000D_
 v2 00 b1_x000D_
 _x000D_
  Device  OS:  _x000D_
 _x000D_
Marlin   7 1 2_x000D_
_x000D_
  Description of bug:  _x000D_
    _x000D_
marlin:    logcat_x000D_
          beginning of main_x000D_
08 14 09:38:27 088 19592 19592 I art     : Starting a blocking GC AddRemoveAppImageSpace_x000D_
08 14 09:38:27 185 19592 19592 V Term    : onCreate_x000D_
08 14 09:38:27 262 19592 19592 D Term    : TermService started_x000D_
08 14 09:38:27 262 19592 19592 I TermService: Activity called onBind()_x000D_
08 14 09:38:27 290 19592 19613 I Adreno  : QUALCOMM build                   : 6818200  Idb2b4cb785_x000D_
08 14 09:38:27 290 19592 19613 I Adreno  : Build Date                       : 11 17 16_x000D_
08 14 09:38:27 290 19592 19613 I Adreno  : OpenGL ES Shader Compiler Version: XE031 09 00 04_x000D_
08 14 09:38:27 290 19592 19613 I Adreno  : Local Branch                     : N25_x000D_
08 14 09:38:27 290 19592 19613 I Adreno  : Remote Branch                    :_x000D_
08 14 09:38:27 290 19592 19613 I Adreno  : Remote Branch                    :_x000D_
08 14 09:38:27 290 19592 19613 I Adreno  : Reconstruct Branch               :_x000D_
08 14 09:38:27 295 19592 19613 I OpenGLRenderer: Initialized EGL  version 1 4_x000D_
08 14 09:38:27 296 19592 19613 D OpenGLRenderer: Swap behavior 1_x000D_
08 14 09:38:27 309 19592 19592 I Term    : Bound to TermService_x000D_
08 14 09:38:27 309 19592 19592 I TermService: Activity binding to service_x000D_
08 14 09:38:27 362 19592 19592 I libjackpal androidterm: JNI OnLoad_x000D_
08 14 09:38:27 367 19592 19618 I Term    : waiting for: 19614_x000D_
08 14 09:38:33 877 19592 19592 W IInputConnectionWrapper: reportFullscreenMode on inexistent InputConnection_x000D_
08 14 09:38:33 877 19592 19592 W IInputConnectionWrapper: finishComposingText on inactive InputConnection_x000D_
08 14 09:38:35 595 19592 19592 I Term    : Bound to TermService_x000D_
08 14 09:38:35 595 19592 19592 I TermService: Activity binding to service_x000D_
08 14 09:38:36 733 19592 19592 W IInputConnectionWrapper: reportFullscreenMode on inexistent InputConnection_x000D_
08 14 09:38:36 735 19592 19592 W IInputConnectionWrapper: finishComposingText on inactive InputConnection_x000D_
08 14 09:38:36 869 19592 19592 V Term    : onCreate_x000D_
08 14 09:38:36 944 19592 19592 I Term    : Bound to TermService_x000D_
08 14 09:38:36 944 19592 19592 I TermService: Activity binding to service_x000D_
08 14 09:38:48 622 19592 19592 V Term    : onCreate_x000D_
08 14 09:38:48 724 19592 19592 I Term    : Bound to TermService_x000D_
08 14 09:38:48 724 19592 19592 I TermService: Activity binding to service_x000D_
08 14 09:38:48 767 19592 19592 W IInputConnectionWrapper: finishComposingText on inactive InputConnection_x000D_
08 14 09:38:57 412 19592 19592 W IInputConnectionWrapper: reportFullscreenMode on inexistent InputConnection_x000D_
08 14 09:38:57 412 19592 19592 W IInputConnectionWrapper: finishComposingText on inactive InputConnection_x000D_
08 14 09:39:04 487 19592 19592 I Term    : Bound to TermService_x000D_
08 14 09:39:04 487 19592 19592 I TermService: Activity binding to service_x000D_
08 14 09:39:08 679 19592 19592 E JavaBinder:     FAILED BINDER TRANSACTION      (parcel size   1077852)_x000D_
08 14 09:39:08 680 19592 19592 D AndroidRuntime: Shutting down VM_x000D_
          beginning of crash_x000D_
08 14 09:39:08 682 19592 19592 E AndroidRuntime: FATAL EXCEPTION: main_x000D_
08 14 09:39:08 682 19592 19592 E AndroidRuntime: Process: jackpal androidterm  PID: 19592_x000D_
08 14 09:39:08 682 19592 19592 E AndroidRuntime: java lang RuntimeException: Failure from system_x000D_
08 14 09:39:08 682 19592 19592 E AndroidRuntime:        at android app Instrumentation execStartActivity(Instrumentation java:1525)_x000D_
08 14 09:39:08 682 19592 19592 E AndroidRuntime:        at android app Activity startActivityForResult(Activity java:4228)_x000D_
08 14 09:39:08 682 19592 19592 E AndroidRuntime:        at android app Activity startActivityForResult(Activity java:4186)_x000D_
08 14 09:39:08 682 19592 19592 E AndroidRuntime:        at android app Activity startActivity(Activity java:4525)_x000D_
08 14 09:39:08 682 19592 19592 E AndroidRuntime:        at android app Activity startActivity(Activity java:4493)_x000D_
08 14 09:39:08 682 19592 19592 E AndroidRuntime:        at jackpal androidterm Term doEmailTranscript(Term java:999)_x000D_
08 14 09:39:08 682 19592 19592 E AndroidRuntime:        at jackpal androidterm Term onOptionsItemSelected(Term java:694)_x000D_
08 14 09:39:08 682 19592 19592 E AndroidRuntime:        at android app Activity onMenuItemSelected(Activity java:3207)_x000D_
08 14 09:39:08 682 19592 19592 E AndroidRuntime:        at com android internal policy PhoneWindow onMenuItemSelected(PhoneWindow java:1216)_x000D_
08 14 09:39:08 682 19592 19592 E AndroidRuntime:        at com android internal view menu MenuBuilder dispatchMenuItemSelected(MenuBuilder java:761)_x000D_
08 14 09:39:08 682 19592 19592 E AndroidRuntime:        at com android internal view menu MenuItemImpl invoke(MenuItemImpl java:152)_x000D_
08 14 09:39:08 682 19592 19592 E AndroidRuntime:        at com android internal view menu MenuBuilder performItemAction(MenuBuilder java:904)_x000D_
08 14 09:39:08 682 19592 19592 E AndroidRuntime:        at com android internal view menu MenuBuilder performItemAction(MenuBuilder java:894)_x000D_
08 14 09:39:08 682 19592 19592 E AndroidRuntime:        at com android internal view menu MenuPopup onItemClick(MenuPopup java:128)_x000D_
08 14 09:39:08 682 19592 19592 E AndroidRuntime:        at android widget AdapterView performItemClick(AdapterView java:310)_x000D_
08 14 09:39:08 682 19592 19592 E AndroidRuntime:        at android widget AbsListView performItemClick(AbsListView java:1179)_x000D_
08 14 09:39:08 682 19592 19592 E AndroidRuntime:        at android widget AbsListView PerformClick run(AbsListView java:3147)_x000D_
08 14 09:39:08 682 19592 19592 E AndroidRuntime:        at android widget AbsListView 3 run(AbsListView java:4062)_x000D_
08 14 09:39:08 682 19592 19592 E AndroidRuntime:        at android os Handler handleCallback(Handler java:751)_x000D_
08 14 09:39:08 682 19592 19592 E AndroidRuntime:        at android os Handler dispatchMessage(Handler java:95)_x000D_
08 14 09:39:08 682 19592 19592 E AndroidRuntime:        at android os Looper loop(Looper java:154)_x000D_
08 14 09:39:08 682 19592 19592 E AndroidRuntime:        at android app ActivityThread main(ActivityThread java:6171)_x000D_
08 14 09:39:08 682 19592 19592 E AndroidRuntime:        at java lang reflect Method invoke(Native Method)_x000D_
08 14 09:39:08 682 19592 19592 E AndroidRuntime:        at com android internal os ZygoteInit MethodAndArgsCaller run(ZygoteInit java:891)_x000D_
08 14 09:39:08 682 19592 19592 E AndroidRuntime:        at com android internal os ZygoteInit main(ZygoteInit java:781)_x000D_
08 14 09:39:08 682 19592 19592 E AndroidRuntime: Caused by: android os TransactionTooLargeException: data parcel size 1077852 bytes_x000D_
08 14 09:39:08 682 19592 19592 E AndroidRuntime:        at android os BinderProxy transactNative(Native Method)_x000D_
08 14 09:39:08 682 19592 19592 E AndroidRuntime:        at android os BinderProxy transact(Binder java:615)_x000D_
08 14 09:39:08 682 19592 19592 E AndroidRuntime:        at android app ActivityManagerProxy startActivity(ActivityManagerNative java:3123)_x000D_
08 14 09:39:08 682 19592 19592 E AndroidRuntime:        at android app Instrumentation execStartActivity(Instrumentation java:1518)_x000D_
08 14 09:39:08 682 19592 19592 E AndroidRuntime:            24 more_x000D_
08 14 09:39:10 838 19927 19927 I art     : Starting a blocking GC AddRemoveAppImageSpace_x000D_
08 14 09:39:10 864 19927 19927 V Term    : onCreate_x000D_
08 14 09:39:10 968 19927 19927 D Term    : TermService started_x000D_
08 14 09:39:10 969 19927 19927 I TermService: Activity called onBind()_x000D_
08 14 09:39:11 010 19927 19944 I Adreno  : QUALCOMM build                   : 6818200  Idb2b4cb785_x000D_
08 14 09:39:11 010 19927 19944 I Adreno  : Build Date                       : 11 17 16_x000D_
08 14 09:39:11 010 19927 19944 I Adreno  : OpenGL ES Shader Compiler Version: XE031 09 00 04_x000D_
08 14 09:39:11 010 19927 19944 I Adreno  : Local Branch                     : N25_x000D_
08 14 09:39:11 010 19927 19944 I Adreno  : Remote Branch                    :_x000D_
08 14 09:39:11 010 19927 19944 I Adreno  : Remote Branch                    :_x000D_
08 14 09:39:11 010 19927 19944 I Adreno  : Reconstruct Branch               :_x000D_
08 14 09:39:11 014 19927 19944 I OpenGLRenderer: Initialized EGL  version 1 4_x000D_
08 14 09:39:11 014 19927 19944 D OpenGLRenderer: Swap behavior 1_x000D_
08 14 09:39:11 025 19927 19927 I Term    : Bound to TermService_x000D_
08 14 09:39:11 025 19927 19927 I TermService: Activity binding to service_x000D_
08 14 09:39:11 078 19927 19927 I libjackpal androidterm: JNI OnLoad_x000D_
08 14 09:39:11 089 19927 19949 I Term    : waiting for: 19945_x000D_
08 14 09:39:17 854 19927 19927 W IInputConnectionWrapper: reportFullscreenMode on inexistent InputConnection_x000D_
08 14 09:39:17 854 19927 19927 W IInputConnectionWrapper: finishComposingText on inactive InputConnection_x000D_
08 14 09:39:30 316 19927 19927 I Term    : Bound to TermService_x000D_
08 14 09:39:30 316 19927 19927 I TermService: Activity binding to service_x000D_
   </t>
  </si>
  <si>
    <t>fossasia-phimpme-android-1014</t>
  </si>
  <si>
    <t>FileUriExposedException while sharing image through whatsapp in nougat devices</t>
  </si>
  <si>
    <t xml:space="preserve">  Actual Behaviour  _x000D_
_x000D_
App crashed on sharing image to Whatsapp on nougat devices_x000D_
_x000D_
  Expected Behaviour  _x000D_
_x000D_
Should not crash  open whatsapp with share image _x000D_
_x000D_
  Steps to reproduce it  _x000D_
_x000D_
Sharing Activity     Whatsapp_x000D_
_x000D_
  LogCat for the issue  _x000D_
_x000D_
   _x000D_
Fatal Exception: android os FileUriExposedException: file:   storage emulated 0 DCIM Phimpme 20Camera IMG 20170812 154643 jpg exposed beyond app through ClipData Item getUri()_x000D_
       at android os StrictMode onFileUriExposed(StrictMode java:1799)_x000D_
       at android net Uri checkFileUriExposed(Uri java:2346)_x000D_
       at android content ClipData prepareToLeaveProcess(ClipData java:845)_x000D_
       at android content Intent prepareToLeaveProcess(Intent java:8941)_x000D_
       at android content Intent prepareToLeaveProcess(Intent java:8926)_x000D_
       at android app Instrumentation execStartActivity(Instrumentation java:1689)_x000D_
       at android app Activity startActivityForResult(Activity java:4289)_x000D_
       at android support v4 app BaseFragmentActivityJB startActivityForResult(BaseFragmentActivityJB java:50)_x000D_
       at android support v4 app FragmentActivity startActivityForResult(FragmentActivity java:79)_x000D_
       at android app Activity startActivityForResult(Activity java:4247)_x000D_
       at android support v4 app FragmentActivity startActivityForResult(FragmentActivity java:859)_x000D_
       at android app Activity startActivity(Activity java:4586)_x000D_
       at android app Activity startActivity(Activity java:4554)_x000D_
       at org fossasia phimpme share SharingActivity shareToWhatsapp(SharingActivity java:724)_x000D_
       at org fossasia phimpme share SharingActivity access 1100(SharingActivity java:151)_x000D_
       at org fossasia phimpme share SharingActivity 2 onClick(SharingActivity java:339)_x000D_
       at android support v7 app AlertController ButtonHandler handleMessage(AlertController java:161)_x000D_
       at android os Handler dispatchMessage(Handler java:102)_x000D_
       at android os Looper loop(Looper java:154)_x000D_
       at android app ActivityThread main(ActivityThread java:6334)_x000D_
       at java lang reflect Method invoke(Method java)_x000D_
       at com android internal os ZygoteInit MethodAndArgsCaller run(ZygoteInit java:886)_x000D_
       at com android internal os ZygoteInit main(ZygoteInit java:776)_x000D_
_x000D_
   _x000D_
_x000D_
  Would you like to work on the issue   _x000D_
_x000D_
Yes_x000D_
</t>
  </si>
  <si>
    <t>cgeo-cgeo-6681</t>
  </si>
  <si>
    <t>App not working even after reinstall</t>
  </si>
  <si>
    <t xml:space="preserve">      Detailed steps causing the problem:_x000D_
User on FB reported  that c:geo suddenly stopped working normal:_x000D_
  Start is possible _x000D_
  Selecting lists crashes the app (Black screen and return to main screen)_x000D_
  Selecting a cache icon on live map crashed the app (Black screen and return to main screen)_x000D_
  Selecting Settings crashes the app (Black screen and return to main screen)_x000D_
_x000D_
I suggested a reinstallation _x000D_
After reinstallation the app crashes instantly after opening (Black screen and return to main screen) instead of showing the first screen (login screen for gc com)_x000D_
_x000D_
I took a look into Android vitals (searching for the phone type Samsung Galaxy A3(2016)  and found the following  However I am not sure  if this is really related to the above described problem:_x000D_
   _x000D_
java lang IllegalArgumentException: _x000D_
 _x000D_
  at android view WindowManagerGlobal findViewLocked (WindowManagerGlobal java:454)_x000D_
  at android view WindowManagerGlobal removeView (WindowManagerGlobal java:380)_x000D_
  at android view WindowManagerImpl removeViewImmediate (WindowManagerImpl java:140)_x000D_
  at android app Dialog dismissDialog (Dialog java:701)_x000D_
  at android app Dialog 1 run (Dialog java:169)_x000D_
  at android os Handler handleCallback (Handler java:739)_x000D_
  at android os Handler dispatchMessage (Handler java:95)_x000D_
  at android os Looper loop (Looper java:148)_x000D_
  at android app ActivityThread main (ActivityThread java:7325)_x000D_
  at java lang reflect Method invoke (Native Method)_x000D_
  at com android internal os ZygoteInit MethodAndArgsCaller run (ZygoteInit java:1230)_x000D_
  at com android internal os ZygoteInit main (ZygoteInit java:1120)_x000D_
   _x000D_
</t>
  </si>
  <si>
    <t>vestrel00-android-dagger-butterknife-mvp-46</t>
  </si>
  <si>
    <t>Fragment injection does not occur. NullPointerException for Android versions 22 (Lollipop 5.1) and below.</t>
  </si>
  <si>
    <t xml:space="preserve">   Crash_x000D_
_x000D_
The following crash occurs on devices running API 22 (Lollipop 5 1) and below _x000D_
_x000D_
   _x000D_
   java lang NullPointerException: Attempt to invoke interface method  void com vestrel00 daggerbutterknifemvp ui main view MainFragmentListener onExample1Clicked()  on a null object reference_x000D_
       at com vestrel00 daggerbutterknifemvp ui main view MainFragment onExample1Clicked(MainFragment java:63)_x000D_
         _x000D_
   _x000D_
_x000D_
The crash does not occur for API 23 (Marshmallow 6 0) and above _x000D_
_x000D_
     Steps to Reproduce_x000D_
_x000D_
1  Open the app_x000D_
2  Click on Example 1 button_x000D_
_x000D_
Observe the crash  Note that clicking on any of the example buttons will cause the crash _x000D_
_x000D_
   Analysis_x000D_
_x000D_
The issue is that the  MainFragmentListener listener  in  MainFragment  is null for some reason  This suggests a bug with Dagger 2 11  _x000D_
_x000D_
The issue is that the injection is currently happening in  onAttach(Context) (https:  developer android com reference android app Fragment html onAttach(android content Context))  which is added in API level 23  This means that API level 22 and below will not invoke  onAttach(Context)   thereby bypassing the injection  _x000D_
_x000D_
   Solutions_x000D_
_x000D_
1  Perform fragment injection in  onAttach(Activity) (https:  developer android com reference android app Fragment html onAttach(android app Activity)) _x000D_
2  Use AppCompat Activity and support Fragment with  dagger android support  injection frameworks </t>
  </si>
  <si>
    <t>CityZenApp-AndroidApp-3</t>
  </si>
  <si>
    <t>First test</t>
  </si>
  <si>
    <t>First let me congratulate you for creating and working on such projects  Please read carefully everything  I am pointing out my experience _x000D_
_x000D_
_x000D_
_x000D_
Lenovo Vibe Z2_x000D_
Android 4 4 4_x000D_
Quad core 1 2GHz_x000D_
RAM MEMORY: 2GB   32GB_x000D_
_x000D_
Installation: no issues_x000D_
_x000D_
Running:_x000D_
It is slow  Sometimes it crashes  _x000D_
_x000D_
Functions:_x000D_
_x000D_
SEARCH_x000D_
Search is not functional or I cannot figure out what the result should be  _x000D_
Say  I click on Restaurants  and I get Stela  If I search for Stela  results come empty  A message like  no data  or  search term not found  can help users understand if the search function is working or not _x000D_
_x000D_
DIRECTIONS_x000D_
Direction not good  I click on Restaurants  and I get Stela  Then I click on Getting directions and it shows a straight line from point A to B  Not good _x000D_
_x000D_
  cityzen get direction (https:  user images githubusercontent com 1438037 29268664 119bb838 80ee 11e7 8487 1233d41dcdc4 jpg)</t>
  </si>
  <si>
    <t>fossasia-phimpme-android-1021</t>
  </si>
  <si>
    <t>App crashed on first time opening through voice control</t>
  </si>
  <si>
    <t xml:space="preserve">  Actual Behaviour  _x000D_
_x000D_
When user first install and open app through voice control  app crashed because of not allowing run time permissions _x000D_
_x000D_
  Expected Behaviour  _x000D_
_x000D_
It should first ask for run time permissions and then open the CameraActivity _x000D_
_x000D_
  Steps to reproduce it  _x000D_
_x000D_
Close app     Clean cache and data     Ok google click a picture_x000D_
_x000D_
  LogCat for the issue  _x000D_
_x000D_
   _x000D_
Fatal Exception: java lang SecurityException: Starting under voice control not allowed for: Intent   act android content pm action REQUEST PERMISSIONS pkg com google android packageinstaller (has extras)  _x000D_
       at android app Instrumentation checkStartActivityResult(Instrumentation java:1817)_x000D_
       at android app Instrumentation execStartActivity(Instrumentation java:1634)_x000D_
       at android app Activity startActivityForResult(Activity java:4610)_x000D_
       at android app Activity requestPermissions(Activity java:3876)_x000D_
       at android support v4 app ActivityCompatApi23 requestPermissions(ActivityCompatApi23 java:49)_x000D_
       at android support v4 app ActivityCompat requestPermissions(ActivityCompat java:372)_x000D_
       at org fossasia phimpme opencamera Camera CameraActivity requestCameraPermission(CameraActivity java:2691)_x000D_
       at org fossasia phimpme opencamera Camera MyApplicationInterface requestCameraPermission(MyApplicationInterface java:984)_x000D_
       at org fossasia phimpme opencamera Preview Preview openCamera(Preview java:978)_x000D_
       at org fossasia phimpme opencamera Preview Preview mySurfaceCreated(Preview java:639)_x000D_
       at org fossasia phimpme opencamera Preview Preview surfaceCreated(Preview java:665)_x000D_
       at android view SurfaceView updateWindow(SurfaceView java:597)_x000D_
       at android view SurfaceView 3 onPreDraw(SurfaceView java:179)_x000D_
       at android view ViewTreeObserver dispatchOnPreDraw(ViewTreeObserver java:944)_x000D_
       at android view ViewRootImpl performTraversals(ViewRootImpl java:2082)_x000D_
       at android view ViewRootImpl doTraversal(ViewRootImpl java:1134)_x000D_
       at android view ViewRootImpl TraversalRunnable run(ViewRootImpl java:6050)_x000D_
       at android view Choreographer CallbackRecord run(Choreographer java:860)_x000D_
       at android view Choreographer doCallbacks(Choreographer java:672)_x000D_
       at android view Choreographer doFrame(Choreographer java:608)_x000D_
       at android view Choreographer FrameDisplayEventReceiver run(Choreographer java:846)_x000D_
       at android os Handler handleCallback(Handler java:739)_x000D_
       at android os Handler dispatchMessage(Handler java:95)_x000D_
       at android os Looper loop(Looper java:148)_x000D_
       at android app ActivityThread main(ActivityThread java:5441)_x000D_
       at java lang reflect Method invoke(Method java)_x000D_
       at com android internal os ZygoteInit MethodAndArgsCaller run(ZygoteInit java:738)_x000D_
       at com android internal os ZygoteInit main(ZygoteInit java:628)_x000D_
   _x000D_
_x000D_
  Would you like to work on the issue   _x000D_
_x000D_
Yes_x000D_
</t>
  </si>
  <si>
    <t>segler-alex-RadioDroid-157</t>
  </si>
  <si>
    <t>Crash while casting certain station</t>
  </si>
  <si>
    <t>Reproduce:_x000D_
_x000D_
1) Find station:  Akademickie Radio Luz _x000D_
2) Cast to chromecast_x000D_
_x000D_
Result:_x000D_
Cast successful and will keep playing  But RadioDroid crashes instantly on phone  _x000D_
Re running RadioDroid will result in crash as soon as it connects to chromecast _x000D_
Casted content must be changed or Chromecast rebooted before RD can be opened _x000D_
_x000D_
Env:_x000D_
RadioDroid v0 37 play variant_x000D_
OnePlus 3T with Android 7 1 1_x000D_
Chromecast Ultra firmware 1 25 90308</t>
  </si>
  <si>
    <t>nextcloud-android-1347</t>
  </si>
  <si>
    <t>Maintenance mode crashes android app</t>
  </si>
  <si>
    <t xml:space="preserve">    Actual behaviour_x000D_
  Android app crashes upon Manage Accounts    select account name_x000D_
_x000D_
    Expected behaviour_x000D_
  Open the account settings_x000D_
 _x000D_
    Steps to reproduce_x000D_
1  Put nextCloud server in maintenance mode_x000D_
2  Open Android app and try to select the account to delete it (I moved to my new server)_x000D_
3  Crash (tried twice)_x000D_
4  Disable server maintenance mode_x000D_
5  Try again and be successful_x000D_
_x000D_
    Environment data_x000D_
Android version:_x000D_
7 1 1_x000D_
Device model: _x000D_
HTC One M7_x000D_
Stock or customized system:_x000D_
Custom ROM: LineageOS 14 1 20170302 NIGHTLY m7_x000D_
Nextcloud app version:_x000D_
1 4 2_x000D_
Nextcloud server version:_x000D_
11 0 4_x000D_
    Logs_x000D_
     Web server error log_x000D_
   _x000D_
nothing_x000D_
   _x000D_
_x000D_
     Nextcloud log (data nextcloud log)_x000D_
   _x000D_
Unsure how to find this on android_x000D_
   </t>
  </si>
  <si>
    <t>OpenLauncherTeam-openlauncher-220</t>
  </si>
  <si>
    <t>0.5.4 crash report</t>
  </si>
  <si>
    <t xml:space="preserve">This is freshly configured setup  Bubble is sometimes highlighted for no apparent reason (screenshot)  App crashes on short tap on it  On long tap the highlight disappears and crash doesn t occur _x000D_
_x000D_
   _x000D_
Build version: 0 5 4 _x000D_
_x000D_
Build date: 1979 11 30 00:00:00 _x000D_
_x000D_
Current date: 2017 08 16 16:57:39 _x000D_
_x000D_
Device: BullittGroupLimited S40 _x000D_
_x000D_
 _x000D_
_x000D_
Stack trace:  _x000D_
_x000D_
java lang NullPointerException: Attempt to invoke virtual method  com benny openlauncher core model Item Type com benny openlauncher core model Item getType()  on a null object reference_x000D_
_x000D_
	at com benny openlauncher core widget GroupPopupView showWindowV(GroupPopupView java:106)_x000D_
_x000D_
	at com benny openlauncher core widget AppItemView Builder 4 onClick(AppItemView java:317)_x000D_
_x000D_
	at android view View performClick(View java:4781)_x000D_
_x000D_
	at android view View PerformClick run(View java:19874)_x000D_
_x000D_
	at android os Handler handleCallback(Handler java:739)_x000D_
_x000D_
	at android os Handler dispatchMessage(Handler java:95)_x000D_
_x000D_
	at android os Looper loop(Looper java:135)_x000D_
_x000D_
	at android app ActivityThread main(ActivityThread java:5255)_x000D_
_x000D_
	at java lang reflect Method invoke(Native Method)_x000D_
_x000D_
	at java lang reflect Method invoke(Method java:372)_x000D_
_x000D_
	at com android internal os ZygoteInit MethodAndArgsCaller run(ZygoteInit java:905)_x000D_
_x000D_
	at com android internal os ZygoteInit main(ZygoteInit java:700)_x000D_
   _x000D_
_x000D_
  screenshot 2017 08 16 16 57 48 (https:  user images githubusercontent com 3148302 29372594 e380f2dc 82ab 11e7 9ebf 972209112e10 png)_x000D_
_x000D_
_x000D_
</t>
  </si>
  <si>
    <t>fossasia-phimpme-android-1032</t>
  </si>
  <si>
    <t>App crashing on launch</t>
  </si>
  <si>
    <t xml:space="preserve">  Actual Behaviour  _x000D_
_x000D_
App crashes on launch_x000D_
_x000D_
  Expected Behaviour  _x000D_
_x000D_
App shouldn t crash_x000D_
_x000D_
  Steps to reproduce it  _x000D_
Open the app_x000D_
_x000D_
  LogCat for the issue  _x000D_
_x000D_
08 16 16:21:19 039 27825 27825   E Zygote: v2_x000D_
08 16 16:21:19 039 27825 27825   I libpersona: KNOX SDCARD checking this for 10270_x000D_
08 16 16:21:19 039 27825 27825   I libpersona: KNOX SDCARD not a persona_x000D_
08 16 16:21:19 043 27825 27825   E Zygote: accessInfo : 0_x000D_
08 16 16:21:19 044 27825 27825   W SELinux: SELinux selinux android compute policy index : Policy Index 2    Con:u:r:zygote:s0 RAM:SEPF SECMOBILE 7 0 0007    1  1  1  1 0 1 _x000D_
08 16 16:21:19 046 27825 27825   I SELinux: SELinux: seapp context lookup: seinfo untrusted  level s0:c512 c768  pkgname org fossasia phimpme _x000D_
08 16 16:21:19 058 27825 27825   I art: Late enabling  Xcheck:jni_x000D_
08 16 16:21:19 096 27825 27825   D TimaKeyStoreProvider: TimaKeyStore is not enabled: cannot add TimaSignature Service and generateKeyPair Service_x000D_
08 16 16:21:19 115 27825 27832   E art: Failed sending reply to debugger: Broken pipe_x000D_
08 16 16:21:19 115 27825 27832   I art: Debugger is no longer active_x000D_
08 16 16:21:19 115 27825 27832   I art: Starting a blocking GC Instrumentation_x000D_
08 16 16:21:19 571 27825 27825   D AndroidRuntime: Shutting down VM_x000D_
08 16 16:21:19 576 27825 27825   E AndroidRuntime: FATAL EXCEPTION: main_x000D_
                                                   Process: org fossasia phimpme  PID: 27825_x000D_
                                                   java lang RuntimeException: Unable to get provider com google firebase perf provider FirebasePerfProvider: java lang ClassNotFoundException: Didn t find class  com google firebase perf provider FirebasePerfProvider  on path: DexPathList  zip file   data app org fossasia phimpme 1 base apk   zip file   data app org fossasia phimpme 1 split lib slice 0 apk apk   zip file   data app org fossasia phimpme 1 split lib slice 1 apk apk   zip file   data app org fossasia phimpme 1 split lib slice 2 apk apk   zip file   data app org fossasia phimpme 1 split lib slice 3 apk apk   zip file   data app org fossasia phimpme 1 split lib slice 4 apk apk   zip file   data app org fossasia phimpme 1 split lib slice 5 apk apk   zip file   data app org fossasia phimpme 1 split lib slice 6 apk apk   zip file   data app org fossasia phimpme 1 split lib slice 7 apk apk   zip file   data app org fossasia phimpme 1 split lib slice 8 apk apk   zip file   data app org fossasia phimpme 1 split lib slice 9 apk apk   nativeLibraryDirectories   data app org fossasia phimpme 1 lib arm   data app org fossasia phimpme 1 base apk  lib armeabi v7a   data app org fossasia phimpme 1 split lib slice 0 apk apk  lib armeabi v7a   data app org fossasia phimpme 1 split lib slice 1 apk apk  lib armeabi v7a   data app org fossasia phimpme 1 split lib slice 2 apk apk  lib armeabi v7a   data app org fossasia phimpme 1 split lib slice 3 apk apk  lib armeabi v7a   data app org fossasia phimpme 1 split lib slice 4 apk apk  lib armeabi v7a   data app org fossasia phimpme 1 split lib slice 5 apk apk  lib armeabi v7a   data app org fossasia phimpme 1 split lib slice 6 apk apk  lib armeabi v7a   data app org fossasia phimpme 1 split lib slice 7 apk apk  lib armeabi v7a   data app org fossasia phimpme 1 split lib slice 8 apk apk  lib armeabi v7a   data app org fossasia phimpme 1 split lib slice 9 apk apk  lib armeabi v7a   system lib   vendor lib  _x000D_
                                                       at android app ActivityThread installProvider(ActivityThread java:6423)_x000D_
                                                       at android app ActivityThread installContentProviders(ActivityThread java:6012)_x000D_
                                                       at android app ActivityThread handleBindApplication(ActivityThread java:5951)_x000D_
                                                       at android app ActivityThread  wrap3(ActivityThread java)_x000D_
                                                       at android app ActivityThread H handleMessage(ActivityThread java:1710)_x000D_
                                                       at android os Handler dispatchMessage(Handler java:102)_x000D_
                                                       at android os Looper loop(Looper java:154)_x000D_
                                                       at android app ActivityThread main(ActivityThread java:6776)_x000D_
                                                       at java lang reflect Method invoke(Native Method)_x000D_
                                                       at com android internal os ZygoteInit MethodAndArgsCaller run(ZygoteInit java:1496)_x000D_
                                                       at com android internal os ZygoteInit main(ZygoteInit java:1386)_x000D_
08 16 16:21:19 576 27825 27825   E AndroidRuntime: Caused by: java lang ClassNotFoundException: Didn t find class  com google firebase perf provider FirebasePerfProvider  on path: DexPathList  zip file   data app org fossasia phimpme 1 base apk   zip file   data app org fossasia phimpme 1 split lib slice 0 apk apk   zip file   data app org fossasia phimpme 1 split lib slice 1 apk apk   zip file   data app org fossasia phimpme 1 split lib slice 2 apk apk   zip file   data app org fossasia phimpme 1 split lib slice 3 apk apk   zip file   data app org fossasia phimpme 1 split lib slice 4 apk apk   zip file   data app org fossasia phimpme 1 split lib slice 5 apk apk   zip file   data app org fossasia phimpme 1 split lib slice 6 apk apk   zip file   data app org fossasia phimpme 1 split lib slice 7 apk apk   zip file   data app org fossasia phimpme 1 split lib slice 8 apk apk   zip file   data app org fossasia phimpme 1 split lib slice 9 apk apk   nativeLibraryDirectories   data app org fossasia phimpme 1 lib arm   data app org fossasia phimpme 1 base apk  lib armeabi v7a   data app org fossasia phimpme 1 split lib slice 0 apk apk  lib armeabi v7a   data app org fossasia phimpme 1 split lib slice 1 apk apk  lib armeabi v7a   data app org fossasia phimpme 1 split lib slice 2 apk apk  lib armeabi v7a   data app org fossasia phimpme 1 split lib slice 3 apk apk  lib armeabi v7a   data app org fossasia phimpme 1 split lib slice 4 apk apk  lib armeabi v7a   data app org fossasia phimpme 1 split lib slice 5 apk apk  lib armeabi v7a   data app org fossasia phimpme 1 split lib slice 6 apk apk  lib armeabi v7a   data app org fossasia phimpme 1 split lib slice 7 apk apk  lib armeabi v7a   data app org fossasia phimpme 1 split lib slice 8 apk apk  lib armeabi v7a   data app org fossasia phimpme 1 split lib slice 9 apk apk  lib armeabi v7a   system lib   vendor lib  _x000D_
                                                       at dalvik system BaseDexClassLoader findClass(BaseDexClassLoader java:56)_x000D_
                                                       at java lang ClassLoader loadClass(ClassLoader java:380)_x000D_
                                                       at java lang ClassLoader loadClass(ClassLoader java:312)_x000D_
                                                       at android app ActivityThread installProvider(ActivityThread java:6408)_x000D_
                                                       	    10 more_x000D_
_x000D_
_x000D_
  Would you like to work on the issue   _x000D_
_x000D_
No  as I am not sure about the reason of the crash _x000D_
</t>
  </si>
  <si>
    <t>uDevel-widgetlab-8</t>
  </si>
  <si>
    <t>Crash when Inflating</t>
  </si>
  <si>
    <t>My app is crashing with the error below  I m not quite sure what is causing it to be honest as whenever I use it myself it works fine but our crash reports are showing this and some of our users are complaining about crashes _x000D_
_x000D_
It s working fine most of the time but this crash is happening enough for it to definitely be a problem _x000D_
_x000D_
Thank you for any help _x000D_
_x000D_
android view InflateException: Binary XML file line  25: Error inflating class com udevel widgetlab TypingIndicatorView : at android view LayoutInflater createView(LayoutInflater java:620)_x000D_
Caused by: java lang NullPointerException at com udevel widgetlab TypingIndicatorView stopDotAnimation(TypingIndicatorView java:192)</t>
  </si>
  <si>
    <t>getodk-collect-1351</t>
  </si>
  <si>
    <t>Crash when deleting many instances</t>
  </si>
  <si>
    <t xml:space="preserve">     Software and hardware versions _x000D_
Collect v1 9 1_x000D_
_x000D_
     Problem description_x000D_
Crash when deleting many instances  Discovered when verifying  1348  This doesn t happen every time but is reproducible _x000D_
_x000D_
     Steps to reproduce the problem_x000D_
1  Copy a bunch of instances into   sdcard odk instances  (e g   backup1249 zip (https:  github com opendatakit collect files 1155963 backup1249 zip) from  mmarciniak90)_x000D_
1  Tap on  Delete Saved Form _x000D_
1  Select All Saved Forms  Delete_x000D_
_x000D_
     Expected behavior_x000D_
No crash _x000D_
_x000D_
     Other information _x000D_
   _x000D_
android database sqlite SQLiteDiskIOException: disk I O error (code 1802)_x000D_
	at android database sqlite SQLiteConnection nativeExecuteForCursorWindow(Native Method)_x000D_
	at android database sqlite SQLiteConnection executeForCursorWindow(SQLiteConnection java:845)_x000D_
	at android database sqlite SQLiteSession executeForCursorWindow(SQLiteSession java:836)_x000D_
	at android database sqlite SQLiteQuery fillWindow(SQLiteQuery java:62)_x000D_
	at android database sqlite SQLiteCursor fillWindow(SQLiteCursor java:143)_x000D_
	at android database sqlite SQLiteCursor getCount(SQLiteCursor java:132)_x000D_
	at android database CursorWrapper getCount(CursorWrapper java:60)_x000D_
	at org odk collect android activities MainMenuActivity updateButtons(MainMenuActivity java:574)_x000D_
	at org odk collect android activities MainMenuActivity access 100(MainMenuActivity java:79)_x000D_
	at org odk collect android activities MainMenuActivity IncomingHandler handleMessage(MainMenuActivity java:704)_x000D_
	at android os Handler dispatchMessage(Handler java:102)_x000D_
	at android os Looper loop(Looper java:154)_x000D_
	at android app ActivityThread main(ActivityThread java:6123)_x000D_
	at java lang reflect Method invoke(Native Method)_x000D_
	at com android internal os ZygoteInit MethodAndArgsCaller run(ZygoteInit java:867)_x000D_
	at com android internal os ZygoteInit main(ZygoteInit java:757)_x000D_
   Force finishing activity org odk collect android  activities FileManagerTabs_x000D_
   </t>
  </si>
  <si>
    <t>getodk-collect-1350</t>
  </si>
  <si>
    <t>Crash when scanning for many instances</t>
  </si>
  <si>
    <t xml:space="preserve">     Software and hardware versions _x000D_
Collect v1 9 1_x000D_
_x000D_
     Problem description_x000D_
Crash when scanning for many instances  Discovered when trying out  1348 _x000D_
_x000D_
     Steps to reproduce the problem_x000D_
1  Copy a bunch of instances into   sdcard odk instances  (e g   backup1249 zip (https:  github com opendatakit collect files 1155963 backup1249 zip) from  mmarciniak90)_x000D_
1  Tap on  Edit Saved Form _x000D_
_x000D_
     Expected behavior_x000D_
No crash _x000D_
_x000D_
     Other information _x000D_
I believe this is one we occasionally see in Firebase Crash _x000D_
   _x000D_
java lang RuntimeException: An error occurred while executing doInBackground()_x000D_
	at android os AsyncTask 3 done(AsyncTask java:318)_x000D_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java:761)_x000D_
Caused by: android database sqlite SQLiteDiskIOException: disk I O error (code 1802)_x000D_
	at android database sqlite SQLiteConnection nativeExecuteForCursorWindow(Native Method)_x000D_
	at android database sqlite SQLiteConnection executeForCursorWindow(SQLiteConnection java:845)_x000D_
	at android database sqlite SQLiteSession executeForCursorWindow(SQLiteSession java:836)_x000D_
	at android database sqlite SQLiteQuery fillWindow(SQLiteQuery java:62)_x000D_
	at android database sqlite SQLiteCursor fillWindow(SQLiteCursor java:143)_x000D_
	at android database sqlite SQLiteCursor getCount(SQLiteCursor java:132)_x000D_
	at android content ContentResolver query(ContentResolver java:549)_x000D_
	at android content ContentResolver query(ContentResolver java:472)_x000D_
	at org odk collect android tasks InstanceSyncTask doInBackground(InstanceSyncTask java:144)_x000D_
	at org odk collect android tasks InstanceSyncTask doInBackground(InstanceSyncTask java:49)_x000D_
	at android os AsyncTask 2 call(AsyncTask java:304)_x000D_
	at java util concurrent FutureTask run(FutureTask java:237)_x000D_
   </t>
  </si>
  <si>
    <t>nextcloud-android-1365</t>
  </si>
  <si>
    <t>2.0.0RC2 java.lang.StringIndexOutOfBoundsException on Auto Upload</t>
  </si>
  <si>
    <t xml:space="preserve">    Actual behaviour_x000D_
When opening the auto upload page the app crashes _x000D_
_x000D_
    Expected behaviour_x000D_
Open Auto Upload_x000D_
 _x000D_
    Steps to reproduce_x000D_
1  Open App_x000D_
2  Open Auto upload_x000D_
3  Crash_x000D_
_x000D_
_x000D_
    Environment data_x000D_
Android version: 7 2 0_x000D_
_x000D_
Device model: OnePlus X_x000D_
_x000D_
Stock or customized system: customized_x000D_
_x000D_
Nextcloud app version: 2 0 0RC2_x000D_
_x000D_
Nextcloud server version: 12 0 2_x000D_
_x000D_
    Logs_x000D_
     Nextcloud log (logcat)_x000D_
   _x000D_
08 17 15:01:17 512 E AndroidRuntime(8147): FATAL EXCEPTION: main_x000D_
08 17 15:01:17 512 E AndroidRuntime(8147): Process: com nextcloud client  PID: 8147_x000D_
08 17 15:01:17 512 E AndroidRuntime(8147): java lang RuntimeException: Unable to start activity ComponentInfo com nextcloud client com owncloud android ui activity SyncedFoldersActivity : java lang StringIndexOutOfBoundsException: length 5  regionStart 0  regionLength  1_x000D_
08 17 15:01:17 512 E AndroidRuntime(8147): 	at android app ActivityThread performLaunchActivity(ActivityThread java:2684)_x000D_
08 17 15:01:17 512 E AndroidRuntime(8147): 	at android app ActivityThread handleLaunchActivity(ActivityThread java:2745)_x000D_
08 17 15:01:17 512 E AndroidRuntime(8147): 	at android app ActivityThread  wrap12(ActivityThread java)_x000D_
08 17 15:01:17 512 E AndroidRuntime(8147): 	at android app ActivityThread H handleMessage(ActivityThread java:1492)_x000D_
08 17 15:01:17 512 E AndroidRuntime(8147): 	at android os Handler dispatchMessage(Handler java:102)_x000D_
08 17 15:01:17 512 E AndroidRuntime(8147): 	at android os Looper loop(Looper java:153)_x000D_
08 17 15:01:17 512 E AndroidRuntime(8147): 	at android app ActivityThread main(ActivityThread java:6208)_x000D_
08 17 15:01:17 512 E AndroidRuntime(8147): 	at java lang reflect Method invoke(Native Method)_x000D_
08 17 15:01:17 512 E AndroidRuntime(8147): 	at com android internal os ZygoteInit MethodAndArgsCaller run(ZygoteInit java:891)_x000D_
08 17 15:01:17 512 E AndroidRuntime(8147): 	at com android internal os ZygoteInit main(ZygoteInit java:781)_x000D_
08 17 15:01:17 512 E AndroidRuntime(8147): Caused by: java lang StringIndexOutOfBoundsException: length 5  regionStart 0  regionLength  1_x000D_
08 17 15:01:17 512 E AndroidRuntime(8147): 	at java lang String substring(String java:1931)_x000D_
08 17 15:01:17 512 E AndroidRuntime(8147): 	at com owncloud android datamodel MediaProvider getImageFolders(MediaProvider java:133)_x000D_
08 17 15:01:17 512 E AndroidRuntime(8147): 	at com owncloud android ui activity SyncedFoldersActivity load(SyncedFoldersActivity java:210)_x000D_
08 17 15:01:17 512 E AndroidRuntime(8147): 	at com owncloud android ui activity SyncedFoldersActivity setupContent(SyncedFoldersActivity java:197)_x000D_
08 17 15:01:17 512 E AndroidRuntime(8147): 	at com owncloud android ui activity SyncedFoldersActivity onCreate(SyncedFoldersActivity java:150)_x000D_
08 17 15:01:17 512 E AndroidRuntime(8147): 	at android app Activity performCreate(Activity java:6684)_x000D_
08 17 15:01:17 512 E AndroidRuntime(8147): 	at android app Instrumentation callActivityOnCreate(Instrumentation java:1119)_x000D_
08 17 15:01:17 512 E AndroidRuntime(8147): 	at android app ActivityThread performLaunchActivity(ActivityThread java:2637)_x000D_
08 17 15:01:17 512 E AndroidRuntime(8147): 	    9 more_x000D_
08 17 15:01:17 515 W ActivityManager(1838):   Force finishing activity com nextcloud client com owncloud android ui activity SyncedFoldersActivity_x000D_
08 17 15:01:17 517 W ActivityManager(1838):   Force finishing activity com nextcloud client com owncloud android ui activity FileDisplayActivity_x000D_
08 17 15:01:17 519 W DropBoxManagerService(1838): Dropping: data app crash (1832   0 bytes)_x000D_
08 17 15:01:17 520 W ContextImpl(1838): Calling a method in the system process without a qualified user: android app ContextImpl sendBroadcast:877 com android server am AppErrors crashApplicationInner:374 com android server am AppErrors crashApplication:308 com android server am ActivityManagerService handleApplicationCrashInner:13570 com android server am ActivityManagerService handleApplicationCrash:13552 _x000D_
08 17 15:01:17 523 E AppCrashReceiver(8885): com nextcloud client stopped unexpectedly   _x000D_
   _x000D_
_x000D_
</t>
  </si>
  <si>
    <t>nextcloud-android-1364</t>
  </si>
  <si>
    <t>DEV-20170817: app crashes when trying to edit the account settings.</t>
  </si>
  <si>
    <t xml:space="preserve">    Actual behaviour_x000D_
If I open an existing account to edit its setting  the Nextcloud app instantly crashes _x000D_
_x000D_
    Expected behaviour_x000D_
It should be possible to edit the settings of an existing account _x000D_
 _x000D_
    Steps to reproduce_x000D_
1  Open the Nextcloud app _x000D_
2  Select  Manage Account _x000D_
3  Select and existing account _x000D_
4  The message  Nextcloud dev wurde beendet  is shown _x000D_
_x000D_
_x000D_
    Environment data_x000D_
Android version: 7 1 1_x000D_
_x000D_
Device model: Jiayu S3 Adv _x000D_
_x000D_
Stock or customized system: MadOS ROM_x000D_
_x000D_
Nextcloud app version: dev 20170817_x000D_
_x000D_
Nextcloud server version: 12 0 2 _x000D_
_x000D_
    Logs_x000D_
     Web server error log_x000D_
_x000D_
Nothing special has been logged related to this problem _x000D_
</t>
  </si>
  <si>
    <t>ZieIony-Carbon-316</t>
  </si>
  <si>
    <t>IndexOutOfBoundsException in LinearLayout using tk.zielony:carbon:0.14.0</t>
  </si>
  <si>
    <t xml:space="preserve">I m getting much more crash reports  since Google changed it s reporting policy  This is from a app version I published two days ago  Unfortunately I don t know which activity and fragment the layout is in  If there is a bug in my code  the layout should report it more early and with some context  Otherwise  please look into this bug  _x000D_
_x000D_
Thanks a lot _x000D_
_x000D_
Sony Xperia XZ (F8331)  3072MB RAM  Android 7 1_x000D_
   _x000D_
java lang IndexOutOfBoundsException: _x000D_
at java util ArrayList get (ArrayList java:411)_x000D_
at carbon widget LinearLayout getChildDrawingOrder (LinearLayout java:329)_x000D_
at android view View populateAccessibilityNodeInfoDrawingOrderInParent (View java:7082)_x000D_
at android view View onInitializeAccessibilityNodeInfoInternal (View java:7041)_x000D_
at android view ViewGroup onInitializeAccessibilityNodeInfoInternal (ViewGroup java:3069)_x000D_
at android view View AccessibilityDelegate onInitializeAccessibilityNodeInfo (View java:23621)_x000D_
at android support v4 view AccessibilityDelegateCompatIcs onInitializeAccessibilityNodeInfo (AccessibilityDelegateCompatIcs java:101)_x000D_
at android support v4 view AccessibilityDelegateCompat AccessibilityDelegateIcsImpl onInitializeAccessibilityNodeInfo (AccessibilityDelegateCompat java:198)_x000D_
at android support v4 view AccessibilityDelegateCompat onInitializeAccessibilityNodeInfo (AccessibilityDelegateCompat java:451)_x000D_
at android support v7 widget RecyclerViewAccessibilityDelegate onInitializeAccessibilityNodeInfo (RecyclerViewAccessibilityDelegate java:56)_x000D_
at android support v4 view AccessibilityDelegateCompat AccessibilityDelegateJellyBeanImpl 1 onInitializeAccessibilityNodeInfo (AccessibilityDelegateCompat java:246)_x000D_
at android support v4 view AccessibilityDelegateCompatJellyBean 1 onInitializeAccessibilityNodeInfo (AccessibilityDelegateCompatJellyBean java:66)_x000D_
at android view View onInitializeAccessibilityNodeInfo (View java:6655)_x000D_
at android view View createAccessibilityNodeInfoInternal (View java:6616)_x000D_
at android view View AccessibilityDelegate createAccessibilityNodeInfo (View java:23690)_x000D_
at android view View createAccessibilityNodeInfo (View java:6599)_x000D_
at android view accessibility AccessibilityRecord setSource (AccessibilityRecord java:145)_x000D_
at android view accessibility AccessibilityRecord setSource (AccessibilityRecord java:119)_x000D_
at android view View onInitializeAccessibilityEventInternal (View java:6553)_x000D_
at android view View AccessibilityDelegate onInitializeAccessibilityEvent (View java:23602)_x000D_
at android support v4 view AccessibilityDelegateCompatIcs onInitializeAccessibilityEvent (AccessibilityDelegateCompatIcs java:97)_x000D_
at android support v4 view AccessibilityDelegateCompat AccessibilityDelegateIcsImpl onInitializeAccessibilityEvent (AccessibilityDelegateCompat java:192)_x000D_
at android support v4 view AccessibilityDelegateCompat onInitializeAccessibilityEvent (AccessibilityDelegateCompat java:432)_x000D_
at android support v7 widget RecyclerViewAccessibilityDelegate onInitializeAccessibilityEvent (RecyclerViewAccessibilityDelegate java:65)_x000D_
at android support v4 view AccessibilityDelegateCompat AccessibilityDelegateJellyBeanImpl 1 onInitializeAccessibilityEvent (AccessibilityDelegateCompat java:241)_x000D_
at android support v4 view AccessibilityDelegateCompatJellyBean 1 onInitializeAccessibilityEvent (AccessibilityDelegateCompatJellyBean java:61)_x000D_
at android view View onInitializeAccessibilityEvent (View java:6539)_x000D_
at android view View sendAccessibilityEventUncheckedInternal (View java:6406)_x000D_
at android view View AccessibilityDelegate sendAccessibilityEventUnchecked (View java:23541)_x000D_
at android support v4 view AccessibilityDelegateCompatIcs sendAccessibilityEventUnchecked (AccessibilityDelegateCompatIcs java:122)_x000D_
at android support v4 view AccessibilityDelegateCompat AccessibilityDelegateIcsImpl sendAccessibilityEventUnchecked (AccessibilityDelegateCompat java:223)_x000D_
at android support v4 view AccessibilityDelegateCompat sendAccessibilityEventUnchecked (AccessibilityDelegateCompat java:371)_x000D_
at android support v4 view AccessibilityDelegateCompat AccessibilityDelegateJellyBeanImpl 1 sendAccessibilityEventUnchecked (AccessibilityDelegateCompat java:268)_x000D_
at android support v4 view AccessibilityDelegateCompatJellyBean 1 sendAccessibilityEventUnchecked (AccessibilityDelegateCompatJellyBean java:87)_x000D_
at android view View sendAccessibilityEventUnchecked (View java:6389)_x000D_
at android support v7 widget RecyclerView sendAccessibilityEventUnchecked (RecyclerView java:3206)_x000D_
at android view View sendAccessibilityEventInternal (View java:6368)_x000D_
at android view View AccessibilityDelegate sendAccessibilityEvent (View java:23499)_x000D_
at android support v4 view AccessibilityDelegateCompatIcs sendAccessibilityEvent (AccessibilityDelegateCompatIcs java:117)_x000D_
at android support v4 view AccessibilityDelegateCompat AccessibilityDelegateIcsImpl sendAccessibilityEvent (AccessibilityDelegateCompat java:217)_x000D_
at android support v4 view AccessibilityDelegateCompat sendAccessibilityEvent (AccessibilityDelegateCompat java:349)_x000D_
at android support v4 view AccessibilityDelegateCompat AccessibilityDelegateJellyBeanImpl 1 sendAccessibilityEvent (AccessibilityDelegateCompat java:263)_x000D_
at android support v4 view AccessibilityDelegateCompatJellyBean 1 sendAccessibilityEvent (AccessibilityDelegateCompatJellyBean java:82)_x000D_
at android view View sendAccessibilityEvent (View java:6333)_x000D_
at android view View onFocusChanged (View java:6272)_x000D_
at android view View handleFocusGainInternal (View java:6013)_x000D_
at android view ViewGroup handleFocusGainInternal (ViewGroup java:717)_x000D_
at android view View requestFocusNoSearch (View java:9178)_x000D_
at android view View requestFocus (View java:9157)_x000D_
at android view ViewGroup requestFocus (ViewGroup java:2835)_x000D_
at android view ViewGroup onRequestFocusInDescendants (ViewGroup java:2875)_x000D_
at android view ViewGroup requestFocus (ViewGroup java:2831)_x000D_
at android view ViewGroup onRequestFocusInDescendants (ViewGroup java:2875)_x000D_
at android view ViewGroup requestFocus (ViewGroup java:2831)_x000D_
at android view ViewGroup onRequestFocusInDescendants (ViewGroup java:2875)_x000D_
at android view ViewGroup requestFocus (ViewGroup java:2831)_x000D_
at android view ViewGroup onRequestFocusInDescendants (ViewGroup java:2875)_x000D_
at android view ViewGroup requestFocus (ViewGroup java:2831)_x000D_
at android view ViewGroup onRequestFocusInDescendants (ViewGroup java:2875)_x000D_
at android view ViewGroup requestFocus (ViewGroup java:2831)_x000D_
at android view ViewGroup onRequestFocusInDescendants (ViewGroup java:2875)_x000D_
at android view ViewGroup requestFocus (ViewGroup java:2834)_x000D_
at android view View requestFocus (View java:9124)_x000D_
at android view ViewRootImpl performTraversals (ViewRootImpl java:2150)_x000D_
at android view ViewRootImpl doTraversal (ViewRootImpl java:1254)_x000D_
at android view ViewRootImpl TraversalRunnable run (ViewRootImpl java:6343)_x000D_
at android view Choreographer CallbackRecord run (Choreographer java:874)_x000D_
at android view Choreographer doCallbacks (Choreographer java:686)_x000D_
at android view Choreographer doFrame (Choreographer java:621)_x000D_
at android view Choreographer FrameDisplayEventReceiver run (Choreographer java:860)_x000D_
at android os Handler handleCallback (Handler java:751)_x000D_
at android os Handler dispatchMessage (Handler java:95)_x000D_
at android os Looper loop (Looper java:241)_x000D_
at android app ActivityThread main (ActivityThread java:6274)_x000D_
at java lang reflect Method invoke (Method java)_x000D_
at com android internal os ZygoteInit MethodAndArgsCaller run (ZygoteInit java:886)_x000D_
at com android internal os ZygoteInit main (ZygoteInit java:776)_x000D_
   _x000D_
</t>
  </si>
  <si>
    <t>getodk-collect-1357</t>
  </si>
  <si>
    <t>The app crashes if you try to load a second version of your form</t>
  </si>
  <si>
    <t xml:space="preserve">     Software and hardware versions _x000D_
Current master branch_x000D_
_x000D_
     Problem description_x000D_
The app crashes if you try to load a second version of your form_x000D_
_x000D_
     Steps to reproduce the problem_x000D_
You can use any form to reporduce the issue_x000D_
1  Copy your form to odk forms  dir_x000D_
2  Load your form_x000D_
3  Edit your form you need to change something eg  a question label)_x000D_
4  Copy your new form to odk forms  dir_x000D_
5  Click on  Fill Blank Form  button_x000D_
_x000D_
     Other information _x000D_
_x000D_
  FATAL EXCEPTION: AsyncTask  5_x000D_
                                                                         Process: org odk collect android  PID: 22501_x000D_
                                                                         java lang RuntimeException: An error occured while executing doInBackground()_x000D_
                                                                             at android os AsyncTask 3 done(AsyncTask java:300)_x000D_
                                                                             at java util concurrent FutureTask finishCompletion(FutureTask java:355)_x000D_
                                                                             at java util concurrent FutureTask setException(FutureTask java:222)_x000D_
                                                                             at java util concurrent FutureTask run(FutureTask java:242)_x000D_
                                                                             at android os AsyncTask SerialExecutor 1 run(AsyncTask java:231)_x000D_
                                                                             at java util concurrent ThreadPoolExecutor runWorker(ThreadPoolExecutor java:1112)_x000D_
                                                                             at java util concurrent ThreadPoolExecutor Worker run(ThreadPoolExecutor java:587)_x000D_
                                                                             at java lang Thread run(Thread java:818)_x000D_
                                                                          Caused by: android database sqlite SQLiteConstraintException: NOT NULL constraint failed: forms md5Hash (code 1299)_x000D_
                                                                             at android database sqlite SQLiteConnection nativeExecuteForChangedRowCount(Native Method)_x000D_
                                                                             at android database sqlite SQLiteConnection executeForChangedRowCount(SQLiteConnection java:904)_x000D_
                                                                             at android database sqlite SQLiteSession executeForChangedRowCount(SQLiteSession java:754)_x000D_
                                                                             at android database sqlite SQLiteStatement executeUpdateDelete(SQLiteStatement java:64)_x000D_
                                                                             at android database sqlite SQLiteDatabase updateWithOnConflict(SQLiteDatabase java:1700)_x000D_
                                                                             at android database sqlite SQLiteDatabase update(SQLiteDatabase java:1646)_x000D_
                                                                             at org odk collect android provider FormsProvider update(FormsProvider java:477)_x000D_
                                                                             at android content ContentProvider Transport update(ContentProvider java:330)_x000D_
                                                                             at android content ContentResolver update(ContentResolver java:1343)_x000D_
                                                                             at org odk collect android tasks DiskSyncTask doInBackground(DiskSyncTask java:170)_x000D_
                                                                             at org odk collect android tasks DiskSyncTask doInBackground(DiskSyncTask java:46)_x000D_
                                                                             at android os AsyncTask 2 call(AsyncTask java:288)_x000D_
                                                                             at java util concurrent FutureTask run(FutureTask java:237)_x000D_
                                                                             at android os AsyncTask SerialExecutor 1 run(AsyncTask java:231) _x000D_
                                                                             at java util concurrent ThreadPoolExecutor runWorker(ThreadPoolExecutor java:1112) _x000D_
                                                                             at java util concurrent ThreadPoolExecutor Worker run(ThreadPoolExecutor java:587) _x000D_
                                                                             at java lang Thread run(Thread java:818) _x000D_
_x000D_
_x000D_
It has been implemented in this pr https:  github com opendatakit collect pull 1333 files diff 192a4e10f695374a43bb446cb1f0b10bL664</t>
  </si>
  <si>
    <t>bumptech-glide-2262</t>
  </si>
  <si>
    <t>IllegalStateException in OnDestroy() "Failed to remove target from managers"</t>
  </si>
  <si>
    <t>I am trying to migrate from v3 to v4 and I m running into an error I cannot seem to solve  Perhaps it is a bug in 4 0_x000D_
_x000D_
I have seven fragments containing list views  each is using Glide to load images  and all are tied to the same activity  I m using  Glide with(Fragment)  for each fragment _x000D_
_x000D_
In the activity onDestroy  I m seeing the following crash  which is weird  because I ve done my best to not call  Glide with(Activity)   Either way  I wouldn t expect this exception _x000D_
_x000D_
  Caused by: java lang IllegalStateException: Failed to remove target from managers_x000D_
                                                                                      at com bumptech glide Glide removeFromManagers(Glide java:639)_x000D_
                                                                                      at com bumptech glide RequestManager untrackOrDelegate(RequestManager java:426)_x000D_
                                                                                      at com bumptech glide RequestManager clear(RequestManager java:412)_x000D_
                                                                                      at com bumptech glide RequestManager onDestroy(RequestManager java:272)_x000D_
                                                                                      at com bumptech glide manager ActivityFragmentLifecycle onDestroy(ActivityFragmentLifecycle java:64)_x000D_
                                                                                      at com bumptech glide manager SupportRequestManagerFragment onDestroy(SupportRequestManagerFragment java:187)_x000D_
                                                                                      at android support v4 app Fragment performDestroy(Fragment java:2496)_x000D_
                                                                                      at android support v4 app FragmentManagerImpl moveToState(FragmentManager java:1483)_x000D_
                                                                                      at android support v4 app FragmentManagerImpl moveFragmentToExpectedState(FragmentManager java:1569)_x000D_
                                                                                      at android support v4 app FragmentManagerImpl moveToState(FragmentManager java:1636)_x000D_
                                                                                      at android support v4 app FragmentManagerImpl dispatchDestroy(FragmentManager java:3028)_x000D_
                                                                                      at android support v4 app Fragment performDestroy(Fragment java:2492)_x000D_
                                                                                      at android support v4 app FragmentManagerImpl moveToState(FragmentManager java:1483)_x000D_
                                                                                      at android support v4 app FragmentManagerImpl moveFragmentToExpectedState(FragmentManager java:1569)_x000D_
                                                                                      at android support v4 app FragmentManagerImpl moveToState(FragmentManager java:1636)_x000D_
                                                                                      at android support v4 app FragmentManagerImpl dispatchDestroy(FragmentManager java:3028)_x000D_
                                                                                      at android support v4 app FragmentController dispatchDestroy(FragmentController java:262)_x000D_
                                                                                      at android support v4 app FragmentActivity onDestroy(FragmentActivity java:390)_x000D_
                                                                                      at android support v7 app AppCompatActivity onDestroy(AppCompatActivity java:209)</t>
  </si>
  <si>
    <t>square-okhttp-3530</t>
  </si>
  <si>
    <t>java.lang.ArrayIndexOutOfBoundsException: size=8 offset=0 byteCount=579</t>
  </si>
  <si>
    <t xml:space="preserve">Hello Square Team _x000D_
      We ve had a strange crash in spdy3 1 process but we can not  reproduce again  we don t know how to fix it  Could you help us please _x000D_
_x000D_
crash log _x000D_
java lang ArrayIndexOutOfBoundsException: size 8 offset 0 byteCount 579_x000D_
at b ae d(SourceFile:30)_x000D_
at okio Okio 1 write(SourceFile:75)_x000D_
at okio AsyncTimeout 1 write(SourceFile:155)_x000D_
at okio RealBufferedSink emitCompleteSegments(SourceFile:176)_x000D_
at okio RealBufferedSink writeInt(SourceFile:140)_x000D_
at okhttp3 internal framed Spdy3 Writer goAway(SourceFile:462)_x000D_
at okhttp3 internal framed FramedConnection shutdown(SourceFile:435)_x000D_
at okhttp3 internal framed FramedConnection close(SourceFile:451)_x000D_
at okhttp3 internal framed FramedConnection access 900(SourceFile:55)_x000D_
                                             access 1100_x000D_
                                             access 1200_x000D_
                                             access 1300_x000D_
                                             access 1400_x000D_
                                             access 1500_x000D_
                                             access 2200_x000D_
                                             access 2302_x000D_
                                             access 2600_x000D_
at okhttp3 internal framed FramedConnection Reader execute(SourceFile:609)_x000D_
at okhttp3 internal NamedRunnable run(SourceFile:32)_x000D_
at java lang Thread run(Thread java:818)_x000D_
_x000D_
OKHttp version:3 2 0_x000D_
OKio Version:1 6 0_x000D_
</t>
  </si>
  <si>
    <t>fossasia-phimpme-android-1046</t>
  </si>
  <si>
    <t>Unable to edit the edited photo</t>
  </si>
  <si>
    <t xml:space="preserve">  Actual Behaviour  _x000D_
_x000D_
App crashes on editing the edited photo_x000D_
_x000D_
  Expected Behaviour  _x000D_
_x000D_
No crash should occur  _x000D_
It is occuring due to problem with extension _x000D_
_x000D_
  Steps to reproduce it  _x000D_
_x000D_
Edit a photo  save it  edit the edited photo_x000D_
_x000D_
  Would you like to work on the issue   _x000D_
_x000D_
yes </t>
  </si>
  <si>
    <t>Etar-Group-Etar-Calendar-248</t>
  </si>
  <si>
    <t>Crashes when setting per-event color</t>
  </si>
  <si>
    <t>Etar 1 0 12 crashes when setting an event color for a third party (DAVdroid) calendar:_x000D_
_x000D_
1  Set up a DAVdroid calendar with DAVdroid 1 7 (which now supports event colors)_x000D_
2  Synchronize some colored events_x000D_
3  Open Etar  It shows the colored events correctly _x000D_
4  Try to set a new color for an event _x000D_
5  Etar crashes:_x000D_
_x000D_
   _x000D_
08 19 13:42:13 435 9421 9486   E DatabaseUtils: Writing exception to parcel_x000D_
java lang IllegalArgumentException: Color type: 1 and index 0 does not exist for account _x000D_
at com android providers calendar CalendarProvider2 verifyColorExists(CalendarProvider2 java:5971)_x000D_
at com android providers calendar CalendarProvider2 handleUpdateEvents(CalendarProvider2 java:5244)_x000D_
at com android providers calendar CalendarProvider2 updateInTransaction(CalendarProvider2 java:5579)_x000D_
at com android providers calendar SQLiteContentProvider update(SQLiteContentProvider java:153)_x000D_
at android content ContentProvider Transport update(ContentProvider java:287)_x000D_
at android content ContentProviderNative onTransact(ContentProviderNative java:215)_x000D_
at android os Binder execTransact(Binder java:404)_x000D_
at dalvik system NativeStart run(Native Method)_x000D_
08 19 13:42:13 435 11123 11215   W dalvikvm: threadid 18: thread exiting with uncaught exception _x000D_
_x000D_
(group 0x4238ec08)_x000D_
08 19 13:42:13 440 1871 1871   I SurfaceFlinger: id 108 createSurf (1x1) 1 flag 4  Uoast_x000D_
08 19 13:42:13 440 11123 11215   E AndroidRuntime: FATAL EXCEPTION: IntentService AsyncQueryServiceHelper _x000D_
Process: ws xsoh etar  PID: 11123_x000D_
java lang IllegalArgumentException: Color type: 1 and index 0 does not exist for account _x000D_
at android database DatabaseUtils readExceptionFromParcel(DatabaseUtils java:167)_x000D_
at android database DatabaseUtils readExceptionFromParcel(DatabaseUtils java:137)_x000D_
at android content ContentProviderProxy update(ContentProviderNative java:560)_x000D_
at android content ContentResolver update(ContentResolver java:1321)_x000D_
at com android calendar AsyncQueryServiceHelper onHandleIntent(AsyncQueryServiceHelper java:208)_x000D_
at android app IntentService ServiceHandler handleMessage(IntentService java:65)_x000D_
at android os Handler dispatchMessage(Handler java:102)_x000D_
at android os Looper loop(Looper java:146)_x000D_
at android os HandlerThread run(HandlerThread java:61)_x000D_
   _x000D_
_x000D_
More info:_x000D_
  https:  forums bitfire at topic 1521 davdroid 1 7 release notes_x000D_
  https:  davdroid bitfire at faq entry setting event colors crash _x000D_
_x000D_
(edit: FAQ link updated)</t>
  </si>
  <si>
    <t>timusus-Shuttle-126</t>
  </si>
  <si>
    <t>Crash when pressing Cast button (when casting)</t>
  </si>
  <si>
    <t xml:space="preserve">  Shuttle version:  _x000D_
 _x000D_
 v2 0 0 beta1_x000D_
 _x000D_
  Device  OS:  _x000D_
 _x000D_
Nexus 6P  others _x000D_
_x000D_
  Description of bug:  _x000D_
 _x000D_
When pressing the Chromecast icon  the app crashes  Stacktrace attached at bottom _x000D_
 _x000D_
  Steps to reproduce:  _x000D_
 _x000D_
 1  Start casting_x000D_
 2  Press the cast button_x000D_
 _x000D_
  Other:  _x000D_
_x000D_
This issue goes away if the Aesthetic Inflation Interceptor is disabled (by out commenting  Aesthetic 106 )  _x000D_
_x000D_
This may be related to the  media route chooser   which appears when disconnecting from Chromecast  _x000D_
 _x000D_
   _x000D_
FATAL EXCEPTION: main_x000D_
Process: com simplecity amp pro debug  PID: 24667_x000D_
android view InflateException: Binary XML file line  41: Binary XML file line  41: Error inflating class ImageButton_x000D_
Caused by: android view InflateException: Binary XML file line  41: Error inflating class ImageButton_x000D_
Caused by: java lang UnsupportedOperationException: Failed to resolve attribute at index 0: TypedValue t 0x2 d 0x7f01006a a  1 _x000D_
  at android content res TypedArray getDrawableForDensity(TypedArray java:944)_x000D_
  at android content res TypedArray getDrawable(TypedArray java:928)_x000D_
  at android widget ImageView  init (ImageView java:188)_x000D_
  at android widget ImageButton  init (ImageButton java:86)_x000D_
  at android widget ImageButton  init (ImageButton java:82)_x000D_
  at android support v7 widget AppCompatImageButton  init (AppCompatImageButton java:73)_x000D_
  at android support v7 widget AppCompatImageButton  init (AppCompatImageButton java:69)_x000D_
  at com afollestad aesthetic AestheticImageButton  init (AestheticImageButton java:24)_x000D_
  at com afollestad aesthetic InflationInterceptor onCreateView(InflationInterceptor java:110)_x000D_
  at android support v4 view LayoutInflaterCompat Factory2Wrapper onCreateView(LayoutInflaterCompat java:55)_x000D_
  at android view LayoutInflater createViewFromTag(LayoutInflater java:772)_x000D_
  at android view LayoutInflater createViewFromTag(LayoutInflater java:730)_x000D_
  at android view LayoutInflater rInflate(LayoutInflater java:863)_x000D_
  at android view LayoutInflater rInflateChildren(LayoutInflater java:824)_x000D_
  at android view LayoutInflater rInflate(LayoutInflater java:866)_x000D_
  at android view LayoutInflater rInflateChildren(LayoutInflater java:824)_x000D_
  at android view LayoutInflater rInflate(LayoutInflater java:866)_x000D_
  at android view LayoutInflater rInflateChildren(LayoutInflater java:824)_x000D_
  at android view LayoutInflater inflate(LayoutInflater java:515)_x000D_
  at android view LayoutInflater inflate(LayoutInflater java:423)_x000D_
  at android view LayoutInflater inflate(LayoutInflater java:374)_x000D_
  at android support v7 app AppCompatDelegateImplV9 setContentView(AppCompatDelegateImplV9 java:287)_x000D_
  at android support v7 app AppCompatDialog setContentView(AppCompatDialog java:83)_x000D_
  at android support v7 app MediaRouteControllerDialog onCreate(MediaRouteControllerDialog java:336)_x000D_
  at android app Dialog dispatchOnCreate(Dialog java:403)_x000D_
  at android app Dialog show(Dialog java:302)_x000D_
  at android support v4 app DialogFragment onStart(DialogFragment java:416)_x000D_
  at android support v4 app Fragment performStart(Fragment java:2369)_x000D_
  at android support v4 app FragmentManagerImpl moveToState(FragmentManager java:1458)_x000D_
  at android support v4 app FragmentManagerImpl moveFragmentToExpectedState(FragmentManager java:1740)_x000D_
  at android support v4 app FragmentManagerImpl moveToState(FragmentManager java:1809)_x000D_
  at android support v4 app BackStackRecord executeOps(BackStackRecord java:799)_x000D_
  at android support v4 app FragmentManagerImpl executeOps(FragmentManager java:2580)_x000D_
  at android support v4 app FragmentManagerImpl executeOpsTogether(FragmentManager java:2367)_x000D_
  at android support v4 app FragmentManagerImpl removeRedundantOperationsAndExecute(FragmentManager java:2322)_x000D_
  at android support v4 app FragmentManagerImpl execPendingActions(FragmentManager java:2229)_x000D_
  at android support v4 app FragmentManagerImpl 1 run(FragmentManager java:700)_x000D_
  at android os Handler handleCallback(Handler java:789)_x000D_
  at android os Handler dispatchMessage(Handler java:98)_x000D_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_x000D_
</t>
  </si>
  <si>
    <t>pwittchen-ReactiveNetwork-209</t>
  </si>
  <si>
    <t>NPE in `observeNetworkConnectivity`</t>
  </si>
  <si>
    <t xml:space="preserve">I m getting the error:_x000D_
_x000D_
 Attempt to invoke interface method  java util Iterator java util List iterator()  on a null object reference _x000D_
_x000D_
To make things simple   here (http:  crashes to s c41455d77fc) is the crashlytics log_x000D_
_x000D_
and  here (https:  github com AllanWang Frost for Facebook blob master app src main kotlin com pitchedapps frost activities BaseActivity kt) is my base activity _x000D_
_x000D_
All that is happening is that I ensure I dispose everything and then subscribe again on resume _x000D_
_x000D_
The error seems to be traced down to   getNetworkInfo  (https:  github com pwittchen ReactiveNetwork blob RxJava2 x library src main java com github pwittchen reactivenetwork library rx2 Connectivity java L83)  Perhaps there needs to be a check to ensure there are active networks before retrieving them _x000D_
_x000D_
Using 0 11 0_x000D_
_x000D_
Edit:  Relevant (https:  stackoverflow com questions 16397494 connectivitymanager getactivenetworkinfo null pointer exception)  Seems like it may be an internal issue  given that you have null checks after the networks are retrieved </t>
  </si>
  <si>
    <t>fossasia-phimpme-android-1063</t>
  </si>
  <si>
    <t>App crashes on opening some photos from the all photos list</t>
  </si>
  <si>
    <t xml:space="preserve">  Actual Behaviour  _x000D_
_x000D_
App crashes on trying to open any photo from all photos list _x000D_
_x000D_
  Expected Behaviour  _x000D_
_x000D_
It should not crash_x000D_
_x000D_
  Steps to reproduce it  _x000D_
_x000D_
1  Open all photos _x000D_
2  Scroll down to the end _x000D_
3  Open any photo_x000D_
_x000D_
  LogCat for the issue  _x000D_
_x000D_
   _x000D_
FATAL EXCEPTION: main_x000D_
                                                                      Process: org fossasia phimpme  PID: 24953_x000D_
                                                                      java lang IndexOutOfBoundsException: Index: 49  Size: 3_x000D_
                                                                          at java util ArrayList get(ArrayList java:411)_x000D_
                                                                          at org fossasia phimpme gallery activities SingleMediaActivity 6 onPageChanged(SingleMediaActivity java:258)_x000D_
                                                                          at org fossasia phimpme gallery views PagerRecyclerView 1 onScrolled(PagerRecyclerView java:48)_x000D_
                                                                          at android support v7 widget RecyclerView dispatchOnScrolled(RecyclerView java:4618)_x000D_
                                                                          at android support v7 widget RecyclerView dispatchLayoutStep3(RecyclerView java:3679)_x000D_
                                                                          at android support v7 widget RecyclerView dispatchLayout(RecyclerView java:3323)_x000D_
                                                                          at android support v7 widget RecyclerView onLayout(RecyclerView java:3844)_x000D_
                                                                          at android view View layout(View java:17641)_x000D_
                                                                          at android view ViewGroup layout(ViewGroup java:5575)_x000D_
                                                                          at android widget RelativeLayout onLayout(RelativeLayout java:1079)_x000D_
                                                                          at android view View layout(View java:17641)_x000D_
                                                                          at android view ViewGroup layout(ViewGroup java:5575)_x000D_
                                                                          at android widget RelativeLayout onLayout(RelativeLayout java:1079)_x000D_
                                                                          at android view View layout(View java:17641)_x000D_
                                                                          at android view ViewGroup layout(ViewGroup java:5575)_x000D_
                                                                          at android widget FrameLayout layoutChildren(FrameLayout java:323)_x000D_
                                                                          at android widget FrameLayout onLayout(FrameLayout java:261)_x000D_
                                                                          at android view View layout(View java:17641)_x000D_
                                                                          at android view ViewGroup layout(ViewGroup java:5575)_x000D_
                                                                          at android widget LinearLayout setChildFrame(LinearLayout java:1741)_x000D_
                                                                          at android widget LinearLayout layoutVertical(LinearLayout java:1585)_x000D_
                                                                          at android widget LinearLayout onLayout(LinearLayout java:1494)_x000D_
                                                                          at android view View layout(View java:17641)_x000D_
                                                                          at android view ViewGroup layout(ViewGroup java:5575)_x000D_
                                                                          at android widget FrameLayout layoutChildren(FrameLayout java:323)_x000D_
                                                                          at android widget FrameLayout onLayout(FrameLayout java:261)_x000D_
                                                                          at android view View layout(View java:17641)_x000D_
                                                                          at android view ViewGroup layout(ViewGroup java:5575)_x000D_
                                                                          at android widget LinearLayout setChildFrame(LinearLayout java:1741)_x000D_
                                                                          at android widget LinearLayout layoutVertical(LinearLayout java:1585)_x000D_
                                                                          at android widget LinearLayout onLayout(LinearLayout java:1494)_x000D_
                                                                          at android view View layout(View java:17641)_x000D_
                                                                          at android view ViewGroup layout(ViewGroup java:5575)_x000D_
                                                                          at android widget FrameLayout layoutChildren(FrameLayout java:323)_x000D_
                                                                          at android widget FrameLayout onLayout(FrameLayout java:261)_x000D_
                                                                          at com android internal policy DecorView onLayout(DecorView java:729)_x000D_
                                                                          at android view View layout(View java:17641)_x000D_
                                                                          at android view ViewGroup layout(ViewGroup java:5575)_x000D_
                                                                          at android view ViewRootImpl performLayout(ViewRootImpl java:2361)_x000D_
                                                                          at android view ViewRootImpl performTraversals(ViewRootImpl java:2083)_x000D_
                                                                          at android view ViewRootImpl doTraversal(ViewRootImpl java:1269)_x000D_
                                                                          at android view ViewRootImpl TraversalRunnable run(ViewRootImpl java:6375)_x000D_
                                                                          at android view Choreographer CallbackRecord run(Choreographer java:887)_x000D_
                                                                          at android view Choreographer doCallbacks(Choreographer java:699)_x000D_
                                                                          at android view Choreographer doFrame(Choreographer java:634)_x000D_
                                                                          at android view Choreographer FrameDisplayEventReceiver run(Choreographer java:873)_x000D_
                                                                          at android os Handler handleCallback(Handler java:751)_x000D_
                                                                          at android os Handler dispatchMessage(Handler java:95)_x000D_
                                                                          at android os Looper loop(Looper java:154)_x000D_
                                                                          at android app ActivityThread main(ActivityThread java:6204)_x000D_
                                                                          at java lang reflect Method invoke(Native Method)_x000D_
                                                                          at com android internal os ZygoteInit MethodAndArgsCaller run(ZygoteInit java:891)_x000D_
                                                                          at com android internal os ZygoteInit main(ZygoteInit java:781)_x000D_
   _x000D_
_x000D_
  Would you like to work on the issue   _x000D_
_x000D_
Yes_x000D_
</t>
  </si>
  <si>
    <t>getodk-collect-1362</t>
  </si>
  <si>
    <t>Crash when getting URI MIME type.</t>
  </si>
  <si>
    <t xml:space="preserve">     Software and hardware versions _x000D_
Collect v1 9 1_x000D_
_x000D_
     Problem description_x000D_
Crash in  FormEntryActivity  when getting intent URI MIME type _x000D_
_x000D_
     Steps to reproduce the problem_x000D_
Unknown  from Play Store  here (https:  play google com apps publish  dev acc 00659255839475882647 AndroidMetricsErrorsPlace:p org odk collect android appVersion PRODUCTION clusterName apps org odk collect android clusters 9956b8d6) (requires credentials)  It only affects Android 6 0 but on a range of devices _x000D_
_x000D_
The line that crashes is  String uriMimeType   getContentResolver() getType(uri)    Either the content resolver can be  null  or  getType  dereferences  uri  _x000D_
_x000D_
     Expected behavior_x000D_
No crash _x000D_
_x000D_
     Other information _x000D_
   _x000D_
java lang RuntimeException: _x000D_
  at android app ActivityThread performLaunchActivity (ActivityThread java:2572)_x000D_
  at android app ActivityThread handleLaunchActivity (ActivityThread java:2654)_x000D_
  at android app ActivityThread  wrap11 (ActivityThread java)_x000D_
  at android app ActivityThread H handleMessage (ActivityThread java:1488)_x000D_
  at android os Handler dispatchMessage (Handler java:111)_x000D_
  at android os Looper loop (Looper java:207)_x000D_
  at android app ActivityThread main (ActivityThread java:5728)_x000D_
  at java lang reflect Method invoke (Native Method)_x000D_
  at com android internal os ZygoteInit MethodAndArgsCaller run (ZygoteInit java:789)_x000D_
  at com android internal os ZygoteInit main (ZygoteInit java:679)_x000D_
Caused by: java lang NullPointerException: _x000D_
  at com android internal util Preconditions checkNotNull (Preconditions java:60)_x000D_
  at android content ContentResolver getType (ContentResolver java:336)_x000D_
  at org odk collect android activities FormEntryActivity onCreate (FormEntryActivity java:367)_x000D_
  at android app Activity performCreate (Activity java:6360)_x000D_
  at android app Instrumentation callActivityOnCreate (Instrumentation java:1113)_x000D_
  at android app ActivityThread performLaunchActivity (ActivityThread java:2519)_x000D_
   </t>
  </si>
  <si>
    <t>nilsbraden-ttrss-reader-fork-346</t>
  </si>
  <si>
    <t>Download folder selection / downloading attached media crashes TTRSS-Reader</t>
  </si>
  <si>
    <t xml:space="preserve">When I try to change the download folder or download attached media on my Galaxy S7 (stock) or Galaxy S3 with Lineage OS 14 1 TTRSS Reader crashes  Since both phones are on Nougat  I checked storage permissions on both devices and they are both enabled  Otherwise the app is working fine _x000D_
_x000D_
If necessary I can enable root on the Galaxy S3 and get a Logcat </t>
  </si>
  <si>
    <t>RestComm-restcomm-android-sdk-679</t>
  </si>
  <si>
    <t>Investigate TF crash: java.lang.RuntimeException: Failed to build SIP Register request</t>
  </si>
  <si>
    <t xml:space="preserve">Here s the stacktrace:_x000D_
   _x000D_
java lang RuntimeException: Failed to build SIP Register request_x000D_
	at org restcomm android sdk SignalingClient JainSipClient JainSipMessageBuilder buildRegisterRequest(JainSipMessageBuilder java:203)_x000D_
	at org restcomm android sdk SignalingClient JainSipClient JainSipClient jainSipClientUnregister(JainSipClient java:572)_x000D_
	at org restcomm android sdk SignalingClient JainSipClient JainSipJob JainSipFsm process(JainSipJob java:400)_x000D_
	at org restcomm android sdk SignalingClient JainSipClient JainSipJob startFsm(JainSipJob java:782)_x000D_
	at org restcomm android sdk SignalingClient JainSipClient JainSipJobManager add(JainSipJobManager java:53)_x000D_
	at org restcomm android sdk SignalingClient JainSipClient JainSipJobManager add(JainSipJobManager java:61)_x000D_
	at org restcomm android sdk SignalingClient JainSipClient JainSipClient reconfigure(JainSipClient java:310)_x000D_
	at org restcomm android sdk SignalingClient SignalingHandler handleMessage(SignalingHandler java:81)_x000D_
	at android os Handler dispatchMessage(Handler java:102)_x000D_
	at android os Looper loop(Looper java:135)_x000D_
	at android os HandlerThread run(HandlerThread java:61)_x000D_
Caused by: java lang RuntimeException: Failed to build base SIP request_x000D_
	at org restcomm android sdk SignalingClient JainSipClient JainSipMessageBuilder buildBaseRequest(JainSipMessageBuilder java:181)_x000D_
	at org restcomm android sdk SignalingClient JainSipClient JainSipMessageBuilder buildRegisterRequest(JainSipMessageBuilder java:188)_x000D_
	    10 more_x000D_
Caused by: java lang NullPointerException: Attempt to invoke interface method  android javax sip address Address android javax sip address AddressFactory createAddress(java lang String)  on a null object reference_x000D_
	at org restcomm android sdk SignalingClient JainSipClient JainSipMessageBuilder sipUri2IpAddress(JainSipMessageBuilder java:499)_x000D_
	at org restcomm android sdk SignalingClient JainSipClient JainSipMessageBuilder buildBaseRequest(JainSipMessageBuilder java:107)_x000D_
	    11 more_x000D_
   _x000D_
_x000D_
And here s the  TF session (https:  telestax testfairy com projects 3369662 restcommolympus builds 5916479 sessions 530 source email crash)_x000D_
_x000D_
This seems like an issue in the parsing of a user provided string  we probably shouldn t emit runtime exception for that and instead emit an error to let the user know what the issue was </t>
  </si>
  <si>
    <t>kontalk-androidclient-1046</t>
  </si>
  <si>
    <t>Some serious problems with threads</t>
  </si>
  <si>
    <t>621 threads are a bit too much  Watch out for any leftover or leaks and upgrade to Smack 4 2 in the meantime  This also might be related to the OutOfMemory errors _x000D_
_x000D_
 org kontalk issue 255 crash 59776E8B02DF00011A1AB9F59AB6BA9A 14b928207d2511e78c9a56847afe9799 0 v2 txt (https:  github com kontalk androidclient files 1238812 org kontalk issue 255 crash 59776E8B02DF00011A1AB9F59AB6BA9A 14b928207d2511e78c9a56847afe9799 0 v2 txt)</t>
  </si>
  <si>
    <t>Maxr1998-MaxLock-113</t>
  </si>
  <si>
    <t>Incompitabilities with some apps - looping lockscreen, freezes, etc.</t>
  </si>
  <si>
    <t xml:space="preserve">  Description  _x000D_
There are multiple issues with the current lockscreen lifecycle which could trigger for some more or less special  but often widely used apps   regardless if using the Xposed app locker or the unreleased  no Xposed  option _x000D_
_x000D_
This can involve looping lockscreen :curly loop:  crashing freezing of the locked app :skull:  the locked app being minimized after the first launch unlock :see no evil:  the lockscreen appearing when navigating in app :flushed:  the lockscreen not appearing at all :running man:_x000D_
_x000D_
  Affected apps (some of them  from issues and own tests)  _x000D_
  AOSP Browser :skull:_x000D_
  Google Photos :see no evil:_x000D_
  Hangouts :see no evil: :curly loop:_x000D_
  WhatsApp :flushed:  also call screen locked even though it shouldn t_x000D_
  Google Keep :skull:_x000D_
  Xposed Installer :curly loop:_x000D_
  ProtonMail :skull: (fix: unlock splash activity by default)_x000D_
  Kik :running man:_x000D_
  Viber :curly loop:_x000D_
  Wire :see no evil:</t>
  </si>
  <si>
    <t>timusus-Shuttle-146</t>
  </si>
  <si>
    <t>'Share' crashes on Android O</t>
  </si>
  <si>
    <t xml:space="preserve">  Shuttle version:  _x000D_
 _x000D_
 v2 0 0 beta_x000D_
 _x000D_
  Device  OS:  _x000D_
 _x000D_
Nexus 6P_x000D_
_x000D_
  Description of bug:  _x000D_
 _x000D_
Pressing  share  crashes with the following stack trace:_x000D_
_x000D_
   _x000D_
Process: com simplecity amp pro debug  PID: 1064_x000D_
android os FileUriExposedException: file:    storage emulated 0 Music Flume Holdin On Flume   What You Need mp3 exposed beyond app through ClipData Item getUri()_x000D_
    at android os StrictMode onFileUriExposed(StrictMode java:1958)_x000D_
    at android net Uri checkFileUriExposed(Uri java:2348)_x000D_
    at android content ClipData prepareToLeaveProcess(ClipData java:941)_x000D_
    at android content Intent prepareToLeaveProcess(Intent java:9735)_x000D_
    at android content Intent prepareToLeaveProcess(Intent java:9741)_x000D_
    at android content Intent prepareToLeaveProcess(Intent java:9720)_x000D_
    at android app Instrumentation execStartActivity(Instrumentation java:1609)_x000D_
    at android app Activity startActivityForResult(Activity java:4472)_x000D_
    at android support v4 app BaseFragmentActivityApi16 startActivityForResult(BaseFragmentActivityApi16 java:54)_x000D_
    at android support v4 app FragmentActivity startActivityForResult(FragmentActivity java:65)_x000D_
    at android app Activity startActivityForResult(Activity java:4430)_x000D_
    at android support v4 app FragmentActivity startActivityForResult(FragmentActivity java:711)_x000D_
    at android app Activity startActivity(Activity java:4791)_x000D_
    at android app Activity startActivity(Activity java:4759)_x000D_
    at com simplecity amp library model Song share(Song java:314)_x000D_
    at com simplecity amp library ui presenters PlayerPresenter shareClicked(PlayerPresenter java:311)_x000D_
    at com simplecity amp library ui fragments PlayerFragment onMenuItemClick(PlayerFragment java:513)_x000D_
    at android support v7 widget Toolbar 1 onMenuItemClick(Toolbar java:202)_x000D_
    at android support v7 widget ActionMenuView MenuBuilderCallback onMenuItemSelected(ActionMenuView java:780)_x000D_
    at android support v7 view menu MenuBuilder dispatchMenuItemSelected(MenuBuilder java:822)_x000D_
    at android support v7 view menu MenuItemImpl invoke(MenuItemImpl java:171)_x000D_
    at android support v7 view menu MenuBuilder performItemAction(MenuBuilder java:973)_x000D_
    at android support v7 view menu MenuPopup onItemClick(MenuPopup java:127)_x000D_
    at android widget AdapterView performItemClick(AdapterView java:318)_x000D_
    at android widget AbsListView performItemClick(AbsListView java:1165)_x000D_
    at android widget AbsListView PerformClick run(AbsListView java:3134)_x000D_
    at android widget AbsListView 3 run(AbsListView java:4049)_x000D_
    at android os Handler handleCallback(Handler java:789)_x000D_
    at android os Handler dispatchMessage(Handler java:98)_x000D_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t>
  </si>
  <si>
    <t>nextcloud-android-1386</t>
  </si>
  <si>
    <t>GPlay: NPE com.owncloud.android.MainApp.getAuthority</t>
  </si>
  <si>
    <t xml:space="preserve">   _x000D_
java lang ExceptionInInitializerError: _x000D_
  at com owncloud android services observer FileObserverService startObservation (FileObserverService java:197)_x000D_
  at com owncloud android services observer FileObserverService onStartCommand (FileObserverService java:167)_x000D_
  at android app ActivityThread handleServiceArgs (ActivityThread java:3351)_x000D_
  at android app ActivityThread  wrap21 (ActivityThread java)_x000D_
  at android app ActivityThread H handleMessage (ActivityThread java:1601)_x000D_
  at android os Handler dispatchMessage (Handler java:102)_x000D_
  at android os Looper loop (Looper java:154)_x000D_
  at android app ActivityThread main (ActivityThread java:6186)_x000D_
  at java lang reflect Method invoke (Native Method)_x000D_
  at com android internal os ZygoteInit MethodAndArgsCaller run (ZygoteInit java:889)_x000D_
  at com android internal os ZygoteInit main (ZygoteInit java:779)_x000D_
Caused by: java lang NullPointerException: _x000D_
  at com owncloud android MainApp getAuthority (MainApp java:236)_x000D_
  at com owncloud android db ProviderMeta ProviderTableMeta  clinit  (ProviderMeta java:54)_x000D_
   _x000D_
_x000D_
happens since a while (e g  1 4 x) _x000D_
causing line:_x000D_
   _x000D_
return getAppContext() getResources() getString(R string authority) _x000D_
   _x000D_
_x000D_
My guess is that    getAppContext()    returns null since the underlying variable hasn t been initialized yet  A quick fix would be to add a try catch and return the default value which will cause problems for custom branded clients who run into the NPE fallback then   _x000D_
_x000D_
Any ideas  tobiasKaminsky  mario   This is the number 1 crash reported in the actual RC and for all app versions has been reported nearly 3000 times   </t>
  </si>
  <si>
    <t>testpress-android-sdk-50</t>
  </si>
  <si>
    <t>Handle image in HTML content</t>
  </si>
  <si>
    <t xml:space="preserve">  Fix crash when displaying zoomable image in HTML content _x000D_
  Beautify table and image in HTML content _x000D_
</t>
  </si>
  <si>
    <t>testpress-android-sdk-49</t>
  </si>
  <si>
    <t xml:space="preserve">  Fix crash when displaying zoomable image in HTML content _x000D_
  Beautify table and image in HTML content _x000D_
  Fix  50</t>
  </si>
  <si>
    <t>chat-sdk-chat-sdk-android-132</t>
  </si>
  <si>
    <t>Crash on Android O due to SuperToasts</t>
  </si>
  <si>
    <t xml:space="preserve">Supertoast  is not compatible with Android O (https:  github com JohnPersano SuperToasts issues 108)  so if you target it and chatSDK starts a supertoast  app will crash  _x000D_
_x000D_
Since Supertoast library has been abandoned for a year now  you should consider dropping it replace it with something more maintained _x000D_
</t>
  </si>
  <si>
    <t>nextcloud-android-1401</t>
  </si>
  <si>
    <t>NPE due to mFile = null</t>
  </si>
  <si>
    <t xml:space="preserve">  java lang RuntimeException: _x000D_
  at android app LoadedApk ReceiverDispatcher Args run (LoadedApk java:1132)_x000D_
  at android os Handler handleCallback (Handler java:751)_x000D_
  at android os Handler dispatchMessage (Handler java:95)_x000D_
  at android os Looper loop (Looper java:154)_x000D_
  at android app ActivityThread main (ActivityThread java:6119)_x000D_
  at java lang reflect Method invoke (Native Method)_x000D_
  at com android internal os ZygoteInit MethodAndArgsCaller run (ZygoteInit java:886)_x000D_
  at com android internal os ZygoteInit main (ZygoteInit java:776)_x000D_
Caused by: java lang NullPointerException: _x000D_
  at com owncloud android ui activity FileDisplayActivity UploadFinishReceiver onReceive (FileDisplayActivity java:1348)_x000D_
  at android app LoadedApk ReceiverDispatcher Args run (LoadedApk java:1122)_x000D_
_x000D_
  boolean renamedInUpload   getFile() getRemotePath() _x000D_
                        equals(intent getStringExtra(FileUploader EXTRA OLD REMOTE PATH)) _x000D_
_x000D_
getFile() is null and therefore null equals(   ) crashes</t>
  </si>
  <si>
    <t>nextcloud-android-1400</t>
  </si>
  <si>
    <t>RC4: DB crashes</t>
  </si>
  <si>
    <t xml:space="preserve">  java lang IllegalStateException: _x000D_
  at android database CursorWindow nativeGetLong (Native Method)_x000D_
  at android database CursorWindow getLong (CursorWindow java:511)_x000D_
  at android database AbstractWindowedCursor getLong (AbstractWindowedCursor java:75)_x000D_
  at com owncloud android providers FileContentProvider delete (FileContentProvider java:146)_x000D_
  at com owncloud android providers FileContentProvider delete (FileContentProvider java:95)_x000D_
  at android content ContentProviderOperation apply (ContentProviderOperation java:311)_x000D_
  at com owncloud android providers FileContentProvider applyBatch (FileContentProvider java:550)_x000D_
  at android content ContentProvider Transport applyBatch (ContentProvider java:335)_x000D_
  at android content ContentProviderClient applyBatch (ContentProviderClient java:438)_x000D_
  at com owncloud android datamodel FileDataStorageManager saveFolder (FileDataStorageManager java:405)_x000D_
  at com owncloud android operations RefreshFolderOperation synchronizeData (RefreshFolderOperation java:441)_x000D_
  at com owncloud android operations RefreshFolderOperation fetchAndSyncRemoteFolder (RefreshFolderOperation java:318)_x000D_
  at com owncloud android operations RefreshFolderOperation run (RefreshFolderOperation java:198)_x000D_
  at com owncloud android lib common operations RemoteOperation execute (RemoteOperation java:136)_x000D_
  at com owncloud android syncadapter FileSyncAdapter synchronizeFolder (FileSyncAdapter java:271)_x000D_
  at com owncloud android syncadapter FileSyncAdapter onPerformSync (FileSyncAdapter java:179)_x000D_
  at android content AbstractThreadedSyncAdapter SyncThread run (AbstractThreadedSyncAdapter java:272)_x000D_
_x000D_
I guess this is again related to  column not found       1     crash</t>
  </si>
  <si>
    <t>tanrabad-survey-37</t>
  </si>
  <si>
    <t xml:space="preserve">     in org tanrabad survey presenter PreferenceFragment googleMapKey
  Number of crashes: 1
  Impacted devices: 1
There s a lot more information about this crash on crashlytics com:
 https:  fabric io tanrabad android apps org tanrabad survey issues 599d5fe1be077a4dcc7d32a9 utm medium service hooks github utm source issue impact (https:  fabric io tanrabad android apps org tanrabad survey issues 599d5fe1be077a4dcc7d32a9 utm medium service hooks github utm source issue impact)</t>
  </si>
  <si>
    <t>aurelhubert-ahbottomnavigation-277</t>
  </si>
  <si>
    <t>addItem more then 5</t>
  </si>
  <si>
    <t xml:space="preserve">Is there limits  of    5 item     _x000D_
it working fine with 5 item as i go for 6 the app start crashing  _x000D_
any suggestion for this problem  </t>
  </si>
  <si>
    <t>thiagoprochnow-carteiradeativos-133</t>
  </si>
  <si>
    <t>IntentService crashes when refreshing too many time.</t>
  </si>
  <si>
    <t>IntentService crashes when refreshing too many time _x000D_
_x000D_
FATAL EXCEPTION: IntentService br com guiainvestimento api service FiiIntentService _x000D_
                                                                       Process: br com guiainvestimento  PID: 7026_x000D_
                                                                       java lang NullPointerException: Attempt to invoke virtual method  java util List br com guiainvestimento api domain ResponseFiis getFiiQuotes()  on a null object reference_x000D_
                                                                           at br com guiainvestimento api service FiiIntentService addFiiTask(FiiIntentService java:116)_x000D_
                                                                           at br com guiainvestimento api service FiiIntentService onHandleIntent(FiiIntentService java:55)_x000D_
                                                                           at android app IntentService ServiceHandler handleMessage(IntentService java:68)_x000D_
                                                                           at android os Handler dispatchMessage(Handler java:102)_x000D_
                                                                           at android os Looper loop(Looper java:154)_x000D_
                                                                           at android os HandlerThread run(HandlerThread java:61)</t>
  </si>
  <si>
    <t>NeXT-Workshops-mindroid-65</t>
  </si>
  <si>
    <t>App: Sensor Monitoring - app freeze</t>
  </si>
  <si>
    <t xml:space="preserve">  Sometimes it appears that the app crashes when using sensor monitoring</t>
  </si>
  <si>
    <t>NeXT-Workshops-mindroid-62</t>
  </si>
  <si>
    <t>App: Crash when EV3 brick is shutting down</t>
  </si>
  <si>
    <t>How to reproduce:_x000D_
  Connect Mindroid App to EV3 brick_x000D_
  Shut down EV3 brick_x000D_
  App should crash</t>
  </si>
  <si>
    <t>ASU-CodeDevils-FlashCards-13</t>
  </si>
  <si>
    <t>Crash on New Course creation</t>
  </si>
  <si>
    <t xml:space="preserve">Device: Nexus 6P_x000D_
Android Version: 8 0 0_x000D_
Commit: 1ce0e98_x000D_
_x000D_
Bug: Application crashes on fresh install when entering a new course_x000D_
_x000D_
Reproduce: Fresh install of commit  select a new course  enter in the field and submit _x000D_
</t>
  </si>
  <si>
    <t>k9mail-k-9-2708</t>
  </si>
  <si>
    <t>Crash when activating an account</t>
  </si>
  <si>
    <t xml:space="preserve">I updated some weeks ago to a new phone with android nougat (7 0)  I  ve read up that syncing is not working properly on 7 0 and till a fix is found I can deal with doing manual upgrades _x000D_
_x000D_
But I am experiencing another bug  I have 6 email accounts added (imported from a phone with android 6 0)  First one on the list works as expected  For the rest if I press on them (A)  K 9 closes  Long pressing shows the pop up menu but has Activate (2nd screenshot)  Pressing Activate closes K 9 _x000D_
_x000D_
If I press on the directory icon on the right (B) on one of the not working emails  it enters in the Folders menu and I can access all directories  settings and sync the account just fine _x000D_
_x000D_
So firing up K 9 only the 1st account on the top works normally  The rest if I press on them crash K 9 and only work fine if I enter in the Folders menu _x000D_
_x000D_
_x000D_
  screenshot 20170827 115206 (https:  user images githubusercontent com 8713434 29748877 45e2cd72 8b28 11e7 8a22 0af6db769141 png)_x000D_
_x000D_
  screenshot 20170827 115218 (https:  user images githubusercontent com 8713434 29748891 955d4b0c 8b28 11e7 9821 45587954c0b5 png)_x000D_
_x000D_
_x000D_
_x000D_
    Expected behavior_x000D_
It should be able to enter in the accounts without a force close_x000D_
_x000D_
    Actual behavior_x000D_
K 9 closes _x000D_
_x000D_
    Steps to reproduce_x000D_
1  Open K 9_x000D_
2  Click on any account except the first _x000D_
3  K 9 closes_x000D_
_x000D_
    Environment_x000D_
K 9 Mail version: 5 207_x000D_
_x000D_
Android version: 7 0_x000D_
_x000D_
Account type (IMAP  POP3  WebDAV Exchange): imap_x000D_
</t>
  </si>
  <si>
    <t>MiPushFramework-MiPushFramework-9</t>
  </si>
  <si>
    <t>知乎推送无法支持</t>
  </si>
  <si>
    <t xml:space="preserve">   0 2  0 3                          _x000D_
  screenshot 20170827 155429 (https:  user images githubusercontent com 29968347 29748446 be682442 8b49 11e7 8202 ecd87574cc76 png)_x000D_
_x000D_
_x000D_
_x000D_
             3 5       play _x000D_
                    logcat fliter com xiaomi xmsf _x000D_
_x000D_
_x000D_
08 27 16:49:17 556 D SystemServicesProxy( 2205): getRecentTasks: com xiaomi xmsf  641_x000D_
08 27 16:49:17 713 D SystemServicesProxy( 2205): getRecentTasks: com xiaomi xmsf  641_x000D_
08 27 16:49:21 023 D SystemServicesProxy( 2205): getRecentTasks: com xiaomi xmsf  641_x000D_
08 27 16:49:22 856 I AppStorageSettings(23970): Clearing user data for package : com xiaomi xmsf_x000D_
08 27 16:49:22 858 I ActivityManager( 1388): Force stopping com xiaomi xmsf appid 10171 user 0: clear data_x000D_
08 27 16:49:22 858 I ActivityManager( 1388): Killing 10417:com xiaomi xmsf:pushservice u0a171 (adj 800): stop com xiaomi xmsf_x000D_
08 27 16:49:22 859 W ActivityManager( 1388): Scheduling restart of crashed service com xiaomi xmsf com xiaomi push service XMPushService in 1000ms_x000D_
08 27 16:49:22 859 D EmbryoManager( 1388): prepare com xiaomi xmsf_x000D_
08 27 16:49:22 860 I ActivityManager( 1388): Killing 10391:com xiaomi xmsf u0a171 (adj 900): stop com xiaomi xmsf_x000D_
08 27 16:49:22 860 D EmbryoManager( 1388): prepare com xiaomi xmsf_x000D_
08 27 16:49:22 863 I ActivityManager( 1388):   Force finishing activity ActivityRecord 921ddec u0 com xiaomi xmsf top trumeet mipushframework settings MainActivity t641 _x000D_
08 27 16:49:22 865 I ActivityManager( 1388):   Force stopping service ServiceRecord 6abddfc u0 com xiaomi xmsf com xiaomi push service XMPushService _x000D_
08 27 16:49:22 889 I ActivityManager( 1388): Force stopping com xiaomi xmsf appid 10171 user  1: clearApplicationUserData_x000D_
08 27 16:49:22 916 W BroadcastQueue( 1388): Background execution not allowed: receiving Intent   act android intent action PACKAGE RESTARTED dat package:com xiaomi xmsf flg 0x10 (has extras)   to com jingdong app mall  broadcastReceiver AppStateRecevier_x000D_
08 27 16:49:22 922 I AppStorageSettings(23970): Cleared user data for package : com xiaomi xmsf_x000D_
08 27 16:49:23 089 D Wear Controller( 3556): Received broadcast action android intent action PACKAGE DATA CLEARED and uri com xiaomi xmsf_x000D_
08 27 16:49:23 092 I LocationSettingsChecker( 3556): Removing dialog suppression flag for package com xiaomi xmsf_x000D_
08 27 16:49:23 108 I Fitness ( 3124): Clearing all cached OAuth tokens for: com xiaomi xmsf_x000D_
08 27 16:49:23 116 I Fitness ( 3124): Removing all subscriptions for: com xiaomi xmsf_x000D_
08 27 16:49:23 132 I Icing   ( 3556): doRemovePackageData com xiaomi xmsf_x000D_
08 27 16:49:26 702 I ActivityManager( 1388): START u0  act android intent action MAIN cat  android intent category LAUNCHER  flg 0x10200000 cmp com xiaomi xmsf top trumeet mipushframework wizard WelcomeActivity bnds  16 422  278 781  (has extras)  from uid 10101 pid 3338 on display 0_x000D_
08 27 16:49:26 712 D ActivityTrigger( 1388): activityStartTrigger: Activity is Triggerred in full screen ApplicationInfo 116fb88 com xiaomi xmsf _x000D_
08 27 16:49:26 712 E ActivityTrigger( 1388): activityStartTrigger: not whiteListedcom xiaomi xmsf top trumeet mipushframework wizard WelcomeActivity 105_x000D_
08 27 16:49:26 714 D ActivityTrigger( 1388): activityResumeTrigger: The activity in ApplicationInfo 116fb88 com xiaomi xmsf  is now in focus and seems to be in full screen mode_x000D_
08 27 16:49:26 714 E ActivityTrigger( 1388): activityResumeTrigger: not whiteListedcom xiaomi xmsf top trumeet mipushframework wizard WelcomeActivity 105_x000D_
08 27 16:49:26 721 D ActivityTrigger( 1388): activityResumeTrigger: The activity in ApplicationInfo 116fb88 com xiaomi xmsf  is now in focus and seems to be in full screen mode_x000D_
08 27 16:49:26 721 E ActivityTrigger( 1388): activityResumeTrigger: not whiteListedcom xiaomi xmsf top trumeet mipushframework wizard WelcomeActivity 105_x000D_
08 27 16:49:26 731 I ActivityManager( 1388): Start proc 25789:com xiaomi xmsf u0a171 for activity com xiaomi xmsf top trumeet mipushframework wizard WelcomeActivity_x000D_
08 27 16:49:26 732 D BreventServer( 7298): update current to com xiaomi xmsf_x000D_
08 27 16:49:26 751 W System  (25789): ClassLoader referenced unknown path:  data app com xiaomi xmsf 1 lib arm64_x000D_
08 27 16:49:26 824 I ActivityManager( 1388): Start proc 25812:com xiaomi xmsf:pushservice u0a171 for service for null to com xiaomi xmsf com xiaomi push service XMPushService_x000D_
08 27 16:49:26 836 D SystemServicesProxy( 2205): getRecentTasks: com xiaomi xmsf  647_x000D_
08 27 16:49:26 840 W System  (25812): ClassLoader referenced unknown path:  data app com xiaomi xmsf 1 lib arm64_x000D_
08 27 16:49:26 867 D Condom::pushservice(25812): IPackageManager getPackageInfo com xiaomi xmsf  4096  0 _x000D_
08 27 16:49:26 868 D Condom::pushservice(25812): IPackageManager getPackageInfo com xiaomi xmsf  4096  0 _x000D_
08 27 16:49:26 879 D Condom::pushservice(25812): IActivityManager stopService android app ActivityThread ApplicationThread 8cc32b5  Intent   cmp com xiaomi xmsf com xiaomi push service XMPushService    null  0 _x000D_
08 27 16:49:26 881 D Condom::pushservice(25812): IPackageManager setComponentEnabledSetting ComponentInfo com xiaomi xmsf com xiaomi xmsf push service receivers BootReceiver   1  1  0 _x000D_
08 27 16:49:26 885 D Condom::pushservice(25812): IPackageManager getPackageInfo com xiaomi xmsf  16384  0 _x000D_
08 27 16:49:26 894 D Condom::pushservice(25812): IActivityManager registerReceiver android app ActivityThread ApplicationThread 8cc32b5  com xiaomi xmsf  android app LoadedApk ReceiverDispatcher InnerReceiver 7b03325  android content IntentFilter 9393cfa  null  0 _x000D_
08 27 16:49:26 896 D Condom::pushservice(25812): IActivityManager registerReceiver android app ActivityThread ApplicationThread 8cc32b5  com xiaomi xmsf  android app LoadedApk ReceiverDispatcher InnerReceiver b55dca1  android content IntentFilter 24e2ec6  null  0 _x000D_
08 27 16:49:26 982 I ActivityManager( 1388): Displayed com xiaomi xmsf top trumeet mipushframework wizard WelcomeActivity:  261ms_x000D_
08 27 16:49:33 839 I ActivityManager( 1388): START u0  cmp com xiaomi xmsf top trumeet mipushframework wizard CheckRunningStatusActivity  from uid 10171 pid 25789 on display 0_x000D_
08 27 16:49:33 841 D ActivityTrigger( 1388): activityStartTrigger: Activity is Triggerred in full screen ApplicationInfo 116fb88 com xiaomi xmsf _x000D_
08 27 16:49:33 841 E ActivityTrigger( 1388): activityStartTrigger: not whiteListedcom xiaomi xmsf top trumeet mipushframework wizard CheckRunningStatusActivity 105_x000D_
08 27 16:49:33 845 D ActivityTrigger( 1388): activityResumeTrigger: The activity in ApplicationInfo 116fb88 com xiaomi xmsf  is now in focus and seems to be in full screen mode_x000D_
08 27 16:49:33 845 E ActivityTrigger( 1388): activityResumeTrigger: not whiteListedcom xiaomi xmsf top trumeet mipushframework wizard CheckRunningStatusActivity 105_x000D_
08 27 16:49:33 856 D ActivityTrigger( 1388): activityResumeTrigger: The activity in ApplicationInfo 116fb88 com xiaomi xmsf  is now in focus and seems to be in full screen mode_x000D_
08 27 16:49:33 856 E ActivityTrigger( 1388): activityResumeTrigger: not whiteListedcom xiaomi xmsf top trumeet mipushframework wizard CheckRunningStatusActivity 105_x000D_
08 27 16:49:33 911 D Condom::pushservice(25812): IPackageManager getPackageInfo com xiaomi xmsf  16384  0 _x000D_
08 27 16:49:33 914 D Condom::pushservice(25812): IActivityManager registerReceiver android app ActivityThread ApplicationThread 8cc32b5  com xiaomi xmsf  android app LoadedApk ReceiverDispatcher InnerReceiver 7893838  android content IntentFilter 7de3011  null  0 _x000D_
08 27 16:49:33 915 D Condom::pushservice(25812): IActivityManager registerReceiver android app ActivityThread ApplicationThread 8cc32b5  com xiaomi xmsf  android app LoadedApk ReceiverDispatcher InnerReceiver 3aa0777  android content IntentFilter ab59fe4  null  0 _x000D_
08 27 16:49:33 920 D Condom::pushservice(25812): IPackageManager checkPermission android permission READ PHONE STATE  com xiaomi xmsf  0 _x000D_
08 27 16:49:33 922 D Condom::pushservice(25812): IPackageManager getPackageUid com xiaomi xmsf  268435456  0 _x000D_
08 27 16:49:33 924 D Condom::pushservice(25812): IPackageManager getPackageUid com xiaomi xmsf  268435456  0 _x000D_
08 27 16:49:33 925 D Condom::pushservice(25812): IPackageManager getPackageUid com xiaomi xmsf  268435456  0 _x000D_
08 27 16:49:33 926 D Condom::pushservice(25812): IPackageManager getPackageUid com xiaomi xmsf  268435456  0 _x000D_
08 27 16:49:33 928 D Condom::pushservice(25812): IPackageManager getPackageInfo com xiaomi xmsf  16384  0 _x000D_
08 27 16:49:33 929 D Condom::pushservice(25812): IPackageManager getPackageUid com xiaomi xmsf  268435456  0 _x000D_
08 27 16:49:33 930 D Condom::pushservice(25812): IPackageManager checkPermission android permission READ PHONE STATE  com xiaomi xmsf  0 _x000D_
08 27 16:49:33 933 D VoldConnector( 1388): SND     8 volume mkdirs  storage emulated 0 Android data com xiaomi xmsf files  _x000D_
08 27 16:49:33 934 E cutils  (  628): Nothing there yet  let s create it:  storage emulated 0 Android data com xiaomi xmsf_x000D_
08 27 16:49:33 934 E cutils  (  628): Nothing there yet  let s create it:  storage emulated 0 Android data com xiaomi xmsf files_x000D_
08 27 16:49:33 936 I ActivityManager( 1388): Displayed com xiaomi xmsf top trumeet mipushframework wizard CheckRunningStatusActivity:  79ms_x000D_
08 27 16:49:33 969 D SystemServicesProxy( 2205): getRecentTasks: com xiaomi xmsf  647_x000D_
08 27 16:49:34 187 D Condom::pushservice(25812): IPackageManager checkPermission android permission GET ACCOUNTS  com xiaomi xmsf  0 _x000D_
08 27 16:49:34 187 D Condom::pushservice(25812): IPackageManager checkPermission android permission GET ACCOUNTS  com xiaomi xmsf  0 _x000D_
08 27 16:49:34 198 D Condom::pushservice(25812): IActivityManager getIntentSender 1  com xiaomi xmsf  null  null  0   Landroid content Intent  9b671c8  null  0  null  0 _x000D_
08 27 16:49:34 262 D Xiaomi  (25812):  Thread:849  load config failure:  data user 0 com xiaomi xmsf files XMCloudCfg (No such file or directory)_x000D_
08 27 16:49:34 355 D Xiaomi  (25812):  Thread:849  try send mi push message  packagename:com xiaomi xmsf action:Registration_x000D_
08 27 16:49:34 477 D Condom::pushservice(25812): IPackageManager queryIntentReceivers Intent   act com xiaomi mipush RECEIVE MESSAGE pkg com xiaomi xmsf (has extras)    null  32  0 _x000D_
08 27 16:49:34 489 D Condom::pushservice(25812): IActivityManager broadcastIntent android app ActivityThread ApplicationThread 8cc32b5  Intent   act com xiaomi mipush RECEIVE MESSAGE pkg com xiaomi xmsf (has extras)    null  null   1  null  null   Ljava lang String  51ec012   1  null  false  false  0 _x000D_
08 27 16:49:34 550 D Xiaomi  (25812):  Thread:849  try send mi push message  packagename:com xiaomi xmsf action:Notification_x000D_
08 27 16:49:34 557 D Xiaomi  (25812):  Thread:849  try send mi push message  packagename:com xiaomi xmsf action:Notification_x000D_
08 27 16:49:34 607 D Condom::pushservice(25812): IPackageManager queryIntentReceivers Intent   act com xiaomi mipush RECEIVE MESSAGE pkg com xiaomi xmsf (has extras)    null  32  0 _x000D_
08 27 16:49:34 609 D Condom::pushservice(25812): IActivityManager broadcastIntent android app ActivityThread ApplicationThread 8cc32b5  Intent   act com xiaomi mipush RECEIVE MESSAGE pkg com xiaomi xmsf (has extras)    null  null   1  null  null   Ljava lang String  c8973e3   1  null  false  false  0 _x000D_
08 27 16:49:34 922 D Xiaomi  (25789): process    com xiaomi xmsf:pushservice_x000D_
08 27 16:49:34 922 D Xiaomi  (25789): package    com xiaomi xmsf_x000D_
08 27 16:49:35 961 D Xiaomi  (25789): process    com xiaomi xmsf:pushservice_x000D_
08 27 16:49:35 961 D Xiaomi  (25789): package    com xiaomi xmsf_x000D_
08 27 16:49:36 981 D Xiaomi  (25789): process    com xiaomi xmsf:pushservice_x000D_
08 27 16:49:36 981 D Xiaomi  (25789): package    com xiaomi xmsf_x000D_
08 27 16:49:37 144 I dex2oat (25929):  system bin dex2oat   debuggable   dex file  data user 0 com xiaomi xmsf app mpcd mpcd apk   oat fd 66   oat location  data user 0 com xiaomi xmsf app dex mpcd dex   compiler filter verify none_x000D_
08 27 16:49:37 321 W System  (25789): ClassLoader referenced unknown path:  data user 0 com xiaomi xmsf app mpcd lib_x000D_
08 27 16:49:38 019 D Xiaomi  (25789): process    com xiaomi xmsf:pushservice_x000D_
08 27 16:49:38 019 D Xiaomi  (25789): package    com xiaomi xmsf_x000D_
08 27 16:49:39 062 D Xiaomi  (25789): process    com xiaomi xmsf:pushservice_x000D_
08 27 16:49:39 062 D Xiaomi  (25789): package    com xiaomi xmsf_x000D_
08 27 16:49:39 200 V AlarmManager( 1388): Triggering alarm  0: 0 when  1503823778635 package com xiaomi xmsfoperation   walarm :com xiaomi push PING TIMER_x000D_
08 27 16:49:39 208 D Condom::pushservice(25812): IActivityManager getIntentSender 1  com xiaomi xmsf  null  null  0   Landroid content Intent  c67b1e0  null  0  null  0 _x000D_
08 27 16:49:39 212 D Condom::pushservice(25812): IActivityManager startService android app ActivityThread ApplicationThread 8cc32b5  Intent   act com xiaomi push timer cmp com xiaomi xmsf com xiaomi push service XMPushService (has extras)    null  com xiaomi xmsf  0 _x000D_
08 27 16:49:41 097 D Xiaomi  (25789): process    com xiaomi xmsf:pushservice_x000D_
08 27 16:49:41 097 D Xiaomi  (25789): package    com xiaomi xmsf_x000D_
08 27 16:49:42 141 D Xiaomi  (25789): process    com xiaomi xmsf:pushservice_x000D_
08 27 16:49:42 141 D Xiaomi  (25789): package    com xiaomi xmsf_x000D_
08 27 16:49:43 184 D Xiaomi  (25789): process    com xiaomi xmsf:pushservice_x000D_
08 27 16:49:43 184 D Xiaomi  (25789): package    com xiaomi xmsf_x000D_
08 27 16:49:44 222 D Xiaomi  (25789): process    com xiaomi xmsf:pushservice_x000D_
08 27 16:49:44 222 D Xiaomi  (25789): package    com xiaomi xmsf_x000D_
08 27 16:49:45 249 D Xiaomi  (25789): process    com xiaomi xmsf:pushservice_x000D_
08 27 16:49:45 249 D Xiaomi  (25789): package    com xiaomi xmsf_x000D_
08 27 16:49:46 288 D Xiaomi  (25789): process    com xiaomi xmsf:pushservice_x000D_
08 27 16:49:46 288 D Xiaomi  (25789): package    com xiaomi xmsf_x000D_
08 27 16:49:47 336 D Xiaomi  (25789): process    com xiaomi xmsf:pushservice_x000D_
08 27 16:49:47 336 D Xiaomi  (25789): package    com xiaomi xmsf_x000D_
08 27 16:49:48 362 D Xiaomi  (25789): process    com xiaomi xmsf:pushservice_x000D_
08 27 16:49:48 362 D Xiaomi  (25789): package    com xiaomi xmsf_x000D_
08 27 16:49:49 401 D Xiaomi  (25789): process    com xiaomi xmsf:pushservice_x000D_
08 27 16:49:49 401 D Xiaomi  (25789): package    com xiaomi xmsf_x000D_
08 27 16:49:50 444 D Xiaomi  (25789): process    com xiaomi xmsf:pushservice_x000D_
08 27 16:49:50 444 D Xiaomi  (25789): package    com xiaomi xmsf_x000D_
08 27 16:49:51 479 D Xiaomi  (25789): process    com xiaomi xmsf:pushservice_x000D_
08 27 16:49:51 479 D Xiaomi  (25789): package    com xiaomi xmsf_x000D_
08 27 16:49:52 519 D Xiaomi  (25789): process    com xiaomi xmsf:pushservice_x000D_
08 27 16:49:52 519 D Xiaomi  (25789): package    com xiaomi xmsf_x000D_
08 27 16:49:56 868 I ActivityManager( 1388): START u0  cmp com xiaomi xmsf top trumeet mipushframework wizard support CheckAppSupportActivity  from uid 10171 pid 25789 on display 0_x000D_
08 27 16:49:56 871 D ActivityTrigger( 1388): activityStartTrigger: Activity is Triggerred in full screen ApplicationInfo 116fb88 com xiaomi xmsf _x000D_
08 27 16:49:56 871 E ActivityTrigger( 1388): activityStartTrigger: not whiteListedcom xiaomi xmsf top trumeet mipushframework wizard support CheckAppSupportActivity 105_x000D_
08 27 16:49:56 878 D ActivityTrigger( 1388): activityResumeTrigger: The activity in ApplicationInfo 116fb88 com xiaomi xmsf  is now in focus and seems to be in full screen mode_x000D_
08 27 16:49:56 878 E ActivityTrigger( 1388): activityResumeTrigger: not whiteListedcom xiaomi xmsf top trumeet mipushframework wizard support CheckAppSupportActivity 105_x000D_
08 27 16:49:56 890 D ActivityTrigger( 1388): activityResumeTrigger: The activity in ApplicationInfo 116fb88 com xiaomi xmsf  is now in focus and seems to be in full screen mode_x000D_
08 27 16:49:56 890 E ActivityTrigger( 1388): activityResumeTrigger: not whiteListedcom xiaomi xmsf top trumeet mipushframework wizard support CheckAppSupportActivity 105_x000D_
08 27 16:49:56 971 I ActivityManager( 1388): Displayed com xiaomi xmsf top trumeet mipushframework wizard support CheckAppSupportActivity:  81ms_x000D_
08 27 16:49:57 014 D SystemServicesProxy( 2205): getRecentTasks: com xiaomi xmsf  647_x000D_
08 27 16:49:57 019 I CheckSupportUtils(25789): Handle receiver: com xiaomi xmsf push service receivers MiuiPushMessageReceiver  enabled: true_x000D_
08 27 16:49:57 019 D CheckSupportUtils(25789): Pkg com xiaomi xmsf support receiver: true_x000D_
08 27 16:50:16 907 E AndroidRuntime(25789): Process: com xiaomi xmsf  PID: 25789_x000D_
08 27 16:50:16 917 W ActivityManager( 1388):   Force finishing activity com xiaomi xmsf top trumeet mipushframework wizard support CheckAppSupportActivity_x000D_
08 27 16:50:16 948 W InputDispatcher( 1388): channel  8f4be50 com xiaomi xmsf top trumeet mipushframework wizard CheckRunningStatusActivity (server)    Consumer closed input channel or an error occurred   events 0x9_x000D_
08 27 16:50:16 948 E InputDispatcher( 1388): channel  8f4be50 com xiaomi xmsf top trumeet mipushframework wizard CheckRunningStatusActivity (server)    Channel is unrecoverably broken and will be disposed _x000D_
08 27 16:50:16 948 W InputDispatcher( 1388): channel  f36aa6b com xiaomi xmsf top trumeet mipushframework wizard support CheckAppSupportActivity (server)    Consumer closed input channel or an error occurred   events 0x9_x000D_
08 27 16:50:16 948 E InputDispatcher( 1388): channel  f36aa6b com xiaomi xmsf top trumeet mipushframework wizard support CheckAppSupportActivity (server)    Channel is unrecoverably broken and will be disposed _x000D_
08 27 16:50:16 987 W InputDispatcher( 1388): channel  43abdde com xiaomi xmsf top trumeet mipushframework wizard WelcomeActivity (server)    Consumer closed input channel or an error occurred   events 0x9_x000D_
08 27 16:50:16 987 E InputDispatcher( 1388): channel  43abdde com xiaomi xmsf top trumeet mipushframework wizard WelcomeActivity (server)    Channel is unrecoverably broken and will be disposed _x000D_
08 27 16:50:16 989 I WindowManager( 1388): WIN DEATH: Window 43abdde u0 com xiaomi xmsf top trumeet mipushframework wizard WelcomeActivity _x000D_
08 27 16:50:16 989 W InputDispatcher( 1388): Attempted to unregister already unregistered input channel  43abdde com xiaomi xmsf top trumeet mipushframework wizard WelcomeActivity (server) _x000D_
08 27 16:50:16 990 D EmbryoManager( 1388): prepare com xiaomi xmsf_x000D_
08 27 16:50:16 991 I ActivityManager( 1388): Process com xiaomi xmsf (pid 25789) has died_x000D_
08 27 16:50:16 991 D ActivityManager( 1388): get process top duration : com xiaomi xmsf:pushservice  duration : 0_x000D_
08 27 16:50:16 991 D ActivityManager( 1388): get process top duration : com xiaomi xmsf  duration : 111693_x000D_
08 27 16:50:16 993 I WindowManager( 1388): WIN DEATH: Window 8f4be50 u0 com xiaomi xmsf top trumeet mipushframework wizard CheckRunningStatusActivity _x000D_
08 27 16:50:16 993 W InputDispatcher( 1388): Attempted to unregister already unregistered input channel  8f4be50 com xiaomi xmsf top trumeet mipushframework wizard CheckRunningStatusActivity (server) _x000D_
08 27 16:50:16 995 I WindowManager( 1388): WIN DEATH: Window f36aa6b u0 com xiaomi xmsf top trumeet mipushframework wizard support CheckAppSupportActivity _x000D_
08 27 16:50:16 995 W InputDispatcher( 1388): Attempted to unregister already unregistered input channel  f36aa6b com xiaomi xmsf top trumeet mipushframework wizard support CheckAppSupportActivity (server) _x000D_
08 27 16:50:16 999 D ActivityTrigger( 1388): activityResumeTrigger: The activity in ApplicationInfo 116fb88 com xiaomi xmsf  is now in focus and seems to be in full screen mode_x000D_
08 27 16:50:16 999 E ActivityTrigger( 1388): activityResumeTrigger: not whiteListedcom xiaomi xmsf top trumeet mipushframework wizard CheckRunningStatusActivity 105_x000D_
08 27 16:50:17 011 I ActivityManager( 1388): Start proc 25966:com xiaomi xmsf u0a171 for activity com xiaomi xmsf top trumeet mipushframework wizard CheckRunningStatusActivity_x000D_
08 27 16:50:17 040 W System  (25966): ClassLoader referenced unknown path:  data app com xiaomi xmsf 1 lib arm64_x000D_
08 27 16:50:17 080 D Xiaomi  (25812):  Thread:849  try send mi push message  packagename:com xiaomi xmsf action:Notification_x000D_
08 27 16:50:17 089 D Xiaomi  (25812):  Thread:849  try send mi push message  packagename:com xiaomi xmsf action:Notification_x000D_
08 27 16:50:17 110 D Xiaomi  (25966): process    com xiaomi xmsf_x000D_
08 27 16:50:17 110 D Xiaomi  (25966): package    com xiaomi xmsf_x000D_
08 27 16:50:17 173 I ActivityManager( 1388): Displayed com xiaomi xmsf top trumeet mipushframework wizard CheckRunningStatusActivity:  173ms_x000D_
08 27 16:50:17 185 D Condom::pushservice(25812): IPackageManager queryIntentReceivers Intent   act com xiaomi mipush RECEIVE MESSAGE pkg com xiaomi xmsf (has extras)    null  32  0 _x000D_
08 27 16:50:17 186 D Condom::pushservice(25812): IActivityManager broadcastIntent android app ActivityThread ApplicationThread 8cc32b5  Intent   act com xiaomi mipush RECEIVE MESSAGE pkg com xiaomi xmsf (has extras)    null  null   1  null  null   Ljava lang String  3992c99   1  null  false  false  0 _x000D_
08 27 16:50:18 159 D Xiaomi  (25966): process    com xiaomi xmsf:pushservice_x000D_
08 27 16:50:18 159 D Xiaomi  (25966): package    com xiaomi xmsf_x000D_
08 27 16:50:18 898 W NotificationService( 1388): Object died trying to hide notification android app ITransientNotification Stub Proxy a9d27c3 in package com xiaomi xmsf_x000D_
08 27 16:50:19 200 D Xiaomi  (25966): process    com xiaomi xmsf:pushservice_x000D_
08 27 16:50:19 200 D Xiaomi  (25966): package    com xiaomi xmsf_x000D_
08 27 16:50:20 241 D Xiaomi  (25966): process    com xiaomi xmsf:pushservice_x000D_
08 27 16:50:20 242 D Xiaomi  (25966): package    com xiaomi xmsf_x000D_
08 27 16:50:21 280 D Xiaomi  (25966): process    com xiaomi xmsf:pushservice_x000D_
08 27 16:50:21 280 D Xiaomi  (25966): package    com xiaomi xmsf_x000D_
08 27 16:50:22 102 D Xiaomi  (25812):  Thread:849  try send mi push message  packagename:com xiaomi xmsf action:Notification_x000D_
08 27 16:50:22 321 D Xiaomi  (25966): process    com xiaomi xmsf:pushservice_x000D_
08 27 16:50:22 321 D Xiaomi  (25966): package    com xiaomi xmsf_x000D_
08 27 16:50:23 367 D Xiaomi  (25966): process    com xiaomi xmsf:pushservice_x000D_
08 27 16:50:23 367 D Xiaomi  (25966): package    com xiaomi xmsf_x000D_
08 27 16:50:24 403 D Xiaomi  (25966): process    com xiaomi xmsf:pushservice_x000D_
08 27 16:50:24 403 D Xiaomi  (25966): package    com xiaomi xmsf_x000D_
08 27 16:50:25 427 D Xiaomi  (25966): process    com xiaomi xmsf:pushservice_x000D_
08 27 16:50:25 427 D Xiaomi  (25966): package    com xiaomi xmsf_x000D_
08 27 16:50:26 476 D Xiaomi  (25966): process    com xiaomi xmsf:pushservice_x000D_
08 27 16:50:26 476 D Xiaomi  (25966): package    com xiaomi xmsf_x000D_
08 27 16:50:27 136 W System  (25966): ClassLoader referenced unknown path:  data user 0 com xiaomi xmsf app mpcd lib_x000D_
08 27 16:50:27 519 D Xiaomi  (25966): process    com xiaomi xmsf:pushservice_x000D_
08 27 16:50:27 519 D Xiaomi  (25966): package    com xiaomi xmsf_x000D_
08 27 16:50:28 535 D Xiaomi  (25966): process    com xiaomi xmsf:pushservice_x000D_
08 27 16:50:28 535 D Xiaomi  (25966): package    com xiaomi xmsf_x000D_
08 27 16:50:30 601 D Xiaomi  (25966): process    com xiaomi xmsf:pushservice_x000D_
08 27 16:50:30 601 D Xiaomi  (25966): package    com xiaomi xmsf_x000D_
08 27 16:50:31 650 D Xiaomi  (25966): process    com xiaomi xmsf:pushservice_x000D_
08 27 16:50:31 650 D Xiaomi  (25966): package    com xiaomi xmsf_x000D_
08 27 16:50:32 683 D Xiaomi  (25966): process    com xiaomi xmsf:pushservice_x000D_
08 27 16:50:32 683 D Xiaomi  (25966): package    com xiaomi xmsf_x000D_
08 27 16:50:33 713 D Xiaomi  (25966): process    com xiaomi xmsf:pushservice_x000D_
08 27 16:50:33 713 D Xiaomi  (25966): package    com xiaomi xmsf_x000D_
08 27 16:50:34 743 D Xiaomi  (25966): process    com xiaomi xmsf:pushservice_x000D_
08 27 16:50:34 743 D Xiaomi  (25966): package    com xiaomi xmsf_x000D_
08 27 16:50:35 801 D Xiaomi  (25966): process    com xiaomi xmsf:pushservice_x000D_
08 27 16:50:35 801 D Xiaomi  (25966): package    com xiaomi xmsf_x000D_
08 27 16:50:36 860 D Xiaomi  (25966): process    com xiaomi xmsf:pushservice_x000D_
08 27 16:50:36 860 D Xiaomi  (25966): package    com xiaomi xmsf_x000D_
08 27 16:50:37 886 D Xiaomi  (25966): process    com xiaomi xmsf:pushservice_x000D_
08 27 16:50:37 886 D Xiaomi  (25966): package    com xiaomi xmsf_x000D_
08 27 16:50:41 093 I ActivityManager( 1388): START u0  cmp com xiaomi xmsf top trumeet mipushframework wizard support CheckAppSupportActivity  from uid 10171 pid 25966 on display 0_x000D_
08 27 16:50:41 097 D ActivityTrigger( 1388): activityStartTrigger: Activity is Triggerred in full screen ApplicationInfo 116fb88 com xiaomi xmsf _x000D_
08 27 16:50:41 097 E ActivityTrigger( 1388): activityStartTrigger: not whiteListedcom xiaomi xmsf top trumeet mipushframework wizard support CheckAppSupportActivity 105_x000D_
08 27 16:50:41 102 D ActivityTrigger( 1388): activityResumeTrigger: The activity in ApplicationInfo 116fb88 com xiaomi xmsf  is now in focus and seems to be in full screen mode_x000D_
08 27 16:50:41 102 E ActivityTrigger( 1388): activityResumeTrigger: not whiteListedcom xiaomi xmsf top trumeet mipushframework wizard support CheckAppSupportActivity 105_x000D_
08 27 16:50:41 118 D ActivityTrigger( 1388): activityResumeTrigger: The activity in ApplicationInfo 116fb88 com xiaomi xmsf  is now in focus and seems to be in full screen mode_x000D_
08 27 16:50:41 118 E ActivityTrigger( 1388): activityResumeTrigger: not whiteListedcom xiaomi xmsf top trumeet mipushframework wizard support CheckAppSupportActivity 105_x000D_
08 27 16:50:41 185 I ActivityManager( 1388): Displayed com xiaomi xmsf top trumeet mipushframework wizard support CheckAppSupportActivity:  67ms_x000D_
08 27 16:50:41 229 D SystemServicesProxy( 2205): getRecentTasks: com xiaomi xmsf  647_x000D_
08 27 16:50:41 233 I CheckSupportUtils(25966): Handle receiver: com xiaomi xmsf push service receivers MiuiPushMessageReceiver  enabled: true_x000D_
08 27 16:50:41 233 D CheckSupportUtils(25966): Pkg com xiaomi xmsf support receiver: true_x000D_
08 27 16:50:45 064 I ActivityManager( 1388): START u0  cmp com xiaomi xmsf top trumeet mipushframework wizard CheckDozeActivity  from uid 10171 pid 25966 on display 0_x000D_
08 27 16:50:45 066 D ActivityTrigger( 1388): activityStartTrigger: Activity is Triggerred in full screen ApplicationInfo 116fb88 com xiaomi xmsf _x000D_
08 27 16:50:45 067 E ActivityTrigger( 1388): activityStartTrigger: not whiteListedcom xiaomi xmsf top trumeet mipushframework wizard CheckDozeActivity 105_x000D_
08 27 16:50:45 072 D ActivityTrigger( 1388): activityResumeTrigger: The activity in ApplicationInfo 116fb88 com xiaomi xmsf  is now in focus and seems to be in full screen mode_x000D_
08 27 16:50:45 072 E ActivityTrigger( 1388): activityResumeTrigger: not whiteListedcom xiaomi xmsf top trumeet mipushframework wizard CheckDozeActivity 105_x000D_
08 27 16:50:45 084 D ActivityTrigger( 1388): activityResumeTrigger: The activity in ApplicationInfo 116fb88 com xiaomi xmsf  is now in focus and seems to be in full screen mode_x000D_
08 27 16:50:45 084 E ActivityTrigger( 1388): activityResumeTrigger: not whiteListedcom xiaomi xmsf top trumeet mipushframework wizard CheckDozeActivity 105_x000D_
08 27 16:50:45 100 I ActivityManager( 1388): START u0  cmp com xiaomi xmsf top trumeet mipushframework wizard CheckRunInBackgroundActivity  from uid 10171 pid 25966 on display 0_x000D_
08 27 16:50:45 101 D ActivityTrigger( 1388): activityStartTrigger: Activity is Triggerred in full screen ApplicationInfo 116fb88 com xiaomi xmsf _x000D_
08 27 16:50:45 101 E ActivityTrigger( 1388): activityStartTrigger: not whiteListedcom xiaomi xmsf top trumeet mipushframework wizard CheckRunInBackgroundActivity 105_x000D_
08 27 16:50:45 102 D ActivityTrigger( 1388): activityResumeTrigger: The activity in ApplicationInfo 116fb88 com xiaomi xmsf  is now in focus and seems to be in full screen mode_x000D_
08 27 16:50:45 102 E ActivityTrigger( 1388): activityResumeTrigger: not whiteListedcom xiaomi xmsf top trumeet mipushframework wizard CheckRunInBackgroundActivity 105_x000D_
08 27 16:50:45 107 D ActivityTrigger( 1388): activityResumeTrigger: The activity in ApplicationInfo 116fb88 com xiaomi xmsf  is now in focus and seems to be in full screen mode_x000D_
08 27 16:50:45 107 E ActivityTrigger( 1388): activityResumeTrigger: not whiteListedcom xiaomi xmsf top trumeet mipushframework wizard CheckRunInBackgroundActivity 105_x000D_
08 27 16:50:45 113 I ActivityManager( 1388): START u0  cmp com xiaomi xmsf top trumeet mipushframework wizard fake FakeBuildActivity  from uid 10171 pid 25966 on display 0_x000D_
08 27 16:50:45 114 D ActivityTrigger( 1388): activityStartTrigger: Activity is Triggerred in full screen ApplicationInfo 116fb88 com xiaomi xmsf _x000D_
08 27 16:50:45 114 E ActivityTrigger( 1388): activityStartTrigger: not whiteListedcom xiaomi xmsf top trumeet mipushframework wizard fake FakeBuildActivity 105_x000D_
08 27 16:50:45 115 D ActivityTrigger( 1388): activityResumeTrigger: The activity in ApplicationInfo 116fb88 com xiaomi xmsf  is now in focus and seems to be in full screen mode_x000D_
08 27 16:50:45 115 E ActivityTrigger( 1388): activityResumeTrigger: not whiteListedcom xiaomi xmsf top trumeet mipushframework wizard fake FakeBuildActivity 105_x000D_
08 27 16:50:45 120 D ActivityTrigger( 1388): activityResumeTrigger: The activity in ApplicationInfo 116fb88 com xiaomi xmsf  is now in focus and seems to be in full screen mode_x000D_
08 27 16:50:45 120 E ActivityTrigger( 1388): activityResumeTrigger: not whiteListedcom xiaomi xmsf top trumeet mipushframework wizard fake FakeBuildActivity 105_x000D_
08 27 16:50:45 205 I ActivityManager( 1388): Displayed com xiaomi xmsf top trumeet mipushframework wizard fake FakeBuildActivity:  85ms (total  120ms)_x000D_
08 27 16:50:45 228 D SystemServicesProxy( 2205): getRecentTasks: com xiaomi xmsf  647_x000D_
08 27 16:50:46 970 I ActivityManager( 1388): START u0  cmp com xiaomi xmsf top trumeet mipushframework wizard FinishWizardActivity  from uid 10171 pid 25966 on display 0_x000D_
08 27 16:50:46 973 D ActivityTrigger( 1388): activityStartTrigger: Activity is Triggerred in full screen ApplicationInfo 116fb88 com xiaomi xmsf _x000D_
08 27 16:50:46 974 E ActivityTrigger( 1388): activityStartTrigger: not whiteListedcom xiaomi xmsf top trumeet mipushframework wizard FinishWizardActivity 105_x000D_
08 27 16:50:46 981 D ActivityTrigger( 1388): activityResumeTrigger: The activity in ApplicationInfo 116fb88 com xiaomi xmsf  is now in focus and seems to be in full screen mode_x000D_
08 27 16:50:46 981 E ActivityTrigger( 1388): activityResumeTrigger: not whiteListedcom xiaomi xmsf top trumeet mipushframework wizard FinishWizardActivity 105_x000D_
08 27 16:50:47 001 D ActivityTrigger( 1388): activityResumeTrigger: The activity in ApplicationInfo 116fb88 com xiaomi xmsf  is now in focus and seems to be in full screen mode_x000D_
08 27 16:50:47 001 E ActivityTrigger( 1388): activityResumeTrigger: not whiteListedcom xiaomi xmsf top trumeet mipushframework wizard FinishWizardActivity 105_x000D_
08 27 16:50:47 065 I ActivityManager( 1388): Displayed com xiaomi xmsf top trumeet mipushframework wizard FinishWizardActivity:  63ms_x000D_
08 27 16:50:47 126 D SystemServicesProxy( 2205): getRecentTasks: com xiaomi xmsf  647_x000D_
08 27 16:50:49 242 I ActivityManager( 1388): START u0  cmp com xiaomi xmsf top trumeet mipushframework settings MainActivity  from uid 10171 pid 25966 on display 0_x000D_
08 27 16:50:49 242 W ActivityManager( 1388): startActivity called from finishing ActivityRecord 51c93c9 u0 com xiaomi xmsf top trumeet mipushframework wizard FinishWizardActivity t647 f   forcing Intent FLAG ACTIVITY NEW TASK for: Intent   cmp com xiaomi xmsf top trumeet mipushframework settings MainActivity  _x000D_
08 27 16:50:49 245 D ActivityTrigger( 1388): activityStartTrigger: Activity is Triggerred in full screen ApplicationInfo 116fb88 com xiaomi xmsf _x000D_
08 27 16:50:49 245 E ActivityTrigger( 1388): activityStartTrigger: not whiteListedcom xiaomi xmsf top trumeet mipushframework settings MainActivity 105_x000D_
08 27 16:50:49 247 D ActivityTrigger( 1388): activityResumeTrigger: The activity in ApplicationInfo 116fb88 com xiaomi xmsf  is now in focus and seems to be in full screen mode_x000D_
08 27 16:50:49 247 E ActivityTrigger( 1388): activityResumeTrigger: not whiteListedcom xiaomi xmsf top trumeet mipushframework settings MainActivity 105_x000D_
08 27 16:50:49 254 D ActivityTrigger( 1388): activityResumeTrigger: The activity in ApplicationInfo 116fb88 com xiaomi xmsf  is now in focus and seems to be in full screen mode_x000D_
08 27 16:50:49 254 E ActivityTrigger( 1388): activityResumeTrigger: not whiteListedcom xiaomi xmsf top trumeet mipushframework settings MainActivity 105_x000D_
08 27 16:50:49 351 D Xiaomi  (25966): process    com xiaomi xmsf:pushservice_x000D_
08 27 16:50:49 351 D Xiaomi  (25966): package    com xiaomi xmsf_x000D_
08 27 16:50:49 370 I ActivityManager( 1388): Displayed com xiaomi xmsf top trumeet mipushframework settings MainActivity:  115ms_x000D_
08 27 16:50:49 376 D SystemServicesProxy( 2205): getRecentTasks: com xiaomi xmsf  648_x000D_
_x000D_
 logcat txt (https:  github com Trumeet MiPushFramework files 1254241 logcat txt)_x000D_
</t>
  </si>
  <si>
    <t>OneBusAway-onebusaway-android-790</t>
  </si>
  <si>
    <t>NPE on real-time directions refresh</t>
  </si>
  <si>
    <t xml:space="preserve">  Summary:   _x000D_
_x000D_
I m seeing a large number of NPEs (278 in last week  2618 total  affecting 1301 users) in the Android Developer Console for OBA with the below stack trace:_x000D_
_x000D_
   _x000D_
java lang NullPointerException: _x000D_
  at org onebusaway android directions realtime RealtimeService possibleReschedule (RealtimeService java:124)_x000D_
  at org onebusaway android directions realtime RealtimeService onHandleIntent (RealtimeService java:82)_x000D_
  at android app IntentService ServiceHandler handleMessage (IntentService java:67)_x000D_
  at android os Handler dispatchMessage (Handler java:102)_x000D_
  at android os Looper loop (Looper java:154)_x000D_
  at android os HandlerThread run (HandlerThread java:61)_x000D_
   _x000D_
_x000D_
  Steps to reproduce:   _x000D_
_x000D_
Not sure   I m assuming planning a trip and wait for the real time refresh to happen_x000D_
_x000D_
  Expected behavior:   _x000D_
_x000D_
Not crash_x000D_
_x000D_
  Observed behavior:   _x000D_
_x000D_
App crashes_x000D_
_x000D_
  Device and Android version:   _x000D_
_x000D_
Wide variety   Android versions 5 1 to 7 0  LG  Samsung  and Pixel </t>
  </si>
  <si>
    <t>zom-Zom-Android-XMPP-293</t>
  </si>
  <si>
    <t>App freezes when I select 'Verify Contact'</t>
  </si>
  <si>
    <t xml:space="preserve">Sometimes it works and the contact is verified  and sometimes the app crashes  This is on the Galaxy s7 with the latest build and latest OS </t>
  </si>
  <si>
    <t>sockeqwe-mosby-271</t>
  </si>
  <si>
    <t>ViewPager on back stack calls Presenter's method detachView(retainInstance=true)</t>
  </si>
  <si>
    <t>Hi Hannes _x000D_
_x000D_
I m having some issues with a  ViewPager  in the back stack _x000D_
_x000D_
  Mosby Version:  _x000D_
 mvp common:3 0 4  and  viewstate:3 0 4 _x000D_
_x000D_
_x000D_
  Expected behavior  _x000D_
I have a  Fragment  called   A   that contains a  ViewPager  that contains Fragments   B   and   C    When Fragment   A   is put on the back stack  the method  detachView(retainInstance false)  gets called  At the same time   detachView(retainInstance false)  is supposed to be called for Fragments   B   and   C   _x000D_
_x000D_
_x000D_
  Actual behavior (include a stacktrace if crash)  _x000D_
When Fragment A is put on the back stack  the following happens:_x000D_
  Fragment A Presenter:  detachView(retainInstance false) _x000D_
  Fragment B Presenter:  detachView(retainInstance true) _x000D_
  Fragment C Presenter:  detachView(retainInstance true) _x000D_
_x000D_
As you can see  retainInstance is true for both   B   and   C    but it should be false _x000D_
_x000D_
_x000D_
  Steps to reproduce the behavior or link to a sample repository  _x000D_
1  Create Fragment A containing a ViewPager that contains Fragments B and C _x000D_
2  All Fragments call  setRetainInstance(true)  in the  onCreate()  method _x000D_
3  The MVP delegate is instantiated like this:  new FragmentMvpViewStateDelegateImpl  (this  this  true  false)   _x000D_
4  Now put Fragment A on the backstack and see what happens _x000D_
_x000D_
Thanks  Thomas</t>
  </si>
  <si>
    <t>permissions-dispatcher-PermissionsDispatcher-356</t>
  </si>
  <si>
    <t>sample app crashes when returning from setting</t>
  </si>
  <si>
    <t>when current activity jump to system setting page to set some permissions  user select close one permission and then switch current activity again the app crashed but if user don t operation or select open one permission this case will not happen</t>
  </si>
  <si>
    <t>ankidroid-Anki-Android-4691</t>
  </si>
  <si>
    <t>Anki crashes everytime i sync</t>
  </si>
  <si>
    <t xml:space="preserve">       Research_x000D_
 Enter an   x   character to confirm the points below: _x000D_
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_x000D_
       Reproduction Steps_x000D_
1  Do something that will require sync_x000D_
2  Sync_x000D_
3  _x000D_
_x000D_
_x000D_
       Expected Result_x000D_
_x000D_
Go back to normal_x000D_
_x000D_
       Actual Result_x000D_
_x000D_
Crash of the app_x000D_
_x000D_
       Debug info_x000D_
Refer to the  support page (https:  ankidroid org docs help html) if you are unsure where to get the  debug info  _x000D_
_x000D_
AnkiDroid Version   2 8 2_x000D_
_x000D_
Android Version   8 0 0_x000D_
_x000D_
ACRA UUID   8ad98706 43aa 4b83 885e 5a857662aebe_x000D_
_x000D_
       Notes_x000D_
_x000D_
I reinstalled Ankidroid  removed everything  tried the last beta  nothing solves it  it just crashes right after syncing  I can open the app afterwards and sync was successful but its very annoying since i set to sync very often to avoid forgetting  It appeared all of the sudden  was working fine before  i did some cleaning on my desktop Anki client and then this bug started to appear on Ankidroid  Tried rebuild databese  check media  nothing fixes it  _x000D_
_x000D_
This also have the effect of not being able to restore collection from APKG  This time  Ankidroid crashes before even importing  so its actually not possible  I suspect there may be some incompatibility between how Anki computer builds the database vs how Ankidroid expects a database to be_x000D_
_x000D_
</t>
  </si>
  <si>
    <t>google-ExoPlayer-3215</t>
  </si>
  <si>
    <t>libstagefright.so SIGSEGV on various Android 7/7.1 devices after upgrading to 2.5.1</t>
  </si>
  <si>
    <t xml:space="preserve">    Issue description_x000D_
After upgrading ExoPlayer to 2 5 1 (from 2 4 4) we are seeing a lot of user reports of a  libstagefright so  SIGSEGV  Playback starts  but a crash occurs when the player is released  This may be specific to  Widevine DASH   as the demo app will not crash using the  Youtube DASH  demos  while it crashes the same as our application on  Widevine DASH  demos _x000D_
_x000D_
I have a feeling this may be related to the recent CENC support added:_x000D_
https:  github com google ExoPlayer issues 1989_x000D_
But I also don t know what I m talking about  so who knows  )_x000D_
_x000D_
I had a quick play at making  DefaultDrmSessionManager  return  false  for  canAquireSession  if the type was  cenc  etc  (that whole conditional)  but ExoPlayer never seemed to call that method at all  Will fiddle a bit more  but thought I d raise this ASAP _x000D_
_x000D_
A remote colleague has a device that can reproduce the crash (Motorola G5 Plus)  but there s a bit of a lag getting debug information  Sorry if this contains limited information _x000D_
_x000D_
    Reproduction steps_x000D_
1  Launch the demo app on an effected device_x000D_
2  Start a Widevine DASH demo ( WV: Secure SD   HD (cenc MP4 H264)  definitely reproduces this)_x000D_
3  Let playback begin_x000D_
4  Press back leaving playback  releasing the player_x000D_
5  Crash should occur_x000D_
_x000D_
    Link to test content_x000D_
Reproducible in the demo  WV: Secure SD   HD (cenc MP4 H264)   so not required _x000D_
_x000D_
    Version of ExoPlayer being used_x000D_
2 5 1_x000D_
_x000D_
    Device(s) and version(s) of Android being used_x000D_
Seems to be 7 0 7 1 specific  but multiple devices  Easily reproducible  as it occurs from what I can tell any time when releasing the player after playback has begun _x000D_
_x000D_
Here are the play store device version graphics:_x000D_
  image (https:  user images githubusercontent com 237995 29806229 90d6f9c0 8cd1 11e7 9a9e 79a12989b6d1 png)_x000D_
_x000D_
    A full bug report captured from the device_x000D_
Here s a zipped  adb bugreport   libstagefright widevine dash crash log  from our application ( iflix play dbg ) _x000D_
 libstagefright widevine dash crash zip (https:  github com google ExoPlayer files 1259223 libstagefright widevine dash crash zip)_x000D_
_x000D_
</t>
  </si>
  <si>
    <t>OneBusAway-onebusaway-android-791</t>
  </si>
  <si>
    <t>Real-time trip planning monitoring occasionally returns empty bundle</t>
  </si>
  <si>
    <t xml:space="preserve">  Summary:   _x000D_
_x000D_
This is the root cause behind https:  github com OneBusAway onebusaway android issues 790 which was causing the below NPE:_x000D_
_x000D_
   _x000D_
java lang NullPointerException: _x000D_
  at org onebusaway android directions realtime RealtimeService possibleReschedule (RealtimeService java:124)_x000D_
  at org onebusaway android directions realtime RealtimeService onHandleIntent (RealtimeService java:82)_x000D_
  at android app IntentService ServiceHandler handleMessage (IntentService java:67)_x000D_
  at android os Handler dispatchMessage (Handler java:102)_x000D_
  at android os Looper loop (Looper java:154)_x000D_
  at android os HandlerThread run (HandlerThread java:61)_x000D_
   _x000D_
_x000D_
We need to figure out why sometimes the bundle from  TripResultsFragment  that is passed to  RealtimeService  in line 337    RealtimeService start(getActivity()  getArguments())   is empty _x000D_
_x000D_
For a quick fix  I m going to add code to fix https:  github com OneBusAway onebusaway android issues 790 just to avoid the NPE and drop scheduling the check for real time directions changes   But  we need to determine the root cause  which is this issue _x000D_
_x000D_
  Steps to reproduce:   _x000D_
_x000D_
Not sure   plan a trip so that  RealtimeService start(getActivity()  getArguments())   is executed in  TripResultsFragment  _x000D_
_x000D_
  Expected behavior:   _x000D_
_x000D_
Provide the trip objects in the bundle passed to  RealtimeService _x000D_
_x000D_
  Observed behavior:   _x000D_
_x000D_
It appears the bundle is empty   see https:  github com OneBusAway onebusaway android issues 790 _x000D_
_x000D_
  Device and Android version:   _x000D_
_x000D_
Wide variety   Android versions 5 1 to 7 0  LG  Samsung  and Pixel   These are from crash reports in the Android Developer Console </t>
  </si>
  <si>
    <t>kontalk-androidclient-1055</t>
  </si>
  <si>
    <t>Concurrency crash while playing audio</t>
  </si>
  <si>
    <t xml:space="preserve">Just one crash  but do a quick investigation anyway _x000D_
_x000D_
   _x000D_
java lang IllegalStateException_x000D_
       at android media MediaPlayer  setDataSource(MediaPlayer java)_x000D_
       at android media MediaPlayer setDataSource(MediaPlayer java:1275)_x000D_
       at android media MediaPlayer setDataSource(MediaPlayer java:1260)_x000D_
       at android media MediaPlayer setDataSource(MediaPlayer java:1217)_x000D_
       at android media MediaPlayer setDataSource(MediaPlayer java:1144)_x000D_
       at org kontalk ui AudioFragment preparePlayer(AudioFragment java:146)_x000D_
       at org kontalk ui AudioFragment preparePlayer(AudioFragment java:123)_x000D_
       at org kontalk ui AbstractComposeFragment prepareAudio(AbstractComposeFragment java:2095)_x000D_
       at org kontalk ui AbstractComposeFragment buttonClick(AbstractComposeFragment java:2084)_x000D_
       at org kontalk ui view AudioContentView onClick(AudioContentView java:145)_x000D_
       at android view View performClick(View java:5076)_x000D_
       at android view View PerformClick run(View java:20279)_x000D_
       at android os Handler handleCallback(Handler java:739)_x000D_
       at android os Handler dispatchMessage(Handler java:95)_x000D_
       at android os Looper loop(Looper java:135)_x000D_
       at android app ActivityThread main(ActivityThread java:5930)_x000D_
       at java lang reflect Method invoke(Method java)_x000D_
       at java lang reflect Method invoke(Method java:372)_x000D_
       at com android internal os ZygoteInit MethodAndArgsCaller run(ZygoteInit java:1405)_x000D_
       at com android internal os ZygoteInit main(ZygoteInit java:1200)_x000D_
   </t>
  </si>
  <si>
    <t>ccrama-Slide-2521</t>
  </si>
  <si>
    <t>Major slowdown often leading to crashes when sliding through comments</t>
  </si>
  <si>
    <t>Slide version: 5 6 5 1 alpha4_x000D_
Android version: N_x000D_
_x000D_
I get major slowdown issues when I get to the end of a page when sliding through comments  Often it s so major that it causes my app to crash _x000D_
_x000D_
I believe this issue and  2441 may be related</t>
  </si>
  <si>
    <t>DoubleSymmetry-react-native-track-player-35</t>
  </si>
  <si>
    <t>[iOS] Crash when artwork contains æ</t>
  </si>
  <si>
    <t xml:space="preserve">It seems that when the artwork URL has an   in it  the app crashes _x000D_
_x000D_
It s not a valid URL  I know  but it probably shouldn t make the app crash   </t>
  </si>
  <si>
    <t>NeXT-Workshops-mindroid-81</t>
  </si>
  <si>
    <t>App/EV3: Busy waiting loop without delay crashes App/EV3App</t>
  </si>
  <si>
    <t xml:space="preserve">When having a busy waiting loop without delay in it  the App and or the EV3App crashes _x000D_
_x000D_
To discuss: How to prevent this  Throw an exception if too many messages are being sent _x000D_
_x000D_
To check: What happens in the logcat  Exception that could be caught </t>
  </si>
  <si>
    <t>nextcloud-android-1469</t>
  </si>
  <si>
    <t>User account corrupts - 2.0.0-RC[2345]</t>
  </si>
  <si>
    <t xml:space="preserve">    Actual behaviour_x000D_
  Set up new installation of Nextcloud client on phone_x000D_
  Connect to nextcloud server with username and password_x000D_
  User account as shown in app changes from full name   username  to GUID   GUID_x000D_
  App crashes_x000D_
_x000D_
    Expected behaviour_x000D_
  User account remains as showing username  instead of GUID_x000D_
  No app crashes_x000D_
 _x000D_
    Steps to reproduce_x000D_
_x000D_
This has been totally reproducible for me  with every 2 0 0 RC so far _x000D_
_x000D_
1 4 2 from F Droid works fine _x000D_
_x000D_
1  Fresh install of application (RC4) after uninstalling previous in order to clear data_x000D_
2  First run wizard comes up  I successfully provide hostname  username and password and log in to my Nextcloud server (version 10 0 if that makes a difference)_x000D_
3  Look at list of accounts  it shows up with two lines (top line: Firstname Lastname  bottom line: username owncloudhostname) and my photo  as I d expect   so far  all good  Clicking the drop down here  and choosing  Manage Accounts  shows me the same detail at this point _x000D_
5  I go and do something else on my phone  Could be anything  I even tried just clicking on a different activity in the NextCloud client (e g   Activities )_x000D_
6  When I come back into nextcloud (I have literally not done anything else in the nextcloud app yet) I look at the list of accounts in the app  Both my full name and my username have been replaced with my GUID and my photo is gone_x000D_
6  I go to  manage accounts   and do not click on any accounts _x000D_
7  In the list  my one account (with GUID now) is shown_x000D_
8  I wait a short while  Nextcloud then crashes ( Nextcloud has stopped   Open App Again   Send Feedback _x000D_
_x000D_
_x000D_
    Environment data_x000D_
Android version: 7 0_x000D_
_x000D_
Device model: Samsung S7 Edge_x000D_
_x000D_
Stock or customized system: Stock_x000D_
_x000D_
Nextcloud app version: 2 0 0RC 2345 _x000D_
_x000D_
Nextcloud server version: 10 0_x000D_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</si>
  <si>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tanrabad-survey-38</t>
  </si>
  <si>
    <t xml:space="preserve">     in android support v7 widget RecyclerView State assertLayoutStep
  Number of crashes: 1
  Impacted devices: 1
There s a lot more information about this crash on crashlytics com:
 https:  fabric io tanrabad android apps org tanrabad survey issues 59a7981abe077a4dccde4c5a utm medium service hooks github utm source issue impact (https:  fabric io tanrabad android apps org tanrabad survey issues 59a7981abe077a4dccde4c5a utm medium service hooks github utm source issue impact)</t>
  </si>
  <si>
    <t>getodk-collect-1393</t>
  </si>
  <si>
    <t>Crash in form list activities in v1.10.0 beta 0 from Play Store</t>
  </si>
  <si>
    <t xml:space="preserve">     Software and hardware versions _x000D_
Collect v1 10 0 beta 0_x000D_
_x000D_
     Problem description_x000D_
Crash when opening any of the activities with form or instance lists _x000D_
_x000D_
     Steps to reproduce the problem_x000D_
Install beta 0   from the Play Store    tap on any of the activities that list forms _x000D_
_x000D_
     Expected behavior_x000D_
No crash _x000D_
_x000D_
     Other information _x000D_
   _x000D_
08 30 21:46:10 801 28840 28840 E AndroidRuntime: java lang NullPointerException: Attempt to invoke virtual method  void android support v7 widget SearchView setQueryHint(java lang CharSequence)  on a null object reference_x000D_
08 30 21:46:10 801 28840 28840 E AndroidRuntime: 	at org odk collect android activities AppListActivity onCreateOptionsMenu(AppListActivity java:171)_x000D_
08 30 21:46:10 801 28840 28840 E AndroidRuntime: 	at org odk collect android activities FormChooserList onCreateOptionsMenu(FormChooserList java:47)_x000D_
08 30 21:46:10 801 28840 28840 E AndroidRuntime: 	at android app Activity onCreatePanelMenu(Activity java:3146)_x000D_
08 30 21:46:10 801 28840 28840 E AndroidRuntime: 	at android support v4 app FragmentActivity onCreatePanelMenu(FragmentActivity java:362)_x000D_
08 30 21:46:10 801 28840 28840 E AndroidRuntime: 	at android support v7 view WindowCallbackWrapper onCreatePanelMenu(WindowCallbackWrapper java:98)_x000D_
08 30 21:46:10 801 28840 28840 E AndroidRuntime: 	at android support v7 app AppCompatDelegateImplBase AppCompatWindowCallbackBase onCreatePanelMenu(AppCompatDelegateImplBase java:335)_x000D_
08 30 21:46:10 801 28840 28840 E AndroidRuntime: 	at android support v7 view WindowCallbackWrapper onCreatePanelMenu(WindowCallbackWrapper java:98)_x000D_
08 30 21:46:10 801 28840 28840 E AndroidRuntime: 	at android support v7 app ToolbarActionBar populateOptionsMenu(ToolbarActionBar java:454)_x000D_
08 30 21:46:10 801 28840 28840 E AndroidRuntime: 	at android support v7 app ToolbarActionBar 1 run(ToolbarActionBar java:61)_x000D_
08 30 21:46:10 801 28840 28840 E AndroidRuntime: 	at android os Handler handleCallback(Handler java:751)_x000D_
08 30 21:46:10 801 28840 28840 E AndroidRuntime: 	at android os Handler dispatchMessage(Handler java:95)_x000D_
08 30 21:46:10 801 28840 28840 E AndroidRuntime: 	at android os Looper loop(Looper java:154)_x000D_
08 30 21:46:10 801 28840 28840 E AndroidRuntime: 	at android app ActivityThread main(ActivityThread java:6123)_x000D_
08 30 21:46:10 801 28840 28840 E AndroidRuntime: 	at java lang reflect Method invoke(Native Method)_x000D_
08 30 21:46:10 801 28840 28840 E AndroidRuntime: 	at com android internal os ZygoteInit MethodAndArgsCaller run(ZygoteInit java:867)_x000D_
08 30 21:46:10 801 28840 28840 E AndroidRuntime: 	at com android internal os ZygoteInit main(ZygoteInit java:757)_x000D_
   </t>
  </si>
  <si>
    <t>niclabs-adkintunmobile-androidclient-180</t>
  </si>
  <si>
    <t>ConnectivityTestPreferenceFragment.java line 145</t>
  </si>
  <si>
    <t xml:space="preserve">     in cl niclabs adkintunmobile views activemeasurements viewfragments ConnectivityTestPreferenceFragment onPreferenceTreeClick
  Number of crashes: 1
  Impacted devices: 1
There s a lot more information about this crash on crashlytics com:
 https:  fabric io niclabs android apps cl niclabs adkintunmobile issues 59a90734be077a4dccef788b utm medium service hooks github utm source issue impact (https:  fabric io niclabs android apps cl niclabs adkintunmobile issues 59a90734be077a4dccef788b utm medium service hooks github utm source issue impact)</t>
  </si>
  <si>
    <t>EnventureEnterprises-EnventureAndroid-MVP-4</t>
  </si>
  <si>
    <t>Share button in the reports tab works on some phones and not others. (Permissions issue)</t>
  </si>
  <si>
    <t xml:space="preserve">While using the app  sometimes the share button worked  didn t work while trying out on another phone (non responsive)  In one scenario the app crashed </t>
  </si>
  <si>
    <t>jruesga-PhotoPhase-32</t>
  </si>
  <si>
    <t>Crash when opening album list</t>
  </si>
  <si>
    <t xml:space="preserve">After the app has finished scanning my device for albums  it crashed (possibly due to large number of images in one folder) _x000D_
_x000D_
Stack trace:_x000D_
java lang RuntimeException: An error occurred while executing doInBackground()_x000D_
	at android os AsyncTask 3 done(AsyncTask java:309)_x000D_
	at java util concurrent FutureTask finishCompletion(FutureTask java:354)_x000D_
	at java util concurrent FutureTask setException(FutureTask java:223)_x000D_
	at java util concurrent FutureTask run(FutureTask java:242)_x000D_
	at java util concurrent ThreadPoolExecutor runWorker(ThreadPoolExecutor java:1113)_x000D_
	at java util concurrent ThreadPoolExecutor Worker run(ThreadPoolExecutor java:588)_x000D_
	at java lang Thread run(Thread java:818)_x000D_
Caused by: java lang NullPointerException: Attempt to invoke virtual method  int android graphics Bitmap getWidth()  on a null object reference_x000D_
	at com ruesga android wallpapers photophase e a a(SourceFile:216)_x000D_
	at com ruesga android wallpapers photophase e a b(SourceFile:157)_x000D_
	at com ruesga android wallpapers photophase d a a(SourceFile:122)_x000D_
	at com ruesga android wallpapers photophase d a doInBackground(SourceFile:34)_x000D_
	at android os AsyncTask 2 call(AsyncTask java:295)_x000D_
	at java util concurrent FutureTask run(FutureTask java:237)_x000D_
	    3 more_x000D_
</t>
  </si>
  <si>
    <t>aricneto-TwistyTimer-101</t>
  </si>
  <si>
    <t>Inspection alert crashes</t>
  </si>
  <si>
    <t>App will crash if user does not have a sound output  (probably because ToneGenerator doesn t check if it s null)</t>
  </si>
  <si>
    <t>walkap-X-android-24</t>
  </si>
  <si>
    <t>user register problem</t>
  </si>
  <si>
    <t>when you register does not save data on the database and goes directly to the option fragment causing the crash</t>
  </si>
  <si>
    <t>stefan-niedermann-nextcloud-notes-252</t>
  </si>
  <si>
    <t>App crashes when rotating in edit fragment</t>
  </si>
  <si>
    <t xml:space="preserve"> schaarsc_x000D_
_x000D_
   x  The app crashes when rotating with active  NoteEditFragment :_x000D_
   _x000D_
java lang NullPointerException: Attempt to invoke virtual method  void android app Activity runOnUiThread(java lang Runnable)  on a null object reference_x000D_
at it niedermann owncloud notes android fragment NoteEditFragment 2 1 run(NoteEditFragment java:173)_x000D_
at java util TimerThread mainLoop(Timer java:555)_x000D_
at java util TimerThread run(Timer java:505)_x000D_
   _x000D_
   x  When rotating in  NotePreviewFragment   the  NoteEditFragment  is started </t>
  </si>
  <si>
    <t>33mhz-robin-31</t>
  </si>
  <si>
    <t>Crash in timeline after "collapse thread"</t>
  </si>
  <si>
    <t xml:space="preserve">Crash when scrolling to a certain post _x000D_
_x000D_
Steps to reproduce:_x000D_
1  Open the latest post in timeline _x000D_
2  Open the menu on any of the posts in the thread_x000D_
3  Chose  collapse thread  from the posts menu_x000D_
4  Go back_x000D_
5  Scroll down a bit until the posts is well outside view ( two screens worked)_x000D_
6  Scroll up to the top_x000D_
7  The app crashes before reaching the top  Stracktrace contains ClassCastException from a collapsed post view </t>
  </si>
  <si>
    <t>33mhz-robin-23</t>
  </si>
  <si>
    <t>"Interactions" crashes the app</t>
  </si>
  <si>
    <t xml:space="preserve">When I swipe to the  Mentions  tab and tap the  Interactions  button  the app crashes every time since the update (on a Samsung Galaxy S4 mini) </t>
  </si>
  <si>
    <t>commons-app-apps-android-commons-861</t>
  </si>
  <si>
    <t>Crash when denying run-time permission for location access in NearbyActivity</t>
  </si>
  <si>
    <t xml:space="preserve">I am encountering the following crash when I deny the run time permission for location access when I hit the NearbyActivity_x000D_
_x000D_
 java lang RuntimeException: Failure delivering result ResultInfo who  android:requestPermissions:  request 1  result  1  data Intent   act android content pm action REQUEST PERMISSIONS (has extras)    to activity  fr free nrw commons fr free nrw commons nearby NearbyActivity : java lang IllegalStateException: Can not perform this action after onSaveInstanceState_x000D_
                                                                       at android app ActivityThread deliverResults(ActivityThread java:3699)_x000D_
                                                                       at android app ActivityThread handleSendResult(ActivityThread java:3742)_x000D_
                                                                       at android app ActivityThread  wrap16(ActivityThread java)_x000D_
                                                                       at android app ActivityThread H handleMessage(ActivityThread java:1393)_x000D_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IllegalStateException: Can not perform this action after onSaveInstanceState_x000D_
                                                                       at android support v4 app FragmentManagerImpl checkStateLoss(FragmentManager java:1842)_x000D_
                                                                       at android support v4 app FragmentManagerImpl enqueueAction(FragmentManager java:1860)_x000D_
                                                                       at android support v4 app BackStackRecord commitInternal(BackStackRecord java:650)_x000D_
                                                                       at android support v4 app BackStackRecord commit(BackStackRecord java:609)_x000D_
                                                                       at fr free nrw commons nearby NearbyActivity onRequestPermissionsResult(NearbyActivity java:167)_x000D_
                                                                       at android app Activity dispatchRequestPermissionsResult(Activity java:6553)_x000D_
                                                                       at android app Activity dispatchActivityResult(Activity java:6432)_x000D_
                                                                       at android app ActivityThread deliverResults(ActivityThread java:3695)_x000D_
                                                                       at android app ActivityThread handleSendResult(ActivityThread java:3742) _x000D_
                                                                       at android app ActivityThread  wrap16(ActivityThread java) _x000D_
                                                                       at android app ActivityThread H handleMessage(ActivityThread java:1393) _x000D_
                                                                       at android os Handler dispatchMessage(Handler java:102)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_x000D_
This is cause the app is trying to load the NoPermissionsFragment in the onRequestPermissionsResult  which I think should be fine but clearly its not cause it crashes every time  _x000D_
_x000D_
Secondly  launching a Fragment just to show a simple error message seems way too excessive  Personally  I would just show a dialog with the necessary error message along with 2 buttons  1 with an  OK  text  clicking which would just close the activity and the other with a  Retry  text that would ask the run time permission again  _x000D_
_x000D_
What do you guys think  </t>
  </si>
  <si>
    <t>bumptech-glide-2326</t>
  </si>
  <si>
    <t>App Crash in StrictMode</t>
  </si>
  <si>
    <t xml:space="preserve">  I am using Glide in my app to display the images (like photo app)  when i do the lazy loading of images from server my app is getting crash   _x000D_
_x000D_
Pls find the crash log_x000D_
_x000D_
 E StrictMode: A resource was acquired at attached stack trace but never released  See java io Closeable for information on avoiding resource leaks _x000D_
                                                          java lang Throwable: Explicit termination method  close  not called_x000D_
                                                              at dalvik system CloseGuard open(CloseGuard java:180)_x000D_
                                                              at java net AbstractPlainSocketImpl create(AbstractPlainSocketImpl java:103)_x000D_
                                                              at java net Socket createImpl(Socket java:451)_x000D_
                                                              at java net Socket getImpl(Socket java:517)_x000D_
                                                              at java net Socket setSoTimeout(Socket java:1108)_x000D_
                                                              at com android okhttp Connection connectSocket(Connection java:195)_x000D_
                                                              at com android okhttp Connection connect(Connection java:172)_x000D_
                                                              at com android okhttp Connection connectAndSetOwner(Connection java:367)_x000D_
                                                              at com android okhttp OkHttpClient 1 connectAndSetOwner(OkHttpClient java:130)_x000D_
                                                              at com android okhttp internal http HttpEngine connect(HttpEngine java:329)_x000D_
                                                              at com android okhttp internal http HttpEngine sendRequest(HttpEngine java:246)_x000D_
                                                              at com android okhttp internal huc HttpURLConnectionImpl execute(HttpURLConnectionImpl java:457)_x000D_
                                                              at com android okhttp internal huc HttpURLConnectionImpl connect(HttpURLConnectionImpl java:126)_x000D_
                                                              at com bumptech glide load data HttpUrlFetcher loadDataWithRedirects(HttpUrlFetcher java:101)_x000D_
                                                              at com bumptech glide load data HttpUrlFetcher loadData(HttpUrlFetcher java:53)_x000D_
                                                              at com bumptech glide load model MultiModelLoader MultiFetcher loadData(MultiModelLoader java:95)_x000D_
                                                              at com bumptech glide load engine SourceGenerator startNext(SourceGenerator java:61)_x000D_
                                                              at com bumptech glide load engine DecodeJob runGenerators(DecodeJob java:282)_x000D_
                                                              at com bumptech glide load engine DecodeJob runWrapped(DecodeJob java:252)_x000D_
                                                              at com bumptech glide load engine DecodeJob run(DecodeJob java:222)_x000D_
                                                              at java util concurrent ThreadPoolExecutor runWorker(ThreadPoolExecutor java:1133)_x000D_
                                                              at java util concurrent ThreadPoolExecutor Worker run(ThreadPoolExecutor java:607)_x000D_
                                                              at java lang Thread run(Thread java:761)_x000D_
                                                              at com bumptech glide load engine executor GlideExecutor DefaultThreadFactory 1 run(GlideExecutor java:347) _x000D_
</t>
  </si>
  <si>
    <t>hyb1996-Auto.js-233</t>
  </si>
  <si>
    <t>Bug report</t>
  </si>
  <si>
    <t xml:space="preserve">                    _x000D_
_x000D_
 )app  bug report           github _x000D_
 )app                                   _x000D_
_x000D_
 )   UI                                      trick             id                idName    id(packageName:id idName) findOne    id(idName) findOne     loop  find()        findOne()  (   UI                          )_x000D_
_x000D_
 ) Tasker          autojs                                        launchApp                                           _x000D_
_x000D_
 )    RequestScreenCapture() crash  (ROM LineageOS14 1 android7 1 2)     screencapture java  mImageReader   ImageReader newInstance(screenWidth  screenHeight  PixelFormat RGBA 8888  1)   virtualdisplay   pixel format BGRA 8888  code 0x5  ImageReader   BGRA       RGBA 8888  0x1                    rom   (CyanogenMod    )  _x000D_
_x000D_
autojs    BGRA 8888          _x000D_
_x000D_
Version: 163_x000D_
Android: 25_x000D_
java lang UnsupportedOperationException: The producer output buffer format 0x5 doesn t match the ImageReader s configured buffer format 0x1 _x000D_
	at android media ImageReader nativeImageSetup(Native Method)_x000D_
	at android media ImageReader acquireNextSurfaceImage(ImageReader java:340)_x000D_
	at android media ImageReader acquireNextImage(ImageReader java:394)_x000D_
	at android media ImageReader acquireLatestImage(ImageReader java:287)_x000D_
	at com stardust autojs runtime api image ScreenCapturer 2 onImageAvailable(ScreenCapturer java:93)_x000D_
	at android media ImageReader ListenerHandler handleMessage(ImageReader java:687)_x000D_
	at android os Handler dispatchMessage(Handler java:102)_x000D_
	at android os Looper loop(Looper java:154)_x000D_
	at com stardust autojs runtime api Loopers 2 run(Loopers java:57)_x000D_
	at java lang Thread run(Thread java:761)_x000D_
	at com stardust lang ThreadCompat run(ThreadCompat java:61)_x000D_
_x000D_
 )    capturescreen()       (flymeOS android 6)  50ms          _x000D_
 1              (             1ms           )  _x000D_
_x000D_
Log: 10:49:49 578 D: capture rate: 50(ms)_x000D_
Log: 10:49:49 622 D: sample 0: timestamp 1504406989621  dt   0_x000D_
Log: 10:49:49 680 D: sample 1: timestamp 1504406989679  dt   58_x000D_
Log: 10:49:49 733 D: sample 2: timestamp 1504406989733  dt   54_x000D_
Log: 10:49:50 358 D: sample 3: timestamp 1504406990358  dt   625_x000D_
Log: 10:49:51 355 D: sample 4: timestamp 1504406991354  dt   996_x000D_
Log: 10:49:51 639 D: sample 5: timestamp 1504406991639  dt   285_x000D_
Log: 10:49:51 692 D: sample 6: timestamp 1504406991692  dt   53_x000D_
Log: 10:49:52 351 D: sample 7: timestamp 1504406992350  dt   658_x000D_
Log: 10:49:53 348 D: sample 8: timestamp 1504406993347  dt   997_x000D_
Log: 10:49:54 343 D: sample 9: timestamp 1504406994342  dt   995_x000D_
Log: 10:49:55 346 D: sample 10: timestamp 1504406995346  dt   1004_x000D_
 _x000D_
 )capturescreen()   image timestamp          ( nano sec    ) _x000D_
        dt           Date() getTime()          (0 70ms )_x000D_
_x000D_
Log: 00:32:23 806 D: sample 6 : img timestamp 140716243900132  dt   174311041_x000D_
Log: 00:32:23 838 D: system : t 1504369943772  dt   173_x000D_
Log: 00:32:23 974 D: sample 7 : img timestamp 140716348173424  dt   104273292_x000D_
Log: 00:32:24 001 D: system : t 1504369943943  dt   171_x000D_
Log: 00:32:24 753 D: sample 8 : img timestamp 140717190255216  dt   842081792_x000D_
Log: 00:32:24 784 D: system : t 1504369944717  dt   774_x000D_
_x000D_
 ) findColor()          threshold           0xRRGGBB             _x000D_
    point object          thresold: 123        _x000D_
            2      findColor()  threshold: 0x020202                         (  bug         ) _x000D_
_x000D_
var point   findColor(image testColor  _x000D_
	 	region: testRect _x000D_
	  	algorithm:  diff  _x000D_
	  	threshold: 0x020202 _x000D_
	  	threads:8_x000D_
	   )_x000D_
_x000D_
 )               _x000D_
_x000D_
Version: 163_x000D_
Android: 22_x000D_
java lang IllegalStateException: buffer was freed_x000D_
	at java nio DirectByteBuffer checkNotFreed(DirectByteBuffer java:557)_x000D_
	at java nio DirectByteBuffer checkIsAccessible(DirectByteBuffer java:549)_x000D_
	at java nio DirectByteBuffer get(DirectByteBuffer java:162)_x000D_
	at com stardust autojs runtime api image ColorIterator SequentialIterator nextColor(ColorIterator java:111)_x000D_
	at com stardust autojs runtime api image ColorFinder FindColorRunnable run(ColorFinder java:217)_x000D_
	at java util concurrent ThreadPoolExecutor runWorker(ThreadPoolExecutor java:1112)_x000D_
	at java util concurrent ThreadPoolExecutor Worker run(ThreadPoolExecutor java:587)_x000D_
	at java lang Thread run(Thread java:818)_x000D_
_x000D_
_x000D_
    :  _x000D_
 )   accessibility service   UI   autojs         (  cocos 2d js UI       _x000D_
android view View         ) _x000D_
 )              OCR  _x000D_
_x000D_
        (all above is on 2 0 16 beta2 1)_x000D_
_x000D_
_x000D_
_x000D_
_x000D_
_x000D_
</t>
  </si>
  <si>
    <t>walkap-X-android-27</t>
  </si>
  <si>
    <t>problem with choose the time</t>
  </si>
  <si>
    <t>when you choose the time in add course  the app can crash and when you scroll view the list choose random the hours  we can to do in this way: we insert a  start  input and a  end  input or with a textview or with a timepicker  the best choise depending by easy way to made a simple and fast app (for me textView is best)</t>
  </si>
  <si>
    <t>inaturalist-iNaturalistAndroid-401</t>
  </si>
  <si>
    <t>Disable lanczos image resizing for Android 4</t>
  </si>
  <si>
    <t xml:space="preserve">Causing crashes:_x000D_
https:  fabric io inaturalist android apps org inaturalist android issues 594ed66bbe077a4dcc933390 time last thirty days_x000D_
</t>
  </si>
  <si>
    <t>kontalk-androidclient-1063</t>
  </si>
  <si>
    <t>Crash in location preview</t>
  </si>
  <si>
    <t xml:space="preserve">    Expected behavior_x000D_
Dialog for choosing app to open should appear _x000D_
_x000D_
    Actual behavior_x000D_
Kontalk crashes  IllegalArgumentException: Log tag  PositionAbstractFragment  exceeds limit of 23 characters  It seems that something with your logging is broken _x000D_
_x000D_
    Steps to reproduce_x000D_
1  no google services (especially Gmaps) installed_x000D_
2  no other map services (like Osmand)_x000D_
3  click on a shared location_x000D_
4  click navigate button (or button in right upper corner     screenshot)_x000D_
5  Kontalk crashes_x000D_
_x000D_
  screenshot (https:  user images githubusercontent com 11771774 30128719 f4e35850 9343 11e7 8f04 4c7aeeee6de7 png)_x000D_
_x000D_
    Environment_x000D_
_x000D_
Kontalk version: cb60ee3045f725c1fbcd7882ea178fda12a23cc9 (f droid version)_x000D_
_x000D_
Android version: 7 1 2 (Lineage 14 1)_x000D_
_x000D_
Device model: Xperia Pro  Samsung S III Mini_x000D_
_x000D_
    Logs_x000D_
_x000D_
   _x000D_
09 06 20:26:57 071 19552 19552 W System err: 6  main  INFO org osmdroid views MapView   Using tile source: org osmdroid tileprovider tilesource XYTileSource 53d459b_x000D_
09 06 20:26:57 086 19552 19552 W System err: 21  main  INFO org osmdroid tileprovider modules MapTileFileStorageProviderBase   sdcard state: mounted_x000D_
09 06 20:26:57 104 19552 19552 W System err: 39  main  INFO org osmdroid tileprovider modules MapTileFileStorageProviderBase   sdcard state: mounted_x000D_
09 06 20:26:57 121 19552 19552 W System err: 56  main  INFO org osmdroid tileprovider modules MapTileFileStorageProviderBase   sdcard state: mounted_x000D_
09 06 20:26:57 542 19552 19552 W System err: 477  main  INFO org osmdroid tileprovider MapTileProviderBase   rescale tile cache from 0 to 12_x000D_
09 06 20:26:57 557 19552 19552 W System err: 489  main  INFO org osmdroid tileprovider MapTileProviderBase   Finished rescale in 12ms_x000D_
09 06 20:26:57 587 19552 19552 W System err: 522  main  INFO org osmdroid tileprovider LRUMapTileCache   Tile cache increased from 9 to 15_x000D_
09 06 20:26:57 849 19552 19565 W art     : Suspending all threads took: 9 857ms_x000D_
09 06 20:26:57 959 19552 19565 I art     : Background sticky concurrent mark sweep GC freed 30801(1751KB) AllocSpace objects  14(992KB) LOS objects  0  free  18MB 18MB  paused 20 965ms total 361 907ms_x000D_
09 06 20:26:58 184 19552 19565 I art     : Background partial concurrent mark sweep GC freed 33272(1633KB) AllocSpace objects  16(296KB) LOS objects  40  free  16MB 26MB  paused 8 728ms total 213 287ms_x000D_
09 06 20:26:59 371 19552 19552 D AndroidRuntime: Shutting down VM_x000D_
09 06 20:26:59 378 19552 19552 E AndroidRuntime: FATAL EXCEPTION: main_x000D_
09 06 20:26:59 378 19552 19552 E AndroidRuntime: Process: org kontalk  PID: 19552_x000D_
09 06 20:26:59 378 19552 19552 E AndroidRuntime: java lang IllegalArgumentException: Log tag  PositionAbstractFragment  exceeds limit of 23 characters_x000D_
09 06 20:26:59 378 19552 19552 E AndroidRuntime: _x000D_
09 06 20:26:59 378 19552 19552 E AndroidRuntime: 	at android util Log isLoggable(Native Method)_x000D_
09 06 20:26:59 378 19552 19552 E AndroidRuntime: 	at org kontalk Log e(Log java:321)_x000D_
09 06 20:26:59 378 19552 19552 E AndroidRuntime: 	at org kontalk position PositionAbstractFragment onOptionsItemSelected(PositionAbstractFragment java:228)_x000D_
09 06 20:26:59 378 19552 19552 E AndroidRuntime: 	at android support v4 app Fragment performOptionsItemSelected(Fragment java:2317)_x000D_
09 06 20:26:59 378 19552 19552 E AndroidRuntime: 	at android support v4 app FragmentManagerImpl dispatchOptionsItemSelected(FragmentManager java:3056)_x000D_
09 06 20:26:59 378 19552 19552 E AndroidRuntime: 	at android support v4 app FragmentController dispatchOptionsItemSelected(FragmentController java:353)_x000D_
09 06 20:26:59 378 19552 19552 E AndroidRuntime: 	at android support v4 app FragmentActivity onMenuItemSelected(FragmentActivity java:414)_x000D_
09 06 20:26:59 378 19552 19552 E AndroidRuntime: 	at android support v7 app AppCompatActivity onMenuItemSelected(AppCompatActivity java:195)_x000D_
09 06 20:26:59 378 19552 19552 E AndroidRuntime: 	at android support v7 view WindowCallbackWrapper onMenuItemSelected(WindowCallbackWrapper java:113)_x000D_
09 06 20:26:59 378 19552 19552 E AndroidRuntime: 	at android support v7 view WindowCallbackWrapper onMenuItemSelected(WindowCallbackWrapper java:113)_x000D_
09 06 20:26:59 378 19552 19552 E AndroidRuntime: 	at android support v7 app ToolbarActionBar 2 onMenuItemClick(ToolbarActionBar java:69)_x000D_
09 06 20:26:59 378 19552 19552 E AndroidRuntime: 	at android support v7 widget Toolbar 1 onMenuItemClick(Toolbar java:206)_x000D_
09 06 20:26:59 378 19552 19552 E AndroidRuntime: 	at android support v7 widget ActionMenuView MenuBuilderCallback onMenuItemSelected(ActionMenuView java:776)_x000D_
09 06 20:26:59 378 19552 19552 E AndroidRuntime: 	at android support v7 view menu MenuBuilder dispatchMenuItemSelected(MenuBuilder java:822)_x000D_
09 06 20:26:59 378 19552 19552 E AndroidRuntime: 	at android support v7 view menu MenuItemImpl invoke(MenuItemImpl java:156)_x000D_
09 06 20:26:59 378 19552 19552 E AndroidRuntime: 	at android support v7 view menu MenuBuilder performItemAction(MenuBuilder java:969)_x000D_
09 06 20:26:59 378 19552 19552 E AndroidRuntime: 	at android support v7 view menu MenuBuilder performItemAction(MenuBuilder java:959)_x000D_
09 06 20:26:59 378 19552 19552 E AndroidRuntime: 	at android support v7 widget ActionMenuView invokeItem(ActionMenuView java:623)_x000D_
09 06 20:26:59 378 19552 19552 E AndroidRuntime: 	at android support v7 view menu ActionMenuItemView onClick(ActionMenuItemView java:154)_x000D_
09 06 20:26:59 378 19552 19552 E AndroidRuntime: 	at android view View performClick(View java:5637)_x000D_
09 06 20:26:59 378 19552 19552 E AndroidRuntime: 	at android view View PerformClick run(View java:22433)_x000D_
09 06 20:26:59 378 19552 19552 E AndroidRuntime: 	at android os Handler handleCallback(Handler java:751)_x000D_
09 06 20:26:59 378 19552 19552 E AndroidRuntime: 	at android os Handler dispatchMessage(Handler java:95)_x000D_
09 06 20:26:59 378 19552 19552 E AndroidRuntime: 	at android os Looper loop(Looper java:154)_x000D_
09 06 20:26:59 378 19552 19552 E AndroidRuntime: 	at android app ActivityThread main(ActivityThread java:6186)_x000D_
09 06 20:26:59 378 19552 19552 E AndroidRuntime: 	at java lang reflect Method invoke(Native Method)_x000D_
09 06 20:26:59 378 19552 19552 E AndroidRuntime: 	at com android internal os ZygoteInit MethodAndArgsCaller run(ZygoteInit java:889)_x000D_
09 06 20:26:59 378 19552 19552 E AndroidRuntime: 	at com android internal os ZygoteInit main(ZygoteInit java:779)_x000D_
   _x000D_
_x000D_
    Other_x000D_
_x000D_
  Problem doesn t appear if debug logging is enabled  (just tried that to grab an additional log  but Kontalk didn t crashed anymore   ) _x000D_
  Problem doesn t appear with Gapps (incl  GMaps) installed _x000D_
  In addition it should be possible to open the geolocation link in a browser _x000D_
</t>
  </si>
  <si>
    <t>getodk-collect-1424</t>
  </si>
  <si>
    <t>Exception java.util.IllegalFormatConversionException: %d can't format java.lang.String arguments</t>
  </si>
  <si>
    <t xml:space="preserve">     Software and hardware versions _x000D_
Collect v1 10 1_x000D_
_x000D_
     Problem description_x000D_
The application crashes on some Samsung devices with API 21 and 22 _x000D_
_x000D_
     Other information _x000D_
https:  console firebase google com project api project 322300403941 monitoring app android:org odk collect android cluster 14b84776 duration 2592000000 appVersions 2390_x000D_
_x000D_
The same issue is visible on Collect 1 9 0 and 1 9 1 but it s only 43 and 5 instances respectively  When it comes to 1 10 1 it s 29 after one day so I m sure it must be related to https:  github com opendatakit collect pull 1399 files diff 71ee66035a9814fa3226aa0ab0ddfd23R196_x000D_
_x000D_
  Exception java util IllegalFormatConversionException:  d can t format java lang String arguments_x000D_
java util Formatter badArgumentType (Formatter java:1489)_x000D_
java util Formatter transformFromInteger (Formatter java:1689)_x000D_
java util Formatter transform (Formatter java:1461)_x000D_
java util Formatter doFormat (Formatter java:1081)_x000D_
java util Formatter format (Formatter java:1042)_x000D_
java util Formatter format (Formatter java:1011)_x000D_
java lang String format (String java:1803)_x000D_
android content res Resources getString (Resources java:668)_x000D_
android content Context getString (Context java:390)_x000D_
android widget SimpleMonthView MonthViewTouchHelper getItemDescription (SimpleMonthView java:683)_x000D_
android widget SimpleMonthView MonthViewTouchHelper onPopulateNodeForVirtualView (SimpleMonthView java:627)_x000D_
com android internal widget ExploreByTouchHelper createNodeForChild (ExploreByTouchHelper java:397)_x000D_
com android internal widget ExploreByTouchHelper createNode (ExploreByTouchHelper java:324)_x000D_
com android internal widget ExploreByTouchHelper access 100 (ExploreByTouchHelper java:49)_x000D_
com android internal widget ExploreByTouchHelper ExploreByTouchNodeProvider createAccessibilityNodeInfo (ExploreByTouchHelper java:741)_x000D_
android view AccessibilityInteractionController AccessibilityNodePrefetcher prefetchDescendantsOfVirtualNode (AccessibilityInteractionController java:1092)_x000D_
android view AccessibilityInteractionController AccessibilityNodePrefetcher prefetchDescendantsOfRealNode (AccessibilityInteractionController java:1002)_x000D_
android view AccessibilityInteractionController AccessibilityNodePrefetcher prefetchDescendantsOfRealNode (AccessibilityInteractionController java:998)_x000D_
android view AccessibilityInteractionController AccessibilityNodePrefetcher prefetchDescendantsOfRealNode (AccessibilityInteractionController java:998)_x000D_
android view AccessibilityInteractionController AccessibilityNodePrefetcher prefetchAccessibilityNodeInfos (AccessibilityInteractionController java:799)_x000D_
android view AccessibilityInteractionController findAccessibilityNodeInfoByAccessibilityIdUiThread (AccessibilityInteractionController java:155)_x000D_
android view AccessibilityInteractionController access 400 (AccessibilityInteractionController java:53)_x000D_
android view AccessibilityInteractionController PrivateHandler handleMessage (AccessibilityInteractionController java:1146)_x000D_
android os Handler dispatchMessage (Handler java:102)_x000D_
android os Looper loop (Looper java:135)_x000D_
android app ActivityThread main (ActivityThread java:5910)_x000D_
java lang reflect Method invoke (Method java)_x000D_
java lang reflect Method invoke (Method java:372)_x000D_
com android internal os ZygoteInit MethodAndArgsCaller run (ZygoteInit java:1405)_x000D_
com android internal os ZygoteInit main (ZygoteInit java:1200)_x000D_
</t>
  </si>
  <si>
    <t>inaturalist-iNaturalistAndroid-403</t>
  </si>
  <si>
    <t>Ensure Only Acceptable File Formats Are Used for Observation Media</t>
  </si>
  <si>
    <t xml:space="preserve">Currently  when making an observation and trying to choose a photo from google drive  the app is allowing me to select a  NEF file (an unusual weird nikon photo file format)  When I select it  I get a loader for a few seconds  then the app crashes  The app also allows me to select excel  pdf and various other file types from Google Drive  However  I notice when I try to grab unacceptable file formats that are on my phone (like an  apk file) those are disabled and cannot be selected _x000D_
_x000D_
Can we do one of the following for Google Drive media: Either make unacceptable file formats disabled OR if they are selectable  give the user a warning stating that they have chosen an unacceptable file format and it s time to move on with their lives  _x000D_
_x000D_
I d prefer option 1 which would be to make all unacceptable file formats disabled for consistency sake  Plus  it makes for one less mistake the user can make  However  let me know if that option or both of the options are a challenge  _x000D_
_x000D_
Also  keep in mind the acceptable file formats for sound are WAV  MP3  or M4A  so anything outside those and jpeg  png and gif are truly unacceptable  _x000D_
_x000D_
_x000D_
</t>
  </si>
  <si>
    <t>kontalk-androidclient-1064</t>
  </si>
  <si>
    <t>Kontalk crashes with newest commit 65d71c8</t>
  </si>
  <si>
    <t xml:space="preserve">    Expected behavior_x000D_
Kontalk should start_x000D_
_x000D_
    Actual behavior_x000D_
Kontalk crashes immediately_x000D_
_x000D_
    Steps to reproduce_x000D_
1  install newest build _x000D_
2  try to start _x000D_
3  crash_x000D_
_x000D_
    Environment_x000D_
_x000D_
Kontalk version: 65d71c8d00ba1ac8be5ccd3193e2ed3b6fbdc37e (f droid)_x000D_
_x000D_
Android version: 7 1 2 (Lineage 14 1)_x000D_
_x000D_
Device model: Samsung S III Mini_x000D_
_x000D_
    Logs_x000D_
_x000D_
   _x000D_
09 07 15:15:50 500 32341 32341 D AndroidRuntime: Shutting down VM_x000D_
09 07 15:15:50 502 32341 32341 E AndroidRuntime: FATAL EXCEPTION: main_x000D_
09 07 15:15:50 502 32341 32341 E AndroidRuntime: Process: org kontalk  PID: 32341_x000D_
09 07 15:15:50 502 32341 32341 E AndroidRuntime: java lang RuntimeException: Unable to start service org kontalk service msgcenter MessageCenterService e485109 with Intent   act org kontalk action HOLD cmp org kontalk  service msgcenter MessageCenterService (has extras)  : java lang StringIndexOutOfBoundsException: length 20  regionStart 0  regionLength 23_x000D_
09 07 15:15:50 502 32341 32341 E AndroidRuntime: 	at android app ActivityThread handleServiceArgs(ActivityThread java:3368)_x000D_
09 07 15:15:50 502 32341 32341 E AndroidRuntime: 	at android app ActivityThread  wrap21(ActivityThread java)_x000D_
09 07 15:15:50 502 32341 32341 E AndroidRuntime: 	at android app ActivityThread H handleMessage(ActivityThread java:1601)_x000D_
09 07 15:15:50 502 32341 32341 E AndroidRuntime: 	at android os Handler dispatchMessage(Handler java:102)_x000D_
09 07 15:15:50 502 32341 32341 E AndroidRuntime: 	at android os Looper loop(Looper java:154)_x000D_
09 07 15:15:50 502 32341 32341 E AndroidRuntime: 	at android app ActivityThread main(ActivityThread java:6186)_x000D_
09 07 15:15:50 502 32341 32341 E AndroidRuntime: 	at java lang reflect Method invoke(Native Method)_x000D_
09 07 15:15:50 502 32341 32341 E AndroidRuntime: 	at com android internal os ZygoteInit MethodAndArgsCaller run(ZygoteInit java:889)_x000D_
09 07 15:15:50 502 32341 32341 E AndroidRuntime: 	at com android internal os ZygoteInit main(ZygoteInit java:779)_x000D_
09 07 15:15:50 502 32341 32341 E AndroidRuntime: Caused by: java lang StringIndexOutOfBoundsException: length 20  regionStart 0  regionLength 23_x000D_
09 07 15:15:50 502 32341 32341 E AndroidRuntime: 	at java lang String substring(String java:1931)_x000D_
09 07 15:15:50 502 32341 32341 E AndroidRuntime: 	at org kontalk Log makeTag(Log java:117)_x000D_
09 07 15:15:50 502 32341 32341 E AndroidRuntime: 	at org kontalk Log d(Log java:176)_x000D_
09 07 15:15:50 502 32341 32341 E AndroidRuntime: 	at org kontalk service msgcenter MessageCenterService onStartCommand(MessageCenterService java:823)_x000D_
09 07 15:15:50 502 32341 32341 E AndroidRuntime: 	at android app ActivityThread handleServiceArgs(ActivityThread java:3351)_x000D_
09 07 15:15:50 502 32341 32341 E AndroidRuntime: 	    8 more_x000D_
   _x000D_
_x000D_
    Other_x000D_
_x000D_
_x000D_
</t>
  </si>
  <si>
    <t>itachi1706-SingBuses-90</t>
  </si>
  <si>
    <t>Updating DB crash app</t>
  </si>
  <si>
    <t>Updating DB as of 7 Sept causes a app crash due to index out of bounds</t>
  </si>
  <si>
    <t>divvun-giellakbd-android-3</t>
  </si>
  <si>
    <t>Samiske tastaturer v. 1.1.2 crashes constantly</t>
  </si>
  <si>
    <t xml:space="preserve">I installed v1 1 2 today  and it crashes constantly when I try to activate it  The only way to get a  working keyboard is to uninstall v 1 1 2 _x000D_
v 1 1 1 worked for me _x000D_
_x000D_
I have a Moto G4 Plus  with Android 7 0 on it </t>
  </si>
  <si>
    <t>NineWorlds-serenity-android-365</t>
  </si>
  <si>
    <t>SettingsMenuDrawerOnItemClickedListener onClick using TintContextWrapper instead of an Activity context.</t>
  </si>
  <si>
    <t xml:space="preserve">I m using a chinese Android 4 4 2 box (that presents to apps as a tablet) connected to a HDTV  and while I have no issues using my Plex library thru DLNA  I want to improve my setup (leanback navigation  richer UI) using a Plex client  and fortunately I found Serenity _x000D_
_x000D_
My problem is that I tried both v 2 0 0M2 and v1 9 5M1 (downloaded from the wiki) and the app starts  finds my Plex server  but then any attempt to navigate the menus or even enter app Settings crash the app ( Unfortunately app has stopped ) _x000D_
_x000D_
I understand that the apps  versions I tried support my OS v4 4 2  Logs via aLogcat verbose filtered by  serenity  below  _x000D_
Any tip  Or I missing something extremely obvious and the app is not intended for my environment _x000D_
Thx in advance _x000D_
_x000D_
   _x000D_
E AndroidRuntime( 4886): Process: us nineworlds serenity  PID: 4886_x000D_
E AndroidRuntime( 4886): java lang RuntimeException: Unable to start activity ComponentInfo us nineworlds serenity us nineworlds serenity ui browser movie MovieBrowserActivity : java lang NullPointerException_x000D_
I DEBUG   ( 4932):  OnPurpose Redunant in preset info  pid: 4886  tid:  1361051648  name: UNKNOWN      us nineworlds serenity    _x000D_
E AndroidRuntime( 5372): Process: us nineworlds serenity  PID: 5372_x000D_
E AndroidRuntime( 5372): java lang ClassCastException: android support v7 widget TintContextWrapper cannot be cast to us nineworlds serenity ui activity SerenityDrawerLayoutActivity_x000D_
E AndroidRuntime( 5372): 	at us nineworlds serenity ui listeners SettingsMenuDrawerOnItemClickedListener onClick(SettingsMenuDrawerOnItemClickedListener java:43)_x000D_
I DEBUG   ( 5427):  OnPurpose Redunant in preset info  pid: 5372  tid:  1361051648  name: UNKNOWN      us nineworlds serenity    _x000D_
E InputDispatcher(  652): channel  42333830 us nineworlds serenity us nineworlds serenity MainActivity (server)    Channel is unrecoverably broken and will be disposed _x000D_
E AndroidRuntime( 5436): Process: us nineworlds serenity  PID: 5436_x000D_
E AndroidRuntime( 5436): java lang RuntimeException: Unable to start activity ComponentInfo us nineworlds serenity us nineworlds serenity ui browser movie MovieBrowserActivity : java lang NullPointerException_x000D_
I DEBUG   ( 5491):  OnPurpose Redunant in preset info  pid: 5436  tid:  1361051648  name: UNKNOWN      us nineworlds serenity    _x000D_
   </t>
  </si>
  <si>
    <t>BasicAirData-GPSLogger-35</t>
  </si>
  <si>
    <t>Bug Report - NullPointerException on GPSActivity.onCreate:118</t>
  </si>
  <si>
    <t xml:space="preserve">Google reports 1 crash at   GPSActivity java:118  :_x000D_
_x000D_
    java lang RuntimeException:   _x000D_
    at android app ActivityThread performLaunchActivity (ActivityThread java:2924)_x000D_
    at android app ActivityThread handleLaunchActivity (ActivityThread java:2985)_x000D_
    at android app ActivityThread  wrap14 (ActivityThread java)_x000D_
    at android app ActivityThread H handleMessage (ActivityThread java:1635)_x000D_
    at android os Handler dispatchMessage (Handler java:102)_x000D_
    at android os Looper loop (Looper java:154)_x000D_
    at android app ActivityThread main (ActivityThread java:6692)_x000D_
    at java lang reflect Method invoke (Native Method)_x000D_
    at com android internal os ZygoteInit MethodAndArgsCaller run (ZygoteInit java:1468)_x000D_
    at com android internal os ZygoteInit main (ZygoteInit java:1358)_x000D_
  _x000D_
    Caused by: java lang NullPointerException:   _x000D_
     at eu basicairdata graziano gpslogger GPSActivity onCreate (GPSActivity java:118) _x000D_
    at android app Activity performCreate (Activity java:6912)_x000D_
    at android app Instrumentation callActivityOnCreate (Instrumentation java:1126)_x000D_
    at android app ActivityThread performLaunchActivity (ActivityThread java:2877)_x000D_
_x000D_
    Check for runtime Permissions (for Android 23 ) _x000D_
 118         if ( GPSApplication getInstance() isPermissionsChecked())   _x000D_
 119             GPSApplication getInstance() setPermissionsChecked(true)  _x000D_
 120             CheckPermissions()  _x000D_
 121           </t>
  </si>
  <si>
    <t>OpenLauncherTeam-openlauncher-231</t>
  </si>
  <si>
    <t>Crash on app drawer icon rename</t>
  </si>
  <si>
    <t>If I long press on app drawer icon  and then drag it on  edit  that appears on top of the screen  after confirming new label text  launcher crashes _x000D_
_x000D_
Here is the log:_x000D_
_x000D_
  Build version: 0 5 3_x000D_
  Build date: 1980 01 01 00:00:00_x000D_
  Current date: 2017 09 08 09:41:41_x000D_
  Device: Samsung SM G920F _x000D_
  Stack trace: java lang ClassCastException: android widget FrameLayout cannot be cast to com benny openlauncher widget AppItemView at com benny openlauncher widget DragOptionView 1 1 itemLabel(DragOptionView java:99) at com benny openlauncher viewutil DialogHelper 1 onInput(DialogHelper java:42) at com afollestad materialdialogs MaterialDialog onClick(MaterialDialog java:367) at android view View performClick(View java:6199) at android widget TextView performClick(TextView java:11090) at android view View PerformClick run(View java:23647) at android os Handler handleCallback(Handler java:751) at android os Handler dispatchMessage(Handler java:95) at android os Looper loop(Looper java:154) at android app ActivityThread main(ActivityThread java:6682) at java lang reflect Method invoke(Native Method) at com android internal os ZygoteInit MethodAndArgsCaller run(ZygoteInit java:1520) at com android internal os ZygoteInit main(ZygoteInit java:1410)_x000D_
_x000D_
_x000D_
Using Samsung Galaxy S6</t>
  </si>
  <si>
    <t>vector-im-riot-android-1580</t>
  </si>
  <si>
    <t>Crash in preferenceGroup</t>
  </si>
  <si>
    <t>Reported by  v7r:matrix org_x000D_
https:  github com matrix org riot android rageshakes issues 989_x000D_
crash while typing in people search</t>
  </si>
  <si>
    <t>AlexZhukovich-CircleImageView-8</t>
  </si>
  <si>
    <t>How to disable on click event</t>
  </si>
  <si>
    <t xml:space="preserve">Hi _x000D_
_x000D_
I just wan t the border color to stay forever not changing when clicked _x000D_
_x000D_
I can only set  view selectedColor  and  view pressedRingColor  in XML  The problem is that the border color will change in run time depends on the holder  But I cannot set the selected color and pressing ring color at run time  so the border changed to the  view selectedColor  and  view pressedRingColor  predefined in XML _x000D_
_x000D_
If I don t use  setOnItemSelectedClickListener  it will crash _x000D_
_x000D_
So how do I disable the click event _x000D_
_x000D_
Thank you </t>
  </si>
  <si>
    <t>DoubleSymmetry-react-native-track-player-39</t>
  </si>
  <si>
    <t>setupPlayer causes crash on Android 7.0?</t>
  </si>
  <si>
    <t xml:space="preserve">On Android 7 0 device (Huawei) I get the following error when I try to run  await TrackPlayer setupPlayer(  ) _x000D_
_x000D_
   _x000D_
09 09 22:44:00 556 23584 23606 I ServiceManager: Waiting for service SurfaceFlinger   _x000D_
09 09 22:44:00 593   755   755 I art     : Rejecting re init on previously failed class java lang Class com google android gms cast framework CastOptions : java lang NoClassDefFoundError: Failed resolution of: Lcom google android gms common internal safeparcel AbstractSafeParcelable _x000D_
09 09 22:44:00 594   755   755 I art     :   at com google android gms cast framework CastContext com google android gms cast framework CastContext getSharedInstance(android content Context) ((null): 1)_x000D_
09 09 22:44:00 594   755   755 I art     :   at void guichaguri trackplayer cast GoogleCast  init (android content Context  guichaguri trackplayer logic MediaManager) (GoogleCast java:32)_x000D_
09 09 22:44:00 594   755   755 I art     :   at void guichaguri trackplayer logic MediaManager  init (guichaguri trackplayer logic services PlayerService) (MediaManager java:45)_x000D_
09 09 22:44:00 594   755   755 I art     :   at void guichaguri trackplayer logic services PlayerService onCreate() (PlayerService java:70)_x000D_
09 09 22:44:00 594   755   755 I art     :   at void android app ActivityThread handleCreateService(android app ActivityThread CreateServiceData) (ActivityThread java:3328)_x000D_
09 09 22:44:00 594   755   755 I art     :   at void android app ActivityThread  wrap5(android app ActivityThread  android app ActivityThread CreateServiceData) (ActivityThread java: 1)_x000D_
09 09 22:44:00 594   755   755 I art     :   at void android app ActivityThread H handleMessage(android os Message) (ActivityThread java:1659)_x000D_
09 09 22:44:00 594   755   755 I art     :   at void android os Handler dispatchMessage(android os Message) (Handler java:105)_x000D_
09 09 22:44:00 594   755   755 I art     :   at void android os Looper loop() (Looper java:156)_x000D_
09 09 22:44:00 594   755   755 I art     :   at void android app ActivityThread main(java lang String  ) (ActivityThread java:6523)_x000D_
09 09 22:44:00 594   755   755 I art     :   at java lang Object java lang reflect Method invoke (java lang Object  java lang Object  ) (Method java: 2)_x000D_
09 09 22:44:00 594   755   755 I art     :   at void com android internal os ZygoteInit MethodAndArgsCaller run() (ZygoteInit java:941)_x000D_
09 09 22:44:00 594   755   755 I art     :   at void com android internal os ZygoteInit main(java lang String  ) (ZygoteInit java:831)_x000D_
09 09 22:44:00 594   755   755 I art     : Caused by: java lang ClassNotFoundException: Didn t find class  com google android gms common internal safeparcel AbstractSafeParcelable  on path: DexPathList  zip file   data app com decoderhq indieshuffle 1 base apk   nativeLibraryDirectories   data app com decoderhq indieshuffle 1 lib arm   system fake libs   data app com decoderhq indieshuffle 1 base apk  lib armeabi v7a   system lib   vendor lib   system vendor lib   product lib  _x000D_
09 09 22:44:00 594   755   755 I art     :   at java lang Class dalvik system BaseDexClassLoader findClass(java lang String) (BaseDexClassLoader java:56)_x000D_
09 09 22:44:00 594   755   755 I art     :   at java lang Class java lang ClassLoader loadClass(java lang String  boolean) (ClassLoader java:380)_x000D_
09 09 22:44:00 594   755   755 I art     :   at java lang Class java lang ClassLoader loadClass(java lang String) (ClassLoader java:312)_x000D_
09 09 22:44:00 594   755   755 I art     :   at com google android gms cast framework CastContext com google android gms cast framework CastContext getSharedInstance(android content Context) ((null): 1)_x000D_
09 09 22:44:00 594   755   755 I art     :   at void guichaguri trackplayer cast GoogleCast  init (android content Context  guichaguri trackplayer logic MediaManager) (GoogleCast java:32)_x000D_
09 09 22:44:00 594   755   755 I art     :   at void guichaguri trackplayer logic MediaManager  init (guichaguri trackplayer logic services PlayerService) (MediaManager java:45)_x000D_
09 09 22:44:00 594   755   755 I art     :   at void guichaguri trackplayer logic services PlayerService onCreate() (PlayerService java:70)_x000D_
09 09 22:44:00 594   755   755 I art     :   at void android app ActivityThread handleCreateService(android app ActivityThread CreateServiceData) (ActivityThread java:3328)_x000D_
09 09 22:44:00 594   755   755 I art     :   at void android app ActivityThread  wrap5(android app ActivityThread  android app ActivityThread CreateServiceData) (ActivityThread java: 1)_x000D_
09 09 22:44:00 594   755   755 I art     :   at void android app ActivityThread H handleMessage(android os Message) (ActivityThread java:1659)_x000D_
09 09 22:44:00 594   755   755 I art     :   at void android os Handler dispatchMessage(android os Message) (Handler java:105)_x000D_
09 09 22:44:00 594   755   755 I art     :   at void android os Looper loop() (Looper java:156)_x000D_
09 09 22:44:00 594   755   755 I art     :   at void android app ActivityThread main(java lang String  ) (ActivityThread java:6523)_x000D_
09 09 22:44:00 594   755   755 I art     :   at java lang Object java lang reflect Method invoke (java lang Object  java lang Object  ) (Method java: 2)_x000D_
09 09 22:44:00 594   755   755 I art     :   at void com android internal os ZygoteInit MethodAndArgsCaller run() (ZygoteInit java:941)_x000D_
09 09 22:44:00 594   755   755 I art     :   at void com android internal os ZygoteInit main(java lang String  ) (ZygoteInit java:831)_x000D_
09 09 22:44:00 594   755   755 I art     : _x000D_
09 09 22:44:00 594   755   755 I art     : Rejecting re init on previously failed class java lang Class com google android gms cast framework CastOptions : java lang NoClassDefFoundError: Failed resolution of: Lcom google android gms common internal safeparcel AbstractSafeParcelable _x000D_
09 09 22:44:00 594   755   755 I art     :   at com google android gms cast framework CastContext com google android gms cast framework CastContext getSharedInstance(android content Context) ((null): 1)_x000D_
09 09 22:44:00 594   755   755 I art     :   at void guichaguri trackplayer cast GoogleCast  init (android content Context  guichaguri trackplayer logic MediaManager) (GoogleCast java:32)_x000D_
09 09 22:44:00 594   755   755 I art     :   at void guichaguri trackplayer logic MediaManager  init (guichaguri trackplayer logic services PlayerService) (MediaManager java:45)_x000D_
09 09 22:44:00 594   755   755 I art     :   at void guichaguri trackplayer logic services PlayerService onCreate() (PlayerService java:70)_x000D_
09 09 22:44:00 594   755   755 I art     :   at void android app ActivityThread handleCreateService(android app ActivityThread CreateServiceData) (ActivityThread java:3328)_x000D_
09 09 22:44:00 594   755   755 I art     :   at void android app ActivityThread  wrap5(android app ActivityThread  android app ActivityThread CreateServiceData) (ActivityThread java: 1)_x000D_
09 09 22:44:00 594   755   755 I art     :   at void android app ActivityThread H handleMessage(android os Message) (ActivityThread java:1659)_x000D_
09 09 22:44:00 595   755   755 I art     :   at void android os Handler dispatchMessage(android os Message) (Handler java:105)_x000D_
09 09 22:44:00 595   755   755 I art     :   at void android os Looper loop() (Looper java:156)_x000D_
09 09 22:44:00 595   755   755 I art     :   at void android app ActivityThread main(java lang String  ) (ActivityThread java:6523)_x000D_
09 09 22:44:00 595   755   755 I art     :   at java lang Object java lang reflect Method invoke (java lang Object  java lang Object  ) (Method java: 2)_x000D_
09 09 22:44:00 595   755   755 I art     :   at void com android internal os ZygoteInit MethodAndArgsCaller run() (ZygoteInit java:941)_x000D_
09 09 22:44:00 595   755   755 I art     :   at void com android internal os ZygoteInit main(java lang String  ) (ZygoteInit java:831)_x000D_
09 09 22:44:00 595   755   755 I art     : Caused by: java lang ClassNotFoundException: Didn t find class  com google android gms common internal safeparcel AbstractSafeParcelable  on path: DexPathList  zip file   data app com decoderhq indieshuffle 1 base apk   nativeLibraryDirectories   data app com decoderhq indieshuffle 1 lib arm   system fake libs   data app com decoderhq indieshuffle 1 base apk  lib armeabi v7a   system lib   vendor lib   system vendor lib   product lib  _x000D_
09 09 22:44:00 595   755   755 I art     :   at java lang Class dalvik system BaseDexClassLoader findClass(java lang String) (BaseDexClassLoader java:56)_x000D_
09 09 22:44:00 595   755   755 I art     :   at java lang Class java lang ClassLoader loadClass(java lang String  boolean) (ClassLoader java:380)_x000D_
09 09 22:44:00 595   755   755 I art     :   at java lang Class java lang ClassLoader loadClass(java lang String) (ClassLoader java:312)_x000D_
09 09 22:44:00 595   755   755 I art     :   at com google android gms cast framework CastContext com google android gms cast framework CastContext getSharedInstance(android content Context) ((null): 1)_x000D_
09 09 22:44:00 595   755   755 I art     :   at void guichaguri trackplayer cast GoogleCast  init (android content Context  guichaguri trackplayer logic MediaManager) (GoogleCast java:32)_x000D_
09 09 22:44:00 595   755   755 I art     :   at void guichaguri trackplayer logic MediaManager  init (guichaguri trackplayer logic services PlayerService) (MediaManager java:45)_x000D_
09 09 22:44:00 595   755   755 I art     :   at void guichaguri trackplayer logic services PlayerService onCreate() (PlayerService java:70)_x000D_
09 09 22:44:00 595   755   755 I art     :   at void android app ActivityThread handleCreateService(android app ActivityThread CreateServiceData) (ActivityThread java:3328)_x000D_
09 09 22:44:00 595   755   755 I art     :   at void android app ActivityThread  wrap5(android app ActivityThread  android app ActivityThread CreateServiceData) (ActivityThread java: 1)_x000D_
09 09 22:44:00 595   755   755 I art     :   at void android app ActivityThread H handleMessage(android os Message) (ActivityThread java:1659)_x000D_
09 09 22:44:00 595   755   755 I art     :   at void android os Handler dispatchMessage(android os Message) (Handler java:105)_x000D_
09 09 22:44:00 595   755   755 I art     :   at void android os Looper loop() (Looper java:156)_x000D_
09 09 22:44:00 595   755   755 I art     :   at void android app ActivityThread main(java lang String  ) (ActivityThread java:6523)_x000D_
09 09 22:44:00 595   755   755 I art     :   at java lang Object java lang reflect Method invoke (java lang Object  java lang Object  ) (Method java: 2)_x000D_
09 09 22:44:00 595   755   755 I art     :   at void com android internal os ZygoteInit MethodAndArgsCaller run() (ZygoteInit java:941)_x000D_
09 09 22:44:00 595   755   755 I art     :   at void com android internal os ZygoteInit main(java lang String  ) (ZygoteInit java:831)_x000D_
09 09 22:44:00 595   755   755 I art     : _x000D_
09 09 22:44:00 612   755   755 E CrashlyticsCore: Failed to execute task _x000D_
09 09 22:44:00 612   755   755 E CrashlyticsCore: java util concurrent ExecutionException: java lang NoSuchMethodError: No static method getBatteryLevel(Landroid content Context )F in class Lio fabric sdk android services common CommonUtils  or its super classes (declaration of  io fabric sdk android services common CommonUtils  appears in  data app com decoderhq indieshuffle 1 base apk)_x000D_
09 09 22:44:00 612   755   755 E CrashlyticsCore:       at java util concurrent FutureTask report(FutureTask java:94)_x000D_
09 09 22:44:00 612   755   755 E CrashlyticsCore:       at java util concurrent FutureTask get(FutureTask java:178)_x000D_
09 09 22:44:00 612   755   755 E CrashlyticsCore:       at com crashlytics android core CrashlyticsExecutorServiceWrapper executeSyncLoggingException(CrashlyticsExecutorServiceWrapper java:44)_x000D_
09 09 22:44:00 612   755   755 E CrashlyticsCore:       at com crashlytics android core CrashlyticsUncaughtExceptionHandler uncaughtException(CrashlyticsUncaughtExceptionHandler java:235)_x000D_
09 09 22:44:00 612   755   755 E CrashlyticsCore:       at java lang ThreadGroup uncaughtException(ThreadGroup java:1068)_x000D_
09 09 22:44:00 612   755   755 E CrashlyticsCore:       at java lang ThreadGroup uncaughtException(ThreadGroup java:1063)_x000D_
09 09 22:44:00 612   755   755 E CrashlyticsCore: Caused by: java lang NoSuchMethodError: No static method getBatteryLevel(Landroid content Context )F in class Lio fabric sdk android services common CommonUtils  or its super classes (declaration of  io fabric sdk android services common CommonUtils  appears in  data app com decoderhq indieshuffle 1 base apk)_x000D_
09 09 22:44:00 612   755   755 E CrashlyticsCore:       at com crashlytics android core CrashlyticsUncaughtExceptionHandler writeSessionEvent(CrashlyticsUncaughtExceptionHandler java:1005)_x000D_
09 09 22:44:00 612   755   755 E CrashlyticsCore:       at com crashlytics android core CrashlyticsUncaughtExceptionHandler writeFatal(CrashlyticsUncaughtExceptionHandler java:766)_x000D_
09 09 22:44:00 612   755   755 E CrashlyticsCore:       at com crashlytics android core CrashlyticsUncaughtExceptionHandler handleUncaughtException(CrashlyticsUncaughtExceptionHandler java:262)_x000D_
09 09 22:44:00 612   755   755 E CrashlyticsCore:       at com crashlytics android core CrashlyticsUncaughtExceptionHandler access 100(CrashlyticsUncaughtExceptionHandler java:55)_x000D_
09 09 22:44:00 612   755   755 E CrashlyticsCore:       at com crashlytics android core CrashlyticsUncaughtExceptionHandler 5 call(CrashlyticsUncaughtExceptionHandler java:238)_x000D_
09 09 22:44:00 612   755   755 E CrashlyticsCore:       at com crashlytics android core CrashlyticsUncaughtExceptionHandler 5 call(CrashlyticsUncaughtExceptionHandler java:235)_x000D_
09 09 22:44:00 612   755   755 E CrashlyticsCore:       at java util concurrent FutureTask run(FutureTask java:237)_x000D_
09 09 22:44:00 612   755   755 E CrashlyticsCore:       at java util concurrent ThreadPoolExecutor runWorker(ThreadPoolExecutor java:1133)_x000D_
09 09 22:44:00 612   755   755 E CrashlyticsCore:       at java util concurrent ThreadPoolExecutor Worker run(ThreadPoolExecutor java:607)_x000D_
09 09 22:44:00 612   755   755 E CrashlyticsCore:       at io fabric sdk android services common ExecutorUtils 1 1 onRun(ExecutorUtils java:75)_x000D_
09 09 22:44:00 612   755   755 E CrashlyticsCore:       at io fabric sdk android services common BackgroundPriorityRunnable run(BackgroundPriorityRunnable java:30)_x000D_
09 09 22:44:00 612   755   755 E CrashlyticsCore:       at java lang Thread run(Thread java:776)_x000D_
09 09 22:44:00 613   755   755 E AndroidRuntime: FATAL EXCEPTION: main_x000D_
09 09 22:44:00 613   755   755 E AndroidRuntime: Process: com decoderhq indieshuffle  PID: 755_x000D_
09 09 22:44:00 613   755   755 E AndroidRuntime: java lang NoSuchMethodError: No static method zzh(Ljava lang String Ljava lang Object )Ljava lang String  in class Lcom google android gms common internal zzab  or its super classes (declaration of  com google android gms common internal zzab  appears in  data app com decoderhq indieshuffle 1 base apk)_x000D_
09 09 22:44:00 613   755   755 E AndroidRuntime:        at com google android gms cast internal zzm  init (Unknown Source)_x000D_
09 09 22:44:00 613   755   755 E AndroidRuntime:        at com google android gms cast internal zzm  init (Unknown Source)_x000D_
09 09 22:44:00 613   755   755 E AndroidRuntime:        at com google android gms cast framework CastContext  clinit (Unknown Source)_x000D_
09 09 22:44:00 613   755   755 E AndroidRuntime:        at com google android gms cast framework CastContext getSharedInstance(Unknown Source)_x000D_
09 09 22:44:00 613   755   755 E AndroidRuntime:        at guichaguri trackplayer cast GoogleCast  init (GoogleCast java:32)_x000D_
09 09 22:44:00 613   755   755 E AndroidRuntime:        at guichaguri trackplayer logic MediaManager  init (MediaManager java:45)_x000D_
09 09 22:44:00 613   755   755 E AndroidRuntime:        at guichaguri trackplayer logic services PlayerService onCreate(PlayerService java:70)_x000D_
09 09 22:44:00 613   755   755 E AndroidRuntime:        at android app ActivityThread handleCreateService(ActivityThread java:3328)_x000D_
09 09 22:44:00 613   755   755 E AndroidRuntime:        at android app ActivityThread  wrap5(ActivityThread java)_x000D_
09 09 22:44:00 613   755   755 E AndroidRuntime:        at android app ActivityThread H handleMessage(ActivityThread java:1659)_x000D_
09 09 22:44:00 613   755   755 E AndroidRuntime:        at android os Handler dispatchMessage(Handler java:105)_x000D_
09 09 22:44:00 613   755   755 E AndroidRuntime:        at android os Looper loop(Looper java:156)_x000D_
09 09 22:44:00 613   755   755 E AndroidRuntime:        at android app ActivityThread main(ActivityThread java:6523)_x000D_
09 09 22:44:00 613   755   755 E AndroidRuntime:        at java lang reflect Method invoke(Native Method)_x000D_
09 09 22:44:00 613   755   755 E AndroidRuntime:        at com android internal os ZygoteInit MethodAndArgsCaller run(ZygoteInit java:941)_x000D_
09 09 22:44:00 613   755   755 E AndroidRuntime:        at com android internal os ZygoteInit main(ZygoteInit java:831)_x000D_
_x000D_
   </t>
  </si>
  <si>
    <t>Devsoc-BPGC-ARD-157</t>
  </si>
  <si>
    <t>ANR on clicking the same post twice</t>
  </si>
  <si>
    <t xml:space="preserve">App stops responding becuase of an ArrayIndexOutOfBoundsException_x000D_
Method to replicate   _x000D_
_x000D_
1  Click on 1st post_x000D_
2  Press back button_x000D_
3  Click same post again  App crashes_x000D_
_x000D_
Complete log of error here https:  pastebin ubuntu com 25499067 _x000D_
Part of log error    _x000D_
   _x000D_
09 09 22:47:10 621 7615 7615 com macbitsgoa ard debug E MessageQueue JNI: java lang ArrayIndexOutOfBoundsException: length 354  index  1_x000D_
                                                                              at java util ArrayList get(ArrayList java:315)_x000D_
                                                                              at com macbitsgoa ard fragments HomeFragment onItemClick(HomeFragment java:377)_x000D_
                                                                              at com macbitsgoa ard interfaces RecyclerItemClickListener onInterceptTouchEvent(RecyclerItemClickListener java:58)_x000D_
       _x000D_
   </t>
  </si>
  <si>
    <t>timusus-Shuttle-187</t>
  </si>
  <si>
    <t>Force close when trying to access Equalizer settings</t>
  </si>
  <si>
    <t xml:space="preserve">  Shuttle version:  _x000D_
 _x000D_
 v2 0 0 beta11(free)_x000D_
 _x000D_
  Device  OS:  _x000D_
 _x000D_
Android 7 1 2_x000D_
_x000D_
  Description of bug:  _x000D_
 _x000D_
Force close when clicking selecting Equalizer from navigation drawer _x000D_
 _x000D_
  Steps to reproduce:  _x000D_
 _x000D_
 1  Open navigation drawer_x000D_
 2  Click  Equalizer _x000D_
 _x000D_
  Expected outcome:  _x000D_
 _x000D_
Above actions should open the Equalizer page_x000D_
 _x000D_
  Observations Actual Result:  _x000D_
 _x000D_
Shuttle crashes_x000D_
_x000D_
  Additional info  _x000D_
_x000D_
I m running a custom ROM  with Magisk and Viper4Android installed(recently)  I can previously access the the Equalizer page but that was before the beta 11 update and I haven t checked the Equalizer page since I updated to beta 11 a couple of days ago  I installed  Viper4Android yesterday and I thought I d check Shuttle s equalizer settings but I m getting the FC now  Not really sure if it s beta 11 or Viper4Android or a combination of both _x000D_
_x000D_
 I am still able to open and activate Android s stock equalizer app(com android musicfx) though   not sure if this is relevant but I thought I d share </t>
  </si>
  <si>
    <t>kabouzeid-Phonograph-288</t>
  </si>
  <si>
    <t>When sharing audio, the app crashes</t>
  </si>
  <si>
    <t xml:space="preserve">When sharing audio  the app crashes _x000D_
_x000D_
 _x000D_
_x000D_
Device info:_x000D_
   _x000D_
 table _x000D_
 tr  td App version  td  td 0 16 0 BETA 4  td   tr _x000D_
 tr  td App version code  td  td 136  td   tr _x000D_
 tr  td Android build version  td  td 4283548  td   tr _x000D_
 tr  td Android release version  td  td 8 0 0  td   tr _x000D_
 tr  td Android SDK version  td  td 26  td   tr _x000D_
 tr  td Android build ID  td  td OPR6 170623 013  td   tr _x000D_
 tr  td Device brand  td  td google  td   tr _x000D_
 tr  td Device manufacturer  td  td LGE  td   tr _x000D_
 tr  td Device name  td  td bullhead  td   tr _x000D_
 tr  td Device model  td  td Nexus 5X  td   tr _x000D_
 tr  td Device product name  td  td bullhead  td   tr _x000D_
 tr  td Device hardware name  td  td bullhead  td   tr _x000D_
 tr  td ABIs  td  td  arm64 v8a  armeabi v7a  armeabi   td   tr _x000D_
 tr  td ABIs (32bit)  td  td  armeabi v7a  armeabi   td   tr _x000D_
 tr  td ABIs (64bit)  td  td  arm64 v8a   td   tr _x000D_
  table _x000D_
_x000D_
_x000D_
</t>
  </si>
  <si>
    <t>fossasia-phimpme-android-1102</t>
  </si>
  <si>
    <t>App Crashes while loading images</t>
  </si>
  <si>
    <t xml:space="preserve">  Actual Behaviour  _x000D_
_x000D_
When there are no images in device and clicking on image button to load images app crashes as demonstrated in gif_x000D_
_x000D_
  Expected Behaviour  _x000D_
_x000D_
If there is no images app should say  No Image found  _x000D_
_x000D_
  Steps to reproduce it  _x000D_
Delete all photos from your device and open the app then click on the image button present in the main activity at top right corner_x000D_
_x000D_
  LogCat for the issue  _x000D_
FATAL EXCEPTION: AsyncTask 200  _x000D_
 Process: org fossasia phimpme  PID: 1714_x000D_
 java lang RuntimeException: An error occurred while executing doInBackground()_x000D_
_x000D_
  Screenshots of the issue  _x000D_
_x000D_
GIF   https:  i imgur com iV53Gcm mp4_x000D_
_x000D_
  Would you like to work on the issue   _x000D_
YES_x000D_
</t>
  </si>
  <si>
    <t>nextcloud-android-1531</t>
  </si>
  <si>
    <t>nextcloud dev crashes and won't create user account</t>
  </si>
  <si>
    <t xml:space="preserve">    Actual behaviour_x000D_
The nextcloud dev app crashes unexpectedly or simply reverts to the initial account creation display_x000D_
_x000D_
    Expected behaviour_x000D_
The app should create an account (on my android device)   At the least provide a normal user some feed back as to why the app is crashing or can t create an android account (even if this isn t the nextcloud app s fault   see below)  _x000D_
 _x000D_
    Steps to reproduce_x000D_
Apologies  I ve had with so many flippin problems with this app (note this issue will happen on the non dev version) that I m no longer sure how I got here and going off on it will likely not be helpful   _x000D_
_x000D_
Likely I got here along the lines described in the response  answered Jun 20  16 at 16:06 hiBrianLee  to_x000D_
this post:_x000D_
_x000D_
https:  stackoverflow com questions 37406666 accountmanager does not add custom account in android n preview_x000D_
_x000D_
See also: https:  github com nextcloud android issues 820_x000D_
_x000D_
This problem has not happened (to me) if the nextcloud account entry on the android device is preserved during an update event _x000D_
_x000D_
Again apologies if this has already been reported and a fix is forthcoming    I d sure like to know about it _x000D_
_x000D_
    Environment data_x000D_
Android version:7 1 2 lineageos 14 1 20170908_x000D_
_x000D_
Device model: surnia_x000D_
_x000D_
Stock or customized system: custom  no gapps_x000D_
_x000D_
Nextcloud app version: fdroid nextcloud dev 20170903  also affects fdroid nextcloud dev 20170707  fdroid nexcloud 2 0 0 RC5_x000D_
_x000D_
Nextcloud server version:12 0 0  Ubuntu 16 04 3 LTS (GNU Linux 4 4 0 93 generic x86 64)  TOPT enabled  https only  redirected from DDNS service at a high port that is redirected to port 443 by my router   _x000D_
_x000D_
This configuration has worked for many months prior to this event   _x000D_
_x000D_
FWIW  this problem does not happen (I could create an account on the android device) when on my own network and using the ip address of the server without port redirection   _x000D_
_x000D_
The mysql table oc bruteforce attempts had entry s but this problem persisted after I removed them and restarted the nextcloud server   In any event  it seems like an android account creation problem to me   see below _x000D_
_x000D_
    Logs_x000D_
A connection is made to my server and an  app password  is created by the android app on the nextcloud server   The nextcloud app apparently crashes resets after that   logcat on the android device indicates the account already exists on the android device similar to that described in the post:_x000D_
_x000D_
https:  github com nextcloud android issues 820_x000D_
_x000D_
Examination of the files:  data system sync accounts xml and  data system de 0 accounts de db (pulled from the android device while in recovery) showed no nextcloud accounts  however  four nextcloud accounts entries from prior attempts to troubleshoot this were in  data system ce 0 accounts ce db   Removing the nextcloud entries from the accounts ce db file and pushing the modified version back to the device fixes the issue _x000D_
_x000D_
HTH _x000D_
_x000D_
</t>
  </si>
  <si>
    <t>k9mail-k-9-2758</t>
  </si>
  <si>
    <t>IndexOutOfBounds with Multipart/Signed with only 1 part</t>
  </si>
  <si>
    <t xml:space="preserve">    Expected behavior_x000D_
Should see the Email_x000D_
_x000D_
    Actual behavior_x000D_
App crashes_x000D_
_x000D_
    Steps to reproduce_x000D_
Open a specific Email (I only have one Email where this happens)_x000D_
This Email has no attachment_x000D_
_x000D_
    Environment_x000D_
K 9 Mail version: 5 208_x000D_
Android version: 7 1 2 (LineageOS)_x000D_
Account type (IMAP  POP3  WebDAV Exchange): IMAP_x000D_
_x000D_
Log:_x000D_
   _x000D_
09 11 17:32:50 135 D k9      (31893): MessageView displaying message MessageReference accountUuid  b213f70e f05f 4d42 b37c 6ccb377537d0   folderName  INBOX   uid  701   flag null _x000D_
09 11 17:32:50 135 D k9      (31893): Creating new local message loader_x000D_
09 11 17:32:50 477 E AndroidRuntime(31893): FATAL EXCEPTION: main_x000D_
09 11 17:32:50 477 E AndroidRuntime(31893): Process: com fsck k9  PID: 31893_x000D_
09 11 17:32:50 477 E AndroidRuntime(31893): java lang IndexOutOfBoundsException: Index: 1  Size: 1_x000D_
09 11 17:32:50 477 E AndroidRuntime(31893): 	at java util ArrayList get(ArrayList java:411)_x000D_
09 11 17:32:50 477 E AndroidRuntime(31893): 	at com fsck k9 mail Multipart getBodyPart(Multipart java:24)_x000D_
09 11 17:32:50 477 E AndroidRuntime(31893): 	at com fsck k9 crypto MessageDecryptVerifier getSignatureData(MessageDecryptVerifier java:202)_x000D_
09 11 17:32:50 477 E AndroidRuntime(31893): 	at com fsck k9 ui crypto MessageCryptoHelper callAsyncDetachedVerify(MessageCryptoHelper java:352)_x000D_
09 11 17:32:50 477 E AndroidRuntime(31893): 	at com fsck k9 ui crypto MessageCryptoHelper decryptVerify(MessageCryptoHelper java:260)_x000D_
09 11 17:32:50 477 E AndroidRuntime(31893): 	at com fsck k9 ui crypto MessageCryptoHelper decryptOrVerifyPart(MessageCryptoHelper java:238)_x000D_
09 11 17:32:50 477 E AndroidRuntime(31893): 	at com fsck k9 ui crypto MessageCryptoHelper startDecryptingOrVerifyingPart(MessageCryptoHelper java:204)_x000D_
09 11 17:32:50 477 E AndroidRuntime(31893): 	at com fsck k9 ui crypto MessageCryptoHelper decryptOrVerifyNextPart(MessageCryptoHelper java:197)_x000D_
09 11 17:32:50 477 E AndroidRuntime(31893): 	at com fsck k9 ui crypto MessageCryptoHelper access 200(MessageCryptoHelper java:58)_x000D_
09 11 17:32:50 477 E AndroidRuntime(31893): 	at com fsck k9 ui crypto MessageCryptoHelper 1 onBound(MessageCryptoHelper java:219)_x000D_
09 11 17:32:50 477 E AndroidRuntime(31893): 	at org openintents openpgp util OpenPgpServiceConnection 1 onServiceConnected(OpenPgpServiceConnection java:81)_x000D_
09 11 17:32:50 477 E AndroidRuntime(31893): 	at android app LoadedApk ServiceDispatcher doConnected(LoadedApk java:1453)_x000D_
09 11 17:32:50 477 E AndroidRuntime(31893): 	at android app LoadedApk ServiceDispatcher RunConnection run(LoadedApk java:1481)_x000D_
09 11 17:32:50 477 E AndroidRuntime(31893): 	at android os Handler handleCallback(Handler java:751)_x000D_
09 11 17:32:50 477 E AndroidRuntime(31893): 	at android os Handler dispatchMessage(Handler java:95)_x000D_
09 11 17:32:50 477 E AndroidRuntime(31893): 	at android os Looper loop(Looper java:154)_x000D_
09 11 17:32:50 477 E AndroidRuntime(31893): 	at android app ActivityThread main(ActivityThread java:6186)_x000D_
09 11 17:32:50 477 E AndroidRuntime(31893): 	at java lang reflect Method invoke(Native Method)_x000D_
09 11 17:32:50 477 E AndroidRuntime(31893): 	at com android internal os ZygoteInit MethodAndArgsCaller run(ZygoteInit java:889)_x000D_
09 11 17:32:50 477 E AndroidRuntime(31893): 	at com android internal os ZygoteInit main(ZygoteInit java:779)_x000D_
   </t>
  </si>
  <si>
    <t>square-okhttp-3597</t>
  </si>
  <si>
    <t>NullPointerException in HttpUrl.class</t>
  </si>
  <si>
    <t xml:space="preserve">IT IS NOT REALLY A BUG  BUT   _x000D_
_x000D_
There is no check if a value is null whille buiding a body for a POST_x000D_
             RequestBody formBody   new FormBody Builder()_x000D_
                     add( value   value)_x000D_
                     build() _x000D_
 _x000D_
if value is null  there is a :_x000D_
java lang NullPointerException: Attempt to invoke virtual method  int java lang String length()  on a null object reference at okhttp3 HttpUrl canonicalize(HttpUrl java:1751)_x000D_
_x000D_
My app doesn t stop after this crash and remains in a loop _x000D_
_x000D_
Would it be possible to throw a NullPointerException  </t>
  </si>
  <si>
    <t>BaseballCardTracker-bbct-android-422</t>
  </si>
  <si>
    <t>BaseballCardDetails.java line 286</t>
  </si>
  <si>
    <t xml:space="preserve">     in bbct android common activity BaseballCardDetails getBaseballCard
  Number of crashes: 1
  Impacted devices: 1
There s a lot more information about this crash on crashlytics com:
 https:  fabric io codeguru apps android apps bbct android issues 59b6b01dbe077a4dcc760d5f utm medium service hooks github utm source issue impact (https:  fabric io codeguru apps android apps bbct android issues 59b6b01dbe077a4dcc760d5f utm medium service hooks github utm source issue impact)</t>
  </si>
  <si>
    <t>renyuneyun-Easer-32</t>
  </si>
  <si>
    <t>Several profiles didn't always update correctly</t>
  </si>
  <si>
    <t xml:space="preserve">I try almost all profile options on two different phones with two different versions of Android _x000D_
_x000D_
Conclusion:_x000D_
  The Outline page does not update always in the same manner _x000D_
  The effectiveness of the different options is not always the same too _x000D_
_x000D_
The test is made with Battery is or is not discharging event _x000D_
Each profile selects only one option on off or normal silent sound or manual auto brightnesse_x000D_
Battery is charging    select profile with option on_x000D_
Battery is discharging    select profile with option off_x000D_
Then I put the power on off several times  waiting between both  I tried to activate desactivate the functionality by the parameters of the phone if Easer didn t works correctly to see what works (on or off) _x000D_
I had several crashes during the tests but I didn t succeed to identify the conditions to predict them _x000D_
_x000D_
Results of the test below _x000D_
_x000D_
  With Samsung Galaxy Note 2  Android 5 1 1  CM 12 1_x000D_
bluetooth: everything works fine_x000D_
auto rotation: everything works fine_x000D_
hotspot: everything works fine_x000D_
ring: almost ok but the option silent activate  only priority rings   not real silent mode _x000D_
data on: page updated  but doesn t put data on_x000D_
data off: page not updated  doesn t put data off_x000D_
wifi on: page updated  but doesn t put wifi on_x000D_
wifi off: page not updated  doesn t put data off_x000D_
brightness auto when discharging: page updated but do nothing on brightness_x000D_
brightness manual when charging: not updated and do nothing on brightness_x000D_
_x000D_
  With Samsung S4  Android 6 0 1  LineageOS 13 0_x000D_
bluetooth: everything works fine_x000D_
ring: almost ok but the option silent activate  only priority rings   not real silent mode _x000D_
wifi: page updated  but doesn t activate nor desactivate wifi_x000D_
hotspot off: page updated but doesn t desactivate hotspot_x000D_
hotspot on: page not updated and doesn t activate hotspot_x000D_
data on: page updated  but doesn t put data on_x000D_
data off: page not updated  doesn t put data off_x000D_
auto rotation on or off: crash Easer_x000D_
brightness auto when discharging: page updated but do nothing on brightness_x000D_
brightness manual when charging: page not updated and do nothing on brightness_x000D_
_x000D_
_x000D_
Alright  I hope that this tests will be helpful for this already promising app    )_x000D_
</t>
  </si>
  <si>
    <t>nextcloud-android-1544</t>
  </si>
  <si>
    <t>Crash during account deletion</t>
  </si>
  <si>
    <t xml:space="preserve">    Actual behaviour_x000D_
Deleting account results in crash of app_x000D_
_x000D_
    Expected behaviour_x000D_
No crash_x000D_
 _x000D_
    Steps to reproduce_x000D_
1  Create account_x000D_
2  Auto upload some files (not sure about this part though)_x000D_
3  Delete account_x000D_
_x000D_
_x000D_
    Environment data_x000D_
Android version:_x000D_
_x000D_
Device model: _x000D_
_x000D_
Stock or customized system:_x000D_
LineageOS_x000D_
_x000D_
Nextcloud app version:_x000D_
master_x000D_
_x000D_
Nextcloud server version:_x000D_
12 0 2RC_x000D_
_x000D_
    Logs_x000D_
_x000D_
_x000D_
 09 13 21:14:58 895 4562 4686 com nextcloud android beta D FileContentProvider: Removing FILE 00048297ocgghykd5h22_x000D_
_x000D_
09 13 21:14:58 898 4562 4686 com nextcloud android beta D FileContentProvider: DB Error removing file   java lang IndexOutOfBoundsException_x000D_
                                                                                   at android net Uri PathSegments get(Uri java:989)_x000D_
                                                                                   at android net Uri PathSegments get(Uri java:987)_x000D_
                                                                                   at _x000D_
_x000D_
com owncloud android providers FileContentProvider delete(FileContentProvider java:122)_x000D_
                                                                                   at _x000D_
_x000D_
com owncloud android providers FileContentProvider delete(FileContentProvider java:97)_x000D_
                                                                                   at _x000D_
_x000D_
android content ContentProvider Transport delete(ContentProvider java:339)_x000D_
                                                                                   at _x000D_
_x000D_
android content ContentResolver delete(ContentResolver java:1332)_x000D_
                                                                                   at _x000D_
_x000D_
com owncloud android datamodel FileDataStorageManager deleteAllFiles(FileDataStorageManager java:2185)_x000D_
                                                                                   at _x000D_
_x000D_
com owncloud android jobs AccountRemovalJob onRunJob(AccountRemovalJob java:75)_x000D_
                                                                                   at _x000D_
_x000D_
com evernote android job Job runJob(Job java:123)_x000D_
                                                                                   at _x000D_
_x000D_
com evernote android job JobExecutor JobCallable runJob(JobExecutor java:165)_x000D_
                                                                                   at _x000D_
_x000D_
com evernote android job JobExecutor JobCallable call(JobExecutor java:150)_x000D_
                                                                                   at _x000D_
_x000D_
com evernote android job JobExecutor JobCallable call(JobExecutor java:133)_x000D_
                                                                                   at _x000D_
_x000D_
java util concurrent FutureTask run(FutureTask java:237)_x000D_
                                                                                   at _x000D_
_x000D_
java util concurrent ThreadPoolExecutor runWorker(ThreadPoolExecutor java:1113)_x000D_
                                                                                   at _x000D_
_x000D_
java util concurrent ThreadPoolExecutor Worker run(ThreadPoolExecutor java:588)_x000D_
                                                                                   at java lang Thread run(Thread java:818)_x000D_
09 13 21:14:58 909 4562 4686 com nextcloud android beta I JobExecutor: Finished job id 39  finished true  result SUCCESS  canceled false  periodic false  class AccountRemovalJob  tag AccountRemovalJob  </t>
  </si>
  <si>
    <t>ForstaLabs-relay-168</t>
  </si>
  <si>
    <t>Nonexistent-tag entry crashes app: Android Stage</t>
  </si>
  <si>
    <t>1  type  nonexistenttagorwhatever in content editor_x000D_
2  type a message_x000D_
3  Send message     App crashes_x000D_
_x000D_
4  reopen app_x000D_
5  nonexistent tag thread is still existent trying to send the message_x000D_
6  Tap on thread      App crashes</t>
  </si>
  <si>
    <t>wdullaer-MaterialDateTimePicker-404</t>
  </si>
  <si>
    <t>TimePickerDialog crashes going to background on version 3.3.0</t>
  </si>
  <si>
    <t xml:space="preserve">Since we updated to Material DateTime Picker 3 3 0 we are seeing these crashes that did not occur on version 3 2 2:_x000D_
   _x000D_
Fatal Exception: java lang ClassCastException: java lang Object   cannot be cast to com wdullaer materialdatetimepicker time Timepoint  _x000D_
       at com wdullaer materialdatetimepicker time DefaultTimepointLimiter writeToParcel(DefaultTimepointLimiter java:42)_x000D_
       at android os Parcel writeParcelable(Parcel java:1357)_x000D_
       at android os Parcel writeValue(Parcel java:1262)_x000D_
       at android os Parcel writeArrayMapInternal(Parcel java:638)_x000D_
       at android os BaseBundle writeToParcelInner(BaseBundle java:1313)_x000D_
       at android os Bundle writeToParcel(Bundle java:1096)_x000D_
       at android os Parcel writeBundle(Parcel java:663)_x000D_
       at android app FragmentState writeToParcel(Fragment java:139)_x000D_
       at android os Parcel writeTypedArray(Parcel java:1191)_x000D_
       at android app FragmentManagerState writeToParcel(FragmentManager java:376)_x000D_
       at android os Parcel writeParcelable(Parcel java:1357)_x000D_
       at android os Parcel writeValue(Parcel java:1262)_x000D_
       at android os Parcel writeArrayMapInternal(Parcel java:638)_x000D_
       at android os BaseBundle writeToParcelInner(BaseBundle java:1313)_x000D_
       at android os Bundle writeToParcel(Bundle java:1096)_x000D_
       at android os Parcel writeBundle(Parcel java:663)_x000D_
       at android app ActivityManagerProxy activityStopped(ActivityManagerNative java:2963)_x000D_
       at android app ActivityThread StopInfo run(ActivityThread java:3453)_x000D_
       at android os Handler handleCallback(Handler java:810)_x000D_
       at android os Handler dispatchMessage(Handler java:99)_x000D_
       at android os Looper loop(Looper java:189)_x000D_
       at android app ActivityThread main(ActivityThread java:5532)_x000D_
       at java lang reflect Method invoke(Method java)_x000D_
       at java lang reflect Method invoke(Method java:372)_x000D_
       at com android internal os ZygoteInit MethodAndArgsCaller run(ZygoteInit java:950)_x000D_
       at com android internal os ZygoteInit main(ZygoteInit java:745)_x000D_
   _x000D_
_x000D_
To reproduce  simply open a TimePickerDialog and make it go to background by clicking the recents button on your device  It crashes immediately after doing so trying to parcel some state so it seems something changed there since version 3 2 2  Sorry I have no time to look at the code of this issue more deeply right now but I hope the stacktrace helps _x000D_
</t>
  </si>
  <si>
    <t>nextcloud-android-1549</t>
  </si>
  <si>
    <t>Errors when Large Selection Uploading</t>
  </si>
  <si>
    <t xml:space="preserve">I am using a Google Nexus 6P phone with Android 7 1 and Nextcloud app that is running on a local home server  I selected about 176 files which came out to be 1 4GB of files  I selected the photos from  Photos   app that is installed by default in Android and selected to share the files through uploading the actual image size to Nextcloud  The app then crashed out  I opted to send in the feedback with logs but the app then continued to upload  So I am confused </t>
  </si>
  <si>
    <t>wiglenet-wigle-wifi-wardriving-175</t>
  </si>
  <si>
    <t>FIX - share activity sometimes gets null intents</t>
  </si>
  <si>
    <t xml:space="preserve">courtesy of crashlytics _x000D_
_x000D_
could also simply finish with a nullcheck right after intent is assigned  but slight dup </t>
  </si>
  <si>
    <t>moneymanagerex-android-money-manager-ex-1145</t>
  </si>
  <si>
    <t>Background sync service exception on Oreo</t>
  </si>
  <si>
    <t xml:space="preserve">With android 8 Oreo the background service crashes_x000D_
I think it is related to the new limitations on background services introduced with Oreo_x000D_
 https:  developer android com about versions oreo background html services (https:  developer android com about versions oreo background html services)_x000D_
   _x000D_
09 14 12:33:11 760 8133 8133   E AndroidRuntime: FATAL EXCEPTION: main_x000D_
                                                 Process: com money manager ex  PID: 8133_x000D_
                                                 java lang RuntimeException: Unable to start receiver com money manager ex sync SyncBroadcastReceiver: java lang IllegalStateException: Not allowed to start service Intent   act com money manager ex sync action SYNC cmp com money manager ex  sync SyncService (has extras)  : app is in background uid UidRecord d4503e1 u0a249 RCVR idle procs:1 seq(0 0 0) _x000D_
                                                     at android app ActivityThread handleReceiver(ActivityThread java:3259)_x000D_
                                                     at android app ActivityThread  wrap17(Unknown Source:0)_x000D_
                                                     at android app ActivityThread H handleMessage(ActivityThread java:1677)_x000D_
                                                     at android os Handler dispatchMessage(Handler java:105)_x000D_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Caused by: java lang IllegalStateException: Not allowed to start service Intent   act com money manager ex sync action SYNC cmp com money manager ex  sync SyncService (has extras)  : app is in background uid UidRecord d4503e1 u0a249 RCVR idle procs:1 seq(0 0 0) _x000D_
                                                     at android app ContextImpl startServiceCommon(ContextImpl java:1505)_x000D_
                                                     at android app ContextImpl startService(ContextImpl java:1461)_x000D_
                                                     at android content ContextWrapper startService(ContextWrapper java:644)_x000D_
                                                     at android content ContextWrapper startService(ContextWrapper java:644)_x000D_
                                                     at com money manager ex sync SyncBroadcastReceiver onReceive(SyncBroadcastReceiver java:53)_x000D_
                                                     at android app ActivityThread handleReceiver(ActivityThread java:3252)_x000D_
                                                     at android app ActivityThread  wrap17(Unknown Source:0) _x000D_
                                                     at android app ActivityThread H handleMessage(ActivityThread java:1677) _x000D_
                                                     at android os Handler dispatchMessage(Handler java:105) _x000D_
                                                     at android os Looper loop(Looper java:164) _x000D_
                                                     at android app ActivityThread main(ActivityThread java:6541) _x000D_
                                                     at java lang reflect Method invoke(Native Method) _x000D_
                                                     at com android internal os Zygote MethodAndArgsCaller run(Zygote java:240) _x000D_
                                                     at com android internal os ZygoteInit main(ZygoteInit java:767) _x000D_
   </t>
  </si>
  <si>
    <t>OpenLauncherTeam-openlauncher-235</t>
  </si>
  <si>
    <t>after changing drawer view to paged, on the last page crash</t>
  </si>
  <si>
    <t xml:space="preserve">09 14 13:17:33 036 24772 24772 com benny openlauncher E InputEventReceiver: Exception dispatching input event _x000D_
09 14 13:17:33 036 24772 24772 com benny openlauncher E MessageQueue JNI: Exception in MessageQueue callback: handleReceiveCallback_x000D_
09 14 13:17:33 037 24772 24772 com benny openlauncher E MessageQueue JNI: java lang NullPointerException: Attempt to invoke virtual method  boolean in championswimmer sfg lib SimpleFingerGestures onTouch(android view View  android view MotionEvent)  on a null object reference_x000D_
                                                                              at com benny openlauncher core widget CellContainer onTouchEvent(CellContainer java:202)_x000D_
                                                                              at android view View dispatchTouchEvent(View java:9415)_x000D_
                                                                              at android view ViewGroup dispatchTransformedTouchEvent(ViewGroup java:2660)_x000D_
                                                                              at android view ViewGroup dispatchTouchEvent(ViewGroup java:2304)_x000D_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com android internal policy PhoneWindow DecorView superDispatchTouchEvent(PhoneWindow java:2453)_x000D_
                                                                              at com android internal policy PhoneWindow superDispatchTouchEvent(PhoneWindow java:1772)_x000D_
                                                                              at android app Activity dispatchTouchEvent(Activity java:2808)_x000D_
                                                                              at com android internal policy PhoneWindow DecorView dispatchTouchEvent(PhoneWindow java:2414)_x000D_
                                                                              at android view View dispatchPointerEvent(View java:9646)_x000D_
                                                                              at android view ViewRootImpl ViewPostImeInputStage processPointerEvent(ViewRootImpl java:4753)_x000D_
                                                                              at android view ViewRootImpl ViewPostImeInputStage onProcess(ViewRootImpl java:4611)_x000D_
                                                                              at android view ViewRootImpl InputStage deliver(ViewRootImpl java:4116)_x000D_
                                                                              at android view ViewRootImpl InputStage onDeliverToNext(ViewRootImpl java:4169)_x000D_
                                                                              at android view ViewRootImpl InputStage forward(ViewRootImpl java:4135)_x000D_
                                                                              at android view ViewRootImpl AsyncInputStage forward(ViewRootImpl java:4281)_x000D_
                                                                              at android view ViewRootImpl InputStage apply(ViewRootImpl java:4143)_x000D_
                                                                              at android view ViewRootImpl AsyncInputStage apply(ViewRootImpl java:4338)_x000D_
                                                                              at android view ViewRootImpl InputStage deliver(ViewRootImpl java:4116)_x000D_
                                                                              at android view ViewRootImpl InputStage onDeliverToNext(ViewRootImpl java:4169)_x000D_
                                                                              at android view ViewRootImpl InputStage forward(ViewRootImpl java:4135)_x000D_
                                                                              at android view ViewRootImpl InputStage apply(ViewRootImpl java:4143)_x000D_
                                                                              at android view ViewRootImpl InputStage deliver(ViewRootImpl java:4116)_x000D_
                                                                              at android view ViewRootImpl deliverInputEvent(ViewRootImpl java:6570)_x000D_
                                                                              at android view ViewRootImpl doProcessInputEvents(ViewRootImpl java:6544)_x000D_
                                                                              at android view ViewRootImpl enqueueInputEvent(ViewRootImpl java:6487)_x000D_
                                                                              at android view ViewRootImpl WindowInputEventReceiver onInputEvent(ViewRootImpl java:6742)_x000D_
                                                                              at android view InputEventReceiver dispatchInputEvent(InputEventReceiver java:185)_x000D_
                                                                              at android os MessageQueue nativePollOnce(Native Method)_x000D_
                                                                              at android os MessageQueue next(MessageQueue java:328)_x000D_
                                                                              at android os Looper loop(Looper java:164)_x000D_
                                                                              at android app ActivityThread main(ActivityThread java:5765)_x000D_
                                                                              at java lang reflect Method invoke(Native Method)_x000D_
                                                                          	at com android internal os Zy_x000D_
09 14 13:17:33 038 24772 24772 com benny openlauncher D AndroidRuntime: Shutting down VM_x000D_
09 14 13:17:33 038 24772 24772 com benny openlauncher E CustomActivityOnCrash: App has crashed  executing CustomActivityOnCrash s UncaughtExceptionHandler_x000D_
                                                                               java lang NullPointerException: Attempt to invoke virtual method  boolean in championswimmer sfg lib SimpleFingerGestures onTouch(android view View  android view MotionEvent)  on a null object reference_x000D_
                                                                                   at com benny openlauncher core widget CellContainer onTouchEvent(CellContainer java:202)_x000D_
                                                                                   at android view View dispatchTouchEvent(View java:9415)_x000D_
                                                                                   at android view ViewGroup dispatchTransformedTouchEvent(ViewGroup java:2660)_x000D_
                                                                                   at android view ViewGroup dispatchTouchEvent(ViewGroup java:2304)_x000D_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android view ViewGroup dispatchTransformedTouchEvent(ViewGroup java:2666)_x000D_
                                                                                   at android view ViewGroup dispatchTouchEvent(ViewGroup java:2257)_x000D_
                                                                                   at com android internal policy PhoneWindow DecorView superDispatchTouchEvent(PhoneWindow java:2453)_x000D_
                                                                                   at com android internal policy PhoneWindow superDispatchTouchEvent(PhoneWindow java:1772)_x000D_
                                                                                   at android app Activity dispatchTouchEvent(Activity java:2808)_x000D_
                                                                                   at com android internal policy PhoneWindow DecorView dispatchTouchEvent(PhoneWindow java:2414)_x000D_
                                                                                   at android view View dispatchPointerEvent(View java:9646)_x000D_
                                                                                   at android view ViewRootImpl ViewPostImeInputStage processPointerEvent(ViewRootImpl java:4753)_x000D_
                                                                                   at android view ViewRootImpl ViewPostImeInputStage onProcess(ViewRootImpl java:4611)_x000D_
                                                                                   at android view ViewRootImpl InputStage deliver(ViewRootImpl java:4116)_x000D_
                                                                                   at android view ViewRootImpl InputStage onDeliverToNext(ViewRootImpl java:4169)_x000D_
                                                                                   at android view ViewRootImpl InputStage forward(ViewRootImpl java:4135)_x000D_
                                                                                   at android view ViewRootImpl AsyncInputStage forward(ViewRootImpl java:4281)_x000D_
                                                                                   at android view ViewRootImpl InputStage apply(ViewRootImpl java:4143)_x000D_
                                                                                   at android view ViewRootImpl AsyncInputStage apply(ViewRootImpl java:4338)_x000D_
                                                                                   at android view ViewRootImpl InputStage deliver(ViewRootImpl java:4116)_x000D_
                                                                                   at android view ViewRootImpl InputStage onDeliverToNext(ViewRootImpl java:4169)_x000D_
                                                                                   at android view ViewRootImpl InputStage forward(ViewRootImpl java:4135)_x000D_
                                                                                   at android view ViewRootImpl InputStage apply(ViewRootImpl java:4143)_x000D_
                                                                                   at android view ViewRootImpl InputStage deliver(ViewRootImpl java:4116)_x000D_
                                                                                   at android view ViewRootImpl deliverInputEvent(ViewRootImpl java:6570)_x000D_
                                                                                   at android view ViewRootImpl doProcessInputEvents(ViewRootImpl java:6544)_x000D_
                                                                                   at android view ViewRootImpl enqueueInputEvent(ViewRootImpl java:6487)_x000D_
                                                                                   at android view ViewRootImpl WindowInputEventReceiver onInputEvent(ViewRootImpl java:6742)_x000D_
                                                                                   at android view InputEventReceiver dispatchInputEvent(InputEventReceiver java:185)_x000D_
                                                                                   at android os MessageQueue nativePollOnce(Native Method)_x000D_
                                                                                   at android os MessageQueue next(MessageQueue java:328)_x000D_
                                                                                   at android os Looper loop(Looper java:164)_x000D_
                                                                                   at android app ActivityThread main(ActivityThread java:5765)_x000D_
09 14 13:17:33 064 24772 24772 com benny openlauncher I Process: Sending signal  PID: 24772 SIG: 9_x000D_
</t>
  </si>
  <si>
    <t>dji-sdk-Mobile-SDK-Android-164</t>
  </si>
  <si>
    <t>Occasionally, app crash caused by SDK</t>
  </si>
  <si>
    <t xml:space="preserve">     Is this issue about bugs or crash issues of DJI Android SDK and Sample Code _x000D_
_x000D_
No  It crash on my app  But I got stacktrace from DJI SDK as below:_x000D_
_x000D_
  Fatal Exception: net sqlcipher database SQLiteException: no such table: polygon tfr remote data: DELETE FROM polygon tfr remote data_x000D_
         at net sqlcipher database SQLiteDatabase native execSQL(Unknown Source)_x000D_
         at net sqlcipher database SQLiteDatabase execSQL(Unknown Source)_x000D_
         at dji thirdparty afinal FinalDb deleteAll(Unknown Source)_x000D_
         at dji midware data forbid db FlyfrbBaseDbManager deleteAll(Unknown Source)_x000D_
         at dji internal geofeature flyforbid FlyfrbPolygonDataUpdateManager 1 onSuccess(Unknown Source)_x000D_
         at dji internal geofeature flyforbid FlyfrbPolygonDataUpdateManager 1 onSuccess(Unknown Source)_x000D_
         at dji thirdparty afinal http HttpHandler onProgressUpdate(Unknown Source)_x000D_
         at dji thirdparty afinal core AsyncTask InternalHandler handleMessage(Unknown Source)_x000D_
         at android os Handler dispatchMessage(Handler java:102)_x000D_
         at android os Looper loop(Looper java:154)_x000D_
         at android app ActivityThread main(ActivityThread java:6119)_x000D_
         at java lang reflect Method invoke(Method java)_x000D_
         at com android internal os ZygoteInit MethodAndArgsCaller run(ZygoteInit java:886)_x000D_
         at com android internal os ZygoteInit main(ZygoteInit java:776)_x000D_
_x000D_
     My test environment as below:_x000D_
   DJI SDK 4 2 1_x000D_
   Tablet Nexus 9_x000D_
   Android 7 1 1_x000D_
   Phantom 3 Pro  Phantom 4  Phantom 4 Pro_x000D_
_x000D_
_x000D_
</t>
  </si>
  <si>
    <t>Onelio-ConnectU-11</t>
  </si>
  <si>
    <t>Crash en Materiales en Android 4.4 (API 19)</t>
  </si>
  <si>
    <t>Cuando intentas ver un material en el aplicativo Materiales  en API 19 o inferior  la app crashea  Esto es debido a un conflicto entre las librer as vectoriales y dichos niveles de API</t>
  </si>
  <si>
    <t>DeveloperCielo-LIO-SDK-Sample-Integracao-Local-15</t>
  </si>
  <si>
    <t>Erro no Retorno do Pagamento - Integração Local</t>
  </si>
  <si>
    <t xml:space="preserve">Caros  _x000D_
Integramos o m dulo de pagamento da LIO no nosso aplicativo  mas estamos tendo uma dificuldade:_x000D_
_x000D_
Seguimos o passo a passo para integra  o local indicado na p gina de desenvolvedores Cielo  O pagamento   realizado com sucesso  e inclusive conseguimos recuperar os dados referentes a ele _x000D_
_x000D_
O problema  : Ap s o pagamento voltamos para a tela do nosso app  tanto utilizando o emulador LIO quanto a pr pria m quina que temos para teste  mas se sairmos dessa tela ocorre um erro que em seguida causa um crash na aplica  o:_x000D_
_x000D_
  E ActivityThread: Activity br com activity            Activity has leaked IntentReceiver cielo sdk order v1 OrderManagerImplv1 CancellationBroadcastReceiver 1370528 that was originally registered here  Are you missing a call to unregisterReceiver() _x000D_
_x000D_
O Android Studio indica como causadora do erro a seguinte linha:    orderManager placeOrder(order)    _x000D_
_x000D_
O erro menciona o BroadcastReceiver  apesar de em nenhum momento instanciarmos o mesmo _x000D_
_x000D_
Podem ajudar _x000D_
_x000D_
Att _x000D_
Marcelo Faustino_x000D_
marcelo faustino comlurb rio rj gov br_x000D_
_x000D_
  erro3 (https:  user images githubusercontent com 16604450 30500440 ae574606 9a34 11e7 8d8b c91539f48b77 JPG)_x000D_
_x000D_
</t>
  </si>
  <si>
    <t>getodk-collect-1472</t>
  </si>
  <si>
    <t>Forks shouldn't report to Firebase Crash</t>
  </si>
  <si>
    <t xml:space="preserve">Currently  we get crash reports from forks and from developer debug builds  Why is this happening and how can we prevent it  The intent is to only get crashes from release builds of the core _x000D_
_x000D_
This is problematic because a lot of forks have really buggy extensions that overwhelm the crash list  making it hard to see true Collect crashes </t>
  </si>
  <si>
    <t>WallPanel-Project-wallpanel-android-39</t>
  </si>
  <si>
    <t>Camera does not work without manually setting permisions</t>
  </si>
  <si>
    <t>The camera s are not being detected  and will crash the app when trying to use them without manually allowing the camera permission in android settings _x000D_
_x000D_
A permission request needs to be added to the app  Docs here: https:  developer android com guide topics permissions requesting html</t>
  </si>
  <si>
    <t>google-blockly-android-658</t>
  </si>
  <si>
    <t>Crash when trying to return BlocklyFragment from the back stack</t>
  </si>
  <si>
    <t xml:space="preserve">I have    AppCompatActivity    with    NavigationDrawer    having three items  I select one simple fragment  then go to the fragment extending    AbstractBlocklyFragment     then select another simple fragment and then press back  The app crashes with the following text:_x000D_
   _x000D_
   E InputEventSender: Exception dispatching finished signal _x000D_
   E MessageQueue JNI: Exception in MessageQueue callback: handleReceiveCallback_x000D_
   E MessageQueue JNI: java lang IllegalStateException: This flyout is already initialized _x000D_
at com google blockly android FlyoutFragment init(FlyoutFragment java:175)_x000D_
at com google blockly android control FlyoutController setTrashUi(FlyoutController java:207)_x000D_
at com google blockly android control BlocklyController setTrashUi(BlocklyController java:300)_x000D_
at com google blockly android control BlocklyController Builder build(BlocklyController java:2063)_x000D_
at com google blockly android BlocklyActivityHelper  init (BlocklyActivityHelper java:157)_x000D_
at com google blockly android AbstractBlocklyFragment onCreateActivityHelper(AbstractBlocklyFragment java:193)_x000D_
at com google blockly android AbstractBlocklyFragment onCreateView(AbstractBlocklyFragment java:99)_x000D_
at android support v4 app Fragment performCreateView(Fragment java:2337)_x000D_
at android support v4 app FragmentManagerImpl moveToState(FragmentManager java:1419)_x000D_
at android support v4 app FragmentManagerImpl moveFragmentToExpectedState(FragmentManager java:1740)_x000D_
at android support v4 app FragmentManagerImpl moveToState(FragmentManager java:1809)_x000D_
at android support v4 app BackStackRecord executePopOps(BackStackRecord java:857)_x000D_
at android support v4 app FragmentManagerImpl executeOps(FragmentManager java:2577)_x000D_
at android support v4 app FragmentManagerImpl executeOpsTogether(FragmentManager java:2367)_x000D_
at android support v4 app FragmentManagerImpl removeRedundantOperationsAndExecute(FragmentManager java:2322)_x000D_
at android support v4 app FragmentManagerImpl popBackStackImmediate(FragmentManager java:851)_x000D_
at android support v4 app FragmentManagerImpl popBackStackImmediate(FragmentManager java:794)_x000D_
at android support v4 app FragmentActivity onBackPressed(FragmentActivity java:172)_x000D_
at android app Activity onKeyUp(Activity java:2506)_x000D_
at android view KeyEvent dispatch(KeyEvent java:2633)_x000D_
at android app Activity dispatchKeyEvent(Activity java:2757)_x000D_
at android support v7 app AppCompatActivity dispatchKeyEvent(AppCompatActivity java:534)_x000D_
at android support v7 view WindowCallbackWrapper dispatchKeyEvent(WindowCallbackWrapper java:58)_x000D_
at android support v7 app AppCompatDelegateImplBase AppCompatWindowCallbackBase dispatchKeyEvent(AppCompatDelegateImplBase java:316)_x000D_
at android support v7 view WindowCallbackWrapper dispatchKeyEvent(WindowCallbackWrapper java:58)_x000D_
at com android internal policy impl PhoneWindow DecorView dispatchKeyEvent(PhoneWindow java:2297)_x000D_
at android view ViewRootImpl ViewPostImeInputStage processKeyEvent(ViewRootImpl java:3995)_x000D_
at android view ViewRootImpl ViewPostImeInputStage onProcess(ViewRootImpl java:3957)_x000D_
at android view ViewRootImpl InputStage deliver(ViewRootImpl java:3488)_x000D_
at android view ViewRootImpl InputStage onDeliverToNext(ViewRootImpl java:3541)_x000D_
     _x000D_
   _x000D_
_x000D_
That s how I put transactions into manager:_x000D_
   _x000D_
private fun setFragment(fragment: Fragment)  _x000D_
        supportFragmentManager beginTransaction()_x000D_
                 replace(R id content frame  fragment)_x000D_
                 addToBackStack(null)_x000D_
                 commit()_x000D_
     _x000D_
   </t>
  </si>
  <si>
    <t>stefan-niedermann-nextcloud-notes-267</t>
  </si>
  <si>
    <t>Lazy UI and crashing after typing a long text</t>
  </si>
  <si>
    <t xml:space="preserve">When (fast) typing a long text into a note  the app becomes lazy  hangs and then finally crashes  Maybe there is a problem with the Timers for autosave or something  This problem wasn t there in the last release _x000D_
_x000D_
Is somebody able to reproduce this  Maybe  this happens only on a real device _x000D_
_x000D_
 (I moved this from https:  github com stefan niedermann nextcloud notes issues 246 issue 254441077 to a new issue  since I think it s release critical ) </t>
  </si>
  <si>
    <t>ForstaLabs-relay-174</t>
  </si>
  <si>
    <t>Creating a new group crashes the app</t>
  </si>
  <si>
    <t xml:space="preserve">Adding a few people to create a new group crashes on completion  _x000D_
_x000D_
See attached debug log_x000D_
_x000D_
Repro Steps:_x000D_
1) On main thread view editor: Select the   symbol to bring up members to select from_x000D_
2) Select the More Menu     New Group_x000D_
3) Add members_x000D_
4) Select left checkmark_x000D_
5) Select right checkmark     CRASH_x000D_
_x000D_
 debuglog new group txt (https:  github com ForstaLabs relay files 1315103 debuglog new group txt)_x000D_
 img width  1218  alt  screen shot 2017 09 19 at 10 46 20 am  src  https:  user images githubusercontent com 2394436 30604434 1750f256 9d28 11e7 9669 435913f7b22d png  _x000D_
_x000D_
</t>
  </si>
  <si>
    <t>jMonkeyEngine-jmonkeyengine-740</t>
  </si>
  <si>
    <t>TestRagdollCharacter crashes</t>
  </si>
  <si>
    <t xml:space="preserve">Hey Guys _x000D_
 TestBoneRagdoll  works like a charm  however  TestRagdollCharacter  leads to a native bullet crash _x000D_
_x000D_
 Linux 4 8 0 on Kubuntu 16 10 _x000D_
   _x000D_
INFORMATION: Running on jMonkeyEngine 3 2 6295_x000D_
   Branch: master_x000D_
   Git Hash: 0bc6c64_x000D_
   Build Date: 2017 09 09_x000D_
   _x000D_
_x000D_
   _x000D_
  A fatal error has been detected by the Java Runtime Environment:_x000D_
 _x000D_
   SIGSEGV (0xb) at pc 0x00007f165f296c00  pid 18841  tid 0x00007f165ec22700_x000D_
 _x000D_
  JRE version: Java(TM) SE Runtime Environment (8 0 131 b11) (build 1 8 0 131 b11)_x000D_
  Java VM: Java HotSpot(TM) 64 Bit Server VM (25 131 b11 mixed mode linux amd64 compressed oops)_x000D_
  Problematic frame:_x000D_
  C   libbulletjme so 0xebc00   btConvexShape::localGetSupportVertexWithoutMarginNonVirtual(btVector3 const ) const 0x2f0_x000D_
 _x000D_
  An error report file with more information is saved as:_x000D_
  hs err pid18841 log_x000D_
   _x000D_
_x000D_
It s not  HEAD  but I did a quick git diff we shows there was nothing bullet related in between </t>
  </si>
  <si>
    <t>bumptech-glide-2413</t>
  </si>
  <si>
    <t xml:space="preserve">Glide NPE </t>
  </si>
  <si>
    <t xml:space="preserve">version_x000D_
      _x000D_
 compile ( com github bumptech glide:glide:4 2 0 SNAPSHOT ) _x000D_
        exclude module:  support annotations _x000D_
     _x000D_
   _x000D_
crash _x000D_
_x000D_
   _x000D_
java lang NullPointerException: Attempt to invoke virtual method  android graphics drawable Drawable com bumptech glide request RequestOptions getFallbackDrawable()  on a null object reference_x000D_
 at com bumptech glide request SingleRequest getFallbackDrawable(:361)_x000D_
 at com bumptech glide request SingleRequest setErrorPlaceholder(:402)_x000D_
 at com bumptech glide request SingleRequest onLoadFailed(:571)_x000D_
 at com bumptech glide request SingleRequest onLoadFailed(:553)_x000D_
 at com bumptech glide load engine EngineJob handleExceptionOnMainThread(:259)_x000D_
 at com bumptech glide load engine EngineJob iF handleMessage(:291)_x000D_
 at android os Handler dispatchMessage(Handler java:98)_x000D_
 at android os Looper loop(Looper java:135)_x000D_
 at android app ActivityThread main(ActivityThread java:5309)_x000D_
 at java lang reflect Method invoke(Native Method)_x000D_
 at java lang reflect Method invoke(Method java:372)_x000D_
 at com android internal os ZygoteInit MethodAndArgsCaller run(ZygoteInit java:908)_x000D_
 at com android internal os ZygoteInit main(ZygoteInit java:703)_x000D_
_x000D_
   </t>
  </si>
  <si>
    <t>andreynovikov-trekarta-45</t>
  </si>
  <si>
    <t>Crash on exit after recent waypoint detetion</t>
  </si>
  <si>
    <t xml:space="preserve">If waypoint is deleted and then application is exited without waiting for snackbar dismiss application crashes_x000D_
_x000D_
   _x000D_
java lang IllegalStateException: attempt to re open an already closed object: SQLiteDatabase:  storage emulated 0 Android data mobi maptrek files databases waypoints sqlitedb_x000D_
	at android database sqlite SQLiteClosable acquireReference(SQLiteClosable java:55)_x000D_
	at android database sqlite SQLiteDatabase delete(SQLiteDatabase java:1497)_x000D_
	at mobi maptrek data source WaypointDbDataSource deleteWaypoint(WaypointDbDataSource java:98)_x000D_
	at mobi maptrek MainActivity 35 onDismissed(MainActivity java:2287)_x000D_
	at mobi maptrek MainActivity 35 onDismissed(MainActivity java:2279)_x000D_
   </t>
  </si>
  <si>
    <t>AbyxBelgium-Loyalty-30</t>
  </si>
  <si>
    <t>Crash when using launcher shortcut to deleted card</t>
  </si>
  <si>
    <t>Steps to reproduce:_x000D_
_x000D_
  Make a shortcut to a certain card A_x000D_
  Delete card A from the app_x000D_
  Click the shortcut_x000D_
    App crashes because A does not longer exist</t>
  </si>
  <si>
    <t>LawnchairLauncher-lawnchair-736</t>
  </si>
  <si>
    <t>LawnChair crashes when placing shortcut in folder</t>
  </si>
  <si>
    <t xml:space="preserve">   Description_x000D_
If  backport shortcuts  is enabled  extra options will appear when long pressing certain apps  As expected  if we long press one of those options  a shortcut for them will be created to be dragged in the desired place  If we do this with the app in a folder  and we place the shortcut in the same folder  LawnChair will crash _x000D_
_x000D_
_x000D_
   Expected Behavior_x000D_
Crashes are never expected  a shortcut should be normally created inside the folder _x000D_
_x000D_
_x000D_
   Actual Behavior_x000D_
LawnChair will crash _x000D_
_x000D_
_x000D_
   Steps to Reproduce_x000D_
Follow those steps to reproduce:_x000D_
_x000D_
1  Make sure that you have the latest alpha version of LawnChair installed (1 1 0 1243)_x000D_
2  Open LawnChair settings  press  behaviour  and make sure  Backport shortcuts  is enabled_x000D_
3  Go to the home screen  open the drawer  scroll down to Gmail  long press it and drag it in an empty space of the screen _x000D_
4  Open the drawer  long press any app you want and place it on Gmail to create a folder _x000D_
5  Open the folder  long press Gmail  long press  Compose  and drag it next to Gmail _x000D_
6  Everything will crash _x000D_
_x000D_
_x000D_
   Environment_x000D_
  Device: Moto G  Play XT1602_x000D_
  Android version: 6 0 1_x000D_
  Launcher version: alpha 1 1 0 1243_x000D_
  Rom: stock_x000D_
  Build number: MPIS24 241 15 3 21</t>
  </si>
  <si>
    <t>nextcloud-android-1583</t>
  </si>
  <si>
    <t>App is dying in background / breaks auto-upload feature</t>
  </si>
  <si>
    <t xml:space="preserve">    Actual behaviour_x000D_
  Sometimes  the nextcloud app stop in background  so it doesn t sync any new photo s using the auto upload feature  After restarting it  it doesn t recognize new photo s made in the time it was stopped  _x000D_
_x000D_
    Expected behaviour_x000D_
  Doesn t crash   upload photo s made while the app was stopped _x000D_
 _x000D_
    Steps to reproduce_x000D_
Happen randomly while using the app  There is no way to exactly reproduce it _x000D_
_x000D_
    Environment data_x000D_
Android version: 7_x000D_
_x000D_
Device model: Huawei p10 Lite_x000D_
_x000D_
Stock or customized system: Stock_x000D_
_x000D_
Nextcloud app version: Latest _x000D_
Nextcloud server version: Latest (Updated it 2 days ago)_x000D_
_x000D_
    Logs_x000D_
As it seems to be a clientside problem  I didn t add any logs here  Tell me  if you need them </t>
  </si>
  <si>
    <t>kontalk-androidclient-1070</t>
  </si>
  <si>
    <t>CSI active/inactive should be sent after complete XMPP handshake</t>
  </si>
  <si>
    <t xml:space="preserve">First of all  this is causing a crash:_x000D_
_x000D_
   _x000D_
java lang IllegalArgumentException: Client State Indication not supported by server_x000D_
       at org jivesoftware smackx csi ClientStateIndicationManager throwIaeIfNotSupported(ClientStateIndicationManager java:46)_x000D_
       at org jivesoftware smackx csi ClientStateIndicationManager inactive(ClientStateIndicationManager java:36)_x000D_
       at org kontalk service msgcenter MessageCenterService inactive(MessageCenterService java:1664)_x000D_
       at org kontalk service msgcenter MessageCenterService IdleConnectionHandler forceInactive(MessageCenterService java:598)_x000D_
       at org kontalk service msgcenter MessageCenterService 2 onReceive(MessageCenterService java:630)_x000D_
   _x000D_
_x000D_
This can also lead to a packet being sent while handshaking SSL  which is bad </t>
  </si>
  <si>
    <t>mo3rfan-syncplayer-4</t>
  </si>
  <si>
    <t>SyncPlayer crashes with two connected Android instances. When one linux and one android SyncPlayer are connected, it Resets seek to 0 when linux seeks.</t>
  </si>
  <si>
    <t xml:space="preserve">I was starting to hack together a syncplay client myself and then I stumbled upon this  Seems to work  thats great  But came upon a debilitating bug  I suspect it might be a simple thing in the interaction with the media player  based on some experiments I did  Before I dive into the code myself  thought I d ask  (More than happy to help debug if you like )_x000D_
_x000D_
1  One linux syncplay and one Android syncplayer  both connected to syncplay pl:8996 _x000D_
Works great  If you use the seek bar on the Android  then Linux also seeks  Nice _x000D_
But if you see on the Linux client  then the Android client jumps back to 0  and tells the Linux client also to jump back to zero _x000D_
_x000D_
(I ran tcpflow to see the traffic and I can see the sequence of linux announcing the seek  and immediately the android version responds with a seek 0  so both are now back to the start of the video) _x000D_
_x000D_
2  Two androids syncplayers connected  same server and room as above _x000D_
Seek on any Android syncplayer  and it immediately crashes  The android syncplayer on which you seek is the one that crashes _x000D_
_x000D_
Without looking at the code  just based on the bhaviour  I am guessing that when the linux client announces a seek  the android syncplayer does the seek to the announced offset  this maybe fails for some reason  and maybe causes a jump back to 0sec  This is then announced to the server from the android syncplayer  Just a guess _x000D_
_x000D_
Please let me know how I can help  tcpflow dumps  logcat  test runs of modified code  run connected to you when you are watching     anything you like  just let me know _x000D_
_x000D_
     Shrikumar_x000D_
</t>
  </si>
  <si>
    <t>OneBusAway-onebusaway-android-807</t>
  </si>
  <si>
    <t>NPE when manually selecting region without bikeshare</t>
  </si>
  <si>
    <t xml:space="preserve">  Summary:   _x000D_
_x000D_
If you manually select a region without bikeshare (e g    Washington D C  )  and then return to the screen to select regions and hit the back button  the app crashes with the below stack trace:_x000D_
_x000D_
   _x000D_
   Process: com joulespersecond seattlebusbot  PID: 17566_x000D_
   java lang RuntimeException: Unable to resume activity  com joulespersecond seattlebusbot org onebusaway android ui PreferencesActivity : java lang NullPointerException: Attempt to invoke virtual method  void android preference Preference onPrepareForRemoval()  on a null object reference_x000D_
	   at android app ActivityThread performResumeActivity(ActivityThread java:3480)_x000D_
	   at android app ActivityThread handleResumeActivity(ActivityThread java:3520)_x000D_
	   at android app ActivityThread H handleMessage(ActivityThread java:1554)_x000D_
	   at android os Handler dispatchMessage(Handler java:102)_x000D_
	   at android os Looper loop(Looper java:154)_x000D_
	   at android app ActivityThread main(ActivityThread java:6247)_x000D_
	   at java lang reflect Method invoke(Native Method)_x000D_
	   at com android internal os ZygoteInit MethodAndArgsCaller run(ZygoteInit java:872)_x000D_
	   at com android internal os ZygoteInit main(ZygoteInit java:762)_x000D_
	Caused by: java lang NullPointerException: Attempt to invoke virtual method  void android preference Preference onPrepareForRemoval()  on a null object reference_x000D_
	   at android preference PreferenceGroup removePreferenceInt(PreferenceGroup java:188)_x000D_
	   at android preference PreferenceGroup removePreference(PreferenceGroup java:181)_x000D_
	   at org onebusaway android ui PreferencesActivity onResume(PreferencesActivity java:185)_x000D_
	   at android app Instrumentation callActivityOnResume(Instrumentation java:1270)_x000D_
	   at android app Activity performResume(Activity java:6861)_x000D_
	   at android app ActivityThread performResumeActivity(ActivityThread java:3457)_x000D_
	   at android app ActivityThread handleResumeActivity(ActivityThread java:3520) _x000D_
	   at android app ActivityThread H handleMessage(ActivityThread java:1554) _x000D_
	   at android os Handler dispatchMessage(Handler java:102) _x000D_
	   at android os Looper loop(Looper java:154) _x000D_
	   at android app ActivityThread main(ActivityThread java:6247) _x000D_
	   at java lang reflect Method invoke(Native Method)_x000D_
   _x000D_
_x000D_
  Steps to reproduce:   _x000D_
_x000D_
1  Settings  Your region_x000D_
1  Select region without bikeshare ( Washington D C  )_x000D_
1  Settings  Your region_x000D_
1  Hit back button_x000D_
_x000D_
  Expected behavior:   _x000D_
_x000D_
Return to the main Settings screen_x000D_
_x000D_
  Observed behavior:   _x000D_
_x000D_
Crash with above stack trace_x000D_
_x000D_
  Device and Android version:   _x000D_
_x000D_
LG G5 w  Android 7 0_x000D_
_x000D_
  Screenshots:   _x000D_
_x000D_
N A_x000D_
_x000D_
cc  carvalhorr </t>
  </si>
  <si>
    <t>dgets-MinTone-1</t>
  </si>
  <si>
    <t>Play/pause toggle button not working correctly</t>
  </si>
  <si>
    <t xml:space="preserve">  Play Pause   is working properly to  start  the audio tone  but not to toggle back to non playing status   The second press of the button will crash the app </t>
  </si>
  <si>
    <t>vector-im-riot-android-1618</t>
  </si>
  <si>
    <t>Fail to load the e2e lib</t>
  </si>
  <si>
    <t xml:space="preserve">reported by  Ddd1:matrix org_x000D_
https:  github com matrix org riot android rageshakes issues 1098_x000D_
When tapping on the app after having updated it  it just crashed before showing its main screen  No apparent reason can be addressed as the cause_x000D_
</t>
  </si>
  <si>
    <t>lmilunovic-Mine-Field-Alarm-Android-7</t>
  </si>
  <si>
    <t>Turning off tracking service breaks the app</t>
  </si>
  <si>
    <t xml:space="preserve">When I want to turn off the tracking service  by clicking on the radio button  app crashes _x000D_
_x000D_
Logcat says: FATAL EXCEPTION: main_x000D_
                    Process: com example ladislav minefieldalarm  PID: 2748 _x000D_
  java lang NullPointerException: Attempt to invoke virtual method  java lang String android content Context getPackageName()  on a null object reference_x000D_
_x000D_
Points to the SettingsActivity java   line 34 </t>
  </si>
  <si>
    <t>M66B-XPrivacy-2425</t>
  </si>
  <si>
    <t>Google app crashes without on-demand restriction</t>
  </si>
  <si>
    <t xml:space="preserve">I ve been trying to get Google voice recognition to work offline properly   _x000D_
After hours of trial and error I ve come to the conclusion that it only works if I leave at least one of these permissions on demand:  View getUserAgentString    View setUserAgentString    View initUserAgentString   It doesn t matter if I allow or deny these permissions in the prompt  But when I deny or allow them permanently  the Google app will crash the next time I give it a voice command   _x000D_
_x000D_
I find that behavior very odd and can t really explain it  Any ideas what could be causing this and how I could work around this issue </t>
  </si>
  <si>
    <t>fabian7593-MagicalCamera-28</t>
  </si>
  <si>
    <t>Fatal Exception: java.lang.OutOfMemoryError</t>
  </si>
  <si>
    <t xml:space="preserve">Hi _x000D_
_x000D_
i use your MagicalCamera to take several photo to send (encoded 64) to a server _x000D_
_x000D_
Sometime i got this error:_x000D_
_x000D_
  Fatal Exception: java lang OutOfMemoryError_x000D_
         at android graphics BitmapFactory nativeDecodeStream(BitmapFactory java)_x000D_
         at android graphics BitmapFactory decodeStream(BitmapFactory java:623)_x000D_
         at android graphics BitmapFactory decodeFile(BitmapFactory java:378)_x000D_
         at android graphics BitmapFactory decodeFile(BitmapFactory java:417)_x000D_
         at com frosquivel magicalcamera Functionallities ActionPicture onTakePhotoResult(ActionPicture java:183)_x000D_
         at com frosquivel magicalcamera Functionallities ActionPicture resultPhoto(ActionPicture java:203)_x000D_
         at com frosquivel magicalcamera MagicalCamera resultPhoto(MagicalCamera java:206)_x000D_
_x000D_
This is other crash information:_x000D_
    Platform: android_x000D_
    Date: 2017 09 26T08:42:00Z_x000D_
    OS Version: 4 2 2_x000D_
    Device: Galaxy S2 Plus_x000D_
    RAM Free: 35 6 _x000D_
    Disk Free: 62 8 _x000D_
_x000D_
I have this params set_x000D_
  private int RESIZE PHOTO PIXELS PERCENTAGE   20 _x000D_
_x000D_
Can you help me _x000D_
_x000D_
I belive you must add this function destroyPhoto:_x000D_
_x000D_
if(bitmap  null)_x000D_
 _x000D_
   bitmap recycle() _x000D_
   bitmap null _x000D_
 _x000D_
_x000D_
and we call this on onDestroy()  like magicalCamera destroyPhoto() _x000D_
_x000D_
Thanks in advances </t>
  </si>
  <si>
    <t>8enet-AppOpsX-17</t>
  </si>
  <si>
    <t>Android oreo卡死</t>
  </si>
  <si>
    <t xml:space="preserve">  supersu android 8  google pixel_x000D_
  app  adb logcat       _x000D_
_x000D_
09 26 16:43:15 688  1368  4771 I ActivityManager: START u0  cmp com zzzmode appopsx  ui permission AppPermissionActivity (has extras)  from uid 10138_x000D_
09 26 16:43:15 721 22774 22794 W System err: java io IOException: Connection refused_x000D_
09 26 16:43:15 721 22774 22794 W System err:    at android net LocalSocketImpl connectLocal(Native Method)_x000D_
09 26 16:43:15 721 22774 22794 W System err:    at android net LocalSocketImpl connect(LocalSocketImpl java:292)_x000D_
09 26 16:43:15 721 22774 22794 W System err:    at android net LocalSocket connect(LocalSocket java:145)_x000D_
09 26 16:43:15 721 22774 22794 W System err:    at com zzzmode appopsx LocalServerManager SyncClient connect(LocalServerManager java:517)_x000D_
09 26 16:43:15 721 22774 22794 W System err:    at com zzzmode appopsx LocalServerManager SyncClient start(LocalServerManager java:553)_x000D_
09 26 16:43:15 721 22774 22794 W System err:    at com zzzmode appopsx LocalServerManager start(LocalServerManager java:76)_x000D_
09 26 16:43:15 721 22774 22794 W System err:    at com zzzmode appopsx OpsxManager checkConnect(OpsxManager java:55)_x000D_
09 26 16:43:15 721 22774 22794 W System err:    at com zzzmode appopsx OpsxManager getOpsForPackage(OpsxManager java:59)_x000D_
09 26 16:43:15 721 22774 22794 W System err:    at com zzzmode appopsx ui core Helper 14 subscribe(Helper java:567)_x000D_
09 26 16:43:15 721 22774 22794 W System err:    at a a e e a e b(ObservableCreate java:40)_x000D_
09 26 16:43:15 721 22774 22794 W System err:    at a a c a(Observable java:10838)_x000D_
09 26 16:43:15 721 22774 22794 W System err:    at a a e e a o a a(ObservableRetryPredicate java:111)_x000D_
09 26 16:43:15 721 22774 22794 W System err:    at a a e e a o b(ObservableRetryPredicate java:41)_x000D_
09 26 16:43:15 721 22774 22794 W System err:    at a a c a(Observable java:10838)_x000D_
09 26 16:43:15 721 22774 22794 W System err:    at a a e e a q b run(ObservableSubscribeOn java:96)_x000D_
09 26 16:43:15 721 22774 22794 W System err:    at a a h a run(Scheduler java:452)_x000D_
09 26 16:43:15 721 22774 22794 W System err:    at a a e g i run(ScheduledRunnable java:61)_x000D_
09 26 16:43:15 722 22774 22794 W System err:    at a a e g i call(ScheduledRunnable java:52)_x000D_
09 26 16:43:15 722 22774 22794 W System err:    at java util concurrent FutureTask run(FutureTask java:266)_x000D_
09 26 16:43:15 722 22774 22794 W System err:    at java util concurrent ScheduledThreadPoolExecutor ScheduledFutureTask run(ScheduledThreadPoolExecutor java:301)_x000D_
09 26 16:43:15 722 22774 22794 W System err:    at java util concurrent ThreadPoolExecutor runWorker(ThreadPoolExecutor java:1162)_x000D_
09 26 16:43:15 722 22774 22794 W System err:    at java util concurrent ThreadPoolExecutor Worker run(ThreadPoolExecutor java:636)_x000D_
09 26 16:43:15 722 22774 22794 W System err:    at java lang Thread run(Thread java:764)_x000D_
09 26 16:43:15 722 22774 22794 E LocalServerManager: useRootStartServer    _x000D_
09 26 16:43:15 775  1368  1416 I ActivityManager: Displayed com zzzmode appopsx  ui permission AppPermissionActivity:  70ms_x000D_
09 26 16:43:15 786 22774 22799 D OpenGLRenderer: endAllActiveAnimators on 0x7089278000 (RippleDrawable) with handle 0x7080b54760_x000D_
09 26 16:43:16 918 22774 22794 E LocalServerManager: getCommonds     type:root path:appopsx zzzmode socket token:6dc8892f1dea790dd0ff9746a224b6fa bgrun:1    _x000D_
09 26 16:43:16 921 22774 22894 E LocalServerManager: log run     start_x000D_
09 26 16:43:16 935 22774 22894 E LocalServerManager: log run     uid 0(root) gid 0(root) groups 0(root) context u:r:supersu:s0_x000D_
09 26 16:43:17 176 22896 22896 D AndroidRuntime:        START com android internal os RuntimeInit uid 0       _x000D_
09 26 16:43:17 174 22896 22896 W app process: type 1400 audit(0 0:445): avc: granted   open   for path   dev pmsg0  dev  tmpfs  ino 15505 scontext u:r:supersu:s0 tcontext u:object r:pmsg device:s0 tclass chr file_x000D_
09 26 16:43:17 176 22896 22896 D AndroidRuntime:        START com android internal os RuntimeInit uid 0       _x000D_
          beginning of crash_x000D_
09 26 16:43:17 307 22898 22898 F libc    : CANNOT LINK EXECUTABLE   system bin dex2oat :   system lib64 libart so  is 64 bit instead of 32 bit_x000D_
09 26 16:43:17 307 22898 22898 F libc    : Fatal signal 6 (SIGABRT)  code  6 in tid 22898 (dex2oat)_x000D_
09 26 16:43:17 331 22900 22900 F libc    : CANNOT LINK EXECUTABLE  crash dump32 :   system lib64 libbacktrace so  is 64 bit instead of 32 bit_x000D_
09 26 16:43:17 331 22900 22900 F libc    : Fatal signal 6 (SIGABRT)  code  6 in tid 22900 (crash dump32)_x000D_
09 26 16:43:17 345 22902 22902 F libc    : CANNOT LINK EXECUTABLE  crash dump32 :   system lib64 libbacktrace so  is 64 bit instead of 32 bit_x000D_
09 26 16:43:17 345 22902 22902 F libc    : Fatal signal 6 (SIGABRT)  code  6 in tid 22902 (crash dump32)_x000D_
09 26 16:43:17 360 22904 22904 F libc    : CANNOT LINK EXECUTABLE  crash dump32 :   system lib64 libbacktrace so  is 64 bit instead of 32 bit_x000D_
09 26 16:43:17 360 22904 22904 F libc    : Fatal signal 6 (SIGABRT)  code  6 in tid 22904 (crash dump32)_x000D_
09 26 16:43:17 374 22906 22906 F libc    : CANNOT LINK EXECUTABLE  crash dump32 :   system lib64 libbacktrace so  is 64 bit instead of 32 bit_x000D_
09 26 16:43:17 375 22906 22906 F libc    : Fatal signal 6 (SIGABRT)  code  6 in tid 22906 (crash dump32)_x000D_
09 26 16:43:17 385 22908 22908 F libc    : CANNOT LINK EXECUTABLE  crash dump32 :   system lib64 libbacktrace so  is 64 bit instead of 32 bit_x000D_
09 26 16:43:17 385 22908 22908 F libc    : Fatal signal 6 (SIGABRT)  code  6 in tid 22908 (crash dump32)_x000D_
09 26 16:43:17 395 22910 22910 F libc    : CANNOT LINK EXECUTABLE  crash dump32 :   system lib64 libbacktrace so  is 64 bit instead of 32 bit_x000D_
09 26 16:43:17 395 22910 22910 F libc    : Fatal signal 6 (SIGABRT)  code  6 in tid 22910 (crash dump32)_x000D_
09 26 16:43:17 403 22774 22779 I zygote64: Do partial code cache collection  code 30KB  data 23KB_x000D_
09 26 16:43:17 404 22912 22912 F libc    : CANNOT LINK EXECUTABLE  crash dump32 :   system lib64 libbacktrace so  is 64 bit instead of 32 bit_x000D_
09 26 16:43:17 404 22912 22912 F libc    : Fatal signal 6 (SIGABRT)  code  6 in tid 22912 (crash dump32)_x000D_
09 26 16:43:17 404 22774 22779 I zygote64: After code cache collection  code 30KB  data 23KB_x000D_
09 26 16:43:17 404 22774 22779 I zygote64: Increasing code cache capacity to 128KB_x000D_
09 26 16:43:17 413 22914 22914 F libc    : CANNOT LINK EXECUTABLE  crash dump32 :   system lib64 libbacktrace so  is 64 bit instead of 32 bit_x000D_
09 26 16:43:17 413 22914 22914 F libc    : Fatal signal 6 (SIGABRT)  code  6 in tid 22914 (crash dump32)_x000D_
09 26 16:43:17 420 22916 22916 F libc    : CANNOT LINK EXECUTABLE  crash dump32 :   system lib64 libbacktrace so  is 64 bit instead of 32 bit_x000D_
09 26 16:43:17 421 22916 22916 F libc    : Fatal signal 6 (SIGABRT)  code  6 in tid 22916 (crash dump32)_x000D_
09 26 16:43:17 428 22918 22918 F libc    : CANNOT LINK EXECUTABLE  crash dump32 :   system lib64 libbacktrace so  is 64 bit instead of 32 bit_x000D_
09 26 16:43:17 429 22918 22918 F libc    : Fatal signal 6 (SIGABRT)  code  6 in tid 22918 (crash dump32)_x000D_
09 26 16:43:17 437 22920 22920 F libc    : CANNOT LINK EXECUTABLE  crash dump32 :   system lib64 libbacktrace so  is 64 bit instead of 32 bit_x000D_
09 26 16:43:17 441 22920 22920 F libc    : Fatal signal 6 (SIGABRT)  code  6 in tid 22920 (crash dump32)_x000D_
09 26 16:43:17 448 22922 22922 F libc    : CANNOT LINK EXECUTABLE  crash dump32 :   system lib64 libbacktrace so  is 64 bit instead of 32 bit_x000D_
09 26 16:43:17 449 22922 22922 F libc    : Fatal signal 6 (SIGABRT)  code  6 in tid 22922 (crash dump32)_x000D_
09 26 16:43:17 457 22924 22924 F libc    : CANNOT LINK EXECUTABLE  crash dump32 :   system lib64 libbacktrace so  is 64 bit instead of 32 bit_x000D_
09 26 16:43:17 458 22924 22924 F libc    : Fatal signal 6 (SIGABRT)  code  6 in tid 22924 (crash dump32)_x000D_
09 26 16:43:17 463 22926 22926 F libc    : CANNOT LINK EXECUTABLE  crash dump32 :   system lib64 libbacktrace so  is 64 bit instead of 32 bit_x000D_
09 26 16:43:17 464 22926 22926 F libc    : Fatal signal 6 (SIGABRT)  code  6 in tid 22926 (crash dump32)_x000D_
09 26 16:43:17 470 22928 22928 F libc    : CANNOT LINK EXECUTABLE  crash dump32 :   system lib64 libbacktrace so  is 64 bit instead of 32 bit_x000D_
09 26 16:43:17 470 22928 22928 F libc    : Fatal signal 6 (SIGABRT)  code  6 in tid 22928 (crash dump32)_x000D_
09 26 16:43:17 482 22930 22930 F libc    : CANNOT LINK EXECUTABLE  crash dump32 :   system lib64 libbacktrace so  is 64 bit instead of 32 bit_x000D_
09 26 16:43:17 482 22930 22930 F libc    : Fatal signal 6 (SIGABRT)  code  6 in tid 22930 (crash dump32)_x000D_
09 26 16:43:17 491 22932 22932 F libc    : CANNOT LINK EXECUTABLE  crash dump32 :   system lib64 libbacktrace so  is 64 bit instead of 32 bit_x000D_
09 26 16:43:17 491 22932 22932 F libc    : Fatal signal 6 (SIGABRT)  code  6 in tid 22932 (crash dump32)_x000D_
09 26 16:43:17 496 22934 22934 F libc    : CANNOT LINK EXECUTABLE  crash dump32 :   system lib64 libbacktrace so  is 64 bit instead of 32 bit_x000D_
09 26 16:43:17 497 22934 22934 F libc    : Fatal signal 6 (SIGABRT)  code  6 in tid 22934 (crash dump32)_x000D_
09 26 16:43:17 502 22936 22936 F libc    : CANNOT LINK EXECUTABLE  crash dump32 :   system lib64 libbacktrace so  is 64 bit instead of 32 bit_x000D_
09 26 16:43:17 502 22936 22936 F libc    : Fatal signal 6 (SIGABRT)  code  6 in tid 22936 (crash dump32)_x000D_
_x000D_
_x000D_
_x000D_
          crash dump         _x000D_
7153 root         20   0 1 6M 360K 204K S  0 0   0 0   0:00 00 crash dump32 7151 7152_x000D_
 7151 root         20   0 1 6M 364K 204K S  0 0   0 0   0:00 00 crash dump32 7149 7150_x000D_
 7149 root         20   0 1 6M 364K 204K S  0 0   0 0   0:00 00 crash dump32 7147 7148_x000D_
 7147 root         20   0 1 6M 360K 204K S  0 0   0 0   0:00 00 crash dump32 7145 7146_x000D_
 7145 root         20   0 1 6M 364K 204K S  0 0   0 0   0:00 00 crash dump32 7143 7144_x000D_
 7143 root         20   0 1 6M 364K 204K S  0 0   0 0   0:00 00 crash dump32 7141 7142</t>
  </si>
  <si>
    <t>the3deers-android-3D-model-viewer-24</t>
  </si>
  <si>
    <t>App crashes if we zoom in too much or zoom out too much</t>
  </si>
  <si>
    <t>If I zoom in too much or zoom out too much the app crashes  Can we give a zoom limit so that we can avoid crashes</t>
  </si>
  <si>
    <t>consp1racy-android-support-preference-81</t>
  </si>
  <si>
    <t>java.lang.ClassCastException: java.lang.String cannot be cast to java.lang.Integer SeekBarPreference.onSetInitialValue</t>
  </si>
  <si>
    <t xml:space="preserve">Can you please look into this crash  From time to time I see this crash reported  but it s a rare one _x000D_
_x000D_
   _x000D_
Fatal Exception: java lang RuntimeException: Unable to start activity ComponentInfo  MyActivity : java lang ClassCastException: java lang String cannot be cast to java lang Integer_x000D_
       at android app ActivityThread performLaunchActivity(ActivityThread java:2984)_x000D_
       at android app ActivityThread handleLaunchActivity(ActivityThread java:3045)_x000D_
       at android app ActivityThread  wrap14(ActivityThread java)_x000D_
       at android app ActivityThread H handleMessage(ActivityThread java:1642)_x000D_
       at android os Handler dispatchMessage(Handler java:102)_x000D_
       at android os Looper loop(Looper java:154)_x000D_
       at android app ActivityThread main(ActivityThread java:6776)_x000D_
       at java lang reflect Method invoke(Method java)_x000D_
       at com android internal os ZygoteInit MethodAndArgsCaller run(ZygoteInit java:1520)_x000D_
       at com android internal os ZygoteInit main(ZygoteInit java:1410)_x000D_
Caused by java lang ClassCastException: java lang String cannot be cast to java lang Integer_x000D_
       at android app SharedPreferencesImpl getInt(SharedPreferencesImpl java:242)_x000D_
       at android support v7 preference Preference getPersistedInt(Preference java:1709)_x000D_
       at net xpece android support preference SeekBarPreference onSetInitialValue(SeekBarPreference java:274)_x000D_
       at android support v7 preference Preference dispatchSetInitialValue(Preference java:6517)_x000D_
       at android support v7 preference Preference onAttachedToHierarchy(Preference java:1257)_x000D_
       at android support v7 preference PreferenceGroup addPreference(PreferenceGroup java:194)_x000D_
       at android support v7 preference XpPreferenceInflater android support v7 preference PreferenceGroup addItemFromInflater(XpPreferenceInflater java:4126)_x000D_
       at android support v7 preference XpPreferenceInflater rInflate(XpPreferenceInflater java:293)_x000D_
       at android support v7 preference XpPreferenceInflater rInflate(XpPreferenceInflater java:293)_x000D_
       at android support v7 preference XpPreferenceInflater inflate(XpPreferenceInflater java:103)_x000D_
       at android support v7 preference PreferenceInflater inflate 7af30e91(PreferenceInflater java:112)_x000D_
       at android support v7 preference XpPreferenceManager inflateFromResource 6154c3e6(XpPreferenceManager java:67)_x000D_
       at  MyFragment android support v7 preference PreferenceFragmentCompat addPreferencesFromResource(MyFragment java:9432)_x000D_
       at android support v7 preference XpPreferenceFragment onCreatePreferences(XpPreferenceFragment java:54)_x000D_
       at android support v7 preference PreferenceFragmentCompat onCreate(PreferenceFragmentCompat java:224)_x000D_
       at android support v4 app Fragment performCreate(Fragment java:2329)_x000D_
       at android support v4 app FragmentManagerImpl moveToState(FragmentManager java:1377)_x000D_
       at android support v4 app FragmentTransition addToFirstInLastOut(FragmentTransition java:1109)_x000D_
       at android support v4 app FragmentTransition calculateFragments(FragmentTransition java:996)_x000D_
       at android support v4 app FragmentTransition startTransitions(FragmentTransition java:99)_x000D_
       at android support v4 app FragmentManagerImpl executeOpsTogether(FragmentManager java:2364)_x000D_
       at android support v4 app FragmentManagerImpl removeRedundantOperationsAndExecute(FragmentManager java:2322)_x000D_
       at android support v4 app FragmentManagerImpl execPendingActions(FragmentManager java:2229)_x000D_
       at android support v4 app FragmentManagerImpl dispatchStateChange(FragmentManager java:3221)_x000D_
       at android support v4 app FragmentManagerImpl dispatchActivityCreated(FragmentManager java:3171)_x000D_
       at android support v4 app FragmentActivity android support v4 app FragmentController dispatchActivityCreated(FragmentActivity java:16192)_x000D_
       at android support v7 app AppCompatActivity onStart(AppCompatActivity java:177)_x000D_
       at  MyActivity onStart(MyActivity java)_x000D_
       at android app Instrumentation callActivityOnStart(Instrumentation java:1256)_x000D_
       at android app Activity performStart(Activity java:6972)_x000D_
       at android app ActivityThread performLaunchActivity(ActivityThread java:2937)_x000D_
       at android app ActivityThread handleLaunchActivity(ActivityThread java:3045)_x000D_
       at android app ActivityThread  wrap14(ActivityThread java)_x000D_
       at android app ActivityThread H handleMessage(ActivityThread java:1642)_x000D_
       at android os Handler dispatchMessage(Handler java:102)_x000D_
       at android os Looper loop(Looper java:154)_x000D_
       at android app ActivityThread main(ActivityThread java:6776)_x000D_
       at java lang reflect Method invoke(Method java)_x000D_
       at com android internal os ZygoteInit MethodAndArgsCaller run(ZygoteInit java:1520)_x000D_
       at com android internal os ZygoteInit main(ZygoteInit java:1410)_x000D_
   </t>
  </si>
  <si>
    <t>geopaparazzi-geopaparazzi-415</t>
  </si>
  <si>
    <t>Out of memory crashes due to images thumbnails</t>
  </si>
  <si>
    <t xml:space="preserve">At the moment they are first cause of crashes  Images that get even 16MB in file size and obviously expanded in memory to create thumbnails  they crash the app _x000D_
_x000D_
If the resolution of the app is lowered  everything works properly _x000D_
_x000D_
Will have to understand what is the best way to handle this _x000D_
_x000D_
For sure we will have to add a message warning for images that are taken at too high resolution </t>
  </si>
  <si>
    <t>TeamNewPipe-NewPipe-744</t>
  </si>
  <si>
    <t>Search crash</t>
  </si>
  <si>
    <t xml:space="preserve">   x  I carefully read the  contribution guidelines (https:  github com TeamNewPipe NewPipe blob HEAD  github CONTRIBUTING md) and agree to them _x000D_
   x  I checked if the issue feature exists in the latest version _x000D_
_x000D_
Unfortunately I can t reproduce this crash  as far as I remember I had searched for something and was going through the list and watched videos and went back to the search result and at some point I think I double clicked back and it crashed but I can t reproduce it  I thought it was worth posting the stacktrace just in case:_x000D_
_x000D_
 newpipev010exception3 txt (https:  github com TeamNewPipe NewPipe files 1336998 newpipev010exception3 txt)_x000D_
</t>
  </si>
  <si>
    <t>erickok-transdroid-391</t>
  </si>
  <si>
    <t>Crashing if remote server contains a lot of torrents</t>
  </si>
  <si>
    <t xml:space="preserve">At around the 1000 torrent mark  Transdroid crashes when trying to view a specific torrent or when switching to another app  When this happens I need to force stop the app before it will begin responding again _x000D_
_x000D_
Settings:_x000D_
_x000D_
  rtorrent: 0 9 6_x000D_
  rutorrent: 3 6_x000D_
_x000D_
Log from  Settings   Help :_x000D_
_x000D_
    Transdrone 2 5 8 (228)_x000D_
_x000D_
    Connection and error log:_x000D_
    13016    Wed Sep 27 09:20:50 GMT 01:00 2017    3    Calling system client version with params    _x000D_
    13017    Wed Sep 27 09:20:51 GMT 01:00 2017    3    Calling d multicall2 with params    main d hash  d name  d state  d down rate  d up rate  d peers connected  d peers not connected  d      _x000D_
    13018    Wed Sep 27 09:21:18 GMT 01:00 2017    6    E: java lang RuntimeException: android os TransactionTooLargeException: data parcel size 1012696 bytes_x000D_
    13019    Wed Sep 27 09:21:18 GMT 01:00 2017    6    E: android os BinderProxy transactNative(Native Method)_x000D_
    13020    Wed Sep 27 09:21:18 GMT 01:00 2017    6    E: android os BinderProxy transact(Binder java:615)_x000D_
    13021    Wed Sep 27 09:21:18 GMT 01:00 2017    6    E: android app ActivityManagerProxy activityStopped(ActivityManagerNative java:3636)_x000D_
    13022    Wed Sep 27 09:21:18 GMT 01:00 2017    6    E: android app ActivityThread StopInfo run(ActivityThread java:3802)_x000D_
    13023    Wed Sep 27 09:21:18 GMT 01:00 2017    6    E: android os Handler handleCallback(Handler java:751)_x000D_
    13024    Wed Sep 27 09:21:18 GMT 01:00 2017    6    E: android os Handler dispatchMessage(Handler java:95)_x000D_
    13025    Wed Sep 27 09:21:18 GMT 01:00 2017    6    E: android os Looper loop(Looper java:154)_x000D_
    13026    Wed Sep 27 09:21:18 GMT 01:00 2017    6    E: android app ActivityThread main(ActivityThread java:6186)_x000D_
    13027    Wed Sep 27 09:21:18 GMT 01:00 2017    6    E: java lang reflect Method invoke(Native Method)_x000D_
    13028    Wed Sep 27 09:21:18 GMT 01:00 2017    6    E: com android internal os ZygoteInit MethodAndArgsCaller run(ZygoteInit java:889)_x000D_
    13029    Wed Sep 27 09:21:18 GMT 01:00 2017    6    E: com android internal os ZygoteInit main(ZygoteInit java:779)_x000D_
    13030    Wed Sep 27 09:21:18 GMT 01:00 2017    6    E: android app ActivityThread StopInfo run(ActivityThread java:3810)_x000D_
    13031    Wed Sep 27 09:21:18 GMT 01:00 2017    6    E: android os Handler handleCallback(Handler java:751)_x000D_
    13032    Wed Sep 27 09:21:18 GMT 01:00 2017    6    E: android os Handler dispatchMessage(Handler java:95)_x000D_
    13033    Wed Sep 27 09:21:18 GMT 01:00 2017    6    E: android os Looper loop(Looper java:154)_x000D_
    13034    Wed Sep 27 09:21:19 GMT 01:00 2017    6    E: android app ActivityThread main(ActivityThread java:6186)_x000D_
    13035    Wed Sep 27 09:21:19 GMT 01:00 2017    6    E: java lang reflect Method invoke(Native Method)_x000D_
    13036    Wed Sep 27 09:21:19 GMT 01:00 2017    6    E: com android internal os ZygoteInit MethodAndArgsCaller run(ZygoteInit java:889)_x000D_
    13037    Wed Sep 27 09:21:19 GMT 01:00 2017    6    E: com android internal os ZygoteInit main(ZygoteInit java:779)_x000D_
    13038    Wed Sep 27 09:21:59 GMT 01:00 2017    3    Calling system client version with params    _x000D_
    13039    Wed Sep 27 09:22:00 GMT 01:00 2017    3    Calling d multicall2 with params    main d hash  d name  d state  d down rate  d up rate  d peers connected  d peers not connected  d      _x000D_
    13040    Wed Sep 27 09:23:19 GMT 01:00 2017    3    Calling system client version with params    _x000D_
    13041    Wed Sep 27 09:23:21 GMT 01:00 2017    3    Calling d multicall2 with params    main d hash  d name  d state  d down rate  d up rate  d peers connected  d peers not connected  d      _x000D_
    13042    Wed Sep 27 09:23:34 GMT 01:00 2017    6    E: java lang RuntimeException: android os TransactionTooLargeException: data parcel size 1012696 bytes_x000D_
    13043    Wed Sep 27 09:23:34 GMT 01:00 2017    6    E: android os BinderProxy transactNative(Native Method)_x000D_
    13044    Wed Sep 27 09:23:34 GMT 01:00 2017    6    E: android os BinderProxy transact(Binder java:615)_x000D_
    13045    Wed Sep 27 09:23:34 GMT 01:00 2017    6    E: android app ActivityManagerProxy activityStopped(ActivityManagerNative java:3636)_x000D_
    13046    Wed Sep 27 09:23:34 GMT 01:00 2017    6    E: android app ActivityThread StopInfo run(ActivityThread java:3802)_x000D_
    13047    Wed Sep 27 09:23:34 GMT 01:00 2017    6    E: android os Handler handleCallback(Handler java:751)_x000D_
    13048    Wed Sep 27 09:23:34 GMT 01:00 2017    6    E: android os Handler dispatchMessage(Handler java:95)_x000D_
    13049    Wed Sep 27 09:23:34 GMT 01:00 2017    6    E: android os Looper loop(Looper java:154)_x000D_
    13050    Wed Sep 27 09:23:34 GMT 01:00 2017    6    E: android app ActivityThread main(ActivityThread java:6186)_x000D_
    13051    Wed Sep 27 09:23:34 GMT 01:00 2017    6    E: java lang reflect Method invoke(Native Method)_x000D_
    13052    Wed Sep 27 09:23:34 GMT 01:00 2017    6    E: com android internal os ZygoteInit MethodAndArgsCaller run(ZygoteInit java:889)_x000D_
    13053    Wed Sep 27 09:23:34 GMT 01:00 2017    6    E: com android internal os ZygoteInit main(ZygoteInit java:779)_x000D_
    13054    Wed Sep 27 09:23:34 GMT 01:00 2017    6    E: android app ActivityThread StopInfo run(ActivityThread java:3810)_x000D_
    13055    Wed Sep 27 09:23:34 GMT 01:00 2017    6    E: android os Handler handleCallback(Handler java:751)_x000D_
    13056    Wed Sep 27 09:23:34 GMT 01:00 2017    6    E: android os Handler dispatchMessage(Handler java:95)_x000D_
    13057    Wed Sep 27 09:23:34 GMT 01:00 2017    6    E: android os Looper loop(Looper java:154)_x000D_
    13058    Wed Sep 27 09:23:34 GMT 01:00 2017    6    E: android app ActivityThread main(ActivityThread java:6186)_x000D_
    13059    Wed Sep 27 09:23:34 GMT 01:00 2017    6    E: java lang reflect Method invoke(Native Method)_x000D_
    13060    Wed Sep 27 09:23:34 GMT 01:00 2017    6    E: com android internal os ZygoteInit MethodAndArgsCaller run(ZygoteInit java:889)_x000D_
    13061    Wed Sep 27 09:23:34 GMT 01:00 2017    6    E: com android internal os ZygoteInit main(ZygoteInit java:779)_x000D_
    13062    Wed Sep 27 09:23:36 GMT 01:00 2017    3    Calling system client version with params    _x000D_
    13063    Wed Sep 27 09:23:38 GMT 01:00 2017    3    Calling d multicall2 with params    main d hash  d name  d state  d down rate  d up rate  d peers connected  d peers not connected  d      _x000D_
_x000D_
I m not sure if this enough information  If any required information is missing let me know and I ll try to dig it up </t>
  </si>
  <si>
    <t>arunkumar9t2-lynket-browser-33</t>
  </si>
  <si>
    <t>Recovering session or recently closed tabs</t>
  </si>
  <si>
    <t>I use Chromer in web heads mode  Occasionally I have had all webheads disappear  prseumably due to a crash  Some I think sometimes it Chromer has asked me to reopen old tabs when restarted but not today _x000D_
Is there a way to try and make it reopen recently closed tabs without being prompted  I can not find anything like that in the menus</t>
  </si>
  <si>
    <t>antest1-kcanotify-21</t>
  </si>
  <si>
    <t>Crash issue in Android 8.0</t>
  </si>
  <si>
    <t xml:space="preserve">Common crash related with permission is reported in Android 8 0 _x000D_
_x000D_
  Exception:  _x000D_
android view WindowManager BadTokenException: Unable to add window android view ViewRootImpl W 9235803    permission denied for window type 2002_x000D_
_x000D_
I m checking for this issue  Sorry for the inconvenience </t>
  </si>
  <si>
    <t>nextcloud-android-1601</t>
  </si>
  <si>
    <t>Nextcloud app crashes when opening 'Activities' overview</t>
  </si>
  <si>
    <t xml:space="preserve">    Actual behaviour_x000D_
  Application crashes_x000D_
    Expected behaviour_x000D_
  Activities shown_x000D_
 _x000D_
    Steps to reproduce_x000D_
1  Click Activites in sidebar_x000D_
_x000D_
_x000D_
    Environment data_x000D_
Android version: 7 1 2_x000D_
_x000D_
Device model: Oneplus X_x000D_
_x000D_
Stock or customized system: LineageOS_x000D_
_x000D_
Nextcloud app version: 20170926 (from F Droid)_x000D_
_x000D_
Nextcloud server version: 12 0 3_x000D_
_x000D_
    Logs_x000D_
     Web server error log_x000D_
N A_x000D_
_x000D_
     Nextcloud log (data nextcloud log)_x000D_
I can t find such a file on my device _x000D_
_x000D_
_x000D_
</t>
  </si>
  <si>
    <t>OneBusAway-onebusaway-android-810</t>
  </si>
  <si>
    <t>IllegalStateException when getting phone call while on map view and then selecting out-of-region dialog</t>
  </si>
  <si>
    <t xml:space="preserve">  Summary:   _x000D_
_x000D_
When getting a phone call in the map view  after I returned to the app and tapped on the  Out of region  dialog  the app crashed and I got the following stack trace:_x000D_
_x000D_
   _x000D_
Process: com joulespersecond seattlebusbot  PID: 26975_x000D_
   java lang IllegalStateException: Fragment BaseMapFragment bf9328a  not attached to Activity_x000D_
	   at android support v4 app Fragment getResources(Fragment java:636)_x000D_
	   at org onebusaway android map googlemapsv2 BaseMapFragment zoomToRegion(BaseMapFragment java:797)_x000D_
	   at org onebusaway android map googlemapsv2 BaseMapFragment MapDialogFragment 2 onClick(BaseMapFragment java:1231)_x000D_
	   at android support v7 app AlertController ButtonHandler handleMessage(AlertController java:157)_x000D_
	   at android os Handler dispatchMessage(Handler java:102)_x000D_
	   at android os Looper loop(Looper java:154)_x000D_
	   at android app ActivityThread main(ActivityThread java:6247)_x000D_
	   at java lang reflect Method invoke(Native Method)_x000D_
	   at com android internal os ZygoteInit MethodAndArgsCaller run(ZygoteInit java:872)_x000D_
	   at com android internal os ZygoteInit main(ZygoteInit java:762)_x000D_
   _x000D_
_x000D_
  Steps to reproduce:   _x000D_
_x000D_
1  Select a region other than the one you re in_x000D_
1  Go to Nearby screen_x000D_
1  Answer a phone call_x000D_
1  After hanging up  reply to the  Out of region  dialog_x000D_
_x000D_
  Expected behavior:   _x000D_
_x000D_
Not crash_x000D_
_x000D_
  Observed behavior:   _x000D_
_x000D_
Crash_x000D_
_x000D_
  Device and Android version:   _x000D_
_x000D_
LG G5 w  Android 7 0</t>
  </si>
  <si>
    <t>OneBusAway-onebusaway-android-809</t>
  </si>
  <si>
    <t xml:space="preserve">NPE on layer listener when switching fragments </t>
  </si>
  <si>
    <t xml:space="preserve">  Summary:   _x000D_
_x000D_
It looks like when switching out fragments when viewing  Nearby  mode in HomeActivity  one of the listeners becomes null  which results in an NPE:_x000D_
_x000D_
   _x000D_
 FATAL EXCEPTION: main_x000D_
   Process: com joulespersecond seattlebusbot  PID: 13040_x000D_
   java lang NullPointerException: Attempt to invoke interface method  void org onebusaway android ui LayersSpeedDialAdapter LayerActivationListener onDeactivateLayer(org onebusaway android map googlemapsv2 LayerInfo)  on a null object reference_x000D_
	   at org onebusaway android ui LayersSpeedDialAdapter onMenuItemClick(LayersSpeedDialAdapter java:123)_x000D_
	   at uk co markormesher android fab FloatingActionButton lambda rebuildSpeedDialMenu 1(FloatingActionButton java:445)_x000D_
	   at uk co markormesher android fab FloatingActionButton access lambda 1(FloatingActionButton java)_x000D_
	   at uk co markormesher android fab FloatingActionButton  Lambda 4 onClick(Unknown Source)_x000D_
	   at android view View performClick(View java:5623)_x000D_
	   at android view View PerformClick run(View java:22433)_x000D_
	   at android os Handler handleCallback(Handler java:751)_x000D_
	   at android os Handler dispatchMessage(Handler java:95)_x000D_
	   at android os Looper loop(Looper java:154)_x000D_
	   at android app ActivityThread main(ActivityThread java:6247)_x000D_
	   at java lang reflect Method invoke(Native Method)_x000D_
	   at com android internal os ZygoteInit MethodAndArgsCaller run(ZygoteInit java:872)_x000D_
	   at com android internal os ZygoteInit main(ZygoteInit java:762)_x000D_
   _x000D_
_x000D_
  Steps to reproduce:   _x000D_
_x000D_
Not sure   open route mode and switch back to normal mode on map  switch to and from  Starred Stops   until it crashes_x000D_
_x000D_
  Expected behavior:   _x000D_
_x000D_
Not crash_x000D_
_x000D_
  Observed behavior:   _x000D_
_x000D_
Crash_x000D_
_x000D_
  Device and Android version:   _x000D_
_x000D_
LG G5 w  Android 7 0</t>
  </si>
  <si>
    <t>MCMrARM-revolution-irc-3</t>
  </si>
  <si>
    <t>Crash when connecting to a ZNC 1.7 bouncer</t>
  </si>
  <si>
    <t xml:space="preserve">App don t connect to passworded server (as zncs) and crashes _x000D_
If you try to reopen the app  it crashes again (maybe while it s trying to connect ) _x000D_
Except that  seems very interesting _x000D_
Any update soon </t>
  </si>
  <si>
    <t>TeamWalrus-Walrus-11</t>
  </si>
  <si>
    <t>Better card device operations error handling</t>
  </si>
  <si>
    <t>I think it crashes when i e  card read times out</t>
  </si>
  <si>
    <t>BaseballCardTracker-bbct-android-423</t>
  </si>
  <si>
    <t>BaseballCardDetails.java line 275</t>
  </si>
  <si>
    <t xml:space="preserve">     in bbct android common activity BaseballCardDetails getBaseballCard
  Number of crashes: 1
  Impacted devices: 1
There s a lot more information about this crash on crashlytics com:
 https:  fabric io codeguru apps android apps bbct android issues 59cf96b2be077a4dcc84af47 utm medium service hooks github utm source issue impact (https:  fabric io codeguru apps android apps bbct android issues 59cf96b2be077a4dcc84af47 utm medium service hooks github utm source issue impact)</t>
  </si>
  <si>
    <t>dgets-MinTone-11</t>
  </si>
  <si>
    <t>Clicking the 'Frequency' subheading crashes the app</t>
  </si>
  <si>
    <t xml:space="preserve">Accidentally clicking the  Frequency  subheading  above the frequency seekbar  causes the application to crash for some ungodly reason </t>
  </si>
  <si>
    <t>mkjensen-tv-2</t>
  </si>
  <si>
    <t>Handle programs without start time and/or end time</t>
  </si>
  <si>
    <t xml:space="preserve">It happens that https:  www dr dk mu online Help 1 3 Api GET api apiVersion schedule id broadcastDate onlinegenretext returns a program without start time and or end time _x000D_
_x000D_
When it happens  the app crashes and won t work until the program without start time and or end time is no longer part of the EPG data being synchronized _x000D_
_x000D_
Start time and end time are required by  com google android media tv companionlibrary EpgSyncJobService EpgSyncTask getPrograms  </t>
  </si>
  <si>
    <t>st1hy-Red-Calorie-32</t>
  </si>
  <si>
    <t>Editing newly created copy of existing meal causes app crash</t>
  </si>
  <si>
    <t xml:space="preserve">Steps to reproduce on 1 5 6:_x000D_
_x000D_
1  Copy a meal to today_x000D_
2  Edit this mel_x000D_
3  Click save_x000D_
_x000D_
Application crashes on Android Oreo:_x000D_
Crash report is not uploading to Play Services  no errors are reported to Logcat (Android 8 0 only)_x000D_
Under investigation (manual error logging) problem was found in:_x000D_
_x000D_
 09 29 22:52:59 150 2426 2493   E AddMealPresenterImp  La: org greenrobot greendao DaoException: Entity is detached from DAO context_x000D_
                                                              at com github st1hy countthemcalories database IngredientTemplate getChildIngredients(IngredientTemplate java:164)_x000D_
                                                              at com github st1hy countthemcalories activities overview meals model RxMealsDatabaseModel performInsertOrUpdate(RxMealsDatabaseModel java:69)_x000D_
                                                              at com github st1hy countthemcalories activities overview meals model RxMealsDatabaseModel lambda insertOrUpdate 1(RxMealsDatabaseModel java:58)_x000D_
                                                              at com github st1hy countthemcalories activities overview meals model RxMealsDatabaseModel  Lambda 2 call(Unknown Source:0)_x000D_
                                                              at org greenrobot greendao AbstractDaoSession callInTx(AbstractDaoSession java:166)_x000D_
                                                              at com github st1hy countthemcalories core rx AbstractRxDatabaseModel lambda callInTx 0(AbstractRxDatabaseModel java:32)_x000D_
                                                              at com github st1hy countthemcalories core rx AbstractRxDatabaseModel  Lambda 1 call(Unknown Source:0)_x000D_
                                                              at rx internal operators OnSubscribeFromCallable call(OnSubscribeFromCallable java:48)_x000D_
                                                              at rx internal operators OnSubscribeFromCallable call(OnSubscribeFromCallable java:33)_x000D_
                                                              at rx Observable unsafeSubscribe(Observable java:10346)_x000D_
                                                              at rx internal operators OperatorSubscribeOn SubscribeOnSubscriber call(OperatorSubscribeOn java:100)_x000D_
                                                              at rx internal schedulers CachedThreadScheduler EventLoopWorker 1 call(CachedThreadScheduler java:230)_x000D_
                                                              at rx internal schedulers ScheduledAction run(ScheduledAction java:55)_x000D_
                                                              at java util concurrent Executors RunnableAdapter call(Executors java:457)_x000D_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 </t>
  </si>
  <si>
    <t>dgets-MinTone-15</t>
  </si>
  <si>
    <t>Out of range entry crashes app</t>
  </si>
  <si>
    <t xml:space="preserve">When the user enters a frequency manually that happens to be out of range  the app crashes  presumably upon throwing  MyException  </t>
  </si>
  <si>
    <t>iBotPeaches-Apktool-1632</t>
  </si>
  <si>
    <t>AAPT crashes during rebuild</t>
  </si>
  <si>
    <t xml:space="preserve">    Information_x000D_
1    Apktool Version ( apktool  version )     2 3 0_x000D_
2    Operating System (Mac  Linux  Windows)     Windows_x000D_
3    APK From  (Playstore  ROM  Other)     Playstore_x000D_
_x000D_
    Stacktrace Logcat_x000D_
_x000D_
   _x000D_
I: Using Apktool 2 3 0_x000D_
I: Smaling smali folder into classes dex   _x000D_
I: Building resources   _x000D_
W: warning: string  textOff  has no default translation _x000D_
W: warning: string  textOn  has no default translation _x000D_
W: C: Users marc Downloads b com kms free res layout footer issues status xml:13: error: No resource identifier found for attribute  cardBackgroundColor  in package  android _x000D_
W:_x000D_
W: C: Users marc Downloads b com kms free res layout footer issues status xml:13: error: No resource identifier found for attribute  cardElevation  in package  android _x000D_
W:_x000D_
W: C: Users marc Downloads b com kms free res layout kis activity main xml:4: error: No resource identifier found for attribute  slidingViewId  in package  android _x000D_
W:_x000D_
W: C: Users marc Downloads b com kms free res layout kis activity main xml:4: error: No resource identifier found for attribute  mainViewId  in package  android _x000D_
W:_x000D_
W: C: Users marc Downloads b com kms free res layout kis activity main xml:4: error: No resource identifier found for attribute  slidingViewStyle  in package  android _x000D_
W:_x000D_
W: C: Users marc Downloads b com kms free res layout kis activity main xml:4: error: No resource identifier found for attribute  slidingViewLedge  in package  android _x000D_
W:_x000D_
W: C: Users marc Downloads b com kms free res layout kis activity main xml:4: error: No resource identifier found for attribute  slidingViewPosition  in package  android _x000D_
W:_x000D_
W: C: Users marc Downloads b com kms free res layout kis fragment shield xml:11: error: No resource identifier found for attribute  wireframeDrawableId  in package  android _x000D_
W:_x000D_
W: C: Users marc Downloads b com kms free res layout kis fragment shield xml:11: error: No resource identifier found for attribute  infoDrawableId  in package  android _x000D_
W:_x000D_
W: C: Users marc Downloads b com kms free res layout kis fragment shield xml:11: error: No resource identifier found for attribute  warningDrawableId  in package  android _x000D_
W:_x000D_
W: C: Users marc Downloads b com kms free res layout kis fragment shield xml:11: error: No resource identifier found for attribute  errorDrawableId  in package  android _x000D_
W:_x000D_
W: C: Users marc Downloads b com kms free res layout kis fragment shield xml:11: error: No resource identifier found for attribute  progressDelimDrawableId  in package  android _x000D_
W:_x000D_
W: C: Users marc Downloads b com kms free res layout kis fragment shield xml:11: error: No resource identifier found for attribute  progressHiDrawableId  in package  android _x000D_
W:_x000D_
W: C: Users marc Downloads b com kms free res layout kis fragment shield xml:11: error: No resource identifier found for attribute  progressLowDrawableId  in package  android _x000D_
W:_x000D_
W: C: Users marc Downloads b com kms free res layout kis fragment shield xml:11: error: No resource identifier found for attribute  progressPaddingTopPercent  in package  android _x000D_
W:_x000D_
W: C: Users marc Downloads b com kms free res layout kis fragment shield xml:11: error: No resource identifier found for attribute  progressPaddingBottomPercent  in package  android _x000D_
W:_x000D_
W: C: Users marc Downloads b com kms free res layout kis li issue xml:4: error: No resource identifier found for attribute  cardElevation  in package  android _x000D_
W:_x000D_
W: C: Users marc Downloads b com kms free res layout kis li issue xml:4: error: No resource identifier found for attribute  cardUseCompatPadding  in package  android _x000D_
W:_x000D_
W: C: Users marc Downloads b com kms free res layout kis li issue xml:4: error: No resource identifier found for attribute  contentPadding  in package  android _x000D_
W:_x000D_
W: C: Users marc Downloads b com kms free res layout license blocked xml:4: error: No resource identifier found for attribute  boundedWidthInches  in package  android _x000D_
W:_x000D_
W: C: Users marc Downloads b com kms free res layout license info control xml:4: error: No resource identifier found for attribute  remainingText  in package  android _x000D_
W:_x000D_
W: C: Users marc Downloads b com kms free res layout license info control xml:4: error: No resource identifier found for attribute  backgroundNoValue  in package  android _x000D_
W:_x000D_
W: C: Users marc Downloads b com kms free res layout license info control xml:4: error: No resource identifier found for attribute  backgroundValue  in package  android _x000D_
W:_x000D_
W: C: Users marc Downloads b com kms free res layout license settings general xml:4: error: No resource identifier found for attribute  boundedWidthInches  in package  android _x000D_
W:_x000D_
W: C: Users marc Downloads b com kms free res layout wizard web registration kms xml:8: error: No resource identifier found for attribute  editHint  in package  android _x000D_
W:_x000D_
W: C: Users marc Downloads b com kms free res layout wizard web registration kms xml:9: error: No resource identifier found for attribute  editHint  in package  android _x000D_
W:_x000D_
W: C: Users marc Downloads b com kms free res layout wizard web registration kms xml:9: error: No resource identifier found for attribute  emptyPasswordHint  in package  android _x000D_
W:_x000D_
W: C: Users marc Downloads b com kms free res layout wizard web registration kms xml:9: error: No resource identifier found for attribute  shortPasswordHint  in package  android _x000D_
W:_x000D_
W: C: Users marc Downloads b com kms free res layout wizard web registration kms xml:9: error: No resource identifier found for attribute  weakPasswordHint  in package  android _x000D_
W:_x000D_
W: C: Users marc Downloads b com kms free res layout wizard web registration kms xml:9: error: No resource identifier found for attribute  invalidPasswordHint  in package  android _x000D_
W:_x000D_
W: C: Users marc Downloads b com kms free res layout wizard web registration kms xml:11: error: No resource identifier found for attribute  editHint  in package  android _x000D_
W:_x000D_
W: C: Users marc Downloads b com kms free res layout wizard web registration kms xml:12: error: No resource identifier found for attribute  titleText  in package  android _x000D_
W:_x000D_
W: C: Users marc Downloads b com kms free res layout wizard web registration kms xml:23: error: No resource identifier found for attribute  titleText  in package  android _x000D_
W:_x000D_
W: C: Users marc Downloads b com kms free res layout wizard web registration kts xml:8: error: No resource identifier found for attribute  editHint  in package  android _x000D_
W:_x000D_
W: C: Users marc Downloads b com kms free res layout wizard web registration kts xml:9: error: No resource identifier found for attribute  editHint  in package  android _x000D_
W:_x000D_
W: C: Users marc Downloads b com kms free res layout wizard web registration kts xml:9: error: No resource identifier found for attribute  emptyPasswordHint  in package  android _x000D_
W:_x000D_
W: C: Users marc Downloads b com kms free res layout wizard web registration kts xml:9: error: No resource identifier found for attribute  shortPasswordHint  in package  android _x000D_
W:_x000D_
W: C: Users marc Downloads b com kms free res layout wizard web registration kts xml:9: error: No resource identifier found for attribute  weakPasswordHint  in package  android _x000D_
W:_x000D_
W: C: Users marc Downloads b com kms free res layout wizard web registration kts xml:9: error: No resource identifier found for attribute  invalidPasswordHint  in package  android _x000D_
W:_x000D_
W: C: Users marc Downloads b com kms free res layout wizard web registration kts xml:11: error: No resource identifier found for attribute  editHint  in package  android _x000D_
W:_x000D_
W: C: Users marc Downloads b com kms free res layout wizard web registration kts xml:12: error: No resource identifier found for attribute  titleText  in package  android _x000D_
W:_x000D_
W: C: Users marc Downloads b com kms free res layout wizard web registration kts xml:24: error: No resource identifier found for attribute  titleText  in package  android _x000D_
W:_x000D_
Exception in thread  main  brut androlib AndrolibException: brut androlib AndrolibException: brut common BrutException: could not exec (exit code   1):  C: cygwin64 tmp brut util Jar 1216407143768294297 tmp  p    forced package id  127    min sdk version  14    target sdk version  22    version code  97    version name  11 9 4 1294    no version vectors   F  C: cygwin64 tmp APKTOOL4181187643853471594 tmp   0  arsc   0  arsc   I  C: Users marc AppData Local apktool framework 1 apk   S  C: Users marc Downloads b com kms free res   M  C: Users marc Downloads b com kms free AndroidManifest xml _x000D_
        at brut androlib Androlib buildResourcesFull(Androlib java:485)_x000D_
        at brut androlib Androlib buildResources(Androlib java:419)_x000D_
        at brut androlib Androlib build(Androlib java:318)_x000D_
        at brut androlib Androlib build(Androlib java:270)_x000D_
        at brut apktool Main cmdBuild(Main java:224)_x000D_
        at brut apktool Main main(Main java:75)_x000D_
Caused by: brut androlib AndrolibException: brut common BrutException: could not exec (exit code   1):  C: cygwin64 tmp brut util Jar 1216407143768294297 tmp  p    forced package id  127    min sdk version  14    target sdk version  22    version code  97    version name  11 9 4 1294    no version vectors   F  C: cygwin64 tmp APKTOOL4181187643853471594 tmp   0  arsc   0  arsc   I  C: Users marc AppData Local apktool framework 1 apk   S  C: Users marc Downloads b com kms free res   M  C: Users marc Downloads b com kms free AndroidManifest xml _x000D_
        at brut androlib res AndrolibResources aaptPackage(AndrolibResources java:454)_x000D_
        at brut androlib Androlib buildResourcesFull(Androlib java:471)_x000D_
            5 more_x000D_
Caused by: brut common BrutException: could not exec (exit code   1):  C: cygwin64 tmp brut util Jar 1216407143768294297 tmp  p    forced package id  127    min sdk version  14    target sdk version  22    version code  97    version name  11 9 4 1294    no version vectors   F  C: cygwin64 tmp APKTOOL4181187643853471594 tmp   0  arsc   0  arsc   I  C: Users marc AppData Local apktool framework 1 apk   S  C: Users marc Downloads b com kms free res   M  C: Users marc Downloads b com kms free AndroidManifest xml _x000D_
        at brut util OS exec(OS java:95)_x000D_
        at brut androlib res AndrolibResources aaptPackage(AndrolibResources java:448)_x000D_
            6 more_x000D_
   _x000D_
aapt crashes although there are no error messages used by it _x000D_
_x000D_
    Steps to Reproduce_x000D_
 apktool d com kms free apk_x000D_
apktool b  f com kms free _x000D_
_x000D_
    Frameworks_x000D_
None used_x000D_
_x000D_
    APK_x000D_
https:  drive google com file d 0B2XIcd5M5qKuYnlZZ1hJSGNBcU0 view usp sharing</t>
  </si>
  <si>
    <t>dimagi-commcare-android-1842</t>
  </si>
  <si>
    <t>Fixes NPE for Grid Menu when there is audioFile for a menu</t>
  </si>
  <si>
    <t xml:space="preserve">In 2 39  while refactoring for Menu Badges  I also refactored MenuAdapter and GridAdapter to use same getView code and what I didn t realise is there is not audio button in grid menu list item layout  This is causing a crash when we have anyway added a audio file for a Grid menu in HQ since right now mobile code is assuming that if there is a audio file there should also be a audioButton for it  _x000D_
_x000D_
https:  fabric io dimagi android apps org commcare dalvik issues 59cf74adbe077a4dcc831241 time last ninety days_x000D_
_x000D_
This is impacting only the ICDS AWW app right now and it s causing a crash on clicking Start </t>
  </si>
  <si>
    <t>dimagi-commcare-android-1845</t>
  </si>
  <si>
    <t>2.39.2 - Universal timeout increase on upgrades</t>
  </si>
  <si>
    <t xml:space="preserve">Fixes https:  fabric io dimagi android apps org commcare dalvik issues 59bab3f7be077a4dcca0087b time last seven days _x000D_
_x000D_
The stack trace in the above crash doesn t reveal what was really going on here (thanks  ctsims for getting to the bottom of it)  The bug was that for the v20     v21 user db migration (which reindexes all cases)  the migration was taking longer than 5 seconds  which is the default timeout set in  CommCareApplication  ( MAX BIND TIMEOUT ) for binding to the session service  Previously  we would selectively increase this timeout in certain migrations that we expected to take a long time  but this one was missed and is causing issues for a few users (thankfully only 3 so far  all in the same app  so seems quite rare)  But since there s really not much harm in increasing this timeout even when it s not strictly necessary  we ve decided to simplify matters and prevent this in the future by having a blanket increase in the timeout for all user db upgrades </t>
  </si>
  <si>
    <t>Rajawali-Rajawali-1991</t>
  </si>
  <si>
    <t>No package identifier when getting value for resource number 0x00000000</t>
  </si>
  <si>
    <t xml:space="preserve">     Rajawali Version or Branch_x000D_
Version  1 1 999_x000D_
org rajawali3d:rajawali:1 1 999 SNAPSHOT_x000D_
_x000D_
     Device and Android Version_x000D_
Android Studio Emulator _x000D_
Android 5 1_x000D_
_x000D_
     Summary_x000D_
parser parse() for MD2 objects gives the following error:_x000D_
 No package identifier when getting value for resource number 0x00000000 _x000D_
_x000D_
     Steps to Reproduce_x000D_
Add MD2 file to raw resource directory  test md2 _x000D_
   _x000D_
                        LoaderMD2 parser   new LoaderMD2(mContext getResources()  mTextureManager  R raw test) _x000D_
                        try  _x000D_
                            parser parse() _x000D_
                            VertexAnimationObject3D mOgre   (VertexAnimationObject3D) parser_x000D_
                                     getParsedAnimationObject() _x000D_
                              mOgre getMaterial() enableLighting(false) _x000D_
                            mOgre setScale( 07f) _x000D_
                            mOgre setY(2) _x000D_
_x000D_
                            getCurrentScene() addChild(mOgre) _x000D_
_x000D_
                            mOgre play() _x000D_
                          catch (ParsingException e)  _x000D_
                            e printStackTrace() _x000D_
                         _x000D_
   _x000D_
_x000D_
     Trace or Log Output_x000D_
no engine crash_x000D_
</t>
  </si>
  <si>
    <t>philipphecht-react-native-doc-viewer-49</t>
  </si>
  <si>
    <t>OpenFile is undefined on Android</t>
  </si>
  <si>
    <t xml:space="preserve">  Versions in use_x000D_
react native: 0 48 3 _x000D_
react native doc viewer: 2 4 7 _x000D_
_x000D_
  Bug description_x000D_
Everything works fine on iOS _x000D_
I tried both auto linking and manual install for Android  but in either case   OpenFile  is undefined _x000D_
_x000D_
  Relevant code_x000D_
   _x000D_
import OpenFile from  react native doc viewer  _x000D_
_x000D_
OpenFile openDocBinaryinUrl(  _x000D_
    url: http:  mail hartl haus at uploads tx hhhouses  binaryString   _x000D_
    fileName: sample  _x000D_
    fileType: jpg _x000D_
    (error  url)     _x000D_
    if (error)  _x000D_
        console error(error) _x000D_
      else  _x000D_
        console log(url)_x000D_
     _x000D_
 ) _x000D_
   _x000D_
_x000D_
  Error message_x000D_
_x000D_
  undefined is not a function (evaluating   reactNativeDocViewer2 default openDocBinaryinUrl )_x000D_
_x000D_
Also  the example application keeps crashing  so I can t test with that _x000D_
_x000D_
Thanks in advance </t>
  </si>
  <si>
    <t>requery-requery-693</t>
  </si>
  <si>
    <t>ClassCastException for entity with Long primary key in Kotlin on Android</t>
  </si>
  <si>
    <t xml:space="preserve">An example of this crash is available  here (https:  github com scompt requery bug)  Just build the app (   gradlew assembleDebug )  install it ( adb install app build outputs apk debug app debug apk )  run it  and you ll get the exception below _x000D_
_x000D_
The entity in question is defined so:_x000D_
_x000D_
   _x000D_
 Entity_x000D_
data class ExampleEntity (_x000D_
         get:Key  get:Generated_x000D_
        val id: Long _x000D_
_x000D_
        val name: String _x000D_
) : Persistable_x000D_
   _x000D_
_x000D_
and I m trying to insert it like so:_x000D_
_x000D_
   _x000D_
        entityStore insert(ExampleEntity(5  null)  Long::class) subscribe()_x000D_
   _x000D_
_x000D_
Any ideas what could be the problem _x000D_
_x000D_
  Exception Stacktrace_x000D_
_x000D_
   _x000D_
10 03 12:48:37 155 E AndroidRuntime(17918): FATAL EXCEPTION: main_x000D_
10 03 12:48:37 155 E AndroidRuntime(17918): Process: com scompt requery bug  PID: 17918_x000D_
10 03 12:48:37 155 E AndroidRuntime(17918): io reactivex exceptions OnErrorNotImplementedException: java lang Long cannot be cast to long_x000D_
10 03 12:48:37 155 E AndroidRuntime(17918): 	at io reactivex internal functions Functions OnErrorMissingConsumer accept(Functions java:704)_x000D_
10 03 12:48:37 155 E AndroidRuntime(17918): 	at io reactivex internal functions Functions OnErrorMissingConsumer accept(Functions java:701)_x000D_
10 03 12:48:37 155 E AndroidRuntime(17918): 	at io reactivex internal observers ConsumerSingleObserver onError(ConsumerSingleObserver java:45)_x000D_
10 03 12:48:37 155 E AndroidRuntime(17918): 	at io reactivex internal operators single SingleFromCallable subscribeActual(SingleFromCallable java:43)_x000D_
10 03 12:48:37 155 E AndroidRuntime(17918): 	at io reactivex Single subscribe(Single java:2703)_x000D_
10 03 12:48:37 155 E AndroidRuntime(17918): 	at io reactivex Single subscribe(Single java:2689)_x000D_
10 03 12:48:37 155 E AndroidRuntime(17918): 	at io reactivex Single subscribe(Single java:2610)_x000D_
10 03 12:48:37 155 E AndroidRuntime(17918): 	at com scompt requery bug BugApplication onCreate(BikeBuilderApplication kt:38)_x000D_
10 03 12:48:37 155 E AndroidRuntime(17918): 	at android app Instrumentation callApplicationOnCreate(Instrumentation java:1013)_x000D_
10 03 12:48:37 155 E AndroidRuntime(17918): 	at android app ActivityThread handleBindApplication(ActivityThread java:4712)_x000D_
10 03 12:48:37 155 E AndroidRuntime(17918): 	at android app ActivityThread  wrap1(ActivityThread java)_x000D_
10 03 12:48:37 155 E AndroidRuntime(17918): 	at android app ActivityThread H handleMessage(ActivityThread java:1405)_x000D_
10 03 12:48:37 155 E AndroidRuntime(17918): 	at android os Handler dispatchMessage(Handler java:102)_x000D_
10 03 12:48:37 155 E AndroidRuntime(17918): 	at android os Looper loop(Looper java:148)_x000D_
10 03 12:48:37 155 E AndroidRuntime(17918): 	at android app ActivityThread main(ActivityThread java:5422)_x000D_
10 03 12:48:37 155 E AndroidRuntime(17918): 	at java lang reflect Method invoke(Native Method)_x000D_
10 03 12:48:37 155 E AndroidRuntime(17918): 	at com android internal os ZygoteInit MethodAndArgsCaller run(ZygoteInit java:726)_x000D_
10 03 12:48:37 155 E AndroidRuntime(17918): 	at com android internal os ZygoteInit main(ZygoteInit java:616)_x000D_
10 03 12:48:37 155 E AndroidRuntime(17918): Caused by: java lang ClassCastException: java lang Long cannot be cast to long_x000D_
10 03 12:48:37 155 E AndroidRuntime(17918): 	at java lang Class cast(Class java:1505)_x000D_
10 03 12:48:37 155 E AndroidRuntime(17918): 	at io requery sql EntityDataStore insert(EntityDataStore java:207)_x000D_
10 03 12:48:37 155 E AndroidRuntime(17918): 	at io requery sql KotlinEntityDataStore insert(KotlinEntityDataStore kt:121)_x000D_
10 03 12:48:37 155 E AndroidRuntime(17918): 	at io requery reactivex KotlinReactiveEntityStore insert 3 call(KotlinReactiveEntityStore kt:59)_x000D_
10 03 12:48:37 155 E AndroidRuntime(17918): 	at io reactivex internal operators single SingleFromCallable subscribeActual(SingleFromCallable java:35)_x000D_
10 03 12:48:37 155 E AndroidRuntime(17918): 	    14 more_x000D_
   </t>
  </si>
  <si>
    <t>twilio-voice-quickstart-android-99</t>
  </si>
  <si>
    <t>App crashing when Incoming call rejects</t>
  </si>
  <si>
    <t>_x000D_
Hi _x000D_
_x000D_
I am using   beta18   version of voice quickstart android to implement calling feature and implemented successfully but getting a crash in Incoming call _x000D_
_x000D_
When a call is running over my mobile network and an incoming call comes into my application by Twilio but I reject the twilio call then app crashed _x000D_
_x000D_
Steps to reproduce   _x000D_
_x000D_
1  Start a call over mobile network(SIM call) _x000D_
2  Make an incoming call over application(Twilio call) _x000D_
3  Reject Twilio call _x000D_
4  App will be crashed _x000D_
_x000D_
Please reproduce it and give me the solution _x000D_
_x000D_
Check Crash Logs below   _x000D_
_x000D_
_x000D_
10 03 14:25:29 901 30450 30450 com app beaclock E ActivityThread: Activity com app beaclock activity TwilioIncomingActivity has leaked IntentReceiver com twilio voice ConnectivityReceiver fbdfa9b that was originally registered here  Are you missing a call to unregisterReceiver() _x000D_
                                                                  android app IntentReceiverLeaked: Activity com app beaclock activity TwilioIncomingActivity has leaked IntentReceiver com twilio voice ConnectivityReceiver fbdfa9b that was originally registered here  Are you missing a call to unregisterReceiver() _x000D_
                                                                      at android app LoadedApk ReceiverDispatcher  init (LoadedApk java:1159)_x000D_
                                                                      at android app LoadedApk getReceiverDispatcher(LoadedApk java:946)_x000D_
                                                                      at android app ContextImpl registerReceiverInternal(ContextImpl java:1302)_x000D_
                                                                      at android app ContextImpl registerReceiver(ContextImpl java:1282)_x000D_
                                                                      at android app ContextImpl registerReceiver(ContextImpl java:1276)_x000D_
                                                                      at android content ContextWrapper registerReceiver(ContextWrapper java:586)_x000D_
                                                                      at com twilio voice CallControlManager registerConnectivityBroadcastReceiver(CallControlManager java:377)_x000D_
                                                                      at com twilio voice CallControlManager  init (CallControlManager java:47)_x000D_
                                                                      at com twilio voice CallControlManager getInstance(CallControlManager java:136)_x000D_
                                                                      at com twilio voice CallControlManager reject(CallControlManager java:75)_x000D_
                                                                      at com twilio voice CallInvite reject(CallInvite java:184)_x000D_
                                                                      at com app beaclock activity TwilioIncomingActivity reject(TwilioIncomingActivity java:841)_x000D_
                                                                      at com app beaclock activity TwilioIncomingActivity onClick(TwilioIncomingActivity java:729)_x000D_
                                                                      at android view View performClick(View java:5637)_x000D_
                                                                      at android view View PerformClick run(View java:22429)_x000D_
                                                                      at android os Handler handleCallback(Handler java:751)_x000D_
                                                                      at android os Handler dispatchMessage(Handler java:95)_x000D_
                                                                      at android os Looper loop(Looper java:154)_x000D_
                                                                      at android app ActivityThread main(ActivityThread java:6121)_x000D_
                                                                      at java lang reflect Method invoke(Native Method)_x000D_
                                                                      at com android internal os ZygoteInit MethodAndArgsCaller run(ZygoteInit java:889)_x000D_
                                                                      at com android internal os ZygoteInit main(ZygoteInit java:779)_x000D_
10 03 14:25:31 912 30450 30450 com app beaclock E AndroidRuntime: FATAL EXCEPTION: main_x000D_
                                                                  Process: com app beaclock  PID: 30450_x000D_
                                                                  java lang IllegalArgumentException: Receiver not registered: com twilio voice ConnectivityReceiver fbdfa9b_x000D_
                                                                      at android app LoadedApk forgetReceiverDispatcher(LoadedApk java:1007)_x000D_
                                                                      at android app ContextImpl unregisterReceiver(ContextImpl java:1330)_x000D_
                                                                      at android content ContextWrapper unregisterReceiver(ContextWrapper java:608)_x000D_
                                                                      at com twilio voice CallControlManager unregisterConnectivityBroadcastReceiver(CallControlManager java:381)_x000D_
                                                                      at com twilio voice CallControlManager destroy(CallControlManager java:156)_x000D_
                                                                      at com twilio voice CallControlManager destroy(CallControlManager java:95)_x000D_
                                                                      at com twilio voice Call 4 run(Call java:245)_x000D_
                                                                      at android os Handler handleCallback(Handler java:751)_x000D_
                                                                      at android os Handler dispatchMessage(Handler java:95)_x000D_
                                                                      at android os Looper loop(Looper java:154)_x000D_
                                                                      at android app ActivityThread main(ActivityThread java:6121)_x000D_
                                                                      at java lang reflect Method invoke(Native Method)_x000D_
                                                                      at com android internal os ZygoteInit MethodAndArgsCaller run(ZygoteInit java:889)_x000D_
                                                                      at com android internal os ZygoteInit main(ZygoteInit java:779)</t>
  </si>
  <si>
    <t>RafalManka-ScrollCalendar-1</t>
  </si>
  <si>
    <t>Didn't find class "pl.rafalmanka.scrollcalendar.ScrollCalendar" on path: DexPathList</t>
  </si>
  <si>
    <t xml:space="preserve">Hi_x000D_
_x000D_
I m having this issue when i attempt to load a fragment with the  ScrollCalendar  view on it  I can compile and include your library successfully  but when i run the app it crashes in this fragment  The exception it s throwing it s a  ClassNotFoundException  with this description:_x000D_
_x000D_
   _x000D_
Didn t find class  pl rafalmanka scrollcalendar ScrollCalendar  on path: DexPathList_x000D_
   _x000D_
   _x000D_
_x000D_
I think it s related to dependences  but i include the library on Gradle as you did (excluding the support group) and also i ve tried with multidex enabled _x000D_
_x000D_
Do you have any ideas why is this happening  Thanks </t>
  </si>
  <si>
    <t>requery-requery-696</t>
  </si>
  <si>
    <t>Embedded Not Working: NoSuchMethodError getParameters()</t>
  </si>
  <si>
    <t xml:space="preserve">Hi _x000D_
_x000D_
I think I ve tried everything but I can t make the embedded annotation work _x000D_
My problem is that I have a json like this:_x000D_
   ad:  id:  myId   wishes:  brand:  Hehe     _x000D_
SO I m using jackson with requery to deserialize it but it always crash _x000D_
The brands could be inline in the model  but the json cannot change _x000D_
_x000D_
   java_x000D_
 Entity_x000D_
public abstract class AbstractAd implements Persistable  Parcelable  _x000D_
     Key_x000D_
    String id _x000D_
_x000D_
     Embedded_x000D_
    AdWishes wishes _x000D_
 _x000D_
   _x000D_
 _x000D_
   java_x000D_
 Embedded_x000D_
public class AdWishes  _x000D_
     JsonProperty( brand )_x000D_
     Column_x000D_
    String brands _x000D_
 _x000D_
   _x000D_
_x000D_
And it gives me:_x000D_
   _x000D_
No virtual method getParameters() Ljava lang reflect Parameter  in class Ljava lang reflect Method  or its super classes (declaration of  java lang reflect Method  appears in  system framework core oj jar)_x000D_
    io requery jackson EntityBeanDeserializer deserializeFromObjectUsingNonDefault(EntityBeanDeserializer java:106)_x000D_
    com fasterxml jackson databind deser BeanDeserializer deserializeFromObject(BeanDeserializer java:314)_x000D_
    io requery jackson EntityBeanDeserializer deserializeFromObject(EntityBeanDeserializer java:49)_x000D_
    com fasterxml jackson databind deser BeanDeserializer deserialize(BeanDeserializer java:148)_x000D_
   </t>
  </si>
  <si>
    <t>niclabs-adkintunmobile-androidclient-181</t>
  </si>
  <si>
    <t>ActiveServersTask.java line 2037</t>
  </si>
  <si>
    <t xml:space="preserve">     in cl niclabs adkintunmobile utils activemeasurements speedtest ActiveServersTask doInBackground 62a44833
  Number of crashes: 1
  Impacted devices: 1
There s a lot more information about this crash on crashlytics com:
 https:  fabric io niclabs android apps cl niclabs adkintunmobile issues 59d429fabe077a4dccb478a3 utm medium service hooks github utm source issue impact (https:  fabric io niclabs android apps cl niclabs adkintunmobile issues 59d429fabe077a4dccb478a3 utm medium service hooks github utm source issue impact)</t>
  </si>
  <si>
    <t>vexelon-dot-net-currencybg.app-86</t>
  </si>
  <si>
    <t>Issue on JSON parsing in the API</t>
  </si>
  <si>
    <t xml:space="preserve">         3                          report     crash _x000D_
_x000D_
   java_x000D_
java lang RuntimeException: _x000D_
  at android os AsyncTask 3 done (AsyncTask java:318)_x000D_
  at java util concurrent FutureTask finishCompletion (FutureTask java:354)_x000D_
  at java util concurrent FutureTask setException (FutureTask java:223)_x000D_
  at java util concurrent FutureTask run (FutureTask java:242)_x000D_
  at android os AsyncTask SerialExecutor 1 run (AsyncTask java:243)_x000D_
  at java util concurrent ThreadPoolExecutor runWorker (ThreadPoolExecutor java:1133)_x000D_
  at java util concurrent ThreadPoolExecutor Worker run (ThreadPoolExecutor java:607)_x000D_
  at java lang Thread run (Thread java:762)_x000D_
Caused by: com google gson JsonSyntaxException: _x000D_
  at com google gson Gson fromJson (Gson java:899)_x000D_
  at com google gson Gson fromJson (Gson java:852)_x000D_
  at com google gson Gson fromJson (Gson java:801)_x000D_
  at net vexelon currencybg app remote APISource toList (APISource java:70)_x000D_
  at net vexelon currencybg app remote APISource getAllCurrentRatesAfter (APISource java:106)_x000D_
  at net vexelon currencybg app services BackgroundService DownloadTask doInBackground 68cf9880 (BackgroundService java:115)_x000D_
  at net vexelon currencybg app services BackgroundService DownloadTask doInBackground (BackgroundService java:86)_x000D_
  at android os AsyncTask 2 call (AsyncTask java:304)_x000D_
  at java util concurrent FutureTask run (FutureTask java:237)_x000D_
   _x000D_
_x000D_
                                                        JSON payload                        Wi Fi  Proxy                                                                     crash                 _x000D_
</t>
  </si>
  <si>
    <t>SecUSo-privacy-friendly-weather-51</t>
  </si>
  <si>
    <t>Add crashes in case "empty" location is added</t>
  </si>
  <si>
    <t xml:space="preserve">In case the  add  button is pressed  but no location from the citylist is selected the app crashes _x000D_
_x000D_
</t>
  </si>
  <si>
    <t>jawg-osm-contributor-136</t>
  </si>
  <si>
    <t>Always display a prompt to enable GPS while clicking on the position button if GPS is disabled</t>
  </si>
  <si>
    <t xml:space="preserve">  Description:  _x000D_
While cliking on the location button  the map displays user s position if the GPS is active _x000D_
While the GPS is inactive  depending the phone sometimes it displays a request to activate the GPS  sometimes it doesn t _x000D_
Please make it available for every phone _x000D_
_x000D_
  BUG ONLY  _x000D_
_x000D_
  Steps to reproduce:  _x000D_
_x000D_
1  disable GPS_x000D_
2  click on the position button_x000D_
_x000D_
  Expected behavior:  _x000D_
Display the prompt message for enabling the GPS chipset of the phone _x000D_
_x000D_
  Actual behavior:  _x000D_
Nothing happens _x000D_
_x000D_
  Stacktrace (If it s a crash):  _x000D_
It doesn t crash _x000D_
_x000D_
  Environment:  _x000D_
Samsung A5_x000D_
Android 6 0 1_x000D_
_x000D_
  Version:  _x000D_
Jungle Bus v1 2 4</t>
  </si>
  <si>
    <t>rosenpin-quick-draw-everywhere-3</t>
  </si>
  <si>
    <t>The "picture" tool crashes the app</t>
  </si>
  <si>
    <t>The  picture  tool crashes the app _x000D_
The pencil and rubber tools works fine _x000D_
CM 12 1_x000D_
Android 5 1 1</t>
  </si>
  <si>
    <t>nitrite-nitrite-java-29</t>
  </si>
  <si>
    <t>StackOverflowError at org.h2.mvstore.MVMap.put</t>
  </si>
  <si>
    <t xml:space="preserve">I am running into the following exception while doing a very basic batch of inserts:_x000D_
java lang StackOverflowError_x000D_
	at org h2 mvstore MVMap put(MVMap java:185)_x000D_
	at org h2 mvstore MVMap put(MVMap java:211)_x000D_
	at org h2 mvstore MVMap put(MVMap java:209)_x000D_
	at org h2 mvstore MVMap put(MVMap java:211)_x000D_
	at org h2 mvstore MVMap put(MVMap java:209)_x000D_
	at org h2 mvstore MVMap put(MVMap java:211)_x000D_
	at org h2 mvstore MVMap put(MVMap java:209)_x000D_
	at org h2 mvstore MVMap put(MVMap java:211)_x000D_
	at org h2 mvstore MVMap put(MVMap java:209)_x000D_
	at org h2 mvstore MVMap put(MVMap java:211)_x000D_
	at org h2 mvstore MVMap put(MVMap java:209)_x000D_
	at org h2 mvstore MVMap put(MVMap java:211)_x000D_
_x000D_
Steps to reproduce:_x000D_
  Download and unpack  nitrite stresstest zip (https:  github com dizitart nitrite database files 1362598 nitrite stresstest zip)_x000D_
  Go the the unpack folder and run _x000D_
gradlew bat test_x000D_
_x000D_
  Open build test results test TEST org dizitart testing NitriteStressTest xml to see the result_x000D_
_x000D_
The insert loop crashes after roughly 7200 records while I need to insert double of that  This i just a couple of MB s of data so this should not be a problem _x000D_
</t>
  </si>
  <si>
    <t>PhilippC-keepass2android-33</t>
  </si>
  <si>
    <t>App crash when changing orientation while synchronizing</t>
  </si>
  <si>
    <t xml:space="preserve">Noticed recently that if your device changes between portrait and landscape orientation while synchronizing the database  KP2A will crash  Immediately upon doing so  the synchronizing text will disappear  then generally 2 5 seconds later I get the crash notice  Tested multiple times on Android 7 1 2 when synchronizing with google drive  Let me know if you need any further details </t>
  </si>
  <si>
    <t>cgeo-cgeo-6751</t>
  </si>
  <si>
    <t>Calculator Crashes on Older Versions of Android</t>
  </si>
  <si>
    <t xml:space="preserve">      Detailed steps causing the problem:_x000D_
Simply try to open the calculator_x000D_
_x000D_
_x000D_
      Actual behavior after performing these steps:_x000D_
The dialogue crashes with a message:_x000D_
  image (https:  user images githubusercontent com 6573522 31306449 ca17eb6a ab97 11e7 991e 52f3fd502b34 png)_x000D_
_x000D_
Although the message says  c:geo  has crashed it is actually only the calculator dialogue itself that dies and you are returned back to the regular c:geo app once you click the  OK  button _x000D_
_x000D_
_x000D_
Officially we are meant to support back to API 14 (Ice Cream Sandwich) however the calculator crashes when run on API 15 (also Ice Cream Sandwich)   In particular it seems to be line 735 of  CoordinatesCalculatorDialog java  that causes the problem  which reads:_x000D_
 ButterKnife findById(view  viewId) setVisibility(visibility)  _x000D_
_x000D_
I haven t investigated this other than to note which line the failure occurs on _x000D_
_x000D_
Note the calculator seems to work fine on API 19 (KitKat) </t>
  </si>
  <si>
    <t>syncthing-syncthing-android-963</t>
  </si>
  <si>
    <t>Syncthing 0.39-rc.1 Android 8.0: Crash on Every Boot</t>
  </si>
  <si>
    <t xml:space="preserve">What happened: Syncthing crashes on automatic launch after every boot _x000D_
_x000D_
What I expected to happen: Not that   )_x000D_
_x000D_
Steps to reproduce: Restart the phone _x000D_
_x000D_
More info: When I then launch Syncthing manually  it doesn t crash again  I assume  rc  in the Syncthing version number means  release candidate   I updated from the Play Store  and I wouldn t expect a release candidate to be in a production release  That might be relevant _x000D_
_x000D_
Here s the log as of the manual launch:_x000D_
_x000D_
          beginning of crash_x000D_
          beginning of main_x000D_
 3IGRV  15:31:10 INFO: Established secure connection to 7PT6KJA HU47FMH AAKDPLB NAMRDWL 777EV3U AC7EQ7W NS45ZRY RLA7KQS at 192 168 1 107:39283 192 168 1 104:22000 (tcp client) (TLS ECDHE RSA WITH CHACHA20 POLY1305)_x000D_
 3IGRV  15:31:10 INFO: Replacing old connection 100 97 0 32:48590 108 28 183 249:22067 relay client with 192 168 1 107:39283 192 168 1 104:22000 tcp client for 7PT6KJA HU47FMH AAKDPLB NAMRDWL 777EV3U AC7EQ7W NS45ZRY RLA7KQS_x000D_
 3IGRV  15:31:10 INFO: Connection to 7PT6KJA HU47FMH AAKDPLB NAMRDWL 777EV3U AC7EQ7W NS45ZRY RLA7KQS closed: reading length: read tcp 100 97 0 32:48590  108 28 183 249:22067: use of closed network connection_x000D_
 3IGRV  15:31:10 INFO: Device 7PT6KJA HU47FMH AAKDPLB NAMRDWL 777EV3U AC7EQ7W NS45ZRY RLA7KQS client is  syncthing v0 14 38  named  Mal _x000D_
 3IGRV  15:31:12 INFO: Detected 0 NAT devices_x000D_
 3IGRV  15:31:22 INFO: Joined relay relay:  69 30 201 138:22067_x000D_
_x000D_
    Version Information_x000D_
_x000D_
    App Version: 0 9 15_x000D_
    Syncthing Version: v0 39 rc 1_x000D_
    Android Version: Android 8 0 0 security patch level 2017 10 05_x000D_
</t>
  </si>
  <si>
    <t>Pritom14-Password-Storage-14</t>
  </si>
  <si>
    <t>Application Crashes due to a bug</t>
  </si>
  <si>
    <t xml:space="preserve">Integration of  Fabric (https:  fabric io home) in the application has led to crashes </t>
  </si>
  <si>
    <t>nextcloud-news-android-583</t>
  </si>
  <si>
    <t>App crashes on Android 8</t>
  </si>
  <si>
    <t xml:space="preserve">The app crashes frequently after restart of the Android phone  Running with the latest Android version (currently 8 0)  no matter which security patch (currently Octobre 05) _x000D_
Sometimes  the app even crashes in background _x000D_
_x000D_
Still works fine on Android 7 on anther phone _x000D_
_x000D_
Does anybody recognizes this behavior too </t>
  </si>
  <si>
    <t>zom-Zom-Android-XMPP-353</t>
  </si>
  <si>
    <t>Adding a photo avatar to my profile during Zom account setup</t>
  </si>
  <si>
    <t xml:space="preserve">  1  Crashes the App  _x000D_
_x000D_
When I created a new account on a fresh install I chose to add a photo as my avatar  I took a picture and accepted the picture  Once I tapped the checkmark to accept the picture the app crashed  _x000D_
_x000D_
I reinstalled the app and created a new account and again tried adding a photo avatar  The app crashed again  _x000D_
Both times  when I reopen the app it opens to the convo view  _x000D_
_x000D_
Device: Moto X _x000D_
App Version and build: 15 3 beta 8_x000D_
_x000D_
  2  Doesn t Work  _x000D_
_x000D_
When I created a new account on a fresh install I chose to add a photo as my avatar  I took a picture and accepted the picture  When I tapped the checkmark  the photo disappears and the app is in convo view  I don t know if it worked  If you look at the me tab  there is no photo avatar for my profile  _x000D_
_x000D_
I reinstalled the app and created a new account and again tried to add a photo avatar  The same thing happened again  _x000D_
_x000D_
Device: Moto G Play_x000D_
App Version and build: 15 3 beta 8_x000D_
_x000D_
</t>
  </si>
  <si>
    <t>Calsign-APDE-32</t>
  </si>
  <si>
    <t>Apk made but not working!</t>
  </si>
  <si>
    <t xml:space="preserve">My Samsung phone has this problem  Ver  4 1 2 _x000D_
The project makes apk but then crashes it 96  times    I am a teen can t buy a hi end phone  This is a critical bug </t>
  </si>
  <si>
    <t>LawnchairLauncher-lawnchair-817</t>
  </si>
  <si>
    <t>java.lang.OutOfMemoryError when lawnchair starts up</t>
  </si>
  <si>
    <t xml:space="preserve">   Description_x000D_
I use IFTTT to download latest wallpapers from reddit com r wallpapers (Specifically  this recipe: https:  ifttt com applets 33984870d set my android wallpaper to the best posts in r wallpapers )_x000D_
_x000D_
Today it seems a wallpaper was downloaded that was quite big  lawnchair crashed _x000D_
The wallpaper in question is this one I think: https:  i imgur com p2UBn6y jpg (quite wide) _x000D_
_x000D_
   Expected Behavior_x000D_
It doesn t crash  : )_x000D_
_x000D_
   Actual Behavior_x000D_
Lawnchair crashed_x000D_
_x000D_
   Steps to Reproduce_x000D_
_x000D_
1  Update phone homescreen wallpaper but  not  using standard wallpaper chooser (Like IFTTT recipe mentioned above) (I attempted to set the wallpaper using adb  but my adb fu failed me   )_x000D_
2  Crash_x000D_
_x000D_
What seems to happen is that IFTTT simply sets the wallpaper  whereas the standard wallpaper chooser does some sanity checking on the wallpaper first _x000D_
_x000D_
   Environment_x000D_
  Device: Samsung Galaxy S7 Edge SM 935F_x000D_
  Android version: 7 0_x000D_
  Launcher version: 1 0 1063_x000D_
  Rom: Stock Rom_x000D_
_x000D_
   Logcat_x000D_
   _x000D_
10 10 10:52:00 586 29812 29863 E AndroidRuntime: FATAL EXCEPTION: pool 1 thread 3_x000D_
10 10 10:52:00 586 29812 29863 E AndroidRuntime: Process: ch deletescape lawnchair  PID: 29812_x000D_
10 10 10:52:00 586 29812 29863 E AndroidRuntime: java lang OutOfMemoryError: Failed to allocate a 139806732 byte allocation with 16777216 free bytes and 86MB until OOM_x000D_
10 10 10:52:00 586 29812 29863 E AndroidRuntime: 	at dalvik system VMRuntime newNonMovableArray(Native Method)_x000D_
10 10 10:52:00 586 29812 29863 E AndroidRuntime: 	at android graphics Bitmap nativeCreate(Native Method)_x000D_
10 10 10:52:00 586 29812 29863 E AndroidRuntime: 	at android graphics Bitmap createBitmap(Bitmap java:977)_x000D_
10 10 10:52:00 586 29812 29863 E AndroidRuntime: 	at android graphics Bitmap createBitmap(Bitmap java:948)_x000D_
10 10 10:52:00 586 29812 29863 E AndroidRuntime: 	at android graphics Bitmap createBitmap(Bitmap java:915)_x000D_
10 10 10:52:00 586 29812 29863 E AndroidRuntime: 	at ch deletescape lawnchair blur BlurWallpaperProvider blur(Unknown Source)_x000D_
10 10 10:52:00 586 29812 29863 E AndroidRuntime: 	at ch deletescape lawnchair blur BlurWallpaperProvider updateWallpaper(Unknown Source)_x000D_
10 10 10:52:00 586 29812 29863 E AndroidRuntime: 	at ch deletescape lawnchair blur BlurWallpaperProvider access updateWallpaper(Unknown Source)_x000D_
10 10 10:52:00 586 29812 29863 E AndroidRuntime: 	at ch deletescape lawnchair blur BlurWallpaperProvider mUpdateRunnable 1 run(Unknown Source)_x000D_
10 10 10:52:00 586 29812 29863 E AndroidRuntime: 	at java util concurrent ThreadPoolExecutor runWorker(ThreadPoolExecutor java:1133)_x000D_
10 10 10:52:00 586 29812 29863 E AndroidRuntime: 	at java util concurrent ThreadPoolExecutor Worker run(ThreadPoolExecutor java:607)_x000D_
10 10 10:52:00 586 29812 29863 E AndroidRuntime: 	at java lang Thread run(Thread java:762)_x000D_
_x000D_
   _x000D_
_x000D_
</t>
  </si>
  <si>
    <t>twilio-video-quickstart-android-180</t>
  </si>
  <si>
    <t>Problem with video call. supported formats could not be retrieved because an error occurred connecting to the camera service</t>
  </si>
  <si>
    <t xml:space="preserve">I have this error when I try to make video call with front camera: Supported formats could not be retrieved because an error occurred connecting to the camera service  The crash is on second field _x000D_
   _x000D_
CameraCapturer cameraCapturer   new CameraCapturer(this  CameraCapturer CameraSource FRONT CAMERA) _x000D_
LocalVideoTrack localVideoTrack   LocalVideoTrack create(this  true  cameraCapturer) _x000D_
   _x000D_
If I changing   FRONT CAMERA   to   BACK CAMERA   it works well  I have tested it on Nexus 5 and Galaxy s7 and it have the same crash _x000D_
I am using  com twilio:video android:1 2 0 </t>
  </si>
  <si>
    <t>mvysny-aedict-805</t>
  </si>
  <si>
    <t>Notepad crashees on quiz from category</t>
  </si>
  <si>
    <t xml:space="preserve">I m not sure what extra information you need but the list is 75 words long and works  If I add another word the quiz crashes to black and then back to the notepad </t>
  </si>
  <si>
    <t>SecUSo-privacy-friendly-netmonitor-44</t>
  </si>
  <si>
    <t>UIDs are reported using the wrong data type</t>
  </si>
  <si>
    <t xml:space="preserve">If the UID in a connection report is greater than  Short MAX VALUE   the application will crash:_x000D_
_x000D_
   _x000D_
10 10 21:38:03 151  8470  8497 E AndroidRuntime: java lang NumberFormatException: Value out of range  Value: 1010121  Radix:10_x000D_
10 10 21:38:03 151  8470  8497 E AndroidRuntime:        at java lang Short parseShort(Short java:121)_x000D_
10 10 21:38:03 151  8470  8497 E AndroidRuntime:        at java lang Short parseShort(Short java:145)_x000D_
10 10 21:38:03 151  8470  8497 E AndroidRuntime:        at org secuso privacyfriendlynetmonitor ConnectionAnalysis Detector initReport4(Detector java:189)_x000D_
10 10 21:38:03 151  8470  8497 E AndroidRuntime:        at org secuso privacyfriendlynetmonitor ConnectionAnalysis Detector initReport(Detector java:154)_x000D_
10 10 21:38:03 151  8470  8497 E AndroidRuntime:        at org secuso privacyfriendlynetmonitor ConnectionAnalysis Detector parseNetOutput(Detector java:139)_x000D_
10 10 21:38:03 151  8470  8497 E AndroidRuntime:        at org secuso privacyfriendlynetmonitor ConnectionAnalysis Detector getCurrentConnections(Detector java:123)_x000D_
10 10 21:38:03 151  8470  8497 E AndroidRuntime:        at org secuso privacyfriendlynetmonitor ConnectionAnalysis Detector updateReportMap(Detector java:84)_x000D_
10 10 21:38:03 151  8470  8497 E AndroidRuntime:        at org secuso privacyfriendlynetmonitor ConnectionAnalysis PassiveService 1 run(PassiveService java:136)_x000D_
10 10 21:38:03 151  8470  8497 E AndroidRuntime:        at java lang Thread run(Thread java:764)_x000D_
   </t>
  </si>
  <si>
    <t>zom-Zom-Android-XMPP-357</t>
  </si>
  <si>
    <t>Opening a chat with a blocked contact crashes the app</t>
  </si>
  <si>
    <t>I tapped on a contact who had blocked me ( Sorry  you are blocked by this user ) and once in the profile view I tap the chat icon  The app crashes  _x000D_
_x000D_
After the app reloads if I perform the same actions the chat usually opens  _x000D_
Reproduced this bug various times _x000D_
_x000D_
Device: Moto X  Moto G Play  Galaxy Samsung 7_x000D_
App version and build: 15 3 RC 1</t>
  </si>
  <si>
    <t>zom-Zom-Android-XMPP-356</t>
  </si>
  <si>
    <t>Adding a blocked contact to a group chat crashes the app.</t>
  </si>
  <si>
    <t>I was creating a group and tapped on a blocked contact and it crashed the app  Reproduced this crash multiple times  _x000D_
_x000D_
Device: Moto G Play and Moto X_x000D_
App version and build: 15 3 RC 1</t>
  </si>
  <si>
    <t>guolindev-LitePal-300</t>
  </si>
  <si>
    <t>Can not able to pull data from database</t>
  </si>
  <si>
    <t xml:space="preserve">Hi _x000D_
_x000D_
I m using below environment  _x000D_
_x000D_
environment: android studio 3 0 0 beta7_x000D_
target and compile sdk: 26_x000D_
build tool: 26 0 2_x000D_
support library: 26 1 0_x000D_
runtime permission: WRITE EXTERNAL STORAGE and READ EXTERNAL STORAGE_x000D_
_x000D_
I have successfully created and inserted data into database from my program  but when I am trying to get data from database using  DataSupport findAll(User class)  or  DataSupport where( name        rashed ) find(User class)   it always crashes  I checked my database using  Sqlite data browser  and my desired data is exist there  Here are crash logs _x000D_
_x000D_
_x000D_
  10 12 20:45:52 009 30763 30763 com reversecoder rb E AndroidRuntime: FATAL EXCEPTION: main_x000D_
                                                                       Process: com reversecoder rb  PID: 30763_x000D_
                                                                       java lang RuntimeException: Unable to start activity ComponentInfo com reversecoder rb com reversecoder rb activity HomeActivity : org litepal exceptions DataSupportException: Attempt to invoke virtual method  java lang Class   java lang reflect Constructor getParameterTypes()  on a null object reference_x000D_
                                                                           at android app ActivityThread performLaunchActivity(ActivityThread java:2455)_x000D_
                                                                           at android app ActivityThread handleLaunchActivity(ActivityThread java:2516)_x000D_
                                                                           at android app ActivityThread access 800(ActivityThread java:162)_x000D_
                                                                           at android app ActivityThread H handleMessage(ActivityThread java:1412)_x000D_
                                                                           at android os Handler dispatchMessage(Handler java:106)_x000D_
                                                                           at android os Looper loop(Looper java:189)_x000D_
                                                                           at android app ActivityThread main(ActivityThread java:5528)_x000D_
                                                                           at java lang reflect Method invoke(Native Method)_x000D_
                                                                           at java lang reflect Method invoke(Method java:372)_x000D_
                                                                           at com android internal os ZygoteInit MethodAndArgsCaller run(ZygoteInit java:950)_x000D_
                                                                           at com android internal os ZygoteInit main(ZygoteInit java:745)_x000D_
                                                                        Caused by: org litepal exceptions DataSupportException: Attempt to invoke virtual method  java lang Class   java lang reflect Constructor getParameterTypes()  on a null object reference_x000D_
                                                                           at org litepal crud DataHandler query(DataHandler java:153)_x000D_
                                                                           at org litepal crud QueryHandler onFindAll(QueryHandler java:123)_x000D_
                                                                           at org litepal crud DataSupport findAll(DataSupport java:1028)_x000D_
                                                                           at org litepal crud DataSupport findAll(DataSupport java:994)_x000D_
                                                                           at com reversecoder rb activity HomeActivity getAllDeletedData(HomeActivity java:334)_x000D_
                                                                           at com reversecoder rb activity HomeActivity getAllDeletedDataWithAdvertise(HomeActivity java:378)_x000D_
                                                                           at com reversecoder rb activity HomeActivity initUI(HomeActivity java:136)_x000D_
                                                                           at com reversecoder rb activity HomeActivity onCreate(HomeActivity java:111)_x000D_
                                                                           at android app Activity performCreate(Activity java:5966)_x000D_
                                                                           at android app Instrumentation callActivityOnCreate(Instrumentation java:1106)_x000D_
                                                                           at android app ActivityThread performLaunchActivity(ActivityThread java:2408)_x000D_
                                                                           at android app ActivityThread handleLaunchActivity(ActivityThread java:2516) _x000D_
                                                                           at android app ActivityThread access 800(ActivityThread java:162) _x000D_
                                                                           at android app ActivityThread H handleMessage(ActivityThread java:1412) _x000D_
                                                                           at android os Handler dispatchMessage(Handler java:106) _x000D_
                                                                           at android os Looper loop(Looper java:189) _x000D_
                                                                           at android app ActivityThread main(ActivityThread java:5528) _x000D_
                                                                           at java lang reflect Method invoke(Native Method) _x000D_
                                                                           at java lang reflect Method invoke(Method java:372) _x000D_
                                                                           at com android internal os ZygoteInit MethodAndArgsCaller run(ZygoteInit java:950) _x000D_
                                                                           at com android internal os ZygoteInit main(ZygoteInit java:745) _x000D_
                                                                        Caused by: org litepal exceptions DataSupportException: Attempt to invoke virtual method  java lang Class   java lang reflect Constructor getParameterTypes()  on a null object reference_x000D_
                                                                           at org litepal crud DataHandler createInstanceFromClass(DataHandler java:635)_x000D_
                                                                           at org litepal crud DataHandler query(DataHandler java:138)_x000D_
                                                                           at org litepal crud QueryHandler onFindAll(QueryHandler java:123) _x000D_
                                                                           at org litepal crud DataSupport findAll(DataSupport java:1028) _x000D_
                                                                           at org litepal crud DataSupport findAll(DataSupport java:994) _x000D_
                                                                           at com reversecoder rb activity HomeActivity getAllDeletedData(HomeActivity java:334) _x000D_
                                                                           at com reversecoder rb activity HomeActivity getAllDeletedDataWithAdvertise(HomeActivity java:378) _x000D_
                                                                           at com reversecoder rb activity HomeActivity initUI(HomeActivity java:136) _x000D_
                                                                           at com reversecoder rb activity HomeActivity onCreate(HomeActivity java:111) _x000D_
                                                                           at android app Activity performCreate(Activity java:5966) _x000D_
                                                                           at android app Instrumentation callActivityOnCreate(Instrumentation java:1106) _x000D_
                                                                           at android app ActivityThread performLaunchActivity(ActivityThread java:2408) _x000D_
                                                                           at android app ActivityThread handleLaunchActivity(ActivityThread java:2516) _x000D_
                                                                           at android app ActivityThread access 800(ActivityThread java:162) _x000D_
                                                                           at android app ActivityThread H handleMessage(ActivityThread java:1412) _x000D_
                                                                           at android os Handler dispatchMessage(Handler java:106) _x000D_
                                                                           at android os Looper loop(Looper java:189) _x000D_
                                                                           at android app ActivityThread main(ActivityThread java:5528) _x000D_
                                                                           at java lang reflect Method invoke(Native Method) _x000D_
                                                                           at java lang reflect Method invoke(Method java:372) _x000D_
                                                                           at com android internal os ZygoteInit MethodAndArgsCaller run(ZygoteInit java:950) _x000D_
                                                                           at com android internal os ZygoteInit main(ZygoteInit java:745) _x000D_
                                                                        Caused by: org litepal exceptions DataSupportException: Attempt to invoke virtual method  java lang Class   java lang reflect Constructor getParameterTypes()  on a null object reference_x000D_
                                                                           at org litepal crud DataHandler createInstanceFromClass(DataHandler java:635)_x000D_
                                                                           at org litepal crud DataHandler getInitParamValue(DataHandler java:946)_x000D_
                                                                           at org litepal crud DataHandler getConstructorParams(DataHandler java:691)_x000D_
                                                                           at org litepal crud DataHandler createInstanceFromClass(DataHandler java:633)_x000D_
                                                                           at org litepal crud DataHandler query(DataHandler java:138) _x000D_
                                                                           at org litepal crud QueryHandler onFindAll(QueryHandler java:123) _x000D_
                                                                           at org litepal crud DataSupport findAll(DataSupport java:1028) _x000D_
                                                                           at org litepal crud DataSupport findAll(DataSupport java:994) _x000D_
                                                                           at com reversecoder rb activity HomeActivity getAllDeletedData(HomeActivity java:334) _x000D_
                                                                           at com reversecoder rb activity HomeActivity getAllDeletedDataWithAdvertise(HomeActivity java:378) _x000D_
                                                                           at com reversecoder rb activity HomeActivity initUI(HomeActivity java:136) _x000D_
                                                                           at com reversecoder rb activity HomeActivity onCreate(HomeActivity java:111) _x000D_
                                                                           at android app Activity performCreate(Activity java:5966) _x000D_
                                                                           at android app Instrumentation callActivityOnCreate(Instrumentation java:1106) _x000D_
                                                                           at android app ActivityThread performLaunchActivity(ActivityThread java:2408) _x000D_
                                                                           at android app ActivityThread handleLaunchActivity(ActivityThread java:2516) _x000D_
                                                                           at android app ActivityThread access 800(ActivityThread java:162) _x000D_
                                                                           at android app ActivityThread H handleMessage(ActivityThread java:1412) _x000D_
                                                                           at android os Handler dispatchMessage(Handler java:106) _x000D_
                                                                           at android os Looper loop(Looper java:189) _x000D_
                                                                           at android app ActivityThread main(ActivityThread java:5528) _x000D_
                                                                           at java lang reflect Method invoke(Native Method) _x000D_
                                                                           at java lang reflect Method invoke(Method java:372) _x000D_
                                                                           at com android internal os ZygoteInit MethodAndArgsCaller run(ZygoteInit java:950) _x000D_
                                                                           at com android internal os ZygoteInit main(ZygoteInit java:745) _x000D_
                                                                        Caused by: java lang NullPointerException: Attempt to invoke virtual method  java lang Class   java lang reflect Constructor getParameterTypes()  on a null object reference_x000D_
                                                                           at org litepal crud DataHandler getConstructorParams(DataHandler java:688)_x000D_
                                                                           at org litepal crud DataHandler createInstanceFromClass(DataHandler java:633)_x000D_
                                                                           at org litepal crud DataHandler getInitParamValue(DataHandler java:946) _x000D_
                                                                           at org litepal crud DataHandler getConstructorParams(DataHandler java:691) _x000D_
                                                                           at org litepal crud DataHandler createInstanceFromClass(DataHandler java:633) _x000D_
                                                                           at org litepal crud DataHandler query(DataHandler java:138) _x000D_
                                                                           at org litepal crud QueryHandler onFindAll(QueryHandler java:123) _x000D_
                                                                           at org litepal crud DataSupport findAll(DataSupport java:1028) _x000D_
                                                                           at org litepal crud DataSupport findAll(DataSupport java:994) _x000D_
                                                                           at com reversecoder rb activity HomeActivity getAllDeletedData(HomeActivity java:334) _x000D_
                                                                           at com reversecoder rb activity HomeActivity getAllDeletedDataWithAdvertise(HomeActivity java:378) _x000D_
                                                                           at com reversecoder rb activity HomeActivity initUI(HomeActivity java:136) _x000D_
                                                                           at com reversecoder rb activity HomeActivity onCreate(HomeActivity java:111) _x000D_
                                                                           at android app Activity performCreate(Activity java:5966) _x000D_
                                                                           at android app Instrumentation callActivityOnCreate(Instrumentation java:1106) _x000D_
                                                                           at android app ActivityThread performLaunchActivity(ActivityThread java:2408) _x000D_
                                                                           at android app ActivityThread handleLaunchActivity(ActivityThread java:2516) _x000D_
                                                                           at android app ActivityThread access 800(ActivityThread java:162) _x000D_
                                                                           at android app ActivityThread H handleMessage(ActivityThread java:1412) _x000D_
                                                                           at android os Handler dispatchMessage(Handler java:106) _x000D_
                                                                           at android os Looper loop(Looper java:189) _x000D_
                                                                           at android app ActivityThread main(ActivityThread java:5528) _x000D_
                                                                           at java lang reflect Method invoke(Native Method) _x000D_
                                                                           at java lang reflect Method invoke(Method java:372) _x000D_
                                                                           at com android internal os ZygoteInit MethodAndArgsCaller run(ZygoteInit java:950) _x000D_
                                                                           at com android internal os ZygoteInit main(ZygoteInit java:745) _x000D_
  _x000D_
_x000D_
Thanks in advance </t>
  </si>
  <si>
    <t>mapbox-mapbox-plugins-android-135</t>
  </si>
  <si>
    <t>Crash after onStyleLoaded and new LocationLayerPlugin with version 0.1.0</t>
  </si>
  <si>
    <t xml:space="preserve">Hey _x000D_
_x000D_
if I use  com mapbox mapboxsdk:mapbox android plugin locationlayer:0 1 0  and my code below  the app crashes sometimes _x000D_
With  com mapbox mapboxsdk:mapbox android plugin locationlayer:0 2 0 SNAPSHOT  everything seems to be fine  _x000D_
Is there a plan to set v0 2 0 as stable _x000D_
_x000D_
   _x000D_
 SuppressWarnings(  MissingPermission  )_x000D_
 Override_x000D_
public void onMapReady(MapboxMap mapboxMap)  _x000D_
        _x000D_
    mapboxMap setStyle(customStyleUrl  this) _x000D_
 _x000D_
_x000D_
 Override_x000D_
public void onStyleLoaded(String style)  _x000D_
    locationLayerPlugin   new LocationLayerPlugin(mapboxView  mapboxMap  locationEngine) _x000D_
    locationLayerPlugin setLocationLayerEnabled(LocationLayerMode TRACKING) _x000D_
 _x000D_
   _x000D_
The crash only occurs if I set my custom style _x000D_
 _x000D_
     _x000D_
10 12 13:03:08 389 5036 5036 com mypackage W art: Attempt to remove non JNI local reference  dumping thread_x000D_
                                                                    _x000D_
                                                                              beginning of crash_x000D_
10 12 13:03:08 402 5036 7193 com mypackage A libc: Fatal signal 11 (SIGSEGV)  code 1  fault addr 0x0 in tid 7193 (GLThread 1556)_x000D_
                                                                     _x000D_
                                                                       10 12 13:03:08 403   273:  273 W           _x000D_
                                                                     debuggerd: handling request: pid 5036 uid 10271 gid 10271 tid 7193_x000D_
     </t>
  </si>
  <si>
    <t>mkeresztes-AndiCar-15</t>
  </si>
  <si>
    <t xml:space="preserve">Fatal Exception: android.view.WindowManager$BadTokenException: Unable to add window </t>
  </si>
  <si>
    <t xml:space="preserve">Insight from Crashlytics:_x000D_
_x000D_
  This crash is usually caused by your app trying to display a dialog using a previously finished Activity as a context  For example  this can happen if an Activity triggers an AsyncTask that tries to display a dialog when it is finished  but the user navigates back from the Activity before the task is completed _x000D_
_x000D_
_x000D_
   _x000D_
Fatal Exception: android view WindowManager BadTokenException: Unable to add window    token android os BinderProxy 72f52f9 is not valid  is your activity running _x000D_
       at android view ViewRootImpl setView(ViewRootImpl java:697)_x000D_
       at android view WindowManagerGlobal addView(WindowManagerGlobal java:342)_x000D_
       at android view WindowManagerImpl addView(WindowManagerImpl java:94)_x000D_
       at android widget Toast TN handleShow(Toast java:468)_x000D_
       at android widget Toast TN 2 handleMessage(Toast java:342)_x000D_
       at android os Handler dispatchMessage(Handler java:102)_x000D_
       at android os Looper loop(Looper java:154)_x000D_
       at android app ActivityThread main(ActivityThread java:6369)_x000D_
       at java lang reflect Method invoke(Method java)_x000D_
       at com android internal os ZygoteInit MethodAndArgsCaller run(ZygoteInit java:886)_x000D_
       at com android internal os ZygoteInit main(ZygoteInit java:776)_x000D_
   </t>
  </si>
  <si>
    <t>google-blockly-android-678</t>
  </si>
  <si>
    <t>BasicFieldImageView crashes when switching categories too quickly</t>
  </si>
  <si>
    <t>When using blocks containing an image  if we switch Blockly categories too quickly  there is the possibility of a crash  This is in production code and we have copied the Blockly module source code into our project and are compiling directly due to the need for customizations _x000D_
_x000D_
(Placing around 10 BasicFieldImageViews   referencing an image from a network resource   in a few categories and switching between them fast should be enough to reproduce the issue  Reproducible in emulator ) I suppose even if it s not a network resource  the possibility for a crash could still exist depending on how long it takes to load the resource from the desired media  I suppose it s fundamentally unsafe to run an asynchronous task and at an undefined time destroy what it relies on causing a null dereference  despite the fact that the case may be rare _x000D_
_x000D_
    10 12 13:11:18 299 23203 23203 com xxxx yyyy E AndroidRuntime: FATAL EXCEPTION: main_x000D_
        Process: com xxxx yyyy  PID: 23203_x000D_
        java lang NullPointerException: Attempt to invoke virtual method  int com google blockly model FieldImage getWidth()  on a null object reference_x000D_
            at com google blockly android ui fieldview BasicFieldImageView updateViewSize(BasicFieldImageView java:189)_x000D_
            at com google blockly android ui fieldview BasicFieldImageView 2 onPostExecute(BasicFieldImageView java:143)_x000D_
            at com google blockly android ui fieldview BasicFieldImageView 2 onPostExecute(BasicFieldImageView java:118)_x000D_
            at android os AsyncTask finish(AsyncTask java:667)_x000D_
            at android os AsyncTask  wrap1(AsyncTask java)_x000D_
            at android os AsyncTask InternalHandler handleMessage(AsyncTask java:684)_x000D_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It seems to be because when the category changes  the layout of the ImageView gets destroyed but yet updateViewSize() gets called  It seems sufficient to busy wait for the AsyncTask of downloading the image to be complete  I don t know if this is the  proper  solution but it seems to work for us so I wanted to share  Nor have I had the opportunity to try this on the latest git revision but wanted to provide this solution as reference for others _x000D_
_x000D_
BasicFieldImageView java (startLoadingImage function):_x000D_
_x000D_
    diff   git a blocklylib core src main java com google blockly android ui fieldview BasicFieldImageView java b blocklylib core src main java com google blockly android ui fieldview BasicFieldImageView java_x000D_
    index 89e9123  91abe62 100755_x000D_
        a blocklylib core src main java com google blockly android ui fieldview BasicFieldImageView java_x000D_
        b blocklylib core src main java com google blockly android ui fieldview BasicFieldImageView java_x000D_
        31 6  31 7    import java io ByteArrayInputStream _x000D_
     import java io IOException _x000D_
     import java io InputStream _x000D_
     import java net URL _x000D_
     import java util concurrent ExecutionException _x000D_
     import java util regex Pattern _x000D_
     _x000D_
        _x000D_
        114 7  115 7    public class BasicFieldImageView extends android support v7 widget AppCompatImag_x000D_
             final String source   mImageField getSource() _x000D_
     _x000D_
                Do I O in the background_x000D_
             new AsyncTask String  Void  Bitmap ()  _x000D_
             AsyncTask task   new AsyncTask String  Void  Bitmap ()  _x000D_
                  Override_x000D_
                 protected Bitmap doInBackground(String    strings)  _x000D_
                     try  _x000D_
        135 6  136 7    public class BasicFieldImageView extends android support v7 widget AppCompatImag_x000D_
     _x000D_
                  Override_x000D_
                 protected void onPostExecute(Bitmap bitmap)  _x000D_
                       Log w(TAG   Might crash soon ) _x000D_
                     if (bitmap    null)  _x000D_
                         setImageBitmap(bitmap) _x000D_
                         mImageSrc   source _x000D_
        146 6  148 19    public class BasicFieldImageView extends android support v7 widget AppCompatImag_x000D_
                     requestLayout() _x000D_
                  _x000D_
               execute(source) _x000D_
     _x000D_
                Crash when layout gets destroyed and we call updateViewSize()_x000D_
                Can t execute network on main thread_x000D_
                So execute it on an AsyncTask and wait instead _x000D_
             try  _x000D_
                 task get() _x000D_
               catch (InterruptedException e)  _x000D_
                 Log w(TAG   BasicFieldImageView AsyncTask interrupted ) _x000D_
                 e printStackTrace() _x000D_
               catch (ExecutionException e)  _x000D_
                 Log w(TAG   BasicFieldImageView AsyncTask execution error ) _x000D_
                 e printStackTrace() _x000D_
              _x000D_
          _x000D_
_x000D_
_x000D_
TL DR:  workaround  not patch</t>
  </si>
  <si>
    <t>patrickfav-Dali-9</t>
  </si>
  <si>
    <t>crashes as soon as I create a blur worker for live bluring</t>
  </si>
  <si>
    <t xml:space="preserve">tried to create a new liveBlurWorker  but it crashes immediately with the stack trace below  I was attempting to use it in a recyclerView _x000D_
_x000D_
I even tried delaying the creation of it in case it relied on views being layed out _x000D_
_x000D_
made sure to put this in the default config_x000D_
   _x000D_
renderscriptTargetApi 20_x000D_
renderscriptSupportModeEnabled true_x000D_
   _x000D_
_x000D_
   _x000D_
Completable complete() delay(2000 TimeUnit MILLISECONDS) observeOn(AndroidSchedulers mainThread()) subscribeBy(onComplete    _x000D_
                val blurWorker   Dali create(context) liveBlur(album recycle blur view) downScale(8) assemble(true)_x000D_
         )_x000D_
_x000D_
   _x000D_
_x000D_
relevant part of layout_x000D_
   _x000D_
 android support v7 widget RecyclerView_x000D_
        android:id    id album recycle _x000D_
        android:background   color white _x000D_
        android:layout width  0dp _x000D_
        android:layout height  0dp _x000D_
        android:layout marginBottom  24dp _x000D_
        app:layout constraintBottom toBottomOf    id slide handle top _x000D_
        app:layout constraintEnd toEndOf  parent _x000D_
        app:layout constraintStart toStartOf  parent _x000D_
        app:layout constraintTop toTopOf  parent    _x000D_
_x000D_
     View_x000D_
        android:id    id blur view _x000D_
        android:layout width  0dp _x000D_
        android:layout height  100dp _x000D_
        app:layout constraintBottom toBottomOf  parent _x000D_
        app:layout constraintEnd toEndOf  parent _x000D_
        app:layout constraintStart toStartOf  parent    _x000D_
   _x000D_
_x000D_
_x000D_
   _x000D_
10 11 22:08:43 669 1023 1023 me huntj88 coolphotogrid I Dali: Dali debug mode: false_x000D_
10 11 22:08:43 689 1023 1023 me huntj88 coolphotogrid V RenderScript jni: RS native mode_x000D_
10 11 22:08:43 691 1023 1023 me huntj88 coolphotogrid V RenderScript jni: Unable to load libRSSupportIO so  USAGE IO not supported_x000D_
10 11 22:08:43 692 1023 1023 me huntj88 coolphotogrid V RenderScript jni: Unable to load BLAS lib  ONLY BNNM will be supported: java lang UnsatisfiedLinkError: dalvik system PathClassLoader DexPathList  zip file   data app me huntj88 coolphotogrid 2 base apk   zip file   data app me huntj88 coolphotogrid 2 split lib dependencies apk apk   zip file   data app me huntj88 coolphotogrid 2 split lib slice 0 apk apk   zip file   data app me huntj88 coolphotogrid 2 split lib slice 1 apk apk   zip file   data app me huntj88 coolphotogrid 2 split lib slice 2 apk apk   zip file   data app me huntj88 coolphotogrid 2 split lib slice 3 apk apk   zip file   data app me huntj88 coolphotogrid 2 split lib slice 4 apk apk   zip file   data app me huntj88 coolphotogrid 2 split lib slice 5 apk apk   zip file   data app me huntj88 coolphotogrid 2 split lib slice 6 apk apk   zip file   data app me huntj88 coolphotogrid 2 split lib slice 7 apk apk   zip file   data app me huntj88 coolphotogrid 2 split lib slice 8 apk apk   zip file   data app me huntj88 coolphotogrid 2 split lib slice 9 apk apk   nativeLibraryDirectories   data app me huntj88 coolphotogrid 2 lib x86   data app me huntj88 coolphotogrid 2 base apk  lib x86   data app me huntj88 coolphotogrid 2 split lib dependencies apk apk  lib x86   data app me huntj88 coolphotogrid 2 split lib slice 0 apk apk  lib x86   data app me huntj88 coolphotogrid 2 split lib slice 1 apk apk  lib x86   data app me huntj88 coolphotogrid 2 split lib slice 2 apk apk  lib x86   data app me huntj88 coolphotogrid 2 split lib slice 3 apk apk  lib x86   data app me huntj88 coolphotogrid 2 split lib slice 4 apk apk  lib x86   data app me huntj88 coolphotogrid 2 split lib slice 5 apk apk  lib x86   data app me huntj88 coolphotogrid 2 split lib slice 6 apk apk  lib x86   data app me huntj88 coolphotogrid 2 split lib slice 7 apk apk  lib x86   data app me huntj88 coolphotogrid 2 split lib slice 8 apk apk  lib x86   data app me huntj88 coolphotogrid 2 split lib slice 9 apk apk  lib x86   system lib   vendor lib    couldn t find  libblasV8 so _x000D_
10 11 22:08:44 008 1023 1023 me huntj88 coolphotogrid D AndroidRuntime: Shutting down VM_x000D_
10 11 22:08:44 008 1023 1023 me huntj88 coolphotogrid E AndroidRuntime: FATAL EXCEPTION: main_x000D_
                                                                          Process: me huntj88 coolphotogrid  PID: 1023_x000D_
                                                                          java lang IllegalArgumentException: y   height must be    bitmap height()_x000D_
                                                                              at android graphics Bitmap createBitmap(Bitmap java:737)_x000D_
                                                                              at android graphics Bitmap createBitmap(Bitmap java:701)_x000D_
                                                                              at at favre lib dali builder live LiveBlurWorker crop(LiveBlurWorker java:104)_x000D_
                                                                              at at favre lib dali builder live LiveBlurWorker access 400(LiveBlurWorker java:23)_x000D_
                                                                              at at favre lib dali builder live LiveBlurWorker BlurRunnable run(LiveBlurWorker java:86)_x000D_
                                                                              at android os Handler handleCallback(Handler java:751)_x000D_
                                                                              at android os Handler dispatchMessage(Handler java:95)_x000D_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t>
  </si>
  <si>
    <t>novoda-no-player-96</t>
  </si>
  <si>
    <t>Handler seek exception</t>
  </si>
  <si>
    <t xml:space="preserve">   Problem_x000D_
We ve seen this  stack trace  on some client applications (replicated in no player)_x000D_
_x000D_
  screen shot 2017 10 13 at 11 33 48 (https:  user images githubusercontent com 3380092 31543203 073da402 b00d 11e7 97e4 fd5043ebcb23 png)_x000D_
_x000D_
In some client applications we attempt to catch any  IllegalStateExceptions  that occur when calling methods out of sync on  NoPlayer   Unfortunately  the calling code from this trace does not come from any client app but internally from inside  no player  because of a workaround that is implemented on  MediaPlayer :_x000D_
_x000D_
   _x000D_
       _x000D_
       Workaround to fix some devices (nexus 7 2013 in particular) from natively crashing the mediaplayer_x000D_
       by starting the mediaplayer before seeking it _x000D_
       _x000D_
   _x000D_
See  here (https:  github com novoda no player blob master core src main java com novoda noplayer internal mediaplayer AndroidMediaPlayerImpl java L151 L160) for the problematic code _x000D_
_x000D_
This workaround internally uses a  Handler postDelayed   This runnable is never removed on  reset  of  Player  so if a user leaves a  Player  activity before this has executed it will crash  It crashes because on exit of a  Player  activity will release all internal collaborators of  MediaPlayer  which essentially means  mediaPlayer  will be  null  and so failing the  assertIsInPlaybackState()  which will throw an  IllegalStateException  as designed _x000D_
_x000D_
   Solution_x000D_
To find this I increased the  DELAY  on the  Runnable  in the  MediaPlayer  and ran in a client application  navigating away from the activity before this  Runnable  is called   insta crash   _x000D_
_x000D_
Looking at the code you could add a check for  mediaPlayerFacade isPlaying   here (https:  github com novoda no player blob master core src main java com novoda noplayer internal mediaplayer AndroidMediaPlayerImpl java L151 L160) which will internally do the same checks as are done for the  assertIsInPlaybackState()  but instead just return in the runnable  avoiding the throw that is called later  BUT this seemed like a workaround rather than an actual fix  _x000D_
_x000D_
So I added  handler removeCallbacksAndMessages(null)   which will remove all callbacks and messages whenever  reset()  is called in  MediaPlayerImpl   For all of those that are worried about the  null  on this method this is what the docs say about this call:_x000D_
_x000D_
    _x000D_
       _x000D_
       Remove any pending posts of callbacks and sent messages whose_x000D_
        var obj  var  is  var token  var    If  var token  var  is null _x000D_
       all callbacks and messages will be removed _x000D_
       _x000D_
   _x000D_
_x000D_
    Test(s) added _x000D_
Updated the  MediaPlayerImpl  tests to take into account the reset on the handler _x000D_
_x000D_
    Screenshots_x000D_
No UI changes _x000D_
_x000D_
    Paired with _x000D_
Nobody _x000D_
</t>
  </si>
  <si>
    <t>osmdroid-osmdroid-736</t>
  </si>
  <si>
    <t>Zoom buttons harmless crash</t>
  </si>
  <si>
    <t xml:space="preserve">   Issue Type_x000D_
 x  Bug (but an invisible and harmless one)_x000D_
_x000D_
   Description and or steps code to reproduce the problem_x000D_
  open  OSMDroid Sample map (Start here) _x000D_
  tap on the map   the zoom buttons will appear_x000D_
  tilt your smartphone (landscape portrait) while the zoom buttons are visible   the app won t crash at all  but an exception crash will appear in the logs  something like_x000D_
    _x000D_
E WindowManager: android view WindowLeaked: Activity org osmdroid ExtraSamplesActivity has leaked window android widget ZoomButtonsController Container 2f3b6972 V E               0 0 480 73  that was originally added here_x000D_
at android view ViewRootImpl  init (ViewRootImpl java:371)_x000D_
at android view WindowManagerGlobal addView(WindowManagerGlobal java:261)_x000D_
at android view WindowManagerImpl addView(WindowManagerImpl java:69)_x000D_
at android widget ZoomButtonsController setVisible(ZoomButtonsController java:370)_x000D_
at org osmdroid views MapView MapViewGestureDetectorListener onDown(MapView java:1303)_x000D_
at android view GestureDetector onTouchEvent(GestureDetector java:550)_x000D_
at org osmdroid views MapView dispatchTouchEvent(MapView java:960)_x000D_
    </t>
  </si>
  <si>
    <t>timusus-Shuttle-202</t>
  </si>
  <si>
    <t>Crash when changing from album grid to album list</t>
  </si>
  <si>
    <t xml:space="preserve">  Shuttle version:  _x000D_
 _x000D_
 v2 0 0 _x000D_
 _x000D_
  Device  OS:  _x000D_
 _x000D_
Any_x000D_
_x000D_
  Description of bug:  _x000D_
 _x000D_
When changing from grid to list (and vise versa)   if an item which spans multiple columns is being displayed (such as the new album shuffle view  or the empty view)  the app will crash  as the adapter layout manager does not re query the item for its span size  as it assumes the item doesn t change _x000D_
 _x000D_
  Steps to reproduce:  _x000D_
 _x000D_
 1  Go to the album tab  with either no albums  so you re seeing the  empty view   or with the album shuffle view (See  201)  These views span multiple columns _x000D_
 2  Change from list to grid_x000D_
 3  Observe the view does not span multiple columns as intended _x000D_
 4  Exit   relaunch app_x000D_
 5  Change from grid to list  observe crash _x000D_
 _x000D_
Stacktrace:_x000D_
_x000D_
   _x000D_
java lang IllegalArgumentException: Item at position 0 requires 3 spans but GridLayoutManager has only 1 spans _x000D_
      at android support v7 widget GridLayoutManager layoutChunk(GridLayoutManager java:548)_x000D_
      at android support v7 widget LinearLayoutManager fill(LinearLayoutManager java:1516)_x000D_
      at android support v7 widget LinearLayoutManager onLayoutChildren(LinearLayoutManager java:608)_x000D_
      at android support v7 widget GridLayoutManager onLayoutChildren(GridLayoutManager java:170)_x000D_
      at android support v7 widget RecyclerView dispatchLayoutStep2(RecyclerView java:3693)_x000D_
      at android support v7 widget RecyclerView dispatchLayout(RecyclerView java:3410)_x000D_
      at android support v7 widget RecyclerView onLayout(RecyclerView java:3962)_x000D_
      at android view View layout(View java:18793)_x000D_
      at android view ViewGroup layout(ViewGroup java:5952)_x000D_
      at android support v4 view ViewPager onLayout(ViewPager java:1767)_x000D_
      at android view View layout(View java:18793)_x000D_
      at android view ViewGroup layout(ViewGroup java:5952)_x000D_
      at android support design widget HeaderScrollingViewBehavior layoutChild(HeaderScrollingViewBehavior java:132)_x000D_
      at android support design widget ViewOffsetBehavior onLayoutChild(ViewOffsetBehavior java:42)_x000D_
      at android support design widget AppBarLayout ScrollingViewBehavior onLayoutChild(AppBarLayout java:1361)_x000D_
      at android support design widget CoordinatorLayout onLayout(CoordinatorLayout java:869)_x000D_
      at android view View layout(View java:18793)_x000D_
      at android view ViewGroup layout(ViewGroup java:5952)_x000D_
      at android widget LinearLayout setChildFrame(LinearLayout java:1741)_x000D_
      at android widget LinearLayout layoutVertical(LinearLayout java:1585)_x000D_
      at android widget LinearLayout onLayout(LinearLayout java:1494)_x000D_
      at android view View layout(View java:18793)_x000D_
      at android view ViewGroup layout(ViewGroup java:5952)_x000D_
      at android widget FrameLayout layoutChildren(FrameLayout java:323)_x000D_
      at android widget FrameLayout onLayout(FrameLayout java:261)_x000D_
      at android view View layout(View java:18793)_x000D_
      at android view ViewGroup layout(ViewGroup java:5952)_x000D_
      at android support design widget CoordinatorLayout layoutChild(CoordinatorLayout java:1166)_x000D_
      at android support design widget CoordinatorLayout onLayoutChild(CoordinatorLayout java:851)_x000D_
      at android support design widget CoordinatorLayout onLayout(CoordinatorLayout java:870)_x000D_
      at android view View layout(View java:18793)_x000D_
      at android view ViewGroup layout(ViewGroup java:5952)_x000D_
      at android widget FrameLayout layoutChildren(FrameLayout java:323)_x000D_
      at android widget FrameLayout onLayout(FrameLayout java:261)_x000D_
      at android view View layout(View java:18793)_x000D_
      at android view ViewGroup layout(ViewGroup java:5952)_x000D_
      at android support v4 widget DrawerLayout onLayout(DrawerLayout java:1172)_x000D_
      at android view View layout(View java:18793)_x000D_
      at android view ViewGroup layout(ViewGroup java:5952)_x000D_
      at android widget FrameLayout layoutChildren(FrameLayout java:323)_x000D_
      at android widget FrameLayout onLayout(FrameLayout java:261)_x000D_
      at android view View layout(View java:18793)_x000D_
      at android view ViewGroup layout(ViewGroup java:5952)_x000D_
      at android widget LinearLayout setChildFrame(LinearLayout java:1741)_x000D_
      at android widget LinearLayout layoutVertical(LinearLayout java:1585)_x000D_
      at android widget LinearLayout onLayout(LinearLayout java:1494)_x000D_
      at android view View layout(View java:18793)_x000D_
      at android view ViewGroup layout(ViewGroup java:5952)_x000D_
      at android widget FrameLayout layoutChildren(FrameLayout java:323)_x000D_
      at android widget FrameLayout onLayout(FrameLayout java:261)_x000D_
      at android view View layout(View java:18793)_x000D_
      at android view ViewGroup layout(ViewGroup java:5952)_x000D_
      at android widget LinearLayout setChildFrame(LinearLayout java:1741)_x000D_
      at android widget LinearLayout layoutVertical(LinearLayout java:1585)_x000D_
      at android widget LinearLayout onLayout(LinearLayout java:1494)_x000D_
      at android view View layout(View java:18793)_x000D_
      at android view ViewGroup layout(ViewGroup java:5952)_x000D_
10 12 19:38:54 870 31854 31854 com simplecity amp pro debug E AndroidRuntime:     at android widget FrameLayout layoutChildren(FrameLayout java:323)_x000D_
      at android widget FrameLayout onLayout(FrameLayout java:261)_x000D_
      at com android internal policy DecorView onLayout(DecorView java:822)_x000D_
      at android view View layout(View java:18793)_x000D_
      at android view ViewGroup layout(ViewGroup java:5952)_x000D_
      at android view ViewRootImpl performLayout(ViewRootImpl java:2615)_x000D_
      at android view ViewRootImpl performTraversals(ViewRootImpl java:2331)_x000D_
      at android view ViewRootImpl doTraversal(ViewRootImpl java:1490)_x000D_
      at android view ViewRootImpl TraversalRunnable run(ViewRootImpl java:7027)_x000D_
      at android view Choreographer CallbackRecord run(Choreographer java:927)_x000D_
      at android view Choreographer doCallbacks(Choreographer java:702)_x000D_
      at android view Choreographer doFrame(Choreographer java:638)_x000D_
      at android view Choreographer FrameDisplayEventReceiver run(Choreographer java:913)_x000D_
      at android os Handler handleCallback(Handler java:751)_x000D_
      at android os Handler dispatchMessage(Handler java:95)_x000D_
      at android os Looper loop(Looper java:154)_x000D_
      at android app ActivityThread main(ActivityThread java:6688)_x000D_
      at java lang reflect Method invoke(Native Method)_x000D_
      at com android internal os ZygoteInit MethodAndArgsCaller run(ZygoteInit java:1468)_x000D_
      at com android internal os ZygoteInit main(ZygoteInit java:1358)_x000D_
   </t>
  </si>
  <si>
    <t>dgets-MinTone-22</t>
  </si>
  <si>
    <t>Hitting 'set freq' with empty text field crashes app</t>
  </si>
  <si>
    <t xml:space="preserve">The  set frequency  button becomes active immediately upon entering the numeric text entry field   Unfortunately  when pressed without first entering a frequency  this crashes the application   I m thinking that the best way to handle this would probably be to set things up so that  set frequency  is not accessible prior to entering any digits (as well as after backspacing over all digits) </t>
  </si>
  <si>
    <t>google-google-authenticator-android-70</t>
  </si>
  <si>
    <t>App crashes on startup on Android 2.3.6 (Gingerbread)</t>
  </si>
  <si>
    <t>The play store indicated that the update for google authenticator that my android phone was asking to do was compatible with my old phone  so I updated  I was concerned  so I checked and double checked  Now it just crashes _x000D_
_x000D_
The application Authenticator (process com google android apps auth enticator2) has stopped unexpectedly  Please try again _x000D_
_x000D_
How can i roll it back to how it was and had been for a long time  Why did it say it was compatible if it was not _x000D_
_x000D_
KDI i360 v1 0_x000D_
Android 2 3 6</t>
  </si>
  <si>
    <t>Etar-Group-Etar-Calendar-259</t>
  </si>
  <si>
    <t>Crash when attempting to share event</t>
  </si>
  <si>
    <t xml:space="preserve">Phone: Nexus 5X_x000D_
Android Version: 8 0 0_x000D_
Build Number: OPR4 170623 009_x000D_
Etar Build Version: 1 0 12 (installed from Google Play)_x000D_
_x000D_
When clicking on the Share button with a calendar event open  the application crashes every time  The logcat output is below _x000D_
_x000D_
From  this documentation (https:  developer android com reference android os FileUriExposedException html)  it appears the method Etar is using to share the ics file is not allowed on Android N  _x000D_
_x000D_
logcat output:_x000D_
_x000D_
   _x000D_
10 15 13:59:10 173  3054  3457 I ActivityManager: Start proc 30137:ws xsoh etar u0a528 for activity ws xsoh etar com android calendar AllInOneActivity_x000D_
10 15 13:59:10 225 30137 30137 D ExtensionsFactory: No custom extensions _x000D_
10 15 13:59:10 234 30137 30137 D ExtensionsFactory: AllInOneMenuExtensions not found in properties file _x000D_
10 15 13:59:10 280 30137 30137 I AppCompatViewInflater: app:theme is now deprecated  Please move to using android:theme instead _x000D_
10 15 13:59:10 368 30137 30156 D OpenGLRenderer: HWUI GL Pipeline_x000D_
10 15 13:59:10 392 30137 30156 I Adreno  : QUALCOMM build                   : 7142022  Ib5823dd10c_x000D_
10 15 13:59:10 392 30137 30156 I Adreno  : Build Date                       : 06 23 17_x000D_
10 15 13:59:10 392 30137 30156 I Adreno  : OpenGL ES Shader Compiler Version: EV031 18 00 00_x000D_
10 15 13:59:10 392 30137 30156 I Adreno  : Local Branch                     : O11A_x000D_
10 15 13:59:10 392 30137 30156 I Adreno  : Remote Branch                    : _x000D_
10 15 13:59:10 392 30137 30156 I Adreno  : Remote Branch                    : _x000D_
10 15 13:59:10 392 30137 30156 I Adreno  : Reconstruct Branch               : _x000D_
10 15 13:59:10 393 30137 30156 I vndksupport: sphal namespace is not configured for this process  Loading  vendor lib64 hw gralloc msm8992 so from the current namespace instead _x000D_
10 15 13:59:10 397 30137 30156 I Adreno  : PFP: 0x00000000  ME: 0x00000000_x000D_
10 15 13:59:10 400 30137 30156 I OpenGLRenderer: Initialized EGL  version 1 4_x000D_
10 15 13:59:10 401 30137 30156 D OpenGLRenderer: Swap behavior 2_x000D_
10 15 13:59:10 525 30137 30156 I vndksupport: sphal namespace is not configured for this process  Loading  vendor lib64 hw gralloc msm8992 so from the current namespace instead _x000D_
10 15 13:59:10 576 30137 30142 I zygote64: Do partial code cache collection  code 28KB  data 24KB_x000D_
10 15 13:59:10 576 30137 30142 I zygote64: After code cache collection  code 26KB  data 23KB_x000D_
10 15 13:59:10 576 30137 30142 I zygote64: Increasing code cache capacity to 128KB_x000D_
10 15 13:59:27 969 30137 30142 I zygote64: Do partial code cache collection  code 60KB  data 46KB_x000D_
10 15 13:59:27 969 30137 30142 I zygote64: After code cache collection  code 60KB  data 46KB_x000D_
10 15 13:59:27 970 30137 30142 I zygote64: Increasing code cache capacity to 256KB_x000D_
10 15 13:59:28 038 30137 30137 I WebViewFactory: Loading com android chrome version 61 0 3163 98 (code 316309852)_x000D_
10 15 13:59:28 079 30137 30137 I cr LibraryLoader: Time to load native libraries: 3 ms (timestamps 371 374)_x000D_
10 15 13:59:28 084 30137 30137 I chromium:  INFO:library loader hooks cc(136)  Chromium logging enabled: level   0  default verbosity   0_x000D_
10 15 13:59:28 084 30137 30137 I cr LibraryLoader: Expected native library version number  61 0 3163 98   actual native library version number  61 0 3163 98 _x000D_
10 15 13:59:28 092 30137 30190 W cr ChildProcLH: Create a new ChildConnectionAllocator with package name   com android chrome  sandboxed   true_x000D_
10 15 13:59:28 103 30137 30137 I cr BrowserStartup: Initializing chromium process  singleProcess false_x000D_
10 15 13:59:28 112 30137 30137 W ws xsoh etar: type 1400 audit(0 0:1243): avc: denied   read   for name  vmstat  dev  proc  ino 4026546034 scontext u:r:untrusted app 25:s0:c512 c768 tcontext u:object r:proc:s0 tclass file permissive 0_x000D_
10 15 13:59:28 291 30137 30156 D OpenGLRenderer: endAllActiveAnimators on 0x77c6254800 (AgendaListView) with handle 0x77c4cc4580_x000D_
10 15 13:59:29 345 30137 30137 D AndroidRuntime: Shutting down VM_x000D_
10 15 13:59:29 346 30137 30137 E AndroidRuntime: FATAL EXCEPTION: main_x000D_
10 15 13:59:29 346 30137 30137 E AndroidRuntime: Process: ws xsoh etar  PID: 30137_x000D_
10 15 13:59:29 346 30137 30137 E AndroidRuntime: android os FileUriExposedException: file:   storage emulated 0 Android data ws xsoh etar cache Trash 20extra 20trash 20recycling 20and 20compost 20sign 20up 20only 204723852113141192110 ics exposed beyond app through ClipData Item getUri()_x000D_
10 15 13:59:29 346 30137 30137 E AndroidRuntime: 	at android os StrictMode onFileUriExposed(StrictMode java:1958)_x000D_
10 15 13:59:29 346 30137 30137 E AndroidRuntime: 	at android net Uri checkFileUriExposed(Uri java:2348)_x000D_
10 15 13:59:29 346 30137 30137 E AndroidRuntime: 	at android content ClipData prepareToLeaveProcess(ClipData java:941)_x000D_
10 15 13:59:29 346 30137 30137 E AndroidRuntime: 	at android content Intent prepareToLeaveProcess(Intent java:9735)_x000D_
10 15 13:59:29 346 30137 30137 E AndroidRuntime: 	at android content Intent prepareToLeaveProcess(Intent java:9741)_x000D_
10 15 13:59:29 346 30137 30137 E AndroidRuntime: 	at android content Intent prepareToLeaveProcess(Intent java:9720)_x000D_
10 15 13:59:29 346 30137 30137 E AndroidRuntime: 	at android app Instrumentation execStartActivity(Instrumentation java:1742)_x000D_
10 15 13:59:29 346 30137 30137 E AndroidRuntime: 	at android app Activity startActivityForResult(Activity java:5153)_x000D_
10 15 13:59:29 346 30137 30137 E AndroidRuntime: 	at android app Activity startActivityFromFragment(Activity java:5129)_x000D_
10 15 13:59:29 346 30137 30137 E AndroidRuntime: 	at android app Activity HostCallbacks onStartActivityFromFragment(Activity java:7602)_x000D_
10 15 13:59:29 346 30137 30137 E AndroidRuntime: 	at android app Fragment startActivity(Fragment java:1179)_x000D_
10 15 13:59:29 346 30137 30137 E AndroidRuntime: 	at android app Fragment startActivity(Fragment java:1158)_x000D_
10 15 13:59:29 346 30137 30137 E AndroidRuntime: 	at com android calendar EventInfoFragment shareEvent(EventInfoFragment java:1222)_x000D_
10 15 13:59:29 346 30137 30137 E AndroidRuntime: 	at com android calendar EventInfoFragment onOptionsItemSelected(EventInfoFragment java:1098)_x000D_
10 15 13:59:29 346 30137 30137 E AndroidRuntime: 	at android app Fragment performOptionsItemSelected(Fragment java:2758)_x000D_
10 15 13:59:29 346 30137 30137 E AndroidRuntime: 	at android app FragmentManagerImpl dispatchOptionsItemSelected(FragmentManager java:3190)_x000D_
10 15 13:59:29 346 30137 30137 E AndroidRuntime: 	at android app FragmentController dispatchOptionsItemSelected(FragmentController java:367)_x000D_
10 15 13:59:29 346 30137 30137 E AndroidRuntime: 	at android app Activity onMenuItemSelected(Activity java:3438)_x000D_
10 15 13:59:29 346 30137 30137 E AndroidRuntime: 	at android support v4 app FragmentActivity onMenuItemSelected(FragmentActivity java:408)_x000D_
10 15 13:59:29 346 30137 30137 E AndroidRuntime: 	at android support v7 app AppCompatActivity onMenuItemSelected(AppCompatActivity java:195)_x000D_
10 15 13:59:29 346 30137 30137 E AndroidRuntime: 	at android support v7 view WindowCallbackWrapper onMenuItemSelected(WindowCallbackWrapper java:113)_x000D_
10 15 13:59:29 346 30137 30137 E AndroidRuntime: 	at android support v7 app AppCompatDelegateImplV9 onMenuItemSelected(AppCompatDelegateImplV9 java:679)_x000D_
10 15 13:59:29 346 30137 30137 E AndroidRuntime: 	at android support v7 view menu MenuBuilder dispatchMenuItemSelected(MenuBuilder java:822)_x000D_
10 15 13:59:29 346 30137 30137 E AndroidRuntime: 	at android support v7 view menu MenuItemImpl invoke(MenuItemImpl java:156)_x000D_
10 15 13:59:29 346 30137 30137 E AndroidRuntime: 	at android support v7 view menu MenuBuilder performItemAction(MenuBuilder java:969)_x000D_
10 15 13:59:29 346 30137 30137 E AndroidRuntime: 	at android support v7 view menu MenuBuilder performItemAction(MenuBuilder java:959)_x000D_
10 15 13:59:29 346 30137 30137 E AndroidRuntime: 	at android support v7 widget ActionMenuView invokeItem(ActionMenuView java:623)_x000D_
10 15 13:59:29 346 30137 30137 E AndroidRuntime: 	at android support v7 view menu ActionMenuItemView onClick(ActionMenuItemView java:154)_x000D_
10 15 13:59:29 346 30137 30137 E AndroidRuntime: 	at android view View performClick(View java:6256)_x000D_
10 15 13:59:29 346 30137 30137 E AndroidRuntime: 	at android view View PerformClick run(View java:24697)_x000D_
10 15 13:59:29 346 30137 30137 E AndroidRuntime: 	at android os Handler handleCallback(Handler java:789)_x000D_
10 15 13:59:29 346 30137 30137 E AndroidRuntime: 	at android os Handler dispatchMessage(Handler java:98)_x000D_
10 15 13:59:29 346 30137 30137 E AndroidRuntime: 	at android os Looper loop(Looper java:164)_x000D_
10 15 13:59:29 346 30137 30137 E AndroidRuntime: 	at android app ActivityThread main(ActivityThread java:6541)_x000D_
10 15 13:59:29 346 30137 30137 E AndroidRuntime: 	at java lang reflect Method invoke(Native Method)_x000D_
10 15 13:59:29 346 30137 30137 E AndroidRuntime: 	at com android internal os Zygote MethodAndArgsCaller run(Zygote java:240)_x000D_
10 15 13:59:29 346 30137 30137 E AndroidRuntime: 	at com android internal os ZygoteInit main(ZygoteInit java:767)_x000D_
10 15 13:59:30 673  3054  3065 E ActivityManager: Found activity ActivityRecord e16a559 u0 ws xsoh etar com android calendar AllInOneActivity t 1 f  in proc activity list using null instead of expected ProcessRecord d6f76e2 30137:ws xsoh etar u0a528 _x000D_
10 15 13:59:30 681  3054  3065 I ActivityManager: Killing 30137:ws xsoh etar u0a528 (adj 199): crash_x000D_
10 15 13:59:30 734  3054  3079 W ActivityManager: setHasOverlayUi called on unknown pid: 30137_x000D_
   </t>
  </si>
  <si>
    <t>zom-Zom-Android-XMPP-364</t>
  </si>
  <si>
    <t>App crashes when 'chat' icon is selected from a contact's profile</t>
  </si>
  <si>
    <t xml:space="preserve">  From the friends view  I select a contact _x000D_
  I m taken to their profile _x000D_
  When I tap on the chat icon  Zom crashes _x000D_
_x000D_
Related to  357 </t>
  </si>
  <si>
    <t>zom-Zom-Android-XMPP-362</t>
  </si>
  <si>
    <t>Groups show up as blocked</t>
  </si>
  <si>
    <t>I want to share a photo from the gallery to Zom  In the gallery with a photo selected select my share intent as Zom  In the    add people  view groups are shown as blocked   Sorry  you are blocked by the user   Tapping the group crashes the app  Reproduced this bug various times _x000D_
_x000D_
  screenshot 20171016 111302 (https:  user images githubusercontent com 1434597 31623353 c220a16c b264 11e7 9841 1970d9d269a0 png)_x000D_
 _x000D_
Devices: Moto X  Moto G Play  Galaxy Samsung S7_x000D_
App version and build: 15 3 RC 2</t>
  </si>
  <si>
    <t>zom-Zom-Android-XMPP-361</t>
  </si>
  <si>
    <t>Duplicates in member list</t>
  </si>
  <si>
    <t xml:space="preserve"> n8fr8 We only saw this one time in our testing  I m not sure what even caused it  but here were the steps:_x000D_
_x000D_
  create the group (added Okt and carriezoms  )_x000D_
  sent a message_x000D_
  opened the group info_x000D_
  tried to add tiffrobo (blocked contact)_x000D_
  app crashed_x000D_
  reopened the app_x000D_
  opened group info_x000D_
  noticed that my owner permissions didn t show up (ability to edit the name or add members)_x000D_
  noticed duplicates as shown in screenshot_x000D_
_x000D_
  screenshot 20171016 104232 (https:  user images githubusercontent com 1434597 31621395 3b2b0b20 b25f 11e7 8ddd 21c62ed2743a png)_x000D_
</t>
  </si>
  <si>
    <t>PhilippC-keepass2android-50</t>
  </si>
  <si>
    <t>App crash on unlocking database with fingerprint on Oreo</t>
  </si>
  <si>
    <t xml:space="preserve">App crashes when touching the fingerprint scanner  unlocking the database with password does work _x000D_
Nexus 5X on Android 8 0 0  It did work on Nougat </t>
  </si>
  <si>
    <t>drawers-SpinnerDatePicker-1</t>
  </si>
  <si>
    <t>Error:Module 'com.github.drawers:SpinnerDatePicker:0.0.4' depends on one or more Android Libraries but is a jar</t>
  </si>
  <si>
    <t xml:space="preserve">I m trying to include the lib to my project  but I got this error:_x000D_
_x000D_
    Error:Module  com github drawers:SpinnerDatePicker:0 0 4  depends on one or more Android Libraries but is a jar_x000D_
_x000D_
and this is my gradle file :_x000D_
     repositories  _x000D_
    maven   url  https:  clojars org repo    _x000D_
    maven   url  https:  jitpack io   _x000D_
    maven   url  https:  maven fabric io public   _x000D_
    mavenCentral()_x000D_
 _x000D_
_x000D_
dependencies  _x000D_
    compile fileTree(include:     jar    dir:  libs )_x000D_
    compile( com github afollestad material dialogs:core:0 8 5 8 aar )  _x000D_
        transitive   true_x000D_
     _x000D_
            Dagger_x000D_
      Required by Dagger2_x000D_
    compile( com crashlytics sdk android:crashlytics:2 6 5 aar )  _x000D_
        transitive   true _x000D_
     _x000D_
    compile files( libs RegoPrinLib jar )_x000D_
    compile files( libs PrinterLib jar )_x000D_
    compile files( libs PRT SDK jar )_x000D_
    compile  com google android gms:play services:11 0 2 _x000D_
    compile  com google dagger:dagger:2 0 2 _x000D_
    compile  com android support:support v4:25 3 1 _x000D_
    compile  com android support:recyclerview v7:25 3 1 _x000D_
    compile  com android support:appcompat v7:25 3 1 _x000D_
    compile  com android support:support v13:24 2 0 _x000D_
    compile  com android support:design:25 3 1 _x000D_
    compile  com google android:flexbox:0 2 5 _x000D_
    compile  com rengwuxian materialedittext:library:2 1 4 _x000D_
    compile  com github douglasjunior BetterSpinner:library material:bugfix 1 1 0 2 _x000D_
    compile  com wdullaer:materialdatetimepicker:2 3 0 _x000D_
    compile  com prolificinteractive:material calendarview:1 3 0 _x000D_
    compile  com journeyapps:zxing android embedded:3 2 0 aar _x000D_
    compile  com jakewharton:butterknife:8 4 0 _x000D_
    compile  com google zxing:core:3 2 1 _x000D_
    compile  com squareup retrofit2:retrofit:2 0 1 _x000D_
    compile  com squareup retrofit2:converter gson:2 0 1 _x000D_
    compile  com squareup okhttp3:logging interceptor:3 2 0 _x000D_
    compile  com squareup okhttp3:okhttp:3 2 0 _x000D_
    compile  org greenrobot:eventbus:3 0 0 _x000D_
    compile  net danlew:android joda:2 9 4 1 _x000D_
    compile  org honorato multistatetogglebutton:multistatetogglebutton:0 2 2 _x000D_
    compile  com github douglasjunior:android simple tooltip:0 2 0 _x000D_
    compile  com android support:multidex:1 0 1 _x000D_
    compile  uk co chrisjenx:calligraphy:2 2 0 _x000D_
    compile  com squareup picasso:picasso:2 5 2 _x000D_
    compile  com roughike:bottom bar:2 3 1 _x000D_
    compile  com android support constraint:constraint layout:1 0 2 _x000D_
    compile  com github drawers:SpinnerDatePicker:0 0 4 _x000D_
    testCompile  junit:junit:4 12 _x000D_
    apt  com jakewharton:butterknife compiler:8 4 0 _x000D_
    apt  com google dagger:dagger compiler:2 0 2 _x000D_
    provided  javax annotation:jsr250 api:1 0 _x000D_
    compile  com github PhilJay:MPAndroidChart:v3 0 2 _x000D_
    provided  org glassfish:javax annotation:10 0 b28 _x000D_
  _x000D_
_x000D_
</t>
  </si>
  <si>
    <t>akaita-RxJava2Debug-2</t>
  </si>
  <si>
    <t>NullPointerException in ExceptionUtils</t>
  </si>
  <si>
    <t xml:space="preserve">Hello _x000D_
_x000D_
I just got a NullPointerException crash with this stacktrace :_x000D_
   _x000D_
Fatal Exception: java lang NullPointerException: Attempt to invoke virtual method  java lang Object java lang StackTraceElement   clone()  on a null object reference_x000D_
       at com akaita java rxjava2debug ExceptionUtils collapseCauses(SourceFile:60)_x000D_
       at com akaita java rxjava2debug ExceptionUtils setRootCause(SourceFile:37)_x000D_
       at com akaita java rxjava2debug RxJava2Debug getEnhancedStackTrace(SourceFile:74)_x000D_
   _x000D_
_x000D_
It seems that there is an issue in the collapseCauses method of the ExceptionUtils class _x000D_
_x000D_
Thanks in advance for your answer  _x000D_
_x000D_
</t>
  </si>
  <si>
    <t>ayltai-Newspaper-111</t>
  </si>
  <si>
    <t>io.reactivex.c.d: Connection reset</t>
  </si>
  <si>
    <t xml:space="preserve">  Exception:   	 io reactivex c d: Connection reset
	at io reactivex internal b a ag a(Functions java:704)
	at io reactivex internal b a ag a(Functions java:701)
	at io reactivex internal d k onError(ConsumerSingleObserver java:47)
	at io reactivex internal operators single c a b(SingleCreate java:95)
	at io reactivex internal operators single c a a(SingleCreate java:81)
	at com github ayltai newspaper b a a(AppleDailyClient java:151)
	at com github ayltai newspaper b g a(Unknown Source)
	at io reactivex internal d u onError(LambdaObserver java:77)
	at io reactivex internal i k a(HalfSerializer java:133)
	at io reactivex internal operators observable cm a a(ObservableRetryWhen java:132)
	at io reactivex internal operators observable cm a a onError(ObservableRetryWhen java:172)
	at io reactivex internal operators observable ar b d(ObservableFlatMap java:495)
	at io reactivex internal operators observable ar b b(ObservableFlatMap java:331)
	at io reactivex internal operators observable ar b a(ObservableFlatMap java:323)
	at io reactivex internal operators observable ar a onError(ObservableFlatMap java:571)
	at io reactivex internal a d a(EmptyDisposable java:63)
	at io reactivex internal operators observable ap subscribeActual(ObservableError java:37)
	at io reactivex y subscribe(Observable java:10910)
	at io reactivex internal operators observable ar b a(ObservableFlatMap java:162)
	at io reactivex internal operators observable ar b a(ObservableFlatMap java:139)
	at io reactivex internal operators observable ec a e(ObservableZip java:205)
	at io reactivex internal operators observable ec b a(ObservableZip java:276)
	at io reactivex l a a a(PublishSubject java:264)
	at io reactivex l a a(PublishSubject java:183)
	at io reactivex l b a(SerializedSubject java:104)
	at io reactivex internal operators observable cm a onError(ObservableRetryWhen java:106)
	at io reactivex internal operators observable dc a onError(ObservableSubscribeOn java:63)
	at io reactivex internal operators observable bv a a(ObservableObserveOn java:276)
	at io reactivex internal operators observable bv a b(ObservableObserveOn java:172)
	at io reactivex internal operators observable bv a run(ObservableObserveOn java:252)
	at io reactivex internal f n run(ScheduledRunnable java:61)
	at io reactivex internal f n call(ScheduledRunnable java:52)
	at java util concurrent FutureTask run(FutureTask java:237)
	at java util concurrent ScheduledThreadPoolExecutor ScheduledFutureTask run(ScheduledThreadPoolExecutor java:272)
	at java util concurrent ThreadPoolExecutor runWorker(ThreadPoolExecutor java:1133)
	at java util concurrent ThreadPoolExecutor Worker run(ThreadPoolExecutor java:607)
	at java lang Thread run(Thread java:762)
Caused by: java net SocketException: Connection reset
	at java net SocketInputStream read(SocketInputStream java:192)
	at java net SocketInputStream read(SocketInputStream java:120)
	at c l 2 a(Okio java:139)
	at c a 2 a(AsyncTimeout java:237)
	at c n a(RealBufferedSource java:345)
	at c n c(RealBufferedSource java:217)
	at c n r(RealBufferedSource java:211)
	at okhttp3 internal c a a(Http1Codec java:187)
	at okhttp3 internal b b a(CallServerInterceptor java:88)
	at okhttp3 internal b g a(RealInterceptorChain java:147)
	at okhttp3 internal a a a(ConnectInterceptor java:45)
	at okhttp3 internal b g a(RealInterceptorChain java:147)
	at okhttp3 internal b g a(RealInterceptorChain java:121)
	at okhttp3 internal cache a a(CacheInterceptor java:93)
	at okhttp3 internal b g a(RealInterceptorChain java:147)
	at okhttp3 internal b g a(RealInterceptorChain java:121)
	at okhttp3 internal b a a(BridgeInterceptor java:93)
	at okhttp3 internal b g a(RealInterceptorChain java:147)
	at okhttp3 internal b j a(RetryAndFollowUpInterceptor java:125)
	at okhttp3 internal b g a(RealInterceptorChain java:147)
	at okhttp3 internal b g a(RealInterceptorChain java:121)
	at okhttp3 y i(RealCall java:200)
	at okhttp3 y b(RealCall java:77)
	at com google firebase perf network FirebasePerfOkHttpClient execute(Unknown Source)
	at d i a(OkHttpCall java:180)
	at d a a c subscribeActual(CallExecuteObservable java:41)
	at io reactivex y subscribe(Observable java:10910)
	at d a a a subscribeActual(BodyObservable java:34)
	at io reactivex y subscribe(Observable java:10910)
	at io reactivex internal operators observable bw subscribeActual(ObservableOnErrorNext java:38)
	at io reactivex y subscribe(Observable java:10910)
	at io reactivex internal operators observable bv subscribeActual(ObservableObserveOn java:45)
	at io reactivex y subscribe(Observable java:10910)
	at io reactivex internal operators observable dc b run(ObservableSubscribeOn java:96)
	at io reactivex af a run(Scheduler java:452)
	    7 more
Caused by: 
java net SocketException: Connection reset
	at java net SocketInputStream read(SocketInputStream java:192)
	at java net SocketInputStream read(SocketInputStream java:120)
	at c l 2 a(Okio java:139)
	at c a 2 a(AsyncTimeout java:237)
	at c n a(RealBufferedSource java:345)
	at c n c(RealBufferedSource java:217)
	at c n r(RealBufferedSource java:211)
	at okhttp3 internal c a a(Http1Codec java:187)
	at okhttp3 internal b b a(CallServerInterceptor java:88)
	at okhttp3 internal b g a(RealInterceptorChain java:147)
	at okhttp3 internal a a a(ConnectInterceptor java:45)
	at okhttp3 internal b g a(RealInterceptorChain java:147)
	at okhttp3 internal b g a(RealInterceptorChain java:121)
	at okhttp3 internal cache a a(CacheInterceptor java:93)
	at okhttp3 internal b g a(RealInterceptorChain java:147)
	at okhttp3 internal b g a(RealInterceptorChain java:121)
	at okhttp3 internal b a a(BridgeInterceptor java:93)
	at okhttp3 internal b g a(RealInterceptorChain java:147)
	at okhttp3 internal b j a(RetryAndFollowUpInterceptor java:125)
	at okhttp3 internal b g a(RealInterceptorChain java:147)
	at okhttp3 internal b g a(RealInterceptorChain java:121)
	at okhttp3 y i(RealCall java:200)
	at okhttp3 y b(RealCall java:77)
	at com google firebase perf network FirebasePerfOkHttpClient execute(Unknown Source)
	at d i a(OkHttpCall java:180)
	at d a a c subscribeActual(CallExecuteObservable java:41)
	at io reactivex y subscribe(Observable java:10910)
	at d a a a subscribeActual(BodyObservable java:34)
	at io reactivex y subscribe(Observable java:10910)
	at io reactivex internal operators observable bw subscribeActual(ObservableOnErrorNext java:38)
	at io reactivex y subscribe(Observable java:10910)
	at io reactivex internal operators observable bv subscribeActual(ObservableObserveOn java:45)
	at io reactivex y subscribe(Observable java:10910)
	at io reactivex internal operators observable dc b run(ObservableSubscribeOn java:96)
	at io reactivex af a run(Scheduler java:452)
	at io reactivex internal f n run(ScheduledRunnable java:61)
	at io reactivex internal f n call(ScheduledRunnable java:52)
	at java util concurrent FutureTask run(FutureTask java:237)
	at java util concurrent ScheduledThreadPoolExecutor ScheduledFutureTask run(ScheduledThreadPoolExecutor java:272)
	at java util concurrent ThreadPoolExecutor runWorker(ThreadPoolExecutor java:1133)
	at java util concurrent ThreadPoolExecutor Worker run(ThreadPoolExecutor java:607)
	at java lang Thread run(Thread java:762)
_x000D_
_x000D_
  Number:   	 10_x000D_
_x000D_
  URL:   	 https:  insta co crashes 2JDTjLE3_x000D_
_x000D_
  Status:   	 In progress_x000D_
_x000D_
  Email:   	 _x000D_
_x000D_
  Reported At:   	 2017 10 16 03:00:43 UTC_x000D_
_x000D_
  Location:   	 Central District  Hong Kong_x000D_
_x000D_
  Device:   	 samsung SM G930F_x000D_
_x000D_
  Memory:   	 2631 0 3533 0 MB_x000D_
_x000D_
  Storage:   	 13 874 25 44 GB_x000D_
_x000D_
  Connectivity:   	 Carrier: csl   WiFi: Radiohead_x000D_
_x000D_
  Battery:   	 57  Unplugged_x000D_
_x000D_
  App Version:   	 3 2 626 f53d623 (20)_x000D_
_x000D_
  Duration:   	 24_x000D_
_x000D_
  User Data:   	 _x000D_
_x000D_
  Console Log:  _x000D_
   _x000D_
 System err( 1181): 	at c a 2 a(AsyncTimeout java:237)
1508122843225  W System err( 1181): 	at c n a(RealBufferedSource java:345)
1508122843225  W System err( 1181): 	at c n c(RealBufferedSource java:217)
1508122843226  W System err( 1181): 	at c n r(RealBufferedSource java:211)
1508122843226  W System err( 1181): 	at okhttp3 internal c a a(Http1Codec java:187)
1508122843226  W System err( 1181): 	at okhttp3 internal b b a(CallServerInterceptor java:88)
1508122843226  W System err( 1181): 	at okhttp3 internal b g a(RealInterceptorChain java:147)
1508122843226  W System err( 1181): 	at okhttp3 internal a a a(ConnectInterceptor java:45)
1508122843226  W System err( 1181): 	at okhttp3 internal b g a(RealInterceptorChain java:147)
1508122843226  W System err( 1181): 	at okhttp3 internal b g a(RealInterceptorChain java:121)
1508122843226  W System err( 1181): 	at okhttp3 internal cache a a(CacheInterceptor java:93)
1508122843226  W System err( 1181): 	at okhttp3 internal b g a(RealInterceptorChain java:147)
1508122843226  W System err( 1181): 	at okhttp3 internal b g a(RealInterceptorChain java:121)
1508122843226  W System err( 1181): 	at okhttp3 internal b a a(BridgeInterceptor java:93)
1508122843226  W System err( 1181): 	at okhttp3 internal b g a(RealInterceptorChain java:147)
1508122843226  W System err( 1181): 	at okhttp3 internal b j a(RetryAndFollowUpInterceptor java:125)
1508122843226  W System err( 1181): 	at okhttp3 internal b g a(RealInterceptorChain java:147)
1508122843226  W System err( 1181): 	at okhttp3 internal b g a(RealInterceptorChain java:121)
1508122843226  W System err( 1181): 	at okhttp3 y i(RealCall java:200)
1508122843226  W System err( 1181): 	at okhttp3 y b(RealCall java:77)
1508122843226  W System err( 1181): 	at com google firebase perf network FirebasePerfOkHttpClient execute(Unknown Source)
1508122843226  W System err( 1181): 	at d i a(OkHttpCall java:180)
1508122843226  W System err( 1181): 	at d a a c subscribeActual(CallExecuteObservable java:41)
1508122843226  W System err( 1181): 	at io reactivex y subscribe(Observable java:10910)
1508122843226  W System err( 1181): 	at d a a a subscribeActual(BodyObservable java:34)
1508122843226  W System err( 1181): 	at io reactivex y subscribe(Observable java:10910)
1508122843226  W System err( 1181): 	at io reactivex internal operators observable bw subscribeActual(ObservableOnErrorNext java:38)
1508122843226  W System err( 1181): 	at io reactivex y subscribe(Observable java:10910)
1508122843226  W System err( 1181): 	at io reactivex internal operators observable bv subscribeActual(ObservableObserveOn java:45)
1508122843226  W System err( 1181): 	at io reactivex y subscribe(Observable java:10910)
1508122843226  W System err( 1181): 	at io reactivex internal operators observable dc b run(ObservableSubscribeOn java:96)
1508122843226  W System err( 1181): 	at io reactivex af a run(Scheduler java:452)
1508122843226  W System err( 1181): 	    7 more
_x000D_
   _x000D_
_x000D_
  Instabug Log:  _x000D_
   _x000D_
_x000D_
   _x000D_
_x000D_
  User Steps:  _x000D_
   _x000D_
1508122819538 com github ayltai newspaper app MainActivity was created 
1508122819766 com github ayltai newspaper app MainActivity was started 
1508122819769 com github ayltai newspaper app MainActivity was resumed 
1508122833179 In activity com github ayltai newspaper app MainActivity: View(image) of type com davemorrissey labs subscaleview b received a click event
_x000D_
   _x000D_
_x000D_
  Current View:   	 com github ayltai newspaper app MainActivity_x000D_
_x000D_
  Locale:   	 en US_x000D_
_x000D_
  Orientation:   	 portrait_x000D_
_x000D_
  Screen Size:   	 1440x2560_x000D_
_x000D_
  Density:   	 xxxhdpi_x000D_
_x000D_
</t>
  </si>
  <si>
    <t>cgeo-cgeo-6776</t>
  </si>
  <si>
    <t>Calculator Crashed on Screen Rotation</t>
  </si>
  <si>
    <t xml:space="preserve">This was probably introduced with  6759 and seems to be caused by a change to the  Plain Format  text field   The change gets triggered sometime between when the  textListener  is added in  onCreateView(   )  and when the calculator s state is loaded in  onResume()  _x000D_
_x000D_
The actual crash is caused by accessing the  currentFormat  variable before it is initialised but I can t for the life of me workout what is causing the text to be changed prior to the  onResume()  call   In any event simply protecting the reference to  currentFormat  with  if null  checks alleviates the problem but I would have preferred to isolate the cause of the text changed event in the first place but can t seem to find it </t>
  </si>
  <si>
    <t>niclabs-adkintunmobile-androidclient-183</t>
  </si>
  <si>
    <t>ActiveConnectionMapBottomSheetDialogFragment.java line 91</t>
  </si>
  <si>
    <t xml:space="preserve">     in cl niclabs adkintunmobile views activeconnections ActiveConnectionMapBottomSheetDialogFragment setupDialog
  Number of crashes: 1
  Impacted devices: 1
There s a lot more information about this crash on crashlytics com:
 https:  fabric io niclabs android apps cl niclabs adkintunmobile issues 59e6150661b02d480dba0906 utm medium service hooks github utm source issue impact (https:  fabric io niclabs android apps cl niclabs adkintunmobile issues 59e6150661b02d480dba0906 utm medium service hooks github utm source issue impact)</t>
  </si>
  <si>
    <t>niclabs-adkintunmobile-androidclient-182</t>
  </si>
  <si>
    <t>Network.java line 230</t>
  </si>
  <si>
    <t xml:space="preserve">     in cl niclabs adkintunmobile utils information Network transferenceBitsSpeed
  Number of crashes: 1
  Impacted devices: 1
There s a lot more information about this crash on crashlytics com:
 https:  fabric io niclabs android apps cl niclabs adkintunmobile issues 59e6147b61b02d480dba0141 utm medium service hooks github utm source issue impact (https:  fabric io niclabs android apps cl niclabs adkintunmobile issues 59e6147b61b02d480dba0141 utm medium service hooks github utm source issue impact)</t>
  </si>
  <si>
    <t>nextcloud-android-1678</t>
  </si>
  <si>
    <t>V2 latest beta update crashes on start</t>
  </si>
  <si>
    <t xml:space="preserve">Immediate crash on start _x000D_
_x000D_
Reinstalled and no change _x000D_
_x000D_
This is the version on google play and crashes on start on two separate devices _x000D_
_x000D_
Log sent via google play </t>
  </si>
  <si>
    <t>google-ExoPlayer-3362</t>
  </si>
  <si>
    <t>IndexOutOfBoundsException: SimpleExoPlayer.getDuration()</t>
  </si>
  <si>
    <t xml:space="preserve">    Issue description  Reproduction steps_x000D_
I have no idea why and how does it happen  just receive some crash logs from my crash reporting service (affected at lest 30 users  20 different kind of devices) _x000D_
I post here to find if someone have same issue or has solution for it _x000D_
_x000D_
    Link to test content_x000D_
N A_x000D_
_x000D_
    Version of ExoPlayer being used_x000D_
 r2 5 3 _x000D_
_x000D_
    Device(s) and version(s) of Android being used_x000D_
Variety device and version _x000D_
_x000D_
    A full bug report captured from the device_x000D_
Crash log:_x000D_
   _x000D_
java lang IndexOutOfBoundsException_x000D_
	at com google android exoplayer2 Timeline 1 getWindow(Timeline java:522)_x000D_
	at com google android exoplayer2 Timeline getWindow 28c22ef2(Timeline java:618)_x000D_
	at com google android exoplayer2 Timeline getWindow(Timeline java:605)_x000D_
	at com google android exoplayer2 ExoPlayerImpl getDuration(ExoPlayerImpl java:313)_x000D_
	at com google android exoplayer2 SimpleExoPlayer getDuration(SimpleExoPlayer java:749)_x000D_
   </t>
  </si>
  <si>
    <t>cgeo-cgeo-6783</t>
  </si>
  <si>
    <t>Calculator crash on a waypoint with calculated coordinates</t>
  </si>
  <si>
    <t xml:space="preserve">      Detailed steps causing the problem:_x000D_
  Open a special waypoint which contains calculator data_x000D_
_x000D_
      Actual behavior after performing these steps:_x000D_
c:geo crashes_x000D_
_x000D_
_x000D_
      Expected behavior after performing these steps:_x000D_
No crash :)_x000D_
_x000D_
_x000D_
      Version of c:geo used:_x000D_
2017 10 17 NB 30e87fb_x000D_
_x000D_
_x000D_
      Is the problem reproducible for you _x000D_
Yes  but only with one waypoint _x000D_
_x000D_
_x000D_
      System information:_x000D_
   _x000D_
TODO_x000D_
   _x000D_
_x000D_
_x000D_
      Other comments and remarks:_x000D_
Maybe introduced with tri state button change  If an older nightly is still available I can check how the calculator is configured in this waypoint  _x000D_
</t>
  </si>
  <si>
    <t>syncthing-syncthing-android-972</t>
  </si>
  <si>
    <t>Syncthing crashes constantly on Android 8</t>
  </si>
  <si>
    <t>Syncthing 0 9 16 installed from Play Store keeps crashing (supposedly UI related) on a Nexus 6P running stock Android 8 0 0 to the point of being unusable _x000D_
_x000D_
It takes 5 to 20 seconds for the app to crash after it was started  The only way to make it usable and keep from crashing seems to be launching WebGUI  and if I m lucky enough to have WebGUI loaded before app crashes again  Syncthing works for as long as WebGUI is displayed  Even in this case switching screen off and back on leads to crash  so any prolonged usage is impossible  Pressing  home  or  recent apps  buttons leads to immediate crash as well _x000D_
_x000D_
I d love to attach some logs but I can t open log quick enough before app crashes  On one occasion I was able to catch glimpse of Syncthing log and the last line was something like  ionice   exec   permission denied _x000D_
_x000D_
I have the same version installed on a tablet running Android 4 4 2 and experience no such issues there  so the issue seems to be either device specific or oreo specific _x000D_
_x000D_
    App Version: 0 9 16_x000D_
    Syncthing Version: v0 14 39_x000D_
    Android Version: Android 8 0 0 (stock Nexus 6P  non rooted  with latest updates)</t>
  </si>
  <si>
    <t>k9mail-k-9-2846</t>
  </si>
  <si>
    <t>Parsing email address list with invalid base64 encoded word crashes the app</t>
  </si>
  <si>
    <t xml:space="preserve">Test case:_x000D_
   java_x000D_
Address parse(   utf 8 b invalid     oops example com  ) _x000D_
   _x000D_
_x000D_
Exception:_x000D_
   _x000D_
java lang Error: java io IOException: Unexpected base64 byte_x000D_
_x000D_
	at org apache james mime4j codec DecoderUtil decodeBase64(DecoderUtil java:89)_x000D_
	at org apache james mime4j codec DecoderUtil decodeB(DecoderUtil java:106)_x000D_
	at org apache james mime4j codec DecoderUtil tryDecodeEncodedWord(DecoderUtil java:233)_x000D_
	at org apache james mime4j codec DecoderUtil decodeEncodedWords(DecoderUtil java:187)_x000D_
	at org apache james mime4j codec DecoderUtil decodeEncodedWords(DecoderUtil java:143)_x000D_
	at org apache james mime4j field address Builder buildAddress(Builder java:71)_x000D_
	at org apache james mime4j field address Builder buildAddressList(Builder java:51)_x000D_
	at org apache james mime4j field address DefaultAddressParser parseAddressList(DefaultAddressParser java:69)_x000D_
	at org apache james mime4j field address DefaultAddressParser parseAddressList(DefaultAddressParser java:73)_x000D_
	at com fsck k9 mail Address parse(Address java:145)_x000D_
             _x000D_
Caused by: java io IOException: Unexpected base64 byte_x000D_
	at org apache james mime4j codec Base64InputStream read0(Base64InputStream java:193)_x000D_
	at org apache james mime4j codec Base64InputStream read(Base64InputStream java:87)_x000D_
	at org apache james mime4j codec DecoderUtil decodeBase64(DecoderUtil java:80)_x000D_
            39 more_x000D_
   _x000D_
_x000D_
I m not sure what the best way to handle this is  Probably using the personal part as is  However  the options in MIME4J are somewhat limited  It s either crashing with an  Error  or ignoring invalid characters when decoding the base64 payload  Since we don t like crashes we should probably start out with the latter option </t>
  </si>
  <si>
    <t>dgets-CPURecord-2</t>
  </si>
  <si>
    <t>2D array of int initialization is crashing or infinite looping</t>
  </si>
  <si>
    <t xml:space="preserve">For some reason  when the line  int     cpuStats   new int MAX COARS  4    is left in  CPUProbe displayInfo()   the  Show debug info  button stops being responsive  same as when I was having other crashes buried in the  CPU   classes   Not sure why in the hell this initialization is crashing things  I ve commented out every other line utilizing it (all assignments)  and it does  indeed  appear to be the declaration that is hosing things   Funny  I ve been doing crap like this since grade school  and I could swear that I m following the exact template found at  Programiz com (https:  www programiz com java programming multidimensional array) and a half a million other places </t>
  </si>
  <si>
    <t>nextcloud-android-1695</t>
  </si>
  <si>
    <t>Crash when trying to upload many files</t>
  </si>
  <si>
    <t xml:space="preserve">    Actual behaviour_x000D_
I navigate to the target folder on the server  then press the upload buttons  Then _x000D_
I select a folder to upload (my camera s images  actually)  I choose  Select all   as I can t select the folder as a whole to begin with  Then I press  Upload   Then  the application crashes _x000D_
_x000D_
    Expected behaviour_x000D_
_x000D_
The application should upload all the selected files _x000D_
 _x000D_
    Steps to reproduce_x000D_
1  Have a folder with many files (in my case   5000 )_x000D_
2  Select them for upload_x000D_
3  Press  Upload _x000D_
_x000D_
_x000D_
    Environment data_x000D_
Android version:_x000D_
_x000D_
5 0_x000D_
_x000D_
Device model: _x000D_
_x000D_
LG3_x000D_
_x000D_
Stock or customized system:_x000D_
_x000D_
Stock_x000D_
_x000D_
Nextcloud app version:_x000D_
_x000D_
Nextcloud dev  v20170930 (but it happens with the non dev version from Play as well)_x000D_
_x000D_
Nextcloud server version:_x000D_
_x000D_
12 0 3  fresh install_x000D_
_x000D_
    Logs_x000D_
     Web server error log_x000D_
   _x000D_
There are no errors in the webserver s error log _x000D_
   _x000D_
_x000D_
     Nextcloud log (data nextcloud log)_x000D_
   _x000D_
There seem to be no relevant entries in the server s log (a few entries about wrong file sizes and file formats  but that s it) _x000D_
   _x000D_
  NOTE:   Be super sure to remove sensitive data like passwords  note that everybody can look here  You can use the Issue Template application to prefill some of the required information: https:  apps nextcloud com apps issuetemplate_x000D_
</t>
  </si>
  <si>
    <t>cgeo-cgeo-6784</t>
  </si>
  <si>
    <t>Add own waypoint fails when geocache has already &gt;100 waypoints defined</t>
  </si>
  <si>
    <t xml:space="preserve">From german geocaching forum:_x000D_
https:  geoclub de forum viewtopic php f 155 t 67870 start 700 p1276867_x000D_
_x000D_
  open https:  coord info GC6HH0B _x000D_
  goto waypoints_x000D_
  add an own wapoint_x000D_
  c:geo crashes_x000D_
_x000D_
Maybe related to  6243 _x000D_
_x000D_
I could reproduce the bug  but couldn t yet look into the logs what happens _x000D_
</t>
  </si>
  <si>
    <t>mycelium-com-wallet-android-411</t>
  </si>
  <si>
    <t>Coinapult Client RuntimeException error: 0f06707b:elliptic curve routines</t>
  </si>
  <si>
    <t xml:space="preserve">I was trying to create a coinapult account in usd  After I accept the terms  the app crashes:_x000D_
_x000D_
_x000D_
   _x000D_
Caused by: java lang RuntimeException: error: 0f06707b:elliptic curve routines:EC GROUP new by curve name:UNKNOWN GROUP_x000D_
at com android org conscrypt NativeCrypto d2i PKCS8 PRIV KEY INFO(Native Method)_x000D_
at com android org conscrypt OpenSSLSignature engineInitSign(OpenSSLSignature java:138)_x000D_
at java security Signature SignatureImpl engineInitSign(Signature java:706)_x000D_
at java security Signature initSign(Signature java:357)_x000D_
at com coinapult api httpclient ECC SC generateSign(ECC SC java:103)_x000D_
at com coinapult api httpclient CoinapultClient sendECCRequest(CoinapultClient java:137)_x000D_
_x000D_
   </t>
  </si>
  <si>
    <t>HenriDellal-emerald-11</t>
  </si>
  <si>
    <t>Handle runtime permissions for Android 6.0+</t>
  </si>
  <si>
    <t xml:space="preserve">For now  the application may crash and throw SecurityException if there are no permissions granted  It is reported to happen in Apps launch method </t>
  </si>
  <si>
    <t>MCMrARM-revolution-irc-16</t>
  </si>
  <si>
    <t>getActivity() can be null in ChatMessagesFragment</t>
  </si>
  <si>
    <t>getActivity() can be null in ChatMessagesFragment and cause a crash  Bug caused by https:  github com MCMrARM revolution irc commit 2cb6eaceec7b53719042ee1f31d4f70a318785dc</t>
  </si>
  <si>
    <t>MCMrARM-revolution-irc-15</t>
  </si>
  <si>
    <t>Sometimes the app fails to reconnect to servers</t>
  </si>
  <si>
    <t xml:space="preserve">Sometimes the app is stuck while reconnecting to a server and the server connections are stuck in the  Disconnected  state  You have to reopen the application to fix this _x000D_
_x000D_
I think this was caused by adding a safecheck in IRCConnection connect (in 0 3 0) to prevent duplicate network connections on a single instance from happening (as I suspected that was happening  looking at one of the crashes) </t>
  </si>
  <si>
    <t>scottwainstock-pbm-android-159</t>
  </si>
  <si>
    <t>Crashes if Location Services is turned off</t>
  </si>
  <si>
    <t xml:space="preserve">Steps:_x000D_
_x000D_
Give the app permission to use location_x000D_
Close the app_x000D_
Turn off location services on phone_x000D_
Open app_x000D_
_x000D_
Result: app crashes  I think it s looking for your location and crashing when it can t find it _x000D_
_x000D_
I think the problem is that  in a  few places (https:  github com scottwainstock pbm android blob master app src main java com pbm Profile java L157)  we have  if permission for location  then get location  without an  else   I was aware of this when I added those if statements  but I couldn t figure out what to put in an  else   </t>
  </si>
  <si>
    <t>gsantner-dandelion-173</t>
  </si>
  <si>
    <t>Sharing image to another app crashes app on Oreo</t>
  </si>
  <si>
    <t xml:space="preserve">     General information_x000D_
_x000D_
_x000D_
    Android Device:   Nexus 6p_x000D_
    Android API Version:   Oreo_x000D_
    App version:   Latest FDroid build_x000D_
    App source:   FDroid_x000D_
_x000D_
_x000D_
    _x000D_
I have:_x000D_
_x000D_
  At least version 0 2 0 installed  see About   Debug  If it is not visible you have an very old version  and _x000D_
  your issue will be closed _x000D_
  searched open and closed issues for duplicates_x000D_
  read  https:  github com Diaspora for Android dandelion blob master CONTRIBUTING md _x000D_
  not submitted translations   see  Crowdin (https:  crowdin com project diaspora for android invite)  _x000D_
   _x000D_
_x000D_
     Steps to reproduce_x000D_
_x000D_
1  Long click on image_x000D_
2  Share_x000D_
_x000D_
_x000D_
     Expected result_x000D_
  What is the expected output    _x000D_
Dialog pops up for share target selection_x000D_
_x000D_
_x000D_
  What do you see instead   _x000D_
App crashes_x000D_
_x000D_
According to  this page (https:  developer android com reference android os FileUriExposedException html) the URI shared to other apps should not be a  file:    URI  but instead a  content:     A fix would probably involve utilizing a content provider _x000D_
_x000D_
    _x000D_
10 23 13:55:09 209 31052 31052 D AndroidRuntime: Shutting down VM_x000D_
10 23 13:55:09 218 31052 31052 E AndroidRuntime: FATAL EXCEPTION: main_x000D_
10 23 13:55:09 218 31052 31052 E AndroidRuntime: Process: com github dfa diaspora android  PID: 31052_x000D_
10 23 13:55:09 218 31052 31052 E AndroidRuntime: android os FileUriExposedException: file:   storage emulated 0 Pictures Diaspora 1508759708741 png exposed beyond app through ClipData Item getUri()_x000D_
10 23 13:55:09 218 31052 31052 E AndroidRuntime: 	at android os StrictMode onFileUriExposed(StrictMode java:1958)_x000D_
10 23 13:55:09 218 31052 31052 E AndroidRuntime: 	at android net Uri checkFileUriExposed(Uri java:2348)_x000D_
10 23 13:55:09 218 31052 31052 E AndroidRuntime: 	at android content ClipData prepareToLeaveProcess(ClipData java:941)_x000D_
10 23 13:55:09 218 31052 31052 E AndroidRuntime: 	at android content Intent prepareToLeaveProcess(Intent java:9735)_x000D_
10 23 13:55:09 218 31052 31052 E AndroidRuntime: 	at android content Intent prepareToLeaveProcess(Intent java:9741)_x000D_
10 23 13:55:09 218 31052 31052 E AndroidRuntime: 	at android content Intent prepareToLeaveProcess(Intent java:9720)_x000D_
10 23 13:55:09 218 31052 31052 E AndroidRuntime: 	at android app Instrumentation execStartActivity(Instrumentation java:1609)_x000D_
10 23 13:55:09 218 31052 31052 E AndroidRuntime: 	at android app Activity startActivityForResult(Activity java:4472)_x000D_
10 23 13:55:09 218 31052 31052 E AndroidRuntime: 	at android support v4 app BaseFragmentActivityJB startActivityForResult(BaseFragmentActivityJB java:48)_x000D_
10 23 13:55:09 218 31052 31052 E AndroidRuntime: 	at android support v4 app FragmentActivity startActivityForResult(FragmentActivity java:75)_x000D_
10 23 13:55:09 218 31052 31052 E AndroidRuntime: 	at android app Activity startActivityForResult(Activity java:4430)_x000D_
10 23 13:55:09 218 31052 31052 E AndroidRuntime: 	at android support v4 app FragmentActivity startActivityForResult(FragmentActivity java:871)_x000D_
10 23 13:55:09 218 31052 31052 E AndroidRuntime: 	at android app Activity startActivity(Activity java:4791)_x000D_
10 23 13:55:09 218 31052 31052 E AndroidRuntime: 	at android app Activity startActivity(Activity java:4759)_x000D_
10 23 13:55:09 218 31052 31052 E AndroidRuntime: 	at android content ContextWrapper startActivity(ContextWrapper java:366)_x000D_
10 23 13:55:09 218 31052 31052 E AndroidRuntime: 	at com github dfa diaspora android web ContextMenuWebView 1 3 onPostExecute(ContextMenuWebView java:174)_x000D_
10 23 13:55:09 218 31052 31052 E AndroidRuntime: 	at com github dfa diaspora android web ContextMenuWebView 1 3 onPostExecute(ContextMenuWebView java:165)_x000D_
10 23 13:55:09 218 31052 31052 E AndroidRuntime: 	at android os AsyncTask finish(AsyncTask java:695)_x000D_
10 23 13:55:09 218 31052 31052 E AndroidRuntime: 	at android os AsyncTask  wrap1(Unknown Source:0)_x000D_
10 23 13:55:09 218 31052 31052 E AndroidRuntime: 	at android os AsyncTask InternalHandler handleMessage(AsyncTask java:712)_x000D_
10 23 13:55:09 218 31052 31052 E AndroidRuntime: 	at android os Handler dispatchMessage(Handler java:105)_x000D_
10 23 13:55:09 218 31052 31052 E AndroidRuntime: 	at android os Looper loop(Looper java:164)_x000D_
10 23 13:55:09 218 31052 31052 E AndroidRuntime: 	at android app ActivityThread main(ActivityThread java:6544)_x000D_
10 23 13:55:09 218 31052 31052 E AndroidRuntime: 	at java lang reflect Method invoke(Native Method)_x000D_
10 23 13:55:09 218 31052 31052 E AndroidRuntime: 	at com android internal os Zygote MethodAndArgsCaller run(Zygote java:240)_x000D_
10 23 13:55:09 218 31052 31052 E AndroidRuntime: 	at com android internal os ExecInit main(ExecInit java:50)_x000D_
10 23 13:55:09 218 31052 31052 E AndroidRuntime: 	at com android internal os RuntimeInit nativeFinishInit(Native Method)_x000D_
10 23 13:55:09 218 31052 31052 E AndroidRuntime: 	at com android internal os RuntimeInit main(RuntimeInit java:284)_x000D_
10 23 13:55:09 226 31052 31052 E AndroidRuntime: Error reporting crash_x000D_
10 23 13:55:09 226 31052 31052 E AndroidRuntime: java lang RuntimeException: Bad file descriptor_x000D_
10 23 13:55:09 226 31052 31052 E AndroidRuntime: 	at android os BinderProxy transactNative(Native Method)_x000D_
10 23 13:55:09 226 31052 31052 E AndroidRuntime: 	at android os BinderProxy transact(Binder java:748)_x000D_
10 23 13:55:09 226 31052 31052 E AndroidRuntime: 	at android app IActivityManager Stub Proxy handleApplicationCrash(IActivityManager java:4321)_x000D_
10 23 13:55:09 226 31052 31052 E AndroidRuntime: 	at com android internal os RuntimeInit KillApplicationHandler uncaughtException(RuntimeInit java:115)_x000D_
10 23 13:55:09 226 31052 31052 E AndroidRuntime: 	at java lang ThreadGroup uncaughtException(ThreadGroup java:1068)_x000D_
10 23 13:55:09 226 31052 31052 E AndroidRuntime: 	at java lang ThreadGroup uncaughtException(ThreadGroup java:1063)_x000D_
10 23 13:55:09 226 31052 31052 E AndroidRuntime: 	at java lang Thread dispatchUncaughtException(Thread java:1953)_x000D_
10 23 13:55:09 226 31052 31052 I Process : Sending signal  PID: 31052 SIG: 9_x000D_
10 23 13:55:09 307  4510  5883 D ConnectivityService: ConnectivityService NetworkRequestInfo binderDied(NetworkRequest   LISTEN id 43    Capabilities: INTERNET NOT RESTRICTED TRUSTED FOREGROUND     android os BinderProxy 5592048)_x000D_
10 23 13:55:09 307  4510  7165 D ConnectivityService: ConnectivityService NetworkRequestInfo binderDied(NetworkRequest   LISTEN id 42    Capabilities: INTERNET NOT RESTRICTED TRUSTED FOREGROUND     android os BinderProxy e78dee1)_x000D_
10 23 13:55:09 307  4510 19253 I ActivityManager: Process com github dfa diaspora android (pid 31052) has died: fore TOP _x000D_
    </t>
  </si>
  <si>
    <t>getodk-collect-1552</t>
  </si>
  <si>
    <t>Pictures taken by the SelfieWidget are rotated incorrectly on some devices</t>
  </si>
  <si>
    <t xml:space="preserve">     Software and hardware versions _x000D_
Collect v1 10 2_x000D_
_x000D_
     Problem description_x000D_
Pictures taken by the SelfieWidget are rotated incorrectly on some devices _x000D_
_x000D_
     Other information _x000D_
This table is from https:  github com opendatakit collect pull 1541 so it might look a little different on v1 10 2 but the problem is visible there too and once we have merged  1541 it will look the same _x000D_
_x000D_
  case device    Samsung S7   huawei   sony z3   samsung J1   infinix   _x000D_
                                                                                                 _x000D_
  image widget  front camera  vertical   vertical   vertical   vertical   vertical   vertical  _x000D_
  image widget  front camera  horizontal   horizontal   horizontal   horizontal   horizontal   horizontal  _x000D_
  selfie widget  front camera  vertical   vertical   vertical   vertical   horizontal   horizontal  _x000D_
  selfie widget  front camera  horizontal   crash    upside down   upsiede down   horizontal   horizontal  </t>
  </si>
  <si>
    <t>DaylightingSociety-WhereAreTheEyes-54</t>
  </si>
  <si>
    <t>Crash / Cannot start on Android (Replicant 6, Samsung Galaxy Note II)</t>
  </si>
  <si>
    <t xml:space="preserve">How to reproduce:_x000D_
_x000D_
1  Using a Samsung Galaxy Note II running Replicant 6  download and install WhereAreTheEyes from F Droid_x000D_
2  Start WhereAreTheEyes _x000D_
3  Crash   Unfortunately  WhereAreTheEyes has stopped  _x000D_
_x000D_
Here s what I get from  adb logcat :_x000D_
_x000D_
   _x000D_
10 23 09:37:17 600 32637   819 I ActivityManager: START u0  act android intent action MAIN cat  android intent category LAUNCHER  flg 0x10200000 pkg org daylightingsociety wherearetheeyes cmp org daylightingsociety wherearetheeyes  MainActivity  from uid 1000 on display 0_x000D_
10 23 09:37:17 625 32637  1865 I ActivityManager: Start proc 17260:org daylightingsociety wherearetheeyes u0a86 for activity org daylightingsociety wherearetheeyes  MainActivity_x000D_
10 23 09:37:17 730 17260 17260 V MapboxTelemetry: Initializing telemetry _x000D_
10 23 09:37:17 760 17260 17260 V MapboxTelemetry: Setting user agent value: org daylightingsociety wherearetheeyes 1 3 0 6 MapboxEventsAndroid 5 0 2_x000D_
10 23 09:37:17 760 17260 17260 V MapboxTelemetry: Enabling telemetry _x000D_
10 23 09:37:17 765 17260 17260 V MapboxTelemetry: Location permissions not granted (checking again in 10 seconds) _x000D_
10 23 09:37:17 780 17260 17260 I art     : Thread 1 tid 17260 Native Thread  0x42a2fa98 peer 0x74e392a0  main   recursive attempt to load library   data app org daylightingsociety wherearetheeyes 1 lib arm libmapbox gl so _x000D_
10 23 09:37:17 790 17260 17260 I art     : Thread 1 tid 17260 Native Thread  0x42a2fa98 peer 0x74e392a0  main   recursive attempt to load library   data app org daylightingsociety wherearetheeyes 1 lib arm libmapbox gl so _x000D_
10 23 09:37:17 790 17260 17260 I art     : Thread 1 tid 17260 Native Thread  0x42a2fa98 peer 0x74e392a0  main   recursive attempt to load library   data app org daylightingsociety wherearetheeyes 1 lib arm libmapbox gl so _x000D_
10 23 09:37:17 910 17260 17260 D libEGL  : Emulator without GPU support detected  Fallback to software renderer _x000D_
10 23 09:37:17 920 32381 32674 E NetlinkEvent: NetlinkEvent::FindParam(): Parameter  TIME NS  not found_x000D_
10 23 09:37:17 920 32381 32674 E NetlinkEvent: NetlinkEvent::FindParam(): Parameter  UID  not found_x000D_
10 23 09:37:17 935 17260 17260 D libEGL  : loaded  system lib egl libGLES android so_x000D_
10 23 09:37:17 990 17260 17260 E mbgl    :  wherearetheeyes  OpenGL : eglChooseConfig() returned no configs _x000D_
10 23 09:37:17 990 17260 17260 D AndroidRuntime: Shutting down VM_x000D_
10 23 09:37:17 990 17260 17260 E AndroidRuntime: FATAL EXCEPTION: main_x000D_
10 23 09:37:17 990 17260 17260 E AndroidRuntime: Process: org daylightingsociety wherearetheeyes  PID: 17260_x000D_
10 23 09:37:17 990 17260 17260 E AndroidRuntime: Theme: themes:  _x000D_
10 23 09:37:17 990 17260 17260 E AndroidRuntime: java lang Error: eglChooseConfig() failed_x000D_
10 23 09:37:17 990 17260 17260 E AndroidRuntime: 	at com mapbox mapboxsdk maps NativeMapView nativeInitializeDisplay(Native Method)_x000D_
10 23 09:37:17 990 17260 17260 E AndroidRuntime: 	at com mapbox mapboxsdk maps NativeMapView initializeDisplay(NativeMapView java:127)_x000D_
10 23 09:37:17 990 17260 17260 E AndroidRuntime: 	at com mapbox mapboxsdk maps MapView onCreate(MapView java:213)_x000D_
10 23 09:37:17 990 17260 17260 E AndroidRuntime: 	at org daylightingsociety wherearetheeyes MainActivity onCreate(MainActivity java:73)_x000D_
10 23 09:37:17 990 17260 17260 E AndroidRuntime: 	at android app Activity performCreate(Activity java:6251)_x000D_
10 23 09:37:17 990 17260 17260 E AndroidRuntime: 	at android app Instrumentation callActivityOnCreate(Instrumentation java:1108)_x000D_
10 23 09:37:17 990 17260 17260 E AndroidRuntime: 	at android app ActivityThread performLaunchActivity(ActivityThread java:2403)_x000D_
10 23 09:37:17 990 17260 17260 E AndroidRuntime: 	at android app ActivityThread handleLaunchActivity(ActivityThread java:2510)_x000D_
10 23 09:37:17 990 17260 17260 E AndroidRuntime: 	at android app ActivityThread  wrap11(ActivityThread java)_x000D_
10 23 09:37:17 990 17260 17260 E AndroidRuntime: 	at android app ActivityThread H handleMessage(ActivityThread java:1363)_x000D_
10 23 09:37:17 990 17260 17260 E AndroidRuntime: 	at android os Handler dispatchMessage(Handler java:102)_x000D_
10 23 09:37:17 990 17260 17260 E AndroidRuntime: 	at android os Looper loop(Looper java:148)_x000D_
10 23 09:37:17 990 17260 17260 E AndroidRuntime: 	at android app ActivityThread main(ActivityThread java:5461)_x000D_
10 23 09:37:17 990 17260 17260 E AndroidRuntime: 	at java lang reflect Method invoke(Native Method)_x000D_
10 23 09:37:17 990 17260 17260 E AndroidRuntime: 	at com android internal os ZygoteInit MethodAndArgsCaller run(ZygoteInit java:726)_x000D_
10 23 09:37:17 990 17260 17260 E AndroidRuntime: 	at com android internal os ZygoteInit main(ZygoteInit java:616)_x000D_
10 23 09:37:17 990 32637 32652 W ActivityManager:   Force finishing activity org daylightingsociety wherearetheeyes  MainActivity_x000D_
10 23 09:37:18 295 32637 32652 I WindowManager: Screenshot max retries 4 of Token d265295 ActivityRecord e12024c u0 org daylightingsociety wherearetheeyes  MainActivity t1013 f   appWin Window 28b979b u0 Starting org daylightingsociety wherearetheeyes  drawState 4_x000D_
10 23 09:37:18 800 32637 32670 W ActivityManager: Activity pause timeout for ActivityRecord e12024c u0 org daylightingsociety wherearetheeyes  MainActivity t1013 f _x000D_
10 23 09:37:29 125 32637 32670 W ActivityManager: Activity destroy timeout for ActivityRecord e12024c u0 org daylightingsociety wherearetheeyes  MainActivity t1013 f _x000D_
   _x000D_
_x000D_
Quickly tried:_x000D_
_x000D_
1  App info    Permissions    Enable location for WhereAreTheEyes_x000D_
2  Still crashes _x000D_
_x000D_
On closer inspection it seems like this is an error in mapbox: https:  github com mapbox mapbox gl native issues 9120_x000D_
_x000D_
Doesn t seem like there s a fix  so not sure what to do  _x000D_
_x000D_
</t>
  </si>
  <si>
    <t>taekwonjoe01-sweepersd-74</t>
  </si>
  <si>
    <t>Resolve the blip of WZE Activity showing up in listview.</t>
  </si>
  <si>
    <t xml:space="preserve">Maybe an ignore Uid (breaks on crash)   unregister observer in onPause or perhaps delete it earlier in WZE lifecycle teardown </t>
  </si>
  <si>
    <t>syncthing-syncthing-android-978</t>
  </si>
  <si>
    <t xml:space="preserve"> 0.10.0-beta1 - GUI-instacrash on Android 7 OP5</t>
  </si>
  <si>
    <t xml:space="preserve">Sorry  log does not show anything _x000D_
The GUI just simply vanishes  Syncthing itselfs works  _x000D_
There is a new notification shown  When touch clicked  GUI is not shown  screen flashes and Syncthing crashes _x000D_
_x000D_
Anyway  on all my devices I use fixed ip addresses and i have disabled any NAT or other discovery functions _x000D_
Do you know what this in the log means _x000D_
 VJLWT  13:06:50 INFO: kcp:  0 0 0 0:22020 resolved external address kcp:  91 50 7 148:22020 (via stun schlund de:3478)_x000D_
Does the KCP protocol use another  different discovery method I have to disable _x000D_
_x000D_
Thanks _x000D_
</t>
  </si>
  <si>
    <t>twilio-video-quickstart-android-182</t>
  </si>
  <si>
    <t xml:space="preserve">Video call can not get participant's image </t>
  </si>
  <si>
    <t>Hi there _x000D_
I create a new issue _x000D_
_x000D_
and it is follow this one _x000D_
https:  github com twilio video quickstart android issues 93 issuecomment 336998202_x000D_
_x000D_
First  let me explain what i want to do  _x000D_
I run the video call program from video quickstart android _x000D_
I can see my face and Participant face on quickstart  _x000D_
_x000D_
And  I have program Image processing is determine the posture of the head _x000D_
in the local mobile  I use the camera image to get the head pose  and I want send to participant s mobile _x000D_
_x000D_
My idea is put my head pose data to VideoFrame  follow the image to send to  participant  _x000D_
And participant can get realtime head pose data from me  _x000D_
_x000D_
I use  CustomCameraCapturer  (https:  github com twilio video quickstart android issues 140) to get every image  and process the head pose data  and replace first there data byte from head pose data  _x000D_
I think it will send to participant and myself  ( )_x000D_
_x000D_
But I have two problem  _x000D_
  1  I can not get every frames image   _x000D_
_x000D_
and I use this code  Custom Renderer Example  (https:  github com twilio video quickstart android blob master exampleCustomVideoRenderer src main java com twilio video examples customrenderer SnapshotVideoRenderer java)_x000D_
_x000D_
   _x000D_
public void renderFrame(final I420Frame i420Frame)  _x000D_
final Bitmap bitmap   i420Frame yuvPlanes    null  _x000D_
            captureBitmapFromTexture(i420Frame) :_x000D_
            captureBitmapFromYuvFrame(i420Frame) _x000D_
_x000D_
    handler post(new Runnable()  _x000D_
         Override_x000D_
        public void run()  _x000D_
               Update the bitmap of image view_x000D_
            Targetview setImageBitmap(bitmap) _x000D_
_x000D_
               Frames must be released after rendering to free the native memory_x000D_
            i420Frame release() _x000D_
            return _x000D_
         _x000D_
 _x000D_
   _x000D_
_x000D_
if image is from CameraCapturer   i420Frame always have value  _x000D_
and code will call captureBitmapFromYuvFrame  it s work fine _x000D_
but if i use VideoTrack to get i420Frame   the value is null  _x000D_
and code will call  captureBitmapFromTexture  _x000D_
but my app always crash on  new YuvConverter()   in captureBitmapFromTexture _x000D_
_x000D_
this is my log_x000D_
_x000D_
  10 24 10:41:23 444 25899 25899   E Zygote: v2_x000D_
  10 24 10:41:23 444 25899 25899   I libpersona: KNOX SDCARD checking this for 10279_x000D_
  10 24 10:41:23 444 25899 25899   I libpersona: KNOX SDCARD not a persona_x000D_
  10 24 10:41:23 444 25899 25899   E Zygote: accessInfo : 0_x000D_
  10 24 10:41:23 445 25899 25899   W SELinux: SELinux selinux android compute policy index : Policy Index 2    Con:u:r:zygote:s0 RAM:SEPF SECMOBILE 7 0 0009    1  1  4  1 0 1 _x000D_
  10 24 10:41:23 446 25899 25899   I SELinux: SELinux: seapp context lookup: seinfo untrusted  level s0:c512 c768  pkgname com example user videocall _x000D_
  10 24 10:41:23 449 25899 25899   I art: Late enabling  Xcheck:jni_x000D_
  10 24 10:41:23 466 25899 25899 com example user videocall D TimaKeyStoreProvider: TimaKeyStore is not enabled: cannot add TimaSignature Service and generateKeyPair Service_x000D_
  10 24 10:41:23 485 25899 25899 com example user videocall W ActivityThread: Application com example user videocall is waiting for the debugger on port 8100   _x000D_
  10 24 10:41:23 486 25899 25899 com example user videocall I System out: Sending WAIT chunk_x000D_
  10 24 10:41:24 500 25899 25906 com example user videocall I art: Debugger is active_x000D_
  10 24 10:41:24 687 25899 25899 com example user videocall I System out: Debugger has connected_x000D_
  10 24 10:41:24 687 25899 25899 com example user videocall I System out: waiting for debugger to settle   _x000D_
  10 24 10:41:24 887 25899 25899 com example user videocall I System out: waiting for debugger to settle   _x000D_
  10 24 10:41:25 087 25899 25899 com example user videocall I System out: waiting for debugger to settle   _x000D_
  10 24 10:41:25 287 25899 25899 com example user videocall I System out: waiting for debugger to settle   _x000D_
  10 24 10:41:25 488 25899 25899 com example user videocall I System out: waiting for debugger to settle   _x000D_
  10 24 10:41:25 688 25899 25899 com example user videocall I System out: waiting for debugger to settle   _x000D_
  10 24 10:41:25 888 25899 25899 com example user videocall I System out: debugger has settled (1320)_x000D_
  10 24 10:41:26 014 25899 25899 com example user videocall I InstantRun: starting instant run server: is main process_x000D_
  10 24 10:41:26 099 25899 25899 com example user videocall W art: Before Android 4 1  method android graphics PorterDuffColorFilter android support graphics drawable VectorDrawableCompat updateTintFilter(android graphics PorterDuffColorFilter  android content res ColorStateList  android graphics PorterDuff Mode) would have incorrectly overridden the package private method in android graphics drawable Drawable_x000D_
  10 24 10:41:26 243 25899 25899 com example user videocall I org webrtc Logging: EglBase14: SDK version: 24  isEGL14Supported: true_x000D_
  10 24 10:41:26 253 25899 25899 com example user videocall D libEGL: loaded  vendor lib64 egl libGLES mali so_x000D_
  10 24 10:41:26 272 25899 25899 com example user videocall I org webrtc Logging: EglBase14: SDK version: 24  isEGL14Supported: true_x000D_
  10 24 10:41:26 274 25899 25899 com example user videocall I org webrtc Logging: EglBase14: SDK version: 24  isEGL14Supported: true_x000D_
  10 24 10:41:26 275 25899 25899 com example user videocall D JVM: JVM::Initialize  tid 25899 _x000D_
  10 24 10:41:26 275 25899 25899 com example user videocall D JVM: JVM::JVM  tid 25899 _x000D_
  10 24 10:41:26 275 25899 25899 com example user videocall D JVM: LoadClasses_x000D_
  10 24 10:41:26 275 25899 25899 com example user videocall D JVM: name: org webrtc voiceengine BuildInfo_x000D_
  10 24 10:41:26 275 25899 25899 com example user videocall D JVM: name: org webrtc voiceengine WebRtcAudioManager_x000D_
  10 24 10:41:26 275 25899 25899 com example user videocall D JVM: name: org webrtc voiceengine WebRtcAudioRecord_x000D_
  10 24 10:41:26 275 25899 25899 com example user videocall D JVM: name: org webrtc voiceengine WebRtcAudioTrack_x000D_
  10 24 10:41:26 285 25899 25899 com example user videocall W AudioCapabilities: Unsupported mime audio mpeg L1_x000D_
  10 24 10:41:26 286 25899 25899 com example user videocall W AudioCapabilities: Unsupported mime audio mpeg L2_x000D_
  10 24 10:41:26 288 25899 25899 com example user videocall W AudioCapabilities: Unsupported mime audio x ms wma_x000D_
  10 24 10:41:26 290 25899 25899 com example user videocall W AudioCapabilities: Unsupported mime audio x ima_x000D_
  10 24 10:41:26 291 25899 25899 com example user videocall W VideoCapabilities: Unrecognized profile level 1 32 for video mp4v es_x000D_
  10 24 10:41:26 291 25899 25899 com example user videocall W VideoCapabilities: Unrecognized profile level 32768 2 for video mp4v es_x000D_
  10 24 10:41:26 291 25899 25899 com example user videocall W VideoCapabilities: Unrecognized profile level 32768 64 for video mp4v es_x000D_
  10 24 10:41:26 297 25899 25899 com example user videocall W VideoCapabilities: Unrecognized profile 2130706433 for video avc_x000D_
  10 24 10:41:26 297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2130706433 for video avc_x000D_
  10 24 10:41:26 298 25899 25899 com example user videocall W VideoCapabilities: Unrecognized profile 2130706434 for video avc_x000D_
  10 24 10:41:26 301 25899 25899 com example user videocall W VideoCapabilities: Unrecognized profile 2130706433 for video avc_x000D_
  10 24 10:41:26 301 25899 25899 com example user videocall W VideoCapabilities: Unrecognized profile 2130706433 for video avc_x000D_
  10 24 10:41:26 301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2130706433 for video avc_x000D_
  10 24 10:41:26 302 25899 25899 com example user videocall W VideoCapabilities: Unrecognized profile 2130706434 for video avc_x000D_
  10 24 10:41:26 316 25899 25899 com example user videocall W VideoCapabilities: Unsupported mime video wvc1_x000D_
  10 24 10:41:26 317 25899 25899 com example user videocall W VideoCapabilities: Unsupported mime video x ms wmv_x000D_
  10 24 10:41:26 326 25899 25899 com example user videocall W VideoCapabilities: Unrecognized profile level 1 32 for video mp4v es_x000D_
  10 24 10:41:26 326 25899 25899 com example user videocall W VideoCapabilities: Unrecognized profile level 32768 2 for video mp4v es_x000D_
  10 24 10:41:26 326 25899 25899 com example user videocall W VideoCapabilities: Unrecognized profile level 32768 64 for video mp4v es_x000D_
  10 24 10:41:26 329 25899 25899 com example user videocall W VideoCapabilities: Unsupported mime video wvc1_x000D_
  10 24 10:41:26 331 25899 25899 com example user videocall W VideoCapabilities: Unsupported mime video x ms wmv_x000D_
  10 24 10:41:26 333 25899 25899 com example user videocall W VideoCapabilities: Unsupported mime video x ms wmv7_x000D_
  10 24 10:41:26 335 25899 25899 com example user videocall W VideoCapabilities: Unsupported mime video x ms wmv8_x000D_
  10 24 10:41:26 336 25899 25899 com example user videocall W VideoCapabilities: Unsupported mime video mp43_x000D_
  10 24 10:41:26 338 25899 25904 com example user videocall I art: Compiler allocated 6MB to compile void android media MediaCodecInfo VideoCapabilities applyLevelLimits()_x000D_
  10 24 10:41:26 342 25899 25899 com example user videocall W VideoCapabilities: Unrecognized profile 2130706433 for video avc_x000D_
  10 24 10:41:26 342 25899 25899 com example user videocall W VideoCapabilities: Unrecognized profile 2130706433 for video avc_x000D_
  10 24 10:41:26 342 25899 25899 com example user videocall W VideoCapabilities: Unrecognized profile 2130706433 for video avc_x000D_
  10 24 10:41:26 342 25899 25899 com example user videocall W VideoCapabilities: Unrecognized profile 2130706433 for video avc_x000D_
  10 24 10:41:26 342 25899 25899 com example user videocall W VideoCapabilities: Unrecognized profile 2130706433 for video avc_x000D_
  10 24 10:41:26 342 25899 25899 com example user videocall W VideoCapabilities: Unrecognized profile 2130706433 for video avc_x000D_
  10 24 10:41:26 342 25899 25899 com example user videocall W VideoCapabilities: Unrecognized profile 2130706433 for video avc_x000D_
  10 24 10:41:26 342 25899 25899 com example user videocall W VideoCapabilities: Unrecognized profile 2130706433 for video avc_x000D_
  10 24 10:41:26 342 25899 25899 com example user videocall W VideoCapabilities: Unrecognized profile 2130706433 for video avc_x000D_
  10 24 10:41:26 343 25899 25899 com example user videocall W VideoCapabilities: Unrecognized profile 2130706433 for video avc_x000D_
  10 24 10:41:26 343 25899 25899 com example user videocall W VideoCapabilities: Unrecognized profile 2130706433 for video avc_x000D_
  10 24 10:41:26 343 25899 25899 com example user videocall W VideoCapabilities: Unrecognized profile 2130706433 for video avc_x000D_
  10 24 10:41:26 343 25899 25899 com example user videocall W VideoCapabilities: Unrecognized profile 2130706433 for video avc_x000D_
  10 24 10:41:26 343 25899 25899 com example user videocall W VideoCapabilities: Unrecognized profile 2130706433 for video avc_x000D_
  10 24 10:41:26 343 25899 25899 com example user videocall W VideoCapabilities: Unrecognized profile 2130706433 for video avc_x000D_
  10 24 10:41:26 343 25899 25899 com example user videocall W VideoCapabilities: Unrecognized profile 2130706433 for video avc_x000D_
  10 24 10:41:26 343 25899 25899 com example user videocall W VideoCapabilities: Unrecognized profile 2130706434 for video avc_x000D_
  10 24 10:41:26 344 25899 25904 com example user videocall I art: Do partial code cache collection  code 30KB  data 29KB_x000D_
  10 24 10:41:26 344 25899 25904 com example user videocall I art: After code cache collection  code 30KB  data 29KB_x000D_
  10 24 10:41:26 344 25899 25904 com example user videocall I art: Increasing code cache capacity to 128KB_x000D_
  10 24 10:41:26 350 25899 25899 com example user videocall W VideoCapabilities: Unrecognized profile level 1 32 for video mp4v es_x000D_
  10 24 10:41:26 350 25899 25899 com example user videocall W VideoCapabilities: Unrecognized profile level 32768 2 for video mp4v es_x000D_
  10 24 10:41:26 350 25899 25899 com example user videocall W VideoCapabilities: Unrecognized profile level 32768 64 for video mp4v es_x000D_
  10 24 10:41:26 372 25899 25899 com example user videocall I VideoCapabilities: Unsupported profile 4 for video mp4v es_x000D_
  10 24 10:41:26 392 25899 25899 com example user videocall W VideoCapabilities: Unsupported mime video sorenson_x000D_
  10 24 10:41:26 394 25899 25899 com example user videocall W org webrtc Logging: MediaCodecVideoEncoder: Codec OMX Exynos VP8 Encoder requires bitrate adjustment: DYNAMIC ADJUSTMENT_x000D_
  10 24 10:41:26 396 25899 25899 com example user videocall W org webrtc Logging: MediaCodecVideoEncoder: Codec OMX Exynos AVC Encoder requires bitrate adjustment: FRAMERATE ADJUSTMENT_x000D_
  10 24 10:41:26 396 25899 25899 com example user videocall W VideoCapabilities: Unrecognized profile 2130706433 for video avc_x000D_
  10 24 10:41:26 396 25899 25899 com example user videocall W VideoCapabilities: Unrecognized profile 2130706433 for video avc_x000D_
  10 24 10:41:26 396 25899 25899 com example user videocall W VideoCapabilities: Unrecognized profile 2130706433 for video avc_x000D_
  10 24 10:41:26 396 25899 25899 com example user videocall W VideoCapabilities: Unrecognized profile 2130706433 for video avc_x000D_
  10 24 10:41:26 396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2130706433 for video avc_x000D_
  10 24 10:41:26 397 25899 25899 com example user videocall W VideoCapabilities: Unrecognized profile 2130706434 for video avc_x000D_
  10 24 10:41:26 401 25899 25899 com example user videocall I org webrtc Logging: MediaCodecVideoDecoder: Trying to find HW decoder for mime video x vnd on2 vp8_x000D_
  10 24 10:41:26 401 25899 25899 com example user videocall I org webrtc Logging: MediaCodecVideoDecoder: Found candidate decoder OMX Exynos vp8 dec_x000D_
  10 24 10:41:26 403 25899 25899 com example user videocall I org webrtc Logging: MediaCodecVideoDecoder: Found target decoder OMX Exynos vp8 dec  Color: 0x13_x000D_
  10 24 10:41:26 403 25899 25899 com example user videocall I org webrtc Logging: MediaCodecVideoDecoder: Trying to find HW decoder for mime video x vnd on2 vp9_x000D_
  10 24 10:41:26 403 25899 25899 com example user videocall I org webrtc Logging: MediaCodecVideoDecoder: Found candidate decoder OMX Exynos vp9 dec_x000D_
  10 24 10:41:26 404 25899 25899 com example user videocall I org webrtc Logging: MediaCodecVideoDecoder: Found target decoder OMX Exynos vp9 dec  Color: 0x13_x000D_
  10 24 10:41:26 405 25899 25899 com example user videocall I org webrtc Logging: MediaCodecVideoDecoder: Trying to find HW decoder for mime video avc_x000D_
  10 24 10:41:26 405 25899 25899 com example user videocall I org webrtc Logging: MediaCodecVideoDecoder: Found candidate decoder OMX Exynos avc dec_x000D_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10:41:26 405 25899 25899 com example user videocall W VideoCapabilities: Unrecognized profile 2130706433 for video avc_x000D_
  10 24 10:41:26 406 25899 25899 com example user videocall W VideoCapabilities: Unrecognized profile 2130706433 for video avc_x000D_
  10 24 10:41:26 406 25899 25899 com example user videocall W VideoCapabilities: Unrecognized profile 2130706433 for video avc_x000D_
  10 24 10:41:26 406 25899 25899 com example user videocall W VideoCapabilities: Unrecognized profile 2130706434 for video avc_x000D_
  10 24 10:41:26 407 25899 25899 com example user videocall I org webrtc Logging: MediaCodecVideoDecoder: Found target decoder OMX Exynos avc dec  Color: 0x13_x000D_
  10 24 10:41:26 409 25899 25980 com example user videocall D JVM: AttachCurrentThreadIfNeeded::ctor  tid 25980 _x000D_
  10 24 10:41:26 409 25899 25980 com example user videocall D JVM: Attaching thread to JVM_x000D_
  10 24 10:41:26 409 25899 25980 com example user videocall D JVM: JVM::environment  tid 25980 _x000D_
  10 24 10:41:26 409 25899 25980 com example user videocall D JVM: JNIEnvironment::ctor  tid 25980 _x000D_
  10 24 10:41:26 409 25899 25980 com example user videocall D AudioManager: ctor  tid 25980 _x000D_
  10 24 10:41:26 409 25899 25980 com example user videocall D JVM: JNIEnvironment::RegisterNatives(org webrtc voiceengine WebRtcAudioManager)_x000D_
  10 24 10:41:26 409 25899 25980 com example user videocall D JVM: NativeRegistration::ctor  tid 25980 _x000D_
  10 24 10:41:26 409 25899 25980 com example user videocall D JVM: NativeRegistration::NewObject  tid 25980 _x000D_
  10 24 10:41:26 411 25899 25904 com example user videocall I art: Do partial code cache collection  code 60KB  data 58KB_x000D_
  10 24 10:41:26 411 25899 25904 com example user videocall I art: After code cache collection  code 60KB  data 58KB_x000D_
  10 24 10:41:26 411 25899 25904 com example user videocall I art: Increasing code cache capacity to 256KB_x000D_
  10 24 10:41:26 411 25899 25980 com example user videocall I org webrtc Logging: WebRtcAudioManager: ctor  name Thread 8  id 5240 _x000D_
  10 24 10:41:26 415 25899 25980 com example user videocall I org webrtc Logging: WebRtcAudioManager: Sample rate is set to 48000 Hz_x000D_
  10 24 10:41:26 426 25899 25980 com example user videocall I org webrtc Logging: WebRtcAudioEffects: canUseAcousticEchoCanceler: true_x000D_
  10 24 10:41:26 426 25899 25980 com example user videocall I org webrtc Logging: WebRtcAudioEffects: canUseNoiseSuppressor: true_x000D_
  10 24 10:41:26 427 25899 25980 com example user videocall D AudioManager: OnCacheAudioParameters  tid 25980 _x000D_
  10 24 10:41:26 427 25899 25980 com example user videocall D AudioManager: hardware aec: 1_x000D_
  10 24 10:41:26 427 25899 25980 com example user videocall D AudioManager: hardware agc: 0_x000D_
  10 24 10:41:26 427 25899 25980 com example user videocall D AudioManager: hardware ns: 1_x000D_
  10 24 10:41:26 427 25899 25980 com example user videocall D AudioManager: low latency output: 0_x000D_
  10 24 10:41:26 427 25899 25980 com example user videocall D AudioManager: low latency input: 0_x000D_
  10 24 10:41:26 427 25899 25980 com example user videocall D AudioManager: pro audio: 0_x000D_
  10 24 10:41:26 427 25899 25980 com example user videocall D AudioManager: sample rate: 48000_x000D_
  10 24 10:41:26 427 25899 25980 com example user videocall D AudioManager: output channels: 1_x000D_
  10 24 10:41:26 427 25899 25980 com example user videocall D AudioManager: input channels: 1_x000D_
  10 24 10:41:26 427 25899 25980 com example user videocall D AudioManager: output buffer size: 3848_x000D_
  10 24 10:41:26 427 25899 25980 com example user videocall D AudioManager: input buffer size: 1920_x000D_
  10 24 10:41:26 427 25899 25980 com example user videocall D JVM: GlobalRef::ctor  tid 25980 _x000D_
  10 24 10:41:26 427 25899 25980 com example user videocall D AudioManager: JavaAudioManager::ctor  tid 25980 _x000D_
  10 24 10:41:26 427 25899 25980 com example user videocall D AudioManager: IsLowLatencyPlayoutSupported()_x000D_
  10 24 10:41:26 427 25899 25980 com example user videocall D AudioManager: IsLowLatencyPlayoutSupported()_x000D_
  10 24 10:41:26 427 25899 25980 com example user videocall D JVM: AttachCurrentThreadIfNeeded::ctor  tid 25980 _x000D_
  10 24 10:41:26 427 25899 25980 com example user videocall D JVM: JVM::environment  tid 25980 _x000D_
  10 24 10:41:26 427 25899 25980 com example user videocall D JVM: JNIEnvironment::ctor  tid 25980 _x000D_
  10 24 10:41:26 427 25899 25980 com example user videocall D AudioTrackJni: ctor  tid 25980 _x000D_
  10 24 10:41:26 427 25899 25980 com example user videocall D JVM: JNIEnvironment::RegisterNatives(org webrtc voiceengine WebRtcAudioTrack)_x000D_
  10 24 10:41:26 427 25899 25980 com example user videocall D JVM: NativeRegistration::ctor  tid 25980 _x000D_
  10 24 10:41:26 427 25899 25980 com example user videocall D JVM: NativeRegistration::NewObject  tid 25980 _x000D_
  10 24 10:41:26 428 25899 25980 com example user videocall I org webrtc Logging: WebRtcAudioTrack: ctor  name Thread 8  id 5240 _x000D_
  10 24 10:41:26 429 25899 25980 com example user videocall D JVM: GlobalRef::ctor  tid 25980 _x000D_
  10 24 10:41:26 429 25899 25980 com example user videocall D JVM: AttachCurrentThreadIfNeeded::ctor  tid 25980 _x000D_
  10 24 10:41:26 429 25899 25980 com example user videocall D JVM: JVM::environment  tid 25980 _x000D_
  10 24 10:41:26 429 25899 25980 com example user videocall D JVM: JNIEnvironment::ctor  tid 25980 _x000D_
  10 24 10:41:26 429 25899 25980 com example user videocall D AudioRecordJni: ctor  tid 25980 _x000D_
  10 24 10:41:26 429 25899 25980 com example user videocall D JVM: JNIEnvironment::RegisterNatives(org webrtc voiceengine WebRtcAudioRecord)_x000D_
  10 24 10:41:26 429 25899 25980 com example user videocall D JVM: NativeRegistration::ctor  tid 25980 _x000D_
  10 24 10:41:26 429 25899 25980 com example user videocall D JVM: NativeRegistration::NewObject  tid 25980 _x000D_
  10 24 10:41:26 430 25899 25980 com example user videocall I org webrtc Logging: WebRtcAudioRecord: ctor  name Thread 8  id 5240 _x000D_
  10 24 10:41:26 430 25899 25980 com example user videocall I org webrtc Logging: WebRtcAudioEffects: ctor  name Thread 8  id 5240 _x000D_
  10 24 10:41:26 430 25899 25980 com example user videocall D JVM: GlobalRef::ctor  tid 25980 _x000D_
  10 24 10:41:26 430 25899 25980 com example user videocall D AudioManager: SetActiveAudioLayer(5)  tid 25980 _x000D_
  10 24 10:41:26 430 25899 25980 com example user videocall D AudioManager: delay estimate in milliseconds: 150_x000D_
  10 24 10:41:26 430 25899 25980 com example user videocall D AudioTrackJni: AttachAudioBuffer  tid 25980 _x000D_
  10 24 10:41:26 430 25899 25980 com example user videocall D AudioTrackJni: SetPlayoutSampleRate(48000)_x000D_
  10 24 10:41:26 430 25899 25980 com example user videocall D AudioTrackJni: SetPlayoutChannels(1)_x000D_
  10 24 10:41:26 430 25899 25980 com example user videocall D AudioRecordJni: AttachAudioBuffer_x000D_
  10 24 10:41:26 430 25899 25980 com example user videocall D AudioRecordJni: SetRecordingSampleRate(48000)_x000D_
  10 24 10:41:26 430 25899 25980 com example user videocall D AudioRecordJni: SetRecordingChannels(1)_x000D_
  10 24 10:41:26 430 25899 25980 com example user videocall D AudioRecordJni: total delay in milliseconds: 150_x000D_
  10 24 10:41:26 432 25899 25980 com example user videocall D AudioManager: Init  tid 25980 _x000D_
  10 24 10:41:26 432 25899 25980 com example user videocall I org webrtc Logging: WebRtcAudioManager: init  name Thread 8  id 5240 _x000D_
  10 24 10:41:26 432 25899 25980 com example user videocall I org webrtc Logging: WebRtcAudioManager: audio mode is: MODE NORMAL_x000D_
  10 24 10:41:26 433 25899 25980 com example user videocall D AudioTrackJni: Init  tid 25980 _x000D_
  10 24 10:41:26 434 25899 25980 com example user videocall D AudioRecordJni: Init  tid 25980 _x000D_
  10 24 10:41:26 434 25899 25980 com example user videocall D AudioRecordJni: EnableBuiltInAEC  tid 25980 _x000D_
  10 24 10:41:26 435 25899 25980 com example user videocall I org webrtc Logging: WebRtcAudioRecord: enableBuiltInAEC(true)_x000D_
  10 24 10:41:26 435 25899 25980 com example user videocall I org webrtc Logging: WebRtcAudioEffects: setAEC(true)_x000D_
  10 24 10:41:26 435 25899 25980 com example user videocall I org webrtc Logging: WebRtcAudioEffects: canUseAcousticEchoCanceler: true_x000D_
  10 24 10:41:26 435 25899 25980 com example user videocall D AudioRecordJni: EnableBuiltInNS  tid 25980 _x000D_
  10 24 10:41:26 435 25899 25980 com example user videocall I org webrtc Logging: WebRtcAudioRecord: enableBuiltInNS(true)_x000D_
  10 24 10:41:26 435 25899 25980 com example user videocall I org webrtc Logging: WebRtcAudioEffects: setNS(true)_x000D_
  10 24 10:41:26 435 25899 25980 com example user videocall I org webrtc Logging: WebRtcAudioEffects: canUseNoiseSuppressor: true_x000D_
  10 24 10:41:26 445 25899 25899 com example user videocall I org webrtc Logging: Camera1Enumerator: Index: 0  Camera 0  Facing back  Orientation 90_x000D_
  10 24 10:41:26 446 25899 25899 com example user videocall I org webrtc Logging: Camera1Enumerator: Index: 1  Camera 1  Facing front  Orientation 270_x000D_
  10 24 10:41:26 446 25899 25899 com example user videocall I org webrtc Logging: Camera1Enumerator: getCameraIndex: Camera 0  Facing back  Orientation 90_x000D_
  10 24 10:41:26 447 25899 25899 com example user videocall I org webrtc Logging: Camera1Enumerator: getCameraIndex: Camera 0  Facing back  Orientation 90_x000D_
  10 24 10:41:26 448 25899 25899 com example user videocall I org webrtc Logging: Camera1Enumerator: getCameraIndex: Camera 1  Facing front  Orientation 270_x000D_
  10 24 10:41:26 453 25899 25899 com example user videocall I org webrtc Logging: Camera1Enumerator: Index: 0  Camera 0  Facing back  Orientation 90_x000D_
  10 24 10:41:26 454 25899 25899 com example user videocall I org webrtc Logging: Camera1Enumerator: Index: 1  Camera 1  Facing front  Orientation 270_x000D_
  10 24 10:41:26 454 25899 25899 com example user videocall I org webrtc Logging: Camera1Enumerator: getCameraIndex: Camera 0  Facing back  Orientation 90_x000D_
  10 24 10:41:26 455 25899 25899 com example user videocall I org webrtc Logging: Camera1Enumerator: getCameraIndex: Camera 0  Facing back  Orientation 90_x000D_
  10 24 10:41:26 456 25899 25899 com example user videocall I org webrtc Logging: Camera1Enumerator: getCameraIndex: Camera 1  Facing front  Orientation 270_x000D_
  10 24 10:41:26 612 25899 25899 com example user videocall E LocalVideoTrack: Applying VideoConstraints closest to 640x480 30 FPS _x000D_
  10 24 10:41:26 617 25899 25999 com example user videocall I org webrtc Logging: EglBase14: SDK version: 24  isEGL14Supported: true_x000D_
  10 24 10:41:26 625 25899 25980 com example user videocall I org webrtc Logging: Camera1Enumerator: Index: 0  Camera 0  Facing back  Orientation 90_x000D_
  10 24 10:41:26 626 25899 25980 com example user videocall I org webrtc Logging: Camera1Enumerator: Index: 1  Camera 1  Facing front  Orientation 270_x000D_
  10 24 10:41:26 626 25899 25980 com example user videocall I org webrtc Logging: Camera1Enumerator: getCameraIndex: Camera 0  Facing back  Orientation 90_x000D_
  10 24 10:41:26 627 25899 25980 com example user videocall I org webrtc Logging: Camera1Enumerator: getCameraIndex: Camera 0  Facing back  Orientation 90_x000D_
  10 24 10:41:26 629 25899 25980 com example user videocall I org webrtc Logging: Camera1Enumerator: getCameraIndex: Camera 1  Facing front  Orientation 270_x000D_
  10 24 10:41:26 631 25899 25980 com example user videocall I org webrtc Logging: Camera1Enumerator: Index: 0  Camera 0  Facing back  Orientation 90_x000D_
  10 24 10:41:26 631 25899 25980 com example user videocall I org webrtc Logging: Camera1Enumerator: Index: 1  Camera 1  Facing front  Orientation 270_x000D_
  10 24 10:41:26 635 25899 25980 com example user videocall I org webrtc Logging: Camera1Enumerator: Index: 0  Camera 0  Facing back  Orientation 90_x000D_
  10 24 10:41:26 636 25899 25980 com example user</t>
  </si>
  <si>
    <t>ChicoState-Smart-Nap-12</t>
  </si>
  <si>
    <t>AlarmDialog crashes app when attempting to populate flash cards from AlarmClock object</t>
  </si>
  <si>
    <t xml:space="preserve">This crash is caused because of a NULL exception error  The current list is attempting to return an ArrayList of Long but the list is size 0  Flash card ID s are properly being passed from fcpop to AlarmEdit activity  but there is no storage of the card ID s to the AlarmClock when saving it </t>
  </si>
  <si>
    <t>google-ExoPlayer-3396</t>
  </si>
  <si>
    <t>Crash due to an unhandled ArrayIndexOutOfBoundsException in WebvttParserUtil</t>
  </si>
  <si>
    <t xml:space="preserve">    Issue description_x000D_
When trying to play a faulty remote VOD asset  our app crashed due to an  ArrayIndexOutOfBoundsException  in  WebvttParserUtil   Specifically  at the return line of the  parseTimestampUs()  method:_x000D_
   _x000D_
  public static long parseTimestampUs(String timestamp) throws NumberFormatException  _x000D_
    long value   0 _x000D_
    String   parts   timestamp split(       2) _x000D_
    String   subparts   parts 0  split( : ) _x000D_
    for (String subpart : subparts)  _x000D_
      value   value   60   Long parseLong(subpart) _x000D_
     _x000D_
    return (value   1000   Long parseLong(parts 1 ))   1000 _x000D_
   _x000D_
   _x000D_
and even more specifically  due to trying to access  parts 1    while the length of  parts    is 1 in this case _x000D_
Of course  on our side we can fix it by modifying the faulty asset  but as it was appropriately put in issue  3130 ExoPlayer  should never crash when encountering malformed media   so I think a length check for the  parts  array would be a good idea _x000D_
_x000D_
    Reproduction steps_x000D_
Play an asset with a wrong timestamp _x000D_
_x000D_
    Link to test content_x000D_
The asset is not available outside our network _x000D_
_x000D_
    Version of ExoPlayer being used_x000D_
2 5 3_x000D_
_x000D_
    Device(s) and version(s) of Android being used_x000D_
Xiaomi MiBox  Android TV 6 0 1_x000D_
_x000D_
    A full bug report captured from the device_x000D_
   _x000D_
          beginning of crash_x000D_
10 16 14:29:47 478 E AndroidRuntime(23348): FATAL EXCEPTION: Thread 677_x000D_
10 16 14:29:47 478 E AndroidRuntime(23348): Process:  packagename   PID: 23348_x000D_
10 16 14:29:47 478 E AndroidRuntime(23348): java lang ArrayIndexOutOfBoundsException: length 1  index 1_x000D_
10 16 14:29:47 478 E AndroidRuntime(23348): 	at com google android exoplayer2 text webvtt WebvttParserUtil parseTimestampUs(WebvttParserUtil java:61)_x000D_
10 16 14:29:47 478 E AndroidRuntime(23348): 	at com google android exoplayer2 text webvtt WebvttCueParser parseCue(WebvttCueParser java:224)_x000D_
10 16 14:29:47 478 E AndroidRuntime(23348): 	at com google android exoplayer2 text webvtt WebvttCueParser parseCue(WebvttCueParser java:98)_x000D_
10 16 14:29:47 478 E AndroidRuntime(23348): 	at com google android exoplayer2 text webvtt WebvttDecoder decode(WebvttDecoder java:83)_x000D_
10 16 14:29:47 478 E AndroidRuntime(23348): 	at com google android exoplayer2 text webvtt WebvttDecoder decode(WebvttDecoder java:30)_x000D_
10 16 14:29:47 478 E AndroidRuntime(23348): 	at com google android exoplayer2 text SimpleSubtitleDecoder decode(SimpleSubtitleDecoder java:70)_x000D_
10 16 14:29:47 478 E AndroidRuntime(23348): 	at com google android exoplayer2 text SimpleSubtitleDecoder decode(SimpleSubtitleDecoder java:25)_x000D_
10 16 14:29:47 478 E AndroidRuntime(23348): 	at com google android exoplayer2 decoder SimpleDecoder decode(SimpleDecoder java:222)_x000D_
10 16 14:29:47 478 E AndroidRuntime(23348): 	at com google android exoplayer2 decoder SimpleDecoder run(SimpleDecoder java:188)_x000D_
10 16 14:29:47 478 E AndroidRuntime(23348): 	at com google android exoplayer2 decoder SimpleDecoder access 000(SimpleDecoder java:25)_x000D_
10 16 14:29:47 478 E AndroidRuntime(23348): 	at com google android exoplayer2 decoder SimpleDecoder 1 run(SimpleDecoder java:66)_x000D_
10 16 14:29:47 491 W ActivityManager( 3841):   Force finishing activity  packagename    activity _x000D_
   _x000D_
</t>
  </si>
  <si>
    <t>requery-sqlite-android-49</t>
  </si>
  <si>
    <t>custom functions: local reference table overflow</t>
  </si>
  <si>
    <t xml:space="preserve">When using custom functions in the where clause of a query on some devices the app crashes with the following error:_x000D_
_x000D_
 _x000D_
10 25 16:21:02 207 23312 23590     A art: sart runtime indirect reference table cc:113  JNI ERROR (app bug): local reference table overflow (max 512)_x000D_
10 25 16:21:02 207 23312 23590     A art: sart runtime indirect reference table cc:113  local reference table dump:_x000D_
10 25 16:21:02 207 23312 23590     A art: sart runtime indirect reference table cc:113    Last 10 entries (of 510):_x000D_
10 25 16:21:02 207 23312 23590     A art: sart runtime indirect reference table cc:113        509: 0x707d7400 java lang String  1 _x000D_
10 25 16:21:02 207 23312 23590     A art: sart runtime indirect reference table cc:113        508: 0x707d7400 java lang String  1 _x000D_
10 25 16:21:02 207 23312 23590     A art: sart runtime indirect reference table cc:113        507: 0x707d7400 java lang String  1 _x000D_
10 25 16:21:02 207 23312 23590     A art: sart runtime indirect reference table cc:113        506: 0x707d7400 java lang String  1 _x000D_
10 25 16:21:02 207 23312 23590     A art: sart runtime indirect reference table cc:113        505: 0x707d7400 java lang String  1 _x000D_
10 25 16:21:02 207 23312 23590     A art: sart runtime indirect reference table cc:113        504: 0x707d7400 java lang String  1 _x000D_
10 25 16:21:02 207 23312 23590     A art: sart runtime indirect reference table cc:113        503: 0x707d7400 java lang String  1 _x000D_
10 25 16:21:02 207 23312 23590     A art: sart runtime indirect reference table cc:113        502: 0x707d7400 java lang String  1 _x000D_
10 25 16:21:02 207 23312 23590     A art: sart runtime indirect reference table cc:113        501: 0x707d7400 java lang String  1 _x000D_
10 25 16:21:02 207 23312 23590     A art: sart runtime indirect reference table cc:113        500: 0x707d7400 java lang String  1 _x000D_
 _x000D_
_x000D_
The devices on which this crash happens are the Samsung S4 (GT I9505 Android 5 0 1) and the BQ Aquaris X (Android 7 1 1) </t>
  </si>
  <si>
    <t>google-blockly-android-681</t>
  </si>
  <si>
    <t>Crash-Connect block from left to right, more than 8 will crash</t>
  </si>
  <si>
    <t>Connect block from left to right  if blocks more than 8 will crash _x000D_
10 25 21:16:30 366 14006 14006 com strong E AndroidRuntime: FATAL EXCEPTION: main_x000D_
                                                            Process: com strong  PID: 14006_x000D_
                                                            java lang StackOverflowError_x000D_
                                                                at java lang String  getChars(String java:942)_x000D_
                                                                at java lang AbstractStringBuilder append0(AbstractStringBuilder java:148)_x000D_
                                                                at java lang StringBuilder append(StringBuilder java:216)_x000D_
                                                                at android view View getDisplayList(View java:13508)_x000D_
                                                                at android view View getDisplayList(View java:13646)_x000D_
                                                                at android view View draw(View java:14441)_x000D_
                                                                at android view ViewGroup drawChild(ViewGroup java:3252)_x000D_
                                                                at android view ViewGroup dispatchDraw(ViewGroup java:3070)_x000D_
                                                                at com google blockly android ui vertical BlockView dispatchDraw(BlockView java:145)_x000D_
                                                                at android view View draw(View java:14750)_x000D_
                                                                at android view View getDisplayList(View java:13599)_x000D_
                                                                at android view View getDisplayList(View java:13646)_x000D_
                                                                at android view View draw(View java:14441)_x000D_
                                                                at android view ViewGroup drawChild(ViewGroup java:3252)_x000D_
                                                                at android view ViewGroup dispatchDraw(ViewGroup java:3090)_x000D_
                                                                at android view View getDisplayList(View java:13591)_x000D_
                                                                at android view View getDisplayList(View java:13646)_x000D_
                                                                at android view View draw(View java:14441)_x000D_
                                                                at android view ViewGroup drawChild(ViewGroup java:3252)_x000D_
                                                                at android view ViewGroup dispatchDraw(ViewGroup java:3070)_x000D_
                                                                at android view View getDisplayList(View java:13591)_x000D_
                                                                at android view View getDisplayList(View java:13646)_x000D_
                                                                at android view View draw(View java:14441)_x000D_
                                                                at android view ViewGroup drawChild(ViewGroup java:3252)_x000D_
                                                                at android view ViewGroup dispatchDraw(ViewGroup java:3070)_x000D_
                                                                at com google blockly android ui vertical BlockView dispatchDraw(BlockView java:145)_x000D_
                                                                at android view View draw(View java:14750)_x000D_
                                                                at android view View getDisplayList(View java:13599)_x000D_
                                                                at android view View getDisplayList(View java:13646)_x000D_
                                                                at android view View draw(View java:14441)_x000D_
                                                                at android view ViewGroup drawChild(ViewGroup java:3252)_x000D_
                                                                at android view ViewGroup dispatchDraw(ViewGroup java:3090)_x000D_
                                                                at android view View getDisplayList(View java:13591)_x000D_
                                                                at android view View getDisplayList(View java:13646)_x000D_
                                                                at android view View draw(View java:14441)_x000D_
                                                                at android view ViewGroup drawChild(ViewGroup java:3252)_x000D_
                                                                at android view ViewGroup dispatchDraw(ViewGroup java:3070)_x000D_
                                                                at android view View getDisplayList(View java:13591)_x000D_
                                                                at android view View getDisplayList(View java:13646)_x000D_
                                                                at android view View draw(View java:14441)_x000D_
                                                                at android view ViewGroup drawChild(ViewGroup java:3252)_x000D_
                                                                at android view ViewGroup dispatchDraw(ViewGroup java:3070)_x000D_
                                                                at com google blockly android ui vertical BlockView dispatchDraw(BlockView java:145)_x000D_
                                                                at android view View draw(View java:14750)_x000D_
                                                                at android view View getDisplayList(View java:13599)_x000D_
                                                                at android view View getDisplayList(View java:13646)_x000D_
                                                                at android view View draw(View java:14441)_x000D_
                                                                at android view ViewGroup drawChild(ViewGroup java:3252)_x000D_
                                                                at android view ViewGroup dispatchDraw(ViewGroup java:3090)_x000D_
                                                                at android view View getDisplayList(View java:13591)_x000D_
                                                                at android view View getDisplayList(View java:13646)_x000D_
                                                                at android view View draw(View java:14441)_x000D_
                                                                at android view ViewGroup drawChild(ViewGroup java:3252)_x000D_
                                                                at android view ViewGroup dispatchDraw(ViewGroup java:3070)_x000D_
                                                                at android view View getDisplayList(View java:13591)_x000D_
                                                                at android view View getDisplayList(View java:13646)_x000D_
                                                                at android view View draw(View java:14441)_x000D_
                                                                at android view ViewGroup drawChild(ViewGroup java:3252)_x000D_
                                                                at android view ViewGroup dispatchDraw(ViewGroup java:3070)_x000D_
                                                                at com google blockly android ui vertical BlockView dispatchDraw(BlockView java:145)_x000D_
                                                                at android view View draw(View java:14750)_x000D_
                                                                at android view View getDisplayList(View java:13599)_x000D_
                                                                at android view View getDisplayList(View java:13646)_x000D_
                                                                at android view View draw(View java:14441)_x000D_
                                                                at android view ViewGroup drawChild(ViewGroup java:3252)_x000D_
                                                                at android view ViewGroup dispatchDraw(ViewGroup java:3090)_x000D_
                                                                at android view View getDisplayList(View java:13591)_x000D_
                                                                at android view View getDisplayList(View java:13646)_x000D_
                                                                at android view View draw(View java:14441)_x000D_
                                                                at android view ViewGroup drawChild(ViewGroup java:3252)_x000D_
                                                                at android view ViewGroup dispatchDraw(ViewGroup java:3070)_x000D_
                                                            	at android view View</t>
  </si>
  <si>
    <t>andremion-Louvre-16</t>
  </si>
  <si>
    <t>The crash connected with PhotoView library</t>
  </si>
  <si>
    <t xml:space="preserve">Thank you for the great library _x000D_
_x000D_
   Context_x000D_
_x000D_
I don t use PhotoView separately but received following crash report:_x000D_
_x000D_
   _x000D_
Fatal Exception: java lang IllegalArgumentException: pointerIndex out of range_x000D_
       at android view MotionEvent nativeGetAxisValue(MotionEvent java)_x000D_
       at android view MotionEvent getX(MotionEvent java:2372)_x000D_
       at android support v4 view ViewPager onInterceptTouchEvent(ViewPager java:2064)_x000D_
   _x000D_
_x000D_
I found following resolved issues of PhotoView library that are connected with the crash above   31 (https:  github com chrisbanes PhotoView issues 31) and   293 (https:  github com chrisbanes PhotoView issues 293)  The author of PhotoView described the  solution of this problem (https:  github com chrisbanes PhotoView issues with viewgroups) _x000D_
_x000D_
   Possible Fix_x000D_
_x000D_
Replace  android support v4 view ViewPager  in  activity preview xml  with  HackyViewPager (https:  github com chrisbanes PhotoView blob master sample src main java com github chrisbanes photoview sample HackyViewPager java) _x000D_
_x000D_
Thank you </t>
  </si>
  <si>
    <t>tanrabad-survey-39</t>
  </si>
  <si>
    <t>:com.google.android.gms.DynamiteModulesB@11509070 line 29</t>
  </si>
  <si>
    <t xml:space="preserve">     in com google maps api android lib6 gmm6 vector ba a
  Number of crashes: 1
  Impacted devices: 1
There s a lot more information about this crash on crashlytics com:
 https:  fabric io tanrabad android apps org tanrabad survey issues 59f041f761b02d480d2931bd utm medium service hooks github utm source issue impact (https:  fabric io tanrabad android apps org tanrabad survey issues 59f041f761b02d480d2931bd utm medium service hooks github utm source issue impact)</t>
  </si>
  <si>
    <t>OneBusAway-onebusaway-android-813</t>
  </si>
  <si>
    <t>IllegalStateException in HomeActivity.onFocusChanged()</t>
  </si>
  <si>
    <t xml:space="preserve">  Summary:   _x000D_
_x000D_
From Android Developer Console   this is NOT new to version 78 (2 2 5)  but has a good number of crashes going back a few versions (version 76 has almost 2000 crashes over the lifetime of that version number):_x000D_
_x000D_
   _x000D_
java lang IllegalStateException: _x000D_
  at android support v4 app FragmentManagerImpl checkStateLoss (FragmentManager java:1493)_x000D_
  at android support v4 app FragmentManagerImpl enqueueAction (FragmentManager java:1511)_x000D_
  at android support v4 app BackStackRecord commitInternal (BackStackRecord java:638)_x000D_
  at android support v4 app BackStackRecord commit (BackStackRecord java:617)_x000D_
  at org onebusaway android ui HomeActivity onFocusChanged (HomeActivity java:909)_x000D_
  at org onebusaway android map googlemapsv2 BaseMapFragment 1 run (BaseMapFragment java:701)_x000D_
  at android os Handler handleCallback (Handler java:751)_x000D_
  at android os Handler dispatchMessage (Handler java:95)_x000D_
  at android os Looper loop (Looper java:154)_x000D_
  at android app ActivityThread main (ActivityThread java:6119)_x000D_
  at java lang reflect Method invoke (Native Method)_x000D_
  at com android internal os ZygoteInit MethodAndArgsCaller run (ZygoteInit java:886)_x000D_
  at com android internal os ZygoteInit main (ZygoteInit java:776)_x000D_
   _x000D_
_x000D_
  Steps to reproduce:   _x000D_
_x000D_
Unknown_x000D_
_x000D_
  Expected behavior:   _x000D_
_x000D_
Not crash_x000D_
_x000D_
  Observed behavior:   _x000D_
_x000D_
Crash_x000D_
_x000D_
  Device and Android version:   _x000D_
_x000D_
Pixel  Galaxy J3  Zmax Pro  more on Android versions 5 1  6 0  7 0  and 8 0</t>
  </si>
  <si>
    <t>OneBusAway-onebusaway-android-812</t>
  </si>
  <si>
    <t>NPE when refreshing ArrivalsListHeader</t>
  </si>
  <si>
    <t xml:space="preserve">  Summary:   _x000D_
_x000D_
From the Android Developer Console  7 new crashes in version 78 (2 2 5):_x000D_
_x000D_
   _x000D_
java lang NullPointerException: _x000D_
  at org onebusaway android ui ArrivalsListHeader refreshError (ArrivalsListHeader java:1241)_x000D_
  at org onebusaway android ui ArrivalsListHeader refresh (ArrivalsListHeader java:638)_x000D_
  at org onebusaway android ui HomeActivity 10 onPanelCollapsed (HomeActivity java:1607)_x000D_
  at org onebusaway android ui HomeActivity 10 onPanelStateChanged (HomeActivity java:1566)_x000D_
  at com sothree slidinguppanel SlidingUpPanelLayout dispatchOnPanelStateChanged (SlidingUpPanelLayout java:644)_x000D_
  at com sothree slidinguppanel SlidingUpPanelLayout setPanelStateInternal (SlidingUpPanelLayout java:1108)_x000D_
  at com sothree slidinguppanel SlidingUpPanelLayout access 900 (SlidingUpPanelLayout java:32)_x000D_
  at com sothree slidinguppanel SlidingUpPanelLayout DragHelperCallback onViewDragStateChanged (SlidingUpPanelLayout java:1340)_x000D_
  at com sothree slidinguppanel ViewDragHelper setDragState (ViewDragHelper java:911)_x000D_
  at com sothree slidinguppanel ViewDragHelper 2 run (ViewDragHelper java:336)_x000D_
  at android os Handler handleCallback (Handler java:751)_x000D_
  at android os Handler dispatchMessage (Handler java:95)_x000D_
  at android os Looper loop (Looper java:154)_x000D_
  at android app ActivityThread main (ActivityThread java:6688)_x000D_
  at java lang reflect Method invoke (Native Method)_x000D_
  at com android internal os ZygoteInit MethodAndArgsCaller run (ZygoteInit java:1468)_x000D_
  at com android internal os ZygoteInit main (ZygoteInit java:1358)_x000D_
   _x000D_
_x000D_
  Steps to reproduce:   _x000D_
_x000D_
Unknown_x000D_
_x000D_
  Expected behavior:   _x000D_
_x000D_
Not crash_x000D_
_x000D_
  Observed behavior:   _x000D_
_x000D_
Crash_x000D_
_x000D_
  Device and Android version:   _x000D_
_x000D_
Galaxy S6 Edge  S6  Note 2  LG K10 on Android versions 4 3  5  5 1  and 7 0</t>
  </si>
  <si>
    <t>MrStahlfelge-gdx-gamesvcs-16</t>
  </si>
  <si>
    <t>GPGS Android: crash when no listener set</t>
  </si>
  <si>
    <t xml:space="preserve">GPGS Android implementation does not check if a game service listener is set on all method calls  Therefore it crashes when login() or resumeConnection() is called and no listener is set </t>
  </si>
  <si>
    <t>Project-ARTist-ArtistGui-26</t>
  </si>
  <si>
    <t>Crash: Resources.NotFoundException in AppIconCache</t>
  </si>
  <si>
    <t xml:space="preserve">https:  github com Project ARTist ArtistGui blob efa7d3d5d2850940119dcebc94a786bad7af8b66 app src main java saarland cispa artist artistgui packagelist view AppIconCache java L55_x000D_
 getDrawableForDensity (https:  developer android com reference android content res Resources html getDrawableForDensity(int  20int  20android content res Resources Theme))_x000D_
might throw a  Resources NotFoundException (https:  developer android com reference android content res Resources NotFoundException html) which causes the App to crash _x000D_
_x000D_
Since  appIcon  already can be null  just catch this Exception too  Might be nicer to return the default Icon _x000D_
</t>
  </si>
  <si>
    <t>opensrp-opensrp-client-sid-2</t>
  </si>
  <si>
    <t>Crashlytics developer tools error</t>
  </si>
  <si>
    <t xml:space="preserve">When build with gradle  it gives an error _x000D_
    Execution failed for task  :app:crashlyticsCleanupResourcesRelease  _x000D_
   Crashlytics Developer Tools error _x000D_
   </t>
  </si>
  <si>
    <t>zeevy-grblcontroller-2</t>
  </si>
  <si>
    <t>No paired devices is not a valid Bluetooth address</t>
  </si>
  <si>
    <t xml:space="preserve">Application Version 1 8 (11)_x000D_
_x000D_
Device: Galaxy S7 Edge_x000D_
OS Version: 7 0_x000D_
UI Orientation: Portrait_x000D_
Ram Free: 22 _x000D_
Disk Free:23 _x000D_
_x000D_
Fatal Exception: java lang RuntimeException: Unable to start service in co gorest grblcontroller service GrblSerialService 89d6d17 with Intent   cmp in co gorest grblcontroller  service GrblSerialService launchParam MultiScreenLaunchParams   mDisplayId 0 mFlags 0   (has extras)  : java lang IllegalArgumentException: No paired devices is not a valid Bluetooth address_x000D_
       at android app ActivityThread handleServiceArgs(ActivityThread java:3702)_x000D_
       at android app ActivityThread  wrap23(ActivityThread java)_x000D_
       at android app ActivityThread H handleMessage(ActivityThread java:1740)_x000D_
       at android os Handler dispatchMessage(Handler java:102)_x000D_
       at android os Looper loop(Looper java:154)_x000D_
       at android app ActivityThread main(ActivityThread java:6692)_x000D_
       at java lang reflect Method invoke(Method java)_x000D_
       at com android internal os ZygoteInit MethodAndArgsCaller run(ZygoteInit java:1468)_x000D_
       at com android internal os ZygoteInit main(ZygoteInit java:1358)_x000D_
Caused by java lang IllegalArgumentException: No paired devices is not a valid Bluetooth address_x000D_
       at android bluetooth BluetoothDevice (BluetoothDevice java)_x000D_
       at android bluetooth BluetoothAdapter getRemoteDevice(BluetoothAdapter java:663)_x000D_
       at in co gorest grblcontroller service GrblSerialService onStartCommand(GrblSerialService java:100)_x000D_
       at android app ActivityThread handleServiceArgs(ActivityThread java:3685)_x000D_
       at android app ActivityThread  wrap23(ActivityThread java)_x000D_
       at android app ActivityThread H handleMessage(ActivityThread java:1740)_x000D_
       at android os Handler dispatchMessage(Handler java:102)_x000D_
       at android os Looper loop(Looper java:154)_x000D_
       at android app ActivityThread main(ActivityThread java:6692)_x000D_
       at java lang reflect Method invoke(Method java)_x000D_
       at com android internal os ZygoteInit MethodAndArgsCaller run(ZygoteInit java:1468)_x000D_
       at com android internal os ZygoteInit main(ZygoteInit java:1358)_x000D_
_x000D_
 in co gorest grblcontroller issue 33 crash 59F2D273018C000111F7886F70981769 536e565dbae011e79f9756847afe9799 0 v2 txt (https:  github com zeevy grblcontroller files 1421938 in co gorest grblcontroller issue 33 crash 59F2D273018C000111F7886F70981769 536e565dbae011e79f9756847afe9799 0 v2 txt)_x000D_
</t>
  </si>
  <si>
    <t>EzequielAdrianM-Camera2Vision-8</t>
  </si>
  <si>
    <t>Crashed when pressing 'Picture' for second time</t>
  </si>
  <si>
    <t xml:space="preserve">The sample worked flawlessly except for one small bug _x000D_
_x000D_
When I am trying to multiple pictures  and while pressing  picture   it crashed in the second attempt _x000D_
_x000D_
The error was _x000D_
   _x000D_
java lang IllegalStateException: maxImages (2) has already been acquired  call  close before acquiring more _x000D_
at android media ImageReader acquireNextImage(ImageReader java:501)_x000D_
at com example ezequiel camera2 others Camera2Source PictureDoneCallback onImageAvailable(Camera2Source java:1446)_x000D_
   </t>
  </si>
  <si>
    <t>zeevy-grblcontroller-4</t>
  </si>
  <si>
    <t>FileSenderTabFragment.java line 350</t>
  </si>
  <si>
    <t xml:space="preserve">     in in co gorest grblcontroller ui FileSenderTabFragment onRequestPermissionsResult_x000D_
_x000D_
  Number of crashes: 1_x000D_
  Impacted devices: 1_x000D_
_x000D_
Device: Aquaris U Plus_x000D_
OS Version: 7 1 1_x000D_
Rooted: No_x000D_
_x000D_
 in co gorest grblcontroller issue 38 crash 59F420B202310001298406F8E53855E2 2fb1113cbba911e7a40656847afe9799 0 v2 txt (https:  github com zeevy grblcontroller files 1424192 in co gorest grblcontroller issue 38 crash 59F420B202310001298406F8E53855E2 2fb1113cbba911e7a40656847afe9799 0 v2 txt)_x000D_
</t>
  </si>
  <si>
    <t>AEFeinstein-mtg-familiar-284</t>
  </si>
  <si>
    <t>android.database.CursorIndexOutOfBoundsException: Index 0 requested, with a size of 0</t>
  </si>
  <si>
    <t xml:space="preserve">Version:  3 4 2 foss (49) from F Droid_x000D_
_x000D_
This bug has been reported in  244 but not been fixed yet _x000D_
_x000D_
Here I can provide several reproduce steps  _x000D_
_x000D_
1  Open my website hosted in github io_x000D_
 https:  testsataapp github io sata com gelakinetic mtgfam ape sata running time 15 vis timeline html _x000D_
_x000D_
2  Click button  start  to adjust the view _x000D_
3  Input 196 and click  select   You can see a highlighted event in the timeline  Click the highlighted event _x000D_
      You can see a screenshot after clicking the event _x000D_
      The reproduce steps start at step 196_x000D_
      The crash happens at step 203 (13:29:23)_x000D_
4  Click next events int the timeline_x000D_
5  Use  Move right  or drag the timeline for navigation _x000D_
_x000D_
Hope it is helpful _x000D_
_x000D_
   _x000D_
   CRASH: com gelakinetic mtgfam (pid 2958) (elapsed nanos: 69786762416873)_x000D_
   Short Msg: android database CursorIndexOutOfBoundsException_x000D_
   Long Msg: android database CursorIndexOutOfBoundsException: Index 0 requested  with a size of 0_x000D_
   Build Label: google hammerhead hammerhead:6 0 1 M4B30Z 3437181:user release keys_x000D_
   Build Changelist: 3437181_x000D_
   Build Time: 1478203422000_x000D_
   android database CursorIndexOutOfBoundsException: Index 0 requested  with a size of 0_x000D_
   	at android database AbstractCursor checkPosition(AbstractCursor java:460)_x000D_
   	at android database AbstractWindowedCursor checkPosition(AbstractWindowedCursor java:136)_x000D_
   	at android database AbstractWindowedCursor getString(AbstractWindowedCursor java:50)_x000D_
   	at com gelakinetic mtgfam helpers CardHelpers makeMtgCard(CardHelpers java:736)_x000D_
   	at com gelakinetic mtgfam fragments TradeFragment addCardToTrade(TradeFragment java:232)_x000D_
   	at com gelakinetic mtgfam fragments TradeFragment access 000(TradeFragment java:53)_x000D_
   	at com gelakinetic mtgfam fragments TradeFragment 2 onClick(TradeFragment java:163)_x000D_
   	at android view View performClick(View java:5204)_x000D_
   	at android view View PerformClick run(View java:21153)_x000D_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_x000D_
</t>
  </si>
  <si>
    <t>CityZenApp-AndroidApp-43</t>
  </si>
  <si>
    <t>android.view.ViewRootImpl$CalledFromWrongThreadException: Only the original thread that created a view hierarchy can touch its views.</t>
  </si>
  <si>
    <t xml:space="preserve">I found a crash during evaluating my automated testing tool  _x000D_
It seems that the GUI cannot be updated asynchronously in another thread _x000D_
It might be a trivial bug  Stack trace is below _x000D_
   _x000D_
   CRASH: com cityzen cityzen (pid 26902) (elapsed nanos: 12184728523014)_x000D_
   Short Msg: android view ViewRootImpl CalledFromWrongThreadException_x000D_
   Long Msg: android view ViewRootImpl CalledFromWrongThreadException: Only the original thread that created a view hierarchy can touch its views _x000D_
   Build Label: google hammerhead hammerhead:6 0 1 M4B30Z 3437181:user release keys_x000D_
   Build Changelist: 3437181_x000D_
   Build Time: 1478203422000_x000D_
   android view ViewRootImpl CalledFromWrongThreadException: Only the original thread that created a view hierarchy can touch its views _x000D_
   	at android view ViewRootImpl checkThread(ViewRootImpl java:6556)_x000D_
   	at android view ViewRootImpl requestLayout(ViewRootImpl java:907)_x000D_
   	at android view View requestLayout(View java:18728)_x000D_
   	at android view View requestLayout(View java:18728)_x000D_
   	at android view View requestLayout(View java:18728)_x000D_
   	at android view View requestLayout(View java:18728)_x000D_
   	at android view View requestLayout(View java:18728)_x000D_
   	at android view View requestLayout(View java:18728)_x000D_
   	at android widget RelativeLayout requestLayout(RelativeLayout java:360)_x000D_
   	at android view View requestLayout(View java:18728)_x000D_
   	at android widget RelativeLayout requestLayout(RelativeLayout java:360)_x000D_
   	at android view View requestLayout(View java:18728)_x000D_
   	at android widget RelativeLayout requestLayout(RelativeLayout java:360)_x000D_
   	at android view View requestLayout(View java:18728)_x000D_
   	at android support v7 widget RecyclerView requestLayout(RecyclerView java:3852)_x000D_
   	at android support v7 widget RecyclerView RecyclerViewDataObserver onChanged(RecyclerView java:4937)_x000D_
   	at android support v7 widget RecyclerView AdapterDataObservable notifyChanged(RecyclerView java:11359)_x000D_
   	at android support v7 widget RecyclerView Adapter notifyDataSetChanged(RecyclerView java:6636)_x000D_
   	at com cityzen cityzen Adapters PlaceListAdapter resetAdapter(PlaceListAdapter java:71)_x000D_
   	at com cityzen cityzen Fragments SearchFragment 1 1 run(SearchFragment java:149)_x000D_
   	at java util Timer TimerImpl run(Timer java:284)_x000D_
   _x000D_
   </t>
  </si>
  <si>
    <t>thiagoprochnow-carteiradeativos-152</t>
  </si>
  <si>
    <t>In google drive, if you select no file and press "Select" and then "Yes", the application crashes</t>
  </si>
  <si>
    <t xml:space="preserve">In google drive  if you select no file and press  Select  and then  Yes   the application crashes _x000D_
This happens because you select no file and it tries to do the restore even so _x000D_
Should show error message </t>
  </si>
  <si>
    <t>Pattonville-Robotics-2867-7</t>
  </si>
  <si>
    <t>Change targetSdkVersion to 19</t>
  </si>
  <si>
    <t xml:space="preserve">This forces Android to allow Camera and Read Write External Storage permissions on newer devices  The ancient ZTE Speeds don t need it  but anything newer will crash </t>
  </si>
  <si>
    <t>Z3r0byte-Magis-69</t>
  </si>
  <si>
    <t>Auto silent permission</t>
  </si>
  <si>
    <t xml:space="preserve">The background service sometimes crashes because it doesnt have permission to change the do not disturb state </t>
  </si>
  <si>
    <t>nextcloud-android-1730</t>
  </si>
  <si>
    <t>Search function causes restart of the app for users with many files</t>
  </si>
  <si>
    <t xml:space="preserve">    Steps to reproduce_x000D_
1  open the application use the Search Icon_x000D_
2  enter a search value_x000D_
3  use return to start the search process_x000D_
_x000D_
 Youtube Screen Capture (https:  www youtube com embed ViJy0jXK48E)_x000D_
_x000D_
    Expected behaviour_x000D_
The application show the search results  and show the wanted files _x000D_
_x000D_
    Actual behaviour_x000D_
The application is automatically closed and restarted  _x000D_
If i close the application and delete cache  i can once successful reach the file _x000D_
I create into the same Nextcloud Instance a new User  with less files available  The search function works _x000D_
_x000D_
    Additional_x000D_
I activate the expert mode and can see the protocol function  _x000D_
However even after the crash  no log is generated  so I can not provide an error log _x000D_
_x000D_
    General server configuration_x000D_
_x000D_
  Operating system:   Linux b6c2188675b8 4 9 0 4 amd64  1 SMP Debian 4 9 51 1 (2017 09 28) x86 64_x000D_
_x000D_
  Web server:   nginx 1 13 5 (fpm fcgi)_x000D_
_x000D_
  Database:   mysql 10 1 26  (59 5 MB)_x000D_
_x000D_
  PHP version:   7 1 10_x000D_
 details _x000D_
         summary PHP modules loaded  summary _x000D_
_x000D_
   _x000D_
   Core_x000D_
   date_x000D_
   libxml_x000D_
   openssl_x000D_
   pcre_x000D_
   sqlite3_x000D_
   zlib_x000D_
   ctype_x000D_
   curl_x000D_
   dom_x000D_
   fileinfo_x000D_
   filter_x000D_
   ftp_x000D_
   hash_x000D_
   iconv_x000D_
   json_x000D_
   mbstring_x000D_
   SPL_x000D_
   PDO_x000D_
   session_x000D_
   posix_x000D_
   readline_x000D_
   Reflection_x000D_
   standard_x000D_
   SimpleXML_x000D_
   pdo sqlite_x000D_
   Phar_x000D_
   tokenizer_x000D_
   xml_x000D_
   xmlreader_x000D_
   xmlwriter_x000D_
   mysqlnd_x000D_
   cgi fcgi_x000D_
   apcu_x000D_
   exif_x000D_
   gd_x000D_
   intl_x000D_
   ldap_x000D_
   mcrypt_x000D_
   memcached_x000D_
   mysqli_x000D_
   pcntl_x000D_
   pdo mysql_x000D_
   pdo pgsql_x000D_
   pgsql_x000D_
   redis_x000D_
   zip_x000D_
   Zend OPcache_x000D_
   _x000D_
  details _x000D_
_x000D_
    Mobile Device_x000D_
_x000D_
  Nextcloud App Version:   2 0 1_x000D_
_x000D_
  Mobile Device:   Sony Xperia Z5 dual   7 1 1_x000D_
_x000D_
    Nextcloud configuration_x000D_
_x000D_
  Nextcloud version:   12 0 3   12 0 3 3_x000D_
_x000D_
  Updated from an older Nextcloud ownCloud or fresh install:   fresh install_x000D_
_x000D_
  Where did you install Nextcloud from:     docker compose (https:  github com nextcloud docker)_x000D_
_x000D_
  Are you using external storage  if yes which one:   Array_x000D_
(_x000D_
     0      OC Files Storage Local_x000D_
)_x000D_
_x000D_
_x000D_
  Are you using encryption:   no_x000D_
_x000D_
  Are you using an external user backend  if yes which one:   no_x000D_
_x000D_
 details _x000D_
         summary Signing status  summary _x000D_
_x000D_
   _x000D_
  _x000D_
   _x000D_
  details _x000D_
_x000D_
 details _x000D_
         summary Enabled apps  summary _x000D_
_x000D_
   _x000D_
   activity: 2 5 2_x000D_
   audioplayer: 2 1 0_x000D_
   bookmarks: 0 10 1_x000D_
   bruteforcesettings: 1 0 2_x000D_
   calendar: 1 5 6_x000D_
   comments: 1 2 0_x000D_
   contacts: 2 0 1_x000D_
   dav: 1 3 0_x000D_
   deck: 0 2 4_x000D_
   documents: 0 16 0_x000D_
   drawio: 0 8 8_x000D_
   encryption: 1 6 0_x000D_
   federatedfilesharing: 1 2 0_x000D_
   federation: 1 2 0_x000D_
   files: 1 7 2_x000D_
   files accesscontrol: 1 2 5_x000D_
   files clipboard: 0 6 4_x000D_
   files external: 1 3 0_x000D_
   files markdown: 2 0 1_x000D_
   files pdfviewer: 1 1 1_x000D_
   files reader: 1 0 4_x000D_
   files retention: 1 1 2_x000D_
   files sharing: 1 4 0_x000D_
   files texteditor: 2 4 1_x000D_
   files trashbin: 1 2 0_x000D_
   files versions: 1 5 0_x000D_
   files videoplayer: 1 1 0_x000D_
   firstrunwizard: 2 1_x000D_
   gallery: 17 0 0_x000D_
   issuetemplate: 0 2 2_x000D_
   logreader: 2 0 0_x000D_
   lookup server connector: 1 0 0_x000D_
   nextcloud announcements: 1 1_x000D_
   notifications: 2 0 0_x000D_
   oauth2: 1 0 5_x000D_
   ownbackup: 17 5 0_x000D_
   password policy: 1 2 2_x000D_
   provisioning api: 1 2 0_x000D_
   ransomware protection: 1 0 5_x000D_
   serverinfo: 1 2 0_x000D_
   sharebymail: 1 2 0_x000D_
   spreed: 2 0 1_x000D_
   survey client: 1 0 0_x000D_
   systemtags: 1 2 0_x000D_
   tasks: 0 9 5_x000D_
   theming: 1 3 0_x000D_
   twofactor backupcodes: 1 1 1_x000D_
   twofactor totp: 1 3 1_x000D_
   updatenotification: 1 2 0_x000D_
   workflowengine: 1 2 0_x000D_
   _x000D_
  details _x000D_
_x000D_
 details _x000D_
         summary Disabled apps  summary _x000D_
_x000D_
   _x000D_
   admin audit_x000D_
   user external_x000D_
   user ldap_x000D_
   _x000D_
  details _x000D_
_x000D_
 details _x000D_
         summary Content of config config php  summary _x000D_
_x000D_
   _x000D_
 _x000D_
     htaccess RewriteBase :      _x000D_
     memcache local :    OC  Memcache  APCu  _x000D_
     apps paths :  _x000D_
         _x000D_
             path :    var  www  html  apps  _x000D_
             url :    apps  _x000D_
             writable : false_x000D_
          _x000D_
         _x000D_
             path :    var  www  html  custom apps  _x000D_
             url :    custom apps  _x000D_
             writable : true_x000D_
         _x000D_
      _x000D_
     instanceid :  ockfebm9omi9  _x000D_
     passwordsalt :     REMOVED SENSITIVE VALUE     _x000D_
     secret :     REMOVED SENSITIVE VALUE     _x000D_
     trusted domains :  _x000D_
         dynDNS de  _x000D_
         192 168 178 29 _x000D_
      _x000D_
     datadirectory :    var  www  html  data  _x000D_
     overwrite cli url :  https:    dynDNS de  _x000D_
     dbtype :  mysql  _x000D_
     version :  12 0 3 3  _x000D_
     dbname :  nextcloud  _x000D_
     dbhost :  192 168 178 29:3306  _x000D_
     dbport :    _x000D_
     dbtableprefix :  oc   _x000D_
     dbuser :     REMOVED SENSITIVE VALUE     _x000D_
     dbpassword :     REMOVED SENSITIVE VALUE     _x000D_
     installed : true _x000D_
     maintenance : false _x000D_
     mail smtpmode :  smtp  _x000D_
     mail smtpauthtype :  LOGIN  _x000D_
     mail smtpsecure :  tls  _x000D_
     mail from address :  xxxxx  _x000D_
     mail domain :  googlemail com  _x000D_
     mail smtpauth : 1 _x000D_
     mail smtphost :  smtp gmail com  _x000D_
     mail smtpport :  587  _x000D_
     mail smtpname :     REMOVED SENSITIVE VALUE     _x000D_
     mail smtppassword :     REMOVED SENSITIVE VALUE     _x000D_
     trashbin retention obligation :  30  90  _x000D_
     remember login cookie lifetime : 432000 _x000D_
     loglevel : 3 _x000D_
     memcache locking :    OC  Memcache  Redis  _x000D_
     redis :  _x000D_
         host :  redis  _x000D_
         port : 6379_x000D_
     _x000D_
 _x000D_
   _x000D_
  details _x000D_
_x000D_
_x000D_
    Client configuration_x000D_
_x000D_
  Browser:   Mozilla 5 0 (Windows NT 6 1  WOW64  rv:56 0) Gecko 20100101 Firefox 56 0_x000D_
_x000D_
  Operating system:   YOUR ANSWER HERE_x000D_
_x000D_
    Logs_x000D_
_x000D_
 details _x000D_
         summary Web server error log  summary _x000D_
_x000D_
   _x000D_
no Webserver error log_x000D_
   _x000D_
  details _x000D_
_x000D_
 details _x000D_
         summary Nextcloud log (data nextcloud log)  summary _x000D_
_x000D_
   _x000D_
Insert your Nextcloud log here_x000D_
   _x000D_
  details _x000D_
_x000D_
 details _x000D_
         summary Browser log  summary _x000D_
_x000D_
   _x000D_
Insert your browser log here  this could for example include:_x000D_
_x000D_
a) The javascript console log_x000D_
b) The network log_x000D_
c)    _x000D_
   _x000D_
  details _x000D_
</t>
  </si>
  <si>
    <t>iBotPeaches-Apktool-1649</t>
  </si>
  <si>
    <t>Failed to build Settings.apk</t>
  </si>
  <si>
    <t xml:space="preserve">    Information_x000D_
1    Apktool Version ( apktool  version )     2 3_x000D_
2    Operating System (Mac  Linux  Windows)     Windows 10_x000D_
3    APK From  (Playstore  ROM  Other)     Tried Settings apk from stock rom of  both Samsung j510h and Samsung j500h using proper framework apks _x000D_
_x000D_
    Steps to Reproduce_x000D_
1  decompile Settings apk_x000D_
2  Do nothing just  rebuild the apk_x000D_
3 The resulting apk has issues: the app crashes when user tries to edit time in the Settings app  logcat says that a resource should be an integer but found a string  it means the file has problem is resources and is built wrongly_x000D_
_x000D_
    Frameworks_x000D_
included in the attachments _x000D_
_x000D_
    APK_x000D_
included zip file has the apk_x000D_
_x000D_
the files are huge so uploaded them to:_x000D_
https:  files fm u at66ww66_x000D_
_x000D_
    Questions to ask before submission_x000D_
1  Have you tried  apktool d    apktool b  without changing anything  yes_x000D_
2  If you are trying to install a modified apk  did you resign it  yes_x000D_
3  Are you using the latest apktool version  yes_x000D_
_x000D_
_x000D_
_x000D_
</t>
  </si>
  <si>
    <t>dimagi-commcare-android-1872</t>
  </si>
  <si>
    <t>Potential Fix for Fragment already added crash</t>
  </si>
  <si>
    <t xml:space="preserve">CL: https:  fabric io dimagi android apps org commcare dalvik issues 59cee64dbe077a4dcc7dc848 time last ninety days_x000D_
_x000D_
I am not able to reproduce this crash and also not able to really grasp what exactly might be going wrong here  Though looking at some stackoverflow posts it seems like a FragmentActivity bug happening when user presses back before fragment Transaction could finish completing  so I have basically followed the suggestion given here  _x000D_
 https:  stackoverflow com questions 13745787 fragment already added support lib 14298328_x000D_
_x000D_
Though what s really confusing me is how is backstack popping the  SelectInstallModeFragment  when we are not adding the fragment to backstack anywhere in code  _x000D_
</t>
  </si>
  <si>
    <t>MCMrARM-revolution-irc-19</t>
  </si>
  <si>
    <t>Memory leak</t>
  </si>
  <si>
    <t xml:space="preserve">It looks like I have a memory leak in the application    Just after starting the application the memory usage is just above 100MB  After leaving the application for a day it starts to consume over 200MB  One time the application crashed because of an out of memory error  with the application trying to consume over 600MB </t>
  </si>
  <si>
    <t>nextcloud-android-1728</t>
  </si>
  <si>
    <t>Open image crash</t>
  </si>
  <si>
    <t xml:space="preserve">    Actual behaviour_x000D_
1  Open a folder that contains images _x000D_
2  Open an image and it downloads and shows the image  (It now has a green tick on the thumbnail )_x000D_
3  Reopen the folder _x000D_
4  Open the downloaded image and it shows white screen _x000D_
5 Open an image in the same folder  the app crashes  (See the error log below)_x000D_
6  Open an image in the different folder (Same as 2)_x000D_
_x000D_
P S  the folders are on external storage on local folder  I don t know if it is the problem _x000D_
    Expected behaviour_x000D_
Not Crash_x000D_
 _x000D_
    Steps to reproduce_x000D_
See Actual behaviour_x000D_
_x000D_
    Environment data_x000D_
Android version:_x000D_
8_x000D_
_x000D_
Device model: _x000D_
Pixel_x000D_
_x000D_
Stock or customized system:_x000D_
Stock_x000D_
_x000D_
Nextcloud app version:_x000D_
2 0 0_x000D_
_x000D_
Nextcloud server version:_x000D_
12 0 3_x000D_
_x000D_
    Logs_x000D_
     Android error log_x000D_
   _x000D_
Process: com nextcloud client  PID: 26027_x000D_
   java lang ArrayIndexOutOfBoundsException: Array index out of range: 0_x000D_
       at java util Vector get(Vector java:748)_x000D_
       at com owncloud android ui preview PreviewImagePagerAdapter getFileAt(PreviewImagePagerAdapter java:135)_x000D_
       at com owncloud android ui preview PreviewImageActivity onPageSelected(PreviewImageActivity java:354)_x000D_
       at com owncloud android ui preview PreviewImageActivity PreviewImageServiceConnection onServiceConnected(PreviewImageActivity java:221)_x000D_
       at android app LoadedApk ServiceDispatcher doConnected(LoadedApk java:1634)_x000D_
       at android app LoadedApk ServiceDispatcher RunConnection run(LoadedApk java:1663)_x000D_
       at android os Handler handleCallback(Handler java:789)_x000D_
       at android os Handler dispatchMessage(Handler java:98)_x000D_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_x000D_
</t>
  </si>
  <si>
    <t>zeevy-grblcontroller-5</t>
  </si>
  <si>
    <t>RepeatListener.java line 54</t>
  </si>
  <si>
    <t xml:space="preserve">     in in co gorest grblcontroller helpers RepeatListener onTouch_x000D_
_x000D_
Device: Moto G Turbo Edition_x000D_
Os: 6 0 1_x000D_
_x000D_
Fatal Exception: java lang NullPointerException: Attempt to invoke virtual method  boolean android view View performClick()  on a null object reference_x000D_
       at in co gorest grblcontroller helpers RepeatListener onTouch(RepeatListener java:54)_x000D_
       at android view View dispatchTouchEvent(View java:9299)_x000D_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com android internal policy PhoneWindow DecorView superDispatchTouchEvent(PhoneWindow java:2403)_x000D_
       at com android internal policy PhoneWindow superDispatchTouchEvent(PhoneWindow java:1737)_x000D_
       at android app Activity dispatchTouchEvent(Activity java:2775)_x000D_
       at android support v7 view WindowCallbackWrapper dispatchTouchEvent(WindowCallbackWrapper java:69)_x000D_
       at android support v7 view WindowCallbackWrapper dispatchTouchEvent(WindowCallbackWrapper java:69)_x000D_
       at com android internal policy PhoneWindow DecorView dispatchTouchEvent(PhoneWindow java:2364)_x000D_
       at android view View dispatchPointerEvent(View java:9523)_x000D_
       at android view ViewRootImpl ViewPostImeInputStage processPointerEvent(ViewRootImpl java:4242)_x000D_
       at android view ViewRootImpl ViewPostImeInputStage onProcess(ViewRootImpl java:4108)_x000D_
       at android view ViewRootImpl InputStage deliver(ViewRootImpl java:3654)_x000D_
       at android view ViewRootImpl InputStage onDeliverToNext(ViewRootImpl java:3707)_x000D_
       at android view ViewRootImpl InputStage forward(ViewRootImpl java:3673)_x000D_
       at android view ViewRootImpl AsyncInputStage forward(ViewRootImpl java:3799)_x000D_
       at android view ViewRootImpl InputStage apply(ViewRootImpl java:3681)_x000D_
       at android view ViewRootImpl AsyncInputStage apply(ViewRootImpl java:3856)_x000D_
       at android view ViewRootImpl InputStage deliver(ViewRootImpl java:3654)_x000D_
       at android view ViewRootImpl InputStage onDeliverToNext(ViewRootImpl java:3707)_x000D_
       at android view ViewRootImpl InputStage forward(ViewRootImpl java:3673)_x000D_
       at android view ViewRootImpl InputStage apply(ViewRootImpl java:3681)_x000D_
       at android view ViewRootImpl InputStage deliver(ViewRootImpl java:3654)_x000D_
       at android view ViewRootImpl deliverInputEvent(ViewRootImpl java:5969)_x000D_
       at android view ViewRootImpl doProcessInputEvents(ViewRootImpl java:5908)_x000D_
       at android view ViewRootImpl enqueueInputEvent(ViewRootImpl java:5869)_x000D_
       at android view ViewRootImpl WindowInputEventReceiver onInputEvent(ViewRootImpl java:6072)_x000D_
       at android view InputEventReceiver dispatchInputEvent(InputEventReceiver java:192)_x000D_
       at android os MessageQueue nativePollOnce(MessageQueue java)_x000D_
       at android os MessageQueue next(MessageQueue java:323)_x000D_
       at android os Looper loop(Looper java:135)_x000D_
       at android app ActivityThread main(ActivityThread java:5443)_x000D_
       at java lang reflect Method invoke(Method java)_x000D_
       at com android internal os ZygoteInit MethodAndArgsCaller run(ZygoteInit java:728)_x000D_
       at com android internal os ZygoteInit main(ZygoteInit java:618)_x000D_
_x000D_
 in co gorest grblcontroller issue 39 crash 59F80C7F025F0001312D1BB7F6DF4B20 da6ea833bdfd11e7aaf356847afe9799 0 v2 txt (https:  github com zeevy grblcontroller files 1430008 in co gorest grblcontroller issue 39 crash 59F80C7F025F0001312D1BB7F6DF4B20 da6ea833bdfd11e7aaf356847afe9799 0 v2 txt)_x000D_
</t>
  </si>
  <si>
    <t>qualaroo-android-sdk-2</t>
  </si>
  <si>
    <t>Crash report from Google Play</t>
  </si>
  <si>
    <t>Follwing was the crash report from Google Play  Android 5 1  6 0 and 7 0 were affected by this  We don t have much detials as the sdk itself is closed sourced:_x000D_
_x000D_
  java lang NullPointerException: _x000D_
  at com qualaroo ui e 5 run (e java)_x000D_
  at android os Handler handleCallback (Handler java:751)_x000D_
  at android os Handler dispatchMessage (Handler java:95)_x000D_
  at android os Looper loop (Looper java:154)_x000D_
  at android app ActivityThread main (ActivityThread java:6776)_x000D_
  at java lang reflect Method invoke (Method java)_x000D_
  at com android internal os ZygoteInit MethodAndArgsCaller run (ZygoteInit java:1496)_x000D_
  at com android internal os ZygoteInit main (ZygoteInit java:1386)</t>
  </si>
  <si>
    <t>eduvpn-android-112</t>
  </si>
  <si>
    <t>app crash after removing a few "Secure Internet" profiles</t>
  </si>
  <si>
    <t xml:space="preserve">Register at one of the  Secure Internet  providers  after that  delete some by swiping them away  After a while  possibly when also scrolling to the list the find the other ones the app will crash </t>
  </si>
  <si>
    <t>bumptech-glide-2548</t>
  </si>
  <si>
    <t>Change from Glide 4.2.0 to 4.3.0 = crash. Revert to 4.2.0 and all is fine again</t>
  </si>
  <si>
    <t xml:space="preserve">Android Studio 3 0_x000D_
MacBook High Sierra 10 13 1 _x000D_
Android emulator Nexus 5X API level 26_x000D_
Run app using _x000D_
 implementation  com github bumptech glide:glide:4 2 0  _x000D_
Everything is fine but change to_x000D_
 implementation  com github bumptech glide:glide:4 3 0  _x000D_
and it crashes for any image I attempt to display  Images are JPG files hosted by Amazon (cloudfront net)_x000D_
Placeholder image is 256x256 32 bit color PNG in the APK_x000D_
Change back to 4 2 0  sync gradle  build app and it works perfectly again_x000D_
_x000D_
   _x000D_
11 01 13:56:52 545 16062 16199  my app  debug A OpenGLRenderer: unknown bitmap configuration_x000D_
11 01 13:56:52 545 16062 16199  my app   debug A libc: Fatal signal 6 (SIGABRT)  code  6 in tid 16199 (glide disk cach)_x000D_
11 01 13:56:52 565 16202 16202   I crash dump32: obtaining output fd from tombstoned_x000D_
11 01 13:56:52 565 1399 1399   I  system bin tombstoned: received crash request for pid 16062_x000D_
11 01 13:56:52 565 16202 16202   I crash dump32: performing dump of process 16062 (target tid   16199)_x000D_
11 01 13:56:52 566 16202 16202   A DEBUG:                                                                _x000D_
11 01 13:56:52 566 16202 16202   A DEBUG: Build fingerprint:  google sdk gphone x86 generic x86:8 0 0 OSR1 170720 005 4205617:user release keys _x000D_
11 01 13:56:52 566 16202 16202   A DEBUG: Revision:  0 _x000D_
11 01 13:56:52 566 16202 16202   A DEBUG: ABI:  x86 _x000D_
11 01 13:56:52 566 16202 16202   A DEBUG: pid: 16062  tid: 16199  name: glide disk cach       my app  debug    _x000D_
11 01 13:56:52 566 16202 16202   A DEBUG: signal 6 (SIGABRT)  code  6 (SI TKILL)  fault addr         _x000D_
11 01 13:56:52 567 16202 16202   A DEBUG: Abort message:  unknown bitmap configuration _x000D_
11 01 13:56:52 567 16202 16202   A DEBUG:     eax 00000000  ebx 00003ebe  ecx 00003f47  edx 00000006_x000D_
11 01 13:56:52 567 16202 16202   A DEBUG:     esi 00003f47  edi 928f95a8_x000D_
11 01 13:56:52 568 16202 16202   A DEBUG:     xcs 00000073  xds 0000007b  xes 0000007b  xfs 0000003b  xss 0000007b_x000D_
11 01 13:56:52 568 16202 16202   A DEBUG:     eip b5aebac4  ebp 928f95c8  esp 928f955c  flags 00000296_x000D_
11 01 13:56:52 802 16202 16202   A DEBUG: backtrace:_x000D_
11 01 13:56:52 802 16202 16202   A DEBUG:      00 pc 00000ac4   vdso:b5aeb000  (  kernel vsyscall 16)_x000D_
11 01 13:56:52 802 16202 16202   A DEBUG:      01 pc 00075b3c   system lib libc so (tgkill 28)_x000D_
11 01 13:56:52 802 16202 16202   A DEBUG:      02 pc 0001f04e   system lib libc so (abort 110)_x000D_
11 01 13:56:52 802 16202 16202   A DEBUG:      03 pc 00006a06   system lib liblog so (  android log assert 294)_x000D_
11 01 13:56:52 802 16202 16202   A DEBUG:      04 pc 0002784f   system lib libhwui so ( ZN7androidL14allocateBitmapEP8SkBitmapP12SkColorTablePF5sk spINS 6BitmapEEjRK11SkImageInfojS3 E 191)_x000D_
11 01 13:56:52 802 16202 16202   A DEBUG:      05 pc 000280dd   system lib libhwui so ( ZN7android6Bitmap18allocateHeapBitmapEP8SkBitmapP12SkColorTable 45)_x000D_
11 01 13:56:52 802 16202 16202   A DEBUG:      06 pc 000fdb9d   system lib libandroid runtime so ( ZL14Bitmap creatorP7 JNIEnvP8 jobjectP10 jintArrayiiiiihP12 jfloatArrayS2  365)_x000D_
11 01 13:56:52 802 16202 16202   A DEBUG:      07 pc 00aacd46   system framework x86 boot framework oat (offset 0x5e6000) (android graphics Bitmap nativeCreate 294)_x000D_
11 01 13:56:52 802 16202 16202   A DEBUG:      08 pc 00638ea2   system lib libart so (art quick invoke static stub 418)_x000D_
11 01 13:56:52 802 16202 16202   A DEBUG:      09 pc 00112b92   system lib libart so ( ZN3art9ArtMethod6InvokeEPNS 6ThreadEPjjPNS 6JValueEPKc 306)_x000D_
11 01 13:56:52 802 16202 16202   A DEBUG:      10 pc 003231ff   system lib libart so ( ZN3art11interpreter34ArtInterpreterToCompiledCodeBridgeEPNS 6ThreadEPNS 9ArtMethodEPKNS 7DexFile8CodeItemEPNS 11ShadowFrameEPNS 6JValueE 367)_x000D_
11 01 13:56:52 802 16202 16202   A DEBUG:      11 pc 0031cec3   system lib libart so ( ZN3art11interpreter6DoCallILb1ELb0EEEbPNS 9ArtMethodEPNS 6ThreadERNS 11ShadowFrameEPKNS 11InstructionEtPNS 6JValueE 803)_x000D_
11 01 13:56:52 802 16202 16202   A DEBUG:      12 pc 006217fd   system lib libart so (MterpInvokeStaticRange 397)_x000D_
11 01 13:56:52 802 16202 16202   A DEBUG:      13 pc 00629d21   system lib libart so (artMterpAsmInstructionStart 15265)_x000D_
11 01 13:56:52 802 16202 16202   A DEBUG:      14 pc 002f5f59   system lib libart so ( ZN3art11interpreterL7ExecuteEPNS 6ThreadEPKNS 7DexFile8CodeItemERNS 11ShadowFrameENS 6JValueEb 537)_x000D_
11 01 13:56:52 802 16202 16202   A DEBUG:      15 pc 002fdeda   system lib libart so ( ZN3art11interpreter33ArtInterpreterToInterpreterBridgeEPNS 6ThreadEPKNS 7DexFile8CodeItemEPNS 11ShadowFrameEPNS 6JValueE 234)_x000D_
11 01 13:56:52 802 16202 16202   A DEBUG:      16 pc 0031ce97   system lib libart so ( ZN3art11interpreter6DoCallILb1ELb0EEEbPNS 9ArtMethodEPNS 6ThreadERNS 11ShadowFrameEPKNS 11InstructionEtPNS 6JValueE 759)_x000D_
11 01 13:56:52 802 16202 16202   A DEBUG:      17 pc 006217fd   system lib libart so (MterpInvokeStaticRange 397)_x000D_
11 01 13:56:52 802 16202 16202   A DEBUG:      18 pc 00629d21   system lib libart so (artMterpAsmInstructionStart 15265)_x000D_
11 01 13:56:52 802 16202 16202   A DEBUG:      19 pc 002f5f59   system lib libart so ( ZN3art11interpreterL7ExecuteEPNS 6ThreadEPKNS 7DexFile8CodeItemERNS 11ShadowFrameENS 6JValueEb 537)_x000D_
11 01 13:56:52 802 16202 16202   A DEBUG:      20 pc 002fdeda   system lib libart so ( ZN3art11interpreter33ArtInterpreterToInterpreterBridgeEPNS 6ThreadEPKNS 7DexFile8CodeItemEPNS 11ShadowFrameEPNS 6JValueE 234)_x000D_
11 01 13:56:52 802 16202 16202   A DEBUG:      21 pc 0031bdb5   system lib libart so ( ZN3art11interpreter6DoCallILb0ELb0EEEbPNS 9ArtMethodEPNS 6ThreadERNS 11ShadowFrameEPKNS 11InstructionEtPNS 6JValueE 773)_x000D_
11 01 13:56:52 802 16202 16202   A DEBUG:      22 pc 0061fac4   system lib libart so (MterpInvokeStatic 484)_x000D_
11 01 13:56:52 802 16202 16202   A DEBUG:      23 pc 00629a21   system lib libart so (artMterpAsmInstructionStart 14497)_x000D_
11 01 13:56:52 802 16202 16202   A DEBUG:      24 pc 002f5f59   system lib libart so ( ZN3art11interpreterL7ExecuteEPNS 6ThreadEPKNS 7DexFile8CodeItemERNS 11ShadowFrameENS 6JValueEb 537)_x000D_
11 01 13:56:52 802 16202 16202   A DEBUG:      25 pc 002fdeda   system lib libart so ( ZN3art11interpreter33ArtInterpreterToInterpreterBridgeEPNS 6ThreadEPKNS 7DexFile8CodeItemEPNS 11ShadowFrameEPNS 6JValueE 234)_x000D_
11 01 13:56:52 802 16202 16202   A DEBUG:      26 pc 0031bdb5   system lib libart so ( ZN3art11interpreter6DoCallILb0ELb0EEEbPNS 9ArtMethodEPNS 6ThreadERNS 11ShadowFrameEPKNS 11InstructionEtPNS 6JValueE 773)_x000D_
11 01 13:56:52 802 16202 16202   A DEBUG:      27 pc 0061fac4   system lib libart so (MterpInvokeStatic 484)_x000D_
11 01 13:56:52 802 16202 16202   A DEBUG:      28 pc 00629a21   system lib libart so (artMterpAsmInstructionStart 14497)_x000D_
11 01 13:56:52 802 16202 16202   A DEBUG:      29 pc 002f5f59   system lib libart so ( ZN3art11interpreterL7ExecuteEPNS 6ThreadEPKNS 7DexFile8CodeItemERNS 11ShadowFrameENS 6JValueEb 537)_x000D_
11 01 13:56:52 802 16202 16202   A DEBUG:      30 pc 002fdeda   system lib libart so ( ZN3art11interpreter33ArtInterpreterToInterpreterBridgeEPNS 6ThreadEPKNS 7DexFile8CodeItemEPNS 11ShadowFrameEPNS 6JValueE 234)_x000D_
11 01 13:56:52 802 16202 16202   A DEBUG:      31 pc 0031bdb5   system lib libart so ( ZN3art11interpreter6DoCallILb0ELb0EEEbPNS 9ArtMethodEPNS 6ThreadERNS 11ShadowFrameEPKNS 11InstructionEtPNS 6JValueE 773)_x000D_
11 01 13:56:52 802 16202 16202   A DEBUG:      32 pc 0061fac4   system lib libart so (MterpInvokeStatic 484)_x000D_
11 01 13:56:52 802 16202 16202   A DEBUG:      33 pc 00629a21   system lib libart so (artMterpAsmInstructionStart 14497)_x000D_
11 01 13:56:52 802 16202 16202   A DEBUG:      34 pc 002f5f59   system lib libart so ( ZN3art11interpreterL7ExecuteEPNS 6ThreadEPKNS 7DexFile8CodeItemERNS 11ShadowFrameENS 6JValueEb 537)_x000D_
11 01 13:56:52 802 16202 16202   A DEBUG:      35 pc 002fdeda   system lib libart so ( ZN3art11interpreter33ArtInterpreterToInterpreterBridgeEPNS 6ThreadEPKNS 7DexFile8CodeItemEPNS 11ShadowFrameEPNS 6JValueE 234)_x000D_
11 01 13:56:52 802 16202 16202   A DEBUG:      36 pc 0031bdb5   system lib libart so ( ZN3art11interpreter6DoCallILb0ELb0EEEbPNS 9ArtMethodEPNS 6ThreadERNS 11ShadowFrameEPKNS 11InstructionEtPNS 6JValueE 773)_x000D_
11 01 13:56:52 802 16202 16202   A DEBUG:      37 pc 0061f3a3   system lib libart so (MterpInvokeInterface 1635)_x000D_
11 01 13:56:52 802 16202 16202   A DEBUG:      38 pc 00629aa1   system lib libart so (artMterpAsmInstructionStart 14625)_x000D_
11 01 13:56:52 802 16202 16202   A DEBUG:      39 pc 002f5f59   system lib libart so ( ZN3art11interpreterL7ExecuteEPNS 6ThreadEPKNS 7DexFile8CodeItemERNS 11ShadowFrameENS 6JValueEb 537)_x000D_
11 01 13:56:52 802 16202 16202   A DEBUG:      40 pc 002fdeda   system lib libart so ( ZN3art11interpreter33ArtInterpreterToInterpreterBridgeEPNS 6ThreadEPKNS 7DexFile8CodeItemEPNS 11ShadowFrameEPNS 6JValueE 234)_x000D_
11 01 13:56:52 802 16202 16202   A DEBUG:      41 pc 0031bdb5   system lib libart so ( ZN3art11interpreter6DoCallILb0ELb0EEEbPNS 9ArtMethodEPNS 6ThreadERNS 11ShadowFrameEPKNS 11InstructionEtPNS 6JValueE 773)_x000D_
11 01 13:56:52 802 16202 16202   A DEBUG:      42 pc 0061fac4   system lib libart so (MterpInvokeStatic 484)_x000D_
11 01 13:56:52 802 16202 16202   A DEBUG:      43 pc 00629a21   system lib libart so (artMterpAsmInstructionStart 14497)_x000D_
11 01 13:56:52 802 16202 16202   A DEBUG:      44 pc 002f5f59   system lib libart so ( ZN3art11interpreterL7ExecuteEPNS 6ThreadEPKNS 7DexFile8CodeItemERNS 11ShadowFrameENS 6JValueEb 537)_x000D_
11 01 13:56:52 803 16202 16202   A DEBUG:      45 pc 002fdeda   system lib libart so ( ZN3art11interpreter33ArtInterpreterToInterpreterBridgeEPNS 6ThreadEPKNS 7DexFile8CodeItemEPNS 11ShadowFrameEPNS 6JValueE 234)_x000D_
11 01 13:56:52 803 16202 16202   A DEBUG:      46 pc 0031ce97   system lib libart so ( ZN3art11interpreter6DoCallILb1ELb0EEEbPNS 9ArtMethodEPNS 6ThreadERNS 11ShadowFrameEPKNS 11InstructionEtPNS 6JValueE 759)_x000D_
11 01 13:56:52 803 16202 16202   A DEBUG:      47 pc 0062154e   system lib libart so (MterpInvokeDirectRange 462)_x000D_
11 01 13:56:52 803 16202 16202   A DEBUG:      48 pc 00629ca1   system lib libart so (artMterpAsmInstructionStart 15137)_x000D_
11 01 13:56:52 803 16202 16202   A DEBUG:      49 pc 002f5f59   system lib libart so ( ZN3art11interpreterL7ExecuteEPNS 6ThreadEPKNS 7DexFile8CodeItemERNS 11ShadowFrameENS 6JValueEb 537)_x000D_
11 01 13:56:52 803 16202 16202   A DEBUG:      50 pc 002fdeda   system lib libart so ( ZN3art11interpreter33ArtInterpreterToInterpreterBridgeEPNS 6ThreadEPKNS 7DexFile8CodeItemEPNS 11ShadowFrameEPNS 6JValueE 234)_x000D_
11 01 13:56:52 803 16202 16202   A DEBUG:      51 pc 0031ce97   system lib libart so ( ZN3art11interpreter6DoCallILb1ELb0EEEbPNS 9ArtMethodEPNS 6ThreadERNS 11ShadowFrameEPKNS 11InstructionEtPNS 6JValueE 759)_x000D_
11 01 13:56:52 803 16202 16202   A DEBUG:      52 pc 0061feb6   system lib libart so (MterpInvokeVirtualRange 838)_x000D_
11 01 13:56:52 803 16202 16202   A DEBUG:      53 pc 00629ba1   system lib libart so (artMterpAsmInstructionStart 14881)_x000D_
11 01 13:56:52 803 16202 16202   A DEBUG:      54 pc 002f5f59   system lib libart so ( ZN3art11interpreterL7ExecuteEPNS 6ThreadEPKNS 7DexFile8CodeItemERNS 11ShadowFrameENS 6JValueEb 537)_x000D_
11 01 13:56:52 803 16202 16202   A DEBUG:      55 pc 002fdeda   system lib libart so ( ZN3art11interpreter33ArtInterpreterToInterpreterBridgeEPNS 6ThreadEPKNS 7DexFile8CodeItemEPNS 11ShadowFrameEPNS 6JValueE 234)_x000D_
11 01 13:56:52 803 16202 16202   A DEBUG:      56 pc 0031bdb5   system lib libart so ( ZN3art11interpreter6DoCallILb0ELb0EEEbPNS 9ArtMethodEPNS 6ThreadERNS 11ShadowFrameEPKNS 11InstructionEtPNS 6JValueE 773)_x000D_
11 01 13:56:52 803 16202 16202   A DEBUG:      57 pc 0061e141   system lib libart so (MterpInvokeVirtual 881)_x000D_
11 01 13:56:52 803 16202 16202   A DEBUG:      58 pc 006298a1   system lib libart so (artMterpAsmInstructionStart 14113)_x000D_
11 01 13:56:52 803 16202 16202   A DEBUG:      59 pc 002f5f59   system lib libart so ( ZN3art11interpreterL7ExecuteEPNS 6ThreadEPKNS 7DexFile8CodeItemERNS 11ShadowFrameENS 6JValueEb 537)_x000D_
11 01 13:56:52 803 16202 16202   A DEBUG:      60 pc 002fdeda   system lib libart so ( ZN3art11interpreter33ArtInterpreterToInterpreterBridgeEPNS 6ThreadEPKNS 7DexFile8CodeItemEPNS 11ShadowFrameEPNS 6JValueE 234)_x000D_
11 01 13:56:52 803 16202 16202   A DEBUG:      61 pc 0031bdb5   system lib libart so ( ZN3art11interpreter6DoCallILb0ELb0EEEbPNS 9ArtMethodEPNS 6ThreadERNS 11ShadowFrameEPKNS 11InstructionEtPNS 6JValueE 773)_x000D_
11 01 13:56:52 803 16202 16202   A DEBUG:      62 pc 0061e141   system lib libart so (MterpInvokeVirtual 881)_x000D_
11 01 13:56:52 803 16202 16202   A DEBUG:      63 pc 006298a1   system lib libart so (artMterpAsmInstructionStart 14113)_x000D_
11 01 13:56:53 663 1399 1399   E  system bin tombstoned: Tombstone written to:  data tombstones  tombstone 05_x000D_
   </t>
  </si>
  <si>
    <t>jumaallan-andela-crypto-app-2</t>
  </si>
  <si>
    <t>Crash when selecting new card</t>
  </si>
  <si>
    <t>The app force closes first time when a user is selecting a new card  but does not crash with other selections</t>
  </si>
  <si>
    <t>moneymanagerex-android-money-manager-ex-1153</t>
  </si>
  <si>
    <t>Can't open forms due to updated libraries</t>
  </si>
  <si>
    <t xml:space="preserve">After upgrading Android Studio ( Gradle   Support Library  etc ) the app crashes at certain locations:_x000D_
    Payees can t be edited  _x000D_
    Accounts can t be edited  _x000D_
    security prices can t be downloaded  _x000D_
    About form can t open  _x000D_
    editing Asset Allocation classes  _x000D_
    account quick info  _x000D_
_x000D_
  Reason  _x000D_
There is an FontIcon library exception when opening certain forms  Some values may have been deprecated  _x000D_
Underlying cause is  Can t convert value at index 5 to dimension   Something has changed in the Android base libraries or the support libraries _x000D_
Some report that issue appears with Gradle plugin 3   link (https:  stackoverflow com questions 46947665 error inflating class info hoang8f widget fbutton) _x000D_
_x000D_
  Solutions:  _x000D_
  Migrate to Iconics for displaying font icons  Replace custom icons with_x000D_
    Google Material icons  ( link (https:  material io icons ))_x000D_
    Font Awesome icons  ( link (http:  fontawesome io icons ))_x000D_
  use Tab Layout  link (https:  stackoverflow com questions 26540078 use tab with new toolbar appcompat v7 21)  An alternative would be to use bottom navigation  component (https:  github com aurelhubert ahbottomnavigation) instead of tab strip </t>
  </si>
  <si>
    <t>mkulesh-microMathematics-39</t>
  </si>
  <si>
    <t>NumberFormatException</t>
  </si>
  <si>
    <t>When parsing  Siginificant digits in result   a  NumberFormatException  may be triggered if the input number is very large _x000D_
_x000D_
   _x000D_
   CRASH: com mkulesh micromath plus (pid 11486) (elapsed nanos: 5755378442858)_x000D_
   Short Msg: java lang NumberFormatException_x000D_
   Long Msg: java lang NumberFormatException: Invalid int:  1274375155085100044673746644154457 _x000D_
   Build Label: Android sdk google phone x86 generic x86:6 0 MASTER 4088240:userdebug test keys_x000D_
   Build Changelist: 4088240_x000D_
   Build Time: 1497047463000_x000D_
   java lang NumberFormatException: Invalid int:  1274375155085100044673746644154457 _x000D_
   	at java lang Integer invalidInt(Integer java:138)_x000D_
   	at java lang Integer parse(Integer java:413)_x000D_
   	at java lang Integer parseInt(Integer java:367)_x000D_
   	at java lang Integer parseInt(Integer java:334)_x000D_
   	at java lang Integer valueOf(Integer java:525)_x000D_
   	at com mkulesh micromath widgets HorizontalNumberPicker onClick(HorizontalNumberPicker java:111)_x000D_
   	at android view View performClick(View java:5198)_x000D_
   	at android view View PerformClick run(View java:21147)_x000D_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_x000D_
_x000D_
 How to repeat :_x000D_
  Start app_x000D_
  Open  Document setting  dialog_x000D_
  In the field  Significant digits in result   put123456789012 _x000D_
  Press     button on the right of this field_x000D_
 Bad : crash is observed_x000D_
 Desired : field content is set to a maximum allowed value for this element</t>
  </si>
  <si>
    <t>flyve-mdm-android-mdm-agent-174</t>
  </si>
  <si>
    <t>Enroll with TCP and SSL</t>
  </si>
  <si>
    <t xml:space="preserve">   Checklist_x000D_
Please check if your PR fulfills the following requirements:_x000D_
_x000D_
   x  The commit message follows our guidelines:  Conventional Commit (http:  conventionalcommits org )_x000D_
   x  Tests for the changes have been added (for bug fixes   features)_x000D_
   x  Docs have been added   updated (for bug fixes   features)_x000D_
_x000D_
_x000D_
   PR Type_x000D_
What kind of change does this PR introduce _x000D_
     Please check the one that applies to this PR using  x      _x000D_
_x000D_
   x  Bugfix_x000D_
   x  Feature_x000D_
      Code style update (formatting  local variables)_x000D_
   x  Refactoring (no functional changes  no api changes)_x000D_
      Build related changes_x000D_
   x  CI related changes_x000D_
      Documentation content changes_x000D_
      Other    Please describe:_x000D_
_x000D_
_x000D_
   What is the current behavior _x000D_
     Please describe the current behavior that you are modifying  or link to a relevant issue     _x000D_
_x000D_
Issue   _x000D_
_x000D_
  Wrong link for Web Console  _x000D_
close: https:  github com flyve mdm flyve mdm android agent issues 170_x000D_
_x000D_
  Enroll with invalid Base 64 data crash  _x000D_
https:  github com flyve mdm flyve mdm android agent issues 156_x000D_
_x000D_
   What is the new behavior _x000D_
_x000D_
Now the agent can enroll with TCP and SSL_x000D_
_x000D_
   Does this PR introduce a breaking change _x000D_
_x000D_
      Yes_x000D_
   x  No_x000D_
_x000D_
     If this PR contains a breaking change  please describe the impact and migration path for existing applications below     _x000D_
_x000D_
_x000D_
   Other information_x000D_
</t>
  </si>
  <si>
    <t>vic797-prowebview-2</t>
  </si>
  <si>
    <t>Is there anyway to unload loaded content?</t>
  </si>
  <si>
    <t>Tried two ways accepted ways:_x000D_
1)  webView loadUrl( about:blank )     app crashes immediately without any  App crashed  dialogs and stacktrace is super big https:  pastebin com j9rHxkun_x000D_
_x000D_
2)  view loadUrl( javascript:document open() document close()  )   in the monitor it says me _x000D_
 W chromium:  WARNING:navigator impl cc(327)  Refusing to load for invalid virtual URL: http:  javascript:document open() document close()   _x000D_
_x000D_
and deleteData() doesn t help  all data stay untouched_x000D_
_x000D_
and yes  you made awesome stuff  it s really easy to use  love it</t>
  </si>
  <si>
    <t>mapbox-mapbox-plugins-android-146</t>
  </si>
  <si>
    <t>In the navigation，LocationLayerPlugin is easy to crash on xiaomi phone when zoom in and zoom out the map</t>
  </si>
  <si>
    <t xml:space="preserve">crash trace:_x000D_
_x000D_
10 31 10:40:06 747   713   713 F DEBUG   :                                                                _x000D_
10 31 10:40:06 747   713   713 F DEBUG   : Build fingerprint:  xiaomi mido mido:6 0 1 MMB29M V8 5 7 0 MCFCNED:user release keys _x000D_
10 31 10:40:06 747   713   713 F DEBUG   : Revision:  0 _x000D_
10 31 10:40:06 747   713   713 F DEBUG   : ABI:  arm64 _x000D_
10 31 10:40:06 748   713   713 F DEBUG   : pid: 31561  tid: 31561  name: arrobot oversea      com ileja carrobot oversea    _x000D_
10 31 10:40:06 749   713   713 F DEBUG   : signal 11 (SIGSEGV)  code 1 (SEGV MAPERR)  fault addr 0x0_x000D_
10 31 10:40:06 853   713   713 F DEBUG   :     x0   0000000000000000  x1   0000007fd53c7f98  x2   0000007fd53c7ff0  x3   000000558d19cee0_x000D_
10 31 10:40:06 853   713   713 F DEBUG   :     x4   0000000000000000  x5   0000000000000001  x6   0000000000000000  x7   0000000000000000_x000D_
10 31 10:40:06 853   713   713 F DEBUG   :     x8   06c08bf1d681607a  x9   000000558b65f730  x10  0000000000000003  x11  0000000000000010_x000D_
10 31 10:40:06 853   713   713 F DEBUG   :     x12  0000007f8c310af8  x13  000000558b96c490  x14  000000558a308000  x15  0000007f8c310bb8_x000D_
10 31 10:40:06 853   713   713 F DEBUG   :     x16  0000007f8c309a58  x17  0000000000000000  x18  0000000000000020  x19  0000007fd53c7ff0_x000D_
10 31 10:40:06 853   713   713 F DEBUG   :     x20  0000007fd53c7f98  x21  000000558aa18c98  x22  000000558ea5acb0  x23  06c08bf1d681607a_x000D_
10 31 10:40:06 853   713   713 F DEBUG   :     x24  00000000702dd8b0  x25  0000281e00007b49  x26  0000281e00007b49  x27  0000000012d8bbb0_x000D_
10 31 10:40:06 853   713   713 F DEBUG   :     x28  000000007137d711  x29  0000007fd53c7f50  x30  0000007f6eeb6e68_x000D_
10 31 10:40:06 853   713   713 F DEBUG   :     sp   0000007fd53c7e40  pc   0000007f6ef063d8  pstate 0000000020000000_x000D_
10 31 10:40:06 949   713   713 F DEBUG   : _x000D_
10 31 10:40:06 949   713   713 F DEBUG   : backtrace:_x000D_
10 31 10:40:06 949   713   713 F DEBUG   :      00 pc 00000000002563d8   data app com ileja carrobot oversea 1 lib arm64 libmapbox gl so_x000D_
10 31 10:40:06 949   713   713 F DEBUG   :      01 pc 0000000000206e64   data app com ileja carrobot oversea 1 lib arm64 libmapbox gl so_x000D_
10 31 10:40:06 949   713   713 F DEBUG   :      02 pc 0000000000121808   data app com ileja carrobot oversea 1 lib arm64 libmapbox gl so_x000D_
10 31 10:40:06 950   713   713 F DEBUG   :      03 pc 00000000001248dc   data app com ileja carrobot oversea 1 lib arm64 libmapbox gl so_x000D_
10 31 10:40:06 950   713   713 F DEBUG   :      04 pc 0000000001ab8c78   data app com ileja carrobot oversea 1 oat arm64 base odex (offset 0xf3d000) (com mapbox services commons geojson Feature   com mapbox mapboxsdk style sources GeoJsonSource querySourceFeatures(java lang Object  ) 156)_x000D_
10 31 10:40:06 950   713   713 F DEBUG   :      05 pc 0000000001ab9268   data app com ileja carrobot oversea 1 oat arm64 base odex (offset 0xf3d000) (java util List com mapbox mapboxsdk style sources GeoJsonSource querySourceFeatures(com mapbox mapboxsdk style layers Filter Statement) 124)_x000D_
10 31 10:40:06 950   713   713 F DEBUG   :      06 pc 0000000001b96804   data app com ileja carrobot oversea 1 oat arm64 base odex (offset 0xf3d000) (com mapbox services commons geojson Point com mapbox mapboxsdk plugins locationlayer LocationLayerPlugin getCurrentSourcePoint(com mapbox mapboxsdk style sources GeoJsonSource) 72)_x000D_
10 31 10:40:06 951   713   713 F DEBUG   :      07 pc 0000000001b97914   data app com ileja carrobot oversea 1 oat arm64 base odex (offset 0xf3d000) (void com mapbox mapboxsdk plugins locationlayer LocationLayerPlugin setLocation(android location Location) 344)_x000D_
10 31 10:40:06 951   713   713 F DEBUG   :      08 pc 0000000001b9897c  _x000D_
 data app com ileja carrobot oversea 1 oat arm64 base odex (offset 0xf3d000) (void com mapbox mapboxsdk plugins locationlayer LocationLayerPlugin updateLocation(android location Location) 304)_x000D_
10 31 10:40:06 951   713   713 F DEBUG   :      09 pc 0000000001b98b50   data app com ileja carrobot oversea 1 oat arm64 base odex (offset 0xf3d000) (void com mapbox mapboxsdk plugins locationlayer LocationLayerPlugin forceLocationUpdate(android location Location) 68)_x000D_
10 31 10:40:06 951   713   713 F DEBUG   :      10 pc 00000000017752d4   data app com ileja carrobot oversea 1 oat arm64 base odex (offset 0xf3d000) (void com ileja carrobot oversea navi view NavigationView onProgressChange(android location Location  com mapbox services android navigation v5 routeprogress RouteProgress) 120)_x000D_
10 31 10:40:06 951   713   713 F DEBUG   :      11 pc 00000000019d7458   data app com ileja carrobot oversea 1 oat arm64 base odex (offset 0xf3d000) (void com mapbox services android navigation v5 navigation NavigationEventDispatcher onProgressChange(android location Location  com mapbox services android navigation v5 routeprogress RouteProgress) 460)_x000D_
10 31 10:40:06 952   713   713 F DEBUG   :      12 pc 00000000019e0960   data app com ileja carrobot oversea 1 oat arm64 base odex (offset 0xf3d000) (void com mapbox services android navigation v5 navigation NavigationService onNewRouteProgress(android location Location  com mapbox services android navigation v5 routeprogress RouteProgress) 548)_x000D_
10 31 10:40:06 952   713   713 F DEBUG   :      13 pc 00000000019d460c   data app com ileja carrobot oversea 1 oat arm64 base odex (offset 0xf3d000) (void com mapbox services android navigation v5 navigation NavigationEngine 1 run() 176)_x000D_
10 31 10:40:06 952   713   713 F DEBUG   :      14 pc 00000000734798f0   data dalvik cache arm64 system framework boot oat (offset 0x24c8000)_x000D_
</t>
  </si>
  <si>
    <t>nextcloud-android-1744</t>
  </si>
  <si>
    <t>AutoUpload - IllegalArgumentException: Comparison method violates its general contract!</t>
  </si>
  <si>
    <t xml:space="preserve">    Actual behaviour_x000D_
  AutoUpload view crashes_x000D_
_x000D_
    Expected behaviour_x000D_
  AutoUpload view shouldn t crash_x000D_
 _x000D_
    Steps to reproduce_x000D_
1  Open the AutoUpload view in the drawer_x000D_
_x000D_
    Environment data_x000D_
Android version: 6 0 1_x000D_
_x000D_
Device model: OnePlus 2_x000D_
_x000D_
Stock or customized system: Stock Oxygen OS 3 6 1 _x000D_
_x000D_
Nextcloud app version: 2 0 1_x000D_
_x000D_
Nextcloud server version: 12 0 3_x000D_
_x000D_
Issue reference  198_x000D_
_x000D_
    Logs_x000D_
_x000D_
     Nextcloud logcat (adb logcat)_x000D_
   _x000D_
FATAL EXCEPTION: main_x000D_
Process: com nextcloud client  PID: 9426_x000D_
java lang RuntimeException: Unable to start activity ComponentInfo com nextcloud client com owncloud android ui activity SyncedFoldersActivity : java lang IllegalArgumentException: Comparison method violates its general contract _x000D_
	at android app ActivityThread performLaunchActivity(ActivityThread java:2452)_x000D_
	at android app ActivityThread handleLaunchActivity(ActivityThread java:2535)_x000D_
	at android app ActivityThread access 900(ActivityThread java:155)_x000D_
	at android app ActivityThread H handleMessage(ActivityThread java:1380)_x000D_
	at android os Handler dispatchMessage(Handler java:102)_x000D_
	at android os Looper loop(Looper java:152)_x000D_
	at android app ActivityThread main(ActivityThread java:5497)_x000D_
	at java lang reflect Method invoke(Native Method)_x000D_
	at com android internal os ZygoteInit MethodAndArgsCaller run(ZygoteInit java:726)_x000D_
	at com android internal os ZygoteInit main(ZygoteInit java:616)_x000D_
Caused by: java lang IllegalArgumentException: Comparison method violates its general contract _x000D_
	at java util TimSort mergeHi(TimSort java:882)_x000D_
	at java util TimSort mergeAt(TimSort java:499)_x000D_
	at java util TimSort mergeForceCollapse(TimSort java:440)_x000D_
	at java util TimSort sort(TimSort java:219)_x000D_
	at java util Arrays sort(Arrays java:1998)_x000D_
	at java util Collections sort(Collections java:1900)_x000D_
	at com owncloud android ui activity SyncedFoldersActivity sortSyncedFolderItems(SyncedFoldersActivity java:274)_x000D_
	at com owncloud android ui activity SyncedFoldersActivity load(SyncedFoldersActivity java:223)_x000D_
	at com owncloud android ui activity SyncedFoldersActivity setupContent(SyncedFoldersActivity java:197)_x000D_
	at com owncloud android ui activity SyncedFoldersActivity onCreate(SyncedFoldersActivity java:150)_x000D_
	at android app Activity performCreate(Activity java:6289)_x000D_
	at android app Instrumentation callActivityOnCreate(Instrumentation java:1118)_x000D_
	at android app ActivityThread performLaunchActivity(ActivityThread java:2405)_x000D_
	    9 more_x000D_
   </t>
  </si>
  <si>
    <t>MCMrARM-revolution-irc-22</t>
  </si>
  <si>
    <t>Adding or editing a server crashes the app when primary colour is not default</t>
  </si>
  <si>
    <t xml:space="preserve">When you change the primary or accent colour in the settings  adding or editing a server crashes the app  also occurs when trying to add new command aliases or custom notification rules  Also  there doesn t seem to be a way to change the colours back to  Default  _x000D_
_x000D_
Using a Samsung Galaxy J3 (SM J320F) on Android 5 1 1 </t>
  </si>
  <si>
    <t>dimagi-commcare-android-1877</t>
  </si>
  <si>
    <t>Handle returning to form entry/hierarchy after process is killed in background</t>
  </si>
  <si>
    <t xml:space="preserve">Clayton helped me determine that https:  fabric io dimagi android apps org commcare dalvik issues 59c6c7cabe077a4dcc21be3b time last thirty days happens when the following sequence of events occurs:_x000D_
_x000D_
1  The user was last in  FormEntryActivity  before CommCare was sent to the background for any reason_x000D_
2  While CommCare is in the background  the process gets killed _x000D_
3  The user reopens CommCare  and thus CommCare tries to restart  FormEntryActivity  fresh  and is in the odd state of  having  a  savedInstanceState  (hence why  hasFormLoadBeenTriggered  is true)  but no longer has the  mFormController  because it is not stored in the same way  There is no way for us to recover from this situation  so the best thing to do is just exit gracefully  which I m doing via the session aware activity harnessing  _x000D_
_x000D_
  UPDATE  : the same issue was causing a crash in  FormHierarchyActivity : https:  fabric io dimagi android apps org commcare dalvik issues 59ddea56be077a4dcc1a0dce time last thirty days  If we return directly to  FormHierarchyActivity  after the process was killed while CommCare was in the background  we encounter a NPE when trying to access  FormEntryActivity mFormController   The latest commit addresses this </t>
  </si>
  <si>
    <t>getodk-collect-1593</t>
  </si>
  <si>
    <t>Caused by java.lang.NullPointerException: Attempt to get length of null array</t>
  </si>
  <si>
    <t xml:space="preserve">     Software and hardware versions _x000D_
Collect v1 11 0_x000D_
_x000D_
  Caused by java lang NullPointerException: Attempt to get length of null array_x000D_
org odk collect android tasks InstanceServerUploader uploadOneSubmission (InstanceServerUploader java:315)_x000D_
org odk collect android tasks InstanceServerUploader processChunk (InstanceServerUploader java:534)_x000D_
org odk collect android tasks InstanceServerUploader doInBackground (InstanceServerUploader java:558)_x000D_
org odk collect android tasks InstanceServerUploader doInBackground (InstanceServerUploader java:73)_x000D_
android os AsyncTask 2 call (AsyncTask java:295)_x000D_
java util concurrent FutureTask run (FutureTask java:237)_x000D_
android os AsyncTask SerialExecutor 1 run (AsyncTask java:234)_x000D_
java util concurrent ThreadPoolExecutor runWorker (ThreadPoolExecutor java:1113)_x000D_
java util concurrent ThreadPoolExecutor Worker run (ThreadPoolExecutor java:588)_x000D_
java lang Thread run (Thread java:818)_x000D_
_x000D_
     Other information _x000D_
Now It s the most common crash:_x000D_
https:  console firebase google com project api project 322300403941 monitoring app android:org odk collect android cluster 672e5111 duration 2592000000 appVersions 2528_x000D_
_x000D_
https:  play google com apps publish  account 6923365842552008664 dev acc 00659255839475882647 AndroidMetricsErrorsPlace:p org odk collect android appVersion 2528 clusterName apps org odk collect android clusters 672e5111_x000D_
</t>
  </si>
  <si>
    <t>bumptech-glide-2555</t>
  </si>
  <si>
    <t>NPE: 4.3.0 and GIFs lifecycle</t>
  </si>
  <si>
    <t xml:space="preserve">     _x000D_
  Caused by: java lang NullPointerException: Attempt to invoke virtual method  int android graphics Bitmap getWidth()  on a null object reference_x000D_
      at com bumptech glide load resource gif GifFrameLoader getWidth(GifFrameLoader java:127)_x000D_
      at com bumptech glide load resource gif GifDrawable getIntrinsicWidth(GifDrawable java:215)_x000D_
      at android widget ImageView invalidateDrawable(ImageView java:232)_x000D_
      at android graphics drawable Drawable invalidateSelf(Drawable java:385)_x000D_
      at android graphics drawable Drawable setVisible(Drawable java:764)_x000D_
      at com bumptech glide load resource gif GifDrawable setVisible(GifDrawable java:210)_x000D_
      at android widget ImageView onDetachedFromWindow(ImageView java:1485)_x000D_
      at android view View dispatchDetachedFromWindow(View java:14555)_x000D_
      at android view ViewGroup dispatchDetachedFromWindow(ViewGroup java:3063)_x000D_
      at android view ViewGroup dispatchDetachedFromWindow(ViewGroup java:3063)_x000D_
      at android view ViewGroup dispatchDetachedFromWindow(ViewGroup java:3063)_x000D_
      at android view ViewGroup removeViewInternal(ViewGroup java:4603)_x000D_
      at android view ViewGroup removeViewInternal(ViewGroup java:4576)_x000D_
      at android view ViewGroup removeView(ViewGroup java:4507)_x000D_
      at android support v4 view ViewPager removeView(ViewPager java:1499)_x000D_
      at android support v4 app FragmentManagerImpl moveToState(FragmentManager java:1520)_x000D_
      at android support v4 app FragmentManagerImpl moveFragmentToExpectedState(FragmentManager java:1740)_x000D_
      at android support v4 app FragmentManagerImpl moveToState(FragmentManager java:1809)_x000D_
      at android support v4 app FragmentManagerImpl dispatchStateChange(FragmentManager java:3217)_x000D_
      at android support v4 app FragmentManagerImpl dispatchDestroy(FragmentManager java:3208)_x000D_
      at android support v4 app FragmentController dispatchDestroy(FragmentController java:262)_x000D_
      at android support v4 app FragmentActivity onDestroy(FragmentActivity java:350)_x000D_
      at android support v7 app AppCompatActivity onDestroy(AppCompatActivity java:209)_x000D_
      at org thoughtcrime securesms PassphraseRequiredActionBarActivity onDestroy(PassphraseRequiredActionBarActivity java:83)_x000D_
      at android app Activity performDestroy(Activity java:6407)_x000D_
      at android app Instrumentation callActivityOnDestroy(Instrumentation java:1142)_x000D_
      at android app ActivityThread performDestroyActivity(ActivityThread java:3818)_x000D_
     _x000D_
_x000D_
I m using Glide 4 3 0 to load GIFs into a RecyclerView  Some users are reporting that if they scroll quickly and then close the activity  they get a crash _x000D_
_x000D_
  Glide Version  : 4 3 0</t>
  </si>
  <si>
    <t>bumptech-glide-2562</t>
  </si>
  <si>
    <t>NoSuchElementException during memory trimming</t>
  </si>
  <si>
    <t xml:space="preserve">  Glide Version  : 4 1 1_x000D_
_x000D_
  Integration libraries  :  _x000D_
_x000D_
     What devices you managed to get the issue to come up on  For example:_x000D_
fails on Galaxy S4 GT I9500 4 4 2  works fine on Nexus 6P 5 1 and Genymotion Nexus 5 5 0 1    _x000D_
  Device Android Version  : Moto E with 4G LTE (2nd Gen) Android 6 0_x000D_
_x000D_
  Issue details   Repro steps   Use case background  : _x000D_
I cannot reproduce the issue  it just happened on a device out of 5000 users  more or less  RAM usage at the time of crashes was not critical _x000D_
_x000D_
_x000D_
  Glide load line    GlideModule  (if any)   list Adapter code (if any)  :_x000D_
I m using a custom Glide module:_x000D_
   _x000D_
 GlideModule_x000D_
public class CustomGlideModule extends AppGlideModule  _x000D_
     Override_x000D_
    public void applyOptions(Context context  GlideBuilder builder)  _x000D_
        MemorySizeCalculator calculator   new MemorySizeCalculator Builder(context)_x000D_
                 setMemoryCacheScreens(1)_x000D_
                 setLowMemoryMaxSizeMultiplier(0 2f)_x000D_
                 setMaxSizeMultiplier(0 2f)_x000D_
                 build() _x000D_
        builder setMemoryCache(new LruResourceCache((int) (calculator getMemoryCacheSize()   0 8))) _x000D_
        builder setDiskCache(new ExternalCacheDiskCacheFactory(context)) _x000D_
        builder setBitmapPool(new LruBitmapPool((int) (calculator getBitmapPoolSize()   0 6))) _x000D_
        builder setDefaultRequestOptions(new RequestOptions() fitCenter() placeholder(R drawable ic music) format(DecodeFormat PREFER RGB 565) sizeMultiplier(0 7f)) _x000D_
     _x000D_
_x000D_
     Override_x000D_
    public boolean isManifestParsingEnabled()  _x000D_
        return false _x000D_
     _x000D_
 _x000D_
   _x000D_
_x000D_
Images are loaded in many ways all around the app  mostly like that:_x000D_
   _x000D_
Glide with(Activity or Fragment)_x000D_
                     load(io File or Uri)_x000D_
                     apply(new RequestOptions())_x000D_
                     thumbnail(0 2f)_x000D_
                     into(ImageView) _x000D_
   _x000D_
_x000D_
  Stack trace   LogCat  :_x000D_
   _x000D_
Fatal Exception: java util NoSuchElementException_x000D_
       at java util LinkedHashMap LinkedHashIterator nextEntry(LinkedHashMap java:349)_x000D_
       at java util LinkedHashMap EntryIterator next(LinkedHashMap java:375)_x000D_
       at java util LinkedHashMap EntryIterator next(LinkedHashMap java:375)_x000D_
       at com bumptech glide util LruCache trimToSize(SourceFile:170)_x000D_
       at com bumptech glide load engine cache LruResourceCache trimMemory(SourceFile:50)_x000D_
       at com bumptech glide Glide trimMemory(SourceFile:478)_x000D_
       at com bumptech glide Glide onTrimMemory(SourceFile:669)_x000D_
       at android app Application onTrimMemory(Application java:134)_x000D_
       at android app ActivityThread handleTrimMemory(ActivityThread java:4413)_x000D_
       at android app ActivityThread H handleMessage(ActivityThread java:1542)_x000D_
       at android os Handler dispatchMessage(Handler java:102)_x000D_
       at android os Looper loop(Looper java:148)_x000D_
       at android app ActivityThread main(ActivityThread java:5443)_x000D_
       at java lang reflect Method invoke(Method java)_x000D_
       at com android internal os ZygoteInit MethodAndArgsCaller run(ZygoteInit java:728)_x000D_
       at com android internal os ZygoteInit main(ZygoteInit java:618)_x000D_
   _x000D_
</t>
  </si>
  <si>
    <t>amirzaidi-Launcher3-282</t>
  </si>
  <si>
    <t>Adding Keep widget crashes the launcher</t>
  </si>
  <si>
    <t xml:space="preserve">   Description_x000D_
When trying to add a Keep widget (any of the 2 types available) the launcher crashes _x000D_
Probably the issue arose after an update of the Keep app  or I simply didn t notice the issue long before _x000D_
_x000D_
   Expected Behavior_x000D_
Selecting the Keep widget from the list should add the widget on the home screen properly _x000D_
_x000D_
   Actual Behavior_x000D_
Adding the Keep widget results in the launcher crash  and consequent reload _x000D_
_x000D_
   Steps to Reproduce_x000D_
1  tap and hold in any empty area of the screen_x000D_
2  select the icon to add a widget_x000D_
3  select any of the available Keep widget_x000D_
4  follow the steps to configure the widget_x000D_
5  the last step results in the launcher crash and no widget is added_x000D_
_x000D_
   Environment_x000D_
  Device: Nexus 5_x000D_
  Android version: Android 6 0 1 M4B30Z_x000D_
  Launcher version: 2 1 0_x000D_
  Rom: Stock Rom_x000D_
</t>
  </si>
  <si>
    <t>niclabs-adkintunmobile-androidclient-184</t>
  </si>
  <si>
    <t>ConnectivityTest.java line 109</t>
  </si>
  <si>
    <t xml:space="preserve">     in cl niclabs adkintunmobile utils activemeasurements connectivitytest ConnectivityTest 3 onPageFinished
  Number of crashes: 1
  Impacted devices: 1
There s a lot more information about this crash on crashlytics com:
 https:  fabric io niclabs android apps cl niclabs adkintunmobile issues 59ff61bc61b02d480dd5e349 utm medium service hooks github utm source issue impact (https:  fabric io niclabs android apps cl niclabs adkintunmobile issues 59ff61bc61b02d480dd5e349 utm medium service hooks github utm source issue impact)</t>
  </si>
  <si>
    <t>dimagi-commcare-android-1878</t>
  </si>
  <si>
    <t>Fix String.format for integrity scan log</t>
  </si>
  <si>
    <t>Fixes crash by UI tests:_x000D_
_x000D_
https:  us west 2 console aws amazon com devicefarm home   projects 5aba0e8d 7e3a 4563 a73c 4fc0e5e80b95 runs 0320be9f d0a2 4853 a900 1311319113e0 jobs 00000 suites 00001 tests 00000_x000D_
_x000D_
11 05 00:05:13 908  8986  8986 E MessageQueue JNI: java util UnknownFormatConversionException: Conversion: _x000D_
11 05 00:05:13 908  8986  8986 E MessageQueue JNI: 	at java util Formatter FormatSpecifierParser unknownFormatConversionException(Formatter java:2321)_x000D_
11 05 00:05:13 908  8986  8986 E MessageQueue JNI: 	at java util Formatter FormatSpecifierParser advance(Formatter java:2315)_x000D_
11 05 00:05:13 908  8986  8986 E MessageQueue JNI: 	at java util Formatter FormatSpecifierParser parseConversionType(Formatter java:2394)_x000D_
11 05 00:05:13 908  8986  8986 E MessageQueue JNI: 	at java util Formatter FormatSpecifierParser parseArgumentIndexAndFlags(Formatter java:2365)_x000D_
11 05 00:05:13 908  8986  8986 E MessageQueue JNI: 	at java util Formatter FormatSpecifierParser parseFormatToken(Formatter java:2298)_x000D_
11 05 00:05:13 908  8986  8986 E MessageQueue JNI: 	at java util Formatter doFormat(Formatter java:1071)_x000D_
11 05 00:05:13 908  8986  8986 E MessageQueue JNI: 	at java util Formatter format(Formatter java:1042)_x000D_
11 05 00:05:13 908  8986  8986 E MessageQueue JNI: 	at java util Formatter format(Formatter java:1011)_x000D_
11 05 00:05:13 908  8986  8986 E MessageQueue JNI: 	at java lang String format(String java:1803)_x000D_
11 05 00:05:13 908  8986  8986 E MessageQueue JNI: 	at java lang String format(String java:1777)_x000D_
11 05 00:05:13 908  8986  8986 E MessageQueue JNI: 	at org commcare activities FormRecordListActivity logIntegrityScanResult(FormRecordListActivity java:623)</t>
  </si>
  <si>
    <t>stefan-niedermann-nextcloud-notes-293</t>
  </si>
  <si>
    <t>Crash when the note used in SingleNoteWidget is deleted</t>
  </si>
  <si>
    <t>Steps to reproduce:_x000D_
_x000D_
1  Create a note_x000D_
2  Add a SingleNoteWidget to the launcher and chose the above created note_x000D_
3  Start the app_x000D_
4  Delete the above created note_x000D_
5  Synchronize with the server_x000D_
_x000D_
Result:_x000D_
The app crashes with a  NullPointerException   Android starts the app again  the app crashes again     _x000D_
_x000D_
Solution:_x000D_
The widget should check if the note is still there  and then_x000D_
a) Show a hint instead of the content  or_x000D_
b) Remove the widget (if this is possible)_x000D_
_x000D_
 cc  dan0xii</t>
  </si>
  <si>
    <t>mit-cml-appinventor-extensions-6</t>
  </si>
  <si>
    <t>micro:bit Button doesn't work but micro:bit does</t>
  </si>
  <si>
    <t xml:space="preserve">Reading the button status in the micro:bit Button extension crashes the app  but the same method in the massive component with all features works okay  Via  cavedunissin </t>
  </si>
  <si>
    <t>yuyakaido-CardStackView-41</t>
  </si>
  <si>
    <t>App crashes using CoordinatorLayout</t>
  </si>
  <si>
    <t xml:space="preserve">Using the CoordinatorLayout in the card item xml makes the app to crash _x000D_
Just try to add a CoordinatorLayout in the item tourist spot card xml in the sample project  and see the issue </t>
  </si>
  <si>
    <t>TeamNewPipe-NewPipe-813</t>
  </si>
  <si>
    <t>Crash when downloading anything on android 8.1</t>
  </si>
  <si>
    <t xml:space="preserve">NewPipe version: 0 11 0 (Happens on 0 10 0 too) _x000D_
Android version: 8 1 (happens on 8 0 too) _x000D_
Device: Google Pixel XL_x000D_
_x000D_
Steps to reproduce:_x000D_
1: find a video _x000D_
2: click the download button _x000D_
3: select audio _x000D_
4: press OK_x000D_
_x000D_
   _x000D_
 _x000D_
    user action :  ui error  _x000D_
    request :  App crash  UI failure  _x000D_
    content language :  en  _x000D_
    service :  none  _x000D_
    package :  org schabi newpipe  _x000D_
    version :  0 11 0  _x000D_
    os :  Linux Android 8 1 0   27  _x000D_
    time :  2017 11 06 16:47  _x000D_
    ip range :  212 15 0 0  _x000D_
    exceptions :  _x000D_
       java lang RuntimeException: Unable to create service us shandian giga service DownloadManagerService: java lang ClassCastException: android graphics drawable AdaptiveIconDrawable cannot be cast to android graphics drawable BitmapDrawable n tat android app ActivityThread handleCreateService(ActivityThread java:3349) n tat android app ActivityThread  wrap4(Unknown Source:0) n tat android app ActivityThread H handleMessage(ActivityThread java:1677) n tat android os Handler dispatchMessage(Handler java:106) n tat android os Looper loop(Looper java:164) n tat android app ActivityThread main(ActivityThread java:6494) n tat java lang reflect Method invoke(Native Method) n tat com android internal os RuntimeInit MethodAndArgsCaller run(RuntimeInit java:438) n tat com android internal os ZygoteInit main(ZygoteInit java:807) nCaused by: java lang ClassCastException: android graphics drawable AdaptiveIconDrawable cannot be cast to android graphics drawable BitmapDrawable n tat us shandian giga service DownloadManagerService onCreate(DownloadManagerService java:103) n tat android app ActivityThread handleCreateService(ActivityThread java:3339) n t    8 more njava lang ClassCastException: android graphics drawable AdaptiveIconDrawable cannot be cast to android graphics drawable BitmapDrawable n tat us shandian giga service DownloadManagerService onCreate(DownloadManagerService java:103) n tat android app ActivityThread handleCreateService(ActivityThread java:3339) n tat android app ActivityThread  wrap4(Unknown Source:0) n tat android app ActivityThread H handleMessage(ActivityThread java:1677) n tat android os Handler dispatchMessage(Handler java:106) n tat android os Looper loop(Looper java:164) n tat android app ActivityThread main(ActivityThread java:6494) n tat java lang reflect Method invoke(Native Method) n tat com android internal os RuntimeInit MethodAndArgsCaller run(RuntimeInit java:438) n tat com android internal os ZygoteInit main(ZygoteInit java:807) n _x000D_
     _x000D_
    user comment :   _x000D_
 _x000D_
   </t>
  </si>
  <si>
    <t>flyve-mdm-android-mdm-agent-177</t>
  </si>
  <si>
    <t>Disable and enable GPS feature, review with sonarqube and fix crash bug</t>
  </si>
  <si>
    <t xml:space="preserve">   Checklist_x000D_
Please check if your PR fulfills the following requirements:_x000D_
_x000D_
   x  The commit message follows our guidelines:  Conventional Commit (http:  conventionalcommits org )_x000D_
   x  Tests for the changes have been added (for bug fixes   features)_x000D_
   x  Docs have been added   updated (for bug fixes   features)_x000D_
_x000D_
_x000D_
   PR Type_x000D_
What kind of change does this PR introduce _x000D_
     Please check the one that applies to this PR using  x      _x000D_
_x000D_
   x  Bugfix_x000D_
   x  Feature_x000D_
      Code style update (formatting  local variables)_x000D_
      Refactoring (no functional changes  no api changes)_x000D_
   x  Build related changes_x000D_
      CI related changes_x000D_
      Documentation content changes_x000D_
      Other    Please describe:_x000D_
_x000D_
_x000D_
   What is the current behavior _x000D_
     Please describe the current behavior that you are modifying  or link to a relevant issue     _x000D_
_x000D_
Issue   N A_x000D_
  Add sonarqube_x000D_
close: https:  github com flyve mdm flyve mdm android agent issues 176_x000D_
_x000D_
  Enroll with invalid Base 64 data crash_x000D_
close: https:  github com flyve mdm flyve mdm android agent issues 156_x000D_
_x000D_
  Turn off gps:_x000D_
close: https:  github com flyve mdm flyve mdm android agent issues 69_x000D_
_x000D_
   What is the new behavior _x000D_
Now the MQTT start with the app  the code was reviewed with sonarqube  with a root device the app canreview if GPS is available or not  catch error if the data that come from deep link is a valid base64 encode_x000D_
_x000D_
   Does this PR introduce a breaking change _x000D_
_x000D_
      Yes_x000D_
   x  No_x000D_
_x000D_
     If this PR contains a breaking change  please describe the impact and migration path for existing applications below     _x000D_
_x000D_
_x000D_
   Other information_x000D_
 ajsb85     hectorerb </t>
  </si>
  <si>
    <t>square-okhttp-3675</t>
  </si>
  <si>
    <t>Invalid http2 settings id may cause app crash.</t>
  </si>
  <si>
    <t xml:space="preserve">There is a crash report  http2 settings value has some problem from server  but I think client must do some guard judgment agains this _x000D_
   _x000D_
java lang ArrayIndexOutOfBoundsException_x000D_
length 10  index  27591_x000D_
okhttp3 internal http2 Settings set(Settings java:65)_x000D_
okhttp3 internal http2 Http2Reader readSettings(Http2Reader java:304)_x000D_
okhttp3 internal http2 Http2Reader nextFrame(Http2Reader java:149)_x000D_
okhttp3 internal http2 Http2Reader readConnectionPreface(Http2Reader java:83)_x000D_
okhttp3 internal http2 Http2Connection ReaderRunnable execute(Http2Connection java:571)_x000D_
okhttp3 internal NamedRunnable run(NamedRunnable java:32)_x000D_
java lang Thread run(Thread java:818)_x000D_
_x000D_
   </t>
  </si>
  <si>
    <t>moneymanagerex-android-money-manager-ex-1159</t>
  </si>
  <si>
    <t xml:space="preserve">App getting crashed on selecting Enter Next Occurrence </t>
  </si>
  <si>
    <t xml:space="preserve">With recent upgrade  app getting crashed when I select enter next Occurrence from repeat transaction  Most of the time  I use this feature  Plz fix it on priority </t>
  </si>
  <si>
    <t>dariuszseweryn-RxAndroidBle-308</t>
  </si>
  <si>
    <t>NullPointerException throw when unsubscribe is called</t>
  </si>
  <si>
    <t xml:space="preserve">    Summary_x000D_
Sometimes  when I call unsubscribe  NullPointerException is throw_x000D_
_x000D_
This is my code:_x000D_
   _x000D_
public class MainActivity extends RxAppCompatActivity  _x000D_
    private static final String TAG    MainActivity  _x000D_
    public static final UUID VUZ CHAR UUID   UUID fromString( 25A80002 6478 11E6 BDF4 AD3BCC77759F ) _x000D_
_x000D_
    private Observable RxBleConnection  connectionObservable _x000D_
    private PublishSubject Void  disconnectTriggerSubject   PublishSubject create() _x000D_
    private RxBleDevice bleDevice _x000D_
    private Subscription mConnectionSubscription _x000D_
_x000D_
     Override_x000D_
    protected void onCreate(Bundle savedInstanceState)  _x000D_
        super onCreate(savedInstanceState) _x000D_
        setContentView(R layout activity main) _x000D_
        ButterKnife bind(this) _x000D_
        String macAddress    D0:29:DD:6F:32:DD  _x000D_
        bleDevice   SampleApplication getRxBleClient(this) getBleDevice(macAddress) _x000D_
        connectionObservable   prepareConnectionObservable() _x000D_
          noinspection ConstantConditions_x000D_
        getSupportActionBar() setSubtitle(getString(R string mac address  macAddress)) _x000D_
     _x000D_
_x000D_
    private Observable RxBleConnection  prepareConnectionObservable()  _x000D_
        return bleDevice_x000D_
                 establishConnection(false)_x000D_
                 takeUntil(disconnectTriggerSubject)_x000D_
                 compose(new ConnectionSharingAdapter())_x000D_
                 doOnUnsubscribe(()    Log d(TAG   prepareConnectionObservable   doOnUnsubscribe )) _x000D_
     _x000D_
_x000D_
    private boolean isConnected()  _x000D_
        return bleDevice getConnectionState()    RxBleConnection RxBleConnectionState CONNECTED _x000D_
     _x000D_
_x000D_
     OnClick(R id connect)_x000D_
    public void onConnectToggleClick()  _x000D_
        if (mConnectionSubscription    null     mConnectionSubscription isUnsubscribed())  _x000D_
            mConnectionSubscription unsubscribe() _x000D_
         _x000D_
        if (isConnected())  _x000D_
            triggerDisconnect() _x000D_
         _x000D_
        mConnectionSubscription   connectionObservable_x000D_
                 flatMap(RxBleConnection::discoverServices)_x000D_
                 flatMap(rxBleDeviceServices    rxBleDeviceServices getCharacteristic(VUZ CHAR UUID))_x000D_
                 observeOn(AndroidSchedulers mainThread())_x000D_
                 subscribe(_x000D_
                        characteristic     _x000D_
                            Log i(getClass() getSimpleName()   Hey  connection has been established  ) _x000D_
                          _x000D_
                        this::onConnectionFailure _x000D_
                        this::onConnectionFinished_x000D_
                ) _x000D_
     _x000D_
_x000D_
     OnClick(R id unscription)_x000D_
    public void disconnectClick()  _x000D_
        if (mConnectionSubscription    null)  _x000D_
            mConnectionSubscription unsubscribe() _x000D_
         _x000D_
        triggerDisconnect() _x000D_
     _x000D_
_x000D_
    private void triggerDisconnect()  _x000D_
        disconnectTriggerSubject onNext(null) _x000D_
     _x000D_
_x000D_
    private void onConnectionFailure(Throwable throwable)  _x000D_
        Log d(TAG   onConnectionFailure   Connection error:     throwable) _x000D_
     _x000D_
_x000D_
    private void onConnectionFinished()  _x000D_
        Log d(TAG   onConnectionFinished   Connection finish ) _x000D_
     _x000D_
_x000D_
 _x000D_
   _x000D_
_x000D_
Log crash:_x000D_
   _x000D_
Caused by java lang NullPointerException: Attempt to invoke interface method  void rx Subscription unsubscribe()  on a null object reference_x000D_
       at com polidea rxandroidble internal serialization ConnectionOperationQueueImpl onConnectionUnsubscribed(ConnectionOperationQueueImpl java:147)_x000D_
       at com polidea rxandroidble internal connection ConnectorImpl 1 2 call(ConnectorImpl java:68)_x000D_
       at rx subscriptions BooleanSubscription unsubscribe(BooleanSubscription java:71)_x000D_
       at rx internal util SubscriptionList unsubscribeFromAll(SubscriptionList java:136)_x000D_
       at rx internal util SubscriptionList unsubscribe(SubscriptionList java:125)_x000D_
       at rx Subscriber unsubscribe(Subscriber java:98)_x000D_
       at rx internal util SubscriptionList unsubscribeFromAll(SubscriptionList java:136)_x000D_
       at rx internal util SubscriptionList unsubscribe(SubscriptionList java:125)_x000D_
       at rx Subscriber unsubscribe(Subscriber java:98)_x000D_
       at rx internal util SubscriptionList unsubscribeFromAll(SubscriptionList java:136)_x000D_
       at rx internal util SubscriptionList unsubscribe(SubscriptionList java:125)_x000D_
       at rx Subscriber unsubscribe(Subscriber java:98)_x000D_
       at rx subscriptions CompositeSubscription unsubscribeFromAll(CompositeSubscription java:186)_x000D_
       at rx subscriptions CompositeSubscription unsubscribe(CompositeSubscription java:175)_x000D_
       at rx internal operators OnSubscribeRefCount 3 call(OnSubscribeRefCount java:164)_x000D_
       at rx subscriptions BooleanSubscription unsubscribe(BooleanSubscription java:71)_x000D_
       at rx internal util SubscriptionList unsubscribeFromAll(SubscriptionList java:136)_x000D_
       at rx internal util SubscriptionList unsubscribe(SubscriptionList java:125)_x000D_
       at rx Subscriber unsubscribe(Subscriber java:98)_x000D_
       at rx internal util SubscriptionList unsubscribeFromAll(SubscriptionList java:136)_x000D_
       at rx internal util SubscriptionList unsubscribe(SubscriptionList java:125)_x000D_
       at rx Subscriber unsubscribe(Subscriber java:98)_x000D_
       at rx internal util SubscriptionList unsubscribeFromAll(SubscriptionList java:136)_x000D_
       at rx internal util SubscriptionList unsubscribe(SubscriptionList java:125)_x000D_
       at rx Subscriber unsubscribe(Subscriber java:98)_x000D_
       at rx internal util SubscriptionList unsubscribeFromAll(SubscriptionList java:136)_x000D_
       at rx internal util SubscriptionList unsubscribe(SubscriptionList java:125)_x000D_
       at rx Subscriber unsubscribe(Subscriber java:98)_x000D_
       at rx internal util SubscriptionList unsubscribeFromAll(SubscriptionList java:136)_x000D_
       at rx internal util SubscriptionList unsubscribe(SubscriptionList java:125)_x000D_
       at rx Subscriber unsubscribe(Subscriber java:98)_x000D_
       at rx internal subscriptions SequentialSubscription unsubscribe(SequentialSubscription java:180)_x000D_
       at rx subscriptions SerialSubscription unsubscribe(SerialSubscription java:36)_x000D_
       at rx internal util SubscriptionList unsubscribeFromAll(SubscriptionList java:136)_x000D_
       at rx internal util SubscriptionList unsubscribe(SubscriptionList java:125)_x000D_
       at rx Subscriber unsubscribe(Subscriber java:98)_x000D_
       at rx internal util SubscriptionList unsubscribeFromAll(SubscriptionList java:136)_x000D_
       at rx internal util SubscriptionList unsubscribe(SubscriptionList java:125)_x000D_
       at rx Subscriber unsubscribe(Subscriber java:98)_x000D_
       at rx internal util SubscriptionList unsubscribeFromAll(SubscriptionList java:136)_x000D_
       at rx internal util SubscriptionList unsubscribe(SubscriptionList java:125)_x000D_
       at rx Subscriber unsubscribe(Subscriber java:98)_x000D_
       at rx internal util SubscriptionList unsubscribeFromAll(SubscriptionList java:136)_x000D_
       at rx internal util SubscriptionList unsubscribe(SubscriptionList java:125)_x000D_
       at rx Subscriber unsubscribe(Subscriber java:98)_x000D_
   _x000D_
    Library version_x000D_
 1 4 2 _x000D_
_x000D_
     Actual result_x000D_
NullPointerException throw_x000D_
_x000D_
     Expected result_x000D_
Check NULL in https:  github com Polidea RxAndroidBle blob master rxandroidble src main java com polidea rxandroidble internal serialization ConnectionOperationQueueImpl java L147 or find cause of this bug _x000D_
_x000D_
Thanks_x000D_
</t>
  </si>
  <si>
    <t>15calebsmith-Help-From-Above-8</t>
  </si>
  <si>
    <t>App crashes if you don't login to cloud storage</t>
  </si>
  <si>
    <t xml:space="preserve">If you select a cloud storage in the settings but don t login  then the app crashes </t>
  </si>
  <si>
    <t>bumptech-glide-2574</t>
  </si>
  <si>
    <t>IllegalStateException: Cannot obtain size for recycled Bitmap</t>
  </si>
  <si>
    <t xml:space="preserve">Hi _x000D_
we recently updated our app from Glide   3 7 0   to Glide   4 1 1    In the new release  we are getting some Crashes in our Crashlogger with the following Stacktrace:_x000D_
_x000D_
  Stack trace   LogCat  :_x000D_
   ruby_x000D_
Fatal Exception: java lang IllegalStateException: Cannot obtain size for recycled Bitmap: android graphics Bitmap 7e65b27 450x450  ARGB 8888_x000D_
       at com bumptech glide util Util getBitmapByteSize(SourceFile:73)_x000D_
       at com bumptech glide load engine prefill BitmapPreFillRunner allocate(SourceFile:115)_x000D_
       at com bumptech glide load engine prefill BitmapPreFillRunner run(SourceFile:132)_x000D_
       at android os Handler handleCallback(Handler java:815)_x000D_
       at android os Handler dispatchMessage(Handler java:104)_x000D_
       at android os Looper loop(Looper java:207)_x000D_
       at android app ActivityThread main(ActivityThread java:5710)_x000D_
       at java lang reflect Method invoke(Method java)_x000D_
       at com android internal os ZygoteInit MethodAndArgsCaller run(ZygoteInit java:900)_x000D_
       at com android internal os ZygoteInit main(ZygoteInit java:761)_x000D_
   _x000D_
_x000D_
So far all of the crashes are on devices running Android 6 0  Do you have any hints what I should look for to find what s causing this issue </t>
  </si>
  <si>
    <t>TeamNewPipe-NewPipe-824</t>
  </si>
  <si>
    <t>Can't play this video</t>
  </si>
  <si>
    <t xml:space="preserve">Hi :)_x000D_
Why i can t play this video   _x000D_
Here is link https:  youtu be n4u67vFHm6I_x000D_
On 0 10 2 it says it says that video can t be player_x000D_
Earlier release crashes (but newest not) _x000D_
</t>
  </si>
  <si>
    <t>Cleveroad-AdaptiveTableLayout-19</t>
  </si>
  <si>
    <t xml:space="preserve">Kotlin crash </t>
  </si>
  <si>
    <t xml:space="preserve">I can t use Kotlin  _x000D_
I use thos code in java works but in kotlin crash  _x000D_
_x000D_
    mCsvFileDataSource   CsvFileDataSourceImpl(this  null)_x000D_
      tlPipeline   findViewById AdaptiveTableLayout (R id tlPipeline)_x000D_
      mTableAdapter   SampleLinkedTableAdapter(this  mCsvFileDataSource)_x000D_
      tlPipeline setAdapter(mTableAdapter) _x000D_
_x000D_
</t>
  </si>
  <si>
    <t>TeamNewPipe-NewPipe-827</t>
  </si>
  <si>
    <t>UseAsFrontPage causes crash when orientation was changed</t>
  </si>
  <si>
    <t xml:space="preserve">There is an option useAsFrontPage  It works as expected until a phone changed its orientation  
Steps to reproduce:
Open NewPipe with kiosk as a home page
Turn your phone in landscape mode with Android s autorotation enabled
Tap on any item 
I will see a crash 
This happens because baseListFragment loses its value for useAsFrontPage when orientation changed  And since then initListeners() can t do it job right </t>
  </si>
  <si>
    <t>andOTP-andOTP-60</t>
  </si>
  <si>
    <t xml:space="preserve">Backup Crash </t>
  </si>
  <si>
    <t xml:space="preserve">Check if all requirements are fulfilled otherwise the issue will be closed without any comment_x000D_
_x000D_
    Add details to fields  below_x000D_
    Use search  Check if the issue is already reported before creating a new one  _x000D_
    https:  github com flocke andOTP issues_x000D_
    Try again after clearing the apps data before posting_x000D_
    Record a logcat: https:  goo gl mc71vk_x000D_
    Bug reports without logcat will be closed (I can not reproduce every bug myself and I can not fix them without logs)_x000D_
    Delete this info block_x000D_
                             _x000D_
_x000D_
     General information_x000D_
_x000D_
    App version: 0 2 8_x000D_
    App source:  F Droid_x000D_
    Android Version: 6 0 1_x000D_
_x000D_
     Expected result_x000D_
  What is expected    _x000D_
Want to create a backup of my accounts _x000D_
_x000D_
  What does happen instead   _x000D_
App crashed with: unfortunately app has stopped _x000D_
_x000D_
     Logcat_x000D_
   _x000D_
Log Bericht   build board: MSM8974_x000D_
build bootloader: s1_x000D_
build brand: Sony_x000D_
build cpu abi: armeabi v7a_x000D_
build cpu abi2: armeabi_x000D_
build device: D5803_x000D_
build display: 23 5 A 1 291_x000D_
build fingerprint: Sony D5803 D5803:6 0 1 23 5 A 1 291 2769308465:user release keys_x000D_
build hardware: qcom_x000D_
build host: BuildHost_x000D_
build id: 23 5 A 1 291_x000D_
build manufacturer: Sony_x000D_
build model: D5803_x000D_
build product: D5803_x000D_
build radio: unknown_x000D_
build serial: YT9112LXDF_x000D_
build tags: release keys_x000D_
build time: 1467083751000_x000D_
build type: user_x000D_
build user: BuildUser_x000D_
version codename: REL_x000D_
version incremental: 2769308465_x000D_
version release: 6 0 1_x000D_
version sdk int: 23_x000D_
_x000D_
11 09 08:25:30 740 I Timeline(1816): Timeline: Activity windows visible id: ActivityRecord 832061f u0 org shadowice flocke andotp  Activities MainActivity t12129  time:22655894_x000D_
11 09 08:25:32 716 I Timeline(10601): Timeline: Activity launch request id:org shadowice flocke andotp time:22657871_x000D_
11 09 08:25:32 717 I ActivityManager(1816): START u0  cmp org shadowice flocke andotp  Activities BackupActivity  from uid 10440 on display 0_x000D_
11 09 08:25:33 198 I ActivityManager(1816): Displayed org shadowice flocke andotp  Activities BackupActivity:  436ms_x000D_
11 09 08:25:33 211 I Timeline(1816): Timeline: Activity windows visible id: ActivityRecord d265ec3 u0 org shadowice flocke andotp  Activities BackupActivity t12129  time:22658365_x000D_
11 09 08:25:35 663 E AndroidRuntime(10601): Process: org shadowice flocke andotp  PID: 10601_x000D_
11 09 08:25:35 663 E AndroidRuntime(10601): 	at org shadowice flocke andotp Activities BackupActivity showSaveFileSelector(BackupActivity java:329)_x000D_
11 09 08:25:35 663 E AndroidRuntime(10601): 	at org shadowice flocke andotp Activities BackupActivity saveFileWithPermissions(BackupActivity java:354)_x000D_
11 09 08:25:35 663 E AndroidRuntime(10601): 	at org shadowice flocke andotp Activities BackupActivity access 200(BackupActivity java:65)_x000D_
11 09 08:25:35 663 E AndroidRuntime(10601): 	at org shadowice flocke andotp Activities BackupActivity 8 onClick(BackupActivity java:402)_x000D_
11 09 08:25:35 665 D ActivityManager(1816): New dropbox entry: org shadowice flocke andotp  data app crash  a4e35840 9a39 485a b09c f603c346cd07_x000D_
11 09 08:25:35 666 W ActivityManager(1816):   Force finishing activity org shadowice flocke andotp  Activities BackupActivity_x000D_
11 09 08:25:36 172 W ActivityManager(1816): Activity pause timeout for ActivityRecord d265ec3 u0 org shadowice flocke andotp  Activities BackupActivity t12129 f _x000D_
11 09 08:25:39 446 I WindowState(1816): WIN DEATH: Window 36d2496 u0 org shadowice flocke andotp org shadowice flocke andotp Activities BackupActivity _x000D_
11 09 08:25:39 450 I WindowState(1816): WIN DEATH: Window 8c306e u0 org shadowice flocke andotp org shadowice flocke andotp Activities BackupActivity _x000D_
11 09 08:25:39 453 W InputDispatcher(1816): channel  f84af0a org shadowice flocke andotp org shadowice flocke andotp Activities MainActivity (server)    Consumer closed input channel or an error occurred   events 0x9_x000D_
11 09 08:25:39 453 I Windo_x000D_
   _x000D_
_x000D_
     Steps to reproduce_x000D_
 _x000D_
   everytime I want to backup data  no matter if with or without encryption  _x000D_
_x000D_
</t>
  </si>
  <si>
    <t>dimagi-commcare-android-1882</t>
  </si>
  <si>
    <t>Prevent npe in onPrepareOptionsMenu too</t>
  </si>
  <si>
    <t xml:space="preserve">Fix for https:  fabric io dimagi android apps org commcare dalvik issues 59fb2ad261b02d480da4d741 time last seven days  which is unfortunately a regression in 2 40 due to the fix I implemented in https:  github com dimagi commcare android pull 1860 for https:  fabric io dimagi android apps org commcare dalvik issues 59caaf16be077a4dcc4b044e sessions 59E0B141028000014ABF51F37354211A f3dbf274b01111e7919a56847afe9799 0 v2   I now realize that the fix I implemented basically just pushed off this crash to  onPrepareOptionsMenu  instead of  onCreateOptionsMenu   This will now prevent it from happening in either  (I don t think a hotfix is necessary since the previous crash was equivalent and around for quite a while) </t>
  </si>
  <si>
    <t>nextcloud-android-1770</t>
  </si>
  <si>
    <t>Strange snackbar when removing account if only one is allowed</t>
  </si>
  <si>
    <t xml:space="preserve">  setup xml: multiaccount support    false_x000D_
  setup one account_x000D_
  remove it _x000D_
  see  app name does not support multiple accounts  occurs 2 times  then app closes (no crash)</t>
  </si>
  <si>
    <t>OCSInventory-NG-AndroidAgent-22</t>
  </si>
  <si>
    <t>Crash when http proxy is checked but no proxy infos is set</t>
  </si>
  <si>
    <t xml:space="preserve">    General informations_x000D_
Android version :  All_x000D_
_x000D_
    OCS Inventory informations_x000D_
Android agent version : Trunk_x000D_
_x000D_
    Problem s description_x000D_
If you set HTTP Proxy to ON and don t set address and port  the application will crash when sending an inventory_x000D_
_x000D_
</t>
  </si>
  <si>
    <t>zeevy-grblcontroller-6</t>
  </si>
  <si>
    <t>Permission Denial: Enable bluetooth requires com.mediatek.permission.CTA_ENABLE_BT: GrblActivity.java line 89</t>
  </si>
  <si>
    <t xml:space="preserve">Permission Denial: Enable bluetooth requires com mediatek permission CTA ENABLE BT_x000D_
_x000D_
Device: BV6000S_x000D_
OS: 7 0_x000D_
_x000D_
_x000D_
 in co gorest grblcontroller issue 40 crash 5A073D5403A30001300807C20DA2D2BD c36f7a98c70b11e7a5d056847afe9799 0 v2 txt (https:  github com zeevy grblcontroller files 1465879 in co gorest grblcontroller issue 40 crash 5A073D5403A30001300807C20DA2D2BD c36f7a98c70b11e7a5d056847afe9799 0 v2 txt)_x000D_
</t>
  </si>
  <si>
    <t>CMPUT301F17T29-HabitUp-84</t>
  </si>
  <si>
    <t>EditHabit: App back works, but system back crashes</t>
  </si>
  <si>
    <t xml:space="preserve">From EditHabit in view mode  both the app back (arrow on the top left) and system soft back (left triangle at the bottom) work properly   However  from EditHabit in edit mode  the app back button seems to work  but the system soft back causes an app crash   This is 100  repro behavior   No troubleshooting done from my end </t>
  </si>
  <si>
    <t>CMPUT301F17T02-BAARD-33</t>
  </si>
  <si>
    <t>Create new habit into VIEW</t>
  </si>
  <si>
    <t>after deleting habits  going from create new habit into view crashes</t>
  </si>
  <si>
    <t>CMPUT301F17T29-HabitUp-111</t>
  </si>
  <si>
    <t>ViewHabitEvent: returning from AddHabitEvent crash on selecting new HabitEvent</t>
  </si>
  <si>
    <t>Repro steps:_x000D_
1  Go to ViewHabitEvent_x000D_
2  Add a new HabitEvent_x000D_
3  On return to ViewHabitEvent  select the new HabitEvent that was just created_x000D_
4  Select View or Edit_x000D_
5  ES does not grab the HabitEvent (gets null   see HabitEventDEBUG in log output) and causes a crash _x000D_
_x000D_
Reproducibility: 100 _x000D_
_x000D_
Severity: HIGH</t>
  </si>
  <si>
    <t>dimagi-commcare-android-1884</t>
  </si>
  <si>
    <t>Don't override hierarchy view back-behavior</t>
  </si>
  <si>
    <t xml:space="preserve">Confirmed with substantial testing that this fixes https:  fabric io dimagi android apps org commcare dalvik issues 59d37644be077a4dccac473f time last thirty days  while maintaining the behavior that was the goal of https:  github com dimagi commcare android pull 640 (which is what introduced this bug)  The reason this PR was causing the crash is as follows: If a user went to the hierarchy view from form entry while on a question that was within any type of group  pressing back would result in calling  goUpLevel()   which modifies the form index without any provisions for re setting it afterward  Thus when the user pressed back  again  and ended up back in  FormEntryActivity   their form index would be screwed up _x000D_
_x000D_
  The change I made here is that we should only override the back button behavior in  FormHierarchyActivity  if we came from the list of saved incomplete forms  The reason I solved it this way rather than trying to store and re set the form index before returning to form entry is that I think this is potentially undesirable behavior to employ when the user has come from form entry regardless  For example  in the example I described above  the user would expect pressing back once to take them back to form entry  since it s irrelevant to them that they happen to have been within a nested group before coming to the hierarchy view  In other words  it doesn t make any sense that the behavior of back in this case would vary depending on what type of question the user was on in form entry beforehand  I think this consideration strongly outweighs the value of having  back  take the user up a level if they do happen to start navigating around within the hierarchy view after coming from form entry   _x000D_
_x000D_
This PR makes it so that pressing back in hierarchy activity no longer does anything but cancel the activity  All that has been changed now is to make sure that we first re set the form index to what it was when the activity started  to avoid ending up in a totally wacko state _x000D_
_x000D_
  Product Note    (this is incredibly minor and almost certainly not worth announcing  but could be useful for support to know in case anyone writes in complaining that the behavior changed) : Makes it so that pressing the  back  button while in the form hierarchy (the view that shows the outline of a form and allows you to jump to a question) no longer does anything but cancel the activity  Previously  pressing back from there would  sometimes  result in doing navigation within the hierarchy view instead  but this has been removed in favor of universally predictable behavior </t>
  </si>
  <si>
    <t>novoda-download-manager-250</t>
  </si>
  <si>
    <t>Network recovery disabled crash</t>
  </si>
  <si>
    <t xml:space="preserve">   Problem _x000D_
If you specify that the  DownloadManager  should not recover from network errors there is a crash    it would be more appropriate to do nothing or allow the client to supply a strategy  _x000D_
_x000D_
   _x000D_
liteDownloadManagerCommands   DownloadManagerBuilder_x000D_
                 newInstance(this  handler  R mipmap ic launcher round)_x000D_
                 withNetworkDownloader()_x000D_
                 withFilePersistenceInternal()_x000D_
                 withAllowedConnectionType(ConnectionType UNMETERED)_x000D_
                 withNetworkRecovery(false)_x000D_
                 build() _x000D_
   _x000D_
_x000D_
   Solution_x000D_
It seems that the  DownloadManager  was always designed to do nothing in the instance where the client requests  withNetworkRecovery(false)  we just weren t assigning to the  INSTANCE  which is why there was a crash  </t>
  </si>
  <si>
    <t>tanrabad-survey-41</t>
  </si>
  <si>
    <t xml:space="preserve">     in org tanrabad survey utils android ResourceUtils from
  Number of crashes: 1
  Impacted devices: 1
There s a lot more information about this crash on crashlytics com:
 https:  fabric io tanrabad android apps org tanrabad survey issues 5a09428b61b02d480d5143be utm medium service hooks github utm source issue impact (https:  fabric io tanrabad android apps org tanrabad survey issues 5a09428b61b02d480d5143be utm medium service hooks github utm source issue impact)</t>
  </si>
  <si>
    <t>dimagi-commcare-android-1887</t>
  </si>
  <si>
    <t>Session aware infrastructure improvements</t>
  </si>
  <si>
    <t>A lot of the crashes that have been showing up in Crashlytics are related to unhandled instances of  SessionUnavailableException   despite the fact that we have a framework in place that is supposed to address this  because it is currently incompletely implemented  This PR fills in the remaining gaps by doing the following:_x000D_
_x000D_
  Introducing the notion of  onActivityResultSessionSafe()   and applying it to all classes that extend  SessionAwareCommCareActivity   Since  onActivityResult()  gets called before  onResume()   if  onActivityResult()  requires the session in any way  then we would never reach our protections in  onResume()  and instead just crash there  This looks to be what was causing https:  fabric io dimagi android apps org commcare dalvik issues 59c3fc75be077a4dcc02c8f0 time last thirty days_x000D_
  Making sure that  all  classes that extend  SessionAwareCommCareActivity  implement  onCreateSessionSafe  instead of  onCreate   This had been done very incompletely for some reason  This looks to be what was causing https:  fabric io dimagi android apps org commcare dalvik issues 59f979c161b02d480d8ff90d time last thirty days</t>
  </si>
  <si>
    <t>LonamiWebs-Stringlate-161</t>
  </si>
  <si>
    <t>Cannot create PRs</t>
  </si>
  <si>
    <t xml:space="preserve">Hi  I m using latest F Droid version of Stringlate on Android 7 1 2 and I cannot create PRs  meanwhile I can create bug reports _x000D_
_x000D_
I tried to give    adb logcat  s io github lonamiwebs stringlate    in order to give help but only_x000D_
   _x000D_
          beginning of crash_x000D_
          beginning of system_x000D_
          beginning of main_x000D_
    _x000D_
is shown  What should I do to send a log     </t>
  </si>
  <si>
    <t>tanrabad-survey-42</t>
  </si>
  <si>
    <t xml:space="preserve">     in org tanrabad survey utils PlayLocationService getInstance
  Number of crashes: 1
  Impacted devices: 1
There s a lot more information about this crash on crashlytics com:
 https:  fabric io tanrabad android apps org tanrabad survey issues 5a0a5a9161b02d480d60d361 utm medium service hooks github utm source issue impact (https:  fabric io tanrabad android apps org tanrabad survey issues 5a0a5a9161b02d480d60d361 utm medium service hooks github utm source issue impact)</t>
  </si>
  <si>
    <t>Del-S-WearFingerprint-5</t>
  </si>
  <si>
    <t>Crash on return to the app</t>
  </si>
  <si>
    <t xml:space="preserve">Fix crash when you return to the app on Xiaomi (classic Bluetooth) </t>
  </si>
  <si>
    <t>Del-S-WearFingerprint-4</t>
  </si>
  <si>
    <t>Improve scan for ble beacons</t>
  </si>
  <si>
    <t xml:space="preserve">  AltBeacon app seems to load beacons faster for some reason _x000D_
  Fix crash:  Attempt to invoke virtual method  runOnUiThread(java lang Runnable)  on a null object reference at BluetoothLEDevicesFragment foundBeacon(BluetoothLEDevicesFragment java:89) </t>
  </si>
  <si>
    <t>Meisterschueler-ogn-viewer-android-3</t>
  </si>
  <si>
    <t xml:space="preserve">crashes immediately upon opening the app after upgrade )      it flashes  commected to ogn  and  setting arps filter to (my filter)  and immediately dies _x000D_
_x000D_
   _x000D_
java lang NullPointerException: Attempt to invoke virtual method  java lang Object android content Context getSystemService(java lang String)  on a null object reference_x000D_
	at android content ContextWrapper getSystemService(ContextWrapper java:711)_x000D_
	at com meisterschueler ognviewer OgnService 1 run(OgnService java:83)_x000D_
	at java lang Thread run(Thread java:762)_x000D_
   </t>
  </si>
  <si>
    <t>alhazmy13-MediaPicker-39</t>
  </si>
  <si>
    <t>App crashes when you select an image from Google Drive</t>
  </si>
  <si>
    <t xml:space="preserve">Try to pick an image from Google Driver with following config:_x000D_
_x000D_
   _x000D_
new ImagePicker Builder(MainActivity this)_x000D_
                         mode(ImagePicker Mode CAMERA AND GALLERY)_x000D_
                         compressLevel(ImagePicker ComperesLevel MEDIUM)_x000D_
                         scale(200  200)_x000D_
                         allowMultipleImages(true)_x000D_
                         enableDebuggingMode(true)_x000D_
                         build() _x000D_
   _x000D_
_x000D_
Application crashes with following Crash log:_x000D_
_x000D_
   _x000D_
E SensorManager: app getDefaultSensor SENSOR TYPE  8_x000D_
E AndroidRuntime: FATAL EXCEPTION: AsyncTask  1_x000D_
   Process: com myicetag myicetag  PID: 18698_x000D_
   java lang RuntimeException: An error occurred while executing doInBackground()_x000D_
	   at android os AsyncTask 3 done(AsyncTask java:309)_x000D_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java:234)_x000D_
	   at java util concurrent ThreadPoolExecutor runWorker(ThreadPoolExecutor java:1113)_x000D_
	   at java util concurrent ThreadPoolExecutor Worker run(ThreadPoolExecutor java:588)_x000D_
	   at java lang Thread run(Thread java:818)_x000D_
	Caused by: java lang NullPointerException: Attempt to invoke virtual method  char   java lang String toCharArray()  on a null object reference_x000D_
	   at java io File fixSlashes(File java:183)_x000D_
	   at java io File  init (File java:130)_x000D_
	   at net alhazmy13 mediapicker Image ImageActivity CompressImageTask doInBackground(ImageActivity java:345)_x000D_
	   at net alhazmy13 mediapicker Image ImageActivity CompressImageTask doInBackground(ImageActivity java:317)_x000D_
	   at android os AsyncTask 2 call(AsyncTask java:295)_x000D_
	   at java util concurrent FutureTask run(FutureTask java:237)_x000D_
	   at android os AsyncTask SerialExecutor 1 run(AsyncTask java:234) _x000D_
	   at java util concurrent ThreadPoolExecutor runWorker(ThreadPoolExecutor java:1113) _x000D_
	   at java util concurrent ThreadPoolExecutor Worker run(ThreadPoolExecutor java:588) _x000D_
	   at java lang Thread run(Thread java:818) _x000D_
   </t>
  </si>
  <si>
    <t>davidohayon669-react-native-youtube-238</t>
  </si>
  <si>
    <t>Android crashing in production: java.lang.IllegalStateException</t>
  </si>
  <si>
    <t xml:space="preserve">I just recently launched my React Native Android app into production and several users are experiencing the following crash:_x000D_
_x000D_
   _x000D_
java lang IllegalStateException_x000D_
   _x000D_
_x000D_
  screen shot 2017 11 15 at 7 20 04 am (https:  user images githubusercontent com 4974609 32835818 97ea24d0 c9d5 11e7 9b5a 247f1a28edc3 png)_x000D_
_x000D_
It seems to be coming from the  react native youtube  module  I m not sure how to go about debugging this  I can t seem to reproduce it locally on any of my physical devices  and because it s Java and not JavaScript  I m a bit unfamiliar _x000D_
_x000D_
If you could help point me in the right direction  I would really appreciate it _x000D_
</t>
  </si>
  <si>
    <t>dimagi-commcare-android-1888</t>
  </si>
  <si>
    <t>Amaze fix</t>
  </si>
  <si>
    <t xml:space="preserve">Case: https:  manage dimagi com default asp 262091 1419259_x000D_
_x000D_
Fixes: https:  fabric io dimagi android apps org commcare dalvik issues 59e776f361b02d480dc9bd46 time last ninety days_x000D_
_x000D_
Apologies for not a clean PR but I had to refactor some things so that I don t have to make same change at 2 places  Though The crux of the PR is when we fail to get the filePath from file provider we need to either do all the post processing by opening a inputStream and work with that or make a copy of the file internally using that inputStream and treat that file s path as the new file path  _x000D_
_x000D_
Product Note: Fixes a bug on Android N upwards where choosing a file through Amaze file provider anywhere in Commcare will crash the app  _x000D_
_x000D_
_x000D_
_x000D_
_x000D_
</t>
  </si>
  <si>
    <t>ekstep-Integrated-Partner-App-3</t>
  </si>
  <si>
    <t xml:space="preserve">CDN: Genie App: The application is crashing when user tries to access any contents in other network except CDN network </t>
  </si>
  <si>
    <t xml:space="preserve">Steps to Reproduce _x000D_
_x000D_
1  Connect with CDN network _x000D_
2  Open  the app and fatch all the contents or download some of the contents_x000D_
3  Now disconnect with CDN network and connect with you home network  _x000D_
4  Now click on any contents _x000D_
5  Observe that the application is crashed_x000D_
_x000D_
Exepected Result: The application should not crashed when user tries to access any contents in other network except CDN network  _x000D_
_x000D_
Actual Result: _x000D_
The application is crashing when user tries to access any contents in other network except CDN network _x000D_
  Priority: P1  </t>
  </si>
  <si>
    <t>commons-app-apps-android-commons-966</t>
  </si>
  <si>
    <t>Crash on clicking back from a failed media detail page</t>
  </si>
  <si>
    <t xml:space="preserve">I tried uploading an image which failed because of some reason  From the media detail view when i click the back arrow in the toolbar  the app crashes  _x000D_
_x000D_
   _x000D_
FATAL EXCEPTION: UploadService_x000D_
Process: fr free nrw commons  PID: 3801_x000D_
java lang SecurityException: Permission Denial: opening provider com android providers media MediaDocumentsProvider from ProcessRecord 2507df2 3801:fr free nrw commons u0a88  (pid 3801  uid 10088) requires android permission MANAGE DOCUMENTS or android permission MANAGE DOCUMENTS_x000D_
at android os Parcel readException(Parcel java:1599)_x000D_
at android os Parcel readException(Parcel java:1552)_x000D_
at android app ActivityManagerProxy getContentProvider(ActivityManagerNative java:3550)_x000D_
at android app ActivityThread acquireProvider(ActivityThread java:4778)_x000D_
at android app ContextImpl ApplicationContentResolver acquireUnstableProvider(ContextImpl java:2018)_x000D_
at android content ContentResolver acquireUnstableProvider(ContentResolver java:1468)_x000D_
at android content ContentResolver openTypedAssetFileDescriptor(ContentResolver java:1088)_x000D_
at android content ContentResolver openAssetFileDescriptor(ContentResolver java:942)_x000D_
at android content ContentResolver openInputStream(ContentResolver java:662)_x000D_
at fr free nrw commons upload UploadService uploadContribution(UploadService java:191)_x000D_
at fr free nrw commons upload UploadService handle(UploadService java:130)_x000D_
at fr free nrw commons upload UploadService handle(UploadService java:38)_x000D_
at fr free nrw commons HandlerService ServiceHandler handleMessage(HandlerService java:25)_x000D_
at android os Handler dispatchMessage(Handler java:102)_x000D_
at android os Looper loop(Looper java:148)_x000D_
at android os HandlerThread run(HandlerThread java:61)_x000D_
11 18 00:26:03 589 3801 3851 fr free nrw commons E Surface: getSlotFromBufferLocked: unknown buffer: 0xe02a27e0   </t>
  </si>
  <si>
    <t>ramack-ActivityDiary-41</t>
  </si>
  <si>
    <t>Crash on creation of an activity with existing name</t>
  </si>
  <si>
    <t>In case an activity is created but the name already exists  the app crashed instead of rejecting the name _x000D_
_x000D_
(should also check the other database constraints)</t>
  </si>
  <si>
    <t>Leo-App-android-14</t>
  </si>
  <si>
    <t>Klausurplan stürzt ab, wenn kein Filter verfügbar</t>
  </si>
  <si>
    <t xml:space="preserve">Wenn man den Klausurplan nach Stundenplan sortiert  aber keinen Stundenplan angegeben hat  crasht die App </t>
  </si>
  <si>
    <t>mehtank-androminion-494</t>
  </si>
  <si>
    <t>Viewing card description causes crash</t>
  </si>
  <si>
    <t>Nocturne pre alphas 1 and 2 both crash on my phone when I long press on any card to view its description  It does not happen on my tablet  both performed the same upgrade _x000D_
_x000D_
Errors txt says:_x000D_
_x000D_
2017 11 18 08:23:36 Version: 8 02 android content res Configuration setLocale com mehtank androminion ui CardView onLongClick(CardView java:727) com mehtank androminion ui GameTable onItemLongClick(GameTable java:1381) android widget AbsListView performLongPress(AbsListView java:2972) android widget AbsListView CheckForLongPress run(AbsListView java:2922) android os Handler handleCallback(Handler java:615) android os Handler dispatchMessage(Handler java:92) android os Looper loop(Looper java:137) android app ActivityThread main(ActivityThread java:4911) java lang reflect Method invokeNative(Native Method) java lang reflect Method invoke(Method java:511) com android internal os ZygoteInit MethodAndArgsCaller run(ZygoteInit java:790) com android internal os ZygoteInit main(ZygoteInit java:557) dalvik system NativeStart main(Native Method)</t>
  </si>
  <si>
    <t>niclabs-adkintunmobile-androidclient-185</t>
  </si>
  <si>
    <t>SpeedTestPreferenceFragment.java line 99</t>
  </si>
  <si>
    <t xml:space="preserve">     in cl niclabs adkintunmobile views activemeasurements viewfragments SpeedTestPreferenceFragment 3 handleActiveServers
  Number of crashes: 1
  Impacted devices: 1
There s a lot more information about this crash on crashlytics com:
 https:  fabric io niclabs android apps cl niclabs adkintunmobile issues 5a118ca461b02d480dc70dd8 utm medium service hooks github utm source issue impact (https:  fabric io niclabs android apps cl niclabs adkintunmobile issues 5a118ca461b02d480dc70dd8 utm medium service hooks github utm source issue impact)</t>
  </si>
  <si>
    <t>vijai1996-screenrecorder-32</t>
  </si>
  <si>
    <t>crash when editing video</t>
  </si>
  <si>
    <t>hey i have a problem and that is after building project when i try to edit the saved video  app crashesh on multiple devices (m above)</t>
  </si>
  <si>
    <t>hcbpassos-step-9</t>
  </si>
  <si>
    <t>App crashes when backs from ProfileActivity</t>
  </si>
  <si>
    <t xml:space="preserve">If I open my  ProfileActivity   then choose a follower following and tap back twice  returning to  MainActivity   app crashes _x000D_
_x000D_
 _x000D_
java lang IllegalStateException: Fragment ProfileFragment f1e2002  not attached to Activity_x000D_
                                                                         at android support v4 app Fragment getResources(Fragment java:646)_x000D_
                                                                         at com enoughspam step ui myprofile MyProfileAdapter 3 onAnswerRetrieved(MyProfileAdapter java:113)_x000D_
                                                                         at com enoughspam step database dao wide UserFollowerDAO 8 1 onObjectRetrieved(UserFollowerDAO java:405)_x000D_
                                                                         at com enoughspam step database dao wide UserFollowerDAO 8 1 onObjectRetrieved(UserFollowerDAO java:401)_x000D_
                                                                         at com enoughspam step database dao wide UserDAO 4 1 onChildAdded(UserDAO java:203)_x000D_
                                                                         at com google android gms internal zzdri zza(Unknown Source)_x000D_
                                                                         at com google android gms internal zzdwu zzbvb(Unknown Source)_x000D_
                                                                         at com google android gms internal zzdxa run(Unknown Source)_x000D_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t>
  </si>
  <si>
    <t>yashovardhan99-InstagramLayoutTest-8</t>
  </si>
  <si>
    <t>Random crashes while clicking photos</t>
  </si>
  <si>
    <t xml:space="preserve">With the commit ea7ddb60c5e837d9acea2c8a28c7ceb298121c43 in Unstable Beta branch  photos can be clicked using the camera button on the top left and they are saved in the gallery and added to the main central view _x000D_
However  if we try to click photos in landscape mode and then switch to portrait to click another photo  the app crashes and restarts _x000D_
Same goes for switching to landscape while clicking in portrait </t>
  </si>
  <si>
    <t>requery-requery-728</t>
  </si>
  <si>
    <t>Inconsistent INTEGER type mapping with raw queries (at least on Android)</t>
  </si>
  <si>
    <t xml:space="preserve">The same column of type INTEGER in raw query can be mapped to Long or to Integer _x000D_
_x000D_
The problem occurs because type mapping is stored in  Map  class  and the type mapping method:_x000D_
https:  github com requery requery blob 14a8ac29a4a97872878ae773fc8c96d3e7c10dbb requery src main java io requery sql GenericMapping java L249_x000D_
Just iterates through that map to get mapped type _x000D_
_x000D_
Types map looks like this:_x000D_
   _x000D_
0    AbstractMap SimpleEntry 8270   class java sql Timestamp      TIMESTAMP _x000D_
1    AbstractMap SimpleEntry 8271   class java lang Boolean      BOOLEAN _x000D_
2    AbstractMap SimpleEntry 8272   class java lang String      VARCHAR(255) _x000D_
3    AbstractMap SimpleEntry 8273   class java math BigDecimal      DECIMAL _x000D_
4    AbstractMap SimpleEntry 8274   float      FLOAT _x000D_
5    AbstractMap SimpleEntry 8275   class java lang Double      REAL _x000D_
6    AbstractMap SimpleEntry 8276   interface java sql Blob      BLOB _x000D_
7    AbstractMap SimpleEntry 8277   interface java sql Clob      CLOB _x000D_
8    AbstractMap SimpleEntry 8278   class java lang Byte      TINYINT _x000D_
9    AbstractMap SimpleEntry 8279   short      SMALLINT _x000D_
10    AbstractMap SimpleEntry 8280   class java lang Short      SMALLINT _x000D_
11    AbstractMap SimpleEntry 8281   class  B      VARBINARY(null) _x000D_
12    AbstractMap SimpleEntry 8282   class java sql Date      DATE _x000D_
13    AbstractMap SimpleEntry 8283   int      INTEGER _x000D_
14    AbstractMap SimpleEntry 8284   class java lang Integer      INTEGER _x000D_
15    AbstractMap SimpleEntry 8285   class java lang Long      INTEGER _x000D_
16    AbstractMap SimpleEntry 8286   boolean      BOOLEAN _x000D_
17    AbstractMap SimpleEntry 8287   class java lang Float      FLOAT _x000D_
18    AbstractMap SimpleEntry 8288   long      INTEGER _x000D_
19    AbstractMap SimpleEntry 8289   byte      TINYINT _x000D_
20    AbstractMap SimpleEntry 8290   class java sql Time      TIME _x000D_
21    AbstractMap SimpleEntry 8291   double      REAL _x000D_
22    AbstractMap SimpleEntry 8292   class java util Date      DATE _x000D_
   _x000D_
So  you see   SQL INTEGER type corresponds to Long and to Integer java types _x000D_
_x000D_
As  Map  does not guarantee consistent iteration order  we get different results in different situations   at least  the same code on API 22 returns Integer  while on API 19   Long  Maybe there are other factors _x000D_
_x000D_
So it s impossible to use raw queries with  Long  or  Integer  fields   app just crashes because of incompatible types _x000D_
_x000D_
P S  for now my work around was to use custom Mapping class </t>
  </si>
  <si>
    <t>dimagi-commcare-android-1890</t>
  </si>
  <si>
    <t>Fixes NPE in AlertDialog after process kill</t>
  </si>
  <si>
    <t xml:space="preserve">Case: https:  manage dimagi com default asp 265664 1422233_x000D_
Crash: https:  fabric io dimagi android apps org commcare dalvik issues 59d3443bbe077a4dcca9ffff time last thirty days_x000D_
_x000D_
 amstone326 The reason behind this crash wasn t configuration change as it was working properly on rotaion but Android killing the process(Both Activity and Fragment) in case of low memory conditions  I was able to reproduce it by following  ctsims protip on turning the  Don t keep Activities  developer options on and then leaving the activity when AlertDialog is open and returning to it   _x000D_
_x000D_
I am now dismissing these dialogues safely when such a case surfaces so that user can atleast access the corresponding activity  Though if we see value in retaining these dialogues in such cases we will need a way to recreate these dialogues whenever it happens  </t>
  </si>
  <si>
    <t>alhazmy13-MediaPicker-40</t>
  </si>
  <si>
    <t>Crash on API 27</t>
  </si>
  <si>
    <t xml:space="preserve">The library crashes on API 27 (Android 8 1) because of the launched activity requesting orientation with a translucent theme  which is not allowed now _x000D_
_x000D_
   _x000D_
Caused by: java lang IllegalStateException: Only fullscreen opaque activities can request orientation_x000D_
    at android app Activity onCreate(Activity java:987)_x000D_
    at android support v4 app SupportActivity onCreate(SupportActivity java:66)_x000D_
    at android support v4 app FragmentActivity onCreate(FragmentActivity java:297)_x000D_
    at android support v7 app AppCompatActivity onCreate(AppCompatActivity java:84)_x000D_
    at net alhazmy13 mediapicker Video VideoActivity onCreate(VideoActivity java:54)_x000D_
   </t>
  </si>
  <si>
    <t>nextcloud-android-1800</t>
  </si>
  <si>
    <t>Search in move/copy dialog crashes</t>
  </si>
  <si>
    <t xml:space="preserve">  move   copy file_x000D_
  search something_x000D_
  app is crashing_x000D_
_x000D_
The search result is tried to be shown in FileDisplayActivity as this is the normal way to show server side search results _x000D_
</t>
  </si>
  <si>
    <t>michael-rapp-AndroidMaterialPreferences-16</t>
  </si>
  <si>
    <t>android.view.InflateException in EditTextPreference</t>
  </si>
  <si>
    <t xml:space="preserve">Hi  thanks for the great library  I use it in several of my apps  I am running into a peculiar issue a few users have reported on Samsung Galaxy Tabs running Android 4 4 with the EditTextPreference  The app crashes as soon as the EditTextPreference is opened  I can t reproduce it myself  but is it possible to at least catch the error  Let me know if any more information is needed  thanks  _x000D_
_x000D_
 android view InflateException: _x000D_
  at android view LayoutInflater createView (LayoutInflater java:626)_x000D_
  at android view LayoutInflater createViewFromTag (LayoutInflater java:702)_x000D_
  at android view LayoutInflater inflate (LayoutInflater java:470)_x000D_
  at android view LayoutInflater inflate (LayoutInflater java:398)_x000D_
  at android view LayoutInflater inflate (LayoutInflater java:354)_x000D_
  at android view View inflate (View java:18457)_x000D_
  at de mrapp android preference EditTextPreference onPrepareDialog (EditTextPreference java:346)_x000D_
  at de mrapp android preference DialogPreference showDialog (DialogPreference java:1001)_x000D_
  at de mrapp android preference DialogPreference onClick (DialogPreference java:2161)_x000D_
  at android preference Preference performClick (Preference java:1052)_x000D_
  at android preference PreferenceScreen onItemClick (PreferenceScreen java:229)_x000D_
  at android widget AdapterView performItemClick (AdapterView java:308)_x000D_
  at android widget AbsListView performItemClick (AbsListView java:1509)_x000D_
  at android widget AbsListView PerformClick run (AbsListView java:3471)_x000D_
  at android widget AbsListView onTouchUp (AbsListView java:4849)_x000D_
  at android widget AbsListView onTouchEvent (AbsListView java:4609)_x000D_
  at android view View dispatchTouchEvent (View java:8135)_x000D_
  at android view ViewGroup dispatchTransformedTouchEvent (ViewGroup java:2425)_x000D_
  at android view ViewGroup dispatchTouchEvent (ViewGroup java:2149)_x000D_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android view ViewGroup dispatchTransformedTouchEvent (ViewGroup java:2431)_x000D_
  at android view ViewGroup dispatchTouchEvent (ViewGroup java:2164)_x000D_
  at com android internal policy impl PhoneWindow DecorView superDispatchTouchEvent (PhoneWindow java:2295)_x000D_
  at com android internal policy impl PhoneWindow superDispatchTouchEvent (PhoneWindow java:1622)_x000D_
  at android app Activity dispatchTouchEvent (Activity java:2565)_x000D_
  at android support v7 view WindowCallbackWrapper dispatchTouchEvent (WindowCallbackWrapper java:68)_x000D_
  at android support v7 view WindowCallbackWrapper dispatchTouchEvent (WindowCallbackWrapper java:68)_x000D_
  at com android internal policy impl PhoneWindow DecorView dispatchTouchEvent (PhoneWindow java:2243)_x000D_
  at android view View dispatchPointerEvent (View java:8343)_x000D_
  at android view ViewRootImpl ViewPostImeInputStage processPointerEvent (ViewRootImpl java:4768)_x000D_
  at android view ViewRootImpl ViewPostImeInputStage onProcess (ViewRootImpl java:4634)_x000D_
  at android view ViewRootImpl InputStage deliver (ViewRootImpl java:4192)_x000D_
  at android view ViewRootImpl InputStage onDeliverToNext (ViewRootImpl java:4246)_x000D_
  at android view ViewRootImpl InputStage forward (ViewRootImpl java:4215)_x000D_
  at android view ViewRootImpl AsyncInputStage forward (ViewRootImpl java:4326)_x000D_
  at android view ViewRootImpl InputStage apply (ViewRootImpl java:4223)_x000D_
  at android view ViewRootImpl AsyncInputStage apply (ViewRootImpl java:4383)_x000D_
  at android view ViewRootImpl InputStage deliver (ViewRootImpl java:4192)_x000D_
  at android view ViewRootImpl InputStage onDeliverToNext (ViewRootImpl java:4246)_x000D_
  at android view ViewRootImpl InputStage forward (ViewRootImpl java:4215)_x000D_
  at android view ViewRootImpl InputStage apply (ViewRootImpl java:4223)_x000D_
  at android view ViewRootImpl InputStage deliver (ViewRootImpl java:4192)_x000D_
  at android view ViewRootImpl deliverInputEvent (ViewRootImpl java:6557)_x000D_
  at android view ViewRootImpl doProcessInputEvents (ViewRootImpl java:6474)_x000D_
  at android view ViewRootImpl enqueueInputEvent (ViewRootImpl java:6445)_x000D_
  at android view ViewRootImpl enqueueInputEvent (ViewRootImpl java:6410)_x000D_
  at android view ViewRootImpl WindowInputEventReceiver onInputEvent (ViewRootImpl java:6637)_x000D_
  at android view InputEventReceiver dispatchInputEvent (InputEventReceiver java:185)_x000D_
  at android os MessageQueue nativePollOnce (Native Method)_x000D_
  at android os MessageQueue next (MessageQueue java:138)_x000D_
  at android os Looper loop (Looper java:131)_x000D_
  at android app ActivityThread main (ActivityThread java:5602)_x000D_
  at java lang reflect Method invokeNative (Native Method)_x000D_
  at java lang reflect Method invoke (Method java:515)_x000D_
  at com android internal os ZygoteInit MethodAndArgsCaller run (ZygoteInit java:1283)_x000D_
  at com android internal os ZygoteInit main (ZygoteInit java:1099)_x000D_
  at dalvik system NativeStart main (Native Method)_x000D_
Caused by: java lang reflect InvocationTargetException: _x000D_
  at java lang reflect Constructor constructNative (Native Method)_x000D_
  at java lang reflect Constructor newInstance (Constructor java:423)_x000D_
  at android view LayoutInflater createView (LayoutInflater java:600) </t>
  </si>
  <si>
    <t>Sw24Softwares-StarkeVerben-12</t>
  </si>
  <si>
    <t>Crash when opening TestActivity</t>
  </si>
  <si>
    <t>A crash is happening when TestActivity is opened_x000D_
_x000D_
Log : _x000D_
11 21 21:43:42 588 19838 19838 E AndroidRuntime: FATAL EXCEPTION: main_x000D_
11 21 21:43:42 588 19838 19838 E AndroidRuntime: Process: org sw24softwares starkeverben  PID: 19838_x000D_
11 21 21:43:42 588 19838 19838 E AndroidRuntime: java lang RuntimeException: Unable to start activity ComponentInfo org sw24softwares starkeverben org sw24softwares starkeverben TestActivity : java lang ArrayIndexOutOfBoundsException: Array index out of range: 4_x000D_
11 21 21:43:42 588 19838 19838 E AndroidRuntime: 	at android app ActivityThread performLaunchActivity(ActivityThread java:2699)_x000D_
11 21 21:43:42 588 19838 19838 E AndroidRuntime: 	at android app ActivityThread handleLaunchActivity(ActivityThread java:2766)_x000D_
11 21 21:43:42 588 19838 19838 E AndroidRuntime: 	at android app ActivityThread  wrap12(ActivityThread java)_x000D_
11 21 21:43:42 588 19838 19838 E AndroidRuntime: 	at android app ActivityThread H handleMessage(ActivityThread java:1507)_x000D_
11 21 21:43:42 588 19838 19838 E AndroidRuntime: 	at android os Handler dispatchMessage(Handler java:102)_x000D_
11 21 21:43:42 588 19838 19838 E AndroidRuntime: 	at android os Looper loop(Looper java:154)_x000D_
11 21 21:43:42 588 19838 19838 E AndroidRuntime: 	at android app ActivityThread main(ActivityThread java:6236)_x000D_
11 21 21:43:42 588 19838 19838 E AndroidRuntime: 	at java lang reflect Method invoke(Native Method)_x000D_
11 21 21:43:42 588 19838 19838 E AndroidRuntime: 	at com android internal os ZygoteInit MethodAndArgsCaller run(ZygoteInit java:891)_x000D_
11 21 21:43:42 588 19838 19838 E AndroidRuntime: 	at com android internal os ZygoteInit main(ZygoteInit java:781)_x000D_
11 21 21:43:42 588 19838 19838 E AndroidRuntime: Caused by: java lang ArrayIndexOutOfBoundsException: Array index out of range: 4_x000D_
11 21 21:43:42 588 19838 19838 E AndroidRuntime: 	at java util Vector get(Vector java:748)_x000D_
11 21 21:43:42 588 19838 19838 E AndroidRuntime: 	at org sw24softwares starkeverben TestActivity onCreate(TestActivity java:63)_x000D_
11 21 21:43:42 588 19838 19838 E AndroidRuntime: 	at android app Activity performCreate(Activity java:6684)_x000D_
11 21 21:43:42 588 19838 19838 E AndroidRuntime: 	at android app Instrumentation callActivityOnCreate(Instrumentation java:1119)_x000D_
11 21 21:43:42 588 19838 19838 E AndroidRuntime: 	at android app ActivityThread performLaunchActivity(ActivityThread java:2652)_x000D_
11 21 21:43:42 588 19838 19838 E AndroidRuntime: 	    9 more_x000D_
_x000D_
This happens with the rebuild of the back : 5687131f44c07c8583a6f0c97f7a1d5d048fd38d</t>
  </si>
  <si>
    <t>tanrabad-survey-43</t>
  </si>
  <si>
    <t xml:space="preserve">     in org tanrabad survey presenter PlaceNearbyListFragment 3 run
  Number of crashes: 1
  Impacted devices: 1
There s a lot more information about this crash on crashlytics com:
 https:  fabric io tanrabad android apps org tanrabad survey issues 5a15361461b02d480dfc2a0f utm medium service hooks github utm source issue impact (https:  fabric io tanrabad android apps org tanrabad survey issues 5a15361461b02d480dfc2a0f utm medium service hooks github utm source issue impact)</t>
  </si>
  <si>
    <t>Cleveroad-AdaptiveTableLayout-20</t>
  </si>
  <si>
    <t>Crash while switching rows using the adapter which subcalsses BaseDataAdaptiveTableLayoutAdapter</t>
  </si>
  <si>
    <t xml:space="preserve">My code is as follows _x000D_
_x000D_
    static class MyAdapter extends_x000D_
            BaseDataAdaptiveTableLayoutAdapter MyAdapter ViewHolder   _x000D_
         Override_x000D_
        protected Object     getItems()  _x000D_
            return cells _x000D_
         _x000D_
_x000D_
         Override_x000D_
        public void onBindViewHolder(ViewHolder viewHolder  int row  int column)  _x000D_
            viewHolder text setText(cells row  column ) _x000D_
         _x000D_
_x000D_
           other codes   _x000D_
     _x000D_
_x000D_
It works well when dragging is not involved _x000D_
When switching columns  the app doesn t crash _x000D_
But if rows are switched  it crashes _x000D_
_x000D_
I found the following code in the library:_x000D_
_x000D_
    void switchTwoRows(int rowIndex  int rowToIndex)  _x000D_
        for (int i   0  i   getItems() length  i  )  _x000D_
            Object cellData   getItems() rowToIndex  i  _x000D_
            getItems() rowToIndex  i    getItems() rowIndex  i  _x000D_
            getItems() rowIndex  i    cellData _x000D_
         _x000D_
     _x000D_
_x000D_
I think  getItems() length  should not be used here  It just gives number of rows of my data   _x000D_
It should be something like  getColumnCount()   1  _x000D_
Is it my misunderstanding _x000D_
Any comment is appreciate </t>
  </si>
  <si>
    <t>zeevy-grblcontroller-7</t>
  </si>
  <si>
    <t>JoggingTabFragment.java line 389 | Fragment d{2927552} not attached to Activity</t>
  </si>
  <si>
    <t xml:space="preserve">     in in co gorest grblcontroller ui JoggingTabFragment sendJogCommand_x000D_
_x000D_
Device: Infinix X572_x000D_
OS Version: 7 0_x000D_
_x000D_
Fatal Exception: java lang IllegalStateException: Fragment d 2927552  not attached to Activity_x000D_
_x000D_
 in co gorest grblcontroller issue 41 crash txt (https:  github com zeevy grblcontroller files 1505508 in co gorest grblcontroller issue 41 crash txt)_x000D_
_x000D_
</t>
  </si>
  <si>
    <t>MCMrARM-revolution-irc-43</t>
  </si>
  <si>
    <t>Crashes master-issue (0.3.1)</t>
  </si>
  <si>
    <t>This is a master issue for random crashes for I have collected on Google Play that have no actual issues opened yet _x000D_
_x000D_
_x000D_
      ChannelData addMessage crash (from JoinCommandHandler  QuitCommandHandler  PartCommandHandler)_x000D_
   _x000D_
java lang RuntimeException: _x000D_
  at io mrarm chatlib irc ChannelData addMessage (ChannelData java:243)_x000D_
  at io mrarm chatlib irc ChannelData addMessage (ChannelData java:252)_x000D_
  at io mrarm chatlib irc handlers JoinCommandHandler handle (JoinCommandHandler java:36)_x000D_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java:761)_x000D_
Caused by: java util concurrent ExecutionException: _x000D_
  at java util concurrent FutureTask report (FutureTask java:94)_x000D_
  at java util concurrent FutureTask get (FutureTask java:164)_x000D_
  at io mrarm chatlib irc ChannelData addMessage (ChannelData java:241)_x000D_
   _x000D_
 details  summary Other similar crashes  summary  p _x000D_
_x000D_
   _x000D_
java lang RuntimeException: _x000D_
  at io mrarm chatlib irc ChannelData addMessage (ChannelData java:243)_x000D_
  at io mrarm chatlib irc ChannelData addMessage (ChannelData java:252)_x000D_
  at io mrarm chatlib irc handlers QuitCommandHandler handle (QuitCommandHandler java:32)_x000D_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java:761)_x000D_
Caused by: java util concurrent ExecutionException: _x000D_
  at java util concurrent FutureTask report (FutureTask java:94)_x000D_
  at java util concurrent FutureTask get (FutureTask java:164)_x000D_
  at io mrarm chatlib irc ChannelData addMessage (ChannelData java:241)_x000D_
   _x000D_
_x000D_
   _x000D_
java lang RuntimeException: _x000D_
  at io mrarm chatlib irc ChannelData addMessage (ChannelData java:243)_x000D_
  at io mrarm chatlib irc ChannelData addMessage (ChannelData java:252)_x000D_
  at io mrarm chatlib irc handlers PartCommandHandler handle (PartCommandHandler java:37)_x000D_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java:761)_x000D_
Caused by: java util concurrent ExecutionException: _x000D_
  at java util concurrent FutureTask report (FutureTask java:94)_x000D_
  at java util concurrent FutureTask get (FutureTask java:164)_x000D_
  at io mrarm chatlib irc ChannelData addMessage (ChannelData java:241)_x000D_
   _x000D_
_x000D_
   _x000D_
java lang RuntimeException: _x000D_
  at io mrarm chatlib irc filters ZNCPlaybackMessageFilter onBatchEnd (ZNCPlaybackMessageFilter java:78)_x000D_
  at io mrarm chatlib irc cap BatchCapability handle (BatchCapability java:60)_x000D_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java:761)_x000D_
Caused by: java util concurrent ExecutionException: _x000D_
  at java util concurrent FutureTask report (FutureTask java:94)_x000D_
  at java util concurrent FutureTask get (FutureTask java:164)_x000D_
  at io mrarm chatlib irc filters ZNCPlaybackMessageFilter onBatchEnd (ZNCPlaybackMessageFilter java:76)_x000D_
   _x000D_
_x000D_
  p   details _x000D_
 br _x000D_
_x000D_
_x000D_
   x    mChannelsListeners java util ConcurrentModificationException   (fixed with https:  github com MCMrARM revolution irc commit b97696b0c8463b04e4dbc41aad8d2c39771dc260)_x000D_
   details  summary Crash  summary  p _x000D_
_x000D_
     _x000D_
  java util ConcurrentModificationException: _x000D_
    at java util ArrayList Itr next (ArrayList java:831)_x000D_
    at io mrarm irc ServerConnectionInfo setChannels (ServerConnectionInfo java:306)_x000D_
    at io mrarm irc ServerConnectionInfo 1 onChannelListChanged (ServerConnectionInfo java:76)_x000D_
    at io mrarm chatlib irc ServerConnectionData onChannelJoined (ServerConnectionData java:118)_x000D_
    at io mrarm chatlib irc handlers JoinCommandHandler handle (JoinCommandHandler java:26)_x000D_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java:761)_x000D_
     _x000D_
_x000D_
    p   details  br _x000D_
_x000D_
   x    NamesReplyCommandHandler    ChannelData setMembers   (fixed with https:  github com MCMrARM chatlib commit ba600971ec050d224911771d2a7f6faccc58957d)_x000D_
   details  summary Crash  summary  p _x000D_
_x000D_
     _x000D_
  java lang NullPointerException: _x000D_
    at io mrarm chatlib irc ChannelData setMembers (ChannelData java:117)_x000D_
    at io mrarm chatlib irc handlers NamesReplyCommandHandler handle (NamesReplyCommandHandler java:72)_x000D_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java:761)_x000D_
     _x000D_
    p   details  br _x000D_
_x000D_
   x    NoSuchChannelException from QuitCommandHandler   (fixed with https:  github com MCMrARM chatlib commit 8928d083646b9c0b2dfb4313472f8d04615c76a5)_x000D_
   details  summary Crash  summary  p _x000D_
_x000D_
     _x000D_
  java lang RuntimeException: _x000D_
    at io mrarm chatlib irc handlers QuitCommandHandler handle (QuitCommandHandler java:35)_x000D_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java:761)_x000D_
  Caused by: io mrarm chatlib NoSuchChannelException: _x000D_
    at io mrarm chatlib irc ServerConnectionData getJoinedChannelData (ServerConnectionData java:94)_x000D_
    at io mrarm chatlib irc handlers QuitCommandHandler handle (QuitCommandHandler java:30)_x000D_
     _x000D_
    p   details  br _x000D_
_x000D_
_x000D_
   x    ChannelData removeMember from PartCommandHandler   (fixed with https:  github com MCMrARM chatlib commit 74be4ca7cf6bdc37624329c831ff694d3256a9a9)_x000D_
   details  summary Crash  summary  p _x000D_
_x000D_
     _x000D_
  java lang NullPointerException: _x000D_
    at io mrarm chatlib irc ChannelData removeMember (ChannelData java:100)_x000D_
    at io mrarm chatlib irc handlers PartCommandHandler handle (PartCommandHandler java:36)_x000D_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java:762)_x000D_
     _x000D_
    p   details  br _x000D_
_x000D_
_x000D_
   x    UserBottomSheetDialog message button crash   (fixed with https:  github com MCMrARM revolution irc commit d66d2a07f14df1b7de9e1213ccc63c6c64c7b95d)_x000D_
   details  summary Crash  summary  p _x000D_
_x000D_
     _x000D_
  java lang NullPointerException: _x000D_
    at io mrarm irc dialog UserBottomSheetDialog lambda create 4 UserBottomSheetDialog (UserBottomSheetDialog java:149)_x000D_
    at io mrarm irc dialog UserBottomSheetDialog  Lambda 1 onClick (Unknown Source)_x000D_
    at android view View performClick (View java:5669)_x000D_
    at android view View PerformClick run (View java:22549)_x000D_
    at android os Handler handleCallback (Handler java:751)_x000D_
    at android os Handler dispatchMessage (Handler java:95)_x000D_
    at android os Looper loop (Looper java:154)_x000D_
    at android app ActivityThread main (ActivityThread java:6290)_x000D_
    at java lang reflect Method invoke (Native Method)_x000D_
    at com android internal os ZygoteInit MethodAndArgsCaller run (ZygoteInit java:886)_x000D_
    at com android internal os ZygoteInit main (ZygoteInit java:776)_x000D_
     _x000D_
    p   details  br _x000D_
_x000D_
_x000D_
   x    Finalizer crash   (fixed with https:  github com MCMrARM revolution irc commit c72d7c95c15add73ee65ec3f97deb31091284a8b)_x000D_
   details  summary Crash  summary  p _x000D_
_x000D_
     _x000D_
  java util concurrent TimeoutException: _x000D_
    at java lang Object wait (Native Method)_x000D_
    at io mrarm irc util SettableFuture get (SettableFuture java:36)_x000D_
    at io mrarm irc config NotificationCountStorage close (NotificationCountStorage java:80)_x000D_
    at io mrarm irc config NotificationCountStorage finalize (NotificationCountStorage java:89)_x000D_
    at java lang Daemons FinalizerDaemon doFinalize (Daemons java:222)_x000D_
    at java lang Daemons FinalizerDaemon run (Daemons java:209)_x000D_
    at java lang Thread run (Thread java:761)_x000D_
     _x000D_
     _x000D_
  java util concurrent TimeoutException: _x000D_
    at java lang Object wait (Native Method)_x000D_
    at io mrarm irc util SettableFuture get (SettableFuture java:36)_x000D_
    at io mrarm irc config NotificationCountStorage close (NotificationCountStorage java:80)_x000D_
    at io mrarm irc config NotificationCountStorage finalize (NotificationCountStorage java:89)_x000D_
    at java lang Daemons FinalizerDaemon doFinalize (Daemons java:250)_x000D_
    at java lang Daemons FinalizerDaemon runInternal (Daemons java:237)_x000D_
    at java lang Daemons Daemon run (Daemons java:103)_x000D_
    at java lang Thread run (Thread java:764)_x000D_
     _x000D_
    p   details  br _x000D_
_x000D_
_x000D_
   x    MessageCommandHandler parameter out of bounds exception   (fixed with https:  github com MCMrARM chatlib commit bf243a260da1d09bb921cd7634e30d1116f8c317)_x000D_
   details  summary Crash  summary  p _x000D_
_x000D_
     _x000D_
  java lang IndexOutOfBoundsException: _x000D_
    at java util ArrayList throwIndexOutOfBoundsException (ArrayList java:255)_x000D_
    at java util ArrayList get (ArrayList java:308)_x000D_
    at io mrarm chatlib irc handlers MessageCommandHandler handle (MessageCommandHandler java:46)_x000D_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java:818)_x000D_
     _x000D_
    p   details  br _x000D_
_x000D_
_x000D_
   x    WelcomeCommandHandler parameter out of bounds exception   (fixed with https:  github com MCMrARM chatlib commit bf243a260da1d09bb921cd7634e30d1116f8c317)_x000D_
   details  summary Crash  summary  p _x000D_
_x000D_
     _x000D_
  java lang IndexOutOfBoundsException: _x000D_
    at java util ArrayList throwIndexOutOfBoundsException (ArrayList java:255)_x000D_
    at java util ArrayList get (ArrayList java:308)_x000D_
    at io mrarm chatlib irc handlers WelcomeCommandHandler handle (WelcomeCommandHandler java:43)_x000D_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java:848)_x000D_
     _x000D_
    p   details  br _x000D_
_x000D_
_x000D_
   x    SQLiteMessageStorageApi open NPE   (fixed with https:  github com MCMrARM revolution irc commit 74ecca3c14ddd0dd94bd1743f0a9179192a1e665)_x000D_
_x000D_
   details  summary Crash  summary  p _x000D_
_x000D_
     _x000D_
  java lang RuntimeException: _x000D_
    at android app ActivityThread performLaunchActivity (ActivityThread java:2678)_x000D_
    at android app ActivityThread handleLaunchActivity (ActivityThread java:2743)_x000D_
    at android app ActivityThread  wrap12 (ActivityThread java)_x000D_
    at android app ActivityThread H handleMessage (ActivityThread java:1490)_x000D_
    at android os Handler dispatchMessage (Handler java:102)_x000D_
    at android os Looper loop (Looper java:154)_x000D_
    at android app ActivityThread main (ActivityThread java:6165)_x000D_
    at java lang reflect Method invoke (Native Method)_x000D_
    at com android internal os ZygoteInit MethodAndArgsCaller run (ZygoteInit java:888)_x000D_
    at com android internal os ZygoteInit main (ZygoteInit java:778)_x000D_
  Caused by: java lang NullPointerException: _x000D_
    at io mrarm chatlib android storage SQLiteMessageStorageApi open (SQLiteMessageStorageApi java:89)_x000D_
    at io mrarm chatlib android storage SQLiteMessageStorageApi  init  (SQLiteMessageStorageApi java:45)_x000D_
    at io mrarm irc ServerConnectionInfo connect (ServerConnectionInfo java:111)_x000D_
    at io mrarm irc ServerConnectionManager createConnection (ServerConnectionManager java:196)_x000D_
    at io mrarm irc ServerConnectionManager  init  (ServerConnectionManager java:84)_x000D_
    at io mrarm irc ServerConnectionManager getInstance (ServerConnectionManager java:51)_x000D_
    at io mrarm irc MainActivity onCreate (MainActivity java:62)_x000D_
    at android app Activity performCreate (Activity java:6687)_x000D_
    at android app Instrumentation callActivityOnCreate (Instrumentation java:1140)_x000D_
    at android app ActivityThread performLaunchActivity (ActivityThread java:2631)_x000D_
      _x000D_
_x000D_
     _x000D_
  java lang RuntimeException: _x000D_
    at android app ActivityThread handleCreateService (ActivityThread java)_x000D_
    at android app ActivityThread access 2000 (ActivityThread java)_x000D_
    at android app ActivityThread H handleMessage (ActivityThread java)_x000D_
    at android os Handler dispatchMessage (Handler java)_x000D_
    at android os Looper loop (Looper java)_x000D_
    at android app ActivityThread main (ActivityThread java)_x000D_
    at java lang reflect Method invoke (Native Method)_x000D_
    at com android internal os ZygoteInit MethodAndArgsCaller run (ZygoteInit java)_x000D_
    at com android internal os ZygoteInit main (ZygoteInit java)_x000D_
  Caused by: java lang NullPointerException: _x000D_
    at io mrarm chatlib android storage SQLiteMessageStorageApi open (SQLiteMessageStorageApi java:89)_x000D_
    at io mrarm chatlib android storage SQLiteMessageStorageApi  init  (SQLiteMessageStorageApi java:45)_x000D_
    at io mrarm irc ServerConnectionInfo connect (ServerConnectionInfo java:111)_x000D_
    at io mrarm irc ServerConnectionManager createConnection (ServerConnectionManager java:196)_x000D_
    at io mrarm irc ServerConnectionManager  init  (ServerConnectionManager java:84)_x000D_
    at io mrarm irc ServerConnectionManager getInstance (ServerConnectionManager java:51)_x000D_
    at io mrarm irc ChatLogStorageManager  init  (ChatLogStorageManager java:60)_x000D_
    at io mrarm irc ChatLogStorageManager getInstance (ChatLogStorageManager java:44)_x000D_
    at io mrarm irc IRCService onCreate (IRCService java:50)_x000D_
     _x000D_
    p   details  br _x000D_
_x000D_
_x000D_
   x    ModeCommandHandler addMode NPE   (fixed with https:  github com MCMrARM chatlib commit 3dea12d539fbf5d5109039d138a5bd92d4f1bbdf)_x000D_
_x000D_
   details  summary Crash  summary  p _x000D_
_x000D_
     _x000D_
  java lang NullPointerException: _x000D_
    at io mrarm chatlib irc handlers ModeCommandHandler addMode (ModeCommandHandler java:112)_x000D_
    at io mrarm chatlib irc handlers ModeCommandHandler handleChannelModes (ModeCommandHandler java:64)_x000D_
    at io mrarm chatlib irc handlers ModeCommandHandler handle (ModeCommandHandler java:35)_x000D_
    at io mrarm chatlib irc MessageHandler handleLine (MessageHandler java:50)_x000D_
    at io mrarm chatlib irc IRCConnection handleInput (IRCConnection java:112)_x000D_
    at io mrarm chatlib irc IRCConnection bridge lambda 0 IRCConnection (IRCConnection java)_x000D_
    at io mrarm chatlib irc IRCConnection  Lambda 9 run (Unknown Source)_x000D_
    at java lang Thread run (Thread java:762)_x000D_
     _x000D_
    p   details  br _x000D_
_x000D_
_x000D_
   x    ChatMessagesAdapter clearSelection NPE   (fixed with https:  github com MCMrARM revolution irc commit b6a52705fe44c7ce81fc8aac1534af789f163c3f)_x000D_
_x000D_
   details  summary Crash  summary  p _x000D_
_x000D_
     _x000D_
  java lang NullPointerException: _x000D_
    at io mrarm irc chat ChatMessagesAdapter clearSelection (ChatMessagesAdapter java:85)_x000D_
    at io mrarm irc chat ChatMessagesFragment MessagesActionModeCallback onDestroyActionMode (ChatMessagesFragment java:460)_x000D_
    at android support v7 app AppCompatDelegateImplV9 ActionModeCallbackWrapperV9 onDestroyActionMode (AppCompatDelegateImplV9 java:1796)_x000D_
    at android support v7 view StandaloneActionMode finish (StandaloneActionMode java:110)_x000D_
    at android support v7 widget ActionBarContextView 1 onClick (ActionBarContextView java:172)_x000D_
    at android view View performClick (View java:5617)_x000D_
    at android view View PerformClick run (View java:22271)_x000D_
    at android os Handler handleCallback (Handler java:751)_x000D_
    at android os Handler dispatchMessage (Handler java:95)_x000D_
    at android os Looper loop (Looper java:154)_x000D_
    at android app ActivityThread main (ActivityThread java:6153)_x000D_
    at java lang reflect Method invoke (Native Method)_x000D_
    at com android internal os ZygoteInit MethodAndArgsCaller run (ZygoteInit java:868)_x000D_
    at com android internal os ZygoteInit main (ZygoteInit java:758)_x000D_
     _x000D_
_x000D_
     _x000D_
  java lang NullPointerException: _x000D_
    at io mrarm irc chat ChatMessagesAdapter clearSelection (ChatMessagesAdapter java:85)_x000D_
    at io mrarm irc chat ChatMessagesFragment MessagesActionModeCallback onDestroyActionMode (ChatMessagesFragment java:460)_x000D_
    at android support v7 app AppCompatDelegateImplV9 ActionModeCallbackWrapperV9 onDestroyActionMode (AppCompatDelegateImplV9 java:1796)_x000D_
    at android support v7 view StandaloneActionMode finish (StandaloneActionMode java:110)_x000D_
    at android support v7 app AppCompatDelegateImplV9 onBackPressed (AppCompatDelegateImplV9 java:889)_x000D_
    at android support v7 app AppCompatDelegateImplV9 onKeyUp (AppCompatDelegateImplV9 java:975)_x000D_
    at android support v7 app AppCompatDelegateImplV9 dispatchKeyEvent (AppCompatDelegateImplV9 java:953)_x000D_
    at android support v7 app AppCompatDelegateImplBase AppCompatWindowCallbackBase dispatchKeyEvent (AppCompatDelegateImplBase java:315)_x000D_
    at android support v7 view WindowCallbackWrapper dispatchKeyEvent (WindowCallbackWrapper java:58)_x000D_
    at com android internal policy DecorView dispatchKeyEvent (DecorView java:351)_x000D_
    at android view ViewRootImpl ViewPostImeInputStage processKeyEvent (ViewRootImpl java:4714)_x000D_
    at android view ViewRootImpl ViewPostImeInputStage onProcess (ViewRootImpl java:4586)_x000D_
    at android view ViewRootImpl InputStage deliver (ViewRootImpl java:4128)_x000D_
    at android view ViewRootImpl InputStage onDeliverToNext (ViewRootImpl java:4181)_x000D_
    at android view ViewRootImpl InputStage forward (ViewRootImpl java:4147)_x000D_
    at android view ViewRootImpl AsyncInputStage forward (ViewRootImpl java:4274)_x000D_
    at android view ViewRootImpl InputStage apply (ViewRootImpl java:4155)_x000D_
    at android view ViewRootImpl AsyncInputStage apply (ViewRootImpl java:4331)_x000D_
    at android view ViewRootImpl InputStage deliver (ViewRootImpl java:4128)_x000D_
    at android view ViewRootImpl InputStage onDeliverToNext (ViewRootImpl java:4181)_x000D_
    at android view ViewRootImpl InputStage forward (ViewRootImpl java:4147)_x000D_
    at android view ViewRootImpl InputStage apply (ViewRootImpl java:4155)_x000D_
    at android view ViewRootImpl InputStage deliver (ViewRootImpl java:4128)_x000D_
    at android view ViewRootImpl InputStage onDeliverToNext (ViewRootImpl java:4181)_x000D_
    at android view ViewRootImpl InputStage forward (ViewRootImpl java:4147)_x000D_
    at android view ViewRootImpl AsyncInputStage forward (ViewRootImpl java:4307)_x000D_
    at android view ViewRootImpl ImeInputStage onFinishedInputEvent (ViewRootImpl java:4468)_x000D_
    at android view inputmethod InputMethodManager PendingEvent run (InputMethodManager java:2435)_x000D_
    at android view inputmethod InputMethodManager invokeFinishedInputEventCallback (InputMethodManager java:1998)_x000D_
    at android view inputmethod InputMethodManager finishedInputEvent (InputMethodManager java:1989)_x000D_
    at android view inputmethod InputMethodManager ImeInputEventSender onInputEventFinished (InputMethodManager java:2412)_x000D_
    at android view InputEventSender dispatchInputEventFinished (InputEventSender java:141)_x000D_
    at android os MessageQueue nativePollOnce (Native Method)_x000D_
    at android os MessageQueue next (MessageQueue java:325)_x000D_
    at android os Looper loop (Looper java:142)_x000D_
    at android app ActivityThread main (ActivityThread java:6541)_x000D_
    at java lang reflect Method invoke (Native Method)_x000D_
    at com android internal os Zygote MethodAndArgsCaller run (Zygote java:240)_x000D_
    at com android internal os ZygoteInit main (ZygoteInit java:767)_x000D_
     _x000D_
    p   details  br _x000D_
_x000D_
_x000D_
   x    Dialogs   invalid current fragment   (fixed with https:  github com MCMrARM revolution irc commit 9fe7b4d13cfbe450df8edbc4f94df7ce666e99a0)_x000D_
_x000D_
   details  summary Crash  summary  p _x000D_
_x000D_
     _x000D_
  java lang ClassCastException: _x000D_
    at io mrarm irc MainActivity lambda onOptionsItemSelected 3 MainActivity (MainActivity java:346)_x000D_
    at io mrarm irc MainActivity  Lambda 3 onClick (Unknown Source)_x000D_
    at android support v7 app AlertController ButtonHandler handleMessage (AlertController java:162)_x000D_
    at android os Handler dispatchMessage (Handler java:102)_x000D_
    at android os Looper loop (Looper java:154)_x000D_
    at android app ActivityThread main (ActivityThread java:6119)_x000D_
    at java lang reflect Method invoke (Native Method)_x000D_
    at com android internal os ZygoteInit MethodAndArgsCaller run (ZygoteInit java:886)_x000D_
    at com android internal os ZygoteInit main (ZygoteInit java:776)_x000D_
     _x000D_
    p   details  br _x000D_
_x000D_
_x000D_
   x    ChatAutoCompleteEditText terminateNickToken out of bounds crash   (fixed with https:  github com MCMrARM revolution irc commit 41fa17a0ecc57011bde5de7919b4e802394165c6)_x000D_
_x000D_
   details  summary Crash  summary  p _x000D_
_x000D_
     _x000D_
  java lang IndexOutOfBoundsException: _x000D_
    at android text SpannableStringBuilder charAt (SpannableStringBuilder java:119)_x000D_
    at io mrarm irc view ChatAutoCompleteEditText terminateNickToken (ChatAutoCompleteEditText java:358)_x000D_
    at io mrarm irc view ChatAutoCompleteEditText onItemClick (ChatAutoCompleteEditText java:254)_x000D_
    at io mrarm irc chat ChatSuggestionsAdapter ItemHolder lambda new 0 ChatSuggestionsAdapter ItemHolder (ChatSuggestionsAdapter java:110)_x000D_
    at io mrarm irc chat ChatSuggestionsAdapter ItemHolder  Lambda 0 onClick (Unknown Source)_x000D_
    at android view View performClick (View java:5721)_x000D_
    at android widget TextView performClick (TextView java:10936)_x000D_
    at android view View PerformClick run (View java:22620)_x000D_
    at android os Handler handleCallback (Handler java:739)_x000D_
    at android os Handler dispatchMessage (Handler java:95)_x000D_
    at android os Looper loop (Looper java:148)_x000D_
    at android app ActivityThread main (ActivityThread java:7409)_x000D_
    at java lang reflect Method invoke (Native Method)_x000D_
    at com android internal os ZygoteInit MethodAndArgsCaller run (ZygoteInit java:1230)_x000D_
    at com android internal os ZygoteInit main (ZygoteInit java:1120)_x000D_
    at de robv android xposed XposedBridge main (XposedBridge java:102)_x000D_
     _x000D_
    p   details  br _x000D_
_x000D_
_x000D_
   x    Channel list button in Join channel dialog NPE after activity destroy and reopen   (fixed with https:  github com MCMrARM revolution irc commit 4f6422d1a9b45635420283c500c59f02cbe07e53)_x000D_
_x000D_
   details  summary Crash  summary  p _x000D_
_x000D_
     _x000D_
  java lang NullPointerException: _x000D_
    at io mrarm irc MainActivity lambda onOptionsItemSelected 3 MainActivity (MainActivity java:346)_x000D_
    at io mrarm irc MainActivity  Lambda 3 onClick (Unknown Source)_x000D_
    at android support v7 app AlertController ButtonHandler handleMessage (AlertController java:162)_x000D_
    at android os Handler dispatchMessage (Handler java:102)_x000D_
    at android os Looper loop (Looper java:154)_x000D_
    at android app ActivityThread main (ActivityThread java:6334)_x000D_
    at java lang reflect Method invoke (Native Method)_x000D_
    at com android internal os ZygoteInit MethodAndArgsCaller run (ZygoteInit java:886)_x000D_
    at com android internal os ZygoteInit main (ZygoteInit java:776)_x000D_
     _x000D_
    p   details  br _x000D_
_x000D_
_x000D_
   x    SpannableStringBuilder setSpan from FormattableEditText 1 afterTextChanged crash   (fixed with https:  github com MCMrARM revolution irc commit a7b5b4b383dd72d91b5d2949c36b5be2c7d8b8a1)_x000D_
_x000D_
   details  summary Crash  summary  p _x000D_
_x000D_
     _x000D_
  java lang RuntimeException: _x000D_
    at android text SpannableStringBuilder setSpan (SpannableStringBuilder java:693)_x000D_
    at android text SpannableStringBuilder setSpan (SpannableStringBuilder java:677)_x000D_
    at io mrarm irc view FormattableEditText 1 afterTextChanged (FormattableEditText java:94)_x000D_
    at android widget TextView sendAfterTextChanged (TextView java:8211)_x000D_
    at android widget TextView ChangeWatcher afterTextChanged (TextView java:10394)_x000D_
    at android text SpannableStringBuilder sendAfterTextChanged (SpannableStringBuilder java:1218)_x000D_
    at android text SpannableStringBuilder replace (SpannableStringBuilder java:579)_x000D_
    at android text SpannableStringBuilder delete (SpannableStringBuilder java:230)_x000D_
    at android text SpannableStringBuilder delete (SpannableStringBuilder java:229)_x000D_
    at android text method BaseKeyListener backspaceOrForwardDelete (BaseKeyListener java:347)_x000D_
    at android text method BaseKeyListener backspace (BaseKeyListener java:68)_x000D_
    at android text method BaseKeyListener onKeyDown (BaseKeyListener java:456)_x000D_
    at android text method QwertyKeyListener onKeyDown (QwertyKeyListener java:357)_x000D_
    at android text method TextKeyListener onKeyDown (TextKeyListener java:136)_x000D_
    at android widget TextView doKeyDown (TextView java:6293)_x000D_
    at android widget TextView onKeyDown (TextView java:6079)_x000D_
    at io mrarm irc view ChatAutoCompleteEditText onKeyDown (ChatAutoCompleteEditText java:319)_x000D_
    at android view KeyEvent dispatch (KeyEvent java:2708)_x000D_
     _x000D_
     _x000D_
    p   details  br _x000D_
_x000D_
_x000D_
   x    ChatMessagesFragment NPE (closed server)   (fixed with https:  github com MCMrARM revolution irc commit 8442f1e350be85458cb1790eae84334af605372b)_x000D_
_x000D_
_x000D_
   details  summary Crash  summary  p _x000D_
_x000D_
     _x000D_
  java lang RuntimeException: _x000D_
    at android app ActivityThread performLaunchActivity (ActivityThread java:2684)_x000D_
    at android app ActivityThread handleLaunchActivity (ActivityThread java:2751)_x000D_
    at android app ActivityThread  wrap12 (ActivityThread java)_x000D_
    at android app ActivityThread H handleMessage (ActivityThread java:1496)_x000D_
    at android os Handler dispatchMessage (Handler java:102)_x000D_
    at android os Looper loop (Looper java:154)_x000D_
    at android app ActivityThread main (ActivityThread java:6186)_x000D_
    at java lang reflect Method invoke (Native Method)_x000D_
    at com android internal os ZygoteInit MethodAndArgsCaller run (ZygoteInit java:889)_x000D_
    at com android internal os ZygoteInit main (ZygoteInit java:779)_x000D_
  Caused by: java lang NullPointerException: _x000D_
    at io mrarm irc chat ChatMessagesFragment onCreate (ChatMessagesFragment java:150)_x000D_
    at android support v4 app Fragment performCreate (Fragment java:2246)_x000D_
    at android support v4 app FragmentManagerImpl moveToState (FragmentManager java:1377)_x000D_
    at android support v4 app FragmentManagerImpl moveFragmentToExpectedState (FragmentManager java:1750)_x000D_
    at android support v4 app FragmentManagerImpl moveToState (FragmentManager java:1819)_x000D_
    at android support v4 app FragmentManagerImpl dispatchStateChange (FragmentManager java:3227)_x000D_
    at android support v4 app FragmentManagerImpl dispatchCreate (FragmentManager java:3176)_x000D_
    at android support v4 app Fragment restoreChildFragmentState (Fragment java:1350)_x000D_
    at android support v4 app Fragment onCreate (Fragment java:1321)_x000D_
    at android support v4 app Fragment performCreate (Fragment java:2246)_x000D_
    at android support v4 app FragmentManagerImpl moveToState (FragmentManager java:1377)_x000D_
    at android support v4 app FragmentManagerImpl moveFragmentToExpectedState (FragmentManager java:1750)_x000D_
    at android support v4 app FragmentManagerImpl moveToState (FragmentManager java:1819)_x000D_
    at android support v4 app FragmentManagerImpl dispatchStateChange (FragmentManager java:3227)_x000D_
    at android support v4 app FragmentManagerImpl dispatchCreate (FragmentManager java:3176)_x000D_
    at android support v4 app FragmentController dispatchCreate (FragmentController java:181)_x000D_
    at android support v4 app FragmentActivity onCreate (FragmentActivity java:331)_x000D_
    at android support v7 app AppCompatActivity onCreate (AppCompatActivity java:84)_x000D_
    at io mrarm irc ThemedActivity onCreate (ThemedActivity java:31)_x000D_
    at io mrarm irc MainActivity onCreate (MainActivity java:68)_x000D_
    at android app Activity performCreate (Activity java:6684)_x000D_
    at android app Instrumentation callActivityOnCreate (Instrumentation java:1119)_x000D_
    at android app ActivityThread performLaunchActivity (ActivityThread java:2637)_x000D_
     _x000D_
    p   details  br _x000D_
_x000D_
   x    ReconnectIntervalSetting dialog random crash   (fixed with https:  github com MCMrARM revolution irc commit 6eda8f43b8d3f0d7b996c62959392d94ff28f401)_x000D_
_x000D_
   details  summary Crash  summary  p _x000D_
_x000D_
     _x000D_
  java lang IllegalStateException: _x000D_
    at android support v7 widget RecyclerView assertNotInLayoutOrScroll (RecyclerView java:2689)_x000D_
    at android support v7 widget RecyclerView RecyclerViewDataObserver onItemRangeRemoved (RecyclerView java:5108)_x000D_
    at android support v7 widget RecyclerView AdapterDataObservable notifyItemRangeRemoved (RecyclerView java:11600)_x000D_
    at android support v7 widget RecyclerView Adapter notifyItemRemoved (RecyclerView java:6948)_x000D_
    at io mrarm irc setting ReconnectIntervalSetting RulesAdapter RuleViewHolder lambda new 3 ReconnectIntervalSetting RulesAdapter RuleViewHolder (ReconnectIntervalSetting java:258)_x000D_
    at io mrarm irc setting ReconnectIntervalSetting RulesAdapter RuleViewHolder  Lambda 2 afterTextChanged (Unknown Source)_x000D_
    at io mrarm irc util SimpleTextWatcher afterTextChanged (SimpleTextWatcher java:24)_x000D_
    at android widget TextView sendAfterTextChanged (TextView java:9435)_x000D_
    at android widget TextView setText (TextView java:5086)_x000D_
    at android widget TextView setText (TextView java:4902)_x000D_
    at android widget EditText setText (EditText java:128)_x000D_
    at android widget TextView setText (TextView java:4877)_x000D_
    at io mrarm irc setting ReconnectIntervalSetting RulesAdapter RuleViewHolder bind (ReconnectIntervalSetting java:314)_x000D_
    at io mrarm irc setting ReconnectIntervalSetting RulesAdapter onBindViewHolder (ReconnectIntervalSetting java:170)_x000D_
    at android support v7 widget RecyclerView Adapter onBindViewHolder (RecyclerView java:6508)_x000D_
    at android support v7 widget RecyclerView Adapter bindViewHolder (RecyclerView java:6541)_x000D_
     _x000D_
    p   details  br _x000D_
_x000D_
_x000D_
   x    ChatMessagesFragment copySelectedMessages NPE   (fixed with https:  github com MCMrARM revolution irc commit 161375d7963083ca9872320ae6855b2aebde3ee1)_x000D_
_x000D_
   details  summary Crash  summary  p _x000D_
_x000D_
     _x000D_
  java lang NullPointerException: _x000D_
    at io mrarm irc chat ChatMessagesFragment copySelectedMessages (ChatMessagesFragment java:421)_x000D_
    at io mrarm irc chat ChatMessagesFragment MessagesActionModeCallback onActionItemClicked (ChatMessagesFragment java:449)_x000D_
    at android support v7 app AppCompatDelegateImplV9 ActionModeCallbackWrapperV9 onActionItemClicked (AppCompatDelegateImplV9 java:1791)_x000D_
    at android support v7 view StandaloneActionMode onMenuItemSelected (StandaloneActionMode java:140)_x000D_
    at android support v7 view menu MenuBuilder dispatchMenuItemSelected (MenuBuilder java:822)_x000D_
    at android support v7 view menu MenuItemImpl invoke (MenuItemImpl java:171)_x000D_
    at android support v7 view menu MenuBuilder performItemAction (MenuBuilder java:973)_x000D_
    at android support v7 view menu MenuBuilder performItemAction (MenuBuilder java:963)_x000D_
    at android support v7 widget ActionMenuView invokeItem (ActionMenuView java:624)_x000D_
    at android support v7 view menu ActionMenuItemView onClick (ActionMenuItemView java:150)_x000D_
    at android view View performClick (View java:5612)_x000D_
    at android view View PerformClick run (View java:22285)_x000D_
    at android os Handler handleCallback (Handler java:751)_x000D_
    at android os Handler dispatchMessage (Handler java:95)_x000D_
    at android os Looper loop (Looper java:154)_x000D_
    at android app ActivityThread main (ActivityThread jav</t>
  </si>
  <si>
    <t>niclabs-adkintunmobile-androidclient-186</t>
  </si>
  <si>
    <t>DailyConnectionTypeInformation.java line 161</t>
  </si>
  <si>
    <t xml:space="preserve">     in cl niclabs adkintunmobile views connectiontype DailyConnectionTypeInformation getSummary
  Number of crashes: 1
  Impacted devices: 1
There s a lot more information about this crash on crashlytics com:
 https:  fabric io niclabs android apps cl niclabs adkintunmobile issues 5a167ade61b02d480d0f293b utm medium service hooks github utm source issue impact (https:  fabric io niclabs android apps cl niclabs adkintunmobile issues 5a167ade61b02d480d0f293b utm medium service hooks github utm source issue impact)</t>
  </si>
  <si>
    <t>ZieIony-Carbon-326</t>
  </si>
  <si>
    <t>RuntimeException setCursorColor on some devices</t>
  </si>
  <si>
    <t xml:space="preserve">Hello  i have some issue from our users with   OPPO Smartphone    they complaint that my apps always crash when opening the apps  when i check the crash analytics i found this error log  I think it s related with the  carbon Widget EditText   any idea how to fix this issue _x000D_
_x000D_
i m using the version  0 15 0 1 _x000D_
_x000D_
        java lang RuntimeException: Unable to start activity _x000D_
        android view InflateException: Binary XML file line  0: Error inflating class carbon widget EditText_x000D_
        at android app ActivityThread performLaunchActivity(ActivityThread java:2594)_x000D_
        at android app ActivityThread handleLaunchActivity(ActivityThread java:2685)_x000D_
        at android app ActivityThread access 900(ActivityThread java:188)_x000D_
        at android app ActivityThread H handleMessage(ActivityThread java:1530)_x000D_
        at android os Handler dispatchMessage(Handler java:111)_x000D_
        at android os Looper loop(Looper java:224)_x000D_
        at android app ActivityThread main(ActivityThread java:5836)_x000D_
        at java lang reflect Method invoke(Method java: 2)_x000D_
        at java lang reflect Method invoke(Method java:372)_x000D_
        at com android internal os ZygoteInit MethodAndArgsCaller run(ZygoteInit java:1113)_x000D_
        at com android internal os ZygoteInit main(ZygoteInit java:879)_x000D_
_x000D_
        Caused by: android view InflateException: Binary XML file line  0: Error inflating class carbon widget EditText_x000D_
        at android view LayoutInflater createView(LayoutInflater java:633)_x000D_
        at android view LayoutInflater createViewFromTag(LayoutInflater java:743)_x000D_
        at android view LayoutInflater rInflate(LayoutInflater java:806)_x000D_
        at android view LayoutInflater rInflate(LayoutInflater java:809)_x000D_
        at android view LayoutInflater rInflate(LayoutInflater java:809)_x000D_
        at android view LayoutInflater rInflate(LayoutInflater java:809)_x000D_
        at android view LayoutInflater rInflate(LayoutInflater java:809)_x000D_
        at android view LayoutInflater inflate(LayoutInflater java:504)_x000D_
        at android view LayoutInflater inflate(LayoutInflater java:414)_x000D_
        at android view LayoutInflater inflate(LayoutInflater java:365)_x000D_
        at android support v7 app AppCompatDelegateImplV9 setContentView(AppCompatDelegateImplV9 java:287)_x000D_
        at android support v7 app AppCompatActivity setContentView(AppCompatActivity java:139)_x000D_
        at com mobpulsa mobpulsa ui login LoginActivity onCreate(LoginActivity java:87)_x000D_
        at android app Activity performCreate(Activity java:6193)_x000D_
        at android app Instrumentation callActivityOnCreate(Instrumentation java:1112)_x000D_
        at android app ActivityThread performLaunchActivity(ActivityThread java:2541)_x000D_
        at android app ActivityThread handleLaunchActivity(ActivityThread java:2685)_x000D_
        at android app ActivityThread access 900(ActivityThread java:188)_x000D_
        at android app ActivityThread H handleMessage(ActivityThread java:1530)_x000D_
        at android os Handler dispatchMessage(Handler java:111)_x000D_
        at android os Looper loop(Looper java:224)_x000D_
        at android app ActivityThread main(ActivityThread java:5836)_x000D_
        at java lang reflect Method invoke(Method java: 2)_x000D_
        at java lang reflect Method invoke(Method java:372)_x000D_
        at com android internal os ZygoteInit MethodAndArgsCaller run(ZygoteInit java:1113)_x000D_
        at com android internal os ZygoteInit main(ZygoteInit java:879)_x000D_
        _x000D_
        Caused by: java lang reflect InvocationTargetException_x000D_
        at java lang reflect Constructor newInstance(Constructor java: 2)_x000D_
        at java lang reflect Constructor newInstance(Constructor java:288)_x000D_
        at android view LayoutInflater createView(LayoutInflater java:607)_x000D_
        at android view LayoutInflater createViewFromTag(LayoutInflater java:743)_x000D_
        at android view LayoutInflater rInflate(LayoutInflater java:806)_x000D_
        at android view LayoutInflater rInflate(LayoutInflater java:809)_x000D_
        at android view LayoutInflater rInflate(LayoutInflater java:809)_x000D_
        at android view LayoutInflater rInflate(LayoutInflater java:809)_x000D_
        at android view LayoutInflater rInflate(LayoutInflater java:809)_x000D_
        at android view LayoutInflater inflate(LayoutInflater java:504)_x000D_
        at android view LayoutInflater inflate(LayoutInflater java:414)_x000D_
        at android view LayoutInflater inflate(LayoutInflater java:365)_x000D_
        at android support v7 app AppCompatDelegateImplV9 setContentView(AppCompatDelegateImplV9 java:287)_x000D_
        _x000D_
_x000D_
       Caused by: java lang RuntimeException: This feature is implemented using reflection  If you see this exception  something in your setup is not standard  Please create an issue on https:  github com ZieIony Carbon issues  Please provide at least the following information: _x000D_
          device: OPPO CPH1605  API 22_x000D_
          method: java lang Thread getStackTrace(   )_x000D_
_x000D_
        at carbon Carbon throwReflectionError(Carbon java:426)_x000D_
        at carbon widget EditText setCursorColor(EditText java:307)_x000D_
        at carbon widget EditText initEditText(EditText java:193)_x000D_
        at carbon widget EditText  init (EditText java:111)_x000D_
        at java lang reflect Constructor newInstance(Constructor java: 2)_x000D_
        at java lang reflect Constructor newInstance(Constructor java:288)_x000D_
        at android view LayoutInflater createView(LayoutInflater java:607)_x000D_
        at android view LayoutInflater createViewFromTag(LayoutInflater java:743)_x000D_
        at android view LayoutInflater rInflate(LayoutInflater java:806)_x000D_
        at android view LayoutInflater rInflate(LayoutInflater java:809)_x000D_
        at android view LayoutInflater rInflate(LayoutInflater java:809)_x000D_
        at android view LayoutInflater rInflate(LayoutInflater java:809)_x000D_
        at android view LayoutInflater rInflate(LayoutInflater java:809)_x000D_
        at android view LayoutInflater inflate(LayoutInflater java:504)_x000D_
        at android view LayoutInflater inflate(LayoutInflater java:414)_x000D_
        at android view LayoutInflater inflate(LayoutInflater java:365)_x000D_
        at android support v7 app AppCompatDelegateImplV9 setContentView(AppCompatDelegateImplV9 java:287)_x000D_
        at android support v7 app AppCompatActivity setContentView(AppCompatActivity java:139)_x000D_
        at com mobpulsa mobpulsa ui login LoginActivity onCreate(LoginActivity java:87)_x000D_
        at android app Activity performCreate(Activity java:6193)_x000D_
        at android app Instrumentation callActivityOnCreate(Instrumentation java:1112)_x000D_
        at android app ActivityThread performLaunchActivity(ActivityThread java:2541)_x000D_
        at android app ActivityThread handleLaunchActivity(ActivityThread java:2685)_x000D_
        at android app ActivityThread access 900(ActivityThread java:188)_x000D_
        at android app ActivityThread H handleMessage(ActivityThread java:1530)_x000D_
        at android os Handler dispatchMessage(Handler java:111)_x000D_
        at android os Looper loop(Looper java:224)_x000D_
        at android app ActivityThread main(ActivityThread java:5836)_x000D_
        at java lang reflect Method invoke(Method java: 2)_x000D_
        at java lang reflect Method invoke(Method java:372)_x000D_
        at com android internal os ZygoteInit MethodAndArgsCaller run(ZygoteInit java:1113)_x000D_
        at com android internal os ZygoteInit main(ZygoteInit java:879) _x000D_
_x000D_
Thanks </t>
  </si>
  <si>
    <t>PhilippC-keepass2android-138</t>
  </si>
  <si>
    <t>invalidated fingerprint data crashes app</t>
  </si>
  <si>
    <t xml:space="preserve">Several users have reported that KP2A crashes if they invalidate the fingerprint data (e g  by adding fingerprints) </t>
  </si>
  <si>
    <t>SoftwareEngineeringDaily-SEDaily-Android-76</t>
  </si>
  <si>
    <t>Crash on Moto X, KitKat</t>
  </si>
  <si>
    <t xml:space="preserve">   Device Details_x000D_
  Device Name: Moto X_x000D_
  Android Version: KitKat_x000D_
  App Version: 1 1_x000D_
_x000D_
   Steps to Reproduce:_x000D_
App crashes on start_x000D_
_x000D_
  Include screenshots  _x000D_
  image (https:  user images githubusercontent com 1283090 33232579 843da8fe d1bd 11e7 9460 34bec41b80b5 png)_x000D_
_x000D_
</t>
  </si>
  <si>
    <t>CMPUT301F17T02-BAARD-98</t>
  </si>
  <si>
    <t>Permissions and Storage of Images</t>
  </si>
  <si>
    <t xml:space="preserve">Currently for Create Edit Event  you can select  Image  and pick the image from gallery but once you return to the app and it prompts for permissions if you say no then it crashes  _x000D_
_x000D_
Also  if you previously had permissions and set an image  but now you no longer have permission (say using a new phone) then the images are not displayed in view event thus they are currently NOT being saved to server but rather just looking at the local filepath </t>
  </si>
  <si>
    <t>ccrama-Slide-2596</t>
  </si>
  <si>
    <t>Crashes when trying to quote</t>
  </si>
  <si>
    <t>Slide version: 5 7 1 (fdroid)_x000D_
Android version: 7 1 2 (lineage os)_x000D_
_x000D_
Hi  I couldn t find any similar issue on here so I post my own here : _x000D_
_x000D_
situation : replying to a comment  if I press the  quote button   I can select what part to quote  press  select  and then it crashes immediatly  It happens on every sub  95  of the time  For some reason it worked sometimes without me figuring out why _x000D_
_x000D_
I don t know what other information I could bring _x000D_
_x000D_
Great app so far anyway  fantastic work :)</t>
  </si>
  <si>
    <t>scorelab-kute-81</t>
  </si>
  <si>
    <t>App crashes when change the orientation.</t>
  </si>
  <si>
    <t xml:space="preserve">When I was in the private vehicle section  and turn the screen (change the orientation) app crashed </t>
  </si>
  <si>
    <t>dimagi-commcare-android-1897</t>
  </si>
  <si>
    <t>Prevent NPE stemming from onRetainCustomNonConfigurationInstance()</t>
  </si>
  <si>
    <t xml:space="preserve">I believe this will address https:  fabric io dimagi android apps org commcare dalvik issues 59db367fbe077a4dccfd06ba time last ninety days  which I think is just a timing issue in form entry  where if a rotation of the device triggers a call to  onRetainCustomNonConfigurationInstance()  after form loading completes  but before the first view is actually rendered (a very short but presumably real window of time)  then we would try to call  saveAnswersForCurrentScreen()  with a null  questionsView   I wasn t able to replicate the crash based on this guess  but I think it s worth putting in this fix and seeing if that addresses it in the next release before digging much deeper _x000D_
</t>
  </si>
  <si>
    <t>dmfs-opentasks-516</t>
  </si>
  <si>
    <t xml:space="preserve">Travis connected test fails occasionally </t>
  </si>
  <si>
    <t xml:space="preserve">   _x000D_
:opentasks provider:connectedDebugAndroidTest_x000D_
_x000D_
Starting 0 tests on test(AVD)   7 0_x000D_
_x000D_
Tests on test(AVD)   7 0 failed: Instrumentation run failed due to  Process crashed  _x000D_
_x000D_
com android builder testing ConnectedDevice   No tests found  test(AVD)   7 0  FAILED _x000D_
_x000D_
No tests found  This usually means that your test classes are not in the form that your test runner expects (e g  don t inherit from TestCase or lack  Test annotations) _x000D_
_x000D_
:opentasks provider:connectedDebugAndroidTest FAILED_x000D_
_x000D_
FAILURE: Build failed with an exception _x000D_
_x000D_
  What went wrong:_x000D_
_x000D_
Execution failed for task  :opentasks provider:connectedDebugAndroidTest  _x000D_
_x000D_
  There were failing tests  See the report at: file:   home travis build dmfs opentasks opentasks provider build reports androidTests connected index html_x000D_
   _x000D_
_x000D_
Restarting the build usually succeeds </t>
  </si>
  <si>
    <t>tanrabad-survey-44</t>
  </si>
  <si>
    <t>ThreadedRenderer.java</t>
  </si>
  <si>
    <t xml:space="preserve">     in android view ThreadedRenderer nDeleteProxy
  Number of crashes: 1
  Impacted devices: 1
There s a lot more information about this crash on crashlytics com:
 https:  fabric io tanrabad android apps org tanrabad survey issues 5a1cd1c161b02d480d68e99e utm medium service hooks github utm source issue impact (https:  fabric io tanrabad android apps org tanrabad survey issues 5a1cd1c161b02d480d68e99e utm medium service hooks github utm source issue impact)</t>
  </si>
  <si>
    <t>dimagi-commcare-android-1901</t>
  </si>
  <si>
    <t>Transactional Recoveries</t>
  </si>
  <si>
    <t xml:space="preserve">Fixes the issue in https:  manage dimagi com default asp 265905  Specifically  crashes during recovery restore parse could result in the case database being left empty  Accomplish this by doing the wipe and restore parse in one transaction that we simply do not commit unless we fully succeed  A couple supporting refactors _x000D_
_x000D_
I tested this by throwing a  RuntimeException  right before the  readInput  call  previously this resulted in an empty user db  now this is successfully rolled back _x000D_
_x000D_
I think we should get this into 2 41 </t>
  </si>
  <si>
    <t>dmfs-opentasks-521</t>
  </si>
  <si>
    <t>Deleting task in list (by swiping) doesn't clear details view.</t>
  </si>
  <si>
    <t xml:space="preserve">If I select a task in two pane mode and swipe right to delete it (after it has already been completed) it s still visible in the details view  Clicking edit in the details view will crash the app </t>
  </si>
  <si>
    <t>twilio-voice-quickstart-android-116</t>
  </si>
  <si>
    <t>Call results in a crash when initializing audio fails</t>
  </si>
  <si>
    <t xml:space="preserve">     Check the following before filing an issue    _x000D_
  Before filing an issue please check that the issue is not already addressed by the following:_x000D_
      Voice SDK Guides (https:  www twilio com docs api voice sdk)_x000D_
      GitHub Issues (https:  github com twilio voice quickstart android issues)_x000D_
      Changelog (https:  www twilio com docs api voice sdk android changelog)_x000D_
_x000D_
    Description_x000D_
_x000D_
A customer reported the following crash  This is the original ticket that was filed in the Client quickstart repository: https:  github com twilio twilio client quickstart android issues 56_x000D_
_x000D_
    Steps to Reproduce_x000D_
_x000D_
1  Place an outgoing call_x000D_
_x000D_
     Expected Behavior_x000D_
_x000D_
Call succeeds_x000D_
_x000D_
     Actual Behavior_x000D_
_x000D_
A native crash occurs_x000D_
_x000D_
     Reproduces How Often_x000D_
_x000D_
100 _x000D_
_x000D_
     Logs_x000D_
_x000D_
   _x000D_
_x000D_
11 21 16:57:06 097 I MICROPHONE( 1844): All MicrophoneClientTypes have released the microphone  Raising the MicrophoneIsAvailableEvent   _x000D_
_x000D_
11 21 16:57:06 264 I PJSIP   ( 1844): 16:57:06 264 os core unix c  pjlib 2 5 1 for POSIX initialized_x000D_
11 21 16:57:06 267 D PJSIP   ( 1844): 16:57:06 267 sip endpoint c   Creating endpoint instance   _x000D_
11 21 16:57:06 269 I PJSIP   ( 1844): 16:57:06 269          pjlib   select() I O Queue created (0x82b41504)_x000D_
11 21 16:57:06 269 I PJSIP   ( 1844): 16:57:06 269 sip endpoint c   Module  mod msg print  registered_x000D_
11 21 16:57:06 269 D PJSIP   ( 1844): 16:57:06 269 sip transport    Transport manager created _x000D_
11 21 16:57:06 269 I PJSIP   ( 1844): 16:57:06 269   pjsua core c   PJSUA state changed: NULL     CREATED_x000D_
WARNING: no real random source present _x000D_
_x000D_
11 21 16:57:06 322 I libOpenSLES( 1844): Emulating old channel mask behavior (ignoring positional mask 0x4  using default mask 0x1 based on channel count of 1)_x000D_
11 21 16:57:06 324 W AudioTrack( 1844): AUDIO OUTPUT FLAG FAST denied by client  transfer 1  track 16000 Hz  output 48000 Hz_x000D_
11 21 16:57:06 325 D AudioTrack( 1844): Client defaulted notificationFrames to 460 for frameCount 1380_x000D_
11 21 16:57:06 326 W libOpenSLES( 1844): Conversion from OpenSL ES positional channel mask 0x4 to Android mask 0 loses channels_x000D_
11 21 16:57:06 326 I libOpenSLES( 1844): Emulating old channel mask behavior (ignoring positional mask 0x4  using default mask 0x10 based on channel count of 1)_x000D_
11 21 16:57:06 328 E AudioRecord( 1844): Could not get audio input for session 145  record source 7  sample rate 16000  format 0x1  channel mask 0x10  flags 0x1_x000D_
11 21 16:57:06 328 E libOpenSLES( 1844): android audioRecorder realize(0x82b2e200) error creating AudioRecord object  status  22_x000D_
11 21 16:57:06 328 W libOpenSLES( 1844): Leaving Object::Realize (SL RESULT CONTENT UNSUPPORTED)_x000D_
11 21 16:57:06 330 E mono rt ( 1844):  proc self maps:_x000D_
11 21 16:57:06 330 E mono rt ( 1844): 12c00000 12e08000 rw p 00000000 00:05 1929        dev ashmem dalvik main space (deleted)_x000D_
11 21 16:57:06 330 E mono rt ( 1844): 12e08000 1424d000 rw p 00208000 00:05 1929        dev ashmem dalvik main space (deleted)_x000D_
11 21 16:57:06 330 E mono rt ( 1844): 1424d000 22c00000    p 0164d000 00:05 1929        dev ashmem dalvik main space (deleted)_x000D_
11 21 16:57:06 330 E mono rt ( 1844): 22c00000 22c01000 rw p 00000000 00:05 1930        dev ashmem dalvik main space 1 (deleted)_x000D_
11 21 16:57:06 330 E mono rt ( 1844): 22c01000 32c00000    p 00001000 00:05 1930        dev ashmem dalvik main space 1 (deleted)_x000D_
11 21 16:57:06 330 E mono rt ( 1844): 6f5ea000 6fae2000 rw p 00000000 b3:0f 57363       data dalvik cache arm system framework boot art_x000D_
11 21 16:57:06 330 E mono rt ( 1844): 6fae2000 6fbc5000 rw p 00000000 b3:0f 57364       data dalvik cache arm system framework boot core libart art_x000D_
11 21 16:57:06 330 E mono rt ( 1844): 6fbc5000 6fbe0000 rw p 00000000 b3:0f 57365       data dalvik cache arm system framework boot conscrypt art_x000D_
11 21 16:57:06 330 E mono rt ( 1844): 6fbe0000 6fc03000 rw p 00000000 b3:0f 57366       data dalvik cache arm system framework boot okhttp art_x000D_
11 21 16:57:06 330 E mono rt ( 1844): 6fc03000 6fc04000 rw p 00000000 b3:0f 57367       data dalvik cache arm system framework boot core junit art_x000D_
11 21 16:57:06 331 E mono rt ( 1844): 6fc04000 6fc28000 rw p 00000000 b3:0f 57368       data dalvik cache arm system framework boot bouncycastle art_x000D_
11 21 16:57:06 331 E mono rt ( 1844): 6fc28000 6fc45000 rw p 00000000 b3:0f 57369       data dalvik cache arm system framework boot ext art_x000D_
11 21 16:57:06 331 E mono rt ( 1844): 6fc45000 7005b000 rw p 00000000 b3:0f 57370       data dalvik cache arm system framework boot framework art_x000D_
11 21 16:57:06 331 E mono rt ( 1844): 7005b000 7007f000 rw p 00000000 b3:0f 57371       data dalvik cache arm system framework boot telephony common art_x000D_
11 21 16:57:06 331 E mono rt ( 1844): 7007f000 70083000 rw p 00000000 b3:0f 57372       data dalvik cache arm system framework boot voip common art_x000D_
11 21 16:57:06 331 E mono rt ( 1844): 70083000 70086000 rw p 00000000 b3:0f 57373       data dalvik cache arm system framework boot ims common art_x000D_
11 21 16:57:06 331 E mono rt ( 1844): 70086000 7009e000 rw p 00000000 b3:0f 57374       data dalvik cache arm system framework boot apache xml art_x000D_
11 21 16:57:06 331 E mono rt ( 1844): 7009e000 700af000 rw p 00000000 b3:0f 57375       data dalvik cache arm system framework boot org apache http legacy boot art_x000D_
11 21 16:57:06 331 E mono rt ( 1844): 700af000 7061c000 r  p 00000000 b3:06 777         system framework arm boot oat_x000D_
11 21 16:57:06 331 E mono rt ( 1844): 7061c000 7090b000 r xp 0056d000 b3:06 777         system framework arm boot oat_x000D_
11 21 16:57:06 331 E mono rt ( 1844): 7090b000 7090c000 r  p 0085c000 b3:06 777         system framework arm boot oat_x000D_
11 21 16:57:06 331 E mono rt ( 1844): 7090c000 7090d000 rw p 0085d000 b3:06 777         system framework arm boot oat_x000D_
11 21 16:57:06 331 E mono rt ( 1844): 7090d000 70d8a000 r  p 00000000 b3:06 761         system framework arm boot core libart oat_x000D_
11 21 16:57:06 331 E mono rt ( 1844): 70d8a000 70fca000 r xp 0047d000 b3:06 761         system framework arm boot core libart oat_x000D_
11 21 16:57:06 331 E mono rt ( 1844): 70fca000 70fcb000 r  p 006bd000 b3:06 761         system framework arm boot core libart oat_x000D_
11 21 16:57:06 332 E mono rt ( 1844): 70fcb000 70fcc000 rw p 006be000 b3:06 761         system framework arm boot core libart oat_x000D_
11 21 16:57:06 332 E mono rt ( 1844): 70fcc000 71037000 r  p 00000000 b3:06 757         system framework arm boot conscrypt oat_x000D_
11 21 16:57:06 332 E mono rt ( 1844): 71037000 71074000 r xp 0006b000 b3:06 757         system framework arm boot conscrypt oat_x000D_
11 21 16:57:06 332 E mono rt ( 1844): 71074000 71075000 r  p 000a8000 b3:06 757         system framework arm boot conscrypt oat_x000D_
11 21 16:57:06 332 E mono rt ( 1844): 71075000 71076000 rw p 000a9000 b3:06 757         system framework arm boot conscrypt oat_x000D_
11 21 16:57:06 332 E mono rt ( 1844): 71076000 710fb000 r  p 00000000 b3:06 769         system framework arm boot okhttp oat_x000D_
11 21 16:57:06 332 E mono rt ( 1844): 710fb000 71144000 r xp 00085000 b3:06 769         system framework arm boot okhttp oat_x000D_
11 21 16:57:06 332 E mono rt ( 1844): 71144000 71145000 r  p 000ce000 b3:06 769         system framework arm boot okhttp oat_x000D_
11 21 16:57:06 332 E mono rt ( 1844): 71145000 71146000 rw p 000cf000 b3:06 769         system framework arm boot okhttp oat_x000D_
11 21 16:57:06 332 E mono rt ( 1844): 71146000 7114f000 r  p 00000000 b3:06 759         system framework arm boot core junit oat_x000D_
11 21 16:57:06 332 E mono rt ( 1844): 7114f000 71151000 r xp 00009000 b3:06 759         system framework arm boot core junit oat_x000D_
11 21 16:57:06 332 E mono rt ( 1844): 71151000 71152000 r  p 0000b000 b3:06 759         system framework arm boot core junit oat_x000D_
11 21 16:57:06 332 E mono rt ( 1844): 71152000 71153000 rw p 0000c000 b3:06 759         system framework arm boot core junit oat_x000D_
11 21 16:57:06 332 E mono rt ( 1844): 71153000 712bd000 r  p 00000000 b3:06 755         system framework arm boot bouncycastle oat_x000D_
11 21 16:57:06 332 E mono rt ( 1844): 712bd000 712f1000 r xp 0016a000 b3:06 755         system framework arm boot bouncycastle oat_x000D_
11 21 16:57:06 332 E mono rt ( 1844): 712f1000 712f2000 r  p 0019e000 b3:06 755         system framework arm boot bouncycastle oat_x000D_
11 21 16:57:06 332 E mono rt ( 1844): 712f2000 712f3000 rw p 0019f000 b3:06 755         system framework arm boot bouncycastle oat_x000D_
11 21 16:57:06 332 E mono rt ( 1844): 712f3000 7140e000 r  p 00000000 b3:06 763         system framework arm boot ext oat_x000D_
11 21 16:57:06 333 E mono rt ( 1844): 7140e000 7143e000 r xp 0011b000 b3:06 763         system framework arm boot ext oat_x000D_
11 21 16:57:06 333 E mono rt ( 1844): 7143e000 7143f000 r  p 0014b000 b3:06 763         system framework arm boot ext oat_x000D_
11 21 16:57:06 333 E mono rt ( 1844): 7143f000 71440000 rw p 0014c000 b3:06 763         system framework arm boot ext oat_x000D_
11 21 16:57:06 333 E mono rt ( 1844): 71440000 72980000 r  p 00000000 b3:06 765         system framework arm boot framework oat_x000D_
11 21 16:57:06 333 E mono rt ( 1844): 72980000 7355b000 r xp 01540000 b3:06 765         system framework arm boot framework oat_x000D_
11 21 16:57:06 333 E mono rt ( 1844): 7355b000 7355c000 r  p 0211b000 b3:06 765         system framework arm boot framework oat_x000D_
11 21 16:57:06 333 E mono rt ( 1844): 7355c000 7355d000 rw p 0211c000 b3:06 765         system framework arm boot framework oat_x000D_
11 21 16:57:06 333 E mono rt ( 1844): 7355d000 737f3000 r  p 00000000 b3:06 773         system framework arm boot telephony common oat_x000D_
11 21 16:57:06 333 E mono rt ( 1844): 737f3000 7396c000 r xp 00296000 b3:06 773         system framework arm boot telephony common oat_x000D_
11 21 16:57:06 333 E mono rt ( 1844): 7396c000 7396d000 r  p 0040f000 b3:06 773         system framework arm boot telephony common oat_x000D_
11 21 16:57:06 333 E mono rt ( 1844): 7396d000 7396e000 rw p 00410000 b3:06 773         system framework arm boot telephony common oat_x000D_
11 21 16:57:06 333 E mono rt ( 1844): 7396e000 7399d000 r  p 00000000 b3:06 775         system framework arm boot voip common oat_x000D_
11 21 16:57:06 333 E mono rt ( 1844): 7399d000 739aa000 r xp 0002f000 b3:06 775         system framework arm boot voip common oat_x000D_
11 21 16:57:06 333 E mono rt ( 1844): 739aa000 739ab000 r  p 0003c000 b3:06 775         system framework arm boot voip common oat_x000D_
11 21 16:57:06 334 E mono rt ( 1844): 739ab000 739ac000 rw p 0003d000 b3:06 775         system framework arm boot voip common oat_x000D_
11 21 16:57:06 334 E mono rt ( 1844): 739ac000 739d4000 r  p 00000000 b3:06 767         system framework arm boot ims common oat_x000D_
11 21 16:57:06 334 E mono rt ( 1844): 739d4000 739e8000 r xp 00028000 b3:06 767         system framework arm boot ims common oat_x000D_
11 21 16:57:06 334 E mono rt ( 1844): 739e8000 739e9000 r  p 0003c000 b3:06 767         system framework arm boot ims common oat_x000D_
11 21 16:57:06 334 E mono rt ( 1844): 739e9000 739ea000 rw p 0003d000 b3:06 767         system framework arm boot ims common oat_x000D_
11 21 16:57:06 334 E mono rt ( 1844): 739ea000 73b3a000 r  p 00000000 b3:06 753         system framework arm boot apache xml oat_x000D_
11 21 16:57:06 334 E mono rt ( 1844): 73b3a000 73b56000 r xp 00150000 b3:06 753         system framework arm boot apache xml oat_x000D_
11 21 16:57:06 334 E mono rt ( 1844): 73b56000 73b57000 r  p 0016c000 b3:06 753         system framework arm boot apache xml oat_x000D_
11 21 16:57:06 334 E mono rt ( 1844): 73b57000 73b58000 rw p 0016d000 b3:06 753         system framework arm boot apache xml oat_x000D_
11 21 16:57:06 334 E mono rt ( 1844): 73b58000 73bff000 r  p 00000000 b3:06 771         system framework arm boot org apache http legacy boot oat_x000D_
11 21 16:57:06 334 E mono rt ( 1844): 73bff000 73c53000 r xp 000a7000 b3:06 771         system framework arm boot org apache http legacy boot oat_x000D_
11 21 16:57:06 334 E mono rt ( 1844): 73c53000 73c54000 r  p 000fb000 b3:06 771         system framework arm boot org apache http legacy boot oat_x000D_
11 21 16:57:06 334 E mono rt ( 1844): 73c54000 73c55000 rw p 000fc000 b3:06 771         system framework arm boot org apache http legacy boot oat_x000D_
11 21 16:57:06 334 E mono rt ( 1844): 73c55000 73d83000 rw p 00000000 00:05 1928        dev ashmem dalvik zygote space (deleted)_x000D_
11 21 16:57:06 335 E mono rt ( 1844): 73d83000 73d84000 rw p 00000000 00:05 9665        dev ashmem dalvik non moving space (deleted)_x000D_
11 21 16:57:06 335 E mono rt ( 1844): 73d84000 73d8b000 rw p 00001000 00:05 9665        dev ashmem dalvik non moving space (deleted)_x000D_
11 21 16:57:06 335 E mono rt ( 1844): 73d8b000 77856000    p 00008000 00:05 9665        dev ashmem dalvik non moving space (deleted)_x000D_
11 21 16:57:06 335 E mono rt ( 1844): 77856000 77c55000 rw p 03ad3000 00:05 9665        dev ashmem dalvik non moving space (deleted)_x000D_
11 21 16:57:06 335 E mono rt ( 1844): 81962000 81963000    p 00000000 00:00 0           anon:thread stack guard page _x000D_
11 21 16:57:06 335 E mono rt ( 1844): 81963000 81a61000 rw p 00000000 00:00 0           stack:2254 _x000D_
11 21 16:57:06 335 E mono rt ( 1844): 81a61000 81c97000 r xp 00000000 b3:0f 98316       data app hfh athena mobile droid 1 lib arm libvoice so_x000D_
11 21 16:57:06 335 E mono rt ( 1844): 81c97000 81c98000    p 00000000 00:00 0 _x000D_
11 21 16:57:06 335 E mono rt ( 1844): 81c98000 81ca7000 r  p 00236000 b3:0f 98316       data app hfh athena mobile droid 1 lib arm libvoice so_x000D_
11 21 16:57:06 335 E mono rt ( 1844): 81ca7000 81caa000 rw p 00245000 b3:0f 98316       data app hfh athena mobile droid 1 lib arm libvoice so_x000D_
11 21 16:57:06 335 E mono rt ( 1844): 81caa000 81cfc000 rw p 00000000 00:00 0           anon: bss _x000D_
11 21 16:57:06 335 E mono rt ( 1844): 81efa000 81efb000    p 00000000 00:00 0           anon:thread stack guard page _x000D_
11 21 16:57:06 335 E mono rt ( 1844): 81efb000 81efc000    p 00000000 00:00 0 _x000D_
11 21 16:57:06 335 E mono rt ( 1844): 81efc000 81fff000 rw p 00000000 00:00 0 _x000D_
11 21 16:57:06 335 E mono rt ( 1844): 81fff000 82000000    p 00000000 00:00 0           anon:thread stack guard page _x000D_
11 21 16:57:06 335 E mono rt ( 1844): 82000000 82001000    p 00000000 00:00 0 _x000D_
11 21 16:57:06 335 E mono rt ( 1844): 82001000 820fe000 rw p 00000000 00:00 0           stack:2167 _x000D_
11 21 16:57:06 335 E mono rt ( 1844): 82100000 82101000    p 00000000 00:00 0           anon:thread stack guard page _x000D_
11 21 16:57:06 336 E mono rt ( 1844): 82101000 821ff000 rw p 00000000 00:00 0           stack:2253 _x000D_
11 21 16:57:06 336 E mono rt ( 1844): 821ff000 82200000    p 00000000 00:00 0           anon:thread stack guard page _x000D_
11 21 16:57:06 336 E mono rt ( 1844): 82200000 82201000    p 00000000 00:00 0 _x000D_
11 21 16:57:06 336 E mono rt ( 1844): 82201000 82300000 rw p 00000000 00:00 0           stack:2160 _x000D_
11 21 16:57:06 336 E mono rt ( 1844): 82300000 82400000 rw p 00000000 00:00 0           anon:libc malloc _x000D_
11 21 16:57:06 336 E mono rt ( 1844): 82401000 82402000    p 00000000 00:00 0           anon:thread stack guard page _x000D_
11 21 16:57:06 336 E mono rt ( 1844): 82402000 82403000    p 00000000 00:00 0 _x000D_
11 21 16:57:06 336 E mono rt ( 1844): 82403000 82500000 rw p 00000000 00:00 0 _x000D_
11 21 16:57:06 336 E mono rt ( 1844): 82500000 82580000 rw p 00000000 00:00 0           anon:libc malloc _x000D_
11 21 16:57:06 336 E mono rt ( 1844): 82601000 82a01000 rw s 00000000 00:05 18194       dev ashmem AudioFlinger::Client (deleted)_x000D_
11 21 16:57:06 336 E mono rt ( 1844): 82a01000 82a02000    p 00000000 00:00 0           anon:thread stack guard page _x000D_
11 21 16:57:06 336 E mono rt ( 1844): 82a02000 82b00000 rw p 00000000 00:00 0           stack:2008 _x000D_
11 21 16:57:06 337 E mono rt ( 1844): 82b00000 82c00000 rw p 00000000 00:00 0           anon:libc malloc _x000D_
11 21 16:57:06 337 E mono rt ( 1844): 82c80000 82d00000 rw p 00000000 00:00 0           anon:libc malloc _x000D_
11 21 16:57:06 337 E mono rt ( 1844): 82d7d000 82d7e000    p 00000000 00:00 0           anon:thread stack guard page _x000D_
11 21 16:57:06 337 E mono rt ( 1844): 82d7e000 82d7f000    p 00000000 00:00 0 _x000D_
11 21 16:57:06 337 E mono rt ( 1844): 82d7f000 82e7c000 rw p 00000000 00:00 0           stack:1980 _x000D_
11 21 16:57:06 337 E mono rt ( 1844): 82e7c000 82e7d000    p 00000000 00:00 0           anon:thread stack guard page _x000D_
11 21 16:57:06 337 E mono rt ( 1844): 82e7d000 82e7e000    p 00000000 00:00 0 _x000D_
11 21 16:57:06 337 E mono rt ( 1844): 82e7e000 82f7b000 rw p 00000000 00:00 0           stack:1979 _x000D_
11 21 16:57:06 337 E mono rt ( 1844): 82f7b000 82f7c000    p 00000000 00:00 0           anon:thread stack guard page _x000D_
11 21 16:57:06 337 E mono rt ( 1844): 82f7c000 8307a000 rw p 00000000 00:00 0           stack:2007 _x000D_
11 21 16:57:06 337 E mono rt ( 1844): 8307a000 8307b000    p 00000000 00:00 0           anon:thread stack guard page _x000D_
11 21 16:57:06 337 E mono rt ( 1844): 8307b000 8307c000    p 00000000 00:00 0 _x000D_
11 21 16:57:06 337 E mono rt ( 1844): 8307c000 8317f000 rw p 00000000 00:00 0           stack:1952 _x000D_
11 21 16:57:06 337 E mono rt ( 1844): 831ae000 83269000 r xp 00000000 b3:0f 98310       data app hfh athena mobile droid 1 lib arm libSnsr so_x000D_
11 21 16:57:06 337 E mono rt ( 1844): 83269000 8326a000    p 00000000 00:00 0 _x000D_
11 21 16:57:06 337 E mono rt ( 1844): 8326a000 8327d000 r  p 000bb000 b3:0f 98310       data app hfh athena mobile droid 1 lib arm libSnsr so_x000D_
11 21 16:57:06 337 E mono rt ( 1844): 8327d000 8327f000 rw p 000ce000 b3:0f 98310       data app hfh athena mobile droid 1 lib arm libSnsr so_x000D_
11 21 16:57:06 337 E mono rt ( 1844): 8327f000 83280000 rw p 00000000 00:00 0           anon: bss _x000D_
11 21 16:57:06 337 E mono rt ( 1844): 83280000 83300000 rw p 00000000 00:00 0           anon:libc malloc _x000D_
11 21 16:57:06 337 E mono rt ( 1844): 8337b000 8337c000    p 00000000 00:00 0           anon:thread stack guard page _x000D_
11 21 16:57:06 338 E mono rt ( 1844): 8337c000 8337d000    p 00000000 00:00 0 _x000D_
11 21 16:57:06 338 E mono rt ( 1844): 8337d000 8347a000 rw p 00000000 00:00 0           stack:1950 _x000D_
11 21 16:57:06 338 E mono rt ( 1844): 83480000 83500000 rw p 00000000 00:00 0 _x000D_
11 21 16:57:06 338 E mono rt ( 1844): 83501000 83502000    p 00000000 00:00 0           anon:thread stack guard page _x000D_
11 21 16:57:06 338 E mono rt ( 1844): 83502000 83600000 rw p 00000000 00:00 0           stack:2005 _x000D_
11 21 16:57:06 338 E mono rt ( 1844): 83600000 83700000 rw p 00000000 00:00 0           anon:libc malloc _x000D_
11 21 16:57:06 338 E mono rt ( 1844): 83713000 83714000    p 00000000 00:00 0           anon:thread stack guard page _x000D_
11 21 16:57:06 338 E mono rt ( 1844): 83714000 83715000    p 00000000 00:00 0 _x000D_
11 21 16:57:06 338 E mono rt ( 1844): 83715000 83818000 rw p 00000000 00:00 0           stack:1909 _x000D_
11 21 16:57:06 338 E mono rt ( 1844): 83818000 83a56000 r xp 00000000 b3:0f 98314       data app hfh athena mobile droid 1 lib arm libandroid platform so_x000D_
11 21 16:57:06 338 E mono rt ( 1844): 83a56000 83a57000    p 00000000 00:00 0 _x000D_
11 21 16:57:06 338 E mono rt ( 1844): 83a57000 83a6a000 r  p 0023e000 b3:0f 98314       data app hfh athena mobile droid 1 lib arm libandroid platform so_x000D_
11 21 16:57:06 338 E mono rt ( 1844): 83a6a000 83a73000 rw p 00251000 b3:0f 98314       data app hfh athena mobile droid 1 lib arm libandroid platform so_x000D_
11 21 16:57:06 338 E mono rt ( 1844): 83a73000 83a7b000 rw p 00000000 00:00 0           anon: bss _x000D_
11 21 16:57:06 339 E mono rt ( 1844): 83a7f000 83a80000    p 00000000 00:00 0           anon:thread stack guard page _x000D_
11 21 16:57:06 339 E mono rt ( 1844): 83a80000 83a81000    p 00000000 00:00 0 _x000D_
11 21 16:57:06 339 E mono rt ( 1844): 83a81000 83b80000 rw p 00000000 00:00 0           stack:1998 _x000D_
11 21 16:57:06 339 E mono rt ( 1844): 83b80000 83c00000 rw p 00000000 00:00 0           anon:libc malloc _x000D_
11 21 16:57:06 339 E mono rt ( 1844): 83c7b000 83c7c000    p 00000000 00:00 0           anon:thread stack guard page _x000D_
11 21 16:57:06 339 E mono rt ( 1844): 83c7c000 83c7d000    p 00000000 00:00 0 _x000D_
11 21 16:57:06 339 E mono rt ( 1844): 83c7d000 83d80000 rw p 00000000 00:00 0           stack:1893 _x000D_
11 21 16:57:06 339 E mono rt ( 1844): 83d80000 84000000 rw p 00000000 00:00 0           anon:libc malloc _x000D_
11 21 16:57:06 339 E mono rt ( 1844): 8401f000 84980000 rw s 00000000 00:05 18162       dev ashmem gralloc buffer (deleted)_x000D_
11 21 16:57:06 339 E mono rt ( 1844): 84980000 84a00000 rw p 00000000 00:00 0           anon:libc malloc _x000D_
11 21 16:57:06 339 E mono rt ( 1844): 84a04000 84a24000 rw p 00000000 00:05 18631       dev ashmem dalvik CompilerMetadata (deleted)_x000D_
11 21 16:57:06 339 E mono rt ( 1844): 84a24000 85385000 rw s 00000000 00:05 16212       dev ashmem gralloc buffer (deleted)_x000D_
11 21 16:57:06 339 E mono rt ( 1844): 85385000 8c0a9000 r  p 00000000 b3:0f 98306       data app hfh athena mobile droid 1 base apk_x000D_
11 21 16:57:06 339 E mono rt ( 1844): 8c0a9000 8c0ae000 r xp 00000000 b3:06 141         system bin app process32_x000D_
11 21 16:57:06 339 E mono rt ( 1844): 8c0ae000 8c0af000 r  p 00004000 b3:06 141         system bin app process32_x000D_
11 21 16:57:06 339 E mono rt ( 1844): 8c0af000 8c0b0000 rw p 00000000 00:00 0 _x000D_
11 21 16:57:06 339 E mono rt ( 1844): 8c0cb000 8c0eb000 rw p 00000000 00:05 18630       dev ashmem dalvik CompilerMetadata (deleted)_x000D_
11 21 16:57:06 339 E mono rt ( 1844): 8c11c000 8c19c000 rw p 00000000 00:00 0 _x000D_
11 21 16:57:06 339 E mono rt ( 1844): 8c19f000 8cb00000 rw s 00000000 00:05 18615       dev ashmem gralloc buffer (deleted)_x000D_
11 21 16:57:06 339 E mono rt ( 1844): 8cb00000 8cc00000 rw p 00000000 00:00 0           anon:libc malloc _x000D_
11 21 16:57:06 339 E mono rt ( 1844): 8cc00000 8cd80000 rw p 00000000 00:00 0           anon:libc malloc _x000D_
11 21 16:57:06 339 E mono rt ( 1844): 8cd82000 8cd92000 rwxp 00000000 00:00 0 _x000D_
11 21 16:57:06 339 E mono rt ( 1844): 8cd9e000 8cdfe000 rwxp 00000000 00:00 0 _x000D_
11 21 16:57:06 339 E mono rt ( 1844): 8ce7f000 8ce80000    p 00000000 00:00 0           anon:thread stack guard page _x000D_
11 21 16:57:06 339 E mono rt ( 1844): 8ce80000 8ce81000    p 00000000 00:00 0 _x000D_
11 21 16:57:06 339 E mono rt ( 1844): 8ce81000 8cf80000 rw p 00000000 00:00 0           stack:2152 _x000D_
11 21 16:57:06 339 E mono rt ( 1844): 8cf80000 8d080000 rw p 00000000 00:00 0           anon:libc malloc _x000D_
11 21 16:57:06 339 E mono rt ( 1844): 8d081000 8d082000    p 00000000 00:00 0           anon:thread signal stack guard page _x000D_
11 21 16:57:06 340 E mono rt ( 1844): 8d082000 8d084000 rw p 00000000 00:00 0           anon:thread signal stack _x000D_
11 21 16:57:06 340 E mono rt ( 1844): 8d08a000 8d08c000 rw p 00000000 00:05 18201       dev ashmem dalvik indirect ref table (deleted)_x000D_
11 21 16:57:06 340 E mono rt ( 1844): 8d08f000 8d0ff000 rwxp 00000000 00:00 0 _x000D_
11 21 16:57:06 340 E mono rt ( 1844): 8d0ff000 8d100000    p 00000000 00:00 0           anon:thread stack guard page _x000D_
11 21 16:57:06 340 E mono rt ( 1844): 8d100000 8d101000    p 00000000 00:00 0 _x000D_
11 21 16:57:06 340 E mono rt ( 1844): 8d101000 8d200000 rw p 00000000 00:00 0           stack:1882 _x000D_
11 21 16:57:06 340 E mono rt ( 1844): 8d200000 8d300000 rw p 00000000 00:00 0           anon:libc malloc _x000D_
11 21 16:57:06 340 E mono rt ( 1844): 8d301000 8d302000    p 00000000 00:00 0           anon:thread signal stack guard page _x000D_
11 21 16:57:06 340 E mono rt ( 1844): 8d302000 8d304000 rw p 00000000 00:00 0           anon:thread signal stack _x000D_
11 21 16:57:06 340 E mono rt ( 1844): 8d30c000 8d30d000    p 00000000 00:00 0           anon:thread signal stack guard page _x000D_
11 21 16:57:06 340 E mono rt ( 1844): 8d30d000 8d30f000 rw p 00000000 00:00 0           anon:thread signal stack _x000D_
11 21 16:57:06 340 E mono rt ( 1844): 8d30f000 8d37f000 rwxp 00000000 00:00 0 _x000D_
11 21 16:57:06 340 E mono rt ( 1844): 8d37f000 8d380000    p 00000000 00:00 0           anon:thread stack guard page _x000D_
11 21 16:57:06 340 E mono rt ( 1844): 8d380000 8d381000    p 00000000 00:00 0 _x000D_
11 21 16:57:06 340 E mono rt ( 1844): 8d381000 8d480000 rw p 00000000 00:00 0           stack:1880 _x000D_
11 21 16:57:06 340 E mono rt ( 1844): 8d480000 8d580000 rw p 00000000 00:00 0           anon:libc malloc _x000D_
11 21 16:57:06 340 E mono rt ( 1844): 8d580000 8d582000 rw p 00000000 00:05 16259       dev ashmem dalvik indirect ref table (deleted)_x000D_
11 21 16:57:06 340 E mono rt ( 1844): 8d582000 8d584000 rw p 00000000 00:05 18165       dev ashmem dalvik indirect ref table (deleted)_x000D_
11 21 16:57:06 340 E mono rt ( 1844): 8d58c000 8d5fc000 rwxp 00000000 00:00 0 _x000D_
11 21 16:57:06 340 E mono rt ( 1844): 8d604000 8d624000 r  s 00000000 00:11 1302        dev   properties   u:object r:net radio prop:s0_x000D_
11 21 16:57:06 340 E mono rt ( 1844): 8d624000 8d634000 rwxp 00000000 00:00 0 _x000D_
11 21 16:57:06 341 E mono rt ( 1844): 8d634000 8d638000 rw p 00000000 00:00 0 _x000D_
11 21 16:57:06 341 E mono rt ( 1844): 8d63c000 8d640000 rw p 00000000 00:00 0 _x000D_
11 21 16:57:06 341 E mono rt ( 1844): 8d645000 8d646000    p 00000000 00:00 0           anon:thread signal stack guard page _x000D_
11 21 16:57:06 341 E mono rt ( 1844): 8d646000 8d648000 rw p 00000000 00:00 0           anon:thread signal stack _x000D_
11 21 16:57:06 341 E mono rt ( 1844): 8d64b000 8d64c000    p 00000000 00:00 0           anon:thread signal stack guard page _x000D_
11 21 16:57:06 341 E mono rt ( 1844): 8d64c000 8d64e000 rw p 00000000 00:00 0           anon:thread signal stack _x000D_
11 21 16:57:06 341 E mono rt ( 1844): 8d64e000 8d65e000 rwxp 00000000 00:00 0 _x000D_
11 21 16:57:06 341 E mono rt ( 1844): 8d65e000 8d65f000    p 00000000 00:00 0           anon:thread signal stack guard page _x000D_
11 21 16:57:06 341 E mono rt ( 1844): 8d65f000 8d661000 rw p 00000000 00:00 0           anon:thread signal stack _x000D_
11 21 16:57:06 341 E mono rt ( 1844): 8d661000 8d662000    p 00000000 00:00 0           anon:thread signal stack guard page _x000D_
11 21 16:57:06 341 E mono rt ( 1844): 8d662000 8d664000 rw p 00000000 00:00 0           anon:thread signal stack _x000D_
11 21 16:57:06 341 E mono rt ( 1844): 8d664000 8d6e4000 rw p 00000000 00:00 0 _x000D_
11 21 16:57:06 341 E mono rt ( 1844): 8d6e5000 8d6f5000 rwxp 00000000 00:00 0 _x000D_
11 21 16:57:06 341 E mono rt ( 1844): 8d6f5000 8d6f6000    p 00000000 00:00 0           anon:thread signal stack guard page _x000D_
11 21 16:57:06 341 E mono rt ( 1844): 8d6f6000 8d6f8000 rw p 00000000 00:00 0           anon:thread signal stack _x000D_
11 21 16:57:06 341 E mono rt ( 1844): 8d6f8000 8d6fc000 rw p 00000000 00:00 0 _x000D_
11 21 16:57:06 341 E mono rt ( 1844): 8d6fe000 8d70e000 rwxp 00000000 00:00 0 _x000D_
11 21 16:57:06 341 E mono rt ( 1844): 8d70e000 8d71c000 rw p 00000000 00:00 0 _x000D_
11 21 16:57:06 341 E mono rt ( 1844): 8d71c000 8d71d000    p 00000000 00:00 0           anon:thread stack guard page _x000D_
11 21 16:57:06 341 E mono rt ( 1844): 8d71d000 8d71e000    p 00000000 00:00 0 _x000D_
11 21 16:57:06 341 E mono rt ( 1844): 8d71e000 8d81d000 rw p 00000000 00:00 0           stack:2159 _x000D_
11 21 16:57:06 341 E mono rt ( 1844): 8d81e000 8d82e000 rwxp 00000000 00:00 0 _x000D_
11 21 16:57:06 341 E mono rt ( 1844): 8d82e000 8d82f000    p 00000000 00:00 0           anon:thread signal stack guard page _x000D_
11 21 16:57:06 341 E mono rt ( 1844): 8d82f000 8d831000 rw p 00000000 00:00 0           stack:2251 _x000D_
11 21 16:57:06 341 E mono rt ( 1844): 8d831000 8d832000 rw p 00000000 00:00 0 _x000D_
11 21 16:57:06 342 E mono rt ( 1844): 8d834000 8d83b000 rw p 00000000 00:00 0 _x000D_
11 21 16:57:06 342 E mono rt ( 1844): 8d83d000 8d83e000    p 00000000 00:00 0           anon:thread signal stack guard page _x000D_
11 21 16:57:06 342 E mono rt ( 1844): 8d83e000 8d840000 rw p 00000000 00:00 0           anon:thread signal stack _x000D_
11 21 16:57:06 342 E mono rt ( 1844): 8d842000 8d843000 rw p 00000000 00:00 0 _x000D_
11 21 16:57:06 342 E mono rt ( 1844): 8d844000 8d846000 rw p 00000000 00:05 18347       dev ashmem dalvik indirect ref table (deleted)_x000D_
11 21 16:57:06 342 E mono rt ( 1844): 8d846000 8d849000 rw p 00000000 00:00 0 _x000D_
11 21 16:57:06 342 E mono rt ( 1844): 8d849000 8d84b000 rw p 00000000 00:05 16362       dev ashmem dalvik indirect ref table (deleted)_x000D_
11 21 16:57:06 342 E mono rt ( 1844): 8d84b000 8d84f000 rw p 00000000 00:00 0 _x000D_
11 21 16:57:06 342 E mono rt ( 1844): 8d84f000 8d850000    p 00000000 00:00 0           anon:thread signal stack guard page _x000D_
11 21 16:57:06 342 E mono rt ( 1844): 8d850000 8d852000 rw p 00000000 00:00 0           anon:thread signal stack _x000D_
11 21 16:57:06 342 E mono rt ( 1844): 8d852000 8d8d4000 rw p 00000000 00:00 0 _x000D_
11 21 16:57:06 342 E mono rt ( 1844): 8d8d4000 8d8d6000 rw p 00000000 00:05 17256       dev ashmem dalvik indirect ref table (deleted)_x000D_
11 21 16:57:06 342 E mono rt ( 1844): 8d8d6000 8d8e6000 rwxp 00000000 00:00 0 _x000D_
11 21 16:57:06 342 E mono rt ( 1844): 8d8e6000 8d8e7000 rw p 00000000 00:00 0 _x000D_
11 21 16:57:06 342 E mono rt ( 1844): 8d8e7000 8d8e8000    p 00000000 00:00 0           anon:thread signal stack guard page _x000D_
11 21 16:57:06 342 E mono rt ( 1844): 8d8e8000 8d8ea000 rw p 00000000 00:00 0           anon:thread signal stack _x000D_
11 21 16:57:06 342 E mono rt ( 1844): 8d8ea000 8d8ec000 rw p 00000000 00:00 0 _x000D_
11 21 16:57:06 342 E mono rt ( 1844): 8d8ec000 8d8ed000    p 00000000 00:00 0           anon:thread stack guard page _x000D_
11 21 16:57:06 342 E mono rt ( 1844): 8d8ed000 8d8ee000    p 00000000 00:00 0 _x000D_
11 21 16:57:06 342 E mono rt ( 1844): 8d8ee000 8d9ed000 rw p 00000000 00:00 0           stack:2143 _x000D_
11 21 16:57:06 342 E mono rt ( 1844): 8d9ed000 8d9f0000 rw p 00000000 00:00 0 _x000D_
11 21 16:57:06 342 E mono rt ( 1844): 8d9f0000 8da00000 rwxp 00000000 00:00 0 _x000D_
11 21 16:57:06 342 E mono rt ( 1844): 8da00000 8db80000 rw p 00000000 00:00 0           anon:libc malloc _x000D_
11 21 16:57:06 342 E mono rt ( 1844): 8db80000 8db84000 rw p 00000000 00:00 0 _x000D_
11 21 16:57:06 343 E mono rt ( 1844): 8db84000 8db85000    p 00000000 00:00 0           anon:thread signal stack guard page _x000D_
11 21 16:57:06 343 E mono rt ( 1844): 8db85000 8db87000 rw p 00000000 00:00 0           anon:thread signal stack _x000D_
11 21 16:57:06 343 E mono rt ( 1844): 8db87000 8db8c000 r xp 00000000 b3:06 866         system lib hw gralloc rpi3 so_x000D_
11 21 16:57:06 343 E mono rt ( 1844): 8db8c000 8db8d000 r  p 00004000 b3:06 866         system lib hw gralloc rpi3 so_x000D_
11 21 16:57:06 343 E mono rt ( 1844): 8db8d000 8db8e000 rw p 00005000 b3:06 866         system lib hw gralloc rpi3 so_x000D_
11 21 16:57:06 343 E mono rt ( 1844): 8db8e000 8db9e000 rwxp 00000000 00:00 0 _x000D_
11 21 16:57:06 343 E mono rt ( 1844): 8db9e000 8db9f000    p 00000000 00:00 0           anon:thread signal stack guard page _x000D_
11 21 16:57:06 343 E mono rt ( 1844): 8db9f000 8dba1000 rw p 00000000 00:00 0           anon:thread signal stack _x000D_
11 21 16:57:06 343 E mono rt ( 1844): 8dba1000 8dba3000 rw p 00000000 00:05 16213       dev ashmem dalvik indirect ref table (deleted)_x000D_
11 21 16:57:06 343 E mono rt ( 1844): 8dba3000 8dba5000 rw p 00000000 00:00 0 _x000D_
11 21 16:57:06 343 E mono rt ( 1844): 8dba5000 8dba6000    p 00000000 00:00 0           anon:thread signal stack guard page _x000D_
11 21 16:57:06 343 E mono rt ( 1844): 8dba6000 8dba8000 rw p 00000000 00:00 0           anon:thread signal stack _x000D_
11 21 16:57:06 343 E mono rt ( 1844): 8dba8000 8dbad000 rw p 00000000 00:00 0 _x000D_
11 21 16:57:06 343 E mono rt ( 1844): 8dbad000 8dbbd000 rwxp 00000000 00:00 0 _x000D_
11 21 16:57:06 343 E mono rt ( 1844): 8dbbd000 8dbbf000 rw p 00000000 00:05 16200       dev ashmem dalvik indirect ref table (deleted)_x000D_
11 21 16:57:06 343 E mono rt ( 1844): 8dbbf000 8dbff000 rwxp 00000000 00:00 0 _x000D_
11 21 16:57:06 343 E mono rt ( 1844): 8dbff000 8dc00000 rw p 00000000 00:00 0 _x000D_
11 21 16:57:06 343 E mono rt ( 1844): 8dc00000 8dc80000 rw p 00000000 00:00 0           anon:libc malloc _x000D_
11 21 16:57:06 343 E mono rt ( 1844): 8dc80000 8dc81000 rw p 00000000 00:00 0 _x000D_
11 21 16:57:06 343 E mono rt ( 1844): 8dc81000 8dc82000    p 00000000 00:00 0           anon:thread signal stack guard page _x000D_
11 21 16:57:06 343 E mono rt ( 1844): 8dc82000 8dc84000 rw p 00000000 00:00 0           anon:thread signal stack _x000D_
11 21 16:57:06 343 E mono rt ( 1844): 8dc84000 8dca4000 rwxp 00000000 00:00 0 _x000D_
11 21 16:57:06 343 E mono rt ( 1844): 8dca4000 8dca6000 rw p 00000000 00:05 16196       dev ashmem dalvik indirect ref table (deleted)_x000D_
11 21 16:57:06 343 E mono rt ( 1844): 8dca6000 8dca7000    p 00000000 00:00 0           anon:thread signal stack guard page _x000D_
11 21 16:57:06 343 E mono rt ( 1844): 8dca7000 8dca9000 rw p 00000000 00:00 0           anon:thread signal stack _x000D_
11 21 16:57:06 343 E mono rt ( 1844): 8dca9000 8dcb9000 rwxp 00000000 00:00 0 _x000D_
11 21 16:57:06 344 E mono rt ( 1844): 8dcb9000 8dcba000    p 00000000 00:00 0           anon:thread signal stack guard page _x000D_
11 21 16:57:06 344 E mono rt ( 1844): 8dcba000 8dcbc000 rw p 00000000 00:00 0           anon:thread signal stack _x000D_
11 21 16:57:06 344 E mono rt ( 1844): 8dcbc000 8dcbf000 rw p 00000000 00:00 0 _x000D_
11 21 16:57:06 344 E mono rt ( 1844): 8dcbf000 8dcc0000 rw p 00000000 00:00 0 _x000D_
11 21 16:57:06 344 E mono rt ( 1844): 8dcc0000 8dd00000 rwxp 00000000 00:00 0 _x000D_
11 21 16:57:06 344 E mono rt ( 1844): 8dd00000 8dd80000 rw p </t>
  </si>
  <si>
    <t>ponewheel-android-ponewheel-30</t>
  </si>
  <si>
    <t>Accessing logged rides crashes app</t>
  </si>
  <si>
    <t xml:space="preserve">Testing out the database updates  sometimes it opens the logged ride  and as soon as I try and move the map I get a crash  _x000D_
_x000D_
The exception that gets thrown:_x000D_
_x000D_
 11 29 10:08:03 337  9197  9268 E AndroidRuntime: Process: net kwatts powtools  PID: 9197_x000D_
11 29 10:08:03 337  9197  9268 E AndroidRuntime:      at net kwatts powtools MapActivity setupChart(MapActivity java:250)_x000D_
11 29 10:08:03 337  9197  9268 E AndroidRuntime:      at net kwatts powtools MapActivity lambda onCreate 0 MapActivity(MapActivity java:89)_x000D_
11 29 10:08:03 337  9197  9268 E AndroidRuntime:      at net kwatts powtools MapActivity  Lambda 0 run(Unknown Source)_x000D_
11 29 10:08:03 337  9197  9268 E AndroidRuntime:      at net kwatts powtools App lambda dbExecute 25 App(App java:58)_x000D_
11 29 10:08:03 337  9197  9268 E AndroidRuntime:      at net kwatts powtools App  Lambda 0 run(Unknown Source)_x000D_
11 29 10:08:03 349  1149  3228 W ActivityManager:   Force finishing activity net kwatts powtools  MapActivity_x000D_
11 29 10:13:01 039  1149  3228 W ActivityManager:   Force finishing activity net kwatts powtools  RidesListActivity_x000D_
11 29 10:13:01 140  1149  3228 W ActivityManager:   Force finishing activity net kwatts powtools  MainActivity _x000D_
_x000D_
And other times this: _x000D_
_x000D_
 11 29 10:21:54 650 11980 12343 E AndroidRuntime: FATAL EXCEPTION: pool 1 thread 1_x000D_
11 29 10:21:54 650 11980 12343 E AndroidRuntime: Process: net kwatts powtools  PID: 11980_x000D_
11 29 10:21:54 650 11980 12343 E AndroidRuntime: android view ViewRootImpl CalledFromWrongThreadException: Only the original thread that created a view hierarchy can touch its views _x000D_
11 29 10:21:54 650 11980 12343 E AndroidRuntime:      at android view ViewRootImpl checkThread(ViewRootImpl java:6892)_x000D_
11 29 10:21:54 650 11980 12343 E AndroidRuntime:      at android view ViewRootImpl requestLayout(ViewRootImpl java:1048)_x000D_
11 29 10:21:54 650 11980 12343 E AndroidRuntime:      at android view View requestLayout(View java:19781)_x000D_
11 29 10:21:54 650 11980 12343 E AndroidRuntime:      at android view View requestLayout(View java:19781)_x000D_
11 29 10:21:54 650 11980 12343 E AndroidRuntime:      at android view View requestLayout(View java:19781)_x000D_
11 29 10:21:54 650 11980 12343 E AndroidRuntime:      at android view View requestLayout(View java:19781)_x000D_
11 29 10:21:54 650 11980 12343 E AndroidRuntime:      at android view View requestLayout(View java:19781)_x000D_
11 29 10:21:54 650 11980 12343 E AndroidRuntime:      at android view View requestLayout(View java:19781)_x000D_
11 29 10:21:54 650 11980 12343 E AndroidRuntime:      at android view View requestLayout(View java:19781)_x000D_
11 29 10:21:54 650 11980 12343 E AndroidRuntime:      at android view View setBackgroundDrawable(View java:18356)_x000D_
11 29 10:21:54 650 11980 12343 E AndroidRuntime:      at android view View setBackground(View java:18247)_x000D_
11 29 10:21:54 650 11980 12343 E AndroidRuntime:      at android view View setBackgroundColor(View java:18209)_x000D_
11 29 10:21:54 650 11980 12343 E AndroidRuntime:      at net kwatts powtools MapActivity setupChart(MapActivity java:250)_x000D_
11 29 10:21:54 650 11980 12343 E AndroidRuntime:      at net kwatts powtools MapActivity lambda onCreate 0 MapActivity(MapActivity java:89)_x000D_
11 29 10:21:54 650 11980 12343 E AndroidRuntime:      at net kwatts powtools MapActivity  Lambda 0 run(Unknown Source)_x000D_
11 29 10:21:54 650 11980 12343 E AndroidRuntime:      at net kwatts powtools App lambda dbExecute 25 App(App java:58)_x000D_
11 29 10:21:54 650 11980 12343 E AndroidRuntime:      at net kwatts powtools App  Lambda 0 run(Unknown Source)_x000D_
11 29 10:21:54 650 11980 12343 E AndroidRuntime:      at java util concurrent ThreadPoolExecutor runWorker(ThreadPoolExecutor java:1133)_x000D_
11 29 10:21:54 650 11980 12343 E AndroidRuntime:      at java util concurrent ThreadPoolExecutor Worker run(ThreadPoolExecutor java:607)_x000D_
11 29 10:21:54 650 11980 12343 E AndroidRuntime:      at java lang Thread run(Thread java:761)_x000D_
11 29 10:21:54 654  1149  2453 W ActivityManager:   Force finishing activity net kwatts powtools  MapActivity _x000D_
_x000D_
I ll dig into it deeper as well  </t>
  </si>
  <si>
    <t>bpercy11-CalfTrackerRepo-2</t>
  </si>
  <si>
    <t>Tasks observation tab dialog crashes</t>
  </si>
  <si>
    <t xml:space="preserve">App crashes on observation tab dialog confirm if there are no illnesses defined </t>
  </si>
  <si>
    <t>andOTP-andOTP-76</t>
  </si>
  <si>
    <t>andOTP crashes the launcher and Settings-Apps</t>
  </si>
  <si>
    <t xml:space="preserve">     General information_x000D_
_x000D_
    App version:   Version 0 3 0 (11)   Added on 2017 11 28 _x000D_
    App source:   F Droid_x000D_
    Android Version:   6 0 1_x000D_
    Custom ROM:   KonstaKANG LineageOS _x000D_
_x000D_
     Expected result_x000D_
  What is expected    _x000D_
The app installs upgrades without crashes parts of the system or the whole system _x000D_
_x000D_
  What does happen instead   _x000D_
It crashes the App Launcher and Settings    Apps Menu _x000D_
No uninstallation possible without ADB access _x000D_
_x000D_
_x000D_
     Steps to reproduce_x000D_
 _x000D_
   Install latest version _x000D_
_x000D_
I got this same issue with mastalab  but without crashing the launcher  it could be the same root here:_x000D_
_x000D_
The problems are the Android SDK Platform 25 and 26  with 27 (revision: 1) it should work like a charm _x000D_
_x000D_
Sources:_x000D_
https:  github com stom79 mastalab issues 31_x000D_
What helped us figuring this out:  https:  forums bitfire at topic 1603 replicant lineage 1 9 1 causing instant crash and bootloops 15_x000D_
_x000D_
</t>
  </si>
  <si>
    <t>netceteragroup-react-native-twitterkit-19</t>
  </si>
  <si>
    <t>Fixed a crash when the view is removed while the tweet is being loaded</t>
  </si>
  <si>
    <t xml:space="preserve">Fixed a crash that happens when the view is removed from hierarchy before the tweet is loaded  When the tweet is loaded and the view needs to be resized  there is an assertion that fails because the shadow view is no longer in the hierarchy  In this case React Native s UI manager throws an error and the app crashes </t>
  </si>
  <si>
    <t>Freeyourgadget-Gadgetbridge-897</t>
  </si>
  <si>
    <t>Gadgetbridge crashes when trying to add third party pebble apps</t>
  </si>
  <si>
    <t xml:space="preserve">     Before opening an issue please confirm the following:_x000D_
   X  I have searched the  issues (https:  github com Freeyourgadget Gadgetbridge issues)  and I didn t find a solution to my problem   an answer to my question _x000D_
   X  I have read the  wiki (https:  github com Freeyourgadget Gadgetbridge wiki)  and I didn t find a solution to my problem   an answer to my question _x000D_
   X  If you upload an image or other content  please make sure you have read and understood the  github policies and terms of services (https:  help github com articles github terms of service  1 responsibility for user generated content)_x000D_
_x000D_
     Your issue is:_x000D_
Gadgetbridge crashes as soon as I press the button to look for third party pebble app files on the system _x000D_
_x000D_
Log: https:  gist github com Kurolox 7be96c6e06975716af4534dfb3a0cde4_x000D_
_x000D_
     Your wearable device is:_x000D_
Pebble time (Firmware 4 3)_x000D_
_x000D_
     Your android version is:_x000D_
Android 7 1 2_x000D_
_x000D_
     Your Gadgetbridge version is:_x000D_
0 22 4_x000D_
_x000D_
_x000D_
_x000D_
 New issues about already solved documented topics could be closed without further comments  Same for too generic or incomplete reports  _x000D_
</t>
  </si>
  <si>
    <t>bumptech-glide-2658</t>
  </si>
  <si>
    <t>NullPointerException: Attempt to invoke virtual method 'int com.b.a.i.ordinal()' on a null object reference</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</si>
  <si>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This is a bug reported by users  Seems to be a random bug so far  I wasn t be able to get the bug reproduced yet  However  I get couple of bug reports on Firebase crash report every day  So I think it is worth to report the bug here and hopefully a fix soon  Thanks _x000D_
_x000D_
     What version of Glide you re running  for example: 3 7 1   3 8 0 SNAPSHOT   4 0 0 SNAPSHOT_x000D_
It s essentially the version number from your build gradle:  dependencies   compile     :x y z        _x000D_
  Glide Version  : 4 3 1_x000D_
_x000D_
     Do you use any integration library  like OkHttp3 or Volley  For example:_x000D_
Fails to display with stock networking  but works with okhttp3 1 4 0    _x000D_
  Integration libraries  : Android Architecture Components v1 0 0_x000D_
_x000D_
     What devices you managed to get the issue to come up on  For example:_x000D_
fails on Galaxy S4 GT I9500 4 4 2  works fine on Nexus 6P 5 1 and Genymotion Nexus 5 5 0 1    _x000D_
  Device Android Version  : Various devices and Android versions _x000D_
_x000D_
     Share the details of your issue in prose  detailing actual and expected behavior  It also helps if you give some info   why   you are trying to do something as opposed to   what   is not working     _x000D_
  Issue details   Repro steps   Use case background  : _x000D_
_x000D_
     How do you use Glide _x000D_
Make sure you include everything as is in your app s code:_x000D_
Changing a single method parameter can yield totally different results _x000D_
Please clarify any magic variables that appear in the code  for example:      this  is a Fragment _x000D_
   _x000D_
  Glide load line    GlideModule  (if any)   list Adapter code (if any)  :_x000D_
   java_x000D_
Glide with   _x000D_
   _x000D_
_x000D_
     How does your app look like _x000D_
We re most interested in the layout attributes and the hierarchy around the ImageView    _x000D_
  Layout XML  :_x000D_
   xml_x000D_
 FrameLayout xmlns:android     _x000D_
   _x000D_
_x000D_
    _x000D_
What is the error message that you got in the log _x000D_
You can find some help on diagnosing issues here: https:  github com bumptech glide wiki Debugging and Error Handling_x000D_
   _x000D_
  Stack trace   LogCat  :_x000D_
   _x000D_
Exception java lang NullPointerException: Attempt to invoke virtual method  int com b a i ordinal()  on a null object reference_x000D_
com bumptech glide load engine DecodeJob getPriority (DecodeJob java:204)_x000D_
com bumptech glide load engine DecodeJob compareTo (DecodeJob java:196)_x000D_
com bumptech glide load engine DecodeJob compareTo (DecodeJob java:37)_x000D_
java util concurrent PriorityBlockingQueue siftUpComparable (PriorityBlockingQueue java:322)_x000D_
java util concurrent PriorityBlockingQueue offer (PriorityBlockingQueue java:450)_x000D_
java util concurrent ThreadPoolExecutor execute (ThreadPoolExecutor java:1332)_x000D_
com bumptech glide load engine executor GlideExecutor execute (GlideExecutor java:255)_x000D_
com bumptech glide load engine EngineJob start (EngineJob java:115)_x000D_
com bumptech glide load engine Engine load (Engine java:229)_x000D_
com bumptech glide request SingleRequest onSizeReady (SingleRequest java:443)_x000D_
com bumptech glide request target ViewTarget SizeDeterminer getSize (ViewTarget java:250)_x000D_
com bumptech glide request target ViewTarget getSize (ViewTarget java:89)_x000D_
com bumptech glide request SingleRequest begin (SingleRequest java:257)_x000D_
com bumptech glide request ErrorRequestCoordinator begin (ErrorRequestCoordinator java:26)_x000D_
com bumptech glide manager RequestTracker resumeRequests (RequestTracker java:95)_x000D_
com bumptech glide RequestManager resumeRequests (RequestManager java:245)_x000D_
com bumptech glide RequestManager onStart (RequestManager java:268)_x000D_
com bumptech glide manager ActivityFragmentLifecycle onStart (ActivityFragmentLifecycle java:50)_x000D_
com bumptech glide manager SupportRequestManagerFragment onStart (SupportRequestManagerFragment java:175)_x000D_
android support v4 app Fragment performStart (Fragment java:2287)_x000D_
android support v4 app FragmentManagerImpl moveToState (FragmentManagerImpl java:1458)_x000D_
android support v4 app FragmentManagerImpl moveFragmentToExpectedState (FragmentManagerImpl java:1750)_x000D_
android support v4 app FragmentManagerImpl moveToState (FragmentManagerImpl java:1819)_x000D_
android support v4 app BackStackRecord executeOps (BackStackRecord java:797)_x000D_
android support v4 app FragmentManagerImpl executeOps (FragmentManagerImpl java:2590)_x000D_
android support v4 app FragmentManagerImpl executeOpsTogether (FragmentManagerImpl java:2377)_x000D_
android support v4 app FragmentManagerImpl removeRedundantOperationsAndExecute (FragmentManagerImpl java:2332)_x000D_
android support v4 app FragmentManagerImpl execPendingActions (FragmentManagerImpl java:2239)_x000D_
android support v4 app FragmentManagerImpl 1 run (FragmentManagerImpl java:700)_x000D_
android os Handler handleCallback (Handler java:739)_x000D_
android os Handler dispatchMessage (Handler java:95)_x000D_
android os Looper loop (Looper java:158)_x000D_
android app ActivityThread main (ActivityThread java:7225)_x000D_
java lang reflect Method invoke (Method java)_x000D_
com android internal os ZygoteInit MethodAndArgsCaller run (ZygoteInit java:1230)_x000D_
com android internal os ZygoteInit main (ZygoteInit java:1120)_x000D_
   _x000D_
_x000D_
     Bonus points if you attach a relevant screenshot  screen recording or a small demo project    _x000D_
</t>
  </si>
  <si>
    <t>requery-requery-731</t>
  </si>
  <si>
    <t>RxJava `observableResult()` accumulating iterators until complete</t>
  </si>
  <si>
    <t>I confronted with behavior that query with  observableResult()  will accumulate iterators in itself until close  It can take a lot of memory for long live observables and cause OOM exception with app crash _x000D_
_x000D_
For example select lis of entities:_x000D_
   _x000D_
dataStore_x000D_
 select(CarEntity class)_x000D_
 where(CarEntity DRIVER ID eq(driverId))_x000D_
 get()_x000D_
 observableResult()_x000D_
 observeOn(Schedulers io())_x000D_
 map(cars    cars toList())_x000D_
 subscribe(   ) _x000D_
   _x000D_
On every CarEntity related commit _x000D_
  map(cars    cars toList()) _x000D_
will be called which leads to creation of Iterator  see BaseResult toList() implementation _x000D_
_x000D_
So  is there any way to get only current (last) iterator and do not store history of them  Do not use   Queue CloseableIterator E   iterators  at all</t>
  </si>
  <si>
    <t>zeevy-grblcontroller-8</t>
  </si>
  <si>
    <t>DeviceListActivity.java line 51</t>
  </si>
  <si>
    <t xml:space="preserve">     in in co gorest grblcontroller DeviceListActivity onCreate_x000D_
_x000D_
Device: F 01F_x000D_
OS: 4 4 2_x000D_
 in co gorest grblcontroller issue 42 crash 5A2143D2017700015C28A704ECE77873 3a92b551d68f11e7a40656847afe9799 0 v2 txt (https:  github com zeevy grblcontroller files 1521709 in co gorest grblcontroller issue 42 crash 5A2143D2017700015C28A704ECE77873 3a92b551d68f11e7a40656847afe9799 0 v2 txt)_x000D_
_x000D_
_x000D_
</t>
  </si>
  <si>
    <t>CMPUT301F17T29-HabitUp-194</t>
  </si>
  <si>
    <t>App Crash with accounts that possibly have wrong profile photo format?</t>
  </si>
  <si>
    <t xml:space="preserve">Discovered this bug when I tried to go to the Find a User screen and it crashed the app  I found that by commenting out this line in the FindUserAdapter  line 48:_x000D_
_x000D_
   _x000D_
if (result getPhoto()    null)  _x000D_
  resultPhoto setImageBitmap(result getPhoto()) _x000D_
 _x000D_
   _x000D_
_x000D_
it didn t crash the app anymore so it must have something to do with profile photos _x000D_
When I tried to login to the other 2 user accounts  it crashes upon login  Could this might be because a non webcam photo was added to the user s set profile photo </t>
  </si>
  <si>
    <t>tanrabad-survey-45</t>
  </si>
  <si>
    <t xml:space="preserve">     in org tanrabad survey presenter LoginController shouldUploadOldUserData
  Number of crashes: 1
  Impacted devices: 1
There s a lot more information about this crash on crashlytics com:
 https:  fabric io tanrabad android apps org tanrabad survey issues 5a20db3461b02d480da04e30 utm medium service hooks github utm source issue impact (https:  fabric io tanrabad android apps org tanrabad survey issues 5a20db3461b02d480da04e30 utm medium service hooks github utm source issue impact)</t>
  </si>
  <si>
    <t>OpenLauncherTeam-openlauncher-291</t>
  </si>
  <si>
    <t>App crashes when opening app drawer</t>
  </si>
  <si>
    <t xml:space="preserve">     General information_x000D_
_x000D_
    App Version:   0 5 8(alpha)_x000D_
    Android Version:   7 1 2_x000D_
_x000D_
     Expected result_x000D_
  What is expected    _x000D_
The app drawer should open  _x000D_
_x000D_
  What does happen instead   _x000D_
The app crashes (error details below) _x000D_
   Build version: 0 5 8(alpha) _x000D_
Build date: 1979 11 30 00:00:00 _x000D_
Current date: 2017 12 01 22:54:27 _x000D_
Device: LGE LG v410 _x000D_
 _x000D_
Stack trace:  _x000D_
java lang StringIndexOutOfBoundsException: length 20  regionStart 0  regionLength 21_x000D_
	at java lang String substring(String java:1931)_x000D_
	at com benny openlauncher core widget AppItemView onDraw(AppItemView java:196)_x000D_
	at android view View draw(View java:17189)_x000D_
	at android view View updateDisplayListIfDirty(View java:16171)_x000D_
	at android view View draw(View java:16955)_x000D_
	at android view ViewGroup drawChild(ViewGroup java:3727)_x000D_
	at android support v7 widget RecyclerView drawChild(RecyclerView java:4607)_x000D_
	at android view ViewGroup dispatchDraw(ViewGroup java:3513)_x000D_
	at android view View draw(View java:17192)_x000D_
	at android support v7 widget RecyclerView draw(RecyclerView java:4013)_x000D_
	at android view View updateDisplayListIfDirty(View java:16171)_x000D_
	at android view View draw(View java:16955)_x000D_
	at android view ViewGroup drawChild(ViewGroup java:3727)_x000D_
	at android view ViewGroup dispatchDraw(ViewGroup java:3513)_x000D_
	at android view View updateDisplayListIfDirty(View java:16166)_x000D_
	at android view View draw(View java:16955)_x000D_
	at android view ViewGroup drawChild(ViewGroup java:3727)_x000D_
	at android view ViewGroup dispatchDraw(ViewGroup java:3513)_x000D_
	at android view View draw(View java:17192)_x000D_
	at android view View updateDisplayListIfDirty(View java:16171)_x000D_
	at android view View draw(View java:16955)_x000D_
	at android view ViewGroup drawChild(ViewGroup java:3727)_x000D_
	at io codetail widget RevealFrameLayout drawChild(RevealFrameLayout java:32)_x000D_
	at android view ViewGroup dispatchDraw(ViewGroup java:3513)_x000D_
	at android view View draw(View java:17192)_x000D_
	at android view View updateDisplayListIfDirty(View java:16171)_x000D_
	at android view ViewGroup recreateChildDisplayList(ViewGroup java:3711)_x000D_
	at android view ViewGroup dispatchGetDisplayList(ViewGroup java:3691)_x000D_
	at android view View updateDisplayListIfDirty(View java:16134)_x000D_
	at android view ViewGroup recreateChildDisplayList(ViewGroup java:3711)_x000D_
	at android view ViewGroup dispatchGetDisplayList(ViewGroup java:3691)_x000D_
	at android view View updateDisplayListIfDirty(View java:16134)_x000D_
	at android view View draw(View java:16955)_x000D_
	at android view ViewGroup drawChild(ViewGroup java:3727)_x000D_
	at android support v4 widget DrawerLayout drawChild(DrawerLayout java:1367)_x000D_
	at android view ViewGroup dispatchDraw(ViewGroup java:3513)_x000D_
	at android view View updateDisplayListIfDirty(View java:16166)_x000D_
	at android view ViewGroup recreateChildDisplayList(ViewGroup java:3711)_x000D_
	at android view ViewGroup dispatchGetDisplayList(ViewGroup java:3691)_x000D_
	at android view View updateDisplayListIfDirty(View java:16134)_x000D_
	at android view ViewGroup recreateChildDisplayList(ViewGroup java:3711)_x000D_
	at android view ViewGroup dispatchGetDisplayList(ViewGroup java:3691)_x000D_
	at android view View updateDisplayListIfDirty(View java:16134)_x000D_
	at android view ViewGroup recreateChildDisplayList(ViewGroup java:3711)_x000D_
	at android view ViewGroup dispatchGetDisplayList(ViewGroup java:3691)_x000D_
	at android view View updateDisplayListIfDirty(View java:16134)_x000D_
	at android view ViewGroup recreateChildDisplayList(ViewGroup java:3711)_x000D_
	at android view ViewGroup dispatchGetDisplayList(ViewGroup java:3691)_x000D_
	at android view View updateDisplayListIfDirty(View java:16134)_x000D_
	at android view ThreadedRenderer updateViewTreeDisplayList(ThreadedRenderer java:648)_x000D_
	at android view ThreadedRenderer updateRootDisplayList(ThreadedRenderer java:654)_x000D_
	at android view ThreadedRenderer draw(ThreadedRenderer java:762)_x000D_
	at android view ViewRootImpl draw(ViewRootImpl java:2800)_x000D_
	at android view ViewRootImpl performDraw(ViewRootImpl java:2608)_x000D_
	at android view ViewRootImpl performTraversals(ViewRootImpl java:2215)_x000D_
	at android view ViewRootImpl doTraversal(ViewRootImpl java:1254)_x000D_
	at android view ViewRootImpl TraversalRunnable run(ViewRootImpl java:6344)_x000D_
	at android view Choreographer CallbackRecord run(Choreographer java:874)_x000D_
	at android view Choreographer doCallbacks(Choreographer java:686)_x000D_
	at android view Choreographer doFrame(Choreographer java:621)_x000D_
	at android view Choreographer FrameDisplayEventReceiver run(Choreographer java:860)_x000D_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at de robv android xposed XposedBridge main(XposedBridge java:107)_x000D_
   _x000D_
_x000D_
_x000D_
     Steps to reproduce_x000D_
  I just open the app drawer and it crashes  No clue how somebody else could reproduce it  _x000D_
</t>
  </si>
  <si>
    <t>jroal-a2dpvolume-259</t>
  </si>
  <si>
    <t>Application crashes on location capture</t>
  </si>
  <si>
    <t xml:space="preserve">Hello  I have some issue with location on Android Nougat 7 1 2 (Lineage OS 14 1 2017 11 08 NIGHTLY ido)_x000D_
  When headset disconnected and the app have found GPS location (when precision is good enough) application crashes  Can be reproduced with network location and GPS  Sometimes there also is pop up with text:  Location service failed to start  Attempt to invoke virtual method  java lang String android content Intent getStringExtra(java lang String)  on a null object reference   _x000D_
  When I press on  STORED LOCATION  button phone shows pop up  No Data  _x000D_
  If I create files in   data data a2dp Vol files   (directory is empty) with an Google maps link manually (e g   http:  maps google com maps  q5 0 2C5 0 ) and press  STORED LOCATION  button  proper intent being generated and map application (Osmand) opens it _x000D_
        data data a2dp Vol files My Last Location    for one tap_x000D_
        data data a2dp Vol files My Last Location2    for long tap_x000D_
_x000D_
After long tap on device and pressing  LOCATION  button:  android os FileUriExposedException: file    storage emulated 0 A2DPVol Audio Jack html exposed beyond app trough Intent getData()  </t>
  </si>
  <si>
    <t>stefan-niedermann-nextcloud-notes-303</t>
  </si>
  <si>
    <t>Fatal exception editing note category</t>
  </si>
  <si>
    <t xml:space="preserve">Open a note  open the context menu and then select  Category   Attempt to type anything and you may see the first character appear and then the app crashes  When a note already has a category set that category will be displayed correctly until you type something and then you get the crash  I ve only experienced this on emulators as I don t have access to try and replicate on my phone  I ve seen this on API 19 4 4 and API 25 7 1 1 with my live instance of nc  Logcats below:_x000D_
_x000D_
4 4_x000D_
   _x000D_
12 04 22:27:03 279 3112 3112 it niedermann owncloud notes D dalvikvm: VFY: replacing opcode 0x6f at 0x0008_x000D_
12 04 22:27:03 279 3112 3112 it niedermann owncloud notes I dalvikvm: Could not find method android widget Button setAutoSizeTextTypeUniformWithConfiguration  referenced from method android support v7 widget AppCompatButton setAutoSizeTextTypeUniformWithConfiguration_x000D_
12 04 22:27:03 279 3112 3112 it niedermann owncloud notes W dalvikvm: VFY: unable to resolve virtual method 21014: Landroid widget Button  setAutoSizeTextTypeUniformWithConfiguration (IIII)V_x000D_
12 04 22:27:03 279 3112 3112 it niedermann owncloud notes D dalvikvm: VFY: replacing opcode 0x6f at 0x0006_x000D_
12 04 22:27:03 279 3112 3112 it niedermann owncloud notes I dalvikvm: Could not find method android widget Button setAutoSizeTextTypeUniformWithPresetSizes  referenced from method android support v7 widget AppCompatButton setAutoSizeTextTypeUniformWithPresetSizes_x000D_
12 04 22:27:03 279 3112 3112 it niedermann owncloud notes W dalvikvm: VFY: unable to resolve virtual method 21015: Landroid widget Button  setAutoSizeTextTypeUniformWithPresetSizes ( II)V_x000D_
12 04 22:27:03 279 3112 3112 it niedermann owncloud notes D dalvikvm: VFY: replacing opcode 0x6f at 0x0006_x000D_
12 04 22:27:03 279 3112 3112 it niedermann owncloud notes I dalvikvm: Could not find method android widget Button setAutoSizeTextTypeWithDefaults  referenced from method android support v7 widget AppCompatButton setAutoSizeTextTypeWithDefaults_x000D_
12 04 22:27:03 279 3112 3112 it niedermann owncloud notes W dalvikvm: VFY: unable to resolve virtual method 21016: Landroid widget Button  setAutoSizeTextTypeWithDefaults (I)V_x000D_
12 04 22:27:03 279 3112 3112 it niedermann owncloud notes D dalvikvm: VFY: replacing opcode 0x6f at 0x0006_x000D_
12 04 22:27:03 589 3112 3112 it niedermann owncloud notes D EGL emulation: eglMakeCurrent: 0xb8458b70: ver 3 1_x000D_
12 04 22:27:03 589 3112 3112 it niedermann owncloud notes E EGL emulation: tid 3112: eglSurfaceAttrib(1199): error 0x3009 (EGL BAD MATCH)_x000D_
12 04 22:27:03 589 3112 3112 it niedermann owncloud notes W HardwareRenderer: Backbuffer cannot be preserved_x000D_
12 04 22:27:03 629 3112 3112 it niedermann owncloud notes D EGL emulation: eglMakeCurrent: 0xb8458b70: ver 3 1_x000D_
12 04 22:27:03 689 3112 3112 it niedermann owncloud notes D EGL emulation: eglMakeCurrent: 0xb8458b70: ver 3 1_x000D_
12 04 22:27:03 989 3112 3112 it niedermann owncloud notes D EGL emulation: eglMakeCurrent: 0xb8458b70: ver 3 1_x000D_
12 04 22:27:04 539 3112 3112 it niedermann owncloud notes D EGL emulation: eglMakeCurrent: 0xb8458b70: ver 3 1_x000D_
12 04 22:27:05 639 3112 3143 it niedermann owncloud notes W Filter: An exception occured during performFiltering() _x000D_
                                                                    java lang NullPointerException_x000D_
                                                                        at it niedermann owncloud notes android fragment CategoryDialogFragment FolderArrayAdapter FolderFilter performFiltering(CategoryDialogFragment java:153)_x000D_
                                                                        at android widget Filter RequestHandler handleMessage(Filter java:234)_x000D_
                                                                        at android os Handler dispatchMessage(Handler java:102)_x000D_
                                                                        at android os Looper loop(Looper java:136)_x000D_
                                                                        at android os HandlerThread run(HandlerThread java:61)_x000D_
12 04 22:27:05 729 3112 3112 it niedermann owncloud notes D AndroidRuntime: Shutting down VM_x000D_
12 04 22:27:05 729 3112 3112 it niedermann owncloud notes W dalvikvm: threadid 1: thread exiting with uncaught exception (group 0x9ccd0b20)_x000D_
12 04 22:27:05 729 3112 3112 it niedermann owncloud notes E AndroidRuntime: FATAL EXCEPTION: main_x000D_
                                                                            Process: it niedermann owncloud notes  PID: 3112_x000D_
                                                                            java lang NullPointerException_x000D_
                                                                                at java util ArrayList addAll(ArrayList java:188)_x000D_
                                                                                at android widget ArrayAdapter addAll(ArrayAdapter java:195)_x000D_
                                                                                at it niedermann owncloud notes android fragment CategoryDialogFragment FolderArrayAdapter FolderFilter publishResults(CategoryDialogFragment java:184)_x000D_
                                                                                at android widget Filter ResultsHandler handleMessage(Filter java:282)_x000D_
                                                                                at android os Handler dispatchMessage(Handler java:102)_x000D_
                                                                                at android os Looper loop(Looper java:136)_x000D_
                                                                                at android app ActivityThread main(ActivityThread java:5017)_x000D_
                                                                                at java lang reflect Method invokeNative(Native Method)_x000D_
                                                                                at java lang reflect Method invoke(Method java:515)_x000D_
                                                                                at com android internal os ZygoteInit MethodAndArgsCaller run(ZygoteInit java:779)_x000D_
                                                                                at com android internal os ZygoteInit main(ZygoteInit java:595)_x000D_
                                                                                at dalvik system NativeStart main(Native Method)_x000D_
_x000D_
   _x000D_
_x000D_
7 1 1_x000D_
_x000D_
   _x000D_
12 04 22:43:35 264 4489 4511 it niedermann owncloud notes D EGL emulation: eglMakeCurrent: 0x792fa7ef56e0: ver 3 1 (tinfo 0x792fa7eb4bc0)_x000D_
12 04 22:43:35 288 4489 4511 it niedermann owncloud notes E eglCodecCommon: glUtilsParamSize: unknow param 0x000082da_x000D_
12 04 22:43:35 288 4489 4511 it niedermann owncloud notes E eglCodecCommon: glUtilsParamSize: unknow param 0x00008cdf_x000D_
12 04 22:43:35 288 4489 4511 it niedermann owncloud notes E eglCodecCommon: glUtilsParamSize: unknow param 0x00008824_x000D_
12 04 22:43:35 416 4489 4511 it niedermann owncloud notes D EGL emulation: eglMakeCurrent: 0x792fa7ef56e0: ver 3 1 (tinfo 0x792fa7eb4bc0)_x000D_
12 04 22:43:50 804 4489 4494 it niedermann owncloud notes I art: Do partial code cache collection  code 20KB  data 30KB_x000D_
12 04 22:43:50 804 4489 4494 it niedermann owncloud notes I art: After code cache collection  code 20KB  data 30KB_x000D_
12 04 22:43:50 804 4489 4494 it niedermann owncloud notes I art: Increasing code cache capacity to 128KB_x000D_
12 04 22:43:50 945 4489 4489 it niedermann owncloud notes I com yydcdut rxmarkdown RxMDEditText: finish   7_x000D_
12 04 22:43:52 382 4489 4489 it niedermann owncloud notes I Choreographer: Skipped 83 frames   The application may be doing too much work on its main thread _x000D_
12 04 22:43:52 395 4489 4511 it niedermann owncloud notes D EGL emulation: eglMakeCurrent: 0x792fa7ef56e0: ver 3 1 (tinfo 0x792fa7eb4bc0)_x000D_
12 04 22:43:54 714 4489 4511 it niedermann owncloud notes D EGL emulation: eglMakeCurrent: 0x792fa7ef56e0: ver 3 1 (tinfo 0x792fa7eb4bc0)_x000D_
12 04 22:43:54 902 4489 4511 it niedermann owncloud notes D EGL emulation: eglMakeCurrent: 0x792fa7ef56e0: ver 3 1 (tinfo 0x792fa7eb4bc0)_x000D_
12 04 22:43:54 935 4489 4511 it niedermann owncloud notes D EGL emulation: eglMakeCurrent: 0x792fa7ef56e0: ver 3 1 (tinfo 0x792fa7eb4bc0)_x000D_
12 04 22:43:54 999 4489 4511 it niedermann owncloud notes D EGL emulation: eglMakeCurrent: 0x792fa7ef56e0: ver 3 1 (tinfo 0x792fa7eb4bc0)_x000D_
12 04 22:43:55 040 4489 4489 it niedermann owncloud notes W IInputConnectionWrapper: finishComposingText on inactive InputConnection_x000D_
12 04 22:43:55 176 4489 4511 it niedermann owncloud notes D EGL emulation: eglMakeCurrent: 0x792fa7ef56e0: ver 3 1 (tinfo 0x792fa7eb4bc0)_x000D_
12 04 22:43:56 545 4489 4511 it niedermann owncloud notes D EGL emulation: eglMakeCurrent: 0x792fa7ef56e0: ver 3 1 (tinfo 0x792fa7eb4bc0)_x000D_
12 04 22:43:56 676 4489 4511 it niedermann owncloud notes D EGL emulation: eglMakeCurrent: 0x792fa7ef56e0: ver 3 1 (tinfo 0x792fa7eb4bc0)_x000D_
12 04 22:43:59 828 4489 4511 it niedermann owncloud notes D EGL emulation: eglMakeCurrent: 0x792fa7ef56e0: ver 3 1 (tinfo 0x792fa7eb4bc0)_x000D_
12 04 22:43:59 861 4489 4511 it niedermann owncloud notes D EGL emulation: eglMakeCurrent: 0x792fa7ef56e0: ver 3 1 (tinfo 0x792fa7eb4bc0)_x000D_
12 04 22:44:01 616 4489 4520 it niedermann owncloud notes W Filter: An exception occured during performFiltering() _x000D_
                                                                    java lang NullPointerException: Attempt to invoke interface method  int java util List size()  on a null object reference_x000D_
                                                                        at it niedermann owncloud notes android fragment CategoryDialogFragment FolderArrayAdapter FolderFilter performFiltering(CategoryDialogFragment java:153)_x000D_
                                                                        at android widget Filter RequestHandler handleMessage(Filter java:234)_x000D_
                                                                        at android os Handler dispatchMessage(Handler java:102)_x000D_
                                                                        at android os Looper loop(Looper java:154)_x000D_
                                                                        at android os HandlerThread run(HandlerThread java:61)_x000D_
12 04 22:44:01 635 4489 4489 it niedermann owncloud notes D AndroidRuntime: Shutting down VM_x000D_
12 04 22:44:01 635 4489 4489 it niedermann owncloud notes E AndroidRuntime: FATAL EXCEPTION: main_x000D_
                                                                            Process: it niedermann owncloud notes  PID: 4489_x000D_
                                                                            java lang NullPointerException: Attempt to invoke interface method  java lang Object   java util Collection toArray()  on a null object reference_x000D_
                                                                                at java util ArrayList addAll(ArrayList java:562)_x000D_
                                                                                at android widget ArrayAdapter addAll(ArrayAdapter java:222)_x000D_
                                                                                at it niedermann owncloud notes android fragment CategoryDialogFragment FolderArrayAdapter FolderFilter publishResults(CategoryDialogFragment java:184)_x000D_
                                                                                at android widget Filter ResultsHandler handleMessage(Filter java:282)_x000D_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_x000D_
So that I m not breaking any etiquette:_x000D_
   _x000D_
  Android version:   4 4 7 1 1  see above_x000D_
  Device  : only in the emulator_x000D_
  System language  : English (US)_x000D_
  App version:   master branch_x000D_
  App source:   self built_x000D_
  Steps to reproduce:  _x000D_
See above_x000D_
   </t>
  </si>
  <si>
    <t>commons-app-apps-android-commons-998</t>
  </si>
  <si>
    <t>Nearby crashes when switching views before GPS is found</t>
  </si>
  <si>
    <t>While the GPS is searching switching between map and list view can crash the app  Easily reproducible when having no location and just hitting the list map button a few times _x000D_
_x000D_
Version: 2 6 4_x000D_
Android 7 0</t>
  </si>
  <si>
    <t>ZeeRooo-MaterialFBook-120</t>
  </si>
  <si>
    <t>Repeated crashing while and not running in foreground</t>
  </si>
  <si>
    <t>Been running the app for some three days now on my Mi A1 with Android N  _x000D_
The app has crashed repeatedly some 30 plus times  while I was using it and while it was in the background  _x000D_
_x000D_
Was unable to find a crash report or log  If there is one just let me know  will add it _x000D_
_x000D_
_x000D_
Replication  _x000D_
_x000D_
1  Install and log in to account_x000D_
2  Browse or leave it alone for some time_x000D_
3  Switch to some other app and wait_x000D_
or_x000D_
4  Just keep browsing for some time</t>
  </si>
  <si>
    <t>kontalk-androidclient-1112</t>
  </si>
  <si>
    <t xml:space="preserve">Bootloops my phone </t>
  </si>
  <si>
    <t xml:space="preserve">    Expected behavior_x000D_
App should run like 4 0 4_x000D_
_x000D_
    Actual behavior_x000D_
Black screen upon install finished _x000D_
Black screen upon bootup _x000D_
_x000D_
    Steps to reproduce_x000D_
1  run AOSP based rom_x000D_
2  install latest apk_x000D_
3  cry_x000D_
_x000D_
    Environment_x000D_
_x000D_
Kontalk version: 4 0 4 good  latest bad_x000D_
_x000D_
Android version: 4 4 4 CarbonRom AOSP_x000D_
_x000D_
Device model: Galaxy S3 CDMA_x000D_
_x000D_
    Logs_x000D_
_x000D_
It kills adb too    but there is a bug report on google  This is related to the build tools you are using _x000D_
_x000D_
    Other_x000D_
_x000D_
https:  forums bitfire at topic 1603 replicant lineage 1 9 1 causing instant crash and bootloops_x000D_
</t>
  </si>
  <si>
    <t>vector-im-riot-android-1789</t>
  </si>
  <si>
    <t>Riot crashes while resuming an activity</t>
  </si>
  <si>
    <t xml:space="preserve">                                  crash call stack                                  _x000D_
Riot im Build : 70301_x000D_
Riot im Version : 0 7 03 (F 45a3aba 2017 10 11 11:14:58  0200)_x000D_
SDK Version : 0 8 03 (adc50f71 2017 10 05 15:23:35  0200)_x000D_
Phone : Nexus 6P (2017 11 20 01 8 0 0 REL)_x000D_
Memory statuses _x000D_
usedSize   54 MB_x000D_
freeSize   18 MB_x000D_
totalSize   73 MB_x000D_
Thread: main  Activity:im vector activity VectorSettingsActivity  Exception: java lang RuntimeException: Unable to resume activity  im vector alpha im vector activity VectorSettingsActivity : java lang IllegalArgumentException_x000D_
	at android app ActivityThread performResumeActivity(ActivityThread java:3646)_x000D_
	at android app ActivityThread handleResumeActivity(ActivityThread java:3686)_x000D_
	at android app ActivityThread H handleMessage(ActivityThread java:1644)_x000D_
	at android os Handler dispatchMessage(Handler java:105)_x000D_
	at android os Looper loop(Looper java:164)_x000D_
	at android app ActivityThread main(ActivityThread java:6544)_x000D_
	at java lang reflect Method invoke(Native Method)_x000D_
	at com android internal os Zygote MethodAndArgsCaller run(Zygote java:240)_x000D_
	at com android internal os ExecInit main(ExecInit java:50)_x000D_
	at com android internal os RuntimeInit nativeFinishInit(Native Method)_x000D_
	at com android internal os RuntimeInit main(RuntimeInit java:284)_x000D_
Caused by: java lang IllegalArgumentException_x000D_
	at android os Parcel readException(Parcel java:1946)_x000D_
	at android os Parcel readException(Parcel java:1888)_x000D_
	at android app IActivityManager Stub Proxy isTopOfTask(IActivityManager java:8384)_x000D_
	at android app Activity isTopOfTask(Activity java:6264)_x000D_
	at android app Activity onResume(Activity java:1313)_x000D_
	at android support v4 app FragmentActivity onResume(FragmentActivity java:485)_x000D_
	at im vector activity MXCActionBarActivity onResume(MXCActionBarActivity java:183)_x000D_
	at android app Instrumentation callActivityOnResume(Instrumentation java:1354)_x000D_
	at android app Activity performResume(Activity java:7079)_x000D_
	at android app ActivityThread performResumeActivity(ActivityThread java:3621)_x000D_
	    10 more</t>
  </si>
  <si>
    <t>commons-app-apps-android-commons-997</t>
  </si>
  <si>
    <t>New crash in version 78</t>
  </si>
  <si>
    <t xml:space="preserve">I noticed a spike in our crashes since version 78 was pushed to production  Most of those crashes were associated with this particular log  11 reports to be precise  Unfortunately I can t seem to figure out what is going wrong since our app isn t even mentioned in the stack trace _x000D_
_x000D_
All of the crashes were in Android 7 0 and caused by a Galaxy J7(2016)   so probably by a single person _x000D_
_x000D_
   _x000D_
java lang RuntimeException: _x000D_
  at android app LoadedApk makeApplication (LoadedApk java:846)_x000D_
  at android app ActivityThread handleBindApplication (ActivityThread java:5944)_x000D_
  at android app ActivityThread  wrap3 (ActivityThread java)_x000D_
  at android app ActivityThread H handleMessage (ActivityThread java:1710)_x000D_
  at android os Handler dispatchMessage (Handler java:102)_x000D_
  at android os Looper loop (Looper java:154)_x000D_
  at android app ActivityThread main (ActivityThread java:6776)_x000D_
  at java lang reflect Method invoke (Native Method)_x000D_
  at com android internal os ZygoteInit MethodAndArgsCaller run (ZygoteInit java:1518)_x000D_
  at com android internal os ZygoteInit main (ZygoteInit java:1408)_x000D_
Caused by: java lang ClassNotFoundException: _x000D_
  at dalvik system BaseDexClassLoader findClass (BaseDexClassLoader java:56)_x000D_
  at java lang ClassLoader loadClass (ClassLoader java:380)_x000D_
  at java lang ClassLoader loadClass (ClassLoader java:312)_x000D_
  at android app Instrumentation newApplication (Instrumentation java:1000)_x000D_
  at android app LoadedApk makeApplication (LoadedApk java:835)_x000D_
   </t>
  </si>
  <si>
    <t>bumptech-glide-2675</t>
  </si>
  <si>
    <t>java.lang.IllegalStateException when load gif</t>
  </si>
  <si>
    <t xml:space="preserve">  Glide Version  :  4 2_x000D_
_x000D_
  Integration libraries  : okhttp3 3 8 1_x000D_
_x000D_
  Device Android Version  :  Android 4 4_x000D_
_x000D_
  Issue details   Repro steps   Use case background  : _x000D_
from our collected online crash log  there are some crash in Glide library when load gif images  I trace the sourece and cannot found the suspects  Have some idea on this issue _x000D_
_x000D_
  Stack trace   LogCat  :_x000D_
   ruby_x000D_
java lang IllegalStateException: You can t start or clear loads in RequestListener or Target callbacks  If you must do so  consider posting your into() or clear() calls to the main thread using a Handler instead _x000D_
at com bumptech glide request SingleRequest assertNotCallingCallbacks(SourceFile:279)_x000D_
at com bumptech glide request SingleRequest begin(SourceFile:208)_x000D_
at com bumptech glide manager RequestTracker runRequest(SourceFile:39)_x000D_
at com bumptech glide RequestManager track(SourceFile:454)_x000D_
at com bumptech glide RequestBuilder into(SourceFile:382)_x000D_
at com bumptech glide RequestBuilder into(SourceFile:354)_x000D_
at com bumptech glide load resource gif GifFrameLoader loadNextFrame(SourceFile:208)_x000D_
at com bumptech glide load resource gif GifFrameLoader onFrameReady(SourceFile:246)_x000D_
at com bumptech glide load resource gif GifFrameLoader FrameLoaderCallback handleMessage(SourceFile:260)_x000D_
at android os Handler dispatchMessage(Handler java:98)_x000D_
at android os Looper loop(Looper java:136)_x000D_
at android app ActivityThread main(ActivityThread java:5281)_x000D_
at java lang reflect Method invokeNative(Native Method)_x000D_
at java lang reflect Method invoke(Method java:515)_x000D_
at com android internal os ZygoteInit MethodAndArgsCaller run(ZygoteInit java:932)_x000D_
at com android internal os ZygoteInit main(ZygoteInit java:748)_x000D_
at dalvik system NativeStart main(Native Method)_x000D_
   _x000D_
</t>
  </si>
  <si>
    <t>facebook-buck-1667</t>
  </si>
  <si>
    <t>aapt2 causes runtime crash on Android &lt; 5 Resources$NotFoundException</t>
  </si>
  <si>
    <t>Switching  aapt mode  to  aapt2  causes following crash on Android   5:_x000D_
_x000D_
   java_x000D_
E AndroidRuntime: FATAL EXCEPTION: main_x000D_
Process: com example  PID: 2833_x000D_
java lang RuntimeException: Unable to start activity ComponentInfo com example com example MainActivity : android content res Resources NotFoundException: File res drawable abc vector test xml from drawable resource ID  0x7f080058_x000D_
 at android app ActivityThread performLaunchActivity(ActivityThread java:2195)_x000D_
 at android app ActivityThread handleLaunchActivity(ActivityThread java:2245)_x000D_
 at android app ActivityThread access 800(ActivityThread java:135)_x000D_
 at android app ActivityThread H handleMessage(ActivityThread java:1196)_x000D_
 at android os Handler dispatchMessage(Handler java:102)_x000D_
 at android os Looper loop(Looper java:136)_x000D_
 at android app ActivityThread main(ActivityThread java:5017)_x000D_
 at java lang reflect Method invokeNative(Native Method)_x000D_
 at java lang reflect Method invoke(Method java:515)_x000D_
 at com android internal os ZygoteInit MethodAndArgsCaller run(ZygoteInit java:779)_x000D_
 at com android internal os ZygoteInit main(ZygoteInit java:595)_x000D_
 at dalvik system NativeStart main(Native Method)_x000D_
Caused by: android content res Resources NotFoundException: File res drawable abc vector test xml from drawable resource ID  0x7f080058_x000D_
 at android content res Resources loadDrawable(Resources java:2101)_x000D_
 at android content res Resources getDrawable(Resources java:700)_x000D_
 at android support v4 content ContextCompat getDrawable(ContextCompat java:374)_x000D_
 at android support v7 widget AppCompatDrawableManager getDrawable(AppCompatDrawableManager java:202)_x000D_
 at android support v7 widget AppCompatDrawableManager getDrawable(AppCompatDrawableManager java:190)_x000D_
 at android support v7 widget AppCompatDrawableManager checkVectorDrawableSetup(AppCompatDrawableManager java:711)_x000D_
 at android support v7 widget AppCompatDrawableManager getDrawable(AppCompatDrawableManager java:195)_x000D_
 at android support v7 widget TintTypedArray getDrawableIfKnown(TintTypedArray java:81)_x000D_
 at android support v7 app AppCompatDelegateImplBase  init (AppCompatDelegateImplBase java:131)_x000D_
 at android support v7 app AppCompatDelegateImplV9  init (AppCompatDelegateImplV9 java:151)_x000D_
 at android support v7 app AppCompatDelegateImplV11  init (AppCompatDelegateImplV11 java:31)_x000D_
 at android support v7 app AppCompatDelegateImplV14  init (AppCompatDelegateImplV14 java:55)_x000D_
 at android support v7 app AppCompatDelegate create(AppCompatDelegate java:205)_x000D_
 at android support v7 app AppCompatDelegate create(AppCompatDelegate java:185)_x000D_
 at android support v7 app AppCompatActivity getDelegate(AppCompatActivity java:519)_x000D_
 at android support v7 app AppCompatActivity onCreate(AppCompatActivity java:71)_x000D_
 at com example MainActivity onCreate(MainActivity java:140)_x000D_
 at android app Activity performCreate(Activity java:5231)_x000D_
 at android app Instrumentation callActivityOnCreate(Instrumentation java:1087)_x000D_
 at android app ActivityThread performLaunchActivity(ActivityThread java:2159)_x000D_
 at android app ActivityThread handleLaunchActivity(ActivityThread java:2245) _x000D_
 at android app ActivityThread access 800(ActivityThread java:135) _x000D_
 at android app ActivityThread H handleMessage(ActivityThread java:1196) _x000D_
 at android os Handler dispatchMessage(Handler java:102) _x000D_
 at android os Looper loop(Looper java:136) _x000D_
 at android app ActivityThread main(ActivityThread java:5017) _x000D_
 at java lang reflect Method invokeNative(Native Method) _x000D_
 at java lang reflect Method invoke(Method java:515) _x000D_
 at com android internal os ZygoteInit MethodAndArgsCaller run(ZygoteInit java:779) _x000D_
 at com android internal os ZygoteInit main(ZygoteInit java:595) _x000D_
 at dalvik system NativeStart main(Native Method) _x000D_
Caused by: org xmlpull v1 XmlPullParserException: Binary XML file line  0: invalid drawable tag vector_x000D_
 at android graphics drawable Drawable createFromXmlInner(Drawable java:933)_x000D_
 at android graphics drawable Drawable createFromXml(Drawable java:877)_x000D_
 at android content res Resources loadDrawable(Resources java:2097)_x000D_
 at android content res Resources getDrawable(Resources java:700) _x000D_
 at android support v4 content ContextCompat getDrawable(ContextCompat java:374) _x000D_
 at android support v7 widget AppCompatDrawableManager getDrawable(AppCompatDrawableManager java:202) _x000D_
 at android support v7 widget AppCompatDrawableManager getDrawable(AppCompatDrawableManager java:190) _x000D_
 at android support v7 widget AppCompatDrawableManager checkVectorDrawableSetup(AppCompatDrawableManager java:711) _x000D_
 at android support v7 widget AppCompatDrawableManager getDrawable(AppCompatDrawableManager java:195) _x000D_
 at android support v7 widget TintTypedArray getDrawableIfKnown(TintTypedArray java:81) _x000D_
 at android support v7 app AppCompatDelegateImplBase  init (AppCompatDelegateImplBase java:131) _x000D_
 at android support v7 app AppCompatDelegateImplV9  init (AppCompatDelegateImplV9 java:151) _x000D_
 at android support v7 app AppCompatDelegateImplV11  init (AppCompatDelegateImplV11 java:31) _x000D_
 at android support v7 app AppCompatDelegateImplV14  init (AppCompatDelegateImplV14 java:55) _x000D_
 at android support v7 app AppCompatDelegate create(AppCompatDelegate java:205) _x000D_
 at android support v7 app AppCompatDelegate create(AppCompatDelegate java:185) _x000D_
 at android support v7 app AppCompatActivity getDelegate(AppCompatActivity java:519) _x000D_
 at android support v7 app AppCompatActivity onCreate(AppCompatActivity java:71) _x000D_
 at com example MainActivity onCreate(MainActivity java:140) _x000D_
 at android app Activity performCreate(Activity java:5231) _x000D_
 at android app Instrumentation callActivityOnCreate(Instrumentation java:1087) _x000D_
 at android app ActivityThread performLaunchActivity(ActivityThread java:2159) _x000D_
 at android app ActivityThread handleLaunchActivity(ActivityThread java:2245) _x000D_
 at android app ActivityThread access 800(ActivityThread java:135) _x000D_
 at android app ActivityThread H handleMessage(ActivityThread java:1196) _x000D_
 at android os Handler dispatchMessage(Handler java:102) _x000D_
 at android os Looper loop(Looper java:136) _x000D_
 at android app ActivityThread main(ActivityThread java:5017) _x000D_
 at java lang reflect Method invokeNative(Native Method) _x000D_
 at java lang reflect Method invoke(Method java:515) _x000D_
 at com android internal os ZygoteInit MethodAndArgsCaller run(ZygoteInit java:779) _x000D_
 at com android internal os ZygoteInit main(ZygoteInit java:595) _x000D_
 at dalvik system NativeStart main(Native Method) _x000D_
   _x000D_
_x000D_
Env:_x000D_
_x000D_
  Build tools 27 0 2_x000D_
  Support Libraries 25 2 0 (tried 27 0 2 as well)_x000D_
_x000D_
Looks like Android Gradle Plugin had this problem as well  but it was fixed https:  issuetracker google com issues 63623801</t>
  </si>
  <si>
    <t>react-native-camera-react-native-camera-1023</t>
  </si>
  <si>
    <t>[Emulator only] Video Stops/Crashes API 19, adb logs, code</t>
  </si>
  <si>
    <t xml:space="preserve">Emulator Only Issue  Used on actual device with no problems so _x000D_
API 19  Starting to capture video causes it to stop crash a second later  Then the camera no longer works (even doing a reload) _x000D_
_x000D_
API 27 works fine no similar errors in adb logcat _x000D_
_x000D_
  Camera_x000D_
              ref  (cam)     _x000D_
                this camera   cam _x000D_
                _x000D_
              style    flex:0  width: camwidth  height: camheight   _x000D_
              type  this state camera front    front  :  back  _x000D_
              captureTarget  Camera constants CaptureTarget cameraRoll _x000D_
              captureMode  Camera constants CaptureMode video _x000D_
              captureAudio  false _x000D_
              aspect  Camera constants Aspect stretch _x000D_
              _x000D_
_x000D_
 takeVideo()  _x000D_
        console log( Take Video ) _x000D_
        if (this camera) _x000D_
          const options      _x000D_
          this camera capture( metadata: options )_x000D_
           then((data)     _x000D_
            console log( Video Finished ) _x000D_
            console log(data) _x000D_
              this state score card video   data_x000D_
           )_x000D_
             catch(err    console error(err)) _x000D_
           _x000D_
        _x000D_
_x000D_
_x000D_
 _x000D_
W StagefrightRecorder( 1174): Max file duration is not positive:  1000000 us  Disabling duration limit _x000D_
W StagefrightRecorder( 1174): Target duration (0 us) too short to be respected_x000D_
W StagefrightRecorder( 1174): Intended video encoding frame width (640) is too large and will be set to (320)_x000D_
W StagefrightRecorder( 1174): Intended video encoding frame height (480) is too large and will be set to (240)_x000D_
D CameraSource( 1174): Camera does not support setVideoSize()_x000D_
V EmulatedCamera Camera( 1174): setParameters_x000D_
D EmulatedCamera Camera( 1174):     Value changed: preview frame rate: 24    15_x000D_
D EmulatedCamera Camera( 1174):     Value changed: preview size: 640x480    320x240_x000D_
I SoftMPEG4Encoder( 1174): Construct SoftMPEG4Encoder_x000D_
W OMXCodec( 1174): Error correction param query is not supported_x000D_
D EGL emulation( 1652): eglMakeCurrent: 0xb8d00c50: ver 3 1_x000D_
I MPEG4Writer( 1174): limits: 2147483647 0 bytes us  bit rate: 140200 bps and the estimated moov size 3072 bytes_x000D_
I MPEG4Writer( 1174): Start time offset: 1000000 us_x000D_
W CameraSource( 1174): Failed to set video buffer count to 2 due to  38_x000D_
V EmulatedCamera CallbackNotifier( 1174): enableMessage: msg type   0x20_x000D_
V EmulatedCamera CallbackNotifier( 1174):     CAMERA MSG VIDEO FRAME_x000D_
V EmulatedCamera CallbackNotifier( 1174):      Currently enabled messages:_x000D_
V EmulatedCamera CallbackNotifier( 1174):     CAMERA MSG ERROR_x000D_
V EmulatedCamera CallbackNotifier( 1174):     CAMERA MSG FOCUS_x000D_
V EmulatedCamera CallbackNotifier( 1174):     CAMERA MSG ZOOM_x000D_
V EmulatedCamera CallbackNotifier( 1174):     CAMERA MSG VIDEO FRAME_x000D_
V EmulatedCamera CallbackNotifier( 1174):     CAMERA MSG PREVIEW METADATA_x000D_
D AudioSink( 1174): bufferCount (4) is too small and increased to 12_x000D_
V EmulatedCamera CallbackNotifier( 1174): enableVideoRecording: FPS   15_x000D_
I MPEG4Writer( 1174): Start time offset: 1000000 us_x000D_
W AudioFlinger( 1174): RecordThread: buffer overflow_x000D_
W AudioSource( 1174): AudioRecord reported overrun _x000D_
I Choreographer( 2654): Skipped 48 frames   The application may be doing too much work on its main thread _x000D_
W AudioSource( 1174): AudioRecord reported overrun _x000D_
W AudioSource( 1174): AudioRecord reported overrun _x000D_
E OMXCodec( 1174):  OMX google mpeg4 encoder  Codec s input buffers are too small to accomodate buffer read from source (info  mSize   115200  srcLength   460800)_x000D_
E MPEG4Writer( 1174): The number of recorded samples is 0_x000D_
W MPEG4Writer( 1174): 0 duration samples found: 1_x000D_
W MPEG4Writer( 1174): 0 duration samples found: 1_x000D_
I MPEG4Writer( 1174): Received total 0 length (0 0) buffers and encoded 0 frames    video_x000D_
W AudioSource( 1174): AudioRecord reported overrun _x000D_
I MPEG4Writer( 1174): setStartTimestampUs: 20179_x000D_
I MPEG4Writer( 1174): Earliest track starting time: 20179_x000D_
D MPEG4Writer( 1174): Stopping Video track_x000D_
D MPEG4Writer( 1174): Stopping Video track source_x000D_
D CameraSource( 1174): reset: E_x000D_
V EmulatedCamera CallbackNotifier( 1174): disableMessage: msg type   0x20_x000D_
V EmulatedCamera CallbackNotifier( 1174):     CAMERA MSG VIDEO FRAME_x000D_
V EmulatedCamera CallbackNotifier( 1174):      Currently enabled messages:_x000D_
V EmulatedCamera CallbackNotifier( 1174):     CAMERA MSG ERROR_x000D_
V EmulatedCamera CallbackNotifier( 1174):     CAMERA MSG FOCUS_x000D_
V EmulatedCamera CallbackNotifier( 1174):     CAMERA MSG ZOOM_x000D_
V EmulatedCamera CallbackNotifier( 1174):     CAMERA MSG PREVIEW METADATA_x000D_
V EmulatedCamera CallbackNotifier( 1174): disableVideoRecording:_x000D_
D CameraSource( 1174): reset: X_x000D_
D MPEG4Writer( 1174): Video track stopped_x000D_
D MPEG4Writer( 1174): Stopping Audio track_x000D_
I MPEG4Writer( 1174): Received total 0 length (20 0) buffers and encoded 20 frames    audio_x000D_
I MPEG4Writer( 1174): Audio track drift time: 0 us_x000D_
D MPEG4Writer( 1174): Stopping Audio track source_x000D_
W AudioFlinger( 1174): write blocked for 508 msecs  1 delayed writes  thread 0xb601f010_x000D_
D MPEG4Writer( 1174): Audio track stopped_x000D_
D MPEG4Writer( 1174): Duration from tracks range is  0  400000  us_x000D_
D MPEG4Writer( 1174): Stopping writer thread_x000D_
D MPEG4Writer( 1174): 0 chunks are written in the last batch_x000D_
D MPEG4Writer( 1174): Writer thread stopped_x000D_
D MPEG4Writer( 1174): Stopping Video track_x000D_
D MPEG4Writer( 1174): Stopping Audio track_x000D_
E MediaRecorder( 2654): stop failed:  1007_x000D_
E RCTCameraModule( 2654): Media recorder stop error _x000D_
E RCTCameraModule( 2654): java lang RuntimeException: stop failed _x000D_
E RCTCameraModule( 2654):       at android media MediaRecorder stop(Native Method)_x000D_
E RCTCameraModule( 2654):       at com lwansbrough RCTCamera RCTCameraModule releaseMediaRecorder(RCTCameraModule java:388)_x000D_
E RCTCameraModule( 2654):       at com lwansbrough RCTCamera RCTCameraModule onError(RCTCameraModule java:132)_x000D_
E RCTCameraModule( 2654):       at android media MediaRecorder EventHandler handleMessage(MediaRecorder java:955)_x000D_
E RCTCameraModule( 2654):       at android os Handler dispatchMessage(Handler java:102)_x000D_
E RCTCameraModule( 2654):       at android os Looper loop(Looper java:136)_x000D_
E RCTCameraModule( 2654):       at android app ActivityThread main(ActivityThread java:5017)_x000D_
E RCTCameraModule( 2654):       at java lang reflect Method invokeNative(Native Method)_x000D_
E RCTCameraModule( 2654):       at java lang reflect Method invoke(Method java:515)_x000D_
E RCTCameraModule( 2654):       at com android internal os ZygoteInit MethodAndArgsCaller run(ZygoteInit java:779)_x000D_
E RCTCameraModule( 2654):       at com android internal os ZygoteInit main(ZygoteInit java:595)_x000D_
E RCTCameraModule( 2654):       at dalvik system NativeStart main(Native Method)_x000D_
I Choreographer( 2654): Skipped 46 frames   The application may be doing too much work on its main thread _x000D_
I iu UploadsManager( 1873):  reloadSettings()  account:  1  IU: disabled  IS: disabled  IS account:  1  photoWiFi: true  videoWiFi: true  roam: false  battery: true  size: STANDARD  maxMobile: 157286400_x000D_
I iu UploadsManager( 1873): NEW  upload media id: 27  iu:  1_x000D_
I iu UploadsManager( 1873): NEW  upload media id: 30  iu:  1_x000D_
D dalvikvm( 1685): GC EXPLICIT freed 419K  16  free 3215K 3812K  paused 1ms 1ms  total 5ms_x000D_
I iu UploadsManager( 1873): End new media  added: 2  uploading: 2  time: 84 ms_x000D_
_x000D_
Full adb log https:  hastebin com jujorufegu sql_x000D_
_x000D_
React Native Camera: 0 12 0_x000D_
 react :  16 0 0  _x000D_
 react native :  0 50 3  _x000D_
</t>
  </si>
  <si>
    <t>google-ExoPlayer-3552</t>
  </si>
  <si>
    <t>ArrayIndexOutOfBoundsException in ImaAdsLoader.loadAd</t>
  </si>
  <si>
    <t xml:space="preserve">Hi _x000D_
we have videos with ads in our app  and we have ArrayIndexOutOfBoundsException in the ima extension  We don t have a specific scenario for this crash and it happens randomly on many devices  I attach the stack trace below:_x000D_
_x000D_
   _x000D_
length 1  index  1_x000D_
java lang ArrayIndexOutOfBoundsException: length 1  index  1_x000D_
	at com google android exoplayer2 ext ima AdPlaybackState addAdUri(AdPlaybackState java:111)_x000D_
	at com google android exoplayer2 ext ima ImaAdsLoader loadAd(ImaAdsLoader java:461)_x000D_
	at com google obf hm safedk VideoAdPlayer loadAd 38ec4ebf3a116296f255437bbde61c86(IMASDK)_x000D_
	at com google obf hm a(IMASDK:36)_x000D_
	at com google obf hj e(IMASDK:151)_x000D_
	at com google obf hj a(IMASDK:45)_x000D_
	at com google obf hk b(IMASDK:39)_x000D_
	at com google obf hk 1 shouldOverrideUrlLoading(IMASDK:4)_x000D_
	at android webkit WebViewClient shouldOverrideUrlLoading(WebViewClient java:73)_x000D_
	at com android webview chromium Ap shouldOverrideUrlLoading(WebViewContentsClientAdapter java:72)_x000D_
	at org chromium android webview AwContentsClient shouldIgnoreNavigation(AwContentsClient java:15)_x000D_
	at org chromium android webview AwContentsClientBridge shouldOverrideUrlLoading(AwContentsClientBridge java:160)_x000D_
	at org chromium base SystemMessageHandler nativeDoRunLoopOnce(Native Method)_x000D_
	at org chromium base SystemMessageHandler handleMessage(SystemMessageHandler java:9)_x000D_
	at android os Handler dispatchMessage(Handler java:102)_x000D_
	at android os Looper loop(Looper java:154)_x000D_
	at android app ActivityThread main(ActivityThread java:6682)_x000D_
	at java lang reflect Method invoke(Native Method)_x000D_
	at com android internal os ZygoteInit MethodAndArgsCaller run(ZygoteInit java:1520)_x000D_
	at com android internal os ZygoteInit main(ZygoteInit java:1410)_x000D_
   </t>
  </si>
  <si>
    <t>niclabs-adkintunmobile-androidclient-187</t>
  </si>
  <si>
    <t>SpeedTestPreferenceFragment.java line 115</t>
  </si>
  <si>
    <t xml:space="preserve">     in cl niclabs adkintunmobile views activemeasurements viewfragments SpeedTestPreferenceFragment startSpeedTest
  Number of crashes: 1
  Impacted devices: 1
There s a lot more information about this crash on crashlytics com:
 https:  fabric io niclabs android apps cl niclabs adkintunmobile issues 5a2683e261b02d480de9393a utm medium service hooks github utm source issue impact (https:  fabric io niclabs android apps cl niclabs adkintunmobile issues 5a2683e261b02d480de9393a utm medium service hooks github utm source issue impact)</t>
  </si>
  <si>
    <t>bumptech-glide-2689</t>
  </si>
  <si>
    <t>StateVerifier throw if needed 4.4.0</t>
  </si>
  <si>
    <t>Stack:_x000D_
   _x000D_
Fatal Exception: java lang IllegalStateException: Already released_x000D_
       at com bumptech glide util pool StateVerifier DefaultStateVerifier throwIfRecycled(StateVerifier java:44)_x000D_
       at com bumptech glide request SingleRequest onResourceReady(SingleRequest java:518)_x000D_
       at com bumptech glide load engine EngineJob handleResultOnMainThread(EngineJob java:217)_x000D_
       at com bumptech glide load engine EngineJob MainThreadCallback handleMessage(EngineJob java:322)_x000D_
       at android os Handler dispatchMessage(Handler java:98)_x000D_
       at android os Looper loop(Looper java:136)_x000D_
       at android app ActivityThread main(ActivityThread java:5584)_x000D_
       at java lang reflect Method invokeNative(Method java)_x000D_
       at java lang reflect Method invoke(Method java:515)_x000D_
       at com android internal os ZygoteInit MethodAndArgsCaller run(ZygoteInit java:1268)_x000D_
       at com android internal os ZygoteInit main(ZygoteInit java:1084)_x000D_
       at dalvik system NativeStart main(NativeStart java)_x000D_
   _x000D_
_x000D_
 Fabric (http:  crashes to s 77a94a0d3c4)</t>
  </si>
  <si>
    <t>dragonrollers-thoughtbubble-app-70</t>
  </si>
  <si>
    <t>**URGENT** Making New Board is not possible</t>
  </si>
  <si>
    <t xml:space="preserve">It crashes pretty badly    could someone look into that </t>
  </si>
  <si>
    <t>nextcloud-android-1841</t>
  </si>
  <si>
    <t xml:space="preserve">[Android] [App] Can't access "instant upload" </t>
  </si>
  <si>
    <t xml:space="preserve">    Actual behaviour_x000D_
As soon as I try to click on  instant upload  to configure instant uploads  the next cloud app crashes  _x000D_
_x000D_
No instant upload can take place  _x000D_
_x000D_
    Expected behaviour_x000D_
 Tell us what should happen_x000D_
 _x000D_
Should be able to open instant upload setting page  _x000D_
_x000D_
    Steps to reproduce_x000D_
1  Click on instant upload _x000D_
2  Instant crash_x000D_
3  No upload _x000D_
_x000D_
_x000D_
    Environment data_x000D_
Android version:_x000D_
7 0_x000D_
Device model: _x000D_
S G935F_x000D_
Stock or customized system:_x000D_
stock _x000D_
Nextcloud app version:_x000D_
2 0 0_x000D_
Nextcloud server version:_x000D_
12_x000D_
_x000D_
</t>
  </si>
  <si>
    <t>dragonrollers-thoughtbubble-app-42</t>
  </si>
  <si>
    <t>Crash on selecting friend in AskActivity because you have no friends</t>
  </si>
  <si>
    <t xml:space="preserve">If not  it crashes:_x000D_
_x000D_
 protected void onActivityResult(int requestCode  int resultCode  Intent intent)  _x000D_
        super onActivityResult(requestCode  resultCode  intent) _x000D_
        if (requestCode    SELECT CONT CODE    requestCode    SELECT END CODE)  _x000D_
              Came back from select activity  load results into sendTo variable_x000D_
            sendTo   intent getStringArrayExtra( sendTo )  _x000D_
_x000D_
because getStringArrayExtra is null </t>
  </si>
  <si>
    <t>bumptech-glide-2696</t>
  </si>
  <si>
    <t>IllegalStateException: Already released</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</si>
  <si>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_x000D_
_x000D_
     What version of Glide you re running  for example: 3 7 1   3 8 0 SNAPSHOT   4 0 0 SNAPSHOT_x000D_
It s essentially the version number from your build gradle:  dependencies   compile     :x y z        _x000D_
  Glide Version  : 4 4_x000D_
_x000D_
     Do you use any integration library  like OkHttp3 or Volley  For example:_x000D_
Fails to display with stock networking  but works with okhttp3 1 4 0    _x000D_
  Integration libraries  :_x000D_
_x000D_
     What devices you managed to get the issue to come up on  For example:_x000D_
fails on Galaxy S4 GT I9500 4 4 2  works fine on Nexus 6P 5 1 and Genymotion Nexus 5 5 0 1    _x000D_
  Device Android Version  :_x000D_
_x000D_
     Share the details of your issue in prose  detailing actual and expected behavior  It also helps if you give some info   why   you are trying to do something as opposed to   what   is not working     _x000D_
  Issue details   Repro steps   Use case background  : _x000D_
_x000D_
     How do you use Glide _x000D_
Make sure you include everything as is in your app s code:_x000D_
Changing a single method parameter can yield totally different results _x000D_
Please clarify any magic variables that appear in the code  for example:      this  is a Fragment _x000D_
   _x000D_
  Glide load line    GlideModule  (if any)   list Adapter code (if any)  :_x000D_
   java_x000D_
Glide with   _x000D_
   _x000D_
_x000D_
     How does your app look like _x000D_
We re most interested in the layout attributes and the hierarchy around the ImageView    _x000D_
  Layout XML  :_x000D_
   xml_x000D_
 FrameLayout xmlns:android     _x000D_
   _x000D_
_x000D_
    _x000D_
What is the error message that you got in the log _x000D_
You can find some help on diagnosing issues here: https:  github com bumptech glide wiki Debugging and Error Handling_x000D_
   _x000D_
  Stack trace   LogCat  :_x000D_
   ruby_x000D_
java lang IllegalStateException: Already released_x000D_
at com bumptech glide util pool StateVerifier DefaultStateVerifier throwIfRecycled(StateVerifier java:44)_x000D_
at com bumptech glide request SingleRequest onResourceReady(SingleRequest java:518)_x000D_
at com bumptech glide load engine EngineJob handleResultOnMainThread(EngineJob java:217)_x000D_
at com bumptech glide load engine EngineJob MainThreadCallback handleMessage(EngineJob java:322)_x000D_
at android os Handler dispatchMessage(Handler java:98)_x000D_
at android os Looper loop(Looper java:154)_x000D_
at android app ActivityThread main(ActivityThread java:6247)_x000D_
at java lang reflect Method invoke(Native Method)_x000D_
at com android internal os ZygoteInit MethodAndArgsCaller run(ZygoteInit java:872)_x000D_
at com android internal os ZygoteInit main(ZygoteInit java:762)_x000D_
   _x000D_
How can I catch this exception instead of letting it crash my app  Thanks _x000D_
_x000D_
     Bonus points if you attach a relevant screenshot  screen recording or a small demo project    _x000D_
</t>
  </si>
  <si>
    <t>scottwainstock-pbm-android-175</t>
  </si>
  <si>
    <t>App crashes when you switch to a different app</t>
  </si>
  <si>
    <t xml:space="preserve">I need to verify this a few more times  But if I switch to another app  without quitting pbm  it will crash _x000D_
_x000D_
    _x000D_
12 08 22:44:28 216 9126 9126 com pbm E AndroidRuntime: FATAL EXCEPTION: main_x000D_
        Process: com pbm  PID: 9126_x000D_
        android view WindowManager BadTokenException: Unable to add window    token android os BinderProxy 7fe60e3 is not valid  is your activity running _x000D_
        at android view ViewRootImpl setView(ViewRootImpl java:679)_x000D_
        at android view WindowManagerGlobal addView(WindowManagerGlobal java:342)_x000D_
        at android view WindowManagerImpl addView(WindowManagerImpl java:94)_x000D_
        at android widget Toast TN handleShow(Toast java:459)_x000D_
        at android widget Toast TN 2 handleMessage(Toast java:342)_x000D_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    </t>
  </si>
  <si>
    <t>billthefarmer-scope-16</t>
  </si>
  <si>
    <t>Often crashes when switching to the frequency domain (spectrum) view</t>
  </si>
  <si>
    <t>Oscilloscope 1 14 crashes often (but not always)  when switching to the frequency domain (spectrum) view _x000D_
Logs of one such crash (under AOSP 4 1 2):_x000D_
  Main log (filtered for  billthefarmer ):  alogcat mainlog org billthefarmer scope crashes when switching to spectrum txt (https:  github com billthefarmer scope files 1545704 alogcat mainlog org billthefarmer scope crashes when switching to spectrum txt)_x000D_
  Event log (filtered for  billthefarmer ):  alogcat eventlog org billthefarmer scope crashes when switching to spectrum txt (https:  github com billthefarmer scope files 1545705 alogcat eventlog org billthefarmer scope crashes when switching to spectrum txt)</t>
  </si>
  <si>
    <t>ramack-ActivityDiary-60</t>
  </si>
  <si>
    <t>Crash on Camera, Note Edit and Settings</t>
  </si>
  <si>
    <t xml:space="preserve">Report on  f droid inclusion MR (https:  gitlab com fdroid fdroiddata merge requests 2633)  by relan:_x000D_
_x000D_
   x  I started the app (on a tablet with Android 7 1 2)  pressed Camera button and it immediately crashed with:_x000D_
12 10 09:48:46 707 28777 28777 E AndroidRuntime: Process: de rampro activitydiary  PID: 28777_x000D_
12 10 09:48:46 707 28777 28777 E AndroidRuntime: java lang NullPointerException: Attempt to invoke virtual method  java lang String java io File getAbsolutePath()  on a null object reference_x000D_
12 10 09:48:46 707 28777 28777 E AndroidRuntime:    at de rampro activitydiary ui main j onClick(Unknown Source)_x000D_
12 10 09:48:46 707 28777 28777 E AndroidRuntime:    at android view View performClick(View java:5637)_x000D_
12 10 09:48:46 707 28777 28777 E AndroidRuntime:    at android view View PerformClick run(View java:22429)_x000D_
12 10 09:48:46 707 28777 28777 E AndroidRuntime:    at android os Handler handleCallback(Handler java:751)_x000D_
12 10 09:48:46 707 28777 28777 E AndroidRuntime:    at android os Handler dispatchMessage(Handler java:95)_x000D_
12 10 09:48:46 707 28777 28777 E AndroidRuntime:    at android os Looper loop(Looper java:154)_x000D_
12 10 09:48:46 707 28777 28777 E AndroidRuntime:    at android app ActivityThread main(ActivityThread java:6121)_x000D_
12 10 09:48:46 707 28777 28777 E AndroidRuntime:    at java lang reflect Method invoke(Native Method)_x000D_
12 10 09:48:46 707 28777 28777 E AndroidRuntime:    at com android internal os ZygoteInit MethodAndArgsCaller run(ZygoteInit java:889)_x000D_
12 10 09:48:46 707 28777 28777 E AndroidRuntime:    at com android internal os ZygoteInit main(ZygoteInit java:779)_x000D_
_x000D_
   x  When I pressed Edit button (with a pencil icon) and then OK in the dialog  it crashed with:_x000D_
12 10 09:52:51 474 29351 29375 E AndroidRuntime: FATAL EXCEPTION: AsyncQueryWorker_x000D_
12 10 09:52:51 474 29351 29375 E AndroidRuntime: Process: de rampro activitydiary  PID: 29351_x000D_
12 10 09:52:51 474 29351 29375 E AndroidRuntime: java lang NullPointerException: uri_x000D_
12 10 09:52:51 474 29351 29375 E AndroidRuntime:    at com android internal util Preconditions checkNotNull(Preconditions java:111)_x000D_
12 10 09:52:51 474 29351 29375 E AndroidRuntime:    at android content ContentResolver update(ContentResolver java:1402)_x000D_
12 10 09:52:51 474 29351 29375 E AndroidRuntime:    at android content AsyncQueryHandler WorkerHandler handleMessage(AsyncQueryHandler java:100)_x000D_
12 10 09:52:51 474 29351 29375 E AndroidRuntime:    at android os Handler dispatchMessage(Handler java:102)_x000D_
12 10 09:52:51 474 29351 29375 E AndroidRuntime:    at android os Looper loop(Looper java:154)_x000D_
12 10 09:52:51 474 29351 29375 E AndroidRuntime:    at android os HandlerThread run(HandlerThread java:61)_x000D_
_x000D_
      Settings also cause a crash  I think your app isn t ready for inclusion yet </t>
  </si>
  <si>
    <t>nextcloud-android-1848</t>
  </si>
  <si>
    <t>App Android crash on click left menu Activity...</t>
  </si>
  <si>
    <t xml:space="preserve">    Actual behaviour_x000D_
 Tell us what happens_x000D_
App crash when click on left menu Activity_x000D_
_x000D_
    Expected behaviour_x000D_
 Tell us what should happen_x000D_
 _x000D_
    Steps to reproduce_x000D_
1   Open App_x000D_
2   Click on Left menu Activity_x000D_
3  _x000D_
_x000D_
_x000D_
    Environment data_x000D_
Android version:_x000D_
_x000D_
Device model: _x000D_
_x000D_
Stock or customized system:_x000D_
_x000D_
Nextcloud app version:_x000D_
2 0 0 dev_x000D_
Nextcloud server version:_x000D_
12 0 4_x000D_
    Logs_x000D_
     Android LogCat_x000D_
12 11 18:45:15 930 13669 13669 D AndroidRuntime: Shutting down VM_x000D_
12 11 18:45:15 931 13669 13669 E AndroidRuntime: FATAL EXCEPTION: main_x000D_
12 11 18:45:15 931 13669 13669 E AndroidRuntime: Process: com nextcloud client  PID: 13669_x000D_
12 11 18:45:15 931 13669 13669 E AndroidRuntime: java lang ClassCastException: java util ArrayList cannot be cast to com owncloud android lib resources activities models Activity_x000D_
12 11 18:45:15 931 13669 13669 E AndroidRuntime:        at com owncloud android ui adapter ActivityListAdapter setActivityItems(ActivityListAdapter java:105)_x000D_
12 11 18:45:15 931 13669 13669 E AndroidRuntime:        at com owncloud android ui activity ActivitiesListActivity populateList(ActivitiesListActivity java:280)_x000D_
12 11 18:45:15 931 13669 13669 E AndroidRuntime:        at com owncloud android ui activity ActivitiesListActivity access 400(ActivitiesListActivity java:83)_x000D_
12 11 18:45:15 931 13669 13669 E AndroidRuntime:        at com owncloud android ui activity ActivitiesListActivity 3 1 run(ActivitiesListActivity java:225)_x000D_
12 11 18:45:15 931 13669 13669 E AndroidRuntime:        at android os Handler handleCallback(Handler java:751)_x000D_
12 11 18:45:15 931 13669 13669 E AndroidRuntime:        at android os Handler dispatchMessage(Handler java:95)_x000D_
12 11 18:45:15 931 13669 13669 E AndroidRuntime:        at android os Looper loop(Looper java:154)_x000D_
12 11 18:45:15 931 13669 13669 E AndroidRuntime:        at android app ActivityThread main(ActivityThread java:6186)_x000D_
12 11 18:45:15 931 13669 13669 E AndroidRuntime:        at java lang reflect Method invoke(Native Method)_x000D_
12 11 18:45:15 931 13669 13669 E AndroidRuntime:        at com android internal os ZygoteInit MethodAndArgsCaller run(ZygoteInit java:889)_x000D_
12 11 18:45:15 931 13669 13669 E AndroidRuntime:        at com android internal os ZygoteInit main(ZygoteInit java:779)_x000D_
12 11 18:45:15 933   879 25565 W ActivityManager:   Force finishing activity com nextcloud client com owncloud android ui activity ActivitiesListActivity_x000D_
12 11 18:45:15 937   879 25565 W ActivityManager:   Force finishing activity com nextcloud client com owncloud android ui activity FileDisplayActivity_x000D_
12 11 18:45:15 999   879 17645 I OpenGLRenderer: Initialized EGL  version 1 4_x000D_
12 11 18:45:16 000   879 17645 D OpenGLRenderer: Swap behavior 1</t>
  </si>
  <si>
    <t>simonpoole-OpeningHoursFragment-21</t>
  </si>
  <si>
    <t>Removing of non-valid time-time range causes crashing of app</t>
  </si>
  <si>
    <t xml:space="preserve">   Vespucci Version_x000D_
Vespucci 0 9 10b1324_x000D_
_x000D_
   Device (Manufacturer and Model)_x000D_
Samsung Galaxy A3 (SM A300FU)_x000D_
_x000D_
   Android Version _x000D_
Android 6 0 1_x000D_
_x000D_
   Behaviour Symptoms Expected Behaviour How to recreate_x000D_
1  Add opening our tag to an object_x000D_
2  Open OpeningHours editor_x000D_
3  Remove everything existing (three dots    Delete)_x000D_
4  Add Time Time range_x000D_
5  Set End time to something not valid (using top line and SW keyboard add third digit)_x000D_
6  Save that and open editing tool again _x000D_
7  Try to remove rules using three dots    Delete button_x000D_
8  After pressing Delete button  app crashes _x000D_
_x000D_
   Crash dump submitted (no or yes   date)_x000D_
12 12 2017 (20:35 UTC 1) report containig email adress xxxxxx and this content_x000D_
_x000D_
   Any other potentially relevant information_x000D_
Language: cs CZ</t>
  </si>
  <si>
    <t>dmfs-opentasks-575</t>
  </si>
  <si>
    <t xml:space="preserve">I ve just got this crash after changing the device time zone (I don t think that this is the actual reason though)  We also see reports about this on Google Play _x000D_
   _x000D_
java lang IllegalStateException: this should only be called when the cursor is valid_x000D_
	at android widget CursorTreeAdapter getGroupView(CursorTreeAdapter java:198)_x000D_
	at android widget ExpandableListConnector getView(ExpandableListConnector java:446)_x000D_
	at android widget HeaderViewListAdapter getView(HeaderViewListAdapter java:220)_x000D_
	at android widget AbsListView obtainView(AbsListView java:2363)_x000D_
	at android widget ListView makeAndAddView(ListView java:1970)_x000D_
	at android widget ListView fillDown(ListView java:704)_x000D_
	at android widget ListView fillSpecific(ListView java:1412)_x000D_
	at android widget ListView layoutChildren(ListView java:1708)_x000D_
	at android widget AbsListView onLayout(AbsListView java:2162)_x000D_
	at android view View layout(View java:17637)_x000D_
	at android view ViewGroup layout(ViewGroup java:5575)_x000D_
	at android widget LinearLayout setChildFrame(LinearLayout java:1741)_x000D_
	at android widget LinearLayout layoutVertical(LinearLayout java:1585)_x000D_
	at android widget LinearLayout onLayout(LinearLayout java:1494)_x000D_
	at android view View layout(View java:17637)_x000D_
	at android view ViewGroup layout(ViewGroup java:5575)_x000D_
	at android support v4 view ViewPager onLayout(ViewPager java:1795)_x000D_
	at android view View layout(View java:17637)_x000D_
	at android view ViewGroup layout(ViewGroup java:5575)_x000D_
	at android support design widget HeaderScrollingViewBehavior layoutChild(HeaderScrollingViewBehavior java:131)_x000D_
	at android support design widget ViewOffsetBehavior onLayoutChild(ViewOffsetBehavior java:42)_x000D_
	at android support design widget AppBarLayout ScrollingViewBehavior onLayoutChild(AppBarLayout java:1397)_x000D_
	at android support design widget CoordinatorLayout onLayout(CoordinatorLayout java:870)_x000D_
	at android view View layout(View java:17637)_x000D_
	at android view ViewGroup layout(ViewGroup java:5575)_x000D_
	at android widget FrameLayout layoutChildren(FrameLayout java:323)_x000D_
	at android widget FrameLayout onLayout(FrameLayout java:261)_x000D_
	at android view View layout(View java:17637)_x000D_
	at android view ViewGroup layout(ViewGroup java:5575)_x000D_
	at android widget FrameLayout layoutChildren(FrameLayout java:323)_x000D_
	at android widget FrameLayout onLayout(FrameLayout java:261)_x000D_
	at android view View layout(View java:17637)_x000D_
        _x000D_
   </t>
  </si>
  <si>
    <t>square-okhttp-3719</t>
  </si>
  <si>
    <t>Crash: Unexpected TLS version: NONE</t>
  </si>
  <si>
    <t xml:space="preserve">Hi there _x000D_
_x000D_
First at all thank you very much for your library _x000D_
_x000D_
I ve integrated okhttp3 since couple months ago  there were no problem until yesterday with an user (Huawei  model MHA L29  on Android 7 0):_x000D_
_x000D_
   _x000D_
Fatal Exception: java lang IllegalArgumentException: Unexpected TLS version: NONE_x000D_
       at okhttp3 TlsVersion forJavaName(TlsVersion java:53)_x000D_
       at okhttp3 Handshake get(Handshake java:56)_x000D_
       at okhttp3 internal connection RealConnection connectTls(RealConnection java:300)_x000D_
       at okhttp3 internal connection RealConnection establishProtocol(RealConnection java:268)_x000D_
       at okhttp3 internal connection RealConnection connect(RealConnection java:160)_x000D_
       at okhttp3 internal connection StreamAllocation findConnection(StreamAllocation java:256)_x000D_
       at okhttp3 internal connection StreamAllocation findHealthyConnection(StreamAllocation java:134)_x000D_
       at okhttp3 internal connection StreamAllocation newStream(StreamAllocation java:113)_x000D_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java:125)_x000D_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AsyncCall execute(RealCall java:147)_x000D_
       at okhttp3 internal NamedRunnable run(NamedRunnable java:32)_x000D_
       at java util concurrent ThreadPoolExecutor runWorker(ThreadPoolExecutor java:1133)_x000D_
       at java util concurrent ThreadPoolExecutor Worker run(ThreadPoolExecutor java:607)_x000D_
       at java lang Thread run(Thread java:776)_x000D_
   _x000D_
Have you got some ideas about this crash _x000D_
_x000D_
Thank you very much guys </t>
  </si>
  <si>
    <t>Glucosio-glucosio-android-385</t>
  </si>
  <si>
    <t>App crashes on android after adding datapoint through android wear watch</t>
  </si>
  <si>
    <t>When adding a datapoint through my android wear 2 watch  initially all seems to work _x000D_
_x000D_
I receive a notification on my phone it is added  however the glucosio app on the phone crashes and the datapoint is not added to the database</t>
  </si>
  <si>
    <t>lisawray-groupie-135</t>
  </si>
  <si>
    <t>Crash with same layoutId</t>
  </si>
  <si>
    <t xml:space="preserve">I run in to a common crash  When I use the same layout with differrent items in the same list  it crashes upon recycling  I investigated  Groupie use layoutId at getViewType  I think it s not a good solution  It s very common when the same layout is used with different item types </t>
  </si>
  <si>
    <t>niclabs-adkintunmobile-androidclient-188</t>
  </si>
  <si>
    <t>Network.java line 123</t>
  </si>
  <si>
    <t xml:space="preserve">     in cl niclabs adkintunmobile utils information Network getLacCid
  Number of crashes: 1
  Impacted devices: 1
There s a lot more information about this crash on crashlytics com:
 https:  fabric io niclabs android apps cl niclabs adkintunmobile issues 5a32a9468cb3c2fa63df349c utm medium service hooks github utm source issue impact (https:  fabric io niclabs android apps cl niclabs adkintunmobile issues 5a32a9468cb3c2fa63df349c utm medium service hooks github utm source issue impact)</t>
  </si>
  <si>
    <t>kabouzeid-Phonograph-372</t>
  </si>
  <si>
    <t>Startup crash - SQLite exception</t>
  </si>
  <si>
    <t>I am getting a crash a second after starting up the app _x000D_
I m on a Doogee S60  running near stock 7 0_x000D_
No way of getting logcat  Stackpile says ambiguouscolumnname  id _x000D_
If you need the whole stack  I ll be getting screenshot of the Android debug message</t>
  </si>
  <si>
    <t>Swrve-swrve-android-sdk-271</t>
  </si>
  <si>
    <t>[Crash] Only fullscreen activities can request orientation</t>
  </si>
  <si>
    <t xml:space="preserve">Hi _x000D_
_x000D_
There s a crash on Android 8 0 0 with target SDK 27  when trying to set an orientation for  SwrveInAppMessageActivity   Google introduced this restriction for translucent activities  so they can t request orientation anymore _x000D_
I checked your latest sources and it looks like  SwrveInAppMessageActivity  still has this attribute   item name  android:windowIsTranslucent  true  item    and not doing any check before setting the orientation in  onCreate  _x000D_
_x000D_
This crash happens when I m trying to receive some in app message from ongoing campaign _x000D_
_x000D_
   _x000D_
java lang RuntimeException: Unable to start activity ComponentInfo com nadex dxd alpha com swrve sdk messaging ui SwrveInAppMessageActivity : java lang IllegalStateException: Only fullscreen activities can request orientation_x000D_
   _x000D_
_x000D_
Correct me if I m missing something  And I can make a PR to take care of this  in case you d like to _x000D_
</t>
  </si>
  <si>
    <t>ZeeRooo-MaterialFBook-121</t>
  </si>
  <si>
    <t>Crash pausing main activity.</t>
  </si>
  <si>
    <t xml:space="preserve">There s a crash when pausing the app in main activity  only when a used is logged in </t>
  </si>
  <si>
    <t>WyrnCael-JotDownThatMovie-1</t>
  </si>
  <si>
    <t>Film without poster error</t>
  </si>
  <si>
    <t xml:space="preserve">Application crashes when saving a movie without poster </t>
  </si>
  <si>
    <t>k9mail-k-9-2973</t>
  </si>
  <si>
    <t>Crashes on adding an address to a reply list</t>
  </si>
  <si>
    <t xml:space="preserve">Please search to check for an existing issue (including closed issues  for which the fix may not have yet been released) before opening a new issue: https:  github com k9mail k 9 issues q is 3Aissue_x000D_
_x000D_
I believe this is the same as  App crashed by typing address in the address field when composing a message  1251  except that bug was not fixed for when you reply to a message _x000D_
_x000D_
    Expected behavior_x000D_
Should auto complete the address and not crash_x000D_
_x000D_
    Actual behavior_x000D_
Crashes on the second character typed_x000D_
_x000D_
    Steps to reproduce_x000D_
1  Tap the left double arrow at the bottom while viewing a message (to reply or forward)_x000D_
2  Tap Reply_x000D_
3  Tap in the To field after any existing addresses_x000D_
4  Type in the first characters of an address to send to_x000D_
_x000D_
    Environment_x000D_
K 9 Mail version: 5 208_x000D_
_x000D_
Android version: 7 0_x000D_
 logcat txt (https:  github com k9mail k 9 files 1565095 logcat txt)_x000D_
_x000D_
_x000D_
Account type (IMAP  POP3  WebDAV Exchange): IMAP_x000D_
</t>
  </si>
  <si>
    <t>zeevy-grblcontroller-9</t>
  </si>
  <si>
    <t>Fatal Exception: android.content.ActivityNotFoundException | GrblActivity.java line 295</t>
  </si>
  <si>
    <t xml:space="preserve">     in in co gorest grblcontroller GrblActivity onOptionsItemSelected_x000D_
_x000D_
Fatal Exception: android content ActivityNotFoundException: No Activity found to handle Intent   act android intent action hwCHOOSER (has extras)  _x000D_
       at android app Instrumentation checkStartActivityResult(Instrumentation java:1854)_x000D_
       at android app Instrumentation execStartActivity(Instrumentation java:1544)_x000D_
       at android app Activity startActivityForResult(Activity java:4391)_x000D_
       at android support v4 app BaseFragmentActivityJB startActivityForResult(BaseFragmentActivityJB java:54)_x000D_
       at android support v4 app FragmentActivity startActivityForResult(FragmentActivity java:75)_x000D_
       at android app Activity startActivityForResult(Activity java:4335)_x000D_
       at android support v4 app FragmentActivity startActivityForResult(FragmentActivity java:708)_x000D_
       at android app Activity startActivity(Activity java:4697)_x000D_
       at android app Activity startActivity(Activity java:4665)_x000D_
       at in co gorest grblcontroller GrblActivity onOptionsItemSelected(GrblActivity java:295)_x000D_
       at android app Activity onMenuItemSelected(Activity java:3356)_x000D_
       at android support v4 app FragmentActivity onMenuItemSelected(FragmentActivity java:360)_x000D_
       at android support v7 app AppCompatActivity onMenuItemSelected(AppCompatActivity java:194)_x000D_
       at android support v7 view WindowCallbackWrapper onMenuItemSelected(WindowCallbackWrapper java:110)_x000D_
       at android support v7 view WindowCallbackWrapper onMenuItemSelected(WindowCallbackWrapper java:110)_x000D_
       at android support v7 app ToolbarActionBar 2 onMenuItemClick(ToolbarActionBar java:69)_x000D_
       at android support v7 widget Toolbar 1 onMenuItemClick(Toolbar java:204)_x000D_
       at android support v7 widget ActionMenuView MenuBuilderCallback onMenuItemSelected(ActionMenuView java:776)_x000D_
       at android support v7 view menu MenuBuilder dispatchMenuItemSelected(MenuBuilder java:821)_x000D_
       at android support v7 view menu MenuItemImpl invoke(MenuItemImpl java:158)_x000D_
       at android support v7 view menu MenuBuilder performItemAction(MenuBuilder java:968)_x000D_
       at android support v7 view menu MenuPopup onItemClick(MenuPopup java:127)_x000D_
       at android widget AdapterView performItemClick(AdapterView java:313)_x000D_
       at android widget AbsListView performItemClick(AbsListView java:1201)_x000D_
       at android widget AbsListView PerformClick run(AbsListView java:3195)_x000D_
       at android widget AbsListView 3 run(AbsListView java:4138)_x000D_
       at android os Handler handleCallback(Handler java:761)_x000D_
       at android os Handler dispatchMessage(Handler java:98)_x000D_
       at android os Looper loop(Looper java:156)_x000D_
       at android app ActivityThread main(ActivityThread java:6523)_x000D_
       at java lang reflect Method invoke(Method java)_x000D_
       at com android internal os ZygoteInit MethodAndArgsCaller run(ZygoteInit java:941)_x000D_
       at com android internal os ZygoteInit main(ZygoteInit java:831)_x000D_
_x000D_
_x000D_
 in co gorest grblcontroller issue 43 crash 5A3371BB033400013D05247ED7AFBB21 3ab346fee3b611e79f9756847afe9799 0 v2 txt (https:  github com zeevy grblcontroller files 1566757 in co gorest grblcontroller issue 43 crash 5A3371BB033400013D05247ED7AFBB21 3ab346fee3b611e79f9756847afe9799 0 v2 txt)_x000D_
_x000D_
</t>
  </si>
  <si>
    <t>popeen-Booksonic-App-69</t>
  </si>
  <si>
    <t>Android 8.1</t>
  </si>
  <si>
    <t xml:space="preserve">upgraded to android 8 1   sometimes will play podcasts  but crashes on any audiobook  was working fine previously </t>
  </si>
  <si>
    <t>wotomas-VoiceRipple-10</t>
  </si>
  <si>
    <t>keeps throwing null exceptions, ripplecolor missing</t>
  </si>
  <si>
    <t xml:space="preserve">it keeps throwing nullexceptions and crashing  please  help out </t>
  </si>
  <si>
    <t>fr3ts0n-AndrOBD-43</t>
  </si>
  <si>
    <t>App crash when trying to load a non .obd file</t>
  </si>
  <si>
    <t>Hi again :)_x000D_
_x000D_
Yes  I must be one of the stupid people    I tried to load a log file as the main  obd file _x000D_
_x000D_
I was surprised to find that the app tried to accept the  log file though  Not really surprised that the app crashed because of it _x000D_
_x000D_
Any chance you can add a sanity check on the file type  to stop stupid people like me crashing out  Maybe a toast   Must be a  obd file   _x000D_
_x000D_
Thanks_x000D_
_x000D_
Vince</t>
  </si>
  <si>
    <t>novoda-download-manager-274</t>
  </si>
  <si>
    <t>Avoid leaking ServiceConnection</t>
  </si>
  <si>
    <t xml:space="preserve">    Problem_x000D_
If a client uses any  Context  except the  Application Context  then the app will likely crash because we are leaking the  ServiceConnection   This occurs because currently the  DLM  does not unbind it   _x000D_
_x000D_
    Solution_x000D_
Ensure that we use only the  Application Context  by calling  context getApplicationContext  inside the  DLM  _x000D_
_x000D_
    Additional_x000D_
We should decide how we are going to surface the need to  bind  and  unbind  to the client applications </t>
  </si>
  <si>
    <t>tanrabad-survey-49</t>
  </si>
  <si>
    <t xml:space="preserve">     in org tanrabad survey utils alert DialogAlertMessage show
  Number of crashes: 1
  Impacted devices: 1
There s a lot more information about this crash on crashlytics com:
 https:  fabric io tanrabad android apps org tanrabad survey issues 5a38ba728cb3c2fa63329a43 utm medium service hooks github utm source issue impact (https:  fabric io tanrabad android apps org tanrabad survey issues 5a38ba728cb3c2fa63329a43 utm medium service hooks github utm source issue impact)</t>
  </si>
  <si>
    <t>tanrabad-survey-48</t>
  </si>
  <si>
    <t xml:space="preserve">     in org tanrabad survey entity Building getPlaceId
  Number of crashes: 1
  Impacted devices: 1
There s a lot more information about this crash on crashlytics com:
 https:  fabric io tanrabad android apps org tanrabad survey issues 5a38ba0c8cb3c2fa633294c9 utm medium service hooks github utm source issue impact (https:  fabric io tanrabad android apps org tanrabad survey issues 5a38ba0c8cb3c2fa633294c9 utm medium service hooks github utm source issue impact)</t>
  </si>
  <si>
    <t>tanrabad-survey-47</t>
  </si>
  <si>
    <t xml:space="preserve">     in org tanrabad survey presenter maps BuildingMapMarkerFragment 1 onConnected
  Number of crashes: 1
  Impacted devices: 1
There s a lot more information about this crash on crashlytics com:
 https:  fabric io tanrabad android apps org tanrabad survey issues 5a38b89f8cb3c2fa6332802e utm medium service hooks github utm source issue impact (https:  fabric io tanrabad android apps org tanrabad survey issues 5a38b89f8cb3c2fa6332802e utm medium service hooks github utm source issue impact)</t>
  </si>
  <si>
    <t>tanrabad-survey-46</t>
  </si>
  <si>
    <t xml:space="preserve">     in org tanrabad survey utils PlayLocationService getInstance
  Number of crashes: 1
  Impacted devices: 1
There s a lot more information about this crash on crashlytics com:
 https:  fabric io tanrabad android apps org tanrabad survey issues 5a38b7618cb3c2fa63326e45 utm medium service hooks github utm source issue impact (https:  fabric io tanrabad android apps org tanrabad survey issues 5a38b7618cb3c2fa63326e45 utm medium service hooks github utm source issue impact)</t>
  </si>
  <si>
    <t>jruesga-rview-57</t>
  </si>
  <si>
    <t xml:space="preserve">Crash on editing file and landscape screen </t>
  </si>
  <si>
    <t>In case I try editing the file in app in portrait mode then only top half of the screen is displaying file contents  The bottom half is blank _x000D_
_x000D_
In case I rotate the phone in landscape mode the app crashes _x000D_
_x000D_
Android 6 0 1</t>
  </si>
  <si>
    <t>alhazmy13-MediaPicker-49</t>
  </si>
  <si>
    <t xml:space="preserve">Camera Intent Crash </t>
  </si>
  <si>
    <t xml:space="preserve">Android applicaiton crash on kitkat  please fix it </t>
  </si>
  <si>
    <t>alhazmy13-MediaPicker-51</t>
  </si>
  <si>
    <t>Image Picker From Google Drive Issue</t>
  </si>
  <si>
    <t xml:space="preserve">So I have been getting come crashes related to the URI being not found  I found this to happen when using the Image Picker and selecting a non image type file (ZIP  MP4)  Whats odd is the onActivityResult returns a URI back but its not valid it contains a  jpg extension and returns the exception below when you try to open it into a input stream  Anyway to restrict google drive selection to photos only  Or is there a way to disable showing third party apps and just show the built in gallery app _x000D_
_x000D_
Thank You_x000D_
_x000D_
   _x000D_
Exception (I picked a  mp4 file from my google drive account):_x000D_
java io FileNotFoundException:  storage emulated 0 mediapicker images ad220b5b f716 42ae ac6b 002879870f0f jpg: open failed: ENOENT (No such file or directory)_x000D_
   _x000D_
_x000D_
  device 2017 12 21 112158 (https:  user images githubusercontent com 14999806 34264765 e7740704 e641 11e7 9e88 c056ed635c97 png)_x000D_
</t>
  </si>
  <si>
    <t>moneymanagerex-android-money-manager-ex-1186</t>
  </si>
  <si>
    <t>Unable to set parent on Asset Class</t>
  </si>
  <si>
    <t>tapping the Parent on Asset Class editor crashes the app</t>
  </si>
  <si>
    <t>dariuszseweryn-RxAndroidBle-342</t>
  </si>
  <si>
    <t>Can instantiate RxBleClient with last Dagger release</t>
  </si>
  <si>
    <t xml:space="preserve">    Summary_x000D_
I faced an issue yesterday with the new Dagger release (2 14 1)  At the RxBleClient creation (  RxBleClient create(context)  ) the app crash (with 2 13 and less it s ok) _x000D_
_x000D_
    Library version_x000D_
 1 4 3 _x000D_
_x000D_
     Logs from the application running with setting _x000D_
   E AndroidRuntime: FATAL EXCEPTION: main_x000D_
                                                               Process: myapp id  PID: 23473_x000D_
                                                               java lang NoSuchMethodError: No static method injectMembers(Ldagger MembersInjector Ljava lang Object )Ljava lang Object  in class Ldagger internal MembersInjectors  or its super classes (declaration of  dagger internal MembersInjectors  appears in  data app myapp id 2 base apk:classe_x000D_
at com polidea rxandroidble RxBleAdapterStateObservable Factory get(RxBleAdapterStateObservable Factory java:28)_x000D_
                                                       at com polidea rxandroidble RxBleAdapterStateObservable Factory get(RxBleAdapterStateObservable Factory java:10)_x000D_
                                                       at com polidea rxandroidble RxBleClientImpl Factory get(RxBleClientImpl Factory java:104)_x000D_
                                                       at com polidea rxandroidble RxBleClientImpl Factory get(RxBleClientImpl Factory java:23)_x000D_
                                                       at dagger internal DoubleCheck get(DoubleCheck java:47)_x000D_
                                                       at com polidea rxandroidble DaggerClientComponent rxBleClient(DaggerClientComponent java:419)_x000D_
                                                       at com polidea rxandroidble RxBleClient create(RxBleClient java:54) _x000D_
_x000D_
</t>
  </si>
  <si>
    <t>tanrabad-survey-50</t>
  </si>
  <si>
    <t>View.java line 5246</t>
  </si>
  <si>
    <t xml:space="preserve">     in android view View performClick
  Number of crashes: 1
  Impacted devices: 1
There s a lot more information about this crash on crashlytics com:
 https:  fabric io tanrabad android apps org tanrabad survey issues 5a3b7b358cb3c2fa6359b1d3 utm medium service hooks github utm source issue impact (https:  fabric io tanrabad android apps org tanrabad survey issues 5a3b7b358cb3c2fa6359b1d3 utm medium service hooks github utm source issue impact)</t>
  </si>
  <si>
    <t>yrom-ScreenRecorder-8</t>
  </si>
  <si>
    <t>为什么我两个手机点录制都闪退啊</t>
  </si>
  <si>
    <t xml:space="preserve">      resolution bitrate         _x000D_
12 21 16:33:44 388 32318 32318   I art: Late enabling  Xcheck:jni_x000D_
12 21 16:33:44 467 32318 32318 net yrom screenrecorder demo W System: ClassLoader referenced unknown path:  data app net yrom screenrecorder demo 2 lib arm_x000D_
12 21 16:33:44 582 32318 32356 net yrom screenrecorder demo D OpenGLRenderer: Use EGL SWAP BEHAVIOR PRESERVED: true_x000D_
12 21 16:33:44 615 32318 32356 net yrom screenrecorder demo I Adreno EGL:  qeglDrvAPI eglInitialize:379 : QUALCOMM Build: 10 21 15  369a2ea  I96aee987eb_x000D_
12 21 16:33:44 619 32318 32356 net yrom screenrecorder demo I OpenGLRenderer: Initialized EGL  version 1 4_x000D_
12 21 16:33:44 630 32318 32355 net yrom screenrecorder demo W VideoCapabilities: Unrecognized profile 2130706433 for video avc_x000D_
12 21 16:33:44 674 32318 32355 net yrom screenrecorder demo I VideoCapabilities: Unsupported profile 4 for video mp4v es_x000D_
12 21 16:33:44 677 32318 32355 net yrom screenrecorder demo W VideoCapabilities: Unrecognized profile 2130706433 for video avc_x000D_
12 21 16:33:44 699 32318 32318 net yrom screenrecorder demo W VideoCapabilities: Unrecognized profile 2130706433 for video avc_x000D_
12 21 16:33:44 705 32318 32318 net yrom screenrecorder demo I    : Encoder  OMX qcom video encoder avc _x000D_
                                                                     supported :  video avc _x000D_
                                                                     Video capabilities:_x000D_
                                                                     Widths:  96  3840 _x000D_
                                                                     Heights:  64  2160 _x000D_
                                                                     Frame Rates:  0  960 _x000D_
                                                                     Bitrate:  1  100000000 _x000D_
                                                                     Profile levels: _x000D_
                                                                     AVCProfileBaseline AVCLevel52_x000D_
                                                                     AVCProfileMain AVCLevel52_x000D_
                                                                     AVCProfileHigh AVCLevel52_x000D_
                                                                     2130706433 AVCLevel52_x000D_
                                                                     Color formats: _x000D_
                                                                     0x7fa30c04_x000D_
                                                                     COLOR FormatSurface_x000D_
                                                                     COLOR FormatYUV420Flexible_x000D_
                                                                     COLOR FormatYUV420SemiPlanar_x000D_
12 21 16:33:44 707 32318 32318 net yrom screenrecorder demo I    : Encoder  OMX google h264 encoder _x000D_
                                                                     supported :  video avc _x000D_
                                                                     Video capabilities:_x000D_
                                                                     Widths:  16  1920 _x000D_
                                                                     Heights:  16  1088 _x000D_
                                                                     Frame Rates:  0  960 _x000D_
                                                                     Bitrate:  1  12000000 _x000D_
                                                                     Profile levels: _x000D_
                                                                     AVCProfileBaseline AVCLevel1_x000D_
                                                                     AVCProfileBaseline AVCLevel1b_x000D_
                                                                     AVCProfileBaseline AVCLevel11_x000D_
                                                                     AVCProfileBaseline AVCLevel12_x000D_
                                                                     AVCProfileBaseline AVCLevel13_x000D_
                                                                     AVCProfileBaseline AVCLevel2_x000D_
                                                                     AVCProfileBaseline AVCLevel21_x000D_
                                                                     AVCProfileBaseline AVCLevel22_x000D_
                                                                     AVCProfileBaseline AVCLevel3_x000D_
                                                                     AVCProfileBaseline AVCLevel31_x000D_
                                                                     AVCProfileBaseline AVCLevel32_x000D_
                                                                     AVCProfileBaseline AVCLevel4_x000D_
                                                                     AVCProfileBaseline AVCLevel41_x000D_
                                                                     AVCProfileMain AVCLevel1_x000D_
                                                                     AVCProfileMain AVCLevel1b_x000D_
                                                                     AVCProfileMain AVCLevel11_x000D_
                                                                     AVCProfileMain AVCLevel12_x000D_
                                                                     AVCProfileMain AVCLevel13_x000D_
                                                                     AVCProfileMain AVCLevel2_x000D_
                                                                     AVCProfileMain AVCLevel21_x000D_
                                                                     AVCProfileMain AVCLevel22_x000D_
                                                                     AVCProfileMain AVCLevel3_x000D_
                                                                     AVCProfileMain AVCLevel31_x000D_
                                                                     AVCProfileMain AVCLevel32_x000D_
                                                                     AVCProfileMain AVCLevel4_x000D_
                                                                     AVCProfileMain AVCLevel41_x000D_
                                                                     Color formats: _x000D_
                                                                     COLOR FormatYUV420Flexible_x000D_
                                                                     COLOR FormatYUV420Planar_x000D_
                                                                     COLOR FormatYUV420SemiPlanar_x000D_
                                                                     COLOR FormatSurface_x000D_
12 21 16:33:44 713 32318 32318 net yrom screenrecorder demo I    : Encoder  OMX google aac encoder _x000D_
                                                                     supported :  audio mp4a latm _x000D_
                                                                    Audio capabilities:_x000D_
                                                                    Sample Rates:  8000  11025  12000  16000  22050  24000  32000  44100  48000 _x000D_
                                                                    Bit Rates:  8000  510000 _x000D_
                                                                    Max channels: 6_x000D_
12 21 16:36:05 031 32318 32318 net yrom screenrecorder demo D AndroidRuntime: Shutting down VM_x000D_
                                                                              _x000D_
                                                                              _x000D_
                                                                                        beginning of crash_x000D_
12 21 16:36:05 033 32318 32318 net yrom screenrecorder demo E AndroidRuntime: FATAL EXCEPTION: main_x000D_
                                                                              Process: net yrom screenrecorder demo  PID: 32318_x000D_
                                                                              java lang RuntimeException: Failure delivering result ResultInfo who null  request 1  result  1  data Intent   (has extras)    to activity  net yrom screenrecorder demo net yrom screenrecorder MainActivity : java lang NullPointerException: Attempt to invoke virtual method  java lang String   java lang String split(java lang String)  on a null object reference_x000D_
                                                                                  at android app ActivityThread deliverResults(ActivityThread java:3699)_x000D_
                                                                                  at android app ActivityThread handleSendResult(ActivityThread java:3742)_x000D_
                                                                                  at android app ActivityThread  wrap16(ActivityThread java)_x000D_
                                                                                  at android app ActivityThread H handleMessage(ActivityThread java:1393)_x000D_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NullPointerException: Attempt to invoke virtual method  java lang String   java lang String split(java lang String)  on a null object reference_x000D_
                                                                                  at net yrom screenrecorder MainActivity getSelectedWithHeight(MainActivity java:669)_x000D_
                                                                                  at net yrom screenrecorder MainActivity createVideoConfig(MainActivity java:229)_x000D_
                                                                                  at net yrom screenrecorder MainActivity onActivityResult(MainActivity java:144)_x000D_
                                                                                  at android app Activity dispatchActivityResult(Activity java:6456)_x000D_
                                                                                  at android app ActivityThread deliverResults(ActivityThread java:3695)_x000D_
                                                                                  at android app ActivityThread handleSendResult(ActivityThread java:3742) _x000D_
                                                                                  at android app ActivityThread  wrap16(ActivityThread java) _x000D_
                                                                                  at android app ActivityThread H handleMessage(ActivityThread java:1393) _x000D_
                                                                                  at android os Handler dispatchMessage(Handler java:102)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_x000D_
_x000D_
</t>
  </si>
  <si>
    <t>mycelium-com-wallet-android-441</t>
  </si>
  <si>
    <t>Exception thrown while opening the wallet app</t>
  </si>
  <si>
    <t>I can t open the mycelium app anymore  it crashes as soon as the app is launched with an exception:_x000D_
_x000D_
   _x000D_
12 22 21:30:50 670  7096  7096 E AndroidRuntime: FATAL EXCEPTION: main_x000D_
12 22 21:30:50 670  7096  7096 E AndroidRuntime: Process: com mycelium wallet  PID: 7096_x000D_
12 22 21:30:50 670  7096  7096 E AndroidRuntime: java lang RuntimeException: Unable to create application com mycelium wallet WalletApplication: java lang NullPointerException: Attempt to read from field  com mrd bitlib model TransactionOutput   com mrd bitlib model Transaction outputs  on a null object reference_x000D_
12 22 21:30:50 670  7096  7096 E AndroidRuntime: 	at android app ActivityThread handleBindApplication(ActivityThread java:6037)_x000D_
12 22 21:30:50 670  7096  7096 E AndroidRuntime: 	at android app ActivityThread  wrap1(Unknown Source:0)_x000D_
12 22 21:30:50 670  7096  7096 E AndroidRuntime: 	at android app ActivityThread H handleMessage(ActivityThread java:1756)_x000D_
12 22 21:30:50 670  7096  7096 E AndroidRuntime: 	at android os Handler dispatchMessage(Handler java:105)_x000D_
12 22 21:30:50 670  7096  7096 E AndroidRuntime: 	at android os Looper loop(Looper java:164)_x000D_
12 22 21:30:50 670  7096  7096 E AndroidRuntime: 	at android app ActivityThread main(ActivityThread java:6809)_x000D_
12 22 21:30:50 670  7096  7096 E AndroidRuntime: 	at java lang reflect Method invoke(Native Method)_x000D_
12 22 21:30:50 670  7096  7096 E AndroidRuntime: 	at com android internal os Zygote MethodAndArgsCaller run(Zygote java:240)_x000D_
12 22 21:30:50 670  7096  7096 E AndroidRuntime: 	at com android internal os ZygoteInit main(ZygoteInit java:767)_x000D_
12 22 21:30:50 670  7096  7096 E AndroidRuntime: Caused by: java lang NullPointerException: Attempt to read from field  com mrd bitlib model TransactionOutput   com mrd bitlib model Transaction outputs  on a null object reference_x000D_
12 22 21:30:50 670  7096  7096 E AndroidRuntime: 	at com mycelium wapi wallet AbstractAccount isColuTransaction(AbstractAccount java:864)_x000D_
12 22 21:30:50 670  7096  7096 E AndroidRuntime: 	at com mycelium wapi wallet AbstractAccount isColuDustOutput(AbstractAccount java:876)_x000D_
12 22 21:30:50 670  7096  7096 E AndroidRuntime: 	at com mycelium wapi wallet AbstractAccount calculateLocalBalance(AbstractAccount java:482)_x000D_
12 22 21:30:50 670  7096  7096 E AndroidRuntime: 	at com mycelium wapi wallet bip44 Bip44Account  init (Bip44Account java:68)_x000D_
12 22 21:30:50 670  7096  7096 E AndroidRuntime: 	at com mycelium wapi wallet WalletManager loadBip44Accounts(WalletManager java:590)_x000D_
12 22 21:30:50 670  7096  7096 E AndroidRuntime: 	at com mycelium wapi wallet WalletManager loadAccounts(WalletManager java:570)_x000D_
12 22 21:30:50 670  7096  7096 E AndroidRuntime: 	at com mycelium wapi wallet WalletManager  init (WalletManager java:98)_x000D_
12 22 21:30:50 670  7096  7096 E AndroidRuntime: 	at com mycelium wallet MbwManager  init (MbwManager java:9618)_x000D_
12 22 21:30:50 670  7096  7096 E AndroidRuntime: 	at com mycelium wallet MbwManager getInstance(MbwManager java:172)_x000D_
12 22 21:30:50 670  7096  7096 E AndroidRuntime: 	at com mycelium wallet WalletApplication onCreate(WalletApplication java:47)_x000D_
12 22 21:30:50 670  7096  7096 E AndroidRuntime: 	at android app Instrumentation callApplicationOnCreate(Instrumentation java:1129)_x000D_
12 22 21:30:50 670  7096  7096 E AndroidRuntime: 	at android app ActivityThread handleBindApplication(ActivityThread java:6034)_x000D_
12 22 21:30:50 670  7096  7096 E AndroidRuntime: 	    8 more_x000D_
_x000D_
   _x000D_
_x000D_
_x000D_
Restarting the device does not help  I haven t tried clearing data yet_x000D_
My Device: OnePlus 3 A3000 (build number 171116)_x000D_
Android 8 0 0 (Oxygen OS 5 0)_x000D_
_x000D_
Mycelium Wallet app version: 2 9 10 6</t>
  </si>
  <si>
    <t>kyroschow-MinigameMarathon-61</t>
  </si>
  <si>
    <t>App crashes in AboutFragment on certain devices</t>
  </si>
  <si>
    <t xml:space="preserve">Your issue may have already been reported  Please check the  issue tracker (https:  github com TheCompSciNoob MinigameMarathon issues) before creating a new issue _x000D_
    Expected behavior_x000D_
It shouldn t crash in  AboutFragment _x000D_
    Actual behavior_x000D_
It crashed in  AboutFragment _x000D_
     Possible solution_x000D_
The reason that it crashes is probably due to html  If I actually used  SpannableString s that would solve the problem _x000D_
    Steps to reproduce the behavior_x000D_
Use a android 4 4 2 device and open  AboutFragment _x000D_
    Environment_x000D_
OS Version (Version and API Level): android api 4 4 2_x000D_
</t>
  </si>
  <si>
    <t>getodk-collect-1756</t>
  </si>
  <si>
    <t>Position in form download list adapter getView is beyond end of filteredFormList</t>
  </si>
  <si>
    <t xml:space="preserve">     Software and hardware versions _x000D_
Collect v1 12 2_x000D_
_x000D_
     Problem description_x000D_
   _x000D_
Exception java lang IndexOutOfBoundsException: Invalid index 7  size is 0_x000D_
java util ArrayList throwIndexOutOfBoundsException (ArrayList java:260)_x000D_
java util ArrayList get (ArrayList java:313)_x000D_
org odk collect android adapters FormDownloadListAdapter getView (FormDownloadListAdapter java:74)_x000D_
android widget AbsListView obtainView (AbsListView java:2474)_x000D_
android widget ListView makeAndAddView (ListView java:1920)_x000D_
   _x000D_
_x000D_
     Steps to reproduce the problem_x000D_
Unknown  Perhaps it has something to do with if the filtered list is changing quickly or repeatedly  New  DownloadListAdapter  objects are created on each character typed which doesn t seem right _x000D_
_x000D_
     Expected behavior_x000D_
No crash_x000D_
_x000D_
     Other information _x000D_
 1746 showed there s other bad state related to this adapter </t>
  </si>
  <si>
    <t>mapbox-mapbox-plugins-android-223</t>
  </si>
  <si>
    <t xml:space="preserve">[LocationLayer] crashing issue </t>
  </si>
  <si>
    <t>I am using locationlayer to show my current location and when I  single double  tap on map  App getting crashed with following errors  _x000D_
_x000D_
NOTE :: My GPS is on and i am getting location _x000D_
_x000D_
 java lang NullPointerException: Attempt to invoke virtual method  double android location Location getLatitude()  on a null object reference_x000D_
                                                                        at com mapbox mapboxsdk plugins locationlayer LocationLayer calculateZoomLevelRadius(LocationLayer java:190)_x000D_
                                                                        at com mapbox mapboxsdk plugins locationlayer LocationLayer updateAccuracyRadius(LocationLayer java:184)_x000D_
                                                                        at com mapbox mapboxsdk plugins locationlayer LocationLayerPlugin onCameraMove(LocationLayerPlugin java:483)</t>
  </si>
  <si>
    <t>kyroschow-MinigameMarathon-59</t>
  </si>
  <si>
    <t>Color Game crashes app in PracticeNavigationFragment</t>
  </si>
  <si>
    <t xml:space="preserve">Your issue may have already been reported  Please check the  issue tracker (https:  github com TheCompSciNoob MinigameMarathon issues) before creating a new issue _x000D_
    Expected behavior_x000D_
Color game should run in  PracticeNavigationFragment _x000D_
    Actual behavior_x000D_
App crashes when Color Game is selected_x000D_
     Possible solution_x000D_
find kenneth to fix this_x000D_
    Steps to reproduce the behavior_x000D_
Launch  PracticeNavigationFragment  and choose  Color Game Challenge  </t>
  </si>
  <si>
    <t>guardianproject-haven-90</t>
  </si>
  <si>
    <t>Crash on API levels 20 and below</t>
  </si>
  <si>
    <t xml:space="preserve">App crashes at launch on API  20  as it is unable to resolve a resource reference _x000D_
The referenced resource is a part of the app intro library but does not seem to be resolved on lower API levels  A simple fix would be to manually include the drawable in our module s res drawables  I am in the process of submitting a PR with this fix _x000D_
_x000D_
Log:_x000D_
   _x000D_
12 24 01:47:09 765 27361 27361 org havenapp main E AndroidRuntime: FATAL EXCEPTION: main_x000D_
                                                                   Process: org havenapp main  PID: 27361_x000D_
                                                                   java lang RuntimeException: Unable to start activity ComponentInfo org havenapp main org havenapp main ListActivity : android content res Resources NotFoundException: File res drawable ic arrow forward white xml from drawable resource ID  0x7f08006a_x000D_
                                                                       at android app ActivityThread performLaunchActivity(ActivityThread java:2377)_x000D_
                                                                       at android app ActivityThread handleLaunchActivity(ActivityThread java:2429)_x000D_
                                                                       at android app ActivityThread access 800(ActivityThread java:151)_x000D_
                                                                       at android app ActivityThread H handleMessage(ActivityThread java:1342)_x000D_
                                                                       at android os Handler dispatchMessage(Handler java:110)_x000D_
                                                                       at android os Looper loop(Looper java:193)_x000D_
                                                                       at android app ActivityThread main(ActivityThread java:5333)_x000D_
                                                                       at java lang reflect Method invokeNative(Native Method)_x000D_
                                                                       at java lang reflect Method invoke(Method java:515)_x000D_
                                                                       at com android internal os ZygoteInit MethodAndArgsCaller run(ZygoteInit java:824)_x000D_
                                                                       at com android internal os ZygoteInit main(ZygoteInit java:640)_x000D_
                                                                       at dalvik system NativeStart main(Native Method)_x000D_
                                                                    Caused by: android content res Resources NotFoundException: File res drawable ic arrow forward white xml from drawable resource ID  0x7f08006a_x000D_
                                                                       at android content res Resources loadDrawable(Resources java:2152)_x000D_
                                                                       at android content res Resources getDrawable(Resources java:710)_x000D_
                                                                       at android support v4 content ContextCompat getDrawable(ContextCompat java:374)_x000D_
                                                                       at org havenapp main ListActivity onCreate(ListActivity java:127)_x000D_
                                                                       at android app Activity performCreate(Activity java:5343)_x000D_
                                                                       at android app Instrumentation callActivityOnCreate(Instrumentation java:1088)_x000D_
                                                                       at android app ActivityThread performLaunchActivity(ActivityThread java:2331)_x000D_
                                                                       at android app ActivityThread handleLaunchActivity(ActivityThread java:2429) _x000D_
                                                                       at android app ActivityThread access 800(ActivityThread java:151) _x000D_
                                                                       at android app ActivityThread H handleMessage(ActivityThread java:1342) _x000D_
                                                                       at android os Handler dispatchMessage(Handler java:110) _x000D_
                                                                       at android os Looper loop(Looper java:193) _x000D_
                                                                       at android app ActivityThread main(ActivityThread java:5333) _x000D_
                                                                       at java lang reflect Method invokeNative(Native Method) _x000D_
                                                                       at java lang reflect Method invoke(Method java:515) _x000D_
                                                                       at com android internal os ZygoteInit MethodAndArgsCaller run(ZygoteInit java:824) _x000D_
                                                                       at com android internal os ZygoteInit main(ZygoteInit java:640) _x000D_
                                                                       at dalvik system NativeStart main(Native Method) _x000D_
                                                                    Caused by: org xmlpull v1 XmlPullParserException: Binary XML file line  0: invalid drawable tag vector_x000D_
                                                                       at android graphics drawable Drawable createFromXmlInner(Drawable java:933)_x000D_
                                                                       at android graphics drawable Drawable createFromXml(Drawable java:877)_x000D_
                                                                       at android content res Resources loadDrawable(Resources java:2148)_x000D_
                                                                       at android content res Resources getDrawable(Resources java:710) _x000D_
                                                                       at android support v4 content ContextCompat getDrawable(ContextCompat java:374) _x000D_
                                                                       at org havenapp main ListActivity onCreate(ListActivity java:127) _x000D_
                                                                       at android app Activity performCreate(Activity java:5343) _x000D_
                                                                       at android app Instrumentation callActivityOnCreate(Instrumentation java:1088) _x000D_
                                                                       at android app ActivityThread performLaunchActivity(ActivityThread java:2331) _x000D_
                                                                       at android app ActivityThread handleLaunchActivity(ActivityThread java:2429) _x000D_
                                                                       at android app ActivityThread access 800(ActivityThread java:151) _x000D_
                                                                       at android app ActivityThread H handleMessage(ActivityThread java:1342) _x000D_
                                                                       at android os Handler dispatchMessage(Handler java:110) _x000D_
                                                                       at android os Looper loop(Looper java:193) _x000D_
                                                                       at android app ActivityThread main(ActivityThread java:5333) _x000D_
                                                                       at java lang reflect Method invokeNative(Native Method) _x000D_
                                                                       at java lang reflect Method invoke(Method java:515) _x000D_
                                                                       at com android internal os ZygoteInit MethodAndArgsCaller run(ZygoteInit java:824) _x000D_
                                                                       at com android internal os ZygoteInit main(ZygoteInit java:640) _x000D_
                                                                       at dalvik system NativeStart main(Native Method) _x000D_
   </t>
  </si>
  <si>
    <t>guardianproject-haven-84</t>
  </si>
  <si>
    <t>Downloading on Play Store, Haven app crashes on Docomo and S3 Galaxy</t>
  </si>
  <si>
    <t xml:space="preserve">I have a few Android devices and wanted to try Haven and all my phones crashed saying Unfortunately Haven has stopped working  Is this a known issue  I have submitted system logs on crash via Play Store but can also try to post logs when I have a chance </t>
  </si>
  <si>
    <t>DoubleSymmetry-react-native-track-player-100</t>
  </si>
  <si>
    <t>Track.setupPlayer crashes the app</t>
  </si>
  <si>
    <t xml:space="preserve">Please let me know if I am using the library correctly _x000D_
I initializes the  Track setupPlayer  at the same time as I export my main appm  but it crashes my app  _x000D_
Testing environment is Android 7 0  Moto G4 _x000D_
Here are my dependencies:_x000D_
   _x000D_
   dependencies :  _x000D_
     prop types :   15 6 0  _x000D_
     react :  16 0 0 beta 5  _x000D_
     react native :   0 49 5  _x000D_
     react native maps :   0 19 0  _x000D_
     react native slider :   0 11 0  _x000D_
     react native track player :   0 2 2  _x000D_
     react navigation :   1 0 0 beta 19 _x000D_
    _x000D_
   _x000D_
Code:_x000D_
   _x000D_
import App from    app containers NativeStoriesApp  _x000D_
import TrackPlayer from  react native track player  _x000D_
_x000D_
export default App_x000D_
_x000D_
TrackPlayer setupPlayer() then(async ()     _x000D_
_x000D_
       Adds a track to the queue_x000D_
    await TrackPlayer add( _x000D_
        id:  trackId  _x000D_
        url:  https:  nativestories com haloa mp3  _x000D_
        title:  Track Title  _x000D_
        artist:  Track Artist  _x000D_
     ) _x000D_
_x000D_
       Starts playing it_x000D_
    TrackPlayer play() _x000D_
_x000D_
 ) _x000D_
   _x000D_
Some log which I don t know if it is relevant or not:_x000D_
   _x000D_
12 24 04:37:23 840  6464  6464 I art     : Rejecting re init on previously failed class java lang Class guichaguri trackplayer player players ExoPlayback : java lang NoClassDefFoundError: Failed resolution of: Lcom google android exoplayer2 ExoPlayer EventListener _x000D_
12 24 04:37:23 840  6464  6464 I art     :   at void guichaguri trackplayer logic services PlayerService onCreate() (PlayerService java:66)_x000D_
12 24 04:37:23 840  6464  6464 I art     :   at void android app ActivityThread handleCreateService(android app ActivityThread CreateServiceData) (ActivityThread java:3183)_x000D_
12 24 04:37:23 840  6464  6464 I art     :   at void android app ActivityThread  wrap5(android app ActivityThread  android app ActivityThread CreateServiceData) (ActivityThread java: 1)_x000D_
12 24 04:37:23 840  6464  6464 I art     :   at void android app ActivityThread H handleMessage(android os Message) (ActivityThread java:1563)_x000D_
12 24 04:37:23 840  6464  6464 I art     :   at void android os Handler dispatchMessage(android os Message) (Handler java:102)_x000D_
12 24 04:37:23 840  6464  6464 I art     :   at void android os Looper loop() (Looper java:154)_x000D_
12 24 04:37:23 840  6464  6464 I art     :   at void android app ActivityThread main(java lang String  ) (ActivityThread java:6123)_x000D_
12 24 04:37:23 840  6464  6464 I art     :   at java lang Object java lang reflect Method invoke (java lang Object  java lang Object  ) (Method java: 2)_x000D_
12 24 04:37:23 840  6464  6464 I art     :   at void com android internal os ZygoteInit MethodAndArgsCaller run() (ZygoteInit java:867)_x000D_
12 24 04:37:23 840  6464  6464 I art     :   at void com android internal os ZygoteInit main(java lang String  ) (ZygoteInit java:757)_x000D_
12 24 04:37:23 840  6464  6464 I art     : Caused by: java lang ClassNotFoundException: Didn t find class  com google android exoplayer2 ExoPlayer EventListener  on path: DexPathList  zip file   data app com nativestoriesmobile 2 base apk   nativeLibraryDirectories   data app com nativestoriesmobile 2 lib arm   system fake libs   data app com nativestoriesmobile 2 base apk  lib armeabi v7a   system lib   vendor lib  _x000D_
12 24 04:37:23 840  6464  6464 I art     :   at java lang Class dalvik system BaseDexClassLoader findClass(java lang String) (BaseDexClassLoader java:56)_x000D_
12 24 04:37:23 840  6464  6464 I art     :   at java lang Class java lang ClassLoader loadClass(java lang String  boolean) (ClassLoader java:380)_x000D_
12 24 04:37:23 840  6464  6464 I art     :   at java lang Class java lang ClassLoader loadClass(java lang String) (ClassLoader java:312)_x000D_
12 24 04:37:23 840  6464  6464 I art     :   at void guichaguri trackplayer logic services PlayerService onCreate() (PlayerService java:66)_x000D_
12 24 04:37:23 840  6464  6464 I art     :   at void android app ActivityThread handleCreateService(android app ActivityThread CreateServiceData) (ActivityThread java:3183)_x000D_
12 24 04:37:23 840  6464  6464 I art     :   at void android app ActivityThread  wrap5(android app ActivityThread  android app ActivityThread CreateServiceData) (ActivityThread java: 1)_x000D_
12 24 04:37:23 840  6464  6464 I art     :   at void android app ActivityThread H handleMessage(android os Message) (ActivityThread java:1563)_x000D_
12 24 04:37:23 840  6464  6464 I art     :   at void android os Handler dispatchMessage(android os Message) (Handler java:102)_x000D_
12 24 04:37:23 840  6464  6464 I art     :   at void android os Looper loop() (Looper java:154)_x000D_
12 24 04:37:23 840  6464  6464 I art     :   at void android app ActivityThread main(java lang String  ) (ActivityThread java:6123)_x000D_
12 24 04:37:23 840  6464  6464 I art     :   at java lang Object java lang reflect Method invoke (java lang Object  java lang Object  ) (Method java: 2)_x000D_
12 24 04:37:23 840  6464  6464 I art     :   at void com android internal os ZygoteInit MethodAndArgsCaller run() (ZygoteInit java:867)_x000D_
12 24 04:37:23 841  6464  6464 I art     :   at void com android internal os ZygoteInit main(java lang String  ) (ZygoteInit java:757)_x000D_
12 24 04:37:23 841  6464  6464 I art     : _x000D_
12 24 04:37:23 862  6464  6464 I art     : Rejecting re init on previously failed class java lang Class com google android gms cast framework CastOptions : java lang NoClassDefFoundError: Failed resolution of: Lcom google android gms common internal safeparcel AbstractSafeParcelable _x000D_
12 24 04:37:23 862  6464  6464 I art     :   at com google android gms cast framework CastContext com google android gms cast framework CastContext getSharedInstance(android content Context) ((null): 1)_x000D_
12 24 04:37:23 862  6464  6464 I art     :   at guichaguri trackplayer cast GoogleCast guichaguri trackplayer cast GoogleCast initialize(android content Context  guichaguri trackplayer logic MediaManager) (GoogleCast java:25)_x000D_
12 24 04:37:23 862  6464  6464 I art     :   at void guichaguri trackplayer logic MediaManager  init (guichaguri trackplayer logic services PlayerService) (MediaManager java:45)_x000D_
12 24 04:37:23 862  6464  6464 I art     :   at void guichaguri trackplayer logic services PlayerService onCreate() (PlayerService java:66)_x000D_
12 24 04:37:23 862  6464  6464 I art     :   at void android app ActivityThread handleCreateService(android app ActivityThread CreateServiceData) (ActivityThread java:3183)_x000D_
12 24 04:37:23 862  6464  6464 I art     :   at void android app ActivityThread  wrap5(android app ActivityThread  android app ActivityThread CreateServiceData) (ActivityThread java: 1)_x000D_
12 24 04:37:23 862  6464  6464 I art     :   at void android app ActivityThread H handleMessage(android os Message) (ActivityThread java:1563)_x000D_
12 24 04:37:23 862  6464  6464 I art     :   at void android os Handler dispatchMessage(android os Message) (Handler java:102)_x000D_
12 24 04:37:23 862  6464  6464 I art     :   at void android os Looper loop() (Looper java:154)_x000D_
12 24 04:37:23 862  6464  6464 I art     :   at void android app ActivityThread main(java lang String  ) (ActivityThread java:6123)_x000D_
12 24 04:37:23 862  6464  6464 I art     :   at java lang Object java lang reflect Method invoke (java lang Object  java lang Object  ) (Method java: 2)_x000D_
12 24 04:37:23 862  6464  6464 I art     :   at void com android internal os ZygoteInit MethodAndArgsCaller run() (ZygoteInit java:867)_x000D_
12 24 04:37:23 862  6464  6464 I art     :   at void com android internal os ZygoteInit main(java lang String  ) (ZygoteInit java:757)_x000D_
12 24 04:37:23 862  6464  6464 I art     : Caused by: java lang ClassNotFoundException: Didn t find class  com google android gms common internal safeparcel AbstractSafeParcelable  on path: DexPathList  zip file   data app com nativestoriesmobile 2 base apk   nativeLibraryDirectories   data app com nativestoriesmobile 2 lib arm   system fake libs   data app com nativestoriesmobile 2 base apk  lib armeabi v7a   system lib   vendor lib  _x000D_
12 24 04:37:23 862  6464  6464 I art     :   at java lang Class dalvik system BaseDexClassLoader findClass(java lang String) (BaseDexClassLoader java:56)_x000D_
12 24 04:37:23 862  6464  6464 I art     :   at java lang Class java lang ClassLoader loadClass(java lang String  boolean) (ClassLoader java:380)_x000D_
12 24 04:37:23 862  6464  6464 I art     :   at java lang Class java lang ClassLoader loadClass(java lang String) (ClassLoader java:312)_x000D_
12 24 04:37:23 862  6464  6464 I art     :   at com google android gms cast framework CastContext com google android gms cast framework CastContext getSharedInstance(android content Context) ((null): 1)_x000D_
12 24 04:37:23 862  6464  6464 I art     :   at guichaguri trackplayer cast GoogleCast guichaguri trackplayer cast GoogleCast initialize(android content Context  guichaguri trackplayer logic MediaManager) (GoogleCast java:25)_x000D_
12 24 04:37:23 862  6464  6464 I art     :   at void guichaguri trackplayer logic MediaManager  init (guichaguri trackplayer logic services PlayerService) (MediaManager java:45)_x000D_
12 24 04:37:23 862  6464  6464 I art     :   at void guichaguri trackplayer logic services PlayerService onCreate() (PlayerService java:66)_x000D_
12 24 04:37:23 862  6464  6464 I art     :   at void android app ActivityThread handleCreateService(android app ActivityThread CreateServiceData) (ActivityThread java:3183)_x000D_
12 24 04:37:23 862  6464  6464 I art     :   at void android app ActivityThread  wrap5(android app ActivityThread  android app ActivityThread CreateServiceData) (ActivityThread java: 1)_x000D_
12 24 04:37:23 862  6464  6464 I art     :   at void android app ActivityThread H handleMessage(android os Message) (ActivityThread java:1563)_x000D_
12 24 04:37:23 862  6464  6464 I art     :   at void android os Handler dispatchMessage(android os Message) (Handler java:102)_x000D_
12 24 04:37:23 862  6464  6464 I art     :   at void android os Looper loop() (Looper java:154)_x000D_
12 24 04:37:23 862  6464  6464 I art     :   at void android app ActivityThread main(java lang String  ) (ActivityThread java:6123)_x000D_
12 24 04:37:23 862  6464  6464 I art     :   at java lang Object java lang reflect Method invoke (java lang Object  java lang Object  ) (Method java: 2)_x000D_
12 24 04:37:23 862  6464  6464 I art     :   at void com android internal os ZygoteInit MethodAndArgsCaller run() (ZygoteInit java:867)_x000D_
12 24 04:37:23 862  6464  6464 I art     :   at void com android internal os ZygoteInit main(java lang String  ) (ZygoteInit java:757)_x000D_
12 24 04:37:23 862  6464  6464 I art     : _x000D_
12 24 04:37:23 863  6464  6464 I art     : Rejecting re init on previously failed class java lang Class com google android gms cast framework CastOptions : java lang NoClassDefFoundError: Failed resolution of: Lcom google android gms common internal safeparcel AbstractSafeParcelable _x000D_
12 24 04:37:23 863  6464  6464 I art     :   at com google android gms cast framework CastContext com google android gms cast framework CastContext getSharedInstance(android content Context) ((null): 1)_x000D_
12 24 04:37:23 863  6464  6464 I art     :   at guichaguri trackplayer cast GoogleCast guichaguri trackplayer cast GoogleCast initialize(android content Context  guichaguri trackplayer logic MediaManager) (GoogleCast java:25)_x000D_
12 24 04:37:23 863  6464  6464 I art     :   at void guichaguri trackplayer logic MediaManager  init (guichaguri trackplayer logic services PlayerService) (MediaManager java:45)_x000D_
12 24 04:37:23 863  6464  6464 I art     :   at void guichaguri trackplayer logic services PlayerService onCreate() (PlayerService java:66)_x000D_
12 24 04:37:23 863  6464  6464 I art     :   at void android app ActivityThread handleCreateService(android app ActivityThread CreateServiceData) (ActivityThread java:3183)_x000D_
12 24 04:37:23 863  6464  6464 I art     :   at void android app ActivityThread  wrap5(android app ActivityThread  android app ActivityThread CreateServiceData) (ActivityThread java: 1)_x000D_
12 24 04:37:23 863  6464  6464 I art     :   at void android app ActivityThread H handleMessage(android os Message) (ActivityThread java:1563)_x000D_
12 24 04:37:23 863  6464  6464 I art     :   at void android os Handler dispatchMessage(android os Message) (Handler java:102)_x000D_
12 24 04:37:23 863  6464  6464 I art     :   at void android os Looper loop() (Looper java:154)_x000D_
12 24 04:37:23 863  6464  6464 I art     :   at void android app ActivityThread main(java lang String  ) (ActivityThread java:6123)_x000D_
12 24 04:37:23 863  6464  6464 I art     :   at java lang Object java lang reflect Method invoke (java lang Object  java lang Object  ) (Method java: 2)_x000D_
12 24 04:37:23 863  6464  6464 I art     :   at void com android internal os ZygoteInit MethodAndArgsCaller run() (ZygoteInit java:867)_x000D_
12 24 04:37:23 863  6464  6464 I art     :   at void com android internal os ZygoteInit main(java lang String  ) (ZygoteInit java:757)_x000D_
12 24 04:37:23 863  6464  6464 I art     : Caused by: java lang ClassNotFoundException: Didn t find class  com google android gms common internal safeparcel AbstractSafeParcelable  on path: DexPathList  zip file   data app com nativestoriesmobile 2 base apk   nativeLibraryDirectories   data app com nativestoriesmobile 2 lib arm   system fake libs   data app com nativestoriesmobile 2 base apk  lib armeabi v7a   system lib   vendor lib  _x000D_
12 24 04:37:23 863  6464  6464 I art     :   at java lang Class dalvik system BaseDexClassLoader findClass(java lang String) (BaseDexClassLoader java:56)_x000D_
12 24 04:37:23 863  6464  6464 I art     :   at java lang Class java lang ClassLoader loadClass(java lang String  boolean) (ClassLoader java:380)_x000D_
12 24 04:37:23 863  6464  6464 I art     :   at java lang Class java lang ClassLoader loadClass(java lang String) (ClassLoader java:312)_x000D_
12 24 04:37:23 863  6464  6464 I art     :   at com google android gms cast framework CastContext com google android gms cast framework CastContext getSharedInstance(android content Context) ((null): 1)_x000D_
12 24 04:37:23 863  6464  6464 I art     :   at guichaguri trackplayer cast GoogleCast guichaguri trackplayer cast GoogleCast initialize(android content Context  guichaguri trackplayer logic MediaManager) (GoogleCast java:25)_x000D_
12 24 04:37:23 863  6464  6464 I art     :   at void guichaguri trackplayer logic MediaManager  init (guichaguri trackplayer logic services PlayerService) (MediaManager java:45)_x000D_
12 24 04:37:23 863  6464  6464 I art     :   at void guichaguri trackplayer logic services PlayerService onCreate() (PlayerService java:66)_x000D_
12 24 04:37:23 863  6464  6464 I art     :   at void android app ActivityThread handleCreateService(android app ActivityThread CreateServiceData) (ActivityThread java:3183)_x000D_
12 24 04:37:23 863  6464  6464 I art     :   at void android app ActivityThread  wrap5(android app ActivityThread  android app ActivityThread CreateServiceData) (ActivityThread java: 1)_x000D_
12 24 04:37:23 863  6464  6464 I art     :   at void android app ActivityThread H handleMessage(android os Message) (ActivityThread java:1563)_x000D_
12 24 04:37:23 863  6464  6464 I art     :   at void android os Handler dispatchMessage(android os Message) (Handler java:102)_x000D_
12 24 04:37:23 863  6464  6464 I art     :   at void android os Looper loop() (Looper java:154)_x000D_
12 24 04:37:23 864  6464  6464 I art     :   at void android app ActivityThread main(java lang String  ) (ActivityThread java:6123)_x000D_
12 24 04:37:23 864  6464  6464 I art     :   at java lang Object java lang reflect Method invoke (java lang Object  java lang Object  ) (Method java: 2)_x000D_
12 24 04:37:23 864  6464  6464 I art     :   at void com android internal os ZygoteInit MethodAndArgsCaller run() (ZygoteInit java:867)_x000D_
12 24 04:37:23 864  6464  6464 I art     :   at void com android internal os ZygoteInit main(java lang String  ) (ZygoteInit java:757)_x000D_
12 24 04:37:23 864  6464  6464 I art     : _x000D_
12 24 04:37:23 868  6464  6464 D AndroidRuntime: Shutting down VM_x000D_
12 24 04:37:23 869  6464  6464 E AndroidRuntime: FATAL EXCEPTION: main_x000D_
12 24 04:37:23 869  6464  6464 E AndroidRuntime: Process: com nativestoriesmobile  PID: 6464_x000D_
12 24 04:37:23 869  6464  6464 E AndroidRuntime: java lang NoSuchMethodError: No static method zzh(Ljava lang String Ljava lang Object )Ljava lang String  in class Lcom google android gms common internal zzab  or its super classes (declaration of  com google android gms common internal zzab  appears in  data app com nativestoriesmobile 2 base apk)_x000D_
12 24 04:37:23 869  6464  6464 E AndroidRuntime: 	at com google android gms cast internal zzm  init (Unknown Source)_x000D_
12 24 04:37:23 869  6464  6464 E AndroidRuntime: 	at com google android gms cast internal zzm  init (Unknown Source)_x000D_
12 24 04:37:23 869  6464  6464 E AndroidRuntime: 	at com google android gms cast framework CastContext  clinit (Unknown Source)_x000D_
12 24 04:37:23 869  6464  6464 E AndroidRuntime: 	at com google android gms cast framework CastContext getSharedInstance(Unknown Source)_x000D_
12 24 04:37:23 869  6464  6464 E AndroidRuntime: 	at guichaguri trackplayer cast GoogleCast initialize(GoogleCast java:25)_x000D_
12 24 04:37:23 869  6464  6464 E AndroidRuntime: 	at guichaguri trackplayer logic MediaManager  init (MediaManager java:45)_x000D_
12 24 04:37:23 869  6464  6464 E AndroidRuntime: 	at guichaguri trackplayer logic services PlayerService onCreate(PlayerService java:66)_x000D_
12 24 04:37:23 869  6464  6464 E AndroidRuntime: 	at android app ActivityThread handleCreateService(ActivityThread java:3183)_x000D_
12 24 04:37:23 869  6464  6464 E AndroidRuntime: 	at android app ActivityThread  wrap5(ActivityThread java)_x000D_
12 24 04:37:23 869  6464  6464 E AndroidRuntime: 	at android app ActivityThread H handleMessage(ActivityThread java:1563)_x000D_
12 24 04:37:23 869  6464  6464 E AndroidRuntime: 	at android os Handler dispatchMessage(Handler java:102)_x000D_
12 24 04:37:23 869  6464  6464 E AndroidRuntime: 	at android os Looper loop(Looper java:154)_x000D_
12 24 04:37:23 869  6464  6464 E AndroidRuntime: 	at android app ActivityThread main(ActivityThread java:6123)_x000D_
12 24 04:37:23 869  6464  6464 E AndroidRuntime: 	at java lang reflect Method invoke(Native Method)_x000D_
12 24 04:37:23 869  6464  6464 E AndroidRuntime: 	at com android internal os ZygoteInit MethodAndArgsCaller run(ZygoteInit java:867)_x000D_
12 24 04:37:23 869  6464  6464 E AndroidRuntime: 	at com android internal os ZygoteInit main(ZygoteInit java:757)_x000D_
12 24 04:37:23 871  1476 19717 W ActivityManager:   Force finishing activity com nativestoriesmobile  MainActivity_x000D_
12 24 04:37:23 874  1476  6555 W DropBoxManagerService: Dropping: data app crash (1591   0 bytes)_x000D_
12 24 04:37:23 879   554   719 I SFPerfTracer:      triggers: (rate: 23:646) (993369 sw vsyncs) (0 skipped) (636:2029435 vsyncs) (638:3238306)_x000D_
12 24 04:37:23 890  1476  3665 E ActivityManager: Sending non protected broadcast com motorola motocare INTENT TRIGGER from system 3914:com motorola process system 1000 pkg com motorola motgeofencesvc_x000D_
12 24 04:37:23 890  1476  3665 E ActivityManager: java lang Throwable_x000D_
12 24 04:37:23 890  1476  3665 E ActivityManager: 	at com android server am ActivityManagerService broadcastIntentLocked(ActivityManagerService java:18226)_x000D_
12 24 04:37:23 890  1476  3665 E ActivityManager: 	at com android server am ActivityManagerService broadcastIntent(ActivityManagerService java:18826)_x000D_
12 24 04:37:23 890  1476  3665 E ActivityManager: 	at android app ActivityManagerNative onTransact(ActivityManagerNative java:512)_x000D_
12 24 04:37:23 890  1476  3665 E ActivityManager: 	at com android server am ActivityManagerService onTransact(ActivityManagerService java:2906)_x000D_
12 24 04:37:23 890  1476  3665 E ActivityManager: 	at android os Binder execTransact(Binder java:565)_x000D_
12 24 04:37:23 950  1476 22524 I OpenGLRenderer: Initialized EGL  version 1 4_x000D_
12 24 04:37:23 950  1476 22524 D OpenGLRenderer: Swap behavior 1_x000D_
12 24 04:37:24 384  1476  1506 W ActivityManager: Activity pause timeout for ActivityRecord b1a31cc u0 com nativestoriesmobile  MainActivity t9903 f _x000D_
12 24 04:37:24 522  1476  3993 E ActivityManager: Sending non protected broadcast com motorola motocare INTENT TRIGGER from system 3914:com motorola process system 1000 pkg com motorola motgeofencesvc_x000D_
12 24 04:37:24 522  1476  3993 E ActivityManager: java lang Throwable_x000D_
12 24 04:37:24 522  1476  3993 E ActivityManager: 	at com android server am ActivityManagerService broadcastIntentLocked(ActivityManagerService java:18226)_x000D_
12 24 04:37:24 522  1476  3993 E ActivityManager: 	at com android server am ActivityManagerService broadcastIntent(ActivityManagerService java:18826)_x000D_
12 24 04:37:24 522  1476  3993 E ActivityManager: 	at android app ActivityManagerNative onTransact(ActivityManagerNative java:512)_x000D_
12 24 04:37:24 522  1476  3993 E ActivityManager: 	at com android server am ActivityManagerService onTransact(ActivityManagerService java:2906)_x000D_
12 24 04:37:24 522  1476  3993 E ActivityManager: 	at android os Binder execTransact(Binder java:565)_x000D_
_x000D_
   </t>
  </si>
  <si>
    <t>guardianproject-haven-105</t>
  </si>
  <si>
    <t>Haven crashs on nexus 4/7 with lineages 14.1</t>
  </si>
  <si>
    <t xml:space="preserve">Hello _x000D_
I have one Nexus 4 smartphone and one Nexus 7 tablet (2012  WiFi only)  Both run with LineageOS 14 1 (android 7 12)   After installing Haven on them an I start it  I can klick through the first pages of this start and configuration dialogue  Then  when the app should start  it crashes  Does it work on devices with LineageOS </t>
  </si>
  <si>
    <t>tom-anders-Easy_xkcd-121</t>
  </si>
  <si>
    <t>Crashes when tapping on the donate button</t>
  </si>
  <si>
    <t xml:space="preserve">When I enable the donate button in the F Droid version and try to use it  it crashes 
BTW as for domains you may check out https:  liberapay com   It is made for floss software 
</t>
  </si>
  <si>
    <t>google-ExoPlayer-3645</t>
  </si>
  <si>
    <t>Crash with ArrayIndexOutOfBoundsException from SsaDecoder</t>
  </si>
  <si>
    <t xml:space="preserve">    Issue description_x000D_
App crashes with callstack_x000D_
   _x000D_
Critical error: java lang ArrayIndexOutOfBoundsException_x000D_
length 7  index 10_x000D_
com google android exoplayer2 text ssa SsaDecoder parseDialogueLine (SsaDecoder java:186)_x000D_
com google android exoplayer2 text ssa SsaDecoder parseEventBody (SsaDecoder java:120)_x000D_
com google android exoplayer2 text ssa SsaDecoder decode (SsaDecoder java:83)_x000D_
com google android exoplayer2 text ssa SsaDecoder decode (SsaDecoder java:35)_x000D_
com google android exoplayer2 text SimpleSubtitleDecoder decode (SimpleSubtitleDecoder java:70)_x000D_
com google android exoplayer2 text SimpleSubtitleDecoder decode (SimpleSubtitleDecoder java:25)_x000D_
com google android exoplayer2 decoder SimpleDecoder decode (SimpleDecoder java:222)_x000D_
com google android exoplayer2 decoder SimpleDecoder run (SimpleDecoder java:188)_x000D_
com google android exoplayer2 decoder SimpleDecoder decode (SimpleDecoder java:25)_x000D_
com google android exoplayer2 decoder SimpleDecoder 1 run (SimpleDecoder java:66)_x000D_
   _x000D_
_x000D_
    Reproduction steps_x000D_
    Link to test content_x000D_
I m getting this issues as automatically submitted in crash reporting system  so I don t have repro or failing media _x000D_
It s SSA track ( mimeType text x ssa  language eng ) from mkv media streamed from  vaders tv  service_x000D_
_x000D_
    Version of ExoPlayer being used_x000D_
2 6 1_x000D_
_x000D_
    Device(s) and version(s) of Android being used_x000D_
NVidia Shield  Android 7 0_x000D_
_x000D_
    Notes_x000D_
Is it expected behavior of exoplayer that all exceptions raised in  SimpleDecoder  aren t routed via callbacks  There were issues before: https:  github com google ExoPlayer issues 3396  https:  github com google ExoPlayer issues 2957 which got fixes in processors parsers  But are those parsers (subtitles and co ) ready for users  media  which can be broken _x000D_
</t>
  </si>
  <si>
    <t>k9mail-k-9-2990</t>
  </si>
  <si>
    <t>Crash opening mail from mailing list</t>
  </si>
  <si>
    <t>I m subscribed to the cups org mailing list  Quite often K9 crashes when opening a mail from the list_x000D_
_x000D_
    Expected behavior_x000D_
Well   it should display the mail : )_x000D_
_x000D_
    Actual behavior_x000D_
Crash_x000D_
_x000D_
    Steps to reproduce_x000D_
1  open mail_x000D_
2  it starts to render  suddenly K9 is crashed_x000D_
3 _x000D_
_x000D_
    Environment_x000D_
K 9 Mail version: 5 208_x000D_
_x000D_
Android version: 7 0_x000D_
_x000D_
Account type (IMAP  POP3  WebDAV Exchange):_x000D_
IMAP_x000D_
_x000D_
I attach on ot the mails that causes a crash</t>
  </si>
  <si>
    <t>rollbar-rollbar-react-native-8</t>
  </si>
  <si>
    <t>Not able to send crash log.</t>
  </si>
  <si>
    <t xml:space="preserve">Hi _x000D_
_x000D_
I am able to configure the rollbar notifier in our application but not able to send the crash log on the rollbar console _x000D_
_x000D_
Here is my code _x000D_
   _x000D_
import React    Component   from  react  _x000D_
import   Client   from  rollbar react native _x000D_
const rollbar   new Client( MY ACCESS TOKEN ) _x000D_
import  _x000D_
  Platform _x000D_
  StyleSheet _x000D_
  Text _x000D_
  View _x000D_
  Button  Alert_x000D_
  from  react native  _x000D_
_x000D_
_x000D_
export default class App extends Component      _x000D_
  constructor(props)  _x000D_
    super(props) _x000D_
    this state      _x000D_
 _x000D_
FunctionToOpenSecondActivity   ()   _x000D_
 _x000D_
    try _x000D_
    var test _x000D_
    test color _x000D_
     catch(e) _x000D_
     rollbar error( Something went wrong   e) _x000D_
     _x000D_
    _x000D_
 _x000D_
  render()  _x000D_
    return (_x000D_
       View style  styles container   _x000D_
         Text style  styles welcome  _x000D_
          Rollbar Example_x000D_
          Text _x000D_
         View  style  styles loginButton   _x000D_
         Button   onPress  this FunctionToOpenSecondActivity  title    Throw an Error     _x000D_
          View _x000D_
        View _x000D_
    ) _x000D_
   _x000D_
 _x000D_
_x000D_
const styles   StyleSheet create( _x000D_
  container:  _x000D_
    flex: 1 _x000D_
    alignItems:  center  _x000D_
    justifyContent:  center  _x000D_
    backgroundColor:   d3d3d3  _x000D_
    color:   8a2be2 _x000D_
    _x000D_
_x000D_
  welcome:  _x000D_
    fontSize: 22 _x000D_
    color:   8a2be2  _x000D_
    marginTop:10_x000D_
    _x000D_
 _x000D_
  loginButton: _x000D_
    flex:1 _x000D_
    justifyContent:  center  _x000D_
    flexDirection: column  _x000D_
    alignItems:  center  _x000D_
     color:   fff _x000D_
   _x000D_
 ) _x000D_
     _x000D_
Here is the error screen shot which i am getting while running the application _x000D_
_x000D_
  screenshot 1514284224 (https:  user images githubusercontent com 32199575 34356850 93761b9a ea67 11e7 82ba 2a1631df57d2 png)_x000D_
_x000D_
_x000D_
Can any one help me out _x000D_
</t>
  </si>
  <si>
    <t>Gear61-Food-Diary-72</t>
  </si>
  <si>
    <t>Fix restaurant deletion + homepage feed crash</t>
  </si>
  <si>
    <t xml:space="preserve">Repro:_x000D_
1  Delete the restaurant for a dish on screen for the homepage feed (use deep linking to navigate to restaurant page)_x000D_
2  Observe the crash after we re immediately taken back to the homepage feed_x000D_
_x000D_
I guess I could use a specific return code for this </t>
  </si>
  <si>
    <t>bumptech-glide-2767</t>
  </si>
  <si>
    <t>java.lang.IllegalStateException: Already released</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</si>
  <si>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_x000D_
_x000D_
     What version of Glide you re running  for example: 3 7 1   3 8 0 SNAPSHOT   4 0 0 SNAPSHOT_x000D_
It s essentially the version number from your build gradle:  dependencies   compile     :x y z        _x000D_
  Glide Version  :_x000D_
4 4 0_x000D_
_x000D_
     Do you use any integration library  like OkHttp3 or Volley  For example:_x000D_
Fails to display with stock networking  but works with okhttp3 1 4 0    _x000D_
  Integration libraries  :_x000D_
  com squareup okhttp3:okhttp:3 6 0  _x000D_
 com squareup okhttp3:logging interceptor:3 6 0  _x000D_
 com github bumptech glide:glide:4 4 0  _x000D_
 com github bumptech glide:compiler:4 4 0  _x000D_
 com github bumptech glide:okhttp3 integration:4 4 0  _x000D_
_x000D_
     What devices you managed to get the issue to come up on  For example:_x000D_
fails on Galaxy S4 GT I9500 4 4 2  works fine on Nexus 6P 5 1 and Genymotion Nexus 5 5 0 1    _x000D_
  Device Android Version  :_x000D_
Huawei P6 T00 4 4 2_x000D_
_x000D_
     Share the details of your issue in prose  detailing actual and expected behavior  It also helps if you give some info   why   you are trying to do something as opposed to   what   is not working     _x000D_
  Issue details   Repro steps   Use case background  : _x000D_
I come across a crash when i quickly drag RecyclerView  I want to load original picture when load failed the thumbnail  if i delete  error(Glide with(applicationContext) load(url))   it will be good running _x000D_
_x000D_
     How do you use Glide _x000D_
Make sure you include everything as is in your app s code:_x000D_
Changing a single method parameter can yield totally different results _x000D_
Please clarify any magic variables that appear in the code  for example:      this  is a Fragment _x000D_
   _x000D_
  Glide load line    GlideModule  (if any)   list Adapter code (if any)  :_x000D_
   java_x000D_
            Glide with(applicationContext)_x000D_
                     load(Utils getImageCompress(url))_x000D_
                     error(Glide with(applicationContext) load(url))_x000D_
                     into(mImageView) _x000D_
   _x000D_
_x000D_
     How does your app look like _x000D_
We re most interested in the layout attributes and the hierarchy around the ImageView    _x000D_
  Layout XML  :_x000D_
   xml_x000D_
 com xxxx views AsyncRoundedImageView_x000D_
            android:id   id imageview1 _x000D_
            android:layout width   dimen  190px2dp _x000D_
            android:layout height   dimen  190px2dp _x000D_
            android:layout below   id imageview6 _x000D_
            android:layout toRightOf   id imageview6 _x000D_
            android:src   mipmap ic launcher _x000D_
            app:riv corner radius   dimen  6px2dp    _x000D_
   _x000D_
_x000D_
    _x000D_
What is the error message that you got in the log _x000D_
You can find some help on diagnosing issues here: https:  github com bumptech glide wiki Debugging and Error Handling_x000D_
   _x000D_
  Stack trace   LogCat  :_x000D_
   ruby_x000D_
java lang IllegalStateException: Already released_x000D_
    at com bumptech glide util pool StateVerifier DefaultStateVerifier throwIfRecycled(StateVerifier java:44)_x000D_
    at com bumptech glide request SingleRequest onLoadFailed(SingleRequest java:595)_x000D_
    at com bumptech glide request SingleRequest onLoadFailed(SingleRequest java:591)_x000D_
    at com bumptech glide load engine EngineJob handleExceptionOnMainThread(EngineJob java:292)_x000D_
    at com bumptech glide load engine EngineJob MainThreadCallback handleMessage(EngineJob java:325)_x000D_
    at android os Handler dispatchMessage(Handler java:98)_x000D_
    at android os Looper loop(Looper java:136)_x000D_
    at android app ActivityThread main(ActivityThread java:5253)_x000D_
    at java lang reflect Method invokeNative(Native Method)_x000D_
    at java lang reflect Method invoke(Method java:515)_x000D_
    at com android internal os ZygoteInit MethodAndArgsCaller run(ZygoteInit java:939)_x000D_
    at com android internal os ZygoteInit main(ZygoteInit java:755)_x000D_
    at de robv android xposed XposedBridge main(XposedBridge java:132)_x000D_
    at dalvik system NativeStart main(Native Method)_x000D_
   _x000D_
_x000D_
     Bonus points if you attach a relevant screenshot  screen recording or a small demo project    _x000D_
</t>
  </si>
  <si>
    <t>vovkasm-react-native-web-image-18</t>
  </si>
  <si>
    <t>iOS app crashes on physical device</t>
  </si>
  <si>
    <t xml:space="preserve">I am using web image for FlatList Items  and when I have many items (10 )  ios app on physical device just crashes without any errors in the console  It works great on iOS simulator and android physical devices  but crashes on iOS physical devices  I tried replacing web image with image tag and it works as expected without crash   </t>
  </si>
  <si>
    <t>microg-GmsCore-463</t>
  </si>
  <si>
    <t>UI crash on Zenfone phones (5.x)</t>
  </si>
  <si>
    <t>GmsCore crashes when selecting an item in the app s main screen  Reported to happen in Asus Zenfone lollipop stock ROMs_x000D_
_x000D_
logcat of the crash: https:  pastebin com cMWp6pY3</t>
  </si>
  <si>
    <t>niclabs-adkintunmobile-androidclient-189</t>
  </si>
  <si>
    <t>SpeedTestPreferenceFragment.java line 95</t>
  </si>
  <si>
    <t xml:space="preserve">     in cl niclabs adkintunmobile views activemeasurements viewfragments SpeedTestPreferenceFragment 3 handleActiveServers
  Number of crashes: 1
  Impacted devices: 1
There s a lot more information about this crash on crashlytics com:
 https:  fabric io niclabs android apps cl niclabs adkintunmobile issues 5a4780e68cb3c2fa63eab185 utm medium service hooks github utm source issue impact (https:  fabric io niclabs android apps cl niclabs adkintunmobile issues 5a4780e68cb3c2fa63eab185 utm medium service hooks github utm source issue impact)</t>
  </si>
  <si>
    <t>victordiaz-PHONK-1</t>
  </si>
  <si>
    <t>different behavior when it should be the same</t>
  </si>
  <si>
    <t xml:space="preserve">Hi _x000D_
I m working in an app to upload a picture to a server  and I m experimenting a weird behavior  In the flowing code  when I use filename1 inside data it crashes  but when I use filename2 it works flawlessly  but both should be the same  Is it something I did wrong or is a bug  (btw  when it crashes  how can i read the log or see whats going on )  _x000D_
_x000D_
Thanks Victor for your work  awesome project _x000D_
_x000D_
   _x000D_
ui addTitle(app name)_x000D_
_x000D_
var url    http:  192 168 1 159:9000 addpic _x000D_
_x000D_
ui addButton( Upload picture   0 8  0 6  0 19  0 09) onClick(uploadPicture)_x000D_
_x000D_
function uploadPicture()  _x000D_
  var prefix    pic _x000D_
  var num   1_x000D_
  var extension     png _x000D_
  _x000D_
     this two should be the same:_x000D_
  var filename1   prefix   num   extension_x000D_
  var filename2    pic1 png _x000D_
  _x000D_
  console log(typeof(filename1))_x000D_
  console log(typeof(filename2))_x000D_
  console log(      filename1      )_x000D_
  console log(      filename2      )_x000D_
  if (filename1     filename2) _x000D_
    console log( same )_x000D_
   _x000D_
  else  _x000D_
    console log( different )_x000D_
   _x000D_
     When I use filename2 here  it works  With filename1 it crashes_x000D_
  var data       name  :  userfile    content  : filename1   type  :  file    mediaType :  image png   _x000D_
  network httpPost(url  data  function (e)  _x000D_
    console log(e)_x000D_
   )_x000D_
 _x000D_
   _x000D_
_x000D_
_x000D_
_x000D_
</t>
  </si>
  <si>
    <t>commons-app-apps-android-commons-1036</t>
  </si>
  <si>
    <t>[Urgent] Crashes in v2.6.5</t>
  </si>
  <si>
    <t xml:space="preserve">We are getting a lot of crashes in v2 6 5 production  with a crash rate of 4 27   more than in previous versions  This has unfortunately led to a lot of uninstalls  :( The majority of the crashes seem to be related to Dagger  I have pasted them below:_x000D_
_x000D_
  11 reports  8 users using Android 8 0 and 8 1:_x000D_
_x000D_
Pixel 2 XL (taimen)   3   27 3 _x000D_
Nexus 6P (angler)   3   27 3 _x000D_
Pixel (sailfish)   2   18 2 _x000D_
Pixel XL (marlin)   1   9 1 _x000D_
Others   2   18 2 _x000D_
_x000D_
   _x000D_
java lang RuntimeException: _x000D_
  at android app ActivityThread handleCreateService (ActivityThread java:3349)_x000D_
  at android app ActivityThread  wrap4 (Unknown Source)_x000D_
  at android app ActivityThread H handleMessage (ActivityThread java:1677)_x000D_
  at android os Handler dispatchMessage (Handler java:106)_x000D_
  at android os Looper loop (Looper java:164)_x000D_
  at android app ActivityThread main (ActivityThread java:6494)_x000D_
  at java lang reflect Method invoke (Native Method)_x000D_
  at com android internal os RuntimeInit MethodAndArgsCaller run (RuntimeInit java:438)_x000D_
  at com android internal os ZygoteInit main (ZygoteInit java:807)_x000D_
Caused by: java lang RuntimeException: _x000D_
  at dagger android AndroidInjection inject (AndroidInjection java:134)_x000D_
  at dagger android DaggerService onCreate (DaggerService java:27)_x000D_
  at fr free nrw commons HandlerService onCreate (HandlerService java:55)_x000D_
  at fr free nrw commons upload UploadService onCreate (UploadService java:122)_x000D_
  at android app ActivityThread handleCreateService (ActivityThread java:3339)_x000D_
   _x000D_
_x000D_
  21 reports  7 users using Android 7 0 and 7 1:_x000D_
_x000D_
Moto G(4) (athene)   5   33 3 _x000D_
Moto G (5) Plus (potter n)   4   26 7 _x000D_
Moto G (5S) (montana)   2   13 3 _x000D_
Aquaris U (chaozu)   2   13 3 _x000D_
_x000D_
   _x000D_
java lang RuntimeException: _x000D_
  at android app ActivityThread handleCreateService (ActivityThread java:3544)_x000D_
  at android app ActivityThread  wrap6 (ActivityThread java)_x000D_
  at android app ActivityThread H handleMessage (ActivityThread java:1732)_x000D_
  at android os Handler dispatchMessage (Handler java:102)_x000D_
  at android os Looper loop (Looper java:154)_x000D_
  at android app ActivityThread main (ActivityThread java:6776)_x000D_
  at java lang reflect Method invoke (Native Method)_x000D_
  at com android internal os ZygoteInit MethodAndArgsCaller run (ZygoteInit java:1496)_x000D_
  at com android internal os ZygoteInit main (ZygoteInit java:1386)_x000D_
Caused by: java lang RuntimeException: _x000D_
  at dagger android AndroidInjection inject (AndroidInjection java:134)_x000D_
  at dagger android DaggerService onCreate (DaggerService java:27)_x000D_
  at fr free nrw commons HandlerService onCreate (HandlerService java:55)_x000D_
  at fr free nrw commons upload UploadService onCreate (UploadService java:122)_x000D_
  at android app ActivityThread handleCreateService (ActivityThread java:3534)_x000D_
   _x000D_
_x000D_
  5 reports  2 users using Android 7 1  both using RedMi phones _x000D_
   _x000D_
java lang RuntimeException: _x000D_
  at fr free nrw commons contributions ContributionsActivity 1 onServiceDisconnected (ContributionsActivity java:97)_x000D_
  at android app LoadedApk ServiceDispatcher doConnected (LoadedApk java:1457)_x000D_
  at android app LoadedApk ServiceDispatcher RunConnection run (LoadedApk java:1489)_x000D_
  at android os Handler handleCallback (Handler java:754)_x000D_
  at android os Handler dispatchMessage (Handler java:95)_x000D_
  at android os Looper loop (Looper java:163)_x000D_
  at android app ActivityThread main (ActivityThread java:6361)_x000D_
  at java lang reflect Method invoke (Native Method)_x000D_
  at com android internal os ZygoteInit MethodAndArgsCaller run (ZygoteInit java:904)_x000D_
  at com android internal os ZygoteInit main (ZygoteInit java:794)_x000D_
   _x000D_
_x000D_
  10 reports  5 users using Android 7 0 and 7 1:_x000D_
_x000D_
Galaxy J7 Pro (j7y17lte)   2   25 0 _x000D_
Galaxy J5(2016) (j5xnlte)   2   25 0 _x000D_
Galaxy S7 (heroqltespr)   2   25 0 _x000D_
Galaxy S8 (dreamlte)   2   25 0 _x000D_
_x000D_
   _x000D_
java lang RuntimeException: _x000D_
  at android app ActivityThread handleCreateService (ActivityThread java:3193)_x000D_
  at android app ActivityThread  wrap5 (ActivityThread java)_x000D_
  at android app ActivityThread H handleMessage (ActivityThread java:1563)_x000D_
  at android os Handler dispatchMessage (Handler java:102)_x000D_
  at android os Looper loop (Looper java:154)_x000D_
  at android app ActivityThread main (ActivityThread java:6123)_x000D_
  at java lang reflect Method invoke (Native Method)_x000D_
  at com android internal os ZygoteInit MethodAndArgsCaller run (ZygoteInit java:867)_x000D_
  at com android internal os ZygoteInit main (ZygoteInit java:757)_x000D_
Caused by: java lang RuntimeException: _x000D_
  at dagger android AndroidInjection inject (AndroidInjection java:134)_x000D_
  at dagger android DaggerService onCreate (DaggerService java:27)_x000D_
  at fr free nrw commons HandlerService onCreate (HandlerService java:55)_x000D_
  at fr free nrw commons upload UploadService onCreate (UploadService java:122)_x000D_
  at android app ActivityThread handleCreateService (ActivityThread java:3183)_x000D_
   _x000D_
  </t>
  </si>
  <si>
    <t>PojavLauncherTeam-PojavLauncher-3126</t>
  </si>
  <si>
    <t>1.17 and 1.18 Crashing [offline]</t>
  </si>
  <si>
    <t xml:space="preserve">    Describe the bug
Whenever I try and launch a version of 1 18 or 1 17 It loads up the game window and then crashes  It will go strait back to the launcher  No crash log  no error message  no nothing  Its just like it never launched  Same thing happens if I try and launch 1 18 or 1 17 Optifine  Anything bellow 1 17 works fine  At first I thought it was the same incompatible Java Runtime issue from before I updated  but it doesn t tell me that like it used to  It will say game exited and then have me press ok 
    The log file and images videos
  Screenshot 20220423 203710 (https:  user images githubusercontent com 104283405 164952054 9fb9c862 49a6 480b b423 3db2067730f7 png)_x000D_
    Steps To Reproduce
   markdown
Open PojavLauncher and Login_x000D_
Launch MC
    Expected Behavior
Launch normaly
    Platform
   markdown
  Device model: Fire HD 10_x000D_
  CPU architecture: arm64 v8a_x000D_
  Android version: Fire OS 7 3 2 2_x000D_
  PojavLauncher version: 3 3 1 1
    Anything else 
 No response </t>
  </si>
  <si>
    <t>PojavLauncherTeam-PojavLauncher-3122</t>
  </si>
  <si>
    <t>My minecraft keeps crashing</t>
  </si>
  <si>
    <t xml:space="preserve">    Describe the bug
Minecraft launches and crashes before I m able to even click on multiplayer or do anything
    The log file and images videos
A detailed walkthrough of the error  its code path and all known details is as follows:_x000D_
                                                                                       _x000D_
_x000D_
   System Details   _x000D_
Details:_x000D_
	Minecraft Version: 1 8 9_x000D_
	Operating System: Linux (aarch64) version Android 12_x000D_
	Java Version: 1 8 0 internal  Oracle Corporation_x000D_
	Java VM Version: OpenJDK 64 Bit Server VM (mixed mode)  Oracle Corporation_x000D_
	Memory: 1004065224 bytes (957 MB)   1529348096 bytes (1458 MB) up to 1529348096 bytes (1458 MB)_x000D_
	JVM Flags: 3 total   Xms1528M  Xmx1528M  Xbootclasspath p: storage emulated 0 Android data net kdt pojavlaunch files caciocavallo ResConfHack jar: storage emulated 0 Android data net kdt pojavlaunch files caciocavallo cacio androidnw 1 10 SNAPSHOT jar: storage emulated 0 Android data net kdt pojavlaunch files caciocavallo cacio shared 1 10 SNAPSHOT jar_x000D_
	IntCache: cache: 0  tcache: 0  allocated: 0  tallocated: 0_x000D_
	FML: MCP 9 19 Powered by Forge 11 15 1 2318 Optifine OptiFine 1 8 9 HD U M5 9 mods loaded  9 mods active_x000D_
	States:  U    Unloaded  L    Loaded  C    Constructed  H    Pre initialized  I    Initialized  J    Post initialized  A    Available  D    Disabled  E    Errored_x000D_
_x000D_
	  State    ID                      Version        Source                                 _x000D_
	                                                                                         _x000D_
	  UCHIJA   mcp                     9 19           minecraft jar                          _x000D_
	  UCHIJA   FML                     8 0 99 99      forge 1 8 9 11 15 1 2318 1 8 9 jar     _x000D_
	  UCHIJA   Forge                   11 15 1 2318   forge 1 8 9 11 15 1 2318 1 8 9 jar     _x000D_
	  UCHIJA   essential               1 0 0          Essential (forge 1 8 9) jar            _x000D_
	  UCHIJA   hypixel auto complete   1 1 0          Hypixel Autocomplete 1 1 (1 8 9) jar   _x000D_
	  UCHIJA   notenoughupdates        2 0 0 REL      NotEnoughUpdates 2 0 PRE26 jar         _x000D_
	  UCHIJA   skyblockaddons          1 6 0          SkyblockAddons 1 6 0 for MC 1 8 9 jar  _x000D_
	  UCHIJA   skyblockcatia           1 2 0          SkyBlockcatia 1 8 9 1 2 0 jar          _x000D_
	  UCHIJA   skytils                 1 2 4          Skytils 0 3 3 jar                      _x000D_
_x000D_
	Loaded coremods (and transformers): _x000D_
Skytils On Top (Skytils 0 3 3 jar)_x000D_
  skytils skytilsmod asm SkytilsTransformer_x000D_
SkyblockAddonsLoadingPlugin (SkyblockAddons 1 6 0 for MC 1 8 9 jar)_x000D_
  codes biscuit skyblockaddons tweaker SkyblockAddonsTransformer_x000D_
	Skytils Debug Info:  HasBetterFPS false  BetterFPS Version NONE  Disabled Start Checks false _x000D_
	Launched Version: 1 8 9_x000D_
	LWJGL: 3 2 3 SNAPSHOT_x000D_
	OpenGL: GL4ES wrapper GL version 2 1 gl4es wrapper 1 1 5  ptitSeb_x000D_
	GL Caps: VboRegions not supported  missing: OpenGL 1 3  ARB copy buffer_x000D_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No_x000D_
	Is Modded: Definitely  Client brand changed to  fml forge _x000D_
	Type: Client (map client txt)_x000D_
	Resource Packs: V2 3 ZachPlaysAN HS Texture Pack 1 8 9 zip_x000D_
	Current Language: English (US)_x000D_
	Profiler Position: N A (disabled)_x000D_
	CPU: 9x null_x000D_
	OptiFine Version: OptiFine 1 8 9 HD U M5_x000D_
	OptiFine Build: 20210124 163719_x000D_
	Render Distance Chunks: 4_x000D_
	Mipmaps: 0_x000D_
	Anisotropic Filtering: 1_x000D_
	Antialiasing: 0_x000D_
	Multitexture: false_x000D_
	Shaders: null_x000D_
	OpenGlVersion: 2 1 gl4es wrapper 1 1 5_x000D_
	OpenGlRenderer: GL4ES wrapper_x000D_
	OpenGlVendor: ptitSeb_x000D_
	CpuCount: 8
    Steps To Reproduce
   markdown
1 start pojavlauncher_x000D_
2 log in_x000D_
3 go to forge 1 8 9_x000D_
4 launch the game_x000D_
5 crashes_x000D_
I also replaced the lwjgl files to the most recent ones from the official website_x000D_
And my ram is set to 1502mb_x000D_
The renderer I m using is gl4es 1 1 5 (OpenGl ES 2): exports OpenGL 2 1
    Expected Behavior
For the game to launch :(
    Platform
   markdown
  Device model: Samsung tab S7_x000D_
  CPU architecture: Kryo585_x000D_
  Android version: 12_x000D_
  PojavLauncher version: crocus v3 openjl
    Anything else 
 No response </t>
  </si>
  <si>
    <t>mtotschnig-MyExpenses-960</t>
  </si>
  <si>
    <t>When sub category is transformed into main category, it should be assigned a color</t>
  </si>
  <si>
    <t xml:space="preserve">Main categories that are created by the transformation of a subcategory currently have a null color _x000D_
This leads to a crash in DistributionActivity which expects each main category to have a color set </t>
  </si>
  <si>
    <t>TeamNewPipe-NewPipe-8282</t>
  </si>
  <si>
    <t>Exoplayer OOM</t>
  </si>
  <si>
    <t xml:space="preserve">    Checklist_x000D_
_x000D_
   X  I am able to reproduce the bug with the  latest version (https:  github com TeamNewPipe NewPipe releases latest) _x000D_
   X  I made sure that there are  no existing issues     open (https:  github com TeamNewPipe NewPipe issues) or  closed (https:  github com TeamNewPipe NewPipe issues q is 3Aissue is 3Aclosed)   which I could contribute my information to _x000D_
   X  I have taken the time to fill in all the required details  I understand that the bug report will be dismissed otherwise _x000D_
   X  This issue contains only one bug _x000D_
   X  I have read and understood the  contribution guidelines (https:  github com TeamNewPipe NewPipe blob dev  github CONTRIBUTING md) _x000D_
_x000D_
    Affected version_x000D_
_x000D_
0 22 2 commit 53bf342_x000D_
_x000D_
    Steps to reproduce the bug_x000D_
_x000D_
1  Open NewPipe on rather long YT video (like  this (https:  www youtube com watch v LzUT1X10Ihk)) _x000D_
2  Wait for about 2 minutes _x000D_
3  OOM is here_x000D_
_x000D_
Sometimes you can avoid OOM by switching resolution before initial video loading is done _x000D_
_x000D_
    Expected behavior_x000D_
_x000D_
Video should be played w o crashes_x000D_
_x000D_
    Actual behavior_x000D_
_x000D_
   Sometimes NewPipe just stops playing video with error notification _x000D_
   Sometimes NewPipe crashes with ANR _x000D_
_x000D_
    Screenshots Screen recordings_x000D_
_x000D_
 No response _x000D_
_x000D_
    Logs_x000D_
_x000D_
   _x000D_
com google android exoplayer2 ExoPlaybackException: Source error_x000D_
   at com google android exoplayer2 ExoPlayerImplInternal handleIoException(ExoPlayerImplInternal java:641)_x000D_
   at com google android exoplayer2 ExoPlayerImplInternal handleMessage(ExoPlayerImplInternal java:617)_x000D_
   at android os Handler dispatchMessage(Handler java:98)_x000D_
   at android os Looper loop(Looper java:154)_x000D_
   at android os HandlerThread run(HandlerThread java:61)_x000D_
Caused by: com google android exoplayer2 upstream Loader UnexpectedLoaderException: Unexpected OutOfMemoryError: OutOfMemoryError thrown while trying to throw OutOfMemoryError  no stack trace available_x000D_
   at com google android exoplayer2 upstream Loader LoadTask run(Loader java:441)_x000D_
   at java util concurrent ThreadPoolExecutor runWorker(ThreadPoolExecutor java:1133)_x000D_
   at java util concurrent ThreadPoolExecutor Worker run(ThreadPoolExecutor java:607)_x000D_
   at java lang Thread run(Thread java:761)_x000D_
Caused by: java lang OutOfMemoryError: OutOfMemoryError thrown while trying to throw OutOfMemoryError  no stack trace available_x000D_
   _x000D_
_x000D_
    Affected Android Custom ROM version_x000D_
_x000D_
RR N v5 8 5 20171005 ivy Unofficial_x000D_
_x000D_
    Affected device model_x000D_
_x000D_
Sony E6533_x000D_
_x000D_
    Additional information_x000D_
_x000D_
I ve reported that I can reproduce ExoPlayer OOM in  2257 and was told to open a new issue  So here I am </t>
  </si>
  <si>
    <t>commons-app-apps-android-commons-4942</t>
  </si>
  <si>
    <t xml:space="preserve">[Bug]: App crashed after add new category to a picture without category </t>
  </si>
  <si>
    <t xml:space="preserve">    Summary
App crashed after add new category to a picture without category 
    Steps to reproduce
1 update a new picture without selecting category _x000D_
2 add a new category to the picture  then the app crashed
    Expected behaviour
The app will add a new category 
    Actual behaviour
The app crashed immediately
    Device name
No response
    Android version
9
    Commons app version
master
    Device logs
 No response 
    Screen shots
picture without category:_x000D_
  1BD736BBA7349A8B59C54856C618DFCA (https:  user images githubusercontent com 57441189 164887637 9907604f 8ac0 40d4 af2e 806484bafec4 jpg)  _x000D_
add new category:  _x000D_
  25B027322A0A3BF6F9C7E7BE37831F93 (https:  user images githubusercontent com 57441189 164887666 bb92661d 5490 42af b4a0 22074391892a jpg)    _x000D_
app crashed:  _x000D_
  724016E6DC4A94920519992F2308DFDB (https:  user images githubusercontent com 57441189 164887683 b2738254 5688 49c5 86c3 0bb041af936c jpg)
    Would you like to work on the issue 
Yes</t>
  </si>
  <si>
    <t>PojavLauncherTeam-PojavLauncher-3115</t>
  </si>
  <si>
    <t>Fix PojavLauncher game after launching a version</t>
  </si>
  <si>
    <t xml:space="preserve">    Describe the bug
when i open pojavlauncher after that i launched a version thenbit instantly crashed pls fix it i dont want my survival world disappear 
    The log file and images videos
_x000D_
Uploading 2022 04 22 10 06 29 mp4 _x000D_
_x000D_
    Steps To Reproduce
   markdown
1 open pojav_x000D_
2 launch a single version_x000D_
3 boom instantly crashed
    Expected Behavior
pls fic it
    Platform
   markdown
  Device model: Huawei y6p _x000D_
  CPU architecture: aarch32 _x000D_
  Android version: Android 10 _x000D_
  PojavLauncher version: holy edition
    Anything else 
 No response </t>
  </si>
  <si>
    <t>PojavLauncherTeam-PojavLauncher-3114</t>
  </si>
  <si>
    <t>[BUG] &lt;Short description&gt;</t>
  </si>
  <si>
    <t xml:space="preserve">    Describe the bug
Fabric 1 16 5 latest crashing
    The log file and images videos
No
    Steps To Reproduce
   markdown
1  Start Pojavlauncher from github build_x000D_
2  Install fabric_x000D_
3  Enter the game and crash
    Expected Behavior
The game not launch
    Platform
   markdown
  Device model: Vivo 1935_x000D_
  CPU architecture: aarch64_x000D_
  Android version: 10_x000D_
  PojavLauncher version: github build
    Anything else 
No</t>
  </si>
  <si>
    <t>TeamNewPipe-NewPipe-8278</t>
  </si>
  <si>
    <t>Enqeue on Video change corrupts app-storage</t>
  </si>
  <si>
    <t xml:space="preserve">    Checklist_x000D_
_x000D_
   X  I am able to reproduce the bug with the  latest version (https:  github com TeamNewPipe NewPipe releases latest) _x000D_
   X  I made sure that there are  no existing issues     open (https:  github com TeamNewPipe NewPipe issues) or  closed (https:  github com TeamNewPipe NewPipe issues q is 3Aissue is 3Aclosed)   which I could contribute my information to _x000D_
   X  I have taken the time to fill in all the required details  I understand that the bug report will be dismissed otherwise _x000D_
   X  This issue contains only one bug _x000D_
   X  I have read and understood the  contribution guidelines (https:  github com TeamNewPipe NewPipe blob dev  github CONTRIBUTING md) _x000D_
_x000D_
    Affected version_x000D_
_x000D_
v0 22 2 _x000D_
_x000D_
    Steps to reproduce the bug_x000D_
_x000D_
0 1  Make a settings backup export _x000D_
1  Watch one video and enqeue another one at the same time _x000D_
2  Then just when the video is about flip to the next one(you need auto play enabled)  enqeue another one _x000D_
3  Now the app should have crashed and will continue to do so until you format the app storage data _x000D_
_x000D_
_x000D_
Did this multiple times to be sure it s the app  so finding the right timing might take a while _x000D_
_x000D_
_x000D_
    Expected behavior_x000D_
_x000D_
To not crash :)_x000D_
_x000D_
    Actual behavior_x000D_
_x000D_
Newpipe becomes unusable _x000D_
_x000D_
    Screenshots Screen recordings_x000D_
_x000D_
 No response _x000D_
_x000D_
    Logs_x000D_
_x000D_
There was no error page  just an  The app keeps crashing  info pop up _x000D_
_x000D_
    Affected Android Custom ROM version_x000D_
_x000D_
Android 11_x000D_
_x000D_
    Affected device model_x000D_
_x000D_
Samsung S10 </t>
  </si>
  <si>
    <t>leandrosimoes-react-native-android-notification-listener-42</t>
  </si>
  <si>
    <t>🐞 [BUG] A problem occurred evaluating &amp; configuring project ':react-native-android-notification-listener'.</t>
  </si>
  <si>
    <t xml:space="preserve">    Is there an existing issue for this 
   X  I have searched the existing issues
    Current Behavior
 npx react native run android  will crash when trying to compile build react native android notification listener_x000D_
_x000D_
React 17 0 2_x000D_
React native 0 68 1_x000D_
react native android notification listener  4 0 2_x000D_
_x000D_
   _x000D_
FAILURE: Build completed with 2 failures _x000D_
_x000D_
1: Task failed with an exception _x000D_
           _x000D_
  Where:_x000D_
Build file   node modules react native android notification listener android build gradle  line: 26_x000D_
_x000D_
  What went wrong:_x000D_
A problem occurred evaluating project  :react native android notification listener       _x000D_
  multiple points_x000D_
   _x000D_
_x000D_
   _x000D_
2: Task failed with an exception _x000D_
           _x000D_
  What went wrong:_x000D_
A problem occurred configuring project  :react native android notification listener      _x000D_
  compileSdkVersion is not specified  Please add it to build gradle_x000D_
    Expected Behavior
To compile without crashing 
    Steps To Reproduce
1  npx react native init  project name _x000D_
2  cd  project name _x000D_
3  npm install react native android notification listener_x000D_
4  npx react native run android
    Library version that you are testing
4 0 2
    Device
Android Emulator
    Android Version
Android 11
    Anything else 
 No response </t>
  </si>
  <si>
    <t>doublesymmetry-react-native-track-player-1484</t>
  </si>
  <si>
    <t>[Android] crash with no logs - Targeting S+ (version 31 and above) requires that one of FLAG_IMMUTABLE or FLAG_MUTABLE</t>
  </si>
  <si>
    <t xml:space="preserve">  Describe the Bug  _x000D_
App crash (android only) when starting or reseting a playtrack  i do not have any logs affiliated to this crash and   i only found some indication with flipper debugger  _x000D_
_x000D_
Before i update my sdk version from 30 to 31 and i was on lib version 2 1 2 i didn t get any crash_x000D_
_x000D_
error given : _x000D_
Strongly consider using FLAG IMMUTABLE  only use FLAG MUTABLE if some functionality depends on the PendingIntent being mutable  e g  if it needs to be used with inline replies or bubbles _x000D_
_x000D_
FATAL EXCEPTION: main_x000D_
Process: com appname  PID: 15830_x000D_
java lang RuntimeException: Unable to start service com guichaguri trackplayer service MusicService 8f5629a with Intent   cmp com appname com guichaguri trackplayer service MusicService  : java lang IllegalArgumentException: com appname: Targeting S  (version 31 and above) requires that one of FLAG IMMUTABLE or FLAG MUTABLE be specified when creating a PendingIntent _x000D_
Strongly consider using FLAG IMMUTABLE  only use FLAG MUTABLE if some functionality depends on the PendingIntent being mutable  e g  if it needs to be used with inline replies or bubbles _x000D_
	at android app ActivityThread handleServiceArgs(ActivityThread java:5110)_x000D_
	at android app ActivityThread access 2200(ActivityThread java:310)_x000D_
	at android app ActivityThread H handleMessage(ActivityThread java:2319)_x000D_
	at android os Handler dispatchMessage(Handler java:106)_x000D_
	at android os Looper loopOnce(Looper java:226)_x000D_
	at android os Looper loop(Looper java:313)_x000D_
	at android app ActivityThread main(ActivityThread java:8663)_x000D_
	at java lang reflect Method invoke(Native Method)_x000D_
	at com android internal os RuntimeInit MethodAndArgsCaller run(RuntimeInit java:567)_x000D_
	at com android internal os ZygoteInit main(ZygoteInit java:1135)_x000D_
Caused by: java lang IllegalArgumentException: com appname: Targeting S  (version 31 and above) requires that one of FLAG IMMUTABLE or FLAG MUTABLE be specified when creating a PendingIntent _x000D_
Strongly consider using FLAG IMMUTABLE  only use FLAG MUTABLE if some functionality depends on the PendingIntent being mutable  e g  if it needs to be used with inline replies or bubbles _x000D_
	at android app PendingIntent checkFlags(PendingIntent java:382)_x000D_
	at android app PendingIntent getBroadcastAsUser(PendingIntent java:673)_x000D_
	at android app PendingIntent getBroadcast(PendingIntent java:660)_x000D_
	at android support v4 media session MediaSessionCompat  init (MediaSessionCompat java:559)_x000D_
	at android support v4 media session MediaSessionCompat  init (MediaSessionCompat java:530)_x000D_
	at android support v4 media session MediaSessionCompat  init (MediaSessionCompat java:494)_x000D_
	at com guichaguri trackplayer service metadata MetadataManager  init (MetadataManager java:62)_x000D_
	at com guichaguri trackplayer service MusicManager  init (MusicManager java:68)_x000D_
	at com guichaguri trackplayer service MusicService onStartCommand(MusicService java:108)_x000D_
	at android app ActivityThread handleServiceArgs(ActivityThread java:5092)_x000D_
	    9 more_x000D_
_x000D_
  Steps To Reproduce  _x000D_
Use target and compileSdkVersion   31 and set lib version to 2 1 3_x000D_
after this call any function from TrackPlayerInstance_x000D_
_x000D_
_x000D_
  Code To Reproduce  _x000D_
Due to some complexe integration in my application (a mix between redux  sagas) i m not able to provide sample of code _x000D_
_x000D_
But this occur at any function call of  TrackPlayerInstance _x000D_
_x000D_
  Environment Info:  _x000D_
System:_x000D_
    OS: macOS 12 3 1_x000D_
    CPU: (8) x64 Apple M1_x000D_
    Memory: 24 67 MB   16 00 GB_x000D_
    Shell: 5 8    bin zsh_x000D_
  Binaries:_x000D_
    Node: 14 19 1      nvm versions node v14 19 1 bin node_x000D_
    Yarn: 1 22 18      nvm versions node v14 19 1 bin yarn_x000D_
    npm: 6 14 16      nvm versions node v14 19 1 bin npm_x000D_
    Watchman: 2022 03 21 00    opt homebrew bin watchman_x000D_
  Managers:_x000D_
    CocoaPods: 1 11 3    opt homebrew bin pod_x000D_
  SDKs:_x000D_
    iOS SDK:_x000D_
      Platforms: DriverKit 21 4  iOS 15 4  macOS 12 3  tvOS 15 4  watchOS 8 5_x000D_
    Android SDK: Not Found_x000D_
  IDEs:_x000D_
    Android Studio: 2021 1 AI 211 7628 21 2111 8309675_x000D_
    Xcode: 13 3 1 13E500a    usr bin xcodebuild_x000D_
  Languages:_x000D_
    Java: 11 0 11    usr bin javac_x000D_
  npmPackages:_x000D_
     react native community cli: Not Found_x000D_
    react: 17 0 2    17 0 2 _x000D_
    react native: 0 67 4    0 67 4 _x000D_
    react native macos: Not Found_x000D_
  npmGlobalPackages:_x000D_
     react native : Not Found_x000D_
_x000D_
 react native track player :  2 1 3  _x000D_
Real device   galaxy s10     android version 12_x000D_
_x000D_
  How I can Help  _x000D_
Actually i am looking for a solution and it seems to be a recognized error on some others libs with ancient   outdated libraries but i am actually not able to provide a patch</t>
  </si>
  <si>
    <t>TeamNewPipe-NewPipe-8270</t>
  </si>
  <si>
    <t>You can't download anything for the first time you do som</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</si>
  <si>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1
    Steps to reproduce the bug
1) Open the app_x000D_
2) Click a video_x000D_
3) Press download_x000D_
_x000D_
And viola _x000D_
Your phone crashes and you ll have to do it again to download the same thing 
    Expected behavior
I expected that I ll be able to download a video on the platform for the first try
    Actual behavior
My phone crashed temporarily and when I came back to press Newpipe s app icon  it shows the opening logo but for a longer period of time and everything feels like it forgot I was using it like a seconds ago and I got an error 
    Screenshots Screen recordings
 No response 
    Logs
   Exception_x000D_
    User Action:   play stream_x000D_
    Request:   Player error type ERROR CODE DECODING FAILED  occurred while playing https:  www youtube com watch v U6qnuOjSCiQ_x000D_
    Content Country:   US_x000D_
    Content Language:   en US_x000D_
    App Language:   en US_x000D_
    Service:   YouTube_x000D_
    Version:   0 22 1_x000D_
    OS:   Linux Android 11   30_x000D_
 details  summary  b Crash log   b   summary  p _x000D_
_x000D_
   _x000D_
com google android exoplayer2 ExoPlaybackException: MediaCodecAudioRenderer error  index 1  format Format(1  null  null  audio mp4a latm  mp4a 40 2   1  und    1   1   1 0    2  44100 )  format supported YES_x000D_
	at com google android exoplayer2 ExoPlayerImplInternal handleMessage(ExoPlayerImplInternal java:575)_x000D_
	at android os Handler dispatchMessage(Handler java:102)_x000D_
	at android os Looper loop(Looper java:255)_x000D_
	at android os HandlerThread run(HandlerThread java:67)_x000D_
Caused by: com google android exoplayer2 mediacodec MediaCodecDecoderException: Decoder failed: c2 android aac decoder_x000D_
	at com google android exoplayer2 mediacodec MediaCodecRenderer createDecoderException(MediaCodecRenderer java:932)_x000D_
	at com google android exoplayer2 mediacodec MediaCodecRenderer render(MediaCodecRenderer java:813)_x000D_
	at com google android exoplayer2 ExoPlayerImplInternal doSomeWork(ExoPlayerImplInternal java:998)_x000D_
	at com google android exoplayer2 ExoPlayerImplInternal handleMessage(ExoPlayerImplInternal java:499)_x000D_
	    3 more_x000D_
Caused by: java lang IllegalStateException_x000D_
	at android media MediaCodec native dequeueOutputBuffer(Native Method)_x000D_
	at android media MediaCodec dequeueOutputBuffer(MediaCodec java:3452)_x000D_
	at com google android exoplayer2 mediacodec SynchronousMediaCodecAdapter dequeueOutputBufferIndex(SynchronousMediaCodecAdapter java:106)_x000D_
	at com google android exoplayer2 mediacodec MediaCodecRenderer drainOutputBuffer(MediaCodecRenderer java:1806)_x000D_
	at com google android exoplayer2 mediacodec MediaCodecRenderer render(MediaCodecRenderer java:792)_x000D_
	    5 more_x000D_
_x000D_
   _x000D_
  details _x000D_
 hr _x000D_
    Affected Android Custom ROM version
Android 11
    Affected device model
Realme 6i
    Additional information
 No response </t>
  </si>
  <si>
    <t>TeamNewPipe-NewPipe-8267</t>
  </si>
  <si>
    <t>Youtube subscriptions import crash</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</si>
  <si>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2
    Steps to reproduce the bug
1  Go to Subscription_x000D_
2  Press Import from youtube_x000D_
3  select the Subscriptions csv file from memory_x000D_
4  Agree with the warning message
    Expected behavior
My personal Youtube subscriptions are available
    Actual behavior
Program closes and crashes and after you turn it again  there s no imported subscriptions
    Screenshots Screen recordings
 No response 
    Logs
 No response 
    Affected Android Custom ROM version
Android 11
    Affected device model
Samsung Galaxy M51
    Additional information
 No response </t>
  </si>
  <si>
    <t>Zhuinden-simple-stack-256</t>
  </si>
  <si>
    <t>NPE Crashes when goBack is called on the Backstack</t>
  </si>
  <si>
    <t>We are noticing several Crashlytics reports of an NPE that occurs when goBack is called on the backstack  I am not sure how to reproduce this though  Here is the crash log_x000D_
    _x000D_
Fatal Exception: java lang NullPointerException: Attempt to read from field  java util LinkedHashMap LinkedEntry java util LinkedHashMap LinkedEntry nxt  on a null object reference_x000D_
       at java util LinkedHashMap LinkedHashIterator nextEntry(LinkedHashMap java:350)_x000D_
       at java util LinkedHashMap KeyIterator next(LinkedHashMap java:366)_x000D_
       at java util AbstractCollection retainAll(AbstractCollection java:318)_x000D_
       at com zhuinden simplestack ScopeManager cleanupScopesBy(ScopeManager java:545)_x000D_
       at com zhuinden simplestack Backstack 2 stateChangeCompleted(Backstack java:180)_x000D_
       at com zhuinden simplestack NavigationCore notifyCompletionListeners(NavigationCore java:709)_x000D_
       at com zhuinden simplestack NavigationCore completeStateChange(NavigationCore java:662)_x000D_
       at com zhuinden simplestack NavigationCore access 100(NavigationCore java:39)_x000D_
       at com zhuinden simplestack NavigationCore 1 stateChangeComplete(NavigationCore java:645)_x000D_
       at com zhuinden simplestack SimpleStateChanger handleStateChange(SimpleStateChanger java:45)_x000D_
       at com zhuinden simplestack Backstack 1 handleStateChange(Backstack java:103)_x000D_
       at com zhuinden simplestack NavigationCore changeState(NavigationCore java:650)_x000D_
       at com zhuinden simplestack NavigationCore beginStateChangeIfPossible(NavigationCore java:614)_x000D_
       at com zhuinden simplestack NavigationCore enqueueStateChange(NavigationCore java:596)_x000D_
       at com zhuinden simplestack NavigationCore executeOrConsumeNavigationOp(NavigationCore java:482)_x000D_
       at com zhuinden simplestack NavigationCore goBack(NavigationCore java:437)_x000D_
       at com zhuinden simplestack Backstack goBack(Backstack java:1260)_x000D_
       at com zhuinden simplestack navigator Navigator onBackPressed(Navigator java:310)_x000D_
    _x000D_
SimpleStack version used: 2 6 2</t>
  </si>
  <si>
    <t>nextcloud-android-10096</t>
  </si>
  <si>
    <t>crash on mp3 play/click/touch</t>
  </si>
  <si>
    <t xml:space="preserve">    Steps to reproduce_x000D_
1  Mp3 file from desktop to cloud_x000D_
2  Touch click file (click on filename icon) in app_x000D_
3  Crash_x000D_
_x000D_
    Expected behaviour_x000D_
  should not crash_x000D_
_x000D_
    Actual behaviour_x000D_
  crash_x000D_
_x000D_
_x000D_
_x000D_
     Nextcloud log (data nextcloud log)_x000D_
   _x000D_
             CAUSE OF ERROR             _x000D_
_x000D_
java lang RuntimeException: Unable to start service com nextcloud client media PlayerService fe362f3 with Intent   act PLAY cmp com nextcloud client  media PlayerService (has extras)  : java io IOException: setDataSourceFD failed : status 0x80000000_x000D_
	at android app ActivityThread handleServiceArgs(ActivityThread java:4106)_x000D_
	at android app ActivityThread access 1800(ActivityThread java:220)_x000D_
	at android app ActivityThread H handleMessage(ActivityThread java:1892)_x000D_
	at android os Handler dispatchMessage(Handler java:107)_x000D_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java:935)_x000D_
Caused by: java io IOException: setDataSourceFD failed : status 0x80000000_x000D_
	at android media MediaPlayer  setDataSource(Native Method)_x000D_
	at android media MediaPlayer setDataSource(MediaPlayer java:1243)_x000D_
	at android media MediaPlayer setDataSource(MediaPlayer java:1226)_x000D_
	at android media MediaPlayer setDataSource(MediaPlayer java:1183)_x000D_
	at android media MediaPlayer setDataSource(MediaPlayer java:1160)_x000D_
	at android media MediaPlayer setDataSource(MediaPlayer java:1125)_x000D_
	at com nextcloud client media Player delegate 1 onPrepare(Player kt:113)_x000D_
	at com nextcloud client media PlayerStateMachine  ExternalSyntheticLambda12 doIt(Unknown Source:2)_x000D_
	at com github oxo42 stateless4j StateConfiguration 6 doIt(StateConfiguration java:284)_x000D_
	at com github oxo42 stateless4j StateConfiguration 6 doIt(StateConfiguration java:281)_x000D_
	at com github oxo42 stateless4j StateConfiguration 7 doIt(StateConfiguration java:300)_x000D_
	at com github oxo42 stateless4j StateConfiguration 7 doIt(StateConfiguration java:297)_x000D_
	at com github oxo42 stateless4j StateRepresentation executeEntryActions(StateRepresentation java:122)_x000D_
	at com github oxo42 stateless4j StateRepresentation enter(StateRepresentation java:101)_x000D_
	at com github oxo42 stateless4j StateMachine publicFire(StateMachine java:225)_x000D_
	at com github oxo42 stateless4j StateMachine fire(StateMachine java:145)_x000D_
	at com nextcloud client media PlayerStateMachine immediateTransition(PlayerStateMachine kt:191)_x000D_
	at com nextcloud client media PlayerStateMachine  r8 lambda uclgsB KwLxoh4uU91r7xOtFYrQ(Unknown Source:0)_x000D_
	at com nextcloud client media PlayerStateMachine  ExternalSyntheticLambda2 doIt(Unknown Source:2)_x000D_
	at com github oxo42 stateless4j StateConfiguration 6 doIt(StateConfiguration java:284)_x000D_
	at com github oxo42 stateless4j StateConfiguration 6 doIt(StateConfiguration java:281)_x000D_
	at com github oxo42 stateless4j StateConfiguration 7 doIt(StateConfiguration java:300)_x000D_
	at com github oxo42 stateless4j StateConfiguration 7 doIt(StateConfiguration java:297)_x000D_
	at com github oxo42 stateless4j StateRepresentation executeEntryActions(StateRepresentation java:122)_x000D_
	at com github oxo42 stateless4j StateRepresentation enter(StateRepresentation java:101)_x000D_
	at com github oxo42 stateless4j StateMachine publicFire(StateMachine java:225)_x000D_
	at com github oxo42 stateless4j StateMachine fire(StateMachine java:145)_x000D_
	at com nextcloud client media PlayerStateMachine post(PlayerStateMachine kt:224)_x000D_
	at com nextcloud client media Player play(Player kt:189)_x000D_
	at com nextcloud client media PlayerService onActionPlay(PlayerService kt:146)_x000D_
	at com nextcloud client media PlayerService onStartCommand(PlayerService kt:124)_x000D_
	at android app ActivityThread handleServiceArgs(ActivityThread java:4088)_x000D_
	    8 more_x000D_
_x000D_
             APP INFORMATION             _x000D_
ID: com nextcloud client_x000D_
Version: 30190190_x000D_
Build flavor: generic_x000D_
_x000D_
             DEVICE INFORMATION             _x000D_
Brand: bq_x000D_
Device: zangya sprout_x000D_
Model: Aquaris X2_x000D_
Id: QKQ1 200216 002_x000D_
Product: zangya bq_x000D_
_x000D_
             FIRMWARE             _x000D_
SDK: 29_x000D_
Release: 10_x000D_
Incremental: 664_x000D_
_x000D_
   _x000D_
  NOTE:   Be super sure to remove sensitive data like passwords  note that everybody can look here  You can use the Issue Template application to prefill some of the required information: https:  apps nextcloud com apps issuetemplate_x000D_
</t>
  </si>
  <si>
    <t>hzi-braunschweig-SORMAS-Project-8871</t>
  </si>
  <si>
    <t>Message 'An error has occurred' is triggered when a field validation is triggered and the user tries to archive the entity</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</si>
  <si>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Mandatory    _x000D_
When a field validation is triggered on an entity page  and then the user tries to archive the entity  the application crashes and an error message is displayed:_x000D_
  image (https:  user images githubusercontent com 96909231 164003959 a947a715 0f02 4463 ba0a 24e513ba759a png)_x000D_
_x000D_
    Steps to Reproduce_x000D_
     Optional  please add more steps if necessary    _x000D_
1  Navigate to an entity page (case  contact  event  event participant  travel entry or immunization) _x000D_
2  Trigger a validation for a field (set the report date to a date in the future) _x000D_
3  At the bottom of the page  click  Archive  _x000D_
_x000D_
    Actual Behavior_x000D_
     Optional    _x000D_
The application crashes and an error message is displayed: _x000D_
_x000D_
    Expected Behavior_x000D_
     Optional    _x000D_
  no  An error has occurred  message is displayed  _x000D_
  the  Confirm navigation  pop up is triggered (as there are unsaved changes on the page)  _x000D_
  depending on the user s choice in that pop up the changes are either saved or discarded  _x000D_
  a message is displayed informing the user that the  Date of report  can not be set in the future _x000D_
_x000D_
    Screenshots_x000D_
     Optional    _x000D_
  error message (https:  user images githubusercontent com 96909231 164005903 ec7090fc 8dd3 4b1b 9de8 8e1261675a54 gif)_x000D_
_x000D_
    System Details_x000D_
     Mandatory  you only have to specify the Server URL if the error appeared on a publicly available test server    _x000D_
  Device: Windows 10_x000D_
  SORMAS version: 1 71 0 SNAPSHOT(9c0e90c)_x000D_
  Android version Browser: Chrome_x000D_
  Server URL: local machine_x000D_
  User Role: Admin  NatUser_x000D_
_x000D_
    Additional Information_x000D_
     Optional    _x000D_
Logs from the local machine: _x000D_
 Logsarchive txt (https:  github com hzi braunschweig SORMAS Project files 8513008 Logsarchive txt)_x000D_
_x000D_
</t>
  </si>
  <si>
    <t>TeamNewPipe-NewPipe-legacy-92</t>
  </si>
  <si>
    <t>Newpipe legacy crashes when click on notifications &amp; more.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</si>
  <si>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Newpipe legacy crashes on the notifications in the settings menu  in youtube music section No albums  songs or even videos in pipe legacy  even the yt channels are halfway of the video not all videos  and the playlist of videos that crashed halfway as well  Please fix this issues </t>
  </si>
  <si>
    <t>Anuken-Mindustry-6721</t>
  </si>
  <si>
    <t>Long startup, lag spikes, high cpu usage, etc</t>
  </si>
  <si>
    <t xml:space="preserve">  Platform  :  Android iOS Mac Windows Linux _x000D_
Windows 10 64 (both 21H1 and 21H2)_x000D_
CPU: R5 3500x (has no multi threading)_x000D_
RAM: 2x8 2666 jedec base timings_x000D_
GPU: GTX750 (1GB GDDR5)_x000D_
sata SSD_x000D_
_x000D_
  Build  :  The build number under the title in the main menu  Required   LATEST  IS NOT A VERSION  I NEED THE EXACT BUILD NUMBER OF YOUR GAME  _x000D_
doesnt matter  i tested both 126 2  135 and around 3 months worth of BE versions  I believe i even tried v5 104 6 at some point_x000D_
_x000D_
  Issue  :  Explain your issue in detail  _x000D_
(100  reproduceability  both at every single game startup and during playing)_x000D_
Simply starting the game takes 30s up to 1min  instead of like 5s (and the CPU usage goes to 100  during the entire duration)  Logs dont show anything unusual _x000D_
Lag spikes and freezes every 5 10 seconds during gameplay (even on an empty map)_x000D_
Overall high VRAM usage (750 800MB) and high CPU usage (80 90  on 1 or 2 threads)  High ram usage (1 7 1 8GB instead of barely 500MB on another computer with the same save)_x000D_
Almost clean Windows install  no weird process or service running in the background  Nothing unusual i was able to detect from HWInfo  very low temperatures and normal clocks on everything _x000D_
_x000D_
Maybe its tied to some windows update somehow affecting the CPU scheduler  But like no other game has these kinds of issues  even intensive AAA titles or CPU intensive tasks  I got no clue  Im lost_x000D_
_x000D_
  Steps to reproduce  :  How you happened across the issue  and what exactly you did to make the bug happen  _x000D_
if only i knew : _x000D_
One day i woke up and the game went from running smooth to  that   That was like 3 4 months ago but this PC is at my other house so its not that annoying or i would have filled that report a lot earlier_x000D_
_x000D_
  Link(s) to mod(s) used  :  The mod repositories or zip files that are related to the issue  if applicable  _x000D_
vanilla_x000D_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literally doesnt matter  i tried on a whole new save  as well as a used one  on empty or filled maps  its the exact same thing_x000D_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rather annoying but it doesnt even crash  I could get some info from logs but    no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</si>
  <si>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PojavLauncherTeam-PojavLauncher-3097</t>
  </si>
  <si>
    <t xml:space="preserve">Distant horizons mod crashed </t>
  </si>
  <si>
    <t xml:space="preserve">    Describe the bug
Application exited with code 1
    The log file and images videos
 latestlog txt (https:  github com PojavLauncherTeam PojavLauncher files 8501123 latestlog txt)_x000D_
    Steps To Reproduce
   markdown
1  Install distant horizons in fabric 1 16 5_x000D_
2 start Minecraft _x000D_
3  Join world _x000D_
4 crashed  
    Expected Behavior
I expect to run game with distant horizons mod
    Platform
   markdown
  Device model: samsung galaxy m31_x000D_
  CPU architecture: aarch 64_x000D_
  Android version: 12_x000D_
  PojavLauncher version: crocus 449 6060e8bdc v3 openjdk
    Anything else 
 No response </t>
  </si>
  <si>
    <t>PojavLauncherTeam-PojavLauncher-3096</t>
  </si>
  <si>
    <t xml:space="preserve">[BUG] Forge 1.12.2 crash with: "Game exited" </t>
  </si>
  <si>
    <t xml:space="preserve">    Describe the bug
when i try to open Forge 1 12 2 version  it crash immediacy with code 1
    The log file and images videos
 latestlog txt (https:  github com PojavLauncherTeam PojavLauncher files 8501007 latestlog txt)_x000D_
    Steps To Reproduce
   markdown
1 Start Pojavlauncher _x000D_
2 Chose Forge 1 12 2 version_x000D_
3 Launch it_x000D_
4 Crash with messages: Game exited
    Expected Behavior
i expected the game to launches 
    Platform
   markdown
  Device model: Samsung A30_x000D_
  CPU architecture: Arm64 (aarch64)_x000D_
  Android version: 10_x000D_
  PojavLauncher version: Latest build from github action
    Anything else 
no</t>
  </si>
  <si>
    <t>TeamNewPipe-NewPipe-8234</t>
  </si>
  <si>
    <t>Newpipe crashes when I open it</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</si>
  <si>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2
    Steps to reproduce the bug
Go to settings_x000D_
Go to Content_x000D_
Import settings from the  Download me Senpai  Newpipe_x000D_
App crashes_x000D_
Open up app_x000D_
Error screen
    Expected behavior
Import settings_x000D_
Use app and watch videos
    Actual behavior
App UI crashes
    Screenshots Screen recordings
 No response 
    Logs
   Exception_x000D_
    User Action:   ui error_x000D_
    Request:   ACRA report_x000D_
    Content Country:   US_x000D_
    Content Language:   en US_x000D_
    App Language:   en US_x000D_
    Service:   none_x000D_
    Version:   0 22 2_x000D_
    OS:   Linux Android 10   29_x000D_
 details  summary  b Crash log   b   summary  p _x000D_
_x000D_
   _x000D_
java lang IllegalStateException: A migration from 5 to 4 was required but not found  Please provide the necessary Migration path via RoomDatabase Builder addMigration(Migration    ) or allow for destructive migrations via one of the RoomDatabase Builder fallbackToDestructiveMigration  methods _x000D_
	at androidx room RoomOpenHelper onUpgrade(RoomOpenHelper java:117)_x000D_
	at androidx room RoomOpenHelper onDowngrade(RoomOpenHelper java:129)_x000D_
	at androidx sqlite db framework FrameworkSQLiteOpenHelper OpenHelper onDowngrade(FrameworkSQLiteOpenHelper java:188)_x000D_
	at android database sqlite SQLiteOpenHelper getDatabaseLocked(SQLiteOpenHelper java:490)_x000D_
	at android database sqlite SQLiteOpenHelper getWritableDatabase(SQLiteOpenHelper java:391)_x000D_
	at androidx sqlite db framework FrameworkSQLiteOpenHelper OpenHelper getWritableSupportDatabase(FrameworkSQLiteOpenHelper java:145)_x000D_
	at androidx sqlite db framework FrameworkSQLiteOpenHelper getWritableDatabase(FrameworkSQLiteOpenHelper java:106)_x000D_
	at androidx room RoomDatabase inTransaction(RoomDatabase java:622)_x000D_
	at androidx room RoomDatabase assertNotSuspendingTransaction(RoomDatabase java:399)_x000D_
	at androidx room RoomDatabase query(RoomDatabase java:442)_x000D_
	at androidx room util DBUtil query(DBUtil java:83)_x000D_
	at org schabi newpipe database feed dao FeedDAO Impl 12 call(FeedDAO Impl java:909)_x000D_
	at org schabi newpipe database feed dao FeedDAO Impl 12 call(FeedDAO Impl java:906)_x000D_
	at io reactivex rxjava3 internal operators maybe MaybeFromCallable subscribeActual(MaybeFromCallable java:47)_x000D_
	at io reactivex rxjava3 core Maybe subscribe(Maybe java:5330)_x000D_
	at io reactivex rxjava3 internal operators flowable FlowableFlatMapMaybe FlatMapMaybeSubscriber onNext(FlowableFlatMapMaybe java:131)_x000D_
	at io reactivex rxjava3 internal operators flowable FlowableObserveOn ObserveOnSubscriber runAsync(FlowableObserveOn java:402)_x000D_
	at io reactivex rxjava3 internal operators flowable FlowableObserveOn BaseObserveOnSubscriber run(FlowableObserveOn java:176)_x000D_
	at io reactivex rxjava3 internal schedulers ExecutorScheduler ExecutorWorker BooleanRunnable run(ExecutorScheduler java:322)_x000D_
	at io reactivex rxjava3 internal schedulers ExecutorScheduler ExecutorWorker runEager(ExecutorScheduler java:287)_x000D_
	at io reactivex rxjava3 internal schedulers ExecutorScheduler ExecutorWorker run(ExecutorScheduler java:248)_x000D_
	at java util concurrent ThreadPoolExecutor runWorker(ThreadPoolExecutor java:1167)_x000D_
	at java util concurrent ThreadPoolExecutor Worker run(ThreadPoolExecutor java:641)_x000D_
	at java lang Thread run(Thread java:919)_x000D_
_x000D_
   _x000D_
  details _x000D_
 hr _x000D_
    Affected Android Custom ROM version
Samsung Galaxy s9
    Affected device model
Samsung Galaxy s9 
    Additional information
I imported my settings from the temporary version released yesterday_x000D_
I m also not very proficient with code or technology  please be patient with me</t>
  </si>
  <si>
    <t>doublesymmetry-react-native-track-player-1477</t>
  </si>
  <si>
    <t xml:space="preserve">App is crashing on IOS after deployment or in test-flight. Working fine locally. </t>
  </si>
  <si>
    <t xml:space="preserve">  Describe the Bug  _x000D_
The app is crashing on IOS after deployment on Appstore or Test flight  Working fine locally  _x000D_
_x000D_
  Steps To Reproduce  _x000D_
Deploy the app on Appstore or create a test flight  Working fine on debug mode  Crashing on release mode for IOS _x000D_
_x000D_
  Code To Reproduce  _x000D_
Here is the code when we load songs _x000D_
_x000D_
   _x000D_
export const getMusicByTitle   (title  setAnimation)    dispatch     _x000D_
  setAnimation(true) _x000D_
  axios_x000D_
     get(   Api  music searchMusic title   title  )_x000D_
     then(async res     _x000D_
      let arr      _x000D_
      res  data  musics forEach(x     _x000D_
        arr push( _x000D_
          id: x  id _x000D_
          url: x audioUrl _x000D_
          title: x title _x000D_
          artist: x Artist _x000D_
          artwork: x audioUrl _x000D_
         ) _x000D_
       ) _x000D_
      await TrackPlayer destroy() _x000D_
      await TrackPlayer setupPlayer() _x000D_
      await TrackPlayer add(arr) _x000D_
      dispatch(musicData(res  data)) _x000D_
      setAnimation(false) _x000D_
     )_x000D_
     catch(err     _x000D_
      setAnimation(false) _x000D_
     ) _x000D_
  _x000D_
_x000D_
   _x000D_
  Environment Info:  _x000D_
_x000D_
  Paste the results of  npx react native info _x000D_
 Fetching system and libraries information   _x000D_
(node:7414) Warning: Accessing non existent property  padLevels  of module exports inside circular dependency_x000D_
(Use  node   trace warnings      to show where the warning was created)_x000D_
System:_x000D_
    OS: macOS 12 3 1_x000D_
    CPU: (4) x64 Intel(R) Core(TM) i5 5257U CPU   2 70GHz_x000D_
    Memory: 23 26 MB   8 00 GB_x000D_
    Shell: 3 2 57    bin bash_x000D_
  Binaries:_x000D_
    Node: 14 19 0      nvm versions node v14 19 0 bin node_x000D_
    Yarn: 1 19 1    usr local bin yarn_x000D_
    npm: 6 14 16      nvm versions node v14 19 0 bin npm_x000D_
    Watchman: 4 9 0    usr local bin watchman_x000D_
  Managers:_x000D_
    CocoaPods: 1 11 2    usr local bin pod_x000D_
  SDKs:_x000D_
    iOS SDK:_x000D_
      Platforms: DriverKit 21 4  iOS 15 4  macOS 12 3  tvOS 15 4  watchOS 8 5_x000D_
    Android SDK:_x000D_
      API Levels: 23  25  28  29  30_x000D_
      Build Tools: 30 0 2  32 0 0_x000D_
      System Images: android 29   Google APIs Intel x86 Atom  android 30   Intel x86 Atom 64  android 30   Google APIs Intel x86 Atom  android 30   Google APIs Intel x86 Atom 64_x000D_
      Android NDK: Not Found_x000D_
  IDEs:_x000D_
    Android Studio: 2021 1 AI 211 7628 21 2111 8193401_x000D_
    Xcode: 13 3 13E113    usr bin xcodebuild_x000D_
  Languages:_x000D_
    Java: 1 8 0 222    usr bin javac_x000D_
  npmPackages:_x000D_
     react native community cli: Not Found_x000D_
    react: 17 0 1    17 0 1 _x000D_
    react native: 0 64 2    0 64 2 _x000D_
    react native macos: Not Found_x000D_
  npmGlobalPackages:_x000D_
     react native : Not Found _x000D_
  Paste the exact  react native track player  version you are using_x000D_
     react native track player :   2 1 2  _x000D_
_x000D_
  Real device  Or simulator _x000D_
real Device_x000D_
_x000D_
  What OS are you running _x000D_
IOS_x000D_
</t>
  </si>
  <si>
    <t>XiangRongLin-NewPipe-preuinified-25</t>
  </si>
  <si>
    <t>0.21.15 won't play videos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</si>
  <si>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21 15_x000D_
_x000D_
    Steps to reproduce the bug_x000D_
    _x000D_
1  Go to      _x000D_
2  Press on       _x000D_
3  Swipe down to       _x000D_
    Play any video_x000D_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This should play videos_x000D_
_x000D_
    Actual behaviour_x000D_
     Tell us what happens instead      Nothing  The loading icon just keeps spinning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image (https:  user images githubusercontent com 99590696 163670866 159d66f2 2d9d 4113 8b1b 1f674ee2d746 png)_x000D_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n a</t>
  </si>
  <si>
    <t>khpylon-MachEWidget-12</t>
  </si>
  <si>
    <t>Bugs in new "profile" test implementation</t>
  </si>
  <si>
    <t xml:space="preserve">I installed the new update you gave me (7pmish on 4 15) and it immediately crashed  Opened successfully on next attempt to open app _x000D_
_x000D_
Logcat:_x000D_
 machewidget logcat 04 15 19 20 04 txt (https:  github com khpylon MachEWidget files 8498881 machewidget logcat 04 15 19 20 04 txt)_x000D_
</t>
  </si>
  <si>
    <t>patzly-grocy-android-518</t>
  </si>
  <si>
    <t>App crashes when adding unknown product with barcode in purchase mode</t>
  </si>
  <si>
    <t xml:space="preserve">Build:   F Droid  _x000D_
Version:   2 2 0  _x000D_
_x000D_
   Details_x000D_
_x000D_
When starting after the crash:_x000D_
_x000D_
  unknown product is added to  Master data _x000D_
  does not have a barcode assigned_x000D_
  all other information are saved_x000D_
  is not purchased (only added to  Master data )_x000D_
_x000D_
   Other attempts_x000D_
_x000D_
  when adding an unknown product manually (without barcode) in purchase mode  there is no crash _x000D_
  when adding a known product with barcode there is no crash_x000D_
_x000D_
   Errorlog_x000D_
_x000D_
   _x000D_
          beginning of main_x000D_
          beginning of crash_x000D_
04 15 15:29:12 605 11782 11782 E AndroidRuntime: FATAL EXCEPTION: main_x000D_
04 15 15:29:12 605 11782 11782 E AndroidRuntime: Process: xyz zedler patrick grocy  PID: 11782_x000D_
04 15 15:29:12 605 11782 11782 E AndroidRuntime: java lang NullPointerException: Attempt to invoke virtual method  java lang Object androidx lifecycle LiveData getValue()  on a null object reference_x000D_
04 15 15:29:12 605 11782 11782 E AndroidRuntime: at xyz zedler patrick grocy util BindingAdaptersUtil setErrorMessage( BindingAdaptersUtil java:1 (http:  bindingadaptersutil java:1 ))_x000D_
04 15 15:29:12 605 11782 11782 E AndroidRuntime: at xyz zedler patrick grocy databinding FragmentChooseProductBindingImpl executeBindings( FragmentChooseProductBindingImpl java:69 (http:  fragmentchooseproductbindingimpl java:69 ))_x000D_
04 15 15:29:12 605 11782 11782 E AndroidRuntime: at androidx databinding ViewDataBinding executePendingBindings( ViewDataBinding java:5 (http:  viewdatabinding java:5 ))_x000D_
04 15 15:29:12 605 11782 11782 E AndroidRuntime: at androidx databinding ViewDataBinding 7 run (http:  7 run )( ViewDataBinding java:19 (http:  viewdatabinding java:19 ))8 doFrame( ViewDataBinding java:3 (http:  viewdatabinding java:3 ))_x000D_
04 15 15:29:12 605 11782 11782 E AndroidRuntime: at android view Choreographer CallbackRecord run (http:  callbackrecord run )( Choreographer java:1008 (http:  choreographer java:1008 )) FrameDisplayEventReceiver run (http:  framedisplayeventreceiver run )( Choreographer java:995 (http:  choreographer java:995 ))_x000D_
04 15 15:29:12 605 11782 11782 E AndroidRuntime: at android os Handler handleCallback( Handler java:938 (http:  handler java:938 ))_x000D_
04 15 15:29:12 605 11782 11782 E AndroidRuntime: at android os Handler dispatchMessage( Handler java:99 (http:  handler java:99 ))_x000D_
04 15 15:29:12 605 11782 11782 E AndroidRuntime: at android os Looper loop( Looper java:246 (http:  looper java:246 ))_x000D_
04 15 15:29:12 605 11782 11782 E AndroidRuntime: at  android app (http:  android app ) ActivityThread main( ActivityThread java:8587 (http:  activitythread java:8587 ))_x000D_
04 15 15:29:12 605 11782 11782 E AndroidRuntime: at java lang reflect Method invoke(Native Method)_x000D_
04 15 15:29:12 605 11782 11782 E AndroidRuntime: at  com android (http:  com android ) internal os RuntimeInit  MethodAndArgsCaller run (http:  methodandargscaller run )( RuntimeInit java:602 (http:  runtimeinit java:602 ))_x000D_
04 15 15:29:12 605 11782 11782 E AndroidRuntime: at  com android (http:  com android ) internal os ZygoteInit main( ZygoteInit java:1130 (http:  zygoteinit java:1130 ))_x000D_
04 15 15:29:24 751 12233 12233 E r patrick groc: Not starting debugger since process cannot load the jdwp agent _x000D_
          beginning of system_x000D_
   </t>
  </si>
  <si>
    <t>Woosmap-geofencing-android-sdk-78</t>
  </si>
  <si>
    <t>[PROD] McDonald's application crashed with an error message linked to the Geofencing SDK</t>
  </si>
  <si>
    <t xml:space="preserve">  Module Page_x000D_
Geofence    Search POI_x000D_
_x000D_
  Current behaviour  _x000D_
As a McDonald developer  when I test the McDonald s applicaton  then the app crashs with an error message linked to the Geofencing SDK_x000D_
_x000D_
  Expected behaviour  _x000D_
As a McDonald developer  when I test the McDonald s applicaton  then the app doesn t crash </t>
  </si>
  <si>
    <t>PojavLauncherTeam-PojavLauncher-3093</t>
  </si>
  <si>
    <t xml:space="preserve">fix vrigl renderer crash latest github pojav </t>
  </si>
  <si>
    <t xml:space="preserve">    Describe the bug
crashing when using virgl renderer
    The log file and images videos
_x000D_
     Minecraft Crash Report     _x000D_
   Don t be sad  have a hug   3_x000D_
_x000D_
Time: 4 15 22  10:11 AM_x000D_
Description: Initializing game_x000D_
_x000D_
java lang IllegalStateException: Failed to initialize GLFW  errors: _x000D_
	at com mojang blaze3d platform GLX  initGlfw(GLX java:76)_x000D_
	at com mojang blaze3d systems RenderSystem initBackendSystem(RenderSystem java:660)_x000D_
	at dyr  init (SourceFile:473)_x000D_
	at net minecraft client main Main main(SourceFile:197)_x000D_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_x000D_
_x000D_
A detailed walkthrough of the error  its code path and all known details is as follows:_x000D_
                                                                                       _x000D_
_x000D_
   Head   _x000D_
Thread: Render thread_x000D_
Stacktrace:_x000D_
	at com mojang blaze3d platform GLX  initGlfw(GLX java:76)_x000D_
	at com mojang blaze3d systems RenderSystem initBackendSystem(RenderSystem java:660)_x000D_
	at dyr  init (SourceFile:473)_x000D_
_x000D_
   Initialization   _x000D_
Details:_x000D_
	Modules: _x000D_
Stacktrace:_x000D_
	at net minecraft client main Main main(SourceFile:197)_x000D_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_x000D_
   System Details   _x000D_
Details:_x000D_
	Minecraft Version: 1 18 2_x000D_
	Minecraft Version ID: 1 18 2_x000D_
	Operating System: Linux (arm) version Android 10_x000D_
	Java Version: 17 internal  N A_x000D_
	Java VM Version: OpenJDK Server VM (mixed mode)  Oracle Corporation_x000D_
	Memory: 424051144 bytes (404 MiB)   1027604480 bytes (980 MiB) up to 1027604480 bytes (980 MiB)_x000D_
	CPUs: 8_x000D_
	Processor Vendor: 0x41_x000D_
	Processor Name: ARMv8 Processor rev 4 (v8l)_x000D_
	Identifier: 0x41 Family 8 Model 0xd03 Stepping r0x0p4_x000D_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4601 28_x000D_
	Virtual memory used (MB): 3548 99_x000D_
	Swap memory total (MB): 2684 08_x000D_
	Swap memory used (MB): 740 09_x000D_
	JVM Flags: 2 total   Xms980M  Xmx980M_x000D_
	Launched Version: 1 18 2_x000D_
	Backend library: LWJGL version 3 2 3 SNAPSHOT_x000D_
	Backend API: Unknown_x000D_
	Window size:  not initialized _x000D_
	GL Caps: Using framebuffer using OpenGL 3 2_x000D_
	GL debug messages:  disabled _x000D_
	Using VBOs: Yes_x000D_
	Is Modded: Very likely  Client jar signature invalidated_x000D_
	Type: Client (map client txt)_x000D_
	CPU:  unknown _x000D_
	OptiFine Version: OptiFine 1 18 2 HD U H6_x000D_
	OptiFine Build: 20220313 160847_x000D_
	Render Distance Chunks: 2_x000D_
	Mipmaps: 0_x000D_
	Anisotropic Filtering: 1_x000D_
	Antialiasing: 0_x000D_
	Multitexture: false_x000D_
	Shaders: null_x000D_
	OpenGlVersion: null_x000D_
	OpenGlRenderer: null_x000D_
	OpenGlVendor: null_x000D_
	CpuCount: 8
    Steps To Reproduce
   markdown
1 open pojav _x000D_
2  uses virgl renderer_x000D_
3 crash
    Expected Behavior
i dunno wut to put here
    Platform
   markdown
  Device model: Huawei y6p _x000D_
  CPU architecture: aarch32 _x000D_
  Android version: Android 10 _x000D_
  PojavLauncher version: latest github pojav
    Anything else 
i dunno</t>
  </si>
  <si>
    <t>itsaky-AndroidIDE-161</t>
  </si>
  <si>
    <t>[BUG] Editor crash while deleting text</t>
  </si>
  <si>
    <t xml:space="preserve">   _x000D_
AndroidIDE crash report_x000D_
Manufacturer: samsung_x000D_
Device: SM F127G_x000D_
App version: 2 0 1 beta (201)_x000D_
_x000D_
 Stacktrace: _x000D_
java lang NullPointerException: Attempt to read from field  int io github rosemoe sora text CharPosition line  on a null object reference_x000D_
	at io github rosemoe sora text CachedIndexer afterDelete(CachedIndexer java:440)_x000D_
	at io github rosemoe sora text Content dispatchAfterDelete(Content java:835)_x000D_
	at io github rosemoe sora text Content deleteInternal(Content java:505)_x000D_
	at io github rosemoe sora text Content delete(Content java:407)_x000D_
	at io github rosemoe sora widget CodeEditor deleteText(CodeEditor java:1625)_x000D_
	at io github rosemoe sora widget CodeEditor onKeyDown(CodeEditor java:3417)_x000D_
	at android view KeyEvent dispatch(KeyEvent java:3624)_x000D_
	at android view View dispatchKeyEvent(View java:15050)_x000D_
	at android view ViewGroup dispatchKeyEvent(ViewGroup java:1986)_x000D_
	at android view ViewGroup dispatchKeyEvent(ViewGroup java:1986)_x000D_
	at android view ViewGroup dispatchKeyEvent(ViewGroup java:1986)_x000D_
	at android view ViewGroup dispatchKeyEvent(ViewGroup java:1986)_x000D_
	at android view ViewGroup dispatchKeyEvent(ViewGroup java:1986)_x000D_
	at android view ViewGroup dispatchKeyEvent(ViewGroup java:1986)_x000D_
	at android view ViewGroup dispatchKeyEvent(ViewGroup java:1986)_x000D_
	at android view ViewGroup dispatchKeyEvent(ViewGroup java:1986)_x000D_
	at android view ViewGroup dispatchKeyEvent(ViewGroup java:1986)_x000D_
	at android view ViewGroup dispatchKeyEvent(ViewGroup java:1986)_x000D_
	at com android internal policy DecorView superDispatchKeyEvent(DecorView java:903)_x000D_
	at com android internal policy PhoneWindow superDispatchKeyEvent(PhoneWindow java:1947)_x000D_
	at android app Activity dispatchKeyEvent(Activity java:4142)_x000D_
	at androidx core app ComponentActivity superDispatchKeyEvent(ComponentActivity java:122)_x000D_
	at androidx core view KeyEventDispatcher dispatchKeyEvent(KeyEventDispatcher java:84)_x000D_
	at androidx core app ComponentActivity dispatchKeyEvent(ComponentActivity java:140)_x000D_
	at androidx appcompat app AppCompatActivity dispatchKeyEvent(AppCompatActivity java:599)_x000D_
	at androidx appcompat view WindowCallbackWrapper dispatchKeyEvent(WindowCallbackWrapper java:59)_x000D_
	at androidx appcompat app AppCompatDelegateImpl AppCompatWindowCallback dispatchKeyEvent(AppCompatDelegateImpl java:3090)_x000D_
	at com android internal policy DecorView dispatchKeyEvent(DecorView java:758)_x000D_
	at android view ViewRootImpl ViewPostImeInputStage processKeyEvent(ViewRootImpl java:7365)_x000D_
	at android view ViewRootImpl ViewPostImeInputStage onProcess(ViewRootImpl java:7191)_x000D_
	at android view ViewRootImpl InputStage deliver(ViewRootImpl java:6595)_x000D_
	at android view ViewRootImpl InputStage onDeliverToNext(ViewRootImpl java:6652)_x000D_
	at android view ViewRootImpl InputStage forward(ViewRootImpl java:6618)_x000D_
	at android view ViewRootImpl AsyncInputStage forward(ViewRootImpl java:6786)_x000D_
	at android view ViewRootImpl InputStage apply(ViewRootImpl java:6626)_x000D_
	at android view ViewRootImpl AsyncInputStage apply(ViewRootImpl java:6843)_x000D_
	at android view ViewRootImpl InputStage deliver(ViewRootImpl java:6599)_x000D_
	at android view ViewRootImpl InputStage onDeliverToNext(ViewRootImpl java:6652)_x000D_
	at android view ViewRootImpl InputStage forward(ViewRootImpl java:6618)_x000D_
	at android view ViewRootImpl InputStage apply(ViewRootImpl java:6626)_x000D_
	at android view ViewRootImpl InputStage deliver(ViewRootImpl java:6599)_x000D_
	at android view ViewRootImpl deliverInputEvent(ViewRootImpl java:9880)_x000D_
	at android view ViewRootImpl doProcessInputEvents(ViewRootImpl java:9718)_x000D_
	at android view ViewRootImpl enqueueInputEvent(ViewRootImpl java:9671)_x000D_
	at android view ViewRootImpl ViewRootHandler handleMessage(ViewRootImpl java:6206)_x000D_
	at android os Handler dispatchMessage(Handler java:106)_x000D_
	at android os Looper loop(Looper java:246)_x000D_
	at android app ActivityThread main(ActivityThread java:8633)_x000D_
	at java lang reflect Method invoke(Native Method)_x000D_
	at com android internal os RuntimeInit MethodAndArgsCaller run(RuntimeInit java:602)_x000D_
	at com android internal os ZygoteInit main(ZygoteInit java:1130)_x000D_
   </t>
  </si>
  <si>
    <t>doublesymmetry-react-native-track-player-1475</t>
  </si>
  <si>
    <t>FATAL EXCEPTION: mqt_native_modules using v2.2.0-rc3 in release build</t>
  </si>
  <si>
    <t xml:space="preserve">  Describe the Bug  _x000D_
Just trying out  v2 2 0 rc3  and I was able to test in debug mode somewhat fine  but in release mode I m seeing this crash 100  of the time on app launch  kills the app completely:_x000D_
_x000D_
   _x000D_
FATAL EXCEPTION: mqt native modules_x000D_
_x000D_
kotlin w: lateinit property player has not been initialized_x000D_
_x000D_
FATAL EXCEPTION: mqt native modules_x000D_
Process: com subtracks  PID: 3466_x000D_
kotlin w: lateinit property player has not been initialized_x000D_
	at com doublesymmetry trackplayer service MusicService L(Unknown Source:6)_x000D_
	at com doublesymmetry trackplayer module MusicModule getQueue(Unknown Source:22)_x000D_
	at java lang reflect Method invoke(Native Method)_x000D_
	at com facebook react bridge JavaMethodWrapper invoke(Unknown Source:148)_x000D_
	at com facebook react bridge JavaModuleWrapper invoke(Unknown Source:147)_x000D_
	at com facebook react bridge queue NativeRunnable run(Native Method)_x000D_
	at android os Handler handleCallback(Handler java:938)_x000D_
	at android os Handler dispatchMessage(Handler java:99)_x000D_
	at com facebook react bridge queue MessageQueueThreadHandler dispatchMessage(Unknown Source:0)_x000D_
	at android os Looper loopOnce(Looper java:201)_x000D_
	at android os Looper loop(Looper java:288)_x000D_
	at com facebook react bridge queue MessageQueueThreadImpl 4 run(Unknown Source:37)_x000D_
	at java lang Thread run(Thread java:920)_x000D_
   _x000D_
_x000D_
  Steps To Reproduce  _x000D_
Not sure where to start but you can build subtracks and see the problem on my branch here if you want: https:  github com austinried subtracks tree react native track player next_x000D_
_x000D_
  Code To Reproduce  _x000D_
https:  github com austinried subtracks tree react native track player next_x000D_
_x000D_
  Environment Info:  _x000D_
Paste the results of  npx react native info _x000D_
   _x000D_
System:_x000D_
    OS: Linux 5 4 Ubuntu 20 04 4 LTS (Focal Fossa)_x000D_
    CPU: (8) x64 Intel(R) Core(TM) i7 8650U CPU   1 90GHz_x000D_
    Memory: 158 45 MB   15 39 GB_x000D_
    Shell: 5 0 17    bin bash_x000D_
  Binaries:_x000D_
    Node: 14 19 1    tmp yarn  1650003558066 0 14211410378890887 node_x000D_
    Yarn: 1 22 18    tmp yarn  1650003558066 0 14211410378890887 yarn_x000D_
    npm: 6 14 16      nvm versions node v14 19 1 bin npm_x000D_
    Watchman: 4 9 0    usr bin watchman_x000D_
  SDKs:_x000D_
    Android SDK:_x000D_
      Android NDK: 22 1 7171670_x000D_
  IDEs:_x000D_
    Android Studio: Not Found_x000D_
  Languages:_x000D_
    Java: 11 0 12    home austin  sdkman candidates java current bin javac_x000D_
  npmPackages:_x000D_
     react native community cli: Not Found_x000D_
    react: 17 0 2    17 0 2 _x000D_
    react native: 0 67 4    0 67 4 _x000D_
  npmGlobalPackages:_x000D_
     react native : Not Found_x000D_
   _x000D_
Paste the exact  react native track player  version you are using_x000D_
   2 2 0 rc3 _x000D_
_x000D_
Real device  Or simulator _x000D_
  Two simulated devices (one running Android 12  the other Android 9) one real device (Pixel 4 Android 12)_x000D_
_x000D_
What OS are you running _x000D_
  Ubuntu 20 04_x000D_
_x000D_
  How I can Help  _x000D_
What can you do to help resolve this _x000D_
  I can test suggested changes_x000D_
_x000D_
Have you investigated the underlying JS or Swift Android code causing this bug _x000D_
  No  I can try but I have very little Java experience and none in Kotlin_x000D_
_x000D_
Can you create a Pull Request with a fix _x000D_
  Probably not_x000D_
</t>
  </si>
  <si>
    <t>mercadopago-px-android-2710</t>
  </si>
  <si>
    <t>[PXN-3673] added default message to avoid crash in dialog message</t>
  </si>
  <si>
    <t xml:space="preserve">      Escribir un resumen de los cambios en el T tulo de arriba    _x000D_
_x000D_
   Motivaci n y Contexto_x000D_
Bugsnag: https:  app bugsnag com mercadolibre mercado pago android errors 625091669179eb00096947d2 event id 6257f3cf009358a2e2920000 i jr m li_x000D_
_x000D_
These changes are to avoid a crash that occurs when the user clicks on a payment method that is not available and when the dialog is displayed  the message returns null _x000D_
 Maybe the backend response has been modified and the message fields are not returning what is causing the crash  _x000D_
_x000D_
Example mock up with the problem: https:  run mocky io v3 50064a16 9da5 40df b58c 3745fc77e32f_x000D_
_x000D_
   Descripci n_x000D_
I made 2 changes in the DisabledPaymentMethodDetailDialog class to avoid crash and display a default message in some cases  For example: You can not use this payment method _x000D_
_x000D_
   C mo probarlo_x000D_
You can try using this mock: https:  run mocky io v3 50064a16 9da5 40df b58c 3745fc77e32f and select a disabled payment method and click it to show detail dialog  _x000D_
_x000D_
   Screenshots_x000D_
 h3 Error:  h3 _x000D_
 a href  https:  ibb co nmBZFst   img src  https:  i ibb co nmBZFst pxn3673 crash gif  alt  pxn3673 crash  border  0    a _x000D_
_x000D_
 h3 Fix:  h3 _x000D_
 a href  https:  ibb co dMC9qJX   img src  https:  i ibb co dMC9qJX pxn3673 fix gif  alt  pxn3673 fix  border  0    a _x000D_
_x000D_
_x000D_
   Tipo de cambio (para el release manager)_x000D_
      Breaking change (Fix o feature que cambia una funcionalidad existente o rompe firmas)_x000D_
     Describir qu  cambia y como se hace la migraci n    _x000D_
      Mi cambio afecta a los integradores internos_x000D_
     Describir a qu  equipos afecta para poder comunicarlo    _x000D_
_x000D_
   Compartir conocimiento_x000D_
      Compartir links a blog posts  patrones o librer as que se usaron para resolver este problema    _x000D_
</t>
  </si>
  <si>
    <t>Orange-OpenSource-ods-android-98</t>
  </si>
  <si>
    <t>[Bug]: Impossible to go to "Components": Crash</t>
  </si>
  <si>
    <t xml:space="preserve">    Prerequisites
   X  I have  searched the backlog (https:  github com Orange OpenSource ods ios issues) for duplicate or closed feature requests
    Your test device
Samsung   Galaxy A5 (2016)   SM A510F
    OS Version
Android 7 0
    App version
1 0 (1) Last merged PR: 20 ods component bottom navigation
    Describe the issue
Going to  Guidelines    Modules  and  About  works perfectly  Switching light dark modes as well _x000D_
But when I go to  Components   the application crashes 
    Expected Behavior
Be able to see the content of the  Components  page </t>
  </si>
  <si>
    <t>itsaky-AndroidIDE-160</t>
  </si>
  <si>
    <t>[BUG] Toast in a background thread</t>
  </si>
  <si>
    <t xml:space="preserve">  Describe the bug  _x000D_
     Write a clear and concise description of what the bug is     _x000D_
_x000D_
  To Reproduce  _x000D_
Steps to reproduce the behavior:_x000D_
     Write steps to reproduce this bug    _x000D_
_x000D_
  Expected behavior  _x000D_
     Write a clear and concise description of what you expected to happen     _x000D_
_x000D_
  Screenshots  _x000D_
     If applicable  add screenshots to help explain your problem     _x000D_
_x000D_
  Details (please complete the following information):  _x000D_
AndroidIDE crash report_x000D_
Manufacturer: OnePlus_x000D_
Device: OnePlus7TPro_x000D_
App version: 2 0 1 beta (201)_x000D_
_x000D_
 Stacktrace: _x000D_
java lang RuntimeException: Can t toast on a thread that has not called Looper prepare()_x000D_
	at android widget Toast TN  init (Toast java:423)_x000D_
	at android widget Toast  init (Toast java:134)_x000D_
	at android widget Toast makeText(Toast java:299)_x000D_
	at android widget Toast makeText(Toast java:289)_x000D_
	at com itsaky toaster Toaster show(Toaster java:112)_x000D_
	at com itsaky androidide utils StudioUtils toast(StudioUtils java:43)_x000D_
	at com itsaky androidide app BaseApplication toast(BaseApplication java:212)_x000D_
	at com itsaky androidide services builder IDEService lambda readIdeProject 1 com itsaky androidide services builder IDEService(IDEService java:184)_x000D_
	at com itsaky androidide services builder IDEService  ExternalSyntheticLambda1 run(Unknown Source:4)_x000D_
	at java lang Thread run(Thread java:919)_x000D_
_x000D_
_x000D_
  Additional context  _x000D_
     Add any other context about the problem here     _x000D_
</t>
  </si>
  <si>
    <t>hzi-braunschweig-SORMAS-Project-8832</t>
  </si>
  <si>
    <t>Permanent deletion of source cases can leave contacts without a jurisdiction</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</si>
  <si>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Mandatory    _x000D_
We ve recently introduced  7942 which can be set up to happen automatically  However  when automatically deleting source cases of contacts that don t have their own jurisdiction (because they re adapting the jurisdiction of the source case)  permanently deleting this source case leaves the contacts without a jurisdiction  essentially hiding it from most users and also leading to a functionally invalid state _x000D_
_x000D_
    Steps to Reproduce_x000D_
     Optional  please add more steps if necessary    _x000D_
1  Create a case_x000D_
2  Create at least one contact for that case  leave the jurisdiction empty_x000D_
3  Let the case be permanently deleted_x000D_
_x000D_
    Expected Behavior_x000D_
     Optional    _x000D_
When permanently deleting a case  check the contacts of the case  for any contact with an empty jurisdiction (i e  no region and district)  set the jurisdiction to the responsible jurisdiction of the case _x000D_
_x000D_
    Screenshots_x000D_
     Optional    _x000D_
_x000D_
    System Details_x000D_
     Mandatory  you only have to specify the Server URL if the error appeared on a publicly available test server    _x000D_
  Device:_x000D_
  SORMAS version: 1 70 2 or 1 71 0_x000D_
  Android version Browser:_x000D_
  Server URL:_x000D_
  User Role:_x000D_
_x000D_
    Additional Information_x000D_
The issue can also be reproduced via soft deletion in the UI _x000D_
_x000D_
1  Create a Case _x000D_
2  Create a Contact and choose the Case from step 1 as Source Case _x000D_
3  Delete the Case from step 1 _x000D_
4  Choose  No  in the following pop up:_x000D_
  image (https:  user images githubusercontent com 89522688 163386562 03cf14cc 097c 46ff 984b 663f6d90566c png)_x000D_
5  Open the Contact created in step 2 _x000D_
_x000D_
   The  Responsible Region  and  Responsible District  fields are empty  even though they are mandatory _x000D_
However  the disease has been adopted from the Case _x000D_
_x000D_
  image (https:  user images githubusercontent com 89522688 163386649 d3c78f09 5c1d 45bb 8c52 1d4df868f968 png)_x000D_
  image (https:  user images githubusercontent com 89522688 163386699 cab60319 dc45 48b9 a9d0 4305e8bfa4bb png)_x000D_
_x000D_
_x000D_
Also  when the user refreshes the page  an the system crashes:_x000D_
_x000D_
  image (https:  user images githubusercontent com 89522688 163401391 a25675d2 97aa 46a9 a8a3 9794155019e2 png)_x000D_
</t>
  </si>
  <si>
    <t>doublesymmetry-react-native-track-player-1474</t>
  </si>
  <si>
    <t>Android app crashing when starting playing a mp3 after upgrading from RN 0.60.5 to 0.67.4</t>
  </si>
  <si>
    <t xml:space="preserve">  Describe the Bug  _x000D_
_x000D_
We use this plugin since a while with RN 0 60 5 and v 2 0 0 rc13  after upgrading to RN 0 67 4 we started having issues like exoplayer2 missing etc    so we added it as well _x000D_
_x000D_
But now right when we start to play a MP3 the app crash _x000D_
_x000D_
React code we use to play the MP3:_x000D_
_x000D_
   _x000D_
async play(sound: string): Promise void   _x000D_
    if (this state playerReady)  _x000D_
      try  _x000D_
        await TrackPlayer reset() _x000D_
        const track: Track    _x000D_
          id: sound _x000D_
          url: sound _x000D_
          title:  mp3  _x000D_
          artist:  Sounds _x000D_
          _x000D_
        await TrackPlayer add(track) _x000D_
        TrackPlayer play() _x000D_
        console log( added track   track) _x000D_
        catch (e)  _x000D_
        console log(e) _x000D_
       _x000D_
     _x000D_
   _x000D_
   _x000D_
_x000D_
Error:_x000D_
_x000D_
E AndroidRuntime: FATAL EXCEPTION: mqt native modules_x000D_
    Process: XXXXX  PID: 11100_x000D_
    java lang NullPointerException: Attempt to invoke virtual method  double java lang Double doubleValue()  on a null object reference_x000D_
        at com facebook react bridge ReadableNativeArray getDouble(ReadableNativeArray java:92)_x000D_
        at com facebook react bridge JavaMethodWrapper 4 extractArgument(JavaMethodWrapper java:64)_x000D_
        at com facebook react bridge JavaMethodWrapper 4 extractArgument(JavaMethodWrapper java:60)_x000D_
        at com facebook react bridge JavaMethodWrapper invoke(JavaMethodWrapper java:356)_x000D_
        at com facebook react bridge JavaModuleWrapper invoke(JavaModuleWrapper java:188)_x000D_
        at com facebook react bridge queue NativeRunnable run(Native Method)_x000D_
        at android os Handler handleCallback(Handler java:938)_x000D_
        at android os Handler dispatchMessage(Handler java:99)_x000D_
        at com facebook react bridge queue MessageQueueThreadHandler dispatchMessage(MessageQueueThreadHandler java:27)_x000D_
        at android os Looper loopOnce(Looper java:201)_x000D_
        at android os Looper loop(Looper java:288)_x000D_
        at com facebook react bridge queue MessageQueueThreadImpl 4 run(MessageQueueThreadImpl java:226)_x000D_
        at java lang Thread run(Thread java:920)_x000D_
_x000D_
_x000D_
_x000D_
  Environment Info:  _x000D_
_x000D_
System:_x000D_
    OS: macOS 12 2 1_x000D_
    CPU: (8) x64 Apple M1_x000D_
    Memory: 24 13 MB   16 00 GB_x000D_
    Shell: 5 8    bin zsh_x000D_
  Binaries:_x000D_
    Node: 12 22 4      nvm versions node v12 22 4 bin node_x000D_
    Yarn: 1 22 10    usr local bin yarn_x000D_
    npm: 7 24 1      nvm versions node v12 22 4 bin npm_x000D_
    Watchman: Not Found_x000D_
  Managers:_x000D_
    CocoaPods: 1 11 3    Users seb  rvm gems ruby 2 7 1 bin pod_x000D_
  SDKs:_x000D_
    iOS SDK:_x000D_
      Platforms: DriverKit 21 4  iOS 15 4  macOS 12 3  tvOS 15 4  watchOS 8 5_x000D_
    Android SDK:_x000D_
      API Levels: 29  30  31_x000D_
      Build Tools: 29 0 2  29 0 3  30 0 2  30 0 3  31 0 0  32 0 0_x000D_
      System Images: android 25   Google APIs ARM 64 v8a  android 26   ARM 64 v8a  android 30   Google APIs ARM 64 v8a  android 30   Google APIs Intel x86 Atom  android 30   Google Play Intel x86 Atom  android S   Google APIs ARM 64 v8a  android S   Google Play ARM 64 v8a_x000D_
      Android NDK: 22 1 7171670_x000D_
  IDEs:_x000D_
    Android Studio: 2021 1 AI 211 7628 21 2111 8309675_x000D_
    Xcode: 13 3 1 13E500a    usr bin xcodebuild_x000D_
  Languages:_x000D_
    Java: 16 0 2    usr bin javac_x000D_
  npmPackages:_x000D_
     react native community cli: Not Found_x000D_
    react: 17 0 2    17 0 2 _x000D_
    react native: 0 67 4    0 67 4 _x000D_
    react native macos: Not Found_x000D_
  npmGlobalPackages:_x000D_
     react native : Not Found_x000D_
_x000D_
_x000D_
Any one else managed to make the plugin works with 0 67 4  _x000D_
Any help would be appreciated _x000D_
_x000D_
Note: on iOS all works like a charm as always_x000D_
_x000D_
_x000D_
_x000D_
</t>
  </si>
  <si>
    <t>microg-GmsCore-1703</t>
  </si>
  <si>
    <t>App crashes on start</t>
  </si>
  <si>
    <t xml:space="preserve">App crashes on start using latest release  v0 2 24 214816 _x000D_
_x000D_
here s the relevant part of logcat:_x000D_
   _x000D_
04 13 22:03:00 767  1236  3222 I ActivityTaskManager: START u0  flg 0x10000000 cmp cab snapp passenger play cab snapp passenger activities launcher LauncherActivity  from uid 2000_x000D_
04 13 22:03:00 797   719   719 D QCOM PowerHAL: LAUNCH HINT: ON_x000D_
04 13 22:03:00 802   972   989 E ANDR PERF MPCTL: Invalid profile no  0  total profiles 0 only_x000D_
04 13 22:03:00 802   719   719 D QCOM PowerHAL: Activity launch hint handled_x000D_
04 13 22:03:00 805     0     0 I CPU1    : update max cpu capacity 763_x000D_
04 13 22:03:00 805     0     0 I CPU3    : update max cpu capacity 1024_x000D_
04 13 22:03:00 814 12913 12915 I cmd     : oneway function results will be dropped but finished with status OK and parcel size 4_x000D_
04 13 22:03:00 813     0     0 W         : dhd os check wakelock all wakelock c 0 wl 0 wd 0 rx 1 ctl 0 intr 0 scan 0 evt 0_x000D_
04 13 22:03:00 835  1236  1278 D CompatibilityChangeReporter: Compat change id reported: 136274596  UID 10228  state: DISABLED_x000D_
04 13 22:03:00 903 12803 12803 W FA      : setCurrentScreen cannot be called while no activity active_x000D_
04 13 22:03:00 935     0     0 E bcl peripheral: bcl handle vbat Vbat reached Low trip  vbat:3260400_x000D_
04 13 22:03:00 975 12803 12803 W FA      : setCurrentScreen cannot be called while no activity active_x000D_
04 13 22:03:00 989 12803 12923 I FA      : Tag Manager is not found and thus will not be used_x000D_
04 13 22:03:01 002 12803 12803 D AndroidRuntime: Shutting down VM_x000D_
04 13 22:03:01 003 12803 12803 E AndroidRuntime: FATAL EXCEPTION: main_x000D_
04 13 22:03:01 003 12803 12803 E AndroidRuntime: Process: cab snapp passenger play  PID: 12803_x000D_
04 13 22:03:01 003 12803 12803 E AndroidRuntime: java lang RuntimeException: Unable to resume activity  cab snapp passenger play cab snapp passenger activities launcher LauncherActivity : java lang StringIndexOutOfBoundsException: String index out of range:  1_x000D_
04 13 22:03:01 003 12803 12803 E AndroidRuntime: 	at android app ActivityThread performResumeActivity(ActivityThread java:4438)_x000D_
04 13 22:03:01 003 12803 12803 E AndroidRuntime: 	at android app ActivityThread handleResumeActivity(ActivityThread java:4470)_x000D_
04 13 22:03:01 003 12803 12803 E AndroidRuntime: 	at android app servertransaction ResumeActivityItem execute(ResumeActivityItem java:52)_x000D_
04 13 22:03:01 003 12803 12803 E AndroidRuntime: 	at android app servertransaction TransactionExecutor executeLifecycleState(TransactionExecutor java:176)_x000D_
04 13 22:03:01 003 12803 12803 E AndroidRuntime: 	at android app servertransaction TransactionExecutor execute(TransactionExecutor java:97)_x000D_
04 13 22:03:01 003 12803 12803 E AndroidRuntime: 	at android app ActivityThread H handleMessage(ActivityThread java:2066)_x000D_
04 13 22:03:01 003 12803 12803 E AndroidRuntime: 	at android os Handler dispatchMessage(Handler java:106)_x000D_
04 13 22:03:01 003 12803 12803 E AndroidRuntime: 	at android os Looper loop(Looper java:223)_x000D_
04 13 22:03:01 003 12803 12803 E AndroidRuntime: 	at android app ActivityThread main(ActivityThread java:7664)_x000D_
04 13 22:03:01 003 12803 12803 E AndroidRuntime: 	at java lang reflect Method invoke(Native Method)_x000D_
04 13 22:03:01 003 12803 12803 E AndroidRuntime: 	at com android internal os RuntimeInit MethodAndArgsCaller run(RuntimeInit java:592)_x000D_
04 13 22:03:01 003 12803 12803 E AndroidRuntime: 	at com android internal os ZygoteInit main(ZygoteInit java:947)_x000D_
04 13 22:03:01 003 12803 12803 E AndroidRuntime: Caused by: java lang StringIndexOutOfBoundsException: String index out of range:  1_x000D_
04 13 22:03:01 003 12803 12803 E AndroidRuntime: 	at java lang String substring(String java:2064)_x000D_
04 13 22:03:01 003 12803 12803 E AndroidRuntime: 	at cab snapp core units splash SplashInteractor handleDefaultOnUnitResume(SourceFile:9)_x000D_
04 13 22:03:01 003 12803 12803 E AndroidRuntime: 	at cab snapp core units splash SplashInteractor onUnitResume(SourceFile:5)_x000D_
04 13 22:03:01 003 12803 12803 E AndroidRuntime: 	at cab snapp arch protocol BaseController onResume(SourceFile:3)_x000D_
04 13 22:03:01 003 12803 12803 E AndroidRuntime: 	at androidx fragment app Fragment performResume(SourceFile:5)_x000D_
04 13 22:03:01 003 12803 12803 E AndroidRuntime: 	at androidx fragment app FragmentStateManager resume(SourceFile:3)_x000D_
04 13 22:03:01 003 12803 12803 E AndroidRuntime: 	at androidx fragment app FragmentManager moveToState(SourceFile:29)_x000D_
04 13 22:03:01 003 12803 12803 E AndroidRuntime: 	at androidx fragment app FragmentManager moveToState(SourceFile:69)_x000D_
04 13 22:03:01 003 12803 12803 E AndroidRuntime: 	at androidx fragment app FragmentManager moveFragmentToExpectedState(SourceFile:4)_x000D_
04 13 22:03:01 003 12803 12803 E AndroidRuntime: 	at androidx fragment app FragmentManager moveToState(SourceFile:75)_x000D_
04 13 22:03:01 003 12803 12803 E AndroidRuntime: 	at androidx fragment app FragmentManager dispatchStateChange(SourceFile:3)_x000D_
04 13 22:03:01 003 12803 12803 E AndroidRuntime: 	at androidx fragment app FragmentManager dispatchResume(SourceFile:3)_x000D_
04 13 22:03:01 003 12803 12803 E AndroidRuntime: 	at androidx fragment app Fragment performResume(SourceFile:10)_x000D_
04 13 22:03:01 003 12803 12803 E AndroidRuntime: 	at androidx fragment app FragmentStateManager resume(SourceFile:3)_x000D_
04 13 22:03:01 003 12803 12803 E AndroidRuntime: 	at androidx fragment app FragmentManager moveToState(SourceFile:29)_x000D_
04 13 22:03:01 003 12803 12803 E AndroidRuntime: 	at androidx fragment app FragmentManager moveToState(SourceFile:69)_x000D_
04 13 22:03:01 003 12803 12803 E AndroidRuntime: 	at androidx fragment app FragmentManager moveFragmentToExpectedState(SourceFile:4)_x000D_
04 13 22:03:01 003 12803 12803 E AndroidRuntime: 	at androidx fragment app FragmentManager moveToState(SourceFile:75)_x000D_
04 13 22:03:01 003 12803 12803 E AndroidRuntime: 	at androidx fragment app FragmentManager dispatchStateChange(SourceFile:3)_x000D_
04 13 22:03:01 003 12803 12803 E AndroidRuntime: 	at androidx fragment app FragmentManager dispatchResume(SourceFile:3)_x000D_
04 13 22:03:01 003 12803 12803 E AndroidRuntime: 	at androidx fragment app FragmentController dispatchResume(SourceFile:1)_x000D_
04 13 22:03:01 003 12803 12803 E AndroidRuntime: 	at androidx fragment app FragmentActivity onResumeFragments(SourceFile:2)_x000D_
04 13 22:03:01 003 12803 12803 E AndroidRuntime: 	at androidx fragment app FragmentActivity onPostResume(SourceFile:2)_x000D_
04 13 22:03:01 003 12803 12803 E AndroidRuntime: 	at android app Activity performResume(Activity java:8154)_x000D_
04 13 22:03:01 003 12803 12803 E AndroidRuntime: 	at android app ActivityThread performResumeActivity(ActivityThread java:4428)_x000D_
04 13 22:03:01 003 12803 12803 E AndroidRuntime: 	    11 more_x000D_
04 13 22:03:01 102  3253  3279 W System  : A resource failed to call release  _x000D_
04 13 22:03:01 102  3253  3279 I chatty  : uid 10150(com android launcher3) FinalizerDaemon identical 1 line_x000D_
04 13 22:03:01 103  3253  3279 W System  : A resource failed to call release  _x000D_
04 13 22:03:01 115  4362  4362 D MeasurementService: onBind: Intent   act com google android gms measurement START pkg com google android gms  _x000D_
04 13 22:03:02 333     0     0 E bcl peripheral: bcl poll vbat high Vbat reached high clear trip  vbat:3519750_x000D_
04 13 22:03:02 335     0     0 I CPU3    : update max cpu capacity 493_x000D_
04 13 22:03:02 337     0     0 I CPU0    : update max cpu capacity 496_x000D_
04 13 22:03:02 982     0     0 E bcl peripheral: bcl handle vbat Vbat reached Low trip  vbat:3297450_x000D_
04 13 22:03:02 991  4362  4381 D GmsLocManagerSvcImpl: getLastLocationWithPackage: cab snapp passenger play_x000D_
04 13 22:03:02 985     0     0 I CPU0    : update max cpu capacity 763_x000D_
04 13 22:03:02 990     0     0 I CPU2    : update max cpu capacity 1024_x000D_
04 13 22:03:03 020  4362  4381 D GmsLocProviderReal: uh ok: last location for gps is null _x000D_
04 13 22:03:03 051  3044  4890 W TelephonyPermissions: reportAccessDeniedToReadIdentifiers:cab snapp passenger play:getSubscriptionInfoList: 1_x000D_
04 13 22:03:03 082     0     0 E bcl peripheral: bcl poll vbat high Vbat reached high clear trip  vbat:4779450_x000D_
04 13 22:03:03 086     0     0 I CPU2    : update max cpu capacity 493_x000D_
04 13 22:03:03 089     0     0 I CPU0    : update max cpu capacity 496_x000D_
04 13 22:03:03 140  1236 12937 I DropBoxManagerService: add tag data app crash isTagEnabled true flags 0x2_x000D_
04 13 22:03:03 141  1236  6328 W ActivityTaskManager:   Force finishing activity cab snapp passenger play cab snapp passenger activities launcher LauncherActivity_x000D_
04 13 22:03:03 162 12803 12803 I Process : Sending signal  PID: 12803 SIG: 9_x000D_
04 13 22:03:03 184  4362  4381 D GmsLocManagerSvcImpl: getLastLocationWithPackage: cab snapp passenger play_x000D_
04 13 22:03:03 185     0     0 E bcl peripheral: bcl handle vbat Vbat reached Low trip  vbat:3149250_x000D_
04 13 22:03:03 191     0     0 I CPU1    : update max cpu capacity 763_x000D_
04 13 22:03:03 193  1236  6328 I ActivityManager: Process cab snapp passenger play (pid 12803) has died: fg  TOP _x000D_
04 13 22:03:03 195   555   555 I Zygote  : Process 12803 exited due to signal 9 (Killed)_x000D_
04 13 22:03:03 196  4362  4381 D GmsLocProviderReal: uh ok: last location for gps is null _x000D_
04 13 22:03:03 197  1236  1291 I libprocessgroup: Successfully killed process cgroup uid 10228 pid 12803 in 0ms_x000D_
04 13 22:03:03 217  1236  6328 W ActivityManager: Scheduling restart of crashed service cab snapp passenger play com webengage sdk android ExecutorService in 4632ms for start requested_x000D_
04 13 22:03:03 261     0     0 I CPU2    : update max cpu capacity 1024_x000D_
04 13 22:03:03 285     0     0 E bcl peripheral: bcl poll vbat high Vbat reached high clear trip  vbat:4779450_x000D_
04 13 22:03:03 266  1236  1279 W WindowManager: Failed looking up window session Session 1cabd8c 1236:1000  callers com android server wm WindowManagerService windowForClientLocked:5446 com android server wm WindowManagerService removeWindow:1900 com android server wm Session remove:193 _x000D_
04 13 22:03:03 307     0     0 I CPU2    : update max cpu capacity 493_x000D_
04 13 22:03:03 307     0     0 I CPU0    : update max cpu capacity 496_x000D_
04 13 22:03:03 351   719   719 D QCOM PowerHAL: LAUNCH HINT: OFF_x000D_
04 13 22:03:03 353     0     0 I CPU3    : update max cpu capacity 1024_x000D_
04 13 22:03:03 352   972   989 E ANDR PERF RESOURCEQS: Failed to reset optimization  2  1 _x000D_
04 13 22:03:03 355   972   989 E ANDR PERF RESOURCEQS: Failed to reset optimization  2  1 _x000D_
04 13 22:03:03 404  2646  2683 I ndroid systemu: NativeAlloc concurrent copying GC freed 245957(9250KB) AllocSpace objects  0(0B) LOS objects  54  free  10MB 22MB  paused 51us total 243 561ms_x000D_
04 13 22:03:03 645  1236  1278 W ActivityTaskManager: Activity top resumed state loss timeout for ActivityRecord 4cdf078 u0 cab snapp passenger play cab snapp passenger activities launcher LauncherActivity t 1 f  _x000D_
04 13 22:03:03 921     0     0 I FG      : fg soc irq handler: power supply changed by soc irq with msoc 9_x000D_
04 13 22:03:03 933     0     0 E vote    : name BATTCHG SUSPEND   client BATTCHG UNKNOWN BATTERY EN VOTER 0   enabled 0   val 0 _x000D_
04 13 22:03:03 934     0     0 D BATTCHG SUSPEND: BATTCHG UNKNOWN BATTERY EN VOTER 0 same vote off of val 0_x000D_
04 13 22:03:03 934     0     0 D BATTCHG SUSPEND: BATTCHG UNKNOWN BATTERY EN VOTER 0 Ignoring similar vote off of val 0_x000D_
04 13 22:03:03 934     0     0 E vote    : name USB ICL   client PSY ICL VOTER 0   enabled 1   val 0 _x000D_
04 13 22:03:03 934     0     0 D USB ICL : PSY ICL VOTER 0 same vote on of val 0_x000D_
04 13 22:03:03 934     0     0 D USB ICL : PSY ICL VOTER 0 Ignoring similar vote on of val 0_x000D_
04 13 22:03:03 948     0     0 W healthd : battery l 4 v 3576 t 34 2 h 2 st 2 c 189970 chg u_x000D_
   _x000D_
_x000D_
  System  _x000D_
Android Version: 11_x000D_
Custom ROM: LineageOS 18 1_x000D_
</t>
  </si>
  <si>
    <t>nextcloud-android-10076</t>
  </si>
  <si>
    <t>crash while account deletion</t>
  </si>
  <si>
    <t xml:space="preserve">    Steps to reproduce_x000D_
1  Have an inactive Nextcloud instance_x000D_
2  Replace inactive Nextcloud with new one and create account with same user name but other password_x000D_
3  Try to fetch activities in app_x000D_
4  Remove account from app_x000D_
5  Crash_x000D_
_x000D_
    Expected behaviour_x000D_
Ask for new password_x000D_
Or not crash if account is deleted _x000D_
_x000D_
    Actual behaviour_x000D_
Crashed after account deletion_x000D_
_x000D_
    Comment_x000D_
I dont know what caused that crash  I am aware of the unusual conditions but I wanted to include the circumstances _x000D_
_x000D_
    Report from crash_x000D_
_x000D_
            CAUSE OF ERROR             _x000D_
_x000D_
java lang RuntimeException_x000D_
	at com owncloud android ui activities ActivitiesActivity  ExternalSyntheticLambda0 get(Unknown Source)_x000D_
	at com nextcloud java util Optional orElseThrow(Optional java:309)_x000D_
	at com owncloud android ui activity FileDisplayActivity 8 run(FileDisplayActivity java:2061)_x000D_
	at android os Handler handleCallback(Handler java:739)_x000D_
	at android os Handler dispatchMessage(Handler java:95)_x000D_
	at android os Looper loop(Looper java:148)_x000D_
	at android app ActivityThread main(ActivityThread java:5525)_x000D_
	at java lang reflect Method invoke(Native Method)_x000D_
	at com android internal os ZygoteInit MethodAndArgsCaller run(ZygoteInit java:730)_x000D_
	at com android internal os ZygoteInit main(ZygoteInit java:620)_x000D_
_x000D_
             APP INFORMATION             _x000D_
ID: com nextcloud client_x000D_
Version: 30190090_x000D_
Build flavor: generic_x000D_
_x000D_
             DEVICE INFORMATION             _x000D_
Brand: lge_x000D_
Device: p1_x000D_
Model: LG H815_x000D_
Id: MRA58K_x000D_
Product: p1 global com_x000D_
_x000D_
             FIRMWARE             _x000D_
SDK: 23_x000D_
Release: 6 0_x000D_
Incremental: 18092193816c9</t>
  </si>
  <si>
    <t>PojavLauncherTeam-PojavLauncher-3084</t>
  </si>
  <si>
    <t xml:space="preserve">22w14a crashing pojavlauncher </t>
  </si>
  <si>
    <t xml:space="preserve">    Describe the bug
guys help i cant launch 1 19 22w14a help
    The log file and images videos
     Minecraft Crash Report     _x000D_
   I just don t know what went wrong :(_x000D_
_x000D_
Time: 4 13 22  6:55 AM_x000D_
Description: Rendering overlay_x000D_
_x000D_
java lang RuntimeException: could not reload shaders_x000D_
	at eus b(SourceFile:502)_x000D_
	at eus a(SourceFile:389)_x000D_
	at agp a(SourceFile:15)_x000D_
	at java base java util concurrent CompletableFuture UniRun tryFire(CompletableFuture java:787)_x000D_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com mojang blaze3d systems RenderSystem replayQueue(SourceFile:212)_x000D_
	at com mojang blaze3d systems RenderSystem flipFrame(SourceFile:199)_x000D_
	at dwj e(SourceFile:310)_x000D_
	at ech f(SourceFile:1154)_x000D_
	at ech e(SourceFile:728)_x000D_
	at net minecraft client main Main main(SourceFile:236)_x000D_
Caused by: zh: Invalid shaders core rendertype entity translucent emissive json: Couldn t compile vertex program (Default  rendertype entity translucent emissive) : Compile failed _x000D_
ERROR: 1:18:  texture2D  : undeclared identifier_x000D_
ERROR: 1:18: invalid function call_x000D_
ERROR: main() function is missing _x000D_
3 compilation errors  No code generated _x000D_
	at zh a(SourceFile:48)_x000D_
	at evk  init (SourceFile:200)_x000D_
	at eus b(SourceFile:471)_x000D_
	    118 more_x000D_
Caused by: java io IOException: Couldn t compile vertex program (Default  rendertype entity translucent emissive) : Compile failed _x000D_
ERROR: 1:18:  texture2D  : undeclared identifier_x000D_
ERROR: 1:18: invalid function call_x000D_
ERROR: main() function is missing _x000D_
3 compilation errors  No code generated _x000D_
	at dwt b(SourceFile:69)_x000D_
	at dwt a(SourceFile:51)_x000D_
	at evk a(SourceFile:238)_x000D_
	at evk  init (SourceFile:182)_x000D_
	    119 more_x000D_
_x000D_
_x000D_
A detailed walkthrough of the error  its code path and all known details is as follows:_x000D_
                                                                                       _x000D_
_x000D_
   Head   _x000D_
Thread: Render thread_x000D_
Stacktrace:_x000D_
	at eus b(SourceFile:502)_x000D_
	at eus a(SourceFile:389)_x000D_
	at agp a(SourceFile:15)_x000D_
	at java base java util concurrent CompletableFuture UniRun tryFire(CompletableFuture java:787)_x000D_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com mojang blaze3d systems RenderSystem replayQueue(SourceFile:212)_x000D_
	at com mojang blaze3d systems RenderSystem flipFrame(SourceFile:199)_x000D_
_x000D_
   Overlay render details   _x000D_
Details:_x000D_
	Overlay name: ehe_x000D_
Stacktrace:_x000D_
	at eus a(SourceFile:873)_x000D_
	at ech f(SourceFile:1126)_x000D_
	at ech e(SourceFile:728)_x000D_
	at net minecraft client main Main main(SourceFile:236)_x000D_
_x000D_
   Last reload   _x000D_
Details:_x000D_
	Reload number: 1_x000D_
	Reload reason: initial_x000D_
	Finished: No_x000D_
	Packs: Default  minecraft skin_x000D_
	Recovery: Yes_x000D_
	Recovery reason: java util concurrent CompletionException: java lang RuntimeException: could not reload shaders_x000D_
	at java base java util concurrent CompletableFuture encodeThrowable(CompletableFuture java:315)_x000D_
	at java base java util concurrent CompletableFuture completeThrowable(CompletableFuture java:320)_x000D_
	at java base java util concurrent CompletableFuture UniRun tryFire(CompletableFuture java:791)_x000D_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agu a(SourceFile:69)_x000D_
	at awe execute(SourceFile:103)_x000D_
	at agu a(SourceFile:68)_x000D_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com mojang blaze3d systems RenderSystem replayQueue(SourceFile:212)_x000D_
	at com mojang blaze3d systems RenderSystem flipFrame(SourceFile:199)_x000D_
	at dwj e(SourceFile:310)_x000D_
	at ech f(SourceFile:1154)_x000D_
	at ech e(SourceFile:728)_x000D_
	at net minecraft client main Main main(SourceFile:236)_x000D_
Caused by: java lang RuntimeException: could not reload shaders_x000D_
	at eus b(SourceFile:502)_x000D_
	at eus a(SourceFile:389)_x000D_
	at agp a(SourceFile:15)_x000D_
	at java base java util concurrent CompletableFuture UniRun tryFire(CompletableFuture java:787)_x000D_
	    115 more_x000D_
Caused by: zh: Invalid shaders core rendertype entity translucent emissive json: Couldn t compile vertex program (Default  rendertype entity translucent emissive) : Compile failed _x000D_
ERROR: 1:18:  texture2D  : undeclared identifier_x000D_
ERROR: 1:18: invalid function call_x000D_
ERROR: main() function is missing _x000D_
3 compilation errors  No code generated _x000D_
	at zh a(SourceFile:48)_x000D_
	at evk  init (SourceFile:200)_x000D_
	at eus b(SourceFile:471)_x000D_
	    118 more_x000D_
Caused by: java io IOException: Couldn t compile vertex program (Default  rendertype entity translucent emissive) : Compile failed _x000D_
ERROR: 1:18:  texture2D  : undeclared identifier_x000D_
ERROR: 1:18: invalid function call_x000D_
ERROR: main() function is missing _x000D_
3 compilation errors  No code generated _x000D_
	at dwt b(SourceFile:69)_x000D_
	at dwt a(SourceFile:51)_x000D_
	at evk a(SourceFile:238)_x000D_
	at evk  init (SourceFile:182)_x000D_
	    119 more_x000D_
_x000D_
_x000D_
   System Details   _x000D_
Details:_x000D_
	Minecraft Version: 22w14a_x000D_
	Minecraft Version ID: 22w14a_x000D_
	Operating System: Linux (arm) version Android 10_x000D_
	Java Version: 17 internal  N A_x000D_
	Java VM Version: OpenJDK Server VM (mixed mode)  Oracle Corporation_x000D_
	Memory: 683187712 bytes (651 MiB)   1027604480 bytes (980 MiB) up to 1027604480 bytes (980 MiB)_x000D_
	CPUs: 8_x000D_
	Processor Vendor: 0x41_x000D_
	Processor Name: ARMv8 Processor rev 4 (v8l)_x000D_
	Identifier: 0x41 Family 8 Model 0xd03 Stepping r0x0p4_x000D_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4601 28_x000D_
	Virtual memory used (MB): 4741 94_x000D_
	Swap memory total (MB): 2684 08_x000D_
	Swap memory used (MB): 1785 12_x000D_
	JVM Flags: 2 total   Xms980M  Xmx980M_x000D_
	Launched Version: 22w14a_x000D_
	Backend library: LWJGL version 3 2 3 SNAPSHOT_x000D_
	Backend API: GL4ES wrapper GL version 2 1 gl4es wrapper 1 1 5  ptitSeb_x000D_
	Window size: 1200x540_x000D_
	GL Caps: Using framebuffer using OpenGL 3 2_x000D_
	GL debug messages:  disabled _x000D_
	Using VBOs: Yes_x000D_
	Is Modded: Very likely  Client jar signature invalidated_x000D_
	Type: Client (map client txt)_x000D_
	Graphics mode: fast_x000D_
	Resource Packs: _x000D_
	Current Language: English (US)_x000D_
	CPU: 8x ARMv8 Processor rev 4 (v8l)
    Steps To Reproduce
   markdown
1 start pojav_x000D_
2 launch 22w14a_x000D_
3 load mojang logo_x000D_
4 then crash
    Expected Behavior
i dunoo wut 2 put here
    Platform
   markdown
  Device model: Huawei y6p _x000D_
  CPU architecture:aarch32 _x000D_
  Android version: Android 10 _x000D_
  PojavLauncher version: latest github
    Anything else 
nothing </t>
  </si>
  <si>
    <t>jellyfin-jellyfin-androidtv-1621</t>
  </si>
  <si>
    <t>removing the client from the list of 'devices' authenticated with the server causes the app to always crash on launch</t>
  </si>
  <si>
    <t xml:space="preserve">    Describe the bug
  Steps to reproduce  _x000D_
2) install the latest build off master (commit: 0d12a149f84fc31148d39a04f665421850b389c8)_x000D_
1) sign into a jellyfin server and keep the app open_x000D_
2) in the web client find the android tv client in the dashboard under  devices  and delete it_x000D_
3) back out of the android tv app and then click on it again_x000D_
4) the app will crash_x000D_
_x000D_
  Context for the logs  _x000D_
1) the app is force stopped_x000D_
2) start logging_x000D_
3) open the app and let it crash back to the launcher_x000D_
4) stop logging
    Logs
   shell
client logs:_x000D_
https:  pastebin com dAJACb15
    Application version
dev build off master
    Where did you install the app from 
Sideloaded APK
    Device information
Chromecast w  Google TV
    Android version
10
    Jellyfin server version
10 8 beta 1</t>
  </si>
  <si>
    <t>aws-amplify-aws-sdk-android-2866</t>
  </si>
  <si>
    <t>AWS S3 Android SDK - TransferUtility.java - Fatal Exception: java.lang.IllegalStateException</t>
  </si>
  <si>
    <t xml:space="preserve">  Describe the bug  _x000D_
A clear and concise description of what the bug is _x000D_
Calling  transferUtility getTransfersWithType(TransferType UPLOAD)  results in  Fatal Exception: java lang IllegalStateException  _x000D_
Stack trace: _x000D_
   _x000D_
Fatal Exception: java lang IllegalStateException: Couldn t read row 998  col 0 from CursorWindow   Make sure the Cursor is initialized correctly before accessing data from it _x000D_
       at android database CursorWindow nativeGetLong(CursorWindow java)_x000D_
       at android database CursorWindow getLong(CursorWindow java:511)_x000D_
       at android database CursorWindow getInt(CursorWindow java:578)_x000D_
       at android database AbstractWindowedCursor getInt(AbstractWindowedCursor java:69)_x000D_
       at com amazonaws mobileconnectors s3 transferutility TransferUtility getTransfersWithType(TransferUtility java:673)_x000D_
   _x000D_
_x000D_
Is there a way to  cleanup  reset  the TransferUtility internal SQLite state to fix the issue  _x000D_
_x000D_
  To Reproduce  _x000D_
A code sample or steps:_x000D_
   _x000D_
fun archiveAddAllNewToQueue(path: String )  _x000D_
        synchronized(lock)  _x000D_
                 _x000D_
              val existingTransfers   transferUtility getTransfersWithType(TransferType UPLOAD)     Triggers the Exceptoin_x000D_
                 _x000D_
         _x000D_
 _x000D_
   _x000D_
_x000D_
  Which AWS service(s) are affected   _x000D_
s3 file upload with TransferUtility_x000D_
_x000D_
  Expected behavior  _x000D_
A clear and concise description of what you expected to happen _x000D_
Calling  transferUtility getTransfersWithType(   )  does not trigger IllegalStateException and crashes the app_x000D_
_x000D_
  Screenshots  _x000D_
If applicable  add screenshots to help explain your problem _x000D_
_x000D_
  Environment Information (please complete the following information):  _x000D_
   AWS Android SDK Version:  e g  2 6 25     com amazonaws:aws android sdk s3:2 34 0 _x000D_
   Device:  e g  Pixel XL  Simulator    AOSP Device_x000D_
   Android Version:  e g  Nougat 7 1 2     Android 6 _x000D_
   Specific to simulators:  e g  Yes No     No_x000D_
_x000D_
  Additional context  _x000D_
Add any other context about the problem here _x000D_
_x000D_
I found this similar issue (not the same) from the past  which has been fixed by paginating the cursor: https:  github com aws amplify aws sdk android issues 288 _x000D_
The fix is supposed to be released in TransferUtility 2 6 16  but the fix does not resolve my issue _x000D_
</t>
  </si>
  <si>
    <t>lisawray-groupie-426</t>
  </si>
  <si>
    <t>androidx.constraintlayout.widget.ConstraintLayout cannot be cast to android.widget.FrameLayout</t>
  </si>
  <si>
    <t xml:space="preserve">release 2 8 0 and 2 9 0_x000D_
_x000D_
 img width  1024  alt  image  src  https:  user images githubusercontent com 28982210 163012698 c2bec0ac f03c 4615 ad46 ae8ee6837dd8 png  _x000D_
_x000D_
included_x000D_
 img width  606  alt  image  src  https:  user images githubusercontent com 28982210 163012870 ea559822 3e6e 43a9 a7e9 9c8211af13a8 png  _x000D_
_x000D_
root _x000D_
 img width  520  alt  image  src  https:  user images githubusercontent com 28982210 163008739 5d9f49ff 9ded 4c27 b578 32c83588c8ed png  _x000D_
_x000D_
I don t know how this library works at all  but I see such a crash  colleagues confirmed that they also had such crashes in other places of the application  The bottom line is that in the root xml we try to include partial card title   it lies in the Constraint Layout   but the FrameLayout itself  Why does the bind function try to cast these two types _x000D_
_x000D_
</t>
  </si>
  <si>
    <t>getsentry-sentry-java-1985</t>
  </si>
  <si>
    <t>Sentry 5.7.2 with timber integration crashes the app when formats a message with args</t>
  </si>
  <si>
    <t xml:space="preserve">    Integration_x000D_
_x000D_
sentry android timber_x000D_
_x000D_
    Build System_x000D_
_x000D_
Gradle_x000D_
_x000D_
    AGP Version_x000D_
_x000D_
7 1 3_x000D_
_x000D_
    Proguard_x000D_
_x000D_
Disabled_x000D_
_x000D_
    Version_x000D_
_x000D_
5 7 2_x000D_
_x000D_
    Steps to Reproduce_x000D_
_x000D_
1  Add the log:_x000D_
 Timber d( test  s   s   1  1)  _x000D_
2  The app crashes _x000D_
_x000D_
Version 5 7 1 works fine  It seems like the  1974 PR causes this  The  args  is passed incorrectly   missing asterisk  _x000D_
_x000D_
    Expected Result_x000D_
_x000D_
A log message:_x000D_
 test 1 1 _x000D_
_x000D_
    Actual Result_x000D_
_x000D_
   _x000D_
Caused by: java util MissingFormatArgumentException: Format specifier   s _x000D_
            	at java util Formatter format(Formatter java:2522)_x000D_
            	at java util Formatter format(Formatter java:2458)_x000D_
            	at java lang String format(String java:2842)_x000D_
            	at timber log Timber Tree formatMessage(Timber kt:172)_x000D_
            	at timber log Timber Tree prepareLog(Timber kt:161)_x000D_
            	at timber log Timber Tree d(Timber kt:51)_x000D_
            	at io sentry android timber SentryTimberTree d(SentryTimberTree kt:60)_x000D_
            	at timber log Timber Forest d(Timber kt:292)_x000D_
            	at timber log Timber d(Unknown Source:2)_x000D_
            	at the app MainActivity onCreate(MainActivity java:109)_x000D_
   </t>
  </si>
  <si>
    <t>PojavLauncherTeam-PojavLauncher-3077</t>
  </si>
  <si>
    <t xml:space="preserve">[BUG] Game kept crashing after turning on old textures </t>
  </si>
  <si>
    <t xml:space="preserve">    Describe the bug
so i was playing with the 1 18 (not 1 18 2 or 1 18 1) settings and then i opened the resource packs  i found the old textures (i forgot its name)_x000D_
now this is weird because i have opened this before and it didn t have anything  so i used it but the game crashed after the mojang logo  reopened it  same problem  can anyone help me turn this pack off  
    The log file and images videos
didn t screenshot it sorry
    Steps To Reproduce
   markdown
1  Start Pojavlauncher_x000D_
2  Log in (offline but i think this doesn t matter)_x000D_
3  Choose 1 18 (normal  not 1 18 2 or 1 18 1)_x000D_
4  Open options_x000D_
5  Resource packs_x000D_
6  Choose Developer art (i think thats what its called)_x000D_
7  Press done
    Expected Behavior
I expected the textures to work
    Platform
   markdown
  Device model: Galaxy S9 _x000D_
  CPU architecture: ARM64 _x000D_
  Android version: 10 _x000D_
  PojavLauncher version: Crocus v3 openjdk (google play)
    Anything else 
sorry i can t use the actions build because i only have a bedrock account and cant buy java due to bank problems in my country_x000D_
_x000D_
_x000D_
_x000D_
_x000D_
_x000D_
also here s the crash report_x000D_
     Minecraft Crash Report     _x000D_
   You re mean _x000D_
_x000D_
Time: 4 12 22  10:35 AM_x000D_
Description: Rendering overlay_x000D_
_x000D_
java lang RuntimeException: could not reload shaders_x000D_
	at epe b(SourceFile:496)_x000D_
	at epe a(SourceFile:384)_x000D_
	at afl a(SourceFile:15)_x000D_
	at java base java util concurrent CompletableFuture UniRun tryFire(CompletableFuture java:787)_x000D_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com mojang blaze3d systems RenderSystem replayQueue(SourceFile:207)_x000D_
	at com mojang blaze3d systems RenderSystem flipFrame(SourceFile:194)_x000D_
	at drp e(SourceFile:310)_x000D_
	at dxo f(SourceFile:1142)_x000D_
	at dxo e(SourceFile:733)_x000D_
	at net minecraft client main Main main(SourceFile:236)_x000D_
Caused by: yk: Invalid shaders core rendertype solid json: Couldn t compile vertex program (Default  rendertype solid) : 0:7: S0054: Overloading built in function  clamp  not allowed_x000D_
	at yk a(SourceFile:48)_x000D_
	at epw  init (SourceFile:197)_x000D_
	at epe b(SourceFile:452)_x000D_
	    118 more_x000D_
Caused by: java io IOException: Couldn t compile vertex program (Default  rendertype solid) : 0:7: S0054: Overloading built in function  clamp  not allowed_x000D_
	at dry b(SourceFile:72)_x000D_
	at dry a(SourceFile:54)_x000D_
	at epw a(SourceFile:237)_x000D_
	at epw  init (SourceFile:179)_x000D_
	    119 more_x000D_
_x000D_
_x000D_
A detailed walkthrough of the error  its code path and all known details is as follows:_x000D_
                                                                                       _x000D_
_x000D_
   Head   _x000D_
Thread: Render thread_x000D_
Stacktrace:_x000D_
	at epe b(SourceFile:496)_x000D_
	at epe a(SourceFile:384)_x000D_
	at afl a(SourceFile:15)_x000D_
	at java base java util concurrent CompletableFuture UniRun tryFire(CompletableFuture java:787)_x000D_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afp a(SourceFile:71)_x000D_
	at auh execute(SourceFile:101)_x000D_
	at afp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com mojang blaze3d systems RenderSystem replayQueue(SourceFile:207)_x000D_
	at com mojang blaze3d systems RenderSystem flipFrame(SourceFile:194)_x000D_
_x000D_
   Overlay render details   _x000D_
Details:_x000D_
	Overlay name: ece_x000D_
Stacktrace:_x000D_
	at epe a(SourceFile:866)_x000D_
	at dxo f(SourceFile:1117)_x000D_
	at dxo e(SourceFile:733)_x000D_
	at net minecraft client main Main main(SourceFile:236)_x000D_
_x000D_
   Last reload   _x000D_
Details:_x000D_
	Reload number: 1_x000D_
	Reload reason: initial_x000D_
	Finished: No_x000D_
	Packs: Default_x000D_
_x000D_
   System Details   _x000D_
Details:_x000D_
	Minecraft Version: 1 18_x000D_
	Minecraft Version ID: 1 18_x000D_
	Operating System: Linux (aarch64) version Android 10_x000D_
	Java Version: 17 internal  N A_x000D_
	Java VM Version: OpenJDK 64 Bit Server VM (mixed mode)  Oracle Corporation_x000D_
	Memory: 750163456 bytes (715 MiB)   1610612736 bytes (1536 MiB) up to 1610612736 bytes (1536 MiB)_x000D_
	CPUs: 8_x000D_
	Processor Vendor: 0x53_x000D_
	Processor Name: exynos9810_x000D_
	Identifier: 0x53 Family 8 Model 0x002 Stepping r0x0p1_x000D_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4858 42_x000D_
	Virtual memory used (MB): 5476 35_x000D_
	Swap memory total (MB): 2048 00_x000D_
	Swap memory used (MB): 1410 27_x000D_
	JVM Flags: 2 total   Xms1536M  Xmx1536M_x000D_
	Launched Version: 1 18_x000D_
	Backend library: LWJGL version 3 2 3 SNAPSHOT_x000D_
	Backend API: GL4ES wrapper GL version 2 1 gl4es wrapper 1 1 5  ptitSeb_x000D_
	Window size: 2220x1080_x000D_
	GL Caps: Using framebuffer using OpenGL 3 2_x000D_
	GL debug messages:  disabled _x000D_
	Using VBOs: Yes_x000D_
	Is Modded: Probably not  Client jar signature and brand is untouched_x000D_
	Type: Client (map client txt)_x000D_
	Graphics mode: fancy_x000D_
	Resource Packs: Developer art_x000D_
	Current Language: English (US)_x000D_
	CPU: 8x </t>
  </si>
  <si>
    <t>k9mail-k-9-6009</t>
  </si>
  <si>
    <t>App crashes when creating a notification</t>
  </si>
  <si>
    <t xml:space="preserve">    Checklist
   X  I have used the search function to see if someone else has already submitted the same bug report 
   X  I will describe the problem with as much detail as possible 
    App version
5 915
    Where did you get the app from 
Google Play
    Android version
Android 11   12
    Device model
 POCO F2 Pro  ZTE Z839V
    Steps to reproduce
Unknown  Probably configure a custom ringtone the app doesn t have permission to access 
    Expected behavior
No crash
    Actual behavior
Crash
    Logs
Stack trace retrieved via Google Play Developer console:_x000D_
_x000D_
   text_x000D_
java lang SecurityException: _x000D_
  at android os Parcel createExceptionOrNull (Parcel java:2376)_x000D_
  at android os Parcel createException (Parcel java:2360)_x000D_
  at android os Parcel readException (Parcel java:2343)_x000D_
  at android os Parcel readException (Parcel java:2285)_x000D_
  at android app INotificationManager Stub Proxy enqueueNotificationWithTag (INotificationManager java:3201)_x000D_
  at android app NotificationManager notifyAsUser (NotificationManager java:584)_x000D_
  at android app NotificationManager notify (NotificationManager java:534)_x000D_
  at androidx core app NotificationManagerCompat notify (NotificationManagerCompat java:223)_x000D_
  at androidx core app NotificationManagerCompat notify (NotificationManagerCompat java:205)_x000D_
  at com fsck k9 notification SingleMessageNotificationCreator createSingleNotification (SingleMessageNotificationCreator kt:55)_x000D_
  at com fsck k9 notification SingleMessageNotificationCreator createSingleNotification default (SingleMessageNotificationCreator kt:18)_x000D_
  at com fsck k9 notification NewMailNotificationController createSingleNotification (NewMailNotificationController kt:79)_x000D_
  at com fsck k9 notification NewMailNotificationController processNewMailNotificationData (NewMailNotificationController kt:61)_x000D_
  at com fsck k9 notification NewMailNotificationController restoreNewMailNotifications (NewMailNotificationController kt:22)_x000D_
  at com fsck k9 notification NotificationController restoreNewMailNotifications (NotificationController kt:60)_x000D_
  at com fsck k9 Core restoreNotifications 1 invokeSuspend (Core kt:85)_x000D_
  at kotlin coroutines jvm internal BaseContinuationImpl resumeWith (ContinuationImpl kt:33)_x000D_
  at kotlinx coroutines DispatchedTask run (DispatchedTask kt:106)_x000D_
  at kotlinx coroutines internal LimitedDispatcher run (LimitedDispatcher kt:39)_x000D_
  at kotlinx coroutines scheduling TaskImpl run (Tasks kt:95)_x000D_
  at kotlinx coroutines scheduling CoroutineScheduler runSafely (CoroutineScheduler kt:571)_x000D_
  at kotlinx coroutines scheduling CoroutineScheduler Worker executeTask (CoroutineScheduler kt:750)_x000D_
  at kotlinx coroutines scheduling CoroutineScheduler Worker runWorker (CoroutineScheduler kt:678)_x000D_
  at kotlinx coroutines scheduling CoroutineScheduler Worker run (CoroutineScheduler kt:665)_x000D_
Caused by: android os RemoteException: _x000D_
  at com android server uri UriGrantsManagerService checkGrantUriPermissionUnlocked (UriGrantsManagerService java:1254)_x000D_
  at com android server uri UriGrantsManagerService checkGrantUriPermissionUnlocked (UriGrantsManagerService java:1268)_x000D_
  at com android server uri UriGrantsManagerService access 900 (UriGrantsManagerService java:118)_x000D_
  at com android server uri UriGrantsManagerService LocalService checkGrantUriPermission (UriGrantsManagerService java:1414)_x000D_
  at com android server notification NotificationRecord visitGrantableUri (NotificationRecord java:1310)_x000D_
   </t>
  </si>
  <si>
    <t>aws-aws-iot-device-sdk-java-v2-257</t>
  </si>
  <si>
    <t>MqttProxyIPCAgent: crash during forwarding mqtt messages</t>
  </si>
  <si>
    <t xml:space="preserve">    Describe the bug
Greengrass nukleus crashes during forwarding MQTT messages via IPC interface_x000D_
_x000D_
Part of error reported by JRE:_x000D_
_x000D_
   _x000D_
  JRE version: OpenJDK Runtime Environment (11 0 13 8) (build 11 0 13 8 Ubuntu 0ubuntu1 18 04)_x000D_
  Java VM: OpenJDK 64 Bit Server VM (11 0 13 8 Ubuntu 0ubuntu1 18 04  mixed mode  tiered  compressed oops  g1 gc  linux aarch64)_x000D_
  Problematic frame:_x000D_
  C   AWSCRT 16467720370698882141530377805902libaws crt jni so 0xc05bc   aws event stream rpc server continuation is closed 0x4_x000D_
     _x000D_
Stack:  0x0000007efb801000 0x0000007efc000000    sp 0x0000007efbffd470   free space 8177k_x000D_
Native frames: (J compiled Java code  A aot compiled Java code  j interpreted  Vv VM code  C native code)_x000D_
C   AWSCRT 16467720370698882141530377805902libaws crt jni so 0xc05bc   aws event stream rpc server continuation is closed 0x4_x000D_
j  software amazon awssdk crt eventstream ServerConnectionContinuation isClosed()Z 4_x000D_
j  software amazon awssdk eventstreamrpc OperationContinuationHandler sendMessage(Lsoftware amazon awssdk eventstreamrpc model EventStreamJsonMessage Z)Ljava util concurrent CompletableFuture  4_x000D_
j  software amazon awssdk eventstreamrpc OperationContinuationHandler sendStreamEvent(Lsoftware amazon awssdk eventstreamrpc model EventStreamJsonMessage )Ljava util concurrent CompletableFuture  3_x000D_
j  com aws greengrass builtin services mqttproxy MqttProxyIPCAgent SubscribeToIoTCoreOperationHandler forwardToSubscriber(Lsoftware amazon awssdk crt mqtt MqttMessage )V 39_x000D_
j  com aws greengrass builtin services mqttproxy MqttProxyIPCAgent SubscribeToIoTCoreOperationHandler  Lambda 473 accept(Ljava lang Object )V 8_x000D_
j  com aws greengrass mqttclient MqttClient lambda getMessageHandlerForClient 15(Lsoftware amazon awssdk crt mqtt MqttMessage Lcom aws greengrass mqttclient AwsIotMqttClient Lcom aws greengrass mqttclient SubscribeRequest )V 5_x000D_
j  com aws greengrass mqttclient MqttClient  Lambda 508 accept(Ljava lang Object )V 12_x000D_
j  java lang Iterable forEach(Ljava util function Consumer )V 30 java base 11 0 13_x000D_
j  com aws greengrass mqttclient MqttClient lambda getMessageHandlerForClient 16(Lcom aws greengrass mqttclient AwsIotMqttClient Lsoftware amazon awssdk crt mqtt MqttMessage )V 144_x000D_
j  com aws greengrass mqttclient MqttClient  Lambda 347 accept(Ljava lang Object )V 12_x000D_
j  software amazon awssdk crt mqtt MqttClientConnection MessageHandler deliver(Ljava lang String  BZIZ)V 25_x000D_
v   StubRoutines::call stub_x000D_
V   libjvm so 0x6ae688 _x000D_
V   libjvm so 0x71c17c _x000D_
V   libjvm so 0x71e748 _x000D_
C   AWSCRT 16467720370698882141530377805902libaws crt jni so 0x70998 _x000D_
C   AWSCRT 16467720370698882141530377805902libaws crt jni so 0x9f7c4 _x000D_
C   AWSCRT 16467720370698882141530377805902libaws crt jni so 0x9e5d8 _x000D_
C   AWSCRT 16467720370698882141530377805902libaws crt jni so 0xe27e8 _x000D_
C   AWSCRT 16467720370698882141530377805902libaws crt jni so 0xe47dc _x000D_
C   AWSCRT 16467720370698882141530377805902libaws crt jni so 0xe4f14 _x000D_
C   AWSCRT 16467720370698882141530377805902libaws crt jni so 0xe0f0c _x000D_
C   AWSCRT 16467720370698882141530377805902libaws crt jni so 0xda2f8 _x000D_
C   AWSCRT 16467720370698882141530377805902libaws crt jni so 0x18fdb0 _x000D_
C   libpthread so 0 0x7088   start thread 0xb0_x000D_
    Expected Behavior
Subscribe to MQTT topics via IPC on greengrass core device and trigger communication towards the core device  Issue occurs sporadically 
    Current Behavior
Greengrass restarts (restarting also components that uses IPC form MQTT communication)_x000D_
_x000D_
    Reproduction Steps
Subscribe to MQTT topics via IPC on greengrass core device and trigger communication towards the core device  Issue occurs sporadically 
    Possible Solution
 No response 
    Additional Information Context
migration from MQTT over IPC via Greengrass to native MQTT communication seems to remove the issue _x000D_
_x000D_
original bug opened for nucleus repository: https:  github com aws greengrass aws greengrass nucleus issues 1200
    SDK version used
OpenJDK 64 Bit Server VM (11 0 13 8 Ubuntu 0ubuntu1 18 04) for linux aarch64 JRE (11 0 13 8 Ubuntu 0ubuntu1 18 04)  built on Oct 29 2021 09:11:30 by  unknown  with gcc 8 4 0
    Environment details (OS name and version  etc )
ubuntu 20 04 ARM</t>
  </si>
  <si>
    <t>PojavLauncherTeam-PojavLauncher-3073</t>
  </si>
  <si>
    <t>[BUG] Minecraft crashes when the phone is unlocked (REPOST)</t>
  </si>
  <si>
    <t xml:space="preserve">    Describe the bug
hi  I have such a problem: I go into the game  play and don t touch anyone  So they tell me to move away for a while (I lock my phone and leave  and when I come back and unlock the phone  the game crashes) The most amazing thing is that I have a top class android phone and such a problem on every version  And this happens after first update gl4es holy edition and subsequent versions after it_x000D_
_x000D_
PLZ FIX THIS(
    The log file and images videos
 latestlog txt (https:  github com PojavLauncherTeam PojavLauncher files 8464508 latestlog txt)_x000D_
    Steps To Reproduce
   markdown
1  Start Pojav launcher_x000D_
2  Launch any version Minecraft_x000D_
3  Lock phone_x000D_
4  Unlock phone_x000D_
5  Minecraft Crashed
    Expected Behavior
I expect that the game will not crash when I unlock the device
    Platform
   markdown
  Device model: Redmi 10 4 138G_x000D_
  CPU architecture: aarch64_x000D_
  Android version: 12_x000D_
  PojavLauncher version: latest version from github actions
    Anything else 
 No response </t>
  </si>
  <si>
    <t>PojavLauncherTeam-PojavLauncher-3070</t>
  </si>
  <si>
    <t>latest snapshot</t>
  </si>
  <si>
    <t xml:space="preserve">    Describe the bug_x000D_
_x000D_
its crash_x000D_
_x000D_
    The log file and images videos_x000D_
_x000D_
 latestlog txt (https:  github com PojavLauncherTeam PojavLauncher files 8461365 latestlog txt)_x000D_
pls help (deez nuts)_x000D_
_x000D_
    Steps To Reproduce_x000D_
_x000D_
   markdown_x000D_
just start with preamium account_x000D_
   _x000D_
_x000D_
_x000D_
    Expected Behavior_x000D_
_x000D_
game launch _x000D_
_x000D_
    Platform_x000D_
_x000D_
   markdown_x000D_
  Device model: SM A115F _x000D_
  CPU architecture:32 bits _x000D_
  Android version: adroid 11_x000D_
  PojavLauncher version:latest version_x000D_
   _x000D_
_x000D_
_x000D_
    Anything else _x000D_
_x000D_
e</t>
  </si>
  <si>
    <t>PojavLauncherTeam-PojavLauncher-3064</t>
  </si>
  <si>
    <t>Frequznt crashes</t>
  </si>
  <si>
    <t xml:space="preserve">    Describe the bug
My minecraft crash randomly
    The log file and images videos
Crash log :      Minecraft Crash Report     _x000D_
_x000D_
WARNING: coremods are present:_x000D_
Contact their authors BEFORE contacting forge_x000D_
_x000D_
   This doesn t make any sense _x000D_
_x000D_
Time: 10 04 22 08:37_x000D_
Description: Unexpected error_x000D_
_x000D_
java lang NullPointerException: Unexpected error_x000D_
	at io github moulberry notenoughupdates core BackgroundBlur processBlurs(BackgroundBlur java:107)_x000D_
	at io github moulberry notenoughupdates core BackgroundBlur onScreenRender(BackgroundBlur java:122)_x000D_
	at net minecraftforge fml common eventhandler ASMEventHandler 95 BackgroundBlur onScreenRender Pre invoke( dynamic)_x000D_
	at net minecraftforge fml common eventhandler ASMEventHandler invoke(ASMEventHandler java:49)_x000D_
	at net minecraftforge fml common eventhandler EventBus post(EventBus java:140)_x000D_
	at net minecraftforge client GuiIngameForge pre(GuiIngameForge java:847)_x000D_
	at net minecraftforge client GuiIngameForge func 175180 a(GuiIngameForge java:98)_x000D_
	at net minecraft client renderer EntityRenderer func 181560 a(EntityRenderer java:1401)_x000D_
	at net minecraft client Minecraft func 71411 J(Minecraft java:1051)_x000D_
	at net minecraft client Minecraft func 99999 d(Minecraft java:349)_x000D_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Head   _x000D_
Stacktrace:_x000D_
	at io github moulberry notenoughupdates core BackgroundBlur processBlurs(BackgroundBlur java:107)_x000D_
	at io github moulberry notenoughupdates core BackgroundBlur onScreenRender(BackgroundBlur java:122)_x000D_
	at net minecraftforge fml common eventhandler ASMEventHandler 95 BackgroundBlur onScreenRender Pre invoke( dynamic)_x000D_
	at net minecraftforge fml common eventhandler ASMEventHandler invoke(ASMEventHandler java:49)_x000D_
	at net minecraftforge fml common eventhandler EventBus post(EventBus java:140)_x000D_
	at net minecraftforge client GuiIngameForge pre(GuiIngameForge java:847)_x000D_
	at net minecraftforge client GuiIngameForge func 175180 a(GuiIngameForge java:98)_x000D_
_x000D_
   Affected level   _x000D_
Details:_x000D_
	Level name: MpServer_x000D_
	All players: 2 total   EntityPlayerSP  Adrir  14949865  l  MpServer   x 7 69  y 100 00  z 22 23   EntityOtherPlayerMP   Hazabaza   14949866  l  MpServer   x 7 66  y 111 63  z 22 22  _x000D_
	Chunk stats: MultiplayerChunkCache: 289  289_x000D_
	Level seed: 0_x000D_
	Level generator: ID 00   default  ver 1  Features enabled: false_x000D_
	Level generator options: _x000D_
	Level spawn location: 7 00 100 00 7 00   World: (7 100 7)  Chunk: (at 7 6 7 in 0 0  contains blocks 0 0 0 to 15 255 15)  Region: (0 0  contains chunks 0 0 to 31 31  blocks 0 0 0 to 511 255 511)_x000D_
	Level time: 1715 game time  6000 day time_x000D_
	Level dimension: 0_x000D_
	Level storage version: 0x00000   Unknown _x000D_
	Level weather: Rain time: 0 (now: false)  thunder time: 0 (now: false)_x000D_
	Level game mode: Game mode: survival (ID 0)  Hardcore: false  Cheats: false_x000D_
	Forced entities: 59 total   EntityArmorStand  Armor Stand  14949856  l  MpServer   x  6 50  y 6 00  z  2 50   EntityArmorStand  Armor Stand  14949857  l  MpServer   x  0 50  y 6 00  z 21 50   EntityArmorStand  Armor Stand  14949858  l  MpServer   x  6 50  y 6 00  z 15 50   EntityArmorStand  Armor Stand  14949859  l  MpServer   x  0 50  y 6 00  z  2 50   EntityOtherPlayerMP   Hazabaza   14949866  l  MpServer   x 7 66  y 111 63  z 22 22   EntityOtherPlayerMP   Hazabaza   14949866  l  MpServer   x 7 66  y 111 63  z 22 22   EntityArmorStand  Armor Stand  14949828  l  MpServer   x 14 78  y 4 97  z 13 88   EntityArmorStand  Armor Stand  14949829  l  MpServer   x 14 78  y 4 97  z 12 97   EntityArmorStand  Armor Stand  14949830  l  MpServer   x 15 00  y 3 81  z 13 16   EntityArmorStand  Armor Stand  14949831  l  MpServer   x 15 72  y 5 31  z 13 38   EntityArmorStand   6 lNEW UPDATE  14949959  l  MpServer   x 15 28  y 98 34  z 11 56   EntityArmorStand  Armor Stand  14949824  l  MpServer   x 15 34  y 4 16  z 13 16   EntityArmorStand  Armor Stand  14949825  l  MpServer   x 15 00  y 4 13  z 13 75   EntityArmorStand  Armor Stand  14949826  l  MpServer   x 15 03  y 4 16  z 12 81   EntityArmorStand  Armor Stand  14949827  l  MpServer   x 14 44  y 4 16  z 13 16   EntityArmorStand  Armor Stand  14949836  l  MpServer   x 14 38  y 4 06  z 14 44   EntityArmorStand  Armor Stand  14949837  l  MpServer   x 14 88  y 4 03  z 14 63   EntityArmorStand  Armor Stand  14949838  l  MpServer   x 14 50  y 4 34  z 12 09   EntityArmorStand  Armor Stand  14949839  l  MpServer   x 14 19  y 4 03  z 11 81   EntityArmorStand  Armor Stand  14949832  l  MpServer   x 13 63  y 4 88  z 12 31   EntityArmorStand  Jerry  14949960  l  MpServer   x 15 28  y 98 09  z 11 56   EntityArmorStand  Armor Stand  14949833  l  MpServer   x 14 81  y 4 44  z 11 97   EntityArmorStand   e lCLICK  14949961  l  MpServer   x 15 28  y 97 84  z 11 56   EntityArmorStand  Armor Stand  14949834  l  MpServer   x 14 91  y 4 41  z 14 34   EntityArmorStand  Armor Stand  14949835  l  MpServer   x 14 56  y 4 44  z 14 22   EntityArmorStand  Armor Stand  14949844  l  MpServer   x 14 91  y 5 03  z 14 13   EntityArmorStand  Armor Stand  14949845  l  MpServer   x 15 19  y 4 91  z 12 13   EntityArmorStand  Armor Stand  14949846  l  MpServer   x 14 78  y 5 09  z 12 81   EntityArmorStand  Armor Stand  14949847  l  MpServer   x 15 38  y 4 66  z 13 59   EntityArmorStand  Armor Stand  14949840  l  MpServer   x 14 78  y 4 06  z 11 63   EntityArmorStand  Armor Stand  14949841  l  MpServer   x 13 59  y 4 88  z 14 34   EntityArmorStand  Armor Stand  14949842  l  MpServer   x 15 19  y 5 06  z 14 28   EntityArmorStand  Armor Stand  14949843  l  MpServer   x 15 03  y 5 06  z 14 72   EntityArmorStand  Armor Stand  14949852  l  MpServer   x 19 50  y 6 00  z 3 50   EntityArmorStand  Armor Stand  14949853  l  MpServer   x  0 50  y 6 00  z 3 50   EntityArmorStand  Armor Stand  14949854  l  MpServer   x 7 50  y 6 00  z 21 50   EntityArmorStand  Armor Stand  14949855  l  MpServer   x 13 50  y 6 00  z 3 50   EntityArmorStand  Armor Stand  14949848  l  MpServer   x 15 41  y 4 66  z 12 75   EntityArmorStand  Armor Stand  14949849  l  MpServer   x  6 50  y 6 00  z 21 50   EntityArmorStand  Armor Stand  14949850  l  MpServer   x  0 50  y 6 00  z 15 50   EntityArmorStand  Armor Stand  14949851  l  MpServer   x 13 50  y 6 00  z  2 50   EntityVillager  Villager  14949796  l  MpServer   x 15 28  y 98 00  z 11 56   EntityArmorStand  Armor Stand  14949812  l  MpServer   x 7 50  y 6 00  z  2 50   EntityArmorStand  Armor Stand  14949813  l  MpServer   x 3 50  y 6 32  z 9 50   EntityArmorStand  Armor Stand  14949814  l  MpServer   x 7 50  y 6 00  z 3 50   EntityArmorStand  Armor Stand  14949815  l  MpServer   x 14 31  y 4 13  z 13 13   EntityArmorStand  Armor Stand  14949809  l  MpServer   x  6 50  y 6 00  z 3 50   EntityArmorStand  Armor Stand  14949810  l  MpServer   x 19 50  y 6 00  z  2 50   EntityArmorStand  Armor Stand  14949811  l  MpServer   x 7 50  y 6 00  z 15 50   EntityArmorStand  Armor Stand  14949820  l  MpServer   x 14 75  y 4 13  z 12 06   EntityArmorStand  Armor Stand  14949821  l  MpServer   x 14 75  y 4 13  z 14 19   EntityArmorStand  Armor Stand  14949822  l  MpServer   x 14 63  y 3 56  z 13 19   EntityArmorStand  Armor Stand  14949823  l  MpServer   x 15 72  y 5 31  z 14 28   EntityArmorStand  Armor Stand  14949816  l  MpServer   x 14 31  y 4 13  z 13 78   EntityArmorStand  Armor Stand  14949817  l  MpServer   x 14 34  y 4 13  z 12 53   EntityArmorStand  Armor Stand  14949818  l  MpServer   x 14 44  y 4 13  z 14 09   EntityArmorStand  Armor Stand  14949819  l  MpServer   x 14 47  y 4 13  z 12 19   EntityPlayerSP  Adrir  14949865  l  MpServer   x 7 69  y 100 00  z 22 23   EntityArmorStand   c   aWarp To  eYellow  14951427  l  MpServer   x 6 50  y 99 44  z 34 50  _x000D_
	Retry entities: 0 total    _x000D_
	Server brand: Hypixel BungeeCord (1 1 10)    vanilla_x000D_
	Server type: Non integrated multiplayer server_x000D_
Stacktrace:_x000D_
	at net minecraft client multiplayer WorldClient func 72914 a(WorldClient java:402)_x000D_
	at net minecraft client Minecraft func 71396 d(Minecraft java:2536)_x000D_
	at net minecraft client Minecraft func 99999 d(Minecraft java:378)_x000D_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System Details   _x000D_
Details:_x000D_
	Minecraft Version: 1 8 9_x000D_
	Operating System: Linux (aarch64) version Android 11_x000D_
	Java Version: 1 8 0 internal  Oracle Corporation_x000D_
	Java VM Version: OpenJDK 64 Bit Server VM (mixed mode)  Oracle Corporation_x000D_
	Memory: 1208317472 bytes (1152 MB)   2042101760 bytes (1947 MB) up to 2042101760 bytes (1947 MB)_x000D_
	JVM Flags: 3 total   Xms2042M  Xmx2042M  Xbootclasspath p: storage emulated 0 Android data net kdt pojavlaunch files caciocavallo ResConfHack jar: storage emulated 0 Android data net kdt pojavlaunch files caciocavallo cacio androidnw 1 10 SNAPSHOT jar: storage emulated 0 Android data net kdt pojavlaunch files caciocavallo cacio shared 1 10 SNAPSHOT jar_x000D_
	IntCache: cache: 0  tcache: 0  allocated: 13  tallocated: 95_x000D_
	FML: MCP 9 19 Powered by Forge 11 15 1 2318 Optifine OptiFine 1 8 9 HD U M6 pre2 8 mods loaded  8 mods active_x000D_
	States:  U    Unloaded  L    Loaded  C    Constructed  H    Pre initialized  I    Initialized  J    Post initialized  A    Available  D    Disabled  E    Errored_x000D_
	UCHIJA	mcp 9 19   Minecraft Coder Pack  (minecraft jar) _x000D_
	UCHIJA	FML 8 0 99 99   Forge Mod Loader  (forge 1 8 9 11 15 1 2318 1 8 9 jar) _x000D_
	UCHIJA	Forge 11 15 1 2318   Minecraft Forge  (forge 1 8 9 11 15 1 2318 1 8 9 jar) _x000D_
	UCHIJA	apec 1 10 1   Apec  (Apec 1 10 1 jar) _x000D_
	UCHIJA	BazaarNotifier 1 4 7   BazaarNotifier  (BazaarNotifier 1 4 7 jar) _x000D_
	UCHIJA	dungeonrooms 3 3 1   Dungeon Rooms Mod  (Dungeon Rooms 3 3 1 jar zip) _x000D_
	UCHIJA	example 1 0   Example Mod  (Dungeon Rooms 3 3 1 jar zip) _x000D_
	UCHIJA	notenoughupdates 2 0 0 REL   NotEnoughUpdates  (NotEnoughUpdates 2 0 PRE30 2 jar) _x000D_
	Loaded coremods (and transformers): _x000D_
	Launched Version: 1 8 9_x000D_
	LWJGL: 3 2 3 SNAPSHOT_x000D_
	OpenGL: vgpu 1 3 6 GL version 3 0  vgpu_x000D_
	GL Caps: VboRegions not supported  missing: OpenGL 1 3  ARB copy buffer_x000D_
Using GL 1 3 multitexturing _x000D_
Using GL 1 3 texture combiners _x000D_
Using framebuffer objects because OpenGL 3 0 is supported and separate blending is supported _x000D_
Shaders are available because OpenGL 2 1 is supported _x000D_
VBOs are available because OpenGL 1 5 is supported _x000D_
_x000D_
	Using VBOs: Yes_x000D_
	Is Modded: Definitely  Client brand changed to  fml forge _x000D_
	Type: Client (map client txt)_x000D_
	Resource Packs:  r lFurfSky  6 lReborn  8 lFL  8 l  71 4 8 l  zip_x000D_
	Current Language: English (US)_x000D_
	Profiler Position: N A (disabled)_x000D_
	CPU: 9x null_x000D_
	OptiFine Version: OptiFine 1 8 9 HD U M6 pre2_x000D_
	OptiFine Build: 20211101 204933_x000D_
	Render Distance Chunks: 2_x000D_
	Mipmaps: 0_x000D_
	Anisotropic Filtering: 1_x000D_
	Antialiasing: 0_x000D_
	Multitexture: false_x000D_
	Shaders: null_x000D_
	OpenGlVersion: 3 0_x000D_
	OpenGlRenderer: vgpu 1 3 6_x000D_
	OpenGlVendor: vgpu_x000D_
	CpuCount: 8
    Steps To Reproduce
   markdown
Start minecraft with the mods i use and play  sometimes it just crashes
    Expected Behavior
I expect minecraft to not crash
    Platform
   markdown
  Device model:Xiaomi redmi 10s_x000D_
  CPU architecture: 64x_x000D_
  Android version: 11 or 10 im too lazy to check_x000D_
  PojavLauncher version: 3 3 1 1
    Anything else 
I have Not enough updates  dungeons rooms and apec mods installed along with optifine M6 pre 2_x000D_
And furfsky reborn for the ressource pack</t>
  </si>
  <si>
    <t>deltachat-deltachat-android-2270</t>
  </si>
  <si>
    <t>app crashes when exporting attachment</t>
  </si>
  <si>
    <t xml:space="preserve">if you export an attachment  then go to the folder and delete it  then go to delta chat and try to export it again  the app crashes  the attachment is saved_x000D_
_x000D_
  Android version: 11_x000D_
  Delta Chat version: 1 29 0_x000D_
  Steps to reproduce the problem:_x000D_
   1  select attachment in delta chat and export it_x000D_
   2  go to your file explorer and delete the exported file_x000D_
   3  go to delta chat again and try to export the same file_x000D_
   4  delta chat crashes  file is exported anyway _x000D_
  Logs:_x000D_
   _x000D_
04 09 16:42:06 124  5981 13193 E DatabaseUtils: Writing exception to parcel                                                                                                                                                      _x000D_
04 09 16:42:06 124  5981 13193 E DatabaseUtils: android database sqlite SQLiteConstraintException: UNIQUE constraint failed: files  data (code 2067 SQLITE CONSTRAINT UNIQUE 2067 )                                              _x000D_
04 09 16:42:06 124  5981 13193 E DatabaseUtils:         at android database sqlite SQLiteConnection nativeExecuteForChangedRowCount(Native Method)_x000D_
04 09 16:42:06 124  5981 13193 E DatabaseUtils:         at android database sqlite SQLiteConnection executeForChangedRowCount(SQLiteConnection java:1164)_x000D_
04 09 16:42:06 124  5981 13193 E DatabaseUtils:         at android database sqlite SQLiteSession executeForChangedRowCount(SQLiteSession java:756)_x000D_
04 09 16:42:06 124  5981 13193 E DatabaseUtils:         at android database sqlite SQLiteStatement executeUpdateDelete(SQLiteStatement java:66)_x000D_
04 09 16:42:06 124  5981 13193 E DatabaseUtils:         at com android providers media util DatabaseUtils executeUpdateDelete(DatabaseUtils java:468)_x000D_
04 09 16:42:06 124  5981 13193 E DatabaseUtils:         at com android providers media util SQLiteQueryBuilder update(SQLiteQueryBuilder java:697)_x000D_
04 09 16:42:06 124  5981 13193 E DatabaseUtils:         at com android providers media util SQLiteQueryBuilder lambda update 2(SQLiteQueryBuilder java:619)_x000D_
04 09 16:42:06 124  5981 13193 E DatabaseUtils:         at com android providers media util SQLiteQueryBuilder lambda update 2 SQLiteQueryBuilder(Unknown Source:0)                                 _x000D_
04 09 16:42:06 124  5981 13193 E DatabaseUtils:         at com android providers media util    Lambda SQLiteQueryBuilder AgEfPRRGX0oz5jjY6qV0HE57T3E apply(Unknown Source:10)_x000D_
04 09 16:42:06 124  5981 13193 E DatabaseUtils:         at com android providers media DatabaseHelper runWithTransaction(DatabaseHelper java:573)_x000D_
04 09 16:42:06 124  5981 13193 E DatabaseUtils:         at com android providers media util SQLiteQueryBuilder update(SQLiteQueryBuilder java:618)_x000D_
04 09 16:42:06 124  5981 13193 E DatabaseUtils:         at com android providers media MediaProvider lambda updateAllowingReplace 25(MediaProvider java:5784)_x000D_
04 09 16:42:06 124  5981 13193 E DatabaseUtils:         at com android providers media MediaProvider lambda updateAllowingReplace 25 MediaProvider(Unknown Source:0)_x000D_
04 09 16:42:06 124  5981 13193 E DatabaseUtils:         at com android providers media    Lambda MediaProvider MKqBLjeqJzRznq qwlNQl bhmj4 apply(Unknown Source:15)_x000D_
04 09 16:42:06 124  5981 13193 E DatabaseUtils:         at com android providers media DatabaseHelper runWithTransaction(DatabaseHelper java:578)_x000D_
04 09 16:42:06 124  5981 13193 E DatabaseUtils:         at com android providers media MediaProvider updateAllowingReplace(MediaProvider java:5782)_x000D_
04 09 16:42:06 124  5981 13193 E DatabaseUtils:         at com android providers media MediaProvider updateInternal(MediaProvider java:5731)_x000D_
04 09 16:42:06 124  5981 13193 E DatabaseUtils:         at com android providers media MediaProvider update(MediaProvider java:5305)_x000D_
04 09 16:42:06 124  5981 13193 E DatabaseUtils:         at android content ContentProvider Transport update(ContentProvider java:457)_x000D_
04 09 16:42:06 124  5981 13193 E DatabaseUtils:         at android content ContentProviderNative onTransact(ContentProviderNative java:230)_x000D_
04 09 16:42:06 124  5981 13193 E DatabaseUtils:         at android os Binder execTransactInternal(Binder java:1190)_x000D_
04 09 16:42:06 124  5981 13193 E DatabaseUtils:         at android os Binder execTransact(Binder java:1159)_x000D_
04 09 16:42:06 134 22862 23012 E AndroidRuntime: FATAL EXCEPTION: AsyncTask  5_x000D_
04 09 16:42:06 134 22862 23012 E AndroidRuntime: Process: chat delta lite  PID: 22862_x000D_
04 09 16:42:06 134 22862 23012 E AndroidRuntime: java lang RuntimeException: An error occurred while executing doInBackground()_x000D_
04 09 16:42:06 134 22862 23012 E AndroidRuntime:        at android os AsyncTask 4 done(AsyncTask java:415)_x000D_
04 09 16:42:06 134 22862 23012 E AndroidRuntime:        at java util concurrent FutureTask finishCompletion(FutureTask java:383)_x000D_
04 09 16:42:06 134 22862 23012 E AndroidRuntime:        at java util concurrent FutureTask setException(FutureTask java:252)_x000D_
04 09 16:42:06 134 22862 23012 E AndroidRuntime:        at java util concurrent FutureTask run(FutureTask java:271)_x000D_
04 09 16:42:06 134 22862 23012 E AndroidRuntime:        at java util concurrent ThreadPoolExecutor runWorker(ThreadPoolExecutor java:1167)_x000D_
04 09 16:42:06 134 22862 23012 E AndroidRuntime:        at java util concurrent ThreadPoolExecutor Worker run(ThreadPoolExecutor java:641)_x000D_
04 09 16:42:06 134 22862 23012 E AndroidRuntime:        at java lang Thread run(Thread java:923)_x000D_
04 09 16:42:06 134 22862 23012 E AndroidRuntime: Caused by: android database sqlite SQLiteConstraintException: UNIQUE constraint failed: files  data (code 2067 SQLITE CONSTRAINT UNIQUE 2067 )_x000D_
04 09 16:42:06 134 22862 23012 E AndroidRuntime:        at android database DatabaseUtils readExceptionFromParcel(DatabaseUtils java:178)_x000D_
04 09 16:42:06 134 22862 23012 E AndroidRuntime:        at android database DatabaseUtils readExceptionFromParcel(DatabaseUtils java:142)_x000D_
04 09 16:42:06 134 22862 23012 E AndroidRuntime:        at android content ContentProviderProxy update(ContentProviderNative java:649)_x000D_
04 09 16:42:06 134 22862 23012 E AndroidRuntime:        at android content ContentResolver update(ContentResolver java:2366)_x000D_
04 09 16:42:06 134 22862 23012 E AndroidRuntime:        at android content ContentResolver update(ContentResolver java:2328)_x000D_
04 09 16:42:06 134 22862 23012 E AndroidRuntime:        at org thoughtcrime securesms util SaveAttachmentTask saveAttachment(SaveAttachmentTask java:129)_x000D_
04 09 16:42:06 134 22862 23012 E AndroidRuntime:        at org thoughtcrime securesms util SaveAttachmentTask doInBackground(SaveAttachmentTask java:74)_x000D_
04 09 16:42:06 134 22862 23012 E AndroidRuntime:        at org thoughtcrime securesms util SaveAttachmentTask doInBackground(SaveAttachmentTask java:38)_x000D_
04 09 16:42:06 134 22862 23012 E AndroidRuntime:        at android os AsyncTask 3 call(AsyncTask java:394)_x000D_
04 09 16:42:06 134 22862 23012 E AndroidRuntime:        at java util concurrent FutureTask run(FutureTask java:266)_x000D_
04 09 16:42:06 134 22862 23012 E AndroidRuntime:            3 more_x000D_
   </t>
  </si>
  <si>
    <t>PojavLauncherTeam-PojavLauncher-3060</t>
  </si>
  <si>
    <t>Crash 1.18.2</t>
  </si>
  <si>
    <t xml:space="preserve">    Describe the bug
I just download the jre 17 and try to run it and after little time in crash 
    The log file and images videos
     Minecraft Crash Report     _x000D_
   This doesn t make any sense _x000D_
_x000D_
Time: 4 9 22  2:50 PM_x000D_
Description: Initializing game_x000D_
_x000D_
java lang IllegalStateException: could not preload shader position_x000D_
	at eql a(SourceFile:425)_x000D_
	at eql a(SourceFile:409)_x000D_
	at dyr  init (SourceFile:619)_x000D_
	at net minecraft client main Main main(SourceFile:197)_x000D_
Caused by: yw: Invalid shaders core position json: Couldn t compile vertex program (minecraft:shaders core position vsh  position) : Compile failed _x000D_
ERROR: 0:7:  max  : cannot redeclare or overload built in function_x000D_
ERROR: main() function is missing _x000D_
2 compilation errors  No code generated _x000D_
	at yw a(SourceFile:48)_x000D_
	at erd  init (SourceFile:202)_x000D_
	at eql a(SourceFile:421)_x000D_
	    3 more_x000D_
Caused by: java io IOException: Couldn t compile vertex program (minecraft:shaders core position vsh  position) : Compile failed _x000D_
ERROR: 0:7:  max  : cannot redeclare or overload built in function_x000D_
ERROR: main() function is missing _x000D_
2 compilation errors  No code generated _x000D_
	at dtb b(SourceFile:72)_x000D_
	at dtb a(SourceFile:54)_x000D_
	at erd a(SourceFile:244)_x000D_
	at erd  init (SourceFile:184)_x000D_
	    4 more_x000D_
_x000D_
_x000D_
A detailed walkthrough of the error  its code path and all known details is as follows:_x000D_
                                                                                       _x000D_
_x000D_
   Head   _x000D_
Thread: Render thread_x000D_
Stacktrace:_x000D_
	at eql a(SourceFile:425)_x000D_
	at eql a(SourceFile:409)_x000D_
	at dyr  init (SourceFile:619)_x000D_
    Steps To Reproduce
   markdown
Start pojav_x000D_
Login _x000D_
Download the jre 17_x000D_
Run 1 18 2 _x000D_
Crash after sometime
    Expected Behavior
I expect it to launch
    Platform
   markdown
  Device model: iBall movie z pro_x000D_
  CPU architecture: arm64_x000D_
  Android version: 9_x000D_
  PojavLauncher version:  Latest Release    version 3 3 1 1 rel 20210206  
    Anything else 
 No response </t>
  </si>
  <si>
    <t>Anuken-Mindustry-6702</t>
  </si>
  <si>
    <t>OS.exec("read") freezes game</t>
  </si>
  <si>
    <t xml:space="preserve">  Platform  :  Arch Linux _x000D_
_x000D_
  Build  : 135 2_x000D_
_x000D_
  Issue  : When running  OS exec( read )  game freezes_x000D_
_x000D_
  Steps to reproduce  : Am making mod  tried to use OS exec  To reproduce  open mindustry  run  OS exec( read )  in terminal_x000D_
_x000D_
  mod used  :  https:  github com DeltaNedas dev mode _x000D_
_x000D_
I have no soul_x000D_
_x000D_
  logs  :  it doesnt crash  theres no log  and it just freezes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</si>
  <si>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PojavLauncherTeam-PojavLauncher-3052</t>
  </si>
  <si>
    <t xml:space="preserve">    Describe the bug
 Pojavlauncher force closes itself when I try to use a screen recorder switch apps or even go to custom controls option and start mapping keys _x000D_
  it gives the error:  game application exited with code:1 _x000D_
 it works with version 3 3 1
    The log file and images videos
 No log files produced_x000D_
 Can t add video because it crashes when I try to record
    Steps To Reproduce
   markdown
1 Start pojavlauncher _x000D_
2 join world _x000D_
3 Use floating window of screen recorder switch to another app _x000D_
 game application exited with code:1 pojavlauncher(minecraft java edition for android) has stopped 
    Expected Behavior
I expect the game to run and while recording or editing controls
    Platform
   markdown
  Device model:Samsung A02 _x000D_
  CPU architecture: aarch32_x000D_
  Android version: 8 1_x000D_
  PojavLauncher version: crocus 423 5cc0b144f v3 openjdk_x000D_
 Also tested on newer versions of pojavlauncher and on aarch64 cpu architecture  android 11 8gb RAM 
    Anything else 
 It only started crashing in the latest betas_x000D_
 Sometimes closes running apps e g discord </t>
  </si>
  <si>
    <t>PojavLauncherTeam-PojavLauncher-3051</t>
  </si>
  <si>
    <t>Pojav Launcher 1.18 to 1.18.2 crash</t>
  </si>
  <si>
    <t xml:space="preserve">    Describe the bug
when i open 1 18 2 or 1 18 1 it crash or sometimes it sayed game exited i tried all renderers and still not working_x000D_
the crashlog is here_x000D_
     Minecraft Crash Report     _x000D_
   Ooh  Shiny _x000D_
_x000D_
Time: 4 9 22  4:28 AM_x000D_
Description: Initializing game_x000D_
_x000D_
java lang IllegalStateException: could not preload shader position_x000D_
	at eql a(SourceFile:425)_x000D_
	at eql a(SourceFile:409)_x000D_
	at dyr  init (SourceFile:619)_x000D_
	at net minecraft client main Main main(SourceFile:197)_x000D_
Caused by: yw: Invalid shaders core position json: Couldn t compile vertex program (minecraft:shaders core position vsh  position) : Compile failed _x000D_
ERROR: 0:7:  max  : cannot redeclare or overload built in function_x000D_
ERROR: main() function is missing _x000D_
2 compilation errors  No code generated _x000D_
	at yw a(SourceFile:48)_x000D_
	at erd  init (SourceFile:202)_x000D_
	at eql a(SourceFile:421)_x000D_
	    3 more_x000D_
Caused by: java io IOException: Couldn t compile vertex program (minecraft:shaders core position vsh  position) : Compile failed _x000D_
ERROR: 0:7:  max  : cannot redeclare or overload built in function_x000D_
ERROR: main() function is missing _x000D_
2 compilation errors  No code generated _x000D_
	at dtb b(SourceFile:72)_x000D_
	at dtb a(SourceFile:54)_x000D_
	at erd a(SourceFile:244)_x000D_
	at erd  init (SourceFile:184)_x000D_
	    4 more_x000D_
_x000D_
_x000D_
A detailed walkthrough of the error  its code path and all known details is as follows:_x000D_
                                                                                       _x000D_
_x000D_
   Head   _x000D_
Thread: Render thread_x000D_
Stacktrace:_x000D_
	at eql a(SourceFile:425)_x000D_
	at eql a(SourceFile:409)_x000D_
	at dyr  init (SourceFile:619)_x000D_
_x000D_
   Initialization   _x000D_
Details:_x000D_
	Modules: _x000D_
Stacktrace:_x000D_
	at net minecraft client main Main main(SourceFile:197)_x000D_
_x000D_
   System Details   _x000D_
Details:_x000D_
	Minecraft Version: 1 18 2_x000D_
	Minecraft Version ID: 1 18 2_x000D_
	Operating System: Linux (arm) version Android 10_x000D_
	Java Version: 17 internal  N A_x000D_
	Java VM Version: OpenJDK Server VM (mixed mode)  Oracle Corporation_x000D_
	Memory: 223139104 bytes (212 MiB)   922746880 bytes (880 MiB) up to 922746880 bytes (880 MiB)_x000D_
	CPUs: 8_x000D_
	Processor Vendor: 0x41_x000D_
	Processor Name: ARMv8 Processor rev 4 (v8l)_x000D_
	Identifier: 0x41 Family 8 Model 0xd03 Stepping r0x0p4_x000D_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4601 27_x000D_
	Virtual memory used (MB): 5150 27_x000D_
	Swap memory total (MB): 2684 07_x000D_
	Swap memory used (MB): 2218 02_x000D_
	JVM Flags: 2 total   Xms880M  Xmx880M_x000D_
	Launched Version: 1 18 2_x000D_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Probably not  Client jar signature and brand is untouched_x000D_
	Type: Client (map client txt)_x000D_
	CPU: 8x ARMv8 Processor rev 4 (v8l)
    The log file and images videos
     Minecraft Crash Report     _x000D_
   Ooh  Shiny _x000D_
_x000D_
Time: 4 9 22  4:28 AM_x000D_
Description: Initializing game_x000D_
_x000D_
java lang IllegalStateException: could not preload shader position_x000D_
	at eql a(SourceFile:425)_x000D_
	at eql a(SourceFile:409)_x000D_
	at dyr  init (SourceFile:619)_x000D_
	at net minecraft client main Main main(SourceFile:197)_x000D_
Caused by: yw: Invalid shaders core position json: Couldn t compile vertex program (minecraft:shaders core position vsh  position) : Compile failed _x000D_
ERROR: 0:7:  max  : cannot redeclare or overload built in function_x000D_
ERROR: main() function is missing _x000D_
2 compilation errors  No code generated _x000D_
	at yw a(SourceFile:48)_x000D_
	at erd  init (SourceFile:202)_x000D_
	at eql a(SourceFile:421)_x000D_
	    3 more_x000D_
Caused by: java io IOException: Couldn t compile vertex program (minecraft:shaders core position vsh  position) : Compile failed _x000D_
ERROR: 0:7:  max  : cannot redeclare or overload built in function_x000D_
ERROR: main() function is missing _x000D_
2 compilation errors  No code generated _x000D_
	at dtb b(SourceFile:72)_x000D_
	at dtb a(SourceFile:54)_x000D_
	at erd a(SourceFile:244)_x000D_
	at erd  init (SourceFile:184)_x000D_
	    4 more_x000D_
_x000D_
_x000D_
A detailed walkthrough of the error  its code path and all known details is as follows:_x000D_
                                                                                       _x000D_
_x000D_
   Head   _x000D_
Thread: Render thread_x000D_
Stacktrace:_x000D_
	at eql a(SourceFile:425)_x000D_
	at eql a(SourceFile:409)_x000D_
	at dyr  init (SourceFile:619)_x000D_
_x000D_
   Initialization   _x000D_
Details:_x000D_
	Modules: _x000D_
Stacktrace:_x000D_
	at net minecraft client main Main main(SourceFile:197)_x000D_
_x000D_
   System Details   _x000D_
Details:_x000D_
	Minecraft Version: 1 18 2_x000D_
	Minecraft Version ID: 1 18 2_x000D_
	Operating System: Linux (arm) version Android 10_x000D_
	Java Version: 17 internal  N A_x000D_
	Java VM Version: OpenJDK Server VM (mixed mode)  Oracle Corporation_x000D_
	Memory: 223139104 bytes (212 MiB)   922746880 bytes (880 MiB) up to 922746880 bytes (880 MiB)_x000D_
	CPUs: 8_x000D_
	Processor Vendor: 0x41_x000D_
	Processor Name: ARMv8 Processor rev 4 (v8l)_x000D_
	Identifier: 0x41 Family 8 Model 0xd03 Stepping r0x0p4_x000D_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4601 27_x000D_
	Virtual memory used (MB): 5150 27_x000D_
	Swap memory total (MB): 2684 07_x000D_
	Swap memory used (MB): 2218 02_x000D_
	JVM Flags: 2 total   Xms880M  Xmx880M_x000D_
	Launched Version: 1 18 2_x000D_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Probably not  Client jar signature and brand is untouched_x000D_
	Type: Client (map client txt)_x000D_
	CPU: 8x ARMv8 Processor rev 4 (v8l)
    Steps To Reproduce
   markdown
1 open app_x000D_
2 launch 1 18 2_x000D_
3 crash
    Expected Behavior
Crashing
    Platform
   markdown
  Device model: Huawei y6p_x000D_
  CPU architecture: aarch32_x000D_
  Android version: Android 10_x000D_
  PojavLauncher version: crocus v3 openjdk
    Anything else 
1 17 1 has no hud but it hand an arm shown : </t>
  </si>
  <si>
    <t>PojavLauncherTeam-PojavLauncher-3050</t>
  </si>
  <si>
    <t>[BUG] Minecraft crash when the phone is locked</t>
  </si>
  <si>
    <t xml:space="preserve">    Describe the bug
hi  I have such a problem: I go into the game  play and don t touch anyone  So they tell me to move away for a while (I lock my phone and leave  and when I come back and unlock the phone  the game crashes) The most amazing thing is that I have a top class android phone and such a problem on every version  And this happens after the last launcher update_x000D_
_x000D_
PLZ FIX THIS(
    The log file and images videos
 latestlog txt (https:  github com PojavLauncherTeam PojavLauncher files 8456154 latestlog txt)_x000D_
    Steps To Reproduce
   markdown
1  Start Pojav launcher_x000D_
2  Launch any version Minecraft_x000D_
3  Lock phone_x000D_
4  Unlock phone_x000D_
5  Minecraft Crashed
    Expected Behavior
I expect that the game will not crash when I unlock the device
    Platform
   markdown
  Device model: Redmi 10 4 138G_x000D_
  CPU architecture: aarch64_x000D_
  Android version: 12_x000D_
  PojavLauncher version: latest version from github actions
    Anything else 
 No response </t>
  </si>
  <si>
    <t>okta-okta-oidc-android-310</t>
  </si>
  <si>
    <t>Fatal Exception: android.security.keystore.KeyStoreConnectException thrown by Huawei Android 10 devices</t>
  </si>
  <si>
    <t xml:space="preserve">    Describe the bug 
We are experiencing crashes from calling  SessionClient isAuthenticated()  on some Huawei phones (Mate 20 Pro  P30 Pro)  all of them Android 10:_x000D_
_x000D_
   _x000D_
Fatal Exception: android security keystore KeyStoreConnectException: Failed to communicate with keystore service_x000D_
       at android security keystore AndroidKeyStoreCipherSpiBase ensureKeystoreOperationInitialized(AndroidKeyStoreCipherSpiBase java:256)_x000D_
       at android security keystore AndroidKeyStoreCipherSpiBase engineDoFinal(AndroidKeyStoreCipherSpiBase java:495)_x000D_
       at javax crypto Cipher doFinal(Cipher java:2055)_x000D_
       at com okta oidc storage security BaseEncryptionManager decrypt(BaseEncryptionManager java:299)_x000D_
       at com okta oidc storage security DefaultEncryptionManager decrypt(DefaultEncryptionManager java:51)_x000D_
       at com okta oidc storage OktaRepository getDecrypted(OktaRepository java:208)_x000D_
       at com okta oidc storage OktaRepository get(OktaRepository java:132)_x000D_
       at com okta oidc OktaState getTokenResponse(OktaState java:46)_x000D_
       at com okta oidc clients sessions SyncSessionClientImpl isAuthenticated(SyncSessionClientImpl java:218)_x000D_
       at com okta oidc clients sessions SessionClientImpl isAuthenticated(SessionClientImpl java:145)_x000D_
        client app code _x000D_
    What is expected to happen 
No exception is thrown by  BaseSessionClient isAuthenticated() 
    What is the actual behavior 
An unexpected  android security keystore KeyStoreConnectException  is thrown  leading to crash
    Reproduction Steps 
We don t have the affected Huawei devices to try and reproduce it 
    Additional Information 
 No response 
    SDK Version
com okta android:okta oidc android:1 0 18_x000D_
com okta authn sdk:okta authn sdk api:2 0 2_x000D_
com okta authn sdk:okta authn sdk impl:2 0 2_x000D_
com okta sdk:okta sdk okhttp:4 1 0
    Build Information
 No response </t>
  </si>
  <si>
    <t>falzonv-discreet-launcher-205</t>
  </si>
  <si>
    <t>App crashes when typing for search</t>
  </si>
  <si>
    <t xml:space="preserve">   Problem_x000D_
_x000D_
I install the latest version of the app (v6 2 1) and it seems the search feature crashes when typing more than 3 characters </t>
  </si>
  <si>
    <t>nextcloud-talk-android-1908</t>
  </si>
  <si>
    <t>Crash when opening personal info</t>
  </si>
  <si>
    <t xml:space="preserve">   Steps to reproduce_x000D_
1  Start Talk app_x000D_
2  Open Settings_x000D_
3  Tap avatar at the top of the Settings screen_x000D_
_x000D_
    Expected behaviour_x000D_
Personal Info screen opened_x000D_
_x000D_
    Actual behaviour_x000D_
Application crashes with the following error in the log _x000D_
_x000D_
 details _x000D_
_x000D_
   _x000D_
          beginning of crash_x000D_
04 08 22:33:47 541  4883  4883 E AndroidRuntime: FATAL EXCEPTION: main_x000D_
04 08 22:33:47 541  4883  4883 E AndroidRuntime: Process: com nextcloud talk2  PID: 4883_x000D_
04 08 22:33:47 541  4883  4883 E AndroidRuntime: java lang NullPointerException_x000D_
04 08 22:33:47 541  4883  4883 E AndroidRuntime: 	at com nextcloud talk controllers ProfileController createUserInfoDetails(ProfileController kt:376)_x000D_
04 08 22:33:47 541  4883  4883 E AndroidRuntime: 	at com nextcloud talk controllers ProfileController showUserProfile(ProfileController kt:284)_x000D_
04 08 22:33:47 541  4883  4883 E AndroidRuntime: 	at com nextcloud talk controllers ProfileController access showUserProfile(ProfileController kt:101)_x000D_
04 08 22:33:47 541  4883  4883 E AndroidRuntime: 	at com nextcloud talk controllers ProfileController onAttach 4 onNext(ProfileController kt:245)_x000D_
04 08 22:33:47 541  4883  4883 E AndroidRuntime: 	at com nextcloud talk controllers ProfileController onAttach 4 onNext(ProfileController kt:238)_x000D_
04 08 22:33:47 541  4883  4883 E AndroidRuntime: 	at io reactivex internal operators observable ObservableObserveOn ObserveOnObserver drainNormal(ObservableObserveOn java:201)_x000D_
04 08 22:33:47 541  4883  4883 E AndroidRuntime: 	at io reactivex internal operators observable ObservableObserveOn ObserveOnObserver run(ObservableObserveOn java:255)_x000D_
04 08 22:33:47 541  4883  4883 E AndroidRuntime: 	at io reactivex android schedulers HandlerScheduler ScheduledRunnable run(HandlerScheduler java:124)_x000D_
04 08 22:33:47 541  4883  4883 E AndroidRuntime: 	at android os Handler handleCallback(Handler java:938)_x000D_
04 08 22:33:47 541  4883  4883 E AndroidRuntime: 	at android os Handler dispatchMessage(Handler java:99)_x000D_
04 08 22:33:47 541  4883  4883 E AndroidRuntime: 	at android os Looper loop(Looper java:223)_x000D_
04 08 22:33:47 541  4883  4883 E AndroidRuntime: 	at android app ActivityThread main(ActivityThread java:7656)_x000D_
04 08 22:33:47 541  4883  4883 E AndroidRuntime: 	at java lang reflect Method invoke(Native Method)_x000D_
04 08 22:33:47 541  4883  4883 E AndroidRuntime: 	at com android internal os RuntimeInit MethodAndArgsCaller run(RuntimeInit java:592)_x000D_
04 08 22:33:47 541  4883  4883 E AndroidRuntime: 	at com android internal os ZygoteInit main(ZygoteInit java:947)_x000D_
   _x000D_
_x000D_
  details _x000D_
_x000D_
   Device information_x000D_
_x000D_
  Device:   Emulator_x000D_
  Android version:   11_x000D_
  Talk version:   master_x000D_
_x000D_
   Server information_x000D_
_x000D_
  Nextcloud version:   23 0 3_x000D_
  Talk version:   13 0 5_x000D_
  Custom Signaling server configured:   no_x000D_
  Custom TURN server configured:   no_x000D_
  Custom STUN server configured:   no</t>
  </si>
  <si>
    <t>XspeedPL-PhysicalButtonMod-6</t>
  </si>
  <si>
    <t>Bluetooth crashes on headset button press</t>
  </si>
  <si>
    <t>With this module loaded my Bluetooth headset button (pause play) causes an exception  making com android bluetooth crash _x000D_
_x000D_
 verbose 2022 04 08T18 43 56 262 log (https:  github com XspeedPL PhysicalButtonMod files 8454052 verbose 2022 04 08T18 43 56 262 log)</t>
  </si>
  <si>
    <t>QGdev-OpenWeather-6</t>
  </si>
  <si>
    <t>Crash at launch</t>
  </si>
  <si>
    <t xml:space="preserve">The application crash when it launched with no WiFi and no cellular data 
The crash happened at the end of the splash screen 
Doesn t crash wen launched with cellular data on or and WiFi on 
First and only clue  check the part that get data from OWM 
</t>
  </si>
  <si>
    <t>google-ExoPlayer-10165</t>
  </si>
  <si>
    <t>RTSP error not handled by Listener.onPlayerError, app crashes on invalid media</t>
  </si>
  <si>
    <t xml:space="preserve">    ExoPlayer Version
2 17 1
    Devices that reproduce the issue
Any device  I think _x000D_
Reproduces on emulator with Android 11 (R) and Asus Tinkerboard with Android 7 (N) 
    Devices that do not reproduce the issue
 No response 
    Reproducible in the demo app 
Not tested
    Reproduction steps
Start RTSP stream: rtsp:  wowzaec2demo streamlock net vod mp4:BigBuckBunny 175k mov_x000D_
Stream is missing some data because server was about to close starting this year  but URL is still accessible 
    Expected result
RTSP stream is missing some data  so playback should stop  ExoException should raise via onPlayerError(PlaybackException error) if listener is set
    Actual result
App crashes with error in log tagged by AndroidRuntime:_x000D_
   _x000D_
 FATAL EXCEPTION: ExoPlayer:Playback_x000D_
 Process:        PID: 29242_x000D_
 java lang IllegalArgumentException_x000D_
 	at com google android exoplayer2 util Assertions checkArgument(Assertions java:39)_x000D_
 	at com google android exoplayer2 source rtsp RtspSessionTiming parseTiming(RtspSessionTiming java:66)_x000D_
 	at com google android exoplayer2 source rtsp RtspClient MessageListener onDescribeResponseReceived(RtspClient java:683)_x000D_
 	at com google android exoplayer2 source rtsp RtspClient MessageListener handleRtspResponse(RtspClient java:598)_x000D_
 	at com google android exoplayer2 source rtsp RtspClient MessageListener handleRtspMessage(RtspClient java:507)_x000D_
 	at com google android exoplayer2 source rtsp RtspClient MessageListener lambda onRtspMessageReceived 0 com google android exoplayer2 source rtsp RtspClient MessageListener(RtspClient java:500)_x000D_
 	at com google android exoplayer2 source rtsp RtspClient MessageListener  ExternalSyntheticLambda0 run(Unknown Source:4)_x000D_
 	at android os Handler handleCallback(Handler java:938)_x000D_
 	at android os Handler dispatchMessage(Handler java:99)_x000D_
 	at android os Looper loop(Looper java:223)_x000D_
 	at android os HandlerThread run(HandlerThread java:67)_x000D_
   _x000D_
_x000D_
RtspSessionTiming java:66 is _x000D_
   _x000D_
      checkArgument(stopTimeMs   startTimeMs) _x000D_
   _x000D_
both values are set to 0 
    Media
rtsp:  wowzaec2demo streamlock net vod mp4:BigBuckBunny 175k mov
    Bug Report
      You will email the zip file produced by  adb bugreport  to dev exoplayer gmail com after filing this issue </t>
  </si>
  <si>
    <t>PojavLauncherTeam-PojavLauncher-3045</t>
  </si>
  <si>
    <t xml:space="preserve">[BUG] Arm64 JRE17 not working on a 64 bit device </t>
  </si>
  <si>
    <t xml:space="preserve">    Describe the bug_x000D_
_x000D_
I think I m going crazy  I m using a galaxy S9  (exynos) and I ve tried playing 1 18 2 on EVERY SINGLE JRE17 VERSION  Even arm64 as yall recommended  Ive tried every version  with every renderer and it keeps saying architecture arm64 is incompatible with jave runtime arm  I ve also heard about a resource pack thats needed to run this but i cant find it  so if you have the link  please comment  _x000D_
_x000D_
    The log file and images videos_x000D_
_x000D_
  Screenshot 20220407 174648 PojavLauncher (Minecraft Java Edition for Android) (https:  user images githubusercontent com 103042318 162228315 23f881c9 d901 4744 80ac 369d6caa1058 jpg)_x000D_
  Screenshot 20220407 174716 PojavLauncher (Minecraft Java Edition for Android) (https:  user images githubusercontent com 103042318 162228325 42585ad0 c9d3 41c6 9673 32e5f7f9e6ba jpg)_x000D_
_x000D_
_x000D_
    Steps To Reproduce_x000D_
_x000D_
   markdown_x000D_
1  Start Pojavlauncher_x000D_
2  Use any java17 (i actually dont know about this one_x000D_
3  Choose 1 18 2_x000D_
4  Play_x000D_
   _x000D_
_x000D_
_x000D_
    Expected Behavior_x000D_
_x000D_
i expected the game to launch because ive spent a whole day trying to fix this  _x000D_
_x000D_
    Platform_x000D_
_x000D_
   markdown_x000D_
  Device model: Galaxy S9 _x000D_
  CPU architecture: i dont know at this point  everything says arm mali g72 but yall say 64 bit_x000D_
  Android version: 10 _x000D_
  PojavLauncher version: Crocus v3 openjdk_x000D_
   _x000D_
_x000D_
_x000D_
    Anything else _x000D_
_x000D_
BIG UPDATE  I DELETED ALL MY OTHER JRE17 VERS AND WE GOT SOMEWHERE  BUT I GOT ANOTHER ERROR  HERE S THE CRASH DATA _x000D_
_x000D_
     Minecraft Crash Report     _x000D_
   Why did you do that _x000D_
_x000D_
Time: 4 7 22  3:19 PM_x000D_
Description: Initializing game_x000D_
_x000D_
java lang IllegalStateException: could not preload shader position_x000D_
	at eql a(SourceFile:425)_x000D_
	at eql a(SourceFile:409)_x000D_
	at dyr  init (SourceFile:619)_x000D_
	at net minecraft client main Main main(SourceFile:197)_x000D_
Caused by: yw: Invalid shaders core position json: Couldn t compile vertex program (minecraft:shaders core position vsh  position) : 0:7: S0054: Overloading built in function  max  not allowed_x000D_
	at yw a(SourceFile:48)_x000D_
	at erd  init (SourceFile:202)_x000D_
	at eql a(SourceFile:421)_x000D_
	    3 more_x000D_
Caused by: java io IOException: Couldn t compile vertex program (minecraft:shaders core position vsh  position) : 0:7: S0054: Overloading built in function  max  not allowed_x000D_
	at dtb b(SourceFile:72)_x000D_
	at dtb a(SourceFile:54)_x000D_
	at erd a(SourceFile:244)_x000D_
	at erd  init (SourceFile:184)_x000D_
	    4 more_x000D_
_x000D_
_x000D_
A detailed walkthrough of the error  its code path and all known details is as follows:_x000D_
                                                                                       _x000D_
_x000D_
   Head   _x000D_
Thread: Render thread_x000D_
Stacktrace:_x000D_
	at eql a(SourceFile:425)_x000D_
	at eql a(SourceFile:409)_x000D_
	at dyr  init (SourceFile:619)_x000D_
_x000D_
   Initialization   _x000D_
Details:_x000D_
	Modules: _x000D_
Stacktrace:_x000D_
	at net minecraft client main Main main(SourceFile:197)_x000D_
_x000D_
   System Details   _x000D_
Details:_x000D_
	Minecraft Version: 1 18 2_x000D_
	Minecraft Version ID: 1 18 2_x000D_
	Operating System: Linux (aarch64) version Android 10_x000D_
	Java Version: 17 internal  N A_x000D_
	Java VM Version: OpenJDK 64 Bit Server VM (mixed mode)  Oracle Corporation_x000D_
	Memory: 1021735168 bytes (974 MiB)   1610612736 bytes (1536 MiB) up to 1610612736 bytes (1536 MiB)_x000D_
	CPUs: 8_x000D_
	Processor Vendor: 0x53_x000D_
	Processor Name: _x000D_
	Identifier: 0x53 Family 8 Model 0x002 Stepping r0x0p1_x000D_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4858 42_x000D_
	Virtual memory used (MB): 5397 83_x000D_
	Swap memory total (MB): 2048 00_x000D_
	Swap memory used (MB): 1386 09_x000D_
	JVM Flags: 2 total   Xms1536M  Xmx1536M_x000D_
	Launched Version: 1 18 2_x000D_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Probably not  Client jar signature and brand is untouched_x000D_
	Type: Client (map client txt)_x000D_
	CPU: 8x  _x000D_
_x000D_
even bigger update on this error: normal 1 18 is working fine  The game only crashes on 1 18 1  2</t>
  </si>
  <si>
    <t>PojavLauncherTeam-PojavLauncher-3042</t>
  </si>
  <si>
    <t xml:space="preserve">    Describe the bug
I was in a bw game and it was randomly crahsing for no reason it happened to me like 10 times now  i lost a fking winstreak cuz of this fix this or any suggestion to fix
    The log file and images videos
No Crash logs  just freezes and crash  and brings me back to home screen like nothing ever happened
    Steps To Reproduce
   markdown
Start pojav  play and random crashes happens(forge 1 8 9)_x000D_
_x000D_
My mods:_x000D_
Lunar keystrokes_x000D_
Foamfix_x000D_
Betterfps_x000D_
Optifine(ofc)_x000D_
Vanilla enhancments_x000D_
Powns Cheatbreaker hud_x000D_
Memoryfix_x000D_
Texfix_x000D_
Oranges old animations mods
    Expected Behavior
I expect to not crash 
    Platform
   markdown
  Device model: Oppo A94 8 128G_x000D_
  CPU architecture: aarch64_x000D_
  Android version: 11_x000D_
  PojavLauncher version: Version 3 3 1
    Anything else 
None</t>
  </si>
  <si>
    <t>PojavLauncherTeam-PojavLauncher-3041</t>
  </si>
  <si>
    <t>Crash Apk</t>
  </si>
  <si>
    <t xml:space="preserve">    Describe the bug
The the app keeps crashing when enter version 1 16 5 optifine
    The log file and images videos
No
    Steps To Reproduce
   markdown
Nope
    Expected Behavior
Nope
    Platform
   markdown
  Device model: Vivo y50 8 128GB_x000D_
  CPU architecture: Aarch64 Arm64_x000D_
  Android version: 10_x000D_
  PojavLauncher version: latest Github Build
    Anything else 
No</t>
  </si>
  <si>
    <t>material-components-material-components-android-2630</t>
  </si>
  <si>
    <t>BottomNavigationMenuView Crashing on Adding menus</t>
  </si>
  <si>
    <t xml:space="preserve">  Description:   I m Adding the bottom bar items programmatically and there s a crash happening that I m not able to reproduce the crash but I do have the stack trace available _x000D_
_x000D_
  Stack trace:   Fatal Exception: java lang IllegalStateException_x000D_
The specified child already has a parent  You must call removeView() on the child s parent first _x000D_
_x000D_
   _x000D_
android view ViewGroup addViewInner (ViewGroup java:6065)_x000D_
android view ViewGroup addView (ViewGroup java:5884)_x000D_
android view ViewGroup addView (ViewGroup java:5824)_x000D_
android view ViewGroup addView (ViewGroup java:5796)_x000D_
com google android material bottomnavigation BottomNavigationMenuView buildMenuView (BottomNavigationMenuView java:589)_x000D_
com google android material bottomnavigation BottomNavigationPresenter updateMenuView (BottomNavigationPresenter java:67)_x000D_
androidx appcompat view menu MenuBuilder dispatchPresenterUpdate (MenuBuilder java:292)_x000D_
androidx appcompat view menu MenuBuilder onItemsChanged (MenuBuilder java:1063)_x000D_
androidx appcompat view menu MenuBuilder startDispatchingItemsChanged (MenuBuilder java:1090)_x000D_
com google android material bottomnavigation BottomNavigationMenu addInternal (BottomNavigationMenu java:57)_x000D_
androidx appcompat view menu MenuBuilder add (MenuBuilder java:476)_x000D_
com sportsmax ui main MainActivity setBottomBarData (MainActivity java:400)_x000D_
   _x000D_
_x000D_
_x000D_
  Source code:   _x000D_
_x000D_
   _x000D_
binding bottomNav menu clear()_x000D_
 _x000D_
 _x000D_
 _x000D_
_x000D_
val menuItem   binding bottomNav_x000D_
                 menu_x000D_
                 add(Menu NONE  fragmentId  Menu NONE  bottomBarItem getTitle())_x000D_
   _x000D_
_x000D_
_x000D_
  Android API version:   _x000D_
_x000D_
  50  on Android 11_x000D_
  25  on Android 7_x000D_
  25  on Android 10_x000D_
_x000D_
Material Android Library version is 1 3 0_x000D_
_x000D_
  Device:   _x000D_
_x000D_
  75  of devices are Samsung devices  50  of them on Galaxy A02  and 25  are Galaxy J7 Pro _x000D_
</t>
  </si>
  <si>
    <t>PojavLauncherTeam-PojavLauncher-3040</t>
  </si>
  <si>
    <t xml:space="preserve">Microsoft account login error </t>
  </si>
  <si>
    <t xml:space="preserve">    Describe the bug
java lang RuntimeException: It seems that this Microsoft Account does not own the game  Make sure that you have bought migrated to your Microsoft account _x000D_
_x000D_
MSA Error: 404: Not Found  error stream:_x000D_
 _x000D_
   path  :   minecraft profile  _x000D_
   errorType  :  NOT FOUND  _x000D_
   error  :  NOT FOUND  _x000D_
   errorMessage  :  The server has not found anything matching the request URI  _x000D_
   developerMessage  :  The server has not found anything matching the request URI _x000D_
 _x000D_
	at net kdt pojavlaunch authenticator microsoft Msa throwResponseError(Msa java:293)_x000D_
	at net kdt pojavlaunch authenticator microsoft Msa checkMcProfile(Msa java:256)_x000D_
	at net kdt pojavlaunch authenticator microsoft Msa acquireMinecraftToken(Msa java:200)_x000D_
	at net kdt pojavlaunch authenticator microsoft Msa acquireXsts(Msa java:167)_x000D_
	at net kdt pojavlaunch authenticator microsoft Msa acquireXBLToken(Msa java:122)_x000D_
	at net kdt pojavlaunch authenticator microsoft Msa acquireAccessToken(Msa java:75)_x000D_
	at net kdt pojavlaunch authenticator microsoft Msa  init (Msa java:35)_x000D_
	at net kdt pojavlaunch authenticator microsoft MicrosoftAuthTask doInBackground(MicrosoftAuthTask java:72)_x000D_
	at net kdt pojavlaunch authenticator microsoft MicrosoftAuthTask doInBackground(MicrosoftAuthTask java:22)_x000D_
	at android os AsyncTask 3 call(AsyncTask java:394)_x000D_
	at java util concurrent FutureTask run(FutureTask java:266)_x000D_
	at android os AsyncTask SerialExecutor 1 run(AsyncTask java:305)_x000D_
	at java util concurrent ThreadPoolExecutor runWorker(ThreadPoolExecutor java:1167)_x000D_
	at java util concurrent ThreadPoolExecutor Worker run(ThreadPoolExecutor java:641)_x000D_
	at java lang Thread run(Thread java:923)_x000D_
    The log file and images videos
No crash detected
    Steps To Reproduce
   markdown
1  Start pojav launcher_x000D_
2  Try to login with microsoft
    Expected Behavior
I expect it to login because I bought the game and its connected to a parent account 
    Platform
   markdown
  Device model: mido_x000D_
  CPU architecture: aarch64_x000D_
  Android version: 11_x000D_
  PojavLauncher version: latest one
    Anything else 
I am facing this issue from 2 months please anybody give me a fix </t>
  </si>
  <si>
    <t>TeamNewPipe-NewPipe-legacy-90</t>
  </si>
  <si>
    <t xml:space="preserve">Unable to request any stream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</si>
  <si>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1  Go to search _x000D_
2  Type anything and let it load some videos _x000D_
3  Trying to start a Video is leading to a  crash  and im getting the error message as shown below_x000D_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As been described it is not possible to load any Video without getting an error that the requested website could not have been analyzed (original text in german: konnte website nicht analysieren)  And I get this message since yesterday with any Video  In addition to that It s not possible for me to see the trends  NewPipe is trying to load something but I don t get any Video shown there  But that never worked on my device  I also tried to reinstall but it didn t work  _x000D_
_x000D_
_x000D_
    Expected behavior_x000D_
     Tell us what you expect to happen     _x000D_
Well I expect it to play the videos so I can listen music agaib while having the app as a background process  Thank you in advance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watch v 9UMxZofMNbA_x000D_
    Content Country:   DE_x000D_
    Content Language:   de DE_x000D_
    App Language:   de DE_x000D_
    Service:   YouTube_x000D_
    Version:   0 20 8_x000D_
    OS:   Linux samsung d2seea d2s:12 SP1A 210812 016 N975FXXU7GVA5:user release keys 12   31_x000D_
 details  summary  b Crash log   b   summary  p _x000D_
_x000D_
   _x000D_
org schabi newpipe extractor exceptions ParsingException: Could not parse JSON_x000D_
	at org schabi newpipe extractor services youtube YoutubeParsingHelper toJsonArray(YoutubeParsingHelper java:628)_x000D_
	at org schabi newpipe extractor services youtube YoutubeParsingHelper getJsonResponse(YoutubeParsingHelper java:607)_x000D_
	at org schabi newpipe extractor services youtube extractors YoutubeStreamExtractor onFetchPage(YoutubeStreamExtractor java:710)_x000D_
	at org schabi newpipe extractor Extractor fetchPage(Extractor java:54)_x000D_
	at org schabi newpipe extractor stream StreamInfo getInfo(StreamInfo java:68)_x000D_
	at org schabi newpipe extractor stream StreamInfo getInfo(StreamInfo java:64)_x000D_
	at org schabi newpipelegacy util ExtractorHelper lambda getStreamInfo 3(ExtractorHelper java:127)_x000D_
	at org schabi newpipelegacy util    Lambda ExtractorHelper UQ1vNWjXRu939LDH1klSnNo2 Zg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java:920)_x000D_
Caused by: com grack nanojson JsonParserException: JSON did not contain the correct type  expected JsonArray  on line 1  char 354499_x000D_
	at com grack nanojson JsonTokener createParseException(Unknown Source:44)_x000D_
	at com grack nanojson JsonParser parse(Unknown Source:61)_x000D_
	at com grack nanojson JsonParser JsonParserContext from(Unknown Source:19)_x000D_
	at org schabi newpipe extractor services youtube YoutubeParsingHelper toJsonArray(YoutubeParsingHelper java:626)_x000D_
	    31 more_x000D_
_x000D_
   _x000D_
  details _x000D_
 hr _x000D_
_x000D_
_x000D_
     Please fill this out when you do not provide a log generate by NewPipe    _x000D_
_x000D_
    Device info_x000D_
_x000D_
   Android version Custom ROM version: _x000D_
   Device model: _x000D_
</t>
  </si>
  <si>
    <t>TeamNewPipe-NewPipe-legacy-89</t>
  </si>
  <si>
    <t>Could not parse website using NewPioe Legacy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</si>
  <si>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</si>
  <si>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Aliucord-Aliucord-236</t>
  </si>
  <si>
    <t>I can't join the Aliucord Discord server</t>
  </si>
  <si>
    <t xml:space="preserve">    Discord Account
mantikafasi 4444
    What happens when the bug or crash occurs 
Nothing  I type the invite and press join and nothing happens  I do not join the server 
    What is the expected behaviour 
I expect to be in the server _x000D_
    How do you recreate this bug or crash 
Be me_x000D_
Try to join_x000D_
Fail
    Crash log
_x000D_
Replace this text with your crash log _x000D_
_x000D_
    Request Agreement
   X  I did indeed check to make sure the bug or crash report is applicable </t>
  </si>
  <si>
    <t>Anuken-Mindustry-6700</t>
  </si>
  <si>
    <t>Missing item textures</t>
  </si>
  <si>
    <t xml:space="preserve">  Platform  :  Android iOS Mac Windows Linux 
  Build  :135 1 pre alpha
  Issue  : Missing item textures when they are in the mod
  Steps to reproduce  : load the mod  opn he editor  and look at the conveyors and ores
  Link(s) to mod(s) used  : https:  github com NeonSupernova Masterdustry tree master
  Save file  :NA Any game will work
  (Crash) logs  :No crashes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</si>
  <si>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HBiSoft-HBRecorder-112</t>
  </si>
  <si>
    <t>Crash from Crashlytics</t>
  </si>
  <si>
    <t xml:space="preserve">  Describe the bug  _x000D_
The crash is from crashlytics  I have about 20 crash events_x000D_
_x000D_
  Log  _x000D_
   _x000D_
Fatal Exception: java lang RuntimeException: Unable to start service com hbisoft hbrecorder ScreenRecordService 9f77c30 with null: java lang NullPointerException: Attempt to invoke virtual method  java lang String android content Intent getAction()  on a null object reference_x000D_
       at android app ActivityThread handleServiceArgs(ActivityThread java:4786)_x000D_
       at android app ActivityThread access 1900(ActivityThread java:301)_x000D_
       at android app ActivityThread H handleMessage(ActivityThread java:2188)_x000D_
       at android os Handler dispatchMessage(Handler java:106)_x000D_
       at android os Looper loop(Looper java:246)_x000D_
       at android app ActivityThread main(ActivityThread java:8587)_x000D_
       at java lang reflect Method invoke(Method java)_x000D_
       at com android internal os RuntimeInit MethodAndArgsCaller run(RuntimeInit java:602)_x000D_
       at com android internal os ZygoteInit main(ZygoteInit java:1130)_x000D_
_x000D_
   _x000D_
  Can it be reproduced in demo app  _x000D_
no_x000D_
_x000D_
  HBRecorder version  _x000D_
2 0 3_x000D_
_x000D_
  Device information  _x000D_
  Samsung Galaxy A20 (90 )  Motorola (5 )  Oppo (5 )_x000D_
  SDK version 30_x000D_
</t>
  </si>
  <si>
    <t>NordicSemiconductor-Android-nRF-Mesh-Library-495</t>
  </si>
  <si>
    <t>App crashes when I try to add Provisioner</t>
  </si>
  <si>
    <t xml:space="preserve">I m using version 3 1 8 of nRF Mesh for Android _x000D_
I imported a network  json (https:  drive google com file d 1e6 N5ULOeHNXqPt7bto1GwqD6gA4AAxv view usp sharing) and am trying to add a new Provisioner  Settings  Provisioners  ADD PROVISIONER _x000D_
At this moment the activity crashes and I land on Settings again </t>
  </si>
  <si>
    <t>PojavLauncherTeam-PojavLauncher-3034</t>
  </si>
  <si>
    <t>After entering SinglePlayer/MultiPlayer, game kicks me out and back to the login screen menu.</t>
  </si>
  <si>
    <t xml:space="preserve">    Describe the bug
I don t know if this is the right place to post  There is no error message  the game instance just closes after joining a server and I m transported back to login screen _x000D_
_x000D_
_x000D_
    The log file and images videos
 13:56:21   main INFO : Loading Minecraft 1 16 5 with Fabric Loader 0 13 3_x000D_
 13:56:21   main INFO : Fabric is preparing JARs on first launch  this may take a few seconds   _x000D_
 13:56:22   main INFO : Loading 75 mods:_x000D_
	  advanced runtime resource pack 0 4 3 via enhancedblockentities_x000D_
	  bobby 1 2 0_x000D_
	  clear skies 1 5 57_x000D_
	  cloth basic math 0 6 0 via cloth config2_x000D_
	  cloth config2 4 14 54_x000D_
	  com typesafe config 1 4 1 via confabricate_x000D_
	  confabricate 2 0 3 4 0 0 via bobby_x000D_
	  cullleaves 2 1 0_x000D_
	  enhancedblockentities 0 4_x000D_
	  entityculling 1 5 1_x000D_
	  fabric 0 42 0 1 16_x000D_
	  fabric api base 0 4 0 3cc0f0907d via fabric_x000D_
	  fabric api lookup api v1 1 3 1 3cc0f0907d via fabric_x000D_
	  fabric biome api v1 3 1 13 3cc0f0907d via fabric_x000D_
	  fabric blockrenderlayer v1 1 1 6 3cc0f0907d via fabric_x000D_
	  fabric command api v1 1 1 3 3cc0f0907d via fabric_x000D_
	  fabric commands v0 0 2 3 3cc0f0907d via fabric_x000D_
	  fabric containers v0 0 1 12 3cc0f0907d via fabric_x000D_
	  fabric content registries v0 0 2 5 3cc0f0907d via fabric_x000D_
	  fabric crash report info v1 0 1 4 3cc0f0907d via fabric_x000D_
	  fabric dimensions v1 2 0 8 3cc0f0907d via fabric_x000D_
	  fabric entity events v1 1 2 4 3cc0f0907d via fabric_x000D_
	  fabric events interaction v0 0 4 5 3cc0f0907d via fabric_x000D_
	  fabric events lifecycle v0 0 2 2 3cc0f0907d via fabric_x000D_
	  fabric game rule api v1 1 0 7 3cc0f0907d via fabric_x000D_
	  fabric item api v1 1 2 2 3cc0f0907d via fabric_x000D_
	  fabric item groups v0 0 3 1 3cc0f0907d via fabric_x000D_
	  fabric key binding api v1 1 0 5 3cc0f0907d via fabric_x000D_
	  fabric keybindings v0 0 2 2 3cc0f0907d via fabric_x000D_
	  fabric lifecycle events v1 1 2 2 3cc0f0907d via fabric_x000D_
	  fabric loot tables v1 1 0 3 3cc0f0907d via fabric_x000D_
	  fabric mining levels v0 0 1 4 3cc0f0907d via fabric_x000D_
	  fabric models v0 0 3 1 3cc0f0907d via fabric_x000D_
	  fabric networking api v1 1 0 5 3cc0f0907d via fabric_x000D_
	  fabric networking blockentity v0 0 2 9 3cc0f0907d via fabric_x000D_
	  fabric networking v0 0 3 3 3cc0f0907d via fabric_x000D_
	  fabric object builder api v1 1 9 6 3cc0f0907d via fabric_x000D_
	  fabric object builders v0 0 7 3 3cc0f0907d via fabric_x000D_
	  fabric particles v1 0 2 5 3cc0f0907d via fabric_x000D_
	  fabric registry sync v0 0 7 6 3cc0f0907d via fabric_x000D_
	  fabric renderer api v1 0 4 5 3cc0f0907d via fabric_x000D_
	  fabric renderer indigo 0 4 5 3cc0f0907d via fabric_x000D_
	  fabric renderer registries v1 2 3 1 3cc0f0907d via fabric_x000D_
	  fabric rendering data attachment v1 0 1 6 3cc0f0907d via fabric_x000D_
	  fabric rendering fluids v1 0 1 15 3cc0f0907d via fabric_x000D_
	  fabric rendering v0 1 1 3 3cc0f0907d via fabric_x000D_
	  fabric rendering v1 1 6 1 3cc0f0907d via fabric_x000D_
	  fabric resource loader v0 0 4 8 3cc0f0907d via fabric_x000D_
	  fabric screen api v1 1 0 1 3cc0f0907d via fabric_x000D_
	  fabric screen handler api v1 1 1 6 3cc0f0907d via fabric_x000D_
	  fabric structure api v1 1 1 12 3cc0f0907d via fabric_x000D_
	  fabric tag extensions v0 1 1 2 3cc0f0907d via fabric_x000D_
	  fabric textures v0 1 0 7 3cc0f0907d via fabric_x000D_
	  fabric tool attribute api v1 1 2 8 3cc0f0907d via fabric_x000D_
	  fabric transfer api v1 1 5 0 3cc0f0907d via fabric_x000D_
	  fabricloader 0 13 3_x000D_
	  indium 1 0 0 mc1 16 5_x000D_
	  io leangen geantyref geantyref 1 3 11 via confabricate_x000D_
	  java 8_x000D_
	  lambdabettergrass 1 0 3 1 16_x000D_
	  lazydfu 0 1 2_x000D_
	  lithium 0 6 6_x000D_
	  logical zoom 0 0 8_x000D_
	  minecraft 1 16 5_x000D_
	  modmenu 1 16 22_x000D_
	  org aperlambda lambdajcommon 1 8 1 via spruceui_x000D_
	  org spongepowered configurate core 4 0 0 via confabricate_x000D_
	  org spongepowered configurate extra dfu4 4 0 0 via confabricate_x000D_
	  org spongepowered configurate gson 4 0 0 via confabricate_x000D_
	  org spongepowered configurate hocon 4 0 0 via confabricate_x000D_
	  phosphor 0 8 0_x000D_
	  replaymod 1 16 4 2 6 4_x000D_
	  sodium 0 2 0 build 4_x000D_
	  spruceui 2 0 4 1 16 via lambdabettergrass_x000D_
	  xaerominimap 22 4 0_x000D_
 13:56:22   main INFO : SpongePowered MIXIN Subsystem Version 0 8 5 Source file: storage emulated 0 Android data net kdt pojavlaunch files  minecraft libraries net fabricmc sponge mixin 0 11 2 mixin 0 8 5 sponge mixin 0 11 2 mixin 0 8 5 jar Service Knot Fabric Env CLIENT_x000D_
 13:56:22   main INFO : Loaded configuration file for Lithium: 80 options available  0 override(s) found_x000D_
 13:56:22   main WARN : Reference map  mixins nonmmlauncher replaymod refmap json  for mixins nonmmlauncher replaymod json could not be read  If this is a development environment you can ignore this message_x000D_
 13:56:22   main INFO : Loaded configuration file for Sodium: 24 options available  0 override(s) found_x000D_
 13:56:24   main INFO : I used the json to destroy the json_x000D_
 13:56:24   main WARN : Error loading class: net optifine render ChunkVisibility (java lang ClassNotFoundException: net optifine render ChunkVisibility)_x000D_
 13:56:24   main WARN : Error loading class: shadersmod client ShadersRender (java lang ClassNotFoundException: shadersmod client ShadersRender)_x000D_
 13:56:24   main WARN : Error loading class: net optifine shaders ShadersRender (java lang ClassNotFoundException: net optifine shaders ShadersRender)_x000D_
 13:56:24   main WARN : Error loading class: net coderbot iris uniforms CommonUniforms (java lang ClassNotFoundException: net coderbot iris uniforms CommonUniforms)_x000D_
 13:56:24   main WARN : Error loading class: net coderbot iris Iris (java lang ClassNotFoundException: net coderbot iris Iris)_x000D_
 13:56:32   main INFO : Environment: authHost  https:  authserver mojang com   accountsHost  https:  api mojang com   sessionHost  https:  sessionserver mojang com   servicesHost  https:  api minecraftservices com   name  PROD _x000D_
 13:56:33   main INFO : Setting user: bazet1254_x000D_
 13:56:34   main WARN : Invalid config  creating new one _x000D_
 13:56:35   main INFO :  Indigo  Different rendering plugin detected  not applying Indigo _x000D_
 13:56:35   main INFO :  LambdaBetterGrass  Initializing LambdaBetterGrass   _x000D_
 13:56:35   main INFO :  LambdaBetterGrass  Configuration loaded _x000D_
 13:56:35   main WARN : WARNING  Mod clear skies is only using deprecated  modmenu:api  custom value  This will be removed in 1 18 snapshots  so ask the author of this mod to support the new API _x000D_
 13:56:35   main WARN : WARNING  Mod spruceui is only using deprecated  modmenu:api  custom value  This will be removed in 1 18 snapshots  so ask the author of this mod to support the new API _x000D_
 13:56:36   main INFO :  STDERR :  LWJGL  Failed to load a library  Possible solutions:_x000D_
	a) Add the directory that contains the shared library to  Djava library path or  Dorg lwjgl librarypath _x000D_
	b) Add the JAR that contains the shared library to the classpath _x000D_
 13:56:36   main INFO :  STDERR :  LWJGL  Enable debug mode with  Dorg lwjgl util Debug true for better diagnostics _x000D_
 13:56:36   main INFO :  STDERR :  LWJGL  Enable the SharedLibraryLoader debug mode with  Dorg lwjgl util DebugLoader true for better diagnostics _x000D_
 13:56:36   main INFO : Loading Xaero s Minimap   Stage 1 2_x000D_
 13:56:37   main WARN : Skipping bad option: textBackgroundOpacity:_x000D_
 13:56:37   main INFO : Backend library: LWJGL version 3 2 3 SNAPSHOT_x000D_
 13:56:37   main INFO :  STDERR : java lang Exception: Trace exception_x000D_
 13:56:37   main INFO :  STDERR : 	at org lwjgl glfw GLFW glfwMakeContextCurrent(GLFW java:1004)_x000D_
 13:56:37   main INFO :  STDERR : 	at net minecraft class 1041  init (class 1041 java:104)_x000D_
 13:56:37   main INFO :  STDERR : 	at net minecraft class 3682 method 16038(class 3682 java:21)_x000D_
 13:56:37   main INFO :  STDERR : 	at net minecraft class 310  init (class 310 java:461)_x000D_
 13:56:37   main INFO :  STDERR : 	at net minecraft client main Main main(Main java:177)_x000D_
 13:56:37   main INFO :  STDERR : 	at sun reflect NativeMethodAccessorImpl invoke0(Native Method)_x000D_
 13:56:37   main INFO :  STDERR : 	at sun reflect NativeMethodAccessorImpl invoke(NativeMethodAccessorImpl java:62)_x000D_
 13:56:37   main INFO :  STDERR : 	at sun reflect DelegatingMethodAccessorImpl invoke(DelegatingMethodAccessorImpl java:43)_x000D_
 13:56:37   main INFO :  STDERR : 	at java lang reflect Method invoke(Method java:498)_x000D_
 13:56:37   main INFO :  STDERR : 	at net fabricmc loader impl game minecraft MinecraftGameProvider launch(MinecraftGameProvider java:416)_x000D_
 13:56:37   main INFO :  STDERR : 	at net fabricmc loader impl launch knot Knot launch(Knot java:77)_x000D_
 13:56:37   main INFO :  STDERR : 	at net fabricmc loader impl launch knot KnotClient main(KnotClient java:23)_x000D_
 13:56:37   main INFO :  STDOUT : 7d19ab9c00_x000D_
 13:56:39   main WARN : ERROR : Couldn t load Narrator library : Unable to load library  fliteWrapper : Native library (linux aarch64 libfliteWrapper so) not found in resource path ( storage emulated 0 Android data net kdt pojavlaunch files lwjgl3 jsr305 jar: storage emulated 0 Android data net kdt pojavlaunch files lwjgl3 lwjgl glfw classes jar: storage emulated 0 Android data net kdt pojavlaunch files lwjgl3 lwjgl jemalloc jar: storage emulated 0 Android data net kdt pojavlaunch files lwjgl3 lwjgl openal jar: storage emulated 0 Android data net kdt pojavlaunch files lwjgl3 lwjgl opengl jar: storage emulated 0 Android data net kdt pojavlaunch files lwjgl3 lwjgl stb jar: storage emulated 0 Android data net kdt pojavlaunch files lwjgl3 lwjgl tinyfd jar: storage emulated 0 Android data net kdt pojavlaunch files lwjgl3 lwjgl jar: storage emulated 0 Android data net kdt pojavlaunch files  minecraft libraries com mojang patchy 1 3 9 patchy 1 3 9 jar: storage emulated 0 Android data net kdt pojavlaunch files  minecraft libraries oshi project oshi core 1 1 oshi core 1 1 jar: storage emulated 0 Android data net kdt pojavlaunch files  minecraft libraries net java dev jna jna 4 4 0 jna 4 4 0 jar: storage emulated 0 Android data net kdt pojavlaunch files  minecraft libraries net java dev jna platform 3 4 0 platform 3 4 0 jar: storage emulated 0 Android data net kdt pojavlaunch files  minecraft libraries com ibm icu icu4j 66 1 icu4j 66 1 jar: storage emulated 0 Android data net kdt pojavlaunch files  minecraft libraries com mojang javabridge 1 0 22 javabridge 1 0 22 jar: storage emulated 0 Android data net kdt pojavlaunch files  minecraft libraries net sf jopt simple jopt simple 5 0 3 jopt simple 5 0 3 jar: storage emulated 0 Android data net kdt pojavlaunch files  minecraft libraries io netty netty all 4 1 25 Final netty all 4 1 25 Final jar: storage emulated 0 Android data net kdt pojavlaunch files  minecraft libraries com google guava guava 21 0 guava 21 0 jar: storage emulated 0 Android data net kdt pojavlaunch files  minecraft libraries org apache commons commons lang3 3 5 commons lang3 3 5 jar: storage emulated 0 Android data net kdt pojavlaunch files  minecraft libraries commons io commons io 2 5 commons io 2 5 jar: storage emulated 0 Android data net kdt pojavlaunch files  minecraft libraries commons codec commons codec 1 10 commons codec 1 10 jar: storage emulated 0 Android data net kdt pojavlaunch files  minecraft libraries net java jinput jinput 2 0 5 jinput 2 0 5 jar: storage emulated 0 Android data net kdt pojavlaunch files  minecraft libraries net java jutils jutils 1 0 0 jutils 1 0 0 jar: storage emulated 0 Android data net kdt pojavlaunch files  minecraft libraries com mojang brigadier 1 0 17 brigadier 1 0 17 jar: storage emulated 0 Android data net kdt pojavlaunch files  minecraft libraries com mojang datafixerupper 4 0 26 datafixerupper 4 0 26 jar: storage emulated 0 Android data net kdt pojavlaunch files  minecraft libraries com google code gson gson 2 8 0 gson 2 8 0 jar: storage emulated 0 Android data net kdt pojavlaunch files  minecraft libraries com mojang authlib 2 1 28 authlib 2 1 28 jar: storage emulated 0 Android data net kdt pojavlaunch files  minecraft libraries org apache commons commons compress 1 8 1 commons compress 1 8 1 jar: storage emulated 0 Android data net kdt pojavlaunch files  minecraft libraries org apache httpcomponents httpclient 4 3 3 httpclient 4 3 3 jar: storage emulated 0 Android data net kdt pojavlaunch files  minecraft libraries commons logging commons logging 1 1 3 commons logging 1 1 3 jar: storage emulated 0 Android data net kdt pojavlaunch files  minecraft libraries org apache httpcomponents httpcore 4 3 2 httpcore 4 3 2 jar: storage emulated 0 Android data net kdt pojavlaunch files  minecraft libraries it unimi dsi fastutil 8 2 1 fastutil 8 2 1 jar: storage emulated 0 Android data net kdt pojavlaunch files  minecraft libraries org apache logging log4j log4j api 2 8 1 log4j api 2 8 1 jar: storage emulated 0 Android data net kdt pojavlaunch files  minecraft libraries org apache logging log4j log4j core 2 8 1 log4j core 2 8 1 jar: storage emulated 0 Android data net kdt pojavlaunch files  minecraft libraries com mojang text2speech 1 11 3 text2speech 1 11 3 jar: storage emulated 0 Android data net kdt pojavlaunch files  minecraft libraries com mojang text2speech 1 11 3 text2speech 1 11 3 jar: storage emulated 0 Android data net kdt pojavlaunch files  minecraft libraries ca weblite java objc bridge 1 0 0 java objc bridge 1 0 0 jar: storage emulated 0 Android data net kdt pojavlaunch files  minecraft libraries ca weblite java objc bridge 1 0 0 java objc bridge 1 0 0 jar: storage emulated 0 Android data net kdt pojavlaunch files  minecraft libraries net fabricmc tiny mappings parser 0 3 0 build 17 tiny mappings parser 0 3 0 build 17 jar: storage emulated 0 Android data net kdt pojavlaunch files  minecraft libraries net fabricmc sponge mixin 0 11 2 mixin 0 8 5 sponge mixin 0 11 2 mixin 0 8 5 jar: storage emulated 0 Android data net kdt pojavlaunch files  minecraft libraries net fabricmc tiny remapper 0 8 1 tiny remapper 0 8 1 jar: storage emulated 0 Android data net kdt pojavlaunch files  minecraft libraries net fabricmc access widener 2 1 0 access widener 2 1 0 jar: storage emulated 0 Android data net kdt pojavlaunch files  minecraft libraries org ow2 asm asm 9 2 asm 9 2 jar: storage emulated 0 Android data net kdt pojavlaunch files  minecraft libraries org ow2 asm asm analysis 9 2 asm analysis 9 2 jar: storage emulated 0 Android data net kdt pojavlaunch files  minecraft libraries org ow2 asm asm commons 9 2 asm commons 9 2 jar: storage emulated 0 Android data net kdt pojavlaunch files  minecraft libraries org ow2 asm asm tree 9 2 asm tree 9 2 jar: storage emulated 0 Android data net kdt pojavlaunch files  minecraft libraries org ow2 asm asm util 9 2 asm util 9 2 jar: storage emulated 0 Android data net kdt pojavlaunch files  minecraft libraries net fabricmc intermediary 1 16 5 intermediary 1 16 5 jar: storage emulated 0 Android data net kdt pojavlaunch files  minecraft libraries net fabricmc fabric loader 0 13 3 fabric loader 0 13 3 jar: storage emulated 0 Android data net kdt pojavlaunch files  minecraft versions fabric loader 0 13 3 1 16 5 fabric loader 0 13 3 1 16 5 jar)_x000D_
 13:56:39   main INFO : Reloading ResourceManager: Default  Runtime Resource Packebe:pack  Fabric Mods (Runtime Resource Pack  Bobby  Clear Skies  Cloth Config v4  Cull Leaves  Enhanced Block Entities  EntityCulling Fabric  Fabric API  Fabric API Base  Fabric API Lookup API (v1)  Fabric Biome API (v1)  Fabric BlockRenderLayer Registration (v1)  Fabric Command API (v1)  Fabric Commands (v0)  Fabric Containers (v0)  Fabric Content Registries (v0)  Fabric Crash Report Info (v1)  Fabric Dimensions API (v1)  Fabric Entity Events (v1)  Fabric Events Interaction (v0)  Fabric Events Lifecycle (v0)  Fabric Game Rule API (v1)  Fabric Item API (v1)  Fabric Item Groups (v0)  Fabric Key Binding API (v1)  Fabric Key Bindings (v0)  Fabric Lifecycle Events (v1)  Fabric Loot Tables (v1)  Fabric Mining Levels (v0)  Fabric Models (v0)  Fabric Networking API (v1)  Fabric Networking Block Entity (v0)  Fabric Networking (v0)  Fabric Object Builder API (v1)  Fabric Object Builders (v0)  Fabric Particles (v1)  Fabric Registry Sync (v0)  Fabric Renderer API (v1)  Fabric Renderer   Indigo  Fabric Renderer Registries (v1)  Fabric Rendering Data Attachment (v1)  Fabric Rendering Fluids (v1)  Fabric Rendering (v0)  Fabric Rendering (v1)  Fabric Resource Loader (v0)  Fabric Screen API (v1)  Fabric Screen Handler API (v1)  Fabric Structure API (v1)  Fabric Tag Extensions (v0)  Fabric Textures (v0)  Fabric Tool Attribute API (v1)  Fabric Transfer API (v1)  Fabric Loader  Indium  LambdaBetterGrass  LazyDFU  Lithium  Logical Zoom  Mod Menu  Phosphor  Replay Mod  Sodium  SpruceUI  Xaero s Minimap)  lambdabettergrass default  cullleaves smartleaves  replaymod lang_x000D_
 13:56:39   main INFO : ARRP register   before vanilla_x000D_
 13:56:39   main INFO : ARRP register   after vanilla_x000D_
 13:56:39   main INFO :  LambdaBetterGrass  Inject generated resource packs _x000D_
 13:56:39   main INFO : Loading Xaero s Minimap   Stage 2 2_x000D_
 13:56:40   main INFO : No Optifine _x000D_
 13:56:45   main INFO :  language  is an unsupported metadata key _x000D_
 13:56:45   main INFO : OpenAL initialized _x000D_
 13:56:45   main INFO : Sound engine started_x000D_
 13:56:45   main INFO : Created: 1024x1024x0 minecraft:textures atlas blocks png atlas_x000D_
 13:56:45   main INFO : Created: 256x128x0 minecraft:textures atlas signs png atlas_x000D_
 13:56:45   main INFO : Created: 1024x512x0 minecraft:textures atlas banner patterns png atlas_x000D_
 13:56:45   main INFO : Created: 1024x512x0 minecraft:textures atlas shield patterns png atlas_x000D_
 13:56:45   main INFO : Created: 256x256x0 minecraft:textures atlas chest png atlas_x000D_
 13:56:45   main INFO : Created: 512x256x0 minecraft:textures atlas beds png atlas_x000D_
 13:56:45   main INFO : Created: 512x256x0 minecraft:textures atlas shulker boxes png atlas_x000D_
 13:56:45   main WARN : Method overwrite conflict for getSprite in xaerominimap mixins json:MixinBakedQuad  previously written by me jellysquid mods sodium mixin core pipeline MixinBakedQuad  Skipping method _x000D_
 13:56:46   main INFO : Created: 256x256x0 minecraft:textures atlas particles png atlas_x000D_
 13:56:46   main INFO : Created: 256x256x0 minecraft:textures atlas paintings png atlas_x000D_
 13:56:46   main INFO : Created: 256x128x0 minecraft:textures atlas mob effects png atlas_x000D_
 13:56:51   main WARN : Warning  Mod cloth basic math has a broken icon  loading default icon_x000D_
 13:56:51   main WARN : Warning  Mod confabricate has a broken icon  loading default icon_x000D_
 13:57:28   main INFO : closing rrp ebe:pack_x000D_
 13:57:28   main INFO : Reloading ResourceManager: Default  Runtime Resource Packebe:pack  Fabric Mods (Runtime Resource Pack  Bobby  Clear Skies  Cloth Config v4  Cull Leaves  Enhanced Block Entities  EntityCulling Fabric  Fabric API  Fabric API Base  Fabric API Lookup API (v1)  Fabric Biome API (v1)  Fabric BlockRenderLayer Registration (v1)  Fabric Command API (v1)  Fabric Commands (v0)  Fabric Containers (v0)  Fabric Content Registries (v0)  Fabric Crash Report Info (v1)  Fabric Dimensions API (v1)  Fabric Entity Events (v1)  Fabric Events Interaction (v0)  Fabric Events Lifecycle (v0)  Fabric Game Rule API (v1)  Fabric Item API (v1)  Fabric Item Groups (v0)  Fabric Key Binding API (v1)  Fabric Key Bindings (v0)  Fabric Lifecycle Events (v1)  Fabric Loot Tables (v1)  Fabric Mining Levels (v0)  Fabric Models (v0)  Fabric Networking API (v1)  Fabric Networking Block Entity (v0)  Fabric Networking (v0)  Fabric Object Builder API (v1)  Fabric Object Builders (v0)  Fabric Particles (v1)  Fabric Registry Sync (v0)  Fabric Renderer API (v1)  Fabric Renderer   Indigo  Fabric Renderer Registries (v1)  Fabric Rendering Data Attachment (v1)  Fabric Rendering Fluids (v1)  Fabric Rendering (v0)  Fabric Rendering (v1)  Fabric Resource Loader (v0)  Fabric Screen API (v1)  Fabric Screen Handler API (v1)  Fabric Structure API (v1)  Fabric Tag Extensions (v0)  Fabric Textures (v0)  Fabric Tool Attribute API (v1)  Fabric Transfer API (v1)  Fabric Loader  Indium  LambdaBetterGrass  LazyDFU  Lithium  Logical Zoom  Mod Menu  Phosphor  Replay Mod  Sodium  SpruceUI  Xaero s Minimap)  lambdabettergrass default  cullleaves smartleaves  replaymod lang_x000D_
 13:57:28   main INFO : ARRP register   before vanilla_x000D_
 13:57:28   main INFO : ARRP register   after vanilla_x000D_
 13:57:28   main INFO :  LambdaBetterGrass  Inject generated resource packs _x000D_
 13:57:32   main INFO :  language  is an unsupported metadata key _x000D_
 13:57:32   main INFO : OpenAL initialized _x000D_
 13:57:32   main INFO : Sound engine started_x000D_
 13:57:33   main INFO : Created: 1024x1024x0 minecraft:textures atlas blocks png atlas_x000D_
 13:57:33   main INFO : Created: 256x128x0 minecraft:textures atlas signs png atlas_x000D_
 13:57:33   main INFO : Created: 1024x512x0 minecraft:textures atlas banner patterns png atlas_x000D_
 13:57:33   main INFO : Created: 1024x512x0 minecraft:textures atlas shield patterns png atlas_x000D_
 13:57:33   main INFO : Created: 256x256x0 minecraft:textures atlas chest png atlas_x000D_
 13:57:33   main INFO : Created: 512x256x0 minecraft:textures atlas beds png atlas_x000D_
 13:57:33   main INFO : Created: 512x256x0 minecraft:textures atlas shulker boxes png atlas_x000D_
 13:57:33   main INFO : Created: 256x256x0 minecraft:textures atlas particles png atlas_x000D_
 13:57:33   main INFO : Created: 256x256x0 minecraft:textures atlas paintings png atlas_x000D_
 13:57:33   main INFO : Created: 256x128x0 minecraft:textures atlas mob effects png atlas_x000D_
 13:58:49   main WARN : Ambiguity between arguments  teleport  destination  and  teleport  targets  with inputs:  Player  0123   e  dd12be42 52a9 4a91 a8a1 11c01849e498 _x000D_
 13:58:49   main WARN : Ambiguity between arguments  teleport  location  and  teleport  destination  with inputs:  0 1  0 5  9  0 0 0 _x000D_
 13:58:49   main WARN : Ambiguity between arguments  teleport  location  and  teleport  targets  with inputs:  0 1  0 5  9  0 0 0 _x000D_
 13:58:49   main WARN : Ambiguity between arguments  teleport  targets  and  teleport  destination  with inputs:  Player  0123  dd12be42 52a9 4a91 a8a1 11c01849e498 _x000D_
 13:58:49   main WARN : Ambiguity between arguments  teleport  targets  location  and  teleport  targets  destination  with inputs:  0 1  0 5  9  0 0 0 _x000D_
 13:58:49   main INFO : Reloading ResourceManager: Default  Runtime Resource Packebe:pack  Fabric Mods (Fabric Tool Attribute API (v1))  replaymod lang_x000D_
 13:58:49   main INFO : ARRP register   before vanilla_x000D_
 13:58:49   main INFO : ARRP register   after vanilla_x000D_
 13:58:49   main INFO : Loaded 7 recipes_x000D_
 13:58:50   main INFO : Loaded 927 advancements_x000D_
 13:58:50   main INFO : Applied 0 biome modifications to 0 of 79 new biomes in 2 690 ms_x000D_
 13:58:51   main INFO : Environment: authHost  https:  authserver mojang com   accountsHost  https:  api mojang com   sessionHost  https:  sessionserver mojang com   servicesHost  https:  api minecraftservices com   name  PROD _x000D_
 13:58:51   Server thread INFO : Starting integrated minecraft server version 1 16 5_x000D_
 13:58:51   Server thread INFO : Generating keypair_x000D_
 13:58:56   Server thread INFO : Preparing start region for dimension minecraft:overworld_x000D_
 13:58:56   main INFO : Preparing spawn area: 0 _x000D_
 13:58:56   main INFO : Preparing spawn area: 0 _x000D_
 13:58:57   main INFO : Preparing spawn area: 0 _x000D_
 13:58:57   main INFO : Preparing spawn area: 0 _x000D_
 13:58:58   main INFO : Preparing spawn area: 0 _x000D_
 13:58:58   main INFO : Preparing spawn area: 1 _x000D_
 13:58:59   main INFO : Preparing spawn area: 3 _x000D_
 13:58:59   main INFO : Preparing spawn area: 4 _x000D_
 13:59:00   main INFO : Preparing spawn area: 6 _x000D_
 13:59:00   main INFO : Preparing spawn area: 10 _x000D_
 13:59:01   main INFO : Preparing spawn area: 12 _x000D_
 13:59:01   main INFO : Preparing spawn area: 15 _x000D_
 13:59:02   main INFO : Preparing spawn area: 18 _x000D_
 13:59:02   main INFO : Preparing spawn area: 20 _x000D_
 13:59:03   main INFO : Preparing spawn area: 23 _x000D_
 13:59:03   main INFO : Preparing spawn area: 25 _x000D_
 13:59:04   main INFO : Preparing spawn area: 27 _x000D_
 13:59:04   main INFO : Preparing spawn area: 31 _x000D_
 13:59:05   main INFO : Preparing spawn area: 34 _x000D_
 13:59:05   main INFO : Preparing spawn area: 37 _x000D_
 13:59:08   main INFO : Preparing spawn area: 40 _x000D_
 13:59:08   main INFO : Preparing spawn area: 40 _x000D_
 13:59:08   main INFO : Preparing spawn area: 40 _x000D_
 13:59:08   main INFO : Preparing spawn area: 40 _x000D_
 13:59:08   main INFO : Preparing spawn area: 42 _x000D_
 13:59:08   main INFO : Preparing spawn area: 46 _x000D_
 13:59:09   main INFO : Preparing spawn area: 51 _x000D_
 13:59:09   main INFO : Preparing spawn area: 54 _x000D_
 13:59:10   main INFO : Preparing spawn area: 57 _x000D_
 13:59:10   main INFO : Preparing spawn area: 60 _x000D_
 13:59:11   main INFO : Preparing spawn area: 65 _x000D_
 13:59:11   main INFO : Preparing spawn area: 69 _x000D_
 13:59:12   main INFO : Preparing spawn area: 74 _x000D_
 13:59:12   main INFO : Preparing spawn area: 78 _x000D_
 13:59:13   main INFO : Preparing spawn area: 83 _x000D_
 13:59:13   main INFO : Preparing spawn area: 84 _x000D_
 13:59:14   main INFO : Preparing spawn area: 85 _x000D_
 13:59:14   main INFO : Preparing spawn area: 91 _x000D_
 13:59:15   main INFO : Preparing spawn area: 97 _x000D_
 13:59:15   main INFO : Time elapsed: 19195 ms_x000D_
 13:59:15   Server thread INFO : Changing view distance to 2  from 10_x000D_
 13:59:17   Netty Local Client IO  0 INFO :  CHAT   Replay Mod  Recording started_x000D_
 13:59:17   Server thread INFO : bazet1254 local:E:a3814947  logged in with entity id 181 at ( 229 5  73 0   215 5)_x000D_
 13:59:17   Server thread INFO : bazet1254 joined the game_x000D_
 13:59:20   main INFO : New minimap session initialized _x000D_
 13:59:21   main INFO : Started 8 worker threads_x000D_
 13:59:21   Server thread INFO : Saving and pausing game   _x000D_
 13:59:21   Server thread INFO : Saving chunks for level  ServerLevel New World   minecraft:overworld_x000D_
 13:59:21   main INFO : Loaded 0 advancements_x000D_
 13:59:22   Server thread INFO : Saving chunks for level  ServerLevel New World   minecraft:the nether_x000D_
 13:59:22   Server thread INFO : Saving chunks for level  ServerLevel New World   minecraft:the end_x000D_
 13:59:22   Server thread WARN : Can t keep up  Is the server overloaded  Running 2195ms or 43 ticks behind_x000D_
 13:59:22   main INFO : No Iris _x000D_
 13:59:22   main INFO : Reloading entity icon resources   _x000D_
 13:59:22   main INFO : Done  13:56:21   main INFO : Loading Minecraft 1 16 5 with Fabric Loader 0 13 3_x000D_
 13:56:21   main INFO : Fabric is preparing JARs on first launch  this may take a few seconds   _x000D_
 13:56:22   main INFO : Loading 75 mods:_x000D_
	  advanced runtime resource pack 0 4 3 via enhancedblockentities_x000D_
	  bobby 1 2 0_x000D_
	  clear skies 1 5 57_x000D_
	  cloth basic math 0 6 0 via cloth config2_x000D_
	  cloth config2 4 14 54_x000D_
	  com typesafe config 1 4 1 via confabricate_x000D_
	  confabricate 2 0 3 4 0 0 via bobby_x000D_
	  cullleaves 2 1 0_x000D_
	  enhancedblockentities 0 4_x000D_
	  entityculling 1 5 1_x000D_
	  fabric 0 42 0 1 16_x000D_
	  fabric api base 0 4 0 3cc0f0907d via fabric_x000D_
	  fabric api lookup api v1 1 3 1 3cc0f0907d via fabric_x000D_
	  fabric biome api v1 3 1 13 3cc0f0907d via fabric_x000D_
	  fabric blockrenderlayer v1 1 1 6 3cc0f0907d via fabric_x000D_
	  fabric command api v1 1 1 3 3cc0f0907d via fabric_x000D_
	  fabric commands v0 0 2 3 3cc0f0907d via fabric_x000D_
	  fabric containers v0 0 1 12 3cc0f0907d via fabric_x000D_
	  fabric content registries v0 0 2 5 3cc0f0907d via fabric_x000D_
	  fabric crash report info v1 0 1 4 3cc0f0907d via fabric_x000D_
	  fabric dimensions v1 2 0 8 3cc0f0907d via fabric_x000D_
	  fabric entity events v1 1 2 4 3cc0f0907d via fabric_x000D_
	  fabric events interaction v0 0 4 5 3cc0f0907d via fabric_x000D_
	  fabric events lifecycle v0 0 2 2 3cc0f0907d via fabric_x000D_
	  fabric game rule api v1 1 0 7 3cc0f0907d via fabric_x000D_
	  fabric item api v1 1 2 2 3cc0f0907d via fabric_x000D_
	  fabric item groups v0 0 3 1 3cc0f0907d via fabric_x000D_
	  fabric key binding api v1 1 0 5 3cc0f0907d via fabric_x000D_
	  fabric keybindings v0 0 2 2 3cc0f0907d via fabric_x000D_
	  fabric lifecycle events v1 1 2 2 3cc0f0907d via fabric_x000D_
	  fabric loot tables v1 1 0 3 3cc0f0907d via fabric_x000D_
	  fabric mining levels v0 0 1 4 3cc0f0907d via fabric_x000D_
	  fabric models v0 0 3 1 3cc0f0907d via fabric_x000D_
	  fabric networking api v1 1 0 5 3cc0f0907d via fabric_x000D_
	  fabric networking blockentity v0 0 2 9 3cc0f0907d via fabric_x000D_
	  fabric networking v0 0 3 3 3cc0f0907d via fabric_x000D_
	  fabric object builder api v1 1 9 6 3cc0f0907d via fabric_x000D_
	  fabric object builders v0 0 7 3 3cc0f0907d via fabric_x000D_
	  fabric particles v1 0 2 5 3cc0f0907d via fabric_x000D_
	  fabric registry sync v0 0 7 6 3cc0f0907d via fabric_x000D_
	  fabric renderer api v1 0 4 5 3cc0f0907d via fabric_x000D_
	  fabric renderer indigo 0 4 5 3cc0f0907d via fabric_x000D_
	  fabric renderer registries v1 2 3 1 3cc0f0907d via fabric_x000D_
	  fabric rendering data attachment v1 0 1 6 3cc0f0907d via fabric_x000D_
	  fabric rendering fluids v1 0 1 15 3cc0f0907d via fabric_x000D_
	  fabric rendering v0 1 1 3 3cc0f0907d via fabric_x000D_
	  fabric rendering v1 1 6 1 3cc0f0907d via fabric_x000D_
	  fabric resource loader v0 0 4 8 3cc0f0907d via fabric_x000D_
	  fabric screen api v1 1 0 1 3cc0f0907d via fabric_x000D_
	  fabric screen handler api v1 1 1 6 3cc0f0907d via fabric_x000D_
	  fabric structure api v1 1 1 12 3cc0f0907d via fabric_x000D_
	  fabric tag extensions v0 1 1 2 3cc0f0907d via fabric_x000D_
	  fabric textures v0 1 0 7 3cc0f0907d via fabric_x000D_
	  fabric tool attribute api v1 1 2 8 3cc0f0907d via fabric_x000D_
	  fabric transfer api v1 1 5 0 3cc0f0907d via fabric_x000D_
	  fabricloader 0 13 3_x000D_
	  indium 1 0 0 mc1 16 5_x000D_
	  io leangen geantyref geantyref 1 3 11 via confabricate_x000D_
	  java 8_x000D_
	  lambdabettergrass 1 0 3 1 16_x000D_
	  lazydfu 0 1 2_x000D_
	  lithium 0 6 6_x000D_
	  logical zoom 0 0 8_x000D_
	  minecraft 1 16 5_x000D_
	  modmenu 1 16 22_x000D_
	  org aperlambda lambdajcommon 1 8 1 via spruceui_x000D_
	  org spongepowered configurate core 4 0 0 via confabricate_x000D_
	  org spongepowered configurate extra dfu4 4 0 0 via confabricate_x000D_
	  org spongepowered configurate gson 4 0 0 via confabricate_x000D_
	  org spongepowered configurate hocon 4 0 0 via confabricate_x000D_
	  phosphor 0 8 0_x000D_
	  replaymod 1 16 4 2 6 4_x000D_
	  sodium 0 2 0 build 4_x000D_
	  spruceui 2 0 4 1 16 via lambdabettergrass_x000D_
	  xaerominimap 22 4 0_x000D_
 13:56:22   main INFO : SpongePowered MIXIN Subsystem Version 0 8 5 Source file: storage emulated 0 Android data net kdt pojavlaunch files  minecraft libraries net fabricmc sponge mixin 0 11 2 mixin 0 8 5 sponge mixin 0 11 2 mixin 0 8 5 jar Service Knot Fabric Env CLIENT_x000D_
 13:56:22   main INFO : Loaded configuration file for Lithium: 80 options available  0 override(s) found_x000D_
 13:56:22   main WARN : Reference map  mixins nonmmlauncher replaymod refmap json  for mixins nonmmlauncher replaymod json could not be read  If this is a development environment you can ignore this message_x000D_
 13:56:22   main INFO : Loaded configuration file for Sodium: 24 options available  0 override(s) found_x000D_
 13:56:24   main INFO : I used the json to destroy the json_x000D_
 13:56:24   main WARN : Error loading class: net optifine render ChunkVisibility (java lang ClassNotFoundException: net optifine render ChunkVisibility)_x000D_
 13:56:24   main WARN : Error loading class: shadersmod client ShadersRender (java lang ClassNotFoundException: shadersmod client ShadersRender)_x000D_
 13:56:24   main WARN : Error loading class: net optifine shaders ShadersRender (java lang ClassNotFoundException: net optifine shaders ShadersRender)_x000D_
 13:56:24   main WARN : Error loading class: net coderbot iris uniforms CommonUniforms (java lang ClassNotFoundException: net coderbot iris uniforms CommonUniforms)_x000D_
 13:56:24   main WARN : Error loading class: net coderbot iris Iris (java lang ClassNotFoundException: net coderbot iris Iris)_x000D_
 13:56:32   main INFO : Environment: authHost  https:  authserver mojang com   accountsHost  https:  api mojang com   sessionHost  https:  sessionserver mojang com   servicesHost  https:  api minecraftservices com   name  PROD _x000D_
 13:56:33   main INFO : Setting user: bazet1254_x000D_
 13:56:34   main WARN : Invalid config  creating new one _x000D_
 13:56:35   main INFO :  Indigo  Different rendering plugin detected  not applying Indigo _x000D_
 13:56:35   main INFO :  LambdaBetterGrass  Initializing LambdaBetterGrass   _x000D_
 13:56:35   main INFO :  LambdaBetterGrass  Configuration loaded _x000D_
 13:56:35   main WARN : WARNING  Mod clear skies is only using deprecated  modmenu:api  custom value  This will be removed in 1 18 snapshots  so ask the author of this mod to support the new API _x000D_
 13:56:35   main WARN : WARNING  Mod spruceui is only using deprecated  modmenu:api  custom value  This will be removed in 1 18 snapshots  so ask the author of this mod to support the new API _x000D_
 13:56:36   main INFO :  STDERR :  LWJGL  Failed to load a library  Possible solutions:_x000D_
	a) Add the directory that contains the shared library to  Djava library path or  Dorg lwjgl librarypath _x000D_
	b) Add the JAR that contains the shared library to the classpath _x000D_
 13:56:36   main INFO :  STDERR :  LWJGL  Enable debug mode with  Dorg lwjgl util Debug true for better diagnostics _x000D_
 13:56:36   main INFO :  STDERR :  LWJGL  Enable the SharedLibraryLoader debug mode with  Dorg lwjgl util DebugLoader true for better diagnostics _x000D_
 13:56:36 </t>
  </si>
  <si>
    <t>Azure-azure-iot-sdk-java-1518</t>
  </si>
  <si>
    <t>Android App getting crashed in the Android 12  Caused by: java.lang.NoSuchMethodError: No static method encodeBase64String</t>
  </si>
  <si>
    <t xml:space="preserve">The application is working fine in the lower than Android 12 OS mobile phone but for the Android 12 os Mobile phone getting crashed  while the app checking for the device connection status with the IoT Hub  the exception printStackTrace is as below _x000D_
_x000D_
 Caused by: java lang NoSuchMethodError: No static method encodeBase64String( B)Ljava lang String  in class Lorg apache commons codec binary Base64  or its super classes (declaration of  org apache commons codec binary Base64  appears in  system framework org apache http legacy jar)_x000D_
        at com microsoft azure sdk iot service auth IotHubServiceSasToken buildToken(IotHubServiceSasToken java:119)_x000D_
        at com microsoft azure sdk iot service auth IotHubServiceSasToken  init (IotHubServiceSasToken java:83)_x000D_
        at com microsoft azure sdk iot service auth IotHubServiceSasToken  init (IotHubServiceSasToken java:56)_x000D_
        at com microsoft azure sdk iot service devicetwin DeviceTwin getAuthenticationToken(DeviceTwin java:747)_x000D_
        at com microsoft azure sdk iot service devicetwin DeviceTwin getTwinOperation(DeviceTwin java:219)_x000D_
        at com microsoft azure sdk iot service devicetwin DeviceTwin getTwin(DeviceTwin java:211)_x000D_
_x000D_
  Context_x000D_
_x000D_
    OS and version used:  Android 12  Api level 31 _x000D_
    Java runtime used:  1 8 _x000D_
    SDK version used:   com microsoft azure sdk iot:iot service client:1 31 0 _x000D_
_x000D_
</t>
  </si>
  <si>
    <t>popcorn-official-popcorn-android-794</t>
  </si>
  <si>
    <t xml:space="preserve">Crashing </t>
  </si>
  <si>
    <t xml:space="preserve">   Describe the bug_x000D_
In version 3 6 9 the app crashes which is fixed in 3 6 10 but now i cant use safe watch when downloading even tho the toggle use safe watch is on  _x000D_
_x000D_
   To Reproduce_x000D_
Steps to reproduce the behavior:_x000D_
1  Go to  open the app _x000D_
_x000D_
   Expected behavior_x000D_
Not crashing _x000D_
_x000D_
   Screenshots_x000D_
If applicable  add screenshots to help explain your problem _x000D_
_x000D_
   Smartphone (please complete the following information):_x000D_
   Device: redmi note 10 pro _x000D_
   OS: android 11  miui 12_x000D_
   Browser chrome _x000D_
   Version chrome version  _x000D_
_x000D_
   Additional context_x000D_
Well it worked before i rooted and unlocked bootloader which makes me think it has root detection  It has something to do with that I rooted and unlocked but I have tried disabling all mods still not working _x000D_
</t>
  </si>
  <si>
    <t>TeamNewPipe-NewPipe-8153</t>
  </si>
  <si>
    <t>Add support of other delivery methods than progressive HTTP (in the player only), use DASH to fetch YouTube progressive contents, fix extraction of PeerTube streams with separate audio stream and more</t>
  </si>
  <si>
    <t xml:space="preserve">     What is it _x000D_
   x  Bugfix (user facing)_x000D_
   x  Feature (user facing)_x000D_
_x000D_
     Description of the changes in your PR_x000D_
This PR superseeds  6537 and adds so support of other delivery methods of contents than progressive HTTP  in the player only  It also:_x000D_
_x000D_
    fixes seeking of PeerTube HLS streams  by using streams  HLS manifests to play HLS streams _x000D_
    fixes the lack of some streams on some YouTube videos (OTF streams) _x000D_
    improves a lot loading times of YouTube streams  after a quality change or a playback start (progressive streams are now using DASH to fetch contents  and the current way is used as a fallback if something goes wrong when generating the DASH manifest associated to this stream) _x000D_
    fixes the extraction of YouTube ended livestreams as livestreams (this type of streams is not interpreted anymore as them but as a separate type instead  look at the extractor PR for more details)  which also:_x000D_
      fixes watch count interpreted as watching count _x000D_
      fixes the watchable time of these contents (full content instead of the last 2 or 4 hours  depending of the length returned in the HLS manifest) _x000D_
    fixes the crash when trying to play PeerTube videos with a separate audio stream _x000D_
    improves the quality selection for external players dialog  by adding a title to it and a message when no streams are available for external players (see  Before After Screenshots Screen Record  section) _x000D_
_x000D_
 details _x000D_
 summary Detailed changes  summary _x000D_
_x000D_
   External players:_x000D_
_x000D_
    Add a message instruction about stream selection _x000D_
    Add a message when there is no stream available for external players _x000D_
    Return now HLS  DASH and SmoothStreaming URL contents  in addition to progressive HTTP ones _x000D_
_x000D_
   Player:_x000D_
_x000D_
    Support DASH  HLS and SmoothStreaming streams for videos  whether they are content URLs or the manifests themselves  in addition to progressive HTTP ones _x000D_
    Use a custom  HttpDataSource  to play YouTube contents  named  YoutubeHttpDataSource   based of ExoPlayer s default one  which allows better spoofing of official clients (custom user agent and headers (depending of the client used)  use of  range  and  rn  (set dynamically by the  DataSource ) parameters) _x000D_
    Fetch YouTube progressive contents as DASH streams  like official clients  and supports full playback of livestreams which have ended recently _x000D_
    Use ExoPlayer s default retries count for contents on non fatal errors (instead of  Integer MAX VALUE  for non live contents and 5 for live contents) _x000D_
_x000D_
   Download dialog:_x000D_
_x000D_
    Add message about support of progressive HTTP streams only for downloading _x000D_
    Remove several duplicated code and update relevant usages _x000D_
    Support downloading of contents with an unknown media format _x000D_
_x000D_
    ListHelper :_x000D_
_x000D_
    Catch  NumberFormatException  when trying to compare two video streams between them _x000D_
_x000D_
   Tests:_x000D_
_x000D_
    Update  ListHelperTest  and  StreamItemAdapterTest  to fix breaking changes in the extractor _x000D_
_x000D_
   Other places:_x000D_
_x000D_
    Fixes deprecation of changes made in the extractor _x000D_
    Improve some code related to the files changed _x000D_
  details _x000D_
_x000D_
     Before After Screenshots Screen Record_x000D_
  Before:_x000D_
_x000D_
    Stream selection for external players   Download dialog  _x000D_
                                                             _x000D_
     img src  https:  user images githubusercontent com 74829229 161837668 b05b5f49 1b73 4a49 aba9 5fc91a7fb8f7 jpg  width  350px  alt  select quality stream dialog before                                          img src  https:  user images githubusercontent com 74829229 161837733 95917b9e 7158 48cf b56e c9db59d9d5c4 jpg  width  350px  alt  download dialog before                  _x000D_
_x000D_
  After:_x000D_
_x000D_
    Stream selection for external players   Download dialog  _x000D_
                                                             _x000D_
     video src  https:  user images githubusercontent com 74829229 163247382 b98ef145 1375 4da4 8611 cdc378bc2f0d mp4  controls      video                                         img src  https:  user images githubusercontent com 74829229 161837703 2a2e37be 2476 4770 a84e 3f2728f3df11 jpg  width  350px  alt  download dialog after                  _x000D_
_x000D_
  New:_x000D_
_x000D_
    Stream selection for external players when no stream is available  _x000D_
                                           _x000D_
     img src  https:  user images githubusercontent com 74829229 163247248 114ee31b dc08 4705 b417 62126e1748af jpg  width  350px  alt  select quality stream dialog no stream available                                        _x000D_
_x000D_
     Fixes the following issue(s)_x000D_
  Fixes  2415  fixes  6860  helps for  6949_x000D_
_x000D_
     Relies on the following changes_x000D_
  TeamNewPipe NewPipeExtractor 810_x000D_
_x000D_
     APK testing _x000D_
The APK can be found by going to the  Checks  tab below the title  On the left pane  click on  CI   scroll down to  artifacts  and click  app  to download the zip file which contains the debug APK of this PR _x000D_
_x000D_
     Due diligence_x000D_
   x  I read the  contribution guidelines (https:  github com TeamNewPipe NewPipe blob HEAD  github CONTRIBUTING md) </t>
  </si>
  <si>
    <t>deltachat-deltachat-android-2263</t>
  </si>
  <si>
    <t>Account no longer loaded after restore of backup (#2)</t>
  </si>
  <si>
    <t xml:space="preserve">  Android version:_x000D_
Android 11 _x000D_
_x000D_
  Device:_x000D_
Fairphone FP2 (Lineage OS 18 1 build RQ3A 210705 001 from 2022 04 01) _x000D_
_x000D_
  Delta Chat version:_x000D_
1 29 0 (nightly built 2022 04 04) _x000D_
_x000D_
  Expected behavior:_x000D_
After a backup has been restored  Delta Chat loads the respective account _x000D_
_x000D_
  Actual behavior:_x000D_
After a backup has been restored  Delta Chat does not load the respective account  (The app does not crash or hang  but it stays at the welcome screen and does not continue by itself )_x000D_
_x000D_
  Steps to reproduce the problem:_x000D_
   Install Delta Chat _x000D_
   Open Delta Chat and restore a backup  While the backup is restored  let your device enter sleep mode for a few seconds  but wake it up shortly afterwards _x000D_
_x000D_
  Screenshots:_x000D_
N A _x000D_
_x000D_
  Logs:_x000D_
N A </t>
  </si>
  <si>
    <t>PojavLauncherTeam-PojavLauncher-3027</t>
  </si>
  <si>
    <t>Jre17 not work</t>
  </si>
  <si>
    <t xml:space="preserve">    Describe the bug
I clicked play when i had java runtime 17 as default and it crashed and gave me a error and wont let me play and i tried switching to the one it gives you but that didn t work either 
    The log file and images videos
java lang RuntimeException: Architecture arm is incompatible with Java Runtime aarch64 _x000D_
	at net kdt pojavlaunch utils JREUtils checkJavaArchitecture(JREUtils java:43)_x000D_
	at net kdt pojavlaunch BaseMainActivity runCraft(BaseMainActivity java:725)_x000D_
	at net kdt pojavlaunch BaseMainActivity access 1300(BaseMainActivity java:36)_x000D_
	at net kdt pojavlaunch BaseMainActivity 4 lambda onSurfaceTextureAvailable 0 BaseMainActivity 4(BaseMainActivity java:552)_x000D_
	at net kdt pojavlaunch    Lambda BaseMainActivity 4 zq 3Ecok LKbTEHUCxKaZo 5qB4 run(Unknown Source:2)_x000D_
	at java lang Thread run(Thread java:919)_x000D_
    Steps To Reproduce
   markdown
I do not know what to put here
    Expected Behavior
Above is description
    Platform
   markdown
  Device model: LG LMK500_x000D_
  CPU architecture: aarch64_x000D_
  Android version: 10_x000D_
  PojavLauncher version: Latest release
    Anything else 
 No response </t>
  </si>
  <si>
    <t>PojavLauncherTeam-PojavLauncher-3025</t>
  </si>
  <si>
    <t>[BUG] 1.18 crashes fix it pls</t>
  </si>
  <si>
    <t xml:space="preserve">    Describe the bug
When the game loaded to mojang screen in log there is a error in last aw browser crash code 1_x000D_
 latestlog txt (https:  github com PojavLauncherTeam PojavLauncher files 8416790 latestlog txt)_x000D_
    The log file and images videos
I already uploaded 
    Steps To Reproduce
   markdown
Start 1 18 optifine _x000D_
Game crashes
    Expected Behavior
Yes
    Platform
   markdown
  Device model: vivo 1820_x000D_
  CPU architecture: 64_x000D_
  Android version: 8 1 0_x000D_
  PojavLauncher version: github
    Anything else 
No</t>
  </si>
  <si>
    <t>aws-amplify-amplify-android-1693</t>
  </si>
  <si>
    <t>Usage of API 24+ API in DataStore crashes App when running on API 22 while minSdkVersion saying API 16 is required</t>
  </si>
  <si>
    <t xml:space="preserve">    Before opening  please confirm:
   X  I have  searched for duplicate or closed issues (https:  github com aws amplify amplify android issues q is 3Aissue ) and  discussions (https:  github com aws amplify amplify android discussions) 
    Language and Async Model
Java
    Amplify Categories
DataStore
    Gradle script dependencies
 details _x000D_
_x000D_
   groovy_x000D_
   Put output below this line_x000D_
_x000D_
_x000D_
   _x000D_
_x000D_
  details _x000D_
    Environment information
 details _x000D_
_x000D_
   _x000D_
  Put output below this line_x000D_
_x000D_
_x000D_
   _x000D_
_x000D_
  details _x000D_
    Please include any relevant guides or documentation you re referencing
 No response 
    Describe the bug
In  gradle build  the  minSdkVersion  is defined as  16   meaning API 16 is require to run the App built with  amplify android  _x000D_
_x000D_
https:  github com aws amplify amplify android blob 880a182814514f9bce2c914ced44756f8af52f40 build gradle L56 L58_x000D_
_x000D_
However  usage of API provided by API 24  exists in the codebase  e g _x000D_
_x000D_
https:  github com aws amplify amplify android blob 880a182814514f9bce2c914ced44756f8af52f40 aws datastore src main java com amplifyframework datastore syncengine SyncProcessor java L248 L250_x000D_
_x000D_
The  AtomicReference accumulateAndGet   was added in API 24 (https:  developer android com reference java util concurrent atomic AtomicReference getAndAccumulate(V  20java util function BinaryOperator 3CV 3E)) _x000D_
_x000D_
And when developer tries to deploy App and run  e g  on API 22  App crashes _x000D_
_x000D_
   _x000D_
Fatal Exception: java lang NoClassDefFoundError: com amplifyframework datastore syncengine SyncProcessor  ExternalSyntheticLambda13_x000D_
       at com amplifyframework datastore syncengine SyncProcessor lambda syncModel 13(SyncProcessor java:249)_x000D_
       at com amplifyframework datastore syncengine SyncProcessor  r8 lambda 2cJLxw0MiDnoj5SD1yHgXEAXleg(SyncProcessor java)_x000D_
       at com amplifyframework datastore syncengine SubscriptionProcessor  InternalSyntheticLambda 0 dad4a5859176b69f01dda9628153ddd3768e4a48c8c9943a26aea231e4ca30ff 3 test bridge(SubscriptionProcessor java)_x000D_
       at io reactivex rxjava3 internal operators flowable FlowableTakeUntilPredicate InnerSubscriber onNext(FlowableTakeUntilPredicate java:60)_x000D_
       at io reactivex rxjava3 internal operators flowable FlowableMap MapSubscriber onNext(FlowableMap java:69)_x000D_
       at io reactivex rxjava3 internal operators flowable FlowableDoOnEach DoOnEachSubscriber onNext(FlowableDoOnEach java:92)_x000D_
       at io reactivex rxjava3 internal util HalfSerializer onNext(HalfSerializer java:45)_x000D_
   _x000D_
_x000D_
The  minSdkVersion  should reflect the actual required API level 
    Reproduction steps (if applicable)
 No response 
    Code Snippet
   java_x000D_
   Put your code below this line _x000D_
_x000D_
   _x000D_
    Log output
 details _x000D_
_x000D_
   _x000D_
   Put your logs below this line_x000D_
_x000D_
_x000D_
   _x000D_
_x000D_
  details _x000D_
    amplifyconfiguration json
 No response 
    GraphQL Schema
 details _x000D_
_x000D_
   graphql_x000D_
   Put your schema below this line_x000D_
_x000D_
_x000D_
   _x000D_
_x000D_
  details _x000D_
    Additional information and screenshots
 No response </t>
  </si>
  <si>
    <t>mercadopago-px-android-2696</t>
  </si>
  <si>
    <t>[Fix]: PXN-3576 - Handler error when customOptionId is invalid</t>
  </si>
  <si>
    <t xml:space="preserve">      Escribir un resumen de los cambios en el T tulo de arriba    _x000D_
_x000D_
   Motivaci n y Contexto_x000D_
       Por qu  este cambio es requerido   Qu  problema resuelve     _x000D_
_x000D_
Add runCatching to handle errors when calling  createPaymentResult  on  PaymentRepository _x000D_
 PXN 3576 (https:  mercadolibre atlassian net browse PXN 3576)_x000D_
_x000D_
Conclusion: The crash is generated when the preference is not cleared and trying to search in a list that does not contain data  this fix was previously solved by keeping the session in the  PR 2682 (https:  github com mercadopago px android pull 2682) _x000D_
_x000D_
This new PR solves possible crashes in the flow and eliminates the preference when clean up the session  thus preventing a customOptionId from arriving with a different value _x000D_
_x000D_
   Descripci n_x000D_
      Describir los cambios en detalle    _x000D_
_x000D_
For semovi flow the integrator was opening our congrats and in some cases the  customOptionId  has an invalid value  because the sharedPreference is returning null and by default the   customOptionId  is empty_x000D_
_x000D_
   C mo probarlo_x000D_
      Para bug fixes: Describir c mo reproducir el comportamiento que generaba el bug    _x000D_
      Para nuevos features: Se debe agregar el caso de uso a la app de ejemplos  y aqu  se debe describir qu  funci n de la app de ejemplos probar    _x000D_
_x000D_
using the testApp launch a postPaymentFlow  then tap any button in order to show the congrats screen  then stop the flow using the debugger on  TransactionInfoFactory  line number 12 and update the customOptionId value to other value (for example :  test )  then let the flow continue _x000D_
_x000D_
_x000D_
   Screenshots_x000D_
      Para bug fixes: Incluir screenshots o videos del antes y despu s    _x000D_
      Para nuevos features: Incluir screenshots o videos de la nueva UI    _x000D_
Error   Solution_x000D_
           _x000D_
   PXN 3579 error (https:  user images githubusercontent com 90635466 161643683 1f140f0c 456a 4109 9746 bff2a0e65f1c gif)     PXN 3576 solution (https:  user images githubusercontent com 90635466 161641226 4afde8ec 3556 4021 b934 8758e866b933 gif)_x000D_
_x000D_
   Tipo de cambio (para el release manager)_x000D_
      Breaking change (Fix o feature que cambia una funcionalidad existente o rompe firmas)_x000D_
     Describir qu  cambia y como se hace la migraci n    _x000D_
      Mi cambio afecta a los integradores internos_x000D_
     Describir a qu  equipos afecta para poder comunicarlo    _x000D_
_x000D_
   Compartir conocimiento_x000D_
      Compartir links a blog posts  patrones o librer as que se usaron para resolver este problema    _x000D_
_x000D_
</t>
  </si>
  <si>
    <t>ASE-Projekte-WS-2021-ase-ws-21-course-matcher-284</t>
  </si>
  <si>
    <t>Bug: Fix limiting of bio length</t>
  </si>
  <si>
    <t xml:space="preserve">When the bio gets to 4 lines the app crashes  What should happen instead is that the new line characters should be counted as well as the string length and these cases should be handled differently through limiting the new line chars to 3  _x000D_
</t>
  </si>
  <si>
    <t>k9mail-k-9-5999</t>
  </si>
  <si>
    <t>K-9 fails to import settings and then crashes</t>
  </si>
  <si>
    <t xml:space="preserve">    Checklist_x000D_
_x000D_
   X  I have used the search function to see if someone else has already submitted the same bug report _x000D_
   X  I will describe the problem with as much detail as possible _x000D_
_x000D_
    App version_x000D_
_x000D_
5 914 (git 0e78b8aae6bda14aca094298813b50759b50e8cb)_x000D_
_x000D_
    Where did you get the app from _x000D_
_x000D_
Built from source _x000D_
_x000D_
    Android version_x000D_
_x000D_
API level 29_x000D_
_x000D_
    Device model_x000D_
_x000D_
Emulator_x000D_
_x000D_
    Steps to reproduce_x000D_
_x000D_
Export settings and immediately re import  You get a toast  import failed  _x000D_
Clearing the app data and trying to import the settings file also fails _x000D_
_x000D_
_x000D_
There is nothing particularly interesting about the settings  it s a standard IMAP SMTP setup  The emulator is a bit slow due to RAM constraints so I m wondering if there is a race when writing the newly created accounts to storage _x000D_
_x000D_
    Expected behavior_x000D_
_x000D_
K 9 should import the settings_x000D_
_x000D_
    Actual behavior_x000D_
_x000D_
K 9 fails to import the settings with an error message  If you keep trying to import  K 9 completely crashes _x000D_
_x000D_
    Logs_x000D_
_x000D_
logcat says_x000D_
   _x000D_
2022 04 04 16:32:55 897 7076 7076 com fsck k9 debug E SettingsImportViewModel startImportSettings: Error importing settings_x000D_
    com fsck k9 preferences SettingsImportExportException: java lang NullPointerException: Parameter specified as non null is null: method kotlin jvm internal Intrinsics checkNotNullParameter  parameter account_x000D_
        at com fsck k9 preferences SettingsImporter importSettings(SettingsImporter java:298)_x000D_
        at com fsck k9 ui settings import SettingsImportViewModel importSettings(SettingsImportViewModel kt:363)_x000D_
        at com fsck k9 ui settings import SettingsImportViewModel access importSettings(SettingsImportViewModel kt:28)_x000D_
        at com fsck k9 ui settings import SettingsImportViewModel startImportSettings 1 1 1 invokeSuspend(SettingsImportViewModel kt:282)_x000D_
        at kotlin coroutines jvm internal BaseContinuationImpl resumeWith(ContinuationImpl kt:33)_x000D_
        at kotlinx coroutines DispatchedTask run(DispatchedTask kt:106)_x000D_
        at kotlinx coroutines internal LimitedDispatcher run(LimitedDispatcher kt:39)_x000D_
        at kotlinx coroutines scheduling TaskImpl run(Tasks kt:95)_x000D_
        at kotlinx coroutines scheduling CoroutineScheduler runSafely(CoroutineScheduler kt:571)_x000D_
        at kotlinx coroutines scheduling CoroutineScheduler Worker executeTask(CoroutineScheduler kt:750)_x000D_
        at kotlinx coroutines scheduling CoroutineScheduler Worker runWorker(CoroutineScheduler kt:678)_x000D_
        at kotlinx coroutines scheduling CoroutineScheduler Worker run(CoroutineScheduler kt:665)_x000D_
     Caused by: java lang NullPointerException: Parameter specified as non null is null: method kotlin jvm internal Intrinsics checkNotNullParameter  parameter account_x000D_
        at com fsck k9 mailstore SpecialLocalFoldersCreator createSpecialLocalFolders(Unknown Source:2)_x000D_
        at com fsck k9 preferences SettingsImporter importSettings(SettingsImporter java:287)_x000D_
        at com fsck k9 ui settings import SettingsImportViewModel importSettings(SettingsImportViewModel kt:363) _x000D_
        at com fsck k9 ui settings import SettingsImportViewModel access importSettings(SettingsImportViewModel kt:28) _x000D_
        at com fsck k9 ui settings import SettingsImportViewModel startImportSettings 1 1 1 invokeSuspend(SettingsImportViewModel kt:282) _x000D_
        at kotlin coroutines jvm internal BaseContinuationImpl resumeWith(ContinuationImpl kt:33) _x000D_
        at kotlinx coroutines DispatchedTask run(DispatchedTask kt:106) _x000D_
        at kotlinx coroutines internal LimitedDispatcher run(LimitedDispatcher kt:39) _x000D_
        at kotlinx coroutines scheduling TaskImpl run(Tasks kt:95) _x000D_
        at kotlinx coroutines scheduling CoroutineScheduler runSafely(CoroutineScheduler kt:571) _x000D_
        at kotlinx coroutines scheduling CoroutineScheduler Worker executeTask(CoroutineScheduler kt:750) _x000D_
        at kotlinx coroutines scheduling CoroutineScheduler Worker runWorker(CoroutineScheduler kt:678) _x000D_
        at kotlinx coroutines scheduling CoroutineScheduler Worker run(CoroutineScheduler kt:665) _x000D_
   </t>
  </si>
  <si>
    <t>ASE-Projekte-WS-2021-ase-ws-21-course-matcher-283</t>
  </si>
  <si>
    <t>Bug: login with temporary account</t>
  </si>
  <si>
    <t>If the app crashes at registration screen and you open it again  you will be logged in with temporary account _x000D_
_x000D_
      Avoid login with temporary account data_x000D_
      Avoid navigation when login fails</t>
  </si>
  <si>
    <t>Anuken-Mindustry-6694</t>
  </si>
  <si>
    <t>Can't run multiple Mindustry instances</t>
  </si>
  <si>
    <t xml:space="preserve">  Platform  : Linux   Fedora 35_x000D_
_x000D_
  Build  : BE 22366  v135 (but don t occur in v126 for some reasons   )_x000D_
_x000D_
  Issue  : When trying to start another Mindustry instance while one is already running  The already running instance crashes but the new one continues   _x000D_
_x000D_
  Steps to reproduce  : Well  get the BE jar or V135 jar and start Mindustry with  java  jar    insert jar here  _x000D_
_x000D_
  Link(s) to mod(s) used  : None_x000D_
_x000D_
  Save file  : None_x000D_
_x000D_
  (Crash) logs  : _x000D_
_x000D_
  shell output :_x000D_
_x000D_
   sh_x000D_
   T l chargements java  jar   Mindustry BE Desktop 22366 jar _x000D_
 I   Core  Initialized SDL v2 0 10_x000D_
 I   Audio  Initialized SoLoud 202111 using MiniAudio at 44100hz   720 samples   2 channels_x000D_
 I   GL  Version: OpenGL 4 6 0   NVIDIA Corporation   NVIDIA GeForce GT 1030 PCIe SSE2_x000D_
 I   GL  Max texture size: 32768_x000D_
 I   GL  Using OpenGL 2 context _x000D_
 I   JAVA  Version: 17 0 2_x000D_
 I   RAM  Available: 3 9 GB_x000D_
 I  Total time to load: 1482ms_x000D_
 I  Fetching community servers at https:  raw githubusercontent com Anuken Mindustry master servers be json_x000D_
 I  Fetched 5 community servers _x000D_
 _x000D_
  A fatal error has been detected by the Java Runtime Environment:_x000D_
 _x000D_
   SIGSEGV (0xb) at pc 0x0000000000030cc0  pid 13596  tid 13597_x000D_
 _x000D_
  JRE version: OpenJDK Runtime Environment 21 9 (17 0 2 8) (build 17 0 2 8)_x000D_
  Java VM: OpenJDK 64 Bit Server VM 21 9 (17 0 2 8  mixed mode  sharing  tiered  compressed oops  compressed class ptrs  g1 gc  linux amd64)_x000D_
  Problematic frame:_x000D_
  C  0x0000000000030cc0_x000D_
 _x000D_
  Core dump will be written  Default location: Core dumps may be processed with   usr lib systemd systemd coredump  P  u  g  s  t  c  h  (or dumping to  home phine T l chargements core 13596)_x000D_
 _x000D_
  An error report file with more information is saved as:_x000D_
   home phine T l chargements hs err pid13596 log_x000D_
Compiled method (n a)   16192 2086     n 0       arc backend sdl jni SDL::SDL PollEvent (native)_x000D_
 total in heap   0x00007f3054e1a090 0x00007f3054e1a418    904_x000D_
 relocation      0x00007f3054e1a1f0 0x00007f3054e1a220    48_x000D_
 main code       0x00007f3054e1a220 0x00007f3054e1a410    496_x000D_
 oops            0x00007f3054e1a410 0x00007f3054e1a418    8_x000D_
Compiled method (n a)   16192 2086     n 0       arc backend sdl jni SDL::SDL PollEvent (native)_x000D_
 total in heap   0x00007f3054e1a090 0x00007f3054e1a418    904_x000D_
 relocation      0x00007f3054e1a1f0 0x00007f3054e1a220    48_x000D_
 main code       0x00007f3054e1a220 0x00007f3054e1a410    496_x000D_
 oops            0x00007f3054e1a410 0x00007f3054e1a418    8_x000D_
Compiled method (c1)   16199 3764       3       arc backend sdl SdlInput::postUpdate (35 bytes)_x000D_
 total in heap   0x00007f304dfcd790 0x00007f304dfce608    3704_x000D_
 relocation      0x00007f304dfcd8f0 0x00007f304dfcd9e0    240_x000D_
 main code       0x00007f304dfcd9e0 0x00007f304dfce220    2112_x000D_
 stub code       0x00007f304dfce220 0x00007f304dfce2d0    176_x000D_
 oops            0x00007f304dfce2d0 0x00007f304dfce2d8    8_x000D_
 metadata        0x00007f304dfce2d8 0x00007f304dfce330    88_x000D_
 scopes data     0x00007f304dfce330 0x00007f304dfce408    216_x000D_
 scopes pcs      0x00007f304dfce408 0x00007f304dfce5a8    416_x000D_
 dependencies    0x00007f304dfce5a8 0x00007f304dfce5c0    24_x000D_
 nul chk table   0x00007f304dfce5c0 0x00007f304dfce608    72_x000D_
 _x000D_
  If you would like to submit a bug report  please visit:_x000D_
    https:  bugzilla redhat com enter bug cgi product Fedora component java 17 openjdk version 35_x000D_
  The crash happened outside the Java Virtual Machine in native code _x000D_
  See problematic frame for where to report the bug _x000D_
 _x000D_
 1     13596 IOT instruction (core dumped)  java  jar   Mindustry BE Desktop 22366 jar_x000D_
   _x000D_
_x000D_
  error pid :_x000D_
_x000D_
 hs err pid13596 log (https:  github com Anuken Mindustry files 8409661 hs err pid13596 log)_x000D_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</si>
  <si>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Rosemoe-sora-editor-168</t>
  </si>
  <si>
    <t>ANR and crash issue when editor is in Wordwrap mode.</t>
  </si>
  <si>
    <t xml:space="preserve">App goes in ANR when editor is placed in wordwrap mode _x000D_
Steps to produce ANR: _x000D_
1  Feature Switches    Wordwrap On_x000D_
2  go to end of sample code _x000D_
3  Type anything (make sure it should be more than 1 line)_x000D_
4  Try to delete that line with holding backpress _x000D_
5  app will not respond and app get crashed after a while  i e :  It goes in ANR  (App Not Responding)_x000D_
_x000D_
   I have added a screenrecording for your reference  please check _x000D_
_x000D_
_x000D_
P S :  I tried to debug and find issue  I got error in EditorPainter file while calling getColumnCount() method _x000D_
i was not able to resolve it _x000D_
i hope you do it as soon as possible _x000D_
Regards _x000D_
_x000D_
https:  user images githubusercontent com 48736267 161495676 d3073cb7 5d46 4fbb 8015 2499c8d2ab4d mp4_x000D_
_x000D_
_x000D_
</t>
  </si>
  <si>
    <t>PojavLauncherTeam-PojavLauncher-3020</t>
  </si>
  <si>
    <t>[BUG] 1.8.9 Labymod Crashes Upon Startup</t>
  </si>
  <si>
    <t xml:space="preserve">    Describe the bug
I launched 1 8 9 Labymod and it got to 75  and crashed _x000D_
_x000D_
https:  user images githubusercontent com 95888812 161453564 c6b65b3e 39c5 498c b6c7 c4535dbeb84b mp4_x000D_
_x000D_
    The log file and images videos
https:  user images githubusercontent com 95888812 161453564 c6b65b3e 39c5 498c b6c7 c4535dbeb84b mp4_x000D_
     Minecraft Crash Report     _x000D_
   You should try our sister game  Minceraft _x000D_
_x000D_
Time: 4 3 22 11:20 PM_x000D_
Description: Initializing game_x000D_
_x000D_
java lang UnsatisfiedLinkError: Can t obtain static method fromNative(Method  Object) from class com sun jna Native_x000D_
	at com sun jna Native initIDs(Native Method)_x000D_
	at com sun jna Native  clinit (Native java:135)_x000D_
	at com sun jna Structure  clinit (Structure java:146)_x000D_
	at net labymod discordapp DiscordApp  init (DiscordApp java:44)_x000D_
	at net labymod main LabyMod init(LabyMod java:339)_x000D_
	at ave am(SourceFile:470)_x000D_
	at ave a(SourceFile:310)_x000D_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Head   _x000D_
Stacktrace:_x000D_
	at com sun jna Native initIDs(Native Method)_x000D_
	at com sun jna Native  clinit (Native java:135)_x000D_
	at com sun jna Structure  clinit (Structure java:146)_x000D_
	at net labymod discordapp DiscordApp  init (DiscordApp java:44)_x000D_
	at net labymod main LabyMod init(LabyMod java:339)_x000D_
	at ave am(SourceFile:470)_x000D_
_x000D_
   Initialization   _x000D_
Details:_x000D_
Stacktrace:_x000D_
	at ave a(SourceFile:310)_x000D_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System Details   _x000D_
Details:_x000D_
	Minecraft Version: 1 8 9_x000D_
	Operating System: Linux (amd64) version Android 9_x000D_
	Java Version: 1 8 0 internal  Oracle Corporation_x000D_
	Java VM Version: OpenJDK 64 Bit Server VM (mixed mode)  Oracle Corporation_x000D_
	Memory: 1488479952 bytes (1419 MB)   2122317824 bytes (2024 MB) up to 2122317824 bytes (2024 MB)_x000D_
	JVM Flags: 3 total   Xms2111M  Xmx2111M  Xbootclasspath p: storage emulated 0 games PojavLauncher caciocavallo cacio shared 1 10 SNAPSHOT jar: storage emulated 0 games PojavLauncher caciocavallo ResConfHack jar: storage emulated 0 games PojavLauncher caciocavallo cacio androidnw 1 10 SNAPSHOT jar_x000D_
	IntCache: cache: 0  tcache: 0  allocated: 0  tallocated: 0_x000D_
	Launched Version: 1 8_x000D_
	LWJGL: 3 2 3 SNAPSHOT_x000D_
	OpenGL: GL4ES wrapper GL version 2 1 gl4es wrapper 1 1 4  ptitSeb_x000D_
	GL Caps: VboRegions not supported  missing: OpenGL 1 3  ARB copy buffer_x000D_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Yes_x000D_
	Is Modded: Very likely  Jar signature invalidated_x000D_
	Type: Client (map client txt)_x000D_
	Resource Packs: _x000D_
	Current Language: English (US)_x000D_
	Profiler Position: N A (disabled)_x000D_
	CPU: 2x Intel(R) Celeron(R) N4020 CPU   1 10GHz_x000D_
	OptiFine Version: OptiFine 1 8 9 HD U M5_x000D_
	OptiFine Build: 20210124 163719_x000D_
	Render Distance Chunks: 8_x000D_
	Mipmaps: 0_x000D_
	Anisotropic Filtering: 1_x000D_
	Antialiasing: 0_x000D_
	Multitexture: false_x000D_
	Shaders: null_x000D_
	OpenGlVersion: 2 1 gl4es wrapper 1 1 4_x000D_
	OpenGlRenderer: GL4ES wrapper_x000D_
	OpenGlVendor: ptitSeb_x000D_
	CpuCount: 2
    Steps To Reproduce
   markdown
1  Start PojavLauncher_x000D_
2  Sign in (I did offline idk about online(_x000D_
3  install labyMod 1 8 9 (i had all of the optional files)_x000D_
4  Launch LabyMod 1 8 9_x000D_
(Wait Until Launch)_x000D_
_x000D_
Done
    Expected Behavior
Expected it to get to 100  and go to the main menu
    Platform
   markdown
  Device model: Chromebook _x000D_
  CPU architecture: x86 64_x000D_
  Android version: 9_x000D_
  PojavLauncher version: Latest for android
    Anything else 
it works with 1 12 and 1 16 works but the mouse capture doesnt work </t>
  </si>
  <si>
    <t>ankidroid-Anki-Android-10698</t>
  </si>
  <si>
    <t>SelectableDeck: Don't Keep Activities Crash</t>
  </si>
  <si>
    <t xml:space="preserve"> david allison _x000D_
_x000D_
  Don t keep activities OFF_x000D_
_x000D_
It works fine_x000D_
_x000D_
https:  user images githubusercontent com 69634269 161433983 e12c7c12 33f8 4dab bb9f b2070c337531 mp4_x000D_
_x000D_
_x000D_
_x000D_
_x000D_
  Don t keep activities ON (2 16alpha54  without any of the PR changes)_x000D_
_x000D_
It crashes   even in a fresh install of 2 16alpha54    without any of the PR changes  With the PR changes  it s the same error_x000D_
_x000D_
_x000D_
https:  user images githubusercontent com 69634269 161433854 558cc9b3 62a7 45d7 bb0a 6081320dee14 mp4_x000D_
_x000D_
   _x000D_
E AndroidRuntime: FATAL EXCEPTION: main_x000D_
    Process: com ichi2 anki  PID: 31723_x000D_
    android os BadParcelableException: Parcelable protocol requires a Parcelable Creator object called CREATOR on class com ichi2 anki dialogs DeckSelectionDialog SelectableDeck_x000D_
        at android os Parcel readParcelableCreator(Parcel java:3379)_x000D_
        at android os Parcel readParcelable(Parcel java:3284)_x000D_
        at android os Parcel readValue(Parcel java:3186)_x000D_
        at android os Parcel readListInternal(Parcel java:3642)_x000D_
        at android os Parcel readArrayList(Parcel java:2770)_x000D_
        at android os Parcel readValue(Parcel java:3207)_x000D_
        at android os Parcel readArrayMapInternal(Parcel java:3579)_x000D_
        at android os BaseBundle initializeFromParcelLocked(BaseBundle java:292)_x000D_
        at android os BaseBundle unparcel(BaseBundle java:236)_x000D_
        at android os BaseBundle getString(BaseBundle java:1196)_x000D_
        at com ichi2 anki dialogs DeckSelectionDialog getSummaryMessage(DeckSelectionDialog kt:105)_x000D_
        at com ichi2 anki dialogs DeckSelectionDialog onCreateDialog(DeckSelectionDialog kt:78)_x000D_
        at androidx fragment app DialogFragment prepareDialog(DialogFragment java:647)_x000D_
        at androidx fragment app DialogFragment onGetLayoutInflater(DialogFragment java:561)_x000D_
        at androidx fragment app Fragment performGetLayoutInflater(Fragment java:1698)_x000D_
        at androidx fragment app FragmentStateManager createView(FragmentStateManager java:492)_x000D_
        at androidx fragment app FragmentStateManager moveToExpectedState(FragmentStateManager java:261)_x000D_
        at androidx fragment app FragmentStore moveToExpectedState(FragmentStore java:113)_x000D_
        at androidx fragment app FragmentManager moveToState(FragmentManager java:1374)_x000D_
        at androidx fragment app FragmentManager dispatchStateChange(FragmentManager java:2841)_x000D_
        at androidx fragment app FragmentManager dispatchActivityCreated(FragmentManager java:2784)_x000D_
        at androidx fragment app FragmentController dispatchActivityCreated(FragmentController java:262)_x000D_
        at androidx fragment app FragmentActivity onStart(FragmentActivity java:478)_x000D_
        at androidx appcompat app AppCompatActivity onStart(AppCompatActivity java:246)_x000D_
        at com ichi2 anki AnkiActivity onStart(AnkiActivity java:113)_x000D_
        at android app Instrumentation callActivityOnStart(Instrumentation java:1435)_x000D_
        at android app Activity performStart(Activity java:8231)_x000D_
        at android app ActivityThread handleStartActivity(ActivityThread java:3872)_x000D_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java:2336)_x000D_
        at android os Handler dispatchMessage(Handler java:106)_x000D_
        at android os Looper loop(Looper java:246)_x000D_
        at android app ActivityThread main(ActivityThread java:8653)_x000D_
        at java lang reflect Method invoke(Native Method)_x000D_
        at com android internal os RuntimeInit MethodAndArgsCaller run(RuntimeInit java:602)_x000D_
        at com android internal os ZygoteInit main(ZygoteInit java:1130)_x000D_
D UsageAnalytics: sendAnalyticsException() description fatal: android os BadParcelableException: Parcelable protocol requires a Parcelable Creator object called CREATOR on class com ichi2 anki dialogs DeckSelectionDialog SelectableDeck true_x000D_
I ACRA: ACRA is disabled for com ichi2 anki   forwarding uncaught Exception on to default ExceptionHandler_x000D_
I Process: Sending signal  PID: 31723 SIG: 9_x000D_
   _x000D_
_x000D_
 Originally posted by  BrayanDSO in https:  github com ankidroid Anki Android issues 10680 issuecomment 1086885832 </t>
  </si>
  <si>
    <t>nextcloud-android-10039</t>
  </si>
  <si>
    <t>App crashes constantly when Nextcloud has an internal server error</t>
  </si>
  <si>
    <t xml:space="preserve">    Steps to reproduce_x000D_
1  create an internal server error in nextcloud (e g  change the php version to an unsupported version)_x000D_
2     the nextcloud app crashes every few seconds  It is nearly impossible to use other apps on android  because the crash reports interrupts you every few seconds  This crash happens also when nextcloud is in background_x000D_
_x000D_
    Expected behaviour_x000D_
  The Nextcloud app should catch the error and give an error message instead of crashing _x000D_
_x000D_
    Actual behaviour_x000D_
  Nextcloud app crashes every 5 seconds again _x000D_
_x000D_
    Can you reproduce this problem on https:  try nextcloud com _x000D_
  Obviously no  You need an bad configured server for this crash  I think it is important to fix this crash because it makes android unusable until nextcloud is deleted  because every 5 second you get another crash report_x000D_
_x000D_
    Environment data_x000D_
Android version:_x000D_
9_x000D_
Device model: _x000D_
HTC U11_x000D_
Xiami mi 8_x000D_
_x000D_
Stock or customized system:_x000D_
stock_x000D_
Nextcloud app version:_x000D_
3 19 1_x000D_
Nextcloud server version:_x000D_
23</t>
  </si>
  <si>
    <t>OpenTracksApp-OpenTracks-1167</t>
  </si>
  <si>
    <t>Bugfix: race condition when using multiple sensors</t>
  </si>
  <si>
    <t>See https:  github com OpenTracksApp OpenTracks issues 1151 issuecomment 1086693660_x000D_
_x000D_
Solution: properly synchronize the two methods _x000D_
_x000D_
TODO:_x000D_
      actually trying it out_x000D_
   x  remove TODO commit before merging (catches exception and logs)  revert back to crash if time moves backward_x000D_
   x  fix tests</t>
  </si>
  <si>
    <t>jellyfin-jellyfin-androidtv-1598</t>
  </si>
  <si>
    <t>App crashes on open, latest CI, App Build #1547</t>
  </si>
  <si>
    <t xml:space="preserve">    Describe the bug
1  Install latest debug CI build  App Build  1547 _x000D_
2  Open app_x000D_
3  App crashes
    Logs
   shell
logcat crash:_x000D_
    E ACRA    (19179): ACRA caught a RuntimeException for org jellyfin androidtv debug_x000D_
    E ACRA    (19179): java lang RuntimeException: Unable to start activity ComponentInfo org jellyfin androidtv debug org jellyfin androidtv ui startup StartupActivity : org jellyfin sdk api client exception MissingBaseUrlException: Required value baseUrl is null  Provide it by setting ApiClient baseUrl _x000D_
    E ACRA    (19179): 	at android app ActivityThread performLaunchActivity(ActivityThread java:2480)_x000D_
    E ACRA    (19179): 	at android app ActivityThread handleLaunchActivity(ActivityThread java:2548)_x000D_
    E ACRA    (19179): 	at android app ActivityThread access 800(ActivityThread java:160)_x000D_
    E ACRA    (19179): 	at android app ActivityThread H handleMessage(ActivityThread java:1321)_x000D_
    E ACRA    (19179): 	at android os Handler dispatchMessage(Handler java:102)_x000D_
    E ACRA    (19179): 	at android os Looper loop(Looper java:135)_x000D_
    E ACRA    (19179): 	at android app ActivityThread main(ActivityThread java:5604)_x000D_
    E ACRA    (19179): 	at java lang reflect Method invoke(Native Method)_x000D_
    E ACRA    (19179): 	at java lang reflect Method invoke(Method java:372)_x000D_
    E ACRA    (19179): 	at com android internal os ZygoteInit MethodAndArgsCaller run(ZygoteInit java:984)_x000D_
    E ACRA    (19179): 	at com android internal os ZygoteInit main(ZygoteInit java:779)_x000D_
    E ACRA    (19179): Caused by: org jellyfin sdk api client exception MissingBaseUrlException: Required value baseUrl is null  Provide it by setting ApiClient baseUrl _x000D_
    E ACRA    (19179): 	at org jellyfin sdk api client ApiClient createUrl(ApiClient kt:66)_x000D_
    E ACRA    (19179): 	at org jellyfin sdk api client ApiClient createUrl default(ApiClient kt:60)_x000D_
    E ACRA    (19179): 	at org jellyfin sdk api client KtorClient request suspendImpl(KtorClient kt:62)_x000D_
    E ACRA    (19179): 	at org jellyfin sdk api client KtorClient request(KtorClient kt)_x000D_
    E ACRA    (19179): 	at org jellyfin sdk api operations UserApi getCurrentUser(UserApi kt:449)_x000D_
    E ACRA    (19179): 	at org jellyfin androidtv auth SessionRepositoryImpl setCurrentSession 1 invokeSuspend(SessionRepository kt:129)_x000D_
    E ACRA    (19179): 	at kotlin coroutines jvm internal BaseContinuationImpl resumeWith(ContinuationImpl kt:33)_x000D_
    E ACRA    (19179): 	at kotlinx coroutines DispatchedTask run(DispatchedTask kt:106)_x000D_
    E ACRA    (19179): 	at kotlinx coroutines EventLoopImplBase processNextEvent(EventLoop common kt:279)_x000D_
    E ACRA    (19179): 	at kotlinx coroutines BlockingCoroutine joinBlocking(Builders kt:85)_x000D_
    E ACRA    (19179): 	at kotlinx coroutines BuildersKt  BuildersKt runBlocking(Builders kt:59)_x000D_
    E ACRA    (19179): 	at kotlinx coroutines BuildersKt runBlocking(Unknown Source)_x000D_
    E ACRA    (19179): 	at kotlinx coroutines BuildersKt  BuildersKt runBlocking default(Builders kt:38)_x000D_
    E ACRA    (19179): 	at kotlinx coroutines BuildersKt runBlocking default(Unknown Source)_x000D_
    E ACRA    (19179): 	at org jellyfin androidtv auth SessionRepositoryImpl setCurrentSession(SessionRepository kt:127)_x000D_
    E ACRA    (19179): 	at org jellyfin androidtv auth SessionRepositoryImpl setCurrentSession default(SessionRepository kt:113)_x000D_
    E ACRA    (19179): 	at org jellyfin androidtv auth SessionRepositoryImpl restoreDefaultSession(SessionRepository kt:65)_x000D_
    E ACRA    (19179): 	at org jellyfin androidtv JellyfinApplication onCreate 1 onStart(JellyfinApplication kt:53)_x000D_
    E ACRA    (19179): 	at androidx lifecycle FullLifecycleObserverAdapter onStateChanged(FullLifecycleObserverAdapter java:39)_x000D_
    E ACRA    (19179): 	at androidx lifecycle LifecycleRegistry ObserverWithState dispatchEvent(LifecycleRegistry java:354)_x000D_
    E ACRA    (19179): 	at androidx lifecycle LifecycleRegistry forwardPass(LifecycleRegistry java:265)_x000D_
    E ACRA    (19179): 	at androidx lifecycle LifecycleRegistry sync(LifecycleRegistry java:307)_x000D_
    E ACRA    (19179): 	at androidx lifecycle LifecycleRegistry moveToState(LifecycleRegistry java:148)_x000D_
    E ACRA    (19179): 	at androidx lifecycle LifecycleRegistry handleLifecycleEvent(LifecycleRegistry java:134)_x000D_
    E ACRA    (19179): 	at androidx lifecycle ProcessLifecycleOwner activityStarted(ProcessLifecycleOwner java:112)_x000D_
    E ACRA    (19179): 	at androidx lifecycle ProcessLifecycleOwner 2 onStart(ProcessLifecycleOwner java:83)_x000D_
    E ACRA    (19179): 	at androidx lifecycle ReportFragment dispatchStart(ReportFragment java:88)_x000D_
    E ACRA    (19179): 	at androidx lifecycle ReportFragment onStart(ReportFragment java:108)_x000D_
    E ACRA    (19179): 	at android app Fragment performStart(Fragment java:2077)_x000D_
    E ACRA    (19179): 	at android app FragmentManagerImpl moveToState(FragmentManager java:922)_x000D_
    E ACRA    (19179): 	at android app FragmentManagerImpl moveToState(FragmentManager java:1067)_x000D_
    E ACRA    (19179): 	at android app FragmentManagerImpl moveToState(FragmentManager java:1049)_x000D_
    E ACRA    (19179): 	at android app FragmentManagerImpl dispatchStart(FragmentManager java:1874)_x000D_
    E ACRA    (19179): 	at android app Activity performStart(Activity java:6048)_x000D_
    E ACRA    (19179): 	at android app ActivityThread performLaunchActivity(ActivityThread java:2443)_x000D_
    E ACRA    (19179): 	    10 more
    Application version
App Build  1547
    Where did you install the app from 
Sideloaded APK
    Device information
Firestick v1 AFTM
    Android version
Fire OS 5
    Jellyfin server version
10 7 7</t>
  </si>
  <si>
    <t>CMPUT301W22T16-QR-Go-102</t>
  </si>
  <si>
    <t>Bug: MyQRCodesActivity crashes on some devices.</t>
  </si>
  <si>
    <t xml:space="preserve">Found crashing on personal Samsung device  but not on Google Pixel VMs </t>
  </si>
  <si>
    <t>Anuken-Mindustry-6692</t>
  </si>
  <si>
    <t>Sector export to lost sector still displayed</t>
  </si>
  <si>
    <t xml:space="preserve">  Platform  : Linux_x000D_
_x000D_
  Build  : Steam 135 1_x000D_
_x000D_
  Issue  : _x000D_
The resource export of one of my sectors is still shown to be exporting to sector 129  despite the fact that I ve lost sector 129 _x000D_
In the sector  the launchpads correctly display that it s being launched to the sun _x000D_
_x000D_
  Steps to reproduce  :_x000D_
Start launching resources to a sector _x000D_
Lose the sector _x000D_
Check the stats of the sector that s exporting resources  where it says where it s exporting to _x000D_
Then check the launchpads inside the sector _x000D_
The launchpads will say  the sun  while the sector stats will say the name of the sector you lost _x000D_
_x000D_
  Link(s) to mod(s) used  : None applicable_x000D_
_x000D_
  Save file  : This is not related to a single sector  but rather to my whole campaign _x000D_
_x000D_
  (Crash) logs  : Not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</si>
  <si>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OpenTracksApp-OpenTracks-1165</t>
  </si>
  <si>
    <t>Security Exception when trying to store Blutooth sensor data</t>
  </si>
  <si>
    <t xml:space="preserve">   _x000D_
03 31 16:39:07 591 20611 27265 D BluetoothConnectionManager: Received data from E5:F7:CA:AB:CD:EF_x000D_
03 31 16:39:07 591 20611 28467 D BluetoothConnectionManager: Received data from E5:F7:CA:AB:CD:EF_x000D_
03 31 16:39:07 591 20611 26888 D BluetoothConnectionManager: Received data from E5:F7:CA:AB:CD:EF_x000D_
03 31 16:39:07 592 20611 26886 D BluetoothConnectionManager: Received data from E5:F7:CA:AB:CD:EF_x000D_
03 31 16:39:07 593 20611 28467 I opentracks: cadence read: 124 0_x000D_
03 31 16:39:07 593 20611 26888 D BluetoothConnectionManager: Decoded data from E5:F7:CA:AB:CD:EF: sensorAddress  E5:F7:CA:AB:CD:EF heart HeartRate value 92 0 bpm _x000D_
03 31 16:39:07 593 20611 28467 D BluetoothConnectionManager: Decoded data from E5:F7:CA:AB:CD:EF: sensorAddress  E5:F7:CA:AB:CD:EF_x000D_
03 31 16:39:07 593 20611 28467 D BluetoothRemoteSensorManager: Previous: sensorAddress  E5:F7:CA:AB:CD:EF  CurrentsensorAddress  E5:F7:CA:AB:CD:EF_x000D_
03 31 16:39:07 593 20611 26888 D TrackRecordingManager: Not recording TrackPoint_x000D_
03 31 16:39:07 594 20611 27265 D BluetoothConnectionManager: Decoded data from E5:F7:CA:AB:CD:EF: sensorAddress  E5:F7:CA:AB:CD:EF heart HeartRate value 92 0 bpm _x000D_
03 31 16:39:07 595 20611 26886 I opentracks: cadence read: 124 0_x000D_
03 31 16:39:07 595 20611 26886 D BluetoothConnectionManager: Decoded data from E5:F7:CA:AB:CD:EF: sensorAddress  E5:F7:CA:AB:CD:EF_x000D_
03 31 16:39:07 599 20611 26886 D BluetoothRemoteSensorManager: Previous: sensorAddress  E5:F7:CA:AB:CD:EF  CurrentsensorAddress  E5:F7:CA:AB:CD:EF_x000D_
03 31 16:39:07 599 20611 28467 D TrackRecordingManager: Not recording TrackPoint_x000D_
03 31 16:39:07 626   789  2876 I vendor qti bluetooth 1 0 ibs handler: ProcessIbsCmd: Received IBS SLEEP IND: 0xFE_x000D_
03 31 16:39:07 626   789  2876 D vendor qti bluetooth 1 0 ibs handler: SerialClockVote: vote for UART CLK OFF_x000D_
03 31 16:39:07 652 20611 20611 D AndroidRuntime: Shutting down VM_x000D_
03 31 16:39:07 653 20611 26886 W BluetoothGatt: Unhandled exception in callback_x000D_
03 31 16:39:07 653 20611 26886 W BluetoothGatt: java lang SecurityException: Permission Denial: writing de dennisguse opentracks data ShareContentProvider uri content:  de dennisguse opentracks debug content trackpoints from pid 0  uid 1002 requires the provider be exported  or grantUriPermission()_x000D_
03 31 16:39:07 653 20611 26886 W BluetoothGatt: 	at android content ContentProvider enforceWritePermissionInner(ContentProvider java:896)_x000D_
03 31 16:39:07 653 20611 26886 W BluetoothGatt: 	at android content ContentProvider Transport enforceWritePermission(ContentProvider java:696)_x000D_
03 31 16:39:07 653 20611 26886 W BluetoothGatt: 	at android content ContentProvider Transport insert(ContentProvider java:322)_x000D_
03 31 16:39:07 653 20611 26886 W BluetoothGatt: 	at android content ContentResolver insert(ContentResolver java:2149)_x000D_
03 31 16:39:07 653 20611 26886 W BluetoothGatt: 	at android content ContentResolver insert(ContentResolver java:2111)_x000D_
03 31 16:39:07 653 20611 26886 W BluetoothGatt: 	at de dennisguse opentracks data ContentProviderUtils insertTrackPoint(ContentProviderUtils java:713)_x000D_
03 31 16:39:07 653 20611 26886 W BluetoothGatt: 	at de dennisguse opentracks services TrackRecordingManager insertTrackPointHelper(TrackRecordingManager java:242)_x000D_
03 31 16:39:07 653 20611 26886 W BluetoothGatt: 	at de dennisguse opentracks services TrackRecordingManager insertTrackPoint(TrackRecordingManager java:237)_x000D_
03 31 16:39:07 653 20611 26886 W BluetoothGatt: 	at de dennisguse opentracks services TrackRecordingManager onNewTrackPoint(TrackRecordingManager java:204)_x000D_
03 31 16:39:07 653 20611 26886 W BluetoothGatt: 	at de dennisguse opentracks services TrackRecordingService newTrackPoint(TrackRecordingService java:298)_x000D_
03 31 16:39:07 653 20611 26886 W BluetoothGatt: 	at de dennisguse opentracks services handlers TrackPointCreator onNewTrackPoint(TrackPointCreator java:128)_x000D_
03 31 16:39:07 653 20611 26886 W BluetoothGatt: 	at de dennisguse opentracks services handlers TrackPointCreator onChange(TrackPointCreator java:122)_x000D_
03 31 16:39:07 653 20611 26886 W BluetoothGatt: 	at de dennisguse opentracks sensors BluetoothRemoteSensorManager onChanged(BluetoothRemoteSensorManager java:213)_x000D_
03 31 16:39:07 653 20611 26886 W BluetoothGatt: 	at de dennisguse opentracks sensors BluetoothConnectionManager 1 onCharacteristicChanged(BluetoothConnectionManager java:114)_x000D_
03 31 16:39:07 653 20611 26886 W BluetoothGatt: 	at android bluetooth BluetoothGatt 1 8 run(BluetoothGatt java:478)_x000D_
03 31 16:39:07 653 20611 26886 W BluetoothGatt: 	at android bluetooth BluetoothGatt runOrQueueCallback(BluetoothGatt java:780)_x000D_
03 31 16:39:07 653 20611 26886 W BluetoothGatt: 	at android bluetooth BluetoothGatt access 200(BluetoothGatt java:41)_x000D_
03 31 16:39:07 653 20611 26886 W BluetoothGatt: 	at android bluetooth BluetoothGatt 1 onNotify(BluetoothGatt java:472)_x000D_
03 31 16:39:07 653 20611 26886 W BluetoothGatt: 	at android bluetooth IBluetoothGattCallback Stub onTransact(IBluetoothGattCallback java:306)_x000D_
03 31 16:39:07 653 20611 26886 W BluetoothGatt: 	at android os Binder execTransactInternal(Binder java:1159)_x000D_
03 31 16:39:07 653 20611 26886 W BluetoothGatt: 	at android os Binder execTransact(Binder java:1123)_x000D_
03 31 16:39:07 654 20611 20611 E AndroidRuntime: FATAL EXCEPTION: main_x000D_
03 31 16:39:07 654 20611 20611 E AndroidRuntime: Process: de dennisguse opentracks debug  PID: 20611_x000D_
03 31 16:39:07 654 20611 20611 E AndroidRuntime: java lang RuntimeException: LastTrackPoint: TrackPoint id null  time 2022 03 31T20:39:07 593Z  latitude null  longitude null  horizontalAccuracy null  altitude null  speed Speed speed mps 1 59375   bearing null  sensorDistance Distance distance m 7 699999999999989   type SENSORPOINT(2)  heartRate bpm HeartRate value 92 0 bpm   cadence rpm Cadence value 124 0 rpm   power null  altitudeGain m null  altitudeLoss m null _x000D_
03 31 16:39:07 654 20611 20611 E AndroidRuntime: TrackPoint: TrackPoint id null  time 2022 03 31T20:39:07 591Z  latitude  redacted   longitude  redacted   horizontalAccuracy Distance distance m 9 648000717163086   altitude Altitude altitude m 67 6724853515625WGS84   speed Speed speed mps 1 58984375   bearing null  sensorDistance Distance distance m 2 3000000000000114   type TRACKPOINT(0)  heartRate bpm HeartRate value 92 0 bpm   cadence rpm Cadence value 124 0 rpm   power null  altitudeGain m null  altitudeLoss m null _x000D_
03 31 16:39:07 654 20611 20611 E AndroidRuntime: 	at de dennisguse opentracks stats TrackStatistics addMovingTime(TrackStatistics java:238)_x000D_
03 31 16:39:07 654 20611 20611 E AndroidRuntime: 	at de dennisguse opentracks stats TrackStatisticsUpdater addTrackPoint(TrackStatisticsUpdater java:177)_x000D_
03 31 16:39:07 654 20611 20611 E AndroidRuntime: 	at de dennisguse opentracks services TrackRecordingManager insertTrackPointHelper(TrackRecordingManager java:243)_x000D_
03 31 16:39:07 654 20611 20611 E AndroidRuntime: 	at de dennisguse opentracks services TrackRecordingManager insertTrackPoint(TrackRecordingManager java:237)_x000D_
03 31 16:39:07 654 20611 20611 E AndroidRuntime: 	at de dennisguse opentracks services TrackRecordingManager onNewTrackPoint(TrackRecordingManager java:204)_x000D_
03 31 16:39:07 654 20611 20611 E AndroidRuntime: 	at de dennisguse opentracks services TrackRecordingService newTrackPoint(TrackRecordingService java:298)_x000D_
03 31 16:39:07 654 20611 20611 E AndroidRuntime: 	at de dennisguse opentracks services handlers TrackPointCreator onNewTrackPoint(TrackPointCreator java:128)_x000D_
03 31 16:39:07 654 20611 20611 E AndroidRuntime: 	at de dennisguse opentracks services handlers GPSHandler onLocationChanged(GPSHandler java:130)_x000D_
03 31 16:39:07 654 20611 20611 E AndroidRuntime: 	at android location LocationManager LocationListenerTransport acceptLocation(LocationManager java:2745)_x000D_
03 31 16:39:07 654 20611 20611 E AndroidRuntime: 	at android location LocationManager LocationListenerTransport lambda enkW18B0WwpQkSIMmVChmQ2YwC8(Unknown Source:0)_x000D_
03 31 16:39:07 654 20611 20611 E AndroidRuntime: 	at android location    Lambda LocationManager LocationListenerTransport enkW18B0WwpQkSIMmVChmQ2YwC8 accept(Unknown Source:6)_x000D_
03 31 16:39:07 654 20611 20611 E AndroidRuntime: 	at com android internal util function pooled PooledLambdaImpl doInvoke(PooledLambdaImpl java:292)_x000D_
03 31 16:39:07 654 20611 20611 E AndroidRuntime: 	at com android internal util function pooled PooledLambdaImpl invoke(PooledLambdaImpl java:201)_x000D_
03 31 16:39:07 654 20611 20611 E AndroidRuntime: 	at com android internal util function pooled OmniFunction run(OmniFunction java:97)_x000D_
03 31 16:39:07 654 20611 20611 E AndroidRuntime: 	at android os Handler handleCallback(Handler java:938)_x000D_
03 31 16:39:07 654 20611 20611 E AndroidRuntime: 	at android os Handler dispatchMessage(Handler java:99)_x000D_
03 31 16:39:07 654 20611 20611 E AndroidRuntime: 	at android os Looper loop(Looper java:223)_x000D_
03 31 16:39:07 654 20611 20611 E AndroidRuntime: 	at android app ActivityThread main(ActivityThread java:7664)_x000D_
03 31 16:39:07 654 20611 20611 E AndroidRuntime: 	at java lang reflect Method invoke(Native Method)_x000D_
03 31 16:39:07 654 20611 20611 E AndroidRuntime: 	at com android internal os RuntimeInit MethodAndArgsCaller run(RuntimeInit java:592)_x000D_
03 31 16:39:07 654 20611 20611 E AndroidRuntime: 	at com android internal os ZygoteInit main(ZygoteInit java:947)_x000D_
03 31 16:39:07 654 20611 20611 E AndroidRuntime: Caused by: java lang RuntimeException: Moving time cannot be negative_x000D_
03 31 16:39:07 654 20611 20611 E AndroidRuntime: 	at de dennisguse opentracks stats TrackStatistics addMovingTime(TrackStatistics java:245)_x000D_
03 31 16:39:07 654 20611 20611 E AndroidRuntime: 	at de dennisguse opentracks stats TrackStatistics addMovingTime(TrackStatistics java:236)_x000D_
03 31 16:39:07 654 20611 20611 E AndroidRuntime: 	    20 more_x000D_
03 31 16:39:07 654 20611 27265 W BluetoothGatt: Unhandled exception in callback_x000D_
03 31 16:39:07 654 20611 27265 W BluetoothGatt: java lang SecurityException: Permission Denial: writing de dennisguse opentracks data ShareContentProvider uri content:  de dennisguse opentracks debug content trackpoints from pid 0  uid 1002 requires the provider be exported  or grantUriPermission()_x000D_
03 31 16:39:07 654 20611 27265 W BluetoothGatt: 	at android content ContentProvider enforceWritePermissionInner(ContentProvider java:896)_x000D_
03 31 16:39:07 654 20611 27265 W BluetoothGatt: 	at android content ContentProvider Transport enforceWritePermission(ContentProvider java:696)_x000D_
03 31 16:39:07 654 20611 27265 W BluetoothGatt: 	at android content ContentProvider Transport insert(ContentProvider java:322)_x000D_
03 31 16:39:07 654 20611 27265 W BluetoothGatt: 	at android content ContentResolver insert(ContentResolver java:2149)_x000D_
03 31 16:39:07 654 20611 27265 W BluetoothGatt: 	at android content ContentResolver insert(ContentResolver java:2111)_x000D_
03 31 16:39:07 654 20611 27265 W BluetoothGatt: 	at de dennisguse opentracks data ContentProviderUtils insertTrackPoint(ContentProviderUtils java:713)_x000D_
03 31 16:39:07 654 20611 27265 W BluetoothGatt: 	at de dennisguse opentracks services TrackRecordingManager insertTrackPointHelper(TrackRecordingManager java:242)_x000D_
03 31 16:39:07 654 20611 27265 W BluetoothGatt: 	at de dennisguse opentracks services TrackRecordingManager insertTrackPoint(TrackRecordingManager java:237)_x000D_
03 31 16:39:07 654 20611 27265 W BluetoothGatt: 	at de dennisguse opentracks services TrackRecordingManager onNewTrackPoint(TrackRecordingManager java:204)_x000D_
03 31 16:39:07 654 20611 27265 W BluetoothGatt: 	at de dennisguse opentracks services TrackRecordingService newTrackPoint(TrackRecordingService java:298)_x000D_
03 31 16:39:07 654 20611 27265 W BluetoothGatt: 	at de dennisguse opentracks services handlers TrackPointCreator onNewTrackPoint(TrackPointCreator java:128)_x000D_
03 31 16:39:07 654 20611 27265 W BluetoothGatt: 	at de dennisguse opentracks services handlers TrackPointCreator onChange(TrackPointCreator java:122)_x000D_
03 31 16:39:07 654 20611 27265 W BluetoothGatt: 	at de dennisguse opentracks sensors BluetoothRemoteSensorManager onChanged(BluetoothRemoteSensorManager java:213)_x000D_
03 31 16:39:07 654 20611 27265 W BluetoothGatt: 	at de dennisguse opentracks sensors BluetoothConnectionManager 1 onCharacteristicChanged(BluetoothConnectionManager java:114)_x000D_
03 31 16:39:07 654 20611 27265 W BluetoothGatt: 	at android bluetooth BluetoothGatt 1 8 run(BluetoothGatt java:478)_x000D_
03 31 16:39:07 654 20611 27265 W BluetoothGatt: 	at android bluetooth BluetoothGatt runOrQueueCallback(BluetoothGatt java:780)_x000D_
03 31 16:39:07 654 20611 27265 W BluetoothGatt: 	at android bluetooth BluetoothGatt access 200(BluetoothGatt java:41)_x000D_
03 31 16:39:07 654 20611 27265 W BluetoothGatt: 	at android bluetooth BluetoothGatt 1 onNotify(BluetoothGatt java:472)_x000D_
03 31 16:39:07 654 20611 27265 W BluetoothGatt: 	at android bluetooth IBluetoothGattCallback Stub onTransact(IBluetoothGattCallback java:306)_x000D_
03 31 16:39:07 654 20611 27265 W BluetoothGatt: 	at android os Binder execTransactInternal(Binder java:1159)_x000D_
03 31 16:39:07 654 20611 27265 W BluetoothGatt: 	at android os Binder execTransact(Binder java:1123)_x000D_
03 31 16:39:07 661  1004  4625 I DropBoxManagerService: add tag data app crash isTagEnabled true flags 0x2_x000D_
03 31 16:39:07 662  1004  4823 W ActivityTaskManager:   Force finishing activity de dennisguse opentracks debug de dennisguse opentracks TrackRecordingActivity_x000D_
   _x000D_
_x000D_
So we got our moving time debug  but notice there is a java lang SecurityException before that even _x000D_
_x000D_
 Originally posted by  brianjmurrell in https:  github com OpenTracksApp OpenTracks issues 1151 issuecomment 1085161333 </t>
  </si>
  <si>
    <t>Anuken-Mindustry-6691</t>
  </si>
  <si>
    <t xml:space="preserve">UNKILLABLE BOSS OH GOD </t>
  </si>
  <si>
    <t xml:space="preserve">  Platform  :  Android iOS Mac Windows Linux            Android _x000D_
_x000D_
  Build  :  The build number under the title in the main menu  Required   LATEST  IS NOT A VERSION  I NEED THE EXACT BUILD NUMBER OF YOUR GAME                Build 126 2 _x000D_
_x000D_
  Issue  :  Explain your issue in detail    Bug where a boss is impossible to kill  i have no idea how this happened  I was just stressing in the forgotten shores sector  saw my desert sector being ruined by enemies  went there  it was already wave 59   60 on the invasion thing  i fixed a couple of stuff in my base  but after this  my base had the final wave  so i eagerly waited  then the boss appeared after i killed the goons with my turrets  but somehow i was feeling like this was a fight thats gonna end quick since i had alot of anti air in that sector  but it had no health so you can see where im going  it killed all of my sector defenses in that area  You see  that sector had an abundance of resources so i had a struggle to initially conquer that location in my first time  its become my pride in that location as its my very first super industry location  if that sector falls  My progress will  be on setback by quite alot so you can see why im worried sick and struggling  help me with the boss please  literally no hitpoints  it would have died very quick since i had alot of aa in that area  thank you and heres the zip for mindustry_x000D_
 Apocalypse is nigh  zip (https:  github com Anuken Mindustry files 8402654 Apocalypse is nigh zip)_x000D_
 _x000D_
_x000D_
  Steps to reproduce  :  How you happened across the issue  and what exactly you did to make the bug happen                                           i dont even know how  it just appeared with no health at my final wave there  i just arrived late after finishing the Forgotten shores sector fight and saw the industry sector was being invaded  it was already wave 59 out of 60 so i never worried until the boss came and wrecked my stuff _x000D_
_x000D_
  Link(s) to mod(s) used  :  The mod repositories or zip files that are related to the issue  if applicable    None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Uhhhhhhhh I  yes sir _x000D_
_x000D_
  (Crash) logs  :  Either crash reports from the crash folder  or the file you get when you go into Settings    Game Data    Export Crash logs  REQUIRED if you are reporting a crash      no crashes  just bug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</si>
  <si>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XspeedPL-PhysicalButtonMod-5</t>
  </si>
  <si>
    <t>Error! Crash.</t>
  </si>
  <si>
    <t xml:space="preserve">When i press Launch application Launch activity Launch shortcut button app crashes  Screenshots:_x000D_
  Screenshot 20220402 150842 Physical Button Master Control (https:  user images githubusercontent com 55056545 161382513 ec8e36ba 7613 44d1 b944 a1795b140b52 jpg)_x000D_
  Screenshot 20220402 150754 Physical Button Master Control (https:  user images githubusercontent com 55056545 161382529 0efc68af 2b03 4df1 b7a9 113fdfd031b3 jpg)_x000D_
App version 4 3_x000D_
Android: 11 _x000D_
Magisk: installed_x000D_
Version of PBMC: 4 3(latest)_x000D_
  Screenshot 20220402 152025 Shell (https:  user images githubusercontent com 55056545 161383023 bcbf2ce2 aaa8 473f ab1f 6fec111b1033 jpg)_x000D_
Xposed: LSPosed(i use magisk v24 2  so i also use zygisk for LSPosed)_x000D_
Logcat: i enable this option in PBMC  but i dont know when his file is stored </t>
  </si>
  <si>
    <t>AOF-Dev-MCinaBox-1130</t>
  </si>
  <si>
    <t>Forge crash</t>
  </si>
  <si>
    <t xml:space="preserve">  Describe the crash  _x000D_
A clear and concise description of what the bug is _x000D_
_x000D_
  To Reproduce  _x000D_
Steps to reproduce the crash:_x000D_
1  Go to      _x000D_
2  Click on       _x000D_
3  Scroll down to       _x000D_
4  See the crash_x000D_
_x000D_
  Expected behavior  _x000D_
A clear and concise description of what you expected to happen _x000D_
_x000D_
  Screenshots  _x000D_
If applicable  add screenshots to help explain your problem _x000D_
_x000D_
  Smartphone (please complete the following information):  _x000D_
   Device:  e g  Samsung Galaxy J6 _x000D_
   OS:  e g  Android 8 1 _x000D_
   App Version  e g  v0 1 3 _x000D_
   CPU architecture  e g  arm64   _x000D_
_x000D_
  Additional context  _x000D_
Add any other context about the problem here </t>
  </si>
  <si>
    <t>MuntashirAkon-AppManager-722</t>
  </si>
  <si>
    <t>App crashes after changing the mode and click on an app</t>
  </si>
  <si>
    <t xml:space="preserve">    _x000D_
Your issue will be closed without warning if you don t check at least two items _x000D_
   _x000D_
   x  I know what my device  OS and App Manager versions are_x000D_
   x  I know how to take logs_x000D_
      I know how to reproduce the issue which may not be specific to my device_x000D_
_x000D_
  Describe the bug  _x000D_
App crashes after changing the mode and click on an app  I would also like to add that the app is not connecting successfully to wireless debug  it says wireless debug(inferred no root) _x000D_
_x000D_
  Crash logs  _x000D_
   _x000D_
java lang RuntimeException: Unable to start activity ComponentInfo io github muntashirakon AppManager io github muntashirakon AppManager details AppDetailsActivity : java lang RuntimeException: Cannot create an instance of class io github muntashirakon AppManager details AppDetailsViewModel_x000D_
    at android app ActivityThread performLaunchActivity(ActivityThread java:4035)_x000D_
    at android app ActivityThread handleLaunchActivity(ActivityThread java:4201)_x000D_
    at android app servertransaction LaunchActivityItem execute(LaunchActivityItem java:103)_x000D_
    at android app servertransaction TransactionExecutor executeCallbacks(TransactionExecutor java:135)_x000D_
    at android app servertransaction TransactionExecutor execute(TransactionExecutor java:95)_x000D_
    at android app ActivityThread H handleMessage(ActivityThread java:2438)_x000D_
    at android os Handler dispatchMessage(Handler java:106)_x000D_
    at android os Looper loopOnce(Looper java:226)_x000D_
    at android os Looper loop(Looper java:313)_x000D_
    at android app ActivityThread main(ActivityThread java:8646)_x000D_
    at java lang reflect Method invoke(Native Method)_x000D_
    at com android internal os RuntimeInit MethodAndArgsCaller run(RuntimeInit java:567)_x000D_
    at com android internal os ZygoteInit main(ZygoteInit java:1135)_x000D_
 Caused by: java lang RuntimeException: Cannot create an instance of class io github muntashirakon AppManager details AppDetailsViewModel_x000D_
   at androidx lifecycle ViewModelProvider AndroidViewModelFactory create(ViewModelProvider java:275)_x000D_
   at androidx lifecycle SavedStateViewModelFactory create(SavedStateViewModelFactory java:112)_x000D_
   at androidx lifecycle ViewModelProvider get(ViewModelProvider java:185)_x000D_
   at androidx lifecycle ViewModelProvider get(ViewModelProvider java:150)_x000D_
   at io github muntashirakon AppManager details AppDetailsActivity onAuthenticated(AppDetailsActivity java:64)_x000D_
   at io github muntashirakon AppManager BaseActivity onCreate(BaseActivity java:65)_x000D_
   at android app Activity performCreate(Activity java:8290)_x000D_
   at android app Activity performCreate(Activity java:8270)_x000D_
   at android app Instrumentation callActivityOnCreate(Instrumentation java:1329)_x000D_
   at android app ActivityThread performLaunchActivity(ActivityThread java:4009)_x000D_
   at android app ActivityThread handleLaunchActivity(ActivityThread java:4201)_x000D_
   at android app servertransaction LaunchActivityItem execute(LaunchActivityItem java:103)_x000D_
   at android app servertransaction TransactionExecutor executeCallbacks(TransactionExecutor java:135)_x000D_
   at android app servertransaction TransactionExecutor execute(TransactionExecutor java:95)_x000D_
   at android app ActivityThread H handleMessage(ActivityThread java:2438)_x000D_
   at android os Handler dispatchMessage(Handler java:106)_x000D_
   at android os Looper loopOnce(Looper java:226)_x000D_
   at android os Looper loop(Looper java:313)_x000D_
   at android app ActivityThread main(ActivityThread java:8646)_x000D_
   at java lang reflect Method invoke(Native Method)_x000D_
   at com android internal os RuntimeInit MethodAndArgsCaller run(RuntimeInit java:567)_x000D_
   at com android internal os ZygoteInit main(ZygoteInit java:1135)_x000D_
_x000D_
Device Info:_x000D_
App version: 3 0 0 alpha02_x000D_
App version code: 401_x000D_
Android build version: S908EXXU1AVC9_x000D_
Android release version: 12_x000D_
Android SDK version: 31_x000D_
Android build ID: SP1A 210812 016 S908EXXU1AVC9_x000D_
Device brand: samsung_x000D_
Device manufacturer: samsung_x000D_
Device name: b0q_x000D_
Device model: SM S908E_x000D_
Device product name: b0qxxx_x000D_
Device hardware name: qcom_x000D_
ABIs:  arm64 v8a  armeabi v7a  armeabi _x000D_
ABIs (32bit):  armeabi v7a  armeabi _x000D_
ABIs (64bit):  arm64 v8a _x000D_
System language: en US_x000D_
In App Language: auto_x000D_
Mode: adb wifi_x000D_
   _x000D_
_x000D_
  Device info  _x000D_
   Device: S22 Ultra_x000D_
   OS Version: Android 12_x000D_
   App Manager Version: 3 0 0 alpha2_x000D_
   Mode: wireless debug than I changed it to auto_x000D_
</t>
  </si>
  <si>
    <t>google-ExoPlayer-10147</t>
  </si>
  <si>
    <t>HLS streams crashing</t>
  </si>
  <si>
    <t xml:space="preserve">    ExoPlayer Version_x000D_
_x000D_
2 16 1 and 2 17 1_x000D_
_x000D_
    Devices that reproduce the issue_x000D_
_x000D_
  ChromeCast Model GZRNL_x000D_
  ANDROID TV OS VERSION: 10_x000D_
  KERNEL VERSION: 4 9 180_x000D_
  TV OS BUILD: QTS1 210311 036 7814738_x000D_
_x000D_
  Fire TV Stick 4K_x000D_
  Software ver   Fire OS 6 2 8 7 (NS6287 3768)_x000D_
  Fire TV Home ver   6330065 1_x000D_
_x000D_
    Devices that do not reproduce the issue_x000D_
_x000D_
 No response _x000D_
_x000D_
    Reproducible in the demo app _x000D_
_x000D_
Yes  2 16 1 and 2 17 1_x000D_
_x000D_
    Reproduction steps_x000D_
_x000D_
Play a stream from_x000D_
_x000D_
https:  dev vod emt pac 12 com p12test index m3u8_x000D_
_x000D_
or any Live stream from the Pac 12 Now Android app _x000D_
_x000D_
 Geo restricted to US   Canada_x000D_
_x000D_
_x000D_
Pre roll ads play  video will usually play for a few seconds and then will stutter and eventually gets stuck in a buffering loop  Other times it will crash immediately  and rarely it will play without issue  Same stream plays without issue on Mac and Windows browsers(Chrome  Firefox  Safari)  iOS  Roku  VLC  etc  I have been able to reproduce on the demo ExoPlayer app on both ChromeCast and FireTV _x000D_
_x000D_
I have been trying to troubleshoot this issue for a while with no luck  There doesn t seem to be any consistent or clear error messaging  I have tried changing many different properties of the stream  and forcing software decoding with not much of a difference  I have seen soem errors associated with not being able to determine the output crop  pts issues  frame rate issues  etc  I am attaching logcat of a handful of failures    _x000D_
_x000D_
 exoplayerDemoDebug log (https:  github com google ExoPlayer files 8400509 exoplayerDemoDebug log)_x000D_
_x000D_
    Expected result_x000D_
_x000D_
Pre roll ads play  and stream starts and plays successfully _x000D_
_x000D_
    Actual result_x000D_
_x000D_
Playback gets suck in a buffering loop a few seconds after starting _x000D_
_x000D_
    Media_x000D_
_x000D_
https:  dev vod emt pac 12 com p12test index m3u8_x000D_
_x000D_
or any Live stream from the Pac 12 Now Android app _x000D_
_x000D_
 Geo restricted to US   Canada_x000D_
_x000D_
    Bug Report_x000D_
_x000D_
   X  You will email the zip file produced by  adb bugreport  to dev exoplayer gmail com after filing this issue </t>
  </si>
  <si>
    <t>Anuken-Mindustry-6687</t>
  </si>
  <si>
    <t>Game crashes under certain circumstance</t>
  </si>
  <si>
    <t xml:space="preserve">  Platform  :  Windows 10 x64 _x000D_
_x000D_
  Build  :  steam 135 1 _x000D_
_x000D_
  Issue  :  Game crash _x000D_
  image (https:  user images githubusercontent com 26317456 161304010 2445370a 3627 4f35 ae70 55cab9997be5 png)_x000D_
_x000D_
_x000D_
  Steps to reproduce  : _x000D_
 1 Start a custom game with the built in map Glacier  choose the gamemode Sandbox  Keep other settings as defaults  _x000D_
 2 Train a unit and use it to destroy the hostile (red) core  The game continues  _x000D_
 3 Place a thorium reactor near your (yellow) core  Fill it with thorium  It explodes and destroy your core  _x000D_
 4 The crash should happen at this moment  _x000D_
_x000D_
_x000D_
  Link(s) to mod(s) used  :  None  _x000D_
_x000D_
  Save file  : _x000D_
 save zip (https:  github com Anuken Mindustry files 8399495 save zip)_x000D_
_x000D_
_x000D_
  (Crash) logs  : _x000D_
 crash log zip (https:  github com Anuken Mindustry files 8399519 crash log zip)_x000D_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</si>
  <si>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PojavLauncherTeam-PojavLauncher-3005</t>
  </si>
  <si>
    <t>[1.9-1.13] Attempt To Touch Any Keys Crashes The Game [Android x86] [ACER ASPIRE ONE]</t>
  </si>
  <si>
    <t xml:space="preserve">    Describe the bug_x000D_
_x000D_
 i attempt to play 1 9 to 1 13 but does not work and crashes a lot on my android x86 computer _x000D_
_x000D_
 also forge closed itself and optifine crashes while i also attempt to install them _x000D_
 _x000D_
_x000D_
    The log file and images videos_x000D_
_x000D_
No Videos Right Now Or Photos Since my Android x86 Doesn t Allow Taking Screenshots_x000D_
 _x000D_
_x000D_
    Steps To Reproduce_x000D_
_x000D_
   markdown_x000D_
1  Plz Give Me Step On How To Fix It_x000D_
_x000D_
2  Done_x000D_
   _x000D_
_x000D_
_x000D_
    Expected Behavior_x000D_
_x000D_
 example: i click play and until i loaded a world  attempt to move crashes the game _x000D_
 _x000D_
_x000D_
    Platform_x000D_
_x000D_
   markdown_x000D_
  Device model:  ACER Aspire One _x000D_
  CPU architecture:  Intel Celeron (r) _x000D_
  Android version:  9 0 r2 _x000D_
  PojavLauncher version: croceus v3 openjdk _x000D_
 _x000D_
   _x000D_
_x000D_
_x000D_
    Anything else _x000D_
_x000D_
 plz find me a way to play 1 9 to 1 12 without letting it crash </t>
  </si>
  <si>
    <t>ASE-Projekte-WS-2021-ase-ws-21-konferenzassistent-189</t>
  </si>
  <si>
    <t>Bug beim Löschen von Checklisten</t>
  </si>
  <si>
    <t xml:space="preserve">Wenn man eine Checkliste anlegt und l scht  dann auf Speichern geht  und dann direkt wieder  auf  Eigene Checklisten Verwalten geht  ohne auf ein anderes Fragment zu wechseln wird die gel schte Checklist noch angezeigt(obwohl sie nichtmehr existiert)  und wenn man verrsucht sie zu l schen crashed die app </t>
  </si>
  <si>
    <t>microg-GmsCore-1698</t>
  </si>
  <si>
    <t>Not working with Bromite Webview</t>
  </si>
  <si>
    <t xml:space="preserve">  Describe the bug  _x000D_
I cant add a google account when I have Bromite Webview v99 installed  MicroG crashes _x000D_
_x000D_
  To Reproduce  _x000D_
Steps to reproduce the behavior:_x000D_
Install the Magisk Webview Manager Module and install Bromite Webview_x000D_
Try to add a Google account_x000D_
_x000D_
  Expected behavior  _x000D_
I should be able to add a Google account_x000D_
_x000D_
  Screenshots  _x000D_
_x000D_
_x000D_
  System  _x000D_
LOS18_x000D_
Android 11_x000D_
_x000D_
  Additional context  _x000D_
Deactivating module (returning to standard webview) fixes the problem</t>
  </si>
  <si>
    <t>dedis-popstellar-912</t>
  </si>
  <si>
    <t>App crashes when some errors are received</t>
  </si>
  <si>
    <t xml:space="preserve">    Description (Actual behavior)_x000D_
For some errors on Android the app crashes instead of treating it  It is probably when the app tries to handle GenericErrors _x000D_
_x000D_
    Expected behavior_x000D_
The app is expected to handle normal errors and be al_x000D_
_x000D_
    How to reproduce_x000D_
1  Launch the android app_x000D_
2  Initialize the wallet_x000D_
3  Launch the Go server with a publick key different than the one from the app but of valid format nevertheless_x000D_
4  Launch an LAO from the app_x000D_
_x000D_
    Version   Environment_x000D_
This bug was reproduced on:_x000D_
  Commit: master  688f814 (https:  github com dedis popstellar commit 688f814c153dcbe4e6fcf6993140b28a4d4f4889)_x000D_
_x000D_
      Front ends:_x000D_
      Fe1 Web (please include browser s names   version)_x000D_
   x  Fe2 Android (please specify if phone or emulation  and Android version)_x000D_
      Not applicable_x000D_
_x000D_
      Back ends:_x000D_
      Be1 Go_x000D_
      Be2 Scala_x000D_
   x  Not applicable_x000D_
_x000D_
      Environment (as applicable):_x000D_
   Device:  e g  Pixel 4 emulator on Windows 10 _x000D_
   OS:  Windows 10 _x000D_
_x000D_
    Workaround_x000D_
Use functionnalities in a way that do not cause GenericError on the Android app_x000D_
_x000D_
    Impact_x000D_
It is quite nasty  the app would probably crash on a wide variety of occasion _x000D_
_x000D_
    Possible root cause_x000D_
There is a formatting error in a utility functions for error logging and displaying_x000D_
</t>
  </si>
  <si>
    <t>nextcloud-talk-android-1893</t>
  </si>
  <si>
    <t>Clicking on "open conversation" crashes</t>
  </si>
  <si>
    <t xml:space="preserve">   Steps to reproduce_x000D_
1  search for a conversation that is open_x000D_
2  click on  open conversation _x000D_
3  (sidenote: in german it is currently called  Unterhaltung  ffnen   but it should be  Offene Unterhaltungen _x000D_
_x000D_
    Expected behaviour_x000D_
No crash_x000D_
_x000D_
    Actual behaviour_x000D_
Crash _x000D_
_x000D_
_x000D_
   Device information_x000D_
_x000D_
  Device:   Fairphone2  _x000D_
_x000D_
  Android version:   10  _x000D_
_x000D_
  Talk version:   11 0 0_x000D_
_x000D_
   Server information_x000D_
_x000D_
  Nextcloud version:   (see admin overview page:   index php settings admin overview )_x000D_
_x000D_
  Talk version:   (see apps admin page:   index php settings apps )_x000D_
_x000D_
  Custom Signaling server configured:   yes no and version (see talk admin settings:   index php index php settings admin talk signaling server )_x000D_
_x000D_
  Custom TURN server configured:   yes no (see talk admin settings:   index php settings admin talk turn server )_x000D_
_x000D_
  Custom STUN server configured:   yes no (see talk admin settings:   index php settings admin talk stun server )_x000D_
_x000D_
    Server log (data nextcloud log)_x000D_
 details _x000D_
_x000D_
   _x000D_
Insert your server log here_x000D_
   _x000D_
  details _x000D_
</t>
  </si>
  <si>
    <t>MuntashirAkon-AppManager-718</t>
  </si>
  <si>
    <t>Select a higher DPI if no supported DPI is available during split APK installation</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</si>
  <si>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Title describes everything AM installer doesn t checks xxhdpi split _x000D_
without this split installed app will be crash </t>
  </si>
  <si>
    <t>Aliucord-Aliucord-231</t>
  </si>
  <si>
    <t>Patcher is "borked"</t>
  </si>
  <si>
    <t xml:space="preserve">    Discord Account
 No response 
    What happens when the bug or crash occurs 
The bug happens when installer starts patching apk _x000D_
No additional information  Installer pretends to patch apk just fine  And patched apk is either NOT patched or broken that it cannot be installed  Sometimes it can t even detect that this is a package 
    What is the expected behaviour 
Patch apk and output patched apk that s with a green icon (instead of Android placeholder icon or stock discord one)  Apk name should be aliucord  not discord beta or com discord 
    How do you recreate this bug or crash 
Device info:_x000D_
Redmi note 8T 4 64gb_x000D_
Arcana os custom ROM  Android 12 (not 12 1)_x000D_
Rooted w magisk_x000D_
_x000D_
1  Go in aliucord installer_x000D_
2  Get apk method: download_x000D_
3  Aliucord installer patches apk_x000D_
4  Apk is borked
    Crash log
   _x000D_
Checking cached apk  _x000D_
Downloading Injector dex  _x000D_
Done_x000D_
Downloading patched AndroidManifest xml  _x000D_
Done_x000D_
Copying original apk ( data user 0 com aliucord installer cache discord apk)_x000D_
Repacking apk_x000D_
Replacing icons_x000D_
Signing apk file_x000D_
   _x000D_
  Screenshot 20220331 095225 Package installer (https:  user images githubusercontent com 78162801 160985769 13e32d9f 9ada 473e 8209 2fc1af0c0c0c png)_x000D_
    Request Agreement
   X  I did indeed check to make sure the bug or crash report is applicable </t>
  </si>
  <si>
    <t>PojavLauncherTeam-PojavLauncher-3001</t>
  </si>
  <si>
    <t>Unable to load with any app cloner or vm (exit code 1)</t>
  </si>
  <si>
    <t xml:space="preserve">    Describe the bug
Upon trying to load the launcher in any kind of virtual environment it crashes I am using the correct render and jre yet it always crashes regardless of version _x000D_
I am trying to run an alt afk on a second instance but PojavLauncher is yet to have any sort of compatibility there _x000D_
Wondering if a simple fix can be found I have already tried many different builds from actions tab to no avail 
    The log file and images videos
 latestlog txt (https:  github com PojavLauncherTeam PojavLauncher files 8383092 latestlog txt)_x000D_
    Steps To Reproduce
   markdown
Download any type of android vm or dualspace app_x000D_
Import game and run and let extract libraries or whatever_x000D_
Try run any version_x000D_
Crash with exit code 1 and crash report
    Expected Behavior
Launch or some kinda multi instance compatability
    Platform
   markdown
  Device model: oppo Reno 4z 5g_x000D_
  CPU architecture: 64arm_x000D_
  Android version: latest_x000D_
  PojavLauncher version: any build releas or play store
    Anything else 
Help pls</t>
  </si>
  <si>
    <t>smartdevicelink-sdl_java_suite-1800</t>
  </si>
  <si>
    <t>Incorrect behavior and potential crashes in PresentAlertOperation.supportsSoftButtonImages()</t>
  </si>
  <si>
    <t xml:space="preserve">    Bug Summary_x000D_
_x000D_
 PresentAlertOperation supportSoftButtonImages()  has the potential to crash under the following circumstances:_x000D_
_x000D_
   currentWindowCapability  is null  causes  NullPointerException _x000D_
   currentWindowCapability getSoftButtonCapabilities()  is null  causes  NullPointerException _x000D_
   currentWindowCapability getSoftButtonCapabilities()  has a length of zero  causes  IndexOutOfBoundsException _x000D_
   currentWindowCapability getSoftButtonCapabilities() get(0)  is null  causes  NullPointerException _x000D_
_x000D_
Additionally  under these circumstances  instead of crashing  PresentAlertOperation supportSoftButtonImages()  should return true because  SoftButtonImage s are supposed to be supported by default when the capability is missing _x000D_
_x000D_
    Reproduction Steps_x000D_
_x000D_
N A  this issue does not come from a direct crash report  but was discovered during alignment checking related to  sdl javascript suite issue  526 (https:  github com smartdevicelink sdl javascript suite issues 526)_x000D_
_x000D_
_x000D_
    Which projects have you seen this bug on _x000D_
_x000D_
 No response _x000D_
_x000D_
    Android Version(s)_x000D_
_x000D_
N A_x000D_
_x000D_
    Android Device(s)_x000D_
_x000D_
N A_x000D_
_x000D_
    sdl java suite Version_x000D_
_x000D_
5 4 0 RC_x000D_
_x000D_
    Testing Environment(s)_x000D_
_x000D_
   markdown_x000D_
N A  not discovered during testing_x000D_
   _x000D_
_x000D_
_x000D_
    Relevant log output_x000D_
_x000D_
 No response </t>
  </si>
  <si>
    <t>GoogleCloudPlatform-fda-mystudies-4517</t>
  </si>
  <si>
    <t>[Android] App is crashing in the below scenario</t>
  </si>
  <si>
    <t xml:space="preserve">  Steps:  _x000D_
1  Install the android app and signup_x000D_
2  Enroll into the study_x000D_
3  Navigate to resources_x000D_
4  Open any pdf resources_x000D_
5  Now  go back to SB _x000D_
6  Publish resources from the SB_x000D_
7  In mobile app  Navigate to study activities screen_x000D_
8  Refresh the screen and Verify_x000D_
_x000D_
  AR:   App is crashing in the above scenario _x000D_
  ER:   App should not crash in the above scenario and participants should remain in the study activities screen only </t>
  </si>
  <si>
    <t>khpylon-MachEWidget-11</t>
  </si>
  <si>
    <t xml:space="preserve">Widget display N/A &amp; app crashing </t>
  </si>
  <si>
    <t xml:space="preserve">Summary of actions:_x000D_
_x000D_
Phone: Samsung Galaxy S21 5G  Android 12_x000D_
_x000D_
1  Download latest APK_x000D_
2  Install successful_x000D_
3  Open app  Turn on logging  turn off location   app launcher options _x000D_
4  Enter VIN  u n   password   click log in_x000D_
5  Success popup displayed_x000D_
6   Download log (mache logfile (3) txt)_x000D_
7  Add widget to home screen (tried Lawnchair launcher and also Samsung Launcher)  _x000D_
8  WIDGET DISPLAY N A FOR ALL VALUES (screenshot attached)_x000D_
9  Opening config app  crashes immediately w  no error_x000D_
10  Remove widget from home screen_x000D_
11  Open app successful  download log (mache logfile (4) txt)_x000D_
12  _x000D_
  Screenshot 20220330 075315 Lawnchair (https:  user images githubusercontent com 28742452 160769768 d746c605 3a3b 4fcb adb6 c9621edf195f jpg)_x000D_
</t>
  </si>
  <si>
    <t>k9mail-k-9-5991</t>
  </si>
  <si>
    <t>crash when cutting an invalid recipient</t>
  </si>
  <si>
    <t xml:space="preserve">    Checklist_x000D_
_x000D_
   X  I have used the search function to see if someone else has already submitted the same bug report _x000D_
   X  I will describe the problem with as much detail as possible _x000D_
_x000D_
    App version_x000D_
_x000D_
5 807_x000D_
_x000D_
    Where did you get the app from _x000D_
_x000D_
F Droid_x000D_
_x000D_
    Android version_x000D_
_x000D_
LineageOS 18 1 (Android 11)_x000D_
_x000D_
    Device model_x000D_
_x000D_
Motorola Moto G5 (cedric)_x000D_
_x000D_
    Steps to reproduce_x000D_
_x000D_
1  Start composing a new mail_x000D_
2  Enter an invalid mail recipient (e g : my subject)_x000D_
3  Tap into subject or message text_x000D_
4  K 9 Mail marks recipient as invalid_x000D_
5  Select invalid recipient and Cut_x000D_
  Crash and restart of app_x000D_
_x000D_
Message text composed before gets lost _x000D_
_x000D_
 details _x000D_
 summary Screenshot showing K 9 Mail right before using  b Cut  b   summary _x000D_
_x000D_
 img src  https:  user images githubusercontent com 31078918 160756905 3ea5f0c8 dd64 40e1 bc66 537a5219c8f6 png  height  600    _x000D_
  details _x000D_
_x000D_
    Expected behavior_x000D_
_x000D_
Invalid recipient can be cut out similar to a valid one _x000D_
_x000D_
    Actual behavior_x000D_
_x000D_
App crashes _x000D_
Potential loss of composed message text _x000D_
_x000D_
    Logs_x000D_
_x000D_
 No response </t>
  </si>
  <si>
    <t>ASE-Projekte-WS-2021-ase-ws-21-unser-horsaal-239</t>
  </si>
  <si>
    <t>(AUTH) App crashs when input empty</t>
  </si>
  <si>
    <t xml:space="preserve">      App crasht in LoginFragment  wenn Email leer ist und der Button gedr ckt wird    trim() wird aufgerufen bevor input  berpr ft wurde_x000D_
      App crasht in RegistrationFragment  wenn Email leer ist und der Button gedr ckt wird    trim() wird aufgerufen bevor input  berpr ft wurde</t>
  </si>
  <si>
    <t>Fox2Code-FoxMagiskModuleManager-108</t>
  </si>
  <si>
    <t>[CRITICAL BUG] Crash after press download icon</t>
  </si>
  <si>
    <t xml:space="preserve">  Describe the bug  _x000D_
Crash after press download icon at any module _x000D_
_x000D_
  To Reproduce  _x000D_
Steps to reproduce the behavior:_x000D_
1  Go to Fox Magisk Module Manager 0 4 0_x000D_
2  Scroll down to any module _x000D_
3  Click on  download  picture _x000D_
4  See error_x000D_
_x000D_
  Expected behavior  _x000D_
Download module button works _x000D_
_x000D_
  Screenshots  _x000D_
Just crash while load download page and ads _x000D_
_x000D_
  Device info(please complete the following information):  _x000D_
   Device: NOKIA 3 1_x000D_
   OS: Android 8 1_x000D_
   App Version 0 4 0_x000D_
_x000D_
  Additional context  _x000D_
Add any other context about the problem here _x000D_
</t>
  </si>
  <si>
    <t>PojavLauncherTeam-PojavLauncher-2998</t>
  </si>
  <si>
    <t>Game crashes when i connect controller</t>
  </si>
  <si>
    <t xml:space="preserve">    Describe the bug
Game crashed when I try to play with a dualshock controller
    The log file and images videos
java lang NullPointerException: Attempt to invoke virtual method  void java lang reflect Field setInt(java lang Object  int)  on a null object reference_x000D_
	at net kdt pojavlaunch customcontrols gamepad GamepadDpad setDummyEventKeycode(GamepadDpad java:76)_x000D_
	at net kdt pojavlaunch customcontrols gamepad GamepadDpad convertEvent(GamepadDpad java:67)_x000D_
	at net kdt pojavlaunch customcontrols gamepad Gamepad update(Gamepad java:158)_x000D_
	at net kdt pojavlaunch BaseMainActivity dispatchGenericMotionEvent(BaseMainActivity java:593)_x000D_
	at androidx appcompat view WindowCallbackWrapper dispatchGenericMotionEvent(WindowCallbackWrapper java:79)_x000D_
	at com android internal policy DecorView dispatchGenericMotionEvent(DecorView java:987)_x000D_
	at android view ViewRootImpl ViewPostImeInputStage processGenericMotionEvent(ViewRootImpl java:7853)_x000D_
	at android view ViewRootImpl ViewPostImeInputStage onProcess(ViewRootImpl java:7571)_x000D_
	at android view ViewRootImpl InputStage deliver(ViewRootImpl java:6901)_x000D_
	at android view ViewRootImpl InputStage onDeliverToNext(ViewRootImpl java:6958)_x000D_
	at android view ViewRootImpl InputStage forward(ViewRootImpl java:6924)_x000D_
	at android view ViewRootImpl AsyncInputStage forward(ViewRootImpl java:7122)_x000D_
	at android view ViewRootImpl InputStage apply(ViewRootImpl java:6932)_x000D_
	at android view ViewRootImpl AsyncInputStage apply(ViewRootImpl java:7179)_x000D_
	at android view ViewRootImpl InputStage deliver(ViewRootImpl java:6905)_x000D_
	at android view ViewRootImpl InputStage onDeliverToNext(ViewRootImpl java:6958)_x000D_
	at android view ViewRootImpl InputStage forward(ViewRootImpl java:6924)_x000D_
	at android view ViewRootImpl InputStage apply(ViewRootImpl java:6932)_x000D_
	at android view ViewRootImpl InputStage deliver(ViewRootImpl java:6905)_x000D_
	at android view ViewRootImpl InputStage onDeliverToNext(ViewRootImpl java:6958)_x000D_
	at android view ViewRootImpl InputStage forward(ViewRootImpl java:6924)_x000D_
	at android view ViewRootImpl AsyncInputStage forward(ViewRootImpl java:7155)_x000D_
	at android view ViewRootImpl ImeInputStage onFinishedInputEvent(ViewRootImpl java:7342)_x000D_
	at android view inputmethod InputMethodManager PendingEvent run(InputMethodManager java:3399)_x000D_
	at android view inputmethod InputMethodManager invokeFinishedInputEventCallback(InputMethodManager java:2960)_x000D_
	at android view inputmethod InputMethodManager finishedInputEvent(InputMethodManager java:2951)_x000D_
	at android view inputmethod InputMethodManager ImeInputEventSender onInputEventFinished(InputMethodManager java:3376)_x000D_
	at android view InputEventSender dispatchInputEventFinished(InputEventSender java:154)_x000D_
	at android os MessageQueue nativePollOnce(Native Method)_x000D_
	at android os MessageQueue next(MessageQueue java:335)_x000D_
	at android os Looper loopOnce(Looper java:186)_x000D_
	at android os Looper loop(Looper java:313)_x000D_
	at android app ActivityThread main(ActivityThread java:8663)_x000D_
	at java lang reflect Method invoke(Native Method)_x000D_
	at com android internal os RuntimeInit MethodAndArgsCaller run(RuntimeInit java:567)_x000D_
	at com android internal os ZygoteInit main(ZygoteInit java:1135)_x000D_
    Steps To Reproduce
   markdown
1 Start Pojavlauncher_x000D_
2 Start 1 16 5_x000D_
3 Press x to connect controller_x000D_
4 Move joystick or press any other button_x000D_
5 Game crash
    Expected Behavior
I expect the game to not crash
    Platform
   markdown
  Device model: Samsung Galaxy Tab S7 FE_x000D_
  CPU architecture: aarch64_x000D_
  Android version: 12_x000D_
  PojavLauncher version: Latest Release  crocus v3 openjdk 
    Anything else 
 No response </t>
  </si>
  <si>
    <t>PojavLauncherTeam-PojavLauncher-2997</t>
  </si>
  <si>
    <t>Crash with Forge 1.16.5</t>
  </si>
  <si>
    <t xml:space="preserve">    Describe the bug
The game crashes sometimes with exit code 1
    The log file and images videos
     Minecraft Crash Report     _x000D_
   My bad _x000D_
_x000D_
Time: 19 03 22 14:57_x000D_
Description: mouseClicked event handler_x000D_
_x000D_
java lang IllegalArgumentException: Name and ID cannot both be blank_x000D_
	at com mojang authlib GameProfile  init (GameProfile java:26)   authlib 2 1 28 jar:    re:classloading _x000D_
	at com mojang authlib yggdrasil YggdrasilMinecraftSessionService fillGameProfile(YggdrasilMinecraftSessionService java:192)   authlib 2 1 28 jar:    re:classloading re:classloading re:classloading re:classloading _x000D_
	at com mojang authlib yggdrasil YggdrasilMinecraftSessionService fillProfileProperties(YggdrasilMinecraftSessionService java:179)   authlib 2 1 28 jar:    re:classloading re:classloading re:classloading re:classloading _x000D_
	at net minecraft client Minecraft loadWorld(Minecraft java:1799)    :    re:classloading pl:accesstransformer:B pl:runtimedistcleaner:A _x000D_
	at net minecraft client Minecraft func 238191 a (Minecraft java:1683)    :    re:classloading pl:accesstransformer:B pl:runtimedistcleaner:A _x000D_
	at net minecraft client gui screen WorldSelectionList Entry func 214443 e(SourceFile:407)    :    re:classloading _x000D_
	at net minecraft client gui screen WorldSelectionList Entry func 214438 a(SourceFile:317)    :    re:classloading _x000D_
	at net minecraft client gui screen WorldSelectionList Entry func 231044 a (SourceFile:254)    :    re:classloading _x000D_
	at net minecraft client gui widget list AbstractList func 231044 a (AbstractList java:309)    :    re:classloading pl:runtimedistcleaner:A _x000D_
	at net minecraft client gui INestedGuiEventHandler func 231044 a (SourceFile:27)    :    re:classloading _x000D_
	at net minecraft client MouseHelper func 198033 b(MouseHelper java:87)    :    re:classloading pl:runtimedistcleaner:A _x000D_
	at net minecraft client gui screen Screen func 231153 a (Screen java:427)    :    re:classloading pl:runtimedistcleaner:A _x000D_
	at net minecraft client MouseHelper func 198023 a(MouseHelper java:85)    :    re:classloading pl:runtimedistcleaner:A _x000D_
	at net minecraft client MouseHelper func 228030 c (MouseHelper java:181)    :    re:classloading pl:runtimedistcleaner:A _x000D_
	at net minecraft util concurrent ThreadTaskExecutor execute(SourceFile:94)    :    re:classloading pl:accesstransformer:B _x000D_
	at net minecraft client MouseHelper func 228028 b (MouseHelper java:180)    :    re:classloading pl:runtimedistcleaner:A _x000D_
	at org lwjgl glfw GLFWMouseButtonCallback Container invoke(GLFWMouseButtonCallback java:81)   lwjgl glfw classes jar:     _x000D_
	at org lwjgl glfw GLFW glfwPollEvents(GLFW java:1161)   lwjgl glfw classes jar:     _x000D_
	at com mojang blaze3d systems RenderSystem flipFrame(SourceFile:102)    :    re:classloading _x000D_
	at net minecraft client MainWindow func 227802 e (MainWindow java:305)    :    re:classloading pl:runtimedistcleaner:A _x000D_
	at net minecraft client Minecraft func 195542 b(Minecraft java:997)    :    re:classloading pl:accesstransformer:B pl:runtimedistcleaner:A _x000D_
	at net minecraft client Minecraft func 99999 d(Minecraft java:607)    :    re:classloading pl:accesstransformer:B pl:runtimedistcleaner:A _x000D_
	at net minecraft client main Main main(Main java:184)   1 16 5 forge 36 2 20 jar:    re:classloading pl:runtimedistcleaner:A _x000D_
	at sun reflect NativeMethodAccessorImpl invoke0(Native Method)    :1 8 0 internal    _x000D_
	at sun reflect NativeMethodAccessorImpl invoke(NativeMethodAccessorImpl java:62)    :1 8 0 internal    _x000D_
	at sun reflect DelegatingMethodAccessorImpl invoke(DelegatingMethodAccessorImpl java:43)    :1 8 0 internal    _x000D_
	at java lang reflect Method invoke(Method java:498)    :1 8 0 internal    _x000D_
	at net minecraftforge fml loading FMLClientLaunchProvider lambda launchService 0(FMLClientLaunchProvider java:51)   forge 1 16 5 36 2 20 jar:36 2    _x000D_
	at cpw mods modlauncher LaunchServiceHandlerDecorator launch(LaunchServiceHandlerDecorator java:37)  modlauncher 8 0 9 jar:     _x000D_
	at cpw mods modlauncher LaunchServiceHandler launch(LaunchServiceHandler java:54)  modlauncher 8 0 9 jar:     _x000D_
	at cpw mods modlauncher LaunchServiceHandler launch(LaunchServiceHandler java:72)  modlauncher 8 0 9 jar:     _x000D_
	at cpw mods modlauncher Launcher run(Launcher java:82)  modlauncher 8 0 9 jar:     _x000D_
	at cpw mods modlauncher Launcher main(Launcher java:66)  modlauncher 8 0 9 jar:     _x000D_
_x000D_
_x000D_
A detailed walkthrough of the error  its code path and all known details is as follows:_x000D_
                                                                                       _x000D_
_x000D_
   Head   _x000D_
Thread: Render thread_x000D_
Stacktrace:_x000D_
	at com mojang authlib GameProfile  init (GameProfile java:26)   authlib 2 1 28 jar:    re:classloading _x000D_
	at com mojang authlib yggdrasil YggdrasilMinecraftSessionService fillGameProfile(YggdrasilMinecraftSessionService java:192)   authlib 2 1 28 jar:    re:classloading re:classloading re:classloading re:classloading re:classloading _x000D_
	at com mojang authlib yggdrasil YggdrasilMinecraftSessionService fillProfileProperties(YggdrasilMinecraftSessionService java:179)   authlib 2 1 28 jar:    re:classloading re:classloading re:classloading re:classloading re:classloading _x000D_
	at net minecraft client Minecraft loadWorld(Minecraft java:1799)    :    re:classloading pl:accesstransformer:B pl:runtimedistcleaner:A _x000D_
	at net minecraft client Minecraft func 238191 a (Minecraft java:1683)    :    re:classloading pl:accesstransformer:B pl:runtimedistcleaner:A _x000D_
	at net minecraft client gui screen WorldSelectionList Entry func 214443 e(SourceFile:407)    :    re:classloading _x000D_
	at net minecraft client gui screen WorldSelectionList Entry func 214438 a(SourceFile:317)    :    re:classloading _x000D_
	at net minecraft client gui screen WorldSelectionList Entry func 231044 a (SourceFile:254)    :    re:classloading _x000D_
	at net minecraft client gui widget list AbstractList func 231044 a (AbstractList java:309)    :    re:classloading pl:runtimedistcleaner:A _x000D_
	at net minecraft client gui INestedGuiEventHandler func 231044 a (SourceFile:27)    :    re:classloading _x000D_
	at net minecraft client MouseHelper func 198033 b(MouseHelper java:87)    :    re:classloading pl:runtimedistcleaner:A _x000D_
   Affected screen   _x000D_
Details:_x000D_
	Screen name: net minecraft client gui screen WorldSelectionScreen_x000D_
Stacktrace:_x000D_
	at net minecraft client gui screen Screen func 231153 a (Screen java:427)    :    re:classloading pl:runtimedistcleaner:A _x000D_
	at net minecraft client MouseHelper func 198023 a(MouseHelper java:85)    :    re:classloading pl:runtimedistcleaner:A _x000D_
	at net minecraft client MouseHelper func 228030 c (MouseHelper java:181)    :    re:classloading pl:runtimedistcleaner:A _x000D_
	at net minecraft util concurrent ThreadTaskExecutor execute(SourceFile:94)    :    re:classloading pl:accesstransformer:B _x000D_
	at net minecraft client MouseHelper func 228028 b (MouseHelper java:180)    :    re:classloading pl:runtimedistcleaner:A _x000D_
	at org lwjgl glfw GLFWMouseButtonCallback Container invoke(GLFWMouseButtonCallback java:81)   lwjgl glfw classes jar:     _x000D_
	at org lwjgl glfw GLFW glfwPollEvents(GLFW java:1161)   lwjgl glfw classes jar:     _x000D_
	at com mojang blaze3d systems RenderSystem flipFrame(SourceFile:102)    :    re:classloading _x000D_
	at net minecraft client MainWindow func 227802 e (MainWindow java:305)    :    re:classloading pl:runtimedistcleaner:A _x000D_
	at net minecraft client Minecraft func 195542 b(Minecraft java:997)    :    re:classloading pl:accesstransformer:B pl:runtimedistcleaner:A _x000D_
	at net minecraft client Minecraft func 99999 d(Minecraft java:607)    :    re:classloading pl:accesstransformer:B pl:runtimedistcleaner:A _x000D_
	at net minecraft client main Main main(Main java:184)   1 16 5 forge 36 2 20 jar:    re:classloading pl:runtimedistcleaner:A _x000D_
	at sun reflect NativeMethodAccessorImpl invoke0(Native Method)    :1 8 0 internal    _x000D_
	at sun reflect NativeMethodAccessorImpl invoke(NativeMethodAccessorImpl java:62)    :1 8 0 internal    _x000D_
	at sun reflect DelegatingMethodAccessorImpl invoke(DelegatingMethodAccessorImpl java:43)    :1 8 0 internal    _x000D_
	at java lang reflect Method invoke(Method java:498)    :1 8 0 internal    _x000D_
	at net minecraftforge fml loading FMLClientLaunchProvider lambda launchService 0(FMLClientLaunchProvider java:51)   forge 1 16 5 36 2 20 jar:36 2    _x000D_
	at cpw mods modlauncher LaunchServiceHandlerDecorator launch(LaunchServiceHandlerDecorator java:37)  modlauncher 8 0 9 jar:     _x000D_
	at cpw mods modlauncher LaunchServiceHandler launch(LaunchServiceHandler java:54)  modlauncher 8 0 9 jar:     _x000D_
	at cpw mods modlauncher LaunchServiceHandler launch(LaunchServiceHandler java:72)  modlauncher 8 0 9 jar:     _x000D_
	at cpw mods modlauncher Launcher run(Launcher java:82)  modlauncher 8 0 9 jar:     _x000D_
	at cpw mods modlauncher Launcher main(Launcher java:66)  modlauncher 8 0 9 jar:     _x000D_
_x000D_
_x000D_
   System Details   _x000D_
Details:_x000D_
	Minecraft Version: 1 16 5_x000D_
	Minecraft Version ID: 1 16 5_x000D_
	Operating System: Linux (aarch64) version Android 11_x000D_
	Java Version: 1 8 0 internal  Oracle Corporation_x000D_
	Java VM Version: OpenJDK 64 Bit Server VM (mixed mode)  Oracle Corporation_x000D_
	Memory: 559680904 bytes (533 MB)   1120927744 bytes (1069 MB) up to 1120927744 bytes (1069 MB)_x000D_
	CPUs: 8_x000D_
	JVM Flags: 3 total   Xms1148M  Xmx1148M  Xbootclasspath p: storage emulated 0 Android data net kdt pojavlaunch files caciocavallo ResConfHack jar: storage emulated 0 Android data net kdt pojavlaunch files caciocavallo cacio androidnw 1 10 SNAPSHOT jar: storage emulated 0 Android data net kdt pojavlaunch files caciocavallo cacio shared 1 10 SNAPSHOT jar_x000D_
	ModLauncher: 8 0 9 86 master 3cf110c_x000D_
	ModLauncher launch target: fmlclient_x000D_
	ModLauncher naming: srg_x000D_
	ModLauncher services: _x000D_
		 mixin 0 8 4 jar mixin PLUGINSERVICE _x000D_
		 eventbus 4 0 0 jar eventbus PLUGINSERVICE _x000D_
		 forge 1 16 5 36 2 20 jar object holder definalize PLUGINSERVICE _x000D_
		 forge 1 16 5 36 2 20 jar runtime enum extender PLUGINSERVICE _x000D_
		 accesstransformers 3 0 1 jar accesstransformer PLUGINSERVICE _x000D_
		 forge 1 16 5 36 2 20 jar capability inject definalize PLUGINSERVICE _x000D_
		 forge 1 16 5 36 2 20 jar runtimedistcleaner PLUGINSERVICE _x000D_
		 mixin 0 8 4 jar mixin TRANSFORMATIONSERVICE _x000D_
		 forge 1 16 5 36 2 20 jar fml TRANSFORMATIONSERVICE _x000D_
	FML: 36 2_x000D_
	Forge: net minecraftforge:36 2 20_x000D_
	FML Language Providers: _x000D_
		javafml 36 2_x000D_
		minecraft 1_x000D_
	Mod List: _x000D_
		forge 1 16 5 36 2 20 client jar                    Minecraft                      minecraft                      1 16 5               DONE       Manifest: NOSIGNATURE_x000D_
		pamhc2foodextended 1 16 3 1 0 4 jar                Pam s HarvestCraft 2 Food Exte pamhc2foodextended             version              DONE       Manifest: NOSIGNATURE_x000D_
		forge 1 16 5 36 2 20 universal jar                 Forge                          forge                          36 2 20              DONE       Manifest: 22:af:21:d8:19:82:7f:93:94:fe:2b:ac:b7:e4:41:57:68:39:87:b1:a7:5c:c6:44:f9:25:74:21:14:f5:0d:90_x000D_
		pamhc2trees 1 16 3 1 0 1 jar                       Pam s HarvestCraft 2 Fruit Tre pamhc2trees                    1 0 1                DONE       Manifest: NOSIGNATURE_x000D_
		pamhc2foodcore 1 16 3 1 0 2 jar                    Pam s HarvestCraft 2 Food Core pamhc2foodcore                 version              DONE       Manifest: NOSIGNATURE_x000D_
		pamhc2crops 1 16 3 1 0 2 jar                       Pam s HarvestCraft 2 Crops     pamhc2crops                    version              DONE       Manifest: NOSIGNATURE_x000D_
	Crash Report UUID: 1a39ffb3 374d 4e4c 9aeb bf1d9f9c8983_x000D_
	Launched Version: 1 16 5_x000D_
	Backend library: LWJGL version 3 2 3 SNAPSHOT_x000D_
	Backend API: GL4ES wrapper GL version 2 1 gl4es wrapper 1 1 4  ptitSeb_x000D_
	GL Caps: Using framebuffer using ARB framebuffer object extension_x000D_
	Using VBOs: Yes_x000D_
	Is Modded: Definitely  Client brand changed to  forge _x000D_
	Type: Client (map client txt)_x000D_
	GPU Warnings: version: 2 1_x000D_
	Graphics mode: fast_x000D_
	Resource Packs: vanilla  mod resources  file Blue Default Edit 16x zip (incompatible)_x000D_
	Current Language: English (US)_x000D_
	CPU: 9x null
    Steps To Reproduce
   markdown
Start the game_x000D_
Create world_x000D_
Crash
    Expected Behavior
I expect the game to launch
    Platform
   markdown
  Device model: Samsung Galaxy a32 5g_x000D_
  CPU architecture: not sure_x000D_
  Android version: 11_x000D_
  PojavLauncher version: latest
    Anything else 
 No response </t>
  </si>
  <si>
    <t>getActivity-GsonFactory-18</t>
  </si>
  <si>
    <t>解析json数据问题</t>
  </si>
  <si>
    <t xml:space="preserve">       _x000D_
_x000D_
       GsonFactory   6 0    gson   2 9 0_x000D_
_x000D_
               LinkedTreeMap String  String           null                     json      _x000D_
  _x000D_
                 json  _x000D_
_x000D_
        _x000D_
_x000D_
               Pixel 4   MI 4C_x000D_
_x000D_
            API29_x000D_
_x000D_
      _x000D_
_x000D_
                            _x000D_
_x000D_
                   _x000D_
_x000D_
                    _x000D_
_x000D_
  issue               _x000D_
_x000D_
        Gson            _x000D_
_x000D_
     _x000D_
_x000D_
         _x000D_
  E CustomActivityOnCrash: App has crashed  executing CustomActivityOnCrash s UncaughtExceptionHandler_x000D_
    com google gson JsonSyntaxException: java lang IllegalStateException: Expected BEGIN ARRAY but was BEGIN OBJECT at line 1 column 1069 path   data friends 1  friends 0  extra 0 _x000D_
        at com hjq gson factory element ReflectiveTypeAdapter read(ReflectiveTypeAdapter java:73)_x000D_
        at com google gson Gson FutureTypeAdapter read(Gson java:1079)_x000D_
        at com hjq gson factory element TypeAdapterRuntimeTypeWrapper read(TypeAdapterRuntimeTypeWrapper java:34)_x000D_
        at com hjq gson factory element CollectionTypeAdapter read(CollectionTypeAdapter java:62)_x000D_
        at com hjq gson factory element CollectionTypeAdapter read(CollectionTypeAdapter java:23)_x000D_
        at com hjq gson factory element ReflectiveTypeUtils 1 read(ReflectiveTypeUtils java:111)_x000D_
        at com hjq gson factory element ReflectiveTypeAdapter read(ReflectiveTypeAdapter java:71)_x000D_
        at com google gson Gson FutureTypeAdapter read(Gson java:1079)_x000D_
        at com hjq gson factory element TypeAdapterRuntimeTypeWrapper read(TypeAdapterRuntimeTypeWrapper java:34)_x000D_
        at com hjq gson factory element CollectionTypeAdapter read(CollectionTypeAdapter java:62)_x000D_
        at com hjq gson factory element CollectionTypeAdapter read(CollectionTypeAdapter java:23)_x000D_
        at com hjq gson factory element ReflectiveTypeUtils 1 read(ReflectiveTypeUtils java:111)_x000D_
        at com hjq gson factory element ReflectiveTypeAdapter read(ReflectiveTypeAdapter java:71)_x000D_
        at com hjq gson factory element ReflectiveTypeUtils 1 read(ReflectiveTypeUtils java:111)_x000D_
        at com hjq gson factory element ReflectiveTypeAdapter read(ReflectiveTypeAdapter java:71)_x000D_
        at com google gson Gson fromJson(Gson java:991)_x000D_
        at com google gson Gson fromJson(Gson java:956)_x000D_
        at com google gson Gson fromJson(Gson java:905)_x000D_
        at com google gson Gson fromJson(Gson java:876)_x000D_
_x000D_
                       _x000D_
      zip (https:  github com getActivity GsonFactory files 8368736 default zip)_x000D_
_x000D_
_x000D_
                                               AdapterFactory   </t>
  </si>
  <si>
    <t>PojavLauncherTeam-PojavLauncher-2995</t>
  </si>
  <si>
    <t>[BUG] mod</t>
  </si>
  <si>
    <t xml:space="preserve">    Describe the bug
When I use the distance horizon mod it crashes
    The log file and images videos
          beggining with launcher debug_x000D_
Info: Launcher version: crocus 326 b85dd1620 profiles 2 electric boogaloo_x000D_
Info: LWJGL3 directory:  jsr305 jar  lwjgl glfw classes jar  lwjgl jemalloc jar  lwjgl openal jar  lwjgl opengl jar  lwjgl stb jar  lwjgl tinyfd jar  lwjgl jar  version _x000D_
Architecture: arm64_x000D_
Info: Custom Java arguments:   _x000D_
Info: Selected Minecraft version: 1 18 1_x000D_
Added custom env: TMPDIR  data user 0 net kdt pojavlaunch debug cache_x000D_
Added custom env: AWTSTUB WIDTH 2400_x000D_
Added custom env: POJAV NATIVEDIR  data app   SvfshBhlTUpFFmtEdhe97A   net kdt pojavlaunch debug ezXWMwdivnmXPdZbF 5rUQ   lib arm64_x000D_
Added custom env: REGAL GL VERSION 4 5_x000D_
Added custom env: REGAL GL VENDOR Android_x000D_
Added custom env: LIBGL MIPMAP 3_x000D_
Added custom env: allow higher compat version true_x000D_
Added custom env: LIBGL SHRINK 0_x000D_
Added custom env: MESA GLSL CACHE DIR  data user 0 net kdt pojavlaunch debug cache_x000D_
Added custom env: HOME  storage emulated 0 Android data net kdt pojavlaunch debug files  minecraft_x000D_
Added custom env: PATH  data user 0 net kdt pojavlaunch debug runtimes jre17 arm64 20210825 release tar xz bin: product bin: apex com android runtime bin: apex com android art bin: system ext bin: system bin: system xbin: odm bin: vendor bin: vendor xbin_x000D_
Added custom env: LIBGL NOINTOVLHACK 1_x000D_
Added custom env: force glsl extensions warn true_x000D_
Added custom env: LIBGL NORMALIZE 1_x000D_
Added custom env: LD LIBRARY PATH  data user 0 net kdt pojavlaunch debug runtimes jre17 arm64 20210825 release tar xz lib jli: data user 0 net kdt pojavlaunch debug runtimes jre17 arm64 20210825 release tar xz lib: system lib64: vendor lib64: vendor lib64 hw: data app   SvfshBhlTUpFFmtEdhe97A   net kdt pojavlaunch debug ezXWMwdivnmXPdZbF 5rUQ   lib arm64_x000D_
Added custom env: POJAV RENDERER opengles2 5_x000D_
Added custom env: LIBGL ES 2_x000D_
Added custom env: VTEST SOCKET NAME  data user 0 net kdt pojavlaunch debug cache  virgl test_x000D_
Added custom env: MESA LOADER DRIVER OVERRIDE zink_x000D_
Added custom env: MESA GLSL VERSION OVERRIDE 460_x000D_
Added custom env: JAVA HOME  data user 0 net kdt pojavlaunch debug runtimes jre17 arm64 20210825 release tar xz_x000D_
Added custom env: MESA GL VERSION OVERRIDE 4 6_x000D_
Added custom env: allow glsl extension directive midshader true_x000D_
Added custom env: REGAL GL RENDERER Regal_x000D_
Added custom env: AWTSTUB HEIGHT 1080_x000D_
Initialising gl4es_x000D_
v1 1 5 built on Dec 19 2021 02:56:01_x000D_
Using GLES 2 0 backend_x000D_
Shaderconv enabled_x000D_
loaded: libGLESv2 so_x000D_
loaded: libEGL so_x000D_
Using GLES 2 0 backend_x000D_
Hardware Full NPOT detected and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OES texture float  detected and used_x000D_
Extension GL OES texture half float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16384_x000D_
Max Varying Vector: 31_x000D_
Texture Units: 16 16 (hardware: 16)  Max lights: 8  Max planes: 6_x000D_
Extension GL EXT texture filter anisotropic  detected and used_x000D_
Max Anisotropic filtering: 16_x000D_
Max Color Attachments: 1   Draw buffers: 1_x000D_
Hardware vendor is Qualcomm_x000D_
GLSL 300 es supported_x000D_
GLSL 310 es supported and used_x000D_
sRGB surface supported_x000D_
EGLImage to Texture2D supported_x000D_
EGLImage to RenderBuffer supported_x000D_
ignore MipMap_x000D_
Targeting OpenGL 2 1_x000D_
No hack in shader converter to define overloaded function with int_x000D_
Not trying to batch small subsequent glDrawXXXX_x000D_
try to use VBO_x000D_
Force texture for Attachment color0 on FBO_x000D_
Hack to trigger a SwapBuffers when a Full Framebuffer Blit on default FBO is done_x000D_
Force normals to be normalized on FPE shaders_x000D_
glX Will try to recycle EGL Surface_x000D_
Current folder is: _x000D_
          beginning of main_x000D_
_x000D_
I jrelog  ( 6156): dlopen libgl4es 115 so success_x000D_
I jrelog  ( 6156): dlopen  data user 0 net kdt pojavlaunch debug runtimes jre17 arm64 20210825 release tar xz lib libjli so success_x000D_
I jrelog  ( 6156): dlopen libjvm so failed: dlopen failed: library  libjvm so  not found_x000D_
I jrelog  ( 6156): dlopen  data user 0 net kdt pojavlaunch debug runtimes jre17 arm64 20210825 release tar xz lib server libjvm so success_x000D_
I jrelog  ( 6156): dlopen  data user 0 net kdt pojavlaunch debug runtimes jre17 arm64 20210825 release tar xz lib libverify so success_x000D_
I jrelog  ( 6156): dlopen  data user 0 net kdt pojavlaunch debug runtimes jre17 arm64 20210825 release tar xz lib libjava so success_x000D_
I jrelog  ( 6156): dlopen  data user 0 net kdt pojavlaunch debug runtimes jre17 arm64 20210825 release tar xz lib libnet so success_x000D_
I jrelog  ( 6156): dlopen  data user 0 net kdt pojavlaunch debug runtimes jre17 arm64 20210825 release tar xz lib libnio so success_x000D_
I jrelog  ( 6156): dlopen  data user 0 net kdt pojavlaunch debug runtimes jre17 ar_x000D_
m64 20210825 release tar xz lib libawt so success_x000D_
I jrelog  ( 6156): dlopen  data user 0 net kdt pojavlaunch debug runtimes jre17 arm64 20210825 release tar xz lib libawt headless so success_x000D_
I jrelog  ( 6156): dlopen  data user 0 net kdt pojavlaunch debug runtimes jre17 arm64 20210825 release tar xz lib libfreetype so success_x000D_
I jrelog  ( 6156): dlopen  data user 0 net kdt pojavlaunch debug runtimes jre17 arm64 20210825 release tar xz lib libfontmanager so success_x000D_
I jrelog  ( 6156): dlopen  data user 0 net kdt pojavlaunch debug runtimes jre17 arm64 20210825 release tar xz lib libawt so success_x000D_
I jrelog  ( 6156): dlopen  data user 0 net kdt pojavlaunch debug runtimes jre17 arm64 20210825 release tar xz lib server libjvm so success_x000D_
I jrelog  ( 6156): dlopen  data user 0 net kdt pojavlaunch debug runtimes jre17 arm64 20210825 release tar xz lib server libjsig so success_x000D_
_x000D_
I jrelog  ( 6156): dlopen  data user 0 net kdt pojavlaunch debug runtimes jre17 arm64 20210825 release tar xz lib libattach so success_x000D_
I jrelog  ( 6156): dlopen  data user 0 net kdt pojavlaunch debug runtimes jre17 arm64 20210825 release tar xz lib libjavajpeg so success_x000D_
I jrelog  ( 6156): dlopen  data user 0 net kdt pojavlaunch debug runtimes jre17 arm64 20210825 release tar xz lib libsyslookup so success_x000D_
I jrelog  ( 6156): dlopen  data user 0 net kdt pojavlaunch debug runtimes jre17 arm64 20210825 release tar xz lib libfontmanager so success_x000D_
I jrelog  ( 6156): dlopen  data user 0 net kdt pojavlaunch debug runtimes jre17 arm64 20210825 release tar xz lib libj2pcsc so success_x000D_
I jrelog  ( 6156): dlopen  data user 0 net kdt pojavlaunch debug runtimes jre17 arm64 20210825 release tar xz lib libmanagement so success_x000D_
I jrelog  ( 6156): dlopen  data user 0 net kdt pojavlaunch debug runtimes jre17 arm64 20210825 release tar xz lib libjaas so success_x000D_
I jrelog  ( 6156): dlopen  data user 0 net kdt pojavlaunch debug ru_x000D_
ntimes jre17 arm64 20210825 release tar xz lib libfreetype so success_x000D_
I jrelog  ( 6156): dlopen  data user 0 net kdt pojavlaunch debug runtimes jre17 arm64 20210825 release tar xz lib libjli so success_x000D_
I jrelog  ( 6156): dlopen  data user 0 net kdt pojavlaunch debug runtimes jre17 arm64 20210825 release tar xz lib libjimage so success_x000D_
I jrelog  ( 6156): dlopen  data user 0 net kdt pojavlaunch debug runtimes jre17 arm64 20210825 release tar xz lib libjsig so success_x000D_
I jrelog  ( 6156): dlopen  data user 0 net kdt pojavlaunch debug runtimes jre17 arm64 20210825 release tar xz lib libj2gss so success_x000D_
I jrelog  ( 6156): dlopen  data user 0 net kdt pojavlaunch debug runtimes jre17 arm64 20210825 release tar xz lib libnet so success_x000D_
I jrelog  ( 6156): dlopen  data user 0 net kdt pojavlaunch debug runtimes jre17 arm64 20210825 release tar xz lib libjava so success_x000D_
I jrelog  ( 6156): dlopen  data user 0 net kdt pojavlaunch debug runtimes jre17 arm64 20210825 release tar xz lib libnio so success_x000D_
I jrelog  ( 6156): dlop_x000D_
en  data user 0 net kdt pojavlaunch debug runtimes jre17 arm64 20210825 release tar xz lib libprefs so success_x000D_
_x000D_
I jrelog  ( 6156): dlopen  data user 0 net kdt pojavlaunch debug runtimes jre17 arm64 20210825 release tar xz lib libmanagement ext so success_x000D_
I jrelog  ( 6156): dlopen  data user 0 net kdt pojavlaunch debug runtimes jre17 arm64 20210825 release tar xz lib libj2pkcs11 so success_x000D_
I jrelog  ( 6156): dlopen  data user 0 net kdt pojavlaunch debug runtimes jre17 arm64 20210825 release tar xz lib libdt socket so success_x000D_
I jrelog  ( 6156): dlopen  data user 0 net kdt pojavlaunch debug runtimes jre17 arm64 20210825 release tar xz lib libjdwp so success_x000D_
I jrelog  ( 6156): dlopen  data user 0 net kdt pojavlaunch debug runtimes jre17 arm64 20210825 release tar xz lib libzip so success_x000D_
I jrelog  ( 6156): dlopen  data user 0 net kdt pojavlaunch debug runtimes jre17 arm64 20210825 release tar xz lib libsctp so success_x000D_
I jrelog  ( 6156): dlopen  data user 0 net kdt pojavlaunch debug runtimes jre17 arm64 20210825 release tar xz lib libmlib image so success_x000D_
I jrelog  ( 6156): dlopen  data user 0 net kdt pojavlaunch debug runt_x000D_
imes jre17 arm64 20210825 release tar xz lib libextnet so success_x000D_
I jrelog  ( 6156): dlopen  data user 0 net kdt pojavlaunch debug runtimes jre17 arm64 20210825 release tar xz lib libinstrument so success_x000D_
_x000D_
I jrelog  ( 6156): dlopen  data user 0 net kdt pojavlaunch debug runtimes jre17 arm64 20210825 release tar xz lib libmanagement agent so success_x000D_
I jrelog  ( 6156): dlopen  data user 0 net kdt pojavlaunch debug runtimes jre17 arm64 20210825 release tar xz lib librmi so success_x000D_
I jrelog  ( 6156): dlopen  data user 0 net kdt pojavlaunch debug runtimes jre17 arm64 20210825 release tar xz lib liblcms so success_x000D_
I jrelog  ( 6156): dlopen  data user 0 net kdt pojavlaunch debug runtimes jre17 arm64 20210825 release tar xz lib libjawt so success_x000D_
I jrelog  ( 6156): dlopen  data user 0 net kdt pojavlaunch debug runtimes jre17 arm64 20210825 release tar xz lib libverify so success_x000D_
I jrelog  ( 6156): dlopen  data user 0 net kdt pojavlaunch debug runtimes jre17 arm64 20210825 release tar xz lib libawt headless so success_x000D_
I jrelog  ( 6156): dlopen  data user 0 net kdt pojavlaunch debug runtimes jre17 arm64 20210825 release tar xz lib libawt xawt so success_x000D_
I jrelog  ( 6156): dlopen  data app   SvfshBhlTUpFFmtEdhe97A   net k_x000D_
dt pojavlaunch debug ezXWMwdivnmXPdZbF 5rUQ   lib arm64 libopenal so success_x000D_
I jrelog  ( 6156): Done processing args_x000D_
_x000D_
I jrelog  ( 6156): Found JLI lib_x000D_
I jrelog  ( 6156): Calling JLI Launch_x000D_
_x000D_
 01:35:23   INFO   FabricLoader GameProvider : Loading Minecraft 1 18 1 with Fabric Loader 0 13 3_x000D_
 01:35:23   INFO   FabricLoader GameRemap : Fabric is preparing JARs on first launch  this may take a few seconds   _x000D_
   log4j:Event logger  FabricLoader GameProvider  timestamp  1648517731356  level  INFO  thread  main  _x000D_
     log4j:Message    CDATA Loading Minecraft 1 18 1 with Fabric Loader 0 13 3     log4j:Message _x000D_
    log4j:Event _x000D_
   log4j:Event logger  FabricLoader GameRemap  timestamp  1648517731360  level  INFO  thread  main  _x000D_
     log4j:Message    CDATA Fabric is preparing JARs on first launch  this may take a few seconds        log4j:Message _x000D_
    log4j:Event _x000D_
   log4j:Event logger  FabricLoader Resolution  timestamp  1648517731707  level  WARN  thread  main  _x000D_
     log4j:Message    CDATA Mod resolution failed     log4j:Message _x000D_
    log4j:Event _x000D_
   log4j:Event logger  FabricLoader Resolution  timestamp  1648517731710  level  INFO  thread  main  _x000D_
     log4j:Message    CDATA Immediate reason:  HARD DEP INCOMPATIBLE PRESELECTED fabric 0 48 0 1 18 2  depends minecraft     1 18 2 alpha 22 5 a    ROOT FORCELOAD SINGLE fabric 0 48 0 1 18 2      log4j:Message _x000D_
    log4j:Event _x000D_
   log4j:Event logger  FabricLoader Resolution  timestamp  1648517731711  level  INFO  thread  main  _x000D_
     log4j:Message    CDATA Reason:  HARD DEP fabric 0 48 0 1 18 2  depends minecraft     1 18 2 alpha 22 5 a        log4j:Message _x000D_
    log4j:Event _x000D_
   log4j:Event logger  FabricLoader Resolution  timestamp  1648517731712  level  INFO  thread  main  _x000D_
     log4j:Message    CDATA Fix: add     remove     replace   minecraft 1 18 1     add:minecraft 1 18 2 alpha 22 5 a (  1 18 2 alpha 22 5 a 1 19 ) )      log4j:Message _x000D_
    log4j:Event _x000D_
   log4j:Event logger  FabricLoader  timestamp  1648517731740  level  ERROR  thread  main  _x000D_
     log4j:Message    CDATA Incompatible mod set      log4j:Message _x000D_
     log4j:Throwable    CDATA net fabricmc loader impl FormattedException: Mod resolution encountered an incompatible mod set _x000D_
A potential solution has been determined:_x000D_
	   Replace  Minecraft  (minecraft) 1 18 1 with any version between 1 18 2 alpha 22 5 a (inclusive) and 1 19  (exclusive) _x000D_
Unmet dependency listing:_x000D_
	   Mod  Fabric API  (fabric) 0 48 0 1 18 2 requires any version between 1 18 2 alpha 22 5 a (inclusive) and 1 19  (exclusive) of  Minecraft  (minecraft)  but only the wrong version is present: 1 18 1 _x000D_
	at net fabricmc loader impl FabricLoaderImpl load(FabricLoaderImpl java:190)_x000D_
	at net fabricmc loader impl launch knot Knot init(Knot java:142)_x000D_
	at net fabricmc loader impl launch knot Knot launch(Knot java:71)_x000D_
	at net fabricmc loader impl launch knot KnotClient main(KnotClient java:23)_x000D_
     log4j:Throwable _x000D_
    log4j:Event _x000D_
FORTIFY: pthread mutex lock called on a destroyed mutex (0x78ed033354)_x000D_
process killed with signal 6 code 0xffffffff addr 0x2a130000180c_x000D_
    Steps To Reproduce
   markdown
Don t use it
    Expected Behavior
To run and not crash
    Platform
   markdown
  Device model: s20 fe_x000D_
  CPU architecture: 64_x000D_
  Android version: 12_x000D_
  PojavLauncher version: beta
    Anything else 
I own the game I bought it</t>
  </si>
  <si>
    <t>PojavLauncherTeam-PojavLauncher-2994</t>
  </si>
  <si>
    <t>Broken loading screen</t>
  </si>
  <si>
    <t xml:space="preserve">    Describe the bug_x000D_
_x000D_
When in the loading screen is near completion it crashes resulting in a strange loading screen or produce a black screen _x000D_
_x000D_
    The log file and images videos_x000D_
_x000D_
  Screenshot 20220327 174048 PojavLauncher (Minecraft Java Edition for Android) (https:  user images githubusercontent com 102562751 160507610 72319ebf 53d2 4123 85e0 5ce99edd97e3 jpg)_x000D_
_x000D_
_x000D_
    Steps To Reproduce_x000D_
_x000D_
   markdown_x000D_
1  Download new tardis mod into mod folder_x000D_
2  Launch Pojav_x000D_
3  Press play and boom broken loading screen_x000D_
   _x000D_
_x000D_
_x000D_
    Expected Behavior_x000D_
_x000D_
I expected minecraft to load as usual _x000D_
_x000D_
    Platform_x000D_
_x000D_
   markdown_x000D_
  Device model: SM N975U_x000D_
  CPU architecture: aarc64_x000D_
  Android version: 12_x000D_
  PojavLauncher version: latest version of playstore version of pojav launcher_x000D_
   _x000D_
_x000D_
_x000D_
    Anything else _x000D_
_x000D_
Interesting enough all renderers except zink have this problem  Also the version of the game is 1 16 5 forge </t>
  </si>
  <si>
    <t>mercadopago-px-android-2690</t>
  </si>
  <si>
    <t>[PXN-3415] getPaymentTypeId null</t>
  </si>
  <si>
    <t xml:space="preserve">      Escribir un resumen de los cambios en el T tulo de arriba    _x000D_
_x000D_
   Motivaci n y Contexto_x000D_
       Por qu  este cambio es requerido   Qu  problema resuelve     _x000D_
Currently the app is crashing when the paymentTypeId is null_x000D_
_x000D_
   Descripci n_x000D_
At some point getPaymentTypeId is getting null value while using the app  Therefore  a treatment was performed for when this occurs  return  null  in the getPaymentMethodById function and then return an error to the user instead of crash the app_x000D_
_x000D_
   C mo probarlo_x000D_
Set a getPaymentMethod with null value_x000D_
_x000D_
   Screenshots_x000D_
  Before   After  _x000D_
                   _x000D_
 a href  https:  ibb co p2ygRCQ   img src  https:  i ibb co 2qNwsXS error gif  alt  error  border  0    a   a href  https:  ibb co pJtXdyN   img src  https:  i ibb co 3BDhczV after correct gif  alt  after correct  border  0    a _x000D_
_x000D_
_x000D_
   Compartir conocimiento_x000D_
https:  app bugsnag com mercadolibre mercado pago android errors 620988c7b2a5fc00097cbde1 event id 62246fef00924e8735aa0000 i jr m li</t>
  </si>
  <si>
    <t>Appboy-appboy-android-sdk-220</t>
  </si>
  <si>
    <t xml:space="preserve">[Bug]: </t>
  </si>
  <si>
    <t xml:space="preserve">    Braze Android SDK Version
18 0 1
    Steps To Reproduce
When we use Braze with the  Sentry Gradle Plugin (https:  github com getsentry sentry android gradle plugin)  the application crashes when opened_x000D_
_x000D_
   _x000D_
Gradle version 7 1 2_x000D_
Kotlin Version 1 6 10_x000D_
Target Sdk Version 32_x000D_
Compile Sdk Version 32_x000D_
Braze Version 18 0 1_x000D_
Sentry Version 5 7 0_x000D_
Sentry Plugin Version 3 0 0_x000D_
    Expected Behavior
The application should not be crashed
    Actual Incorrect Behavior
The application crashes when opened
    Verbose Logs
   shell
java lang VerifyError: Verifier rejected class com braze support BrazeImageUtils: android graphics Bitmap com braze support BrazeImageUtils getLocalBitmap(android net Uri  int  int) failed to verify: android graphics Bitmap com braze support BrazeImageUtils getLocalBitmap(android net Uri  int  int):  0x75  register v6 has type Precise Reference: java lang String but expected Reference: java io FileInputStream (declaration of  com braze support BrazeImageUtils  appears in  data app   mudJ3b4VR55TXuQMIoS8ew   com hepsiburada merchant qa oFX w fRWgtmWrKbDRq6yg   base apk)_x000D_
        at com braze support BrazeImageUtils getImageLoaderCacheSize(SourceFile:1)_x000D_
        at com braze images DefaultBrazeImageLoader  init (SourceFile:4)_x000D_
        at com appboy Appboy  init (SourceFile:59)_x000D_
        at com braze Braze  init (SourceFile:1)_x000D_
        at com appboy Appboy getInstance(SourceFile:7)_x000D_
        at com hepsiburada merchant di AppModule provideBraze(AppModule kt:46)_x000D_
        at com hepsiburada merchant di AppModule ProvideBrazeFactory provideBraze(AppModule ProvideBrazeFactory java:41)_x000D_
        at com hepsiburada merchant core DaggerApp HiltComponents SingletonC SwitchingProvider get0(DaggerApp HiltComponents SingletonC java:2011)_x000D_
        at com hepsiburada merchant core DaggerApp HiltComponents SingletonC SwitchingProvider get(DaggerApp HiltComponents SingletonC java:2354)_x000D_
        at dagger internal DoubleCheck get(DoubleCheck java:47)_x000D_
        at com hepsiburada merchant core DaggerApp HiltComponents SingletonC SwitchingProvider get0(DaggerApp HiltComponents SingletonC java:2008)_x000D_
        at com hepsiburada merchant core DaggerApp HiltComponents SingletonC SwitchingProvider get(DaggerApp HiltComponents SingletonC java:2354)_x000D_
        at dagger internal DoubleCheck get(DoubleCheck java:47)_x000D_
        at com hepsiburada merchant core DaggerApp HiltComponents SingletonC SwitchingProvider get0(DaggerApp HiltComponents SingletonC java:1993)_x000D_
        at com hepsiburada merchant core DaggerApp HiltComponents SingletonC SwitchingProvider get(DaggerApp HiltComponents SingletonC java:2354)_x000D_
        at dagger internal DoubleCheck get(DoubleCheck java:47)_x000D_
        at com hepsiburada merchant core DaggerApp HiltComponents SingletonC ActivityCImpl injectMainActivity2(DaggerApp HiltComponents SingletonC java:1506)_x000D_
        at com hepsiburada merchant core DaggerApp HiltComponents SingletonC ActivityCImpl injectMainActivity(DaggerApp HiltComponents SingletonC java:1474)_x000D_
        at com hepsiburada merchant ui Hilt MainActivity inject(Hilt MainActivity java:66)_x000D_
        at com hepsiburada merchant ui Hilt MainActivity 1 onContextAvailable(Hilt MainActivity java:37)_x000D_
        at androidx activity contextaware ContextAwareHelper dispatchOnContextAvailable(ContextAwareHelper java:99)_x000D_
        at androidx activity ComponentActivity onCreate(ComponentActivity java:313)_x000D_
        at androidx fragment app FragmentActivity onCreate(FragmentActivity java:249)_x000D_
        at com hepsiburada merchant utils base BaseActivity onCreate(BaseActivity kt:30)_x000D_
        at com hepsiburada merchant ui MainActivity onCreate(MainActivity kt:69)_x000D_
        at android app Activity performCreate(Activity java:8054)_x000D_
        at android app Activity performCreate(Activity java:8034)_x000D_
        at android app Instrumentation callActivityOnCreate(Instrumentation java:1341)_x000D_
        at android app ActivityThread performLaunchActivity(ActivityThread java:3666)_x000D_
        at android app ActivityThread handleLaunchActivity(ActivityThread java:3842)_x000D_
        at android app servertransaction LaunchActivityItem execute(LaunchActivityItem java:103)_x000D_
        at android app servertransaction TransactionExecutor executeCallbacks(TransactionExecutor java:135)_x000D_
        at android app servertransaction TransactionExecutor execute(TransactionExecutor java:95)_x000D_
        at android app ActivityThread H handleMessage(ActivityThread java:2252)_x000D_
        at android os Handler dispatchMessage(Handler java:106)_x000D_
        at android os Looper loopOnce(Looper java:201)_x000D_
        at android os Looper loop(Looper java:288)_x000D_
        at android app ActivityThread main(ActivityThread java:7842)_x000D_
        at java lang reflect Method invoke(Native Method)
    Additional Information
 No response </t>
  </si>
  <si>
    <t>Aliucord-Aliucord-230</t>
  </si>
  <si>
    <t>Stuck at Splash Screen (Huawei Device)</t>
  </si>
  <si>
    <t xml:space="preserve">    Discord Account
Hiromon 4640
    What happens when the bug or crash occurs 
The app stucks at Splash Screen  I already saw someone had this but in an oppo device (that has been resolved)  but in my case  in a Huawei device (Huawei Y6s 2019 to be specific)  And yes  I updated Aliucord 
    What is the expected behaviour 
I expected to open the app normally 
    How do you recreate this bug or crash 
1  Grab a Huawei Device (or my Huawei model) _x000D_
2  Open the app _x000D_
3  Wait until something pops that it s not responding 
    Crash log
   _x000D_
Replace this text with your crash log _x000D_
   _x000D_
    Request Agreement
   X  I did indeed check to make sure the bug or crash report is applicable </t>
  </si>
  <si>
    <t>PojavLauncherTeam-PojavLauncher-2991</t>
  </si>
  <si>
    <t>[BUG] &lt;Weird memory bug&gt;</t>
  </si>
  <si>
    <t xml:space="preserve">    Describe the bug
when i run out of memory on minecraft and turn up the memory it works but if i close pojavlauncher or turn on and off my device when i try to launch it crashes 
    The log file and images videos
    Steps To Reproduce
   markdown
when i run out of memory on minecraft and turn up the memory it works but if i close pojavlauncher or turn on and off my device when i try to launch it crashes 
    Expected Behavior
i expect it to launch consistently 
    Platform
   markdown
  Device model: samsung galaxy tab e_x000D_
  CPU architecture: idk_x000D_
  Android version: 7 1 1_x000D_
  PojavLauncher version: playstore
    Anything else 
 No response </t>
  </si>
  <si>
    <t>getsentry-sentry-java-1961</t>
  </si>
  <si>
    <t>ANR tracker gracefully downgrade on OOM</t>
  </si>
  <si>
    <t xml:space="preserve">    Integration
sentry android
    Build System
Gradle
    AGP Version
NA
    Proguard
Enabled
    Version
ALL
    Steps to Reproduce
App is low on memory  ANR detection tries to do its thing and crashes the process _x000D_
_x000D_
   _x000D_
java lang OutOfMemoryError: _x000D_
  at android app ActivityManagerProxy getProcessesInErrorState_x000D_
  at android app ActivityManager getProcessesInErrorState_x000D_
  at io sentry android core ANRWatchDog run (ANRWatchDog java:102)_x000D_
    Expected Result
Not to crash the app  Avoid a busy loop  just turn itself off completely or thread sleep in exponential backoff
    Actual Result
Crashes</t>
  </si>
  <si>
    <t>PojavLauncherTeam-PojavLauncher-2990</t>
  </si>
  <si>
    <t>[SHADERS DID NOT LOAD IN CORRECTLY] &lt;i press play on 1.18.2 and i have j17&gt;</t>
  </si>
  <si>
    <t xml:space="preserve">    Describe the bug
It doesnt load  Im trying to play 1 18 2 and it kicks me out of game and shows me this code in crash log
    The log file and images videos
No log file  It is empty  However i have the crash code:_x000D_
_x000D_
     Minecraft Crash Report     _x000D_
   But it works on my machine _x000D_
_x000D_
Time: 3 28 22  3:51 AM_x000D_
Description: Initializing game_x000D_
_x000D_
java lang RuntimeException: could not preload blit shader_x000D_
	at eql a(SourceFile:406)_x000D_
	at dyr  init (SourceFile:619)_x000D_
	at net minecraft client main Main main(SourceFile:197)_x000D_
Caused by: yw: Invalid shaders core blit screen json: Couldn t compile vertex program (minecraft:shaders core blit screen vsh  blit screen) : ERROR: 0:5:  in  : Syntax error:  syntax error_x000D_
INTERNAL ERROR: no main() function _x000D_
ERROR: 1 compilation errors   No code generated _x000D_
	at yw a(SourceFile:48)_x000D_
	at erd  init (SourceFile:202)_x000D_
	at eql a(SourceFile:404)_x000D_
	    2 more_x000D_
Caused by: java io IOException: Couldn t compile vertex program (minecraft:shaders core blit screen vsh  blit screen) : ERROR: 0:5:  in  : Syntax error:  syntax error_x000D_
INTERNAL ERROR: no main() function _x000D_
ERROR: 1 compilation errors   No code generated _x000D_
	at dtb b(SourceFile:72)_x000D_
	at dtb a(SourceFile:54)_x000D_
	at erd a(SourceFile:244)_x000D_
	at erd  init (SourceFile:184)_x000D_
	    3 more_x000D_
_x000D_
_x000D_
A detailed walkthrough of the error  its code path and all known details is as follows:_x000D_
                                                                                       _x000D_
_x000D_
   Head   _x000D_
Thread: Render thread_x000D_
Stacktrace:_x000D_
	at eql a(SourceFile:406)_x000D_
	at dyr  init (SourceFile:619)_x000D_
_x000D_
   Initialization   _x000D_
Details:_x000D_
	Modules: _x000D_
Stacktrace:_x000D_
	at net minecraft client main Main main(SourceFile:197)_x000D_
_x000D_
   System Details   _x000D_
Details:_x000D_
	Minecraft Version: 1 18 2_x000D_
	Minecraft Version ID: 1 18 2_x000D_
	Operating System: Linux (aarch64) version Android 12_x000D_
	Java Version: 17 internal  N A_x000D_
	Java VM Version: OpenJDK 64 Bit Server VM (mixed mode)  Oracle Corporation_x000D_
	Memory: 2420920352 bytes (2308 MiB)   4034920448 bytes (3848 MiB) up to 4034920448 bytes (3848 MiB)_x000D_
	CPUs: 8_x000D_
	Processor Vendor: 0x41_x000D_
	Processor Name: AArch64 Processor rev 0 (aarch64)_x000D_
	Identifier: 0x41 Family 8 Model 0xd0d Stepping r0xdp14_x000D_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7747 59_x000D_
	Virtual memory used (MB): 8579 25_x000D_
	Swap memory total (MB): 4096 00_x000D_
	Swap memory used (MB): 2058 91_x000D_
	JVM Flags: 2 total   Xms3848M  Xmx3848M_x000D_
	Launched Version: 1 18 2_x000D_
	Backend library: LWJGL version 3 2 3 SNAPSHOT_x000D_
	Backend API: GL4ES wrapper GL version 2 1 gl4es wrapper 1 1 4  ptitSeb_x000D_
	Window size:  not initialized _x000D_
	GL Caps: Using framebuffer using OpenGL 3 2_x000D_
	GL debug messages:  disabled _x000D_
	Using VBOs: Yes_x000D_
	Is Modded: Probably not  Client jar signature and brand is untouched_x000D_
	Type: Client (map client txt)_x000D_
	CPU: 8x AArch64 Processor rev 14 (aarch64)
    Steps To Reproduce
   markdown
1  Start PojavLauncher_x000D_
2  Wait for game to load_x000D_
3  Game crashes
    Expected Behavior
I expecf game to launch
    Platform
   markdown
  Device model: Galaxy Tab s7 _x000D_
  CPU architecture: Kryo 585_x000D_
  Android version: 12_x000D_
  PojavLauncher version: 3 3 1 1
    Anything else 
 No response </t>
  </si>
  <si>
    <t>PojavLauncherTeam-PojavLauncher-2989</t>
  </si>
  <si>
    <t>[The Game Crash with -1 code] Crahs the Minecraft 1.18 to 1.18.2</t>
  </si>
  <si>
    <t xml:space="preserve">    Describe the bug
The game crash when  I launch the latest version of it in 1 18 the 1 18 1 and also 1 18 2 i don t know why the game crash with the  1 code the attachments are in Spanish but are photo about the error so if can you fix it or give me the solution i will appreciate very much so thanks for reading _x000D_
  Screenshot 20220327 202650 PojavLauncher (Minecraft Java Edition for Android) (https:  user images githubusercontent com 88203855 160317206 4dce0489 eb27 4dd1 83e6 0b6407e30bc7 jpg)_x000D_
  Screenshot 20220327 201923 PojavLauncher (Minecraft Java Edition for Android) (https:  user images githubusercontent com 88203855 160317208 beed2a74 3fa0 4087 ac99 71c1d8c82e93 jpg)_x000D_
    The log file and images videos
  Screenshot 20220327 202650 PojavLauncher (Minecraft Java Edition for Android) (https:  user images githubusercontent com 88203855 160317043 9d899544 5914 452e 836e 86772244dba5 jpg)_x000D_
  Screenshot 20220327 201923 PojavLauncher (Minecraft Java Edition for Android) (https:  user images githubusercontent com 88203855 160317047 c7351a8a 8a86 401a 91db e08b67b951aa jpg)_x000D_
    Steps To Reproduce
   markdown
1  Start the launcher_x000D_
2 the game crash when I launch the latest version 1 18 to up
    Expected Behavior
I expect that the latest version of Minecraft crash
    Platform
   markdown
  Device model: Samsung Galaxy a31s_x000D_
  CPU architecture: arm x64_x000D_
  Android version: 11_x000D_
  PojavLauncher version: Latest version on play store
    Anything else 
 No response </t>
  </si>
  <si>
    <t>PojavLauncherTeam-PojavLauncher-2988</t>
  </si>
  <si>
    <t>[BUG] Glock-17 game crash when aiming in server</t>
  </si>
  <si>
    <t xml:space="preserve">    Describe the bug
Title _x000D_
If I try to aim with a Glock 17 in a server  it immediatly crashes  (Like  instantly  )_x000D_
Optifine does not seem to be the cause  too (happens with and without it)
    The log file and images videos
https:  bytebin lucko me o6462qPES9_x000D_
Crash log when aiming
    Steps To Reproduce
   markdown
1  Join a server _x000D_
2  Take a glock 17 _x000D_
3  Aim _x000D_
4  Profit
    Expected Behavior
I expected to not crash lmao
    Platform
   markdown
Minecraft Java Edition_x000D_
Forge 36 2 31_x000D_
Minecraft 1 16 5
    Anything else 
 No response </t>
  </si>
  <si>
    <t>PojavLauncherTeam-PojavLauncher-2982</t>
  </si>
  <si>
    <t>My lunar client and every version is crashing without anything showing</t>
  </si>
  <si>
    <t xml:space="preserve">    Describe the bug
any version are crashing but pixel client is working but after 4 minutes or 5 minutes its coming back to login page please fix this also please add every runtime I can t even run 1 16 5 on my device please fix that
    The log file and images videos
I dont have a file
    Steps To Reproduce
   markdown
Please fix this bug
    Expected Behavior
game should not crash if it is 1 17 or 1 18 2 also it should not crash when we are playing
    Platform
   markdown
  Device model: Redmi 7a_x000D_
  CPU architecture: arm64 v8a_x000D_
  Android version: Android Pie 9 0_x000D_
  PojavLauncher version: Latest version
    Anything else 
 No response </t>
  </si>
  <si>
    <t>Aliucord-Aliucord-229</t>
  </si>
  <si>
    <t>Aliucord crashed on oppo phone</t>
  </si>
  <si>
    <t xml:space="preserve">    Discord Account
Arnold s XD 2225
    What happens when the bug or crash occurs 
Well the app itself just keep stuck at splash art discord and then started crashing even i try to reinstall it still same thing was running in color os 7 1 
    What is the expected behaviour 
Well the app itself I can t doing anything when I first open app and then it just stuck and crashing it 
    How do you recreate this bug or crash 
1  Get some phone oppo like oppo A5 2020_x000D_
2  And install aliucord app_x000D_
3  And open app_x000D_
4  It the phone emulator can open easily so it was my phone slow or something and crashing the app 
    Crash log
   _x000D_
Replace this text with your crash log _x000D_
   _x000D_
    Request Agreement
   X  I did indeed check to make sure the bug or crash report is applicable </t>
  </si>
  <si>
    <t>Aliucord-Aliucord-228</t>
  </si>
  <si>
    <t xml:space="preserve">Slash command makes app unresponsive </t>
  </si>
  <si>
    <t xml:space="preserve">    Discord Account_x000D_
_x000D_
CutterChop 1893 _x000D_
_x000D_
    What happens when the bug or crash occurs _x000D_
_x000D_
When you input a aliucord plugin only it decides to go non responsive and then turns the app off without notice or crash log  this was reported before but it appears devs in discord say it was fixed before so it was removed from known issues  here it is back again hopefully someone comes up and help  I got a Huawei mate 10 lite and I am on the latest update 120 this bug only happens with aliucord plugins  the log cat won t read the error maybe it s cuz of my phone limitation so someone else prob would have a more accurate log to share _x000D_
_x000D_
    What is the expected behaviour _x000D_
_x000D_
I expect the command to initiate _x000D_
_x000D_
    How do you recreate this bug or crash _x000D_
_x000D_
You can t replicate on all phones it most probably would happen on a Huawei or OPPO phone _x000D_
_x000D_
    Crash log_x000D_
_x000D_
The app won t give a crash log on this scenario _x000D_
_x000D_
    Request Agreement_x000D_
_x000D_
   X  I did indeed check to make sure the bug or crash report is applicable </t>
  </si>
  <si>
    <t>cgeo-WhereYouGo-382</t>
  </si>
  <si>
    <t>Internal Whereigo engine crashing with NPE on specific cartridge</t>
  </si>
  <si>
    <t xml:space="preserve">    Describe your problem _x000D_
_x000D_
A user on support reports WhereYouGo is crashing when running a specific cartridge (GC9Q1Q4) with the following error screen:_x000D_
_x000D_
  image (https:  user images githubusercontent com 3754370 160256277 45e5c9a9 7eb6 4618 a3d6 d9f9be000f0d png)_x000D_
_x000D_
He is running WhereYouGo in combination with Fake GPS and claims WhereYouGo is running no longer after this crash and needs to be reinstalled _x000D_
_x000D_
    Reproducible_x000D_
_x000D_
Yes  even after deleting app s cache data_x000D_
_x000D_
    WhereYouGo Version_x000D_
_x000D_
2022 1 14_x000D_
_x000D_
    Additional Information_x000D_
_x000D_
Ticket  118279</t>
  </si>
  <si>
    <t>commons-app-apps-android-commons-4923</t>
  </si>
  <si>
    <t>"NumberFormatException: There are more than one component" at ExifAttribute.getIntValue</t>
  </si>
  <si>
    <t>For a particular picture  I am getting this crash everytime I send it for upload via  share :_x000D_
   _x000D_
java lang NumberFormatException: There are more than one component_x000D_
at androidx exifinterface media ExifInterface ExifAttribute getIntValue(ExifInterface java:3394)_x000D_
at androidx exifinterface media ExifInterface handleThumbnailFromJfif(ExifInterface java:7125)_x000D_
at androidx exifinterface media ExifInterface setThumbnailData(ExifInterface java:7110)_x000D_
at androidx exifinterface media ExifInterface getJpegAttributes(ExifInterface java:5641)_x000D_
at androidx exifinterface media ExifInterface loadAttributes(ExifInterface java:4586)_x000D_
at androidx exifinterface media ExifInterface initForFilename(ExifInterface java:5289)_x000D_
at androidx exifinterface media ExifInterface  init (ExifInterface java:3946)_x000D_
at fr free nrw commons filepicker UploadableFile getDateTimeFromExif(UploadableFile java:126)_x000D_
at fr free nrw commons filepicker UploadableFile getFileCreatedDate(UploadableFile java:83)_x000D_
at fr free nrw commons upload UploadModel createAndAddUploadItem(UploadModel java:102)_x000D_
at fr free nrw commons upload UploadModel preProcessImage(UploadModel java:91)_x000D_
at fr free nrw commons repository UploadRepository preProcessImage(UploadRepository java:192)_x000D_
at fr free nrw commons upload mediaDetails UploadMediaPresenter receiveImage(UploadMediaPresenter java:94)_x000D_
at fr free nrw commons upload mediaDetails UploadMediaDetailFragment init(UploadMediaDetailFragment java:164)_x000D_
at fr free nrw commons upload mediaDetails UploadMediaDetailFragment onViewCreated(UploadMediaDetailFragment java:151)_x000D_
at androidx fragment app FragmentStateManager createView(FragmentStateManager java:322)_x000D_
at androidx fragment app FragmentManager moveToState(FragmentManager java:1185)_x000D_
at androidx fragment app FragmentManager moveToState(FragmentManager java:1354)_x000D_
at androidx fragment app FragmentManager moveFragmentToExpectedState(FragmentManager java:1432)_x000D_
at androidx fragment app FragmentManager moveToState(FragmentManager java:1495)_x000D_
at androidx fragment app BackStackRecord executeOps(BackStackRecord java:447)_x000D_
at androidx fragment app FragmentManager executeOps(FragmentManager java:2167)_x000D_
at androidx fragment app FragmentManager executeOpsTogether(FragmentManager java:1990)_x000D_
at androidx fragment app FragmentManager removeRedundantOperationsAndExecute(FragmentManager java:1945)_x000D_
at androidx fragment app FragmentManager execSingleAction(FragmentManager java:1816)_x000D_
at androidx fragment app BackStackRecord commitNowAllowingStateLoss(BackStackRecord java:303)_x000D_
at androidx fragment app FragmentStatePagerAdapter finishUpdate(FragmentStatePagerAdapter java:262)_x000D_
at androidx viewpager widget ViewPager populate(ViewPager java:1244)_x000D_
at androidx viewpager widget ViewPager populate(ViewPager java:1092)_x000D_
at androidx viewpager widget ViewPager onMeasure(ViewPager java:1622)_x000D_
at android view View measure(View java:24967)_x000D_
at android widget RelativeLayout measureChildHorizontal(RelativeLayout java:715)_x000D_
at android widget RelativeLayout onMeasure(RelativeLayout java:461)_x000D_
at android view View measure(View java:24967)_x000D_
at android view ViewGroup measureChildWithMargins(ViewGroup java:7134)_x000D_
at android widget FrameLayout onMeasure(FrameLayout java:185)_x000D_
at androidx appcompat widget ContentFrameLayout onMeasure(ContentFrameLayout java:143)_x000D_
at android view View measure(View java:24967)_x000D_
at android view ViewGroup measureChildWithMargins(ViewGroup java:7134)_x000D_
at android widget LinearLayout measureChildBeforeLayout(LinearLayout java:1535)_x000D_
at android widget LinearLayout measureVertical(LinearLayout java:825)_x000D_
at android widget LinearLayout onMeasure(LinearLayout java:704)_x000D_
at android view View measure(View java:24967)_x000D_
at android view ViewGroup measureChildWithMargins(ViewGroup java:7134)_x000D_
at android widget FrameLayout onMeasure(FrameLayout java:185)_x000D_
at android view View measure(View java:24967)_x000D_
at android view ViewGroup measureChildWithMargins(ViewGroup java:7134)_x000D_
at android widget LinearLayout measureChildBeforeLayout(LinearLayout java:1535)_x000D_
at android widget LinearLayout measureVertical(LinearLayout java:825)_x000D_
at android widget LinearLayout onMeasure(LinearLayout java:704)_x000D_
at android view View measure(View java:24967)_x000D_
at android view ViewGroup measureChildWithMargins(ViewGroup java:7134)_x000D_
at android widget FrameLayout onMeasure(FrameLayout java:185)_x000D_
at com android internal policy DecorView onMeasure(DecorView java:992)_x000D_
at android view View measure(View java:24967)_x000D_
at android view ViewRootImpl performMeasure(ViewRootImpl java:3266)_x000D_
at android view ViewRootImpl measureHierarchy(ViewRootImpl java:1993)_x000D_
at android view ViewRootImpl performTraversals(ViewRootImpl java:2295)_x000D_
at android view ViewRootImpl doTraversal(ViewRootImpl java:1853)_x000D_
at android view ViewRootImpl TraversalRunnable run(ViewRootImpl java:8476)_x000D_
at android view Choreographer CallbackRecord run(Choreographer java:949)_x000D_
at android view Choreographer doCallbacks(Choreographer java:761)_x000D_
at android view Choreographer doFrame(Choreographer java:696)_x000D_
at android view Choreographer FrameDisplayEventReceiver run(Choreographer java:935)_x000D_
at android os Handler handleCallback(Handler java:873)_x000D_
at android os Handler dispatchMessage(Handler java:99)_x000D_
at android os Looper loop(Looper java:214)_x000D_
at android app ActivityThread main(ActivityThread java:7032)_x000D_
at java lang reflect Method invoke(Native Method)_x000D_
at com android internal os RuntimeInit MethodAndArgsCaller run(RuntimeInit java:494)_x000D_
at com android internal os ZygoteInit main(ZygoteInit java:965)_x000D_
   _x000D_
or this shorter exception trace when I open that picture s folder in custom selector:_x000D_
   _x000D_
java lang NumberFormatException: There are more than one component_x000D_
at androidx exifinterface media ExifInterface ExifAttribute getIntValue(ExifInterface java:3394)_x000D_
at androidx exifinterface media ExifInterface handleThumbnailFromJfif(ExifInterface java:7125)_x000D_
at androidx exifinterface media ExifInterface setThumbnailData(ExifInterface java:7110)_x000D_
at androidx exifinterface media ExifInterface getJpegAttributes(ExifInterface java:5641)_x000D_
at androidx exifinterface media ExifInterface loadAttributes(ExifInterface java:4586)_x000D_
at androidx exifinterface media ExifInterface initForFilename(ExifInterface java:5289)_x000D_
at androidx exifinterface media ExifInterface  init (ExifInterface java:3931)_x000D_
at fr free nrw commons customselector ui selector ImageLoader generateModifiedSHA1 2 invokeSuspend(ImageLoader kt:238)_x000D_
at kotlin coroutines jvm internal BaseContinuationImpl resumeWith(ContinuationImpl kt:33)_x000D_
at kotlinx coroutines DispatchedTask run(DispatchedTask kt:106)_x000D_
at kotlinx coroutines scheduling CoroutineScheduler runSafely(CoroutineScheduler kt:571)_x000D_
at kotlinx coroutines scheduling CoroutineScheduler Worker executeTask(CoroutineScheduler kt:750)_x000D_
at kotlinx coroutines scheduling CoroutineScheduler Worker runWorker(CoroutineScheduler kt:678)_x000D_
at kotlinx coroutines scheduling CoroutineScheduler Worker run(CoroutineScheduler kt:665)_x000D_
   _x000D_
Below is the picture  it might have been modified during the upload so you might not be able to reproduce the crash  Even if you are not able to reproduce the crash  you can try to catch prevent it and I can test for you _x000D_
  2004 07 Afrique (33) (https:  user images githubusercontent com 99590 160242287 76de7d5b 6ace 4926 9a5c b98626db6596 jpg)</t>
  </si>
  <si>
    <t>PojavLauncherTeam-PojavLauncher-2976</t>
  </si>
  <si>
    <t>[BUG] &lt;frabric&gt;</t>
  </si>
  <si>
    <t xml:space="preserve">    Describe the bug
With any mod it crashes
    The log file and images videos
Cant
    Steps To Reproduce
   markdown
Don t use it
    Expected Behavior
To run with the mod
    Platform
   markdown
  Device model: s20 fe_x000D_
  CPU architecture: 64_x000D_
  Android version: 12_x000D_
  PojavLauncher version: beta
    Anything else 
Fix pls</t>
  </si>
  <si>
    <t>nextcloud-android-10017</t>
  </si>
  <si>
    <t>Crash every time the app is opened</t>
  </si>
  <si>
    <t xml:space="preserve">Every time I installed the Nextcloud app at some point it would crash with the error message below  The crash would then occur everytime the app is opened  clearing the cache or app data wouldn t help  I have reinstalled the app at least 10 times already  so it is very frequent  This occurs on the dev build as well 
    Steps to reproduce
There is no consistent pattern  it will randomly happen  I think though  that it always happened on a loading screen  so when the app was waiting on something  though I m not entirely sure  There are no settings that I changed  the last crash occured pretty much right after I logged in 
    Expected behaviour
  The app does not crash  The app won t crash every time it s reopened 
    Actual behaviour
  The app would unpredictably crash while using it  even if the thing you were doing worked previously  Then  after reopening the app it crashes again with the same error massage  This does not affect background sync however  the background sync will continue working 
    Environment data
Android version: 8 0 0
Device model: Huawei RNE L21
Stock or customized system: Huawei EMUI 8 0 0
Nextcloud app version: 3 19 1 (downloaded from F Droid)
Nextcloud server version: 23 0 2
Reverse proxy: Nginx
     Nextcloud client log
             CAUSE OF ERROR             
java lang IllegalStateException: Couldn t read row 0  col 3 from CursorWindow   Make sure the Cursor is initialized correctly before accessing data from it 
	at android database CursorWindow nativeGetString(Native Method)
	at android database CursorWindow getString(CursorWindow java:440)
	at android database AbstractWindowedCursor getString(AbstractWindowedCursor java:51)
	at android database CursorWrapper getString(CursorWrapper java:137)
	at com owncloud android datamodel FileDataStorageManager createFileInstance(FileDataStorageManager java:988)
	at com owncloud android datamodel FileDataStorageManager getFileByPath(FileDataStorageManager java:124)
	at com owncloud android datamodel FileDataStorageManager getFileByEncryptedRemotePath(FileDataStorageManager java:111)
	at com owncloud android datamodel FileDataStorageManager getFileByPath(FileDataStorageManager java:107)
	at com owncloud android datamodel FileDataStorageManager saveFile(FileDataStorageManager java:255)
	at com owncloud android operations RefreshFolderOperation run(RefreshFolderOperation java:252)
	at com owncloud android lib common operations RemoteOperation run(RemoteOperation java:363)
	at java lang Thread run(Thread java:784)
             APP INFORMATION             
ID: com nextcloud client
Version: 30190190
Build flavor: generic
             DEVICE INFORMATION             
Brand: HUAWEI
Device: HWRNE
Model: RNE L21
Id: HUAWEIRNE L21
Product: RNE L21
             FIRMWARE             
SDK: 26
Release: 8 0 0
Incremental: 354(C432)
</t>
  </si>
  <si>
    <t>bytedance-AabResGuard-79</t>
  </si>
  <si>
    <t>Firebase已经在application中初始化，但报错Default FirebaseApp is not initialized in this process</t>
  </si>
  <si>
    <t xml:space="preserve">    _x000D_
aabResGuard  _x000D_
    mappingFile   file( mapping txt ) toPath()_x000D_
    whiteList    _x000D_
               R raw    _x000D_
               R string fb panpin id  _x000D_
               R string fb panpin scheme  _x000D_
_x000D_
               R string default web client id  _x000D_
               R string firebase database url  _x000D_
               R string gcm defaultSenderId  _x000D_
               R string google api key  _x000D_
               R string google app id  _x000D_
               R string google crash reporting api key  _x000D_
               R string google storage bucket  _x000D_
               R string project id _x000D_
     _x000D_
    obfuscatedBundleFileName    duplicated app aab _x000D_
    mergeDuplicatedRes   true_x000D_
    enableFilterFiles   true_x000D_
    filterList      _x000D_
    enableFilterStrings   false_x000D_
    unusedStringPath   file( unused txt ) toPath()_x000D_
    languageWhiteList     in  _x000D_
 _x000D_
   application    FirebaseApp initializeApp(this)      _x000D_
FirebaseInstanceId getInstance() instanceId addOnSuccessListener(object :_x000D_
            OnSuccessListener InstanceIdResult   _x000D_
            override fun onSuccess(instanceIdResult: InstanceIdResult )  _x000D_
             _x000D_
         )_x000D_
                                _x000D_
Default FirebaseApp is not initialized in this process  Make sure to call FirebaseApp initializeApp(Context) first </t>
  </si>
  <si>
    <t>Anuken-Mindustry-6665</t>
  </si>
  <si>
    <t>Lagging mindustry to get all steam achievements</t>
  </si>
  <si>
    <t xml:space="preserve">  Platform  :  Mac Steam _x000D_
_x000D_
  Build  :  135 _x000D_
_x000D_
  Issue  :  In the campaign (i haven t tested this elsewhere) when I slowed my computer down by overloading it with 9 extra instances of mindustry  the game obviously froze  When it froze  I unlocked all of the remaining achievements_x000D_
(this is my second campaign  i reset after doing global domination but i kept the tech tree) _x000D_
_x000D_
  Steps to reproduce  : _x000D_
 Open a server on a steam version of the game  then go to overgrowth_x000D_
Launch 9 more (or however many instances it takes to freeze the steam instance) instances of mindustry from the itch io versions_x000D_
Connect the itch io instances to the steam instance_x000D_
Wait for the game to freeze_x000D_
All of the achievements are unlocked _x000D_
_x000D_
  Link(s) to mod(s) used  :  No mods used _x000D_
 Buggy  save zip (https:  github com Anuken Mindustry files 8349208 Buggy save zip)_x000D_
_x000D_
  (Crash) logs  :  Surprisingly not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</si>
  <si>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PojavLauncherTeam-PojavLauncher-2972</t>
  </si>
  <si>
    <t>[BUG] &lt;pojav 177 assist patcher&gt;</t>
  </si>
  <si>
    <t xml:space="preserve">    Describe the bug
There like something wrong with it and it happens on 1 18 2 optifine  It s where I cant use clouds  shaders  With shader my screen turn white and with clouds the game crashes
    The log file and images videos
 23:44:40   main INFO : Loading tweak class name optifine OptiFineTweaker_x000D_
 23:44:40   main INFO : Using primary tweak class name optifine OptiFineTweaker_x000D_
 23:44:40   main INFO : Calling tweak class optifine OptiFineTweaker_x000D_
 23:44:40   main INFO :  OptiFine  OptiFineTweaker: acceptOptions_x000D_
 23:44:40   main INFO :  OptiFine  OptiFineTweaker: injectIntoClassLoader_x000D_
 23:44:40   main INFO :  OptiFine  OptiFine ClassTransformer_x000D_
 23:44:40   main INFO :  OptiFine  OptiFine ZIP file:  storage emulated 0 Android data net kdt pojavlaunch debug files  minecraft libraries optifine OptiFine 1 18 2 HD U H7 pre2 OptiFine 1 18 2 HD U H7 pre2 jar_x000D_
 23:44:40   main INFO :  OptiFine  OptiFineTweaker: getLaunchArguments_x000D_
 23:44:40   main INFO :  OptiFine  OptiFineTweaker: getLaunchTarget_x000D_
 23:44:40   main INFO : Launching wrapped minecraft  net minecraft client main Main _x000D_
 23:44:41   main INFO :  OptiFine  (Reflector) Class not present: net minecraftforge eventbus api Event Result_x000D_
 23:44:41   main INFO :  OptiFine  (Reflector) Class not present: net minecraftforge common extensions IForgeEntity_x000D_
 23:44:41   main INFO :  OptiFine  (Reflector) Class not present: net minecraftforge logging CrashReportExtender_x000D_
 23:44:42   main INFO :  OptiFine  (Reflector) Method not present: aid create_x000D_
 23:44:48   Render thread INFO :  OptiFine  (Reflector) Class not present: net minecraftforge client ForgeHooksClient_x000D_
 23:44:48   Render thread INFO :  STDERR :  LWJGL  Failed to load a library  Possible solutions:_x000D_
	a) Add the directory that contains the shared library to  Djava library path or  Dorg lwjgl librarypath _x000D_
	b) Add the JAR that contains the shared library to the classpath _x000D_
 23:44:48   Render thread INFO :  STDERR :  LWJGL  Enable debug mode with  Dorg lwjgl util Debug true for better diagnostics _x000D_
 23:44:48   Render thread INFO :  STDERR :  LWJGL  Enable the SharedLibraryLoader debug mode with  Dorg lwjgl util DebugLoader true for better diagnostics _x000D_
 23:44:48   Render thread INFO : Environment: authHost  https:  authserver mojang com   accountsHost  https:  api mojang com   sessionHost  https:  sessionserver mojang com   servicesHost  https:  api minecraftservices com   name  PROD _x000D_
 23:44:51   Render thread INFO : Setting user: Teqoo0_x000D_
 23:44:51   Render thread INFO :  OptiFine  (Reflector) Class not present: net minecraftforge client settings KeyConflictContext_x000D_
 23:44:51   Render thread INFO :  OptiFine  (Reflector) Method not present: dyo getKeyModifier_x000D_
 23:44:52   Render thread WARN : Invalid floating point value for option textBackgroundOpacity   _x000D_
java lang NumberFormatException: empty String_x000D_
	at jdk internal math FloatingDecimal readJavaFormatString(FloatingDecimal java:1842)    :  _x000D_
	at jdk internal math FloatingDecimal parseDouble(FloatingDecimal java:110)    :  _x000D_
	at java lang Double parseDouble(Double java:651)    :  _x000D_
	at dyv 2 a(Options java:666)  dyv 2 class:  _x000D_
	at dyv a(Options java:462)  dyv class:  _x000D_
	at dyv a(Options java:614)  dyv class:  _x000D_
	at dyv  init (Options java:362)  dyv class:  _x000D_
	at dyr  init (SourceFile:454)  dyr class:  _x000D_
	at net minecraft client main Main main(SourceFile:197)  Main class: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minecraft launchwrapper Launch launch(Launch java:159)  launchwrapper of 2 3 jar:2 3 _x000D_
	at net minecraft launchwrapper Launch main(Launch java:30)  launchwrapper of 2 3 jar:2 3 _x000D_
 23:44:52   Render thread INFO : Backend library: LWJGL version 3 2 3 SNAPSHOT_x000D_
 23:44:52   Render thread INFO :  OptiFine  (Reflector) Method not present: net minecraftforge fml loading progress EarlyProgressVisualization handOffWindow_x000D_
 23:44:52   Render thread INFO :  OptiFine  _x000D_
 23:44:52   Render thread INFO :  OptiFine  OptiFine 1 18 2 HD U H7 pre2_x000D_
 23:44:52   Render thread INFO :  OptiFine  Build: 20220323 225637_x000D_
 23:44:52   Render thread INFO :  OptiFine  OS: Linux (aarch64) version Android 12_x000D_
 23:44:52   Render thread INFO :  OptiFine  Java: 17 internal  N A_x000D_
 23:44:52   Render thread INFO :  OptiFine  VM: OpenJDK 64 Bit Server VM (mixed mode)  Oracle Corporation_x000D_
 23:44:52   Render thread INFO :  OptiFine  LWJGL: 3 4 0_x000D_
 23:44:52   Render thread INFO :  OptiFine  OpenGL: GL4ES wrapper  version 2 1 gl4es wrapper 1 1 5  ptitSeb_x000D_
 23:44:52   Render thread INFO :  OptiFine  OpenGL Version: 2 1 0_x000D_
 23:44:52   Render thread INFO :  OptiFine  Maximum texture size: 16384x16384_x000D_
 23:44:52   VersionCheck INFO :  OptiFine  Checking for new version_x000D_
 23:44:53   Render thread INFO :  Shaders  OpenGL Version: 2 1 gl4es wrapper 1 1 5_x000D_
 23:44:53   Render thread INFO :  Shaders  Vendor:  ptitSeb_x000D_
 23:44:53   Render thread INFO :  Shaders  Renderer: GL4ES wrapper_x000D_
 23:44:53   Render thread INFO :  Shaders  Capabilities:  2 0  2 1          _x000D_
 23:44:53   Render thread INFO :  Shaders  GL MAX DRAW BUFFERS: 1_x000D_
 23:44:53   Render thread INFO :  Shaders  GL MAX COLOR ATTACHMENTS: 1_x000D_
 23:44:53   Render thread INFO :  Shaders  GL MAX TEXTURE IMAGE UNITS: 16_x000D_
 23:44:53   Render thread INFO :  Shaders  Load shaders configuration _x000D_
 23:44:53   Render thread INFO :  Shaders  Save shaders configuration _x000D_
 23:44:53   Render thread INFO :  Shaders  No shaderpack loaded _x000D_
 23:44:53   Render thread INFO :  OptiFine  (Reflector) Class not present: net minecraftforge fml ModList_x000D_
 23:44:53   VersionCheck INFO :  OptiFine  Version found: H6_x000D_
 23:44:53   Render thread WARN :  OptiFine  (Reflector) java lang ClassNotFoundException: sun misc SharedSecrets_x000D_
 23:44:53   Render thread WARN :  OptiFine  (Reflector) java lang ClassNotFoundException: jdk internal misc SharedSecrets_x000D_
 23:44:53   Render thread WARN :  OptiFine  (Reflector) java lang ClassNotFoundException: sun misc VM_x000D_
 23:44:53   Render thread WARN :  OptiFine  (Reflector) java lang reflect InaccessibleObjectException: Unable to make public static long jdk internal misc VM maxDirectMemory() accessible: module java base does not  exports jdk internal misc  to unnamed module  524d3e47_x000D_
 23:44:53   Render thread INFO :  OptiFine  (Reflector) Class not present: net minecraftforge client ItemModelMesherForge_x000D_
 23:44:54   Render thread INFO :  OptiFine  (Reflector) Class not present: net minecraftforge client model pipeline ForgeBlockModelRenderer_x000D_
 23:44:55   Render thread WARN : ERROR : Couldn t load Narrator library_x000D_
java lang UnsatisfiedLinkError:  storage emulated 0 Android data net kdt pojavlaunch debug files  cache JNA temp jna13730360493105669259 tmp: dlopen failed: library   storage emulated 0 Android data net kdt pojavlaunch debug files  cache JNA temp jna13730360493105669259 tmp  needed or dlopened by   data data net kdt pojavlaunch debug runtimes jre17 arm64 20210825 release tar xz lib server libjvm so  is not accessible for the namespace  classloader namespace _x000D_
	at jdk internal loader NativeLibraries load(Native Method)    :  _x000D_
	at jdk internal loader NativeLibraries NativeLibraryImpl open(NativeLibraries java:384)    :  _x000D_
	at jdk internal loader NativeLibraries loadLibrary(NativeLibraries java:228)    :  _x000D_
	at jdk internal loader NativeLibraries loadLibrary(NativeLibraries java:170)    :  _x000D_
	at java lang ClassLoader loadLibrary(ClassLoader java:2389)    :  _x000D_
	at java lang Runtime load0(Runtime java:751)    :  _x000D_
	at java lang System load(System java:1912)    :  _x000D_
	at com sun jna Native loadNativeDispatchLibraryFromClasspath(Native java:1045)   jna 5 10 0 jar:5 10 0 (b0) _x000D_
	at com sun jna Native loadNativeDispatchLibrary(Native java:1015)   jna 5 10 0 jar:5 10 0 (b0) _x000D_
	at com sun jna Native  clinit (Native java:221)   jna 5 10 0 jar:5 10 0 (b0) _x000D_
	at com sun jna NativeLibrary  clinit (NativeLibrary java:87)   jna 5 10 0 jar:5 10 0 (b0) _x000D_
	at com mojang text2speech NarratorLinux  clinit (NarratorLinux java:18)  NarratorLinux class:  _x000D_
	at com mojang text2speech Narrator getNarrator(Narrator java:21)  Narrator class:  _x000D_
	at dzu  init (SourceFile:26)  dzu class:  _x000D_
	at dzu  clinit (SourceFile:24)  dzu class:  _x000D_
	at dzq  init (Gui java:164)  dzq class:  _x000D_
	at dyr  init (SourceFile:593)  dyr class:  _x000D_
	at net minecraft client main Main main(SourceFile:197)  Main class: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minecraft launchwrapper Launch launch(Launch java:159)  launchwrapper of 2 3 jar:2 3 _x000D_
	at net minecraft launchwrapper Launch main(Launch java:30)  launchwrapper of 2 3 jar:2 3 _x000D_
 23:44:55   Render thread WARN : Shader rendertype text could not find sampler named Sampler2 in the specified shader program _x000D_
 23:44:55   Render thread INFO : Reloading ResourceManager: Default_x000D_
 23:44:55   Render thread INFO :  OptiFine      Reloading textures    _x000D_
 23:44:55   Render thread INFO :  OptiFine  Resource packs: Default_x000D_
 23:44:55   Render thread INFO :  OptiFine  (Reflector) Class not present: net minecraftforge client gui ModListScreen_x000D_
 23:44:56   Worker Main 12 INFO :  OptiFine  (Reflector) Class not present: net minecraftforge client model ModelLoaderRegistry_x000D_
 23:44:56   Render thread INFO :  OptiFine  (Reflector) Class not present: net minecraftforge client gui NotificationModUpdateScreen_x000D_
 23:44:56   Worker Main 9 INFO :  OptiFine  Multitexture: false_x000D_
 23:44:56   Worker Main 14 INFO :  OptiFine  Multitexture: false_x000D_
 23:44:56   Worker Main 10 INFO :  OptiFine  Multitexture: false_x000D_
 23:44:56   Render thread INFO :  OptiFine  (Reflector) Method not present: eqn canRenderInLayer_x000D_
 23:44:56   Render thread INFO :  OptiFine      Reflector Forge    _x000D_
 23:44:56   Render thread INFO :  OptiFine  (Reflector) Class not present: mods betterfoliage client BetterFoliageClient_x000D_
 23:44:56   Render thread INFO :  OptiFine  (Reflector) Class not present: net minecraftforge internal BrandingControl_x000D_
 23:44:56   Render thread INFO :  OptiFine  (Reflector) Class not present: net minecraftforge common capabilities ICapabilityProvider_x000D_
 23:44:56   Render thread INFO :  OptiFine  (Reflector) Class not present: net minecraftforge common capabilities CapabilityProvider_x000D_
 23:44:56   Render thread INFO :  OptiFine  (Reflector) Class not present: net minecraftforge client loading ClientModLoader_x000D_
 23:44:56   Render thread INFO :  OptiFine  (Reflector) Class not present: net minecraftforge event world ChunkDataEvent Save_x000D_
 23:44:56   Render thread INFO :  OptiFine  (Reflector) Class not present: net minecraftforge event world ChunkEvent Load_x000D_
 23:44:56   Render thread INFO :  OptiFine  (Reflector) Class not present: net minecraftforge event world ChunkEvent Unload_x000D_
 23:44:56   Render thread INFO :  OptiFine  (Reflector) Class not present: net minecraftforge client event EntityRenderersEvent AddLayers_x000D_
 23:44:56   Render thread INFO :  OptiFine  (Reflector) Class not present: net minecraftforge client event EntityRenderersEvent CreateSkullModels_x000D_
 23:44:56   Render thread INFO :  OptiFine  (Reflector) Class not present: net minecraftforge event entity EntityLeaveWorldEvent_x000D_
 23:44:56   Render thread INFO :  OptiFine  (Reflector) Class not present: net minecraftforge client event EntityViewRenderEvent CameraSetup_x000D_
 23:44:56   Render thread INFO :  OptiFine  (Reflector) Class not present: net minecraftforge client event EntityViewRenderEvent FogColors_x000D_
 23:44:56   Render thread INFO :  OptiFine  (Reflector) Class not present: net minecraftforge client event EntityViewRenderEvent RenderFogEvent_x000D_
 23:44:56   Render thread INFO :  OptiFine  (Reflector) Class not present: net minecraftforge event entity EntityJoinWorldEvent_x000D_
 23:44:56   Render thread INFO :  OptiFine  (Reflector) Method not present: net minecraftforge eventbus api Event isCanceled_x000D_
 23:44:56   Render thread INFO :  OptiFine  (Reflector) Method not present: net minecraftforge eventbus api Event getResult_x000D_
 23:44:56   Render thread INFO :  OptiFine  (Reflector) Class not present: net minecraftforge eventbus api IEventBus_x000D_
 23:44:56   Render thread INFO :  OptiFine  (Reflector) Method not present: eri getTexture_x000D_
 23:44:56   Render thread INFO :  OptiFine  (Reflector) Method not present: net minecraftforge common extensions IForgeBlockState getLightEmission_x000D_
 23:44:56   Render thread INFO :  OptiFine  (Reflector) Method not present: net minecraftforge common extensions IForgeBlockState getSoundType_x000D_
 23:44:56   Render thread INFO :  OptiFine  (Reflector) Method not present: net minecraftforge common extensions IForgeBlockState getStateAtViewpoint_x000D_
 23:44:56   Render thread INFO :  OptiFine  (Reflector) Method not present: net minecraftforge common extensions IForgeBlockState shouldDisplayFluidOverlay_x000D_
 23:44:56   Render thread INFO :  OptiFine  (Reflector) Class not present: net minecraftforge common extensions IForgeFluid_x000D_
 23:44:56   Render thread INFO :  OptiFine  (Reflector) Class not present: net minecraftforge fluids FluidAttributes_x000D_
 23:44:56   Render thread INFO :  OptiFine  (Reflector) Field not present: adi currentlyLoading_x000D_
 23:44:56   Render thread INFO :  OptiFine  (Reflector) Class not present: net minecraftforge event ForgeEventFactory_x000D_
 23:44:56   Render thread INFO :  OptiFine  (Reflector) Class not present: net minecraftforge common ForgeHooks_x000D_
 23:44:56   Render thread INFO :  OptiFine  (Reflector) Class not present: net minecraftforge common ForgeConfig_x000D_
 23:44:56   Render thread INFO :  OptiFine  (Reflector) Class not present: net minecraftforge common ForgeConfig Client_x000D_
 23:44:56   Render thread INFO :  OptiFine  (Reflector) Class not present: net minecraftforge common ForgeConfigSpec_x000D_
 23:44:56   Render thread INFO :  OptiFine  (Reflector) Class not present: net minecraftforge common ForgeConfigSpec ConfigValue_x000D_
 23:44:56   Render thread INFO :  OptiFine  (Reflector) Method not present: cqq getWorldForge_x000D_
 23:44:56   Render thread INFO :  OptiFine  (Reflector) Class not present: net minecraftforge common extensions IForgeItem_x000D_
 23:44:56   Render thread INFO :  OptiFine  (Reflector) Class not present: net minecraftforge common extensions IForgeItemStack_x000D_
 23:44:56   Render thread INFO :  OptiFine  (Reflector) Class not present: net minecraftforge common ForgeI18n_x000D_
 23:44:56   Render thread INFO :  OptiFine  (Reflector) Method not present: dyo setKeyConflictContext_x000D_
 23:44:56   Render thread INFO :  OptiFine  (Reflector) Method not present: dyo setKeyModifierAndCode_x000D_
 23:44:56   Render thread INFO :  OptiFine  (Reflector) Class not present: net minecraftforge registries ForgeRegistryEntry_x000D_
 23:44:56   Render thread INFO :  OptiFine  (Reflector) Method not present: eqn canRenderInLayer_x000D_
 23:44:56   Render thread INFO :  OptiFine  (Reflector) Constructor not present: aea  params: class aeb  int  class java lang Object  boolean_x000D_
 23:44:56   Render thread INFO :  OptiFine  (Reflector) Method not present: aea isForceTicks_x000D_
 23:44:56   Render thread INFO :  OptiFine  (Reflector) Class not present: net minecraftforge common extensions IForgeBlockEntity_x000D_
 23:44:56   Render thread INFO :  OptiFine  (Reflector) Method not present: eqh getCloudRenderHandler_x000D_
 23:44:56   Render thread INFO :  OptiFine  (Reflector) Method not present: eqh getSkyRenderHandler_x000D_
 23:44:56   Render thread INFO :  OptiFine  (Reflector) Method not present: eqh getWeatherParticleRenderHandler_x000D_
 23:44:56   Render thread INFO :  OptiFine  (Reflector) Method not present: eqh getWeatherRenderHandler_x000D_
 23:44:56   Render thread INFO :  OptiFine  (Reflector) Class not present: net minecraftforge client settings KeyModifier_x000D_
 23:44:56   Render thread INFO :  OptiFine  (Reflector) Class not present: net minecraftforge client model pipeline LightUtil_x000D_
 23:44:56   Render thread INFO :  OptiFine  (Reflector) Class not present: net minecraftforge common MinecraftForge_x000D_
 23:44:56   Render thread INFO :  OptiFine  (Reflector) Class not present: net minecraftforge client MinecraftForgeClient_x000D_
 23:44:56   Render thread INFO :  OptiFine  (Reflector) Class not present: net minecraftforge fml ModContainer_x000D_
 23:44:56   Render thread INFO :  OptiFine  (Reflector) Class not present: net minecraftforge fml ModLoader_x000D_
 23:44:56   Render thread INFO :  OptiFine  (Reflector) Class not present: net minecraftforge entity PartEntity_x000D_
 23:44:56   Render thread INFO :  OptiFine  (Reflector) Class not present: net minecraftforge event entity PlaySoundAtEntityEvent_x000D_
 23:44:56   Render thread INFO :  OptiFine  (Reflector) Class not present: net minecraftforge client event RegisterShadersEvent_x000D_
 23:44:56   Render thread INFO :  OptiFine  (Reflector) Class not present: net minecraftforge client event RenderBlockOverlayEvent OverlayType_x000D_
 23:44:56   Render thread INFO :  OptiFine  (Reflector) Class not present: net minecraftforge client event RenderGameOverlayEvent BossInfo_x000D_
 23:44:56   Render thread INFO :  OptiFine  (Reflector) Class not present: net minecraftforge client event RenderItemInFrameEvent_x000D_
 23:44:56   Render thread INFO :  OptiFine  (Reflector) Class not present: net minecraftforge client event RenderLivingEvent Pre_x000D_
 23:44:56   Render thread INFO :  OptiFine  (Reflector) Class not present: net minecraftforge client event RenderLivingEvent Post_x000D_
 23:44:56   Render thread INFO :  OptiFine  (Reflector) Class not present: net minecraftforge client event RenderNameplateEvent_x000D_
 23:44:56   Render thread INFO :  OptiFine  (Reflector) Method not present: net minecraftforge client RenderProperties getEffectRenderer_x000D_
 23:44:56   Render thread INFO :  OptiFine  (Reflector) Method not present: net minecraftforge client RenderProperties getEffectRenderer_x000D_
 23:44:56   Render thread INFO :  OptiFine  (Reflector) Class not present: net minecraftforge client event ScreenshotEvent_x000D_
 23:44:56   Render thread INFO :  OptiFine  (Reflector) Class not present: net minecraftforge server ServerLifecycleHooks_x000D_
 23:44:56   Render thread INFO :  OptiFine  (Reflector) Method not present: epj updateSprite_x000D_
 23:44:56   Render thread INFO :  OptiFine  (Reflector) Class not present: net minecraftforge event world WorldEvent Load_x000D_
 23:44:56   Render thread INFO :  OptiFine      Reflector Vanilla    _x000D_
 23:44:57   Realms Notification Availability checker  1 INFO : Could not authorize you against Realms server: Invalid session id_x000D_
 23:45:04   Worker Main 12 INFO :  OptiFine  Multitexture: false_x000D_
 23:45:04   Worker Main 12 INFO :  OptiFine  ConnectedTextures: optifine ctm default 00 glass white glass pane white properties_x000D_
 23:45:04   Worker Main 12 INFO :  OptiFine  ConnectedTextures: optifine ctm default 00 glass white glass white properties_x000D_
 23:45:04   Worker Main 12 INFO :  OptiFine  ConnectedTextures: optifine ctm default 01 glass orange glass orange properties_x000D_
 23:45:04   Worker Main 12 INFO :  OptiFine  ConnectedTextures: optifine ctm default 01 glass orange glass pane orange properties_x000D_
 23:45:04   Worker Main 12 INFO :  OptiFine  ConnectedTextures: optifine ctm default 02 glass magenta glass magenta properties_x000D_
 23:45:04   Worker Main 12 INFO :  OptiFine  ConnectedTextures: optifine ctm default 02 glass magenta glass pane magenta properties_x000D_
 23:45:04   Worker Main 12 INFO :  OptiFine  ConnectedTextures: optifine ctm default 03 glass light blue glass light blue properties_x000D_
 23:45:04   Worker Main 12 INFO :  OptiFine  ConnectedTextures: optifine ctm default 03 glass light blue glass pane light blue properties_x000D_
 23:45:04   Worker Main 12 INFO :  OptiFine  ConnectedTextures: optifine ctm default 04 glass yellow glass pane yellow properties_x000D_
 23:45:04   Worker Main 12 INFO :  OptiFine  ConnectedTextures: optifine ctm default 04 glass yellow glass yellow properties_x000D_
 23:45:04   Worker Main 12 INFO :  OptiFine  ConnectedTextures: optifine ctm default 05 glass lime glass lime properties_x000D_
 23:45:04   Worker Main 12 INFO :  OptiFine  ConnectedTextures: optifine ctm default 05 glass lime glass pane lime properties_x000D_
 23:45:04   Worker Main 12 INFO :  OptiFine  ConnectedTextures: optifine ctm default 06 glass pink glass pane pink properties_x000D_
 23:45:04   Worker Main 12 INFO :  OptiFine  ConnectedTextures: optifine ctm default 06 glass pink glass pink properties_x000D_
 23:45:04   Worker Main 12 INFO :  OptiFine  ConnectedTextures: optifine ctm default 07 glass gray glass gray properties_x000D_
 23:45:04   Worker Main 12 INFO :  OptiFine  ConnectedTextures: optifine ctm default 07 glass gray glass pane gray properties_x000D_
 23:45:04   Worker Main 12 INFO :  OptiFine  ConnectedTextures: optifine ctm default 08 glass light gray glass light gray properties_x000D_
 23:45:04   Worker Main 12 INFO :  OptiFine  ConnectedTextures: optifine ctm default 08 glass light gray glass pane light gray properties_x000D_
 23:45:04   Worker Main 12 INFO :  OptiFine  ConnectedTextures: optifine ctm default 09 glass cyan glass cyan properties_x000D_
 23:45:04   Worker Main 12 INFO :  OptiFine  ConnectedTextures: optifine ctm default 09 glass cyan glass pane cyan properties_x000D_
 23:45:04   Worker Main 12 INFO :  OptiFine  ConnectedTextures: optifine ctm default 10 glass purple glass pane purple properties_x000D_
 23:45:04   Worker Main 12 INFO :  OptiFine  ConnectedTextures: optifine ctm default 10 glass purple glass purple properties_x000D_
 23:45:04   Worker Main 12 INFO :  OptiFine  ConnectedTextures: optifine ctm default 11 glass blue glass blue properties_x000D_
 23:45:04   Worker Main 12 INFO :  OptiFine  ConnectedTextures: optifine ctm default 11 glass blue glass pane blue properties_x000D_
 23:45:04   Worker Main 12 INFO :  OptiFine  ConnectedTextures: optifine ctm default 12 glass brown glass brown properties_x000D_
 23:45:04   Worker Main 12 INFO :  OptiFine  ConnectedTextures: optifine ctm default 12 glass brown glass pane brown properties_x000D_
 23:45:04   Worker Main 12 INFO :  OptiFine  ConnectedTextures: optifine ctm default 13 glass green glass green properties_x000D_
 23:45:04   Worker Main 12 INFO :  OptiFine  ConnectedTextures: optifine ctm default 13 glass green glass pane green properties_x000D_
 23:45:04   Worker Main 12 INFO :  OptiFine  ConnectedTextures: optifine ctm default 14 glass red glass pane red properties_x000D_
 23:45:04   Worker Main 12 INFO :  OptiFine  ConnectedTextures: optifine ctm default 14 glass red glass red properties_x000D_
 23:45:04   Worker Main 12 INFO :  OptiFine  ConnectedTextures: optifine ctm default 15 glass black glass black properties_x000D_
 23:45:04   Worker Main 12 INFO :  OptiFine  ConnectedTextures: optifine ctm default 15 glass black glass pane black properties_x000D_
 23:45:04   Worker Main 12 INFO :  OptiFine  ConnectedTextures: optifine ctm default 20 glass glass properties_x000D_
 23:45:04   Worker Main 12 INFO :  OptiFine  ConnectedTextures: optifine ctm default 20 glass glass pane properties_x000D_
 23:45:04   Worker Main 12 INFO :  OptiFine  ConnectedTextures: optifine ctm default 21 tinted glass tinted glass properties_x000D_
 23:45:04   Worker Main 12 INFO :  OptiFine  ConnectedTextures: optifine ctm default 30 bookshelf bookshelf properties_x000D_
 23:45:04   Worker Main 12 INFO :  OptiFine  ConnectedTextures: optifine ctm default 40 sandstone sandstone properties_x000D_
 23:45:04   Worker Main 12 INFO :  OptiFine  ConnectedTextures: optifine ctm default 41 red sandstone red sandstone properties_x000D_
 23:45:04   Worker Main 12 INFO :  OptiFine  Multipass connected textures: false_x000D_
 23:45:04   Worker Main 12 INFO :  OptiFine  BetterGrass: Parsing default configuration optifine bettergrass properties_x000D_
 23:45:06   Worker Main 12 INFO :  OptiFine  Multitexture: false_x000D_
 23:45:06   Worker Main 12 INFO :  OptiFine  Multitexture: false_x000D_
 23:45:06   Worker Main 12 INFO :  OptiFine  Multitexture: false_x000D_
 23:45:06   Worker Main 12 INFO :  OptiFine  Multitexture: false_x000D_
 23:45:06   Worker Main 12 INFO :  OptiFine  Multitexture: false_x000D_
 23:45:06   Worker Main 12 INFO :  OptiFine  Multitexture: false_x000D_
 23:45:06   Render thread INFO : OpenAL initialized on device OpenSL_x000D_
 23:45:06   Render thread INFO : Sound engine started_x000D_
 23:45:07   Render thread INFO : Created: 1024x1024x0 minecraft:textures atlas blocks png atlas_x000D_
 23:45:07   Render thread INFO :  OptiFine  Animated sprites: 45_x000D_
 23:45:07   Render thread INFO : Created: 256x128x0 minecraft:textures atlas signs png atlas_x000D_
 23:45:07   Render thread INFO :  OptiFine  Animated sprites: 0_x000D_
 23:45:07   Render thread INFO : Created: 512x512x0 minecraft:textures atlas banner patterns png atlas_x000D_
 23:45:07   Render thread INFO :  OptiFine  Animated sprites: 0_x000D_
 23:45:07   Render thread INFO : Created: 512x512x0 minecraft:textures atlas shield patterns png atlas_x000D_
 23:45:07   Render thread INFO :  OptiFine  Animated sprites: 0_x000D_
 23:45:07   Render thread INFO : Created: 256x256x0 minecraft:textures atlas chest png atlas_x000D_
 23:45:07   Render thread INFO :  OptiFine  Animated sprites: 0_x000D_
 23:45:07   Render thread INFO : Created: 512x256x0 minecraft:textures atlas beds png atlas_x000D_
 23:45:07   Render thread INFO :  OptiFine  Animated sprites: 0_x000D_
 23:45:07   Render thread INFO : Created: 512x256x0 minecraft:textures atlas shulker boxes png atlas_x000D_
 23:45:07   Render thread INFO :  OptiFine  Animated sprites: 0_x000D_
 23:45:11   Render thread WARN : Shader rendertype text could not find sampler named Sampler2 in the specified shader program _x000D_
 23:45:11   Render thread WARN : Shader rendertype text intensity could not find sampler named Sampler2 in the specified shader program _x000D_
 23:45:12   Render thread INFO : Created: 256x256x0 minecraft:textures atlas particles png atlas_x000D_
 23:45:12   Render thread INFO :  OptiFine  Animated sprites: 1_x000D_
 23:45:12   Render thread INFO : Created: 256x256x0 minecraft:textures atlas paintings png atlas_x000D_
 23:45:12   Render thread INFO :  OptiFine  Animated sprites: 0_x000D_
 23:45:12   Render thread INFO : Created: 128x128x0 minecraft:textures atlas mob effects png atlas_x000D_
 23:45:12   Render thread INFO :  OptiFine  Animated sprites: 0_x000D_
 23:45:12   Render thread INFO :  OptiFine      Reloading custom textures    _x000D_
 23:45:15   Render thread INFO :  OptiFine  Disable Forge light pipeline_x000D_
 23:45:22   Render thread INFO :  Shaders  No shaderpack loaded _x000D_
 23:45:22   Render thread INFO :  Shaders  Save shaders configuration _x000D_
 23:45:22   Render thread INFO : Reloading ResourceManager: Default_x000D_
 23:45:22   Render thread INFO :  OptiFine      Reloading textures    _x000D_
 23:45:22   Render thread INFO :  OptiFine  Resource packs: Default_x000D_
 23:45:22   Worker Main 14 INFO :  OptiFine  Multitexture: false_x000D_
 23:45:22   Worker Main 8 INFO :  OptiFine  Multitexture: false_x000D_
 23:45:22   Worker Main 9 INFO :  OptiFine  Multitexture: false_x000D_
 23:45:26   Worker Main 13 INFO :  OptiFine  Multitexture: false_x000D_
 23:45:26   Worker Main 13 INFO :  OptiFine  ConnectedTextures: optifine ctm default 00 glass white glass pane white properties_x000D_
 23:45:26   Worker Main 13 INFO :  OptiFine  ConnectedTextures: optifine ctm default 00 glass white glass white properties_x000D_
 23:45:26   Worker Main 13 INFO :  OptiFine  ConnectedTextures: optifine ctm default 01 glass orange glass orange properties_x000D_
 23:45:26   Worker Main 13 INFO :  OptiFine  ConnectedTextures: optifine ctm default 01 glass orange glass pane orange properties_x000D_
 23:45:26   Worker Main 13 INFO :  OptiFine  ConnectedTextures: optifine ctm default 02 glass magenta glass magenta properties_x000D_
 23:45:26   Worker Main 13 INFO :  OptiFine  ConnectedTextures: optifine ctm default 02 glass magenta glass pane magenta properties_x000D_
 23:45:26   Worker Main 13 INFO :  OptiFine  ConnectedTextures: optifine ctm default 03 glass light blue glass light blue properties_x000D_
 23:45:26   Worker Main 13 INFO :  OptiFine  ConnectedTextures: optifine ctm default 03 glass light blue glass pane light blue properties_x000D_
 23:45:26   Worker Main 13 INFO :  OptiFine  ConnectedTextures: optifine ctm default 04 glass yellow glass pane yellow properties_x000D_
 23:45:26   Worker Main 13 INFO :  OptiFine  ConnectedTextures: optifine ctm default 04 glass yellow glass yellow properties_x000D_
 23:45:26   Worker Main 13 INFO :  OptiFine  ConnectedTextures: optifine ctm default 05 glass lime glass lime properties_x000D_
 23:45:26   Worker Main 13 INFO :  OptiFine  ConnectedTextures: optifine ctm default 05 glass lime glass pane lime properties_x000D_
 23:45:26   Worker Main 13 INFO :  OptiFine  ConnectedTextures: optifine ctm default 06 glass pink glass pane pink properties_x000D_
 23:45:26   Worker Main 13 INFO :  OptiFine  ConnectedTextures: optifine ctm default 06 glass pink glass pink properties_x000D_
 23:45:26   Worker Main 13 INFO :  OptiFine  ConnectedTextures: optifine ctm default 07 glass gray glass gray properties_x000D_
 23:45:26   Worker Main 13 INFO :  OptiFine  ConnectedTextures: optifine ctm default 07 glass gray glass pane gray properties_x000D_
 23:45:26   Worker Main 13 INFO :  OptiFine  ConnectedTextures: optifine ctm default 08 glass light gray glass light gray properties_x000D_
 23:45:26   Worker Main 13 INFO :  OptiFine  ConnectedTextures: optifine ctm default 08 glass light gray glass pane light gray properties_x000D_
 23:45:26   Worker Main 13 INFO :  OptiFine  ConnectedTextures: optifine ctm default 09 glass cyan glass cyan properties_x000D_
 23:45:26   Worker Main 13 INFO :  OptiFine  ConnectedTextures: optifine ctm default 09 glass cyan glass pane cyan properties_x000D_
 23:45:26   Worker Main 13 INFO :  OptiFine  ConnectedTextures: optifine ctm default 10 glass purple glass pane purple properties_x000D_
 23:45:26   Worker Main 13 INFO :  OptiFine  ConnectedTextures: optifine ctm default 10 glass purple glass purple properties_x000D_
 23:45:26   Worker Main 13 INFO :  OptiFine  ConnectedTextures: optifine ctm default 11 glass blue glass blue properties_x000D_
 23:45:26   Worker Main 13 INFO :  OptiFine  ConnectedTextures: optifine ctm default 11 glass blue glass pane blue properties_x000D_
 23:45:26   Worker Main 13 INFO :  OptiFine  ConnectedTextures: optifine ctm default 12 glass brown glass brown properties_x000D_
 23:45:26   Worker Main 13 INFO :  OptiFine  ConnectedTextures: optifine ctm default 12 glass brown glass pane brown properties_x000D_
 23:45:26   Worker Main 13 INFO :  OptiFine  ConnectedTextures: optifine ctm default 13 glass green glass green properties_x000D_
 23:45:26   Worker Main 13 INFO :  OptiFine  ConnectedTextures: optifine ctm default 13 glass green glass pane green properties_x000D_
 23:45:26   Worker Main 13 INFO :  OptiFine  ConnectedTextures: optifine ctm default 14 glass red glass pane red properties_x000D_
 23:45:26   Worker Main 13 INFO :  OptiFine  ConnectedTextures: optifine ctm default 14 glass red glass red properties_x000D_
 23:45:26   Worker Main 13 INFO :  OptiFine  ConnectedTextures: optifine ctm default 15 glass black glass black properties_x000D_
 23:45:26   Worker Main 13 INFO :  OptiFine  ConnectedTextures: optifine ctm default 15 glass black glass pane black properties_x000D_
 23:45:26   Worker Main 13 INFO :  OptiFine  ConnectedTextures: optifine ctm default 20 glass glass properties_x000D_
 23:45:26   Worker Main 13 INFO :  OptiFine  ConnectedTextures: optifine ctm default 20 glass glass pane properties_x000D_
 23:45:26   Worker Main 13 INFO :  OptiFine  ConnectedTextures: optifine ctm default 21 tinted glass tinted glass properties_x000D_
 23:45:26   Worker Main 13 INFO :  OptiFine  ConnectedTextures: optifine ctm default 30 bookshelf bookshelf properties_x000D_
 23:45:26   Worker Main 13 INFO :  OptiFine  ConnectedTextures: optifine ctm default 40 sandstone sandstone properties_x000D_
 23:45:26   Worker Main 13 INFO :  OptiFine  ConnectedTextures: optifine ctm default 41 red sandstone red sandstone properties_x000D_
 23:45:26   Worker Main 13 INFO :  OptiFine  Multipass connected textures: false_x000D_
 23:45:26   Worker Main 13 INFO :  OptiFine  BetterGrass: Parsing default configuration optifine bettergrass properties_x000D_
 23:45:27   Worker Main 13 INFO :  OptiFine  Multitexture: false_x000D_
 23:45:27   Worker Main 13 INFO :  OptiFine  Multitexture: false_x000D_
 23:45:27   Worker Main 13 INFO :  OptiFine  Multitexture: false_x000D_
 23:45:27   Worker Main 13 INFO :  OptiFine  Multitexture: false_x000D_
 23:45:27   Worker Main 13 INFO :  OptiFine  Multitexture: false_x000D_
 23:45:27   Worker Main 13 INFO :  OptiFine  Multitexture: false_x000D_
 23:45:27   Render thread INFO : OpenAL initialized on device OpenSL_x000D_
 23:45:27   Render thread INFO : Sound engine started_x000D_
 23:45:28   Render thread INFO : Created: 1024x1024x0 minecraft:textures atlas blocks png atlas_x000D_
 23:45:28   Render thread </t>
  </si>
  <si>
    <t>mercadopago-px-android-2686</t>
  </si>
  <si>
    <t>Fix/pxn 3384</t>
  </si>
  <si>
    <t xml:space="preserve"> PXN 3384 (https:  mercadolibre atlassian net browse PXN 3384)_x000D_
_x000D_
   Motivaci n y Contexto_x000D_
Currently the app crashes when minimized a few times and the session is interrupted  In this case  the presenter is not recreated and an error occurs when we try to retrieve getParcebable by looking for bundlestate_x000D_
_x000D_
Obs: When I did more tests I found 2 additional uninitialized lateinit var crashes where I made 2 adjustments in PayButtonFragment and OfflineMethodsFragment _x000D_
_x000D_
   Descripci n_x000D_
In OneTapFragment onSaveInstanceState  now we check if presenter is null and if is true  we call createPresenter again before call putParcelable _x000D_
_x000D_
   C mo probarlo_x000D_
In OneTap  click in add new card _x000D_
minimize the app in background_x000D_
return to the application_x000D_
minimize the app in background again _x000D_
return to the application and click and back button in card form _x000D_
_x000D_
   Screenshots_x000D_
Error: https:  ibb co ZVQhLty_x000D_
Solution: https:  ibb co Lv46Nfn_x000D_
_x000D_
   Tipo de cambio (para el release manager)_x000D_
      Breaking change (Fix o feature que cambia una funcionalidad existente o rompe firmas)_x000D_
     Describir qu  cambia y como se hace la migraci n    _x000D_
      Mi cambio afecta a los integradores internos_x000D_
     Describir a qu  equipos afecta para poder comunicarlo    _x000D_
_x000D_
   Compartir conocimiento_x000D_
      Compartir links a blog posts  patrones o librer as que se usaron para resolver este problema    _x000D_
</t>
  </si>
  <si>
    <t>cohenadair-anglers-log-649</t>
  </si>
  <si>
    <t>Crashes migrating 1.x data</t>
  </si>
  <si>
    <t>Has happened to 3 users so far _x000D_
_x000D_
There are two problems:_x000D_
1  The JSON produced by the migration channel is invalid  and_x000D_
2  We aren t catching  LegacyJsonErrorCode invalidJson  correctly_x000D_
_x000D_
I ve requested the exported data from the users so we can see what JSON is being created  If I don t hear back  we ll release a fix for 2  which will prompt the users to send in a report that includes the JSON data _x000D_
_x000D_
Crashlytics: https:  console firebase google com u 0 project anglers log crashlytics app ios:CMA TheAnglersLog issues 619459641467ae2bd103cad1965da8eb time last seven days sessionEventKey a4bedd6d94d64e88930458580a8d5e66 1657054206621202268_x000D_
_x000D_
A second crash that didn t show up in Crashlytics  but a user was good enough to provide his data so it could be reproduced  The crash happened if a fishing spot s lat lng value was 0 (or any non double  non string type) _x000D_
_x000D_
  AC  _x000D_
   x  Fix handling of  LegacyJsonErrorCode invalidJson _x000D_
   x  Fix reason for  invalidJson  crash_x000D_
   x  Fix lat lng migration crash_x000D_
   x  Add  Legacy Migration  to Settings so users can migrate old data if they receive an error on initial migration_x000D_
   x  Add explanation to migration error that the migration process can be started again from Settings_x000D_
   x  Migration page should show message if there is no data to migrate</t>
  </si>
  <si>
    <t>PojavLauncherTeam-PojavLauncher-2968</t>
  </si>
  <si>
    <t xml:space="preserve">    Describe the bug
I played Pojav launcher for 2 6 minutes then the app crashes I tried again and it just crashes my Pojav launcher version from github
    The log file and images videos
No
    Steps To Reproduce
   markdown
1  start the Pojav launcher _x000D_
2  Aplication crash
    Expected Behavior
Apk crash
    Platform
   markdown
  Device model: Vivo y50_x000D_
  CPU architecture: aarch64_x000D_
  Android version: 10_x000D_
  PojavLauncher version: latest github
    Anything else 
No</t>
  </si>
  <si>
    <t>ASE-Projekte-WS-2021-ase-ws-21-unser-horsaal-219</t>
  </si>
  <si>
    <t>(LOGIN) Crash nach Verifizierung</t>
  </si>
  <si>
    <t xml:space="preserve">  Screenshot 2022 03 24 at 10 52 24 (https:  user images githubusercontent com 46536619 159890029 c6e54902 1a9d 4a90 b4f9 c13e8833c75d png)_x000D_
_x000D_
  Error:   Navigation action destination com example unserhoersaal:id action loginFragment to coursesFragment cannot be found from the current destination Destination(com example unserhoersaal:id coursesFragment) label fragment courses class com example unserhoersaal views CoursesFragment_x000D_
_x000D_
  Case:   User registers a new account  is redirected to verification fragment  after verifying their email  clicking  return to login  before being redirected to the course fragment within the 2 second timeframe of the verification email checker  crashes the app after trying to login </t>
  </si>
  <si>
    <t>jellyfin-jellyfin-androidtv-1560</t>
  </si>
  <si>
    <t>Fix crash getting badge image with null base item</t>
  </si>
  <si>
    <t xml:space="preserve">  Changes  _x000D_
Fixes a crash on the item details screen trying to get a badge image when the base item is null_x000D_
_x000D_
(I really have no idea  why  it is null in some cases)_x000D_
_x000D_
  Issues  _x000D_
N A_x000D_
</t>
  </si>
  <si>
    <t>commons-app-apps-android-commons-4919</t>
  </si>
  <si>
    <t>[Bug]: Crash on image upload.</t>
  </si>
  <si>
    <t xml:space="preserve">    Summary_x000D_
_x000D_
Uploading in current master crashes the app with following log :_x000D_
_x000D_
  android database sqlite SQLiteException: no such table: recent languages (code 1 SQLITE ERROR):   while compiling: SELECT language name  language code FROM recent languages_x000D_
        at android database sqlite SQLiteConnection nativePrepareStatement(Native Method)_x000D_
        at android database sqlite SQLiteConnection acquirePreparedStatement(SQLiteConnection java:986)_x000D_
        at android database sqlite SQLiteConnection prepare(SQLiteConnection java:593)_x000D_
        at android database sqlite SQLiteSession prepare(SQLiteSession java:590)_x000D_
_x000D_
    Steps to reproduce_x000D_
_x000D_
Try uploading a pic in current master  _x000D_
_x000D_
    Expected behaviour_x000D_
_x000D_
Upload should proceed _x000D_
_x000D_
    Actual behaviour_x000D_
_x000D_
App crashes_x000D_
_x000D_
    Android version_x000D_
_x000D_
10_x000D_
_x000D_
    Commons app version_x000D_
_x000D_
3 1 1_x000D_
_x000D_
    Would you like to work on the issue _x000D_
_x000D_
Prefer not</t>
  </si>
  <si>
    <t>PojavLauncherTeam-PojavLauncher-2962</t>
  </si>
  <si>
    <t>[BUG] &lt;1.18.1 not working&gt;</t>
  </si>
  <si>
    <t xml:space="preserve">    Describe the bug_x000D_
_x000D_
Cant launch 1 18 1_x000D_
_x000D_
    The log file and images videos_x000D_
_x000D_
 crash 2022 03 23 04 32 44 client txt (https:  github com PojavLauncherTeam PojavLauncher files 8329725 crash 2022 03 23 04 32 44 client txt)_x000D_
_x000D_
_x000D_
    Steps To Reproduce_x000D_
_x000D_
   markdown_x000D_
1  Launch 1 18 1_x000D_
   _x000D_
_x000D_
_x000D_
    Expected Behavior_x000D_
_x000D_
I expect the game to launches_x000D_
_x000D_
    Platform_x000D_
_x000D_
   markdown_x000D_
  Device model: redmi 9c_x000D_
  CPU architecture: arm_x000D_
  Android version: 10_x000D_
  PojavLauncher version: latest on google play_x000D_
   _x000D_
_x000D_
_x000D_
    Anything else _x000D_
_x000D_
 No response </t>
  </si>
  <si>
    <t>google-ExoPlayer-10104</t>
  </si>
  <si>
    <t>ANR during ExoPlayer build()</t>
  </si>
  <si>
    <t xml:space="preserve">  ExoPlayer version number_x000D_
 2 16 0 _x000D_
  Android version_x000D_
11   12_x000D_
  Android device_x000D_
samsung  vivo_x000D_
_x000D_
I receive report from Firebase crashlytics _x000D_
I called  ExoPlayerBuilder build()  in  Fragment onViewCreated()  _x000D_
How to fix it _x000D_
Thank you _x000D_
_x000D_
   _x000D_
main (native): tid 1 systid 16975_x000D_
 00 pc 0xd7178 libc so _x000D_
 01 pc 0x9c48c libc so _x000D_
 02 pc 0x5bfa0 libaudioclient so _x000D_
 03 pc 0x66b84 libaudioclient so _x000D_
       at android media AudioSystem newAudioSessionId(AudioSystem java)_x000D_
       at android media AudioManager generateAudioSessionId(AudioManager java:2567)_x000D_
       at com google android exoplayer2 util Util generateAudioSessionIdV21(Util java:1730)_x000D_
       at com google android exoplayer2 SimpleExoPlayer  init (SimpleExoPlayer java:463)_x000D_
       at com google android exoplayer2 ExoPlayer Builder buildSimpleExoPlayer(ExoPlayer java:967)_x000D_
       at com google android exoplayer2 ExoPlayer Builder build(ExoPlayer java:961)_x000D_
   </t>
  </si>
  <si>
    <t>mercadopago-px-android-2683</t>
  </si>
  <si>
    <t>[FIX] [PXN-3384] Added if statement in OneTapFragment</t>
  </si>
  <si>
    <t xml:space="preserve">   Motivaci n y Contexto_x000D_
Added  if  statement in OneTapFragment to check in restoreState if BUNDLE STATE is not null   _x000D_
When I did more tests I found 2 additional uninitialized lateinit var crashes where I made 2 adjustments in PayButtonFragment and OfflineMethodsFragment _x000D_
_x000D_
   Descripci n_x000D_
Added validation to check in OneTapFragment in restoreStare if BUNDLE STATE is not null  _x000D_
_x000D_
   C mo probarlo_x000D_
  In OneTap  click in add new card  _x000D_
  minimize the app in background_x000D_
  return to the application _x000D_
  minimize the app in background again  _x000D_
  return to the application and click and back button in card form  _x000D_
_x000D_
_x000D_
   Screenshots_x000D_
Error: https:  ibb co ZVQhLty _x000D_
Solution: https:  ibb co Lv46Nfn _x000D_
_x000D_
   Tipo de cambio (para el release manager)_x000D_
      Breaking change (Fix o feature que cambia una funcionalidad existente o rompe firmas)_x000D_
     Describir qu  cambia y como se hace la migraci n    _x000D_
      Mi cambio afecta a los integradores internos_x000D_
     Describir a qu  equipos afecta para poder comunicarlo    _x000D_
_x000D_
   Compartir conocimiento_x000D_
      Compartir links a blog posts  patrones o librer as que se usaron para resolver este problema    _x000D_
</t>
  </si>
  <si>
    <t>mercadopago-px-android-2682</t>
  </si>
  <si>
    <t>[Fix]: PXN-3379  New method is added to keep session.</t>
  </si>
  <si>
    <t xml:space="preserve">      Escribir un resumen de los cambios en el T tulo de arriba    _x000D_
_x000D_
   Motivaci n y Contexto_x000D_
       Por qu  este cambio es requerido   Qu  problema resuelve     _x000D_
_x000D_
The method that opens our congrats was duplicated in order to remove the line that cleans the session in order to keep it available for followings calls _x000D_
_x000D_
   Descripci n_x000D_
      Describir los cambios en detalle    _x000D_
_x000D_
For semovi flow the integrator was opening our congrats twice  what implies a crash because the session was cleaned with the first attempt _x000D_
_x000D_
   C mo probarlo_x000D_
      Para bug fixes: Describir c mo reproducir el comportamiento que generaba el bug    _x000D_
      Para nuevos features: Se debe agregar el caso de uso a la app de ejemplos  y aqu  se debe describir qu  funci n de la app de ejemplos probar    _x000D_
_x000D_
1  Remove the finish() invocation on PostpaymentSampleActivity::32_x000D_
2  Launch a PostPaymentFlow already configured in the test app_x000D_
3  Try to navigate til the congrats screen_x000D_
4  Close and reopen the congrats _x000D_
The app shouldn t crash when we open the congrats more than one time_x000D_
_x000D_
   Screenshots_x000D_
      Para bug fixes: Incluir screenshots o videos del antes y despu s    _x000D_
      Para nuevos features: Incluir screenshots o videos de la nueva UI    _x000D_
Error   Solution_x000D_
           _x000D_
  Error bugfix 3379 (https:  user images githubusercontent com 90635466 159571850 ed49e02b c749 48b6 8729 6748903772cc gif)     Solucion bugfix 3379 (https:  user images githubusercontent com 90635466 159571891 78cadd80 630b 4dc9 b842 f11b359a3450 gif)_x000D_
_x000D_
_x000D_
   Tipo de cambio (para el release manager)_x000D_
      Breaking change (Fix o feature que cambia una funcionalidad existente o rompe firmas)_x000D_
     Describir qu  cambia y como se hace la migraci n    _x000D_
      Mi cambio afecta a los integradores internos_x000D_
     Describir a qu  equipos afecta para poder comunicarlo    _x000D_
_x000D_
   Compartir conocimiento_x000D_
      Compartir links a blog posts  patrones o librer as que se usaron para resolver este problema    _x000D_
</t>
  </si>
  <si>
    <t>TacoTheDank-Scoop-50</t>
  </si>
  <si>
    <t>Scoop sometimes crashes when capturing traceback</t>
  </si>
  <si>
    <t xml:space="preserve">An app crashed while I was using it  Almost immediately I got a scoop notification  but it was a scoop crash  not a crash for the app I was using 
Given the timing  I m assuming scoop crashed when trying to capture a traceback for the other app 
This has happened twice in the last 6h  I switched from the old xposed repo version to the fdroid app just yesterday  Speaking of which  many thanks for maintaining scoop  I was glad to see someone had adopted it 
java lang IllegalArgumentException: fromIndex(1)   toIndex(0)
	at java util ArrayList subListRangeCheck(ArrayList java:1018)
	at java util ArrayList subList(ArrayList java:1008)
	at taco scoop core service detector CrashDetector reportCrash(CrashDetector kt:64)
	at taco scoop core service detector CrashDetector access reportCrash(CrashDetector kt:11)
	at taco scoop core service detector CrashDetector readThread 1 run(CrashDetector kt:29)
        </t>
  </si>
  <si>
    <t>itsaky-AndroidIDE-140</t>
  </si>
  <si>
    <t>[BUG] Cannot build bcs aapt2</t>
  </si>
  <si>
    <t xml:space="preserve">  Describe the bug  _x000D_
I pasted this libs in my Gradle file
implementation  androidx appcompat:appcompat:1 4 1 
    implementation  com google android material:material:1 5 0 
    implementation  androidx coordinatorlayout:coordinatorlayout:1 2 0 
    implementation  com google code gson:gson:2 9 0 
    implementation  io github yanndroid:oneui:2 3 0 
    implementation  com github mukeshsolanki:android otpview pinview:2 1 2 
    implementation  com google firebase:firebase auth:21 0 1 
    implementation  com google firebase:firebase storage:20 0 0 
    implementation  com google firebase:firebase database:20 0 3 
    implementation  com github bumptech glide:glide:4 13 0 
    implementation  de hdodenhof:circleimageview:3 1 0 
    implementation  com github yalantis:ucrop:2 2 6 
    implementation  com facebook shimmer:shimmer:0 5 0 
    implementation  com flaviofaria:kenburnsview:1 0 7 
    implementation  cat ereza:customactivityoncrash:2 3 0 
and im geting this
FAILURE: Build failed with an exception 
  What went wrong:
Execution failed for task  :app:processDebugResources  
  Could not resolve all files for configuration  :app:debugRuntimeClasspath  
  Failed to transform ucrop 2 2 6 aar (com github yalantis:ucrop:2 2 6) to match attributes  artifactType android compiled dependencies resources  org gradle category library  org gradle libraryelements jar  org gradle status release  org gradle usage java runtime  
  Execution failed for AarResourcesCompilerTransform: ROOT framework  gradle caches transforms 3 bea861a50937ca63715514c34e616d7f transformed jetified ucrop 2 2 6 
  AAPT2 aapt2 7 0 2 7396180 linux Daemon  2: Daemon startup failed
This should not happen under normal circumstances  please file an issue if it does 
  Failed to transform customactivityoncrash 2 3 0 aar (cat ereza:customactivityoncrash:2 3 0) to match attributes  artifactType android compiled dependencies resources  org gradle category library  org gradle libraryelements jar  org gradle status release  org gradle usage java runtime  
  Execution failed for AarResourcesCompilerTransform: ROOT framework  gradle caches transforms 3 53f9cf2803d1920e26f74dd9e1d77119 transformed jetified customactivityoncrash 2 3 0 
  AAPT2 aapt2 7 0 2 7396180 linux Daemon  3: Daemon startup failed
This should not happen under normal circumstances  please file an issue if it does 
  Failed to transform appcompat 1 4 1 aar (androidx appcompat:appcompat:1 4 1) to match attributes  artifactType android compiled dependencies resources  org gradle category library  org gradle dependency bundling external  org gradle libraryelements aar  org gradle status release  org gradle usage java runtime  
  Execution failed for AarResourcesCompilerTransform: ROOT framework  gradle caches transforms 3 d8fa1e856823a923ef5be6998fe315d8 transformed appcompat 1 4 1 
  AAPT2 aapt2 7 0 2 7396180 linux Daemon  0: Daemon startup failed
This should not happen under normal circumstances  please file an issue if it does 
  Failed to transform oneui 2 3 0 aar (io github yanndroid:oneui:2 3 0) to match attributes  artifactType android compiled dependencies resources  org gradle category library  org gradle libraryelements jar  org gradle status release  org gradle usage java runtime  
  Execution failed for AarResourcesCompilerTransform: ROOT framework  gradle caches transforms 3 17d22af686b4f3e78f7567afb9488cb0 transformed jetified oneui 2 3 0 
  AAPT2 aapt2 7 0 2 7396180 linux Daemon  5: Daemon startup failed
This should not happen under normal circumstances  please file an issue if it does 
  Failed to transform play services base 17 1 0 aar (com google android gms:play services base:17 1 0) to match attributes  artifactType android compiled dependencies resources  org gradle status release  
  Execution failed for AarResourcesCompilerTransform: ROOT framework  gradle caches transforms 3 972248e055aa1f89b96e45ff927cb40b transformed jetified play services base 17 1 0 
  AAPT2 aapt2 7 0 2 7396180 linux Daemon  4: Daemon startup failed
This should not happen under normal circumstances  please file an issue if it does 
  Failed to transform play services base 17 1 0 aar (com google android gms:play services base:17 1 0) to match attributes  artifactType android compiled dependencies resources  org gradle status release  
  Execution failed for AarResourcesCompilerTransform: ROOT framework  gradle caches transforms 3 972248e055aa1f89b96e45ff927cb40b transformed jetified play services base 17 1 0 
  AAPT2 aapt2 7 0 2 7396180 linux Daemon  4: Daemon startup failed
This should not happen under normal circumstances  please file an issue if it does 
  Failed to transform play services base 17 1 0 aar (com google android gms:play services base:17 1 0) to match attributes  artifactType android compiled dependencies resources  org gradle status release  
  Execution failed for AarResourcesCompilerTransform: ROOT framework  gradle caches transforms 3 972248e055aa1f89b96e45ff927cb40b transformed jetified play services base 17 1 0 
  AAPT2 aapt2 7 0 2 7396180 linux Daemon  4: Daemon startup failed
This should not happen under normal circumstances  please file an issue if it does 
  Failed to transform play services base 17 1 0 aar (com google android gms:play services base:17 1 0) to match attributes  artifactType android compiled dependencies resources  org gradle status release  
  Execution failed for AarResourcesCompilerTransform: ROOT framework  gradle caches transforms 3 972248e055aa1f89b96e45ff927cb40b transformed jetified play services base 17 1 0 
  AAPT2 aapt2 7 0 2 7396180 linux Daemon  4: Daemon startup failed
This should not happen under normal circumstances  please file an issue if it does 
  Failed to transform play services base 17 1 0 aar (com google android gms:play services base:17 1 0) to match attributes  artifactType android compiled dependencies resources  org gradle status release  
  Execution failed for AarResourcesCompilerTransform: ROOT framework  gradle caches transforms 3 972248e055aa1f89b96e45ff927cb40b transformed jetified play services base 17 1 0 
  AAPT2 aapt2 7 0 2 7396180 linux Daemon  4: Daemon startup failed
This should not happen under normal circumstances  please file an issue if it does 
  Failed to transform play services base 17 1 0 aar (com google android gms:play services base:17 1 0) to match attributes  artifactType android compiled dependencies resources  org gradle status release  
  Execution failed for AarResourcesCompilerTransform: ROOT framework  gradle caches transforms 3 972248e055aa1f89b96e45ff927cb40b transformed jetified play services base 17 1 0 
  AAPT2 aapt2 7 0 2 7396180 linux Daemon  4: Daemon startup failed
This should not happen under normal circumstances  please file an issue if it does 
  Failed to transform play services base 17 1 0 aar (com google android gms:play services base:17 1 0) to match attributes  artifactType android compiled dependencies resources  org gradle status release  
  Execution failed for AarResourcesCompilerTransform: ROOT framework  gradle caches transforms 3 972248e055aa1f89b96e45ff927cb40b transformed jetified play services base 17 1 0 
  AAPT2 aapt2 7 0 2 7396180 linux Daemon  4: Daemon startup failed
This should not happen under normal circumstances  please file an issue if it does 
  Failed to transform core 1 7 0 aar (androidx core:core:1 7 0) to match attributes  artifactType android compiled dependencies resources  org gradle category library  org gradle dependency bundling external  org gradle libraryelements aar  org gradle status release  org gradle usage java runtime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Failed to transform core 1 7 0 aar (androidx core:core:1 7 0) to match attributes  artifactType android compiled dependencies resources  org gradle status release  
  Execution failed for AarResourcesCompilerTransform: ROOT framework  gradle caches transforms 3 6e8a7ec022a04f59c1cef59a39e138e9 transformed core 1 7 0 
  AAPT2 aapt2 7 0 2 7396180 linux Daemon  1: Daemon startup failed
This should not happen under normal circumstances  please file an issue if it does 
   _x000D_
_x000D_
  To Reproduce  _x000D_
Steps to reproduce the behavior:_x000D_
1  Add implementations from above
2  Build (outlined arrow)_x000D_
_x000D_
  Expected behavior  _x000D_
Success build_x000D_
_x000D_
  Details (please complete the following information):  _x000D_
   Device:   Samsung A52  _x000D_
   OS:   Android 11  _x000D_
   AndroidIDE Version   latest release  _x000D_
_x000D_
</t>
  </si>
  <si>
    <t>deltachat-deltachat-android-2242</t>
  </si>
  <si>
    <t>Account no longer loaded after restore of backup</t>
  </si>
  <si>
    <t xml:space="preserve">  Android version:_x000D_
Android 11 _x000D_
_x000D_
  Device:_x000D_
Fairphone FP2 (Lineage OS 18 1 build RQ3A 210705 001 from 2022 03 18) _x000D_
_x000D_
  Delta Chat version:_x000D_
1 28 3 (latest nightly build) _x000D_
_x000D_
  Expected behavior:_x000D_
After a backup has been restored  Delta Chat loads the respective account _x000D_
_x000D_
  Actual behavior:_x000D_
After a backup has been restored  Delta Chat does not load the respective account  (The app does not crash or hang  but it stays at the welcome screen and does not continue by itself )_x000D_
_x000D_
  Steps to reproduce the problem:_x000D_
   Install the latest Delta Chat nightly build _x000D_
   Open Delta Chat and restore a backup _x000D_
_x000D_
  Screenshots:_x000D_
N A _x000D_
_x000D_
  Logs:_x000D_
N A </t>
  </si>
  <si>
    <t>Jelmer1887-OnlyFarms-31</t>
  </si>
  <si>
    <t>HomeView: Crash after scrolling too much</t>
  </si>
  <si>
    <t xml:space="preserve">     Steps to reproduce: _x000D_
1  Introduce a non zero number of stores to an account    make the cards show up  There need to be sufficient cards to make 1 card completely disappear behind the search bar _x000D_
2  Scroll down until cards start disappearing behind the search bar _x000D_
3  After the same number of cards have disappeared as there are stores (or stores    1     not sure)_x000D_
4  profit  (crash)_x000D_
_x000D_
     Suspected origin: _x000D_
An  IllegalStateException  is thrown by the  Adapter  for the cards when there are no more  viewHolders  to dumb the data of a  Store  Object into  Upon creation of a  viewHolder   it gets associated with a specific  store  objects through a mapping in the  cards  variable  It could be that when a  recyclerView  object falls of the page by disappearing beneath the search bar  the  viewHolder  object representing that card instead becomes the card positioned below it  Or a new  viewHolder   is created to hold the card that was scrolled off the bottom of the page _x000D_
_x000D_
Either way the error comes from a new  viewHolder  being created to hold an already assigned  Store   meaning one of the  viewHolders  associated with some  Store  has to be obsolete or possibly even deleted in some way _x000D_
_x000D_
     Error Log: _x000D_
_x000D_
   _x000D_
java lang IllegalStateException: no empty Stores left in  cards  lists to associate _x000D_
        at nl tue onlyfarms view StoreCardAdapter getNextStore(StoreCardAdapter java:95)_x000D_
        at nl tue onlyfarms view StoreCardAdapter onBindViewHolder(StoreCardAdapter java:72)_x000D_
        at nl tue onlyfarms view StoreCardAdapter onBindViewHolder(StoreCardAdapter java:27)_x000D_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scrollBy(LinearLayoutManager java:1391)_x000D_
        at androidx recyclerview widget LinearLayoutManager scrollVerticallyBy(LinearLayoutManager java:1128)_x000D_
        at androidx recyclerview widget RecyclerView scrollStep(RecyclerView java:1841)_x000D_
        at androidx recyclerview widget RecyclerView ViewFlinger run(RecyclerView java:5302)_x000D_
        at android view Choreographer CallbackRecord run(Choreographer java:972)_x000D_
        at android view Choreographer doCallbacks(Choreographer java:796)_x000D_
        at android view Choreographer doFrame(Choreographer java:727)_x000D_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t>
  </si>
  <si>
    <t>ASE-Projekte-WS-2021-ase-ws-21-course-matcher-219</t>
  </si>
  <si>
    <t>Bug: Map Fix if user does not have a location</t>
  </si>
  <si>
    <t>Fix bug where app would crash on initial loading if the users  location could not be retrieved initially _x000D_
_x000D_
   x  App does not crash on newly created user</t>
  </si>
  <si>
    <t>k9mail-k-9-5978</t>
  </si>
  <si>
    <t>Crash when trying to open a non-existent folder (via unread widget)</t>
  </si>
  <si>
    <t xml:space="preserve">    Checklist
   X  I have used the search function to see if someone else has already submitted the same bug report 
   X  I will describe the problem with as much detail as possible 
    App version
5 913
    Where did you get the app from 
Google Play
    Android version
doesn t matter
    Device model
 No response 
    Steps to reproduce
1  Add an  K 9 Unread  widget that references a particular folder to the home screen_x000D_
2  Delete that folder from the server_x000D_
3  Refresh the folder list in K 9 Mail (so the folder disappears)_x000D_
4  Attempt to open the app using the  K 9 Unread  widget that references the now non existent folder
    Expected behavior
Don t crash
    Actual behavior
Crash
    Logs
Stacktrace received via Google Play developer console:_x000D_
_x000D_
   text_x000D_
java lang RuntimeException: _x000D_
  at com fsck k9 fragment MessageListFragment getFolderInfoHolder (MessageListFragment kt:465)_x000D_
  at com fsck k9 fragment MessageListFragment decodeArguments (MessageListFragment kt:203)_x000D_
  at com fsck k9 fragment MessageListFragment onCreate (MessageListFragment kt:150)_x000D_
  at androidx fragment app Fragment performCreate (Fragment java:2981)_x000D_
  at androidx fragment app FragmentStateManager create (FragmentStateManager java:474)_x000D_
  at androidx fragment app FragmentStateManager moveToExpectedState (FragmentStateManager java:257)_x000D_
  at androidx fragment app FragmentManager executeOpsTogether (FragmentManager java:1840)_x000D_
  at androidx fragment app FragmentManager removeRedundantOperationsAndExecute (FragmentManager java:1758)_x000D_
  at androidx fragment app FragmentManager execPendingActions (FragmentManager java:1701)_x000D_
  at androidx fragment app FragmentManager 4 run (FragmentManager java:488)_x000D_
  at android os Handler handleCallback (Handler java:938)_x000D_
  at android os Handler dispatchMessage (Handler java:99)_x000D_
  at android os Looper loop (Looper java:233)_x000D_
  at android app ActivityThread main (ActivityThread java:8052)_x000D_
  at java lang reflect Method invoke (Native Method)_x000D_
  at com android internal os RuntimeInit MethodAndArgsCaller run (RuntimeInit java:656)_x000D_
  at com android internal os ZygoteInit main (ZygoteInit java:967)_x000D_
Caused by: com fsck k9 mail MessagingException: _x000D_
  at com fsck k9 mailstore LocalFolder 1 doDbWork (LocalFolder java:160)_x000D_
  at com fsck k9 mailstore LocalFolder 1 doDbWork (LocalFolder java:142)_x000D_
  at com fsck k9 mailstore LockableDatabase execute (LockableDatabase java:169)_x000D_
  at com fsck k9 mailstore LocalFolder open (LocalFolder java:142)_x000D_
  at com fsck k9 fragment MlfUtils getOpenFolder (MlfUtils java:28)_x000D_
  at com fsck k9 fragment MessageListFragment getFolderInfoHolder (MessageListFragment kt:462)_x000D_
   </t>
  </si>
  <si>
    <t>k9mail-k-9-5976</t>
  </si>
  <si>
    <t>Crash: `UninitializedPropertyAccessException` in `MessageList.dispatchKeyEvent()`</t>
  </si>
  <si>
    <t xml:space="preserve">    Checklist
   X  I have used the search function to see if someone else has already submitted the same bug report 
   X  I will describe the problem with as much detail as possible 
    App version
5 913
    Where did you get the app from 
Google Play
    Android version
various (Android 9 12)
    Device model
various
    Steps to reproduce
Unclear  Presumably press a key on a hardware keyboard before the message list screen is properly initialized 
    Expected behavior
No crash
    Actual behavior
Crash
    Logs
Stacktrace via Google Play developer console:_x000D_
_x000D_
   text_x000D_
kotlin UninitializedPropertyAccessException: _x000D_
  at com fsck k9 activity MessageList dispatchKeyEvent (MessageList kt:681)_x000D_
  at androidx appcompat view WindowCallbackWrapper dispatchKeyEvent (WindowCallbackWrapper java:59)_x000D_
  at androidx appcompat app AppCompatDelegateImpl AppCompatWindowCallback dispatchKeyEvent (AppCompatDelegateImpl java:3090)_x000D_
  at com android internal policy DecorView dispatchKeyEvent (DecorView java:396)_x000D_
  at android view ViewRootImpl ViewPostImeInputStage processKeyEvent (ViewRootImpl java:6342)_x000D_
  at android view ViewRootImpl ViewPostImeInputStage onProcess (ViewRootImpl java:6210)_x000D_
  at android view ViewRootImpl InputStage deliver (ViewRootImpl java:5680)_x000D_
  at android view ViewRootImpl InputStage onDeliverToNext (ViewRootImpl java:5737)_x000D_
  at android view ViewRootImpl InputStage forward (ViewRootImpl java:5703)_x000D_
  at android view ViewRootImpl AsyncInputStage forward (ViewRootImpl java:5855)_x000D_
  at android view ViewRootImpl InputStage apply (ViewRootImpl java:5711)_x000D_
  at android view ViewRootImpl AsyncInputStage apply (ViewRootImpl java:5912)_x000D_
  at android view ViewRootImpl InputStage deliver (ViewRootImpl java:5684)_x000D_
  at android view ViewRootImpl InputStage onDeliverToNext (ViewRootImpl java:5737)_x000D_
  at android view ViewRootImpl InputStage forward (ViewRootImpl java:5703)_x000D_
  at android view ViewRootImpl InputStage apply (ViewRootImpl java:5711)_x000D_
  at android view ViewRootImpl InputStage deliver (ViewRootImpl java:5684)_x000D_
  at android view ViewRootImpl InputStage onDeliverToNext (ViewRootImpl java:5737)_x000D_
  at android view ViewRootImpl InputStage forward (ViewRootImpl java:5703)_x000D_
  at android view ViewRootImpl AsyncInputStage forward (ViewRootImpl java:5855)_x000D_
  at android view ViewRootImpl InputStage apply (ViewRootImpl java:5711)_x000D_
  at android view ViewRootImpl AsyncInputStage apply (ViewRootImpl java:5912)_x000D_
  at android view ViewRootImpl InputStage deliver (ViewRootImpl java:5684)_x000D_
  at android view ViewRootImpl InputStage onDeliverToNext (ViewRootImpl java:5737)_x000D_
  at android view ViewRootImpl InputStage forward (ViewRootImpl java:5703)_x000D_
  at android view ViewRootImpl InputStage apply (ViewRootImpl java:5711)_x000D_
  at android view ViewRootImpl InputStage deliver (ViewRootImpl java:5684)_x000D_
  at android view ViewRootImpl InputStage onDeliverToNext (ViewRootImpl java:5737)_x000D_
  at android view ViewRootImpl InputStage forward (ViewRootImpl java:5703)_x000D_
  at android view ViewRootImpl AsyncInputStage forward (ViewRootImpl java:5855)_x000D_
  at android view ViewRootImpl InputStage apply (ViewRootImpl java:5711)_x000D_
  at android view ViewRootImpl AsyncInputStage apply (ViewRootImpl java:5912)_x000D_
  at android view ViewRootImpl InputStage deliver (ViewRootImpl java:5684)_x000D_
  at android view ViewRootImpl deliverInputEvent (ViewRootImpl java:8584)_x000D_
  at android view ViewRootImpl doProcessInputEvents (ViewRootImpl java:8535)_x000D_
  at android view ViewRootImpl enqueueInputEvent (ViewRootImpl java:8433)_x000D_
  at android view ViewRootImpl WindowInputEventReceiver onInputEvent (ViewRootImpl java:8707)_x000D_
  at android view InputEventReceiver dispatchInputEvent (InputEventReceiver java:221)_x000D_
  at android os MessageQueue nativePollOnce (Native Method)_x000D_
  at android os MessageQueue next (MessageQueue java:335)_x000D_
  at android os Looper loop (Looper java:183)_x000D_
  at android app ActivityThread main (ActivityThread java:8030)_x000D_
  at java lang reflect Method invoke (Native Method)_x000D_
  at com android internal os RuntimeInit MethodAndArgsCaller run (RuntimeInit java:631)_x000D_
  at com android internal os ZygoteInit main (ZygoteInit java:978)_x000D_
   </t>
  </si>
  <si>
    <t>Agontuk-react-native-geolocation-service-335</t>
  </si>
  <si>
    <t>Illegal callback invocation from native module. This callback type only permits a single invocation from native code</t>
  </si>
  <si>
    <t xml:space="preserve">   Environment_x000D_
   _x000D_
info Fetching system and libraries information   _x000D_
System:_x000D_
    OS: macOS 11 6_x000D_
    CPU: (8) x64 Intel(R) Core(TM) i7 1068NG7 CPU   2 30GHz_x000D_
    Memory: 6 32 GB   32 00 GB_x000D_
    Shell: 5 8    bin zsh_x000D_
  Binaries:_x000D_
    Node: 17 5 0    usr local bin node_x000D_
    Yarn: 1 22 17    usr local bin yarn_x000D_
    npm: 8 4 1     Projects project node modules  bin npm_x000D_
    Watchman: 2022 02 14 00    usr local bin watchman_x000D_
  Managers:_x000D_
    CocoaPods: 1 11 2    usr local bin pod_x000D_
  SDKs:_x000D_
    iOS SDK:_x000D_
      Platforms: DriverKit 21 2  iOS 15 2  macOS 12 1  tvOS 15 2  watchOS 8 3_x000D_
    Android SDK:_x000D_
      Android NDK: 21 4 7075529_x000D_
  IDEs:_x000D_
    Android Studio: 2020 3 AI 203 7717 56 2031 7583922_x000D_
    Xcode: 13 2 1 13C100    usr bin xcodebuild_x000D_
  Languages:_x000D_
    Java: 11 0 10    usr bin javac_x000D_
  npmPackages:_x000D_
     react native community cli: Not Found_x000D_
    react: 17 0 2    17 0 2_x000D_
    react native: 0 67 2    0 67 2_x000D_
    react native macos: Not Found_x000D_
  npmGlobalPackages:_x000D_
     react native : Not Found_x000D_
_x000D_
   _x000D_
_x000D_
   Platforms_x000D_
Android_x000D_
_x000D_
   Versions_x000D_
Please add the used versions branches_x000D_
  Android: 6 0 1 Samsung Galaxy S6 Edge_x000D_
  react native geolocation service: Non published release  I m using the latest commit on main (https:  github com Agontuk react native geolocation service commit 6715a90d403ce6cf91df874b1266ad3dda1e828f)_x000D_
  react native: 0 67 2_x000D_
  react: 17 0 2_x000D_
_x000D_
   Description_x000D_
I ve had a Crashlytics crash in the library  here s the stack trace:_x000D_
   _x000D_
Fatal Exception: java lang RuntimeException: Illegal callback invocation from native module  This callback type only permits a single invocation from native code _x000D_
       at com facebook react bridge CallbackImpl invoke(CallbackImpl java)_x000D_
       at com agontuk RNFusedLocation RNFusedLocationModule 1 onLocationChange(RNFusedLocationModule java)_x000D_
       at com agontuk RNFusedLocation FusedLocationProvider 1 onLocationAvailability(FusedLocationProvider java)_x000D_
       at com google android gms internal location zzau notifyListener(zzau java)_x000D_
       at com google android gms common api internal ListenerHolder getListenerKey(ListenerHolder java)_x000D_
       at com google android gms common api internal zacb run(zacb java)_x000D_
       at android os Handler handleCallback(Handler java:739)_x000D_
       at android os Handler dispatchMessage(Handler java:95)_x000D_
       at android os Looper loop(Looper java:158)_x000D_
       at android app ActivityThread main(ActivityThread java:7229)_x000D_
       at java lang reflect Method invoke(Method java)_x000D_
       at com android internal os ZygoteInit MethodAndArgsCaller run(ZygoteInit java:1230)_x000D_
       at com android internal os ZygoteInit main(ZygoteInit java:1120)_x000D_
   _x000D_
_x000D_
   Reproducible Demo_x000D_
I don t have one  sorry_x000D_
_x000D_
   Expected Results_x000D_
No crash_x000D_
</t>
  </si>
  <si>
    <t>PojavLauncherTeam-PojavLauncher-2954</t>
  </si>
  <si>
    <t>[BUG] 1.13 mouse clicked event handler crash</t>
  </si>
  <si>
    <t xml:space="preserve">    Describe the bug
App closed
    The log file and images videos
 latestlog txt (https:  github com PojavLauncherTeam PojavLauncher files 8315552 latestlog txt)_x000D_
    Steps To Reproduce
   markdown
Start PojavLauncher in 1 13_x000D_
Opened options_x000D_
Opened videos options_x000D_
Got a screen saying saving world then the app crashed
    Expected Behavior
To open video options 
    Platform
   markdown
  Device model:oppo _x000D_
  CPU architecture: i don t know _x000D_
  Android version: 6 1_x000D_
  PojavLauncher version: latest version
    Anything else 
 No response </t>
  </si>
  <si>
    <t>PojavLauncherTeam-PojavLauncher-2949</t>
  </si>
  <si>
    <t>[BUG] Another black screen issue</t>
  </si>
  <si>
    <t xml:space="preserve">    Describe the bug_x000D_
_x000D_
Fresh install  wanted to try this amazing piece of software out  I wanted to join a 1 18 1 server  downloaded the recommended by you Java 17 repository for arm64  Set it as default  went to launch 1 18 1  and then  black screen  Thought  maybe it s just loading a bit longer  and waited  After about a minute  not just the Minecraft window  the whole app crashes  Like  exits to the last app I ve been on  Complete hard stop  Though I wanted to see if other versions have issues  I ve launched 1 14 4  everything works well  I ve also tried all renderers  to no avail  Is 1 18 1 just too new of a version and it doesn t have support yet  All help is appreciated_x000D_
_x000D_
   _x000D_
     Minecraft Crash Report     _x000D_
   Quite honestly  I wouldn t worry myself about that _x000D_
_x000D_
Time: 3 21 22  8:45 AM_x000D_
Description: Initializing game_x000D_
_x000D_
java lang IllegalStateException: could not preload shader position_x000D_
	at epe a(SourceFile:423)_x000D_
	at epe a(SourceFile:407)_x000D_
	at dxo  init (SourceFile:617)_x000D_
	at net minecraft client main Main main(SourceFile:199)_x000D_
Caused by: yk: Invalid shaders core position json: Couldn t compile vertex program (minecraft:shaders core position vsh  position) : 0:7: S0054: Overloading built in function  max  not allowed_x000D_
	at yk a(SourceFile:48)_x000D_
	at epw  init (SourceFile:200)_x000D_
	at epe a(SourceFile:419)_x000D_
	    3 more_x000D_
Caused by: java io IOException: Couldn t compile vertex program (minecraft:shaders core position vsh  position) : 0:7: S0054: Overloading built in function  max  not allowed_x000D_
	at dry b(SourceFile:72)_x000D_
	at dry a(SourceFile:54)_x000D_
	at epw a(SourceFile:241)_x000D_
	at epw  init (SourceFile:182)_x000D_
	    4 more_x000D_
_x000D_
_x000D_
A detailed walkthrough of the error  its code path and all known details is as follows:_x000D_
                                                                                       _x000D_
_x000D_
   Head   _x000D_
Thread: Render thread_x000D_
Stacktrace:_x000D_
	at epe a(SourceFile:423)_x000D_
	at epe a(SourceFile:407)_x000D_
	at dxo  init (SourceFile:617)_x000D_
_x000D_
   Initialization   _x000D_
Details:_x000D_
	Modules: _x000D_
Stacktrace:_x000D_
	at net minecraft client main Main main(SourceFile:199)_x000D_
_x000D_
   System Details   _x000D_
Details:_x000D_
	Minecraft Version: 1 18 1_x000D_
	Minecraft Version ID: 1 18 1_x000D_
	Operating System: Linux (aarch64) version Android 8 1 0_x000D_
	Java Version: 17 internal  N A_x000D_
	Java VM Version: OpenJDK 64 Bit Server VM (mixed mode)  Oracle Corporation_x000D_
	Memory: 705300296 bytes (672 MiB)   2172649472 bytes (2072 MiB) up to 2172649472 bytes (2072 MiB)_x000D_
	CPUs: 4_x000D_
	Processor Vendor: 0x41_x000D_
	Processor Name: AArch64 Processor rev 4 (aarch64)_x000D_
	Identifier: 0x41 Family 8 Model 0xd03 Stepping r0x0p4_x000D_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3945 69_x000D_
	Virtual memory used (MB): 4568 99_x000D_
	Swap memory total (MB): 1024 00_x000D_
	Swap memory used (MB): 349 32_x000D_
	JVM Flags: 2 total   Xms2072M  Xmx2072M_x000D_
	Launched Version: 1 18 1_x000D_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Probably not  Client jar signature and brand is untouched_x000D_
	Type: Client (map client txt)_x000D_
	CPU: 8x AArch64 Processor rev 4 (aarch64)_x000D_
   _x000D_
_x000D_
_x000D_
    The log file and images videos_x000D_
_x000D_
 latestlog txt (https:  github com PojavLauncherTeam PojavLauncher files 8314132 latestlog txt)_x000D_
_x000D_
_x000D_
    Steps To Reproduce_x000D_
_x000D_
   markdown_x000D_
1  Start PojavLauncher _x000D_
2  Login using Microsoft _x000D_
3  Select 1 18 1 _x000D_
4  Launch 1 18 1 _x000D_
5  Dark screen  wait  1 min _x000D_
6  App exits _x000D_
   _x000D_
_x000D_
_x000D_
    Expected Behavior_x000D_
_x000D_
Expected to launch 1 18 1 in the app s environment _x000D_
_x000D_
    Platform_x000D_
_x000D_
   markdown_x000D_
  Device model: CUBOT POWER_x000D_
  CPU architecture: arm64_x000D_
  Android version: 8 1 0_x000D_
  PojavLauncher version: crocus v3 openjdk_x000D_
   _x000D_
_x000D_
_x000D_
    Anything else _x000D_
_x000D_
 </t>
  </si>
  <si>
    <t>therealsujitk-android-vtop-chennai-21</t>
  </si>
  <si>
    <t>App crashes when trying to view receipts</t>
  </si>
  <si>
    <t xml:space="preserve">   Bug Report_x000D_
_x000D_
App crashes when I click on Receipts</t>
  </si>
  <si>
    <t>cohenadair-anglers-log-640</t>
  </si>
  <si>
    <t>Crash on Android 9</t>
  </si>
  <si>
    <t xml:space="preserve">  Reproduction Steps  _x000D_
1  Run the app_x000D_
2  Open the map_x000D_
3  Tap the add all button_x000D_
4  Angler_x000D_
5  Close_x000D_
6  Observe crash</t>
  </si>
  <si>
    <t>googleads-googleads-mobile-flutter-536</t>
  </si>
  <si>
    <t xml:space="preserve">     Thank you for using Google Mobile Ads for Flutter _x000D_
_x000D_
     If you have found a bug or if our documentation doesn t have an answer_x000D_
     to what you re looking for  then fill out the template below  Please read_x000D_
     the Flutter s team guide to filing a bug first: https:  flutter dev docs resources bug reports_x000D_
   _x000D_
_x000D_
   Plugin Version_x000D_
_x000D_
  google mobile ads:  1 1 0_x000D_
_x000D_
   Steps to Reproduce_x000D_
_x000D_
This is difficult to reproduce reliably as it only happens on certain devices  I speculate that depends on the ad being served  but it s hard to know for sure _x000D_
  Expected results:   _x000D_
I expect ads to be served (as is normally the case)_x000D_
  Actual results:        what did you see     _x000D_
On some occasions the app crashes  Here s a backtrace:_x000D_
   _x000D_
java lang NullPointerException: 	at com xamaral liveff ListTileNativeAdFactory createNativeAd(ListTileNativeAdFactory java:125)_x000D_
	at io flutter plugins googlemobileads FlutterNativeAd onNativeAdLoaded(FlutterNativeAd java:4)_x000D_
	at io flutter plugins googlemobileads FlutterNativeAdLoadedListener onNativeAdLoaded(FlutterNativeAdLoadedListener java:16)_x000D_
	at com google android gms internal ads zzbyp zze(zzbyp java:7)_x000D_
	at com google android gms internal ads zzbnj zzbT(zzbnj java:31)_x000D_
	at com google android gms internal ads zzow onTransact(zzow java:20)_x000D_
	at android os Binder transact(Binder java:1100)_x000D_
	at ahm bj(:com google android gms policy ads fdr dynamite 214106404 214106404057 409717972 409717972:2)_x000D_
	at com google android gms ads internal formats client ak e(:com google android gms policy ads fdr dynamite 214106404 214106404057 409717972 409717972:0)_x000D_
	at com google android gms ads nonagon ad nativead ae run(:com google android gms policy ads fdr dynamite 214106404 214106404057 409717972 409717972:5)_x000D_
	at android os Handler handleCallback(Handler java:938)_x000D_
	at android os Handler dispatchMessage(Handler java:99)_x000D_
	at auj a(:com google android gms policy ads fdr dynamite 214106404 214106404057 409717972 409717972:0)_x000D_
	at com google android gms ads internal util f a(:com google android gms policy ads fdr dynamite 214106404 214106404057 409717972 409717972:1)_x000D_
	at auj dispatchMessage(:com google android gms policy ads fdr dynamite 214106404 214106404057 409717972 409717972:0)_x000D_
  at android os Looper loopOnce (Looper java:226)_x000D_
  at android os Looper loop (Looper java:313)_x000D_
  at android app ActivityThread main (ActivityThread java:8633)_x000D_
  at java lang reflect Method invoke (Native Method)_x000D_
  at com android internal os RuntimeInit MethodAndArgsCaller run (RuntimeInit java:567)_x000D_
  at com android internal os ZygoteInit main (ZygoteInit java:1133)_x000D_
   _x000D_
_x000D_
 details _x000D_
   summary Logs  summary _x000D_
_x000D_
    _x000D_
      Run your application with  flutter run   verbose  and attach all the_x000D_
      log output below between the lines with the backticks  If there is an_x000D_
      exception  please see if the error message includes enough information_x000D_
      to explain how to solve the issue _x000D_
   _x000D_
_x000D_
I can t reproduce the issue on my own devices or emulators  but the play console shows this backtrace _x000D_
   _x000D_
   _x000D_
_x000D_
    _x000D_
     Run  flutter analyze  and attach any output of that command below _x000D_
     If there are any analysis errors  try resolving them before filing this issue _x000D_
   _x000D_
The only analysis issues are to do with camel case conventions _x000D_
_x000D_
     Finally  paste the output of running  flutter doctor  v  here     _x000D_
_x000D_
   _x000D_
    Flutter (Channel stable  2 10 3  on Ubuntu 21 10 5 13 0 23 generic  locale en GB UTF 8)_x000D_
      Flutter version 2 10 3 at  home paul snap flutter common flutter_x000D_
      Upstream repository https:  github com flutter flutter git_x000D_
      Framework revision 7e9793dee1 (3 weeks ago)  2022 03 02 11:23:12  0600_x000D_
      Engine revision bd539267b4_x000D_
      Dart version 2 16 1_x000D_
      DevTools version 2 9 2_x000D_
_x000D_
    Android toolchain   develop for Android devices (Android SDK version 31 0 0)_x000D_
      Android SDK at  home paul Android Sdk_x000D_
      Platform android 31  build tools 31 0 0_x000D_
      Java binary at:  home paul android studio jre bin java_x000D_
      Java version OpenJDK Runtime Environment (build 11 0 10 0 b96 7249189)_x000D_
      All Android licenses accepted _x000D_
_x000D_
    Chrome   develop for the web_x000D_
      Chrome at google chrome_x000D_
_x000D_
    Linux toolchain   develop for Linux desktop_x000D_
      clang version 6 0 0 1ubuntu2 (tags RELEASE 600 final)_x000D_
      cmake version 3 10 2_x000D_
      ninja version 1 8 2_x000D_
      pkg config version 0 29 1_x000D_
_x000D_
    Android Studio (version 2020 3)_x000D_
      Android Studio at  home paul android studio_x000D_
      Flutter plugin version 60 1 2_x000D_
      Dart plugin version 203 8292_x000D_
      Java version OpenJDK Runtime Environment (build 11 0 10 0 b96 7249189)_x000D_
_x000D_
    VS Code (version 1 42 1)_x000D_
      VS Code at  usr share code_x000D_
      Flutter extension version 3 8 1_x000D_
_x000D_
    Connected device (3 available)_x000D_
      SM G935F (mobile)   9885b6493733464938   android arm64    Android 8 0 0 (API 26)_x000D_
      Linux (desktop)     linux                linux x64        Ubuntu 21 10 5 13 0 23 generic_x000D_
      Chrome (web)        chrome               web javascript   Google Chrome 99 0 4844 74_x000D_
_x000D_
    HTTP Host Availability_x000D_
      All required HTTP hosts are available_x000D_
_x000D_
  No issues found _x000D_
_x000D_
   _x000D_
_x000D_
  details _x000D_
</t>
  </si>
  <si>
    <t>ASE-Projekte-WS-2021-ase-ws-21-konferenzassistent-151</t>
  </si>
  <si>
    <t>Leeres Preset crasht App</t>
  </si>
  <si>
    <t>Wenn man dem Preset keinen Timer hinzuf gt dann crashed die App</t>
  </si>
  <si>
    <t>itsaky-AndroidIDE-134</t>
  </si>
  <si>
    <t>[BUG] Exception when InputConnection tries to get selected text</t>
  </si>
  <si>
    <t xml:space="preserve">AndroidIDE crash report_x000D_
Manufacturer: Xiaomi_x000D_
Device: Redmi8_x000D_
App version: 2 0 beta (200)_x000D_
_x000D_
 Stacktrace: _x000D_
java lang IllegalArgumentException: start   end_x000D_
	at io github rosemoe sora text Content subContentInternal(Content java:719)_x000D_
	at io github rosemoe sora text Content subSequence(Content java:192)_x000D_
	at io github rosemoe sora widget EditorInputConnection getTextRegionInternal(EditorInputConnection java:138)_x000D_
	at io github rosemoe sora widget EditorInputConnection getTextRegion(EditorInputConnection java:172)_x000D_
	at io github rosemoe sora widget EditorInputConnection getSelectedText(EditorInputConnection java:185)_x000D_
	at com android internal view IInputConnectionWrapper executeMessage(IInputConnectionWrapper java:284)_x000D_
	at com android internal view IInputConnectionWrapper MyHandler handleMessage(IInputConnectionWrapper java:89)_x000D_
	at android os Handler dispatchMessage(Handler java:107)_x000D_
	at android os Looper loop(Looper java:223)_x000D_
	at android app ActivityThread main(ActivityThread java:7562)_x000D_
	at java lang reflect Method invoke(Native Method)_x000D_
	at com android internal os RuntimeInit MethodAndArgsCaller run(RuntimeInit java:539)_x000D_
	at com android internal os ZygoteInit main(ZygoteInit java:950)_x000D_
</t>
  </si>
  <si>
    <t>nextcloud-android-9990</t>
  </si>
  <si>
    <t>RuntimeException when sharing PDF to Nextcloud app</t>
  </si>
  <si>
    <t xml:space="preserve">    Steps to reproduce_x000D_
0  I m not logged into Nextcloud Android _x000D_
1  Tried to share a PDF from Microsoft Lens with the Nextcloud app _x000D_
_x000D_
    Expected behaviour_x000D_
  The app opens and asks to sign in or shows me my folders to decide where to upload the PDF _x000D_
_x000D_
    Actual behaviour_x000D_
  A crash message appears _x000D_
   _x000D_
             CAUSE OF ERROR             _x000D_
_x000D_
java lang RuntimeException_x000D_
	at com owncloud android ui activities ActivitiesActivity  ExternalSyntheticLambda0 get(Unknown Source:2)_x000D_
	at com nextcloud java util Optional orElseThrow(Optional java:309)_x000D_
	at com owncloud android ui activity ReceiveExternalFilesActivity onSaveInstanceState(ReceiveExternalFilesActivity java:267)_x000D_
	at android app Activity performSaveInstanceState(Activity java:2037)_x000D_
	at android app Instrumentation callActivityOnSaveInstanceState(Instrumentation java:1621)_x000D_
	at android app ActivityThread callActivityOnSaveInstanceState(ActivityThread java:5422)_x000D_
	at android app ActivityThread callActivityOnStop(ActivityThread java:4748)_x000D_
	at android app ActivityThread performStopActivityInner(ActivityThread java:4712)_x000D_
	at android app ActivityThread handleStopActivity(ActivityThread java:4787)_x000D_
	at android app servertransaction StopActivityItem execute(StopActivityItem java:41)_x000D_
	at android app servertransaction TransactionExecutor executeLifecycleState(TransactionExecutor java:176)_x000D_
	at android app servertransaction TransactionExecutor execute(TransactionExecutor java:97)_x000D_
	at android app ActivityThread H handleMessage(ActivityThread java:2110)_x000D_
	at android os Handler dispatchMessage(Handler java:107)_x000D_
	at android os Looper loop(Looper java:214)_x000D_
	at android app ActivityThread main(ActivityThread java:7697)_x000D_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30190190_x000D_
Build flavor: generic_x000D_
_x000D_
             DEVICE INFORMATION             _x000D_
Brand: OnePlus_x000D_
Device: OnePlus5_x000D_
Model: ONEPLUS A5000_x000D_
Id: QKQ1 191014 012_x000D_
Product: OnePlus5_x000D_
_x000D_
             FIRMWARE             _x000D_
SDK: 29_x000D_
Release: 10_x000D_
Incremental: 2010292059_x000D_
 _x000D_
   _x000D_
_x000D_
    Can you reproduce this problem on https:  try nextcloud com _x000D_
No  the issue goes away once I m signed into any instance _x000D_
_x000D_
    Environment data_x000D_
Android version: 10_x000D_
_x000D_
Device model: OnePlus 5_x000D_
_x000D_
Stock or customized system: stock_x000D_
_x000D_
Nextcloud app version: 3 19 1_x000D_
_x000D_
Nextcloud server version: n a_x000D_
_x000D_
Reverse proxy: n a_x000D_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</si>
  <si>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PojavLauncherTeam-PojavLauncher-2943</t>
  </si>
  <si>
    <t>1.17.1 optifine crashes (somehow)</t>
  </si>
  <si>
    <t xml:space="preserve">    Describe the bug
Just crashes after 2 or 3 seconds of waiting 
    The log file and images videos
     Minecraft Crash Report     _x000D_
   This doesn t make any sense _x000D_
_x000D_
Time: 22  3  20     8:50_x000D_
Description: Initializing game_x000D_
_x000D_
java lang IllegalStateException: could not preload shader rendertype text_x000D_
	at enb a(GameRenderer java:464)_x000D_
	at enb a(GameRenderer java:450)_x000D_
	at dvp  init (SourceFile:617)_x000D_
	at net minecraft client main Main main(SourceFile:179)_x000D_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Caused by: wz: Invalid shaders core rendertype text json: Couldn t compile vertex program (minecraft:shaders core rendertype text vsh  rendertype text) : 0:26: S0001: Type mismatch in arithmetic operation between  ivec2  and  float _x000D_
	at wz a(SourceFile:48)_x000D_
	at ent  init (ShaderInstance java:222)_x000D_
	at ent  init (ShaderInstance java:100)_x000D_
	at enb a(GameRenderer java:458)_x000D_
	    9 more_x000D_
Caused by: java io IOException: Couldn t compile vertex program (minecraft:shaders core rendertype text vsh  rendertype text) : 0:26: S0001: Type mismatch in arithmetic operation between  ivec2  and  float _x000D_
	at dqa b(Program java:94)_x000D_
	at dqa a(Program java:55)_x000D_
	at ent a(ShaderInstance java:265)_x000D_
	at ent  init (ShaderInstance java:195)_x000D_
	    11 more_x000D_
_x000D_
_x000D_
A detailed walkthrough of the error  its code path and all known details is as follows:_x000D_
                                                                                       _x000D_
_x000D_
   Head   _x000D_
Thread: Render thread_x000D_
Stacktrace:_x000D_
	at enb a(GameRenderer java:464)_x000D_
	at enb a(GameRenderer java:450)_x000D_
	at dvp  init (SourceFile:617)_x000D_
_x000D_
   Initialization   _x000D_
Details:_x000D_
Stacktrace:_x000D_
	at net minecraft client main Main main(SourceFile:179)_x000D_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_x000D_
   System Details   _x000D_
Details:_x000D_
	Minecraft Version: 1 17 1_x000D_
	Minecraft Version ID: 1 17 1_x000D_
	Operating System: Linux (aarch64) version Android 11_x000D_
	Java Version: 17 internal  N A_x000D_
	Java VM Version: OpenJDK 64 Bit Server VM (mixed mode)  Oracle Corporation_x000D_
	Memory: 1255122688 bytes (1196 MiB)   1509949440 bytes (1440 MiB) up to 1509949440 bytes (1440 MiB)_x000D_
	CPUs: 8_x000D_
	Processor Vendor: 0x41_x000D_
	Processor Name: _x000D_
	Identifier: 0x41 Family 8 Model 0xd0d Stepping r0x1p0_x000D_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5565 66_x000D_
	Virtual memory used (MB): 6938 35_x000D_
	Swap memory total (MB): 3072 00_x000D_
	Swap memory used (MB): 2262 51_x000D_
	JVM Flags: 2 total   Xms1440M  Xmx1440M_x000D_
	Launched Version: 1 17 1_x000D_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Very likely  Jar signature invalidated_x000D_
	Type: Client (map client txt)_x000D_
	CPU: 8x _x000D_
	OptiFine Version: OptiFine 1 17 1 HD U H2 pre1_x000D_
	OptiFine Build: 20211104 233441_x000D_
	Render Distance Chunks: 4_x000D_
	Mipmaps: 0_x000D_
	Anisotropic Filtering: 1_x000D_
	Antialiasing: 0_x000D_
	Multitexture: false_x000D_
	Shaders: null_x000D_
	OpenGlVersion: 2 1 gl4es wrapper 1 1 5_x000D_
	OpenGlRenderer: GL4ES wrapper_x000D_
	OpenGlVendor: ptitSeb_x000D_
	CpuCount: 8
    Steps To Reproduce
   markdown
Install 1 17 1 vanila _x000D_
Install java runtime on pojava github_x000D_
Install optifine 1 17 1 (bata)_x000D_
Tap play_x000D_
Crash
    Expected Behavior
Just excited the game without error code
    Platform
   markdown
  Device model: samsung a51_x000D_
  CPU architecture: arm _x000D_
  Android version: 11_x000D_
  PojavLauncher version: the newest version on play store
    Anything else 
Pls fix</t>
  </si>
  <si>
    <t>Satya-Prakash0-media_player-2</t>
  </si>
  <si>
    <t xml:space="preserve">App gets crashed when first time eye detector mode permission is given </t>
  </si>
  <si>
    <t xml:space="preserve">   Solve the problem so that the app doesn t get crashed when the first time camera permission to the app </t>
  </si>
  <si>
    <t>doublesymmetry-react-native-track-player-1438</t>
  </si>
  <si>
    <t>When call `TrackPlayer.add` function, app always crash without any error log.</t>
  </si>
  <si>
    <t xml:space="preserve">  Describe the Bug  _x000D_
When call  TrackPlayer add  function  app always crash without any error log _x000D_
_x000D_
  Steps To Reproduce  _x000D_
How can someone else reproduce this bug _x000D_
_x000D_
_x000D_
  Environment Info:  _x000D_
Paste the results of  npx react native info _x000D_
   _x000D_
react native info_x000D_
info Fetching system and libraries information   _x000D_
(node:5941) Warning: Accessing non existent property  padLevels  of module exports inside circular dependency_x000D_
(Use  node   trace warnings      to show where the warning was created)_x000D_
System:_x000D_
    OS: macOS 12 2 1_x000D_
    CPU: (4) x64 Intel(R) Core(TM) i5 5257U CPU   2 70GHz_x000D_
    Memory: 28 21 MB   8 00 GB_x000D_
    Shell: 5 8    bin zsh_x000D_
  Binaries:_x000D_
    Node: 16 7 0      volta tools image node 16 7 0 bin node_x000D_
    Yarn: 3 0 1      volta tools image yarn 1 22 11 bin yarn_x000D_
    npm: 7 20 3      volta tools image node 16 7 0 bin npm_x000D_
    Watchman: 4 7 0    usr local bin watchman_x000D_
  Managers:_x000D_
    CocoaPods: 1 11 2    usr local bin pod_x000D_
  SDKs:_x000D_
    iOS SDK:_x000D_
      Platforms: DriverKit 21 2  iOS 15 2  macOS 12 1  tvOS 15 2  watchOS 8 3_x000D_
    Android SDK:_x000D_
      API Levels: 28  29  30  31_x000D_
      Build Tools: 28 0 3  29 0 2  30 0 2  30 0 3_x000D_
      System Images: android 29   Intel x86 Atom 64  android 29   Google APIs Intel x86 Atom_x000D_
      Android NDK: Not Found_x000D_
  IDEs:_x000D_
    Android Studio: 2021 1 AI 211 7628 21 2111 8139111_x000D_
    Xcode: 13 2 1 13C100    usr bin xcodebuild_x000D_
  Languages:_x000D_
    Java: 11 0 12    usr bin javac_x000D_
  npmPackages:_x000D_
     react native community cli: Not Found_x000D_
    react: 17 0 2    17 0 2_x000D_
    react native: 0 67 3    0 67 3_x000D_
    react native macos: Not Found_x000D_
  npmGlobalPackages:_x000D_
     react native : Not Found_x000D_
   _x000D_
Paste the exact  react native track player  version you are using_x000D_
_x000D_
 v2 2 0 rc2 _x000D_
_x000D_
Real device  Or simulator _x000D_
_x000D_
Real device _x000D_
_x000D_
What OS are you running _x000D_
_x000D_
Android XiaoMi Mix3  Android 10_x000D_
_x000D_
</t>
  </si>
  <si>
    <t>PojavLauncherTeam-PojavLauncher-2936</t>
  </si>
  <si>
    <t>[BUG] Can't Install Fabric On Latest Build Of PojavLauncher</t>
  </si>
  <si>
    <t xml:space="preserve">    Describe the bug
When i try to install fabric 1 16 4 it cannot show the install screen and it crash with code 1
    The log file and images videos
Can t install Fabric 1 16 4
    Steps To Reproduce
   markdown
1  Start Pojav launcher_x000D_
2  Select installer mod and select the fabric installer_x000D_
3  Crash
    Expected Behavior
Nope it crashes it self
    Platform
   markdown
  Device model: Vivo y50_x000D_
  CPU architecture: Aarch64 Arm64_x000D_
  Android version: 10_x000D_
  PojavLauncher version: latest Github Build
    Anything else 
Nope</t>
  </si>
  <si>
    <t>PojavLauncherTeam-PojavLauncher-2935</t>
  </si>
  <si>
    <t>[BUG] &lt;Fabric-Loader-1.18.1 cannot work&gt;</t>
  </si>
  <si>
    <t xml:space="preserve">    Describe the bug
Well pojav worked when running 1 18 1 original game but when I tried to run Fabric Loader 1 18 1 version  it showed Application Exited with code 1 
    The log file and images videos
 latestlog txt (https:  github com PojavLauncherTeam PojavLauncher files 8308936 latestlog txt)_x000D_
    Steps To Reproduce
   markdown
1 Enter Pojav and use INSTALL  JAR below_x000D_
2 Find fabric installer 0 10 2 jar(already checked not broken)and install fabric loader_x000D_
3 Return to Pojav and switch to fabric loader 1 18 1 version and run_x000D_
4 While using Java8 nothing is displayed except pojav buttons _x000D_
while using Java17 Application Exited with code 1 Changing the renderer does not work 
    Expected Behavior
fabric loader 1 18 1 version could work so that mods can be used
    Platform
   markdown
  Device model: Mi 10 8 128G_x000D_
  CPU architecture: aarch64_x000D_
  Android version: 10_x000D_
  PojavLauncher version: crocus 411 d1000c373 
    Anything else 
After pojav crashed  I found something in _x000D_
 storage emulated 0 Android data net kdt pojavlaunch debug files  minecraft versions fabric loader 0 13 3 1 18 1 _x000D_
  IMG 20220319 180718 (https:  user images githubusercontent com 90470484 159116879 a7029244 014e 42f9 80b7 bdf34e720a76 jpg)_x000D_
In this folder fabric loader 0 13 3 1 18 1 jar was broken and no matter how I changed the network condition to install the fabric loader(though I do not know whether loader needs to be downloaded or not) the jar was broken still _x000D_
So I was confused because I do not know where is wrong </t>
  </si>
  <si>
    <t>PojavLauncherTeam-PojavLauncher-2934</t>
  </si>
  <si>
    <t>[BUG] crashes when I load a world on 1.12.2 forge</t>
  </si>
  <si>
    <t xml:space="preserve">    Describe the bug
Crashes when I load up ourworld when I uses Forge with mods or no mods_x000D_
    The log file and images videos
 crash 2022 03 19 08 49 00 client txt (https:  github com PojavLauncherTeam PojavLauncher files 8308865 crash 2022 03 19 08 49 00 client txt)_x000D_
    Steps To Reproduce
   markdown
1  Start up 1 12 forge_x000D_
2  Load up a single player world
    Expected Behavior
Crash
    Platform
   markdown
  Device model: Oppo CPH 1920_x000D_
  CPU architecture: aarch64_x000D_
  Android version: 8 1 0_x000D_
  PojavLauncher version: Latest Version
    Anything else 
 No response </t>
  </si>
  <si>
    <t>ankidroid-Anki-Android-10584</t>
  </si>
  <si>
    <t>[Bug]Deck options can't be opened</t>
  </si>
  <si>
    <t xml:space="preserve">Thanks to developers 
       Reproduction Steps
Open deck options
  IMG 20220319 141431 jpg (https:  user images githubusercontent com 59798823 159109751 bdf6b4e3 57b2 4fb9 885b baca9faad436 jpg)
       Expected Result
Enter the options interface 
       Actual Result
Application crash draw a blank
  Screenshot 2022 03 19 14 08 38 307 com ichi2 anki jpg (https:  user images githubusercontent com 59798823 159109592 1b7594c4 5ccf 49d7 8c01 9b0f5114b898 jpg)
       Debug info
Refer to the  support page (https:  ankidroid org docs help html) if you are unsure where to get the  debug info  
AnkiDroid Version   2 16alpha52
Android Version   11
Manufacturer   Xiaomi
Model   M2006J10C
Hardware   mt6885
Webview User Agent   Mozilla 5 0 (Linux  Android 11  M2006J10C Build RP1A 200720 011  wv) AppleWebKit 537 36 (KHTML  like Gecko) Version 4 0 Chrome 94 0 4606 85 Mobile Safari 537 36
ACRA UUID   d5adc2a0 6850 49bd 8875 6882e5d740bf
Scheduler   std2
Crash Reports Enabled   true
DatabaseV2 Enabled   true
       Research
 Enter an  x  character to confirm the points below: 
   x  I have read the  support page (https:  ankidroid org docs help html) and am reporting a bug or enhancement request specific to AnkiDroid
   x  I have checked the  manual (https:  ankidroid org docs manual html) and the  FAQ (https:  github com ankidroid Anki Android wiki FAQ) and could not find a solution to my issue
   x  I have searched for similar existing issues here and on the user forum
   x  (Optional) I have confirmed the issue is not resolved in the latest alpha release ( instructions (https:  docs ankidroid org manual html betaTesting))
</t>
  </si>
  <si>
    <t>jMonkeyEngine-jmonkeyengine-1785</t>
  </si>
  <si>
    <t>RendererException in PBRTerrain.frag</t>
  </si>
  <si>
    <t xml:space="preserve">5th generation Mac Mini (Apple Silicon)_x000D_
OpenJDK 64 Bit Server VM Temurin 17 0 2 8 (build 17 0 2 8  mixed mode)_x000D_
JME v3 5 branch_x000D_
_x000D_
The  HelloMav  application crashes with the message is  ERROR:    0:1306: : syntax error: preprocessor command must not be preceded by any other statement in that line   Googling that message led me to https:  stackoverflow com questions 9574919 webgl differs from opengl preprocessor on same graphics stack_x000D_
_x000D_
My conclusion:  PBRTerrain frag  uses the      operator in 20  places  but that operator isn t supported in some versions of GLSL _x000D_
_x000D_
GitHub won t allow me to post the full console output  Here s a redacted version:_x000D_
_x000D_
   console_x000D_
Mar 18  2022 3:11:41 PM com jme3 renderer opengl GLRenderer updateShaderSourceData_x000D_
WARNING: Bad compile of:_x000D_
1        version 110_x000D_
2        define SRGB 1_x000D_
3        define FRAGMENT SHADER 1_x000D_
4        define TRI PLANAR MAPPING 1_x000D_
5        define ALBEDOMAP 0 1_x000D_
6        define ALBEDOMAP 1 1_x000D_
7        define ALBEDOMAP 2 1_x000D_
8        define ALBEDOMAP 3 1_x000D_
9        define ALBEDOMAP 4 1_x000D_
10       define ALBEDOMAP 5 1_x000D_
11       define ALBEDOMAP 6 1_x000D_
12       define ALPHAMAP 1_x000D_
13       define ALPHAMAP 1 1_x000D_
14       define ALBEDOMAP 0 SCALE 0 1_x000D_
15       define ALBEDOMAP 1 SCALE 0 05_x000D_
16       define ALBEDOMAP 2 SCALE 0 1_x000D_
17       define ALBEDOMAP 3 SCALE 0 1_x000D_
18       define ALBEDOMAP 4 SCALE 0 3_x000D_
19       define ALBEDOMAP 5 SCALE 0 1_x000D_
20       define ALBEDOMAP 6 SCALE 0 5_x000D_
21       define DEBUG VALUES MODE 0_x000D_
22       define SINGLE PASS LIGHTING 1_x000D_
23       define NB LIGHTS 3_x000D_
24       define NB PROBES 1_x000D_
25       define USE AMBIENT LIGHT 1_x000D_
26       extension GL ARB shader texture lod : enable_x000D_
27            begin import Common ShaderLib GLSLCompat glsllib   _x000D_
28       if defined GL ES_x000D_
   _x000D_
_x000D_
   _x000D_
_x000D_
   console_x000D_
1301         ifdef ALBEDOMAP 0   _x000D_
1302                          NOTE  the old (phong) terrain shaders do not have an   0  for the first diffuse map  it is just  DiffuseMap _x000D_
1303             ifdef NORMALMAP 0_x000D_
1304                BLEND NORMAL( 0   alphaBlend r)_x000D_
1305             else_x000D_
1306                BLEND( 0   alphaBlend r)_x000D_
1307             endif_x000D_
1308            _x000D_
1309         endif_x000D_
1310         ifdef ALBEDOMAP 1_x000D_
1311             ifdef NORMALMAP 1_x000D_
1312                BLEND NORMAL( 1   alphaBlend g)_x000D_
1313             else_x000D_
1314                BLEND( 1   alphaBlend g)_x000D_
1315             endif_x000D_
   _x000D_
_x000D_
   _x000D_
_x000D_
   console_x000D_
1934            _x000D_
1935         endif_x000D_
1936        _x000D_
1937        gl FragColor a   albedo a _x000D_
1938    _x000D_
1939     _x000D_
_x000D_
Mar 18  2022 3:11:41 PM com jme3 app LegacyApplication handleError_x000D_
SEVERE: Uncaught exception thrown in Thread jME3 Main 5 main _x000D_
com jme3 renderer RendererException: compile error in: ShaderSource name Common MatDefs Terrain PBRTerrain frag  defines  type Fragment  language GLSL100 _x000D_
ERROR: 0:1306:    : syntax error: preprocessor command must not be preceded by any other statement in that line_x000D_
ERROR: 0:1306:  premature EOF  : syntax error syntax error_x000D_
_x000D_
        at com jme3 renderer opengl GLRenderer updateShaderSourceData(GLRenderer java:1539)_x000D_
        at com jme3 renderer opengl GLRenderer updateShaderData(GLRenderer java:1566)_x000D_
        at com jme3 renderer opengl GLRenderer setShader(GLRenderer java:1631)_x000D_
        at com jme3 material logic SinglePassAndImageBasedLightingLogic render(SinglePassAndImageBasedLightingLogic java:276)_x000D_
        at com jme3 material Technique render(Technique java:167)_x000D_
        at com jme3 material Material render(Material java:1052)_x000D_
        at com jme3 renderer RenderManager renderGeometry(RenderManager java:651)_x000D_
        at com jme3 renderer queue RenderQueue renderGeometryList(RenderQueue java:273)_x000D_
        at com jme3 renderer queue RenderQueue renderQueue(RenderQueue java:312)_x000D_
        at com jme3 renderer RenderManager renderViewPortQueues(RenderManager java:928)_x000D_
        at com jme3 renderer RenderManager flushQueue(RenderManager java:823)_x000D_
        at com jme3 renderer RenderManager renderViewPort(RenderManager java:1184)_x000D_
        at com jme3 renderer RenderManager render(RenderManager java:1248)_x000D_
        at com jme3 app SimpleApplication update(SimpleApplication java:278)_x000D_
        at com jme3 system lwjgl LwjglWindow runLoop(LwjglWindow java:580)_x000D_
        at com jme3 system lwjgl LwjglWindow run(LwjglWindow java:669)_x000D_
        at com jme3 system lwjgl LwjglWindow create(LwjglWindow java:493)_x000D_
        at com jme3 app LegacyApplication start(LegacyApplication java:490)_x000D_
        at com jme3 app LegacyApplication start(LegacyApplication java:442)_x000D_
        at com jme3 app SimpleApplication start(SimpleApplication java:126)_x000D_
        at com jayfella jme vehicle simpledemo HelloMav main(HelloMav java:104)_x000D_
_x000D_
 JME ERROR  Uncaught exception thrown in Thread jME3 Main 5 main _x000D_
RendererException: compile error in: ShaderSource name Common MatDefs Terrain PBRTerrain frag  defines  type Fragment  language GLSL100 _x000D_
ERROR: 0:1306:    : syntax error: preprocessor command must not be preceded by any other statement in that line_x000D_
ERROR: 0:1306:  premature EOF  : syntax error syntax error_x000D_
   </t>
  </si>
  <si>
    <t>androidx-constraintlayout-546</t>
  </si>
  <si>
    <t xml:space="preserve">Updating fontSize crashes </t>
  </si>
  <si>
    <t xml:space="preserve">When building a collapsing toolbar with a Title that updates its fontSize as it is being dragged  the app crashes  _x000D_
Im using Compose v1 1 1  constraint v1 0 0_x000D_
Device: Samsung_x000D_
_x000D_
   _x000D_
java lang IllegalArgumentException: Failed requirement _x000D_
        at androidx compose ui node MeasureAndLayoutDelegate doRemeasure(MeasureAndLayoutDelegate kt:177)_x000D_
        at androidx compose ui node MeasureAndLayoutDelegate remeasureAndRelayoutIfNeeded(MeasureAndLayoutDelegate kt:228)_x000D_
        at androidx compose ui node MeasureAndLayoutDelegate access remeasureAndRelayoutIfNeeded(MeasureAndLayoutDelegate kt:38)_x000D_
        at androidx compose ui node MeasureAndLayoutDelegate measureAndLayout(MeasureAndLayoutDelegate kt:201)_x000D_
        at androidx compose ui platform AndroidComposeView measureAndLayout(AndroidComposeView android kt:662)_x000D_
        at androidx compose ui node Owner DefaultImpls measureAndLayout default(Owner kt:182)_x000D_
        at androidx compose ui platform AndroidComposeView dispatchDraw(AndroidComposeView android kt:846)_x000D_
        at android view View draw(View java:23896)_x000D_
        at android view View updateDisplayListIfDirty(View java:22762)_x000D_
        at android view ViewGroup recreateChildDisplayList(ViewGroup java:5339)_x000D_
        at android view ViewGroup dispatchGetDisplayList(ViewGroup java:5311)_x000D_
        at android view View updateDisplayListIfDirty(View java:22709)_x000D_
        at android view ViewGroup recreateChildDisplayList(ViewGroup java:5339)_x000D_
        at android view ViewGroup dispatchGetDisplayList(ViewGroup java:5311)_x000D_
        at android view View updateDisplayListIfDirty(View java:22709)_x000D_
        at android view ViewGroup recreateChildDisplayList(ViewGroup java:5339)_x000D_
        at android view ViewGroup dispatchGetDisplayList(ViewGroup java:5311)_x000D_
        at android view View updateDisplayListIfDirty(View java:22709)_x000D_
        at android view ViewGroup recreateChildDisplayList(ViewGroup java:5339)_x000D_
        at android view ViewGroup dispatchGetDisplayList(ViewGroup java:5311)_x000D_
        at android view View updateDisplayListIfDirty(View java:22709)_x000D_
        at android view ViewGroup recreateChildDisplayList(ViewGroup java:5339)_x000D_
        at android view ViewGroup dispatchGetDisplayList(ViewGroup java:5311)_x000D_
        at android view View updateDisplayListIfDirty(View java:22709)_x000D_
        at android view ViewGroup recreateChildDisplayList(ViewGroup java:5339)_x000D_
        at android view ViewGroup dispatchGetDisplayList(ViewGroup java:5311)_x000D_
        at android view View updateDisplayListIfDirty(View java:22709)_x000D_
        at android view ThreadedRenderer updateViewTreeDisplayList(ThreadedRenderer java:602)_x000D_
        at android view ThreadedRenderer updateRootDisplayList(ThreadedRenderer java:608)_x000D_
        at android view ThreadedRenderer draw(ThreadedRenderer java:684)_x000D_
        at android view ViewRootImpl draw(ViewRootImpl java:5307)_x000D_
        at android view ViewRootImpl performDraw(ViewRootImpl java:5015)_x000D_
        at android view ViewRootImpl performTraversals(ViewRootImpl java:4108)_x000D_
        at android view ViewRootImpl doTraversal(ViewRootImpl java:2833)_x000D_
        at android view ViewRootImpl TraversalRunnable run(ViewRootImpl java:10335)_x000D_
        at android view Choreographer CallbackRecord run(Choreographer java:1063)_x000D_
        at android view Choreographer doCallbacks(Choreographer java:845)_x000D_
        at android view Choreographer doFrame(Choreographer java:780)_x000D_
        at android view Choreographer FrameDisplayEventReceiver run(Choreographer java:1048)_x000D_
        at android os Handler handleCallback(Handler java:938)_x000D_
        at android os Handler dispatchMessage(Handler java:99)_x000D_
        at android os Looper loopOnce(Looper java:226)_x000D_
        at android os Looper loop(Looper java:313)_x000D_
        at android app ActivityThread main(ActivityThread java:8633)_x000D_
        at java lang reflect Method invoke(Native Method)_x000D_
        at com android internal os RuntimeInit MethodAndArgsCaller run(RuntimeInit java:567)_x000D_
        at com android internal os ZygoteInit main(ZygoteInit java:1135)_x000D_
   _x000D_
_x000D_
   Composable _x000D_
_x000D_
   _x000D_
 MotionLayout(_x000D_
        start   StartConstraintSet() _x000D_
        end   EndConstraintSet() _x000D_
        progress   progress _x000D_
        modifier   Modifier fillMaxWidth()_x000D_
    )  _x000D_
        Box(_x000D_
            modifier   Modifier_x000D_
                 layoutId( box )_x000D_
                 fillMaxWidth()_x000D_
                 background(Color Red copy( 5f))_x000D_
        )_x000D_
        Box(_x000D_
            modifier   Modifier_x000D_
                 layoutId( holderbox )_x000D_
                 fillMaxWidth()_x000D_
                 background(Color Magenta copy( 5f))_x000D_
        )_x000D_
_x000D_
        Text(_x000D_
            text    Title  _x000D_
            modifier   Modifier_x000D_
                 layoutId( title )_x000D_
                 background(Color Blue copy( 5f)) _x000D_
            color   Color White _x000D_
            fontSize   motionFontSize( title    fontSize )_x000D_
        )_x000D_
_x000D_
        Box(_x000D_
            modifier   Modifier_x000D_
                 layoutId( contentHolder )_x000D_
                 fillMaxSize()_x000D_
                 padding(bottom   56 dp)_x000D_
                 background(Color White copy( 5f))_x000D_
        )  _x000D_
            scrollableBody()_x000D_
         _x000D_
     _x000D_
   _x000D_
_x000D_
Start Constraint_x000D_
   _x000D_
 _x000D_
  box:  _x000D_
    width:  spread  _x000D_
    height: 168 _x000D_
    start:   parent    start   _x000D_
    end:   parent    end   _x000D_
    top:   parent    top  _x000D_
    _x000D_
  holderbox:  _x000D_
    width:  spread  _x000D_
    height: 56 _x000D_
    start:   parent    start   _x000D_
    end:   box    bottom   _x000D_
    top:   box    bottom  _x000D_
    _x000D_
  title:  _x000D_
    width:  spread  _x000D_
    start:   parent    start   0  _x000D_
    top:   holderbox    top   _x000D_
    bottom:   content    top   24  _x000D_
    custom:  _x000D_
      fontSize: 54 _x000D_
      padding: 0_x000D_
     _x000D_
    _x000D_
  contentHolder:  _x000D_
    width:  spread  _x000D_
    start:   parent    start   _x000D_
    end:   parent    end   _x000D_
    top:   holderbox    bottom   _x000D_
   _x000D_
 _x000D_
   _x000D_
_x000D_
End Constraint_x000D_
   _x000D_
 _x000D_
  box:  _x000D_
    height : 0 _x000D_
    start :   parent    start   _x000D_
    end :   parent    end   _x000D_
    top :   parent    top   _x000D_
    _x000D_
  holderbox:  _x000D_
    width :  spread  _x000D_
    height : 56 _x000D_
    start :   parent    start   _x000D_
    end :   box    bottom   _x000D_
    top :   box    bottom  _x000D_
    _x000D_
  title:  _x000D_
    width :  spread  _x000D_
    start:   parent    start   16  _x000D_
    top:   holderbox    top   _x000D_
    bottom:   content    top   0  _x000D_
    custom:  _x000D_
      fontSize: 24 _x000D_
      padding:16_x000D_
     _x000D_
    _x000D_
  contentHolder:  _x000D_
    width :  spread  _x000D_
    start:   parent    start   _x000D_
    end:   parent    end   _x000D_
    top:   holderbox    bottom   _x000D_
   _x000D_
  _x000D_
_x000D_
   _x000D_
</t>
  </si>
  <si>
    <t>k3b-ToGoZip-28</t>
  </si>
  <si>
    <t>Android10: Crash when item is directory via FileProvider (i.e. Material Files)</t>
  </si>
  <si>
    <t xml:space="preserve">When  share  contains a directory in the android app  Material Files (https:  github com zhanghai MaterialFiles ) ToGoZip crashes because it cannot resolve the directory _x000D_
_x000D_
togozip receives a share entry with mime type  vnd android document directory  and the underlying FileProvider does not support getting files from directories (see comment in  https:  stackoverflow com questions 48062097 how to open a directoryfolder in android using file provider )_x000D_
_x000D_
_x000D_
   _x000D_
2022 03 18 11:30:20 045 27876 27876 de k3b android toGoZip D k3b zip: Extras Stream  uri: adding file content:  me zhanghai android files file provider file 253A 252F 252F 252Fstorage 252Femulated 252F0 252FDCIM 252Fsdtest 252Fsd sub test_x000D_
2022 03 18 11:30:20 071 27876 27876 de k3b android toGoZip D k3b zip: Data file content uri content:  me zhanghai android files file provider file 253A 252F 252F 252Fstorage 252Femulated 252F0 252FDCIM 252Fsdtest 252Fsd sub test :  storage emulated 0 DCIM sdtest sd sub test_x000D_
2022 03 18 11:30:20 079 27876 27876 de k3b android toGoZip D k3b zip: (0) create new result file 2go zip tmp zip_x000D_
2022 03 18 11:30:21 064 27876 27876 de k3b android toGoZip D k3b zip: (1b) copy new item     DocumentFileCompressItem sd sub test  storage emulated 0 DCIM sdtest sd sub test content:  me zhanghai android files file provider file 253A 252F 252F 252Fstorage 252Femulated 252F0 252FDCIM 252Fsdtest 252Fsd sub test as sd sub test to 2go zip tmp zip_x000D_
2022 03 18 11:30:21 114 27876 27876 de k3b android toGoZip E k3b ziblib: Error in (1b) copy new item     DocumentFileCompressItem sd sub test  storage emulated 0 DCIM sdtest sd sub test content:  me zhanghai android files file provider file 253A 252F 252F 252Fstorage 252Femulated 252F0 252FDCIM 252Fsdtest 252Fsd sub test as sd sub test to 2go zip tmp zip:read failed: EISDIR (Is a directory)_x000D_
    java io IOException: read failed: EISDIR (Is a directory)_x000D_
        at libcore io IoBridge read(IoBridge java:523)_x000D_
        at java io FileInputStream read(FileInputStream java:313)_x000D_
        at android os ParcelFileDescriptor AutoCloseInputStream read(ParcelFileDescriptor java:975)_x000D_
        at java io FileInputStream read(FileInputStream java:282)_x000D_
        at android os ParcelFileDescriptor AutoCloseInputStream read(ParcelFileDescriptor java:966)_x000D_
        at de k3b io FileUtils copyStream(FileUtils java:79)_x000D_
        at de k3b zip CompressJob add(CompressJob java:664)_x000D_
        at de k3b zip CompressJob compress(CompressJob java:482)_x000D_
        at de k3b android toGoZip ToGoZipCompressJob executeAddToZip(ToGoZipCompressJob java:59)_x000D_
        at de k3b android toGoZip Add2ZipActivity executeZipJob(Add2ZipActivity java:94)_x000D_
        at de k3b android toGoZip Add2ZipActivity onCreate(Add2ZipActivity java:48)_x000D_
        at android app Activity performCreate(Activity java:7835)_x000D_
        at android app Activity performCreate(Activity java:7824)_x000D_
        at android app Instrumentation callActivityOnCreate(Instrumentation java:1307)_x000D_
        at android app ActivityThread performLaunchActivity(ActivityThread java:3298)_x000D_
        at android app ActivityThread handleLaunchActivity(ActivityThread java:3462)_x000D_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java:2063)_x000D_
        at android os Handler dispatchMessage(Handler java:107)_x000D_
        at android os Looper loop(Looper java:214)_x000D_
        at android app ActivityThread main(ActivityThread java:7615)_x000D_
        at java lang reflect Method invoke(Native Method)_x000D_
        at com android internal os RuntimeInit MethodAndArgsCaller run(RuntimeInit java:492)_x000D_
        at com android internal os ZygoteInit main(ZygoteInit java:964)_x000D_
     Caused by: android system ErrnoException: read failed: EISDIR (Is a directory)_x000D_
        at libcore io Linux readBytes(Native Method)_x000D_
        at libcore io Linux read(Linux java:190)_x000D_
        at libcore io ForwardingOs read(ForwardingOs java:177)_x000D_
        at libcore io BlockGuardOs read(BlockGuardOs java:303)_x000D_
        at libcore io ForwardingOs read(ForwardingOs java:177)_x000D_
        at libcore io IoBridge read(IoBridge java:513)_x000D_
        at java io FileInputStream read(FileInputStream java:313) _x000D_
        at android os ParcelFileDescriptor AutoCloseInputStream read(ParcelFileDescriptor java:975) _x000D_
        at java io FileInputStream read(FileInputStream java:282) _x000D_
        at android os ParcelFileDescriptor AutoCloseInputStream read(ParcelFileDescriptor java:966) _x000D_
        at de k3b io FileUtils copyStream(FileUtils java:79) _x000D_
        at de k3b zip CompressJob add(CompressJob java:664) _x000D_
        at de k3b zip CompressJob compress(CompressJob java:482) _x000D_
        at de k3b android toGoZip ToGoZipCompressJob executeAddToZip(ToGoZipCompressJob java:59) _x000D_
        at de k3b android toGoZip Add2ZipActivity executeZipJob(Add2ZipActivity java:94) _x000D_
        at de k3b android toGoZip Add2ZipActivity onCreate(Add2ZipActivity java:48) _x000D_
        at android app Activity performCreate(Activity java:7835) _x000D_
        at android app Activity performCreate(Activity java:7824) _x000D_
        at android app Instrumentation callActivityOnCreate(Instrumentation java:1307) _x000D_
        at android app ActivityThread performLaunchActivity(ActivityThread java:3298) _x000D_
        at android app ActivityThread handleLaunchActivity(ActivityThread java:3462) _x000D_
        at android app servertransaction LaunchActivityItem execute(LaunchActivityItem java:83) _x000D_
        at android app servertransaction TransactionExecutor executeCallbacks(TransactionExecutor java:135) _x000D_
        at android app servertransaction TransactionExecutor execute(TransactionExecutor java:95) _x000D_
        at android app ActivityThread H handleMessage(ActivityThread java:2063) _x000D_
        at android os Handler dispatchMessage(Handler java:107) _x000D_
        at android os Looper loop(Looper java:214) _x000D_
        at android app ActivityThread main(ActivityThread java:7615) _x000D_
        at java lang reflect Method invoke(Native Method) _x000D_
        at com android internal os RuntimeInit MethodAndArgsCaller run(RuntimeInit java:492) _x000D_
        at com android internal os ZygoteInit main(ZygoteInit java:964) _x000D_
2022 03 18 11:30:21 115 27876 27876 de k3b android toGoZip D k3b zip: (5b) free resources_x000D_
_x000D_
   </t>
  </si>
  <si>
    <t>PojavLauncherTeam-PojavLauncher-2926</t>
  </si>
  <si>
    <t>1.18 optifine install crash</t>
  </si>
  <si>
    <t xml:space="preserve">    Describe the bug_x000D_
_x000D_
I downloaded 1 18 and 1 18 1 optifine install jar on the official page_x000D_
I downloaded 1 18 and 1 18 1 (vanilla) on pojava and tried to install optifine but crashed_x000D_
_x000D_
    The log file and images videos_x000D_
_x000D_
 _x000D_
_x000D_
    Steps To Reproduce_x000D_
_x000D_
   markdown_x000D_
1 Install 1 18 and 1 18 1 on pojava (vanila)_x000D_
2 install optifine 1 18 and 1 18 1 install jar_x000D_
3 goto pojava and hit settings_x000D_
3 1 hit mod installer (or somthing)_x000D_
4 select 1 18 optifine jar_x000D_
5 get the error_x000D_
   _x000D_
_x000D_
_x000D_
    Expected Behavior_x000D_
_x000D_
After selecting the 1 18 optifine install jar_x000D_
The game crashed with no error code_x000D_
_x000D_
_x000D_
    Platform_x000D_
_x000D_
   markdown_x000D_
  Device model: samsung a51_x000D_
  CPU architecture: arm_x000D_
  Android version: 11_x000D_
  PojavLauncher version: 3 3 1 1_x000D_
   _x000D_
_x000D_
_x000D_
    Anything else _x000D_
_x000D_
Oh and 1 17 and 1 17 1 _x000D_
I can t seem to put on resource packs</t>
  </si>
  <si>
    <t>PojavLauncherTeam-PojavLauncher-2925</t>
  </si>
  <si>
    <t>The control map</t>
  </si>
  <si>
    <t xml:space="preserve">    Describe the bug
net objecthunter exp4j tokenizer UnknownFunctionOrVariableException: Unknown function or variable  px  at pos 23 in expression  0 0040983604   2312   (px(58 0)   100 0     preferred scale )   4   (px(58 0)   100 0     preferred scale )   4   (px(58 0)   100 0     preferred scale )   4   (px(58 0)   100 0     preferred scale )   4   (px(58 0)   100 0     preferred scale )   4   (px(58 0)   100 0     preferred scale )   4   (px(58 0)   100 0     preferred scale )   4 _x000D_
	at net objecthunter exp4j tokenizer Tokenizer parseFunctionOrVariable(Tokenizer java:177)_x000D_
	at net objecthunter exp4j tokenizer Tokenizer nextToken(Tokenizer java:116)_x000D_
	at net objecthunter exp4j shuntingyard ShuntingYard convertToRPN(ShuntingYard java:46)_x000D_
	at net objecthunter exp4j ExpressionBuilder build(ExpressionBuilder java:188)_x000D_
	at net kdt pojavlaunch customcontrols ControlData calculate(ControlData java:187)_x000D_
	at net kdt pojavlaunch customcontrols ControlData insertDynamicPos(ControlData java:166)_x000D_
	at net kdt pojavlaunch customcontrols ControlData update(ControlData java:182)_x000D_
	at net kdt pojavlaunch customcontrols ControlLayout loadLayout(ControlLayout java:56)_x000D_
	at net kdt pojavlaunch customcontrols ControlLayout loadLayout(ControlLayout java:37)_x000D_
	at net kdt pojavlaunch CustomControlsActivity loadControl(CustomControlsActivity java:199)_x000D_
	at net kdt pojavlaunch CustomControlsActivity access 900(CustomControlsActivity java:21)_x000D_
	at net kdt pojavlaunch CustomControlsActivity 5 onFileSelected(CustomControlsActivity java:189)_x000D_
	at com kdt pickafile FileListView listFileAt(FileListView java:144)_x000D_
	at com kdt pickafile FileListView 1 onItemClick(FileListView java:76)_x000D_
	at android widget AdapterView performItemClick(AdapterView java:376)_x000D_
	at android widget AbsListView performItemClick(AbsListView java:1295)_x000D_
	at android widget AbsListView PerformClick run(AbsListView java:3539)_x000D_
	at android widget AbsListView 3 run(AbsListView java:4642)_x000D_
	at android os Handler handleCallback(Handler java:938)_x000D_
	at android os Handler dispatchMessage(Handler java:99)_x000D_
	at android os Looper loop(Looper java:246)_x000D_
	at android app ActivityThread main(ActivityThread java:8653)_x000D_
	at java lang reflect Method invoke(Native Method)_x000D_
	at com android internal os RuntimeInit MethodAndArgsCaller run(RuntimeInit java:602)_x000D_
	at com android internal os ZygoteInit main(ZygoteInit java:1130)_x000D_
    The log file and images videos
_x000D_
https:  user images githubusercontent com 101863253 158963650 e285a377 fe35 4238 973b c4b7934e9538 mp4_x000D_
_x000D_
Showcase 
    Steps To Reproduce
   markdown
1 start pojava _x000D_
2 tap on settings _x000D_
3 tap control map_x000D_
4 load a control map under 3 3 1 1ver_x000D_
5 crash
    Expected Behavior
Idk what to write _x000D_
_x000D_
Uploading Screen Recording 20220318 172246 PojavLauncher (Minecraft Java Edition for Android) mp4 _x000D_
_x000D_
    Platform
   markdown
  Device model: samsung a 51_x000D_
  CPU architecture: arm_x000D_
  Android version: 11_x000D_
  PojavLauncher version: 3 3 1 1 rel:20220125
    Anything else 
I hope u fix it</t>
  </si>
  <si>
    <t>Rosemoe-sora-editor-158</t>
  </si>
  <si>
    <t>On copying texts it gives IndexOutOfBoundsException error</t>
  </si>
  <si>
    <t>In the latest update of AndroidIDE (which is based on Sora editor) on copying texts the editor gives IndexOutOfBoundsException error  _x000D_
_x000D_
_x000D_
AndroidIDE crash report_x000D_
Manufacturer: Xiaomi_x000D_
Device: M2102J20SI_x000D_
App version: 2 0 beta (200)_x000D_
_x000D_
 Stacktrace: _x000D_
java lang IndexOutOfBoundsException: start 0  end 69  s length() 63_x000D_
	at java lang AbstractStringBuilder append(AbstractStringBuilder java:539)_x000D_
	at java lang StringBuilder append(StringBuilder java:176)_x000D_
	at io github rosemoe sora text Content deleteInternal(Content java:494)_x000D_
	at io github rosemoe sora text Content delete(Content java:407)_x000D_
	at io github rosemoe sora widget CodeEditor deleteText(CodeEditor java:1567)_x000D_
	at io github rosemoe sora widget CodeEditor cutText(CodeEditor java:2806)_x000D_
	at com itsaky androidide views editor IDEEditor performTextAction(IDEEditor java:857)_x000D_
	at com itsaky androidide views editor EditorTextActionWindow performTextAction(EditorTextActionWindow java:242)_x000D_
	at com itsaky androidide views editor EditorTextActionWindow  r8 lambda 1a97XtgRzFmV8POkyslZz1lSeNs(Unknown Source:0)_x000D_
	at com itsaky androidide views editor EditorTextActionWindow  ExternalSyntheticLambda4 accept(Unknown Source:4)_x000D_
	at com itsaky androidide adapters TextActionItemAdapter lambda onBindViewHolder 0 com itsaky androidide adapters TextActionItemAdapter(TextActionItemAdapter java:88)_x000D_
	at com itsaky androidide adapters TextActionItemAdapter  ExternalSyntheticLambda0 onClick(Unknown Source:4)_x000D_
	at android view View performClick(View java:7509)_x000D_
	at com google android material button MaterialButton performClick(MaterialButton java:1131)_x000D_
	at android view View performClickInternal(View java:7486)_x000D_
	at android view View access 3600(View java:841)_x000D_
	at android view View PerformClick run(View java:28710)_x000D_
	at android os Handler handleCallback(Handler java:938)_x000D_
	at android os Handler dispatchMessage(Handler java:99)_x000D_
	at android os Looper loop(Looper java:236)_x000D_
	at android app ActivityThread main(ActivityThread java:8056)_x000D_
	at java lang reflect Method invoke(Native Method)_x000D_
	at com android internal os RuntimeInit MethodAndArgsCaller run(RuntimeInit java:656)_x000D_
	at com android internal os ZygoteInit main(ZygoteInit java:967)</t>
  </si>
  <si>
    <t>PojavLauncherTeam-PojavLauncher-2922</t>
  </si>
  <si>
    <t>Microsoft account login option doesn't work, Game Crash related to popup for login option</t>
  </si>
  <si>
    <t xml:space="preserve">    Describe the bug
Microsoft login Error:_x000D_
It doesn t load  returns the following error: _x000D_
net::ERR NAME NOT RESOLVED_x000D_
This is consistant  and always happens for me  I m using the latest play store version by the way  I m using a Galaxy Tablet A7 Lite if that helps at all  _x000D_
  Screenshot 20220317 173222 PojavLauncher (Minecraft Java Edition for Android) (https:  user images githubusercontent com 101845050 158916078 74e3d44d 3679 4b54 a8f2 ebd07f61d0bf jpg)_x000D_
    The log file and images videos
Log Generation Storage Permissions issue:_x000D_
The application cannot generate a log without storage permissions  yet those are not requested and there isn t an option to allow for storage either 
    Steps To Reproduce
   markdown
Microsoft Login Option Issue_x000D_
1  Start Pojavlauncher_x000D_
2  Click Microsoft Login_x000D_
3  Allow popup gui to load_x000D_
4  Popup fails to load and returns the error specified earlier _x000D_
_x000D_
Storage issue_x000D_
If exiting popup after failed load or during loading  the application will crash  causing an error to occur 
    Expected Behavior
I expected the Microsoft login page to load  yet it did not _x000D_
    Platform
   markdown
  Device model: Samsung Galaxy Tablet A7 Lite_x000D_
  CPU architecture: ARM 64 bit_x000D_
  Android version: Android 11_x000D_
  PojavLauncher version: crocus v3 openjdk
    Anything else 
It s been a problem for my home network before  and if it isn t devices  I d love some insight into why this is happening  Thank you for your time </t>
  </si>
  <si>
    <t>Anuken-Mindustry-6645</t>
  </si>
  <si>
    <t>polygonal borders crash when no cores are on the map</t>
  </si>
  <si>
    <t xml:space="preserve">  Platform  : Android 10  also tested on Linux x64_x000D_
_x000D_
  Build  : 135_x000D_
_x000D_
  Issue  : which team s space should fill a voronoi diagram with no nodes on it  the answer is an arrayindexoutofbounds exception  because you need at least one core to tell_x000D_
_x000D_
  Steps to reproduce  : _x000D_
1  go into editor_x000D_
2  turn on polygonal no build radius_x000D_
3  test ingame_x000D_
4  ( ) select a block_x000D_
_x000D_
  (Crash) logs  :_x000D_
   _x000D_
Mindustry has crashed  How unfortunate _x000D_
Version: pre alpha build 135_x000D_
OS: Linux xnull (aarch64)_x000D_
Java Version: 0_x000D_
Mods: cliff:1 1 0  dev mode:2 3 2  ldb:1 3 3  override lib:1 0 1  pictologic:1 5 7  rtfm:2 15 0  test utils:0 11  ui lib:2 16 6  unit factory:2 5 0_x000D_
_x000D_
  ArrayIndexOutOfBounds:  length 0  index 0 _x000D_
Voronoi generateVoronoi: 45_x000D_
Voronoi generate: 33_x000D_
OverlayRenderer updateCoreEdges: 61_x000D_
OverlayRenderer drawTop: 161_x000D_
Renderer  ExternalSyntheticLambda21 run: 2_x000D_
SortedSpriteBatch flushRequests: 117_x000D_
SortedSpriteBatch flush: 97_x000D_
Draw flush: 362_x000D_
Renderer draw: 323_x000D_
Renderer update: 183_x000D_
ApplicationCore update: 37_x000D_
ClientLauncher update: 177_x000D_
AndroidGraphics onDrawFrame: 374_x000D_
GLSurfaceView GLThread guardedRun: 1591_x000D_
GLSurfaceView GLThread run: 1286_x000D_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</si>
  <si>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Rapsssito-react-native-tcp-socket-145</t>
  </si>
  <si>
    <t>Getting TCP Client Receives a Non-Integer</t>
  </si>
  <si>
    <t xml:space="preserve">   Getting TCP Client Receives a Non Integer_x000D_
_x000D_
I m getting a significant in uptick of ANRs  relating to  getTcpClient(cid)  where  cid  is not an integer:_x000D_
_x000D_
   _x000D_
java lang IllegalArgumentException: _x000D_
  at com asterinet react tcpsocket TcpSocketModule getTcpClient (TcpSocketModule java:251)_x000D_
  at com asterinet react tcpsocket TcpSocketModule access 700 (TcpSocketModule java:28)_x000D_
  at com asterinet react tcpsocket TcpSocketModule 2 run (TcpSocketModule java:106)_x000D_
  at java util concurrent ThreadPoolExecutor runWorker (ThreadPoolExecutor java:1167)_x000D_
  at java util concurrent ThreadPoolExecutor Worker run (ThreadPoolExecutor java:641)_x000D_
  at java lang Thread run (Thread java:923)_x000D_
   _x000D_
_x000D_
   Current behavior_x000D_
It appears that the  cid  passed to  getTcpClient()  in  TcpSocketModule java  when calling  end()  is not an integer  The JS side internally manages the   id  and therefore at some point the   id  is a non integer triggering an exception when this package passes the   id  to the  end()  or  destroy()  method as a  cid   Seems to be occuring since upgrading from  4 x  to  5 x _x000D_
_x000D_
   Expected behavior_x000D_
_x000D_
Only way for that to happen is for the JS to lose a reference or reset the internal   id  reference and pass it over the bridge  The bridge should protect against such errant calls as a noop to avoid the crash  _x000D_
_x000D_
   Relevant information_x000D_
                     _x000D_
                     _x000D_
  OS    Android 10 12  _x000D_
  react native    0 66 4    _x000D_
  react native tcp socket     5 5 0   _x000D_
</t>
  </si>
  <si>
    <t>k9mail-k-9-5968</t>
  </si>
  <si>
    <t>Crash when syncing and moving a mail from inbox to a folder</t>
  </si>
  <si>
    <t xml:space="preserve">    Checklist
   X  I have used the search function to see if someone else has already submitted the same bug report 
   X  I will describe the problem with as much detail as possible 
    App version
5 912
    Where did you get the app from 
F Droid
    Android version
LineageOS 18 1
    Device model
Samsung Galaxy S5
    Steps to reproduce
Not sure if it will reproduce for sure the issue  but here is what I have done : _x000D_
  Sync my inbox mails_x000D_
  When syncing  I moved a mail from inbox to a folder
    Expected behavior
No crash 
    Actual behavior
The app crashes 
    Logs
   _x000D_
_x000D_
03 17 13:03:45 914 I com fsck k9(32255): Background young concurrent copying GC freed 129771(6557KB) AllocSpace objects  12(240KB) LOS objects  34  free  10MB 16MB  paused 3 001ms total 279 761ms_x000D_
          beginning of crash_x000D_
03 17 13:03:45 922 E AndroidRuntime(32255): FATAL EXCEPTION: pool 4 thread 2_x000D_
03 17 13:03:45 922 E AndroidRuntime(32255): Process: com fsck k9  PID: 32255_x000D_
03 17 13:03:45 922 E AndroidRuntime(32255): kotlinx coroutines JobCancellationException: StandaloneCoroutine was cancelled  job StandaloneCoroutine Cancelling  269972d_x000D_
03 17 13:03:45 923 D NotificationService(780): 0 com fsck k9 9 null 10094: granting content:  media internal audio media 497 title Adara canonical 1_x000D_
03 17 13:03:45 951 V chatty  (780): uid 1000 system server identical 2 lines_x000D_
03 17 13:03:45 966 D NotificationService(780): 0 com fsck k9 9 null 10094: granting content:  media internal audio media 497 title Adara canonical 1_x000D_
03 17 13:03:45 975 W NotificationHistory(780): Attempted to add notif for locked gone disabled user 0_x000D_
03 17 13:03:46 298 I DropBoxManagerService(780): add tag data app crash isTagEnabled true flags 0x2_x000D_
03 17 13:03:46 319 W ActivityTaskManager(780):   Force finishing activity com fsck k9  activity MessageList_x000D_
03 17 13:03:46 440 D ConnectivityService(780): requestNetwork for uid pid:10094 32255 NetworkRequest   TRACK DEFAULT id 1259    Capabilities: INTERNET NOT RESTRICTED TRUSTED Uid: 10094 AdministratorUids:    RequestorUid: 10094 RequestorPackageName: com fsck k9   _x000D_
03 17 13:03:46 440 D ConnectivityService(780): NetReassign  1259 : null   113 _x000D_
03 17 13:03:46 441 D Ethernet(780): got request NetworkRequest   TRACK DEFAULT id 1259    Capabilities: INTERNET NOT RESTRICTED TRUSTED Uid: 10094 AdministratorUids:    RequestorUid: 10094 RequestorPackageName: com fsck k9    with score 50 and providerId 3_x000D_
03 17 13:03:46 441 D WifiNetworkFactory(780): got request NetworkRequest   TRACK DEFAULT id 1259    Capabilities: INTERNET NOT RESTRICTED TRUSTED Uid: 10094 AdministratorUids:    RequestorUid: 10094 RequestorPackageName: com fsck k9    with score 50 and providerId 3_x000D_
03 17 13:03:46 441 D UntrustedWifiNetworkFactory(780): got request NetworkRequest   TRACK DEFAULT id 1259    Capabilities: INTERNET NOT RESTRICTED TRUSTED Uid: 10094 AdministratorUids:    RequestorUid: 10094 RequestorPackageName: com fsck k9    with score 50 and providerId 3_x000D_
03 17 13:03:46 442 D PhoneSwitcherNetworkRequstListener(1135): got request NetworkRequest   TRACK DEFAULT id 1259    Capabilities: INTERNET NOT RESTRICTED TRUSTED Uid: 10094 AdministratorUids:    RequestorUid: 10094 RequestorPackageName: com fsck k9    with score 50 and providerId 3_x000D_
   </t>
  </si>
  <si>
    <t>dedis-popstellar-881</t>
  </si>
  <si>
    <t>[BUG] Trying to display toast on non-ui thread makes the app crash</t>
  </si>
  <si>
    <t xml:space="preserve">    Description (Actual behavior)_x000D_
When trying to launch an LAO without a backend running  the app crashes a few seconds after pressing the launch button_x000D_
_x000D_
    Expected behavior_x000D_
When trying to launch an Lao with no server running one would expect the app of displaying an error and continue functioning normally_x000D_
_x000D_
    How to reproduce_x000D_
1  Go to  Launch _x000D_
2  Click on the EditText with hint   Organization name _x000D_
3  Fill text with anything_x000D_
4  Click on  Launch  below_x000D_
6  See error : app crash_x000D_
_x000D_
    Version   Environment_x000D_
This bug was reproduced on: master_x000D_
  Commit: 4c032f8531b75dbaf1f9358ca02abec24c3a1b8f_x000D_
_x000D_
      Front ends:_x000D_
      Fe1 Web (please include browser s names   version)_x000D_
   x  Fe2 Android (emulator  API 30)_x000D_
      Not applicable_x000D_
_x000D_
      Back ends:_x000D_
      Be1 Go_x000D_
      Be2 Scala_x000D_
   x  Not applicable_x000D_
_x000D_
      Environment (as applicable):_x000D_
   Device:  Pixel 5 and Pixel 4a emulators _x000D_
   OS:  Windows 10 _x000D_
   _x000D_
    Workaround_x000D_
Not getting an error message displayed as a callback  In the case it was discovered  having a running server avoids making the app crash on pressing the launching button for Lao creation_x000D_
_x000D_
    Impact_x000D_
The app crashes when we try to inform the user via toast using a callback  function  The app can be restarted without consequences _x000D_
_x000D_
    Possible root cause_x000D_
The problem is that the displaying of toasts must be made on the UI thread  By waiting for a 5 seconds connection delay  and using a callback to display the toast in case of error  the callback code is executed by another thread  This causes a crash at least  each time the  logAndShow()  function of the  ErrorUtils  class is used _x000D_
</t>
  </si>
  <si>
    <t>TeamNewPipe-NewPipe-8060</t>
  </si>
  <si>
    <t>SQLiteException: too many SQL variables</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</si>
  <si>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1
    Steps to reproduce the bug
1  Open NewPipe_x000D_
2 Go to any video on recommentation or either search results_x000D_
3  Click on Download button_x000D_
5  Click OK
    Expected behavior
Will download the video 
    Actual behavior
Freezed the entire UI for 5 seconds and then crashed 
    Screenshots Screen recordings
 No response 
    Logs
   Exception_x000D_
    User Action:   ui error_x000D_
    Request:   ACRA report_x000D_
    Content Country:   RO_x000D_
    Content Language:   ro RO_x000D_
    App Language:   ro RO_x000D_
    Service:   none_x000D_
    Version:   0 22 1_x000D_
    OS:   Linux Android 10   29_x000D_
 details  summary  b Crash log   b   summary  p _x000D_
_x000D_
   _x000D_
android database sqlite SQLiteException: too many SQL variables (code 1 SQLITE ERROR 1 ):   while compiling: SELECT instance id  duration  description  orientation  height  is drm  bucket display name  owner package name  volume name  date modified  date expires   display name  datetaken  mime type  referer uri   id   data   hash   size  title  width  is trashed  group id  document id  is pending  date added  download uri  primary directory  secondary directory  original document id  bucket id  relative path FROM downloads WHERE ((is pending 0) AND (is trashed 0) AND (volume name IN (  external primary     6461 6262  ))) AND ( data NOT IN (                                                                                                                                                                                                                                                                                                                                                                                                                                                                                                                                                                                                                                                                                                                                                                                                                                                                                                                                                                                                                                                                                                                                                                                                                                                                                                                                                                                                                                                                                                                                                                                                                                                                                                                                                                                                                                                                                                                                                                                                                                                                                                                                                                                                                                                                                                                                                                                                                                                                                                                                                                                                                                                                                                                                                                                                                                                                                                                                                                                                                                                                                                                                                                                                                                                                                                                                                                                                                                                                                                                                                                                                                                                                                                                                                                                                                                                                                                                                                                                                                                                                                                                                                                                                                                                                                                                                                                                                                                                                                                                                                                                                                                                                                                                                                                                                                                                                                                                                                                                                                                                                                                                                                                                                                                                                                                                                                                                                                                                                                                                                                                                                                                                                                                                                                                                                                                                                                                                                                                                                                                                                                                                                                                                                                                                                                                                                                                                                                                                                                                                                                                                                                                                                                                                                                                                                                                                                                                                                                                                                                                                                                                                                                                                                                                                                                                                                                                                                                                                                                                                                                                                                                                                                                                                                                                                                                                                                                                                                                                                                                                                                                                                                                                                                                                                                                                                                                                                                                                                                                                                                                                                                                                                                                                                                                                                                                                                                                                                                                                                                                                                                                                                                                                                                                                                                                                                                                                                                                                                                                                                                                                                                                                                                                                                                                                                                 ) AND relative path  )_x000D_
	at android database DatabaseUtils readExceptionFromParcel(DatabaseUtils java:184)_x000D_
	at android database DatabaseUtils readExceptionFromParcel(DatabaseUtils java:140)_x000D_
	at android content ContentProviderProxy query(ContentProviderNative java:423)_x000D_
	at android content ContentResolver query(ContentResolver java:951)_x000D_
	at android content ContentResolver query(ContentResolver java:887)_x000D_
	at android content ContentResolver query(ContentResolver java:843)_x000D_
	at org schabi newpipe streams io StoredDirectoryHelper findFileSAFHelper(StoredDirectoryHelper java:302)_x000D_
	at org schabi newpipe streams io StoredDirectoryHelper findFile(StoredDirectoryHelper java:218)_x000D_
	at org schabi newpipe download DownloadDialog prepareSelectedDownload(DownloadDialog java:786)_x000D_
	at org schabi newpipe download DownloadDialog lambda initToolbar 1(DownloadDialog java:360)_x000D_
	at org schabi newpipe download DownloadDialog  r8 lambda QfMS FoXWFjSoHiNV7JREecQBWg(Unknown Source:0)_x000D_
	at org schabi newpipe download DownloadDialog  ExternalSyntheticLambda6 onMenuItemClick(Unknown Source:2)_x000D_
	at androidx appcompat widget Toolbar 1 onMenuItemClick(Toolbar java:208)_x000D_
	at androidx appcompat widget ActionMenuView MenuBuilderCallback onMenuItemSelected(ActionMenuView java:780)_x000D_
	at androidx appcompat view menu MenuBuilder dispatchMenuItemSelected(MenuBuilder java:834)_x000D_
	at androidx appcompat view menu MenuItemImpl invoke(MenuItemImpl java:158)_x000D_
	at androidx appcompat view menu MenuBuilder performItemAction(MenuBuilder java:985)_x000D_
	at androidx appcompat view menu MenuBuilder performItemAction(MenuBuilder java:975)_x000D_
	at androidx appcompat widget ActionMenuView invokeItem(ActionMenuView java:624)_x000D_
	at androidx appcompat view menu ActionMenuItemView onClick(ActionMenuItemView java:151)_x000D_
	at android view View performClick(View java:7870)_x000D_
	at android widget TextView performClick(TextView java:14970)_x000D_
	at android view View performClickInternal(View java:7839)_x000D_
	at android view View access 3600(View java:886)_x000D_
	at android view View PerformClick run(View java:29363)_x000D_
	at android os Handler handleCallback(Handler java:883)_x000D_
	at android os Handler dispatchMessage(Handler java:100)_x000D_
	at android os Looper loop(Looper java:237)_x000D_
	at android app ActivityThread main(ActivityThread java:7860)_x000D_
	at java lang reflect Method invoke(Native Method)_x000D_
	at com android internal os RuntimeInit MethodAndArgsCaller run(RuntimeInit java:493)_x000D_
	at com android internal os ZygoteInit main(ZygoteInit java:1075)_x000D_
_x000D_
   _x000D_
  details _x000D_
 hr _x000D_
    Affected Android Custom ROM version
Android 10
    Affected device model
Samsung Galaxy A40
    Additional information
I followed the previousy issues  but I unable to find the solution if my database is corrupted or so  I already selected the correct folder (default to Downloads which does exist)_x000D_
</t>
  </si>
  <si>
    <t>itsaky-AndroidIDE-126</t>
  </si>
  <si>
    <t>[BUG] On copying texts it gives IndexOutOfBoundsException error</t>
  </si>
  <si>
    <t xml:space="preserve">  Describe the bug  _x000D_
In the latest update of AndroidIDE on copying texts the editor gives IndexOutOfBoundsException error  it happened with me today 3 4 times _x000D_
_x000D_
   _x000D_
AndroidIDE crash report_x000D_
Manufacturer: Xiaomi_x000D_
Device: M2102J20SI_x000D_
App version: 2 0 beta (200)_x000D_
_x000D_
 Stacktrace: _x000D_
java lang IndexOutOfBoundsException: start 0  end 69  s length() 63_x000D_
	at java lang AbstractStringBuilder append(AbstractStringBuilder java:539)_x000D_
	at java lang StringBuilder append(StringBuilder java:176)_x000D_
	at io github rosemoe sora text Content deleteInternal(Content java:494)_x000D_
	at io github rosemoe sora text Content delete(Content java:407)_x000D_
	at io github rosemoe sora widget CodeEditor deleteText(CodeEditor java:1567)_x000D_
	at io github rosemoe sora widget CodeEditor cutText(CodeEditor java:2806)_x000D_
	at com itsaky androidide views editor IDEEditor performTextAction(IDEEditor java:857)_x000D_
	at com itsaky androidide views editor EditorTextActionWindow performTextAction(EditorTextActionWindow java:242)_x000D_
	at com itsaky androidide views editor EditorTextActionWindow  r8 lambda 1a97XtgRzFmV8POkyslZz1lSeNs(Unknown Source:0)_x000D_
	at com itsaky androidide views editor EditorTextActionWindow  ExternalSyntheticLambda4 accept(Unknown Source:4)_x000D_
	at com itsaky androidide adapters TextActionItemAdapter lambda onBindViewHolder 0 com itsaky androidide adapters TextActionItemAdapter(TextActionItemAdapter java:88)_x000D_
	at com itsaky androidide adapters TextActionItemAdapter  ExternalSyntheticLambda0 onClick(Unknown Source:4)_x000D_
	at android view View performClick(View java:7509)_x000D_
	at com google android material button MaterialButton performClick(MaterialButton java:1131)_x000D_
	at android view View performClickInternal(View java:7486)_x000D_
	at android view View access 3600(View java:841)_x000D_
	at android view View PerformClick run(View java:28710)_x000D_
	at android os Handler handleCallback(Handler java:938)_x000D_
	at android os Handler dispatchMessage(Handler java:99)_x000D_
	at android os Looper loop(Looper java:236)_x000D_
	at android app ActivityThread main(ActivityThread java:8056)_x000D_
	at java lang reflect Method invoke(Native Method)_x000D_
	at com android internal os RuntimeInit MethodAndArgsCaller run(RuntimeInit java:656)_x000D_
	at com android internal os ZygoteInit main(ZygoteInit java:967)_x000D_
   </t>
  </si>
  <si>
    <t>TeamNewPipe-NewPipe-8058</t>
  </si>
  <si>
    <t>Crash when opening Newpipe from the notification bar when a video started in the background</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</si>
  <si>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1
    Steps to reproduce the bug
Open a video in YouTube_x000D_
Open the  share video  menu in YouTube  pick Newpipe  and select the  background player  option_x000D_
Wait for the video (audio) to start playing in the background_x000D_
Open Newpipe from Android notification menu
    Expected behavior
Newpipe should open and play the video in the app
    Actual behavior
Newpipe crashes
    Screenshots Screen recordings
 No response 
    Logs
   Exception_x000D_
    User Action:   ui error_x000D_
    Request:   ACRA report_x000D_
    Content Country:   CA_x000D_
    Content Language:   fr CA_x000D_
    App Language:   fr CA_x000D_
    Service:   none_x000D_
    Version:   0 22 1_x000D_
    OS:   Linux Android 10   29_x000D_
 details  summary  b Crash log   b   summary  p _x000D_
_x000D_
   _x000D_
java lang NullPointerException: Attempt to invoke virtual method  com google android exoplayer2 PlaybackParameters org schabi newpipe player Player getPlaybackParameters()  on a null object reference_x000D_
	at org schabi newpipe player PlayQueueActivity onCreateOptionsMenu(PlayQueueActivity java:106)_x000D_
	at android app Activity onCreatePanelMenu(Activity java:4087)_x000D_
	at androidx fragment app FragmentActivity onCreatePanelMenu(FragmentActivity java:287)_x000D_
	at androidx appcompat view WindowCallbackWrapper onCreatePanelMenu(WindowCallbackWrapper java:94)_x000D_
	at androidx appcompat app AppCompatDelegateImpl AppCompatWindowCallback onCreatePanelMenu(AppCompatDelegateImpl java:3084)_x000D_
	at androidx appcompat view WindowCallbackWrapper onCreatePanelMenu(WindowCallbackWrapper java:94)_x000D_
	at androidx appcompat app ToolbarActionBar populateOptionsMenu(ToolbarActionBar java:456)_x000D_
	at androidx appcompat app ToolbarActionBar 1 run(ToolbarActionBar java:57)_x000D_
	at android os Handler handleCallback(Handler java:883)_x000D_
	at android os Handler dispatchMessage(Handler java:100)_x000D_
	at android os Looper loop(Looper java:214)_x000D_
	at android app ActivityThread main(ActivityThread java:7697)_x000D_
	at java lang reflect Method invoke(Native Method)_x000D_
	at com android internal os RuntimeInit MethodAndArgsCaller run(RuntimeInit java:516)_x000D_
	at com android internal os ZygoteInit main(ZygoteInit java:950)_x000D_
_x000D_
   _x000D_
  details _x000D_
 hr _x000D_
    Affected Android Custom ROM version
Android 10   OxygenOS 10 0 1
    Affected device model
OnePlus 5
    Additional information
 No response </t>
  </si>
  <si>
    <t>microsoft-appcenter-sdk-android-1610</t>
  </si>
  <si>
    <t>NullPointerException on app resume</t>
  </si>
  <si>
    <t xml:space="preserve">      Description  _x000D_
We have a lot of crashs in the last update of our application  and this seems to come from AppCenter SDK _x000D_
   Java Lang NullPointerException: Attempt to invoke interface method  boolean android content SharedPreferences getBoolean(java lang String  boolean)  on a null object reference_x000D_
    at void Java Interop JniEnvironment InstanceMethods CallNonvirtualVoidMethod(JniObjectReference instance  JniObjectReference type  JniMethodInfo method  JniArgumentValue  args)_x000D_
    at void Java Interop JniPeerMembers JniInstanceMethods InvokeVirtualVoidMethod(string encodedMember  IJavaPeerable self  JniArgumentValue  parameters)_x000D_
    at void Android App Activity OnResume()_x000D_
    at void Xamarin Forms Platform Android FormsAppCompatActivity OnResume()_x000D_
    at void Mobile App Droid MainActivity OnResume()_x000D_
    at void Android App Activity n OnResume(IntPtr jnienv  IntPtr native  this)_x000D_
    at java lang NullPointerException: Attempt to invoke interface method  boolean android content SharedPreferences getBoolean(java lang String  boolean)  on a null object reference_x000D_
    at com microsoft appcenter utils storage SharedPreferencesManager getBoolean(Unknown Source:2)_x000D_
    at com microsoft appcenter AbstractAppCenterService isInstanceEnabled(Unknown Source:6)_x000D_
    at com microsoft appcenter distribute Distribute registerReceiver(Unknown Source:1)_x000D_
    at com microsoft appcenter distribute Distribute onActivityResumed(Unknown Source:10)_x000D_
    at android app Application dispatchActivityResumed(Application java:455)_x000D_
    at android app Activity dispatchActivityResumed(Activity java:1413)_x000D_
    at android app Activity onResume(Activity java:1945)_x000D_
    at androidx fragment app FragmentActivity onResume(Unknown Source:0)_x000D_
    at crc642f107985f75a869d MainActivity n onResume(Native Method)_x000D_
    at crc642f107985f75a869d MainActivity onResume(Unknown Source:0)_x000D_
    at android app Instrumentation callActivityOnResume(Instrumentation java:1456)_x000D_
    at android app Activity performResume(Activity java:8353)_x000D_
    at android app ActivityThread performResumeActivity(ActivityThread java:4897)_x000D_
    at android app ActivityThread handleResumeActivity(ActivityThread java:4944)_x000D_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java:2325)_x000D_
    at android os Handler dispatchMessage(Handler java:106)_x000D_
    at android os Looper loop(Looper java:246)_x000D_
    at android app ActivityThread main(ActivityThread java:8633)_x000D_
    at java lang reflect Method invoke(Native Method)_x000D_
    at com android internal os RuntimeInit MethodAndArgsCaller run(RuntimeInit java:602)_x000D_
    at com android internal os ZygoteInit main(ZygoteInit java:1130)_x000D_
_x000D_
      Repro Steps  _x000D_
Nothing special  the app randomly crash on resume_x000D_
_x000D_
      Details  _x000D_
1  Which SDK version are you using _x000D_
      DotNet 4 5  Android 4 4 2  _x000D_
2  Which OS version did you experience the issue on _x000D_
      No specific version_x000D_
3  What device version did you see this error on   Were you using an emulator or a physical device _x000D_
      No specific device_x000D_
4  What third party libraries are you using _x000D_
      Xamarin Forms_x000D_
5  Please enable verbose logging for your app using  AppCenter setLogLevel(Log VERBOSE)  before your call to  AppCenter start(   )  and include the logs here:_x000D_
</t>
  </si>
  <si>
    <t>TeamNewPipe-NewPipe-8054</t>
  </si>
  <si>
    <t>Video Player Crashed on Samsung A52 with latest version</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</si>
  <si>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1
    Steps to reproduce the bug
1  Open the app_x000D_
2  Have a video playing_x000D_
3  Exit the app with the video paused but in the background
    Expected behavior
I expect the app to stay running with the video still paused 
    Actual behavior
The app crashed and produced an error report
    Screenshots Screen recordings
 No response 
    Logs
   Exception_x000D_
    User Action:   play stream_x000D_
    Request:   Player error type 1  occurred while playing https:  www youtube com watch v mRA8LRlgt9Y_x000D_
    Content Country:   CA_x000D_
    Content Language:   en CA_x000D_
    App Language:   en CA_x000D_
    Service:   YouTube_x000D_
    Version:   0 22 1_x000D_
    OS:   Linux samsung a52xqcs a52xq:12 SP1A 210812 016 A526WVLU4CUL9:user release keys 12   31_x000D_
 details  summary  b Crash log   b   summary  p _x000D_
_x000D_
   _x000D_
com google android exoplayer2 ExoPlaybackException: MediaCodecVideoRenderer error  index 0  format Format(1  null  null  video x vnd on2 vp9  null   1  en   2560  1440   1 0     1   1 )  format supported YES_x000D_
	at com google android exoplayer2 ExoPlayerImplInternal handleMessage(ExoPlayerImplInternal java:555)_x000D_
	at android os Handler dispatchMessage(Handler java:102)_x000D_
	at android os Looper loopOnce(Looper java:226)_x000D_
	at android os Looper loop(Looper java:313)_x000D_
	at android os HandlerThread run(HandlerThread java:67)_x000D_
Caused by: com google android exoplayer2 video MediaCodecVideoDecoderException: Decoder failed: OMX qcom video decoder vp9_x000D_
	at com google android exoplayer2 video MediaCodecVideoRenderer createDecoderException(MediaCodecVideoRenderer java:1410)_x000D_
	at com google android exoplayer2 mediacodec MediaCodecRenderer render(MediaCodecRenderer java:864)_x000D_
	at com google android exoplayer2 ExoPlayerImplInternal doSomeWork(ExoPlayerImplInternal java:945)_x000D_
	at com google android exoplayer2 ExoPlayerImplInternal handleMessage(ExoPlayerImplInternal java:478)_x000D_
	    4 more_x000D_
Caused by: android media MediaCodec CodecException: Error 0xffffffe0_x000D_
	at android media MediaCodec native dequeueInputBuffer(Native Method)_x000D_
	at android media MediaCodec dequeueInputBuffer(MediaCodec java:2938)_x000D_
	at com google android exoplayer2 mediacodec SynchronousMediaCodecAdapter dequeueInputBufferIndex(SynchronousMediaCodecAdapter java:93)_x000D_
	at com google android exoplayer2 mediacodec MediaCodecRenderer feedInputBuffer(MediaCodecRenderer java:1209)_x000D_
	at com google android exoplayer2 mediacodec MediaCodecRenderer render(MediaCodecRenderer java:845)_x000D_
	    6 more_x000D_
_x000D_
   _x000D_
  details _x000D_
 hr _x000D_
    Affected Android Custom ROM version
Android 12
    Affected device model
Samsung A52
    Additional information
The device is a phone</t>
  </si>
  <si>
    <t>itsaky-AndroidIDE-124</t>
  </si>
  <si>
    <t>[BUG]   Null pointer caused by Android killing background</t>
  </si>
  <si>
    <t xml:space="preserve">   _x000D_
AndroidIDE crash report_x000D_
Manufacturer: Xiaomi_x000D_
Device: RedmiNote8Pro_x000D_
App version: 2 0 beta (200)_x000D_
_x000D_
 Stacktrace: _x000D_
java lang NullPointerException: Attempt to invoke virtual method  java lang String com itsaky androidide models XMLAttribute getValue()  on a null object reference_x000D_
	at com itsaky androidide fragments attr AbstractReferenceEditor setupReferenceInput(AbstractReferenceEditor java:58)_x000D_
	at com itsaky androidide fragments attr ReferenceEditor onViewCreated(ReferenceEditor java:56)_x000D_
	at androidx fragment app Fragment performViewCreated(Fragment java:2987)_x000D_
	at androidx fragment app FragmentStateManager createView(FragmentStateManager java:546)_x000D_
	at androidx fragment app FragmentStateManager moveToExpectedState(FragmentStateManager java:282)_x000D_
	at androidx fragment app FragmentStore moveToExpectedState(FragmentStore java:112)_x000D_
	at androidx fragment app FragmentManager moveToState(FragmentManager java:1647)_x000D_
	at androidx fragment app FragmentManager dispatchStateChange(FragmentManager java:3128)_x000D_
	at androidx fragment app FragmentManager dispatchViewCreated(FragmentManager java:3065)_x000D_
	at androidx fragment app Fragment performViewCreated(Fragment java:2988)_x000D_
	at androidx fragment app FragmentStateManager createView(FragmentStateManager java:546)_x000D_
	at androidx fragment app FragmentStateManager moveToExpectedState(FragmentStateManager java:282)_x000D_
	at androidx fragment app FragmentStore moveToExpectedState(FragmentStore java:112)_x000D_
	at androidx fragment app FragmentManager moveToState(FragmentManager java:1647)_x000D_
	at androidx fragment app FragmentManager dispatchStateChange(FragmentManager java:3128)_x000D_
	at androidx fragment app FragmentManager dispatchViewCreated(FragmentManager java:3065)_x000D_
	at androidx fragment app Fragment performViewCreated(Fragment java:2988)_x000D_
	at androidx fragment app FragmentStateManager createView(FragmentStateManager java:546)_x000D_
	at androidx fragment app FragmentStateManager moveToExpectedState(FragmentStateManager java:282)_x000D_
	at androidx fragment app FragmentStore moveToExpectedState(FragmentStore java:112)_x000D_
	at androidx fragment app FragmentManager moveToState(FragmentManager java:1647)_x000D_
	at androidx fragment app FragmentManager dispatchStateChange(FragmentManager java:3128)_x000D_
	at androidx fragment app FragmentManager dispatchActivityCreated(FragmentManager java:3072)_x000D_
	at androidx fragment app FragmentController dispatchActivityCreated(FragmentController java:251)_x000D_
	at androidx fragment app FragmentActivity onStart(FragmentActivity java:502)_x000D_
	at androidx appcompat app AppCompatActivity onStart(AppCompatActivity java:246)_x000D_
	at android app Instrumentation callActivityOnStart(Instrumentation java:1435)_x000D_
	at android app Activity performStart(Activity java:8173)_x000D_
	at android app ActivityThread handleStartActivity(ActivityThread java:3602)_x000D_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java:2187)_x000D_
	at android os Handler dispatchMessage(Handler java:106)_x000D_
	at android os Looper loop(Looper java:236)_x000D_
	at android app ActivityThread main(ActivityThread java:8057)_x000D_
	at java lang reflect Method invoke(Native Method)_x000D_
	at com android internal os RuntimeInit MethodAndArgsCaller run(RuntimeInit java:620)_x000D_
	at com android internal os ZygoteInit main(ZygoteInit java:1011)_x000D_
   _x000D_
https:  user images githubusercontent com 64970244 158633652 8e33c598 cf8e 4377 ab6d 9ea812b29757 mp4</t>
  </si>
  <si>
    <t>Azure-azure-iot-sdk-java-1492</t>
  </si>
  <si>
    <t>Thread starvation in Android mobile application</t>
  </si>
  <si>
    <t xml:space="preserve">  Context_x000D_
_x000D_
    OS and version used:   Android 9   API 28_x000D_
    SDK version used:   implementation  com microsoft azure sdk iot:iot device client:1 30 1 _x000D_
_x000D_
   Description of the issue_x000D_
We have several Android applications in production posting iothub messages using the library above _x000D_
One one of these we are experiencing several crashes a day per user due to the exception below:_x000D_
_x000D_
Fatal Exception: java lang OutOfMemoryError: pthread create (1040KB stack) failed: Try again_x000D_
       at java lang Thread nativeCreate(Thread java)_x000D_
       at java lang Thread start(Thread java:733)_x000D_
       at java util concurrent ThreadPoolExecutor addWorker(ThreadPoolExecutor java:975)_x000D_
       at java util concurrent ThreadPoolExecutor ensurePrestart(ThreadPoolExecutor java:1616)_x000D_
       at java util concurrent ScheduledThreadPoolExecutor delayedExecute(ScheduledThreadPoolExecutor java:342)_x000D_
       at java util concurrent ScheduledThreadPoolExecutor scheduleWithFixedDelay(ScheduledThreadPoolExecutor java:629)_x000D_
       at com microsoft azure sdk iot device DeviceIO startWorkerThreads(DeviceIO java:234)_x000D_
       at com microsoft azure sdk iot device DeviceIO execute(DeviceIO java:514)_x000D_
       at com microsoft azure sdk iot device transport IotHubTransport updateStatus(IotHubTransport java:1573)_x000D_
       at com microsoft azure sdk iot device transport IotHubTransport onConnectionEstablished(IotHubTransport java:355)_x000D_
       at com microsoft azure sdk iot device transport mqtt MqttIotHubConnection open(MqttIotHubConnection java:288)_x000D_
       at com microsoft azure sdk iot device transport IotHubTransport openConnection(IotHubTransport java:1114)_x000D_
       at com microsoft azure sdk iot device transport IotHubTransport singleReconnectAttempt(IotHubTransport java:1328)_x000D_
       at com microsoft azure sdk iot device transport IotHubTransport reconnect(IotHubTransport java:1254)_x000D_
       at com microsoft azure sdk iot device transport IotHubTransport handleDisconnection(IotHubTransport java:1150)_x000D_
       at com microsoft azure sdk iot device transport IotHubTransport onConnectionLost(IotHubTransport java:336)_x000D_
       at com microsoft azure sdk iot device transport ReconnectionNotifier 1 run(ReconnectionNotifier java:22)_x000D_
       at java lang Thread run(Thread java:764)_x000D_
_x000D_
  There are close to 300 threads azure iot sdk IotHubReceiveTask waiting:  _x000D_
azure iot sdk IotHubReceiveTask_x000D_
       at java lang Object wait(Object java)_x000D_
       at com microsoft azure sdk iot device transport IotHubReceiveTask run(IotHubReceiveTask java:53)_x000D_
       at java util concurrent Executors RunnableAdapter call(Executors java:458)_x000D_
       at java util concurrent FutureTask runAndReset(FutureTask java:307)_x000D_
       at java util concurrent ScheduledThreadPoolExecutor ScheduledFutureTask run(ScheduledThreadPoolExecutor java:302)_x000D_
       at java util concurrent ThreadPoolExecutor runWorker(ThreadPoolExecutor java:1167)_x000D_
       at java util concurrent ThreadPoolExecutor Worker run(ThreadPoolExecutor java:641)_x000D_
       at java lang Thread run(Thread java:764)_x000D_
_x000D_
_x000D_
   Code sample exhibiting the issue_x000D_
_x000D_
 _x000D_
import com microsoft azure sdk iot device DeviceClient _x000D_
import com microsoft azure sdk iot device DeviceTwin DeviceMethodData _x000D_
import com microsoft azure sdk iot device DeviceTwin Property _x000D_
import com microsoft azure sdk iot device DeviceTwin TwinPropertyCallBack _x000D_
import com microsoft azure sdk iot device IotHubClientProtocol _x000D_
import com microsoft azure sdk iot device IotHubEventCallback _x000D_
import com microsoft azure sdk iot device IotHubMessageResult _x000D_
import com microsoft azure sdk iot device IotHubStatusCode _x000D_
_x000D_
import org threeten bp LocalDateTime _x000D_
import org threeten bp format DateTimeFormatter _x000D_
_x000D_
import java util Locale _x000D_
import java util Observable _x000D_
import java util concurrent atomic AtomicBoolean _x000D_
_x000D_
public class IoTClient extends Observable implements IotHubEventCallback  _x000D_
    private static IoTClient instance _x000D_
_x000D_
    private static final AtomicBoolean Succeed   new AtomicBoolean(false) _x000D_
_x000D_
    private DeviceClient client _x000D_
    private boolean initialized _x000D_
    private final IotHubClientProtocol protocol _x000D_
_x000D_
    public static IoTClient getInstance()  _x000D_
        if (instance    null)  _x000D_
            synchronized (IoTClient class)  _x000D_
                if (instance    null)  _x000D_
                    instance   new IoTClient() _x000D_
                 _x000D_
             _x000D_
         _x000D_
        return instance _x000D_
     _x000D_
_x000D_
    private IoTClient()  _x000D_
        initialized   false _x000D_
        client   null _x000D_
        protocol   IotHubClientProtocol MQTT _x000D_
     _x000D_
_x000D_
    public boolean sendEventAsync(String messageId  String payload  LocalDateTime timestamp  Object context)  _x000D_
        if ( initialized)  _x000D_
            showLog(Log E   IoTClient::sendToCloud() invoked without valid client initialized   IoTClient class) _x000D_
            return false _x000D_
         _x000D_
_x000D_
        if ((payload    null)    (payload length()    0))  _x000D_
            showLog(Log E   IoTClient::sendToCloud() invoked with empty payload   IoTClient class) _x000D_
            return false _x000D_
         _x000D_
_x000D_
        try  _x000D_
            String id   messageId    null   java util UUID randomUUID() toString() : messageId _x000D_
_x000D_
            com microsoft azure sdk iot device Message msg   new com microsoft azure sdk iot device Message(payload) _x000D_
_x000D_
            msg setMessageId(id) _x000D_
_x000D_
            DateTimeFormatter dateFormat   DateTimeFormatter ofPattern( yyyy MM dd T HH:mm:ss SSS ) _x000D_
            String creationTime   timestamp format(dateFormat) _x000D_
            msg setProperty( iothub creation time utc   creationTime) _x000D_
      _x000D_
            showLog(Log W  String format(Locale ROOT   IoT Hub post(message:  d  id:  s  payload:  s  timestamp:  s)   context  messageId  payload  timestamp)  IoTClient class) _x000D_
            client sendEventAsync(msg  this  context) _x000D_
_x000D_
            return true _x000D_
          catch (Exception e)  _x000D_
            showLog(Log E  String format( IoT Hub post:      exception while sending message:  s  closing connection   e getMessage())  IoTClient class) _x000D_
            close() _x000D_
            return false _x000D_
         _x000D_
    _x000D_
 _x000D_
    public boolean isInitialized()  _x000D_
        return initialized _x000D_
     _x000D_
_x000D_
    public Exception init(String connectionString)  _x000D_
        try  _x000D_
            showLog(Log D   IoTClient::init()   IoTClient class) _x000D_
_x000D_
            initialized   false _x000D_
            client   null _x000D_
_x000D_
            client   new DeviceClient(connectionString  protocol) _x000D_
            client setOperationTimeout(60   1000)     1 minute timeout_x000D_
            client open() _x000D_
_x000D_
            if (protocol    IotHubClientProtocol MQTT)  _x000D_
                MessageCallbackMqtt callback   new MessageCallbackMqtt() _x000D_
                Counter counter   new Counter(0) _x000D_
                client setMessageCallback(callback  counter) _x000D_
              else  _x000D_
                MessageCallback callback   new MessageCallback() _x000D_
                Counter counter   new Counter(0) _x000D_
                client setMessageCallback(callback  counter) _x000D_
             _x000D_
            client subscribeToDeviceMethod(new SampleDeviceMethodCallback()  null  new DeviceMethodStatusCallBack()  null) _x000D_
            Succeed set(false) _x000D_
            client startDeviceTwin(new DeviceTwinStatusCallBack()  null  new onProperty()  null) _x000D_
_x000D_
            do  _x000D_
                Thread sleep(100) _x000D_
             _x000D_
            while ( Succeed get()) _x000D_
            initialized   true _x000D_
          catch (Exception exception)  _x000D_
            showLog(Log E   Exception while opening IoTHub connection:     exception getMessage()  IoTClient class) _x000D_
            client   null _x000D_
            initialized   false _x000D_
            showLog(Log E   Shutting down      IoTClient class) _x000D_
            return exception _x000D_
         _x000D_
_x000D_
        return null _x000D_
     _x000D_
_x000D_
    public void close()  _x000D_
        showLog(Log D   IoTClient::close()   IoTClient class) _x000D_
        if (client    null)  _x000D_
            try  _x000D_
                   Is there a way to know if there are messages waiting to be flushed _x000D_
                client closeNow() _x000D_
                client   null _x000D_
                initialized   false _x000D_
              catch (Exception e)  _x000D_
                showLog(Log E   client shutdown failure:     e getStackTrace()  IoTClient class) _x000D_
             _x000D_
          else  _x000D_
            showLog(Log D   Connection was already closed    IoTClient class) _x000D_
         _x000D_
_x000D_
     _x000D_
_x000D_
    public void execute(IotHubStatusCode status  Object context)  _x000D_
        Integer i   (Integer) context _x000D_
        showLog(Log I   IoT Hub responded to message     i toString()     with status     status name()  IoTClient class) _x000D_
_x000D_
        try  _x000D_
            this setChanged() _x000D_
            this notifyObservers(new EventCallbackObservation(status  context)) _x000D_
          catch (Exception exception)  _x000D_
            showLog(Log E   An observer did not gracefully fail  exception:     exception getMessage()  IoTClient class) _x000D_
         _x000D_
_x000D_
     _x000D_
_x000D_
    protected static class DeviceMethodStatusCallBack implements IotHubEventCallback  _x000D_
        public void execute(IotHubStatusCode status  Object context)  _x000D_
            showLog(Log D   IoT Hub responded to device method operation with status     status name()  IoTClient class) _x000D_
         _x000D_
     _x000D_
_x000D_
    protected static class SampleDeviceMethodCallback implements com microsoft azure sdk iot device DeviceTwin DeviceMethodCallback  _x000D_
         Override_x000D_
        public DeviceMethodData call(String methodName  Object methodData  Object context)  _x000D_
            DeviceMethodData deviceMethodData _x000D_
            switch (methodName)  _x000D_
                case  command :  _x000D_
                    int status   method command(methodData) _x000D_
_x000D_
                    deviceMethodData   new DeviceMethodData(status   executed     methodName) _x000D_
                    break _x000D_
                 _x000D_
                default:  _x000D_
                    int status   method default(methodData) _x000D_
                    deviceMethodData   new DeviceMethodData(status   executed     methodName) _x000D_
                 _x000D_
             _x000D_
_x000D_
            return deviceMethodData _x000D_
         _x000D_
     _x000D_
_x000D_
    protected static class DeviceTwinStatusCallBack implements IotHubEventCallback  _x000D_
         Override_x000D_
        public void execute(IotHubStatusCode status  Object context)  _x000D_
            Succeed set((status    IotHubStatusCode OK)    (status    IotHubStatusCode OK EMPTY)) _x000D_
            showLog(Log D   IoT Hub responded to device twin operation with status     status name()  IoTClient class) _x000D_
         _x000D_
     _x000D_
_x000D_
    protected static class onProperty implements TwinPropertyCallBack  _x000D_
         Override_x000D_
        public void TwinPropertyCallBack(Property property  Object context)  _x000D_
            showLog(Log D   onProperty callback for     (property getIsReported()    reported  :  desired )  _x000D_
                      property     property getKey()  _x000D_
                      to     property getValue()  _x000D_
                       Properties version:    property getVersion()  IoTClient class) _x000D_
_x000D_
         _x000D_
     _x000D_
_x000D_
       Our MQTT doesn t support abandon reject  so we will only display the messaged received_x000D_
       from IoTHub and return COMPLETE_x000D_
    static class MessageCallbackMqtt implements com microsoft azure sdk iot device MessageCallback  _x000D_
        public IotHubMessageResult execute(com microsoft azure sdk iot device Message msg  Object context)  _x000D_
            Counter counter   (Counter) context _x000D_
            showLog(Log D   Received message     counter toString()_x000D_
                        with content:     new String(msg getBytes()  com microsoft azure sdk iot device Message DEFAULT IOTHUB MESSAGE CHARSET)  IoTClient class) _x000D_
_x000D_
            counter increment() _x000D_
_x000D_
            return IotHubMessageResult COMPLETE _x000D_
         _x000D_
     _x000D_
_x000D_
_x000D_
    static class MessageCallback implements com microsoft azure sdk iot device MessageCallback  _x000D_
        public IotHubMessageResult execute(com microsoft azure sdk iot device Message msg  Object context)  _x000D_
            Counter counter   (Counter) context _x000D_
            showLog(Log D   Received message     counter toString()_x000D_
                        with content:     new String(msg getBytes()  com microsoft azure sdk iot device Message DEFAULT IOTHUB MESSAGE CHARSET)  IoTClient class) _x000D_
_x000D_
            int switchVal   counter get()   3 _x000D_
            IotHubMessageResult res _x000D_
            switch (switchVal)  _x000D_
                case 0:_x000D_
                    res   IotHubMessageResult COMPLETE _x000D_
                    break _x000D_
                case 1:_x000D_
                    res   IotHubMessageResult ABANDON _x000D_
                    break _x000D_
                case 2:_x000D_
                    res   IotHubMessageResult REJECT _x000D_
                    break _x000D_
                default:_x000D_
                       should never happen _x000D_
                    throw new IllegalStateException( Invalid message result specified  ) _x000D_
             _x000D_
_x000D_
            showLog(Log D   Responding to message     counter toString()     with     res name()  IoTClient class) _x000D_
_x000D_
            counter increment() _x000D_
_x000D_
            return res _x000D_
         _x000D_
     _x000D_
_x000D_
       Used as a counter in the message callback _x000D_
    static class Counter  _x000D_
        int num _x000D_
_x000D_
        Counter(int num)  _x000D_
            this num   num _x000D_
         _x000D_
_x000D_
        int get()  _x000D_
            return this num _x000D_
         _x000D_
_x000D_
        void increment()  _x000D_
            this num   _x000D_
         _x000D_
_x000D_
         Override_x000D_
        public String toString()  _x000D_
            return Integer toString(this num) _x000D_
         _x000D_
     _x000D_
_x000D_
    public class EventCallbackObservation  _x000D_
        private final IotHubStatusCode status _x000D_
        private final Object context _x000D_
_x000D_
        public EventCallbackObservation(IotHubStatusCode status  Object context)  _x000D_
            this status   status _x000D_
            this context   context _x000D_
         _x000D_
_x000D_
        public IotHubStatusCode getStatus()  _x000D_
            return status _x000D_
         _x000D_
_x000D_
        public Object getContext()  _x000D_
            return context _x000D_
         _x000D_
     _x000D_
_x000D_
 _x000D_
 _x000D_
_x000D_
   Console log of the issue_x000D_
Have not been able to repro in debug yet _x000D_
</t>
  </si>
  <si>
    <t>jzy3d-jogl-24</t>
  </si>
  <si>
    <t>Incorrect context on GLCanvas</t>
  </si>
  <si>
    <t xml:space="preserve">https:  forum jogamp org Incorrect context on GLCanvas drawable td4041391 html_x000D_
_x000D_
Windows 10_x000D_
_x000D_
From JOGL forum_x000D_
_x000D_
  I am using JOGL (2 4 0 rc 20210111) together with VTK 9 0 1 _x000D_
  _x000D_
  In particular  I am using the GLCanvas component embedded into VTK s vtkJoglCanvasComponent _x000D_
  _x000D_
  My application works quite fine (both on Windows and on macOS   with Java 8 JRE) _x000D_
  _x000D_
  However  I am facing a strange sporadic crash when I invoke a function in my application which removes the GLCanvas based GUI panel from its container  and then adds it to a newly created JFrame (it s a kind of  full screen mode  function of my application)  This crash seems to happen only on Windows  while I ve been unable to reproduce it on macOS so far _x000D_
  _x000D_
  In VTK s vtkJoglCanvasComponent class  there is a GLEventListener  whose init() callback gets called both upon initial display of the GLCanvas based GUI panel  and then again when the GLCanvas based GUI panel is added to the newly created JFrame  Between the two init() calls  there is a dispose() call which is invoked when the GLCanvas based GUI panel is removed form its original container _x000D_
  _x000D_
  Upon first invocation of the init() callback  if I call  drawable getContext()   I obtain an OpenGL 4 6 context  and everything works like a charm _x000D_
  _x000D_
  On the other side  upon the second invocation of the init() callback (after addition of the GLCanvas to the new JFrame)    SOMETIMES   calling  drawable getContext()   I obtain an OpenGL 1 1 context  When this happens  then VTK crashes  because VTK 9 requires at least OpenGL 3 2 in order to work properly _x000D_
  _x000D_
  I know that my description of the problem is quite limited  but can you guess why I   SOMETIMES   get an OpenGL 1 1 context upon init() with my GLCanvas based panel _x000D_
  _x000D_
  This happens on many different Windows PCs with many different display adapters   drivers  when I invoke this  full screen mode  feature in my application (which works as described above: remove GLCanvas from its container     create a new JFrame     add the GLCanvas to the new JFrame) _x000D_
  _x000D_
  It may be something in VTK  but I was just wondering if you could guess where the problem might be  and maybe point us in the correct direction _x000D_
  _x000D_
  Also  let me mention that for some reason this issue seems to appear more frequently with Jetbrain s Java 8 JRE  even though I have had a few occurrences of the issue even with Adopt OpenJDK Java 8 JRE _x000D_
_x000D_
_x000D_
_x000D_
_x000D_
  Answer  _x000D_
_x000D_
  I got confirmation from a collaborator having windows Nvidia adapters that the erroneous GL version on windows with noddraw true is fixed by adding opengl true _x000D_
_x000D_
  Answer  _x000D_
_x000D_
  I confirm that an OpenGL 4 6 context is returned both in the case the noddraw system property is NOT passed  and in the case opengl true is passed  This happens because  for some reason  in both cases just a single GraphicsConfiguration is returned for each GraphicsDevice _x000D_
  _x000D_
  On the other side  with noddraw true  6 GraphicsConfiguration are returned for each GraphicsDevice  and this seems to be the actual source of problems for the GLContext of my GLCanvas  BTW  these 6 GraphicsConfiguration are  similar  but not identical  as they only differ for their  pixel format  attribute _x000D_
  _x000D_
  Unfortunately  both workarounds (1  avoiding passing noddraw true  2  passing opengl true) are NOT viable solutions for me _x000D_
  _x000D_
  In fact:_x000D_
  _x000D_
  1) If I don t pass noddraw true  I have rendering issues both with JOGL and within the rest of my application _x000D_
  _x000D_
  2) If I pass opengl true  with many graphics adapters  device drivers I have Swing rendering artifacts and issues within my application  E g   incorrect painting of toolbar buttons  etc _x000D_
  _x000D_
  So  I need to return to my initial question: why in the case 6 GraphicsConfigurations are returned  and getConfigurations() is called  then GLCanvas is initialized with an Open GL 1 1 context (at least with all NVIDIA adapters)  Is this something which can be corrected in JOGL _x000D_
  </t>
  </si>
  <si>
    <t>CMPUT301W22T02-explQRer-67</t>
  </si>
  <si>
    <t>App crash after adding a photo.</t>
  </si>
  <si>
    <t xml:space="preserve">After adding a picture to your account  navigating causes the app to crash every time  A problem with the serialization of data </t>
  </si>
  <si>
    <t>jellyfin-jellyfin-androidtv-1526</t>
  </si>
  <si>
    <t>Playback sound crashed</t>
  </si>
  <si>
    <t xml:space="preserve">    Describe the bug
Hello_x000D_
I have a problem with the latest stable version of Jellyfin running on windows 10 (latest patches included) _x000D_
After about 5 minutes playing list of aac files  sound going down  But the playback continues nonetheless _x000D_
When stopping resuming playback  still no sound  If I quit Jellfin and start playing again  the sound works  But after a few minutes sound going down again _x000D_
Any idea  
    Logs
   shell
No crash log reported
    FFmpeg logs
   shell
None
    Media info of the file
   shell
aac files
    Application version
None
    Device information
Shuttle DH410
    Android version
Windows 10
    Jellyfin server version
10 7 7</t>
  </si>
  <si>
    <t>SceneView-sceneview-android-45</t>
  </si>
  <si>
    <t xml:space="preserve">java.lang.AssertionError: Unable to create RenderableInstance. </t>
  </si>
  <si>
    <t xml:space="preserve">I ran into a new exception today that caused my app to crash  but only has happened this one time  Since I wasn t at home and not connected to Logcat  I don t quite remember all the details and only have this one final stack trace from my logfile:_x000D_
_x000D_
   _x000D_
2022 03 15 15:03:39 500 E FATAL: A fatal crash caused the app to stop   _x000D_
 java lang AssertionError: Unable to create RenderableInstance   _x000D_
   at com google ar sceneform rendering RenderableInternalData buildInstanceData(RenderableInternalData java:229)  _x000D_
   at com google ar sceneform rendering RenderableInstance prepareForDraw(RenderableInstance java:488)  _x000D_
   at com google ar sceneform rendering Renderer updateInstances(Renderer java:668)  _x000D_
   at com google ar sceneform rendering Renderer render(Renderer java:314)  _x000D_
   at io github sceneview SceneView doFrame(SceneView kt:297)  _x000D_
   at io github sceneview ar ArSceneView doFrame(ArSceneView kt:246)  _x000D_
   at io github sceneview SceneView doFrame(SceneView kt:291)  _x000D_
   at android view Choreographer CallbackRecord run(Choreographer java:1350)  _x000D_
   at android view Choreographer doCallbacks(Choreographer java:1149)  _x000D_
   at android view Choreographer doFrame(Choreographer java:1040)  _x000D_
   at android view Choreographer FrameDisplayEventReceiver run(Choreographer java:1333)  _x000D_
   at android os Handler handleCallback(Handler java:938)  _x000D_
   at android os Handler dispatchMessage(Handler java:99)  _x000D_
   at android os Looper loop(Looper java:233)  _x000D_
   at android app ActivityThread main(ActivityThread java:8068)  _x000D_
   at java lang reflect Method invoke(Native Method)  _x000D_
   at com android internal os RuntimeInit MethodAndArgsCaller run(RuntimeInit java:631)  _x000D_
   at com android internal os ZygoteInit main(ZygoteInit java:978)_x000D_
   _x000D_
_x000D_
As far as I remember  I was already using my app for around 5 10 Minutes when it happened and the error (I think) occurred right when placing another 3d model  after having already placed quite a few within the same scene ( 15 objects) _x000D_
_x000D_
I was using the 0 1 0 version of sceneview when the bug happened and was hoping maybe someone had some insights as to what this could be caused by _x000D_
_x000D_
On a sidenote that might be related: I am not using  ArModelNodes  and their loadModel function  but I am loading my 3d models in advance and holding a reference within my code to those renderables and then setting them with  ArNode setModel   Since I have never had any issues with this  I doubt it is the cause  but I figured it could still be relevant to the exception </t>
  </si>
  <si>
    <t>CMPUT301W22T02-explQRer-66</t>
  </si>
  <si>
    <t>65 Taking a picture sometimes causes crash</t>
  </si>
  <si>
    <t xml:space="preserve">Fixed the image crash by moving the fragment to the main activity (to free up camera resources) </t>
  </si>
  <si>
    <t>TeamNewPipe-NewPipe-8040</t>
  </si>
  <si>
    <t>i can't import youtube subscriptions on newpipe</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</si>
  <si>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1
    Steps to reproduce the bug
1  I downloaded new pipe app _x000D_
2  Open and go to the import subscriptions _x000D_
3  Choose youtube and import subscriptions csv_x000D_
    Expected behavior
I just want import my youtube subscriptions  Thanks
    Actual behavior
I just download Newpipe to my phone  And   want import my youtube subscriptions  But app always app crashing itself 
    Screenshots Screen recordings
 No response 
    Logs
   Exception_x000D_
    User Action:   ui error_x000D_
    Request:   ACRA report_x000D_
    Content Country:   TR_x000D_
    Content Language:   tr TR_x000D_
    App Language:   en_x000D_
    Service:   none_x000D_
    Version:   0 22 1_x000D_
    OS:   Linux Android 12   31_x000D_
 details  summary  b Crash log   b   summary  p _x000D_
_x000D_
   _x000D_
java lang RuntimeException: Unable to start service org schabi newpipe local subscription services SubscriptionsImportService 2266c47 with Intent   cmp org schabi newpipe  local subscription services SubscriptionsImportService (has extras)  : java lang SecurityException: Permission Denial: opening provider com android providers media MediaDocumentsProvider from ProcessRecord 6fc764 8863:org schabi newpipe u0a235  (pid 8863  uid 10235) requires that you obtain access using ACTION OPEN DOCUMENT or related APIs_x000D_
	at android app ActivityThread handleServiceArgs(ActivityThread java:4657)_x000D_
	at android app ActivityThread access 2000(ActivityThread java:247)_x000D_
	at android app ActivityThread H handleMessage(ActivityThread java:2091)_x000D_
	at android os Handler dispatchMessage(Handler java:106)_x000D_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Caused by: java lang SecurityException: Permission Denial: opening provider com android providers media MediaDocumentsProvider from ProcessRecord 6fc764 8863:org schabi newpipe u0a235  (pid 8863  uid 10235) requires that you obtain access using ACTION OPEN DOCUMENT or related APIs_x000D_
	at android os Parcel createExceptionOrNull(Parcel java:2425)_x000D_
	at android os Parcel createException(Parcel java:2409)_x000D_
	at android os Parcel readException(Parcel java:2392)_x000D_
	at android os Parcel readException(Parcel java:2334)_x000D_
	at android app IActivityManager Stub Proxy getContentProvider(IActivityManager java:5890)_x000D_
	at android app ActivityThread acquireProvider(ActivityThread java:6973)_x000D_
	at android app ContextImpl ApplicationContentResolver acquireUnstableProvider(ContextImpl java:3339)_x000D_
	at android content ContentResolver acquireUnstableProvider(ContentResolver java:2526)_x000D_
	at android content ContentResolver openAssetFileDescriptor(ContentResolver java:1844)_x000D_
	at android content ContentResolver openFileDescriptor(ContentResolver java:1675)_x000D_
	at android content ContentResolver openFileDescriptor(ContentResolver java:1622)_x000D_
	at us shandian giga io FileStreamSAF  init (FileStreamSAF java:32)_x000D_
	at org schabi newpipe streams io StoredFileHelper getStream(StoredFileHelper java:195)_x000D_
	at org schabi newpipe local subscription services SubscriptionsImportService onStartCommand(SubscriptionsImportService java:118)_x000D_
	at android app ActivityThread handleServiceArgs(ActivityThread java:4639)_x000D_
	    9 more_x000D_
_x000D_
   _x000D_
  details _x000D_
 hr _x000D_
    Affected Android Custom ROM version
android 12  crDroid 8 2
    Affected device model
Xiaomi Redmi Note 8
    Additional information
 No response </t>
  </si>
  <si>
    <t>jzy3d-jogl-23</t>
  </si>
  <si>
    <t>JOGL 2.4rc4 + JDK Temurin 17.02+8 + SWT 4.23 + macOS + ARM Processor = Crash w/o exception</t>
  </si>
  <si>
    <t xml:space="preserve">Hi _x000D_
_x000D_
I ve tried a rather adventurous combination (which is the one we are currently supporting for GAMA    https:  github com gama platform gama) and it crashed  which is disappointing  especially because I am unable to determine what makes it crash  _x000D_
_x000D_
The goal was to go  all native : the JDK is native  Eclipse is the native aarch64 version (and SWT is a native binary)  and I used the JOGL version (2 4rc4) that contains the native ARM libraries for macOS  GAMA is run from Eclipse  in a configuration that works well on Intel computers or with Rosetta  _x000D_
_x000D_
Everything is running fine (Java2D displays  SWT views  etc ) except JOGL  which crashes without warnings as soon as one tries to open a NEWT Window (used for the OpenGL displays in GAMA)  _x000D_
_x000D_
Here are the two  logs  I was able to gather   Any ideas welcome   _x000D_
_x000D_
The log produced by JOGL: https:  gist github com AlexisDrogoul 1adb8dd5a80602ae0f6b5691796c0532 file log_x000D_
_x000D_
The crash report produced by Apple:  https:  gist github com AlexisDrogoul 1adb8dd5a80602ae0f6b5691796c0532 file crash_x000D_
_x000D_
</t>
  </si>
  <si>
    <t>CMPUT301W22T02-explQRer-65</t>
  </si>
  <si>
    <t>Taking a picture sometimes causes crash</t>
  </si>
  <si>
    <t xml:space="preserve">Taking a picture while adding a code sometimes causes a crash  This seems to be a buffer overflow problem </t>
  </si>
  <si>
    <t>rm3l-maoni-283</t>
  </si>
  <si>
    <t>Missing dependency to PaNaVTEC/DrawableView - ClassNotFoundException at runtime</t>
  </si>
  <si>
    <t xml:space="preserve">A crash is happening every time user clicks on screenshot miniature in order to edit it _x000D_
_x000D_
    Maomi version used_x000D_
implementation  org rm3l:maoni:9 1 0 aar _x000D_
_x000D_
    Workaround_x000D_
  add dependency to build gradle_x000D_
    implementation  me panavtec:drawableview:0 6 0 _x000D_
_x000D_
    Stacktrace:_x000D_
_x000D_
  Caused by java lang ClassNotFoundException: me panavtec drawableview DrawableView_x000D_
         at java lang Class classForName(Class java)_x000D_
         at java lang Class forName(Class java:454)_x000D_
         at android view LayoutInflater createView(LayoutInflater java:813)_x000D_
         at android view LayoutInflater createViewFromTag(LayoutInflater java:1004)_x000D_
         at android view LayoutInflater createViewFromTag(LayoutInflater java:959)_x000D_
         at android view LayoutInflater rInflate(LayoutInflater java:1121)_x000D_
         at android view LayoutInflater rInflateChildren(LayoutInflater java:1082)_x000D_
         at android view LayoutInflater rInflate(LayoutInflater java:1124)_x000D_
         at android view LayoutInflater rInflateChildren(LayoutInflater java:1082)_x000D_
         at android view LayoutInflater inflate(LayoutInflater java:680)_x000D_
         at android view LayoutInflater inflate(LayoutInflater java:532)_x000D_
         at android view LayoutInflater inflate(LayoutInflater java:479)_x000D_
         at com android internal policy PhoneWindow setContentView(PhoneWindow java:455)_x000D_
         at android app Dialog setContentView(Dialog java:569)_x000D_
         at org rm3l maoni ui MaoniActivity 3 onClick(MaoniActivity java:459)_x000D_
         at android view View performClick(View java:7448)_x000D_
         at android view View performClickInternal(View java:7425)_x000D_
         at android view View access 3600(View java:810)_x000D_
         at android view View PerformClick run(View java:28305)_x000D_
         at android os Handler handleCallback(Handler java:938)_x000D_
         at android os Handler dispatchMessage(Handler java:99)_x000D_
         at androidx test espresso base Interrogator loopAndInterrogate(Interrogator java:10)_x000D_
         at androidx test espresso base UiControllerImpl loopUntil(UiControllerImpl java:7)_x000D_
         at androidx test espresso base UiControllerImpl loopUntil(UiControllerImpl java:1)_x000D_
         at androidx test espresso base UiControllerImpl injectMotionEvent(UiControllerImpl java:5)_x000D_
         at androidx test espresso action MotionEvents sendUp(MotionEvents java:6)_x000D_
         at androidx test espresso action MotionEvents sendUp(MotionEvents java:1)_x000D_
         at androidx test espresso action Tap sendSingleTap(Tap java:5)_x000D_
         at androidx test espresso action Tap    Nest smsendSingleTap()_x000D_
         at androidx test espresso action Tap 1 sendTap(Tap java:1)_x000D_
         at androidx test espresso action GeneralClickAction perform(GeneralClickAction java:4)_x000D_
         at androidx test espresso ViewInteraction SingleExecutionViewAction perform(ViewInteraction java:2)_x000D_
         at androidx test espresso ViewInteraction doPerform(ViewInteraction java:21)_x000D_
         at androidx test espresso ViewInteraction    Nest mdoPerform()_x000D_
         at androidx test espresso ViewInteraction 1 call(ViewInteraction java:2)_x000D_
         at androidx test espresso ViewInteraction 1 call(ViewInteraction java:1)_x000D_
         at java util concurrent FutureTask run(FutureTask java:266)_x000D_
         at android os Handler handleCallback(Handler java:938)_x000D_
         at android os Handler dispatchMessage(Handler java:99)_x000D_
         at android os Looper loop(Looper java:223)_x000D_
         at android app ActivityThread main(ActivityThread java:7664)_x000D_
         at java lang reflect Method invoke(Method java)_x000D_
         at com android internal os RuntimeInit MethodAndArgsCaller run(RuntimeInit java:592)_x000D_
         at com android internal os ZygoteInit main(ZygoteInit java:947)_x000D_
_x000D_
</t>
  </si>
  <si>
    <t>SkyTubeTeam-SkyTube-1033</t>
  </si>
  <si>
    <t>Importing subscription.csv causes app to crash</t>
  </si>
  <si>
    <t xml:space="preserve">I did a search for this under issues and did not find it  _x000D_
_x000D_
When trying to import the YouTube subscriptions the app crashes and never imports the subscriptions  _x000D_
_x000D_
This happens with both the f droid and SkyTube Extra versions  _x000D_
SkyTube 2 980 on Oxygen OS 12 (Android 12) </t>
  </si>
  <si>
    <t>MuntashirAkon-AppManager-705</t>
  </si>
  <si>
    <t>Crashing again</t>
  </si>
  <si>
    <t xml:space="preserve">    
Your issue will be closed without warning if you don t check at least two items 
   x  I know what my device  OS and App Manager versions are
   x  I know how to take logs
   x  I know how to reproduce the issue which may not be specific to my device
  Describe the bug  
App crashes and slows down
  To Reproduce  
Steps to reproduce the behaviour:
1  Select an app
2  Click on click scanner
3  See error
  Expected behavior  
I should be able to scan my app 
  Screenshots  
If applicable  add screenshots to help explain your problem 
  Crash logs  
java lang AssertionError: Binder ProxyMap has too many entries: 21148 (total)  20050 (uncleared)  75 (uncleared after GC)  BinderProxy leak 
    at android os BinderProxy ProxyMap set(BinderProxy java:230)
    at android os BinderProxy getInstance(BinderProxy java:432)
    at android os Parcel nativeReadStrongBinder(Native Method)
    at android os Parcel readStrongBinder(Parcel java:2483)
    at io github muntashirakon AppManager IAMService Stub Proxy getFile(IAMService java:295)
    at io github muntashirakon io ProxyFile getRemoteFile(ProxyFile java:324)
    at io github muntashirakon io ProxyFile  init (ProxyFile java:35)
    at io github muntashirakon io ProxyFile getParentFile(ProxyFile java:101)
    at io github muntashirakon io ProxyFile getParentFile(ProxyFile java:21)
    at androidx documentfile provider ProxyDocumentFile getParentDocumentFile(ProxyDocumentFile java:206)
    at androidx documentfile provider ProxyDocumentFile  init (ProxyDocumentFile java:27)
    at androidx documentfile provider ProxyDocumentFile getParentDocumentFile(ProxyDocumentFile java:208)
    at androidx documentfile provider ProxyDocumentFile  init (ProxyDocumentFile java:27)
    at androidx documentfile provider ProxyDocumentFile getParentDocumentFile(ProxyDocumentFile java:208)
    at androidx documentfile provider ProxyDocumentFile  init (ProxyDocumentFile java:27)
    at io github muntashirakon io Path  init (Path java:107)
    at io github muntashirakon AppManager utils AppPref getAppManagerDirectory(AppPref java:249)
    at io github muntashirakon AppManager backup BackupFiles getBackupDirectory(BackupFiles java:35)
    at io github muntashirakon AppManager backup BackupFiles getPackagePath(BackupFiles java:47)
    at io github muntashirakon AppManager backup MetadataManager getBackupFiles(MetadataManager java:221)
    at io github muntashirakon AppManager backup MetadataManager getMetadata(MetadataManager java:205)
    at io github muntashirakon AppManager backup BackupUtils storeAllAndGetLatestBackupMetadata(BackupUtils java:74)
    at io github muntashirakon AppManager main MainViewModel getNewApplicationItem(MainViewModel java:654)
    at io github muntashirakon AppManager main MainViewModel updateInfoForPackages(MainViewModel java:489)
    at io github muntashirakon AppManager main MainViewModel access 100(MainViewModel java:62)
    at io github muntashirakon AppManager main MainViewModel PackageIntentReceiver onPackageChanged(MainViewModel java:722)
    at io github muntashirakon AppManager types PackageChangeReceiver ReceiverHandler handleMessage(PackageChangeReceiver java:103)
    at android os Handler dispatchMessage(Handler java:106)
    at android os Looper loop(Looper java:223)
    at android os HandlerThread run(HandlerThread java:67)
Device Info:
App version: 3 0 0 alpha01
App version code: 400
Android build version: eng crossg 20220120 182016
Android release version: 11
Android SDK version: 30
Android build ID: lineage treble a64 bvS userdebug 11 RQ3A 211001 001 eng crossg 20220120 182016 test keys
Device brand: Phh
Device manufacturer: unknown
Device name: phhgsi a64 ab
Device model: Phh Treble vanilla
Device product name: lineage treble a64 bvS
Device hardware name: exynos7904
ABIs:  armeabi v7a  armeabi 
ABIs (32bit):  armeabi v7a  armeabi 
ABIs (64bit):   
System language: en GB
In App Language: auto
Mode: root
  Device info  
   Device:  e g  One Plus 8 Pro 
   OS Version:  e g  Android 10 
   App Manager Version:  e g  v2 5 13 
   Mode: root adb no root
  Additional context  
Add any other context about the problem here 
</t>
  </si>
  <si>
    <t>OpenTracksApp-OpenTracks-1156</t>
  </si>
  <si>
    <t>Recording stopped when pressing Map button</t>
  </si>
  <si>
    <t xml:space="preserve">  Describe the bug  _x000D_
Recording stopped when pressing Map button   This has occurred twice for me   Each time  no apparent crash  able to start a new recording and use Map button on the subsequent recording _x000D_
_x000D_
 Not  regularly reproducible (tried just now  problem did not occur) _x000D_
_x000D_
  To Reproduce  _x000D_
1  Start recording_x000D_
2  Click on Map button_x000D_
3  App jumps back to the track list (home )_x000D_
_x000D_
No screenshot or logcat output at this time  but happy to try to capture   Also  happy to try an instrumented version of app _x000D_
_x000D_
  Technical information  _x000D_
   Device: Samsung S9_x000D_
   OS: Android 10_x000D_
   OpenTracks version: v3 25 1  Version code: 4755</t>
  </si>
  <si>
    <t>PojavLauncherTeam-PojavLauncher-2896</t>
  </si>
  <si>
    <t>Help plsss TWY</t>
  </si>
  <si>
    <t xml:space="preserve">    Describe the bug
Application exited with code  1 and i go in a server is show shutting down internal server and crash
    The log file and images videos
_x000D_
     Minecraft Crash Report     _x000D_
_x000D_
WARNING: coremods are present:_x000D_
Contact their authors BEFORE contacting forge_x000D_
_x000D_
   You re mean _x000D_
_x000D_
Time: 3 14 22 5:44 AM_x000D_
Description: Updating screen events_x000D_
_x000D_
java lang IllegalArgumentException: Name and ID cannot both be blank_x000D_
	at com mojang authlib GameProfile  init (GameProfile java:26)_x000D_
	at com mojang authlib yggdrasil YggdrasilMinecraftSessionService fillGameProfile(YggdrasilMinecraftSessionService java:186)_x000D_
	at com mojang authlib yggdrasil YggdrasilMinecraftSessionService fillProfileProperties(YggdrasilMinecraftSessionService java:173)_x000D_
	at net minecraft client Minecraft func 71371 a(Minecraft java:2421)_x000D_
	at net minecraft client gui GuiCreateWorld func 146284 a(GuiCreateWorld java:224)_x000D_
	at net minecraft client gui GuiScreen func 73864 a(GuiScreen java:443)_x000D_
	at net minecraft client gui GuiCreateWorld func 73864 a(GuiCreateWorld java:416)_x000D_
	at net minecraft client gui GuiScreen func 146274 d(GuiScreen java:533)_x000D_
	at net minecraft client gui GuiScreen func 146269 k(GuiScreen java:501)_x000D_
	at net minecraft client Minecraft func 71407 l(Minecraft java:1759)_x000D_
	at net minecraft client Minecraft func 71411 J(Minecraft java:1098)_x000D_
	at net minecraft client Minecraft func 99999 d(Minecraft java:398)_x000D_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Head   _x000D_
Thread: Client thread_x000D_
Stacktrace:_x000D_
	at com mojang authlib GameProfile  init (GameProfile java:26)_x000D_
	at com mojang authlib yggdrasil YggdrasilMinecraftSessionService fillGameProfile(YggdrasilMinecraftSessionService java:186)_x000D_
	at com mojang authlib yggdrasil YggdrasilMinecraftSessionService fillProfileProperties(YggdrasilMinecraftSessionService java:173)_x000D_
	at net minecraft client Minecraft func 71371 a(Minecraft java:2421)_x000D_
	at net minecraft client gui GuiCreateWorld func 146284 a(GuiCreateWorld java:224)_x000D_
	at net minecraft client gui GuiScreen func 73864 a(GuiScreen java:443)_x000D_
	at net minecraft client gui GuiCreateWorld func 73864 a(GuiCreateWorld java:416)_x000D_
	at net minecraft client gui GuiScreen func 146274 d(GuiScreen java:533)_x000D_
	at net minecraft client gui GuiScreen func 146269 k(GuiScreen java:501)_x000D_
_x000D_
   Affected screen   _x000D_
Details:_x000D_
	Screen name: net minecraft client gui GuiScreenWorking_x000D_
Stacktrace:_x000D_
	at net minecraft client Minecraft func 71407 l(Minecraft java:1759)_x000D_
	at net minecraft client Minecraft func 71411 J(Minecraft java:1098)_x000D_
	at net minecraft client Minecraft func 99999 d(Minecraft java:398)_x000D_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System Details   _x000D_
Details:_x000D_
	Minecraft Version: 1 12 2_x000D_
	Operating System: Linux (aarch64) version Android 11_x000D_
	Java Version: 1 8 0 internal  Oracle Corporation_x000D_
	Java VM Version: OpenJDK 64 Bit Server VM (mixed mode)  Oracle Corporation_x000D_
	Memory: 424837112 bytes (405 MB)   727711744 bytes (694 MB) up to 727711744 bytes (694 MB)_x000D_
	JVM Flags: 3 total   Xms731M  Xmx731M  Xbootclasspath p: storage emulated 0 Android data net kdt pojavlaunch files caciocavallo ResConfHack jar: storage emulated 0 Android data net kdt pojavlaunch files caciocavallo cacio androidnw 1 10 SNAPSHOT jar: storage emulated 0 Android data net kdt pojavlaunch files caciocavallo cacio shared 1 10 SNAPSHOT jar_x000D_
	IntCache: cache: 1  tcache: 1  allocated: 12  tallocated: 94_x000D_
	FML: MCP 9 42 Powered by Forge 14 23 5 2857 Optifine OptiFine 1 12 2 HD U E3 5 mods loaded  5 mods active_x000D_
	States:  U    Unloaded  L    Loaded  C    Constructed  H    Pre initialized  I    Initialized  J    Post initialized  A    Available  D    Disabled  E    Errored_x000D_
_x000D_
	  State    ID                 Version        Source                                           Signature                                 _x000D_
	 :        :                  :              :                                                :                                          _x000D_
	  LCHIJA   minecraft          1 12 2         minecraft jar                                    None                                      _x000D_
	  LCHIJA   mcp                9 42           minecraft jar                                    None                                      _x000D_
	  LCHIJA   FML                8 0 99 99      forge 1 12 2 14 23 5 2857 jar                    e3c3d50c7c986df74c645c0ac54639741c90a557  _x000D_
	  LCHIJA   forge              14 23 5 2857   forge 1 12 2 14 23 5 2857 jar                    e3c3d50c7c986df74c645c0ac54639741c90a557  _x000D_
	  LCHIJA   universalmodcore   1 1 4          UniversalModCore 1 12 2 forge 1 1 4 2b81e7 jar   None                                      _x000D_
_x000D_
	Loaded coremods (and transformers): _x000D_
	Launched Version: 1 12 2_x000D_
	LWJGL: 3 2 3 SNAPSHOT_x000D_
	OpenGL: GL4ES wrapper GL version 2 1 gl4es wrapper 1 1 4  ptitSeb_x000D_
	GL Caps: VboRegions not supported  missing: OpenGL 1 3  ARB copy buffer_x000D_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Yes_x000D_
	Is Modded: Definitely  Client brand changed to  fml forge _x000D_
	Type: Client (map client txt)_x000D_
	Resource Packs: _x000D_
	Current Language: English (US)_x000D_
	Profiler Position: N A (disabled)_x000D_
	CPU: 9x null_x000D_
	OptiFine Version: OptiFine 1 12 2 HD U E3_x000D_
	OptiFine Build: 20181210 121000_x000D_
	Render Distance Chunks: 2_x000D_
	Mipmaps: 0_x000D_
	Anisotropic Filtering: 1_x000D_
	Antialiasing: 0_x000D_
	Multitexture: false_x000D_
	Shaders: null_x000D_
	OpenGlVersion: 2 1 gl4es wrapper 1 1 4_x000D_
	OpenGlRenderer: GL4ES wrapper_x000D_
	OpenGlVendor: ptitSeb_x000D_
	CpuCount: 8
    Steps To Reproduce
   markdown
Idk really
    Expected Behavior
I
    Platform
   markdown
  Device model:vivo y20s (g)_x000D_
  CPU architecture: aarch64_x000D_
  Android version:6 _x000D_
  PojavLauncher version:crocus v3 openjdk
    Anything else 
 No response </t>
  </si>
  <si>
    <t>PojavLauncherTeam-PojavLauncher-2895</t>
  </si>
  <si>
    <t>[BUG] &lt;Crash 1.16.5.&gt;</t>
  </si>
  <si>
    <t xml:space="preserve">    Describe the bug
When start up a world on pojavlauncher right as it s about to go in it crashes  And exits the whole game 
    The log file and images videos
  image (https:  user images githubusercontent com 81200808 158091043 8f3de3eb 75fc 4275 9f93 6840cc5b7f57 png)_x000D_
    Steps To Reproduce
   markdown
1  start pojav launcher_x000D_
2  Load in world_x000D_
3  Games saves_x000D_
4  The launcher crashes
    Expected Behavior
I expect to go onto my world 
    Platform
   markdown
  Device model: Chromebook_x000D_
  CPU architecture: arm 64_x000D_
  Android version: idk_x000D_
  PojavLauncher version: 16 5
    Anything else 
 No response </t>
  </si>
  <si>
    <t>nextcloud-android-9962</t>
  </si>
  <si>
    <t>error setting auto upload</t>
  </si>
  <si>
    <t xml:space="preserve">    Steps to reproduce_x000D_
1  New phone  login _x000D_
2  Grant folder permissions (I might have done this wrong  trying to accept defaults so i hit back not seeing any other option)_x000D_
3  Settings _x000D_
4  Auto upload_x000D_
5  See following error message _x000D_
_x000D_
    Expected behaviour_x000D_
  able to add folders to auto upload _x000D_
_x000D_
    Actual behaviour_x000D_
  see crash backtrace _x000D_
_x000D_
             CAUSE OF ERROR             _x000D_
_x000D_
java lang RuntimeException: Can t create handler inside thread Thread DefaultDispatcher worker 1 5 main  that has not called Looper prepare()_x000D_
	at android os Handler  init (Handler java:227)_x000D_
	at android os Handler  init (Handler java:129)_x000D_
	at android app Dialog  init (Dialog java:173)_x000D_
	at android app Dialog  init (Dialog java:278)_x000D_
	at androidx appcompat app AppCompatDialog  init (AppCompatDialog java:57)_x000D_
	at androidx appcompat app AlertDialog  init (AlertDialog java:98)_x000D_
	at androidx appcompat app AlertDialog Builder create(AlertDialog java:983)_x000D_
	at com owncloud android utils PermissionUtil requestManageFilesPermission(PermissionUtil kt:137)_x000D_
	at com owncloud android utils PermissionUtil requestExternalStoragePermission(PermissionUtil kt:109)_x000D_
	at com owncloud android datamodel MediaProvider checkPermissions(MediaProvider java:190)_x000D_
	at com owncloud android datamodel MediaProvider getImageFolders(MediaProvider java:77)_x000D_
	at com owncloud android ui activity SyncedFoldersActivity load 1 invokeSuspend(SyncedFoldersActivity kt:282)_x000D_
	at kotlin coroutines jvm internal BaseContinuationImpl resumeWith(ContinuationImpl kt:33)_x000D_
	at kotlinx coroutines DispatchedTask run(DispatchedTask kt:106)_x000D_
	at kotlinx coroutines scheduling CoroutineScheduler runSafely(CoroutineScheduler kt:571)_x000D_
	at kotlinx coroutines scheduling CoroutineScheduler Worker executeTask(CoroutineScheduler kt:750)_x000D_
	at kotlinx coroutines scheduling CoroutineScheduler Worker runWorker(CoroutineScheduler kt:678)_x000D_
	at kotlinx coroutines scheduling CoroutineScheduler Worker run(CoroutineScheduler kt:665)_x000D_
_x000D_
             APP INFORMATION             _x000D_
ID: com nextcloud client_x000D_
Version: 30190190_x000D_
Build flavor: gplay_x000D_
_x000D_
             DEVICE INFORMATION             _x000D_
Brand: samsung_x000D_
Device: r0q_x000D_
Model: SM S901U_x000D_
Id: SP1A 210812 016_x000D_
Product: r0qsqw_x000D_
_x000D_
             FIRMWARE             _x000D_
SDK: 31_x000D_
Release: 12_x000D_
Incremental: S901USQU1AVA7_x000D_
_x000D_
_x000D_
    Environment data_x000D_
Android version:_x000D_
_x000D_
Device model: _x000D_
_x000D_
Stock or customized system:_x000D_
_x000D_
Nextcloud app version:_x000D_
_x000D_
Nextcloud server versi_x000D_
_x000D_
21 0 4</t>
  </si>
  <si>
    <t>OpenSeizureDetector-Android_Pebble_SD-48</t>
  </si>
  <si>
    <t>Crash using 'Report Seizure' function</t>
  </si>
  <si>
    <t xml:space="preserve">A user reported an app crash when using the Report Seizure function   no other details so far </t>
  </si>
  <si>
    <t>TeamNewPipe-NewPipe-8028</t>
  </si>
  <si>
    <t>Subscriptions import crashes newpipe</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</si>
  <si>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1
    Steps to reproduce the bug
1  Export subscriptions from Google Takeout_x000D_
2  Import CSV into newpipe
    Expected behavior
Subscriptions get added
    Actual behavior
App crashes 
    Screenshots Screen recordings
 No response 
    Logs
   Exception_x000D_
    User Action:   ui error_x000D_
    Request:   ACRA report_x000D_
    Content Country:   US_x000D_
    Content Language:   en US_x000D_
    App Language:   en US_x000D_
    Service:   none_x000D_
    Version:   0 22 1_x000D_
    OS:   Linux Android 12   31_x000D_
 details  summary  b Crash log   b   summary  p _x000D_
_x000D_
   _x000D_
java lang RuntimeException: Unable to start service org schabi newpipe local subscription services SubscriptionsImportService 98bb264 with Intent   cmp org schabi newpipe  local subscription services SubscriptionsImportService (has extras)  : java lang SecurityException: Permission Denial: opening provider com android providers media MediaDocumentsProvider from ProcessRecord 6373497 4967:org schabi newpipe u0a514  (pid 4967  uid 10514) requires that you obtain access using ACTION OPEN DOCUMENT or related APIs_x000D_
	at android app ActivityThread handleServiceArgs(ActivityThread java:4657)_x000D_
	at android app ActivityThread access 2000(ActivityThread java:247)_x000D_
	at android app ActivityThread H handleMessage(ActivityThread java:2091)_x000D_
	at android os Handler dispatchMessage(Handler java:106)_x000D_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Caused by: java lang SecurityException: Permission Denial: opening provider com android providers media MediaDocumentsProvider from ProcessRecord 6373497 4967:org schabi newpipe u0a514  (pid 4967  uid 10514) requires that you obtain access using ACTION OPEN DOCUMENT or related APIs_x000D_
	at android os Parcel createExceptionOrNull(Parcel java:2425)_x000D_
	at android os Parcel createException(Parcel java:2409)_x000D_
	at android os Parcel readException(Parcel java:2392)_x000D_
	at android os Parcel readException(Parcel java:2334)_x000D_
	at android app IActivityManager Stub Proxy getContentProvider(IActivityManager java:5869)_x000D_
	at android app ActivityThread acquireProvider(ActivityThread java:6973)_x000D_
	at android app ContextImpl ApplicationContentResolver acquireUnstableProvider(ContextImpl java:3339)_x000D_
	at android content ContentResolver acquireUnstableProvider(ContentResolver java:2526)_x000D_
	at android content ContentResolver openAssetFileDescriptor(ContentResolver java:1844)_x000D_
	at android content ContentResolver openFileDescriptor(ContentResolver java:1675)_x000D_
	at android content ContentResolver openFileDescriptor(ContentResolver java:1622)_x000D_
	at us shandian giga io FileStreamSAF  init (FileStreamSAF java:32)_x000D_
	at org schabi newpipe streams io StoredFileHelper getStream(StoredFileHelper java:195)_x000D_
	at org schabi newpipe local subscription services SubscriptionsImportService onStartCommand(SubscriptionsImportService java:118)_x000D_
	at android app ActivityThread handleServiceArgs(ActivityThread java:4639)_x000D_
	    9 more_x000D_
Caused by: android os RemoteException: Remote stack trace:_x000D_
	at com android server am ContentProviderHelper checkAssociationAndPermissionLocked(ContentProviderHelper java:611)_x000D_
	at com android server am ContentProviderHelper getContentProviderImpl(ContentProviderHelper java:235)_x000D_
	at com android server am ContentProviderHelper getContentProvider(ContentProviderHelper java:125)_x000D_
	at com android server am ActivityManagerService getContentProvider(ActivityManagerService java:6008)_x000D_
	at android app IActivityManager Stub onTransact(IActivityManager java:2451)_x000D_
_x000D_
_x000D_
   _x000D_
  details _x000D_
 hr _x000D_
    Affected Android Custom ROM version
Descendant 12
    Affected device model
Pixel 4a
    Additional information
 No response </t>
  </si>
  <si>
    <t>nextcloud-android-9961</t>
  </si>
  <si>
    <t>Crash on disk space full</t>
  </si>
  <si>
    <t xml:space="preserve">    Steps to reproduce
1  Have full disk space
2  Use your phone
3  Nextcloud crashes
    Expected behaviour
  app pausing   stopping work   warning but not crashing
    Actual behaviour
  I wasn t even using nextcloud app  but the app opened with this crash log 
  also crashes when opening app
    Environment data
see below
    Logs
     Nextcloud log (data nextcloud log)
             CAUSE OF ERROR             
java io IOException: write failed: ENOSPC (No space left on device)
	at libcore io IoBridge write(IoBridge java:540)
	at java io FileOutputStream write(FileOutputStream java:398)
	at java io FileOutputStream write(FileOutputStream java:376)
	at com nextcloud client logger FileLogHandler write(FileLogHandler kt:77)
	at com nextcloud client logger LoggerImpl eventLoop(LoggerImpl kt:132)
	at com nextcloud client logger LoggerImpl access eventLoop(LoggerImpl kt:32)
	at com nextcloud client logger LoggerImpl start 1 invoke(LoggerImpl kt:57)
	at com nextcloud client logger LoggerImpl start 1 invoke(LoggerImpl kt:57)
	at com nextcloud client logger ThreadLoop loop(ThreadLoop kt:70)
	at com nextcloud client logger ThreadLoop  r8 lambda hYfuazcxVm6CsqDRlq1Sko8 5IA(Unknown Source:0)
	at com nextcloud client logger ThreadLoop  ExternalSyntheticLambda0 run(Unknown Source:2)
	at java lang Thread run(Thread java:923)
Caused by: android system ErrnoException: write failed: ENOSPC (No space left on device)
	at libcore io Linux writeBytes(Native Method)
	at libcore io Linux write(Linux java:293)
	at libcore io ForwardingOs write(ForwardingOs java:240)
	at libcore io BlockGuardOs write(BlockGuardOs java:418)
	at libcore io ForwardingOs write(ForwardingOs java:240)
	at libcore io IoBridge write(IoBridge java:535)
	    11 more
             APP INFORMATION             
ID: com nextcloud client
Version: 30190152
Build flavor: gplay
             DEVICE INFORMATION             
Brand: OnePlus
Device: OnePlus6T
Model: ONEPLUS A6013
Id: RKQ1 201217 002
Product: OnePlus6T
             FIRMWARE             
SDK: 30
Release: 11
Incremental: 2111252327
</t>
  </si>
  <si>
    <t>google-ExoPlayer-10060</t>
  </si>
  <si>
    <t>Fatal Exception: java.lang.NoClassDefFoundError: com.google.android.exoplayer2.l</t>
  </si>
  <si>
    <t xml:space="preserve">  ExoPlayer 2 17 0   2 17 1_x000D_
  Android version 6 0_x000D_
  Android device all_x000D_
Hello  The application crashes when starting the initialization of the player:            _x000D_
mediaDataSourceFactory   buildDataSourceFactory() _x000D_
            MediaSource Factory mediaSourceFactory  _x000D_
                    new DefaultMediaSourceFactory(mediaDataSourceFactory) _x000D_
            RenderersFactory renderersFactory  _x000D_
                    ((Application) getApplication())_x000D_
                             buildRenderersFactory(false) _x000D_
            try  _x000D_
                audioPlayer   new ExoPlayer Builder(this  renderersFactory) setMediaSourceFactory(mediaSourceFactory) build() _x000D_
             catch (Exception ignored)  ) _x000D_
before this was not the case _x000D_
_x000D_
2022 03 13 08:17:43 466 2463 2463       E AndroidRuntime: FATAL EXCEPTION: main_x000D_
    Process:          PID: 2463_x000D_
    java lang NoClassDefFoundError: com google android exoplayer2 ExoPlayer Builder  ExternalSyntheticLambda3_x000D_
        at com google android exoplayer2 ExoPlayer Builder  init (ExoPlayer java:500)_x000D_
_x000D_
</t>
  </si>
  <si>
    <t>MuntashirAkon-AppManager-701</t>
  </si>
  <si>
    <t xml:space="preserve">App is crashing with adb over tcp </t>
  </si>
  <si>
    <t xml:space="preserve">App is crashing when I open it after enabling adb over tcp _x000D_
_x000D_
  Device info  _x000D_
   Device: Samsung S22 Ultra_x000D_
   OS Version: Android 12_x000D_
   App Manager Version: version 3 0 0 alpha01_x000D_
</t>
  </si>
  <si>
    <t>PojavLauncherTeam-PojavLauncher-2884</t>
  </si>
  <si>
    <t>[BUG] Pojav crashes whenever i open it</t>
  </si>
  <si>
    <t xml:space="preserve">    Describe the bug_x000D_
_x000D_
I used to have no problems and then I just get a crash suddenly_x000D_
_x000D_
    The log file and images videos_x000D_
_x000D_
java lang NullPointerException: Attempt to invoke virtual method  java lang Object java util HashMap get(java lang Object)  on a null object reference_x000D_
	at net kdt pojavlaunch tasks MinecraftDownloaderTask doInBackground(MinecraftDownloaderTask java:95)_x000D_
	at net kdt pojavlaunch tasks MinecraftDownloaderTask doInBackground(MinecraftDownloaderTask java:25)_x000D_
	at android os AsyncTask 2 call(AsyncTask java:333)_x000D_
	at java util concurrent FutureTask run(FutureTask java:266)_x000D_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_x000D_
_x000D_
    Steps To Reproduce_x000D_
_x000D_
   markdown_x000D_
1  Start Pojav_x000D_
2 Crash_x000D_
3 Crash message:java lang NullPointerException: Attempt to invoke virtual method  java lang Object java util HashMap get(java lang Object)  on a null object reference_x000D_
   _x000D_
_x000D_
_x000D_
    Expected Behavior_x000D_
_x000D_
I expect the gane starts_x000D_
_x000D_
    Platform_x000D_
_x000D_
   markdown_x000D_
  Device model: Samsung Galaxy S8_x000D_
  CPU architecture: 4x Samsung Exynos M2   2 31 GHz_x000D_
  Android version: 9_x000D_
  PojavLauncher version: Newest version_x000D_
   _x000D_
_x000D_
_x000D_
    Anything else _x000D_
_x000D_
Nothing else</t>
  </si>
  <si>
    <t>xManager-v2-xManager-Spotify-76</t>
  </si>
  <si>
    <t xml:space="preserve">divided by zero error when canceling the download </t>
  </si>
  <si>
    <t xml:space="preserve">Version: 2 9_x000D_
Device: Galaxy A50_x000D_
OS: Android 11_x000D_
_x000D_
When I cancel the download  the app crashes and if I launch the app again it shows this message _x000D_
_x000D_
  Screenshot 20220312 183917 xManager (https:  user images githubusercontent com 65142096 158012982 61e942b8 dd04 4518 854a d1c1c29554b9 jpg)_x000D_
</t>
  </si>
  <si>
    <t>TeamNewPipe-NewPipe-8015</t>
  </si>
  <si>
    <t>red dot notification on youtube channel icon not showing</t>
  </si>
  <si>
    <t xml:space="preserve">    Checklist_x000D_
_x000D_
   X  I am able to reproduce the bug with the  latest version (https:  github com TeamNewPipe NewPipe releases latest) _x000D_
   X  I made sure that there are  no existing issues     open (https:  github com TeamNewPipe NewPipe issues) or  closed (https:  github com TeamNewPipe NewPipe issues q is 3Aissue is 3Aclosed)   which I could contribute my information to _x000D_
   X  I have taken the time to fill in all the required details  I understand that the bug report will be dismissed otherwise _x000D_
   X  This issue contains only one bug _x000D_
   X  I have read and understood the  contribution guidelines (https:  github com TeamNewPipe NewPipe blob dev  github CONTRIBUTING md) _x000D_
_x000D_
    Affected version_x000D_
_x000D_
0 22 1_x000D_
_x000D_
    Steps to reproduce the bug_x000D_
_x000D_
1  subscribe channel_x000D_
2  watch videos_x000D_
3  when new video show up on channel  there is no more red dot on channel icon in subscribed tab _x000D_
_x000D_
    Expected behavior_x000D_
_x000D_
In previous version red dot icon show up on channel icon  in subscribe tab  when nev video was added to channel _x000D_
Please bring it back  _x000D_
_x000D_
    Actual behavior_x000D_
_x000D_
In previous version red dot icon show up on channel icon  in subscribe tab when nev video was added to channel _x000D_
Red dot not showing and i have to open every channel one by one to check new videos  Please repair this _x000D_
_x000D_
    Screenshots Screen recordings_x000D_
_x000D_
 img alt  noreddot  src  https:  user images githubusercontent com 99500533 158009704 258dc516 f1d0 4833 a701 af661f69c688 png  height 600   _x000D_
 img alt  howitshoullook  src  https:  user images githubusercontent com 99500533 158009706 4675529f 31ea 4045 881f ca10900eacc2 png  height 600   _x000D_
_x000D_
_x000D_
_x000D_
    Logs_x000D_
_x000D_
no crash_x000D_
_x000D_
    Affected Android Custom ROM version_x000D_
_x000D_
android 11_x000D_
_x000D_
    Affected device model_x000D_
_x000D_
motorola g60 XT2135 2  huawei P Smart 2019 POT LX1_x000D_
_x000D_
    Additional information_x000D_
_x000D_
This dots worked in previous versions (20 x x or 21 x x i think)</t>
  </si>
  <si>
    <t>PojavLauncherTeam-PojavLauncher-2883</t>
  </si>
  <si>
    <t>[BUG] when i go to crash log page the launcher crashes</t>
  </si>
  <si>
    <t xml:space="preserve">    Describe the bug
Pojav launcher has unexpectedly crashed
    The log file and images videos
java lang NullPointerException: Attempt to get length of null array_x000D_
	at net kdt pojavlaunch Tools lastFileModified(Tools java:664)_x000D_
	at net kdt pojavlaunch fragments CrashFragment refreshCrashFile(CrashFragment java:52)_x000D_
	at net kdt pojavlaunch fragments CrashFragment onResume(CrashFragment java:42)_x000D_
	at androidx fragment app Fragment performResume(Fragment java:3039)_x000D_
	at androidx fragment app FragmentStateManager resume(FragmentStateManager java:607)_x000D_
	at androidx fragment app FragmentStateManager moveToExpectedState(FragmentStateManager java:306)_x000D_
	at androidx fragment app FragmentManager executeOpsTogether(FragmentManager java:2189)_x000D_
	at androidx fragment app FragmentManager removeRedundantOperationsAndExecute(FragmentManager java:2100)_x000D_
	at androidx fragment app FragmentManager execSingleAction(FragmentManager java:1971)_x000D_
	at androidx fragment app BackStackRecord commitNow(BackStackRecord java:305)_x000D_
	at androidx viewpager2 adapter FragmentStateAdapter FragmentMaxLifecycleEnforcer updateFragmentMaxLifecycle(FragmentStateAdapter java:726)_x000D_
	at androidx viewpager2 adapter FragmentStateAdapter FragmentMaxLifecycleEnforcer 1 onPageScrollStateChanged(FragmentStateAdapter java:632)_x000D_
	at androidx viewpager2 widget CompositeOnPageChangeCallback onPageScrollStateChanged(CompositeOnPageChangeCallback java:87)_x000D_
	at androidx viewpager2 widget CompositeOnPageChangeCallback onPageScrollStateChanged(CompositeOnPageChangeCallback java:87)_x000D_
	at androidx viewpager2 widget ScrollEventAdapter dispatchStateChanged(ScrollEventAdapter java:426)_x000D_
	at androidx viewpager2 widget ScrollEventAdapter onScrolled(ScrollEventAdapter java:214)_x000D_
	at androidx recyclerview widget RecyclerView dispatchOnScrolled(RecyclerView java:5173)_x000D_
	at androidx recyclerview widget RecyclerView ViewFlinger run(RecyclerView java:5338)_x000D_
	at android view Choreographer CallbackRecord run(Choreographer java:1010)_x000D_
	at android view Choreographer doCallbacks(Choreographer java:809)_x000D_
	at android view Choreographer doFrame(Choreographer java:740)_x000D_
	at android view Choreographer FrameDisplayEventReceiver run(Choreographer java:995)_x000D_
	at android os Handler handleCallback(Handler java:938)_x000D_
	at android os Handler dispatchMessage(Handler java:99)_x000D_
	at android os Looper loop(Looper java:246)_x000D_
	at android app ActivityThread main(ActivityThread java:8653)_x000D_
	at java lang reflect Method invoke(Native Method)_x000D_
	at com android internal os RuntimeInit MethodAndArgsCaller run(RuntimeInit java:602)_x000D_
	at com android internal os ZygoteInit main(ZygoteInit java:1130)_x000D_
    Steps To Reproduce
   markdown
1 start pojavlauncher _x000D_
2 go to crash log page _x000D_
3 it will crash_x000D_
4 crash message  PojavLauncher has unexpectedly crashed 
    Expected Behavior
I expect it to not crash
    Platform
   markdown
  Device model: Samsung Tab A7 T295_x000D_
  CPU architecture: Aarch64_x000D_
  Android version: 11_x000D_
  PojavLauncher version: Possible fix for broken UI Action build
    Anything else 
 No response </t>
  </si>
  <si>
    <t>PojavLauncherTeam-PojavLauncher-2882</t>
  </si>
  <si>
    <t>[BUG] Crashing when rendering</t>
  </si>
  <si>
    <t xml:space="preserve">    Describe the bug
So I am using Pojav Launcher for the quest 2 and every time I try to load in the game  Its like black and when i look in the crash log it says rendering overlay and shaders failed to load or something like that  I don t have any mods on yet and I don t know if I need them  I ll try to add a screenshot of the crash log soon 
    The log file and images videos
https:  pastebin com 7E7DuhwK
    Steps To Reproduce
   markdown
1  Download Sidequest and install Questcraft on your Quest 2 _x000D_
_x000D_
2  When Questcraft is done  it should also install Pojav too  Just open it and select the most recent version of Minecraft_x000D_
_x000D_
3  Press play and it should be black for like 30 seconds it will just restart Pojav Launcher 
    Expected Behavior
I expect the game to load me in the title screen of minecraft vr 
    Platform
   markdown
  Device model: Quest 2_x000D_
  CPU architecture: idk what that means_x000D_
  Android version: my oculus version is v37_x000D_
  PojavLauncher version: 20210430
    Anything else 
 No response </t>
  </si>
  <si>
    <t>itsaky-AndroidIDE-117</t>
  </si>
  <si>
    <t>[BUG]</t>
  </si>
  <si>
    <t xml:space="preserve">AndroidIDE crash report_x000D_
Manufacturer: HUAWEI_x000D_
Device: SNE LX3_x000D_
App version: 2 0 beta (200)_x000D_
_x000D_
 Stacktrace: _x000D_
java lang NullPointerException: Attempt to read from field  int io github rosemoe sora text CharPosition line  on a null object reference_x000D_
	at io github rosemoe sora text CachedIndexer afterInsert(CachedIndexer java:419)_x000D_
	at io github rosemoe sora text Content dispatchAfterInsert(Content java:852)_x000D_
	at io github rosemoe sora text Content insertInternal(Content java:372)_x000D_
	at io github rosemoe sora text Content insert(Content java:331)_x000D_
	at io github rosemoe sora widget CodeEditor commitText(CodeEditor java:3003)_x000D_
	at io github rosemoe sora widget EditorInputConnection commitTextInternal(EditorInputConnection java:246)_x000D_
	at io github rosemoe sora widget EditorInputConnection commitText(EditorInputConnection java:210)_x000D_
	at com android internal view IInputConnectionWrapper executeMessage(IInputConnectionWrapper java:339)_x000D_
	at com android internal view IInputConnectionWrapper MyHandler handleMessage(IInputConnectionWrapper java:89)_x000D_
	at android os Handler dispatchMessage(Handler java:107)_x000D_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_x000D_
</t>
  </si>
  <si>
    <t>google-ExoPlayer-10057</t>
  </si>
  <si>
    <t>defaultAudioLink.flush causes OutOfMemory</t>
  </si>
  <si>
    <t xml:space="preserve">This is a follow up of the issue  8728 (https:  github com google ExoPlayer issues 8728)_x000D_
_x000D_
We encounter the same issue in our application  The context is that we are a feed application where we may play several videos at the same time in the feed  We can also play full screen video from time to time  We try to keep reusing the players that have already been created _x000D_
_x000D_
There are several circumstances where we will release a player:_x000D_
  To treat the system memory nicely  we also release all players if the application goes to the background _x000D_
  We will release a player if the cache pool already has enough players  for example  4  We do this check after the video is scrolled off the screen _x000D_
_x000D_
Since we have quite a lot videos in our feed  we try to keep using the players and at the same time  we would release players periodically  There are some pages with lots of videos and we could suddenly release lots of players  I think the current implementation of the defaultAudioLink flush() would lead to too many threads created in some cases in our application _x000D_
_x000D_
This is an example of the crash:_x000D_
  image (https:  user images githubusercontent com 12901839 157966844 da8c1774 c46e 43d5 a136 b1ea978e50d9 png)_x000D_
_x000D_
So it would be great to offer something like this _x000D_
  image (https:  user images githubusercontent com 12901839 157966522 807ce1ec b831 41fa ae74 9894492e3cef png)_x000D_
_x000D_
  ExoPlayer version number: 2 14 2_x000D_
  Android version: OS 10 (this seems only happen on OS 10)_x000D_
  Android device: many_x000D_
</t>
  </si>
  <si>
    <t>nextcloud-talk-android-1869</t>
  </si>
  <si>
    <t>Intermittent crash when showing avatar</t>
  </si>
  <si>
    <t xml:space="preserve">   Steps to reproduce_x000D_
1  Start Talk app_x000D_
2  Open existing one to one conversation_x000D_
_x000D_
    Expected behaviour_x000D_
Conversation opened_x000D_
_x000D_
    Actual behaviour_x000D_
Sometimes the app crashes with the following error in the log _x000D_
 details _x000D_
_x000D_
   _x000D_
          beginning of crash_x000D_
03 08 21:49:37 800  6094  6094 E AndroidRuntime: FATAL EXCEPTION: main_x000D_
03 08 21:49:37 800  6094  6094 E AndroidRuntime: Process: com nextcloud talk2  PID: 6094_x000D_
03 08 21:49:37 800  6094  6094 E AndroidRuntime: java lang IllegalArgumentException: width and height must be   0_x000D_
03 08 21:49:37 800  6094  6094 E AndroidRuntime: 	at android graphics Bitmap createBitmap(Bitmap java:877)_x000D_
03 08 21:49:37 800  6094  6094 E AndroidRuntime: 	at android graphics Bitmap createBitmap(Bitmap java:856)_x000D_
03 08 21:49:37 800  6094  6094 E AndroidRuntime: 	at android graphics Bitmap createBitmap(Bitmap java:787)_x000D_
03 08 21:49:37 800  6094  6094 E AndroidRuntime: 	at android graphics Bitmap createScaledBitmap(Bitmap java:663)_x000D_
03 08 21:49:37 800  6094  6094 E AndroidRuntime: 	at com nextcloud talk controllers ChatController loadAvatarForStatusBar 1 onNewResultImpl(ChatController kt:427)_x000D_
03 08 21:49:37 800  6094  6094 E AndroidRuntime: 	at com facebook imagepipeline datasource BaseBitmapDataSubscriber onNewResultImpl(BaseBitmapDataSubscriber java:60)_x000D_
03 08 21:49:37 800  6094  6094 E AndroidRuntime: 	at com facebook datasource BaseDataSubscriber onNewResult(BaseDataSubscriber java:46)_x000D_
03 08 21:49:37 800  6094  6094 E AndroidRuntime: 	at com facebook datasource AbstractDataSource 1 run(AbstractDataSource java:176)_x000D_
03 08 21:49:37 800  6094  6094 E AndroidRuntime: 	at com facebook common executors UiThreadImmediateExecutorService execute(UiThreadImmediateExecutorService java:37)_x000D_
03 08 21:49:37 800  6094  6094 E AndroidRuntime: 	at com facebook datasource AbstractDataSource notifyDataSubscriber(AbstractDataSource java:167)_x000D_
03 08 21:49:37 800  6094  6094 E AndroidRuntime: 	at com facebook datasource AbstractDataSource subscribe(AbstractDataSource java:150)_x000D_
03 08 21:49:37 800  6094  6094 E AndroidRuntime: 	at com nextcloud talk controllers ChatController loadAvatarForStatusBar(ChatController kt:421)_x000D_
03 08 21:49:37 800  6094  6094 E AndroidRuntime: 	at com nextcloud talk controllers ChatController access loadAvatarForStatusBar(ChatController kt:197)_x000D_
03 08 21:49:37 800  6094  6094 E AndroidRuntime: 	at com nextcloud talk controllers ChatController getRoomInfo 1 onNext(ChatController kt:333)_x000D_
03 08 21:49:37 800  6094  6094 E AndroidRuntime: 	at com nextcloud talk controllers ChatController getRoomInfo 1 onNext(ChatController kt:319)_x000D_
03 08 21:49:37 800  6094  6094 E AndroidRuntime: 	at io reactivex internal operators observable ObservableObserveOn ObserveOnObserver drainNormal(ObservableObserveOn java:201)_x000D_
03 08 21:49:37 800  6094  6094 E AndroidRuntime: 	at io reactivex internal operators observable ObservableObserveOn ObserveOnObserver run(ObservableObserveOn java:255)_x000D_
03 08 21:49:37 800  6094  6094 E AndroidRuntime: 	at io reactivex android schedulers HandlerScheduler ScheduledRunnable run(HandlerScheduler java:124)_x000D_
03 08 21:49:37 800  6094  6094 E AndroidRuntime: 	at android os Handler handleCallback(Handler java:751)_x000D_
03 08 21:49:37 800  6094  6094 E AndroidRuntime: 	at android os Handler dispatchMessage(Handler java:95)_x000D_
03 08 21:49:37 800  6094  6094 E AndroidRuntime: 	at android os Looper loop(Looper java:154)_x000D_
03 08 21:49:37 800  6094  6094 E AndroidRuntime: 	at android app ActivityThread main(ActivityThread java:6119)_x000D_
03 08 21:49:37 800  6094  6094 E AndroidRuntime: 	at java lang reflect Method invoke(Native Method)_x000D_
03 08 21:49:37 800  6094  6094 E AndroidRuntime: 	at com android internal os ZygoteInit MethodAndArgsCaller run(ZygoteInit java:886)_x000D_
03 08 21:49:37 800  6094  6094 E AndroidRuntime: 	at com android internal os ZygoteInit main(ZygoteInit java:776)_x000D_
   _x000D_
  details _x000D_
_x000D_
_x000D_
   Device information_x000D_
_x000D_
  Device:   Emulator_x000D_
  Android version:   7 1_x000D_
  Talk version:   master_x000D_
_x000D_
   Server information_x000D_
_x000D_
  Nextcloud version:   22 2 5_x000D_
  Talk version:   12 2 3_x000D_
  Custom Signaling server configured:   no_x000D_
  Custom TURN server configured:   no_x000D_
  Custom STUN server configured:   no_x000D_
</t>
  </si>
  <si>
    <t>Giua-app-Giua-App-131</t>
  </si>
  <si>
    <t>Crash con applicazione appena installata</t>
  </si>
  <si>
    <t xml:space="preserve">  Descrizione del bug  
L applicazione crasha appena installata
  Indica i passaggi per riprodurre il bug  
Installare l apk  aprire l app 
  Stacktrace  
Build version: 0 6 6 stable 
Build date: 11 02 2022 17:57:57 
Current date: 11 03 2022 19:48:06 
Device: Xiaomi M2101K6G 
OS version: Android 12 (SDK 31) 
Stack trace:  
java lang NullPointerException: Attempt to invoke virtual method  java lang String androidx security crypto EncryptedSharedPreferences getString(java lang String  java lang String)  on a null object reference
	at com giua app LoginData getPassword(LoginData java:1)
	at com github appintro AppIntroBase  ExternalSyntheticLambda2 run(R8  SyntheticClass:3)
	at com giua app InternetThread run(InternetThread java:7)
User actions: 
2022 03 11 19:47:57: AutomaticLoginActivity created
2022 03 11 19:47:57: AutomaticLoginActivity resumed
</t>
  </si>
  <si>
    <t>PojavLauncherTeam-PojavLauncher-2878</t>
  </si>
  <si>
    <t>1.18 renderer not working.</t>
  </si>
  <si>
    <t xml:space="preserve">    Describe the bug
Vgpu  gl4es 1 1 5  and gl4es 1 1 4  none of those will work when I launch 1 18 it just exits the whole entire game  And_x000D_
zink (Vulkan) isn t compatible with my device (Chromebook ) Any thoughts on how my renderer could work so I can launch 1 18 thanks  
    The log file and images videos
_x000D_
  Screenshot 2022 03 11 08 00 41 (https:  user images githubusercontent com 81200808 157871479 65d5c369 1395 4293 b00a e2ace1011053 png)_x000D_
_x000D_
    Steps To Reproduce
   markdown
So I start pojav launcher  Then I log in and click on version 1 18 2 _x000D_
Then I go to settings and click put java 17 in and turn up my ram  Then mostly I choose a new renderer to see if that one would work  And finally  launch 1 18
    Expected Behavior
I then expect the game to load in but then it crashes and exits the whole game 
    Platform
   markdown
  Device model: chromebook_x000D_
  CPU architecture: aarch64_x000D_
  Android version: 10_x000D_
  PojavLauncher version: Latest Release
    Anything else 
 No response </t>
  </si>
  <si>
    <t>PojavLauncherTeam-PojavLauncher-2877</t>
  </si>
  <si>
    <t>[BUG] Android 11, LineageOS, permissions.</t>
  </si>
  <si>
    <t xml:space="preserve">    Describe the bug
To save crash logs and to install Fabric or Forge app requests storage access  But when im moving to Apps   Permissions   PojavLauncher it doesnt request any permissions  so im not able to install mods    send crash logs _x000D_
_x000D_
Also  installers (OptiFine  Forge  Fabric) doesnt work  it says  Wait   then opens sorta thing like window  and then it just returns me back to the launcher  like nothing even happened _x000D_
_x000D_
Is it Android issue  I guess not _x000D_
    The log file and images videos
  App doesnt request any permissions on Android 11 (https:  user images githubusercontent com 93286636 157811416 6160f267 7327 4c06 806c 737480e9701d png)
    Steps To Reproduce
   markdown
1  Start PojavLauncher_x000D_
2  Try to install Fabric Forge OptiFine_x000D_
3  Enjoy the bug 
    Expected Behavior
Installator raises and i can install Fabric 
    Platform
   markdown
  Device model: Xiaomi Redmi 8_x000D_
  CPU architecture: aarch64_x000D_
  Android version: BiancaProject (LineageOS)  11_x000D_
  PojavLauncher version: crocus v3 openjdk
    Anything else 
I just want to help community to make good launcher  i play minecraft on pc </t>
  </si>
  <si>
    <t>doublesymmetry-react-native-track-player-1433</t>
  </si>
  <si>
    <t>`skipToNext` while track is repeating does not work on iOS</t>
  </si>
  <si>
    <t xml:space="preserve">  Describe the Bug  _x000D_
On iOS  calling  TrackPlayer skipToNext  with  track  repeat mode causes the trackplayer to get stuck  Trying to reset the trackplayer at this point causes a crash  Behaviour is fine on Android _x000D_
_x000D_
  Steps To Reproduce  _x000D_
1  On iOS  create a Queue with two songs_x000D_
2  Set the repeat mode to  RepeatMode Track _x000D_
3  Start playing the queue_x000D_
4  Call  TrackPlayer skipToNext _x000D_
5  Call  TrackPlayer reset _x000D_
_x000D_
  Code To Reproduce  _x000D_
   _x000D_
await  TrackPlayer add(  url:  sampleUrl   title:  Title 1   artist:  Artist 1     url:  sampleUrl2   title:  Title 2   artist:  Artist 2   ) _x000D_
await TrackPlayer setRepeatMode(RepeatMode Track) _x000D_
await TrackPlayer play() _x000D_
   First track now playing correctly on repeat_x000D_
   _x000D_
await TrackPlayer skipToNext() _x000D_
   TrackPlayer no longer playing_x000D_
   _x000D_
await TrackPlayer reset()_x000D_
   App has now crashed_x000D_
   _x000D_
_x000D_
  Environment Info:  _x000D_
 react native : 0 67 3_x000D_
 react native track player : 2 2 0 rc2_x000D_
Tested on both simulator and real device running iOS 15  Also tested on Android _x000D_
_x000D_
  How I can Help  _x000D_
Did some preliminary investigation  I m not sure why the trackplayer gets stuck when trying to skip to next  but when calling  reset  afterwards  the swift  handleAudioPlayerPlaybackEnded  method is where the crash happens due to the player not having a  currentIndex  value anymore  I am very unfamiliar with Swift but will try to get a better grasp of the issue and share that at least if not put up a PR _x000D_
</t>
  </si>
  <si>
    <t>cgeo-cgeo-12848</t>
  </si>
  <si>
    <t>Map crashes at random</t>
  </si>
  <si>
    <t xml:space="preserve">    Describe your problem _x000D_
_x000D_
I tried using a track loaded from a GPX file for the first time _x000D_
_x000D_
The map has been crashing on me quite often  but not often enough to reproduce reliably _x000D_
_x000D_
Typically I have the map (and its route) on display  lock the phone and put it in my pocket _x000D_
A few minutes later I unlock the phone and the screen is blank white for a few seconds before returning to the home screen _x000D_
Tapping  map  gets everything running again _x000D_
_x000D_
    How to reproduce _x000D_
_x000D_
1  load a map and load a GPX track_x000D_
2  lock phone_x000D_
3  wait a bit_x000D_
4  unlock phone_x000D_
_x000D_
_x000D_
    Actual result after these steps _x000D_
_x000D_
Map crashes and goes back to home page_x000D_
_x000D_
    Expected result after these steps _x000D_
_x000D_
Map should continue_x000D_
_x000D_
    Reproducible_x000D_
_x000D_
Unclear_x000D_
_x000D_
    c:geo Version_x000D_
_x000D_
2022 03 09_x000D_
_x000D_
    System information_x000D_
_x000D_
   _x000D_
c:geo version: 2022 03 10_x000D_
_x000D_
Device:_x000D_
       _x000D_
  Device type: M2101K6G (sweet eea  Redmi)_x000D_
  Available processors: 8_x000D_
  Android version: 12_x000D_
  Android build: SKQ1 210908 001 test keys_x000D_
  Screen resolution: 1080x2177px (392x791dp)_x000D_
  Pixel density: 2 75_x000D_
  System font scale: 1 0   used scale: 1 0_x000D_
  Sailfish OS detected: false_x000D_
  Google Play services: enabled   22 06 15 (190400 428792003)_x000D_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Settings: v9  Count:206_x000D_
  Set language: en GB (system default)_x000D_
  System date format: dd MM y_x000D_
  Time zone: GMT_x000D_
  Debug mode active: no_x000D_
  Last backup: 7 Mar  11:01_x000D_
  Routing mode: Off_x000D_
  Live map mode: false_x000D_
  OSM multi threading: true   threads: 4_x000D_
  Map: Great Britain OAM V5 Feb2022 (Offline)_x000D_
    Id: cgeo geocaching maps mapsforge MapsforgeMapProvider OfflineMapSource:primary:OpenStreetMaps Great Britain OAM V5 Feb2022 map_x000D_
    Atts: Maps: (c)Christian Kernbeis   Michael Bechtold   Themes: (c)Tobias Kuehn  www openandromaps org 2012 2022_x000D_
    Theme: ElevateTheme V5 zip:Elevate xml_x000D_
_x000D_
Filters:_x000D_
       _x000D_
  Hide waypoints:  _x000D_
  LIVE: Status:Exclude Archived ( :inconclusive false:advanced true AND(attributes:inverse false:attributesources 1 status:exclude archived))_x000D_
  OFFLINE: None ( :inconclusive false:advanced false )_x000D_
_x000D_
Stored Filters ( 1):_x000D_
  No Advlabs:  No Advlabs:inconclusive false:advanced true AND(type:LETTERBOX:VIRTUAL:WEBCAM:MULTI:CITO:USER DEFINED:TRADITIONAL:EARTH:EVENT:WHERIGO:MYSTERY status:exclude archived))_x000D_
_x000D_
Services:_x000D_
       _x000D_
  Geocaching sites enabled:_x000D_
   geocaching com: Logged in (Login OK)   PREMIUM_x000D_
  Geocaching com date format: dd MMM yy_x000D_
  Routing: external   BRouter installed: false_x000D_
  Installed c:geo plugins:  none_x000D_
_x000D_
Permissions   paths:_x000D_
       _x000D_
  Fine location permission: granted_x000D_
  Write external storage permission: granted_x000D_
  System internal c:geo dir:  data user 0 cgeo geocaching (46 3 GB free) v3 internal isDir(10 entries)_x000D_
  Legacy User storage c:geo dir:  data user 0 cgeo geocaching (46 3 GB free) v3 internal isDir(10 entries)_x000D_
  Geocache data:  storage emulated 0 Android data cgeo geocaching files GeocacheData (46 3 GB free) v3 external non removable isDir(1386 entries)_x000D_
  Internal theme sync (is turned ON):  data user 0 cgeo geocaching MapThemeData (46 3 GB free) v3 internal isDir(3 entries)_x000D_
  Public Folders:  11_x000D_
    BASE:  cgeo (User Defined)  cgeo DOCUMENT 0:p content:  com android externalstorage documents tree primary 3Acgeo::   (Uri: content:  com android externalstorage documents tree primary 3Acgeo document primary 3Acgeo  Av:true  files:  9  dirs:  12  totalFileSize:  105 8 MB  free space: 46 3 GB  files on device: 13511677)_x000D_
    OFFLINE MAPS:  OpenStreetMaps (User Defined)  OpenStreetMaps DOCUMENT 0:p content:  com android externalstorage documents tree primary 3AOpenStreetMaps::   (Uri: content:  com android externalstorage documents tree primary 3AOpenStreetMaps document primary 3AOpenStreetMaps  Av:true  files:6  dirs:1  totalFileSize:2 1 GB  free space: 46 3 GB  files on device: 13511677)_x000D_
    OFFLINE MAP THEMES:  OpenStreetMaps  themes (Default)  OpenStreetMaps  themes PERSISTABLE FOLDER(OFFLINE MAPS) 1:p content:  com android externalstorage documents tree primary 3AOpenStreetMaps::  themes   (Uri: content:  com android externalstorage documents tree primary 3AOpenStreetMaps document primary 3AOpenStreetMaps 2F themes  Av:true  files:2  dirs:0  totalFileSize:948 5 KB  free space: 46 3 GB  files on device: 13511677)_x000D_
    LOGFILES:  cgeo logfiles (Default)  cgeo logfiles PERSISTABLE FOLDER(BASE) 1:p content:  com android externalstorage documents tree primary 3Acgeo:: logfiles   (Uri: content:  com android externalstorage documents tree primary 3Acgeo document primary 3Acgeo 2Flogfiles  Av:true  files:3  dirs:0  totalFileSize:349 2 KB  free space: 46 3 GB  files on device: 13511677)_x000D_
    GPX:  My Documents SyncedWithGoogle GPX (User Defined)  My Documents SyncedWithGoogle GPX DOCUMENT 0:p content:  com android externalstorage documents tree primary 3AMy 20Documents 2FSyncedWithGoogle 2FGPX::   (Uri: content:  com android externalstorage documents tree primary 3AMy 20Documents 2FSyncedWithGoogle 2FGPX document primary 3AMy 20Documents 2FSyncedWithGoogle 2FGPX  Av:true  files:21  dirs:2  totalFileSize:27 1 MB  free space: 46 3 GB  files on device: 13511677)_x000D_
    BACKUP:  cgeo backup (Default)  cgeo backup PERSISTABLE FOLDER(BASE) 1:p content:  com android externalstorage documents tree primary 3Acgeo:: backup   (Uri: content:  com android externalstorage documents tree primary 3Acgeo document primary 3Acgeo 2Fbackup  Av:true  files:  10  dirs:  5  totalFileSize:  174 3 MB  free space: 46 3 GB  files on device: 13511677)_x000D_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files:0  dirs:0  totalFileSize:0 B  free space: 46 3 GB  files on device: 13511677)_x000D_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46 3 GB  files on device: 13511677)_x000D_
    ROUTING BASE:  cgeo routing (Default)  cgeo routing PERSISTABLE FOLDER(BASE) 1:p content:  com android externalstorage documents tree primary 3Acgeo:: routing   (Uri: content:  com android externalstorage documents tree primary 3Acgeo document primary 3Acgeo 2Frouting  Av:true  files:7  dirs:1  totalFileSize:81 2 KB  free space: 46 3 GB  files on device: 13511677)_x000D_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files:0  dirs:0  totalFileSize:0 B  free space: 46 3 GB  files on device: 13511677)_x000D_
    TEST FOLDER:  Legacy  data user 0 cgeo geocaching files unittest (Default)  data user 0 cgeo geocaching files unittest FILE 1:p file:   data user 0 cgeo geocaching files:: unittest   (Uri: file:   data user 0 cgeo geocaching files unittest  Av:true  files:0  dirs:0  totalFileSize:0 B  free space: 46 3 GB  files on device:  1)_x000D_
  Map render theme path: ElevateTheme V5 zip:Elevate xml_x000D_
  PersistedDocumentUris:  1_x000D_
  UNUSED TRACK: null_x000D_
  Persisted Uri Permissions:  3_x000D_
    content:  com android externalstorage documents tree primary 3AMy 20Documents 2FSyncedWithGoogle 2FGPX (26 May 2021  15:31):RW_x000D_
    content:  com android externalstorage documents tree primary 3AOpenStreetMaps (7 May 2021  19:56):RW_x000D_
    content:  com android externalstorage documents tree primary 3Acgeo (7 May 2021  19:45):RW_x000D_
  Database:  storage emulated 0 Android data cgeo geocaching files databases data (v98  Size:38 5 MB) on user storage_x000D_
_x000D_
    End of system information    _x000D_
   _x000D_
_x000D_
    Additional Information_x000D_
_x000D_
i grabbed a logcat   _x000D_
_x000D_
 logcat 2022 03 10 19 28 02 2 txt (https:  github com cgeo cgeo files 8226484 logcat 2022 03 10 19 28 02 2 txt)_x000D_
_x000D_
</t>
  </si>
  <si>
    <t>cgeo-cgeo-12846</t>
  </si>
  <si>
    <t>NPE on map</t>
  </si>
  <si>
    <t xml:space="preserve">    Describe your problem 
Two user reporting  that the app crashes after updating to 2022 03 09 when trying to open the map _x000D_
Logfiles from user are requested _x000D_
_x000D_
Additionally I do see a significant amount of this (new ) crash on Play Console  which might be related:_x000D_
   _x000D_
java lang NullPointerException: _x000D_
  at cgeo geocaching maps RouteTrackUtils lambda reloadTrack 19 (RouteTrackUtils java:238)_x000D_
  at cgeo geocaching maps RouteTrackUtils lambda reloadTrack 19 RouteTrackUtils (Unknown Source)_x000D_
  at cgeo geocaching maps    Lambda RouteTrackUtils 6TnbNEkUFq2c0CmC heN1Jzl0nk updateRoute (Unknown Source:6)_x000D_
  at cgeo geocaching files GPXTrackOrRouteImporter lambda doImport 2 (GPXTrackOrRouteImporter java:49)_x000D_
  at cgeo geocaching files    Lambda GPXTrackOrRouteImporter  5oHk4GG8Dp5ykMjvvDuO0uXai8 run (Unknown Source:6)_x000D_
  at io reactivex rxjava3 android schedulers HandlerScheduler ScheduledRunnable run (HandlerScheduler java:123)_x000D_
  at android os Handler handleCallback (Handler java:938)_x000D_
  at android os Handler dispatchMessage (Handler java:99)_x000D_
  at android os Looper loopOnce (Looper java:226)_x000D_
  at android os Looper loop (Looper java:313)_x000D_
  at android app ActivityThread main (ActivityThread java:8633)_x000D_
  at java lang reflect Method invoke (Native Method)_x000D_
  at com android internal os RuntimeInit MethodAndArgsCaller run (RuntimeInit java:567)_x000D_
  at com android internal os ZygoteInit main (ZygoteInit java:1135)_x000D_
    How to reproduce 
Unclear
    Actual result after these steps 
Crash
    Expected result after these steps 
Normal operation
    Reproducible
Unclear
    c:geo Version
2022 03 09
    System information
   text
Android 11 12  Several devices
    Additional Information
Support ticket 129308</t>
  </si>
  <si>
    <t>cgeo-cgeo-12845</t>
  </si>
  <si>
    <t xml:space="preserve">Livemap keeps crashing after reinstalling cgeo </t>
  </si>
  <si>
    <t xml:space="preserve">    Describe your problem 
I had GPX tracks loaded into the live map  created a backup and uninstalled cgeo _x000D_
_x000D_
After reinstalling and restoring the backup  cgeo s livemap crashes on startup with a  FileNotFoundException  _x000D_
_x000D_
Therefore  cgeo is completely unusable for me currently  
    How to reproduce 
  Import GPX tracks_x000D_
  Create backup_x000D_
  uninstall cgeo ( )_x000D_
  Install cgeo and restore backup_x000D_
  open live map
    Actual result after these steps 
 No response 
    Expected result after these steps 
 No response 
    Reproducible
Yes
    c:geo Version
2022 03 10
    System information
 No response 
    Additional Information
   _x000D_
          beginning of system_x000D_
          beginning of main_x000D_
03 10 07:43:59 426  6133  6133 W cgeo    :  main  LooperLogger: long process time for       Dispatching to Handler (android app ActivityThread H)  beaf712  null: 159 (711ms  total: 563 5340ms avg 9ms)  0traces:_x000D_
03 10 07:44:09 773  6133  6133 I cgeo    :  main   CtxLog PersistableFolder reevaluateDefaultFolders:START_x000D_
03 10 07:44:12 353  6133  6133 I cgeo    :  main   CtxLog PersistableFolder reevaluateDefaultFolders:END (2581ms)_x000D_
03 10 07:44:12 391  6133  6133 W cgeo    :  main  LooperLogger: long process time for       Dispatching to Handler (androidx appcompat app AlertController ButtonHandler)  7d5f191  null:  1 (2707ms  total: 617 8366ms avg 13ms)  0traces:_x000D_
03 10 07:44:53 321  6133  6440 I cgeo    :  RxCachedThreadScheduler 1   CtxLog DataStore init:START_x000D_
03 10 07:44:53 323  6133  6440 I cgeo    :  RxCachedThreadScheduler 1   DB  Current Database Version: 98_x000D_
03 10 07:44:53 323  6133  6440 I cgeo    :  RxCachedThreadScheduler 1   CtxLog DataStore init:END (2ms)_x000D_
03 10 07:45:00 422  6133  6133 I cgeo    :  main   CtxLog DataStore cleanIfNeeded: cleans DB:START_x000D_
03 10 07:45:00 423  6133  6133 I cgeo    :  main   CtxLog DataStore cleanIfNeeded: cleans DB:END (1ms)_x000D_
03 10 07:45:00 433  6133  6133 I cgeo    :  main  LocalStorage: current Version: 3  expected Version: 3_x000D_
03 10 07:45:00 886  6133  6175 I cgeo geocachin: Waiting for a blocking GC ProfileSaver_x000D_
03 10 07:45:00 893  6133  6175 I cgeo geocachin: WaitForGcToComplete blocked ProfileSaver on HeapTrim for 7 645ms_x000D_
03 10 07:45:08 075  6133  6459 W cgeo    :  RxCachedThreadScheduler 2  ContentStorage: Datei  file:   data user 0 cgeo geocaching trackfiles track 2022 03 07 23 05 34 2 gpx  konnte nicht gelesen werden_x000D_
03 10 07:45:08 075  6133  6459 W cgeo    : java io FileNotFoundException:  data user 0 cgeo geocaching trackfiles track 2022 03 07 23 05 34 2 gpx: open failed: ENOENT (No such file or directory)_x000D_
03 10 07:45:08 075  6133  6459 W cgeo    : 	at libcore io IoBridge open(IoBridge java:496)_x000D_
03 10 07:45:08 075  6133  6459 W cgeo    : 	at java io FileInputStream  init (FileInputStream java:159)_x000D_
03 10 07:45:08 075  6133  6459 W cgeo    : 	at java io FileInputStream  init (FileInputStream java:115)_x000D_
03 10 07:45:08 075  6133  6459 W cgeo    : 	at android content ContentResolver openInputStream(ContentResolver java:1196)_x000D_
03 10 07:45:08 075  6133  6459 W cgeo    : 	at cgeo geocaching storage ContentStorage openForRead(ContentStorage java:374)_x000D_
03 10 07:45:08 075  6133  6459 W cgeo    : 	at cgeo geocaching storage ContentStorage openForRead(ContentStorage java:361)_x000D_
03 10 07:45:08 075  6133  6459 W cgeo    : 	at cgeo geocaching files GPXTrackOrRouteImporter parse(GPXTrackOrRouteImporter java:79)_x000D_
03 10 07:45:08 075  6133  6459 W cgeo    : 	at cgeo geocaching files GPXTrackOrRouteImporter doInBackground(GPXTrackOrRouteImporter java:56)_x000D_
03 10 07:45:08 075  6133  6459 W cgeo    : 	at cgeo geocaching files GPXTrackOrRouteImporter lambda doImport 1(GPXTrackOrRouteImporter java:32)_x000D_
03 10 07:45:08 075  6133  6459 W cgeo    : 	at cgeo geocaching files    Lambda GPXTrackOrRouteImporter g0pSx27yHp6Zq7CsAgfCAE4gnXU run(Unknown Source:6)_x000D_
03 10 07:45:08 075  6133  6459 W cgeo    : 	at cgeo geocaching utils AndroidRxUtils lambda andThenOnUi 2(AndroidRxUtils java:74)_x000D_
03 10 07:45:08 075  6133  6459 W cgeo    : 	at cgeo geocaching utils    Lambda AndroidRxUtils bqzWo9nlvU86BvboB 9jhDWp5vc run(Unknown Source:4)_x000D_
03 10 07:45:08 075  6133  6459 W cgeo    : 	at io reactivex rxjava3 internal schedulers ScheduledRunnable run(ScheduledRunnable java:65)_x000D_
03 10 07:45:08 075  6133  6459 W cgeo    : 	at io reactivex rxjava3 internal schedulers ScheduledRunnable call(ScheduledRunnable java:56)_x000D_
03 10 07:45:08 075  6133  6459 W cgeo    : 	at java util concurrent FutureTask run(FutureTask java:266)_x000D_
03 10 07:45:08 075  6133  6459 W cgeo    : 	at java util concurrent ScheduledThreadPoolExecutor ScheduledFutureTask run(ScheduledThreadPoolExecutor java:301)_x000D_
03 10 07:45:08 075  6133  6459 W cgeo    : 	at java util concurrent ThreadPoolExecutor runWorker(ThreadPoolExecutor java:1167)_x000D_
03 10 07:45:08 075  6133  6459 W cgeo    : 	at java util concurrent ThreadPoolExecutor Worker run(ThreadPoolExecutor java:641)_x000D_
03 10 07:45:08 075  6133  6459 W cgeo    : 	at java lang Thread run(Thread java:929)_x000D_
03 10 07:45:08 075  6133  6459 W cgeo    : Caused by: android system ErrnoException: open failed: ENOENT (No such file or directory)_x000D_
03 10 07:45:08 075  6133  6459 W cgeo    : 	at libcore io Linux open(Native Method)_x000D_
03 10 07:45:08 075  6133  6459 W cgeo    : 	at libcore io ForwardingOs open(ForwardingOs java:167)_x000D_
03 10 07:45:08 075  6133  6459 W cgeo    : 	at libcore io BlockGuardOs open(BlockGuardOs java:252)_x000D_
03 10 07:45:08 075  6133  6459 W cgeo    : 	at libcore io ForwardingOs open(ForwardingOs java:167)_x000D_
03 10 07:45:08 075  6133  6459 W cgeo    : 	at android app ActivityThread AndroidOs open(ActivityThread java:8046)_x000D_
03 10 07:45:08 075  6133  6459 W cgeo    : 	at libcore io IoBridge open(IoBridge java:482)_x000D_
03 10 07:45:08 075  6133  6459 W cgeo    : 	    18 more_x000D_
03 10 07:45:08 076  6133  6532 W cgeo    :  RxCachedThreadScheduler 4  ContentStorage: Datei  file:   data user 0 cgeo geocaching trackfiles track 2022 03 09 21 52 47 2 gpx  konnte nicht gelesen werden_x000D_
03 10 07:45:08 076  6133  6532 W cgeo    : java io FileNotFoundException:  data user 0 cgeo geocaching trackfiles track 2022 03 09 21 52 47 2 gpx: open failed: ENOENT (No such file or directory)_x000D_
03 10 07:45:08 076  6133  6532 W cgeo    : 	at libcore io IoBridge open(IoBridge java:496)_x000D_
03 10 07:45:08 076  6133  6532 W cgeo    : 	at java io FileInputStream  init (FileInputStream java:159)_x000D_
03 10 07:45:08 076  6133  6532 W cgeo    : 	at java io FileInputStream  init (FileInputStream java:115)_x000D_
03 10 07:45:08 076  6133  6532 W cgeo    : 	at android content ContentResolver openInputStream(ContentResolver java:1196)_x000D_
03 10 07:45:08 076  6133  6532 W cgeo    : 	at cgeo geocaching storage ContentStorage openForRead(ContentStorage java:374)_x000D_
03 10 07:45:08 076  6133  6532 W cgeo    : 	at cgeo geocaching storage ContentStorage openForRead(ContentStorage java:361)_x000D_
03 10 07:45:08 076  6133  6532 W cgeo    : 	at cgeo geocaching files GPXTrackOrRouteImporter parse(GPXTrackOrRouteImporter java:79)_x000D_
03 10 07:45:08 076  6133  6532 W cgeo    : 	at cgeo geocaching files GPXTrackOrRouteImporter doInBackground(GPXTrackOrRouteImporter java:56)_x000D_
03 10 07:45:08 076  6133  6532 W cgeo    : 	at cgeo geocaching files GPXTrackOrRouteImporter lambda doImport 1(GPXTrackOrRouteImporter java:32)_x000D_
03 10 07:45:08 076  6133  6532 W cgeo    : 	at cgeo geocaching files    Lambda GPXTrackOrRouteImporter g0pSx27yHp6Zq7CsAgfCAE4gnXU run(Unknown Source:6)_x000D_
03 10 07:45:08 076  6133  6532 W cgeo    : 	at cgeo geocaching utils AndroidRxUtils lambda andThenOnUi 2(AndroidRxUtils java:74)_x000D_
03 10 07:45:08 076  6133  6532 W cgeo    : 	at cgeo geocaching utils    Lambda AndroidRxUtils bqzWo9nlvU86BvboB 9jhDWp5vc run(Unknown Source:4)_x000D_
03 10 07:45:08 076  6133  6532 W cgeo    : 	at io reactivex rxjava3 internal schedulers ScheduledRunnable run(ScheduledRunnable java:65)_x000D_
03 10 07:45:08 076  6133  6532 W cgeo    : 	at io reactivex rxjava3 internal schedulers ScheduledRunnable call(ScheduledRunnable java:56)_x000D_
03 10 07:45:08 076  6133  6532 W cgeo    : 	at java util concurrent FutureTask run(FutureTask java:266)_x000D_
03 10 07:45:08 076  6133  6532 W cgeo    : 	at java util concurrent ScheduledThreadPoolExecutor ScheduledFutureTask run(ScheduledThreadPoolExecutor java:301)_x000D_
03 10 07:45:08 076  6133  6532 W cgeo    : 	at java util concurrent ThreadPoolExecutor runWorker(ThreadPoolExecutor java:1167)_x000D_
03 10 07:45:08 076  6133  6532 W cgeo    : 	at java util concurrent ThreadPoolExecutor Worker run(ThreadPoolExecutor java:641)_x000D_
03 10 07:45:08 076  6133  6532 W cgeo    : 	at java lang Thread run(Thread java:929)_x000D_
03 10 07:45:08 076  6133  6532 W cgeo    : Caused by: android system ErrnoException: open failed: ENOENT (No such file or directory)_x000D_
03 10 07:45:08 076  6133  6532 W cgeo    : 	at libcore io Linux open(Native Method)_x000D_
03 10 07:45:08 076  6133  6532 W cgeo    : 	at libcore io ForwardingOs open(ForwardingOs java:167)_x000D_
03 10 07:45:08 076  6133  6532 W cgeo    : 	at libcore io BlockGuardOs open(BlockGuardOs java:252)_x000D_
03 10 07:45:08 076  6133  6532 W cgeo    : 	at libcore io ForwardingOs open(ForwardingOs java:167)_x000D_
03 10 07:45:08 076  6133  6532 W cgeo    : 	at android app ActivityThread AndroidOs open(ActivityThread java:8046)_x000D_
03 10 07:45:08 076  6133  6532 W cgeo    : 	at libcore io IoBridge open(IoBridge java:482)_x000D_
03 10 07:45:08 076  6133  6532 W cgeo    : 	    18 more_x000D_
03 10 07:45:08 076  6133  6460 W cgeo    :  RxCachedThreadScheduler 3  ContentStorage: Datei  file:   data user 0 cgeo geocaching trackfiles track 2022 03 07 23 16 46 3 gpx  konnte nicht gelesen werden_x000D_
03 10 07:45:08 076  6133  6460 W cgeo    : java io FileNotFoundException:  data user 0 cgeo geocaching trackfiles track 2022 03 07 23 16 46 3 gpx: open failed: ENOENT (No such file or directory)_x000D_
03 10 07:45:08 076  6133  6460 W cgeo    : 	at libcore io IoBridge open(IoBridge java:496)_x000D_
03 10 07:45:08 076  6133  6460 W cgeo    : 	at java io FileInputStream  init (FileInputStream java:159)_x000D_
03 10 07:45:08 076  6133  6460 W cgeo    : 	at java io FileInputStream  init (FileInputStream java:115)_x000D_
03 10 07:45:08 076  6133  6460 W cgeo    : 	at android content ContentResolver openInputStream(ContentResolver java:1196)_x000D_
03 10 07:45:08 076  6133  6460 W cgeo    : 	at cgeo geocaching storage ContentStorage openForRead(ContentStorage java:374)_x000D_
03 10 07:45:08 076  6133  6460 W cgeo    : 	at cgeo geocaching storage ContentStorage openForRead(ContentStorage java:361)_x000D_
03 10 07:45:08 076  6133  6460 W cgeo    : 	at cgeo geocaching files GPXTrackOrRouteImporter parse(GPXTrackOrRouteImporter java:79)_x000D_
03 10 07:45:08 076  6133  6460 W cgeo    : 	at cgeo geocaching files GPXTrackOrRouteImporter doInBackground(GPXTrackOrRouteImporter java:56)_x000D_
03 10 07:45:08 076  6133  6460 W cgeo    : 	at cgeo geocaching files GPXTrackOrRouteImporter lambda doImport 1(GPXTrackOrRouteImporter java:32)_x000D_
03 10 07:45:08 076  6133  6460 W cgeo    : 	at cgeo geocaching files    Lambda GPXTrackOrRouteImporter g0pSx27yHp6Zq7CsAgfCAE4gnXU run(Unknown Source:6)_x000D_
03 10 07:45:08 076  6133  6460 W cgeo    : 	at cgeo geocaching utils AndroidRxUtils lambda andThenOnUi 2(AndroidRxUtils java:74)_x000D_
03 10 07:45:08 076  6133  6460 W cgeo    : 	at cgeo geocaching utils    Lambda AndroidRxUtils bqzWo9nlvU86BvboB 9jhDWp5vc run(Unknown Source:4)_x000D_
03 10 07:45:08 076  6133  6460 W cgeo    : 	at io reactivex rxjava3 internal schedulers ScheduledRunnable run(ScheduledRunnable java:65)_x000D_
03 10 07:45:08 076  6133  6460 W cgeo    : 	at io reactivex rxjava3 internal schedulers ScheduledRunnable call(ScheduledRunnable java:56)_x000D_
03 10 07:45:08 076  6133  6460 W cgeo    : 	at java util concurrent FutureTask run(FutureTask java:266)_x000D_
03 10 07:45:08 076  6133  6460 W cgeo    : 	at java util concurrent ScheduledThreadPoolExecutor ScheduledFutureTask run(ScheduledThreadPoolExecutor java:301)_x000D_
03 10 07:45:08 076  6133  6460 W cgeo    : 	at java util concurrent ThreadPoolExecutor runWorker(ThreadPoolExecutor java:1167)_x000D_
03 10 07:45:08 076  6133  6460 W cgeo    : 	at java util concurrent ThreadPoolExecutor Worker run(ThreadPoolExecutor java:641)_x000D_
03 10 07:45:08 076  6133  6460 W cgeo    : 	at java lang Thread run(Thread java:929)_x000D_
03 10 07:45:08 076  6133  6460 W cgeo    : Caused by: android system ErrnoException: open failed: ENOENT (No such file or directory)_x000D_
03 10 07:45:08 076  6133  6460 W cgeo    : 	at libcore io Linux open(Native Method)_x000D_
03 10 07:45:08 076  6133  6460 W cgeo    : 	at libcore io ForwardingOs open(ForwardingOs java:167)_x000D_
03 10 07:45:08 076  6133  6460 W cgeo    : 	at libcore io BlockGuardOs open(BlockGuardOs java:252)_x000D_
03 10 07:45:08 076  6133  6460 W cgeo    : 	at libcore io ForwardingOs open(ForwardingOs java:167)_x000D_
03 10 07:45:08 076  6133  6460 W cgeo    : 	at android app ActivityThread AndroidOs open(ActivityThread java:8046)_x000D_
03 10 07:45:08 076  6133  6460 W cgeo    : 	at libcore io IoBridge open(IoBridge java:482)_x000D_
03 10 07:45:08 076  6133  6460 W cgeo    : 	    18 more_x000D_
03 10 07:45:08 076  6133  6459 W cgeo    :  RxCachedThreadScheduler 2  Could not show toast  Datei   data user 0 cgeo geocaching trackfiles track 2022 03 07 23 05 34 2 gpx  konnte nicht gelesen werden  to user: java lang RuntimeException: Can t toast on a thread that has not called Looper prepare()_x000D_
03 10 07:45:08 076  6133  6532 W cgeo    :  RxCachedThreadScheduler 4  Could not show toast  Datei   data user 0 cgeo geocaching trackfiles track 2022 03 09 21 52 47 2 gpx  konnte nicht gelesen werden  to user: java lang RuntimeException: Can t toast on a thread that has not called Looper prepare()_x000D_
03 10 07:45:08 076  6133  6460 W cgeo    :  RxCachedThreadScheduler 3  Could not show toast  Datei   data user 0 cgeo geocaching trackfiles track 2022 03 07 23 16 46 3 gpx  konnte nicht gelesen werden  to user: java lang RuntimeException: Can t toast on a thread that has not called Looper prepare()_x000D_
03 10 07:45:08 084  6133  6459 W cgeo    :  RxCachedThreadScheduler 2  Problem accessing GPX Track file  file:   data user 0 cgeo geocaching trackfiles track 2022 03 07 23 05 34 2 gpx   Maybe file was removed or renamed by user _x000D_
03 10 07:45:08 084  6133  6459 W cgeo    : java io IOException: Stream closed_x000D_
03 10 07:45:08 084  6133  6459 W cgeo    : 	at java io BufferedInputStream getInIfOpen(BufferedInputStream java:161)_x000D_
03 10 07:45:08 084  6133  6459 W cgeo    : 	at java io BufferedInputStream read1(BufferedInputStream java:286)_x000D_
03 10 07:45:08 084  6133  6459 W cgeo    : 	at java io BufferedInputStream read(BufferedInputStream java:347)_x000D_
03 10 07:45:08 084  6133  6459 W cgeo    : 	at java io FilterInputStream read(FilterInputStream java:133)_x000D_
03 10 07:45:08 084  6133  6459 W cgeo    : 	at cgeo geocaching files ProgressInputStream read(ProgressInputStream java:36)_x000D_
03 10 07:45:08 084  6133  6459 W cgeo    : 	at sun nio cs StreamDecoder readBytes(StreamDecoder java:291)_x000D_
03 10 07:45:08 084  6133  6459 W cgeo    : 	at sun nio cs StreamDecoder implRead(StreamDecoder java:355)_x000D_
03 10 07:45:08 084  6133  6459 W cgeo    : 	at sun nio cs StreamDecoder read(StreamDecoder java:181)_x000D_
03 10 07:45:08 084  6133  6459 W cgeo    : 	at java io InputStreamReader read(InputStreamReader java:184)_x000D_
03 10 07:45:08 084  6133  6459 W cgeo    : 	at java io BufferedReader fill(BufferedReader java:172)_x000D_
03 10 07:45:08 084  6133  6459 W cgeo    : 	at java io BufferedReader read1(BufferedReader java:223)_x000D_
03 10 07:45:08 084  6133  6459 W cgeo    : 	at java io BufferedReader read(BufferedReader java:297)_x000D_
03 10 07:45:08 084  6133  6459 W cgeo    : 	at java io FilterReader read(FilterReader java:74)_x000D_
03 10 07:45:08 084  6133  6459 W cgeo    : 	at cgeo geocaching files InvalidXMLCharacterFilterReader read(InvalidXMLCharacterFilterReader java:31)_x000D_
03 10 07:45:08 084  6133  6459 W cgeo    : 	at java io Reader read(Reader java:140)_x000D_
03 10 07:45:08 084  6133  6459 W cgeo    : 	at org apache harmony xml ExpatParser parseFragment(ExpatParser java:505)_x000D_
03 10 07:45:08 084  6133  6459 W cgeo    : 	at org apache harmony xml ExpatParser parseDocument(ExpatParser java:494)_x000D_
03 10 07:45:08 084  6133  6459 W cgeo    : 	at org apache harmony xml ExpatReader parse(ExpatReader java:315)_x000D_
03 10 07:45:08 084  6133  6459 W cgeo    : 	at org apache harmony xml ExpatReader parse(ExpatReader java:273)_x000D_
03 10 07:45:08 084  6133  6459 W cgeo    : 	at android util Xml parse(Xml java:71)_x000D_
03 10 07:45:08 084  6133  6459 W cgeo    : 	at cgeo geocaching files AbstractTrackOrRouteParser parse(AbstractTrackOrRouteParser java:61)_x000D_
03 10 07:45:08 084  6133  6459 W cgeo    : 	at cgeo geocaching files GPXTrackParser parse(GPXTrackParser java:35)_x000D_
03 10 07:45:08 084  6133  6459 W cgeo    : 	at cgeo geocaching files GPXTrackOrRouteImporter parse(GPXTrackOrRouteImporter java:83)_x000D_
03 10 07:45:08 084  6133  6459 W cgeo    : 	at cgeo geocaching files GPXTrackOrRouteImporter doInBackground(GPXTrackOrRouteImporter java:56)_x000D_
03 10 07:45:08 084  6133  6459 W cgeo    : 	at cgeo geocaching files GPXTrackOrRouteImporter lambda doImport 1(GPXTrackOrRouteImporter java:32)_x000D_
03 10 07:45:08 084  6133  6459 W cgeo    : 	at cgeo geocaching files    Lambda GPXTrackOrRouteImporter g0pSx27yHp6Zq7CsAgfCAE4gnXU run(Unknown Source:6)_x000D_
03 10 07:45:08 084  6133  6459 W cgeo    : 	at cgeo geocaching utils AndroidRxUtils lambda andThenOnUi 2(AndroidRxUtils java:74)_x000D_
03 10 07:45:08 084  6133  6459 W cgeo    : 	at cgeo geocaching utils    Lambda AndroidRxUtils bqzWo9nlvU86BvboB 9jhDWp5vc run(Unknown Source:4)_x000D_
03 10 07:45:08 084  6133  6459 W cgeo    : 	at io reactivex rxjava3 internal schedulers ScheduledRunnable run(ScheduledRunnable java:65)_x000D_
03 10 07:45:08 084  6133  6459 W cgeo    : 	at io reactivex rxjava3 internal schedulers ScheduledRunnable call(ScheduledRunnable java:56)_x000D_
03 10 07:45:08 084  6133  6459 W cgeo    : 	at java util concurrent FutureTask run(FutureTask java:266)_x000D_
03 10 07:45:08 084  6133  6459 W cgeo    : 	at java util concurrent ScheduledThreadPoolExecutor ScheduledFutureTask run(ScheduledThreadPoolExecutor java:301)_x000D_
03 10 07:45:08 084  6133  6459 W cgeo    : 	at java util concurrent ThreadPoolExecutor runWorker(ThreadPoolExecutor java:1167)_x000D_
03 10 07:45:08 084  6133  6459 W cgeo    : 	at java util concurrent ThreadPoolExecutor Worker run(ThreadPoolExecutor java:641)_x000D_
03 10 07:45:08 084  6133  6459 W cgeo    : 	at java lang Thread run(Thread java:929)_x000D_
03 10 07:45:08 084  6133  6532 W cgeo    :  RxCachedThreadScheduler 4  Problem accessing GPX Track file  file:   data user 0 cgeo geocaching trackfiles track 2022 03 09 21 52 47 2 gpx   Maybe file was removed or renamed by user _x000D_
03 10 07:45:08 084  6133  6532 W cgeo    : java io IOException: Stream closed_x000D_
03 10 07:45:08 084  6133  6532 W cgeo    : 	at java io BufferedInputStream getInIfOpen(BufferedInputStream java:161)_x000D_
03 10 07:45:08 084  6133  6532 W cgeo    : 	at java io BufferedInputStream read1(BufferedInputStream java:286)_x000D_
03 10 07:45:08 084  6133  6532 W cgeo    : 	at java io BufferedInputStream read(BufferedInputStream java:347)_x000D_
03 10 07:45:08 084  6133  6532 W cgeo    : 	at java io FilterInputStream read(FilterInputStream java:133)_x000D_
03 10 07:45:08 084  6133  6532 W cgeo    : 	at cgeo geocaching files ProgressInputStream read(ProgressInputStream java:36)_x000D_
03 10 07:45:08 084  6133  6532 W cgeo    : 	at sun nio cs StreamDecoder readBytes(StreamDecoder java:291)_x000D_
03 10 07:45:08 084  6133  6532 W cgeo    : 	at sun nio cs StreamDecoder implRead(StreamDecoder java:355)_x000D_
03 10 07:45:08 084  6133  6532 W cgeo    : 	at sun nio cs StreamDecoder read(StreamDecoder java:181)_x000D_
03 10 07:45:08 084  6133  6532 W cgeo    : 	at java io InputStreamReader read(InputStreamReader java:184)_x000D_
03 10 07:45:08 084  6133  6532 W cgeo    : 	at java io BufferedReader fill(BufferedReader java:172)_x000D_
03 10 07:45:08 084  6133  6532 W cgeo    : 	at java io BufferedReader read1(BufferedReader java:223)_x000D_
03 10 07:45:08 084  6133  6532 W cgeo    : 	at java io BufferedReader read(BufferedReader java:297)_x000D_
03 10 07:45:08 084  6133  6532 W cgeo    : 	at java io FilterReader read(FilterReader java:74)_x000D_
03 10 07:45:08 084  6133  6532 W cgeo    : 	at cgeo geocaching files InvalidXMLCharacterFilterReader read(InvalidXMLCharacterFilterReader java:31)_x000D_
03 10 07:45:08 084  6133  6532 W cgeo    : 	at java io Reader read(Reader java:140)_x000D_
03 10 07:45:08 084  6133  6532 W cgeo    : 	at org apache harmony xml ExpatParser parseFragment(ExpatParser java:505)_x000D_
03 10 07:45:08 084  6133  6532 W cgeo    : 	at org apache harmony xml ExpatParser parseDocument(ExpatParser java:494)_x000D_
03 10 07:45:08 084  6133  6532 W cgeo    : 	at org apache harmony xml ExpatReader parse(ExpatReader java:315)_x000D_
03 10 07:45:08 084  6133  6532 W cgeo    : 	at org apache harmony xml ExpatReader parse(ExpatReader java:273)_x000D_
03 10 07:45:08 084  6133  6532 W cgeo    : 	at android util Xml parse(Xml java:71)_x000D_
03 10 07:45:08 084  6133  6532 W cgeo    : 	at cgeo geocaching files AbstractTrackOrRouteParser parse(AbstractTrackOrRouteParser java:61)_x000D_
03 10 07:45:08 084  6133  6532 W cgeo    : 	at cgeo geocaching files GPXTrackParser parse(GPXTrackParser java:35)_x000D_
03 10 07:45:08 084  6133  6532 W cgeo    : 	at cgeo geocaching files GPXTrackOrRouteImporter parse(GPXTrackOrRouteImporter java:83)_x000D_
03 10 07:45:08 084  6133  6532 W cgeo    : 	at cgeo geocaching files GPXTrackOrRouteImporter doInBackground(GPXTrackOrRouteImporter java:56)_x000D_
03 10 07:45:08 084  6133  6532 W cgeo    : 	at cgeo geocaching files GPXTrackOrRouteImporter lambda doImport 1(GPXTrackOrRouteImporter java:32)_x000D_
03 10 07:45:08 084  6133  6532 W cgeo    : 	at cgeo geocaching files    Lambda GPXTrackOrRouteImporter g0pSx27yHp6Zq7CsAgfCAE4gnXU run(Unknown Source:6)_x000D_
03 10 07:45:08 084  6133  6532 W cgeo    : 	at cgeo geocaching utils AndroidRxUtils lambda andThenOnUi 2(AndroidRxUtils java:74)_x000D_
03 10 07:45:08 084  6133  6532 W cgeo    : 	at cgeo geocaching utils    Lambda AndroidRxUtils bqzWo9nlvU86BvboB 9jhDWp5vc run(Unknown Source:4)_x000D_
03 10 07:45:08 084  6133  6532 W cgeo    : 	at io reactivex rxjava3 internal schedulers ScheduledRunnable run(ScheduledRunnable java:65)_x000D_
03 10 07:45:08 084  6133  6532 W cgeo    : 	at io reactivex rxjava3 internal schedulers ScheduledRunnable call(ScheduledRunnable java:56)_x000D_
03 10 07:45:08 084  6133  6532 W cgeo    : 	at java util concurrent FutureTask run(FutureTask java:266)_x000D_
03 10 07:45:08 084  6133  6532 W cgeo    : 	at java util concurrent ScheduledThreadPoolExecutor ScheduledFutureTask run(ScheduledThreadPoolExecutor java:301)_x000D_
03 10 07:45:08 084  6133  6532 W cgeo    : 	at java util concurrent ThreadPoolExecutor runWorker(ThreadPoolExecutor java:1167)_x000D_
03 10 07:45:08 084  6133  6532 W cgeo    : 	at java util concurrent ThreadPoolExecutor Worker run(ThreadPoolExecutor java:641)_x000D_
03 10 07:45:08 084  6133  6532 W cgeo    : 	at java lang Thread run(Thread java:929)_x000D_
03 10 07:45:08 085  6133  6460 W cgeo    :  RxCachedThreadScheduler 3  Problem accessing GPX Track file  file:   data user 0 cgeo geocaching trackfiles track 2022 03 07 23 16 46 3 gpx   Maybe file was removed or renamed by user _x000D_
03 10 07:45:08 085  6133  6460 W cgeo    : java io IOException: Stream closed_x000D_
03 10 07:45:08 085  6133  6460 W cgeo    : 	at java io BufferedInputStream getInIfOpen(BufferedInputStream java:161)_x000D_
03 10 07:45:08 085  6133  6460 W cgeo    : 	at java io BufferedInputStream read1(BufferedInputStream java:286)_x000D_
03 10 07:45:08 085  6133  6460 W cgeo    : 	at java io BufferedInputStream read(BufferedInputStream java:347)_x000D_
03 10 07:45:08 085  6133  6460 W cgeo    : 	at java io FilterInputStream read(FilterInputStream java:133)_x000D_
03 10 07:45:08 085  6133  6460 W cgeo    : 	at cgeo geocaching files ProgressInputStream read(ProgressInputStream java:36)_x000D_
03 10 07:45:08 085  6133  6460 W cgeo    : 	at sun nio cs StreamDecoder readBytes(StreamDecoder java:291)_x000D_
03 10 07:45:08 085  6133  6460 W cgeo    : 	at sun nio cs StreamDecoder implRead(StreamDecoder java:355)_x000D_
03 10 07:45:08 085  6133  6460 W cgeo    : 	at sun nio cs StreamDecoder read(StreamDecoder java:181)_x000D_
03 10 07:45:08 085  6133  6460 W cgeo    : 	at java io InputStreamReader read(InputStreamReader java:184)_x000D_
03 10 07:45:08 085  6133  6460 W cgeo    : 	at java io BufferedReader fill(BufferedReader java:172)_x000D_
03 10 07:45:08 085  6133  6460 W cgeo    : 	at java io BufferedReader read1(BufferedReader java:223)_x000D_
03 10 07:45:08 085  6133  6460 W cgeo    : 	at java io BufferedReader read(BufferedReader java:297)_x000D_
03 10 07:45:08 085  6133  6460 W cgeo    : 	at java io FilterReader read(FilterReader java:74)_x000D_
03 10 07:45:08 085  6133  6460 W cgeo    : 	at cgeo geocaching files InvalidXMLCharacterFilterReader read(InvalidXMLCharacterFilterReader java:31)_x000D_
03 10 07:45:08 085  6133  6460 W cgeo    : 	at java io Reader read(Reader java:140)_x000D_
03 10 07:45:08 085  6133  6460 W cgeo    : 	at org apache harmony xml ExpatParser parseFragment(ExpatParser java:505)_x000D_
03 10 07:45:08 085  6133  6460 W cgeo    : 	at org apache harmony xml ExpatParser parseDocument(ExpatParser java:494)_x000D_
03 10 07:45:08 085  6133  6460 W cgeo    : 	at org apache harmony xml ExpatReader parse(ExpatReader java:315)_x000D_
03 10 07:45:08 085  6133  6460 W cgeo    : 	at org apache harmony xml ExpatReader parse(ExpatReader java:273)_x000D_
03 10 07:45:08 085  6133  6460 W cgeo    : 	at android util Xml parse(Xml java:71)_x000D_
03 10 07:45:08 085  6133  6460 W cgeo    : 	at cgeo geocaching files AbstractTrackOrRouteParser parse(AbstractTrackOrRouteParser java:61)_x000D_
03 10 07:45:08 085  6133  6460 W cgeo    : 	at cgeo geocaching files GPXTrackParser parse(GPXTrackParser java:35)_x000D_
03 10 07:45:08 085  6133  6460 W cgeo    : 	at cgeo geocaching files GPXTrackOrRouteImporter parse(GPXTrackOrRouteImporter java:83)_x000D_
03 10 07:45:08 085  6133  6460 W cgeo    : 	at cgeo geocaching files GPXTrackOrRouteImporter doInBackground(GPXTrackOrRouteImporter java:56)_x000D_
03 10 07:45:08 085  6133  6460 W cgeo    : 	at cgeo geocaching files GPXTrackOrRouteImporter lambda doImport 1(GPXTrackOrRouteImporter java:32)_x000D_
03 10 07:45:08 085  6133  6460 W cgeo    : 	at cgeo geocaching files    Lambda GPXTrackOrRouteImporter g0pSx27yHp6Zq7CsAgfCAE4gnXU run(Unknown Source:6)_x000D_
03 10 07:45:08 085  6133  6460 W cgeo    : 	at cgeo geocaching utils AndroidRxUtils lambda andThenOnUi 2(AndroidRxUtils java:74)_x000D_
03 10 07:45:08 085  6133  6460 W cgeo    : 	at cgeo geocaching utils    Lambda AndroidRxUtils bqzWo9nlvU86BvboB 9jhDWp5vc run(Unknown Source:4)_x000D_
03 10 07:45:08 085  6133  6460 W cgeo    : 	at io reactivex rxjava3 internal schedulers ScheduledRunnable run(ScheduledRunnable java:65)_x000D_
03 10 07:45:08 085  6133  6460 W cgeo    : 	at io reactivex rxjava3 internal schedulers ScheduledRunnable call(ScheduledRunnable java:56)_x000D_
03 10 07:45:08 085  6133  6460 W cgeo    : 	at java util concurrent FutureTask run(FutureTask java:266)_x000D_
03 10 07:45:08 085  6133  6460 W cgeo    : 	at java util concurrent ScheduledThreadPoolExecutor ScheduledFutureTask run(ScheduledThreadPoolExecutor java:301)_x000D_
03 10 07:45:08 085  6133  6460 W cgeo    : 	at java util concurrent ThreadPoolExecutor runWorker(ThreadPoolExecutor java:1167)_x000D_
03 10 07:45:08 085  6133  6460 W cgeo    : 	at java util concurrent ThreadPoolExecutor Worker run(ThreadPoolExecutor java:641)_x000D_
03 10 07:45:08 085  6133  6460 W cgeo    : 	at java lang Thread run(Thread java:929)_x000D_
03 10 07:45:08 489  6133  6133 W cgeo    :  main  UncaughtException_x000D_
03 10 07:45:08 489  6133  6133 W cgeo    : java lang NullPointerException: Attempt to invoke virtual method  void cgeo geocaching models Route setHidden(boolean)  on a null object reference_x000D_
03 10 07:45:08 489  6133  6133 W cgeo    : 	at cgeo geocaching maps RouteTrackUtils lambda reloadTrack 19(RouteTrackUtils java:238)_x000D_
03 10 07:45:08 489  6133  6133 W cgeo    : 	at cgeo geocaching maps RouteTrackUtils lambda reloadTrack 19 RouteTrackUtils(Unknown Source:0)_x000D_
03 10 07:45:08 489  6133  6133 W cgeo    : 	at cgeo geocaching maps    Lambda RouteTrackUtils 6TnbNEkUFq2c0CmC heN1Jzl0nk updateRoute(Unknown Source:6)_x000D_
03 10 07:45:08 489  6133  6133 W cgeo    : 	at cgeo geocaching files GPXTrackOrRouteImporter lambda doImport 2(GPXTrackOrRouteImporter java:49)_x000D_
03 10 07:45:08 489  6133  6133 W cgeo    : 	at cgeo geocaching files    Lambda GPXTrackOrRouteImporter  5oHk4GG8Dp5ykMjvvDuO0uXai8 run(Unknown Source:6)_x000D_
03 10 07:45:08 489  6133  6133 W cgeo    : 	at io reactivex rxjava3 android schedulers HandlerScheduler ScheduledRunnable run(HandlerScheduler java:123)_x000D_
03 10 07:45:08 489  6133  6133 W cgeo    : 	at android os Handler handleCallback(Handler java:888)_x000D_
03 10 07:45:08 489  6133  6133 W cgeo    : 	at android os Handler dispatchMessage(Handler java:100)_x000D_
03 10 07:45:08 489  6133  6133 W cgeo    : 	at android os Looper loop(Looper java:213)_x000D_
03 10 07:45:08 489  6133  6133 W cgeo    : 	at android app ActivityThread main(ActivityThread java:8178)_x000D_
03 10 07:45:08 489  6133  6133 W cgeo    : 	at java lang reflect Method invoke(Native Method)_x000D_
03 10 07:45:08 489  6133  6133 W cgeo    : 	at com android internal os RuntimeInit MethodAndArgsCaller run(RuntimeInit java:513)_x000D_
03 10 07:45:08 489  6133  6133 W cgeo    : 	at com android internal os ZygoteInit main(ZygoteInit java:1101)_x000D_
          beginning of crash_x000D_
03 10 07:45:08 497  6133  6133 E AndroidRuntime: FATAL EXCEPTION: main_x000D_
03 10 07:45:08 497  6133  6133 E AndroidRuntime: Process: cgeo geocaching  PID: 6133_x000D_
03 10 07:45:08 497  6133  6133 E AndroidRuntime: java lang NullPointerException: Attempt to invoke virtual method  void cgeo geocaching models Route setHidden(boolean)  on a null object reference_x000D_
03 10 07:45:08 497  6133  6133 E AndroidRuntime: 	at cgeo geocaching maps RouteTrackUtils lambda reloadTrack 19(RouteTrackUtils java:238)_x000D_
03 10 07:45:08 497  6133  6133 E AndroidRuntime: 	at cgeo geocaching maps RouteTrackUtils lambda reloadTrack 19 RouteTrackUtils(Unknown Source:0)_x000D_
03 10 07:45:08 497  6133  6133 E AndroidRuntime: 	at cgeo geocaching maps    Lambda RouteTrackUtils 6TnbNEkUFq2c0CmC heN1Jzl0nk updateRoute(Unknown Source:6)_x000D_
03 10 07:45:08 497  6133  6133 E AndroidRuntime: 	at cgeo geocaching files GPXTrackOrRouteImporter lambda doImport 2(GPXTrackOrRouteImporter java:49)_x000D_
03 10 07:45:08 497  6133  6133 E AndroidRuntime: 	at cgeo geocaching files    Lambda GPXTrackOrRouteImporter  5oHk4GG8Dp5ykMjvvDuO0uXai8 run(Unknown Source:6)_x000D_
03 10 07:45:08 497  6133  6133 E AndroidRuntime: 	at io reactivex rxjava3 android schedulers HandlerScheduler ScheduledRunnable run(HandlerScheduler java:123)_x000D_
03 10 07:45:08 497  6133  6133 E AndroidRuntime: 	at android os Handler handleCallback(Handler java:888)_x000D_
03 10 07:45:08 497  6133  6133 E AndroidRuntime: 	at android os Handler dispatchMessage(Handler java:100)_x000D_
03 10 07:45:08 497  6133  6133 E AndroidRuntime: 	at android os Looper loop(Looper java:213)_x000D_
03 10 07:45:08 497  6133  6133 E AndroidRuntime: 	at android app ActivityThread main(ActivityThread java:8178)_x000D_
03 10 07:45:08 497  6133  6133 E AndroidRuntime: 	at java lang reflect Method invoke(Native Method)_x000D_
03 10 07:45:08 497  6133  6133 E AndroidRuntime: 	at com android internal os RuntimeInit MethodAndArgsCaller run(RuntimeInit java:513)_x000D_
03 10 07:45:08 497  6133  6133 E AndroidRuntime: 	at com android internal os ZygoteInit main(ZygoteInit java:1101)_x000D_
03 10 07:45:22 453  6611  6611 I cgeo geocachin: Reinit property: dalvik vm checkjni  false_x000D_
03 10 07:45:22 455  6611  6611 E cgeo geocachin: Not starting debugger since process cannot load the jdwp agent _x000D_
03 10 07:45:22 499  6611  6611 I cgeo geocachin: The ClassLoaderContext is a special shared library _x000D_
03 10 07:45:22 517  6611  6611 I cgeo geocachin: QarthPatchMonintor::Init_x000D_
03 10 07:45:22 517  6611  6611 I cgeo geocachin: _x000D_
03 10 07:45:22 517  6611  6611 I cgeo geocachin: QarthPatchMonintor::StartWatch_x000D_
03 10 07:45:22 517  6611  6611 I cgeo geocachin: _x000D_
03 10 07:45:22 517  6611  6611 I cgeo geocachin: QarthPatchMonintor::WatchPackage:  data hotpatch fwkhotpatch _x000D_
03 10 07:45:22 517  6611  6611 I cgeo geocachin: _x000D_
03 10 07:45:22 517  6611  6611 I cgeo geocachin: QarthPatchMonintor::CheckAndWatchPatch:  data hotpatch fwkhotpatch cgeo geocaching_x000D_
03 10 07:45:22 517  6611  6611 I cgeo geocachin: _x000D_
03 10 07:45:22 517  6611  6611 I cgeo geocachin: QarthPatchMonintor::CheckAndWatchPatch:  data hotpatch fwkhotpatch all_x000D_
03 10 07:45:22 517  6611  6611 I cgeo geocachin: _x000D_
03 10 07:45:22 517  6611  6611 I cgeo geocachin: QarthPatchMonintor::Run_x000D_
03 10 07:45:22 517  6611  6611 I cgeo geocachin: _x000D_
03 10 07:45:22 518  6611  6636 I cgeo geocachin: QarthPatchMonintor::Reading_x000D_
03 10 07:45:22 518  6611  6636 I cgeo geocachin: _x000D_
03 10 07:45:22 518  6611  6636 I cgeo geocachin: QarthPatchMonintor::CheckNotifyEvent_x000D_
03 10 07:45:22 518  6611  6636 I cgeo geocachin: _x000D_
03 10 07:45:22 518  6611  6636 I cgeo geocachin: QarthPatchMonintor::</t>
  </si>
  <si>
    <t>JonasBernard-FakeStandby-30</t>
  </si>
  <si>
    <t>[BUG] App crashes when rotating the screen</t>
  </si>
  <si>
    <t xml:space="preserve">When I perform these sequences of events  the app crashes when rotating the screen:_x000D_
_x000D_
1  Go to the Main activity_x000D_
2  Tap in Escape methods_x000D_
3  A form similar to this will appear_x000D_
_x000D_
Before rotation:_x000D_
_x000D_
 img src  https:  user images githubusercontent com 3637419 157570508 8db95c24 7baf 4151 9d72 4d5002cacd01 png  width 30  height 30  _x000D_
_x000D_
4  Force the pause from the activity and then return to the activity (double rotation)  Note that the app crashes  Note: the pause from activity can be performed in several ways  We suggest using a double rotation (starts in portrait  goes to landscape  and back to portrait) with this function previously enabled in the smartphone _x000D_
_x000D_
The expected behavior is the return to the previous state with the form of the previous image _x000D_
_x000D_
However  the app crashes _x000D_
_x000D_
After rotation:_x000D_
_x000D_
 img src  https:  user images githubusercontent com 3637419 157570497 ba700dc8 8f68 4f1d 8412 8deaa946ed42 png  width 30  height 30  _x000D_
_x000D_
_x000D_
https:  user images githubusercontent com 3637419 157570593 0f98e5ca 32fa 4b8c ae6a 595b87154fc3 mp4_x000D_
_x000D_
_x000D_
_x000D_
Device:_x000D_
  Device: Moto G30 with OS: Android 11_x000D_
  Version: 1 3 0_x000D_
  Device language: English_x000D_
</t>
  </si>
  <si>
    <t>Anuken-Mindustry-6633</t>
  </si>
  <si>
    <t>Bug(Button click)</t>
  </si>
  <si>
    <t xml:space="preserve">  Platform  :  Windows _x000D_
_x000D_
  Build  :  126 6(If i remember wright)  _x000D_
_x000D_
  Issue  :  Buttons Don t working like one click didn t work and need spam or long press(i hear from someone in by playerinput)  _x000D_
_x000D_
  Steps to reproduce  :  Just download game in 8th september(from steam) and played  _x000D_
_x000D_
  Link(s) to mod(s) used  :  No mods  _x000D_
_x000D_
  Save file  :  Didn t have for this time save  _x000D_
_x000D_
  (Crash) logs  :  No crash  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</si>
  <si>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PojavLauncherTeam-PojavLauncher-2870</t>
  </si>
  <si>
    <t>[BUG] Fabric 1.18.1 crashing</t>
  </si>
  <si>
    <t xml:space="preserve">    Describe the bug
When I launch fabric 1 18 1 and up  it crashes  I m using Java 17 too 
    The log file and images videos
 text txt (https:  github com PojavLauncherTeam PojavLauncher files 8216753 text txt)_x000D_
    Steps To Reproduce
   markdown
Setup Fabric 1 18 1 (1 13 3 1 13 2)_x000D_
Set the Java version to 17_x000D_
Launch
    Expected Behavior
The game crashes
    Platform
   markdown
  Device model: _x000D_
  CPU architecture: _x000D_
  Android version: _x000D_
  PojavLauncher version:
    Anything else 
 No response </t>
  </si>
  <si>
    <t>k9mail-k-9-5953</t>
  </si>
  <si>
    <t>Double tapping on a mail crashes K-9 Mail</t>
  </si>
  <si>
    <t xml:space="preserve">    Checklist
   X  I have used the search function to see if someone else has already submitted the same bug report 
   X  I will describe the problem with as much detail as possible 
    App version
5 807
    Where did you get the app from 
F Droid
    Android version
Android 11  oxygenOS 11 1 2 2
    Device model
 No response 
    Steps to reproduce
1  Open the app_x000D_
2  Double tap quickly on a mail in your inbox (this has to happen quite fast because it will slide the inbox with the mails away on the first tap)_x000D_
_x000D_
Maybe related to https:  github com k9mail k 9 issues 3144
    Expected behavior
Mail opens 
    Actual behavior
K 9 Mail crashes 
    Logs
https:  gist github com kolaente b32a84d7cf1ad5ac01c56658b9d7ff05 (reporting this from my phone so I m not able to upload a file directly)</t>
  </si>
  <si>
    <t>PojavLauncherTeam-PojavLauncher-2869</t>
  </si>
  <si>
    <t>[BUG] Optifine + Opti-Fabric Crashing while Standalone Optifine Dose Not (But has glitch) 1.18.1</t>
  </si>
  <si>
    <t xml:space="preserve">    Describe the bug
Whenever I have the  fabric api 0 46 6 1 18    optifabric 1 12 10   and  OptiFine 1 18 1 HD U H5  in the same mods folder  my game crashes  but if I only use Optifine and install it using the Mod Installer  it works but has a weird glitch (More on that below V)
    The log file and images videos
 latestlog txt (https:  github com PojavLauncherTeam PojavLauncher files 8215669 latestlog txt)_x000D_
 mods zip (https:  github com PojavLauncherTeam PojavLauncher files 8215673 some mods zip)_x000D_
    Steps To Reproduce
   markdown
1  Download the  Fabric Installer _x000D_
2  Install  Fabric 0 13 3  1 18 1  using PojavaLancher_x000D_
3  Download and move  Optifine 1 18 HD Ultra H5    Opti Fabric 1 18 1 1 12 10   and the  Fabric API O 46 6  to the mod folder_x000D_
4  Play Fabric Loader 0 13 3  1 18_x000D_
5  Crash
    Expected Behavior
I expect the game to boot up correctly
    Platform
   markdown
  Device model: R96 14268 67 0_x000D_
  CPU architecture: x86 64_x000D_
  Android version: 11_x000D_
  PojavLauncher version: crocus v3 openjdk
    Anything else 
Optifine works if you install instead but has this weird bug where none of the custom menus show up  only the Minecraft defaults</t>
  </si>
  <si>
    <t>PojavLauncherTeam-PojavLauncher-2868</t>
  </si>
  <si>
    <t>[BUG] Game crashes at start screen while using a SkyBlock Addon(Forge)</t>
  </si>
  <si>
    <t xml:space="preserve">    Describe the bug
So  when I installed a SkyBlock Addon called  NEU(https:  github com NotEnoughCoins NotEnoughCoins) to forge and runned it  after the MOJANG screen  a imagine shows up as displayed in the screenshot provided  So after that  when I click the  Next  button  the game freezes and it crashes with  Game Exited  error _x000D_
_x000D_
Same case with other mods such as Scrollable Tooltips  ctjs(Chat Trigger)  etc 
    The log file and images videos
  Screenshot 2022 03 09 16 30 11 203 net kdt pojavlaunch (https:  user images githubusercontent com 101257734 157434516 3e193373 952d 4732 8a54 068e0c78df4e jpg)_x000D_
_x000D_
_x000D_
 latestlog txt (https:  github com PojavLauncherTeam PojavLauncher files 8214277 latestlog txt)_x000D_
    Steps To Reproduce
   markdown
1  Install Forge 1 8 9_x000D_
2  Install  Not Enough Coins  mod to Forge_x000D_
3  Run the game
    Expected Behavior
I expect the game to work without any crashes 
    Platform
   markdown
  Device model: Poco X3 Pro 6 128G_x000D_
  CPU architecture: aarch64_x000D_
  Android version: 11_x000D_
  PojavLauncher version: Latest Release_x000D_
  Minecraft version: Forge 1 8 9_x000D_
  Ram allocated: 1453MB_x000D_
  Renderer: gl4es 1 1 4
    Anything else 
 No response </t>
  </si>
  <si>
    <t>Anuken-Mindustry-6629</t>
  </si>
  <si>
    <t>m1 mac crashing</t>
  </si>
  <si>
    <t xml:space="preserve">  Platform  :  mac _x000D_
_x000D_
  Build  :  idk what this is  _x000D_
_x000D_
  Issue  :  Constant crashing  my discord is bwennn 3423  ill send u the crash report thru there _x000D_
_x000D_
  Steps to reproduce  :  get the game with an m1 computer  _x000D_
_x000D_
  Link(s) to mod(s) used  :  no mods _x000D_
_x000D_
  Save file  :  i cant open the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</si>
  <si>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czlucius-code-scanner-41</t>
  </si>
  <si>
    <t>Creating contact crashes app</t>
  </si>
  <si>
    <t xml:space="preserve">    Steps to reproduce
1  Open app_x000D_
2  Go to  Create _x000D_
3  Create a contact_x000D_
    Expected behaviour
Contact QR Code is created
    Actual behaviour
App crashes 
    Device name
Samsung Galaxy S20 FE 5G 
    Android version API Level
12
    App version
1 85 (play)
    Device crash logs
FATAL EXCEPTION: main_x000D_
Process: com czlucius scan  PID: 16791_x000D_
java lang ExceptionInInitializerError_x000D_
	at d a a(Ezvcard java:1)_x000D_
	at c c a g s l a a(CreatedContact java:39)_x000D_
	at c c a g o a(QR java:5)_x000D_
	at com czlucius scan ui CreateFragment k1(CreateFragment java:6)_x000D_
	at com czlucius scan ui CreateFragment f1(CreateFragment java:1)_x000D_
	at c c a i g a(Unknown Source:4)_x000D_
	at androidx lifecycle LiveData b(LiveData java:6)_x000D_
	at androidx lifecycle LiveData c(LiveData java:8)_x000D_
	at b q t j(MutableLiveData java:4)_x000D_
	at c c a i t0 a(Unknown Source:4)_x000D_
	at c c a g o b(QR java:2)_x000D_
	at com czlucius scan ui CreateFragment b1(CreateFragment java:5)_x000D_
	at c c a i b onClick(Unknown Source:4)_x000D_
	at androidx appcompat app AlertController c handleMessage(AlertController java:3)_x000D_
	at android os Handler dispatchMessage(Handler java:106)_x000D_
	at android os Looper loopOnce(Looper java:226)_x000D_
	at android os Looper loop(Looper java:313)_x000D_
	at android app ActivityThread main(ActivityThread java:8641)_x000D_
	at java lang reflect Method invoke(Native Method)_x000D_
	at com android internal os RuntimeInit MethodAndArgsCaller run(RuntimeInit java:567)_x000D_
	at com android internal os ZygoteInit main(ZygoteInit java:1133)_x000D_
Caused by: java lang NullPointerException: Attempt to invoke virtual method  int java io Reader read(char  )  on a null object reference_x000D_
	at java util Properties LineReader readLine(Properties java:434)_x000D_
	at java util Properties load0(Properties java:349)_x000D_
	at java util Properties load(Properties java:337)_x000D_
	at d a  clinit (Ezvcard java:3)_x000D_
	    21 more
    Additional information
Should be because of Ezvcard minification_x000D_
Urgent </t>
  </si>
  <si>
    <t>aws-amplify-amplify-android-1676</t>
  </si>
  <si>
    <t>[DataStore] @hasMany connection to another model returns null inside query and crashes app</t>
  </si>
  <si>
    <t xml:space="preserve">    Before opening  please confirm:_x000D_
_x000D_
_x000D_
   X  I have  searched for duplicate or closed issues (https:  github com aws amplify amplify android issues q is 3Aissue ) and  discussions (https:  github com aws amplify amplify android discussions) _x000D_
_x000D_
    Language and Async Model_x000D_
_x000D_
Kotlin   Coroutines_x000D_
_x000D_
    Amplify Categories_x000D_
_x000D_
DataStore_x000D_
_x000D_
    Gradle script dependencies_x000D_
_x000D_
 details _x000D_
_x000D_
   groovy_x000D_
   Put output below this line_x000D_
_x000D_
   Amplify core dependency_x000D_
    implementation  com amplifyframework:core:1 32 1 _x000D_
    implementation  com amplifyframework:core kotlin:0 16 0 _x000D_
    implementation  com amplifyframework:aws api:1 32 1 _x000D_
    implementation  com amplifyframework:aws datastore:1 32 1 _x000D_
   _x000D_
_x000D_
  details _x000D_
_x000D_
_x000D_
    Environment information_x000D_
_x000D_
 details _x000D_
_x000D_
   _x000D_
  Put output below this line_x000D_
_x000D_
                                                            _x000D_
Gradle 7 2_x000D_
                                                            _x000D_
_x000D_
Build time:   2021 08 17 09:59:03 UTC_x000D_
Revision:     a773786b58bb28710e3dc96c4d1a7063628952ad_x000D_
_x000D_
Kotlin:       1 5 21_x000D_
Groovy:       3 0 8_x000D_
Ant:          Apache Ant(TM) version 1 10 9 compiled on September 27 2020_x000D_
JVM:          17 0 1 (Oracle Corporation 17 0 1 12 39)_x000D_
OS:           Mac OS X 12 1 aarch64_x000D_
_x000D_
_x000D_
   _x000D_
_x000D_
  details _x000D_
_x000D_
_x000D_
    Please include any relevant guides or documentation you re referencing_x000D_
_x000D_
https:  docs amplify aws lib datastore relational q platform android _x000D_
_x000D_
    Describe the bug_x000D_
_x000D_
I am trying to access nested model (Blog   Post in schema) inside DataStore queries similar to how it is possible to access Nested CustomType (which works)  In the code  when trying to access the (Mutable)List Post   I get a null pointer error and my app crashes  I have been facing this issue since amplifyframework version 1 31 3 and now I am on 1 32 x and still facing it  _x000D_
_x000D_
Any ideas or suggestions _x000D_
_x000D_
This seems to be working on other platforms _x000D_
On Flutter  https:  github com aws amplify amplify flutter issues 260 issuecomment 909679333 mentions that  CustomType  is not supported but that works on my end  Only  AnotherModel  i e  a  hasMany relationship between tables is not working _x000D_
_x000D_
    Reproduction steps (if applicable)_x000D_
_x000D_
1  Set up env with provided GraphQL Schema_x000D_
2  Notice that list of CustomType is working fine and is accessible  _x000D_
3  But  list of AnotherModel is not accessible returns null and crashes app _x000D_
4  This seems to work on iOS  Flutter and JS  but only fails on Native Android (Kotlin)_x000D_
_x000D_
    Code Snippet_x000D_
_x000D_
   kotlin_x000D_
   Put your code below this line _x000D_
GlobalScope launch  _x000D_
            Amplify DataStore query(Blog::class  Where id( 1 ))_x000D_
                 catch   Log e( DataStore    Error   it) _x000D_
                 collect  _x000D_
                    Log d( DataStore      it id     it name     it customs  )_x000D_
                    Log d( DataStore   it customs 1  children 0  nestedName      customs size:   it customs size  )_x000D_
   the next line returns null and crashes app_x000D_
                    Log d( DataStore    posts test id:   it post 0  id  )_x000D_
                 _x000D_
 _x000D_
   _x000D_
_x000D_
_x000D_
    Log output_x000D_
_x000D_
 details _x000D_
_x000D_
   _x000D_
   Put your logs below this line_x000D_
E AndroidRuntime: FATAL EXCEPTION: DefaultDispatcher worker 1_x000D_
    Process: com example datastorecrud  PID: 22111_x000D_
    java lang NullPointerException: Attempt to invoke interface method  java lang Object java util List get(int)  on a null object reference_x000D_
        at com example datastorecrud MainActivity onCreate 1 invokeSuspend  inlined collect 1 emit(Collect kt:136)_x000D_
        at kotlinx coroutines flow FlowKt  ErrorsKt catchImpl  inlined collect 1 emit(Collect kt:134)_x000D_
        at kotlinx coroutines flow FlowKt  ChannelsKt emitAllImpl FlowKt  ChannelsKt(Channels kt:61)_x000D_
        at kotlinx coroutines flow FlowKt  ChannelsKt emitAllImpl 1 invokeSuspend(Unknown Source:11)_x000D_
        at kotlin coroutines jvm internal BaseContinuationImpl resumeWith(ContinuationImpl kt:33)_x000D_
        at kotlinx coroutines DispatchedTask run(DispatchedTask kt:106)_x000D_
        at kotlinx coroutines scheduling CoroutineScheduler runSafely(CoroutineScheduler kt:571)_x000D_
        at kotlinx coroutines scheduling CoroutineScheduler Worker executeTask(CoroutineScheduler kt:750)_x000D_
        at kotlinx coroutines scheduling CoroutineScheduler Worker runWorker(CoroutineScheduler kt:678)_x000D_
        at kotlinx coroutines scheduling CoroutineScheduler Worker run(CoroutineScheduler kt:665)_x000D_
_x000D_
   _x000D_
_x000D_
  details _x000D_
_x000D_
_x000D_
    amplifyconfiguration json_x000D_
_x000D_
 No response _x000D_
_x000D_
    GraphQL Schema_x000D_
_x000D_
 details _x000D_
_x000D_
   graphql_x000D_
   Put your schema below this line_x000D_
_x000D_
type Blog  model  _x000D_
    id: ID _x000D_
    name: String _x000D_
    customs:  MyCustomModel _x000D_
    notes:  String _x000D_
    post:  Post   hasMany(indexName:  postByBlog   fields:   id  )_x000D_
 _x000D_
_x000D_
type MyCustomModel  _x000D_
    id: ID _x000D_
    name: String _x000D_
    desc: String_x000D_
    children:  MyNestedModel _x000D_
 _x000D_
_x000D_
type MyNestedModel  _x000D_
    id: ID _x000D_
    nestedName: String _x000D_
    notes:  String _x000D_
 _x000D_
_x000D_
type Post  model  _x000D_
    id:ID _x000D_
    name:String _x000D_
    blog id: ID   index(name:  postByBlog )_x000D_
    blog: Blog   belongsTo(fields:   blog id  )_x000D_
 _x000D_
_x000D_
   _x000D_
_x000D_
  details _x000D_
_x000D_
_x000D_
    Additional information and screenshots_x000D_
_x000D_
 No response </t>
  </si>
  <si>
    <t>PojavLauncherTeam-PojavLauncher-2864</t>
  </si>
  <si>
    <t>[BUG] Can't play fabric 1.18.1</t>
  </si>
  <si>
    <t xml:space="preserve">    Describe the bug_x000D_
_x000D_
Damn it  this bug just happened to me after I reinstall fabric 1 18 1   This bug almost make me rage_x000D_
_x000D_
    The log file and images videos_x000D_
_x000D_
          beggining with launcher debug_x000D_
Info: Launcher version: crocus v3 openjdk_x000D_
Info: LWJGL3 directory:  jsr305 jar  lwjgl glfw classes jar  lwjgl jemalloc jar  lwjgl openal jar  lwjgl opengl jar  lwjgl stb jar  lwjgl tinyfd jar  lwjgl jar  version _x000D_
Architecture: arm64_x000D_
Info: Custom Java arguments:   Xms512m  Xmx4G  _x000D_
Info: Selected Minecraft version: fabric loader 0 13 3 1 18 1 (1 18 1)_x000D_
Added custom env: TMPDIR  data user 0 net kdt pojavlaunch cache_x000D_
Added custom env: AWTSTUB WIDTH 600_x000D_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jre17 arm64 20210825 release tar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runtimes jre17 arm64 20210825 release tar xz lib jli: data user 0 net kdt pojavlaunch runtimes jre17 arm64 20210825 release tar xz lib: system lib64: vendor lib64: vendor lib64 hw: data app    6WhcC0Eo2XFRT 1EdTy6g   net kdt pojavlaunch Ir9RoHR404ZuxTOBHJ6cDQ   lib arm64_x000D_
Added custom env: POJAV RENDERER vulkan zink_x000D_
Added custom env: LIBGL ES 3_x000D_
Added custom env: MESA LOADER DRIVER OVERRIDE zink_x000D_
Added custom env: MESA GLSL VERSION OVERRIDE 460_x000D_
Added custom env: JAVA HOME  data user 0 net kdt pojavlaunch runtimes jre17 arm64 20210825 release tar xz_x000D_
Added custom env: MESA GL VERSION OVERRIDE 4 6_x000D_
Added custom env: allow glsl extension directive midshader true_x000D_
Added custom env: REGAL GL RENDERER Regal_x000D_
Added custom env: AWTSTUB HEIGHT 270_x000D_
          beginning of main_x000D_
I jrelog  (31938): dlopen libOSMesa 8 so success_x000D_
I jrelog  (31938): dlopen  data user 0 net kdt pojavlaunch runtimes jre17 arm64 20210825 release tar xz lib libjli so success_x000D_
I jrelog  (31938): dlopen libjvm so failed: dlopen failed: library  libjvm so  not found_x000D_
I jrelog  (31938): dlopen  data user 0 net kdt pojavlaunch runtimes jre17 arm64 20210825 release tar xz lib server libjvm so success_x000D_
I jrelog  (31938): dlopen  data user 0 net kdt pojavlaunch runtimes jre17 arm64 20210825 release tar xz lib libverify so success_x000D_
I jrelog  (31938): dlopen  data user 0 net kdt pojavlaunch runtimes jre17 arm64 20210825 release tar xz lib libjava so success_x000D_
I jrelog  (31938): dlopen  data user 0 net kdt pojavlaunch runtimes jre17 arm64 20210825 release tar xz lib libnet so success_x000D_
I jrelog  (31938): dlopen  data user 0 net kdt pojavlaunch runtimes jre17 arm64 20210825 release tar xz lib libnio so success_x000D_
I jrelog  (31938): dlopen  data user 0 net kdt pojavlaunch runtimes jre17 arm64 20210825 release tar xz lib libawt so success_x000D_
I jrelog  (31938): dlopen  data user 0 net kdt pojavlaunch runtimes jre17 arm64 20210825 release tar xz lib libawt headless so success_x000D_
I jrelog  (31938): dlopen  data user 0 net kdt pojavlaunch runtimes jre17 arm64 20210825 release tar xz lib libfreetype so success_x000D_
I jrelog  (31938): dlopen  data user 0 net kdt pojavlaunch runtimes jre17 arm64 20210825 release tar xz lib libfontmanager so success_x000D_
I jrelog  (31938): dlopen  data user 0 net kdt pojavlaunch runtimes jre17 arm64 20210825 release tar xz lib libawt so success_x000D_
I jrelog  (31938): dlopen  data user 0 net kdt pojavlaunch runtimes jre17 arm64 20210825 release tar xz lib server libjvm so success_x000D_
I jrelog  (31938): dlopen  data user 0 net kdt pojavlaunch runtimes jre17 arm64 20210825 release tar xz lib server libjsig so success_x000D_
I jrelog  (31938): dlopen  data user 0 net kdt pojavlaunch runtimes jre17 arm64 20210825 release tar xz lib libattach so success_x000D_
I jrelog  (31938): dlopen  data user 0 net kdt pojavlaunch runtimes jre17 arm64 20210825 release tar xz lib libjavajpeg so success_x000D_
I jrelog  (31938): dlopen  data user 0 net kdt pojavlaunch runtimes jre17 arm64 20210825 release tar xz lib libsyslookup so success_x000D_
I jrelog  (31938): dlopen  data user 0 net kdt pojavlaunch runtimes jre17 arm64 20210825 release tar xz lib libfontmanager so success_x000D_
I jrelog  (31938): dlopen  data user 0 net kdt pojavlaunch runtimes jre17 arm64 20210825 release tar xz lib libj2pcsc so success_x000D_
I jrelog  (31938): dlopen  data user 0 net kdt pojavlaunch runtimes jre17 arm64 20210825 release tar xz lib libmanagement so success_x000D_
I jrelog  (31938): dlopen  data user 0 net kdt pojavlaunch runtimes jre17 arm64 20210825 release tar xz lib libjaas so success_x000D_
I jrelog  (31938): dlopen  data user 0 net kdt pojavlaunch runtimes jre17 arm64 20210825 release tar xz lib libfreetype so success_x000D_
I jrelog  (31938): dlopen  data user 0 net kdt pojavlaunch runtimes jre17 arm64 20210825 release tar xz lib libjli so success_x000D_
I jrelog  (31938): dlopen  data user 0 net kdt pojavlaunch runtimes jre17 arm64 20210825 release tar xz lib libjimage so success_x000D_
I jrelog  (31938): dlopen  data user 0 net kdt pojavlaunch runtimes jre17 arm64 20210825 release tar xz lib libjsig so success_x000D_
I jrelog  (31938): dlopen  data user 0 net kdt pojavlaunch runtimes jre17 arm64 20210825 release tar xz lib libj2gss so success_x000D_
I jrelog  (31938): dlopen  data user 0 net kdt pojavlaunch runtimes jre17 arm64 20210825 release tar xz lib libnet so success_x000D_
I jrelog  (31938): dlopen  data user 0 net kdt pojavlaunch runtimes jre17 arm64 20210825 release tar xz lib libjava so success_x000D_
I jrelog  (31938): dlopen  data user 0 net kdt pojavlaunch runtimes jre17 arm64 20210825 release tar xz lib libnio so success_x000D_
I jrelog  (31938): dlopen  data user 0 net kdt pojavlaunch runtimes jre17 arm64 20210825 release tar xz lib libprefs so success_x000D_
I jrelog  (31938): dlopen  data user 0 net kdt pojavlaunch runtimes jre17 arm64 20210825 release tar xz lib libmanagement ext so success_x000D_
I jrelog  (31938): dlopen  data user 0 net kdt pojavlaunch runtimes jre17 arm64 20210825 release tar xz lib libj2pkcs11 so success_x000D_
I jrelog  (31938): dlopen  data user 0 net kdt pojavlaunch runtimes jre17 arm64 20210825 release tar xz lib libdt socket so success_x000D_
I jrelog  (31938): dlopen  data user 0 net kdt pojavlaunch runtimes jre17 arm64 20210825 release tar xz lib libjdwp so success_x000D_
I jrelog  (31938): dlopen  data user 0 net kdt pojavlaunch runtimes jre17 arm64 20210825 release tar xz lib libzip so success_x000D_
I jrelog  (31938): dlopen  data user 0 net kdt pojavlaunch runtimes jre17 arm64 20210825 release tar xz lib libsctp so success_x000D_
I jrelog  (31938): dlopen  data user 0 net kdt pojavlaunch runtimes jre17 arm64 20210825 release tar xz lib libmlib image so success_x000D_
I jrelog  (31938): dlopen  data user 0 net kdt pojavlaunch runtimes jre17 arm64 20210825 release tar xz lib libextnet so success_x000D_
I jrelog  (31938): dlopen  data user 0 net kdt pojavlaunch runtimes jre17 arm64 20210825 release tar xz lib libinstrument so success_x000D_
I jrelog  (31938): dlopen  data user 0 net kdt pojavlaunch runtimes jre17 arm64 20210825 release tar xz lib libmanagement agent so success_x000D_
I jrelog  (31938): dlopen  data user 0 net kdt pojavlaunch runtimes jre17 arm64 20210825 release tar xz lib librmi so success_x000D_
I jrelog  (31938): dlopen  data user 0 net kdt pojavlaunch runtimes jre17 arm64 20210825 release tar xz lib liblcms so success_x000D_
I jrelog  (31938): dlopen  data user 0 net kdt pojavlaunch runtimes jre17 arm64 20210825 release tar xz lib libjawt so success_x000D_
I jrelog  (31938): dlopen  data user 0 net kdt pojavlaunch runtimes jre17 arm64 20210825 release tar xz lib libverify so success_x000D_
I jrelog  (31938): dlopen  data user 0 net kdt pojavlaunch runtimes jre17 arm64 20210825 release tar xz lib libawt headless so success_x000D_
I jrelog  (31938): dlopen  data user 0 net kdt pojavlaunch runtimes jre17 arm64 20210825 release tar xz lib libawt xawt so success_x000D_
I jrelog  (31938): dlopen  data app    6WhcC0Eo2XFRT 1EdTy6g   net kdt pojavlaunch Ir9RoHR404ZuxTOBHJ6cDQ   lib arm64 libopenal so success_x000D_
I jrelog  (31938): Done processing args_x000D_
I jrelog  (31938): Found JLI lib_x000D_
I jrelog  (31938): Calling JLI Launch_x000D_
 05:49:20   INFO   FabricLoader GameProvider : Loading Minecraft 1 18 1 with Fabric Loader 0 13 3_x000D_
 05:49:21   INFO   FabricLoader GameRemap : Fabric is preparing JARs on first launch  this may take a few seconds   _x000D_
 05:49:41   main INFO : Loading Minecraft 1 18 1 with Fabric Loader 0 13 3_x000D_
 05:49:41   main INFO : Fabric is preparing JARs on first launch  this may take a few seconds   _x000D_
 05:49:42   main INFO : Loading 119 mods:_x000D_
	  advanced runtime resource pack 0 5 4 via enhancedblockentities_x000D_
	  alternatecurrent 1 1 0_x000D_
	  appleskin 2 3 0 mc1 18 1_x000D_
	  architectury 3 7 26_x000D_
	  autoconfig1u 3 2 2 via capes_x000D_
	  betterfpsdist 1 18 1 7_x000D_
	  capes 1 2 2 1 18_x000D_
	  chipped 1 2_x000D_
	  cleardespawn 1 1 6_x000D_
	  cloth basic math 0 6 0 via cloth config_x000D_
	  cloth config 6 2 51_x000D_
	  com electronwill night config core 3 6 3 via forgeconfigapiport_x000D_
	  com electronwill night config toml 3 6 3 via forgeconfigapiport_x000D_
	  com eliotlash mclib mclib 18 via geckolib3_x000D_
	  com eliotlash molang molang 18 via geckolib3_x000D_
	  com google code findbugs jsr305 3 0 2 via create_x000D_
	  continuity 1 1 0 1 18_x000D_
	  controlling 9 0 15_x000D_
	  create mc1 18 1 v0 4d 445_x000D_
	  cullleaves 2 3 2_x000D_
	  dripstone fluid lib 1 1 1 via milk_x000D_
	  effective 1 1_x000D_
	  enhancedblockentities 0 5 1 18_x000D_
	  entityculling 1 5 0_x000D_
	  fabric 0 46 6 1 18_x000D_
	  fabric api base 0 4 2 d7c144a865 via fabric_x000D_
	  fabric api lookup api v1 1 5 3 d7c144a865 via fabric_x000D_
	  fabric biome api v1 6 0 2 d7c144a865 via fabric_x000D_
	  fabric blockrenderlayer v1 1 1 10 3ac43d9565 via fabric_x000D_
	  fabric command api v1 1 1 7 d7c144a865 via fabric_x000D_
	  fabric commands v0 0 2 6 b4f4f6cd65 via fabric_x000D_
	  fabric containers v0 0 1 19 d7c144a865 via fabric_x000D_
	  fabric content registries v0 0 4 9 d7c144a865 via fabric_x000D_
	  fabric crash report info v1 0 1 9 3ac43d9565 via fabric_x000D_
	  fabric data generation api v1 1 0 0 3fec4ad9c8 via registrate fabric_x000D_
	  fabric dimensions v1 2 1 10 a1d9bbf565 via fabric_x000D_
	  fabric entity events v1 1 4 6 d7c144a865 via fabric_x000D_
	  fabric events interaction v0 0 4 17 d7c144a865 via fabric_x000D_
	  fabric events lifecycle v0 0 2 9 d7c144a865 via fabric_x000D_
	  fabric game rule api v1 1 0 11 d7c144a865 via fabric_x000D_
	  fabric item api v1 1 3 1 691a79b565 via fabric_x000D_
	  fabric item groups v0 0 3 7 3ac43d9565 via fabric_x000D_
	  fabric key binding api v1 1 0 9 d7c144a865 via fabric_x000D_
	  fabric keybindings v0 0 2 7 b4f4f6cd65 via fabric_x000D_
	  fabric language kotlin 1 7 1 kotlin 1 6 10_x000D_
	  fabric lifecycle events v1 1 4 13 713c266865 via fabric_x000D_
	  fabric _x000D_
loot tables v1 1 0 9 d7c144a865 via fabric_x000D_
	  fabric mining level api v1 1 0 7 d7c144a865 via fabric_x000D_
	  fabric mining levels v0 0 1 12 b4f4f6cd65 via fabric_x000D_
	  fabric models v0 0 3 4 d7c144a865 via fabric_x000D_
	  fabric networking api v1 1 0 19 d7c144a865 via fabric_x000D_
	  fabric networking v0 0 3 6 b4f4f6cd65 via fabric_x000D_
	  fabric object builder api v1 1 11 5 737332ce65 via fabric_x000D_
	  fabric object builders v0 0 7 13 d7c144a865 via fabric_x000D_
	  fabric particles v1 0 2 10 526dc1ac65 via fabric_x000D_
	  fabric registry sync v0 0 9 2 ad01bfbd65 via fabric_x000D_
	  fabric renderer api v1 0 4 11 b0b66fc365 via fabric_x000D_
	  fabric renderer indigo 0 4 15 6825030165 via fabric_x000D_
	  fabric renderer registries v1 3 2 10 b4f4f6cd65 via fabric_x000D_
	  fabric rendering data attachment v1 0 3 5 d7c144a865 via fabric_x000D_
	  fabric rendering fluids v1 0 1 19 3ac43d9565 via fabric_x000D_
	  fabric rendering v0 1 1 12 b4f4f6cd65 via fabric_x000D_
	  fabric rendering v1 1 10 6 713c266865 via fabric_x000D_
	  fabric resource conditions api v1 1 0 2 d7c144a865 via fabric_x000D_
	  fabric resource loader v0 0 4 15 8906aafd65 via fabric_x000D_
	  fabric screen api v1 1 0 8 d7c144a865 via fabric_x000D_
	  fabric screen handler api v1 1 1 12 d7c144a865 via fabric_x000D_
	  fabric structure api v1 2 1 3 d7c144a865 via fabric_x000D_
	  fabric tag extensions v0 1 2 9 d7c144a865 via fabric_x000D_
	  fabric textures v0 1 0 10 3ac43d9565 via fabric_x000D_
	  fabric tool attribute api v1 1 3 9 fb3b57b465 via fabric_x000D_
	  fabric transfer api v1 1 5 10 c329913d65 via fabric_x000D_
	  fabricloader 0 13 3_x000D_
	  fabricskyboxes 0 5 4_x000D_
	  fake player api 0 3 0 via create_x000D_
	  farmersdelight 1 18 1 0 2 0_x000D_
	  ferritecore 4 1 2_x000D_
	  flywheel 1 18 0 6 1 24 via create_x000D_
	  forge tags 2 0 via create_x000D_
	  forgeconfigapiport 3 1 0 via create_x000D_
	  geckolib3 3 0 33_x000D_
	  illuminations 1 10 2_x000D_
	  invmove 0 6 0_x000D_
	  java 17_x000D_
	  kirin 1 10 0 beta 2 via presencefootsteps_x000D_
	  lambdynlights 2 1 0 1 17_x000D_
	  lazydfu 0 1 2_x000D_
	  lithium 0 7 8_x000D_
	  me hypherionmc simple rpc common 1 0 20 via simple rpc_x000D_
	  midnightlib 0 2 9 via cullleaves_x000D_
	  milk 0 1 6 via create_x000D_
	  minecraft 1 18 1_x000D_
	  modmenu 3 0 1_x000D_
	  no fog 1 1 0 1_x000D_
 18_x000D_
	  org aperlambda lambdajcommon 1 8 1 via spruceui_x000D_
	  org jetbrains kotlin kotlin reflect 1 6 10 via fabric language kotlin_x000D_
	  org jetbrains kotlin kotlin stdlib 1 6 10 via fabric language kotlin_x000D_
	  org jetbrains kotlin kotlin stdlib jdk7 1 6 10 via fabric language kotlin_x000D_
	  org jetbrains kotlin kotlin stdlib jdk8 1 6 10 via fabric language kotlin_x000D_
	  org jetbrains kotlinx kotlinx coroutines core jvm 1 5 2 via fabric language kotlin_x000D_
	  org jetbrains kotlinx kotlinx coroutines jdk8 1 5 2 via fabric language kotlin_x000D_
	  org jetbrains kotlinx kotlinx serialization cbor jvm 1 3 1 via fabric language kotlin_x000D_
	  org jetbrains kotlinx kotlinx serialization core jvm 1 3 1 via fabric language kotlin_x000D_
	  org jetbrains kotlinx kotlinx serialization json jvm 1 3 1 via fabric language kotlin_x000D_
	  phosphor 0 8 1_x000D_
	  presencefootsteps 1 4 0_x000D_
	  pride 1 1 0 1 17 via lambdynlights_x000D_
	  ratsmischief 1 3 4_x000D_
	  reach entity attributes 2 1 1 via create_x000D_
	  registrate fabric MC1 18 1 1 0 7 via create_x000D_
	  reinfbarrel 1 0 6 1 18_x000D_
	  reinfcore 1 1 3 1 18 via reinfbarrel_x000D_
	  reinfshulker 1 1 8 1 18_x000D_
	  roughlyenoughitems 7 3 443_x000D_
	  simple rpc 2 7 2_x000D_
	  soundphysics 0 5 6_x000D_
	  spruceui 3 3 0 1 17 via lambdynlights_x000D_
	  wthit 4 5 4_x000D_
	  wurst v7 21 MC1 18 1_x000D_
 05:49:42   main WARN : Mod  create  (mc1 18 1 v0 4d 445) does not respect SemVer   comparison support is limited _x000D_
 05:49:42   main WARN : Mod  registrate fabric  (MC1 18 1 1 0 7) does not respect SemVer   comparison support is limited _x000D_
 05:49:42   main WARN : Mod  wurst  (v7 21 MC1 18 1) does not respect SemVer   comparison support is limited _x000D_
 05:49:42   main INFO : SpongePowered MIXIN Subsystem Version 0 8 5 Source file: storage emulated 0 Android data net kdt pojavlaunch files  minecraft libraries net fabricmc sponge mixin 0 11 2 mixin 0 8 5 sponge mixin 0 11 2 mixin 0 8 5 jar Service Knot Fabric Env CLIENT_x000D_
 05:49:43   main INFO : Compatibility level set to JAVA 16_x000D_
 05:49:43   main INFO : Compatibility level set to JAVA 17_x000D_
 05:49:44   main INFO : Loaded configuration file for Lithium: 102 options available  1 override(s) found_x000D_
 05:49:46   main WARN : Force disabling mixin  alloc blockstate StateMixin  as rule  mixin alloc blockstate  (added by mods  ferritecore ) disables it and children_x000D_
 05:49:46   main WARN : Error loading class: me jellysquid mods sodium client render occlusion BlockOcclusionCache (java lang ClassNotFoundException: me jellysquid mods sodium client render occlusion BlockOcclusionCache)_x000D_
 05:49:48   main INFO : I used the json to destroy the json_x000D_
 05:49:55   main WARN : Method overwrite conflict for setType in reinfshulker mixins json:BlockEntityMixin  previously written by atonkish reinfbarrel mixin BlockEntityMixin  Skipping method _x000D_
 05:50:00   main WARN :  Inject( At( INVOKE )) Shift BY 3 on fabric lifecycle events v1 mixins json:client WorldChunkMixin::handler zmp000 onLoadBlockEntity exceeds the maximum allowed value: 0  Increase the value of maxShiftBy to suppress this warning _x000D_
 05:50:08   Render thread INFO :  STDERR :  LWJGL  Failed to load a library  Possible solutions:_x000D_
	a) Add the directory that contains the shared library to  Djava library path or  Dorg lwjgl librarypath _x000D_
	b) Add the JAR that contains the shared library to the classpath _x000D_
 05:50:08   Render thread INFO :  STDERR :  LWJGL  Enable debug mode with  Dorg lwjgl util Debug true for better diagnostics _x000D_
 05:50:08   Render thread INFO :  STDERR :  LWJGL  Enable the SharedLibraryLoader debug mode with  Dorg lwjgl util DebugLoader true for better diagnostics _x000D_
 05:50:08   Render thread WARN :  Inject( At( INVOKE )) Shift BY 2 on dripstone fluid lib mixins json:MinecraftClientMixin::handler zid000 dripstone fluid lib handleParticles exceeds the maximum allowed value: 0  Increase the value of maxShiftBy to suppress this warning _x000D_
 05:50:09   Render thread INFO : Environment: authHost  https:  authserver mojang com   accountsHost  https:  api mojang com   sessionHost  https:  sessionserver mojang com   servicesHost  https:  api minecraftservices com   name  PROD _x000D_
 05:50:10   Render thread ERROR : Failed to verify authentication_x000D_
com mojang authlib exceptions InvalidCredentialsException: Status: 401_x000D_
	at com mojang authlib exceptions MinecraftClientHttpException toAuthenticationException(MinecraftClientHttpException java:56)   authlib 3 2 38 jar:  _x000D_
	at com mojang authlib yggdrasil YggdrasilUserApiService fetchProperties(YggdrasilUserApiService java:132)   authlib 3 2 38 jar:  _x000D_
	at com mojang authlib yggdrasil YggdrasilUserApiService  init (YggdrasilUserApiService java:44)   authlib 3 2 38 jar:  _x000D_
	at com mojang authlib yggdrasil YggdrasilAuthenticationService createUserApiService(YggdrasilAuthenticationService java:153)   authlib 3 2 38 jar:  _x000D_
	at net minecraft class 310 method 31382(class 310 java:670)  client intermediary jar:  _x000D_
	at net minecraft class 310  init (class 310 java:424)  client intermediary jar:  _x000D_
	at net minecraft client main Main main(Main java:199)  client intermediary jar: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fabricmc loader impl game minecraft MinecraftGameProvider launch(MinecraftGameProvider java:416)  fabric loader 0 13 3 jar:  _x000D_
	at net fabricmc loader impl launch knot Knot launch(Knot java:77)  fabric loader 0 13 3 jar:  _x000D_
	at net fabricmc loader impl launch knot KnotClient main(KnotClient java:23)  fabric loader 0 13 3 jar:  _x000D_
Caused by: com mojang authlib exceptions MinecraftClientHttpException: Status: 401_x000D_
	at com mojang authlib minecraft client MinecraftClient readInputStream(MinecraftClient java:78)   authlib 3 2 38 jar:  _x000D_
	at com mojang authlib minecraft client MinecraftClient get(MinecraftClient java:48)   authlib 3 2 38 jar:  _x000D_
	at com mojang authlib yggdrasil YggdrasilUserApiService fetchProperties(YggdrasilUserApiService java:113)   _x000D_
authlib 3 2 38 jar:  _x000D_
	    12 more_x000D_
 05:50:10   Render thread INFO : Setting user: Thollp_x000D_
 05:50:10   Render thread INFO : Alternate Current 1 1 0 has been initialized _x000D_
 05:50:10   Render thread INFO : betterfpsdist mod initialized_x000D_
 05:50:15   Render thread WARN : Encountered duplicate API provider registration for item: minecraft:bucket_x000D_
 05:50:17   Render thread WARN : Encountered duplicate API provider registration for item: minecraft:bucket_x000D_
 05:50:17   Render thread WARN : Encountered duplicate API provider registration for item: minecraft:glass bottle_x000D_
 05:50:17   Render thread WARN : Encountered duplicate API provider registration for item: minecraft:bucket_x000D_
 05:50:17   Render thread WARN : Encountered duplicate API provider registration for item: minecraft:glass bottle_x000D_
 05:50:20   Render thread INFO : Config loaded _x000D_
 05:50:20   Render thread INFO : Registered plugin provider REITooltipPlugin  appleskin  for REIPlugin_x000D_
 05:50:21   Render thread INFO : Registered plugin provider create:rei plugin  create  for REIPlugin_x000D_
 05:50:21   Render thread INFO : Registered plugin provider DefaultPlugin  roughlyenoughitems  for REIPlugin_x000D_
 05:50:21   Render thread INFO : Registered plugin provider DefaultRuntimePlugin  roughlyenoughitems  for REIPlugin_x000D_
 05:50:21   Render thread INFO : Registered plugin provider DefaultClientPlugin  roughlyenoughitems  for REIPlugin_x000D_
 05:50:21   Render thread INFO : Registered plugin provider DefaultClientRuntimePlugin  roughlyenoughitems  for REIPlugin_x000D_
 05:50:21   Render thread INFO : Registered plugin provider ReiRecipeLookup  wthit  for REIPlugin_x000D_
 05:50:21   Render thread INFO : Registered plugin provider REIChippedPlugin  chipped  for REIPlugin_x000D_
 05:50:21   Render thread INFO : Registered plugin provider FarmersDelightModREI  farmersdelight  for REIPlugin_x000D_
 05:50:21   Render thread INFO : Registered plugin provider DefaultPlugin  roughlyenoughitems  for REIServerPlugin_x000D_
 05:50:21   Render thread INFO : Registered plugin provider DefaultRuntimePlugin  roughlyenoughitems  for REIServerPlugin_x000D_
 05:50:21   Render thread INFO : Registered plugin provider FabricFluidAPISupportPlugin for REIServerPlugin_x000D_
 05:50:21   Render thread INFO : Registered plugin provider FabricFluidAPISupportPlugin for REIPlugin_x000D_
 05:50:21   Render thread INFO :  WTHIT  Registering plugin waila:core at mcp mobius waila plugin core WailaCore_x000D_
 05:50:21   Render thread INFO :  WTHIT  Registering plugin waila:vanilla at mcp mobius waila plugin vanilla WailaVanilla_x000D_
 05:50:21   Render thread INFO :  WTHIT  Plugin config reloaded_x000D_
 05:50:21   Render thread INFO :  STDOUT : Starting Wurst Client   _x000D_
 05:50:26   Render thread INFO :  Indigo  Registering Indigo renderer _x000D_
 05:50:27   Render thread INFO : Looking for updates for Illuminations_x000D_
 05:50:27   Render thread INFO : Adding shutdown hook for uninstaller to update Illuminations_x000D_
 05:50:28   Render thread INFO :  LambDynLights  Initializing LambDynamicLights   _x000D_
 05:50:28   Render thread INFO :  LambDynLights  Configuration loaded _x000D_
 05:50:28   Render thread ERROR : Mod autoconfig1u provides a broken implementation of ModMenuApi_x000D_
java lang NoClassDefFoundError: io github prospector modmenu api ModMenuApi_x000D_
	at java lang ClassLoader defineClass1(Native Method)    :  _x000D_
	at java lang ClassLoader defineClass(ClassLoader java:1012)    :  _x000D_
	at java security SecureClassLoader defineClass(SecureClassLoader java:150)    :  _x000D_
	at net fabricmc loader impl launch knot KnotClassLoader defineClassFwd(KnotClassLoader java:223)   fabric loader 0 13 3 jar:  _x000D_
	at net fabricmc loader impl launch knot KnotClassDelegate tryLoadClass(KnotClassDelegate java:174)   fabric loader 0 13 3 jar:  _x000D_
	at net fabricmc loader impl launch knot KnotClassLoader loadClass(KnotClassLoader java:155)   fabric loader 0 13 3 jar:  _x000D_
	at java lang ClassLoader loadClass(ClassLoader java:520)    :  _x000D_
	at java lang Class forName0(Native Method)    :  _x000D_
	at java lang Class forName(Class java:467)    :  _x000D_
	at net fabricmc loader impl util DefaultLanguageAdapter create(DefaultLanguageAdapter java:50)   fabric loader 0 13 3 jar:  _x000D_
	at net fabricmc loader impl entrypoint EntrypointStorage NewEntry getOrCreate(EntrypointStorage java:117)   fabric loader 0 13 3 jar:  _x000D_
	at net fabricmc loader impl entrypoint EntrypointContainerImpl getEntrypoint(EntrypointContainerImpl java:53)   fabric loader 0 13 3 jar:  _x000D_
	at com terraformersmc modmenu ModMenu lambda onInitializeClient 0(ModMenu java:71)   modmenu 3 0 1 jar:  _x000D_
	at java util ArrayList forEach(ArrayList java:1511)    :  _x000D_
	at com terraformersmc modmenu ModMenu onInitializeClient(ModMenu java:67)   modmenu 3 0 1 jar:  _x000D_
	at net fabricmc loader impl entrypoint EntrypointUtils invoke0(EntrypointUtils java:47)  fabric loader 0 13 3 jar:  _x000D_
	at net fabricmc loader impl entrypoint EntrypointUtils invoke(EntrypointUtils java:35)  fabric loader 0 13 3 jar:  _x000D_
	at net fabricmc loader impl game minecraft Hooks startClient(Hooks java:53)  fabric loader 0 13 3 jar:  _x000D_
	at net minecraft class 310  init (class 310 java:452)  client intermediary jar:  _x000D_
	at net minecraft cl_x000D_
ient main Main main(Main java:199)  client intermediary jar: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fabricmc loader impl game minecraft MinecraftGameProvider launch(MinecraftGameProvider java:416)  fabric loader 0 13 3 jar:  _x000D_
	at net fabricmc loader impl launch knot Knot launch(Knot java:77)  fabric loader 0 13 3 jar:  _x000D_
	at net fabricmc loader impl launch knot KnotClient main(KnotClient java:23)  fabric loader 0 13 3 jar:  _x000D_
Caused by: java lang ClassNotFoundException: io github prospector modmenu api ModMenuApi_x000D_
	at jdk internal loader BuiltinClassLoader loadClass(BuiltinClassLoader java:641)    :  _x000D_
	at jdk internal loader ClassLoaders AppClassLoader loadClass(ClassLoaders java:188)    :  _x000D_
	at java lang ClassLoader loadClass(ClassLoader java:520)    :  _x000D_
	at net fabricmc loader impl launch knot KnotClassLoader loadClass(KnotClassLoader java:158)   fabric loader 0 13 3 jar:  _x000D_
	at java lang ClassLoader loadClass(ClassLoader java:520)    :  _x000D_
	    27 more_x000D_
 05:50:28   Render thread INFO : Registered plugin provider REITooltipPlugin  appleskin  for REIClientPlugin_x000D_
 05:50:28   Render thread INFO : Registered plugin provider create:rei plugin  create  for REIClientPlugin_x000D_
 05:50:28   Render thread INFO : Registered plugin provider DefaultClientPlugin  roughlyenoughitems  for REIClientPlugin_x000D_
 05:50:28   Render thread INFO : Registered plugin provider DefaultClientRuntimePlugin  roughlyenoughitems  for REIClientPlugin_x000D_
 05:50:28   Render thread INFO : Registered plugin provider ReiRecipeLookup  wthit  for REIClientPlugin_x000D_
 05:50:28   Render thread INFO : Registered plugin provider REIChippedPlugin  chipped  for REIClientPlugin_x000D_
 05:50:28   Render thread INFO : Registered plugin provider FarmersDelightModREI  farmersdelight  for REIClientPlugin_x000D_
     Minecraft Crash Report     _x000D_
   Uh    Did I do that _x000D_
_x000D_
Time: 3 8 22  5:50 AM_x000D_
Description: Initializing game_x000D_
_x000D_
java lang UnsatisfiedLinkError:  storage emulated 0 Android data net kdt pojavlaunch files  cache JNA temp jna16151637538686145474 tmp: dlopen failed: library   storage emulated 0 Android data net kdt pojavlaunch files  cache JNA temp jna16151637538686145474 tmp  needed or dlopened by   data data net kdt pojavlaunch runtimes jre17 arm64 20210825 release tar xz lib server libjvm so  is not accessible for the namespace  classloader namespace _x000D_
	at java base jdk internal loader NativeLibraries load(Native Method)_x000D_
	at java base jdk internal loader NativeLibraries NativeLibraryImpl open(NativeLibraries java:384)_x000D_
	at java base jdk internal loader NativeLibraries loadLibrary(NativeLibraries java:228)_x000D_
	at java base jdk internal loader NativeLibraries loadLibrary(NativeLibraries java:170)_x000D_
	at java base java lang ClassLoader loadLibrary(ClassLoader java:2389)_x000D_
	at java base java lang Runtime load0(Runtime java:751)_x000D_
	at java base java lang System load(System java:1912)_x000D_
	at com sun jna Native loadNativeDispatchLibraryFromClasspath(Native java:1019)_x000D_
	at com sun jna Native loadNativeDispatchLibrary(Native java:989)_x000D_
	at com sun jna Native  clinit (Native java:195)_x000D_
	at me hypherionmc simplerpclib discordapi DiscordRPC  clinit (DiscordRPC java:41)_x000D_
	at me hypherionmc simplerpclib discordutils DiscordHandler  init (DiscordHandler java:21)_x000D_
	at me hypherionmc simplerpclib discordutils RichPresenceCore  init (RichPresenceCore java:45)_x000D_
	at net minecraft class 5829 handler bpj000 TutorialManager(class 5829 java:523)_x000D_
	at net minecraft class 5829  init (class 5829 java:24)_x000D_
	at net minecraft class 1156  init (class 1156 java:31)_x000D_
	at net minecraft class 310  init (class 310 java:455)_x000D_
	at net minecraft client main Main main(Main java:199)_x000D_
	at java base jdk internal reflect NativeMethodAccessorImpl invoke0(Native Method)_x000D_
	at java base jdk internal reflect NativeMethodAccessorImpl invoke(NativeMethodAccessorImpl java:77)_x000D_
	at java base_x000D_
 jdk internal reflect DelegatingMethodAccessorImpl invoke(DelegatingMethodAccessorImpl java:43)_x000D_
	at java base java lang reflect Method invoke(Method java:568)_x000D_
	at net fabricmc loader impl game minecraft MinecraftGameProvider launch(MinecraftGameProvider java:416)_x000D_
	at net fabricmc loader impl launch knot Knot launch(Knot java:77)_x000D_
	at net fabricmc loader impl launch knot KnotClient main(KnotClient java:23)_x000D_
_x000D_
_x000D_
A detailed walkthrough of the error  its code path and all known details is as follows:_x000D_
                                                                                       _x000D_
_x000D_
   Head   _x000D_
Thread: Render thread_x000D_
Stacktrace:_x000D_
	at java base jdk internal loader NativeLibraries load(Native Method)_x000D_
	at java base jdk internal loader NativeLibraries NativeLibraryImpl open(NativeLibraries java:384)_x000D_
	at java base jdk internal loader NativeLibraries loadLibrary(NativeLibraries java:228)_x000D_
	at java base jdk internal loader NativeLibraries loadLibrary(NativeLibraries java:170)_x000D_
	at java base java lang ClassLoader loadLibrary(ClassLoader java:2389)_x000D_
	at java base java lang Runtime load0(Runtime java:751)_x000D_
	at java base java lang System load(System java:1912)_x000D_
	at com sun jna Native loadNativeDispatchLibraryFromClasspath(Native java:1019)_x000D_
	at com sun jna Native loadNativeDispatchLibrary(Native java:989)_x000D_
	at com sun jna Native  clinit (Native java:195)_x000D_
	at me hypherionmc simplerpclib discordapi DiscordRPC  clinit (DiscordRPC java:41)_x000D_
	at me hypherionmc simplerpclib discordutils DiscordHandler  init (DiscordHandler java:21)_x000D_
	at me hypherionmc simplerpclib discordutils RichPresenceCore  init (RichPresenceCore java:45)_x000D_
	at net minecraft class 5829 handler bpj000 TutorialManager(class 5829 java:523)_x000D_
	at net minecraft class 5829  init (class 5829 java:24)_x000D_
	at net minecraft class 1156  init (class 1156 java:31)_x000D_
	at net minecraft class 310  init (class 310 java:455)_x000D_
_x000D_
   Initialization   _x000D_
Details:_x000D_
	Modules: _x000D_
Stacktrace:_x000D_
	at net minecraft client main Main main(Main java:199)_x000D_
	at java base jdk internal reflect NativeMethodAccessorImpl invoke0(_x000D_
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fabricmc loader impl game minecraft MinecraftGameProvider launch(MinecraftGameProvider java:416)_x000D_
	at net fabricmc loader impl launch knot Knot launch(Knot java:77)_x000D_
	at net fabricmc loader impl launch knot KnotClient main(KnotClient java:23)_x000D_
_x000D_
   System Details   _x000D_
Details:_x000D_
	Minecraft Version: 1 18 1_x000D_
	Minecraft Version ID: 1 18 1_x000D_
	Operating System: Linux (aarch64) version Android 11_x000D_
	Java Version: 17 internal  N A_x000D_
	Java VM Version: OpenJDK 64 Bit Server VM (mixed mode)  Oracle Corporation_x000D_
	Memory: 704641024 bytes (671 MiB)   1080033280 bytes (1030 MiB) up to 1080033280 bytes (1030 MiB)_x000D_
	CPUs: 8_x000D_
	Processor Vendor: 0x41_x000D_
	Processor Name: _x000D_
	Identifier: 0x41 Family 8 Model 0xd0a Stepping r0x1p0_x000D_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7829 96_x000D_
	Virtual memory used (MB): 5694 60_x000D_
	Swap memory total (MB): 4096 00_x000D_
	Swap memory used (MB): 919 91_x000D_
	JVM Flags: 2 total   Xms1030M  Xmx1030M_x000D_
	Fabric Mods: _x000D_
		advanced runtime resource pack: Runtime Resource Pack 0 5 4_x000D_
		alternatecurrent: Alternate Current 1 1 0_x000D_
		appleskin: AppleSkin 2 3 0 mc1 18 1_x000D_
		architectury: Architectury 3 7 26_x000D_
		autoconfig1u: Auto Config v1 Updated 3 2 2_x000D_
		betterfpsdist: Better FPS distance Mod 1 18 1 7_x000D_
		capes: Capes 1 2 2 1 18_x000D_
		chipped: Chipped 1 2_x000D_
		cleardespawn: Clear Despawn 1 1 6_x000D_
		cloth basic math: cloth basic math 0 6 0_x000D_
		cloth config: Cloth Config v6 6 2 51_x000D_
		com electronwill night config core: core 3 6 3_x000D_
		com electronwill night config toml: toml 3 6 3_x000D_
		com eliotl_x000D_
ash mclib mclib: mclib 18_x000D_
		com eliotlash molang molang: molang 18_x000D_
		com google code findbugs jsr305: jsr3</t>
  </si>
  <si>
    <t>jzy3d-jogl-22</t>
  </si>
  <si>
    <t xml:space="preserve">WorldWind get a JVM crash on Debian 5.10 </t>
  </si>
  <si>
    <t xml:space="preserve">_x000D_
 Sonicblow said on Jogamp forum (https:  forum jogamp org JOGL 2 4 and Java 17 report tp4041572p4041616 html)_x000D_
_x000D_
  i did try to use JOGL 2 4 0 rc4 with my worldwind app  but there are constantly jvm crashes on debian 5 10 and integrated video from i5 10210U_x000D_
  _x000D_
  Mesa Intel(R) UHD Graphics (CML GT2)_x000D_
  4 6 (Compatibility Profile) Mesa 20 3 3_x000D_
  _x000D_
  _x000D_
  some version of 2 4 0 jars from worldwind github works fine (https:  github com NASAWorldWind WorldWindJava)_x000D_
_x000D_
   _x000D_
  A fatal error has been detected by the Java Runtime Environment:_x000D_
 _x000D_
   SIGSEGV (0xb) at pc 0x0000730ec7fb6764  pid 6935  tid 6971_x000D_
 _x000D_
  JRE version: OpenJDK Runtime Environment (17 0 2 9) (build 17 0 2 9 LTS)_x000D_
  Java VM: OpenJDK 64 Bit Server VM (17 0 2 9 LTS  mixed mode  sharing  tiered  compressed oops  compressed class ptrs  g1 gc  linux amd64)_x000D_
  Problematic frame:_x000D_
  C   libc so 6 0x15c764 _x000D_
 _x000D_
  No core dump will be written  Core dumps have been disabled  To enable core dumping  try  ulimit  c unlimited  before starting Java again_x000D_
 _x000D_
  If you would like to submit a bug report  please visit:_x000D_
    https:  bell sw com support_x000D_
  The crash happened outside the Java Virtual Machine in native code _x000D_
  See problematic frame for where to report the bug _x000D_
 _x000D_
_x000D_
                 S U M M A R Y             _x000D_
_x000D_
Command Line:  XX:MinRAMPercentage 15  XX:MaxRAMPercentage 75  XX: UseGCOverheadLimit  XX: CrashOnOutOfMemoryError  Dfile encoding UTF8   add opens java base java util ALL UNNAMED   add opens java base java text ALL UNNAMED   add opens java base java lang reflect ALL UNNAMED   add opens java base java net ALL UNNAMED   add opens java base java lang ALL UNNAMED   add opens java base jdk internal loader ALL UNNAMED   add opens java desktop javax swing ALL UNNAMED   add opens java desktop javax swing text ALL UNNAMED   add opens java desktop java awt font ALL UNNAMED   add opens java desktop java awt geom ALL UNNAMED   add opens java desktop java awt ALL UNNAMED   add opens java desktop java beans ALL UNNAMED   add opens java desktop javax swing table ALL UNNAMED   add opens java desktop com sun awt ALL UNNAMED   add opens java desktop sun awt ALL UNNAMED   add opens java desktop sun swing ALL UNNAMED   add opens java desktop sun font ALL UNNAMED   add opens java desktop javax swing plaf basic ALL UNNAMED   add opens java desktop javax swing plaf synth ALL UNNAMED   add opens java desktop com sun java swing plaf windows ALL UNNAMED   add opens java desktop com sun java swing plaf gtk ALL UNNAMED   add opens java desktop com apple laf ALL UNNAMED _x000D_
_x000D_
Host: Intel(R) Core(TM) i5 10210U CPU   1 60GHz  8 cores  15G  Debian 5 10 x86 64_x000D_
Time: Fri Jan 28 10:26:42 2022 MSK elapsed time: 47 761481 seconds (0d 0h 0m 47s)_x000D_
_x000D_
                 T H R E A D                 _x000D_
_x000D_
Current thread (0x0000730eb8c04e60):  JavaThread  AWT EventQueue 0    thread in native  id 6971  stack(0x0000730e3603b000 0x0000730e3613c000) _x000D_
_x000D_
Stack:  0x0000730e3603b000 0x0000730e3613c000    sp 0x0000730e36138a28   free space 1014k_x000D_
Native frames: (J compiled Java code  j interpreted  Vv VM code  C native code)_x000D_
C   libc so 6 0x15c764 _x000D_
_x000D_
Java frames: (J compiled Java code  j interpreted  Vv VM code)_x000D_
J 7883  jogamp opengl gl4 GL4bcImpl dispatch glReadPixels1(IIIIIILjava lang Object IZJ)V (0 bytes)   0x0000730ea7edcc21  0x0000730ea7edcba0 0x0000000000000081 _x000D_
J 7881 c1 jogamp opengl gl4 GL4bcImpl glReadPixels(IIIIIILjava nio Buffer )V (121 bytes)   0x0000730ea1477a54  0x0000730ea1477000 0x0000000000000a54 _x000D_
J 7880 c1 gov nasa worldwind render DrawContextImpl getPickColorAtPoint(Ljava awt Point )I (177 bytes)   0x0000730ea1475314  0x0000730ea1474600 0x0000000000000d14 _x000D_
J 8017 c1 gov nasa worldwind pick PickSupport getTopObject(Lgov nasa worldwind render DrawContext Ljava awt Point )Lgov nasa worldwind pick PickedObject  (53 bytes)   0x0000730ea14dac44  0x0000730ea14da860 0x00000000000003e4 _x000D_
J 8531 c1 gov nasa worldwind terrain SectorGeometryList pick(Lgov nasa worldwind render DrawContext Ljava util List )Ljava util List  (577 bytes)   0x0000730ea1670e64  0x0000730ea166f0c0 0x0000000000001da4 _x000D_
j  gov nasa worldwind AbstractSceneController pickTerrain(Lgov nasa worldwind render DrawContext )V 120_x000D_
j  gov nasa worldwind AbstractSceneController pick(Lgov nasa worldwind render DrawContext )V 26_x000D_
j  gov nasa worldwind BasicSceneController doNormalRepaint(Lgov nasa worldwind render DrawContext )V 27_x000D_
j  gov nasa worldwind BasicSceneController doRepaint(Lgov nasa worldwind render DrawContext )V 44_x000D_
J 9240 c1 gov nasa worldwind AbstractSceneController repaint()I (408 bytes)   0x0000730ea1888504  0x0000730ea1887f60 0x00000000000005a4 _x000D_
J 9237 c1 gov nasa worldwind WorldWindowGLAutoDrawable display(Lcom jogamp opengl GLAutoDrawable )V (540 bytes)   0x0000730ea187bf8c  0x0000730ea187a020 0x0000000000001f6c _x000D_
J 9236 c1 jogamp opengl GLDrawableHelper displayImpl(Lcom jogamp opengl GLAutoDrawable )V (86 bytes)   0x0000730ea187889c  0x0000730ea1878060 0x000000000000083c _x000D_
J 8961 c1 com jogamp opengl awt GLCanvas 11 run()V (122 bytes)   0x0000730ea17a435c  0x0000730ea17a3d60 0x00000000000005fc _x000D_
J 10430 c1 jogamp opengl GLDrawableHelper invokeGLImpl(Lcom jogamp opengl GLDrawable Lcom jogamp opengl GLContext Ljava lang Runnable Ljava lang Runnable )V (579 bytes)   0x0000730ea1311084  0x0000730ea1310560 0x0000000000000b24 _x000D_
J 10429 c1 jogamp opengl GLDrawableHelper invokeGL(Lcom jogamp opengl GLDrawable Lcom jogamp opengl GLContext Ljava lang Runnable Ljava lang Runnable )V (76 bytes)   0x0000730ea097287c  0x0000730ea09727c0 0x00000000000000bc _x000D_
J 10425 c1 com jogamp opengl awt GLCanvas 12 run()V (126 bytes)   0x0000730ea08e3954  0x0000730ea08e3400 0x0000000000000554 _x000D_
J 9235 c1 com jogamp opengl awt GLCanvas display()V (68 bytes)   0x0000730ea18779b4  0x0000730ea1877640 0x0000000000000374 _x000D_
J 9233 c1 com jogamp opengl awt GLCanvas paint(Ljava awt Graphics )V (141 bytes)   0x0000730ea187606c  0x0000730ea1875380 0x0000000000000cec _x000D_
J 9232 c1 gov nasa worldwind awt WorldWindowGLCanvas paint(Ljava awt Graphics )V (13 bytes)   0x0000730ea1874e04  0x0000730ea1874d40 0x00000000000000c4 _x000D_
J 10453 c1 com jogamp opengl awt GLCanvas update(Ljava awt Graphics )V (6 bytes)   0x0000730ea0f1bbbc  0x0000730ea0f1bac0 0x00000000000000fc _x000D_
J 10451 c1 sun awt X11 XRepaintArea updateComponent(Ljava awt Component Ljava awt Graphics )V java desktop 17 0 2 (11 bytes)   0x0000730ea0932b7c  0x0000730ea09329c0 0x00000000000001bc _x000D_
J 9069 c1 sun awt RepaintArea paint(Ljava lang Object Z)V java desktop 17 0 2 (354 bytes)   0x0000730ea17fffec  0x0000730ea17ff0e0 0x0000000000000f0c _x000D_
J 7812 c1 sun awt X11 XComponentPeer handleEvent(Ljava awt AWTEvent )V java desktop 17 0 2 (245 bytes)   0x0000730ea144afac  0x0000730ea14495e0 0x00000000000019cc _x000D_
J 7438 c1 java awt Component dispatchEventImpl(Ljava awt AWTEvent )V java desktop 17 0 2 (777 bytes)   0x0000730ea134639c  0x0000730ea1341160 0x000000000000523c _x000D_
J 9873 c2 java awt EventQueue 4 run()Ljava lang Object  java desktop 17 0 2 (5 bytes)   0x0000730ea804fbcc  0x0000730ea804f6e0 0x00000000000004ec _x000D_
J 9713 c2 java awt EventQueue dispatchEvent(Ljava awt AWTEvent )V java desktop 17 0 2 (80 bytes)   0x0000730ea801cd6c  0x0000730ea801c8e0 0x000000000000048c _x000D_
J 10953 c2 java awt EventDispatchThread pumpOneEventForFilters(I)V java desktop 17 0 2 (113 bytes)   0x0000730ea81715e0  0x0000730ea81711e0 0x0000000000000400 _x000D_
j  java awt EventDispatchThread pumpEventsForFilter(ILjava awt Conditional Ljava awt EventFilter )V 35 java desktop 17 0 2_x000D_
j  java awt EventDispatchThread pumpEventsForHierarchy(ILjava awt Conditional Ljava awt Component )V 11 java desktop 17 0 2_x000D_
j  java awt EventDispatchThread pumpEvents(ILjava awt Conditional )V 4 java desktop 17 0 2_x000D_
j  java awt EventDispatchThread pumpEvents(Ljava awt Conditional )V 3 java desktop 17 0 2_x000D_
j  java awt EventDispatchThread run()V 9 java desktop 17 0 2_x000D_
v   StubRoutines::call stub_x000D_
_x000D_
siginfo: si signo: 11 (SIGSEGV)  si code: 1 (SEGV MAPERR)  si addr: 0x0000730dcc6de268_x000D_
_x000D_
Register to memory mapping:_x000D_
_x000D_
RAX 0x0000730e14d6f908 points into unknown readable memory: 0x0000730e140006c0   c0 06 00 14 0e 73 00 00_x000D_
RBX 0x0000000000000200 is an unknown value_x000D_
RCX 0x0 is NULL_x000D_
RDX 0x0000000000000004 is an unknown value_x000D_
RSP 0x0000730e36138a28 is pointing into the stack for thread: 0x0000730eb8c04e60_x000D_
RBP 0x000000000000006c is an unknown value_x000D_
RSI 0x0000730dcc6de268 is an unknown value_x000D_
RDI 0x0000730e14d6f908 points into unknown readable memory: 0x0000730e140006c0   c0 06 00 14 0e 73 00 00_x000D_
R8  0x0000000000000001 is an unknown value_x000D_
R9  0x0000000000000400 is an unknown value_x000D_
R10 0x0000730e14d6f8a0 points into unknown readable memory: 0x00000000b2da2033   33 20 da b2 00 00 00 00_x000D_
R11 0x0000000000000062 is an unknown value_x000D_
R12 0x000000000000006c is an unknown value_x000D_
R13 0x0000730dcc6de000 is an unknown value_x000D_
R14 0x000000000000006c is an unknown value_x000D_
R15 0x0000730e14d6f8a0 points into unknown readable memory: 0x00000000b2da2033   33 20 da b2 00 00 00 00_x000D_
_x000D_
_x000D_
Registers:_x000D_
RAX 0x0000730e14d6f908  RBX 0x0000000000000200  RCX 0x0000000000000000  RDX 0x0000000000000004_x000D_
RSP 0x0000730e36138a28  RBP 0x000000000000006c  RSI 0x0000730dcc6de268  RDI 0x0000730e14d6f908_x000D_
R8  0x0000000000000001  R9  0x0000000000000400  R10 0x0000730e14d6f8a0  R11 0x0000000000000062_x000D_
R12 0x000000000000006c  R13 0x0000730dcc6de000  R14 0x000000000000006c  R15 0x0000730e14d6f8a0_x000D_
RIP 0x0000730ec7fb6764  EFLAGS 0x0000000000010246  CSGSFS 0x002b000000000033  ERR 0x0000000000000004_x000D_
  TRAPNO 0x000000000000000e_x000D_
_x000D_
Top of Stack: (sp 0x0000730e36138a28)_x000D_
0x0000730e36138a28:   0000730ddeecc696 0000000000000046_x000D_
0x0000730e36138a38:   0000000000000068 0000000000000000_x000D_
0x0000730e36138a48:   0000730d00000400 0000000000001400_x000D_
0x0000730e36138a58:   0000000000000000 0000000000000068 _x000D_
_x000D_
Instructions: (pc 0x0000730ec7fb6764)_x000D_
0x0000730ec7fb6664:   82 c7 c2 fa ff 0f 1f 80 00 00 00 00 48 89 f8 48_x000D_
0x0000730ec7fb6674:   83 fa 20 0f 82 a5 00 00 00 48 83 fa 40 0f 87 08_x000D_
0x0000730ec7fb6684:   01 00 00 c5 fe 6f 06 c5 fe 6f 4c 16 e0 c5 fe 7f_x000D_
0x0000730ec7fb6694:   07 c5 fe 7f 4c 17 e0 c5 f8 77 c3 90 48 39 d1 0f_x000D_
0x0000730ec7fb66a4:   82 87 c2 fa ff 0f 1f 80 00 00 00 00 48 89 f8 48_x000D_
0x0000730ec7fb66b4:   01 d0 eb 1b 0f 1f 84 00 00 00 00 00 48 39 d1 0f_x000D_
0x0000730ec7fb66c4:   82 67 c2 fa ff 0f 1f 80 00 00 00 00 48 89 f8 48_x000D_
0x0000730ec7fb66d4:   83 fa 20 72 49 48 83 fa 40 0f 87 9f 00 00 00 c5_x000D_
0x0000730ec7fb66e4:   fe 6f 06 c5 fe 6f 4c 16 e0 c5 fe 7f 07 c5 fe 7f_x000D_
0x0000730ec7fb66f4:   4c 17 e0 c5 f8 77 c3 48 3b 15 76 3d 06 00 0f 83_x000D_
0x0000730ec7fb6704:   25 01 00 00 48 39 f7 72 0f 74 12 4c 8d 0c 16 4c_x000D_
0x0000730ec7fb6714:   39 cf 0f 82 c5 01 00 00 48 89 d1 f3 a4 c3 80 fa_x000D_
0x0000730ec7fb6724:   10 73 17 80 fa 08 73 27 80 fa 04 73 33 80 fa 01_x000D_
0x0000730ec7fb6734:   77 3b 72 05 0f b6 0e 88 0f c3 c5 fa 6f 06 c5 fa_x000D_
0x0000730ec7fb6744:   6f 4c 16 f0 c5 fa 7f 07 c5 fa 7f 4c 17 f0 c3 48_x000D_
0x0000730ec7fb6754:   8b 4c 16 f8 48 8b 36 48 89 4c 17 f8 48 89 37 c3_x000D_
0x0000730ec7fb6764:   8b 4c 16 fc 8b 36 89 4c 17 fc 89 37 c3 0f b7 4c_x000D_
0x0000730ec7fb6774:   16 fe 0f b7 36 66 89 4c 17 fe 66 89 37 c3 48 81_x000D_
0x0000730ec7fb6784:   fa 00 10 00 00 0f 87 6c ff ff ff 48 81 fa 00 01_x000D_
0x0000730ec7fb6794:   00 00 0f 87 91 00 00 00 48 81 fa 80 00 00 00 72_x000D_
0x0000730ec7fb67a4:   5a c5 fe 6f 06 c5 fe 6f 4e 20 c5 fe 6f 56 40 c5_x000D_
0x0000730ec7fb67b4:   fe 6f 5e 60 c5 fe 6f 64 16 e0 c5 fe 6f 6c 16 c0_x000D_
0x0000730ec7fb67c4:   c5 fe 6f 74 16 a0 c5 fe 6f 7c 16 80 c5 fe 7f 07_x000D_
0x0000730ec7fb67d4:   c5 fe 7f 4f 20 c5 fe 7f 57 40 c5 fe 7f 5f 60 c5_x000D_
0x0000730ec7fb67e4:   fe 7f 64 17 e0 c5 fe 7f 6c 17 c0 c5 fe 7f 74 17_x000D_
0x0000730ec7fb67f4:   a0 c5 fe 7f 7c 17 80 c5 f8 77 c3 c5 fe 6f 06 c5_x000D_
0x0000730ec7fb6804:   fe 6f 4e 20 c5 fe 6f 54 16 e0 c5 fe 6f 5c 16 c0_x000D_
0x0000730ec7fb6814:   c5 fe 7f 07 c5 fe 7f 4f 20 c5 fe 7f 54 17 e0 c5_x000D_
0x0000730ec7fb6824:   fe 7f 5c 17 c0 c5 f8 77 c3 48 39 f7 0f 87 ab 00_x000D_
0x0000730ec7fb6834:   00 00 0f 84 e5 fe ff ff c5 fe 6f 26 c5 fe 6f 6c_x000D_
0x0000730ec7fb6844:   16 e0 c5 fe 6f 74 16 c0 c5 fe 6f 7c 16 a0 c5 7e_x000D_
0x0000730ec7fb6854:   6f 44 16 80 49 89 fb 48 8d 4c 17 e0 49 89 f8 49 _x000D_
_x000D_
_x000D_
Stack slot to memory mapping:_x000D_
stack at sp   0 slots: 0x0000730ddeecc696:  offset 0x0000000000e28696  in  usr lib x86 64 linux gnu dri iris dri so at 0x0000730dde0a4000_x000D_
stack at sp   1 slots: 0x0000000000000046 is an unknown value_x000D_
stack at sp   2 slots: 0x0000000000000068 is an unknown value_x000D_
stack at sp   3 slots: 0x0 is NULL_x000D_
stack at sp   4 slots: 0x0000730d00000400 is an unknown value_x000D_
stack at sp   5 slots: 0x0000000000001400 is an unknown value_x000D_
stack at sp   6 slots: 0x0 is NULL_x000D_
stack at sp   7 slots: 0x0000000000000068 is an unknown value_x000D_
   </t>
  </si>
  <si>
    <t>jzy3d-jogl-21</t>
  </si>
  <si>
    <t>java.io.IOException: Could not determine a temporary executable directory</t>
  </si>
  <si>
    <t xml:space="preserve">_x000D_
Reported by   AstroPixelProcessor (https:  github com AstroPixelProcessor) on  Jogamp forum (https:  forum jogamp org JOGL 2 4 and Java 17 report td4041572 html) :_x000D_
_x000D_
  Running JOGL 2 4 with Temurin JDK 17 crashes on Linux Mint 20  20 1  20 2 and the latest 20 3 (only tested linux on amd64)_x000D_
  with the following stacktrace which is again shows a problem with native library loading when OpenGL is initialized in my application :_x000D_
_x000D_
_x000D_
   _x000D_
Warning: Caught Exception while retrieving executable temp base directory:_x000D_
java io IOException: Could not determine a temporary executable directory_x000D_
        at com jogamp common util IOUtil getTempDir(IOUtil java:1336)_x000D_
        at com jogamp common util cache TempFileCache  clinit (TempFileCache java:84)_x000D_
        at com jogamp common util cache TempJarCache initSingleton(TempJarCache java:96)_x000D_
        at com jogamp common os Platform 1 run(Platform java:313)_x000D_
        at java base java security AccessController doPrivileged(Unknown Source)_x000D_
        at com jogamp common os Platform  clinit (Platform java:290)_x000D_
        at com jogamp opengl GLProfile  clinit (GLProfile java:154)_x000D_
        at com ariesproductions imageViewer ImageViewerInitializer init(ImageViewerInitializer java:117)_x000D_
        at com ariesproductions astropixelprocessor AstroPixelProcessor initialize(AstroPixelProcessor java:7222)_x000D_
        at com ariesproductions astropixelprocessor AstroPixelProcessor  init (AstroPixelProcessor java:1482)_x000D_
        at com ariesproductions astropixelprocessor AstroPixelProcessor 1 run(AstroPixelProcessor java:1090)_x000D_
        at java desktop java awt event InvocationEvent dispatch(Unknown Source)_x000D_
        at java desktop java awt EventQueue dispatchEventImpl(Unknown Source)_x000D_
        at java desktop java awt EventQueue 4 run(Unknown Source)_x000D_
        at java desktop java awt EventQueue 4 run(Unknown Source)_x000D_
        at java base java security AccessController doPrivileged(Unknown Source)_x000D_
        at java base java security ProtectionDomain JavaSecurityAccessImpl doIntersectionPrivilege(Unknown Source)_x000D_
        at java desktop java awt EventQueue dispatchEvent(Unknown Source)_x000D_
        at java desktop java awt EventDispatchThread pumpOneEventForFilters(Unknown Source)_x000D_
        at java desktop java awt EventDispatchThread pumpEventsForFilter(Unknown Source)_x000D_
        at java desktop java awt EventDispatchThread pumpEventsForHierarchy(Unknown Source)_x000D_
        at java desktop java awt EventDispatchThread pumpEvents(Unknown Source)_x000D_
        at java desktop java awt EventDispatchThread pumpEvents(Unknown Source)_x000D_
        at java desktop java awt EventDispatchThread run(Unknown Source)_x000D_
Exception in thread  AWT EventQueue 0  java lang UnsatisfiedLinkError: Can t load library:  opt astropixelprocessor natives linux amd64 libgluegen rt so_x000D_
        at java base java lang ClassLoader loadLibrary(Unknown Source)_x000D_
        at java base java lang Runtime load0(Unknown Source)_x000D_
        at java base java lang System load(Unknown Source)_x000D_
        at com jogamp common jvm JNILibLoaderBase loadLibraryInternal(JNILibLoaderBase java:625)_x000D_
        at com jogamp common jvm JNILibLoaderBase access 000(JNILibLoaderBase java:64)_x000D_
        at com jogamp common jvm JNILibLoaderBase DefaultAction loadLibrary(JNILibLoaderBase java:107)_x000D_
        at com jogamp common jvm JNILibLoaderBase loadLibrary(JNILibLoaderBase java:488)_x000D_
        at com jogamp common os DynamicLibraryBundle GlueJNILibLoader loadLibrary(DynamicLibraryBundle java:427)_x000D_
        at com jogamp common os Platform 1 run(Platform java:321)_x000D_
        at java base java security AccessController doPrivileged(Unknown Source)_x000D_
        at com jogamp common os Platform  clinit (Platform java:290)_x000D_
        at com jogamp opengl GLProfile  clinit (GLProfile java:154)_x000D_
        at com ariesproductions imageViewer ImageViewerInitializer init(ImageViewerInitializer java:117)_x000D_
   _x000D_
_x000D_
  I noticed at the top of this thread that Ubuntu 18 had a similar problem  but that was gone in Ubuntu 20 _x000D_
  All seems to work fine with 2 4 on Windows 10 and macOS Big Sur and Linux Fedora  I will test Ubuntu 20 tomorrow hopefully </t>
  </si>
  <si>
    <t>PojavLauncherTeam-PojavLauncher-2859</t>
  </si>
  <si>
    <t>Crash after updating to android 12</t>
  </si>
  <si>
    <t xml:space="preserve">    Describe the bug
Hello when I try to load a world then the entire app crashes but it only started happening after installing android 12
    The log file and images videos
 06:31:56   main INFO : Setting user: Antaghand_x000D_
 06:32:03   Client thread INFO : LWJGL Version: 3 2 3 SNAPSHOT_x000D_
 06:32:04   Client thread ERROR : Couldn t initialize twitch stream_x000D_
 06:32:21   Client thread INFO : Reloading ResourceManager: Default  FMLFileResourcePack:Forge Mod Loader  FMLFileResourcePack:Minecraft Forge  FMLFileResourcePack:Not Enough Items  FMLFileResourcePack:Bad Mobs  FMLFileResourcePack:CoFH Core  FMLFileResourcePack:Galacticraft Planets  FMLFileResourcePack:Galacticraft Core  FMLFileResourcePack:GalaxySpace  FMLFileResourcePack:Inventory Tweaks  FMLFileResourcePack:Iron Chest  FMLFileResourcePack:JourneyMap  FMLFileResourcePack:Keeping Inventory  FMLFileResourcePack:Mouse Tweaks  FMLFileResourcePack:Nature s Compass  FMLFileResourcePack:NuclearCraft  FMLFileResourcePack:Storage Drawers  FMLFileResourcePack:Thermal Dynamics  FMLFileResourcePack:Thermal Expansion  FMLFileResourcePack:Thermal Foundation  FMLFileResourcePack:Waystones_x000D_
 06:32:28   Client thread WARN : File minecraft:sounds note bass ogg does not exist  cannot add it to event minecraft:note bass_x000D_
 06:32:28   Client thread WARN : File minecraft:sounds note bassattack ogg does not exist  cannot add it to event minecraft:note bassattack_x000D_
 06:32:28   Client thread WARN : File minecraft:sounds note bd ogg does not exist  cannot add it to event minecraft:note bd_x000D_
 06:32:28   Client thread WARN : File minecraft:sounds note harp ogg does not exist  cannot add it to event minecraft:note harp_x000D_
 06:32:28   Client thread WARN : File minecraft:sounds note hat ogg does not exist  cannot add it to event minecraft:note hat_x000D_
 06:32:28   Client thread WARN : File minecraft:sounds note pling ogg does not exist  cannot add it to event minecraft:note pling_x000D_
 06:32:28   Client thread WARN : File minecraft:sounds note snare ogg does not exist  cannot add it to event minecraft:note snare_x000D_
 06:32:28   Client thread WARN : File minecraft:sounds portal portal ogg does not exist  cannot add it to event minecraft:portal portal_x000D_
 06:32:28   Client thread WARN : File minecraft:sounds portal travel ogg does not exist  cannot add it to event minecraft:portal travel_x000D_
 06:32:28   Client thread WARN : File minecraft:sounds portal trigger ogg does not exist  cannot add it to event minecraft:portal trigger_x000D_
 06:32:28   Client thread WARN : File minecraft:sounds random anvil break ogg does not exist  cannot add it to event minecraft:random anvil break_x000D_
 06:32:28   Client thread WARN : File minecraft:sounds random anvil land ogg does not exist  cannot add it to event minecraft:random anvil land_x000D_
 06:32:28   Client thread WARN : File minecraft:sounds random anvil use ogg does not exist  cannot add it to event minecraft:random anvil use_x000D_
 06:32:28   Client thread WARN : File minecraft:sounds random bow ogg does not exist  cannot add it to event minecraft:random bow_x000D_
 06:32:28   Client thread WARN : File minecraft:sounds random bowhit1 ogg does not exist  cannot add it to event minecraft:random bowhit_x000D_
 06:32:28   Client thread WARN : File minecraft:sounds random bowhit2 ogg does not exist  cannot add it to event minecraft:random bowhit_x000D_
 06:32:28   Client thread WARN : File minecraft:sounds random bowhit3 ogg does not exist  cannot add it to event minecraft:random bowhit_x000D_
 06:32:28   Client thread WARN : File minecraft:sounds random bowhit4 ogg does not exist  cannot add it to event minecraft:random bowhit_x000D_
 06:32:28   Client thread WARN : File minecraft:sounds random break ogg does not exist  cannot add it to event minecraft:random break_x000D_
 06:32:28   Client thread WARN : File minecraft:sounds random burp ogg does not exist  cannot add it to event minecraft:random burp_x000D_
 06:32:28   Client thread WARN : File minecraft:sounds random chestclosed ogg does not exist  cannot add it to event minecraft:random chestclosed_x000D_
 06:32:28   Client thread WARN : File minecraft:sounds random chestopen ogg does not exist  cannot add it to event minecraft:random chestopen_x000D_
 06:32:28   Client thread WARN : File minecraft:sounds random click ogg does not exist  cannot add it to event minecraft:gui button press_x000D_
 06:32:28   Client thread WARN : File minecraft:sounds random click ogg does not exist  cannot add it to event minecraft:random click_x000D_
 06:32:28   Client thread WARN : File minecraft:sounds random door close ogg does not exist  cannot add it to event minecraft:random door close_x000D_
 06:32:28   Client thread WARN : File minecraft:sounds random door open ogg does not exist  cannot add it to event minecraft:random door open_x000D_
 06:32:28   Client thread WARN : File minecraft:sounds random drink ogg does not exist  cannot add it to event minecraft:random drink_x000D_
 06:32:28   Client thread WARN : File minecraft:sounds random eat1 ogg does not exist  cannot add it to event minecraft:random eat_x000D_
 06:32:28   Client thread WARN : File minecraft:sounds random eat2 ogg does not exist  cannot add it to event minecraft:random eat_x000D_
 06:32:28   Client thread WARN : File minecraft:sounds random eat3 ogg does not exist  cannot add it to event minecraft:random eat_x000D_
 06:32:28   Client thread WARN : File minecraft:sounds random explode1 ogg does not exist  cannot add it to event minecraft:random explode_x000D_
 06:32:28   Client thread WARN : File minecraft:sounds random explode2 ogg does not exist  cannot add it to event minecraft:random explode_x000D_
 06:32:28   Client thread WARN : File minecraft:sounds random explode3 ogg does not exist  cannot add it to event minecraft:random explode_x000D_
 06:32:28   Client thread WARN : File minecraft:sounds random explode4 ogg does not exist  cannot add it to event minecraft:random explode_x000D_
 06:32:28   Client thread WARN : File minecraft:sounds random fizz ogg does not exist  cannot add it to event minecraft:random fizz_x000D_
 06:32:28   Client thread WARN : File minecraft:sounds random fuse ogg does not exist  cannot add it to event minecraft:game tnt primed_x000D_
 06:32:28   Client thread WARN : File minecraft:sounds random fuse ogg does not exist  cannot add it to event minecraft:creeper primed_x000D_
 06:32:28   Client thread WARN : File minecraft:sounds random glass1 ogg does not exist  cannot add it to event minecraft:dig glass_x000D_
 06:32:28   Client thread WARN : File minecraft:sounds random glass2 ogg does not exist  cannot add it to event minecraft:dig glass_x000D_
 06:32:28   Client thread WARN : File minecraft:sounds random glass3 ogg does not exist  cannot add it to event minecraft:dig glass_x000D_
 06:32:28   Client thread WARN : File minecraft:sounds random glass1 ogg does not exist  cannot add it to event minecraft:game potion smash_x000D_
 06:32:28   Client thread WARN : File minecraft:sounds random glass2 ogg does not exist  cannot add it to event minecraft:game potion smash_x000D_
 06:32:28   Client thread WARN : File minecraft:sounds random glass3 ogg does not exist  cannot add it to event minecraft:game potion smash_x000D_
 06:32:28   Client thread WARN : File minecraft:sounds random levelup ogg does not exist  cannot add it to event minecraft:random levelup_x000D_
 06:32:28   Client thread WARN : File minecraft:sounds random orb ogg does not exist  cannot add it to event minecraft:random orb_x000D_
 06:32:28   Client thread WARN : File minecraft:sounds random pop ogg does not exist  cannot add it to event minecraft:random pop_x000D_
 06:32:28   Client thread WARN : File minecraft:sounds random splash ogg does not exist  cannot add it to event minecraft:random splash_x000D_
 06:32:28   Client thread WARN : File minecraft:sounds random successful hit ogg does not exist  cannot add it to event minecraft:random successful hit_x000D_
 06:32:28   Client thread WARN : File minecraft:sounds random wood click ogg does not exist  cannot add it to event minecraft:random wood click_x000D_
 06:32:28   Client thread WARN : File minecraft:sounds records 11 ogg does not exist  cannot add it to event minecraft:records 11_x000D_
 06:32:28   Client thread WARN : File minecraft:sounds records 13 ogg does not exist  cannot add it to event minecraft:records 13_x000D_
 06:32:28   Client thread WARN : File minecraft:sounds records blocks ogg does not exist  cannot add it to event minecraft:records blocks_x000D_
 06:32:28   Client thread WARN : File minecraft:sounds records cat ogg does not exist  cannot add it to event minecraft:records cat_x000D_
 06:32:28   Client thread WARN : File minecraft:sounds records chirp ogg does not exist  cannot add it to event minecraft:records chirp_x000D_
 06:32:28   Client thread WARN : File minecraft:sounds records far ogg does not exist  cannot add it to event minecraft:records far_x000D_
 06:32:28   Client thread WARN : File minecraft:sounds records mall ogg does not exist  cannot add it to event minecraft:records mall_x000D_
 06:32:28   Client thread WARN : File minecraft:sounds records mellohi ogg does not exist  cannot add it to event minecraft:records mellohi_x000D_
 06:32:28   Client thread WARN : File minecraft:sounds records stal ogg does not exist  cannot add it to event minecraft:records stal_x000D_
 06:32:28   Client thread WARN : File minecraft:sounds records strad ogg does not exist  cannot add it to event minecraft:records strad_x000D_
 06:32:28   Client thread WARN : File minecraft:sounds records wait ogg does not exist  cannot add it to event minecraft:records wait_x000D_
 06:32:28   Client thread WARN : File minecraft:sounds records ward ogg does not exist  cannot add it to event minecraft:records ward_x000D_
 06:32:28   Client thread WARN : File minecraft:sounds step grass1 ogg does not exist  cannot add it to event minecraft:step grass_x000D_
 06:32:28   Client thread WARN : File minecraft:sounds step grass2 ogg does not exist  cannot add it to event minecraft:step grass_x000D_
 06:32:28   Client thread WARN : File minecraft:sounds step grass3 ogg does not exist  cannot add it to event minecraft:step grass_x000D_
 06:32:28   Client thread WARN : File minecraft:sounds step grass4 ogg does not exist  cannot add it to event minecraft:step grass_x000D_
 06:32:28   Client thread WARN : File minecraft:sounds step grass5 ogg does not exist  cannot add it to event minecraft:step grass_x000D_
 06:32:28   Client thread WARN : File minecraft:sounds step grass6 ogg does not exist  cannot add it to event minecraft:step grass_x000D_
 06:32:28   Client thread WARN : File minecraft:sounds step gravel1 ogg does not exist  cannot add it to event minecraft:step gravel_x000D_
 06:32:28   Client thread WARN : File minecraft:sounds step gravel2 ogg does not exist  cannot add it to event minecraft:step gravel_x000D_
 06:32:28   Client thread WARN : File minecraft:sounds step gravel3 ogg does not exist  cannot add it to event minecraft:step gravel_x000D_
 06:32:28   Client thread WARN : File minecraft:sounds step gravel4 ogg does not exist  cannot add it to event minecraft:step gravel_x000D_
 06:32:28   Client thread WARN : File minecraft:sounds step ladder1 ogg does not exist  cannot add it to event minecraft:step ladder_x000D_
 06:32:28   Client thread WARN : File minecraft:sounds step ladder2 ogg does not exist  cannot add it to event minecraft:step ladder_x000D_
 06:32:28   Client thread WARN : File minecraft:sounds step ladder3 ogg does not exist  cannot add it to event minecraft:step ladder_x000D_
 06:32:28   Client thread WARN : File minecraft:sounds step ladder4 ogg does not exist  cannot add it to event minecraft:step ladder_x000D_
 06:32:28   Client thread WARN : File minecraft:sounds step ladder5 ogg does not exist  cannot add it to event minecraft:step ladder_x000D_
 06:32:28   Client thread WARN : File minecraft:sounds step sand1 ogg does not exist  cannot add it to event minecraft:step sand_x000D_
 06:32:28   Client thread WARN : File minecraft:sounds step sand2 ogg does not exist  cannot add it to event minecraft:step sand_x000D_
 06:32:28   Client thread WARN : File minecraft:sounds step sand3 ogg does not exist  cannot add it to event minecraft:step sand_x000D_
 06:32:28   Client thread WARN : File minecraft:sounds step sand4 ogg does not exist  cannot add it to event minecraft:step sand_x000D_
 06:32:28   Client thread WARN : File minecraft:sounds step sand5 ogg does not exist  cannot add it to event minecraft:step sand_x000D_
 06:32:28   Client thread WARN : File minecraft:sounds step stone1 ogg does not exist  cannot add it to event minecraft:step stone_x000D_
 06:32:28   Client thread WARN : File minecraft:sounds step stone2 ogg does not exist  cannot add it to event minecraft:step stone_x000D_
 06:32:28   Client thread WARN : File minecraft:sounds step stone3 ogg does not exist  cannot add it to event minecraft:step stone_x000D_
 06:32:28   Client thread WARN : File minecraft:sounds step stone4 ogg does not exist  cannot add it to event minecraft:step stone_x000D_
 06:32:28   Client thread WARN : File minecraft:sounds step stone5 ogg does not exist  cannot add it to event minecraft:step stone_x000D_
 06:32:28   Client thread WARN : File minecraft:sounds step stone6 ogg does not exist  cannot add it to event minecraft:step stone_x000D_
 06:32:28   Client thread WARN : File minecraft:sounds step wood1 ogg does not exist  cannot add it to event minecraft:step wood_x000D_
 06:32:28   Client thread WARN : File minecraft:sounds step wood2 ogg does not exist  cannot add it to event minecraft:step wood_x000D_
 06:32:28   Client thread WARN : File minecraft:sounds step wood3 ogg does not exist  cannot add it to event minecraft:step wood_x000D_
 06:32:28   Client thread WARN : File minecraft:sounds step wood4 ogg does not exist  cannot add it to event minecraft:step wood_x000D_
 06:32:28   Client thread WARN : File minecraft:sounds step wood5 ogg does not exist  cannot add it to event minecraft:step wood_x000D_
 06:32:28   Client thread WARN : File minecraft:sounds step wood6 ogg does not exist  cannot add it to event minecraft:step wood_x000D_
 06:32:28   Client thread WARN : File minecraft:sounds tile piston in ogg does not exist  cannot add it to event minecraft:tile piston in_x000D_
 06:32:28   Client thread WARN : File minecraft:sounds tile piston out ogg does not exist  cannot add it to event minecraft:tile piston out_x000D_
 06:32:28   Client thread WARN : File minecraft:sounds music menu menu1 ogg does not exist  cannot add it to event minecraft:music menu_x000D_
 06:32:28   Client thread WARN : File minecraft:sounds music menu menu2 ogg does not exist  cannot add it to event minecraft:music menu_x000D_
 06:32:28   Client thread WARN : File minecraft:sounds music menu menu3 ogg does not exist  cannot add it to event minecraft:music menu_x000D_
 06:32:28   Client thread WARN : File minecraft:sounds music menu menu4 ogg does not exist  cannot add it to event minecraft:music menu_x000D_
 06:32:28   Client thread WARN : File minecraft:sounds music game hal1 ogg does not exist  cannot add it to event minecraft:music game_x000D_
 06:32:28   Client thread WARN : File minecraft:sounds music game hal2 ogg does not exist  cannot add it to event minecraft:music game_x000D_
 06:32:28   Client thread WARN : File minecraft:sounds music game hal3 ogg does not exist  cannot add it to event minecraft:music game_x000D_
 06:32:28   Client thread WARN : File minecraft:sounds music game hal4 ogg does not exist  cannot add it to event minecraft:music game_x000D_
 06:32:28   Client thread WARN : File minecraft:sounds music game nuance1 ogg does not exist  cannot add it to event minecraft:music game_x000D_
 06:32:28   Client thread WARN : File minecraft:sounds music game nuance2 ogg does not exist  cannot add it to event minecraft:music game_x000D_
 06:32:28   Client thread WARN : File minecraft:sounds music game piano1 ogg does not exist  cannot add it to event minecraft:music game_x000D_
 06:32:28   Client thread WARN : File minecraft:sounds music game piano2 ogg does not exist  cannot add it to event minecraft:music game_x000D_
 06:32:28   Client thread WARN : File minecraft:sounds music game piano3 ogg does not exist  cannot add it to event minecraft:music game_x000D_
 06:32:28   Client thread WARN : File minecraft:sounds music game nether nether1 ogg does not exist  cannot add it to event minecraft:music game nether_x000D_
 06:32:28   Client thread WARN : File minecraft:sounds music game nether nether2 ogg does not exist  cannot add it to event minecraft:music game nether_x000D_
 06:32:28   Client thread WARN : File minecraft:sounds music game nether nether3 ogg does not exist  cannot add it to event minecraft:music game nether_x000D_
 06:32:28   Client thread WARN : File minecraft:sounds music game nether nether4 ogg does not exist  cannot add it to event minecraft:music game nether_x000D_
 06:32:29   Sound Library Loader INFO : Sound engine started_x000D_
 06:32:32   Client thread INFO : Created: 16x16 textures blocks atlas_x000D_
 06:32:32   Client thread INFO : Created: 16x16 textures items atlas_x000D_
 06:32:39   Client thread INFO : Reloading ResourceManager: Default  FMLFileResourcePack:Forge Mod Loader  FMLFileResourcePack:Minecraft Forge  FMLFileResourcePack:Not Enough Items  FMLFileResourcePack:Bad Mobs  FMLFileResourcePack:CoFH Core  FMLFileResourcePack:Galacticraft Planets  FMLFileResourcePack:Galacticraft Core  FMLFileResourcePack:GalaxySpace  FMLFileResourcePack:Inventory Tweaks  FMLFileResourcePack:Iron Chest  FMLFileResourcePack:JourneyMap  FMLFileResourcePack:Keeping Inventory  FMLFileResourcePack:Mouse Tweaks  FMLFileResourcePack:Nature s Compass  FMLFileResourcePack:NuclearCraft  FMLFileResourcePack:Storage Drawers  FMLFileResourcePack:Thermal Dynamics  FMLFileResourcePack:Thermal Expansion  FMLFileResourcePack:Thermal Foundation  FMLFileResourcePack:Waystones_x000D_
 06:32:42   Client thread ERROR : Using missing texture  unable to load galaxyspace:textures blocks proximasystem proxima b proxima b ice surface png  java io FileNotFoundException_x000D_
 06:32:42   Client thread ERROR : Using missing texture  unable to load missing icon block 600 waystones:textures blocks waystone png  java io FileNotFoundException_x000D_
 06:32:43   Client thread INFO : Created: 2048x1024 textures blocks atlas_x000D_
 06:32:44   Client thread INFO : Created: 1024x1024 textures items atlas_x000D_
 06:32:45   Client thread WARN : File minecraft:sounds note bass ogg does not exist  cannot add it to event minecraft:note bass_x000D_
 06:32:45   Client thread WARN : File minecraft:sounds note bassattack ogg does not exist  cannot add it to event minecraft:note bassattack_x000D_
 06:32:45   Client thread WARN : File minecraft:sounds note bd ogg does not exist  cannot add it to event minecraft:note bd_x000D_
 06:32:45   Client thread WARN : File minecraft:sounds note harp ogg does not exist  cannot add it to event minecraft:note harp_x000D_
 06:32:45   Client thread WARN : File minecraft:sounds note hat ogg does not exist  cannot add it to event minecraft:note hat_x000D_
 06:32:45   Client thread WARN : File minecraft:sounds note pling ogg does not exist  cannot add it to event minecraft:note pling_x000D_
 06:32:45   Client thread WARN : File minecraft:sounds note snare ogg does not exist  cannot add it to event minecraft:note snare_x000D_
 06:32:45   Client thread WARN : File minecraft:sounds portal portal ogg does not exist  cannot add it to event minecraft:portal portal_x000D_
 06:32:45   Client thread WARN : File minecraft:sounds portal travel ogg does not exist  cannot add it to event minecraft:portal travel_x000D_
 06:32:45   Client thread WARN : File minecraft:sounds portal trigger ogg does not exist  cannot add it to event minecraft:portal trigger_x000D_
 06:32:45   Client thread WARN : File minecraft:sounds random anvil break ogg does not exist  cannot add it to event minecraft:random anvil break_x000D_
 06:32:45   Client thread WARN : File minecraft:sounds random anvil land ogg does not exist  cannot add it to event minecraft:random anvil land_x000D_
 06:32:45   Client thread WARN : File minecraft:sounds random anvil use ogg does not exist  cannot add it to event minecraft:random anvil use_x000D_
 06:32:45   Client thread WARN : File minecraft:sounds random bow ogg does not exist  cannot add it to event minecraft:random bow_x000D_
 06:32:45   Client thread WARN : File minecraft:sounds random bowhit1 ogg does not exist  cannot add it to event minecraft:random bowhit_x000D_
 06:32:45   Client thread WARN : File minecraft:sounds random bowhit2 ogg does not exist  cannot add it to event minecraft:random bowhit_x000D_
 06:32:45   Client thread WARN : File minecraft:sounds random bowhit3 ogg does not exist  cannot add it to event minecraft:random bowhit_x000D_
 06:32:45   Client thread WARN : File minecraft:sounds random bowhit4 ogg does not exist  cannot add it to event minecraft:random bowhit_x000D_
 06:32:45   Client thread WARN : File minecraft:sounds random break ogg does not exist  cannot add it to event minecraft:random break_x000D_
 06:32:45   Client thread WARN : File minecraft:sounds random burp ogg does not exist  cannot add it to event minecraft:random burp_x000D_
 06:32:45   Client thread WARN : File minecraft:sounds random chestclosed ogg does not exist  cannot add it to event minecraft:random chestclosed_x000D_
 06:32:45   Client thread WARN : File minecraft:sounds random chestopen ogg does not exist  cannot add it to event minecraft:random chestopen_x000D_
 06:32:45   Client thread WARN : File minecraft:sounds random click ogg does not exist  cannot add it to event minecraft:gui button press_x000D_
 06:32:45   Client thread WARN : File minecraft:sounds random click ogg does not exist  cannot add it to event minecraft:random click_x000D_
 06:32:45   Client thread WARN : File minecraft:sounds random door close ogg does not exist  cannot add it to event minecraft:random door close_x000D_
 06:32:45   Client thread WARN : File minecraft:sounds random door open ogg does not exist  cannot add it to event minecraft:random door open_x000D_
 06:32:45   Client thread WARN : File minecraft:sounds random drink ogg does not exist  cannot add it to event minecraft:random drink_x000D_
 06:32:45   Client thread WARN : File minecraft:sounds random eat1 ogg does not exist  cannot add it to event minecraft:random eat_x000D_
 06:32:45   Client thread WARN : File minecraft:sounds random eat2 ogg does not exist  cannot add it to event minecraft:random eat_x000D_
 06:32:45   Client thread WARN : File minecraft:sounds random eat3 ogg does not exist  cannot add it to event minecraft:random eat_x000D_
 06:32:45   Client thread WARN : File minecraft:sounds random explode1 ogg does not exist  cannot add it to event minecraft:random explode_x000D_
 06:32:45   Client thread WARN : File minecraft:sounds random explode2 ogg does not exist  cannot add it to event minecraft:random explode_x000D_
 06:32:45   Client thread WARN : File minecraft:sounds random explode3 ogg does not exist  cannot add it to event minecraft:random explode_x000D_
 06:32:45   Client thread WARN : File minecraft:sounds random explode4 ogg does not exist  cannot add it to event minecraft:random explode_x000D_
 06:32:45   Client thread WARN : File minecraft:sounds random fizz ogg does not exist  cannot add it to event minecraft:random fizz_x000D_
 06:32:45   Client thread WARN : File minecraft:sounds random fuse ogg does not exist  cannot add it to event minecraft:game tnt primed_x000D_
 06:32:45   Client thread WARN : File minecraft:sounds random fuse ogg does not exist  cannot add it to event minecraft:creeper primed_x000D_
 06:32:45   Client thread WARN : File minecraft:sounds random glass1 ogg does not exist  cannot add it to event minecraft:dig glass_x000D_
 06:32:45   Client thread WARN : File minecraft:sounds random glass2 ogg does not exist  cannot add it to event minecraft:dig glass_x000D_
 06:32:45   Client thread WARN : File minecraft:sounds random glass3 ogg does not exist  cannot add it to event minecraft:dig glass_x000D_
 06:32:45   Client thread WARN : File minecraft:sounds random glass1 ogg does not exist  cannot add it to event minecraft:game potion smash_x000D_
 06:32:45   Client thread WARN : File minecraft:sounds random glass2 ogg does not exist  cannot add it to event minecraft:game potion smash_x000D_
 06:32:45   Client thread WARN : File minecraft:sounds random glass3 ogg does not exist  cannot add it to event minecraft:game potion smash_x000D_
 06:32:45   Client thread WARN : File minecraft:sounds random levelup ogg does not exist  cannot add it to event minecraft:random levelup_x000D_
 06:32:45   Client thread WARN : File minecraft:sounds random orb ogg does not exist  cannot add it to event minecraft:random orb_x000D_
 06:32:45   Client thread WARN : File minecraft:sounds random pop ogg does not exist  cannot add it to event minecraft:random pop_x000D_
 06:32:45   Client thread WARN : File minecraft:sounds random splash ogg does not exist  cannot add it to event minecraft:random splash_x000D_
 06:32:45   Client thread WARN : File minecraft:sounds random successful hit ogg does not exist  cannot add it to event minecraft:random successful hit_x000D_
 06:32:45   Client thread WARN : File minecraft:sounds random wood click ogg does not exist  cannot add it to event minecraft:random wood click_x000D_
 06:32:45   Client thread WARN : File minecraft:sounds records 11 ogg does not exist  cannot add it to event minecraft:records 11_x000D_
 06:32:45   Client thread WARN : File minecraft:sounds records 13 ogg does not exist  cannot add it to event minecraft:records 13_x000D_
 06:32:45   Client thread WARN : File minecraft:sounds records blocks ogg does not exist  cannot add it to event minecraft:records blocks_x000D_
 06:32:45   Client thread WARN : File minecraft:sounds records cat ogg does not exist  cannot add it to event minecraft:records cat_x000D_
 06:32:45   Client thread WARN : File minecraft:sounds records chirp ogg does not exist  cannot add it to event minecraft:records chirp_x000D_
 06:32:45   Client thread WARN : File minecraft:sounds records far ogg does not exist  cannot add it to event minecraft:records far_x000D_
 06:32:45   Client thread WARN : File minecraft:sounds records mall ogg does not exist  cannot add it to event minecraft:records mall_x000D_
 06:32:45   Client thread WARN : File minecraft:sounds records mellohi ogg does not exist  cannot add it to event minecraft:records mellohi_x000D_
 06:32:45   Client thread WARN : File minecraft:sounds records stal ogg does not exist  cannot add it to event minecraft:records stal_x000D_
 06:32:45   Client thread WARN : File minecraft:sounds records strad ogg does not exist  cannot add it to event minecraft:records strad_x000D_
 06:32:45   Client thread WARN : File minecraft:sounds records wait ogg does not exist  cannot add it to event minecraft:records wait_x000D_
 06:32:45   Client thread WARN : File minecraft:sounds records ward ogg does not exist  cannot add it to event minecraft:records ward_x000D_
 06:32:45   Client thread WARN : File minecraft:sounds step grass1 ogg does not exist  cannot add it to event minecraft:step grass_x000D_
 06:32:45   Client thread WARN : File minecraft:sounds step grass2 ogg does not exist  cannot add it to event minecraft:step grass_x000D_
 06:32:45   Client thread WARN : File minecraft:sounds step grass3 ogg does not exist  cannot add it to event minecraft:step grass_x000D_
 06:32:45   Client thread WARN : File minecraft:sounds step grass4 ogg does not exist  cannot add it to event minecraft:step grass_x000D_
 06:32:45   Client thread WARN : File minecraft:sounds step grass5 ogg does not exist  cannot add it to event minecraft:step grass_x000D_
 06:32:45   Client thread WARN : File minecraft:sounds step grass6 ogg does not exist  cannot add it to event minecraft:step grass_x000D_
 06:32:45   Client thread WARN : File minecraft:sounds step gravel1 ogg does not exist  cannot add it to event minecraft:step gravel_x000D_
 06:32:45   Client thread WARN : File minecraft:sounds step gravel2 ogg does not exist  cannot add it to event minecraft:step gravel_x000D_
 06:32:45   Client thread WARN : File minecraft:sounds step gravel3 ogg does not exist  cannot add it to event minecraft:step gravel_x000D_
 06:32:45   Client thread WARN : File minecraft:sounds step gravel4 ogg does not exist  cannot add it to event minecraft:step gravel_x000D_
 06:32:45   Client thread WARN : File minecraft:sounds step ladder1 ogg does not exist  cannot add it to event minecraft:step ladder_x000D_
 06:32:45   Client thread WARN : File minecraft:sounds step ladder2 ogg does not exist  cannot add it to event minecraft:step ladder_x000D_
 06:32:45   Client thread WARN : File minecraft:sounds step ladder3 ogg does not exist  cannot add it to event minecraft:step ladder_x000D_
 06:32:45   Client thread WARN : File minecraft:sounds step ladder4 ogg does not exist  cannot add it to event minecraft:step ladder_x000D_
 06:32:45   Client thread WARN : File minecraft:sounds step ladder5 ogg does not exist  cannot add it to event minecraft:step ladder_x000D_
 06:32:45   Client thread WARN : File minecraft:sounds step sand1 ogg does not exist  cannot add it to event minecraft:step sand_x000D_
 06:32:45   Client thread WARN : File minecraft:sounds step sand2 ogg does not exist  cannot add it to event minecraft:step sand_x000D_
 06:32:45   Client thread WARN : File minecraft:sounds step sand3 ogg does not exist  cannot add it to event minecraft:step sand_x000D_
 06:32:45   Client thread WARN : File minecraft:sounds step sand4 ogg does not exist  cannot add it to event minecraft:step sand_x000D_
 06:32:45   Client thread WARN : File minecraft:sounds step sand5 ogg does not exist  cannot add it to event minecraft:step sand_x000D_
 06:32:45   Client thread WARN : File minecraft:sounds step stone1 ogg does not exist  cannot add it to event minecraft:step stone_x000D_
 06:32:45   Client thread WARN : File minecraft:sounds step stone2 ogg does not exist  cannot add it to event minecraft:step stone_x000D_
 06:32:45   Client thread WARN : File minecraft:sounds step stone3 ogg does not exist  cannot add it to event minecraft:step stone_x000D_
 06:32:45   Client thread WARN : File minecraft:sounds step stone4 ogg does not exist  cannot add it to event minecraft:step stone_x000D_
 06:32:45   Client thread WARN : File minecraft:sounds step stone5 ogg does not exist  cannot add it to event minecraft:step stone_x000D_
 06:32:45   Client thread WARN : File minecraft:sounds step stone6 ogg does not exist  cannot add it to event minecraft:step stone_x000D_
 06:32:45   Client thread WARN : File minecraft:sounds step wood1 ogg does not exist  cannot add it to event minecraft:step wood_x000D_
 06:32:45   Client thread WARN : File minecraft:sounds step wood2 ogg does not exist  cannot add it to event minecraft:step wood_x000D_
 06:32:45   Client thread WARN : File minecraft:sounds step wood3 ogg does not exist  cannot add it to event minecraft:step wood_x000D_
 06:32:45   Client thread WARN : File minecraft:sounds step wood4 ogg does not exist  cannot add it to event minecraft:step wood_x000D_
 06:32:45   Client thread WARN : File minecraft:sounds step wood5 ogg does not exist  cannot add it to event minecraft:step wood_x000D_
 06:32:45   Client thread WARN : File minecraft:sounds step wood6 ogg does not exist  cannot add it to event minecraft:step wood_x000D_
 06:32:45   Client thread WARN : File minecraft:sounds tile piston in ogg does not exist  cannot add it to event minecraft:tile piston in_x000D_
 06:32:45   Client thread WARN : File minecraft:sounds tile piston out ogg does not exist  cannot add it to event minecraft:tile piston out_x000D_
 06:32:45   Client thread WARN : File minecraft:sounds music menu menu1 ogg does not exist  cannot add it to event minecraft:music menu_x000D_
 06:32:45   Client thread WARN : File minecraft:sounds music menu menu2 ogg does not exist  cannot add it to event minecraft:music menu_x000D_
 06:32:45   Client thread WARN : File minecraft:sounds music menu menu3 ogg does not exist  cannot add it to event minecraft:music menu_x000D_
 06:32:45   Client thread WARN : File minecraft:sounds music menu menu4 ogg does not exist  cannot add it to event minecraft:music menu_x000D_
 06:32:45   Client thread WARN : File minecraft:sounds music game hal1 ogg does not exist  cannot add it to event minecraft:music game_x000D_
 06:32:45   Client thread WARN : File minecraft:sounds music game hal2 ogg does not exist  cannot add it to event minecraft:music game_x000D_
 06:32:45   Client thread WARN : File minecraft:sounds music game hal3 ogg does not exist  cannot add it to event minecraft:music game_x000D_
 06:32:45   Client thread WARN : File minecraft:sounds music game hal4 ogg does not exist  cannot add it to event minecraft:music game_x000D_
 06:32:45   Client thread WARN : File minecraft:sounds music game nuance1 ogg does not exist  cannot add it to event minecraft:music game_x000D_
 06:32:45   Client thread WARN : File minecraft:sounds music game nuance2 ogg does not exist  cannot add it to event minecraft:music game_x000D_
 06:32:45   Client thread WARN : File minecraft:sounds music game piano1 ogg does not exist  cannot add it to event minecraft:music game_x000D_
 06:32:45   Client thread WARN : File minecraft:sounds music game piano2 ogg does not exist  cannot add it to event minecraft:music game_x000D_
 06:32:45   Client thread WARN : File minecraft:sounds music game piano3 ogg does not exist  cannot add it to event minecraft:music game_x000D_
 06:32:45   Client thread WARN : File minecraft:sounds music game nether nether1 ogg does not exist  cannot add it to event minecraft:music game nether_x000D_
 06:32:45   Client thread WARN : File minecraft:sounds music game nether nether2 ogg does not exist  cannot add it</t>
  </si>
  <si>
    <t>MuntashirAkon-AppManager-697</t>
  </si>
  <si>
    <t xml:space="preserve">Crash Report </t>
  </si>
  <si>
    <t xml:space="preserve">    _x000D_
Your issue will be closed without warning if you don t check at least two items _x000D_
   _x000D_
   x  I know what my device  OS and App Manager versions are_x000D_
   x  I know how to take logs_x000D_
      I know how to reproduce the issue which may not be specific to my device_x000D_
_x000D_
  Describe the bug  _x000D_
Crashed while updated an app from Aurora store then closed the updated app  Not sure if it s related to this crash  1 time crash _x000D_
_x000D_
  Crash logs  _x000D_
_x000D_
   _x000D_
java lang RuntimeException: Unable to start activity ComponentInfo io github muntashirakon AppManager io github muntashirakon AppManager main MainActivity : java lang RuntimeException: Parcel android os Parcel 94be18: Unmarshalling unknown type code 6881399 at offset 1612_x000D_
    at android app ActivityThread performLaunchActivity(ActivityThread java:2781)_x000D_
    at android app ActivityThread handleLaunchActivity(ActivityThread java:2859)_x000D_
    at android app ActivityThread  wrap11(Unknown Source:0)_x000D_
    at android app ActivityThread H handleMessage(ActivityThread java:1592)_x000D_
    at android os Handler dispatchMessage(Handler java:106)_x000D_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Caused by: java lang RuntimeException: Parcel android os Parcel 94be18: Unmarshalling unknown type code 6881399 at offset 1612_x000D_
   at android os Parcel readValue(Parcel java:2833)_x000D_
   at android os Parcel readSparseArrayInternal(Parcel java:3204)_x000D_
   at android os Parcel readSparseArray(Parcel java:2416)_x000D_
   at android os Parcel readValue(Parcel java:2811)_x000D_
   at android os Parcel readArrayMapInternal(Parcel java:3123)_x000D_
   at android os BaseBundle initializeFromParcelLocked(BaseBundle java:273)_x000D_
   at android os BaseBundle unparcel(BaseBundle java:226)_x000D_
   at android os Bundle getSparseParcelableArray(Bundle java:1009)_x000D_
   at com android internal policy PhoneWindow restoreHierarchyState(PhoneWindow java:2134)_x000D_
   at android app Activity onRestoreInstanceState(Activity java:1102)_x000D_
   at android app Activity performRestoreInstanceState(Activity java:1057)_x000D_
   at android app Instrumentation callActivityOnRestoreInstanceState(Instrumentation java:1261)_x000D_
   at android app ActivityThread performLaunchActivity(ActivityThread java:2754)_x000D_
   at android app ActivityThread handleLaunchActivity(ActivityThread java:2859)_x000D_
   at android app ActivityThread  wrap11(Unknown Source:0)_x000D_
   at android app ActivityThread H handleMessage(ActivityThread java:1592)_x000D_
   at android os Handler dispatchMessage(Handler java:106)_x000D_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_x000D_
   _x000D_
_x000D_
  Device info  _x000D_
App version: 3 0 0 alpha01_x000D_
App version code: 400_x000D_
Android build version: 8704X S001025 190606 ROW_x000D_
Android release version: 8 1 0_x000D_
Android SDK version: 27_x000D_
Android build ID: TB 8704X S001025 190606 ROW_x000D_
Device brand: Lenovo_x000D_
Device manufacturer: LENOVO_x000D_
Device name: TB 8704X_x000D_
Device model: Lenovo TB 8704X_x000D_
Device product name: TB 8704X_x000D_
Device hardware name: qcom_x000D_
ABIs:  arm64 v8a  armeabi v7a  armeabi _x000D_
ABIs (32bit):  armeabi v7a  armeabi _x000D_
ABIs (64bit):  arm64 v8a _x000D_
System language: en IN_x000D_
In App Language: auto_x000D_
Mode: auto_x000D_
_x000D_
  Additional context  _x000D_
 Please change the title of this issue from your side  </t>
  </si>
  <si>
    <t>Appboy-appboy-android-sdk-218</t>
  </si>
  <si>
    <t>[Bug]: viral crash on my google console store related to appboy</t>
  </si>
  <si>
    <t xml:space="preserve">    Braze Android SDK Version
com appboy:android sdk ui:18 0 1
    Steps To Reproduce
Random time in the app
    Expected Behavior
not relevant
    Actual Incorrect Behavior
crash
    Verbose Logs
   shell
java lang NullPointerException: _x000D_
  at bo app e1 a (Unknown Source:2)_x000D_
  at com appboy Appboy lambda new 0 (SourceFile:5)_x000D_
  at com appboy Appboy K (Unknown Source)_x000D_
  at k2 e run (Unknown Source:4)_x000D_
  at java util concurrent ThreadPoolExecutor runWorker (ThreadPoolExecutor java:1162)_x000D_
  at java util concurrent ThreadPoolExecutor Worker run (ThreadPoolExecutor java:636)_x000D_
  at java lang Thread run (Thread java:784)
    Additional Information
I got thousands of crashes related to your API</t>
  </si>
  <si>
    <t>androidx-media-51</t>
  </si>
  <si>
    <t>An exception might be thrown inside MediaControllerImplBase.onPlayerInfoChanged()</t>
  </si>
  <si>
    <t xml:space="preserve">Hi  I found the following crash report on Crashlytics  An exception thrown inside of the  MediaControllerImplBase onPlayerInfoChanged()  _x000D_
_x000D_
 details  _x000D_
 summary _x000D_
(Click here to display the full stacktrace)_x000D_
_x000D_
   _x000D_
Fatal Exception: java lang IndexOutOfBoundsException: index ( ) must be less than size ( )_x000D_
   _x000D_
_x000D_
  summary _x000D_
_x000D_
Example 1_x000D_
_x000D_
   _x000D_
Fatal Exception: java lang IndexOutOfBoundsException: index (4) must be less than size (4)_x000D_
       at com google common base Preconditions checkElementIndex(Preconditions java:1355)_x000D_
       at com google common base Preconditions checkElementIndex(Preconditions java:1337)_x000D_
       at com google common collect RegularImmutableList get(RegularImmutableList java:82)_x000D_
       at androidx media3 common Timeline RemotableTimeline getWindow(Timeline java:1530)_x000D_
       at androidx media3 common Timeline getWindow(Timeline java:1118)_x000D_
       at androidx media3 session PlayerInfo getCurrentMediaItem(PlayerInfo java:637)_x000D_
       at androidx media3 session MediaControllerImplBase onPlayerInfoChanged(MediaControllerImplBase java:2383)_x000D_
       at androidx media3 session MediaControllerStub lambda onPlayerInfoChanged 9(MediaControllerStub java:180)_x000D_
       at androidx media3 session MediaControllerStub  r8 lambda X59hShI5lo8 62FDwGBWO2tdQfo(MediaControllerStub java)_x000D_
       at androidx media3 session MediaControllerStub  InternalSyntheticLambda 2 4a3a6820449623629e404f4bef3c0240e0815b9ab568a3a89e0663d3f4d5622f 0 run(MediaControllerStub java:4)_x000D_
       at androidx media3 session MediaControllerStub lambda dispatchControllerTaskOnHandler 12(MediaControllerStub java:271)_x000D_
       at androidx media3 session MediaControllerStub  r8 lambda YGpG xpiKgSpdH847m1pEUdLemY(MediaControllerStub java)_x000D_
       at androidx media3 session MediaControllerStub  InternalSyntheticLambda 3 c38f624292a1f1ed4af00152f20c76bcf37ccebfce0326ec339c89e37f90a1b6 0 run(MediaControllerStub java:4)_x000D_
       at androidx media3 common util Util postOrRun(Util java:528)_x000D_
       at androidx media3 session MediaControllerStub dispatchControllerTaskOnHandler(MediaControllerStub java:263)_x000D_
       at androidx media3 session MediaControllerStub onPlayerInfoChanged(MediaControllerStub java:178)_x000D_
       at androidx media3 session MediaSessionStub Controller2Cb onPlayerInfoChanged(MediaSessionStub java:1734)_x000D_
       at androidx media3 session MediaSessionImpl dispatchOnPlayerInfoChanged(MediaSessionImpl java:393)_x000D_
       at androidx media3 session MediaSessionImpl access 600(MediaSessionImpl java:80)_x000D_
       at androidx media3 session MediaSessionImpl PlayerInfoChangedHandler handleMessage(MediaSessionImpl java:1186)_x000D_
       at android os Handler dispatchMessage(Handler java:106)_x000D_
       at android os Looper loop(Looper java:246)_x000D_
       at android app ActivityThread main(ActivityThread java:8653)_x000D_
       at java lang reflect Method invoke(Method java)_x000D_
       at com android internal os RuntimeInit MethodAndArgsCaller run(RuntimeInit java:602)_x000D_
       at com android internal os ZygoteInit main(ZygoteInit java:1130)_x000D_
   _x000D_
_x000D_
Example 2_x000D_
_x000D_
   _x000D_
Fatal Exception: java lang IndexOutOfBoundsException: index (13) must be less than size (1)_x000D_
       at com google common base Preconditions checkElementIndex(Preconditions java:1355)_x000D_
       at com google common base Preconditions checkElementIndex(Preconditions java:1337)_x000D_
       at com google common collect RegularImmutableList get(RegularImmutableList java:82)_x000D_
       at androidx media3 common Timeline RemotableTimeline getWindow(Timeline java:1530)_x000D_
       at androidx media3 common Timeline getWindow(Timeline java:1118)_x000D_
       at androidx media3 session PlayerInfo getCurrentMediaItem(PlayerInfo java:637)_x000D_
       at androidx media3 session MediaControllerImplBase onPlayerInfoChanged(MediaControllerImplBase java:2383)_x000D_
       at androidx media3 session MediaControllerStub lambda onPlayerInfoChanged 9(MediaControllerStub java:180)_x000D_
       at androidx media3 session MediaControllerStub  r8 lambda X59hShI5lo8 62FDwGBWO2tdQfo(MediaControllerStub java)_x000D_
       at androidx media3 session MediaControllerStub  InternalSyntheticLambda 2 4a3a6820449623629e404f4bef3c0240e0815b9ab568a3a89e0663d3f4d5622f 0 run(MediaControllerStub java:4)_x000D_
       at androidx media3 session MediaControllerStub lambda dispatchControllerTaskOnHandler 12(MediaControllerStub java:271)_x000D_
       at androidx media3 session MediaControllerStub  r8 lambda YGpG xpiKgSpdH847m1pEUdLemY(MediaControllerStub java)_x000D_
       at androidx media3 session MediaControllerStub  InternalSyntheticLambda 3 c38f624292a1f1ed4af00152f20c76bcf37ccebfce0326ec339c89e37f90a1b6 0 run(MediaControllerStub java:4)_x000D_
       at androidx media3 common util Util postOrRun(Util java:528)_x000D_
       at androidx media3 session MediaControllerStub dispatchControllerTaskOnHandler(MediaControllerStub java:263)_x000D_
       at androidx media3 session MediaControllerStub onPlayerInfoChanged(MediaControllerStub java:178)_x000D_
       at androidx media3 session MediaSessionStub Controller2Cb onPlayerInfoChanged(MediaSessionStub java:1734)_x000D_
       at androidx media3 session MediaSessionImpl dispatchOnPlayerInfoChanged(MediaSessionImpl java:393)_x000D_
       at androidx media3 session MediaSessionImpl access 600(MediaSessionImpl java:80)_x000D_
       at androidx media3 session MediaSessionImpl PlayerInfoChangedHandler handleMessage(MediaSessionImpl java:1186)_x000D_
       at android os Handler dispatchMessage(Handler java:106)_x000D_
       at android os Looper loop(Looper java:193)_x000D_
       at android app ActivityThread main(ActivityThread java:6819)_x000D_
       at java lang reflect Method invoke(Method java)_x000D_
       at com android internal os RuntimeInit MethodAndArgsCaller run(RuntimeInit java:497)_x000D_
       at com android internal os ZygoteInit main(ZygoteInit java:912)_x000D_
   _x000D_
  details _x000D_
_x000D_
   Library versions_x000D_
   androidx media3 : Built from source (Commit ID: f92ae23dd83533bce93c7a937f2fa40ce810f207)_x000D_
_x000D_
   Affected devices_x000D_
_x000D_
  Samsung Galaxy S22 Ultra (Android 12)_x000D_
  Samsung Galaxy A71 (Android 11)_x000D_
  Infinix Smart 4 (Android 9)_x000D_
  and many more   _x000D_
_x000D_
   How to reproduce the issue _x000D_
_x000D_
Sorry  I have not succeeded in reproducing the issue yet  I ll post details if I can get any info _x000D_
</t>
  </si>
  <si>
    <t>MuntashirAkon-AppManager-694</t>
  </si>
  <si>
    <t>Detecting  App is Very Slow</t>
  </si>
  <si>
    <t xml:space="preserve">    
Your issue will be closed without warning if you don t check at least two items 
   x  I know what my device  OS and App Manager versions are
     I know how to take logs
   x  I know how to reproduce the issue which may not be specific to my device
  Describe the bug  
Takes unhumanely long to detect an installed app
  To Reproduce  
Steps to reproduce the behaviour:
1  Download and install app
2  Click on AppMamager
3  Cant see my newly installed app 
  Expected behavior  
I should find my newly installed app
  Screenshots  
If applicable  add screenshots to help explain your problem 
  Crash logs  
If applicable  add crash logs to help us figure out the problem 
  Device info  
   OS Version:  11 
   App Manager Version:  latest Fdroid 
   Mode: root
  Additional context  
It takes nearly a minute to detect newly installed apps any way to fix or make it quick  
</t>
  </si>
  <si>
    <t>forrestguice-SuntimesWidget-567</t>
  </si>
  <si>
    <t>crash when using 'sun position' shortcut</t>
  </si>
  <si>
    <t xml:space="preserve">Since  v0 14 0  the  sun position  shortcut causes a crash  _x000D_
_x000D_
From the launcher or home screen  long press  Suntimes    Sun Position _x000D_
_x000D_
   _x000D_
java lang RuntimeException: Unable to start activity ComponentInfo com forrestguice suntimeswidget com forrestguice suntimeswidget SuntimesActivity : java lang NullPointerException: Attempt to invoke virtual method  java util TimeZone com forrestguice suntimeswidget calculator SuntimesRiseSetDataset timezone()  on a null object reference_x000D_
        at android app ActivityThread performLaunchActivity(ActivityThread java:3635)_x000D_
        at android app ActivityThread handleLaunchActivity(ActivityThread java:3792)_x000D_
        at android app servertransaction LaunchActivityItem execute(LaunchActivityItem java:103)_x000D_
        at android app servertransaction TransactionExecutor executeCallbacks(TransactionExecutor java:135)_x000D_
        at android app servertransaction TransactionExecutor execute(TransactionExecutor java:95)_x000D_
        at android app ActivityThread H handleMessage(ActivityThread java:2210)_x000D_
        at android os Handler dispatchMessage(Handler java:106)_x000D_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Caused by: java lang NullPointerException: Attempt to invoke virtual method  java util TimeZone com forrestguice suntimeswidget calculator SuntimesRiseSetDataset timezone()  on a null object reference_x000D_
        at com forrestguice suntimeswidget LightMapDialog setData(LightMapDialog java:132)_x000D_
        at com forrestguice suntimeswidget SuntimesActivity showLightMapDialog(SuntimesActivity java:2102)_x000D_
        at com forrestguice suntimeswidget SuntimesActivity handleIntent(SuntimesActivity java:279)_x000D_
        at com forrestguice suntimeswidget SuntimesActivity onCreate(SuntimesActivity java:258)_x000D_
        at android app Activity performCreate(Activity java:8051)_x000D_
        at android app Activity performCreate(Activity java:8031)_x000D_
        at android app Instrumentation callActivityOnCreate(Instrumentation java:1329)_x000D_
        at android app ActivityThread performLaunchActivity(ActivityThread java:3608)_x000D_
        at android app ActivityThread handleLaunchActivity(ActivityThread java:3792) _x000D_
        at android app servertransaction LaunchActivityItem execute(LaunchActivityItem java:103) _x000D_
        at android app servertransaction TransactionExecutor executeCallbacks(TransactionExecutor java:135) _x000D_
        at android app servertransaction TransactionExecutor execute(TransactionExecutor java:95) _x000D_
        at android app ActivityThread H handleMessage(ActivityThread java:2210) _x000D_
        at android os Handler dispatchMessage(Handler java:106) _x000D_
        at android os Looper loopOnce(Looper java:201) _x000D_
        at android os Looper loop(Looper java:288) _x000D_
        at android app ActivityThread main(ActivityThread java:7839) _x000D_
        at java lang reflect Method invoke(Native Method) _x000D_
        at com android internal os RuntimeInit MethodAndArgsCaller run(RuntimeInit java:548) _x000D_
        at com android internal os ZygoteInit main(ZygoteInit java:1003) _x000D_
   _x000D_
Tested with  v0 14 1  (crashes)  and with  v0 13 19  (works correctly) </t>
  </si>
  <si>
    <t>connectbot-connectbot-1094</t>
  </si>
  <si>
    <t>[Android 12, MiUI 13.0.3] Crash when holding over text to copy / cut</t>
  </si>
  <si>
    <t xml:space="preserve">   Bug description_x000D_
_x000D_
ConnectBot is crashing when trying to copy text from the buffer of a connected SSH session (standard hold over the text and copy operation) on Android 12 (MiUI 13 0 3) _x000D_
_x000D_
   Steps to reproduce_x000D_
_x000D_
1  Open the application _x000D_
2  Connect to a SSH server _x000D_
3  Try to copy some text from the application screen by holding over the text _x000D_
4  The application is crashing before the copy   cut   paste dialog appears _x000D_
_x000D_
   Expected behavior_x000D_
_x000D_
Appearing of the copy   cut   paste dialog and successful copy   cut operation _x000D_
_x000D_
   Android device_x000D_
_x000D_
   Device: Xiaomi Redmi Note 10 Pro_x000D_
   OS: Android 12 SKQ1 210908 001  MIUI Global 13 0 3 Stable _x000D_
   ConnectBot Version: 1 9 8_x000D_
_x000D_
   Server information_x000D_
_x000D_
   OS: Debian 10_x000D_
   SSH Software and Version: OpenSSH 7 9_x000D_
   Password authentication </t>
  </si>
  <si>
    <t>TeamNewPipe-NewPipe-7992</t>
  </si>
  <si>
    <t>System crash when playing new video when existing video is already playing</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</si>
  <si>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1
    Steps to reproduce the bug
1  Play a video_x000D_
2  Wait for video to load or begin playing_x000D_
3  Play a different video
    Expected behavior
Previous video stops playing and new video begins to play
    Actual behavior
Phone abruptly crashes and reloads: screen goes black  goes to google logo  then back to lock screen  then phone starts loading as if it just booted up 
    Screenshots Screen recordings
 No response 
    Logs
 No response 
    Affected Android Custom ROM version
Android 11
    Affected device model
Pixel 2
    Additional information
Bug can be avoided by closing (not pausing) the current playing video before selecting a new video  This crash does not occur if you play the video in the background or as a popup </t>
  </si>
  <si>
    <t>ASE-Projekte-WS-2021-ase-ws-21-course-matcher-159</t>
  </si>
  <si>
    <t>Bug: Fix adding friends</t>
  </si>
  <si>
    <t xml:space="preserve">Wenn man noch keine Freunde hat und nach dem  Add Friends Fragment  auf das  Friends List Fragment  zur ckgeht  crashed die App  weil onTextChanged aufgerufen und somit eine Suche in der noch leeren Freundesliste ausgel st wird _x000D_
_x000D_
   x  Guard bei getUsersByIdsAndName einf gen  was eine Liste mit null Wert auf new ArrayList() setzt_x000D_
</t>
  </si>
  <si>
    <t>OpenSeizureDetector-Android_Pebble_SD-43</t>
  </si>
  <si>
    <t>Crash because of network error?</t>
  </si>
  <si>
    <t xml:space="preserve">_x000D_
Dear OpenSeizureDetector _x000D_
_x000D_
Application is just crashed  please check following error log for more details _x000D_
_x000D_
_x000D_
      UCE HANDLER Library_x000D_
      by Rohit Surwase_x000D_
_x000D_
      DEVICE INFO_x000D_
Brand: samsung_x000D_
Device: j5y17lte_x000D_
Model: SM J530F_x000D_
Manufacturer: samsung_x000D_
Product: j5y17ltexx_x000D_
SDK: 28_x000D_
Release: 9_x000D_
_x000D_
      APP INFO_x000D_
Version: 4 0 0n_x000D_
Installed On: 2022 02 20 21:09:08_x000D_
Updated On: 2022 03 01 14:16:28_x000D_
Current Date: 2022 03 05 12:09:19_x000D_
_x000D_
      ERROR LOG_x000D_
java lang NullPointerException: Attempt to read from field  byte   com android volley NetworkResponse data  on a null object reference_x000D_
at uk org openseizuredetector WebApiConnection 17 onErrorResponse(WebApiConnection java:491)_x000D_
at com android volley Request deliverError(Request java:652)_x000D_
at com android volley ExecutorDelivery ResponseDeliveryRunnable run(ExecutorDelivery java:104)_x000D_
at android os Handler handleCallback(Handler java:873)_x000D_
at android os Handler dispatchMessage(Handler java:99)_x000D_
at android os Looper loop(Looper java:216)_x000D_
at android app ActivityThread main(ActivityThread java:7266)_x000D_
at java lang reflect Method invoke(Native Method)_x000D_
at com android internal os RuntimeInit MethodAndArgsCaller run(RuntimeInit java:494)_x000D_
at com android internal os ZygoteInit main(ZygoteInit java:975)_x000D_
_x000D_
_x000D_
_x000D_
      END OF LOG      _x000D_
 _x000D_
</t>
  </si>
  <si>
    <t>material-components-material-components-android-2590</t>
  </si>
  <si>
    <t>[Slider] The stepSize(1.0) must be 0, or a factor of the valueFrom(0.5)-valueTo(10.0) range</t>
  </si>
  <si>
    <t xml:space="preserve">  Description:  _x000D_
_x000D_
Recently  I got a crash report sent to Crashlytics  It seems a few users suffering from this strange issue _x000D_
_x000D_
The state of the Slider settings I can read from the error message looks like completely valid  and  validateStepSize  should never be failed though _x000D_
_x000D_
 details  _x000D_
 summary _x000D_
(Click here to display the full stacktrace)_x000D_
_x000D_
   _x000D_
Fatal Exception: java lang IllegalStateException: The stepSize(1 0) must be 0  or a factor of the valueFrom(0 5) valueTo(10 0) range_x000D_
   _x000D_
_x000D_
  summary _x000D_
_x000D_
   _x000D_
Fatal Exception: java lang IllegalStateException: The stepSize(1 0) must be 0  or a factor of the valueFrom(0 5) valueTo(10 0) range_x000D_
       at com google android material slider BaseSlider validateStepSize(BaseSlider java:541)_x000D_
       at com google android material slider BaseSlider validateConfigurationIfDirty(BaseSlider java:601)_x000D_
       at com google android material slider BaseSlider maybeCalculateTicksCoordinates(BaseSlider java:1488)_x000D_
       at com google android material slider BaseSlider updateTrackWidth(BaseSlider java:1509)_x000D_
       at com google android material slider BaseSlider onSizeChanged(BaseSlider java:1479)_x000D_
       at android view View sizeChange(View java:19895)_x000D_
       at android view View setFrame(View java:19856)_x000D_
       at android view View layout(View java:19759)_x000D_
       at android widget LinearLayout setChildFrame(LinearLayout java:1791)_x000D_
       at android widget LinearLayout layoutHorizontal(LinearLayout java:1780)_x000D_
       at android widget LinearLayout onLayout(LinearLayout java:1546)_x000D_
       at android view View layout(View java:19762)_x000D_
       at android view ViewGroup layout(ViewGroup java:6149)_x000D_
       at android widget LinearLayout setChildFrame(LinearLayout java:1791)_x000D_
       at android widget LinearLayout layoutVertical(LinearLayout java:1635)_x000D_
       at android widget LinearLayout onLayout(LinearLayout java:1544)_x000D_
       at android view View layout(View java:19762)_x000D_
       at android view ViewGroup layout(ViewGroup java:6149)_x000D_
       at android widget LinearLayout setChildFrame(LinearLayout java:1791)_x000D_
       at android widget LinearLayout layoutHorizontal(LinearLayout java:1780)_x000D_
       at android widget LinearLayout onLayout(LinearLayout java:1546)_x000D_
       at android view View layout(View java:19762)_x000D_
       at android view ViewGroup layout(ViewGroup java:6149)_x000D_
       at androidx recyclerview widget RecyclerView LayoutManager layoutDecoratedWithMargins(RecyclerView java:9878)_x000D_
       at androidx recyclerview widget LinearLayoutManager layoutChunk(LinearLayoutManager java:1689)_x000D_
       at androidx recyclerview widget LinearLayoutManager fill(LinearLayoutManager java:1591)_x000D_
       at androidx recyclerview widget LinearLayoutManager scrollBy(LinearLayoutManager java:1395)_x000D_
       at androidx recyclerview widget LinearLayoutManager scrollVerticallyBy(LinearLayoutManager java:1136)_x000D_
       at androidx recyclerview widget RecyclerView scrollStep(RecyclerView java:1972)_x000D_
       at androidx recyclerview widget RecyclerView scrollByInternal(RecyclerView java:2071)_x000D_
       at androidx recyclerview widget RecyclerView onTouchEvent(RecyclerView java:3531)_x000D_
       at android view View dispatchTouchEvent(View java:11832)_x000D_
       at android view ViewGroup dispatchTransformedTouchEvent(ViewGroup java:3036)_x000D_
       at android view ViewGroup dispatchTouchEvent(ViewGroup java:2714)_x000D_
       at android view ViewGroup dispatchTransformedTouchEvent(ViewGroup java:3042)_x000D_
       at android view ViewGroup dispatchTouchEvent(ViewGroup java:2728)_x000D_
       at android view ViewGroup dispatchTransformedTouchEvent(ViewGroup java:3042)_x000D_
       at android view ViewGroup dispatchTouchEvent(ViewGroup java:2728)_x000D_
       at android view ViewGroup dispatchTransformedTouchEvent(ViewGroup java:3042)_x000D_
       at android view ViewGroup dispatchTouchEvent(ViewGroup java:2728)_x000D_
       at android view ViewGroup dispatchTransformedTouchEvent(ViewGroup java:3042)_x000D_
       at android view ViewGroup dispatchTouchEvent(ViewGroup java:2728)_x000D_
       at android view ViewGroup dispatchTransformedTouchEvent(ViewGroup java:3042)_x000D_
       at android view ViewGroup dispatchTouchEvent(ViewGroup java:2728)_x000D_
       at android view ViewGroup dispatchTransformedTouchEvent(ViewGroup java:3042)_x000D_
       at android view ViewGroup dispatchTouchEvent(ViewGroup java:2728)_x000D_
       at android view ViewGroup dispatchTransformedTouchEvent(ViewGroup java:3042)_x000D_
       at android view ViewGroup dispatchTouchEvent(ViewGroup java:2728)_x000D_
       at android view ViewGroup dispatchTransformedTouchEvent(ViewGroup java:3042)_x000D_
       at android view ViewGroup dispatchTouchEvent(ViewGroup java:2728)_x000D_
       at com android internal policy DecorView superDispatchTouchEvent(DecorView java:473)_x000D_
       at com android internal policy PhoneWindow superDispatchTouchEvent(PhoneWindow java:1857)_x000D_
       at android app Activity dispatchTouchEvent(Activity java:3326)_x000D_
       at androidx appcompat view WindowCallbackWrapper dispatchTouchEvent(WindowCallbackWrapper java:69)_x000D_
       at com android internal policy DecorView dispatchTouchEvent(DecorView java:435)_x000D_
       at android view View dispatchPointerEvent(View java:12071)_x000D_
       at android view ViewRootImpl ViewPostImeInputStage processPointerEvent(ViewRootImpl java:5241)_x000D_
       at android view ViewRootImpl ViewPostImeInputStage onProcess(ViewRootImpl java:5055)_x000D_
       at android view ViewRootImpl InputStage deliver(ViewRootImpl java:4363)_x000D_
       at android view ViewRootImpl InputStage onDeliverToNext(ViewRootImpl java:4416)_x000D_
       at android view ViewRootImpl InputStage forward(ViewRootImpl java:4382)_x000D_
       at android view ViewRootImpl InputStage apply(ViewRootImpl java:4390)_x000D_
       at android view ViewRootImpl InputStage deliver(ViewRootImpl java:4363)_x000D_
       at android view ViewRootImpl InputStage onDeliverToNext(ViewRootImpl java:4416)_x000D_
       at android view ViewRootImpl InputStage forward(ViewRootImpl java:4382)_x000D_
       at android view ViewRootImpl AsyncInputStage forward(ViewRootImpl java:4525)_x000D_
       at android view ViewRootImpl InputStage apply(ViewRootImpl java:4390)_x000D_
       at android view ViewRootImpl AsyncInputStage apply(ViewRootImpl java:4582)_x000D_
       at android view ViewRootImpl InputStage deliver(ViewRootImpl java:4363)_x000D_
       at android view ViewRootImpl InputStage onDeliverToNext(ViewRootImpl java:4416)_x000D_
       at android view ViewRootImpl InputStage forward(ViewRootImpl java:4382)_x000D_
       at android view ViewRootImpl InputStage apply(ViewRootImpl java:4390)_x000D_
       at android view ViewRootImpl InputStage deliver(ViewRootImpl java:4363)_x000D_
       at android view ViewRootImpl deliverInputEvent(ViewRootImpl java:7189)_x000D_
       at android view ViewRootImpl doProcessInputEvents(ViewRootImpl java:7163)_x000D_
       at android view ViewRootImpl enqueueInputEvent(ViewRootImpl java:7124)_x000D_
       at android view ViewRootImpl WindowInputEventReceiver onInputEvent(ViewRootImpl java:7323)_x000D_
       at android view InputEventReceiver dispatchInputEvent(InputEventReceiver java:187)_x000D_
       at android view InputEventReceiver nativeConsumeBatchedInputEvents(InputEventReceiver java)_x000D_
       at android view InputEventReceiver consumeBatchedInputEvents(InputEventReceiver java:178)_x000D_
       at android view ViewRootImpl doConsumeBatchedInput(ViewRootImpl java:7271)_x000D_
       at android view ViewRootImpl ConsumeBatchedInputRunnable run(ViewRootImpl java:7346)_x000D_
       at android view Choreographer CallbackRecord run(Choreographer java:979)_x000D_
       at android view Choreographer doCallbacks(Choreographer java:791)_x000D_
       at android view Choreographer doFrame(Choreographer java:720)_x000D_
       at android view Choreographer FrameDisplayEventReceiver run(Choreographer java:965)_x000D_
       at android os Handler handleCallback(Handler java:790)_x000D_
       at android os Handler dispatchMessage(Handler java:99)_x000D_
       at android os Looper loop(Looper java:164)_x000D_
       at android app ActivityThread main(ActivityThread java:6687)_x000D_
       at java lang reflect Method invoke(Method java)_x000D_
       at com android internal os RuntimeInit MethodAndArgsCaller run(RuntimeInit java:438)_x000D_
       at com android internal os ZygoteInit main(ZygoteInit java:810)_x000D_
   _x000D_
  details _x000D_
_x000D_
  Expected behavior:   _x000D_
_x000D_
No exception thrown when  valueFrom   0 5f    valueTo   10 0f  and  stepSize 0 5f  _x000D_
_x000D_
  Material Library version:  _x000D_
  1 6 0 alpha02_x000D_
_x000D_
  Device:  _x000D_
_x000D_
  LG Q6  (Android 8 1 0)_x000D_
  Huawei Y9 Prime 2019 (Android 10)_x000D_
(Maybe  this issue looks very rare and I cannot reproduce it myself   )_x000D_
</t>
  </si>
  <si>
    <t>PojavLauncherTeam-PojavLauncher-2850</t>
  </si>
  <si>
    <t>1.18.2 crashed with gl4es1.1.5[BUG] &lt;Short description&gt;</t>
  </si>
  <si>
    <t xml:space="preserve">    Describe the bug
When I go into 1 18 2 game crashed with gl4es 1 1 5 and new assets v0 zip and gone into a world it crashes without any notice 
    The log file and images videos
 https:  drive google com file d 1 2nT0pYAoduSE2885HGwDD9bAwJHunKv view usp drivesdk (url)
    Steps To Reproduce
   markdown
1  Start PojavLauncher (debug with virglrenderer)_x000D_
2  Start 1 18 2_x000D_
3  go into a world_x000D_
4  Wait for a few seconds
    Expected Behavior
Play for a lone time with gl4es1 1 5
    Platform
   markdown
  Device model: realme RM3366 256G_x000D_
  CPU architecture: aarch64_x000D_
  Android version: 11_x000D_
  PojavLauncher version: crocus 332 4cfbf4c9a v3 openjdk
    Anything else 
Nether optifine nor vanilla are crashed</t>
  </si>
  <si>
    <t>PojavLauncherTeam-PojavLauncher-2848</t>
  </si>
  <si>
    <t>1.18.2 bug</t>
  </si>
  <si>
    <t xml:space="preserve">    Describe the bug_x000D_
_x000D_
When I go into 1 18 2 with gl4es 1 1 4 and new assets v0 zip  and gone into a world  it just crashes and makes me cancer because I cant progress on my skyblock world _x000D_
_x000D_
    The log file and images videos_x000D_
_x000D_
 latestlog txt (https:  github com PojavLauncherTeam PojavLauncher files 8190029 latestlog txt)_x000D_
_x000D_
_x000D_
    Steps To Reproduce_x000D_
_x000D_
   markdown_x000D_
1 Start PojavLauncher (debug with virglrenderer)_x000D_
2 start 1 18 2_x000D_
3 go into a world_x000D_
4 wait 1 or 2 minutes_x000D_
   _x000D_
_x000D_
_x000D_
    Expected Behavior_x000D_
_x000D_
Puts into login screen without ANY ERROR _x000D_
_x000D_
    Platform_x000D_
_x000D_
   markdown_x000D_
  Device model: Samsung Galaxy a71 128GB_x000D_
  CPU architecture: aarch64_x000D_
  Android version: Android 11_x000D_
  PojavLauncher version: crocus 298 163206f34 v3 openjdk (Debug apk with virgl)_x000D_
   _x000D_
_x000D_
_x000D_
    Anything else _x000D_
_x000D_
Side note: I launched minecraft in 1 8 9 recently</t>
  </si>
  <si>
    <t>Anuken-Mindustry-6620</t>
  </si>
  <si>
    <t>Ores in images imported as maps is buggy</t>
  </si>
  <si>
    <t xml:space="preserve">  Platform  :  Android iOS Mac Windows Linux _x000D_
Win10_x000D_
  Build  :  The build number under the title in the main menu  Required   LATEST  IS NOT A VERSION  I NEED THE EXACT BUILD NUMBER OF YOUR GAME  _x000D_
135_x000D_
  Issue  :  Explain your issue in detail  _x000D_
Importing images as maps is a little buggy with ores _x000D_
_x000D_
https:  user images githubusercontent com 94794129 156858196 38cd7a4b c429 4e17 96f7 4e9ebfb59911 mp4_x000D_
_x000D_
_x000D_
_x000D_
  Steps to reproduce  :  How you happened across the issue  and what exactly you did to make the bug happen  _x000D_
Import a map that has ores _x000D_
_x000D_
  Link(s) to mod(s) used  :  The mod repositories or zip files that are related to the issue  if applicable  _x000D_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Not exactly a save file but map file _x000D_
 Bug Report zip (https:  github com Anuken Mindustry files 8189372 Bug Report zip)_x000D_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</si>
  <si>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TeamNewPipe-NewPipe-legacy-87</t>
  </si>
  <si>
    <t>newpipe legacy does crash when started</t>
  </si>
  <si>
    <t>maityamit-Tracky-Track-your-goals-or-targets-155</t>
  </si>
  <si>
    <t>Share button on Archive Frag will not work when there is no Archive Target</t>
  </si>
  <si>
    <t xml:space="preserve">    Contact Details
maityamit308 gmail com
    What happened 
Share button on Archive Frag will not work when there is no Archive Target  _x000D_
When Archive Goal is empty   the app crash now
    Relevant log output
   shell
E AndroidRuntime: FATAL EXCEPTION: main_x000D_
    Process: achivementtrackerbyamit example achivetracker  PID: 2455_x000D_
    java lang NullPointerException: Attempt to invoke virtual method  int android graphics Bitmap getWidth()  on a null object reference_x000D_
        at android graphics Bitmap createBitmap(Bitmap java:843)_x000D_
        at achivementtrackerbyamit example achivetracker archive goal ArchiveGoalFragment screenShot(ArchiveGoalFragment java:106)_x000D_
        at achivementtrackerbyamit example achivetracker archive goal ArchiveGoalFragment access 000(ArchiveGoalFragment java:42)_x000D_
        at achivementtrackerbyamit example achivetracker archive goal ArchiveGoalFragment 1 onClick(ArchiveGoalFragment java:94)
    Code of Conduct
   X  I agree to follow this project s Code of Conduct</t>
  </si>
  <si>
    <t>OpenSeizureDetector-Android_Pebble_SD-40</t>
  </si>
  <si>
    <t>Crash from graph drawing library</t>
  </si>
  <si>
    <t xml:space="preserve">I dropped the phone on the table (from 10 15 cm) and got this crash    _x000D_
_x000D_
BR  Andrej_x000D_
_x000D_
_x000D_
      UCE HANDLER Library_x000D_
      by Rohit Surwase_x000D_
_x000D_
      DEVICE INFO_x000D_
Brand: Nokia_x000D_
Device: TTG sprout_x000D_
Model: Nokia XR20_x000D_
Manufacturer: HMD Global_x000D_
Product: TheThing 00EEA_x000D_
SDK: 30_x000D_
Release: 11_x000D_
_x000D_
      APP INFO_x000D_
Version: 4 0 0q_x000D_
Installed On: 2022 03 04 09:29:42_x000D_
Updated On: 2022 03 04 09:29:42_x000D_
Current Date: 2022 03 04 09:46:07_x000D_
_x000D_
      ERROR LOG_x000D_
java lang NullPointerException: Attempt to invoke virtual method  boolean android graphics Bitmap isMutable()  on a null object reference_x000D_
at android graphics Canvas  init (Canvas java:116)_x000D_
at com github mikephil charting charts Chart onDraw(Chart java:393)_x000D_
at com github mikephil charting charts BarLineChartBase onDraw(BarLineChartBase java:149)_x000D_
at android view View draw(View java:22366)_x000D_
at android view View updateDisplayListIfDirty(View java:21242)_x000D_
at android view View draw(View java:22097)_x000D_
at android view ViewGroup drawChild(ViewGroup java:4516)_x000D_
at android view ViewGroup dispatchDraw(ViewGroup java:4277)_x000D_
at android view View updateDisplayListIfDirty(View java:21233)_x000D_
at android view View draw(View java:22097)_x000D_
at android view ViewGroup drawChild(ViewGroup java:4516)_x000D_
at android view ViewGroup dispatchDraw(ViewGroup java:4277)_x000D_
at android view View updateDisplayListIfDirty(View java:21233)_x000D_
at android view View draw(View java:22097)_x000D_
at android view ViewGroup drawChild(ViewGroup java:4516)_x000D_
at android view ViewGroup dispatchDraw(ViewGroup java:4277)_x000D_
at android view View updateDisplayListIfDirty(View java:21233)_x000D_
at android view View draw(View java:22097)_x000D_
at android view ViewGroup drawChild(ViewGroup java:4516)_x000D_
at android view ViewGroup dispatchDraw(ViewGroup java:4277)_x000D_
at android view View updateDisplayListIfDirty(View java:21233)_x000D_
at android view View draw(View java:22097)_x000D_
at android view ViewGroup drawChild(ViewGroup java:4516)_x000D_
at android view ViewGroup dispatchDraw(ViewGroup java:4277)_x000D_
at android view View updateDisplayListIfDirty(View java:21233)_x000D_
at android view View draw(View java:22097)_x000D_
at android view ViewGroup drawChild(ViewGroup java:4516)_x000D_
at android view ViewGroup dispatchDraw(ViewGroup java:4277)_x000D_
at android view View draw(View java:22369)_x000D_
at com android internal policy DecorView draw(DecorView java:806)_x000D_
at android view View updateDisplayListIfDirty(View java:21242)_x000D_
at android view ThreadedRenderer updateViewTreeDisplayList(ThreadedRenderer java:559)_x000D_
at android view ThreadedRenderer updateRootDisplayList(ThreadedRenderer java:565)_x000D_
at android view ThreadedRenderer draw(ThreadedRenderer java:642)_x000D_
at android view ViewRootImpl draw(ViewRootImpl java:4108)_x000D_
at android view ViewRootImpl performDraw(ViewRootImpl java:3835)_x000D_
at android view ViewRootImpl performTraversals(ViewRootImpl java:3106)_x000D_
at android view ViewRootImpl doTraversal(ViewRootImpl java:1950)_x000D_
at android view ViewRootImpl TraversalRunnable run(ViewRootImpl java:8186)_x000D_
at android view Choreographer CallbackRecord run(Choreographer java:1056)_x000D_
at android view Choreographer doCallbacks(Choreographer java:878)_x000D_
at android view Choreographer doFrame(Choreographer java:811)_x000D_
at android view Choreographer FrameDisplayEventReceiver run(Choreographer java:1041)_x000D_
at android os Handler handleCallback(Handler java:938)_x000D_
at android os Handler dispatchMessage(Handler java:99)_x000D_
at android os Looper loop(Looper java:223)_x000D_
at android app ActivityThread main(ActivityThread java:7721)_x000D_
at java lang reflect Method invoke(Native Method)_x000D_
at com android internal os RuntimeInit MethodAndArgsCaller run(RuntimeInit java:592)_x000D_
at com android internal os ZygoteInit main(ZygoteInit java:952)_x000D_
_x000D_
_x000D_
_x000D_
      END OF LOG      </t>
  </si>
  <si>
    <t>PojavLauncherTeam-PojavLauncher-2842</t>
  </si>
  <si>
    <t xml:space="preserve">[BUG]1.12.2 forge crash w/ virgl </t>
  </si>
  <si>
    <t xml:space="preserve">    Describe the bug
When joining single player world its crashing 
    The log file and images videos
  Screenshot 2022 03 04 11 08 03 80 (https:  user images githubusercontent com 96860972 156692073 e6153988 1f12 4c84 ab0d cc048281faae jpg)_x000D_
    Steps To Reproduce
   markdown
Start pojav launcher_x000D_
Play 1 12 2 forge_x000D_
Joining world_x000D_
FORCE CLOSE
    Expected Behavior
Any solution for this
    Platform
   markdown
  Device model: oppo a12 3 32G_x000D_
  CPU architecture: aarch64_x000D_
  Android version: 9_x000D_
  PojavLauncher version: Latest build
    Anything else 
Pls solution i want to play no cubes w  shader</t>
  </si>
  <si>
    <t>jellyfin-jellyfin-androidtv-1488</t>
  </si>
  <si>
    <t>Crash when Live TV playback starts</t>
  </si>
  <si>
    <t xml:space="preserve">    Describe the bug
Recently started to crash when I try to view any channel in Live TV  Picture and sound is present just for an instant then the app crashes  I got beta version from playstore and guess it occured now with the latest beta release _x000D_
_x000D_
Didn t change any settings what I can remember  updated my jellyfin server aswell to see if that would fix it  without success _x000D_
_x000D_
1  Go to Live TV_x000D_
2  Play any channel_x000D_
    Logs
 No response 
    FFmpeg logs
 No response 
    Media info of the file
 No response 
    Application version
0 13 0 beta 4
    Device information
Nvidia Shield TV 2019
    Android version
Android 11
    Jellyfin server version
10 8 0</t>
  </si>
  <si>
    <t>mercadopago-px-android-2667</t>
  </si>
  <si>
    <t xml:space="preserve">[FIX] Error screen when payment method not found </t>
  </si>
  <si>
    <t xml:space="preserve">   Motivaci n y Contexto_x000D_
We have a lot of crashes due to backend checkout response missing available payment methods but offering them as enabled payment methods ( PXN 3375 (https:  mercadolibre atlassian net browse PXN 3375)   PXN 3376 (https:  mercadolibre atlassian net browse PXN 3376) and  PXN 3377 (https:  mercadolibre atlassian net browse PXN 3377))_x000D_
_x000D_
   Descripci n_x000D_
To avoid crashes and give the user a better experience we are now handling exceptions on start payment  showing the user a non recoverable error activity _x000D_
_x000D_
   C mo probarlo_x000D_
Sometimes an API that our backend is calling fails and then backend is sending us wrong available payment methods as in  this mock (https:  run mocky io v3 5bee5195 2aa0 4271 8330 458d76fef1e3) _x000D_
_x000D_
   Screenshots_x000D_
 img src  https:  user images githubusercontent com 83668088 156642068 9c66ad57 8992 4948 bffa ba66354a7c6b gif  width 250   _x000D_
_x000D_
</t>
  </si>
  <si>
    <t>androidx-media-49</t>
  </si>
  <si>
    <t>IllegalStateException in MediaController.notifyAccepted()</t>
  </si>
  <si>
    <t xml:space="preserve">Hi  I noticed the following crash report in Crashlytics for my app _x000D_
_x000D_
   Example stack trace (copied from Firebase Crashlytics)_x000D_
_x000D_
   _x000D_
Fatal Exception: java lang IllegalStateException_x000D_
       at androidx media3 common util Assertions checkState(Assertions java:85)_x000D_
       at androidx media3 session MediaController notifyAccepted(MediaController java:1800)_x000D_
       at androidx media3 session MediaControllerImplLegacy updateControllerInfo(MediaControllerImplLegacy java:1357)_x000D_
       at androidx media3 session MediaControllerImplLegacy handleNewLegacyParameters(MediaControllerImplLegacy java:1318)_x000D_
       at androidx media3 session MediaControllerImplLegacy access 500(MediaControllerImplLegacy java:109)_x000D_
       at androidx media3 session MediaControllerImplLegacy ControllerCompatCallback onSessionReady(MediaControllerImplLegacy java:1559)_x000D_
       at android support v4 media session MediaControllerCompat Callback MessageHandler handleMessage(MediaControllerCompat java:1121)_x000D_
       at android os Handler dispatchMessage(Handler java:107)_x000D_
       at android os Looper loop(Looper java:214)_x000D_
       at android app ActivityThread main(ActivityThread java:7386)_x000D_
       at java lang reflect Method invoke(Method java)_x000D_
       at com android internal os RuntimeInit MethodAndArgsCaller run(RuntimeInit java:492)_x000D_
       at com android internal os ZygoteInit main(ZygoteInit java:980)_x000D_
   _x000D_
_x000D_
   Where the exception thrown_x000D_
_x000D_
https:  github com androidx media blob f92ae23dd83533bce93c7a937f2fa40ce810f207 libraries session src main java androidx media3 session MediaController java L1800_x000D_
_x000D_
   Library versions_x000D_
   androidx media3 : Built from source (Commit ID: f92ae23dd83533bce93c7a937f2fa40ce810f207)_x000D_
   androidx media : v1 5 0_x000D_
_x000D_
   Affected Android versions  (obtained info from Firebase Crashlytics)_x000D_
_x000D_
  Android 8  9  10  11 and 12 _x000D_
(older OS might also be affected)_x000D_
_x000D_
   How to reproduce the issue _x000D_
_x000D_
Sorry  I have not succeeded in reproducing the issue yet  I ll post details if I can get any info </t>
  </si>
  <si>
    <t>MuntashirAkon-AppManager-690</t>
  </si>
  <si>
    <t xml:space="preserve">App Crashing a lot </t>
  </si>
  <si>
    <t xml:space="preserve">    
Your issue will be closed without warning if you don t check at least two items 
   x  I know what my device  OS and App Manager versions are
   x  I know how to take logs
   x  I know how to reproduce the issue which may not be specific to my device
  Describe the bug  
A clear and concise description of what the bug is 
App Crashes very often when i try to unlock or do something  
  To Reproduce  
Steps to reproduce the behaviour:
1  Go to  Open app manager and unlock 
2  Click on    Trying type my pass    
3  Scroll down to    Carshed    
4  See error
  Expected behavior  
I was supposed to enter app manager and do my things 
  Screenshots  
If applicable  add screenshots to help explain your problem 
None 
  Crash logs  
If applicable  add crash logs to help us figure out the problem 
java lang RuntimeException: Parcel android os Parcel 6ebe5bd: Unmarshalling unknown type code 6881399 at offset 1612
    at android os Parcel readValue(Parcel java:3253)
    at android os Parcel readSparseArrayInternal(Parcel java:3650)
    at android os Parcel readSparseArray(Parcel java:2792)
    at android os Parcel readValue(Parcel java:3231)
    at android os Parcel readArrayMapInternal(Parcel java:3567)
    at android os BaseBundle initializeFromParcelLocked(BaseBundle java:292)
    at android os BaseBundle unparcel(BaseBundle java:236)
    at android os Bundle getSparseParcelableArray(Bundle java:1079)
    at com android internal policy PhoneWindow restoreHierarchyState(PhoneWindow java:2181)
    at android app Activity onRestoreInstanceState(Activity java:1679)
    at android app Activity performRestoreInstanceState(Activity java:1632)
    at android app Instrumentation callActivityOnRestoreInstanceState(Instrumentation java:1356)
    at android app ActivityThread handleStartActivity(ActivityThread java:3473)
    at android app servertransaction TransactionExecutor performLifecycleSequence(TransactionExecutor java:221)
    at android app servertransaction TransactionExecutor cycleToPath(TransactionExecutor java:201)
    at android app servertransaction TransactionExecutor executeLifecycleState(TransactionExecutor java:173)
    at android app servertransaction TransactionExecutor execute(TransactionExecutor java:97)
    at android app ActivityThread H handleMessage(ActivityThread java:2066)
    at android os Handler dispatchMessage(Handler java:106)
    at android os Looper loop(Looper java:223)
    at android app ActivityThread main(ActivityThread java:7664)
    at java lang reflect Method invoke(Native Method)
    at com android internal os RuntimeInit MethodAndArgsCaller run(RuntimeInit java:592)
    at com android internal os ZygoteInit main(ZygoteInit java:947)
Device Info:
App version: 3 0 0 alpha01
App version code: 400
Android build version: eng crossg 20220120 182016
Android release version: 11
Android SDK version: 30
Android build ID: lineage treble a64 bvS userdebug 11 RQ3A 211001 001 eng crossg 20220120 182016 test keys
Device brand: Phh
Device manufacturer: unknown
Device name: phhgsi a64 ab
Device model: Phh Treble vanilla
Device product name: lineage treble a64 bvS
Device hardware name: exynos7904
ABIs:  armeabi v7a  armeabi 
ABIs (32bit):  armeabi v7a  armeabi 
ABIs (64bit):   
System language: en GB
In App Language: auto
Mode: auto 
   Guess im doxing myself   
  Additional context  
Add any other context about the problem here 
One  thing this was not happening before   But when i gave the app internet access it started crashing      </t>
  </si>
  <si>
    <t>Azure-azure-iot-sdk-java-1478</t>
  </si>
  <si>
    <t>[Bug Report] Memory Leak on client unregistration with MultiplexingClient</t>
  </si>
  <si>
    <t xml:space="preserve">  Context_x000D_
_x000D_
    OS and version used:   Docker container based on alpine 3 15 (eclipse temurin:17 alpine)_x000D_
    Java runtime used:   openjdk version  17 0 1  2021 10 19_x000D_
    SDK version used:   iot device client:1 34 2_x000D_
_x000D_
   Description of the issue_x000D_
I work on a gateway for iot devices  Devices are connected to my server application and the application is connected to the IoT Hub through a multiplexed AMQP connection (MultiplexingClient) _x000D_
Each time a device connects to the gateway  a DeviceClient is created and registered to the MultiplexingClient _x000D_
Each time a device disconnects  the DeviceClient is unregisters from the MultiplexingClient _x000D_
To send command to the devices through the IoT Hub I subscribe to deviceMethod _x000D_
_x000D_
Connections  disconnection  device to cloud and cloud to device messages  everything seems ok but  during stress test with a lot of connections disconnections the application crash after some hours because of excessive memory consumption (the application container is managed by k8s and we set limits) _x000D_
_x000D_
We also noticed than the more the application run  the more the response time to cloud to device request is bad: about 90 ms after the beginning more than 10s after few hours _x000D_
_x000D_
I profiled the application and it seems there is a memory leak  All objects are not released after device disconnection  and specifically objects on DeviceMethod _x000D_
_x000D_
I supposed there s a link with my increasingly bad response times _x000D_
_x000D_
Below the capture of the profiler after few hours:_x000D_
  749 living DeviceClient objects is more or less the actual devices count connected at this moment_x000D_
  15347 living objects for DeviceClientConfig and DeviceMethod callbacks seems the origin of my issues _x000D_
_x000D_
  image (https:  user images githubusercontent com 766129 156567355 a59221f8 00b3 4ced 8638 4f4998b7a41d png)_x000D_
_x000D_
_x000D_
Thanks for your support _x000D_
_x000D_
   Code sample exhibiting the issue_x000D_
_x000D_
Here  a extract of my kotlin code where I register unregister devices_x000D_
_x000D_
   _x000D_
    val deviceConnections   mutableMapOf String  DeviceClient ()_x000D_
    private val multiplexingClient   MultiplexingClient(hubProperties hostName  IotHubClientProtocol AMQPS)_x000D_
_x000D_
    init  _x000D_
        this multiplexingClient open()_x000D_
     _x000D_
    _x000D_
       _x000D_
       Open connection tu IoT Hub and reference it _x000D_
       _x000D_
    fun openConnection(_x000D_
        deviceId: String _x000D_
        key: String _x000D_
        onConnectionClose: ()    Unit_x000D_
    )  _x000D_
           check if there s already a connection_x000D_
        if (this deviceConnections deviceId     null)  _x000D_
            try  _x000D_
                val deviceConnectionString   this connectionStringUtils deviceConnectionString(deviceId  key)_x000D_
                val client   DeviceClient(deviceConnectionString  IotHubClientProtocol AMQPS)_x000D_
_x000D_
                client registerConnectionStatusChangeCallback(_x000D_
                      status  reason  throwable      _x000D_
                        this logger info(_x000D_
                             connection status has changed to       reason:     throwable:     _x000D_
                            status _x000D_
                            reason _x000D_
                            throwable_x000D_
                        )_x000D_
_x000D_
                        if (status    IotHubConnectionStatus CONNECTED)  _x000D_
                            this deviceConnections deviceId    client_x000D_
                            this listen(deviceId)_x000D_
                         _x000D_
_x000D_
                        if (status    IotHubConnectionStatus DISCONNECTED)  _x000D_
                            this deviceConnections remove(deviceId)_x000D_
                            onConnectionClose()_x000D_
                         _x000D_
                      _x000D_
                    null_x000D_
                )_x000D_
_x000D_
                this multiplexingClient registerDeviceClient(client)_x000D_
              catch (e: Exception)  _x000D_
                this logger warn( cannot connect device   deviceId  to iot hub:   e message  )_x000D_
             _x000D_
          else  _x000D_
            this logger warn( connection already opened for      deviceId)_x000D_
         _x000D_
     _x000D_
_x000D_
       _x000D_
       Close connection to IoT Hub and remove reference _x000D_
       _x000D_
    fun closeConnection(_x000D_
        deviceId: String_x000D_
    )  _x000D_
        val client   this deviceConnections deviceId _x000D_
        if (client    null)  _x000D_
            this multiplexingClient unregisterDeviceClient(client)_x000D_
            this logger info( close iot hub connection for device   deviceId  )_x000D_
          else  _x000D_
            this logger warn( device   deviceId  was not connected to iot hub )_x000D_
         _x000D_
     _x000D_
    _x000D_
       _x000D_
      _x000D_
       _x000D_
	fun listen(_x000D_
        deviceId: String_x000D_
    )  _x000D_
        this getClientForDeviceAndApply(_x000D_
            deviceId _x000D_
              deviceClient   _x000D_
                try  _x000D_
                    deviceClient subscribeToDeviceMethod(_x000D_
                          methodName  methodData      _x000D_
                            this logger debug(  deviceId   direct method call received for method  methodName )_x000D_
                            when (methodName)  _x000D_
                                 meth0     doSomething0()_x000D_
                                 meth1     doSomething1()_x000D_
                                else    this logger warn(  deviceId   unexpected direct method name  methodName )_x000D_
                             _x000D_
                            this logger debug(  deviceId   send direct method response )_x000D_
                            return subscribeToDeviceMethod DeviceMethodData(200   OK )_x000D_
                          _x000D_
                        null _x000D_
                          responseStatus      _x000D_
                            this logger debug(  deviceId   iot hub device method callback status:  responseStatus )_x000D_
                          _x000D_
                        null _x000D_
                    )_x000D_
                  catch (e: Exception)  _x000D_
                    this logger error(  deviceId   direct method handling error:   e message  )_x000D_
                 _x000D_
              _x000D_
             _x000D_
                this logger warn( no iot hub device client found for id  deviceId )_x000D_
              _x000D_
        )_x000D_
     _x000D_
_x000D_
   _x000D_
_x000D_
</t>
  </si>
  <si>
    <t>jMonkeyEngine-jmonkeyengine-1778</t>
  </si>
  <si>
    <t>X Error of failed request: BadWindow (invalid Window parameter) with LWJGL3</t>
  </si>
  <si>
    <t xml:space="preserve">_x000D_
    Platform_x000D_
_x000D_
Linux Mint x64  with Mesa (v20) graphics driver_x000D_
_x000D_
    JDK_x000D_
_x000D_
AdoptOpenJDK 16_x000D_
_x000D_
_x000D_
    Bug description_x000D_
_x000D_
When I open a swing window (e g  JME error dialog) along with the GLFW window  the moment I close the swing window it crashes the app with the below error  I am using LWJGL 3 _x000D_
_x000D_
_x000D_
    Stacktrace or crash log output_x000D_
_x000D_
   shell_x000D_
X Error of failed request:  BadWindow (invalid Window parameter)_x000D_
  Major opcode of failed request:  20 (X GetProperty)_x000D_
  Resource id in failed request:  0x4e0005b_x000D_
  Serial number of failed request:  1332_x000D_
  Current serial number in output stream:  1332_x000D_
   _x000D_
</t>
  </si>
  <si>
    <t>enviroCar-enviroCar-app-887</t>
  </si>
  <si>
    <t>Android 12 support</t>
  </si>
  <si>
    <t xml:space="preserve">  Description  _x000D_
Up to now  the app does not support Android 12 very well  Several issues have been reported regarding the Bluetooth permission management and OBDII connections  _x000D_
_x000D_
As stated in the official  Android documentation (https:  developer android com guide topics connectivity bluetooth permissions)  Bluetooth permission management has changed for Android 12 devices  This has already been addressed by a5b531e8  However  the solution does not work perfectly  so that abrupt app crashes still occur _x000D_
_x000D_
In addition  these crashes are not logged and therefore do not appear inthe crash report which makes it hard to retrace the failure _x000D_
_x000D_
  Branches  _x000D_
master  develop_x000D_
_x000D_
  How to reproduce  _x000D_
If you have had the enviroCar app already in use on a device with Android version  12 and upgrade to Android 12  you will notice the first crash when  trying to open the Bluetooth selection screen  A helpful workaround for this issue is a clean installation (remove app from your deivce and install again from Google Playstore) in combination with manually revoking enviroCar app permissions from you device settings  By doing so  new permissions will be queried the first time you will visit the Bluetooth selection screen  However  when you try to start recording  the app still crashes abrupt _x000D_
_x000D_
  How to fix  _x000D_
Refine Bluetooth permission management according to Android 12 requirements and add a more sensible logging that takes into account abrupt crashes caused by permission issues _x000D_
_x000D_
Special thanks to  ChrissW R1 who extensively tested the behavior on an Android 12 device and reported the issues _x000D_
</t>
  </si>
  <si>
    <t>PojavLauncherTeam-PojavLauncher-2837</t>
  </si>
  <si>
    <t>[BUG] Sodium 1.18.1 crash</t>
  </si>
  <si>
    <t xml:space="preserve">    Describe the bug
A few days ago  I start playing pojavlauncher with sodium mod and it crash  This bug was so annoying that I can t use any mods to increase fps in game but only lithum and phosphor mod instead
    The log file and images videos
I can t find a lastest log  but I have a crash report  Here it is_x000D_
_x000D_
_x000D_
     Minecraft Crash Report     _x000D_
   Hi  I m Minecraft  and I m a crashaholic _x000D_
_x000D_
Time: 3 1 22  12:17 AM_x000D_
Description: Unexpected error_x000D_
_x000D_
java lang NullPointerException: Cannot read field  field 3911  because  this field 4015 field 1724  is null_x000D_
	at net minecraft class 757 method 3188(class 757 java:1004)_x000D_
	at net minecraft class 757 method 3192(class 757 java:811)_x000D_
	at net minecraft class 310 method 1523(class 310 java:1117)_x000D_
	at net minecraft class 310 method 1514(class 310 java:733)_x000D_
	at net minecraft client main Main main(Main java:238)_x000D_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fabricmc loader impl game minecraft MinecraftGameProvider launch(MinecraftGameProvider java:416)_x000D_
	at net fabricmc loader impl launch knot Knot launch(Knot java:77)_x000D_
	at net fabricmc loader impl launch knot KnotClient main(KnotClient java:23)_x000D_
_x000D_
_x000D_
A detailed walkthrough of the error  its code path and all known details is as follows:_x000D_
                                                                                       _x000D_
_x000D_
   Head   _x000D_
Thread: Render thread_x000D_
Stacktrace:_x000D_
	at net minecraft class 757 method 3188(class 757 java:1004)_x000D_
_x000D_
   Affected level   _x000D_
Details:_x000D_
	All players: 0 total    _x000D_
	Chunk stats: 1024  437_x000D_
	Level dimension: minecraft:overworld_x000D_
	Level spawn location: World: (0  60 0)  Section: (at 0 4 0 in 0  4 0  chunk contains blocks 0  64 0 to 15 319 15)  Region: (0 0  contains chunks 0 0 to 31 31  blocks 0  64 0 to 511 319 511)_x000D_
	Level time: 99 game time  1 day time_x000D_
	Server brand:   ERROR   NullPointerException: Cannot invoke  net minecraft class 746 method 3135()  because  this field 3729 field 1724  is null_x000D_
	Server type: Integrated singleplayer server_x000D_
Stacktrace:_x000D_
	at net minecraft class 638 method 8538(class 638 java:408)_x000D_
	at net minecraft class 310 method 1587(class 310 java:2402)_x000D_
	at net minecraft class 310 method 1514(class 310 java:757)_x000D_
	at net minecraft client main Main main(Main java:238)_x000D_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fabricmc loader impl game minecraft MinecraftGameProvider launch(MinecraftGameProvider java:416)_x000D_
	at net fabricmc loader impl launch knot Knot launch(Knot java:77)_x000D_
	at net fabricmc loader impl launch knot KnotClient main(KnotClient java:23)_x000D_
_x000D_
   Last reload   _x000D_
Details:_x000D_
	Reload number: 1_x000D_
	Reload reason: initial_x000D_
	Finished: Yes_x000D_
	Packs: Default  Fabric Mods_x000D_
_x000D_
   System Details   _x000D_
Details:_x000D_
	Minecraft Version: 1 18 1_x000D_
	Minecraft Version ID: 1 18 1_x000D_
	Operating System: Linux (aarch64) version Android 11_x000D_
	Java Version: 17 internal  N A_x000D_
	Java VM Version: OpenJDK 64 Bit Server VM (mixed mode)  Oracle Corporation_x000D_
	Memory: 217733008 bytes (207 MiB)   1113587712 bytes (1062 MiB) up to 1113587712 bytes (1062 MiB)_x000D_
	CPUs: 8_x000D_
	Processor Vendor: 0x41_x000D_
	Processor Name: _x000D_
	Identifier: 0x41 Family 8 Model 0xd0a Stepping r0x1p0_x000D_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6294 02_x000D_
	Virtual memory used (MB): 6002 14_x000D_
	Swap memory total (MB): 2560 00_x000D_
	Swap memory used (MB): 1232 26_x000D_
	JVM Flags: 2 total   Xms1061M  Xmx1061M_x000D_
	Fabric Mods: _x000D_
		appleskin: AppleSkin 2 3 0 mc1 18 1_x000D_
		autofish: Autofish 0 9 4_x000D_
		cloth basic math: cloth basic math 0 6 0_x000D_
		cloth config: Cloth Config v6 6 1 48_x000D_
		com electronwill night config core: core 3 6 3_x000D_
		com electronwill night config toml: toml 3 6 3_x000D_
		com google code findbugs jsr305: jsr305 3 0 2_x000D_
		create: Create mc1 18 1 v0 4d 441_x000D_
		dripstone fluid lib: Dripstone Fluid Lib 1 1 1_x000D_
		effective: Effective 1 1_x000D_
		fabric: Fabric API 0 46 4 1 18_x000D_
		fabric api base: Fabric API Base 0 4 2 d7c144a865_x000D_
		fabric api lookup api v1: Fabric API Lookup API (v1) 1 5 3 d7c144a865_x000D_
		fabric biome api v1: Fabric Biome API (v1) 6 0 2 d7c144a865_x000D_
		fabric blockrenderlayer v1: Fabric BlockRenderLayer Registration (v1) 1 1 10 3ac43d9565_x000D_
		fabric command api v1: Fabric Command API (v1) 1 1 7 d7c144a865_x000D_
		fabric commands v0: Fabric Commands (v0) 0 2 6 b4f4f6cd65_x000D_
		fabric containers v0: Fabric Containers (v0) 0 1 19 d7c144a865_x000D_
		fabric content registries v0: Fabric Content Registries (v0) 0 4 8 d7c144a865_x000D_
		fabric crash report info v1: Fabric Crash Report Info (v1) 0 1 9 3ac43d9565_x000D_
		fabric data generation api v1: Fabric Data Generation API (v1) 1 0 0 3fec4ad9c8_x000D_
		fabric dimensions v1: Fabric Dimensions API (v1) 2 1 10 a1d9bbf565_x000D_
		fabric entity events v1: Fabric Entity Events (v1) 1 4 6 d7c144a865_x000D_
		fabric events interaction v0: Fabric Events Interaction (v0) 0 4 17 d7c144a865_x000D_
		fabric events lifecycle v0: Fabric Events Lifecycle (v0) 0 2 9 d7c144a865_x000D_
		fabric game rule api v1: Fabric Game Rule API (v1) 1 0 11 d7c144a865_x000D_
		fabric item api v1: Fabric Item API (v1) 1 3 1 691a79b565_x000D_
		fabric item groups v0: Fabric Item Groups (v0) 0 3 6 3ac43d9565_x000D_
		fabric key binding api v1: Fabric Key Binding API (v1) 1 0 9 d7c144a865_x000D_
		fabric keybindings v0: Fabric Key Bindings (v0) 0 2 7 b4f4f6cd65_x000D_
		fabric lifecycle events v1: Fabric Lifecycle Events (v1) 1 4 13 713c266865_x000D_
		fabric loot tables v1: Fabric Loot Tables (v1) 1 0 9 d7c144a865_x000D_
		fabric mining level api v1: Fabric Mining Level API (v1) 1 0 6 d7c144a865_x000D_
		fabric mining levels v0: Fabric Mining Levels (v0) 0 1 11 b4f4f6cd65_x000D_
		fabric models v0: Fabric Models (v0) 0 3 4 d7c144a865_x000D_
		fabric networking api v1: Fabric Networking API (v1) 1 0 19 d7c144a865_x000D_
		fabric networking v0: Fabric Networking (v0) 0 3 6 b4f4f6cd65_x000D_
		fabric object builder api v1: Fabric Object Builder API (v1) 1 11 4 d7c144a865_x000D_
		fabric object builders v0: Fabric Object Builders (v0) 0 7 12 d7c144a865_x000D_
		fabric particles v1: Fabric Particles (v1) 0 2 10 526dc1ac65_x000D_
		fabric registry sync v0: Fabric Registry Sync (v0) 0 9 2 ad01bfbd65_x000D_
		fabric renderer api v1: Fabric Renderer API (v1) 0 4 11 b0b66fc365_x000D_
		fabric renderer indigo: Fabric Renderer   Indigo 0 4 15 6825030165_x000D_
		fabric renderer registries v1: Fabric Renderer Registries (v1) 3 2 10 b4f4f6cd65_x000D_
		fabric rendering data attachment v1: Fabric Rendering Data Attachment (v1) 0 3 5 d7c144a865_x000D_
		fabric rendering fluids v1: Fabric Rendering Fluids (v1) 0 1 19 3ac43d9565_x000D_
		fabric rendering v0: Fabric Rendering (v0) 1 1 12 b4f4f6cd65_x000D_
		fabric rendering v1: Fabric Rendering (v1) 1 10 6 713c266865_x000D_
		fabric resource conditions api v1: Fabric Resource Conditions API (v1) 1 0 2 d7c144a865_x000D_
		fabric resource loader v0: Fabric Resource Loader (v0) 0 4 14 713c266865_x000D_
		fabric screen api v1: Fabric Screen API (v1) 1 0 8 d7c144a865_x000D_
		fabric screen handler api v1: Fabric Screen Handler API (v1) 1 1 12 d7c144a865_x000D_
		fabric structure api v1: Fabric Structure API (v1) 2 1 3 d7c144a865_x000D_
		fabric tag extensions v0: Fabric Tag Extensions (v0) 1 2 8 d7c144a865_x000D_
		fabric textures v0: Fabric Textures (v0) 1 0 10 3ac43d9565_x000D_
		fabric tool attribute api v1: Fabric Tool Attribute API (v1) 1 3 8 fb3b57b465_x000D_
		fabric transfer api v1: Fabric Transfer API (v1) 1 5 9 d7c144a865_x000D_
		fabricloader: Fabric Loader 0 13 3_x000D_
		fake player api: Fake Player API 0 3 0_x000D_
		flywheel: Flywheel 1 18 0 6 1 24_x000D_
		forge tags: Forge Tags 2 0_x000D_
		forgeconfigapiport: Forge Config API Port 3 1 0_x000D_
		iris: Iris 1 2 0 pre_x000D_
		java: OpenJDK 64 Bit Server VM 17_x000D_
		milk: Milk Lib 0 1 6_x000D_
		minecraft: Minecraft 1 18 1_x000D_
		org anarres jcpp: jcpp 1 4 14_x000D_
		org joml joml: joml 1 10 2_x000D_
		org slf4j slf4j api: slf4j api 1 7 12_x000D_
		reach entity attributes: Reach Entity Attributes 2 1 1_x000D_
		registrate fabric: Registrate for Fabric MC1 18 1 1 0 7_x000D_
		sodium: Sodium 0 4 0 alpha6 build 14_x000D_
	Flywheel Backend: Off_x000D_
	Launched Version: 1 18 1_x000D_
	Backend library: LWJGL version 3 2 3 SNAPSHOT_x000D_
	Backend API: zink (Mali G52 MC2) GL version 4 6 (Compatibility Profile) Mesa 21 0 3 (git 0f92d7633e)  Collabora Ltd_x000D_
	Window size: 1080x486_x000D_
	GL Caps: Using framebuffer using OpenGL 3 2_x000D_
	GL debug messages: id 1  source API  type ERROR  severity HIGH  message  GL INVALID VALUE in glMapBufferRange(access has undefined bits set)  x 1_x000D_
	Using VBOs: Yes_x000D_
	Is Modded: Definitely  Client brand changed to  fabric   Server brand changed to  fabric _x000D_
	Type: Integrated Server (map client txt)_x000D_
	Graphics mode: fast_x000D_
	Resource Packs: Fabric Mods_x000D_
	Current Language: English (US)_x000D_
	CPU: 8x _x000D_
	Server Running: true_x000D_
	Player Count: 1   8   class 3222  Trollge321  1  l  ServerLevel New World    x 9 50  y  60 00  z 7 50  _x000D_
	Data Packs: vanilla  Fabric Mods
    Steps To Reproduce
   markdown
Step 1  Play fabric version of 1 18 1 with sodium mod_x000D_
Step 2  Start entering your created world_x000D_
Steo 3   Game crashed 
    Expected Behavior
I expected that I can play the world that I created with this mod
    Platform
   markdown
  Device model: Samsung galaxy a32_x000D_
  CPU architecture: arm64_x000D_
  Android version: 11_x000D_
  PojavLauncher version: crocus v3 openjdk (A current playstore version of pojavlauncher)
    Anything else 
 Nothing </t>
  </si>
  <si>
    <t>Anuken-Mindustry-6614</t>
  </si>
  <si>
    <t>Cannot read field "tags" because "this.lastSchematic" is null</t>
  </si>
  <si>
    <t xml:space="preserve">  Platform  : Windows 10_x000D_
_x000D_
  Build  : v135_x000D_
_x000D_
  Issue  : _x000D_
  image (https:  user images githubusercontent com 45698812 156479247 2dd995e5 3117 4470 a37d 78687dd74b92 png)_x000D_
_x000D_
_x000D_
_x000D_
  Steps to reproduce  : _x000D_
select a schematic on a tower defense server right before game over_x000D_
press the Save Schematic button after the map changes_x000D_
give your schematic a nice name_x000D_
press OK_x000D_
crash_x000D_
_x000D_
  Link(s) to mod(s) used  : ldb  override lib_x000D_
_x000D_
  Save file  : Please don t reap my soul D:_x000D_
_x000D_
  (Crash) logs  : _x000D_
Mindustry has crashed  How unfortunate _x000D_
Version: pre alpha build 135_x000D_
OS: Windows 10 x64 (amd64)_x000D_
Java Version: 16 0 1_x000D_
Mods: ldb:1 3 2  override lib:1 0 1_x000D_
_x000D_
java lang NullPointerException: Cannot read field  tags  because  this lastSchematic  is null_x000D_
	at mindustry input InputHandler lambda showSchematicSave 27(InputHandler java:626)_x000D_
	at mindustry core UI 2 lambda new 3(UI java:275)_x000D_
	at arc scene Element 9 changed(Element java:968)_x000D_
	at arc scene event ChangeListener handle(ChangeListener java:13)_x000D_
	at arc scene Element notify(Element java:162)_x000D_
	at arc scene Element fire(Element java:133)_x000D_
	at arc scene ui Button setChecked(Button java:106)_x000D_
	at arc scene ui Button 1 clicked(Button java:92)_x000D_
	at arc scene event ClickListener touchUp(ClickListener java:77)_x000D_
	at arc scene event InputListener handle(InputListener java:31)_x000D_
	at arc scene Scene touchUp(Scene java:366)_x000D_
	at arc input InputMultiplexer touchUp(InputMultiplexer java:136)_x000D_
	at arc input InputEventQueue drain(InputEventQueue java:71)_x000D_
	at arc backend sdl SdlInput update(SdlInput java:100)_x000D_
	at arc backend sdl SdlApplication loop(SdlApplication java:151)_x000D_
	at arc backend sdl SdlApplication  init (SdlApplication java:45)_x000D_
	at mindustry desktop DesktopLauncher main(DesktopLauncher java:39)_x000D_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</si>
  <si>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commons-app-apps-android-commons-4878</t>
  </si>
  <si>
    <t>[Bug]: The app keeps crashing</t>
  </si>
  <si>
    <t xml:space="preserve">    Summary_x000D_
_x000D_
The app keeps crashing if you change your apps interface language to Bangla (Bengali) _x000D_
_x000D_
    Steps to reproduce_x000D_
_x000D_
These are the steps to reproduce the possible issue _x000D_
1  Install Wikimedia Commons app on an Android device from Playstore _x000D_
2  Login to a Wikimedia account _x000D_
3  From settings  please select  App user interface language  as       (Bangla) (if not already set)_x000D_
4  Once the language is Bangla  try to upload a photo _x000D_
_x000D_
    Expected behaviour_x000D_
_x000D_
You can upload pictures _x000D_
_x000D_
    Actual behaviour_x000D_
_x000D_
The app crashes _x000D_
_x000D_
    Device name_x000D_
_x000D_
 No response _x000D_
_x000D_
    Android version_x000D_
_x000D_
Android 11_x000D_
_x000D_
    Commons app version_x000D_
_x000D_
3 1 1_x000D_
_x000D_
    Device logs_x000D_
_x000D_
 No response _x000D_
_x000D_
    Screen shots_x000D_
_x000D_
 No response _x000D_
_x000D_
    Would you like to work on the issue _x000D_
_x000D_
 No response </t>
  </si>
  <si>
    <t>inaturalist-iNaturalistAndroid-1190</t>
  </si>
  <si>
    <t>NullPointerException in ObservationEditor</t>
  </si>
  <si>
    <t xml:space="preserve">https:  console firebase google com u 1 project inaturalist ios crashlytics app android:org inaturalist android issues 332d75c787257bb81c04d2a531ed3b3e_x000D_
_x000D_
   _x000D_
Fatal Exception: java lang NullPointerException: Attempt to invoke virtual method  void android app Activity runOnUiThread(java lang Runnable)  on a null object reference_x000D_
       at org inaturalist android ObservationEditor 42 run(ObservationEditor java:3446)_x000D_
       at java lang Thread run(Thread java:764)_x000D_
   </t>
  </si>
  <si>
    <t>dedis-popstellar-853</t>
  </si>
  <si>
    <t>[BUG] [fe2-android]this is a new bug example</t>
  </si>
  <si>
    <t xml:space="preserve">    Description (Actual behavior)_x000D_
A clear and concise description of what the bug is _x000D_
If applicable  add screenshots (or GIFs) to help explain your problem _x000D_
_x000D_
    Expected behavior_x000D_
A clear and concise description of what you expected to happen _x000D_
_x000D_
    How to reproduce_x000D_
1  Go to      _x000D_
2  Click on       _x000D_
3  Scroll down to       _x000D_
4  See error (where )_x000D_
_x000D_
    Version   Environment_x000D_
This bug was reproduced on:_x000D_
  Commit:    hash    (make sure your working tree is clean and your commit is pushed to the repo)_x000D_
_x000D_
      Front ends:_x000D_
      Fe1 Web (please include browser s names   version)_x000D_
      Fe2 Android (please specify if phone or emulation  and Android version)_x000D_
      Not applicable_x000D_
_x000D_
      Back ends:_x000D_
      Be1 Go_x000D_
      Be2 Scala_x000D_
      Not applicable_x000D_
_x000D_
      Environment (as applicable):_x000D_
   Device:  e g  Pixel 5 emulator on Mac _x000D_
   OS:  e g  Android 11  Windows 10 _x000D_
   Browser  e g  Chrome 57 x_x000D_
_x000D_
    Workaround_x000D_
If there s a way to work around the problem and still use the PoP system  explain how one can do it _x000D_
_x000D_
    Impact_x000D_
Indicate here  based on your understanding  what the possible consequences of this bug are _x000D_
 e g  The app becomes unusable  as data gets permanently corrupted and it crashes on every subsequent start _x000D_
_x000D_
    Possible root cause_x000D_
If you have any idea or hypothesis as to what is the root cause of this bug  feel free to elaborate here _x000D_
</t>
  </si>
  <si>
    <t>TeamNewPipe-NewPipe-7977</t>
  </si>
  <si>
    <t>Fix error notification on KitKat</t>
  </si>
  <si>
    <t xml:space="preserve">     What is it _x000D_
   x  Bugfix (user facing)_x000D_
      Feature (user facing)_x000D_
      Codebase improvement (dev facing)_x000D_
      Meta improvement to the project (dev facing)_x000D_
_x000D_
     Description of the changes in your PR_x000D_
The app was crashing when trying to display an error notification on KitKat  this PR fixes that by using a non vector drawable on API   Lollipop  I also replaced  NotificationManager  with  NotificationManagerCompat   just like in the player s  NotificationUtil  _x000D_
_x000D_
The crash was encountered while testing other thing and is about  Bad notification posted from package     Couldn t create icon     _x000D_
_x000D_
     APK testing _x000D_
     Use a new  meaningfully named branch  The name is used as a suffix for the app ID to allow installing and testing multiple versions of NewPipe  e g   commentfix   if your PR implements a bugfix for comments  (No names like  patch 0  and  feature 1  )     _x000D_
     Remove the following line if you directly link the APK created by the CI pipeline  Directly linking is preferred if you need to let users test    _x000D_
The APK can be found by going to the  Checks  tab below the title  On the left pane  click on  CI   scroll down to  artifacts  and click  app  to download the zip file which contains the debug APK of this PR _x000D_
_x000D_
     Due diligence_x000D_
   x  I read the  contribution guidelines (https:  github com TeamNewPipe NewPipe blob HEAD  github CONTRIBUTING md) _x000D_
</t>
  </si>
  <si>
    <t>PojavLauncherTeam-PojavLauncher-2835</t>
  </si>
  <si>
    <t>Fabric won't work with 1.18+</t>
  </si>
  <si>
    <t xml:space="preserve">    Describe the bug
I tried adding Fabric to 1 18  but it crashes  the crash is the same one versions would get without the Asset Patcher  but the asset patcher wont work with fabric  Anything I can do 
    The log file and images videos
 latestlog txt (https:  github com PojavLauncherTeam PojavLauncher files 8169313 latestlog txt)_x000D_
    Steps To Reproduce
   markdown
1  Start Pojav_x000D_
2  Add the runtime manager your architecture needs_x000D_
3  Click the renderer it needs_x000D_
4  Use 1 18  and use the asset patcher so it works_x000D_
5  Install fabric and launch
    Expected Behavior
I expect Fabric to launch
    Platform
   markdown
  Device model: _x000D_
  CPU architecture: _x000D_
  Android version: _x000D_
  PojavLauncher version:
    Anything else 
 No response </t>
  </si>
  <si>
    <t>itsaky-AndroidIDE-109</t>
  </si>
  <si>
    <t>Terminal and Gradle error in 32 bit devices</t>
  </si>
  <si>
    <t xml:space="preserve">AndroidIDE crash report_x000D_
Manufacturer: samsung_x000D_
Device: SM A107F_x000D_
App version: 2 0 beta (200)_x000D_
_x000D_
 Stacktrace: _x000D_
java io FileNotFoundException:  data data com itsaky androidide files sysroot bin less (Permission denied)_x000D_
	at java io FileOutputStream open0(Native Method)_x000D_
	at java io FileOutputStream open(FileOutputStream java:308)_x000D_
	at java io FileOutputStream  init (FileOutputStream java:238)_x000D_
	at java io FileOutputStream  init (FileOutputStream java:180)_x000D_
	at com itsaky androidide utils BootstrapInstaller lambda doInstall 0(BootstrapInstaller java:121)_x000D_
 Caused by: java lang RuntimeException: java io FileNotFoundException:  data data com itsaky androidide files sysroot bin less (Permission denied)_x000D_
	at com itsaky androidide utils BootstrapInstaller lambda doInstall 0(BootstrapInstaller java:165)_x000D_
	at com itsaky androidide utils BootstrapInstaller  ExternalSyntheticLambda0 run(Unknown Source:4)_x000D_
	at java util concurrent CompletableFuture AsyncRun run(CompletableFuture java:1661)_x000D_
 Caused by: java util concurrent CompletionException: java lang RuntimeException: java io FileNotFoundException:  data data com itsaky androidide files sysroot bin less (Permission denied)_x000D_
	at java util concurrent CompletableFuture encodeThrowable(CompletableFuture java:276)_x000D_
	at java util concurrent CompletableFuture completeThrowable(CompletableFuture java:282)_x000D_
	at java util concurrent CompletableFuture AsyncRun run(CompletableFuture java:1664)_x000D_
	at java util concurrent CompletableFuture AsyncRun exec(CompletableFuture java:1653)_x000D_
	at java util concurrent ForkJoinTask doExec(ForkJoinTask java:285)_x000D_
	at java util concurrent ForkJoinPool WorkQueue runTask(ForkJoinPool java:1152)_x000D_
	at java util concurrent ForkJoinPool scan(ForkJoinPool java:1990)_x000D_
	at java util concurrent ForkJoinPool runWorker(ForkJoinPool java:1938)_x000D_
	at java util concurrent ForkJoinWorkerThread run(ForkJoinWorkerThread java:157)_x000D_
</t>
  </si>
  <si>
    <t>PojavLauncherTeam-PojavLauncher-2833</t>
  </si>
  <si>
    <t>[BUG] Optifine is incompatable with other mods</t>
  </si>
  <si>
    <t xml:space="preserve">    Describe the bug
A same bug as original thread _x000D_
Here the link to original thread_x000D_
                                                _x000D_
https:  github com PojavLauncherTeam PojavLauncher issues 2825
    The log file and images videos
          beggining with launcher debug_x000D_
Info: Launcher version: crocus v3 openjdk_x000D_
Info: LWJGL3 directory:  jsr305 jar  lwjgl glfw classes jar  lwjgl jemalloc jar  lwjgl openal jar  lwjgl opengl jar  lwjgl stb jar  lwjgl tinyfd jar  lwjgl jar  version _x000D_
Architecture: arm64_x000D_
Info: Custom Java arguments:   Xms768m  Xmx2048m _x000D_
Info: Selected Minecraft version: fabric loader 0 13 3 1 18 1 (1 18 1)_x000D_
Added custom env: TMPDIR  data user 0 net kdt pojavlaunch cache_x000D_
Added custom env: AWTSTUB WIDTH 840_x000D_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jre17 arm64 20210825 release tar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runtimes jre17 arm64 20210825 release tar xz lib jli: data user 0 net kdt pojavlaunch runtimes jre17 arm64 20210825 release tar xz lib: system lib64: vendor lib64: vendor lib64 hw: data app    6WhcC0Eo2XFRT 1EdTy6g   net kdt pojavlaunch Ir9RoHR404ZuxTOBHJ6cDQ   lib arm64_x000D_
Added custom env: POJAV RENDERER vulkan zink_x000D_
Added custom env: LIBGL ES 3_x000D_
Added custom env: MESA LOADER DRIVER OVERRIDE zink_x000D_
Added custom env: MESA GLSL VERSION OVERRIDE 460_x000D_
Added custom env: JAVA HOME  data user 0 net kdt pojavlaunch runtimes jre17 arm64 20210825 release tar xz_x000D_
Added custom env: MESA GL VERSION OVERRIDE 4 6_x000D_
Added custom env: allow glsl extension directive midshader true_x000D_
Added custom env: REGAL GL RENDERER Regal_x000D_
Added custom env: AWTSTUB HEIGHT 378_x000D_
          beginning of main_x000D_
I jrelog  (25214): dlopen libOSMesa 8 so success_x000D_
I jrelog  (25214): dlopen  data user 0 net kdt pojavlaunch runtimes jre17 arm64 20210825 release tar xz lib libjli so success_x000D_
I jrelog  (25214): dlopen libjvm so failed: dlopen failed: library  libjvm so  not found_x000D_
I jrelog  (25214): dlopen  data user 0 net kdt pojavlaunch runtimes jre17 arm64 20210825 release tar xz lib server libjvm so success_x000D_
I jrelog  (25214): dlopen  data user 0 net kdt pojavlaunch runtimes jre17 arm64 20210825 release tar xz lib libverify so success_x000D_
I jrelog  (25214): dlopen  data user 0 net kdt pojavlaunch runtimes jre17 arm64 20210825 release tar xz lib libjava so success_x000D_
I jrelog  (25214): dlopen  data user 0 net kdt pojavlaunch runtimes jre17 arm64 20210825 release tar xz lib libnet so success_x000D_
I jrelog  (25214): dlopen  data user 0 net kdt pojavlaunch runtimes jre17 arm64 20210825 release tar xz lib libnio so success_x000D_
I jrelog  (25214): dlopen  data user 0 net kdt pojavlaunch runtimes jre17 arm64 20210825 release tar xz lib libawt so success_x000D_
I jrelog  (25214): dlopen  data user 0 net kdt pojavlaunch runtimes jre17 arm64 20210825 release tar xz lib libawt headless so success_x000D_
I jrelog  (25214): dlopen  data user 0 net kdt pojavlaunch runtimes jre17 arm64 20210825 release tar xz lib libfreetype so success_x000D_
I jrelog  (25214): dlopen  data user 0 net kdt pojavlaunch runtimes jre17 arm64 20210825 release tar xz lib libfontmanager so success_x000D_
I jrelog  (25214): dlopen  data user 0 net kdt pojavlaunch runtimes jre17 arm64 20210825 release tar xz lib libawt so success_x000D_
I jrelog  (25214): dlopen  data user 0 net kdt pojavlaunch runtimes jre17 arm64 20210825 release tar xz lib server libjvm so success_x000D_
I jrelog  (25214): dlopen  data user 0 net kdt pojavlaunch runtimes jre17 arm64 20210825 release tar xz lib server libjsig so success_x000D_
I jrelog  (25214): dlopen  data user 0 net kdt pojavlaunch runtimes jre17 arm64 20210825 release tar xz lib libattach so success_x000D_
I jrelog  (25214): dlopen  data user 0 net kdt pojavlaunch runtimes jre17 arm64 20210825 release tar xz lib libjavajpeg so success_x000D_
I jrelog  (25214): dlopen  data user 0 net kdt pojavlaunch runtimes jre17 arm64 20210825 release tar xz lib libsyslookup so success_x000D_
I jrelog  (25214): dlopen  data user 0 net kdt pojavlaunch runtimes jre17 arm64 20210825 release tar xz lib libfontmanager so success_x000D_
I jrelog  (25214): dlopen  data user 0 net kdt pojavlaunch runtimes jre17 arm64 20210825 release tar xz lib libj2pcsc so success_x000D_
I jrelog  (25214): dlopen  data user 0 net kdt pojavlaunch runtimes jre17 arm64 20210825 release tar xz lib libmanagement so success_x000D_
I jrelog  (25214): dlopen  data user 0 net kdt pojavlaunch runtimes jre17 arm64 20210825 release tar xz lib libjaas so success_x000D_
I jrelog  (25214): dlopen  data user 0 net kdt pojavlaunch runtimes jre17 arm64 20210825 release tar xz lib libfreetype so success_x000D_
I jrelog  (25214): dlopen  data user 0 net kdt pojavlaunch runtimes jre17 arm64 20210825 release tar xz lib libjli so success_x000D_
I jrelog  (25214): dlopen  data user 0 net kdt pojavlaunch runtimes jre17 arm64 20210825 release tar xz lib libjimage so success_x000D_
I jrelog  (25214): dlopen  data user 0 net kdt pojavlaunch runtimes jre17 arm64 20210825 release tar xz lib libjsig so success_x000D_
I jrelog  (25214): dlopen  data user 0 net kdt pojavlaunch runtimes jre17 arm64 20210825 release tar xz lib libj2gss so success_x000D_
I jrelog  (25214): dlopen  data user 0 net kdt pojavlaunch runtimes jre17 arm64 20210825 release tar xz lib libnet so success_x000D_
I jrelog  (25214): dlopen  data user 0 net kdt pojavlaunch runtimes jre17 arm64 20210825 release tar xz lib libjava so success_x000D_
I jrelog  (25214): dlopen  data user 0 net kdt pojavlaunch runtimes jre17 arm64 20210825 release tar xz lib libnio so success_x000D_
I jrelog  (25214): dlopen  data user 0 net kdt pojavlaunch runtimes jre17 arm64 20210825 release tar xz lib libprefs so success_x000D_
I jrelog  (25214): dlopen  data user 0 net kdt pojavlaunch runtimes jre17 arm64 20210825 release tar xz lib libmanagement ext so success_x000D_
I jrelog  (25214): dlopen  data user 0 net kdt pojavlaunch runtimes jre17 arm64 20210825 release tar xz lib libj2pkcs11 so success_x000D_
I jrelog  (25214): dlopen  data user 0 net kdt pojavlaunch runtimes jre17 arm64 20210825 release tar xz lib libdt socket so success_x000D_
I jrelog  (25214): dlopen  data user 0 net kdt pojavlaunch runtimes jre17 arm64 20210825 release tar xz lib libjdwp so success_x000D_
I jrelog  (25214): dlopen  data user 0 net kdt pojavlaunch runtimes jre17 arm64 20210825 release tar xz lib libzip so success_x000D_
I jrelog  (25214): dlopen  data user 0 net kdt pojavlaunch runtimes jre17 arm64 20210825 release tar xz lib libsctp so success_x000D_
I jrelog  (25214): dlopen  data user 0 net kdt pojavlaunch runtimes jre17 arm64 20210825 release tar xz lib libmlib image so success_x000D_
I jrelog  (25214): dlopen  data user 0 net kdt pojavlaunch runtimes jre17 arm64 20210825 release tar xz lib libextnet so success_x000D_
I jrelog  (25214): dlopen  data user 0 net kdt pojavlaunch runtimes jre17 arm64 20210825 release tar xz lib libinstrument so success_x000D_
I jrelog  (25214): dlopen  data user 0 net kdt pojavlaunch runtimes jre17 arm64 20210825 release tar xz lib libmanagement agent so success_x000D_
I jrelog  (25214): dlopen  data user 0 net kdt pojavlaunch runtimes jre17 arm64 20210825 release tar xz lib librmi so success_x000D_
I jrelog  (25214): dlopen  data user 0 net kdt pojavlaunch runtimes jre17 arm64 20210825 release tar xz lib liblcms so success_x000D_
I jrelog  (25214): dlopen  data user 0 net kdt pojavlaunch runtimes jre17 arm64 20210825 release tar xz lib libjawt so success_x000D_
I jrelog  (25214): dlopen  data user 0 net kdt pojavlaunch runtimes jre17 arm64 20210825 release tar xz lib libverify so success_x000D_
I jrelog  (25214): dlopen  data user 0 net kdt pojavlaunch runtimes jre17 arm64 20210825 release tar xz lib libawt headless so success_x000D_
I jrelog  (25214): dlopen  data user 0 net kdt pojavlaunch runtimes jre17 arm64 20210825 release tar xz lib libawt xawt so success_x000D_
I jrelog  (25214): dlopen  data app    6WhcC0Eo2XFRT 1EdTy6g   net kdt pojavlaunch Ir9RoHR404ZuxTOBHJ6cDQ   lib arm64 libopenal so success_x000D_
I jrelog  (25214): Done processing args_x000D_
I jrelog  (25214): Found JLI lib_x000D_
I jrelog  (25214): Calling JLI Launch_x000D_
 02:57:02   INFO   FabricLoader GameProvider : Loading Minecraft 1 18 1 with Fabric Loader 0 13 3_x000D_
 02:57:05   main INFO : Loading Minecraft 1 18 1 with Fabric Loader 0 13 3_x000D_
 02:57:06   main INFO : Loading 75 mods:_x000D_
	  appleskin 2 3 0 mc1 18 1_x000D_
	  autofish 0 9 4_x000D_
	  cardinal components base 4 1 3 via puzzleslib_x000D_
	  cardinal components entity 4 1 3 via puzzleslib_x000D_
	  cloth basic math 0 6 0 via cloth config_x000D_
	  cloth config 6 2 57_x000D_
	  com electronwill night config core 3 6 3 via forgeconfigapiport_x000D_
	  com electronwill night config toml 3 6 3 via forgeconfigapiport_x000D_
	  com google code findbugs jsr305 3 0 2 via create_x000D_
	  create mc1 18 1 v0 4d 440_x000D_
	  dripstone fluid lib 1 1 1 via milk_x000D_
	  enchantinginfuser 3 1 1_x000D_
	  fabric 0 46 4 1 18_x000D_
	  fabric api base 0 4 2 d7c144a865 via fabric_x000D_
	  fabric api lookup api v1 1 5 3 d7c144a865 via fabric_x000D_
	  fabric biome api v1 6 0 2 d7c144a865 via fabric_x000D_
	  fabric blockrenderlayer v1 1 1 10 3ac43d9565 via fabric_x000D_
	  fabric command api v1 1 1 7 d7c144a865 via fabric_x000D_
	  fabric commands v0 0 2 6 b4f4f6cd65 via fabric_x000D_
	  fabric containers v0 0 1 19 d7c144a865 via fabric_x000D_
	  fabric content registries v0 0 4 8 d7c144a865 via fabric_x000D_
	  fabric crash report info v1 0 1 9 3ac43d9565 via fabric_x000D_
	  fabric data generation api v1 1 0 0 3fec4ad9c8 via registrate fabric_x000D_
	  fabric dimensions v1 2 1 10 a1d9bbf565 via fabric_x000D_
	  fabric entity events v1 1 4 6 d7c144a865 via fabric_x000D_
	  fabric events interaction v0 0 4 17 d7c144a865 via fabric_x000D_
	  fabric events lifecycle v0 0 2 9 d7c144a865 via fabric_x000D_
	  fabric game rule api v1 1 0 11 d7c144a865 via fabric_x000D_
	  fabric item api v1 1 3 1 691a79b565 via fabric_x000D_
	  fabric item groups v0 0 3 6 3ac43d9565 via fabric_x000D_
	  fabric key binding api v1 1 0 9 d7c144a865 via fabric_x000D_
	  fabric keybindings v0 0 2 7 b4f4f6cd65 via fabric_x000D_
	  fabric lifecycle events v1 1 4 13 713c266865 via fabric_x000D_
	  fabric loot tables v1 1 0 9 d7c144a865 via fabric_x000D_
	  fabric mining level api v1 1 0 6 d7c144a865 via fabric_x000D_
	  fabric mining levels v0 0 1 11 b4f4f6cd65 via fabric_x000D_
	  fabric models v0 0 3 4 d7c144a865 via fabric_x000D_
	  fabric networking api v1 1 0 19 d7c144a865 via fabric_x000D_
	  fabric networking v0 0 3 6 b4f4f6cd65 via fabric_x000D_
	  fabric object builder api v1 1 11 4 d7c144a865 via_x000D_
 fabric_x000D_
	  fabric object builders v0 0 7 12 d7c144a865 via fabric_x000D_
	  fabric particles v1 0 2 10 526dc1ac65 via fabric_x000D_
	  fabric registry sync v0 0 9 2 ad01bfbd65 via fabric_x000D_
	  fabric renderer api v1 0 4 11 b0b66fc365 via fabric_x000D_
	  fabric renderer indigo 0 4 15 6825030165 via fabric_x000D_
	  fabric renderer registries v1 3 2 10 b4f4f6cd65 via fabric_x000D_
	  fabric rendering data attachment v1 0 3 5 d7c144a865 via fabric_x000D_
	  fabric rendering fluids v1 0 1 19 3ac43d9565 via fabric_x000D_
	  fabric rendering v0 1 1 12 b4f4f6cd65 via fabric_x000D_
	  fabric rendering v1 1 10 6 713c266865 via fabric_x000D_
	  fabric resource conditions api v1 1 0 2 d7c144a865 via fabric_x000D_
	  fabric resource loader v0 0 4 14 713c266865 via fabric_x000D_
	  fabric screen api v1 1 0 8 d7c144a865 via fabric_x000D_
	  fabric screen handler api v1 1 1 12 d7c144a865 via fabric_x000D_
	  fabric structure api v1 2 1 3 d7c144a865 via fabric_x000D_
	  fabric tag extensions v0 1 2 8 d7c144a865 via fabric_x000D_
	  fabric textures v0 1 0 10 3ac43d9565 via fabric_x000D_
	  fabric tool attribute api v1 1 3 8 fb3b57b465 via fabric_x000D_
	  fabric transfer api v1 1 5 9 d7c144a865 via fabric_x000D_
	  fabricloader 0 13 3_x000D_
	  fake player api 0 3 0 via create_x000D_
	  flywheel 1 18 0 6 1 24 via create_x000D_
	  forge tags 2 0 via create_x000D_
	  forgeconfigapiport 3 1 1_x000D_
	  interactic 0 1 6 1 18_x000D_
	  inventoryhud 3 4 2_x000D_
	  java 17_x000D_
	  milk 0 1 6 via create_x000D_
	  minecraft 1 18 1_x000D_
	  mm 2 3 via optifabric_x000D_
	  modmenu 3 0 1_x000D_
	  optifabric 1 12 10_x000D_
	  puzzleslib 3 2 1_x000D_
	  reach entity attributes 2 1 1 via create_x000D_
	  registrate fabric MC1 18 1 1 0 7 via create_x000D_
 02:57:06   main WARN : Mod  create  (mc1 18 1 v0 4d 440) does not respect SemVer   comparison support is limited _x000D_
 02:57:06   main WARN : Mod  registrate fabric  (MC1 18 1 1 0 7) does not respect SemVer   comparison support is limited _x000D_
 02:57:06   main INFO : SpongePowered MIXIN Subsystem Version 0 8 5 Source file: storage emulated 0 Android data net kdt pojavlaunch files  minecraft libraries net fabricmc sponge mixin 0 11 2 mixin 0 8 5 sponge mixin 0 11 2 mixin 0 8 5 jar Service Knot Fabric Env CLIENT_x000D_
 02:57:07   main INFO : Compatibility level set to JAVA 17_x000D_
Found existing patched optifine jar  using that_x000D_
 02:57:16   main ERROR : Minecraft has crashed _x000D_
net fabricmc loader impl FormattedException: java lang ExceptionInInitializerError_x000D_
	at net fabricmc loader impl game minecraft MinecraftGameProvider launch(MinecraftGameProvider java:418)   fabric loader 0 13 3 jar:  _x000D_
	at net fabricmc loader impl launch knot Knot launch(Knot java:77)  fabric loader 0 13 3 jar:  _x000D_
	at net fabricmc loader impl launch knot KnotClient main(KnotClient java:23)  fabric loader 0 13 3 jar:  _x000D_
Caused by: java lang ExceptionInInitializerError_x000D_
	at net minecraft class 128 method 568(class 128 java:173)   client intermediary jar:  _x000D_
	at net minecraft class 128 method 24305(class 128 java:343)   client intermediary jar:  _x000D_
	at net minecraft client main Main main(Main java:153)   fabric loader 0 13 3 1 18 1 jar: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fabricmc loader impl game minecraft MinecraftGameProvider launch(MinecraftGameProvider java:416)   fabric loader 0 13 3 jar:  _x000D_
	    2 more_x000D_
Caused by: java lang RuntimeException: Mixin transformation of net minecraft class 761 failed_x000D_
	at net fabricmc loader impl launch knot KnotClassDelegate getPostMixinClassByteArray(KnotClassDelegate java:252)   fabric loader 0 13 3 jar:  _x000D_
	at net fabricmc loader impl launch knot KnotClassDelegate tryLoadClass(KnotClassDelegate java:150)   fabric loader 0 13 3 jar:  _x000D_
	at net fabricmc loader impl launch knot KnotClassLoader loadClass(KnotClassLoader java:155)   fabric loader 0 13 3 jar:  _x000D_
	at java lang ClassLoader loadClass(ClassLoader java:520)    :  _x000D_
	at net optifine reflect Reflector  clinit (Reflector java:284)   Optifine mapped jar:  _x000D_
	at net minecraft class 128 method 568(class 128 java:173)   client intermediary jar:  _x000D_
	at net minecraft class 128 method 2_x000D_
4305(class 128 java:343)   client intermediary jar:  _x000D_
	at net minecraft client main Main main(Main java:153)   fabric loader 0 13 3 1 18 1 jar: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fabricmc loader impl game minecraft MinecraftGameProvider launch(MinecraftGameProvider java:416)   fabric loader 0 13 3 jar:  _x000D_
	    2 more_x000D_
Caused by: org spongepowered asm mixin transformer throwables MixinTransformerError: An unexpected critical error was encountered_x000D_
	at org spongepowered asm mixin transformer MixinProcessor applyMixins(MixinProcessor java:392)   sponge mixin 0 11 2 mixin 0 8 5 jar:0 11 2 mixin 0 8 5 _x000D_
	at org spongepowered asm mixin transformer MixinTransformer transformClass(MixinTransformer java:234)   sponge mixin 0 11 2 mixin 0 8 5 jar:0 11 2 mixin 0 8 5 _x000D_
	at org spongepowered asm mixin transformer MixinTransformer transformClassBytes(MixinTransformer java:202)   sponge mixin 0 11 2 mixin 0 8 5 jar:0 11 2 mixin 0 8 5 _x000D_
	at net fabricmc loader impl launch knot KnotClassDelegate getPostMixinClassByteArray(KnotClassDelegate java:247)   fabric loader 0 13 3 jar:  _x000D_
	at net fabricmc loader impl launch knot KnotClassDelegate tryLoadClass(KnotClassDelegate java:150)   fabric loader 0 13 3 jar:  _x000D_
	at net fabricmc loader impl launch knot KnotClassLoader loadClass(KnotClassLoader java:155)   fabric loader 0 13 3 jar:  _x000D_
	at java lang ClassLoader loadClass(ClassLoader java:520)    :  _x000D_
	at net optifine reflect Reflector  clinit (Reflector java:284)   Optifine mapped jar:  _x000D_
	at net minecraft class 128 method 568(class 128 java:173)   client intermediary jar:  _x000D_
	at net minecraft class 128 method 24305(class 128 java:343)   client intermediary jar:  _x000D_
	at net minecraft client main Main main(Main java:153)   fabric loader_x000D_
 0 13 3 1 18 1 jar: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fabricmc loader impl game minecraft MinecraftGameProvider launch(MinecraftGameProvider java:416)   fabric loader 0 13 3 jar:  _x000D_
	    2 more_x000D_
Caused by: org spongepowered asm mixin injection throwables InjectionError: Critical injection failure: Variable modifier method wrapBlockEntityIterator(Ljava util Iterator )Ljava util Iterator  in create lib mixins client json:LevelRendererMixin from mod create failed injection check  (0 1) succeeded  Scanned 1 target(s)  Using refmap create refmap json Messages:    At( STORE  implicit Iterator) has invalid IMPLICIT discriminator for opcode 1151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1159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1172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1196 in net minecraft class 761::method 22710(Lnet minecraft class 4587 FJZLnet minecraft class 4184 Lnet minecraft class 757 Lnet minecraft class 76_x000D_
5 Lnet minecraft class 1159 )V: Found 2 candidate variables but exactly 1 is required   At( STORE  implicit Iterator) has invalid IMPLICIT discriminator for opcode 1200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1232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1255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1273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1279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1312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1320 _x000D_
in net minecraft class 761::method 22710(Lnet minecraft class 4587 FJZLnet minecraft class 4184 Lnet minecraft class 757 Lnet minecraft class 765 Lnet minecraft class 1159 )V: Found 3 candidate variables but exactly 1 is required   At( STORE  implicit Iterator) has invalid IMPLICIT discriminator for opcode 1328 in net minecraft class 761::method 22710(Lnet minecraft class 4587 FJZLnet minecraft class 4184 Lnet minecraft class 757 Lnet minecraft class 765 Lnet minecraft class 1159 )V: Found 3 candidate variables but exactly 1 is required   At( STORE  implicit Iterator) has invalid IMPLICIT discriminator for opcode 1341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1365 in net minecraft class 761::method 22710(Lnet minecraft class 4587 FJZLnet minecraft class 4184 Lnet minecraft class 757 Lnet minecraft class 765 Lnet minecraft class 1159 )V: Found 2 candidate variables but exactly 1 is required  _x000D_
	at org spongepowered asm mixin injection struct InjectionInfo postInject(InjectionInfo java:468)   sponge mixin 0 11 2 mixin 0 8 5 jar:0 11 2 mixin 0 8 5 _x000D_
	at org spongepowered asm mixin transformer MixinTargetContext applyInjections(MixinTargetContext java:1385)   sponge mixin 0 11 2 mixin 0 8 5 jar:0 11 2 mixin 0 8 5 _x000D_
	at org spongepowered asm mixin transformer MixinApplicatorStandard applyInjections(MixinApplicatorStandard java:1052)   sponge mixin 0 11 2 mixin 0 8 5 jar:0 11 2 mixin 0 8 5 _x000D_
	at org spongepowered asm mixin transformer MixinApplicatorStandard applyMixin(MixinApplicatorStandard java:400)   sponge mixin 0 11 2 mixin 0 8 5 jar:0 11 2 mixin 0 8 5 _x000D_
	at org spongepowered asm mixin transformer MixinApplicatorStandard apply(MixinApplicatorStandard java:325)   sponge mixin 0 11 2 mixin 0 8 5 jar:0 11 2 mixin 0 8 5 _x000D_
	at org spongepowered asm mixin transfo_x000D_
rmer TargetClassContext apply(TargetClassContext java:421)   sponge mixin 0 11 2 mixin 0 8 5 jar:0 11 2 mixin 0 8 5 _x000D_
	at org spongepowered asm mixin transformer TargetClassContext applyMixins(TargetClassContext java:403)   sponge mixin 0 11 2 mixin 0 8 5 jar:0 11 2 mixin 0 8 5 _x000D_
	at org spongepowered asm mixin transformer MixinProcessor applyMixins(MixinProcessor java:363)   sponge mixin 0 11 2 mixin 0 8 5 jar:0 11 2 mixin 0 8 5 _x000D_
	at org spongepowered asm mixin transformer MixinTransformer transformClass(MixinTransformer java:234)   sponge mixin 0 11 2 mixin 0 8 5 jar:0 11 2 mixin 0 8 5 _x000D_
	at org spongepowered asm mixin transformer MixinTransformer transformClassBytes(MixinTransformer java:202)   sponge mixin 0 11 2 mixin 0 8 5 jar:0 11 2 mixin 0 8 5 _x000D_
	at net fabricmc loader impl launch knot KnotClassDelegate getPostMixinClassByteArray(KnotClassDelegate java:247)   fabric loader 0 13 3 jar:  _x000D_
	at net fabricmc loader impl launch knot KnotClassDelegate tryLoadClass(KnotClassDelegate java:150)   fabric loader 0 13 3 jar:  _x000D_
	at net fabricmc loader impl launch knot KnotClassLoader loadClass(KnotClassLoader java:155)   fabric loader 0 13 3 jar:  _x000D_
	at java lang ClassLoader loadClass(ClassLoader java:520)    :  _x000D_
	at net optifine reflect Reflector  clinit (Reflector java:284)   Optifine mapped jar:  _x000D_
	at net minecraft class 128 method 568(class 128 java:173)   client intermediary jar:  _x000D_
	at net minecraft class 128 method 24305(class 128 java:343)   client intermediary jar:  _x000D_
	at net minecraft client main Main main(Main java:153)   fabric loader 0 13 3 1 18 1 jar: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fabricmc loader impl game minecraft MinecraftGameProvider launch(MinecraftGameProvider java:416)   fabric loader 0_x000D_
 13 3 jar:  _x000D_
	    2 more_x000D_
FORTIFY: pthread mutex lock called on a destroyed mutex (0x76eb074350)_x000D_
process killed with signal 6 code 0xffffffff addr 0x28210000627e_x000D_
          beginning of crash
    Steps To Reproduce
   markdown
The same step as the original threat  click link on  anything else  section to see how to 
    Expected Behavior
I expected the game to launch
    Platform
   markdown
  Device model: Samsung galaxy a32_x000D_
  CPU architecture: arm64 (not aarch64)_x000D_
  Android version: 11_x000D_
  PojavLauncher version: crocus v3 openjdk (A playstore version) and  A version with virglrenderer 
    Anything else 
Original thread : https:  github com PojavLauncherTeam PojavLauncher issues 2825_x000D_
</t>
  </si>
  <si>
    <t>PojavLauncherTeam-PojavLauncher-2832</t>
  </si>
  <si>
    <t>[BUG] java.lang.NullPointerException: Cannot invoke "java.lang.Integer.intValue()" because the return value of "java.util.Map.get(Object)" is null</t>
  </si>
  <si>
    <t xml:space="preserve">    Describe the bug
Lunching 1 18 with mods and it shows this error in the latest txt file after its crash:_x000D_
_x000D_
   _x000D_
java lang NullPointerException: Cannot invoke  java lang Integer intValue()  because the return value of  java util Map get(Object)  is null_x000D_
	at Not Enough Crashes deobfuscated stack trace (1 17 1 build 65)    :  _x000D_
	at org lwjgl glfw GLFW glfwGetWindowAttrib(GLFW java:949)   lwjgl glfw classes jar:  _x000D_
	at dynamicfps DynamicFPSMod checkForRender(DynamicFPSMod java:68)   dynamic fps 2 1 0 jar:  _x000D_
	at net minecraft client render GameRenderer handler zgb000 onRender(GameRenderer:1516)    :  _x000D_
	at net minecraft client render GameRenderer render(GameRenderer)    :  _x000D_
	at net minecraft client MinecraftClient render(MinecraftClient:1117)    :  _x000D_
	at net minecraft client MinecraftClient run(MinecraftClient:733)    :  _x000D_
	at net minecraft client main Main main(Main:238)  client intermediary jar: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fabricmc loader impl game minecraft MinecraftGameProvider launch(MinecraftGameProvider java:608)  fabric loader 0 12 12 jar:  _x000D_
	at net fabricmc loader impl launch knot Knot launch(Knot java:77)  fabric loader 0 12 12 jar:  _x000D_
	at net fabricmc loader impl launch knot KnotClient main(KnotClient java:23)  fabric loader 0 12 12 jar:  _x000D_
    The log file and images videos
 latestlog txt (https:  github com PojavLauncherTeam PojavLauncher files 8166002 latestlog txt)_x000D_
    Steps To Reproduce
   markdown
idk
    Expected Behavior
For my game to launch 
    Platform
   markdown
  Device model: R96 14268 67 0_x000D_
  CPU architecture: x86 64_x000D_
  Android version: 11_x000D_
  PojavLauncher version: crocus v3 openjdk
    Anything else 
I WOULD add my MODS  zip file in here but I keep getting this error  :(_x000D_
_x000D_
  image (https:  user images githubusercontent com 65428515 156281276 d2e18e61 8ea3 4969 bf4e 13b41a01061e png)_x000D_
</t>
  </si>
  <si>
    <t>PojavLauncherTeam-PojavLauncher-2831</t>
  </si>
  <si>
    <t>Unexpected Crash whilst Loading Mods</t>
  </si>
  <si>
    <t xml:space="preserve">    Describe the bug
When I put certain mods into the mods folder of forge  it causes the  Game Exited  crash  This is running the latest version of Pojav and I do not know the origin of this issue  The mod works for windows   pc users  but causes a crash issue when loaded as a mod with forge on pojavlauncher 
    The log file and images videos
 crash 2022 03 02 01 13 46 client txt (https:  github com PojavLauncherTeam PojavLauncher files 8166030 crash 2022 03 02 01 13 46 client txt)_x000D_
    Steps To Reproduce
   markdown
1  Start the Launcher  Run Forge for 1 12 2_x000D_
2  Open your choice file explorer and install the mod: https:  github com TechAle gsplusplus into the forge mods folder_x000D_
3  Click play for forge 1 12 2
    Expected Behavior
Produces  Game Exited  Crash Issue 
    Platform
   markdown
  Device model: samsung phone_x000D_
  PojavLauncher version: latest google play release
    Anything else 
 No response </t>
  </si>
  <si>
    <t>microsoft-accessibility-insights-for-android-service-150</t>
  </si>
  <si>
    <t>Unable to run Android Service "WorkManager is not initialized properly"</t>
  </si>
  <si>
    <t xml:space="preserve">   Describe the bug_x000D_
     A clear and concise description of what the bug is     _x000D_
Got a fatal exception when trying to run Accessibility Insights for Android service:  WorkManager is not initialized properly _x000D_
_x000D_
  To Reproduce  _x000D_
Steps to reproduce the behavior:_x000D_
_x000D_
1  Open the AI for Android Service on Android Studio_x000D_
2  Run app (Shift   F10)_x000D_
3  Wait until the app gets installed in the emulator_x000D_
4  Open the Settings app in the emulator _x000D_
5  Scroll down and select Accessibility_x000D_
6  Select  Accessibility Insights for Android Service  under Downloaded services_x000D_
7  Toggle on Use service to enable the service_x000D_
8  Select Allow on the resulting dialog to grant the necessary permissions_x000D_
9  The service crashes_x000D_
_x000D_
   Expected behavior_x000D_
_x000D_
     A clear and concise description of what you expected to happen     _x000D_
An  Exposing sensitive info during casting recording  dialog should appear  And the app should start running after hitting the button  Start now _x000D_
_x000D_
   Screenshots_x000D_
_x000D_
 img width  229  alt  image  src  https:  user images githubusercontent com 32908302 156272787 2b731d1e 4a5f 45eb 9260 a870545b58ee png  _x000D_
_x000D_
   Additional context_x000D_
Using the latest released version of the service (v2 0 0) worked  _x000D_
The problem was introduced in the last few months after that _x000D_
     Add any other context about the problem here     _x000D_
</t>
  </si>
  <si>
    <t>therealsujitk-android-vtop-chennai-18</t>
  </si>
  <si>
    <t>Opening courses for 2021 batch crashes the app</t>
  </si>
  <si>
    <t xml:space="preserve">   Bug Report_x000D_
_x000D_
  Current Behavior  _x000D_
Opening the courses tab crashes the app for the 2021 batch _x000D_
_x000D_
  Steps to Reproduce  _x000D_
_x000D_
1  Go to Profile_x000D_
2  Click on Courses_x000D_
_x000D_
  Expected Behavior  _x000D_
All the courses should be displayed _x000D_
_x000D_
  Screenshots  _x000D_
_x000D_
https:  user images githubusercontent com 61612220 156221000 79728f68 6a6b 4313 90fa 7b54a5342e27 mp4_x000D_
_x000D_
  Environment  _x000D_
_x000D_
  Android version: 12_x000D_
  Device make   model:   _x000D_
_x000D_
  Possible Solution  _x000D_
I think its something to do with having different course codes_x000D_
_x000D_
  Additional Context  _x000D_
_x000D_
  WhatsApp Image 2022 03 01 at 11 14 11 PM (https:  user images githubusercontent com 61612220 156221040 1f10c9f0 dfc9 4365 a968 1fe0923eacc1 jpeg)_x000D_
</t>
  </si>
  <si>
    <t>CMPUT301W22T23-QR-Code-Game-45</t>
  </si>
  <si>
    <t>App Crash (Add qrcode)</t>
  </si>
  <si>
    <t xml:space="preserve">When you keep clicking the qrcode add button the app crashes </t>
  </si>
  <si>
    <t>material-components-material-components-android-2585</t>
  </si>
  <si>
    <t>[Slider] Not possible get place from crash</t>
  </si>
  <si>
    <t xml:space="preserve">  Description:   There is no way how to find place for crash  From stack trace there is no way to recognize component fragment view in app  We have Slider on around 40 places in app  Crash only in production and it s not possible recognize where it crashes  Log is from Firebase Crashlytics_x000D_
_x000D_
  Expected behavior:   Show in log application place where crash was forced_x000D_
_x000D_
  Source code:   _x000D_
   _x000D_
binding rangePrice apply  _x000D_
_x000D_
            values   listOf(0F  100F)_x000D_
            valueFrom   0F_x000D_
            valueTo   100F_x000D_
            _x000D_
            addOnChangeListener   slider  value  fromUser   _x000D_
                   do something_x000D_
             _x000D_
         _x000D_
   _x000D_
_x000D_
binding rangePrice values   listOfNotNull(0F 101F)_x000D_
   _x000D_
_x000D_
  Android API version:   Any_x000D_
_x000D_
  Material Library version:   implementation  com google android material:material:1 5 0 _x000D_
_x000D_
  Device:   Any_x000D_
_x000D_
_x000D_
   _x000D_
Fatal Exception: java lang IllegalStateException_x000D_
Slider value(117 0) must be greater or equal to valueFrom(0 0)  and lower or equal to valueTo(100 0)_x000D_
com google android material slider BaseSlider validateValues (BaseSlider java:549)_x000D_
com google android material slider BaseSlider validateConfigurationIfDirty (BaseSlider java:602)_x000D_
com google android material slider BaseSlider onDraw (BaseSlider java:1533)_x000D_
android view View draw (View java:22782)_x000D_
android view View updateDisplayListIfDirty (View java:21594)_x000D_
android view View draw (View java:22487)_x000D_
android view ViewGroup drawChild (ViewGroup java:4666)_x000D_
android view ViewGroup dispatchDraw (ViewGroup java:4400)_x000D_
androidx constraintlayout widget ConstraintLayout dispatchDraw (ConstraintLayout java:1994)_x000D_
android view View updateDisplayListIfDirty (View java:21585)_x000D_
android view View draw (View java:22487)_x000D_
android view ViewGroup drawChild (ViewGroup java:4666)_x000D_
android view ViewGroup dispatchDraw (ViewGroup java:4400)_x000D_
android view View updateDisplayListIfDirty (View java:21585)_x000D_
android view View draw (View java:22487)_x000D_
android view ViewGroup drawChild (ViewGroup java:4666)_x000D_
android view ViewGroup dispatchDraw (ViewGroup java:4400)_x000D_
android view View draw (View java:22789)_x000D_
androidx core widget NestedScrollView draw (NestedScrollView java:2075)_x000D_
android view View updateDisplayListIfDirty (View java:21594)_x000D_
android view View draw (View java:22487)_x000D_
android view ViewGroup drawChild (ViewGroup java:4666)_x000D_
android view ViewGroup dispatchDraw (ViewGroup java:4400)_x000D_
androidx constraintlayout widget ConstraintLayout dispatchDraw (ConstraintLayout java:1994)_x000D_
android view View updateDisplayListIfDirty (View java:21585)_x000D_
android view View draw (View java:22487)_x000D_
android view ViewGroup drawChild (ViewGroup java:4666)_x000D_
android view ViewGroup dispatchDraw (ViewGroup java:4400)_x000D_
android view View draw (View java:22789)_x000D_
android view View updateDisplayListIfDirty (View java:21594)_x000D_
android view View draw (View java:22487)_x000D_
android view ViewGroup drawChild (ViewGroup java:4666)_x000D_
androidx coordinatorlayout widget CoordinatorLayout drawChild (CoordinatorLayout java:1277)_x000D_
android view ViewGroup dispatchDraw (ViewGroup java:4400)_x000D_
android view View updateDisplayListIfDirty (View java:21585)_x000D_
android view View draw (View java:22487)_x000D_
android view ViewGroup drawChild (ViewGroup java:4666)_x000D_
android view ViewGroup dispatchDraw (ViewGroup java:4400)_x000D_
android view View updateDisplayListIfDirty (View java:21585)_x000D_
android view View draw (View java:22487)_x000D_
android view ViewGroup drawChild (ViewGroup java:4666)_x000D_
android view ViewGroup dispatchDraw (ViewGroup java:4400)_x000D_
android view View updateDisplayListIfDirty (View java:21585)_x000D_
android view View draw (View java:22487)_x000D_
android view ViewGroup drawChild (ViewGroup java:4666)_x000D_
android view ViewGroup dispatchDraw (ViewGroup java:4400)_x000D_
android view View updateDisplayListIfDirty (View java:21585)_x000D_
android view View draw (View java:22487)_x000D_
android view ViewGroup drawChild (ViewGroup java:4666)_x000D_
android view ViewGroup dispatchDraw (ViewGroup java:4400)_x000D_
android view View updateDisplayListIfDirty (View java:21585)_x000D_
android view View draw (View java:22487)_x000D_
android view ViewGroup drawChild (ViewGroup java:4666)_x000D_
android view ViewGroup dispatchDraw (ViewGroup java:4400)_x000D_
android view View updateDisplayListIfDirty (View java:21585)_x000D_
android view View draw (View java:22487)_x000D_
android view ViewGroup drawChild (ViewGroup java:4666)_x000D_
android view ViewGroup dispatchDraw (ViewGroup java:4400)_x000D_
com android internal policy DecorView dispatchDraw (DecorView java:2968)_x000D_
android view View draw (View java:22789)_x000D_
com android internal policy DecorView draw (DecorView java:893)_x000D_
android view View updateDisplayListIfDirty (View java:21594)_x000D_
android view ThreadedRenderer updateViewTreeDisplayList (ThreadedRenderer java:559)_x000D_
android view ThreadedRenderer updateRootDisplayList (ThreadedRenderer java:565)_x000D_
android view ThreadedRenderer draw (ThreadedRenderer java:642)_x000D_
android view ViewRootImpl draw (ViewRootImpl java:4664)_x000D_
android view ViewRootImpl performDraw (ViewRootImpl java:4375)_x000D_
android view ViewRootImpl performTraversals (ViewRootImpl java:3585)_x000D_
android view ViewRootImpl doTraversal (ViewRootImpl java:2340)_x000D_
android view ViewRootImpl TraversalRunnable run (ViewRootImpl java:9057)_x000D_
android view Choreographer CallbackRecord run (Choreographer java:1044)_x000D_
android view Choreographer doCallbacks (Choreographer java:867)_x000D_
android view Choreographer doFrame (Choreographer java:794)_x000D_
android view Choreographer FrameDisplayEventReceiver run (Choreographer java:1029)_x000D_
android os Handler handleCallback (Handler java:938)_x000D_
android os Handler dispatchMessage (Handler java:99)_x000D_
android os Looper loop (Looper java:264)_x000D_
android app ActivityThread main (ActivityThread java:8268)_x000D_
java lang reflect Method invoke (Method java)_x000D_
com android internal os RuntimeInit MethodAndArgsCaller run (RuntimeInit java:632)_x000D_
com android internal os ZygoteInit main (ZygoteInit java:1049)_x000D_
   _x000D_
_x000D_
_x000D_
   Sample project:_x000D_
_x000D_
activity main xml_x000D_
   _x000D_
  xml version  1 0  encoding  utf 8   _x000D_
 LinearLayout xmlns:android  http:  schemas android com apk res android _x000D_
    xmlns:app  http:  schemas android com apk res auto _x000D_
    xmlns:tools  http:  schemas android com tools _x000D_
    android:layout width  match parent _x000D_
    android:layout height  match parent _x000D_
    android:orientation  vertical _x000D_
    tools:context   MainActivity  _x000D_
_x000D_
     com google android material slider RangeSlider_x000D_
        android:id    id slider _x000D_
        android:layout width  match parent _x000D_
        android:layout height  wrap content    _x000D_
_x000D_
     com google android material button MaterialButton_x000D_
        android:layout width  wrap content _x000D_
        android:layout height  wrap content _x000D_
        android:id    id buttonCrash _x000D_
        android:text  Force crash    _x000D_
  LinearLayout _x000D_
   _x000D_
_x000D_
ActivityMain kt_x000D_
   _x000D_
import android os Bundle_x000D_
import android util Log_x000D_
import android widget Button_x000D_
import androidx appcompat app AppCompatActivity_x000D_
import com google android material slider RangeSlider_x000D_
_x000D_
class MainActivity : AppCompatActivity()  _x000D_
    lateinit var slider: RangeSlider_x000D_
_x000D_
    override fun onCreate(savedInstanceState: Bundle )  _x000D_
        super onCreate(savedInstanceState)_x000D_
        setContentView(R layout activity main)_x000D_
_x000D_
        slider   findViewById RangeSlider (R id slider) apply  _x000D_
            values   listOf(0F  100F)_x000D_
            valueFrom   0F_x000D_
            valueTo   100F_x000D_
_x000D_
            addOnChangeListener   slider  value  fromUser   _x000D_
                   do something_x000D_
                Log v( SLIDER    value:  value  fromUser:  fromUser )_x000D_
             _x000D_
         _x000D_
_x000D_
        findViewById Button (R id buttonCrash) setOnClickListener  _x000D_
            slider values   listOf(1F  101F)_x000D_
         _x000D_
     _x000D_
 _x000D_
   _x000D_
_x000D_
   _x000D_
java lang IllegalStateException: Slider value(101 0) must be greater or equal to valueFrom(0 0)  and lower or equal to valueTo(100 0)_x000D_
        at com google android material slider BaseSlider validateValues(BaseSlider java:549)_x000D_
        at com google android material slider BaseSlider validateConfigurationIfDirty(BaseSlider java:602)_x000D_
        at com google android material slider BaseSlider onDraw(BaseSlider java:1533)_x000D_
        at android view View draw(View java:22704)_x000D_
        at android view View updateDisplayListIfDirty(View java:21579)_x000D_
        at android view ViewGroup recreateChildDisplayList(ViewGroup java:4512)_x000D_
        at android view ViewGroup dispatchGetDisplayList(ViewGroup java:4485)_x000D_
        at android view View updateDisplayListIfDirty(View java:21535)_x000D_
        at android view ViewGroup recreateChildDisplayList(ViewGroup java:4512)_x000D_
        at android view ViewGroup dispatchGetDisplayList(ViewGroup java:4485)_x000D_
        at android view View updateDisplayListIfDirty(View java:21535)_x000D_
        at android view ViewGroup recreateChildDisplayList(ViewGroup java:4512)_x000D_
        at android view ViewGroup dispatchGetDisplayList(ViewGroup java:4485)_x000D_
        at android view View updateDisplayListIfDirty(View java:21535)_x000D_
        at android view ViewGroup recreateChildDisplayList(ViewGroup java:4512)_x000D_
        at android view ViewGroup dispatchGetDisplayList(ViewGroup java:4485)_x000D_
        at android view View updateDisplayListIfDirty(View java:21535)_x000D_
        at android view ViewGroup recreateChildDisplayList(ViewGroup java:4512)_x000D_
        at android view ViewGroup dispatchGetDisplayList(ViewGroup java:4485)_x000D_
        at android view View updateDisplayListIfDirty(View java:21535)_x000D_
        at android view ViewGroup recreateChildDisplayList(ViewGroup java:4512)_x000D_
        at android view ViewGroup dispatchGetDisplayList(ViewGroup java:4485)_x000D_
        at android view View updateDisplayListIfDirty(View java:21535)_x000D_
        at android view ThreadedRenderer updateViewTreeDisplayList(ThreadedRenderer java:534)_x000D_
        at android view ThreadedRenderer updateRootDisplayList(ThreadedRenderer java:540)_x000D_
        at android view ThreadedRenderer draw(ThreadedRenderer java:616)_x000D_
        at android view ViewRootImpl draw(ViewRootImpl java:4525)_x000D_
        at android view ViewRootImpl performDraw(ViewRootImpl java:4245)_x000D_
        at android view ViewRootImpl performTraversals(ViewRootImpl java:3374)_x000D_
        at android view ViewRootImpl doTraversal(ViewRootImpl java:2179)_x000D_
        at android view ViewRootImpl TraversalRunnable run(ViewRootImpl java:8787)_x000D_
        at android view Choreographer CallbackRecord run(Choreographer java:1037)_x000D_
        at android view Choreographer doCallbacks(Choreographer java:845)_x000D_
        at android view Choreographer doFrame(Choreographer java:780)_x000D_
        at android view Choreographer FrameDisplayEventReceiver run(Choreographer java:1022)_x000D_
        at android os Handler handleCallback(Handler java:938)_x000D_
        at android os Handler dispatchMessage(Handler java:99)_x000D_
        at android os Looper loopOnce(Looper java:201)_x000D_
        at android os Looper loop(Looper java:288)_x000D_
        at android app ActivityThread main(ActivityThread java:7870)_x000D_
        at java lang reflect Method invoke(Native Method)_x000D_
        at com android internal os RuntimeInit MethodAndArgsCaller run(RuntimeInit java:548)_x000D_
        at com android internal os ZygoteInit main(ZygoteInit java:1003)_x000D_
   _x000D_
_x000D_
Expected behavior:_x000D_
Slider value(101 0) must be greater or equal to valueFrom(0 0)  and lower or equal to valueTo(100 0) on   MainActivity kt:28  </t>
  </si>
  <si>
    <t>jellyfin-jellyfin-androidtv-1478</t>
  </si>
  <si>
    <t>Using libVLC to play crashes when the server video transcoding was complete.</t>
  </si>
  <si>
    <t xml:space="preserve">    Describe the bug
I m sure the crash happened when the server video transcoding was complete _x000D_
_x000D_
A similar issue already exists  The ver 0 13 update explicitly reproduces this issue _x000D_
I downgraded to 0 12 3 to reproduce issue  Although the Ver 0 12 3 of libVLC does not accurately display the progress  it can be seen from the server transcoding working time that the crash also occurs when the transcoding is complete _x000D_
_x000D_
Server logs and ffmpeg logs do not have reliable information  Playback with exoPlayer does not trigger such issues  Mobile clients also don t trigger such issues  But the mobile client does not have the libVLC option and can only be tested with a Web player 
    Logs
 No response 
    Application version
0 12 3 0 13
    Where did you install the app from 
 No response 
    Device information
android TV
    Android version
Android 5 1 1 Android 7 Android 9
    Jellyfin server version
10 8 0 alpha5</t>
  </si>
  <si>
    <t>PojavLauncherTeam-PojavLauncher-2826</t>
  </si>
  <si>
    <t>Minecraft clouds</t>
  </si>
  <si>
    <t xml:space="preserve">    Describe the bug
ok so i was playing questcraft and i was looking at the video settings and accidently clicked to turn on clouds and it crashed my game and now i load into Minecraft and cant see the menu and don t have hands and just see the land of Minecraft and see mobs but now i cant play and my computer is gone so i cant re install the game _x000D_
_x000D_
what should i do
    The log file and images videos
y
    Steps To Reproduce
   markdown
Click clouds in Minecraft
    Expected Behavior
Accident  
    Platform
   markdown
  Device model: _x000D_
  CPU architecture: _x000D_
  Android version: _x000D_
  PojavLauncher version: Oculus quest 2
    Anything else 
 No response </t>
  </si>
  <si>
    <t>Blankj-AndroidUtilCode-1613</t>
  </si>
  <si>
    <t xml:space="preserve">BusUtils.post(”XXX“”);日志一直显示The bus of tag &lt;XXX&gt; is not exists. </t>
  </si>
  <si>
    <t xml:space="preserve">      Bug_x000D_
_x000D_
       Bug _x000D_
_x000D_
  AndroidUtilCode             utilcode:1 16 3   utilcodex:1 16 3                     _x000D_
     Bug               Nexus 5X    _x000D_
      Android            API 27    _x000D_
_x000D_
       _x000D_
_x000D_
       _x000D_
   java_x000D_
CrashUtils init() _x000D_
   _x000D_
   _x000D_
   _x000D_
put your code here_x000D_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_x000D_
_x000D_
                    _x000D_
_x000D_
_x000D_
              _x000D_
_x000D_
      AndroidUtilCode (https:  github com Blankj AndroidUtilCode) _x000D_
</t>
  </si>
  <si>
    <t>PojavLauncherTeam-PojavLauncher-2825</t>
  </si>
  <si>
    <t>Optifine crash on fabric unexpectedly</t>
  </si>
  <si>
    <t xml:space="preserve">    Describe the bug_x000D_
_x000D_
 Well it s day    and I have many crash orbbug report about pojavlauncher  I hope this will be the last one _x000D_
During waiting for the game to launch  optifine crash for the reason that should not be the reason why  I think it because I use optifabric and optifine with other fabric mods_x000D_
_x000D_
    The log file and images videos_x000D_
_x000D_
 00:20:57   main INFO : Loading Minecraft 1 18 1 with Fabric Loader 0 13 3  00:20:58   main INFO : Loading 68 mods: 	  appleskin 2 3 0 mc1 18 1 	  autofish 0 9 4 	  cloth basic math 0 6 0 via cloth config 	  cloth config 6 1 48 via autofish 	  com electronwill night config core 3 6 3 via forgeconfigapiport 	  com electronwill night config toml 3 6 3 via forgeconfigapiport 	  com google code findbugs jsr305 3 0 2 via create 	  create mc1 18 1 v0 4d 441 	  dripstone fluid lib 1 1 1 via milk 	  fabric 0 46 4 1 18 	  fabric api base 0 4 2 d7c144a865 via fabric 	  fabric api lookup api v1 1 5 3 d7c144a865 via fabric 	  fabric biome api v1 6 0 2 d7c144a865 via fabric 	  fabric blockrenderlayer v1 1 1 10 3ac43d9565 via fabric 	  fabric command api v1 1 1 7 d7c144a865 via fabric 	  fabric commands v0 0 2 6 b4f4f6cd65 via fabric 	  fabric containers v0 0 1 19 d7c144a865 via fabric 	  fabric content registries v0 0 4 8 d7c144a865 via fabric 	  fabric crash report info v1 0 1 9 3ac43d9565 via fabric 	  fabric data generation api v1 1 0 0 3fec4ad9c8 via registrate fabric 	  fabric dimensions v1 2 1 10 a1d9bbf565 via fabric 	  fabric entity events v1 1 4 6 d7c144a865 via fabric 	  fabric events interaction v0 0 4 17 d7c144a865 via fabric 	  fabric events lifecycle v0 0 2 9 d7c144a865 via fabric 	  fabric game rule api v1 1 0 11 d7c144a865 via fabric 	  fabric item api v1 1 3 1 691a79b565 via fabric 	  fabric item groups v0 0 3 6 3ac43d9565 via fabric 	  fabric key binding api v1 1 0 9 d7c144a865 via fabric 	  fabric keybindings v0 0 2 7 b4f4f6cd65 via fabric 	  fabric lifecycle events v1 1 4 13 713c266865 via fabric 	  fabric loot tables v1 1 0 9 d7c144a865 via fabric 	  fabric mining level api v1 1 0 6 d7c144a865 via fabric 	  fabric mining levels v0 0 1 11 b4f4f6cd65 via fabric 	  fabric models v0 0 3 4 d7c144a865 via fabric 	  fabric networking api v1 1 0 19 d7c144a865 via fabric 	  fabric networking v0 0 3 6 b4f4f6cd65 via fabric 	  fabric object builder api v1 1 11 4 d7c144a865 via fabric 	  fabric object builders v0 0 7 12 d7c144a865 via fabric 	  fabric particles v1 0 2 10 526dc1ac65 via fabric 	  fabric registry sync v0 0 9 2 ad01bfbd65 via fabric 	  fabric renderer api v1 0 4 11 b0b66fc365 via fabric 	  fabric renderer indigo 0 4 15 6825030165 via fabric 	  fabric renderer registries v1 3 2 10 b4f4f6cd65 via fabric 	  fabric rendering data attachment v1 0 3 5 d7c144a865 via fabric 	  fabric rendering fluids v1 0 1 19 3ac43d9565 via fabric 	  fabric rendering v0 1 1 12 b4f4f6cd65 via fabric 	  fabric rendering v1 1 10 6 713c266865 via fabric 	  fabric resource conditions api v1 1 0 2 d7c144a865 via fabric 	  fabric resource loader v0 0 4 14 713c266865 via fabric 	  fabric screen api v1 1 0 8 d7c144a865 via fabric 	  fabric screen handler api v1 1 1 12 d7c144a865 via fabric 	  fabric structure api v1 2 1 3 d7c144a865 via fabric 	  fabric tag extensions v0 1 2 8 d7c144a865 via fabric 	  fabric textures v0 1 0 10 3ac43d9565 via fabric 	  fabric tool attribute api v1 1 3 8 fb3b57b465 via fabric 	  fabric transfer api v1 1 5 9 d7c144a865 via fabric 	  fabricloader 0 13 3 	  fake player api 0 3 0 via create 	  flywheel 1 18 0 6 1 24 via create 	  forge tags 2 0 via create 	  forgeconfigapiport 3 1 0 via create 	  java 17 	  milk 0 1 6 via create 	  minecraft 1 18 1 	  mm 2 3 via optifabric 	  optifabric 1 12 10 	  reach entity attributes 2 1 1 via create 	  registrate fabric MC1 18 1 1 0 7 via create  00:20:58   main WARN : Mod  create  (mc1 18 1 v0 4d 441) does not respect SemVer   comparison support is limited   00:20:58   main WARN : Mod  registrate fabric  (MC1 18 1 1 0 7) does not respect SemVer   comparison support is limited   00:20:58   main INFO : SpongePowered MIXIN Subsystem Version 0 8 5 Source file: storage emulated 0 Android data net kdt pojavlaunch files  minecraft libraries net fabricmc sponge mixin 0 11 2 mixin 0 8 5 sponge mixin 0 11 2 mixin 0 8 5 jar Service Knot Fabric Env CLIENT  00:20:58   main INFO : Compatibility level set to JAVA 17  00:21:07   main ERROR : Minecraft has crashed  net fabricmc loader impl FormattedException: java lang ExceptionInInitializerError 	at net fabricmc loader impl game minecraft MinecraftGameProvider launch(MinecraftGameProvider java:418)   fabric loader 0 13 3 jar:   	at net fabricmc loader impl launch knot Knot launch(Knot java:77)  fabric loader 0 13 3 jar:   	at net fabricmc loader impl launch knot KnotClient main(KnotClient java:23)  fabric loader 0 13 3 jar:   Caused by: java lang ExceptionInInitializerError 	at net minecraft class 128 method 568(class 128 java:173)   client intermediary jar:   	at net minecraft class 128 method 24305(class 128 java:343)   client intermediary jar:   	at net minecraft client main Main main(Main java:153)   fabric loader 0 13 3 1 18 1 jar:   	at jdk internal reflect NativeMethodAccessorImpl invoke0(Native Method)    :   	at jdk internal reflect NativeMethodAccessorImpl invoke(NativeMethodAccessorImpl java:77)    :   	at jdk internal reflect DelegatingMethodAccessorImpl invoke(DelegatingMethodAccessorImpl java:43)    :   	at java lang reflect Method invoke(Method java:568)    :   	at net fabricmc loader impl game minecraft MinecraftGameProvider launch(MinecraftGameProvider java:416)   fabric loader 0 13 3 jar:   	    2 more Caused by: java lang RuntimeException: Mixin transformation of net minecraft class 761 failed 	at net fabricmc loader impl launch knot KnotClassDelegate getPostMixinClassByteArray(KnotClassDelegate java:252)   fabric loader 0 13 3 jar:   	at net fabricmc loader impl launch knot KnotClassDelegate tryLoadClass(KnotClassDelegate java:150)   fabric loader 0 13 3 jar:   	at net fabricmc loader impl launch knot KnotClassLoader loadClass(KnotClassLoader java:155)   fabric loader 0 13 3 jar:   	at java lang ClassLoader loadClass(ClassLoader java:520)    :   	at net optifine reflect Reflector  clinit (Reflector java:284)   Optifine mapped jar:   	at net minecraft class 128 method 568(class 128 java:173)   client intermediary jar:   	at net minecraft class 128 method 24305(class 128 java:343)   client intermediary jar:   	at net minecraft client main Main main(Main java:153)   fabric loader 0 13 3 1 18 1 jar:   	at jdk internal reflect NativeMethodAccessorImpl invoke0(Native Method)    :   	at jdk internal reflect NativeMethodAccessorImpl invoke(NativeMethodAccessorImpl java:77)    :   	at jdk internal reflect DelegatingMethodAccessorImpl invoke(DelegatingMethodAccessorImpl java:43)    :   	at java lang reflect Method invoke(Method java:568)    :   	at net fabricmc loader impl game minecraft MinecraftGameProvider launch(MinecraftGameProvider java:416)   fabric loader 0 13 3 jar:   	    2 more Caused by: org spongepowered asm mixin transformer throwables MixinTransformerError: An unexpected critical error was encountered 	at org spongepowered asm mixin transformer MixinProcessor applyMixins(MixinProcessor java:392)   sponge mixin 0 11 2 mixin 0 8 5 jar:0 11 2 mixin 0 8 5  	at org spongepowered asm mixin transformer MixinTransformer transformClass(MixinTransformer java:234)   sponge mixin 0 11 2 mixin 0 8 5 jar:0 11 2 mixin 0 8 5  	at org spongepowered asm mixin transformer MixinTransformer transformClassBytes(MixinTransformer java:202)   sponge mixin 0 11 2 mixin 0 8 5 jar:0 11 2 mixin 0 8 5  	at net fabricmc loader impl launch knot KnotClassDelegate getPostMixinClassByteArray(KnotClassDelegate java:247)   fabric loader 0 13 3 jar:   	at net fabricmc loader impl launch knot KnotClassDelegate tryLoadClass(KnotClassDelegate java:150)   fabric loader 0 13 3 jar:   	at net fabricmc loader impl launch knot KnotClassLoader loadClass(KnotClassLoader java:155)   fabric loader 0 13 3 jar:   	at java lang ClassLoader loadClass(ClassLoader java:520)    :   	at net optifine reflect Reflector  clinit (Reflector java:284)   Optifine mapped jar:   	at net minecraft class 128 method 568(class 128 java:173)   client intermediary jar:   	at net minecraft class 128 method 24305(class 128 java:343)   client intermediary jar:   	at net minecraft client main Main main(Main java:153)   fabric loader 0 13 3 1 18 1 jar:   	at jdk internal reflect NativeMethodAccessorImpl invoke0(Native Method)    :   	at jdk internal reflect NativeMethodAccessorImpl invoke(NativeMethodAccessorImpl java:77)    :   	at jdk internal reflect DelegatingMethodAccessorImpl invoke(DelegatingMethodAccessorImpl java:43)    :   	at java lang reflect Method invoke(Method java:568)    :   	at net fabricmc loader impl game minecraft MinecraftGameProvider launch(MinecraftGameProvider java:416)   fabric loader 0 13 3 jar:   	    2 more Caused by: org spongepowered asm mixin injection throwables InjectionError: Critical injection failure: Variable modifier method wrapBlockEntityIterator(Ljava util Iterator )Ljava util Iterator  in create lib mixins client json:LevelRendererMixin from mod create failed injection check  (0 1) succeeded  Scanned 1 target(s)  Using refmap create refmap json Messages:    At( STORE  implicit Iterator) has invalid IMPLICIT discriminator for opcode 1151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1159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1172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1196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1200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1232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1255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1273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1279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1312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1320 in net minecraft class 761::method 22710(Lnet minecraft class 4587 FJZLnet minecraft class 4184 Lnet minecraft class 757 Lnet minecraft class 765 Lnet minecraft class 1159 )V: Found 3 candidate variables but exactly 1 is required   At( STORE  implicit Iterator) has invalid IMPLICIT discriminator for opcode 1328 in net minecraft class 761::method 22710(Lnet minecraft class 4587 FJZLnet minecraft class 4184 Lnet minecraft class 757 Lnet minecraft class 765 Lnet minecraft class 1159 )V: Found 3 candidate variables but exactly 1 is required   At( STORE  implicit Iterator) has invalid IMPLICIT discriminator for opcode 1341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1365 in net minecraft class 761::method 22710(Lnet minecraft class 4587 FJZLnet minecraft class 4184 Lnet minecraft class 757 Lnet minecraft class 765 Lnet minecraft class 1159 )V: Found 2 candidate variables but exactly 1 is required   	at org spongepowered asm mixin injection struct InjectionInfo postInject(InjectionInfo java:468)   sponge mixin 0 11 2 mixin 0 8 5 jar:0 11 2 mixin 0 8 5  	at org spongepowered asm mixin transformer MixinTargetContext applyInjections(MixinTargetContext java:1385)   sponge mixin 0 11 2 mixin 0 8 5 jar:0 11 2 mixin 0 8 5  	at org spongepowered asm mixin transformer MixinApplicatorStandard applyInjections(MixinApplicatorStandard java:1052)   sponge mixin 0 11 2 mixin 0 8 5 jar:0 11 2 mixin 0 8 5  	at org spongepowered asm mixin transformer MixinApplicatorStandard applyMixin(MixinApplicatorStandard java:400)   sponge mixin 0 11 2 mixin 0 8 5 jar:0 11 2 mixin 0 8 5  	at org spongepowered asm mixin transformer MixinApplicatorStandard apply(MixinApplicatorStandard java:325)   sponge mixin 0 11 2 mixin 0 8 5 jar:0 11 2 mixin 0 8 5  	at org spongepowered asm mixin transformer TargetClassContext apply(TargetClassContext java:421)   sponge mixin 0 11 2 mixin 0 8 5 jar:0 11 2 mixin 0 8 5  	at org spongepowered asm mixin transformer TargetClassContext applyMixins(TargetClassContext java:403)   sponge mixin 0 11 2 mixin 0 8 5 jar:0 11 2 mixin 0 8 5  	at org spongepowered asm mixin transformer MixinProcessor applyMixins(MixinProcessor java:363)   sponge mixin 0 11 2 mixin 0 8 5 jar:0 11 2 mixin 0 8 5  	at org spongepowered asm mixin transformer MixinTransformer transformClass(MixinTransformer java:234)   sponge mixin 0 11 2 mixin 0 8 5 jar:0 11 2 mixin 0 8 5  	at org spongepowered asm mixin transformer MixinTransformer transformClassBytes(MixinTransformer java:202)   sponge mixin 0 11 2 mixin 0 8 5 jar:0 11 2 mixin 0 8 5  	at net fabricmc loader impl launch knot KnotClassDelegate getPostMixinClassByteArray(KnotClassDelegate java:247)   fabric loader 0 13 3 jar:   	at net fabricmc loader impl launch knot KnotClassDelegate tryLoadClass(KnotClassDelegate java:150)   fabric loader 0 13 3 jar:   	at net fabricmc loader impl launch knot KnotClassLoader loadClass(KnotClassLoader java:155)   fabric loader 0 13 3 jar:   	at java lang ClassLoader loadClass(ClassLoader java:520)    :   	at net optifine reflect Reflector  clinit (Reflector java:284)   Optifine mapped jar:   	at net minecraft class 128 method 568(class 128 java:173)   client intermediary jar:   	at net minecraft class 128 method 24305(class 128 java:343)   client intermediary jar:   	at net minecraft client main Main main(Main java:153)   fabric loader 0 13 3 1 18 1 jar:   	at jdk internal reflect NativeMethodAccessorImpl invoke0(Native Method)    :   	at jdk internal reflect NativeMethodAccessorImpl invoke(NativeMethodAccessorImpl java:77)    :   	at jdk internal reflect DelegatingMethodAccessorImpl invoke(DelegatingMethodAccessorImpl java:43)    :   	at java lang reflect Method invoke(Method java:568)    :   	at net fabricmc loader impl game minecraft MinecraftGameProvider launch(MinecraftGameProvider java:416)   fabric loader 0 13 3 jar:   	    2 more_x000D_
_x000D_
    Steps To Reproduce_x000D_
_x000D_
   markdown_x000D_
Step 1  Play fabric version of minecraft 1 18  1 with optifine and optifabric with fabric api and other mods_x000D_
Step 2  Watch it crash_x000D_
   _x000D_
_x000D_
_x000D_
    Expected Behavior_x000D_
_x000D_
I expected the game to launch_x000D_
_x000D_
    Platform_x000D_
_x000D_
   markdown_x000D_
  Device model: Samsung galaxy A32_x000D_
  CPU architecture: arm64_x000D_
  Android version: 11_x000D_
  PojavLauncher version:  Both playstore version and version with Virglrenderer _x000D_
   _x000D_
_x000D_
_x000D_
    Anything else _x000D_
_x000D_
 No respond </t>
  </si>
  <si>
    <t>cgeo-cgeo-12813</t>
  </si>
  <si>
    <t>Offline map opens slower if activity history is long</t>
  </si>
  <si>
    <t xml:space="preserve">    Describe your problem _x000D_
_x000D_
Today I had a day off and went caching spontaneously driving from cache to cache _x000D_
After a while I noticed  that when  mapping a cache  it took some seconds for the map to show up  It got worse and worse over the day _x000D_
_x000D_
Back home I tried again and realized  that I could use the back key of my device quite a lot of time iterating over several map activites until finally reaching the state  press again to exit  _x000D_
_x000D_
Once I did this opening the cache map was fast again _x000D_
_x000D_
    How to reproduce _x000D_
_x000D_
 I tried again to open list  home  map  cache  back to list  and so on and could (kind of) reproduce  that opening the map for a cache or even the  normal  map got slower to start again _x000D_
_x000D_
    Actual result after these steps _x000D_
_x000D_
If you have such long activity history  open the details of a cache and then long click the compass rose to open the map for the cache _x000D_
The activity itself opens fast but it takes 2 3 seconds until map and objects are loaded _x000D_
_x000D_
    Expected result after these steps _x000D_
_x000D_
There is no crash involved  everything worked fine throughout the day (else the activity stack would have been shorter  ) )  but I guess we should limit the activity history somehow and or find out if several open maps block slow down something and whether this is avoidable _x000D_
_x000D_
Additionally:_x000D_
IMHO it makes no sense to keep a real long activity history  Do we have set a limit for that _x000D_
_x000D_
    Reproducible_x000D_
_x000D_
Yes_x000D_
_x000D_
    c:geo Version_x000D_
_x000D_
2022 02 26 NB_x000D_
_x000D_
    System information_x000D_
_x000D_
   text_x000D_
Android 12  Samsung S20_x000D_
   _x000D_
_x000D_
_x000D_
    Additional Information_x000D_
_x000D_
 No response </t>
  </si>
  <si>
    <t>MuntashirAkon-AppManager-687</t>
  </si>
  <si>
    <t>Some Incompatible API Usages in APP</t>
  </si>
  <si>
    <t>Dear developers _x000D_
_x000D_
We have recently developed a state of the art static analysis tool for uncovering API compatibility issues in Android apps  Applying this tool to open source apps on F droid  we have exposed a few instances of compatibility issues and submitting them to development teams for a fix _x000D_
_x000D_
For your app  we have found that this project has accessed the following APIs which are available only on an API level higher than the declared minSdkVersion and which are accessed without proper protection  In other words  if those APIs get called at runtime  it will trigger a NoSuchMethodError and thus result in a crash of the running application _x000D_
_x000D_
_x000D_
1   javax net ssl X509ExtendedTrustManager: void  init () : 24 30 _x000D_
    java_x000D_
Error invoking path:  io github muntashirakon AppManager adb AdbUtils 2: void  init ()         javax net ssl X509ExtendedTrustManager: void  init () _x000D_
   _x000D_
2  android app usage NetworkStats: boolean getNextBucket(android app usage NetworkStats Bucket) : 23 30 _x000D_
    java_x000D_
Error invoking path:  io github muntashirakon AppManager usage AppUsageActivity AppUsageAdapter: void lambda onBindViewHolder 1 AppUsageActivity AppUsageAdapter(io github muntashirakon AppManager usage PackageUsageInfo android view View)         io github muntashirakon AppManager usage AppUsageStatsManager: io github muntashirakon AppManager usage AppUsageStatsManager getInstance(android content Context)         io github muntashirakon AppManager usage AppUsageStatsManager: void  init (android content Context)       io github muntashirakon AppManager usage AppUsageStatsManager: androidx collection SparseArrayCompat getDataUsageForNetwork(android app usage NetworkStatsManager int int)         android app usage NetworkStats: boolean getNextBucket(android app usage NetworkStats Bucket) _x000D_
   _x000D_
_x000D_
3  android telephony SubscriptionInfo: int getSubscriptionId() : 22 30 _x000D_
   java_x000D_
Error invoking path:  io github muntashirakon AppManager usage AppUsageActivity AppUsageAdapter: void lambda onBindViewHolder 1 AppUsageActivity AppUsageAdapter(io github muntashirakon AppManager usage PackageUsageInfo android view View)         io github muntashirakon AppManager usage AppUsageStatsManager: io github muntashirakon AppManager usage AppUsageStatsManager getInstance(android content Context)         io github muntashirakon AppManager usage AppUsageStatsManager: void  init (android content Context)       io github muntashirakon AppManager usage AppUsageStatsManager: androidx collection SparseArrayCompat getDataUsageForNetwork(android app usage NetworkStatsManager int int)         io github muntashirakon AppManager usage AppUsageStatsManager: java util List getSubscriberIds(android content Context int)         android telephony SubscriptionInfo: int getSubscriptionId() _x000D_
   _x000D_
Note that  because of the nature of the static analysis  we cannot confirm whether the flagged APIs would actually be called at runtime (e g   unreachable code)  However  we still believe that those APIs  which may cause compatibility issues  should not be accessed or at least be accessed with proper protections _x000D_
_x000D_
In addition to the aforementioned APIs (i e   backward compatibility)  which could cause app crashes if accessed  we have also identified that this project has also accessed some APIs that have been removed from the latest public SDK  making the app possibly suffer from forward compatibility issues _x000D_
_x000D_
NONE_x000D_
_x000D_
We would be very much appreciated if you can acknowledge to us that those reported APIs are indeed problematic for the project s long term stability  please let us know if you need any more information relating to this issue report</t>
  </si>
  <si>
    <t>openboard-team-openboard-551</t>
  </si>
  <si>
    <t>An incompatibility API Usage of &lt;java.util.Locale: java.util.Locale forLanguageTag(java.lang.String)&gt;</t>
  </si>
  <si>
    <t xml:space="preserve">For your app  we have found that this project has accessed the following APIs which are available only on an API level higher than the declared minSdkVersion and which are accessed without proper protection  In other words  if those APIs get called at runtime  it will trigger a NoSuchMethodError and thus result in a crash of the running application _x000D_
_x000D_
 java util Locale: java util Locale forLanguageTag(java lang String) : 21 30 _x000D_
_x000D_
This API is invoked 39 times in your APP  while the error usage times is 37  Here shows the API invoking paths in your APP _x000D_
    java_x000D_
39 invoking paths:_x000D_
   this api will crash on sdk 19 20 _x000D_
Error Path:  org dslul openboard inputmethod latin BinaryDictionaryFileDumper: java util List getWordListWordListInfos(java util Locale android content Context boolean)         org dslul openboard inputmethod latin BinaryDictionaryFileDumper: void reinitializeClientRecordInDictionaryContentProvider(android content Context android content ContentProviderClient java lang String)         org dslul openboard inputmethod latin utils DictionaryInfoUtils: java util ArrayList getCurrentDictionaryFileNameAndVersionInfo(android content Context)         org dslul openboard inputmethod latin RichInputMethodManager: void init(android content Context)         org dslul openboard inputmethod latin RichInputMethodManager: void initInternal(android content Context)         org dslul openboard inputmethod latin RichInputMethodManager: void refreshSubtypeCaches()         org dslul openboard inputmethod latin RichInputMethodManager: void updateCurrentSubtype(android view inputmethod InputMethodSubtype)         org dslul openboard inputmethod latin RichInputMethodSubtype: org dslul openboard inputmethod latin RichInputMethodSubtype getRichInputMethodSubtype(android view inputmethod InputMethodSubtype)         org dslul openboard inputmethod latin RichInputMethodSubtype: void  init (android view inputmethod InputMethodSubtype)       org dslul openboard inputmethod latin RichInputMethodSubtype: java lang String getMiddleDisplayName()         org dslul openboard inputmethod latin utils SubtypeLocaleUtils: java lang String getSubtypeLanguageDisplayName(java lang String)         org dslul openboard inputmethod latin utils SubtypeLocaleUtils: java util Locale getDisplayLocaleOfSubtypeLocale(java lang String)         org dslul openboard inputmethod latin common LocaleUtils: java util Locale constructLocaleFromString(java lang String)         java util Locale: void  init (java lang String java lang String java lang String)       java util Locale: java util Locale forLanguageTag(java lang String) _x000D_
 1 the call statck between class  org dslul openboard inputmethod latin BinaryDictionaryFileDumper: java util List getWordListWordListInfos(java util Locale android content Context boolean)  to  java util Locale: java util Locale forLanguageTag(java lang String) has compatibility isssues _x000D_
                                         _x000D_
   _x000D_
                                         _x000D_
   this api will crash on sdk 19 20 _x000D_
Error Path:  org dslul openboard inputmethod keyboard emoji EmojiPalettesView: void  init (android content Context android util AttributeSet)         org dslul openboard inputmethod keyboard emoji EmojiPalettesView: void  init (android content Context android util AttributeSet int)         org dslul openboard inputmethod latin RichInputMethodSubtype: org dslul openboard inputmethod latin RichInputMethodSubtype getEmojiSubtype()         org dslul openboard inputmethod latin RichInputMethodSubtype: void  init (android view inputmethod InputMethodSubtype)       org dslul openboard inputmethod latin RichInputMethodSubtype: java lang String getMiddleDisplayName()         org dslul openboard inputmethod latin utils SubtypeLocaleUtils: java lang String getSubtypeLanguageDisplayName(java lang String)         org dslul openboard inputmethod latin utils SubtypeLocaleUtils: java util Locale getDisplayLocaleOfSubtypeLocale(java lang String)         org dslul openboard inputmethod latin common LocaleUtils: java util Locale constructLocaleFromString(java lang String)         java util Locale: void  init (java lang String java lang String java lang String)       java util Locale: java util Locale forLanguageTag(java lang String) _x000D_
 29 the call statck between class  org dslul openboard inputmethod keyboard emoji EmojiPalettesView: void  init (android content Context android util AttributeSet)  to  java util Locale: java util Locale forLanguageTag(java lang String) has compatibility isssues _x000D_
                                         _x000D_
 i0    21_x000D_
One road protect good _x000D_
 30 the call statck does not has compatibility isssues _x000D_
                                         _x000D_
   _x000D_
                                         _x000D_
   this api will crash on sdk 19 20 _x000D_
Error Path:  org dslul openboard inputmethod latin userdictionary UserDictionaryList: void onResume()         org dslul openboard inputmethod latin userdictionary UserDictionaryList: void createUserDictSettings(android preference PreferenceGroup)         org dslul openboard inputmethod latin userdictionary UserDictionaryList: android preference Preference createUserDictionaryPreference(java lang String)         org dslul openboard inputmethod latin common LocaleUtils: java util Locale constructLocaleFromString(java lang String)         java util Locale: void  init (java lang String java lang String java lang String)       java util Locale: java util Locale forLanguageTag(java lang String) _x000D_
 39 the call statck between class  org dslul openboard inputmethod latin userdictionary UserDictionaryList: void onResume()  to  java util Locale: java util Locale forLanguageTag(java lang String) has compatibility isssues _x000D_
                                         _x000D_
   _x000D_
You can add an if then check like  If(Build VERSION SDK INT    21)  when invoking this API to prevent compatibility issues _x000D_
</t>
  </si>
  <si>
    <t>PojavLauncherTeam-PojavLauncher-2820</t>
  </si>
  <si>
    <t>Rendering entity in world</t>
  </si>
  <si>
    <t xml:space="preserve">    Describe the bug
This is the bug that I experience so many times when I use sodium and iris mod  This bug was so annoying that I need to restart an entire game when I set the setting in minecraft before entering world
    The log file and images videos
     Minecraft Crash Report     _x000D_
   This is a token for 1 free hug  Redeem at your nearest Mojangsta:    HUG   _x000D_
_x000D_
Time: 2 28 22  7:56 AM_x000D_
Description: Rendering entity in world_x000D_
_x000D_
java lang RuntimeException: Cannot use BufferBuilder with format: 9 elements: Position 3 Position Float Color 4 Vertex Color Unsigned Byte UV0 2 UV Float UV2 2 UV Short Normal 3 Normal Byte Padding 1 Padding Byte mc Entity 4 Generic Float mc midTexCoord 2 Generic Float at tangent 4 Generic Float_x000D_
	at com jozufozu flywheel core vertex BlockVertex createReader(BlockVertex java:72)_x000D_
	at com jozufozu flywheel core model WorldModel  init (WorldModel java:22)_x000D_
	at com simibubi create content contraptions components structureMovement render FlwContraption buildLayers(FlwContraption java:144)_x000D_
	at com simibubi create content contraptions components structureMovement render FlwContraption  init (FlwContraption java:56)_x000D_
	at com simibubi create content contraptions components structureMovement render FlwContraptionManager create(FlwContraptionManager java:84)_x000D_
	at com simibubi create content contraptions components structureMovement render FlwContraptionManager create(FlwContraptionManager java:22)_x000D_
	at com simibubi create content contraptions components structureMovement render ContraptionRenderingWorld getRenderInfo(ContraptionRenderingWorld java:94)_x000D_
	at com simibubi create content contraptions components structureMovement render ContraptionRenderDispatcher renderFromEntity(ContraptionRenderDispatcher java:85)_x000D_
	at com simibubi create content contraptions components structureMovement ContraptionEntityRenderer render(ContraptionEntityRenderer java:41)_x000D_
	at com simibubi create content contraptions components structureMovement ContraptionEntityRenderer method 3936(ContraptionEntityRenderer java:12)_x000D_
	at net minecraft class 898 method 3954(class 898 java:135)_x000D_
	at net minecraft class 761 method 22977(class 761 java:1577)_x000D_
	at net minecraft class 761 method 22710(class 761 java:1325)_x000D_
	at net minecraft class 757 method 3188(class 757 java:1031)_x000D_
	at net minecraft class 757 method 3192(class 757 java:811)_x000D_
	at net minecraft class 310 method 1523(class 310 java:1117)_x000D_
	at net minecraft class 310 method 1514(class 310 java:733)_x000D_
	at net minecraft client main Main main(Main java:238)_x000D_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fabricmc loader impl game minecraft MinecraftGameProvider launch(MinecraftGameProvider java:416)_x000D_
	at net fabricmc loader impl launch knot Knot launch(Knot java:77)_x000D_
	at net fabricmc loader impl launch knot KnotClient main(KnotClient java:23)_x000D_
_x000D_
_x000D_
A detailed walkthrough of the error  its code path and all known details is as follows:_x000D_
                                                                                       _x000D_
_x000D_
   Head   _x000D_
Thread: Render thread_x000D_
Stacktrace:_x000D_
	at com jozufozu flywheel core vertex BlockVertex createReader(BlockVertex java:72)_x000D_
	at com jozufozu flywheel core model WorldModel  init (WorldModel java:22)_x000D_
	at com simibubi create content contraptions components structureMovement render FlwContraption buildLayers(FlwContraption java:144)_x000D_
	at com simibubi create content contraptions components structureMovement render FlwContraption  init (FlwContraption java:56)_x000D_
	at com simibubi create content contraptions components structureMovement render FlwContraptionManager create(FlwContraptionManager java:84)_x000D_
	at com simibubi create content contraptions components structureMovement render FlwContraptionManager create(FlwContraptionManager java:22)_x000D_
	at com simibubi create content contraptions components structureMovement render ContraptionRenderingWorld getRenderInfo(ContraptionRenderingWorld java:94)_x000D_
	at com simibubi create content contraptions components structureMovement render ContraptionRenderDispatcher renderFromEntity(ContraptionRenderDispatcher java:85)_x000D_
	at com simibubi create content contraptions components structureMovement ContraptionEntityRenderer render(ContraptionEntityRenderer java:41)_x000D_
	at com simibubi create content contraptions components structureMovement ContraptionEntityRenderer method 3936(ContraptionEntityRenderer java:12)_x000D_
	at net minecraft class 898 method 3954(class 898 java:135)_x000D_
	at net minecraft class 761 method 22977(class 761 java:1577)_x000D_
	at net minecraft class 761 method 22710(class 761 java:1325)_x000D_
	at net minecraft class 757 method 3188(class 757 java:1031)_x000D_
_x000D_
   Entity being rendered   _x000D_
Details:_x000D_
	Entity Type: create:stationary contraption (com simibubi create content contraptions components structureMovement ControlledContraptionEntity)_x000D_
	Entity ID: 5414_x000D_
	Entity Name: Stationary Contraption_x000D_
	Entity s Exact location:  11 00  2 00  37 00_x000D_
	Entity s Block location: World: ( 11 2 37)  Section: (at 5 2 5 in  1 0 2  chunk contains blocks  16  64 32 to  1 319 47)  Region: ( 1 0  contains chunks  32 0 to  1 31  blocks  512  64 0 to  1 319 511)_x000D_
	Entity s Momentum: 0 00  0 00  0 00_x000D_
	Entity s Passengers:   _x000D_
	Entity s Vehicle: null_x000D_
Stacktrace:_x000D_
	at net minecraft class 898 method 3954(class 898 java:135)_x000D_
	at net minecraft class 761 method 22977(class 761 java:1577)_x000D_
	at net minecraft class 761 method 22710(class 761 java:1325)_x000D_
	at net minecraft class 757 method 3188(class 757 java:1031)_x000D_
	at net minecraft class 757 method 3192(class 757 java:811)_x000D_
	at net minecraft class 310 method 1523(class 310 java:1117)_x000D_
	at net minecraft class 310 method 1514(class 310 java:733)_x000D_
	at net minecraft client main Main main(Main java:238)_x000D_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fabricmc loader impl game minecraft MinecraftGameProvider launch(MinecraftGameProvider java:416)_x000D_
	at net fabricmc loader impl launch knot Knot launch(Knot java:77)_x000D_
	at net fabricmc loader impl launch knot KnotClient main(KnotClient java:23)_x000D_
_x000D_
   Renderer details   _x000D_
Details:_x000D_
	Assigned renderer: com simibubi create content contraptions components structureMovement ContraptionEntityRenderer 1ffff650_x000D_
	Location:  35 31 8 38  22 72   World: ( 36 8  23)  Section: (at 12 8 9 in  3 0  2  chunk contains blocks  48  64  32 to  33 319  17)  Region: ( 1  1  contains chunks  32  32 to  1  1  blocks  512  64  512 to  1 319  1)_x000D_
	Rotation: 0 0_x000D_
	Delta: 0 37997723_x000D_
Stacktrace:_x000D_
	at net minecraft class 898 method 3954(class 898 java:135)_x000D_
	at net minecraft class 761 method 22977(class 761 java:1577)_x000D_
	at net minecraft class 761 method 22710(class 761 java:1325)_x000D_
	at net minecraft class 757 method 3188(class 757 java:1031)_x000D_
	at net minecraft class 757 method 3192(class 757 java:811)_x000D_
	at net minecraft class 310 method 1523(class 310 java:1117)_x000D_
	at net minecraft class 310 method 1514(class 310 java:733)_x000D_
	at net minecraft client main Main main(Main java:238)_x000D_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fabricmc loader impl game minecraft MinecraftGameProvider launch(MinecraftGameProvider java:416)_x000D_
	at net fabricmc loader impl launch knot Knot launch(Knot java:77)_x000D_
	at net fabricmc loader impl launch knot KnotClient main(KnotClient java:23)_x000D_
_x000D_
   Affected level   _x000D_
Details:_x000D_
	All players: 1 total   class 746  Trollge345  68  l  ClientLevel   x 24 31  y  8 00  z 59 72  _x000D_
	Chunk stats: 1024  469_x000D_
	Level dimension: minecraft:overworld_x000D_
	Level spawn location: World: (8 64 8)  Section: (at 8 0 8 in 0 4 0  chunk contains blocks 0  64 0 to 15 319 15)  Region: (0 0  contains chunks 0 0 to 31 31  blocks 0  64 0 to 511 319 511)_x000D_
	Level time: 125647 game time  1 day time_x000D_
	Server brand: fabric_x000D_
	Server type: Integrated singleplayer server_x000D_
Stacktrace:_x000D_
	at net minecraft class 638 method 8538(class 638 java:408)_x000D_
	at net minecraft class 310 method 1587(class 310 java:2402)_x000D_
	at net minecraft class 310 method 1514(class 310 java:752)_x000D_
	at net minecraft client main Main main(Main java:238)_x000D_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fabricmc loader impl game minecraft MinecraftGameProvider launch(MinecraftGameProvider java:416)_x000D_
	at net fabricmc loader impl launch knot Knot launch(Knot java:77)_x000D_
	at net fabricmc loader impl launch knot KnotClient main(KnotClient java:23)_x000D_
_x000D_
   Last reload   _x000D_
Details:_x000D_
	Reload number: 1_x000D_
	Reload reason: initial_x000D_
	Finished: Yes_x000D_
	Packs: Default  Fabric Mods_x000D_
_x000D_
   System Details   _x000D_
Details:_x000D_
	Minecraft Version: 1 18 1_x000D_
	Minecraft Version ID: 1 18 1_x000D_
	Operating System: Linux (aarch64) version Android 11_x000D_
	Java Version: 17 internal  N A_x000D_
	Java VM Version: OpenJDK 64 Bit Server VM (mixed mode)  Oracle Corporation_x000D_
	Memory: 420293360 bytes (400 MiB)   1101004800 bytes (1050 MiB) up to 1101004800 bytes (1050 MiB)_x000D_
	CPUs: 8_x000D_
	Processor Vendor: 0x41_x000D_
	Processor Name: _x000D_
	Identifier: 0x41 Family 8 Model 0xd0a Stepping r0x1p0_x000D_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6294 02_x000D_
	Virtual memory used (MB): 9631 83_x000D_
	Swap memory total (MB): 2560 00_x000D_
	Swap memory used (MB): 2446 65_x000D_
	JVM Flags: 2 total   Xms1050M  Xmx1050M_x000D_
	Fabric Mods: _x000D_
		appleskin: AppleSkin 2 3 0 mc1 18 1_x000D_
		architectury: Architectury 3 7 26_x000D_
		cloth basic math: cloth basic math 0 6 0_x000D_
		cloth config: Cloth Config v6 6 2 57_x000D_
		com electronwill night config core: core 3 6 3_x000D_
		com electronwill night config toml: toml 3 6 3_x000D_
		com google code findbugs jsr305: jsr305 3 0 2_x000D_
		com typesafe config: config 1 4 1_x000D_
		confabricate: confabricate 2 2 0 SNAPSHOT 4 1 1_x000D_
		create: Create mc1 18 1 v0 4d 441_x000D_
		croptopia: Croptopia 1 8 1_x000D_
		dripstone fluid lib: Dripstone Fluid Lib 1 1 1_x000D_
		effective: Effective 1 1_x000D_
		fabric: Fabric API 0 46 4 1 18_x000D_
		fabric api base: Fabric API Base 0 4 2 d7c144a865_x000D_
		fabric api lookup api v1: Fabric API Lookup API (v1) 1 5 3 d7c144a865_x000D_
		fabric biome api v1: Fabric Biome API (v1) 6 0 2 d7c144a865_x000D_
		fabric blockrenderlayer v1: Fabric BlockRenderLayer Registration (v1) 1 1 10 3ac43d9565_x000D_
		fabric command api v1: Fabric Command API (v1) 1 1 7 d7c144a865_x000D_
		fabric commands v0: Fabric Commands (v0) 0 2 6 b4f4f6cd65_x000D_
		fabric containers v0: Fabric Containers (v0) 0 1 19 d7c144a865_x000D_
		fabric content registries v0: Fabric Content Registries (v0) 0 4 8 d7c144a865_x000D_
		fabric crash report info v1: Fabric Crash Report Info (v1) 0 1 9 3ac43d9565_x000D_
		fabric data generation api v1: Fabric Data Generation API (v1) 1 0 0 3fec4ad9c8_x000D_
		fabric dimensions v1: Fabric Dimensions API (v1) 2 1 10 a1d9bbf565_x000D_
		fabric entity events v1: Fabric Entity Events (v1) 1 4 6 d7c144a865_x000D_
		fabric events interaction v0: Fabric Events Interaction (v0) 0 4 17 d7c144a865_x000D_
		fabric events lifecycle v0: Fabric Events Lifecycle (v0) 0 2 9 d7c144a865_x000D_
		fabric game rule api v1: Fabric Game Rule API (v1) 1 0 11 d7c144a865_x000D_
		fabric item api v1: Fabric Item API (v1) 1 3 1 691a79b565_x000D_
		fabric item groups v0: Fabric Item Groups (v0) 0 3 6 3ac43d9565_x000D_
		fabric key binding api v1: Fabric Key Binding API (v1) 1 0 9 d7c144a865_x000D_
		fabric keybindings v0: Fabric Key Bindings (v0) 0 2 7 b4f4f6cd65_x000D_
		fabric lifecycle events v1: Fabric Lifecycle Events (v1) 1 4 13 713c266865_x000D_
		fabric loot tables v1: Fabric Loot Tables (v1) 1 0 9 d7c144a865_x000D_
		fabric mining level api v1: Fabric Mining Level API (v1) 1 0 6 d7c144a865_x000D_
		fabric mining levels v0: Fabric Mining Levels (v0) 0 1 11 b4f4f6cd65_x000D_
		fabric models v0: Fabric Models (v0) 0 3 4 d7c144a865_x000D_
		fabric networking api v1: Fabric Networking API (v1) 1 0 19 d7c144a865_x000D_
		fabric networking v0: Fabric Networking (v0) 0 3 6 b4f4f6cd65_x000D_
		fabric object builder api v1: Fabric Object Builder API (v1) 1 11 4 d7c144a865_x000D_
		fabric object builders v0: Fabric Object Builders (v0) 0 7 12 d7c144a865_x000D_
		fabric particles v1: Fabric Particles (v1) 0 2 10 526dc1ac65_x000D_
		fabric registry sync v0: Fabric Registry Sync (v0) 0 9 2 ad01bfbd65_x000D_
		fabric renderer api v1: Fabric Renderer API (v1) 0 4 11 b0b66fc365_x000D_
		fabric renderer indigo: Fabric Renderer   Indigo 0 4 15 6825030165_x000D_
		fabric renderer registries v1: Fabric Renderer Registries (v1) 3 2 10 b4f4f6cd65_x000D_
		fabric rendering data attachment v1: Fabric Rendering Data Attachment (v1) 0 3 5 d7c144a865_x000D_
		fabric rendering fluids v1: Fabric Rendering Fluids (v1) 0 1 19 3ac43d9565_x000D_
		fabric rendering v0: Fabric Rendering (v0) 1 1 12 b4f4f6cd65_x000D_
		fabric rendering v1: Fabric Rendering (v1) 1 10 6 713c266865_x000D_
		fabric resource conditions api v1: Fabric Resource Conditions API (v1) 1 0 2 d7c144a865_x000D_
		fabric resource loader v0: Fabric Resource Loader (v0) 0 4 14 713c266865_x000D_
		fabric screen api v1: Fabric Screen API (v1) 1 0 8 d7c144a865_x000D_
		fabric screen handler api v1: Fabric Screen Handler API (v1) 1 1 12 d7c144a865_x000D_
		fabric structure api v1: Fabric Structure API (v1) 2 1 3 d7c144a865_x000D_
		fabric tag extensions v0: Fabric Tag Extensions (v0) 1 2 8 d7c144a865_x000D_
		fabric textures v0: Fabric Textures (v0) 1 0 10 3ac43d9565_x000D_
		fabric tool attribute api v1: Fabric Tool Attribute API (v1) 1 3 8 fb3b57b465_x000D_
		fabric transfer api v1: Fabric Transfer API (v1) 1 5 9 d7c144a865_x000D_
		fabricloader: Fabric Loader 0 13 3_x000D_
		fake player api: Fake Player API 0 3 0_x000D_
		flywheel: Flywheel 1 18 0 6 1 24_x000D_
		forge tags: Forge Tags 2 0_x000D_
		forgeconfigapiport: Forge Config API Port 3 1 0_x000D_
		interactic: Interactic 0 1 8 1 18_x000D_
		io leangen geantyref geantyref: geantyref 1 3 11_x000D_
		iris: Iris 1 2 0 pre_x000D_
		java: OpenJDK 64 Bit Server VM 17_x000D_
		lithium: Lithium 0 7 8_x000D_
		milk: Milk Lib 0 1 6_x000D_
		minecraft: Minecraft 1 18 1_x000D_
		modmenu: Mod Menu 3 0 1_x000D_
		org anarres jcpp: jcpp 1 4 14_x000D_
		org joml joml: joml 1 10 2_x000D_
		org slf4j slf4j api: slf4j api 1 7 12_x000D_
		org spongepowered configurate core: configurate core 4 1 1_x000D_
		org spongepowered configurate extra dfu4: configurate extra dfu4 4 1 1_x000D_
		org spongepowered configurate gson: configurate gson 4 1 1_x000D_
		org spongepowered configurate hocon: configurate hocon 4 1 1_x000D_
		phosphor: Phosphor 0 8 1_x000D_
		reach entity attributes: Reach Entity Attributes 2 1 1_x000D_
		registrate fabric: Registrate for Fabric MC1 18 1 1 0 7_x000D_
		roughlyenoughitems: Roughly Enough Items 7 3 435_x000D_
		sodium: Sodium 0 4 0 alpha6 build 14_x000D_
	Flywheel Backend: GL33 Instanced Arrays_x000D_
	Launched Version: 1 18 1_x000D_
	Backend library: LWJGL version 3 2 3 SNAPSHOT_x000D_
	Backend API: virgl GL version 4 3 (Compatibility Profile) Mesa 21 2 1 (git c403646518)  Mesa X org_x000D_
	Window size: 2400x1080_x000D_
	GL Caps: Using framebuffer using OpenGL 3 2_x000D_
	GL debug messages: _x000D_
	Using VBOs: Yes_x000D_
	Is Modded: Definitely  Client brand changed to  fabric   Server brand changed to  fabric _x000D_
	Type: Integrated Server (map client txt)_x000D_
	Graphics mode: fast_x000D_
	Resource Packs: Fabric Mods_x000D_
	Current Language: English (US)_x000D_
	CPU: 8x _x000D_
	Server Running: true_x000D_
	Player Count: 1   8   class 3222  Trollge345  68  l  ServerLevel New World    x 24 31  y  8 00  z 59 72  _x000D_
	Data Packs: vanilla  Fabric Mods
    Steps To Reproduce
   markdown
Step 1  Play the fabric version of 1 18 1 with sodium and iris mod for minute hours _x000D_
Step 2  Set any graphic setting during gameplay_x000D_
Step 3  See it crash_x000D_
Step 4  Read crash log
    Expected Behavior
I expected the setting will work
    Platform
   markdown
  Device model: samsung galaxy a32_x000D_
  CPU architecture: aarch64_x000D_
  Android version: 11_x000D_
  PojavLauncher version:  A version with virglrenderer 
    Anything else 
Iris is a mod that allows you to use shader while playing with sodium mod  I use this mod to fix the virgl entity block bug that I reported  not for use with shader </t>
  </si>
  <si>
    <t>PojavLauncherTeam-PojavLauncher-2819</t>
  </si>
  <si>
    <t>It crash?! But how?</t>
  </si>
  <si>
    <t xml:space="preserve">    Describe the bug_x000D_
_x000D_
I play minecraft fabric version of 1 18 1 with create mod fabric port version of it  it was used to work perfectly fine  no error  no bugs  Untill one day  I play with it again  it crash  After I see it crash  I rage quit immedietly_x000D_
_x000D_
    The log file and images videos_x000D_
_x000D_
  Screenshot 20220228 102838 PojavLauncher (Minecraft Java Edition for Android) (https:  user images githubusercontent com 100254075 155919204 c67baf73 7c70 401a 8617 40110ce56a3a jpg)_x000D_
 10:20:19   main INFO : Loading Minecraft 1 18 1 with Fabric Loader 0 13 3  10:20:20   main INFO : Loading 70 mods: 	  appleskin 2 3 0 mc1 18 1 	  cloth basic math 0 6 0 via cloth config 	  cloth config 6 0 42 via appleskin 	  com electronwill night config core 3 6 3 via forgeconfigapiport 	  com electronwill night config toml 3 6 3 via forgeconfigapiport 	  com google code findbugs jsr305 3 0 2 via create 	  create mc1 18 1 v0 4d 440 	  dripstone fluid lib 1 1 1 via milk 	  effective 1 1 	  fabric 0 46 4 1 18 	  fabric api base 0 4 2 d7c144a865 via fabric 	  fabric api lookup api v1 1 5 3 d7c144a865 via fabric 	  fabric biome api v1 6 0 2 d7c144a865 via fabric 	  fabric blockrenderlayer v1 1 1 10 3ac43d9565 via fabric 	  fabric command api v1 1 1 7 d7c144a865 via fabric 	  fabric commands v0 0 2 6 b4f4f6cd65 via fabric 	  fabric containers v0 0 1 19 d7c144a865 via fabric 	  fabric content registries v0 0 4 8 d7c144a865 via fabric 	  fabric crash report info v1 0 1 9 3ac43d9565 via fabric 	  fabric data generation api v1 1 0 0 3fec4ad9c8 via registrate fabric 	  fabric dimensions v1 2 1 10 a1d9bbf565 via fabric 	  fabric entity events v1 1 4 6 d7c144a865 via fabric 	  fabric events interaction v0 0 4 17 d7c144a865 via fabric 	  fabric events lifecycle v0 0 2 9 d7c144a865 via fabric 	  fabric game rule api v1 1 0 11 d7c144a865 via fabric 	  fabric item api v1 1 3 1 691a79b565 via fabric 	  fabric item groups v0 0 3 6 3ac43d9565 via fabric 	  fabric key binding api v1 1 0 9 d7c144a865 via fabric 	  fabric keybindings v0 0 2 7 b4f4f6cd65 via fabric 	  fabric lifecycle events v1 1 4 13 713c266865 via fabric 	  fabric loot tables v1 1 0 9 d7c144a865 via fabric 	  fabric mining level api v1 1 0 6 d7c144a865 via fabric 	  fabric mining levels v0 0 1 11 b4f4f6cd65 via fabric 	  fabric models v0 0 3 4 d7c144a865 via fabric 	  fabric networking api v1 1 0 19 d7c144a865 via fabric 	  fabric networking v0 0 3 6 b4f4f6cd65 via fabric 	  fabric object builder api v1 1 11 4 d7c144a865 via fabric 	  fabric object builders v0 0 7 12 d7c144a865 via fabric 	  fabric particles v1 0 2 10 526dc1ac65 via fabric 	  fabric registry sync v0 0 9 2 ad01bfbd65 via fabric 	  fabric renderer api v1 0 4 11 b0b66fc365 via fabric 	  fabric renderer indigo 0 4 15 6825030165 via fabric 	  fabric renderer registries v1 3 2 10 b4f4f6cd65 via fabric 	  fabric rendering data attachment v1 0 3 5 d7c144a865 via fabric 	  fabric rendering fluids v1 0 1 19 3ac43d9565 via fabric 	  fabric rendering v0 1 1 12 b4f4f6cd65 via fabric 	  fabric rendering v1 1 10 6 713c266865 via fabric 	  fabric resource conditions api v1 1 0 2 d7c144a865 via fabric 	  fabric resource loader v0 0 4 14 713c266865 via fabric 	  fabric screen api v1 1 0 8 d7c144a865 via fabric 	  fabric screen handler api v1 1 1 12 d7c144a865 via fabric 	  fabric structure api v1 2 1 3 d7c144a865 via fabric 	  fabric tag extensions v0 1 2 8 d7c144a865 via fabric 	  fabric textures v0 1 0 10 3ac43d9565 via fabric 	  fabric tool attribute api v1 1 3 8 fb3b57b465 via fabric 	  fabric transfer api v1 1 5 9 d7c144a865 via fabric 	  fabricloader 0 13 3 	  fake player api 0 3 0 via create 	  flywheel 1 18 0 6 1 24 via create 	  forge tags 2 0 via create 	  forgeconfigapiport 3 1 0 via create 	  interactic 0 1 8 1 18 	  java 17 	  milk 0 1 6 via create 	  minecraft 1 18 1 	  mm 2 3 via optifabric 	  modmenu 3 0 1 	  optifabric 1 12 10 	  reach entity attributes 2 1 1 via create 	  registrate fabric MC1 18 1 1 0 7 via create  10:20:20   main WARN : Mod  create  (mc1 18 1 v0 4d 440) does not respect SemVer   comparison support is limited   10:20:20   main WARN : Mod  registrate fabric  (MC1 18 1 1 0 7) does not respect SemVer   comparison support is limited   10:20:21   main INFO : SpongePowered MIXIN Subsystem Version 0 8 5 Source file: storage emulated 0 Android data net kdt pojavlaunch files  minecraft libraries net fabricmc sponge mixin 0 11 2 mixin 0 8 5 sponge mixin 0 11 2 mixin 0 8 5 jar Service Knot Fabric Env CLIENT  10:20:21   main INFO : Compatibility level set to JAVA 17  10:20:29   main ERROR : Minecraft has crashed  net fabricmc loader impl FormattedException: java lang ExceptionInInitializerError 	at net fabricmc loader impl game minecraft MinecraftGameProvider launch(MinecraftGameProvider java:418)   fabric loader 0 13 3 jar:   	at net fabricmc loader impl launch knot Knot launch(Knot java:77)  fabric loader 0 13 3 jar:   	at net fabricmc loader impl launch knot KnotClient main(KnotClient java:23)  fabric loader 0 13 3 jar:   Caused by: java lang ExceptionInInitializerError 	at net minecraft class 128 method 568(class 128 java:173)   client intermediary jar:   	at net minecraft class 128 method 24305(class 128 java:343)   client intermediary jar:   	at net minecraft client main Main main(Main java:153)   fabric loader 0 13 3 1 18 1 jar:   	at jdk internal reflect NativeMethodAccessorImpl invoke0(Native Method)    :   	at jdk internal reflect NativeMethodAccessorImpl invoke(NativeMethodAccessorImpl java:77)    :   	at jdk internal reflect DelegatingMethodAccessorImpl invoke(DelegatingMethodAccessorImpl java:43)    :   	at java lang reflect Method invoke(Method java:568)    :   	at net fabricmc loader impl game minecraft MinecraftGameProvider launch(MinecraftGameProvider java:416)   fabric loader 0 13 3 jar:   	    2 more Caused by: java lang RuntimeException: Mixin transformation of net minecraft class 761 failed 	at net fabricmc loader impl launch knot KnotClassDelegate getPostMixinClassByteArray(KnotClassDelegate java:252)   fabric loader 0 13 3 jar:   	at net fabricmc loader impl launch knot KnotClassDelegate tryLoadClass(KnotClassDelegate java:150)   fabric loader 0 13 3 jar:   	at net fabricmc loader impl launch knot KnotClassLoader loadClass(KnotClassLoader java:155)   fabric loader 0 13 3 jar:   	at java lang ClassLoader loadClass(ClassLoader java:520)    :   	at net optifine reflect Reflector  clinit (Reflector java:284)   Optifine mapped jar:   	at net minecraft class 128 method 568(class 128 java:173)   client intermediary jar:   	at net minecraft class 128 method 24305(class 128 java:343)   client intermediary jar:   	at net minecraft client main Main main(Main java:153)   fabric loader 0 13 3 1 18 1 jar:   	at jdk internal reflect NativeMethodAccessorImpl invoke0(Native Method)    :   	at jdk internal reflect NativeMethodAccessorImpl invoke(NativeMethodAccessorImpl java:77)    :   	at jdk internal reflect DelegatingMethodAccessorImpl invoke(DelegatingMethodAccessorImpl java:43)    :   	at java lang reflect Method invoke(Method java:568)    :   	at net fabricmc loader impl game minecraft MinecraftGameProvider launch(MinecraftGameProvider java:416)   fabric loader 0 13 3 jar:   	    2 more Caused by: org spongepowered asm mixin transformer throwables MixinTransformerError: An unexpected critical error was encountered 	at org spongepowered asm mixin transformer MixinProcessor applyMixins(MixinProcessor java:392)   sponge mixin 0 11 2 mixin 0 8 5 jar:0 11 2 mixin 0 8 5  	at org spongepowered asm mixin transformer MixinTransformer transformClass(MixinTransformer java:234)   sponge mixin 0 11 2 mixin 0 8 5 jar:0 11 2 mixin 0 8 5  	at org spongepowered asm mixin transformer MixinTransformer transformClassBytes(MixinTransformer java:202)   sponge mixin 0 11 2 mixin 0 8 5 jar:0 11 2 mixin 0 8 5  	at net fabricmc loader impl launch knot KnotClassDelegate getPostMixinClassByteArray(KnotClassDelegate java:247)   fabric loader 0 13 3 jar:   	at net fabricmc loader impl launch knot KnotClassDelegate tryLoadClass(KnotClassDelegate java:150)   fabric loader 0 13 3 jar:   	at net fabricmc loader impl launch knot KnotClassLoader loadClass(KnotClassLoader java:155)   fabric loader 0 13 3 jar:   	at java lang ClassLoader loadClass(ClassLoader java:520)    :   	at net optifine reflect Reflector  clinit (Reflector java:284)   Optifine mapped jar:   	at net minecraft class 128 method 568(class 128 java:173)   client intermediary jar:   	at net minecraft class 128 method 24305(class 128 java:343)   client intermediary jar:   	at net minecraft client main Main main(Main java:153)   fabric loader 0 13 3 1 18 1 jar:   	at jdk internal reflect NativeMethodAccessorImpl invoke0(Native Method)    :   	at jdk internal reflect NativeMethodAccessorImpl invoke(NativeMethodAccessorImpl java:77)    :   	at jdk internal reflect DelegatingMethodAccessorImpl invoke(DelegatingMethodAccessorImpl java:43)    :   	at java lang reflect Method invoke(Method java:568)    :   	at net fabricmc loader impl game minecraft MinecraftGameProvider launch(MinecraftGameProvider java:416)   fabric loader 0 13 3 jar:   	    2 more Caused by: org spongepowered asm mixin injection throwables InjectionError: Critical injection failure: Variable modifier method wrapBlockEntityIterator(Ljava util Iterator )Ljava util Iterator  in create lib mixins client json:LevelRendererMixin from mod create failed injection check  (0 1) succeeded  Scanned 1 target(s)  Using refmap create refmap json Messages:    At( STORE  implicit Iterator) has invalid IMPLICIT discriminator for opcode 1151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1159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1172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1196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1200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1232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1255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1273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1279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1312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1320 in net minecraft class 761::method 22710(Lnet minecraft class 4587 FJZLnet minecraft class 4184 Lnet minecraft class 757 Lnet minecraft class 765 Lnet minecraft class 1159 )V: Found 3 candidate variables but exactly 1 is required   At( STORE  implicit Iterator) has invalid IMPLICIT discriminator for opcode 1328 in net minecraft class 761::method 22710(Lnet minecraft class 4587 FJZLnet minecraft class 4184 Lnet minecraft class 757 Lnet minecraft class 765 Lnet minecraft class 1159 )V: Found 3 candidate variables but exactly 1 is required   At( STORE  implicit Iterator) has invalid IMPLICIT discriminator for opcode 1341 in net minecraft class 761::method 22710(Lnet minecraft class 4587 FJZLnet minecraft class 4184 Lnet minecraft class 757 Lnet minecraft class 765 Lnet minecraft class 1159 )V: Found 2 candidate variables but exactly 1 is required   At( STORE  implicit Iterator) has invalid IMPLICIT discriminator for opcode 1365 in net minecraft class 761::method 22710(Lnet minecraft class 4587 FJZLnet minecraft class 4184 Lnet minecraft class 757 Lnet minecraft class 765 Lnet minecraft class 1159 )V: Found 2 candidate variables but exactly 1 is required   	at org spongepowered asm mixin injection struct InjectionInfo postInject(InjectionInfo java:468)   sponge mixin 0 11 2 mixin 0 8 5 jar:0 11 2 mixin 0 8 5  	at org spongepowered asm mixin transformer MixinTargetContext applyInjections(MixinTargetContext java:1385)   sponge mixin 0 11 2 mixin 0 8 5 jar:0 11 2 mixin 0 8 5  	at org spongepowered asm mixin transformer MixinApplicatorStandard applyInjections(MixinApplicatorStandard java:1052)   sponge mixin 0 11 2 mixin 0 8 5 jar:0 11 2 mixin 0 8 5  	at org spongepowered asm mixin transformer MixinApplicatorStandard applyMixin(MixinApplicatorStandard java:400)   sponge mixin 0 11 2 mixin 0 8 5 jar:0 11 2 mixin 0 8 5  	at org spongepowered asm mixin transformer MixinApplicatorStandard apply(MixinApplicatorStandard java:325)   sponge mixin 0 11 2 mixin 0 8 5 jar:0 11 2 mixin 0 8 5  	at org spongepowered asm mixin transformer TargetClassContext apply(TargetClassContext java:421)   sponge mixin 0 11 2 mixin 0 8 5 jar:0 11 2 mixin 0 8 5  	at org spongepowered asm mixin transformer TargetClassContext applyMixins(TargetClassContext java:403)   sponge mixin 0 11 2 mixin 0 8 5 jar:0 11 2 mixin 0 8 5  	at org spongepowered asm mixin transformer MixinProcessor applyMixins(MixinProcessor java:363)   sponge mixin 0 11 2 mixin 0 8 5 jar:0 11 2 mixin 0 8 5  	at org spongepowered asm mixin transformer MixinTransformer transformClass(MixinTransformer java:234)   sponge mixin 0 11 2 mixin 0 8 5 jar:0 11 2 mixin 0 8 5  	at org spongepowered asm mixin transformer MixinTransformer transformClassBytes(MixinTransformer java:202)   sponge mixin 0 11 2 mixin 0 8 5 jar:0 11 2 mixin 0 8 5  	at net fabricmc loader impl launch knot KnotClassDelegate getPostMixinClassByteArray(KnotClassDelegate java:247)   fabric loader 0 13 3 jar:   	at net fabricmc loader impl launch knot KnotClassDelegate tryLoadClass(KnotClassDelegate java:150)   fabric loader 0 13 3 jar:   	at net fabricmc loader impl launch knot KnotClassLoader loadClass(KnotClassLoader java:155)   fabric loader 0 13 3 jar:   	at java lang ClassLoader loadClass(ClassLoader java:520)    :   	at net optifine reflect Reflector  clinit (Reflector java:284)   Optifine mapped jar:   	at net minecraft class 128 method 568(class 128 java:173)   client intermediary jar:   	at net minecraft class 128 method 24305(class 128 java:343)   client intermediary jar:   	at net minecraft client main Main main(Main java:153)   fabric loader 0 13 3 1 18 1 jar:   	at jdk internal reflect NativeMethodAccessorImpl invoke0(Native Method)    :   	at jdk internal reflect NativeMethodAccessorImpl invoke(NativeMethodAccessorImpl java:77)    :   	at jdk internal reflect DelegatingMethodAccessorImpl invoke(DelegatingMethodAccessorImpl java:43)    :   	at java lang reflect Method invoke(Method java:568)    :   	at net fabricmc loader impl game minecraft MinecraftGameProvider launch(MinecraftGameProvider java:416)   fabric loader 0 13 3 jar:   	    2 more_x000D_
_x000D_
    Steps To Reproduce_x000D_
_x000D_
   markdown_x000D_
Step 1  Play pojavlauncher fabric 1 18 1 with create mod fabric port from this link_x000D_
         _x000D_
https:  github com Fabricators of Create Create actions_x000D_
Step 2  Rage quit (see the game crash)_x000D_
   _x000D_
_x000D_
_x000D_
    Expected Behavior_x000D_
_x000D_
I expected the gane to launch perfectly fine like it was to _x000D_
_x000D_
    Platform_x000D_
_x000D_
   markdown_x000D_
  Device model: samsung galaxy a32_x000D_
  CPU architecture: aarch64_x000D_
  Android version: 11_x000D_
  PojavLauncher version:  A playstore version _x000D_
   _x000D_
_x000D_
_x000D_
    Anything else _x000D_
_x000D_
This bug was fixed now  I know what cause it to crash  it because of optifine </t>
  </si>
  <si>
    <t>Anuken-Mindustry-6605</t>
  </si>
  <si>
    <t>Crash when automatic nightlight is changing</t>
  </si>
  <si>
    <t xml:space="preserve">  Platform  :  Android 9 _x000D_
_x000D_
  Build  :  126 2 _x000D_
_x000D_
  Issue  :  Game crashes when automatic nightlight is changing on or off  _x000D_
_x000D_
  Steps to reproduce  :  Turn the option on  start game  When the screen color is about to change the game crashes  _x000D_
_x000D_
  Link(s) to mod(s) used  :   Vanilla _x000D_
_x000D_
  Save file  :  (https:  github com Anuken Mindustry files 8148520 log txt) _x000D_
_x000D_
  (Crash) logs  :  (https:  github com Anuken Mindustry files 8148521 save1 zip) _x000D_
_x000D_
   _x000D_
_x000D_
   x    I have updated to the latest release using Google play store (https:  github com Anuken Mindustry releases) to make sure my issue has not been fixed   _x000D_
   x    I have searched the closed and open issues to make sure that this problem has not already been reported   _x000D_
</t>
  </si>
  <si>
    <t>SkyTubeTeam-SkyTube-1032</t>
  </si>
  <si>
    <t>Skytube crashes when I try to search a video</t>
  </si>
  <si>
    <t xml:space="preserve">  Describe the bug  _x000D_
Skytube crashes when I try to search a video_x000D_
_x000D_
  To Reproduce  _x000D_
Steps to reproduce the behavior:_x000D_
1  Open skytube_x000D_
2  Touch on search icon_x000D_
3  Keyboard doesn t show_x000D_
4  App freezes and closes_x000D_
_x000D_
  Expected behavior  _x000D_
Shows the keyboard to write the keywords and search_x000D_
_x000D_
  Screenshots  _x000D_
I can t make a screenshot when app freezes_x000D_
_x000D_
 Setup:  _x000D_
   Android version: 4 2 2 _x000D_
   Is Your device rooted  No_x000D_
   Do You use Tor or any VPN service with your device  No_x000D_
   App source: FDroid_x000D_
   App Version: 2 980_x000D_
   App Flavour: Extra_x000D_
   Device: Samsung Galaxy S4</t>
  </si>
  <si>
    <t>PojavLauncherTeam-PojavLauncher-2808</t>
  </si>
  <si>
    <t>Crash using Forge 1.16.5</t>
  </si>
  <si>
    <t xml:space="preserve">    Describe the bug
I was using one mod (Crafting Dead) and it worked fine but after some update in the app or forge idk it doesn t load my world (crashes after 100  loaded)
    The log file and images videos
 crash 2022 02 26 10 57 03 client txt (https:  github com PojavLauncherTeam PojavLauncher files 8146436 crash 2022 02 26 10 57 03 client txt)_x000D_
    Steps To Reproduce
   markdown
1  Start pojav launcher with latest forge 1 16 5 installed_x000D_
2  Load a world_x000D_
3  Crash
    Expected Behavior
I expected the game to launch
    Platform
   markdown
  Device model: Redmi 9 Power_x000D_
  CPU architecture: Andreno64_x000D_
  Android version: 11_x000D_
  PojavLauncher version: Latest Release
    Anything else 
 No response </t>
  </si>
  <si>
    <t>doublesymmetry-react-native-track-player-1420</t>
  </si>
  <si>
    <t>The track does not remove when unmounting screen</t>
  </si>
  <si>
    <t xml:space="preserve">  Describe the Bug  _x000D_
I m using Track Player with version  2 2 0 beta14  I want to stop the Player and remove tracks from the queue when the screen gets unmounted  but it crashing in ios and not removing tracks from the queue   _x000D_
_x000D_
  Steps To Reproduce  _x000D_
add tracks in React useEffect and in return function of useEffect remove tracks  _x000D_
_x000D_
  Code To Reproduce  _x000D_
  const addTrack   async (tracks: TrackModel  )     _x000D_
        await TrackPlayer add(tracks)_x000D_
     _x000D_
_x000D_
    const removeTracks   async ()     _x000D_
        const trackIndexs : number        _x000D_
        tracks map((   i)     _x000D_
            trackIndexs push(i)_x000D_
         )_x000D_
        await TrackPlayer remove(trackIndexs)_x000D_
     _x000D_
_x000D_
 useEffect(()     _x000D_
_x000D_
        setTimeout(()     _x000D_
            addTrack(tracks)_x000D_
           1000)_x000D_
_x000D_
        return ()     _x000D_
           removeTracks()    not working still in cache _x000D_
         _x000D_
_x000D_
         )_x000D_
_x000D_
  Environment Info:  _x000D_
 react native track player :   2 2 0 beta14  _x000D_
_x000D_
_x000D_
  How I can Help  _x000D_
What can you do to help resolve this _x000D_
Have you investigated the underlying JS or Swift Android code causing this bug _x000D_
Can you create a Pull Request with a fix _x000D_
</t>
  </si>
  <si>
    <t>PojavLauncherTeam-PojavLauncher-2807</t>
  </si>
  <si>
    <t>As soon as I create a world it crashes</t>
  </si>
  <si>
    <t xml:space="preserve">)_x000D_
    Describe the bug_x000D_
_x000D_
So  i install Minecraft forge 1 12 2 on my pojav  open it up  create a world and when i creat the world it tells me  shutting down internal server  and then it tells me  the application game has been closed with the code  1  and here is an image of the crash report_x000D_
_x000D_
    The log file and images videos_x000D_
_x000D_
  Screenshot 2022 02 26 09 58 55 497 net kdt pojavlaunch (https:  user images githubusercontent com 100465915 155837109 3032b942 905e 4b8d b1e7 5bd02e703f87 jpg)_x000D_
  Screenshot 2022 02 26 10 00 42 194 net kdt pojavlaunch (https:  user images githubusercontent com 100465915 155837176 9378f47f 928a 4c51 a1cc 2fdbb7b30ef8 jpg)_x000D_
  Screenshot 2022 02 26 10 00 52 285 net kdt pojavlaunch (https:  user images githubusercontent com 100465915 155837178 32f996d6 f657 4cf5 8bb3 59e87bedd019 jpg)_x000D_
  Screenshot 2022 02 26 10 01 03 942 net kdt pojavlaunch (https:  user images githubusercontent com 100465915 155837179 7bb60a85 53f4 4f96 9e3b 6c26afe1aa66 jpg)_x000D_
  Screenshot 2022 02 26 10 01 09 927 net kdt pojavlaunch (https:  user images githubusercontent com 100465915 155837180 3ddbc4d8 f938 4b8f 8627 2ac45af832eb jpg)_x000D_
  Screenshot 2022 02 26 10 01 16 932 net kdt pojavlaunch (https:  user images githubusercontent com 100465915 155837182 7b24d0d4 7963 4dbb b088 ad9f809e9101 jpg)_x000D_
  Screenshot 2022 02 26 10 01 34 409 net kdt pojavlaunch (https:  user images githubusercontent com 100465915 155837183 352d5d16 b86a 49cf 8174 dd9977e7a5dc jpg)_x000D_
  Screenshot 2022 02 26 10 01 29 429 net kdt pojavlaunch (https:  user images githubusercontent com 100465915 155837185 3185ffc9 7cfc 4114 ada9 6a28514ddbcb jpg)_x000D_
  Screenshot 2022 02 26 10 01 21 238 net kdt pojavlaunch (https:  user images githubusercontent com 100465915 155837186 3468cecc b328 4a3a b571 edbc97ea24a6 jpg)_x000D_
  Screenshot 2022 02 26 10 01 38 434 net kdt pojavlaunch (https:  user images githubusercontent com 100465915 155837187 418a7465 2c2b 4ef6 84dc b1b149aed955 jpg_x000D_
_x000D_
    Steps To Reproduce_x000D_
_x000D_
   markdown_x000D_
1 open pojav launcher 1 12 2 forge_x000D_
2 create a world _x000D_
And there you go_x000D_
   _x000D_
_x000D_
_x000D_
    Expected Behavior_x000D_
_x000D_
I expected it to just open and that s all_x000D_
_x000D_
    Platform_x000D_
_x000D_
   markdown_x000D_
  Device model: Xiaomi 11 lite _x000D_
  CPU architecture:   4 cores at 1 9 GHz: Kryo 670 Silver (Cortex A55)_x000D_
  3 cores at 2 2 GHz: Kryo 670 Gold (Cortex A78)_x000D_
  1 core at 2 4 GHz: Kryo 670 Prime (Cortex A78)_x000D_
  Android version:10 _x000D_
  PojavLauncher version: latest one_x000D_
   _x000D_
_x000D_
_x000D_
    Anything else _x000D_
_x000D_
The text is in italian ignore it lol </t>
  </si>
  <si>
    <t>PojavLauncherTeam-PojavLauncher-2805</t>
  </si>
  <si>
    <t>Roughly enough items mod crash</t>
  </si>
  <si>
    <t xml:space="preserve">    Describe the bug
My Pojavlauncher crash because I olay it with  Roughly enough items  mod  this bug was so annoying that it give me EMOTIONAL DAMAGE
    The log file and images videos
No log or photos  because it crash without any reason
    Steps To Reproduce
   markdown
Step 1  Play pojav launcher version on playstore _x000D_
Step 2  Play fabric version of minecraft with mod  Roughly enough items  mod _x000D_
Step 3  EMOTIONAL DAMAGE (see it crash without tell any reason)
    Expected Behavior
I expected the game to launch as normal
    Platform
   markdown
  Device model: samsung galaxy a32 _x000D_
  CPU architecture: aarch64_x000D_
  Android version: 11_x000D_
  PojavLauncher version:  A playstore version of it 
    Anything else 
Nothing more</t>
  </si>
  <si>
    <t>dedis-popstellar-849</t>
  </si>
  <si>
    <t>[BUG] Project crashes with node version &gt;= 17.x</t>
  </si>
  <si>
    <t xml:space="preserve">    Description (Actual behavior)_x000D_
_x000D_
Project does not compile launch with node version    17 x_x000D_
_x000D_
   _x000D_
Error: error:0308010C:digital envelope routines::unsupported_x000D_
_x000D_
   _x000D_
_x000D_
 _x000D_
  opensslErrorStack:    error:03000086:digital envelope routines::initialization error    _x000D_
  library:  digital envelope routines  _x000D_
  reason:  unsupported  _x000D_
  code:  ERR OSSL EVP UNSUPPORTED _x000D_
 _x000D_
   _x000D_
_x000D_
    Expected behavior_x000D_
No crash when building the project_x000D_
_x000D_
    How to reproduce_x000D_
   bash_x000D_
npm i_x000D_
npm start_x000D_
w   start web version_x000D_
   _x000D_
_x000D_
    Version   Environment_x000D_
This bug was reproduced on:_x000D_
  Commit:  4230f91 (https:  github com dedis popstellar commit 4230f914a50de09007c556b8ac79add0fcb2ca07)_x000D_
_x000D_
      Environment (as applicable):_x000D_
   OS: MacOS 12 2 1_x000D_
   Browser: does not matter in this case (Firefox)_x000D_
_x000D_
    Workaround_x000D_
   bash_x000D_
export NODE OPTIONS   openssl legacy provider_x000D_
   _x000D_
</t>
  </si>
  <si>
    <t>androidx-constraintlayout-526</t>
  </si>
  <si>
    <t xml:space="preserve">MotionLayout is crashing </t>
  </si>
  <si>
    <t xml:space="preserve">The motion layout is crashing with this error _x000D_
_x000D_
   _x000D_
java lang IllegalArgumentException: Failed requirement _x000D_
        at androidx compose ui node MeasureAndLayoutDelegate doRemeasure(MeasureAndLayoutDelegate kt:177)_x000D_
        at androidx compose ui node MeasureAndLayoutDelegate remeasureAndRelayoutIfNeeded(MeasureAndLayoutDelegate kt:228)_x000D_
        at androidx compose ui node MeasureAndLayoutDelegate access remeasureAndRelayoutIfNeeded(MeasureAndLayoutDelegate kt:38)_x000D_
        at androidx compose ui node MeasureAndLayoutDelegate measureAndLayout(MeasureAndLayoutDelegate kt:201)_x000D_
        at androidx compose ui platform AndroidComposeView measureAndLayout(AndroidComposeView android kt:662)_x000D_
        at androidx compose ui node Owner DefaultImpls measureAndLayout default(Owner kt:182)_x000D_
        at androidx compose ui platform AndroidComposeView dispatchDraw(AndroidComposeView android kt:846)_x000D_
        at android view View draw(View java:22648)_x000D_
        at android view View updateDisplayListIfDirty(View java:21520)_x000D_
        at android view ViewGroup recreateChildDisplayList(ViewGroup java:4512)_x000D_
        at android view ViewGroup dispatchGetDisplayList(ViewGroup java:4485)_x000D_
        at android view View updateDisplayListIfDirty(View java:21476)_x000D_
        at android view ViewGroup recreateChildDisplayList(ViewGroup java:4512)_x000D_
        at android view ViewGroup dispatchGetDisplayList(ViewGroup java:4485)_x000D_
        at android view View updateDisplayListIfDirty(View java:21476)_x000D_
        at android view ViewGroup recreateChildDisplayList(ViewGroup java:4512)_x000D_
        at android view ViewGroup dispatchGetDisplayList(ViewGroup java:4485)_x000D_
        at android view View updateDisplayListIfDirty(View java:21476)_x000D_
        at android view ViewGroup recreateChildDisplayList(ViewGroup java:4512)_x000D_
        at android view ViewGroup dispatchGetDisplayList(ViewGroup java:4485)_x000D_
        at android view View updateDisplayListIfDirty(View java:21476)_x000D_
        at android view ThreadedRenderer updateViewTreeDisplayList(ThreadedRenderer java:534)_x000D_
        at android view ThreadedRenderer updateRootDisplayList(ThreadedRenderer java:540)_x000D_
        at android view ThreadedRenderer draw(ThreadedRenderer java:616)_x000D_
        at android view ViewRootImpl draw(ViewRootImpl java:4438)_x000D_
        at android view ViewRootImpl performDraw(ViewRootImpl java:4166)_x000D_
        at android view ViewRootImpl performTraversals(ViewRootImpl java:3326)_x000D_
        at android view ViewRootImpl doTraversal(ViewRootImpl java:2143)_x000D_
        at android view ViewRootImpl TraversalRunnable run(ViewRootImpl java:8665)_x000D_
        at android view Choreographer CallbackRecord run(Choreographer java:1037)_x000D_
        at android view Choreographer doCallbacks(Choreographer java:845)_x000D_
        at android view Choreographer doFrame(Choreographer java:780)_x000D_
        at android view Choreographer FrameDisplayEventReceiver run(Choreographer java:1022)_x000D_
        at android os Handler handleCallback(Handler java:938)_x000D_
        at android os Handler dispatchMessage(Handler java:99)_x000D_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_x000D_
_x000D_
this is my code_x000D_
   _x000D_
  var sectionsState: Boolean by rememberSaveable   mutableStateOf(false)  _x000D_
_x000D_
  val collapsedSet   getCollapsedConstraints()_x000D_
  val expandedSet   getExpandedConstraints()_x000D_
_x000D_
  val progress by animateFloatAsState(_x000D_
    targetValue   if (sectionsState) 1f else 0f _x000D_
    animationSpec   tween(150)_x000D_
  )_x000D_
_x000D_
MotionLayout(_x000D_
      start   collapsedSet _x000D_
      end   expandedSet _x000D_
      progress   progress _x000D_
      modifier   Modifier fillMaxSize() _x000D_
    )  _x000D_
   _x000D_
 _x000D_
_x000D_
_x000D_
_x000D_
private fun getCollapsedConstraints(): ConstraintSet   ConstraintSet  _x000D_
  val title   createRefFor( title )_x000D_
  val subtitle   createRefFor( subtitle )_x000D_
  val toggle   createRefFor( toggle )_x000D_
  val sections   createRefFor( sections )_x000D_
  val timers   createRefFor( timers )_x000D_
_x000D_
_x000D_
  constrain(title)  _x000D_
    width   Dimension wrapContent_x000D_
    height   Dimension wrapContent_x000D_
    end linkTo(parent end)_x000D_
    start linkTo(parent start)_x000D_
    top linkTo(parent top)_x000D_
   _x000D_
  constrain(subtitle)  _x000D_
    width   Dimension wrapContent_x000D_
    height   Dimension wrapContent_x000D_
    end linkTo(parent end)_x000D_
    start linkTo(parent start)_x000D_
    top linkTo(title bottom)_x000D_
   _x000D_
  constrain(sections)  _x000D_
    width   Dimension matchParent_x000D_
    height   Dimension wrapContent_x000D_
    start linkTo(parent start)_x000D_
    end linkTo(parent end)_x000D_
    bottom linkTo(parent top)_x000D_
   _x000D_
  constrain(toggle)  _x000D_
    end linkTo(parent end)_x000D_
    top linkTo(sections bottom)_x000D_
   _x000D_
  constrain(timers)  _x000D_
    width   Dimension wrapContent_x000D_
    height   Dimension wrapContent_x000D_
    start linkTo(parent start)_x000D_
    end linkTo(parent end)_x000D_
    bottom linkTo(parent bottom)_x000D_
   _x000D_
 _x000D_
_x000D_
private fun getExpandedConstraints(): ConstraintSet   ConstraintSet  _x000D_
  val title   createRefFor( title )_x000D_
  val subtitle   createRefFor( subtitle )_x000D_
  val toggle   createRefFor( toggle )_x000D_
  val sections   createRefFor( sections )_x000D_
  val timers   createRefFor( timers )_x000D_
_x000D_
_x000D_
  constrain(title)  _x000D_
    width   Dimension wrapContent_x000D_
    height   Dimension wrapContent_x000D_
    end linkTo(parent end)_x000D_
    start linkTo(parent start)_x000D_
    top linkTo(parent top)_x000D_
   _x000D_
  constrain(subtitle)  _x000D_
    width   Dimension wrapContent_x000D_
    height   Dimension wrapContent_x000D_
    end linkTo(parent end)_x000D_
    start linkTo(parent start)_x000D_
    top linkTo(title bottom)_x000D_
   _x000D_
  constrain(sections)  _x000D_
    width   Dimension matchParent_x000D_
    height   Dimension wrapContent_x000D_
    start linkTo(parent start)_x000D_
    end linkTo(parent end)_x000D_
    top linkTo(parent top)_x000D_
   _x000D_
  constrain(toggle)  _x000D_
    end linkTo(parent end)_x000D_
    top linkTo(sections bottom)_x000D_
   _x000D_
  constrain(timers)  _x000D_
    width   Dimension wrapContent_x000D_
    height   Dimension wrapContent_x000D_
    start linkTo(parent start)_x000D_
    end linkTo(parent end)_x000D_
    bottom linkTo(parent bottom)_x000D_
   _x000D_
 _x000D_
   </t>
  </si>
  <si>
    <t>PojavLauncherTeam-PojavLauncher-2793</t>
  </si>
  <si>
    <t>[BUG] Minecraft crashing when I open multiplayer server.</t>
  </si>
  <si>
    <t xml:space="preserve">    Describe the bug
So I got Pojav Launcher and I tried to join an server in 1 18 1  When I joined  I could only walk around for 3 4 seconds and Pojav Launcher would close without a crash report (The server was a small server with only 1 online at the time)  So then I tried playing a PvP server in 1 8 9 and the same thing happened  No crash reports or anything  Please help
    The log file and images videos
I replaced the log file with another new log file
    Steps To Reproduce
   markdown
1) Start Pojav Launcher_x000D_
2) Select Any Version_x000D_
3) Play_x000D_
4) Join a Server_x000D_
5) Do anything in the server for 3 4 seconds_x000D_
And the game crashes
    Expected Behavior
I expected the server to normally load and I can play without any problem
    Platform
   markdown
  Device model: Realme 7 Pro_x000D_
  CPU architecture: x64_x000D_
  Android version: Android 11_x000D_
  PojavLauncher version: Play Store Latest Version
    Anything else 
 No response </t>
  </si>
  <si>
    <t>Tornaco-Thanox-420</t>
  </si>
  <si>
    <t>查看通知记录，部分通知点击重现thanox会停止运行</t>
  </si>
  <si>
    <t xml:space="preserve">               thanox     _x000D_
_x000D_
                   Google Play                _x000D_
_x000D_
                    _x000D_
           _x000D_
                                _x000D_
                       _x000D_
  Video 20220223 072059 33 (https:  user images githubusercontent com 98635421 155542411 6e3e102f fded 4bd0 ac34 b07498e799ea gif)_x000D_
_x000D_
thanox   3 7 1 prc_x000D_
     Android 12 MIUI 13  22 2 21_x000D_
_x000D_
   _x000D_
 crash github tornaco android thanos 2022 02 23 18:48:48 log (https:  github com Tornaco Thanox files 8133248 crash github tornaco android thanos 2022 02 23 18 48 48 log)_x000D_
 crash github tornaco android thanos 2022 02 23 18:48:59 log (https:  github com Tornaco Thanox files 8133249 crash github tornaco android thanos 2022 02 23 18 48 59 log)_x000D_
 crash github tornaco android thanos 2022 02 23 18:50:11 log (https:  github com Tornaco Thanox files 8133250 crash github tornaco android thanos 2022 02 23 18 50 11 log)_x000D_
 crash github tornaco android thanos 2022 02 23 19:16:57 log (https:  github com Tornaco Thanox files 8133251 crash github tornaco android thanos 2022 02 23 19 16 57 log)_x000D_
 crash github tornaco android thanos 2022 02 23 19:17:07 log (https:  github com Tornaco Thanox files 8133252 crash github tornaco android thanos 2022 02 23 19 17 07 log)_x000D_
 crash github tornaco android thanos 2022 02 23 21:21:24 log (https:  github com Tornaco Thanox files 8133253 crash github tornaco android thanos 2022 02 23 21 21 24 log)_x000D_
 crash github tornaco android thanos 2022 02 23 21:22:06 log (https:  github com Tornaco Thanox files 8133254 crash github tornaco android thanos 2022 02 23 21 22 06 log)_x000D_
</t>
  </si>
  <si>
    <t>PojavLauncherTeam-PojavLauncher-2788</t>
  </si>
  <si>
    <t>Wthecc</t>
  </si>
  <si>
    <t xml:space="preserve">    Describe the bug
This bug just occurs for unexpected reason even tho it was used to work finely
    The log file and images videos
     Minecraft Crash Report     _x000D_
   Would you like a cupcake _x000D_
_x000D_
Time: 2 24 22  9:54 AM_x000D_
Description: mouseClicked event handler_x000D_
_x000D_
java lang OutOfMemoryError: Java heap space_x000D_
_x000D_
_x000D_
A detailed walkthrough of the error  its code path and all known details is as follows:_x000D_
                                                                                       _x000D_
_x000D_
   Head   _x000D_
Thread: Render thread_x000D_
Stacktrace:_x000D_
	at net minecraft class 437 method 25412(class 437 java:494)_x000D_
_x000D_
   Affected screen   _x000D_
Details:_x000D_
	Screen name: net minecraft class 410_x000D_
Stacktrace:_x000D_
	at net minecraft class 437 method 25412(class 437 java:494)_x000D_
	at net minecraft class 312 method 1601(class 312 java:94)_x000D_
	at net minecraft class 312 method 22686(class 312 java:165)_x000D_
	at net minecraft class 1255 execute(class 1255 java:118)_x000D_
	at net minecraft class 312 method 22684(class 312 java:165)_x000D_
	at org lwjgl glfw GLFWMouseButtonCallback Container invoke(GLFWMouseButtonCallback java:81)_x000D_
	at org lwjgl glfw GLFW glfwPollEvents(GLFW java:1161)_x000D_
	at com mojang blaze3d systems RenderSystem flipFrame(RenderSystem java:196)_x000D_
	at net minecraft class 1041 method 15998(class 1041 java:442)_x000D_
	at net minecraft class 310 method 1523(class 310 java:1142)_x000D_
	at net minecraft class 310 method 1514(class 310 java:733)_x000D_
	at net minecraft client main Main main(Main java:238)_x000D_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fabricmc loader impl game minecraft MinecraftGameProvider launch(MinecraftGameProvider java:416)_x000D_
	at net fabricmc loader impl launch knot Knot launch(Knot java:77)_x000D_
	at net fabricmc loader impl launch knot KnotClient main(KnotClient java:23)_x000D_
_x000D_
   Last reload   _x000D_
Details:_x000D_
	Reload number: 2_x000D_
	Reload reason: manual_x000D_
	Finished: Yes_x000D_
	Packs: Default  Fabric Mods_x000D_
_x000D_
   System Details   _x000D_
Details:_x000D_
	Minecraft Version: 1 18 1_x000D_
	Minecraft Version ID: 1 18 1_x000D_
	Operating System: Linux (aarch64) version Android 11_x000D_
	Java Version: 17 internal  N A_x000D_
	Java VM Version: OpenJDK 64 Bit Server VM (mixed mode)  Oracle Corporation_x000D_
	Memory: 957456 bytes (0 MiB)   1098907648 bytes (1048 MiB) up to 1098907648 bytes (1048 MiB)_x000D_
	CPUs: 8_x000D_
	Processor Vendor: 0x41_x000D_
	Processor Name: _x000D_
	Identifier: 0x41 Family 8 Model 0xd0a Stepping r0x1p0_x000D_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6294 02_x000D_
	Virtual memory used (MB): 5804 08_x000D_
	Swap memory total (MB): 2560 00_x000D_
	Swap memory used (MB): 914 86_x000D_
	JVM Flags: 2 total   Xms1048M  Xmx1048M_x000D_
	Fabric Mods: _x000D_
		com electronwill night config core: core 3 6 3_x000D_
		com electronwill night config toml: toml 3 6 3_x000D_
		com google code findbugs jsr305: jsr305 3 0 2_x000D_
		create: Create mc1 18 1 v0 4d 400_x000D_
		dripstone fluid lib: Dripstone Fluid Lib 1 1 1_x000D_
		fabric: Fabric API 0 46 4 1 18_x000D_
		fabric api base: Fabric API Base 0 4 2 d7c144a865_x000D_
		fabric api lookup api v1: Fabric API Lookup API (v1) 1 5 3 d7c144a865_x000D_
		fabric biome api v1: Fabric Biome API (v1) 6 0 2 d7c144a865_x000D_
		fabric blockrenderlayer v1: Fabric BlockRenderLayer Registration (v1) 1 1 10 3ac43d9565_x000D_
		fabric command api v1: Fabric Command API (v1) 1 1 7 d7c144a865_x000D_
		fabric commands v0: Fabric Commands (v0) 0 2 6 b4f4f6cd65_x000D_
		fabric containers v0: Fabric Containers (v0) 0 1 19 d7c144a865_x000D_
		fabric content registries v0: Fabric Content Registries (v0) 0 4 8 d7c144a865_x000D_
		fabric crash report info v1: Fabric Crash Report Info (v1) 0 1 9 3ac43d9565_x000D_
		fabric data generation api v1: Fabric Data Generation API (v1) 1 0 0 3fec4ad9c8_x000D_
		fabric dimensions v1: Fabric Dimensions API (v1) 2 1 10 a1d9bbf565_x000D_
		fabric entity events v1: Fabric Entity Events (v1) 1 4 6 d7c144a865_x000D_
		fabric events interaction v0: Fabric Events Interaction (v0) 0 4 17 d7c144a865_x000D_
		fabric events lifecycle v0: Fabric Events Lifecycle (v0) 0 2 9 d7c144a865_x000D_
		fabric game rule api v1: Fabric Game Rule API (v1) 1 0 11 d7c144a865_x000D_
		fabric item api v1: Fabric Item API (v1) 1 3 1 691a79b565_x000D_
		fabric item groups v0: Fabric Item Groups (v0) 0 3 6 3ac43d9565_x000D_
		fabric key binding api v1: Fabric Key Binding API (v1) 1 0 9 d7c144a865_x000D_
		fabric keybindings v0: Fabric Key Bindings (v0) 0 2 7 b4f4f6cd65_x000D_
		fabric lifecycle events v1: Fabric Lifecycle Events (v1) 1 4 13 713c266865_x000D_
		fabric loot tables v1: Fabric Loot Tables (v1) 1 0 9 d7c144a865_x000D_
		fabric mining level api v1: Fabric Mining Level API (v1) 1 0 6 d7c144a865_x000D_
		fabric mining levels v0: Fabric Mining Levels (v0) 0 1 11 b4f4f6cd65_x000D_
		fabric models v0: Fabric Models (v0) 0 3 4 d7c144a865_x000D_
		fabric networking api v1: Fabric Networking API (v1) 1 0 19 d7c144a865_x000D_
		fabric networking v0: Fabric Networking (v0) 0 3 6 b4f4f6cd65_x000D_
		fabric object builder api v1: Fabric Object Builder API (v1) 1 11 4 d7c144a865_x000D_
		fabric object builders v0: Fabric Object Builders (v0) 0 7 12 d7c144a865_x000D_
		fabric particles v1: Fabric Particles (v1) 0 2 10 526dc1ac65_x000D_
		fabric registry sync v0: Fabric Registry Sync (v0) 0 9 2 ad01bfbd65_x000D_
		fabric renderer api v1: Fabric Renderer API (v1) 0 4 11 b0b66fc365_x000D_
		fabric renderer indigo: Fabric Renderer   Indigo 0 4 15 6825030165_x000D_
		fabric renderer registries v1: Fabric Renderer Registries (v1) 3 2 10 b4f4f6cd65_x000D_
		fabric rendering data attachment v1: Fabric Rendering Data Attachment (v1) 0 3 5 d7c144a865_x000D_
		fabric rendering fluids v1: Fabric Rendering Fluids (v1) 0 1 19 3ac43d9565_x000D_
		fabric rendering v0: Fabric Rendering (v0) 1 1 12 b4f4f6cd65_x000D_
		fabric rendering v1: Fabric Rendering (v1) 1 10 6 713c266865_x000D_
		fabric resource conditions api v1: Fabric Resource Conditions API (v1) 1 0 2 d7c144a865_x000D_
		fabric resource loader v0: Fabric Resource Loader (v0) 0 4 14 713c266865_x000D_
		fabric screen api v1: Fabric Screen API (v1) 1 0 8 d7c144a865_x000D_
		fabric screen handler api v1: Fabric Screen Handler API (v1) 1 1 12 d7c144a865_x000D_
		fabric structure api v1: Fabric Structure API (v1) 2 1 3 d7c144a865_x000D_
		fabric tag extensions v0: Fabric Tag Extensions (v0) 1 2 8 d7c144a865_x000D_
		fabric textures v0: Fabric Textures (v0) 1 0 10 3ac43d9565_x000D_
		fabric tool attribute api v1: Fabric Tool Attribute API (v1) 1 3 8 fb3b57b465_x000D_
		fabric transfer api v1: Fabric Transfer API (v1) 1 5 9 d7c144a865_x000D_
		fabricloader: Fabric Loader 0 13 3_x000D_
		fake player api: Fake Player API 0 3 0_x000D_
		flywheel: Flywheel 1 18 0 6 1 23_x000D_
		forge tags: Forge Tags 2 0_x000D_
		forgeconfigapiport: Forge Config API Port 3 1 0_x000D_
		java: OpenJDK 64 Bit Server VM 17_x000D_
		milk: Milk Lib 0 1 6_x000D_
		minecraft: Minecraft 1 18 1_x000D_
		mm: Manningham Mills 2 3_x000D_
		optifabric: OptiFabric 1 12 10_x000D_
		reach entity attributes: Reach Entity Attributes 2 1 1_x000D_
		registrate fabric: Registrate for Fabric MC1 18 1 1 0 7_x000D_
		seedfix: Seed Fix 1 0 0_x000D_
		terralith: Terralith for Fabric 2 0 12_x000D_
	Flywheel Backend: Off_x000D_
	Launched Version: 1 18 1_x000D_
	Backend library: LWJGL version 3 2 3 SNAPSHOT_x000D_
	Backend API: zink (Mali G52 MC2) GL version 4 6 (Compatibility Profile) Mesa 21 0 3 (git 0f92d7633e)  Collabora Ltd_x000D_
	Window size: 696x324_x000D_
	GL Caps: Using framebuffer using OpenGL 3 2_x000D_
	GL debug messages: _x000D_
	Using VBOs: Yes_x000D_
	Is Modded: Definitely  Client brand changed to  fabric   Server brand changed to  fabric _x000D_
	Type: Integrated Server (map client txt)_x000D_
	Graphics mode: fast_x000D_
	Resource Packs: Fabric Mods_x000D_
	Current Language: English (US)_x000D_
	CPU: 8x _x000D_
	Server Running: true_x000D_
	Player Count: 0   8    _x000D_
	Data Packs: vanilla  Fabric Mods_x000D_
	OptiFine Version: OptiFine 1 18 1 HD U H4_x000D_
	OptiFine Build: 20211212 175054_x000D_
	Render Distance Chunks: 12_x000D_
	Mipmaps: 0_x000D_
	Anisotropic Filtering: 1_x000D_
	Antialiasing: 0_x000D_
	Multitexture: false_x000D_
	Shaders: Chocapic13 HighPerformance Toaster zip_x000D_
	OpenGlVersion: 4 6 (Compatibility Profile) Mesa 21 0 3 (git 0f92d7633e)_x000D_
	OpenGlRenderer: zink (Mali G52 MC2)_x000D_
	OpenGlVendor: Collabora Ltd_x000D_
	CpuCount: 8_x000D_
_x000D_
   OptiFabric   _x000D_
Details:_x000D_
	OptiFine jar designed for: 1 18 1_x000D_
	OptiFine jar version: OptiFine 1 18 1 HD U H4_x000D_
	OptiFine jar status: Valid OptiFine installer_x000D_
	OptiFine remapped jar:  storage emulated 0 Android data net kdt pojavlaunch files  minecraft  optifine OptiFine 1 18 1 HD U H4 Optifine mapped jar_x000D_
	OptiFabric error:  None 
    Steps To Reproduce
   markdown
    Expected Behavior
I expect that I can still on single player word as I used to
    Platform
   markdown
  Device model: Samsung galaxy a32 4g_x000D_
  CPU architecture: 9x null_x000D_
  Android version: 11_x000D_
  PojavLauncher version:  I dunno 
    Anything else 
Nothing more</t>
  </si>
  <si>
    <t>Anuken-Mindustry-6600</t>
  </si>
  <si>
    <t>All logic erased if processor closed with cursor in open string</t>
  </si>
  <si>
    <t xml:space="preserve">  Platform  :  iOS _x000D_
_x000D_
  Build  :  12 6 _x000D_
_x000D_
  Issue  : Sometimes all my logic is erased when I close a processor_x000D_
_x000D_
  Steps to reproduce  :_x000D_
1) Open proc with a string literal (print for sure  maybe set also)_x000D_
2) Edit string and delete closing quote _x000D_
3) Hit  OK  leaving the cursor at the end of the string still missing a close quote_x000D_
4) Hit back _x000D_
5) Open proc  code gone _x000D_
_x000D_
Likely something with the  underscore all spaces for a variable if string not closed  logic  that chokes when the cursor is there _x000D_
_x000D_
  Link(s) to mod(s) used  :  The mod repositories or zip files that are related to the issue  if applicable  _x000D_
_x000D_
  Save file: _x000D_
 save Molten Lake Feb 23 1:57 zip (https:  github com Anuken Mindustry files 8128132 save Molten Lake Feb 23 1 57 zip) (btw  GitHub ios mobile won t let be get to files other than photos  but the web will  Huh )_x000D_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</si>
  <si>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cgeo-cgeo-12803</t>
  </si>
  <si>
    <t>Crash opening stored caches - Comparison method violates its general contract</t>
  </si>
  <si>
    <t xml:space="preserve">    Describe your problem 
User on support mail reports  that c:geo crashes as soon as he wants to open his list of stored caches _x000D_
_x000D_
   _x000D_
02 23 20:38:43 009 17204 17204 E AndroidRuntime: FATAL EXCEPTION: main_x000D_
02 23 20:38:43 009 17204 17204 E AndroidRuntime: Process: cgeo geocaching  PID: 17204_x000D_
02 23 20:38:43 009 17204 17204 E AndroidRuntime: java lang IllegalArgumentException: Comparison method violates its general contract _x000D_
02 23 20:38:43 009 17204 17204 E AndroidRuntime: 	at java util TimSort mergeLo(TimSort java:777)_x000D_
02 23 20:38:43 009 17204 17204 E AndroidRuntime: 	at java util TimSort mergeAt(TimSort java:514)_x000D_
02 23 20:38:43 009 17204 17204 E AndroidRuntime: 	at java util TimSort mergeCollapse(TimSort java:441)_x000D_
02 23 20:38:43 009 17204 17204 E AndroidRuntime: 	at java util TimSort sort(TimSort java:245)_x000D_
02 23 20:38:43 009 17204 17204 E AndroidRuntime: 	at java util Arrays sort(Arrays java:1492)_x000D_
02 23 20:38:43 009 17204 17204 E AndroidRuntime: 	at java util ArrayList sort(ArrayList java:1470)_x000D_
02 23 20:38:43 009 17204 17204 E AndroidRuntime: 	at java util Collections sort(Collections java:206)_x000D_
02 23 20:38:43 009 17204 17204 E AndroidRuntime: 	at cgeo geocaching sorting AbstractCacheComparator sort(AbstractCacheComparator java:82)_x000D_
02 23 20:38:43 009 17204 17204 E AndroidRuntime: 	at cgeo geocaching ui CacheListAdapter forceSort(CacheListAdapter java:340)_x000D_
02 23 20:38:43 009 17204 17204 E AndroidRuntime: 	at cgeo geocaching ui CacheListAdapter setList(CacheListAdapter java:140)_x000D_
02 23 20:38:43 009 17204 17204 E AndroidRuntime: 	at cgeo geocaching CacheListActivity onLoadFinished(CacheListActivity java:2095)_x000D_
02 23 20:38:43 009 17204 17204 E AndroidRuntime: 	at cgeo geocaching CacheListActivity onLoadFinished(CacheListActivity java:145)_x000D_
02 23 20:38:43 009 17204 17204 E AndroidRuntime: 	at androidx loader app LoaderManagerImpl LoaderObserver onChanged(LoaderManagerImpl java:250)_x000D_
02 23 20:38:43 009 17204 17204 E AndroidRuntime: 	at androidx lifecycle LiveData considerNotify(LiveData java:133)_x000D_
02 23 20:38:43 009 17204 17204 E AndroidRuntime: 	at androidx lifecycle LiveData dispatchingValue(LiveData java:151)_x000D_
02 23 20:38:43 009 17204 17204 E AndroidRuntime: 	at androidx lifecycle LiveData setValue(LiveData java:309)_x000D_
02 23 20:38:43 009 17204 17204 E AndroidRuntime: 	at androidx lifecycle MutableLiveData setValue(MutableLiveData java:50)_x000D_
02 23 20:38:43 009 17204 17204 E AndroidRuntime: 	at androidx loader app LoaderManagerImpl LoaderInfo setValue(LoaderManagerImpl java:189)_x000D_
02 23 20:38:43 009 17204 17204 E AndroidRuntime: 	at androidx loader app LoaderManagerImpl LoaderInfo onLoadComplete(LoaderManagerImpl java:174)_x000D_
02 23 20:38:43 009 17204 17204 E AndroidRuntime: 	at androidx loader content Loader deliverResult(Loader java:132)_x000D_
02 23 20:38:43 009 17204 17204 E AndroidRuntime: 	at androidx loader content AsyncTaskLoader dispatchOnLoadComplete(AsyncTaskLoader java:258)_x000D_
02 23 20:38:43 009 17204 17204 E AndroidRuntime: 	at androidx loader content AsyncTaskLoader LoadTask onPostExecute(AsyncTaskLoader java:83)_x000D_
02 23 20:38:43 009 17204 17204 E AndroidRuntime: 	at androidx loader content ModernAsyncTask finish(ModernAsyncTask java:490)_x000D_
02 23 20:38:43 009 17204 17204 E AndroidRuntime: 	at androidx loader content ModernAsyncTask InternalHandler handleMessage(ModernAsyncTask java:507)_x000D_
02 23 20:38:43 009 17204 17204 E AndroidRuntime: 	at android os Handler dispatchMessage(Handler java:106)_x000D_
02 23 20:38:43 009 17204 17204 E AndroidRuntime: 	at android os Looper loop(Looper java:246)_x000D_
02 23 20:38:43 009 17204 17204 E AndroidRuntime: 	at android app ActivityThread main(ActivityThread java:8550)_x000D_
02 23 20:38:43 009 17204 17204 E AndroidRuntime: 	at java lang reflect Method invoke(Native Method)_x000D_
02 23 20:38:43 009 17204 17204 E AndroidRuntime: 	at com android internal os RuntimeInit MethodAndArgsCaller run(RuntimeInit java:602)_x000D_
02 23 20:38:43 009 17204 17204 E AndroidRuntime: 	at com android internal os ZygoteInit main(ZygoteInit java:1130)_x000D_
02 23 20:38:43 010 17204 17204 W cgeo    :  main  UncaughtException_x000D_
02 23 20:38:43 010 17204 17204 W cgeo    : java lang IllegalArgumentException: Comparison method violates its general contract _x000D_
02 23 20:38:43 010 17204 17204 W cgeo    : 	at java util TimSort mergeLo(TimSort java:777)_x000D_
02 23 20:38:43 010 17204 17204 W cgeo    : 	at java util TimSort mergeAt(TimSort java:514)_x000D_
02 23 20:38:43 010 17204 17204 W cgeo    : 	at java util TimSort mergeCollapse(TimSort java:441)_x000D_
02 23 20:38:43 010 17204 17204 W cgeo    : 	at java util TimSort sort(TimSort java:245)_x000D_
02 23 20:38:43 010 17204 17204 W cgeo    : 	at java util Arrays sort(Arrays java:1492)_x000D_
02 23 20:38:43 010 17204 17204 W cgeo    : 	at java util ArrayList sort(ArrayList java:1470)_x000D_
02 23 20:38:43 010 17204 17204 W cgeo    : 	at java util Collections sort(Collections java:206)_x000D_
02 23 20:38:43 010 17204 17204 W cgeo    : 	at cgeo geocaching sorting AbstractCacheComparator sort(AbstractCacheComparator java:82)_x000D_
02 23 20:38:43 010 17204 17204 W cgeo    : 	at cgeo geocaching ui CacheListAdapter forceSort(CacheListAdapter java:340)_x000D_
02 23 20:38:43 010 17204 17204 W cgeo    : 	at cgeo geocaching ui CacheListAdapter setList(CacheListAdapter java:140)_x000D_
02 23 20:38:43 010 17204 17204 W cgeo    : 	at cgeo geocaching CacheListActivity onLoadFinished(CacheListActivity java:2095)_x000D_
02 23 20:38:43 010 17204 17204 W cgeo    : 	at cgeo geocaching CacheListActivity onLoadFinished(CacheListActivity java:145)_x000D_
02 23 20:38:43 010 17204 17204 W cgeo    : 	at androidx loader app LoaderManagerImpl LoaderObserver onChanged(LoaderManagerImpl java:250)_x000D_
02 23 20:38:43 010 17204 17204 W cgeo    : 	at androidx lifecycle LiveData considerNotify(LiveData java:133)_x000D_
02 23 20:38:43 010 17204 17204 W cgeo    : 	at androidx lifecycle LiveData dispatchingValue(LiveData java:151)_x000D_
02 23 20:38:43 010 17204 17204 W cgeo    : 	at androidx lifecycle LiveData setValue(LiveData java:309)_x000D_
02 23 20:38:43 010 17204 17204 W cgeo    : 	at androidx lifecycle MutableLiveData setValue(MutableLiveData java:50)_x000D_
02 23 20:38:43 010 17204 17204 W cgeo    : 	at androidx loader app LoaderManagerImpl LoaderInfo setValue(LoaderManagerImpl java:189)_x000D_
02 23 20:38:43 010 17204 17204 W cgeo    : 	at androidx loader app LoaderManagerImpl LoaderInfo onLoadComplete(LoaderManagerImpl java:174)_x000D_
02 23 20:38:43 010 17204 17204 W cgeo    : 	at androidx loader content Loader deliverResult(Loader java:132)_x000D_
02 23 20:38:43 010 17204 17204 W cgeo    : 	at androidx loader content AsyncTaskLoader dispatchOnLoadComplete(AsyncTaskLoader java:258)_x000D_
02 23 20:38:43 010 17204 17204 W cgeo    : 	at androidx loader content AsyncTaskLoader LoadTask onPostExecute(AsyncTaskLoader java:83)_x000D_
02 23 20:38:43 010 17204 17204 W cgeo    : 	at androidx loader content ModernAsyncTask finish(ModernAsyncTask java:490)_x000D_
02 23 20:38:43 010 17204 17204 W cgeo    : 	at androidx loader content ModernAsyncTask InternalHandler handleMessage(ModernAsyncTask java:507)_x000D_
02 23 20:38:43 010 17204 17204 W cgeo    : 	at android os Handler dispatchMessage(Handler java:106)_x000D_
02 23 20:38:43 010 17204 17204 W cgeo    : 	at android os Looper loop(Looper java:246)_x000D_
02 23 20:38:43 010 17204 17204 W cgeo    : 	at android app ActivityThread main(ActivityThread java:8550)_x000D_
02 23 20:38:43 010 17204 17204 W cgeo    : 	at java lang reflect Method invoke(Native Method)_x000D_
02 23 20:38:43 010 17204 17204 W cgeo    : 	at com android internal os RuntimeInit MethodAndArgsCaller run(RuntimeInit java:602)_x000D_
02 23 20:38:43 010 17204 17204 W cgeo    : 	at com android internal os ZygoteInit main(ZygoteInit java:1130)_x000D_
   _x000D_
    How to reproduce 
Unclear
    Actual result after these steps 
Crash
    Expected result after these steps 
Normal operation
    Reproducible
Unclear
    c:geo Version
2022 02 16
    System information
   text
   System information_x000D_
_x000D_
c:geo version: 2022 02 16_x000D_
_x000D_
Device:_x000D_
       _x000D_
  Device type: SM A505FN (a50eea  samsung)_x000D_
  Available processors: 8_x000D_
  Android version: 11_x000D_
  Android build: RP1A 200720 012 A505FNXXS9CVA3_x000D_
  Screen resolution: 1080x2131px (411x811dp)_x000D_
  Pixel density: 2 625_x000D_
  System font scale: 1 0   used scale: 1 0_x000D_
  Sailfish OS detected: false_x000D_
  Google Play services: enabled   21 48 15 (150400 414534850)_x000D_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Settings: v9  Count:146_x000D_
  Set language: fi FI (system default)_x000D_
  System date format: d M y_x000D_
  Time zone: GMT 02:00_x000D_
  Debug mode active: no_x000D_
  Last backup: never_x000D_
  Routing mode: Walk_x000D_
  Live map mode: true_x000D_
  OSM multi threading: false   threads: 1_x000D_
  Map: Google: Satelliitti_x000D_
    Id: cgeo geocaching maps google v2 GoogleMapProvider GoogleSatelliteSource_x000D_
    Atts: none_x000D_
    Theme: none_x000D_
_x000D_
Filters:_x000D_
       _x000D_
  Hide waypoints: original_x000D_
  LIVE: Tila:L ydetty Ei Rajaa pois arkistoidut ( :inconclusive false:advanced false AND(type difficulty terrain:d  :d  :t  :t   status:found no:exclude archived))_x000D_
  OFFLINE: Ei mit  n ( :inconclusive false:advanced false )_x000D_
_x000D_
Stored Filters ( 0):_x000D_
_x000D_
Services:_x000D_
       _x000D_
  Geocaching sites enabled:_x000D_
   geocaching com: Logged in (Sis  nkirjautuminen onnistui)   PREMIUM_x000D_
   Geocaching com Adventure Lab_x000D_
  Geocaching com date format: d M yyyy_x000D_
  Routing: external   BRouter installed: false_x000D_
  Installed c:geo plugins:  none_x000D_
_x000D_
Permissions   paths:_x000D_
       _x000D_
  Fine location permission: granted_x000D_
  Write external storage permission: granted_x000D_
  System internal c:geo dir:  data user 0 cgeo geocaching (89 6 GB free) v3 internal isDir(10 entries)_x000D_
  Legacy User storage c:geo dir:  storage emulated 0 cgeo (89 6 GB free) v3 external non removable isDir(7 entries)_x000D_
  Geocache data:  storage emulated 0 Android data cgeo geocaching files GeocacheData (89 6 GB free) v3 external non removable isDir(1588 entries)_x000D_
  Internal theme sync (is turned off):  data user 0 cgeo geocaching MapThemeData (89 6 GB free) v3 internal isDir(0 entries)_x000D_
  Public Folders:  11_x000D_
    BASE:  cgeo (User Defined)  cgeo DOCUMENT 0:p content:  com android externalstorage documents tree primary 3Acgeo::   (Uri: content:  com android externalstorage documents tree primary 3Acgeo document primary 3Acgeo  Av:true  files:  6  dirs:  8  totalFileSize:  5 0 MB  free space: 89 6 GB  files on device: 7176000)_x000D_
    OFFLINE MAPS:  cgeo maps (Default)  cgeo maps PERSISTABLE FOLDER(BASE) 1:p content:  com android externalstorage documents tree primary 3Acgeo:: maps   (Uri: content:  com android externalstorage documents tree primary 3Acgeo document primary 3Acgeo 2Fmaps  Av:true  files:1  dirs:1  totalFileSize:0 B  free space: 89 6 GB  files on device: 7176000)_x000D_
    OFFLINE MAP THEMES:  cgeo maps  themes (Default)  cgeo maps  themes PERSISTABLE FOLDER(OFFLINE MAPS) 1:p content:  com android externalstorage documents tree primary 3Acgeo:: maps  themes   (Uri: content:  com android externalstorage documents tree primary 3Acgeo document primary 3Acgeo 2Fmaps 2F themes  Av:true  files:1  dirs:0  totalFileSize:0 B  free space: 89 6 GB  files on device: 7176000)_x000D_
    LOGFILES:  cgeo logfiles (Default)  cgeo logfiles PERSISTABLE FOLDER(BASE) 1:p content:  com android externalstorage documents tree primary 3Acgeo:: logfiles   (Uri: content:  com android externalstorage documents tree primary 3Acgeo document primary 3Acgeo 2Flogfiles  Av:true  files:5  dirs:0  totalFileSize:5 0 MB  free space: 89 6 GB  files on device: 7176000)_x000D_
    GPX:  cgeo gpx (Default)  cgeo gpx PERSISTABLE FOLDER(BASE) 1:p content:  com android externalstorage documents tree primary 3Acgeo:: gpx   (Uri: content:  com android externalstorage documents tree primary 3Acgeo document primary 3Acgeo 2Fgpx  Av:true  files:0  dirs:0  totalFileSize:0 B  free space: 89 6 GB  files on device: 7176000)_x000D_
    BACKUP:  cgeo backup (Default)  cgeo backup PERSISTABLE FOLDER(BASE) 1:p content:  com android externalstorage documents tree primary 3Acgeo:: backup   (Uri: content:  com android externalstorage documents tree primary 3Acgeo document primary 3Acgeo 2Fbackup  Av:true  files:1  dirs:0  totalFileSize:0 B  free space: 89 6 GB  files on device: 7176000)_x000D_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files:0  dirs:0  totalFileSize:0 B  free space: 89 6 GB  files on device: 7176000)_x000D_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89 6 GB  files on device: 7176000)_x000D_
    ROUTING BASE:  cgeo routing (Default)  cgeo routing PERSISTABLE FOLDER(BASE) 1:p content:  com android externalstorage documents tree primary 3Acgeo:: routing   (Uri: content:  com android externalstorage documents tree primary 3Acgeo document primary 3Acgeo 2Frouting  Av:true  files:9  dirs:1  totalFileSize:81 2 KB  free space: 89 6 GB  files on device: 7176000)_x000D_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files:0  dirs:0  totalFileSize:0 B  free space: 89 6 GB  files on device: 7176000)_x000D_
    TEST FOLDER:  Legacy  data user 0 cgeo geocaching files unittest (Default)  data user 0 cgeo geocaching files unittest FILE 1:p file:   data user 0 cgeo geocaching files:: unittest   (Uri: file:   data user 0 cgeo geocaching files unittest  Av:true  files:0  dirs:0  totalFileSize:0 B  free space: 89 6 GB  files on device:  1)_x000D_
  Map render theme path:_x000D_
  PersistedDocumentUris:  1_x000D_
  UNUSED TRACK: null_x000D_
  Persisted Uri Permissions:  1_x000D_
    content:  com android externalstorage documents tree primary 3Acgeo (24  huhtik  2021 klo 10 09):RW_x000D_
  Database:  data user 0 cgeo geocaching databases data (v98  Size:42 4 MB) on system internal storage_x000D_
_x000D_
    End of system information    
    Additional Information
Support ticket 105500</t>
  </si>
  <si>
    <t>Anuken-Mindustry-6599</t>
  </si>
  <si>
    <t>Keyboard+mouse not working properly on mobile version.</t>
  </si>
  <si>
    <t xml:space="preserve">  Platform  : Android_x000D_
_x000D_
  Build  :  pre alpha build 135  _x000D_
_x000D_
  Issue  : the issue is that when using a keyboard plus the keyboard controls activated  it s extremely hard to use a schematic  because I can t drag it to the correct position_x000D_
_x000D_
  Steps to reproduce  : to replicate is to use a schematic with a mouse (keyboard mouse control on) _x000D_
_x000D_
  Link(s) to mod(s) used  : no mods used   _x000D_
_x000D_
  Save file  : i don t think that needs a save file  since it happens in whatever map  offline or online _x000D_
_x000D_
_x000D_
  (Crash) logs  : No crash happens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</si>
  <si>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overlevelsesguiden-The10H-Android-15</t>
  </si>
  <si>
    <t>App crashes when saving after setting alarm</t>
  </si>
  <si>
    <t xml:space="preserve">When adding a new plan or editing an existing one  the app crashes when saving after adding an alarm_x000D_
_x000D_
   _x000D_
E AndroidRuntime: FATAL EXCEPTION: main_x000D_
    Process: dk overlevelsesguiden de10her  PID: 9162_x000D_
    java lang IllegalArgumentException: dk overlevelsesguiden de10her: Targeting S  (version 31 and above) requires that one of FLAG IMMUTABLE or FLAG MUTABLE be specified when creating a PendingIntent _x000D_
    Strongly consider using FLAG IMMUTABLE  only use FLAG MUTABLE if some functionality depends on the PendingIntent being mutable  e g  if it needs to be used with inline replies or bubbles _x000D_
        at android app PendingIntent checkFlags(PendingIntent java:375)_x000D_
        at android app PendingIntent getBroadcastAsUser(PendingIntent java:645)_x000D_
        at android app PendingIntent getBroadcast(PendingIntent java:632)_x000D_
        at dk overlevelsesguiden de10her presentation fragments QuestionLayoutFragment setAlarm(QuestionLayout kt:110)_x000D_
        at dk overlevelsesguiden de10her presentation fragments UpdateDocumentFragment prepareDocumentForUpdate(UpdateDocumentFragment kt:212)_x000D_
        at dk overlevelsesguiden de10her presentation fragments UpdateDocumentFragment updateDocument(UpdateDocumentFragment kt:227)_x000D_
        at dk overlevelsesguiden de10her presentation fragments UpdateDocumentFragment setupToolbar lambda 6 lambda 5(UpdateDocumentFragment kt:182)_x000D_
        at dk overlevelsesguiden de10her presentation fragments UpdateDocumentFragment  r8 lambda NjTTjMZqDDWr bCY7VWe2o7rIic(Unknown Source:0)_x000D_
        at dk overlevelsesguiden de10her presentation fragments UpdateDocumentFragment  ExternalSyntheticLambda2 onMenuItemClick(Unknown Source:2)_x000D_
        at androidx appcompat widget Toolbar 1 onMenuItemClick(Toolbar java:208)_x000D_
        at androidx appcompat widget ActionMenuView MenuBuilderCallback onMenuItemSelected(ActionMenuView java:780)_x000D_
        at androidx appcompat view menu MenuBuilder dispatchMenuItemSelected(MenuBuilder java:834)_x000D_
        at androidx appcompat view menu MenuItemImpl invoke(MenuItemImpl java:158)_x000D_
        at androidx appcompat view menu MenuBuilder performItemAction(MenuBuilder java:985)_x000D_
        at androidx appcompat view menu MenuBuilder performItemAction(MenuBuilder java:975)_x000D_
        at androidx appcompat widget ActionMenuView invokeItem(ActionMenuView java:624)_x000D_
        at androidx appcompat view menu ActionMenuItemView onClick(ActionMenuItemView java:151)_x000D_
        at android view View performClick(View java:7441)_x000D_
        at android view View performClickInternal(View java:7418)_x000D_
        at android view View access 3700(View java:835)_x000D_
        at android view View PerformClick run(View java:28676)_x000D_
        at android os Handler handleCallback(Handler java:938)_x000D_
        at android os Handler dispatchMessage(Handler java:99)_x000D_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t>
  </si>
  <si>
    <t>PojavLauncherTeam-PojavLauncher-2780</t>
  </si>
  <si>
    <t>MouseClicked event handler</t>
  </si>
  <si>
    <t xml:space="preserve">    Describe the bug
I try playing PojavLauncher 1 16 5 with forge because when I play it with 1 18  it crash too  It said because of  MouseClicked event handler  and it happened too many times
    The log file and images videos
     Minecraft Crash Report     _x000D_
   Why did you do that _x000D_
_x000D_
Time: 2 20 22 3:25 PM_x000D_
Description: mouseClicked event handler_x000D_
_x000D_
java lang IllegalArgumentException: Name and ID cannot both be blank_x000D_
at com mojang authlib GameProfile  init (GameProfile java:26)   authlib 2 1 28 jar:    re:classloading _x000D_
at com mojang authlib yggdrasil YggdrasilMinecraftSessionService fillGameProfile(YggdrasilMinecraftSessionService java:192)   authlib 2 1 28 jar:    re:classloading re:classloading re:classloading re:classloading _x000D_
at com mojang authlib yggdrasil YggdrasilMinecraftSessionService fillProfileProperties(YggdrasilMinecraftSessionService java:179)   authlib 2 1 28 jar:    re:classloading re:classloading re:classloading re:classloading _x000D_
at net minecraft client Minecraft loadWorld(Minecraft java:1799)    :    re:classloading pl:accesstransformer:B pl:runtimedistcleaner:A _x000D_
at net minecraft client Minecraft func 238192 a (Minecraft java:1687)    :    re:classloading pl:accesstransformer:B pl:runtimedistcleaner:A _x000D_
at net minecraft client gui screen CreateWorldScreen func 195352 j(CreateWorldScreen java:260)    :    re:classloading pl:runtimedistcleaner:A _x000D_
at net minecraft client gui screen CreateWorldScreen lambda init 11(CreateWorldScreen java:205)    :    re:classloading pl:runtimedistcleaner:A _x000D_
at net minecraft client gui widget button Button func 230930 b (SourceFile:33)    :    re:classloading _x000D_
at net minecraft client gui widget button AbstractButton func 230982 a (SourceFile:16)    :    re:classloading _x000D_
at net minecraft client gui widget Widget func 231044 a (Widget java:136)    :    re:classloading pl:runtimedistcleaner:A _x000D_
at net minecraft client gui INestedGuiEventHandler func 231044 a (SourceFile:27)    :    re:classloading _x000D_
at net minecraft client MouseHelper func 198033 b(MouseHelper java:87)    :    re:classloading pl:runtimedistcleaner:A _x000D_
at net minecraft client gui screen Screen func 231153 a (Screen java:427)    :    re:classloading pl:runtimedistcleaner:A _x000D_
at net minecraft client MouseHelper func 198023 a(MouseHelper java:85)    :    re:classloading pl:runtimedistcleaner:A _x000D_
at net minecraft client MouseHelper func 228030 c (MouseHelper java:181)    :    re:classloading pl:runtimedistcleaner:A _x000D_
at net minecraft util concurrent ThreadTaskExecutor execute(SourceFile:94)    :    re:classloading pl:accesstransformer:B _x000D_
at net minecraft client MouseHelper func 228028 b (MouseHelper java:180)    :    re:classloading pl:runtimedistcleaner:A _x000D_
at org lwjgl glfw GLFWMouseButtonCallback Container invoke(GLFWMouseButtonCallback java:81)   lwjgl glfw classes jar:     _x000D_
at org lwjgl glfw GLFW glfwPollEvents(GLFW java:1161)   lwjgl glfw classes jar:     _x000D_
at com mojang blaze3d systems RenderSystem flipFrame(SourceFile:109)    :    re:classloading _x000D_
at net minecraft client MainWindow func 227802 e (MainWindow java:305)    :    re:classloading pl:runtimedistcleaner:A _x000D_
at net minecraft client Minecraft func 195542 b(Minecraft java:997)    :    re:classloading pl:accesstransformer:B pl:runtimedistcleaner:A _x000D_
at net minecraft client Minecraft func 99999 d(Minecraft java:607)    :    re:classloading pl:accesstransformer:B pl:runtimedistcleaner:A _x000D_
at net minecraft client main Main main(Main java:184)   1 16 5 forge 36 2 28 jar:    re:classloading pl:runtimedistcleaner:A _x000D_
at sun reflect NativeMethodAccessorImpl invoke0(Native Method)    :1 8 0 internal    _x000D_
at sun reflect NativeMethodAccessorImpl invoke(NativeMethodAccessorImpl java:62)    :1 8 0 internal    _x000D_
at sun reflect DelegatingMethodAccessorImpl invoke(DelegatingMethodAccessorImpl java:43)    :1 8 0 internal    _x000D_
at java lang reflect Method invoke(Method java:498)    :1 8 0 internal    _x000D_
at net minecraftforge fml loading FMLClientLaunchProvider lambda launchService 0(FMLClientLaunchProvider java:51)   forge 1 16 5 36 2 28 jar:36 2    _x000D_
at cpw mods modlauncher LaunchServiceHandlerDecorator launch(LaunchServiceHandlerDecorator java:37)  modlauncher 8 1 3 jar:     _x000D_
at cpw mods modlauncher LaunchServiceHandler launch(LaunchServiceHandler java:54)  modlauncher 8 1 3 jar:     _x000D_
at cpw mods modlauncher LaunchServiceHandler launch(LaunchServiceHandler java:72)  modlauncher 8 1 3 jar:     _x000D_
at cpw mods modlauncher Launcher run(Launcher java:82)  modlauncher 8 1 3 jar:     _x000D_
at cpw mods modlauncher Launcher main(Launcher java:66)  modlauncher 8 1 3 jar:     _x000D_
_x000D_
A detailed walkthrough of the error  its code path and all known details is as follows:_x000D_
                                                                                       _x000D_
_x000D_
   Head   _x000D_
Thread: Render thread_x000D_
Stacktrace:_x000D_
at com mojang authlib GameProfile  init (GameProfile java:26)   authlib 2 1 28 jar:    re:classloading _x000D_
at com mojang authlib yggdrasil YggdrasilMinecraftSessionService fillGameProfile(YggdrasilMinecraftSessionService java:192)   authlib 2 1 28 jar:    re:classloading re:classloading re:classloading re:classloading re:classloading _x000D_
at com mojang authlib yggdrasil YggdrasilMinecraftSessionService fillProfileProperties(YggdrasilMinecraftSessionService java:179)   authlib 2 1 28 jar:    re:classloading re:classloading re:classloading re:classloading re:classloading _x000D_
at net minecraft client Minecraft loadWorld(Minecraft java:1799)    :    re:classloading pl:accesstransformer:B pl:runtimedistcleaner:A _x000D_
at net minecraft client Minecraft func 238192 a (Minecraft java:1687)    :    re:classloading pl:accesstransformer:B pl:runtimedistcleaner:A _x000D_
at net minecraft client gui screen CreateWorldScreen func 195352 j(CreateWorldScreen java:260)    :    re:classloading pl:runtimedistcleaner:A _x000D_
at net minecraft client gui screen CreateWorldScreen lambda init 11(CreateWorldScreen java:205)    :    re:classloading pl:runtimedistcleaner:A _x000D_
at net minecraft client gui widget button Button func 230930 b (SourceFile:33)    :    re:classloading _x000D_
at net minecraft client gui widget button AbstractButton func 230982 a (SourceFile:16)    :    re:classloading _x000D_
at net minecraft client gui widget Widget func 231044 a (Widget java:136)    :    re:classloading pl:runtimedistcleaner:A _x000D_
at net minecraft client gui INestedGuiEventHandler func 231044 a (SourceFile:27)    :    re:classloading _x000D_
at net minecraft client MouseHelper func 198033 b(MouseHelper java:87)    :    re:classloading pl:runtimedistcleaner:A _x000D_
   Affected screen   _x000D_
Details:_x000D_
Screen name: net minecraft client gui screen CreateWorldScreen_x000D_
Stacktrace:_x000D_
at net minecraft client gui screen Screen func 231153 a (Screen java:427)    :    re:classloading pl:runtimedistcleaner:A _x000D_
at net minecraft client MouseHelper func 198023 a(MouseHelper java:85)    :    re:classloading pl:runtimedistcleaner:A _x000D_
at net minecraft client MouseHelper func 228030 c (MouseHelper java:181)    :    re:classloading pl:runtimedistcleaner:A _x000D_
at net minecraft util concurrent ThreadTaskExecutor execute(SourceFile:94)    :    re:classloading pl:accesstransformer:B _x000D_
at net minecraft client MouseHelper func 228028 b (MouseHelper java:180)    :    re:classloading pl:runtimedistcleaner:A _x000D_
at org lwjgl glfw GLFWMouseButtonCallback Container invoke(GLFWMouseButtonCallback java:81)   lwjgl glfw classes jar:     _x000D_
at org lwjgl glfw GLFW glfwPollEvents(GLFW java:1161)   lwjgl glfw classes jar:     _x000D_
at com mojang blaze3d systems RenderSystem flipFrame(SourceFile:109)    :    re:classloading _x000D_
at net minecraft client MainWindow func 227802 e (MainWindow java:305)    :    re:classloading pl:runtimedistcleaner:A _x000D_
at net minecraft client Minecraft func 195542 b(Minecraft java:997)    :    re:classloading pl:accesstransformer:B pl:runtimedistcleaner:A _x000D_
at net minecraft client Minecraft func 99999 d(Minecraft java:607)    :    re:classloading pl:accesstransformer:B pl:runtimedistcleaner:A _x000D_
at net minecraft client main Main main(Main java:184)   1 16 5 forge 36 2 28 jar:    re:classloading pl:runtimedistcleaner:A _x000D_
at sun reflect NativeMethodAccessorImpl invoke0(Native Method)    :1 8 0 internal    _x000D_
at sun reflect NativeMethodAccessorImpl invoke(NativeMethodAccessorImpl java:62)    :1 8 0 internal    _x000D_
at sun reflect DelegatingMethodAccessorImpl invoke(DelegatingMethodAccessorImpl java:43)    :1 8 0 internal    _x000D_
at java lang reflect Method invoke(Method java:498)    :1 8 0 internal    _x000D_
at net minecraftforge fml loading FMLClientLaunchProvider lambda launchService 0(FMLClientLaunchProvider java:51)   forge 1 16 5 36 2 28 jar:36 2    _x000D_
at cpw mods modlauncher LaunchServiceHandlerDecorator launch(LaunchServiceHandlerDecorator java:37)  modlauncher 8 1 3 jar:     _x000D_
at cpw mods modlauncher LaunchServiceHandler launch(LaunchServiceHandler java:54)  modlauncher 8 1 3 jar:     _x000D_
at cpw mods modlauncher LaunchServiceHandler launch(LaunchServiceHandler java:72)  modlauncher 8 1 3 jar:     _x000D_
at cpw mods modlauncher Launcher run(Launcher java:82)  modlauncher 8 1 3 jar:     _x000D_
at cpw mods modlauncher Launcher main(Launcher java:66)  modlauncher 8 1 3 jar:     _x000D_
_x000D_
   System Details   _x000D_
Details:_x000D_
Minecraft Version: 1 16 5_x000D_
Minecraft Version ID: 1 16 5_x000D_
Operating System: Linux (aarch64) version Android 11_x000D_
Java Version: 1 8 0 internal  Oracle Corporation_x000D_
Java VM Version: OpenJDK 64 Bit Server VM (mixed mode)  Oracle Corporation_x000D_
Memory: 1337348808 bytes (1275 MB)   2090860544 bytes (1994 MB) up to 2090860544 bytes (1994 MB)_x000D_
CPUs: 8_x000D_
JVM Flags: 3 total   Xms2048M  Xmx2048M  Xbootclasspath p: storage emulated 0 Android data net kdt pojavlaunch files caciocavallo ResConfHack jar: storage emulated 0 Android data net kdt pojavlaunch files caciocavallo cacio androidnw 1 10 SNAPSHOT jar: storage emulated 0 Android data net kdt pojavlaunch files caciocavallo cacio shared 1 10 SNAPSHOT jar_x000D_
ModLauncher: 8 1 3 8 1 3 main 8 1 x c94d18ec_x000D_
ModLauncher launch target: fmlclient_x000D_
ModLauncher naming: srg_x000D_
ModLauncher services: _x000D_
 mixin 0 8 4 jar mixin PLUGINSERVICE _x000D_
 eventbus 4 0 0 jar eventbus PLUGINSERVICE _x000D_
 forge 1 16 5 36 2 28 jar object holder definalize PLUGINSERVICE _x000D_
 forge 1 16 5 36 2 28 jar runtime enum extender PLUGINSERVICE _x000D_
 accesstransformers 3 0 1 jar accesstransformer PLUGINSERVICE _x000D_
 forge 1 16 5 36 2 28 jar capability inject definalize PLUGINSERVICE _x000D_
 forge 1 16 5 36 2 28 jar runtimedistcleaner PLUGINSERVICE _x000D_
 mixin 0 8 4 jar mixin TRANSFORMATIONSERVICE _x000D_
 forge 1 16 5 36 2 28 jar fml TRANSFORMATIONSERVICE _x000D_
FML: 36 2_x000D_
Forge: net minecraftforge:36 2 28_x000D_
FML Language Providers: _x000D_
javafml 36 2_x000D_
minecraft 1_x000D_
Mod List: _x000D_
forge 1 16 5 36 2 28 client jar                    Minecraft                      minecraft                      1 16 5               DONE       Manifest: NOSIGNATURE_x000D_
forge 1 16 5 36 2 28 universal jar                 Forge                          forge                          36 2 28              DONE       Manifest: 22:af:21:d8:19:82:7f:93:94:fe:2b:ac:b7:e4:41:57:68:39:87:b1:a7:5c:c6:44:f9:25:74:21:14:f5:0d:90_x000D_
Crash Report UUID: 46cf3f8d 506c 4df9 b3f3 c83477c6e107_x000D_
Launched Version: 1 16 5_x000D_
Backend library: LWJGL version 3 2 3 SNAPSHOT_x000D_
Backend API: zink (Mali G52 MC2) GL version 4 6 (Compatibility Profile) Mesa 21 0 3 (git 0f92d7633e)  Collabora Ltd_x000D_
GL Caps: Using framebuffer using OpenGL 3 0_x000D_
Using VBOs: Yes_x000D_
Is Modded: Definitely  Client brand changed to  forge _x000D_
Type: Client (map client txt)_x000D_
Graphics mode: fast_x000D_
Resource Packs: _x000D_
Current Language: English (US)_x000D_
CPU: 9x null
    Steps To Reproduce
   markdown
Step 1  Download PojavLauncher version on playstore_x000D_
Step 2  Download Minecraft 1 16 5_x000D_
Step 3  Install forge 1 16 5_x000D_
Step 4  Create a world in minecraft forge 1 16 5_x000D_
Step 5  See it crash
    Expected Behavior
I expected the game to work fine and finally created world in minecraft forge 1 16 5 as it used to like other version of PojavLauncher 
    Platform
   markdown
  Device model: Samsung galaxy a32 4g_x000D_
  CPU architecture: 9x null_x000D_
  Android version: 11_x000D_
  PojavLauncher version:  I don t know 
    Anything else 
Nothing more </t>
  </si>
  <si>
    <t>Anuken-Mindustry-6597</t>
  </si>
  <si>
    <t>IOS - Open failed: EMFILE (Too many open files) - Plus how to resolve error</t>
  </si>
  <si>
    <t xml:space="preserve">  Platform  :  iOS _x000D_
_x000D_
  Build  :  135 _x000D_
_x000D_
  Issue  :  An error appears when trying to Export Data reading  An error has occured (open failed: EMFILE (Too many open files))  Details       OK    _x000D_
_x000D_
  Steps to reproduce  :  From the main screen: Settings   Game Data   Export Data    If successful  move the file to another folder  Repeat   Error message should appear without presenting any menu of where to save to   Replace file  Save succeeds   _x000D_
_x000D_
  Link(s) to mod(s) used  :  None _x000D_
_x000D_
  Save file  :  Attached _x000D_
_x000D_
Some quick notes:_x000D_
 Documents  in the file path is likely the app name of a 3rd party iOS file management application   I have done some house cleaning in that app and moved files around   At no point in the save process leading up to the crash does mindustry ask where I want to save  it must be assuming  same as last time  and that file is no longer there   Replacing the file resolves the error  but is not how mindustry should behave at a moved or deleted back up file_x000D_
_x000D_
  (Crash) logs  :  Doesn t create a crash log  but there is info under  Details   Typing out in part: _x000D_
_x000D_
  ArcRuntime:  Error copying source file: mindustry data export zip (local)_x000D_
To destination:  var mobile Containers Data Application 395E0969 549B 4094 9311 47905B609E87 Documents mindustry data export zip (absolute)_x000D_
Fi copyFile: 112_x000D_
Fi copyTo: 835_x000D_
IOSLaucher 1 shareFile: 145_x000D_
SettingsMenuDialog lambda new 12: 164_x000D_
SettingsMenuDialog  Lambda 39 run:  1_x000D_
Element lambda clicked 2: 893_x000D_
Element  Lambda 5 get:  1_x000D_
Element 4 clicked: 902_x000D_
   _x000D_
  ArcRuntime:  Error stream writing to file:  var mobile Containers Data Application 395E0969 549B 4094 9311 47905B609E87 Documents mindustry data export zip (absolute) _x000D_
Fi write: 440_x000D_
fi copyFile: 110_x000D_
Fi copyTo: 835_x000D_
IOSLauncher 1 shareFile:145_x000D_
SettingsMenuDialog lambda new 12:164_x000D_
    _x000D_
  ArcRuntime:  Error writing file:  var mobile Containers Data Application 395E0969 549B 4094 9311 47905B609E87 Documents mindustry data export zip (absolute) _x000D_
Fi write: 411_x000D_
Fi write: 437_x000D_
Fi copyFile: 110_x000D_
Fi copyTo: 835_x000D_
IOSLauncher 1 shareFile: 145_x000D_
   _x000D_
  FileNotFound:  var mobile Containers Data Application 395E0969 549B 4094 9311 47905B609E87 Documents mindustry data export zip: open failed: EMFILE (Too many open files) _x000D_
IoBridge open: 409_x000D_
FileOutputStream  init : 88_x000D_
Fi wright:408_x000D_
Fi write:437_x000D_
Fi copyFile: 110_x000D_
Fi copyTo: 835_x000D_
IOSLauncher 1 shareFile:145_x000D_
   _x000D_
 Errno:  open failed: EMFILE (Too many open files) _x000D_
Posix open:  2_x000D_
BlockGuardOs open: 110_x000D_
IoBridge open: 393_x000D_
FileOutputStream  init : 88_x000D_
Fi write: 408_x000D_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Definitely the same as issue  473  but with more information about cause and workaround _x000D_
 mindustry data export zip (https:  github com Anuken Mindustry files 8120885 mindustry data export zip)_x000D_
_x000D_
</t>
  </si>
  <si>
    <t>Aliucord-Aliucord-220</t>
  </si>
  <si>
    <t>App sizing issue on Android 12L</t>
  </si>
  <si>
    <t xml:space="preserve">    Discord Account
Skullbite 3621
    What happens when the bug or crash occurs 
Opening aliucord on any version that s   115 x makes the app open like an overlay rather than a regular app  _x000D_
   (https:  media discordapp net attachments 811255667469582420 944371712177344604 unknown png)
    What is the expected behaviour 
To open like an app  
    How do you recreate this bug or crash 
1  Build a version of aliucord that s   115 x in an Android 12L environment _x000D_
2  Open it  
    Crash log
 No response 
    Request Agreement
   x  I did indeed check to make sure the bug or crash report is applicable </t>
  </si>
  <si>
    <t>czlucius-code-scanner-36</t>
  </si>
  <si>
    <t>[Bug]: ACRA with R8 shrinking causes app to crash</t>
  </si>
  <si>
    <t xml:space="preserve">    Steps to reproduce
1  Build the app with release  so that r8 is on_x000D_
2  Open the app
    Expected behaviour
App crashes 
    Actual behaviour
App functions normally
    Device name
Google Pixel 3
    Android version API Level
Android 9
    App version
1 8 (alpha)
    Device crash logs
FATAL EXCEPTION: main_x000D_
Process: com czlucius scan  PID: 20507_x000D_
java lang RuntimeException: Unable to create application com czlucius scan App: java lang NoSuchMethodException:  init   boolean  class java lang String  boolean  class java lang String  class java lang String  class java lang String  int  class e e c f _x000D_
	at android app ActivityThread handleBindApplication(ActivityThread java:5925)_x000D_
	at android app ActivityThread access 1100(ActivityThread java:200)_x000D_
	at android app ActivityThread H handleMessage(ActivityThread java:1656)_x000D_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Caused by: java lang NoSuchMethodException:  init   boolean  class java lang String  boolean  class java lang String  class java lang String  class java lang String  int  class e e c f _x000D_
	at java lang Class getConstructor0(Class java:2327)_x000D_
	at java lang Class getConstructor(Class java:1725)_x000D_
	at com czlucius scan App onCreate(App java:72)_x000D_
	at android app Instrumentation callApplicationOnCreate(Instrumentation java:1154)_x000D_
	at android app ActivityThread handleBindApplication(ActivityThread java:5920)_x000D_
	    8 more
    Additional information
https:  stackoverflow com questions 25776116 android acra and proguard</t>
  </si>
  <si>
    <t>Anuken-Mindustry-6594</t>
  </si>
  <si>
    <t>Radeon driver crashes randomly with the game</t>
  </si>
  <si>
    <t xml:space="preserve">  Platform  :  Windows _x000D_
_x000D_
  Build  :  135 _x000D_
_x000D_
  Issue  :  sometimes it crashes at the loading screen  sometimes it starts flashing wildly soon after loading  sometimes it randomly crashes at some point in the game and sometimes it even crashes my graphics card (radeon RX 560 with the drivers version 22 2 2) and the computer frezees until the radeon open up the crash report _x000D_
_x000D_
  Steps to reproduce  :  there s no pattern to when it will happen  _x000D_
_x000D_
  Link(s) to mod(s) used  :  no mods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saves zip (https:  github com Anuken Mindustry files 8111503 saves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crashes zip (https:  github com Anuken Mindustry files 8111505 crashes zip)_x000D_
 last log txt (https:  github com Anuken Mindustry files 8111506 last log txt)_x000D_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_x000D_
_x000D_
</t>
  </si>
  <si>
    <t>Giua-app-Giua-App-121</t>
  </si>
  <si>
    <t>App crasha sempre con Android 12</t>
  </si>
  <si>
    <t xml:space="preserve">  Descrizione del bug  
crasha appena prova a fare l accesso
  Indica i passaggi per riprodurre il bug  
semplicemente provare a fare l accesso  cliccando in dettagli esce questo: 
Build version: 0 6 4 stable 
Build date: 09 02 2022 17:48:43 
Current date: 21 02 2022 14:37:17 
Device: Samsung SM G970F 
OS version: Android 12 (SDK 31) 
Stack trace:  
java lang RuntimeException: Unable to start activity ComponentInfo com giua app com giua app ui activities DrawerActivity : java lang IllegalArgumentException: com giua app: Targeting S  (version 31 and above) requires that one of FLAG IMMUTABLE or FLAG MUTABLE be specified when creating a PendingIntent 
Strongly consider using FLAG IMMUTABLE  only use FLAG MUTABLE if some functionality depends on the PendingIntent being mutable  e g  if it needs to be used with inline replies or bubbles 
	at android app ActivityThread performLaunchActivity(ActivityThread java:4031)
	at android app ActivityThread handleLaunchActivity(ActivityThread java:4197)
	at android app servertransaction LaunchActivityItem execute(LaunchActivityItem java:103)
	at android app servertransaction TransactionExecutor executeCallbacks(TransactionExecutor java:135)
	at android app servertransaction TransactionExecutor execute(TransactionExecutor java:95)
	at android app ActivityThread H handleMessage(ActivityThread java:2434)
	at android os Handler dispatchMessage(Handler java:106)
	at android os Looper loopOnce(Looper java:226)
	at android os Looper loop(Looper java:313)
	at android app ActivityThread main(ActivityThread java:8633)
	at java lang reflect Method invoke(Native Method)
	at com android internal os RuntimeInit MethodAndArgsCaller run(RuntimeInit java:567)
	at com android internal os ZygoteInit main(ZygoteInit java:1133)
Caused by: java lang IllegalArgumentException: com giua app: Targeting S  (version 31 and above) requires that one of FLAG IMMUTABLE or FLAG MUTABLE be specified when creating a PendingIntent 
Strongly consider using FLAG IMMUTABLE  only use FLAG MUTABLE if some functionality depends on the PendingIntent being mutable  e g  if it needs to be used with inline replies or bubbles 
	at android app PendingIntent checkFlags(PendingIntent java:382)
	at android app PendingIntent getBroadcastAsUser(PendingIntent java:673)
	at android app PendingIntent getBroadcast(PendingIntent java:660)
	at com giua app ui activities DrawerActivity onCreate(DrawerActivity java:37)
	at android app Activity performCreate(Activity java:8282)
	at android app Activity performCreate(Activity java:8262)
	at android app Instrumentation callActivityOnCreate(Instrumentation java:1329)
	at android app ActivityThread performLaunchActivity(ActivityThread java:4005)
	    12 more
User actions: 
2022 02 21 14:37:11: AutomaticLoginActivity created
2022 02 21 14:37:11: AutomaticLoginActivity resumed
2022 02 21 14:37:11: ActivityManager destroyed
2022 02 21 14:37:12: AutomaticLoginActivity paused
2022 02 21 14:37:12: DrawerActivity created
  Stacktrace  
Build version: 0 6 4 stable 
Build date: 09 02 2022 17:48:43 
Current date: 21 02 2022 14:37:19 
Device: Samsung SM G970F 
OS version: Android 12 (SDK 31) 
Stack trace:  
java lang RuntimeException: Unable to start activity ComponentInfo com giua app com giua app ui activities DrawerActivity : java lang IllegalArgumentException: com giua app: Targeting S  (version 31 and above) requires that one of FLAG IMMUTABLE or FLAG MUTABLE be specified when creating a PendingIntent 
Strongly consider using FLAG IMMUTABLE  only use FLAG MUTABLE if some functionality depends on the PendingIntent being mutable  e g  if it needs to be used with inline replies or bubbles 
	at android app ActivityThread performLaunchActivity(ActivityThread java:4031)
	at android app ActivityThread handleLaunchActivity(ActivityThread java:4197)
	at android app servertransaction LaunchActivityItem execute(LaunchActivityItem java:103)
	at android app servertransaction TransactionExecutor executeCallbacks(TransactionExecutor java:135)
	at android app servertransaction TransactionExecutor execute(TransactionExecutor java:95)
	at android app ActivityThread H handleMessage(ActivityThread java:2434)
	at android os Handler dispatchMessage(Handler java:106)
	at android os Looper loopOnce(Looper java:226)
	at android os Looper loop(Looper java:313)
	at android app ActivityThread main(ActivityThread java:8633)
	at java lang reflect Method invoke(Native Method)
	at com android internal os RuntimeInit MethodAndArgsCaller run(RuntimeInit java:567)
	at com android internal os ZygoteInit main(ZygoteInit java:1133)
Caused by: java lang IllegalArgumentException: com giua app: Targeting S  (version 31 and above) requires that one of FLAG IMMUTABLE or FLAG MUTABLE be specified when creating a PendingIntent 
Strongly consider using FLAG IMMUTABLE  only use FLAG MUTABLE if some functionality depends on the PendingIntent being mutable  e g  if it needs to be used with inline replies or bubbles 
	at android app PendingIntent checkFlags(PendingIntent java:382)
	at android app PendingIntent getBroadcastAsUser(PendingIntent java:673)
	at android app PendingIntent getBroadcast(PendingIntent java:660)
	at com giua app ui activities DrawerActivity onCreate(DrawerActivity java:37)
	at android app Activity performCreate(Activity java:8282)
	at android app Activity performCreate(Activity java:8262)
	at android app Instrumentation callActivityOnCreate(Instrumentation java:1329)
	at android app ActivityThread performLaunchActivity(ActivityThread java:4005)
	    12 more
User actions: 
2022 02 21 14:37:11: AutomaticLoginActivity created
2022 02 21 14:37:11: AutomaticLoginActivity resumed
2022 02 21 14:37:11: ActivityManager destroyed
2022 02 21 14:37:12: AutomaticLoginActivity paused
2022 02 21 14:37:12: DrawerActivity created
</t>
  </si>
  <si>
    <t>brodeurlv-fastnfitness-252</t>
  </si>
  <si>
    <t>Update to v0.20.5 crashes app instantly</t>
  </si>
  <si>
    <t xml:space="preserve">  Describe your issue  _x000D_
Hello  _x000D_
When updating the app to v0 20 5 and opening it it crashes instantly  The splash screen flashes for a split second but then the app is closed again _x000D_
Thank you  _x000D_
_x000D_
  To Reproduce  _x000D_
Steps to reproduce the behavior:_x000D_
1  Have data stored in app version 0 20 4 or earlier_x000D_
2  Upgrade to version 0 20 5_x000D_
3  Open the app_x000D_
_x000D_
  Expected behavior  _x000D_
The app opens_x000D_
_x000D_
  Smartphone (please complete the following information):  _x000D_
   Device: Pixel 4a_x000D_
   OS: Calyx OS based on Android 12_x000D_
   App Version: 0 20 5_x000D_
_x000D_
  Additional context  _x000D_
 details  summary Crash stack trace  summary _x000D_
_x000D_
   _x000D_
FATAL EXCEPTION: main_x000D_
Process: com easyfitness  PID: 8575_x000D_
java lang NullPointerException: Attempt to invoke virtual method  int com easyfitness DAO record Record getSets()  on a null object reference_x000D_
	at com easyfitness DAO DatabaseHelper copyTemplateValues(DatabaseHelper java:401)_x000D_
	at com easyfitness DAO DatabaseHelper onUpgrade(DatabaseHelper java:217)_x000D_
	at android database sqlite SQLiteOpenHelper getDatabaseLocked(SQLiteOpenHelper java:416)_x000D_
	at android database sqlite SQLiteOpenHelper getReadableDatabase(SQLiteOpenHelper java:340)_x000D_
	at com easyfitness DAO DAOBase getReadableDatabase(DAOBase java:24)_x000D_
	at com easyfitness DAO DAOProfile getProfile(DAOProfile java:92)_x000D_
	at com easyfitness MainActivity initActivity(MainActivity java:1076)_x000D_
	at com easyfitness MainActivity onStart(MainActivity java:348)_x000D_
	at android app Instrumentation callActivityOnStart(Instrumentation java:1455)_x000D_
	at android app Activity performStart(Activity java:8075)_x000D_
	at android app ActivityThread handleStartActivity(ActivityThread java:3660)_x000D_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java:2210)_x000D_
	at android os Handler dispatchMessage(Handler java:106)_x000D_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_x000D_
  details </t>
  </si>
  <si>
    <t>PojavLauncherTeam-PojavLauncher-2770</t>
  </si>
  <si>
    <t>[BUG] &lt;I can't use 1.12.2&gt;</t>
  </si>
  <si>
    <t xml:space="preserve">    Describe the bug
you met the error in what when I want to start playing with the forge of version 1 12 2 and make a world it doesn t let me  I tried to do this with the forge of 1 7 10 and it works  even though I don t want to Playing with mods on 1 12 2 is the same 
    The log file and images videos
  Screenshot 2022 02 20 22 45 29 588 net kdt pojavlaunch (https:  user images githubusercontent com 100093126 154891941 2c1f9089 3e08 43d5 8f8d 4564cdd11612 jpg)_x000D_
  Screenshot 2022 02 20 22 45 37 870 net kdt pojavlaunch (https:  user images githubusercontent com 100093126 154891951 960aaf8f ef5c 447b 9b30 def7dfb5cd4f jpg)_x000D_
_x000D_
            beggining with launcher debug_x000D_
Info: Launcher version: crocus v3 openjdk_x000D_
Info: LWJGL3 directory:  jsr305 jar  lwjgl glfw classes jar  lwjgl jemalloc jar  lwjgl openal jar  lwjgl opengl jar  lwjgl stb jar  lwjgl tinyfd jar  lwjgl jar  version _x000D_
Architecture: arm64_x000D_
Info: Custom Java arguments:   _x000D_
Info: Selected Minecraft version: 1 12 2 forge 14 23 5 2860 (1 12 2)_x000D_
          beginning of system_x000D_
          beginning of main_x000D_
Added custom env: TMPDIR  data user 0 net kdt pojavlaunch cache_x000D_
Added custom env: AWTSTUB WIDTH 2260_x000D_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Internal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runtimes Internal lib aarch64 jli: data user 0 net kdt pojavlaunch runtimes Internal lib aarch64: system lib64: vendor lib64: vendor lib64 hw: data app   1oo18bUL7vuf3eHDprmKvQ   net kdt pojavlaunch kl2XKfce2ujTeND9NCAZgg   lib arm64_x000D_
Added custom env: POJAV RENDERER opengles2_x000D_
Added custom env: LIBGL ES 2_x000D_
Added custom env: MESA LOADER DRIVER OVERRIDE zink_x000D_
Added custom env: MESA GLSL VERSION OVERRIDE 460_x000D_
Added custom env: JAVA HOME  data user 0 net kdt pojavlaunch runtimes Internal_x000D_
Added custom env: MESA GL VERSION OVERRIDE 4 6_x000D_
Added custom env: allow glsl extension directive midshader true_x000D_
Added custom env: REGAL GL RENDERER Regal_x000D_
Added custom env: AWTSTUB HEIGHT 1080_x000D_
I LIBGL   (11519): Initialising gl4es_x000D_
I LIBGL   (11519): v1 1 4 built on Jul 19 2020 08:20:42_x000D_
I LIBGL   (11519): Using GLES 2 0 backend_x000D_
I LIBGL   (11519): loaded: libGLESv2 so_x000D_
I LIBGL   (11519): loaded: libEGL so_x000D_
I LIBGL   (11519): Using GLES 2 0 backend_x000D_
I LIBGL   (11519): Hardware Full NPOT detected and used_x000D_
I LIBGL   (11519): FBO are in core  and so used_x000D_
I LIBGL   (11519): PointSprite are in core  and so used_x000D_
I LIBGL   (11519): CubeMap are in core  and so used_x000D_
I LIBGL   (11519): BlendColor is in core  and so used_x000D_
I LIBGL   (11519): Blend Substract is in core  and so used_x000D_
I LIBGL   (11519): Blend Function and Equation Separation is in core  and so used_x000D_
I LIBGL   (11519): Texture Mirrored Repeat is in core  and so used_x000D_
I LIBGL   (11519): Extension GL OES element index uint  detected and used_x000D_
I LIBGL   (11519): Extension GL OES packed depth stencil  detected and used_x000D_
I LIBGL   (11519): Extension GL OES depth24  detected and used_x000D_
I LIBGL   (11519): Extension GL OES rgb8 rgba8  detected and used_x000D_
I LIBGL   (11519): Extension GL EXT texture format BGRA8888  detected and used_x000D_
I LIBGL   (11519): Extension GL OES depth texture  detected and used_x000D_
I LIBGL   (11519): Extension GL OES texture stencil8  detected and used_x000D_
I LIBGL   (11519): Extension GL OES texture float  detected and used_x000D_
I LIBGL   (11519): Extension GL OES texture half float  detected and used_x000D_
I LIBGL   (11519): Extension GL EXT color buffer float  detected and used_x000D_
I LIBGL   (11519): Extension GL EXT color buffer half float  detected and used_x000D_
I LIBGL   (11519): high precision float in fragment shader available and used_x000D_
I LIBGL   (11519): Max vertex attrib: 16_x000D_
I LIBGL   (11519): Extension GL OES standard derivatives  detected and used_x000D_
I LIBGL   (11519): Max texture size: 16384_x000D_
I LIBGL   (11519): Max Varying Vector: 31_x000D_
I LIBGL   (11519): Texture Units: 16 16 (hardware: 16)  Max lights: 8  Max planes: 6_x000D_
I LIBGL   (11519): Extension GL EXT texture filter anisotropic  detected and used_x000D_
I LIBGL   (11519): Max Anisotropic filtering: 16_x000D_
I LIBGL   (11519): Max Color Attachments: 1   Draw buffers: 1_x000D_
I LIBGL   (11519): Hardware vendor is Qualcomm_x000D_
I LIBGL   (11519): GLSL 300 es supported_x000D_
I LIBGL   (11519): GLSL 310 es supported and used_x000D_
I LIBGL   (11519): sRGB surface supported_x000D_
I LIBGL   (11519): EGLImage to Texture2D supported_x000D_
I LIBGL   (11519): EGLImage to RenderBuffer supported_x000D_
I LIBGL   (11519): ignore MipMap_x000D_
I LIBGL   (11519): Targeting OpenGL 2 1_x000D_
I LIBGL   (11519): NPOT texture handled in hardware_x000D_
I LIBGL   (11519): Not trying to batch small subsequent glDrawXXXX_x000D_
I LIBGL   (11519): try to use VBO_x000D_
I LIBGL   (11519): glX Will try to recycle EGL Surface_x000D_
I LIBGL   (11519): Current folder is: _x000D_
I jrelog  (11519): dlopen libgl4es 114 so success_x000D_
I jrelog  (11519): dlopen  data user 0 net kdt pojavlaunch runtimes Internal lib aarch64 jli libjli so success_x000D_
I jrelog  (11519): dlopen libjvm so failed: dlopen failed: library  libjvm so  not found_x000D_
I jrelog  (11519): dlopen  data user 0 net kdt pojavlaunch runtimes Internal lib aarch64 server libjvm so success_x000D_
I jrelog  (11519): dlopen  data user 0 net kdt pojavlaunch runtimes Internal lib aarch64 libverify so success_x000D_
I jrelog  (11519): dlopen  data user 0 net kdt pojavlaunch runtimes Internal lib aarch64 libjava so success_x000D_
I jrelog  (11519): dlopen  data user 0 net kdt pojavlaunch runtimes Internal lib aarch64 libnet so success_x000D_
I jrelog  (11519): dlopen  data user 0 net kdt pojavlaunch runtimes Internal lib aarch64 libnio so success_x000D_
I jrelog  (11519): dlopen  data user 0 net kdt pojavlaunch runtimes Internal lib aarch64 libawt so success_x000D_
I jrelog  (11519): dlopen  data user 0 net kdt pojavlaunch runtimes Internal lib aarch64 libawt headless so success_x000D_
I jrelog  (11519): dlopen  data user 0 net kdt pojavlaunch runtimes Internal lib aarch64 libfreetype so success_x000D_
I jrelog  (11519): dlopen  data user 0 net kdt pojavlaunch runtimes Internal lib aarch64 libfontmanager so success_x000D_
I jrelog  (11519): dlopen  data user 0 net kdt pojavlaunch runtimes Internal lib aarch64 libjsound so success_x000D_
I jrelog  (11519): dlopen  data user 0 net kdt pojavlaunch runtimes Internal lib aarch64 libjpeg so success_x000D_
I jrelog  (11519): dlopen  data user 0 net kdt pojavlaunch runtimes Internal lib aarch64 libawt so success_x000D_
I jrelog  (11519): dlopen  data user 0 net kdt pojavlaunch runtimes Internal lib aarch64 jli libjli so success_x000D_
I jrelog  (11519): dlopen  data user 0 net kdt pojavlaunch runtimes Internal lib aarch64 server libjvm so success_x000D_
I jrelog  (11519): dlopen  data user 0 net kdt pojavlaunch runtimes Internal lib aarch64 libjsdt so success_x000D_
I jrelog  (11519): dlopen  data user 0 net kdt pojavlaunch runtimes Internal lib aarch64 libfontmanager so success_x000D_
I jrelog  (11519): dlopen  data user 0 net kdt pojavlaunch runtimes Internal lib aarch64 libj2pcsc so success_x000D_
I jrelog  (11519): dlopen  data user 0 net kdt pojavlaunch runtimes Internal lib aarch64 libmanagement so success_x000D_
I jrelog  (11519): dlopen  data user 0 net kdt pojavlaunch runtimes Internal lib aarch64 libunpack so success_x000D_
I jrelog  (11519): dlopen  data user 0 net kdt pojavlaunch runtimes Internal lib aarch64 libjaas unix so success_x000D_
I jrelog  (11519): dlopen  data user 0 net kdt pojavlaunch runtimes Internal lib aarch64 libhprof so success_x000D_
I jrelog  (11519): dlopen  data user 0 net kdt pojavlaunch runtimes Internal lib aarch64 libfreetype so success_x000D_
I jrelog  (11519): dlopen  data user 0 net kdt pojavlaunch runtimes Internal lib aarch64 libawt xawt so success_x000D_
I jrelog  (11519): dlopen  data user 0 net kdt pojavlaunch runtimes Internal lib aarch64 libjsig so success_x000D_
I jrelog  (11519): dlopen  data user 0 net kdt pojavlaunch runtimes Internal lib aarch64 libj2gss so success_x000D_
I jrelog  (11519): dlopen  data user 0 net kdt pojavlaunch runtimes Internal lib aarch64 libsunec so success_x000D_
I jrelog  (11519): dlopen  data user 0 net kdt pojavlaunch runtimes Internal lib aarch64 libnpt so failed: dlopen failed: library  libtinyiconv so  not found: needed by  data data net kdt pojavlaunch runtimes Internal lib aarch64 libnpt so in namespace classloader namespace_x000D_
I jrelog  (11519): dlopen  data user 0 net kdt pojavlaunch runtimes Internal lib aarch64 libnet so success_x000D_
I jrelog  (11519): dlopen  data user 0 net kdt pojavlaunch runtimes Internal lib aarch64 libjava crw demo so success_x000D_
I jrelog  (11519): dlopen  data user 0 net kdt pojavlaunch runtimes Internal lib aarch64 libjava so success_x000D_
I jrelog  (11519): dlopen  data user 0 net kdt pojavlaunch runtimes Internal lib aarch64 libnio so success_x000D_
I jrelog  (11519): dlopen  data user 0 net kdt pojavlaunch runtimes Internal lib aarch64 libtinyiconv so success_x000D_
I jrelog  (11519): dlopen  data user 0 net kdt pojavlaunch runtimes Internal lib aarch64 libj2pkcs11 so success_x000D_
I jrelog  (11519): dlopen  data user 0 net kdt pojavlaunch runtimes Internal lib aarch64 libdt socket so success_x000D_
I jrelog  (11519): dlopen  data user 0 net kdt pojavlaunch runtimes Internal lib aarch64 libjdwp so success_x000D_
I jrelog  (11519): dlopen  data user 0 net kdt pojavlaunch runtimes Internal lib aarch64 libzip so success_x000D_
I jrelog  (11519): dlopen  data user 0 net kdt pojavlaunch runtimes Internal lib aarch64 libsctp so success_x000D_
I jrelog  (11519): dlopen  data user 0 net kdt pojavlaunch runtimes Internal lib aarch64 libmlib image so success_x000D_
I jrelog  (11519): dlopen  data user 0 net kdt pojavlaunch runtimes Internal lib aarch64 libinstrument so success_x000D_
I jrelog  (11519): dlopen  data user 0 net kdt pojavlaunch runtimes Internal lib aarch64 liblcms so success_x000D_
I jrelog  (11519): dlopen  data user 0 net kdt pojavlaunch runtimes Internal lib aarch64 libjawt so success_x000D_
I jrelog  (11519): dlopen  data user 0 net kdt pojavlaunch runtimes Internal lib aarch64 libverify so success_x000D_
I jrelog  (11519): dlopen  data user 0 net kdt pojavlaunch runtimes Internal lib aarch64 libawt headless so success_x000D_
I jrelog  (11519): dlopen  data app   1oo18bUL7vuf3eHDprmKvQ   net kdt pojavlaunch kl2XKfce2ujTeND9NCAZgg   lib arm64 libopenal so success_x000D_
I jrelog  (11519): Done processing args_x000D_
I jrelog  (11519): Found JLI lib_x000D_
I jrelog  (11519): Calling JLI Launch_x000D_
OpenJDK 64 Bit Server VM warning: _x000D_
No monotonic clock was available   timed services may be adversely affected if the time of day clock changes_x000D_
_x000D_
 04:43:16   main INFO   LaunchWrapper : Loading tweak class name net minecraftforge fml common launcher FMLTweaker_x000D_
 04:43:16   main INFO   LaunchWrapper : Using primary tweak class name net minecraftforge fml common launcher FMLTweaker_x000D_
 04:43:16   main INFO   LaunchWrapper : Calling tweak class net minecraftforge fml common launcher FMLTweaker_x000D_
 04:43:16   main INFO   FML : Forge Mod Loader version 14 23 5 2860 for Minecraft 1 12 2 loading_x000D_
 04:43:16   main INFO   FML : Java is OpenJDK 64 Bit Server VM  version 1 8 0 internal  running on Linux:aarch64:Android 11  installed at  data data net kdt pojavlaunch runtimes Internal_x000D_
 04:43:16   main INFO   FML : Searching  storage emulated 0 Android data net kdt pojavlaunch files  minecraft mods for mods_x000D_
 04:43:16   main INFO   LaunchWrapper : Loading tweak class name net minecraftforge fml common launcher FMLInjectionAndSortingTweaker_x000D_
 04:43:16   main INFO   LaunchWrapper : Loading tweak class name net minecraftforge fml common launcher FMLDeobfTweaker_x000D_
 04:43:16   main INFO   LaunchWrapper : Calling tweak class net minecraftforge fml common launcher FMLInjectionAndSortingTweaker_x000D_
 04:43:16   main INFO   LaunchWrapper : Calling tweak class net minecraftforge fml common launcher FMLInjectionAndSortingTweaker_x000D_
 04:43:16   main INFO   LaunchWrapper : Calling tweak class net minecraftforge fml relauncher CoreModManager FMLPluginWrapper_x000D_
 04:43:21   main INFO   FML : Found valid fingerprint for Minecraft Forge  Certificate fingerprint e3c3d50c7c986df74c645c0ac54639741c90a557_x000D_
 04:43:21   main INFO   FML : Found valid fingerprint for Minecraft  Certificate fingerprint cd99959656f753dc28d863b46769f7f8fbaefcfc_x000D_
 04:43:21   main INFO   LaunchWrapper : Calling tweak class net minecraftforge fml relauncher CoreModManager FMLPluginWrapper_x000D_
 04:43:21   main INFO   LaunchWrapper : Calling tweak class net minecraftforge fml common launcher FMLDeobfTweaker_x000D_
 04:43:23   main INFO   LaunchWrapper : Loading tweak class name net minecraftforge fml common launcher TerminalTweaker_x000D_
 04:43:23   main INFO   LaunchWrapper : Calling tweak class net minecraftforge fml common launcher TerminalTweaker_x000D_
 04:43:23   main INFO   LaunchWrapper : Launching wrapped minecraft  net minecraft client main Main _x000D_
 04:43:25   main INFO   STDERR :  org lwjgl system Library:printError:493 :  LWJGL  Failed to load a library  Possible solutions:_x000D_
	a) Add the directory that contains the shared library to  Djava library path or  Dorg lwjgl librarypath _x000D_
	b) Add the JAR that contains the shared library to the classpath _x000D_
 04:43:25   main INFO   STDERR :  org lwjgl system Library:printError:495 :  LWJGL  Enable debug mode with  Dorg lwjgl util Debug true for better diagnostics _x000D_
 04:43:25   main INFO   STDERR :  org lwjgl system Library:printError:497 :  LWJGL  Enable the SharedLibraryLoader debug mode with  Dorg lwjgl util DebugLoader true for better diagnostics _x000D_
 04:43:27   Client thread INFO   minecraft Minecraft : Setting user: kasopa2_x000D_
 04:43:42   Client thread WARN   minecraft GameSettings : Skipping bad option: lastServer:_x000D_
 04:43:42   Client thread WARN   minecraft GameSettings : Skipping bad option: streamPreferredServer:_x000D_
 04:43:42   Client thread INFO   minecraft Minecraft : LWJGL Version: 3 2 3 SNAPSHOT_x000D_
EGLBridge: Initializing_x000D_
EGLBridge: Initialized _x000D_
EGLBridge: ThreadID 11915_x000D_
EGLBridge: EGLDisplay 0x1  EGLSurface 0x74ccfd5500_x000D_
EGLBridge: Created CTX pointer   0x74ccfd5e00_x000D_
 04:43:42   Client thread INFO   STDOUT :  org lwjgl opengl ContextGL: init :104 : LWJGLX: ready handle context created_x000D_
 04:43:42   Client thread INFO   STDERR :  org lwjgl glfw GLFW:glfwMakeContextCurrent:1004 : java lang Exception: Trace exception_x000D_
 04:43:42   Client thread INFO   STDERR :  org lwjgl glfw GLFW:glfwMakeContextCurrent:1004 : 	at org lwjgl glfw GLFW glfwMakeContextCurrent(GLFW java:1004)_x000D_
 04:43:42   Client thread INFO   STDERR :  org lwjgl glfw GLFW:glfwMakeContextCurrent:1004 : 	at org lwjgl opengl ContextGL makeCurrent(ContextGL java:197)_x000D_
 04:43:42   Client thread INFO   STDERR :  org lwjgl glfw GLFW:glfwMakeContextCurrent:1004 : 	at org lwjgl opengl Display create(Display java:419)_x000D_
 04:43:42   Client thread INFO   STDERR :  org lwjgl glfw GLFW:glfwMakeContextCurrent:1004 : 	at org lwjgl opengl Display  clinit (Display java:91)_x000D_
 04:43:42   Client thread INFO   STDERR :  org lwjgl glfw GLFW:glfwMakeContextCurrent:1004 : 	at net minecraft client Minecraft func 175594 ao(Minecraft java:680)_x000D_
 04:43:42   Client thread INFO   STDERR :  org lwjgl glfw GLFW:glfwMakeContextCurrent:1004 : 	at net minecraft client Minecraft func 71384 a(Minecraft java:456)_x000D_
 04:43:42   Client thread INFO   STDERR :  org lwjgl glfw GLFW:glfwMakeContextCurrent:1004 : 	at net minecraft client Minecraft func 99999 d(Minecraft java:378)_x000D_
 04:43:42   Client thread INFO   STDERR :  org lwjgl glfw GLFW:glfwMakeContextCurrent:1004 : 	at net minecraft client main Main main(SourceFile:123)_x000D_
 04:43:42   Client thread INFO   STDERR :  org lwjgl glfw GLFW:glfwMakeContextCurrent:1004 : 	at sun reflect NativeMethodAccessorImpl invoke0(Native Method)_x000D_
 04:43:42   Client thread INFO   STDERR :  org lwjgl glfw GLFW:glfwMakeContextCurrent:1004 : 	at sun reflect NativeMethodAccessorImpl invoke(NativeMethodAccessorImpl java:62)_x000D_
 04:43:42   Client thread INFO   STDERR :  org lwjgl glfw GLFW:glfwMakeContextCurrent:1004 : 	at sun reflect DelegatingMethodAccessorImpl invoke(DelegatingMethodAccessorImpl java:43)_x000D_
 04:43:42   Client thread INFO   STDERR :  org lwjgl glfw GLFW:glfwMakeContextCurrent:1004 : 	at java lang reflect Method invoke(Method java:498)_x000D_
 04:43:42   Client thread INFO   STDERR :  org lwjgl glfw GLFW:glfwMakeContextCurrent:1004 : 	at net minecraft launchwrapper Launch launch(Launch java:135)_x000D_
 04:43:42   Client thread INFO   STDERR :  org lwjgl glfw GLFW:glfwMakeContextCurrent:1004 : 	at net minecraft launchwrapper Launch main(Launch java:28)_x000D_
EGLBridge: Comparing: thr 11915  this 0x74ccfd5e00  curr 0x0_x000D_
EGLBridge: Making current on window 0x74ccfd5e00 on thread 11915_x000D_
EGLBridge: eglMakeCurrent() succeed _x000D_
 04:43:42   Client thread INFO   STDOUT :  org lwjgl glfw GLFW:glfwMakeContextCurrent:1007 : 74ccfd5e00_x000D_
 04:43:42   Client thread INFO   STDOUT :  org lwjgl opengl GLContext:initCapabilities:13 : LWJGLX: GL caps init_x000D_
EGLBridge: Comparing: thr 11915  this 0x74ccfd5e00  curr 0x74ccfd5e00_x000D_
 04:43:44   Client thread INFO   STDOUT :  org lwjgl input GLFWInputImplementation:grabMouse:66 : Grab: false_x000D_
 04:43:44   Client thread INFO   STDERR :  org lwjgl opengl Display:setIcon:955 : java lang NullPointerException_x000D_
 04:43:44   Client thread INFO   STDERR :  org lwjgl opengl Display:setIcon:955 : 	at org lwjgl system Pointer Default  init (Pointer java:88)_x000D_
 04:43:44   Client thread INFO   STDERR :  org lwjgl opengl Display:setIcon:955 : 	at org lwjgl system CustomBuffer  init (CustomBuffer java:25)_x000D_
 04:43:44   Client thread INFO   STDERR :  org lwjgl opengl Display:setIcon:955 : 	at org lwjgl system StructBuffer  init (StructBuffer java:20)_x000D_
 04:43:44   Client thread INFO   STDERR :  org lwjgl opengl Display:setIcon:955 : 	at org lwjgl glfw GLFWImage Buffer  init (GLFWImage java:325)_x000D_
 04:43:44   Client thread INFO   STDERR :  org lwjgl opengl Display:setIcon:955 : 	at org lwjgl opengl Display setIcon(Display java:951)_x000D_
 04:43:44   Client thread INFO   STDERR :  org lwjgl opengl Display:setIcon:955 : 	at net minecraft client Minecraft func 175594 ao(Minecraft java:680)_x000D_
 04:43:44   Client thread INFO   STDERR :  org lwjgl opengl Display:setIcon:955 : 	at net minecraft client Minecraft func 71384 a(Minecraft java:456)_x000D_
 04:43:44   Client thread INFO   STDERR :  org lwjgl opengl Display:setIcon:955 : 	at net minecraft client Minecraft func 99999 d(Minecraft java:378)_x000D_
 04:43:44   Client thread INFO   STDERR :  org lwjgl opengl Display:setIcon:955 : 	at net minecraft client main Main main(SourceFile:123)_x000D_
 04:43:44   Client thread INFO   STDERR :  org lwjgl opengl Display:setIcon:955 : 	at sun reflect NativeMethodAccessorImpl invoke0(Native Method)_x000D_
 04:43:44   Client thread INFO   STDERR :  org lwjgl opengl Display:setIcon:955 : 	at sun reflect NativeMethodAccessorImpl invoke(NativeMethodAccessorImpl java:62)_x000D_
 04:43:44   Client thread INFO   STDERR :  org lwjgl opengl Display:setIcon:955 : 	at sun reflect DelegatingMethodAccessorImpl invoke(DelegatingMethodAccessorImpl java:43)_x000D_
 04:43:44   Client thread INFO   STDERR :  org lwjgl opengl Display:setIcon:955 : 	at java lang reflect Method invoke(Method java:498)_x000D_
 04:43:44   Client thread INFO   STDERR :  org lwjgl opengl Display:setIcon:955 : 	at net minecraft launchwrapper Launch launch(Launch java:135)_x000D_
 04:43:44   Client thread INFO   STDERR :  org lwjgl opengl Display:setIcon:955 : 	at net minecraft launchwrapper Launch main(Launch java:28)_x000D_
 04:43:44   Client thread INFO   STDOUT :  org lwjgl glfw GLFW:glfwSetWindowSize:1088 : GLFW: Set size for window 501655363072  width 2260  height 1080_x000D_
EGLBridge: Created CTX pointer   0x74cb169400_x000D_
 04:43:44   Client thread INFO   STDOUT :  org lwjgl opengl ContextGL: init :104 : LWJGLX: ready handle context created_x000D_
 04:43:44   Client thread INFO   STDERR :  org lwjgl glfw GLFW:glfwMakeContextCurrent:1004 : java lang Exception: Trace exception_x000D_
 04:43:44   Client thread INFO   STDERR :  org lwjgl glfw GLFW:glfwMakeContextCurrent:1004 : 	at org lwjgl glfw GLFW glfwMakeContextCurrent(GLFW java:1004)_x000D_
 04:43:44   Client thread INFO   STDERR :  org lwjgl glfw GLFW:glfwMakeContextCurrent:1004 : 	at org lwjgl opengl ContextGL makeCurrent(ContextGL java:197)_x000D_
 04:43:44   Client thread INFO   STDERR :  org lwjgl glfw GLFW:glfwMakeContextCurrent:1004 : 	at org lwjgl opengl Display create(Display java:419)_x000D_
 04:43:44   Client thread INFO   STDERR :  org lwjgl glfw GLFW:glfwMakeContextCurrent:1004 : 	at org lwjgl opengl Display create(Display java:253)_x000D_
 04:43:44   Client thread INFO   STDERR :  org lwjgl glfw GLFW:glfwMakeContextCurrent:1004 : 	at net minecraft client Minecraft func 175609 am(Minecraft java:625)_x000D_
 04:43:44   Client thread INFO   STDERR :  org lwjgl glfw GLFW:glfwMakeContextCurrent:1004 : 	at net minecraft client Minecraft func 71384 a(Minecraft java:458)_x000D_
 04:43:44   Client thread INFO   STDERR :  org lwjgl glfw GLFW:glfwMakeContextCurrent:1004 : 	at net minecraft client Minecraft func 99999 d(Minecraft java:378)_x000D_
 04:43:44   Client thread INFO   STDERR :  org lwjgl glfw GLFW:glfwMakeContextCurrent:1004 : 	at net minecraft client main Main main(SourceFile:123)_x000D_
 04:43:44   Client thread INFO   STDERR :  org lwjgl glfw GLFW:glfwMakeContextCurrent:1004 : 	at sun reflect NativeMethodAccessorImpl invoke0(Native Method)_x000D_
 04:43:44   Client thread INFO   STDERR :  org lwjgl glfw GLFW:glfwMakeContextCurrent:1004 : 	at sun reflect NativeMethodAccessorImpl invoke(NativeMethodAccessorImpl java:62)_x000D_
 04:43:44   Client thread INFO   STDERR :  org lwjgl glfw GLFW:glfwMakeContextCurrent:1004 : 	at sun reflect DelegatingMethodAccessorImpl invoke(DelegatingMethodAccessorImpl java:43)_x000D_
 04:43:44   Client thread INFO   STDERR :  org lwjgl glfw GLFW:glfwMakeContextCurrent:1004 : 	at java lang reflect Method invoke(Method java:498)_x000D_
 04:43:44   Client thread INFO   STDERR :  org lwjgl glfw GLFW:glfwMakeContextCurrent:1004 : 	at net minecraft launchwrapper Launch launch(Launch java:135)_x000D_
 04:43:44   Client thread INFO   STDERR :  org lwjgl glfw GLFW:glfwMakeContextCurrent:1004 : 	at net minecraft launchwrapper Launch main(Launch java:28)_x000D_
EGLBridge: Comparing: thr 11915  this 0x74cb169400  curr 0x74ccfd5e00_x000D_
 04:43:44   Client thread INFO   STDOUT :  org lwjgl glfw GLFW:glfwMakeContextCurrent:1007 : 74ccfd5e00_x000D_
 04:43:44   Client thread INFO   FML : MinecraftForge v14 23 5 2860 Initialized_x000D_
 04:43:44   Client thread INFO   FML : Starts to replace vanilla recipe ingredients with ore ingredients _x000D_
 04:43:44   Client thread INFO   FML : Invalid recipe found with multiple oredict ingredients in the same ingredient   _x000D_
 04:43:45   Client thread INFO   FML : Replaced 1227 ore ingredients_x000D_
 04:43:46   Client thread INFO   FML : Searching  storage emulated 0 Android data net kdt pojavlaunch files  minecraft mods for mods_x000D_
 04:43:48   Client thread INFO   FML : Forge Mod Loader has identified 4 mods to load_x000D_
 04:43:49   Client thread INFO   FML : Attempting connection with missing mods  minecraft  mcp  FML  forge  at CLIENT_x000D_
 04:43:49   Client thread INFO   FML : Attempting connection with missing mods  minecraft  mcp  FML  forge  at SERVER_x000D_
 04:43:49   Client thread INFO   minecraft SimpleReloadableResourceManager : Reloading ResourceManager: Default  FMLFileResourcePack:Forge Mod Loader  FMLFileResourcePack:Minecraft Forge_x000D_
 04:43:50   Client thread INFO   FML : Processing ObjectHolder annotations_x000D_
 04:43:50   Client thread INFO   FML : Found 1168 ObjectHolder annotations_x000D_
 04:43:50   Client thread INFO   FML : Identifying ItemStackHolder annotations_x000D_
 04:43:50   Client thread INFO   FML : Found 0 ItemStackHolder annotations_x000D_
 04:43:50   Client thread INFO   FML : Configured a dormant chunk cache size of 0_x000D_
 04:43:50   Forge Version Check INFO   forge VersionCheck :  forge  Starting version check at http:  files minecraftforge net maven net minecraftforge forge promotions slim json_x000D_
 04:43:50   Client thread INFO   FML : Applying holder lookups_x000D_
 04:43:50   Client thread INFO   FML : Holder lookups applied_x000D_
 04:43:50   Client thread INFO   FML : Applying holder lookups_x000D_
 04:43:50   Client thread INFO   FML : Holder lookups applied_x000D_
 04:43:50   Client thread INFO   FML : Applying holder lookups_x000D_
 04:43:50   Client thread INFO   FML : Holder lookups applied_x000D_
 04:43:50   Client thread INFO   FML : Applying holder lookups_x000D_
 04:43:50   Client thread INFO   FML : Holder lookups applied_x000D_
 04:43:50   Client thread INFO   FML : Injecting itemstacks_x000D_
 04:43:50   Client thread INFO   FML : Itemstack injection complete_x000D_
 04:43:53   Sound Library Loader INFO   minecraft SoundManager : Starting up SoundSystem   _x000D_
 04:43:53   Forge Version Check INFO   forge VersionCheck :  forge  Found status: AHEAD Target: null_x000D_
 04:43:53   Thread 2 INFO   minecraft SoundManager : Initializing LWJGL OpenAL_x000D_
 04:43:53   Thread 2 INFO   minecraft SoundManager : (The LWJGL binding of OpenAL   For more information  see http:  www lwjgl org)_x000D_
 ALSOFT  (EE) Failed to set real time priority for thread: Operation not permitted (1)_x000D_
 04:43:54   Thread 2 INFO   minecraft SoundManager : OpenAL initialized _x000D_
 04:43:54   Sound Library Loader INFO   minecraft SoundManager : Sound engine started_x000D_
 04:44:01   Client thread INFO   FML : Max texture size: 16384_x000D_
 04:44:05   Client thread INFO   minecraft TextureMap : Created: 512x512 textures atlas_x000D_
 04:44:09   Client thread INFO   FML : Applying holder lookups_x000D_
 04:44:09   Client thread INFO   FML : Holder lookups applied_x000D_
 04:44:09   Client thread INFO   FML : Injecting itemstacks_x000D_
 04:44:09   Client thread INFO   FML : Itemstack injection complete_x000D_
 04:44:10   Client thread INFO   FML : Forge Mod Loader has successfully loaded 4 mods_x000D_
 04:44:10   Client thread WARN   minecraft GameSettings : Skipping bad option: lastServer:_x000D_
 04:44:10   Client thread WARN   minecraft GameSettings : Skipping bad option: streamPreferredServer:_x000D_
 04:44:11   Client thread WARN   mojang NarratorLinux : ERROR : Couldn t load Narrator library : Unable to load library  fliteWrapper : Native library (linux aarch64 libfliteWrapper so) not found in resource path ( file: storage emulated 0 Android data net kdt pojavlaunch files lwjgl3 jsr305 jar  file: storage emulated 0 Android data net kdt pojavlaunch files lwjgl3 lwjgl glfw classes jar  file: storage emulated 0 Android data net kdt pojavlaunch files lwjgl3 lwjgl jemalloc jar  file: storage emulated 0 Android data net kdt pojavlaunch files lwjgl3 lwjgl openal jar  file: storage emulated 0 Android data net kdt pojavlaunch files lwjgl3 lwjgl opengl jar  file: storage emulated 0 Android data net kdt pojavlaunch files lwjgl3 lwjgl stb jar  file: storage emulated 0 Android data net kdt pojavlaunch files lwjgl3 lwjgl tinyfd jar  file: storage emulated 0 Android data net kdt pojavlaunch files lwjgl3 lwjgl jar  file: storage emulated 0 Android data net kdt pojavlaunch files  minecraft libraries com mojang patchy 1 3 9 patchy 1 3 9 jar  file: storage emulated 0 Android data net kdt pojavlaunch files  minecraft libraries oshi project oshi core 1 1 oshi core 1 1 jar  file: storage emulated 0 Android data net kdt pojavlaunch files  minecraft libraries net java dev jna jna 4 4 0 jna 4 4 0 jar  file: storage emulated 0 Android data net kdt pojavlaunch files  minecraft libraries net java dev jna platform 3 4 0 platform 3 4 0 jar  file: storage emulated 0 Android data net kdt pojavlaunch files  minecraft libraries com ibm icu icu4j core mojang 51 2 icu4j core mojang 51 2 jar  file: storage emulated 0 Android data net kdt pojavlaunch files  minecraft libraries net sf jopt simple jopt simple 5 0 3 jopt simple 5 0 3 jar  file: storage emulated 0 Android data net kdt pojavlaunch files  minecraft libraries com paulscode codecjorbis 20101023 codecjorbis 20101023 jar  file: storage emulated 0 Android data net kdt pojavlaunch files  minecraft libraries com paulscode codecwav 20101023 codecwav 20101023 jar  file: storage emulated 0 An_x000D_
droid data net kdt pojavlaunch files  minecraft libraries com paulscode libraryjavasound 20101123 libraryjavasound 20101123 jar  file: storage emulated 0 Android data net kdt pojavlaunch files  minecraft libraries com paulscode librarylwjglopenal 20100824 librarylwjglopenal 20100824 jar  file: storage emulated 0 Android data net kdt pojavlaunch files  minecraft libraries com paulscode soundsystem 20120107 soundsystem 20120107 jar  file: storage emulated 0 Android data net kdt pojavlaunch files  minecraft libraries io netty netty all 4 1 9 Final netty all 4 1 9 Final jar  file: storage emulated 0 Android data net kdt pojavlaunch files  minecraft libraries com google guava guava 21 0 guava 21 0 jar  file: storage emulated 0 Android data net kdt pojavlaunch files  minecraft libraries org apache commons commons lang3 3 5 commons lang3 3 5 jar  file: storage emulated 0 Android data net kdt pojavlaunch files  minecraft libraries commons io commons io 2 5 commons io 2 5 jar  file: storage emulated 0 Android data net kdt pojavlaunch files  minecraft libraries commons codec commons codec 1 10 commons codec 1 10 jar  file: storage emulated 0 Android data net kdt pojavlaunch files  minecraft libraries net java jinput jinput 2 0 5 jinput 2 0 5 jar  file: storage emulated 0 Android data net kdt pojavlaunch files  minecraft libraries net java jutils jutils 1 0 0 jutils 1 0 0 jar  file: storage emulated 0 Android data net kdt pojavlaunch files  minecraft libraries com google code gson gson 2 8 0 gson 2 8 0 jar  file: storage emulated 0 Android data net kdt pojavlaunch files  minecraft libraries com mojang authlib 1 5 25 authlib 1 5 25 jar  file: storage emulated 0 Android data net kdt pojavlaunch files  minecraft libraries com mojang realms 1 10 22 realms 1 10 22 jar  file: storage emulated 0 Android data net kdt pojavlaunch files  minecraft libraries org apache commons commons compress 1 8 1 commons compress 1 8 1 jar  file: storage emulated 0 Android data net kdt pojavlaunch files  minecraft libraries org apache httpcomponen_x000D_
ts httpclient 4 3 3 httpclient 4 3 3 jar  file: storage emulated 0 Android data net kdt pojavlaunch files  minecraft libraries commons logging commons logging 1 1 3 commons logging 1 1 3 jar  file: storage emulated 0 Android data net kdt pojavlaunch files  minecraft libraries org apache httpcomponents httpcore 4 3 2 httpcore 4 3 2 jar  file: storage emulated 0 Android data net kdt pojavlaunch files  minecraft libraries it unimi dsi fastutil 7 1 0 fastutil 7 1 0 jar  file: storage emulated 0 Android data net kdt pojavlaunch files  minecraft libraries org apache logging log4j log4j api 2 15 0 log4j api 2 15 0 jar  file: storage emulated 0 Android data net kdt pojavlaunch files  minecraft libraries org apache logging log4j log4j core 2 15 0 log4j core 2 15 0 jar  file: storage emulated 0 Android data net kdt pojavlaunch files  minecraft libraries com mojang text2speech 1 10 3 text2speech 1 10 3 jar  file: storage emulated 0 Android data net kdt pojavlaunch files  minecraft libraries com mojang text2speech 1 10 3 text2speech 1 10 3 jar  file: storage emulated 0 Android data net kdt pojavlaunch files  minecraft libraries ca weblite java objc bridge 1 0 0 java objc bridge 1 0 0 jar  file: storage emulated 0 Android data net kdt pojavlaunch files  minecraft libraries ca weblite java objc bridge 1 0 0 java objc bridge 1 0 0 jar  file: storage emulated 0 Android data net kdt pojavlaunch files  minecraft libraries net minecraftforge forge 1 12 2 14 23 5 2860 forge 1 12 2 14 23 5 2860 jar  file: storage emulated 0 Android data net kdt pojavlaunch files  minecraft libraries org ow2 asm asm debug all 5 2 asm debug all 5 2 jar  file: storage emulated 0 Android data net kdt pojavlaunch files  minecraft libraries net minecraft launchwrapper 1 12 launchwrapper 1 12 jar  file: storage emulated 0 Android data net kdt pojavlaunch files  minecraft libraries org jline jline 3 5 1 jline 3 5 1 jar  file: storage emulated 0 Android data net kdt pojavlaunch files  minecraft libraries com typesafe akka akka actor 2 11 2 3 3 akka actor 2 1_x000D_
1 2 3 3 jar  file: storage emulated 0 Android data net kdt pojavlaunch files  minecraft libraries com typesafe config 1 2 1 config 1 2 1 jar  file: storage emulated 0 Android data net kdt pojavlaunch files  minecraft libraries org scala lang scala actors migration 2 11 1 1 0 scala actors migration 2 11 1 1 0 jar  file: storage emulated 0 Android data net kdt pojavlaunch files  minecraft libraries org scala l</t>
  </si>
  <si>
    <t>TeamNewPipe-NewPipe-7914</t>
  </si>
  <si>
    <t>[MIUI] Crash with "Transformation PICASSO_PLAYER_THUMBNAIL_TRANSFORMATION_KEY mutated input..."</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</si>
  <si>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0
    Steps to reproduce the bug
App crashes as soon as some videos are clicked
    Expected behavior
 No response 
    Actual behavior
 No response 
    Screenshots Screen recordings
 No response 
    Logs
   Exception_x000D_
    User Action:   ui error_x000D_
    Request:   ACRA report_x000D_
    Content Country:   JP_x000D_
    Content Language:   zh TW_x000D_
    App Language:   zh TW_x000D_
    Service:   none_x000D_
    Version:   0 22 0_x000D_
    OS:   Linux Android 12   31_x000D_
 details  summary  b Crash log   b   summary  p _x000D_
_x000D_
   _x000D_
java lang IllegalStateException: Transformation PICASSO PLAYER THUMBNAIL TRANSFORMATION KEY mutated input Bitmap but failed to recycle the original _x000D_
	at com squareup picasso BitmapHunter 6 run(BitmapHunter java:490)_x000D_
	at android os Handler handleCallback(Handler java:938)_x000D_
	at android os Handler dispatchMessage(Handler java:99)_x000D_
	at android os Looper loopOnce(Looper java:210)_x000D_
	at android os Looper loop(Looper java:299)_x000D_
	at android app ActivityThread main(ActivityThread java:8211)_x000D_
	at java lang reflect Method invoke(Native Method)_x000D_
	at com android internal os RuntimeInit MethodAndArgsCaller run(RuntimeInit java:556)_x000D_
	at com android internal os ZygoteInit main(ZygoteInit java:1045)_x000D_
_x000D_
   _x000D_
  details _x000D_
 hr _x000D_
    Affected Android Custom ROM version
Android 12 MIUI 13
    Affected device model
Xiaomi mi 10
    Additional information
 No response </t>
  </si>
  <si>
    <t>PojavLauncherTeam-PojavLauncher-2764</t>
  </si>
  <si>
    <t xml:space="preserve">    Describe the bug_x000D_
_x000D_
Game error  1_x000D_
_x000D_
    The log file and images videos_x000D_
_x000D_
When I run the game  it will crash with error code  1  but app don t close  _x000D_
  S20220 234332 (https:  user images githubusercontent com 60785461 154853760 b204b55a eb2e 44f2 8652 9d42118445eb jpg)_x000D_
I have tried changing ram count  changing visualizer  trying older minecraft versions _x000D_
_x000D_
    Steps To Reproduce_x000D_
_x000D_
   markdown_x000D_
1  Install latest (crocus v3 openjdk) version of launcher from Google Play _x000D_
2  Login into offline account _x000D_
3  Started Minecraft _x000D_
   _x000D_
_x000D_
_x000D_
    Expected Behavior_x000D_
_x000D_
I except the game to launches _x000D_
_x000D_
    Platform_x000D_
_x000D_
   markdown_x000D_
  Device model: Meizu M3 Note_x000D_
  CPU architecture: aarch64_x000D_
  Android version: 5 1_x000D_
  PojavLauncher version:  Latest Release    version crocus v3 openjdk  _x000D_
   _x000D_
_x000D_
_x000D_
    Anything else _x000D_
_x000D_
 No response </t>
  </si>
  <si>
    <t>TeamVanced-Integrations-73</t>
  </si>
  <si>
    <t>[Bug] Sponsorblock skipping videos in playlist</t>
  </si>
  <si>
    <t xml:space="preserve">     MANAGER MICROG VANCED MUSIC ISSUES DO NOT BELONG HERE  READ THE README FOR MORE INFO    _x000D_
_x000D_
  Bug description:  _x000D_
if a video contains a segment placed near the end  it will skip the subsequent video within the playlist _x000D_
_x000D_
  Have you read vanced guides already  (YES No)  _x000D_
yes_x000D_
_x000D_
  VariRoot_x000D_
_x000D_
  Vanced version:  _x000D_
v17 03 38_x000D_
_x000D_
  Link used to download vanced:  _x000D_
(https:  www xda developers com youtube vanced apk root )_x000D_
_x000D_
  Android version:  _x000D_
 Android 11 _x000D_
_x000D_
  Device:  _x000D_
Samsung Galaxy A71_x000D_
_x000D_
  Steps to Reproduce  _x000D_
Steps to reproduce the error:_x000D_
1  Go to https:  youtube com playlist list PLLjzK0phYbzDMG5Qh4tW7LT 3keVbUedn_x000D_
2  Play Yoasobi s      (number 13 in the list)_x000D_
3  Skip ahead to 5:38_x000D_
_x000D_
_x000D_
  Expected behaviour:  _x000D_
Outro starts at 5:40 so what should happen is that sponsorblock would skip that part and play the next video as intended  However  when the video reaches that mark  it goes to the next track but skips until the end of that 2nd track_x000D_
_x000D_
https:  user images githubusercontent com 100069211 154837350 08b47af5 f26e 4efa b396 679f9a6625ac mp4_x000D_
_x000D_
_x000D_
_x000D_
_x000D_
 Attach images or videos or logcats in case of crashes if possible  These can help solve the issue  _x000D_
</t>
  </si>
  <si>
    <t>voxeet-voxeet-uxkit-reactnative-61</t>
  </si>
  <si>
    <t>Error NSInternalInconsistencyException attempt to insert item 1 into section 0, but there are only 1 items in section 0 after the update</t>
  </si>
  <si>
    <t xml:space="preserve">   _x000D_
OS Version: iOS 15 2 (19C56)_x000D_
Report Version: 104_x000D_
_x000D_
Exception Type: EXC CRASH (SIGABRT)_x000D_
Crashed Thread: 0_x000D_
_x000D_
Application Specific Information:_x000D_
attempt to insert item 1 into section 0  but there are only 1 items in section 0 after the update_x000D_
_x000D_
Thread 0 Crashed:_x000D_
0   CoreFoundation                  0x303fbfd3c           exceptionPreprocess_x000D_
1   libobjc A dylib                 0x3327066a4         objc exception throw_x000D_
2   Foundation                      0x306ed0998           NSAssertionHandler handleFailureInMethod:object:file:lineNumber:description: _x000D_
3   UIKitCore                       0x3089c201c           UICollectionView  endItemAnimationsWithInvalidationContext:tentativelyForReordering:animator:collectionViewAnimator: _x000D_
4   UIKitCore                       0x308c52120           UICollectionView  updateRowsAtIndexPaths:updateAction:updates: _x000D_
5   UIKitCore                       0x30869c900           UICollectionView insertItemsAtIndexPaths: _x000D_
6   VoxeetUXKit                     0x103307070         VTUXParticipantsViewController append (VTUXParticipantsViewController swift:91)_x000D_
7   VoxeetUXKit                     0x1032f4654         ConferenceViewController participantUpdated (ConferenceViewController VTConferenceDelegate swift:94)_x000D_
8   VoxeetUXKit                     0x1032f4cb0         ConferenceViewController participantUpdated_x000D_
9   VoxeetSDK                       0x1031c47a8         VTConferenceService participantUpdatedNotification (VTConferenceService swift:1371)_x000D_
10  VoxeetSDK                       0x1031c99cc         VTConferenceService offerCreatedNotification_x000D_
11  CoreFoundation                  0x303f56ce8           CFNOTIFICATIONCENTER IS CALLING OUT TO AN OBSERVER  _x000D_
12  CoreFoundation                  0x303feb5f0            CFXRegistrationPost block invoke_x000D_
13  CoreFoundation                  0x303fc0bd0          CFXRegistrationPost_x000D_
14  CoreFoundation                  0x303f6b7f0          CFXNotificationPost_x000D_
15  Foundation                      0x306dc74f4           NSNotificationCenter postNotificationName:object:userInfo: _x000D_
16  VoxeetSDK                       0x1031f8a78         Notification post (VTEvents swift:87)_x000D_
17  VoxeetSDK                       0x10317f030          inlined  Notification post_x000D_
18  VoxeetSDK                       0x10317f030         VTSocket websocketDidReceiveMessage (VTSocket swift:225)_x000D_
19  VoxeetSDK                       0x10318db84         WebSocket processResponse (WebSocket swift:1187)_x000D_
20  VoxeetSDK                       0x10316df4c         thunk for closure_x000D_
21  libdispatch dylib               0x3039851a0          dispatch call block and release_x000D_
22  libdispatch dylib               0x3039861a4          dispatch client callout_x000D_
23  libdispatch dylib               0x3039674b4          dispatch main queue callback 4CF VARIANT armv81_x000D_
24  CoreFoundation                  0x303f7b884           CFRUNLOOP IS SERVICING THE MAIN DISPATCH QUEUE  _x000D_
25  CoreFoundation                  0x303f39184           CFRunLoopRun_x000D_
26  CoreFoundation                  0x303f4be18         CFRunLoopRunSpecific_x000D_
27  GraphicsServices                0x34466d99c         GSEventRunModal_x000D_
28  UIKitCore                       0x308ae45fc           UIApplication  run _x000D_
29  UIKitCore                       0x308879b04         UIApplicationMain_x000D_
30  Bewell                          0x2006d2df4         main (main m:7)_x000D_
31   unknown                        0x1012c8250          redacted _x000D_
_x000D_
Thread 0 Crashed:_x000D_
0   CoreFoundation                  0x303fbfd3c           exceptionPreprocess_x000D_
1   libobjc A dylib                 0x3327066a4         objc exception throw_x000D_
2   Foundation                      0x306ed0998           NSAssertionHandler handleFailureInMethod:object:file:lineNumber:description: _x000D_
3   UIKitCore                       0x3089c201c           UICollectionView  endItemAnimationsWithInvalidationContext:tentativelyForReordering:animator:collectionViewAnimator: _x000D_
4   UIKitCore                       0x308c52120           UICollectionView  updateRowsAtIndexPaths:updateAction:updates: _x000D_
5   UIKitCore                       0x30869c900           UICollectionView insertItemsAtIndexPaths: _x000D_
6   VoxeetUXKit                     0x103307070         VTUXParticipantsViewController append (VTUXParticipantsViewController swift:91)_x000D_
7   VoxeetUXKit                     0x1032f4654         ConferenceViewController participantUpdated (ConferenceViewController VTConferenceDelegate swift:94)_x000D_
8   VoxeetUXKit                     0x1032f4cb0         ConferenceViewController participantUpdated_x000D_
9   VoxeetSDK                       0x1031c47a8         VTConferenceService participantUpdatedNotification (VTConferenceService swift:1371)_x000D_
10  VoxeetSDK                       0x1031c99cc         VTConferenceService offerCreatedNotification_x000D_
11  CoreFoundation                  0x303f56ce8           CFNOTIFICATIONCENTER IS CALLING OUT TO AN OBSERVER  _x000D_
12  CoreFoundation                  0x303feb5f0            CFXRegistrationPost block invoke_x000D_
13  CoreFoundation                  0x303fc0bd0          CFXRegistrationPost_x000D_
14  CoreFoundation                  0x303f6b7f0          CFXNotificationPost_x000D_
15  Foundation                      0x306dc74f4           NSNotificationCenter postNotificationName:object:userInfo: _x000D_
16  VoxeetSDK                       0x1031f8a78         Notification post (VTEvents swift:87)_x000D_
17  VoxeetSDK                       0x10317f030          inlined  Notification post_x000D_
18  VoxeetSDK                       0x10317f030         VTSocket websocketDidReceiveMessage (VTSocket swift:225)_x000D_
19  VoxeetSDK                       0x10318db84         WebSocket processResponse (WebSocket swift:1187)_x000D_
20  VoxeetSDK                       0x10316df4c         thunk for closure_x000D_
21  libdispatch dylib               0x3039851a0          dispatch call block and release_x000D_
22  libdispatch dylib               0x3039861a4          dispatch client callout_x000D_
23  libdispatch dylib               0x3039674b4          dispatch main queue callback 4CF VARIANT armv81_x000D_
24  CoreFoundation                  0x303f7b884           CFRUNLOOP IS SERVICING THE MAIN DISPATCH QUEUE  _x000D_
25  CoreFoundation                  0x303f39184           CFRunLoopRun_x000D_
26  CoreFoundation                  0x303f4be18         CFRunLoopRunSpecific_x000D_
27  GraphicsServices                0x34466d99c         GSEventRunModal_x000D_
28  UIKitCore                       0x308ae45fc           UIApplication  run _x000D_
29  UIKitCore                       0x308879b04         UIApplicationMain_x000D_
30  Bewell                          0x2006d2df4         main (main m:7)_x000D_
31   unknown                        0x1012c8250          redacted _x000D_
_x000D_
Thread 1 name: com apple uikit eventfetch thread_x000D_
0   libsystem kernel dylib          0x37823cb10         mach msg trap_x000D_
1   libsystem kernel dylib          0x37823d130         mach msg_x000D_
2   CoreFoundation                  0x303f34b5c           CFRunLoopServiceMachPort_x000D_
3   CoreFoundation                  0x303f38c44           CFRunLoopRun_x000D_
4   CoreFoundation                  0x303f4be18         CFRunLoopRunSpecific_x000D_
5   Foundation                      0x306dc53c8           NSRunLoop(NSRunLoop) runMode:beforeDate: _x000D_
6   Foundation                      0x306e03c38           NSRunLoop(NSRunLoop) runUntilDate: _x000D_
7   UIKitCore                       0x308a62344           UIEventFetcher threadMain _x000D_
8   Foundation                      0x306e118a8           NSThread  start  _x000D_
9   libsystem pthread dylib         0x3b8b963a0          pthread start_x000D_
_x000D_
Thread 2 name: com google firebase crashlytics MachExceptionServer_x000D_
0   libsystem kernel dylib          0x37823cb10         mach msg trap_x000D_
1   libsystem kernel dylib          0x37823d130         mach msg_x000D_
2   Bewell                          0x20080d398          inlined  FIRCLSMachExceptionReadMessage (FIRCLSMachException c:194)_x000D_
3   Bewell                          0x20080d398         FIRCLSMachExceptionServer (FIRCLSMachException c:170)_x000D_
4   libsystem pthread dylib         0x3b8b963a0          pthread start_x000D_
_x000D_
Thread 3_x000D_
0   libobjc A dylib                 0x3326f3078         objc msgSend_x000D_
1   Bewell                          0x200ace9e0           RCTUIManager uiBlockWithLayoutUpdateForRootView:  (RCTUIManager m:530)_x000D_
2   Bewell                          0x200ad2bc4           RCTUIManager  layoutAndMount  (RCTUIManager m:1156)_x000D_
3   Bewell                          0x200a91408           32  RCTCxxBridge batchDidComplete  block invoke (RCTCxxBridge mm:1504)_x000D_
4   libdispatch dylib               0x3039851a0          dispatch call block and release_x000D_
5   libdispatch dylib               0x3039861a4          dispatch client callout_x000D_
6   libdispatch dylib               0x303961148          dispatch lane serial drain VARIANT armv81_x000D_
7   libdispatch dylib               0x303961c00          dispatch lane invoke VARIANT armv81_x000D_
8   libdispatch dylib               0x30396b5d8          dispatch workloop worker thread_x000D_
9   libsystem pthread dylib         0x3b8b94e80          pthread wqthread_x000D_
_x000D_
Thread 4_x000D_
0   libsystem kernel dylib          0x37823d0cc           workq kernreturn_x000D_
1   libsystem pthread dylib         0x3b8b94ecc          pthread wqthread_x000D_
_x000D_
Thread 5_x000D_
0   libsystem kernel dylib          0x37823d0cc           workq kernreturn_x000D_
1   libsystem pthread dylib         0x3b8b94ecc          pthread wqthread_x000D_
_x000D_
Thread 6 name: com facebook react JavaScript_x000D_
0   libsystem kernel dylib          0x37823cb10         mach msg trap_x000D_
1   libsystem kernel dylib          0x37823d130         mach msg_x000D_
2   CoreFoundation                  0x303f34b5c           CFRunLoopServiceMachPort_x000D_
3   CoreFoundation                  0x303f38c44           CFRunLoopRun_x000D_
4   CoreFoundation                  0x303f4be18         CFRunLoopRunSpecific_x000D_
5   Bewell                          0x200a8a584           RCTCxxBridge runRunLoop  (RCTCxxBridge mm:308)_x000D_
6   Foundation                      0x306e118a8           NSThread  start  _x000D_
7   libsystem pthread dylib         0x3b8b963a0          pthread start_x000D_
_x000D_
Thread 7 name: JavaScriptCore bmalloc scavenger_x000D_
0   libsystem kernel dylib          0x37823d4f0           psynch cvwait_x000D_
1   libsystem pthread dylib         0x3b8b958b4          pthread cond wait VARIANT armv81_x000D_
2   libc   1 dylib                  0x3328372b4         std::  1::condition variable::wait_x000D_
3   JavaScriptCore                  0x319bdec48         std::  1::condition variable any::wait T _x000D_
4   JavaScriptCore                  0x319be3704         bmalloc::Scavenger::threadRunLoop_x000D_
5   JavaScriptCore                  0x319be30b8         bmalloc::Scavenger::threadEntryPoint_x000D_
6   JavaScriptCore                  0x319be4758         std::  1::  thread proxy T _x000D_
7   libsystem pthread dylib         0x3b8b963a0          pthread start_x000D_
_x000D_
Thread 8 name: Heap Helper Thread_x000D_
0   libsystem kernel dylib          0x37823d4f0           psynch cvwait_x000D_
1   libsystem pthread dylib         0x3b8b958b4          pthread cond wait VARIANT armv81_x000D_
2   JavaScriptCore                  0x319b67264         WTF::ParkingLot::parkConditionallyImpl_x000D_
3   JavaScriptCore                  0x319a43b6c         WTF::Condition::waitUntilUnchecked T _x000D_
4   JavaScriptCore                  0x319b33aa0         WTF::Detail::CallableWrapper T ::call_x000D_
5   JavaScriptCore                  0x319b8bb7c         WTF::Thread::entryPoint_x000D_
6   JavaScriptCore                  0x319b8e4c8         WTF::wtfThreadEntryPoint_x000D_
7   libsystem pthread dylib         0x3b8b963a0          pthread start_x000D_
_x000D_
Thread 9 name: Heap Helper Thread_x000D_
0   libsystem kernel dylib          0x37823d4f0           psynch cvwait_x000D_
1   libsystem pthread dylib         0x3b8b958b4          pthread cond wait VARIANT armv81_x000D_
2   JavaScriptCore                  0x319b67264         WTF::ParkingLot::parkConditionallyImpl_x000D_
3   JavaScriptCore                  0x319a43b6c         WTF::Condition::waitUntilUnchecked T _x000D_
4   JavaScriptCore                  0x319b33aa0         WTF::Detail::CallableWrapper T ::call_x000D_
5   JavaScriptCore                  0x319b8bb7c         WTF::Thread::entryPoint_x000D_
6   JavaScriptCore                  0x319b8e4c8         WTF::wtfThreadEntryPoint_x000D_
7   libsystem pthread dylib         0x3b8b963a0          pthread start_x000D_
_x000D_
Thread 10 name: Heap Helper Thread_x000D_
0   libsystem kernel dylib          0x37823d4f0           psynch cvwait_x000D_
1   libsystem pthread dylib         0x3b8b958b4          pthread cond wait VARIANT armv81_x000D_
2   JavaScriptCore                  0x319b67264         WTF::ParkingLot::parkConditionallyImpl_x000D_
3   JavaScriptCore                  0x319a43b6c         WTF::Condition::waitUntilUnchecked T _x000D_
4   JavaScriptCore                  0x319b33aa0         WTF::Detail::CallableWrapper T ::call_x000D_
5   JavaScriptCore                  0x319b8bb7c         WTF::Thread::entryPoint_x000D_
6   JavaScriptCore                  0x319b8e4c8         WTF::wtfThreadEntryPoint_x000D_
7   libsystem pthread dylib         0x3b8b963a0          pthread start_x000D_
_x000D_
Thread 11 name: Heap Helper Thread_x000D_
0   libsystem kernel dylib          0x37823d4f0           psynch cvwait_x000D_
1   libsystem pthread dylib         0x3b8b958b4          pthread cond wait VARIANT armv81_x000D_
2   JavaScriptCore                  0x319b67264         WTF::ParkingLot::parkConditionallyImpl_x000D_
3   JavaScriptCore                  0x319a43b6c         WTF::Condition::waitUntilUnchecked T _x000D_
4   JavaScriptCore                  0x319b33aa0         WTF::Detail::CallableWrapper T ::call_x000D_
5   JavaScriptCore                  0x319b8bb7c         WTF::Thread::entryPoint_x000D_
6   JavaScriptCore                  0x319b8e4c8         WTF::wtfThreadEntryPoint_x000D_
7   libsystem pthread dylib         0x3b8b963a0          pthread start_x000D_
_x000D_
Thread 12 name: Heap Helper Thread_x000D_
0   libsystem kernel dylib          0x37823d4f0           psynch cvwait_x000D_
1   libsystem pthread dylib         0x3b8b958b4          pthread cond wait VARIANT armv81_x000D_
2   JavaScriptCore                  0x319b67264         WTF::ParkingLot::parkConditionallyImpl_x000D_
3   JavaScriptCore                  0x319a43b6c         WTF::Condition::waitUntilUnchecked T _x000D_
4   JavaScriptCore                  0x319b33aa0         WTF::Detail::CallableWrapper T ::call_x000D_
5   JavaScriptCore                  0x319b8bb7c         WTF::Thread::entryPoint_x000D_
6   JavaScriptCore                  0x319b8e4c8         WTF::wtfThreadEntryPoint_x000D_
7   libsystem pthread dylib         0x3b8b963a0          pthread start_x000D_
_x000D_
Thread 13 name: JSC Heap Collector Thread_x000D_
0   libsystem kernel dylib          0x37823d4f0           psynch cvwait_x000D_
1   libsystem pthread dylib         0x3b8b958b4          pthread cond wait VARIANT armv81_x000D_
2   JavaScriptCore                  0x319b67264         WTF::ParkingLot::parkConditionallyImpl_x000D_
3   JavaScriptCore                  0x319a43b6c         WTF::Condition::waitUntilUnchecked T _x000D_
4   JavaScriptCore                  0x319b33aa0         WTF::Detail::CallableWrapper T ::call_x000D_
5   JavaScriptCore                  0x319b8bb7c         WTF::Thread::entryPoint_x000D_
6   JavaScriptCore                  0x319b8e4c8         WTF::wtfThreadEntryPoint_x000D_
7   libsystem pthread dylib         0x3b8b963a0          pthread start_x000D_
_x000D_
Thread 14_x000D_
0   libsystem kernel dylib          0x37823d088           semwait signal_x000D_
1   libsystem c dylib               0x318a068dc         nanosleep_x000D_
2   libsystem c dylib               0x318a1a288         sleep_x000D_
3   Bewell                          0x200b3d414         monitorCachedData (SentryCrashCachedData c:139)_x000D_
4   libsystem pthread dylib         0x3b8b963a0          pthread start_x000D_
_x000D_
Thread 15 name: SentryCrash Exception Handler (Secondary)_x000D_
0   libsystem kernel dylib          0x37823cb10         mach msg trap_x000D_
1   libsystem kernel dylib          0x37823d130         mach msg_x000D_
2   libsystem kernel dylib          0x378247ff8         thread suspend_x000D_
3   Bewell                          0x200b49c10         handleExceptions (SentryCrashMonitor MachException c:258)_x000D_
4   libsystem pthread dylib         0x3b8b963a0          pthread start_x000D_
_x000D_
Thread 16 name: SentryCrash Exception Handler (Primary)_x000D_
0   libsystem kernel dylib          0x37823cb10         mach msg trap_x000D_
1   libsystem kernel dylib          0x37823d130         mach msg_x000D_
2   Bewell                          0x200b49c3c         handleExceptions (SentryCrashMonitor MachException c:266)_x000D_
3   libsystem pthread dylib         0x3b8b963a0          pthread start_x000D_
_x000D_
Thread 17 name: com apple NSURLConnectionLoader_x000D_
0   libsystem kernel dylib          0x37823cb10         mach msg trap_x000D_
1   libsystem kernel dylib          0x37823d130         mach msg_x000D_
2   CoreFoundation                  0x303f34b5c           CFRunLoopServiceMachPort_x000D_
3   CoreFoundation                  0x303f38c44           CFRunLoopRun_x000D_
4   CoreFoundation                  0x303f4be18         CFRunLoopRunSpecific_x000D_
5   CFNetwork                       0x305126c84          CFURLStorageSessionCopyIdentifier_x000D_
6   Foundation                      0x306e118a8           NSThread  start  _x000D_
7   libsystem pthread dylib         0x3b8b963a0          pthread start_x000D_
_x000D_
Thread 18 name: Thread 0x0x1046132e0_x000D_
0   libsystem kernel dylib          0x37823d4f0           psynch cvwait_x000D_
1   libsystem pthread dylib         0x3b8b958b4          pthread cond wait VARIANT armv81_x000D_
2   WebRTC                          0x10345797c         rtc::Event::Wait::lambda::operator() (event cc:172)_x000D_
3   WebRTC                          0x103457858         rtc::Event::Wait_x000D_
4   WebRTC                          0x1034455d4         rtc::NullSocketServer::Wait (null socket server cc:24)_x000D_
5   WebRTC                          0x10343fd74         rtc::MessageQueue::Get (message queue cc:330)_x000D_
6   WebRTC                          0x103452d48         rtc::Thread::ProcessMessages (thread cc:526)_x000D_
7   WebRTC                          0x103452c38         rtc::Thread::PreRun (thread cc:341)_x000D_
8   libsystem pthread dylib         0x3b8b963a0          pthread start_x000D_
_x000D_
Thread 19 name: Thread 0x0x104614c50_x000D_
0   libsystem kernel dylib          0x37823cb10         mach msg trap_x000D_
1   libsystem kernel dylib          0x37823d130         mach msg_x000D_
2   AudioToolbox                    0x3182fc82c         ASClient AudioSessionGetPropertyMessage_x000D_
3   AudioToolbox                    0x31827216c         AudioSessionCopyProperty Priv_x000D_
4   AudioSession                    0x31575e238         GetProperty T _x000D_
5   AudioSession                    0x3157579a8         GetProperty DefaultToZero T _x000D_
6   AudioSession                    0x315757b08           AVAudioSession sampleRate _x000D_
7   WebRTC                          0x10340ccf8           RTCAudioSession sampleRate  (RTCAudioSession mm:309)_x000D_
8   WebRTC                          0x103518878         webrtc::ios adm::AudioDeviceIOS::HandleValidRouteChange (audio device ios mm:542)_x000D_
9   WebRTC                          0x1034403f0         rtc::MessageQueue::Dispatch (message queue cc:514)_x000D_
10  WebRTC                          0x103452d60         rtc::Thread::ProcessMessages (thread cc:528)_x000D_
11  WebRTC                          0x103452c38         rtc::Thread::PreRun (thread cc:341)_x000D_
12  libsystem pthread dylib         0x3b8b963a0          pthread start_x000D_
_x000D_
Thread 20 name: Thread 0x0x104614db0_x000D_
0   libsystem kernel dylib          0x37823d71c           select_x000D_
1   WebRTC                          0x10344c5c0         rtc::PhysicalSocketServer::WaitSelect (physical socket server cc:1446)_x000D_
2   WebRTC                          0x10343fd74         rtc::MessageQueue::Get (message queue cc:330)_x000D_
3   WebRTC                          0x103452d48         rtc::Thread::ProcessMessages (thread cc:526)_x000D_
4   WebRTC                          0x103452c38         rtc::Thread::PreRun (thread cc:341)_x000D_
5   libsystem pthread dylib         0x3b8b963a0          pthread start_x000D_
_x000D_
Thread 21_x000D_
0   libsystem kernel dylib          0x37823d4f0           psynch cvwait_x000D_
1   libsystem pthread dylib         0x3b8b958b4          pthread cond wait VARIANT armv81_x000D_
2   dvclient                        0x103f82e70         DVC IsAudioSceneLayoutControlEnabled_x000D_
3   dvclient                        0x103f5f078         DVC IsAudioSceneLayoutControlEnabled_x000D_
4   dvclient                        0x103f5ed64         DVC IsAudioSceneLayoutControlEnabled_x000D_
5   dvclient                        0x103f71a3c         DVC IsAudioSceneLayoutControlEnabled_x000D_
6   dvclient                        0x103f6b9ec         DVC IsAudioSceneLayoutControlEnabled_x000D_
7   libsystem pthread dylib         0x3b8b963a0          pthread start_x000D_
_x000D_
Thread 22 name: UpdateScheduler AudioControl DolbyVoice_x000D_
0   libsystem kernel dylib          0x37823d4f0           psynch cvwait_x000D_
1   libsystem pthread dylib         0x3b8b958b4          pthread cond wait VARIANT armv81_x000D_
2   libc   1 dylib                  0x3328372b4         std::  1::condition variable::wait_x000D_
3   dvclient                        0x103ee8b4c         DVC IsAudioSceneLayoutControlEnabled_x000D_
4   dvclient                        0x103ee8328         DVC IsAudioSceneLayoutControlEnabled_x000D_
5   dvclient                        0x103ee8a70         DVC IsAudioSceneLayoutControlEnabled_x000D_
6   libsystem pthread dylib         0x3b8b963a0          pthread start_x000D_
_x000D_
Thread 23 name: TrackWatchdog AudioControl DolbyVoice_x000D_
0   libsystem kernel dylib          0x37823d4f0           psynch cvwait_x000D_
1   libsystem pthread dylib         0x3b8b958b4          pthread cond wait VARIANT armv81_x000D_
2   libc   1 dylib                  0x3328372b4         std::  1::condition variable::wait_x000D_
3   dvclient                        0x103ee6a80         DVC IsAudioSceneLayoutControlEnabled_x000D_
4   dvclient                        0x103ee6398         DVC IsAudioSceneLayoutControlEnabled_x000D_
5   dvclient                        0x103ee6984         DVC IsAudioSceneLayoutControlEnabled_x000D_
6   libsystem pthread dylib         0x3b8b963a0          pthread start_x000D_
_x000D_
Thread 24 name: UpdateScheduler AudioControl DolbyVoice_x000D_
0   libsystem kernel dylib          0x37823d4f0           psynch cvwait_x000D_
1   libsystem pthread dylib         0x3b8b958b4          pthread cond wait VARIANT armv81_x000D_
2   libc   1 dylib                  0x3328372b4         std::  1::condition variable::wait_x000D_
3   dvclient                        0x103ee8e48         DVC IsAudioSceneLayoutControlEnabled_x000D_
4   dvclient                        0x103ee864c         DVC IsAudioSceneLayoutControlEnabled_x000D_
5   dvclient                        0x103ee8d6c         DVC IsAudioSceneLayoutControlEnabled_x000D_
6   libsystem pthread dylib         0x3b8b963a0          pthread start_x000D_
_x000D_
Thread 25 name: TrackWatchdog AudioControl DolbyVoice_x000D_
0   libsystem kernel dylib          0x37823d4f0           psynch cvwait_x000D_
1   libsystem pthread dylib         0x3b8b958b4          pthread cond wait VARIANT armv81_x000D_
2   libc   1 dylib                  0x3328372b4         std::  1::condition variable::wait_x000D_
3   dvclient                        0x103ee6e88         DVC IsAudioSceneLayoutControlEnabled_x000D_
4   dvclient                        0x103ee6680         DVC IsAudioSceneLayoutControlEnabled_x000D_
5   dvclient                        0x103ee6d8c         DVC IsAudioSceneLayoutControlEnabled_x000D_
6   libsystem pthread dylib         0x3b8b963a0          pthread start_x000D_
_x000D_
Thread 26 name: PauseResumeLoop AudioControls DolbyVoice_x000D_
0   libsystem kernel dylib          0x37823d4f0           psynch cvwait_x000D_
1   libsystem pthread dylib         0x3b8b958b4          pthread cond wait VARIANT armv81_x000D_
2   libc   1 dylib                  0x3328372b4         std::  1::condition variable::wait_x000D_
3   dvclient                        0x103ec9494         DVC IsAudioSceneLayoutControlEnabled_x000D_
4   dvclient                        0x103ec89e8         DVC IsAudioSceneLayoutControlEnabled_x000D_
5   dvclient                        0x103ecc444         DVC IsAudioSceneLayoutControlEnabled_x000D_
6   libsystem pthread dylib         0x3b8b963a0          pthread start_x000D_
_x000D_
Thread 27 name: WorkThread ConfLib DolbyVoice_x000D_
0   libsystem kernel dylib          0x37823e2f8         kevent_x000D_
1   dvclient                        0x103f645b0         DVC IsAudioSceneLayoutControlEnabled_x000D_
2   dvclient                        0x103f6702c         DVC IsAudioSceneLayoutControlEnabled_x000D_
3   dvclient                        0x103f6db0c         DVC IsAudioSceneLayoutControlEnabled_x000D_
4   dvclient                        0x103e0a244         DVC IsAudioSceneLayoutControlEnabled_x000D_
5   dvclient                        0x103e2ce40         DVC IsAudioSceneLayoutControlEnabled_x000D_
6   libsystem pthread dylib         0x3b8b963a0          pthread start_x000D_
_x000D_
Thread 28 name: NetworkThread DolbyVoice_x000D_
0   libsystem kernel dylib          0x37823e2f8         kevent_x000D_
1   dvclient                        0x103f645b0         DVC IsAudioSceneLayoutControlEnabled_x000D_
2   dvclient                        0x103f6702c         DVC IsAudioSceneLayoutControlEnabled_x000D_
3   dvclient                        0x103f6db0c         DVC IsAudioSceneLayoutControlEnabled_x000D_
4   dvclient                        0x103f0f318         DVC IsAudioSceneLayoutControlEnabled_x000D_
5   dvclient                        0x103f0eeb4         DVC IsAudioSceneLayoutControlEnabled_x000D_
6   dvclient                        0x103f6b9ec         DVC IsAudioSceneLayoutControlEnabled_x000D_
7   libsystem pthread dylib         0x3b8b963a0          pthread start_x000D_
_x000D_
Thread 29 name: CollectClientData NTLManager DolbyVoice_x000D_
0   libsystem kernel dylib          0x37823d4f0           psynch cvwait_x000D_
1   libsystem pthread dylib         0x3b8b958b4          pthread cond wait VARIANT armv81_x000D_
2   libc   1 dylib                  0x3328372b4         std::  1::condition variable::wait_x000D_
3   dvclient                        0x103f32d8c         DVC IsAudioSceneLayoutControlEnabled_x000D_
4   dvclient                        0x103f34714         DVC IsAudioSceneLayoutControlEnabled_x000D_
5   libsystem pthread dylib         0x3b8b963a0          pthread start_x000D_
_x000D_
Thread 30 name: OnRun ConfLib DolbyVoice_x000D_
0   libsystem kernel dylib          0x37823e2f8         kevent_x000D_
1   dvclient                        0x103f645b0         DVC IsAudioSceneLayoutControlEnabled_x000D_
2   dvclient                        0x103f6702c         DVC IsAudioSceneLayoutControlEnabled_x000D_
3   dvclient                        0x103f6db0c         DVC IsAudioSceneLayoutControlEnabled_x000D_
4   dvclient                        0x103e1befc         DVC IsAudioSceneLayoutControlEnabled_x000D_
5   dvclient                        0x103f6b9ec         DVC IsAudioSceneLayoutControlEnabled_x000D_
6   libsystem pthread dylib         0x3b8b963a0          pthread start_x000D_
_x000D_
Thread 31 name: DVCCallbackThread 0x0x104466f00_x000D_
0   libsystem kernel dylib          0x37823d71c           select_x000D_
1   WebRTC                          0x103820588         dolby voice client::DoCallbacksRunnable::HandleEvents (dvc library helpers cc:155)_x000D_
2   WebRTC                          0x1038204d0         dolby voice client::DoCallbacksRunnable::Run (dvc library helpers cc:142)_x000D_
3   WebRTC                          0x103452c38         rtc::Thread::PreRun (thread cc:341)_x000D_
4   libsystem pthread dylib         0x3b8b963a0          pthread start_x000D_
_x000D_
Thread 32 name: AVAudioSession Notify Thread_x000D_
0   libsystem kernel dylib          0x37823cb10         mach msg trap_x000D_
1   libsystem kernel dylib          0x37823d130         mach msg_x000D_
2   CoreFoundation                  0x303f34b5c           CFRunLoopServiceMachPort_x000D_
3   CoreFoundation                  0x303f38c44           CFRunLoopRun_x000D_
4   CoreFoundation                  0x303f4be18         CFRunLoopRunSpecific_x000D_
5   AudioSession                    0x315759d78         CADeprecated::GenericRunLoopThread::Entry_x000D_
6   AudioSession                    0x3157630a8         CADeprecated::CAPThread::Entry_x000D_
7   libsystem pthread dylib         0x3b8b963a0          pthread start_x000D_
_x000D_
Thread 33 name: com squareup SocketRocket NetworkThread_x000D_
0   libsystem kernel dylib          0x37823cb10         mach msg trap_x000D_
1   libsystem kernel dylib          0x37823d130         mach msg_x000D_
2   CoreFoundation                  0x303f34b5c           CFRunLoopServiceMachPort_x000D_
3   CoreFoundation                  0x303f38c44           CFRunLoopRun_x000D_
4   CoreFoundation                  0x303f4be18         CFRunLoopRunSpecific_x000D_
5   Foundation                      0x306dc53c8           NSRunLoop(NSRunLoop) runMode:beforeDate: _x000D_
6   Mobilisten                      0x10289dc9c            SRRunLoopThread main  (LDSRWebSocket m:1937)_x000D_
7   Foundation                      0x306e118a8           NSThread  start  _x000D_
8   libsystem pthread dylib         0x3b8b963a0          pthread start_x000D_
_x000D_
Thread 34 name: com apple CFSocket private_x000D_
0   libsystem kernel dylib          0x37823d71c           select_x000D_
1   CoreFoundation                  0x303fd0798           CFSocketManager_x000D_
2   libsystem pthread dylib         0x3b8b963a0          pthread start_x000D_
_x000D_
Thread 35 name: com apple CFStream LegacyThread_x000D_
0   libsystem kernel dylib          0x37823cb10         mach msg trap_x000D_
1   libsystem kernel dylib          0x37823d130         mach msg_x000D_
2   CoreFoundation                  0x303f34b5c           CFRunLoopServiceMachPort_x000D_
3   CoreFoundation                  0x303f38c44           CFRunLoopRun_x000D_
4   CoreFoundation                  0x303f4be18         CFRunLoopRunSpecific_x000D_
5   CoreFoundation                  0x304028bb0          legacyStreamRunLoop workThread_x000D_
6   libsystem pthread dylib         0x3b8b963a0          pthread start_x000D_
_x000D_
Thread 36_x000D_
0   libsystem kernel dylib          0x37823d4f0           psynch cvwait_x000D_
1   libsystem pthread dylib         0x3b8b958b4          pthread cond wait VARIANT armv81_x000D_
2   libc   1 dylib                  0x3328372b4         std::  1::condition variable::wait_x000D_
3   dvclient                        0x103ef9a80         DVC IsAudioSceneLayoutControlEnabled_x000D_
4   dvclient                        0x103efc8fc         DVC IsAudioSceneLayoutControlEnabled_x000D_
5   libsystem pthread dylib         0x3b8b963a0          pthread start_x000D_
_x000D_
Thread 37_x000D_
0   libsystem kernel dylib          0x37823cb10         mach msg trap_x000D_
1   libsystem kernel dylib          0x37823d130         mach msg_x000D_
2   CoreFoundation                  0x303f34b5c           CFRunLoopServiceMachPort_x000D_
3   CoreFoundation                  0x303f38c44           CFRunLoopRun_x000D_
4   CoreFoundation                  0x303f4be18         CFRunLoopRunSpecific_x000D_
5   AudioToolbox                    0x3182b7f5c         CADeprecated::GenericRunLoopThread::Entry_x000D_
6   libAudioToolboxUtility dylib    0x333944a18         CADeprecated::CAPThread::Entry_x000D_
7   libsystem pthread dylib         0x3b8b963a0          pthread start_x000D_
_x000D_
Thread 38_x000D_
0   libsystem kernel dylib          0x37823d0cc           workq kernreturn_x000D_
1   libsystem pthread dylib         0x3b8b94ecc          pthread wqthread_x000D_
_x000D_
Thread 40_x000D_
0   libsystem kernel dylib          0x37823e16c           gettimeofday_x000D_
1   libsystem pthread dylib         0x3b8b95540          pthread cond wait VARIANT armv81_x000D_
2   WebRTC                          0x10345797c         rtc::Event::Wait::lambda::operator() (event cc:172)_x000D_
3   WebRTC                          0x103457858         rtc::Event::Wait_x000D_
4   WebRTC                          0x103516384         webrtc::ProcessThreadImpl::Process (process thread impl cc:219)_x000D_
5   WebRTC                          0x103515e3c         webrtc::ProcessThreadImpl::Run (process thread impl cc:167)_x000D_
6   WebRTC                          0x10345735c         rtc::PlatformThread::StartThread (platform thread cc:67)_x000D_
7   libsystem pthread dylib         0x3b8b963a0          pthread start_x000D_
_x000D_
Thread 41_x000D_
0   libsystem kernel dylib          0x37823d4f0           psynch cvwait_x000D_
1   libsystem pthread dylib         0x3b8b958b4          pthread cond wait VARIANT armv81_x000D_
2   WebRTC                          0x10345797c         rtc::Event::Wait::lambda::operator() (event cc:172)_x000D_
3   WebRTC                          0x103457858         rtc::Event::Wait_x000D_
4   WebRTC                          0x103516384         webrtc::ProcessThreadImpl::Process (process thread impl cc:219)_x000D_
5   WebRTC                          0x103515e3c         webrtc::ProcessThreadImpl::Run (process thread impl cc:167)_x000D_
6   WebRTC                          0x10345735c         rtc::PlatformThread::StartThread (platform thread cc:67)_x000D_
7   libsystem pthread dylib         0x3b8b963a0          pthread start_x000D_
_x000D_
Thread 42_x000D_
0   libsystem kernel dylib          0x37823cb4c         semaphore wait trap_x000D_
1   caulk                           0x3aeb2149c         caulk::mach::semaphore::wait or error_x000D_
2   caulk                           0x3aeb222f4         caulk::concurrent::details::worker thread::run_x000D_
3   caulk                           0x3aeb22cc8         caulk::thread proxy T _x000D_
4   libsystem pthread dylib         0x3b8b963a0          pthread start_x000D_
_x000D_
Thread 43_x000D_
0   libsystem kernel dylib          0x37823cb10         mach msg trap_x000D_
1   libsystem kernel dylib          0x37823d130         mach msg_x000D_
2   </t>
  </si>
  <si>
    <t>Udhayarajan-VidSnap-7</t>
  </si>
  <si>
    <t>[Instagram] randomly crashed app</t>
  </si>
  <si>
    <t xml:space="preserve">Instagram videos randomly crashing app </t>
  </si>
  <si>
    <t>nextcloud-android-9860</t>
  </si>
  <si>
    <t>App crashed while browsing large folder</t>
  </si>
  <si>
    <t>App crashed while browsing rather large folder with photos and clips (over 100GB)  First it started lagging and finally crashed _x000D_
_x000D_
             CAUSE OF ERROR             _x000D_
_x000D_
java lang NullPointerException: Attempt to invoke virtual method  java lang String com owncloud android datamodel OCFile getRemotePath()  on a null object reference_x000D_
	at com owncloud android services OperationsService OperationsServiceBinder isSynchronizing(OperationsService java:372)_x000D_
	at com owncloud android files FileMenuFilter anyFileSynchronizing(FileMenuFilter java:452)_x000D_
	at com owncloud android files FileMenuFilter anyFileSynchronizing(FileMenuFilter java:441)_x000D_
	at com owncloud android files FileMenuFilter filter(FileMenuFilter java:181)_x000D_
	at com owncloud android files FileMenuFilter filter(FileMenuFilter java:125)_x000D_
	at com owncloud android ui preview PreviewImageFragment onPrepareOptionsMenu(PreviewImageFragment java:378)_x000D_
	at androidx fragment app Fragment performPrepareOptionsMenu(Fragment java:3144)_x000D_
	at androidx fragment app FragmentManager dispatchPrepareOptionsMenu(FragmentManager java:2923)_x000D_
	at androidx fragment app FragmentController dispatchPrepareOptionsMenu(FragmentController java:414)_x000D_
	at androidx fragment app FragmentActivity onPreparePanel(FragmentActivity java:447)_x000D_
	at androidx appcompat view WindowCallbackWrapper onPreparePanel(WindowCallbackWrapper java:99)_x000D_
	at androidx appcompat app AppCompatDelegateImpl AppCompatWindowCallback onPreparePanel(AppCompatDelegateImpl java:3149)_x000D_
	at androidx appcompat app AppCompatDelegateImpl preparePanel(AppCompatDelegateImpl java:1937)_x000D_
	at androidx appcompat app AppCompatDelegateImpl doInvalidatePanelMenu(AppCompatDelegateImpl java:2191)_x000D_
	at androidx appcompat app AppCompatDelegateImpl 2 run(AppCompatDelegateImpl java:273)_x000D_
	at android os Handler handleCallback(Handler java:938)_x000D_
	at android os Handler dispatchMessage(Handler java:99)_x000D_
	at android os Looper loopOnce(Looper java:226)_x000D_
	at android os Looper loop(Looper java:313)_x000D_
	at android app ActivityThread main(ActivityThread java:8582)_x000D_
	at java lang reflect Method invoke(Native Method)_x000D_
	at com android internal os RuntimeInit MethodAndArgsCaller run(RuntimeInit java:563)_x000D_
	at com android internal os ZygoteInit main(ZygoteInit java:1133)_x000D_
_x000D_
             APP INFORMATION             _x000D_
ID: com nextcloud client_x000D_
Version: 30190090_x000D_
Build flavor: gplay_x000D_
_x000D_
             DEVICE INFORMATION             _x000D_
Brand: samsung_x000D_
Device: p3s_x000D_
Model: SM G998B_x000D_
Id: SP1A 210812 016_x000D_
Product: p3sxeea_x000D_
_x000D_
             FIRMWARE             _x000D_
SDK: 31_x000D_
Release: 12_x000D_
Incremental: G998BXXU4BULF</t>
  </si>
  <si>
    <t>LawnchairLauncher-lawnchair-2485</t>
  </si>
  <si>
    <t>[Bug] Lawnchair crashes while trying to draw a too large bitmap</t>
  </si>
  <si>
    <t xml:space="preserve">    Describe the bug_x000D_
_x000D_
On the  Home Grid  settings  Lawnchair is saying that the default wallpaper the ROM comes with is heavy  more than 160MB (precisely 165373056 bytes)  Changing the default wallpaper with another one fixes the bug  and switching back to the predefined background  Home Grid would work as usual  without any crashes  _x000D_
_x000D_
    Steps to reproduce_x000D_
_x000D_
Steps to reproduce the behavior:_x000D_
       Please  note that the sections  names may be mistakenly named since I am translating them from Italian to English _x000D_
0  Make sure you did not change the default wallpaper_x000D_
1  Open Lawnchair settings and go to  Home screen     Home screen grid  and make sure you have garanted access to storage_x000D_
2  Lawnchair crashes_x000D_
_x000D_
    Expected behavior_x000D_
_x000D_
Lawnchair normally opens Grid settings and does not complain about the background image being too heavy _x000D_
_x000D_
    Screenshots_x000D_
_x000D_
 No response _x000D_
_x000D_
    Device information_x000D_
_x000D_
    Device  : POCO X3 Pro_x000D_
    OS  : StatiXOS v5 _x000D_
      Lawnchair is not prebuilt by default on StatiXOS  but I personally inherited it from   ArrowOS android vendor lawnchair  (https:  github com ArrowOS android vendor lawnchair)_x000D_
    App version  : 12 0 0 Alpha 5_x000D_
_x000D_
    Additional context_x000D_
_x000D_
    Log  : https:  katb in ohujifogumu </t>
  </si>
  <si>
    <t>PojavLauncherTeam-PojavLauncher-2757</t>
  </si>
  <si>
    <t>1.19_deep_dark_experimental_snapshot-1 crash</t>
  </si>
  <si>
    <t xml:space="preserve">    Describe the bug
Application exited with code  1
    The log file and images videos
          beggining with launcher debug_x000D_
Info: Launcher version: crocus 327 6d2295d46 _x000D_
Info: LWJGL3 directory:  jsr305 jar  lwjgl glfw classes jar  lwjgl jemalloc jar  lwjgl openal jar  lwjgl opengl jar  lwjgl stb jar  lwjgl tinyfd jar  lwjgl jar  version _x000D_
Architecture: arm_x000D_
Info: Custom Java arguments:   _x000D_
Info: Selected Minecraft version: 1 19 deep dark experimental snapshot 1_x000D_
Added custom env: TMPDIR  data user 0 net kdt pojavlaunch debug cache_x000D_
Added custom env: AWTSTUB WIDTH 1556_x000D_
Added custom env: POJAV NATIVEDIR  data app   Hh2RiRfVeb0i8bZUpY3ndQ   net kdt pojavlaunch debug A1ZsofSKyKVLnrsQQXHH w   lib arm_x000D_
Added custom env: REGAL GL VERSION 4 5_x000D_
Added custom env: REGAL GL VENDOR Android_x000D_
Added custom env: LIBGL MIPMAP 3_x000D_
Added custom env: allow higher compat version true_x000D_
Added custom env: LIBGL SHRINK 0_x000D_
Added custom env: MESA GLSL CACHE DIR  data user 0 net kdt pojavlaunch debug cache_x000D_
Added custom env: HOME  storage emulated 0 Android data net kdt pojavlaunch debug files  minecraft_x000D_
Added custom env: PATH  data user 0 net kdt pojavlaunch debug runtimes jre17 arm 20210914 termux tar xz bin: product bin: apex com android runtime bin: apex com android art bin: system ext bin: system bin: system xbin: odm bin: vendor bin: vendor xbin_x000D_
Added custom env: LIBGL NOINTOVLHACK 1_x000D_
Added custom env: force glsl extensions warn true_x000D_
Added custom env: LIBGL NORMALIZE 1_x000D_
Added custom env: LD LIBRARY PATH  data user 0 net kdt pojavlaunch debug runtimes jre17 arm 20210914 termux tar xz lib jli: data user 0 net kdt pojavlaunch debug runtimes jre17 arm 20210914 termux tar xz lib: system lib: vendor lib: vendor lib hw: data app   Hh2RiRfVeb0i8bZUpY3ndQ   net kdt pojavlaunch debug A1ZsofSKyKVLnrsQQXHH w   lib arm_x000D_
Added custom env: POJAV RENDERER opengles2 5_x000D_
Added custom env: LIBGL ES 2_x000D_
Added custom env: VTEST SOCKET NAME  data user 0 net kdt pojavlaunch debug cache  virgl test_x000D_
Added custom env: MESA LOADER DRIVER OVERRIDE zink_x000D_
Added custom env: MESA GLSL VERSION OVERRIDE 460_x000D_
Added custom env: JAVA HOME  data user 0 net kdt pojavlaunch debug runtimes jre17 arm 20210914 termux tar xz_x000D_
Added custom env: MESA GL VERSION OVERRIDE 4 6_x000D_
Added custom env: allow glsl extension directive midshader true_x000D_
Added custom env: REGAL GL RENDERER Regal_x000D_
Added custom env: AWTSTUB HEIGHT 720_x000D_
Initialising gl4es_x000D_
v1 1 5 built on Dec 19 2021 02:56:29_x000D_
Using GLES 2 0 backend_x000D_
Shaderconv enabled_x000D_
loaded: libGLESv2 so_x000D_
loaded: libEGL so_x000D_
Using GLES 2 0 backend_x000D_
Hardware Full NPOT detected and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OES texture float  detected and used_x000D_
Extension GL OES texture half float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16384_x000D_
Max Varying Vector: 31_x000D_
Texture Units: 16 16 (hardware: 16)  Max lights: 8  Max planes: 6_x000D_
Extension GL EXT texture filter anisotropic  detected and used_x000D_
Max Anisotropic filtering: 16_x000D_
Max Color Attachments: 1   Draw buffers: 1_x000D_
Hardware vendor is Qualcomm_x000D_
GLSL 300 es supported_x000D_
GLSL 310 es supported and used_x000D_
sRGB surface supported_x000D_
EGLImage to Texture2D supported_x000D_
EGLImage to RenderBuffer supported_x000D_
ignore MipMap_x000D_
Targeting OpenGL 2 1_x000D_
No hack in shader converter to define overloaded function with int_x000D_
Not trying to batch small subsequent glDrawXXXX_x000D_
try to use VBO_x000D_
Force texture for Attachment color0 on FBO_x000D_
Hack to trigger a SwapBuffers when a Full Framebuffer Blit on default FBO is done_x000D_
Force normals to be normalized on FPE shaders_x000D_
glX Will try to recycle EGL Surface_x000D_
Current folder is: _x000D_
          beginning of system_x000D_
_x000D_
          beginning of main_x000D_
_x000D_
I jrelog  (20567): dlopen libgl4es 115 so success_x000D_
I jrelog  (20567): dlopen  data user 0 net kdt pojavlaunch debug runtimes jre17 arm 20210914 termux tar xz lib libjli so success_x000D_
I jrelog  (20567): dlopen libjvm so failed: dlopen failed: library  libjvm so  not found_x000D_
I jrelog  (20567): dlopen  data user 0 net kdt pojavlaunch debug runtimes jre17 arm 20210914 termux tar xz lib server libjvm so success_x000D_
I jrelog  (20567): dlopen  data user 0 net kdt pojavlaunch debug runtimes jre17 arm 20210914 termux tar xz lib libverify so success_x000D_
I jrelog  (20567): dlopen  data user 0 net kdt pojavlaunch debug runtimes jre17 arm 20210914 termux tar xz lib libjava so success_x000D_
I jrelog  (20567): dlopen  data user 0 net kdt pojavlaunch debug runtimes jre17 arm 20210914 termux tar xz lib libnet so success_x000D_
I jrelog  (20567): dlopen  data user 0 net kdt pojavlaunch debug runtimes jre17 arm 20210914 termux tar xz lib libnio so success_x000D_
I jrelog  (20567): dlopen  data user 0 net kdt pojavlaunch debug runtimes jre17 arm 20210914 termux _x000D_
tar xz lib libawt so success_x000D_
I jrelog  (20567): dlopen  data user 0 net kdt pojavlaunch debug runtimes jre17 arm 20210914 termux tar xz lib libawt headless so success_x000D_
I jrelog  (20567): dlopen  data user 0 net kdt pojavlaunch debug runtimes jre17 arm 20210914 termux tar xz lib libfreetype so success_x000D_
I jrelog  (20567): dlopen  data user 0 net kdt pojavlaunch debug runtimes jre17 arm 20210914 termux tar xz lib libfontmanager so success_x000D_
I jrelog  (20567): dlopen  data user 0 net kdt pojavlaunch debug runtimes jre17 arm 20210914 termux tar xz lib libnet so success_x000D_
I jrelog  (20567): dlopen  data user 0 net kdt pojavlaunch debug runtimes jre17 arm 20210914 termux tar xz lib libawt headless so success_x000D_
I jrelog  (20567): dlopen  data user 0 net kdt pojavlaunch debug runtimes jre17 arm 20210914 termux tar xz lib libjaas so success_x000D_
I jrelog  (20567): dlopen  data user 0 net kdt pojavlaunch debug runtimes jre17 arm 20210914 termux tar xz lib libfontmanager so success_x000D_
I jrelog  (20567): dlopen  data user 0 net kdt pojav_x000D_
launch debug runtimes jre17 arm 20210914 termux tar xz lib librmi so success_x000D_
I jrelog  (20567): dlopen  data user 0 net kdt pojavlaunch debug runtimes jre17 arm 20210914 termux tar xz lib libprefs so success_x000D_
I jrelog  (20567): dlopen  data user 0 net kdt pojavlaunch debug runtimes jre17 arm 20210914 termux tar xz lib libextnet so success_x000D_
I jrelog  (20567): dlopen  data user 0 net kdt pojavlaunch debug runtimes jre17 arm 20210914 termux tar xz lib libmanagement ext so success_x000D_
I jrelog  (20567): dlopen  data user 0 net kdt pojavlaunch debug runtimes jre17 arm 20210914 termux tar xz lib libjava so success_x000D_
I jrelog  (20567): dlopen  data user 0 net kdt pojavlaunch debug runtimes jre17 arm 20210914 termux tar xz lib libattach so success_x000D_
I jrelog  (20567): dlopen  data user 0 net kdt pojavlaunch debug runtimes jre17 arm 20210914 termux tar xz lib libmanagement so success_x000D_
I jrelog  (20567): dlopen  data user 0 net kdt pojavlaunch debug runtimes jre17 arm 20210914 termux tar xz lib libjavajpeg so success_x000D_
I jrelog  (2_x000D_
0567): dlopen  data user 0 net kdt pojavlaunch debug runtimes jre17 arm 20210914 termux tar xz lib libj2pcsc so success_x000D_
I jrelog  (20567): dlopen  data user 0 net kdt pojavlaunch debug runtimes jre17 arm 20210914 termux tar xz lib libj2pkcs11 so success_x000D_
I jrelog  (20567): dlopen  data user 0 net kdt pojavlaunch debug runtimes jre17 arm 20210914 termux tar xz lib libj2gss so success_x000D_
I jrelog  (20567): dlopen  data user 0 net kdt pojavlaunch debug runtimes jre17 arm 20210914 termux tar xz lib libnio so success_x000D_
I jrelog  (20567): dlopen  data user 0 net kdt pojavlaunch debug runtimes jre17 arm 20210914 termux tar xz lib libinstrument so success_x000D_
I jrelog  (20567): dlopen  data user 0 net kdt pojavlaunch debug runtimes jre17 arm 20210914 termux tar xz lib libdt socket so success_x000D_
I jrelog  (20567): dlopen  data user 0 net kdt pojavlaunch debug runtimes jre17 arm 20210914 termux tar xz lib libsyslookup so success_x000D_
I jrelog  (20567): dlopen  data user 0 net kdt pojavlaunch debug runtimes jre17 arm 20210914 termux tar _x000D_
xz lib libverify so success_x000D_
I jrelog  (20567): dlopen  data user 0 net kdt pojavlaunch debug runtimes jre17 arm 20210914 termux tar xz lib libjimage so success_x000D_
I jrelog  (20567): dlopen  data user 0 net kdt pojavlaunch debug runtimes jre17 arm 20210914 termux tar xz lib server libjvm so success_x000D_
I jrelog  (20567): dlopen  data user 0 net kdt pojavlaunch debug runtimes jre17 arm 20210914 termux tar xz lib server libjsig so success_x000D_
I jrelog  (20567): dlopen  data user 0 net kdt pojavlaunch debug runtimes jre17 arm 20210914 termux tar xz lib libjsig so success_x000D_
I jrelog  (20567): dlopen  data user 0 net kdt pojavlaunch debug runtimes jre17 arm 20210914 termux tar xz lib libjli so success_x000D_
I jrelog  (20567): dlopen  data user 0 net kdt pojavlaunch debug runtimes jre17 arm 20210914 termux tar xz lib libfreetype so success_x000D_
I jrelog  (20567): dlopen  data user 0 net kdt pojavlaunch debug runtimes jre17 arm 20210914 termux tar xz lib liblcms so success_x000D_
I jrelog  (20567): dlopen  data user 0 net kdt pojavlaunch debug run_x000D_
times jre17 arm 20210914 termux tar xz lib libjawt so success_x000D_
I jrelog  (20567): dlopen  data user 0 net kdt pojavlaunch debug runtimes jre17 arm 20210914 termux tar xz lib libawt so success_x000D_
I jrelog  (20567): dlopen  data user 0 net kdt pojavlaunch debug runtimes jre17 arm 20210914 termux tar xz lib libzip so success_x000D_
I jrelog  (20567): dlopen  data user 0 net kdt pojavlaunch debug runtimes jre17 arm 20210914 termux tar xz lib libmanagement agent so success_x000D_
I jrelog  (20567): dlopen  data user 0 net kdt pojavlaunch debug runtimes jre17 arm 20210914 termux tar xz lib libmlib image so success_x000D_
I jrelog  (20567): dlopen  data user 0 net kdt pojavlaunch debug runtimes jre17 arm 20210914 termux tar xz lib libjdwp so success_x000D_
I jrelog  (20567): dlopen  data user 0 net kdt pojavlaunch debug runtimes jre17 arm 20210914 termux tar xz lib libsctp so success_x000D_
I jrelog  (20567): dlopen  data user 0 net kdt pojavlaunch debug runtimes jre17 arm 20210914 termux tar xz lib libawt xawt so success_x000D_
I jrelog  (20567): dlopen  data _x000D_
app   Hh2RiRfVeb0i8bZUpY3ndQ   net kdt pojavlaunch debug A1ZsofSKyKVLnrsQQXHH w   lib arm libopenal so success_x000D_
I jrelog  (20567): Done processing args_x000D_
I jrelog  (20567): Found JLI lib_x000D_
I jrelog  (20567): Calling JLI Launch_x000D_
_x000D_
   log4j:Event logger  yv  timestamp  1645250654839  level  INFO  thread  Render thread  _x000D_
     log4j:Message    CDATA  STDERR :  LWJGL  Failed to load a library  Possible solutions:_x000D_
	a) Add the directory that contains the shared library to  Djava library path or  Dorg lwjgl librarypath _x000D_
	b) Add the JAR that contains the shared library to the classpath      log4j:Message _x000D_
    log4j:Event _x000D_
   log4j:Event logger  yv  timestamp  1645250654901  level  INFO  thread  Render thread  _x000D_
     log4j:Message    CDATA  STDERR :  LWJGL  Enable debug mode with  Dorg lwjgl util Debug true for better diagnostics      log4j:Message _x000D_
    log4j:Event _x000D_
   log4j:Event logger  yv  timestamp  1645250654914  level  INFO  thread  Render thread  _x000D_
     log4j:Message    CDATA  STDERR :  LWJGL  Enable the SharedLibraryLoader debug mode with  Dorg lwjgl util DebugLoader true for better diagnostics      log4j:Message _x000D_
    log4j:Event _x000D_
   log4j:Event logger  com mojang authlib yggdrasil YggdrasilAuthenticationService  timestamp  1645250657686  level  INFO  thread  Render thread  _x000D_
     log4j:Message    CDATA Environment: authHost  https:  authserver mojang com   accountsHost  https:  api mojang com   sessionHost  https:  sessionserver mojang com   servicesHost  https:  api minecraftservices com   name  PROD      log4j:Message _x000D_
    log4j:Event _x000D_
   log4j:Event logger  dzh  timestamp  1645250662949  level  ERROR  thread  Render thread  _x000D_
     log4j:Message    CDATA Failed to verify authentication     log4j:Message _x000D_
     log4j:Throwable    CDATA com mojang authlib exceptions InvalidCredentialsException: Status: 401_x000D_
	at com mojang authlib exceptions MinecraftClientHttpException toAuthenticationException(MinecraftClientHttpException java:56)_x000D_
	at com mojang authlib yggdrasil YggdrasilUserApiService fetchProperties(YggdrasilUserApiService java:132)_x000D_
	at com mojang authlib yggdrasil YggdrasilUserApiService  init (YggdrasilUserApiService java:44)_x000D_
	at com mojang authlib yggdrasil YggdrasilAuthenticationService createUserApiService(YggdrasilAuthenticationService java:153)_x000D_
	at dzh a(SourceFile:670)_x000D_
	at dzh  init (SourceFile:424)_x000D_
	at net minecraft client main Main main(SourceFile:197)_x000D_
Caused by: MinecraftClientHttpException type HTTP ERROR  status 401  response null _x000D_
	at com mojang authlib minecraft client MinecraftClient readInputStream(MinecraftClient java:78)_x000D_
	at com mojang authlib minecraft client MinecraftClient get(MinecraftClient java:48)_x000D_
	at com mojang authlib yggdrasil YggdrasilUserApiService fetchProperties(YggdrasilUserApiService java:113)_x000D_
	    5 more_x000D_
     log4j:Throwable _x000D_
    log4j:Event _x000D_
   log4j:Event logger  dzh  timestamp  1645250663010  level  INFO  thread  Render thread  _x000D_
     log4j:Message    CDATA Setting user: Sri     log4j:Message _x000D_
    log4j:Event _x000D_
   log4j:Event logger  dzh  timestamp  1645250664596  level  INFO  thread  Render thread  _x000D_
     log4j:Message    CDATA Backend library: LWJGL version 3 2 3 SNAPSHOT     log4j:Message _x000D_
    log4j:Event _x000D_
DlLoader: using default libEGL so_x000D_
EGLBridge: Initializing_x000D_
EGLBridge: Initialized _x000D_
EGLBridge: ThreadID 26031_x000D_
EGLBridge: EGLDisplay 0x1  EGLSurface 0xaa54c7e0_x000D_
EGLBridge: Created CTX pointer   0xaa60e300_x000D_
EGLBridge: Comparing: thr 26031  this 0xaa60e300  curr 0x0_x000D_
EGLBridge: Making current on window 0xaa60e300 on thread 26031_x000D_
EGLBridge: eglMakeCurrent() succeed _x000D_
EGLBridge: Comparing: thr 26031  this 0xaa60e300  curr 0xaa60e300_x000D_
   log4j:Event logger  com mojang text2speech NarratorLinux  timestamp  1645250672907  level  WARN  thread  Render thread  _x000D_
     log4j:Message    CDATA ERROR : Couldn t load Narrator library :  storage emulated 0 Android data net kdt pojavlaunch debug files  cache JNA temp jna10073298559092776076 tmp: dlopen failed: library   storage emulated 0 Android data net kdt pojavlaunch debug files  cache JNA temp jna10073298559092776076 tmp  needed or dlopened by   data data net kdt pojavlaunch debug runtimes jre17 arm 20210914 termux tar xz lib server libjvm so  is not accessible for the namespace  classloader namespace      log4j:Message _x000D_
    log4j:Event _x000D_
   log4j:Event logger  afy  timestamp  1645250673739  level  INFO  thread  Render thread  _x000D_
     log4j:Message    CDATA Reloading ResourceManager: Default     log4j:Message _x000D_
    log4j:Event _x000D_
   log4j:Event logger  dur  timestamp  1645250683012  level  INFO  thread  Realms Notification Availability checker  1  _x000D_
     log4j:Message    CDATA Could not authorize you against Realms server: Invalid session id     log4j:Message _x000D_
    log4j:Event _x000D_
   log4j:Event logger  ffl  timestamp  1645250714327  level  WARN  thread  Render thread  _x000D_
     log4j:Message    CDATA Missing sound for event: minecraft:music overworld deep dark     log4j:Message _x000D_
    log4j:Event _x000D_
   log4j:Event logger  ffl  timestamp  1645250714336  level  WARN  thread  Render thread  _x000D_
     log4j:Message    CDATA Missing sound for event: minecraft:entity parrot imitate warden     log4j:Message _x000D_
    log4j:Event _x000D_
 ALSOFT  (EE) Failed to set real time priority for thread: Operation not permitted (1)_x000D_
   log4j:Event logger  dsb  timestamp  1645250714637  level  INFO  thread  Render thread  _x000D_
     log4j:Message    CDATA OpenAL initialized on device OpenSL     log4j:Message _x000D_
    log4j:Event _x000D_
   log4j:Event logger  ffl  timestamp  1645250714664  level  INFO  thread  Render thread  _x000D_
     log4j:Message    CDATA Sound engine started     log4j:Message _x000D_
    log4j:Event _x000D_
   log4j:Event logger  fbw  timestamp  1645250717667  level  INFO  thread  Render thread  _x000D_
     log4j:Message    CDATA Created: 1024x1024x0 minecraft:textures atlas blocks png atlas     log4j:Message _x000D_
    log4j:Event _x000D_
   log4j:Event logger  fbw  timestamp  1645250717816  level  INFO  thread  Render thread  _x000D_
     log4j:Message    CDATA Created: 256x128x0 minecraft:textures atlas signs png atlas     log4j:Message _x000D_
    log4j:Event _x000D_
   log4j:Event logger  fbw  timestamp  1645250717832  level  INFO  thread  Render thread  _x000D_
     log4j:Message    CDATA Created: 1024x512x0 minecraft:textures atlas banner patterns png atlas     log4j:Message _x000D_
    log4j:Event _x000D_
   log4j:Event logger  fbw  timestamp  1645250717854  level  INFO  thread  Render thread  _x000D_
     log4j:Message    CDATA Created: 1024x512x0 minecraft:textures atlas shield patterns png atlas     log4j:Message _x000D_
    log4j:Event _x000D_
   log4j:Event logger  fbw  timestamp  1645250717861  level  INFO  thread  Render thread  _x000D_
     log4j:Message    CDATA Created: 256x256x0 minecraft:textures atlas chest png atlas     log4j:Message _x000D_
    log4j:Event _x000D_
   log4j:Event logger  fbw  timestamp  1645250717882  level  INFO  thread  Render thread  _x000D_
     log4j:Message    CDATA Created: 512x256x0 minecraft:textures atlas beds png atlas     log4j:Message _x000D_
    log4j:Event _x000D_
   log4j:Event logger  fbw  timestamp  1645250717894  level  INFO  thread  Render thread  _x000D_
     log4j:Message    CDATA Created: 512x256x0 minecraft:textures atlas shulker boxes png atlas     log4j:Message _x000D_
    log4j:Event _x000D_
ERROR: 1:16:     :  wrong operand types  no operation     exists that takes a left hand operand of type  in 2 component vector of int  and a right operand of type  const float  (or there is no acceptable conversion)_x000D_
ERROR: 1:16:  clamp  : no matching overloaded function found _x000D_
ERROR: 1:16:  texture  : no matching overloaded function found _x000D_
ERROR: 1:16:  return  : function return is not matching type: _x000D_
ERROR: 4 compilation errors   No code generated _x000D_
_x000D_
   log4j:Event logger  dzh  timestamp  1645250728717  level  FATAL  thread  Render thread  _x000D_
     log4j:Message    CDATA Reported exception thrown      log4j:Message _x000D_
     log4j:Throwable    CDATA z: Rendering overlay_x000D_
	at eri a(SourceFile:874)_x000D_
	at dzh f(SourceFile:1117)_x000D_
	at dzh e(SourceFile:733)_x000D_
	at net minecraft client main Main main(SourceFile:236)_x000D_
Caused by: java lang RuntimeException: could not reload shaders_x000D_
	at eri b(SourceFile:500)_x000D_
	at eri a(SourceFile:387)_x000D_
	at aft a(SourceFile:15)_x000D_
	at java base java util concurrent CompletableFuture UniRun tryFire(CompletableFuture java:787)_x000D_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a(SourceFile:_x000D_
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a(SourceFile:71)_x000D_
	at aur execute(SourceFile:102)_x000D_
	at afx a(SourceF_x000D_
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afx a(SourceFile:71)_x000D_
	at aur execute(SourceFile:102)_x000D_
	at afx a(SourceFile:70)_x000D_
	at java base java util concurr_x000D_
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afx a(SourceFile:71)_x000D_
	at aur execute(SourceFile:102)_x000D_
	at afx a(SourceFile:70)_x000D_
	at java base java util concurrent CompletableFuture UniCompletion c_x000D_
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com mojang blaze3d systems RenderSystem replayQueue(SourceFile:209)_x000D_
	at com mojang blaze3d systems RenderSystem flipFrame(SourceFile:196)_x000D_
	at dti e(SourceFile:310)_x000D_
	at dzh f(SourceFile:1142)_x000D_
	    2 more_x000D_
Caused by: yr: Invalid shaders core rendertype solid json: Couldn t compile vertex program (Default  rendertype solid) : ERROR: 1:16:     :  wrong operand types  no operation     exists that takes a left hand operand of type  in 2 component vector of int  and a right operand of type  const float  (or there is no acceptable conversion)_x000D_
ERROR: 1:16:  clamp  : no matching overloaded function found _x000D_
ERROR: 1:16:  texture  : no matching overloaded function found _x000D_
ERROR: 1:16:  return  : function return is not matching type: _x000D_
ERROR: 4 compilation errors   No code generated _x000D_
	at yr a(SourceFile:48)_x000D_
	at esa  init (SourceFile:200)_x000D_
	at eri b(SourceFile:455)_x000D_
	    118 more_x000D_
Caused by: java io IOException: Couldn t compile vertex program (Default  rendertype solid) : ERROR: 1:16:     :  wrong operand types  no operation     exists that takes a left hand operand of type  in 2 component vector of int  and a right operand of type  const float  (or there is no acceptable conversion)_x000D_
ERROR: 1:16:  clamp  : no matching overloaded function found _x000D_
ERROR: 1:16:  texture  : no matching overloaded function found _x000D_
ERROR: 1:16:  return  : function return is not matching type: _x000D_
ERROR: 4 compilation errors   No code generated _x000D_
	at dtr b(SourceFile:72)_x000D_
	at dtr a(SourceFile:54)_x000D_
	at esa a(SourceFile:241)_x000D_
	at esa_x000D_
  init (SourceFile:182)_x000D_
	    119 more_x000D_
     log4j:Throwable _x000D_
    log4j:Event _x000D_
     Minecraft Crash Report     _x000D_
   Oh   I know what I did wrong _x000D_
_x000D_
Time: 2 19 22  6:05 AM_x000D_
Description: Rendering overlay_x000D_
_x000D_
java lang RuntimeException: could not reload shaders_x000D_
	at eri b(SourceFile:500)_x000D_
	at eri a(SourceFile:387)_x000D_
	at aft a(SourceFile:15)_x000D_
	at java base java util concurrent CompletableFuture UniRun tryFire(CompletableFuture java:787)_x000D_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_x000D_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afx a(SourceFile:71)_x000D_
	at aur execute(SourceFile:102)_x000D_
	at afx a(SourceFile:70)_x000D_
	at java base java util concurrent CompletableFuture UniCompletion claim(CompletableFuture java:572)_x000D_
	at java base java util concurrent Com</t>
  </si>
  <si>
    <t>google-ExoPlayer-9989</t>
  </si>
  <si>
    <t xml:space="preserve">HLS stream freezes/crashes intermittently </t>
  </si>
  <si>
    <t xml:space="preserve">                                                                                                    _x000D_
_x000D_
  Search existing issues  including issues that are closed:_x000D_
  https:  github com google ExoPlayer issues q is 3Aissue_x000D_
_x000D_
Issues  5003 and then  5455 seem to be related to this issue  but not the exact behavior _x000D_
_x000D_
  Try playing problematic media in the demo app:_x000D_
  http:  exoplayer dev demo application html_x000D_
_x000D_
I tried playing the stream in the demo exoplayer app loaded onto a chromecast device  _x000D_
with the same results as through our app _x000D_
_x000D_
 ExoPlayer Version for Demo App 2 16 1 _x000D_
                                                                                                    _x000D_
_x000D_
To reproduce the issue I will send a url with the manifest and needed http headers for playback in the browser to the _x000D_
_x000D_
 dev exoplayer gmail com _x000D_
_x000D_
Another way to reproduce would be to use our non authenticated stream (https:  pac 12 com live networks P12I in web or on Pac12 Now mobile app) _x000D_
_x000D_
And cast the stream to a ChromeCast device  _x000D_
_x000D_
I tested with:      ChromeCast Model GZRNL_x000D_
         ANDROID TV OS VERSION: 10_x000D_
         KERNEL VERSION: 4 9 180_x000D_
         TV OS BUILD: QTS1 210311 036 7814738_x000D_
_x000D_
Within an hour(usually about 20 30 minutes) the stream will buffer freeze for a second and then crash at totally random times _x000D_
_x000D_
Only sometimes a 102 encoding parameter ERROR will come up  but even after checking with the parameters stated in the chromecast sdk I was unable to stop from crashing _x000D_
_x000D_
The stream also plays fine on every other platform  it will even play without crashing on the native ChromeCast app _x000D_
_x000D_
I tested many different renditions and changes to the stream and even in the cases where it did not crash I saw some version of this right before the crash:_x000D_
_x000D_
 02 16 17:34:35 349  3775  8633 V OmxVideoDecoder: updatePort mUseNativeBuffers 1_x000D_
02 16 17:34:35 349  3775  8633 D AmlogicVideoDecoderAwesome: get native buffer info NV:w:1920 h:1088  _x000D_
02 16 17:34:35 349  3775  8633 V OmxVideoDecoder: updatePort:portDef format video nFrameWidth 1920 portDef format video nFrameHeight 1088_x000D_
02 16 17:34:35 349  3775  8633 I OmxVideoDecoder: getParameter Component Name OMX amlogic avc decoder awesome2  width 1920  height 1088 nBufferCountMin:4_x000D_
02 16 17:34:35 349  3775  3841 D OmxVideoDecoder: getConfig 2040 0x700000f_x000D_
02 16 17:34:35 350  3775  3841 D OmxVideoDecoder: getConfig 2043 nIndex 0x700000f_x000D_
02 16 17:34:35 350  3775  3841 D OmxVideoDecoder: getConfig OMX IndexConfigCommonOutputCrop pRect  nWidth 416  pRect  nHeight 234_x000D_
02 16 17:34:35 350  3775  3841 D OmxVideoDecoder: setConfig 2160 0x7f00000c_x000D_
02 16 17:34:35 351  3775  8633 D OmxVideoDecoder: getConfig 2040 0x7f00000c_x000D_
02 16 17:34:35 351  3775  8633 D OmxVideoDecoder: getConfig 2040 0x7f00000c_x000D_
02 16 17:34:35 351  3775  8633 E OMXNodeInstance: getConfig(0xe7b296cc:amlogic avc decoder awesome2    (0x7f00000c)) ERROR: UnsupportedSetting(0x80001019)_x000D_
_x000D_
_x000D_
02 17 15:31:47 111  3775  3775 V OmxVideoDecoder: updatePort mUseNativeBuffers 1_x000D_
02 17 15:31:47 111  3775  3775 D AmlogicVideoDecoderAwesome: get native buffer info NV:w:1920 h:1080  _x000D_
02 17 15:31:47 112  3775  3775 V OmxVideoDecoder: updatePort:portDef format video nFrameWidth 1920 portDef format video nFrameHeight 1080_x000D_
02 17 15:31:47 112  3775  3775 I OmxVideoDecoder: getParameter Component Name OMX amlogic avc decoder awesome2  width 1920  height 1080 nBufferCountMin:4_x000D_
02 17 15:31:47 112  3775  3844 D OmxVideoDecoder: getConfig 2040 0x700000f_x000D_
02 17 15:31:47 112  3775  3844 D OmxVideoDecoder: getConfig 2043 nIndex 0x700000f_x000D_
02 17 15:31:47 112  3775  3844 D OmxVideoDecoder: getConfig OMX IndexConfigCommonOutputCrop pRect  nWidth 1920  pRect  nHeight 1080_x000D_
02 17 15:31:47 112  3775  3775 D OmxVideoDecoder: setConfig 2160 0x7f00000c_x000D_
02 17 15:31:47 113  3775  4152 D OmxVideoDecoder: getConfig 2040 0x7f00000c_x000D_
02 17 15:31:47 113  3775  4152 D OmxVideoDecoder: getConfig 2040 0x7f00000c_x000D_
02 17 15:31:47 113  3775  4152 E OMXNodeInstance: getConfig(0xf5a296cc:amlogic avc decoder awesome2    (0x7f00000c)) ERROR: UnsupportedSetting(0x80001019) _x000D_
_x000D_
_x000D_
From what I can tell this is referencing a vendor specific OMX param error _x000D_
_x000D_
 OMXNodeInstance: getConfig(0xf5a296cc:amlogic avc decoder awesome2    (0x7f00000c)) ERROR: UnsupportedSetting(0x80001019) _x000D_
_x000D_
But I have been unable to tell what the indexes represent _x000D_
_x000D_
When I check the resolution of the 1080 TS file in any media player or any media information tool it reads as 1920x1080  But when I look at the macroblocks:_x000D_
_x000D_
  NULL   0x7f85f862ad40  Opening  segment0 ts  for reading_x000D_
 file   0x7f85f862b1c0  Setting default whitelist  file crypto data _x000D_
 mpegts   0x7f85f862ad40  Format mpegts probed with size 2048 and score 50_x000D_
 mpegts   0x7f85f862ad40  stream 0 stream type 1b pid 1e1 prog reg desc CUEI_x000D_
 mpegts   0x7f85f862ad40  stream 1 stream type f pid 1ec prog reg desc CUEI_x000D_
 mpegts   0x7f85f862ad40  stream 3 stream type 15 pid 1f6 prog reg desc CUEI_x000D_
 mpegts   0x7f85f862ad40  Before avformat find stream info() pos: 0 bytes read:32768 seeks:0 nb streams:4_x000D_
 mpegts   0x7f85f862ad40  parser not found for codec timed id3  packets or times may be invalid _x000D_
 h264   0x7f85f862bec0  ct type:0 pic struct:0_x000D_
 extract extradata   0x7f85f8638e40  nal unit type: 9(AUD)  nal ref idc: 0_x000D_
 extract extradata   0x7f85f8638e40  nal unit type: 7(SPS)  nal ref idc: 1_x000D_
 extract extradata   0x7f85f8638e40  nal unit type: 8(PPS)  nal ref idc: 1_x000D_
 extract extradata   0x7f85f8638e40  nal unit type: 6(SEI)  nal ref idc: 0_x000D_
    Last message repeated 2 times_x000D_
 extract extradata   0x7f85f8638e40  nal unit type: 5(IDR)  nal ref idc: 1_x000D_
 h264   0x7f85f862bec0  nal unit type: 9(AUD)  nal ref idc: 0_x000D_
 h264   0x7f85f862bec0  nal unit type: 7(SPS)  nal ref idc: 1_x000D_
 h264   0x7f85f862bec0  nal unit type: 8(PPS)  nal ref idc: 1_x000D_
 h264   0x7f85f862bec0  nal unit type: 6(SEI)  nal ref idc: 0_x000D_
    Last message repeated 2 times_x000D_
 h264   0x7f85f862bec0  nal unit type: 5(IDR)  nal ref idc: 1_x000D_
 h264   0x7f85f862bec0  Format yuv420p chosen by get format() _x000D_
 h264   0x7f85f862bec0  Reinit context to 1920x1088  pix fmt: yuv420p_x000D_
 h264   0x7f85f862bec0  ct type:0 pic struct:0_x000D_
 h264   0x7f85f862bec0  no picture _x000D_
 h264   0x7f85f862bec0  ct type:0 pic struct:0_x000D_
    Last message repeated 34 times_x000D_
 mpegts   0x7f85f862ad40  probing stream 1 pp:2500_x000D_
 mpegts   0x7f85f862ad40  Probe with size 1458  packets 1 detected aac with score 51_x000D_
 mpegts   0x7f85f862ad40  probed stream 1_x000D_
 h264   0x7f85f862bec0  ct type:0 pic struct:0_x000D_
    Last message repeated 59 times_x000D_
 mpegts   0x7f85f862ad40  parser not found for codec timed id3  packets or times may be invalid _x000D_
 h264   0x7f85f862bec0  ct type:0 pic struct:0_x000D_
    Last message repeated 56 times_x000D_
 mpegts   0x7f85f862ad40  max analyze duration 5000000 reached at 5000000 microseconds st:0_x000D_
 mpegts   0x7f85f862ad40  start time for stream 2 is not set in estimate timings from pts_x000D_
 mpegts   0x7f85f862ad40  After avformat find stream info() pos: 0 bytes read:3362960 seeks:2 frames:321_x000D_
Input  0  mpegts  from  segment0 ts :_x000D_
  Duration: 00:00:06 01  start: 11284 674044  bitrate: 4780 kb s_x000D_
  Program 1 _x000D_
  Stream  0:0 0x1e1   152  1 90000: Video: h264 (High)  1 reference frame ( 27  0  0  0    0x001B)  yuv420p(tv  progressive  left)  1920x1080 (1920x1088)  SAR 1:1 DAR 16:9   0 1  Closed Captions  30 fps  30 tbr  90k tbn_x000D_
  Stream  0:1 0x1ec (eng)  168  1 90000: Audio: aac (LC) ( 15  0  0  0    0x000F)  48000 Hz  stereo  fltp  127 kb s_x000D_
  Stream  0:2 0x1f4   0  1 90000: Data: scte 35  0 1_x000D_
  Stream  0:3 0x1f6   1  1 90000: Data: timed id3 (ID3    0x20334449)  0 1 _x000D_
_x000D_
I can see that it does show 1920x1088  I know that due mod16 this is necessary and in most cases the extra bits are just padded and can be dropped or ignored by most encoders  Could this be causing an issue _x000D_
_x000D_
 bugtest log (https:  github com google ExoPlayer files 8100794 bugtest log)_x000D_
_x000D_
Thanks</t>
  </si>
  <si>
    <t>PojavLauncherTeam-PojavLauncher-2753</t>
  </si>
  <si>
    <t>[Documentary] [Bug] 1.19 snapshots are not working</t>
  </si>
  <si>
    <t xml:space="preserve">    Describe the bug_x000D_
_x000D_
Even with 1 18 patch  the game will still not able to load properly _x000D_
_x000D_
    The log file and images videos_x000D_
_x000D_
latestlog txt with my current work:_x000D_
 latestlog txt (https:  github com PojavLauncherTeam PojavLauncher files 8097776 latestlog txt)_x000D_
_x000D_
_x000D_
    Steps To Reproduce_x000D_
_x000D_
   markdown_x000D_
1  Download 1 19 experimental snapshot 1 on the official website _x000D_
2  Apply the assets v0 patch for 1 18 x _x000D_
3  Open the game _x000D_
It will bootloop once then crashes _x000D_
   _x000D_
_x000D_
_x000D_
    Why the game crashes_x000D_
_x000D_
The underlying cause of the issue is because of a new shader program  called  rendertype entity translucent emissive   This was definitely not covered in any patch  so it s expected to not work _x000D_
_x000D_
    Expected behavior_x000D_
_x000D_
The game should be able to launch _x000D_
_x000D_
    Platform_x000D_
_x000D_
   markdown_x000D_
This issue should affect every device  However  here s my information for reference _x000D_
  Device model: Vsmart Star 5_x000D_
  CPU architecture: aarch64_x000D_
  Android version: 11_x000D_
  PojavLauncher version: crocus v3 openjdk_x000D_
   _x000D_
_x000D_
_x000D_
    Anything else _x000D_
_x000D_
 No response </t>
  </si>
  <si>
    <t>PojavLauncherTeam-PojavLauncher-2752</t>
  </si>
  <si>
    <t>[BUG] &lt;game exited (1.18.1)&gt;</t>
  </si>
  <si>
    <t xml:space="preserve">    Describe the bug
black screen and crash
    The log file and images videos
     Minecraft Crash Report     _x000D_
   I blame Dinnerbone _x000D_
_x000D_
Time: 2 18 22  5:14 AM_x000D_
Description: Initializing game_x000D_
_x000D_
java lang UnsatisfiedLinkError: no extnet in system library path:  data data net kdt pojavlaunch runtimes jre17 arm64 20210825 release tar xz lib_x000D_
	at java base java lang ClassLoader loadLibrary(ClassLoader java:2403)_x000D_
	at java base java lang Runtime loadLibrary0(Runtime java:814)_x000D_
	at java base java lang System loadLibrary(System java:1948)_x000D_
	at jdk net jdk net LinuxSocketOptions  clinit (LinuxSocketOptions java:130)_x000D_
	at java base java lang Class forName0(Native Method)_x000D_
	at java base java lang Class forName(Class java:375)_x000D_
	at jdk net jdk net ExtendedSocketOptions PlatformSocketOptions newInstance(ExtendedSocketOptions java:352)_x000D_
	at jdk net jdk net ExtendedSocketOptions PlatformSocketOptions create(ExtendedSocketOptions java:368)_x000D_
	at jdk net jdk net ExtendedSocketOptions PlatformSocketOptions  clinit (ExtendedSocketOptions java:376)_x000D_
	at jdk net jdk net ExtendedSocketOptions  clinit (ExtendedSocketOptions java:203)_x000D_
	at java base java lang Class forName0(Native Method)_x000D_
	at java base java lang Class forName(Class java:375)_x000D_
	at java base sun net ext ExtendedSocketOptions getInstance(ExtendedSocketOptions java:178)_x000D_
	at java base sun nio ch Net  clinit (Net java:388)_x000D_
	at java base sun nio ch NioSocketImpl create(NioSocketImpl java:466)_x000D_
	at java base java net DelegatingSocketImpl create(DelegatingSocketImpl java:74)_x000D_
	at java base java net Socket createImpl(Socket java:530)_x000D_
	at java base java net Socket connect(Socket java:632)_x000D_
	at java base sun security ssl SSLSocketImpl connect(SSLSocketImpl java:299)_x000D_
	at java base sun net NetworkClient doConnect(NetworkClient java:178)_x000D_
	at java base sun net www http HttpClient openServer(HttpClient java:498)_x000D_
	at java base sun net www http HttpClient openServer(HttpClient java:603)_x000D_
	at java base sun net www protocol https HttpsClient  init (HttpsClient java:266)_x000D_
	at java base sun net www protocol https HttpsClient New(HttpsClient java:380)_x000D_
	at java base sun net www protocol https AbstractDelegateHttpsURLConnection getNewHttpClient(AbstractDelegateHttpsURLConnection java:189)_x000D_
	at java base sun net www protocol http HttpURLConnection plainConnect0(HttpURLConnection java:1287)_x000D_
	at java base sun net www protocol http HttpURLConnection plainConnect(HttpURLConnection java:1128)_x000D_
	at java base sun net www protocol https AbstractDelegateHttpsURLConnection connect(AbstractDelegateHttpsURLConnection java:175)_x000D_
	at java base sun net www protocol http HttpURLConnection getInputStream0(HttpURLConnection java:1665)_x000D_
	at java base sun net www protocol http HttpURLConnection getInputStream(HttpURLConnection java:1589)_x000D_
	at java base java net HttpURLConnection getResponseCode(HttpURLConnection java:529)_x000D_
	at java base sun net www protocol https HttpsURLConnectionImpl getResponseCode(HttpsURLConnectionImpl java:308)_x000D_
	at com mojang authlib minecraft client MinecraftClient readInputStream(MinecraftClient java:65)_x000D_
	at com mojang authlib minecraft client MinecraftClient get(MinecraftClient java:48)_x000D_
	at com mojang authlib yggdrasil YggdrasilUserApiService fetchProperties(YggdrasilUserApiService java:113)_x000D_
	at com mojang authlib yggdrasil YggdrasilUserApiService  init (YggdrasilUserApiService java:44)_x000D_
	at com mojang authlib yggdrasil YggdrasilAuthenticationService createUserApiService(YggdrasilAuthenticationService java:153)_x000D_
	at dxo a(SourceFile:670)_x000D_
	at dxo  init (SourceFile:424)_x000D_
	at net minecraft client main Main main(SourceFile:199)_x000D_
_x000D_
_x000D_
A detailed walkthrough of the error  its code path and all known details is as follows:_x000D_
                                                                                       _x000D_
_x000D_
   Head   _x000D_
Thread: Render thread_x000D_
Stacktrace:_x000D_
	at java base java lang ClassLoader loadLibrary(ClassLoader java:2403)_x000D_
	at java base java lang Runtime loadLibrary0(Runtime java:814)_x000D_
	at java base java lang System loadLibrary(System java:1948)_x000D_
	at jdk net jdk net LinuxSocketOptions  clinit (LinuxSocketOptions java:130)_x000D_
	at java base java lang Class forName0(Native Method)_x000D_
	at java base java lang Class forName(Class java:375)_x000D_
	at jdk net jdk net ExtendedSocketOptions PlatformSocketOptions newInstance(ExtendedSocketOptions java:352)_x000D_
	at jdk net jdk net ExtendedSocketOptions PlatformSocketOptions create(ExtendedSocketOptions java:368)_x000D_
	at jdk net jdk net ExtendedSocketOptions PlatformSocketOptions  clinit (ExtendedSocketOptions java:376)_x000D_
	at jdk net jdk net ExtendedSocketOptions  clinit (ExtendedSocketOptions java:203)_x000D_
	at java base java lang Class forName0(Native Method)_x000D_
	at java base java lang Class forName(Class java:375)_x000D_
	at java base sun net ext ExtendedSocketOptions getInstance(ExtendedSocketOptions java:178)_x000D_
	at java base sun nio ch Net  clinit (Net java:388)_x000D_
	at java base sun nio ch NioSocketImpl create(NioSocketImpl java:466)_x000D_
	at java base java net DelegatingSocketImpl create(DelegatingSocketImpl java:74)_x000D_
	at java base java net Socket createImpl(Socket java:530)_x000D_
	at java base java net Socket connect(Socket java:632)_x000D_
	at java base sun security ssl SSLSocketImpl connect(SSLSocketImpl java:299)_x000D_
	at java base sun net NetworkClient doConnect(NetworkClient java:178)_x000D_
	at java base sun net www http HttpClient openServer(HttpClient java:498)_x000D_
	at java base sun net www http HttpClient openServer(HttpClient java:603)_x000D_
	at java base sun net www protocol https HttpsClient  init (HttpsClient java:266)_x000D_
	at java base sun net www protocol https HttpsClient New(HttpsClient java:380)_x000D_
	at java base sun net www protocol https AbstractDelegateHttpsURLConnection getNewHttpClient(AbstractDelegateHttpsURLConnection java:189)_x000D_
	at java base sun net www protocol http HttpURLConnection plainConnect0(HttpURLConnection java:1287)_x000D_
	at java base sun net www protocol http HttpURLConnection plainConnect(HttpURLConnection java:1128)_x000D_
	at java base sun net www protocol https AbstractDelegateHttpsURLConnection connect(AbstractDelegateHttpsURLConnection java:175)_x000D_
	at java base sun net www protocol http HttpURLConnection getInputStream0(HttpURLConnection java:1665)_x000D_
	at java base sun net www protocol http HttpURLConnection getInputStream(HttpURLConnection java:1589)_x000D_
	at java base java net HttpURLConnection getResponseCode(HttpURLConnection java:529)_x000D_
	at java base sun net www protocol https HttpsURLConnectionImpl getResponseCode(HttpsURLConnectionImpl java:308)_x000D_
	at com mojang authlib minecraft client MinecraftClient readInputStream(MinecraftClient java:65)_x000D_
	at com mojang authlib minecraft client MinecraftClient get(MinecraftClient java:48)_x000D_
	at com mojang authlib yggdrasil YggdrasilUserApiService fetchProperties(YggdrasilUserApiService java:113)_x000D_
	at com mojang authlib yggdrasil YggdrasilUserApiService  init (YggdrasilUserApiService java:44)_x000D_
	at com mojang authlib yggdrasil YggdrasilAuthenticationService createUserApiService(YggdrasilAuthenticationService java:153)_x000D_
	at dxo a(SourceFile:670)_x000D_
	at dxo  init (SourceFile:424)_x000D_
_x000D_
   Initialization   _x000D_
Details:_x000D_
	Modules: _x000D_
Stacktrace:_x000D_
	at net minecraft client main Main main(SourceFile:199)_x000D_
_x000D_
   System Details   _x000D_
Details:_x000D_
	Minecraft Version: 1 18 1_x000D_
	Minecraft Version ID: 1 18 1_x000D_
	Operating System: Linux (aarch64) version Android 10_x000D_
	Java Version: 17 internal  N A_x000D_
	Java VM Version: OpenJDK 64 Bit Server VM (mixed mode)  Oracle Corporation_x000D_
	Memory: 352983168 bytes (336 MiB)   1069547520 bytes (1020 MiB) up to 1069547520 bytes (1020 MiB)_x000D_
	CPUs: 8_x000D_
	Processor Vendor: 0x41_x000D_
	Processor Name: _x000D_
	Identifier: 0x41 Family 8 Model 0xd09 Stepping r0x0p4_x000D_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4347 54_x000D_
	Virtual memory used (MB): 4133 20_x000D_
	Swap memory total (MB): 2560 00_x000D_
	Swap memory used (MB): 1174 68_x000D_
	JVM Flags: 2 total   Xms1019M  Xmx1019M_x000D_
	Launched Version: 1 18 1_x000D_
	Backend library: LWJGL version 3 2 3 SNAPSHOT_x000D_
	Backend API: Unknown_x000D_
	Window size:  not initialized _x000D_
	GL Caps: Using framebuffer using OpenGL 3 2_x000D_
	GL debug messages:  disabled _x000D_
	Using VBOs: Yes_x000D_
	Is Modded: Probably not  Client jar signature and brand is untouched_x000D_
	Type: Client (map client txt)_x000D_
	CPU:  unknown 
    Steps To Reproduce
   markdown
1  play on 1 18 1 _x000D_
2  wait for error
    Expected Behavior
i expected game to run
    Platform
   markdown
  Device model: _x000D_
  CPU architecture: _x000D_
  Android version: _x000D_
  PojavLauncher version:
    Anything else 
 No response </t>
  </si>
  <si>
    <t>Anuken-Mindustry-6585</t>
  </si>
  <si>
    <t>sectors not showing 'import' in 'stats'</t>
  </si>
  <si>
    <t xml:space="preserve">  Platform  : Windows 11 64 bit_x000D_
_x000D_
  Build  : 126 2_x000D_
(I checked the release log and searched the issues however and there seems to be no mentioning of this bug)_x000D_
_x000D_
  Issue  : Campaign: I was importing resources to Salt Flats from sector 22  stained mountains  etc and when I am in Salt Flats  I can see resources coming in (as I set up no production but  stored  went up) But the stats page of Salt Flats aren t showing the  import  section_x000D_
_x000D_
And some questions:_x000D_
1  Is it only because the import stats section doesn t exist for free versions _x000D_
2   Do I need to constantly update to the latest pre alpha versions  or do I only need to update to stable builds _x000D_
_x000D_
  Steps to reproduce  : _x000D_
1  check sectors listed above or stay in Salt Flats for one or two minutes to ensure it is acutally importing_x000D_
2  check Salt Flats  stats page_x000D_
_x000D_
  Link(s) to mod(s) used  : None_x000D_
_x000D_
  Save file  :  issue reporting zip (https:  github com Anuken Mindustry files 8094053 issue reporting zip)_x000D_
_x000D_
If you remove the line above without reading it properly and understanding what it means  I will reap your soul  Even if you re playing on someone s server  you can still save the game to a slot _x000D_
_x000D_
  (Crash) logs  : NA  no crashes_x000D_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t>
  </si>
  <si>
    <t>Aliucord-Aliucord-217</t>
  </si>
  <si>
    <t>Aliucord is not resizable on Samsung DeX</t>
  </si>
  <si>
    <t xml:space="preserve">    Discord Account
Accelerator 6473
    What happens when the bug or crash occurs 
Literally what it says  it may be a manifest issue _x000D_
This should be considered a bug since stock Discord can do it 
    What is the expected behaviour 
It s supposed to be a resizable window  of course
    How do you recreate this bug or crash 
1  Install Aliucord_x000D_
2  Launch Samsung DeX_x000D_
3  Launch Aliucord
    Crash log
 No response 
    Request Agreement
   X  I did indeed check to make sure the bug or crash report is applicable </t>
  </si>
  <si>
    <t>jellyfin-jellyfin-androidtv-1450</t>
  </si>
  <si>
    <t>Symbolic links of video files.</t>
  </si>
  <si>
    <t xml:space="preserve">    Describe the bug_x000D_
_x000D_
Hello _x000D_
_x000D_
First thank you for this new version very promising with already a lot of improvements _x000D_
_x000D_
After installing the last beta version 0 13 0  the symbolic links (linux server 10 7 7) crash the playback _x000D_
It s the same problem with the google play version 0 12 3 _x000D_
There was no problem with the previous version 0 11 2 _x000D_
_x000D_
That means  if you make a symbolic link from a video to a folder in a movie library  the movie is recognized by jellyfin  but it cannot be played with exoPlayer defaut player _x000D_
Of course  if I copy the same video into the folder instead of the links  the video can be played without any difficulty _x000D_
_x000D_
What is stranger is that for some videos it works   _x000D_
In the server logs  I see that it works when direct play or direct stream is not supported _x000D_
   _x000D_
 2022 02 17 13:12:53 566  01:00   INF  Not eligible for DirectPlay due to unsupported subtitles_x000D_
 2022 02 17 13:12:53 566  01:00   INF  Not eligible for DirectStream due to unsupported subtitles_x000D_
 2022 02 17 13:12:53 566  01:00   INF  Profile:  AndroidTV ExoPlayer   Path:   data Movies The Birds mkv   isEligibleForDirectPlay: False  isEligibleForDirectStream: False_x000D_
   _x000D_
_x000D_
And the weirdest thing  if I put this video in a folder and make a symbolic link from the folder to one of the folders in a movie library  everything works perfectly    _x000D_
_x000D_
_x000D_
Sincerely _x000D_
BB_x000D_
_x000D_
_x000D_
    Logs_x000D_
_x000D_
   shell_x000D_
Client logs:_x000D_
02 17 12:03:20 937 11390 11390 D jellyfin apiclient: Adding request to queue: http:  192 168 1 2:8096 Users c10556753b3f4065bb36d26a0a4b7bfd Items ParentId bd6ffbfc a6fb c6fa a0ea 0248a71c962f SortBy SortName recursive true Fields PrimaryImageAspectRatio 2CChildCount 2CMediaSources 2CMediaStreams 2CDisplayPreferencesId sortOrder Ascending Limit 50 IncludeItemTypes Movie format json_x000D_
02 17 12:03:21 203 11390 11390 I jellyfin apiclient: Response received from: http:  192 168 1 2:8096 Users c10556753b3f4065bb36d26a0a4b7bfd Items ParentId bd6ffbfc a6fb c6fa a0ea 0248a71c962f SortBy SortName recursive true Fields PrimaryImageAspectRatio 2CChildCount 2CMediaSources 2CMediaStreams 2CDisplayPreferencesId sortOrder Ascending Limit 50 IncludeItemTypes Movie format json_x000D_
02 17 12:03:25 090 11390 11390 D jellyfin apiclient: Adding request to queue: http:  192 168 1 2:8096 Users c10556753b3f4065bb36d26a0a4b7bfd Items e9083ae6cd99182fd6d8dbb62778a8d0 format json_x000D_
02 17 12:03:25 256 11390 11390 I jellyfin apiclient: Response received from: http:  192 168 1 2:8096 Users c10556753b3f4065bb36d26a0a4b7bfd Items e9083ae6cd99182fd6d8dbb62778a8d0 format json_x000D_
02 17 12:03:25 297 11390 11390 D jellyfin apiclient: Adding request to queue: http:  192 168 1 2:8096 Items e9083ae6cd99182fd6d8dbb62778a8d0 Similar Fields PrimaryImageAspectRatio 2CChildCount UserId c10556753b3f4065bb36d26a0a4b7bfd Limit 10 format json_x000D_
02 17 12:03:25 520 11390 11390 I jellyfin apiclient: Response received from: http:  192 168 1 2:8096 Items e9083ae6cd99182fd6d8dbb62778a8d0 Similar Fields PrimaryImageAspectRatio 2CChildCount UserId c10556753b3f4065bb36d26a0a4b7bfd Limit 10 format json_x000D_
02 17 12:03:26 544 11390 11390 D jellyfin apiclient: Adding request to queue: http:  192 168 1 2:8096 Users c1055675 3b3f 4065 bb36 d26a0a4b7bfd Items e9083ae6cd99182fd6d8dbb62778a8d0 Intros format json_x000D_
02 17 12:03:26 572 11390 11390 I jellyfin apiclient: Response received from: http:  192 168 1 2:8096 Users c1055675 3b3f 4065 bb36 d26a0a4b7bfd Items e9083ae6cd99182fd6d8dbb62778a8d0 Intros format json_x000D_
02 17 12:03:26 839 11390 11390 D jellyfin apiclient: Adding request to queue: http:  192 168 1 2:8096 Items e9083ae6cd99182fd6d8dbb62778a8d0 PlaybackInfo format json_x000D_
02 17 12:03:27 173 11390 11390 I jellyfin apiclient: Response received from: http:  192 168 1 2:8096 Items e9083ae6cd99182fd6d8dbb62778a8d0 PlaybackInfo format json_x000D_
02 17 12:03:27 182 11390 11390 D jellyfin apiclient: Adding request to queue: http:  192 168 1 2:8096 Items e9083ae6cd99182fd6d8dbb62778a8d0 PlaybackInfo format json_x000D_
02 17 12:03:27 254 11390 11390 I jellyfin apiclient: Response received from: http:  192 168 1 2:8096 Items e9083ae6cd99182fd6d8dbb62778a8d0 PlaybackInfo format json_x000D_
02 17 12:03:27 333 11390 11390 D jellyfin apiclient: Adding request to queue: http:  192 168 1 2:8096 Sessions Playing_x000D_
02 17 12:03:27 509 11390 11390 I jellyfin apiclient: Response received from: http:  192 168 1 2:8096 Sessions Playing_x000D_
02 17 12:03:28 017 11390 11462 D jellyfin apiclient: Web socket message received _x000D_
02 17 12:03:28 019 11390 11462 I jellyfin apiclient: Received web socket message: UserDataChanged_x000D_
02 17 12:03:30 753 11390 11390 I jellyfin apiclient: ReportPlaybackStopped: Item e9083ae6cd99182fd6d8dbb62778a8d0  Ticks: 0_x000D_
02 17 12:03:30 757 11390 11390 D jellyfin apiclient: Adding request to queue: http:  192 168 1 2:8096 Sessions Playing Stopped_x000D_
02 17 12:03:30 782 11390 11390 D jellyfin apiclient: Adding request to queue: http:  192 168 1 2:8096 Items e9083ae6cd99182fd6d8dbb62778a8d0 PlaybackInfo format json_x000D_
02 17 12:03:30 830 11390 11390 I jellyfin apiclient: Response received from: http:  192 168 1 2:8096 Items e9083ae6cd99182fd6d8dbb62778a8d0 PlaybackInfo format json_x000D_
02 17 12:03:30 835 11390 11390 D jellyfin apiclient: Adding request to queue: http:  192 168 1 2:8096 Items e9083ae6cd99182fd6d8dbb62778a8d0 PlaybackInfo format json_x000D_
02 17 12:03:30 854 11390 11390 I jellyfin apiclient: Response received from: http:  192 168 1 2:8096 Sessions Playing Stopped_x000D_
02 17 12:03:30 922 11390 11390 I jellyfin apiclient: Response received from: http:  192 168 1 2:8096 Items e9083ae6cd99182fd6d8dbb62778a8d0 PlaybackInfo format json_x000D_
02 17 12:03:30 952 11390 11390 D jellyfin apiclient: Adding request to queue: http:  192 168 1 2:8096 Sessions Playing_x000D_
02 17 12:03:31 030 11390 11390 I jellyfin apiclient: Response received from: http:  192 168 1 2:8096 Sessions Playing_x000D_
02 17 12:03:31 520 11390 11462 D jellyfin apiclient: Web socket message received _x000D_
02 17 12:03:31 521 11390 11462 I jellyfin apiclient: Received web socket message: UserDataChanged_x000D_
02 17 12:03:34 306 11390 11390 I jellyfin apiclient: ReportPlaybackStopped: Item e9083ae6cd99182fd6d8dbb62778a8d0  Ticks: 0_x000D_
02 17 12:03:34 307 11390 11390 D jellyfin apiclient: Adding request to queue: http:  192 168 1 2:8096 Sessions Playing Stopped_x000D_
02 17 12:03:34 321 11390 11390 D jellyfin apiclient: Adding request to queue: http:  192 168 1 2:8096 Items e9083ae6cd99182fd6d8dbb62778a8d0 PlaybackInfo format json_x000D_
02 17 12:03:34 366 11390 11390 I jellyfin apiclient: Response received from: http:  192 168 1 2:8096 Sessions Playing Stopped_x000D_
02 17 12:03:34 366 11390 11390 I jellyfin apiclient: Response received from: http:  192 168 1 2:8096 Items e9083ae6cd99182fd6d8dbb62778a8d0 PlaybackInfo format json_x000D_
02 17 12:03:34 370 11390 11390 D jellyfin apiclient: Adding request to queue: http:  192 168 1 2:8096 Items e9083ae6cd99182fd6d8dbb62778a8d0 PlaybackInfo format json_x000D_
02 17 12:03:34 402 11390 11390 I jellyfin apiclient: Response received from: http:  192 168 1 2:8096 Items e9083ae6cd99182fd6d8dbb62778a8d0 PlaybackInfo format json_x000D_
02 17 12:03:34 430 11390 11390 D jellyfin apiclient: Adding request to queue: http:  192 168 1 2:8096 Sessions Playing_x000D_
02 17 12:03:34 502 11390 11390 I jellyfin apiclient: Response received from: http:  192 168 1 2:8096 Sessions Playing_x000D_
02 17 12:03:34 993 11390 11462 D jellyfin apiclient: Web socket message received _x000D_
02 17 12:03:34 994 11390 11462 I jellyfin apiclient: Received web socket message: UserDataChanged_x000D_
02 17 12:03:38 475 11390 11390 I jellyfin apiclient: ReportPlaybackStopped: Item e9083ae6cd99182fd6d8dbb62778a8d0  Ticks: 0_x000D_
02 17 12:03:38 477 11390 11390 D jellyfin apiclient: Adding request to queue: http:  192 168 1 2:8096 Sessions Playing Stopped_x000D_
02 17 12:03:38 548 11390 11390 D jellyfin apiclient: Adding request to queue: http:  192 168 1 2:8096 Users c10556753b3f4065bb36d26a0a4b7bfd Items e9083ae6cd99182fd6d8dbb62778a8d0 format json_x000D_
02 17 12:03:38 550 11390 11390 I jellyfin apiclient: Response received from: http:  192 168 1 2:8096 Sessions Playing Stopped_x000D_
02 17 12:03:38 578 11390 11390 I jellyfin apiclient: Response received from: http:  192 168 1 2:8096 Users c10556753b3f4065bb36d26a0a4b7bfd Items e9083ae6cd99182fd6d8dbb62778a8d0 format json_x000D_
02 17 12:03:39 023 11390 11462 D jellyfin apiclient: Web socket message received _x000D_
02 17 12:03:39 024 11390 11462 I jellyfin apiclient: Received web socket message: UserDataChanged_x000D_
_x000D_
_x000D_
Partial server logs KO:_x000D_
_x000D_
 2022 02 17 12:03:13 059  01:00   INF  WS  192 168 1 20  request_x000D_
 2022 02 17 12:03:27 750  01:00   INF  GetPostedPlaybackInfo profile: DeviceProfile   Name:  AndroidTV libVLC     _x000D_
 2022 02 17 12:03:27 824  01:00   INF  User policy for  admin   EnablePlaybackRemuxing: True EnableVideoPlaybackTranscoding: True EnableAudioPlaybackTranscoding: True_x000D_
 2022 02 17 12:03:27 844  01:00   INF  Profile:  AndroidTV libVLC   Path:   data Movies The Birds mkv   isEligibleForDirectPlay: True  isEligibleForDirectStream: True_x000D_
 2022 02 17 12:03:27 871  01:00   INF  Profile:  AndroidTV libVLC   Path:   data Movies The Birds mkv   isEligibleForDirectPlay: True  isEligibleForDirectStream: True_x000D_
 2022 02 17 12:03:27 871  01:00   INF  Profile:  AndroidTV libVLC   Path:   data Movies The Birds mkv   isEligibleForDirectPlay: True  isEligibleForDirectStream: True_x000D_
 2022 02 17 12:03:27 975  01:00   INF  GetPostedPlaybackInfo profile: DeviceProfile   Name:  AndroidTV ExoPlayer       _x000D_
 2022 02 17 12:03:27 978  01:00   INF  User policy for  admin   EnablePlaybackRemuxing: True EnableVideoPlaybackTranscoding: True EnableAudioPlaybackTranscoding: True_x000D_
 2022 02 17 12:03:27 978  01:00   INF  Profile:  AndroidTV ExoPlayer   Path:   data Movies The Birds mkv   isEligibleForDirectPlay: True  isEligibleForDirectStream: True_x000D_
 2022 02 17 12:03:27 978  01:00   INF  Profile:  AndroidTV ExoPlayer   Path:   data Movies The Birds mkv   isEligibleForDirectPlay: True  isEligibleForDirectStream: True_x000D_
 2022 02 17 12:03:27 978  01:00   INF  Profile:  AndroidTV ExoPlayer   Path:   data Movies The Birds mkv   isEligibleForDirectPlay: True  isEligibleForDirectStream: True_x000D_
 2022 02 17 12:03:28 168  01:00   ERR  Error processing request  URL  GET    Videos e9083ae6cd99182fd6d8dbb62778a8d0 stream mkv  _x000D_
System InvalidOperationException: Response Content Length mismatch: too many bytes written (16384 of 33) _x000D_
   at Microsoft AspNetCore Server Kestrel Core Internal Http HttpProtocol ThrowTooManyBytesWritten(Int32 count)_x000D_
   at Microsoft AspNetCore Server Kestrel Core Internal Http HttpProtocol VerifyAndUpdateWrite(Int32 count)_x000D_
   at Microsoft AspNetCore Server Kestrel Core Internal Http HttpProtocol FirstWriteAsyncInternal(ReadOnlyMemory 1 data  CancellationToken cancellationToken)_x000D_
   at Microsoft AspNetCore Server Kestrel Core Internal Http HttpProtocol FirstWriteAsync(ReadOnlyMemory 1 data  CancellationToken cancellationToken)_x000D_
   at Microsoft AspNetCore Server Kestrel Core Internal Http HttpProtocol WritePipeAsync(ReadOnlyMemory 1 data  CancellationToken cancellationToken)_x000D_
   at Microsoft AspNetCore Server Kestrel Core Internal Http HttpResponseStream WriteAsync(Byte   buffer  Int32 offset  Int32 count  CancellationToken cancellationToken)_x000D_
   at Microsoft AspNetCore Http StreamCopyOperationInternal CopyToAsync(Stream source  Stream destination  Nullable 1 count  Int32 bufferSize  CancellationToken cancel)_x000D_
   at Microsoft AspNetCore Http SendFileFallback SendFileAsync(Stream destination  String filePath  Int64 offset  Nullable 1 count  CancellationToken cancellationToken)_x000D_
   at Microsoft AspNetCore Http SendFileResponseExtensions SendFileAsyncCore(HttpResponse response  String fileName  Int64 offset  Nullable 1 count  CancellationToken cancellationToken)_x000D_
   at Microsoft AspNetCore Mvc Infrastructure ResourceInvoker  InvokeNextResultFilterAsync g  Awaited 29 0 TFilter TFilterAsync (ResourceInvoker invoker  Task lastTask  State next  Scope scope  Object state  Boolean isCompleted)_x000D_
   at Microsoft AspNetCore Mvc Infrastructure ResourceInvoker Rethrow(ResultExecutedContextSealed context)_x000D_
   at Microsoft AspNetCore Mvc Infrastructure ResourceInvoker ResultNext TFilter TFilterAsync (State  next  Scope  scope  Object  state  Boolean  isCompleted)_x000D_
   at Microsoft AspNetCore Mvc Infrastructure ResourceInvoker  InvokeResultFilters g  Awaited 27 0(ResourceInvoker invoker  Task lastTask  State next  Scope scope  Object state  Boolean isCompleted)_x000D_
   at Microsoft AspNetCore Mvc Infrastructure ResourceInvoker  InvokeNextResourceFilter g  Awaited 24 0(ResourceInvoker invoker  Task lastTask  State next  Scope scope  Object state  Boolean isCompleted)_x000D_
   at Microsoft AspNetCore Mvc Infrastructure ResourceInvoker Rethrow(ResourceExecutedContextSealed context)_x000D_
   at Microsoft AspNetCore Mvc Infrastructure ResourceInvoker Next(State  next  Scope  scope  Object  state  Boolean  isCompleted)_x000D_
   at Microsoft AspNetCore Mvc Infrastructure ResourceInvoker  InvokeFilterPipelineAsync g  Awaited 19 0(ResourceInvoker invoker  Task lastTask  State next  Scope scope  Object state  Boolean isCompleted)_x000D_
   at Microsoft AspNetCore Mvc Infrastructure ResourceInvoker  InvokeAsync g  Awaited 17 0(ResourceInvoker invoker  Task task  IDisposable scope)_x000D_
   at Microsoft AspNetCore Routing EndpointMiddleware  Invoke g  AwaitRequestTask 6 0(Endpoint endpoint  Task requestTask  ILogger logger)_x000D_
   at Jellyfin Server Middleware ServerStartupMessageMiddleware Invoke(HttpContext httpContext  IServerApplicationHost serverApplicationHost  ILocalizationManager localizationManager)_x000D_
   at Jellyfin Server Middleware WebSocketHandlerMiddleware Invoke(HttpContext httpContext  IWebSocketManager webSocketManager)_x000D_
   at Jellyfin Server Middleware IpBasedAccessValidationMiddleware Invoke(HttpContext httpContext  INetworkManager networkManager)_x000D_
   at Jellyfin Server Middleware LanFilteringMiddleware Invoke(HttpContext httpContext  INetworkManager networkManager  IServerConfigurationManager serverConfigurationManager)_x000D_
   at Microsoft AspNetCore Authorization AuthorizationMiddleware Invoke(HttpContext context)_x000D_
   at Swashbuckle AspNetCore ReDoc ReDocMiddleware Invoke(HttpContext httpContext)_x000D_
   at Swashbuckle AspNetCore SwaggerUI SwaggerUIMiddleware Invoke(HttpContext httpContext)_x000D_
   at Swashbuckle AspNetCore Swagger SwaggerMiddleware Invoke(HttpContext httpContext  ISwaggerProvider swaggerProvider)_x000D_
   at Microsoft AspNetCore Authentication AuthenticationMiddleware Invoke(HttpContext context)_x000D_
   at Jellyfin Server Middleware RobotsRedirectionMiddleware Invoke(HttpContext httpContext)_x000D_
   at Jellyfin Server Middleware LegacyEmbyRouteRewriteMiddleware Invoke(HttpContext httpContext)_x000D_
   at Microsoft AspNetCore ResponseCompression ResponseCompressionMiddleware Invoke(HttpContext context)_x000D_
   at Jellyfin Server Middleware ResponseTimeMiddleware Invoke(HttpContext context)_x000D_
   at Jellyfin Server Middleware ExceptionMiddleware Invoke(HttpContext context)_x000D_
 2022 02 17 12:03:28 196  01:00   ERR  Connection id   0HMFI0KAN3QJM    Request id   0HMFI0KAN3QJM:00000011  : An unhandled exception was thrown by the application _x000D_
System InvalidOperationException: Response Content Length mismatch: too few bytes written (25 of 33) _x000D_
 2022 02 17 12:03:28 231  01:00   ERR  Error processing request  URL  GET    Videos e9083ae6cd99182fd6d8dbb62778a8d0 stream mkv  _x000D_
System InvalidOperationException: Response Content Length mismatch: too many bytes written (16384 of 33) _x000D_
   at Microsoft AspNetCore Server Kestrel Core Internal Http HttpProtocol ThrowTooManyBytesWritten(Int32 count)_x000D_
   at Microsoft AspNetCore Server Kestrel Core Internal Http HttpProtocol VerifyAndUpdateWrite(Int32 count)_x000D_
   at Microsoft AspNetCore Server Kestrel Core Internal Http HttpProtocol FirstWriteAsyncInternal(ReadOnlyMemory 1 data  CancellationToken cancellationToken)_x000D_
   at Microsoft AspNetCore Server Kestrel Core Internal Http HttpProtocol FirstWriteAsync(ReadOnlyMemory 1 data  CancellationToken cancellationToken)_x000D_
   at Microsoft AspNetCore Server Kestrel Core Internal Http HttpProtocol WritePipeAsync(ReadOnlyMemory 1 data  CancellationToken cancellationToken)_x000D_
   at Microsoft AspNetCore Server Kestrel Core Internal Http HttpResponseStream WriteAsync(Byte   buffer  Int32 offset  Int32 count  CancellationToken cancellationToken)_x000D_
   at Microsoft AspNetCore Http StreamCopyOperationInternal CopyToAsync(Stream source  Stream destination  Nullable 1 count  Int32 bufferSize  CancellationToken cancel)_x000D_
   at Microsoft AspNetCore Http SendFileFallback SendFileAsync(Stream destination  String filePath  Int64 offset  Nullable 1 count  CancellationToken cancellationToken)_x000D_
   at Microsoft AspNetCore Http SendFileResponseExtensions SendFileAsyncCore(HttpResponse response  String fileName  Int64 offset  Nullable 1 count  CancellationToken cancellationToken)_x000D_
   at Microsoft AspNetCore Mvc Infrastructure ResourceInvoker  InvokeNextResultFilterAsync g  Awaited 29 0 TFilter TFilterAsync (ResourceInvoker invoker  Task lastTask  State next  Scope scope  Object state  Boolean isCompleted)_x000D_
   at Microsoft AspNetCore Mvc Infrastructure ResourceInvoker Rethrow(ResultExecutedContextSealed context)_x000D_
   at Microsoft AspNetCore Mvc Infrastructure ResourceInvoker ResultNext TFilter TFilterAsync (State  next  Scope  scope  Object  state  Boolean  isCompleted)_x000D_
   at Microsoft AspNetCore Mvc Infrastructure ResourceInvoker  InvokeResultFilters g  Awaited 27 0(ResourceInvoker invoker  Task lastTask  State next  Scope scope  Object state  Boolean isCompleted)_x000D_
   at Microsoft AspNetCore Mvc Infrastructure ResourceInvoker  InvokeNextResourceFilter g  Awaited 24 0(ResourceInvoker invoker  Task lastTask  State next  Scope scope  Object state  Boolean isCompleted)_x000D_
   at Microsoft AspNetCore Mvc Infrastructure ResourceInvoker Rethrow(ResourceExecutedContextSealed context)_x000D_
   at Microsoft AspNetCore Mvc Infrastructure ResourceInvoker Next(State  next  Scope  scope  Object  state  Boolean  isCompleted)_x000D_
   at Microsoft AspNetCore Mvc Infrastructure ResourceInvoker  InvokeFilterPipelineAsync g  Awaited 19 0(ResourceInvoker invoker  Task lastTask  State next  Scope scope  Object state  Boolean isCompleted)_x000D_
   at Microsoft AspNetCore Mvc Infrastructure ResourceInvoker  InvokeAsync g  Awaited 17 0(ResourceInvoker invoker  Task task  IDisposable scope)_x000D_
   at Microsoft AspNetCore Routing EndpointMiddleware  Invoke g  AwaitRequestTask 6 0(Endpoint endpoint  Task requestTask  ILogger logger)_x000D_
   at Jellyfin Server Middleware ServerStartupMessageMiddleware Invoke(HttpContext httpContext  IServerApplicationHost serverApplicationHost  ILocalizationManager localizationManager)_x000D_
   at Jellyfin Server Middleware WebSocketHandlerMiddleware Invoke(HttpContext httpContext  IWebSocketManager webSocketManager)_x000D_
   at Jellyfin Server Middleware IpBasedAccessValidationMiddleware Invoke(HttpContext httpContext  INetworkManager networkManager)_x000D_
   at Jellyfin Server Middleware LanFilteringMiddleware Invoke(HttpContext httpContext  INetworkManager networkManager  IServerConfigurationManager serverConfigurationManager)_x000D_
   at Microsoft AspNetCore Authorization AuthorizationMiddleware Invoke(HttpContext context)_x000D_
   at Swashbuckle AspNetCore ReDoc ReDocMiddleware Invoke(HttpContext httpContext)_x000D_
   at Swashbuckle AspNetCore SwaggerUI SwaggerUIMiddleware Invoke(HttpContext httpContext)_x000D_
   at Swashbuckle AspNetCore Swagger SwaggerMiddleware Invoke(HttpContext httpContext  ISwaggerProvider swaggerProvider)_x000D_
   at Microsoft AspNetCore Authentication AuthenticationMiddleware Invoke(HttpContext context)_x000D_
   at Jellyfin Server Middleware RobotsRedirectionMiddleware Invoke(HttpContext httpContext)_x000D_
   at Jellyfin Server Middleware LegacyEmbyRouteRewriteMiddleware Invoke(HttpContext httpContext)_x000D_
   at Microsoft AspNetCore ResponseCompression ResponseCompressionMiddleware Invoke(HttpContext context)_x000D_
   at Jellyfin Server Middleware ResponseTimeMiddleware Invoke(HttpContext context)_x000D_
   at Jellyfin Server Middleware ExceptionMiddleware Invoke(HttpContext context)_x000D_
 2022 02 17 12:03:28 232  01:00   ERR  Connection id   0HMFI0KAN3QJQ    Request id   0HMFI0KAN3QJQ:00000007  : An unhandled exception was thrown by the application _x000D_
System InvalidOperationException: Response Content Length mismatch: too few bytes written (25 of 33) _x000D_
 2022 02 17 12:03:29 256  01:00   ERR  Error processing request  URL  GET    Videos e9083ae6cd99182fd6d8dbb62778a8d0 stream mkv  _x000D_
System InvalidOperationException: Response Content Length mismatch: too many bytes written (16384 of 33) _x000D_
   at Microsoft AspNetCore Server Kestrel Core Internal Http HttpProtocol ThrowTooManyBytesWritten(Int32 count)_x000D_
   at Microsoft AspNetCore Server Kestrel Core Internal Http HttpProtocol VerifyAndUpdateWrite(Int32 count)_x000D_
   at Microsoft AspNetCore Server Kestrel Core Internal Http HttpProtocol FirstWriteAsyncInternal(ReadOnlyMemory 1 data  CancellationToken cancellationToken)_x000D_
   at Microsoft AspNetCore Server Kestrel Core Internal Http HttpProtocol FirstWriteAsync(ReadOnlyMemory 1 data  CancellationToken cancellationToken)_x000D_
   at Microsoft AspNetCore Server Kestrel Core Internal Http HttpProtocol WritePipeAsync(ReadOnlyMemory 1 data  CancellationToken cancellationToken)_x000D_
   at Microsoft AspNetCore Server Kestrel Core Internal Http HttpResponseStream WriteAsync(Byte   buffer  Int32 offset  Int32 count  CancellationToken cancellationToken)_x000D_
   at Microsoft AspNetCore Http StreamCopyOperationInternal CopyToAsync(Stream source  Stream destination  Nullable 1 count  Int32 bufferSize  CancellationToken cancel)_x000D_
   at Microsoft AspNetCore Http SendFileFallback SendFileAsync(Stream destination  String filePath  Int64 offset  Nullable 1 count  CancellationToken cancellationToken)_x000D_
   at Microsoft AspNetCore Http SendFileResponseExtensions SendFileAsyncCore(HttpResponse response  String fileName  Int64 offset  Nullable 1 count  CancellationToken cancellationToken)_x000D_
   at Microsoft AspNetCore Mvc Infrastructure ResourceInvoker  InvokeNextResultFilterAsync g  Awaited 29 0 TFilter TFilterAsync (ResourceInvoker invoker  Task lastTask  State next  Scope scope  Object state  Boolean isCompleted)_x000D_
   at Microsoft AspNetCore Mvc Infrastructure ResourceInvoker Rethrow(ResultExecutedContextSealed context)_x000D_
   at Microsoft AspNetCore Mvc Infrastructure ResourceInvoker ResultNext TFilter TFilterAsync (State  next  Scope  scope  Object  state  Boolean  isCompleted)_x000D_
   at Microsoft AspNetCore Mvc Infrastructure ResourceInvoker  InvokeResultFilters g  Awaited 27 0(ResourceInvoker invoker  Task lastTask  State next  Scope scope  Object state  Boolean isCompleted)_x000D_
   at Microsoft AspNetCore Mvc Infrastructure ResourceInvoker  InvokeNextResourceFilter g  Awaited 24 0(ResourceInvoker invoker  Task lastTask  State next  Scope scope  Object state  Boolean isCompleted)_x000D_
   at Microsoft AspNetCore Mvc Infrastructure ResourceInvoker Rethrow(ResourceExecutedContextSealed context)_x000D_
   at Microsoft AspNetCore Mvc Infrastructure ResourceInvoker Next(State  next  Scope  scope  Object  state  Boolean  isCompleted)_x000D_
   at Microsoft AspNetCore Mvc Infrastructure ResourceInvoker  InvokeFilterPipelineAsync g  Awaited 19 0(ResourceInvoker invoker  Task lastTask  State next  Scope scope  Object state  Boolean isCompleted)_x000D_
   at Microsoft AspNetCore Mvc Infrastructure ResourceInvoker  InvokeAsync g  Awaited 17 0(ResourceInvoker invoker  Task task  IDisposable scope)_x000D_
   at Microsoft AspNetCore Routing EndpointMiddleware  Invoke g  AwaitRequestTask 6 0(Endpoint endpoint  Task requestTask  ILogger logger)_x000D_
   at Jellyfin Server Middleware ServerStartupMessageMiddleware Invoke(HttpContext httpContext  IServerApplicationHost serverApplicationHost  ILocalizationManager localizationManager)_x000D_
   at Jellyfin Server Middleware WebSocketHandlerMiddleware Invoke(HttpContext httpContext  IWebSocketManager webSocketManager)_x000D_
   at Jellyfin Server Middleware IpBasedAccessValidationMiddleware Invoke(HttpContext httpContext  INetworkManager networkManager)_x000D_
   at Jellyfin Server Middleware LanFilteringMiddleware Invoke(HttpContext httpContext  INetworkManager networkManager  IServerConfigurationManager serverConfigurationManager)_x000D_
   at Microsoft AspNetCore Authorization AuthorizationMiddleware Invoke(HttpContext context)_x000D_
   at Swashbuckle AspNetCore ReDoc ReDocMiddleware Invoke(HttpContext httpContext)_x000D_
   at Swashbuckle AspNetCore SwaggerUI SwaggerUIMiddleware Invoke(HttpContext httpContext)_x000D_
   at Swashbuckle AspNetCore Swagger SwaggerMiddleware Invoke(HttpContext httpContext  ISwaggerProvider swaggerProvider)_x000D_
   at Microsoft AspNetCore Authentication AuthenticationMiddleware Invoke(HttpContext context)_x000D_
   at Jellyfin Server Middleware RobotsRedirectionMiddleware Invoke(HttpContext httpContext)_x000D_
   at Jellyfin Server Middleware LegacyEmbyRouteRewriteMiddleware Invoke(HttpContext httpContext)_x000D_
   at Microsoft AspNetCore ResponseCompression ResponseCompressionMiddleware Invoke(HttpContext context)_x000D_
   at Jellyfin Server Middleware ResponseTimeMiddleware Invoke(HttpContext context)_x000D_
   at Jellyfin Server Middleware ExceptionMiddleware Invoke(HttpContext context)_x000D_
 2022 02 17 12:03:29 258  01:00   ERR  Connection id   0HMFI0KAN3QJR    Request id   0HMFI0KAN3QJR:00000007  : An unhandled exception was thrown by the application _x000D_
System InvalidOperationException: Response Content Length mismatch: too few bytes written (25 of 33) _x000D_
 2022 02 17 12:03:31 281  01:00   ERR  Error processing request  URL  GET    Videos e9083ae6cd99182fd6d8dbb62778a8d0 stream mkv  _x000D_
System InvalidOperationException: Response Content Length mismatch: too many bytes written (16384 of 33) _x000D_
   at Microsoft AspNetCore Server Kestrel Core Internal Http HttpProtocol ThrowTooManyBytesWritten(Int32 count)_x000D_
   at Microsoft AspNetCore Server Kestrel Core Internal Http HttpProtocol VerifyAndUpdateWrite(Int32 count)_x000D_
   at Microsoft AspNetCore Server Kestrel Core Internal Http HttpProtocol FirstWriteAsyncInternal(ReadOnlyMemory 1 data  CancellationToken cancellationToken)_x000D_
   at Microsoft AspNetCore Server Kestrel Core Internal Http HttpProtocol FirstWriteAsync(ReadOnlyMemory 1 data  CancellationToken cancellationToken)_x000D_
   at Microsoft AspNetCore Server Kestrel Core Internal Http HttpProtocol WritePipeAsync(ReadOnlyMemory 1 data  CancellationToken cancellationToken)_x000D_
   at Microsoft AspNetCore Server Kestrel Core Internal Http HttpResponseStream WriteAsync(Byte   buffer  Int32 offset  Int32 count  CancellationToken cancellationToken)_x000D_
   at Microsoft AspNetCore Http StreamCopyOperationInternal CopyToAsync(Stream source  Stream destination  Nullable 1 count  Int32 bufferSize  CancellationToken cancel)_x000D_
   at Microsoft AspNetCore Http SendFileFallback SendFileAsync(Stream destination  String filePath  Int64 offset  Nullable 1 count  CancellationToken cancellationToken)_x000D_
   at Microsoft AspNetCore Http SendFileResponseExtensions SendFileAsyncCore(HttpResponse response  String fileName  Int64 offset  Nullable 1 count  CancellationToken cancellationToken)_x000D_
   at Microsoft AspNetCore Mvc Infrastructure ResourceInvoker  InvokeNextResultFilterAsync g  Awaited 29 0 TFilter TFilterAsync (ResourceInvoker invoker  Task lastTask  State next  Scope scope  Object state  Boolean isCompleted)_x000D_
   at Microsoft AspNetCore Mvc Infrastructure ResourceInvoker Rethrow(ResultExecutedContextSealed context)_x000D_
   at Microsoft AspNetCore Mvc Infrastructure ResourceInvoker ResultNext TFilter TFilterAsync (State  next  Scope  scope  Object  state  Boolean  isCompleted)_x000D_
   at Microsoft AspNetCore Mvc Infrastructure ResourceInvoker  InvokeResultFilters g  Awaited 27 0(ResourceInvoker invoker  Task lastTask  State next  Scope scope  Object state  Boolean isCompleted)_x000D_
   at Microsoft AspNetCore Mvc Infrastructure ResourceInvoker  InvokeNextResourceFilter g  Awaited 24 0(ResourceInvoker invoker  Task lastTask  State next  Scope scope  Object state  Boolean isCompleted)_x000D_
   at Microsoft AspNetCore Mvc Infrastructure ResourceInvoker Rethrow(ResourceExecutedContextSealed context)_x000D_
   at Microsoft AspNetCore Mvc Infrastructure ResourceInvoker Next(State  next  Scope  scope  Object  state  Boolean  isCompleted)_x000D_
   at Microsoft AspNetCore Mvc Infrastructure ResourceInvoker  InvokeFilterPipelineAsync g  Awaited 19 0(ResourceInvoker invoker  Task lastTask  State next  Scope scope  Object state  Boolean isCompleted)_x000D_
   at Microsoft AspNetCore Mvc Infrastructure ResourceInvoker  InvokeAsync g  Awaited 17 0(ResourceInvoker invoker  Task task  IDisposable scope)_x000D_
   at Microsoft AspNetCore Routing EndpointMiddleware  Invoke g  AwaitRequestTask 6 0(Endpoint endpoint  Task requestTask  ILogger logger)_x000D_
   at Jellyfin Server Middleware ServerStartupMessageMiddleware Invoke(HttpContext httpContext  IServerApplicationHost serverApplicationHost  ILocalizationManager localizationManager)_x000D_
   at Jellyfin Server Middleware WebSocketHandlerMiddleware Invoke(HttpContext httpContext  IWebSocketManager webSocketManager)_x000D_
   at Jellyfin Server Middleware IpBasedAccessValidationMiddleware Invoke(HttpContext httpContext  INetworkManager networkManager)_x000D_
   at Jellyfin Server Middleware LanFilteringMiddleware Invoke(HttpContext httpContext  INetworkManager networkManager  IServerConfigurationManager serverConfigurationManager)_x000D_
   at Microsoft AspNetCore Authorization AuthorizationMiddleware Invoke(HttpContext context)_x000D_
   at Swashbuckle AspNetCore ReDoc ReDocMiddleware Invoke(HttpContext httpContext)_x000D_
   at Swashbuckle AspNetCore SwaggerUI SwaggerUIMiddleware Invoke(HttpContext httpContext)_x000D_
   at Swashbuckle AspNetCore Swagger SwaggerMiddleware Invoke(HttpContext httpContext  ISwaggerProvider swaggerProvider)_x000D_
   at Microsoft AspNetCore Authentication AuthenticationMiddleware Invoke(HttpContext context)_x000D_
   at Jellyfin Server Middleware RobotsRedirectionMiddleware Invoke(HttpContext httpContext)_x000D_
   at Jellyfin Server Middleware LegacyEmbyRouteRewriteMiddleware Invoke(HttpContext httpContext)_x000D_
   at Microsoft AspNetCore ResponseCompression ResponseCompressionMiddleware Invoke(HttpContext context)_x000D_
   at Jellyfin Server Middleware ResponseTimeMiddleware Invoke(HttpContext context)_x000D_
   at Jellyfin Server Middleware ExceptionMiddleware Invoke(HttpContext context)_x000D_
 2022 02 17 12:03:31 283  01:00   ERR  Connection id   0HMFI0KAN3QJP    Request id   0HMFI0KAN3QJP:00000004  : An unhandled exception was thrown by the application _x000D_
System InvalidOperationException: Response Content Length mismatch: too few bytes written (25 of 33) _x000D_
_x000D_
_x000D_
Partial server logs OK:_x000D_
 2022 02 17 13:12:53 477  01:00   INF  GetPostedPlaybackInfo profile: DeviceProfile   Name:  AndroidTV libVLC      _x000D_
 2022 02 17 13:12:53 482  01:00   INF  User policy for  admin   EnablePlaybackRemuxing: True EnableVideoPlaybackTranscoding: True EnableAudioPlaybackTranscoding: True_x000D_
 2022 02 17 13:12:53 482  01:00   INF  Profile:  AndroidTV libVLC   Path:   data Movies The Birds mkv   isEligibleForDirectPlay: True  isEligibleForDirectStream: True_x000D_
 2022 02 17 13:12:53 483  01:00   INF  Profile:  AndroidTV libVLC   Path:   data Movies The Birds mkv   isEligibleForDirectPlay: True  isEligibleForDirectStream: True_x000D_
 2022 02 17 13:12:53 484  01:00   INF  Profile:  AndroidTV libVLC   Path:   data Movies The Birds mkv   isEligibleForDirectPlay: True  isEligibleForDirectStream: True_x000D_
 2022 02 17 13:12:53 564  01:00   INF  GetPostedPlaybackInfo profile: DeviceProfile   Name:  AndroidTV ExoPlayer        _x000D_
 2022 02 17 13:12:53 566  01:00   INF  User policy for  admin   EnablePlaybackRemuxing: True EnableVideoPlaybackTranscoding: True EnableAudioPlaybackTranscoding: True_x000D_
 2022 02 17 13:12:53 566  01:00   INF  Not eligible for DirectPlay due to unsupported subtitles_x000D_
 2022 02 17 13:12:53 566  01:00   INF  Not eligible for DirectStream due to unsupported subtitles_x000D_
 2022 02 17 13:12:53 566  01:00   INF  Profile:  AndroidTV ExoPlayer   Path:   data Movies The Birds mkv   isEligibleForDirectPlay: False  isEligibleForDirectStream: False_x000D_
 2022 02 17 13:12:53 567  01:00   INF  Not eligible for DirectPlay due to unsupported subtitles_x000D_
 2022 02 17 13:12:53 567  01:00   INF  Not eligible for DirectStream due to unsupported subtitles_x000D_
 2022 02 17 13:12:53 567  01:00   INF  Profile:  AndroidTV ExoPlayer   Path:   data Movies The Birds mkv   isEligibleForDirectPlay: False  isEligibleForDirectStream: False_x000D_
 2022 02 17 13:12:53 568  01:00   INF  Not eligible for DirectPlay due to unsupported subtitles_x000D_
 2022 02 17 13:12:53 568  01:00   INF  Not eligible for DirectStream due to unsupported subtitles_x000D_
 2022 02 17 13:12:53 568  01:00   INF  Profile:  AndroidTV ExoPlayer   Path:   data Movies The Birds mkv   isEligibleForDirectPlay: False  isEligibleForDirectStream: False_x000D_
 202</t>
  </si>
  <si>
    <t>Anuken-Mindustry-6581</t>
  </si>
  <si>
    <t>Mindustry crashing</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</si>
  <si>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Mindustry has crashed  How unfortunate _x000D_
Report this at https:  github com Anuken Mindustry issues new labels bug template bug report md_x000D_
_x000D_
Version: steam build 126 3_x000D_
OS: Windows 10 x64_x000D_
Java Version: 1 8 0 72_x000D_
Java Architecture: 64_x000D_
0 Mods_x000D_
_x000D_
java nio BufferUnderflowException_x000D_
	at java nio DirectByteBuffer get(DirectByteBuffer java:271)_x000D_
	at java nio ByteBuffer get(ByteBuffer java:715)_x000D_
	at mindustry io TypeIO readString(TypeIO java:546)_x000D_
	at mindustry net Packets ConnectPacket read(Packets java:192)_x000D_
	at mindustry net ArcNetProvider PacketSerializer read(ArcNetProvider java:345)_x000D_
	at mindustry desktop steam SNet 1 update(SNet java:59)_x000D_
	at arc backend sdl SdlApplication listen(SdlApplication java:160)_x000D_
	at arc backend sdl SdlApplication loop(SdlApplication java:148)_x000D_
	at arc backend sdl SdlApplication  init (SdlApplication java:44)_x000D_
	at mindustry desktop DesktopLauncher main(DesktopLauncher java:36)_x000D_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save zip (https:  github com Anuken Mindustry files 8084529 save zip)_x000D_
_x000D_
</t>
  </si>
  <si>
    <t>aws-amplify-aws-sdk-android-2802</t>
  </si>
  <si>
    <t>TransferNetworkLossHandler throws ConcurrentModificationException</t>
  </si>
  <si>
    <t xml:space="preserve">  Describe the bug  _x000D_
Here is a summary of the problem :_x000D_
1  Android app with support to upload metrics and images to S3_x000D_
1  At app startup  we scan our local storage for files to upload and start transfer for each file_x000D_
1  As each transfer completes our app deletes the file to keep local storage clear_x000D_
 _x000D_
The problem occurs when there is a network outage or no wifi connection on device   As the app is creating transfer requests the app crashes with following trace:_x000D_
 _x000D_
   _x000D_
2022 02 09 18:38:58 613 17329 17360 com amazon jackjack E AndroidRuntime: FATAL EXCEPTION: Thread 239_x000D_
    Process: com amazon jackjack  PID: 17329_x000D_
    java util ConcurrentModificationException_x000D_
        at java util HashMap HashIterator nextEntry(HashMap java:787)_x000D_
        at java util HashMap ValueIterator next(HashMap java:819)_x000D_
        at java util Collections UnmodifiableCollection 1 next(Collections java:960)_x000D_
        at com amazonaws mobileconnectors s3 transferutility TransferNetworkLossHandler pauseAllTransfersDueToNetworkInterruption(TransferNetworkLossHandler java:212)_x000D_
        at com amazonaws mobileconnectors s3 transferutility TransferNetworkLossHandler access 100(TransferNetworkLossHandler java:37)_x000D_
        at com amazonaws mobileconnectors s3 transferutility TransferNetworkLossHandler 1 run(TransferNetworkLossHandler java:125)_x000D_
        at java lang Thread run(Thread java:818)_x000D_
   _x000D_
 _x000D_
 _x000D_
It looks like a problem inside TransferNetworkLossHandler pauseAllTransfersDueToNetworkInterruption :_x000D_
 _x000D_
    private synchronized void pauseAllTransfersDueToNetworkInterruption()  _x000D_
        for (final TransferRecord transferRecord : updater getTransfers() values())  _x000D_
            final AmazonS3 s3   S3ClientReference get( transferRecord id (http:  transferrecord id )) _x000D_
            if (s3    null    _x000D_
                transferRecord    null    _x000D_
                transferRecord pauseIfRequiredForNetworkInterruption(s3  updater  connManager))  _x000D_
                updater updateState( transferRecord id (http:  transferrecord id )  TransferState WAITING FOR NETWORK) _x000D_
             _x000D_
         _x000D_
     _x000D_
 _x000D_
The for loop iterator  updater getTransfers() values()  must fail if the transfer list is updated during the conversion in TransferStatusUpdater getTransfers :_x000D_
 _x000D_
    synchronized Map Integer  TransferRecord  getTransfers()  _x000D_
        return Collections unmodifiableMap(transfers) _x000D_
     _x000D_
 _x000D_
During the time it crashes  there are transfers being created from the metrics or POD directories so it does seem like a timing issue   I don t see how we can protect against this problem though as it happens in other threads so we can t catch the exception _x000D_
_x000D_
  To Reproduce  _x000D_
A code sample or steps:_x000D_
   _x000D_
Your code_x000D_
   _x000D_
_x000D_
  Which AWS service(s) are affected   _x000D_
Storage_x000D_
_x000D_
  Expected behavior  _x000D_
No exception_x000D_
_x000D_
  Screenshots  _x000D_
If applicable  add screenshots to help explain your problem _x000D_
_x000D_
  Environment Information (please complete the following information):  _x000D_
   AWS Android SDK Version: 2 16 x_x000D_
   Device:  e g  Pixel XL  Simulator _x000D_
   Android Version:  e g  Nougat 7 1 2 _x000D_
   Specific to simulators:  e g  Yes No _x000D_
_x000D_
  Additional context  _x000D_
Add any other context about the problem here _x000D_
</t>
  </si>
  <si>
    <t>inaturalist-iNaturalistAndroid-1186</t>
  </si>
  <si>
    <t>CursorWindowAllocationException in INaturalistService.getTotalProgressForObservation</t>
  </si>
  <si>
    <t xml:space="preserve">https:  console firebase google com u 1 project inaturalist ios crashlytics app android:org inaturalist android issues 8c870eff67bb6a282d1960a9a8f44810_x000D_
_x000D_
   _x000D_
Fatal Exception: android database CursorWindowAllocationException: Could not allocate CursorWindow   data user 0 org inaturalist android databases inaturalist db  of size 4194304 due to error  12 _x000D_
       at android database CursorWindow nativeCreate(CursorWindow java)_x000D_
       at android database CursorWindow  init (CursorWindow java:145)_x000D_
       at android database sqlite SQLiteCursor clearOrCreateWindow(SQLiteCursor java:319)_x000D_
       at android database sqlite SQLiteCursor fillWindow(SQLiteCursor java:159)_x000D_
       at android database sqlite SQLiteCursor getCount(SQLiteCursor java:152)_x000D_
       at android content ContentResolver query(ContentResolver java:970)_x000D_
       at android content ContentResolver query(ContentResolver java:887)_x000D_
       at android content ContentResolver query(ContentResolver java:843)_x000D_
       at org inaturalist android INaturalistService getTotalProgressForObservation(INaturalistService java:2483)_x000D_
       at org inaturalist android INaturalistService syncObservations(INaturalistService java:2333)_x000D_
       at org inaturalist android INaturalistService onHandleIntentWorker(INaturalistService java:2036)_x000D_
       at org inaturalist android INaturalistService 1 run(INaturalistService java:680)_x000D_
       at java lang Thread run(Thread java:919)_x000D_
   </t>
  </si>
  <si>
    <t>PojavLauncherTeam-PojavLauncher-2745</t>
  </si>
  <si>
    <t>[BUG] When i go to graphics settings, the game is crashing</t>
  </si>
  <si>
    <t xml:space="preserve">    Describe the bug
When i go to settings the game is crashing
    The log file and images videos
 latestlog txt (https:  github com PojavLauncherTeam PojavLauncher files 8079971 latestlog txt)_x000D_
    Steps To Reproduce
   markdown
1  Start PoJavLauncher_x000D_
2  Choose 1 13 0_x000D_
3  Go to settings_x000D_
4  Go to graphics settings_x000D_
5  Game is crashed
    Expected Behavior
I except to game to launch settings
    Platform
   markdown
  Device model: Xiaomi 9C 3 64G_x000D_
  CPU architecture: _x000D_
  Android version: 10_x000D_
  PojavLauncher version:
    Anything else 
 No response </t>
  </si>
  <si>
    <t>PojavLauncherTeam-PojavLauncher-2743</t>
  </si>
  <si>
    <t>[BUG] Fix My Minecraft...</t>
  </si>
  <si>
    <t xml:space="preserve">    Describe the bug_x000D_
_x000D_
I m trying to use   1 18   for the second time   AFTER   fixing the  assets v0  but when I clicked   Play Anyways   the game exits  When I click okay instead  it showed me the  Storage Permission Required  error a few times  and then it just exits after that _x000D_
_x000D_
    The log file and images videos_x000D_
_x000D_
   _x000D_
java lang RuntimeException: Unable to instantiate activity ComponentInfo net kdt pojavlaunch net kdt pojavlaunch MainActivity : java lang NullPointerException: Attempt to read from field  float android util DisplayMetrics density  on a null object reference at android app ActivityThread performLaunchActivity(ActivityThread java:3376) at android app ActivityThread handleLaunchActivity(ActivityThread java:3612) at android app servertransaction LaunchActivityItem execute(LaunchActivityItem java:85) at android app servertransaction TransactionExecutor executeCallbacks(TransactionExecutor java:135) at android app servertransaction TransactionExecutor execute(TransactionExecutor java:95) at android app ActivityThread H handleMessage(ActivityThread java:2077) at android os Handler dispatchMessage(Handler java:106) at android os Looper loop(Looper java:223) at android app ActivityThread main(ActivityThread java:7737) at java lang reflect Method invoke(Native Method) at com android internal os RuntimeInit MethodAndArgsCaller run(RuntimeInit java:592) at com android internal os ZygoteInit main(ZygoteInit java:954) Caused by: java lang NullPointerException: Attempt to read from field  float android util DisplayMetrics density  on a null object reference at net kdt pojavlaunch Tools dpToPx(Tools java:386) at net kdt pojavlaunch BaseMainActivity  init (BaseMainActivity java:53) at net kdt pojavlaunch MainActivity  init (MainActivity java:18) at java lang Class newInstance(Native Method) at android app AppComponentFactory instantiateActivity(AppComponentFactory java:95) at androidx core app CoreComponentFactory instantiateActivity(CoreComponentFactory java:45) at android app Instrumentation newActivity(Instrumentation java:1267) at android app ActivityThread performLaunchActivity(ActivityThread java:3364)     11 more_x000D_
   _x000D_
_x000D_
 latestlog txt (https:  github com PojavLauncherTeam PojavLauncher files 8076244 latestlog txt)_x000D_
_x000D_
    Steps To Reproduce_x000D_
_x000D_
   markdown_x000D_
I m not sure if this is how to do it   _x000D_
_x000D_
1  Open pojavLauncher and sign in_x000D_
2  Do the 1 18 fix_x000D_
3  Get fabric_x000D_
4  Install fabric 1 18_x000D_
5  Select OK on the pop up as Play Anyway still brake_x000D_
5  Error_x000D_
   _x000D_
_x000D_
_x000D_
    Expected Behavior_x000D_
_x000D_
I expect the game to launch and  not insta crash_x000D_
_x000D_
    Platform_x000D_
_x000D_
   markdown_x000D_
  Device model: R96 14268 67 0_x000D_
  CPU architecture: x86 64_x000D_
  Android version: 11_x000D_
  PojavLauncher version: crocus v3 openjdk_x000D_
   _x000D_
_x000D_
_x000D_
    Anything else _x000D_
_x000D_
I m using fabric 1 18 on version 12 12 with VGPU render  ill try ZLink tho_x000D_
_x000D_
EDIT: ZLink dose not work</t>
  </si>
  <si>
    <t>canyie-pine-25</t>
  </si>
  <si>
    <t>Regression: Null Pointer deref in GrapheneOs Android 12</t>
  </si>
  <si>
    <t xml:space="preserve">This crash doesn t occur before https:  github com canyie pine commit 16b552021f20220a6f0f8841c83da0cbb8874230  so one of the commits since then causes this_x000D_
_x000D_
Model: Pixel 4a sunfish_x000D_
Android version: 12_x000D_
Build number: SQ1A 220205 002 2022021415 (GrapheneOs) _x000D_
_x000D_
   _x000D_
02 15 18:44:12 011 10336 10336 F DEBUG   :                                                                _x000D_
02 15 18:44:12 011 10336 10336 F DEBUG   : Build fingerprint:  google sunfish sunfish:12 SQ1A 220205 002 2022021415:user release keys _x000D_
02 15 18:44:12 012 10336 10336 F DEBUG   : Revision:  MP1 0 _x000D_
02 15 18:44:12 012 10336 10336 F DEBUG   : ABI:  arm64 _x000D_
02 15 18:44:12 012 10336 10336 F DEBUG   : Timestamp: 2022 02 15 18:44:11 651946157 0500_x000D_
02 15 18:44:12 012 10336 10336 F DEBUG   : Process uptime: 0s_x000D_
02 15 18:44:12 012 10336 10336 F DEBUG   : Cmdline: com aliucord_x000D_
02 15 18:44:12 012 10336 10336 F DEBUG   : pid: 10217  tid: 10217  name: com aliucord      com aliucord    _x000D_
02 15 18:44:12 012 10336 10336 F DEBUG   : uid: 10236_x000D_
02 15 18:44:12 012 10336 10336 F DEBUG   : signal 11 (SIGSEGV)  code 1 (SEGV MAPERR)  fault addr 0x0_x000D_
02 15 18:44:12 012 10336 10336 F DEBUG   : Cause: null pointer dereference_x000D_
02 15 18:44:12 012 10336 10336 F DEBUG   :     x0  0000e5bc14b934f0  x1  0000d7ebb2e4864c  x2  0000000000000000  x3  0000000000000000_x000D_
02 15 18:44:12 012 10336 10336 F DEBUG   :     x4  0000000000000000  x5  0000000000000000  x6  0000000000000000  x7  00000000ffffffff_x000D_
02 15 18:44:12 012 10336 10336 F DEBUG   :     x8  0000000000000000  x9  0000000000000000  x10 0000e5bc14b93409  x11 0000e5bc14b934f0_x000D_
02 15 18:44:12 012 10336 10336 F DEBUG   :     x12 0000e5bc14b93638  x13 0000e5bc14b9344c  x14 0000d7ebb2e188fc  x15 0000000000000000_x000D_
02 15 18:44:12 012 10336 10336 F DEBUG   :     x16 0000d7ebb3413648  x17 0000d81f282915d0  x18 0000d81f3a4e2000  x19 0000000000000000_x000D_
02 15 18:44:12 012 10336 10336 F DEBUG   :     x20 0000000000000000  x21 b400d8052dabe200  x22 b400d80ac7e83400  x23 0000e5bc14b93630_x000D_
02 15 18:44:12 012 10336 10336 F DEBUG   :     x24 0000e5bc14b93648  x25 0000e5bc14b93664  x26 0000000000000000  x27 0000d7ebb3617000_x000D_
02 15 18:44:12 012 10336 10336 F DEBUG   :     x28 0000000000000000  x29 0000e5bc14b93480_x000D_
02 15 18:44:12 012 10336 10336 F DEBUG   :     lr  0000d7ebb2e24bdc  sp  0000e5bc14b932d0  pc  0000d7ebb2e487b0  pst 0000000080000000_x000D_
02 15 18:44:12 012 10336 10336 F DEBUG   : backtrace:_x000D_
02 15 18:44:12 012 10336 10336 F DEBUG   :        00 pc 00000000002487b0   apex com android art lib64 libart so (void art::interpreter::ExecuteSwitchImplCpp true  false (art::interpreter::SwitchImplContext ) 356) (BuildId: a27082b324a4ccea3b51ca05f5518733)_x000D_
02 15 18:44:12 012 10336 10336 F DEBUG   :        01 pc 0000000000224bd8   apex com android art lib64 libart so (ExecuteSwitchImplAsm 8) (BuildId: a27082b324a4ccea3b51ca05f5518733)_x000D_
02 15 18:44:12 012 10336 10336 F DEBUG   :        02 pc 00000000003dad2c   apex com android art lib64 libart so (art::interpreter::ExecuteSwitch(art::Thread   art::CodeItemDataAccessor const   art::ShadowFrame   art::JValue  bool) 300) (BuildId: a27082b324a4ccea3b51ca05f5518733)_x000D_
02 15 18:44:12 012 10336 10336 F DEBUG   :        03 pc 00000000003d32a0   apex com android art lib64 libart so (art::interpreter::Execute(art::Thread   art::CodeItemDataAccessor const   art::ShadowFrame   art::JValue  bool  bool) 216) (BuildId: a27082b324a4ccea3b51ca05f5518733)_x000D_
02 15 18:44:12 012 10336 10336 F DEBUG   :        04 pc 0000000000730d94   apex com android art lib64 libart so libart so (artQuickToInterpreterBridge 784) (BuildId: a27082b324a4ccea3b51ca05f5518733)_x000D_
02 15 18:44:12 012 10336 10336 F DEBUG   :        05 pc 0000000000222378   apex com android art lib64 libart so (art quick to interpreter bridge 88) (BuildId: a27082b324a4ccea3b51ca05f5518733)_x000D_
02 15 18:44:12 012 10336 10336 F DEBUG   :        06 pc 0000000000218964   apex com android art lib64 libart so (art quick invoke stub 548) (BuildId: a27082b324a4ccea3b51ca05f5518733)_x000D_
02 15 18:44:12 012 10336 10336 F DEBUG   :        07 pc 0000000000284080   apex com android art lib64 libart so (art::ArtMethod::Invoke(art::Thread   unsigned int   unsigned int  art::JValue   char const ) 184) (BuildId: a27082b324a4ccea3b51ca05f5518733)_x000D_
02 15 18:44:12 012 10336 10336 F DEBUG   :        08 pc 0000000000616460   apex com android art lib64 libart so libart so ( jobject  art::InvokeMethod (art::PointerSize)8 (art::ScopedObjectAccessAlreadyRunnable const    jobject    jobject    jobject   unsigned long) 1392) (BuildId: a27082b324a4ccea3b51ca05f5518733)_x000D_
02 15 18:44:12 012 10336 10336 F DEBUG   :        09 pc 000000000058932c   apex com android art lib64 libart so libart so (art::Method invoke( JNIEnv    jobject    jobject    jobjectArray ) 52) (BuildId: a27082b324a4ccea3b51ca05f5518733)_x000D_
02 15 18:44:12 012 10336 10336 F DEBUG   :        10 pc 00000000000b2f74   apex com android art javalib arm64 boot oat (art jni trampoline 132) (BuildId: 31c635edc264c8f81d13c0174b92a1bb14cd7f64)_x000D_
02 15 18:44:12 012 10336 10336 F DEBUG   :        11 pc 000000000326d90c   data app   WZ A4sBovS6J0CiAgvURdQ   com aliucord YuRA3Zku8l6YrAkAjdZT w   oat arm64 base odex (top canyie pine Pine handleCall 1228)_x000D_
02 15 18:44:12 012 10336 10336 F DEBUG   :        12 pc 0000000003273170   data app   WZ A4sBovS6J0CiAgvURdQ   com aliucord YuRA3Zku8l6YrAkAjdZT w   oat arm64 base odex (top canyie pine entry Arm64Entry handleBridge 2416)_x000D_
02 15 18:44:12 012 10336 10336 F DEBUG   :        13 pc 00000000032733e4   data app   WZ A4sBovS6J0CiAgvURdQ   com aliucord YuRA3Zku8l6YrAkAjdZT w   oat arm64 base odex (top canyie pine entry Arm64Entry voidBridge 36)_x000D_
02 15 18:44:12 012 10336 10336 F DEBUG   :        14 pc 0000000000218964   apex com android art lib64 libart so (art quick invoke stub 548) (BuildId: a27082b324a4ccea3b51ca05f5518733)_x000D_
02 15 18:44:12 012 10336 10336 F DEBUG   :        15 pc 0000000000284080   apex com android art lib64 libart so (art::ArtMethod::Invoke(art::Thread   unsigned int   unsigned int  art::JValue   char const ) 184) (BuildId: a27082b324a4ccea3b51ca05f5518733)_x000D_
02 15 18:44:12 012 10336 10336 F DEBUG   :        16 pc 0000000000571ce8   apex com android art lib64 libart so libart so (art::Class newInstance( JNIEnv    jobject ) 716) (BuildId: a27082b324a4ccea3b51ca05f5518733)_x000D_
02 15 18:44:12 012 10336 10336 F DEBUG   :        17 pc 00000000000ab1cc   apex com android art javalib arm64 boot oat (art jni trampoline 92) (BuildId: 31c635edc264c8f81d13c0174b92a1bb14cd7f64)_x000D_
02 15 18:44:12 012 10336 10336 F DEBUG   :        18 pc 0000000000212520   apex com android art lib64 libart so (nterp helper 4016) (BuildId: a27082b324a4ccea3b51ca05f5518733)_x000D_
02 15 18:44:12 012 10336 10336 F DEBUG   :        19 pc 0000000000015232   anon:dalvik classes dex extracted in memory from  data user 0 com aliucord code cache Aliucord zip  (com aliucord PluginManager loadPlugin 290)_x000D_
02 15 18:44:12 012 10336 10336 F DEBUG   :        20 pc 00000000002115a4   apex com android art lib64 libart so (nterp helper 52) (BuildId: a27082b324a4ccea3b51ca05f5518733)_x000D_
02 15 18:44:12 012 10336 10336 F DEBUG   :        21 pc 0000000000014c2a   anon:dalvik classes dex extracted in memory from  data user 0 com aliucord code cache Aliucord zip  (com aliucord Main loadAllPlugins 122)_x000D_
02 15 18:44:12 012 10336 10336 F DEBUG   :        22 pc 00000000002115a4   apex com android art lib64 libart so (nterp helper 52) (BuildId: a27082b324a4ccea3b51ca05f5518733)_x000D_
02 15 18:44:12 012 10336 10336 F DEBUG   :        23 pc 0000000000014d06   anon:dalvik classes dex extracted in memory from  data user 0 com aliucord code cache Aliucord zip  (com aliucord Main preInit 38)_x000D_
02 15 18:44:12 012 10336 10336 F DEBUG   :        24 pc 0000000000218be8   apex com android art lib64 libart so (art quick invoke static stub 568) (BuildId: a27082b324a4ccea3b51ca05f5518733)_x000D_
02 15 18:44:12 012 10336 10336 F DEBUG   :        25 pc 000000000028409c   apex com android art lib64 libart so (art::ArtMethod::Invoke(art::Thread   unsigned int   unsigned int  art::JValue   char const ) 212) (BuildId: a27082b324a4ccea3b51ca05f5518733)_x000D_
02 15 18:44:12 012 10336 10336 F DEBUG   :        26 pc 0000000000616460   apex com android art lib64 libart so libart so ( jobject  art::InvokeMethod (art::PointerSize)8 (art::ScopedObjectAccessAlreadyRunnable const    jobject    jobject    jobject   unsigned long) 1392) (BuildId: a27082b324a4ccea3b51ca05f5518733)_x000D_
02 15 18:44:12 012 10336 10336 F DEBUG   :        27 pc 000000000058932c   apex com android art lib64 libart so libart so (art::Method invoke( JNIEnv    jobject    jobject    jobjectArray ) 52) (BuildId: a27082b324a4ccea3b51ca05f5518733)_x000D_
02 15 18:44:12 012 10336 10336 F DEBUG   :        28 pc 00000000000b2f74   apex com android art javalib arm64 boot oat (art jni trampoline 132) (BuildId: 31c635edc264c8f81d13c0174b92a1bb14cd7f64)_x000D_
02 15 18:44:12 012 10336 10336 F DEBUG   :        29 pc 00000000007f50f0   data app   WZ A4sBovS6J0CiAgvURdQ   com aliucord YuRA3Zku8l6YrAkAjdZT w   oat arm64 base odex (com aliucord injector Injector init 2336)_x000D_
02 15 18:44:12 012 10336 10336 F DEBUG   :        30 pc 00000000007f3294   data app   WZ A4sBovS6J0CiAgvURdQ   com aliucord YuRA3Zku8l6YrAkAjdZT w   oat arm64 base odex (com aliucord injector Injector 1 beforeCall 148)_x000D_
02 15 18:44:12 012 10336 10336 F DEBUG   :        31 pc 000000000326d6b0   data app   WZ A4sBovS6J0CiAgvURdQ   com aliucord YuRA3Zku8l6YrAkAjdZT w   oat arm64 base odex (top canyie pine Pine handleCall 624)_x000D_
02 15 18:44:12 012 10336 10336 F DEBUG   :        32 pc 0000000003273170   data app   WZ A4sBovS6J0CiAgvURdQ   com aliucord YuRA3Zku8l6YrAkAjdZT w   oat arm64 base odex (top canyie pine entry Arm64Entry handleBridge 2416)_x000D_
02 15 18:44:12 012 10336 10336 F DEBUG   :        33 pc 00000000032733e4   data app   WZ A4sBovS6J0CiAgvURdQ   com aliucord YuRA3Zku8l6YrAkAjdZT w   oat arm64 base odex (top canyie pine entry Arm64Entry voidBridge 36)_x000D_
02 15 18:44:12 012 10336 10336 F DEBUG   :        34 pc 00000000004875f4   system framework arm64 boot framework oat (android app Activity performCreate 692) (BuildId: 91abc28b732b3458e43ddf501f3ef7c4c65bdb35)_x000D_
02 15 18:44:12 012 10336 10336 F DEBUG   :        35 pc 00000000001e4e44   system framework arm64 boot framework oat (android app Instrumentation callActivityOnCreate 84) (BuildId: 91abc28b732b3458e43ddf501f3ef7c4c65bdb35)_x000D_
02 15 18:44:12 012 10336 10336 F DEBUG   :        36 pc 00000000002d1cd0   system framework arm64 boot framework oat (android app ActivityThread performLaunchActivity 2880) (BuildId: 91abc28b732b3458e43ddf501f3ef7c4c65bdb35)_x000D_
02 15 18:44:12 012 10336 10336 F DEBUG   :        37 pc 00000000002d7c50   system framework arm64 boot framework oat (android app ActivityThread handleLaunchActivity 544) (BuildId: 91abc28b732b3458e43ddf501f3ef7c4c65bdb35)_x000D_
02 15 18:44:12 012 10336 10336 F DEBUG   :        38 pc 0000000000493368   system framework arm64 boot framework oat (android app servertransaction LaunchActivityItem execute 136) (BuildId: 91abc28b732b3458e43ddf501f3ef7c4c65bdb35)_x000D_
02 15 18:44:12 012 10336 10336 F DEBUG   :        39 pc 000000000020e958   system framework arm64 boot framework oat (android app servertransaction TransactionExecutor executeCallbacks 1944) (BuildId: 91abc28b732b3458e43ddf501f3ef7c4c65bdb35)_x000D_
02 15 18:44:12 012 10336 10336 F DEBUG   :        40 pc 000000000020e108   system framework arm64 boot framework oat (android app servertransaction TransactionExecutor execute 984) (BuildId: 91abc28b732b3458e43ddf501f3ef7c4c65bdb35)_x000D_
02 15 18:44:12 012 10336 10336 F DEBUG   :        41 pc 00000000002bc27c   system framework arm64 boot framework oat (android app ActivityThread H handleMessage 1388) (BuildId: 91abc28b732b3458e43ddf501f3ef7c4c65bdb35)_x000D_
02 15 18:44:12 012 10336 10336 F DEBUG   :        42 pc 00000000004f1e0c   system framework arm64 boot framework oat (android os Handler dispatchMessage 188) (BuildId: 91abc28b732b3458e43ddf501f3ef7c4c65bdb35)_x000D_
02 15 18:44:12 012 10336 10336 F DEBUG   :        43 pc 00000000004f4cbc   system framework arm64 boot framework oat (android os Looper loopOnce 1036) (BuildId: 91abc28b732b3458e43ddf501f3ef7c4c65bdb35)_x000D_
02 15 18:44:12 012 10336 10336 F DEBUG   :        44 pc 00000000004f4814   system framework arm64 boot framework oat (android os Looper loop 516) (BuildId: 91abc28b732b3458e43ddf501f3ef7c4c65bdb35)_x000D_
02 15 18:44:12 012 10336 10336 F DEBUG   :        45 pc 00000000002d05dc   system framework arm64 boot framework oat (android app ActivityThread main 732) (BuildId: 91abc28b732b3458e43ddf501f3ef7c4c65bdb35)_x000D_
02 15 18:44:12 012 10336 10336 F DEBUG   :        46 pc 0000000000218be8   apex com android art lib64 libart so (art quick invoke static stub 568) (BuildId: a27082b324a4ccea3b51ca05f5518733)_x000D_
02 15 18:44:12 012 10336 10336 F DEBUG   :        47 pc 000000000028409c   apex com android art lib64 libart so (art::ArtMethod::Invoke(art::Thread   unsigned int   unsigned int  art::JValue   char const ) 212) (BuildId: a27082b324a4ccea3b51ca05f5518733)_x000D_
02 15 18:44:12 012 10336 10336 F DEBUG   :        48 pc 0000000000616460   apex com android art lib64 libart so libart so ( jobject  art::InvokeMethod (art::PointerSize)8 (art::ScopedObjectAccessAlreadyRunnable const    jobject    jobject    jobject   unsigned long) 1392) (BuildId: a27082b324a4ccea3b51ca05f5518733)_x000D_
02 15 18:44:12 012 10336 10336 F DEBUG   :        49 pc 000000000058932c   apex com android art lib64 libart so libart so (art::Method invoke( JNIEnv    jobject    jobject    jobjectArray ) 52) (BuildId: a27082b324a4ccea3b51ca05f5518733)_x000D_
02 15 18:44:12 012 10336 10336 F DEBUG   :        50 pc 00000000000b2f74   apex com android art javalib arm64 boot oat (art jni trampoline 132) (BuildId: 31c635edc264c8f81d13c0174b92a1bb14cd7f64)_x000D_
02 15 18:44:12 012 10336 10336 F DEBUG   :        51 pc 000000000081db2c   system framework arm64 boot framework oat (com android internal os RuntimeInit MethodAndArgsCaller run 140) (BuildId: 91abc28b732b3458e43ddf501f3ef7c4c65bdb35)_x000D_
02 15 18:44:12 012 10336 10336 F DEBUG   :        52 pc 0000000000213344   apex com android art lib64 libart so (nterp helper 7636) (BuildId: a27082b324a4ccea3b51ca05f5518733)_x000D_
02 15 18:44:12 012 10336 10336 F DEBUG   :        53 pc 000000000023ec58   system framework framework jar (com android internal os ExecInit main 88)_x000D_
02 15 18:44:12 012 10336 10336 F DEBUG   :        54 pc 0000000000218be8   apex com android art lib64 libart so (art quick invoke static stub 568) (BuildId: a27082b324a4ccea3b51ca05f5518733)_x000D_
02 15 18:44:12 012 10336 10336 F DEBUG   :        55 pc 000000000028409c   apex com android art lib64 libart so (art::ArtMethod::Invoke(art::Thread   unsigned int   unsigned int  art::JValue   char const ) 212) (BuildId: a27082b324a4ccea3b51ca05f5518733)_x000D_
02 15 18:44:12 012 10336 10336 F DEBUG   :        56 pc 0000000000616bb4   apex com android art lib64 libart so libart so (art::JValue art::InvokeWithVarArgs art::ArtMethod  (art::ScopedObjectAccessAlreadyRunnable const    jobject   art::ArtMethod   std::  va list) 448) (BuildId: a27082b324a4ccea3b51ca05f5518733)_x000D_
02 15 18:44:12 012 10336 10336 F DEBUG   :        57 pc 0000000000617080   apex com android art lib64 libart so libart so (art::JValue art::InvokeWithVarArgs  jmethodID  (art::ScopedObjectAccessAlreadyRunnable const    jobject    jmethodID   std::  va list) 92) (BuildId: a27082b324a4ccea3b51ca05f5518733)_x000D_
02 15 18:44:12 012 10336 10336 F DEBUG   :        58 pc 00000000004943e4   apex com android art lib64 libart so libart so (art::JNI false ::CallStaticVoidMethodV( JNIEnv    jclass    jmethodID   std::  va list) 608) (BuildId: a27082b324a4ccea3b51ca05f5518733)_x000D_
02 15 18:44:12 012 10336 10336 F DEBUG   :        59 pc 00000000000aead0   system lib64 libandroid runtime so ( JNIEnv::CallStaticVoidMethod( jclass    jmethodID      ) 120) (BuildId: bce1bef7a68eee8d6249316ee1d950e8)_x000D_
02 15 18:44:12 012 10336 10336 F DEBUG   :        60 pc 00000000000b6590   system lib64 libandroid runtime so (android::AndroidRuntime::callMain(android::String8 const    jclass   android::Vector android::String8  const ) 336) (BuildId: bce1bef7a68eee8d6249316ee1d950e8)_x000D_
02 15 18:44:12 012 10336 10336 F DEBUG   :        61 pc 0000000000002970   system bin app process64 (android::AppRuntime::onStarted() 68) (BuildId: c310efd88e423b9def9ef49470415443)_x000D_
02 15 18:44:12 012 10336 10336 F DEBUG   :        62 pc 000000000018dba8   system framework arm64 boot framework oat (art jni trampoline 88) (BuildId: 91abc28b732b3458e43ddf501f3ef7c4c65bdb35)_x000D_
02 15 18:44:12 012 10336 10336 F DEBUG   :        63 pc 0000000000211608   apex com android art lib64 libart so (nterp helper 152) (BuildId: a27082b324a4ccea3b51ca05f5518733)_x000D_
02 15 18:44:12 012 10336 10336 F DEBUG   :        64 pc 000000000024be70   system framework framework jar (com android internal os RuntimeInit main 48)_x000D_
02 15 18:44:12 012 10336 10336 F DEBUG   :        65 pc 0000000000218be8   apex com android art lib64 libart so (art quick invoke static stub 568) (BuildId: a27082b324a4ccea3b51ca05f5518733)_x000D_
02 15 18:44:12 012 10336 10336 F DEBUG   :        66 pc 000000000028409c   apex com android art lib64 libart so (art::ArtMethod::Invoke(art::Thread   unsigned int   unsigned int  art::JValue   char const ) 212) (BuildId: a27082b324a4ccea3b51ca05f5518733)_x000D_
02 15 18:44:12 012 10336 10336 F DEBUG   :        67 pc 0000000000616bb4   apex com android art lib64 libart so libart so (art::JValue art::InvokeWithVarArgs art::ArtMethod  (art::ScopedObjectAccessAlreadyRunnable const    jobject   art::ArtMethod   std::  va list) 448) (BuildId: a27082b324a4ccea3b51ca05f5518733)_x000D_
02 15 18:44:12 012 10336 10336 F DEBUG   :        68 pc 0000000000617080   apex com android art lib64 libart so libart so (art::JValue art::InvokeWithVarArgs  jmethodID  (art::ScopedObjectAccessAlreadyRunnable const    jobject    jmethodID   std::  va list) 92) (BuildId: a27082b324a4ccea3b51ca05f5518733)_x000D_
02 15 18:44:12 012 10336 10336 F DEBUG   :        69 pc 00000000004943e4   apex com android art lib64 libart so libart so (art::JNI false ::CallStaticVoidMethodV( JNIEnv    jclass    jmethodID   std::  va list) 608) (BuildId: a27082b324a4ccea3b51ca05f5518733)_x000D_
02 15 18:44:12 012 10336 10336 F DEBUG   :        70 pc 00000000000aead0   system lib64 libandroid runtime so ( JNIEnv::CallStaticVoidMethod( jclass    jmethodID      ) 120) (BuildId: bce1bef7a68eee8d6249316ee1d950e8)_x000D_
02 15 18:44:12 012 10336 10336 F DEBUG   :        71 pc 00000000000ba004   system lib64 libandroid runtime so (android::AndroidRuntime::start(char const   android::Vector android::String8  const   bool) 828) (BuildId: bce1bef7a68eee8d6249316ee1d950e8)_x000D_
02 15 18:44:12 012 10336 10336 F DEBUG   :        72 pc 000000000000257c   system bin app process64 (main 1320) (BuildId: c310efd88e423b9def9ef49470415443)_x000D_
02 15 18:44:12 012 10336 10336 F DEBUG   :        73 pc 00000000000447f0   apex com android runtime lib64 bionic libc so (  libc init 96) (BuildId: b396b06c4dfca6e23e4e768ddd53c782)_x000D_
   </t>
  </si>
  <si>
    <t>cgeo-cgeo-12752</t>
  </si>
  <si>
    <t>SecurityException due to missing location permission</t>
  </si>
  <si>
    <t xml:space="preserve">    Describe your problem 
We have crash reports on Google Play (not related solely to 2022 02 13 but also earlier versions) for Android 12 which claim a crash due to missing location permission _x000D_
_x000D_
I suspect its specific to Android 12 as AFAIK the permissions are revoked by the system automatically after a certain time of non using the app  Only guessing though   but all reports are for Android 12 _x000D_
_x000D_
The fact  that it is listed as a crash makes me think we do not handle this situation gracefully  _x000D_
_x000D_
   _x000D_
io reactivex rxjava3 exceptions OnErrorNotImplementedException: _x000D_
  at io reactivex rxjava3 internal functions Functions OnErrorMissingConsumer accept (Functions java:718)_x000D_
  at io reactivex rxjava3 internal functions Functions OnErrorMissingConsumer accept (Functions java:715)_x000D_
  at io reactivex rxjava3 internal observers LambdaObserver onError (LambdaObserver java:77)_x000D_
  at io reactivex rxjava3 internal operators observable ObservableObserveOn ObserveOnObserver checkTerminated (ObservableObserveOn java:282)_x000D_
  at io reactivex rxjava3 internal operators observable ObservableObserveOn ObserveOnObserver drainNormal (ObservableObserveOn java:173)_x000D_
  at io reactivex rxjava3 internal operators observable ObservableObserveOn ObserveOnObserver run (ObservableObserveOn java:256)_x000D_
  at io reactivex rxjava3 android schedulers HandlerScheduler ScheduledRunnable run (HandlerScheduler java:123)_x000D_
  at android os Handler handleCallback (Handler java:938)_x000D_
  at android os Handler dispatchMessage (Handler java:99)_x000D_
  at android os Looper loopOnce (Looper java:226)_x000D_
  at android os Looper loop (Looper java:313)_x000D_
  at android app ActivityThread main (ActivityThread java:8633)_x000D_
  at java lang reflect Method invoke (Native Method)_x000D_
  at com android internal os RuntimeInit MethodAndArgsCaller run (RuntimeInit java:567)_x000D_
  at com android internal os ZygoteInit main (ZygoteInit java:1135)_x000D_
Caused by: java lang SecurityException: _x000D_
  at android os Parcel createExceptionOrNull (Parcel java:2437)_x000D_
  at android os Parcel createException (Parcel java:2421)_x000D_
  at android os Parcel readException (Parcel java:2404)_x000D_
  at android os Parcel readException (Parcel java:2346)_x000D_
  at android location ILocationManager Stub Proxy registerGnssStatusCallback (ILocationManager java:1933)_x000D_
  at android location LocationManager GnssStatusTransportManager registerTransport (LocationManager java:2991)_x000D_
  at android location LocationManager GnssStatusTransportManager registerTransport (LocationManager java:2981)_x000D_
  at com android internal listeners ListenerTransportManager addListener (ListenerTransportManager java:70)_x000D_
  at android location LocationManager registerGnssStatusCallback (LocationManager java:2432)_x000D_
  at android location LocationManager registerGnssStatusCallback (LocationManager java:2413)_x000D_
  at android location LocationManager registerGnssStatusCallback (LocationManager java:2390)_x000D_
  at cgeo geocaching sensors GnssStatusProvider lambda createGNSSObservable 1 (GnssStatusProvider java:75)_x000D_
  at cgeo geocaching sensors    Lambda GnssStatusProvider Yz9zokRA8lesgjvy DdM1q5v uI subscribe (Unknown Source:2)_x000D_
  at io reactivex rxjava3 internal operators observable ObservableCreate subscribeActual (ObservableCreate java:41)_x000D_
  at io reactivex rxjava3 core Observable subscribe (Observable java:13176)_x000D_
  at io reactivex rxjava3 internal operators observable ObservableSubscribeOn SubscribeTask run (ObservableSubscribeOn java:96)_x000D_
  at io reactivex rxjava3 android schedulers HandlerScheduler ScheduledRunnable run (HandlerScheduler java:123)_x000D_
  at android os Handler handleCallback (Handler java:938)_x000D_
  at android os Handler dispatchMessage (Handler java:99)_x000D_
  at android os Looper loopOnce (Looper java:226)_x000D_
  at android os Looper loop (Looper java:313)_x000D_
  at android os HandlerThread run (HandlerThread java:67)_x000D_
Caused by: android os RemoteException: _x000D_
  at android app ContextImpl enforce (ContextImpl java:2273)_x000D_
  at android app ContextImpl enforceCallingOrSelfPermission (ContextImpl java:2301)_x000D_
  at com android server location gnss GnssManagerService registerGnssStatusCallback (GnssManagerService java:183)_x000D_
  at com android server location LocationManagerService registerGnssStatusCallback (LocationManagerService java:1389)_x000D_
  at android location ILocationManager Stub onTransact (ILocationManager java:854)_x000D_
    How to reproduce 
Unclear
    Actual result after these steps 
Crash
    Expected result after these steps 
Re apply location permission and ask the user accordingly
    Reproducible
Unclear
    c:geo Version
2022 02 13
    System information
   text
Android 12_x000D_
366 occurrences  16 users
    Additional Information
 No response </t>
  </si>
  <si>
    <t>Anuken-Mindustry-6578</t>
  </si>
  <si>
    <t>Two Gammas in my single player game</t>
  </si>
  <si>
    <t xml:space="preserve">  Platform  :  Android iOS Mac Windows Linux _x000D_
Android_x000D_
  Build  :  The build number under the title in the main menu  Required   LATEST  IS NOT A VERSION  I NEED THE EXACT BUILD NUMBER OF YOUR GAME  _x000D_
135_x000D_
  Issue  :  Explain your issue in detail  _x000D_
I have another Gamma in my team  and tried to build without any resourses  its annoying  i want to somehow stop it but i can t  or its a bug  or i am just stupid_x000D_
(There was an issue like this  but that was a bit different  i can t stop it  he could)_x000D_
  Steps to reproduce  :  How you happened across the issue  and what exactly you did to make the bug happen  _x000D_
1)Custom rules_x000D_
2)Player team:Crux_x000D_
   Enemy team:Sharded_x000D_
3)AI builds on_x000D_
4) Player team:Sharded_x000D_
    Enemy team:Crux_x000D_
5)Infinite resourses off_x000D_
6)AI Builds off_x000D_
_x000D_
  Link(s) to mod(s) used  :  The mod repositories or zip files that are related to the issue  if applicable  _x000D_
None_x000D_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 don t know how to import files on mobile on github :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Zero none nada_x000D_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</si>
  <si>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czlucius-code-scanner-34</t>
  </si>
  <si>
    <t>[Crash]: RuntimeException after onboarding</t>
  </si>
  <si>
    <t xml:space="preserve">    Steps to reproduce_x000D_
_x000D_
1  Clear data_x000D_
2  Open the app in portrait_x000D_
3  In the onboarding  rotate the screen  several  times_x000D_
4  Rotate to landscape_x000D_
5  Complete the onboarding_x000D_
_x000D_
    Expected behaviour_x000D_
_x000D_
App opens without issue_x000D_
_x000D_
    Actual behaviour_x000D_
_x000D_
App crashes_x000D_
_x000D_
    Device name_x000D_
_x000D_
Samsung Galaxy S20 FE 5G_x000D_
_x000D_
    Android version API Level_x000D_
_x000D_
Android 12_x000D_
_x000D_
    App version_x000D_
_x000D_
Built from source_x000D_
_x000D_
    Device crash logs_x000D_
   _x000D_
FATAL EXCEPTION: main_x000D_
Process: com czlucius scan debug  PID: 24287_x000D_
java lang RuntimeException: Unable to start activity ComponentInfo com czlucius scan debug com czlucius scan ui MainActivity : android view InflateException: Binary XML file line  26 in com czlucius scan debug:layout activity main: Binary XML file line  26 in com czlucius scan debug:layout activity main: Error inflating class fragment_x000D_
	at  android app ActivityThread performLaunchActivity(ActivityThread java:4037) (http:  android app ActivityThread performLaunchActivity(ActivityThread java:4037))_x000D_
	at  android app ActivityThread handleLaunchActivity(ActivityThread java:4203) (http:  android app ActivityThread handleLaunchActivity(ActivityThread java:4203))_x000D_
	at  android app ActivityThread handleRelaunchActivityInner(ActivityThread java:6340) (http:  android app ActivityThread handleRelaunchActivityInner(ActivityThread java:6340))_x000D_
	at  android app ActivityThread handleRelaunchActivity(ActivityThread java:6205) (http:  android app ActivityThread handleRelaunchActivity(ActivityThread java:6205))_x000D_
	at  android app servertransaction ActivityRelaunchItem execute(ActivityRelaunchItem java:71) (http:  android app servertransaction ActivityRelaunchItem execute(ActivityRelaunchItem java:71))_x000D_
	at  android app servertransaction ActivityTransactionItem execute(ActivityTransactionItem java:45) (http:  android app servertransaction ActivityTransactionItem execute(ActivityTransactionItem java:45))_x000D_
	at  android app servertransaction TransactionExecutor executeCallbacks(TransactionExecutor java:135) (http:  android app servertransaction TransactionExecutor executeCallbacks(TransactionExecutor java:135))_x000D_
	at  android app servertransaction TransactionExecutor execute(TransactionExecutor java:95) (http:  android app servertransaction TransactionExecutor execute(TransactionExecutor java:95))_x000D_
	at  android app ActivityThread H handleMessage(ActivityThread java:2440) (http:  android app ActivityThread H handleMessage(ActivityThread java:2440))_x000D_
	at  android os Handler dispatchMessage(Handler java:106) (http:  android os Handler dispatchMessage(Handler java:106))_x000D_
	at  android os Looper loopOnce(Looper java:226) (http:  android os Looper loopOnce(Looper java:226))_x000D_
	at  android os Looper loop(Looper java:313) (http:  android os Looper loop(Looper java:313))_x000D_
	at  android app ActivityThread main(ActivityThread java:8641) (http:  android app ActivityThread main(ActivityThread java:8641))_x000D_
	at java lang reflect Method invoke(Native Method)_x000D_
	at  com android internal os RuntimeInit MethodAndArgsCaller run(RuntimeInit java:567) (http:  com android internal os RuntimeInit MethodAndArgsCaller run(RuntimeInit java:567))_x000D_
	at  com android internal os ZygoteInit main(ZygoteInit java:1133) (http:  com android internal os ZygoteInit main(ZygoteInit java:1133))_x000D_
Caused by: android view InflateException: Binary XML file line  26 in com czlucius scan debug:layout activity main: Binary XML file line  26 in com czlucius scan debug:layout activity main: Error inflating class fragment_x000D_
Caused by: android view InflateException: Binary XML file line  26 in com czlucius scan debug:layout activity main: Error inflating class fragment_x000D_
Caused by: java lang NullPointerException: Attempt to invoke virtual method  int android view View getHeight()  on a null object reference_x000D_
	at  com czlucius scan ui ScannerFragment setMargins(ScannerFragment java:421) (http:  com czlucius scan ui ScannerFragment setMargins(ScannerFragment java:421))_x000D_
	at  com czlucius scan ui ScannerFragment permissionDeniedPermanently(ScannerFragment java:415) (http:  com czlucius scan ui ScannerFragment permissionDeniedPermanently(ScannerFragment java:415))_x000D_
	at  com czlucius scan ui ScannerFragment onRequestPermissionsResult(ScannerFragment java:294) (http:  com czlucius scan ui ScannerFragment onRequestPermissionsResult(ScannerFragment java:294))_x000D_
	at  androidx fragment app FragmentManager 11 onActivityResult(FragmentManager java:2967) (http:  androidx fragment app FragmentManager 11 onActivityResult(FragmentManager java:2967))_x000D_
	at  androidx fragment app FragmentManager 11 onActivityResult(FragmentManager java:2939) (http:  androidx fragment app FragmentManager 11 onActivityResult(FragmentManager java:2939))_x000D_
	at  androidx activity result ActivityResultRegistry doDispatch(ActivityResultRegistry java:392) (http:  androidx activity result ActivityResultRegistry doDispatch(ActivityResultRegistry java:392))_x000D_
	at  androidx activity result ActivityResultRegistry dispatchResult(ActivityResultRegistry java:351) (http:  androidx activity result ActivityResultRegistry dispatchResult(ActivityResultRegistry java:351))_x000D_
	at  androidx activity ComponentActivity onRequestPermissionsResult(ComponentActivity java:667) (http:  androidx activity ComponentActivity onRequestPermissionsResult(ComponentActivity java:667))_x000D_
	at  androidx fragment app FragmentActivity onRequestPermissionsResult(FragmentActivity java:636) (http:  androidx fragment app FragmentActivity onRequestPermissionsResult(FragmentActivity java:636))_x000D_
	at  android app Activity requestPermissions(Activity java:5355) (http:  android app Activity requestPermissions(Activity java:5355))_x000D_
	at  androidx core app ActivityCompat requestPermissions(ActivityCompat java:518) (http:  androidx core app ActivityCompat requestPermissions(ActivityCompat java:518))_x000D_
	at  androidx activity ComponentActivity 2 onLaunch(ComponentActivity java:189) (http:  androidx activity ComponentActivity 2 onLaunch(ComponentActivity java:189))_x000D_
	at  androidx activity result ActivityResultRegistry 3 launch(ActivityResultRegistry java:226) (http:  androidx activity result ActivityResultRegistry 3 launch(ActivityResultRegistry java:226))_x000D_
	at  androidx activity result ActivityResultLauncher launch(ActivityResultLauncher java:47) (http:  androidx activity result ActivityResultLauncher launch(ActivityResultLauncher java:47))_x000D_
	at  androidx fragment app FragmentManager launchRequestPermissions(FragmentManager java:3044) (http:  androidx fragment app FragmentManager launchRequestPermissions(FragmentManager java:3044))_x000D_
	at  androidx fragment app Fragment requestPermissions(Fragment java:1561) (http:  androidx fragment app Fragment requestPermissions(Fragment java:1561))_x000D_
	at  com czlucius scan ui ScannerFragment requestPm(ScannerFragment java:380) (http:  com czlucius scan ui ScannerFragment requestPm(ScannerFragment java:380))_x000D_
	at  com czlucius scan ui ScannerFragment onViewCreated(ScannerFragment java:242) (http:  com czlucius scan ui ScannerFragment onViewCreated(ScannerFragment java:242))_x000D_
	at  androidx fragment app Fragment performViewCreated(Fragment java:2987) (http:  androidx fragment app Fragment performViewCreated(Fragment java:2987))_x000D_
	at  androidx fragment app FragmentStateManager createView(FragmentStateManager java:546) (http:  androidx fragment app FragmentStateManager createView(FragmentStateManager java:546))_x000D_
	at  androidx fragment app FragmentStateManager moveToExpectedState(FragmentStateManager java:282) (http:  androidx fragment app FragmentStateManager moveToExpectedState(FragmentStateManager java:282))_x000D_
	at  androidx fragment app FragmentStore moveToExpectedState(FragmentStore java:112) (http:  androidx fragment app FragmentStore moveToExpectedState(FragmentStore java:112))_x000D_
	at  androidx fragment app FragmentManager moveToState(FragmentManager java:1647) (http:  androidx fragment app FragmentManager moveToState(FragmentManager java:1647))_x000D_
	at  androidx fragment app FragmentManager dispatchStateChange(FragmentManager java:3128) (http:  androidx fragment app FragmentManager dispatchStateChange(FragmentManager java:3128))_x000D_
	at  androidx fragment app FragmentManager dispatchViewCreated(FragmentManager java:3065) (http:  androidx fragment app FragmentManager dispatchViewCreated(FragmentManager java:3065))_x000D_
	at  androidx fragment app Fragment performViewCreated(Fragment java:2988) (http:  androidx fragment app Fragment performViewCreated(Fragment java:2988))_x000D_
	at  androidx fragment app FragmentStateManager ensureInflatedView(FragmentStateManager java:392) (http:  androidx fragment app FragmentStateManager ensureInflatedView(FragmentStateManager java:392))_x000D_
	at  androidx fragment app FragmentStateManager moveToExpectedState(FragmentStateManager java:281) (http:  androidx fragment app FragmentStateManager moveToExpectedState(FragmentStateManager java:281))_x000D_
	at  androidx fragment app FragmentLayoutInflaterFactory onCreateView(FragmentLayoutInflaterFactory java:140) (http:  androidx fragment app FragmentLayoutInflaterFactory onCreateView(FragmentLayoutInflaterFactory java:140))_x000D_
	at  androidx fragment app FragmentController onCreateView(FragmentController java:135) (http:  androidx fragment app FragmentController onCreateView(FragmentController java:135))_x000D_
	at  androidx fragment app FragmentActivity dispatchFragmentsOnCreateView(FragmentActivity java:319) (http:  androidx fragment app FragmentActivity dispatchFragmentsOnCreateView(FragmentActivity java:319))_x000D_
	at  androidx fragment app FragmentActivity onCreateView(FragmentActivity java:298) (http:  androidx fragment app FragmentActivity onCreateView(FragmentActivity java:298))_x000D_
	at  android view LayoutInflater tryCreateView(LayoutInflater java:1073) (http:  android view LayoutInflater tryCreateView(LayoutInflater java:1073))_x000D_
	at  android view LayoutInflater createViewFromTag(LayoutInflater java:1001) (http:  android view LayoutInflater createViewFromTag(LayoutInflater java:1001))_x000D_
	at  android view LayoutInflater createViewFromTag(LayoutInflater java:965) (http:  android view LayoutInflater createViewFromTag(LayoutInflater java:965))_x000D_
	at  android view LayoutInflater rInflate(LayoutInflater java:1127) (http:  android view LayoutInflater rInflate(LayoutInflater java:1127))_x000D_
	at  android view LayoutInflater rInflateChildren(LayoutInflater java:1088) (http:  android view LayoutInflater rInflateChildren(LayoutInflater java:1088))_x000D_
	at  android view LayoutInflater inflate(LayoutInflater java:686) (http:  android view LayoutInflater inflate(LayoutInflater java:686))_x000D_
	at  android view LayoutInflater inflate(LayoutInflater java:538) (http:  android view LayoutInflater inflate(LayoutInflater java:538))_x000D_
	at  com czlucius scan databinding ActivityMainBinding inflate(ActivityMainBinding java:44) (http:  com czlucius scan databinding ActivityMainBinding inflate(ActivityMainBinding java:44))_x000D_
	at  com czlucius scan databinding ActivityMainBinding inflate(ActivityMainBinding java:38) (http:  com czlucius scan databinding ActivityMainBinding inflate(ActivityMainBinding java:38))_x000D_
	at  com czlucius scan ui MainActivity onCreate(MainActivity java:46) (http:  com czlucius scan ui MainActivity onCreate(MainActivity java:46))_x000D_
	at  android app Activity performCreate(Activity java:8282) (http:  android app Activity performCreate(Activity java:8282))_x000D_
	at  android app Activity performCreate(Activity java:8262) (http:  android app Activity performCreate(Activity java:8262))_x000D_
	at  android app Instrumentation callActivityOnCreate(Instrumentation java:1329) (http:  android app Instrumentation callActivityOnCreate(Instrumentation java:1329))_x000D_
	at  android app ActivityThread performLaunchActivity(ActivityThread java:4011) (http:  android app ActivityThread performLaunchActivity(ActivityThread java:4011))_x000D_
	at  android app ActivityThread handleLaunchActivity(ActivityThread java:4203) (http:  android app ActivityThread handleLaunchActivity(ActivityThread java:4203))_x000D_
	at  android app ActivityThread handleRelaunchActivityInner(ActivityThread java:6340) (http:  android app ActivityThread handleRelaunchActivityInner(ActivityThread java:6340))_x000D_
	at  android app ActivityThread handleRelaunchActivity(ActivityThread java:6205) (http:  android app ActivityThread handleRelaunchActivity(ActivityThread java:6205))_x000D_
	at  android app servertransaction ActivityRelaunchItem execute(ActivityRelaunchItem java:71) (http:  android app servertransaction ActivityRelaunchItem execute(ActivityRelaunchItem java:71))_x000D_
	at  android app servertransaction ActivityTransactionItem execute(ActivityTransactionItem java:45) (http:  android app servertransaction ActivityTransactionItem execute(ActivityTransactionItem java:45))_x000D_
	at  android app servertransaction TransactionExecutor executeCallbacks(TransactionExecutor java:135) (http:  android app servertransaction TransactionExecutor executeCallbacks(TransactionExecutor java:135))_x000D_
	at  android app servertransaction TransactionExecutor execute(TransactionExecutor java:95) (http:  android app servertransaction TransactionExecutor execute(TransactionExecutor java:95))_x000D_
	at  android app ActivityThread H handleMessage(ActivityThread java:2440) (http:  android app ActivityThread H handleMessage(ActivityThread java:2440))_x000D_
	at  android os Handler dispatchMessage(Handler java:106) (http:  android os Handler dispatchMessage(Handler java:106))_x000D_
	at  android os Looper loopOnce(Looper java:226) (http:  android os Looper loopOnce(Looper java:226))_x000D_
	at  android os Looper loop(Looper java:313) (http:  android os Looper loop(Looper java:313))_x000D_
	at  android app ActivityThread main(ActivityThread java:8641) (http:  android app ActivityThread main(ActivityThread java:8641))_x000D_
	at java lang reflect Method invoke(Native Method)_x000D_
	at  com android internal os RuntimeInit MethodAndArgsCaller run(RuntimeInit java:567) (http:  com android internal os RuntimeInit MethodAndArgsCaller run(RuntimeInit java:567))_x000D_
	at  com android internal os ZygoteInit main(ZygoteInit java:1133) (http:  com android internal os ZygoteInit main(ZygoteInit java:1133))_x000D_
   _x000D_
    Additional information_x000D_
_x000D_
 No response </t>
  </si>
  <si>
    <t>PojavLauncherTeam-PojavLauncher-2737</t>
  </si>
  <si>
    <t>FML MODS BUG</t>
  </si>
  <si>
    <t xml:space="preserve">    Describe the bug
I am trying to play Mustard Virus modpack _x000D_
But it s not working and it crashes and says  core mods are present _x000D_
    The log file and images videos
          beggining with launcher debug_x000D_
Info: Launcher version: crocus v3 openjdk_x000D_
Info: LWJGL3 directory:  jsr305 jar  lwjgl glfw classes jar  lwjgl jemalloc jar  lwjgl openal jar  lwjgl opengl jar  lwjgl stb jar  lwjgl tinyfd jar  lwjgl jar  version _x000D_
Architecture: arm64_x000D_
Info: Custom Java arguments:   _x000D_
Info: Selected Minecraft version: 1 12 2 forge 14 23 5 2854 (1 12 2)_x000D_
Added custom env: TMPDIR  data user 0 net kdt pojavlaunch cache_x000D_
Added custom env: AWTSTUB WIDTH 1860_x000D_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Internal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runtimes Internal lib aarch64 jli: data user 0 net kdt pojavlaunch runtimes Internal lib aarch64: system lib64: vendor lib64: vendor lib64 hw: data app   AzZXDd B1 GW 16IWmb32A   net kdt pojavlaunch LgWiUis0ODHBXdK2Y0NyNw   lib arm64_x000D_
Added custom env: POJAV RENDERER opengles2_x000D_
Added custom env: LIBGL ES 2_x000D_
Added custom env: MESA LOADER DRIVER OVERRIDE zink_x000D_
Added custom env: MESA GLSL VERSION OVERRIDE 460_x000D_
Added custom env: JAVA HOME  data user 0 net kdt pojavlaunch runtimes Internal_x000D_
Added custom env: MESA GL VERSION OVERRIDE 4 6_x000D_
Added custom env: allow glsl extension directive midshader true_x000D_
Added custom env: REGAL GL RENDERER Regal_x000D_
Added custom env: AWTSTUB HEIGHT 864_x000D_
OpenJDK 64 Bit Server VM warning: No monotonic clock was available   timed services may be adversely affected if the time of day clock changes_x000D_
logcat: Unexpected EOF _x000D_
_x000D_
This means that either the device shut down  logd crashed  or this instance of logcat was unable to read log_x000D_
messages as quickly as they were being produced _x000D_
_x000D_
If you have enabled significant logging  look into using the  G option to increase log buffer sizes
    Steps To Reproduce
   markdown
Install the Mustard Virus Modpack _x000D_
Install Forge 1 12 2_x000D_
Open Pojav launcher_x000D_
Select Forge 1 12 2 Version_x000D_
Launch_x000D_
Game Exited_x000D_
Core mods are present
    Expected Behavior
I expect that mods don t work
    Platform
   markdown
  Device model: V2040(2040i)_x000D_
  CPU architecture: aarch 64_x000D_
  Android version: 11_x000D_
  PojavLauncher version: crocus v3 openjdk
    Anything else 
Please help me</t>
  </si>
  <si>
    <t>cgeo-cgeo-12745</t>
  </si>
  <si>
    <t>Crash on startup of 2022.02.13</t>
  </si>
  <si>
    <t xml:space="preserve">    Describe your problem 
A user on Google Play reports  that after updating to 2022 02 13 the app crashes on startup _x000D_
I asked the user to contact us via mail (ongoing)  but I was able to identify his crash report on Google Play as follows:_x000D_
_x000D_
   _x000D_
java lang ArithmeticException: _x000D_
  at cgeo geocaching LooperLogger getStats (LooperLogger java:79)_x000D_
  at cgeo geocaching LooperLogger process (LooperLogger java:66)_x000D_
  at cgeo geocaching LooperLogger lambda IQJlhstRB0ylWGjFWsOcbpEUIlc (LooperLogger java)_x000D_
  at cgeo geocaching    Lambda LooperLogger IQJlhstRB0ylWGjFWsOcbpEUIlc println (lambda)_x000D_
  at android os Looper loop (Looper java:175)_x000D_
  at android app ActivityThread main (ActivityThread java:6388)_x000D_
  at java lang reflect Method invoke (Native Method)_x000D_
  at com android internal os ZygoteInit MethodAndArgsCaller run (ZygoteInit java:930)_x000D_
  at com android internal os ZygoteInit main (ZygoteInit java:820)_x000D_
   _x000D_
_x000D_
At this moment its a single user problem only  User is on Xiaomi device running Android 7 1 (SDK25)
    How to reproduce 
Unclear 
    Actual result after these steps 
Crash on start
    Expected result after these steps 
Normal operation
    Reproducible
Unclear
    c:geo Version
2022 02 13
    System information
   text
Android 7 1  Xiaomi MI MAX 2
    Additional Information
 No response </t>
  </si>
  <si>
    <t>MuntashirAkon-AppManager-680</t>
  </si>
  <si>
    <t>Scanner gives false positive for libfb.so</t>
  </si>
  <si>
    <t xml:space="preserve">    _x000D_
Your issue will be closed without warning if you don t check at least two items _x000D_
   _x000D_
   x   I know what my device  OS and App Manager versions are_x000D_
      I know how to take logs_x000D_
    x  I know how to reproduce the issue which may not be specific to my device_x000D_
_x000D_
  Describe the bug  _x000D_
It seems the scanner function is falsely associating   libfb so   with   Facebook SDK   and thus deeming it a tracker  As far as we can tell this library actually comes from  react native (https:  github com facebook react native tree main ReactAndroid src main jni first party fb) and is a harmless part of the UI toolkit  This caused a bit of a stir because it is included in element  a privacy based messaging client for matrix   I tried to find a library with this name in the SDK but could not  although the generality of the name fb makes it difficult _x000D_
_x000D_
  To Reproduce  _x000D_
Steps to reproduce the behaviour:_x000D_
  Run scan on element matrix client for android_x000D_
  Expected behavior  _x000D_
A clear and concise description of what you expected to happen _x000D_
_x000D_
  Screenshots  _x000D_
  Screenshot 20220212 122816 App Manager (https:  user images githubusercontent com 21196529 154017431 9072acb9 fd63 4e7c 828c 4bb697a30976 png)_x000D_
_x000D_
  Crash logs  _x000D_
If applicable  add crash logs to help us figure out the problem _x000D_
_x000D_
  Device info  _x000D_
   Samsung J5_x000D_
   OS Version: LineageOS 16    Android 9_x000D_
   App Manager Version: v2 6 5 1_x000D_
_x000D_
  Additional context  _x000D_
I ran a PCap on the offending application for four to five hours and the network activity was completely clean_x000D_
_x000D_
</t>
  </si>
  <si>
    <t>inaturalist-iNaturalistAndroid-1185</t>
  </si>
  <si>
    <t>NullPointerException in ObservationViewerFragment.loadObservationIntoUI</t>
  </si>
  <si>
    <t xml:space="preserve">https:  console firebase google com u 1 project inaturalist ios crashlytics app android:org inaturalist android issues 4e3f172c13902a04fb1cf34fc70e6fc7_x000D_
_x000D_
   _x000D_
Fatal Exception: java lang NullPointerException: Attempt to read from field  java lang Integer org inaturalist android Observation id  on a null object reference_x000D_
       at org inaturalist android ObservationViewerFragment loadObservationIntoUI(ObservationViewerFragment java:1902)_x000D_
       at org inaturalist android ObservationViewerFragment onResume(ObservationViewerFragment java:655)_x000D_
   </t>
  </si>
  <si>
    <t>Anuken-Mindustry-6573</t>
  </si>
  <si>
    <t>Unit restriction bypass</t>
  </si>
  <si>
    <t xml:space="preserve">  Platform  :  Android iOS Mac Windows Linux _x000D_
_x000D_
Mac_x000D_
_x000D_
  Build  :  The build number under the title in the main menu  Required   LATEST  IS NOT A VERSION  I NEED THE EXACT BUILD NUMBER OF YOUR GAME  _x000D_
_x000D_
Pre alpha 135_x000D_
_x000D_
  Issue  :  Explain your issue in detail  _x000D_
_x000D_
Units put into reconstructors via logic or manual control can bypass unit restrictions _x000D_
_x000D_
  Steps to reproduce  :  How you happened across the issue  and what exactly you did to make the bug happen  _x000D_
_x000D_
Ban a certain unit  like a quad in this case  Use logic or put in the unit yourself  wait 1 min 30 sec and enjoy your illegal unit _x000D_
_x000D_
  Link(s) to mod(s) used  :  The mod repositories or zip files that are related to the issue  if applicable  _x000D_
_x000D_
no mods used_x000D_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img width  649  alt  Screen Shot 2022 02 14 at 1 56 26 PM  src  https:  user images githubusercontent com 88537252 153929122 aba8e01b 1d91 466d b91d 442f208f160a png  _x000D_
_x000D_
_x000D_
 img width  900  alt  Screen Shot 2022 02 14 at 1 56 50 PM  src  https:  user images githubusercontent com 88537252 153929111 5cd2db00 1456 40a6 806c 84343e97480d png  _x000D_
_x000D_
 bug msav zip (https:  github com Anuken Mindustry files 8063272 bug msav zip)_x000D_
_x000D_
  (Crash) logs  :  Either crash reports from the crash folder  or the file you get when you go into Settings    Game Data    Export Crash logs  REQUIRED if you are reporting a crash  _x000D_
_x000D_
not a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</si>
  <si>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hzi-braunschweig-SORMAS-Project-7982</t>
  </si>
  <si>
    <t>Campaign synchronization not working</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</si>
  <si>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The Android app installs correctly on the device but the following synchronization fails _x000D_
_x000D_
    Steps to Reproduce_x000D_
     Optional  please add more steps if necessary    _x000D_
First flow:_x000D_
1  on the server turn the Campaign feature to FALSE_x000D_
2  install a fresh Android app no existing data_x000D_
3  Sync   works fine_x000D_
4  on the server turn the Campaign feature to TRUE_x000D_
5  the synchronization works well but the server logs an error related to Campaign_x000D_
 serverLog   campaing sync issue txt (https:  github com hzi braunschweig SORMAS Project files 8059941 serverLog   campaing sync issue txt)_x000D_
6  On Android app go to Settings   Re synchronize data  Campaign feature is activated on Android app_x000D_
7  synchronization works randomly  during synchronization the server logs the same error as on step 5_x000D_
8  If a campaign is accessed the Android app crashes (due to Campaign issue)_x000D_
_x000D_
Second flow_x000D_
1  on the server turn the Campaign feature to TRUE_x000D_
2  install a fresh Android app no existing data_x000D_
3  The app starts but synchronization does not work   no data is synchronized_x000D_
_x000D_
    Expected Behavior_x000D_
     Optional    _x000D_
_x000D_
    Screenshots_x000D_
     Optional    _x000D_
 serverLog   campaing sync issue txt (https:  github com hzi braunschweig SORMAS Project files 8059941 serverLog   campaing sync issue txt)_x000D_
_x000D_
_x000D_
    System Details_x000D_
     Mandatory  you only have to specify the Server URL if the error appeared on a publicly available test server    _x000D_
  Device:_x000D_
  SORMAS version:1 69 0 SNAPSHOT_x000D_
  Android version Browser: 29_x000D_
  Server URL:_x000D_
  User Role: Surveillance Officer_x000D_
_x000D_
    Additional Information_x000D_
     Optional    _x000D_
</t>
  </si>
  <si>
    <t>aws-amplify-aws-sdk-android-2798</t>
  </si>
  <si>
    <t xml:space="preserve">android demo crash when reopening the application  </t>
  </si>
  <si>
    <t xml:space="preserve">  Describe the bug  _x000D_
android demo will be crash after reopen app_x000D_
_x000D_
  To Reproduce  _x000D_
1  follow  this (https:  docs aws amazon com kinesisvideostreams latest dg producer sdk android html)_x000D_
1  install app_x000D_
2  register and login_x000D_
3  exit app_x000D_
4  open app_x000D_
5  crash_x000D_
_x000D_
  Which AWS service(s) are affected   _x000D_
_x000D_
  Expected behavior  _x000D_
A clear and concise description of what you expected to happen _x000D_
_x000D_
  Screenshots  _x000D_
If applicable  add screenshots to help explain your problem _x000D_
_x000D_
  Environment Information:  _x000D_
   AWS Android SDK Version: 2 30  _x000D_
   Device: Vivo nex_x000D_
   Android Version: Android 10_x000D_
   Specific to simulators: No_x000D_
_x000D_
  Additional context  _x000D_
 20220214 log (https:  github com aws amplify aws sdk android files 8057753 20220214 log)_x000D_
_x000D_
</t>
  </si>
  <si>
    <t>lisawray-groupie-420</t>
  </si>
  <si>
    <t>[Crash] Crashes have occurred as a result of the use of groupie</t>
  </si>
  <si>
    <t xml:space="preserve">  Describe the bug  _x000D_
During the getItem call  we ( Audiomack (https:  audiomack com )) received two different crashes from your GroupUtils class  The first is an IndexOutOfBoundsException  while the second is a ConcurrentModificationException _x000D_
_x000D_
  Stack trace :   IndexOutOfBoundsException_x000D_
   _x000D_
Caused by java lang IndexOutOfBoundsException: Wanted item at 21 but there are only 20 items_x000D_
       at com xwray groupie GroupUtils getItem(GroupUtils java:20)_x000D_
       at com xwray groupie DiffCallback areItemsTheSame(DiffCallback java:34)_x000D_
       at androidx recyclerview widget DiffUtil backward(DiffUtil java:300)_x000D_
       at androidx recyclerview widget DiffUtil midPoint(DiffUtil java:202)_x000D_
       at androidx recyclerview widget DiffUtil calculateDiff(DiffUtil java:146)_x000D_
       at com xwray groupie DiffTask doInBackground 6f498465(DiffTask java:44)_x000D_
       at com xwray groupie DiffTask doInBackground(DiffTask java:18)_x000D_
       at android os AsyncTask 3 call(AsyncTask java:378)_x000D_
       at java util concurrent FutureTask run(FutureTask java:266)_x000D_
       at android os AsyncTask SerialExecutor 1 run(AsyncTask java:289)_x000D_
       at java util concurrent ThreadPoolExecutor runWorker(ThreadPoolExecutor java:1167)_x000D_
       at java util concurrent ThreadPoolExecutor Worker run(ThreadPoolExecutor java:641)_x000D_
       at java lang Thread run(Thread java:919)_x000D_
    _x000D_
  Stack trace :   ConcurrentModificationException_x000D_
   _x000D_
Caused by java util ConcurrentModificationException_x000D_
       at java util ArrayList Itr next(ArrayList java:860)_x000D_
       at com xwray groupie GroupUtils getItem(GroupUtils java:12)_x000D_
       at com xwray groupie DiffCallback areItemsTheSame(DiffCallback java:34)_x000D_
       at androidx recyclerview widget DiffUtil backward(DiffUtil java:300)_x000D_
       at androidx recyclerview widget DiffUtil midPoint(DiffUtil java:202)_x000D_
       at androidx recyclerview widget DiffUtil calculateDiff(DiffUtil java:146)_x000D_
       at com xwray groupie DiffTask doInBackground 6f498465(DiffTask java:44)_x000D_
       at com xwray groupie DiffTask doInBackground(DiffTask java:18)_x000D_
       at android os AsyncTask 2 call(AsyncTask java:333)_x000D_
       at java util concurrent FutureTask run(FutureTask java:266)_x000D_
       at android os AsyncTask SerialExecutor 1 run(AsyncTask java:245)_x000D_
       at java util concurrent ThreadPoolExecutor runWorker(ThreadPoolExecutor java:1162)_x000D_
       at java util concurrent ThreadPoolExecutor Worker run(ThreadPoolExecutor java:636)_x000D_
       at java lang Thread run(Thread java:764)_x000D_
   _x000D_
_x000D_
  To Reproduce  _x000D_
Not known because the problem is not locally reproducible  This crash is being reported to us via Firebase _x000D_
_x000D_
  Expected behavior  _x000D_
No crash expected _x000D_
_x000D_
  Library version  _x000D_
2 10 0_x000D_
_x000D_
_x000D_
</t>
  </si>
  <si>
    <t>PojavLauncherTeam-PojavLauncher-2731</t>
  </si>
  <si>
    <t>shutting down internal server bug</t>
  </si>
  <si>
    <t xml:space="preserve">    Describe the bug_x000D_
_x000D_
i downloaded the forge version of minecraft and i get an error when creating the world and the world crashes even without the mod_x000D_
_x000D_
this pops up when the world is created: shutting down internal server_x000D_
_x000D_
    The log file and images videos_x000D_
_x000D_
 latestlog txt (https:  github com PojavLauncherTeam PojavLauncher files 8054213 latestlog txt)_x000D_
_x000D_
_x000D_
    Steps To Reproduce_x000D_
_x000D_
   markdown_x000D_
1  I launched minecraft without mods on the forge version_x000D_
2  I create the world_x000D_
3  It ends up crashing with an error shutting down internal server  And the game closes_x000D_
   _x000D_
_x000D_
_x000D_
    Expected Behavior_x000D_
_x000D_
I expected the world to be normal_x000D_
_x000D_
    Platform_x000D_
_x000D_
   markdown_x000D_
  Device model: HUAWEI STK LX1_x000D_
  CPU architecture: 4x ARM Cortex A53_x000D_
  1709MHz  4x ARM Cortex A73 2189MHz_x000D_
  Android version: 10_x000D_
  PojavLauncher version: latest_x000D_
   _x000D_
_x000D_
_x000D_
    Anything else _x000D_
_x000D_
Reinstalling the app didn t help  </t>
  </si>
  <si>
    <t>TeamNewPipe-NewPipe-7865</t>
  </si>
  <si>
    <t>NewPipe crashes when used on external screen/vendor specific screen-sharing (Samsung DEX, LG Screen+, WSA)</t>
  </si>
  <si>
    <t xml:space="preserve">    Checklist_x000D_
   x  I am using the latest version   0 21 16_x000D_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Preamble_x000D_
This issue combines multiple existing issues into one issue because   despite being implement by different manufactures   these results in the same bug _x000D_
_x000D_
    Steps to reproduce the bug_x000D_
1  Play a video_x000D_
2  Open something that has uses a  popup  dropdown in the player UI  e g  change the resolution or subtitles_x000D_
_x000D_
    Actual behavior_x000D_
App crashes_x000D_
_x000D_
  android view WindowManager BadTokenException: Unable to add window    token android view ViewRootImpl W fda8ca is not valid  is your activity running   _x000D_
_x000D_
    Expected behavior_x000D_
App works as expected_x000D_
_x000D_
    Logs_x000D_
     Samsung DEX_x000D_
_x000D_
    User Action:   ui error_x000D_
    Request:   ACRA report_x000D_
   _x000D_
    Service:   none_x000D_
    Version:   0 21 13_x000D_
    OS:   Linux samsung t2sxeea t2s:11 RP1A 200720 012 G996BXXU3AUIE:user release keys 11   30_x000D_
 details  summary  b Crash log   b   summary  p _x000D_
_x000D_
   _x000D_
android view WindowManager BadTokenException: Unable to add window    token android view ViewRootImpl W fda8ca is not valid  is your activity running _x000D_
	at android view ViewRootImpl setView(ViewRootImpl java:1444)_x000D_
	at android view WindowManagerGlobal addView(WindowManagerGlobal java:469)_x000D_
	at android view WindowManagerImpl addView(WindowManagerImpl java:114)_x000D_
	at android widget PopupWindow invokePopup(PopupWindow java:1657)_x000D_
	at android widget PopupWindow showAsDropDown(PopupWindow java:1460)_x000D_
	at android widget ListPopupWindow show(ListPopupWindow java:771)_x000D_
	at com android internal view menu CascadingMenuPopup showMenu(CascadingMenuPopup java:480)_x000D_
	at com android internal view menu CascadingMenuPopup show(CascadingMenuPopup java:289)_x000D_
	at com android internal view menu MenuPopupHelper showPopup(MenuPopupHelper java:303)_x000D_
	at com android internal view menu MenuPopupHelper tryShow(MenuPopupHelper java:192)_x000D_
	at com android internal view menu MenuPopupHelper show(MenuPopupHelper java:156)_x000D_
	at android widget PopupMenu show(PopupMenu java:230)_x000D_
	at org schabi newpipe player Player onCaptionClicked(Player java:3563)_x000D_
	at org schabi newpipe player Player onClick(Player java:3670)_x000D_
	at android view View performClick(View java:8160)_x000D_
	at android widget TextView performClick(TextView java:16222)_x000D_
	at android view View performClickInternal(View java:8137)_x000D_
	at android view View access 3700(View java:888)_x000D_
	at android view View PerformClick run(View java:30236)_x000D_
	at android os Handler handleCallback(Handler java:938)_x000D_
	at android os Handler dispatchMessage(Handler java:99)_x000D_
	at android os Looper loop(Looper java:246)_x000D_
	at android app ActivityThread main(ActivityThread java:8633)_x000D_
	at java lang reflect Method invoke(Native Method)_x000D_
	at com android internal os RuntimeInit MethodAndArgsCaller run(RuntimeInit java:602)_x000D_
	at com android internal os ZygoteInit main(ZygoteInit java:1130)_x000D_
_x000D_
   _x000D_
  details _x000D_
 hr _x000D_
_x000D_
     Windows Subsystem for Android WSA_x000D_
    User Action:   ui error_x000D_
   _x000D_
    Version:   0 21 13_x000D_
    OS:   Linux Android 11   30_x000D_
_x000D_
 details  summary  b Crash log   b   summary  p _x000D_
_x000D_
   _x000D_
android view WindowManager BadTokenException: Unable to add window    token android view ViewRootImpl W 11424e0 is not valid  is your activity running _x000D_
	at android view ViewRootImpl setView(ViewRootImpl java:1071)_x000D_
	at android view WindowManagerGlobal addView(WindowManagerGlobal java:409)_x000D_
	at android view WindowManagerImpl addView(WindowManagerImpl java:109)_x000D_
	at android widget PopupWindow invokePopup(PopupWindow java:1576)_x000D_
	at android widget PopupWindow showAsDropDown(PopupWindow java:1423)_x000D_
	at android widget ListPopupWindow show(ListPopupWindow java:722)_x000D_
	at com android internal view menu CascadingMenuPopup showMenu(CascadingMenuPopup java:432)_x000D_
	at com android internal view menu CascadingMenuPopup show(CascadingMenuPopup java:247)_x000D_
	at com android internal view menu MenuPopupHelper showPopup(MenuPopupHelper java:283)_x000D_
	at com android internal view menu MenuPopupHelper tryShow(MenuPopupHelper java:178)_x000D_
	at com android internal view menu MenuPopupHelper show(MenuPopupHelper java:142)_x000D_
	at android widget PopupMenu show(PopupMenu java:230)_x000D_
	at org schabi newpipe player Player onQualitySelectorClicked(Player java:3532)_x000D_
	at org schabi newpipe player Player onClick(Player java:3664)_x000D_
	at android view View performClick(View java:7448)_x000D_
	at android view View performClickInternal(View java:7425)_x000D_
	at android view View access 3600(View java:810)_x000D_
	at android view View PerformClick run(View java:28305)_x000D_
	at android os Handler handleCallback(Handler java:938)_x000D_
	at android os Handler dispatchMessage(Handler java:99)_x000D_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_x000D_
   _x000D_
  details _x000D_
 hr _x000D_
_x000D_
     LG screen _x000D_
_x000D_
 details  summary Click to expand  summary _x000D_
_x000D_
   _x000D_
 _x000D_
     user action :  ui error  _x000D_
       _x000D_
     service :  none  _x000D_
     package :  org schabi newpipe  _x000D_
     version :  0 21 16  _x000D_
     os :  Linux lge caymanlm e caymanlm:11 RKQ1 201105 002 212521942c7f7 COM1 EU:user release keys 11   30  _x000D_
     time :  2022 02 12 15:10  _x000D_
     exceptions :  _x000D_
         android view WindowManager BadTokenException: Unable to add window    token android view ViewRootImpl WEx 954281e is not valid  is your activity running _x000D_
			at android view ViewRootImpl setView(ViewRootImpl java:1106)_x000D_
			at android view WindowManagerGlobal addView(WindowManagerGlobal java:437)_x000D_
			at android view WindowManagerImpl addView(WindowManagerImpl java:116)_x000D_
			at android widget PopupWindow invokePopup(PopupWindow java:1636)_x000D_
			at android widget PopupWindow showAsDropDown(PopupWindow java:1445)_x000D_
			at android widget ListPopupWindow show(ListPopupWindow java:742)_x000D_
			at com android internal view menu CascadingMenuPopup showMenu(CascadingMenuPopup java:433)_x000D_
			at com android internal view menu CascadingMenuPopup show(CascadingMenuPopup java:248)_x000D_
			at com android internal view menu MenuPopupHelper showPopup(MenuPopupHelper java:283)_x000D_
			at com android internal view menu MenuPopupHelper tryShow(MenuPopupHelper java:178)_x000D_
			at com android internal view menu MenuPopupHelper show(MenuPopupHelper java:142)_x000D_
			at android widget PopupMenu show(PopupMenu java:230)_x000D_
			at org schabi newpipe player Player onQualitySelectorClicked(Player java:3513)_x000D_
			at org schabi newpipe player Player onClick(Player java:3645)_x000D_
			at android view View performClick(View java:7461)_x000D_
			at android view View performClickInternal(View java:7438)_x000D_
			at android view View access 4000(View java:815)_x000D_
			at android view View PerformClick run(View java:28396)_x000D_
			at android os Handler handleCallback(Handler java:938)_x000D_
			at android os Handler dispatchMessage(Handler java:99)_x000D_
			at android os Looper loop(Looper java:223)_x000D_
			at android app ActivityThread main(ActivityThread java:7867)_x000D_
			at java lang reflect Method invoke(Native Method)_x000D_
			at com android internal os RuntimeInit MethodAndArgsCaller run(RuntimeInit java:592)_x000D_
			at com android internal os ZygoteInit main(ZygoteInit java:981)_x000D_
	 _x000D_
      _x000D_
     user comment :   _x000D_
 _x000D_
   _x000D_
_x000D_
  details _x000D_
_x000D_
    Device info_x000D_
  Android version Custom ROM version: Android 11 _x000D_
_x000D_
     Affected platforms:_x000D_
  Samsung DEX  7391_x000D_
  Windows Subsystem for Android WSA  7396_x000D_
  LG screen   7864_x000D_
_x000D_
_x000D_
</t>
  </si>
  <si>
    <t>AOF-Dev-MCinaBox-1127</t>
  </si>
  <si>
    <t>memorey high and low probleam</t>
  </si>
  <si>
    <t xml:space="preserve">  Describe the crash  _x000D_
A clear and concise description of what the bug is _x000D_
_x000D_
  To Reproduce  _x000D_
Steps to reproduce the crash:_x000D_
1  Go to      _x000D_
2  Click on       _x000D_
3  Scroll down to       _x000D_
4  See the crash_x000D_
_x000D_
  Expected behavior  _x000D_
A clear and concise description of what you expected to happen _x000D_
_x000D_
  Screenshots  _x000D_
If applicable  add screenshots to help explain your problem _x000D_
_x000D_
  Smartphone (please complete the following information):  _x000D_
   Device:  e g  Samsung Galaxy J6 _x000D_
   OS:  e g  Android 8 1 _x000D_
   App Version  e g  v0 1 3 _x000D_
   CPU architecture  e g  arm64   _x000D_
_x000D_
  Additional context  _x000D_
Add any other context about the problem here _x000D_
mamory high and low problem</t>
  </si>
  <si>
    <t>TeamNewPipe-NewPipe-7864</t>
  </si>
  <si>
    <t>Menu to change resolution does not work in screen+ mode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</si>
  <si>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Enter the Screen  mode on a recent LG smartphone_x000D_
2  Play a video from YouTube_x000D_
3  Click on the resolution menu_x000D_
_x000D_
_x000D_
This error appears  while trying to switch resolution (open the menu) in Screen  mode on a LG Velvet   The Screen plus mode is a desktop like mode  which is very useful in combination with an external monitor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It crashes with the following message below _x000D_
_x000D_
_x000D_
_x000D_
    Expected behavior_x000D_
     Tell us what you expect to happen     _x000D_
_x000D_
Menu for resolution change to appear _x000D_
_x000D_
_x000D_
_x000D_
_x000D_
    Logs_x000D_
     If your bug includes a crash (where you re shown the Error Report page with a bunch of info)  tap on  Copy formatted report  at the bottom and paste it here:    _x000D_
_x000D_
     That s right  here     _x000D_
_x000D_
   _x000D_
 _x000D_
     user action :  ui error  _x000D_
     request :  ACRA report  _x000D_
     content language :  de DE  _x000D_
     content country :  DE  _x000D_
     app language :  de DE  _x000D_
     service :  none  _x000D_
     package :  org schabi newpipe  _x000D_
     version :  0 21 16  _x000D_
     os :  Linux lge caymanlm e caymanlm:11 RKQ1 201105 002 212521942c7f7 COM1 EU:user release keys 11   30  _x000D_
     time :  2022 02 12 15:10  _x000D_
     exceptions :  _x000D_
         android view WindowManager BadTokenException: Unable to add window    token android view ViewRootImpl WEx 954281e is not valid  is your activity running _x000D_
			at android view ViewRootImpl setView(ViewRootImpl java:1106)_x000D_
			at android view WindowManagerGlobal addView(WindowManagerGlobal java:437)_x000D_
			at android view WindowManagerImpl addView(WindowManagerImpl java:116)_x000D_
			at android widget PopupWindow invokePopup(PopupWindow java:1636)_x000D_
			at android widget PopupWindow showAsDropDown(PopupWindow java:1445)_x000D_
			at android widget ListPopupWindow show(ListPopupWindow java:742)_x000D_
			at com android internal view menu CascadingMenuPopup showMenu(CascadingMenuPopup java:433)_x000D_
			at com android internal view menu CascadingMenuPopup show(CascadingMenuPopup java:248)_x000D_
			at com android internal view menu MenuPopupHelper showPopup(MenuPopupHelper java:283)_x000D_
			at com android internal view menu MenuPopupHelper tryShow(MenuPopupHelper java:178)_x000D_
			at com android internal view menu MenuPopupHelper show(MenuPopupHelper java:142)_x000D_
			at android widget PopupMenu show(PopupMenu java:230)_x000D_
			at org schabi newpipe player Player onQualitySelectorClicked(Player java:3513)_x000D_
			at org schabi newpipe player Player onClick(Player java:3645)_x000D_
			at android view View performClick(View java:7461)_x000D_
			at android view View performClickInternal(View java:7438)_x000D_
			at android view View access 4000(View java:815)_x000D_
			at android view View PerformClick run(View java:28396)_x000D_
			at android os Handler handleCallback(Handler java:938)_x000D_
			at android os Handler dispatchMessage(Handler java:99)_x000D_
			at android os Looper loop(Looper java:223)_x000D_
			at android app ActivityThread main(ActivityThread java:7867)_x000D_
			at java lang reflect Method invoke(Native Method)_x000D_
			at com android internal os RuntimeInit MethodAndArgsCaller run(RuntimeInit java:592)_x000D_
			at com android internal os ZygoteInit main(ZygoteInit java:981)_x000D_
	 _x000D_
      _x000D_
     user comment :   _x000D_
 _x000D_
   _x000D_
_x000D_
     Please fill this section if you did not provide a log generated by NewPipe    _x000D_
_x000D_
    Device info_x000D_
_x000D_
   Android version: 11_x000D_
   ROM version: Stock Rom  V20j EEA XX_x000D_
   Device model: LG LM G900EM_x000D_
</t>
  </si>
  <si>
    <t>forrestguice-SuntimesWidget-556</t>
  </si>
  <si>
    <t>App crashes on location icon</t>
  </si>
  <si>
    <t xml:space="preserve">When updating or selecting current location  app crashes  This is new behavior introduced with 0 14 0 update </t>
  </si>
  <si>
    <t>googleads-googleads-mobile-flutter-514</t>
  </si>
  <si>
    <t>[IOS] Crashed: com.apple.root.default-qos : GADMutableDictionarySetObjectForKey</t>
  </si>
  <si>
    <t xml:space="preserve">   Steps to Reproduce_x000D_
_x000D_
I am sorry i don t know how to reproduce this  i had created the original issue  here (https:  github com flutter flutter issues 98203)_x000D_
 _x000D_
I am using  Flutter 2 10  and this crash never occurred before and my code (plugins especially) have not changed since my latest release under  Flutter 2 8 1  (my app is under beta tests so it occurred in  release  mode only)  _x000D_
_x000D_
Here is a preview of my Crashlytics dashboard : _x000D_
_x000D_
  Capture d e cran 2022 02 10 a  18 38 12 (https:  user images githubusercontent com 32631467 153464592 4308aa16 f5d7 4d38 83ce 4a2e0573aa6b png)_x000D_
_x000D_
  Expected results:        what did you want to see     _x000D_
_x000D_
The application should not crash _x000D_
_x000D_
  Actual results:        what did you see     _x000D_
_x000D_
The application is crashing _x000D_
_x000D_
 details _x000D_
   summary Logs  summary _x000D_
_x000D_
   _x000D_
Crashed: com apple root default qos_x000D_
0  CoreFoundation                 0x2c688     NSDictionaryM setObject:forKeyedSubscript:    472_x000D_
1  Runner                         0x5abce4 GADMutableDictionarySetObjectForKey   832744_x000D_
2  Runner                         0x641bac GADInspectorExtras   1446832_x000D_
3  Runner                         0x5e0304 GADRenderServerTransaction   1047304_x000D_
4  Runner                         0x5e15f4 GADRenderServerTransaction   1052152_x000D_
5  Runner                         0x5e06a8 GADRenderServerTransaction   1048236_x000D_
6  Runner                         0x5dfa40 GADRenderResultForAdConfiguration   1045060_x000D_
7  Runner                         0x62b69c GAD GADOperation arm64 8 11 0   1355424_x000D_
8  libdispatch dylib              0x2924  dispatch call block and release   32_x000D_
9  libdispatch dylib              0x4670  dispatch client callout   20_x000D_
10 libdispatch dylib              0x7798  dispatch queue override invoke   792_x000D_
11 libdispatch dylib              0x15de0  dispatch root queue drain   396_x000D_
12 libdispatch dylib              0x16608  dispatch worker thread2   164_x000D_
13 libsystem pthread dylib        0x10b8  pthread wqthread   228_x000D_
14 libsystem pthread dylib        0xe94 start wqthread   8_x000D_
_x000D_
com apple main thread_x000D_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GraphicsServices               0x138c GSEventRunModal   164_x000D_
6  UIKitCore                      0x51a088   UIApplication  run    1100_x000D_
7  UIKitCore                      0x298958 UIApplicationMain   2092_x000D_
8  Runner                         0x67b0 main   7 (AppDelegate swift:7)_x000D_
9                                 0x1052fdaa4 (Missing)_x000D_
_x000D_
com apple uikit eventfetch thread_x000D_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Foundation                     0x18c94   NSRunLoop(NSRunLoop) runMode:beforeDate:    236_x000D_
6  Foundation                     0x59dc8   NSRunLoop(NSRunLoop) runUntilDate:    92_x000D_
7  UIKitCore                      0x493230   UIEventFetcher threadMain    524_x000D_
8  Foundation                     0x6840c   NSThread  start     808_x000D_
9  libsystem pthread dylib        0x19a4  pthread start   148_x000D_
10 libsystem pthread dylib        0xea0 thread start   8_x000D_
_x000D_
io flutter 1 ui_x000D_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Flutter                        0x2feda0 (Missing UUID 25ccde4cd4e73ed7ab66c25ce4cfc8ae)_x000D_
6  Flutter                        0x2fe560 (Missing UUID 25ccde4cd4e73ed7ab66c25ce4cfc8ae)_x000D_
7  libsystem pthread dylib        0x19a4  pthread start   148_x000D_
8  libsystem pthread dylib        0xea0 thread start   8_x000D_
_x000D_
io flutter 1 raster_x000D_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Flutter                        0x2feda0 (Missing UUID 25ccde4cd4e73ed7ab66c25ce4cfc8ae)_x000D_
6  Flutter                        0x2fe560 (Missing UUID 25ccde4cd4e73ed7ab66c25ce4cfc8ae)_x000D_
7  libsystem pthread dylib        0x19a4  pthread start   148_x000D_
8  libsystem pthread dylib        0xea0 thread start   8_x000D_
_x000D_
io flutter 1 io_x000D_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Flutter                        0x2feda0 (Missing UUID 25ccde4cd4e73ed7ab66c25ce4cfc8ae)_x000D_
6  Flutter                        0x2fe560 (Missing UUID 25ccde4cd4e73ed7ab66c25ce4cfc8ae)_x000D_
7  libsystem pthread dylib        0x19a4  pthread start   148_x000D_
8  libsystem pthread dylib        0xea0 thread start   8_x000D_
_x000D_
io worker 1_x000D_
0  libsystem kernel dylib         0x1f90   psynch cvwait   8_x000D_
1  libsystem pthread dylib        0x8254  pthread cond wait   1228_x000D_
2  libc   1 dylib                 0x9ddc std::  1::condition variable::wait(std::  1::unique lock std::  1::mutex  )   28_x000D_
3  Flutter                        0x2f9158 (Missing UUID 25ccde4cd4e73ed7ab66c25ce4cfc8ae)_x000D_
4  libsystem pthread dylib        0x19a4  pthread start   148_x000D_
5  libsystem pthread dylib        0xea0 thread start   8_x000D_
_x000D_
io worker 2_x000D_
0  libsystem kernel dylib         0x1f90   psynch cvwait   8_x000D_
1  libsystem pthread dylib        0x8254  pthread cond wait   1228_x000D_
2  libc   1 dylib                 0x9ddc std::  1::condition variable::wait(std::  1::unique lock std::  1::mutex  )   28_x000D_
3  Flutter                        0x2f9158 (Missing UUID 25ccde4cd4e73ed7ab66c25ce4cfc8ae)_x000D_
4  libsystem pthread dylib        0x19a4  pthread start   148_x000D_
5  libsystem pthread dylib        0xea0 thread start   8_x000D_
_x000D_
io worker 3_x000D_
0  libsystem kernel dylib         0x1f90   psynch cvwait   8_x000D_
1  libsystem pthread dylib        0x8254  pthread cond wait   1228_x000D_
2  libc   1 dylib                 0x9ddc std::  1::condition variable::wait(std::  1::unique lock std::  1::mutex  )   28_x000D_
3  Flutter                        0x2f9158 (Missing UUID 25ccde4cd4e73ed7ab66c25ce4cfc8ae)_x000D_
4  libsystem pthread dylib        0x19a4  pthread start   148_x000D_
5  libsystem pthread dylib        0xea0 thread start   8_x000D_
_x000D_
io worker 4_x000D_
0  libsystem kernel dylib         0x1f90   psynch cvwait   8_x000D_
1  libsystem pthread dylib        0x8254  pthread cond wait   1228_x000D_
2  libc   1 dylib                 0x9ddc std::  1::condition variable::wait(std::  1::unique lock std::  1::mutex  )   28_x000D_
3  Flutter                        0x2f9158 (Missing UUID 25ccde4cd4e73ed7ab66c25ce4cfc8ae)_x000D_
4  libsystem pthread dylib        0x19a4  pthread start   148_x000D_
5  libsystem pthread dylib        0xea0 thread start   8_x000D_
_x000D_
io worker 5_x000D_
0  libsystem kernel dylib         0x1f90   psynch cvwait   8_x000D_
1  libsystem pthread dylib        0x8254  pthread cond wait   1228_x000D_
2  libc   1 dylib                 0x9ddc std::  1::condition variable::wait(std::  1::unique lock std::  1::mutex  )   28_x000D_
3  Flutter                        0x2f9158 (Missing UUID 25ccde4cd4e73ed7ab66c25ce4cfc8ae)_x000D_
4  libsystem pthread dylib        0x19a4  pthread start   148_x000D_
5  libsystem pthread dylib        0xea0 thread start   8_x000D_
_x000D_
io worker 6_x000D_
0  libsystem kernel dylib         0x1f90   psynch cvwait   8_x000D_
1  libsystem pthread dylib        0x8254  pthread cond wait   1228_x000D_
2  libc   1 dylib                 0x9ddc std::  1::condition variable::wait(std::  1::unique lock std::  1::mutex  )   28_x000D_
3  Flutter                        0x2f9158 (Missing UUID 25ccde4cd4e73ed7ab66c25ce4cfc8ae)_x000D_
4  libsystem pthread dylib        0x19a4  pthread start   148_x000D_
5  libsystem pthread dylib        0xea0 thread start   8_x000D_
_x000D_
dart:io EventHandler_x000D_
0  libsystem kernel dylib         0x2e7c kevent   8_x000D_
1  Flutter                        0x4ce794 (Missing UUID 25ccde4cd4e73ed7ab66c25ce4cfc8ae)_x000D_
2  Flutter                        0x4fd348 (Missing UUID 25ccde4cd4e73ed7ab66c25ce4cfc8ae)_x000D_
3  libsystem pthread dylib        0x19a4  pthread start   148_x000D_
4  libsystem pthread dylib        0xea0 thread start   8_x000D_
_x000D_
com google firebase crashlytics MachExceptionServer_x000D_
0  FirebaseCrashlytics            0x1f474 FIRCLSProcessRecordAllThreads   184_x000D_
1  FirebaseCrashlytics            0x1f854 FIRCLSProcessRecordAllThreads   1176_x000D_
2  FirebaseCrashlytics            0x167e8 FIRCLSHandler   48_x000D_
3  FirebaseCrashlytics            0x19550 FIRCLSMachExceptionServer   1248_x000D_
4  libsystem pthread dylib        0x19a4  pthread start   148_x000D_
5  libsystem pthread dylib        0xea0 thread start   8_x000D_
_x000D_
AVAudioSession Notify Thread_x000D_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AudioSession                   0x6308 CADeprecated::GenericRunLoopThread::Entry(void )   164_x000D_
6  AudioSession                   0xfd64 CADeprecated::CAPThread::Entry(CADeprecated::CAPThread )   92_x000D_
7  libsystem pthread dylib        0x19a4  pthread start   148_x000D_
8  libsystem pthread dylib        0xea0 thread start   8_x000D_
_x000D_
com apple CoreMotion MotionThread_x000D_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CoreFoundation                 0x9fb28 CFRunLoopRun   64_x000D_
6  CoreMotion                     0x12b64 CLMotionActivity::isTypeInVehicle(CLMotionActivity::Type)   21264_x000D_
7  libsystem pthread dylib        0x19a4  pthread start   148_x000D_
8  libsystem pthread dylib        0xea0 thread start   8_x000D_
_x000D_
JavaScriptCore bmalloc scavenger_x000D_
0  libsystem kernel dylib         0x1f90   psynch cvwait   8_x000D_
1  libsystem pthread dylib        0x8254  pthread cond wait   1228_x000D_
2  libc   1 dylib                 0x9ddc std::  1::condition variable::wait(std::  1::unique lock std::  1::mutex  )   28_x000D_
3  JavaScriptCore                 0x11df358 void std::  1::condition variable any::wait std::  1::unique lock bmalloc::Mutex   (std::  1::unique lock bmalloc::Mutex  )   108_x000D_
4  JavaScriptCore                 0x11e3b28 bmalloc::Scavenger::threadRunLoop()   340_x000D_
5  JavaScriptCore                 0x11e36c8 bmalloc::Scavenger::Scavenger(std::  1::scoped lock bmalloc::Mutex  const )   14_x000D_
6  JavaScriptCore                 0x11e4b84 std::  1::  thread specific ptr std::  1::  thread struct ::set pointer(std::  1::  thread struct )   46_x000D_
7  libsystem pthread dylib        0x19a4  pthread start   148_x000D_
8  libsystem pthread dylib        0xea0 thread start   8_x000D_
_x000D_
com apple NSURLConnectionLoader_x000D_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CFNetwork                      0x27a3f0  CFURLStorageSessionCopyIdentifier   59784_x000D_
6  Foundation                     0x6840c   NSThread  start     808_x000D_
7  libsystem pthread dylib        0x19a4  pthread start   148_x000D_
8  libsystem pthread dylib        0xea0 thread start   8_x000D_
_x000D_
com squareup SocketRocket NetworkThread_x000D_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Foundation                     0x18c94   NSRunLoop(NSRunLoop) runMode:beforeDate:    236_x000D_
6  FirebaseDatabase               0x52ed8    FSRRunLoopThread main    252_x000D_
7  Foundation                     0x6840c   NSThread  start     808_x000D_
8  libsystem pthread dylib        0x19a4  pthread start   148_x000D_
9  libsystem pthread dylib        0xea0 thread start   8_x000D_
_x000D_
com apple CFSocket private_x000D_
0  libsystem kernel dylib         0x21d0 select DARWIN EXTSN   8_x000D_
1  libsystem kernel dylib         0x21d0   select   8_x000D_
2  CoreFoundation                 0xaa7f0   CFSocketManager   648_x000D_
3  libsystem pthread dylib        0x19a4  pthread start   148_x000D_
4  libsystem pthread dylib        0xea0 thread start   8_x000D_
_x000D_
AudioPlayerIsolate 2 ui_x000D_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Flutter                        0x2feda0 (Missing UUID 25ccde4cd4e73ed7ab66c25ce4cfc8ae)_x000D_
6  Flutter                        0x2fe560 (Missing UUID 25ccde4cd4e73ed7ab66c25ce4cfc8ae)_x000D_
7  libsystem pthread dylib        0x19a4  pthread start   148_x000D_
8  libsystem pthread dylib        0xea0 thread start   8_x000D_
_x000D_
AudioPlayerIsolate 2 raster_x000D_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Flutter                        0x2feda0 (Missing UUID 25ccde4cd4e73ed7ab66c25ce4cfc8ae)_x000D_
6  Flutter                        0x2fe560 (Missing UUID 25ccde4cd4e73ed7ab66c25ce4cfc8ae)_x000D_
7  libsystem pthread dylib        0x19a4  pthread start   148_x000D_
8  libsystem pthread dylib        0xea0 thread start   8_x000D_
_x000D_
AudioPlayerIsolate 2 io_x000D_
0  libsystem kernel dylib         0x1504 mach msg trap   8_x000D_
1  libsystem kernel dylib         0x1b9c mach msg   76_x000D_
2  CoreFoundation                 0x7738   CFRunLoopServiceMachPort   372_x000D_
3  CoreFoundation                 0xba2c   CFRunLoopRun   1212_x000D_
4  CoreFoundation                 0x1f468 CFRunLoopRunSpecific   600_x000D_
5  Flutter                        0x2feda0 (Missing UUID 25ccde4cd4e73ed7ab66c25ce4cfc8ae)_x000D_
6  Flutter                        0x2fe560 (Missing UUID 25ccde4cd4e73ed7ab66c25ce4cfc8ae)_x000D_
7  libsystem pthread dylib        0x19a4  pthread start   148_x000D_
8  libsystem pthread dylib        0xea0 thread start   8_x000D_
_x000D_
Thread_x000D_
0  libsystem pthread dylib        0xe8c start wqthread   258_x000D_
_x000D_
Thread_x000D_
0  libsystem pthread dylib        0xe8c start wqthread   258_x000D_
_x000D_
Thread_x000D_
0  libsystem kernel dylib         0x1b2c   workq kernreturn   8_x000D_
1  libsystem pthread dylib        0x1140  pthread wqthread   364_x000D_
2  libsystem pthread dylib        0xe94 start wqthread   8_x000D_
_x000D_
Thread_x000D_
0  libsystem pthread dylib        0xe8c start wqthread   258_x000D_
_x000D_
Thread_x000D_
0  libsystem kernel dylib         0x1b2c   workq kernreturn   8_x000D_
1  libsystem pthread dylib        0x1140  pthread wqthread   364_x000D_
2  libsystem pthread dylib        0xe94 start wqthread   8_x000D_
_x000D_
DartWorker_x000D_
0  libsystem kernel dylib         0x1f90   psynch cvwait   8_x000D_
1  libsystem pthread dylib        0x8280  pthread cond wait   1272_x000D_
2  Flutter                        0x5c61c4 (Missing UUID 25ccde4cd4e73ed7ab66c25ce4cfc8ae)_x000D_
3  Flutter                        0x60d864 (Missing UUID 25ccde4cd4e73ed7ab66c25ce4cfc8ae)_x000D_
4  Flutter                        0x5c5aec (Missing UUID 25ccde4cd4e73ed7ab66c25ce4cfc8ae)_x000D_
5  libsystem pthread dylib        0x19a4  pthread start   148_x000D_
6  libsystem pthread dylib        0xea0 thread start   8_x000D_
_x000D_
DartWorker_x000D_
0  libsystem kernel dylib         0x1f90   psynch cvwait   8_x000D_
1  libsystem pthread dylib        0x8280  pthread cond wait   1272_x000D_
2  Flutter                        0x5c61c4 (Missing UUID 25ccde4cd4e73ed7ab66c25ce4cfc8ae)_x000D_
3  Flutter                        0x60d864 (Missing UUID 25ccde4cd4e73ed7ab66c25ce4cfc8ae)_x000D_
4  Flutter                        0x5c5aec (Missing UUID 25ccde4cd4e73ed7ab66c25ce4cfc8ae)_x000D_
5  libsystem pthread dylib        0x19a4  pthread start   148_x000D_
6  libsystem pthread dylib        0xea0 thread start   8_x000D_
_x000D_
DartWorker_x000D_
0  libsystem kernel dylib         0x1f90   psynch cvwait   8_x000D_
1  libsystem pthread dylib        0x8280  pthread cond wait   1272_x000D_
2  Flutter                        0x5c61c4 (Missing UUID 25ccde4cd4e73ed7ab66c25ce4cfc8ae)_x000D_
3  Flutter                        0x60d864 (Missing UUID 25ccde4cd4e73ed7ab66c25ce4cfc8ae)_x000D_
4  Flutter                        0x5c5aec (Missing UUID 25ccde4cd4e73ed7ab66c25ce4cfc8ae)_x000D_
5  libsystem pthread dylib        0x19a4  pthread start   148_x000D_
6  libsystem pthread dylib        0xea0 thread start   8_x000D_
_x000D_
DartWorker_x000D_
0  libsystem kernel dylib         0x1f90   psynch cvwait   8_x000D_
1  libsystem pthread dylib        0x8280  pthread cond wait   1272_x000D_
2  Flutter                        0x5c61c4 (Missing UUID 25ccde4cd4e73ed7ab66c25ce4cfc8ae)_x000D_
3  Flutter                        0x60d864 (Missing UUID 25ccde4cd4e73ed7ab66c25ce4cfc8ae)_x000D_
4  Flutter                        0x5c5aec (Missing UUID 25ccde4cd4e73ed7ab66c25ce4cfc8ae)_x000D_
5  libsystem pthread dylib        0x19a4  pthread start   148_x000D_
6  libsystem pthread dylib        0xea0 thread start   8_x000D_
_x000D_
DartWorker_x000D_
0  libsystem kernel dylib         0x1f90   psynch cvwait   8_x000D_
1  libsystem pthread dylib        0x8280  pthread cond wait   1272_x000D_
2  Flutter                        0x5c61c4 (Missing UUID 25ccde4cd4e73ed7ab66c25ce4cfc8ae)_x000D_
3  Flutter                        0x60d864 (Missing UUID 25ccde4cd4e73ed7ab66c25ce4cfc8ae)_x000D_
4  Flutter                        0x5c5aec (Missing UUID 25ccde4cd4e73ed7ab66c25ce4cfc8ae)_x000D_
5  libsystem pthread dylib        0x19a4  pthread start   148_x000D_
6  libsystem pthread dylib        0xea0 thread start   8_x000D_
_x000D_
DartWorker_x000D_
0  libsystem kernel dylib         0x1f90   psynch cvwait   8_x000D_
1  libsystem pthread dylib        0x8280  pthread cond wait   1272_x000D_
2  Flutter                        0x5c61c4 (Missing UUID 25ccde4cd4e73ed7ab66c25ce4cfc8ae)_x000D_
3  Flutter                        0x60d864 (Missing UUID 25ccde4cd4e73ed7ab66c25ce4cfc8ae)_x000D_
4  Flutter                        0x5c5aec (Missing UUID 25ccde4cd4e73ed7ab66c25ce4cfc8ae)_x000D_
5  libsystem pthread dylib        0x19a4  pthread start   148_x000D_
6  libsystem pthread dylib        0xea0 thread start   8_x000D_
_x000D_
DartWorker_x000D_
0  libsystem kernel dylib         0x1f90   psynch cvwait   8_x000D_
1  libsystem pthread dylib        0x8280  pthread cond wait   1272_x000D_
2  Flutter                        0x5c61c4 (Missing UUID 25ccde4cd4e73ed7ab66c25ce4cfc8ae)_x000D_
3  Flutter                        0x60d864 (Missing UUID 25ccde4cd4e73ed7ab66c25ce4cfc8ae)_x000D_
4  Flutter                        0x5c5aec (Missing UUID 25ccde4cd4e73ed7ab66c25ce4cfc8ae)_x000D_
5  libsystem pthread dylib        0x19a4  pthread start   148_x000D_
6  libsystem pthread dylib        0xea0 thread start   8_x000D_
_x000D_
DartWorker_x000D_
0  libsystem kernel dylib         0x1f90   psynch cvwait   8_x000D_
1  libsystem pthread dylib        0x8280  pthread cond wait   1272_x000D_
2  Flutter                        0x5c61c4 (Missing UUID 25ccde4cd4e73ed7ab66c25ce4cfc8ae)_x000D_
3  Flutter                        0x60d864 (Missing UUID 25ccde4cd4e73ed7ab66c25ce4cfc8ae)_x000D_
4  Flutter                        0x5c5aec (Missing UUID 25ccde4cd4e73ed7ab66c25ce4cfc8ae)_x000D_
5  libsystem pthread dylib        0x19a4  pthread start   148_x000D_
6  libsystem pthread dylib        0xea0 thread start   8_x000D_
_x000D_
Thread_x000D_
0  libsystem kernel dylib         0x1b2c   workq kernreturn   8_x000D_
1  libsystem pthread dylib        0x1140  pthread wqthread   364_x000D_
2  libsystem pthread dylib        0xe94 start wqthread   8_x000D_
_x000D_
Thread_x000D_
0  libsystem kernel dylib         0x1b2c   workq kernreturn   8_x000D_
1  libsystem pthread dylib        0x1140  pthread wqthread   364_x000D_
2  libsystem pthread dylib        0xe94 start wqthread   8_x000D_
_x000D_
com google fira worker_x000D_
0  libsystem kernel dylib         0x2780 pread   8_x000D_
1  libsqlite3 dylib               0xb5bbc sqlite3 sourceid   6636_x000D_
2  libsqlite3 dylib               0x7af4 sqlite3 snprintf   7108_x000D_
3  libsqlite3 dylib               0x2a0b0 sqlite3 log   3776_x000D_
4  libsqlite3 dylib               0xbf48c sqlite3 sourceid   45756_x000D_
5  libsqlite3 dylib               0xc9db4 sqlite3 sourceid   89060_x000D_
6  libsqlite3 dylib               0x531d4 sqlite3 step   68980_x000D_
7  libsqlite3 dylib               0x43f88 sqlite3 step   6952_x000D_
8  libsqlite3 dylib               0x42594 sqlite3 step   308_x000D_
9  Runner                         0xbeb14   APMSqliteStore recordsForQuery:parameterValues:error:withFilter:    4305201940_x000D_
10 Runner                         0xbe98c   APMSqliteStore recordsForQuery:parameterValues:error:    4305201548_x000D_
11 Runner                         0x3aa10   APMDatabase conditionalUserPropertiesWithCondition:parameterValues:error:    4304661008_x000D_
12 Runner                         0x3a4bc   APMDatabase timedOutConditionalUserPropertiesWithError:    4304659644_x000D_
13 Runner                         0x2c648   APMConditionalUserPropertyController(Private) removeTimedOutCUPWithTimedOutEvents:    4304602696_x000D_
14 Runner                         0x2c3e4   75  APMConditionalUserPropertyController(Private) processEventOnWorkerQueue:  block invoke   4304602084_x000D_
15 Runner                         0xbf060   APMSqliteStore performTransactionWithError:block:    4305203296_x000D_
16 Runner                         0x31300   APMDatabase performTransaction:    4304622336_x000D_
17 Runner                         0x2c18c   APMConditionalUserPropertyController(Private) processEventOnWorkerQueue:    4304601484_x000D_
18 Runner                         0x62760   APMMeasurement(Event) handleEventOnWorkerQueue:    4304824160_x000D_
19 Runner                         0x7105c   APMMeasurement logEventOnWorkerQueue:notifyEventListeners:    4304883804_x000D_
20 Runner                         0x70e5c   APMMeasurement logEventOnWorkerQueueWithOrigin:isPublicEvent:name:parameters:timestamp:enabled:ignoreEnabled:ignoreInterceptor:interceptor:addedScreenParameters:    4304883292_x000D_
21 Runner                         0x70c60   151  APMMeasurement logEventWithOrigin:isPublicEvent:name:parameters:timestamp:enabled:ignoreEnabled:ignoreInterceptor:interceptor:addedScreenParameters:  block invoke   4304882784_x000D_
22 Runner                         0xb46ec   51  APMScheduler scheduleOnWorkerQueueBlockID:block:  block invoke   4305159916_x000D_
23 libdispatch dylib              0x2924  dispatch call block and release   32_x000D_
24 libdispatch dylib              0x4670  dispatch client callout   20_x000D_
25 libdispatch dylib              0xbdf4  dispatch lane serial drain   672_x000D_
26 libdispatch dylib              0xc968  dispatch lane invoke   392_x000D_
27 libdispatch dylib              0x171b8  dispatch workloop worker thread   656_x000D_
28 libsystem pthread dylib        0x10f4  pthread wqthread   288_x000D_
29 libsystem pthread dylib        0xe94 start wqthread   8_x000D_
   _x000D_
_x000D_
     Finally  paste the output of running  flutter doctor  v  here     _x000D_
_x000D_
   _x000D_
    Flutter (Channel stable  2 10 0  on macOS 12 2 21D49 darwin x64  locale fr FR)_x000D_
      Flutter version 2 10 0 at  Users foxtom Desktop flutter_x000D_
      Upstream repository https:  github com flutter flutter git_x000D_
      Framework revision 5f105a6ca7 (9 days ago)  2022 02 01 14:15:42  0800_x000D_
      Engine revision 776efd2034_x000D_
      Dart version 2 16 0_x000D_
      DevTools version 2 9 2_x000D_
_x000D_
    Android toolchain   develop for Android devices (Android SDK version 31 0 0)_x000D_
      Android SDK at  Users foxtom Library Android sdk_x000D_
      Platform android 31  build tools 31 0 0_x000D_
      Java binary at:  Applications Android Studio app Contents jre Contents Home bin java_x000D_
      Java version OpenJDK Runtime Environment (build 11 0 11 0 b60 7590822)_x000D_
      All Android licenses accepted _x000D_
_x000D_
    Xcode   develop for iOS and macOS (Xcode 13 2 1)_x000D_
      Xcode at  Applications Xcode app Contents Developer_x000D_
      CocoaPods version 1 11 2_x000D_
_x000D_
    Chrome   develop for the web_x000D_
      Chrome at  Applications Google Chrome app Contents MacOS Google Chrome_x000D_
_x000D_
    Android Studio (version 2021 1)_x000D_
      Android Studio at  Applications Android Studio app Contents_x000D_
      Flutter plugin can be installed from:_x000D_
        https:  plugins jetbrains com plugin 9212 flutter_x000D_
      Dart plugin can be installed from:_x000D_
        https:  plugins jetbrains com plugin 6351 dart_x000D_
      Java version OpenJDK Runtime Environment (build 11 0 11 0 b60 7590822)_x000D_
_x000D_
    VS Code (version 1 63 2)_x000D_
      VS Code at  Users foxtom Desktop Visual Studio Code app Contents_x000D_
      Flutter extension version 3 34 0_x000D_
_x000D_
    Connected device (3 available)_x000D_
      Now You See Me (mobile)   00008020 001204401E78002E   ios              iOS 15 3 19D50_x000D_
      macOS (desktop)           macos                       darwin x64       macOS 12 2 21D49 darwin x64_x000D_
      Chrome (web)              chrome                      web javascript   Google Chrome 98 0 4758 80_x000D_
_x000D_
    HTTP Host Availability_x000D_
      All required HTTP hosts are available_x000D_
_x000D_
  No issues found _x000D_
   _x000D_
_x000D_
  details </t>
  </si>
  <si>
    <t>PojavLauncherTeam-PojavLauncher-2727</t>
  </si>
  <si>
    <t>[BUG] Essentials causes crashes everytime</t>
  </si>
  <si>
    <t xml:space="preserve">    Describe the bug
Whenever you install Essentials or a mod that requires it on Forge  the game will crash after a few seconds  This is not the case when it s not present 
    The log file and images videos
 fml client latest log (https:  github com PojavLauncherTeam PojavLauncher files 8052140 fml client latest log)_x000D_
 latest log (https:  github com PojavLauncherTeam PojavLauncher files 8052141 latest log)_x000D_
    Steps To Reproduce
   markdown
1  Install Forge and run it _x000D_
2  Install any mod with Essentials built in  such as Scrollable Tooltips_x000D_
3  Run Forge again _x000D_
4  Crash
    Expected Behavior
The game should not be crashing with Essentials installed 
    Platform
   markdown
  Device model: Mi 10T_x000D_
  CPU architecture: aarch64_x000D_
  Android version: 11_x000D_
  PojavLauncher version: Latest Release
    Anything else 
 No response </t>
  </si>
  <si>
    <t>Anuken-Mindustry-6567</t>
  </si>
  <si>
    <t>Game crash when trying to view the amount of resources in a sector.</t>
  </si>
  <si>
    <t xml:space="preserve">  Platform  :  Windows 10 _x000D_
_x000D_
  Build  :  steam build 135 _x000D_
_x000D_
  Issue  :  The game crashes when trying to view all the resources in the sector (in this case  it happened at the Ground Zero)  _x000D_
_x000D_
  Steps to reproduce  :  I don t know how exactly I got such an error  but the crash itself happens when you try to look at the resources on the sector  _x000D_
_x000D_
  Link(s) to mod(s) used  :  no modifications _x000D_
_x000D_
  Save file  :   Ground Zero zip (https:  github com Anuken Mindustry files 8050416 Ground Zero zip) _x000D_
_x000D_
  (Crash) logs  :   crash report 02 11 2022 18 40 18 txt (https:  github com Anuken Mindustry files 8050351 crash report 02 11 2022 18 40 18 txt)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</si>
  <si>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LawnchairLauncher-lawnchair-2476</t>
  </si>
  <si>
    <t>Cannot open any app on Android Tiramisu (13)</t>
  </si>
  <si>
    <t>When I m trying to open any app on Android 13(Tiramisu) Lawnchair crashes with error:_x000D_
_x000D_
  java lang NoSuchMethodError: No virtual method setSplashscreenStyle(I)V in class Landroid app ActivityOptions  or its super classes (declaration of  android app ActivityOptions  appears in  system framework framework jar) at com android launcher3 BaseQuickstepLauncher getActivityLaunchOptions(Unknown Source:39)	at com android launcher3 BaseDraggingActivity startActivitySafely(Unknown Source:25)_x000D_
at com android launcher3 Launcher startActivitySafely(Unknown Source:26)_x000D_
	at com android launcher3 uioverrides QuickstepLauncher startActivitySafely(Unknown Source:14)_x000D_
	at com android launcher3 touch ItemClickHandler startAppShortcutOrInfoActivity(Unknown Source:93)_x000D_
	at com android launcher3 touch ItemClickHandler onClick(Unknown Source:58)_x000D_
	at com android launcher3 touch ItemClickHandler b(Unknown Source:0)_x000D_
	at com android launcher3 touch f onClick(Unknown Source:0)_x000D_
	at android view View performClick(View java:7456)_x000D_
	at android view View performClickInternal(View java:7433)_x000D_
	at android view View access 3700(View java:836)_x000D_
	at android view View PerformClick run(View java:28832)_x000D_
	at android os Handler handleCallback(Handler java:938)_x000D_
	at android os Handler dispatchMessage(Handler java:99)_x000D_
	at android os Looper loopOnce(Looper java:201)_x000D_
	at android os Looper loop(Looper java:288)_x000D_
	at android app ActivityThread main(ActivityThread java:7902)_x000D_
	at java lang reflect Method invoke(Native Method)_x000D_
	at com android internal os RuntimeInit MethodAndArgsCaller run(RuntimeInit java:548)_x000D_
	at com android internal os ZygoteInit main(ZygoteInit java:933)   _x000D_
_x000D_
Tested on version 12 0 Alpha 4 _x000D_
Android Developers site says that this method was added in Android Tiramisu</t>
  </si>
  <si>
    <t>hzi-braunschweig-SORMAS-Project-7975</t>
  </si>
  <si>
    <t>[Persons] System crashes when Hospital Informant clicks on the 'Contact' tab in the 'Persons' directory</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</si>
  <si>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The Hospital Informant doesn t have a  Contacts  directory  so he shouldn t have a  Contact  filter tab it the  Persons  directory either  However  this is present and when the user click on  Contact  the system crashes _x000D_
_x000D_
The system crashes and the error message appears also when the hospital informant user clicks on the  All _x000D_
 filter or when the user clicks on the  Persons  directory _x000D_
_x000D_
    Steps to Reproduce_x000D_
     Optional  please add more steps if necessary    _x000D_
1  Log in with a Hospital Informant user _x000D_
2  Open the  Persons  directory_x000D_
3  Click on the  Contact  filter tab _x000D_
_x000D_
    Actual Behavior_x000D_
The system crashes _x000D_
_x000D_
    Expected Behavior_x000D_
The  Contact  filter should not be shown for users without the CONTACTS VIEW user right _x000D_
_x000D_
    Screenshots_x000D_
  image (https:  user images githubusercontent com 89522688 153625761 e3aacc90 9920 446f b154 5837fc219d9f png)_x000D_
_x000D_
    System Details_x000D_
     Mandatory  you only have to specify the Server URL if the error appeared on a publicly available test server    _x000D_
  Device: Windows 10_x000D_
  SORMAS version: 1 69 0 SNAPSHOT_x000D_
  Android version Browser: Chrome_x000D_
  Server URL: local server and test de1 sormas netzlink com_x000D_
  User Role: Hospital Informant_x000D_
_x000D_
    Additional Information_x000D_
     Optional    _x000D_
</t>
  </si>
  <si>
    <t>TeamNewPipe-NewPipe-7854</t>
  </si>
  <si>
    <t>Audio not playing properly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</si>
  <si>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play any video_x000D_
doesn t matter if its from youtube youtubemusic soundcloud peertube_x000D_
listen to the audio_x000D_
_x000D_
    Actual behavior_x000D_
     Tell us what happens with the steps given above     _x000D_
_x000D_
sounds like a tornado_x000D_
_x000D_
    Expected behavior_x000D_
     Tell us what you expect to happen     _x000D_
_x000D_
audio in the video_x000D_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you can see speakers of my phone are working fine as it can play same video from the browser easily_x000D_
_x000D_
https:  user images githubusercontent com 84063610 153560436 c011df6f e969 4202 a9ba 2222ec0862ac mp4_x000D_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version:Android 10  One ui 2 5_x000D_
   Device model:Samsung S9(checked on Poco f1  only happens in S9)_x000D_
</t>
  </si>
  <si>
    <t>Anuken-Mindustry-6565</t>
  </si>
  <si>
    <t>Resource Duplication Bug</t>
  </si>
  <si>
    <t xml:space="preserve">  Platform  :  Android _x000D_
_x000D_
  Build  :  126 2 _x000D_
_x000D_
  Issue  :  A very simple and consistent way to dupe resources with any payload carrying builder unit _x000D_
_x000D_
  Steps to reproduce  :  To recreate this glitch  you need to select a block to pick up as a payload and delete it before the unit that you are controlling gets to it  resulting in your unit picking up the block despite deleting it and collecting the refund  (Note: it is easier to recreate this issue with a slower unit  such as an Oct  or by pausing the game and then selecting and deleting the block) _x000D_
_x000D_
  Link(s) to mod(s) used  :  NA _x000D_
_x000D_
  Save file  :  https:  drive google com file d 13PSoumBUWBXauttxRApHW9iGvhH9s1xX view usp drivesdk (Bug creates no lasting change or corruption  so this save is most likely to be completely normal) _x000D_
_x000D_
_x000D_
_x000D_
  (Crash) logs  :  NA because this bug doesn t crash the game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</si>
  <si>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PojavLauncherTeam-PojavLauncher-2723</t>
  </si>
  <si>
    <t>[BUG] Pls fix black texture</t>
  </si>
  <si>
    <t xml:space="preserve">    Describe the bug
After enter the world in forge 1 12 2 after 3 minutes the texture be black
    The log file and images videos
  2022 02 10 14 30 31 (https:  user images githubusercontent com 89273852 153431584 68d20408 1010 4f3a 897e 0a9cdeb904a9 png)_x000D_
  2022 02 10 14 30 42 (https:  user images githubusercontent com 89273852 153431592 69079c90 e021 4848 b31b 1be5047b7b7f png)_x000D_
  2022 02 10 14 30 52 (https:  user images githubusercontent com 89273852 153431593 7b1ca819 0c48 48d5 b4ef eac2c6032d03 png)_x000D_
  2022 02 10 14 30 48 (https:  user images githubusercontent com 89273852 153431599 83e9ad0a aa2e 40e5 b656 c13d611c3b8a png)_x000D_
  2022 02 10 14 31 29 (https:  user images githubusercontent com 89273852 153431605 1730604f 514e 4598 9f96 b752516073b2 png)_x000D_
  2022 02 10 14 31 19 (https:  user images githubusercontent com 89273852 153431607 80bf2129 df0d 4d8b a805 c4a9c5387bf6 png)_x000D_
  2022 02 10 14 38 23 (https:  user images githubusercontent com 89273852 153431609 96aca4b1 78c5 4e1f a1a9 4bef5170f71b png)_x000D_
  2022 02 10 14 38 17 (https:  user images githubusercontent com 89273852 153431615 2e0343c5 96fa 4408 a431 6ca971ff53df png)_x000D_
  2022 02 10 14 41 14 (https:  user images githubusercontent com 89273852 153431618 13b9627b 6420 4fad afe5 ede1dea55a9e png)_x000D_
  2022 02 10 14 38 29 (https:  user images githubusercontent com 89273852 153431622 89c6d679 a45a 40bd 8c32 39bf4b5307cb png)_x000D_
    Steps To Reproduce
   markdown
1 start pojavlauncher_x000D_
2 select forge 1 12 2_x000D_
3 enter the game_x000D_
4 enter the world_x000D_
5 after 3mn the texture be black
    Expected Behavior
Some textures be black like doors   plants  fire   shadow of mobs    
    Platform
   markdown
  Device model: samsung a12_x000D_
  CPU architecture: arm64 (aarch64)_x000D_
  Android version: 11_x000D_
  PojavLauncher version: crocus 319 0a3385acd openjdk(debug app)
    Anything else 
when I use gl4es 1 1 5 or gl4es 1 1 4 or gl4es 1 1 5   partial 3 2 i get the same result but if i use vgpu or virglrenderer the game crash</t>
  </si>
  <si>
    <t>PojavLauncherTeam-PojavLauncher-2721</t>
  </si>
  <si>
    <t>[BUG] clients crashes</t>
  </si>
  <si>
    <t xml:space="preserve">    Describe the bug
Clients crashes everytime i launch it_x000D_
Pixel linar cmpack wind optifine client crashes everytime i lainch_x000D_
_x000D_
Except vanilla minecraft it works perfectly
    The log file and images videos
_x000D_
     Minecraft Crash Report     _x000D_
   Daisy  daisy   _x000D_
_x000D_
Time: 2 6 22 2:20 PM_x000D_
Description: Unexpected error_x000D_
_x000D_
java lang NullPointerException: Unexpected error_x000D_
	at Yr p(Unknown Source)_x000D_
	at nt q(Unknown Source)_x000D_
	at fR dT(Unknown Source)_x000D_
	at fR run(Unknown Source)_x000D_
	at net minecraft client main Main main(Unknown Source)_x000D_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pl cmpack Main main(Main java:25)_x000D_
_x000D_
_x000D_
A detailed walkthrough of the error  its code path and all known details is as follows:_x000D_
                                                                                       _x000D_
_x000D_
   Head   _x000D_
Stacktrace:_x000D_
	at Yr p(Unknown Source)_x000D_
_x000D_
   Affected level   _x000D_
Details:_x000D_
	Level name: MpServer_x000D_
	All players: 1 total   gP  asianboiii  75  l  MpServer   x  347 69  y 68 00  z  451 76  _x000D_
	Chunk stats: MultiplayerChunkCache: 41  41_x000D_
	Level seed: 0_x000D_
	Level generator: ID 02   largeBiomes  ver 0  Features enabled: false_x000D_
	Level generator options: _x000D_
	Level spawn location:  181 00 64 00  376 00   World: ( 181 64  376)  Chunk: (at 11 4 8 in  12  24  contains blocks  192 0  384 to  177 255  369)  Region: ( 1  1  contains chunks  32  32 to  1  1  blocks  512 0  512 to  1 255  1)_x000D_
	Level time: 17097 game time  17097 day time_x000D_
	Level dimension: 0_x000D_
	Level storage version: 0x00000   Unknown _x000D_
	Level weather: Rain time: 0 (now: false)  thunder time: 0 (now: false)_x000D_
	Level game mode: Game mode: creative (ID 1)  Hardcore: false  Cheats: false_x000D_
	Forced entities: 24 total   Bx  Squid  258  l  MpServer   x  295 09  y 61 78  z  474 75   Bx  Squid  259  l  MpServer   x  294 53  y 61 00  z  467 63   Bx  Squid  709  l  MpServer   x  289 78  y 57 84  z  426 09   Bd  Bat  902  l  MpServer   x  384 25  y 15 10  z  418 25   AV  Zombie  76  l  MpServer   x  301 66  y 68 00  z  461 66   Ae  Creeper  664  l  MpServer   x  336 50  y 65 00  z  470 50   Ae  Creeper  665  l  MpServer   x  337 77  y 65 00  z  469 73   Ae  Creeper  155  l  MpServer   x  364 47  y 64 00  z  421 47   AI  Skeleton  987  l  MpServer   x  418 81  y 64 00  z  448 47   gP  asianboiii  75  l  MpServer   x  347 69  y 68 00  z  451 76   AI  Skeleton  29  l  MpServer   x  345 16  y 40 00  z  406 66   AV  Zombie  989  l  MpServer   x  380 00  y 23 00  z  487 59   AV  Zombie  670  l  MpServer   x  299 75  y 67 00  z  499 78   Ae  Creeper  287  l  MpServer   x  341 47  y 64 00  z  473 66   Ae  Creeper  1188  l  MpServer   x  332 50  y 65 00  z  470 50   Ae  Creeper  487  l  MpServer   x  334 42  y 63 00  z  476 55   AI  Skeleton  1191  l  MpServer   x  326 47  y 70 00  z  463 16   AQ  Spider  1064  l  MpServer   x  345 50  y 63 00  z  483 50   AI  Skeleton  1192  l  MpServer   x  313 97  y 70 00  z  454 59   AQ  Spider  1065  l  MpServer   x  347 50  y 63 00  z  484 50   AQ  Spider  1193  l  MpServer   x  322 38  y 70 00  z  452 69   AI  Skeleton  1066  l  MpServer   x  349 50  y 63 00  z  486 50   AI  Skeleton  302  l  MpServer   x  348 50  y 39 00  z  406 50   Bd  Bat  1083  l  MpServer   x  417 44  y 55 09  z  447 16  _x000D_
	Retry entities: 0 total    _x000D_
	Server brand: vanilla_x000D_
	Server type: Integrated singleplayer server_x000D_
Stacktrace:_x000D_
	at kR r(Unknown Source)_x000D_
	at fR q(Unknown Source)_x000D_
	at fR run(Unknown Source)_x000D_
	at net minecraft client main Main main(Unknown Source)_x000D_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pl cmpack Main main(Main java:25)_x000D_
_x000D_
   System Details   _x000D_
Details:_x000D_
	Minecraft Version: 1 8 8_x000D_
	Operating System: Linux (aarch64) version Android 8 1 0_x000D_
	CPU: 9x null_x000D_
	Java Version: 1 8 0 internal  Oracle Corporation_x000D_
	Java VM Version: OpenJDK 64 Bit Server VM (mixed mode)  Oracle Corporation_x000D_
	Memory: 219447416 bytes (209 MB)   571473920 bytes (545 MB) up to 571473920 bytes (545 MB)_x000D_
	JVM Flags: 3 total   Xms607M  Xmx607M  Xbootclasspath p: storage emulated 0 games PojavLauncher caciocavallo ResConfHack jar: storage emulated 0 games PojavLauncher caciocavallo cacio androidnw 1 10 SNAPSHOT jar: storage emulated 0 games PojavLauncher caciocavallo cacio shared 1 10 SNAPSHOT jar_x000D_
	IntCache: cache: 0  tcache: 0  allocated: 13  tallocated: 99_x000D_
	Launched Version: cmpack 1 8 8_x000D_
	LWJGL: 3 2 3 SNAPSHOT_x000D_
	OpenGL: GL4ES wrapper GL version 2 1 gl4es wrapper 1 1 4  ptitSeb_x000D_
	GL Caps: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Yes_x000D_
	Is Modded: Definitely  Client brand changed to  cmclient _x000D_
	Type: Client (map client txt)_x000D_
	Resource Packs: fruitberries official pack   short swords zip_x000D_
	Current Language: English (US)_x000D_
	Profiler Position: N A (disabled)_x000D_
	CPU: 9x null
    Steps To Reproduce
   markdown
1  I launch a client_x000D_
2  It crashes 17 or something seconds after loading
    Expected Behavior
I expected the clients to launch smoothly
    Platform
   markdown
  Device model: oppo a3s_x000D_
  CPU architecture: unknown_x000D_
  Android version: 8_x000D_
  PojavLauncher version: latest google play version
    Anything else 
Would like the clients to not crash thats alk</t>
  </si>
  <si>
    <t>PojavLauncherTeam-PojavLauncher-2717</t>
  </si>
  <si>
    <t>[BUG] Scoped storage causing crashes?</t>
  </si>
  <si>
    <t xml:space="preserve">    Describe the bug_x000D_
_x000D_
Running Minecraft with Forge works well  and I ve had no problems with it so far  However  upon installing Labymod  things break and it just crashes every time the game tries to load _x000D_
_x000D_
Attached will be the crash log and lastestlog _x000D_
_x000D_
    The log file and images videos_x000D_
_x000D_
 crash 2022 02 09 15 50 55 client txt (https:  github com PojavLauncherTeam PojavLauncher files 8034093 crash 2022 02 09 15 50 55 client txt)_x000D_
 latestlog txt (https:  github com PojavLauncherTeam PojavLauncher files 8034094 latestlog txt)_x000D_
_x000D_
_x000D_
    Steps To Reproduce_x000D_
_x000D_
   markdown_x000D_
1  Run 1 8 9_x000D_
2  Close game  don t make any worlds_x000D_
3  Install Forge using the lastest installer and run Forge 1 8 9  then close_x000D_
4  Run Labymod installer with the following settings:_x000D_
  a  1 8 9 Forge Install_x000D_
  b  Toggle sneak  Optifine  Keystrokes  DMG indicator  Skyblock add ons  and settings profiles_x000D_
5  Attempt to run Forge  but crashes_x000D_
   _x000D_
_x000D_
_x000D_
    Expected Behavior_x000D_
_x000D_
The game should launch with Labymod installed and add ons working as expected _x000D_
_x000D_
    Platform_x000D_
_x000D_
   markdown_x000D_
  Device model: Mi 10T_x000D_
  CPU architecture: aarch64_x000D_
  Android version: 11_x000D_
  PojavLauncher version: Latest Release_x000D_
   _x000D_
_x000D_
_x000D_
    Anything else _x000D_
_x000D_
A line that caught my attention was when the log said Permission Denied  With Android 10 came Scoped Storage  and it might be as a result of that that the game doesn t run for some reason </t>
  </si>
  <si>
    <t>GoogleCloudPlatform-fda-mystudies-4428</t>
  </si>
  <si>
    <t xml:space="preserve">[Android] Issue related to sign in again in enter your passcode screen </t>
  </si>
  <si>
    <t xml:space="preserve">Click on the Sign in again link in passcode screen and Verify _x000D_
  AR:   When click on Sign in again link in passcode screen  screen is loading continuously _x000D_
_x000D_
  Note:  _x000D_
_x000D_
App is crashing in the below screnario _x000D_
1  Click on the Sign in again link in passcode screen _x000D_
2  Lock the phone  and unclock again _x000D_
3  Open the app and enter right passcode and Verify _x000D_
_x000D_
https:  user images githubusercontent com 86007179 153189340 404696d1 0a23 45b8 b553 5bee1e79a216 mp4_x000D_
_x000D_
_x000D_
_x000D_
</t>
  </si>
  <si>
    <t>noahvogt-snailmail-1</t>
  </si>
  <si>
    <t>app crashing on sending email when no account is added</t>
  </si>
  <si>
    <t xml:space="preserve">When no account is logged in   set up and the user tries to send an email in the CreateMessageFragment using the  Send  Button (upper right corner)  the App crashes </t>
  </si>
  <si>
    <t>google-ExoPlayer-9956</t>
  </si>
  <si>
    <t>[Crash] Getting crash with the creation of Exoplayer through builder method</t>
  </si>
  <si>
    <t xml:space="preserve">We started receiving crash over firebase for Exoplayer  And the error message is as below :_x000D_
_x000D_
  Fatal Exception: java lang NullPointerException_x000D_
  Attempt to invoke virtual method  android os Looper com google android exoplayer2 ExoPlayerImpl getApplicationLooper()  on a null object reference_x000D_
_x000D_
_x000D_
  ExoPlayer version number : 2 13 3_x000D_
  Android version : 9 10 11 12 _x000D_
  Android device : Samsumg Google LGE Motorola_x000D_
_x000D_
_x000D_
We just made some changes to the creation of Exoplayer because the construction with builder reported ANR  So we try to avoid this by using a kotlin coroutine  and the code looks like as below  However  we were suddenly start receiving crash instead of ANR  Although we are still receiving some ANR  it is not in same place _x000D_
_x000D_
   _x000D_
CoroutineScope(Dispatchers IO) launch  _x000D_
            initExoPlayer()_x000D_
         _x000D_
_x000D_
private fun initExoPlayer():_x000D_
        SimpleExoPlayer   simpleExoPlayer_x000D_
         : SimpleExoPlayer Builder(applicationContext)_x000D_
             setAudioAttributes(_x000D_
                AudioAttributes Builder()_x000D_
                     setContentType(C CONTENT TYPE MUSIC)_x000D_
                     setUsage(C USAGE MEDIA)_x000D_
                     build() _x000D_
                true_x000D_
            )_x000D_
             setHandleAudioBecomingNoisy(true)_x000D_
             build()_x000D_
             also   simpleExoPlayer   it  _x000D_
_x000D_
   _x000D_
  Stack trace for ANR before the changes  _x000D_
   _x000D_
main (native): tid 1 systid 3412_x000D_
 00 pc 0x5e3e8 libc so _x000D_
 01 pc 0x131bb3 libart so _x000D_
 02 pc 0x4d409b libart so _x000D_
 03 pc 0x4d3f21 libart so _x000D_
       at android media AudioSystem newAudioSessionId(AudioSystem java)_x000D_
       at android media AudioManager generateAudioSessionId(AudioManager java:2567)_x000D_
       at com google android exoplayer2 C generateAudioSessionIdV21(C java:1170)_x000D_
       at com google android exoplayer2 SimpleExoPlayer  init (SimpleExoPlayer java:665)_x000D_
       at com google android exoplayer2 SimpleExoPlayer Builder build(SimpleExoPlayer java:558)_x000D_
       at com audiomack playback SimpleExoPlayerImpl init(SimpleExoPlayerImpl java:24)_x000D_
       at com audiomack MainApplication onCreate(MainApplication java:82)_x000D_
       at android app Instrumentation callApplicationOnCreate(Instrumentation java:1192)_x000D_
       at android app ActivityThread handleBindApplication(ActivityThread java:7593)_x000D_
       at android app ActivityThread access 1500(ActivityThread java:301)_x000D_
       at android app ActivityThread H handleMessage(ActivityThread java:2177)_x000D_
       at android os Handler dispatchMessage(Handler java:106)_x000D_
       at android os Looper loop(Looper java:246)_x000D_
       at android app ActivityThread main(ActivityThread java:8653)_x000D_
       at java lang reflect Method invoke(Method java)_x000D_
       at com android internal os RuntimeInit MethodAndArgsCaller run(RuntimeInit java:602)_x000D_
       at com android internal os ZygoteInit main(ZygoteInit java:1130)_x000D_
   _x000D_
_x000D_
  Stack trace for crash after the changes  _x000D_
   _x000D_
Fatal Exception: java lang NullPointerException: Attempt to invoke virtual method  android os Looper com google android exoplayer2 ExoPlayerImpl getApplicationLooper()  on a null object reference_x000D_
       at com google android exoplayer2 SimpleExoPlayer getApplicationLooper(SimpleExoPlayer java:1200)_x000D_
       at com google android exoplayer2 SimpleExoPlayer verifyApplicationThread(SimpleExoPlayer java:1951)_x000D_
       at com google android exoplayer2 SimpleExoPlayer getCurrentWindowIndex(SimpleExoPlayer java:1652)_x000D_
       at com google android exoplayer2 analytics AnalyticsCollector generateEventTime(AnalyticsCollector java:858)_x000D_
       at com google android exoplayer2 analytics AnalyticsCollector generateLoadingMediaPeriodEventTime(AnalyticsCollector java:877)_x000D_
       at com google android exoplayer2 analytics AnalyticsCollector onBandwidthSample(AnalyticsCollector java:722)_x000D_
       at com google android exoplayer2 upstream BandwidthMeter EventListener EventDispatcher lambda bandwidthSample 0(BandwidthMeter java:81)_x000D_
       at com google android exoplayer2 upstream BandwidthMeter EventListener EventDispatcher  ExternalSyntheticLambda0 run(BandwidthMeter java:8)_x000D_
       at android os Handler handleCallback(Handler java:790)_x000D_
       at android os Handler dispatchMessage(Handler java:99)_x000D_
       at android os Looper loop(Looper java:164)_x000D_
       at android app ActivityThread main(ActivityThread java:6543)_x000D_
       at java lang reflect Method invoke(Method java)_x000D_
       at com android internal os RuntimeInit MethodAndArgsCaller run(RuntimeInit java:440)_x000D_
       at com android internal os ZygoteInit main(ZygoteInit java:810)_x000D_
   _x000D_
</t>
  </si>
  <si>
    <t>PojavLauncherTeam-PojavLauncher-2713</t>
  </si>
  <si>
    <t>[BUG] Internal Exceptiom: io.netty.timeout.ReadTimeoutException</t>
  </si>
  <si>
    <t xml:space="preserve">    Describe the bug_x000D_
_x000D_
I m trying to play   Hypixle Turbo Cart Races   on 1 8 but  when I try to download the resource pack it freezes and kicks me from the game _x000D_
_x000D_
    The log file and images videos_x000D_
_x000D_
 latestlog txt (https:  github com PojavLauncherTeam PojavLauncher files 8029103 latestlog txt)_x000D_
_x000D_
_x000D_
https:  user images githubusercontent com 65428515 153118657 2486eb78 4b91 4256 885e 97b062b91247 mp4_x000D_
_x000D_
    Steps To Reproduce_x000D_
_x000D_
   markdown_x000D_
1  Open PojavLauncher_x000D_
2  Sign in to an account_x000D_
3  Select 1 8 as Minecraft version_x000D_
4  Click Play_x000D_
5  Once Minecraft loads  click Multiplayer_x000D_
6  Now click  Add Server _x000D_
7  In the Server Address slot set it as  www hypicel net _x000D_
8  Now join the newly added server_x000D_
9  Once in server  right click the compass to open the game menu_x000D_
10  Now look and click the enchanted jukebox to go to the Classic Games (Near the bottom left)_x000D_
11  Once teleported  you go to the square slime blocks that say  TCR  (Turbo Cart Racers) above it  This will move you to the  TCR  Section_x000D_
12  Once there  click the character in front of you (This will bring up the TCR menu)_x000D_
13  Click the Minecart Icon on the top as this will join you in the lobby_x000D_
14  FINALLY  in the chat type   resource  to open the resource pack book_x000D_
15  Now click the Resource Pack link and it will crash :)_x000D_
   _x000D_
_x000D_
_x000D_
    Expected Behavior_x000D_
_x000D_
For the resource pack to download_x000D_
_x000D_
    Platform_x000D_
_x000D_
   markdown_x000D_
  Device model: R96 14268 67 0_x000D_
  CPU architecture: x86 64_x000D_
  Android version: 11_x000D_
  PojavLauncher version: crocus v3 openjdk_x000D_
   _x000D_
_x000D_
_x000D_
    Anything else _x000D_
_x000D_
Just so you know  once you do this  hypixle will keep trying to lad the resource pack until you leave the game lobby  but since you crash  you can never  so you will get   soft blocked   from hypixel if you do this   _x000D_
_x000D_
  </t>
  </si>
  <si>
    <t>TeamNewPipe-NewPipe-7844</t>
  </si>
  <si>
    <t>Invisible ok button in override confirmation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</si>
  <si>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1  The app should not be open _x000D_
2  Share a link with NewPipe_x000D_
3  Choose the download option_x000D_
4  Start a download_x000D_
5  Stop it (or leave it  just make sure that there is a file  It could happen on crash as well)_x000D_
6  Download it again by using same title and settings_x000D_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There is a menu asking if I want to override the existing file  The ok button works but it s invisible (I have miui force dark mode off so it s not a conflict with it)_x000D_
_x000D_
_x000D_
_x000D_
    Expected behavior_x000D_
     Tell us what you expect to happen     _x000D_
The button should be visible  I tapped where it was supposed to be just because I know it from old versions but there are new fellas here who might have difficulties_x000D_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img src  https:  user images githubusercontent com 69008910 153088376 8e7a0555 1f42 46d0 baff a1accd16e908 jpg  width  300px  alt  Screenshot 2022 02 09 00 42 03 865 org schabi newpipe jpg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over xiaomi eu custom ROM  version 12 5 7_x000D_
   Device model: Redmi K30 Pro_x000D_
_x000D_
_x000D_
     Force minimize images    </t>
  </si>
  <si>
    <t>TeamNewPipe-NewPipe-7843</t>
  </si>
  <si>
    <t>Comments very rarely fail to load with an "ArrayIndexOutOfBoundsException"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</si>
  <si>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YouTube video _x000D_
2  Wait while the comments load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comments fail to load  and let you retry (which should work) or view the error  This issue seems to be very rare as I ve only encountered it once and could not get it to come up again so I m not sure what caused it _x000D_
_x000D_
    Expected behavior_x000D_
     Tell us what you expect to happen     _x000D_
The comments should load without the chance of an error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N A_x000D_
_x000D_
_x000D_
    Logs_x000D_
     If your bug includes a crash (where you re shown the Error Report page with a bunch of info)  tap on  Copy formatted report  at the bottom and paste it here:    _x000D_
_x000D_
     That s right  here     _x000D_
   Exception_x000D_
    User Action:   requested comments_x000D_
    Request:   Start loading: https:  www youtube com watch v Exh9ToCuf7c_x000D_
    Content Country:   US_x000D_
    Content Language:   en US_x000D_
    App Language:   en US_x000D_
    Service:   YouTube_x000D_
    Version:   0 21 16_x000D_
    OS:   Linux Android 12   31_x000D_
 details  summary  b Crash log   b   summary  p _x000D_
_x000D_
   _x000D_
java lang ArrayIndexOutOfBoundsException: length 0  index  1_x000D_
	at java util ArrayList get(ArrayList java:439)_x000D_
	at com grack nanojson JsonArray get(Unknown Source:6)_x000D_
	at com grack nanojson JsonArray getObject(Unknown Source:0)_x000D_
	at com grack nanojson JsonArray getObject(Unknown Source:5)_x000D_
	at org schabi newpipe extractor services youtube extractors YoutubeCommentsExtractor collectCommentsFrom(YoutubeCommentsExtractor java:191)_x000D_
	at org schabi newpipe extractor services youtube extractors YoutubeCommentsExtractor getPage(YoutubeCommentsExtractor java:182)_x000D_
	at org schabi newpipe extractor services youtube extractors YoutubeCommentsExtractor getInitialPage(YoutubeCommentsExtractor java:72)_x000D_
	at org schabi newpipe extractor utils ExtractorHelper getItemsPageOrLogError(ExtractorHelper java:19)_x000D_
	at org schabi newpipe extractor comments CommentsInfo getInfo(CommentsInfo java:48)_x000D_
	at org schabi newpipe extractor comments CommentsInfo getInfo(CommentsInfo java:29)_x000D_
	at org schabi newpipe util ExtractorHelper lambda getCommentsInfo 7(ExtractorHelper java:155)_x000D_
	at org schabi newpipe util ExtractorHelper  r8 lambda 60N  UL7E5eaxFaFO1bZZmnfwM8(Unknown Source:0)_x000D_
	at org schabi newpipe util ExtractorHelper  ExternalSyntheticLambda2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java:920)_x000D_
_x000D_
   _x000D_
  details _x000D_
 hr _x000D_
_x000D_
_x000D_
_x000D_
     Please fill this section if you did not provide a log generated by NewPipe    _x000D_
_x000D_
    Device info_x000D_
_x000D_
   Android version Custom ROM version: GrapheneOS 12 (SQ1A 220105 002 2022013120)_x000D_
   Device model: Pixel 4 XL_x000D_
</t>
  </si>
  <si>
    <t>PojavLauncherTeam-PojavLauncher-2708</t>
  </si>
  <si>
    <t>[BUG] Per Version Config Game Directory does not work on Android 10+</t>
  </si>
  <si>
    <t xml:space="preserve">    Describe the bug
Due to the storage permissions changes with Android 10   the Per Version Config Game Directory setting accessible by long tapping the version number doesn t request write access to folders outside of the app s secure data store  and thus doesn t work_x000D_
_x000D_
My use case for this would be using Syncthing to synchronize world saves across devices  and to do so Pojav launcher needs to be loading the world files from a storage location that is mutually accessible by both apps   _x000D_
    The log file and images videos
 latestlog txt (https:  github com PojavLauncherTeam PojavLauncher files 8022025 latestlog txt)_x000D_
    Steps To Reproduce
   markdown
1  Set the game directory to   storage emulated 0 Minecraft or anything outside of the app s secure storage_x000D_
2  Launch the game_x000D_
3  The game will launch fine  but if you try to create a world  the game crashes due to not having write permissions to the specified directory  It does have permission to write folders  and it will have done so  but no files will be written in  storage emulated 0 Minecraft
    Expected Behavior
I would expect Pojav launcher to request access to this folder  or have some means for identifying and not allowing the user to specify a game directory that Pojav Launcher is unable to request write permissions from the user for  Currently as far as I can tell  on Android 10   the game directory feature is totally useless because the app doesn t properly request permissions to use this folder _x000D_
_x000D_
Currently  as far as I can tell there s no way to grant this permission to Pojav launcher without it being requested in the app s manifest at least  I know that  android permission MANAGE EXTERNAL STORAGE  would work  however due to the Play Store s restrictions on this permission  other options  Including the  Media Store API (https:  developer android com training data storage shared media)  might need to be explored 
    Platform
   markdown
  Device model: Oneplus 8T 12gb 256gb_x000D_
  CPU architecture: aarch64 (Snapdragon 865)_x000D_
  Android version: 11  Kernel 4 19 110 perf _x000D_
  PojavLauncher version: Latest Play Store Release  Crocus
    Anything else 
 No response </t>
  </si>
  <si>
    <t>TeamNewPipe-NewPipe-7834</t>
  </si>
  <si>
    <t>no connection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</si>
  <si>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model:_x000D_
_x000D_
   Exception_x000D_
    User Action:   requested kiosk_x000D_
    Request:   Start loading: https:  www youtube com feed trending_x000D_
    Content Country:   BR_x000D_
    Content Language:   pt BR_x000D_
    App Language:   pt BR_x000D_
    Service:   YouTube_x000D_
    Version:   0 21 16_x000D_
    OS:   Linux Android 11   30_x000D_
 details  summary  b Crash log   b   summary  p _x000D_
_x000D_
   _x000D_
java net UnknownHostException: Unable to resolve host  www youtube com : No address associated with hostname_x000D_
	at java net Inet6AddressImpl lookupHostByName(Inet6AddressImpl java:124)_x000D_
	at java net Inet6AddressImpl lookupAllHostAddr(Inet6AddressImpl java:103)_x000D_
	at java net InetAddress getAllByName(InetAddress java:1152)_x000D_
	at okhttp3 Dns 1 lookup(Dns java:40)_x000D_
	at okhttp3 internal connection RouteSelector resetNextInetSocketAddress(RouteSelector java:185)_x000D_
	at okhttp3 internal connection RouteSelector nextProxy(RouteSelector java:149)_x000D_
	at okhttp3 internal connection RouteSelector next(RouteSelector java:84)_x000D_
	at okhttp3 internal connection StreamAllocation findConnection(StreamAllocation java:215)_x000D_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org schabi newpipe DownloaderImpl execute(DownloaderImpl java:233)_x000D_
	at org schabi newpipe extractor downloader Downloader post(Downloader java:131)_x000D_
	at org schabi newpipe extractor downloader Downloader post(Downloader java:114)_x000D_
	at org schabi newpipe extractor services youtube YoutubeParsingHelper areHardcodedClientVersionAndKeyValid(YoutubeParsingHelper java:347)_x000D_
	at org schabi newpipe extractor services youtube YoutubeParsingHelper getClientVersion(YoutubeParsingHelper java:434)_x000D_
	at org schabi newpipe extractor services youtube YoutubeParsingHelper prepareDesktopJsonBuilder(YoutubeParsingHelper java:819)_x000D_
	at org schabi newpipe extractor services youtube extractors YoutubeTrendingExtractor onFetchPage(YoutubeTrendingExtractor java:60)_x000D_
	at org schabi newpipe extractor Extractor fetchPage(Extractor java:54)_x000D_
	at org schabi newpipe extractor kiosk KioskInfo getInfo(KioskInfo java:57)_x000D_
	at org schabi newpipe util ExtractorHelper lambda getKioskInfo 11(ExtractorHelper java:184)_x000D_
	at org schabi newpipe util ExtractorHelper  r8 lambda NbG7JFGg0N9HK 3exJNRB9r hYY(Unknown Source:0)_x000D_
	at org schabi newpipe util ExtractorHelper  ExternalSyntheticLambda4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details _x000D_
 hr _x000D_
</t>
  </si>
  <si>
    <t>Anuken-Mindustry-6560</t>
  </si>
  <si>
    <t>Corrupt JPEG</t>
  </si>
  <si>
    <t xml:space="preserve">  Platform  : windows_x000D_
_x000D_
  Build  : steam version 126 3_x000D_
_x000D_
  Issue  : game crashes as soon as i start it up _x000D_
_x000D_
  Steps to reproduce  : i believe i changed the pagefile size on windows it gives me an error saying corrupt jpg_x000D_
  image (https:  user images githubusercontent com 74247695 152846506 08e3cb80 e498 4eaf acfc 73adaa656aa0 png)_x000D_
_x000D_
_x000D_
  (Crash) logs  : _x000D_
 crash report 02 07 2022 23 36 56 txt (https:  github com Anuken Mindustry files 8017681 crash report 02 07 2022 23 36 56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</si>
  <si>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doublesymmetry-react-native-track-player-1403</t>
  </si>
  <si>
    <t>Android crash when I launch TrackPlayer</t>
  </si>
  <si>
    <t xml:space="preserve">  Describe the Bug  _x000D_
Android crash when I launch TrackPlayer_x000D_
_x000D_
  Steps To Reproduce  _x000D_
_x000D_
  Code To Reproduce  _x000D_
_x000D_
           _x000D_
const currentTrack   await TrackPlayer getCurrentTrack()_x000D_
        if (session intro)  _x000D_
_x000D_
            setTimeCode(session intro)_x000D_
         _x000D_
_x000D_
        if (currentTrack     null)  _x000D_
            if (audioSession id     session id)  _x000D_
                return _x000D_
             _x000D_
_x000D_
         _x000D_
_x000D_
        await TrackPlayer destroy()_x000D_
_x000D_
        const setupPlayer   await TrackPlayer setupPlayer()_x000D_
_x000D_
        const updateOptions   await TrackPlayer updateOptions( _x000D_
               Media controls capabilities_x000D_
            capabilities:  _x000D_
                Capability Play _x000D_
                Capability Pause _x000D_
_x000D_
              _x000D_
            stopWithApp: true _x000D_
_x000D_
               Capabilities that will show up when the notification is in the compact form on Android_x000D_
            compactCapabilities:  Capability Play  Capability Pause   _x000D_
_x000D_
               Icons for the notification on Android (if you don t like the default ones)_x000D_
_x000D_
_x000D_
         ) _x000D_
           Add a track to the queue_x000D_
_x000D_
        setAudioSession(session)_x000D_
        const addSession   await TrackPlayer add( _x000D_
            id: session id _x000D_
            url: session audio _x000D_
            title: session title _x000D_
            artist: session expert _x000D_
            artwork: session image_x000D_
         ) _x000D_
_x000D_
           Start playing it_x000D_
        setAudioState( playing )_x000D_
_x000D_
_x000D_
_x000D_
        await TrackPlayer play()_x000D_
   _x000D_
_x000D_
  Environment Info:  _x000D_
Android :_x000D_
   buildToolsVersion    30 0 0 _x000D_
        minSdkVersion   21_x000D_
        compileSdkVersion   30_x000D_
        targetSdkVersion   30_x000D_
  How I can Help  _x000D_
    _x000D_
java lang NoSuchMethodError: No virtual method setAudioAttributes(Lcom google android exoplayer2 audio AudioAttributes )V in class Lcom google android exoplayer2 SimpleExoPlayer  or its super classes (declaration of  com google android exoplayer2 SimpleExoPlayer  appears in  data app   f4RCPnknhSDVaSXSXE3MSg   com taiwa manuel atempo cJ4k6STdUv8Iy4zXxSSdow   base apk)_x000D_
        at com guichaguri trackplayer service MusicManager createLocalPlayback(MusicManager java:135)_x000D_
        at com guichaguri trackplayer service MusicBinder getPlayback(MusicBinder java:34)_x000D_
        at com guichaguri trackplayer module MusicModule lambda getCurrentTrack 24 MusicModule(MusicModule java:424)_x000D_
        at com guichaguri trackplayer module    Lambda MusicModule Xm2tTFhYcHlc8y6vDfMFWxLovSE run(Unknown Source:4)_x000D_
        at android os Handler handleCallback(Handler java:938)_x000D_
        at android os Handler dispatchMessage(Handler java:99)_x000D_
        at android os Looper loop(Looper java:246)_x000D_
        at android app ActivityThread main(ActivityThread java:8512)_x000D_
        at java lang reflect Method invoke(Native Method)_x000D_
        at com android internal os RuntimeInit MethodAndArgsCaller run(RuntimeInit java:602)_x000D_
        at com android internal os ZygoteInit main(ZygoteInit java:1139)_x000D_
   _x000D_
_x000D_
What can you do to help resolve this _x000D_
Have you investigated the underlying JS or Swift Android code causing this bug _x000D_
Can you create a Pull Request with a fix _x000D_
</t>
  </si>
  <si>
    <t>PojavLauncherTeam-PojavLauncher-2706</t>
  </si>
  <si>
    <t>Crashes[BUG] &lt;Short description&gt;</t>
  </si>
  <si>
    <t xml:space="preserve">    Describe the bug
Game crashes alot when play on any big server even I play on 2 chunks unlimited fps still crash pojav fix it      
    The log file and images videos
Idk
    Steps To Reproduce
   markdown
Idk
    Expected Behavior
Idk
    Platform
   markdown
  Device model: _x000D_
  CPU architecture: _x000D_
  Android version: _x000D_
  PojavLauncher version:
    Anything else 
 No response </t>
  </si>
  <si>
    <t>PojavLauncherTeam-PojavLauncher-2703</t>
  </si>
  <si>
    <t>[BUG] Clicking on "Launch a mod installer" does not work on google tv.</t>
  </si>
  <si>
    <t xml:space="preserve">    Describe the bug
When I click the  Launch a mod installer (Forge  LabyMod  Fabric  etc     button  it says No application can handle this action  I know this is most likely an android bug  but is there any way to fix it  I ve researcher everywhere on google and even tried using the custom arguments button and instailling from my pc versions _x000D_
Also when i installed from my pc version of Optifine M5 under C: Users u AppData Roaming  minecraft versions to my  minecraft folder on the pojav launcher folder it crashed 
    The log file and images videos
          beggining with launcher debug_x000D_
Info: Launcher version: crocus v3 openjdk_x000D_
Info: LWJGL3 directory:  jsr305 jar  lwjgl stb jar  lwjgl jar  version  lwjgl tinyfd jar  lwjgl glfw classes jar  lwjgl openal jar  lwjgl opengl jar  lwjgl jemalloc jar _x000D_
Architecture: arm_x000D_
Info: Custom Java arguments:   _x000D_
Info: Selected Minecraft version: 1 8 9 forge1 8 9 11 15 1 2318 1 8 9 (1 8 9)_x000D_
          beginning of main_x000D_
Added custom env: TMPDIR  data user 0 net kdt pojavlaunch cache_x000D_
Added custom env: AWTSTUB WIDTH 1920_x000D_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Internal bin: sbin: system sbin: product bin: apex com android runtime bin: system bin: system xbin: odm bin: vendor bin: vendor xbin_x000D_
Added custom env: force glsl extensions warn true_x000D_
Added custom env: LIBGL NORMALIZE 1_x000D_
Added custom env: LD LIBRARY PATH  data user 0 net kdt pojavlaunch runtimes Internal lib aarch32 jli: data user 0 net kdt pojavlaunch runtimes Internal lib aarch32: system lib: vendor lib: vendor lib hw: data app net kdt pojavlaunch A5IkJ RZaCNaGHQzIofJgg   lib arm_x000D_
Added custom env: POJAV RENDERER opengles2 5_x000D_
Added custom env: LIBGL ES 2_x000D_
Added custom env: MESA LOADER DRIVER OVERRIDE zink_x000D_
Added custom env: MESA GLSL VERSION OVERRIDE 460_x000D_
Added custom env: JAVA HOME  data user 0 net kdt pojavlaunch runtimes Internal_x000D_
Added custom env: MESA GL VERSION OVERRIDE 4 6_x000D_
Added custom env: allow glsl extension directive midshader true_x000D_
Added custom env: REGAL GL RENDERER Regal_x000D_
Added custom env: AWTSTUB HEIGHT 1080_x000D_
Initialising gl4es_x000D_
v1 1 5 built on Aug 18 2021 16:48:22_x000D_
Using GLES 2 0 backend_x000D_
loaded: libGLESv2 so_x000D_
loaded: libEGL so_x000D_
Using GLES 2 0 backend_x000D_
Hardware Full NPOT detected and used_x000D_
Extension GL EXT blend minmax  detected and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mapbuffer  detected_x000D_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EXT texture rg  detected and used_x000D_
Extension GL EXT color buffer float  detected and used_x000D_
Extension GL EXT color buffer half float  detected and used_x000D_
high precision float in fragment shader available and used_x000D_
Max vertex attrib: 16_x000D_
Extension GL OES standard derivatives  detected and used_x000D_
Max texture size: 8192_x000D_
Max Varying Vector: 15_x000D_
Texture Units: 16 16 (hardware: 16)  Max lights: 8  Max planes: 6_x000D_
Max Color Attachments: 1   Draw buffers: 1_x000D_
Hardware vendor is ARM_x000D_
GLSL 300 es supported_x000D_
GLSL 310 es supported and used_x000D_
sRGB surface supported_x000D_
EGLImage to Texture2D supported_x000D_
EGLImage to RenderBuffer supported_x000D_
ignore MipMap_x000D_
Targeting OpenGL 2 1_x000D_
NPOT texture handled in hardware_x000D_
Not trying to batch small subsequent glDrawXXXX_x000D_
try to use VBO_x000D_
glXMakeCurrent FBO workaround enabled_x000D_
FBO workaround for using binded texture enabled_x000D_
Force texture for Attachment color0 on FBO_x000D_
Hack to trigger a SwapBuffers when a Full Framebuffer Blit on default FBO is done_x000D_
Force normals to be normalized on FPE shaders_x000D_
glX Will try to recycle EGL Surface_x000D_
Current folder is: _x000D_
I jrelog  ( 8647): dlopen libgl4es 115 so success_x000D_
I jrelog  ( 8647): dlopen  data user 0 net kdt pojavlaunch runtimes Internal lib aarch32 jli libjli so success_x000D_
I jrelog  ( 8647): dlopen libjvm so failed: dlopen failed: library  libjvm so  not found_x000D_
I jrelog  ( 8647): dlopen  data user 0 net kdt pojavlaunch runtimes Internal lib aarch32 client libjvm so success_x000D_
I jrelog  ( 8647): dlopen  data user 0 net kdt pojavlaunch runtimes Internal lib aarch32 libverify so success_x000D_
I jrelog  ( 8647): dlopen  data user 0 net kdt pojavlaunch runtimes Internal lib aarch32 libjava so success_x000D_
I jrelog  ( 8647): dlopen  data user 0 net kdt pojavlaunch runtimes Internal lib aarch32 libnet so success_x000D_
I jrelog  ( 8647): dlopen  data user 0 net kdt pojavlaunch runtimes Internal lib aarch32 libnio so success_x000D_
I jrelog  ( 8647): dlopen  data user 0 net kdt pojavlaunch runtimes Internal lib aarch32 libawt so success_x000D_
I jrelog  ( 8647): dlopen  data user 0 net kdt pojavlaunch runtimes Internal lib aarch32 libawt headless so success_x000D_
I jrelog  ( 8647): dlopen  data user 0 net kdt pojavlaunch runtimes Internal lib aarch32 libfreetype so success_x000D_
I jrelog  ( 8647): dlopen  data user 0 net kdt pojavlaunch runtimes Internal lib aarch32 libfontmanager so success_x000D_
I jrelog  ( 8647): dlopen  data user 0 net kdt pojavlaunch runtimes Internal lib aarch32 libjsdt so success_x000D_
I jrelog  ( 8647): dlopen  data user 0 net kdt pojavlaunch runtimes Internal lib aarch32 libmlib image so success_x000D_
I jrelog  ( 8647): dlopen  data user 0 net kdt pojavlaunch runtimes Internal lib aarch32 libunpack so success_x000D_
I jrelog  ( 8647): dlopen  data user 0 net kdt pojavlaunch runtimes Internal lib aarch32 liblcms so success_x000D_
I jrelog  ( 8647): dlopen  data user 0 net kdt pojavlaunch runtimes Internal lib aarch32 libzip so success_x000D_
I jrelog  ( 8647): dlopen  data user 0 net kdt pojavlaunch runtimes Internal lib aarch32 libinstrument so failed: dlopen failed: library  libtinyiconv so  not found_x000D_
I jrelog  ( 8647): dlopen  data user 0 net kdt pojavlaunch runtimes Internal lib aarch32 libjava crw demo so success_x000D_
I jrelog  ( 8647): dlopen  data user 0 net kdt pojavlaunch runtimes Internal lib aarch32 libawt xawt so success_x000D_
I jrelog  ( 8647): dlopen  data user 0 net kdt pojavlaunch runtimes Internal lib aarch32 client libjvm so success_x000D_
I jrelog  ( 8647): dlopen  data user 0 net kdt pojavlaunch runtimes Internal lib aarch32 libjdwp so success_x000D_
I jrelog  ( 8647): dlopen  data user 0 net kdt pojavlaunch runtimes Internal lib aarch32 libsunec so success_x000D_
I jrelog  ( 8647): dlopen  data user 0 net kdt pojavlaunch runtimes Internal lib aarch32 libverify so success_x000D_
I jrelog  ( 8647): dlopen  data user 0 net kdt pojavlaunch runtimes Internal lib aarch32 libfreetype so success_x000D_
I jrelog  ( 8647): dlopen  data user 0 net kdt pojavlaunch runtimes Internal lib aarch32 libawt so success_x000D_
I jrelog  ( 8647): dlopen  data user 0 net kdt pojavlaunch runtimes Internal lib aarch32 libdt socket so success_x000D_
I jrelog  ( 8647): dlopen  data user 0 net kdt pojavlaunch runtimes Internal lib aarch32 libjsig so success_x000D_
I jrelog  ( 8647): dlopen  data user 0 net kdt pojavlaunch runtimes Internal lib aarch32 libj2pcsc so success_x000D_
I jrelog  ( 8647): dlopen  data user 0 net kdt pojavlaunch runtimes Internal lib aarch32 libjawt so success_x000D_
I jrelog  ( 8647): dlopen  data user 0 net kdt pojavlaunch runtimes Internal lib aarch32 libawt headless so success_x000D_
I jrelog  ( 8647): dlopen  data user 0 net kdt pojavlaunch runtimes Internal lib aarch32 libjaas unix so success_x000D_
I jrelog  ( 8647): dlopen  data user 0 net kdt pojavlaunch runtimes Internal lib aarch32 libj2gss so success_x000D_
I jrelog  ( 8647): dlopen  data user 0 net kdt pojavlaunch runtimes Internal lib aarch32 libfontmanager so success_x000D_
I jrelog  ( 8647): dlopen  data user 0 net kdt pojavlaunch runtimes Internal lib aarch32 libnio so success_x000D_
I jrelog  ( 8647): dlopen  data user 0 net kdt pojavlaunch runtimes Internal lib aarch32 libjava so success_x000D_
I jrelog  ( 8647): dlopen  data user 0 net kdt pojavlaunch runtimes Internal lib aarch32 libnet so success_x000D_
I jrelog  ( 8647): dlopen  data user 0 net kdt pojavlaunch runtimes Internal lib aarch32 libnpt so failed: dlopen failed: library  libtinyiconv so  not found_x000D_
I jrelog  ( 8647): dlopen  data user 0 net kdt pojavlaunch runtimes Internal lib aarch32 libjsound so success_x000D_
I jrelog  ( 8647): dlopen  data user 0 net kdt pojavlaunch runtimes Internal lib aarch32 libsctp so success_x000D_
I jrelog  ( 8647): dlopen  data user 0 net kdt pojavlaunch runtimes Internal lib aarch32 libhprof so success_x000D_
I jrelog  ( 8647): dlopen  data user 0 net kdt pojavlaunch runtimes Internal lib aarch32 libtinyiconv so success_x000D_
I jrelog  ( 8647): dlopen  data user 0 net kdt pojavlaunch runtimes Internal lib aarch32 libjpeg so success_x000D_
I jrelog  ( 8647): dlopen  data user 0 net kdt pojavlaunch runtimes Internal lib aarch32 jli libjli so success_x000D_
I jrelog  ( 8647): dlopen  data user 0 net kdt pojavlaunch runtimes Internal lib aarch32 libmanagement so success_x000D_
I jrelog  ( 8647): dlopen  data user 0 net kdt pojavlaunch runtimes Internal lib aarch32 libj2pkcs11 so success_x000D_
I jrelog  ( 8647): dlopen  data app net kdt pojavlaunch A5IkJ RZaCNaGHQzIofJgg   lib arm libopenal so success_x000D_
I jrelog  ( 8647): Done processing args_x000D_
I jrelog  ( 8647): Found JLI lib_x000D_
I jrelog  ( 8647): Calling JLI Launch_x000D_
 10:24:35   main INFO : Loading tweak class name net minecraftforge fml common launcher FMLTweaker_x000D_
 10:24:35   main ERROR : Unable to launch_x000D_
java lang ClassNotFoundException: net minecraftforge fml common launcher FMLTweaker_x000D_
	at java net URLClassLoader findClass(URLClassLoader java:382)    :1 8 0 internal _x000D_
	at java lang ClassLoader loadClass(ClassLoader java:418)    :1 8 0 internal _x000D_
	at sun misc Launcher AppClassLoader loadClass(Launcher java:352)    :1 8 0 internal _x000D_
	at java lang ClassLoader loadClass(ClassLoader java:351)    :1 8 0 internal _x000D_
	at net minecraft launchwrapper LaunchClassLoader findClass(LaunchClassLoader java:106)   launchwrapper 1 12 jar:  _x000D_
	at java lang ClassLoader loadClass(ClassLoader java:418)    :1 8 0 internal _x000D_
	at java lang ClassLoader loadClass(ClassLoader java:351)    :1 8 0 internal _x000D_
	at java lang Class forName0(Native Method)    :1 8 0 internal _x000D_
	at java lang Class forName(Class java:348)    :1 8 0 internal _x000D_
	at net minecraft launchwrapper Launch launch(Launch java:98)  launchwrapper 1 12 jar:  _x000D_
	at net minecraft launchwrapper Launch main(Launch java:28)  launchwrapper 1 12 jar:  _x000D_
FORTIFY: pthread mutex lock called on a destroyed mutex (0xf2c6c210)_x000D_
process killed with signal 6 code 0xffffffff addr 0x21c7_x000D_
          beginning of crash_x000D_
    Steps To Reproduce
   markdown
Open pojavlauncher on google tv  _x000D_
Click on   Launch a mod installer (Forge  LabyMod  Fabric  etc     under options _x000D_
Get: No application can handle this action 
    Expected Behavior
I excpect to see a file sorter of some sorts 
    Platform
   markdown
  Device model: Google Chromecast with Google TV_x000D_
  CPU architecture: arm_x000D_
  Android version: 10_x000D_
  PojavLauncher version: in the about section it says crocus v3 openjdk
    Anything else 
 No response </t>
  </si>
  <si>
    <t>fossasia-pslab-android-2320</t>
  </si>
  <si>
    <t>Accelerometer and Gyroscope instruments crash</t>
  </si>
  <si>
    <t xml:space="preserve">  Actual Behaviour  _x000D_
_x000D_
When trying to open these two instrument  they crash_x000D_
_x000D_
  Expected Behaviour  _x000D_
_x000D_
They should not crash_x000D_
_x000D_
  Steps to reproduce it  _x000D_
_x000D_
Try opening  Accelerometer  or  Gyroscope  instruments_x000D_
_x000D_
  LogCat for the issue  _x000D_
_x000D_
   _x000D_
java lang SecurityException: To use the sampling rate of 0 microseconds  app needs to declare the normal permission HIGH SAMPLING RATE SENSORS _x000D_
        at android hardware SystemSensorManager BaseEventQueue enableSensor(SystemSensorManager java:790)_x000D_
   _x000D_
_x000D_
  Screenshots of the issue  _x000D_
_x000D_
  N A_x000D_
_x000D_
  Would you like to work on the issue   _x000D_
_x000D_
Yes</t>
  </si>
  <si>
    <t>PojavLauncherTeam-PojavLauncher-2699</t>
  </si>
  <si>
    <t>[BUG] game is crashing</t>
  </si>
  <si>
    <t xml:space="preserve">    Describe the bug
First time i started PoJavLauncher it got infinite building world even if i waited 5 minutes it did nothing_x000D_
Second time it got crashed with code error: 1
    The log file and images videos
I dont allowed PoJavLauncher to storage access  because it doesnt asked for it
    Steps To Reproduce
   markdown
1  Start PoJavLauncher_x000D_
2  Load any version (i loaded 1 12 2)_x000D_
3  Close game with close all apps_x000D_
4  Start that version again_x000D_
5  Get a error: 1
    Expected Behavior
I expect game to launch
    Platform
   markdown
  Device model: Xiaomi redmi 9C_x000D_
  CPU architecture: _x000D_
  Android version: 10_x000D_
  PojavLauncher version: crocus v3 openjdk from play store
    Anything else 
 No response </t>
  </si>
  <si>
    <t>PojavLauncherTeam-PojavLauncher-2698</t>
  </si>
  <si>
    <t>[BUG] Old versions fail to start on any other renderer than zink/vulkan</t>
  </si>
  <si>
    <t xml:space="preserve">    Describe the bug
vgpu or any gl4es renderer crashes after a couple seconds in game 
    The log file and images videos
_x000D_
https:  user images githubusercontent com 95535264 152683372 0531a106 385a 457f 94ee 768ed1f75e1c mp4_x000D_
_x000D_
I picked vgpu there  but I can guarantee you the same happens if I pick any gl4es renderer  Edited to zoom in  and compress the file to 10mb  There is also no log file 
    Steps To Reproduce
   markdown
1  Start pojav launcher_x000D_
2  Pick any render other than vulkan zink _x000D_
3  Start up Minecraft 1 0 (some later and earlier versions do this too)_x000D_
4  Enter a world _x000D_
5  The game crashes without a crash log  or anything else after a couple seconds in the world 
    Expected Behavior
World runs properly  lag free 
    Platform
   markdown
  Device model: Samsung M51 6 128G_x000D_
  CPU architecture: aarch64_x000D_
  Android version: 11_x000D_
  PojavLauncher version: v3
    Anything else 
 No response </t>
  </si>
  <si>
    <t>TeamNewPipe-NewPipe-7825</t>
  </si>
  <si>
    <t>UI error crash when rotating screen while "add to playlist" modal is open.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</si>
  <si>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Long hold on any video and press add to playlist  (Alternatively  select the  add to playlist  option under any video when watching) _x000D_
2  Rotate the screen while  auto rotate  feature is on _x000D_
_x000D_
     If you can t cause the bug to show up again reliably (and hence don t have a proper set of steps to give us)  please still try to give as many details as possible on how you think you encountered the bug     _x000D_
_x000D_
_x000D_
_x000D_
    Actual behavior_x000D_
App crashes  and we are sent to home page _x000D_
     Tell us what happens with the steps given above     _x000D_
_x000D_
_x000D_
    Expected behavior_x000D_
App does not crash  Ideally the  add to playlist  modal is still open  but doesn t matter if it isn t _x000D_
     Tell us what you expect to happen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https:  github com TeamNewPipe NewPipe issues 7825 issuecomment 1030768989_x000D_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US_x000D_
    Content Language:   en US_x000D_
    App Language:   en US_x000D_
    Service:   none_x000D_
    Version:   0 21 15_x000D_
    OS:   Linux Android 11   30_x000D_
 details  summary  b Crash log   b   summary  p _x000D_
_x000D_
   _x000D_
java lang RuntimeException: Unable to start activity ComponentInfo org schabi newpipe org schabi newpipe MainActivity : androidx fragment app Fragment InstantiationException: Unable to instantiate fragment org schabi newpipe local dialog PlaylistAppendDialog: could not find Fragment constructor_x000D_
	at android app ActivityThread performLaunchActivity(ActivityThread java:3622)_x000D_
	at android app ActivityThread handleLaunchActivity(ActivityThread java:3786)_x000D_
	at android app ActivityThread handleRelaunchActivityInner(ActivityThread java:5666)_x000D_
	at android app ActivityThread handleRelaunchActivity(ActivityThread java:5572)_x000D_
	at android app servertransaction ActivityRelaunchItem execute(ActivityRelaunchItem java:69)_x000D_
	at android app servertransaction TransactionExecutor executeCallbacks(TransactionExecutor java:135)_x000D_
	at android app servertransaction TransactionExecutor execute(TransactionExecutor java:95)_x000D_
	at android app ActivityThread H handleMessage(ActivityThread java:2257)_x000D_
	at android os Handler dispatchMessage(Handler java:106)_x000D_
	at android os Looper loop(Looper java:233)_x000D_
	at android app ActivityThread main(ActivityThread java:8030)_x000D_
	at java lang reflect Method invoke(Native Method)_x000D_
	at com android internal os RuntimeInit MethodAndArgsCaller run(RuntimeInit java:631)_x000D_
	at com android internal os ZygoteInit main(ZygoteInit java:978)_x000D_
Caused by: androidx fragment app Fragment InstantiationException: Unable to instantiate fragment org schabi newpipe local dialog PlaylistAppendDialog: could not find Fragment constructor_x000D_
	at androidx fragment app Fragment instantiate(Fragment java:628)_x000D_
	at androidx fragment app FragmentContainer instantiate(FragmentContainer java:57)_x000D_
	at androidx fragment app FragmentManager 3 instantiate(FragmentManager java:483)_x000D_
	at androidx fragment app FragmentStateManager  init (FragmentStateManager java:85)_x000D_
	at androidx fragment app FragmentManager restoreSaveState(FragmentManager java:2728)_x000D_
	at androidx fragment app FragmentController restoreSaveState(FragmentController java:198)_x000D_
	at androidx fragment app FragmentActivity 2 onContextAvailable(FragmentActivity java:149)_x000D_
	at androidx activity contextaware ContextAwareHelper dispatchOnContextAvailable(ContextAwareHelper java:99)_x000D_
	at androidx activity ComponentActivity onCreate(ComponentActivity java:322)_x000D_
	at androidx fragment app FragmentActivity onCreate(FragmentActivity java:273)_x000D_
	at org schabi newpipe MainActivity onCreate(MainActivity java:143)_x000D_
	at android app Activity performCreate(Activity java:8006)_x000D_
	at android app Activity performCreate(Activity java:7990)_x000D_
	at android app Instrumentation callActivityOnCreate(Instrumentation java:1329)_x000D_
	at android app ActivityThread performLaunchActivity(ActivityThread java:3595)_x000D_
	    13 more_x000D_
Caused by: java lang NoSuchMethodException: org schabi newpipe local dialog PlaylistAppendDialog  init    _x000D_
	at java lang Class getConstructor0(Class java:2332)_x000D_
	at java lang Class getConstructor(Class java:1728)_x000D_
	at androidx fragment app Fragment instantiate(Fragment java:613)_x000D_
	    27 more_x000D_
_x000D_
   _x000D_
  details _x000D_
 hr _x000D_
_x000D_
_x000D_
     That s right  here     _x000D_
_x000D_
_x000D_
_x000D_
     Please fill this section if you did not provide a log generated by NewPipe    _x000D_
_x000D_
    Device info_x000D_
_x000D_
   Android version Custom ROM version: Android 11  official version by OnePlus_x000D_
   Device model: OnePlus 8T_x000D_
</t>
  </si>
  <si>
    <t>itsaky-AndroidIDE-99</t>
  </si>
  <si>
    <t>[BUG] Invalid selection range when selecting diagnostic item or search result item.</t>
  </si>
  <si>
    <t xml:space="preserve">AndroidIDE crash report_x000D_
Manufacturer: realme_x000D_
Device: RMX2001_x000D_
App version: 2 0 beta (200)_x000D_
_x000D_
 Stacktrace: _x000D_
java lang StringIndexOutOfBoundsException: Column 142 out of bounds line: 25  column count:139_x000D_
	at io github rosemoe sora text Content checkLineAndColumn(Content java:892)_x000D_
	at io github rosemoe sora text CachedIndexer getCharPosition(CachedIndexer java:391)_x000D_
	at io github rosemoe sora text CachedIndexer getCharPosition(CachedIndexer java:384)_x000D_
	at io github rosemoe sora text CachedIndexer getCharIndex(CachedIndexer java:342)_x000D_
	at io github rosemoe sora text Content getCharIndex(Content java:315)_x000D_
	at io github rosemoe sora widget CodeEditor setSelectionRegion(CodeEditor java:4009)_x000D_
	at io github rosemoe sora widget CodeEditor setSelectionRegion(CodeEditor java:3981)_x000D_
	at com itsaky androidide EditorActivity lambda openFileAndSelect 10(EditorActivity java:653)_x000D_
	at com itsaky androidide EditorActivity  ExternalSyntheticLambda25 run(Unknown Source:4)_x000D_
	at android os Handler handleCallback(Handler java:938)_x000D_
	at android os Handler dispatchMessage(Handler java:99)_x000D_
	at android os Looper loop(Looper java:255)_x000D_
	at android app ActivityThread main(ActivityThread java:8212)_x000D_
	at java lang reflect Method invoke(Native Method)_x000D_
	at com android internal os RuntimeInit MethodAndArgsCaller run(RuntimeInit java:632)_x000D_
	at com android internal os ZygoteInit main(ZygoteInit java:1049)_x000D_
</t>
  </si>
  <si>
    <t>PojavLauncherTeam-PojavLauncher-2691</t>
  </si>
  <si>
    <t>[BUG] &lt;the app can't install forge installer for 1.16.5&gt;</t>
  </si>
  <si>
    <t xml:space="preserve">    Describe the bug
When i click the file of forge installer for 1 16 5 it makes the app crash  and if you look on the list of versions it s not in the list 
    The log file and images videos
 latestlog txt (https:  github com PojavLauncherTeam PojavLauncher files 8009484 latestlog txt)_x000D_
    Steps To Reproduce
   markdown
    Expected Behavior
I expect the app can install the forge installer 1 16 5
    Platform
   markdown
  Device model: Vivo s1_x000D_
  CPU architecture: _x000D_
  Android version: 11_x000D_
  PojavLauncher version: 3 3 1 1 20210125
    Anything else 
 No response </t>
  </si>
  <si>
    <t>TeamNewPipe-NewPipe-7823</t>
  </si>
  <si>
    <t>Ongoing download disappears after a while and there is no option to continue..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</si>
  <si>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Start downloading a large file
Keep the app in the background (battery optimizations off)
Wait for the download to disappear
Hold your anger because you ll have to download it again  
     If you can t cause the bug to show up again reliably (and hence don t have a proper set of steps to give us)  please still try to give as many details as possible on how you think you encountered the bug     
    Actual behavior
     Tell us what happens with the steps given above     the download disappears and in the download list I only see that there is nothing there but crickets  If I start the download again (not resume  I have to start it from scratch) I only get an override option  Nothing like resume  
    Expected behavior
     Tell us what you expect to happen     
Finish the download without interruptions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xiaomi eu 12 5 7 (android 11)
   Device model: Redmi K30 Pro
</t>
  </si>
  <si>
    <t>TeamNewPipe-NewPipe-7821</t>
  </si>
  <si>
    <t>Email address for reporting crashes does not work</t>
  </si>
  <si>
    <t xml:space="preserve">I am using the latest version on my Samsung s7 edge phone _x000D_
Often I am plagued by the  Sorry something went wrong   REPORT  popup  even when a video loads fine  This always happened _x000D_
However the issue is that the email address  crashreport newpipe schabi org  which is used automatically if I select  REPORT  does not work   Email are rejected suddently with the error message_x000D_
 Reason: GNiGnd21siF0aGNiGns6Uz we are sorry your message hasn t been delivered  Destination server replied: 530 5 7 0  Must issue a STARTTLS command first _x000D_
Please fix this annoyance  thanks  This always happened  it is NOT something introduced recently _x000D_
</t>
  </si>
  <si>
    <t>PojavLauncherTeam-PojavLauncher-2688</t>
  </si>
  <si>
    <t>Game exited while loading 1.18</t>
  </si>
  <si>
    <t xml:space="preserve">    Describe the bug
Game crashes while launching 1 18  
    The log file and images videos
          beggining with launcher debug_x000D_
Info: Launcher version: crocus v3 openjdk_x000D_
Info: LWJGL3 directory:  version  lwjgl stb jar  jsr305 jar  lwjgl glfw classes jar  lwjgl opengl jar  lwjgl jemalloc jar  lwjgl openal jar  lwjgl tinyfd jar  lwjgl jar _x000D_
Architecture: arm64_x000D_
Info: Custom Java arguments:   Xms768m  Xmx800m _x000D_
Info: Selected Minecraft version: 1 18_x000D_
Added custom env: TMPDIR  data user 0 net kdt pojavlaunch cache_x000D_
Added custom env: AWTSTUB WIDTH 1680_x000D_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jre17 arm64 20211126 release tar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runtimes jre17 arm64 20211126 release tar xz lib jli: data user 0 net kdt pojavlaunch runtimes jre17 arm64 20211126 release tar xz lib: system lib64: vendor lib64: vendor lib64 hw: data app   V6L6uvgj8J7IJlc7mwrovQ   net kdt pojavlaunch m4P7YFppDlj9xdcKA6Hh7Q   lib arm64_x000D_
Added custom env: POJAV RENDERER opengles3_x000D_
Added custom env: LIBGL ES 3_x000D_
Added custom env: MESA LOADER DRIVER OVERRIDE zink_x000D_
Added custom env: MESA GLSL VERSION OVERRIDE 460_x000D_
Added custom env: JAVA HOME  data user 0 net kdt pojavlaunch runtimes jre17 arm64 20211126 release tar xz_x000D_
Added custom env: MESA GL VERSION OVERRIDE 4 6_x000D_
Added custom env: allow glsl extension directive midshader true_x000D_
Added custom env: REGAL GL RENDERER Regal_x000D_
Added custom env: AWTSTUB HEIGHT 810_x000D_
Initialising gl4es_x000D_
v1 1 5 built on Aug 18 2021 16:47:47_x000D_
Using GLES 2 0 backend_x000D_
          beginning of crash_x000D_
loaded: libGLESv2 so_x000D_
loaded: libEGL so_x000D_
Using GLES 2 0 backend_x000D_
          beginning of main_x000D_
Hardware Full NPOT detected and used_x000D_
Extension GL EXT blend minmax  detected and used_x000D_
Extension GL EXT draw buffers is in core ES3  and so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mapbuffer  detected_x000D_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EXT texture rg  detected and used_x000D_
Extension GL EXT color buffer float  detected and used_x000D_
Extension GL EXT color buffer half float  detected and used_x000D_
high precision float in fragment shader available and used_x000D_
Max vertex attrib: 16_x000D_
Extension GL OES standard derivatives  detected and used_x000D_
Max texture size: 8192_x000D_
Max Varying Vector: 31_x000D_
Texture Units: 16 16 (hardware: 16)  Max lights: 8  Max planes: 6_x000D_
Extension GL EXT texture filter anisotropic  detected and used_x000D_
Max Anisotropic filtering: 16_x000D_
Max Color Attachments: 4   Draw buffers: 4_x000D_
Hardware vendor is ARM_x000D_
GLSL 300 es supported_x000D_
GLSL 310 es supported and used_x000D_
sRGB surface supported_x000D_
EGLImage to Texture2D supported_x000D_
EGLImage to RenderBuffer supported_x000D_
ignore MipMap_x000D_
Targeting OpenGL 2 1_x000D_
NPOT texture handled in hardware_x000D_
Not trying to batch small subsequent glDrawXXXX_x000D_
try to use VBO_x000D_
glXMakeCurrent FBO workaround enabled_x000D_
FBO workaround for using binded texture enabled_x000D_
Force texture for Attachment color0 on FBO_x000D_
Hack to trigger a SwapBuffers when a Full Framebuffer Blit on default FBO is done_x000D_
Force normals to be normalized on FPE shaders_x000D_
glX Will try to recycle EGL Surface_x000D_
Current folder is: _x000D_
I jrelog  ( 8102): dlopen libgl4es 115 so success_x000D_
I jrelog  ( 8102): dlopen  data user 0 net kdt pojavlaunch runtimes jre17 arm64 20211126 release tar xz lib libjli so success_x000D_
I jrelog  ( 8102): dlopen libjvm so failed: dlopen failed: library  libjvm so  not found_x000D_
I jrelog  ( 8102): dlopen  data user 0 net kdt pojavlaunch runtimes jre17 arm64 20211126 release tar xz lib server libjvm so success_x000D_
I jrelog  ( 8102): dlopen  data user 0 net kdt pojavlaunch runtimes jre17 arm64 20211126 release tar xz lib libverify so success_x000D_
I jrelog  ( 8102): dlopen  data user 0 net kdt pojavlaunch runtimes jre17 arm64 20211126 release tar xz lib libjava so success_x000D_
I jrelog  ( 8102): dlopen  data user 0 net kdt pojavlaunch runtimes jre17 arm64 20211126 release tar xz lib libnet so success_x000D_
I jrelog  ( 8102): dlopen  data user 0 net kdt pojavlaunch runtimes jre17 arm64 20211126 release tar xz lib libnio so success_x000D_
I jrelog  ( 8102): dlopen  data user 0 net kdt pojavlaunch runtimes jre17 arm64 20211126 release tar xz lib libawt so success_x000D_
I jrelog  ( 8102): dlopen  data user 0 net kdt pojavlaunch runtimes jre17 arm64 20211126 release tar xz lib libawt headless so success_x000D_
I jrelog  ( 8102): dlopen  data user 0 net kdt pojavlaunch runtimes jre17 arm64 20211126 release tar xz lib libfreetype so success_x000D_
I jrelog  ( 8102): dlopen  data user 0 net kdt pojavlaunch runtimes jre17 arm64 20211126 release tar xz lib libfontmanager so success_x000D_
I jrelog  ( 8102): dlopen  data user 0 net kdt pojavlaunch runtimes jre17 arm64 20211126 release tar xz lib libnio so success_x000D_
I jrelog  ( 8102): dlopen  data user 0 net kdt pojavlaunch runtimes jre17 arm64 20211126 release tar xz lib libawt headless so success_x000D_
I jrelog  ( 8102): dlopen  data user 0 net kdt pojavlaunch runtimes jre17 arm64 20211126 release tar xz lib libextnet so success_x000D_
I jrelog  ( 8102): dlopen  data user 0 net kdt pojavlaunch runtimes jre17 arm64 20211126 release tar xz lib libawt so success_x000D_
I jrelog  ( 8102): dlopen  data user 0 net kdt pojavlaunch runtimes jre17 arm64 20211126 release tar xz lib libjawt so success_x000D_
I jrelog  ( 8102): dlopen  data user 0 net kdt pojavlaunch runtimes jre17 arm64 20211126 release tar xz lib libattach so success_x000D_
I jrelog  ( 8102): dlopen  data user 0 net kdt pojavlaunch runtimes jre17 arm64 20211126 release tar xz lib libzip so success_x000D_
I jrelog  ( 8102): dlopen  data user 0 net kdt pojavlaunch runtimes jre17 arm64 20211126 release tar xz lib libjsig so success_x000D_
I jrelog  ( 8102): dlopen  data user 0 net kdt pojavlaunch runtimes jre17 arm64 20211126 release tar xz lib libmlib image so success_x000D_
I jrelog  ( 8102): dlopen  data user 0 net kdt pojavlaunch runtimes jre17 arm64 20211126 release tar xz lib server libjsig so success_x000D_
I jrelog  ( 8102): dlopen  data user 0 net kdt pojavlaunch runtimes jre17 arm64 20211126 release tar xz lib server libjvm so success_x000D_
I jrelog  ( 8102): dlopen  data user 0 net kdt pojavlaunch runtimes jre17 arm64 20211126 release tar xz lib libjavajpeg so success_x000D_
I jrelog  ( 8102): dlopen  data user 0 net kdt pojavlaunch runtimes jre17 arm64 20211126 release tar xz lib libj2pcsc so success_x000D_
I jrelog  ( 8102): dlopen  data user 0 net kdt pojavlaunch runtimes jre17 arm64 20211126 release tar xz lib libj2pkcs11 so success_x000D_
I jrelog  ( 8102): dlopen  data user 0 net kdt pojavlaunch runtimes jre17 arm64 20211126 release tar xz lib libinstrument so success_x000D_
I jrelog  ( 8102): dlopen  data user 0 net kdt pojavlaunch runtimes jre17 arm64 20211126 release tar xz lib libfreetype so success_x000D_
I jrelog  ( 8102): dlopen  data user 0 net kdt pojavlaunch runtimes jre17 arm64 20211126 release tar xz lib libfontmanager so success_x000D_
I jrelog  ( 8102): dlopen  data user 0 net kdt pojavlaunch runtimes jre17 arm64 20211126 release tar xz lib libjdwp so success_x000D_
I jrelog  ( 8102): dlopen  data user 0 net kdt pojavlaunch runtimes jre17 arm64 20211126 release tar xz lib libjaas so success_x000D_
I jrelog  ( 8102): dlopen  data user 0 net kdt pojavlaunch runtimes jre17 arm64 20211126 release tar xz lib libawt xawt so success_x000D_
I jrelog  ( 8102): dlopen  data user 0 net kdt pojavlaunch runtimes jre17 arm64 20211126 release tar xz lib libjli so success_x000D_
I jrelog  ( 8102): dlopen  data user 0 net kdt pojavlaunch runtimes jre17 arm64 20211126 release tar xz lib libmanagement agent so success_x000D_
I jrelog  ( 8102): dlopen  data user 0 net kdt pojavlaunch runtimes jre17 arm64 20211126 release tar xz lib libverify so success_x000D_
I jrelog  ( 8102): dlopen  data user 0 net kdt pojavlaunch runtimes jre17 arm64 20211126 release tar xz lib libnet so success_x000D_
I jrelog  ( 8102): dlopen  data user 0 net kdt pojavlaunch runtimes jre17 arm64 20211126 release tar xz lib libj2gss so success_x000D_
I jrelog  ( 8102): dlopen  data user 0 net kdt pojavlaunch runtimes jre17 arm64 20211126 release tar xz lib libmanagement ext so success_x000D_
I jrelog  ( 8102): dlopen  data user 0 net kdt pojavlaunch runtimes jre17 arm64 20211126 release tar xz lib libjimage so success_x000D_
I jrelog  ( 8102): dlopen  data user 0 net kdt pojavlaunch runtimes jre17 arm64 20211126 release tar xz lib libsyslookup so success_x000D_
I jrelog  ( 8102): dlopen  data user 0 net kdt pojavlaunch runtimes jre17 arm64 20211126 release tar xz lib libdt socket so success_x000D_
I jrelog  ( 8102): dlopen  data user 0 net kdt pojavlaunch runtimes jre17 arm64 20211126 release tar xz lib librmi so success_x000D_
I jrelog  ( 8102): dlopen  data user 0 net kdt pojavlaunch runtimes jre17 arm64 20211126 release tar xz lib liblcms so success_x000D_
I jrelog  ( 8102): dlopen  data user 0 net kdt pojavlaunch runtimes jre17 arm64 20211126 release tar xz lib libjava so success_x000D_
I jrelog  ( 8102): dlopen  data user 0 net kdt pojavlaunch runtimes jre17 arm64 20211126 release tar xz lib libsctp so success_x000D_
I jrelog  ( 8102): dlopen  data user 0 net kdt pojavlaunch runtimes jre17 arm64 20211126 release tar xz lib libmanagement so success_x000D_
I jrelog  ( 8102): dlopen  data user 0 net kdt pojavlaunch runtimes jre17 arm64 20211126 release tar xz lib libprefs so success_x000D_
I jrelog  ( 8102): dlopen  data app   V6L6uvgj8J7IJlc7mwrovQ   net kdt pojavlaunch m4P7YFppDlj9xdcKA6Hh7Q   lib arm64 libopenal so success_x000D_
I jrelog  ( 8102): Done processing args_x000D_
I jrelog  ( 8102): Found JLI lib_x000D_
I jrelog  ( 8102): Calling JLI Launch_x000D_
 16:09:48   Render thread INFO :  STDERR :  LWJGL  Failed to load a library  Possible solutions:_x000D_
	a) Add the directory that contains the shared library to  Djava library path or  Dorg lwjgl librarypath _x000D_
	b) Add the JAR that contains the shared library to the classpath _x000D_
 16:09:48   Render thread INFO :  STDERR :  LWJGL  Enable debug mode with  Dorg lwjgl util Debug true for better diagnostics _x000D_
 16:09:48   Render thread INFO :  STDERR :  LWJGL  Enable the SharedLibraryLoader debug mode with  Dorg lwjgl util DebugLoader true for better diagnostics _x000D_
 16:09:49   Render thread INFO : Environment: authHost  https:  authserver mojang com   accountsHost  https:  api mojang com   sessionHost  https:  sessionserver mojang com   servicesHost  https:  api minecraftservices com   name  PROD _x000D_
 16:09:56   Render thread ERROR : Failed to verify authentication_x000D_
com mojang authlib exceptions InvalidCredentialsException: Status: 401_x000D_
	at com mojang authlib exceptions MinecraftClientHttpException toAuthenticationException(MinecraftClientHttpException java:56)   authlib 3 2 38 jar:  _x000D_
	at com mojang authlib yggdrasil YggdrasilUserApiService fetchProperties(YggdrasilUserApiService java:132)   authlib 3 2 38 jar:  _x000D_
	at com mojang authlib yggdrasil YggdrasilUserApiService  init (YggdrasilUserApiService java:44)   authlib 3 2 38 jar:  _x000D_
	at com mojang authlib yggdrasil YggdrasilAuthenticationService createUserApiService(YggdrasilAuthenticationService java:153)   authlib 3 2 38 jar:  _x000D_
	at dxo a(SourceFile:670)  1 18 jar:  _x000D_
	at dxo  init (SourceFile:424)  1 18 jar:  _x000D_
	at net minecraft client main Main main(SourceFile:197)  1 18 jar:  _x000D_
Caused by: com mojang authlib exceptions MinecraftClientHttpException: Status: 401_x000D_
	at com mojang authlib minecraft client MinecraftClient readInputStream(MinecraftClient java:78)   authlib 3 2 38 jar:  _x000D_
	at com mojang authlib minecraft client MinecraftClient get(MinecraftClient java:48)   authlib 3 2 38 jar:  _x000D_
	at com mojang authlib yggdrasil YggdrasilUserApiService fetchProperties(YggdrasilUserApiService java:113)   authlib 3 2 38 jar:  _x000D_
	    5 more_x000D_
 16:09:56   Render thread INFO : Setting user: mukut003_x000D_
 16:09:57   Render thread INFO : Backend library: LWJGL version 3 2 3 SNAPSHOT_x000D_
EGLBridge: Initializing_x000D_
EGLBridge: Initialized _x000D_
EGLBridge: ThreadID 15807_x000D_
EGLBridge: EGLDisplay 0x1  EGLSurface 0x6f70ec8a80_x000D_
EGLBridge: Created CTX pointer   0x6f71371200_x000D_
 16:09:57   Render thread INFO :  STDERR : java lang Exception: Trace exception_x000D_
 16:09:57   Render thread INFO :  STDERR : 	at org lwjgl glfw GLFW glfwMakeContextCurrent(GLFW java:1004)_x000D_
 16:09:57   Render thread INFO :  STDERR : 	at drp  init (SourceFile:106)_x000D_
 16:09:57   Render thread INFO :  STDERR : 	at eqa a(SourceFile:21)_x000D_
 16:09:57   Render thread INFO :  STDERR : 	at dxo  init (SourceFile:476)_x000D_
 16:09:57   Render thread INFO :  STDERR : 	at net minecraft client main Main main(SourceFile:197)_x000D_
EGLBridge: Comparing: thr 15807  this 0x6f71371200  curr 0x0_x000D_
EGLBridge: Making current on window 0x6f71371200 on thread 15807_x000D_
EGLBridge: eglMakeCurrent() succeed _x000D_
 16:09:57   Render thread INFO :  STDOUT : 6f71371200_x000D_
EGLBridge: Comparing: thr 15807  this 0x6f71371200  curr 0x6f71371200_x000D_
 16:09:58   Render thread WARN : Couldn t get pack info for: aeo:  pack mcmeta  in ResourcePack   storage emulated 0 Android data net kdt pojavlaunch files  minecraft resourcepacks Adventure Craft 1 17 v1 0 zip _x000D_
 16:09:58   Render thread WARN : Couldn t get pack info for: aeo:  pack mcmeta  in ResourcePack   storage emulated 0 Android data net kdt pojavlaunch files  minecraft resourcepacks Fusion 1 17 v1 0 zip _x000D_
 16:09:59   Render thread WARN : Removed resource pack assets v0 zip from options because it is no longer compatible_x000D_
 16:10:02   Render thread WARN : ERROR : Couldn t load Narrator library :  storage emulated 0 Android data net kdt pojavlaunch files  cache JNA temp jna11106702436607062537 tmp: dlopen failed: library   storage emulated 0 Android data net kdt pojavlaunch files  cache JNA temp jna11106702436607062537 tmp  needed or dlopened by   data data net kdt pojavlaunch runtimes jre17 arm64 20211126 release tar xz lib server libjvm so  is not accessible for the namespace  classloader namespace _x000D_
 16:10:02   Render thread INFO : Reloading ResourceManager: Default_x000D_
 16:10:14   Realms Notification Availability checker  1 INFO : Could not authorize you against Realms server: Invalid session id_x000D_
 ALSOFT  (EE) Failed to set real time priority for thread: Operation not permitted (1)_x000D_
 16:10:22   Render thread INFO : OpenAL initialized on device OpenSL_x000D_
 16:10:22   Render thread INFO : Sound engine started_x000D_
 16:10:24   Render thread INFO : Created: 1024x1024x4 minecraft:textures atlas blocks png atlas_x000D_
 16:10:25   Render thread INFO : Created: 256x128x4 minecraft:textures atlas signs png atlas_x000D_
 16:10:25   Render thread INFO : Created: 1024x512x4 minecraft:textures atlas banner patterns png atlas_x000D_
 16:10:25   Render thread INFO : Created: 1024x512x4 minecraft:textures atlas shield patterns png atlas_x000D_
 16:10:25   Render thread INFO : Created: 256x256x4 minecraft:textures atlas chest png atlas_x000D_
 16:10:25   Render thread INFO : Created: 512x256x4 minecraft:textures atlas beds png atlas_x000D_
 16:10:25   Render thread INFO : Created: 512x256x4 minecraft:textures atlas shulker boxes png atlas_x000D_
 16:10:30   Render thread FATAL : Reported exception thrown _x000D_
z: Rendering overlay_x000D_
	at epe a(SourceFile:870)   1 18 jar:  _x000D_
	at dxo f(SourceFile:1117)   1 18 jar:  _x000D_
	at dxo e(SourceFile:733)  1 18 jar:  _x000D_
	at net minecraft client main Main main(SourceFile:236)  1 18 jar:  _x000D_
Caused by: java lang RuntimeException: could not reload shaders_x000D_
	at epe b(SourceFile:496)   1 18 jar:  _x000D_
	at epe a(SourceFile:384)   1 18 jar:  _x000D_
	at afl a(SourceFile:15)   1 18 jar:  _x000D_
	at java util concurrent CompletableFuture UniRun tryFire(CompletableFuture java:787)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afp a(SourceFile:71)   1 18 jar:  _x000D_
	at auh ex_x000D_
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afp a(SourceFile:71)   1 18 jar:  _x000D_
	at auh execute(Sour_x000D_
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afp a(SourceFile:71)   1 18 jar:  _x000D_
	at auh execute_x000D_
(SourceFile:101)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afp a(SourceFile:71)   1 18 jar:  _x000D_
	at auh_x000D_
 exe_x000D_
cute(SourceFile:101)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com mojang blaze3d systems RenderSystem replayQueue(SourceFile:207)   1 18 jar:  _x000D_
	at com mojang blaze3d systems RenderSystem flipFrame(SourceFile:194)   1 18 jar:  _x000D_
	at drp e(SourceFile:310)   1 18 jar:  _x000D_
	at dxo f(SourceFile:1142)   1 18 jar:  _x000D_
	    2 more_x000D_
Caused by: yk: Invalid shaders core rendertype solid json: Couldn t compile vertex program (Default  rendertype solid) : 0:7: S0054: Overloading built in function  clamp  not allowed_x000D_
	at yk a(SourceFile:48)   1 18 jar:  _x000D_
	at epw  init (SourceFile:197)   1 18 jar:  _x000D_
	at epe b(SourceFile:452)   1 18 jar:  _x000D_
	at epe a(SourceFile:384)   1 18 jar:  _x000D_
	at afl a(SourceFile:15)   1 18 jar:  _x000D_
	at java util concurrent CompletableFuture UniRun tryFire(CompletableFuture java:787)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java:795)_x000D_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a_x000D_
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at_x000D_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afp a(SourceFile:71)   1 18 jar:  _x000D_
	at auh execute(SourceFile:101)   1 18 jar:  _x000D_
	at afp a(SourceFile:70)   1 18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_x000D_
 :  _x000D_
_x000D_
	at java util concurrent CompletableFuture Completion run(CompletableFuture java:482)    :  _x000D_
	at afp a(SourceFile:71)   1 18 jar:  _x000D_
	at auh execute(SourceFile:101)   1 18 jar:  _x000D_
	at afp a(SourceFile:70)   1 18 ja</t>
  </si>
  <si>
    <t>PojavLauncherTeam-PojavLauncher-2687</t>
  </si>
  <si>
    <t>PojavLauncherTeam-PojavLauncher-2685</t>
  </si>
  <si>
    <t>1.18 and 1.18.1 refuse to work.</t>
  </si>
  <si>
    <t xml:space="preserve">    Describe the bug
I did everything I could to get these versions to work but nothing works  I changed the java runtime to the correct architecture of my device  I changed the renderer to the correct opengl and I put the asset patch thingy with the assets but they still dont work  1 18 will load the Mojang screen but crash as its loading and 1 18 1 will crash before it even gets to the Mojang screen  Help is really appreciated
    The log file and images videos
 latestlog txt (https:  github com PojavLauncherTeam PojavLauncher files 8007313 latestlog txt)_x000D_
    Steps To Reproduce
   markdown
1  Start Pojav (On an Asus Chromebook)_x000D_
2  Change the Java Runtime to jre17 x86 64_x000D_
3  Change renderer to OpenGL Partial 3 2_x000D_
4  Open 1 18 or 1 18 1
    Expected Behavior
I expected them both to launch and work fine 
    Platform
   markdown
  Device model: Asus Chromebook (Google Chrome 97 0 4692 102 Platform 14324 80 0 22 01 21 SN:L6NXCV19W95026D)_x000D_
  CPU architecture: x86 64_x000D_
  Android version: not sure_x000D_
  PojavLauncher version: Latest release (I think )
    Anything else 
 No response </t>
  </si>
  <si>
    <t>canyie-pine-24</t>
  </si>
  <si>
    <t>[Pine related crash on specific ROM] Unable to run Aliucord at all on CrDroid 8</t>
  </si>
  <si>
    <t xml:space="preserve">Hello  I showed the logcats from Aliucord on the Aliucord server  and they directed me to get in touch with you as the issue seems to be related to Pine  I hope this is the right place to post  _x000D_
_x000D_
Aliucord seems to work on every ROM I have tried  apart from one ROM which sadly is the ROM I wish to use  but can t due to Aliucord just simply not working at all _x000D_
(I have used other ROMs running Android 12  in fact the current ROM I m running is PixelExtended Android 12 and Aliucord runs fine without issues)_x000D_
_x000D_
Aliucord opens  and then freezes on the Aliucord symbol  remains frozen for a long period of time  until it finally crashes  While frozen  Aliucord spits the same log over and over in a loop    Until it crashes  _x000D_
_x000D_
I am running a Xiaomi Redmi Note 10 Pro (sweet) and this issue is on CrDroid 8 (Android 12)_x000D_
_x000D_
Here s the logcat for when Aliucord remains in a frozen state:_x000D_
 https:  pastebin com CCLxpaTz (https:  pastebin com CCLxpaTz)_x000D_
_x000D_
Here s the logcat for when Aliucord crashes:_x000D_
 https:  pastebin com GhtCchXT (https:  pastebin com GhtCchXT) _x000D_
_x000D_
Both logcats are filtered to only show Warnings and above  I hope you can point me in the right direction  or suggest a fix  _x000D_
Thanks  </t>
  </si>
  <si>
    <t>inaturalist-iNaturalistAndroid-1182</t>
  </si>
  <si>
    <t>NullPointerException in ObservationEditor.prepareCapturedPhoto</t>
  </si>
  <si>
    <t xml:space="preserve">https:  console firebase google com u 1 project inaturalist ios crashlytics app android:org inaturalist android issues 0a44e60348c9ddf9d1e428aed7c71f86_x000D_
_x000D_
   _x000D_
Fatal Exception: java lang NullPointerException: Attempt to invoke virtual method  void android app Activity runOnUiThread(java lang Runnable)  on a null object reference_x000D_
       at org inaturalist android ObservationEditor prepareCapturedPhoto(ObservationEditor java:3284)_x000D_
       at org inaturalist android ObservationEditor access 4600(ObservationEditor java:147)_x000D_
       at org inaturalist android ObservationEditor 35 run(ObservationEditor java:3121)_x000D_
       at java lang Thread run(Thread java:920)_x000D_
   </t>
  </si>
  <si>
    <t>PojavLauncherTeam-PojavLauncher-2683</t>
  </si>
  <si>
    <t>Game crashes when I go into 1.18.1</t>
  </si>
  <si>
    <t xml:space="preserve">    Describe the bug
When I open 1 18 1 and go into a world server  game crashes with no error in a minute 
    The log file and images videos
          beggining with launcher debug_x000D_
Info: Launcher version: crocus v3 openjdk_x000D_
Info: LWJGL3 directory:  jsr305 jar  lwjgl glfw classes jar  lwjgl jemalloc jar  lwjgl openal jar  lwjgl opengl jar  lwjgl stb jar  lwjgl tinyfd jar  lwjgl jar  version _x000D_
Architecture: arm64_x000D_
Info: Custom Java arguments:   _x000D_
Info: Selected Minecraft version: 1 18 1_x000D_
          beginning of main_x000D_
Added custom env: TMPDIR  data user 0 net kdt pojavlaunch cache_x000D_
Added custom env: AWTSTUB WIDTH 2400_x000D_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jre17 arm64 20210825 release tar(2)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runtimes jre17 arm64 20210825 release tar(2) xz lib jli: data user 0 net kdt pojavlaunch runtimes jre17 arm64 20210825 release tar(2) xz lib: system lib64: vendor lib64: vendor lib64 hw: data app   R8M2UZSsErV3QGpnQCROpg   net kdt pojavlaunch 4wXsa7vwFDYeRdTb vveiw   lib arm64_x000D_
Added custom env: POJAV RENDERER opengles3_x000D_
Added custom env: LIBGL ES 3_x000D_
Added custom env: MESA LOADER DRIVER OVERRIDE zink_x000D_
Added custom env: MESA GLSL VERSION OVERRIDE 460_x000D_
Added custom env: JAVA HOME  data user 0 net kdt pojavlaunch runtimes jre17 arm64 20210825 release tar(2) xz_x000D_
Added custom env: MESA GL VERSION OVERRIDE 4 6_x000D_
Added custom env: allow glsl extension directive midshader true_x000D_
Added custom env: REGAL GL RENDERER Regal_x000D_
Added custom env: AWTSTUB HEIGHT 1080_x000D_
Initialising gl4es_x000D_
v1 1 5 built on Aug 18 2021 16:47:47_x000D_
Using GLES 2 0 backend_x000D_
loaded: libGLESv2 so_x000D_
loaded: libEGL so_x000D_
Using GLES 2 0 backend_x000D_
Hardware Full NPOT detected and used_x000D_
Extension GL EXT draw buffers is in core ES3  and so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OES texture float  detected and used_x000D_
Extension GL OES texture half float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16384_x000D_
Max Varying Vector: 31_x000D_
Texture Units: 16 16 (hardware: 16)  Max lights: 8  Max planes: 6_x000D_
Extension GL EXT texture filter anisotropic  detected and used_x000D_
Max Anisotropic filtering: 16_x000D_
Max Color Attachments: 8   Draw buffers: 8_x000D_
Hardware vendor is Qualcomm_x000D_
GLSL 300 es supported_x000D_
GLSL 310 es supported and used_x000D_
sRGB surface supported_x000D_
EGLImage to Texture2D supported_x000D_
EGLImage to RenderBuffer supported_x000D_
ignore MipMap_x000D_
Targeting OpenGL 2 1_x000D_
NPOT texture handled in hardware_x000D_
Not trying to batch small subsequent glDrawXXXX_x000D_
try to use VBO_x000D_
Force texture for Attachment color0 on FBO_x000D_
Hack to trigger a SwapBuffers when a Full Framebuffer Blit on default FBO is done_x000D_
Force normals to be normalized on FPE shaders_x000D_
glX Will try to recycle EGL Surface_x000D_
Current folder is: _x000D_
I jrelog  (32634): dlopen libgl4es 115 so success_x000D_
I jrelog  (32634): dlopen  data user 0 net kdt pojavlaunch runtimes jre17 arm64 20210825 release tar(2) xz lib libjli so success_x000D_
I jrelog  (32634): dlopen libjvm so failed: dlopen failed: library  libjvm so  not found_x000D_
I jrelog  (32634): dlopen  data user 0 net kdt pojavlaunch runtimes jre17 arm64 20210825 release tar(2) xz lib server libjvm so success_x000D_
I jrelog  (32634): dlopen  data user 0 net kdt pojavlaunch runtimes jre17 arm64 20210825 release tar(2) xz lib libverify so success_x000D_
I jrelog  (32634): dlopen  data user 0 net kdt pojavlaunch runtimes jre17 arm64 20210825 release tar(2) xz lib libjava so success_x000D_
I jrelog  (32634): dlopen  data user 0 net kdt pojavlaunch runtimes jre17 arm64 20210825 release tar(2) xz lib libnet so success_x000D_
I jrelog  (32634): dlopen  data user 0 net kdt pojavlaunch runtimes jre17 arm64 20210825 release tar(2) xz lib libnio so success_x000D_
I jrelog  (32634): dlopen  data user 0 net kdt pojavlaunch runtimes jre17 arm64 20210825 release tar(2) xz lib libawt so success_x000D_
I jrelog  (32634): dlopen  data user 0 net kdt pojavlaunch runtimes jre17 arm64 20210825 release tar(2) xz lib libawt headless so success_x000D_
I jrelog  (32634): dlopen  data user 0 net kdt pojavlaunch runtimes jre17 arm64 20210825 release tar(2) xz lib libfreetype so success_x000D_
I jrelog  (32634): dlopen  data user 0 net kdt pojavlaunch runtimes jre17 arm64 20210825 release tar(2) xz lib libfontmanager so success_x000D_
I jrelog  (32634): dlopen  data user 0 net kdt pojavlaunch runtimes jre17 arm64 20210825 release tar(2) xz lib libawt so success_x000D_
I jrelog  (32634): dlopen  data user 0 net kdt pojavlaunch runtimes jre17 arm64 20210825 release tar(2) xz lib server libjvm so success_x000D_
I jrelog  (32634): dlopen  data user 0 net kdt pojavlaunch runtimes jre17 arm64 20210825 release tar(2) xz lib server libjsig so success_x000D_
I jrelog  (32634): dlopen  data user 0 net kdt pojavlaunch runtimes jre17 arm64 20210825 release tar(2) xz lib libattach so success_x000D_
I jrelog  (32634): dlopen  data user 0 net kdt pojavlaunch runtimes jre17 arm64 20210825 release tar(2) xz lib libjavajpeg so success_x000D_
I jrelog  (32634): dlopen  data user 0 net kdt pojavlaunch runtimes jre17 arm64 20210825 release tar(2) xz lib libsyslookup so success_x000D_
I jrelog  (32634): dlopen  data user 0 net kdt pojavlaunch runtimes jre17 arm64 20210825 release tar(2) xz lib libfontmanager so success_x000D_
I jrelog  (32634): dlopen  data user 0 net kdt pojavlaunch runtimes jre17 arm64 20210825 release tar(2) xz lib libj2pcsc so success_x000D_
I jrelog  (32634): dlopen  data user 0 net kdt pojavlaunch runtimes jre17 arm64 20210825 release tar(2) xz lib libmanagement so success_x000D_
I jrelog  (32634): dlopen  data user 0 net kdt pojavlaunch runtimes jre17 arm64 20210825 release tar(2) xz lib libjaas so success_x000D_
I jrelog  (32634): dlopen  data user 0 net kdt pojavlaunch runtimes jre17 arm64 20210825 release tar(2) xz lib libfreetype so success_x000D_
I jrelog  (32634): dlopen  data user 0 net kdt pojavlaunch runtimes jre17 arm64 20210825 release tar(2) xz lib libjli so success_x000D_
I jrelog  (32634): dlopen  data user 0 net kdt pojavlaunch runtimes jre17 arm64 20210825 release tar(2) xz lib libjimage so success_x000D_
I jrelog  (32634): dlopen  data user 0 net kdt pojavlaunch runtimes jre17 arm64 20210825 release tar(2) xz lib libjsig so success_x000D_
I jrelog  (32634): dlopen  data user 0 net kdt pojavlaunch runtimes jre17 arm64 20210825 release tar(2) xz lib libj2gss so success_x000D_
I jrelog  (32634): dlopen  data user 0 net kdt pojavlaunch runtimes jre17 arm64 20210825 release tar(2) xz lib libnet so success_x000D_
I jrelog  (32634): dlopen  data user 0 net kdt pojavlaunch runtimes jre17 arm64 20210825 release tar(2) xz lib libjava so success_x000D_
I jrelog  (32634): dlopen  data user 0 net kdt pojavlaunch runtimes jre17 arm64 20210825 release tar(2) xz lib libnio so success_x000D_
I jrelog  (32634): dlopen  data user 0 net kdt pojavlaunch runtimes jre17 arm64 20210825 release tar(2) xz lib libprefs so success_x000D_
I jrelog  (32634): dlopen  data user 0 net kdt pojavlaunch runtimes jre17 arm64 20210825 release tar(2) xz lib libmanagement ext so success_x000D_
I jrelog  (32634): dlopen  data user 0 net kdt pojavlaunch runtimes jre17 arm64 20210825 release tar(2) xz lib libj2pkcs11 so success_x000D_
I jrelog  (32634): dlopen  data user 0 net kdt pojavlaunch runtimes jre17 arm64 20210825 release tar(2) xz lib libdt socket so success_x000D_
I jrelog  (32634): dlopen  data user 0 net kdt pojavlaunch runtimes jre17 arm64 20210825 release tar(2) xz lib libjdwp so success_x000D_
I jrelog  (32634): dlopen  data user 0 net kdt pojavlaunch runtimes jre17 arm64 20210825 release tar(2) xz lib libzip so success_x000D_
I jrelog  (32634): dlopen  data user 0 net kdt pojavlaunch runtimes jre17 arm64 20210825 release tar(2) xz lib libsctp so success_x000D_
I jrelog  (32634): dlopen  data user 0 net kdt pojavlaunch runtimes jre17 arm64 20210825 release tar(2) xz lib libmlib image so success_x000D_
I jrelog  (32634): dlopen  data user 0 net kdt pojavlaunch runtimes jre17 arm64 20210825 release tar(2) xz lib libextnet so success_x000D_
I jrelog  (32634): dlopen  data user 0 net kdt pojavlaunch runtimes jre17 arm64 20210825 release tar(2) xz lib libinstrument so success_x000D_
I jrelog  (32634): dlopen  data user 0 net kdt pojavlaunch runtimes jre17 arm64 20210825 release tar(2) xz lib libmanagement agent so success_x000D_
I jrelog  (32634): dlopen  data user 0 net kdt pojavlaunch runtimes jre17 arm64 20210825 release tar(2) xz lib librmi so success_x000D_
I jrelog  (32634): dlopen  data user 0 net kdt pojavlaunch runtimes jre17 arm64 20210825 release tar(2) xz lib liblcms so success_x000D_
I jrelog  (32634): dlopen  data user 0 net kdt pojavlaunch runtimes jre17 arm64 20210825 release tar(2) xz lib libjawt so success_x000D_
I jrelog  (32634): dlopen  data user 0 net kdt pojavlaunch runtimes jre17 arm64 20210825 release tar(2) xz lib libverify so success_x000D_
I jrelog  (32634): dlopen  data user 0 net kdt pojavlaunch runtimes jre17 arm64 20210825 release tar(2) xz lib libawt headless so success_x000D_
I jrelog  (32634): dlopen  data user 0 net kdt pojavlaunch runtimes jre17 arm64 20210825 release tar(2) xz lib libawt xawt so success_x000D_
I jrelog  (32634): dlopen  data app   R8M2UZSsErV3QGpnQCROpg   net kdt pojavlaunch 4wXsa7vwFDYeRdTb vveiw   lib arm64 libopenal so success_x000D_
I jrelog  (32634): Done processing args_x000D_
I jrelog  (32634): Found JLI lib_x000D_
I jrelog  (32634): Calling JLI Launch_x000D_
 13:57:21   Render thread INFO :  STDERR :  LWJGL  Failed to load a library  Possible solutions:_x000D_
	a) Add the directory that contains the shared library to  Djava library path or  Dorg lwjgl librarypath _x000D_
	b) Add the JAR that contains the shared library to the classpath _x000D_
 13:57:21   Render thread INFO :  STDERR :  LWJGL  Enable debug mode with  Dorg lwjgl util Debug true for better diagnostics _x000D_
 13:57:21   Render thread INFO :  STDERR :  LWJGL  Enable the SharedLibraryLoader debug mode with  Dorg lwjgl util DebugLoader true for better diagnostics _x000D_
 13:57:21   Render thread INFO : Environment: authHost  https:  authserver mojang com   accountsHost  https:  api mojang com   sessionHost  https:  sessionserver mojang com   servicesHost  https:  api minecraftservices com   name  PROD _x000D_
 13:57:24   Render thread ERROR : Failed to verify authentication_x000D_
com mojang authlib exceptions InvalidCredentialsException: Status: 401_x000D_
	at com mojang authlib exceptions MinecraftClientHttpException toAuthenticationException(MinecraftClientHttpException java:56)   authlib 3 2 38 jar:  _x000D_
	at com mojang authlib yggdrasil YggdrasilUserApiService fetchProperties(YggdrasilUserApiService java:132)   authlib 3 2 38 jar:  _x000D_
	at com mojang authlib yggdrasil YggdrasilUserApiService  init (YggdrasilUserApiService java:44)   authlib 3 2 38 jar:  _x000D_
	at com mojang authlib yggdrasil YggdrasilAuthenticationService createUserApiService(YggdrasilAuthenticationService java:153)   authlib 3 2 38 jar:  _x000D_
	at dxo a(SourceFile:670)  1 18 1 jar:  _x000D_
	at dxo  init (SourceFile:424)  1 18 1 jar:  _x000D_
	at net minecraft client main Main main(SourceFile:199)  1 18 1 jar:  _x000D_
Caused by: com mojang authlib exceptions MinecraftClientHttpException: Status: 401_x000D_
	at com mojang authlib minecraft client MinecraftClient readInputStream(MinecraftClient java:78)   authlib 3 2 38 jar:  _x000D_
	at com mojang authlib minecraft client MinecraftClient get(MinecraftClient java:48)   authlib 3 2 38 jar:  _x000D_
	at com mojang authlib yggdrasil YggdrasilUserApiService fetchProperties(YggdrasilUserApiService java:113)   authlib 3 2 38 jar:  _x000D_
	    5 more_x000D_
 13:57:24   Render thread INFO : Setting user: ErenProo1665_x000D_
 13:57:25   Render thread INFO : Backend library: LWJGL version 3 2 3 SNAPSHOT_x000D_
EGLBridge: Initializing_x000D_
EGLBridge: Initialized _x000D_
EGLBridge: ThreadID 4713_x000D_
EGLBridge: EGLDisplay 0x1  EGLSurface 0x7b36335850_x000D_
EGLBridge: Created CTX pointer   0x7b36335bb0_x000D_
 13:57:25   Render thread INFO :  STDERR : java lang Exception: Trace exception_x000D_
 13:57:25   Render thread INFO :  STDERR : 	at org lwjgl glfw GLFW glfwMakeContextCurrent(GLFW java:1004)_x000D_
 13:57:25   Render thread INFO :  STDERR : 	at drp  init (SourceFile:106)_x000D_
 13:57:25   Render thread INFO :  STDERR : 	at eqa a(SourceFile:21)_x000D_
 13:57:25   Render thread INFO :  STDERR : 	at dxo  init (SourceFile:476)_x000D_
 13:57:25   Render thread INFO :  STDERR : 	at net minecraft client main Main main(SourceFile:199)_x000D_
EGLBridge: Comparing: thr 4713  this 0x7b36335bb0  curr 0x0_x000D_
EGLBridge: Making current on window 0x7b36335bb0 on thread 4713_x000D_
EGLBridge: eglMakeCurrent() succeed _x000D_
 13:57:25   Render thread INFO :  STDOUT : 7b36335bb0_x000D_
EGLBridge: Comparing: thr 4713  this 0x7b36335bb0  curr 0x7b36335bb0_x000D_
 13:57:26   Render thread WARN : Removed resource pack assets v0 zip from options because it is no longer compatible_x000D_
 13:57:28   Render thread WARN : ERROR : Couldn t load Narrator library :  storage emulated 0 Android data net kdt pojavlaunch files  cache JNA temp jna4460751736764943258 tmp: dlopen failed: library   storage emulated 0 Android data net kdt pojavlaunch files  cache JNA temp jna4460751736764943258 tmp  needed or dlopened by   data data net kdt pojavlaunch runtimes jre17 arm64 20210825 release tar(2) xz lib server libjvm so  is not accessible for the namespace  classloader namespace _x000D_
 13:57:29   Render thread INFO : Reloading ResourceManager: Default  assets v0 zip  assets v8 zip_x000D_
 13:57:33   Realms Notification Availability checker  1 INFO : Could not authorize you against Realms server: Invalid session id_x000D_
 ALSOFT  (EE) Failed to set real time priority for thread: Operation not permitted (1)_x000D_
 13:57:56   Render thread INFO : OpenAL initialized on device OpenSL_x000D_
 13:57:56   Render thread INFO : Sound engine started_x000D_
 13:57:58   Render thread INFO : Created: 1024x1024x0 minecraft:textures atlas blocks png atlas_x000D_
 13:57:58   Render thread INFO : Created: 256x128x0 minecraft:textures atlas signs png atlas_x000D_
 13:57:58   Render thread INFO : Created: 1024x512x0 minecraft:textures atlas banner patterns png atlas_x000D_
 13:57:58   Render thread INFO : Created: 1024x512x0 minecraft:textures atlas shield patterns png atlas_x000D_
 13:57:58   Render thread INFO : Created: 256x256x0 minecraft:textures atlas chest png atlas_x000D_
 13:57:58   Render thread INFO : Created: 512x256x0 minecraft:textures atlas beds png atlas_x000D_
 13:57:58   Render thread INFO : Created: 512x256x0 minecraft:textures atlas shulker boxes png atlas_x000D_
 13:58:02   Render thread WARN : Shader rendertype text could not find sampler named Sampler2 in the specified shader program _x000D_
 13:58:02   Render thread WARN : Shader rendertype text intensity could not find sampler named Sampler2 in the specified shader program _x000D_
 13:58:04   Render thread INFO : Created: 256x256x0 minecraft:textures atlas particles png atlas_x000D_
 13:58:04   Render thread INFO : Created: 256x256x0 minecraft:textures atlas paintings png atlas_x000D_
 13:58:04   Render thread INFO : Created: 256x128x0 minecraft:textures atlas mob effects png atlas_x000D_
 13:58:22   Render thread INFO : Reloading ResourceManager: Default  assets v8 zip  assets v0 zip_x000D_
 13:58:32   Render thread INFO : OpenAL initialized on device OpenSL_x000D_
 13:58:32   Render thread INFO : Sound engine started_x000D_
 ALSOFT  (EE) Failed to set real time priority for thread: Operation not permitted (1)_x000D_
 13:58:33   Render thread INFO : Created: 1024x1024x0 minecraft:textures atlas blocks png atlas_x000D_
 13:58:33   Render thread INFO : Created: 256x128x0 minecraft:textures atlas signs png atlas_x000D_
 13:58:33   Render thread INFO : Created: 1024x512x0 minecraft:textures atlas banner patterns png atlas_x000D_
 13:58:33   Render thread INFO : Created: 1024x512x0 minecraft:textures atlas shield patterns png atlas_x000D_
 13:58:33   Render thread INFO : Created: 256x256x0 minecraft:textures atlas chest png atlas_x000D_
 13:58:33   Render thread INFO : Created: 512x256x0 minecraft:textures atlas beds png atlas_x000D_
 13:58:33   Render thread INFO : Created: 512x256x0 minecraft:textures atlas shulker boxes png atlas_x000D_
 13:58:35   Render thread WARN : Shader rendertype text could not find sampler named Sampler2 in the specified shader program _x000D_
 13:58:35   Render thread WARN : Shader rendertype text intensity could not find sampler named Sampler2 in the specified shader program _x000D_
 13:58:36   Render thread INFO : Created: 256x256x0 minecraft:textures atlas particles png atlas_x000D_
 13:58:36   Render thread INFO : Created: 256x256x0 minecraft:textures atlas paintings png atlas_x000D_
 13:58:36   Render thread INFO : Created: 256x128x0 minecraft:textures atlas mob effects png atlas_x000D_
 13:58:55   Render thread INFO : Connecting to ServerWithDeathBan aternos me  53763_x000D_
 13:58:58   Server Connector  1 WARN : Failed to find a usable hardware address from the network interfaces  using random bytes: 8e:04:23:62:ad:b8:62:41_x000D_
 13:59:33   Render thread INFO : Connecting to ServerWithDeathBan aternos me  53763_x000D_
 13:59:38   Render thread INFO : Environment: authHost  https:  authserver mojang com   accountsHost  https:  api mojang com   sessionHost  https:  sessionserver mojang com   servicesHost  https:  api minecraftservices com   name  PROD _x000D_
 13:59:45   Render thread INFO :  CHAT  ErenProo1665 oyuna kat ld (this means joined to game)_x000D_
 13:59:45   Render thread INFO : Loaded 0 advancements_x000D_
          beginning of crash_x000D_
    Steps To Reproduce
   markdown
1 start launcher_x000D_
2 open 1 18 1_x000D_
3 go into a server_x000D_
4 wait one or two minutes
    Expected Behavior
Game crashes with no error and goes to the login screen
    Platform
   markdown
  Device model: Samsung Galaxy a71 128G_x000D_
  CPU architecture: arm64_x000D_
  Android version: Android 11_x000D_
  PojavLauncher version: Latest release (crocus v3 openjdk) (playstore)
    Anything else 
 No response </t>
  </si>
  <si>
    <t>kuldeepsinghrai-social-app-12</t>
  </si>
  <si>
    <t>comment crashes when clicking a lot</t>
  </si>
  <si>
    <t>When click on comment button so many times it crashes app</t>
  </si>
  <si>
    <t>kuldeepsinghrai-social-app-9</t>
  </si>
  <si>
    <t>selecting no pic crashes app</t>
  </si>
  <si>
    <t>while clicking on add image in bottom of create post and go to gallery and back pressed without selecting image  crashes app</t>
  </si>
  <si>
    <t>kuldeepsinghrai-social-app-5</t>
  </si>
  <si>
    <t>profile &amp; cover photo same time changing problem</t>
  </si>
  <si>
    <t>App crashes when we change profile and cover photo at the same time</t>
  </si>
  <si>
    <t>PojavLauncherTeam-PojavLauncher-2679</t>
  </si>
  <si>
    <t>[BUG] Crashes on joining world with Fabric/Forge + Offline account</t>
  </si>
  <si>
    <t xml:space="preserve">    Describe the bug_x000D_
_x000D_
We have got a lot of reports about getting crash while joining world with Forge   offline account recently (see  2668   2669   2674):_x000D_
   Shutting down internal server  might displays before crash _x000D_
   java lang IllegalArgumentException: Name and ID cannot both be blank  is found in the latestlog txt and the crash report _x000D_
  Game exited with code 1( )_x000D_
_x000D_
    The log file and images videos_x000D_
_x000D_
 latestlog txt (https:  github com PojavLauncherTeam PojavLauncher files 8000615 latestlog txt)_x000D_
Tested version: 1 16 5 Forge 36 2 26_x000D_
Highlighted point:_x000D_
   _x000D_
java lang IllegalArgumentException: Name and ID cannot both be blank_x000D_
	at com mojang authlib GameProfile  init (GameProfile java:26)_x000D_
	at com mojang authlib yggdrasil YggdrasilMinecraftSessionService fillGameProfile(YggdrasilMinecraftSessionService java:192)_x000D_
	at com mojang authlib yggdrasil YggdrasilMinecraftSessionService fillProfileProperties(YggdrasilMinecraftSessionService java:179)_x000D_
	at net minecraft client Minecraft loadWorld(Minecraft java:1799)_x000D_
   _x000D_
_x000D_
As the stack trace says  it seems that the authentication server returned an empty profile when an invalid access token is sent to the server  In this case  offline account doesn t hold a valid access token _x000D_
_x000D_
    Steps To Reproduce_x000D_
_x000D_
   markdown_x000D_
1  Install Forge (any versions )_x000D_
2  Login with an offline account _x000D_
3  Launch the installed Forge _x000D_
4  Join a world when internet connection is enabled _x000D_
   _x000D_
_x000D_
_x000D_
    Expected Behavior_x000D_
_x000D_
The game should launch with an offline account _x000D_
_x000D_
    Platform_x000D_
_x000D_
   markdown_x000D_
  Device model: Any_x000D_
  CPU architecture: Any (mine: x86 64)_x000D_
  Android version: Any (mine: Android 9)_x000D_
  PojavLauncher version: Any (mine: commit fb7a4b2)_x000D_
   _x000D_
_x000D_
_x000D_
    Anything else _x000D_
_x000D_
It seems Mojang authentication system has changed as explained above  lead to broken offline account support as expected (probably they are trying to stop people playing full Minecraft for free)  There are some ways to get around this   bug  :_x000D_
    Removed solution  _x000D_
  Login with an online account      recommended  _x000D_
_x000D_
  Note that I haven t tried with joining server  please let me know below if the problem happens while joining server   _x000D_
  Update  : the problem doesn t happen in multiplayer _x000D_
_x000D_
Anyways  this is another reason for the offline account to be replaced with local account soon    You should buy the game before playing it   (unless you re going to play demo mode) </t>
  </si>
  <si>
    <t>PojavLauncherTeam-PojavLauncher-2674</t>
  </si>
  <si>
    <t>[BUG] Forge MouseEventHandler Crash</t>
  </si>
  <si>
    <t xml:space="preserve">    Describe the bug
This doesnt make any sense i just Launch my Forge 1 16 5 36 20 then i make a new world and its just crash its always saying MouseEventHandler I played this mods like 1 day ago and its completely fine but now its just crashes repeatedly:(_x000D_
My Mods in my Mods Folder:_x000D_
1 cfm 7 0pre22 1 16 3 jar (Mrcrayfish Furniture Mod 1 16 5)_x000D_
2 modernlife 1 16 5 1 20 jar_x000D_
3 obfuscate 0 6 2 1 16 3 jar_x000D_
4 Optifine 1 16 5 HD U G8 jar_x000D_
5 worldedit mod 7 2 5 dist jar
    The log file and images videos
 crash 2022 02 04 00 07 40 client txt (https:  github com PojavLauncherTeam PojavLauncher files 7999082 crash 2022 02 04 00 07 40 client txt)_x000D_
    Steps To Reproduce
   markdown
1  Start Pojavlauncher_x000D_
2  Launch Forge 1 16 5_x000D_
3  Make a New World_x000D_
4  Its just Crashes
    Expected Behavior
I expect to get a normal play just like 1 day ago
    Platform
   markdown
  Device model: Oppo A12_x000D_
  CPU architecture: aarch64_x000D_
  Android version: 9_x000D_
  PojavLauncher version: latest from Play store
    Anything else 
 </t>
  </si>
  <si>
    <t>PojavLauncherTeam-PojavLauncher-2673</t>
  </si>
  <si>
    <t xml:space="preserve">    Describe the bug_x000D_
_x000D_
I installed epic fight mod and epic knights I created a brand new world and when creating it the game says  Game Exit   I tried_x000D_
_x000D_
_x000D_
    The log file and images videos_x000D_
_x000D_
  Screenshot 20220203 193534 PojavLauncher (Minecraft Java Edition for Android) (https:  user images githubusercontent com 98976255 152447191 0fa36bf5 f84c 4dab 81f3 578997014a0e jpg)_x000D_
_x000D_
_x000D_
    Steps To Reproduce_x000D_
_x000D_
   markdown_x000D_
1 starts pojavluncher with forge_x000D_
2 load game_x000D_
3 select world_x000D_
4 loading world_x000D_
5 game crashes_x000D_
   _x000D_
_x000D_
_x000D_
    Expected Behavior_x000D_
_x000D_
I expected the game to go in smoothly and perfect_x000D_
_x000D_
    Platform_x000D_
_x000D_
   markdown_x000D_
  Device model: SamsungA20_x000D_
  CPU architecture: armv8 A_x000D_
  Android version: 11_x000D_
  PojavLauncher version:crocus 326 b85dd1620 profiles 2 electrical boogaloo_x000D_
   _x000D_
_x000D_
_x000D_
    Anything else _x000D_
_x000D_
I really need to fix this I ve been playing mod for 1 month and figuring out how to sign in pojav never give up </t>
  </si>
  <si>
    <t>TeamNewPipe-NewPipe-7792</t>
  </si>
  <si>
    <t>[YouTube] Error snackbar when watching some videos (NPE in YoutubeStreamExtractor.getStreamSegments())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</si>
  <si>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16      Check https:  github com TeamNewPipe NewPipe releases    _x000D_
    x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1  Go to literally any video and play it_x000D_
2  watch the video without problem but with the popup (inconsistent across videos)_x000D_
_x000D_
    Actual behavior_x000D_
     Tell us what happens with the steps given above     _x000D_
i can watch videos just fine  but at the bottom it always tells me   Sorry  something went wrong  in a popup_x000D_
_x000D_
_x000D_
    Expected behavior_x000D_
     Tell us what you expect to happen     _x000D_
watch the video without the error at the bottom_x000D_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requested stream_x000D_
    Request:   https:  www youtube com watch v xhVS1HKwGWw_x000D_
    Content Country:   US_x000D_
    Content Language:   en US_x000D_
    App Language:   en US_x000D_
    Service:   YouTube_x000D_
    Version:   0 21 16_x000D_
    OS:   Linux samsung r8qxeea r8q:11 RP1A 200720 012 G781BXXU4CUH5:user release keys 11   30_x000D_
 details  summary  b Crash log   b   summary  p _x000D_
_x000D_
   _x000D_
java lang NullPointerException: Attempt to invoke virtual method  boolean java lang String equals(java lang Object)  on a null object reference_x000D_
	at org schabi newpipe extractor services youtube extractors YoutubeStreamExtractor getStreamSegments(YoutubeStreamExtractor java:1335)_x000D_
	at org schabi newpipe extractor stream StreamInfo extractOptionalData(StreamInfo java:333)_x000D_
	at org schabi newpipe extractor stream StreamInfo getInfo(StreamInfo java:73)_x000D_
	at org schabi newpipe extractor stream StreamInfo getInfo(StreamInfo java:64)_x000D_
	at org schabi newpipe util ExtractorHelper lambda getStreamInfo 3(ExtractorHelper java:116)_x000D_
	at org schabi newpipe util ExtractorHelper  r8 lambda YTHJjScxCJNO1LTCqs3IKy35iyY(Unknown Source:0)_x000D_
	at org schabi newpipe util ExtractorHelper  ExternalSyntheticLambda6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details _x000D_
 hr _x000D_
_x000D_
_x000D_
_x000D_
     Please fill this section if you did not provide a log generated by NewPipe    _x000D_
_x000D_
    Device info_x000D_
_x000D_
   Android version Custom ROM version:_x000D_
   Device model:_x000D_
</t>
  </si>
  <si>
    <t>Marmo-debitum-86</t>
  </si>
  <si>
    <t>Crash: unable to set amount, edit transaction or create refund</t>
  </si>
  <si>
    <t>Hi _x000D_
I can t use your app properly as it supports only amount less or equal to 999 _x000D_
_x000D_
After typing 4 digit  the app automatically put space to format thousands  This leads to crash when trying to edit the amount  So I cannot input more than 9999  I have to type it somewhere else  and copy paste it into amount field _x000D_
_x000D_
I cannot edit transaction with amount more than 999 or create return transaction as this will crash the app _x000D_
_x000D_
Samsung Galaxy A40_x000D_
Android 11_x000D_
App  1 6 2_x000D_
Lang: cs CZ_x000D_
_x000D_
  Screenshot 20220203 223931 Debitum (https:  user images githubusercontent com 11516259 152433636 9ca9fefd 95da 4468 80c0 e1057b9e5585 png)</t>
  </si>
  <si>
    <t>material-components-material-components-android-2550</t>
  </si>
  <si>
    <t>[DynamicColors] App crash when opening context menu with onLongClickListener</t>
  </si>
  <si>
    <t xml:space="preserve">  Description:   After upgrading to M3 and enabling dynamic colors  the app crashes when opening a context menu on Android 12  This behavior happens only when I explicitly set an onLongClickListener to trigger the context menu _x000D_
The app doesn t crash when dynamic colors are disabled or not available (older Android version) _x000D_
_x000D_
Here are the error log messages I get with the stack trace:_x000D_
   _x000D_
E ThemeUtils: View class androidx appcompat widget AppCompatImageView is an AppCompat widget that can only be used with a Theme AppCompat theme (or descendant) _x000D_
E ThemeUtils: View class com google android material textview MaterialTextView is an AppCompat widget that can only be used with a Theme AppCompat theme (or descendant) _x000D_
E ThemeUtils: View class com google android material button MaterialButton is an AppCompat widget that can only be used with a Theme AppCompat theme (or descendant) _x000D_
D AndroidRuntime: Shutting down VM_x000D_
E AndroidRuntime: FATAL EXCEPTION: main_x000D_
    Process: org example android12 context menu issue  PID: 11851_x000D_
    android view InflateException: Binary XML file line  80 in android:layout alert dialog material: Binary XML file line  37 in android:layout alert dialog button bar material: Error inflating class Button_x000D_
    Caused by: android view InflateException: Binary XML file line  37 in android:layout alert dialog button bar material: Error inflating class Button_x000D_
    Caused by: java lang IllegalArgumentException: The style on this component requires your app theme to be Theme MaterialComponents (or a descendant) _x000D_
        at com google android material internal ThemeEnforcement checkTheme(ThemeEnforcement java:241)_x000D_
        at com google android material internal ThemeEnforcement checkMaterialTheme(ThemeEnforcement java:215)_x000D_
        at com google android material internal ThemeEnforcement checkCompatibleTheme(ThemeEnforcement java:143)_x000D_
        at com google android material internal ThemeEnforcement obtainStyledAttributes(ThemeEnforcement java:75)_x000D_
        at com google android material button MaterialButton  init (MaterialButton java:226)_x000D_
        at com google android material button MaterialButton  init (MaterialButton java:217)_x000D_
        at com google android material theme MaterialComponentsViewInflater createButton(MaterialComponentsViewInflater java:43)_x000D_
        at androidx appcompat app AppCompatViewInflater createView(AppCompatViewInflater java:129)_x000D_
        at androidx appcompat app AppCompatDelegateImpl createView(AppCompatDelegateImpl java:1566)_x000D_
        at androidx appcompat app AppCompatDelegateImpl onCreateView(AppCompatDelegateImpl java:1617)_x000D_
        at android view LayoutInflater tryCreateView(LayoutInflater java:1065)_x000D_
        at android view LayoutInflater createViewFromTag(LayoutInflater java:1001)_x000D_
        at android view LayoutInflater createViewFromTag(LayoutInflater java:965)_x000D_
        at android view LayoutInflater rInflate(LayoutInflater java:1127)_x000D_
        at android view LayoutInflater rInflateChildren(LayoutInflater java:1088)_x000D_
        at android view LayoutInflater rInflate(LayoutInflater java:1130)_x000D_
        at android view LayoutInflater rInflateChildren(LayoutInflater java:1088)_x000D_
        at android view LayoutInflater parseInclude(LayoutInflater java:1267)_x000D_
        at android view LayoutInflater rInflate(LayoutInflater java:1123)_x000D_
        at android view LayoutInflater rInflateChildren(LayoutInflater java:1088)_x000D_
        at android view LayoutInflater inflate(LayoutInflater java:686)_x000D_
        at android view LayoutInflater inflate(LayoutInflater java:538)_x000D_
        at android view LayoutInflater inflate(LayoutInflater java:485)_x000D_
        at com android internal policy PhoneWindow setContentView(PhoneWindow java:461)_x000D_
        at com android internal app AlertController installContent(AlertController java:269)_x000D_
        at android app AlertDialog onCreate(AlertDialog java:439)_x000D_
        at android app Dialog dispatchOnCreate(Dialog java:424)_x000D_
        at android app Dialog show(Dialog java:318)_x000D_
        at com android internal view menu MenuDialogHelper show(MenuDialogHelper java:89)_x000D_
        at com android internal view menu ContextMenuBuilder showDialog(ContextMenuBuilder java:90)_x000D_
        at com android internal policy DecorView showContextMenuForChildInternal(DecorView java:859)_x000D_
        at com android internal policy DecorView showContextMenuForChild(DecorView java:829)_x000D_
        at android view ViewGroup showContextMenuForChild(ViewGroup java:978)_x000D_
        at android view ViewGroup showContextMenuForChild(ViewGroup java:978)_x000D_
        at android view ViewGroup showContextMenuForChild(ViewGroup java:978)_x000D_
        at android view ViewGroup showContextMenuForChild(ViewGroup java:978)_x000D_
        at android view ViewGroup showContextMenuForChild(ViewGroup java:978)_x000D_
        at android view View showContextMenu(View java:7596)_x000D_
        at android widget TextView showContextMenu(TextView java:11259)_x000D_
        at org example android12 context menu issue MainActivity onCreate lambda 0(MainActivity kt:18)_x000D_
        at org example android12 context menu issue MainActivity  r8 lambda KmXOWaTXF Np4mpPc2lqYGLll8U(Unknown Source:0)_x000D_
        at org example android12 context menu issue MainActivity  ExternalSyntheticLambda2 onLongClick(Unknown Source:0)_x000D_
E AndroidRuntime:     at android view View performLongClickInternal(View java:7521)_x000D_
        at android view View performLongClick(View java:7479)_x000D_
        at android widget TextView performLongClick(TextView java:12633)_x000D_
        at android view View performLongClick(View java:7497)_x000D_
        at android view View CheckForLongPress run(View java:28635)_x000D_
        at android os Handler handleCallback(Handler java:938)_x000D_
        at android os Handler dispatchMessage(Handler java:99)_x000D_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_x000D_
_x000D_
  Expected behavior:   The context menu is displayed and the app doesn t crash _x000D_
_x000D_
  Source code:  _x000D_
_x000D_
App kt_x000D_
   kotlin_x000D_
class App : Application()  _x000D_
_x000D_
    override fun onCreate()  _x000D_
        super onCreate()_x000D_
        DynamicColors applyToActivitiesIfAvailable(this)_x000D_
     _x000D_
 _x000D_
   _x000D_
_x000D_
MainActivity kt_x000D_
   kotlin_x000D_
class MainActivity : AppCompatActivity()  _x000D_
_x000D_
    override fun onCreate(savedInstanceState: Bundle )  _x000D_
        super onCreate(savedInstanceState)_x000D_
        setContentView(R layout activity main)_x000D_
_x000D_
        val textView: TextView   findViewById(R id text view)_x000D_
_x000D_
        textView setOnLongClickListener   v   _x000D_
            v showContextMenu()_x000D_
         _x000D_
_x000D_
        textView setOnCreateContextMenuListener   menu         _x000D_
            menu add(Menu NONE  R id action show snackbar  Menu NONE   Show snackbar )_x000D_
                 setOnMenuItemClickListener  _x000D_
                    Snackbar make(textView   Hello World    Snackbar LENGTH LONG) show()_x000D_
                    true_x000D_
                 _x000D_
         _x000D_
     _x000D_
 _x000D_
   _x000D_
_x000D_
activity main xml_x000D_
   xml_x000D_
  xml version  1 0  encoding  utf 8   _x000D_
 androidx constraintlayout widget ConstraintLayout_x000D_
        xmlns:android  http:  schemas android com apk res android _x000D_
        xmlns:tools  http:  schemas android com tools _x000D_
        xmlns:app  http:  schemas android com apk res auto _x000D_
        android:layout width  match parent _x000D_
        android:layout height  match parent _x000D_
        tools:context   MainActivity  _x000D_
     TextView_x000D_
            android:id    id text view _x000D_
            android:layout width  wrap content _x000D_
            android:layout height  wrap content _x000D_
            android:text  Hello World  _x000D_
            app:layout constraintBottom toBottomOf  parent _x000D_
            app:layout constraintLeft toLeftOf  parent _x000D_
            app:layout constraintRight toRightOf  parent _x000D_
            app:layout constraintTop toTopOf  parent   _x000D_
_x000D_
  androidx constraintlayout widget ConstraintLayout _x000D_
   _x000D_
_x000D_
themes xml (built with https:  material foundation github io material theme builder )_x000D_
   xml_x000D_
 resources _x000D_
     style name  AppTheme  parent  Theme Material3 Light NoActionBar  _x000D_
         item name  colorPrimary   color md theme light primary  item _x000D_
         item name  colorOnPrimary   color md theme light onPrimary  item _x000D_
         item name  colorPrimaryContainer   color md theme light primaryContainer  item _x000D_
         item name  colorOnPrimaryContainer   color md theme light onPrimaryContainer  item _x000D_
         item name  colorSecondary   color md theme light secondary  item _x000D_
         item name  colorOnSecondary   color md theme light onSecondary  item _x000D_
         item name  colorSecondaryContainer   color md theme light secondaryContainer  item _x000D_
         item name  colorOnSecondaryContainer   color md theme light onSecondaryContainer  item _x000D_
         item name  colorTertiary   color md theme light tertiary  item _x000D_
         item name  colorOnTertiary   color md theme light onTertiary  item _x000D_
         item name  colorTertiaryContainer   color md theme light tertiaryContainer  item _x000D_
         item name  colorOnTertiaryContainer   color md theme light onTertiaryContainer  item _x000D_
         item name  colorError   color md theme light error  item _x000D_
         item name  colorErrorContainer   color md theme light errorContainer  item _x000D_
         item name  colorOnError   color md theme light onError  item _x000D_
         item name  colorOnErrorContainer   color md theme light onErrorContainer  item _x000D_
         item name  android:colorBackground   color md theme light background  item _x000D_
         item name  colorOnBackground   color md theme light onBackground  item _x000D_
         item name  colorSurface   color md theme light surface  item _x000D_
         item name  colorOnSurface   color md theme light onSurface  item _x000D_
         item name  colorSurfaceVariant   color md theme light surfaceVariant  item _x000D_
         item name  colorOnSurfaceVariant   color md theme light onSurfaceVariant  item _x000D_
         item name  colorOutline   color md theme light outline  item _x000D_
         item name  colorOnSurfaceInverse   color md theme light inverseOnSurface  item _x000D_
         item name  colorSurfaceInverse   color md theme light inverseSurface  item _x000D_
         item name  colorPrimaryInverse   color md theme light primaryInverse  item _x000D_
      style _x000D_
  resources _x000D_
   _x000D_
_x000D_
  Android API version:   31_x000D_
_x000D_
  Material Library version:   1 5 0  1 6 0 alpha02_x000D_
  Device:   Pixel 4a (physical)_x000D_
</t>
  </si>
  <si>
    <t>aws-amplify-amplify-android-1651</t>
  </si>
  <si>
    <t>Amplify library on Android is missing the detection of "AlreadyConfiguredException" for Kotlin/Java users</t>
  </si>
  <si>
    <t xml:space="preserve">  Describe the bug  _x000D_
I am using Kotlin to Authenticate a user login via Amazon Cognito in a login page on Android device  Relaunching the login page would crash the whole app _x000D_
_x000D_
  To Reproduce  _x000D_
In my login page s onCreate()  I perform the login  Firs time  it works  If I close the app and try to relaunch it from Settings Apps  I receive this exception:_x000D_
AlreadyConfiguredException message Amplify has already been configured   cause null  recoverySuggestion Do not add plugins after calling  Amplify configure()   _x000D_
_x000D_
Your code_x000D_
               AuthCategory() plugins ifEmpty  _x000D_
                    Amplify addPlugin(AWSApiPlugin())_x000D_
                    Amplify addPlugin(AWSCognitoAuthPlugin())_x000D_
                    Amplify configure(applicationContext)_x000D_
                 _x000D_
_x000D_
  Which AWS service(s) are affected   _x000D_
auth  cognito_x000D_
_x000D_
  Expected behavior  _x000D_
A clear and concise description of what you expected to happen _x000D_
I should be able to login logout and re login  The relogin portion is crashing _x000D_
_x000D_
  Screenshots  _x000D_
_x000D_
My App simply crashes when I try to relaunch  The login of the second time crashes the app _x000D_
_x000D_
  Environment Information (please complete the following information):  _x000D_
 I have the latest amazonaws libraries  as of today ( 3  Feb  2022)_x000D_
   implementation  com amazonaws:aws android sdk auth userpools:2 39 0 _x000D_
    implementation  com amazonaws:aws android sdk auth ui:2 39 0 _x000D_
    implementation  com amazonaws:aws android sdk mobile client:2 39 0 _x000D_
    implementation  com amplifyframework:core:1 31 2 _x000D_
    implementation  com amplifyframework:aws api:1 31 2 _x000D_
    implementation  com amplifyframework:aws datastore:1 31 2 _x000D_
    implementation  com amplifyframework:aws auth cognito:1 31 2 _x000D_
    implementation  com amazonaws:aws android sdk cognitoauth:2 39 0 _x000D_
_x000D_
   Device:  Simulator _x000D_
   Android Version: version agnostic_x000D_
   Specific to simulators: No_x000D_
_x000D_
  Additional context  _x000D_
If the same issue has been addressed for Flutter ( https:  github com aws amplify amplify flutter issues 412)  can the fix be ported for Kotlin Java  _x000D_
</t>
  </si>
  <si>
    <t>TeamNewPipe-NewPipe-7785</t>
  </si>
  <si>
    <t>Newpipe popup blocking Google play buttons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</si>
  <si>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Play any video in popup mode_x000D_
Open Google play store_x000D_
Open any app s page in the Google play store_x000D_
try to install uninstall open any app in the Google play store_x000D_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Popup players blocks all of the buttons and you can t install uninstall open any app via Google play store  (gives a little msg that something is blocking Google play  disable overlay stuff) _x000D_
_x000D_
_x000D_
    Expected behavior_x000D_
     Tell us what you expect to happen     _x000D_
You should be able to just install uninstall open any app because apps like pure tuber and such which use Newpipe source code have no problem with Google play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user images githubusercontent com 38975749 152360276 b4893943 fe15 4bf1 a738 d05e30ede919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miui 12 5 5 0 global_x000D_
   Device model: poco f3 (alioth) _x000D_
</t>
  </si>
  <si>
    <t>PojavLauncherTeam-PojavLauncher-2669</t>
  </si>
  <si>
    <t>game kept crashing when joining world</t>
  </si>
  <si>
    <t xml:space="preserve">    Describe the bug
I installed halogen mod(forge version of sodium) game kept crashing when joining world I turned off the compact vertex format and fog occlusion but the game still kept crashing when joining world I also tried to change video renderer still didn t work then I uninstalled pojavlauncher reinstall pojavlauncher then redownloaded mc 1 16 5 and its forge(I deleted all mods) still kept crashing but the game works fine if  I play 1 16 5 vanilla
    The log file and images videos
 latest log (https:  github com PojavLauncherTeam PojavLauncher files 7995127 latest log)_x000D_
    Steps To Reproduce
   markdown
1  open pojavlauncher_x000D_
2 select 1 16 5 forge_x000D_
3 launch mc_x000D_
4 click single player_x000D_
5 join a world_x000D_
6 wait for world load_x000D_
6 game crashes
    Expected Behavior
I expected I can join the world successfully
    Platform
   markdown
  Device model: huawei nova 6 s 8 128G_x000D_
  CPU architecture: i don t know_x000D_
  Android version: 10_x000D_
  PojavLauncher version: crocus 317 fb7a4b240 v3 oprnjdk
    Anything else 
 No response </t>
  </si>
  <si>
    <t>TeamNewPipe-NewPipe-7783</t>
  </si>
  <si>
    <t>Import/Export database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</si>
  <si>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1  Go to  Settings _x000D_
2  Press on  Content _x000D_
3  Swipe down to  Import database  or  Export database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App crashes_x000D_
_x000D_
_x000D_
    Expected behavior_x000D_
     Tell us what you expect to happen     _x000D_
File Browser should open to select save database_x000D_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DE_x000D_
    Content Language:   en DE_x000D_
    App Language:   en DE_x000D_
    Service:   none_x000D_
    Version:   0 21 16_x000D_
    OS:   Linux samsung m51nseea m51:11 RP1A 200720 012 M515FXXU3CUH2:user release keys 11   30_x000D_
 details  summary  b Crash log   b   summary  p _x000D_
_x000D_
   _x000D_
android content ActivityNotFoundException: No Activity found to handle Intent   act android intent action OPEN DOCUMENT cat  android intent category OPENABLE  typ application zip flg 0x43 (has extras)  _x000D_
	at android app Instrumentation checkStartActivityResult(Instrumentation java:2080)_x000D_
	at android app Instrumentation execStartActivity(Instrumentation java:1727)_x000D_
	at android app Activity startActivityForResult(Activity java:5377)_x000D_
	at androidx activity ComponentActivity startActivityForResult(ComponentActivity java:597)_x000D_
	at androidx core app ActivityCompat startActivityForResult(ActivityCompat java:237)_x000D_
	at androidx activity ComponentActivity 2 onLaunch(ComponentActivity java:210)_x000D_
	at androidx activity result ActivityResultRegistry 2 launch(ActivityResultRegistry java:167)_x000D_
	at androidx fragment app Fragment 9 launch(Fragment java:3510)_x000D_
	at androidx activity result ActivityResultLauncher launch(ActivityResultLauncher java:47)_x000D_
	at org schabi newpipe settings ContentSettingsFragment lambda onCreatePreferences 0(ContentSettingsFragment java:76)_x000D_
	at org schabi newpipe settings ContentSettingsFragment  r8 lambda IJ0 sY 2nFZ8j0D13C6AQ28cAn0(Unknown Source:0)_x000D_
	at org schabi newpipe settings ContentSettingsFragment  ExternalSyntheticLambda7 onPreferenceClick(Unknown Source:2)_x000D_
	at androidx preference Preference performClick(Preference java:1184)_x000D_
	at androidx preference Preference performClick(Preference java:1166)_x000D_
	at androidx preference Preference 1 onClick(Preference java:181)_x000D_
	at android view View performClick(View java:8160)_x000D_
	at android view View performClickInternal(View java:8137)_x000D_
	at android view View access 3700(View java:888)_x000D_
	at android view View PerformClick run(View java:30236)_x000D_
	at android os Handler handleCallback(Handler java:938)_x000D_
	at android os Handler dispatchMessage(Handler java:99)_x000D_
	at android os Looper loop(Looper java:246)_x000D_
	at android app ActivityThread main(ActivityThread java:8544)_x000D_
	at java lang reflect Method invoke(Native Method)_x000D_
	at com android internal os RuntimeInit MethodAndArgsCaller run(RuntimeInit java:602)_x000D_
	at com android internal os ZygoteInit main(ZygoteInit java:1130)_x000D_
_x000D_
   _x000D_
  details _x000D_
 hr _x000D_
_x000D_
     That s right  here     _x000D_
_x000D_
_x000D_
_x000D_
     Please fill this section if you did not provide a log generated by NewPipe    _x000D_
_x000D_
    Device info_x000D_
_x000D_
   Android version Custom ROM version: 11   OneUI Core 3 1_x000D_
   Device model: Samsung Galaxy M51_x000D_
</t>
  </si>
  <si>
    <t>PojavLauncherTeam-PojavLauncher-2668</t>
  </si>
  <si>
    <t xml:space="preserve">Batmod crashes </t>
  </si>
  <si>
    <t xml:space="preserve">    Describe the bug
It just crashes
    The log file and images videos
 latestlog txt (https:  github com PojavLauncherTeam PojavLauncher files 7994473 latestlog txt)_x000D_
    Steps To Reproduce
   markdown
1  Install 1 8 9_x000D_
2  Install batmod_x000D_
3  run it
    Expected Behavior
I expect it to launch
    Platform
   markdown
  Device model: samsung M51 6 128g_x000D_
  CPU architecture: aarch64_x000D_
  Android version: 11_x000D_
  PojavLauncher version: latest release
    Anything else 
 No response </t>
  </si>
  <si>
    <t>freenet-mobile-app-112</t>
  </si>
  <si>
    <t>Freenet application crashes when Freenet activated.</t>
  </si>
  <si>
    <t xml:space="preserve">The Freenet app crashes whenever I press the start button  My device ID is  SM A800 I  </t>
  </si>
  <si>
    <t>TeamNewPipe-NewPipe-7780</t>
  </si>
  <si>
    <t xml:space="preserve">New pipe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</si>
  <si>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model:_x000D_
</t>
  </si>
  <si>
    <t>google-gson-2070</t>
  </si>
  <si>
    <t>Occasional NullPointerException when calling Gson.fromJson when converting to a TypedToken of type CopyOnWriteArraySet</t>
  </si>
  <si>
    <t xml:space="preserve">  Gson version_x000D_
2 8 9_x000D_
_x000D_
  Java   Android version_x000D_
Multiple Android versions (23 )_x000D_
_x000D_
  Description_x000D_
NullPointerException when calling Gson fromJson when converting to a TypedToken of type CopyOnWriteArraySet  _x000D_
This crash is noticed on user devices but not reproducible locally while debugging _x000D_
_x000D_
Here is the code that is causing the null pointer _x000D_
   _x000D_
        CopyOnWriteArraySet String  result _x000D_
        Type type   new TypeToken CopyOnWriteArraySet String  ()  _x000D_
          getType() _x000D_
        Gson gson   new Gson() _x000D_
        result   gson fromJson(json  type) _x000D_
   _x000D_
_x000D_
  Exception stack trace_x000D_
 img width  815  alt  Screenshot 2022 02 03 at 9 14 30 AM  src  https:  user images githubusercontent com 6111841 152278262 66c53048 64f0 49a2 ad44 1aa47816e5c4 png  _x000D_
_x000D_
   _x000D_
_x000D_
   _x000D_
</t>
  </si>
  <si>
    <t>TeamNewPipe-NewPipe-7777</t>
  </si>
  <si>
    <t>No video</t>
  </si>
  <si>
    <t>PojavLauncherTeam-PojavLauncher-2664</t>
  </si>
  <si>
    <t>[BUG] MouseEventHandler Crash?</t>
  </si>
  <si>
    <t xml:space="preserve">    Describe the bug
This doesnt make any sense i just Launch my Forge 1 16 5 36 20 then i make a new world and its just crash its always saying MouseEventHandler btw this is not the first time happens to me _x000D_
My Mods in my Mods Folder:_x000D_
1 cfm 7 0pre22 1 16 3 jar (Mrcrayfish Furniture Mod 1 16 5)_x000D_
2 modernlife 1 16 5 1 20 jar_x000D_
3 obfuscate 0 6 2 1 16 3 jar_x000D_
4 Optifine 1 16 5 HD U G8 jar_x000D_
5 worldedit mod 7 2 5 dist jar
    The log file and images videos
 crash 2022 02 02 19 22 44 client txt (https:  github com PojavLauncherTeam PojavLauncher files 7989471 crash 2022 02 02 19 22 44 client txt)_x000D_
    Steps To Reproduce
   markdown
1 Start Pojavlauncher_x000D_
2 Launch 1 16 5 Forge_x000D_
3 Plays Singleplayer_x000D_
4 Make a New World_x000D_
5  Its just crash
    Expected Behavior
I expect to get a normal play just like yesterday i play this mods yesterday and its completely fine but now its just crashes
    Platform
   markdown
  Device model: Oppo A12_x000D_
  CPU architecture: aarch64_x000D_
  Android version: 9_x000D_
  PojavLauncher version: Latest from Play Store
    Anything else 
 </t>
  </si>
  <si>
    <t>hzi-braunschweig-SORMAS-Project-7849</t>
  </si>
  <si>
    <t>[Events] System crashes when user tries to filter the events in the table during select a subordinate event flow</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</si>
  <si>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When the user has an event without a  Date of Event  and goes through the select a subordinate event flow  if he filters the events in the events table by Date or by Epi Week  when he clicks on  Date of event from epi week   the system crashes  throwing a message stating that  An unexpected error occurred _x000D_
_x000D_
    Steps to Reproduce_x000D_
     Optional  please add more steps if necessary    _x000D_
1  Open or create an event that has no  Date of Event   only  Report Date _x000D_
2  Click on  Link Event  in the  Subordinate Events  card _x000D_
3  Filter the events by  Date of event from epi week _x000D_
_x000D_
    Actual Behavior_x000D_
When selecting the Epi Week or the date  an error occurs stating that  An unexpected error occurred _x000D_
_x000D_
    Expected Behavior_x000D_
No system crash error should appear _x000D_
_x000D_
    Screenshots_x000D_
  image (https:  user images githubusercontent com 89522688 152134677 c0848e76 7fc9 4c44 b8a7 a87d54ca222e png)_x000D_
_x000D_
    System Details_x000D_
     Mandatory  you only have to specify the Server URL if the error appeared on a publicly available test server    _x000D_
  Device: Windows 10_x000D_
  SORMAS version: 1 68 0 SNAPSHOT_x000D_
  Android version Browser: Chrome_x000D_
  Server URL: test de1 sormas netzlink com_x000D_
  User Role: NatUser_x000D_
_x000D_
    Additional Information_x000D_
     Optional    _x000D_
This is also reproductible when linking an superordinate event and selecting the     to epi week </t>
  </si>
  <si>
    <t>TeamNewPipe-NewPipe-7775</t>
  </si>
  <si>
    <t>Send link from SoundCloud app to NewPipe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</si>
  <si>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Trying to send a soundcloud link (song) from the official Soundcloud app  through the share button  gives the message that the url is not supported  and the option to open the link in the internet browser  Doing so  loops back to the soundcloud app  and asks which app I want to open the link with  Choosing NewPipe then works properly _x000D_
_x000D_
     Tell us what happens with the steps given above     _x000D_
_x000D_
    Expected behavior_x000D_
     Tell us what you expect to happen     _x000D_
The soundcloud link should be recognised in the first place  and not making that loop behaviour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10_x000D_
   Device model: Nokia 6 2_x000D_
</t>
  </si>
  <si>
    <t>massivemadness-Squircle-IDE-110</t>
  </si>
  <si>
    <t>Crash when deleting multiple chars</t>
  </si>
  <si>
    <t xml:space="preserve">
 Please consider making a Pull Request if you are capable of doing so  
  App Version:  
2021 1 4 Standard Edition
  Affected Device(s):  
Android 11 0
  Describe the bug  
I m using the openboard keyboard which allows deleting multiple chars with a swipe over the deletion key  Squircle crashes then 
FATAL EXCEPTION: main
Process: com blacksquircle ui  PID: 12910
java lang IndexOutOfBoundsException: setSpan (5732     5716) has end before start
	at android text SpannableStringBuilder checkRange(SpannableStringBuilder java:1318)
	at android text SpannableStringBuilder setSpan(SpannableStringBuilder java:684)
	at android text SpannableStringBuilder setSpan(SpannableStringBuilder java:676)
	at com blacksquircle ui editorkit widget internal SyntaxHighlightEditText updateSyntaxHighlighting(SyntaxHighlightEditText kt:319)
	at com blacksquircle ui editorkit widget internal SyntaxHighlightEditText onScrollChanged(SyntaxHighlightEditText kt:88)
	at com blacksquircle ui editorkit widget TextProcessor onScrollChanged(TextProcessor kt:86)
	at android view View scrollTo(View java:18230)
	at android widget TextView bringPointIntoView(TextView java:9985)
	at android widget TextView onPreDraw(TextView java:7579)
	at android view ViewTreeObserver dispatchOnPreDraw(ViewTreeObserver java:1093)
	at android view ViewRootImpl performTraversals(ViewRootImpl java:3091)
	at android view ViewRootImpl doTraversal(ViewRootImpl java:1954)
	at android view ViewRootImpl TraversalRunnable run(ViewRootImpl java:8180)
	at android view Choreographer CallbackRecord run(Choreographer java:1056)
	at android view Choreographer doCallbacks(Choreographer java:878)
	at android view Choreographer doFrame(Choreographer java:811)
	at android view Choreographer FrameDisplayEventReceiver run(Choreographer java:1041)
	at android os Handler handleCallback(Handler java:938)
	at android os Handler dispatchMessage(Handler java:99)
	at android os Looper loop(Looper java:223)
	at android app ActivityThread main(ActivityThread java:7697)
	at java lang reflect Method invoke(Native Method)
	at com android internal os RuntimeInit MethodAndArgsCaller run(RuntimeInit java:592)
	at com android internal os ZygoteInit main(ZygoteInit java:952)
  To Reproduce  
Steps to reproduce the behavior:
1  Install openboard
2  Delete multiple chars with a swipe
3  See what happens
  Expected behavior  
The chars are deleted 
</t>
  </si>
  <si>
    <t>hzi-braunschweig-SORMAS-Project-7839</t>
  </si>
  <si>
    <t>sormas-app DatabaseHelper does not sanitize SQL raw queries</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</si>
  <si>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After mobile app gets upgraded from 1 42 3 to 1 60 3  the app crashes immediately when launched _x000D_
Investigating this crash reveals that a query is unable to handle apostrophes in data values _x000D_
Specifically  in  migratePersonContactDetails   the value of  generalPractitionerDetails  contains an apostrophe which causes an SQL syntax error  crashing the app _x000D_
_x000D_
    Steps to Reproduce_x000D_
     Optional  please add more steps if necessary    _x000D_
1  Install android app version between 1 36 0 and 1 57 2_x000D_
2  Under case person s information  scroll down to the  General Practitioner Name and Contact Details  text area _x000D_
3  Enter any name containing an apostrophe_x000D_
4  Save_x000D_
5  Close the app_x000D_
6  Upgrade the app to version 1 58 0 or above_x000D_
7  Launch the app_x000D_
8  The app fails to launch  displaying  SORMAS has stopped  Open app again _x000D_
_x000D_
    Expected Behavior_x000D_
The app should launch successfully after the upgrade _x000D_
_x000D_
    Screenshots_x000D_
     Optional    _x000D_
_x000D_
    System Details_x000D_
     Mandatory  you only have to specify the Server URL if the error appeared on a publicly available test server    _x000D_
  Device: Samsung Galaxy Tab A (2016)_x000D_
  SORMAS version: 1 60 3_x000D_
  Android version Browser: Android 8 1 0_x000D_
  Server URL:_x000D_
  User Role: Surveillance Officer_x000D_
_x000D_
    Additional Information_x000D_
     Optional    _x000D_
</t>
  </si>
  <si>
    <t>TeamNewPipe-NewPipe-7756</t>
  </si>
  <si>
    <t>Unable to play video</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</si>
  <si>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Open new pipe
2  Play any video
3  You will see the video fails to play
     If you can t cause the bug to show up again reliably (and hence don t have a proper set of steps to give us)  please still try to give as many details as possible on how you think you encountered the bug     
    Actual behavior
     Tell us what happens with the steps given above     
The video fails to play
    Expected behavior
     Tell us what you expect to happen     
Video should play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https:  user images githubusercontent com 50520807 151977325 f134ff70 d652 485d b6d8 f9ac9cc276b7 mp4
    Logs
     If your bug includes a crash (where you re shown the Error Report page with a bunch of info)  tap on  Copy formatted report  at the bottom and paste it here:    
     That s right  here     
   Exception
    User Action:   requested stream
    Request:   https:  www youtube com watch v OtVABKfc AE
    Content Country:   US
    Content Language:   en US
    App Language:   en US
    Service:   YouTube
    Version:   0 21 13
    OS:   Linux Android 11   30
 details  summary  b Crash log   b   summary  p 
org schabi newpipe extractor stream StreamInfo StreamExtractException: Could not get any stream  See error variable to get further details 
	at org schabi newpipe extractor stream StreamInfo extractStreams(StreamInfo java:194)
	at org schabi newpipe extractor stream StreamInfo getInfo(StreamInfo java:72)
	at org schabi newpipe extractor stream StreamInfo getInfo(StreamInfo java:64)
	at org schabi newpipe util ExtractorHelper lambda getStreamInfo 3(ExtractorHelper java:116)
	at org schabi newpipe util ExtractorHelper  r8 lambda YTHJjScxCJNO1LTCqs3IKy35iyY(Unknown Source:0)
	at org schabi newpipe util ExtractorHelper  ExternalSyntheticLambda6 call(Unknown Source:4)
	at io reactivex rxjava3 internal operators single SingleFromCallable subscribeActual(SingleFromCallable java:43)
	at io reactivex rxjava3 core Single subscribe(Single java:4813)
	at io reactivex rxjava3 internal operators single SingleDoOnSuccess subscribeActual(SingleDoOnSuccess java:35)
	at io reactivex rxjava3 core Single subscribe(Single java:4813)
	at io reactivex rxjava3 internal operators maybe MaybeFromSingle subscribeActual(MaybeFromSingle java:41)
	at io reactivex rxjava3 core Maybe subscribe(Maybe java:5330)
	at io reactivex rxjava3 internal operators maybe MaybeConcatArray ConcatMaybeObserver drain(MaybeConcatArray java:153)
	at io reactivex rxjava3 internal operators maybe MaybeConcatArray ConcatMaybeObserver request(MaybeConcatArray java:78)
	at io reactivex rxjava3 internal operators flowable FlowableElementAtMaybe ElementAtSubscriber onSubscribe(FlowableElementAtMaybe java:66)
	at io reactivex rxjava3 internal operators maybe MaybeConcatArray subscribeActual(MaybeConcatArray java:42)
	at io reactivex rxjava3 core Flowable subscribe(Flowable java:15753)
	at io reactivex rxjava3 internal operators flowable FlowableElementAtMaybe subscribeActual(FlowableElementAtMaybe java:36)
	at io reactivex rxjava3 core Maybe subscribe(Maybe java:5330)
	at io reactivex rxjava3 internal operators maybe MaybeToSingle subscribeActual(MaybeToSingle java:46)
	at io reactivex rxjava3 core Single subscribe(Single java:4813)
	at io reactivex rxjava3 internal operators single SingleSubscribeOn SubscribeOnObserver run(SingleSubscribeOn java:89)
	at io reactivex rxjava3 core Scheduler DisposeTask run(Scheduler java:614)
	at io reactivex rxjava3 internal schedulers ScheduledRunnable run(ScheduledRunnable java:65)
	at io reactivex rxjava3 internal schedulers ScheduledRunnable call(ScheduledRunnable java:56)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java:923)
  details 
 hr 
     Please fill this section if you did not provide a log generated by NewPipe    
    Device info
   Android version Custom ROM version: 11 MIUI global 12 5 9
   Device model: Redmi note 10 pro (global variant)
</t>
  </si>
  <si>
    <t>TeamNewPipe-NewPipe-7755</t>
  </si>
  <si>
    <t>Dont show video content</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</si>
  <si>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Actual behavior
     Tell us what happens with the steps given above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Device model:
    </t>
  </si>
  <si>
    <t>PojavLauncherTeam-PojavLauncher-2661</t>
  </si>
  <si>
    <t>App bug</t>
  </si>
  <si>
    <t xml:space="preserve">    Describe the bug
java lang NullPointerException: Attempt to invoke virtual method  void java lang reflect Field set(java lang Object  java lang Object)  on a null object reference_x000D_
	at net kdt pojavlaunch customcontrols ControlData setExpression(ControlData java:270)_x000D_
	at net kdt pojavlaunch customcontrols ControlData calculate(ControlData java:197)_x000D_
	at net kdt pojavlaunch customcontrols ControlData insertDynamicPos(ControlData java:193)_x000D_
	at net kdt pojavlaunch customcontrols buttons ControlButton setDynamicX(ControlButton java:217)_x000D_
	at net kdt pojavlaunch customcontrols buttons ControlButton snapAndAlign(ControlButton java:470)_x000D_
	at net kdt pojavlaunch customcontrols buttons ControlButton onTouchEvent(ControlButton java:378)_x000D_
	at android view View dispatchTouchEvent(View java:15199)_x000D_
	at android view ViewGroup dispatchTransformedTouchEvent(ViewGroup java:3942)_x000D_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com android internal policy DecorView superDispatchTouchEvent(DecorView java:915)_x000D_
	at com android internal policy PhoneWindow superDispatchTouchEvent(PhoneWindow java:1957)_x000D_
	at android app Activity dispatchTouchEvent(Activity java:4182)_x000D_
	at androidx appcompat view WindowCallbackWrapper dispatchTouchEvent(WindowCallbackWrapper java:69)_x000D_
	at com android internal policy DecorView dispatchTouchEvent(DecorView java:873)_x000D_
	at android view View dispatchPointerEvent(View java:15458)_x000D_
	at android view ViewRootImpl ViewPostImeInputStage processPointerEvent(ViewRootImpl java:7457)_x000D_
	at android view ViewRootImpl ViewPostImeInputStage onProcess(ViewRootImpl java:7233)_x000D_
	at android view ViewRootImpl InputStage deliver(ViewRootImpl java:6595)_x000D_
	at android view ViewRootImpl InputStage onDeliverToNext(ViewRootImpl java:6652)_x000D_
	at android view ViewRootImpl InputStage forward(ViewRootImpl java:6618)_x000D_
	at android view ViewRootImpl AsyncInputStage forward(ViewRootImpl java:6786)_x000D_
	at android view ViewRootImpl InputStage apply(ViewRootImpl java:6626)_x000D_
	at android view ViewRootImpl AsyncInputStage apply(ViewRootImpl java:6843)_x000D_
	at android view ViewRootImpl InputStage deliver(ViewRootImpl java:6599)_x000D_
	at android view ViewRootImpl InputStage onDeliverToNext(ViewRootImpl java:6652)_x000D_
	at android view ViewRootImpl InputStage forward(ViewRootImpl java:6618)_x000D_
	at android view ViewRootImpl InputStage apply(ViewRootImpl java:6626)_x000D_
	at android view ViewRootImpl InputStage deliver(ViewRootImpl java:6599)_x000D_
	at android view ViewRootImpl deliverInputEvent(ViewRootImpl java:9880)_x000D_
	at android view ViewRootImpl doProcessInputEvents(ViewRootImpl java:9718)_x000D_
	at android view ViewRootImpl enqueueInputEvent(ViewRootImpl java:9671)_x000D_
	at android view ViewRootImpl WindowInputEventReceiver onInputEvent(ViewRootImpl java:10014)_x000D_
	at android view InputEventReceiver dispatchInputEvent(InputEventReceiver java:220)_x000D_
	at android view InputEventReceiver nativeConsumeBatchedInputEvents(Native Method)_x000D_
	at android view InputEventReceiver consumeBatchedInputEvents(InputEventReceiver java:200)_x000D_
	at android view ViewRootImpl doConsumeBatchedInput(ViewRootImpl java:9960)_x000D_
	at android view ViewRootImpl ConsumeBatchedInputRunnable run(ViewRootImpl java:10056)_x000D_
	at android view Choreographer CallbackRecord run(Choreographer java:1010)_x000D_
	at android view Choreographer doCallbacks(Choreographer java:809)_x000D_
	at android view Choreographer doFrame(Choreographer java:737)_x000D_
	at android view Choreographer FrameDisplayEventReceiver run(Choreographer java:995)_x000D_
	at android os Handler handleCallback(Handler java:938)_x000D_
	at android os Handler dispatchMessage(Handler java:99)_x000D_
	at android os Looper loop(Looper java:246)_x000D_
	at android app ActivityThread main(ActivityThread java:8653)_x000D_
	at java lang reflect Method invoke(Native Method)_x000D_
	at com android internal os RuntimeInit MethodAndArgsCaller run(RuntimeInit java:602)_x000D_
	at com android internal os ZygoteInit main(ZygoteInit java:1130)_x000D_
    The log file and images videos
    Steps To Reproduce
   markdown
1:open PojavLauncher _x000D_
2:login_x000D_
3:select fabric 1 16 5_x000D_
4:game crash_x000D_
5:wait_x000D_
And this shows
    Expected Behavior
    Platform
   markdown
  Device model: Galaxy A12 _x000D_
  CPU architecture: Aarch64 _x000D_
  Android version: 11_x000D_
  PojavLauncher version: fabric 1 16 5
    Anything else 
App bug</t>
  </si>
  <si>
    <t>inaturalist-iNaturalistAndroid-1180</t>
  </si>
  <si>
    <t>NullPointerException in ObservationEditor.createObservationPhotoForPhoto</t>
  </si>
  <si>
    <t xml:space="preserve">https:  console firebase google com u 1 project inaturalist ios crashlytics app android:org inaturalist android issues fb77b6753eb81322221379db89ef2f03_x000D_
_x000D_
   _x000D_
Fatal Exception: java lang NullPointerException: Attempt to invoke virtual method  android content ContentResolver android app Activity getContentResolver()  on a null object reference_x000D_
       at org inaturalist android ObservationEditor createObservationPhotoForPhoto(ObservationEditor java:3575)_x000D_
       at org inaturalist android ObservationEditor access 5400(ObservationEditor java:147)_x000D_
       at org inaturalist android ObservationEditor 42 run(ObservationEditor java:3402)_x000D_
       at java lang Thread run(Thread java:818)_x000D_
   </t>
  </si>
  <si>
    <t>ably-ably-java-743</t>
  </si>
  <si>
    <t>`ConcurrentModificationException` when `unsubscribe` then `detach` channel presence listener</t>
  </si>
  <si>
    <t xml:space="preserve">A customer is experiencing a crash with  ably java   version 1 2 10 (https:  github com ably ably java releases tag v1 2 10)  therefore my understanding is that this is pure JVM (i e  a server type application   I think it s some kind of a bot)  not Android  They have described the scenario to us:
  When the UserA encounters a new user join to chatroom he was in   it registers the user presence listener 
   java
presenceChannel presence subscribe(member     
  When UserA no longer needs to track the users presence (not a member of any active chat rooms)  the listener is removed:
   java
presenceChannel presence unsubscribe() 
try  
    presenceChannel detach() 
  catch (AblyException e)  
    throw new BotException(e toString()) 
  The error is encountered mostly when a user goes offline    
  The following is the exception stack:
2022 01 25T15:37:29 129 INFO SomeClient WebSocketConnectReadThread 132   l : DEBUG   msg : receive presence event  action: leave  data:    userId  :  SomeUserIdValue     status  :  Online     customStatus  :  Available From SomeNamedTool      fnc : SomeClient registerUserPresence   
2022 01 25T15:37:29 131 DEBUG UserPresenceManager WebSocketConnectReadThread 132 updateUserPresence: userId PATESTFICA138  source MESSAGING  state OFFLINE 
(ERROR): io ably lib transport WebSocketTransport: Unexpected exception processing received binary message 
io ably lib types AblyException: java util ConcurrentModificationException 
    at io ably lib types AblyException fromThrowable(AblyException java:54) 
    at io ably lib transport ConnectionManager onMessage(ConnectionManager java:1080) 
    at io ably lib transport WebSocketTransport WsClient onMessage(WebSocketTransport java:161) 
    at org java websocket client WebSocketClient onWebsocketMessage(WebSocketClient java:505) 
    at org java websocket drafts Draft 6455 processFrameBinary(Draft 6455 java:835) 
    at org java websocket drafts Draft 6455 processFrame(Draft 6455 java:794) 
    at org java websocket WebSocketImpl decodeFrames(WebSocketImpl java:381) 
    at org java websocket WebSocketImpl decode(WebSocketImpl java:218) 
    at org java websocket client WebSocketClient run(WebSocketClient java:425) 
    at java base java lang Thread run(Thread java:829) 
Caused by: java util ConcurrentModificationException 
    at java base java util ArrayList Itr checkForComodification(ArrayList java:1043) 
    at java base java util ArrayList Itr next(ArrayList java:997) 
    at io ably lib realtime Presence Multicaster onPresenceMessage(Presence java:359) 
    at io ably lib realtime Presence broadcastPresence(Presence java:345) 
    at io ably lib realtime Presence setPresence(Presence java:334) 
    at io ably lib realtime ChannelBase onPresence(ChannelBase java:769) 
    at io ably lib realtime ChannelBase onChannelMessage(ChannelBase java:1158) 
    at io ably lib realtime AblyRealtime InternalChannels onMessage(AblyRealtime java:187) 
    at io ably lib transport ConnectionManager onChannelMessage(ConnectionManager java:1090) 
    at io ably lib transport ConnectionManager onMessage(ConnectionManager java:1075) 
        8 more
(some details redacted above)
Hubspot (internal) threads conversing with this customer are  here (https:  app hubspot com live messages 6939709 inbox 2125159045 email reply editor) and  then   here (https:  app hubspot com live messages 6939709 inbox 2126124055 email reply editor) 
 Issue is synchronized with this  Jira Uncategorised (https:  ably atlassian net browse SDK 1524) by  Unito (https:  www unito io)
</t>
  </si>
  <si>
    <t>PojavLauncherTeam-PojavLauncher-2659</t>
  </si>
  <si>
    <t>[BUG] &lt;Pojav app debug crash versions 1.18.1</t>
  </si>
  <si>
    <t xml:space="preserve">    Describe the bug
Application Exited With Game Code 1
    The log file and images videos
  Screenshot 20220131 115413 2 (https:  user images githubusercontent com 98740463 151772948 03efd9e5 96aa 40aa bca6 768f2af626a7 png)_x000D_
    Steps To Reproduce
   markdown
1 start pojav_x000D_
2 login_x000D_
3choose 1 18 1_x000D_
4prees play_x000D_
5 game crashes
    Expected Behavior
I expect it to work 
    Platform
   markdown
  Device model: Nokia 6 2_x000D_
  CPU architecture: aarch64_x000D_
  Android version:10 _x000D_
  PojavLauncher version: lastest
    Anything else 
Please help</t>
  </si>
  <si>
    <t>Aliucord-Aliucord-210</t>
  </si>
  <si>
    <t>Crash on samsung phone</t>
  </si>
  <si>
    <t xml:space="preserve">    Discord Account_x000D_
_x000D_
 No response _x000D_
_x000D_
    What happens when the bug or crash occurs _x000D_
_x000D_
It just randomly crashes when the virtual keyboard closed _x000D_
_x000D_
    What is the expected behaviour _x000D_
_x000D_
It shouldnt crash_x000D_
_x000D_
    How do you recreate this bug or crash _x000D_
_x000D_
It crashes randomly_x000D_
_x000D_
_x000D_
    Crash log_x000D_
_x000D_
   _x000D_
java lang IllegalStateException: _x000D_
Can t access the Fragment View s LifecycleOwner when getView() is null i e   before onCreateView() or after onDestroyView() 	_x000D_
        at androidx fragment app Fragment getViewLifecycleOwner(Fragment java:2) 	_x000D_
        at com discord utilities viewbinding FragmentViewBindingDelegate getValue(FragmentViewBindingDelegate kt:3)_x000D_
 	at com discord widgets channels list WidgetChannelsList getBinding(Unknown Source:7)_x000D_
 	at com discord widgets channels list WidgetChannelsList access getBinding p(WidgetChannelsList kt:1)_x000D_
 	at com aliucord coreplugins Badges addGuildBadge(Badges kt:136)_x000D_
 	at com aliucord coreplugins Badges access addGuildBadge(Badges kt:29)_x000D_
 	at com aliucord coreplugins Badges load 4 1 1 run(Badges kt:107)_x000D_
 	at android os Handler handleCallback(Handler java:938)_x000D_
 	at android os Handler dispatchMessage(Handler java:99)_x000D_
 	at android os Looper loop(Looper java:246)_x000D_
 	at android app ActivityThread main(ActivityThread java:8653)_x000D_
 	at java lang reflect Method invoke(Native Method)_x000D_
 	at com android internal os RuntimeInit MethodAndArgsCaller run(RuntimeInit java:602)_x000D_
 	at com android internal os ZygoteInit main(ZygoteInit java:1130)_x000D_
   _x000D_
_x000D_
_x000D_
    Request Agreement_x000D_
_x000D_
   X  I did indeed check to make sure the bug or crash report is applicable </t>
  </si>
  <si>
    <t>PojavLauncherTeam-PojavLauncher-2656</t>
  </si>
  <si>
    <t>When playing 1.18, game crashes.</t>
  </si>
  <si>
    <t xml:space="preserve">    Describe the bug
I was trying to play 1 18  but when i started  it loaded  it crashed  The crash log says  Shader overlay   I m just trying to play a server with friends   
    The log file and images videos
     _x000D_
 latestlog txt (https:  github com PojavLauncherTeam PojavLauncher files 7968182 latestlog txt)_x000D_
    Steps To Reproduce
   markdown
Open pojavlauncher  Select 1 18  press play  wait to load 
    Expected Behavior
I expected the game to play 
    Platform
   markdown
  Device model: Samsung Galaxy S9_x000D_
  CPU architecture: aarch64_x000D_
  Android version:  11_x000D_
  PojavLauncher version: latest version
    Anything else 
 No response </t>
  </si>
  <si>
    <t>nextcloud-android-9780</t>
  </si>
  <si>
    <t>Failed to connect using the Android client</t>
  </si>
  <si>
    <t xml:space="preserve">    Steps to reproduce_x000D_
1   Start NextCloud client on Android_x000D_
2  Fill in server data and log in_x000D_
_x000D_
_x000D_
    Expected behaviour_x000D_
The application should successfully login_x000D_
_x000D_
    Actual behaviour_x000D_
The application verifies my identify couple of times in a row ( 5) and is crashing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Caused by: java lang RuntimeException: Accessing result data after operation failed _x000D_
	at com owncloud android lib common operations RemoteOperationResult getResultData(RemoteOperationResult java:503)_x000D_
	at com owncloud android authentication AuthenticatorAsyncTask doInBackground(AuthenticatorAsyncTask java:80)_x000D_
	at com owncloud android authentication AuthenticatorAsyncTask doInBackground(AuthenticatorAsyncTask java:45)_x000D_
	at android os AsyncTask 2 call(AsyncTask java:333)_x000D_
	at java util concurrent FutureTask run(FutureTask java:266)_x000D_
	    4 more_x000D_
_x000D_
             APP INFORMATION             _x000D_
ID: com nextcloud client_x000D_
Version: 30180190_x000D_
Build flavor: gplay_x000D_
_x000D_
             DEVICE INFORMATION             _x000D_
Brand: samsung_x000D_
Device: dreamlte_x000D_
Model: SM G950F_x000D_
Id: PPR1 180610 011_x000D_
Product: dreamltexx_x000D_
_x000D_
             FIRMWARE             _x000D_
SDK: 28_x000D_
Release: 9_x000D_
Incremental: G950FXXUCDUD1_x000D_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</si>
  <si>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PojavLauncherTeam-PojavLauncher-2654</t>
  </si>
  <si>
    <t>[BUG] 1.18.1 debug crash with error code -1</t>
  </si>
  <si>
    <t xml:space="preserve">    Describe the bug
1 18 1 optifine crash
    The log file and images videos
     Minecraft Crash Report     _x000D_
   Hey  that tickles  Hehehe _x000D_
_x000D_
Time: 30 01 2022  16:42_x000D_
Description: Initializing game_x000D_
_x000D_
java lang IllegalStateException: could not preload shader rendertype text_x000D_
	at epe a(GameRenderer java:465)_x000D_
	at epe a(GameRenderer java:451)_x000D_
	at dxo  init (SourceFile:617)_x000D_
	at net minecraft client main Main main(SourceFile:199)_x000D_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Caused by: yk: Invalid shaders core rendertype text json: Couldn t compile vertex program (minecraft:shaders core rendertype text vsh  rendertype text) : 0:23: S0001: Type mismatch in arithmetic operation between  ivec2  and  float _x000D_
	at yk a(SourceFile:48)_x000D_
	at epw  init (ShaderInstance java:225)_x000D_
	at epw  init (ShaderInstance java:103)_x000D_
	at epe a(GameRenderer java:459)_x000D_
	    9 more_x000D_
Caused by: java io IOException: Couldn t compile vertex program (minecraft:shaders core rendertype text vsh  rendertype text) : 0:23: S0001: Type mismatch in arithmetic operation between  ivec2  and  float _x000D_
	at dry b(Program java:94)_x000D_
	at dry a(Program java:55)_x000D_
	at epw a(ShaderInstance java:269)_x000D_
	at epw  init (ShaderInstance java:198)_x000D_
	    11 more_x000D_
_x000D_
_x000D_
A detailed walkthrough of the error  its code path and all known details is as follows:_x000D_
                                                                                       _x000D_
_x000D_
   Head   _x000D_
Thread: Render thread_x000D_
Stacktrace:_x000D_
	at epe a(GameRenderer java:465)_x000D_
	at epe a(GameRenderer java:451)_x000D_
	at dxo  init (SourceFile:617)_x000D_
_x000D_
   Initialization   _x000D_
Details:_x000D_
	Modules: _x000D_
Stacktrace:_x000D_
	at net minecraft client main Main main(SourceFile:199)_x000D_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_x000D_
   System Details   _x000D_
Details:_x000D_
	Minecraft Version: 1 18 1_x000D_
	Minecraft Version ID: 1 18 1_x000D_
	Operating System: Linux (aarch64) version Android 11_x000D_
	Java Version: 17 internal  N A_x000D_
	Java VM Version: OpenJDK 64 Bit Server VM (mixed mode)  Oracle Corporation_x000D_
	Memory: 2517097112 bytes (2400 MiB)   3607101440 bytes (3440 MiB) up to 3607101440 bytes (3440 MiB)_x000D_
	CPUs: 8_x000D_
	Processor Vendor: 0x53_x000D_
	Processor Name: _x000D_
	Identifier: 0x53 Family 8 Model 0x002 Stepping r0x0p1_x000D_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5351 52_x000D_
	Virtual memory used (MB): 6465 20_x000D_
	Swap memory total (MB): 2560 00_x000D_
	Swap memory used (MB): 1454 21_x000D_
	JVM Flags: 2 total   Xms3440M  Xmx3440M_x000D_
	Launched Version: 1 18 1_x000D_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Very likely  Client jar signature invalidated_x000D_
	Type: Client (map client txt)_x000D_
	CPU: 8x _x000D_
	OptiFine Version: OptiFine 1 18 1 HD U H4_x000D_
	OptiFine Build: 20211212 175054_x000D_
	Render Distance Chunks: 8_x000D_
	Mipmaps: 4_x000D_
	Anisotropic Filtering: 1_x000D_
	Antialiasing: 0_x000D_
	Multitexture: false_x000D_
	Shaders: null_x000D_
	OpenGlVersion: 2 1 gl4es wrapper 1 1 5_x000D_
	OpenGlRenderer: GL4ES wrapper_x000D_
	OpenGlVendor: ptitSeb_x000D_
	CpuCount: 8
    Steps To Reproduce
   markdown
1 start pojavlauncher_x000D_
2 start minecraft 1 18 1 optifine_x000D_
3 crash with code  1
    Expected Behavior
     Minecraft Crash Report     _x000D_
   Hey  that tickles  Hehehe _x000D_
_x000D_
Time: 30 01 2022  16:42_x000D_
Description: Initializing game_x000D_
_x000D_
java lang IllegalStateException: could not preload shader rendertype text_x000D_
	at epe a(GameRenderer java:465)_x000D_
	at epe a(GameRenderer java:451)_x000D_
	at dxo  init (SourceFile:617)_x000D_
	at net minecraft client main Main main(SourceFile:199)_x000D_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Caused by: yk: Invalid shaders core rendertype text json: Couldn t compile vertex program (minecraft:shaders core rendertype text vsh  rendertype text) : 0:23: S0001: Type mismatch in arithmetic operation between  ivec2  and  float _x000D_
	at yk a(SourceFile:48)_x000D_
	at epw  init (ShaderInstance java:225)_x000D_
	at epw  init (ShaderInstance java:103)_x000D_
	at epe a(GameRenderer java:459)_x000D_
	    9 more_x000D_
Caused by: java io IOException: Couldn t compile vertex program (minecraft:shaders core rendertype text vsh  rendertype text) : 0:23: S0001: Type mismatch in arithmetic operation between  ivec2  and  float _x000D_
	at dry b(Program java:94)_x000D_
	at dry a(Program java:55)_x000D_
	at epw a(ShaderInstance java:269)_x000D_
	at epw  init (ShaderInstance java:198)_x000D_
	    11 more_x000D_
_x000D_
_x000D_
A detailed walkthrough of the error  its code path and all known details is as follows:_x000D_
                                                                                       _x000D_
_x000D_
   Head   _x000D_
Thread: Render thread_x000D_
Stacktrace:_x000D_
	at epe a(GameRenderer java:465)_x000D_
	at epe a(GameRenderer java:451)_x000D_
	at dxo  init (SourceFile:617)_x000D_
_x000D_
   Initialization   _x000D_
Details:_x000D_
	Modules: _x000D_
Stacktrace:_x000D_
	at net minecraft client main Main main(SourceFile:199)_x000D_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_x000D_
   System Details   _x000D_
Details:_x000D_
	Minecraft Version: 1 18 1_x000D_
	Minecraft Version ID: 1 18 1_x000D_
	Operating System: Linux (aarch64) version Android 11_x000D_
	Java Version: 17 internal  N A_x000D_
	Java VM Version: OpenJDK 64 Bit Server VM (mixed mode)  Oracle Corporation_x000D_
	Memory: 2517097112 bytes (2400 MiB)   3607101440 bytes (3440 MiB) up to 3607101440 bytes (3440 MiB)_x000D_
	CPUs: 8_x000D_
	Processor Vendor: 0x53_x000D_
	Processor Name: _x000D_
	Identifier: 0x53 Family 8 Model 0x002 Stepping r0x0p1_x000D_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5351 52_x000D_
	Virtual memory used (MB): 6465 20_x000D_
	Swap memory total (MB): 2560 00_x000D_
	Swap memory used (MB): 1454 21_x000D_
	JVM Flags: 2 total   Xms3440M  Xmx3440M_x000D_
	Launched Version: 1 18 1_x000D_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Very likely  Client jar signature invalidated_x000D_
	Type: Client (map client txt)_x000D_
	CPU: 8x _x000D_
	OptiFine Version: OptiFine 1 18 1 HD U H4_x000D_
	OptiFine Build: 20211212 175054_x000D_
	Render Distance Chunks: 8_x000D_
	Mipmaps: 4_x000D_
	Anisotropic Filtering: 1_x000D_
	Antialiasing: 0_x000D_
	Multitexture: false_x000D_
	Shaders: null_x000D_
	OpenGlVersion: 2 1 gl4es wrapper 1 1 5_x000D_
	OpenGlRenderer: GL4ES wrapper_x000D_
	OpenGlVendor: ptitSeb_x000D_
	CpuCount: 8
    Platform
   markdown
  Device model: samsung galaxy note 10 lite_x000D_
  CPU architecture: 64_x000D_
  Android version: 11_x000D_
  PojavLauncher version:  latest debug    version 3  
    Anything else 
     Minecraft Crash Report     _x000D_
   Hey  that tickles  Hehehe _x000D_
_x000D_
Time: 30 01 2022  16:42_x000D_
Description: Initializing game_x000D_
_x000D_
java lang IllegalStateException: could not preload shader rendertype text_x000D_
	at epe a(GameRenderer java:465)_x000D_
	at epe a(GameRenderer java:451)_x000D_
	at dxo  init (SourceFile:617)_x000D_
	at net minecraft client main Main main(SourceFile:199)_x000D_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Caused by: yk: Invalid shaders core rendertype text json: Couldn t compile vertex program (minecraft:shaders core rendertype text vsh  rendertype text) : 0:23: S0001: Type mismatch in arithmetic operation between  ivec2  and  float _x000D_
	at yk a(SourceFile:48)_x000D_
	at epw  init (ShaderInstance java:225)_x000D_
	at epw  init (ShaderInstance java:103)_x000D_
	at epe a(GameRenderer java:459)_x000D_
	    9 more_x000D_
Caused by: java io IOException: Couldn t compile vertex program (minecraft:shaders core rendertype text vsh  rendertype text) : 0:23: S0001: Type mismatch in arithmetic operation between  ivec2  and  float _x000D_
	at dry b(Program java:94)_x000D_
	at dry a(Program java:55)_x000D_
	at epw a(ShaderInstance java:269)_x000D_
	at epw  init (ShaderInstance java:198)_x000D_
	    11 more_x000D_
_x000D_
_x000D_
A detailed walkthrough of the error  its code path and all known details is as follows:_x000D_
                                                                                       _x000D_
_x000D_
   Head   _x000D_
Thread: Render thread_x000D_
Stacktrace:_x000D_
	at epe a(GameRenderer java:465)_x000D_
	at epe a(GameRenderer java:451)_x000D_
	at dxo  init (SourceFile:617)_x000D_
_x000D_
   Initialization   _x000D_
Details:_x000D_
	Modules: _x000D_
Stacktrace:_x000D_
	at net minecraft client main Main main(SourceFile:199)_x000D_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_x000D_
   System Details   _x000D_
Details:_x000D_
	Minecraft Version: 1 18 1_x000D_
	Minecraft Version ID: 1 18 1_x000D_
	Operating System: Linux (aarch64) version Android 11_x000D_
	Java Version: 17 internal  N A_x000D_
	Java VM Version: OpenJDK 64 Bit Server VM (mixed mode)  Oracle Corporation_x000D_
	Memory: 2517097112 bytes (2400 MiB)   3607101440 bytes (3440 MiB) up to 3607101440 bytes (3440 MiB)_x000D_
	CPUs: 8_x000D_
	Processor Vendor: 0x53_x000D_
	Processor Name: _x000D_
	Identifier: 0x53 Family 8 Model 0x002 Stepping r0x0p1_x000D_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5351 52_x000D_
	Virtual memory used (MB): 6465 20_x000D_
	Swap memory total (MB): 2560 00_x000D_
	Swap memory used (MB): 1454 21_x000D_
	JVM Flags: 2 total   Xms3440M  Xmx3440M_x000D_
	Launched Version: 1 18 1_x000D_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Very likely  Client jar signature invalidated_x000D_
	Type: Client (map client txt)_x000D_
	CPU: 8x _x000D_
	OptiFine Version: OptiFine 1 18 1 HD U H4_x000D_
	OptiFine Build: 20211212 175054_x000D_
	Render Distance Chunks: 8_x000D_
	Mipmaps: 4_x000D_
	Anisotropic Filtering: 1_x000D_
	Antialiasing: 0_x000D_
	Multitexture: false_x000D_
	Shaders: null_x000D_
	OpenGlVersion: 2 1 gl4es wrapper 1 1 5_x000D_
	OpenGlRenderer: GL4ES wrapper_x000D_
	OpenGlVendor: ptitSeb_x000D_
	CpuCount: 8</t>
  </si>
  <si>
    <t>Anuken-Mindustry-6541</t>
  </si>
  <si>
    <t xml:space="preserve">No me cargan los servidores :v in English: I don't load the servers </t>
  </si>
  <si>
    <t xml:space="preserve">  Platform  :  Android iOS Mac Windows Linux 
  Build  :  The build number under the title in the main menu  Required   LATEST  IS NOT A VERSION  I NEED THE EXACT BUILD NUMBER OF YOUR GAME  
  Issue  :  Explain your issue in detail  
  Steps to reproduce  :  How you happened across the issue  and what exactly you did to make the bug happen  
  Link(s) to mod(s) used  :  The mod repositories or zip files that are related to the issue  if applicable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Place an X (no spaces) between the brackets to confirm that you have read the line below    
        I have updated to the latest release (https:  github com Anuken Mindustry releases) to make sure my issue has not been fixed   
        I have searched the closed and open issues to make sure that this problem has not already been reported   
</t>
  </si>
  <si>
    <t>jellyfin-jellyfin-androidtv-1396</t>
  </si>
  <si>
    <t>Crashes when server IP is changed</t>
  </si>
  <si>
    <t xml:space="preserve">    Describe the bug
When the server IP changes the app prompts you to send a crash report but after pressing ok it crashes again causing an endless cycle _x000D_
_x000D_
Only workaround I found was to uninstall and reinstall the app again _x000D_
_x000D_
    Logs
 No response 
    Application version
0 12 3
    Where did you install the app from 
Google Play
    Device information
Sony KD75XF8596
    Android version
Android 8 0 0
    Jellyfin server version
10 7 7</t>
  </si>
  <si>
    <t>TeamNewPipe-NewPipe-7716</t>
  </si>
  <si>
    <t>Resizing the app when in split screen mode causes a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</si>
  <si>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(Was using the latest version at the time the issue was created)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1  Open NewPipe_x000D_
2  Enable split screen_x000D_
3  Open another app  NewPipe should now be at the top pane_x000D_
4  Adjust the slider upwards to reduce the size of the NewPipe pane_x000D_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application crashes at step 4 when the upper pane (with NewPipe) gets very small _x000D_
_x000D_
_x000D_
    Expected behavior_x000D_
     Tell us what you expect to happen     _x000D_
The application isn t supposed to crash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GH_x000D_
    Content Language:   en_x000D_
    App Language:   en GH_x000D_
    Service:   none_x000D_
    Version:   0 21 15_x000D_
    OS:   Linux Android 11   30_x000D_
 details  summary  b Crash log   b   summary  p _x000D_
_x000D_
   _x000D_
java lang NullPointerException: Attempt to invoke virtual method  com google android exoplayer2 PlaybackParameters org schabi newpipe player Player getPlaybackParameters()  on a null object reference_x000D_
	at org schabi newpipe player PlayQueueActivity onCreateOptionsMenu(PlayQueueActivity java:106)_x000D_
	at android app Activity onCreatePanelMenu(Activity java:4206)_x000D_
	at androidx fragment app FragmentActivity onCreatePanelMenu(FragmentActivity java:287)_x000D_
	at androidx appcompat view WindowCallbackWrapper onCreatePanelMenu(WindowCallbackWrapper java:94)_x000D_
	at androidx appcompat app AppCompatDelegateImpl AppCompatWindowCallback onCreatePanelMenu(AppCompatDelegateImpl java:3084)_x000D_
	at androidx appcompat view WindowCallbackWrapper onCreatePanelMenu(WindowCallbackWrapper java:94)_x000D_
	at androidx appcompat app ToolbarActionBar populateOptionsMenu(ToolbarActionBar java:456)_x000D_
	at androidx appcompat app ToolbarActionBar 1 run(ToolbarActionBar java:57)_x000D_
	at android view Choreographer CallbackRecord run(Choreographer java:1056)_x000D_
	at android view Choreographer doCallbacks(Choreographer java:878)_x000D_
	at android view Choreographer doFrame(Choreographer java:807)_x000D_
	at android view Choreographer FrameDisplayEventReceiver run(Choreographer java:1041)_x000D_
	at android os Handler handleCallback(Handler java:938)_x000D_
	at android os Handler dispatchMessage(Handler java:99)_x000D_
	at android os Looper loop(Looper java:368)_x000D_
	at android app ActivityThread main(ActivityThread java:7730)_x000D_
	at java lang reflect Method invoke(Native Method)_x000D_
	at com android internal os RuntimeInit MethodAndArgsCaller run(RuntimeInit java:592)_x000D_
	at com android internal os ZygoteInit main(ZygoteInit java:954)_x000D_
_x000D_
   _x000D_
  details _x000D_
_x000D_
_x000D_
     Please fill this section if you did not provide a log generated by NewPipe    _x000D_
_x000D_
    Device info_x000D_
_x000D_
   Android version Custom ROM version: Android 11_x000D_
   Device model: Sony Xperia 10II_x000D_
</t>
  </si>
  <si>
    <t>PojavLauncherTeam-PojavLauncher-2639</t>
  </si>
  <si>
    <t>[BUG] &lt;Need help with using versions infdev and older&gt;</t>
  </si>
  <si>
    <t xml:space="preserve">    Describe the bug_x000D_
_x000D_
When i try to launch some versions of infdev you can t move the camera other infdev versions you can t play because of crashing and other versions that are older than infdev like indev  and rd they crash almost immediately _x000D_
the new issue is you can t use betacraft on pojavlauncher_x000D_
    The log file and images videos_x000D_
i will add it soon_x000D_
    Steps To Reproduce_x000D_
_x000D_
   markdown_x000D_
select a old version like old old example a rd version or indev p s  indev and infdev are different_x000D_
_x000D_
indev is in development and infdev is infinite development and these are old versions of minecraft_x000D_
   _x000D_
_x000D_
_x000D_
    Expected Behavior_x000D_
_x000D_
when i start a old version it would behave like it came out (other than the sound)_x000D_
_x000D_
    Platform_x000D_
_x000D_
   markdown_x000D_
  Device model: samsung galaxy tab e_x000D_
  CPU architecture: idk but the images might help_x000D_
  Android version: 7 1 1_x000D_
  PojavLauncher version: play store_x000D_
  https:  user images githubusercontent com 87820585 137610107 deabd417 de01 42fd b0a2 009185ff5549 jpg_x000D_
  https:  user images githubusercontent com 87820585 137610234 55ba5b7f f73b 493f 927f 184123a2f31a jpg_x000D_
   _x000D_
_x000D_
_x000D_
    Anything else _x000D_
_x000D_
i wonder if pojavlauncher and beta craft could team up to get a mobile port of beta craft _x000D_
_x000D_
_x000D_
links to every time i reported these issues_x000D_
_x000D_
https:  github com PojavLauncherTeam PojavLauncher issues 2371_x000D_
https:  github com PojavLauncherTeam PojavLauncher issues 2335_x000D_
https:  github com PojavLauncherTeam PojavLauncher issues 1713_x000D_
_x000D_
</t>
  </si>
  <si>
    <t>kamaravichow-safe-dot-android-30</t>
  </si>
  <si>
    <t>Crash upon click on "Access logs"</t>
  </si>
  <si>
    <t xml:space="preserve">Crash log generated by Crash Log Viewer https:  play google com store apps details id com arumcomm crashlogviewer_x000D_
_x000D_
 Process: com aravi dot_x000D_
PID: 2898_x000D_
UID: 10640_x000D_
Flags: 0x20c8be44_x000D_
Package: com aravi dot v30103 (3 1 3)_x000D_
Foreground: Yes_x000D_
Process Runtime: 136519312_x000D_
Build: OnePlus OnePlus7Pro OnePlus7Pro:11 RKQ1 201022 002 2112101741:user release keys_x000D_
_x000D_
java lang NoClassDefFoundError: Failed resolution of: Lkotlin jvm internal Intrinsics _x000D_
	at c c a a a a a b(Unknown Source:2)_x000D_
	at c b a a b d a c(SourceFile:6)_x000D_
	at androidx recyclerview widget RecyclerView r j(SourceFile:81)_x000D_
	at androidx recyclerview widget LinearLayoutManager c c(SourceFile:3)_x000D_
	at androidx recyclerview widget LinearLayoutManager u1(Unknown Source:0)_x000D_
	at androidx recyclerview widget LinearLayoutManager f1(SourceFile:2)_x000D_
	at androidx recyclerview widget LinearLayoutManager t0(SourceFile:22)_x000D_
	at androidx recyclerview widget RecyclerView s(Unknown Source:38)_x000D_
	at androidx recyclerview widget RecyclerView q(SourceFile:7)_x000D_
	at androidx recyclerview widget RecyclerView onLayout(Unknown Source:5)_x000D_
	at android view View layout(View java:23042)_x000D_
	at android view ViewGroup layout(ViewGroup java:6419)_x000D_
	at android widget RelativeLayout onLayout(RelativeLayout java:1103)_x000D_
	at android view View layout(View java:23042)_x000D_
	at android view ViewGroup layout(ViewGroup java:6419)_x000D_
	at android widget FrameLayout layoutChildren(FrameLayout java:332)_x000D_
	at android widget FrameLayout onLayout(FrameLayout java:270)_x000D_
	at android view View layout(View java:23042)_x000D_
	at android view ViewGroup layout(ViewGroup java:6419)_x000D_
	at android widget LinearLayout setChildFrame(LinearLayout java:1829)_x000D_
	at android widget LinearLayout layoutVertical(LinearLayout java:1673)_x000D_
	at android widget LinearLayout onLayout(LinearLayout java:1582)_x000D_
	at android view View layout(View java:23042)_x000D_
	at android view ViewGroup layout(ViewGroup java:6419)_x000D_
	at android widget FrameLayout layoutChildren(FrameLayout java:332)_x000D_
	at android widget FrameLayout onLayout(FrameLayout java:270)_x000D_
	at android view View layout(View java:23042)_x000D_
	at android view ViewGroup layout(ViewGroup java:6419)_x000D_
	at android widget LinearLayout setChildFrame(LinearLayout java:1829)_x000D_
	at android widget LinearLayout layoutVertical(LinearLayout java:1673)_x000D_
	at android widget LinearLayout onLayout(LinearLayout java:1582)_x000D_
	at android view View layout(View java:23042)_x000D_
	at android view ViewGroup layout(ViewGroup java:6419)_x000D_
	at android widget FrameLayout layoutChildren(FrameLayout java:332)_x000D_
	at android widget FrameLayout onLayout(FrameLayout java:270)_x000D_
	at com android internal policy DecorView onLayout(DecorView java:820)_x000D_
	at android view View layout(View java:23042)_x000D_
	at android view ViewGroup layout(ViewGroup java:6419)_x000D_
	at android view ViewRootImpl performLayout(ViewRootImpl java:3786)_x000D_
	at android view ViewRootImpl performTraversals(ViewRootImpl java:3227)_x000D_
	at android view ViewRootImpl doTraversal(ViewRootImpl java:2182)_x000D_
	at android view ViewRootImpl TraversalRunnable run(ViewRootImpl java:8730)_x000D_
	at android view Choreographer CallbackRecord run(Choreographer java:1352)_x000D_
	at android view Choreographer doCallbacks(Choreographer java:1149)_x000D_
	at android view Choreographer doFrame(Choreographer java:1049)_x000D_
	at android view Choreographer FrameDisplayEventReceiver run(Choreographer java:1333)_x000D_
	at android os Handler handleCallback(Handler java:938)_x000D_
	at android os Handler dispatchMessage(Handler java:99)_x000D_
	at android os Looper loop(Looper java:233)_x000D_
	at android app ActivityThread main(ActivityThread java:8010)_x000D_
	at java lang reflect Method invoke(Native Method)_x000D_
	at com android internal os RuntimeInit MethodAndArgsCaller run(RuntimeInit java:631)_x000D_
	at com android internal os ZygoteInit main(ZygoteInit java:978)_x000D_
Caused by: java lang ClassNotFoundException: kotlin jvm internal Intrinsics_x000D_
	    53 more_x000D_
 </t>
  </si>
  <si>
    <t>Anuken-Mindustry-6537</t>
  </si>
  <si>
    <t>Guardian Bug</t>
  </si>
  <si>
    <t xml:space="preserve">  Platform  :  Windows_x000D_
_x000D_
  Build  : 135_x000D_
_x000D_
  Issue  : The Guardian s health bar on Biomass Synthesis Facility does not update  thus my turrets (Duo   Arc) we re clearly shooting him _x000D_
_x000D_
  Steps to reproduce  : I just reached Wave 20 on Biomass Synthesis Facility  waiting to destroy the Guardian_x000D_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</si>
  <si>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nextcloud-news-android-1055</t>
  </si>
  <si>
    <t>App crashes in Android 12 (io.reactivex.exceptions.UndeliverableException) in the background</t>
  </si>
  <si>
    <t>I was not using the app and just in the background there was this crash exception apparently  The only things are low power  energy saving mode and an mobile network to wifi swutch that could have influenced this _x000D_
_x000D_
Ah just noticed that the app actually crashes with the same exception when starting it  It loads the feeds  but then just at the end of loading i guess  it crashes:_x000D_
_x000D_
   _x000D_
FATAL EXCEPTION: RxNewThreadScheduler 4_x000D_
Process: de luhmer owncloudnewsreader  PID: 23111_x000D_
io reactivex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java lang OutOfMemoryError: Failed to allocate a 115468864 byte allocation with 33554432 free bytes and 108MB until OOM  target footprint 188688608  growth limit 268435456_x000D_
	at io reactivex plugins RxJavaPlugins onError(SourceFile:4)_x000D_
	at io reactivex internal schedulers ScheduledRunnable run(SourceFile:3)_x000D_
	at io reactivex internal schedulers ScheduledRunnable call(SourceFile:1)_x000D_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java:920)_x000D_
Caused by: java lang OutOfMemoryError: Failed to allocate a 115468864 byte allocation with 33554432 free bytes and 108MB until OOM  target footprint 188688608  growth limit 268435456_x000D_
	at java util Arrays copyOfRange(Arrays java:3589)_x000D_
	at java lang StringBuffer toString(StringBuffer java:669)_x000D_
	at java util regex Matcher replaceAll(Matcher java:847)_x000D_
	at java lang String replaceAll(String java:2314)_x000D_
	at de luhmer owncloudnewsreader helper ImageHandler fixBrokenImageLinksInArticle(SourceFile:29)_x000D_
	at de luhmer owncloudnewsreader reader nextcloud InsertRssItemIntoDatabase parseItem(SourceFile:37)_x000D_
	at de luhmer owncloudnewsreader reader nextcloud RssItemObservable lambda events 0(SourceFile:11)_x000D_
	at de luhmer owncloudnewsreader reader nextcloud RssItemObservable a(Unknown Source:0)_x000D_
	at de luhmer owncloudnewsreader reader nextcloud j subscribe(Unknown Source:2)_x000D_
	at io reactivex internal operators observable ObservableCreate subscribeActual(SourceFile:3)_x000D_
	at io reactivex Observable subscribe(SourceFile:4)_x000D_
	at io reactivex internal operators observable ObservableScalarXMap tryScalarXMapSubscribe(SourceFile:13)_x000D_
	at io reactivex internal operators observable ObservableFlatMap subscribeActual(SourceFile:1)_x000D_
	at io reactivex Observable subscribe(SourceFile:4)_x000D_
	at de luhmer owncloudnewsreader reader nextcloud RssItemObservable sync(SourceFile:23)_x000D_
	at de luhmer owncloudnewsreader reader nextcloud RssItemObservable subscribe(SourceFile:1)_x000D_
	at io reactivex internal operators observable ObservableFromPublisher subscribeActual(SourceFile:1)_x000D_
	at io reactivex Observable subscribe(SourceFile:4)_x000D_
	at io reactivex internal operators observable ObservableSubscribeOn SubscribeTask run(SourceFile:1)_x000D_
	at io reactivex Scheduler DisposeTask run(SourceFile:2)_x000D_
	at io reactivex internal schedulers ScheduledRunnable run(SourceFile:2)_x000D_
	    6 more_x000D_
   _x000D_
_x000D_
   System_x000D_
_x000D_
Android 12  CalyxOs_x000D_
Pixel 4_x000D_
_x000D_
App v0 9 9 68_x000D_
Installed from F Droid</t>
  </si>
  <si>
    <t>PojavLauncherTeam-PojavLauncher-2635</t>
  </si>
  <si>
    <t>Can't play 1.18, 1.18 optfine</t>
  </si>
  <si>
    <t xml:space="preserve">    Describe the bug
It just crashes
    The log file and images videos
Latest log:_x000D_
 latestlog txt (https:  github com PojavLauncherTeam PojavLauncher files 7957327 latestlog txt)_x000D_
    Steps To Reproduce
   markdown
Start pojav lancher_x000D_
Create a world _x000D_
100  loaded_x000D_
Instantly crashes
    Expected Behavior
To load the world
    Platform
   markdown
  Device model: SM M025F (a02qins)_x000D_
  CPU architecture: AArch64 Processor rev 4 (aarch64)_x000D_
  Android version: R(11)_x000D_
  PojavLauncher version: _x000D_
Latest 2nd versison
    Anything else 
I all ready posted a bug but the solution does not work </t>
  </si>
  <si>
    <t>TeamNewPipe-NewPipe-7711</t>
  </si>
  <si>
    <t>No video in split 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</si>
  <si>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On Android 11:_x000D_
1  Open and start a video_x000D_
2  Enable split screen view_x000D_
3  Push the split a bit to the top  so that there is just enough space for the video_x000D_
_x000D_
_x000D_
    Actual behavior_x000D_
The video is gone (black) audio  subtitles and controls are still working _x000D_
_x000D_
    Expected behavior_x000D_
The video should stay visible _x000D_
_x000D_
    Screenshots Screen recordings_x000D_
_x000D_
     DON T POST SCREENSHOTS OF THE ERROR PAGE  Use the buttons given on the error page to paste the error as text in the Logs section below     _x000D_
 img src  https:  user images githubusercontent com 6311558 151515380 0588dbc1 a787 4f70 ac58 1069fd4cd45e png  height 500   _x000D_
_x000D_
_x000D_
    Logs_x000D_
     If your bug includes a crash (where you re shown the Error Report page with a bunch of info)  tap on  Copy formatted report  at the bottom and paste it here:    _x000D_
   Exception_x000D_
    User Action:   requested stream_x000D_
    Request:   https:  www youtube com watch v hhqMiqJerTw_x000D_
    Content Country:   GB_x000D_
    Content Language:   en_x000D_
    App Language:   de AT_x000D_
    Service:   YouTube_x000D_
    Version:   0 21 15_x000D_
    OS:   Linux Android 11   30_x000D_
 details  summary  b Crash log   b   summary  p _x000D_
_x000D_
   _x000D_
java lang NullPointerException: Attempt to invoke virtual method  boolean java lang String equals(java lang Object)  on a null object reference_x000D_
	at org schabi newpipe extractor services youtube extractors YoutubeStreamExtractor getStreamSegments(YoutubeStreamExtractor java:1335)_x000D_
	at org schabi newpipe extractor stream StreamInfo extractOptionalData(StreamInfo java:333)_x000D_
	at org schabi newpipe extractor stream StreamInfo getInfo(StreamInfo java:73)_x000D_
	at org schabi newpipe extractor stream StreamInfo getInfo(StreamInfo java:64)_x000D_
	at org schabi newpipe util ExtractorHelper lambda getStreamInfo 3(ExtractorHelper java:116)_x000D_
	at org schabi newpipe util ExtractorHelper  r8 lambda YTHJjScxCJNO1LTCqs3IKy35iyY(Unknown Source:0)_x000D_
	at org schabi newpipe util ExtractorHelper  ExternalSyntheticLambda6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details _x000D_
 hr _x000D_
_x000D_
     That s right  here     _x000D_
_x000D_
_x000D_
_x000D_
     Please fill this section if you did not provide a log generated by NewPipe    _x000D_
_x000D_
    Device info_x000D_
_x000D_
   Android version Custom ROM version: Android 11  stock_x000D_
   Device model: Fairphone 4_x000D_
</t>
  </si>
  <si>
    <t>PojavLauncherTeam-PojavLauncher-2633</t>
  </si>
  <si>
    <t>I can't load littletiles mod[BUG] &lt;Short description&gt;</t>
  </si>
  <si>
    <t xml:space="preserve">    Describe the bug
Littletiles mod crashes my game and when I put creativecore on my mods folder it blacks my screen
    The log file and images videos
_x000D_
https:  user images githubusercontent com 91519709 151458099 47faabf6 6bc4 4429 a138 47de23772293 mp4_x000D_
_x000D_
    Steps To Reproduce
   markdown
    Expected Behavior
i expected that it loads up normall like how the PC players load it
    Platform
   markdown
  Device model: A12pro _x000D_
  CPU architecture: aarch64 _x000D_
  Android version: 11_x000D_
  PojavLauncher version: crocus v3 openjdk
    Anything else 
 No response </t>
  </si>
  <si>
    <t>PojavLauncherTeam-PojavLauncher-2631</t>
  </si>
  <si>
    <t>[BUG]Forge 39.0.0 (1.18.1) crash</t>
  </si>
  <si>
    <t xml:space="preserve">    Describe the bug
When i launch forge 39 0 0  it crashes and says:_x000D_
Game exited
    The log file and images videos
          beggining with launcher debug_x000D_
Info: Launcher version: crocus v3 openjdk_x000D_
Info: LWJGL3 directory:  jsr305 jar  lwjgl glfw classes jar  lwjgl jemalloc jar  lwjgl openal jar  lwjgl opengl jar  lwjgl stb jar  lwjgl tinyfd jar  lwjgl jar  version _x000D_
Architecture: arm64_x000D_
Info: Custom Java arguments:   _x000D_
Info: Selected Minecraft version: 1 18 1 forge 39 0 0 (1 18 1)_x000D_
Added custom env: TMPDIR  data user 0 net kdt pojavlaunch cache_x000D_
Added custom env: AWTSTUB WIDTH 2400_x000D_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jre17 arm64 20210825 release tar(2)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runtimes jre17 arm64 20210825 release tar(2) xz lib jli: data user 0 net kdt pojavlaunch runtimes jre17 arm64 20210825 release tar(2) xz lib: system lib64: vendor lib64: vendor lib64 hw: data app   cGTOUABr8PQpXcuwt95ciA   net kdt pojavlaunch Q 02gUkJ00A8PBf9Ge7rHg   lib arm64_x000D_
Added custom env: POJAV RENDERER opengles3_x000D_
Added custom env: LIBGL ES 3_x000D_
Added custom env: MESA LOADER DRIVER OVERRIDE zink_x000D_
Added custom env: MESA GLSL VERSION OVERRIDE 460_x000D_
Added custom env: JAVA HOME  data user 0 net kdt pojavlaunch runtimes jre17 arm64 20210825 release tar(2) xz_x000D_
Added custom env: MESA GL VERSION OVERRIDE 4 6_x000D_
Added custom env: allow glsl extension directive midshader true_x000D_
Added custom env: REGAL GL RENDERER Regal_x000D_
Added custom env: AWTSTUB HEIGHT 1080_x000D_
Initialising gl4es_x000D_
v1 1 5 built on Aug 18 2021 16:47:47_x000D_
Using GLES 2 0 backend_x000D_
loaded: libGLESv2 so_x000D_
loaded: libEGL so_x000D_
Using GLES 2 0 backend_x000D_
Hardware Full NPOT detected and used_x000D_
Extension GL EXT draw buffers is in core ES3  and so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OES texture float  detected and used_x000D_
Extension GL OES texture half float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16384_x000D_
Max Varying Vector: 31_x000D_
Texture Units: 16 16 (hardware: 16)  Max lights: 8  Max planes: 6_x000D_
Extension GL EXT texture filter anisotropic  detected and used_x000D_
Max Anisotropic filtering: 16_x000D_
Max Color Attachments: 8   Draw buffers: 8_x000D_
Hardware vendor is Qualcomm_x000D_
GLSL 300 es supported_x000D_
GLSL 310 es supported and used_x000D_
sRGB surface supported_x000D_
EGLImage to Texture2D supported_x000D_
EGLImage to RenderBuffer supported_x000D_
ignore MipMap_x000D_
Targeting OpenGL 2 1_x000D_
NPOT texture handled in hardware_x000D_
Not trying to batch small subsequent glDrawXXXX_x000D_
try to use VBO_x000D_
Force texture for Attachment color0 on FBO_x000D_
Hack to trigger a SwapBuffers when a Full Framebuffer Blit on default FBO is done_x000D_
Force normals to be normalized on FPE shaders_x000D_
glX Will try to recycle EGL Surface_x000D_
Current folder is: _x000D_
          beginning of main_x000D_
I jrelog  ( 3530): dlopen libgl4es 115 so success_x000D_
I jrelog  ( 3530): dlopen  data user 0 net kdt pojavlaunch runtimes jre17 arm64 20210825 release tar(2) xz lib libjli so success_x000D_
I jrelog  ( 3530): dlopen libjvm so failed: dlopen failed: library  libjvm so  not found_x000D_
I jrelog  ( 3530): dlopen  data user 0 net kdt pojavlaunch runtimes jre17 arm64 20210825 release tar(2) xz lib server libjvm so success_x000D_
I jrelog  ( 3530): dlopen  data user 0 net kdt pojavlaunch runtimes jre17 arm64 20210825 release tar(2) xz lib libverify so success_x000D_
I jrelog  ( 3530): dlopen  data user 0 net kdt pojavlaunch runtimes jre17 arm64 20210825 release tar(2) xz lib libjava so success_x000D_
I jrelog  ( 3530): dlopen  data user 0 net kdt pojavlaunch runtimes jre17 arm64 20210825 release tar(2) xz lib libnet so success_x000D_
I jrelog  ( 3530): dlopen  data user 0 net kdt pojavlaunch runtimes jre17 arm64 20210825 release tar(2) xz lib libnio so success_x000D_
I jrelog  ( 3530): dlopen  data user 0 net kdt pojavlaunch runtimes jre17 arm64 20210825 release tar(2) xz lib libawt so success_x000D_
I jrelog  ( 3530): dlopen  data user 0 net kdt pojavlaunch runtimes jre17 arm64 20210825 release tar(2) xz lib libawt headless so success_x000D_
I jrelog  ( 3530): dlopen  data user 0 net kdt pojavlaunch runtimes jre17 arm64 20210825 release tar(2) xz lib libfreetype so success_x000D_
I jrelog  ( 3530): dlopen  data user 0 net kdt pojavlaunch runtimes jre17 arm64 20210825 release tar(2) xz lib libfontmanager so success_x000D_
I jrelog  ( 3530): dlopen  data user 0 net kdt pojavlaunch runtimes jre17 arm64 20210825 release tar(2) xz lib libawt so success_x000D_
I jrelog  ( 3530): dlopen  data user 0 net kdt pojavlaunch runtimes jre17 arm64 20210825 release tar(2) xz lib server libjvm so success_x000D_
I jrelog  ( 3530): dlopen  data user 0 net kdt pojavlaunch runtimes jre17 arm64 20210825 release tar(2) xz lib server libjsig so success_x000D_
I jrelog  ( 3530): dlopen  data user 0 net kdt pojavlaunch runtimes jre17 arm64 20210825 release tar(2) xz lib libattach so success_x000D_
I jrelog  ( 3530): dlopen  data user 0 net kdt pojavlaunch runtimes jre17 arm64 20210825 release tar(2) xz lib libjavajpeg so success_x000D_
I jrelog  ( 3530): dlopen  data user 0 net kdt pojavlaunch runtimes jre17 arm64 20210825 release tar(2) xz lib libsyslookup so success_x000D_
I jrelog  ( 3530): dlopen  data user 0 net kdt pojavlaunch runtimes jre17 arm64 20210825 release tar(2) xz lib libfontmanager so success_x000D_
I jrelog  ( 3530): dlopen  data user 0 net kdt pojavlaunch runtimes jre17 arm64 20210825 release tar(2) xz lib libj2pcsc so success_x000D_
I jrelog  ( 3530): dlopen  data user 0 net kdt pojavlaunch runtimes jre17 arm64 20210825 release tar(2) xz lib libmanagement so success_x000D_
I jrelog  ( 3530): dlopen  data user 0 net kdt pojavlaunch runtimes jre17 arm64 20210825 release tar(2) xz lib libjaas so success_x000D_
I jrelog  ( 3530): dlopen  data user 0 net kdt pojavlaunch runtimes jre17 arm64 20210825 release tar(2) xz lib libfreetype so success_x000D_
I jrelog  ( 3530): dlopen  data user 0 net kdt pojavlaunch runtimes jre17 arm64 20210825 release tar(2) xz lib libjli so success_x000D_
I jrelog  ( 3530): dlopen  data user 0 net kdt pojavlaunch runtimes jre17 arm64 20210825 release tar(2) xz lib libjimage so success_x000D_
I jrelog  ( 3530): dlopen  data user 0 net kdt pojavlaunch runtimes jre17 arm64 20210825 release tar(2) xz lib libjsig so success_x000D_
I jrelog  ( 3530): dlopen  data user 0 net kdt pojavlaunch runtimes jre17 arm64 20210825 release tar(2) xz lib libj2gss so success_x000D_
I jrelog  ( 3530): dlopen  data user 0 net kdt pojavlaunch runtimes jre17 arm64 20210825 release tar(2) xz lib libnet so success_x000D_
I jrelog  ( 3530): dlopen  data user 0 net kdt pojavlaunch runtimes jre17 arm64 20210825 release tar(2) xz lib libjava so success_x000D_
I jrelog  ( 3530): dlopen  data user 0 net kdt pojavlaunch runtimes jre17 arm64 20210825 release tar(2) xz lib libnio so success_x000D_
I jrelog  ( 3530): dlopen  data user 0 net kdt pojavlaunch runtimes jre17 arm64 20210825 release tar(2) xz lib libprefs so success_x000D_
I jrelog  ( 3530): dlopen  data user 0 net kdt pojavlaunch runtimes jre17 arm64 20210825 release tar(2) xz lib libmanagement ext so success_x000D_
I jrelog  ( 3530): dlopen  data user 0 net kdt pojavlaunch runtimes jre17 arm64 20210825 release tar(2) xz lib libj2pkcs11 so success_x000D_
I jrelog  ( 3530): dlopen  data user 0 net kdt pojavlaunch runtimes jre17 arm64 20210825 release tar(2) xz lib libdt socket so success_x000D_
I jrelog  ( 3530): dlopen  data user 0 net kdt pojavlaunch runtimes jre17 arm64 20210825 release tar(2) xz lib libjdwp so success_x000D_
I jrelog  ( 3530): dlopen  data user 0 net kdt pojavlaunch runtimes jre17 arm64 20210825 release tar(2) xz lib libzip so success_x000D_
I jrelog  ( 3530): dlopen  data user 0 net kdt pojavlaunch runtimes jre17 arm64 20210825 release tar(2) xz lib libsctp so success_x000D_
I jrelog  ( 3530): dlopen  data user 0 net kdt pojavlaunch runtimes jre17 arm64 20210825 release tar(2) xz lib libmlib image so success_x000D_
I jrelog  ( 3530): dlopen  data user 0 net kdt pojavlaunch runtimes jre17 arm64 20210825 release tar(2) xz lib libextnet so success_x000D_
I jrelog  ( 3530): dlopen  data user 0 net kdt pojavlaunch runtimes jre17 arm64 20210825 release tar(2) xz lib libinstrument so success_x000D_
I jrelog  ( 3530): dlopen  data user 0 net kdt pojavlaunch runtimes jre17 arm64 20210825 release tar(2) xz lib libmanagement agent so success_x000D_
I jrelog  ( 3530): dlopen  data user 0 net kdt pojavlaunch runtimes jre17 arm64 20210825 release tar(2) xz lib librmi so success_x000D_
I jrelog  ( 3530): dlopen  data user 0 net kdt pojavlaunch runtimes jre17 arm64 20210825 release tar(2) xz lib liblcms so success_x000D_
I jrelog  ( 3530): dlopen  data user 0 net kdt pojavlaunch runtimes jre17 arm64 20210825 release tar(2) xz lib libjawt so success_x000D_
I jrelog  ( 3530): dlopen  data user 0 net kdt pojavlaunch runtimes jre17 arm64 20210825 release tar(2) xz lib libverify so success_x000D_
I jrelog  ( 3530): dlopen  data user 0 net kdt pojavlaunch runtimes jre17 arm64 20210825 release tar(2) xz lib libawt headless so success_x000D_
I jrelog  ( 3530): dlopen  data user 0 net kdt pojavlaunch runtimes jre17 arm64 20210825 release tar(2) xz lib libawt xawt so success_x000D_
I jrelog  ( 3530): dlopen  data app   cGTOUABr8PQpXcuwt95ciA   net kdt pojavlaunch Q 02gUkJ00A8PBf9Ge7rHg   lib arm64 libopenal so success_x000D_
I jrelog  ( 3530): Done processing args_x000D_
I jrelog  ( 3530): Found JLI lib_x000D_
I jrelog  ( 3530): Calling JLI Launch_x000D_
Exception in thread  main  _x000D_
java lang module FindException: Module cpw mods securejarhandler not found  required by cpw mods bootstraplauncher_x000D_
	at java base java lang module Resolver findFail(Resolver java:893)_x000D_
	at java base java lang module Resolver resolve(Resolver java:192)_x000D_
	at java base java lang module Resolver resolve(Resolver java:141)_x000D_
	at java base java lang module Configuration resolveAndBind(Configuration java:492)_x000D_
	at java base java lang module Configuration resolveAndBind(Configuration java:298)_x000D_
	at cpw mods bootstraplauncher BootstrapLauncher main(BootstrapLauncher java:83)_x000D_
Java Exit code: 1_x000D_
I jrelog  ( 3530): Going to free args_x000D_
I jrelog  ( 3530): Free done_x000D_
    Steps To Reproduce
   markdown
1 start pojav launcher_x000D_
2 install forge 39 0 0 (1 18 1)_x000D_
3 restart launcher_x000D_
4 pressing play and waiting for all files are installed
    Expected Behavior
  Screenshot 20220127 214139 PojavLauncher (Minecraft Java Edition for Android) (https:  user images githubusercontent com 89633652 151423158 5875ebbf e8d1 42b2 b6df b176bd171665 jpg)_x000D_
    Platform
   markdown
  Device model: Samsung Galaxy a71_x000D_
  CPU architecture: arm64_x000D_
  Android version: Android 11_x000D_
  PojavLauncher version: Latest (crocus v3 openjdk)
    Anything else 
 No response </t>
  </si>
  <si>
    <t>dariuszseweryn-RxAndroidBle-775</t>
  </si>
  <si>
    <t>Crashes inside the library when throwing BleDisconnectedException</t>
  </si>
  <si>
    <t xml:space="preserve">  Describe the bug  _x000D_
Crashlytics show crashes pointing to RxAndroidBle code when a BleDisconnectedException occurs _x000D_
_x000D_
  To Reproduce  _x000D_
Cannot reproduce locally  only in Crashlytics_x000D_
_x000D_
  Expected behavior  _x000D_
I expect to get this exception in the connection subscription onError method _x000D_
_x000D_
  Smartphone:  _x000D_
   Device: Samsung Galaxy S10  Galaxy Note9  S8  Xiaomi Mi 11  OnePlus HD1903  OnePlus 6_x000D_
   OS: Android 9  10  11_x000D_
   Library version: 1 12 1_x000D_
_x000D_
  Logs from the application when bug occurs  _x000D_
Cash nr 1_x000D_
   _x000D_
Fatal Exception: com polidea rxandroidble2 exceptions BleDisconnectedException: Disconnected from MAC  EC:5E:39:B4:5E:53  with status 19 (GATT CONN TERMINATE PEER USER)_x000D_
       at com polidea rxandroidble2 internal connection RxBleGattCallback 2 onConnectionStateChange(RxBleGattCallback java:81)_x000D_
       at android bluetooth BluetoothGatt 1 4 run(BluetoothGatt java:272)_x000D_
       at android bluetooth BluetoothGatt runOrQueueCallback(BluetoothGatt java:780)_x000D_
       at android bluetooth BluetoothGatt access 200(BluetoothGatt java:41)_x000D_
       at android bluetooth BluetoothGatt 1 onClientConnectionState(BluetoothGatt java:267)_x000D_
       at android bluetooth IBluetoothGattCallback Stub onTransact(IBluetoothGattCallback java:192)_x000D_
       at android os Binder execTransactInternal(Binder java:1162)_x000D_
       at android os Binder execTransact(Binder java:1126)_x000D_
   _x000D_
_x000D_
Crash nr  which seems very similar_x000D_
   _x000D_
Fatal Exception: com polidea rxandroidble2 exceptions BleDisconnectedException: Disconnected from MAC  A4:0D:BC:60:1D:35  with status  1 (UNKNOWN)_x000D_
       at com polidea rxandroidble2 internal connection DisconnectionRouter 3 apply(DisconnectionRouter java:53)_x000D_
       at com polidea rxandroidble2 internal connection DisconnectionRouter 3 apply(DisconnectionRouter java:50)_x000D_
       at io reactivex internal operators observable ObservableMap MapObserver onNext(ObservableMap java:57)_x000D_
       at io reactivex internal operators observable ObservableFilter FilterObserver onNext(ObservableFilter java:52)_x000D_
       at io reactivex internal operators observable ObservableConcatMap ConcatMapDelayErrorObserver DelayErrorInnerObserver onNext(ObservableConcatMap java:506)_x000D_
       at io reactivex internal operators observable ObservableMap MapObserver onNext(ObservableMap java:62)_x000D_
       at io reactivex internal operators observable ObservableRefCount RefCountObserver onNext(ObservableRefCount java:227)_x000D_
       at io reactivex internal operators observable ObservablePublishAlt PublishConnection onNext(ObservablePublishAlt java:177)_x000D_
       at io reactivex internal operators observable ObservableUnsubscribeOn UnsubscribeObserver onNext(ObservableUnsubscribeOn java:60)_x000D_
       at io reactivex internal operators observable ObservableSubscribeOn SubscribeOnObserver onNext(ObservableSubscribeOn java:58)_x000D_
       at io reactivex internal operators observable ObservableCreate CreateEmitter onNext(ObservableCreate java:66)_x000D_
       at com polidea rxandroidble2 RxBleAdapterStateObservable 1 1 onReceive(RxBleAdapterStateObservable java:67)_x000D_
       at android app LoadedApk ReceiverDispatcher Args lambda getRunnable 0 LoadedApk ReceiverDispatcher Args(LoadedApk java:1566)_x000D_
       at android app    Lambda LoadedApk ReceiverDispatcher Args  BumDX2UKsnxLVrE6UJsJZkotuA run(  java:2)_x000D_
       at android os Handler handleCallback(Handler java:938)_x000D_
       at android os Handler dispatchMessage(Handler java:99)_x000D_
       at android os Looper loop(Looper java:233)_x000D_
       at android app ActivityThread main(ActivityThread java:8068)_x000D_
       at java lang reflect Method invoke(Method java)_x000D_
       at com android internal os RuntimeInit MethodAndArgsCaller run(RuntimeInit java:631)_x000D_
       at com android internal os ZygoteInit main(ZygoteInit java:978)_x000D_
   _x000D_
_x000D_
  Additional context  _x000D_
I read this issue: https:  github com dariuszseweryn RxAndroidBle issues 549 and integrated the RxJava2Debug library  _x000D_
Reproducing the crash with the library shows these logs:_x000D_
   _x000D_
Fatal Exception: java lang Throwable_x000D_
Caused by java lang Throwable_x000D_
Caused by java lang Throwable_x000D_
Caused by java lang Throwable_x000D_
Caused by java lang Throwable_x000D_
Caused by java lang Throwable_x000D_
Caused by java lang Throwable: caused by com polidea rxandroidble2 exceptions BleDisconnectedException: Disconnected from MAC  A4:0D:BC:60:11:37  with status 19 (GATT CONN TERMINATE PEER USER)_x000D_
DefaultDispatcher worker 26_x000D_
       at kotlinx coroutines CoroutineContextKt newCoroutineContext(CoroutineContext kt:33)_x000D_
       at kotlinx coroutines BuildersKt  Builders commonKt launch(Builders common kt:52)_x000D_
       at kotlinx coroutines BuildersKt launch(BuildersKt java:1)_x000D_
       at kotlinx coroutines BuildersKt  Builders commonKt launch default(Builders common kt:47)_x000D_
       at kotlinx coroutines BuildersKt launch default(BuildersKt java:1)_x000D_
       at com x x logging extension RotationFileLogPrinter log(RotationFileLogPrinter kt:35)_x000D_
       at com x x logging LoggingKt prepareLog(Logging kt:54)_x000D_
       at com x x logging LoggingKt d default(LoggingKt java:17)_x000D_
          OBFUSCATED   _x000D_
       at com x x gateway AppGateway sendSubscribeRequest 2 2 invoke(AppGateway kt:6)_x000D_
       at kotlinx coroutines flow FlowKt  EmittersKt invokeSafely FlowKt  EmittersKt(Emitters kt:216)_x000D_
       at kotlinx coroutines flow FlowKt  EmittersKt access invokeSafely FlowKt  EmittersKt(Emitters kt:1)_x000D_
       at kotlinx coroutines flow FlowKt  EmittersKt onCompletion  inlined unsafeFlow 1 collect(SafeCollector common kt:121)_x000D_
       at kotlinx coroutines flow FlowKt  EmittersKt onCompletion  inlined unsafeFlow 1 1 invokeSuspend(FlowKt  EmittersKt java:12)_x000D_
       at kotlin coroutines jvm internal BaseContinuationImpl resumeWith(ContinuationImpl kt:33)_x000D_
       at kotlinx coroutines internal ScopeCoroutine afterResume(Scopes kt:33)_x000D_
       at kotlinx coroutines AbstractCoroutine resumeWith(AbstractCoroutine kt:102)_x000D_
       at kotlin coroutines jvm internal BaseContinuationImpl resumeWith(ContinuationImpl kt:46)_x000D_
       at kotlinx coroutines DispatchedTask run(DispatchedTask kt:104)_x000D_
       at kotlinx coroutines scheduling CoroutineScheduler runSafely(CoroutineScheduler kt:571)_x000D_
       at kotlinx coroutines scheduling CoroutineScheduler Worker executeTask(CoroutineScheduler kt:750)_x000D_
       at kotlinx coroutines scheduling CoroutineScheduler Worker runWorker(CoroutineScheduler kt:678)_x000D_
       at kotlinx coroutines scheduling CoroutineScheduler Worker run(CoroutineScheduler kt:665)_x000D_
   _x000D_
_x000D_
Thank you for creating and maintaining the library  This may not be a bug in the library  but I need a way to find the cause _x000D_
</t>
  </si>
  <si>
    <t>TeamNewPipe-NewPipe-7709</t>
  </si>
  <si>
    <t>a mistake of play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</si>
  <si>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12_x000D_
   Device model:   _x000D_
_x000D_
_x000D_
   Exception_x000D_
    User Action:   requested stream_x000D_
    Request:   https:  www youtube com watch v 7jUKQJP5EtI_x000D_
    Content Country:   TW_x000D_
    Content Language:   zh TW_x000D_
    App Language:   zh TW_x000D_
    Service:   YouTube_x000D_
    Version:   0 21 15_x000D_
    OS:   Linux Android 12   31_x000D_
 details  summary  b Crash log   b   summary  p _x000D_
_x000D_
   _x000D_
org schabi newpipe extractor exceptions ParsingException: Could not parse  No likes  as an Integer_x000D_
	at org schabi newpipe extractor services youtube extractors YoutubeStreamExtractor getLikeCount(YoutubeStreamExtractor java:369)_x000D_
	at org schabi newpipe extractor stream StreamInfo extractOptionalData(StreamInfo java:281)_x000D_
	at org schabi newpipe extractor stream StreamInfo getInfo(StreamInfo java:73)_x000D_
	at org schabi newpipe extractor stream StreamInfo getInfo(StreamInfo java:64)_x000D_
	at org schabi newpipe util ExtractorHelper lambda getStreamInfo 3(ExtractorHelper java:116)_x000D_
	at org schabi newpipe util ExtractorHelper  r8 lambda YTHJjScxCJNO1LTCqs3IKy35iyY(Unknown Source:0)_x000D_
	at org schabi newpipe util ExtractorHelper  ExternalSyntheticLambda6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java:922)_x000D_
Caused by: java lang NumberFormatException: For input string:   _x000D_
	at java lang Integer parseInt(Integer java:627)_x000D_
	at java lang Integer parseInt(Integer java:650)_x000D_
	at org schabi newpipe extractor services youtube extractors YoutubeStreamExtractor getLikeCount(YoutubeStreamExtractor java:367)_x000D_
	    30 more_x000D_
_x000D_
   _x000D_
  details _x000D_
 hr _x000D_
</t>
  </si>
  <si>
    <t>ferredoxin-QNotified-1253</t>
  </si>
  <si>
    <t>[QQ8.8.68] 启动qq后一段时间闪退</t>
  </si>
  <si>
    <t xml:space="preserve">  QQ(TIM)   QQ(TIM) Version  _x000D_
_x000D_
  8 8 68_x000D_
_x000D_
       Module Version  _x000D_
_x000D_
  1 0 0 3174edd_x000D_
_x000D_
               Xposed Framework and Framework Version  _x000D_
_x000D_
  lsposed riru 1 6 5_x000D_
_x000D_
          Detailed Description of the Bug  _x000D_
_x000D_
       (   BUG            )_x000D_
_x000D_
  qq_x000D_
  _x000D_
        _x000D_
_x000D_
               Log here  _x000D_
_x000D_
 details  summary       summary  pre  code _x000D_
_x000D_
  2022 01 28T02:02:56 230    10232:  4336:  8626 I LSPosed Bridge    Crash unexpectedly: java lang RuntimeException: queueIdle encounter business crash  java lang NullPointerException: Attempt to invoke virtual method  boolean java lang Boolean booleanValue()  on a null object reference_x000D_
	at LspHooker  handleMessage(Unknown Source:17)_x000D_
	at com tencent mobileqq utils CustomHandler handleMessage(P:25)_x000D_
	at mqq os MqqHandler dispatchMessage(P:99)_x000D_
	at mqq os MqqMessageQueue dequeue(P:294)_x000D_
	at mqq os MqqMessageQueue queueIdle(P:251)_x000D_
	at android os MessageQueue next(Unknown Source:159)_x000D_
	at android os Looper loopOnce(Unknown Source:6)_x000D_
	at android os Looper loop(Unknown Source:77)_x000D_
	at android app ActivityThread main(Unknown Source:138)_x000D_
	at java lang reflect Method invoke(Native Method)_x000D_
	at com android internal os RuntimeInit MethodAndArgsCaller run(Unknown Source:11)_x000D_
	at com android internal os ZygoteInit main(Unknown Source:306)_x000D_
_x000D_
	at mqq os MqqMessageQueue 2 run(P:237)_x000D_
_x000D_
  code   pre   details _x000D_
_x000D_
_x000D_
_x000D_
              _x000D_
_x000D_
      ejfweaxptgrsgxed    _x000D_
</t>
  </si>
  <si>
    <t>ASE-Projekte-WS-2021-ase-ws-21-servus-50</t>
  </si>
  <si>
    <t>Crash when attended Event is deleted</t>
  </si>
  <si>
    <t xml:space="preserve">  User story_x000D_
As a user  I want to open the app  without it crashing  when an Event was deleted_x000D_
_x000D_
  Acceptance criteria_x000D_
_x000D_
      Event can be attended_x000D_
      App can be closed_x000D_
      App can be started again  after Event was deleted without crashing_x000D_
</t>
  </si>
  <si>
    <t>TeamNewPipe-NewPipe-7707</t>
  </si>
  <si>
    <t>Search history not working well</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</si>
  <si>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top right corner_x000D_
2  Press on search (magnifying glass) icon_x000D_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Usually when clicking on the search icon one would get the keyboard to type a search query AND at the same time the history of searches would show up starting from the last search made  Of course this is super useful when one doesn t need to type it all in again _x000D_
But now (since some 3 4 versions back) the search history doesn t refresh with the new searches  and continues to list rather old search queries first _x000D_
It s clear it s a problem of the list sorting  since if I types in again the latest search query I did (for example)  it does show up as a past query already been searched  before (by the icon of clock arrow instead of the magnifying glass when it s a new search) _x000D_
_x000D_
_x000D_
    Expected behavior_x000D_
     Tell us what you expect to happen     _x000D_
_x000D_
The list of searches already done listed as history sorted by the latest first_x000D_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model:_x000D_
Pocofone f1 xiaomi Android 9</t>
  </si>
  <si>
    <t>PojavLauncherTeam-PojavLauncher-2624</t>
  </si>
  <si>
    <t>[BUG] Red Screen When Joining 1.17 servers</t>
  </si>
  <si>
    <t xml:space="preserve">    Describe the bug
Red screen on 1 17 1 18 crashing on servers and can t install exe clients:Badlion Lunar Iris
    The log file and images videos
:(
    Steps To Reproduce
   markdown
:(
    Expected Behavior
:(
    Platform
   markdown
  Device model:Realme C12_x000D_
  CPU architecture:Aarch64_x000D_
  Android version:11_x000D_
  PojavLauncher version:Crocus V3 Open3djk
    Anything else 
 No response </t>
  </si>
  <si>
    <t>ably-ably-java-741</t>
  </si>
  <si>
    <t>`IllegalStateException` in `Crypto` `CBCCipher`'s `decrypt` method</t>
  </si>
  <si>
    <t xml:space="preserve">We ve had this reported by a customer using our Flutter Plugin 
I ve reported this issue in this repository  however  as the call stack falls entirely within code from this SDK 
Fatal Exception: java lang IllegalStateException
Cipher not initialized
javax crypto Cipher checkCipherState (Cipher java:1640)
javax crypto Cipher doFinal (Cipher java:2104)
io ably lib util Crypto CBCCipher decrypt (Crypto java:255)
io ably lib types BaseMessage decode (BaseMessage java:134)
io ably lib types BaseMessage decode (BaseMessage java:80)
io ably lib types MessageSerializer MessageBodyHandler handleResponseBody (MessageSerializer java:172)
io ably lib types MessageSerializer MessageBodyHandler handleResponseBody (MessageSerializer java:157)
io ably lib http BasePaginatedQuery handleResponse (BasePaginatedQuery java:159)
io ably lib http BasePaginatedQuery handleResponse (BasePaginatedQuery java:25)
io ably lib http HttpCore handleResponse (HttpCore java:293)
io ably lib http HttpCore httpExecute (HttpCore java:270)
io ably lib http HttpCore httpExecute (HttpCore java:165)
io ably lib http HttpCore httpExecuteWithRetry (HttpCore java:83)
io ably lib http HttpScheduler AsyncRequest httpExecuteWithRetry (HttpScheduler java:312)
io ably lib http HttpScheduler AblyRequestWithFallback run (HttpScheduler java:205)
java util concurrent ThreadPoolExecutor runWorker (ThreadPoolExecutor java:1167)
java util concurrent ThreadPoolExecutor Worker run (ThreadPoolExecutor java:641)
java lang Thread run (Thread java:919)
They have tens of thousands of Android app users and thus far have just seen one instance of this in their reported crash logs 
See  this internal Slack message (https:  ably real time slack com archives C012DA29VM0 p1643265205068800 thread ts 1643101418 063300 cid C012DA29VM0)  which contains a link to the Firebase console for this Crashlytics entry  to which some the Ably internal team have access 
Other details:
    Device  : Realme realme 3
    OS  : Android 10
    Device state  : background
 Issue is synchronized with this  Jira Uncategorised (https:  ably atlassian net browse SDK 1518) by  Unito (https:  www unito io)
</t>
  </si>
  <si>
    <t>PojavLauncherTeam-PojavLauncher-2622</t>
  </si>
  <si>
    <t>[BUG] 1.18 Crashes with GL4ES if VBO enabled</t>
  </si>
  <si>
    <t xml:space="preserve">    Describe the bug
Application suddenly crashed with no crash log
    The log file and images videos
 latestlog txt (https:  github com PojavLauncherTeam PojavLauncher files 7946873 latestlog txt)_x000D_
    Steps To Reproduce
   markdown
1 start Pojavlauncher_x000D_
2 start 1 18 x with VBO on_x000D_
3 load a world or join a server_x000D_
4 PojavLauncher Crashed
    Expected Behavior
I expect the game running normally
    Platform
   markdown
  Device model: Mi Note 3 6 128G_x000D_
  CPU architecture: aarch64_x000D_
  Android version: 11_x000D_
  PojavLauncher version: crocus 314 658c937d7 v3 openjdk
    Anything else 
 No response </t>
  </si>
  <si>
    <t>PojavLauncherTeam-PojavLauncher-2621</t>
  </si>
  <si>
    <t>[BUG] &lt;Dark World on 1.18.1 with Optifine&gt;</t>
  </si>
  <si>
    <t xml:space="preserve">    Describe the bug
When entering the world on 1 18 1 with Optifine and the Optifine patcher installed: the world is completely dark  the items and the skin in the inventory are also dark 
    The log file and images videos
  Screenshot 2022 01 13 16 16 20 814 net kdt pojavlaunch debug (https:  user images githubusercontent com 87223939 151191055 1f738ecf 6f65 4491 906b 695663a3597c jpg)_x000D_
  Screenshot 2022 01 13 16 16 11 751 net kdt pojavlaunch debug (https:  user images githubusercontent com 87223939 151191062 b100996d d820 47d5 a711 3d9b180075cf jpg)_x000D_
  Screenshot 2022 01 13 16 13 24 688 net kdt pojavlaunch debug (https:  user images githubusercontent com 87223939 151191064 d17d0a0f 1ae3 420e 9991 692ecb39c4b3 jpg)_x000D_
  Screenshot 2022 01 13 15 47 48 619 net kdt pojavlaunch debug (https:  user images githubusercontent com 87223939 151191067 bbf03a52 04e0 497d a1f3 9092128b1394 jpg)_x000D_
    Steps To Reproduce
   markdown
1  Start PojavLauncher_x000D_
2  Start minecraft 1 18 with optifine_x000D_
3  Join to the server or local world
    Expected Behavior
I expect the world to load now and the colors to be normal 
    Platform
   markdown
  Device model: Redmi 10 4 128_x000D_
  CPU architecture: aarch64_x000D_
  Android version: 11_x000D_
  PojavLauncher version: latest github version
    Anything else 
Renderer: Virgl (on other renders  when entering the world  the game crashes)_x000D_
</t>
  </si>
  <si>
    <t>PojavLauncherTeam-PojavLauncher-2616</t>
  </si>
  <si>
    <t>Minecraft crashes no crash report</t>
  </si>
  <si>
    <t xml:space="preserve">    Describe the bug
When i try pojav117assest patcher_x000D_
Exit code 1
    The log file and images videos
Latest log:_x000D_
_x000D_
          beggining with launcher debug_x000D_
Info: Launcher version: crocus 314 658c937d7 v3 openjdk_x000D_
Info: LWJGL3 directory:  jsr305 jar  lwjgl glfw classes jar  lwjgl jemalloc jar  lwjgl openal jar  lwjgl opengl jar  lwjgl stb jar  lwjgl tinyfd jar  lwjgl jar  version _x000D_
Architecture: arm_x000D_
Info: Custom Java arguments:   Xmx3G  Xms3G  Xmn768m  XX: DisableExplicitGC  XX: UseConcMarkSweepGC  XX: UseParNewGC  XX: UseNUMA  XX: CMSParallelRemarkEnabled  XX:MaxTenuringThreshold 15  XX:MaxGCPauseMillis 30  XX:GCPauseIntervalMillis 150  XX: UseAdaptiveGCBoundary  XX: UseGCOverheadLimit  XX: UseBiasedLocking  XX:SurvivorRatio 8  XX:TargetSurvivorRatio 90  XX:MaxTenuringThreshold 15  Dfml ignorePatchDiscrepancies true  Dfml ignoreInvalidMinecraftCertificates true  XX: UseFastAccessorMethods  XX: UseCompressedOops  XX: OptimizeStringConcat  XX: AggressiveOpts  XX:ReservedCodeCacheSize 2048m  XX: UseCodeCacheFlushing  XX:SoftRefLRUPolicyMSPerMB 10000  XX:ParallelGCThreads 10 _x000D_
Info: Selected Minecraft version: 1 18 1_x000D_
Added custom env: TMPDIR  data user 0 net kdt pojavlaunch debug cache_x000D_
Added custom env: AWTSTUB WIDTH 1556_x000D_
Added custom env: POJAV NATIVEDIR  data app   TGaM8OlcBEUU0vWRd trNg   net kdt pojavlaunch debug DZxGyMyl5rRydJn31WWY4g   lib arm_x000D_
Added custom env: REGAL GL VERSION 4 5_x000D_
Added custom env: REGAL GL VENDOR Android_x000D_
Added custom env: LIBGL MIPMAP 3_x000D_
Added custom env: allow higher compat version true_x000D_
Added custom env: LIBGL SHRINK 4_x000D_
Added custom env: MESA GLSL CACHE DIR  data user 0 net kdt pojavlaunch debug cache_x000D_
Added custom env: HOME  storage emulated 0 Android data net kdt pojavlaunch debug files  minecraft_x000D_
Added custom env: PATH  data user 0 net kdt pojavlaunch debug runtimes jre17 arm 20210914 release tar xz bin: product bin: apex com android runtime bin: apex com android art bin: system ext bin: system bin: system xbin: odm bin: vendor bin: vendor xbin_x000D_
Added custom env: LIBGL NOINTOVLHACK 1_x000D_
Added custom env: force glsl extensions warn true_x000D_
Added custom env: LIBGL NORMALIZE 1_x000D_
Added custom env: LD LIBRARY PATH  data user 0 net kdt pojavlaunch debug runtimes jre17 arm 20210914 release tar xz lib jli: data user 0 net kdt pojavlaunch debug runtimes jre17 arm 20210914 release tar xz lib: system lib: vendor lib: vendor lib hw: data app   TGaM8OlcBEUU0vWRd trNg   net kdt pojavlaunch debug DZxGyMyl5rRydJn31WWY4g   lib arm_x000D_
Added custom env: POJAV RENDERER opengles2 5_x000D_
Added custom env: LIBGL ES 2_x000D_
Added custom env: VTEST SOCKET NAME  data user 0 net kdt pojavlaunch debug cache  virgl test_x000D_
Added custom env: MESA LOADER DRIVER OVERRIDE zink_x000D_
Added custom env: MESA GLSL VERSION OVERRIDE 460_x000D_
Added custom env: JAVA HOME  data user 0 net kdt pojavlaunch debug runtimes jre17 arm 20210914 release tar xz_x000D_
Added custom env: MESA GL VERSION OVERRIDE 4 6_x000D_
Added custom env: allow glsl extension directive midshader true_x000D_
Added custom env: REGAL GL RENDERER Regal_x000D_
Added custom env: AWTSTUB HEIGHT 720_x000D_
Initialising gl4es_x000D_
v1 1 5 built on Dec 19 2021 02:56:29_x000D_
Using GLES 2 0 backend_x000D_
Shaderconv enabled_x000D_
loaded: libGLESv2 so_x000D_
loaded: libEGL so_x000D_
Using GLES 2 0 backend_x000D_
Hardware Full NPOT detected and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OES texture float  detected and used_x000D_
Extension GL OES texture half float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16384_x000D_
Max Varying Vector: 31_x000D_
Texture Units: 16 16 (hardware: 16)  Max lights: 8  Max planes: 6_x000D_
Extension GL EXT texture filter anisotropic  detected and used_x000D_
Max Anisotropic filtering: 16_x000D_
Max Color Attachments: 1   Draw buffers: 1_x000D_
Hardware vendor is Qualcomm_x000D_
GLSL 300 es supported_x000D_
GLSL 310 es supported and used_x000D_
sRGB surface supported_x000D_
EGLImage to Texture2D supported_x000D_
EGLImage to RenderBuffer supported_x000D_
ignore MipMap_x000D_
Texture shink  mode 4 selected (only   256  2    1024  4 )_x000D_
Targeting OpenGL 2 1_x000D_
No hack in shader converter to define overloaded function with int_x000D_
Not trying to batch small subsequent glDrawXXXX_x000D_
try to use VBO_x000D_
Force texture for Attachment color0 on FBO_x000D_
Hack to trigger a SwapBuffers when a Full Framebuffer Blit on default FBO is done_x000D_
Force normals to be normalized on FPE shaders_x000D_
glX Will try to recycle EGL Surface_x000D_
Current folder is: _x000D_
Unrecognized VM option  UseConcMarkSweepGC _x000D_
Error: Could not create the Java Virtual Machine _x000D_
Error: A fatal exception has occurred  Program will exit _x000D_
_x000D_
    Steps To Reproduce
   markdown
1 start pojalancher _x000D_
2 crash less than 2 seconds
    Expected Behavior
To lanch minecraft 
    Platform
   markdown
  Device model: SM M025F (a02qins)_x000D_
  CPU architecture: AArch64 Processor rev 4 (aarch64)_x000D_
  Android version: 11_x000D_
  PojavLauncher version: gl4es update: skip if fails
    Anything else 
It was working fine but suddenly  this happened </t>
  </si>
  <si>
    <t>Anuken-Mindustry-6533</t>
  </si>
  <si>
    <t>Version 135 from itch.io crash on launch</t>
  </si>
  <si>
    <t xml:space="preserve">  Platform  :  Android iOS Mac Windows Linux _x000D_
Linux_x000D_
_x000D_
  Build  :  The build number under the title in the main menu  Required   LATEST  IS NOT A VERSION  I NEED THE EXACT BUILD NUMBER OF YOUR GAME  _x000D_
Version 135_x000D_
_x000D_
  Issue  :  Explain your issue in detail  _x000D_
_x000D_
crash on launch see crash log_x000D_
_x000D_
  Steps to reproduce  :  How you happened across the issue  and what exactly you did to make the bug happen  _x000D_
download zip  extract  launch  look at crash log_x000D_
  Link(s) to mod(s) used  :  The mod repositories or zip files that are related to the issue  if applicable  _x000D_
_x000D_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NA no save as game not start_x000D_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https:  paste artixlinux org 982995bd_x000D_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search found this  but seemed unrelated  https:  github com Anuken Mindustry issues q is 3Aissue libarc64 so</t>
  </si>
  <si>
    <t>doublesymmetry-react-native-track-player-1392</t>
  </si>
  <si>
    <t>Event.RemoteDuck: App crash when iPhone receive an incoming call</t>
  </si>
  <si>
    <t xml:space="preserve">  Describe the Bug  _x000D_
My App crash when my iPhone receive an incoming call  _x000D_
Even implementing  useTrackPlayerEvents( Event RemoteDuck   async event           _x000D_
_x000D_
  Steps To Reproduce  _x000D_
If added  Even implementing  useTrackPlayerEvents( Event RemoteDuck   async event          and  TrackPlayer addEventListener(Event RemoteDuck  async e        on  service js   only if app were on background it ll works fine _x000D_
_x000D_
  Code To Reproduce  _x000D_
    _x000D_
useTrackPlayerEvents( Event RemoteDuck   async event     _x000D_
        if (event paused     true)  _x000D_
            TrackPlayer pause() _x000D_
            wasPausedByDuck   true _x000D_
          else  _x000D_
            if (wasPausedByDuck     true)  _x000D_
                TrackPlayer play() _x000D_
                wasPausedByDuck   false _x000D_
             _x000D_
         _x000D_
     )_x000D_
    _x000D_
_x000D_
  Environment Info:  _x000D_
    _x000D_
System:_x000D_
    OS: macOS 12 1_x000D_
    CPU: (8) arm64 Apple M1_x000D_
    Memory: 94 34 MB   8 00 GB_x000D_
    Shell: 5 8    bin zsh_x000D_
  Binaries:_x000D_
    Node: 14 17 0    opt homebrew opt node 14 bin node_x000D_
    Yarn: 1 22 10    opt homebrew bin yarn_x000D_
    npm: 6 14 13    opt homebrew opt node 14 bin npm_x000D_
    Watchman: 2021 08 30 00    opt homebrew bin watchman_x000D_
  Managers:_x000D_
    CocoaPods: 1 11 2    usr local bin pod_x000D_
  SDKs:_x000D_
    iOS SDK:_x000D_
      Platforms: DriverKit 21 0 1  iOS 15 0  macOS 12 0  tvOS 15 0  watchOS 8 0_x000D_
    Android SDK: Not Found_x000D_
  IDEs:_x000D_
    Android Studio: Not Found_x000D_
    Xcode: 13 1 13A1030d    usr bin xcodebuild_x000D_
  Languages:_x000D_
    Java: 1 8 0 292    usr bin javac_x000D_
  npmPackages:_x000D_
     react native community cli: Not Found_x000D_
    react: 17 0 2    17 0 2 _x000D_
    react native: 0 66 4    0 66 4 _x000D_
    react native macos: Not Found_x000D_
  npmGlobalPackages:_x000D_
     react native : Not Found_x000D_
    _x000D_
Paste the exact  react native track player  version you are using:  2 1 2 _x000D_
Real device  Or simulator :  Real Device _x000D_
What OS are you running :  iOS 15 2 1 _x000D_
_x000D_
  How I can Help  _x000D_
I read the documentation  I double check on example project _x000D_
</t>
  </si>
  <si>
    <t>PojavLauncherTeam-PojavLauncher-2613</t>
  </si>
  <si>
    <t>[BUG] VGPU Only shows white screen...</t>
  </si>
  <si>
    <t xml:space="preserve">    Describe the bug_x000D_
_x000D_
It shows nothing  I m using VGPU (because people says it has better performance  which good for pvp )_x000D_
_x000D_
_x000D_
_x000D_
    The log file and images videos_x000D_
_x000D_
 latestlog txt (https:  github com PojavLauncherTeam PojavLauncher files 7933274 latestlog txt)_x000D_
_x000D_
Btw i decided to force crashing it after it shows the white screen _x000D_
_x000D_
_x000D_
    Steps To Reproduce_x000D_
_x000D_
   markdown_x000D_
Use VGPU renderer then start any versions _x000D_
   _x000D_
_x000D_
_x000D_
    Expected Behavior_x000D_
_x000D_
It should work fine (or my device has issues with it )_x000D_
_x000D_
    Platform_x000D_
_x000D_
   markdown_x000D_
  Device model: Oppo A5s 3 32G_x000D_
  CPU architecture: aarch64_x000D_
  Android version: 8 1 0_x000D_
  PojavLauncher version: profiles 2 electric boogaloo  https:  github com PojavLauncherTeam PojavLauncher actions runs 1677959713_x000D_
   _x000D_
_x000D_
_x000D_
    Anything else _x000D_
_x000D_
Nope</t>
  </si>
  <si>
    <t>NordicSemiconductor-Android-DFU-Library-321</t>
  </si>
  <si>
    <t>Fatal Exception: java.lang.IllegalStateException - Not allowed to start service Intent (app is in background)</t>
  </si>
  <si>
    <t xml:space="preserve">  DFU Bootloader version (please complete the following information):  _x000D_
   SDK version: 31_x000D_
   Library version: 1 12 0_x000D_
_x000D_
  Device information (please complete the following information):  _x000D_
   Device: Any device running Android 8 or higher_x000D_
_x000D_
  Describe the bug  _x000D_
From time to time we are facing this crash (Android 8 and up due to changes with services)  Basically the App is in background and tries to start a service  _x000D_
_x000D_
The affected LOC is:  no nordicsemi android dfu DfuBaseService onHandleIntent (DfuBaseService java:1413) (https:  github com NordicSemiconductor Android DFU Library blob main dfu src main java no nordicsemi android dfu DfuBaseService java L1413)_x000D_
_x000D_
(Note: It crashes on all startService calls  so not only the one I picked here)_x000D_
_x000D_
I think changing it to:_x000D_
_x000D_
   _x000D_
if (Build VERSION SDK INT    Build VERSION CODES O)  _x000D_
    startForegroundService(intent) _x000D_
  else  _x000D_
    startService(intent) _x000D_
 _x000D_
   _x000D_
would probably solve it  _x000D_
_x000D_
Is there anything speaking against it  _x000D_
_x000D_
I just checked for Android 12 and up there are unfortunately more restrictions: https:  developer android com about versions 12 behavior changes 12 foreground service launch restrictions_x000D_
So startForegroundService won t work there  rather WorkManager should be used</t>
  </si>
  <si>
    <t>Blankj-AndroidUtilCode-1598</t>
  </si>
  <si>
    <t>屏幕适配后，华为手机长按edittext弹出的复制粘贴按钮显示不全</t>
  </si>
  <si>
    <t xml:space="preserve">   Describe the bug_x000D_
_x000D_
A clear and concise description of what the bug is _x000D_
_x000D_
  The version of AndroidUtilCode:      e g  utilcode:1 16 3 or utilcodex:1 16 3    _x000D_
  The device:      e g  Nexus 5X    _x000D_
  The version of device:      API 27    _x000D_
_x000D_
   The code of bug_x000D_
_x000D_
     e g  _x000D_
   java_x000D_
CrashUtils init() _x000D_
   _x000D_
   _x000D_
   _x000D_
put your code here_x000D_
   _x000D_
_x000D_
   The stack of crash_x000D_
_x000D_
     e g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Screenshots_x000D_
_x000D_
If applicable  add screenshots to help explain your problem _x000D_
_x000D_
  image (https:  user images githubusercontent com 16059706 150905369 ac1c71f5 2d53 4f7f b27f 9b24b100539c png)_x000D_
_x000D_
   Please delete the current line and the following _x000D_
_x000D_
Thank you for supporting  AndroidUtilCode (https:  github com Blankj AndroidUtilCode) _x000D_
</t>
  </si>
  <si>
    <t>ferredoxin-QNotified-1244</t>
  </si>
  <si>
    <t>[QQ 8.8.68] 主页 Banner 活动图片造成QQ闪退</t>
  </si>
  <si>
    <t xml:space="preserve">  QQ(TIM)   QQ(TIM) Version  _x000D_
_x000D_
  QQ 8 8 68_x000D_
_x000D_
       Module Version  _x000D_
_x000D_
  1 0 0 51c9094_x000D_
_x000D_
               Xposed Framework and Framework Version  _x000D_
_x000D_
  Lsposed 1 6 5(1289)_x000D_
_x000D_
          Detailed Description of the Bug  _x000D_
_x000D_
       (   BUG            )_x000D_
_x000D_
    QQ        banner     QQ                    QQ      banner logo              banner                            
      QQ                                _x000D_
_x000D_
               Log here  _x000D_
_x000D_
 details  summary       summary  pre  code _x000D_
_x000D_
  2022 01 25T10:35:29 677    10257: 24414: 27199 I LSPosed Bridge    Crash unexpectedly: java lang RuntimeException: queueIdle encounter business crash  java lang NullPointerException: Attempt to invoke virtual method  void cooperation vip qqbanner widget NakedEyesView a()  on a null object reference
	at cooperation vip qqbanner manager VasADImmersionBannerManager d(P:270)
	at com tencent mobileqq activity recent bannerprocessor VasADBannerProcessor h(P:270)
	at com tencent mobileqq activity recent bannerprocessor VasADBannerProcessor k(P:260)
	at com tencent mobileqq activity recent bannerprocessor VasADBannerProcessor handleMessage(P:143)
	at com tencent mobileqq utils CustomHandler handleMessage(P:25)
	at mqq os MqqHandler dispatchMessage(P:99)
	at mqq os MqqMessageQueue dequeue(P:294)
	at mqq os MqqMessageQueue queueIdle(P:251)
	at android os MessageQueue next(MessageQueue java:409)
	at android os Looper loopOnce(Looper java:168)
	at android os Looper loop(Looper java:299)
	at android app ActivityThread main(ActivityThread java:8205)
	at java lang reflect Method invoke(Native Method)
	at com android internal os RuntimeInit MethodAndArgsCaller run(RuntimeInit java:556)
	at com android internal os ZygoteInit main(ZygoteInit java:1045)
	at mqq os MqqMessageQueue 2 run(P:237)
  2022 01 25T10:35:29 677    10257: 24414: 27199 E AndroidRuntime    FATAL EXCEPTION: Thread 88
Process: com tencent mobileqq  PID: 24414
java lang RuntimeException: queueIdle encounter business crash  java lang NullPointerException: Attempt to invoke virtual method  void cooperation vip qqbanner widget NakedEyesView a()  on a null object reference
	at cooperation vip qqbanner manager VasADImmersionBannerManager d(P:270)
	at com tencent mobileqq activity recent bannerprocessor VasADBannerProcessor h(P:270)
	at com tencent mobileqq activity recent bannerprocessor VasADBannerProcessor k(P:260)
	at com tencent mobileqq activity recent bannerprocessor VasADBannerProcessor handleMessage(P:143)
	at com tencent mobileqq utils CustomHandler handleMessage(P:25)
	at mqq os MqqHandler dispatchMessage(P:99)
	at mqq os MqqMessageQueue dequeue(P:294)
	at mqq os MqqMessageQueue queueIdle(P:251)
	at android os MessageQueue next(MessageQueue java:409)
	at android os Looper loopOnce(Looper java:168)
	at android os Looper loop(Looper java:299)
	at android app ActivityThread main(ActivityThread java:8205)
	at java lang reflect Method invoke(Native Method)
	at com android internal os RuntimeInit MethodAndArgsCaller run(RuntimeInit java:556)
	at com android internal os ZygoteInit main(ZygoteInit java:1045)
	at mqq os MqqMessageQueue 2 run(P:237)_x000D_
_x000D_
  code   pre   details _x000D_
_x000D_
_x000D_
_x000D_
              _x000D_
_x000D_
      ejfweaxptgrsgxed    _x000D_
</t>
  </si>
  <si>
    <t>material-components-material-components-android-2532</t>
  </si>
  <si>
    <t>[MaterialCardView] Attempt to invoke virtual method 'void android.graphics.drawable.Drawable.setCallback(android.graphics.drawable.Drawable$Callback)' on a null object reference</t>
  </si>
  <si>
    <t xml:space="preserve">Version 1 5 0 and above and   Android 9 and below   only_x000D_
app:checkedIcon   null  causes crash when click listener is set _x000D_
_x000D_
I use ActionMode and need to mark items in the list as checked  I do not want to show checkedIcon so I set it to null as below _x000D_
This (setting it to null) causes crash when I set click listener to the card _x000D_
_x000D_
Issue is not present on 1 4 0_x000D_
_x000D_
     com google android material card MaterialCardView_x000D_
        android:id    id card _x000D_
        android:layout width  match parent _x000D_
        android:layout height  wrap content _x000D_
        android:checkable  true _x000D_
        app:checkedIcon   null  _x000D_
_x000D_
Crash log_x000D_
_x000D_
 java lang NullPointerException: Attempt to invoke virtual method  void android graphics drawable Drawable setCallback(android graphics drawable Drawable Callback)  on a null object reference_x000D_
        at android graphics drawable LayerDrawable  init (LayerDrawable java:141)_x000D_
        at android graphics drawable LayerDrawable  init (LayerDrawable java:119)_x000D_
        at com google android material card MaterialCardViewHelper getClickableForeground(MaterialCardViewHelper java:611)_x000D_
        at com google android material card MaterialCardViewHelper updateClickable(MaterialCardViewHelper java:267)_x000D_
        at com google android material card MaterialCardView setClickable(MaterialCardView java:319)_x000D_
        at android view View setOnClickListener(View java:6462)_x000D_
        at com test example ui viewpager recordings adapter recordingDbItemViewHolder bind(recordingDbItemViewHolder kt:45)_x000D_
        at com test example ui viewpager recordings adapter recordingDbAdapter onBindViewHolder(recordingDbAdapter kt:182)_x000D_
        at androidx recyclerview widget RecyclerView Adapter onBindViewHolder(RecyclerView java:7403)_x000D_
        at androidx recyclerview widget RecyclerView Adapter bindViewHolder(RecyclerView java:7486)_x000D_
        at androidx recyclerview widget RecyclerView Recycler tryBindViewHolderByDeadline(RecyclerView java:6343)_x000D_
        at androidx recyclerview widget RecyclerView Recycler tryGetViewHolderForPositionByDeadline(RecyclerView java:6609)_x000D_
        at androidx recyclerview widget RecyclerView Recycler getViewForPosition(RecyclerView java:6449)_x000D_
        at androidx recyclerview widget RecyclerView Recycler getViewForPosition(RecyclerView java:6445)_x000D_
        at androidx recyclerview widget LinearLayoutManager LayoutState next(LinearLayoutManager java:2330)_x000D_
        at androidx recyclerview widget LinearLayoutManager layoutChunk(LinearLayoutManager java:1631)_x000D_
        at androidx recyclerview widget LinearLayoutManager fill(LinearLayoutManager java:1591)_x000D_
        at androidx recyclerview widget LinearLayoutManager onLayoutChildren(LinearLayoutManager java:668)_x000D_
        at androidx recyclerview widget RecyclerView dispatchLayoutStep2(RecyclerView java:4447)_x000D_
        at androidx recyclerview widget RecyclerView dispatchLayout(RecyclerView java:4150)_x000D_
        at androidx recyclerview widget RecyclerView onLayout(RecyclerView java:4716)_x000D_
        at android view View layout(View java:20948)_x000D_
        at android view ViewGroup layout(ViewGroup java:6279)_x000D_
        at android widget FrameLayout layoutChildren(FrameLayout java:325)_x000D_
        at android widget FrameLayout onLayout(FrameLayout java:261)_x000D_
        at android view View layout(View java:20948)_x000D_
        at android view ViewGroup layout(ViewGroup java:6279)_x000D_
        at androidx coordinatorlayout widget CoordinatorLayout layoutChild(CoordinatorLayout java:1248)_x000D_
        at androidx coordinatorlayout widget CoordinatorLayout onLayoutChild(CoordinatorLayout java:934)_x000D_
        at androidx coordinatorlayout widget CoordinatorLayout onLayout(CoordinatorLayout java:954)_x000D_
        at android view View layout(View java:20948)_x000D_
        at android view ViewGroup layout(ViewGroup java:6279)_x000D_
        at android widget FrameLayout layoutChildren(FrameLayout java:325)_x000D_
        at android widget FrameLayout onLayout(FrameLayout java:261)_x000D_
        at android view View layout(View java:20948)_x000D_
        at android view ViewGroup layout(ViewGroup java:6279)_x000D_
        at androidx recyclerview widget RecyclerView LayoutManager layoutDecoratedWithMargins(RecyclerView java:10027)_x000D_
        at androidx recyclerview widget LinearLayoutManager layoutChunk(LinearLayoutManager java:1689)_x000D_
        at androidx recyclerview widget LinearLayoutManager fill(LinearLayoutManager java:1591)_x000D_
        at androidx recyclerview widget LinearLayoutManager onLayoutChildren(LinearLayoutManager java:668)_x000D_
        at androidx recyclerview widget RecyclerView dispatchLayoutStep2(RecyclerView java:4447)_x000D_
        at androidx recyclerview widget RecyclerView dispatchLayout(RecyclerView java:4150)_x000D_
        at androidx recyclerview widget RecyclerView onLayout(RecyclerView java:4716)_x000D_
        at android view View layout(View java:20948)_x000D_
        at android view ViewGroup layout(ViewGroup java:6279)_x000D_
2022 01 24 20:11:12 004 18577 18577 com test example E AndroidRuntime:     at androidx viewpager2 widget ViewPager2 onLayout(ViewPager2 java:533)_x000D_
        at android view View layout(View java:20948)_x000D_
        at android view ViewGroup layout(ViewGroup java:6279)_x000D_
        at com google android material appbar HeaderScrollingViewBehavior layoutChild(HeaderScrollingViewBehavior java:148)_x000D_
        at com google android material appbar ViewOffsetBehavior onLayoutChild(ViewOffsetBehavior java:43)_x000D_
        at com google android material appbar AppBarLayout ScrollingViewBehavior onLayoutChild(AppBarLayout java:2122)_x000D_
        at androidx coordinatorlayout widget CoordinatorLayout onLayout(CoordinatorLayout java:953)_x000D_
        at android view View layout(View java:20948)_x000D_
        at android view ViewGroup layout(ViewGroup java:6279)_x000D_
        at android widget RelativeLayout onLayout(RelativeLayout java:1083)_x000D_
        at android view View layout(View java:20948)_x000D_
        at android view ViewGroup layout(ViewGroup java:6279)_x000D_
        at android widget FrameLayout layoutChildren(FrameLayout java:325)_x000D_
        at android widget FrameLayout onLayout(FrameLayout java:261)_x000D_
        at android view View layout(View java:20948)_x000D_
        at android view ViewGroup layout(ViewGroup java:6279)_x000D_
        at android widget FrameLayout layoutChildren(FrameLayout java:325)_x000D_
        at android widget FrameLayout onLayout(FrameLayout java:261)_x000D_
        at android view View layout(View java:20948)_x000D_
        at android view ViewGroup layout(ViewGroup java:6279)_x000D_
        at android widget FrameLayout layoutChildren(FrameLayout java:325)_x000D_
        at android widget FrameLayout onLayout(FrameLayout java:261)_x000D_
        at android view View layout(View java:20948)_x000D_
        at android view ViewGroup layout(ViewGroup java:6279)_x000D_
        at android widget LinearLayout setChildFrame(LinearLayout java:1842)_x000D_
        at android widget LinearLayout layoutVertical(LinearLayout java:1686)_x000D_
        at android widget LinearLayout onLayout(LinearLayout java:1595)_x000D_
        at android view View layout(View java:20948)_x000D_
        at android view ViewGroup layout(ViewGroup java:6279)_x000D_
        at android widget FrameLayout layoutChildren(FrameLayout java:325)_x000D_
        at android widget FrameLayout onLayout(FrameLayout java:261)_x000D_
        at com android internal policy DecorView onLayout(DecorView java:902)_x000D_
        at android view View layout(View java:20948)_x000D_
        at android view ViewGroup layout(ViewGroup java:6279)_x000D_
        at android view ViewRootImpl performLayout(ViewRootImpl java:3037)_x000D_
        at android view ViewRootImpl performTraversals(ViewRootImpl java:2545)_x000D_
        at android view ViewRootImpl doTraversal(ViewRootImpl java:1636)_x000D_
        at android view ViewRootImpl TraversalRunnable run(ViewRootImpl java:7946)_x000D_
        at android view Choreographer CallbackRecord run(Choreographer java:1092)_x000D_
        at android view Choreographer doCallbacks(Choreographer java:893)_x000D_
        at android view Choreographer doFrame(Choreographer java:812)_x000D_
        at android view Choreographer FrameDisplayEventReceiver run(Choreographer java:1078)_x000D_
        at android os Handler handleCallback(Handler java:907)_x000D_
        at android os Handler dispatchMessage(Handler java:105)_x000D_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 _x000D_
_x000D_
</t>
  </si>
  <si>
    <t>square-reader-sdk-flutter-plugin-80</t>
  </si>
  <si>
    <t>App crashes on devices with Android 12</t>
  </si>
  <si>
    <t xml:space="preserve">    Describe the issue_x000D_
_x000D_
Application crashes on startup on Android 12 real devices  while on emulators with the same Android version it works great _x000D_
_x000D_
Error log details:_x000D_
     _x000D_
   Built build app outputs flutter apk app debug apk _x000D_
Installing build app outputs flutter apk app apk   _x000D_
E AndroidRuntime(24078): FATAL EXCEPTION: main_x000D_
E AndroidRuntime(24078): Process: org scopeevents Celebrate  PID: 24078_x000D_
E AndroidRuntime(24078): java lang RuntimeException: Unable to create application org scopeevents Celebrate MainApplication: java lang SecurityException: Need android permission BLUETOOTH CONNECT permission for android content AttributionSource cf128ae8: GattService getDevicesMatchingConnectionStates_x000D_
E AndroidRuntime(24078): 	at android app ActivityThread handleBindApplication(ActivityThread java:6730)_x000D_
E AndroidRuntime(24078): 	at android app ActivityThread access 1500(ActivityThread java:247)_x000D_
E AndroidRuntime(24078): 	at android app ActivityThread H handleMessage(ActivityThread java:2053)_x000D_
E AndroidRuntime(24078): 	at android os Handler dispatchMessage(Handler java:106)_x000D_
E AndroidRuntime(24078): 	at android os Looper loopOnce(Looper java:201)_x000D_
E AndroidRuntime(24078): 	at android os Looper loop(Looper java:288)_x000D_
E AndroidRuntime(24078): 	at android app ActivityThread main(ActivityThread java:7839)_x000D_
E AndroidRuntime(24078): 	at java lang reflect Method invoke(Native Method)_x000D_
E AndroidRuntime(24078): 	at com android internal os RuntimeInit MethodAndArgsCaller run(RuntimeInit java:548)_x000D_
E AndroidRuntime(24078): 	at com android internal os ZygoteInit main(ZygoteInit java:1003)_x000D_
E AndroidRuntime(24078): Caused by: java lang SecurityException: Need android permission BLUETOOTH CONNECT permission for android content AttributionSource cf128ae8: GattService getDevicesMatchingConnectionStates_x000D_
E AndroidRuntime(24078): 	at android os Parcel createExceptionOrNull(Parcel java:2425)_x000D_
E AndroidRuntime(24078): 	at android os Parcel createException(Parcel java:2409)_x000D_
E AndroidRuntime(24078): 	at android os Parcel readException(Parcel java:2392)_x000D_
E AndroidRuntime(24078): 	at android os Parcel readException(Parcel java:2334)_x000D_
E AndroidRuntime(24078): 	at android bluetooth IBluetoothGatt Stub Proxy getDevicesMatchingConnectionStates(IBluetoothGatt java:1690)_x000D_
E AndroidRuntime(24078): 	at android bluetooth BluetoothManager getDevicesMatchingConnectionStates(BluetoothManager java:200)_x000D_
E AndroidRuntime(24078): 	at android bluetooth BluetoothManager getConnectedDevices(BluetoothManager java:160)_x000D_
E AndroidRuntime(24078): 	at com squareup logging RealBluetoothDevicesCountInitializer setupInitialConnectedDevices(RealBluetoothDevicesCountInitializer kt:54)_x000D_
E AndroidRuntime(24078): 	at com squareup logging BluetoothAclConnectionReceiver onEnterScope(BluetoothAclConnectionReceiver kt:27)_x000D_
E AndroidRuntime(24078): 	at shadow mortar MortarScope register(MortarScope java:199)_x000D_
E AndroidRuntime(24078): 	at com squareup RegisterAppDelegate onEnterScope(RegisterAppDelegate java:444)_x000D_
E AndroidRuntime(24078): 	at shadow mortar MortarScope register(MortarScope java:199)_x000D_
E AndroidRuntime(24078): 	at com squareup RegisterAppDelegate createAppScope(RegisterAppDelegate java:335)_x000D_
E AndroidRuntime(24078): 	at com squareup RegisterAppDelegate onCreate(RegisterAppDelegate java:189)_x000D_
E AndroidRuntime(24078): 	at com squareup sdk reader internal AppBootstrapHolder onCreate(AppBootstrapHolder java:23)_x000D_
E AndroidRuntime(24078): 	at com squareup sdk reader ReaderSdk initialize(ReaderSdk java:38)_x000D_
E AndroidRuntime(24078): 	at org scopeevents Celebrate MainApplication onCreate(MainApplication java:22)_x000D_
E AndroidRuntime(24078): 	at android app Instrumentation callApplicationOnCreate(Instrumentation java:1211)_x000D_
E AndroidRuntime(24078): 	at android app ActivityThread handleBindApplication(ActivityThread java:6725)_x000D_
E AndroidRuntime(24078): 	    9 more_x000D_
_x000D_
     _x000D_
_x000D_
_x000D_
    Expected behavior_x000D_
_x000D_
  The application should build successfully_x000D_
_x000D_
_x000D_
_x000D_
  Environment:  _x000D_
_x000D_
    platform: Android_x000D_
    OS and version: Android 12_x000D_
    dev environment: MacOS_x000D_
    Reader SDK version: 1 5 1_x000D_
_x000D_
      Flutter (Channel stable  2 8 1  on macOS 12 1 21C52 darwin arm  locale ru UA)_x000D_
      Flutter version 2 8 1 at    _x000D_
      Upstream repository https:  github com flutter flutter git_x000D_
      Framework revision 77d935af4d (6 weeks ago)  2021 12 16 08:37:33  0800_x000D_
      Engine revision 890a5fca2e_x000D_
      Dart version 2 15 1_x000D_
_x000D_
    Android toolchain   develop for Android devices (Android SDK version 32 0 0)_x000D_
      Android SDK at    _x000D_
      Platform android 32  build tools 32 0 0_x000D_
      Java binary at:  Applications Android Studio app Contents jre Contents Home bin java_x000D_
      Java version OpenJDK Runtime Environment (build 11 0 10 0 b96 7249189)_x000D_
      All Android licenses accepted _x000D_
_x000D_
    Xcode   develop for iOS and macOS (Xcode 13 2 1)_x000D_
      Xcode at  Applications Xcode app Contents Developer_x000D_
      CocoaPods version 1 11 2_x000D_
_x000D_
    Chrome   develop for the web_x000D_
      Chrome at  Applications Google Chrome app Contents MacOS Google Chrome_x000D_
_x000D_
    Android Studio (version 2020 3)_x000D_
      Android Studio at  Applications Android Studio app Contents_x000D_
      Flutter plugin can be installed from:_x000D_
        https:  plugins jetbrains com plugin 9212 flutter_x000D_
      Dart plugin can be installed from:_x000D_
        https:  plugins jetbrains com plugin 6351 dart_x000D_
      Java version OpenJDK Runtime Environment (build 11 0 10 0 b96 7249189)_x000D_
_x000D_
    VS Code (version 1 63 2)_x000D_
      VS Code at  Applications Visual Studio Code app Contents_x000D_
      Flutter extension can be installed from:_x000D_
        https:  marketplace visualstudio com items itemName Dart Code flutter_x000D_
_x000D_
    Connected device (3 available)_x000D_
      Pixel 4a (mobile)           15051JEC215525   android arm64    Android 12 (API 31)_x000D_
  No issues found _x000D_
_x000D_
_x000D_
</t>
  </si>
  <si>
    <t>popeen-Booksonic-App-239</t>
  </si>
  <si>
    <t>Crash on local address</t>
  </si>
  <si>
    <t xml:space="preserve">When the app is set to using a local address but a local address is not set it will cause the app to crash on start until appdata is reset </t>
  </si>
  <si>
    <t>PojavLauncherTeam-PojavLauncher-2611</t>
  </si>
  <si>
    <t>[BUG] Sodium 1.16.5 crashes without explanation</t>
  </si>
  <si>
    <t xml:space="preserve">    Describe the bug
When you enter the world server  the game simply crashes  I used mods: sodium  fabric api  fabric 1 16 5  I downloaded mods from the official website  I set the graphics settings to low
    The log file and images videos
    Steps To Reproduce
   markdown
1  Downloaded fabric 1 16 5 _x000D_
2  Installed fabric api  sodium _x000D_
3  Launched fa_x000D_
4 Went into a single world (tried to log in to the servers) _x000D_
5 The game instantly crashed out without errors
    Expected Behavior
I expected to be able to go into the world or the server
    Platform
   markdown
  Device model: honor 9c_x000D_
  CPU architecture: aarch64_x000D_
  Android version: 10_x000D_
  PojavLauncher version:Latest Beta and Latest Release
    Anything else 
I treat this project with great respect and want it to develop further  </t>
  </si>
  <si>
    <t>TeamNewPipe-NewPipe-7696</t>
  </si>
  <si>
    <t>Crash report ( java.lang.SecurityException ) despite successful file download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</si>
  <si>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Download video_x000D_
2  Go to Downloads in Settings_x000D_
3  Select video_x000D_
4  Crash report_x000D_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Can not open video file from within NewPipe app although it is confirmedly present in Internal Storage Downloads  The file itself is fine and opening well in other apps _x000D_
_x000D_
_x000D_
_x000D_
    Expected behavior_x000D_
     Tell us what you expect to happen     _x000D_
Access youtube like videos in app for clarity _x000D_
_x000D_
  Note:_x000D_
There was a similar issue  Crash  7285 opened on 20 Oct 2021 and closed on 04 Nov 2021 due to lack of response from the author when requested for more information _x000D_
Consequently it had no follow up  suggested fix  nor can I add any comment to it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GB_x000D_
    Content Language:   en GB_x000D_
    App Language:   en GB_x000D_
    Service:   none_x000D_
    Version:   0 21 15_x000D_
    OS:   Linux Android 11   30_x000D_
 details  summary  b Crash log   b   summary  p _x000D_
_x000D_
   _x000D_
java lang SecurityException: UID 10332 does not have permission to content:  com android providers downloads documents document 219  user 0   prefix   you could obtain access using ACTION OPEN DOCUMENT or related APIs_x000D_
	at android os Parcel createExceptionOrNull(Parcel java:2376)_x000D_
	at android os Parcel createException(Parcel java:2360)_x000D_
	at android os Parcel readException(Parcel java:2343)_x000D_
	at android os Parcel readException(Parcel java:2285)_x000D_
	at android app IActivityTaskManager Stub Proxy startActivity(IActivityTaskManager java:3939)_x000D_
	at android app Instrumentation execStartActivity(Instrumentation java:1733)_x000D_
	at android app Activity startActivityForResult(Activity java:5444)_x000D_
	at androidx activity ComponentActivity startActivityForResult(ComponentActivity java:597)_x000D_
	at android app Activity startActivityForResult(Activity java:5395)_x000D_
	at androidx activity ComponentActivity startActivityForResult(ComponentActivity java:583)_x000D_
	at android app Activity startActivity(Activity java:5795)_x000D_
	at android app Activity startActivity(Activity java:5748)_x000D_
	at org schabi newpipe util external communication ShareUtils openIntentInApp(ShareUtils java:144)_x000D_
	at us shandian giga ui adapter MissionAdapter viewWithFileProvider(MissionAdapter java:363)_x000D_
	at us shandian giga ui adapter MissionAdapter access 300(MissionAdapter java:91)_x000D_
	at us shandian giga ui adapter MissionAdapter ViewHolderItem lambda new 1(MissionAdapter java:903)_x000D_
	at us shandian giga ui adapter MissionAdapter ViewHolderItem  r8 lambda PAQE6UWV 7gFHr9RCCIksMCusOo(Unknown Source:0)_x000D_
	at us shandian giga ui adapter MissionAdapter ViewHolderItem  ExternalSyntheticLambda0 onClick(Unknown Source:2)_x000D_
	at android view View performClick(View java:7509)_x000D_
	at android view View performClickInternal(View java:7486)_x000D_
	at android view View access 3600(View java:841)_x000D_
	at android view View PerformClick run(View java:28720)_x000D_
	at android os Handler handleCallback(Handler java:938)_x000D_
	at android os Handler dispatchMessage(Handler java:99)_x000D_
	at android os Looper loop(Looper java:236)_x000D_
	at android app ActivityThread main(ActivityThread java:8059)_x000D_
	at java lang reflect Method invoke(Native Method)_x000D_
	at com android internal os RuntimeInit MethodAndArgsCaller run(RuntimeInit java:656)_x000D_
	at com android internal os ZygoteInit main(ZygoteInit java:967)_x000D_
Caused by: android os RemoteException: Remote stack trace:_x000D_
	at com android server uri UriGrantsManagerService checkGrantUriPermissionUnlocked(UriGrantsManagerService java:1249)_x000D_
	at com android server uri UriGrantsManagerService checkGrantUriPermissionFromIntentUnlocked(UriGrantsManagerService java:618)_x000D_
	at com android server uri UriGrantsManagerService access 1000(UriGrantsManagerService java:118)_x000D_
	at com android server uri UriGrantsManagerService LocalService checkGrantUriPermissionFromIntent(UriGrantsManagerService java:1422)_x000D_
	at com android server wm ActivityStarter Request resolveActivity(ActivityStarter java:564)_x000D_
_x000D_
_x000D_
   _x000D_
  details _x000D_
 hr _x000D_
_x000D_
_x000D_
_x000D_
_x000D_
     Please fill this section if you did not provide a log generated by NewPipe    _x000D_
_x000D_
    Device info_x000D_
_x000D_
   Android 11   MIUI Global 12 5 6_x000D_
   Device model: M2101K6G_x000D_
</t>
  </si>
  <si>
    <t>androidx-constraintlayout-500</t>
  </si>
  <si>
    <t>[since 2.1.0] NoSuchMethodError:   No virtual method getViewWidget</t>
  </si>
  <si>
    <t xml:space="preserve">my app works depend on an third party library_x000D_
_x000D_
the library is   NOT   developed with AndroidX _x000D_
_x000D_
so I have this config in my  gradle properties _x000D_
_x000D_
 android useAndroidX true _x000D_
 android enableJetifier true _x000D_
_x000D_
both my app and the library use  ConstraintLayout    so I also have an dependency in  app build gradle _x000D_
_x000D_
 implementation  androidx constraintlayout:constraintlayout:2 0 4  _x000D_
_x000D_
    _x000D_
_x000D_
here is the problem     _x000D_
I ve tried many times and found that : _x000D_
when I use version  2 0 4 or lower    everything works well_x000D_
but when I use version  2 1 0 or higher    the crash happens _x000D_
_x000D_
_x000D_
 java lang NoSuchMethodError: No virtual method getViewWidget(Landroid view View )Landroidx constraintlayout solver widgets ConstraintWidget  in class Landroidx constraintlayout widget ConstraintLayout  or its super classes (declaration of  androidx constraintlayout widget ConstraintLayout  appears in  data app   v1a0Bi1CmvvfZ2ykmN94CA   com example sdkdemo 9coDvBRn03a 3DEvbJE6Dg   base apk)_x000D_
        at com douyu livesdk floatUI planB FloatPlayerView a(SourceFile:636)_x000D_
        at com douyu livesdk floatUI planB FloatPlayerView a(SourceFile:161)_x000D_
        at com douyu livesdk floatUI items RoomItemHolder 1 onClick(SourceFile:76)_x000D_
_x000D_
_x000D_
I find out the soure code in library and the log located on this line _x000D_
_x000D_
 rootView getViewWidget(playerView) setDimensionRatio( W 16:9 ) _x000D_
_x000D_
 rootView  is instance of ConstraitLayout_x000D_
_x000D_
   _x000D_
I have no idea except to rollback the version of ConstraintLayout to 2 0 4 _x000D_
_x000D_
I read  up the change log on Wiki but find nothing about it _x000D_
 _x000D_
so I think this might be a   BUG  _x000D_
_x000D_
or if there is some other solutions for my issue  _x000D_
_x000D_
_x000D_
</t>
  </si>
  <si>
    <t>deepjavalibrary-djl-1480</t>
  </si>
  <si>
    <t>JVM warning for disabling stack guard when running with torch native 1.10.0</t>
  </si>
  <si>
    <t xml:space="preserve">   Description_x000D_
   _x000D_
 ERROR  OpenJDK 64 Bit Server VM warning: You have loaded library  root  djl ai pytorch 1 10 0 20220111 cpu linux x86 64 libtorch cpu so which might have disabled stack guard  The VM will try to fix the stack guard now _x000D_
 ERROR  It s highly recommended that you fix the library with  execstack  c  libfile    or link it with   z noexecstack  _x000D_
   _x000D_
_x000D_
    Expected Behavior_x000D_
This message doesn t appear with torch native 1 9 1 _x000D_
_x000D_
    Error Message_x000D_
See above  It doesn t seem to cause crash for me so far and I m not entirely sure about the implications of this warning  but looks like something important enough to look into_x000D_
_x000D_
   How to Reproduce _x000D_
Run pytorch engine with djl 0 15 0 and pytorch native 1 10 0 on linux cpu_x000D_
_x000D_
   What have you tried to solve it _x000D_
_x000D_
Nothing so far  looks like an issue with the native library _x000D_
_x000D_
   Environment Info_x000D_
_x000D_
Please run the command    gradlew debugEnv  from the root directory of DJL (if necessary  clone DJL first)  It will output information about your system  environment  and installation that can help us debug your issue  Paste the output of the command below:_x000D_
_x000D_
   _x000D_
                Hardware               _x000D_
Available processors (cores): 4_x000D_
Byte Order: LITTLE ENDIAN_x000D_
Free memory (bytes): 210618976_x000D_
Maximum memory (bytes): 3663200256_x000D_
Total memory available to JVM (bytes): 247463936_x000D_
Heap committed: 247463936_x000D_
Heap nonCommitted: 30212096_x000D_
GCC: _x000D_
gcc (Ubuntu 9 3 0 17ubuntu1 20 04) 9 3 0_x000D_
Copyright (C) 2019 Free Software Foundation  Inc _x000D_
This is free software  see the source for copying conditions   There is NO_x000D_
warranty  not even for MERCHANTABILITY or FITNESS FOR A PARTICULAR PURPOSE _x000D_
   _x000D_
</t>
  </si>
  <si>
    <t>PojavLauncherTeam-PojavLauncher-2604</t>
  </si>
  <si>
    <t>[Bug] crash when using a ps4 controller instantly.</t>
  </si>
  <si>
    <t xml:space="preserve">    Describe the bug_x000D_
_x000D_
java lang NullPointerException: Attempt to invoke virtual method  void java lang reflect Field setInt(java lang Object  int)  on a null object reference_x000D_
	at net kdt pojavlaunch customcontrols gamepad GamepadDpad setDummyEventKeycode(GamepadDpad java:76)_x000D_
	at net kdt pojavlaunch customcontrols gamepad GamepadDpad convertEvent(GamepadDpad java:67)_x000D_
	at net kdt pojavlaunch customcontrols gamepad Gamepad update(Gamepad java:158)_x000D_
	at net kdt pojavlaunch BaseMainActivity dispatchGenericMotionEvent(BaseMainActivity java:593)_x000D_
	at androidx appcompat view WindowCallbackWrapper dispatchGenericMotionEvent(WindowCallbackWrapper java:79)_x000D_
	at com android internal policy DecorView dispatchGenericMotionEvent(DecorView java:958)_x000D_
	at android view ViewRootImpl ViewPostImeInputStage processGenericMotionEvent(ViewRootImpl java:7724)_x000D_
	at android view ViewRootImpl ViewPostImeInputStage onProcess(ViewRootImpl java:7442)_x000D_
	at android view ViewRootImpl InputStage deliver(ViewRootImpl java:6773)_x000D_
	at android view ViewRootImpl InputStage onDeliverToNext(ViewRootImpl java:6830)_x000D_
	at android view ViewRootImpl InputStage forward(ViewRootImpl java:6796)_x000D_
	at android view ViewRootImpl AsyncInputStage forward(ViewRootImpl java:6994)_x000D_
	at android view ViewRootImpl InputStage apply(ViewRootImpl java:6804)_x000D_
	at android view ViewRootImpl AsyncInputStage apply(ViewRootImpl java:7051)_x000D_
	at android view ViewRootImpl InputStage deliver(ViewRootImpl java:6777)_x000D_
	at android view ViewRootImpl InputStage onDeliverToNext(ViewRootImpl java:6830)_x000D_
	at android view ViewRootImpl InputStage forward(ViewRootImpl java:6796)_x000D_
	at android view ViewRootImpl InputStage apply(ViewRootImpl java:6804)_x000D_
	at android view ViewRootImpl InputStage deliver(ViewRootImpl java:6777)_x000D_
	at android view ViewRootImpl InputStage onDeliverToNext(ViewRootImpl java:6830)_x000D_
	at android view ViewRootImpl InputStage forward(ViewRootImpl java:6796)_x000D_
	at android view ViewRootImpl AsyncInputStage forward(ViewRootImpl java:7027)_x000D_
	at android view ViewRootImpl ImeInputStage onFinishedInputEvent(ViewRootImpl java:7214)_x000D_
	at android view inputmethod InputMethodManager PendingEvent run(InputMethodManager java:3387)_x000D_
	at android view inputmethod InputMethodManager invokeFinishedInputEventCallback(InputMethodManager java:2948)_x000D_
	at android view inputmethod InputMethodManager finishedInputEvent(InputMethodManager java:2939)_x000D_
	at android view inputmethod InputMethodManager ImeInputEventSender onInputEventFinished(InputMethodManager java:3364)_x000D_
	at android view InputEventSender dispatchInputEventFinished(InputEventSender java:154)_x000D_
	at android os MessageQueue nativePollOnce(Native Method)_x000D_
	at android os MessageQueue next(MessageQueue java:335)_x000D_
	at android os Looper loopOnce(Looper java:186)_x000D_
	at android os Looper loop(Looper java:313)_x000D_
	at android app ActivityThread main(ActivityThread java:8582)_x000D_
	at java lang reflect Method invoke(Native Method)_x000D_
	at com android internal os RuntimeInit MethodAndArgsCaller run(RuntimeInit java:563)_x000D_
	at com android internal os ZygoteInit main(ZygoteInit java:1133)_x000D_
_x000D_
_x000D_
    The log file and images videos_x000D_
_x000D_
https:  linksharing samsungcloud com kHkoDdDVXHnx_x000D_
_x000D_
    Steps To Reproduce_x000D_
_x000D_
   markdown_x000D_
I loaded 1 18 1 optifine with a ps4 controller connected started it up then while in main screen or in any screen press or push the analog on your ps4 controller and it instantly crashes the game _x000D_
   _x000D_
_x000D_
_x000D_
    Expected Behavior_x000D_
_x000D_
I expected to see that I was able to use a controller like I would on mobile but if you guys and girls can t fix this it s ok you have good enough to this community already _x000D_
_x000D_
    Platform_x000D_
_x000D_
   markdown_x000D_
  Device model: S21 plus 128G_x000D_
  CPU architecture: aarch64_x000D_
  Android version: 12_x000D_
  PojavLauncher version: Latest Release    version v3 3 1 1 _x000D_
   _x000D_
_x000D_
_x000D_
    Anything else _x000D_
_x000D_
 No response </t>
  </si>
  <si>
    <t>TacoTheDank-Scoop-45</t>
  </si>
  <si>
    <t>TransactionTooLargeException when navigate from apps list to individual app crashes list</t>
  </si>
  <si>
    <t xml:space="preserve">    Steps to reproduce_x000D_
1  Have a large list of crashes _x000D_
2  Open the Scoop app _x000D_
3  Can see the apps list _x000D_
4  Navigate to the list of crashes of any app _x000D_
_x000D_
    Expected behavior_x000D_
Can see the list of crashes of the selected app _x000D_
_x000D_
    Actual behavior_x000D_
Crash:_x000D_
_x000D_
   _x000D_
E AndroidRuntime: java lang RuntimeException: android os TransactionTooLargeException: data parcel size 1094132 bytes_x000D_
E AndroidRuntime:        at android app ActivityClient activityStopped(ActivityClient java:87)_x000D_
E AndroidRuntime:        at android app servertransaction PendingTransactionActions StopInfo run(PendingTransactionActions java:143)_x000D_
E AndroidRuntime:        at android os Handler handleCallback(Handler java:938)_x000D_
E AndroidRuntime:        at android os Handler dispatchMessage(Handler java:99)_x000D_
E AndroidRuntime:        at android os Looper loopOnce(Looper java:201)_x000D_
E AndroidRuntime:        at android os Looper loop(Looper java:288)_x000D_
E AndroidRuntime:        at android app ActivityThread main(ActivityThread java:7842)_x000D_
E AndroidRuntime:        at java lang reflect Method invoke(Native Method)_x000D_
E AndroidRuntime:        at com android internal os RuntimeInit MethodAndArgsCaller run(RuntimeInit java:548)_x000D_
E AndroidRuntime:        at com android internal os ZygoteInit main(ZygoteInit java:1003)_x000D_
E AndroidRuntime: Caused by: android os TransactionTooLargeException: data parcel size 1094132 bytes_x000D_
E AndroidRuntime:        at android os BinderProxy transactNative(Native Method)_x000D_
E AndroidRuntime:        at android os BinderProxy transact(BinderProxy java:571)_x000D_
E AndroidRuntime:        at android app IActivityClientController Stub Proxy activityStopped(IActivityClientController java:1315)_x000D_
E AndroidRuntime:        at android app ActivityClient activityStopped(ActivityClient java:84)_x000D_
E AndroidRuntime:            9 more_x000D_
   _x000D_
_x000D_
    Reproduction Rate_x000D_
100 _x000D_
_x000D_
    Workaround_x000D_
Clear the crashes history </t>
  </si>
  <si>
    <t>TeamNewPipe-NewPipe-7687</t>
  </si>
  <si>
    <t>The app closes itself within seconds, every time I open it .</t>
  </si>
  <si>
    <t xml:space="preserve">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app closes itself after opening within a matter of seconds_x000D_
_x000D_
_x000D_
    Expected behavior_x000D_
     Tell us what you expect to happen     To function as usual and play the video that I choose flawlessly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This happens every time I open this app _x000D_
   Exception_x000D_
    User Action:   ui error_x000D_
    Request:   ACRA report_x000D_
    Content Country:   IN_x000D_
    Content Language:   en IN_x000D_
    App Language:   en IN_x000D_
    Service:   none_x000D_
    Version:   0 21 15_x000D_
    OS:   Linux Android 7 0   24_x000D_
 details  summary  b Crash log   b   summary  p _x000D_
_x000D_
   _x000D_
java lang RuntimeException: Unable to destroy activity  org schabi newpipe org schabi newpipe MainActivity : java lang NullPointerException: Attempt to invoke interface method  void android view IWindowSession performDeferredDestroy(android view IWindow)  on a null object reference_x000D_
	at android app ActivityThread performDestroyActivity(ActivityThread java:4167)_x000D_
	at android app ActivityThread handleDestroyActivity(ActivityThread java:4185)_x000D_
	at android app ActivityThread handleRelaunchActivity(ActivityThread java:4459)_x000D_
	at android app ActivityThread  wrap19(ActivityThread java)_x000D_
	at android app ActivityThread H handleMessage(ActivityThread java:1466)_x000D_
	at android os Handler dispatchMessage(Handler java:102)_x000D_
	at android os Looper loop(Looper java:154)_x000D_
	at android app ActivityThread main(ActivityThread java:6077)_x000D_
	at java lang reflect Method invoke(Native Method)_x000D_
	at com android internal os ZygoteInit MethodAndArgsCaller run(ZygoteInit java:865)_x000D_
	at com android internal os ZygoteInit main(ZygoteInit java:755)_x000D_
Caused by: java lang NullPointerException: Attempt to invoke interface method  void android view IWindowSession performDeferredDestroy(android view IWindow)  on a null object reference_x000D_
	at android view SurfaceView updateWindow(SurfaceView java:658)_x000D_
	at android view SurfaceView onWindowVisibilityChanged(SurfaceView java:255)_x000D_
	at android view View dispatchDetachedFromWindow(View java:15437)_x000D_
	at android view ViewGroup dispatchDetachedFromWindow(ViewGroup java:3222)_x000D_
	at android view ViewGroup dispatchDetachedFromWindow(ViewGroup java:3222)_x000D_
	at android view ViewGroup dispatchDetachedFromWindow(ViewGroup java:3222)_x000D_
	at android view ViewGroup dispatchDetachedFromWindow(ViewGroup java:3222)_x000D_
	at android view ViewGroup dispatchDetachedFromWindow(ViewGroup java:3222)_x000D_
	at android view ViewGroup dispatchDetachedFromWindow(ViewGroup java:3222)_x000D_
	at android view ViewGroup dispatchDetachedFromWindow(ViewGroup java:3222)_x000D_
	at android view ViewGroup removeViewInternal(ViewGroup java:4758)_x000D_
	at android view ViewGroup removeViewInternal(ViewGroup java:4732)_x000D_
	at android view ViewGroup removeView(ViewGroup java:4663)_x000D_
	at androidx fragment app FragmentContainerView removeView(FragmentContainerView java:350)_x000D_
	at androidx fragment app SpecialEffectsController Operation State applyState(SpecialEffectsController java:452)_x000D_
	at androidx fragment app SpecialEffectsController 1 run(SpecialEffectsController java:211)_x000D_
	at androidx fragment app SpecialEffectsController Operation complete(SpecialEffectsController java:695)_x000D_
	at androidx fragment app SpecialEffectsController FragmentStateManagerOperation complete(SpecialEffectsController java:744)_x000D_
	at androidx fragment app SpecialEffectsController Operation cancel(SpecialEffectsController java:597)_x000D_
	at androidx fragment app SpecialEffectsController forceCompleteAllOperations(SpecialEffectsController java:332)_x000D_
	at androidx fragment app FragmentManager dispatchStateChange(FragmentManager java:3132)_x000D_
	at androidx fragment app FragmentManager dispatchDestroy(FragmentManager java:3107)_x000D_
	at androidx fragment app FragmentController dispatchDestroy(FragmentController java:334)_x000D_
	at androidx fragment app FragmentActivity onDestroy(FragmentActivity java:330)_x000D_
	at androidx appcompat app AppCompatActivity onDestroy(AppCompatActivity java:278)_x000D_
	at org schabi newpipe MainActivity onDestroy(MainActivity java:446)_x000D_
	at android app Activity performDestroy(Activity java:6907)_x000D_
	at android app Instrumentation callActivityOnDestroy(Instrumentation java:1154)_x000D_
	at android app ActivityThread performDestroyActivity(ActivityThread java:4154)_x000D_
	    10 more_x000D_
_x000D_
   _x000D_
  details _x000D_
 hr _x000D_
_x000D_
_x000D_
     That s right  here     _x000D_
_x000D_
_x000D_
_x000D_
     Please fill this section if you did not provide a log generated by NewPipe    _x000D_
_x000D_
    Device info_x000D_
_x000D_
   Android version Custom ROM version:_x000D_
   Device model:_x000D_
</t>
  </si>
  <si>
    <t>nextcloud-android-9730</t>
  </si>
  <si>
    <t>Nextcloud  client crash android</t>
  </si>
  <si>
    <t xml:space="preserve">    Steps to reproduce_x000D_
1  Open Nextcloud client 3 18 1_x000D_
2  Choose Einstellungen or Benachrichtigungen or Upload_x000D_
3  Nextcloud client crashes with error_x000D_
_x000D_
_x000D_
    Expected behaviour_x000D_
  subtopic menu should open and you can choose a parameter_x000D_
_x000D_
    Actual behaviour_x000D_
  crashes and aborts with error:_x000D_
_x000D_
java lang RuntimeException: android os TransactionTooLargeException: data parcel size 1911728 bytes_x000D_
	at android app ActivityClient activityStopped(ActivityClient java:86)_x000D_
	at android app servertransaction PendingTransactionActions StopInfo run(PendingTransactionActions java:143)_x000D_
	at android os Handler handleCallback(Handler java:938)_x000D_
	at android os Handler dispatchMessage(Handler java:99)_x000D_
	at android os Looper loopOnce(Looper java:226)_x000D_
	at android os Looper loop(Looper java:313)_x000D_
	at android app ActivityThread main(ActivityThread java:8633)_x000D_
	at java lang reflect Method invoke(Native Method)_x000D_
	at com android internal os RuntimeInit MethodAndArgsCaller run(RuntimeInit java:567)_x000D_
	at com android internal os ZygoteInit main(ZygoteInit java:1133)_x000D_
Caused by: android os TransactionTooLargeException: data parcel size 1911728 bytes_x000D_
	at android os BinderProxy transactNative(Native Method)_x000D_
	at android os BinderProxy transact(BinderProxy java:635)_x000D_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12_x000D_
Device model: _x000D_
Samsung Galaxsy S10 SM G973F DS_x000D_
Stock or customized system:_x000D_
_x000D_
Nextcloud app version:_x000D_
3 18 1_x000D_
Nextcloud server version:_x000D_
23 0 0 1_x000D_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</si>
  <si>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MuntashirAkon-AppManager-658</t>
  </si>
  <si>
    <t>Crash while installing an app</t>
  </si>
  <si>
    <t xml:space="preserve">    _x000D_
Your issue will be closed without warning if you don t check at least two items _x000D_
   _x000D_
   x  I know what my device  OS and App Manager versions are_x000D_
   x  I know how to take logs_x000D_
      I know how to reproduce the issue which may not be specific to my device_x000D_
_x000D_
  Describe the bug  _x000D_
Crash while updating an app from F Droid app  Intermittent crash _x000D_
_x000D_
  Crash logs  _x000D_
   _x000D_
java lang IllegalArgumentException: ApkFile not found for key  1561787060_x000D_
    at io github muntashirakon AppManager apk ApkFile getInstance(ApkFile java:89)_x000D_
    at io github muntashirakon AppManager apk installer PackageInstallerService onHandleIntent(PackageInstallerService java:125)_x000D_
    at io github muntashirakon AppManager types ForegroundService ServiceHandler handleMessage(ForegroundService java:40)_x000D_
    at android os Handler dispatchMessage(Handler java:106)_x000D_
    at android os Looper loop(Looper java:164)_x000D_
    at android os HandlerThread run(HandlerThread java:65)_x000D_
   _x000D_
_x000D_
 details _x000D_
   summary Device Info  summary _x000D_
_x000D_
App version: 2 6 5 1_x000D_
App version code: 397_x000D_
Android build version: 8704X S001025 190606 ROW_x000D_
Android release version: 8 1 0_x000D_
Android SDK version: 27_x000D_
Android build ID: TB 8704X S001025 190606 ROW_x000D_
Device brand: Lenovo_x000D_
Device manufacturer: LENOVO_x000D_
Device name: TB 8704X_x000D_
Device model: Lenovo TB 8704X_x000D_
Device product name: TB 8704X_x000D_
Device hardware name: qcom_x000D_
ABIs:  arm64 v8a  armeabi v7a  armeabi _x000D_
ABIs (32bit):  armeabi v7a  armeabi _x000D_
ABIs (64bit):  arm64 v8a _x000D_
System language: en IN_x000D_
In App Language: auto_x000D_
Mode: auto</t>
  </si>
  <si>
    <t>Anuken-Mindustry-6519</t>
  </si>
  <si>
    <t xml:space="preserve">Crash on startup </t>
  </si>
  <si>
    <t xml:space="preserve">  Platform  :_x000D_
 Chromebook (Not from playstore) Though technically Linux_x000D_
_x000D_
  Build  :_x000D_
   135 pre alpha  _x000D_
_x000D_
  Issue  : _x000D_
Missing a shared library libsdl arc64 so_x000D_
_x000D_
  Steps to reproduce  :_x000D_
 java  jar Mindustry jar _x000D_
with jdk   16_x000D_
_x000D_
  Link(s) to mod(s) used  :_x000D_
  NA  _x000D_
_x000D_
  (Crash) logs  :_x000D_
 crash report txt (https:  github com Anuken Mindustry files 7919024 crash report txt)_x000D_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Anuken Mindustry issues 5783  _x000D_
  similar issue reported here  but for a previous version  Not sure if it still applies </t>
  </si>
  <si>
    <t>VishnuSanal-DialogMusicPlayer-14</t>
  </si>
  <si>
    <t>Shortcut specific crashes</t>
  </si>
  <si>
    <t xml:space="preserve">  Describe the bug  _x000D_
Shortcut created using  AppManager (https:  github com MuntashirAkon AppManager)  _x000D_
  IMG 20220122 220016 838 (https:  user images githubusercontent com 48226312 150647150 a19013d8 8a39 4143 8a07 6a949e239a69 jpg)_x000D_
_x000D_
  To Reproduce  _x000D_
Steps to reproduce the behavior:_x000D_
1  Click on main activity shortcut_x000D_
2  Either click on device  back  from device navigation bar or click  Quit _x000D_
_x000D_
  Crash logs  _x000D_
   _x000D_
FATAL EXCEPTION: main_x000D_
Process: phone vishnu dialogmusicplayer  PID: 8854_x000D_
java lang NullPointerException: Attempt to invoke virtual method  void android media MediaPlayer release()  on a null object reference_x000D_
 at phone vishnu dialogmusicplayer MainActivity onBackPressed(:2)_x000D_
 at android app Activity onKeyUp(Activity java:2994)_x000D_
 at android view KeyEvent dispatch(KeyEvent java:2726)_x000D_
 at h0 e b(:3)_x000D_
 at x e dispatchKeyEvent(Unknown Source:18)_x000D_
 at d h dispatchKeyEvent(Unknown Source:10)_x000D_
 at d k d dispatchKeyEvent(:1)_x000D_
 at com android internal policy DecorView dispatchKeyEvent(DecorView java:354)_x000D_
 at android view ViewRootImpl ViewPostImeInputStage processKeyEvent(ViewRootImpl java:4747)_x000D_
 at android view ViewRootImpl ViewPostImeInputStage onProcess(ViewRootImpl java:4619)_x000D_
 at android view ViewRootImpl InputStage deliver(ViewRootImpl java:4161)_x000D_
 at android view ViewRootImpl InputStage onDeliverToNext(ViewRootImpl java:4214)_x000D_
 at android view ViewRootImpl InputStage forward(ViewRootImpl java:4180)_x000D_
 at android view ViewRootImpl AsyncInputStage forward(ViewRootImpl java:4307)_x000D_
 at android view ViewRootImpl InputStage apply(ViewRootImpl java:4188)_x000D_
 at android view ViewRootImpl AsyncInputStage apply(ViewRootImpl java:4364)_x000D_
 at android view ViewRootImpl InputStage deliver(ViewRootImpl java:4161)_x000D_
 at android view ViewRootImpl InputStage onDeliverToNext(ViewRootImpl java:4214)_x000D_
 at android view ViewRootImpl InputStage forward(ViewRootImpl java:4180)_x000D_
 at android view ViewRootImpl InputStage apply(ViewRootImpl java:4188)_x000D_
 at android view ViewRootImpl InputStage deliver(ViewRootImpl java:4161)_x000D_
 at android view ViewRootImpl InputStage onDeliverToNext(ViewRootImpl java:4214)_x000D_
 at android view ViewRootImpl InputStage forward(ViewRootImpl java:4180)_x000D_
 at android view ViewRootImpl AsyncInputStage forward(ViewRootImpl java:4340)_x000D_
 at android view ViewRootImpl ImeInputStage onFinishedInputEvent(ViewRootImpl java:4501)_x000D_
 at android view inputmethod InputMethodManager PendingEvent run(InputMethodManager java:2435)_x000D_
 at android view inputmethod InputMethodManager invokeFinishedInputEventCallback(InputMethodManager java:1998)_x000D_
 at android view inputmethod InputMethodManager finishedInputEvent(InputMethodManager java:1989)_x000D_
 at android view inputmethod InputMethodManager ImeInputEventSender onInputEventFinished(InputMethodManager java:2412)_x000D_
 at android view InputEventSender dispatchInputEventFinished(InputEventSender java:141)_x000D_
 at android os MessageQueue nativePollOnce(Native Method)_x000D_
 at android os MessageQueue next(MessageQueue java:325)_x000D_
 at android os Looper loop(Looper java:142)_x000D_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_x000D_
   _x000D_
Another related crash_x000D_
_x000D_
  To Reproduce  _x000D_
Steps to reproduce the behavior:_x000D_
1  Click on main activity shortcut_x000D_
2  Click on  play _x000D_
_x000D_
  Crash logs  _x000D_
   _x000D_
FATAL EXCEPTION: main_x000D_
Process: phone vishnu dialogmusicplayer  PID: 8689_x000D_
java lang NullPointerException: Attempt to invoke virtual method  boolean android media MediaPlayer isPlaying()  on a null object reference_x000D_
 at z1 a onClick(:1)_x000D_
 at android view View performClick(View java:6294)_x000D_
 at android view View PerformClick run(View java:24774)_x000D_
 at android os Handler handleCallback(Handler java:790)_x000D_
 at android os Handler dispatchMessage(Handler java:99)_x000D_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t>
  </si>
  <si>
    <t>Anuken-Mindustry-6516</t>
  </si>
  <si>
    <t>Banned units are able to be made using logic</t>
  </si>
  <si>
    <t xml:space="preserve">  Platform  :  Android iOS Mac Windows Linux _x000D_
Windows 11 64bit_x000D_
  Build  :  The build number under the title in the main menu  Required   LATEST  IS NOT A VERSION  I NEED THE EXACT BUILD NUMBER OF YOUR GAME  _x000D_
v135 pre alpha_x000D_
  Issue  :  Explain your issue in detail  _x000D_
Banned units can be made by using logic to force an lower tier unit into reconstructor _x000D_
  Steps to reproduce  :  How you happened across the issue  and what exactly you did to make the bug happen  _x000D_
  open the game_x000D_
  edit a map  banning horizon or any other unit_x000D_
  play the map_x000D_
  use logic (payEnter function)_x000D_
  Link(s) to mod(s) used  :  The mod repositories or zip files that are related to the issue  if applicable  _x000D_
None_x000D_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bug zip (https:  github com Anuken Mindustry files 7918161 bug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</si>
  <si>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itsaky-AndroidIDE-59</t>
  </si>
  <si>
    <t>AndroidIdE crashed trying to open Terminal</t>
  </si>
  <si>
    <t xml:space="preserve">   _x000D_
AndroidIDE crash report_x000D_
Manufacturer: samsung_x000D_
Device: SM A115F_x000D_
App version: 2 0 beta (200)_x000D_
OS: Android 11_x000D_
_x000D_
Stacktrace: _x000D_
android system ErrnoException: open failed: EACCES (Permission denied)_x000D_
	at libcore io Linux open(Native Method)_x000D_
	at libcore io ForwardingOs open(ForwardingOs java:166)_x000D_
	at libcore io BlockGuardOs open(BlockGuardOs java:254)_x000D_
	at libcore io ForwardingOs open(ForwardingOs java:166)_x000D_
	at android app ActivityThread AndroidOs open(ActivityThread java:8373)_x000D_
	at libcore io IoBridge open(IoBridge java:478)_x000D_
 Caused by: java io FileNotFoundException:  data data com itsaky androidide files sysroot bin less: open failed: EACCES (Permission denied)_x000D_
	at libcore io IoBridge open(IoBridge java:492)_x000D_
	at java io FileOutputStream  init (FileOutputStream java:236)_x000D_
	at java io FileOutputStream  init (FileOutputStream java:186)_x000D_
	at com itsaky androidide utils BootstrapInstaller lambda doInstall 0(BootstrapInstaller java:121)_x000D_
 Caused by: java lang RuntimeException: java io FileNotFoundException:  data data com itsaky androidide files sysroot bin less: open failed: EACCES (Permission denied)_x000D_
	at com itsaky androidide utils BootstrapInstaller lambda doInstall 0(BootstrapInstaller java:165)_x000D_
	at com itsaky androidide utils BootstrapInstaller  ExternalSyntheticLambda0 run(Unknown Source:4)_x000D_
	at java util concurrent CompletableFuture AsyncRun run(CompletableFuture java:1663)_x000D_
 Caused by: java util concurrent CompletionException: java lang RuntimeException: java io FileNotFoundException:  data data com itsaky androidide files sysroot bin less: open failed: EACCES (Permission denied)_x000D_
	at java util concurrent CompletableFuture encodeThrowable(CompletableFuture java:278)_x000D_
	at java util concurrent CompletableFuture completeThrowable(CompletableFuture java:284)_x000D_
	at java util concurrent CompletableFuture AsyncRun run(CompletableFuture java:1666)_x000D_
	at java util concurrent CompletableFuture AsyncRun exec(CompletableFuture java:1655)_x000D_
	at java util concurrent ForkJoinTask doExec(ForkJoinTask java:285)_x000D_
	at java util concurrent ForkJoinPool WorkQueue runTask(ForkJoinPool java:1155)_x000D_
	at java util concurrent ForkJoinPool scan(ForkJoinPool java:1993)_x000D_
	at java util concurrent ForkJoinPool runWorker(ForkJoinPool java:1941)_x000D_
	at java util concurrent ForkJoinWorkerThread run(ForkJoinWorkerThread java:157)_x000D_
   </t>
  </si>
  <si>
    <t>TeamNewPipe-NewPipe-7675</t>
  </si>
  <si>
    <t xml:space="preserve">Unrecoverable player error occurs!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</si>
  <si>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When you tap the full screen button on the pop up mode it opens the app and tries to go to full screen but it fails and gets stuck in a weird way with a notice saying that  unrecoverable player error occurred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Play any video in pop up mode  then press the icon with the square on it to go to the full screen player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App locks down in horizontal mode and you can t do anything and it says  unrecoverable player error occurred  _x000D_
_x000D_
_x000D_
    Expected behavior_x000D_
     Tell us what you expect to happen     _x000D_
App should play the video in mini mode without glitching_x000D_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Recording in the reddit: _x000D_
_x000D_
https:  www reddit com r NewPipe comments s9fza2 why does it do this when i come back to app from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miui 12 5 5 0 global (RKHMIXM) _x000D_
   Device model: poco F3 (alioth) _x000D_
</t>
  </si>
  <si>
    <t>PojavLauncherTeam-PojavLauncher-2596</t>
  </si>
  <si>
    <t>[BUG] argument -Xbootclasspath/p is no longer supported (when installing mods)</t>
  </si>
  <si>
    <t xml:space="preserve">    Describe the bug
When trying to install optifine using the install option in options  the installation crashes with exit code 1 _x000D_
    The log file and images videos
Info: Java arguments:   Djava awt headless false   Dcacio managed screensize 2204x1080   Dcacio font fontmanager sun awt X11FontManager   Dcacio font fontscaler sun font FreetypeFontScaler   Dswing defaultlaf javax swing plaf metal MetalLookAndFeel   Dawt toolkit net java openjdk cacio ctc CTCToolkit   Djava awt graphicsenv net java openjdk cacio ctc CTCGraphicsEnvironment   Xbootclasspath p: storage emulated 0 Android data net kdt pojavlaunch files caciocavallo ResConfHack jar: storage emulated 0 Android data net kdt pojavlaunch files caciocavallo cacio androidnw 1 10 SNAPSHOT jar: storage emulated 0 Android data net kdt pojavlaunch files caciocavallo cacio shared 1 10 SNAPSHOT jar   jar   data user 0 net kdt pojavlaunch cache OptiFine 1 18 HD U H3 jar _x000D_
Added custom env: TMPDIR  data user 0 net kdt pojavlaunch cache_x000D_
Added custom env: AWTSTUB WIDTH 2204_x000D_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jre17 arm64 20210825 release tar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runtimes jre17 arm64 20210825 release tar xz lib jli: data user 0 net kdt pojavlaunch runtimes jre17 arm64 20210825 release tar xz lib: system lib64: vendor lib64: vendor lib64 hw: data app   UuJo0TGGn3xWDfItxec2Jw   net kdt pojavlaunch rSLOyPESVM8dTXKRs2vIpg   lib arm64_x000D_
Added custom env: MESA LOADER DRIVER OVERRIDE zink_x000D_
Added custom env: MESA GLSL VERSION OVERRIDE 460_x000D_
Added custom env: JAVA HOME  data user 0 net kdt pojavlaunch runtimes jre17 arm64 20210825 release tar xz_x000D_
Added custom env: MESA GL VERSION OVERRIDE 4 6_x000D_
Added custom env: allow glsl extension directive midshader true_x000D_
Added custom env: REGAL GL RENDERER Regal_x000D_
Added custom env: AWTSTUB HEIGHT 1080_x000D_
          beginning of main_x000D_
I jrelog  ( 9206): dlopen  data user 0 net kdt pojavlaunch runtimes jre17 arm64 20210825 release tar xz lib server libjvm so success_x000D_
I jrelog  ( 9206): dlopen  data user 0 net kdt pojavlaunch runtimes jre17 arm64 20210825 release tar xz lib libverify so success_x000D_
I jrelog  ( 9206): dlopen  data user 0 net kdt pojavlaunch runtimes jre17 arm64 20210825 release tar xz lib libjava so success_x000D_
I jrelog  ( 9206): dlopen  data user 0 net kdt pojavlaunch runtimes jre17 arm64 20210825 release tar xz lib libnet so success_x000D_
I jrelog  ( 9206): dlopen  data user 0 net kdt pojavlaunch runtimes jre17 arm64 20210825 release tar xz lib libnio so success_x000D_
I jrelog  ( 9206): dlopen  data user 0 net kdt pojavlaunch runtimes jre17 arm64 20210825 release tar xz lib libawt so success_x000D_
I jrelog  ( 9206): dlopen  data user 0 net kdt pojavlaunch runtimes jre17 arm64 20210825 release tar xz lib libawt headless so success_x000D_
I jrelog  ( 9206): dlopen  data user 0 net kdt pojavlaunch runtimes jre17 arm64 20210825 release tar xz lib libfreetype so success_x000D_
I jrelog  ( 9206): dlopen  data user 0 net kdt pojavlaunch runtimes jre17 arm64 20210825 release tar xz lib libfontmanager so success_x000D_
I jrelog  ( 9206): dlopen  data user 0 net kdt pojavlaunch runtimes jre17 arm64 20210825 release tar xz lib libawt so success_x000D_
I jrelog  ( 9206): dlopen  data user 0 net kdt pojavlaunch runtimes jre17 arm64 20210825 release tar xz lib server libjvm so success_x000D_
I jrelog  ( 9206): dlopen  data user 0 net kdt pojavlaunch runtimes jre17 arm64 20210825 release tar xz lib server libjsig so success_x000D_
I jrelog  ( 9206): dlopen  data user 0 net kdt pojavlaunch runtimes jre17 arm64 20210825 release tar xz lib libattach so success_x000D_
I jrelog  ( 9206): dlopen  data user 0 net kdt pojavlaunch runtimes jre17 arm64 20210825 release tar xz lib libjavajpeg so success_x000D_
I jrelog  ( 9206): dlopen  data user 0 net kdt pojavlaunch runtimes jre17 arm64 20210825 release tar xz lib libsyslookup so success_x000D_
I jrelog  ( 9206): dlopen  data user 0 net kdt pojavlaunch runtimes jre17 arm64 20210825 release tar xz lib libfontmanager so success_x000D_
I jrelog  ( 9206): dlopen  data user 0 net kdt pojavlaunch runtimes jre17 arm64 20210825 release tar xz lib libj2pcsc so success_x000D_
I jrelog  ( 9206): dlopen  data user 0 net kdt pojavlaunch runtimes jre17 arm64 20210825 release tar xz lib libmanagement so success_x000D_
I jrelog  ( 9206): dlopen  data user 0 net kdt pojavlaunch runtimes jre17 arm64 20210825 release tar xz lib libjaas so success_x000D_
I jrelog  ( 9206): dlopen  data user 0 net kdt pojavlaunch runtimes jre17 arm64 20210825 release tar xz lib libfreetype so success_x000D_
I jrelog  ( 9206): dlopen  data user 0 net kdt pojavlaunch runtimes jre17 arm64 20210825 release tar xz lib libjli so success_x000D_
I jrelog  ( 9206): dlopen  data user 0 net kdt pojavlaunch runtimes jre17 arm64 20210825 release tar xz lib libjimage so success_x000D_
I jrelog  ( 9206): dlopen  data user 0 net kdt pojavlaunch runtimes jre17 arm64 20210825 release tar xz lib libjsig so success_x000D_
I jrelog  ( 9206): dlopen  data user 0 net kdt pojavlaunch runtimes jre17 arm64 20210825 release tar xz lib libj2gss so success_x000D_
I jrelog  ( 9206): dlopen  data user 0 net kdt pojavlaunch runtimes jre17 arm64 20210825 release tar xz lib libnet so success_x000D_
I jrelog  ( 9206): dlopen  data user 0 net kdt pojavlaunch runtimes jre17 arm64 20210825 release tar xz lib libjava so success_x000D_
I jrelog  ( 9206): dlopen  data user 0 net kdt pojavlaunch runtimes jre17 arm64 20210825 release tar xz lib libnio so success_x000D_
I jrelog  ( 9206): dlopen  data user 0 net kdt pojavlaunch runtimes jre17 arm64 20210825 release tar xz lib libprefs so success_x000D_
I jrelog  ( 9206): dlopen  data user 0 net kdt pojavlaunch runtimes jre17 arm64 20210825 release tar xz lib libmanagement ext so success_x000D_
I jrelog  ( 9206): dlopen  data user 0 net kdt pojavlaunch runtimes jre17 arm64 20210825 release tar xz lib libj2pkcs11 so success_x000D_
I jrelog  ( 9206): dlopen  data user 0 net kdt pojavlaunch runtimes jre17 arm64 20210825 release tar xz lib libdt socket so success_x000D_
I jrelog  ( 9206): dlopen  data user 0 net kdt pojavlaunch runtimes jre17 arm64 20210825 release tar xz lib libjdwp so success_x000D_
I jrelog  ( 9206): dlopen  data user 0 net kdt pojavlaunch runtimes jre17 arm64 20210825 release tar xz lib libzip so success_x000D_
I jrelog  ( 9206): dlopen  data user 0 net kdt pojavlaunch runtimes jre17 arm64 20210825 release tar xz lib libsctp so success_x000D_
I jrelog  ( 9206): dlopen  data user 0 net kdt pojavlaunch runtimes jre17 arm64 20210825 release tar xz lib libmlib image so success_x000D_
I jrelog  ( 9206): dlopen  data user 0 net kdt pojavlaunch runtimes jre17 arm64 20210825 release tar xz lib libextnet so success_x000D_
I jrelog  ( 9206): dlopen  data user 0 net kdt pojavlaunch runtimes jre17 arm64 20210825 release tar xz lib libinstrument so success_x000D_
I jrelog  ( 9206): dlopen  data user 0 net kdt pojavlaunch runtimes jre17 arm64 20210825 release tar xz lib libmanagement agent so success_x000D_
I jrelog  ( 9206): dlopen  data user 0 net kdt pojavlaunch runtimes jre17 arm64 20210825 release tar xz lib librmi so success_x000D_
I jrelog  ( 9206): dlopen  data user 0 net kdt pojavlaunch runtimes jre17 arm64 20210825 release tar xz lib liblcms so success_x000D_
I jrelog  ( 9206): dlopen  data user 0 net kdt pojavlaunch runtimes jre17 arm64 20210825 release tar xz lib libjawt so success_x000D_
I jrelog  ( 9206): dlopen  data user 0 net kdt pojavlaunch runtimes jre17 arm64 20210825 release tar xz lib libverify so success_x000D_
I jrelog  ( 9206): dlopen  data user 0 net kdt pojavlaunch runtimes jre17 arm64 20210825 release tar xz lib libawt headless so success_x000D_
I jrelog  ( 9206): dlopen  data user 0 net kdt pojavlaunch runtimes jre17 arm64 20210825 release tar xz lib libawt xawt so success_x000D_
I jrelog  ( 9206): dlopen  data app   UuJo0TGGn3xWDfItxec2Jw   net kdt pojavlaunch rSLOyPESVM8dTXKRs2vIpg   lib arm64 libopenal so success_x000D_
I jrelog  ( 9206): Done processing args_x000D_
I jrelog  ( 9206): Found JLI lib_x000D_
I jrelog  ( 9206): Calling JLI Launch_x000D_
 Xbootclasspath p is no longer a supported option _x000D_
Error: Could not create the Java Virtual Machine _x000D_
Error: A fatal exception has occurred  Program will exit _x000D_
_x000D_
FORTIFY: pthread mutex lock called on a destroyed mutex (0x7464f3bd60)_x000D_
process killed with signal 6 code 0xffffffff addr 0x272c000023f6_x000D_
FORTIFY: pthread mutex lock called on a destroyed mutex (0x7464f3bcf8)_x000D_
process killed with signal 6 code 0xffffffff addr 0x272c000023f6 
    Steps To Reproduce
   markdown
No fresh pojav install: what I did before:_x000D_
1  Follow steps to get pojav to work on 1 18: (new texture pack and installed jre17)_x000D_
2  Confirmed game is working without mods _x000D_
_x000D_
_x000D_
To reproduce error:_x000D_
1  Start pojavlauncher_x000D_
2  Options  install a mod(first option without custom arguments)_x000D_
3  Select Optifine 1 18 HD U H3 jar_x000D_
4  Installation crashes almost immediately  The Java vm
    Expected Behavior
I expect the installation to succeed
    Platform
   markdown
  Device model: Pixel 4a _x000D_
  CPU architecture: Arm64_x000D_
  Android version: 12_x000D_
  PojavLauncher version: latest gPlay (31 August)
    Anything else 
 No response </t>
  </si>
  <si>
    <t>patzly-grocy-android-485</t>
  </si>
  <si>
    <t>Crash when adding item to shopping list</t>
  </si>
  <si>
    <t xml:space="preserve">I have a few products in the master list  and when I try and add one to the shopping list  the app crashes  Not sure how to get logs off my Android  bit if you tell me what you need  I m sure I can get them for you  </t>
  </si>
  <si>
    <t>cgeo-cgeo-12577</t>
  </si>
  <si>
    <t>Android 5 - Crash when opening cache details (NoClassDefError)</t>
  </si>
  <si>
    <t xml:space="preserve">    Describe your problem 
While checking out  release  on an Android 5 (API 21) emulator I have a reproducible crash when trying to open a certain (but not all) stored cache _x000D_
    How to reproduce 
  Open stored list_x000D_
  Click on the cache to open its details
    Actual result after these steps 
Crash_x000D_
_x000D_
   _x000D_
022 01 21 10:37:14 930 3662 3662 cgeo geocaching E AndroidRuntime: FATAL EXCEPTION: main_x000D_
    Process: cgeo geocaching  PID: 3662_x000D_
    java lang NoClassDefFoundError: Failed resolution of: Ljava util StringJoiner _x000D_
        at org apache commons lang3 StringUtils join(StringUtils java:4747)_x000D_
        at org apache commons lang3 StringUtils join(StringUtils java:4702)_x000D_
        at org apache commons lang3 StringUtils join(StringUtils java:4855)_x000D_
        at cgeo geocaching utils KeyableCharSet  init (KeyableCharSet java:30)_x000D_
        at cgeo geocaching utils KeyableCharSet  clinit (KeyableCharSet java:15)_x000D_
        at cgeo geocaching utils KeyableCharSet createFor(KeyableCharSet java:34)_x000D_
        at cgeo geocaching utils formulas DegreeFormula  clinit (DegreeFormula java:26)_x000D_
        at cgeo geocaching utils formulas DegreeFormula compile(DegreeFormula java:122)_x000D_
        at cgeo geocaching models CalculatedCoordinate  clinit (CalculatedCoordinate java:27)_x000D_
        at cgeo geocaching models Waypoint isCalculated(Waypoint java:284)_x000D_
        at cgeo geocaching CacheDetailActivity WaypointsViewCreator fillViewHolder(CacheDetailActivity java:2099)_x000D_
        at cgeo geocaching CacheDetailActivity WaypointsViewCreator 1 getView(CacheDetailActivity java:2002)_x000D_
        at android widget HeaderViewListAdapter getView(HeaderViewListAdapter java:220)_x000D_
        at android widget AbsListView obtainView(AbsListView java:2344)_x000D_
        at android widget ListView makeAndAddView(ListView java:1864)_x000D_
        at android widget ListView fillDown(ListView java:698)_x000D_
        at android widget ListView fillFromTop(ListView java:759)_x000D_
        at android widget ListView layoutChildren(ListView java:1673)_x000D_
        at android widget AbsListView onLayout(AbsListView java:2148)_x000D_
        at android view View layout(View java:15596)_x000D_
        at android view ViewGroup layout(ViewGroup java:4966)_x000D_
        at android widget FrameLayout layoutChildren(FrameLayout java:573)_x000D_
        at android widget FrameLayout onLayout(FrameLayout java:508)_x000D_
        at android view View layout(View java:15596)_x000D_
        at android view ViewGroup layout(ViewGroup java:4966)_x000D_
        at androidx recyclerview widget RecyclerView LayoutManager layoutDecoratedWithMargins(RecyclerView java:9878)_x000D_
        at androidx recyclerview widget LinearLayoutManager layoutChunk(LinearLayoutManager java:1689)_x000D_
        at androidx recyclerview widget LinearLayoutManager fill(LinearLayoutManager java:1591)_x000D_
        at androidx recyclerview widget LinearLayoutManager onLayoutChildren(LinearLayoutManager java:678)_x000D_
        at androidx recyclerview widget RecyclerView dispatchLayoutStep2(RecyclerView java:4309)_x000D_
        at androidx recyclerview widget RecyclerView dispatchLayout(RecyclerView java:4012)_x000D_
        at androidx recyclerview widget RecyclerView onLayout(RecyclerView java:4578)_x000D_
        at android view View layout(View java:15596)_x000D_
        at android view ViewGroup layout(ViewGroup java:4966)_x000D_
        at androidx viewpager2 widget ViewPager2 onLayout(ViewPager2 java:527)_x000D_
        at android view View layout(View java:15596)_x000D_
        at android view ViewGroup layout(ViewGroup java:4966)_x000D_
        at androidx swiperefreshlayout widget SwipeRefreshLayout onLayout(SwipeRefreshLayout java:625)_x000D_
        at android view View layout(View java:15596)_x000D_
        at android view ViewGroup layout(ViewGroup java:4966)_x000D_
        at android widget LinearLayout setChildFrame(LinearLayout java:1703)_x000D_
        at android widget LinearLayout layoutVertical(LinearLayout java:1557)_x000D_
        at android widget LinearLayout onLayout(LinearLayout java:1466)_x000D_
        at android view View layout(View java:15596)_x000D_
        at android view ViewGroup layout(ViewGroup java:4966)_x000D_
        at android widget FrameLayout layoutChildren(FrameLayout java:573)_x000D_
        at android widget FrameLayout onLayout(FrameLayout java:508)_x000D_
        at android view View layout(View java:15596)_x000D_
        at android view ViewGroup layout(ViewGroup java:4966)_x000D_
        at androidx appcompat widget ActionBarOverlayLayout onLayout(ActionBarOverlayLayout java:536)_x000D_
        at android view View layout(View java:15596)_x000D_
        at android view ViewGroup layout(ViewGroup java:4966)_x000D_
        at android widget FrameLayout layoutChildren(FrameLayout java:573)_x000D_
        at android widget FrameLayout onLayout(FrameLayout java:508)_x000D_
        at android view View layout(View java:15596)_x000D_
        at android view ViewGroup layout(ViewGroup java:4966)_x000D_
        at android widget LinearLayout setChildFrame(LinearLayout java:1703)_x000D_
    	at android widget LinearLayou_x000D_
    Expected result after these steps 
Normal operation
    Reproducible
Yes
    c:geo Version
2022 01 21 RC
    System information
   text
API21 emulator
    Additional Information
 No response </t>
  </si>
  <si>
    <t>SATYAJIT1910-MediClock-1</t>
  </si>
  <si>
    <t>Bugs of v1.3</t>
  </si>
  <si>
    <t xml:space="preserve">  The app is crashing in the android 12 devices during an add operation _x000D_
Most probable cause is AlarmManager initialization _x000D_
  The Notifications are not coming when the app is not loaded on the RAM  All the tasks are getting stacked meanwhile  The cause is also  elated to the use of AlarmManager  It may be fixed with Worker class  </t>
  </si>
  <si>
    <t>inaturalist-iNaturalistAndroid-1177</t>
  </si>
  <si>
    <t>NullPointerException in ObservationViewerFragment$PhotosViewPagerAdapter.getCount</t>
  </si>
  <si>
    <t xml:space="preserve">https:  console firebase google com u 1 project inaturalist ios crashlytics app android:org inaturalist android issues d668114a5656f5913095f209ec6b9323_x000D_
_x000D_
   _x000D_
Fatal Exception: java lang NullPointerException: Attempt to read from field  java util List org inaturalist android Observation photos  on a null object reference_x000D_
       at org inaturalist android ObservationViewerFragment PhotosViewPagerAdapter getCount(ObservationViewerFragment java:405)_x000D_
       at androidx viewpager widget ViewPager setAdapter(ViewPager java:532)_x000D_
       at org inaturalist android ObservationViewerFragment reloadPhotos(ObservationViewerFragment java:3078)_x000D_
       at org inaturalist android ObservationViewerFragment onCreateView(ObservationViewerFragment java:855)_x000D_
   </t>
  </si>
  <si>
    <t>inaturalist-iNaturalistAndroid-1176</t>
  </si>
  <si>
    <t>NullPointerException in ObservationViewerFragment$ObservationReceiver.onReceive</t>
  </si>
  <si>
    <t xml:space="preserve">https:  console firebase google com u 1 project inaturalist ios crashlytics app android:org inaturalist android issues cf8f3e75e0c40c4cde6713b92f6bc724_x000D_
_x000D_
   _x000D_
Fatal Exception: java lang NullPointerException: uri_x000D_
       at java util Objects requireNonNull(Objects java:245)_x000D_
       at android content ContentResolver update(ContentResolver java:2393)_x000D_
       at android content ContentResolver update(ContentResolver java:2369)_x000D_
       at org inaturalist android ObservationViewerFragment ObservationReceiver onReceive(ObservationViewerFragment java:2819)_x000D_
   </t>
  </si>
  <si>
    <t>inaturalist-iNaturalistAndroid-1175</t>
  </si>
  <si>
    <t>CursorWindowAllocationException in ObservationViewerFragment$ObservationReceiver.onReceive</t>
  </si>
  <si>
    <t xml:space="preserve">https:  console firebase google com u 1 project inaturalist ios crashlytics app android:org inaturalist android issues 41e2babaa816f33d0440bf61b4ec6386_x000D_
_x000D_
   _x000D_
Fatal Exception: android database CursorWindowAllocationException: Cursor window allocation of 2048 kb failed    Open Cursors 55 (  cursors opened by this proc 55)_x000D_
       at android database CursorWindow  init (CursorWindow java:108)_x000D_
       at android database AbstractWindowedCursor clearOrCreateWindow(AbstractWindowedCursor java:198)_x000D_
       at android database sqlite SQLiteCursor clearOrCreateWindow(SQLiteCursor java:309)_x000D_
       at android database sqlite SQLiteCursor fillWindow(SQLiteCursor java:147)_x000D_
       at android database sqlite SQLiteCursor getCount(SQLiteCursor java:141)_x000D_
       at android content ContentResolver query(ContentResolver java:779)_x000D_
       at android content ContentResolver query(ContentResolver java:710)_x000D_
       at android content ContentResolver query(ContentResolver java:668)_x000D_
       at org inaturalist android ObservationViewerFragment ObservationReceiver onReceive(ObservationViewerFragment java:2827)_x000D_
   _x000D_
_x000D_
</t>
  </si>
  <si>
    <t>PojavLauncherTeam-PojavLauncher-2594</t>
  </si>
  <si>
    <t>[BUG] I Cant install a different instance with Fabric Installer (Chromebook???)</t>
  </si>
  <si>
    <t xml:space="preserve">    Describe the bug
Every time try to install a second instance of fabric installer  it either exits or just does not work at all   
    The log file and images videos
 latestlog txt (https:  github com PojavLauncherTeam PojavLauncher files 7906331 latestlog txt)_x000D_
_x000D_
https:  user images githubusercontent com 65428515 150410213 f3d39c22 5ebb 42e6 9631 544baf73604a mp4
    Steps To Reproduce
   markdown
1  Download Fabric Launcher 10 12_x000D_
2  Open ProjavLauncher and Sign In_x000D_
3  Click options_x000D_
4  Click the top most option_x000D_
5  Chose the newly installed fabric lancher_x000D_
6  Install 1 18 like normal_x000D_
7  Now do steps 2   6 again_x000D_
8  It will crash   
    Expected Behavior
I expected it to open the window for the fabric installer so I can get a 1 17 instance of fabric 
    Platform
   markdown
  Device model: R96 14268 67 0_x000D_
  CPU architecture: x86 64_x000D_
  Android version: 11_x000D_
  PojavLauncher version: crocus v3 openjdk
    Anything else 
I try using fabric 1 18 but it give me  render overlay  error  (the error you see in the background) I learned that this happens because Mojang changed the pack version to 8 and broke the  assets v0  pack as  seen on the website (https:  pojavlauncherteam github io updates 117 html platform specific instruction) but I can t download the pack because discord is blocked on this computer  (don t ask why   ) After that  I gave in and tried to download fabric 1 17  Keyword   TRIED    because every time I tried to install it  it crashes _x000D_
_x000D_
After reviewing the footage  it seems that its reviewing words are:    I jrelog ( 4226): Calling JLI Lauch    but I don t know java  so IDK what this means   _x000D_
_x000D_
  ALSO   on big thing is that I m on a    Chromebook      </t>
  </si>
  <si>
    <t>PojavLauncherTeam-PojavLauncher-2586</t>
  </si>
  <si>
    <t>[BUG] keeps on crashing when trying to install forge 1.8.9</t>
  </si>
  <si>
    <t xml:space="preserve">    Describe the bug
Info: Java arguments:   Djava awt headless false   Dcacio managed screensize 1555x720   Dcacio font fontmanager sun awt X11FontManager   Dcacio font fontscaler sun font FreetypeFontScaler   Dswing defaultlaf javax swing plaf metal MetalLookAndFeel   Dawt toolkit net java openjdk cacio ctc CTCToolkit   Djava awt graphicsenv net java openjdk cacio ctc CTCGraphicsEnvironment   Xbootclasspath p: storage emulated 0 Android data net kdt pojavlaunch files caciocavallo ResConfHack jar: storage emulated 0 Android data net kdt pojavlaunch files caciocavallo cacio androidnw 1 10 SNAPSHOT jar: storage emulated 0 Android data net kdt pojavlaunch files caciocavallo cacio shared 1 10 SNAPSHOT jar   jar   data user 0 net kdt pojavlaunch cache forge 1 8 9 11 15 1 2318 1 8 9 universal jar  Added custom env: TMPDIR  data user 0 net kdt pojavlaunch cache Added custom env: AWTSTUB WIDTH 1555 Added custom env: REGAL GL VERSION 4 5 Added custom env: REGAL GL VENDOR Android Added custom env: LIBGL MIPMAP 3 Added custom env: allow higher compat version true Added custom env: MESA GLSL CACHE DIR  data user 0 net kdt pojavlaunch cache Added custom env: HOME  storage emulated 0 Android data net kdt pojavlaunch files  minecraft Added custom env: PATH  data user 0 net kdt pojavlaunch runtimes Internal bin: product bin: apex com android runtime bin: apex com android art bin: system ext bin: system bin: system xbin: odm bin: vendor bin: vendor xbin Added custom env: force glsl extensions warn true Added custom env: LIBGL NORMALIZE 1 Added custom env: LD LIBRARY PATH  data user 0 net kdt pojavlaunch runtimes Internal lib aarch64 jli: data user 0 net kdt pojavlaunch runtimes Internal lib aarch64: system lib64: vendor lib64: vendor lib64 hw: data app   fgNic97meYz1y DTLyNGbQ   net kdt pojavlaunch WAZW3Sv4bftj2oaACngoyA   lib arm64 Added custom env: MESA LOADER DRIVER OVERRIDE zink Added custom env: MESA GLSL VERSION OVERRIDE 460 Added custom env: JAVA HOME  data user 0 net kdt pojavlaunch runtimes Internal Added custom env: MESA GL VERSION OVERRIDE 4 6 Added custom env: allow glsl extension directive midshader true Added custom env: REGAL GL RENDERER Regal Added custom env: AWTSTUB HEIGHT 720 OpenJDK 64 Bit Server VM warning: No monotonic clock was available   timed services may be adversely affected if the time of day clock changes           beginning of main I jrelog ( 3390): dlopen  data user 0 net kdt pojavlaunch runtimes Internal lib aarch64 jli libjli so success I jrelog ( 3390): dlopen libjvm so failed: dlopen failed: library  libjvm so  not found I jrelog ( 3390): dlopen  data user 0 net kdt pojavlaunch runtimes Internal lib aarch64 server libjvm so success I jrelog ( 3390): dlopen  data user 0 net kdt pojavlaunch runtimes Internal lib aarch64 libverify so success I jrelog ( 3390): dlopen  data user 0 net kdt pojavlaunch runtimes Internal lib aarch64 libjava so success I jrelog ( 3390): dlopen  data user 0 net kdt pojavlaunch runtimes Internal lib aarch64 libnet so success I jrelog ( 3390): dlopen  data user 0 net kdt pojavlaunch runtimes Internal lib aarch64 libnio so success I jrelog ( 3390): dlopen  data user 0 net kdt pojavlaunch runtimes Internal lib aarch64 libawt so success I jrelog ( 3390): dlopen  data user 0 net kdt pojavlaunch runtimes Internal lib aarch64 libawt headless so success I jrelog ( 3390): dlopen  data user 0 net kdt pojavlaunch runtimes Internal lib aarch64 libfreetype so success I jrelog ( 3390): dlopen  data user 0 net kdt pojavlaunch runtimes Internal lib aarch64 libfontmanager so success I jrelog ( 3390): dlopen  data user 0 net kdt pojavlaunch runtimes Internal lib aarch64 libjsound so success I jrelog ( 3390): dlopen  data user 0 net kdt pojavlaunch runtimes Internal lib aarch64 libjpeg so success I jrelog ( 3390): dlopen  data user 0 net kdt pojavlaunch runtimes Internal lib aarch64 libawt so success I jrelog ( 3390): dlopen  data user 0 net kdt pojavlaunch runtimes Internal lib aarch64 jli libjli so success I jrelog ( 3390): dlopen  data user 0 net kdt pojavlaunch runtimes Internal lib aarch64 server libjvm so success I jrelog ( 3390): dlopen  data user 0 net kdt pojavlaunch runtimes Internal lib aarch64 libjsdt so success I jrelog ( 3390): dlopen  data user 0 net kdt pojavlaunch runtimes Internal lib aarch64 libfontmanager so success I jrelog ( 3390): dlopen  data user 0 net kdt pojavlaunch runtimes Internal lib aarch64 libj2pcsc so success I jrelog ( 3390): dlopen  data user 0 net kdt pojavlaunch runtimes Internal lib aarch64 libmanagement so success I jrelog ( 3390): dlopen  data user 0 net kdt pojavlaunch runtimes Internal lib aarch64 libunpack so success I jrelog ( 3390): dlopen  data user 0 net kdt pojavlaunch runtimes Internal lib aarch64 libjaas unix so success I jrelog ( 3390): dlopen  data user 0 net kdt pojavlaunch runtimes Internal lib aarch64 libhprof so success I jrelog ( 3390): dlopen  data user 0 net kdt pojavlaunch runtimes Internal lib aarch64 libfreetype so success I jrelog ( 3390): dlopen  data user 0 net kdt pojavlaunch runtimes Internal lib aarch64 libawt xawt so success I jrelog ( 3390): dlopen  data user 0 net kdt pojavlaunch runtimes Internal lib aarch64 libjsig so success I jrelog ( 3390): dlopen  data user 0 net kdt pojavlaunch runtimes Internal lib aarch64 libj2gss so success I jrelog ( 3390): dlopen  data user 0 net kdt pojavlaunch runtimes Internal lib aarch64 libsunec so success I jrelog ( 3390): dlopen  data user 0 net kdt pojavlaunch runtimes Internal lib aarch64 libnpt so failed: dlopen failed: library  libtinyiconv so  not found: needed by  data data net kdt pojavlaunch runtimes Internal lib aarch64 libnpt so in namespace classloader namespace I jrelog ( 3390): dlopen  data user 0 net kdt pojavlaunch runtimes Internal lib aarch64 libnet so success I jrelog ( 3390): dlopen  data user 0 net kdt pojavlaunch runtimes Internal lib aarch64 libjava crw demo so success I jrelog ( 3390): dlopen  data user 0 net kdt pojavlaunch runtimes Internal lib aarch64 libjava so success I jrelog ( 3390): dlopen  data user 0 net kdt pojavlaunch runtimes Internal lib aarch64 libnio so success I jrelog ( 3390): dlopen  data user 0 net kdt pojavlaunch runtimes Internal lib aarch64 libtinyiconv so success I jrelog ( 3390): dlopen  data user 0 net kdt pojavlaunch runtimes Internal lib aarch64 libj2pkcs11 so success I jrelog ( 3390): dlopen  data user 0 net kdt pojavlaunch runtimes Internal lib aarch64 libdt socket so success I jrelog ( 3390): dlopen  data user 0 net kdt pojavlaunch runtimes Internal lib aarch64 libjdwp so success I jrelog ( 3390): dlopen  data user 0 net kdt pojavlaunch runtimes Internal lib aarch64 libzip so success I jrelog ( 3390): dlopen  data user 0 net kdt pojavlaunch runtimes Internal lib aarch64 libsctp so success I jrelog ( 3390): dlopen  data user 0 net kdt pojavlaunch runtimes Internal lib aarch64 libmlib image so success I jrelog ( 3390): dlopen  data user 0 net kdt pojavlaunch runtimes Internal lib aarch64 libinstrument so success I jrelog ( 3390): dlopen  data user 0 net kdt pojavlaunch runtimes Internal lib aarch64 liblcms so success I jrelog ( 3390): dlopen  data user 0 net kdt pojavlaunch runtimes Internal lib aarch64 libjawt so success I jrelog ( 3390): dlopen  data user 0 net kdt pojavlaunch runtimes Internal lib aarch64 libverify so success I jrelog ( 3390): dlopen  data user 0 net kdt pojavlaunch runtimes Internal lib aarch64 libawt headless so success I jrelog ( 3390): dlopen  data app   fgNic97meYz1y DTLyNGbQ   net kdt pojavlaunch WAZW3Sv4bftj2oaACngoyA   lib arm64 libopenal so success I jrelog ( 3390): Done processing args I jrelog ( 3390): Found JLI lib I jrelog ( 3390): Calling JLI Launch Policy policy url 2 file: storage emulated 0 Android data net kdt pojavlaunch files  java policy wasn t successfully parsed  Exception message:  storage emulated 0 Android data net kdt pojavlaunch files  java policy (No such file or directory) Unable to initialize policy entry: Illegal character in opaque part at index 6: file:   java ext dirs     We appear to be missing one or more essential library files  You will need to add them to your server before FML and Forge will run successfully  java lang ClassNotFoundException: net minecraft launchwrapper Launch 	at java net URLClassLoader findClass(URLClassLoader java:382) 	at java lang ClassLoader loadClass(ClassLoader java:418) 	at sun misc Launcher AppClassLoader loadClass(Launcher java:352) 	at java lang ClassLoader loadClass(ClassLoader java:351) 	at java lang Class forName0(Native Method) 	at java lang Class forName(Class java:348) 	at net minecraftforge fml relauncher ServerLaunchWrapper run(ServerLaunchWrapper java:25) 	at net minecraftforge fml relauncher ServerLaunchWrapper main(ServerLaunchWrapper java:12) FORTIFY: pthread mutex lock called on a destroyed mutex (0x7f9053db18) process killed with signal 6 code 0xffffffff addr 0x282a00000d3e           beginning of crash FORTIFY: pthread mutex lock called on a destroyed mutex (0x7f8f33a1c8) process killed with signal 6 code 0xffffffff addr 0x282a00000d3e FORTIFY: pthread mutex trylock called on a destroyed mutex (0x2004fb150) process killed with signal 6 code 0xffffffff addr 0x282a00000d3e
    The log file and images videos
The log file called latestlog txt is located under Android data net kdt pojavlaunch files  games PojavLauncher 
    Steps To Reproduce
   markdown
1  Start pojav_x000D_
2  Login_x000D_
3  Click options _x000D_
4  Launch mod installer _x000D_
5  Choose forge 1 8 9 file_x000D_
6  Crashes
    Expected Behavior
I expect it to install and run_x000D_
    Platform
   markdown
  Device model: Samsung a12_x000D_
  CPU architecture: aarch64_x000D_
  Android version: 11_x000D_
  PojavLauncher version: latest version on play store
    Anything else 
 No response </t>
  </si>
  <si>
    <t>Anuken-Mindustry-6508</t>
  </si>
  <si>
    <t>Processor inconsistent behaviour</t>
  </si>
  <si>
    <t xml:space="preserve">  Platform  :  Linux _x000D_
_x000D_
  Build  :  The build number under the title in the main menu  Required   LATEST  IS NOT A VERSION  I NEED THE EXACT BUILD NUMBER OF YOUR GAME  _x000D_
Steam 135_x000D_
_x000D_
  Issue  :  Explain your issue in detail  _x000D_
I made a logic thing that makes units patrol  For whatever reason  the units seem to be  leaking  their radar findings to others _x000D_
The program checks the unit radar every processor loop for targets  and the units that find targets should stop patrolling and immediately start attacking and maintaining a distance from the target  Units that do not have enemies in their radar range should not find targets  and should continue moving around the predefined waypoints _x000D_
_x000D_
For whatever reason though  the radar  or whatever else that s broken and is causing this  has some pretty inconsistent behaviour  It works most of the time  but sometimes it seems to spread its findings to other units  resulting in units losing track of their targets for a processor loop  or units twitching towards the target _x000D_
This is more visible with an overdrive dome _x000D_
_x000D_
  Steps to reproduce  : _x000D_
Make a logic program that makes units patrol  and individually attack units they find _x000D_
Here s my code  I couldn t find anything related to this problem in it:_x000D_
_x000D_
   _x000D_
set patrolType  zenith_x000D_
set waypointReachDis 4_x000D_
set attackDisOffset 4_x000D_
ubind patrolType_x000D_
uradar enemy any any distance 0 1 target_x000D_
jump 16 notEqual target null_x000D_
ucontrol targetp null false 0 0 0_x000D_
sensor curWaypoint  unit  flag_x000D_
op mul xloc 2 curWaypoint_x000D_
op add yloc xloc 1_x000D_
read x bank1 xloc_x000D_
read y bank1 yloc_x000D_
ucontrol move x y 0 0 0_x000D_
ucontrol within x y waypointReachDis waypointReached 0_x000D_
jump 23 notEqual waypointReached false_x000D_
end_x000D_
sensor x target  x_x000D_
sensor y target  y_x000D_
sensor range  unit  range_x000D_
op sub dis range attackDisOffset_x000D_
ucontrol approach x y dis 0 0_x000D_
ucontrol targetp target true 0 0 0_x000D_
end_x000D_
op add newflag curWaypoint 1_x000D_
op mul xloc 2 newflag_x000D_
op add yloc xloc 1_x000D_
read x bank1 xloc_x000D_
read y bank1 yloc_x000D_
op add sum x y_x000D_
jump 31 notEqual sum 0_x000D_
set newflag 0_x000D_
ucontrol flag newflag 0 0 0 0_x000D_
   _x000D_
(There s a nearby memory bank containing the coords of the waypoints)_x000D_
_x000D_
  Link(s) to mod(s) used  : logic debugger  though I doubt it s the cause _x000D_
_x000D_
  Save file  :   logicbug zip (https:  github com Anuken Mindustry files 7901306 logicbug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This isn t a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</si>
  <si>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jellyfin-jellyfin-androidtv-1367</t>
  </si>
  <si>
    <t>Crash: UserDto null in background thread</t>
  </si>
  <si>
    <t xml:space="preserve">    Describe the bug_x000D_
_x000D_
(Reported via a family member  I need to walk them through giving me various details  but I m pretty sure I installed 0 12 3 last time I saw them)_x000D_
_x000D_
This looks like  325 is reappearing  Apparently it s happened  9 times in the last 2 days on a mid end TV (likely memory constrained)_x000D_
_x000D_
Step to reproduce:_x000D_
1  Open Jellyfin Android App_x000D_
2  Switch to another app  initiate playback_x000D_
3  The ACRA report dialogue will briefly appear over the other app when Jellyfin crashes in the background_x000D_
_x000D_
They re happy to side load APKs   capture logcat if this would help developers to insert logging   test fixes _x000D_
_x000D_
    Logs_x000D_
_x000D_
   shell_x000D_
          beginning of crash_x000D_
01 19 20:59:39 925 10686 10686 E AndroidRuntime: FATAL EXCEPTION: main_x000D_
01 19 20:59:39 925 10686 10686 E AndroidRuntime: Process: org jellyfin androidtv  PID: 10686_x000D_
01 19 20:59:39 925 10686 10686 E AndroidRuntime: java lang RuntimeException: Unable to start activity ComponentInfo org jellyfin androidtv org jellyfin androidtv ui itemdetail FullDetailsActivity : java lang NullPointerException: Attempt to invoke virtual method  java lang String org jellyfin apiclient model dto UserDto getId()  on a null object reference_x000D_
01 19 20:59:39 925 10686 10686 E AndroidRuntime:        at android app ActivityThread performLaunchActivity(ActivityThread java:2951)_x000D_
01 19 20:59:39 925 10686 10686 E AndroidRuntime:        at android app ActivityThread handleLaunchActivity(ActivityThread java:3086)_x000D_
01 19 20:59:39 925 10686 10686 E AndroidRuntime:        at android app servertransaction LaunchActivityItem execute(LaunchActivityItem java:78)_x000D_
01 19 20:59:39 925 10686 10686 E AndroidRuntime:        at android app servertransaction TransactionExecutor executeCallbacks(TransactionExecutor java:108)_x000D_
01 19 20:59:39 925 10686 10686 E AndroidRuntime:        at android app servertransaction TransactionExecutor execute(TransactionExecutor java:68)_x000D_
01 19 20:59:39 925 10686 10686 E AndroidRuntime:        at android app ActivityThread H handleMessage(ActivityThread java:1816)_x000D_
01 19 20:59:39 925 10686 10686 E AndroidRuntime:        at android os Handler dispatchMessage(Handler java:106)_x000D_
01 19 20:59:39 925 10686 10686 E AndroidRuntime:        at android os Looper loop(Looper java:193)_x000D_
01 19 20:59:39 925 10686 10686 E AndroidRuntime:        at android app ActivityThread main(ActivityThread java:6718)_x000D_
01 19 20:59:39 925 10686 10686 E AndroidRuntime:        at java lang reflect Method invoke(Native Method)_x000D_
01 19 20:59:39 925 10686 10686 E AndroidRuntime:        at com android internal os RuntimeInit MethodAndArgsCaller run(RuntimeInit java:493)_x000D_
01 19 20:59:39 925 10686 10686 E AndroidRuntime:        at com android internal os ZygoteInit main(ZygoteInit java:858)_x000D_
01 19 20:59:39 925 10686 10686 E AndroidRuntime: Caused by: java lang NullPointerException: Attempt to invoke virtual method  java lang String org jellyfin apiclient model dto UserDto getId()  on a null object reference_x000D_
01 19 20:59:39 925 10686 10686 E AndroidRuntime:        at org jellyfin androidtv ui itemdetail FullDetailsActivity loadItem(FullDetailsActivity java:374)_x000D_
01 19 20:59:39 925 10686 10686 E AndroidRuntime:        at org jellyfin androidtv ui itemdetail FullDetailsActivity onCreate(FullDetailsActivity java:212)_x000D_
01 19 20:59:39 925 10686 10686 E AndroidRuntime:        at android app Activity performCreate(Activity java:7144)_x000D_
01 19 20:59:39 925 10686 10686 E AndroidRuntime:        at android app Activity performCreate(Activity java:7135)_x000D_
01 19 20:59:39 925 10686 10686 E AndroidRuntime:        at android app Instrumentation callActivityOnCreate(Instrumentation java:1271)_x000D_
01 19 20:59:39 925 10686 10686 E AndroidRuntime:        at android app ActivityThread performLaunchActivity(ActivityThread java:2931)_x000D_
01 19 20:59:39 925 10686 10686 E AndroidRuntime:            11 more_x000D_
01 19 20:59:39 926 10686 10686 E ACRA    : ACRA caught a RuntimeException for org jellyfin androidtv_x000D_
01 19 20:59:39 926 10686 10686 E ACRA    : java lang RuntimeException: Unable to start activity ComponentInfo org jellyfin androidtv org jellyfin androidtv ui itemdetail FullDetailsActivity : java lang NullPointerException: Attempt to invoke virtual method  java lang String org jellyfin apiclient model dto UserDto getId()  on a null object reference_x000D_
01 19 20:59:39 926 10686 10686 E ACRA    :      at android app ActivityThread performLaunchActivity(ActivityThread java:2951)_x000D_
01 19 20:59:39 926 10686 10686 E ACRA    :      at android app ActivityThread handleLaunchActivity(ActivityThread java:3086)_x000D_
01 19 20:59:39 926 10686 10686 E ACRA    :      at android app servertransaction LaunchActivityItem execute(LaunchActivityItem java:78)_x000D_
01 19 20:59:39 926 10686 10686 E ACRA    :      at android app servertransaction TransactionExecutor executeCallbacks(TransactionExecutor java:108)_x000D_
01 19 20:59:39 926 10686 10686 E ACRA    :      at android app servertransaction TransactionExecutor execute(TransactionExecutor java:68)_x000D_
01 19 20:59:39 926 10686 10686 E ACRA    :      at android app ActivityThread H handleMessage(ActivityThread java:1816)_x000D_
01 19 20:59:39 926 10686 10686 E ACRA    :      at android os Handler dispatchMessage(Handler java:106)_x000D_
01 19 20:59:39 926 10686 10686 E ACRA    :      at android os Looper loop(Looper java:193)_x000D_
01 19 20:59:39 926 10686 10686 E ACRA    :      at android app ActivityThread main(ActivityThread java:6718)_x000D_
01 19 20:59:39 926 10686 10686 E ACRA    :      at java lang reflect Method invoke(Native Method)_x000D_
01 19 20:59:39 926 10686 10686 E ACRA    :      at com android internal os RuntimeInit MethodAndArgsCaller run(RuntimeInit java:493)_x000D_
01 19 20:59:39 926 10686 10686 E ACRA    :      at com android internal os ZygoteInit main(ZygoteInit java:858)_x000D_
01 19 20:59:39 926 10686 10686 E ACRA    : Caused by: java lang NullPointerException: Attempt to invoke virtual method  java lang String org jellyfin apiclient model dto UserDto getId()  on a null object reference_x000D_
01 19 20:59:39 926 10686 10686 E ACRA    :      at org jellyfin androidtv ui itemdetail FullDetailsActivity loadItem(FullDetailsActivity java:374)_x000D_
01 19 20:59:39 926 10686 10686 E ACRA    :      at org jellyfin androidtv ui itemdetail FullDetailsActivity onCreate(FullDetailsActivity java:212)_x000D_
01 19 20:59:39 926 10686 10686 E ACRA    :      at android app Activity performCreate(Activity java:7144)_x000D_
01 19 20:59:39 926 10686 10686 E ACRA    :      at android app Activity performCreate(Activity java:7135)_x000D_
01 19 20:59:39 926 10686 10686 E ACRA    :      at android app Instrumentation callActivityOnCreate(Instrumentation java:1271)_x000D_
01 19 20:59:39 926 10686 10686 E ACRA    :      at android app ActivityThread performLaunchActivity(ActivityThread java:2931)_x000D_
01 19 20:59:39 926 10686 10686 E ACRA    :          11 more_x000D_
01 19 20:59:39 984  2588  2588 D MTK KL  : 4 34112 1450383518    MI AOUT GetHandle:11957  2949  (11957)ePath:7_x000D_
01 19 20:59:39 984  2588  2588 D MTK KL  : 4 34113 1450383533    MI AOUT GetHandle:11985  2949  (11985)phAout:0x17000004  eErrCode:0x0_x000D_
01 19 20:59:39 988 10686 10698 I lyfin androidt: Background concurrent copying GC freed 4095(646KB) AllocSpace objects  0(0B) LOS objects  25  free  2MB 3MB  paused 1 108ms total 102 830ms_x000D_
01 19 20:59:40 031  4805  4805 I chromium:  4805:4805:INFO:metrics recorder cc(188)  cast event: Cloud Transport Https StatusChange Out Success_x000D_
01 19 20:59:40 044  2588  2588 D MTK KL  : 4 34114 1450443566    MI AOUT GetHandle:11957  2949  (11957)ePath:7_x000D_
01 19 20:59:40 044  2588  2588 D MTK KL  : 4 34115 1450443581    MI AOUT GetHandle:11985  2949  (11985)phAout:0x17000004  eErrCode:0x0_x000D_
01 19 20:59:40 044  2588  2588 D MTK KL  : 31 34116 1450444249   logd: logdr: UID 10085 GID 10085 PID 10833 n tail 100 logMask 19 pid 0 start 0ns timeout 0ns_x000D_
01 19 20:59:40 057  2151  2151 E SELinux : avc:  denied    find   for service meminfo pid 10837 uid 10085 scontext u:r:untrusted app:s0:c85 c256 c512 c768 tcontext u:object r:meminfo service:s0 tclass service manager permissive 0_x000D_
01 19 20:59:40 086  3311  3638 D MonitorActivityController:    Activity resuming: org jellyfin androidtv_x000D_
01 19 20:59:40 086  3311  3638 D MonitorActivityController:    setOTTSrc currentOttSrc: org jellyfin androidtv_x000D_
01 19 20:59:40 087  2605 10405 W ActivityManager: Duplicate finish request for ActivityRecord 622f5b4 u0 org jellyfin androidtv  ui itemdetail FullDetailsActivity t516 f _x000D_
01 19 20:59:40 088 10686 10686 I Process : Sending signal  PID: 10686 SIG: 9_x000D_
01 19 20:59:40 105  2588  2588 D MTK KL  : 4 34117 1450503532    MI AOUT GetHandle:11957  2949  (11957)ePath:7_x000D_
01 19 20:59:40 105  2588  2588 D MTK KL  : 4 34118 1450503548    MI AOUT GetHandle:11985  2949  (11985)phAout:0x17000004  eErrCode:0x0_x000D_
01 19 20:59:40 166  2588  2588 D MTK KL  : 4 34119 1450563502    MI AOUT GetHandle:11957  2949  (11957)ePath:7_x000D_
01 19 20:59:40 166  2588  2588 D MTK KL  : 4 34120 1450563518    MI AOUT GetHandle:11985  2949  (11985)phAout:0x17000004  eErrCode:0x0_x000D_
01 19 20:59:40 167  2605  5987 I ActivityManager: Process org jellyfin androidtv (pid 10686) has died: fore TOP_x000D_
01 19 20:59:40 167  2605  2704 W libprocessgroup: kill( 10686  9) failed: No such process_x000D_
01 19 20:59:40 172  2266  2266 I Zygote  : Process 10686 exited due to signal (9)_x000D_
01 19 20:59:40 205  2605  2702 I ActivityManager: Start proc 10853:org jellyfin androidtv u0a85 for activity org jellyfin androidtv  ui startup StartupActivity_x000D_
01 19 20:59:40 211  2605  2704 W libprocessgroup: kill( 10686  9) failed: No such process_x000D_
   _x000D_
_x000D_
_x000D_
    Application version_x000D_
_x000D_
0 12 3_x000D_
    Where did you install the app from _x000D_
_x000D_
Google Play_x000D_
_x000D_
    Device information_x000D_
JVC It 40ca890_x000D_
_x000D_
    Jellyfin server version_x000D_
10 8 0 Alpha 3</t>
  </si>
  <si>
    <t>ASE-Projekte-WS-2021-ase-ws-21-konferenzassistent-29</t>
  </si>
  <si>
    <t>App Crashed auf Android Version 10.0 (API 29)</t>
  </si>
  <si>
    <t xml:space="preserve">Auf Version 10 0   Api level 29 crashed die App beim erstellen des Foreground Services mit dem Fehler:_x000D_
    android app RemoteServiceException: Bad notification for startForeground: java lang RuntimeException: invalid channel for service notification: Notification(channel konferenzNotificationChannel pri 1 contentView null vibrate null sound null defaults 0x0 flags 0x40 color 0x00000000 category msg vis PRIVATE) </t>
  </si>
  <si>
    <t>googleads-googleads-mobile-flutter-495</t>
  </si>
  <si>
    <t>NPE Regression with Flutter 2.8+ and BannerAds</t>
  </si>
  <si>
    <t xml:space="preserve">Hello  we have a major problem with latest Flutter 2 8  and BannerAds in Android   10 _x000D_
_x000D_
Just like it was reported in  480 but closed  when we have the app run on Androids 7 8 9  and Have Banner ads in line with the_x000D_
 _x000D_
reply by  blasten here: https:  github com googleads googleads mobile flutter issues 269 issuecomment 884493288_x000D_
   await PlatformViewsService synchronizeToNativeViewHierarchy(false) _x000D_
 _x000D_
Every action that makes the app go to background (for example clicking the ad  or sharing some content) makes the app crash _x000D_
_x000D_
This is in our production app  _x000D_
_x000D_
Removing the line or Downgrading flutter seems to fix the issue but i consider this a major regression considering it was introduced by Flutter 2 8  and it is now the recommended way of having inline ads on older devices  _x000D_
_x000D_
Here is the example app  just run it on Old Android and click the button or the Example banner _x000D_
_x000D_
https:  github com atrope my app_x000D_
_x000D_
Forgot to add the LOG:_x000D_
_x000D_
   _x000D_
Fatal Exception: java lang NullPointerException: Attempt to invoke virtual method  void android view View dispatchWindowVisibilityChanged(int)  on a null object reference_x000D_
       at android view ViewGroup dispatchWindowVisibilityChanged(ViewGroup java:1290)_x000D_
       at android view ViewGroup dispatchWindowVisibilityChanged(ViewGroup java:1290)_x000D_
       at android view ViewGroup dispatchWindowVisibilityChanged(ViewGroup java:1290)_x000D_
       at android view ViewGroup dispatchWindowVisibilityChanged(ViewGroup java:1290)_x000D_
       at android view ViewRootImpl performTraversals(ViewRootImpl java:1660)_x000D_
       at android view ViewRootImpl doTraversal(ViewRootImpl java:1348)_x000D_
       at android view ViewRootImpl TraversalRunnable run(ViewRootImpl java:6865)_x000D_
       at android view Choreographer CallbackRecord run(Choreographer java:887)_x000D_
       at android view Choreographer doCallbacks(Choreographer java:699)_x000D_
       at android view Choreographer doFrame(Choreographer java:634)_x000D_
       at android view Choreographer FrameDisplayEventReceiver run(Choreographer java:873)_x000D_
       at android os Handler handleCallback(Handler java:751)_x000D_
       at android os Handler dispatchMessage(Handler java:95)_x000D_
       at android os Looper loop(Looper java:154)_x000D_
       at android app ActivityThread main(ActivityThread java:6351)_x000D_
       at java lang reflect Method invoke(Method java)_x000D_
       at com android internal os ZygoteInit MethodAndArgsCaller run(ZygoteInit java:896)_x000D_
       at com android internal os ZygoteInit main(ZygoteInit java:786)_x000D_
   </t>
  </si>
  <si>
    <t>cgeo-WhereYouGo-368</t>
  </si>
  <si>
    <t>App stops working on Android 7 (NoSuchMethodError)</t>
  </si>
  <si>
    <t xml:space="preserve">    Describe your problem 
An Android 7 user contacted us  that after activating the statubar icon option the app crashes _x000D_
Afterwards the app can no longer be started _x000D_
_x000D_
It seems this function is not supported 
    How to reproduce 
  Use Android 7 (emulator)_x000D_
  Start WhereYouGo_x000D_
  Activate settings   Appearance   StatusBar Icon_x000D_
  Close WhereYouGo_x000D_
  Open WhereYouGo again
    Actual result after these steps 
App can no longer be started but crashes on startup_x000D_
_x000D_
   _x000D_
2022 01 19 21:14:51 206 8651 8651 menion android whereyougo E UncaughtExceptionHandler: uncaughtException main_x000D_
    java lang Exception: java lang NoSuchMethodError: No direct method  init (Landroid content Context Ljava lang String )V in class Landroid app Notification Builder  or its super classes (declaration of  android app Notification Builder  appears in  system framework framework jar)_x000D_
        at menion android whereyougo utils Logger e(Logger java:50)_x000D_
        at menion android whereyougo utils ExceptionHandler uncaughtException(ExceptionHandler java:27)_x000D_
        at java lang ThreadGroup uncaughtException(ThreadGroup java:1068)_x000D_
        at java lang ThreadGroup uncaughtException(ThreadGroup java:1063)_x000D_
2022 01 19 21:14:51 212 8651 8651 menion android whereyougo E AndroidRuntime: FATAL EXCEPTION: main_x000D_
    Process: menion android whereyougo  PID: 8651_x000D_
    java lang NoSuchMethodError: No direct method  init (Landroid content Context Ljava lang String )V in class Landroid app Notification Builder  or its super classes (declaration of  android app Notification Builder  appears in  system framework framework jar)_x000D_
        at menion android whereyougo utils NotificationService startNotificationService(NotificationService java:81)_x000D_
        at menion android whereyougo utils NotificationService onStartCommand(NotificationService java:55)_x000D_
        at android app ActivityThread handleServiceArgs(ActivityThread java:3297)_x000D_
        at android app ActivityThread  wrap21(ActivityThread java)_x000D_
        at android app ActivityThread H handleMessage(ActivityThread java:1565)_x000D_
        at android os Handler dispatchMessage(Handler java:102)_x000D_
        at android os Looper loop(Looper java:154)_x000D_
        at android app ActivityThread main(ActivityThread java:6077)_x000D_
        at java lang reflect Method invoke(Native Method)_x000D_
        at com android internal os ZygoteInit MethodAndArgsCaller run(ZygoteInit java:866)_x000D_
        at com android internal os ZygoteInit main(ZygoteInit java:756)_x000D_
    Expected result after these steps 
Normal operation
    Reproducible
Yes
    WhereYouGo Version
2022 01 10
    System information
   text
Android 7
    Additional Information
Only mitigation is to  Clear data  of the app to startover in factory settings_x000D_
</t>
  </si>
  <si>
    <t>microg-GmsCore-1641</t>
  </si>
  <si>
    <t>MicroG not working on WSA</t>
  </si>
  <si>
    <t>Hello there _x000D_
I installed WSA thanks to  MagiskOnWsa (https:  github com LSPosed MagiskOnWSA)_x000D_
I installed Riru  Riru LSPosed and the FakeGapps module :  FakeGApps (https:  github com whew inc FakeGApps)_x000D_
I installed MicroG with  MicroG Installer Revived (https:  github com nift4 microg installer revived)_x000D_
When starting Microg Settings  I got this error:_x000D_
   _x000D_
01 19 16:21:01 134   114   114 I power service windows: Power isModeSupported: 8_x000D_
01 19 16:21:01 174   321   441 E SyncManager: Job params not found for 108917_x000D_
01 19 16:21:05 547   728  1109 V IntentRedirectionHandler: Receive IntentMessage LaunchPackage_x000D_
01 19 16:21:05 550   321   562 I ActivityTaskManager: START u0  act android intent action MAIN cat  android intent category LAUNCHER  flg 0x10010000 pkg com google android gms cmp com google android gms org microg gms ui SettingsActivity  from uid 10031_x000D_
01 19 16:21:05 586   321   562 I DisplayManagerService: Display device added: DisplayDeviceInfo  com google android gms:3 : uniqueId  virtual:com microsoft windows systemapp:com google android gms:3   772 x 432  modeId 4  defaultModeId 4  supportedModes   id 4  width 772  height 432  fps 60 0    colorMode 0  supportedColorModes  0   HdrCapabilities null  allmSupported false  gameContentTypeSupported false  density 200  200 0 x 200 0 dpi  appVsyncOff 0  presDeadline 16666666  touch VIRTUAL  rotation 0  type VIRTUAL  deviceProductInfo null  state OFF  owner com microsoft windows systemapp (uid 1000)  FLAG ROTATES WITH CONTENT  FLAG SECURE  FLAG OWN CONTENT ONLY _x000D_
01 19 16:21:05 598   321   562 I WindowManager: Override config changes 20005df8  0 0  mcc mnc  localeList  layoutDir sw345dp w617dp h345dp 200dpi nrml long land  uimode  night finger qwerty v v  nav h winConfig   mBounds Rect(0  0   772  432) mAppBounds Rect(0  0   772  432) mWindowingMode fullscreen mDisplayWindowingMode fullscreen mActivityType undefined mAlwaysOnTop undefined mRotation ROTATION 0   for displayId 3_x000D_
01 19 16:21:05 600   444   444 W DisplayController: Skipping Display Configuration change on non added display _x000D_
01 19 16:21:05 653   321  1620 I PowerManagerService: Waking up from Asleep (uid 1000  reason WAKE REASON APPLICATION  details ShellRedirectionHandler)   _x000D_
01 19 16:21:05 655   321   562 I ActivityTaskManager: START u0  flg 0x18000000 cmp com microsoft windows userapp  PlaceholderActivity  from uid 1000_x000D_
01 19 16:21:05 655   321  1620 W TaskListener: No top stack on display 3_x000D_
01 19 16:21:05 655    39    44 E android system suspend 1 0 service: Error opening kernel wakelock stats for: wakeup2: Permission denied_x000D_
01 19 16:21:05 655    39    44 E android system suspend 1 0 service: Error opening kernel wakelock stats for: wakeup0: Permission denied_x000D_
01 19 16:21:05 657    39    44 E android system suspend 1 0 service: Error opening kernel wakelock stats for: wakeup3: Permission denied_x000D_
01 19 16:21:05 657    39    44 E android system suspend 1 0 service: Error opening kernel wakelock stats for: wakeup1: Permission denied_x000D_
01 19 16:21:05 657   321   562 D ActivityTaskManager: Top Process State changed to PROCESS STATE TOP_x000D_
01 19 16:21:05 658   321   354 I DisplayPowerController: Blocking screen on until initial contents have been drawn _x000D_
01 19 16:21:05 659   321   562 W ActivityTaskManager: Tried to set launchTime (0)   mLastActivityLaunchTime (99109)_x000D_
01 19 16:21:05 660   321   351 E KernelCpuSpeedReader: Failed to read cpu freq:  sys devices system cpu cpu0 cpufreq stats time in state: open failed: ENOENT (No such file or directory)_x000D_
01 19 16:21:05 661    39    44 E android system suspend 1 0 service: Error opening kernel wakelock stats for: wakeup2: Permission denied_x000D_
01 19 16:21:05 661    39    44 E android system suspend 1 0 service: Error opening kernel wakelock stats for: wakeup0: Permission denied_x000D_
01 19 16:21:05 661   321   562 W InputDispatcher: Focused display  3 does not have a focused window _x000D_
01 19 16:21:05 662    39    44 E android system suspend 1 0 service: Error opening kernel wakelock stats for: wakeup3: Permission denied_x000D_
01 19 16:21:05 662    39    44 E android system suspend 1 0 service: Error opening kernel wakelock stats for: wakeup1: Permission denied_x000D_
01 19 16:21:05 801   321   332 W System  : A resource failed to call release _x000D_
01 19 16:21:05 876   321  1620 I ActivityTaskManager: moveTaskToBack: Task d73f102  12 visible false type standard mode fullscreen translucent true I com microsoft windows userapp  PlaceholderActivity U 0 StackId 12 sz 1 _x000D_
01 19 16:21:05 803   321   332 I chatty  : uid 1000(system) FinalizerDaemon identical 5 lines_x000D_
01 19 16:21:05 803   321   332 W System  : A resource failed to call release _x000D_
01 19 16:21:05 883   444   929 D KeyguardViewMediator: notifyScreenOn_x000D_
01 19 16:21:05 883   321   354 V DisplayPowerController: Brightness  0 39763778  reason changing to:  manual   previous reason:  screen off  _x000D_
01 19 16:21:05 884   444   444 D KeyguardViewMediator: handleNotifyScreenTurningOn_x000D_
01 19 16:21:05 886   321   354 I DisplayPowerController: Unblocked screen on after 228 ms_x000D_
01 19 16:21:05 887   110   110 D librcm  : SocketClient connected to host port 22469_x000D_
01 19 16:21:05 888   110   110 D goldfish address space: allocate: Ask for block of size 0x145b00_x000D_
01 19 16:21:05 888   110   110 D goldfish address space: allocate: allocate returned phys addr 0x1fd38c000 offset 0x338c000 size 0x145b00_x000D_
01 19 16:21:05 891   321   321 W Looper  : Slow dispatch took 238ms main h com android server power Notifier NotifierHandler c com android server power Notifier 1 d744626 m 0_x000D_
01 19 16:21:05 891   321   321 W Looper  : Slow delivery took 238ms main h android os Handler c null m 3030_x000D_
01 19 16:21:05 892   321   321 W Looper  : Drained_x000D_
01 19 16:21:05 894   444   462 D KeyguardViewMediator: onStartedWakingUp  seq   2_x000D_
01 19 16:21:05 895   444   462 D KeyguardViewMediator: notifyStartedWakingUp_x000D_
01 19 16:21:05 895   444   444 D KeyguardViewMediator: handleNotifyWakingUp_x000D_
01 19 16:21:05 903   118   118 D SurfaceFlinger: Setting power mode 2 on display 0_x000D_
01 19 16:21:05 903   118   118 D SurfaceFlinger: Finished setting power mode 2 on display 0_x000D_
01 19 16:21:05 904   444   462 D KeyguardViewMediator: notifyScreenTurnedOn_x000D_
01 19 16:21:05 908   321   398 E SupplicantStaIfaceHal: ISupplicantStaIface setSuspendModeEnabled failed:   code   FAILURE UNKNOWN   debugMessage    _x000D_
01 19 16:21:05 930   321   354 W PowerManagerService: Screen on took 252 ms_x000D_
01 19 16:21:05 951   321   384 I InputDispatcher: Dropping event because there is no touchable window or gesture monitor at (597  225) in display 3 _x000D_
01 19 16:21:05 951   321   384 W InputDispatcher: Asynchronous input event injection failed _x000D_
01 19 16:21:06 086   321   337 W Looper  : Slow dispatch took 178ms android ui h android hardware display DisplayManagerGlobal DisplayListenerDelegate c null m 2_x000D_
01 19 16:21:06 087   444   444 D KeyguardViewMediator: handleNotifyScreenTurnedOn_x000D_
01 19 16:21:06 145   321   321 W Looper  : Slow dispatch took 238ms main h android app ActivityThread H c android app    Lambda LoadedApk ReceiverDispatcher Args  BumDX2UKsnxLVrE6UJsJZkotuA a9d3b2d m 0_x000D_
01 19 16:21:06 145   321   321 W Looper  : Slow delivery took 247ms main h android hardware display DisplayManagerGlobal DisplayListenerDelegate c null m 2_x000D_
01 19 16:21:06 145   321   339 I DisplayManagerService: Display device changed state:  com google android gms:3   ON_x000D_
01 19 16:21:06 146   321   321 E AudioSystem JNI: Command failed for android media AudioSystem setParameters:  38_x000D_
01 19 16:21:06 159   321   321 W Looper  : Drained_x000D_
01 19 16:21:06 164   321   339 D CompatibilityChangeReporter: Compat change id reported: 135634846  UID 10039  state: DISABLED_x000D_
01 19 16:21:06 164   321   346 D CompatibilityChangeReporter: Compat change id reported: 143937733  UID 10039  state: DISABLED_x000D_
01 19 16:21:06 166   321   339 I InputManager JNI: Viewport  0  to add: local:0  isActive: true_x000D_
01 19 16:21:06 166   321   339 I InputManager JNI: Viewport  1  to add: virtual:com microsoft windows systemapp:com google android gms:3  isActive: true_x000D_
01 19 16:21:06 166   321   385 I InputReader: Reconfiguring input devices  changes DISPLAY INFO  _x000D_
01 19 16:21:06 166   321   385 I InputReader: Device reconfigured: id 3  name  virtual touchscreen   size 2275x1280  orientation 0  mode 1  display id 0_x000D_
01 19 16:21:06 173   102   102 D Zygote  : Forked child process 1665_x000D_
01 19 16:21:06 174   321   339 I DisplayManagerService: Display device changed state:   cran int gr    ON_x000D_
01 19 16:21:06 177   321   346 I ActivityManager: Start proc 1665:com google android gms:ui u0a39 for pre top activity  com google android gms org microg gms ui SettingsActivity _x000D_
01 19 16:21:06 178   110   110 D librcm  : SocketClient connected to host port 22469_x000D_
01 19 16:21:06 178   110   110 D goldfish address space: allocate: Ask for block of size 0x3e8000_x000D_
01 19 16:21:06 178   110   110 D goldfish address space: allocate: allocate returned phys addr 0x1fbfe7000 offset 0x1fe7000 size 0x3e8000_x000D_
01 19 16:21:06 196   444   667 D EGL emulation: app time stats: avg 126146 76ms min 126146 76ms max 126146 76ms count 1_x000D_
01 19 16:21:06 202   110   110 D librcm  : SocketClient connected to host port 22469_x000D_
01 19 16:21:06 202   110   110 D goldfish address space: allocate: Ask for block of size 0x3e8000_x000D_
01 19 16:21:06 203   110   110 D goldfish address space: allocate: allocate returned phys addr 0x1fd4d2000 offset 0x34d2000 size 0x3e8000_x000D_
01 19 16:21:06 216  1665  1665 W  android gms:u: Unexpected CPU variant for X86 using defaults: x86 64_x000D_
01 19 16:21:06 220   110   110 D librcm  : SocketClient connected to host port 22469_x000D_
01 19 16:21:06 221   110   110 D goldfish address space: allocate: Ask for block of size 0x3e8000_x000D_
01 19 16:21:06 221   110   110 D goldfish address space: allocate: allocate returned phys addr 0x1fd8ba000 offset 0x38ba000 size 0x3e8000_x000D_
01 19 16:21:06 222  1665  1665 E  android gms:u: Not starting debugger since process cannot load the jdwp agent _x000D_
01 19 16:21:06 305  1665  1665 D ApplicationLoaders: Returning zygote cached class loader:  system framework android test base jar_x000D_
01 19 16:21:06 321   321  1620 I FakeGApps: Returning fake signature to  com google android gms _x000D_
01 19 16:21:06 325  1665  1665 D NetworkSecurityConfig: No Network Security Config specified  using platform default_x000D_
01 19 16:21:06 326  1665  1665 D NetworkSecurityConfig: No Network Security Config specified  using platform default_x000D_
01 19 16:21:06 328  1665  1665 I MultiDex: VM with version 2 1 0 has multidex support_x000D_
01 19 16:21:06 328  1665  1665 I MultiDex: Installing application_x000D_
01 19 16:21:06 328  1665  1665 I MultiDex: VM has multidex support  MultiDex support library is disabled _x000D_
01 19 16:21:06 346  1665  1687 D libEGL  : loaded  vendor lib64 egl libEGL emulation so_x000D_
01 19 16:21:06 351  1665  1687 D libEGL  : loaded  vendor lib64 egl libGLESv1 CM emulation so_x000D_
01 19 16:21:06 357  1665  1687 D libEGL  : loaded  vendor lib64 egl libGLESv2 emulation so_x000D_
01 19 16:21:06 367   321   340 W System  : ClassLoader referenced unknown path:_x000D_
01 19 16:21:06 441   110   110 D librcm  : SocketClient connected to host port 22469_x000D_
01 19 16:21:06 442   110   110 D goldfish address space: allocate: Ask for block of size 0x145b00_x000D_
01 19 16:21:06 442   110   110 D goldfish address space: allocate: allocate returned phys addr 0x1fdca2000 offset 0x3ca2000 size 0x145b00_x000D_
01 19 16:21:06 516   321   562 I FakeGApps: Returning fake signature to  android uid system:1000 _x000D_
01 19 16:21:06 521  1487  1487 D GmsGcmMcsSvc: Connection is not enabled or dead _x000D_
01 19 16:21:06 544  1665  1686 D HostConnection: createUnique: call_x000D_
01 19 16:21:06 544  1665  1686 E librcm  : Failed to create socket error 13_x000D_
01 19 16:21:06 544  1665  1686 E RemoteGraphics: Failed to connect to remote renderer 13_x000D_
01 19 16:21:06 544  1665  1686 E  android gms:u: AddressSpaceStream::create failed to connect to ASG device_x000D_
01 19 16:21:06 544  1665  1686 E HostConnection: Failed to create AddressSpaceStream for host connection   _x000D_
01 19 16:21:06 544  1665  1686 E EGL emulation: Failed to establish connection with the host_x000D_
01 19 16:21:06 544  1665  1686 W libEGL  : eglInitialize(0x721140e21270) failed (EGL SUCCESS)_x000D_
01 19 16:21:06 544    23    23 I hwservicemanager: getTransport: Cannot find entry android hardware configstore 1 0::ISurfaceFlingerConfigs default in either framework or device manifest _x000D_
          beginning of crash_x000D_
01 19 16:21:06 556  1665  1686 F libc    : Fatal signal 11 (SIGSEGV)  code 1 (SEGV MAPERR)  fault addr 0x0 in tid 1686 (RenderThread)  pid 1665 ( android gms:ui)_x000D_
01 19 16:21:06 626  1692  1692 I crash dump64: obtaining output fd from tombstoned  type: kDebuggerdTombstone_x000D_
01 19 16:21:06 636    96    96 I tombstoned: received crash request for pid 1686_x000D_
01 19 16:21:06 648  1692  1692 I crash dump64: performing dump of process 1665 (target tid   1686)_x000D_
01 19 16:21:06 669  1692  1692 F DEBUG   :                                                                _x000D_
01 19 16:21:06 669  1692  1692 F DEBUG   : Build fingerprint:  Windows windows x86 64 windows x86 64:11 RD2A 211001 002 eng latteu 20211111 210152:user release keys _x000D_
01 19 16:21:06 669  1692  1692 F DEBUG   : Revision:  0 _x000D_
01 19 16:21:06 669  1692  1692 F DEBUG   : ABI:  x86 64 _x000D_
01 19 16:21:06 670  1692  1692 F DEBUG   : Timestamp: 2022 01 19 16:21:06 0100_x000D_
01 19 16:21:06 670  1692  1692 F DEBUG   : pid: 1665  tid: 1686  name: RenderThread      com google android gms:ui    _x000D_
01 19 16:21:06 670  1692  1692 F DEBUG   : uid: 10039_x000D_
01 19 16:21:06 670  1692  1692 F DEBUG   : signal 11 (SIGSEGV)  code 1 (SEGV MAPERR)  fault addr 0x0_x000D_
01 19 16:21:06 670  1692  1692 F DEBUG   : Cause: null pointer dereference_x000D_
01 19 16:21:06 670  1692  1692 F DEBUG   :     rax 0000000000000000  rbx 00007211411c1960  rcx 0000000000000020  rdx ffffffffffffffff_x000D_
01 19 16:21:06 671  1692  1692 F DEBUG   :     r8  0000000000000000  r9  5f335f3136384154  r10 00000000ffff8000  r11 ad3404a49223c7e9_x000D_
01 19 16:21:06 671  1692  1692 F DEBUG   :     r12 0000000000000000  r13 0000000000000000  r14 000072118a05cab0  r15 00007211411c1960_x000D_
01 19 16:21:06 671  1692  1692 F DEBUG   :     rdi 0000000000000000  rsi 0000000000000020_x000D_
01 19 16:21:06 671  1692  1692 F DEBUG   :     rbp 00007211ba084d08  rsp 00007211411c18e0  rip 00007213dca0e4b0_x000D_
01 19 16:21:06 822  1692  1692 F DEBUG   : backtrace:_x000D_
01 19 16:21:06 822  1692  1692 F DEBUG   :        00 pc 00000000000894b0   apex com android runtime lib64 bionic libc so (  strchr chk 16) (BuildId: 367a43aefd68123bf118851437b2730e)_x000D_
01 19 16:21:06 823  1692  1692 F DEBUG   :        01 pc 0000000000297b3c   system lib64 libhwui so (android::uirenderer::StringUtils::split(char const ) 76) (BuildId: 1eff8dd64422a9581613695039448b42)_x000D_
01 19 16:21:06 823  1692  1692 F DEBUG   :        02 pc 0000000000283400   system lib64 libhwui so (android::uirenderer::renderthread::EglManager::initialize() 192) (BuildId: 1eff8dd64422a9581613695039448b42)_x000D_
01 19 16:21:06 823  1692  1692 F DEBUG   :        03 pc 0000000000293279   system lib64 libhwui so (android::uirenderer::renderthread::RenderThread::requireGlContext() 89) (BuildId: 1eff8dd64422a9581613695039448b42)_x000D_
01 19 16:21:06 823  1692  1692 F DEBUG   :        04 pc 00000000002775f7   system lib64 libhwui so (android::uirenderer::skiapipeline::SkiaOpenGLPipeline::setSurface(ANativeWindow   android::uirenderer::renderthread::SwapBehavior) 87) (BuildId: 1eff8dd64422a9581613695039448b42)_x000D_
01 19 16:21:06 823  1692  1692 F DEBUG   :        05 pc 000000000027f4d3   system lib64 libhwui so (android::uirenderer::renderthread::CanvasContext::setSurface(ANativeWindow   bool) 387) (BuildId: 1eff8dd64422a9581613695039448b42)_x000D_
01 19 16:21:06 824  1692  1692 F DEBUG   :        06 pc 000000000028f5b8   system lib64 libhwui so ( ZNSt3  110  function6  funcIZN7android10uirenderer12renderthread11RenderProxy10setSurfaceEP13ANativeWindowbE3  6NS 9allocatorIS8 EEFvvEEclEv 81825b4554ba48924a771fcb836d7698 24) (BuildId: 1eff8dd64422a9581613695039448b42)_x000D_
01 19 16:21:06 824  1692  1692 F DEBUG   :        07 pc 000000000026f525   system lib64 libhwui so (android::uirenderer::WorkQueue::process() 149) (BuildId: 1eff8dd64422a9581613695039448b42)_x000D_
01 19 16:21:06 824  1692  1692 F DEBUG   :        08 pc 0000000000293a9f   system lib64 libhwui so (android::uirenderer::renderthread::RenderThread::threadLoop() 111) (BuildId: 1eff8dd64422a9581613695039448b42)_x000D_
01 19 16:21:06 824  1692  1692 F DEBUG   :        09 pc 00000000000160f9   system lib64 libutils so (android::Thread:: threadLoop(void ) 313) (BuildId: f05215e676719d2e6ecb485e0d1bc79e)_x000D_
01 19 16:21:06 824  1692  1692 F DEBUG   :        10 pc 0000000000015980   system lib64 libutils so (thread data t::trampoline(thread data t const ) 416) (BuildId: f05215e676719d2e6ecb485e0d1bc79e)_x000D_
01 19 16:21:06 824  1692  1692 F DEBUG   :        11 pc 00000000000c815a   apex com android runtime lib64 bionic libc so (  pthread start(void ) 58) (BuildId: 367a43aefd68123bf118851437b2730e)_x000D_
01 19 16:21:06 824  1692  1692 F DEBUG   :        12 pc 000000000005f4e7   apex com android runtime lib64 bionic libc so (  start thread 55) (BuildId: 367a43aefd68123bf118851437b2730e)_x000D_
01 19 16:21:07 822   321   384 I InputDispatcher: Dropping event because there is no touchable window or gesture monitor at (589  229) in display 3 _x000D_
01 19 16:21:07 822   321   384 W InputDispatcher: Asynchronous input event injection failed _x000D_
01 19 16:21:07 829   321   384 I InputDispatcher: Dropping event because there is no touchable window or gesture monitor at (577  233) in display 3 _x000D_
01 19 16:21:07 829   321   384 W InputDispatcher: Asynchronous input event injection failed _x000D_
01 19 16:21:07 835   321   384 I InputDispatcher: Dropping event because there is no touchable window or gesture monitor at (564  240) in display 3 _x000D_
01 19 16:21:07 835   321   384 W InputDispatcher: Asynchronous input event injection failed _x000D_
01 19 16:21:07 842   321   384 I InputDispatcher: Dropping event because there is no touchable window or gesture monitor at (552  243) in display 3 _x000D_
01 19 16:21:07 842   321   384 W InputDispatcher: Asynchronous input event injection failed _x000D_
01 19 16:21:07 850   321   384 I InputDispatcher: Dropping event because there is no touchable window or gesture monitor at (543  247) in display 3 _x000D_
01 19 16:21:07 850   321   384 W InputDispatcher: Asynchronous input event injection failed _x000D_
01 19 16:21:07 856   321   384 I InputDispatcher: Dropping event because there is no touchable window or gesture monitor at (539  249) in display 3 _x000D_
01 19 16:21:07 856   321   384 W InputDispatcher: Asynchronous input event injection failed _x000D_
01 19 16:21:07 863   321   384 I InputDispatcher: Dropping event because there is no touchable window or gesture monitor at (534  251) in display 3 _x000D_
01 19 16:21:07 864   321   384 W InputDispatcher: Asynchronous input event injection failed _x000D_
01 19 16:21:07 870   321   384 I InputDispatcher: Dropping event because there is no touchable window or gesture monitor at (531  252) in display 3 _x000D_
01 19 16:21:07 870   321   384 W InputDispatcher: Asynchronous input event injection failed _x000D_
01 19 16:21:07 877   321   384 I InputDispatcher: Dropping event because there is no touchable window or gesture monitor at (528  254) in display 3 _x000D_
01 19 16:21:07 877   321   384 W InputDispatcher: Asynchronous input event injection failed _x000D_
01 19 16:21:07 885   321   384 I InputDispatcher: Dropping event because there is no touchable window or gesture monitor at (525  255) in display 3 _x000D_
01 19 16:21:07 886   321   384 W InputDispatcher: Asynchronous input event injection failed _x000D_
01 19 16:21:07 892   321   384 I InputDispatcher: Dropping event because there is no touchable window or gesture monitor at (523  256) in display 3 _x000D_
01 19 16:21:07 892   321   384 W InputDispatcher: Asynchronous input event injection failed _x000D_
01 19 16:21:07 899   321   384 I InputDispatcher: Dropping event because there is no touchable window or gesture monitor at (521  257) in display 3 _x000D_
01 19 16:21:07 899   321   384 W InputDispatcher: Asynchronous input event injection failed _x000D_
01 19 16:21:07 906   321   384 I InputDispatcher: Dropping event because there is no touchable window or gesture monitor at (520  258) in display 3 _x000D_
01 19 16:21:07 906   321   384 W InputDispatcher: Asynchronous input event injection failed _x000D_
01 19 16:21:07 913   321   384 I InputDispatcher: Dropping event because there is no touchable window or gesture monitor at (518  259) in display 3 _x000D_
01 19 16:21:07 913   321   384 W InputDispatcher: Asynchronous input event injection failed _x000D_
01 19 16:21:07 920   321   384 I InputDispatcher: Dropping event because there is no touchable window or gesture monitor at (516  261) in display 3 _x000D_
01 19 16:21:07 920   321   384 W InputDispatcher: Asynchronous input event injection failed _x000D_
01 19 16:21:07 927   321   384 I InputDispatcher: Dropping event because there is no touchable window or gesture monitor at (516  262) in display 3 _x000D_
01 19 16:21:07 927   321   384 W InputDispatcher: Asynchronous input event injection failed _x000D_
01 19 16:21:07 934   321   384 I InputDispatcher: Dropping event because there is no touchable window or gesture monitor at (514  262) in display 3 _x000D_
01 19 16:21:07 935   321   384 W InputDispatcher: Asynchronous input event injection failed _x000D_
01 19 16:21:07 941   321   384 I InputDispatcher: Dropping event because there is no touchable window or gesture monitor at (513  264) in display 3 _x000D_
01 19 16:21:07 942   321   384 W InputDispatcher: Asynchronous input event injection failed _x000D_
01 19 16:21:07 948   321   384 I InputDispatcher: Dropping event because there is no touchable window or gesture monitor at (512  265) in display 3 _x000D_
01 19 16:21:07 948   321   384 W InputDispatcher: Asynchronous input event injection failed _x000D_
01 19 16:21:07 962   321   384 I InputDispatcher: Dropping event because there is no touchable window or gesture monitor at (511  266) in display 3 _x000D_
01 19 16:21:07 962   321   384 W InputDispatcher: Asynchronous input event injection failed _x000D_
01 19 16:21:07 969   321   384 I InputDispatcher: Dropping event because there is no touchable window or gesture monitor at (510  267) in display 3 _x000D_
01 19 16:21:07 969   321   384 W InputDispatcher: Asynchronous input event injection failed _x000D_
01 19 16:21:07 984   321   384 I InputDispatcher: Dropping event because there is no touchable window or gesture monitor at (509  268) in display 3 _x000D_
01 19 16:21:07 984   321   384 W InputDispatcher: Asynchronous input event injection failed _x000D_
01 19 16:21:07 998   321   384 I InputDispatcher: Dropping event because there is no touchable window or gesture monitor at (508  270) in display 3 _x000D_
01 19 16:21:07 998   321   384 W InputDispatcher: Asynchronous input event injection failed _x000D_
01 19 16:21:08 004   321   384 I InputDispatcher: Dropping event because there is no touchable window or gesture monitor at (507  271) in display 3 _x000D_
01 19 16:21:08 004   321   384 W InputDispatcher: Asynchronous input event injection failed _x000D_
01 19 16:21:08 010   321   384 I InputDispatcher: Dropping event because there is no touchable window or gesture monitor at (507  273) in display 3 _x000D_
01 19 16:21:08 010   321   384 W InputDispatcher: Asynchronous input event injection failed _x000D_
01 19 16:21:08 017   321   384 I InputDispatcher: Dropping event because there is no touchable window or gesture monitor at (506  275) in display 3 _x000D_
01 19 16:21:08 017   321   384 W InputDispatcher: Asynchronous input event injection failed _x000D_
01 19 16:21:08 025   321   384 I InputDispatcher: Dropping event because there is no touchable window or gesture monitor at (505  276) in display 3 _x000D_
01 19 16:21:08 025   321   384 W InputDispatcher: Asynchronous input event injection failed _x000D_
01 19 16:21:08 032   321   384 I InputDispatcher: Dropping event because there is no touchable window or gesture monitor at (504  278) in display 3 _x000D_
01 19 16:21:08 032   321   384 W InputDispatcher: Asynchronous input event injection failed _x000D_
01 19 16:21:08 038   321   384 I InputDispatcher: Dropping event because there is no touchable window or gesture monitor at (503  280) in display 3 _x000D_
01 19 16:21:08 038   321   384 W InputDispatcher: Asynchronous input event injection failed _x000D_
01 19 16:21:08 045   321   384 I InputDispatcher: Dropping event because there is no touchable window or gesture monitor at (502  282) in display 3 _x000D_
01 19 16:21:08 045   321   384 W InputDispatcher: Asynchronous input event injection failed _x000D_
01 19 16:21:08 052   321   384 I InputDispatcher: Dropping event because there is no touchable window or gesture monitor at (501  283) in display 3 _x000D_
01 19 16:21:08 052   321   384 W InputDispatcher: Asynchronous input event injection failed _x000D_
01 19 16:21:08 059   321   384 I InputDispatcher: Dropping event because there is no touchable window or gesture monitor at (501  285) in display 3 _x000D_
01 19 16:21:08 059   321   384 W InputDispatcher: Asynchronous input event injection failed _x000D_
01 19 16:21:08 066   321   384 I InputDispatcher: Dropping event because there is no touchable window or gesture monitor at (501  286) in display 3 _x000D_
01 19 16:21:08 066   321   384 W InputDispatcher: Asynchronous input event injection failed _x000D_
01 19 16:21:08 073   321   384 I InputDispatcher: Dropping event because there is no touchable window or gesture monitor at (500  286) in display 3 _x000D_
01 19 16:21:08 073   321   384 W InputDispatcher: Asynchronous input event injection failed _x000D_
01 19 16:21:08 081   321   384 I InputDispatcher: Dropping event because there is no touchable window or gesture monitor at (500  287) in display 3 _x000D_
01 19 16:21:08 081   321   384 W InputDispatcher: Asynchronous input event injection failed _x000D_
01 19 16:21:08 088   321   384 I InputDispatcher: Dropping event because there is no touchable window or gesture monitor at (499  288) in display 3 _x000D_
01 19 16:21:08 088   321   384 W InputDispatcher: Asynchronous input event injection failed _x000D_
01 19 16:21:08 095   321   384 I InputDispatcher: Dropping event because there is no touchable window or gesture monitor at (499  289) in display 3 _x000D_
01 19 16:21:08 095   321   384 W InputDispatcher: Asynchronous input event injection failed _x000D_
01 19 16:21:08 102   321   384 I InputDispatcher: Dropping event because there is no touchable window or gesture monitor at (498  289) in display 3 _x000D_
01 19 16:21:08 102   321   384 W InputDispatcher: Asynchronous input event injection failed _x000D_
01 19 16:21:08 109   321   384 I InputDispatcher: Dropping event because there is no touchable window or gesture monitor at (498  291) in display 3 _x000D_
01 19 16:21:08 109   321   384 W InputDispatcher: Asynchronous input event injection failed _x000D_
01 19 16:21:08 123   321   384 I InputDispatcher: Dropping event because there is no touchable window or gesture monitor at (498  292) in display 3 _x000D_
01 19 16:21:08 123   321   384 W InputDispatcher: Asynchronous input event injection failed _x000D_
01 19 16:21:08 130   321   384 I InputDispatcher: Dropping event because there is no touchable window or gesture monitor at (498  293) in display 3 _x000D_
01 19 16:21:08 130   321   384 W InputDispatcher: Asynchronous input event injection failed _x000D_
01 19 16:21:08 136   321   384 I InputDispatcher: Dropping event because there is no touchable window or gesture monitor at (497  294) in display 3 _x000D_
01 19 16:21:08 136   321   384 W InputDispatcher: Asynchronous input event injection failed _x000D_
01 19 16:21:08 143   321   384 I InputDispatcher: Dropping event because there is no touchable window or gesture monitor at (497  295) in display 3 _x000D_
01 19 16:21:08 143   321   384 W InputDispatcher: Asynchronous input event injection failed _x000D_
01 19 16:21:08 150   321   384 I InputDispatcher: Dropping event because there is no touchable window or gesture monitor at (496  296) in display 3 _x000D_
01 19 16:21:08 150   321   384 W InputDispatcher: Asynchronous input event injection failed _x000D_
01 19 16:21:08 157   321   384 I InputDispatcher: Dropping event because there is no touchable window or gesture monitor at (496  297) in display 3 _x000D_
01 19 16:21:08 157   321   384 W InputDispatcher: Asynchronous input event injection failed _x000D_
01 19 16:21:08 164   321   384 I InputDispatcher: Dropping event because there is no touchable window or gesture monitor at (496  298) in display 3 _x000D_
01 19 16:21:08 164   321   384 W InputDispatcher: Asynchronous input event injection failed _x000D_
01 19 16:21:08 171   321   384 I InputDispatcher: Dropping event because there is no touchable window or gesture monitor at (496  299) in display 3 _x000D_
01 19 16:21:08 171   321   384 W InputDispatcher: Asynchronous input event injection failed _x000D_
01 19 16:21:08 186   321   384 I InputDispatcher: Dropping event because there is no touchable window or gesture monitor at (495  300) in display 3 _x000D_
01 19 16:21:08 186   321   384 W InputDispatcher: Asynchronous input event injection failed _x000D_
01 19 16:21:08 200   321   384 I InputDispatcher: Dropping event because there is no touchable window or gesture monitor at (495  301) in display 3 _x000D_
01 19 16:21:08 200   321   384 W InputDispatcher: Asynchronous input event injection failed _x000D_
01 19 16:21:08 207   321   384 I InputDispatcher: Dropping event because there is no touchable window or gesture monitor at (494  302) in display 3 _x000D_
01 19 16:21:08 207   321   384 W InputDispatcher: Asynchronous input event injection failed _x000D_
01 19 16:21:08 235   321   384 I InputDispatcher: Dropping event because there is no touchable window or gesture monitor at (494  303) in display 3 _x000D_
01 19 16:21:08 235   321   384 W InputDispatcher: Asynchronous input event injection failed _x000D_
01 19 16:21:08 255   321   384 I InputDispatcher: Dropping event because there is no touchable window or gesture monitor at (494  304) in display 3 _x000D_
01 19 16:21:08 256   321   384 W InputDispatcher: Asynchronous input event injection failed _x000D_
01 19 16:21:08 264   321   384 I InputDispatcher: Dropping event because there is no touchable window or gesture monitor at (493  304) in display 3 _x000D_
01 19 16:21:08 264   321   384 W InputDispatcher: Asynchronous input event injection failed _x000D_
01 19 16:21:08 276   321   384 I InputDispatcher: Dropping event because there is no touchable window or gesture monitor at (493  305) in display 3 _x000D_
01 19 16:21:08 276   321   384 W InputDispatcher: Asynchronous input event injection failed _x000D_
01 19 16:21:08 284   321   384 I InputDispatcher: Dropping event because there is no touchable window or gesture monitor at (493  306) in display 3 _x000D_
01 19 16:21:08 284   321   384 W InputDispatcher: Asynchronous input event injection failed _x000D_
01 19 16:21:08 291   321   384 I InputDispatcher: Dropping event because there is no touchable window or gesture monitor at (492  307) in display 3 _x000D_
01 19 16:21:08 291   321   384 W InputDispatcher: Asynchronous input event injection failed _x000D_
01 19 16:21:08 305   321   384 I InputDispatcher: Dropping event because there is no touchable window or gesture monitor at (492  308) in display 3 _x000D_
01 19 16:21:08 305   321   384 W InputDispatcher: Asynchronous input event injection failed _x000D_
01 19 16:21:08 318   321   384 I InputDispatcher: Dropping event because there is no touchable window or gesture monitor at (491  309) in display 3 _x000D_
01 19 16:21:08 318   321   384 W InputDispatcher: Asynchronous input event injection failed _x000D_
01 19 16:21:08 339   321   384 I InputDispatcher: Dropping event because there is no touchable window or gesture monitor at (491  310) in display 3 _x000D_
01 19 16:21:08 339   321   384 W InputDispatcher: Asynchronous input event injection failed _x000D_
01 19 16:21:08 346   321   384 I InputDispatcher: Dropping event because there is no touchable window or gesture monitor at (491  311) in display 3 _x000D_
01 19 16:21:08 346   321   384 W InputDispatcher: Asynchronous input event injection failed _x000D_
01 19 16:21:08 353   321   384 I InputDispatcher: Dropping event because there is no touchable window or gesture monitor at (490  311) in display 3 _x000D_
01 19 16:21:08 353   321   384 W InputDispatcher: Asynchronous input event injection failed _x000D_
01 19 16:21:08 360   321   384 I InputDispatcher: Dropping event because there is no touchable window or gesture monitor at (490  312) in display 3 _x000D_
01 19 16:21:08 360   321   384 W InputDispatcher: Asynchronous input event injection failed _x000D_
01 19 16:21:08 383    96    96 E tombstoned: Tombstone written to:  data tombstones tombstone 08_x000D_
01 19 16:21:08 383   158   168 I diagnostics service: found file tombstone 08_x000D_
01 19 16:21:08 383   158   168 I diagnostics service: transmitFile tombstone 08_x000D_
01 19 16:21:08 390   321   384 I InputDispatcher: Dropping event because there is no touchable window or gesture monitor at (490  313) in display 3 _x000D_
01 19 16:21:08 3</t>
  </si>
  <si>
    <t>inaturalist-iNaturalistAndroid-1174</t>
  </si>
  <si>
    <t>NullPointerException in ObservationEditor.getLocation</t>
  </si>
  <si>
    <t xml:space="preserve">https:  console firebase google com u 1 project inaturalist ios crashlytics app android:org inaturalist android issues 9b17022927da7b746ffc55036c9698bb_x000D_
_x000D_
   _x000D_
Caused by java lang NullPointerException: Attempt to invoke virtual method  java lang Object android app Activity getSystemService(java lang String)  on a null object reference_x000D_
       at org inaturalist android ObservationEditor getLocation(ObservationEditor java:2414)_x000D_
       at org inaturalist android ObservationEditor access 4100(ObservationEditor java:147)_x000D_
       at org inaturalist android ObservationEditor 30 onPermissionGranted(ObservationEditor java:2390)_x000D_
       at org inaturalist android INaturalistApp onRequestPermissionsResult(INaturalistApp java:1298)_x000D_
       at org inaturalist android ObservationEditorSlider onRequestPermissionsResult(ObservationEditorSlider java:145)_x000D_
   </t>
  </si>
  <si>
    <t>inaturalist-iNaturalistAndroid-1172</t>
  </si>
  <si>
    <t xml:space="preserve">https:  console firebase google com u 1 project inaturalist ios crashlytics app android:org inaturalist android issues 653fa97f9f353c1c1336966bb1bc488b_x000D_
_x000D_
   _x000D_
Fatal Exception: java lang NullPointerException: uri_x000D_
       at com android internal util Preconditions checkNotNull(Preconditions java:128)_x000D_
       at android content ContentResolver update(ContentResolver java:1713)_x000D_
       at org inaturalist android ObservationViewerFragment ObservationReceiver onReceive(ObservationViewerFragment java:2818)_x000D_
   </t>
  </si>
  <si>
    <t>inaturalist-iNaturalistAndroid-1171</t>
  </si>
  <si>
    <t xml:space="preserve">https:  console firebase google com u 1 project inaturalist ios crashlytics app android:org inaturalist android issues d668114a5656f5913095f209ec6b9323_x000D_
_x000D_
   _x000D_
Fatal Exception: java lang NullPointerException: Attempt to read from field  java util List org inaturalist android Observation photos  on a null object reference_x000D_
       at org inaturalist android ObservationViewerFragment PhotosViewPagerAdapter getCount(ObservationViewerFragment java:405)_x000D_
       at androidx viewpager widget ViewPager setAdapter(ViewPager java:532)_x000D_
       at org inaturalist android ObservationViewerFragment reloadPhotos(ObservationViewerFragment java:3077)_x000D_
       at org inaturalist android ObservationViewerFragment onCreateView(ObservationViewerFragment java:855)_x000D_
   </t>
  </si>
  <si>
    <t>TeamNewPipe-NewPipe-7671</t>
  </si>
  <si>
    <t>Swiping doesn't add additional search results in landscape mode</t>
  </si>
  <si>
    <t xml:space="preserve">
    Checklist
     This checklist is COMPULSORY  The first box has been checked for you to show you how it is done     
   x  I am using the latest version   0 21 15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1  Rotate your tablet into landscape mode
2  Do a search
3  Try to swipe to get more results
    Actual behavior
On a tablet that is big enough to display a 7 x 3 search results grid  the last cell in the grid is empty because initially only the first 20 results are shown  So swiping doesn t work and won t add the next results  If you rotate to portrait and swipe to add additional results and then rotate back to landscape  swiping also works in landscape mode and adds additional results 
    Expected behavior
Swiping should load additional results if available  even if not all cells in the grid are filled  Or load enough results to fully fill the grid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Screenshot 20220118 223357 NewPipe jpg (https:  user images githubusercontent com 3647678 150022324 2a705474 019f 4651 9c90 9eaebbcd8219 jpg)
    Logs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Android 11
   Device model: Samsung Galaxy Tab A7
</t>
  </si>
  <si>
    <t>PojavLauncherTeam-PojavLauncher-2581</t>
  </si>
  <si>
    <t>[Forge 1.18.1] Crashes when launched</t>
  </si>
  <si>
    <t xml:space="preserve">    Describe the bug
When I start the game  a Windows pops up :  Application exited with code 1   I then inspected the latestlog txt and noticed an error (this may not be the actual one  but I think it is) : java lang module FindException: Module cpw mods securejarhandler not found
    The log file and images videos
          beggining with launcher debug_x000D_
Info: Launcher version: crocus v3 openjdk_x000D_
Info: LWJGL3 directory:  jsr305 jar  lwjgl glfw classes jar  lwjgl jemalloc jar  lwjgl openal jar  lwjgl opengl jar  lwjgl stb jar  lwjgl tinyfd jar  lwjgl jar  version _x000D_
Architecture: arm64_x000D_
Info: Custom Java arguments:   _x000D_
Info: Selected Minecraft version: 1 18 1 forge 39 0 36 (1 18 1)_x000D_
Added custom env: TMPDIR  data user 0 net kdt pojavlaunch cache_x000D_
Added custom env: AWTSTUB WIDTH 2294_x000D_
Added custom env: REGAL GL VERSION 4 5_x000D_
Added custom env: REGAL GL VENDOR Android_x000D_
Added custom env: LIBGL MIPMAP 3_x000D_
Added custom env: allow higher compat version true_x000D_
Added custom env: MESA GLSL CACHE DIR  data user 0 net kdt pojavlaunch cache_x000D_
Added custom env: HOME  storage emulated 0 Android data net kdt pojavlaunch files  minecraft_x000D_
Added custom env: PATH  data user 0 net kdt pojavlaunch runtimes jre17 arm64 20210825 release tar(1)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runtimes jre17 arm64 20210825 release tar(1) xz lib jli: data user 0 net kdt pojavlaunch runtimes jre17 arm64 20210825 release tar(1) xz lib: system lib64: vendor lib64: vendor lib64 hw: data app   eyiTqxDkwW fw2cHh 96Qg   net kdt pojavlaunch 2AA3Thue 7Qhfo9BC0i24g   lib arm64_x000D_
Added custom env: POJAV RENDERER opengles3_x000D_
Added custom env: LIBGL ES 3_x000D_
Added custom env: MESA LOADER DRIVER OVERRIDE zink_x000D_
Added custom env: MESA GLSL VERSION OVERRIDE 460_x000D_
Added custom env: JAVA HOME  data user 0 net kdt pojavlaunch runtimes jre17 arm64 20210825 release tar(1) xz_x000D_
Added custom env: MESA GL VERSION OVERRIDE 4 6_x000D_
Added custom env: allow glsl extension directive midshader true_x000D_
Added custom env: REGAL GL RENDERER Regal_x000D_
Added custom env: AWTSTUB HEIGHT 1080_x000D_
Initialising gl4es_x000D_
v1 1 5 built on Aug 18 2021 16:47:47_x000D_
Using GLES 2 0 backend_x000D_
loaded: libGLESv2 so_x000D_
loaded: libEGL so_x000D_
Using GLES 2 0 backend_x000D_
Hardware Full NPOT detected and used_x000D_
Extension GL EXT draw buffers is in core ES3  and so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OES texture float  detected and used_x000D_
Extension GL OES texture half float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16384_x000D_
Max Varying Vector: 31_x000D_
Texture Units: 16 16 (hardware: 16)  Max lights: 8  Max planes: 6_x000D_
Extension GL EXT texture filter anisotropic  detected and used_x000D_
Max Anisotropic filtering: 16_x000D_
Max Color Attachments: 8   Draw buffers: 8_x000D_
Hardware vendor is Qualcomm_x000D_
GLSL 300 es supported_x000D_
GLSL 310 es supported and used_x000D_
sRGB surface supported_x000D_
EGLImage to Texture2D supported_x000D_
EGLImage to RenderBuffer supported_x000D_
ignore MipMap_x000D_
Targeting OpenGL 2 1_x000D_
NPOT texture handled in hardware_x000D_
Not trying to batch small subsequent glDrawXXXX_x000D_
try to use VBO_x000D_
Force texture for Attachment color0 on FBO_x000D_
Hack to trigger a SwapBuffers when a Full Framebuffer Blit on default FBO is done_x000D_
Force normals to be normalized on FPE shaders_x000D_
glX Will try to recycle EGL Surface_x000D_
Current folder is: _x000D_
          beginning of main_x000D_
          beginning of system_x000D_
I jrelog  ( 7505): dlopen libgl4es 115 so success_x000D_
I jrelog  ( 7505): dlopen  data user 0 net kdt pojavlaunch runtimes jre17 arm64 20210825 release tar(1) xz lib libjli so success_x000D_
I jrelog  ( 7505): dlopen libjvm so failed: dlopen failed: library  libjvm so  not found_x000D_
I jrelog  ( 7505): dlopen  data user 0 net kdt pojavlaunch runtimes jre17 arm64 20210825 release tar(1) xz lib server libjvm so success_x000D_
I jrelog  ( 7505): dlopen  data user 0 net kdt pojavlaunch runtimes jre17 arm64 20210825 release tar(1) xz lib libverify so success_x000D_
I jrelog  ( 7505): dlopen  data user 0 net kdt pojavlaunch runtimes jre17 arm64 20210825 release tar(1) xz lib libjava so success_x000D_
I jrelog  ( 7505): dlopen  data user 0 net kdt pojavlaunch runtimes jre17 arm64 20210825 release tar(1) xz lib libnet so success_x000D_
I jrelog  ( 7505): dlopen  data user 0 net kdt pojavlaunch runtimes jre17 arm64 20210825 release tar(1) xz lib libnio so success_x000D_
I jrelog  ( 7505): dlopen  data user 0 net kdt pojavlaunch runtimes jre17 arm64 20210825 release tar(1) xz lib libawt so success_x000D_
I jrelog  ( 7505): dlopen  data user 0 net kdt pojavlaunch runtimes jre17 arm64 20210825 release tar(1) xz lib libawt headless so success_x000D_
I jrelog  ( 7505): dlopen  data user 0 net kdt pojavlaunch runtimes jre17 arm64 20210825 release tar(1) xz lib libfreetype so success_x000D_
I jrelog  ( 7505): dlopen  data user 0 net kdt pojavlaunch runtimes jre17 arm64 20210825 release tar(1) xz lib libfontmanager so success_x000D_
I jrelog  ( 7505): dlopen  data user 0 net kdt pojavlaunch runtimes jre17 arm64 20210825 release tar(1) xz lib libawt so success_x000D_
I jrelog  ( 7505): dlopen  data user 0 net kdt pojavlaunch runtimes jre17 arm64 20210825 release tar(1) xz lib server libjvm so success_x000D_
I jrelog  ( 7505): dlopen  data user 0 net kdt pojavlaunch runtimes jre17 arm64 20210825 release tar(1) xz lib server libjsig so success_x000D_
I jrelog  ( 7505): dlopen  data user 0 net kdt pojavlaunch runtimes jre17 arm64 20210825 release tar(1) xz lib libattach so success_x000D_
I jrelog  ( 7505): dlopen  data user 0 net kdt pojavlaunch runtimes jre17 arm64 20210825 release tar(1) xz lib libjavajpeg so success_x000D_
I jrelog  ( 7505): dlopen  data user 0 net kdt pojavlaunch runtimes jre17 arm64 20210825 release tar(1) xz lib libsyslookup so success_x000D_
I jrelog  ( 7505): dlopen  data user 0 net kdt pojavlaunch runtimes jre17 arm64 20210825 release tar(1) xz lib libfontmanager so success_x000D_
I jrelog  ( 7505): dlopen  data user 0 net kdt pojavlaunch runtimes jre17 arm64 20210825 release tar(1) xz lib libj2pcsc so success_x000D_
I jrelog  ( 7505): dlopen  data user 0 net kdt pojavlaunch runtimes jre17 arm64 20210825 release tar(1) xz lib libmanagement so success_x000D_
I jrelog  ( 7505): dlopen  data user 0 net kdt pojavlaunch runtimes jre17 arm64 20210825 release tar(1) xz lib libjaas so success_x000D_
I jrelog  ( 7505): dlopen  data user 0 net kdt pojavlaunch runtimes jre17 arm64 20210825 release tar(1) xz lib libfreetype so success_x000D_
I jrelog  ( 7505): dlopen  data user 0 net kdt pojavlaunch runtimes jre17 arm64 20210825 release tar(1) xz lib libjli so success_x000D_
I jrelog  ( 7505): dlopen  data user 0 net kdt pojavlaunch runtimes jre17 arm64 20210825 release tar(1) xz lib libjimage so success_x000D_
I jrelog  ( 7505): dlopen  data user 0 net kdt pojavlaunch runtimes jre17 arm64 20210825 release tar(1) xz lib libjsig so success_x000D_
I jrelog  ( 7505): dlopen  data user 0 net kdt pojavlaunch runtimes jre17 arm64 20210825 release tar(1) xz lib libj2gss so success_x000D_
I jrelog  ( 7505): dlopen  data user 0 net kdt pojavlaunch runtimes jre17 arm64 20210825 release tar(1) xz lib libnet so success_x000D_
I jrelog  ( 7505): dlopen  data user 0 net kdt pojavlaunch runtimes jre17 arm64 20210825 release tar(1) xz lib libjava so success_x000D_
I jrelog  ( 7505): dlopen  data user 0 net kdt pojavlaunch runtimes jre17 arm64 20210825 release tar(1) xz lib libnio so success_x000D_
I jrelog  ( 7505): dlopen  data user 0 net kdt pojavlaunch runtimes jre17 arm64 20210825 release tar(1) xz lib libprefs so success_x000D_
I jrelog  ( 7505): dlopen  data user 0 net kdt pojavlaunch runtimes jre17 arm64 20210825 release tar(1) xz lib libmanagement ext so success_x000D_
I jrelog  ( 7505): dlopen  data user 0 net kdt pojavlaunch runtimes jre17 arm64 20210825 release tar(1) xz lib libj2pkcs11 so success_x000D_
I jrelog  ( 7505): dlopen  data user 0 net kdt pojavlaunch runtimes jre17 arm64 20210825 release tar(1) xz lib libdt socket so success_x000D_
I jrelog  ( 7505): dlopen  data user 0 net kdt pojavlaunch runtimes jre17 arm64 20210825 release tar(1) xz lib libjdwp so success_x000D_
I jrelog  ( 7505): dlopen  data user 0 net kdt pojavlaunch runtimes jre17 arm64 20210825 release tar(1) xz lib libzip so success_x000D_
I jrelog  ( 7505): dlopen  data user 0 net kdt pojavlaunch runtimes jre17 arm64 20210825 release tar(1) xz lib libsctp so success_x000D_
I jrelog  ( 7505): dlopen  data user 0 net kdt pojavlaunch runtimes jre17 arm64 20210825 release tar(1) xz lib libmlib image so success_x000D_
I jrelog  ( 7505): dlopen  data user 0 net kdt pojavlaunch runtimes jre17 arm64 20210825 release tar(1) xz lib libextnet so success_x000D_
I jrelog  ( 7505): dlopen  data user 0 net kdt pojavlaunch runtimes jre17 arm64 20210825 release tar(1) xz lib libinstrument so success_x000D_
I jrelog  ( 7505): dlopen  data user 0 net kdt pojavlaunch runtimes jre17 arm64 20210825 release tar(1) xz lib libmanagement agent so success_x000D_
I jrelog  ( 7505): dlopen  data user 0 net kdt pojavlaunch runtimes jre17 arm64 20210825 release tar(1) xz lib librmi so success_x000D_
I jrelog  ( 7505): dlopen  data user 0 net kdt pojavlaunch runtimes jre17 arm64 20210825 release tar(1) xz lib liblcms so success_x000D_
I jrelog  ( 7505): dlopen  data user 0 net kdt pojavlaunch runtimes jre17 arm64 20210825 release tar(1) xz lib libjawt so success_x000D_
I jrelog  ( 7505): dlopen  data user 0 net kdt pojavlaunch runtimes jre17 arm64 20210825 release tar(1) xz lib libverify so success_x000D_
I jrelog  ( 7505): dlopen  data user 0 net kdt pojavlaunch runtimes jre17 arm64 20210825 release tar(1) xz lib libawt headless so success_x000D_
I jrelog  ( 7505): dlopen  data user 0 net kdt pojavlaunch runtimes jre17 arm64 20210825 release tar(1) xz lib libawt xawt so success_x000D_
I jrelog  ( 7505): dlopen  data app   eyiTqxDkwW fw2cHh 96Qg   net kdt pojavlaunch 2AA3Thue 7Qhfo9BC0i24g   lib arm64 libopenal so success_x000D_
I jrelog  ( 7505): Done processing args_x000D_
I jrelog  ( 7505): Found JLI lib_x000D_
I jrelog  ( 7505): Calling JLI Launch_x000D_
logcat: Unexpected EOF _x000D_
_x000D_
This means that either the device shut down  logd crashed  or this instance of logcat was unable to read log_x000D_
messages as quickly as they were being produced _x000D_
_x000D_
If you have enabled significant logging  look into using the  G option to increase log buffer sizes _x000D_
          beginning of main_x000D_
Exception in thread  main  _x000D_
java lang module FindException: Module cpw mods securejarhandler not found  required by cpw mods bootstraplauncher_x000D_
	at java base java lang module Resolver findFail(Resolver java:893)_x000D_
	at java base java lang module Resolver resolve(Resolver java:192)_x000D_
	at java base java lang module Resolver resolve(Resolver java:141)_x000D_
	at java base java lang module Configuration resolveAndBind(Configuration java:492)_x000D_
	at java base java lang module Configuration resolveAndBind(Configuration java:298)_x000D_
	at cpw mods bootstraplauncher BootstrapLauncher main(BootstrapLauncher java:83)_x000D_
Java Exit code: 1_x000D_
I jrelog  ( 7505): Going to free args_x000D_
I jrelog  ( 7505): Free done_x000D_
          beginning of system
    Steps To Reproduce
   markdown
1  Start PojavLauncher_x000D_
2  Start Minecraft 1 18 1_x000D_
3  Install Forge 1 18 1_x000D_
4  Start Forge 1 18 1_x000D_
5  It crashes
    Expected Behavior
I expected the game to launch
    Platform
   markdown
  Device model: Oppo Reno 4 Pro 5G_x000D_
  CPU architecture: aarch64_x000D_
  Android version: 11_x000D_
  PojavLauncher version: Latest on PlayStore
    Anything else 
 No response </t>
  </si>
  <si>
    <t>cgeo-cgeo-12556</t>
  </si>
  <si>
    <t>Crash when trying to change waypoint name</t>
  </si>
  <si>
    <t xml:space="preserve">    Describe your problem 
A user has the reproducable problem  that c:geo crashes when trying to change the name of a  Go to  target  Not sure if changing a waypoint name in a  normal cache  has the same problem _x000D_
_x000D_
In a first try I was unable to reproduce it  maybe some other precondition or depending on Android version _x000D_
    How to reproduce 
  User creates new ZZ0 waypoint by triggering c:geo from the ALC app_x000D_
  User long taps on that waypoint in ZZ0 and selects  Edit _x000D_
  Waypoint edit dialog is shown and users taps on the waypoint name field_x000D_
_x000D_
See also video from user:_x000D_
_x000D_
https:  user images githubusercontent com 949669 149926381 a3e1a38a 15c8 4f84 b583 672644c1392d mp4_x000D_
_x000D_
_x000D_
    Actual result after these steps 
  Crash_x000D_
_x000D_
   _x000D_
01 18 11:42:13 202 30862 30862 E AndroidRuntime: FATAL EXCEPTION: main_x000D_
01 18 11:42:13 202 30862 30862 E AndroidRuntime: Process: cgeo geocaching  PID: 30862_x000D_
01 18 11:42:13 202 30862 30862 E AndroidRuntime: java lang NullPointerException: Attempt to invoke virtual method  void android view View getBoundsOnScreen(android graphics Rect)  on a null object reference_x000D_
01 18 11:42:13 202 30862 30862 E AndroidRuntime: 	at android app assist AssistStructure WindowNode  init (AssistStructure java:484)_x000D_
01 18 11:42:13 202 30862 30862 E AndroidRuntime: 	at android app assist AssistStructure  init (AssistStructure java:1908)_x000D_
01 18 11:42:13 202 30862 30862 E AndroidRuntime: 	at android app ActivityThread handleRequestAssistContextExtras(ActivityThread java:3580)_x000D_
01 18 11:42:13 202 30862 30862 E AndroidRuntime: 	at android app ActivityThread H handleMessage(ActivityThread java:2238)_x000D_
01 18 11:42:13 202 30862 30862 E AndroidRuntime: 	at android os Handler dispatchMessage(Handler java:108)_x000D_
01 18 11:42:13 202 30862 30862 E AndroidRuntime: 	at android os Looper loop(Looper java:166)_x000D_
01 18 11:42:13 202 30862 30862 E AndroidRuntime: 	at android app ActivityThread main(ActivityThread java:7529)_x000D_
01 18 11:42:13 202 30862 30862 E AndroidRuntime: 	at java lang reflect Method invoke(Native Method)_x000D_
01 18 11:42:13 202 30862 30862 E AndroidRuntime: 	at com android internal os Zygote MethodAndArgsCaller run(Zygote java:245)_x000D_
01 18 11:42:13 202 30862 30862 E AndroidRuntime: 	at com android internal os ZygoteInit main(ZygoteInit java:921)_x000D_
    Expected result after these steps 
Normal operation  no crash
    Reproducible
Unclear
    c:geo Version
2021 12 24
    System information
   text
   System information_x000D_
_x000D_
c:geo version: 2021 12 24_x000D_
_x000D_
Device:_x000D_
       _x000D_
  Device type: WAS LX1A (WAS LX1A  HUAWEI)_x000D_
  Available processors: 8_x000D_
  Android version: 8 0 0_x000D_
  Android build: WAS LX1A 8 0 0 394(C432)_x000D_
  Screen resolution: 1080x1794px (360x574dp)_x000D_
  Pixel density: 3 4499998_x000D_
  System font scale: 1 15   used scale: 1 15_x000D_
  Sailfish OS detected: false_x000D_
  Google Play services: disabled   21 48 15 (040408 414534850)_x000D_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Settings: v8  Count:138_x000D_
  Set language: de DE (system default)_x000D_
  System date format: dd MM yy_x000D_
  Time zone: GMT 01:00_x000D_
  Debug mode active: yes_x000D_
  Last backup: never_x000D_
  Routing mode: Walk_x000D_
  Live map mode: true_x000D_
  OSM multi threading: false   threads: 1_x000D_
  Map: Kombiniert (Offline)_x000D_
    Id: cgeo geocaching maps mapsforge MapsforgeMapProvider OfflineMultiMapSource_x000D_
    Atts: CzechRepublic openmaps eu europe map:   (C) 2007 2018 OpenMaps eu      Freizeitkarte DEU OST map:   (c) Map: FZK project (free for private use)  Map data: OpenStreetMap contributors  Contour data: U S  Geological Survey and J  de Ferranti      germany map:   mapsforge map writer master SNAPSHOT      poland map:   mapsforge map writer master SNAPSHOT_x000D_
    Theme: none_x000D_
_x000D_
Filters:_x000D_
       _x000D_
  Hide waypoints: original_x000D_
  LIVE: Cache Typ:11 Elemente Status:4 Elemente ( :inconclusive false:advanced false AND(type:MULTI:EVENT:WEBCAM:EARTH:TRADITIONAL:USER DEFINED:WHERIGO:VIRTUAL:CITO:LETTERBOX:MYSTERY difficulty terrain:d  :d  :t  :t   status:owned no:found no:exclude disabled:exclude archived))_x000D_
  OFFLINE: Keine ( :inconclusive false:advanced false )_x000D_
_x000D_
Services:_x000D_
       _x000D_
  Geocaching sites enabled:_x000D_
   geocaching com: Logged in (Anmeldung OK)   PREMIUM_x000D_
   Geocaching com Adventure Lab_x000D_
  Geocaching com date format: dd MMM yyyy_x000D_
  Routing: external   BRouter installed: false_x000D_
  Installed c:geo plugins:  none_x000D_
_x000D_
Permissions   paths:_x000D_
       _x000D_
  Fine location permission: granted_x000D_
  Write external storage permission: granted_x000D_
  System internal c:geo dir:  data user 0 cgeo geocaching (7 2 GB free) v3 internal isDir(10 entries)_x000D_
  Legacy User storage c:geo dir:  storage 3639 3533 cgeo (15 3 GB free) v3 external removable isDir(7 entries)_x000D_
  Geocache data:  storage emulated 0 Android data cgeo geocaching files GeocacheData (7 1 GB free) v3 external non removable isDir(177 entries)_x000D_
  Internal theme sync (is turned off):  data user 0 cgeo geocaching MapThemeData (7 2 GB free) v3 internal isDir(0 entries)_x000D_
  Public Folders:  11_x000D_
    BASE: SD Karte cgeo (User Defined) SD Karte cgeo DOCUMENT 0:p content:  com android externalstorage documents tree 3639 3533 3Acgeo::   (Uri: content:  com android externalstorage documents tree 3639 3533 3Acgeo document 3639 3533 3Acgeo  Av:true  files:  2  dirs:  10  totalFileSize:  22 3 KB  free space: 15 3 GB  files on device: 0)_x000D_
    OFFLINE MAPS: SD Karte Maps (User Defined) SD Karte Maps DOCUMENT 0:p content:  com android externalstorage documents tree 3639 3533 3AMaps::   (Uri: content:  com android externalstorage documents tree 3639 3533 3AMaps document 3639 3533 3AMaps  Av:true  files:4  dirs:1  totalFileSize:3 6 GB  free space: 15 3 GB  files on device: 0)_x000D_
    OFFLINE MAP THEMES: SD Karte Maps  themes (Default) SD Karte Maps  themes PERSISTABLE FOLDER(OFFLINE MAPS) 1:p content:  com android externalstorage documents tree 3639 3533 3AMaps::  themes   (Uri: content:  com android externalstorage documents tree 3639 3533 3AMaps document 3639 3533 3AMaps 2F themes  Av:true  files:0  dirs:0  totalFileSize:0 B  free space: 15 3 GB  files on device: 0)_x000D_
    LOGFILES: SD Karte cgeo logfiles (Default) SD Karte cgeo logfiles PERSISTABLE FOLDER(BASE) 1:p content:  com android externalstorage documents tree 3639 3533 3Acgeo:: logfiles   (Uri: content:  com android externalstorage documents tree 3639 3533 3Acgeo document 3639 3533 3Acgeo 2Flogfiles  Av:true  files:1  dirs:0  totalFileSize:21 7 KB  free space: 15 3 GB  files on device: 0)_x000D_
    GPX: SD Karte cgeo gpx (Default) SD Karte cgeo gpx PERSISTABLE FOLDER(BASE) 1:p content:  com android externalstorage documents tree 3639 3533 3Acgeo:: gpx   (Uri: content:  com android externalstorage documents tree 3639 3533 3Acgeo document 3639 3533 3Acgeo 2Fgpx  Av:true  files:1  dirs:0  totalFileSize:606 B  free space: 15 3 GB  files on device: 0)_x000D_
    BACKUP: SD Karte cgeo backup (Default) SD Karte cgeo backup PERSISTABLE FOLDER(BASE) 1:p content:  com android externalstorage documents tree 3639 3533 3Acgeo:: backup   (Uri: content:  com android externalstorage documents tree 3639 3533 3Acgeo document 3639 3533 3Acgeo 2Fbackup  Av:true  files:0  dirs:0  totalFileSize:0 B  free space: 15 3 GB  files on device: 0)_x000D_
    FIELD NOTES: SD Karte cgeo field notes (Default) SD Karte cgeo field notes PERSISTABLE FOLDER(BASE) 1:p content:  com android externalstorage documents tree 3639 3533 3Acgeo:: field notes   (Uri: content:  com android externalstorage documents tree 3639 3533 3Acgeo document 3639 3533 3Acgeo 2Ffield notes  Av:true  files:0  dirs:0  totalFileSize:0 B  free space: 15 3 GB  files on device: 0)_x000D_
    SPOILER IMAGES: SD Karte cgeo GeocachePhotos (Default) SD Karte cgeo GeocachePhotos PERSISTABLE FOLDER(BASE) 1:p content:  com android externalstorage documents tree 3639 3533 3Acgeo:: GeocachePhotos   (Uri: content:  com android externalstorage documents tree 3639 3533 3Acgeo document 3639 3533 3Acgeo 2FGeocachePhotos  Av:true  files:  0  dirs:  7  totalFileSize:  0 B  free space: 15 3 GB  files on device: 0)_x000D_
    ROUTING BASE: SD Karte cgeo routing (Default) SD Karte cgeo routing PERSISTABLE FOLDER(BASE) 1:p content:  com android externalstorage documents tree 3639 3533 3Acgeo:: routing   (Uri: content:  com android externalstorage documents tree 3639 3533 3Acgeo document 3639 3533 3Acgeo 2Frouting  Av:true  files:7  dirs:1  totalFileSize:81 2 KB  free space: 15 3 GB  files on device: 0)_x000D_
    ROUTING TILES: SD Karte cgeo routing segments4 (Default) SD Karte cgeo routing segments4 PERSISTABLE FOLDER(ROUTING BASE) 1:p content:  com android externalstorage documents tree 3639 3533 3Acgeo:: routing segments4   (Uri: content:  com android externalstorage documents tree 3639 3533 3Acgeo document 3639 3533 3Acgeo 2Frouting 2Fsegments4  Av:true  files:0  dirs:0  totalFileSize:0 B  free space: 15 3 GB  files on device: 0)_x000D_
    TEST FOLDER:  Legacy  data user 0 cgeo geocaching files unittest (Default)  data user 0 cgeo geocaching files unittest FILE 1:p file:   data user 0 cgeo geocaching files:: unittest   (Uri: file:   data user 0 cgeo geocaching files unittest  Av:true  files:0  dirs:0  totalFileSize:0 B  free space: 7 2 GB  files on device:  1)_x000D_
  Map render theme path:_x000D_
  PersistedDocumentUris:  1_x000D_
  TRACK: null_x000D_
  Persisted Uri Permissions:  2_x000D_
    content:  com android externalstorage documents tree 3639 3533 3AMaps (17  Apr  2021  09:44):RW_x000D_
    content:  com android externalstorage documents tree 3639 3533 3Acgeo (17  Apr  2021  09:43):RW_x000D_
  Database:  data user 0 cgeo geocaching databases data (v98  Size:17 2 MB) on system internal storage_x000D_
_x000D_
    End of system information    
    Additional Information
Support ticket 401802</t>
  </si>
  <si>
    <t>jellyfin-jellyfin-androidtv-1361</t>
  </si>
  <si>
    <t>Crashes when playing content</t>
  </si>
  <si>
    <t xml:space="preserve">    Describe the bug_x000D_
_x000D_
1  Goto Movies_x000D_
2  Select a movie_x000D_
3  Play movie_x000D_
4  After playing for a few minutes  the app crashes and restarts_x000D_
_x000D_
In addition to the crash  the movie is not displayed in the  continue watching  area  This seems to occur with 1080p content but not 720p content  It might be worth mentioning that I can play the same videos on jellyfin in chrome and they work fine  I will try to isolate the differences between what works and doesn t and try to grab logs when I can _x000D_
_x000D_
    Logs_x000D_
_x000D_
 No response _x000D_
_x000D_
    Application version_x000D_
_x000D_
0 12 3_x000D_
_x000D_
    Where did you install the app from _x000D_
_x000D_
Google Play_x000D_
_x000D_
    Device information_x000D_
_x000D_
Chromecast with Google TV_x000D_
_x000D_
    Android version_x000D_
_x000D_
Android 10_x000D_
_x000D_
    Jellyfin server version_x000D_
_x000D_
10 7 7</t>
  </si>
  <si>
    <t>mgsx-dev-gdx-gltf-63</t>
  </si>
  <si>
    <t>Better morph target support</t>
  </si>
  <si>
    <t xml:space="preserve">_x000D_
As per specification :_x000D_
_x000D_
  The number of morph targets is not limited  Client implementations SHOULD support at least eight morphed attributes  This means that they SHOULD support eight morph targets when each morph target has one attribute  four morph targets where each morph target has two attributes  or two morph targets where each morph target has three or four attributes _x000D_
_x000D_
  For assets that contain a higher number of morphed attributes  client implementations MAY choose to only use the eight attributes of the morph targets with the highest weights _x000D_
_x000D_
gdx gltf currently only supports up to 8 morph targets  and it crash when using more  So it needs to have at least a clear error message </t>
  </si>
  <si>
    <t>nextcloud-android-9712</t>
  </si>
  <si>
    <t>Client crash on confirming auto-upload</t>
  </si>
  <si>
    <t xml:space="preserve">    Steps to reproduce_x000D_
1   _x000D_
2   _x000D_
3  first time crash under those circumstances_x000D_
_x000D_
    Expected behaviour_x000D_
  I expected a return to the auto upload screen in the sttings when I pressed OK on the dialog for a custom upload directory (OSMand data dir  trying to get to the saved GPS tracks)_x000D_
_x000D_
    Actual behaviour_x000D_
  Client crash_x000D_
_x000D_
    more info_x000D_
I can t type on a telephone  will continue when at desktop_x000D_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</si>
  <si>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TacoTheDank-Scoop-44</t>
  </si>
  <si>
    <t>Clear button always clears all crashes</t>
  </si>
  <si>
    <t xml:space="preserve">There is a top level Clear button which clears all crashes   fine _x000D_
_x000D_
But when a particular app crash group is selected  there is still a Clear button in the menu  Tapping it also clears all crashes instead of just that app s crashes   not fine  It is unexpected UX </t>
  </si>
  <si>
    <t>PojavLauncherTeam-PojavLauncher-2575</t>
  </si>
  <si>
    <t>1.18.1 Optifine keeps crashing without a bug report</t>
  </si>
  <si>
    <t xml:space="preserve">    Describe the bug
Application crashes once playing Minecraft for about 2 minutes and doesn t give a bug report when I use Optifine with the Optifine 1 18 Patch 
    The log file and images videos
  Screenshot 20220117 101340 PojavLauncher (Minecraft Java Edition for Android) (https:  user images githubusercontent com 84082592 149795173 2d110901 a485 4aee b46f a00ffee60f49 jpg)_x000D_
    Steps To Reproduce
   markdown
1  Follow this guide (the bottom shows how to use optifine) https:  pojavlauncherteam github io updates 117 html note for minecraft 21w37a on android thanks to notahero04_x000D_
_x000D_
2  Start Minecraft_x000D_
_x000D_
3  Join server_x000D_
_x000D_
4  Wait for crash
    Expected Behavior
It doesn t crash or makes a crash report 
    Platform
   markdown
  Device model: Samsung Tab S7_x000D_
  CPU architecture: aarch64_x000D_
  Android version: 12_x000D_
  PojavLauncher version: Latest Google Play Version
    Anything else 
 No response </t>
  </si>
  <si>
    <t>PojavLauncherTeam-PojavLauncher-2571</t>
  </si>
  <si>
    <t>Help Minecraft loads and at 95% It is Just Black screen</t>
  </si>
  <si>
    <t xml:space="preserve">    Describe the bug_x000D_
_x000D_
I try to load minecraft 1 16 5 with mods  It says that everything  is okay but then It Just shows Black screen_x000D_
_x000D_
    The log file and images videos_x000D_
_x000D_
 latestlog txt (https:  github com PojavLauncherTeam PojavLauncher files 7880665 latestlog txt)_x000D_
 crash 2022 01 17 09 24 02 client txt (https:  github com PojavLauncherTeam PojavLauncher files 7880667 crash 2022 01 17 09 24 02 client txt)_x000D_
_x000D_
_x000D_
    Steps To Reproduce_x000D_
_x000D_
   markdown_x000D_
  (   )  _x000D_
   _x000D_
_x000D_
_x000D_
    Expected Behavior_x000D_
_x000D_
I see the menu of minecraft with all mods_x000D_
_x000D_
    Platform_x000D_
_x000D_
   markdown_x000D_
  Device model: Huawei P30 lite LX2 _x000D_
  CPU architecture: aarch6_x000D_
  Android version: 10_x000D_
  PojavLauncher version: last_x000D_
   _x000D_
_x000D_
_x000D_
    Anything else _x000D_
_x000D_
Nope</t>
  </si>
  <si>
    <t>PojavLauncherTeam-PojavLauncher-2570</t>
  </si>
  <si>
    <t>[BUG] Minecraft version 1.18.1 does not work.</t>
  </si>
  <si>
    <t xml:space="preserve">    Describe the bug_x000D_
_x000D_
When it is time to load  the game has crashed because it is rendering overlay _x000D_
_x000D_
    The log file and images videos_x000D_
_x000D_
 latestlog txt (https:  github com PojavLauncherTeam PojavLauncher files 7882706 latestlog txt)_x000D_
_x000D_
    Steps To Reproduce_x000D_
_x000D_
   markdown_x000D_
1  Start PojavLauncher_x000D_
2  Login account_x000D_
3  Select Minecraft version 1 18 1_x000D_
4  Download and launch the game_x000D_
5  Show MOJANG loading GUI_x000D_
6  Game crashes: app game exited with code 1_x000D_
   _x000D_
_x000D_
_x000D_
    Expected Behavior_x000D_
_x000D_
Can successfully enter the main menu  and successfully run the game _x000D_
_x000D_
    Platform_x000D_
_x000D_
   markdown_x000D_
  Device model: Mi 10 Lite Zoom_x000D_
  CPU architecture: AArch64 Processor rev 14 (aarch64)_x000D_
  Android version: 12_x000D_
  PojavLauncher version: crocus 327 6d2295d46 _x000D_
   _x000D_
_x000D_
_x000D_
    Anything else _x000D_
_x000D_
 No response </t>
  </si>
  <si>
    <t>gsantner-markor-1565</t>
  </si>
  <si>
    <t xml:space="preserve">Crash after rotating the note to landscape or back to portrait </t>
  </si>
  <si>
    <t xml:space="preserve">   General information_x000D_
  App version: 2 8 5_x000D_
  Android version: 7 1 2 arm64_x000D_
  Device: Lenovo  ViperOS_x000D_
  I understand that this issue will be closed without further notice in case I didn t describe the problem including general information  or didn t  search (https:  github com gsantner markor issues q ) for similar issues    requests (https:  github com gsantner markor discussions discussions q ) _x000D_
_x000D_
    Description_x000D_
App will crash when we are inside a note and trying to rotate the device to landscape mode or after opening the note in landscape mode and trying to rotate to portrait mode   the app itself is OK and no problem and crash   the issue happens when we are inside the note and especially edit mode _x000D_
_x000D_
  Screenshot 20220116 182459 (https:  user images githubusercontent com 13361552 149665421 b52682a5 efe2 4476 bf9f a43d35ad8e32 png)_x000D_
_x000D_
_x000D_
</t>
  </si>
  <si>
    <t>cgeo-WhereYouGo-367</t>
  </si>
  <si>
    <t>Cartridge crash on saving</t>
  </si>
  <si>
    <t xml:space="preserve">    Describe your problem 
Reported by a user on support mail _x000D_
_x000D_
_x000D_
    How to reproduce 
Happend when trying to save GC2JVJB
    Actual result after these steps 
  image (https:  user images githubusercontent com 949669 149659020 cd57ccf5 7751 4243 aa43 e5a20fb2a09d png)_x000D_
    Expected result after these steps 
no crash
    Reproducible
Unclear
    WhereYouGo Version
2020 08 21
    System information
 No response 
    Additional Information
 No response </t>
  </si>
  <si>
    <t>TeamNewPipe-NewPipe-7662</t>
  </si>
  <si>
    <t>Fix crash when sharing a playlist which is loading</t>
  </si>
  <si>
    <t xml:space="preserve">     What is it _x000D_
   x  Bugfix (user facing)_x000D_
_x000D_
     Description of the changes in your PR_x000D_
This PR prevents a  NullPointerException  by adding a null check for  currentInfo  when trying to share a playlist which is loading  Instead of crashing  the app does now nothing when pressing the  Share  button on a playlist which is loading  like on channels _x000D_
_x000D_
     Fixes the following issue(s)_x000D_
     Prefix issues with  Fixes  so that GitHub closes them when the PR is merged (note that each  Fixes    should be in its own item)  Also add any other relevant links     _x000D_
  Fixes  6736_x000D_
_x000D_
     APK testing _x000D_
The APK can be found by going to the  Checks  tab below the title  On the left pane  click on  CI   scroll down to  artifacts  and click  app  to download the zip file which contains the debug APK of this PR _x000D_
_x000D_
     Due diligence_x000D_
   x  I read the  contribution guidelines (https:  github com TeamNewPipe NewPipe blob HEAD  github CONTRIBUTING md) _x000D_
</t>
  </si>
  <si>
    <t>PojavLauncherTeam-PojavLauncher-2564</t>
  </si>
  <si>
    <t>[BUG] whenever i login app crashes</t>
  </si>
  <si>
    <t xml:space="preserve">    Describe the bug_x000D_
_x000D_
I couldn t join servers so I installed testing v3  It required java runtime arm aarch32 ( tar xz) and I choose the one that came with MCinabox  I even tried other versions  erased app data  even deleted pojavlauncher folders  still the same _x000D_
_x000D_
    The log file and images videos_x000D_
_x000D_
 latestcrash txt (https:  github com PojavLauncherTeam PojavLauncher files 7875856 latestcrash txt)_x000D_
_x000D_
_x000D_
    Steps To Reproduce_x000D_
_x000D_
   markdown_x000D_
1  Open MCinabox _x000D_
2  Login offline account_x000D_
3  App crashes_x000D_
   _x000D_
_x000D_
_x000D_
    Expected Behavior_x000D_
_x000D_
Game crashes after login_x000D_
_x000D_
    Platform_x000D_
_x000D_
   markdown_x000D_
  Device model: Samsung galaxy v3 2017 SM J330F_x000D_
  CPU architecture:_x000D_
 Quad Core  1 processor: 1 4GHz Quad Core ARM Cortex A53_x000D_
  Android version: 9_x000D_
  PojavLauncher version: 3 3 1 (edit)_x000D_
   _x000D_
_x000D_
_x000D_
    Anything else _x000D_
_x000D_
My phone is rooted with magisk and before pojavlauncher worked just fine</t>
  </si>
  <si>
    <t>PaulWoitaschek-ExoPlayer-Extensions-4</t>
  </si>
  <si>
    <t>incompatible with exoplayer v2.16.1</t>
  </si>
  <si>
    <t>it makes crash when use with exoplayer v 2 16 1</t>
  </si>
  <si>
    <t>PojavLauncherTeam-PojavLauncher-2561</t>
  </si>
  <si>
    <t>[BUG] &lt;I can't install Minecraft forge 1.12.2&gt;</t>
  </si>
  <si>
    <t xml:space="preserve">    Describe the bug_x000D_
_x000D_
When I try to install Minecraft forge version 1 12 2   14 23 5 2860 the app crash and show me a error 1 messages_x000D_
_x000D_
    The log file and images videos_x000D_
_x000D_
_x000D_
https:  user images githubusercontent com 94447669 149616718 3aa504ce 859c 4c61 855d 7cd520870117 mp4_x000D_
_x000D_
_x000D_
_x000D_
    Steps To Reproduce_x000D_
_x000D_
   markdown_x000D_
1 start pojavluncher_x000D_
2  Enter with your account_x000D_
3  Tap on the setting button under the versions slot_x000D_
4  Select The first option_x000D_
5  Choose the forge version you downloaded_x000D_
6  Wait_x000D_
7  The app crashes_x000D_
   _x000D_
_x000D_
_x000D_
    Expected Behavior_x000D_
_x000D_
I expect the game will start with forge _x000D_
_x000D_
    Platform_x000D_
_x000D_
   markdown_x000D_
  Device model: cph2135 oppo a53 s_x000D_
  CPU architecture: AArch64 processor rev 2_x000D_
  Android version: v 11 1_x000D_
  PojavLauncher version: crocus v3 openjdk_x000D_
   _x000D_
_x000D_
_x000D_
    Anything else _x000D_
_x000D_
 No response </t>
  </si>
  <si>
    <t>TeamNewPipe-NewPipe-7657</t>
  </si>
  <si>
    <t>App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</si>
  <si>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go to a video to download_x000D_
press on download_x000D_
swipe to folder you want to save it to_x000D_
It will then say that the app has crashed_x000D_
    Expected behavior_x000D_
     Tell us what you expect to happen     _x000D_
I expect to actually download the videos and audio I want to download  like it has been doing the past couple of weeks  but this bug just started today_x000D_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US_x000D_
    Content Language:   en US_x000D_
    App Language:   en US_x000D_
    Service:   none_x000D_
    Version:   1 1_x000D_
    OS:   Linux PPR1 180610 009 9   28_x000D_
 details  summary  b Crash log   b   summary  p _x000D_
_x000D_
   _x000D_
java lang NullPointerException: Attempt to get length of null array_x000D_
	at android os Parcel createException(Parcel java:1956)_x000D_
	at android os Parcel readException(Parcel java:1918)_x000D_
	at android database DatabaseUtils readExceptionFromParcel(DatabaseUtils java:183)_x000D_
	at android database DatabaseUtils readExceptionFromParcel(DatabaseUtils java:135)_x000D_
	at android content ContentProviderProxy query(ContentProviderNative java:418)_x000D_
	at android content ContentResolver query(ContentResolver java:802)_x000D_
	at android content ContentResolver query(ContentResolver java:752)_x000D_
	at android content ContentResolver query(ContentResolver java:710)_x000D_
	at org schabi newpipe streams io StoredDirectoryHelper findFileSAFHelper(StoredDirectoryHelper java:302)_x000D_
	at org schabi newpipe streams io StoredDirectoryHelper findFile(StoredDirectoryHelper java:218)_x000D_
	at org schabi newpipe download DownloadDialog prepareSelectedDownload(DownloadDialog java:725)_x000D_
	at org schabi newpipe download DownloadDialog lambda initToolbar 7(DownloadDialog java:455)_x000D_
	at org schabi newpipe download DownloadDialog lambda initToolbar 7 DownloadDialog(Unknown Source:0)_x000D_
	at org schabi newpipe download    Lambda DownloadDialog nBlj HJ220K29SCA98 xtw tN s onMenuItemClick(Unknown Source:2)_x000D_
	at androidx appcompat widget Toolbar 1 onMenuItemClick(Toolbar java:207)_x000D_
	at androidx appcompat widget ActionMenuView MenuBuilderCallback onMenuItemSelected(ActionMenuView java:779)_x000D_
	at androidx appcompat view menu MenuBuilder dispatchMenuItemSelected(MenuBuilder java:834)_x000D_
	at androidx appcompat view menu MenuItemImpl invoke(MenuItemImpl java:158)_x000D_
	at androidx appcompat view menu MenuBuilder performItemAction(MenuBuilder java:985)_x000D_
	at androidx appcompat view menu MenuBuilder performItemAction(MenuBuilder java:975)_x000D_
	at androidx appcompat widget ActionMenuView invokeItem(ActionMenuView java:623)_x000D_
	at androidx appcompat view menu ActionMenuItemView onClick(ActionMenuItemView java:151)_x000D_
	at android view View performClick(View java:6597)_x000D_
	at android view View performClickInternal(View java:6574)_x000D_
	at android view View access 3100(View java:778)_x000D_
	at android view View PerformClick run(View java:25885)_x000D_
	at android os Handler handleCallback(Handler java:873)_x000D_
	at android os Handler dispatchMessage(Handler java:99)_x000D_
	at android os Looper loop(Looper java:193)_x000D_
	at android app ActivityThread main(ActivityThread java:6740)_x000D_
	at java lang reflect Method invoke(Native Method)_x000D_
	at com android internal os RuntimeInit MethodAndArgsCaller run(RuntimeInit java:493)_x000D_
	at com android internal os ZygoteInit main(ZygoteInit java:858)_x000D_
_x000D_
   _x000D_
  details _x000D_
 hr _x000D_
_x000D_
     That s right  here     _x000D_
_x000D_
_x000D_
_x000D_
     Please fill this section if you did not provide a log generated by NewPipe    _x000D_
_x000D_
    Device info_x000D_
_x000D_
   Android version Custom ROM version:_x000D_
   Device model: Amazon Fire 7 (Pro )_x000D_
</t>
  </si>
  <si>
    <t>SecUSo-privacy-friendly-pedometer-101</t>
  </si>
  <si>
    <t>Crash when trying to edit steps amount</t>
  </si>
  <si>
    <t>The app just crash when I click the button to edit the amount of steps  
Android 10 and latest version of the app downloaded from f droid</t>
  </si>
  <si>
    <t>TeamNewPipe-NewPipe-7655</t>
  </si>
  <si>
    <t>Full-screen doesn't fill bottom half of screen on Android 12</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</si>
  <si>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15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any YouTube video  any resolution 
2  Press the full screen button
     If you can t cause the bug to show up again reliably (and hence don t have a proper set of steps to give us)  please still try to give as many details as possible on how you think you encountered the bug     
    Actual behavior
Full screen is  smushed  to the top section of the screen  Opening and closing full screen repeatedly will eventually stop the issue  
    Expected behavior
Video fills screen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Screenshot 20220114 131353 png (https:  user images githubusercontent com 9123320 149565752 b13002d7 23ac 49ac 8fa1 3e414fd95792 png)
     DON T POST SCREENSHOTS OF THE ERROR PAGE  Use the buttons given on the error page to paste the error as text in the Logs section below     
  Screenshot 20220114 131353 png (https:  user images githubusercontent com 9123320 149591836 2fe5d278 47fd 4521 961b 212b6d7dbf6b png)
    Logs
     If your bug includes a crash (where you re shown the Error Report page with a bunch of info)  tap on  Copy formatted report  at the bottom and paste it here:    
     That s right  here     
     Please fill this section if you did not provide a log generated by NewPipe    
N A
    Device info
  Android 12
  Update October 5  2021
  Pixel 3
</t>
  </si>
  <si>
    <t>PojavLauncherTeam-PojavLauncher-2554</t>
  </si>
  <si>
    <t>[BUG] &lt;Import settings crash&gt;</t>
  </si>
  <si>
    <t xml:space="preserve">    Describe the bug_x000D_
_x000D_
when clicking on import settings the game crashes to game exited text_x000D_
_x000D_
    The log file and images videos_x000D_
_x000D_
 latestlog txt (https:  github com PojavLauncherTeam PojavLauncher files 7870153 latestlog txt)_x000D_
_x000D_
_x000D_
    Steps To Reproduce_x000D_
_x000D_
   markdown_x000D_
1  start pojavlauncher_x000D_
   _x000D_
_x000D_
_x000D_
    Expected Behavior_x000D_
_x000D_
e_x000D_
_x000D_
    Platform_x000D_
_x000D_
   markdown_x000D_
  Device model: Galaxy a31_x000D_
  CPU architecture: aarch64_x000D_
  Android version: android 11_x000D_
  PojavLauncher version: crocus 327 6d2295d46 _x000D_
   _x000D_
_x000D_
_x000D_
    Anything else _x000D_
_x000D_
:)</t>
  </si>
  <si>
    <t>nextcloud-android-9695</t>
  </si>
  <si>
    <t>[Dev] App crash</t>
  </si>
  <si>
    <t xml:space="preserve">The application crashed when deleting the user account _x000D_
_x000D_
   _x000D_
             CAUSE OF ERROR             _x000D_
_x000D_
java lang RuntimeException: Failure delivering result ResultInfo who null  request 101  result  1  data Intent   (has extras)    to activity  com nextcloud android beta com owncloud android ui activity FileDisplayActivity : java util NoSuchElementException: No value present_x000D_
	at android app ActivityThread deliverResults(ActivityThread java:5471)_x000D_
	at android app ActivityThread handleSendResult(ActivityThread java:5512)_x000D_
	at android app servertransaction ActivityResultItem execute(ActivityResultItem java:51)_x000D_
	at android app servertransaction TransactionExecutor executeCallbacks(TransactionExecutor java:149)_x000D_
	at android app servertransaction TransactionExecutor execute(TransactionExecutor java:103)_x000D_
	at android app ActivityThread H handleMessage(ActivityThread java:2386)_x000D_
	at android os Handler dispatchMessage(Handler java:107)_x000D_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Caused by: java util NoSuchElementException: No value present_x000D_
	at com nextcloud java util Optional get(Optional java:142)_x000D_
	at com nextcloud client mixins SessionMixin setAccount(SessionMixin kt:68)_x000D_
	at com owncloud android ui activity BaseActivity setAccount(BaseActivity java:131)_x000D_
	at com owncloud android ui activity DrawerActivity onActivityResult(DrawerActivity java:1005)_x000D_
	at com owncloud android ui activity FileDisplayActivity onActivityResult(FileDisplayActivity java:941)_x000D_
	at android app Activity dispatchActivityResult(Activity java:8413)_x000D_
	at android app ActivityThread deliverResults(ActivityThread java:5464)_x000D_
	    11 more_x000D_
_x000D_
             APP INFORMATION             _x000D_
ID: com nextcloud android beta_x000D_
Version: 20220112_x000D_
Build flavor: versionDev_x000D_
   </t>
  </si>
  <si>
    <t>nextcloud-android-9693</t>
  </si>
  <si>
    <t>SQLiteBlobTooBigException with a large README.md</t>
  </si>
  <si>
    <t xml:space="preserve">After logging in and giving the app storage permissions  it starts loading the files and crashes with the error below  It works on a different phone (galaxy a71)_x000D_
_x000D_
             CAUSE OF ERROR             _x000D_
_x000D_
android database sqlite SQLiteBlobTooBigException: Row too big to fit into CursorWindow requiredPos 0  totalRows 1_x000D_
	at android database sqlite SQLiteConnection nativeExecuteForCursorWindow(Native Method)_x000D_
	at android database sqlite SQLiteConnection executeForCursorWindow(SQLiteConnection java:1011)_x000D_
	at android database sqlite SQLiteSession executeForCursorWindow(SQLiteSession java:838)_x000D_
	at android database sqlite SQLiteQuery fillWindow(SQLiteQuery java:62)_x000D_
	at android database sqlite SQLiteCursor fillWindow(SQLiteCursor java:153)_x000D_
	at android database sqlite SQLiteCursor getCount(SQLiteCursor java:140)_x000D_
	at android content ContentResolver query(ContentResolver java:1225)_x000D_
	at android content ContentResolver query(ContentResolver java:1131)_x000D_
	at android content ContentResolver query(ContentResolver java:1087)_x000D_
	at com owncloud android datamodel FileDataStorageManager getFileCursorForValue(FileDataStorageManager java:965)_x000D_
	at com owncloud android datamodel FileDataStorageManager fileExists(FileDataStorageManager java:948)_x000D_
	at com owncloud android datamodel FileDataStorageManager fileExists(FileDataStorageManager java:189)_x000D_
	at com owncloud android datamodel FileDataStorageManager saveFile(FileDataStorageManager java:260)_x000D_
	at com owncloud android operations RefreshFolderOperation run(RefreshFolderOperation java:252)_x000D_
	at com owncloud android lib common operations RemoteOperation run(RemoteOperation java:363)_x000D_
	at java lang Thread run(Thread java:923)_x000D_
_x000D_
             APP INFORMATION             _x000D_
ID: com nextcloud client_x000D_
Version: 30180190_x000D_
Build flavor: gplay_x000D_
_x000D_
             DEVICE INFORMATION             _x000D_
Brand: OnePlus_x000D_
Device: OP515BL1_x000D_
Model: DN2103_x000D_
Id: RP1A 200720 011_x000D_
Product: DN2103EEA_x000D_
_x000D_
             FIRMWARE             _x000D_
SDK: 30_x000D_
Release: 11_x000D_
Incremental: 1640787928920_x000D_
</t>
  </si>
  <si>
    <t>voxeet-voxeet-uxkit-reactnative-57</t>
  </si>
  <si>
    <t>Application is crashing in kill state when we trying to make call</t>
  </si>
  <si>
    <t xml:space="preserve">  Some time call functionalities is not working as expected when receiver side application is in kill state  _x000D_
_x000D_
We are facing issue like when receiver side application is in kill state and caller try to call receiver  receiver is not able to get call notification  And some time receiver getting call notification in kill state but when he try to receive it application is getting crash _x000D_
_x000D_
We are using latest code which we forked from this repo _x000D_
https:  github com codal voxeet uxkit reactnative_x000D_
_x000D_
Thanks </t>
  </si>
  <si>
    <t>PojavLauncherTeam-PojavLauncher-2549</t>
  </si>
  <si>
    <t>[BUG] &lt;1.18.1 keeps crashing&gt;</t>
  </si>
  <si>
    <t xml:space="preserve">    Describe the bug
Everytime i launch 1 18 1 it crashes
    The log file and images videos
 latestlog txt (https:  github com PojavLauncherTeam PojavLauncher files 7860873 latestlog txt)_x000D_
    Steps To Reproduce
   markdown
1  start pojavlauncher_x000D_
2  login_x000D_
3  launch 1 18 1_x000D_
4  Crash
    Expected Behavior
You know what i expect
    Platform
   markdown
  Device model: Galaxy A31_x000D_
  CPU architecture: aarch64_x000D_
  Android version: android 11_x000D_
  PojavLauncher version: crocus 327 6d2295d46
    Anything else 
nope</t>
  </si>
  <si>
    <t>PojavLauncherTeam-PojavLauncher-2546</t>
  </si>
  <si>
    <t>[BUG] I Cant Install A Mod(mod installer) cause its keep crashing</t>
  </si>
  <si>
    <t xml:space="preserve">    Describe the bug
I cant install a mod(mod installer) cause it was crashing_x000D_
I dont know how to make a agruments for installing it
    The log file and images videos
  20220113 111945 (https:  user images githubusercontent com 94052160 149260018 18c2a0e2 d975 4751 aa18 df249fd9892d jpg)_x000D_
    Steps To Reproduce
   markdown
1  Start Pojavlauncher_x000D_
2  Click Options_x000D_
3  Click  Launch A Mod Installer(Forge etc ) _x000D_
4  It crashed
    Expected Behavior
It will crashed
    Platform
   markdown
  Device model: Samsung a10s_x000D_
  CPU architecture: armeabi v7a_x000D_
  Android version: 9_x000D_
  PojavLauncher version: latest
    Anything else 
 No response </t>
  </si>
  <si>
    <t>itsaky-AndroidIDE-51</t>
  </si>
  <si>
    <t>[BUG] Unable to delete sysroot directory</t>
  </si>
  <si>
    <t xml:space="preserve">  Describe the bug  _x000D_
AndroidIDE crash report_x000D_
Manufacturer: samsung_x000D_
Device: SM J730GM_x000D_
App version: 2 0 beta (200)_x000D_
_x000D_
 Stacktrace: _x000D_
com itsaky androidide utils BootstrapInstaller InstallationException: Unable to delete sysroot directory_x000D_
 Caused by: java util concurrent CompletionException: com itsaky androidide utils BootstrapInstaller InstallationException: Unable to delete sysroot directory_x000D_
	at com itsaky androidide utils BootstrapInstaller lambda doInstall 0(BootstrapInstaller java:75)_x000D_
	at com itsaky androidide utils BootstrapInstaller  ExternalSyntheticLambda0 run(Unknown Source:4)_x000D_
	at java util concurrent CompletableFuture AsyncRun run(CompletableFuture java:1661)_x000D_
	at java util concurrent CompletableFuture AsyncRun exec(CompletableFuture java:1653)_x000D_
	at java util concurrent ForkJoinTask doExec(ForkJoinTask java:285)_x000D_
	at java util concurrent ForkJoinPool WorkQueue runTask(ForkJoinPool java:1152)_x000D_
	at java util concurrent ForkJoinPool scan(ForkJoinPool java:1990)_x000D_
	at java util concurrent ForkJoinPool runWorker(ForkJoinPool java:1938)_x000D_
	at java util concurrent ForkJoinWorkerThread run(ForkJoinWorkerThread java:157)_x000D_
_x000D_
_x000D_
  To Reproduce  _x000D_
Steps to reproduce the behavior:_x000D_
1  Try to open terminal_x000D_
  Expected behavior  _x000D_
A clear and concise description of what you expected to happen _x000D_
_x000D_
  Details  _x000D_
   Device:  Samsung j7Pro _x000D_
   OS:   Android 9  _x000D_
   AndroidIDE Version  2 0 beta </t>
  </si>
  <si>
    <t>PojavLauncherTeam-PojavLauncher-2545</t>
  </si>
  <si>
    <t>[BUG] LabyMod Freaked Out</t>
  </si>
  <si>
    <t xml:space="preserve">    Describe the bug
when i use GL4ES with labymod at first is crashes_x000D_
and then run labymod at the seccond time    there is some missing textures and it freaked out for some reason
    The log file and images videos
  Screenshot 20220112 190445 (https:  user images githubusercontent com 88063332 149230609 843d402c d93b 44f1 a089 4cdac8380fd3 jpg)_x000D_
    Steps To Reproduce
   markdown
1  Start Labymod 1 16 5_x000D_
2  Go to MultiPlayer_x000D_
3  Click addon_x000D_
4  Click (trending top fetured etc)_x000D_
5  Enjoy
    Expected Behavior
GL4ES
    Platform
   markdown
  Device model: vivo y11 3 32G_x000D_
  CPU architecture: aarch54_x000D_
  Android version: 11_x000D_
  PojavLauncher version:  electric boogaloo 
    Anything else 
bring back zink and recompile it for better performance</t>
  </si>
  <si>
    <t>ankidroid-Anki-Android-10175</t>
  </si>
  <si>
    <t>[Bug] 2.16.37alpha: collection doesn't use CSS styles and pictures any more</t>
  </si>
  <si>
    <t xml:space="preserve"> david allison 1  I updated to 2 16 37alpha and didn t recognize any crashes so far  But my collection now doesn t use CSS styles and pictures any more  It s like Ankidroid just ignores the CSS file  Any idea what causes that bug in 37alpha _x000D_
_x000D_
 Originally posted by  Anthropos888 in https:  github com ankidroid Anki Android issues 10104 issuecomment 1011479168 </t>
  </si>
  <si>
    <t>Anuken-Mindustry-6486</t>
  </si>
  <si>
    <t>A few issue with the PPT</t>
  </si>
  <si>
    <t xml:space="preserve">  Platform  :  Android iOS Mac Windows Linux _x000D_
Binbow 10_x000D_
  Build  :  The build number under the title in the main menu  Required   LATEST  IS NOT A VERSION  I NEED THE EXACT BUILD NUMBER OF YOUR GAME  _x000D_
v7 release build 135_x000D_
also tested in BE build 22284_x000D_
  Issue  :  Explain your issue in detail  _x000D_
Basically i founded a few issue with the Payload Prop  Tower _x000D_
_x000D_
Payload Prop Tower Perfering Shooting than Outputing_x000D_
_x000D_
  bug (https:  user images githubusercontent com 43229798 149067513 4422f8e3 29cd 4293 b4c4 84d715138578 gif)_x000D_
_x000D_
Construction Process are Rotated_x000D_
_x000D_
  bug1 (https:  user images githubusercontent com 43229798 149067518 406cc83a aa84 4ee2 bfe8 8542da2a52c9 gif)_x000D_
_x000D_
  Steps to reproduce  :  How you happened across the issue  and what exactly you did to make the bug happen  _x000D_
_x000D_
First one   Build 2 PPT shooting each other  the payload won t output_x000D_
Second   Build PPT tower rotated_x000D_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https:  drive google com file d 1djYkt57YZWKWughVnCp7w1vFb3ZvVNOm view usp sharing_x000D_
_x000D_
If you remove the line above without reading it properly and understanding what it means  I will reap your soul  Even if you re playing on someone s server  you can still save the game to a slot _x000D_
_x000D_
okay_x000D_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</si>
  <si>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TeamNewPipe-NewPipe-7647</t>
  </si>
  <si>
    <t>Keyboard doesn't open - Disabled animations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</si>
  <si>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Ceck https:  github com TeamNewPipe NewPipe releases    _x000D_
   x  I checked  found duplicates (open OR closed) of this issue in the repo       Seriously  check  O O      7607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0    Dev note: Animations have to be disabled   otherwise the bug is not reproducible  _x000D_
1  Pull down a video to the bottom of the player as seen below _x000D_
2  Search bar won t call they keyboard even after multiple clicks _x000D_
3  Pull up the video to the normal view and pull it down again _x000D_
4  Search bar now will call the keyboard as intended _x000D_
_x000D_
    Actual behavior_x000D_
     Tell us what happens with the steps given above     _x000D_
_x000D_
Search fails to call the keyboard _x000D_
_x000D_
    Expected behavior_x000D_
     Tell us what you expect to happen     _x000D_
_x000D_
Search should call the keyboard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IMG 000023 (https:  user images githubusercontent com 55331939 149009918 bc32765c cb14 483e b657 913097f86576 gif)_x000D_
_x000D_
_x000D_
    Logs_x000D_
     If your bug includes a crash (where you re shown the Error Report page with a bunch of info)  tap on  Copy formatted report  at the bottom and paste it here:    _x000D_
_x000D_
     That s right  here     _x000D_
_x000D_
NA_x000D_
_x000D_
     Please fill this section if you did not provide a log generated by NewPipe    _x000D_
_x000D_
    Device info_x000D_
_x000D_
   Android version Custom ROM version: 11_x000D_
   Device model: OnePlus_x000D_
_x000D_
    Note_x000D_
Tested https:  github com TeamNewPipe NewPipe suites 4810100849 artifacts 135282702 found at  7607 but didn t work _x000D_
</t>
  </si>
  <si>
    <t>PojavLauncherTeam-PojavLauncher-2541</t>
  </si>
  <si>
    <t>[BUG]  Forge is not working</t>
  </si>
  <si>
    <t xml:space="preserve">    Describe the bug
Every time I select options and forge download and crashes or says Game Exited plus the versions I have are forge 1 12 2 14 23 5 2859  and runtime file jdk17 arm64 20210825
    The log file and images videos
 No response 
    Steps To Reproduce
   markdown
1  Start Pojavlancher _x000D_
2  Clicks Options _x000D_
3  Crashes or Game Exited Pops Up
    Expected Behavior
I expect the game to let me add forge to the game 
    Platform
   markdown
  Device model: Lenovo Chromebook duet_x000D_
  CPU architecture: aarch64_x000D_
  Android version: 9_x000D_
  PojavLauncher version: crocus v3 openjdk
    Anything else 
 No response </t>
  </si>
  <si>
    <t>OpenTracksApp-OpenTracks-1086</t>
  </si>
  <si>
    <t>[v3.24.0]: Crash while recording/paused when opening charts</t>
  </si>
  <si>
    <t xml:space="preserve">OpenTracks  v3 24 0  crashes while tracking is paused  Just tap to the  By time  and wait one second _x000D_
_x000D_
  To Reproduce  _x000D_
1  Start tracking _x000D_
2  Pause tracking _x000D_
3  Tap to the  By time  _x000D_
4  Wait one second _x000D_
_x000D_
Log in Android studio:_x000D_
   _x000D_
E pentracks debu:  qarth debug:   get PatchStore::createDisableExceptionQarthFile method fail _x000D_
E AndroidRuntime: FATAL EXCEPTION: main_x000D_
    Process: de dennisguse opentracks debug  PID: 18415_x000D_
    java lang NullPointerException: Attempt to invoke virtual method  double java lang Double doubleValue()  on a null object reference_x000D_
        at de dennisguse opentracks chart ChartView drawPointer(ChartView java:852)_x000D_
        at de dennisguse opentracks chart ChartView onDraw(ChartView java:597)_x000D_
        at android view View draw(View java:20483)_x000D_
        at android view View updateDisplayListIfDirty(View java:19294)_x000D_
        at android view ViewGroup recreateChildDisplayList(ViewGroup java:4375)_x000D_
        at android view ViewGroup dispatchGetDisplayList(ViewGroup java:4348)_x000D_
        at android view View updateDisplayListIfDirty(View java:19254)_x000D_
        at android view ViewGroup recreateChildDisplayList(ViewGroup java:4375)_x000D_
        at android view ViewGroup dispatchGetDisplayList(ViewGroup java:4348)_x000D_
        at android view View updateDisplayListIfDirty(View java:19254)_x000D_
        at android view ViewGroup recreateChildDisplayList(ViewGroup java:4375)_x000D_
        at android view ViewGroup dispatchGetDisplayList(ViewGroup java:4348)_x000D_
        at android view View updateDisplayListIfDirty(View java:19254)_x000D_
        at android view ViewGroup recreateChildDisplayList(ViewGroup java:4375)_x000D_
        at android view ViewGroup dispatchGetDisplayList(ViewGroup java:4348)_x000D_
        at android view View updateDisplayListIfDirty(View java:19254)_x000D_
        at android view ViewGroup recreateChildDisplayList(ViewGroup java:4375)_x000D_
        at android view ViewGroup dispatchGetDisplayList(ViewGroup java:4348)_x000D_
        at android view View updateDisplayListIfDirty(View java:19254)_x000D_
        at android view ViewGroup recreateChildDisplayList(ViewGroup java:4375)_x000D_
        at android view ViewGroup dispatchGetDisplayList(ViewGroup java:4348)_x000D_
        at android view View updateDisplayListIfDirty(View java:19254)_x000D_
        at android view ViewGroup recreateChildDisplayList(ViewGroup java:4375)_x000D_
        at android view ViewGroup dispatchGetDisplayList(ViewGroup java:4348)_x000D_
        at android view View updateDisplayListIfDirty(View java:19254)_x000D_
        at android view ViewGroup recreateChildDisplayList(ViewGroup java:4375)_x000D_
        at android view ViewGroup dispatchGetDisplayList(ViewGroup java:4348)_x000D_
        at android view View updateDisplayListIfDirty(View java:19254)_x000D_
        at android view ViewGroup recreateChildDisplayList(ViewGroup java:4375)_x000D_
        at android view ViewGroup dispatchGetDisplayList(ViewGroup java:4348)_x000D_
        at android view View updateDisplayListIfDirty(View java:19254)_x000D_
        at android view ThreadedRenderer updateViewTreeDisplayList(ThreadedRenderer java:740)_x000D_
        at android view ThreadedRenderer updateRootDisplayList(ThreadedRenderer java:746)_x000D_
        at android view ThreadedRenderer draw(ThreadedRenderer java:861)_x000D_
        at android view ViewRootImpl draw(ViewRootImpl java:3583)_x000D_
        at android view ViewRootImpl performDraw(ViewRootImpl java:3379)_x000D_
        at android view ViewRootImpl performTraversals(ViewRootImpl java:2711)_x000D_
        at android view ViewRootImpl doTraversal(ViewRootImpl java:1633)_x000D_
        at android view ViewRootImpl TraversalRunnable run(ViewRootImpl java:7943)_x000D_
        at android view Choreographer CallbackRecord run(Choreographer java:1092)_x000D_
        at android view Choreographer doCallbacks(Choreographer java:893)_x000D_
        at android view Choreographer doFrame(Choreographer java:812)_x000D_
        at android view Choreographer FrameDisplayEventReceiver run(Choreographer java:1078)_x000D_
        at android os Handler handleCallback(Handler java:907)_x000D_
        at android os Handler dispatchMessage(Handler java:105)_x000D_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_x000D_
_x000D_
And I m still below than 0 meters above sea level in v3 24 0   _x000D_
_x000D_
  Technical information  _x000D_
   Device: Honor KSA LX9_x000D_
   OS: Android 9_x000D_
   Version:  9 1 0 320_x000D_
</t>
  </si>
  <si>
    <t>yasirkula-UnityNativeFilePicker-18</t>
  </si>
  <si>
    <t>Android: java.lang.NumberFormatException: For input string: "msf:56534"</t>
  </si>
  <si>
    <t xml:space="preserve">  Description of the bug  _x000D_
_x000D_
NumberFormatException when picking up the file on Android_x000D_
_x000D_
  Reproduction steps  _x000D_
_x000D_
Exception during zip file picking from Downloads folder on Android and app crash right after it _x000D_
_x000D_
  Code to repro  _x000D_
   _x000D_
        var fileTypes   NativeFilePicker ConvertExtensionToFileType( zip )         _x000D_
        NativeFilePicker Permission permission   NativeFilePicker PickFile((path)   _x000D_
         _x000D_
            if (path    null)_x000D_
             _x000D_
                Debug Log( Operation cancelled ) _x000D_
             _x000D_
            else_x000D_
             _x000D_
                Debug Log( Picked file:     path) _x000D_
_x000D_
                  do stuff with file_x000D_
             _x000D_
           new string     fileTypes  ) _x000D_
_x000D_
        Debug Log( Permission result:     permission) _x000D_
   _x000D_
_x000D_
  Logs for the above  _x000D_
_x000D_
   _x000D_
01 11 00:02:11 374  6678  6706 I Unity   : Permission result: Granted_x000D_
_x000D_
01 11 00:02:14 542  6678  6829 D Unity   : Selected media uri: content:  com android providers downloads documents document msf 3A56534_x000D_
01 11 00:02:14 545  6678  6829 E Unity   : Exception:_x000D_
01 11 00:02:14 545  6678  6829 E Unity   : java lang NumberFormatException: For input string:  msf:56534 _x000D_
01 11 00:02:14 545  6678  6829 E Unity   :      at java lang Long parseLong(Long java:594)_x000D_
01 11 00:02:14 545  6678  6829 E Unity   :      at java lang Long valueOf(Long java:808)_x000D_
01 11 00:02:14 545  6678  6829 E Unity   :      at com yasirkula unity NativeFilePickerUtils GetPathFromURI(NativeFilePickerUtils java:107)_x000D_
01 11 00:02:14 545  6678  6829 E Unity   :      at com yasirkula unity NativeFilePickerPickResultOperation getPathFromURI(NativeFilePickerPickResultOperation java:126)_x000D_
01 11 00:02:14 545  6678  6829 E Unity   :      at com yasirkula unity NativeFilePickerPickResultOperation execute(NativeFilePickerPickResultOperation java:53)_x000D_
01 11 00:02:14 545  6678  6829 E Unity   :      at com yasirkula unity NativeFilePickerPickResultFragment 1 run(NativeFilePickerPickResultFragment java:49)_x000D_
01 11 00:02:14 545  6678  6829 E Unity   :      at java lang Thread run(Thread java:923)_x000D_
   _x000D_
_x000D_
Any suggestions  I think it worked before so maybe I just got a weird file </t>
  </si>
  <si>
    <t>PojavLauncherTeam-PojavLauncher-2536</t>
  </si>
  <si>
    <t>[BUG] External keyboard not working properly</t>
  </si>
  <si>
    <t xml:space="preserve">    Describe the bug_x000D_
_x000D_
When I press shift for fast move  it crashes and whenever I leave the inventory and go back to it I can t use drag and drop anymore_x000D_
_x000D_
    The log file and images videos_x000D_
_x000D_
 No response _x000D_
_x000D_
    Steps To Reproduce_x000D_
_x000D_
   markdown_x000D_
1  Start any minecraft version_x000D_
2  Try to fast move and close the inventory_x000D_
3  Ppen inventory again and try to drag and drop_x000D_
   _x000D_
_x000D_
_x000D_
    Expected Behavior_x000D_
_x000D_
Expected to  unshift  after closing the inventory_x000D_
_x000D_
    Platform_x000D_
_x000D_
   markdown_x000D_
  Device model: Samsung Galaxy a30_x000D_
  CPU architecture: aarch64 (arm64)_x000D_
  Android version: 11_x000D_
  PojavLauncher version: latest from actions_x000D_
   _x000D_
_x000D_
_x000D_
    Anything else _x000D_
_x000D_
 No response </t>
  </si>
  <si>
    <t>TeamNewPipe-NewPipe-7643</t>
  </si>
  <si>
    <t>Shared videos from playlist should replace the entire queue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</si>
  <si>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Share a video from any YouTube playlist _x000D_
_x000D_
    Actual behavior_x000D_
     Tell us what happens with the steps given above     _x000D_
_x000D_
 I If  Show Info  or  Video player  action is selected:   i _x000D_
A  Before starting the playback: Playlist info is shown _x000D_
B  After starting the playback: Only a single video is queued _x000D_
_x000D_
 I If  Background player  or  Popup player  action is selected:   i  All videos get queued but app starts from the first video _x000D_
_x000D_
    Expected behavior_x000D_
     Tell us what you expect to happen     _x000D_
_x000D_
 I If any player action is selected:   i  All videos should get queued and start from the selected video  Other videos should remain accessible as shown in expected behavior s video _x000D_
_x000D_
 I If  Show Info  action is selected:   i  Playlist info should be shown _x000D_
_x000D_
 I If  Download  action is selected:   i  As of now  If a user intended to download all videos  he would have shared the playlist  not a single video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Actual behavior:_x000D_
_x000D_
https:  user images githubusercontent com 79245641 148776241 1e5c96f3 ef00 498b aa8d 14ea93b6f093 mp4_x000D_
_x000D_
Expected behavior:_x000D_
_x000D_
https:  user images githubusercontent com 79245641 148776293 90aec87c 9e6f 40af 9465 c2b94d67da5d mp4_x000D_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Not applicable _x000D_
</t>
  </si>
  <si>
    <t>PojavLauncherTeam-PojavLauncher-2532</t>
  </si>
  <si>
    <t>[BUG] Why does Timeless and Classics Mod Crash</t>
  </si>
  <si>
    <t xml:space="preserve">    Describe the bug
So I just downloaded a New Version of this mod called Timeless and Classics for those who dont know what this mod is this is a gun mod for 1 16 5 But suddenly its just crash
    The log file and images videos
 crash 2022 01 10 02 04 01 client txt (https:  github com PojavLauncherTeam PojavLauncher files 7836496 crash 2022 01 10 02 04 01 client txt)_x000D_
    Steps To Reproduce
   markdown
1 Start Pojavlauncher_x000D_
2 Launch the 1 16 5 Forge_x000D_
3  
    Expected Behavior
    Platform
   markdown
  Device model: Oppo A12_x000D_
  CPU architecture:8x ARM Cortex A53   2 30 GHz_x000D_
  Android version: 9_x000D_
  PojavLauncher version: crocus v3 openjdk
    Anything else 
 </t>
  </si>
  <si>
    <t>lisawray-groupie-417</t>
  </si>
  <si>
    <t>[ANR] com.xwray.groupie</t>
  </si>
  <si>
    <t xml:space="preserve">  Describe the bug  _x000D_
We ve been using your library for a while  but we ve recently started getting ANRs from your component  For your convenience  I ve included two examples of such ANRs  Please take a look at these issues and address them so that we receive less ANR from this wonderful library _x000D_
_x000D_
  Stack trace  _x000D_
1  com xwray groupie GroupAdapter onCreateViewHolder_x000D_
   _x000D_
main (native): tid 1 systid 5804_x000D_
 00 pc 0x5e4a8 libc so _x000D_
 01 pc 0x131bb3 libart so _x000D_
 02 pc 0x4d409b libart so _x000D_
 03 pc 0x4d3f21 libart so _x000D_
       at android content res AssetManager nativeOpenXmlAsset(Native method)_x000D_
       at android content res AssetManager openXmlBlockAsset(AssetManager java:1144)_x000D_
       at android content res ResourcesImpl loadXmlResourceParser(ResourcesImpl java:1467)_x000D_
       at android content res Resources loadXmlResourceParser(Resources java:2545)_x000D_
       at android content res Resources loadXmlResourceParser(Resources java:2521)_x000D_
       at android content res Resources getLayout(Resources java:1362)_x000D_
       at android view LayoutInflater inflate(LayoutInflater java:530)_x000D_
       at com xwray groupie GroupAdapter onCreateViewHolder(GroupAdapter java:221)_x000D_
       at com xwray groupie GroupAdapter onCreateViewHolder(GroupAdapter java:20)_x000D_
       at androidx recyclerview widget RecyclerView Adapter createViewHolder(RecyclerView java:7295)_x000D_
       at androidx recyclerview widget RecyclerView Recycler tryGetViewHolderForPositionByDeadline(RecyclerView java:6416)_x000D_
       at androidx recyclerview widget RecyclerView Recycler getViewForPosition(RecyclerView java:6300)_x000D_
       at androidx recyclerview widget RecyclerView Recycler getViewForPosition(RecyclerView java:6296)_x000D_
       at androidx recyclerview widget LinearLayoutManager LayoutState next(LinearLayoutManager java:2330)_x000D_
       at androidx recyclerview widget GridLayoutManager layoutChunk(GridLayoutManager java:572)_x000D_
       at androidx recyclerview widget LinearLayoutManager fill(LinearLayoutManager java:1591)_x000D_
       at androidx recyclerview widget LinearLayoutManager onLayoutChildren(LinearLayoutManager java:668)_x000D_
       at androidx recyclerview widget GridLayoutManager onLayoutChildren(GridLayoutManager java:170)_x000D_
       at androidx recyclerview widget RecyclerView dispatchLayoutStep2(RecyclerView java:4309)_x000D_
       at androidx recyclerview widget RecyclerView onMeasure(RecyclerView java:3686)_x000D_
       at android view View measure(View java:27131)_x000D_
       at androidx constraintlayout widget ConstraintLayout Measurer measure(ConstraintLayout java:792)_x000D_
       at androidx constraintlayout solver widgets analyzer BasicMeasure measure(BasicMeasure java:480)_x000D_
       at androidx constraintlayout solver widgets analyzer BasicMeasure measureChildren(BasicMeasure java:134)_x000D_
       at androidx constraintlayout solver widgets analyzer BasicMeasure solverMeasure(BasicMeasure java:277)_x000D_
       at androidx constraintlayout solver widgets ConstraintWidgetContainer measure(ConstraintWidgetContainer java:119)_x000D_
       at androidx constraintlayout widget ConstraintLayout resolveSystem(ConstraintLayout java:1578)_x000D_
       at androidx constraintlayout widget ConstraintLayout onMeasure(ConstraintLayout java:1690)_x000D_
       at android view View measure(View java:27131)_x000D_
       at androidx recyclerview widget GridLayoutManager measureChildWithDecorationsAndMargin(GridLayoutManager java:775)_x000D_
       at androidx recyclerview widget GridLayoutManager measureChild(GridLayoutManager java:746)_x000D_
       at androidx recyclerview widget GridLayoutManager layoutChunk(GridLayoutManager java:607)_x000D_
       at androidx recyclerview widget LinearLayoutManager fill(LinearLayoutManager java:1591)_x000D_
       at androidx recyclerview widget LinearLayoutManager onLayoutChildren(LinearLayoutManager java:668)_x000D_
       at androidx recyclerview widget GridLayoutManager onLayoutChildren(GridLayoutManager java:170)_x000D_
       at androidx recyclerview widget RecyclerView dispatchLayoutStep2(RecyclerView java:4309)_x000D_
       at androidx recyclerview widget RecyclerView dispatchLayout(RecyclerView java:4012)_x000D_
       at androidx recyclerview widget RecyclerView onLayout(RecyclerView java:4578)_x000D_
       at android view View layout(View java:24475)_x000D_
       at android view ViewGroup layout(ViewGroup java:7383)_x000D_
       at androidx swiperefreshlayout widget SwipeRefreshLayout onLayout(SwipeRefreshLayout java:625)_x000D_
       at android view View layout(View java:24475)_x000D_
       at android view ViewGroup layout(ViewGroup java:7383)_x000D_
       at androidx constraintlayout widget ConstraintLayout onLayout(ConstraintLayout java:1855)_x000D_
       at android view View layout(View java:24475)_x000D_
       at android view ViewGroup layout(ViewGroup java:7383)_x000D_
       at android widget FrameLayout layoutChildren(FrameLayout java:332)_x000D_
       at android widget FrameLayout onLayout(FrameLayout java:270)_x000D_
       at android view View layout(View java:24475)_x000D_
       at android view ViewGroup layout(ViewGroup java:7383)_x000D_
       at android widget FrameLayout layoutChildren(FrameLayout java:332)_x000D_
       at android widget FrameLayout onLayout(FrameLayout java:270)_x000D_
       at android view View layout(View java:24475)_x000D_
       at android view ViewGroup layout(ViewGroup java:7383)_x000D_
       at android widget FrameLayout layoutChildren(FrameLayout java:332)_x000D_
       at android widget FrameLayout onLayout(FrameLayout java:270)_x000D_
       at android view View layout(View java:24475)_x000D_
       at android view ViewGroup layout(ViewGroup java:7383)_x000D_
       at androidx constraintlayout widget ConstraintLayout onLayout(ConstraintLayout java:1855)_x000D_
       at android view View layout(View java:24475)_x000D_
       at android view ViewGroup layout(ViewGroup java:7383)_x000D_
       at android widget FrameLayout layoutChildren(FrameLayout java:332)_x000D_
       at android widget FrameLayout onLayout(FrameLayout java:270)_x000D_
       at android view View layout(View java:24475)_x000D_
       at android view ViewGroup layout(ViewGroup java:7383)_x000D_
       at android widget LinearLayout setChildFrame(LinearLayout java:1829)_x000D_
       at android widget LinearLayout layoutVertical(LinearLayout java:1673)_x000D_
       at android widget LinearLayout onLayout(LinearLayout java:1582)_x000D_
       at android view View layout(View java:24475)_x000D_
       at android view ViewGroup layout(ViewGroup java:7383)_x000D_
       at android widget FrameLayout layoutChildren(FrameLayout java:332)_x000D_
       at android widget FrameLayout onLayout(FrameLayout java:270)_x000D_
       at android view View layout(View java:24475)_x000D_
       at android view ViewGroup layout(ViewGroup java:7383)_x000D_
       at android widget LinearLayout setChildFrame(LinearLayout java:1829)_x000D_
       at android widget LinearLayout layoutVertical(LinearLayout java:1673)_x000D_
       at android widget LinearLayout onLayout(LinearLayout java:1582)_x000D_
       at android view View layout(View java:24475)_x000D_
       at android view ViewGroup layout(ViewGroup java:7383)_x000D_
       at android widget FrameLayout layoutChildren(FrameLayout java:332)_x000D_
       at android widget FrameLayout onLayout(FrameLayout java:270)_x000D_
       at com android internal policy DecorView onLayout(DecorView java:1225)_x000D_
       at android view View layout(View java:24475)_x000D_
       at android view ViewGroup layout(ViewGroup java:7383)_x000D_
       at android view ViewRootImpl performLayout(ViewRootImpl java:4260)_x000D_
       at android view ViewRootImpl performTraversals(ViewRootImpl java:3695)_x000D_
       at android view ViewRootImpl doTraversal(ViewRootImpl java:2618)_x000D_
       at android view ViewRootImpl TraversalRunnable run(ViewRootImpl java:9971)_x000D_
       at android view Choreographer CallbackRecord run(Choreographer java:1010)_x000D_
       at android view Choreographer doCallbacks(Choreographer java:809)_x000D_
       at android view Choreographer doFrame(Choreographer java:744)_x000D_
       at android view Choreographer FrameDisplayEventReceiver run(Choreographer java:995)_x000D_
       at android os Handler handleCallback(Handler java:938)_x000D_
       at android os Handler dispatchMessage(Handler java:99)_x000D_
       at android os Looper loop(Looper java:246)_x000D_
       at android app ActivityThread main(ActivityThread java:8587)_x000D_
       at java lang reflect Method invoke(Native method)_x000D_
       at com android internal os RuntimeInit MethodAndArgsCaller run(RuntimeInit java:602)_x000D_
       at com android internal os ZygoteInit main(ZygoteInit java:1130)_x000D_
   _x000D_
2  com xwray groupie Item _x000D_
   _x000D_
main (runnable): tid 1 systid 21850_x000D_
       at sun misc Unsafe getAndAddLong(Unsafe java:480)_x000D_
       at java util concurrent atomic AtomicLong decrementAndGet(AtomicLong java:212)_x000D_
       at com xwray groupie Item  init (Item java:23)_x000D_
       at com xwray groupie viewbinding BindableItem  init (BindableItem java:26)_x000D_
       at com audiomack utils groupie TitleHeaderItem  init (TitleHeaderItem kt:18)_x000D_
       at com audiomack utils groupie TitleHeaderItem  init (TitleHeaderItem kt:12)_x000D_
       at com audiomack ui discover DiscoverFragment worldArticlesObserver lambda 36(DiscoverFragment kt:422)_x000D_
       at com audiomack ui discover DiscoverFragment lambda JDnGbECSkCyq9sOn H8NlIlfWMQ(DiscoverFragment kt:18446744073709552000)_x000D_
       at com audiomack ui discover    Lambda DiscoverFragment JDnGbECSkCyq9sOn H8NlIlfWMQ onChanged(lambda:18446744073709552000)_x000D_
       at androidx lifecycle LiveData considerNotify(LiveData java:133)_x000D_
       at androidx lifecycle LiveData dispatchingValue(LiveData java:151)_x000D_
       at androidx lifecycle LiveData setValue(LiveData java:309)_x000D_
       at androidx lifecycle MutableLiveData setValue(MutableLiveData java:50)_x000D_
       at com audiomack ui discover DiscoverViewModel loadMoreWorldPosts lambda 22(DiscoverViewModel kt:450)_x000D_
       at com audiomack ui discover DiscoverViewModel lambda oJAQIQKlIPyY0u3CJ45X0yeKm k(DiscoverViewModel kt:18446744073709552000)_x000D_
       at com audiomack ui discover    Lambda DiscoverViewModel oJAQIQKlIPyY0u3CJ45X0yeKm k accept(lambda:18446744073709552000)_x000D_
       at io reactivex internal observers ConsumerSingleObserver onSuccess(ConsumerSingleObserver java:62)_x000D_
       at io reactivex internal operators single SingleObserveOn ObserveOnSingleObserver run(SingleObserveOn java:81)_x000D_
       at io reactivex android schedulers HandlerScheduler ScheduledRunnable run(HandlerScheduler java:124)_x000D_
       at android os Handler handleCallback(Handler java:938)_x000D_
       at android os Handler dispatchMessage(Handler java:99)_x000D_
       at android os Looper loop(Looper java:246)_x000D_
       at android app ActivityThread main(ActivityThread java:8587)_x000D_
       at java lang reflect Method invoke(Native method)_x000D_
       at com android internal os RuntimeInit MethodAndArgsCaller run(RuntimeInit java:602)_x000D_
       at com android internal os ZygoteInit main(ZygoteInit java:1130)_x000D_
   _x000D_
_x000D_
  To Reproduce  _x000D_
Use our application in any low end devices_x000D_
_x000D_
  Expected behavior  _x000D_
We do not anticipate such a crash _x000D_
_x000D_
  Library version  _x000D_
 2 10 0 _x000D_
_x000D_
  Additional context  _x000D_
NA</t>
  </si>
  <si>
    <t>TeamNewPipe-NewPipe-7637</t>
  </si>
  <si>
    <t>Landscape Mode Cutting Off Status Bar Bug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</si>
  <si>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If you can t cause the bug to show up again reliably (and hence don t have a proper set of steps to give us)  please still try to give as many details as possible on how you think you encountered the bug     _x000D_
_x000D_
1  Go to NewPipe_x000D_
2  Rotate into landscape mode_x000D_
3  Status bar cut off by navigation bar_x000D_
_x000D_
_x000D_
_x000D_
    Actual behavior_x000D_
_x000D_
Status bar gets cut off in landscape mode by navigation bar_x000D_
_x000D_
    Expected behavior_x000D_
_x000D_
Status bar should not be covered by navigation bar in landscape mode_x000D_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Screenshot 20220109 140349 NewPipe (https:  user images githubusercontent com 92182796 148696823 936066ad 4a89 46a5 ba0d a9474fa6032d png)_x000D_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Please fill this section if you did not provide a log generated by NewPipe    _x000D_
_x000D_
None_x000D_
_x000D_
    Device info_x000D_
_x000D_
   Android version Custom ROM version: efoundation ROM (Android 10)_x000D_
   Device model: Galaxy s9  _x000D_
</t>
  </si>
  <si>
    <t>TeamNewPipe-NewPipe-7635</t>
  </si>
  <si>
    <t>System crash wenn adding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</si>
  <si>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_x000D_
_x000D_
    Steps to reproduce the bug_x000D_
    _x000D_
1  Go to      _x000D_
2  Press on       _x000D_
3  Swipe down to       _x000D_
   _x000D_
1  I was using the NewPipe app _x000D_
2  and adding videos to the play list when the app froze and _x000D_
3  also the phone completely froze  _x000D_
4  only after a minute the phone restarted  _x000D_
 _x000D_
It s the first serious error I ve had with your app  so I thought it might be of interest to you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The phone did not respond to any inputs and was completely frozen for a few minutes  It would reboot nor respond to any input until it rebooted on its own  _x000D_
_x000D_
    Expected behavior_x000D_
     Tell us what you expect to happen     _x000D_
_x000D_
I am surprised that adding to a PlayList might cause a system crash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user action : requested kiosk   request : Start loading: https:  www youtube com feed trending   content language : en US   content country : US   app language : en US   service : YouTube   package : org schabi newpipe   version : 0 21 14   os : Linux samsung a3y17ltexc a3y17lte:8 0 0 R16NW A320FLXXU3CRH2:user release keys 8 0 0   26   time : 2022 01 09 17:40   exceptions :  java net UnknownHostException: Unable to resolve host   www youtube com  : No address associated with hostname n tat java net Inet6AddressImpl lookupHostByName(Inet6AddressImpl java:141) n tat java net Inet6AddressImpl lookupAllHostAddr(Inet6AddressImpl java:90) n tat java net InetAddress getAllByName(InetAddress java:787) n tat okhttp3 Dns 1 lookup(Dns java:40) n tat okhttp3 internal connection RouteSelector resetNextInetSocketAddress(RouteSelector java:185) n tat okhttp3 internal connection RouteSelector nextProxy(RouteSelector java:149) n tat okhttp3 internal connection RouteSelector next(RouteSelector java:84) n tat okhttp3 internal connection StreamAllocation findConnection(StreamAllocation java:215) n tat okhttp3 internal connection StreamAllocation findHealthyConnection(StreamAllocation java:135) n tat okhttp3 internal connection StreamAllocation newStream(StreamAllocation java:114) n tat okhttp3 internal connection ConnectInterceptor intercept(ConnectInterceptor java:42) n tat okhttp3 internal http RealInterceptorChain proceed(RealInterceptorChain java:147) n tat okhttp3 internal http RealInterceptorChain proceed(RealInterceptorChain java:121) n tat okhttp3 internal cache CacheInterceptor intercept(CacheInterceptor java:93) n tat okhttp3 internal http RealInterceptorChain proceed(RealInterceptorChain java:147) n tat okhttp3 internal http RealInterceptorChain proceed(RealInterceptorChain java:121) n tat okhttp3 internal http BridgeInterceptor intercept(BridgeInterceptor java:93) n tat okhttp3 internal http RealInterceptorChain proceed(RealInterceptorChain java:147) n tat okhttp3 internal http RetryAndFollowUpInterceptor intercept(RetryAndFollowUpInterceptor java:127) n tat okhttp3 internal http RealInterceptorChain proceed(RealInterceptorChain java:147) n tat okhttp3 internal http RealInterceptorChain proceed(RealInterceptorChain java:121) n tat okhttp3 RealCall getResponseWithInterceptorChain(RealCall java:257) n tat okhttp3 RealCall execute(RealCall java:93) n tat org schabi newpipe DownloaderImpl execute(DownloaderImpl java:233) n tat org schabi newpipe extractor downloader Downloader post(Downloader java:131) n tat org schabi newpipe extractor downloader Downloader post(Downloader java:114) n tat org schabi newpipe extractor services youtube YoutubeParsingHelper areHardcodedClientVersionAndKeyValid(YoutubeParsingHelper java:347) n tat org schabi newpipe extractor services youtube YoutubeParsingHelper getClientVersion(YoutubeParsingHelper java:434) n tat org schabi newpipe extractor services youtube YoutubeParsingHelper prepareDesktopJsonBuilder(YoutubeParsingHelper java:819) n tat org schabi newpipe extractor services youtube extractors YoutubeTrendingExtractor onFetchPage(YoutubeTrendingExtractor java:60) n tat org schabi newpipe extractor Extractor fetchPage(Extractor java:54) n tat org schabi newpipe extractor kiosk KioskInfo getInfo(KioskInfo java:57) n tat org schabi newpipe util ExtractorHelper lambda getKioskInfo 11(ExtractorHelper java:184) n tat org schabi newpipe util ExtractorHelper  r8 lambda NbG7JFGg0N9HK 3exJNRB9r hYY(Unknown Source:0) n tat org schabi newpipe util ExtractorHelper  ExternalSyntheticLambda4 call(Unknown Source:4) n tat io reactivex rxjava3 internal operators single SingleFromCallable subscribeActual(SingleFromCallable java:43) n tat io reactivex rxjava3 core Single subscribe(Single java:4813) n tat io reactivex rxjava3 internal operators single SingleDoOnSuccess subscribeActual(SingleDoOnSuccess java:35) n tat io reactivex rxjava3 core Single subscribe(Single java:4813) n tat io reactivex rxjava3 internal operators maybe MaybeFromSingle subscribeActual(MaybeFromSingle java:41) n tat io reactivex rxjava3 core Maybe subscribe(Maybe java:5330) n tat io reactivex rxjava3 internal operators maybe MaybeConcatArray ConcatMaybeObserver drain(MaybeConcatArray java:153) n tat io reactivex rxjava3 internal operators maybe MaybeConcatArray ConcatMaybeObserver request(MaybeConcatArray java:78) n tat io reactivex rxjava3 internal operators flowable FlowableElementAtMaybe ElementAtSubscriber onSubscribe(FlowableElementAtMaybe java:66) n tat io reactivex rxjava3 internal operators maybe MaybeConcatArray subscribeActual(MaybeConcatArray java:42) n tat io reactivex rxjava3 core Flowable subscribe(Flowable java:15753) n tat io reactivex rxjava3 internal operators flowable FlowableElementAtMaybe subscribeActual(FlowableElementAtMaybe java:36) n tat io reactivex rxjava3 core Maybe subscribe(Maybe java:5330) n tat io reactivex rxjava3 internal operators maybe MaybeToSingle subscribeActual(MaybeToSingle java:46) n tat io reactivex rxjava3 core Single subscribe(Single java:4813) n tat io reactivex rxjava3 internal operators single SingleSubscribeOn SubscribeOnObserver run(SingleSubscribeOn java:89) n tat io reactivex rxjava3 core Scheduler DisposeTask run(Scheduler java:614) n tat io reactivex rxjava3 internal schedulers ScheduledRunnable run(ScheduledRunnable java:65) n tat io reactivex rxjava3 internal schedulers ScheduledRunnable call(ScheduledRunnable java:56) n tat java util concurrent FutureTask run(FutureTask java:266) n tat java util concurrent ScheduledThreadPoolExecutor ScheduledFutureTask run(ScheduledThreadPoolExecutor java:301) n tat java util concurrent ThreadPoolExecutor runWorker(ThreadPoolExecutor java:1162) n tat java util concurrent ThreadPoolExecutor Worker run(ThreadPoolExecutor java:636) n tat java lang Thread run(Thread java:764) nCaused by: android system GaiException: android getaddrinfo failed: EAI NODATA (No address associated with hostname) n tat libcore io Linux android getaddrinfo(Native Method) n tat libcore io ForwardingOs android getaddrinfo(ForwardingOs java:58) n tat java net Inet6AddressImpl lookupHostByName(Inet6AddressImpl java:122) n t    58 more n    user comment :   _x000D_
_x000D_
     Please fill this section if you did not provide a log generated by NewPipe    _x000D_
_x000D_
    Device info_x000D_
_x000D_
   Android version Custom ROM version: Android 8 0 Samsung 9 0 _x000D_
   Device model: SM A320FL _x000D_
</t>
  </si>
  <si>
    <t>ankidroid-Anki-Android-10121</t>
  </si>
  <si>
    <t>[Bug] Night mode - Reviewer crash</t>
  </si>
  <si>
    <t xml:space="preserve">       Reproduction Steps_x000D_
_x000D_
1  Change to Night Mode_x000D_
2  Open Reviewer _x000D_
_x000D_
_x000D_
       Expected Result_x000D_
It should let me review the cards _x000D_
_x000D_
_x000D_
       Actual Result_x000D_
The app crashed_x000D_
   _x000D_
2022 01 09 17:07:29 162 6133 6133 com ichi2 anki E AndroidRuntime: FATAL EXCEPTION: main_x000D_
    Process: com ichi2 anki  PID: 6133_x000D_
    java lang ExceptionInInitializerError_x000D_
        at com ichi2 themes HtmlColors invertColors(Unknown Source:0)_x000D_
        at com ichi2 anki cardviewer CardHtml getContent(CardHtml kt:101)_x000D_
        at com ichi2 anki cardviewer CardHtml getTemplateHtml(CardHtml kt:83)_x000D_
        at com ichi2 anki AbstractFlashcardViewer updateCard(AbstractFlashcardViewer java:1794)_x000D_
        at com ichi2 anki AbstractFlashcardViewer displayCardQuestion(AbstractFlashcardViewer java:1677)_x000D_
        at com ichi2 anki AbstractFlashcardViewer displayCardQuestion(AbstractFlashcardViewer java:1652)_x000D_
        at com ichi2 anki Reviewer displayCardQuestion(Reviewer java:1163)_x000D_
        at com ichi2 anki AbstractFlashcardViewer NextCardHandler onPostExecute(AbstractFlashcardViewer java:647)_x000D_
        at com ichi2 anki AbstractFlashcardViewer NextCardHandler onPostExecute(AbstractFlashcardViewer java:592)_x000D_
        at com ichi2 anki servicelayer TaskListenerBuilder replaceWith lambda 1(AsyncLayerAdapter kt:68)_x000D_
        at com ichi2 anki servicelayer TaskListenerBuilder  r8 lambda qteKjIdlDOFIgo YfnGs9fMw6SA(Unknown Source:0)_x000D_
        at com ichi2 anki servicelayer TaskListenerBuilder  ExternalSyntheticLambda5 accept(Unknown Source:2)_x000D_
        at com ichi2 anki servicelayer AsyncLayerAdapterKt toListener 1 onPostExecute(AsyncLayerAdapter kt:48)_x000D_
        at com ichi2 async CollectionTask onPostExecute(CollectionTask java:228)_x000D_
        at android os AsyncTask finish(AsyncTask java:771)_x000D_
        at android os AsyncTask access 900(AsyncTask java:199)_x000D_
        at android os AsyncTask InternalHandler handleMessage(AsyncTask java:788)_x000D_
        at android os Handler dispatchMessage(Handler java:106)_x000D_
        at android os Looper loop(Looper java:246)_x000D_
        at android app ActivityThread main(ActivityThread java:8633)_x000D_
        at java lang reflect Method invoke(Native Method)_x000D_
        at com android internal os RuntimeInit MethodAndArgsCaller run(RuntimeInit java:602)_x000D_
        at com android internal os ZygoteInit main(ZygoteInit java:1130)_x000D_
     Caused by: java util regex PatternSyntaxException: Syntax error in regexp pattern near index 47_x000D_
    ( cloze s        color: s  ) 0 9a f  6 (       )_x000D_
                                                    _x000D_
        at com android icu util regex PatternNative compileImpl(Native Method)_x000D_
        at com android icu util regex PatternNative  init (PatternNative java:39)_x000D_
        at com android icu util regex PatternNative create(PatternNative java:35)_x000D_
        at java util regex Pattern compile(Pattern java:1426)_x000D_
        at java util regex Pattern  init (Pattern java:1401)_x000D_
        at java util regex Pattern compile(Pattern java:985)_x000D_
        at com ichi2 themes HtmlColors  clinit (HtmlColors kt:37)_x000D_
        	    23 more_x000D_
2022 01 09 17:07:29 163 6133 6133 com ichi2 anki D UsageAnalytics: sendAnalyticsException() description fatal: java util regex PatternSyntaxException: Syntax error in regexp pattern near index 47_x000D_
    ( cloze s        color: s  ) 0 9a f  6 (       )_x000D_
                                                     true_x000D_
2022 01 09 17:07:29 167 6133 6133 com ichi2 anki I ACRA: ACRA is disabled for com ichi2 anki   forwarding uncaught Exception on to default ExceptionHandler_x000D_
   _x000D_
_x000D_
       Debug info_x000D_
AnkiDroid Version   2 16alpha35_x000D_
_x000D_
Android Version   11_x000D_
_x000D_
Manufacturer   samsung_x000D_
_x000D_
Model   SM M307F_x000D_
_x000D_
Hardware   exynos9611_x000D_
_x000D_
Webview User Agent   Mozilla 5 0 (Linux  Android 11  SM M307F Build RP1A 200720 012  wv) AppleWebKit 537 36 (KHTML  like Gecko) Version 4 0 Chrome 97 0 4692 70 Mobile Safari 537 36_x000D_
_x000D_
ACRA UUID   7c517bc5 27de 4634 bbfe e5e939d20d8a_x000D_
_x000D_
Scheduler   std2_x000D_
_x000D_
Crash Reports Enabled   false_x000D_
_x000D_
DatabaseV2 Enabled   true_x000D_
_x000D_
       Research_x000D_
 Enter an  x  character to confirm the points below: 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x  (Optional) I have confirmed the issue is not resolved in the latest alpha release ( instructions (https:  docs ankidroid org manual html betaTesting))</t>
  </si>
  <si>
    <t>SleepingApps-Slurp-106</t>
  </si>
  <si>
    <t>Crash on ProfileView</t>
  </si>
  <si>
    <t>QUando si prova ad aprire la parte di Profile  crasha l app</t>
  </si>
  <si>
    <t>PojavLauncherTeam-PojavLauncher-2526</t>
  </si>
  <si>
    <t>[BUG] Crash with all renders on 1.7.10 (except vulkan, but with it 5-10 fps)</t>
  </si>
  <si>
    <t xml:space="preserve">    Describe the bug
Minecraft 1 7 10 crashes after loading the world in 3 5 seconds on all renders except vulkan  But with it fps 5 10  everything lags 
    The log file and images videos
1  gl4es 1 1 4 (OpenGL ES2)   crash after loading world_x000D_
 latestlog txt (https:  github com PojavLauncherTeam PojavLauncher files 7834080 latestlog txt)_x000D_
_x000D_
2  gl4es 1 1 5 (OpenGL ES 2)   crash after loading world_x000D_
 latestlog txt (https:  github com PojavLauncherTeam PojavLauncher files 7834088 latestlog txt)_x000D_
_x000D_
3  gl4es 1 1 5 (OpenGL ES 3)   crash after loading world_x000D_
 latestlog txt (https:  github com PojavLauncherTeam PojavLauncher files 7834093 latestlog txt)_x000D_
_x000D_
4    zlink (Vulkan)   playable  but very low fps 5 10  _x000D_
_x000D_
5  vgpu (OpenGL ES 3)_x000D_
 latestlog txt (https:  github com PojavLauncherTeam PojavLauncher files 7834095 latestlog txt)_x000D_
_x000D_
gif crash_x000D_
  123 (https:  user images githubusercontent com 24592649 148661490 0925c59b 36a8 4c10 a22f d21823f1eaa5 gif)_x000D_
_x000D_
    Steps To Reproduce
   markdown
1  Start Pojavlauncher_x000D_
2  Select minecraft 1 7 10 version_x000D_
3  Play_x000D_
4  Loading world_x000D_
5     _x000D_
6  After 5 sec   crash
    Expected Behavior
I expect the game to launches
    Platform
   markdown
  Device model: Asus Zenfone 7 Pro_x000D_
  CPU architecture: aarch64_x000D_
  Android version: 11_x000D_
  PojavLauncher version: from google play    3 3 1 1 rel 20210321
    Anything else 
 No response </t>
  </si>
  <si>
    <t>PojavLauncherTeam-PojavLauncher-2525</t>
  </si>
  <si>
    <t>[BUG] "Halved" lighting in Beta 1.7.3 or older versions.</t>
  </si>
  <si>
    <t xml:space="preserve">    Describe the bug_x000D_
_x000D_
   Halved  lighting in Beta 1 7 3 or older  nothing extraordinary  Happens on every Android device as far as I m aware   _x000D_
_x000D_
  Tested phones: Galaxy J3 2017  Galaxy J5 2017 (my main)  Galaxy A10  Galaxy A12  Galaxy S20 FE  Lenovo Tab 4 8 ( that s a lot of samsung phones I know xD  but the Lenovo Tab 4 8 has a Snapdragon 425 )_x000D_
_x000D_
  This issue fixes itself on Beta 1 8 or newer   _x000D_
_x000D_
    The log file and images videos_x000D_
_x000D_
  This is the behavior with the vanilla b1 7 3  As you can see  halved lighting   _x000D_
_x000D_
  HalvedLighting (https:  user images githubusercontent com 85581164 148659344 e1e84df6 054d 491a 8bb6 197e1b8f5469 png)_x000D_
_x000D_
  This is with OptiFine b1 7 3 HD S G  More in  Anything else     _x000D_
_x000D_
  OptiFine (https:  user images githubusercontent com 85581164 148659346 13a0e0ed 5e51 4cbb bbb0 815b4b34a56d jpg)_x000D_
_x000D_
  Not sure if it helps  but just in case  I ve uploaded the latestlog txt file here:  _x000D_
_x000D_
 latestlog txt (https:  github com PojavLauncherTeam PojavLauncher files 7834003 latestlog txt)_x000D_
_x000D_
_x000D_
_x000D_
    Steps To Reproduce_x000D_
_x000D_
   markdown_x000D_
1  Start PojavLauncher and enable showing of the old beta version type in the version selector _x000D_
2a  Launch b1 7 3 (my friend had a weird issue where the supposedly  vanilla  version had ModLoader in it  not sure why though  If you want to run ModLoader without it crashing  you will definitely need damt ModloaderTweaker) _x000D_
2b  If this ModLoader issue happens  you will need to copy the vanilla jar from the official Minecraft Launcher or MultiMC and put it in your phone and the correct directory _x000D_
3  Create or load into a world  go ahead and dig some blocks  Check if they have this  halved  lighting thing going on _x000D_
   _x000D_
_x000D_
_x000D_
    Expected Behavior_x000D_
_x000D_
  Expected behavior:   _x000D_
  After loading into a world:   same as Beta 1 8 or newer versions  or rather   no halved lighting   _x000D_
_x000D_
_x000D_
    Platform_x000D_
_x000D_
   markdown_x000D_
  Device model: Samsung Galaxy J5 2017 SM J530F 2 16GB_x000D_
  CPU architecture: aarch32_x000D_
  Android version: 9 (Pie)_x000D_
  PojavLauncher version: Latest Google Play Store version _x000D_
   _x000D_
_x000D_
_x000D_
    Anything else _x000D_
_x000D_
OptiFine may add some frames  but of course  it was made for PC back in the old days  It fixes this exact issue that I have on vanilla  but creates numerous other issues:_x000D_
_x000D_
1  Skin: flickering in F5 or in the inventory _x000D_
2  Clouds: The sky is white with a black outline where the clouds should be  Clouds can be turned off in the settings _x000D_
3  Particles: white boxes (95  of the time) or normal particles (only in some directions  I couldn t even reproduce it right now)_x000D_
4  FPS: Sometimes even decrease with the mod _x000D_
5  Menus: Instead of the Mojang logo I get a white screen  The  Building terrain  or other text isn t visible when the world is loading creating  The loading bar when the world is loading creating is white all the time _x000D_
_x000D_
    Final:   Maybe I could find even more issues if I tested more  Maybe I would get it running semi normally if I ve just used only some of the classes of the OptiFine  but I m not competent enough to do it properly  and I haven t even tried it _x000D_
    Verdict:   Don t use OptiFine on b1 7 3 or older _x000D_
    Question:   Is this fixable in any way </t>
  </si>
  <si>
    <t>PojavLauncherTeam-PojavLauncher-2523</t>
  </si>
  <si>
    <t>[BUG] &lt;3D shareware v1.34 crash&gt;</t>
  </si>
  <si>
    <t xml:space="preserve">    Describe the bug
The game crashes to game exited when launching 3D shareware
    The log file and images videos
 No response 
    Steps To Reproduce
   markdown
1  start pojavlauncher_x000D_
2  login_x000D_
3  launch 3D shareware v1 34_x000D_
4  crash
    Expected Behavior
3D shareware launch successful
    Platform
   markdown
  Device model: galaxy a31_x000D_
  CPU architecture: aarch64_x000D_
  Android version: android 11_x000D_
  PojavLauncher version: crocus 309 10e4187a7 v3 openjdk
    Anything else 
(     ) </t>
  </si>
  <si>
    <t>itsaky-AndroidIDE-45</t>
  </si>
  <si>
    <t>[BUG] Design View Crash App</t>
  </si>
  <si>
    <t xml:space="preserve">                                     _x000D_
  Screenshot 2022 01 08 12 23 52 892 com itsaky androidide (https:  user images githubusercontent com 33790563 148639042 6e0d2676 7df1 48aa 8010 72b386c2cb32 jpg)_x000D_
_x000D_
I create my android project then open any file res layout  xml then when opening design view the app crashes giving the error in the crash report below_x000D_
                                                                                _x000D_
_x000D_
AndroidIDE crash report_x000D_
Manufacturer: Xiaomi_x000D_
Device: RedmiNote6Pro_x000D_
App version: 2 0 beta (200)_x000D_
_x000D_
   _x000D_
 Stacktrace: _x000D_
java lang IllegalArgumentException: DrawerLayout must be measured with MeasureSpec EXACTLY _x000D_
	at androidx drawerlayout widget DrawerLayout onMeasure(DrawerLayout java:1090)_x000D_
	at android view View measure(View java:23196)_x000D_
	at android view ViewGroup measureChildWithMargins(ViewGroup java:6753)_x000D_
	at android widget LinearLayout measureChildBeforeLayout(LinearLayout java:1535)_x000D_
	at android widget LinearLayout measureVertical(LinearLayout java:825)_x000D_
	at android widget LinearLayout onMeasure(LinearLayout java:704)_x000D_
	at android view View measure(View java:23196)_x000D_
	at androidx core widget NestedScrollView measureChildWithMargins(NestedScrollView java:1656)_x000D_
	at android widget FrameLayout onMeasure(FrameLayout java:185)_x000D_
	at androidx core widget NestedScrollView onMeasure(NestedScrollView java:601)_x000D_
	at android view View measure(View java:23196)_x000D_
	at android view ViewGroup measureChildWithMargins(ViewGroup java:6753)_x000D_
	at androidx coordinatorlayout widget CoordinatorLayout onMeasureChild(CoordinatorLayout java:760)_x000D_
	at com google android material appbar HeaderScrollingViewBehavior onMeasureChild(HeaderScrollingViewBehavior java:99)_x000D_
	at com google android material appbar AppBarLayout ScrollingViewBehavior onMeasureChild(AppBarLayout java:2003)_x000D_
	at androidx coordinatorlayout widget CoordinatorLayout onMeasure(CoordinatorLayout java:831)_x000D_
	at android view View measure(View java:23196)_x000D_
	at androidx drawerlayout widget DrawerLayout onMeasure(DrawerLayout java:1156)_x000D_
	at android view View measure(View java:23196)_x000D_
	at android view ViewGroup measureChildWithMargins(ViewGroup java:6753)_x000D_
	at android widget FrameLayout onMeasure(FrameLayout java:185)_x000D_
	at androidx appcompat widget ContentFrameLayout onMeasure(ContentFrameLayout java:145)_x000D_
	at android view View measure(View java:23196)_x000D_
	at android view ViewGroup measureChildWithMargins(ViewGroup java:6753)_x000D_
	at android widget FrameLayout onMeasure(FrameLayout java:185)_x000D_
	at android view View measure(View java:23196)_x000D_
	at android view ViewGroup measureChildWithMargins(ViewGroup java:6753)_x000D_
	at android widget FrameLayout onMeasure(FrameLayout java:185)_x000D_
	at android view View measure(View java:23196)_x000D_
	at android view ViewGroup measureChildWithMargins(ViewGroup java:6753)_x000D_
	at android widget LinearLayout measureChildBeforeLayout(LinearLayout java:1535)_x000D_
	at android widget LinearLayout measureVertical(LinearLayout java:825)_x000D_
	at android widget LinearLayout onMeasure(LinearLayout java:704)_x000D_
	at android view View measure(View java:23196)_x000D_
	at android view ViewGroup measureChildWithMargins(ViewGroup java:6753)_x000D_
	at android widget FrameLayout onMeasure(FrameLayout java:185)_x000D_
	at com android internal policy DecorView onMeasure(DecorView java:720)_x000D_
	at android view View measure(View java:23196)_x000D_
	at android view ViewRootImpl performMeasure(ViewRootImpl java:2798)_x000D_
	at android view ViewRootImpl measureHierarchy(ViewRootImpl java:1646)_x000D_
	at android view ViewRootImpl performTraversals(ViewRootImpl java:1930)_x000D_
	at android view ViewRootImpl doTraversal(ViewRootImpl java:1534)_x000D_
	at android view ViewRootImpl TraversalRunnable run(ViewRootImpl java:7421)_x000D_
	at android view Choreographer CallbackRecord run(Choreographer java:1092)_x000D_
	at android view Choreographer doCallbacks(Choreographer java:888)_x000D_
	at android view Choreographer doFrame(Choreographer java:819)_x000D_
	at android view Choreographer FrameDisplayEventReceiver run(Choreographer java:1078)_x000D_
	at android os Handler handleCallback(Handler java:873)_x000D_
	at android os Handler dispatchMessage(Handler java:99)_x000D_
	at android os Looper loop(Looper java:201)_x000D_
	at android app ActivityThread main(ActivityThread java:6810)_x000D_
	at java lang reflect Method invoke(Native Method)_x000D_
	at com android internal os RuntimeInit MethodAndArgsCaller run(RuntimeInit java:547)_x000D_
	at com android internal os ZygoteInit main(ZygoteInit java:873)_x000D_
   </t>
  </si>
  <si>
    <t>TeamNewPipe-NewPipe-7630</t>
  </si>
  <si>
    <t>Slow initial video buffer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</si>
  <si>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15 981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Start playing random unopened videos_x000D_
_x000D_
     If you can t cause the bug to show up again reliably (and hence don t have a proper set of steps to give us)  please still try to give as many details as possible on how you think you encountered the bug     _x000D_
_x000D_
    Actual behavior_x000D_
Initial loading time of an unopened video is too high _x000D_
_x000D_
    Conditions while reproducing the bug_x000D_
1  Default video format   webm 240p_x000D_
2  Internet speed is 100Mbps_x000D_
3  No issues in the device   it s OS _x000D_
_x000D_
    Expected behavior_x000D_
Videos should start playing instantly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Here s the screen recorded proof  (https:  youtu be 9Ld63Br4aR0)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Not generated  I could verbose log  if been asked _x000D_
_x000D_
     Please fill this section if you did not provide a log generated by NewPipe    _x000D_
_x000D_
    Device info_x000D_
_x000D_
   Android version Custom ROM version: 11 crDroid 7 13 4 14 190 perf_x000D_
   Device model: Redmi Note 10 sunny mojito_x000D_
</t>
  </si>
  <si>
    <t>doublesymmetry-react-native-track-player-1364</t>
  </si>
  <si>
    <t>Mismatch with exoplayer versions</t>
  </si>
  <si>
    <t xml:space="preserve">     Bug Report_x000D_
_x000D_
I have a react native project that uses  giphy react native sdk  (https:  github com Giphy giphy react native sdk) and  react native track player    The mismatch in the exoplayer versions causes my app to crash on Android   giphy react native sdk  uses exoplayer 2 13 3  while react native track player  uses exoplayer 2 11 4  _x000D_
_x000D_
If I force exoplayer to be version 2 13 3 then  react native track player  will crash because methods it relies on have changed between 2 11 4    2 13 3  Similarly  if I force the exoplayer version to 2 11 4 then  giphy react native sdk  crashes with error:  java lang RuntimeException: Could not invoke GiphyReactNativeSDK configure  which is caused by  Caused by: java lang ClassNotFoundException: com google android exoplayer2 upstream cache CacheDataSource Factory  _x000D_
_x000D_
I understand that it isn t normally possible for libraries with different exoplayer versions to coexist  I am hoping that you could give me some tips or pointers to help me fix this issue  I am more than happy to patch one of the libraries locally to fix this issue _x000D_
_x000D_
Thank you _x000D_
_x000D_
   To Reproduce_x000D_
_x000D_
1  Have react native app with react native track player 2 1 2 and  giphy react native sdk 1 3 0_x000D_
2  Start app on Android_x000D_
3  See mismatch with exoplayer version causing app to crash_x000D_
_x000D_
   Expected behavior_x000D_
_x000D_
App launches without crashing _x000D_
_x000D_
   Actual Behavior_x000D_
_x000D_
App crashes_x000D_
_x000D_
   Your Environment_x000D_
_x000D_
  Giphy React Native SDK version: 1 3 0_x000D_
  React Native version: 0 66 3_x000D_
  Platform(s): Android_x000D_
  Device info (Simulator Device  OS version  Debug Release ): All android devices_x000D_
</t>
  </si>
  <si>
    <t>Anuken-Mindustry-6473</t>
  </si>
  <si>
    <t>Using GenericCrafter to outputLiquid causes crash</t>
  </si>
  <si>
    <t xml:space="preserve">  Platform  :  Linux _x000D_
_x000D_
  Build  :  pre alpha 134 1 _x000D_
_x000D_
  Issue  : I added an mod building which takes power and should produce a liquid  instead I got crashes talking about NullPointer _x000D_
_x000D_
  Or is it just another user error using  GenericCrafter (https:  mindustrygame github io wiki modding 5 types  genericcrafter) _x000D_
_x000D_
  Steps to reproduce  : I went to place  Liquid Replicator (Water)  in which the game immediately crashes  up on further investigation on if I did serious damage I caused it to crash again when I loaded the save with the original settings (I changed them around back to producing an item just to verify everything else works  which it did)_x000D_
_x000D_
  Link(s) to mod(s) used  : _x000D_
 BlueWolf3682Exotic Mod zip (https:  github com Anuken Mindustry files 7832751 BlueWolf3682Exotic Mod zip) 0 7 Alpha_x000D_
 mindustry hacked (https:  github com Beanzilla mindustry hacked releases tag v0 3 1) v0 3 1_x000D_
_x000D_
  Save file  : _x000D_
 sector serpulo 86 zip (https:  github com Anuken Mindustry files 7832757 sector serpulo 86 zip)_x000D_
_x000D_
_x000D_
No soul reaping needed _x000D_
_x000D_
  Crash logs  : _x000D_
1   crash report 01 08 2022 01 30 00 txt (https:  github com Anuken Mindustry files 7832758 crash report 01 08 2022 01 30 00 txt)_x000D_
2   crash report 01 08 2022 01 35 59 txt (https:  github com Anuken Mindustry files 7832760 crash report 01 08 2022 01 35 59 txt)_x000D_
3   crash report 01 08 2022 01 57 54 txt (https:  github com Anuken Mindustry files 7832770 crash report 01 08 2022 01 57 54 txt)_x000D_
_x000D_
_x000D_
  The third crash is from me moving from pre alpha 134 1 to the lastest afbac48 (Release 6 0 Build 126 2) release_x000D_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</si>
  <si>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TeamNewPipe-NewPipe-7629</t>
  </si>
  <si>
    <t>Debugging Souncloud tab</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</si>
  <si>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0  Clone the project_x000D_
1  Build the project_x000D_
2  Open the application and navigate to the soundcloud tab_x000D_
3  Try to load any internet content_x000D_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_x000D_
Network Error screen_x000D_
_x000D_
_x000D_
    Expected behavior_x000D_
     Tell us what you expect to happen     _x000D_
Internet content should load as normal_x000D_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2022 01 02 15:40:28 577 13990 13990 org schabi newpipe debug E class org schabi newpipe error ErrorActivity: javax net ssl SSLHandshakeException: Chain validation failed_x000D_
     That s right  here     _x000D_
_x000D_
_x000D_
_x000D_
     Please fill this section if you did not provide a log generated by NewPipe    _x000D_
_x000D_
    Device info_x000D_
_x000D_
   Android version Custom ROM version: Android 12_x000D_
   Device model: Pixel 5 API 31 Emulator_x000D_
</t>
  </si>
  <si>
    <t>Anuken-Mindustry-6472</t>
  </si>
  <si>
    <t>Привет Антон, Hello anuke</t>
  </si>
  <si>
    <t xml:space="preserve">                                                 7      135
I have a problem on android platform version 7 build 135
The fact is that when I put a silicon melting game  it simply crashes and so on every time  please do not ignore and fix this bug </t>
  </si>
  <si>
    <t>connectbot-connectbot-1071</t>
  </si>
  <si>
    <t>Last 30-45 days started crashing on startup</t>
  </si>
  <si>
    <t xml:space="preserve">   Bug description_x000D_
     A clear and concise description of what the bug is     _x000D_
Program starts normally   When connecting to any remote server  the program crashes out _x000D_
   Steps to reproduce_x000D_
     Steps to reproduce the behavior:    _x000D_
1  Go to  Connect Bot  _x000D_
2  Click on  Saved Connection _x000D_
3  See error_x000D_
_x000D_
   Expected behavior_x000D_
     A clear and concise description of what you expected to happen     _x000D_
It used to connect to the server and work flawlessly   This is now happening on our devices from ScanSKU_x000D_
_x000D_
   Screenshots_x000D_
     If this is related to a UI problem or otherwise applicable  add screenshots to help explain your problem     _x000D_
_x000D_
https:  user images githubusercontent com 97308252 148587255 7e70d764 7c25 4755 a796 78abd3e67c1b mp4_x000D_
_x000D_
_x000D_
   Android device_x000D_
     (please complete the following information):    _x000D_
_x000D_
ANDROID BARCODE SCANNER  RUGGED R SERIES (1D)_x000D_
ANDROID BARCODE SCANNER   RUGGED M SERIES (1D)_x000D_
_x000D_
Using the latest version of ConnectBot from the Google Play Store_x000D_
_x000D_
   Server information_x000D_
     Please complete the following information):    _x000D_
_x000D_
Getting information from our server vendor  but also happening with any telnet ssh servers currently _x000D_
_x000D_
   Additional context_x000D_
     Add any other context about the problem here     _x000D_
</t>
  </si>
  <si>
    <t>PojavLauncherTeam-PojavLauncher-2518</t>
  </si>
  <si>
    <t>[BUG] &lt;1.7.2 or bellow bugs&gt;</t>
  </si>
  <si>
    <t xml:space="preserve">    Describe the bug_x000D_
_x000D_
1 0 to 1 1 there is sound but the gameplay is not in full screen the screen is on the bottom left (you can see the image bellow) 1 2 1 to 1 2 4 the game crash 1 2 5 to 1 5 2 there is sound but the gameplay screen is at the bottom left 1 6 1 to 1 7 2 the game is in full screen but no sound _x000D_
_x000D_
    The log file and images videos_x000D_
_x000D_
  Screenshot 20220107 142342 PojavLauncher (Minecraft Java Edition for Android) (https:  user images githubusercontent com 94804069 148538548 940241c7 bb84 41a0 8d98 12a38000fe16 jpg)_x000D_
  Screenshot 20220107 143220 PojavLauncher (Minecraft Java Edition for Android) (https:  user images githubusercontent com 94804069 148538566 9c17b3b8 0624 4726 bed3 e92d8fad7587 jpg)_x000D_
_x000D_
_x000D_
    Steps To Reproduce_x000D_
_x000D_
   markdown_x000D_
1  Start pojavlauncher_x000D_
   _x000D_
_x000D_
_x000D_
    Expected Behavior_x000D_
_x000D_
:)_x000D_
_x000D_
    Platform_x000D_
_x000D_
   markdown_x000D_
  Device model: Galaxy A31_x000D_
  CPU architecture: aarch64_x000D_
  Android version: Android 11_x000D_
  PojavLauncher version: crocus 309 10e4187a7 v3 openjdk_x000D_
   _x000D_
_x000D_
_x000D_
    Anything else _x000D_
_x000D_
 No response </t>
  </si>
  <si>
    <t>mh--corona-warn-companion-android-143</t>
  </si>
  <si>
    <t>Android 11: RaMBLE data cannot be read.</t>
  </si>
  <si>
    <t xml:space="preserve">Hi  ich habe seit Monaten auf einem Android11 Phone den WAC im RaMBLE Modus laufen  Funktionierte bis vor einigen Tagen gut  dann crashte das Programm immer bei dem Versuch  Schl ssel und Begegnungen runterzuladen  Hab dann  nachdem ich hier einiges  ber das Problem gelesen hatte  die Version 2 3 1 installiert  Die crasht nicht  liefert aber jedes Mal die Fehlermeldung  Begegnungen k nnen nicht ausgelesen werden    und fragt  ob ich der App erlaubt habe  auf Dateien zuzugreifen (hab ich) und ob ich eine RaMBLE DB exportiert habe  Ja  hab ich  genauso wie in den Monaten zuvor  Die DB landet am  blichen Platz im Download Ordner und hat eine Gr  e von  ber 60 MB  kann also auch nicht leer sein  Was l uft hier falsch  Freu mich  ber jeden Hinweis </t>
  </si>
  <si>
    <t>MuntashirAkon-AppManager-652</t>
  </si>
  <si>
    <t>Crash while changing Mode of operation (2.7.0-1650-DEBUG)</t>
  </si>
  <si>
    <t xml:space="preserve">    _x000D_
Your issue will be closed without warning if you don t check at least two items _x000D_
   _x000D_
   x  I know what my device  OS and App Manager versions are_x000D_
   x  I know how to take logs_x000D_
      I know how to reproduce the issue which may not be specific to my device_x000D_
_x000D_
  Describe the bug  _x000D_
App crashed while changing Mode of operation to ADB over TCP_x000D_
_x000D_
  To Reproduce  _x000D_
Steps to reproduce the behaviour:_x000D_
  Open App Manager  change Mode of operation to ADB over TCP_x000D_
  Go back to AppManager s home (Onboard Packages)_x000D_
  See a dialog that  Working on ADB mode  then app crashed_x000D_
_x000D_
  Crash logs  _x000D_
   _x000D_
java lang RuntimeException: Unable to start activity ComponentInfo io github muntashirakon AppManager debug io github muntashirakon AppManager details AppDetailsActivity : java lang RuntimeException: Cannot create an instance of class io github muntashirakon AppManager details AppDetailsViewModel_x000D_
    at android app ActivityThread performLaunchActivity(ActivityThread java:2781)_x000D_
    at android app ActivityThread handleLaunchActivity(ActivityThread java:2859)_x000D_
    at android app ActivityThread  wrap11(Unknown Source:0)_x000D_
    at android app ActivityThread H handleMessage(ActivityThread java:1592)_x000D_
    at android os Handler dispatchMessage(Handler java:106)_x000D_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Caused by: java lang RuntimeException: Cannot create an instance of class io github muntashirakon AppManager details AppDetailsViewModel_x000D_
   at androidx lifecycle ViewModelProvider AndroidViewModelFactory create(ViewModelProvider java:275)_x000D_
   at androidx lifecycle SavedStateViewModelFactory create(SavedStateViewModelFactory java:112)_x000D_
   at androidx lifecycle ViewModelProvider get(ViewModelProvider java:185)_x000D_
   at androidx lifecycle ViewModelProvider get(ViewModelProvider java:150)_x000D_
   at io github muntashirakon AppManager details AppDetailsActivity onAuthenticated(AppDetailsActivity java:64)_x000D_
   at io github muntashirakon AppManager BaseActivity onCreate(BaseActivity java:60)_x000D_
   at android app Activity performCreate(Activity java:7023)_x000D_
   at android app Activity performCreate(Activity java:7014)_x000D_
   at android app Instrumentation callActivityOnCreate(Instrumentation java:1215)_x000D_
   at android app ActivityThread performLaunchActivity(ActivityThread java:2734)_x000D_
   at android app ActivityThread handleLaunchActivity(ActivityThread java:2859)_x000D_
   at android app ActivityThread  wrap11(Unknown Source:0)_x000D_
   at android app ActivityThread H handleMessage(ActivityThread java:1592)_x000D_
   at android os Handler dispatchMessage(Handler java:106)_x000D_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_x000D_
_x000D_
  Device Info  _x000D_
App version:   2 7 0 1650 DEBUG  _x000D_
App version code: 395_x000D_
Android build version: 8704X S001025 190606 ROW_x000D_
Android release version: 8 1 0_x000D_
Android SDK version: 27_x000D_
Android build ID: TB 8704X S001025 190606 ROW_x000D_
Device brand: Lenovo_x000D_
Device manufacturer: LENOVO_x000D_
Device name: TB 8704X_x000D_
Device model: Lenovo TB 8704X_x000D_
Device product name: TB 8704X_x000D_
Device hardware name: qcom_x000D_
ABIs:  arm64 v8a  armeabi v7a  armeabi _x000D_
ABIs (32bit):  armeabi v7a  armeabi _x000D_
ABIs (64bit):  arm64 v8a _x000D_
System language: en IN_x000D_
In App Language: auto_x000D_
Mode: adb tcp_x000D_
</t>
  </si>
  <si>
    <t>OpenTracksApp-OpenTracks-1081</t>
  </si>
  <si>
    <t>Bugfix: use monotonic clock.</t>
  </si>
  <si>
    <t xml:space="preserve"> System currentTimeMillis()  is not monotonic and might jump forward backward whenever the local device time is updated _x000D_
This results in crashes while recording:_x000D_
1  if the time jumps before start of a current segment_x000D_
2  if the time jumps before the time of the previous trackpoint_x000D_
_x000D_
Exceptions are nowadays created in TrackStatistics to prevent invalid data  leading to crashes _x000D_
_x000D_
We now use a clock that is relative to it s creation while using the time since boot of the device (guaranteed to be monotonic) _x000D_
_x000D_
https:  developer android com reference android os SystemClock_x000D_
_x000D_
Fixes  800 _x000D_
</t>
  </si>
  <si>
    <t>Benji377-SocyMusic-208</t>
  </si>
  <si>
    <t>App crashes when clicking item in search tab</t>
  </si>
  <si>
    <t xml:space="preserve">  Describe the bug  _x000D_
When you try to click one of the listed songs in the Search tab  it makes the app crash_x000D_
_x000D_
  To Reproduce  _x000D_
Steps to reproduce the behavior:_x000D_
1  Go to the search tab_x000D_
2  Don t search anything and click on any of the listed songs_x000D_
3  The app crashes without warnings_x000D_
_x000D_
  Expected behavior  _x000D_
The song should start playing _x000D_
</t>
  </si>
  <si>
    <t>jellyfin-jellyfin-androidtv-1335</t>
  </si>
  <si>
    <t>Fire Stick 4K crashes while video streaming</t>
  </si>
  <si>
    <t xml:space="preserve">    Describe the bug
1  Environment: _x000D_
  Jellyfin Server 10 7 7 via docker on a Synology DS218 _x000D_
  Fire TV Stick 4K Ultra HD_x000D_
  multiple other Jellyfin clients (Windows app  Mac app  Android mobile app)_x000D_
2  Problem_x000D_
  Streaming a video on the Fire Stick starts to consume more and more RAM on the docker container     until the app crashes  tried different video formats: same result  though MP4 crashes  faster  then MKV_x000D_
  Don t have this issue on one of the other Jellyfin clients  so I don t think the docker server is causing the crash_x000D_
_x000D_
Any ideas _x000D_
Are there any log files on the stick and how can I get them 
    Logs
   shell
This is the exported server log of the last minutes before the Fire Stick crashed (I have no idea  why the format is so strange):_x000D_
_x000D_
jellyfin ha_x000D_
date stream content_x000D_
2022 01 06 13:43:50 stdout   39 49m  30m   39 49m  39 49m  37m13:43:50  39 49m  39 49m  30m     39 49m  39 49m  37mINF  39 49m  39 49m  30m     39 49m  39 49m  37m21  39 49m  39 49m  30m    39 49m  39 49m  37mEmby Server Implementations Session SessionWebSocketListener  39 49m  39 49m  30m:   39 49m  39 49m  37mLost   39 49m  39 49m  35m1  39 49m  39 49m  37m WebSockets   39 49m_x000D_
_x000D_
2022 01 06 13:43:38 stdout   39 49m  39 49m  30m   39 49m  39 49m  37m13:43:38  39 49m  39 49m  30m     39 49m  39 49m  37mINF  39 49m  39 49m  30m     39 49m  39 49m  37m21  39 49m  39 49m  30m    39 49m  39 49m  37mEmby Server Implementations Session SessionWebSocketListener  39 49m  39 49m  30m:   39 49m  39 49m  37mSending ForceKeepAlive message to   39 49m  39 49m  35m1  39 49m  39 49m  37m inactive WebSockets   39 49m_x000D_
_x000D_
2022 01 06 13:42:50 stdout   39 49m  39 49m  37m   at Jellyfin Server Middleware ExceptionMiddleware Invoke(HttpContext context)_x000D_
_x000D_
2022 01 06 13:42:50 stdout   39 49m  39 49m  37m   at Jellyfin Server Middleware ResponseTimeMiddleware Invoke(HttpContext context)_x000D_
_x000D_
2022 01 06 13:42:50 stdout   39 49m  39 49m  37m   at Microsoft AspNetCore ResponseCompression ResponseCompressionMiddleware Invoke(HttpContext context)_x000D_
_x000D_
2022 01 06 13:42:50 stdout   39 49m  39 49m  37m   at Jellyfin Server Middleware LegacyEmbyRouteRewriteMiddleware Invoke(HttpContext httpContext)_x000D_
_x000D_
2022 01 06 13:42:50 stdout   39 49m  39 49m  37m   at Jellyfin Server Middleware RobotsRedirectionMiddleware Invoke(HttpContext httpContext)_x000D_
_x000D_
2022 01 06 13:42:50 stdout   39 49m  39 49m  37m   at Microsoft AspNetCore Authentication AuthenticationMiddleware Invoke(HttpContext context)_x000D_
_x000D_
2022 01 06 13:42:50 stdout    39 49m  39 49m  37m   at Swashbuckle AspNetCore Swagger SwaggerMiddleware Invoke(HttpContext httpContext  ISwaggerProvider swaggerProvider)_x000D_
 _x000D_
2022 01 06 13:42:50 stdout   39 49m  39 49m  37m   at Swashbuckle AspNetCore SwaggerUI SwaggerUIMiddleware Invoke(HttpContext httpContext)_x000D_
_x000D_
2022 01 06 13:42:50 stdout   39 49m  39 49m  37m   at Swashbuckle AspNetCore ReDoc ReDocMiddleware Invoke(HttpContext httpContext)_x000D_
_x000D_
2022 01 06 13:42:50 stdout   39 49m  39 49m  37m   at Microsoft AspNetCore Authorization AuthorizationMiddleware Invoke(HttpContext context)_x000D_
_x000D_
2022 01 06 13:42:50 stdout    39 49m  39 49m  37m   at Jellyfin Server Middleware LanFilteringMiddleware Invoke(HttpContext httpContext  INetworkManager networkManager  IServerConfigurationManager serverConfigurationManager)_x000D_
 _x000D_
2022 01 06 13:42:50 stdout    39 49m  39 49m  37m   at Jellyfin Server Middleware IpBasedAccessValidationMiddleware Invoke(HttpContext httpContext  INetworkManager networkManager)_x000D_
 _x000D_
2022 01 06 13:42:50 stdout    39 49m  39 49m  37m   at Jellyfin Server Middleware WebSocketHandlerMiddleware Invoke(HttpContext httpContext  IWebSocketManager webSocketManager)_x000D_
 _x000D_
2022 01 06 13:42:50 stdout    39 49m  39 49m  37m   at Jellyfin Server Middleware ServerStartupMessageMiddleware Invoke(HttpContext httpContext  IServerApplicationHost serverApplicationHost  ILocalizationManager localizationManager)_x000D_
 _x000D_
2022 01 06 13:42:50 stdout    39 49m  39 49m  37m   at Microsoft AspNetCore Routing EndpointMiddleware  Invoke g  AwaitRequestTask 6 0(Endpoint endpoint  Task requestTask  ILogger logger)_x000D_
 _x000D_
2022 01 06 13:42:50 stdout    39 49m  39 49m  37m   at Microsoft AspNetCore Mvc Infrastructure ResourceInvoker  InvokeAsync g  Awaited 17 0(ResourceInvoker invoker  Task task  IDisposable scope)_x000D_
 _x000D_
2022 01 06 13:42:50 stdout   39 49m  39 49m  37m    End of stack trace from previous location    _x000D_
_x000D_
2022 01 06 13:42:50 stdout   39 49m  39 49m  37m   at Microsoft AspNetCore Mvc Infrastructure ResourceInvoker InvokeFilterPipelineAsync()_x000D_
_x000D_
2022 01 06 13:42:50 stdout    39 49m  39 49m  37m   at Microsoft AspNetCore Mvc Infrastructure ResourceInvoker Next(State  next  Scope  scope  Object  state  Boolean  isCompleted)_x000D_
 _x000D_
2022 01 06 13:42:50 stdout   39 49m  39 49m  37m   at Microsoft AspNetCore Mvc Infrastructure ResourceInvoker Rethrow(ResourceExecutedContextSealed context)_x000D_
_x000D_
2022 01 06 13:42:50 stdout    39 49m  39 49m  37m   at Microsoft AspNetCore Mvc Infrastructure ResourceInvoker  InvokeNextResourceFilter g  Awaited 24 0(ResourceInvoker invoker  Task lastTask  State next  Scope scope  Object state  Boolean isCompleted)_x000D_
 _x000D_
2022 01 06 13:42:50 stdout   39 49m  39 49m  37m    End of stack trace from previous location    _x000D_
_x000D_
2022 01 06 13:42:50 stdout   39 49m  39 49m  37m   at Microsoft AspNetCore Mvc Infrastructure ControllerActionInvoker InvokeInnerFilterAsync()_x000D_
_x000D_
2022 01 06 13:42:50 stdout    39 49m  39 49m  37m   at Microsoft AspNetCore Mvc Infrastructure ControllerActionInvoker Next(State  next  Scope  scope  Object  state  Boolean  isCompleted)_x000D_
 _x000D_
2022 01 06 13:42:50 stdout   39 49m  39 49m  37m   at Microsoft AspNetCore Mvc Infrastructure ControllerActionInvoker Rethrow(ActionExecutedContextSealed context)_x000D_
_x000D_
2022 01 06 13:42:50 stdout    39 49m  39 49m  37m   at Microsoft AspNetCore Mvc Infrastructure ControllerActionInvoker  InvokeNextActionFilterAsync g  Awaited 10 0(ControllerActionInvoker invoker  Task lastTask  State next  Scope scope  Object state  Boolean isCompleted)_x000D_
 _x000D_
2022 01 06 13:42:50 stdout    39 49m  39 49m  37m   at Microsoft AspNetCore Mvc Infrastructure ControllerActionInvoker  InvokeActionMethodAsync g  Awaited 12 0(ControllerActionInvoker invoker  ValueTask 1 actionResultValueTask)_x000D_
 _x000D_
2022 01 06 13:42:50 stdout    39 49m  39 49m  37m   at Microsoft AspNetCore Mvc Infrastructure ActionMethodExecutor TaskOfActionResultExecutor Execute(IActionResultTypeMapper mapper  ObjectMethodExecutor executor  Object controller  Object   arguments)_x000D_
 _x000D_
2022 01 06 13:42:50 stdout    39 49m  39 49m  37m   at lambda method506(Closure   Object )_x000D_
 _x000D_
2022 01 06 13:42:50 stdout    39 49m  39 49m  37m   at Jellyfin Api Controllers ImageController GetUserImage(Guid userId  ImageType imageType  String tag  Nullable 1 format  Nullable 1 maxWidth  Nullable 1 maxHeight  Nullable 1 percentPlayed  Nullable 1 unplayedCount  Nullable 1 width  Nullable 1 height  Nullable 1 quality  Nullable 1 fillWidth  Nullable 1 fillHeight  Nullable 1 cropWhitespace  Nullable 1 addPlayedIndicator  Nullable 1 blur  String backgroundColor  String foregroundLayer  Nullable 1 imageIndex)_x000D_
 _x000D_
2022 01 06 13:42:50 stdout   39 49m  37mSystem NullReferenceException: Object reference not set to an instance of an object _x000D_
_x000D_
2022 01 06 13:42:50 stdout   39 49m  30m   39 49m  39 49m  37m13:42:50  39 49m  39 49m  30m     39 49m  39 49m  37m  39 49m  37m  41mERR  39 49m  39 49m  30m     39 49m  39 49m  37m27  39 49m  39 49m  30m    39 49m  39 49m  37mJellyfin Server Middleware ExceptionMiddleware  39 49m  39 49m  30m:   39 49m  39 49m  37mError processing request  URL   39 49m  39 49m  36mGET  39 49m  39 49m  37m   39 49m  39 49m  36m Users b5cba38150fe4de280b24ae01500bb17 Images Primary  39 49m  39 49m  37m   39 49m_x000D_
_x000D_
2022 01 06 13:42:50 stdout   39 49m  30m   39 49m  39 49m  37m13:42:50  39 49m  39 49m  30m     39 49m  39 49m  37mINF  39 49m  39 49m  30m     39 49m  39 49m  37m37  39 49m  39 49m  30m    39 49m  39 49m  37mEmby Server Implementations HttpServer WebSocketManager  39 49m  39 49m  30m:   39 49m  39 49m  37mWS   39 49m  39 49m  36m11 22 33 44  39 49m  39 49m  37m request  39 49m_x000D_
_x000D_
2022 01 06 13:42:26 stdout   39 49m  30m   39 49m  39 49m  37m13:42:26  39 49m  39 49m  30m     39 49m  39 49m  33mWRN  39 49m  39 49m  30m     39 49m  39 49m  37m38  39 49m  39 49m  30m    39 49m  39 49m  37mJellyfin Server Middleware ResponseTimeMiddleware  39 49m  39 49m  30m:   39 49m  39 49m  37mSlow HTTP Response from   39 49m  39 49m  36mhttps:  jelly XYZ synology me Sessions Playing Progress  39 49m  39 49m  37m to   39 49m  39 49m  36m11 22 33 44  39 49m  39 49m  37m in   39 49m  39 49m  32m0:00:00 5655353  39 49m  39 49m  37m with Status Code   39 49m  39 49m  35m204  39 49m_x000D_
_x000D_
2022 01 06 13:42:23 stdout   39 49m  30m   39 49m  39 49m  37m13:42:23  39 49m  39 49m  30m     39 49m  39 49m  33mWRN  39 49m  39 49m  30m     39 49m  39 49m  37m37  39 49m  39 49m  30m    39 49m  39 49m  37mJellyfin Server Middleware ResponseTimeMiddleware  39 49m  39 49m  30m:   39 49m  39 49m  37mSlow HTTP Response from   39 49m  39 49m  36mhttps:  jelly XYZ synology me Sessions Playing Progress  39 49m  39 49m  37m to   39 49m  39 49m  36m11 22 33 44  39 49m  39 49m  37m in   39 49m  39 49m  32m0:00:00 6889145  39 49m  39 49m  37m with Status Code   39 49m  39 49m  35m204  39 49m_x000D_
_x000D_
2022 01 06 13:41:32 stdout   39 49m  30m   39 49m  39 49m  37m13:41:32  39 49m  39 49m  30m     39 49m  39 49m  33mWRN  39 49m  39 49m  30m     39 49m  39 49m  37m43  39 49m  39 49m  30m    39 49m  39 49m  37mJellyfin Server Middleware ResponseTimeMiddleware  39 49m  39 49m  30m:   39 49m  39 49m  37mSlow HTTP Response from   39 49m  39 49m  36mhttps:  jelly XYZ synology me Sessions Playing Progress  39 49m  39 49m  37m to   39 49m  39 49m  36m11 22 33 44  39 49m  39 49m  37m in   39 49m  39 49m  32m0:00:00 6839896  39 49m  39 49m  37m with Status Code   39 49m  39 49m  35m204  39 49m_x000D_
_x000D_
2022 01 06 13:41:23 stdout   39 49m  30m   39 49m  39 49m  37m13:41:23  39 49m  39 49m  30m     39 49m  39 49m  33mWRN  39 49m  39 49m  30m     39 49m  39 49m  37m29  39 49m  39 49m  30m    39 49m  39 49m  37mJellyfin Server Middleware ResponseTimeMiddleware  39 49m  39 49m  30m:   39 49m  39 49m  37mSlow HTTP Response from   39 49m  39 49m  36mhttps:  jelly XYZ synology me Sessions Playing Progress  39 49m  39 49m  37m to   39 49m  39 49m  36m11 22 33 44  39 49m  39 49m  37m in   39 49m  39 49m  32m0:00:00 6641971  39 49m  39 49m  37m with Status Code   39 49m  39 49m  35m204  39 49m_x000D_
_x000D_
2022 01 06 13:40:28 stdout   39 49m  30m   39 49m  39 49m  37m13:40:28  39 49m  39 49m  30m     39 49m  39 49m  33mWRN  39 49m  39 49m  30m     39 49m  39 49m  37m39  39 49m  39 49m  30m    39 49m  39 49m  37mJellyfin Server Middleware ResponseTimeMiddleware  39 49m  39 49m  30m:   39 49m  39 49m  37mSlow HTTP Response from   39 49m  39 49m  36mhttps:  jelly XYZ synology me Sessions Playing Progress  39 49m  39 49m  37m to   39 49m  39 49m  36m11 22 33 44  39 49m  39 49m  37m in   39 49m  39 49m  32m0:00:00 537266  39 49m  39 49m  37m with Status Code   39 49m  39 49m  35m204  39 49m_x000D_
_x000D_
2022 01 06 13:40:21 stdout   39 49m  30m   39 49m  39 49m  37m13:40:21  39 49m  39 49m  30m     39 49m  39 49m  33mWRN  39 49m  39 49m  30m     39 49m  39 49m  37m43  39 49m  39 49m  30m    39 49m  39 49m  37mJellyfin Server Middleware ResponseTimeMiddleware  39 49m  39 49m  30m:   39 49m  39 49m  37mSlow HTTP Response from   39 49m  39 49m  36mhttps:  jelly XYZ synology me Sessions Playing  39 49m  39 49m  37m to   39 49m  39 49m  36m11 22 33 44  39 49m  39 49m  37m in   39 49m  39 49m  32m0:00:00 8651733  39 49m  39 49m  37m with Status Code   39 49m  39 49m  35m204  39 49m_x000D_
_x000D_
2022 01 06 13:40:20 stdout    39 49m  30m   39 49m  39 49m  37m13:40:20  39 49m  39 49m  30m     39 49m  39 49m  37mINF  39 49m  39 49m  30m     39 49m  39 49m  37m39  39 49m  39 49m  30m    39 49m  39 49m  37mJellyfin Api Helpers MediaInfoHelper  39 49m  39 49m  30m:   39 49m  39 49m  37mProfile:   39 49m  39 49m  36mAndroidTV ExoPlayer  39 49m  39 49m  37m  Path:   39 49m  39 49m  36m media Konzerte Revolverheld   MTV Unplugged in drei Akten (2015) Revolverheld   MTV Unplugged in drei Akten (2015) h264 720p AAC 2ch mp4  39 49m  39 49m  37m  isEligibleForDirectPlay:   39 49m  39 49m  34mTrue  39 49m  39 49m  37m  isEligibleForDirectStream:   39 49m  39 49m  34mTrue  39 49m_x000D_
 _x000D_
2022 01 06 13:40:20 stdout    39 49m  30m   39 49m  39 49m  37m13:40:20  39 49m  39 49m  30m     39 49m  39 49m  37mINF  39 49m  39 49m  30m     39 49m  39 49m  37m39  39 49m  39 49m  30m    39 49m  39 49m  37mJellyfin Api Helpers MediaInfoHelper  39 49m  39 49m  30m:   39 49m  39 49m  37mProfile:   39 49m  39 49m  36mAndroidTV ExoPlayer  39 49m  39 49m  37m  Path:   39 49m  39 49m  36m media Konzerte Revolverheld   MTV Unplugged in drei Akten (2015) Revolverheld   MTV Unplugged in drei Akten (2015) h264 720p AAC 2ch mp4  39 49m  39 49m  37m  isEligibleForDirectPlay:   39 49m  39 49m  34mTrue  39 49m  39 49m  37m  isEligibleForDirectStream:   39 49m  39 49m  34mTrue  39 49m_x000D_
 _x000D_
2022 01 06 13:40:20 stdout    39 49m  30m   39 49m  39 49m  37m13:40:20  39 49m  39 49m  30m     39 49m  39 49m  37mINF  39 49m  39 49m  30m     39 49m  39 49m  37m39  39 49m  39 49m  30m    39 49m  39 49m  37mJellyfin Api Helpers MediaInfoHelper  39 49m  39 49m  30m:   39 49m  39 49m  37mProfile:   39 49m  39 49m  36mAndroidTV ExoPlayer  39 49m  39 49m  37m  Path:   39 49m  39 49m  36m media Konzerte Revolverheld   MTV Unplugged in drei Akten (2015) Revolverheld   MTV Unplugged in drei Akten (2015) h264 720p AAC 2ch mp4  39 49m  39 49m  37m  isEligibleForDirectPlay:   39 49m  39 49m  34mTrue  39 49m  39 49m  37m  isEligibleForDirectStream:   39 49m  39 49m  34mTrue  39 49m_x000D_
 _x000D_
2022 01 06 13:40:20 stdout   39 49m  30m   39 49m  39 49m  37m13:40:20  39 49m  39 49m  30m     39 49m  39 49m  37mINF  39 49m  39 49m  30m     39 49m  39 49m  37m39  39 49m  39 49m  30m    39 49m  39 49m  37mJellyfin Api Helpers MediaInfoHelper  39 49m  39 49m  30m:   39 49m  39 49m  37mUser policy for   39 49m  39 49m  36mjelly  39 49m  39 49m  37m  EnablePlaybackRemuxing:   39 49m  39 49m  34mTrue  39 49m  39 49m  37m EnableVideoPlaybackTranscoding:   39 49m  39 49m  34mTrue  39 49m  39 49m  37m EnableAudioPlaybackTranscoding:   39 49m  39 49m  34mTrue  39 49m_x000D_
_x000D_
2022 01 06 13:40:20 stdout   30m   39 49m  39 49m  30m    39 49m  39 49m  37m  Codec    39 49m  39 49m  30m:   39 49m  39 49m  36m  hevc    39 49m  39 49m  30m    39 49m  39 49m  37m  Container    39 49m  39 49m  30m:   39 49m  39 49m  34mnull  39 49m  39 49m  30m    39 49m  39 49m  37m   type    39 49m  39 49m  30m:   39 49m  39 49m  36m  CodecProfile    39 49m  39 49m  30m   39 49m  39 49m  30m    39 49m  39 49m  30m   39 49m  39 49m  37m  Type    39 49m  39 49m  30m:   39 49m  39 49m  32m  VideoAudio    39 49m  39 49m  30m    39 49m  39 49m  37m  Conditions    39 49m  39 49m  30m:   39 49m  39 49m  30m   39 49m  39 49m  30m   39 49m  39 49m  37m  Condition    39 49m  39 49m  30m:   39 49m  39 49m  32m  LessThanEqual    39 49m  39 49m  30m    39 49m  39 49m  37m  Property    39 49m  39 49m  30m:   39 49m  39 49m  32m  AudioChannels    39 49m  39 49m  30m    39 49m  39 49m  37m  Value    39 49m  39 49m  30m:   39 49m  39 49m  36m  6    39 49m  39 49m  30m    39 49m  39 49m  37m  IsRequired    39 49m  39 49m  30m:   39 49m  39 49m  34mfalse  39 49m  39 49m  30m    39 49m  39 49m  37m   type    39 49m  39 49m  30m:   39 49m  39 49m  36m  ProfileCondition    39 49m  39 49m  30m   39 49m  39 49m  30m   39 49m  39 49m  30m    39 49m  39 49m  37m  ApplyConditions    39 49m  39 49m  30m:   39 49m  39 49m  30m   39 49m  39 49m  30m   39 49m  39 49m  30m    39 49m  39 49m  37m  Codec    39 49m  39 49m  30m:   39 49m  39 49m  34mnull  39 49m  39 49m  30m    39 49m  39 49m  37m  Container    39 49m  39 49m  30m:   39 49m  39 49m  34mnull  39 49m  39 49m  30m    39 49m  39 49m  37m   type    39 49m  39 49m  30m:   39 49m  39 49m  36m  CodecProfile    39 49m  39 49m  30m   39 49m  39 49m  30m   39 49m  39 49m  30m    39 49m  39 49m  37m  ResponseProfiles    39 49m  39 49m  30m:   39 49m  39 49m  30m   39 49m  39 49m  30m   39 49m  39 49m  30m    39 49m  39 49m  37m  SubtitleProfiles    39 49m  39 49m  30m:   39 49m  39 49m  30m   39 49m  39 49m  30m   39 49m  39 49m  37m  Format    39 49m  39 49m  30m:   39 49m  39 49m  36m  srt    39 49m  39 49m  30m    39 49m  39 49m  37m  Method    39 49m  39 49m  30m:   39 49m  39 49m  32m  External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srt    39 49m  39 49m  30m    39 49m  39 49m  37m  Method    39 49m  39 49m  30m:   39 49m  39 49m  32m  Embed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subrip    39 49m  39 49m  30m    39 49m  39 49m  37m  Method    39 49m  39 49m  30m:   39 49m  39 49m  32m  Embed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ass    39 49m  39 49m  30m    39 49m  39 49m  37m  Method    39 49m  39 49m  30m:   39 49m  39 49m  32m  Encode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ssa    39 49m  39 49m  30m    39 49m  39 49m  37m  Method    39 49m  39 49m  30m:   39 49m  39 49m  32m  Encode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pgs    39 49m  39 49m  30m    39 49m  39 49m  37m  Method    39 49m  39 49m  30m:   39 49m  39 49m  32m  Encode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pgssub    39 49m  39 49m  30m    39 49m  39 49m  37m  Method    39 49m  39 49m  30m:   39 49m  39 49m  32m  Encode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dvdsub    39 49m  39 49m  30m    39 49m  39 49m  37m  Method    39 49m  39 49m  30m:   39 49m  39 49m  32m  Encode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vtt    39 49m  39 49m  30m    39 49m  39 49m  37m  Method    39 49m  39 49m  30m:   39 49m  39 49m  32m  Embed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sub    39 49m  39 49m  30m    39 49m  39 49m  37m  Method    39 49m  39 49m  30m:   39 49m  39 49m  32m  Embed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Format    39 49m  39 49m  30m:   39 49m  39 49m  36m  idx    39 49m  39 49m  30m    39 49m  39 49m  37m  Method    39 49m  39 49m  30m:   39 49m  39 49m  32m  Embed    39 49m  39 49m  30m    39 49m  39 49m  37m  DidlMode    39 49m  39 49m  30m:   39 49m  39 49m  34mnull  39 49m  39 49m  30m    39 49m  39 49m  37m  Language    39 49m  39 49m  30m:   39 49m  39 49m  34mnull  39 49m  39 49m  30m    39 49m  39 49m  37m  Container    39 49m  39 49m  30m:   39 49m  39 49m  34mnull  39 49m  39 49m  30m    39 49m  39 49m  37m   type    39 49m  39 49m  30m:   39 49m  39 49m  36m  SubtitleProfile    39 49m  39 49m  30m   39 49m  39 49m  30m   39 49m  39 49m  30m    39 49m  39 49m  37m   type    39 49m  39 49m  30m:   39 49m  39 49m  36m  DeviceProfile    39 49m  39 49m  30m   39 49m_x000D_
 _x000D_
2022 01 06 13:40:20 stdout    39 49m  30m   39 49m  39 49m  37m13:40:20  39 49m  39 49m  30m     39 49m  39 49m  37mINF  39 49m  39 49m  30m     39 49m  39 49m  37m39  39 49m  39 49m  30m    39 49m  39 49m  37mJellyfin Api Controllers MediaInfoController  39 49m  39 49m  30m:   39 49m  39 49m  37mGetPostedPlaybackInfo profile:   39 49m  39 49m  30m   39 49m  39 49m  37m  Name    39 49m  39 49m  30m:   39 49m  39 49m  36m  AndroidTV ExoPlayer    39 49m  39 49m  30m    39 49m  39 49m  37m  Id    39 49m  39 49m  30m:   39 49m  39 49m  34mnull  39 49m  39 49m  30m    39 49m  39 49m  37m  Identification    39 49m  39 49m  30m:   39 49m  39 49m  34mnull  39 49m  39 49m  30m    39 49m  39 49m  37m  FriendlyName    39 49m  39 49m  30m:   39 49m  39 49m  34mnull  39 49m  39 49m  30m    39 49m  39 49m  37m  Manufacturer    39 49m  39 49m  30m:   39 49m  39 49m  34mnull  39 49m  39 49m  30m    39 49m  39 49m  37m  ManufacturerUrl    39 49m  39 49m  30m:   39 49m  39 49m  34mnull  39 49m  39 49m  30m    39 49m  39 49m  37m  ModelName    39 49m  39 49m  30m:   39 49m  39 49m  34mnull  39 49m  39 49m  30m    39 49m  39 49m  37m  ModelDescription    39 49m  39 49m  30m:   39 49m  39 49m  34mnull  39 49m  39 49m  30m    39 49m  39 49m  37m  ModelNumber    39 49m  39 49m  30m:   39 49m  39 49m  34mnull  39 49m  39 49m  30m    39 49m  39 49m  37m  ModelUrl    39 49m  39 49m  30m:   39 49m  39 49m  34mnull  39 49m  39 49m  30m    39 49m  39 49m  37m  SerialNumber    39 49m  39 49m  30m:   39 49m  39 49m  34mnull  39 49m  39 49m  30m    39 49m  39 49m  37m  EnableAlbumArtInDidl    39 49m  39 49m  30m:   39 49m  39 49m  34mfalse  39 49m  39 49m  30m    39 49m  39 49m  37m  EnableSingleAlbumArtLimit    39 49m  39 49m  30m:   39 49m  39 49m  34mfalse  39 49m  39 49m  30m    39 49m  39 49m  37m  EnableSingleSubtitleLimit    39 49m  39 49m  30m:   39 49m  39 49m  34mfalse  39 49m  39 49m  30m    39 49m  39 49m  37m  SupportedMediaTypes    39 49m  39 49m  30m:   39 49m  39 49m  36m  Audio Photo Video    39 49m  39 49m  30m    39 49m  39 49m  37m  UserId    39 49m  39 49m  30m:   39 49m  39 49m  34mnull  39 49m  39 49m  30m    39 49m  39 49m  37m  AlbumArtPn    39 49m  39 49m  30m:   39 49m  39 49m  34mnull  39 49m  39 49m  30m    39 49m  39 49m  37m  MaxAlbumArtWidth    39 49m  39 49m  30m:   39 49m  39 49m  35m0  39 49m  39 49m  30m    39 49m  39 49m  37m  MaxAlbumArtHeight    39 49m  39 49m  30m:   39 49m  39 49m  35m0  39 49m  39 49m  30m    39 49m  39 49m  37m  MaxIconWidth    39 49m  39 49m  30m:   39 49m  39 49m  34mnull  39 49m  39 49m  30m    39 49m  39 49m  37m  MaxIconHeight    39 49m  39 49m  30m:   39 49m  39 49m  34mnull  39 49m  39 49m  30m    39 49m  39 49m  37m  MaxStreamingBitrate    39 49m  39 49m  30m:   39 49m  39 49m  35m20000000  39 49m  39 49m  30m    39 49m  39 49m  37m  MaxStaticBitrate    39 49m  39 49m  30m:   39 49m  39 49m  35m100000000  39 49m  39 49m  30m    39 49m  39 49m  37m  MusicStreamingTranscodingBitrate    39 49m  39 49m  30m:   39 49m  39 49m  35m128000  39 49m  39 49m  30m    39 49m  39 49m  37m  MaxStaticMusicBitrate    39 49m  39 49m  30m:   39 49m  39 49m  34mnull  39 49m  39 49m  30m    39 49m  39 49m  37m  SonyAggregationFlags    39 49m  39 49m  30m:   39 49m  39 49m  34mnull  39 49m  39 49m  30m    39 49m  39 49m  37m  ProtocolInfo    39 49m  39 49m  30m:   39 49m  39 49m  34mnull  39 49m  39 49m  30m    39 49m  39 49m  37m  TimelineOffsetSeconds    39 49m  39 49m  30m:   39 49m  39 49m  35m0  39 49m  39 49m  30m    39 49m  39 49m  37m  RequiresPlainVideoItems    39 49m  39 49m  30m:   39 49m  39 49m  34mfalse  39 49m  39 49m  30m    39 49m  39 49m  37m  RequiresPlainFolders    39 49m  39 49m  30m:   39 49m  39 49m  34mfalse  39 49m  39 49m  30m    39 49m  39 49m  37m  EnableMSMediaReceiverRegistrar    39 49m  39 49m  30m:   39 49m  39 49m  34mfalse  39 49m  39 49m  30m    39 49m  39 49m  37m  IgnoreTranscodeByteRangeRequests    39 49m  39 49m  30m:   39 49m  39 49m  34mfalse  39 49m  39 49m  30m    39 49m  39 49m  37m  XmlRootAttributes    39 49m  39 49m  30m:   39 49m  39 49m  30m   39 49m  39 49m  30m   39 49m  39 49m  30m    39 49m  39 49m  37m  DirectPlayProfiles    39 49m  39 49m  30m:   39 49m  39 49m  30m   39 49m  39 49m  30m   39 49m  39 49m  37m  Container    39 49m  39 49m  30m:   39 49m  39 49m  36m  m4v mov xvid vob mkv wmv asf ogm ogv mp4 webm    39 49m  39 49m  30m    39 49m  39 49m  37m  AudioCodec    39 49m  39 49m  30m:   39 49m  39 49m  36m  aac ac3 eac3 aac latm mp3 mp2 dca dts    39 49m  39 49m  30m    39 49m  39 49m  37m  VideoCodec    39 49m  39 49m  30m:   39 49m  39 49m  36m  h264 hevc vp8 vp9 mpeg mpeg2video    39 49m  39 49m  30m    39 49m  39 49m  37m  Type    39 49m  39 49m  30m:   39 49m  39 49m  32m  Video    39 49m  39 49m  30m    39 49m  39 49m  37m   type    39 49m  39 49m  30m:   39 49m  39 49m  36m  DirectPlayProfile    39 49m  39 49m  30m   39 49m  39 49m  30m    39 49m  39 49m  30m   39 49m  39 49m  37m  Container    39 49m  39 49m  30m:   39 49m  39 49m  36m  aac mp3 mpa flac wav wma mp2 ogg oga webma ape opus    39 49m  39 49m  30m    39 49m  39 49m  37m  AudioCodec    39 49m  39 49m  30m:   39 49m  39 49m  34mnull  39 49m  39 49m  30m    39 49m  39 49m  37m  VideoCodec    39 49m  39 49m  30m:   39 49m  39 49m  34mnull  39 49m  39 49m  30m    39 49m  39 49m  37m  Type    39 49m  39 49m  30m:   39 49m  39 49m  32m  Audio    39 49m  39 49m  30m    39 49m  39 49m  37m   type    39 49m  39 49m  30m:   39 49m  39 49m  36m  DirectPlayProfile    39 49m  39 49m  30m   39 49m  39 49m  30m    39 49m  39 49m  30m   39 49m  39 49m  37m  Container    39 49m  39 49m  30m:   39 49m  39 49m  36m  jpg jpeg png gif webp    39 49m  39 49m  30m    39 49m  39 49m  37m  AudioCodec    39 49m  39 49m  30m:   39 49m  39 49m  34mnull  39 49m  39 49m  30m    39 49m  39 49m  37m  VideoCodec    39 49m  39 49m  30m:   39 49m  39 49m  34mnull  39 49m  39 49m  30m    39 49m  39 49m  37m  Type    39 49m  39 49m  30m:   39 49m  39 49m  32m  Photo    39 49m  39 49m  30m    39 49m  39 49m  37m   type    39 49m  39 49m  30m:   39 49m  39 49m  36m  DirectPlayProfile    39 49m  39 49m  30m   39 49m  39 49m  30m   39 49m  39 49m  30m    39 49m  39 49m  37m  TranscodingProfiles    39 49m  39 49m  30m:   39 49m  39 49m  30m   39 49m  39 49m  30m   39 49m  39 49m  37m  Container    39 49m  39 49m  30m:   39 49m  39 49m  36m  mkv    39 49m  39 49m  30m    39 49m  39 49m  37m  Type    39 49m  39 49m  30m:   39 49m  39 49m  32m  Video    39 49m  39 49m  30m    39 49m  39 49m  37m  VideoCodec    39 49m  39 49m  30m:   39 49m  39 49m  36m  h264    39 49m  39 49m  30m    39 49m  39 49m  37m  AudioCodec    39 49m  39 49m  30m:   39 49m  39 49m  36m  ac3 aac mp3    39 49m  39 49m  30m    39 49m  39 49m  37m  Protocol    39 49m  39 49m  30m:   39 49m  39 49m  34mnull  39 49m  39 49m  30m    39 49m  39 49m  37m  EstimateContentLength    39 49m  39 49m  30m:   39 49m  39 49m  34mfalse  39 49m  39 49m  30m    39 49m  39 49m  37m  EnableMpegtsM2TsMode    39 49m  39 49m  30m:   39 49m  39 49m  34mfalse  39 49m  39 49m  30m    39 49m  39 49m  37m  TranscodeSeekInfo    39 49m  39 49m  30m:   39 49m  39 49m  32m  Auto    39 49m  39 49m  30m    39 49m  39 49m  37m  CopyTimestamps    39 49m  39 49m  30m:   39 49m  39 49m  34mtrue  39 49m  39 49m  30m    39 49m  39 49m  37m  Context    39 49m  39 49m  30m:   39 49m  39 49m  32m  Streaming    39 49m  39 49m  30m    39 49m  39 49m  37m  EnableSubtitlesInManifest    39 49m  39 49m  30m:   39 49m  39 49m  34mfalse  39 49m  39 49m  30m    39 49m  39 49m  37m  MaxAudioChannels    39 49m  39 49m  30m:   39 49m  39 49m  34mnull  39 49m  39 49m  30m    39 49m  39 49m  37m  MinSegments    39 49m  39 49m  30m:   39 49m  39 49m  35m0  39 49m  39 49m  30m    39 49m  39 49m  37m  SegmentLength    39 49m  39 49m  30m:   39 49m  39 49m  35m0  39 49m  39 49m  30m    39 49m  39 49m  37m  BreakOnNonKeyFrames    39 49m  39 49m  30m:   39 49m  39 49m  34mfalse  39 49m  39 49m  30m    39 49m  39 49m  37m   type    39 49m  39 49m  30m:   39 49m  39 49m  36m  TranscodingProfile    39 49m  39 49m  30m   39 49m  39 49m  30m    39 49m  39 49m  30m   39 49m  39 49m  37m  Container    39 49m  39 49m  30m:   39 49m  39 49m  36m  mp3    39 49m  39 49m  30m    39 49m  39 49m  37m  Type    39 49m  39 49m  30m:   39 49m  39 49m  32m  Audio    39 49m  39 49m  30m    39 49m  39 49m  37m  VideoCodec    39 49m  39 49m  30m:   39 49m  39 49m  34mnull  39 49m  39 49m  30m    39 49m  39 49m  37m  AudioCodec    39 49m  39 49m  30m:   39 49m  39 49m  36m  mp3    39 49m  39 49m  30m    39 49m  39 49m  37m  Protocol    39 49m  39 49m  30m:   39 49m  39 49m  34mnull  39 49m  39 49m  30m    39 49m  39 49m  37m  EstimateContentLength    39 49m  39 49m  30m:   39 49m  39 49m  34mfalse  39 49m  39 49m  30m    39 4</t>
  </si>
  <si>
    <t>itsaky-AndroidIDE-43</t>
  </si>
  <si>
    <t>EditorPagerAdpater crashes when trying to close a file</t>
  </si>
  <si>
    <t xml:space="preserve">  Describe the bug  _x000D_
When i try use terminal and update  the sysroot  lib after 3  4 attempts it crashes _x000D_
_x000D_
  Details (please complete the following information):  _x000D_
Manufacturer: Xiaomi_x000D_
Device: M2102J20SI_x000D_
App version: 2 0 beta (200)_x000D_
  Additional context  _x000D_
   _x000D_
Stacktrace: _x000D_
java lang NullPointerException: Attempt to invoke virtual method  void io github rosemoe editor widget CodeEditor close()  on a null object reference_x000D_
	at com itsaky androidide adapters EditorPagerAdapter closeFileAt(EditorPagerAdapter java:132)_x000D_
	at com itsaky androidide adapters EditorPagerAdapter closeAllFiles(EditorPagerAdapter java:147)_x000D_
	at com itsaky androidide EditorActivity closeAll(EditorActivity java:903)_x000D_
	at com itsaky androidide EditorActivity closeProject(EditorActivity java:1075)_x000D_
	at com itsaky androidide EditorActivity lambda confirmProjectClose 15 com itsaky androidide EditorActivity(EditorActivity java:1095)_x000D_
	at com itsaky androidide EditorActivity  ExternalSyntheticLambda0 onClick(Unknown Source:2)_x000D_
	at androidx appcompat app AlertController ButtonHandler handleMessage(AlertController java:167)_x000D_
	at android os Handler dispatchMessage(Handler java:106)_x000D_
	at android os Looper loop(Looper java:236)_x000D_
	at android app ActivityThread main(ActivityThread java:8056)_x000D_
	at java lang reflect Method invoke(Native Method)_x000D_
	at com android internal os RuntimeInit MethodAndArgsCaller run(RuntimeInit java:656)_x000D_
	at com android internal os ZygoteInit main(ZygoteInit java:967)_x000D_
   </t>
  </si>
  <si>
    <t>PojavLauncherTeam-PojavLauncher-2511</t>
  </si>
  <si>
    <t>Can't login to Microsoft account [BUG] &lt;Short description&gt;</t>
  </si>
  <si>
    <t xml:space="preserve">    Describe the bug
If you try to login it keeps saying error error error game crash     even i can t sign in with my official Java account _x000D_
_x000D_
_x000D_
I think the developer force coded the launcher to act like this 
    The log file and images videos
  Screenshot 2022 0106 095726 (https:  user images githubusercontent com 97210183 148328116 454b5126 c4c9 44b9 9224 ec2068608087 jpg)_x000D_
    Steps To Reproduce
   markdown
Just try logging in
    Expected Behavior
Game crash or error
    Platform
   markdown
  Device model: vivo y11_x000D_
  CPU architecture: aarch64_x000D_
  Android version: 9_x000D_
  PojavLauncher version: latest
    Anything else 
Nothing</t>
  </si>
  <si>
    <t>PojavLauncherTeam-PojavLauncher-2510</t>
  </si>
  <si>
    <t>[BUG] Game crashes on 1.17-1.18.1 when trying to move.</t>
  </si>
  <si>
    <t xml:space="preserve">    Describe the bug_x000D_
_x000D_
I ve met the requirements for 1 17 and up to run and the game starts but as soon as I m in the game and the FPS has settled I try to move and the game always crashes pretty much immediately  This is not an issue prior to 1 17 and the game is relatively stable  I am advised on the Discord to lower my graphics settings despite getting decent FPS in all versions of the game with my current settings although I don t think I should have to if it worked correctly  This happens with or without mods such as Optifine or Sodium  Lithium  Phosphor etc _x000D_
_x000D_
    The log file and images videos_x000D_
_x000D_
For reference using Optifine although it happens without:  https:  youtu be bm 9g9hwe6A (url)_x000D_
  Screenshot 20220105 215747 PojavLauncher (Minecraft Java Edition for Android) (https:  user images githubusercontent com 1496797 148296101 33a7f73d fe4d 4dd9 a14c 3b290f4eefc9 jpg)_x000D_
 latest log (https:  github com PojavLauncherTeam PojavLauncher files 7818055 latest log)_x000D_
 latestlog txt (https:  github com PojavLauncherTeam PojavLauncher files 7822389 latestlog txt)_x000D_
_x000D_
_x000D_
_x000D_
    Steps To Reproduce_x000D_
_x000D_
   markdown_x000D_
There a no steps to reproduce other than running the game _x000D_
   _x000D_
_x000D_
_x000D_
    Expected Behavior_x000D_
_x000D_
   markdown_x000D_
Working fine _x000D_
   _x000D_
_x000D_
_x000D_
    Platform_x000D_
_x000D_
   markdown_x000D_
  Device model: Samsung Galaxy Tab S7 _x000D_
  CPU architecture: Qualcomm Snapdragon 865 Plus_x000D_
  Android version: Android 11 (stock)_x000D_
  PojavLauncher version: Latest GPlay version and up _x000D_
   </t>
  </si>
  <si>
    <t>PojavLauncherTeam-PojavLauncher-2509</t>
  </si>
  <si>
    <t xml:space="preserve">Forge Install Unsuccessful </t>
  </si>
  <si>
    <t xml:space="preserve">    Describe the bug
I ve watched countless tutorials on how to install forge into minecraft pojavlauncher version 1 16 5 on chromebook  and all were unsuccessful  ending up with a screen pop up either saying  Game has exited  or the app crashing  I ve tried typing in the file name as an option as well  and it s been the same  This also happens when I try to install Optifi on 1 16 5  I m not sure what i m doing wrong  
    The log file and images videos
 No response 
    Steps To Reproduce
   markdown
1  start pojavlauncher _x000D_
2  sign in using microsoft account _x000D_
3  click on the minecraft update type_x000D_
4  choose 1 16 5 _x000D_
5  click  options  _x000D_
6  scroll through files and click on downloaded forge file being:  forge 1 16 5 36 2 22 installer jar  _x000D_
7  click next_x000D_
_x000D_
personally for me: _x000D_
8  watch as the installation fails 
    Expected Behavior
After clicking on the forge file  I expected the application to run and pop up a new update option  being  1 16 5 forge  or something similar  However  the application ended up crashing  and after trying over and over  it keeps doing so  
    Platform
   markdown
  Device model: Version 96 0 4664 111_x000D_
  CPU architecture: _x000D_
  Android version: _x000D_
  PojavLauncher version: java 8
    Anything else 
 No response </t>
  </si>
  <si>
    <t>inaturalist-iNaturalistAndroid-1168</t>
  </si>
  <si>
    <t>TransactionTooLargeException in ObservationViewerFragment</t>
  </si>
  <si>
    <t xml:space="preserve">https:  console firebase google com u 1 project inaturalist ios crashlytics app android:org inaturalist android issues 48b3a18c1d7b57633da2959f96b9c0e4_x000D_
_x000D_
   _x000D_
Caused by android os TransactionTooLargeException: data parcel size 2078552 bytes_x000D_
       at android os BinderProxy transactNative(BinderProxy java)_x000D_
       at android os BinderProxy transact(BinderProxy java:540)_x000D_
       at android app IActivityTaskManager Stub Proxy startActivity(IActivityTaskManager java:3747)_x000D_
       at android app Instrumentation execStartActivity(Instrumentation java:1723)_x000D_
       at android app Activity startActivityForResult(Activity java:5388)_x000D_
       at androidx fragment app FragmentActivity startActivityForResult(FragmentActivity java:676)_x000D_
       at androidx core app ActivityCompat startActivityForResult(ActivityCompat java:234)_x000D_
       at androidx fragment app FragmentActivity startActivityFromFragment(FragmentActivity java:791)_x000D_
       at androidx fragment app FragmentActivity HostCallbacks onStartActivityFromFragment(FragmentActivity java:933)_x000D_
       at androidx fragment app Fragment startActivity(Fragment java:1185)_x000D_
       at androidx fragment app Fragment startActivity(Fragment java:1173)_x000D_
       at org inaturalist android ObservationViewerFragment 19 onClick(ObservationViewerFragment java:2065)_x000D_
   </t>
  </si>
  <si>
    <t>inaturalist-iNaturalistAndroid-1167</t>
  </si>
  <si>
    <t>NullPointerException in ExploreActivity.onItemClick</t>
  </si>
  <si>
    <t xml:space="preserve">https:  console firebase google com u 1 project inaturalist ios crashlytics app android:org inaturalist android issues 86dbba23915338eea9826ca42e52ba54_x000D_
_x000D_
   _x000D_
Fatal Exception: java lang NullPointerException: Attempt to invoke interface method  int java util List indexOf(java lang Object)  on a null object reference_x000D_
       at org inaturalist android ExploreActivity 10 onItemClick(ExploreActivity java:1031)_x000D_
       at android widget AdapterView performItemClick(AdapterView java:318)_x000D_
   </t>
  </si>
  <si>
    <t>canyie-pine-23</t>
  </si>
  <si>
    <t>null pointer deref in callBackupMethod fault addr 0xc</t>
  </si>
  <si>
    <t xml:space="preserve">Please let me know if you need anything else  since I don t know how to debug native crash_x000D_
_x000D_
   _x000D_
  2022 01 05T05:55:35 535        0:   807:   814 I Magisk            proc monitor:  com google android gms unstable  PID  17450  UID  10147 _x000D_
  2022 01 05T05:57:40 910    10356: 10647: 10647 F libc              Fatal signal 11 (SIGSEGV)  code 1 (SEGV MAPERR)  fault addr 0xc in tid 10647 (com aliucord)  pid 10647 (com aliucord)_x000D_
  2022 01 05T05:57:41 085    10356: 17980: 17980 F DEBUG                                                                            _x000D_
  2022 01 05T05:57:41 085    10356: 17980: 17980 F DEBUG             Build fingerprint:  OnePlus OnePlus8T EEA OnePlus8T:11 RP1A 201005 001 2110091916:user release keys _x000D_
  2022 01 05T05:57:41 085    10356: 17980: 17980 F DEBUG             Revision:  0 _x000D_
  2022 01 05T05:57:41 085    10356: 17980: 17980 F DEBUG             ABI:  arm64 _x000D_
  2022 01 05T05:57:41 086    10356: 17980: 17980 F DEBUG             Timestamp: 2022 01 05 05:57:41 0100_x000D_
  2022 01 05T05:57:41 086    10356: 17980: 17980 F DEBUG             pid: 10647  tid: 10647  name: com aliucord      com aliucord    _x000D_
  2022 01 05T05:57:41 086    10356: 17980: 17980 F DEBUG             uid: 10356_x000D_
  2022 01 05T05:57:41 086    10356: 17980: 17980 F DEBUG             signal 11 (SIGSEGV)  code 1 (SEGV MAPERR)  fault addr 0xc_x000D_
  2022 01 05T05:57:41 086    10356: 17980: 17980 F DEBUG             Cause: null pointer dereference_x000D_
  2022 01 05T05:57:41 086    10356: 17980: 17980 F DEBUG                 x0  000000001b34d320  x1  0000000000000000  x2  0000007fcae81f88  x3  0000007fcae81f8c_x000D_
  2022 01 05T05:57:41 086    10356: 17980: 17980 F DEBUG                 x4  0000000000000001  x5  0000000000000008  x6  0000000012c00100  x7  0000000000000028_x000D_
  2022 01 05T05:57:41 086    10356: 17980: 17980 F DEBUG                 x8  0000000000080011  x9  000000001b34d320  x10 0000007fcae81f84  x11 0000006eed2fc000_x000D_
  2022 01 05T05:57:41 086    10356: 17980: 17980 F DEBUG                 x12 0000000000000001  x13 0000000000000000  x14 000000006f3a7970  x15 0000000000000007_x000D_
  2022 01 05T05:57:41 086    10356: 17980: 17980 F DEBUG                 x16 0000006eed128368  x17 0000006e80143238  x18 00000071e47a6000  x19 0000007fcae81f30_x000D_
  2022 01 05T05:57:41 086    10356: 17980: 17980 F DEBUG                 x20 0000006f1d512610  x21 000000001b34d320  x22 0000000013c63568  x23 0000000000000001_x000D_
  2022 01 05T05:57:41 086    10356: 17980: 17980 F DEBUG                 x24 0000007fcae81f8c  x25 0000000013c63568  x26 0000000000000001  x27 0000000000000001_x000D_
  2022 01 05T05:57:41 086    10356: 17980: 17980 F DEBUG                 x28 00000071e3665000  x29 0000007fcae81ed0_x000D_
  2022 01 05T05:57:41 086    10356: 17980: 17980 F DEBUG                 lr  0000006eed1a8824  sp  0000007fcae81c20  pc  0000006eed1a8878  pst 0000000040001000_x000D_
  2022 01 05T05:57:41 276    10356: 17980: 17980 F DEBUG             backtrace:_x000D_
  2022 01 05T05:57:41 276    10356: 17980: 17980 F DEBUG                    00 pc 0000000000555878   apex com android art lib64 libart so libart so (offset 0x357000) (art::InvokeMethod(art::ScopedObjectAccessAlreadyRunnable const    jobject    jobject    jobject   unsigned long) 276) (BuildId: e841be9816817e37b70ebf4a461a916e)_x000D_
  2022 01 05T05:57:41 276    10356: 17980: 17980 F DEBUG                    01 pc 00000000004d539c   apex com android art lib64 libart so libart so (offset 0x357000) (art::Method invoke( JNIEnv    jobject    jobject    jobjectArray ) 52) (BuildId: e841be9816817e37b70ebf4a461a916e)_x000D_
  2022 01 05T05:57:41 276    10356: 17980: 17980 F DEBUG                    02 pc 000000000008a6f4   apex com android art javalib arm64 boot oat (art jni trampoline 180) (BuildId: aece9284df80b1815bdaf34e52f290399c49da97)_x000D_
  2022 01 05T05:57:41 276    10356: 17980: 17980 F DEBUG                    03 pc 000000000202d938   memfd:jit cache (deleted) (offset 0x2000000) (top canyie pine Pine callBackupMethod 152)_x000D_
  2022 01 05T05:57:41 276    10356: 17980: 17980 F DEBUG                    04 pc 00000000020312a8   memfd:jit cache (deleted) (offset 0x2000000) (top canyie pine Pine CallFrame invokeOriginalMethod 120)_x000D_
  2022 01 05T05:57:41 276    10356: 17980: 17980 F DEBUG                    05 pc 000000000202ee44   memfd:jit cache (deleted) (offset 0x2000000) (top canyie pine Pine handleCall 932)_x000D_
  2022 01 05T05:57:41 276    10356: 17980: 17980 F DEBUG                    06 pc 000000000202d5a0   memfd:jit cache (deleted) (offset 0x2000000) (top canyie pine entry Arm64Entry handleBridge 2128)_x000D_
  2022 01 05T05:57:41 276    10356: 17980: 17980 F DEBUG                    07 pc 00000000020d76e0   memfd:jit cache (deleted) (offset 0x2000000) (top canyie pine entry Arm64Entry voidBridge 32)_x000D_
  2022 01 05T05:57:41 276    10356: 17980: 17980 F DEBUG                    08 pc 00000000001337e8   apex com android art lib64 libart so (art quick invoke static stub 568) (BuildId: e841be9816817e37b70ebf4a461a916e)_x000D_
  2022 01 05T05:57:41 276    10356: 17980: 17980 F DEBUG                    09 pc 00000000001a8a94   apex com android art lib64 libart so (art::ArtMethod::Invoke(art::Thread   unsigned int   unsigned int  art::JValue   char const ) 228) (BuildId: e841be9816817e37b70ebf4a461a916e)_x000D_
  2022 01 05T05:57:41 276    10356: 17980: 17980 F DEBUG                    10 pc 0000000000318460   apex com android art lib64 libart so (art::interpreter::ArtInterpreterToCompiledCodeBridge(art::Thread   art::ArtMethod   art::ShadowFrame   unsigned short  art::JValue ) 376) (BuildId: e841be9816817e37b70ebf4a461a916e)_x000D_
  2022 01 05T05:57:41 276    10356: 17980: 17980 F DEBUG                    11 pc 0000000000305e48   apex com android art lib64 libart so (art::interpreter::Execute(art::Thread   art::CodeItemDataAccessor const   art::ShadowFrame   art::JValue  bool  bool) ( llvm 11595045141414065483) 460) (BuildId: e841be9816817e37b70ebf4a461a916e)_x000D_
  2022 01 05T05:57:41 276    10356: 17980: 17980 F DEBUG                    12 pc 000000000066b838   apex com android art lib64 libart so libart so (offset 0x357000) (artQuickToInterpreterBridge 780) (BuildId: e841be9816817e37b70ebf4a461a916e)_x000D_
  2022 01 05T05:57:41 276    10356: 17980: 17980 F DEBUG                    13 pc 000000000013cff8   apex com android art lib64 libart so (art quick to interpreter bridge 88) (BuildId: e841be9816817e37b70ebf4a461a916e)_x000D_
  2022 01 05T05:57:41 276    10356: 17980: 17980 F DEBUG                    14 pc 0000000000133564   apex com android art lib64 libart so (art quick invoke stub 548) (BuildId: e841be9816817e37b70ebf4a461a916e)_x000D_
  2022 01 05T05:57:41 276    10356: 17980: 17980 F DEBUG                    15 pc 00000000001a8a78   apex com android art lib64 libart so (art::ArtMethod::Invoke(art::Thread   unsigned int   unsigned int  art::JValue   char const ) 200) (BuildId: e841be9816817e37b70ebf4a461a916e)_x000D_
  2022 01 05T05:57:41 276    10356: 17980: 17980 F DEBUG                    16 pc 0000000000318460   apex com android art lib64 libart so (art::interpreter::ArtInterpreterToCompiledCodeBridge(art::Thread   art::ArtMethod   art::ShadowFrame   unsigned short  art::JValue ) 376) (BuildId: e841be9816817e37b70ebf4a461a916e)_x000D_
  2022 01 05T05:57:41 276    10356: 17980: 17980 F DEBUG                    17 pc 000000000030f17c   apex com android art lib64 libart so (bool art::interpreter::DoCall false  true (art::ArtMethod   art::Thread   art::ShadowFrame   art::Instruction const   unsigned short  art::JValue ) 1800) (BuildId: e841be9816817e37b70ebf4a461a916e)_x000D_
  2022 01 05T05:57:41 276    10356: 17980: 17980 F DEBUG                    18 pc 0000000000174fb8   apex com android art lib64 libart so (void art::interpreter::ExecuteSwitchImplCpp true  false (art::interpreter::SwitchImplContext ) 45680) (BuildId: e841be9816817e37b70ebf4a461a916e)_x000D_
  2022 01 05T05:57:41 277    10356: 17980: 17980 F DEBUG                    19 pc 000000000013f7d8   apex com android art lib64 libart so (ExecuteSwitchImplAsm 8) (BuildId: e841be9816817e37b70ebf4a461a916e)_x000D_
  2022 01 05T05:57:41 277    10356: 17980: 17980 F DEBUG                    20 pc 0000000000d7ea14   data app   2rlePhbx0W1zIsuO YGxSA   com aliucord xCAXUFJ0AtykTZiiZIIeLA   oat arm64 base vdex (com discord widgets chat input WidgetChatInput configureUI)_x000D_
  2022 01 05T05:57:41 277    10356: 17980: 17980 F DEBUG                    21 pc 0000000000305e90   apex com android art lib64 libart so (art::interpreter::Execute(art::Thread   art::CodeItemDataAccessor const   art::ShadowFrame   art::JValue  bool  bool) ( llvm 11595045141414065483) 532) (BuildId: e841be9816817e37b70ebf4a461a916e)_x000D_
  2022 01 05T05:57:41 277    10356: 17980: 17980 F DEBUG                    22 pc 000000000066b838   apex com android art lib64 libart so libart so (offset 0x357000) (artQuickToInterpreterBridge 780) (BuildId: e841be9816817e37b70ebf4a461a916e)_x000D_
  2022 01 05T05:57:41 277    10356: 17980: 17980 F DEBUG                    23 pc 000000000013cff8   apex com android art lib64 libart so (art quick to interpreter bridge 88) (BuildId: e841be9816817e37b70ebf4a461a916e)_x000D_
  2022 01 05T05:57:41 277    10356: 17980: 17980 F DEBUG                    24 pc 0000000000133564   apex com android art lib64 libart so (art quick invoke stub 548) (BuildId: e841be9816817e37b70ebf4a461a916e)_x000D_
  2022 01 05T05:57:41 277    10356: 17980: 17980 F DEBUG                    25 pc 00000000001a8a78   apex com android art lib64 libart so (art::ArtMethod::Invoke(art::Thread   unsigned int   unsigned int  art::JValue   char const ) 200) (BuildId: e841be9816817e37b70ebf4a461a916e)_x000D_
  2022 01 05T05:57:41 277    10356: 17980: 17980 F DEBUG                    26 pc 0000000000555cb8   apex com android art lib64 libart so libart so (offset 0x357000) (art::InvokeMethod(art::ScopedObjectAccessAlreadyRunnable const    jobject    jobject    jobject   unsigned long) 1364) (BuildId: e841be9816817e37b70ebf4a461a916e)_x000D_
  2022 01 05T05:57:41 277    10356: 17980: 17980 F DEBUG                    27 pc 00000000004d539c   apex com android art lib64 libart so libart so (offset 0x357000) (art::Method invoke( JNIEnv    jobject    jobject    jobjectArray ) 52) (BuildId: e841be9816817e37b70ebf4a461a916e)_x000D_
  2022 01 05T05:57:41 277    10356: 17980: 17980 F DEBUG                    28 pc 000000000008a6f4   apex com android art javalib arm64 boot oat (art jni trampoline 180) (BuildId: aece9284df80b1815bdaf34e52f290399c49da97)_x000D_
  2022 01 05T05:57:41 277    10356: 17980: 17980 F DEBUG                    29 pc 000000000202d938   memfd:jit cache (deleted) (offset 0x2000000) (top canyie pine Pine callBackupMethod 152)_x000D_
  2022 01 05T05:57:41 277    10356: 17980: 17980 F DEBUG                    30 pc 00000000020312a8   memfd:jit cache (deleted) (offset 0x2000000) (top canyie pine Pine CallFrame invokeOriginalMethod 120)_x000D_
  2022 01 05T05:57:41 277    10356: 17980: 17980 F DEBUG                    31 pc 000000000202ee44   memfd:jit cache (deleted) (offset 0x2000000) (top canyie pine Pine handleCall 932)_x000D_
  2022 01 05T05:57:41 277    10356: 17980: 17980 F DEBUG                    32 pc 000000000202d5a0   memfd:jit cache (deleted) (offset 0x2000000) (top canyie pine entry Arm64Entry handleBridge 2128)_x000D_
  2022 01 05T05:57:41 277    10356: 17980: 17980 F DEBUG                    33 pc 00000000020d76e0   memfd:jit cache (deleted) (offset 0x2000000) (top canyie pine entry Arm64Entry voidBridge 32)_x000D_
  2022 01 05T05:57:41 277    10356: 17980: 17980 F DEBUG                    34 pc 00000000001337e8   apex com android art lib64 libart so (art quick invoke static stub 568) (BuildId: e841be9816817e37b70ebf4a461a916e)_x000D_
  2022 01 05T05:57:41 277    10356: 17980: 17980 F DEBUG                    35 pc 00000000001a8a94   apex com android art lib64 libart so (art::ArtMethod::Invoke(art::Thread   unsigned int   unsigned int  art::JValue   char const ) 228) (BuildId: e841be9816817e37b70ebf4a461a916e)_x000D_
  2022 01 05T05:57:41 277    10356: 17980: 17980 F DEBUG                    36 pc 0000000000318460   apex com android art lib64 libart so (art::interpreter::ArtInterpreterToCompiledCodeBridge(art::Thread   art::ArtMethod   art::ShadowFrame   unsigned short  art::JValue ) 376) (BuildId: e841be9816817e37b70ebf4a461a916e)_x000D_
  2022 01 05T05:57:41 277    10356: 17980: 17980 F DEBUG                    37 pc 0000000000305e48   apex com android art lib64 libart so (art::interpreter::Execute(art::Thread   art::CodeItemDataAccessor const   art::ShadowFrame   art::JValue  bool  bool) ( llvm 11595045141414065483) 460) (BuildId: e841be9816817e37b70ebf4a461a916e)_x000D_
  2022 01 05T05:57:41 277    10356: 17980: 17980 F DEBUG                    38 pc 000000000066b838   apex com android art lib64 libart so libart so (offset 0x357000) (artQuickToInterpreterBridge 780) (BuildId: e841be9816817e37b70ebf4a461a916e)_x000D_
  2022 01 05T05:57:41 277    10356: 17980: 17980 F DEBUG                    39 pc 000000000013cff8   apex com android art lib64 libart so (art quick to interpreter bridge 88) (BuildId: e841be9816817e37b70ebf4a461a916e)_x000D_
  2022 01 05T05:57:41 277    10356: 17980: 17980 F DEBUG                    40 pc 00000000021d13f0   memfd:jit cache (deleted) (offset 0x2000000) (com discord widgets chat input WidgetChatInput access configureUI 48)_x000D_
  2022 01 05T05:57:41 277    10356: 17980: 17980 F DEBUG                    41 pc 00000000021d12b4   memfd:jit cache (deleted) (offset 0x2000000) (com discord widgets chat input WidgetChatInput onViewBoundOrOnResume 1 invoke 132)_x000D_
  2022 01 05T05:57:41 277    10356: 17980: 17980 F DEBUG                    42 pc 00000000021d6808   memfd:jit cache (deleted) (offset 0x2000000) (com discord widgets chat input WidgetChatInput onViewBoundOrOnResume 1 invoke 88)_x000D_
  2022 01 05T05:57:41 277    10356: 17980: 17980 F DEBUG                    43 pc 00000000020fd718   memfd:jit cache (deleted) (offset 0x2000000) (com discord utilities rx ObservableExtensionsKt sam rx functions Action1 0 call 72)_x000D_
  2022 01 05T05:57:41 277    10356: 17980: 17980 F DEBUG                    44 pc 00000000020c0868   memfd:jit cache (deleted) (offset 0x2000000) (j0 l e b onNext 72)_x000D_
  2022 01 05T05:57:41 277    10356: 17980: 17980 F DEBUG                    45 pc 0000000002067ca4   memfd:jit cache (deleted) (offset 0x2000000) (j0 n b onNext 84)_x000D_
  2022 01 05T05:57:41 277    10356: 17980: 17980 F DEBUG                    46 pc 00000000020e2488   memfd:jit cache (deleted) (offset 0x2000000) (j0 n e onNext 72)_x000D_
  2022 01 05T05:57:41 277    10356: 17980: 17980 F DEBUG                    47 pc 00000000020debbc   memfd:jit cache (deleted) (offset 0x2000000) (j0 l a l a onNext 316)_x000D_
  2022 01 05T05:57:41 277    10356: 17980: 17980 F DEBUG                    48 pc 000000000210904c   memfd:jit cache (deleted) (offset 0x2000000) (j0 n c onNext 156)_x000D_
  2022 01 05T05:57:41 277    10356: 17980: 17980 F DEBUG                    49 pc 000000000211f5e8   memfd:jit cache (deleted) (offset 0x2000000) (rx observers SerializedSubscriber onNext 72)_x000D_
  2022 01 05T05:57:41 277    10356: 17980: 17980 F DEBUG                    50 pc 0000000002110bf8   memfd:jit cache (deleted) (offset 0x2000000) (j0 l a d2 onNext 72)_x000D_
  2022 01 05T05:57:41 277    10356: 17980: 17980 F DEBUG                    51 pc 00000000020e92d4   memfd:jit cache (deleted) (offset 0x2000000) (j0 l a t0 onNext 500)_x000D_
  2022 01 05T05:57:41 277    10356: 17980: 17980 F DEBUG                    52 pc 00000000020dbe6c   memfd:jit cache (deleted) (offset 0x2000000) (j0 l a f b d 556)_x000D_
  2022 01 05T05:57:41 277    10356: 17980: 17980 F DEBUG                    53 pc 00000000020e27cc   memfd:jit cache (deleted) (offset 0x2000000) (j0 l a f b c 684)_x000D_
  2022 01 05T05:57:41 277    10356: 17980: 17980 F DEBUG                    54 pc 0000000002104a4c   memfd:jit cache (deleted) (offset 0x2000000) (j0 l a f a onNext 108)_x000D_
  2022 01 05T05:57:41 277    10356: 17980: 17980 F DEBUG                    55 pc 0000000002067ca4   memfd:jit cache (deleted) (offset 0x2000000) (j0 n b onNext 84)_x000D_
  2022 01 05T05:57:41 277    10356: 17980: 17980 F DEBUG                    56 pc 00000000020fe230   memfd:jit cache (deleted) (offset 0x2000000) (j0 l a e a 368)_x000D_
  2022 01 05T05:57:41 277    10356: 17980: 17980 F DEBUG                    57 pc 000000000210b640   memfd:jit cache (deleted) (offset 0x2000000) (j0 q c b a 304)_x000D_
  2022 01 05T05:57:41 277    10356: 17980: 17980 F DEBUG                    58 pc 0000000002114c48   memfd:jit cache (deleted) (offset 0x2000000) (rx subjects BehaviorSubject onNext 280)_x000D_
  2022 01 05T05:57:41 277    10356: 17980: 17980 F DEBUG                    59 pc 0000000002135958   memfd:jit cache (deleted) (offset 0x2000000) (com discord app AppViewModel updateViewState 120)_x000D_
  2022 01 05T05:57:41 277    10356: 17980: 17980 F DEBUG                    60 pc 0000000002126194   memfd:jit cache (deleted) (offset 0x2000000) (com discord widgets chat input ChatInputViewModel handleStoreState 2996)_x000D_
  2022 01 05T05:57:41 277    10356: 17980: 17980 F DEBUG                    61 pc 00000000021e3c90   memfd:jit cache (deleted) (offset 0x2000000) (com discord widgets chat input ChatInputViewModel access handleStoreState 48)_x000D_
  2022 01 05T05:57:41 277    10356: 17980: 17980 F DEBUG                    62 pc 00000000021cf8b4   memfd:jit cache (deleted) (offset 0x2000000) (com discord widgets chat input ChatInputViewModel 1 invoke 132)_x000D_
  2022 01 05T05:57:41 277    10356: 17980: 17980 F DEBUG                    63 pc 00000000021d66c8   memfd:jit cache (deleted) (offset 0x2000000) (com discord widgets chat input ChatInputViewModel 1 invoke 88)_x000D_
  2022 01 05T05:57:41 277    10356: 17980: 17980 F DEBUG                    64 pc 00000000020fd718   memfd:jit cache (deleted) (offset 0x2000000) (com discord utilities rx ObservableExtensionsKt sam rx functions Action1 0 call 72)_x000D_
  2022 01 05T05:57:41 277    10356: 17980: 17980 F DEBUG                    65 pc 00000000020c0868   memfd:jit cache (deleted) (offset 0x2000000) (j0 l e b onNext 72)_x000D_
  2022 01 05T05:57:41 277    10356: 17980: 17980 F DEBUG                    66 pc 0000000002067ca4   memfd:jit cache (deleted) (offset 0x2000000) (j0 n b onNext 84)_x000D_
  2022 01 05T05:57:41 277    10356: 17980: 17980 F DEBUG                    67 pc 00000000020e2488   memfd:jit cache (deleted) (offset 0x2000000) (j0 n e onNext 72)_x000D_
  2022 01 05T05:57:41 277    10356: 17980: 17980 F DEBUG                    68 pc 000000000210904c   memfd:jit cache (deleted) (offset 0x2000000) (j0 n c onNext 156)_x000D_
  2022 01 05T05:57:41 277    10356: 17980: 17980 F DEBUG                    69 pc 000000000211f5e8   memfd:jit cache (deleted) (offset 0x2000000) (rx observers SerializedSubscriber onNext 72)_x000D_
  2022 01 05T05:57:41 277    10356: 17980: 17980 F DEBUG                    70 pc 0000000002110bf8   memfd:jit cache (deleted) (offset 0x2000000) (j0 l a d2 onNext 72)_x000D_
  2022 01 05T05:57:41 277    10356: 17980: 17980 F DEBUG                    71 pc 00000000020d7cdc   memfd:jit cache (deleted) (offset 0x2000000) (j0 l a z0 a call 268)_x000D_
  2022 01 05T05:57:41 277    10356: 17980: 17980 F DEBUG                    72 pc 0000000002045848   memfd:jit cache (deleted) (offset 0x2000000) (j0 j b b b run 72)_x000D_
  2022 01 05T05:57:41 277    10356: 17980: 17980 F DEBUG                    73 pc 000000000064f8ec   system framework arm64 boot framework oat (android os Handler dispatchMessage 76) (BuildId: f4e68159793f3c4aa36e9cc9955ea51e8e8b3268)_x000D_
  2022 01 05T05:57:41 277    10356: 17980: 17980 F DEBUG                    74 pc 0000000000652eb4   system framework arm64 boot framework oat (android os Looper loop 1668) (BuildId: f4e68159793f3c4aa36e9cc9955ea51e8e8b3268)_x000D_
  2022 01 05T05:57:41 277    10356: 17980: 17980 F DEBUG                    75 pc 000000000040e300   system framework arm64 boot framework oat (android app ActivityThread main 752) (BuildId: f4e68159793f3c4aa36e9cc9955ea51e8e8b3268)_x000D_
  2022 01 05T05:57:41 277    10356: 17980: 17980 F DEBUG                    76 pc 00000000001337e8   apex com android art lib64 libart so (art quick invoke static stub 568) (BuildId: e841be9816817e37b70ebf4a461a916e)_x000D_
  2022 01 05T05:57:41 277    10356: 17980: 17980 F DEBUG                    77 pc 00000000001a8a94   apex com android art lib64 libart so (art::ArtMethod::Invoke(art::Thread   unsigned int   unsigned int  art::JValue   char const ) 228) (BuildId: e841be9816817e37b70ebf4a461a916e)_x000D_
  2022 01 05T05:57:41 277    10356: 17980: 17980 F DEBUG                    78 pc 0000000000555cb8   apex com android art lib64 libart so libart so (offset 0x357000) (art::InvokeMethod(art::ScopedObjectAccessAlreadyRunnable const    jobject    jobject    jobject   unsigned long) 1364) (BuildId: e841be9816817e37b70ebf4a461a916e)_x000D_
  2022 01 05T05:57:41 277    10356: 17980: 17980 F DEBUG                    79 pc 00000000004d539c   apex com android art lib64 libart so libart so (offset 0x357000) (art::Method invoke( JNIEnv    jobject    jobject    jobjectArray ) 52) (BuildId: e841be9816817e37b70ebf4a461a916e)_x000D_
  2022 01 05T05:57:41 277    10356: 17980: 17980 F DEBUG                    80 pc 000000000008a6f4   apex com android art javalib arm64 boot oat (art jni trampoline 180) (BuildId: aece9284df80b1815bdaf34e52f290399c49da97)_x000D_
  2022 01 05T05:57:41 277    10356: 17980: 17980 F DEBUG                    81 pc 00000000008cf568   system framework arm64 boot framework oat (com android internal os RuntimeInit MethodAndArgsCaller run 136) (BuildId: f4e68159793f3c4aa36e9cc9955ea51e8e8b3268)_x000D_
  2022 01 05T05:57:41 277    10356: 17980: 17980 F DEBUG                    82 pc 00000000008d7d2c   system framework arm64 boot framework oat (com android internal os ZygoteInit main 2444) (BuildId: f4e68159793f3c4aa36e9cc9955ea51e8e8b3268)_x000D_
  2022 01 05T05:57:41 277    10356: 17980: 17980 F DEBUG                    83 pc 00000000001337e8   apex com android art lib64 libart so (art quick invoke static stub 568) (BuildId: e841be9816817e37b70ebf4a461a916e)_x000D_
  2022 01 05T05:57:41 277    10356: 17980: 17980 F DEBUG                    84 pc 00000000001a8a94   apex com android art lib64 libart so (art::ArtMethod::Invoke(art::Thread   unsigned int   unsigned int  art::JValue   char const ) 228) (BuildId: e841be9816817e37b70ebf4a461a916e)_x000D_
  2022 01 05T05:57:41 277    10356: 17980: 17980 F DEBUG                    85 pc 00000000005546f4   apex com android art lib64 libart so libart so (offset 0x357000) (art::JValue art::InvokeWithVarArgs art::ArtMethod  (art::ScopedObjectAccessAlreadyRunnable const    jobject   art::ArtMethod   std::  va list) 448) (BuildId: e841be9816817e37b70ebf4a461a916e)_x000D_
  2022 01 05T05:57:41 277    10356: 17980: 17980 F DEBUG                    86 pc 0000000000554ba8   apex com android art lib64 libart so libart so (offset 0x357000) (art::JValue art::InvokeWithVarArgs  jmethodID  (art::ScopedObjectAccessAlreadyRunnable const    jobject    jmethodID   std::  va list) 92) (BuildId: e841be9816817e37b70ebf4a461a916e)_x000D_
  2022 01 05T05:57:41 277    10356: 17980: 17980 F DEBUG                    87 pc 0000000000438ccc   apex com android art lib64 libart so libart so (offset 0x357000) (art::JNI true ::CallStaticVoidMethodV( JNIEnv    jclass    jmethodID   std::  va list) 656) (BuildId: e841be9816817e37b70ebf4a461a916e)_x000D_
  2022 01 05T05:57:41 277    10356: 17980: 17980 F DEBUG                    88 pc 000000000009a424   system lib64 libandroid runtime so ( JNIEnv::CallStaticVoidMethod( jclass    jmethodID      ) 124) (BuildId: 3526ac28ff4060c7bd2e3ff5f3574c5d)_x000D_
  2022 01 05T05:57:41 277    10356: 17980: 17980 F DEBUG                    89 pc 00000000000a24e8   system lib64 libandroid runtime so (android::AndroidRuntime::start(char const   android::Vector android::String8  const   bool) 836) (BuildId: 3526ac28ff4060c7bd2e3ff5f3574c5d)_x000D_
  2022 01 05T05:57:41 277    10356: 17980: 17980 F DEBUG                    90 pc 0000000000003674   system bin app process64 (main 1580) (BuildId: a76323e5f4dd557adcc3874fc6b522de)_x000D_
  2022 01 05T05:57:41 277    10356: 17980: 17980 F DEBUG                    91 pc 00000000000499fc   apex com android runtime lib64 bionic libc so (  libc init 108) (BuildId: 3b0dd94de78a8a796f793e81b7adfbd0)_x000D_
  2022 01 05T05:57:42 710        0:   807:   814 I Magisk            proc monitor:  com aliucord  PID  17186  UID  10356 _x000D_
   </t>
  </si>
  <si>
    <t>flololan-GoToMetz-2</t>
  </si>
  <si>
    <t>Creating Site without Categorie crashes app</t>
  </si>
  <si>
    <t>When creating a site without any categories the app will crash without any warning</t>
  </si>
  <si>
    <t>nextcloud-android-9650</t>
  </si>
  <si>
    <t>Android App Broken on VPN (Crash log)</t>
  </si>
  <si>
    <t xml:space="preserve">    Steps to reproduce_x000D_
1  Server is setup without any warning error in overviews (overwrite protocol  host etc    is set  so is trusted proxies)  Using Traefik and Docker_x000D_
2  Simply login from Android while connected to VPN_x000D_
3  The loading is stuck at the end of every login mechanisms (QR Code  app password  normal email password)_x000D_
4  Eventually crashes with this :_x000D_
_x000D_
https:  pastebin com 8dvx12Fp_x000D_
_x000D_
I had the crash once while trying to upload as well_x000D_
_x000D_
    Environment data_x000D_
Android version: 11_x000D_
_x000D_
Device model: Fold 3_x000D_
_x000D_
Stock or customized system: Stock_x000D_
_x000D_
Nextcloud app version: Latest from market_x000D_
_x000D_
Nextcloud server version: Nextcloud Hub II (23 0 0)_x000D_
_x000D_
VPN: Wireguard with Pi hole  I have checked and none of the nextcloud called have been blocked though _x000D_
_x000D_
Reverse proxy: Traefik_x000D_
_x000D_
There are no logs in the Nextcloud server  logs  nor in Traefik  I have attached earlier the Android logs_x000D_
_x000D_
 Worth noting that both the   windows apps and ios app work    so native app login is working in itself  Hopefully  the crash report is useful  The login on the Android app also works when VPN is off  _x000D_
_x000D_
Could the VPN somehow mess up the SSL handshake _x000D_
Could Nextcloud trip when two different devices try to connect from the same IP (both my laptop and phone uses VPN)_x000D_
_x000D_
EDIT: realised it was because of VPN  and that upload is also (sometime ) broken </t>
  </si>
  <si>
    <t>Anuken-Mindustry-6468</t>
  </si>
  <si>
    <t>The buildings of the derelict team are displayed on the minimap as the buildings of my team</t>
  </si>
  <si>
    <t xml:space="preserve">  Platform  : Android
  Build  : 135
  Issue  : The buildings of the derelict team are displayed on the minimap as the buildings of my team when I start destroy them
  Screenshot 20220105 124325 png (https:  user images githubusercontent com 65529860 148208297 caf4d9da 67ab 4c6e 8d6b 5cce211f5187 png)
  Steps to reproduce  : I destroy building of derelict teram  and it is displayed on the minimap as the buildings of my team I was playing in the company when I found this bug
  Link(s) to mod(s) used  : Destroy any building of derelict team
  Save file  : https:  disk yandex ru d 8BVftbRFx D5Fg
If you remove the line above without reading it properly and understanding what it means  I will reap your soul  Even if you re playing on someone s server  you can still save the game to a slot 
  (Crash) logs  : It is not crash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</si>
  <si>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mh--corona-warn-companion-android-140</t>
  </si>
  <si>
    <t xml:space="preserve">Warn Companion crashes when exporting data from CCTG </t>
  </si>
  <si>
    <t>Hello _x000D_
  Screenshot 20220105 120923 Corona Tracing (https:  user images githubusercontent com 64130599 148208399 5ea99bae 1f81 448d 8bd0 fbafaef306fc jpg)_x000D_
  Screenshot 20220105 121004 Warn App Companion (https:  user images githubusercontent com 64130599 148208403 e17953a8 d41f 45f5 939e 968b651954eb jpg)_x000D_
  Screenshot 20220105 121020 Corona Tracing (https:  user images githubusercontent com 64130599 148208404 0fc26d8f dc8d 4d9c 9254 7d836a4c8a8d jpg)_x000D_
 when I export data from CCTG Vers  2 14 1 to Warn Companion  Warn Companion crashes  There is no error message and I am always kicked out to the CCTG App  _x000D_
_x000D_
Device: Samsung Galaxy A51_x000D_
Mode: MicroG_x000D_
OS: Android 11_x000D_
App: From Google Play</t>
  </si>
  <si>
    <t>square-react-native-square-reader-sdk-157</t>
  </si>
  <si>
    <t>Square reader sdk invoked the app crash after upgraded to expo44</t>
  </si>
  <si>
    <t xml:space="preserve">    Describe the issue_x000D_
_x000D_
After I upgraded my app to Expo 44 with bare workflow and the android api level is upgraded to 30  the square reader did not work properly on the  android devices  It has several problems:_x000D_
  Problem 1: App crashed   sometimes only in the production mode  below are the steps :_x000D_
1  build a release bundle(apk) _x000D_
2  install the apk on an android device(device info will be listed below) _x000D_
3  authorize with the sqaure development code_x000D_
4  enter reader settings and start connect a reader_x000D_
5  give the app permissions_x000D_
6  after give all the 3 permissions  the app crashed and reload_x000D_
_x000D_
Logcat listed somer error when app crashed:_x000D_
   _x000D_
2022 01 05 15:12:36 420 11915 11915   E AndroidRuntime: FATAL EXCEPTION: main_x000D_
    Process: com guoxiaoyang moegoreleasetest  PID: 11915_x000D_
    java lang IllegalStateException: Scope com squareup container WorkflowScope was destroyed_x000D_
        at shadow mortar MortarScope assertNotDead(MortarScope java:264)_x000D_
        at shadow mortar MortarScope findService(MortarScope java:131)_x000D_
        at shadow mortar MortarScope getService(MortarScope java:116)_x000D_
        at com squareup container inversion FlowRunnerKt getFlow(FlowRunner kt:76)_x000D_
        at com squareup ui main GatekeepersRootWorkflow render 1 1 invokeSuspend(GatekeepersRootWorkflow kt:99)_x000D_
        at com squareup ui main GatekeepersRootWorkflow render 1 1 invoke(Unknown Source:8)_x000D_
        at com squareup ui main GatekeepersRootWorkflow render 1 1 invoke(Unknown Source:4)_x000D_
        at com squareup workflow1 InterceptedRenderContext runningSideEffect withScopeReceiver 1 invokeSuspend(WorkflowInterceptor kt:306)_x000D_
        at com squareup workflow1 InterceptedRenderContext runningSideEffect withScopeReceiver 1 invoke(Unknown Source:8)_x000D_
        at com squareup workflow1 InterceptedRenderContext runningSideEffect withScopeReceiver 1 invoke(Unknown Source:2)_x000D_
        at com squareup workflow1 InterceptedRenderContext runningSideEffect 1 1 invokeSuspend(WorkflowInterceptor kt:311)_x000D_
        at kotlin coroutines jvm internal BaseContinuationImpl resumeWith(ContinuationImpl kt:33)_x000D_
        at kotlinx coroutines DispatchedTask run(DispatchedTask kt:106)_x000D_
        at kotlinx coroutines EventLoop processUnconfinedEvent(EventLoop common kt:69)_x000D_
        at kotlinx coroutines DispatchedTaskKt resumeUnconfined(DispatchedTask kt:244)_x000D_
        at kotlinx coroutines DispatchedTaskKt dispatch(DispatchedTask kt:161)_x000D_
        at kotlinx coroutines CancellableContinuationImpl dispatchResume(CancellableContinuationImpl kt:398)_x000D_
        at kotlinx coroutines CancellableContinuationImpl resumeImpl(CancellableContinuationImpl kt:432)_x000D_
        at kotlinx coroutines CancellableContinuationImpl resumeImpl default(CancellableContinuationImpl kt:421)_x000D_
        at kotlinx coroutines CancellableContinuationImpl resumeWith(CancellableContinuationImpl kt:329)_x000D_
        at kotlinx coroutines flow SharedFlowImpl tryEmit(SharedFlow kt:368)_x000D_
        at com squareup gatekeeper Gatekeeping updateGatekeepers(Gatekeeping kt:31)_x000D_
        at com squareup ui main Historian nextHistoryToShowWhileResetting(Historian kt:343)_x000D_
        at com squareup ui main Historian resetHistory(Historian kt:239)_x000D_
        at com squareup ui main WorkflowPosContainer resetHistory(WorkflowPosContainer kt:184)_x000D_
        at com squareup ui systempermissions EnableDeviceSettingsPresenter updatePermissionsState(EnableDeviceSettingsPresenter java:137)_x000D_
        at com squareup ui systempermissions EnableDeviceSettingsPresenter onResume(EnableDeviceSettingsPresenter java:82)_x000D_
        at com squareup pauses PauseAndResumePresenter activityResumed(PauseAndResumePresenter java:72)_x000D_
        at com squareup ui main MainActivity onResume(MainActivity java:218)_x000D_
        at android app Instrumentation callActivityOnResume(Instrumentation java:1454)_x000D_
        at android app Activity performResume(Activity java:8111)_x000D_
        at android app ActivityThread performResumeActivity(ActivityThread java:4647)_x000D_
        at android app ActivityThread handleResumeActivity(ActivityThread java:4690)_x000D_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java:2267)_x000D_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2022 01 05 15:12:36 571 1429 1953   E InputDispatcher: channel  825c9b com guoxiaoyang moegoreleasetest com squareup ui main ApiMainActivity (server)    Channel is unrecoverably broken and will be disposed _x000D_
2022 01 05 15:12:36 614 1429 1953   E InputDispatcher: channel  fbd0249 com guoxiaoyang moegoreleasetest com guoxiaoyang moegoreleasetest MainActivity (server)    Channel is unrecoverably broken and will be disposed _x000D_
2022 01 05 15:12:36 617 2284 2339   E RequestManager FLP:  LocationManager  Location remove 60461c4 from com guoxiaoyang moegoreleasetest_x000D_
2022 01 05 15:12:36 620 1429 1575   E WindowManager: RemoteException occurs on reporting focusChanged  w Window 825c9b u0 com guoxiaoyang moegoreleasetest com squareup ui main ApiMainActivity EXITING _x000D_
    android os DeadObjectException_x000D_
        at android os BinderProxy transactNative(Native Method)_x000D_
        at android os BinderProxy transact(BinderProxy java:575)_x000D_
        at android view IWindow Stub Proxy windowFocusChanged(IWindow java:829)_x000D_
        at com android server wm WindowState reportFocusChangedSerialized(WindowState java:3800)_x000D_
        at com android server wm WindowManagerService H handleMessage(WindowManagerService java:5438)_x000D_
        at android os Handler dispatchMessage(Handler java:107)_x000D_
        at android os Looper loop(Looper java:237)_x000D_
        at android os HandlerThread run(HandlerThread java:67)_x000D_
        at com android server ServiceThread run(ServiceThread java:44)_x000D_
2022 01 05 15:12:36 626 1429 1483   E WindowManager: win Window 825c9b u0 com guoxiaoyang moegoreleasetest com squareup ui main ApiMainActivity EXITING  destroySurfaces: appStopped false win mWindowRemovalAllowed true win mRemoveOnExit true win mViewVisibility 0 caller com android server wm AppWindowToken destroySurfaces:1249 com android server wm AppWindowToken destroySurfaces:1230 com android server wm WindowState onExitAnimationDone:5189 com android server wm    Lambda 01bPtngJg5AqEoOWfW3rWfV7MH4 accept:2 java util ArrayList forEach:1262 com android server wm AppWindowToken onAnimationFinished:3941 com android server wm AppWindowToken commitVisibility:914 _x000D_
2022 01 05 15:12:36 642 2284 2339   E RequestManager FLP:  LocationManager  Location remove 7902a9 from com guoxiaoyang moegoreleasetest_x000D_
2022 01 05 15:12:37 629 1429 1577   E WindowManager: win Window 47aa39f u0 Splash Screen com guoxiaoyang moegoreleasetest EXITING  destroySurfaces: appStopped false win mWindowRemovalAllowed true win mRemoveOnExit true win mViewVisibility 0 caller com android server wm AppWindowToken destroySurfaces:1249 com android server wm AppWindowToken destroySurfaces:1230 com android server wm WindowState onExitAnimationDone:5189 com android server wm WindowStateAnimator onAnimationFinished:320 com android server wm WindowState onAnimationFinished:5630 com android server wm    Lambda yVRF8YoeNdTa8GR1wDStVsHu8xM run:2 com android server wm SurfaceAnimator lambda getFinishedCallback 0 SurfaceAnimator:100 _x000D_
2022 01 05 15:12:37 633 1076 1076   E audit: type 1327 audit(1641366757 619:412134): proctitle  com guoxiaoyang moegoreleasetest _x000D_
_x000D_
   _x000D_
_x000D_
_x000D_
  Problem 2: the button did not response while trying to connect a reader    steps below:_x000D_
1   after the app crashed and reload  click the reader settings in the demo app_x000D_
2  enter the Square reader connecting page  click the Connect a reader button_x000D_
3  it can not have any response  thus I can t connect to a reader_x000D_
4  sometimes I can connect to a reader  but the connected reader name does not response to modify the setting_x000D_
_x000D_
Problem 2 can be reproduced both in the production mode and the debug mode(react native android) _x000D_
Logcat did not show any related error of problem 2 _x000D_
_x000D_
_x000D_
_x000D_
_x000D_
_x000D_
  Environment:  _x000D_
   _x000D_
    platform: Android_x000D_
    OS and version: Sumsung Note 9_x000D_
    Android version: Android 10_x000D_
    Kernel version: 4 9 186 22986754_x000D_
    dev environment: MacOS_x000D_
    Reader SDK version: 1 5 1_x000D_
_x000D_
System:_x000D_
    OS: macOS 12 0 1_x000D_
    CPU: (8) x64 Intel(R) Core(TM) i5 1038NG7 CPU   2 00GHz_x000D_
    Memory: 772 26 MB   16 00 GB_x000D_
    Shell: 5 8    bin zsh_x000D_
  Binaries:_x000D_
    Node: 14 17 5      nvm versions node v14 17 5 bin node_x000D_
    Yarn: 1 22 15      yarn bin yarn_x000D_
    npm: 6 14 14      nvm versions node v14 17 5 bin npm_x000D_
    Watchman: HEAD 49f3831    usr local bin watchman_x000D_
  Managers:_x000D_
    CocoaPods: 1 11 2    usr local bin pod_x000D_
  SDKs:_x000D_
    iOS SDK:_x000D_
      Platforms: DriverKit 21 2  iOS 15 2  macOS 12 1  tvOS 15 2  watchOS 8 3_x000D_
    Android SDK:_x000D_
      API Levels: 28  29  30  31_x000D_
      Build Tools: 28 0 3  29 0 2  29 0 3  30 0 2  30 0 3  31 0 0_x000D_
      System Images: android 29   Intel x86 Atom 64  android 29   Google APIs Intel x86 Atom  android 29   Google Play Intel x86 Atom  android 30   Google APIs Intel x86 Atom  android 30   Google Play Intel x86 Atom_x000D_
      Android NDK: Not Found_x000D_
  IDEs:_x000D_
    Android Studio: 2020 3 AI 203 7717 56 2031 7678000_x000D_
    Xcode: 13 2 1 13C100    usr bin xcodebuild_x000D_
  Languages:_x000D_
    Java: 1 8 0 301    Library Java JavaVirtualMachines jdk1 8 0 301 jdk Contents Home bin javac_x000D_
  npmPackages:_x000D_
     react native community cli: Not Found_x000D_
    react: 17 0 1    17 0 1 _x000D_
    react native: 0 64 3    0 64 3 _x000D_
    react native macos: Not Found_x000D_
  npmGlobalPackages:_x000D_
     react native : Not Found_x000D_
   _x000D_
_x000D_
    reproduce_x000D_
This demo with the square reader quickstart code can reproduce both the two problems above: https:  github com GuoXiaoyang moego release test_x000D_
_x000D_
    Screen Recording_x000D_
_x000D_
https:  user images githubusercontent com 8994590 148184698 52f58661 4986 4fd9 919f a37fe861a4f7 mp4_x000D_
_x000D_
_x000D_
    Additional context_x000D_
     Add any other context about the problem here     _x000D_
</t>
  </si>
  <si>
    <t>PojavLauncherTeam-PojavLauncher-2505</t>
  </si>
  <si>
    <t>[BUG] Lags after 1.18.1 launch (experimental 1.17 support)</t>
  </si>
  <si>
    <t xml:space="preserve">    Describe the bug
After starting 1 18 1  the game starts to lag terribly  some  artifacts  appear  Is it possible to fix this somehow  Thanks  (Perhaps in the text somewhere it is written incorrectly  I translated it through a translator because I do not know English well)_x000D_
  Screenshot 2022 01 04 22 26 39 723 net kdt pojavlaunch debug (https:  user images githubusercontent com 90146954 148121465 d96404b2 eb12 443e 8a37 5a552216fba2 jpg)_x000D_
    The log file and images videos
_x000D_
Info: Java arguments:   Djava awt headless false   Dcacio managed screensize 2400x1080   Dcacio font fontmanager sun awt X11FontManager   Dcacio font fontscaler sun font FreetypeFontScaler   Dswing defaultlaf javax swing plaf metal MetalLookAndFeel   Dawt toolkit net java openjdk cacio ctc CTCToolkit   Djava awt graphicsenv net java openjdk cacio ctc CTCGraphicsEnvironment   Xbootclasspath p: storage emulated 0 Android data net kdt pojavlaunch debug files caciocavallo ResConfHack jar: storage emulated 0 Android data net kdt pojavlaunch debug files caciocavallo cacio androidnw 1 10 SNAPSHOT jar: storage emulated 0 Android data net kdt pojavlaunch debug files caciocavallo cacio shared 1 10 SNAPSHOT jar   jar   data user 0 net kdt pojavlaunch debug cache forge 1 16 5 36 2 9 installer jar _x000D_
Added custom env: TMPDIR  data user 0 net kdt pojavlaunch debug cache_x000D_
Added custom env: AWTSTUB WIDTH 2400_x000D_
Added custom env: REGAL GL VERSION 4 5_x000D_
Added custom env: REGAL GL VENDOR Android_x000D_
Added custom env: LIBGL MIPMAP 3_x000D_
Added custom env: allow higher compat version true_x000D_
Added custom env: MESA GLSL CACHE DIR  data user 0 net kdt pojavlaunch debug cache_x000D_
Added custom env: HOME  storage emulated 0 Android data net kdt pojavlaunch debug files  minecraft_x000D_
Added custom env: PATH  data user 0 net kdt pojavlaunch debug runtimes jre17 arm64 20210825 release tar xz bin: sbin: system sbin: product bin: apex com android runtime bin: system bin: system xbin: odm bin: vendor bin: vendor xbin_x000D_
Added custom env: force glsl extensions warn true_x000D_
Added custom env: LIBGL NORMALIZE 1_x000D_
Added custom env: LD LIBRARY PATH  data user 0 net kdt pojavlaunch debug runtimes jre17 arm64 20210825 release tar xz lib jli: data user 0 net kdt pojavlaunch debug runtimes jre17 arm64 20210825 release tar xz lib: system lib64: vendor lib64: vendor lib64 hw: data app net kdt pojavlaunch debug eTwYb9cO0WJT4klcx417dg   lib arm64_x000D_
Added custom env: MESA LOADER DRIVER OVERRIDE zink_x000D_
Added custom env: MESA GLSL VERSION OVERRIDE 460_x000D_
Added custom env: JAVA HOME  data user 0 net kdt pojavlaunch debug runtimes jre17 arm64 20210825 release tar xz_x000D_
Added custom env: MESA GL VERSION OVERRIDE 4 6_x000D_
Added custom env: allow glsl extension directive midshader true_x000D_
Added custom env: REGAL GL RENDERER Regal_x000D_
Added custom env: AWTSTUB HEIGHT 1080_x000D_
          beginning of system_x000D_
          beginning of crash_x000D_
          beginning of main_x000D_
I jrelog  (29185): dlopen  data user 0 net kdt pojavlaunch debug runtimes jre17 arm64 20210825 release tar xz lib libjli so success_x000D_
I jrelog  (29185): dlopen libjvm so failed: dlopen failed: library  libjvm so  not found_x000D_
I jrelog  (29185): dlopen  data user 0 net kdt pojavlaunch debug runtimes jre17 arm64 20210825 release tar xz lib server libjvm so success_x000D_
I jrelog  (29185): dlopen  data user 0 net kdt pojavlaunch debug runtimes jre17 arm64 20210825 release tar xz lib libverify so success_x000D_
I jrelog  (29185): dlopen  data user 0 net kdt pojavlaunch debug runtimes jre17 arm64 20210825 release tar xz lib libjava so success_x000D_
I jrelog  (29185): dlopen  data user 0 net kdt pojavlaunch debug runtimes jre17 arm64 20210825 release tar xz lib libnet so success_x000D_
I jrelog  (29185): dlopen  data user 0 net kdt pojavlaunch debug runtimes jre17 arm64 20210825 release tar xz lib libnio so success_x000D_
I jrelog  (29185): dlopen  data user 0 net kdt pojavlaunch debug runtimes jre17 arm64 20210825 release tar xz lib libawt so success_x000D_
I jrelog  (29185): dlopen  data user 0 net kdt pojavlaunch debug runtimes jre17 arm64 20210825 release tar xz lib libawt headless so success_x000D_
I jrelog  (29185): dlopen  data user 0 net kdt pojavlaunch debug runtimes jre17 arm64 20210825 release tar xz lib libfreetype so success_x000D_
I jrelog  (29185): dlopen  data user 0 net kdt pojavlaunch debug runtimes jre17 arm64 20210825 release tar xz lib libfontmanager so success_x000D_
I jrelog  (29185): dlopen  data user 0 net kdt pojavlaunch debug runtimes jre17 arm64 20210825 release tar xz lib libawt so success_x000D_
I jrelog  (29185): dlopen  data user 0 net kdt pojavlaunch debug runtimes jre17 arm64 20210825 release tar xz lib server libjvm so success_x000D_
I jrelog  (29185): dlopen  data user 0 net kdt pojavlaunch debug runtimes jre17 arm64 20210825 release tar xz lib server libjsig so success_x000D_
I jrelog  (29185): dlopen  data user 0 net kdt pojavlaunch debug runtimes jre17 arm64 20210825 release tar xz lib libattach so success_x000D_
I jrelog  (29185): dlopen  data user 0 net kdt pojavlaunch debug runtimes jre17 arm64 20210825 release tar xz lib libjavajpeg so success_x000D_
I jrelog  (29185): dlopen  data user 0 net kdt pojavlaunch debug runtimes jre17 arm64 20210825 release tar xz lib libsyslookup so success_x000D_
I jrelog  (29185): dlopen  data user 0 net kdt pojavlaunch debug runtimes jre17 arm64 20210825 release tar xz lib libfontmanager so success_x000D_
I jrelog  (29185): dlopen  data user 0 net kdt pojavlaunch debug runtimes jre17 arm64 20210825 release tar xz lib libj2pcsc so success_x000D_
I jrelog  (29185): dlopen  data user 0 net kdt pojavlaunch debug runtimes jre17 arm64 20210825 release tar xz lib libmanagement so success_x000D_
I jrelog  (29185): dlopen  data user 0 net kdt pojavlaunch debug runtimes jre17 arm64 20210825 release tar xz lib libjaas so success_x000D_
I jrelog  (29185): dlopen  data user 0 net kdt pojavlaunch debug runtimes jre17 arm64 20210825 release tar xz lib libfreetype so success_x000D_
I jrelog  (29185): dlopen  data user 0 net kdt pojavlaunch debug runtimes jre17 arm64 20210825 release tar xz lib libjli so success_x000D_
I jrelog  (29185): dlopen  data user 0 net kdt pojavlaunch debug runtimes jre17 arm64 20210825 release tar xz lib libjimage so success_x000D_
I jrelog  (29185): dlopen  data user 0 net kdt pojavlaunch debug runtimes jre17 arm64 20210825 release tar xz lib libjsig so success_x000D_
I jrelog  (29185): dlopen  data user 0 net kdt pojavlaunch debug runtimes jre17 arm64 20210825 release tar xz lib libj2gss so success_x000D_
I jrelog  (29185): dlopen  data user 0 net kdt pojavlaunch debug runtimes jre17 arm64 20210825 release tar xz lib libnet so success_x000D_
I jrelog  (29185): dlopen  data user 0 net kdt pojavlaunch debug runtimes jre17 arm64 20210825 release tar xz lib libjava so success_x000D_
I jrelog  (29185): dlopen  data user 0 net kdt pojavlaunch debug runtimes jre17 arm64 20210825 release tar xz lib libnio so success_x000D_
I jrelog  (29185): dlopen  data user 0 net kdt pojavlaunch debug runtimes jre17 arm64 20210825 release tar xz lib libprefs so success_x000D_
I jrelog  (29185): dlopen  data user 0 net kdt pojavlaunch debug runtimes jre17 arm64 20210825 release tar xz lib libmanagement ext so success_x000D_
I jrelog  (29185): dlopen  data user 0 net kdt pojavlaunch debug runtimes jre17 arm64 20210825 release tar xz lib libj2pkcs11 so success_x000D_
I jrelog  (29185): dlopen  data user 0 net kdt pojavlaunch debug runtimes jre17 arm64 20210825 release tar xz lib libdt socket so success_x000D_
I jrelog  (29185): dlopen  data user 0 net kdt pojavlaunch debug runtimes jre17 arm64 20210825 release tar xz lib libjdwp so success_x000D_
I jrelog  (29185): dlopen  data user 0 net kdt pojavlaunch debug runtimes jre17 arm64 20210825 release tar xz lib libzip so success_x000D_
I jrelog  (29185): dlopen  data user 0 net kdt pojavlaunch debug runtimes jre17 arm64 20210825 release tar xz lib libsctp so success_x000D_
I jrelog  (29185): dlopen  data user 0 net kdt pojavlaunch debug runtimes jre17 arm64 20210825 release tar xz lib libmlib image so success_x000D_
I jrelog  (29185): dlopen  data user 0 net kdt pojavlaunch debug runtimes jre17 arm64 20210825 release tar xz lib libextnet so success_x000D_
I jrelog  (29185): dlopen  data user 0 net kdt pojavlaunch debug runtimes jre17 arm64 20210825 release tar xz lib libinstrument so success_x000D_
I jrelog  (29185): dlopen  data user 0 net kdt pojavlaunch debug runtimes jre17 arm64 20210825 release tar xz lib libmanagement agent so success_x000D_
I jrelog  (29185): dlopen  data user 0 net kdt pojavlaunch debug runtimes jre17 arm64 20210825 release tar xz lib librmi so success_x000D_
I jrelog  (29185): dlopen  data user 0 net kdt pojavlaunch debug runtimes jre17 arm64 20210825 release tar xz lib liblcms so success_x000D_
I jrelog  (29185): dlopen  data user 0 net kdt pojavlaunch debug runtimes jre17 arm64 20210825 release tar xz lib libjawt so success_x000D_
I jrelog  (29185): dlopen  data user 0 net kdt pojavlaunch debug runtimes jre17 arm64 20210825 release tar xz lib libverify so success_x000D_
I jrelog  (29185): dlopen  data user 0 net kdt pojavlaunch debug runtimes jre17 arm64 20210825 release tar xz lib libawt headless so success_x000D_
I jrelog  (29185): dlopen  data app net kdt pojavlaunch debug eTwYb9cO0WJT4klcx417dg   lib arm64 libopenal so success_x000D_
I jrelog  (29185): Done processing args_x000D_
I jrelog  (29185): Found JLI lib_x000D_
I jrelog  (29185): Calling JLI Launch_x000D_
 Xbootclasspath p is no longer a supported option _x000D_
Error: Could not create the Java Virtual Machine _x000D_
Error: A fatal exception has occurred  Program will exit _x000D_
FORTIFY: pthread mutex lock called on a destroyed mutex (0x731587d118)_x000D_
process killed with signal 6 code 0xffffffff addr 0x291200007201_x000D_
FORTIFY: pthread mutex lock called on a destroyed mutex (0x731587d118)_x000D_
process killed with signal 6 code 0xffffffff addr 0x291200007201
    Steps To Reproduce
   markdown
1 Launching PojavLauncher
    Expected Behavior
I expect the game to stop lagging
    Platform
   markdown
  Device model: Redmi note 9 pro_x000D_
  CPU architecture: aarch64_x000D_
  Android version: 11_x000D_
  PojavLauncher version: Experimental 1 17 support
    Anything else 
Visualizer: zink (vulkan) (in one of the posts they said that it would help start 1 18 1 and it worked)_x000D_
_x000D_
                                       1 18 1 (                           1)</t>
  </si>
  <si>
    <t>mh--corona-warn-companion-android-137</t>
  </si>
  <si>
    <t>App crashes in RaMBLE Mode</t>
  </si>
  <si>
    <t xml:space="preserve">Since Jan 4th 2022 the app always crashes while it downloads the Diagnoseschl ssel  Until Jan 3rd 2022 I didn t have any problems 
My device is not rooted  
Can I do anything to do a diagnosis why this happens </t>
  </si>
  <si>
    <t>kike-canaries-canairio_android-126</t>
  </si>
  <si>
    <t>App repeatedly crashes on WiFi fixed station settings</t>
  </si>
  <si>
    <t xml:space="preserve">  Describe the bug  _x000D_
I was able to connect my device to WiFi using the app  but now each time I click on the   WiFi fixed station settings   the app crashes _x000D_
I tried an uninstall reinstall but the problem persist   _x000D_
_x000D_
 CanAirIO v0 7 5 rev594_x000D_
Phone is an Moto G5 plus running AOS 8 1 0 </t>
  </si>
  <si>
    <t>Anuken-Mindustry-6467</t>
  </si>
  <si>
    <t>Logic unit control sensor/within instruction output unit that are not binded by the logic.</t>
  </si>
  <si>
    <t xml:space="preserve">  Platform  : Windows_x000D_
_x000D_
  Build  : Tested on both V6 Build 126 2 and V7 Build 135_x000D_
_x000D_
  Issue  : ucontrol within sensor(i only tested ucontrol within and sensor xy position) _x000D_
Bug only happen in multiplayer  i ve  sync every 1 2minutes or so  to make sure double triple confirm that it s not a sync issue _x000D_
  ShareX 2022 01 04 08 09 45 (https:  user images githubusercontent com 21262949 148034991 d8382ba7 b63f 411b b5af 2e3bd0259b9b png)_x000D_
the image above is where my mouse hover above the logic  which shows the mono is currently undercontrol by the logic(diamond shape on the mono)  which spins around the logic _x000D_
the location of the logic processor is 113 309_x000D_
  ShareX 2022 01 04 08 10 00 (https:  user images githubusercontent com 21262949 148035256 60afd33c a927 4dec 89e8 2aa5c472a43a png)_x000D_
this image is where my mouse hovers on the message block to show the message  i ve added sensor x and y of the binded unit  to output the position of the unit to the message block  and i ve make sure to  sync a couple of times to makesure it s not desync _x000D_
_x000D_
the output of the X and Y location is not the unit that the logic is controlling  248 255_x000D_
_x000D_
the image above is the tested in mindustry ddns net public sandbox server _x000D_
_x000D_
  Steps to reproduce  : Join a public multiplayer server  make logic  bind unit and test ucontrol within or sensor feature  there s a chance that it this bug will happen (Depending on how busy is the server  possibly  not sure)_x000D_
I ve also tested in multiple community public sandbox server to make sure about this _x000D_
Server tested are  Korea Sandbox(V7)  Omega Sandbox(V7) DarkDustry Sandbox(V7)  Chaotic Neutral Sandbox(V6)  mindustry ddns net Sandbox(V6)  Sakura sandbox(V6)_x000D_
I suggest go to public sandbox multiplayer for convenience sake _x000D_
I ll also be attaching a schematic here(please use pastebin if you felt the file is not safe) and posting a link to pastebin that contains the schem for testing  convenience sake that is _x000D_
https:  pastebin com cAkkN5YB_x000D_
 ucontrolwithintestset zip (https:  github com Anuken Mindustry files 7806529 ucontrolwithintestset zip)_x000D_
_x000D_
_x000D_
  Link(s) to mod(s) used  : the only mod that i use is logic debugger _x000D_
_x000D_
  Save file  : i ve chosen to not submit a save file  i ve tested this issue for a few day  and have completely confirm that this issue does not happen in single player  i also went to public multiplayer sandbox  recreate the bug  then saves the map  then load the game in singleplayer  and the bug went away  You can reap my soul if i m in any offending way _x000D_
_x000D_
  (Crash) logs  :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</si>
  <si>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TeamNewPipe-NewPipe-7617</t>
  </si>
  <si>
    <t>minor but annoying tablet mode bug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</si>
  <si>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Put the device on its side to horizontal landscape mode_x000D_
2  Turn on tablet mode_x000D_
3  Disable  show next and similar videos _x000D_
4  Restart Newpipe_x000D_
5  Open any youtube video_x000D_
6  Tap the fullscreen button and play it in fullscreen_x000D_
7  Tap the close fullscreen button again to close fullscreen_x000D_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Video will only cover left side of the screen  right side will be blank_x000D_
  Screenshot 20220104 023017 (https:  user images githubusercontent com 69355152 147997900 d2826c9b 7035 4985 abb9 4c97dcc6f047 jpg)_x000D_
_x000D_
_x000D_
    Expected behavior_x000D_
     Tell us what you expect to happen     _x000D_
Video should cover entire top half of the screen (like  theatrical mode )_x000D_
  Screenshot 20220104 023035 (https:  user images githubusercontent com 69355152 147997929 38752a73 34a0 43e9 8ea6 002f8ecd17cb jpg)_x000D_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MIUI 8 0 Oreo_x000D_
   Device model: Huawei Mediapad M5 Lite</t>
  </si>
  <si>
    <t>SecUSo-privacy-friendly-qr-scanner-115</t>
  </si>
  <si>
    <t>App crashes on scan</t>
  </si>
  <si>
    <t xml:space="preserve">Tried scanning some barcodes on coupons in the mail and they crash the app   Never had an issue with any others _x000D_
_x000D_
  2022 01 03 18 34 36 (https:  user images githubusercontent com 38737447 147994833 bbfd815d b8e3 40d5 8967 61a8c4170c05 jpg)_x000D_
  2022 01 03 18 34 57 (https:  user images githubusercontent com 38737447 147994836 7a087155 9577 450b 8d43 0ddb7a742b65 jpg)_x000D_
  2022 01 03 18 34 49 (https:  user images githubusercontent com 38737447 147994838 64331277 94fd 46c6 9c8b 976aa549ec2d jpg)_x000D_
</t>
  </si>
  <si>
    <t>SubhamTyagi-android-ocr-40</t>
  </si>
  <si>
    <t>Not usable running Android 12</t>
  </si>
  <si>
    <t>I just heard about this app  installation and initial start was successful  After downloading the training data  app crashed  Now I was not able to open the app  anymore  _x000D_
_x000D_
Device: Google Pixel 4a_x000D_
Android version 12 (build SQ1A 211205 008)</t>
  </si>
  <si>
    <t>bounswe-2021SpringGroup9-556</t>
  </si>
  <si>
    <t>Private User Basic Info Is Inaccessible at Profile Page</t>
  </si>
  <si>
    <t xml:space="preserve">    Platform information(framework version  IDE version  browser etc ):_x000D_
_x000D_
1  Backend_x000D_
_x000D_
_x000D_
    Steps to reproduce the bug:_x000D_
_x000D_
1  Search for a private user_x000D_
2  Go to profile page of the private user_x000D_
_x000D_
    Expected result:_x000D_
_x000D_
The username  name  surname etc  (User class) of a private user is visible at the profile page of a private user but the posts are not visible _x000D_
_x000D_
    Actual result:_x000D_
_x000D_
  The posts of the private user is invisible  (correct)_x000D_
  But other information to identify the user is also invisible  The API returns 401 code from     api user get  user id     endpoint  The application crashes on both frontend and mobile platforms _x000D_
_x000D_
    Screenshot(if applicable):_x000D_
_x000D_
    Error message(if applicable):_x000D_
_x000D_
    Additional notes:_x000D_
</t>
  </si>
  <si>
    <t>jellyfin-jellyfin-androidtv-1330</t>
  </si>
  <si>
    <t>photos activity crashes app when opening folder containing more than one photo</t>
  </si>
  <si>
    <t xml:space="preserve">    Describe the bug_x000D_
_x000D_
I installed the Jellyfin App via Fire TV Stick Appstore  I connect to my local server   Then I go to my Pictures  When I am open one picture  then it will streamed on the screen  _x000D_
_x000D_
But after I open a folder with two or more pictures  then the App crashes again and again  It put me to the FireTV Homescreen  _x000D_
_x000D_
My Movies do not crash the App  This seems to work _x000D_
_x000D_
Please help  _x000D_
_x000D_
    Logs_x000D_
_x000D_
 No response _x000D_
_x000D_
    FFmpeg logs_x000D_
_x000D_
 No response _x000D_
_x000D_
    Media info of _x000D_
Jpg _x000D_
_x000D_
    Application version_x000D_
_x000D_
0 12 3_x000D_
_x000D_
    Device information_x000D_
_x000D_
Amazon Fire TV Stick 4K_x000D_
_x000D_
    Android version_x000D_
_x000D_
Fire TV_x000D_
_x000D_
    Jellyfin server version_x000D_
_x000D_
10 7 7</t>
  </si>
  <si>
    <t>jsibbold-zoomage-113</t>
  </si>
  <si>
    <t>NullPointerException on requestDisallowInterceptTouchEvent</t>
  </si>
  <si>
    <t xml:space="preserve">I m using the ZoomageView inside a ViewPager and sometimes seeing the following crash  Any suggestions _x000D_
_x000D_
   _x000D_
Fatal Exception: java lang NullPointerException: Attempt to invoke interface method  void android view ViewParent requestDisallowInterceptTouchEvent(boolean)  on a null object reference_x000D_
       at com jsibbold zoomage ZoomageView onTouchEvent(ZoomageView java:517)_x000D_
       at android view View dispatchTouchEvent(View java:15199)_x000D_
       at android view ViewGroup cancelTouchTarget(ViewGroup java:3810)_x000D_
       at android view ViewGroup removeDetachedView(ViewGroup java:6670)_x000D_
       at androidx recyclerview widget RecyclerView removeDetachedView(RecyclerView java:4524)_x000D_
       at androidx recyclerview widget RecyclerView LayoutManager removeAndRecycleScrapInt(RecyclerView java:9541)_x000D_
       at androidx recyclerview widget RecyclerView dispatchLayoutStep3(RecyclerView java:4381)_x000D_
       at androidx recyclerview widget RecyclerView dispatchLayout(RecyclerView java:4031)_x000D_
       at androidx recyclerview widget RecyclerView onLayout(RecyclerView java:4578)_x000D_
       at android view View layout(View java:24475)_x000D_
       at android view ViewGroup layout(ViewGroup java:7383)_x000D_
       at androidx viewpager2 widget ViewPager2 onLayout(ViewPager2 java:527)_x000D_
       at android view View layout(View java:24475)_x000D_
       at android view ViewGroup layout(ViewGroup java:7383)_x000D_
       at androidx constraintlayout widget ConstraintLayout onLayout(ConstraintLayout java:1873)_x000D_
       at android view View layout(View java:24475)_x000D_
       at android view ViewGroup layout(ViewGroup java:7383)_x000D_
       at android widget FrameLayout layoutChildren(FrameLayout java:332)_x000D_
       at android widget FrameLayout onLayout(FrameLayout java:270)_x000D_
       at android view View layout(View java:24475)_x000D_
       at android view ViewGroup layout(ViewGroup java:7383)_x000D_
       at android widget LinearLayout setChildFrame(LinearLayout java:1829)_x000D_
       at android widget LinearLayout layoutVertical(LinearLayout java:1673)_x000D_
       at android widget LinearLayout onLayout(LinearLayout java:1582)_x000D_
       at android view View layout(View java:24475)_x000D_
       at android view ViewGroup layout(ViewGroup java:7383)_x000D_
       at android widget FrameLayout layoutChildren(FrameLayout java:332)_x000D_
       at android widget FrameLayout onLayout(FrameLayout java:270)_x000D_
       at com android internal policy DecorView onLayout(DecorView java:1225)_x000D_
       at android view View layout(View java:24475)_x000D_
       at android view ViewGroup layout(ViewGroup java:7383)_x000D_
       at android view ViewRootImpl performLayout(ViewRootImpl java:4260)_x000D_
       at android view ViewRootImpl performTraversals(ViewRootImpl java:3695)_x000D_
       at android view ViewRootImpl doTraversal(ViewRootImpl java:2618)_x000D_
       at android view ViewRootImpl TraversalRunnable run(ViewRootImpl java:9971)_x000D_
       at android view Choreographer CallbackRecord run(Choreographer java:1010)_x000D_
       at android view Choreographer doCallbacks(Choreographer java:809)_x000D_
       at android view Choreographer doFrame(Choreographer java:744)_x000D_
       at android view Choreographer FrameDisplayEventReceiver run(Choreographer java:995)_x000D_
       at android os Handler handleCallback(Handler java:938)_x000D_
       at android os Handler dispatchMessage(Handler java:99)_x000D_
       at android os Looper loop(Looper java:246)_x000D_
       at android app ActivityThread main(ActivityThread java:8625)_x000D_
       at java lang reflect Method invoke(Method java)_x000D_
       at com android internal os RuntimeInit MethodAndArgsCaller run(RuntimeInit java:602)_x000D_
       at com android internal os ZygoteInit main(ZygoteInit java:1130)_x000D_
   </t>
  </si>
  <si>
    <t>therealsujitk-android-vtop-chennai-12</t>
  </si>
  <si>
    <t>App crashes when swiping through courses</t>
  </si>
  <si>
    <t xml:space="preserve">App crashes while trying to view the last two courses   Lean Start up Management   and   Introduction to Innovative Projects   _x000D_
_x000D_
https:  user images githubusercontent com 60378235 147908595 b5d5cfcb d891 4284 9c86 d7fcf8c0ca93 mp4_x000D_
_x000D_
    Error Log_x000D_
_x000D_
   _x000D_
time: 1641184869967_x000D_
msg: java lang IndexOutOfBoundsException: Index: 0  Size: 0_x000D_
stacktrace: java lang IndexOutOfBoundsException: Index: 0  Size: 0_x000D_
    at java util ArrayList get(ArrayList java:437)_x000D_
    at tk therealsuji vtopchennai adapters CoursesItemAdapter onBindViewHolder(CoursesItemAdapter java:83)_x000D_
    at tk therealsuji vtopchennai adapters CoursesItemAdapter onBindViewHolder(CoursesItemAdapter java:29)_x000D_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GapWorker prefetchPositionWithDeadline(GapWorker java:288)_x000D_
    at androidx recyclerview widget GapWorker prefetchInnerRecyclerViewWithDeadline(GapWorker java:335)_x000D_
    at androidx recyclerview widget GapWorker flushTaskWithDeadline(GapWorker java:351)_x000D_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java:938)_x000D_
    at android os Handler dispatchMessage(Handler java:99)_x000D_
    at android os Looper loop(Looper java:223)_x000D_
    at android app ActivityThread main(ActivityThread java:7665)_x000D_
    at java lang reflect Method invoke(Native Method)_x000D_
    at com android internal os RuntimeInit MethodAndArgsCaller run(RuntimeInit java:594)_x000D_
    at com android internal os ZygoteInit main(ZygoteInit java:947)_x000D_
   </t>
  </si>
  <si>
    <t>nextcloud-android-9640</t>
  </si>
  <si>
    <t>Android app: Crash after enter filename for new file while template filename not loaded from server yet</t>
  </si>
  <si>
    <t xml:space="preserve">The Android app crashes if you create a new file and already enter a filename while the box for entering a filename is still empty (new filename template not yet loaded from server)  You have to be fast (or have a flaky network connection to have more time to reproduce this) to reproduce this _x000D_
_x000D_
    Steps to reproduce_x000D_
1  Open Android Nextcloud Client_x000D_
2  Create a new Text document_x000D_
3  While waiting for the empty filename to be loaded from server enter your own characters quickly while the filename field is still empty _x000D_
4  Wait until the template for a new filename is loaded from server_x000D_
5  Crash incoming_x000D_
_x000D_
    Expected behaviour_x000D_
  Don t panic_x000D_
_x000D_
    Actual behaviour_x000D_
  Android App produced the Stacktrace below_x000D_
_x000D_
    Can you reproduce this problem on https:  try nextcloud com _x000D_
  Not really a web problem_x000D_
_x000D_
    Environment data_x000D_
_x000D_
             APP INFORMATION             _x000D_
ID: com nextcloud client_x000D_
Version: 30180190_x000D_
Build flavor: gplay_x000D_
_x000D_
             DEVICE INFORMATION             _x000D_
Brand: OnePlus_x000D_
Device: OnePlus3_x000D_
Model: ONEPLUS A3003_x000D_
Id: PKQ1 181203 001_x000D_
Product: OnePlus3_x000D_
_x000D_
             FIRMWARE             _x000D_
SDK: 28_x000D_
Release: 9_x000D_
Incremental: 1911042107_x000D_
_x000D_
             CAUSE OF ERROR             _x000D_
_x000D_
java lang IndexOutOfBoundsException: setSpan ( 1      1) starts before 0_x000D_
	at android text SpannableStringBuilder checkRange(SpannableStringBuilder java:1341)_x000D_
	at android text SpannableStringBuilder setSpan(SpannableStringBuilder java:697)_x000D_
	at android text SpannableStringBuilder setSpan(SpannableStringBuilder java:689)_x000D_
	at android text Selection setSelection(Selection java:93)_x000D_
	at android text Selection setSelection(Selection java:77)_x000D_
	at android text Selection setSelection(Selection java:152)_x000D_
	at android widget EditText setSelection(EditText java:136)_x000D_
	at com owncloud android ui dialog ChooseTemplateDialogFragment prefillFilenameIfEmpty(ChooseTemplateDialogFragment java:252)_x000D_
	at com owncloud android ui dialog ChooseTemplateDialogFragment onTemplateChosen(ChooseTemplateDialogFragment java:243)_x000D_
	at com owncloud android ui dialog ChooseTemplateDialogFragment access 200(ChooseTemplateDialogFragment java:81)_x000D_
	at com owncloud android ui dialog ChooseTemplateDialogFragment FetchTemplateTask onPostExecute(ChooseTemplateDialogFragment java:421)_x000D_
	at com owncloud android ui dialog ChooseTemplateDialogFragment FetchTemplateTask onPostExecute(ChooseTemplateDialogFragment java:373)_x000D_
	at android os AsyncTask finish(AsyncTask java:695)_x000D_
	at android os AsyncTask access 600(AsyncTask java:180)_x000D_
	at android os AsyncTask InternalHandler handleMessage(AsyncTask java:712)_x000D_
	at android os Handler dispatchMessage(Handler java:106)_x000D_
	at android os Looper loop(Looper java:193)_x000D_
	at android app ActivityThread main(ActivityThread java:6863)_x000D_
	at java lang reflect Method invoke(Native Method)_x000D_
	at com android internal os RuntimeInit MethodAndArgsCaller run(RuntimeInit java:537)_x000D_
	at com android internal os ZygoteInit main(ZygoteInit java:858)_x000D_
_x000D_
             APP INFORMATION             _x000D_
ID: com nextcloud client_x000D_
Version: 30180190_x000D_
Build flavor: gplay_x000D_
_x000D_
             DEVICE INFORMATION             _x000D_
Brand: OnePlus_x000D_
Device: OnePlus3_x000D_
Model: ONEPLUS A3003_x000D_
Id: PKQ1 181203 001_x000D_
Product: OnePlus3_x000D_
_x000D_
             FIRMWARE             _x000D_
SDK: 28_x000D_
Release: 9_x000D_
Incremental: 1911042107_x000D_
_x000D_
</t>
  </si>
  <si>
    <t>TeamNewPipe-NewPipe-7608</t>
  </si>
  <si>
    <t>Crash on tap and hold in search results while bg queue is loading</t>
  </si>
  <si>
    <t xml:space="preserve">    Checklist_x000D_
     This checklist is COMPULSORY  The first box has been checked for you to show you how it is done     _x000D_
_x000D_
   x  I am using the latest version   0 21 15 (see this:  comment  )_x000D_
I am using the older version   0 21 13_x000D_
   x  I checked  but didn t find any duplicates (open OR closed) of this issue in the repo       Seriously  check  O O    _x000D_
gh   :  crash on click and hold search result     crash on search result _x000D_
   x  I have read the contribution guidelines given at  CONTRIBUTING md  _x000D_
   x  This issue contains only one bug  I will open one issue for every bug report I want to file _x000D_
_x000D_
 crash on click and hold search result : https:  github com TeamNewPipe NewPipe issues q is 3Aissue crash on tap and hold search result is 3Aclosed_x000D_
 crash on search result : https:  github com TeamNewPipe NewPipe issues q is 3Aissue crash on search result is 3Aopen_x000D_
_x000D_
 CONTRIBUTING md : https:  github com TeamNewPipe NewPipe blob HEAD  github CONTRIBUTING md_x000D_
 comment : https:  github com TeamNewPipe NewPipe issues 7608 issuecomment 1008247813_x000D_
_x000D_
    Steps to reproduce the bug_x000D_
_x000D_
1  Search for anything_x000D_
2  Press and hold on any search result_x000D_
3  Tap on  Start playing in the bg _x000D_
4  Quickly repeat step 2  i e  before the song loads and starts playing_x000D_
5  Confirmed crash_x000D_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https:  user images githubusercontent com 19423063 147868057 b71eb9d6 f4af 4e41 ab1d 74f578dc4605 mp4_x000D_
_x000D_
_x000D_
_x000D_
    Logs_x000D_
     If your bug includes a crash (where you re shown the Error Report page with a bunch of info)  tap on  Copy formatted report  at the bottom and paste it here:    _x000D_
_x000D_
     That s right  here     _x000D_
_x000D_
_x000D_
   Exception_x000D_
    User Action:   ui error_x000D_
    Request:   ACRA report_x000D_
    Content Country:   US_x000D_
    Content Language:   en US_x000D_
    App Language:   en US_x000D_
    Service:   none_x000D_
    Version:   0 21 13_x000D_
    OS:   Linux Android 11   30_x000D_
 details  summary  b Crash log   b   summary  p _x000D_
_x000D_
   _x000D_
java lang NullPointerException: Attempt to invoke virtual method  int org schabi newpipe player playqueue PlayQueue size()  on a null object reference_x000D_
	at org schabi newpipe player helper PlayerHolder getQueueSize(PlayerHolder java:74)_x000D_
	at org schabi newpipe fragments list BaseListFragment showStreamDialog(BaseListFragment java:358)_x000D_
	at org schabi newpipe fragments list BaseListFragment 1 held(BaseListFragment java:282)_x000D_
	at org schabi newpipe fragments list BaseListFragment 1 held(BaseListFragment java:274)_x000D_
	at org schabi newpipe info list holder StreamMiniInfoItemHolder lambda enableLongClick 1(StreamMiniInfoItemHolder java:136)_x000D_
	at org schabi newpipe info list holder StreamMiniInfoItemHolder  r8 lambda mm6ASq2GCzBAsOq1wCHCNeC Fv4(Unknown Source:0)_x000D_
	at org schabi newpipe info list holder StreamMiniInfoItemHolder  ExternalSyntheticLambda1 onLongClick(Unknown Source:4)_x000D_
	at android view View performLongClickInternal(View java:7665)_x000D_
	at android view View performLongClick(View java:7623)_x000D_
	at android view View performLongClick(View java:7641)_x000D_
	at android view View CheckForLongPress run(View java:28822)_x000D_
	at android os Handler handleCallback(Handler java:938)_x000D_
	at android os Handler dispatchMessage(Handler java:99)_x000D_
	at android os Looper loop(Looper java:261)_x000D_
	at android app ActivityThread main(ActivityThread java:8259)_x000D_
	at java lang reflect Method invoke(Native Method)_x000D_
	at com android internal os RuntimeInit MethodAndArgsCaller run(RuntimeInit java:632)_x000D_
	at com android internal os ZygoteInit main(ZygoteInit java:1049)_x000D_
_x000D_
   _x000D_
  details _x000D_
 hr _x000D_
_x000D_
_x000D_
     Please fill this section if you did not provide a log generated by NewPipe    _x000D_
_x000D_
    Device info_x000D_
_x000D_
   Android version Custom ROM version: realme UI V2 0_x000D_
   Device model: realme RMX3381_x000D_
</t>
  </si>
  <si>
    <t>PojavLauncherTeam-PojavLauncher-2494</t>
  </si>
  <si>
    <t>[BUG] sodium 0.1.0 crashed randomly or idk</t>
  </si>
  <si>
    <t xml:space="preserve">    Describe the bug
My sodium crashing randomly when changing render distance or idk_x000D_
_x000D_
  prolly bcz I watched Hindi tutorial for the sodium  
    The log file and images videos
 latestlog txt (https:  github com PojavLauncherTeam PojavLauncher files 7797394 latestlog txt)_x000D_
    Steps To Reproduce
   markdown
Start pojavlauncher blablabla
    Expected Behavior
I want to play sodium without crash
    Platform
   markdown
  Device model: Redmi note 4x_x000D_
  CPU architecture: aarch64_x000D_
  Android version: 7_x000D_
  PojavLauncher version: on the log
    Anything else 
 No response </t>
  </si>
  <si>
    <t>PojavLauncherTeam-PojavLauncher-2493</t>
  </si>
  <si>
    <t>[BUG] 1.18.1 could not preload shader position</t>
  </si>
  <si>
    <t xml:space="preserve">    Describe the bug
I don t know what happend when I launch 1 18 1  I had VM installed java17VM
    The log file and images videos
     Minecraft Crash Report     _x000D_
   Oops _x000D_
_x000D_
Time: 2022 1 1   4:42_x000D_
Description: Initializing game_x000D_
_x000D_
java lang IllegalStateException: could not preload shader position_x000D_
	at epe a(SourceFile:423)_x000D_
	at epe a(SourceFile:407)_x000D_
	at dxo  init (SourceFile:617)_x000D_
	at net minecraft client main Main main(SourceFile:199)_x000D_
Caused by: yk: Invalid shaders core position json: Couldn t compile vertex program (minecraft:shaders core position vsh  position) : 0:7: S0054: Overloading built in function  max  not allowed_x000D_
	at yk a(SourceFile:48)_x000D_
	at epw  init (SourceFile:200)_x000D_
	at epe a(SourceFile:419)_x000D_
	    3 more_x000D_
Caused by: java io IOException: Couldn t compile vertex program (minecraft:shaders core position vsh  position) : 0:7: S0054: Overloading built in function  max  not allowed_x000D_
	at dry b(SourceFile:72)_x000D_
	at dry a(SourceFile:54)_x000D_
	at epw a(SourceFile:241)_x000D_
	at epw  init (SourceFile:182)_x000D_
	    4 more_x000D_
_x000D_
_x000D_
A detailed walkthrough of the error  its code path and all known details is as follows:_x000D_
                                                                                       _x000D_
_x000D_
   Head   _x000D_
Thread: Render thread_x000D_
Stacktrace:_x000D_
	at epe a(SourceFile:423)_x000D_
	at epe a(SourceFile:407)_x000D_
	at dxo  init (SourceFile:617)_x000D_
_x000D_
   Initialization   _x000D_
Details:_x000D_
	Modules: _x000D_
Stacktrace:_x000D_
	at net minecraft client main Main main(SourceFile:199)_x000D_
_x000D_
   System Details   _x000D_
Details:_x000D_
	Minecraft Version: 1 18 1_x000D_
	Minecraft Version ID: 1 18 1_x000D_
	Operating System: Linux (aarch64) version Android 10_x000D_
	Java Version: 17 internal  N A_x000D_
	Java VM Version: OpenJDK 64 Bit Server VM (mixed mode)  Oracle Corporation_x000D_
	Memory: 665258304 bytes (634 MiB)   1203765248 bytes (1148 MiB) up to 1203765248 bytes (1148 MiB)_x000D_
	CPUs: 8_x000D_
	Processor Vendor: 0x48_x000D_
	Processor Name: AArch64 Processor rev 0 (aarch64)_x000D_
	Identifier: 0x48 Family 8 Model 0xd40 Stepping r0x1p0_x000D_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4140 84_x000D_
	Virtual memory used (MB): 5332 52_x000D_
	Swap memory total (MB): 2240 00_x000D_
	Swap memory used (MB): 1914 96_x000D_
	JVM Flags: 2 total   Xms1148M  Xmx1148M_x000D_
	Launched Version: 1 18 1_x000D_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Probably not  Client jar signature and brand is untouched_x000D_
	Type: Client (map client txt)_x000D_
	CPU: 8x AArch64 Processor rev 0 (aarch64)
    Steps To Reproduce
   markdown
1  Start Pojavlauncher_x000D_
2  install java17 vm_x000D_
3  download 1 18 1_x000D_
4  launch 1 18 1 and crash
    Expected Behavior
launch 1 18 1 on my device
    Platform
   markdown
  Device model: HUAWEI M6_x000D_
  CPU architecture: 8x AArch64 Processor rev 0 (aarch64)_x000D_
  Android version: 10_x000D_
  PojavLauncher version: crocus v3 openjdk(9938053)
    Anything else 
 No response </t>
  </si>
  <si>
    <t>PojavLauncherTeam-PojavLauncher-2490</t>
  </si>
  <si>
    <t>[BUG] Minecraft 1.12.2 Crash</t>
  </si>
  <si>
    <t xml:space="preserve">    Describe the bug
I played Pojav launcher for 2 To 5 minutes then it crashes by itself
    The log file and images videos
 No response 
    Steps To Reproduce
   markdown
1  Open Pojav launcher_x000D_
2  Play on version 1 12 2 _x000D_
3  Crash
    Expected Behavior
Crash itself When I play for 2 to 5 minutes
    Platform
   markdown
  Device model: Vivo y50_x000D_
  CPU architecture: Aarch64_x000D_
  Android version: 10_x000D_
  PojavLauncher version: playstore version crocus V3 jdk
    Anything else 
 No response </t>
  </si>
  <si>
    <t>nextcloud-android-9639</t>
  </si>
  <si>
    <t>App crash: out of memory while syncing</t>
  </si>
  <si>
    <t xml:space="preserve">    Steps to reproduce_x000D_
1   try to sync any E2EE folder _x000D_
_x000D_
    Expected behaviour_x000D_
  Folder should sync_x000D_
_x000D_
    Actual behaviour_x000D_
  App crashed_x000D_
_x000D_
log:_x000D_
_x000D_
             CAUSE OF ERROR             _x000D_
_x000D_
java lang OutOfMemoryError: Failed to allocate a 154030544 byte allocation with 100663296 free bytes and 101MB until OOM  target footprint 262407944  growth limit 268435456_x000D_
	at com android org bouncycastle jcajce provider symmetric util BaseBlockCipher engineDoFinal(BaseBlockCipher java:1265)_x000D_
	at javax crypto Cipher doFinal(Cipher java:2055)_x000D_
	at com owncloud android utils EncryptionUtils decryptFile(EncryptionUtils java:357)_x000D_
	at com owncloud android operations DownloadFileOperation run(DownloadFileOperation java:197)_x000D_
	at com owncloud android lib common operations RemoteOperation execute(RemoteOperation java:187)_x000D_
	at com owncloud android files services FileDownloader downloadFile(FileDownloader java:476)_x000D_
	at com owncloud android files services FileDownloader access 500(FileDownloader java:86)_x000D_
	at com owncloud android files services FileDownloader ServiceHandler handleMessage(FileDownloader java:421)_x000D_
	at android os Handler dispatchMessage(Handler java:106)_x000D_
	at android os Looper loopOnce(Looper java:201)_x000D_
	at android os Looper loop(Looper java:288)_x000D_
	at android os HandlerThread run(HandlerThread java:67)_x000D_
_x000D_
             APP INFORMATION             _x000D_
ID: com nextcloud client_x000D_
Version: 30180190_x000D_
Build flavor: gplay_x000D_
_x000D_
             DEVICE INFORMATION             _x000D_
Brand: google_x000D_
Device: flame_x000D_
Model: Pixel 4_x000D_
Id: S2B1 211112 006_x000D_
Product: flame_x000D_
_x000D_
             FIRMWARE             _x000D_
SDK: 32_x000D_
Release: 12_x000D_
Incremental: 7934767</t>
  </si>
  <si>
    <t>PojavLauncherTeam-PojavLauncher-2488</t>
  </si>
  <si>
    <t>[BUG] I hate ptrace</t>
  </si>
  <si>
    <t xml:space="preserve">    Describe the bug
Application crashed when loaded a world in vanilla optifine version of 1 18 x
    The log file and images videos
 latestlog 1181of txt (https:  github com PojavLauncherTeam PojavLauncher files 7796435 latestlog 1181of txt)_x000D_
    Steps To Reproduce
   markdown
1  Start PojavLauncher_x000D_
2  Start 1 18 1 OptiFine HD U H4_x000D_
3  Load a World_x000D_
4  Crash
    Expected Behavior
I expect the game running as normal
    Platform
   markdown
  Device model: Mi Note 3_x000D_
  CPU architecture: aarch64_x000D_
  Android version: 11_x000D_
  PojavLauncher version: crocus 300 c1de44dd1 v3 openjdk
    Anything else 
 No response </t>
  </si>
  <si>
    <t>Anuken-Mindustry-6462</t>
  </si>
  <si>
    <t>Crash when host attempts to occupy the same turret as another player</t>
  </si>
  <si>
    <t xml:space="preserve">  Platform  : Linux_x000D_
_x000D_
  Build  : pre alpha build 135_x000D_
_x000D_
  Issue  : Crash  but only when the  host  does it_x000D_
_x000D_
  Steps to reproduce  :_x000D_
_x000D_
1  Open Ground Zero and Host_x000D_
2  Join as a guest player (see command below)_x000D_
3  Guest occupies duo turret with ctrl click_x000D_
4  Host attempts to occupy the same duo_x000D_
_x000D_
   _x000D_
dir  (mktemp  d)  java  Djava io tmpdir  dir  Duser home  dir  jar   downloads Mindustry jar  _x000D_
   _x000D_
_x000D_
  Link(s) to mod(s) used  : unmodded_x000D_
_x000D_
  Save file  :  occupy crash zip (https:  github com Anuken Mindustry files 7796353 occupy crash zip) This was created by resetting game data and just launching the campaign _x000D_
_x000D_
  (Crash) logs  :  occupy crash txt (https:  github com Anuken Mindustry files 7796354 occupy crash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</si>
  <si>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Blankj-AndroidUtilCode-1588</t>
  </si>
  <si>
    <t>expandClickArea放大点击区域同一个布局里面的View只能设置一个</t>
  </si>
  <si>
    <t>Anuken-Mindustry-6460</t>
  </si>
  <si>
    <t>[Question] Is there a way to choose what a GenericCrafter produces?</t>
  </si>
  <si>
    <t xml:space="preserve">  Platform  :  Linux _x000D_
_x000D_
  Build  :  134 1 _x000D_
_x000D_
  Issue  : I am a mod developer who has developed  M1NEDU5TRY H4CK3D (https:  github com Beanzilla mindustry hacked) _x000D_
_x000D_
In my content  I have a  Item Replicator ( )  (Where    is a number of resources)  Is there a way I could make a crafter which takes power and provides a list of items to produce then produces selected item  (I really don t like Java  but I am just about to take up learning it  just to get this one thing implemented)_x000D_
_x000D_
  Or I might just leave it the way it is and let players complain and not do anything about it  (Since it looks more like it s not possible  but rather just a random choice of items list  which is not what I want)_x000D_
_x000D_
  Put it in different light  a  Item Replicator ( )  is essentially a  Item Source  just takes power and doesn t produce as fast as it can  ( For those not understanding my question)_x000D_
_x000D_
  Steps to reproduce  : N A_x000D_
_x000D_
  Link(s) to mod(s) used  :  M1NEDU5TRY H4CK3D (https:  github com Beanzilla mindustry hacked)_x000D_
_x000D_
  Save file  : N A (Not needed  since this is mod content)_x000D_
_x000D_
  No soul reaping needed  ( :) )_x000D_
_x000D_
  (Crash) logs  : N A (Not reporting a crash)_x000D_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_x000D_
   _x000D_
_x000D_
Further Notes:_x000D_
_x000D_
1  Yes I am aware  Questions are supposed to be placed on Discord  (However I do not use Discord  and NEVER will  just don t ask)_x000D_
2  I have looked at  Types (https:  mindustrygame github io wiki modding 5 types  genericcrafter) searching for  GenericCrafter  shows the current item machine I am using for Item Replicators  (So one way to solve this is to point me towards a better machine that could do what I want it to do)_x000D_
_x000D_
   x  Some Resolution Found</t>
  </si>
  <si>
    <t>TeamNewPipe-NewPipe-7601</t>
  </si>
  <si>
    <t>Media notification persists even after closing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</si>
  <si>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Play a video _x000D_
2  Go to full screen _x000D_
3  Go to Home _x000D_
4  Return to the video _x000D_
5  Play the video upto the end _x000D_
6  Close the video _x000D_
7  Exit the app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Media notification still persists _x000D_
_x000D_
    Expected behavior_x000D_
     Tell us what you expect to happen     _x000D_
_x000D_
No notification should persist as the mini player is already closed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youtube com shorts y0OqAwliZec feature share_x000D_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MIUI 12 5 5_x000D_
   Device model: Xiaomi Redmi Note 8 Pro_x000D_
</t>
  </si>
  <si>
    <t>jellyfin-jellyfin-androidtv-1319</t>
  </si>
  <si>
    <t>App crashes after playback is paused and resumed</t>
  </si>
  <si>
    <t xml:space="preserve">    Describe the bug_x000D_
_x000D_
1  Play something_x000D_
2  Pause_x000D_
3  Resume_x000D_
4  Wait until it crashes (2 5mins)_x000D_
_x000D_
Only happens when you pause  If you restart it and watch something without pausing it doesn t crash_x000D_
Video player is set to ExoPlayer_x000D_
_x000D_
    Logs_x000D_
_x000D_
 No response _x000D_
_x000D_
    Application version_x000D_
_x000D_
0 12 3_x000D_
_x000D_
    Where did you install the app from _x000D_
_x000D_
Google Play_x000D_
_x000D_
    Device information_x000D_
_x000D_
Nvidia Shield_x000D_
_x000D_
    Android version_x000D_
_x000D_
Android 10_x000D_
_x000D_
    Jellyfin server version_x000D_
_x000D_
10 7 7</t>
  </si>
  <si>
    <t>Anuken-Mindustry-6456</t>
  </si>
  <si>
    <t>7.0 Build 135 - Crash at start on M1 Macbook</t>
  </si>
  <si>
    <t xml:space="preserve">  Platform  : Mac_x000D_
_x000D_
  Build  : 7 0 Build 135_x000D_
_x000D_
  Issue  : Crash at the start  I cannot open it  If I download the source code and do:   gradlew desktop:run  it works  But when I tried to open the jar file  it crashed _x000D_
I copied the logs at the end but it is super long _x000D_
_x000D_
  (Crash) logs  :  Either crash reports from the crash folder  or the file you get when you go into Settings    Game Data    Export Crash logs  REQUIRED if you are reporting a crash  _x000D_
_x000D_
                                     _x000D_
Translated Report (Full Report Below)_x000D_
                                     _x000D_
_x000D_
Process:               java  71151 _x000D_
Path:                   Library Java JavaVirtualMachines temurin 17 jdk Contents Home bin java_x000D_
Identifier:            java_x000D_
Version:                  _x000D_
Code Type:             ARM 64 (Native)_x000D_
Parent Process:        Exited process  71150 _x000D_
User ID:               501_x000D_
_x000D_
Date Time:             2021 12 29 22:11:28 5382  0500_x000D_
OS Version:            macOS 12 0 1 (21A559)_x000D_
Report Version:        12_x000D_
Anonymous UUID:        1415AF71 760E 57F4 6B7C 46C25691AE88_x000D_
_x000D_
Sleep Wake UUID:       F195079D F8B3 4626 90B1 90FD219FE581_x000D_
_x000D_
Time Awake Since Boot: 830000 seconds_x000D_
Time Since Wake:       2150 seconds_x000D_
_x000D_
System Integrity Protection: enabled_x000D_
_x000D_
Crashed Thread:        2_x000D_
_x000D_
Exception Type:        EXC CRASH (SIGABRT)_x000D_
Exception Codes:       0x0000000000000000  0x0000000000000000_x000D_
Exception Note:        EXC CORPSE NOTIFY_x000D_
_x000D_
Application Specific Information:_x000D_
ABORT    Text Input Sources or Text Services Manager API is being called in two threads concurrently  If you are a UI application  you must call TIS TSM API on the main thread  If you are a non UI application (such as a cmd line tool or a launchagent that does not run an event loop)  you must not call TIS TSM API from multiple threads concurrently _x000D_
abort() called_x000D_
_x000D_
_x000D_
Thread 0::  Dispatch queue: com apple main thread_x000D_
0   libsystem kernel dylib        	       0x19f8f23d4   open   8_x000D_
1   libsystem kernel dylib        	       0x19f8fc6f0 open   64_x000D_
2   HIToolbox                     	       0x1a8570540 TISMapAppleKeyLayoutData   156_x000D_
3   HIToolbox                     	       0x1a857043c TISGetAppleKeyLayoutIndexForNumericID   40_x000D_
4   HIToolbox                     	       0x1a8570370 islcCreateKeyboardLayoutNameForID   32_x000D_
5   HIToolbox                     	       0x1a85701c8 isPrefsCreateDefaultASCIIInputSourceForLocale   432_x000D_
6   HIToolbox                     	       0x1a856f888 isPrefsCreateCacheFromEnabledAndDefaultInputSources   68_x000D_
7   HIToolbox                     	       0x1a856f174 islGetInputSourceListWithAdditions   316_x000D_
8   HIToolbox                     	       0x1a8581f48  HaveOnlyOneKeyboardInputSource   20_x000D_
9   HIToolbox                     	       0x1a8581e94 isCreateCurrentKeyboardInputSourceRef   60_x000D_
10  HIToolbox                     	       0x1a8581c58 TSMCurrentKeyboardInputSourceRefCreate   96_x000D_
11  HIToolbox                     	       0x1a858a258 TSMCurrentKeyboardLayoutInputSourceRefCreate   72_x000D_
12  HIToolbox                     	       0x1a858a1c4 TISCopyCurrentKeyboardLayoutInputSource   24_x000D_
13  AppKit                        	       0x1a2b9a7b4 UpdateKeyboardAwareShortcutsForCurrentInputSource   176_x000D_
14  AppKit                        	       0x1a2b9d2b4   35   NSMenuShortcutUpdater schedule:  block invoke   120_x000D_
15  CoreFoundation                	       0x19f9f8668   CFRUNLOOP IS CALLING OUT TO A BLOCK     28_x000D_
16  CoreFoundation                	       0x19f9f84dc   CFRunLoopDoBlocks   412_x000D_
17  CoreFoundation                	       0x19f9f74f4   CFRunLoopRun   1728_x000D_
18  CoreFoundation                	       0x19f9f6694 CFRunLoopRunSpecific   600_x000D_
19  libjli dylib                  	       0x10437afec CreateExecutionEnvironment   400_x000D_
20  libjli dylib                  	       0x1043771fc JLI Launch   1184_x000D_
21  java                          	       0x104243bb0 main   408_x000D_
22  dyld                          	       0x1044c10f4 start   520_x000D_
_x000D_
Thread 1:_x000D_
0   libsystem kernel dylib        	       0x19f8f370c   ulock wait   8_x000D_
1   libsystem pthread dylib       	       0x19f92f720  pthread join   452_x000D_
2   libjli dylib                  	       0x10437b6a0 CallJavaMainInNewThread   148_x000D_
3   libjli dylib                  	       0x10437a54c ContinueInNewThread   144_x000D_
4   libjli dylib                  	       0x104378494 JLI Launch   5944_x000D_
5   java                          	       0x104243bb0 main   408_x000D_
6   libjli dylib                  	       0x10437bda4 apple main   88_x000D_
7   libsystem pthread dylib       	       0x19f92d4ec  pthread start   148_x000D_
8   libsystem pthread dylib       	       0x19f9282d0 thread start   8_x000D_
_x000D_
Thread 2 Crashed:_x000D_
0   libsystem kernel dylib        	       0x19f8f99b8   pthread kill   8_x000D_
1   libsystem pthread dylib       	       0x19f92d15c pthread kill   288_x000D_
2   libsystem c dylib             	       0x19f86a314 abort   164_x000D_
3   HIToolbox                     	       0x1a880e94c islGetInputSourceListWithAdditions cold 1   32_x000D_
4   HIToolbox                     	       0x1a856f7a4 islGetInputSourceListWithAdditions   1900_x000D_
5   HIToolbox                     	       0x1a8581f48  HaveOnlyOneKeyboardInputSource   20_x000D_
6   HIToolbox                     	       0x1a8581e94 isCreateCurrentKeyboardInputSourceRef   60_x000D_
7   HIToolbox                     	       0x1a8581c58 TSMCurrentKeyboardInputSourceRefCreate   96_x000D_
8   HIToolbox                     	       0x1a858a258 TSMCurrentKeyboardLayoutInputSourceRefCreate   72_x000D_
9   HIToolbox                     	       0x1a858a1c4 TISCopyCurrentKeyboardLayoutInputSource   24_x000D_
10  libsdl arcarm64 dylib         	       0x10543f5e0 UpdateKeymap   60_x000D_
11  libsdl arcarm64 dylib         	       0x10543f538 Cocoa InitKeyboard   28_x000D_
12  libsdl arcarm64 dylib         	       0x1054438d8 Cocoa VideoInit   36_x000D_
13  libsdl arcarm64 dylib         	       0x10542d14c SDL VideoInit REAL   380_x000D_
14  libsdl arcarm64 dylib         	       0x1053b0ca0 SDL InitSubSystem REAL   148_x000D_
15                                	       0x10dfb58ac    _x000D_
16                                	       0x10dfb1e68    _x000D_
17                                	       0x10dfb1e68    _x000D_
18                                	       0x10dfb23a8    _x000D_
19                                	       0x10dfb1fc8    _x000D_
20                                	       0x10dfb1fc8    _x000D_
21                                	       0x10dfb1fc8    _x000D_
22                                	       0x10dfac140    _x000D_
23  libjvm dylib                  	       0x1059c6590 JavaCalls::call helper(JavaValue   methodHandle const   JavaCallArguments   JavaThread )   908_x000D_
24  libjvm dylib                  	       0x105a2b1a4 jni invoke static(JNIEnv    JavaValue    jobject   JNICallType   jmethodID   JNI ArgumentPusher   JavaThread )   300_x000D_
25  libjvm dylib                  	       0x105a2e838 jni CallStaticVoidMethod   304_x000D_
26  libjli dylib                  	       0x104379378 JavaMain   2516_x000D_
27  libjli dylib                  	       0x10437b6e8 ThreadJavaMain   12_x000D_
28  libsystem pthread dylib       	       0x19f92d4ec  pthread start   148_x000D_
29  libsystem pthread dylib       	       0x19f9282d0 thread start   8_x000D_
_x000D_
Thread 3:: Java: GC Thread 0_x000D_
0   libsystem kernel dylib        	       0x19f8f1990 semaphore wait trap   8_x000D_
1   libjvm dylib                  	       0x105da6e94 OSXSemaphore::wait()   24_x000D_
2   libjvm dylib                  	       0x105f90474 GangWorker::loop()   52_x000D_
3   libjvm dylib                  	       0x105f9042c GangWorker::run()   28_x000D_
4   libjvm dylib                  	       0x105eed93c Thread::call run()   296_x000D_
5   libjvm dylib                  	       0x105d17a10 thread native entry(Thread )   344_x000D_
6   libsystem pthread dylib       	       0x19f92d4ec  pthread start   148_x000D_
7   libsystem pthread dylib       	       0x19f9282d0 thread start   8_x000D_
_x000D_
Thread 4:: Java: G1 Main Marker_x000D_
0   libsystem kernel dylib        	       0x19f8f50c0   psynch cvwait   8_x000D_
1   libsystem pthread dylib       	       0x19f92dab4  pthread cond wait   1228_x000D_
2   libjvm dylib                  	       0x105d1fe10 os::PlatformMonitor::wait(long)   152_x000D_
3   libjvm dylib                  	       0x105ce56bc Monitor::wait without safepoint check(long long)   48_x000D_
4   libjvm dylib                  	       0x1058e2d34 G1ConcurrentMarkThread::run service()   180_x000D_
5   libjvm dylib                  	       0x10580bac4 ConcurrentGCThread::run()   52_x000D_
6   libjvm dylib                  	       0x105eed93c Thread::call run()   296_x000D_
7   libjvm dylib                  	       0x105d17a10 thread native entry(Thread )   344_x000D_
8   libsystem pthread dylib       	       0x19f92d4ec  pthread start   148_x000D_
9   libsystem pthread dylib       	       0x19f9282d0 thread start   8_x000D_
_x000D_
Thread 5:: Java: G1 Conc 0_x000D_
0   libsystem kernel dylib        	       0x19f8f1990 semaphore wait trap   8_x000D_
1   libjvm dylib                  	       0x105da6e94 OSXSemaphore::wait()   24_x000D_
2   libjvm dylib                  	       0x105f90474 GangWorker::loop()   52_x000D_
3   libjvm dylib                  	       0x105f9042c GangWorker::run()   28_x000D_
4   libjvm dylib                  	       0x105eed93c Thread::call run()   296_x000D_
5   libjvm dylib                  	       0x105d17a10 thread native entry(Thread )   344_x000D_
6   libsystem pthread dylib       	       0x19f92d4ec  pthread start   148_x000D_
7   libsystem pthread dylib       	       0x19f9282d0 thread start   8_x000D_
_x000D_
Thread 6:: Java: G1 Refine 0_x000D_
0   libsystem kernel dylib        	       0x19f8f1990 semaphore wait trap   8_x000D_
1   libjvm dylib                  	       0x105da6e94 OSXSemaphore::wait()   24_x000D_
2   libjvm dylib                  	       0x1058e56f4 G1ConcurrentRefineThread::run service()   112_x000D_
3   libjvm dylib                  	       0x10580bac4 ConcurrentGCThread::run()   52_x000D_
4   libjvm dylib                  	       0x105eed93c Thread::call run()   296_x000D_
5   libjvm dylib                  	       0x105d17a10 thread native entry(Thread )   344_x000D_
6   libsystem pthread dylib       	       0x19f92d4ec  pthread start   148_x000D_
7   libsystem pthread dylib       	       0x19f9282d0 thread start   8_x000D_
_x000D_
Thread 7:: Java: G1 Service_x000D_
0   libsystem kernel dylib        	       0x19f8f50c0   psynch cvwait   8_x000D_
1   libsystem pthread dylib       	       0x19f92dab4  pthread cond wait   1228_x000D_
2   libjvm dylib                  	       0x105d1fe80 os::PlatformMonitor::wait(long)   264_x000D_
3   libjvm dylib                  	       0x105ce56bc Monitor::wait without safepoint check(long long)   48_x000D_
4   libjvm dylib                  	       0x105926144 G1ServiceThread::sleep before next cycle()   188_x000D_
5   libjvm dylib                  	       0x10592638c G1ServiceThread::run service()   92_x000D_
6   libjvm dylib                  	       0x10580bac4 ConcurrentGCThread::run()   52_x000D_
7   libjvm dylib                  	       0x105eed93c Thread::call run()   296_x000D_
8   libjvm dylib                  	       0x105d17a10 thread native entry(Thread )   344_x000D_
9   libsystem pthread dylib       	       0x19f92d4ec  pthread start   148_x000D_
10  libsystem pthread dylib       	       0x19f9282d0 thread start   8_x000D_
_x000D_
Thread 8:: Java: VM Thread_x000D_
0   libsystem kernel dylib        	       0x19f8f50c0   psynch cvwait   8_x000D_
1   libsystem pthread dylib       	       0x19f92dab4  pthread cond wait   1228_x000D_
2   libjvm dylib                  	       0x105d1fe80 os::PlatformMonitor::wait(long)   264_x000D_
3   libjvm dylib                  	       0x105ce56bc Monitor::wait without safepoint check(long long)   48_x000D_
4   libjvm dylib                  	       0x105f68d34 VMThread::wait for operation()   436_x000D_
5   libjvm dylib                  	       0x105f67e78 VMThread::run()   196_x000D_
6   libjvm dylib                  	       0x105eed93c Thread::call run()   296_x000D_
7   libjvm dylib                  	       0x105d17a10 thread native entry(Thread )   344_x000D_
8   libsystem pthread dylib       	       0x19f92d4ec  pthread start   148_x000D_
9   libsystem pthread dylib       	       0x19f9282d0 thread start   8_x000D_
_x000D_
Thread 9:: Java: Reference Handler_x000D_
0   libsystem kernel dylib        	       0x19f8f50c0   psynch cvwait   8_x000D_
1   libsystem pthread dylib       	       0x19f92dab4  pthread cond wait   1228_x000D_
2   libjvm dylib                  	       0x105d1fe10 os::PlatformMonitor::wait(long)   152_x000D_
3   libjvm dylib                  	       0x105ce5768 Monitor::wait(long long)   148_x000D_
4   libjvm dylib                  	       0x105a8038c JVM WaitForReferencePendingList   228_x000D_
5                                 	       0x10dfb58ac    _x000D_
6                                 	       0x10dfb1fc8    _x000D_
7                                 	       0x10dfb1fc8    _x000D_
8                                 	       0x10dfac140    _x000D_
9   libjvm dylib                  	       0x1059c6590 JavaCalls::call helper(JavaValue   methodHandle const   JavaCallArguments   JavaThread )   908_x000D_
10  libjvm dylib                  	       0x1059c55ac JavaCalls::call virtual(JavaValue   Klass   Symbol   Symbol   JavaCallArguments   JavaThread )   284_x000D_
11  libjvm dylib                  	       0x1059c5678 JavaCalls::call virtual(JavaValue   Handle  Klass   Symbol   Symbol   JavaThread )   100_x000D_
12  libjvm dylib                  	       0x105a7dea4 thread entry(JavaThread   JavaThread )   196_x000D_
13  libjvm dylib                  	       0x105eef260 JavaThread::thread main inner()   316_x000D_
14  libjvm dylib                  	       0x105eed93c Thread::call run()   296_x000D_
15  libjvm dylib                  	       0x105d17a10 thread native entry(Thread )   344_x000D_
16  libsystem pthread dylib       	       0x19f92d4ec  pthread start   148_x000D_
17  libsystem pthread dylib       	       0x19f9282d0 thread start   8_x000D_
_x000D_
Thread 10:: Java: Finalizer_x000D_
0   libsystem kernel dylib        	       0x19f8f50c0   psynch cvwait   8_x000D_
1   libsystem pthread dylib       	       0x19f92dab4  pthread cond wait   1228_x000D_
2   libjvm dylib                  	       0x105d1f124 os::PlatformEvent::park()   164_x000D_
3   libjvm dylib                  	       0x105d004d0 ObjectMonitor::wait(long  bool  JavaThread )   1828_x000D_
4   libjvm dylib                  	       0x105eba1a0 ObjectSynchronizer::wait(Handle  long  JavaThread )   300_x000D_
5   libjvm dylib                  	       0x105a6bc28 JVM MonitorWait   432_x000D_
6                                 	       0x10dfb58ac    _x000D_
7                                 	       0x10dfb1fc8    _x000D_
8                                 	       0x10dfb1d80    _x000D_
9                                 	       0x10dfb1d80    _x000D_
10                                	       0x10dfac140    _x000D_
11  libjvm dylib                  	       0x1059c6590 JavaCalls::call helper(JavaValue   methodHandle const   JavaCallArguments   JavaThread )   908_x000D_
12  libjvm dylib                  	       0x1059c55ac JavaCalls::call virtual(JavaValue   Klass   Symbol   Symbol   JavaCallArguments   JavaThread )   284_x000D_
13  libjvm dylib                  	       0x1059c5678 JavaCalls::call virtual(JavaValue   Handle  Klass   Symbol   Symbol   JavaThread )   100_x000D_
14  libjvm dylib                  	       0x105a7dea4 thread entry(JavaThread   JavaThread )   196_x000D_
15  libjvm dylib                  	       0x105eef260 JavaThread::thread main inner()   316_x000D_
16  libjvm dylib                  	       0x105eed93c Thread::call run()   296_x000D_
17  libjvm dylib                  	       0x105d17a10 thread native entry(Thread )   344_x000D_
18  libsystem pthread dylib       	       0x19f92d4ec  pthread start   148_x000D_
19  libsystem pthread dylib       	       0x19f9282d0 thread start   8_x000D_
_x000D_
Thread 11:_x000D_
0   libsystem pthread dylib       	       0x19f9282bc start wqthread   0_x000D_
_x000D_
Thread 12:_x000D_
0   libsystem pthread dylib       	       0x19f9282bc start wqthread   0_x000D_
_x000D_
Thread 13:: Java: Signal Dispatcher_x000D_
0   libsystem kernel dylib        	       0x19f8f1990 semaphore wait trap   8_x000D_
1   libjvm dylib                  	       0x105da6e94 OSXSemaphore::wait()   24_x000D_
2   libjvm dylib                  	       0x105e3b838 os::signal wait()   208_x000D_
3   libjvm dylib                  	       0x105d12fd0 signal thread entry(JavaThread   JavaThread )   76_x000D_
4   libjvm dylib                  	       0x105eef260 JavaThread::thread main inner()   316_x000D_
5   libjvm dylib                  	       0x105eed93c Thread::call run()   296_x000D_
6   libjvm dylib                  	       0x105d17a10 thread native entry(Thread )   344_x000D_
7   libsystem pthread dylib       	       0x19f92d4ec  pthread start   148_x000D_
8   libsystem pthread dylib       	       0x19f9282d0 thread start   8_x000D_
_x000D_
Thread 14:: Java: Service Thread_x000D_
0   libsystem kernel dylib        	       0x19f8f50c0   psynch cvwait   8_x000D_
1   libsystem pthread dylib       	       0x19f92dab4  pthread cond wait   1228_x000D_
2   libjvm dylib                  	       0x105d1fe10 os::PlatformMonitor::wait(long)   152_x000D_
3   libjvm dylib                  	       0x105ce56bc Monitor::wait without safepoint check(long long)   48_x000D_
4   libjvm dylib                  	       0x105da7990 ServiceThread::service thread entry(JavaThread   JavaThread )   492_x000D_
5   libjvm dylib                  	       0x105eef260 JavaThread::thread main inner()   316_x000D_
6   libjvm dylib                  	       0x105eed93c Thread::call run()   296_x000D_
7   libjvm dylib                  	       0x105d17a10 thread native entry(Thread )   344_x000D_
8   libsystem pthread dylib       	       0x19f92d4ec  pthread start   148_x000D_
9   libsystem pthread dylib       	       0x19f9282d0 thread start   8_x000D_
_x000D_
Thread 15:: Java: Monitor Deflation Thread_x000D_
0   libsystem kernel dylib        	       0x19f8f50c0   psynch cvwait   8_x000D_
1   libsystem pthread dylib       	       0x19f92dab4  pthread cond wait   1228_x000D_
2   libjvm dylib                  	       0x105d1fe80 os::PlatformMonitor::wait(long)   264_x000D_
3   libjvm dylib                  	       0x105ce56bc Monitor::wait without safepoint check(long long)   48_x000D_
4   libjvm dylib                  	       0x105cda3bc MonitorDeflationThread::monitor deflation thread entry(JavaThread   JavaThread )   152_x000D_
5   libjvm dylib                  	       0x105eef260 JavaThread::thread main inner()   316_x000D_
6   libjvm dylib                  	       0x105eed93c Thread::call run()   296_x000D_
7   libjvm dylib                  	       0x105d17a10 thread native entry(Thread )   344_x000D_
8   libsystem pthread dylib       	       0x19f92d4ec  pthread start   148_x000D_
9   libsystem pthread dylib       	       0x19f9282d0 thread start   8_x000D_
_x000D_
Thread 16:: Java: C2 CompilerThread0_x000D_
0   libsystem kernel dylib        	       0x19f8f50c0   psynch cvwait   8_x000D_
1   libsystem pthread dylib       	       0x19f92dab4  pthread cond wait   1228_x000D_
2   libjvm dylib                  	       0x105d1fe80 os::PlatformMonitor::wait(long)   264_x000D_
3   libjvm dylib                  	       0x105ce5768 Monitor::wait(long long)   148_x000D_
4   libjvm dylib                  	       0x1057f3d08 CompileQueue::get()   196_x000D_
5   libjvm dylib                  	       0x1057f7438 CompileBroker::compiler thread loop()   656_x000D_
6   libjvm dylib                  	       0x105eef260 JavaThread::thread main inner()   316_x000D_
7   libjvm dylib                  	       0x105eed93c Thread::call run()   296_x000D_
8   libjvm dylib                  	       0x105d17a10 thread native entry(Thread )   344_x000D_
9   libsystem pthread dylib       	       0x19f92d4ec  pthread start   148_x000D_
10  libsystem pthread dylib       	       0x19f9282d0 thread start   8_x000D_
_x000D_
Thread 17:: Java: C1 CompilerThread0_x000D_
0   libsystem kernel dylib        	       0x19f8f50c0   psynch cvwait   8_x000D_
1   libsystem pthread dylib       	       0x19f92dab4  pthread cond wait   1228_x000D_
2   libjvm dylib                  	       0x105d1fe80 os::PlatformMonitor::wait(long)   264_x000D_
3   libjvm dylib                  	       0x105ce5768 Monitor::wait(long long)   148_x000D_
4   libjvm dylib                  	       0x1057f3d08 CompileQueue::get()   196_x000D_
5   libjvm dylib                  	       0x1057f7438 CompileBroker::compiler thread loop()   656_x000D_
6   libjvm dylib                  	       0x105eef260 JavaThread::thread main inner()   316_x000D_
7   libjvm dylib                  	       0x105eed93c Thread::call run()   296_x000D_
8   libjvm dylib                  	       0x105d17a10 thread native entry(Thread )   344_x000D_
9   libsystem pthread dylib       	       0x19f92d4ec  pthread start   148_x000D_
10  libsystem pthread dylib       	       0x19f9282d0 thread start   8_x000D_
_x000D_
Thread 18:: Java: Sweeper thread_x000D_
0   libsystem kernel dylib        	       0x19f8f50c0   psynch cvwait   8_x000D_
1   libsystem pthread dylib       	       0x19f92dab4  pthread cond wait   1228_x000D_
2   libjvm dylib                  	       0x105d1fe80 os::PlatformMonitor::wait(long)   264_x000D_
3   libjvm dylib                  	       0x105ce56bc Monitor::wait without safepoint check(long long)   48_x000D_
4   libjvm dylib                  	       0x105eb1ac0 NMethodSweeper::sweeper loop()   168_x000D_
5   libjvm dylib                  	       0x105eef260 JavaThread::thread main inner()   316_x000D_
6   libjvm dylib                  	       0x105eed93c Thread::call run()   296_x000D_
7   libjvm dylib                  	       0x105d17a10 thread native entry(Thread )   344_x000D_
8   libsystem pthread dylib       	       0x19f92d4ec  pthread start   148_x000D_
9   libsystem pthread dylib       	       0x19f9282d0 thread start   8_x000D_
_x000D_
Thread 19:: Java: Notification Thread_x000D_
0   libsystem kernel dylib        	       0x19f8f50c0   psynch cvwait   8_x000D_
1   libsystem pthread dylib       	       0x19f92dab4  pthread cond wait   1228_x000D_
2   libjvm dylib                  	       0x105d1fe10 os::PlatformMonitor::wait(long)   152_x000D_
3   libjvm dylib                  	       0x105ce56bc Monitor::wait without safepoint check(long long)   48_x000D_
4   libjvm dylib                  	       0x105cf86b4 NotificationThread::notification thread entry(JavaThread   JavaThread )   180_x000D_
5   libjvm dylib                  	       0x105eef260 JavaThread::thread main inner()   316_x000D_
6   libjvm dylib                  	       0x105eed93c Thread::call run()   296_x000D_
7   libjvm dylib                  	       0x105d17a10 thread native entry(Thread )   344_x000D_
8   libsystem pthread dylib       	       0x19f92d4ec  pthread start   148_x000D_
9   libsystem pthread dylib       	       0x19f9282d0 thread start   8_x000D_
_x000D_
Thread 20:: Java: VM Periodic Task Thread_x000D_
0   libsystem kernel dylib        	       0x19f8f50c0   psynch cvwait   8_x000D_
1   libsystem pthread dylib       	       0x19f92dab4  pthread cond wait   1228_x000D_
2   libjvm dylib                  	       0x105d1fe80 os::PlatformMonitor::wait(long)   264_x000D_
3   libjvm dylib                  	       0x105ce56bc Monitor::wait without safepoint check(long long)   48_x000D_
4   libjvm dylib                  	       0x105cf7efc WatcherThread::sleep() const   176_x000D_
5   libjvm dylib                  	       0x105cf7fbc WatcherThread::run()   96_x000D_
6   libjvm dylib                  	       0x105eed93c Thread::call run()   296_x000D_
7   libjvm dylib                  	       0x105d17a10 thread native entry(Thread )   344_x000D_
8   libsystem pthread dylib       	       0x19f92d4ec  pthread start   148_x000D_
9   libsystem pthread dylib       	       0x19f9282d0 thread start   8_x000D_
_x000D_
Thread 21:: Java: Common Cleaner_x000D_
0   libsystem kernel dylib        	       0x19f8f50c0   psynch cvwait   8_x000D_
1   libsystem pthread dylib       	       0x19f92dab4  pthread cond wait   1228_x000D_
2   libjvm dylib                  	       0x105d1f370 os::PlatformEvent::park(long)   436_x000D_
3   libjvm dylib                  	       0x105d00284 ObjectMonitor::wait(long  bool  JavaThread )   1240_x000D_
4   libjvm dylib                  	       0x105eba1a0 ObjectSynchronizer::wait(Handle  long  JavaThread )   300_x000D_
5   libjvm dylib                  	       0x105a6bc28 JVM MonitorWait   432_x000D_
6                                 	       0x10dfb58ac    _x000D_
7                                 	       0x10dfb1fc8    _x000D_
8                                 	       0x10dfb1d80    _x000D_
9                                 	       0x10dfb2508    _x000D_
10                                	       0x10dfb1fc8    _x000D_
11                                	       0x10dfac140    _x000D_
12  libjvm dylib                  	       0x1059c6590 JavaCalls::call helper(JavaValue   methodHandle const   JavaCallArguments   JavaThread )   908_x000D_
13  libjvm dylib                  	       0x1059c55ac JavaCalls::call virtual(JavaValue   Klass   Symbol   Symbol   JavaCallArguments   JavaThread )   284_x000D_
14  libjvm dylib                  	       0x1059c5678 JavaCalls::call virtual(JavaValue   Handle  Klass   Symbol   Symbol   JavaThread )   100_x000D_
15  libjvm dylib                  	       0x105a7dea4 thread entry(JavaThread   JavaThread )   196_x000D_
16  libjvm dylib                  	       0x105eef260 JavaThread::thread main inner()   316_x000D_
17  libjvm dylib                  	       0x105eed93c Thread::call run()   296_x000D_
18  libjvm dylib                  	       0x105d17a10 thread native entry(Thread )   344_x000D_
19  libsystem pthread dylib       	       0x19f92d4ec  pthread start   148_x000D_
20  libsystem pthread dylib       	       0x19f9282d0 thread start   8_x000D_
_x000D_
_x000D_
Thread 2 crashed with ARM Thread State (64 bit):_x000D_
    x0: 0x0000000000000000   x1: 0x0000000000000000   x2: 0x0000000000000000   x3: 0x0000000000000000_x000D_
    x4: 0x0000000000001803   x5: 0x0000000000000000   x6: 0x0000000000000000   x7: 0x0000000000000023_x000D_
    x8: 0xabd13eb29fd009ed   x9: 0xabd13eb3f434f9ed  x10: 0x00000001220e1058  x11: 0x0000000000000001_x000D_
   x12: 0x0000000000000059  x13: 0x00000000bca7c85c  x14: 0x00000000bcc7d000  x15: 0x000000000007d000_x000D_
   x16: 0x0000000000000148  x17: 0x00000001f9d13530  x18: 0x0000000000000000  x19: 0x0000000000000006_x000D_
   x20: 0x000000016be4f000  x21: 0x0000000000001703  x22: 0x0000000000000000  x23: 0x00000001054b6000_x000D_
   x24: 0x0000000000000000  x25: 0x00000001f5b5a000  x26: 0x000000012062e1f0  x27: 0x00000001f5b5c000_x000D_
   x28: 0x0000000122808200   fp: 0x000000016be4dca0   lr: 0x000000019f92d15c_x000D_
    sp: 0x000000016be4dc80   pc: 0x000000019f8f99b8 cpsr: 0x40001000_x000D_
   far: 0x00000001fa1a2078  esr: 0x56000080  Address size fault_x000D_
_x000D_
Binary Images:_x000D_
       0x19f8f0000          0x19f925fff libsystem kernel dylib ( )  c8524c02 b14f 30bd a228 c44b4a448e68   usr lib system libsystem kernel dylib_x000D_
       0x1a853c000          0x1a886bfff com apple HIToolbox (2 1 1)  98ea191e b6f8 3036 b267 eeadb5f03c7d   System Library Frameworks Carbon framework Versions A Frameworks HIToolbox framework Versions A HIToolbox_x000D_
       0x1a250a000          0x1a33bbfff com apple AppKit (6 9)  518f4e68 c324 320f 9d7f 85c224eae972   System Library Frameworks AppKit framework Versions C AppKit_x000D_
       0x19f974000          0x19feb7fff com apple CoreFoundation (6 9)  b2ff96d0 ae99 31ef 9014 fc9964b4f3e0   System Library Frameworks CoreFoundation framework Versions A CoreFoundation_x000D_
       0x104374000          0x10437ffff libjli dylib ( )  35fc3762 86ef 3be8 b587 55346c7086b1   Library Java JavaVirtualMachines temurin 17 jdk Contents Home lib libjli dylib_x000D_
       0x104240000          0x104243fff java ( )  7ff180b5 41fa 3927 adcc aed1113241ff   Library Java JavaVirtualMachines temurin 17 jdk Contents Home bin java_x000D_
       0x1044bc000          0x10451bfff dyld ( )  86a8ba48 8bb4 3b30 9cda 051f73c74f44   usr lib dyld_x000D_
       0x19f926000          0x19f932fff libsystem pthread dylib ( )  4786e19a 9312 38e6 80ef 9c1394548118   usr lib system libsystem pthread dylib_x000D_
       0x19f7f1000          0x19f871fff libsystem c dylib ( )  002a39ae 6431 3b2e 85e7 c45fc2f95ad0   usr lib system libsystem c dylib_x000D_
       0x105324000          0x1054a3fff libsdl arcarm64 dylib ( )  4d1d2a08 1feb 3d8a 8635 0ce965644d62   private var folders   libsdl arcarm64 dylib_x000D_
               0x0   0xffffffffffffffff     ( )  00000000 0000 0000 0000 000000000000     _x000D_
       0x10555c000          0x10608bfff libjvm dylib ( )  2ae4bb29 d26a 3038 9859 aa911663be99   Library Java JavaVirtualMachines temurin 17 jdk Contents Home lib server libjvm dylib_x000D_
_x000D_
External Modification Summary:_x000D_
  Calls made by other processes targeting this process:_x000D_
    task for pid: 0_x000D_
    thread create: 0_x000D_
    thread set state: 0_x000D_
  Calls made by this process:_x000D_
    task for pid: 0_x000D_
    thread create: 0_x000D_
    thread set state: 0_x000D_
  Calls made by all processes on this machine:_x000D_
    task for pid: 0_x000D_
    thread create: 0_x000D_
    thread set state: 0_x000D_
_x000D_
VM Region Summary:_x000D_
ReadOnly portion of Libraries: Total 843 5M resident 0K(0 ) swapped out or unallocated 843 5M(100 )_x000D_
Writable regions: Total 1 3G written 0K(0 ) resident 0K(0 ) swapped out 0K(0 ) unallocated 1 3G(100 )_x000D_
_x000D_
                                VIRTUAL   REGION _x000D_
REGION TYPE                        SIZE    COUNT (non coalesced) _x000D_
                                                 _x000D_
Activity Tracing                   256K        1 _x000D_
ColorSync                          400K       21 _x000D_
CoreGraphics                        16K        1 _x000D_
Kernel Alloc Once                   32K        1 _x000D_
MALLOC                           204 2M       22 _x000D_
MALLOC guard page                   96K        4 _x000D_
MALLOC MEDIUM (reserved)         344 0M        3         reserved VM address space (unallocated)_x000D_
MALLOC NANO (reserved)           384 0M        1         reserved VM address space (unallocated)_x000D_
STACK GUARD                       56 7M       22 _x000D_
Stack                             45 6M       22 _x000D_
Stack Guard                        160K       10 _x000D_
VM ALLOCATE                        5 4G      168 _x000D_
VM ALLOCATE (reserved)            40 5M        4         reserved VM address space (unallocated)_x000D_
  AUTH                            1914K      185 _x000D_
  AUTH CONST                      11 4M      342 _x000D_
  DATA                            9480K      340 _x000D_
  DATA CONST                      12 2M      353 _x000D_
  DATA DIRTY                       735K      120 _x000D_
  FONT DATA                          4K        1 _x000D_
  LINKEDIT                       575 3M       12 _x000D_
  OBJC CONST                      1607K      153 _x000D_
  OBJC RO                         81 8M        1 _x000D_
  OBJC RW                         3088K        1 _x000D_
  TEXT                           268 2M      368 _x000D_
  UNICODE                          588K        1 _x000D_
dyld private memory               1024K        1 _x000D_
mapped file                      165 7M       10 _x000D_
shared memory                      848K       14 _x000D_
                                                 _x000D_
TOTAL                              7 5G     2182 _x000D_
TOTAL  minus reserved VM space     6 8G     2182 _x000D_
_x000D_
_x000D_
_x000D_
           _x000D_
Full Report_x000D_
           _x000D_
_x000D_
  app name : java   timestamp : 2021 12 29 22:11:28 00  0500   app version :    slice uuid : 7ff180b5 41fa 3927 adcc aed1113241ff   build version :    platform :1  share with app devs :1  is first party :1  bug type : 309   os version : macOS 12 0 1 (21A559)   incident id : 47018B6A 3A48 4D73 A1D3 8957F385E23B   name : java  _x000D_
 _x000D_
   uptime  : 830000 _x000D_
   procLaunch  :  2021 12 29 22:11:28 2666  0500  _x000D_
   procRole  :  Background  _x000D_
   version  : 2 _x000D_
   userID  : 501 _x000D_
   deployVersion  : 210 _x000D_
   modelCode  :  MacBookAir10 1  _x000D_
   procStartAbsTime  : 20043749986531 _x000D_
   coalitionID  : 68990 _x000D_
   osVersion  :  _x000D_
     train  :  macOS 12 0 1  _x000D_
     build  :  21A559  _x000D_
     releaseType  :  User _x000D_
    _x000D_
   captureTime  :  2021 12 29 22:11:28 5382  0500  _x000D_
   incident  :  47018B6A 3A48 4D73 A1D3 8957F385E23B  _x000D_
   bug type  :  309  _x000D_
   pid  : 71151 _x000D_
   procExitAbsTime  : 20043755984420 _x000D_
   translated  : false _x000D_
   cpuType  :  ARM 64  _x000D_
   procName  :  java  _x000D_
   procPath  :    Library  Java  JavaVirtualMachines  temurin 17 jdk  Contents  Home  bin  java  _x000D_
   parentProc  :  Exited process  _x000D_
   parentPid  : 71150 _x000D_
   coalitionName  :  com apple JavaLauncher  _x000D_
   crashReporterKey  :  1415AF71 760E 57F4 6B7C 46C25691AE88  _x000D_
   responsiblePid  : 71150 _x000D_
   wakeTime  : 2150 _x000D_
   sleepWakeUUID  :  F195079D F8B3 4626 90B1 90FD219FE581  _x000D_
   sip  :  enabled  _x000D_
   isCorpse  : 1 _x000D_
   exception  :   codes : 0x0000000000000000  0x0000000000000000   rawCodes : 0 0   type : EXC CRASH   signal : SIGABRT   _x000D_
   asi  :   HIToolbox :  ABORT    Text Input Sources or Text Services Manager API is being called in two threads concurrently  If you are a UI application  you must call TIS  TSM API on the main thread  If you are a non UI application (such as a cmd line tool or a launchagent that does not run an event loop)  you must not call TIS  TSM API from multiple threads concurrently     libsystem c dylib :  abort() called    _x000D_
   extMods  :   caller :  thread create :0  thread set state :0  task for pid :0   system :  thread create :0  thread set state :0  task for pid :0   targeted :  thread create :0  thread set state :0  task for pid :0   warnings :0  _x000D_
   faultingThread  : 2 _x000D_
   threads  :    id :5332181  queue : com apple main thread   frames :   imageOffset :9172  symbol :   open   symbolLocation :8  imageIndex :0    imageOffset :50928  symbol : open   symbolLocation :64  imageIndex :0    imageOffset :214336  symbol : TISMapAppleKeyLayoutData   symbolLocation :156  imageIndex </t>
  </si>
  <si>
    <t>Codepath-UIC-Team2-SportCave-33</t>
  </si>
  <si>
    <t xml:space="preserve">BUG: The App Crash When I access my user profile(related to the previous error) </t>
  </si>
  <si>
    <t xml:space="preserve">When I try to access the user profile  the app crash as a result of the favorite sports lists flagging errors with the following logs:_x000D_
_x000D_
  E AndroidRuntime: FATAL EXCEPTION: main_x000D_
      Process: com example sportcaveapp  PID: 11777_x000D_
      java lang NullPointerException: Attempt to invoke virtual method  java lang String java lang Object toString()  on a null object reference_x000D_
          at com example sportcaveapp fragments ProfileFragment onViewCreated(ProfileFragment java:99)_x000D_
          at androidx fragment app Fragment performViewCreated(Fragment java:2987)_x000D_
          at androidx fragment app FragmentStateManager createView(FragmentStateManager java:546)_x000D_
          at androidx fragment app FragmentStateManager moveToExpectedState(FragmentStateManager java:282)_x000D_
          at androidx fragment app FragmentManager executeOpsTogether(FragmentManager java:2189)_x000D_
          at androidx fragment app FragmentManager removeRedundantOperationsAndExecute(FragmentManager java:2100)_x000D_
          at androidx fragment app FragmentManager execPendingActions(FragmentManager java:2002)_x000D_
          at androidx fragment app FragmentManager 5 run(FragmentManager java:524)_x000D_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t>
  </si>
  <si>
    <t>Codepath-UIC-Team2-SportCave-32</t>
  </si>
  <si>
    <t xml:space="preserve">BUG : unable to add sports to the user favorite list </t>
  </si>
  <si>
    <t xml:space="preserve">I m unable to add a given sport to my favorite list  and each time I try the app keeps crashing with the following logs _x000D_
_x000D_
  _x000D_
  E AndroidRuntime: FATAL EXCEPTION: main_x000D_
      Process: com example sportcaveapp  PID: 11188_x000D_
      java lang NullPointerException: Attempt to invoke interface method  boolean java util List contains(java lang Object)  on a null object reference_x000D_
          at com example sportcaveapp fragments SportsFragment favSport(SportsFragment java:147)_x000D_
          at com example sportcaveapp fragments SportsFragment access 200(SportsFragment java:32)_x000D_
          at com example sportcaveapp fragments SportsFragment 3 onClick(SportsFragment java:100)_x000D_
          at android view View performClick(View java:7125)_x000D_
          at com google android material button MaterialButton performClick(MaterialButton java:1119)_x000D_
          at android view View performClickInternal(View java:7102)_x000D_
          at android view View access 3500(View java:801)_x000D_
          at android view View PerformClick run(View java:27336)_x000D_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it seems that the issue is a null pointer exception  null object for the boolean meaning that at one place of the code the value are not set to something T F but just null_x000D_
_x000D_
</t>
  </si>
  <si>
    <t>TeamNewPipe-NewPipe-7597</t>
  </si>
  <si>
    <t>Fix remembered search results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</si>
  <si>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Search for  technoblade _x000D_
2  After going back and searching again  technoblade  is not at the top_x000D_
3  As typed progressively the results inconsistently change based on the entered characters_x000D_
_x000D_
     If you can t cause the bug to show up again reliably (and hence don t have a proper set of steps to give us)  please still try to give as many details as possible on how you think you encountered the bug     _x000D_
_x000D_
Let s say I searched for something before and I want to go back to that entry again  For the sake of example I will be using the string  technoblade   After opening the search field again the result is nowhere near the top where it should be because I just made a search for it  After beginning to type the string to  bring the entry closer to the top  the icon that marks the entry has been searched before changes to a regular result  then changes back and is overall inconsistent_x000D_
_x000D_
    Actual behavior_x000D_
     Tell us what happens with the steps given above     _x000D_
_x000D_
The results are inconsistent_x000D_
_x000D_
    Expected behavior_x000D_
     Tell us what you expect to happen     _x000D_
_x000D_
The results are no inconsistent  the last searched result is on the top  and the icons does not change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img width 200 src  https:  user images githubusercontent com 94188674 147689175 9a480309 07a1 44b5 b489 1d8a8c3c6d05 png      img width 200 src  https:  user images githubusercontent com 94188674 147689182 794f3d95 b822 47d9 9ef1 026ea0da1d51 png      img width 200 src  https:  user images githubusercontent com 94188674 147689184 51bafe11 dda3 45b6 95c0 409801b69aca png      img width 200 src  https:  user images githubusercontent com 94188674 147689185 b30be762 ab40 4e47 acea 6ece16550d46 png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OneUI 3 1_x000D_
   Device model: Galaxy A52s 5G_x000D_
</t>
  </si>
  <si>
    <t>PojavLauncherTeam-PojavLauncher-2480</t>
  </si>
  <si>
    <t>[BUG] &lt;game exited (vgpu)&gt;</t>
  </si>
  <si>
    <t xml:space="preserve">    Describe the bug
This bug occurs on some specific devices in which when we select vgpu as default renderer and lauch the game it crash and say  game exited  
    The log file and images videos
_x000D_
  Screenshot 20211229 222012 (https:  user images githubusercontent com 81853976 147685355 7bdeab75 f666 48b1 8963 a6c0301e4e99 png)_x000D_
    Steps To Reproduce
   markdown
Start pojav launcher _x000D_
Select vgpu renderer _x000D_
Click on play 
    Expected Behavior
The game crashes 
    Platform
   markdown
  Device model: Lenovo TB 8504X 16G_x000D_
  CPU architecture: arm64 v8a_x000D_
  Android version: 8 1 0_x000D_
  PojavLauncher version: crocus v3 openjdk
    Anything else 
 No response </t>
  </si>
  <si>
    <t>Exodus-Privacy-exodus-android-app-110</t>
  </si>
  <si>
    <t>Crash during reports refresh</t>
  </si>
  <si>
    <t>Issue:_x000D_
_x000D_
  Device: Pixel 6_x000D_
  OS: Android 12_x000D_
  EP Version: Preview_x000D_
_x000D_
How reproduce:_x000D_
_x000D_
  refresh reports_x000D_
  disable Internet during refresh_x000D_
  App crashed</t>
  </si>
  <si>
    <t>cgeo-cgeo-12430</t>
  </si>
  <si>
    <t>Crash/Instability on mapsforge combined offline map</t>
  </si>
  <si>
    <t>From a user as reported in https:  github com cgeo cgeo issues 12371_x000D_
_x000D_
As written in https:  github com cgeo cgeo issues 12371 issuecomment 998942259:_x000D_
_x000D_
  I seem to have a similar issue  introduced fairly recently  I m running 2021 12 13 _x000D_
 _x000D_
  I ve narrowed down the cause of my crashing to starting the live map using the Combined Offline source  The map is stuttery  actions take a while to load  and it eventually crashes and puts me back in the dashboard _x000D_
 _x000D_
  However  if I switch to any other map source (including specific offline maps  instead of the combined source)  restart the app  and open live view  the issue goes away  I can even change to Combined Offline  and it will remain stable until the app is restarted  Once the app is restarted  we re back to starting the map in Combined Offline  so the issues return until a restart of the app using a non Combined Offline source _x000D_
_x000D_
Log file shows following lines which refer to c:geo:_x000D_
   _x000D_
12 21 08:42:06 940  8376  8376 E cgeo geocachin: Invalid ID 0x00000000 _x000D_
12 21 08:42:06 941  8376  8376 E cgeo geocachin: Invalid ID 0x00000000 _x000D_
12 21 08:42:06 991  8376 11224 E cgeo geocachin: Invalid ID 0x00000000 _x000D_
12 21 08:42:09 541  8376  8376 E cgeo geocachin: Invalid ID 0x00000000 _x000D_
12 21 08:42:09 550  8376  8376 E cgeo geocachin: Invalid ID 0x00000000 _x000D_
12 21 08:42:14 287  8376  8376 I cgeo geocachin: failed to find target package for overlay  system product overlay ProductOverlay oneplus framework res apk_x000D_
12 21 08:42:14 287  8376  8376 I cgeo geocachin: failed to find target package for overlay  system system ext overlay CommonOverlay oneplus framework res apk_x000D_
12 21 08:42:14 287  8376  8376 I cgeo geocachin: failed to find target package for overlay  odm overlay OdmOverlay oneplus framework res apk_x000D_
12 21 08:42:14 327  8376  8376 E cgeo geocachin: Invalid ID 0x00000000 _x000D_
12 21 08:42:14 336  8376  8376 E cgeo geocachin: Invalid ID 0x00000000 _x000D_
12 21 08:42:14 345  8376  8376 E cgeo geocachin: Invalid ID 0x00000000 _x000D_
12 21 08:42:14 515  8376  8376 E cgeo geocachin: Invalid ID 0x00000000 _x000D_
12 21 08:42:14 519  8376  8376 E cgeo geocachin: Invalid ID 0x00000000 _x000D_
12 21 08:42:14 735  8376 11329 E cgeo geocachin: Invalid ID 0x00000000 _x000D_
12 21 08:42:14 748  8376 11329 E cgeo geocachin: Invalid ID 0x00000000 _x000D_
12 21 08:42:14 980  8376 11100 I cgeo geocachin: Background concurrent copying GC freed 333086(10015KB) AllocSpace objects  12(928KB) LOS objects  49  free  21MB 42MB  paused 89us total 165 149ms_x000D_
12 21 08:42:16 126  8376 11330 E cgeo geocachin: Invalid ID 0x00000000 _x000D_
12 21 08:42:16 159  8376 11330 E cgeo geocachin: Invalid ID 0x00000000 _x000D_
12 21 08:42:16 390  8376 11330 W cgeo    :  RxNewThreadScheduler 4  LiveCachesOverlay startLoadtimer start_x000D_
12 21 08:42:16 390  8376 11330 W cgeo    : java lang IllegalArgumentException: layer must not be null_x000D_
12 21 08:42:16 390  8376 11330 W cgeo    : 	at org mapsforge map layer Layers checkIsNull(Layers java:43)_x000D_
12 21 08:42:16 390  8376 11330 W cgeo    : 	at org mapsforge map layer Layers add(Layers java:85)_x000D_
12 21 08:42:16 390  8376 11330 W cgeo    : 	at org mapsforge map layer Layers add(Layers java:73)_x000D_
12 21 08:42:16 390  8376 11330 W cgeo    : 	at cgeo geocaching maps mapsforge v6 caches AbstractCachesOverlay syncLayers(AbstractCachesOverlay java:330)_x000D_
12 21 08:42:16 390  8376 11330 W cgeo    : 	at cgeo geocaching maps mapsforge v6 caches AbstractCachesOverlay update(AbstractCachesOverlay java:184)_x000D_
12 21 08:42:16 390  8376 11330 W cgeo    : 	at cgeo geocaching maps mapsforge v6 caches LiveCachesOverlay download(LiveCachesOverlay java:121)_x000D_
12 21 08:42:16 390  8376 11330 W cgeo    : 	at cgeo geocaching maps mapsforge v6 caches LiveCachesOverlay access 100(LiveCachesOverlay java:29)_x000D_
12 21 08:42:16 390  8376 11330 W cgeo    : 	at cgeo geocaching maps mapsforge v6 caches LiveCachesOverlay LoadTimerAction run(LiveCachesOverlay java:85)_x000D_
12 21 08:42:16 390  8376 11330 W cgeo    : 	at io reactivex rxjava3 core Scheduler PeriodicDirectTask run(Scheduler java:596)_x000D_
12 21 08:42:16 390  8376 11330 W cgeo    : 	at io reactivex rxjava3 core Scheduler Worker PeriodicTask run(Scheduler java:543)_x000D_
12 21 08:42:16 390  8376 11330 W cgeo    : 	at io reactivex rxjava3 internal schedulers ScheduledRunnable run(ScheduledRunnable java:65)_x000D_
12 21 08:42:16 390  8376 11330 W cgeo    : 	at io reactivex rxjava3 internal schedulers ScheduledRunnable call(ScheduledRunnable java:56)_x000D_
12 21 08:42:16 390  8376 11330 W cgeo    : 	at java util concurrent FutureTask run(FutureTask java:266)_x000D_
12 21 08:42:16 390  8376 11330 W cgeo    : 	at java util concurrent ScheduledThreadPoolExecutor ScheduledFutureTask run(ScheduledThreadPoolExecutor java:301)_x000D_
12 21 08:42:16 390  8376 11330 W cgeo    : 	at java util concurrent ThreadPoolExecutor runWorker(ThreadPoolExecutor java:1167)_x000D_
12 21 08:42:16 390  8376 11330 W cgeo    : 	at java util concurrent ThreadPoolExecutor Worker run(ThreadPoolExecutor java:641)_x000D_
12 21 08:42:16 390  8376 11330 W cgeo    : 	at java lang Thread run(Thread java:923)_x000D_
12 21 08:42:17 343  8376  8376 I cgeo geocachin: failed to find target package for overlay  system product overlay ProductOverlay oneplus framework res apk_x000D_
12 21 08:42:17 343  8376  8376 I cgeo geocachin: failed to find target package for overlay  system system ext overlay CommonOverlay oneplus framework res apk_x000D_
12 21 08:42:17 343  8376  8376 I cgeo geocachin: failed to find target package for overlay  odm overlay OdmOverlay oneplus framework res apk_x000D_
12 21 08:42:17 352  8376  8376 E cgeo geocachin: Invalid ID 0x00000000 _x000D_
12 21 08:42:17 401  8376  8376 W cgeo    :  main  Couldn t get active Locus version_x000D_
12 21 08:42:17 402  8376  8376 W cgeo    :  main  Couldn t get active Locus version_x000D_
12 21 08:42:17 404  8376  8376 E cgeo geocachin: Invalid ID 0x00000000 _x000D_
12 21 08:42:18 814  8376  8376 E cgeo geocachin: Invalid ID 0x00000000 _x000D_
12 21 08:42:18 882  8376  8376 E cgeo geocachin: Invalid ID 0x00000000 _x000D_
12 21 08:42:20 333  8376  8376 I cgeo geocachin: failed to find target package for overlay  system product overlay ProductOverlay oneplus framework res apk_x000D_
12 21 08:42:20 333  8376  8376 I cgeo geocachin: failed to find target package for overlay  system system ext overlay CommonOverlay oneplus framework res apk_x000D_
12 21 08:42:20 333  8376  8376 I cgeo geocachin: failed to find target package for overlay  odm overlay OdmOverlay oneplus framework res apk_x000D_
12 21 08:42:20 357  8376  8376 E cgeo geocachin: Invalid ID 0x00000000 _x000D_
12 21 08:42:20 372  8376  8376 E cgeo geocachin: Invalid ID 0x00000000 _x000D_
12 21 08:42:20 461  8376  8376 E cgeo geocachin: Invalid ID 0x00000000 _x000D_
12 21 08:42:20 463  8376  8376 E cgeo geocachin: Invalid ID 0x00000000 _x000D_
12 21 08:42:21 269  8376 11100 I cgeo geocachin: Background concurrent copying GC freed 440620(23MB) AllocSpace objects  71(27MB) LOS objects  6  free  354MB 378MB  paused 104us total 712 744ms_x000D_
12 21 08:42:21 623  8376 11379 I cgeo geocachin: Waiting for a blocking GC Alloc_x000D_
12 21 08:42:21 625  8376 11381 I cgeo geocachin: Waiting for a blocking GC Alloc_x000D_
12 21 08:42:21 631  8376 11380 I cgeo geocachin: Waiting for a blocking GC Alloc_x000D_
12 21 08:42:21 658  8376  8376 I cgeo geocachin: Waiting for a blocking GC Alloc_x000D_
12 21 08:42:21 659  8376 11382 I cgeo geocachin: Waiting for a blocking GC Alloc_x000D_
12 21 08:42:21 662  8376 11370 I cgeo geocachin: Waiting for a blocking GC Alloc_x000D_
12 21 08:42:21 675  8376 11331 I cgeo geocachin: Waiting for a blocking GC Alloc_x000D_
12 21 08:42:21 675  8376 11332 I cgeo geocachin: Waiting for a blocking GC Alloc_x000D_
12 21 08:42:21 703  8376 11130 I cgeo geocachin: Waiting for a blocking GC Alloc_x000D_
12 21 08:42:21 712  8376 11170 I cgeo geocachin: Waiting for a blocking GC Alloc_x000D_
12 21 08:42:21 717  8376 11126 I cgeo geocachin: Waiting for a blocking GC Alloc_x000D_
12 21 08:42:21 955  8376 11121 I cgeo geocachin: Waiting for a blocking GC Alloc_x000D_
12 21 08:42:22 464  8376 11100 I cgeo geocachin: Background young concurrent copying GC freed 1468777(84MB) AllocSpace objects  133(23MB) LOS objects  0  free  404MB 404MB  paused 203us total 1 151s_x000D_
12 21 08:42:22 464  8376 11379 I cgeo geocachin: WaitForGcToComplete blocked Alloc on HeapTrim for 841 203ms_x000D_
12 21 08:42:22 464  8376 11379 I cgeo geocachin: Starting a blocking GC Alloc_x000D_
12 21 08:42:22 464  8376 11381 I cgeo geocachin: WaitForGcToComplete blocked Alloc on HeapTrim for 839 771ms_x000D_
12 21 08:42:22 464  8376 11381 I cgeo geocachin: Starting a blocking GC Alloc_x000D_
12 21 08:42:22 465  8376 11380 I cgeo geocachin: WaitForGcToComplete blocked Alloc on HeapTrim for 833 196ms_x000D_
12 21 08:42:22 465  8376 11380 I cgeo geocachin: Starting a blocking GC Alloc_x000D_
12 21 08:42:22 465  8376  8376 I cgeo geocachin: WaitForGcToComplete blocked Alloc on HeapTrim for 806 806ms_x000D_
12 21 08:42:22 465  8376  8376 I cgeo geocachin: Starting a blocking GC Alloc_x000D_
12 21 08:42:22 465  8376 11382 I cgeo geocachin: WaitForGcToComplete blocked Alloc on HeapTrim for 805 427ms_x000D_
12 21 08:42:22 465  8376 11382 I cgeo geocachin: Starting a blocking GC Alloc_x000D_
12 21 08:42:22 465  8376 11370 I cgeo geocachin: WaitForGcToComplete blocked Alloc on HeapTrim for 803 360ms_x000D_
12 21 08:42:22 465  8376 11370 I cgeo geocachin: Starting a blocking GC Alloc_x000D_
12 21 08:42:22 465  8376 11331 I cgeo geocachin: WaitForGcToComplete blocked Alloc on HeapTrim for 790 519ms_x000D_
12 21 08:42:22 465  8376 11331 I cgeo geocachin: Starting a blocking GC Alloc_x000D_
12 21 08:42:22 470  8376 11332 I cgeo geocachin: Waiting for a blocking GC Alloc_x000D_
12 21 08:42:22 470  8376 11130 I cgeo geocachin: Waiting for a blocking GC Alloc_x000D_
12 21 08:42:22 470  8376 11170 I cgeo geocachin: Waiting for a blocking GC Alloc_x000D_
12 21 08:42:22 471  8376 11126 I cgeo geocachin: Waiting for a blocking GC Alloc_x000D_
12 21 08:42:22 471  8376 11121 I cgeo geocachin: Waiting for a blocking GC Alloc_x000D_
12 21 08:42:22 793  8376 11379 I cgeo geocachin: Waiting for a blocking GC Alloc_x000D_
12 21 08:42:22 794  8376 11381 I cgeo geocachin: Waiting for a blocking GC Alloc_x000D_
12 21 08:42:22 798  8376 11380 I cgeo geocachin: Waiting for a blocking GC Alloc_x000D_
12 21 08:42:22 809  8376  8376 I cgeo geocachin: Waiting for a blocking GC Alloc_x000D_
12 21 08:42:22 822  8376 11370 I cgeo geocachin: Waiting for a blocking GC Alloc_x000D_
12 21 08:42:22 895  8376 11134 I cgeo geocachin: Waiting for a blocking GC Alloc_x000D_
12 21 08:42:23 425  8376 11374 I cgeo geocachin: Waiting for a blocking GC Alloc_x000D_
12 21 08:42:24 407  8376 11113 I cgeo geocachin: Waiting for a blocking GC Alloc_x000D_
12 21 08:42:24 598  8376 11100 I cgeo geocachin: Background concurrent copying GC freed 1729373(89MB) AllocSpace objects  118(32MB) LOS objects  5  free  390MB 414MB  paused 129us total 2 132s_x000D_
12 21 08:42:24 598  8376 11332 I cgeo geocachin: WaitForGcToComplete blocked Alloc on HeapTrim for 2 923s_x000D_
12 21 08:42:24 599  8376 11332 I cgeo geocachin: Starting a blocking GC Alloc_x000D_
12 21 08:42:24 599  8376 11130 I cgeo geocachin: WaitForGcToComplete blocked Alloc on HeapTrim for 2 896s_x000D_
12 21 08:42:24 599  8376 11130 I cgeo geocachin: Starting a blocking GC Alloc_x000D_
12 21 08:42:24 599  8376 11170 I cgeo geocachin: WaitForGcToComplete blocked Alloc on HeapTrim for 2 886s_x000D_
12 21 08:42:24 599  8376 11170 I cgeo geocachin: Starting a blocking GC Alloc_x000D_
12 21 08:42:24 599  8376 11126 I cgeo geocachin: WaitForGcToComplete blocked Alloc on HeapTrim for 2 882s_x000D_
12 21 08:42:24 599  8376 11126 I cgeo geocachin: Starting a blocking GC Alloc_x000D_
12 21 08:42:24 599  8376 11121 I cgeo geocachin: WaitForGcToComplete blocked Alloc on HeapTrim for 2 644s_x000D_
12 21 08:42:24 599  8376 11121 I cgeo geocachin: Starting a blocking GC Alloc_x000D_
12 21 08:42:24 601  8376 11379 I cgeo geocachin: WaitForGcToComplete blocked Alloc on HeapTrim for 1 808s_x000D_
12 21 08:42:24 602  8376 11379 I cgeo geocachin: Starting a blocking GC Alloc_x000D_
12 21 08:42:24 602  8376 11381 I cgeo geocachin: WaitForGcToComplete blocked Alloc on HeapTrim for 1 807s_x000D_
12 21 08:42:24 602  8376 11381 I cgeo geocachin: Starting a blocking GC Alloc_x000D_
12 21 08:42:24 602  8376 11380 I cgeo geocachin: WaitForGcToComplete blocked Alloc on HeapTrim for 1 804s_x000D_
12 21 08:42:24 602  8376 11380 I cgeo geocachin: Starting a blocking GC Alloc_x000D_
12 21 08:42:24 602  8376  8376 I cgeo geocachin: WaitForGcToComplete blocked Alloc on HeapTrim for 1 793s_x000D_
12 21 08:42:24 602  8376  8376 I cgeo geocachin: Starting a blocking GC Alloc_x000D_
12 21 08:42:24 602  8376 11370 I cgeo geocachin: WaitForGcToComplete blocked Alloc on HeapTrim for 1 780s_x000D_
12 21 08:42:24 602  8376 11370 I cgeo geocachin: Starting a blocking GC Alloc_x000D_
12 21 08:42:24 602  8376 11134 I cgeo geocachin: WaitForGcToComplete blocked Alloc on HeapTrim for 1 707s_x000D_
12 21 08:42:24 602  8376 11134 I cgeo geocachin: Starting a blocking GC Alloc_x000D_
12 21 08:42:24 602  8376 11374 I cgeo geocachin: WaitForGcToComplete blocked Alloc on HeapTrim for 1 177s_x000D_
12 21 08:42:24 602  8376 11374 I cgeo geocachin: Starting a blocking GC Alloc_x000D_
12 21 08:42:24 603  8376 11113 I cgeo geocachin: WaitForGcToComplete blocked Alloc on HeapTrim for 195 844ms_x000D_
12 21 08:42:24 603  8376 11113 I cgeo geocachin: Starting a blocking GC Alloc_x000D_
12 21 08:42:24 628  8376  8376 E cgeo geocachin: Invalid ID 0x00000000 _x000D_
12 21 08:42:24 938  8376 11100 I cgeo geocachin: Background young concurrent copying GC freed 535681(17MB) AllocSpace objects  29(2016KB) LOS objects  0  free  414MB 414MB  paused 240us total 154 516ms_x000D_
12 21 08:42:25 282  8376 11379 I cgeo geocachin: Waiting for a blocking GC Alloc_x000D_
12 21 08:42:25 312  8376  8376 I cgeo geocachin: Waiting for a blocking GC Alloc_x000D_
12 21 08:42:25 320  8376 11105 I cgeo geocachin: Waiting for a blocking GC Alloc_x000D_
12 21 08:42:25 407  8376 11113 I cgeo geocachin: Waiting for a blocking GC Alloc_x000D_
12 21 08:42:25 424  8376 11374 I cgeo geocachin: Waiting for a blocking GC Alloc_x000D_
12 21 08:42:25 530  8376 11111 I cgeo geocachin: Waiting for a blocking GC Alloc_x000D_
12 21 08:42:25 600  8376 11130 I cgeo geocachin: Waiting for a blocking GC Alloc_x000D_
12 21 08:42:25 600  8376 11170 I cgeo geocachin: Waiting for a blocking GC Alloc_x000D_
12 21 08:42:25 605  8376 11126 I cgeo geocachin: Waiting for a blocking GC Alloc_x000D_
12 21 08:42:26 175  8376 11375 I cgeo geocachin: Waiting for a blocking GC Alloc_x000D_
12 21 08:42:26 602  8376 11121 I cgeo geocachin: Waiting for a blocking GC Alloc_x000D_
12 21 08:42:26 644  8376 11100 I cgeo geocachin: Background concurrent copying GC freed 3165246(105MB) AllocSpace objects  11(1264KB) LOS objects  5  free  405MB 429MB  paused 98us total 1 686s_x000D_
12 21 08:42:26 645  8376 11379 I cgeo geocachin: Waiting for a blocking GC Alloc_x000D_
12 21 08:42:26 649  8376 11105 I cgeo geocachin: Waiting for a blocking GC Alloc_x000D_
12 21 08:42:26 650  8376 11113 I cgeo geocachin: Waiting for a blocking GC Alloc_x000D_
12 21 08:42:26 650  8376 11374 I cgeo geocachin: Waiting for a blocking GC Alloc_x000D_
12 21 08:42:26 650  8376 11111 I cgeo geocachin: Waiting for a blocking GC Alloc_x000D_
12 21 08:42:26 650  8376 11130 I cgeo geocachin: Waiting for a blocking GC Alloc_x000D_
12 21 08:42:26 650  8376 11170 I cgeo geocachin: Waiting for a blocking GC Alloc_x000D_
12 21 08:42:26 650  8376 11126 I cgeo geocachin: Waiting for a blocking GC Alloc_x000D_
12 21 08:42:26 651  8376 11375 I cgeo geocachin: Waiting for a blocking GC Alloc_x000D_
12 21 08:42:26 651  8376 11121 I cgeo geocachin: Waiting for a blocking GC Alloc_x000D_
12 21 08:42:26 652  8376  8376 I cgeo geocachin: Waiting for a blocking GC Alloc_x000D_
12 21 08:42:26 652  8376 11379 I cgeo geocachin: WaitForGcToComplete blocked Alloc on HeapTrim for 1 369s_x000D_
12 21 08:42:26 652  8376 11379 I cgeo geocachin: Starting a blocking GC Alloc_x000D_
12 21 08:42:26 653  8376 11105 I cgeo geocachin: WaitForGcToComplete blocked Alloc on HeapTrim for 1 332s_x000D_
12 21 08:42:26 653  8376 11105 I cgeo geocachin: Starting a blocking GC Alloc_x000D_
12 21 08:42:26 653  8376 11113 I cgeo geocachin: WaitForGcToComplete blocked Alloc on HeapTrim for 1 245s_x000D_
12 21 08:42:26 653  8376 11113 I cgeo geocachin: Starting a blocking GC Alloc_x000D_
12 21 08:42:26 653  8376 11374 I cgeo geocachin: WaitForGcToComplete blocked Alloc on HeapTrim for 1 228s_x000D_
12 21 08:42:26 653  8376 11374 I cgeo geocachin: Starting a blocking GC Alloc_x000D_
12 21 08:42:26 653  8376 11111 I cgeo geocachin: WaitForGcToComplete blocked Alloc on HeapTrim for 1 123s_x000D_
12 21 08:42:26 653  8376 11111 I cgeo geocachin: Starting a blocking GC Alloc_x000D_
12 21 08:42:26 653  8376 11130 I cgeo geocachin: WaitForGcToComplete blocked Alloc on HeapTrim for 1 053s_x000D_
12 21 08:42:26 654  8376 11130 I cgeo geocachin: Starting a blocking GC Alloc_x000D_
12 21 08:42:26 654  8376 11170 I cgeo geocachin: WaitForGcToComplete blocked Alloc on HeapTrim for 1 053s_x000D_
12 21 08:42:26 654  8376 11170 I cgeo geocachin: Starting a blocking GC Alloc_x000D_
12 21 08:42:26 654  8376 11126 I cgeo geocachin: WaitForGcToComplete blocked Alloc on HeapTrim for 1 049s_x000D_
12 21 08:42:26 654  8376 11126 I cgeo geocachin: Starting a blocking GC Alloc_x000D_
12 21 08:42:26 654  8376 11375 I cgeo geocachin: WaitForGcToComplete blocked Alloc on HeapTrim for 479 545ms_x000D_
12 21 08:42:26 654  8376 11375 I cgeo geocachin: Starting a blocking GC Alloc_x000D_
12 21 08:42:26 654  8376 11121 I cgeo geocachin: WaitForGcToComplete blocked Alloc on HeapTrim for 52 114ms_x000D_
12 21 08:42:26 654  8376 11121 I cgeo geocachin: Starting a blocking GC Alloc_x000D_
12 21 08:42:26 655  8376  8376 I cgeo geocachin: WaitForGcToComplete blocked Alloc on HeapTrim for 1 342s_x000D_
12 21 08:42:26 655  8376  8376 I cgeo geocachin: Starting a blocking GC Alloc_x000D_
12 21 08:42:27 222  8376 11379 I cgeo geocachin: Waiting for a blocking GC Alloc_x000D_
12 21 08:42:27 335  8376  8376 I cgeo geocachin: Waiting for a blocking GC Alloc_x000D_
12 21 08:42:27 336  8376 11370 I cgeo geocachin: Waiting for a blocking GC Alloc_x000D_
12 21 08:42:27 407  8376 11113 I cgeo geocachin: Waiting for a blocking GC Alloc_x000D_
12 21 08:42:27 655  8376 11130 I cgeo geocachin: Waiting for a blocking GC Alloc_x000D_
12 21 08:42:27 656  8376 11126 I cgeo geocachin: Waiting for a blocking GC Alloc_x000D_
12 21 08:42:27 657  8376 11170 I cgeo geocachin: Waiting for a blocking GC Alloc_x000D_
12 21 08:42:28 656  8376 11121 I cgeo geocachin: Waiting for a blocking GC Alloc_x000D_
12 21 08:42:28 841  8376 11100 I cgeo geocachin: Background concurrent copying GC freed 2031599(72MB) AllocSpace objects  4(80KB) LOS objects  5  free  439MB 463MB  paused 80us total 1 878s_x000D_
12 21 08:42:28 842  8376 11379 I cgeo geocachin: WaitForGcToComplete blocked Alloc on HeapTrim for 1 619s_x000D_
12 21 08:42:28 842  8376 11379 I cgeo geocachin: Starting a blocking GC Alloc_x000D_
12 21 08:42:28 842  8376  8376 I cgeo geocachin: WaitForGcToComplete blocked Alloc on HeapTrim for 1 506s_x000D_
12 21 08:42:28 842  8376  8376 I cgeo geocachin: Starting a blocking GC Alloc_x000D_
12 21 08:42:28 842  8376 11370 I cgeo geocachin: WaitForGcToComplete blocked Alloc on HeapTrim for 1 506s_x000D_
12 21 08:42:28 842  8376 11370 I cgeo geocachin: Starting a blocking GC Alloc_x000D_
12 21 08:42:28 843  8376 11113 I cgeo geocachin: WaitForGcToComplete blocked Alloc on HeapTrim for 1 435s_x000D_
12 21 08:42:28 843  8376 11113 I cgeo geocachin: Starting a blocking GC Alloc_x000D_
12 21 08:42:28 843  8376 11130 I cgeo geocachin: WaitForGcToComplete blocked Alloc on HeapTrim for 1 188s_x000D_
12 21 08:42:28 843  8376 11130 I cgeo geocachin: Starting a blocking GC Alloc_x000D_
12 21 08:42:28 843  8376 11126 I cgeo geocachin: WaitForGcToComplete blocked Alloc on HeapTrim for 1 187s_x000D_
12 21 08:42:28 843  8376 11126 I cgeo geocachin: Starting a blocking GC Alloc_x000D_
12 21 08:42:28 843  8376 11170 I cgeo geocachin: WaitForGcToComplete blocked Alloc on HeapTrim for 1 186s_x000D_
12 21 08:42:28 844  8376 11170 I cgeo geocachin: Starting a blocking GC Alloc_x000D_
12 21 08:42:28 844  8376 11121 I cgeo geocachin: WaitForGcToComplete blocked Alloc on HeapTrim for 187 553ms_x000D_
12 21 08:42:28 844  8376 11121 I cgeo geocachin: Starting a blocking GC Alloc_x000D_
12 21 08:42:28 865  8376  8376 E cgeo geocachin: Invalid ID 0x00000000 _x000D_
12 21 08:42:29 495  8376 11379 I cgeo geocachin: Waiting for a blocking GC Alloc_x000D_
12 21 08:42:29 580  8376  8376 I cgeo geocachin: Waiting for a blocking GC Alloc_x000D_
12 21 08:42:29 654  8376 11111 I cgeo geocachin: Waiting for a blocking GC Alloc_x000D_
12 21 08:42:29 675  8376 11374 I cgeo geocachin: Waiting for a blocking GC Alloc_x000D_
12 21 08:42:29 844  8376 11130 I cgeo geocachin: Waiting for a blocking GC Alloc_x000D_
12 21 08:42:29 845  8376 11121 I cgeo geocachin: Waiting for a blocking GC Alloc_x000D_
12 21 08:42:29 845  8376 11170 I cgeo geocachin: Waiting for a blocking GC Alloc_x000D_
12 21 08:42:29 845  8376 11126 I cgeo geocachin: Waiting for a blocking GC Alloc_x000D_
12 21 08:42:30 175  8376 11375 I cgeo geocachin: Waiting for a blocking GC Alloc_x000D_
12 21 08:42:31 024  8376 11104 I cgeo geocachin: Waiting for a blocking GC Alloc_x000D_
12 21 08:42:31 356  8376 11100 I cgeo geocachin: Background concurrent copying GC freed 1122092(42MB) AllocSpace objects  4(80KB) LOS objects  4  free  469MB 493MB  paused 67us total 2 029s_x000D_
12 21 08:42:31 356  8376 11379 I cgeo geocachin: WaitForGcToComplete blocked Alloc on HeapTrim for 1 860s_x000D_
12 21 08:42:31 356  8376 11379 I cgeo geocachin: Starting a blocking GC Alloc_x000D_
12 21 08:42:31 356  8376  8376 I cgeo geocachin: WaitForGcToComplete blocked Alloc on HeapTrim for 1 776s_x000D_
12 21 08:42:31 356  8376  8376 I cgeo geocachin: Starting a blocking GC Alloc_x000D_
12 21 08:42:31 358  8376 11111 I cgeo geocachin: WaitForGcToComplete blocked Alloc on HeapTrim for 1 703s_x000D_
12 21 08:42:31 358  8376 11111 I cgeo geocachin: Starting a blocking GC Alloc_x000D_
12 21 08:42:31 358  8376 11374 I cgeo geocachin: WaitForGcToComplete blocked Alloc on HeapTrim for 1 683s_x000D_
12 21 08:42:31 358  8376 11374 I cgeo geocachin: Starting a blocking GC Alloc_x000D_
12 21 08:42:31 358  8376 11130 I cgeo geocachin: WaitForGcToComplete blocked Alloc on HeapTrim for 1 513s_x000D_
12 21 08:42:31 359  8376 11130 I cgeo geocachin: Starting a blocking GC Alloc_x000D_
12 21 08:42:31 359  8376 11170 I cgeo geocachin: WaitForGcToComplete blocked Alloc on HeapTrim for 1 514s_x000D_
12 21 08:42:31 359  8376 11170 I cgeo geocachin: Starting a blocking GC Alloc_x000D_
12 21 08:42:31 359  8376 11121 I cgeo geocachin: WaitForGcToComplete blocked Alloc on HeapTrim for 1 514s_x000D_
12 21 08:42:31 359  8376 11121 I cgeo geocachin: Starting a blocking GC Alloc_x000D_
12 21 08:42:31 361  8376 11126 I cgeo geocachin: WaitForGcToComplete blocked Alloc on HeapTrim for 1 515s_x000D_
12 21 08:42:31 361  8376 11126 I cgeo geocachin: Starting a blocking GC Alloc_x000D_
12 21 08:42:31 361  8376 11375 I cgeo geocachin: WaitForGcToComplete blocked Alloc on HeapTrim for 1 186s_x000D_
12 21 08:42:31 361  8376 11375 I cgeo geocachin: Starting a blocking GC Alloc_x000D_
12 21 08:42:31 361  8376 11104 I cgeo geocachin: WaitForGcToComplete blocked Alloc on HeapTrim for 336 877ms_x000D_
12 21 08:42:31 361  8376 11104 I cgeo geocachin: Starting a blocking GC Alloc_x000D_
12 21 08:42:31 468  8376  8376 I cgeo geocachin: failed to find target package for overlay  system product overlay ProductOverlay oneplus framework res apk_x000D_
12 21 08:42:31 468  8376  8376 I cgeo geocachin: failed to find target package for overlay  system system ext overlay CommonOverlay oneplus framework res apk_x000D_
12 21 08:42:31 468  8376  8376 I cgeo geocachin: failed to find target package for overlay  odm overlay OdmOverlay oneplus framework res apk_x000D_
12 21 08:42:31 499  8376  8376 E cgeo geocachin: Invalid ID 0x00000000 _x000D_
12 21 08:42:31 510  8376  8376 E cgeo geocachin: Invalid ID 0x00000000 _x000D_
12 21 08:42:31 511  8376  8376 E cgeo geocachin: Invalid ID 0x00000000 _x000D_
12 21 08:42:31 554  8376 11100 I cgeo geocachin: Background young concurrent copying GC freed 595904(18MB) AllocSpace objects  14(280KB) LOS objects  1  free  488MB 493MB  paused 218us total 106 183ms_x000D_
12 21 08:42:31 611  8376  8376 W cgeo    :  main  No center  cannot draw scale_x000D_
12 21 08:42:31 625  8376  8376 E cgeo geocachin: Invalid ID 0x00000000 _x000D_
12 21 08:42:31 625  8376  8376 E cgeo geocachin: Invalid ID 0x00000000 _x000D_
12 21 08:42:31 632  8376  8376 E cgeo geocachin: Invalid ID 0x00000000 _x000D_
12 21 08:42:31 638  8376  8376 E cgeo geocachin: Invalid ID 0x00000000 _x000D_
12 21 08:42:31 650  8376  8376 W cgeo    :  main  No center  cannot draw scale_x000D_
12 21 08:42:31 674  8376  8376 W cgeo    :  main  No center  cannot draw scale_x000D_
12 21 08:42:31 682  8376 11100 I cgeo geocachin: Background young concurrent copying GC freed 451105(14MB) AllocSpace objects  6(184KB) LOS objects  0  free  492MB 493MB  paused 103us total 107 614ms_x000D_
12 21 08:42:31 954  8376 11379 I cgeo geocachin: Waiting for a blocking GC Alloc_x000D_
12 21 08:42:31 958  8376 11407 I cgeo geocachin: Waiting for a blocking GC Alloc_x000D_
12 21 08:42:32 016  8376  8376 I cgeo geocachin: Waiting for a blocking GC Alloc_x000D_
12 21 08:42:32 027  8376 11184 I cgeo geocachin: Waiting for a blocking GC Alloc_x000D_
12 21 08:42:32 027  8376 11310 I cgeo geocachin: Waiting for a blocking GC Alloc_x000D_
12 21 08:42:32 030  8376 11108 I cgeo geocachin: Waiting for a blocking GC Alloc_x000D_
12 21 08:42:32 169  8376 11107 I cgeo geocachin: Waiting for a blocking GC Alloc_x000D_
12 21 08:42:32 174  8376 11374 I cgeo geocachin: Waiting for a blocking GC Alloc_x000D_
12 21 08:42:32 208  8376 11134 I cgeo geocachin: Waiting for a blocking GC Alloc_x000D_
12 21 08:42:32 360  8376 11130 I cgeo geocachin: Waiting for a blocking GC Alloc_x000D_
12 21 08:42:32 361  8376 11121 I cgeo geocachin: Waiting for a blocking GC Alloc_x000D_
12 21 08:42:32 361  8376 11170 I cgeo geocachin: Waiting for a blocking GC Alloc_x000D_
12 21 08:42:32 364  8376 11126 I cgeo geocachin: Waiting for a blocking GC Alloc_x000D_
12 21 08:42:32 407  8376 11113 I cgeo geocachin: Waiting for a blocking GC Alloc_x000D_
12 21 08:42:33 001  8376 11105 I cgeo geocachin: Waiting for a blocking GC Alloc_x000D_
12 21 08:42:33 425  8376 11375 I cgeo geocachin: Waiting for a blocking GC Alloc_x000D_
12 21 08:42:33 574  8376 11408 I cgeo geocachin: Waiting for a blocking GC Alloc_x000D_
12 21 08:42:33 593  8376 11412 I cgeo geocachin: Waiting for a blocking GC Alloc_x000D_
12 21 08:42:34 153  8376 11100 I cgeo geocachin: Clamp target GC heap from 516MB to 512MB_x000D_
12 21 08:42:34 153  8376 11100 I cgeo geocachin: Background concurrent copying GC freed 578553(18MB) AllocSpace objects  25(960KB) LOS objects  3  free  492MB 512MB  paused 67us total 2 243s_x000D_
12 21 08:42:34 153  8376 11379 I cgeo geocachin: WaitForGcToComplete blocked Alloc on HeapTrim for 2 198s_x000D_
12 21 08:42:34 153  8376 11379 I cgeo geocachin: Starting a blocking GC Alloc_x000D_
12 21 08:42:34 153  8376 11407 I cgeo geocachin: WaitForGcToComplete blocked Alloc on HeapTrim for 2 195s_x000D_
12 21 08:42:34 153  8376 11407 I cgeo geocachin: Starting a blocking GC Alloc_x000D_
12 21 08:42:34 153  8376  8376 I cgeo geocachin: WaitForGcToComplete blocked Alloc on HeapTrim for 2 136s_x000D_
12 21 08:42:34 153  8376  8376 I cgeo geocachin: Starting a blocking GC Alloc_x000D_
12 21 08:42:34 153  8376 11184 I cgeo geocachin: WaitForGcToComplete blocked Alloc on HeapTrim for 2 126s_x000D_
12 21 08:42:34 154  8376 11184 I cgeo geocachin: Starting a blocking GC Alloc_x000D_
12 21 08:42:34 156  8376 11310 I cgeo geocachin: WaitForGcToComplete blocked Alloc on HeapTrim for 2 128s_x000D_
12 21 08:42:34 156  8376 11310 I cgeo geocachin: Starting a blocking GC Alloc_x000D_
12 21 08:42:34 156  8376 11108 I cgeo geocachin: WaitForGcToComplete blocked Alloc on HeapTrim for 2 125s_x000D_
12 21 08:42:34 156  8376 11108 I cgeo geocachin: Starting a blocking GC Alloc_x000D_
12 21 08:42:34 156  8376 11107 I cgeo geocachin: WaitForGcToComplete blocked Alloc on HeapTrim for 1 987s_x000D_
12 21 08:42:34 156  8376 11107 I cgeo geocachin: Starting a blocking GC Alloc_x000D_
12 21 08:42:34 156  8376 11374 I cgeo geocachin: WaitForGcToComplete blocked Alloc on HeapTrim for 1 982s_x000D_
12 21 08:42:34 156  8376 11374 I cgeo geocachin: Starting a blocking GC Alloc_x000D_
12 21 08:42:34 156  8376 11134 I cgeo geocachin: WaitForGcToComplete blocked Alloc on HeapTrim for 1 948s_x000D_
12 21 08:42:34 156  8376 11134 I cgeo geocachin: Starting a blocking GC Alloc_x000D_
12 21 08:42:34 164  8376 11130 I cgeo geocachin: WaitForGcToComplete blocked Alloc on HeapTrim for 1 804s_x000D_
12 21 08:42:34 164  8376 11130 I cgeo geocachin: Starting a blocking GC Alloc_x000D_
12 21 08:42:34 164  8376 11121 I cgeo geocachin: WaitForGcToComplete blocked Alloc on HeapTrim for 1 803s_x000D_
12 21 08:42:34 164  8376 11121 I cgeo geocachin: Starting a blocking GC Alloc_x000D_
12 21 08:42:34 165  8376 11170 I cgeo geocachin: WaitForGcToComplete blocked Alloc on HeapTrim for 1 804s_x000D_
12 21 08:42:34 166  8376 11170 I cgeo geocachin: Starting a blocking GC Alloc_x000D_
12 21 08:42:34 166  8376 11126 I cgeo geocachin: WaitForGcToComplete blocked Alloc on HeapTrim for 1 801s_x000D_
12 21 08:42:34 166  8376 11126 I cgeo geocachin: Starting a blocking GC Alloc_x000D_
12 21 08:42:34 167  8376 11113 I cgeo geocachin: WaitForGcToComplete blocked Alloc on HeapTrim for 1 759s_x000D_
12 21 08:42:34 167  8376 11113 I cgeo geocachin: Starting a blocking GC Alloc_x000D_
12 21 08:42:34 167  8376 11105 I cgeo geocachin: WaitForGcToComplete blocked Alloc on HeapTrim for 1 166s_x000D_
12 21 08:42:34 167  8376 11105 I cgeo geocachin: Starting a blocking GC Alloc_x000D_
12 21 08:42:34 167  8376 11375 I cgeo geocachin: WaitForGcToComplete blocked Alloc on HeapTrim for 742 333ms_x000D_
12 21 08:42:34 167  8376 11375 I cgeo geocachin: Starting a blocking GC Alloc_x000D_
12 21 08:42:34 168  8376 11408 I cgeo geocachin: WaitForGcToComplete blocked Alloc on HeapTrim for 593 765ms_x000D_
12 21 08:42:34 168  8376 11408 I cgeo geocachin: Starting a blocking GC Alloc_x000D_
12 21 08:42:34 168  8376 11412 I cgeo geocachin: WaitForGcToComplete blocked Alloc on HeapTrim for 575 489ms_x000D_
12 21 08:42:34 168  8376 11412 I cgeo geocachin: Starting a blocking GC Alloc_x000D_
12 21 08:42:34 223  8376 11407 I cgeo geocachin: Waiting for a blocking GC Alloc_x000D_
12 21 08:42:34 223  8376 11379 I cgeo geocachin: Waiting for a blocking GC Alloc_x000D_
12 21 08:42:34 223  8376 11224 I cgeo geocachin: Waiting for a blocking GC Alloc_x000D_
12 21 08:42:34 223  8376 11189 I cgeo geocachin: Waiting for a blocking GC Alloc_x000D_
12 21 08:42:34 294  8376 11407 I cgeo geocachin: WaitForGcToComplete blocked Alloc on HeapTrim for 71 170ms_x000D_
12 21 08:42:34 294  8376 11407 I cgeo geocachin: Starting a blocking GC Alloc_x000D_
12 21 08:42:34 294  8376 11379 I cgeo geocachin: WaitForGcToComplete blocked Alloc on HeapTrim for 71 165ms_x000D_
12 21 08:42:34 294  8376 11379 I cgeo geocachin: Starting a blocking GC Alloc_x000D_
12 21 08:42:34 294  8376 11224 I cgeo geocachin: WaitForGcToComplete blocked Alloc on HeapTrim for 71 194ms_x000D_
12 21 08:42:34 294  8376 11224 I cgeo geocachin: Starting a blocking GC Alloc_x000D_
12 21 08:42:34 294  8376 11189 I cgeo geocachin: WaitForGcToComplete blocked Alloc on HeapTrim for 71 652ms_x000D_
12 21 08:42:34 294  8376 11189 I cgeo geocachin: Starting a blocking GC Alloc_x000D_
12 21 08:42:34 457  8376 11379 I cgeo geocachin: Waiting for a blocking GC Alloc_x000D_
12 21 08:42:34 457  8376  8376 I cgeo geocachin: Waiting for a blocking GC Alloc_x000D_
12 21 08:42:34 458  8376 11110 I cgeo geocachin: Waiting for a blocking GC ProfileSaver_x000D_
12 21 08:42:34 464  8376 11407 I cgeo geocachin: Waiting for a blocking GC Alloc_x000D_
12 21 08:42:34 526  8376 11379 I cgeo geocachin: WaitForGcToComplete blocked Alloc on HeapTrim for 68 445ms_x000D_
12 21 08:42:34 526  8376 11379 I cgeo geocachin: Starting a blocking GC Alloc_x000D_
12 21 08:42:34 526  8376  8376 I cgeo geocachin: WaitForGcToComplete blocked Alloc on HeapTrim for 68 359ms_x000D_
12 21 08:42:34 526  8376  8376 I cgeo geocachin: Starting a blocking GC Alloc_x000D_
12 21 08:42:34 526  8376 11110 I cgeo geocachin: WaitForGcToComplete blocked ProfileSaver on HeapTrim for 68 208ms_x000D_
12 21 08:42:34 526  8376 11407 I cgeo geocachin: Waiting for a blocking GC Alloc_x000D_
12 21 08:42:34 529  8376 11407 I cgeo geocachin: WaitForGcToComplete blocked Alloc on ProfileSaver for 65 263ms_x000D_
12 21 08:42:34 529  8376 11407 I cgeo geocachin: Starting a blocking GC Alloc_x000D_
12 21 08:42:34 824  8376 11379 I cgeo geocachin: Waiting for a blocking GC Alloc_x000D_
12 21 08:42:34 824  8376 11209 I cgeo geocachin: Waiting for a blocking GC Alloc_x000D_
12 21 08:42:34 824  8376  8376 I cgeo geocachin: Waiting for a blocking GC Alloc_x000D_
12 21 08:42:34 837  8376 11407 I cgeo geocachin: Waiting for a blocking GC Alloc_x000D_
12 21 08:42:34 840  8376 11412 I cgeo geocachin: Waiting for a blocking GC Alloc_x000D_
12 21 08:42:34 899  8376 11379 I cgeo geocachin: WaitForGcToComplete blocked Alloc on ProfileSaver for 75 409ms_x000D_
12 21 08:42:34 899  8376 11379 I cgeo geocachin: Starting a blocking GC Alloc_x000D_
12 21 08:42:34 899  8376 11209 I cgeo geocachin: WaitForGcToComplete blocked Alloc on ProfileSaver for 75 423ms_x000D_
12 21 08:42:34 899  8376 11209 I cgeo geocachin: Starting a blocking GC Alloc_x000D_
12 21 08:42:34 900  8376  8376 I cgeo geocachin: WaitForGcToComplete blocked Alloc on ProfileSaver for 75 333ms_x000D_
12 21 08:42:34 900  8376  8376 I cgeo geocachin: Starting a blocking GC Alloc_x000D_
12 21 08:42:34 900  8376 11407 I cgeo geocachin: WaitForGcToComplete blocked Alloc on ProfileSaver for 62 506ms_x000D_
12 21 08:42:34 900  8376 11407 I cgeo geocachin: Starting a</t>
  </si>
  <si>
    <t>MuntashirAkon-AppManager-650</t>
  </si>
  <si>
    <t>App list is empty on `AM Debug v2.7.0 Run#1637`</t>
  </si>
  <si>
    <t xml:space="preserve">    _x000D_
Your issue will be closed without warning if you don t check at least two items _x000D_
   _x000D_
   x  I know what my device  OS and App Manager versions are_x000D_
   x  I know how to take logs_x000D_
      I know how to reproduce the issue which may not be specific to my device_x000D_
_x000D_
  Describe the bug  _x000D_
When starting the app  the app list is not populated with apps _x000D_
_x000D_
  To Reproduce  _x000D_
Steps to reproduce the behaviour:_x000D_
1  Start AM Debug _x000D_
2  Wait for the loading animation to stop _x000D_
3  See that the app list is empty _x000D_
_x000D_
  Expected behavior  _x000D_
App list should be populated with the installed apps _x000D_
_x000D_
  Screenshots  _x000D_
 App list while loading App list after loading stopped _x000D_
 : : : : _x000D_
   image (https:  user images githubusercontent com 83356418 147596692 216769a0 4cbd 4750 8771 33f8ad07475c png)   image (https:  user images githubusercontent com 83356418 147596699 e5a618c8 b726 4623 9e2c 55ddb2b1168e png) _x000D_
_x000D_
  Crash logs  _x000D_
The app itself didn t crash so I don t have crash stack traces  and   data local tmp  does not contain log files that were recently updated _x000D_
_x000D_
  Device info  _x000D_
   Device: Xiaomi Redmi 3S_x000D_
   OS Version: Android 6_x000D_
   App Manager Version: v2 7 0 (Debug  Run 1637)_x000D_
   Mode: root_x000D_
_x000D_
  Additional context  _x000D_
Add any other context about the problem here _x000D_
</t>
  </si>
  <si>
    <t>TeamNewPipe-NewPipe-7594</t>
  </si>
  <si>
    <t>rotating screen does not always scale the video to fit the 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</si>
  <si>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While in portrait mode  open a video and start it playing _x000D_
2   Rotate the phone to landscape mode_x000D_
_x000D_
_x000D_
_x000D_
_x000D_
    Actual behavior_x000D_
     Tell us what happens with the steps given above     _x000D_
Newpipe fills the entire screen   However  approximately 40  of the time  the video does not scale to fit the entire screen   Instead  it stays the same relative size as it was in portrait mode   In addition  when you rotate the phone back to portrait  for a split second it finally scales the video to fit the screen  before returning to the normal portrait view   _x000D_
_x000D_
AFAICT  this problem never occurs if the video is  paused  when you rotate the screen   i e  a workaround to this bug is to pause the video  rotate to landscape  then resume the video   _x000D_
_x000D_
_x000D_
    Expected behavior_x000D_
     Tell us what you expect to happen     _x000D_
Newpipe should fill the screen and scale the video to fit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Video of this occurring:_x000D_
https:  youtu be jRj7oGCVFkg_x000D_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There s no error  would be happy to install a debug build if that s what it takes to get a log _x000D_
_x000D_
_x000D_
     Please fill this section if you did not provide a log generated by NewPipe    _x000D_
_x000D_
    Device info_x000D_
_x000D_
   Android version Custom ROM version:   12_x000D_
   Device model:  Pixel 3 XL_x000D_
</t>
  </si>
  <si>
    <t>PojavLauncherTeam-PojavLauncher-2475</t>
  </si>
  <si>
    <t xml:space="preserve">[BUG] cannot launch 1.18.1 </t>
  </si>
  <si>
    <t xml:space="preserve">    Describe the bug
When I launch 1 18 1 it crashes
    The log file and images videos
 latestlog txt (https:  github com PojavLauncherTeam PojavLauncher files 7784213 latestlog txt)_x000D_
    Steps To Reproduce
   markdown
2  Launch 1 18 1_x000D_
3  Crash
    Expected Behavior
You know     I expected it to launch
    Platform
   markdown
  Device model:galaxy tab a _x000D_
  CPU architecture: armv8l _x000D_
  Android version: 11_x000D_
  PojavLauncher version: crouscrus v3 openjdk_x000D_
   extras   _x000D_
  jre: 17
    Anything else 
Nope    </t>
  </si>
  <si>
    <t>TeamNewPipe-NewPipe-7590</t>
  </si>
  <si>
    <t>Choppy playback</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</si>
  <si>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 video_x000D_
2  Press on play_x000D_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playback is choppy  Note that I am not talking about the intermittent loading issue _x000D_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user images githubusercontent com 50382414 147510592 d7420ef8 0757 4f0c 8e66 c3f3d6746123 mp4_x000D_
_x000D_
_x000D_
https:  user images githubusercontent com 50382414 147511185 b3cdf80f 0cf1 4320 87f1 6aa76995666e mp4_x000D_
_x000D_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10 (lineageos without google play)_x000D_
   Device model: Xiaomi Mi 9T Pro_x000D_
  Newpipe version 0 21 15</t>
  </si>
  <si>
    <t>nextcloud-talk-android-1751</t>
  </si>
  <si>
    <t>Additional fixes related to notification channels</t>
  </si>
  <si>
    <t xml:space="preserve">Additions to PR  1728_x000D_
_x000D_
  1  Remove unused notification channels during upgrade  _x000D_
_x000D_
I have not correctly considered app upgrade  There were the following unintended side effects when upgrading:_x000D_
_x000D_
  the old  Calls notification channel  was still visible in the system UI but not used _x000D_
  the channel  Message notification channel  was not renamed to  Messages  as expected (registering the channel again with the same ID but a new name does not change the name of the channel) _x000D_
_x000D_
The new code:_x000D_
_x000D_
  removes all unused notification channels _x000D_
  uses a new ID (NOTIFICATION CHANNEL MESSAGES V4) for the  Messages  channel _x000D_
_x000D_
  2  App would crash on pre Oreo devices with  No sound  setting  _x000D_
_x000D_
Null ringtone Uri must be allowed </t>
  </si>
  <si>
    <t>nextcloud-android-9623</t>
  </si>
  <si>
    <t>App crashes every time when accessing folder with large amount of newly uploaded photos</t>
  </si>
  <si>
    <t xml:space="preserve">    Steps to reproduce_x000D_
1  Share a folder with another user in your Nextcloud environment_x000D_
2  Add a few thousand photos to said folder_x000D_
3  Try to access said folder with the Android Nextcloud App_x000D_
_x000D_
    Expected behaviour_x000D_
The app should not crash_x000D_
    Actual behaviour_x000D_
It does crash    every time I try to access that folder_x000D_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11_x000D_
_x000D_
Device model: Samsung Galaxy S10 Lite_x000D_
_x000D_
Stock or customized system: Stock_x000D_
_x000D_
Nextcloud app version: 3 18 0_x000D_
_x000D_
Nextcloud server version: 22 2 0_x000D_
_x000D_
Reverse proxy:_x000D_
_x000D_
    Logs_x000D_
     Web server error log_x000D_
   _x000D_
Insert your webserver log here_x000D_
   _x000D_
_x000D_
     Nextcloud log (data nextcloud log)_x000D_
   _x000D_
Could not find error logs location on phone or on app_x000D_
   _x000D_
  NOTE:   Be super sure to remove sensitive data like passwords  note that everybody can look here  You can use the Issue Template application to prefill some of the required information: https:  apps nextcloud com apps issuetemplate_x000D_
</t>
  </si>
  <si>
    <t>nextcloud-android-9621</t>
  </si>
  <si>
    <t xml:space="preserve">unresponsive, then crash </t>
  </si>
  <si>
    <t xml:space="preserve">The android app freezes when opening  after drawing the updating circle thing  It then adds a large chunk of base64 encoded html data at the top of the file list  _x000D_
_x000D_
The app remains unresponsive and after a bit I get a crash message and invited to report it here _x000D_
_x000D_
    Steps to reproduce_x000D_
1  Have a nextcloud instance (Ubuntu snap  so up to date)_x000D_
2  Open the nextcloud app for the first time in a long time_x000D_
_x000D_
_x000D_
    Expected behaviour_x000D_
Not doing the below would be nice :)_x000D_
_x000D_
    Actual behaviour_x000D_
_x000D_
 The app freezes  shows a base64 encoded chunk of html data at the top of the file list  then crashes _x000D_
_x000D_
_x000D_
_x000D_
    Can you reproduce this problem on https:  try nextcloud com _x000D_
_x000D_
Not applicable or doable as the app crashes on start _x000D_
_x000D_
    Environment data_x000D_
Android version: 12_x000D_
_x000D_
Device model: pixel 5_x000D_
_x000D_
Stock or customized system: stock (YouTube Vanced is installed)_x000D_
_x000D_
Nextcloud app version: 3 18 1_x000D_
_x000D_
Nextcloud server version: 22 3 3snap2 (Ubuntu snap install)_x000D_
_x000D_
Reverse proxy: nginx_x000D_
_x000D_
    Logs_x000D_
     Web server error log_x000D_
_x000D_
I m on my phone  From what I can see there is only a billion lines of the following spammed in the log:_x000D_
_x000D_
   _x000D_
Debug files sha     appinfo app php is deprecated  use  OCP AppFramework Bootstrap IBootstrap on the application class instead_x000D_
   _x000D_
_x000D_
     Nextcloud log (data nextcloud log)_x000D_
   _x000D_
             CAUSE OF ERROR             _x000D_
_x000D_
java lang RuntimeException: android os TransactionTooLargeException: data parcel size 826940 bytes_x000D_
	at android app ActivityClient activityStopped(ActivityClient java:86)_x000D_
	at android app servertransaction PendingTransactionActions StopInfo run(PendingTransactionActions java:143)_x000D_
	at android os Handler handleCallback(Handler java:938)_x000D_
	at android os Handler dispatchMessage(Handler java:99)_x000D_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Caused by: android os TransactionTooLargeException: data parcel size 826940 bytes_x000D_
	at android os BinderProxy transactNative(Native Method)_x000D_
	at android os BinderProxy transact(BinderProxy java:571)_x000D_
	at android app IActivityClientController Stub Proxy activityStopped(IActivityClientController java:1297)_x000D_
	at android app ActivityClient activityStopped(ActivityClient java:83)_x000D_
	    9 more_x000D_
_x000D_
             APP INFORMATION             _x000D_
ID: com nextcloud client_x000D_
Version: 30180190_x000D_
Build flavor: gplay_x000D_
_x000D_
             DEVICE INFORMATION             _x000D_
Brand: google_x000D_
Device: redfin_x000D_
Model: Pixel 5_x000D_
Id: SQ1A 211205 008_x000D_
Product: redfin_x000D_
_x000D_
             FIRMWARE             _x000D_
SDK: 31_x000D_
Release: 12_x000D_
Incremental: 7888514_x000D_
_x000D_
   _x000D_
  NOTE:   Be super sure to remove sensitive data like passwords  note that everybody can look here  You can use the Issue Template application to prefill some of the required information: https:  apps nextcloud com apps issuetemplate_x000D_
</t>
  </si>
  <si>
    <t>dedis-popstellar-702</t>
  </si>
  <si>
    <t>[BUG] application crash when cast vote</t>
  </si>
  <si>
    <t xml:space="preserve">    Description (Actual behavior)_x000D_
During an election if we press cast vote without selecting one of the options available  the application crashes  It happens with FE1_x000D_
_x000D_
    Expected behavior_x000D_
The application is not expected to crash _x000D_
_x000D_
    How to reproduce_x000D_
1  Create an election_x000D_
2  Press cast a vote without selecting one of the options_x000D_
_x000D_
    Version   Environment_x000D_
This bug was reproduced on:_x000D_
  Commit: 83e4706e86af17a41d725a2f0e620327fb0d7e43_x000D_
  macOS_x000D_
_x000D_
      Front ends:_x000D_
   x  Fe1 Web (please include browser s names   version)_x000D_
      Fe2 Android (please specify if phone or emulation  and Android version)_x000D_
      Not applicable_x000D_
_x000D_
      Back ends:_x000D_
   x  Be1 Go_x000D_
      Be2 Scala_x000D_
      Not applicable_x000D_
_x000D_
_x000D_
    Workaround_x000D_
Don t forget to select your option_x000D_
_x000D_
    Impact_x000D_
crash of the application_x000D_
_x000D_
    Possible root cause_x000D_
 img width  1134  alt  Screen Shot 2021 12 26 at 11 21 41 pm  src  https:  user images githubusercontent com 61380023 147421317 05944913 9c5d 4de8 8057 0de4f8fd08c4 png  _x000D_
_x000D_
</t>
  </si>
  <si>
    <t>lisawray-groupie-416</t>
  </si>
  <si>
    <t>[Crash] ViewPropertyAnimator.java line 1111 - Tmp detached view should be removed from RecyclerView before it can be recycled</t>
  </si>
  <si>
    <t xml:space="preserve">  Describe the bug  _x000D_
We are receiving a crash  which is becoming more frequent by the day  It generates a Fatal Exception   java lang IllegalArgumentException   The complete error message that we are receiving is as follows:_x000D_
_x000D_
    Tmp detached view should be removed from RecyclerView before it can be recycled: GroupieViewHolder 6fb6182 position  1 id  1  oldPos  1  pLpos: 1 removed tmpDetached no parent  androidx recyclerview widget RecyclerView 9962bc5 VFED            ID 0 150 480 451  7f0a0530 app:id recyclerView   adapter:com xwray groupie GroupAdapter 5a4d91a  layout:androidx recyclerview widget GridLayoutManager 5728c4b  context:com audiomack ui home HomeActivity 17039d    _x000D_
_x000D_
  Stack trace  _x000D_
_x000D_
   _x000D_
Fatal Exception: java lang IllegalArgumentException: Tmp detached view should be removed from RecyclerView before it can be recycled: GroupieViewHolder 6fb6182 position  1 id  1  oldPos  1  pLpos: 1 removed tmpDetached no parent  androidx recyclerview widget RecyclerView 9962bc5 VFED            ID 0 150 480 451  7f0a0530 app:id recyclerView   adapter:com xwray groupie GroupAdapter 5a4d91a  layout:androidx recyclerview widget GridLayoutManager 5728c4b  context:com audiomack ui home HomeActivity 17039d7_x000D_
       at androidx recyclerview widget RecyclerView Recycler recycleViewHolderInternal(RecyclerView java:6620)_x000D_
       at androidx recyclerview widget RecyclerView removeAnimatingView(RecyclerView java:1525)_x000D_
       at androidx recyclerview widget RecyclerView ItemAnimatorRestoreListener onAnimationFinished(RecyclerView java:13109)_x000D_
       at androidx recyclerview widget RecyclerView ItemAnimator dispatchAnimationFinished(RecyclerView java:13611)_x000D_
       at androidx recyclerview widget SimpleItemAnimator dispatchAddFinished(SimpleItemAnimator java:302)_x000D_
       at androidx recyclerview widget DefaultItemAnimator 5 onAnimationEnd(DefaultItemAnimator java:247)_x000D_
       at android view ViewPropertyAnimator AnimatorEventListener onAnimationEnd(ViewPropertyAnimator java:1122)_x000D_
       at android animation Animator AnimatorListener onAnimationEnd(Animator java:552)_x000D_
       at android animation ValueAnimator endAnimation(ValueAnimator java:1209)_x000D_
       at android animation ValueAnimator doAnimationFrame(ValueAnimator java:1449)_x000D_
       at android animation AnimationHandler doAnimationFrame(AnimationHandler java:146)_x000D_
       at android animation AnimationHandler  wrap2()_x000D_
       at android animation AnimationHandler 1 doFrame(AnimationHandler java:54)_x000D_
       at android view Choreographer CallbackRecord run(Choreographer java:909)_x000D_
       at android view Choreographer doCallbacks(Choreographer java:723)_x000D_
       at android view Choreographer doFrame(Choreographer java:655)_x000D_
       at android view Choreographer FrameDisplayEventReceiver run(Choreographer java:897)_x000D_
       at android os Handler handleCallback(Handler java:790)_x000D_
       at android os Handler dispatchMessage(Handler java:99)_x000D_
       at android os Looper loop(Looper java:164)_x000D_
       at android app ActivityThread main(ActivityThread java:6765)_x000D_
       at java lang reflect Method invoke(Method java)_x000D_
       at com android internal os RuntimeInit MethodAndArgsCaller run(RuntimeInit java:509)_x000D_
       at com android internal os ZygoteInit main(ZygoteInit java:807)_x000D_
   _x000D_
_x000D_
  To Reproduce  _x000D_
We are unable to reproduce this issue locally  but it ranks in the top ten of our Firebase Crashlytics _x000D_
_x000D_
  Expected behavior  _x000D_
We do not anticipate such a crash _x000D_
_x000D_
  Library version  _x000D_
 2 10 0 _x000D_
_x000D_
  Additional context  _x000D_
We had a similar crash and solved it by removing the animation flag from the immediate recyclerview s parent _x000D_
Removed: android:animateLayoutChanges  true _x000D_
</t>
  </si>
  <si>
    <t>TeamNewPipe-NewPipe-7585</t>
  </si>
  <si>
    <t>App no longer plays videos after changing download location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</si>
  <si>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_x000D_
   _x000D_
1  Change download location (I m my case I copied the link to my sdcard tubes or   storage 754F EBC8 tubes _x000D_
2  Download YouTube video_x000D_
     If you can t cause the bug to show up again reliably (and hence don t have a proper set of steps to give us)  please still try to give as many details as possible on how you think you encountered the bug     _x000D_
_x000D_
100  reproducible on my phone _x000D_
_x000D_
    Actual behavior_x000D_
     Tell us what happens with the steps given above     _x000D_
_x000D_
3  Video will download to the correct location_x000D_
4  NewPipe is unable to play the video  The error is  File not found _x000D_
_x000D_
    Expected behavior_x000D_
     Tell us what you expect to happen     _x000D_
_x000D_
Obvious normal behavior of being able to play and delete videos from within the app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model:_x000D_
Android 9 Samsung s8</t>
  </si>
  <si>
    <t>MuntashirAkon-AppManager-649</t>
  </si>
  <si>
    <t>App crashes when loading large app icon</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</si>
  <si>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It seems when loading a certain app icon  app manager crashes _x000D_
_x000D_
  To Reproduce  _x000D_
Steps to reproduce the behaviour:_x000D_
1  Install an app with a very large icon like  this (https:  www apkmirror com apk linuxct oxygenos 11 lwp by linuxct oxygenos 11 lwp by linuxct 1 0 1 200903204425 cf07bb7 release oxygenos 11 lwp by linuxct 1 0 1 200903204425 cf07bb7 android apk download )_x000D_
2  Make it show in the list (search or scroll)_x000D_
3  App briefly shows no icon or the wrong icon then crashes_x000D_
4  If you open the details page quickly before the app crashes  it will show without an icon and still Crash_x000D_
_x000D_
  Expected behavior  _x000D_
The app showing the icon and not crashing _x000D_
_x000D_
  Screenshots  _x000D_
If applicable  add screenshots to help explain your problem _x000D_
_x000D_
  Crash logs  _x000D_
 details _x000D_
   summary Click to view  summary _x000D_
_x000D_
   _x000D_
java lang RuntimeException: Canvas: trying to draw too large(391029408bytes) bitmap _x000D_
    at android graphics RecordingCanvas throwIfCannotDraw(RecordingCanvas java:281)_x000D_
    at android graphics BaseRecordingCanvas drawBitmap(BaseRecordingCanvas java:91)_x000D_
    at android graphics drawable BitmapDrawable draw(BitmapDrawable java:548)_x000D_
    at android widget ImageView onDraw(ImageView java:1453)_x000D_
    at android view View draw(View java:23901)_x000D_
    at android view View updateDisplayListIfDirty(View java:22776)_x000D_
    at android view View draw(View java:23631)_x000D_
    at android view ViewGroup drawChild(ViewGroup java:5336)_x000D_
    at android view ViewGroup dispatchDraw(ViewGroup java:5093)_x000D_
    at android view View updateDisplayListIfDirty(View java:22762)_x000D_
    at android view View draw(View java:23631)_x000D_
    at android view ViewGroup drawChild(ViewGroup java:5336)_x000D_
    at android view ViewGroup dispatchDraw(ViewGroup java:5093)_x000D_
    at android view View draw(View java:23904)_x000D_
    at android view View updateDisplayListIfDirty(View java:22776)_x000D_
    at android view View draw(View java:23631)_x000D_
    at android view ViewGroup drawChild(ViewGroup java:5336)_x000D_
    at androidx recyclerview widget RecyclerView drawChild(RecyclerView java:5204)_x000D_
    at android view ViewGroup dispatchDraw(ViewGroup java:5093)_x000D_
    at android view View draw(View java:23904)_x000D_
    at androidx recyclerview widget RecyclerView draw(RecyclerView java:4603)_x000D_
    at android view View updateDisplayListIfDirty(View java:22776)_x000D_
    at android view View draw(View java:23631)_x000D_
    at android view ViewGroup drawChild(ViewGroup java:5336)_x000D_
    at android view ViewGroup dispatchDraw(ViewGroup java:5093)_x000D_
    at android view View draw(View java:23904)_x000D_
    at android view View updateDisplayListIfDirty(View java:22776)_x000D_
    at android view View draw(View java:23631)_x000D_
    at android view ViewGroup drawChild(ViewGroup java:5336)_x000D_
    at android view ViewGroup dispatchDraw(ViewGroup java:5093)_x000D_
    at android view View updateDisplayListIfDirty(View java:22762)_x000D_
    at android view View draw(View java:23631)_x000D_
    at android view ViewGroup drawChild(ViewGroup java:5336)_x000D_
    at androidx coordinatorlayout widget CoordinatorLayout drawChild(CoordinatorLayout java:1277)_x000D_
    at android view ViewGroup dispatchDraw(ViewGroup java:5093)_x000D_
    at android view View updateDisplayListIfDirty(View java:22762)_x000D_
    at android view View draw(View java:23631)_x000D_
    at android view ViewGroup drawChild(ViewGroup java:5336)_x000D_
    at android view ViewGroup dispatchDraw(ViewGroup java:5093)_x000D_
    at android view View updateDisplayListIfDirty(View java:22762)_x000D_
    at android view View draw(View java:23631)_x000D_
    at android view ViewGroup drawChild(ViewGroup java:5336)_x000D_
    at android view ViewGroup dispatchDraw(ViewGroup java:5093)_x000D_
    at android view View updateDisplayListIfDirty(View java:22762)_x000D_
    at android view View draw(View java:23631)_x000D_
    at android view ViewGroup drawChild(ViewGroup java:5336)_x000D_
    at android view ViewGroup dispatchDraw(ViewGroup java:5093)_x000D_
    at android view View updateDisplayListIfDirty(View java:22762)_x000D_
    at android view View draw(View java:23631)_x000D_
    at android view ViewGroup drawChild(ViewGroup java:5336)_x000D_
    at android view ViewGroup dispatchDraw(ViewGroup java:5093)_x000D_
    at android view View updateDisplayListIfDirty(View java:22762)_x000D_
    at android view View draw(View java:23631)_x000D_
    at android view ViewGroup drawChild(ViewGroup java:5336)_x000D_
    at android view ViewGroup dispatchDraw(ViewGroup java:5093)_x000D_
    at android view View draw(View java:23904)_x000D_
    at com android internal policy DecorView draw(DecorView java:1282)_x000D_
    at android view View updateDisplayListIfDirty(View java:22776)_x000D_
    at android view ThreadedRenderer updateViewTreeDisplayList(ThreadedRenderer java:579)_x000D_
    at android view ThreadedRenderer updateRootDisplayList(ThreadedRenderer java:585)_x000D_
    at android view ThreadedRenderer draw(ThreadedRenderer java:662)_x000D_
    at android view ViewRootImpl draw(ViewRootImpl java:5042)_x000D_
    at android view ViewRootImpl performDraw(ViewRootImpl java:4749)_x000D_
    at android view ViewRootImpl performTraversals(ViewRootImpl java:3866)_x000D_
    at android view ViewRootImpl doTraversal(ViewRootImpl java:2618)_x000D_
    at android view ViewRootImpl TraversalRunnable run(ViewRootImpl java:9971)_x000D_
    at android view Choreographer CallbackRecord run(Choreographer java:1010)_x000D_
    at android view Choreographer doCallbacks(Choreographer java:809)_x000D_
    at android view Choreographer doFrame(Choreographer java:744)_x000D_
    at android view Choreographer FrameDisplayEventReceiver run(Choreographer java:995)_x000D_
    at android os Handler handleCallback(Handler java:938)_x000D_
    at android os Handler dispatchMessage(Handler java:99)_x000D_
    at android os Looper loop(Looper java:246)_x000D_
    at android app ActivityThread main(ActivityThread java:8512)_x000D_
    at java lang reflect Method invoke(Native Method)_x000D_
    at com android internal os RuntimeInit MethodAndArgsCaller run(RuntimeInit java:602)_x000D_
    at com android internal os ZygoteInit main(ZygoteInit java:1130)_x000D_
_x000D_
Device Info:_x000D_
App version: 2 6 5 1_x000D_
App version code: 397_x000D_
Android build version: G975U1UES6GUI1_x000D_
Android release version: 11_x000D_
Android SDK version: 30_x000D_
Android build ID: RP1A 200720 012 G975U1UES6GUI1_x000D_
Device brand: samsung_x000D_
Device manufacturer: samsung_x000D_
Device name: beyond2q_x000D_
Device model: SM G975U1_x000D_
Device product name: beyond2qlteue_x000D_
Device hardware name: qcom_x000D_
ABIs:  arm64 v8a  armeabi v7a  armeabi _x000D_
ABIs (32bit):  armeabi v7a  armeabi _x000D_
ABIs (64bit):  arm64 v8a _x000D_
System language: en US_x000D_
In App Language: auto_x000D_
Mode: auto_x000D_
   _x000D_
_x000D_
  details _x000D_
_x000D_
  Device info  _x000D_
   Device: Samsung Galaxy S10 _x000D_
   OS Version: Android 11 OneUI 3 1_x000D_
   App Manager Version: v2 6 5 1_x000D_
   Mode: No root_x000D_
_x000D_
  Additional context  _x000D_
The icon to the attached app is 2159x3656 (8 0mp 3 5MiB  png) for some reason</t>
  </si>
  <si>
    <t>Exodus-Privacy-exodus-android-app-109</t>
  </si>
  <si>
    <t>Crash after reload EP</t>
  </si>
  <si>
    <t>Issue:_x000D_
_x000D_
  Device: Pixel 6_x000D_
  OS: Android 12_x000D_
  EP Version: Preview_x000D_
_x000D_
How reproduce:_x000D_
  Open app EP_x000D_
  Leave app without close_x000D_
  Change settings (language  dark mode)_x000D_
  Go to EP  consult a report or trackers_x000D_
  App crashed</t>
  </si>
  <si>
    <t>TeamNewPipe-NewPipe-7583</t>
  </si>
  <si>
    <t>Accessibility: "Video preview thumbnail"</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</si>
  <si>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_x000D_
Open a list of subscriptions  or a list of videos _x000D_
_x000D_
2  Press on       _x000D_
_x000D_
Focus on any subscription  or any video _x000D_
_x000D_
3  Swipe down to       _x000D_
_x000D_
Start navigating the subscription list or video list by swiping your finger across the screen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Before the title of each subscription and each video  I hear the phrase:_x000D_
_x000D_
 Video preview thumbnail _x000D_
_x000D_
    Expected behavior_x000D_
     Tell us what you expect to happen     _x000D_
_x000D_
The screen reader does not announce this phrase  That is  the screen reader immediately announces the name of the subscription  or the name of the video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_x000D_
6 0_x000D_
_x000D_
   Device model:_x000D_
_x000D_
Impression ImSmart C551</t>
  </si>
  <si>
    <t>cgeo-cgeo-12406</t>
  </si>
  <si>
    <t>Variable tab - NPE after selecting patterns from scan listing</t>
  </si>
  <si>
    <t xml:space="preserve">    Describe your problem 
I managed to make the app crash when trying out the  Scan listing  functions on the variable tab _x000D_
No idea if what I did makes sense but at least it should not crash 
    How to reproduce 
  Open GC8P68F_x000D_
  Go to variable tab_x000D_
  Use  Scan Listing _x000D_
  It will find 4 patterns_x000D_
  Select the first two patterns:  (3574 Y)  and  (3742 X) _x000D_
  Click OK
    Actual result after these steps 
Crash:_x000D_
_x000D_
   _x000D_
2021 12 25 19:28:52 213 7953 7953   E AndroidRuntime: FATAL EXCEPTION: main_x000D_
    Process: cgeo geocaching  PID: 7953_x000D_
    java lang NullPointerException: rhs    null_x000D_
        at java lang String compareTo(Native Method)_x000D_
        at cgeo geocaching utils formulas VariableList getSortedPos(VariableList java:92)_x000D_
        at cgeo geocaching ui VariableListView VariablesListAdapter addVariable(VariableListView java:341)_x000D_
        at cgeo geocaching VariablesViewPageFragment lambda scanCache 11(VariablesViewPageFragment java:150)_x000D_
        at cgeo geocaching VariablesViewPageFragment lambda scanCache 11 VariablesViewPageFragment(Unknown Source:0)_x000D_
        at cgeo geocaching    Lambda VariablesViewPageFragment a2wnPBo8xDgpakmCyin8g32CaKM accept(Unknown Source:4)_x000D_
        at cgeo geocaching ui dialog SimpleDialog lambda selectMultiple 7(SimpleDialog java:402)_x000D_
        at cgeo geocaching ui dialog    Lambda SimpleDialog rvc72q66gbEcPx  99eo1KIzVUc onClick(Unknown Source:4)_x000D_
        at androidx appcompat app AlertController ButtonHandler handleMessage(AlertController java:167)_x000D_
        at android os Handler dispatchMessage(Handler java:106)_x000D_
        at android os Looper loop(Looper java:246)_x000D_
        at android app ActivityThread main(ActivityThread java:8633)_x000D_
        at java lang reflect Method invoke(Native Method)_x000D_
        at com android internal os RuntimeInit MethodAndArgsCaller run(RuntimeInit java:602)_x000D_
        at com android internal os ZygoteInit main(ZygoteInit java:1130)_x000D_
    Expected result after these steps 
No crash
    Reproducible
Yes
    c:geo Version
2021 12 25 NB
    System information
   text
Samsung S20  Android 11
    Additional Information
 No response </t>
  </si>
  <si>
    <t>Blankj-AndroidUtilCode-1583</t>
  </si>
  <si>
    <t>1.29.0包含send_sms权限，但是没有用到，google市场审核不过。</t>
  </si>
  <si>
    <t>PojavLauncherTeam-PojavLauncher-2451</t>
  </si>
  <si>
    <t>[BUG] 1.18.1 with gl4es crashes when loaded a world or joined a server</t>
  </si>
  <si>
    <t xml:space="preserve">    Describe the bug
game crashes when running 1 18 1 with gl4es 1 1 5_x000D_
  Screenshot 20211225 113849054 (https:  user images githubusercontent com 57281140 147376856 072c5a6b 2dfa 41c4 9286 289caf4ebe86 jpg)_x000D_
    The log file and images videos
 No response 
    Steps To Reproduce
   markdown
1  Start Pojavlauncher_x000D_
2  Start 1 18 1_x000D_
3  load a world_x000D_
4  Game crashed with no crash report
    Expected Behavior
I expect the game not crash
    Platform
   markdown
  Device model: Mi Note 3_x000D_
  CPU architecture: aarch64_x000D_
  Android version: 11_x000D_
  PojavLauncher version: crocus 299 f1bd70996 v3 openjdk
    Anything else 
 No response </t>
  </si>
  <si>
    <t>inaturalist-iNaturalistAndroid-1163</t>
  </si>
  <si>
    <t>TransactionTooLargeException in ExploreActivity.onItemClick</t>
  </si>
  <si>
    <t xml:space="preserve">https:  console firebase google com u 1 project inaturalist ios crashlytics app android:org inaturalist android issues b3cab11e2fa2d69ec9a79202d419ad29_x000D_
_x000D_
   _x000D_
Caused by android os TransactionTooLargeException: data parcel size 1144820 bytes_x000D_
       at android os BinderProxy transactNative(BinderProxy java)_x000D_
       at android os BinderProxy transact(BinderProxy java:550)_x000D_
       at android app IActivityTaskManager Stub Proxy startActivity(IActivityTaskManager java:3777)_x000D_
       at android app Instrumentation execStartActivity(Instrumentation java:1723)_x000D_
       at android app Activity startActivityForResult(Activity java:5416)_x000D_
       at androidx fragment app FragmentActivity startActivityForResult(FragmentActivity java:676)_x000D_
       at android app Activity startActivityForResult(Activity java:5374)_x000D_
       at androidx fragment app FragmentActivity startActivityForResult(FragmentActivity java:663)_x000D_
       at org inaturalist android ExploreActivity 10 onItemClick(ExploreActivity java:1037)_x000D_
   </t>
  </si>
  <si>
    <t>inaturalist-iNaturalistAndroid-1162</t>
  </si>
  <si>
    <t>NullPointerException in ObservationEditor.initObservation</t>
  </si>
  <si>
    <t xml:space="preserve">https:  console firebase google com u 1 project inaturalist ios crashlytics app android:org inaturalist android issues 97614f9616883e040ca70f090ae95b40_x000D_
_x000D_
   _x000D_
Caused by java lang NullPointerException: uri_x000D_
       at com android internal util Preconditions checkNotNull(Preconditions java:128)_x000D_
       at android content ContentResolver query(ContentResolver java:739)_x000D_
       at android content ContentResolver query(ContentResolver java:705)_x000D_
       at android content ContentResolver query(ContentResolver java:663)_x000D_
       at org inaturalist android ObservationEditor initObservation(ObservationEditor java:1812)_x000D_
       at org inaturalist android ObservationEditor initUi(ObservationEditor java:1838)_x000D_
       at org inaturalist android ObservationEditor onResume(ObservationEditor java:1797)_x000D_
   </t>
  </si>
  <si>
    <t>VishnuSanal-DialogMusicPlayer-9</t>
  </si>
  <si>
    <t>Crash when playing a large file or a .flac</t>
  </si>
  <si>
    <t xml:space="preserve">  Describe the bug  
App crashes when playing a large file (or it could be about  flac files  I m not sure) 
  To Reproduce  
Steps to reproduce the behavior:
1  Play a file that s at least 50 MB  Try out a  flac as well 
  Smartphone  
  Android 10  app v 1 0 1</t>
  </si>
  <si>
    <t>yasirkula-UnityNativeShare-137</t>
  </si>
  <si>
    <t>[Question] The posting process on Android is not completed in the app. Is that the spec?</t>
  </si>
  <si>
    <t xml:space="preserve">  Unity: 2020 3 9f1_x000D_
  Native Share for Android   iOS: 1 4 4_x000D_
  Platform: Android_x000D_
  Device: LG Electronics  L 02K_x000D_
  How did you download the plugin: Asset Store_x000D_
_x000D_
  Description  _x000D_
First of all  I would like to thank you for creating a great library _x000D_
Well  I added a function that takes a screenshot  resizes it  and then posts the image to another app _x000D_
_x000D_
It works fine without crashing or anything _x000D_
However  when I tested it on Facebook and Twitter  the behavior was different depending on the OS as follows_x000D_
_x000D_
  IOS_x000D_
After posting  it appears the posting indication in my app  and after a few seconds  the posting is completed and the modal closes _x000D_
_x000D_
  Android_x000D_
After posting  the modal closes immediately without the posting indication in my app _x000D_
_x000D_
In the case of Android  even if I check the post on my desktop after posting  the post does not appear for any length of time _x000D_
When I launched the target app from the device where I posted  the posting process started and after waiting for a few seconds  the posting was completed _x000D_
The point is that the posting process on Android is only up to the point where it is put into the queue of the target app  and it is not done until I launch the app from the same device _x000D_
_x000D_
Is that the spec on Android _x000D_
_x000D_
It probably doesn t matter  but I ll post my code in case it does _x000D_
_x000D_
   _x000D_
    public IEnumerator ImageShoot() _x000D_
        yield return new WaitForEndOfFrame() _x000D_
_x000D_
        Texture2D tex   ScreenCapture CaptureScreenshotAsTexture() _x000D_
        int width   tex width _x000D_
        int height   width _x000D_
        int x   (tex width   width)   2 _x000D_
        int y   (tex height   height)   2 _x000D_
        Color   colors   tex GetPixels(x  y  width  height) _x000D_
        tex   new Texture2D(width  height  TextureFormat RGBA32  false) _x000D_
        tex SetPixels(colors) _x000D_
        string path   Path Combine( Application temporaryCachePath   result png ) _x000D_
_x000D_
        File WriteAllBytes(path  tex EncodeToPNG()) _x000D_
        Destroy(tex) _x000D_
        new NativeShare() AddFile(path)_x000D_
             SetCallback((result  shareTarget)    AfterShare(shareTarget))_x000D_
             Share() _x000D_
     _x000D_
   _x000D_
_x000D_
Thanks </t>
  </si>
  <si>
    <t>nextcloud-android-9617</t>
  </si>
  <si>
    <t>Crash on FileUploaderService</t>
  </si>
  <si>
    <t xml:space="preserve">    Steps to reproduce_x000D_
1  Upload large amount of files in one session_x000D_
2  _x000D_
3  _x000D_
_x000D_
    Expected behaviour_x000D_
  Tell us what should happen_x000D_
  Diesnt upload and comes up with crash report on exiting nextcloud app_x000D_
_x000D_
    Actual behaviour_x000D_
  Tell us what happens_x000D_
  doesnt upload and crashes on exiting the app_x000D_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s21 ultra lates OS_x000D_
_x000D_
Stock or customized system:_x000D_
_x000D_
Nextcloud app version: latest fresh install_x000D_
_x000D_
Nextcloud server version:_x000D_
_x000D_
Reverse proxy:_x000D_
_x000D_
    Logs_x000D_
     Web server error log_x000D_
   _x000D_
Insert your webserver log here_x000D_
   _x000D_
_x000D_
     Nextcloud log (data nextcloud log)_x000D_
   _x000D_
Insert your Nextcloud log here_x000D_
             CAUSE OF ERROR             _x000D_
_x000D_
android app ForegroundServiceDidNotStartInTimeException: Context startForegroundService() did not then call Service startForeground(): ServiceRecord 1d96e82 u0 com nextcloud client com owncloud android files services FileUploader _x000D_
	at android app ActivityThread throwRemoteServiceException(ActivityThread java:2134)_x000D_
	at android app ActivityThread access 2900(ActivityThread java:309)_x000D_
	at android app ActivityThread H handleMessage(ActivityThread java:2363)_x000D_
	at android os Handler dispatchMessage(Handler java:106)_x000D_
	at android os Looper loopOnce(Looper java:226)_x000D_
	at android os Looper loop(Looper java:313)_x000D_
	at android app ActivityThread main(ActivityThread java:8582)_x000D_
	at java lang reflect Method invoke(Native Method)_x000D_
	at com android internal os RuntimeInit MethodAndArgsCaller run(RuntimeInit java:563)_x000D_
	at com android internal os ZygoteInit main(ZygoteInit java:1133)_x000D_
_x000D_
             APP INFORMATION             _x000D_
ID: com nextcloud client_x000D_
Version: 30180190_x000D_
Build flavor: gplay_x000D_
_x000D_
             DEVICE INFORMATION             _x000D_
Brand: samsung_x000D_
Device: p3s_x000D_
Model: SM G998B_x000D_
Id: SP1A 210812 016_x000D_
Product: p3sxeea_x000D_
_x000D_
             FIRMWARE             _x000D_
SDK: 31_x000D_
Release: 12_x000D_
Incremental: G998BXXS3BUL1_x000D_
_x000D_
   _x000D_
  NOTE:   Be super sure to remove sensitive data like passwords  note that everybody can look here  You can use the Issue Template application to prefill some of the required information: https:  apps nextcloud com apps issuetemplate_x000D_
</t>
  </si>
  <si>
    <t>google-gson-2038</t>
  </si>
  <si>
    <t>gson.toJson 抛出 java.lang.AssertionError: java.lang.NoSuchFieldException: ONLINE</t>
  </si>
  <si>
    <t xml:space="preserve">  Gson version_x000D_
     Gson version you are using  for example  2 8 8     _x000D_
com google code gson:gson:2 8 0_x000D_
_x000D_
  Java   Android version_x000D_
     Version of the Java or Android platform on which the bug occurred    _x000D_
Android 9 as arctic fox_x000D_
_x000D_
  Used tools_x000D_
     List relevant build tools and plugins with version number here which might affect Gson    _x000D_
      Maven  version: _x000D_
   x  Gradle  version:  api  com google code gson:gson:2 8 0 _x000D_
      ProGuard (attach the configuration file please)  version: _x000D_
         _x000D_
_x000D_
  Description_x000D_
     Describe the bug you experienced    _x000D_
new Gson() toJsont(object)  enter crash _x000D_
_x000D_
found into this code_x000D_
  image (https:  user images githubusercontent com 19690896 147338227 060a8950 d526 497f a335 5349bfe2b4a3 png)_x000D_
_x000D_
why   throw new AssertionError(e)      not   NoSuchFieldException  _x000D_
_x000D_
   Expected behavior_x000D_
     What behavior did you expect     _x000D_
not crash   _x000D_
_x000D_
   Actual behavior_x000D_
     What happened instead     _x000D_
crashed     even add try catch(Exception e)_x000D_
_x000D_
  Reproduction steps_x000D_
     Provide exact reproduction steps for reproducing the bug    _x000D_
     Provide a short code snippet or link to a demo project    _x000D_
_x000D_
1     _x000D_
2     _x000D_
_x000D_
  Exception stack trace_x000D_
     In case an exception occurred  paste the COMPLETE exception stack trace in the code block below or attach it as file    _x000D_
_x000D_
   _x000D_
java lang AssertionError: java lang NoSuchFieldException: ONLINE_x000D_
        at com google gson internal bind TypeAdapters EnumTypeAdapter  init (TypeAdapters java:808)_x000D_
        at com google gson internal bind TypeAdapters 30 create(TypeAdapters java:834)_x000D_
        at com google gson Gson getAdapter(Gson java:423)_x000D_
        at com google gson internal bind ReflectiveTypeAdapterFactory createBoundField(ReflectiveTypeAdapterFactory java:115)_x000D_
        at com google gson internal bind ReflectiveTypeAdapterFactory getBoundFields(ReflectiveTypeAdapterFactory java:164)_x000D_
        at com google gson internal bind ReflectiveTypeAdapterFactory create(ReflectiveTypeAdapterFactory java:100)_x000D_
        at com google gson Gson getAdapter(Gson java:423)_x000D_
        at com google gson Gson toJson(Gson java:661)_x000D_
        at com google gson Gson toJson(Gson java:648)_x000D_
        at com google gson Gson toJson(Gson java:603)_x000D_
        at com google gson Gson toJson(Gson java:583)_x000D_
        at com xxx util json JsonUtil toJson(JsonUtil java:204)_x000D_
   _x000D_
</t>
  </si>
  <si>
    <t>PojavLauncherTeam-PojavLauncher-2446</t>
  </si>
  <si>
    <t>[BUG] Advanced Compass mod started removing "assets-v0.zip" from settings, although it worked fine before.</t>
  </si>
  <si>
    <t xml:space="preserve">    Describe the bug_x000D_
_x000D_
I have been playing with the Advanced Compass mod (Fabric 1 17 1) for a very long time and everything worked fine  but today it started crashing the game _x000D_
I haven t changed anything _x000D_
After some tests  it turned out that it disables  assets v0 zip   with any set of mods  A bunch of mods or just only  fabric api  doesn t change anything _x000D_
(Google Translate)_x000D_
_x000D_
    The log file and images videos_x000D_
_x000D_
 latestlog txt (https:  github com PojavLauncherTeam PojavLauncher files 7773476 latestlog txt)_x000D_
_x000D_
_x000D_
    Steps To Reproduce_x000D_
_x000D_
   markdown_x000D_
idk but mod  jar name AdvancedCompass fabric 1 2 5 1 17 1 jar_x000D_
   _x000D_
_x000D_
_x000D_
    Expected Behavior_x000D_
_x000D_
I expected to play quietly  and not try to understand why a perfectly working mod suddenly began to turn off all my resource packs _x000D_
_x000D_
    Platform_x000D_
_x000D_
   markdown_x000D_
  Device model: Honor 9C (AKA L29)_x000D_
  CPU architecture: aarch64_x000D_
  Android version: 10_x000D_
  PojavLauncher version: crocus 299 f1bd70996 v3 openjdk_x000D_
https:  github com PojavLauncherTeam PojavLauncher actions runs 1598242529_x000D_
   _x000D_
_x000D_
_x000D_
    Anything else _x000D_
_x000D_
Oh  sorry  I first created a post about this problem and only then noticed about the post  Mod  X  doesn t work </t>
  </si>
  <si>
    <t>CTemplar-android-438</t>
  </si>
  <si>
    <t>Freeze/crash with embeded images</t>
  </si>
  <si>
    <t xml:space="preserve">    Your environment_x000D_
_x000D_
Latest CTemplar application version _x000D_
Android 12 without Play Services _x000D_
_x000D_
    Steps to reproduce_x000D_
_x000D_
There is a bug with embeded images when there is no  message field  text  only the images  By  embeded  images I mean images who are showed directly in the message field  not those showed as attachments (this is for example the default when sending picture from the Apple Mail application) _x000D_
_x000D_
I believe toggling off  block external images  triggered the issue  but now even if toggled on the issue remains _x000D_
_x000D_
When opening the email conversation  it opens an empty page :_x000D_
 img src  https:  user images githubusercontent com 63376748 147302682 a5931faf cffd 4bf1 bcb5 1b55a1744cfd jpg  width 50  height 50  _x000D_
It is impossible to go back from there  only a restart of the application works _x000D_
_x000D_
Worst  if the incriminated email is in the  draft  box  the CTemplar application simply crash  I discovered that behaviour when trying to forward that type of email from the web application to my mailbox again (to confirm that this was effectively the issue)  and it just failed to send it  thus staying in the draft box _x000D_
_x000D_
The web application also appears to have issues with such cases : when configured as  block external images  it still shows them  but also shows  images blocked : click to load  which is contradictory  When images are not embeded but are simply attached  it loads indefinitely the email if there is an empty message field  _x000D_
_x000D_
The condition  no text in message field  seems important here to trigger all of these issues _x000D_
_x000D_
There s no settings to export logs from the application  if you need them please indicate me which output of the  adb  command you need  I briefly enabled  report bugs  when triggering the issue manually  but got no way to know if the crash was effectively reported _x000D_
_x000D_
    Expected behavior_x000D_
_x000D_
No crash in draft _x000D_
No empty pages when clicking on the email from the main page _x000D_
No infinite loading in the webmail _x000D_
Either no display of the images or no display of the  images have been blocked  in the webmail  but not both _x000D_
_x000D_
    Actual behavior_x000D_
_x000D_
All of the above _x000D_
_x000D_
</t>
  </si>
  <si>
    <t>ViroCommunity-viro-75</t>
  </si>
  <si>
    <t>ViroVideo is not working</t>
  </si>
  <si>
    <t xml:space="preserve">  Requirements: _x000D_
Please go through this checklist before opening a new issue_x000D_
     x  Review the  documentation (https:  docs viromedia com )_x000D_
     x  Search for existing issues in:  viromedia viro (https:  github com viromedia viro issues)    ViroCommunity viro (https:  github com ViroCommunity viro issues)_x000D_
     x  Use the latest  ViroReact release (https:  docs viromedia com docs releases)_x000D_
_x000D_
   Environment_x000D_
Please provide the following information about your environment:_x000D_
1  Macbook Pro_x000D_
2  Device OS   Version: iPhone11 iOS 15 3_x000D_
3  ViroReact: 2 22 0_x000D_
4  React Native: 0 65 1_x000D_
_x000D_
   Description_x000D_
      ViroVideo crashes with invariant violation: Unrecognized selector sent to instance_x000D_
_x000D_
Interestingly  Viro360Video works _x000D_
_x000D_
   Reproducible Demo_x000D_
_x000D_
     NOTE: I ve installed viro react from a local download of the viro react to make changes to the viro react source code  All of these issues have been replicated with viro 2 22 0 _x000D_
_x000D_
     ViroVideo_x000D_
https:  github com NS BOBBY C starter kit blob 4d93e7dd3ae05d089573f07f20964e2258a1933d screens viro tests ViroVideo tsx L1 L45</t>
  </si>
  <si>
    <t>ViroCommunity-viro-74</t>
  </si>
  <si>
    <t>ViroSpatialSound and ViroSoundField are not working on iOS or Android</t>
  </si>
  <si>
    <t xml:space="preserve">  Requirements: _x000D_
Please go through this checklist before opening a new issue_x000D_
     x  Review the  documentation (https:  docs viromedia com )_x000D_
     x  Search for existing issues in:  viromedia viro (https:  github com viromedia viro issues)    ViroCommunity viro (https:  github com ViroCommunity viro issues)_x000D_
     x  Use the latest  ViroReact release (https:  docs viromedia com docs releases)_x000D_
_x000D_
   Environment iOS_x000D_
Please provide the following information about your environment:_x000D_
1  Macbook Pro_x000D_
2  Device OS   Version: iPhone11 iOS (15 3)_x000D_
3  ViroReact: 2 22 0_x000D_
4  React Native: 0 65 1_x000D_
_x000D_
   Environment Android_x000D_
Please provide the following information about your environment:_x000D_
1  Macbook Pro_x000D_
2  Device OS   Version: Google Pixel XL (Android 10)_x000D_
3  ViroReact: 2 22 0_x000D_
4  React Native: 0 65 1_x000D_
_x000D_
   Description_x000D_
      ViroSpatialSound crashes with invariant violation: Unrecognized selector sent to instance_x000D_
      ViroSoundField crashes with invariant violation: Unrecognized selector sent to instance_x000D_
_x000D_
   Reproducible Demo_x000D_
_x000D_
     NOTE: I ve installed viro react from a local download of the viro react to make changes to the viro react source code  All of these issues have been replicated with viro 2 22 0 _x000D_
_x000D_
     ViroSpatialSound_x000D_
https:  github com NS BOBBY C starter kit blob 4d93e7dd3ae05d089573f07f20964e2258a1933d screens viro tests ViroSpatialSound tsx L1 L48_x000D_
_x000D_
     ViroSoundField_x000D_
https:  github com NS BOBBY C starter kit blob 4d93e7dd3ae05d089573f07f20964e2258a1933d screens viro tests ViroSoundField tsx L1 L48</t>
  </si>
  <si>
    <t>AniTrend-anitrend-app-463</t>
  </si>
  <si>
    <t>Null pointer exception: ProfileActivity</t>
  </si>
  <si>
    <t xml:space="preserve">  AniTrend Issue Guidelines_x000D_
_x000D_
Before opening a new issue  please take a moment to review our    community guidelines   (https:  github com AniTrend anitrend app blob master CONTRIBUTING md) to make the contribution process easy and effective for everyone involved _x000D_
_x000D_
  You may find an answer in already closed issues  :_x000D_
https:  github com AniTrend anitrend app issues q is 3Aissue is 3Aclosed_x000D_
_x000D_
_x000D_
   Description Of Bug_x000D_
      A clear and concise description of what the bug is     _x000D_
_x000D_
 UserBase  would typically not be null  especially on  getName   but from what I can gather in the crashlytics logs it seems that the crash happened while the user was trying to view a hidden profile (privacy settings on anilist)  so we may need to test that case scenario_x000D_
_x000D_
   Additional Context_x000D_
      What are you trying to accomplish  Providing context helps us come up with a solution that is most useful in the real world  also include an logs if you have any in this section    _x000D_
_x000D_
    Crashlytic Logs_x000D_
 com mxt anitrend issue 329608f0e66d4c3bad3ec54916f36272 crash session 61BE584601ED000110E088A54240B98B DNE 0 v2 log (https:  github com AniTrend anitrend app files 7771018 com mxt anitrend issue 329608f0e66d4c3bad3ec54916f36272 crash session 61BE584601ED000110E088A54240B98B DNE 0 v2 log)_x000D_
_x000D_
    Stack Trace_x000D_
_x000D_
   sh_x000D_
Fatal Exception: java lang NullPointerException: Attempt to invoke virtual method  java lang String com mxt anitrend model entity base UserBase getName()  on a null object reference_x000D_
       at com mxt anitrend view activity detail ProfileActivity onOptionsItemSelected(ProfileActivity java:126)_x000D_
       at android app Activity onMenuItemSelected(Activity java:4358)_x000D_
       at androidx fragment app FragmentActivity onMenuItemSelected(FragmentActivity java:352)_x000D_
       at androidx appcompat app AppCompatActivity onMenuItemSelected(AppCompatActivity java:228)_x000D_
       at androidx appcompat view WindowCallbackWrapper onMenuItemSelected(WindowCallbackWrapper java:109)_x000D_
       at androidx appcompat view WindowCallbackWrapper onMenuItemSelected(WindowCallbackWrapper java:109)_x000D_
       at androidx appcompat app ToolbarActionBar 2 onMenuItemClick(ToolbarActionBar java:65)_x000D_
       at androidx appcompat widget Toolbar 1 onMenuItemClick(Toolbar java:207)_x000D_
       at androidx appcompat widget ActionMenuView MenuBuilderCallback onMenuItemSelected(ActionMenuView java:779)_x000D_
       at androidx appcompat view menu MenuBuilder dispatchMenuItemSelected(MenuBuilder java:834)_x000D_
       at androidx appcompat view menu MenuItemImpl invoke(MenuItemImpl java:158)_x000D_
       at androidx appcompat view menu MenuBuilder performItemAction(MenuBuilder java:985)_x000D_
       at androidx appcompat view menu MenuBuilder performItemAction(MenuBuilder java:975)_x000D_
       at androidx appcompat widget ActionMenuView invokeItem(ActionMenuView java:623)_x000D_
       at androidx appcompat view menu ActionMenuItemView onClick(ActionMenuItemView java:151)_x000D_
       at android view View performClick(View java:7570)_x000D_
       at android view View performClickInternal(View java:7525)_x000D_
       at android view View access 3900(View java:836)_x000D_
       at android view View PerformClick run(View java:28680)_x000D_
       at android os Handler handleCallback(Handler java:938)_x000D_
       at android os Handler dispatchMessage(Handler java:99)_x000D_
       at android os Looper loop(Looper java:263)_x000D_
       at android app ActivityThread main(ActivityThread java:8276)_x000D_
       at java lang reflect Method invoke(Method java)_x000D_
       at com android internal os RuntimeInit MethodAndArgsCaller run(RuntimeInit java:612)_x000D_
       at com android internal os ZygoteInit main(ZygoteInit java:1006)_x000D_
   _x000D_
</t>
  </si>
  <si>
    <t>AniTrend-anitrend-app-462</t>
  </si>
  <si>
    <t>Null pointer exception: ProfileStatsWidget</t>
  </si>
  <si>
    <t xml:space="preserve">  AniTrend Issue Guidelines_x000D_
_x000D_
Before opening a new issue  please take a moment to review our    community guidelines   (https:  github com AniTrend anitrend app blob master CONTRIBUTING md) to make the contribution process easy and effective for everyone involved _x000D_
_x000D_
  You may find an answer in already closed issues  :_x000D_
https:  github com AniTrend anitrend app issues q is 3Aissue is 3Aclosed_x000D_
_x000D_
   Description Of Bug_x000D_
      A clear and concise description of what the bug is     _x000D_
Seems to be an crash caused an empty  bundle  param on   lines:  153     160   _x000D_
https:  github com AniTrend anitrend app blob 2e254d6b6ef00f8756041509c11fb7e8c9d5b113 app src main java com mxt anitrend base custom view widget ProfileStatsWidget java L151 L165_x000D_
_x000D_
   Additional Context_x000D_
      What are you trying to accomplish  Providing context helps us come up with a solution that is most useful in the real world  also include an logs if you have any in this section    _x000D_
_x000D_
   sh_x000D_
Fatal Exception: java lang NullPointerException: Attempt to invoke virtual method  void android os Bundle unparcel()  on a null object reference_x000D_
       at android os Bundle putAll(Bundle java:292)_x000D_
       at android content Intent putExtras(Intent java:9537)_x000D_
       at com mxt anitrend base custom view widget ProfileStatsWidget onClick(ProfileStatsWidget java:160)_x000D_
       at android view View performClick(View java:7188)_x000D_
       at android view View performClickInternal(View java:7165)_x000D_
       at android view View access 3500(View java:822)_x000D_
       at android view View PerformClick run(View java:27701)_x000D_
       at android os Handler handleCallback(Handler java:883)_x000D_
       at android os Handler dispatchMessage(Handler java:100)_x000D_
       at android os Looper loop(Looper java:224)_x000D_
       at android app ActivityThread main(ActivityThread java:7584)_x000D_
       at java lang reflect Method invoke(Method java)_x000D_
       at com android internal os RuntimeInit MethodAndArgsCaller run(RuntimeInit java:539)_x000D_
       at com android internal os ZygoteInit main(ZygoteInit java:950)_x000D_
   _x000D_
</t>
  </si>
  <si>
    <t>AniTrend-anitrend-app-460</t>
  </si>
  <si>
    <t>Fix media activity crash on menu item visibility change</t>
  </si>
  <si>
    <t xml:space="preserve">  AniTrend Pull Request_x000D_
_x000D_
Thank you for contributing  Please take a moment to review our    contributing guidelines   (https:  github com AniTrend anitrend app blob master CONTRIBUTING md)_x000D_
to make the process easy and effective for everyone involved _x000D_
_x000D_
  Please open an issue   before embarking on any significant pull request  especially those that_x000D_
add a new library or change existing tests  otherwise you risk spending a lot of time working_x000D_
on something that might not end up being merged into the project _x000D_
_x000D_
Before opening a pull request  please ensure:_x000D_
      Go over all the following points  and put an  x  in all the boxes that apply     _x000D_
      If you re unsure about any of these  don t hesitate to ask  We re here to help     _x000D_
_x000D_
   x  You have followed our    contributing guidelines   (https:  github com AniTrend anitrend app blob master CONTRIBUTING md)_x000D_
   x  double check your branch is based on  develop  and targets  develop  _x000D_
      Pull request has tests_x000D_
      Code is well commented  linted and follows project conventions_x000D_
      Documentation is updated (if necessary)_x000D_
   x  Description explains the issue use case resolved_x000D_
   x  I did not commit files that are excluded in the  gitignore file (Happens if you stage files with Android Studio)_x000D_
_x000D_
_x000D_
   Description_x000D_
      Describe your changes in detail    _x000D_
Fixes a crash that would happen when trying to access the _x000D_
  Renames  setManageMenuItemIcon  to  setMenuItemIcons _x000D_
  Moves  malMenuItem  into  setMenuItemIcons  and perform null ability check on menu item prior to making any changes_x000D_
_x000D_
   Motivation and Context_x000D_
See linked issue _x000D_
_x000D_
   How Has This Been Tested _x000D_
Checks  MenuItem  null ability prior to making changes_x000D_
_x000D_
   Screenshots (if appropriate):_x000D_
n a_x000D_
   Types of changes_x000D_
      What types of changes does your code introduce  Put an  x  in all the boxes that apply:    _x000D_
   x  Bug fix (non breaking change which fixes an issue)_x000D_
      New feature (non breaking change which adds functionality)_x000D_
      Breaking change (fix or feature that would cause existing functionality to not work as expected)_x000D_
_x000D_
      Be kind to code reviewers  please try to keep pull requests as small and focused as possible :)    _x000D_
_x000D_
  IMPORTANT  : By submitting a patch  you agree to allow the project_x000D_
owners to license your work under the terms of the  MIT License (https:  github com AniTrend anitrend app blob master LICENSE md) _x000D_
_x000D_
Closes  458 </t>
  </si>
  <si>
    <t>TeamNewPipe-NewPipe-7572</t>
  </si>
  <si>
    <t>Accessibility: Unsigned buttons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</si>
  <si>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_x000D_
Install TalkBack (Android Accessibility Suite) or Jieshuo Screen Reader  Launch NewPipe  and set focus to any video _x000D_
_x000D_
2  Press on       _x000D_
_x000D_
Double tap and hold to open the context menu and select background play _x000D_
_x000D_
3  Swipe down to       _x000D_
_x000D_
When playback starts  go to the notification bar  and double tap the name of the content being played to get to the player  There are many buttons in this window  the names of which are not announced by the Screen Reader  He just says the word Button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When I focus on each of these buttons  I hear the word Button  The situation gets a little better  when in the screen reader settings I enable the ability to declare the IDs of unsigned objects  I hear the following names:_x000D_
_x000D_
control repeat_x000D_
control backward_x000D_
control fast rewind_x000D_
control play pause_x000D_
control fast forward_x000D_
control forward_x000D_
control shuffle_x000D_
_x000D_
I suspect that the reason is the following: there is no Content Description for these elements _x000D_
_x000D_
    Expected behavior_x000D_
     Tell us what you expect to happen     _x000D_
_x000D_
I hear the real names of these buttons  without any screen reader settings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_x000D_
   Android version Custom ROM version:_x000D_
_x000D_
6 0 _x000D_
_x000D_
   Device model:_x000D_
_x000D_
Impression ImSmart C551</t>
  </si>
  <si>
    <t>cal-itp-graas-18</t>
  </si>
  <si>
    <t>route and vehicle dropdowns blank upon first start after QR scan</t>
  </si>
  <si>
    <t xml:space="preserve">Copied from GRaaS Staging  notes from  unreasonableman:_x000D_
_x000D_
Scanned QR code for TCRTA on ipad  then pressed Start button  Dropdowns were empty  Checked filter params and route bucket files  both looked reasonable  Ran web app on desktop safari wit js console open to debug  Routes showed up  Went back to ipad  quit out of safari there and restarted  Issue did not persist past restart _x000D_
_x000D_
This may be harder to debug  but it s a bad first impression if it happens _x000D_
_x000D_
Additional detail: the dropdowns were completely blank  i e  didn t have  Select Route  or  Select Vehicle   This suggests either a crash or a stall  and not a filtering issue </t>
  </si>
  <si>
    <t>k9mail-k-9-5835</t>
  </si>
  <si>
    <t>Don't crash if "Android System WebView" app was disabled</t>
  </si>
  <si>
    <t xml:space="preserve">Sometimes users disable the  Android System WebView  app  In that case K 9 Mail crashes when trying to open a message for viewing  _x000D_
_x000D_
We should catch this exception and display an error message instead </t>
  </si>
  <si>
    <t>commons-app-apps-android-commons-4742</t>
  </si>
  <si>
    <t>App crashes when selecting "star" in menu</t>
  </si>
  <si>
    <t xml:space="preserve">  Summary:   _x000D_
_x000D_
Every time I navigate to the  star  icon on the bottom menu  the device crashes   I do not remember what the star icon represents   Please see the video I created below _x000D_
_x000D_
  Steps to reproduce:   _x000D_
_x000D_
1  Open App_x000D_
2  On the bottom menu with nearby places  etc  and tap the star icon_x000D_
3  App crashes and asks to send logs 
_x000D_
  System logs:  _x000D_
_x000D_
Logs are posted a separate comment below _x000D_
_x000D_
  Device and Android version:   _x000D_
_x000D_
Android version: 12_x000D_
Device manufacturer: Google_x000D_
Device model: Pixel 4a_x000D_
User name: Mds08011_x000D_
 _x000D_
  Commons app version:   _x000D_
_x000D_
App version name: 3 1 1_x000D_
_x000D_
  Screen shots:   
_x000D_
Video of how to reproduce the issue:
_x000D_
https:  user images githubusercontent com 8010709 144611252 30958a68 97bb 43a4 b9f5 e42618d4c6f7 mp4_x000D_
_x000D_
  Would you like to work on the issue   _x000D_
_x000D_
No _x000D_
</t>
  </si>
  <si>
    <t>Exodus-Privacy-exodus-android-app-106</t>
  </si>
  <si>
    <t>Crash EP (menu share)</t>
  </si>
  <si>
    <t>Issue:_x000D_
_x000D_
  Device: Pixel 6_x000D_
  OS: Android 12_x000D_
  EP Version: Preview_x000D_
_x000D_
How reproduce:_x000D_
_x000D_
  Go to your app store  select an app is referenced on EP_x000D_
  Use menu share on android  choose Exodus_x000D_
  In the pop up  select a tracker (tracker used by an another application from your phone)_x000D_
  Select an application installed on your device_x000D_
  Pop up crashed</t>
  </si>
  <si>
    <t>Exodus-Privacy-exodus-android-app-102</t>
  </si>
  <si>
    <t>Crash on split screen</t>
  </si>
  <si>
    <t>Issue:_x000D_
  Device: Pixel 6_x000D_
  OS: Android 12_x000D_
  EP Version: Preview_x000D_
_x000D_
How reproduce:_x000D_
  Open EP_x000D_
  Leave app and go to menu open apps_x000D_
  Enable split screen on EP_x000D_
  EP is displayed on the half of the screen_x000D_
  Consult a report_x000D_
  App crashed</t>
  </si>
  <si>
    <t>Exodus-Privacy-exodus-android-app-100</t>
  </si>
  <si>
    <t>Crash on search</t>
  </si>
  <si>
    <t>Issue:_x000D_
  Device: Pixel 6_x000D_
  OS: Android 12_x000D_
  EP Version: Preview_x000D_
_x000D_
_x000D_
How reproduce:_x000D_
  Go to trackers tab_x000D_
  Consult a tracker_x000D_
  Go back to my apps tab_x000D_
  Click on search bouton_x000D_
  App crashed</t>
  </si>
  <si>
    <t>TeamNewPipe-NewPipe-7569</t>
  </si>
  <si>
    <t>Crash when downloading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</si>
  <si>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video_x000D_
2  Press on download _x000D_
3  Download as audio or video of any quality_x000D_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Crash_x000D_
_x000D_
_x000D_
    Expected behavior_x000D_
     Tell us what you expect to happen     _x000D_
_x000D_
Not crash  video gets downloaded in the way I m selecting_x000D_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Exception_x000D_
    User Action:   ui error_x000D_
    Request:   ACRA report_x000D_
    Content Country:   US_x000D_
    Content Language:   en US_x000D_
    App Language:   en US_x000D_
    Service:   none_x000D_
    Version:   0 21 14_x000D_
    OS:   Linux samsung crownqlteue crownqlteue:10 QP1A 190711 020 N960U1UEU9FUG1:user release keys 10   29_x000D_
 details  summary  b Crash log   b   summary  p _x000D_
_x000D_
   _x000D_
android database sqlite SQLiteException: too many SQL variables (code 1 SQLITE ERROR 1 ):   while compiling: SELECT instance id  duration  description  orientation  height  is drm  bucket display name  owner package name  volume name  date modified  date expires   display name  datetaken  mime type  referer uri   id   data   hash   size  title  width  is trashed  group id  document id  is pending  date added  download uri  primary directory  secondary directory  original document id  bucket id  relative path FROM downloads WHERE ((is pending 0) AND (is trashed 0) AND (volume name IN (  external primary  ))) AND ( data NOT IN (                                                                                                                                                                                                                                                                                                                                                                                                                                                                                                                                                                                                                                                                                                                                                                                                                                                                                                                                                                                                                                                                                                                                                                                                                                                                                                                                                                                                                                                                                                                                                                                                                                                                                                                                                                                                                                                                                                                                                                                                                                                                                                                                                                                                                                                                                                                                                                                                                                                                                                                                                                                                                                                                                                                                                                                                                                                                                                                                                                                                                                                                                                                                                                                                                                                                                                                                                                                                                                                                                                                                                                                                                                                                                                                                                                                                                                                                                                                                                                                                                                                                                                                                                                                                                                                                                                                                                                                                                                                                                                                                                                                                                                                                                                                                                                                                                                                                                                                                                                                                                                                                                               ) AND relative path  )_x000D_
	at android database DatabaseUtils readExceptionFromParcel(DatabaseUtils java:184)_x000D_
	at android database DatabaseUtils readExceptionFromParcel(DatabaseUtils java:140)_x000D_
	at android content ContentProviderProxy query(ContentProviderNative java:423)_x000D_
	at android content ContentResolver query(ContentResolver java:951)_x000D_
	at android content ContentResolver query(ContentResolver java:887)_x000D_
	at android content ContentResolver query(ContentResolver java:843)_x000D_
	at org schabi newpipe streams io StoredDirectoryHelper findFileSAFHelper(StoredDirectoryHelper java:302)_x000D_
	at org schabi newpipe streams io StoredDirectoryHelper findFile(StoredDirectoryHelper java:218)_x000D_
	at org schabi newpipe download DownloadDialog prepareSelectedDownload(DownloadDialog java:776)_x000D_
	at org schabi newpipe download DownloadDialog lambda initToolbar 1(DownloadDialog java:359)_x000D_
	at org schabi newpipe download DownloadDialog  r8 lambda QfMS FoXWFjSoHiNV7JREecQBWg(Unknown Source:0)_x000D_
	at org schabi newpipe download DownloadDialog  ExternalSyntheticLambda6 onMenuItemClick(Unknown Source:2)_x000D_
	at androidx appcompat widget Toolbar 1 onMenuItemClick(Toolbar java:208)_x000D_
	at androidx appcompat widget ActionMenuView MenuBuilderCallback onMenuItemSelected(ActionMenuView java:780)_x000D_
	at androidx appcompat view menu MenuBuilder dispatchMenuItemSelected(MenuBuilder java:834)_x000D_
	at androidx appcompat view menu MenuItemImpl invoke(MenuItemImpl java:158)_x000D_
	at androidx appcompat view menu MenuBuilder performItemAction(MenuBuilder java:985)_x000D_
	at androidx appcompat view menu MenuBuilder performItemAction(MenuBuilder java:975)_x000D_
	at androidx appcompat widget ActionMenuView invokeItem(ActionMenuView java:624)_x000D_
	at androidx appcompat view menu ActionMenuItemView onClick(ActionMenuItemView java:151)_x000D_
	at android view View performClick(View java:7862)_x000D_
	at android widget TextView performClick(TextView java:15004)_x000D_
	at android view View performClickInternal(View java:7831)_x000D_
	at android view View access 3600(View java:879)_x000D_
	at android view View PerformClick run(View java:29359)_x000D_
	at android os Handler handleCallback(Handler java:883)_x000D_
	at android os Handler dispatchMessage(Handler java:100)_x000D_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_x000D_
  details _x000D_
 hr _x000D_
_x000D_
_x000D_
_x000D_
_x000D_
     Please fill this section if you did not provide a log generated by NewPipe    _x000D_
_x000D_
    Device info_x000D_
_x000D_
   Android version Custom ROM version: Android 10_x000D_
   Device model: Samsung Galaxy Note 9_x000D_
</t>
  </si>
  <si>
    <t>flutter-package-images_picker-64</t>
  </si>
  <si>
    <t xml:space="preserve">Camera is not opening in android target sdk 31 </t>
  </si>
  <si>
    <t xml:space="preserve">Using images picker 1 2 9 version_x000D_
_x000D_
Able to open camera till target sdk 30  But camera is not opening in android target sdk 31 _x000D_
We are not seeing any crash or exception in log viewer   Tested in One Plus Nord 7_x000D_
_x000D_
 final images   await ImagesPicker openCamera(_x000D_
      pickType: PickType image _x000D_
    ) </t>
  </si>
  <si>
    <t>inaturalist-iNaturalistAndroid-1161</t>
  </si>
  <si>
    <t xml:space="preserve">https:  console firebase google com u 1 project inaturalist ios crashlytics app android:org inaturalist android issues a98d651a97611dc8f05e2c25283ee5e4_x000D_
_x000D_
   _x000D_
Fatal Exception: java lang NullPointerException: Attempt to invoke virtual method  android content ContentResolver android app Activity getContentResolver()  on a null object reference_x000D_
       at org inaturalist android ObservationEditor createObservationPhotoForPhoto(ObservationEditor java:3555)_x000D_
       at org inaturalist android ObservationEditor access 5400(ObservationEditor java:146)_x000D_
       at org inaturalist android ObservationEditor 42 run(ObservationEditor java:3385)_x000D_
       at java lang Thread run(Thread java:818)_x000D_
   </t>
  </si>
  <si>
    <t>material-components-material-components-android-2507</t>
  </si>
  <si>
    <t>[TextInputLayout] Render problem 1.6.0-alpha01</t>
  </si>
  <si>
    <t xml:space="preserve">  Description:   _x000D_
I am facing a crash at TextInputLayout after update my Material Android Library to version 1 6 0 alpha01 from 1 5 0 rc01 _x000D_
  Expected behavior:  _x000D_
1 5   Render good:_x000D_
  1 5 (https:  user images githubusercontent com 1078610 146993767 a18967d9 3a6c 4f17 a03c 4a2ce33e5ccc png)_x000D_
_x000D_
1 6   Render problem:_x000D_
  1 6 (https:  user images githubusercontent com 1078610 146993770 e4bc7ed2 f839 4acf 9bdd 66e6e45edadb png)_x000D_
_x000D_
  Source code:   _x000D_
_x000D_
   Font used   _x000D_
 Google Inter Regular (https:  fonts google com specimen Inter)_x000D_
_x000D_
   theme xml   _x000D_
   _x000D_
 style name  Theme FragmentVM  parent  Theme Material3 Light NoActionBar  _x000D_
   _x000D_
   header xml   _x000D_
   _x000D_
  xml version  1 0  encoding  utf 8   _x000D_
 androidx constraintlayout widget ConstraintLayout xmlns:android  http:  schemas android com apk res android _x000D_
    xmlns:app  http:  schemas android com apk res auto _x000D_
    android:layout width  match parent _x000D_
    android:layout height  wrap content  _x000D_
_x000D_
     TextView_x000D_
        android:id    id textView _x000D_
        android:layout width  0dp _x000D_
        android:layout height  wrap content _x000D_
        android:layout marginTop  108dp _x000D_
        android:fontFamily   font inter _x000D_
        android:gravity  center horizontal _x000D_
        android:text   string app name _x000D_
        android:textColor   color md theme light primary _x000D_
        android:textSize  36sp _x000D_
        app:layout constraintEnd toEndOf  parent _x000D_
        app:layout constraintStart toStartOf  parent _x000D_
        app:layout constraintTop toTopOf  parent    _x000D_
  androidx constraintlayout widget ConstraintLayout _x000D_
   _x000D_
_x000D_
   main layout xml   _x000D_
   _x000D_
  xml version  1 0  encoding  utf 8   _x000D_
 androidx constraintlayout widget ConstraintLayout xmlns:android  http:  schemas android com apk res android _x000D_
    xmlns:app  http:  schemas android com apk res auto _x000D_
    xmlns:tools  http:  schemas android com tools _x000D_
    android:layout width  match parent _x000D_
    android:layout height  match parent _x000D_
    tools:context   ui LoginFragment  _x000D_
_x000D_
     include_x000D_
        android:id    id include _x000D_
        layout   layout header _x000D_
        android:layout width  0dp _x000D_
        android:layout height  wrap content _x000D_
        app:layout constraintEnd toEndOf  parent _x000D_
        app:layout constraintStart toStartOf  parent _x000D_
        app:layout constraintTop toTopOf  parent    _x000D_
_x000D_
     com google android material textfield TextInputLayout_x000D_
        android:id    id tilEmail _x000D_
        android:layout width  0dp _x000D_
        android:layout height  wrap content _x000D_
        android:layout marginStart  64dp _x000D_
        android:layout marginEnd  64dp _x000D_
        android:layout marginBottom  8dp _x000D_
        android:hint   string email _x000D_
        app:layout constraintBottom toTopOf   id tilDescription _x000D_
        app:layout constraintEnd toEndOf  parent _x000D_
        app:layout constraintStart toStartOf  parent _x000D_
        app:layout constraintTop toBottomOf   id include _x000D_
        app:layout constraintVertical chainStyle  packed  _x000D_
_x000D_
         com google android material textfield TextInputEditText_x000D_
            android:id    id edtEmail _x000D_
            android:layout width  match parent _x000D_
            android:layout height  wrap content _x000D_
            android:inputType  textEmailAddress    _x000D_
      com google android material textfield TextInputLayout _x000D_
_x000D_
     com google android material textfield TextInputLayout_x000D_
        android:id    id tilDescription _x000D_
        android:layout width  0dp _x000D_
        android:layout height  wrap content _x000D_
        android:layout marginStart  64dp _x000D_
        android:layout marginEnd  64dp _x000D_
        android:layout marginBottom  8dp _x000D_
        android:hint   string description _x000D_
        app:layout constraintBottom toTopOf   id btnLogin _x000D_
        app:layout constraintEnd toEndOf  parent _x000D_
        app:layout constraintStart toStartOf  parent _x000D_
        app:layout constraintTop toBottomOf   id tilEmail _x000D_
        app:layout constraintVertical chainStyle  packed  _x000D_
_x000D_
         com google android material textfield TextInputEditText_x000D_
            android:id    id edtDescription _x000D_
            android:layout width  match parent _x000D_
            android:layout height  wrap content _x000D_
            android:inputType  text    _x000D_
      com google android material textfield TextInputLayout _x000D_
_x000D_
     Button_x000D_
        android:id    id btnLogin _x000D_
        android:layout width  0dp _x000D_
        android:layout height  50dp _x000D_
        android:layout marginStart  40dp _x000D_
        android:layout marginEnd  40dp _x000D_
        android:layout marginBottom  40dp _x000D_
        android:text   string btnNext _x000D_
        app:icon   drawable ic arrow _x000D_
        app:iconGravity  end _x000D_
        app:layout constraintBottom toBottomOf  parent _x000D_
        app:layout constraintEnd toEndOf  parent _x000D_
        app:layout constraintStart toStartOf  parent    _x000D_
_x000D_
  androidx constraintlayout widget ConstraintLayout _x000D_
   _x000D_
  Android API version:   31_x000D_
_x000D_
  Material Library version:   Material Android Library version 1 6 0 alpha01_x000D_
_x000D_
  Device:   Emulator_x000D_
_x000D_
  Render propblem  _x000D_
   _x000D_
java lang IllegalArgumentException: weight is out of range of  0  1000  (too low) _x000D_
at com android internal util Preconditions checkArgumentInRange(Preconditions java:527) _x000D_
at android graphics Typeface create Original(Typeface java:979) _x000D_
at android graphics Typeface Delegate create(Typeface Delegate java:123) _x000D_
at android graphics Typeface create(Typeface java:979) _x000D_
at com google android material internal CollapsingTextHelper maybeCloneWithAdjustment(CollapsingTextHelper java:525) _x000D_
at com google android material internal CollapsingTextHelper setCollapsedTypefaceInternal(CollapsingTextHelper java:468) _x000D_
at com google android material internal CollapsingTextHelper setTypefaces(CollapsingTextHelper java:452) _x000D_
at com google android material textfield TextInputLayout setEditText(TextInputLayout java:1457) _x000D_
at com google android material textfield TextInputLayout addView(TextInputLayout java:878) _x000D_
at android view ViewGroup addView(ViewGroup java:5048) _x000D_
at android view LayoutInflater rInflate Original(LayoutInflater java:1131) _x000D_
at android view LayoutInflater Delegate rInflate(LayoutInflater Delegate java:72) _x000D_
at android view LayoutInflater rInflate(LayoutInflater java:1101) _x000D_
at android view LayoutInflater rInflateChildren(LayoutInflater java:1088) _x000D_
at android view LayoutInflater rInflate Original(LayoutInflater java:1130) _x000D_
at android view LayoutInflater Delegate rInflate(LayoutInflater Delegate java:72) _x000D_
at android view LayoutInflater rInflate(LayoutInflater java:1101) _x000D_
at android view LayoutInflater rInflateChildren(LayoutInflater java:1088) _x000D_
at android view LayoutInflater inflate(LayoutInflater java:686) _x000D_
at android view LayoutInflater inflate(LayoutInflater java:505) _x000D_
Tip: Try to refresh the layout  _x000D_
   </t>
  </si>
  <si>
    <t>TeamNewPipe-NewPipe-7564</t>
  </si>
  <si>
    <t>"Remove watched" feature keeps working after first activation, essentially auto-removing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</si>
  <si>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Make a playlist  add some new videos to it  go to bookmarked playlists tab  open that playlist _x000D_
2  Press  Play All  and watch some videos  but not all of them  Then stop playback  back cancel to the playlist _x000D_
3  Press  Remove watched   then  Yes  and partially watched videos  (I can t test the  Yes  variant because of this bug https:  github com TeamNewPipe NewPipe issues 7563 )  Some videos are removed now  including the one which was playing last (obviously) _x000D_
4  Press  Play All  again to continue watching videos one by one _x000D_
5  Stop after watching through at least one  then back cancel to the playlist view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All watched videos including the currently played are removed (I think it happens immediately after each one finishes playing)_x000D_
_x000D_
_x000D_
    Expected behavior_x000D_
     Tell us what you expect to happen     _x000D_
Nothing should happen  supposedly you d need to activate removal feature again for it to work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5 1 1_x000D_
   Device model: SM J120F_x000D_
</t>
  </si>
  <si>
    <t>TeamNewPipe-NewPipe-7563</t>
  </si>
  <si>
    <t>Videos can't have "watched" status and/or "Remove watched" doesn't work and/or "playback position" feature is bugged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</si>
  <si>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(HOPEFULLY)  I will open one issue for every bug report I want to file _x000D_
_x000D_
    Steps to reproduce the bug_x000D_
1  Make a playlist and add videos to it_x000D_
2  Play one or more of those videos till the end or and use  Mark as watched  from video s context (long tap) menu_x000D_
3  A red progress bar under each watched video should be visible now (it is not immediately visible in the  What s new  tab so either go to the playlist or press  Refresh   not sure if it isn t another bug)_x000D_
4  In the playlist view press  Remove watched   then  Yes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No videos are removed _x000D_
  The red progress bar often (not always) misses a chunk from its end  most noticeable on short (3 5 min or less) videos _x000D_
_x000D_
    Expected behavior_x000D_
     Tell us what you expect to happen     _x000D_
_x000D_
  All completely watched videos should be removed _x000D_
  All completely watched videos should have a full red bar under them _x000D_
_x000D_
Just a wild guess   bug could be related to how preloading next video while still playing the current one is implemented  based on those incomplete red bars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5 1 1_x000D_
   Device model: SM J120F_x000D_
</t>
  </si>
  <si>
    <t>PojavLauncherTeam-PojavLauncher-2437</t>
  </si>
  <si>
    <t>[BUG] game crashes with code 1 when trying to install forge</t>
  </si>
  <si>
    <t xml:space="preserve">    Describe the bug
Game app crashes with code 1 when trying to install Forge
    The log file and images videos
 No response 
    Steps To Reproduce
   markdown
1 Trying to install Forge mod installer_x000D_
2  t crashing
Not:i am using Java 8
    Expected Behavior
Successful forge installation 
    Platform
   markdown
  Device model: GM 20_x000D_
  CPU architecture: aarch64_x000D_
  Android version: 11_x000D_
  PojavLauncher version: crocus v3 openjdk
    Anything else 
I m just having trouble installing forge</t>
  </si>
  <si>
    <t>PojavLauncherTeam-PojavLauncher-2435</t>
  </si>
  <si>
    <t>Minecraft 1.18.1 doesn't launch</t>
  </si>
  <si>
    <t xml:space="preserve">    Describe the bug
So when I launch Minecraft 1 18 1 with Java arm64 renderer gl4es 1 1 5 i crash without any error pop up
    The log file and images videos
 latestlog txt (https:  github com PojavLauncherTeam PojavLauncher files 7750321 latestlog txt)_x000D_
    Steps To Reproduce
   markdown
1  Start pojav launcher_x000D_
2  Select renderer gl4es 1 1 5_x000D_
3  Select runtime Java 17 arm 64
    Expected Behavior
I expect the game to launch successfully
    Platform
   markdown
  Device model: Samsung M51 _x000D_
  CPU architecture: aarch64_x000D_
  Android version: 11_x000D_
  PojavLauncher version: latest release
    Anything else 
 No response </t>
  </si>
  <si>
    <t>Anuken-Mindustry-6447</t>
  </si>
  <si>
    <t>Modded router ca only carry 1 item</t>
  </si>
  <si>
    <t xml:space="preserve">  Platform  :  Android iOS Mac Windows Linux _x000D_
Window 10 (sorry linux)_x000D_
  Build  :  The build number under the title in the main menu  Required   LATEST  IS NOT A VERSION  I NEED THE EXACT BUILD NUMBER OF YOUR GAME  _x000D_
pre alpha build 135_x000D_
  Issue  :  Explain your issue in detail  _x000D_
modded router can only carry one item at once_x000D_
  Steps to reproduce  :  How you happened across the issue  and what exactly you did to make the bug happen  _x000D_
add a router with itemCapacity higher than 1_x000D_
go to a custom game  place and try to use it_x000D_
   it wont carry more than 1 item_x000D_
(i fixed it in my scripted router by changing acceptItem(source  item))_x000D_
  Link(s) to mod(s) used  :  The mod repositories or zip files that are related to the issue  if applicable  _x000D_
EclipseTheOldOne Project Eclipse (my mod)_x000D_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mmm yes it happen everywhere i guess_x000D_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none  router isn t that dangerous_x000D_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</si>
  <si>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cgeo-cgeo-12371</t>
  </si>
  <si>
    <t>Crashes when using map</t>
  </si>
  <si>
    <t xml:space="preserve">Lately the nightlies got unstable for me 
Cannot reproduce it but its in some scenario like:
  Have a list of stored caches (several types incl  labs)
  Map the list
  Maybe also enable live and disable again
  Look at some cache wp popups and or open details and return to map
After some iterations the app crashes and I am back on the dashboard 
Could it be related to the changed activity stack 
Running: 2021 12 20 NB
Logfile:
12 20 22:29:17 659 17954 22248 W cgeo    :  RxComputationThreadPool 1  UncaughtException
12 20 22:29:17 659 17954 22248 W cgeo    : java lang NullPointerException: Attempt to invoke virtual method  android content res Resources android widget TextView getResources()  on a null object reference
12 20 22:29:17 659 17954 22248 W cgeo    : 	at cgeo geocaching network SmileyImage scaleImage(SmileyImage java:29)
12 20 22:29:17 659 17954 22248 W cgeo    : 	at cgeo geocaching network HtmlImage 1 loadFromDisk(HtmlImage java:251)
12 20 22:29:17 659 17954 22248 W cgeo    : 	at cgeo geocaching network HtmlImage 1 lambda downloadAndSave 2(HtmlImage java:274)
12 20 22:29:17 659 17954 22248 W cgeo    : 	at cgeo geocaching network HtmlImage 1 lambda downloadAndSave 2 HtmlImage 1(Unknown Source:0)
12 20 22:29:17 659 17954 22248 W cgeo    : 	at cgeo geocaching network    Lambda HtmlImage 1 hSTXcuM97z Rw6Px8qKtpFuI59A run(Unknown Source:4)
12 20 22:29:17 659 17954 22248 W cgeo    : 	at io reactivex rxjava3 internal schedulers ScheduledDirectTask call(ScheduledDirectTask java:38)
12 20 22:29:17 659 17954 22248 W cgeo    : 	at io reactivex rxjava3 internal schedulers ScheduledDirectTask call(ScheduledDirectTask java:25)
12 20 22:29:17 659 17954 22248 W cgeo    : 	at java util concurrent FutureTask run(FutureTask java:266)
12 20 22:29:17 659 17954 22248 W cgeo    : 	at java util concurrent ScheduledThreadPoolExecutor ScheduledFutureTask run(ScheduledThreadPoolExecutor java:301)
12 20 22:29:17 659 17954 22248 W cgeo    : 	at java util concurrent ThreadPoolExecutor runWorker(ThreadPoolExecutor java:1167)
12 20 22:29:17 659 17954 22248 W cgeo    : 	at java util concurrent ThreadPoolExecutor Worker run(ThreadPoolExecutor java:641)
12 20 22:29:17 659 17954 22248 W cgeo    : 	at java lang Thread run(Thread java:923)
12 20 22:29:17 659 17954 22248 E AndroidRuntime: FATAL EXCEPTION: RxComputationThreadPool 1
12 20 22:29:17 659 17954 22248 E AndroidRuntime: Process: cgeo geocaching  PID: 17954
12 20 22:29:17 659 17954 22248 E AndroidRuntime: java lang NullPointerException: Attempt to invoke virtual method  android content res Resources android widget TextView getResources()  on a null object reference
12 20 22:29:17 659 17954 22248 E AndroidRuntime: 	at cgeo geocaching network SmileyImage scaleImage(SmileyImage java:29)
12 20 22:29:17 659 17954 22248 E AndroidRuntime: 	at cgeo geocaching network HtmlImage 1 loadFromDisk(HtmlImage java:251)
12 20 22:29:17 659 17954 22248 E AndroidRuntime: 	at cgeo geocaching network HtmlImage 1 lambda downloadAndSave 2(HtmlImage java:274)
12 20 22:29:17 659 17954 22248 E AndroidRuntime: 	at cgeo geocaching network HtmlImage 1 lambda downloadAndSave 2 HtmlImage 1(Unknown Source:0)
12 20 22:29:17 659 17954 22248 E AndroidRuntime: 	at cgeo geocaching network    Lambda HtmlImage 1 hSTXcuM97z Rw6Px8qKtpFuI59A run(Unknown Source:4)
12 20 22:29:17 659 17954 22248 E AndroidRuntime: 	at io reactivex rxjava3 internal schedulers ScheduledDirectTask call(ScheduledDirectTask java:38)
12 20 22:29:17 659 17954 22248 E AndroidRuntime: 	at io reactivex rxjava3 internal schedulers ScheduledDirectTask call(ScheduledDirectTask java:25)
12 20 22:29:17 659 17954 22248 E AndroidRuntime: 	at java util concurrent FutureTask run(FutureTask java:266)
12 20 22:29:17 659 17954 22248 E AndroidRuntime: 	at java util concurrent ScheduledThreadPoolExecutor ScheduledFutureTask run(ScheduledThreadPoolExecutor java:301)
12 20 22:29:17 659 17954 22248 E AndroidRuntime: 	at java util concurrent ThreadPoolExecutor runWorker(ThreadPoolExecutor java:1167)
12 20 22:29:17 659 17954 22248 E AndroidRuntime: 	at java util concurrent ThreadPoolExecutor Worker run(ThreadPoolExecutor java:641)
12 20 22:29:17 659 17954 22248 E AndroidRuntime: 	at java lang Thread run(Thread java:923)
   </t>
  </si>
  <si>
    <t>Benji377-SocyMusic-206</t>
  </si>
  <si>
    <t>Recreating of the app crashes playerfragment</t>
  </si>
  <si>
    <t xml:space="preserve">There was a bug which was causing the Player fragment crash  Basically every time we changed theme we had to recreate the app and if  for some reason  the user was in Player fragment at that time  it would fail to recreate the app and just crash _x000D_
_x000D_
This bug should now be fixed as the themes have been removed  I never noticed it happen myself  and I never heard of others complaining about it  I therefore declare this bug as closed and the app is now completely bug free _x000D_
_x000D_
Warning  Bug free means there are no bugs we discovered or someone complained about  As I will add new stuff to it  there will definitely be more bugs coming  and I m sure some of you are easily able to find other bugs too  It just means that right now nobody is concerned about a bug  </t>
  </si>
  <si>
    <t>nextcloud-android-9593</t>
  </si>
  <si>
    <t>app crash</t>
  </si>
  <si>
    <t xml:space="preserve">    Steps to reproduce_x000D_
1  Click backup now under contacts and calendar_x000D_
2  _x000D_
3  _x000D_
_x000D_
    Expected behaviour_x000D_
  Tell us what should happen_x000D_
I noticed my contacts were not backing up for almost a month  so I initiated a manual backup by clicking the button and shortly after that is when the app crashed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</si>
  <si>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PojavLauncherTeam-PojavLauncher-2431</t>
  </si>
  <si>
    <t>[BUG] Game crash on 1.18</t>
  </si>
  <si>
    <t xml:space="preserve">    Describe the bug_x000D_
_x000D_
The launcher won t launch 1 18   1 18 1_x000D_
_x000D_
    The log file and images videos_x000D_
 latestlog txt (https:  github com PojavLauncherTeam PojavLauncher files 7746545 latestlog txt)_x000D_
_x000D_
 latestcrash txt (https:  github com PojavLauncherTeam PojavLauncher files 7746544 latestcrash txt)_x000D_
_x000D_
    Steps To Reproduce_x000D_
_x000D_
   markdown_x000D_
1  Start Pojav_x000D_
2  Click on 1 18_x000D_
3  Click Play_x000D_
4  Wait for it to load _x000D_
5  It will crash before fully loading into menu _x000D_
   _x000D_
_x000D_
_x000D_
    Expected Behavior_x000D_
_x000D_
I expect for it to exist and load into the game _x000D_
_x000D_
    Platform_x000D_
_x000D_
   markdown_x000D_
  Device model: Lenovo S330_x000D_
  CPU architecture: ARM64_x000D_
  Android version: None _x000D_
  PojavLauncher version: Latest_x000D_
   _x000D_
_x000D_
_x000D_
    Anything else _x000D_
_x000D_
 No response_x000D_
</t>
  </si>
  <si>
    <t>PojavLauncherTeam-PojavLauncher-2425</t>
  </si>
  <si>
    <t>Cuando pongo mod se ve pantalla negra[BUG] &lt;Short description&gt;</t>
  </si>
  <si>
    <t xml:space="preserve">    Describe the bug
Cuando pongo mod la pantalla se ve negra y si pongo optifine se crashea si junto tal mod
    The log file and images videos
 No response 
    Steps To Reproduce
   markdown
 1
    Expected Behavior
Juegos se cerr   1
    Platform
   markdown
  Device model: _x000D_
  CPU architecture: _x000D_
  Android version: _x000D_
  PojavLauncher version:
    Anything else 
 No response </t>
  </si>
  <si>
    <t>nextcloud-android-9588</t>
  </si>
  <si>
    <t>Was testing to play audio file (.MP3) on android app. Rest, please look into the crash log</t>
  </si>
  <si>
    <t xml:space="preserve">    Steps to reproduce_x000D_
1  Did setup nextcloudpi on docker which is in armbian_x000D_
2  Did setup user  domain  etc  _x000D_
3  Installed the app  tried uploading 2 MP3 files and tried to play them  _x000D_
_x000D_
    Expected behaviour_x000D_
  if the player plugin was not present  the app could have looked for external MP3 players or give out a message saying nextcloud doesn t recognise the file_x000D_
_x000D_
    Actual behaviour_x000D_
  struggled to play it for some time with just nextcloud logo and got a crash report after some time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color os 11 (android 11)_x000D_
_x000D_
Device model: Reno 6 5g (global edition)_x000D_
_x000D_
Stock or customized system: _x000D_
_x000D_
Nextcloud app version: 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</si>
  <si>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microsoft-appcenter-sdk-android-1587</t>
  </si>
  <si>
    <t>Crash when installing in app update</t>
  </si>
  <si>
    <t xml:space="preserve">      Description  _x000D_
Got crash report after migrating to 4 4 1_x000D_
_x000D_
     Stacktrace_x000D_
   _x000D_
com microsoft appcenter distribute InstallerUtils createIntentSender (InstallerUtils java:193) _x000D_
com microsoft appcenter distribute InstallerUtils installPackage (InstallerUtils java:175) _x000D_
com microsoft appcenter distribute ReleaseInstallerListener startInstall (ReleaseInstallerListener java:101) _x000D_
com microsoft appcenter distribute Distribute installUpdate (Distribute java:1945) _x000D_
com microsoft appcenter distribute Distribute resumeDistributeWorkflow (Distribute java:833) _x000D_
com microsoft appcenter distribute Distribute onActivityResumed (Distribute java:548) _x000D_
androidx fragment app FragmentActivity onResume (FragmentActivity java:433) _x000D_
   _x000D_
     Reason_x000D_
   _x000D_
java lang IllegalArgumentException: net dchdc: Targeting S  (version 31 and above) requires that one of FLAG IMMUTABLE or FLAG MUTABLE be specified when creating a PendingIntent _x000D_
Strongly consider using FLAG IMMUTABLE  only use FLAG MUTABLE if some functionality depends on the PendingIntent being mutable  e g  if it needs to be used with inline replies or bubbles _x000D_
   _x000D_
_x000D_
      Repro Steps  _x000D_
_x000D_
Do an in app update on Android 12 device _x000D_
_x000D_
      Details  _x000D_
_x000D_
1  Which SDK version are you using _x000D_
    4 4 1_x000D_
2  Which OS version did you experience the issue on _x000D_
    Android 12_x000D_
3  What device version did you see this error on   Were you using an emulator or a physical device _x000D_
    Physical device_x000D_
4  What third party libraries are you using _x000D_
    Not related_x000D_
5  Please enable verbose logging for your app using  AppCenter setLogLevel(Log VERBOSE)  before your call to  AppCenter start(   )  and include the logs here:_x000D_
</t>
  </si>
  <si>
    <t>TeamNewPipe-NewPipe-7554</t>
  </si>
  <si>
    <t>Cannot edit Content order on FireTV (no swipe)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</si>
  <si>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New Pipe on FireTV_x000D_
2  Go to Settings    Content    Content of Main page_x000D_
3  Try to change the order or remove entries in the list 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There is no way on FireTV to swpie a list entry to remove it or hold it to move up or down _x000D_
_x000D_
_x000D_
    Expected behavior_x000D_
     Tell us what you expect to happen     _x000D_
For the use with the FireTV remote control there should be buttons or other ways to edit the list _x000D_
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Fire OS 7 2 5 5_x000D_
   Device model: Fire TV Stick 4K Max_x000D_
</t>
  </si>
  <si>
    <t>TeamNewPipe-NewPipe-7550</t>
  </si>
  <si>
    <t>Unable to import newpipe backup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</si>
  <si>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Settings_x000D_
2  Go to content_x000D_
3  Press on  import database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When I try to import newpipebackup zip file by clicking import database  the app just crashes without any warning  On 2nd or third crash  it displays a crash log given below _x000D_
_x000D_
_x000D_
_x000D_
    Expected behavior_x000D_
The settings  history  playlists   subs contained in the backup should have been restored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US_x000D_
    Content Language:   en US_x000D_
    App Language:   en US_x000D_
    Service:   none_x000D_
    Version:   0 21 14_x000D_
    OS:   Linux Android 11   30_x000D_
 details  summary  b Crash log   b   summary  p _x000D_
_x000D_
   _x000D_
android content ActivityNotFoundException: No Activity found to handle Intent   act android intent action OPEN DOCUMENT cat  android intent category OPENABLE  typ application zip flg 0x43 (has extras)  _x000D_
	at android app Instrumentation checkStartActivityResult(Instrumentation java:2073)_x000D_
	at android app Instrumentation execStartActivity(Instrumentation java:1729)_x000D_
	at android app Activity startActivityForResult(Activity java:5430)_x000D_
	at androidx activity ComponentActivity startActivityForResult(ComponentActivity java:597)_x000D_
	at androidx core app ActivityCompat startActivityForResult(ActivityCompat java:237)_x000D_
	at androidx activity ComponentActivity 2 onLaunch(ComponentActivity java:210)_x000D_
	at androidx activity result ActivityResultRegistry 2 launch(ActivityResultRegistry java:167)_x000D_
	at androidx fragment app Fragment 9 launch(Fragment java:3510)_x000D_
	at androidx activity result ActivityResultLauncher launch(ActivityResultLauncher java:47)_x000D_
	at org schabi newpipe settings ContentSettingsFragment lambda onCreatePreferences 0(ContentSettingsFragment java:76)_x000D_
	at org schabi newpipe settings ContentSettingsFragment  r8 lambda IJ0 sY 2nFZ8j0D13C6AQ28cAn0(Unknown Source:0)_x000D_
	at org schabi newpipe settings ContentSettingsFragment  ExternalSyntheticLambda7 onPreferenceClick(Unknown Source:2)_x000D_
	at androidx preference Preference performClick(Preference java:1184)_x000D_
	at androidx preference Preference performClick(Preference java:1166)_x000D_
	at androidx preference Preference 1 onClick(Preference java:181)_x000D_
	at android view View performClick(View java:7570)_x000D_
	at android view View performClickInternal(View java:7525)_x000D_
	at android view View access 3900(View java:836)_x000D_
	at android view View PerformClick run(View java:28680)_x000D_
	at android os Handler handleCallback(Handler java:938)_x000D_
	at android os Handler dispatchMessage(Handler java:99)_x000D_
	at android os Looper loop(Looper java:260)_x000D_
	at android app ActivityThread main(ActivityThread java:8260)_x000D_
	at java lang reflect Method invoke(Native Method)_x000D_
	at com android internal os RuntimeInit MethodAndArgsCaller run(RuntimeInit java:612)_x000D_
	at com android internal os ZygoteInit main(ZygoteInit java:1006)_x000D_
_x000D_
   _x000D_
  details _x000D_
 hr _x000D_
_x000D_
_x000D_
_x000D_
     Please fill this section if you did not provide a log generated by NewPipe    _x000D_
_x000D_
    Device info_x000D_
_x000D_
   Android version Custom ROM version: 11 (not using any custom rom)_x000D_
_x000D_
Additional Notes : No debloating was performed on the phone yet  I m using the phone s default file manager </t>
  </si>
  <si>
    <t>TeamNewPipe-NewPipe-7549</t>
  </si>
  <si>
    <t>Playing a video causes app crash [Android 7 - Lenovo] - caused by NullPointer in SurfaceView.updateWindow</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</si>
  <si>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any video _x000D_
2  Play video _x000D_
3 Change Orientation (either automatically or manually)  Or press the back button _x000D_
4  App crash 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App crash_x000D_
     Tell us what happens with the steps given above     _x000D_
_x000D_
_x000D_
_x000D_
    Expected behavior_x000D_
Videos must be played without any carsh_x000D_
     Tell us what you expect to happen     _x000D_
_x000D_
_x000D_
_x000D_
    Screenshots Screen recordings_x000D_
Not required  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GB_x000D_
    Content Language:   en_x000D_
    App Language:   en IN_x000D_
    Service:   none_x000D_
    Version:   0 21 14_x000D_
    OS:   Linux Android 7 0   24_x000D_
 details  summary  b Crash log   b   summary  p _x000D_
_x000D_
   _x000D_
java lang RuntimeException: Unable to stop service org schabi newpipe player MainPlayer 264a0e5: java lang NullPointerException: Attempt to invoke interface method  void android view IWindowSession performDeferredDestroy(android view IWindow)  on a null object reference_x000D_
	at android app ActivityThread handleStopService(ActivityThread java:3344)_x000D_
	at android app ActivityThread  wrap27(ActivityThread java)_x000D_
	at android app ActivityThread H handleMessage(ActivityThread java:1570)_x000D_
	at android os Handler dispatchMessage(Handler java:102)_x000D_
	at android os Looper loop(Looper java:154)_x000D_
	at android app ActivityThread main(ActivityThread java:6077)_x000D_
	at java lang reflect Method invoke(Native Method)_x000D_
	at com android internal os ZygoteInit MethodAndArgsCaller run(ZygoteInit java:865)_x000D_
	at com android internal os ZygoteInit main(ZygoteInit java:755)_x000D_
Caused by: java lang NullPointerException: Attempt to invoke interface method  void android view IWindowSession performDeferredDestroy(android view IWindow)  on a null object reference_x000D_
	at android view SurfaceView updateWindow(SurfaceView java:658)_x000D_
	at android view SurfaceView onWindowVisibilityChanged(SurfaceView java:255)_x000D_
	at android view View dispatchDetachedFromWindow(View java:15437)_x000D_
	at android view ViewGroup dispatchDetachedFromWindow(ViewGroup java:3222)_x000D_
	at android view ViewGroup removeViewInternal(ViewGroup java:4758)_x000D_
	at android view ViewGroup removeViewInternal(ViewGroup java:4732)_x000D_
	at android view ViewGroup removeView(ViewGroup java:4663)_x000D_
	at org schabi newpipe player MainPlayer removeViewFromParent(MainPlayer java:240)_x000D_
	at org schabi newpipe player MainPlayer cleanup(MainPlayer java:187)_x000D_
	at org schabi newpipe player MainPlayer onDestroy(MainPlayer java:178)_x000D_
	at android app ActivityThread handleStopService(ActivityThread java:3327)_x000D_
	    8 more_x000D_
_x000D_
   _x000D_
  details _x000D_
 hr _x000D_
_x000D_
_x000D_
     That s right  here     _x000D_
_x000D_
_x000D_
_x000D_
     Please fill this section if you did not provide a log generated by NewPipe    _x000D_
</t>
  </si>
  <si>
    <t>PojavLauncherTeam-PojavLauncher-2414</t>
  </si>
  <si>
    <t>[BUG] Crash and no crash report</t>
  </si>
  <si>
    <t xml:space="preserve">    Describe the bug
Hey _x000D_
I am experiencing a bug in any Minecraft Version  When I start the game and its loading the chunks my game just crashes  No Error Code  nothing  It just crashes in the Login Screen  _x000D_
 The Phone i am using is the Samsung Galaxy S10e _x000D_
_x000D_
I hope someone has an idea :)  _x000D_
Have a nice day  
    The log file and images videos
 No response 
    Steps To Reproduce
   markdown
1  Start the PojavLauncher_x000D_
2  Start any Game Version_x000D_
3  Load into a World_x000D_
4  Crash
    Expected Behavior
Just a crash with no crash report that sends you back to the Login Menu 
    Platform
   markdown
  Device model: Samsung Galaxy S10e_x000D_
  CPU architecture: 64 bit (i dont know what aarch really is)_x000D_
  Android version: 11_x000D_
  PojavLauncher version: crocus v3 openjdk
    Anything else 
 No response </t>
  </si>
  <si>
    <t>nextcloud-android-9585</t>
  </si>
  <si>
    <t>App don't work without android webview</t>
  </si>
  <si>
    <t xml:space="preserve">    Steps to reproduce_x000D_
1  _x000D_
2  _x000D_
3  _x000D_
_x000D_
    Expected behaviour_x000D_
  Tell us what should happen_x000D_
_x000D_
    Actual behaviour_x000D_
  Tell us what happens_x000D_
  app crash when i paste my server address and press enter_x000D_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Oneplus 7 pro_x000D_
_x000D_
Stock or customized system: Lineage os 18 1 (without gapps and with android web view uninstalled cause it s developed by google)_x000D_
_x000D_
Nextcloud app version: 20211211_x000D_
_x000D_
Nextcloud server version: I don t know  i just use opsone cloud_x000D_
_x000D_
Reverse proxy:_x000D_
_x000D_
    Logs_x000D_
     Web server error log_x000D_
   _x000D_
Insert your webserver log here_x000D_
   _x000D_
_x000D_
     Nextcloud log (data nextcloud log)_x000D_
   _x000D_
Insert your Nextcloud log here_x000D_
             CAUSE OF ERROR             _x000D_
_x000D_
android view InflateException: Binary XML file line  10 in com nextcloud android beta:layout account setup webview: Binary XML file line  10 in com nextcloud android beta:layout account setup webview: Error inflating class android webkit WebView_x000D_
Caused by: android view InflateException: Binary XML file line  10 in com nextcloud android beta:layout account setup webview: Error inflating class android webkit WebView_x000D_
Caused by: java lang reflect InvocationTargetException_x000D_
	at java lang reflect Constructor newInstance0(Native Method)_x000D_
	at java lang reflect Constructor newInstance(Constructor java:343)_x000D_
	at android view LayoutInflater createView(LayoutInflater java:852)_x000D_
	at android view LayoutInflater createView(LayoutInflater java:774)_x000D_
	at com android internal policy PhoneLayoutInflater onCreateView(PhoneLayoutInflater java:58)_x000D_
	at android view LayoutInflater onCreateView(LayoutInflater java:928)_x000D_
	at android view LayoutInflater onCreateView(LayoutInflater java:948)_x000D_
	at android view LayoutInflater createViewFromTag(LayoutInflater java:1002)_x000D_
	at android view LayoutInflater createViewFromTag(LayoutInflater java:959)_x000D_
	at android view LayoutInflater rInflate(LayoutInflater java:1121)_x000D_
	at android view LayoutInflater rInflateChildren(LayoutInflater java:1082)_x000D_
	at android view LayoutInflater inflate(LayoutInflater java:680)_x000D_
	at android view LayoutInflater inflate(LayoutInflater java:532)_x000D_
	at com owncloud android databinding AccountSetupWebviewBinding inflate(AccountSetupWebviewBinding java:50)_x000D_
	at com owncloud android databinding AccountSetupWebviewBinding inflate(AccountSetupWebviewBinding java:44)_x000D_
	at com owncloud android authentication AuthenticatorActivity onGetServerInfoFinish(AuthenticatorActivity java:929)_x000D_
	at com owncloud android authentication AuthenticatorActivity onRemoteOperationFinish(AuthenticatorActivity java:843)_x000D_
	at com owncloud android services OperationsService lambda dispatchResultToOperationListeners 0(OperationsService java:778)_x000D_
	at com owncloud android services OperationsService  ExternalSyntheticLambda0 run(Unknown Source:6)_x000D_
	at android os Handler handleCallback(Handler java:938)_x000D_
	at android os Handler dispatchMessage(Handler java:99)_x000D_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Caused by: android util AndroidRuntimeException: android webkit WebViewFactory MissingWebViewPackageException: Failed to load WebView provider: No WebView installed_x000D_
	at android webkit WebViewFactory getProviderClass(WebViewFactory java:435)_x000D_
	at android webkit WebViewFactory getProvider(WebViewFactory java:252)_x000D_
	at android webkit WebView getFactory(WebView java:2576)_x000D_
	at android webkit WebView ensureProviderCreated(WebView java:2570)_x000D_
	at android webkit WebView setOverScrollMode(WebView java:2638)_x000D_
	at android view View  init (View java:5321)_x000D_
	at android view View  init (View java:5467)_x000D_
	at android view ViewGroup  init (ViewGroup java:697)_x000D_
	at android widget AbsoluteLayout  init (AbsoluteLayout java:56)_x000D_
	at android webkit WebView  init (WebView java:413)_x000D_
	at android webkit WebView  init (WebView java:355)_x000D_
	at android webkit WebView  init (WebView java:337)_x000D_
	at android webkit WebView  init (WebView java:324)_x000D_
	    26 more_x000D_
Caused by: android webkit WebViewFactory MissingWebViewPackageException: Failed to load WebView provider: No WebView installed_x000D_
	at android webkit WebViewFactory getWebViewContextAndSetProvider(WebViewFactory java:339)_x000D_
	at android webkit WebViewFactory getProviderClass(WebViewFactory java:402)_x000D_
	    38 more_x000D_
_x000D_
             APP INFORMATION             _x000D_
ID: com nextcloud android beta_x000D_
Version: 20211211_x000D_
Build flavor: versionDev_x000D_
_x000D_
             DEVICE INFORMATION             _x000D_
Brand: OnePlus_x000D_
Device: OnePlus7Pro_x000D_
Model: GM1917_x000D_
Id: RQ3A 211001 001_x000D_
Product: OnePlus7Pro_x000D_
_x000D_
             FIRMWARE             _x000D_
SDK: 30_x000D_
Release: 11_x000D_
Incremental: 10037534_x000D_
_x000D_
  NOTE:   Be super sure to remove sensitive data like passwords  note that everybody can look here  You can use the Issue Template application to prefill some of the required information: https:  apps nextcloud com apps issuetemplate_x000D_
</t>
  </si>
  <si>
    <t>twilio-video-quickstart-android-692</t>
  </si>
  <si>
    <t>The app is crashing running latest 7.0.3</t>
  </si>
  <si>
    <t xml:space="preserve">    Description_x000D_
_x000D_
After upgrading to  7 0 3  we started inconsistently seeing a crash when trying to  unpublishTrack()  on room s localParticipant  We couldn t reproduce the crash on  6 4 0  _x000D_
_x000D_
The  SID  is  RM1c42b82db0dd966521b4a314b2d696dc _x000D_
_x000D_
    Steps to Reproduce_x000D_
_x000D_
1  Create a Video call and publish  LocalVideoTrack  using  publishTrack() _x000D_
2  Unpublish  LocalVideoTrack  using  unpublishTrack() _x000D_
_x000D_
sometimes you have to repeat the steps to get it  sometimes it happens right away _x000D_
_x000D_
     Code_x000D_
_x000D_
   java_x000D_
localViewVideoTrack  let  _x000D_
    room  localParticipant  unpublishTrack(it)   I think the crash happens here_x000D_
    it release()_x000D_
    localViewVideoTrack   null_x000D_
 _x000D_
   _x000D_
_x000D_
     Logs_x000D_
_x000D_
There weren t many logs related to this  the only thing I saw that could be related is_x000D_
   _x000D_
A libc: Fatal signal 6 (SIGABRT)  code  6 (SI TKILL) in tid 6554 (MediaFactoryImp)  pid 6073 (doximitydroid x)_x000D_
   _x000D_
_x000D_
    Versions_x000D_
_x000D_
the app is targeting Android API 31 and running on Android 12 using the latest Twilio video API 7 0 3 _x000D_
_x000D_
     Video Android SDK_x000D_
_x000D_
7 0 3_x000D_
_x000D_
     Android API_x000D_
_x000D_
API 31_x000D_
_x000D_
     Android Device_x000D_
_x000D_
Samsung S20 Android 12_x000D_
</t>
  </si>
  <si>
    <t>PojavLauncherTeam-PojavLauncher-2412</t>
  </si>
  <si>
    <t>[BUG] Game crashes with error code -1 when opening 1.18</t>
  </si>
  <si>
    <t xml:space="preserve">    Describe the bug_x000D_
_x000D_
Whenever I try to launch Minecraft 1 18 or 1 18 1 The game opens shows me the Mojang logo for a short time and then crashes with the error code  1_x000D_
  Screenshot 2021 12 17 17 47 30 950 net kdt pojavlaunch (https:  user images githubusercontent com 62642672 146587054 2669f796 8b26 4cb7 ab99 85f1d8d69d8e jpg)_x000D_
Note: I downloaded Java 17 and the resource pack trough your Got Hub page  Previous version work just fine_x000D_
_x000D_
This also happens when trying to install optifine 1 18 or 1 18 1_x000D_
  Screenshot 2021 12 17 17 47 56 896 net kdt pojavlaunch (https:  user images githubusercontent com 62642672 146587252 90a457e4 83a0 4909 a659 39b4b03fca15 jpg)_x000D_
It works just fine when trying to Install older versions though_x000D_
_x000D_
    The log file and images videos_x000D_
_x000D_
 latestlog txt (https:  github com PojavLauncherTeam PojavLauncher files 7736918 latestlog txt)_x000D_
_x000D_
_x000D_
    Steps To Reproduce_x000D_
_x000D_
   markdown_x000D_
Open Minecraft 1 18_x000D_
   _x000D_
_x000D_
_x000D_
    Expected Behavior_x000D_
_x000D_
It opens the game and shows me the title screen_x000D_
_x000D_
    Platform_x000D_
_x000D_
   markdown_x000D_
  Device model: Poco F3_x000D_
  CPU architecture: Arm64_x000D_
  Android version: Android 11_x000D_
  PojavLauncher version: Latest Version from play store_x000D_
   _x000D_
_x000D_
_x000D_
    Anything else _x000D_
_x000D_
I ve tried uninstalling and reinstalling but still  nothing :(</t>
  </si>
  <si>
    <t>enviroCar-enviroCar-app-877</t>
  </si>
  <si>
    <t>App crash when disabling auto connect</t>
  </si>
  <si>
    <t xml:space="preserve">  Description  _x000D_
The app crashes when you try to deactivate the  Auto Connect  setting _x000D_
_x000D_
  Branches  _x000D_
master  develop_x000D_
_x000D_
  How to reproduce  _x000D_
Go to the settings screen  enable  Auto Connect  and try to disable it again _x000D_
_x000D_
  How to fix  _x000D_
TBD</t>
  </si>
  <si>
    <t>PojavLauncherTeam-PojavLauncher-2407</t>
  </si>
  <si>
    <t>[BUG]polav launcher new build will crash when ill open 1.12.2 forge with immersive railloading</t>
  </si>
  <si>
    <t xml:space="preserve">    Describe the bug
Application exited with code 1
    The log file and images videos
Immersive railloading will crash
    Steps To Reproduce
   markdown
Pls artdeel fix the bug
    Expected Behavior
Launches error
    Platform
   markdown
  Device model: Vivo Y11_x000D_
  CPU architecture: adreno 7_x000D_
  Android version: android 9_x000D_
  PojavLauncher version: crocus 3 openjdk
    Anything else 
 No response </t>
  </si>
  <si>
    <t>mit-cml-appinventor-extensions-60</t>
  </si>
  <si>
    <t>App crashes when bluetooth LE connects to a device which is not blue tooth enabled.</t>
  </si>
  <si>
    <t xml:space="preserve">  Describe the bug  _x000D_
When lots of users start to use microbit in App Inventor  they get used to manipulate  hex code and don t realize that their  hex code disables blue tooth service accidentally  App Inventor works with Microbit through blue tooth LE extension  App crashes when it tries to connect to microbit through blue tooth LE while blue tooth service is not available in the microbit  We should display an error message and remind users to enable blue tooth service in the device when that happens instead of crashing the companion  which puzzles users  _x000D_
_x000D_
_x000D_
  Affects  _x000D_
_x000D_
    _x000D_
Please check off the part of the system that is affected by the bug _x000D_
   _x000D_
_x000D_
      Designer_x000D_
      Blocks editor_x000D_
    x  Companion_x000D_
      Compiled apps_x000D_
      Buildserver_x000D_
      Debugging_x000D_
      Other    (please describe)_x000D_
_x000D_
  Expected behavior  _x000D_
_x000D_
Use the attached the  hex code and  aia project file  App Inventor should gracefully let users know that blue tooth service in microbit is not available instead of crashing  _x000D_
_x000D_
  Steps to reproduce  _x000D_
_x000D_
Upload the attached  hex code to microbit and use the attached   aia project file  _x000D_
open the project file in App Inventor _x000D_
click the scan button_x000D_
click the stop scanning button_x000D_
Select your microbit device discovered by App Inventor_x000D_
click connect_x000D_
Companion disappears _x000D_
_x000D_
 microbit empty hex zip (https:  github com mit cml appinventor extensions files 7728202 microbit empty hex zip)_x000D_
 MicrobitLED aia zip (https:  github com mit cml appinventor extensions files 7728203 MicrobitLED aia zip)_x000D_
_x000D_
</t>
  </si>
  <si>
    <t>googleads-googleads-mobile-flutter-471</t>
  </si>
  <si>
    <t>Fatal Exception: java.lang.LinkageError</t>
  </si>
  <si>
    <t xml:space="preserve">Firebase crash analytics is reporting the following error on android devices_x000D_
_x000D_
   _x000D_
Fatal Exception: java lang LinkageError: Method java lang Object com google android gms internal ads jo3 zzb() overrides final method in class Lcom google android gms internal ads bo3  (declaration of  com google android gms internal ads jo3  appears in base apk)_x000D_
       at com google android gms internal ads zzcpr  init (zzcpr java:310)_x000D_
       at com google android gms internal ads zzcpq zza(zzcpq java:103)_x000D_
       at com google android gms internal ads zzevk zza(zzevk java:365)_x000D_
       at com google android gms internal ads zzeke zzN(zzeke java:58)_x000D_
       at com google android gms internal ads zzeke zze(zzeke java:6)_x000D_
       at com google android gms internal ads zzbhd zzg(zzbhd java:203)_x000D_
       at com google android gms ads BaseAdView loadAd(BaseAdView java:6)_x000D_
       at io flutter plugins googlemobileads FlutterBannerAd load(FlutterBannerAd java:60)_x000D_
       at io flutter plugins googlemobileads GoogleMobileAdsPlugin onMethodCall(GoogleMobileAdsPlugin java:737)_x000D_
       at io flutter plugin common MethodChannel IncomingMethodCallHandler onMessage(MethodChannel java:17)_x000D_
       at io flutter embedding engine dart DartMessenger invokeHandler(DartMessenger java:18)_x000D_
       at io flutter embedding engine dart DartMessenger lambda handleMessageFromDart 0(DartMessenger java:20)_x000D_
       at io flutter embedding engine dart DartMessenger lambda handleMessageFromDart 0 DartMessenger(DartMessenger java)_x000D_
       at io flutter embedding engine dart    Lambda DartMessenger 6ZD1MYkhaLxyPjtoFDxe45u43DI run(  java:12)_x000D_
       at android os Handler handleCallback(Handler java:938)_x000D_
       at android os Handler dispatchMessage(Handler java:99)_x000D_
       at android os Looper loop(Looper java:246)_x000D_
       at android app ActivityThread main(ActivityThread java:8550)_x000D_
       at java lang reflect Method invoke(Method java)_x000D_
       at com android internal os RuntimeInit MethodAndArgsCaller run(RuntimeInit java:602)_x000D_
       at com android internal os ZygoteInit main(ZygoteInit java:1130)_x000D_
   _x000D_
_x000D_
This is the line it errors on_x000D_
_x000D_
  at io flutter plugins googlemobileads FlutterBannerAd load(FlutterBannerAd java:60) _x000D_
_x000D_
on the following devices_x000D_
_x000D_
  image (https:  user images githubusercontent com 15832303 146370410 affd45bd 8043 4bba b77d da57d84e5b47 png)_x000D_
_x000D_
Im am using google mobile ads_x000D_
google mobile ads:  1 0 1_x000D_
_x000D_
and Flutter 2 8 0_x000D_
_x000D_
Edit:_x000D_
_x000D_
This is our statefull widget_x000D_
_x000D_
   _x000D_
class MyBannerAd extends StatefulWidget  _x000D_
  const MyBannerAd() _x000D_
_x000D_
   override_x000D_
   MyBannerAdState createState()     MyBannerAdState() _x000D_
 _x000D_
_x000D_
class  MyBannerAdState extends State MyBannerAd   _x000D_
  late AdSize adSize _x000D_
  late AdMobRepository adRepository _x000D_
  late AnalyticsRepository analyticsRepository _x000D_
  bool adLoaded   false _x000D_
  BannerAd  anchoredBanner _x000D_
_x000D_
   override_x000D_
  void initState()  _x000D_
    super initState() _x000D_
    adRepository   context read AdMobRepository () _x000D_
    analyticsRepository   context read AnalyticsRepository () _x000D_
_x000D_
    if (SizerUtil deviceType    DeviceType mobile    SizerUtil orientation    Orientation portrait)  _x000D_
      adSize   AdSize leaderboard _x000D_
      else  _x000D_
      adSize   AdSize largeBanner _x000D_
     _x000D_
_x000D_
    final bannerAd   adRepository getBannerAd(_x000D_
      size: adSize _x000D_
      onFailedLoad: (ad  error)  _x000D_
        print( banner ad failed to load:  error ) _x000D_
        ad dispose() _x000D_
        _x000D_
      onLoad: (ad)  _x000D_
        setState(()  _x000D_
          adLoaded   true _x000D_
          anchoredBanner   ad as BannerAd  _x000D_
         ) _x000D_
        _x000D_
      onAdImpression: ( )  _x000D_
        analyticsRepository sendBannerAdShownEvent() _x000D_
        _x000D_
      onAdOpened: ( )  _x000D_
        analyticsRepository sendBannerAdClickEvent() _x000D_
        _x000D_
    ) _x000D_
_x000D_
    bannerAd load() _x000D_
   _x000D_
_x000D_
   override_x000D_
  void dispose()  _x000D_
    super dispose() _x000D_
    anchoredBanner  dispose() _x000D_
   _x000D_
_x000D_
   override_x000D_
  Widget build(BuildContext context)  _x000D_
    return BlocBuilder SubscriptionBloc  SubscriptionState (_x000D_
      builder: (context  state)  _x000D_
        final isLoaded    adLoaded _x000D_
_x000D_
        if (isLoaded    state hasSubscribed    anchoredBanner    null) return SizedBox shrink() _x000D_
_x000D_
        return Container(_x000D_
          color: Colors transparent _x000D_
          width: anchoredBanner  size width toDouble() _x000D_
          height: anchoredBanner  size height toDouble() _x000D_
          child: Center(_x000D_
            child: Container(_x000D_
              color: Colors white _x000D_
              child: AdWidget(_x000D_
                ad: anchoredBanner  _x000D_
              ) _x000D_
            ) _x000D_
          ) _x000D_
        ) _x000D_
        _x000D_
    ) _x000D_
   _x000D_
 _x000D_
   _x000D_
_x000D_
And this is the repo_x000D_
_x000D_
   _x000D_
class AdMobRepository  _x000D_
  late String  releaseBannerAdId _x000D_
  late String  releaseInterstitualAdId _x000D_
  late String  releaseRewardedAdId _x000D_
_x000D_
  AdMobRepository()  _x000D_
    if (Platform isAndroid)  _x000D_
       releaseBannerAdId   Constants androidBannedAdId _x000D_
       releaseInterstitualAdId   Constants androidInterstitualAdId _x000D_
       releaseRewardedAdId   Constants androidRewardedAdId _x000D_
      else if (Platform isIOS)  _x000D_
       releaseBannerAdId   Constants iosBannerAdId _x000D_
       releaseInterstitualAdId   Constants iosInterstitualAdId _x000D_
       releaseRewardedAdId   Constants iosRewardedAdId _x000D_
      else  _x000D_
       releaseBannerAdId      _x000D_
       releaseInterstitualAdId      _x000D_
       releaseRewardedAdId      _x000D_
     _x000D_
   _x000D_
_x000D_
  BannerAd getBannerAd( _x000D_
    required AdSize size _x000D_
    void Function(Ad  LoadAdError)  onFailedLoad _x000D_
    void Function(Ad)  onLoad _x000D_
    void Function(Ad)  onAdOpened _x000D_
    void Function(Ad)  onAdImpression _x000D_
   )  _x000D_
    return BannerAd(_x000D_
      adUnitId: kReleaseMode    releaseBannerAdId : BannerAd testAdUnitId _x000D_
      request: AdRequest() _x000D_
      size: size _x000D_
      listener: BannerAdListener(_x000D_
        onAdFailedToLoad: onFailedLoad    onFailedLoadFallback _x000D_
        onAdLoaded: onLoad _x000D_
        onAdImpression: onAdImpression _x000D_
        onAdOpened: onAdOpened _x000D_
      ) _x000D_
    ) _x000D_
   _x000D_
_x000D_
  void onFailedLoadFallback(Ad ad  LoadAdError error)  _x000D_
    ad dispose() _x000D_
   _x000D_
_x000D_
  void getInterstitualAd( required void Function(LoadAdError) onFailedLoad  void Function(InterstitialAd)  onLoad )  _x000D_
    InterstitialAd load(_x000D_
      adUnitId: kReleaseMode    releaseInterstitualAdId : InterstitialAd testAdUnitId _x000D_
      request: AdRequest() _x000D_
      adLoadCallback: InterstitialAdLoadCallback(_x000D_
        onAdLoaded: onLoad    onInterstitialAdLoadedFallback _x000D_
        onAdFailedToLoad: onFailedLoad _x000D_
      ) _x000D_
    ) _x000D_
   _x000D_
_x000D_
  void onInterstitialAdLoadedFallback(InterstitialAd ad)  _x000D_
    ad fullScreenContentCallback   FullScreenContentCallback(_x000D_
      onAdDismissedFullScreenContent: (ad)    ad dispose() _x000D_
      onAdFailedToShowFullScreenContent: (ad  error)    ad dispose() _x000D_
    ) _x000D_
   _x000D_
_x000D_
  void getRewardAd( required String userId  required void Function(LoadAdError) onFailedLoad  void Function(RewardedAd)  onLoad )  _x000D_
    RewardedAd load(_x000D_
      adUnitId: kReleaseMode    releaseRewardedAdId : RewardedAd testAdUnitId _x000D_
      request: AdRequest() _x000D_
      rewardedAdLoadCallback: RewardedAdLoadCallback(_x000D_
        onAdLoaded: onLoad    onRewardedAdLoadedFallback _x000D_
        onAdFailedToLoad: onFailedLoad _x000D_
      ) _x000D_
      serverSideVerificationOptions: ServerSideVerificationOptions(userId: userId) _x000D_
    ) _x000D_
   _x000D_
_x000D_
  void onRewardedAdLoadedFallback(RewardedAd ad)  _x000D_
    ad fullScreenContentCallback   FullScreenContentCallback(_x000D_
      onAdDismissedFullScreenContent: (ad)    ad dispose() _x000D_
      onAdFailedToShowFullScreenContent: (ad  error)    ad dispose() _x000D_
    ) _x000D_
   _x000D_
 _x000D_
   _x000D_
_x000D_
_x000D_
</t>
  </si>
  <si>
    <t>gluonhq-substrate-1069</t>
  </si>
  <si>
    <t>FileChooser dialog causes segmentation fault core dump in native javafx</t>
  </si>
  <si>
    <t xml:space="preserve">  Summary of the issue  _x000D_
Native JavaFX application crashes (segmentation fault core dump) when opening a FileChooser dialog _x000D_
_x000D_
  Expected Behavior  _x000D_
The FileChooser dialog has worked as expected in previous versions of graalvm (20 3 0) _x000D_
_x000D_
  Steps to Reproduce  _x000D_
As described here: https:  stackoverflow com questions 70369244 filechooser dialog causes segmentation fautl core dump in native javafx applicat_x000D_
What I have done is:_x000D_
1  Git Clone Gluon samples_x000D_
2  add the code snippet below_x000D_
3  native compile the HelloFXML sample_x000D_
4  native run the HelloFXML sample  This causes a segmentation fault _x000D_
_x000D_
   _x000D_
public class HelloController  _x000D_
         FXML private Button button _x000D_
         FXML private Label label _x000D_
         FXML private ResourceBundle resources _x000D_
    _x000D_
        public void initialize()  _x000D_
            button setOnAction(e     _x000D_
                label setText(resources getString( label text )         System getProperty( javafx version )) _x000D_
                label setVisible(  label isVisible()) _x000D_
                Optional File  openFile   getOpenFile(button getScene() getWindow()   select a file ) _x000D_
                System out println( File:     openFile) _x000D_
             ) _x000D_
         _x000D_
    _x000D_
        private Optional File  getOpenFile(Window window  String title)  _x000D_
            Path storedLocation   Paths get(  tmp ) _x000D_
            FileChooser fileChooser   new FileChooser() _x000D_
            fileChooser setInitialDirectory(storedLocation toFile()) _x000D_
            fileChooser setTitle(title) _x000D_
            File selectedFile   fileChooser showOpenDialog(window) _x000D_
            return Optional ofNullable(selectedFile) _x000D_
         _x000D_
     _x000D_
   _x000D_
_x000D_
  Environment  _x000D_
I compile at my Linux laptop running Ubuntu 21 10 (also tried Ubuntu 20 04 LTS) _x000D_
The failure also occurs when I build it with github actions (also runs Ubuntu) _x000D_
I have   not   tested on MS Windows Mac OS (but I need to compile for these OSs) _x000D_
Wrt  versions of maven plugins and javafx plugin see the Gluon Samples (https:  github com gluonhq gluon samples) _x000D_
Used both graalvm svm linux gluon 21 2 0 dev and graalvm ce java11 21 0 0 2 (also tested on several other versions from graalvm org) </t>
  </si>
  <si>
    <t>microsoft-appcenter-sdk-android-1584</t>
  </si>
  <si>
    <t>NullPointerException with StartServiceLog causes crash</t>
  </si>
  <si>
    <t xml:space="preserve">    _x000D_
    Thanks for your interest in using the App Center SDK for Android _x000D_
    If your issue is not related to using our Android SDK but rather about the product experience like the portal or CI  please create an issue on https:  github com Microsoft appcenter instead _x000D_
   _x000D_
_x000D_
      Description  _x000D_
_x000D_
We updated the app from 4 3 1 to 4 4 1  and during the course of or testing we noticed that the app crashes during login  We couldn t reproduce this in other devices though  only in a Pixel 3a that s on Android 12  We tried it in an emulator but we couldn t reproduce it _x000D_
_x000D_
      Repro Steps  _x000D_
_x000D_
Please list the steps used to reproduce your issue _x000D_
_x000D_
1  Enter email and login_x000D_
2  App crashes_x000D_
_x000D_
I apologise if details are scarce but I d just like to bring this to your attention  as we have logs from the error that may provide some insight on your end _x000D_
_x000D_
      Details  _x000D_
_x000D_
1  Which SDK version are you using _x000D_
      4 4 1_x000D_
2  Which OS version did you experience the issue on _x000D_
      Android 12_x000D_
3  What device version did you see this error on   Were you using an emulator or a physical device _x000D_
      Pixel 3a (physical device)_x000D_
4  What third party libraries are you using _x000D_
      Auth0 for login  Sentry for logging errors  etc _x000D_
5  Please enable verbose logging for your app using  AppCenter setLogLevel(Log VERBOSE)  before your call to  AppCenter start(   )  and include the logs here:_x000D_
_x000D_
   _x000D_
java lang NullPointerException: Attempt to invoke virtual method  boolean java lang Boolean booleanValue()  on a null object reference_x000D_
    at com microsoft appcenter ingestion models StartServiceLog read(StartServiceLog java:76)_x000D_
    at com microsoft appcenter ingestion models json DefaultLogSerializer readLog(DefaultLogSerializer java:51)_x000D_
    at com microsoft appcenter ingestion models json DefaultLogSerializer deserializeLog(DefaultLogSerializer java:64)_x000D_
    at com microsoft appcenter persistence DatabasePersistence getLogs(DatabasePersistence java:499)_x000D_
    at com microsoft appcenter channel DefaultChannel triggerIngestion(DefaultChannel java:480)_x000D_
    at com microsoft appcenter channel DefaultChannel access 400(DefaultChannel java:50)_x000D_
    at com microsoft appcenter channel DefaultChannel GroupState 1 run(DefaultChannel java:890)_x000D_
    at android os Handler handleCallback(Handler java:938)_x000D_
    at android os Handler dispatchMessage(Handler java:99)_x000D_
    at android os Looper loopOnce(Looper java:201)_x000D_
    at android os Looper loop(Looper java:288)_x000D_
    at android os HandlerThread run(HandlerThread java:67)_x000D_
_x000D_
   </t>
  </si>
  <si>
    <t>androidx-media-20</t>
  </si>
  <si>
    <t>App crashes if skip notification action is used while paused</t>
  </si>
  <si>
    <t xml:space="preserve">  Steps to reproduce  _x000D_
_x000D_
1) Launch app and play audio using a  MediaLibraryService   MediaSessionService _x000D_
2) Remove app from recents while playing_x000D_
3) Pause media from notification_x000D_
4) Press skip to next from notification_x000D_
5) Wait_x000D_
_x000D_
The app will crash with:_x000D_
   _x000D_
android app RemoteServiceException: Context startForegroundService() did not then call Service startForeground()_x000D_
   _x000D_
_x000D_
  Cause  _x000D_
_x000D_
MediaNotificationHandler method  createPendingIntent() (https:  github com androidx media blob 6cc7d058a85fcbd2397d8026fb66142d34ce6904 libraries session src main java androidx media3 session MediaNotificationHandler java L256) is used for the creation of its  NotificationCompat Action s  This method decides to call  getService  or  getForegroundService  and it correctly checks for  PAUSE  and  STOP  actions that won t put the service in the foreground  but there are more actions that should be considered   ACTION SKIP TO PREVIOUS    ACTION SKIP TO NEXT  and many more actions won t put the service in the foreground and all of them will crash the app if  getForegroundService  is used _x000D_
_x000D_
Also  I think that  media2  has the same  createPendingIntent (https:  cs android com androidx platform frameworks support   androidx main:media2 media2 session src main java androidx media2 session MediaNotificationHandler java l 228) and probably has the same problem _x000D_
_x000D_
_x000D_
</t>
  </si>
  <si>
    <t>OTTAA-Project-OTTAAProject-118</t>
  </si>
  <si>
    <t>Popup menu bug</t>
  </si>
  <si>
    <t xml:space="preserve">  Describe the bug  _x000D_
The app crash because the system tries to show a popup menu for an invalid context_x000D_
_x000D_
This crash is usually caused by your app trying to display a dialog using a previously finished Activity as a context  For example  this can happen if an Activity triggers an AsyncTask that tries to display a dialog when it is finished  but the user navigates back from the Activity before the task is completed _x000D_
  To Reproduce  _x000D_
Steps to reproduce the behaviour:_x000D_
I didn t find ways to find this bug _x000D_
</t>
  </si>
  <si>
    <t>TeamNewPipe-NewPipe-7540</t>
  </si>
  <si>
    <t>Video infinitively loading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</si>
  <si>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https:  www youtube com watch v aP6yRL5pn o_x000D_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I get an infinite loading wheel_x000D_
_x000D_
_x000D_
    Expected behavior_x000D_
     Tell us what you expect to happen     _x000D_
Video should play fine_x000D_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10_x000D_
   Device model: cat S52_x000D_
_x000D_
Tried also in an emulator with a fresh install but I get the same result</t>
  </si>
  <si>
    <t>cgeo-cgeo-12326</t>
  </si>
  <si>
    <t>DeadSystemException - c:geo crashes on opening cache details</t>
  </si>
  <si>
    <t xml:space="preserve">    Describe your problem _x000D_
_x000D_
A user on support mail has the problem  that c:geo crashes each time he tries to open details of a cache _x000D_
Restart of the device did not help _x000D_
_x000D_
The stacktrace shows a DeadSystemException   whatever that maybe _x000D_
Any idea advice (other than reinstalling c:geo) _x000D_
_x000D_
Ticket 477975_x000D_
_x000D_
    How to reproduce _x000D_
_x000D_
Unclear_x000D_
_x000D_
    Actual result after these steps _x000D_
_x000D_
 No response _x000D_
_x000D_
    Expected result after these steps _x000D_
_x000D_
 No response _x000D_
_x000D_
    Reproducible_x000D_
_x000D_
Unclear_x000D_
_x000D_
    c:geo Version_x000D_
_x000D_
2021 11 21_x000D_
_x000D_
    System information_x000D_
_x000D_
   text_x000D_
   System information_x000D_
_x000D_
c:geo version: 2021 11 21_x000D_
_x000D_
Device:_x000D_
       _x000D_
  Device type: SM G715FN (xcoverproeea  samsung)_x000D_
  Available processors: 8_x000D_
  Android version: 11_x000D_
  Android build: RP1A 200720 012 G715FNXXS9CUK1_x000D_
  Screen resolution: 1080x2104px (411x801dp)_x000D_
  Pixel density: 2 8875_x000D_
  System font scale: 1 1   used scale: 1 1_x000D_
  Sailfish OS detected: false_x000D_
  Google Play services: enabled   21 45 16 (150400 414021728)_x000D_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Settings: v8  Count:142_x000D_
  Set language: de DE (system default)_x000D_
  System date format: dd MM yy_x000D_
  Time zone: GMT 01:00_x000D_
  Debug mode active: no_x000D_
  Last backup: never_x000D_
  Routing mode: Bike_x000D_
  Live map mode: true_x000D_
  OSM multi threading: false   threads: 1_x000D_
  Map: Germany (Offline)_x000D_
  Id: cgeo geocaching maps mapsforge MapsforgeMapProvider OfflineMapSource:0123 4567:GC Maps Germany map_x000D_
  Atts: Map data (c) OpenStreetMap contributors_x000D_
  Theme: none_x000D_
_x000D_
Filters:_x000D_
       _x000D_
  Hide waypoints:  _x000D_
  LIVE: Status:Eigener Nein ( :inconclusive false:advanced false AND(type difficulty terrain:d  :d  :t  :t   status:owned no))_x000D_
  OFFLINE: Keine ( :inconclusive false:advanced false AND(type difficulty terrain:d  :d  :t  :t   status))_x000D_
_x000D_
Services:_x000D_
       _x000D_
  Geocaching sites enabled:_x000D_
geocaching com: Logged in (Anmeldung OK)   PREMIUM_x000D_
Geocaching com Adventure Lab_x000D_
  Geocaching com date format: dd MMM yy_x000D_
  Routing: internal   BRouter installed: false_x000D_
  Installed c:geo plugins: none_x000D_
_x000D_
Permissions   paths:_x000D_
       _x000D_
  Fine location permission: granted_x000D_
  Write external storage permission: granted_x000D_
  System internal c:geo dir:  data user 0 cgeo geocaching (24 5 GB free) v2 internal isDir(7 entries)_x000D_
  Legacy User storage c:geo dir:  storage emulated 0 cgeo (24 5 GB free) v2 external non removable isDir(0 entries)_x000D_
  Geocache data:  storage 0123 4567 Android data cgeo geocaching files GeocacheData (29 2 GB free) v2 external removable isDir(1526 entries)_x000D_
  Internal theme sync (is turned off):  data user 0 cgeo geocaching MapThemeData (24 5 GB free) v2 internal isDir(0 entries)_x000D_
  Public Folders:  11_x000D_
  BASE: M4AQUASD GC (User Defined) M4AQUASD GC DOCUMENT 0:p content:  com android externalstorage documents tree 0123 4567 3AGC::   (Uri: content:  com android externalstorage documents tree 0123 4567 3AGC document 0123 4567 3AGC  Av:true  files:  14  dirs:  41  totalFileSize:  11 3 GB  free space: 29 2 GB  files on device: 0)_x000D_
  OFFLINE MAPS: M4AQUASD GC Maps (User Defined) M4AQUASD GC Maps DOCUMENT 0:p content:  com android externalstorage documents tree 0123 4567 3AGC 2FMaps::   (Uri: content:  com android externalstorage documents tree 0123 4567 3AGC 2FMaps document 0123 4567 3AGC 2FMaps  Av:true  files:10  dirs:1  totalFileSize:11 3 GB  free space: 29 2 GB  files on device: 0)_x000D_
  OFFLINE MAP THEMES: M4AQUASD GC Maps  themes (Default) M4AQUASD GC Maps  themes PERSISTABLE FOLDER(OFFLINE MAPS) 1:p content:  com android externalstorage documents tree 0123 4567 3AGC 2FMaps::  themes   (Uri: content:  com android externalstorage documents tree 0123 4567 3AGC 2FMaps document 0123 4567 3AGC 2FMaps 2F themes  Av:true  files:2  dirs:0  totalFileSize:467 3 KB  free space: 29 2 GB  files on device: 0)_x000D_
  LOGFILES: M4AQUASD GC logfiles (Default) M4AQUASD GC logfiles PERSISTABLE FOLDER(BASE) 1:p content:  com android externalstorage documents tree 0123 4567 3AGC:: logfiles   (Uri: content:  com android externalstorage documents tree 0123 4567 3AGC document 0123 4567 3AGC 2Flogfiles  Av:true  files:2  dirs:0  totalFileSize:23 5 KB  free space: 29 2 GB  files on device: 0)_x000D_
  GPX: M4AQUASD GC gpx (Default) M4AQUASD GC gpx PERSISTABLE FOLDER(BASE) 1:p content:  com android externalstorage documents tree 0123 4567 3AGC:: gpx   (Uri: content:  com android externalstorage documents tree 0123 4567 3AGC document 0123 4567 3AGC 2Fgpx  Av:true  files:4  dirs:0  totalFileSize:475 0 KB  free space: 29 2 GB  files on device: 0)_x000D_
  BACKUP: M4AQUASD GC backup (Default) M4AQUASD GC backup PERSISTABLE FOLDER(BASE) 1:p content:  com android externalstorage documents tree 0123 4567 3AGC:: backup   (Uri: content:  com android externalstorage documents tree 0123 4567 3AGC document 0123 4567 3AGC 2Fbackup  Av:true  files:0  dirs:0  totalFileSize:0 B  free space: 29 2 GB  files on device: 0)_x000D_
  FIELD NOTES: M4AQUASD GC field notes (Default) M4AQUASD GC field notes PERSISTABLE FOLDER(BASE) 1:p content:  com android externalstorage documents tree 0123 4567 3AGC:: field notes   (Uri: content:  com android externalstorage documents tree 0123 4567 3AGC document 0123 4567 3AGC 2Ffield notes  Av:true  files:1  dirs:0  totalFileSize:0 B  free space: 29 2 GB  files on device: 0)_x000D_
  SPOILER IMAGES: M4AQUASD GC GeocachePhotos (Default) M4AQUASD GC GeocachePhotos PERSISTABLE FOLDER(BASE) 1:p content:  com android externalstorage documents tree 0123 4567 3AGC:: GeocachePhotos   (Uri: content:  com android externalstorage documents tree 0123 4567 3AGC document 0123 4567 3AGC 2FGeocachePhotos  Av:true  files:0  dirs:0  totalFileSize:0 B  free space: 29 2 GB  files on device: 0)_x000D_
  ROUTING BASE: M4AQUASD GC routing (Default) M4AQUASD GC routing PERSISTABLE FOLDER(BASE) 1:p content:  com android externalstorage documents tree 0123 4567 3AGC:: routing   (Uri: content:  com android externalstorage documents tree 0123 4567 3AGC document 0123 4567 3AGC 2Frouting  Av:true  files:8  dirs:1  totalFileSize:81 2 KB  free space: 29 2 GB  files on device: 0)_x000D_
  ROUTING TILES: M4AQUASD GC routing segments4 (Default) M4AQUASD GC routing segments4 PERSISTABLE FOLDER(ROUTING BASE) 1:p content:  com android externalstorage documents tree 0123 4567 3AGC:: routing segments4   (Uri: content:  com android externalstorage documents tree 0123 4567 3AGC document 0123 4567 3AGC 2Frouting 2Fsegments4  Av:true  files:0  dirs:0  totalFileSize:0 B  free space: 29 2 GB  files on device: 0)_x000D_
  TEST FOLDER:  Legacy  data user 0 cgeo geocaching files unittest (Default)  data user 0 cgeo geocaching files unittest FILE 1:p file:   data user 0 cgeo geocaching files:: unittest   (Uri: file:   data user 0 cgeo geocaching files unittest  Av:true  files:0  dirs:0  totalFileSize:0 B  free space: 24 5 GB  files on device:  1)_x000D_
  Map render theme path:_x000D_
  PersistedDocumentUris:  1_x000D_
  TRACK: null_x000D_
  Persisted Uri Permissions:  2_x000D_
  content:  com android externalstorage documents tree 0123 4567 3AGC 2FMaps (19  Apr   09:57):RW_x000D_
  content:  com android externalstorage documents tree 0123 4567 3AGC (19  Apr   09:57):RW_x000D_
  Database:  storage emulated 0 Android data cgeo geocaching files databases data (v98  Size:46 2 MB) on user storage_x000D_
_x000D_
    End of system information    _x000D_
   _x000D_
_x000D_
_x000D_
    Additional Information_x000D_
_x000D_
   _x000D_
          beginning of crash_x000D_
12 12 16:14:36 847 25777 25777 E AndroidRuntime: FATAL EXCEPTION: main_x000D_
12 12 16:14:36 847 25777 25777 E AndroidRuntime: Process: cgeo geocaching  PID: 25777_x000D_
12 12 16:14:36 847 25777 25777 E AndroidRuntime: DeadSystemException: The system died  earlier logs will point to the root cause_x000D_
12 12 18:55:49 859 13625 13625 E AndroidRuntime: FATAL EXCEPTION: main_x000D_
12 12 18:55:49 859 13625 13625 E AndroidRuntime: Process: cgeo geocaching  PID: 13625_x000D_
12 12 18:55:49 859 13625 13625 E AndroidRuntime: DeadSystemException: The system died  earlier logs will point to the root cause_x000D_
12 12 18:56:01 564 19075 19075 E AndroidRuntime: FATAL EXCEPTION: main_x000D_
12 12 18:56:01 564 19075 19075 E AndroidRuntime: Process: cgeo geocaching  PID: 19075_x000D_
12 12 18:56:01 564 19075 19075 E AndroidRuntime: DeadSystemException: The system died  earlier logs will point to the root cause_x000D_
12 12 18:56:17 647 20008 20008 E AndroidRuntime: FATAL EXCEPTION: main_x000D_
12 12 18:56:17 647 20008 20008 E AndroidRuntime: Process: cgeo geocaching  PID: 20008_x000D_
12 12 18:56:17 647 20008 20008 E AndroidRuntime: DeadSystemException: The system died  earlier logs will point to the root cause_x000D_
12 12 18:56:42 524 21563 21563 E AndroidRuntime: FATAL EXCEPTION: main_x000D_
12 12 18:56:42 524 21563 21563 E AndroidRuntime: Process: cgeo geocaching  PID: 21563_x000D_
12 12 18:56:42 524 21563 21563 E AndroidRuntime: DeadSystemException: The system died  earlier logs will point to the root cause_x000D_
12 12 18:56:56 693 21937 21937 E AndroidRuntime: FATAL EXCEPTION: main_x000D_
12 12 18:56:56 693 21937 21937 E AndroidRuntime: Process: cgeo geocaching  PID: 21937_x000D_
12 12 18:56:56 693 21937 21937 E AndroidRuntime: DeadSystemException: The system died  earlier logs will point to the root cause_x000D_
12 12 19:09:17 205 23455 23455 E AndroidRuntime: FATAL EXCEPTION: main_x000D_
12 12 19:09:17 205 23455 23455 E AndroidRuntime: Process: cgeo geocaching  PID: 23455_x000D_
12 12 19:09:17 205 23455 23455 E AndroidRuntime: DeadSystemException: The system died  earlier logs will point to the root cause_x000D_
12 12 19:09:53 857 26500 26500 E AndroidRuntime: FATAL EXCEPTION: main_x000D_
12 12 19:09:53 857 26500 26500 E AndroidRuntime: Process: cgeo geocaching  PID: 26500_x000D_
12 12 19:09:53 857 26500 26500 E AndroidRuntime: DeadSystemException: The system died  earlier logs will point to the root cause_x000D_
12 12 19:21:42 418  1257  1257 E AndroidRuntime: FATAL EXCEPTION: main_x000D_
12 12 19:21:42 418  1257  1257 E AndroidRuntime: Process: cgeo geocaching  PID: 1257_x000D_
12 12 19:21:42 418  1257  1257 E AndroidRuntime: DeadSystemException: The system died  earlier logs will point to the root cause_x000D_
12 12 19:21:54 783  2362  2362 E AndroidRuntime: FATAL EXCEPTION: main_x000D_
12 12 19:21:54 783  2362  2362 E AndroidRuntime: Process: cgeo geocaching  PID: 2362_x000D_
12 12 19:21:54 783  2362  2362 E AndroidRuntime: DeadSystemException: The system died  earlier logs will point to the root cause_x000D_
12 12 19:30:22 045  8104  8104 E AndroidRuntime: FATAL EXCEPTION: main_x000D_
12 12 19:30:22 045  8104  8104 E AndroidRuntime: Process: cgeo geocaching  PID: 8104_x000D_
12 12 19:30:22 045  8104  8104 E AndroidRuntime: DeadSystemException: The system died  earlier logs will point to the root cause_x000D_
12 12 19:30:39 836  9142  9142 E AndroidRuntime: FATAL EXCEPTION: main_x000D_
12 12 19:30:39 836  9142  9142 E AndroidRuntime: Process: cgeo geocaching  PID: 9142_x000D_
12 12 19:30:39 836  9142  9142 E AndroidRuntime: DeadSystemException: The system died  earlier logs will point to the root cause_x000D_
12 12 19:33:10 370 10327 10327 E AndroidRuntime: FATAL EXCEPTION: main_x000D_
12 12 19:33:10 370 10327 10327 E AndroidRuntime: Process: cgeo geocaching  PID: 10327_x000D_
12 12 19:33:10 370 10327 10327 E AndroidRuntime: DeadSystemException: The system died  earlier logs will point to the root cause_x000D_
12 12 22:51:10 564 12395 12395 E AndroidRuntime: FATAL EXCEPTION: main_x000D_
12 12 22:51:10 564 12395 12395 E AndroidRuntime: Process: cgeo geocaching  PID: 12395_x000D_
12 12 22:51:10 564 12395 12395 E AndroidRuntime: DeadSystemException: The system died  earlier logs will point to the root cause_x000D_
          beginning of system_x000D_
12 12 22:51:13 799  8231  8231 D ActivityThread: handleBindApplication()   app cgeo geocaching_x000D_
12 12 22:51:13 867  8231  8231 D LoadedApk: LoadedApk::makeApplication() appContext android app ContextImpl e89f0bf appContext mOpPackageName cgeo geocaching appContext mBasePackageName cgeo geocaching appContext mPackageInfo android app LoadedApk acfe38c_x000D_
12 12 22:51:13 917  8231  8231 D ActivityThread: handleBindApplication()    skipGraphicsSupport false_x000D_
12 12 22:51:34 545  8231  8231 E AndroidRuntime: FATAL EXCEPTION: main_x000D_
12 12 22:51:34 545  8231  8231 E AndroidRuntime: Process: cgeo geocaching  PID: 8231_x000D_
12 12 22:51:34 545  8231  8231 E AndroidRuntime: DeadSystemException: The system died  earlier logs will point to the root cause_x000D_
12 12 22:51:42 316 12334 12334 D ActivityThread: handleBindApplication()   app cgeo geocaching_x000D_
12 12 22:51:42 351 12334 12334 D LoadedApk: LoadedApk::makeApplication() appContext android app ContextImpl e89f0bf appContext mOpPackageName cgeo geocaching appContext mBasePackageName cgeo geocaching appContext mPackageInfo android app LoadedApk acfe38c_x000D_
12 12 22:51:42 397 12334 12334 D ActivityThread: handleBindApplication()    skipGraphicsSupport false_x000D_
          beginning of main_x000D_
12 13 07:23:59 182 12334 12334 I ViewRootImpl e0d41fe MainActivity : stopped(false) old true_x000D_
12 13 07:23:59 207 12334 12334 I ViewRootImpl e0d41fe MainActivity : stopped(false) old false_x000D_
12 13 07:23:59 278 12671 12690 W brouter servic: Reducing the number of considered missed Gc histogram windows from 336 to 100_x000D_
12 13 07:23:59 339 12334 13053 W cgeo geocachin: Reducing the number of considered missed Gc histogram windows from 336 to 100_x000D_
12 13 07:23:59 353 12334 12334 I SurfaceControl: assignNativeObject: nativeObject   0 Surface(name null)  0x1389fdc   android view SurfaceControl readFromParcel:1117 android view IWindowSession Stub Proxy relayout:1836 android view ViewRootImpl relayoutWindow:9005 android view ViewRootImpl performTraversals:3360 android view ViewRootImpl doTraversal:2618 android view ViewRootImpl TraversalRunnable run:9971 android view Choreographer CallbackRecord run:1010 android view Choreographer doCallbacks:809 android view Choreographer doFrame:744 android view Choreographer FrameDisplayEventReceiver run:995_x000D_
12 13 07:23:59 355 12334 12334 I ViewRootImpl e0d41fe MainActivity : Relayout returned: old (0 0 1080 2340) new (0 0 1080 2340) req (1080 2340)0 dur 16 res 0x7 s  true 482270904320  ch true fn  1_x000D_
12 13 07:23:59 361 12334 12334 I ViewRootImpl e0d41fe MainActivity :  DP  dp(1) 1 android view ViewRootImpl reportNextDraw:10957 android view ViewRootImpl performTraversals:3845 android view ViewRootImpl doTraversal:2618_x000D_
12 13 07:23:59 361 12334 12334 I ViewRootImpl e0d41fe MainActivity :  DP  pd() Asnyc report_x000D_
12 13 07:23:59 408 12334 13071 W libEGL  : EGLNativeWindowType 0x7049960010 disconnect failed_x000D_
12 13 07:23:59 417 12334 12334 I ViewRootImpl e0d41fe MainActivity :  DP  pdf(0) 1 android view ViewRootImpl lambda performDraw 1 ViewRootImpl:4668 android view    Lambda ViewRootImpl DJd0VUYJgsebcnSohO6h8zc ONI run:6 android os Handler handleCallback:938_x000D_
12 13 07:23:59 417 12334 12334 I ViewRootImpl e0d41fe MainActivity :  DP  rdf()_x000D_
12 13 07:23:59 458 12334 12334 I ViewRootImpl e0d41fe MainActivity : MSG WINDOW FOCUS CHANGED 1 1_x000D_
12 13 07:23:59 458 12334 12334 D InputMethodManager: prepareNavigationBarInfo() DecorView ac2fb6f MainActivity _x000D_
12 13 07:23:59 458 12334 12334 D InputMethodManager: getNavigationBarColor()  16711423_x000D_
12 13 07:23:59 462 12334 12334 D InputMethodManager: prepareNavigationBarInfo() DecorView ac2fb6f MainActivity _x000D_
12 13 07:23:59 462 12334 12334 D InputMethodManager: getNavigationBarColor()  16711423_x000D_
12 13 07:23:59 462 12334 12334 V InputMethodManager: Starting input: tba cgeo geocaching ic null mNaviBarColor  16711423 mIsGetNaviBarColorSuccess true   NavVisible : true   NavTrans : false_x000D_
12 13 07:23:59 462 12334 12334 D InputMethodManager: startInputInner   Id : 0_x000D_
12 13 07:23:59 462 12334 12334 I InputMethodManager: startInputInner   mService startInputOrWindowGainedFocus_x000D_
12 13 07:23:59 467 12334 12334 D InputTransport: Input channel constructed:  ClientS   fd 79_x000D_
12 13 07:23:59 483 12334 12334 I SurfaceControl: nativeRelease nativeObject s 484967622528 _x000D_
12 13 07:23:59 483 12334 12334 I SurfaceControl: nativeRelease nativeObject e 484967622528 _x000D_
12 13 07:23:59 483 12334 12334 I SurfaceControl: nativeRelease nativeObject s 484967622432 _x000D_
12 13 07:23:59 483 12334 12334 I SurfaceControl: nativeRelease nativeObject e 484967622432 _x000D_
12 13 07:24:01 865 12334 12334 I ViewRootImpl e0d41fe MainActivity : ViewPostIme pointer 0_x000D_
12 13 07:24:01 936 12334 12334 I ViewRootImpl e0d41fe MainActivity : ViewPostIme pointer 1_x000D_
12 13 07:24:02 187 12334 12334 D InputTransport: Input channel constructed:  b08fd07   fd 90_x000D_
12 13 07:24:02 188 12334 12334 I ViewRootImpl 4c4ddec PopupWindow:b87c2f9 : setView   android widget PopupWindow PopupDecorView 3f895b5 TM true_x000D_
12 13 07:24:02 207 12334 12334 I SurfaceControl: assignNativeObject: nativeObject   0 Surface(name null)  0xd17ecd8   android view SurfaceControl readFromParcel:1117 android view IWindowSession Stub Proxy relayout:1836 android view ViewRootImpl relayoutWindow:9005 android view ViewRootImpl performTraversals:3360 android view ViewRootImpl doTraversal:2618 android view ViewRootImpl TraversalRunnable run:9971 android view Choreographer CallbackRecord run:1010 android view Choreographer doCallbacks:809 android view Choreographer doFrame:744 android view Choreographer FrameDisplayEventReceiver run:995_x000D_
12 13 07:24:02 209 12334 12334 I ViewRootImpl 4c4ddec PopupWindow:b87c2f9 : Relayout returned: old (0 110 1080 2214) new (439 121 1070 1297) req (631 1176)0 dur 8 res 0x7 s  true 482270875648  ch true fn  1_x000D_
12 13 07:24:02 249 12334 12334 D AbsListView:  in onLayout changed_x000D_
12 13 07:24:02 250 12334 12334 I ViewRootImpl 4c4ddec PopupWindow:b87c2f9 :  DP  dp(1) 0 android view ViewRootImpl reportNextDraw:10957 android view ViewRootImpl performTraversals:3845 android view ViewRootImpl doTraversal:2618_x000D_
12 13 07:24:02 255 12334 12334 I ViewRootImpl 4c4ddec PopupWindow:b87c2f9 :  DP  pd() Asnyc report_x000D_
12 13 07:24:02 263 12334 12334 I ViewRootImpl 4c4ddec PopupWindow:b87c2f9 :  DP  pdf(0) 0 android view ViewRootImpl lambda performDraw 1 ViewRootImpl:4668 android view    Lambda ViewRootImpl DJd0VUYJgsebcnSohO6h8zc ONI run:6 android os Handler handleCallback:938_x000D_
12 13 07:24:02 263 12334 12334 I ViewRootImpl 4c4ddec PopupWindow:b87c2f9 :  DP  rdf()_x000D_
12 13 07:24:02 265 12334 12334 I SurfaceControl: nativeRelease nativeObject s 484967622816 _x000D_
12 13 07:24:02 266 12334 12334 I SurfaceControl: nativeRelease nativeObject e 484967622816 _x000D_
12 13 07:24:02 266 12334 12334 I SurfaceControl: nativeRelease nativeObject s 484967622720 _x000D_
12 13 07:24:02 266 12334 12334 I SurfaceControl: nativeRelease nativeObject e 484967622720 _x000D_
12 13 07:24:02 266 12334 12334 I SurfaceControl: nativeRelease nativeObject s 484967622624 _x000D_
12 13 07:24:02 266 12334 12334 I SurfaceControl: nativeRelease nativeObject e 484967622624 _x000D_
12 13 07:24:02 266 12334 12334 I SurfaceControl: nativeRelease nativeObject s 484967627232 _x000D_
12 13 07:24:02 266 12334 12334 I SurfaceControl: nativeRelease nativeObject e 484967627232 _x000D_
12 13 07:24:02 266 12334 12334 I SurfaceControl: nativeRelease nativeObject s 484967627136 _x000D_
12 13 07:24:02 267 12334 12334 I SurfaceControl: nativeRelease nativeObject e 484967627136 _x000D_
12 13 07:24:02 272 12334 12334 I ViewRootImpl e0d41fe MainActivity : MSG WINDOW FOCUS CHANGED 0 1_x000D_
12 13 07:24:02 273 12334 12334 I ViewRootImpl 4c4ddec PopupWindow:b87c2f9 : MSG RESIZED REPORT: frame (439 121 1070 1297) ci (0 0 0 0) vi (0 0 0 0) or 1_x000D_
12 13 07:24:02 273 12334 12334 I ViewRootImpl 4c4ddec PopupWindow:b87c2f9 :  DP  dp(1) 0 android view ViewRootImpl reportNextDraw:10957 android view ViewRootImpl access 1200:256 android view ViewRootImpl ViewRootHandler handleMessage:6101_x000D_
12 13 07:24:02 279 12334 12334 I SurfaceControl: nativeRelease nativeObject s 484967627040 _x000D_
12 13 07:24:02 279 12334 12334 I SurfaceControl: nativeRelease nativeObject e 484967627040 _x000D_
12 13 07:24:02 279 12334 12334 I SurfaceControl: assignNativeObject: nativeObject   0 Surface(name null)  0xd17ecd8   android view SurfaceControl readFromParcel:1117 android view IWindowSession Stub Proxy relayout:1836 android view ViewRootImpl relayoutWindow:9005 android view ViewRootImpl performTraversals:3360 android view ViewRootImpl doTraversal:2618 android view ViewRootImpl TraversalRunnable run:9971 android view Choreographer CallbackRecord run:1010 android view Choreographer doCallbacks:809 android view Choreographer doFrame:744 android view Choreographer FrameDisplayEventReceiver run:995_x000D_
12 13 07:24:02 280 12334 12334 I SurfaceControl: nativeRelease nativeObject s 484967624736 _x000D_
12 13 07:24:02 280 12334 12334 I SurfaceControl: nativeRelease nativeObject e 484967624736 _x000D_
12 13 07:24:02 280 12334 12334 I SurfaceControl: nativeRelease nativeObject s 484967623008 _x000D_
12 13 07:24:02 280 12334 12334 I SurfaceControl: nativeRelease nativeObject e 484967623008 _x000D_
12 13 07:24:02 280 12334 12334 I ViewRootImpl 4c4ddec PopupWindow:b87c2f9 : Relayout returned: old (439 121 1070 1297) new (439 121 1070 1297) req (631 1176)0 dur 4 res 0x1 s  true 482270875648  ch false fn 2_x000D_
12 13 07:24:02 280 12334 12334 I ViewRootImpl 4c4ddec PopupWindow:b87c2f9 :  DP  pd() Asnyc report_x000D_
12 13 07:24:02 282 12334 13071 W libEGL  : EGLNativeWindowType 0x7049959010 disconnect failed_x000D_
12 13 07:24:02 293 12334 12334 I ViewRootImpl 4c4ddec PopupWindow:b87c2f9 :  DP  pdf(0) 0 android view ViewRootImpl lambda performDraw 1 ViewRootImpl:4668 android view    Lambda ViewRootImpl DJd0VUYJgsebcnSohO6h8zc ONI run:6 android os Handler handleCallback:938_x000D_
12 13 07:24:02 293 12334 12334 I ViewRootImpl 4c4ddec PopupWindow:b87c2f9 :  DP  rdf()_x000D_
12 13 07:24:02 297 12334 12334 I ViewRootImpl 4c4ddec PopupWindow:b87c2f9 : MSG WINDOW FOCUS CHANGED 1 1_x000D_
12 13 07:24:04 043 12334 12334 I ViewRootImpl 4c4ddec PopupWindow:b87c2f9 : ViewPostIme pointer 0_x000D_
12 13 07:24:04 145 12334 12334 I ViewRootImpl 4c4ddec PopupWindow:b87c2f9 : ViewPostIme pointer 1_x000D_
12 13 07:24:04 146 12334 12334 D AbsListView: onTouchUp() mTouchMode : 0_x000D_
12 13 07:24:04 236 12334 12334 I Dialog  : mIsSamsungBasicInteraction   false  isMetaDataInActivity   false_x000D_
12 13 07:24:04 241 12334 12334 I DecorView:  INFO  isPopOver false  config false_x000D_
12 13 07:24:04 241 12334 12334 I DecorView: updateCaptionType    DecorView f7d127f    isFloating true  isApplication true  hasWindowDecorCaption false  hasWindowControllerCallback false_x000D_
12 13 07:24:04 241 12334 12334 D DecorView: setCaptionType   0  this   DecorView f7d127f  _x000D_
12 13 07:24:04 276 12334 12334 D ScrollView: initGoToTop_x000D_
12 13 07:24:04 305 12334 12334 D InputTransport: Input channel constructed:  a6cead0   fd 88_x000D_
12 13 07:24:04 306 12334 12334 I ViewRootImpl 8b65e68 MainActivity : setView   com android internal policy DecorView f7d127f TM true_x000D_
12 13 07:24:04 313 12334 12334 I SurfaceControl: nativeRelease nativeObject s 484967627136 _x000D_
12 13 07:24:04 313 12334 12334 I SurfaceControl: nativeRelease nativeObject e 484967627136 _x000D_
12 13 07:24:04 313 12334 12334 I SurfaceControl: assignNativeObject: nativeObject   0 Surface(name null)  0xd17ecd8   android view SurfaceControl readFromParcel:1117 android view IWindowSession Stub Proxy relayout:1836 android view ViewRootImpl relayoutWindow:9005 android view ViewRootImpl performTraversals:3360 android view ViewRootImpl doTraversal:2618 android view ViewRootImpl TraversalRunnable run:9971 android view Choreographer CallbackRecord run:1010 android view Choreographer doCallbacks:809 android view Choreographer doFrame:744 android view Choreographer FrameDisplayEventReceiver run:995_x000D_
12 13 07:24:04 313 12334 12334 I SurfaceControl: nativeRelease nativeObject s 484967627232 _x000D_
12 13 07:24:04 313 12334 12334 I SurfaceControl: nativeRelease nativeObject e 484967627232 _x000D_
12 13 07:24:04 314 12334 12334 I SurfaceControl: nativeRelease nativeObject s 484967627040 _x000D_
12 13 07:24:04 314 12334 12334 I SurfaceControl: nativeRelease nativeObject e 484967627040 _x000D_
12 13 07:24:04 314 12334 12334 I ViewRootImpl 4c4ddec PopupWindow:b87c2f9 : Relayout returned: old (439 121 1070 1297) new (439 121 1070 1297) req (631 1176)0 dur 6 res 0x1 s  true 482270875648  ch false fn 42_x000D_
12 13 07:24:04 339 12334 12334 I SurfaceControl: assignNativeObject: nativeObject   0 Surface(name null)  0x6114767   android view SurfaceControl readFromParcel:1117 android view IWindowSession Stub Proxy relayout:1836 android view ViewRootImpl relayoutWindow:9005 android view ViewRootImpl performTraversals:3360 android view ViewRootImpl doTraversal:2618 android view ViewRootImpl TraversalRunnable run:9971 android view Choreographer CallbackRecord run:1010 android view Choreographer doCallbacks:809 android view Choreographer doFrame:744 android view Choreographer FrameDisplayEventReceiver run:995_x000D_
12 13 07:24:04 341 12334 12334 I ViewRootImpl 8b65e68 MainActivity : Relayout returned: old (0 110 1080 2214) new (28 339 1052 1985) req (1024 1646)0 dur 7 res 0x7 s  true 482436071424  ch true fn  1_x000D_
12 13 07:24:04 344 12334 12334 D ScrollView:  onsize change changed_x000D_
12 13 07:24:04 345 12334 12334 I ViewRootImpl 8b65e68 MainActivity :  DP  dp(1) 1 android view ViewRootImpl reportNextDraw:10957 android view ViewRootImpl performTraversals:3845 android view ViewRootImpl doTraversal:2618_x000D_
12 13 07:24:04 345 12334 12334 I ViewRootImpl 8b65e68 MainActivity :  DP  pd() Asnyc report_x000D_
12 13 07:24:04 371 12334 12334 I ViewRootImpl 8b65e68 MainActivity :  DP  pdf(0) 1 android view ViewRootImpl lambda performDraw 1 ViewRootImpl:4668 android view    Lambda ViewRootImpl DJd0VUYJgsebcnSohO6h8zc ONI run:6 android os Handler handleCallback:938_x000D_
12 13 07:24:04 371 12334 12334 I ViewRootImpl 8b65e68 MainActivity :  DP  rdf()_x000D_
12 13 07:24:04 375 12334 12334 I SurfaceControl: nativeRelease nativeObject s 482318984576 _x000D_
12 13 07:24:04 375 12334 12334 I SurfaceControl: nativeRelease nativeObject e 482318984576 _x000D_
12 13 07:24:04 375 12334 12334 I SurfaceControl: nativeRelease nativeObject s 482318984480 _x000D_
12 13 07:24:04 375 12334 12334 I SurfaceControl: nativeRelease nativeObject e 482318984480 _x000D_
12 13 07:24:04 379 12334 12334 I ViewRootImpl 8b65e68 MainActivity : MSG RESIZED REPORT: frame (28 339 1052 1985) ci (0 0 0 0) vi (0 0 0 0) or 1_x000D_
12 13 07:24:04 379 12334 12334 I ViewRootImpl 8b65e68 MainActivity :  DP  dp(1) 1 android view ViewRootImpl reportNextDraw:10957 android view ViewRootImpl access 1200:256 android view ViewRootImpl ViewRootHandler handleMessage:6101_x000D_
12 13 07:24:04 379 12334 12334 I ViewRootImpl 4c4ddec PopupWindow:b87c2f9 : MSG WINDOW FOCUS CHANGED 0 1_x000D_
12 13 07:24:04 395 12334 12334 I SurfaceControl: nativeRelease nativeObject s 482318984384 _x000D_
12 13 07:24:04 396 12334 12334 I SurfaceControl: nativeRelease nativeObject e 482318984384 _x000D_
12 13 07:24:04 396 12334 12334 I SurfaceControl: assignNativeObject: nativeObject   0 Surface(name null)  0x6114767   android view SurfaceControl readFromParcel:1117 android view IWindowSession Stub Proxy relayout:1836 android view ViewRootImpl relayoutWindow:9005 android view ViewRootImpl performTraversals:3360 android view ViewRootImpl doTraversal:2618 android view ViewRootImpl TraversalRunnable run:9971 android view Choreographer CallbackRecord run:1010 android view Choreographer doCallbacks:809 android view Choreographer doFrame:744 android view Choreographer FrameDisplayEventReceiver run:995_x000D_
12 13 07:24:04 396 12334 12334 I SurfaceControl: nativeRelease nativeObject s 482318984096 _x000D_
12 13 07:24:04 396 12334 12334 I SurfaceControl: nativeRelease nativeObject e 482318984096 _x000D_
12 13 07:24:04 396 12334 12334 I SurfaceControl: nativeRelease nativeObject s 482318983232 _x000D_
12 13 07:24:04 396 12334 12334 I SurfaceControl: nativeRelease nativeObject e 482318983232 _x000D_
12 13 07:24:04 397 12334 12334 I ViewRootImpl 8b65e68 MainActivity : Relayout returned: old (28 339 1052 1985) new (28 339 1052 1985) req (1024 1646)0 dur 5 res 0x1 s  true 482436071424  ch false fn 3_x000D_
12 13 07:24:04 397 12334 12334 I ViewRootImpl 8b65e68 MainActivity :  DP  pd() Asnyc report_x000D_
12 13 07:24:04 399 12334 13071 W libEGL  : EGLNativeWindowType 0x70536e4010 disconnect failed_x000D_
12 13 07:24:04 409 12334 12334 I ViewRootImpl 8b65e68 MainActivity :  DP  pdf(0) 1 android view ViewRootImpl lambda performDraw 1 ViewRootImpl:4668 android view    Lambda ViewRootImpl DJd0VUYJgsebcnSohO6h8zc ONI run:6 android os Handler handleCallback:938_x000D_
12 13 07:24:04 409 12334 12334 I ViewRootImpl 8b65e68 MainActivity :  DP  rdf()_x000D_
12 13 07:24:04 413 12334 12334 I ViewRootImpl 8b65e68 MainActivity : MSG WINDOW FOCUS CHANGED 1 1_x000D_
12 13 07:24:04 680 12334 13071 W libEGL  : EGLNativeWindowType 0x7049959010 disconnect failed_x000D_
12 13 07:24:04 680 12334 12334 D ViewRootImpl 4c4ddec PopupWindow:b87c2f9 : dispatchDetachedFromWindow: reset blurmask_x000D_
12 13 07:24:04 683 12334 12334 I ViewRootImpl 4c4ddec PopupWindow:b87c2f9 : dispatchDetachedFromWindow_x000D_
12 13 07:24:04 683 12334 12334 I SurfaceControl: nativeRelease nativeObject s 482318983136 _x000D_
12 13 07:24:04 683 12334 12334 I SurfaceControl: nativeRelease nativeObject e 482318983136 _x000D_
12 13 07:24:04 697 12334 12334 D InputTransport: Input channel destroyed:  b08fd07   fd 90_x000D_
12 13 07:24:14 118 12334 12334 I ViewRootImpl 8b65e68 MainActivity : ViewPostIme pointer 0_x000D_
12 13 07:24:14 240 12334 12334 I ViewRootImpl 8b65e68 MainActivity : ViewPostIme pointer 1_x000D_
12 13 07:24:14 249 12334 17004 I cgeo    :  RxCachedThreadScheduler 3   LogCat Issuing command:  logcat   d   :V   f   data user 0 cgeo geocaching cache cgeo tempfile 7875971275930815420 tmp _x000D_
12 13 07:24:14 256 12334 13071 W libEGL  : EGLNativeWindowType 0x70536e4010 disconnect failed_x000D_
12 13 07:24:14 256 12334 13071 D OpenGLRenderer: endAllActiveAnimators on 0x6ff1c09300 (RippleDrawable) with handle 0x7052a88740_x000D_
12 13 07:24:14 256 12334 12334 D ViewRootImpl 8b65e68 MainActivity : dispatchDetachedFromWindow: reset blurmask_x000D_
12 13 07:24:14 256 12334 12334 I ViewRootImpl 8b65e68 MainActivity : dispatchDetachedFromWindow_x000D_
12 13 07:24:14 256 12334 12334 I SurfaceControl: nativeRelease nativeObject s 482318984480 _x000D_
12 13 07:24:14 256 12334 12334 I SurfaceControl: nativeRelease nativeObject e 482318984480 _x000D_
12 13 07:24:14 270 12334 12334 D InputTransport: Input channel destroyed:  a6cead0   fd 88_x000D_
12 13 07:24:14 271 12334 12334 I SurfaceControl: nativeRelease nativeObject s 484967622912 _x000D_
12 13 07:24:14 271 12334 12334 I SurfaceControl: nativeRelease nativeObject e 484967622912 _x000D_
12 13 07:24:14 272 12334 12334 I SurfaceControl: nativeRelease nativeObject s 482318984576 _x000D_
12 13 07:24:14 272 12334 12334 I SurfaceControl: nativeRelease nativeObject e 482318984576 _x000D_
12 13 07:24:14 272 12334 12334 I SurfaceControl: nativeRelease nativeObject s 482318984384 _x000D_
12 13 07:24:14 272 12334 12334 I SurfaceControl: nativeRelease nativeObject e 482318984384 _x000D_
12 13 07:24:14 293 12334 12334 I ViewRootImpl e0d41fe MainActivity : MSG WINDOW FOCUS CHANGED 1 1_x000D_
12 13 07:24:14 293 12334 12334 D InputMethodManager: prepareNavigationBarInfo() DecorView ac2fb6f MainActivity _x000D_
12 13 07:24:14 293 12334 12334 D InputMethodManager: getNavigationBarColor()  16711423_x000D_
12 13 07:24:14 294 12334 12334 D InputMethodManager: prepareNavigationBarInfo() DecorView ac2fb6f MainActivity _x000D_
12 13 07:24:14 294 12334 12334 D InputMethodManager: getNavigationBarColor()  16711423_x000D_
12 13 07:24:14 294 12334 12334 V InputMethodManager: Starting input: tba cgeo geocaching ic null mNaviBarColor  16711423 mIsGetNaviBarColorSuccess true   NavVisible : true   NavTrans : false_x000D_
12 13 07:24:14 294 12334 12334 D InputMethodManager: startInputInner   Id : 0_x000D_
12 13 07:24:14 294 12334 12334 I InputMethodManager: startInputInner   mService startInputOrWindowGainedFocus_x000D_
12 13 07:24:14 296 12334 12334 D InputTransport: Input channel constructed:  ClientS   fd 87_x000D_
12 13 07:24:14 296 12334 12334 D InputTransport: Input channel destroyed:  ClientS   fd 79_x000D_
   </t>
  </si>
  <si>
    <t>PojavLauncherTeam-PojavLauncher-2393</t>
  </si>
  <si>
    <t>[BUG] Instantly Crash Whent Loaded World In forge 1.12.2</t>
  </si>
  <si>
    <t xml:space="preserve">    Describe the bug_x000D_
_x000D_
Application Exited With Code 1_x000D_
And Coremod Error_x000D_
_x000D_
    The log file and images videos_x000D_
_x000D_
 crash 2021 12 12 08 52 25 client txt (https:  github com PojavLauncherTeam PojavLauncher files 7710663 crash 2021 12 12 08 52 25 client txt)_x000D_
 crash 2021 12 12 08 56 46 client txt (https:  github com PojavLauncherTeam PojavLauncher files 7710664 crash 2021 12 12 08 56 46 client txt)_x000D_
_x000D_
_x000D_
    Steps To Reproduce_x000D_
_x000D_
   markdown_x000D_
Start Forge 1 12 2 with 11 12 mod_x000D_
Mod list_x000D_
Draconic Evolution_x000D_
Thermal Foundation_x000D_
Thermal Expansion_x000D_
Thermal Dynamic_x000D_
OpenComputer_x000D_
Mr Crayfish Device mod_x000D_
SecurityCraft_x000D_
Libs_x000D_
Brandon Core_x000D_
CoFH Core World_x000D_
CodeChickenLib_x000D_
2 click World that Use 11 mod to play_x000D_
3 Got Blue amd some Stripe Screen And_x000D_
4 Got Application Exited With Code 1_x000D_
   _x000D_
_x000D_
_x000D_
    Expected Behavior_x000D_
_x000D_
Normally Playing No crash Low fps or high fps_x000D_
_x000D_
    Platform_x000D_
_x000D_
   markdown_x000D_
  Device model: Mi 10 Ram 6 gb (Allocated 2 5 2 9 gb) _x000D_
  CPU architecture: aarch64_x000D_
  Android version: 10_x000D_
  PojavLauncher version: Google Play Store Lastest Release    chorus Gplay Release_x000D_
   _x000D_
_x000D_
_x000D_
    Anything else _x000D_
_x000D_
If i play some world it instantly got Same thing</t>
  </si>
  <si>
    <t>opensrp-opensrp-client-reveal-1547</t>
  </si>
  <si>
    <t>App Crashing on clicking Detect Case for Case confirmation plan on Thai-Prev</t>
  </si>
  <si>
    <t xml:space="preserve">An issue has been noted on the Thailand preview instance  where the App is crashing on clicking  Detect case  _x000D_
app V5 3 26 rc8_x000D_
user : test77_x000D_
_x000D_
Steps _x000D_
_x000D_
  install the app_x000D_
  sync data _x000D_
  add a new structure_x000D_
  add a new family member_x000D_
  click on detect case _x000D_
  Observe how that app is crashing and one has to login again _x000D_
_x000D_
this has been tested on the structure below  _x000D_
  image (https:  user images githubusercontent com 84722169 145965682 b44e28f6 7e85 4d3d badc 768193e43846 png)_x000D_
</t>
  </si>
  <si>
    <t>voxeet-voxeet-uxkit-reactnative-53</t>
  </si>
  <si>
    <t>Get  error "EXC_BAD_ACCESS"</t>
  </si>
  <si>
    <t xml:space="preserve">This error was logged on our Sentry server  iOS Version:14 8 1  iPhone XS Model:D321AP_x000D_
_x000D_
_x000D_
   _x000D_
OS Version: iOS 14 8 1 (18H107)_x000D_
Report Version: 104_x000D_
_x000D_
Exception Type: EXC BAD ACCESS (SIGBUS)_x000D_
Exception Codes: BUS NOOP at 0x0000000000000008_x000D_
Crashed Thread: 29_x000D_
_x000D_
Application Specific Information:_x000D_
getArgument:atIndex:   objectAtIndexedSubscript:   refreshAccessTokenClosure   retain  _x000D_
Attempted to dereference garbage pointer 0x8 _x000D_
_x000D_
Thread 29 Crashed:_x000D_
0   libsystem blocks dylib          0x3a8c5556c          Block copy_x000D_
1   libsystem blocks dylib          0x3a8c554a0          inlined      NSMallocBlock   retain _x000D_
2   libsystem blocks dylib          0x3a8c554a0             NSMallocBlock   retain _x000D_
3   Bewell                          0x2030402c8           RNVoxeetConferencekit onAccessTokenOk:resolve:ejecter:  (RNVoxeetConferencekit m:519)_x000D_
4   CoreFoundation                  0x31127cdd0           invoking   _x000D_
5   CoreFoundation                  0x3111503d0           NSInvocation invoke _x000D_
6   CoreFoundation                  0x3111509d4           NSInvocation invokeWithTarget: _x000D_
7   Bewell                          0x202ebbd1c           RCTModuleMethod invokeWithBridge:module:arguments:  (RCTModuleMethod mm:584)_x000D_
8   Bewell                          0x202ebe1b4         facebook::react::invokeInner (RCTNativeModule mm:181)_x000D_
9   Bewell                          0x202ebddec          inlined  facebook::react::RCTNativeModule::invoke::lambda::operator() (RCTNativeModule mm:103)_x000D_
10  Bewell                          0x202ebddec         facebook::react::RCTNativeModule::invoke (RCTNativeModule mm:95)_x000D_
11  libdispatch dylib               0x310b74a80          dispatch call block and release_x000D_
12  libdispatch dylib               0x310b76818          dispatch client callout_x000D_
13  libdispatch dylib               0x310b7e000          dispatch lane serial drain_x000D_
14  libdispatch dylib               0x310b7ebfc          dispatch lane invoke_x000D_
15  libdispatch dylib               0x310b894b8          dispatch workloop worker thread_x000D_
16  libsystem pthread dylib         0x3a8d2d7a0          pthread wqthread_x000D_
_x000D_
Thread 0_x000D_
0   libsystem kernel dylib          0x36d7d44fc         mach msg trap_x000D_
1   libsystem kernel dylib          0x36d7d3880         mach msg_x000D_
2   CoreFoundation                  0x3111f1540           CFRunLoopServiceMachPort_x000D_
3   CoreFoundation                  0x3111eb3e0           CFRunLoopRun_x000D_
4   CoreFoundation                  0x3111ea9f0         CFRunLoopRunSpecific_x000D_
5   GraphicsServices                0x34002f730         GSEventRunModal_x000D_
6   UIKitCore                       0x315bba758           UIApplication  run _x000D_
7   UIKitCore                       0x315bbffc8         UIApplicationMain_x000D_
8   Bewell                          0x202af59c4         main (main m:7)_x000D_
9   libdyld dylib                   0x310bfdcf4         start_x000D_
_x000D_
Thread 1 name: com apple uikit eventfetch thread_x000D_
0   libsystem kernel dylib          0x36d7d44fc         mach msg trap_x000D_
1   libsystem kernel dylib          0x36d7d3880         mach msg_x000D_
2   CoreFoundation                  0x3111f1540           CFRunLoopServiceMachPort_x000D_
3   CoreFoundation                  0x3111eb3e0           CFRunLoopRun_x000D_
4   CoreFoundation                  0x3111ea9f0         CFRunLoopRunSpecific_x000D_
5   Foundation                      0x313860d88           NSRunLoop(NSRunLoop) runMode:beforeDate: _x000D_
6   Foundation                      0x313860c54           NSRunLoop(NSRunLoop) runUntilDate: _x000D_
7   UIKitCore                       0x315c6f300           UIEventFetcher threadMain _x000D_
8   Foundation                      0x3139d2308           NSThread  start  _x000D_
9   libsystem pthread dylib         0x3a8d2bbf8          pthread start_x000D_
_x000D_
Thread 2 name: com google firebase crashlytics MachExceptionServer_x000D_
0   libsystem kernel dylib          0x36d7d44fc         mach msg trap_x000D_
1   libsystem kernel dylib          0x36d7d3880         mach msg_x000D_
2   Bewell                          0x202c2ffc4          inlined  FIRCLSMachExceptionReadMessage (FIRCLSMachException c:194)_x000D_
3   Bewell                          0x202c2ffc4         FIRCLSMachExceptionServer (FIRCLSMachException c:170)_x000D_
4   libsystem pthread dylib         0x3a8d2bbf8          pthread start_x000D_
_x000D_
Thread 3 name: com facebook react JavaScript_x000D_
0   libsystem kernel dylib          0x36d7d44fc         mach msg trap_x000D_
1   libsystem kernel dylib          0x36d7d3880         mach msg_x000D_
2   CoreFoundation                  0x3111f1540           CFRunLoopServiceMachPort_x000D_
3   CoreFoundation                  0x3111eb3e0           CFRunLoopRun_x000D_
4   CoreFoundation                  0x3111ea9f0         CFRunLoopRunSpecific_x000D_
5   Bewell                          0x202e9d4f8           RCTCxxBridge runRunLoop  (RCTCxxBridge mm:308)_x000D_
6   Foundation                      0x3139d2308           NSThread  start  _x000D_
7   libsystem pthread dylib         0x3a8d2bbf8          pthread start_x000D_
_x000D_
Thread 4 name: JavaScriptCore bmalloc scavenger_x000D_
0   libsystem kernel dylib          0x36d7f90cc           psynch cvwait_x000D_
1   libsystem pthread dylib         0x3a8d2f430          pthread cond wait_x000D_
2   libc   1 dylib                  0x33ab47f94         std::  1::condition variable::  do timed wait_x000D_
3   JavaScriptCore                  0x324bf27f8         bmalloc::Scavenger::threadRunLoop_x000D_
4   JavaScriptCore                  0x324bf22ac         bmalloc::Scavenger::threadEntryPoint_x000D_
5   JavaScriptCore                  0x324bf37c4         std::  1::  thread proxy T _x000D_
6   libsystem pthread dylib         0x3a8d2bbf8          pthread start_x000D_
_x000D_
Thread 5_x000D_
0   libsystem kernel dylib          0x36d7f9734           semwait signal_x000D_
1   libsystem c dylib               0x323ab6a10         nanosleep_x000D_
2   libsystem c dylib               0x323ab67f4         sleep_x000D_
3   Bewell                          0x202f50388         monitorCachedData (SentryCrashCachedData c:139)_x000D_
4   libsystem pthread dylib         0x3a8d2bbf8          pthread start_x000D_
_x000D_
Thread 6 name: SentryCrash Exception Handler (Secondary)_x000D_
0   libsystem kernel dylib          0x36d7d44fc         mach msg trap_x000D_
1   libsystem kernel dylib          0x36d7d3880         mach msg_x000D_
2   Bewell                          0x202f5cbb0         handleExceptions (SentryCrashMonitor MachException c:266)_x000D_
3   libsystem pthread dylib         0x3a8d2bbf8          pthread start_x000D_
_x000D_
Thread 8 name: com apple NSURLConnectionLoader_x000D_
0   libsystem kernel dylib          0x36d7d44fc         mach msg trap_x000D_
1   libsystem kernel dylib          0x36d7d3880         mach msg_x000D_
2   CoreFoundation                  0x3111f1540           CFRunLoopServiceMachPort_x000D_
3   CoreFoundation                  0x3111eb3e0           CFRunLoopRun_x000D_
4   CoreFoundation                  0x3111ea9f0         CFRunLoopRunSpecific_x000D_
5   CFNetwork                       0x3121fbb34          CFURLStorageSessionCopyCache_x000D_
6   Foundation                      0x3139d2308           NSThread  start  _x000D_
7   libsystem pthread dylib         0x3a8d2bbf8          pthread start_x000D_
_x000D_
Thread 9 name: AVAudioSession Notify Thread_x000D_
0   libsystem kernel dylib          0x36d7d44fc         mach msg trap_x000D_
1   libsystem kernel dylib          0x36d7d3880         mach msg_x000D_
2   CoreFoundation                  0x3111f1540           CFRunLoopServiceMachPort_x000D_
3   CoreFoundation                  0x3111eb3e0           CFRunLoopRun_x000D_
4   CoreFoundation                  0x3111ea9f0         CFRunLoopRunSpecific_x000D_
5   AudioSession                    0x3207daf1c         GenericRunLoopThread::Entry_x000D_
6   AudioSession                    0x3207dd0d4         CAPThread::Entry_x000D_
7   libsystem pthread dylib         0x3a8d2bbf8          pthread start_x000D_
_x000D_
Thread 10 name: com squareup SocketRocket NetworkThread_x000D_
0   libsystem kernel dylib          0x36d7d44fc         mach msg trap_x000D_
1   libsystem kernel dylib          0x36d7d3880         mach msg_x000D_
2   CoreFoundation                  0x3111f1540           CFRunLoopServiceMachPort_x000D_
3   CoreFoundation                  0x3111eb3e0           CFRunLoopRun_x000D_
4   CoreFoundation                  0x3111ea9f0         CFRunLoopRunSpecific_x000D_
5   Foundation                      0x313860d88           NSRunLoop(NSRunLoop) runMode:beforeDate: _x000D_
6   Mobilisten                      0x104c05c9c            SRRunLoopThread main  (LDSRWebSocket m:1937)_x000D_
7   Foundation                      0x3139d2308           NSThread  start  _x000D_
8   libsystem pthread dylib         0x3a8d2bbf8          pthread start_x000D_
_x000D_
Thread 11 name: com apple CFSocket private_x000D_
0   libsystem kernel dylib          0x36d7f962c           select_x000D_
1   CoreFoundation                  0x3111fe71c           CFSocketManager_x000D_
2   libsystem pthread dylib         0x3a8d2bbf8          pthread start_x000D_
_x000D_
Thread 12 name: Thread 0x0x15d30f9d0_x000D_
0   libsystem kernel dylib          0x36d7f90cc           psynch cvwait_x000D_
1   libsystem pthread dylib         0x3a8d2f430          pthread cond wait_x000D_
2   WebRTC                          0x1057b398c         rtc::Event::Wait::lambda::operator() (event cc:165)_x000D_
3   WebRTC                          0x1057b3858         rtc::Event::Wait_x000D_
4   WebRTC                          0x1057a15d4         rtc::NullSocketServer::Wait (null socket server cc:24)_x000D_
5   WebRTC                          0x10579bd74         rtc::MessageQueue::Get (message queue cc:330)_x000D_
6   WebRTC                          0x1057aed48         rtc::Thread::ProcessMessages (thread cc:526)_x000D_
7   WebRTC                          0x1057aec38         rtc::Thread::PreRun (thread cc:341)_x000D_
8   libsystem pthread dylib         0x3a8d2bbf8          pthread start_x000D_
_x000D_
Thread 13 name: Thread 0x0x15d30fe90_x000D_
0   libsystem kernel dylib          0x36d7f90cc           psynch cvwait_x000D_
1   libsystem pthread dylib         0x3a8d2f430          pthread cond wait_x000D_
2   WebRTC                          0x1057b398c         rtc::Event::Wait::lambda::operator() (event cc:165)_x000D_
3   WebRTC                          0x1057b3858         rtc::Event::Wait_x000D_
4   WebRTC                          0x1057a15d4         rtc::NullSocketServer::Wait (null socket server cc:24)_x000D_
5   WebRTC                          0x10579bd74         rtc::MessageQueue::Get (message queue cc:330)_x000D_
6   WebRTC                          0x1057aed48         rtc::Thread::ProcessMessages (thread cc:526)_x000D_
7   WebRTC                          0x1057aec38         rtc::Thread::PreRun (thread cc:341)_x000D_
8   libsystem pthread dylib         0x3a8d2bbf8          pthread start_x000D_
_x000D_
Thread 14 name: Thread 0x0x15d3101b0_x000D_
0   libsystem kernel dylib          0x36d7f962c           select_x000D_
1   WebRTC                          0x1057a85c0         rtc::PhysicalSocketServer::WaitSelect (physical socket server cc:1446)_x000D_
2   WebRTC                          0x10579bd74         rtc::MessageQueue::Get (message queue cc:330)_x000D_
3   WebRTC                          0x1057aed48         rtc::Thread::ProcessMessages (thread cc:526)_x000D_
4   WebRTC                          0x1057aec38         rtc::Thread::PreRun (thread cc:341)_x000D_
5   libsystem pthread dylib         0x3a8d2bbf8          pthread start_x000D_
_x000D_
Thread 15_x000D_
0   libsystem kernel dylib          0x36d7f90cc           psynch cvwait_x000D_
1   libsystem pthread dylib         0x3a8d2f430          pthread cond wait_x000D_
2   dvclient                        0x1062b6e70         DVC IsAudioSceneLayoutControlEnabled_x000D_
3   dvclient                        0x106293078         DVC IsAudioSceneLayoutControlEnabled_x000D_
4   dvclient                        0x106292d64         DVC IsAudioSceneLayoutControlEnabled_x000D_
5   dvclient                        0x1062a5a3c         DVC IsAudioSceneLayoutControlEnabled_x000D_
6   dvclient                        0x10629f9ec         DVC IsAudioSceneLayoutControlEnabled_x000D_
7   libsystem pthread dylib         0x3a8d2bbf8          pthread start_x000D_
_x000D_
Thread 16 name: UpdateScheduler AudioControl DolbyVoice_x000D_
0   libsystem kernel dylib          0x36d7f90cc           psynch cvwait_x000D_
1   libsystem pthread dylib         0x3a8d2f430          pthread cond wait_x000D_
2   libc   1 dylib                  0x33ab47ef8         std::  1::condition variable::wait_x000D_
3   dvclient                        0x10621cb4c         DVC IsAudioSceneLayoutControlEnabled_x000D_
4   dvclient                        0x10621c328         DVC IsAudioSceneLayoutControlEnabled_x000D_
5   dvclient                        0x10621ca70         DVC IsAudioSceneLayoutControlEnabled_x000D_
6   libsystem pthread dylib         0x3a8d2bbf8          pthread start_x000D_
_x000D_
Thread 17 name: TrackWatchdog AudioControl DolbyVoice_x000D_
0   libsystem kernel dylib          0x36d7f90cc           psynch cvwait_x000D_
1   libsystem pthread dylib         0x3a8d2f430          pthread cond wait_x000D_
2   libc   1 dylib                  0x33ab47ef8         std::  1::condition variable::wait_x000D_
3   dvclient                        0x10621aa80         DVC IsAudioSceneLayoutControlEnabled_x000D_
4   dvclient                        0x10621a398         DVC IsAudioSceneLayoutControlEnabled_x000D_
5   dvclient                        0x10621a984         DVC IsAudioSceneLayoutControlEnabled_x000D_
6   libsystem pthread dylib         0x3a8d2bbf8          pthread start_x000D_
_x000D_
Thread 18 name: UpdateScheduler AudioControl DolbyVoice_x000D_
0   libsystem kernel dylib          0x36d7f90cc           psynch cvwait_x000D_
1   libsystem pthread dylib         0x3a8d2f430          pthread cond wait_x000D_
2   libc   1 dylib                  0x33ab47ef8         std::  1::condition variable::wait_x000D_
3   dvclient                        0x10621ce48         DVC IsAudioSceneLayoutControlEnabled_x000D_
4   dvclient                        0x10621c64c         DVC IsAudioSceneLayoutControlEnabled_x000D_
5   dvclient                        0x10621cd6c         DVC IsAudioSceneLayoutControlEnabled_x000D_
6   libsystem pthread dylib         0x3a8d2bbf8          pthread start_x000D_
_x000D_
Thread 19 name: TrackWatchdog AudioControl DolbyVoice_x000D_
0   libsystem kernel dylib          0x36d7f90cc           psynch cvwait_x000D_
1   libsystem pthread dylib         0x3a8d2f430          pthread cond wait_x000D_
2   libc   1 dylib                  0x33ab47ef8         std::  1::condition variable::wait_x000D_
3   dvclient                        0x10621ae88         DVC IsAudioSceneLayoutControlEnabled_x000D_
4   dvclient                        0x10621a680         DVC IsAudioSceneLayoutControlEnabled_x000D_
5   dvclient                        0x10621ad8c         DVC IsAudioSceneLayoutControlEnabled_x000D_
6   libsystem pthread dylib         0x3a8d2bbf8          pthread start_x000D_
_x000D_
Thread 20 name: PauseResumeLoop AudioControls DolbyVoice_x000D_
0   libsystem kernel dylib          0x36d7f90cc           psynch cvwait_x000D_
1   libsystem pthread dylib         0x3a8d2f430          pthread cond wait_x000D_
2   libc   1 dylib                  0x33ab47ef8         std::  1::condition variable::wait_x000D_
3   dvclient                        0x1061fd494         DVC IsAudioSceneLayoutControlEnabled_x000D_
4   dvclient                        0x1061fc9e8         DVC IsAudioSceneLayoutControlEnabled_x000D_
5   dvclient                        0x106200444         DVC IsAudioSceneLayoutControlEnabled_x000D_
6   libsystem pthread dylib         0x3a8d2bbf8          pthread start_x000D_
_x000D_
Thread 21 name: WorkThread ConfLib DolbyVoice_x000D_
0   libsystem kernel dylib          0x36d7fb150         kevent_x000D_
1   dvclient                        0x1062985b0         DVC IsAudioSceneLayoutControlEnabled_x000D_
2   dvclient                        0x10629b02c         DVC IsAudioSceneLayoutControlEnabled_x000D_
3   dvclient                        0x1062a1b0c         DVC IsAudioSceneLayoutControlEnabled_x000D_
4   dvclient                        0x10613e244         DVC IsAudioSceneLayoutControlEnabled_x000D_
5   dvclient                        0x106160e40         DVC IsAudioSceneLayoutControlEnabled_x000D_
6   libsystem pthread dylib         0x3a8d2bbf8          pthread start_x000D_
_x000D_
Thread 22 name: NetworkThread DolbyVoice_x000D_
0   libsystem kernel dylib          0x36d7fb150         kevent_x000D_
1   dvclient                        0x1062985b0         DVC IsAudioSceneLayoutControlEnabled_x000D_
2   dvclient                        0x10629b02c         DVC IsAudioSceneLayoutControlEnabled_x000D_
3   dvclient                        0x1062a1b0c         DVC IsAudioSceneLayoutControlEnabled_x000D_
4   dvclient                        0x106243318         DVC IsAudioSceneLayoutControlEnabled_x000D_
5   dvclient                        0x106242eb4         DVC IsAudioSceneLayoutControlEnabled_x000D_
6   dvclient                        0x10629f9ec         DVC IsAudioSceneLayoutControlEnabled_x000D_
7   libsystem pthread dylib         0x3a8d2bbf8          pthread start_x000D_
_x000D_
Thread 23 name: CollectClientData NTLManager DolbyVoice_x000D_
0   libsystem kernel dylib          0x36d7f90cc           psynch cvwait_x000D_
1   libsystem pthread dylib         0x3a8d2f430          pthread cond wait_x000D_
2   libc   1 dylib                  0x33ab47ef8         std::  1::condition variable::wait_x000D_
3   dvclient                        0x106266d8c         DVC IsAudioSceneLayoutControlEnabled_x000D_
4   dvclient                        0x106268714         DVC IsAudioSceneLayoutControlEnabled_x000D_
5   libsystem pthread dylib         0x3a8d2bbf8          pthread start_x000D_
_x000D_
Thread 24 name: OnRun ConfLib DolbyVoice_x000D_
0   libsystem kernel dylib          0x36d7fb150         kevent_x000D_
1   dvclient                        0x1062985b0         DVC IsAudioSceneLayoutControlEnabled_x000D_
2   dvclient                        0x10629b02c         DVC IsAudioSceneLayoutControlEnabled_x000D_
3   dvclient                        0x1062a1b0c         DVC IsAudioSceneLayoutControlEnabled_x000D_
4   dvclient                        0x10614fefc         DVC IsAudioSceneLayoutControlEnabled_x000D_
5   dvclient                        0x10629f9ec         DVC IsAudioSceneLayoutControlEnabled_x000D_
6   libsystem pthread dylib         0x3a8d2bbf8          pthread start_x000D_
_x000D_
Thread 25 name: DVCCallbackThread 0x0x15bf47a50_x000D_
0   libsystem kernel dylib          0x36d7f962c           select_x000D_
1   WebRTC                          0x105b7c588         dolby voice client::DoCallbacksRunnable::HandleEvents (dvc library helpers cc:155)_x000D_
2   WebRTC                          0x105b7c4d0         dolby voice client::DoCallbacksRunnable::Run (dvc library helpers cc:142)_x000D_
3   WebRTC                          0x1057aec38         rtc::Thread::PreRun (thread cc:341)_x000D_
4   libsystem pthread dylib         0x3a8d2bbf8          pthread start_x000D_
_x000D_
Thread 26 name: com apple CFStream LegacyThread_x000D_
0   libsystem kernel dylib          0x36d7d44fc         mach msg trap_x000D_
1   libsystem kernel dylib          0x36d7d3880         mach msg_x000D_
2   CoreFoundation                  0x3111f1540           CFRunLoopServiceMachPort_x000D_
3   CoreFoundation                  0x3111eb3e0           CFRunLoopRun_x000D_
4   CoreFoundation                  0x3111ea9f0         CFRunLoopRunSpecific_x000D_
5   CoreFoundation                  0x31120f204          legacyStreamRunLoop workThread_x000D_
6   libsystem pthread dylib         0x3a8d2bbf8          pthread start_x000D_
_x000D_
Thread 27_x000D_
0   libsystem pthread dylib         0x3a8d34744         start wqthread_x000D_
_x000D_
Thread 28_x000D_
0   libsystem kernel dylib          0x36d7fa0a4           workq kernreturn_x000D_
1   libsystem pthread dylib         0x3a8d2d7ec          pthread wqthread_x000D_
_x000D_
Thread 29 Crashed:_x000D_
0   libsystem blocks dylib          0x3a8c5556c          Block copy_x000D_
1   libsystem blocks dylib          0x3a8c554a0          inlined      NSMallocBlock   retain _x000D_
2   libsystem blocks dylib          0x3a8c554a0             NSMallocBlock   retain _x000D_
3   Bewell                          0x2030402c8           RNVoxeetConferencekit onAccessTokenOk:resolve:ejecter:  (RNVoxeetConferencekit m:519)_x000D_
4   CoreFoundation                  0x31127cdd0           invoking   _x000D_
5   CoreFoundation                  0x3111503d0           NSInvocation invoke _x000D_
6   CoreFoundation                  0x3111509d4           NSInvocation invokeWithTarget: _x000D_
7   Bewell                          0x202ebbd1c           RCTModuleMethod invokeWithBridge:module:arguments:  (RCTModuleMethod mm:584)_x000D_
8   Bewell                          0x202ebe1b4         facebook::react::invokeInner (RCTNativeModule mm:181)_x000D_
9   Bewell                          0x202ebddec          inlined  facebook::react::RCTNativeModule::invoke::lambda::operator() (RCTNativeModule mm:103)_x000D_
10  Bewell                          0x202ebddec         facebook::react::RCTNativeModule::invoke (RCTNativeModule mm:95)_x000D_
11  libdispatch dylib               0x310b74a80          dispatch call block and release_x000D_
12  libdispatch dylib               0x310b76818          dispatch client callout_x000D_
13  libdispatch dylib               0x310b7e000          dispatch lane serial drain_x000D_
14  libdispatch dylib               0x310b7ebfc          dispatch lane invoke_x000D_
15  libdispatch dylib               0x310b894b8          dispatch workloop worker thread_x000D_
16  libsystem pthread dylib         0x3a8d2d7a0          pthread wqthread_x000D_
_x000D_
Thread 30_x000D_
0   libsystem kernel dylib          0x36d7fa0a4           workq kernreturn_x000D_
1   libsystem pthread dylib         0x3a8d2d7ec          pthread wqthread_x000D_
_x000D_
Thread 31_x000D_
0   libsystem pthread dylib         0x3a8d34744         start wqthread_x000D_
_x000D_
Thread 32 name: JSC Heap Collector Thread_x000D_
0   libsystem kernel dylib          0x36d7f90cc           psynch cvwait_x000D_
1   libsystem pthread dylib         0x3a8d2f430          pthread cond wait_x000D_
2   JavaScriptCore                  0x324b79058         WTF::ParkingLot::parkConditionallyImpl_x000D_
3   JavaScriptCore                  0x32438fdb8         WTF::Condition::waitUntil T _x000D_
4   JavaScriptCore                  0x324b458c8         WTF::Detail::CallableWrapper T ::call_x000D_
5   JavaScriptCore                  0x324b9cf2c         WTF::Thread::entryPoint_x000D_
6   JavaScriptCore                  0x324b9f6ec         WTF::wtfThreadEntryPoint_x000D_
7   libsystem pthread dylib         0x3a8d2bbf8          pthread start_x000D_
_x000D_
Thread 33 name: Heap Helper Thread_x000D_
0   libsystem kernel dylib          0x36d7f90cc           psynch cvwait_x000D_
1   libsystem pthread dylib         0x3a8d2f430          pthread cond wait_x000D_
2   JavaScriptCore                  0x324b79058         WTF::ParkingLot::parkConditionallyImpl_x000D_
3   JavaScriptCore                  0x32438fdb8         WTF::Condition::waitUntil T _x000D_
4   JavaScriptCore                  0x324b458c8         WTF::Detail::CallableWrapper T ::call_x000D_
5   JavaScriptCore                  0x324b9cf2c         WTF::Thread::entryPoint_x000D_
6   JavaScriptCore                  0x324b9f6ec         WTF::wtfThreadEntryPoint_x000D_
7   libsystem pthread dylib         0x3a8d2bbf8          pthread start_x000D_
_x000D_
Thread 34 name: Heap Helper Thread_x000D_
0   libsystem kernel dylib          0x36d7f90cc           psynch cvwait_x000D_
1   libsystem pthread dylib         0x3a8d2f430          pthread cond wait_x000D_
2   JavaScriptCore                  0x324b79058         WTF::ParkingLot::parkConditionallyImpl_x000D_
3   JavaScriptCore                  0x32438fdb8         WTF::Condition::waitUntil T _x000D_
4   JavaScriptCore                  0x324b458c8         WTF::Detail::CallableWrapper T ::call_x000D_
5   JavaScriptCore                  0x324b9cf2c         WTF::Thread::entryPoint_x000D_
6   JavaScriptCore                  0x324b9f6ec         WTF::wtfThreadEntryPoint_x000D_
7   libsystem pthread dylib         0x3a8d2bbf8          pthread start_x000D_
_x000D_
Thread 35 name: Heap Helper Thread_x000D_
0   libsystem kernel dylib          0x36d7f90cc           psynch cvwait_x000D_
1   libsystem pthread dylib         0x3a8d2f430          pthread cond wait_x000D_
2   JavaScriptCore                  0x324b79058         WTF::ParkingLot::parkConditionallyImpl_x000D_
3   JavaScriptCore                  0x32438fdb8         WTF::Condition::waitUntil T _x000D_
4   JavaScriptCore                  0x324b458c8         WTF::Detail::CallableWrapper T ::call_x000D_
5   JavaScriptCore                  0x324b9cf2c         WTF::Thread::entryPoint_x000D_
6   JavaScriptCore                  0x324b9f6ec         WTF::wtfThreadEntryPoint_x000D_
7   libsystem pthread dylib         0x3a8d2bbf8          pthread start_x000D_
_x000D_
Thread 36 name: Heap Helper Thread_x000D_
0   libsystem kernel dylib          0x36d7f90cc           psynch cvwait_x000D_
1   libsystem pthread dylib         0x3a8d2f430          pthread cond wait_x000D_
2   JavaScriptCore                  0x324b79058         WTF::ParkingLot::parkConditionallyImpl_x000D_
3   JavaScriptCore                  0x32438fdb8         WTF::Condition::waitUntil T _x000D_
4   JavaScriptCore                  0x324b458c8         WTF::Detail::CallableWrapper T ::call_x000D_
5   JavaScriptCore                  0x324b9cf2c         WTF::Thread::entryPoint_x000D_
6   JavaScriptCore                  0x324b9f6ec         WTF::wtfThreadEntryPoint_x000D_
7   libsystem pthread dylib         0x3a8d2bbf8          pthread start_x000D_
_x000D_
Thread 37_x000D_
0   libsystem kernel dylib          0x36d7f90cc           psynch cvwait_x000D_
1   libsystem pthread dylib         0x3a8d2f430          pthread cond wait_x000D_
2   JavaScriptCore                  0x324b79058         WTF::ParkingLot::parkConditionallyImpl_x000D_
3   JavaScriptCore                  0x32438fdb8         WTF::Condition::waitUntil T _x000D_
4   JavaScriptCore                  0x324b458c8         WTF::Detail::CallableWrapper T ::call_x000D_
5   JavaScriptCore                  0x324b9cf2c         WTF::Thread::entryPoint_x000D_
6   JavaScriptCore                  0x324b9f6ec         WTF::wtfThreadEntryPoint_x000D_
7   libsystem pthread dylib         0x3a8d2bbf8          pthread start_x000D_
_x000D_
Thread 38_x000D_
0   libsystem kernel dylib          0x36d7f90cc           psynch cvwait_x000D_
1   libsystem pthread dylib         0x3a8d2f430          pthread cond wait_x000D_
2   libc   1 dylib                  0x33ab47ef8         std::  1::condition variable::wait_x000D_
3   dvclient                        0x10622da80         DVC IsAudioSceneLayoutControlEnabled_x000D_
4   dvclient                        0x1062308fc         DVC IsAudioSceneLayoutControlEnabled_x000D_
5   libsystem pthread dylib         0x3a8d2bbf8          pthread start_x000D_
_x000D_
Thread 39_x000D_
0   libsystem kernel dylib          0x36d7d44fc         mach msg trap_x000D_
1   libsystem kernel dylib          0x36d7d3880         mach msg_x000D_
2   CoreFoundation                  0x3111f1540           CFRunLoopServiceMachPort_x000D_
3   CoreFoundation                  0x3111eb3e0           CFRunLoopRun_x000D_
4   CoreFoundation                  0x3111ea9f0         CFRunLoopRunSpecific_x000D_
5   AudioToolbox                    0x323352918         GenericRunLoopThread::Entry_x000D_
6   libAudioToolboxUtility dylib    0x33b8f4100         CADeprecated::CAPThread::Entry_x000D_
7   libsystem pthread dylib         0x3a8d2bbf8          pthread start_x000D_
_x000D_
_x000D_
_x000D_
EOF_x000D_
_x000D_
   _x000D_
_x000D_
</t>
  </si>
  <si>
    <t>TeamNewPipe-NewPipe-7537</t>
  </si>
  <si>
    <t>Application Crash when playing background playlist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</si>
  <si>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14_x000D_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Open any playlist on YouTube_x000D_
  Press play in background _x000D_
_x000D_
_x000D_
    Actual behavior_x000D_
Upon pressing the button  the application crashes  _x000D_
_x000D_
_x000D_
    Expected behavior_x000D_
Upon pressing the button  the button should not crash and play the playlist  _x000D_
_x000D_
_x000D_
    Screenshots Screen recordings_x000D_
N A_x000D_
_x000D_
_x000D_
    Logs_x000D_
   Exception_x000D_
    User Action:   ui error_x000D_
    Request:   ACRA report_x000D_
    Content Country:   FR_x000D_
    Content Language:   fr FR_x000D_
    App Language:   fr FR_x000D_
    Service:   none_x000D_
    Version:   0 21 14_x000D_
    OS:   Linux Android 10   29_x000D_
 details  summary  b Crash log   b   summary  p _x000D_
_x000D_
   _x000D_
java lang NullPointerException: Attempt to invoke virtual method  org schabi newpipe extractor stream StreamInfo org schabi newpipe player resolver MediaSourceTag getMetadata()  on a null object reference_x000D_
	at org schabi newpipe player Player onPlayerError(Player java:2526)_x000D_
	at com google android exoplayer2 ExoPlayerImpl lambda updatePlaybackInfo 10(ExoPlayerImpl java:1269)_x000D_
	at com google android exoplayer2 ExoPlayerImpl  r8 lambda  K5msfvAakBrxKAsG9AjoK30L1g(Unknown Source:0)_x000D_
	at com google android exoplayer2 ExoPlayerImpl  ExternalSyntheticLambda7 invoke(Unknown Source:4)_x000D_
	at com google android exoplayer2 util ListenerSet ListenerHolder invoke(ListenerSet java:283)_x000D_
	at com google android exoplayer2 util ListenerSet lambda queueEvent 0(ListenerSet java:170)_x000D_
	at com google android exoplayer2 util ListenerSet  r8 lambda NbKDn9xtItiyMgYZmjIx Sv1FFQ(Unknown Source:0)_x000D_
	at com google android exoplayer2 util ListenerSet  ExternalSyntheticLambda1 run(Unknown Source:6)_x000D_
	at com google android exoplayer2 util ListenerSet flushEvents(ListenerSet java:191)_x000D_
	at com google android exoplayer2 ExoPlayerImpl updatePlaybackInfo(ExoPlayerImpl java:1340)_x000D_
	at com google android exoplayer2 ExoPlayerImpl handlePlaybackInfo(ExoPlayerImpl java:1175)_x000D_
	at com google android exoplayer2 ExoPlayerImpl lambda new 1(ExoPlayerImpl java:216)_x000D_
	at com google android exoplayer2 ExoPlayerImpl  r8 lambda nOBJYkeEQ2uz3sBKLToLWmzrgZk(Unknown Source:0)_x000D_
	at com google android exoplayer2 ExoPlayerImpl  ExternalSyntheticLambda22 run(Unknown Source:4)_x000D_
	at android os Handler handleCallback(Handler java:883)_x000D_
	at android os Handler dispatchMessage(Handler java:100)_x000D_
	at android os Looper loop(Looper java:359)_x000D_
	at android app ActivityThread main(ActivityThread java:7418)_x000D_
	at java lang reflect Method invoke(Native Method)_x000D_
	at com android internal os RuntimeInit MethodAndArgsCaller run(RuntimeInit java:492)_x000D_
	at com android internal os ZygoteInit main(ZygoteInit java:935)_x000D_
_x000D_
   _x000D_
  details _x000D_
 hr _x000D_
</t>
  </si>
  <si>
    <t>PojavLauncherTeam-PojavLauncher-2388</t>
  </si>
  <si>
    <t>[BUG] Game crashed while starting</t>
  </si>
  <si>
    <t xml:space="preserve">    Describe the bug
I don t know  the game just crashed  I give log (including screenshot) below 
    The log file and images videos
PojavLauncher crash report_x000D_
   Time: 12 Des 2021 08 25 07_x000D_
   Device: CPH1909 CPH1909_x000D_
   Android version: 8 1 0_x000D_
   Crash stack trace:_x000D_
   Launcher version: crocus v3 openjdk_x000D_
java lang RuntimeException: Unable to instantiate activity ComponentInfo net kdt pojavlaunch net kdt pojavlaunch MainActivity : java lang NullPointerException: Attempt to read from field  float android util DisplayMetrics density  on a null object reference_x000D_
	at android app ActivityThread performLaunchActivity(ActivityThread java:2878)_x000D_
	at android app ActivityThread handleLaunchActivity(ActivityThread java:3072)_x000D_
	at android app ActivityThread  wrap11(Unknown Source:0)_x000D_
	at android app ActivityThread H handleMessage(ActivityThread java:1766)_x000D_
	at android os Handler dispatchMessage(Handler java:106)_x000D_
	at android os Looper loop(Looper java:214)_x000D_
	at android app ActivityThread main(ActivityThread java:6977)_x000D_
	at java lang reflect Method invoke(Native Method)_x000D_
	at com android internal os RuntimeInit MethodAndArgsCaller run(RuntimeInit java:528)_x000D_
	at com android internal os ZygoteInit main(ZygoteInit java:910)_x000D_
Caused by: java lang NullPointerException: Attempt to read from field  float android util DisplayMetrics density  on a null object reference_x000D_
	at net kdt pojavlaunch Tools dpToPx(Tools java:386)_x000D_
	at net kdt pojavlaunch BaseMainActivity  init (BaseMainActivity java:53)_x000D_
	at net kdt pojavlaunch MainActivity  init (MainActivity java:18)_x000D_
	at java lang Class newInstance(Native Method)_x000D_
	at android app Instrumentation newActivity(Instrumentation java:1174)_x000D_
	at android app ActivityThread performLaunchActivity(ActivityThread java:2868)_x000D_
	    9 more_x000D_
  Screenshot 2021 12 13 09 39 58 43 (https:  user images githubusercontent com 79078329 145744413 0fe2639e 557f 48cb 9e72 86b8f352bd6e jpg)_x000D_
    Steps To Reproduce
   markdown
When i start the game  it shows the message that i screen shot above 
    Expected Behavior
The game should launch  I didn t have this kind of problem before 
    Platform
   markdown
  Device model: Oppo A5S 3 32G_x000D_
  CPU architecture: aarch64_x000D_
  Android version: 8 1 0_x000D_
  PojavLauncher version: crocus v3 openjdk
    Anything else 
 No response </t>
  </si>
  <si>
    <t>TeamNewPipe-NewPipe-7536</t>
  </si>
  <si>
    <t>Exception in NewPipe 0.20.1</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</si>
  <si>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MIUI 12 5 3 Android: 11_x000D_
   Device model: Redmi Note 8 Pro_x000D_
</t>
  </si>
  <si>
    <t>nextcloud-android-9539</t>
  </si>
  <si>
    <t xml:space="preserve">Nexcloud crashes on file upload and freez when i open It on wifi:_x000D_
_x000D_
             CAUSE OF ERROR             _x000D_
_x000D_
android app RemoteServiceException: Context startForegroundService() did not then call Service startForeground()_x000D_
	at android app ActivityThread H handleMessage(ActivityThread java:1881)_x000D_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_x000D_
             APP INFORMATION             _x000D_
ID: com nextcloud client_x000D_
Version: 30180090_x000D_
Build flavor: gplay_x000D_
_x000D_
             DEVICE INFORMATION             _x000D_
Brand: samsung_x000D_
Device: hero2lte_x000D_
Model: SM G935F_x000D_
Id: R16NW_x000D_
Product: hero2ltexx_x000D_
_x000D_
             FIRMWARE             _x000D_
SDK: 26_x000D_
Release: 8 0 0_x000D_
Incremental: G935FXXS8ETC3_x000D_
</t>
  </si>
  <si>
    <t>TeamNewPipe-NewPipe-7533</t>
  </si>
  <si>
    <t>Attempting to open press-and-hold menu while a video is playing force-crashes the app.</t>
  </si>
  <si>
    <t xml:space="preserve">_x000D_
    Checklist_x000D_
_x000D_
   x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 video in any mode (in player  popup  or background) _x000D_
2  Press and hold on a different video  as if attempting to enqueue it _x000D_
_x000D_
    Actual behavior_x000D_
1  The app instantly crashes back to your device s launcher _x000D_
_x000D_
    Expected behavior_x000D_
1  A menu would appear  to enqueue  add to a playlist  etc _x000D_
_x000D_
    Screenshots Screen recordings_x000D_
(Unable to provide screenshots  due to instant crashing )_x000D_
_x000D_
    Logs_x000D_
(No error message log appeared )_x000D_
_x000D_
     Please fill this section if you did not provide a log generated by NewPipe    _x000D_
_x000D_
    Device info_x000D_
_x000D_
   Android version Custom ROM version: Android 10 (JOYUI 11 21 11 05)_x000D_
   Device model: Xiaomi Black Shark 2 Pro (128GB Storage 8GB RAM)_x000D_
</t>
  </si>
  <si>
    <t>TeamNewPipe-NewPipe-7532</t>
  </si>
  <si>
    <t>Speed sliders broken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</si>
  <si>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(EDIT)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 vid o in the app_x000D_
2  Press on  1x  to change the speed_x000D_
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_x000D_
The sliders are broken  the circle of the slider is placed under the slider _x000D_
_x000D_
_x000D_
    Expected behavior_x000D_
     Tell us what you expect to happen     _x000D_
The button should be aligned with the bar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image (https:  user images githubusercontent com 66519591 145718538 492194a1 e898 4141 9ecb 6a1d4da56251 png)_x000D_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5 0 1_x000D_
   Device model: Samsung Galaxy Core Prime_x000D_
</t>
  </si>
  <si>
    <t>TeamNewPipe-NewPipe-7531</t>
  </si>
  <si>
    <t>Resuming app from background plays wrong video from queue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</si>
  <si>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14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Create a queue of videos
2  Watch a few videos from the queue
3  Wait til a video starts buffering 
4  Minimize app and let background playback start 
5  App started playing the previous video from the queue 
6  Reopen app 
7  The video before that current starts playing 
     If you can t cause the bug to show up again reliably (and hence don t have a proper set of steps to give us)  please still try to give as many details as possible on how you think you encountered the bug     
    Actual behavior
Newpipe plays videos from that queue that have already been watched 
    Expected behavior
Newpipe should continue the current video instead of jumping to a previous queued one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The video shows the currently running video  After minimizing the app another video starts ( what s up guys  in the background) and after opening the app again it immediately jumps to another video from my queue  Which you can see in the video again 
https:  youtu be Tf4jVVlY7l8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Android 11  Oxygen OS
   Device model: Oneplus9 Pro
</t>
  </si>
  <si>
    <t>TeamNewPipe-NewPipe-7529</t>
  </si>
  <si>
    <t>Video stops playing at around the end part of videos</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</si>
  <si>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14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1  Play random video
2  Wait until it reaches about the start of the last quarter of the video
3  The video does not proceed
4  If I shuffle somewhere it continues basically immediately 
     If you can t cause the bug to show up again reliably (and hence don t have a proper set of steps to give us)  please still try to give as many details as possible on how you think you encountered the bug     
    Actual behavior
     Tell us what happens with the steps given above     
The stream stops playing and loads 
    Expected behavior
     Tell us what you expect to happen     
The stream video does not stop playing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Android 11  OneUI 3 1
   Device model: SM A528B DS
</t>
  </si>
  <si>
    <t>TeamNewPipe-NewPipe-7528</t>
  </si>
  <si>
    <t>Video loading / buffering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</si>
  <si>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NewPipe_x000D_
2  Long press on a video until the menu appears_x000D_
3  Select Start playback in the background or Start playback in a pop up_x000D_
4  While the video is loading   buffering  do step three on another or the same video_x000D_
5  The crash   error appears_x000D_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If you choose to start a video in the background or in the pop up  it can happen if the video is still loading in the background and you want to add another one to the playlist  so that NewPipe then crashes _x000D_
_x000D_
_x000D_
    Expected behavior_x000D_
     Tell us what you expect to happen     _x000D_
Newpipe shouldn t crash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10 Vanilla_x000D_
   Device model: Nokia 6 1_x000D_
</t>
  </si>
  <si>
    <t>mh--corona-warn-companion-android-134</t>
  </si>
  <si>
    <t>Hangup/crash with Austrian RPI</t>
  </si>
  <si>
    <t xml:space="preserve">This issue report corresponds with the same report in CCTG (https:  codeberg org corona contact tracing germany cwa android issues 202)_x000D_
_x000D_
Today I was in Austria and had CCTG running  Now it spends endless minutes checking recorded contacts  and finally it crashed _x000D_
_x000D_
I exported the data into Corona Warn App Companion  It has a feature to activate deactivate certain countries  With Austria disabled  it runs the check  With Austria enabled  it also hangs endlessly and eventually crashes _x000D_
_x000D_
So I make a wild guess: Something is wrong with whereever both apps download diagnosis data from Austria  That source could be down or disturbed  But even if that is the case  apps must never hang or crash  they should exit gracefully with an error message  IMHO _x000D_
_x000D_
Also  it would be helpful if an updated version of Companion could be released that does not constantly reload diagnosis data that has already been downloaded previously  Now that we have almost a million diagnosis keys  some way shape or form of load reduction is necessary  and IMHO the first move could be to only download and process new keys    Often  companion simply quits  Sometimes it s just the screensaver lock screen kicking in (Android 9)  and when Companion gets fullscreen again  it starts to download all keys anew   _x000D_
_x000D_
Thanks_x000D_
hman_x000D_
</t>
  </si>
  <si>
    <t>PojavLauncherTeam-PojavLauncher-2381</t>
  </si>
  <si>
    <t>I have an error installing Forge [error -1]</t>
  </si>
  <si>
    <t xml:space="preserve">    Describe the bug_x000D_
_x000D_
Forge installations are fast  and when I want to go to the installed forge  Minecraft crashes with an error of  1_x000D_
_x000D_
    The log file and images videos_x000D_
Erorr _x000D_
https:  youtu be O7HJu5pd bM_x000D_
    Steps To Reproduce_x000D_
_x000D_
   markdown_x000D_
1 run pojav_x000D_
2 installed forge_x000D_
3 Logged into Minecraft Forge_x000D_
   _x000D_
_x000D_
_x000D_
    Expected Behavior_x000D_
_x000D_
I expected that I would start playing Minecraft with mods _x000D_
_x000D_
    Platform_x000D_
_x000D_
   markdown_x000D_
  Device model: Poco x3 pro_x000D_
  CPU architecture: _x000D_
  Android version: 12 5 5_x000D_
  PojavLauncher version: Latest from google play_x000D_
   _x000D_
_x000D_
_x000D_
    Anything else _x000D_
_x000D_
Help pls</t>
  </si>
  <si>
    <t>PojavLauncherTeam-PojavLauncher-2372</t>
  </si>
  <si>
    <t>[BUG] Crash at Startup</t>
  </si>
  <si>
    <t xml:space="preserve">    Describe the bug
After starting minecraft ot crashes
    The log file and images videos
 latestlog txt (https:  github com PojavLauncherTeam PojavLauncher files 7696465 latestlog txt)_x000D_
 crash 2021 12 11 04 32 59 client txt (https:  github com PojavLauncherTeam PojavLauncher files 7696472 crash 2021 12 11 04 32 59 client txt)_x000D_
    Steps To Reproduce
   markdown
1 Start launcher_x000D_
2 Play 1 18 (no mods)_x000D_
3 Crashed after 3 seconds
    Expected Behavior
I exepect the game launches
    Platform
   markdown
  Device model: Huawei Med L29 _x000D_
  CPU architecture: 32 bit _x000D_
  Android version: Android 10 _x000D_
  PojavLauncher version: crucus 293 ba023906f 
    Anything else 
Minecraft Version : 1 18_x000D_
Java Version : Java 17_x000D_
_x000D_
Note : Resource patch is installed</t>
  </si>
  <si>
    <t>PojavLauncherTeam-PojavLauncher-2371</t>
  </si>
  <si>
    <t>[BUG] &lt;can't launch old versions of minecraft&gt;</t>
  </si>
  <si>
    <t xml:space="preserve">    Describe the bug
When i try to launch versions older than some infdev versions they crash almost instantly and and the version of infdev you can t look around the earliest version that you can look around in is alpha 1 01 and some older versions that crash almost instantly in the moments before the crash so please fix this   
    The log file and images videos
 No response 
    Steps To Reproduce
   markdown
launch the oldest version of minecraft and launch infdev
    Expected Behavior
the oldest version of minecraft will crash and indev you can t look around
    Platform
   markdown
  Device model: samsung tab e and kindle hd 7 i forgot the number_x000D_
  CPU architecture: unknown_x000D_
  Android version: samsung 7  kindle 9 at least the apps think: )_x000D_
  PojavLauncher version: playstore
    Anything else 
nothing</t>
  </si>
  <si>
    <t>BloodCall-BloodCall-26</t>
  </si>
  <si>
    <t>Firebase considers hospitals as users and crashes.</t>
  </si>
  <si>
    <t xml:space="preserve">When LauncherActivity is created if the user is already logged in it redirects him to the home page   Firebase considers hospitals as users and tries to do the same and crashes   Find a way around this   it can probably happen if we check under which tree is the account s info on our realtime database </t>
  </si>
  <si>
    <t>PojavLauncherTeam-PojavLauncher-2370</t>
  </si>
  <si>
    <t>[BUG] 1.18.1 crashes</t>
  </si>
  <si>
    <t xml:space="preserve">    Describe the bug
runs only on zink with strong lags  On Gl4es 1 1 5 (opengl 3) does not start at all  i know this will be a duplicate problem but i am writing this so you know with on which device the game fails to start  _x000D_
  Screenshot 20211210 224917 net kdt pojavlaunch (https:  user images githubusercontent com 75908293 145633615 ccfa9146 b191 4a39 aa2a 740db279c69b jpg)_x000D_
    The log file and images videos
 latestlog txt (https:  github com PojavLauncherTeam PojavLauncher files 7695153 latestlog txt)_x000D_
    Steps To Reproduce
   markdown
1  Downloaded the resource assets v0 for new versions of minecraft  (Followed the instructions for starting snapshots 21w37a)_x000D_
2  Opened Pojavlauncher _x000D_
3  Chose java 17 _x000D_
4  I chose render gl4es 1 1 5 (opengl 3) (on others too tried) _x000D_
5  Launched minecraft 1 18 1_x000D_
6  The game crashed (read more in latestlog)
    Expected Behavior
    Platform
   markdown
  Device model: huawei honor 9c AKA L29 4 64_x000D_
  CPU architecture: aarch64 kirin 710a_x000D_
  Android version: 10 _x000D_
  PojavLauncher version: Latest Release
    Anything else 
 No response </t>
  </si>
  <si>
    <t>androidx-media-18</t>
  </si>
  <si>
    <t>ForegroundServiceStartNotAllowedException when playing from a home screen widget</t>
  </si>
  <si>
    <t xml:space="preserve">Due to the behavior changes of Android 12  the app crashes when I play a track then the app loses AudioFocus  for which I have a callback when the app gains audio focus  AudioManager AUDIOFOCUS GAIN  that s where the media player crashes_x000D_
The  MediaNotificationHandler java L129  (https:  github com androidx media blob e6242690ffbd661fcf1fdc5e063d11dda3dfbd61 libraries session src main java androidx media3 session MediaNotificationHandler java L129 )  throws a  ForegroundServiceStartNotAllowedException   _x000D_
I assume when the app loses audio focus   stopForegroundServiceIfNeeded()   (https:  github com androidx media blob e6242690ffbd661fcf1fdc5e063d11dda3dfbd61 libraries session src main java androidx media3 session MediaNotificationHandler java L132) is called_x000D_
_x000D_
Would we need to update the playing media to WorkManager or what is the official guide to support playing media while the app is in the background on Android 12 _x000D_
_x000D_
  AndroidX Media 3_x000D_
  Android version 12_x000D_
  Android device Pixel 5_x000D_
_x000D_
</t>
  </si>
  <si>
    <t>Anuken-Mindustry-6424</t>
  </si>
  <si>
    <t>Incoming phone calls disable the sound until I restart the game.</t>
  </si>
  <si>
    <t xml:space="preserve">  Platform  :  Android 12 on a Pixel 5A _x000D_
_x000D_
  Build  :  Release 126 2 _x000D_
_x000D_
  Issue  :  Incoming phone calls disable the sound until I restart the game  Not sure if this is something that is in your power to fix  but I figured I would report it anyhow _x000D_
_x000D_
  Steps to reproduce  :  Play normally  then receive a phonecall while the game is unpaused and running  Regardless of whether or not I answer the call  the game s sound is disabled until I restart the game  _x000D_
_x000D_
  Link(s) to mod(s) used  :  No mods _x000D_
_x000D_
  Save file  :  mindustry120921 1 zip (https:  github com Anuken Mindustry files 7693855 mindustry120921 1 zip)_x000D_
_x000D_
_x000D_
  (Crash) logs  :  Not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</si>
  <si>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voxeet-voxeet-uxkit-reactnative-52</t>
  </si>
  <si>
    <t>Get gradle error "Unable to load Maven meta-data from ..."</t>
  </si>
  <si>
    <t xml:space="preserve">I got error below  maybe the voxeet maven repository is down _x000D_
_x000D_
   _x000D_
  What went wrong:_x000D_
Execution failed for task  :app:checkDebugAarMetadata  _x000D_
  Could not resolve all files for configuration  :app:debugRuntimeClasspath  _x000D_
     Could not resolve com facebook react:react native:  _x000D_
     Required by:_x000D_
         project :app_x000D_
         project :app   project :notifee react native_x000D_
         project :app   project :react native community datetimepicker_x000D_
         project :app   project :react native community masked view_x000D_
         project :app   project :react native firebase analytics_x000D_
         project :app   project :react native firebase app_x000D_
         project :app   project :react native firebase crashlytics_x000D_
         project :app   project :react native firebase messaging_x000D_
         project :app   project :react native firebase remote config_x000D_
         project :app   project :react native picker picker_x000D_
         project :app   project :sentry react native_x000D_
         project :app   project :appcenter_x000D_
         project :app   project :appcenter analytics_x000D_
         project :app   project :appcenter crashes_x000D_
         project :app   project :lottie react native_x000D_
         project :app   project :react native auth0_x000D_
         project :app   project :react native bootsplash_x000D_
         project :app   project :react native code push_x000D_
         project :app   project :react native exception handler_x000D_
         project :app   project :react native gesture handler_x000D_
         project :app   project :react native keep awake_x000D_
         project :app   project :react native localize_x000D_
         project :app   project :react native mmkv storage_x000D_
         project :app   project :react native pager view_x000D_
         project :app   project :react native permissions_x000D_
         project :app   project :react native safe area context_x000D_
         project :app   project :react native screens_x000D_
         project :app   project :react native sensitive info_x000D_
         project :app   project :react native svg_x000D_
         project :app   project :react native track player_x000D_
         project :app   project :react native view pdf_x000D_
         project :app   project :react native zohosalesiq mobilisten_x000D_
         project :app   project :react native flipper_x000D_
        Failed to list versions for com facebook react:react native _x000D_
           Unable to load Maven meta data from https:  dl bintray com voxeet maven com facebook react react native maven metadata xml _x000D_
              Could not get resource  https:  dl bintray com voxeet maven com facebook react react native maven metadata xml  _x000D_
                 Could not GET  https:  dl bintray com voxeet maven com facebook react react native maven metadata xml   Received status code 502 from server: Bad Gateway_x000D_
   _x000D_
_x000D_
</t>
  </si>
  <si>
    <t>doublesymmetry-react-native-track-player-1347</t>
  </si>
  <si>
    <t>Crash on Android P, when I configure windowLayoutInDisplayCutoutMode to shortEdges</t>
  </si>
  <si>
    <t xml:space="preserve">  Describe the bug  _x000D_
_x000D_
Add   item name  android:windowLayoutInDisplayCutoutMode  shortEdges  item   config to  styles xml   app crash on start _x000D_
_x000D_
Crash Reporter:_x000D_
   text_x000D_
FATAL EXCEPTION: main_x000D_
_x000D_
java lang ExceptionInInitializerError_x000D_
_x000D_
FATAL EXCEPTION: main_x000D_
Process: com example  PID: 31071_x000D_
java lang ExceptionInInitializerError_x000D_
	at androidx core view WindowInsetsCompat toWindowInsetsCompat(WindowInsetsCompat java:113)_x000D_
	at androidx core view ViewCompat 1 onApplyWindowInsets(ViewCompat java:2473)_x000D_
	at android view View dispatchApplyWindowInsets(View java:9799)_x000D_
	at android view ViewGroup dispatchApplyWindowInsets(ViewGroup java:7076)_x000D_
	at android view ViewGroup dispatchApplyWindowInsets(ViewGroup java:7080)_x000D_
	at android view ViewGroup dispatchApplyWindowInsets(ViewGroup java:7080)_x000D_
	at android view ViewGroup dispatchApplyWindowInsets(ViewGroup java:7080)_x000D_
	at android view ViewRootImpl dispatchApplyInsets(ViewRootImpl java:1632)_x000D_
	at android view ViewRootImpl performTraversals(ViewRootImpl java:1734)_x000D_
	at android view ViewRootImpl doTraversal(ViewRootImpl java:1443)_x000D_
	at android view ViewRootImpl TraversalRunnable run(ViewRootImpl java:7125)_x000D_
	at android view Choreographer CallbackRecord run(Choreographer java:935)_x000D_
	at android view Choreographer doCallbacks(Choreographer java:747)_x000D_
	at android view Choreographer doFrame(Choreographer java:682)_x000D_
	at android view Choreographer FrameDisplayEventReceiver run(Choreographer java:921)_x000D_
	at android os Handler handleCallback(Handler java:873)_x000D_
	at android os Handler dispatchMessage(Handler java:99)_x000D_
	at android os Looper loop(Looper java:164)_x000D_
	at android app ActivityThread main(ActivityThread java:6649)_x000D_
	at java lang reflect Method invoke(Native Method)_x000D_
	at com android internal os RuntimeInit MethodAndArgsCaller run(RuntimeInit java:493)_x000D_
	at com android internal os ZygoteInit main(ZygoteInit java:826)_x000D_
Caused by: java lang NullPointerException_x000D_
	at androidx core util Preconditions checkNotNull(Preconditions java:64)_x000D_
	at androidx core view WindowInsetsCompat toWindowInsetsCompat(WindowInsetsCompat java:113)_x000D_
	at androidx core view WindowInsetsCompat BuilderImpl20 build(WindowInsetsCompat java:1058)_x000D_
	at androidx core view WindowInsetsCompat Builder build(WindowInsetsCompat java:996)_x000D_
	at androidx core view WindowInsetsCompat  clinit (WindowInsetsCompat java:56)_x000D_
	    22 more_x000D_
_x000D_
   _x000D_
_x000D_
  To Reproduce  _x000D_
1   git clone https:  github com DoubleSymmetry react native track player git _x000D_
2   cd react native track player _x000D_
3   yarn _x000D_
4   cd example _x000D_
5   yarn _x000D_
6   open  react native track player example android app src main res values styles xml  and add   item name  android:windowLayoutInDisplayCutoutMode  shortEdges  item   config to style_x000D_
7   yarn android _x000D_
_x000D_
  Environment (please complete the following information):  _x000D_
   text_x000D_
info Fetching system and libraries information   _x000D_
System:_x000D_
    OS: macOS 11 6_x000D_
    CPU: (8) x64 Intel(R) Core(TM) i7 4850HQ CPU   2 30GHz_x000D_
    Memory: 73 64 MB   16 00 GB_x000D_
    Shell: 5 8    bin zsh_x000D_
  Binaries:_x000D_
    Node: 14 8 0      nvm versions node v14 8 0 bin node_x000D_
    Yarn: 1 22 17      nvm versions node v14 8 0 bin yarn_x000D_
    npm: 6 14 7      nvm versions node v14 8 0 bin npm_x000D_
    Watchman: 4 9 0    usr local bin watchman_x000D_
  Managers:_x000D_
    CocoaPods: 1 10 1    usr local bin pod_x000D_
  SDKs:_x000D_
    iOS SDK:_x000D_
      Platforms: DriverKit 21 0 1  iOS 15 0  macOS 12 0  tvOS 15 0  watchOS 8 0_x000D_
    Android SDK:_x000D_
      API Levels: 21  22  23  24  25  26  27  28  29  30_x000D_
      Build Tools: 23 0 1  23 0 2  23 0 3  25 0 0  25 0 2  26 0 1  26 0 3  27 0 3  28 0 2  28 0 3  29 0 2  30 0 2_x000D_
      System Images: android 30   Google APIs Intel x86 Atom  android 30   Google Play Intel x86 Atom  android P   Google Play Intel x86 Atom_x000D_
      Android NDK: 21 1 6352462_x000D_
  IDEs:_x000D_
    Android Studio: 2020 3 AI 203 7717 56 2031 7583922_x000D_
    Xcode: 13 1 13A1030d    usr bin xcodebuild_x000D_
  Languages:_x000D_
    Java: 1 8 0 181    usr bin javac_x000D_
  npmPackages:_x000D_
     react native community cli: Not Found_x000D_
    react: Not Found_x000D_
    react native: Not Found_x000D_
    react native macos: Not Found_x000D_
  npmGlobalPackages:_x000D_
     react native : Not Found_x000D_
   _x000D_
_x000D_
What  react native track player  version are you using _x000D_
   _x000D_
react native track player 2 1 2_x000D_
   _x000D_
_x000D_
  image (https:  user images githubusercontent com 8793618 145543568 ec9a07aa 888f 4ef1 88b6 81aeab68d71d png)_x000D_
_x000D_
_x000D_
  Code  _x000D_
 react native track player example android app src main res values styles xml _x000D_
_x000D_
   xml_x000D_
 resources _x000D_
_x000D_
         Base application theme     _x000D_
     style name  AppTheme  parent  Theme AppCompat DayNight NoActionBar  _x000D_
             Customize your theme here     _x000D_
         item name  android:textColor   000000  item _x000D_
         item name  android:windowLayoutInDisplayCutoutMode  shortEdges  item _x000D_
      style _x000D_
_x000D_
  resources _x000D_
   _x000D_
</t>
  </si>
  <si>
    <t>PojavLauncherTeam-PojavLauncher-2364</t>
  </si>
  <si>
    <t>Crashing on my 1.16.5 😭</t>
  </si>
  <si>
    <t xml:space="preserve">    Describe the bug
I start the game version 1 16 5 and I play and 1 minutes it s crashing whyy please fix this I have no mods or shaders  
    The log file and images videos
All version I crashing  
    Steps To Reproduce
   markdown
Pleace fix the crashing in 1 minutes it s crash why please fix this my problem
    Expected Behavior
1 start the Pojavlauncher_x000D_
2 I play 1 16 5 version_x000D_
3 i play my world _x000D_
4  one minutes_x000D_
5  It s crashing omygod
    Platform
   markdown
  Device model: Vivo 1906_x000D_
  CPU architecture: arm64_x000D_
  Android version: 9_x000D_
  PojavLauncher version: 1 16 5
    Anything else 
Pleace fix my problem  </t>
  </si>
  <si>
    <t>popcorn-official-popcorn-android-780</t>
  </si>
  <si>
    <t>Android crash</t>
  </si>
  <si>
    <t xml:space="preserve">I m currently running version 3 6 9  and after the first launch  the app simply crashes every single time I open it  I tested on android 7 and 10 as well </t>
  </si>
  <si>
    <t>doublesymmetry-react-native-track-player-1346</t>
  </si>
  <si>
    <t>App is crashing when capabilities added in TrackPlayer.updateOptions.  Version: 2.2.0-beta10</t>
  </si>
  <si>
    <t xml:space="preserve">  Describe the bug  _x000D_
When capabilities added in track player app crashed_x000D_
_x000D_
  To Reproduce  _x000D_
  Add capabilities using function   TrackPlayer updateOptions    crashed the app_x000D_
_x000D_
  Environment  _x000D_
 react native track player :  2 2 0 beta10  _x000D_
 react native :  0 64 2  _x000D_
_x000D_
  Code  _x000D_
   js_x000D_
   TrackPlayer updateOptions( _x000D_
      stopWithApp: true _x000D_
      alwaysPauseOnInterruption: true _x000D_
      capabilities:  _x000D_
        TrackPlayer CAPABILITY PLAY _x000D_
        TrackPlayer CAPABILITY PAUSE _x000D_
        TrackPlayer CAPABILITY STOP _x000D_
        TrackPlayer CAPABILITY SKIP TO NEXT _x000D_
        TrackPlayer CAPABILITY SKIP TO PREVIOUS _x000D_
        _x000D_
     )_x000D_
_x000D_
   _x000D_
_x000D_
_x000D_
  Error  _x000D_
Android Studio Logcat _x000D_
_x000D_
   _x000D_
 java lang NullPointerException: it must not be null_x000D_
        at com doublesymmetry trackplayer service MusicService updateOptions lambda 12(MusicService kt:82)_x000D_
        at com doublesymmetry trackplayer service MusicService lambda Ih RN KpJ6B95ZcoMDpvFHFfr9E(Unknown Source:0)_x000D_
        at com doublesymmetry trackplayer service    Lambda MusicService Ih RN KpJ6B95ZcoMDpvFHFfr9E run(Unknown Source:4)_x000D_
        at android os Handler handleCallback(Handler java:883)_x000D_
        at android os Handler dispatchMessage(Handler java:100)_x000D_
        at android os Looper loop(Looper java:264)_x000D_
        at android app ActivityThread main(ActivityThread java:7581)_x000D_
        at java lang reflect Method invoke(Native Method)_x000D_
        at com android internal os RuntimeInit MethodAndArgsCaller run(RuntimeInit java:492)_x000D_
        at com android internal os ZygoteInit main(ZygoteInit java:980)_x000D_
   _x000D_
  MusicService kt:82  _x000D_
  image (https:  user images githubusercontent com 7583598 145405648 3e951398 0219 4b14 8c1d f21813f0aa94 png)_x000D_
_x000D_
_x000D_
  Platform  _x000D_
Android</t>
  </si>
  <si>
    <t>ViroCommunity-viro-65</t>
  </si>
  <si>
    <t>App crash on android when I use ViroARCamera</t>
  </si>
  <si>
    <t xml:space="preserve"> doranteseduardo : Thanks for your effort to make thins nice component  _x000D_
However  I have the following problem  _x000D_
_x000D_
    Environment_x000D_
Please provide the following information about your environment:_x000D_
1  Development OS: Mac_x000D_
2  Device OS   Version: What Android OS 10  android_x000D_
3  Version: ViroReact version:_x000D_
      viro community react viro :   2 20 2  _x000D_
 and React Native version:_x000D_
     react native :  0 65 1 _x000D_
_x000D_
4  Device(s): Samsung_x000D_
_x000D_
   Description_x000D_
When I use any  ViroARCamera in the scene the app crashes on android _x000D_
_x000D_
my code  _x000D_
    _x000D_
 ViroARScene onTrackingUpdated  onInitialized  _x000D_
       ViroAmbientLight color    aaaaaa     _x000D_
_x000D_
       ViroSpotLight innerAngle  5  outerAngle  90  direction   0  1   2  _x000D_
          position   0  3  1   color   ffffff  castsShadow  true    _x000D_
_x000D_
       ViroARCamera _x000D_
                 Viro3DObject_x000D_
            source  require(   models rodeh obj ) _x000D_
             resources   require(   models rodeh material mtl )  _x000D_
              scale   0 02  0 02  0 02  _x000D_
              position    1   2   1  _x000D_
            position   0  0  0         try changing these values_x000D_
_x000D_
            type  OBJ    _x000D_
           ViroARCamera _x000D_
_x000D_
      ViroARScene _x000D_
_x000D_
   _x000D_
</t>
  </si>
  <si>
    <t>aws-amplify-amplify-android-1599</t>
  </si>
  <si>
    <t>Crash caused by NullPointerException when parsing GraphQLResponse.Error with null/missing message</t>
  </si>
  <si>
    <t xml:space="preserve">    Before opening  please confirm:
   X  I have  searched for duplicate or closed issues (https:  github com aws amplify amplify android issues q is 3Aissue ) and  discussions (https:  github com aws amplify amplify android discussions) 
    Language and Async Model
Kotlin
    Amplify Categories
GraphQL API
    Gradle script dependencies
 details _x000D_
_x000D_
   groovy_x000D_
implementation  com amplifyframework:core:1 24 1 _x000D_
implementation  com amplifyframework:aws api:1 24 1 _x000D_
   _x000D_
_x000D_
  details _x000D_
    Environment information
 details _x000D_
_x000D_
   text_x000D_
                                                            _x000D_
Gradle 6 8 2_x000D_
                                                            _x000D_
_x000D_
Build time:   2021 02 05 12:53:00 UTC_x000D_
Revision:     b9bd4a5c6026ac52f690eaf2829ee26563cad426_x000D_
_x000D_
Kotlin:       1 4 20_x000D_
Groovy:       2 5 12_x000D_
Ant:          Apache Ant(TM) version 1 10 9 compiled on September 27 2020_x000D_
JVM:          11 0 10 (JetBrains s r o  11 0 10 0 b96 7281165)_x000D_
OS:           Mac OS X 11 6 1 x86 64_x000D_
   _x000D_
_x000D_
  details _x000D_
    Please include any relevant guides or documentation you re referencing
 No response 
    Describe the bug
Yesterday during the US EAST 1 outage I was seeing app crashes caused by a  NullPointerException  thrown while deserializing  GraphQLResponse Error   The full stacktrace is:_x000D_
_x000D_
   _x000D_
Fatal Exception: java lang NullPointerException_x000D_
       at java util Objects requireNonNull(Objects java:220)_x000D_
       at com amplifyframework api graphql GraphQLResponse Error  init (GraphQLResponse java:138)_x000D_
       at com amplifyframework api graphql GsonResponseAdapters ErrorDeserializer deserialize(GsonResponseAdapters java:216)_x000D_
       at com amplifyframework api graphql GsonResponseAdapters ErrorDeserializer deserialize(GsonResponseAdapters java:156)_x000D_
       at com google gson internal bind TreeTypeAdapter read(TreeTypeAdapter java:69)_x000D_
       at com google gson Gson fromJson(Gson java:932)_x000D_
       at com google gson Gson fromJson(Gson java:1003)_x000D_
       at com google gson internal bind TreeTypeAdapter GsonContextImpl deserialize(TreeTypeAdapter java:162)_x000D_
       at com amplifyframework api aws GsonGraphQLResponseFactory IterableDeserializer toList(GsonGraphQLResponseFactory java:152)_x000D_
       at com amplifyframework api aws GsonGraphQLResponseFactory IterableDeserializer deserialize(GsonGraphQLResponseFactory java:141)_x000D_
       at com amplifyframework api aws GsonGraphQLResponseFactory IterableDeserializer deserialize(GsonGraphQLResponseFactory java:75)_x000D_
       at com google gson internal bind TreeTypeAdapter read(TreeTypeAdapter java:69)_x000D_
       at com google gson Gson fromJson(Gson java:932)_x000D_
       at com google gson Gson fromJson(Gson java:1003)_x000D_
       at com google gson internal bind TreeTypeAdapter GsonContextImpl deserialize(TreeTypeAdapter java:162)_x000D_
       at com amplifyframework api graphql GsonResponseAdapters ResponseDeserializer parseErrors(GsonResponseAdapters java:148)_x000D_
       at com amplifyframework api graphql GsonResponseAdapters ResponseDeserializer deserialize(GsonResponseAdapters java:84)_x000D_
       at com amplifyframework api graphql GsonResponseAdapters ResponseDeserializer deserialize(GsonResponseAdapters java:59)_x000D_
       at com google gson internal bind TreeTypeAdapter read(TreeTypeAdapter java:69)_x000D_
       at com google gson Gson fromJson(Gson java:932)_x000D_
       at com google gson Gson fromJson(Gson java:897)_x000D_
       at com google gson Gson fromJson(Gson java:846)_x000D_
       at com amplifyframework api aws GsonGraphQLResponseFactory buildResponse(GsonGraphQLResponseFactory java:65)_x000D_
       at com amplifyframework api graphql GraphQLOperation wrapResponse(GraphQLOperation java:53)_x000D_
       at com amplifyframework api aws AppSyncGraphQLOperation access 100(AppSyncGraphQLOperation java:50)_x000D_
       at com amplifyframework api aws AppSyncGraphQLOperation OkHttpCallback onResponse(AppSyncGraphQLOperation java:147)_x000D_
       at okhttp3 internal connection RealCall AsyncCall run(RealCall java:519)_x000D_
       at java util concurrent ThreadPoolExecutor runWorker(ThreadPoolExecutor java:1167)_x000D_
       at java util concurrent ThreadPoolExecutor Worker run(ThreadPoolExecutor java:641)_x000D_
       at java lang Thread run(Thread java:923)_x000D_
   _x000D_
_x000D_
The stacktrace indicates the error  message  was either  null  or missing  I would not expect this to cause a crash  Instead a default message could to be supplied or an exception thrown and handled  _x000D_
_x000D_
Here are two possible fixes for the crash  Each has a fix and a test to verify the fix _x000D_
_x000D_
https:  github com millsjustin amplify android compare main   jm provide default message when null_x000D_
_x000D_
https:  github com millsjustin amplify android compare main   jm throw api exception for null message_x000D_
_x000D_
I can provide any additional info you need and open a PR with a fix if you would like 
    Reproduction steps (if applicable)
See unit tests in links provided above 
    Code Snippet
 No response 
    Log output
 No response 
    amplifyconfiguration json
 No response 
    GraphQL Schema
 No response 
    Additional information and screenshots
 No response </t>
  </si>
  <si>
    <t>Anuken-Mindustry-6417</t>
  </si>
  <si>
    <t>Modded Error on Read of units</t>
  </si>
  <si>
    <t xml:space="preserve">  Platform  :  Android Linux _x000D_
_x000D_
  Build  :  135  _x000D_
_x000D_
  Issue  :  I was testing and that the units can use the read() and write() but the read in the units is broken but the write works  _x000D_
_x000D_
  Steps to reproduce  : _x000D_
 step 1: open map _x000D_
 step 2: spawn unit _x000D_
 step 3: exit map _x000D_
 step 4: open map _x000D_
_x000D_
  Link(s) to mod(s) used  :  _x000D_
 testUnit zip (https:  github com Anuken Mindustry files 7678198 testUnit zip)_x000D_
 _x000D_
_x000D_
  Save file  :  null _x000D_
_x000D_
If you remove the line above without reading it properly and understanding what it means  I will reap your soul  Even if you re playing on someone s server  you can still save the game to a slot _x000D_
_x000D_
  (Crash) logs  :  not crash game but corruption file _x000D_
  last log  : _x000D_
_x000D_
  I  arc util io Writes 151680a_x000D_
 E  mindustry io SaveIO SaveException: java io IOException: Error reading region  entities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</si>
  <si>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NordicSemiconductor-Android-BLE-Library-338</t>
  </si>
  <si>
    <t>NullPointerException in internalConnect</t>
  </si>
  <si>
    <t xml:space="preserve">We received the following stack trace in a crash report  We are using 2 3 1 _x000D_
   _x000D_
Fatal Exception: java lang NullPointerException: Attempt to invoke virtual method  boolean no nordicsemi android ble TimeoutableRequest z(android bluetooth BluetoothDevice)  on a null object reference_x000D_
       at no nordicsemi android ble BleManagerHandler internalConnect(BleManagerHandler java:489)_x000D_
       at no nordicsemi android ble BleManagerHandler access 2700(BleManagerHandler java:57)_x000D_
       at no nordicsemi android ble BleManagerHandler 3 lambda onConnectionStateChange 3(BleManagerHandler java:1803)_x000D_
       at no nordicsemi android ble BleManagerHandler 3  r8 lambda JA4A3XYfhUGlXRcFBJ3rJoQBsvs(BleManagerHandler java)_x000D_
       at no nordicsemi android ble BleManagerHandler 3  InternalSyntheticLambda 0 8d19e6ce89fe9f2131286e70e9cf3a0cbc09693786214531c3c4ed467ff11a14 3 run(BleManagerHandler java:4)_x000D_
       at android os Handler handleCallback(Handler java:883)_x000D_
       at android os Handler dispatchMessage(Handler java:100)_x000D_
       at android os Looper loop(Looper java:214)_x000D_
       at android app ActivityThread main(ActivityThread java:7615)_x000D_
       at java lang reflect Method invoke(Method java)_x000D_
       at com android internal os RuntimeInit MethodAndArgsCaller run(RuntimeInit java:492)_x000D_
       at com android internal os ZygoteInit main(ZygoteInit java:964)_x000D_
   _x000D_
_x000D_
Based on the line numbers  it looks like  this connectRequest  is  null  </t>
  </si>
  <si>
    <t>PojavLauncherTeam-PojavLauncher-2356</t>
  </si>
  <si>
    <t>The launcher crashes when I'm offline</t>
  </si>
  <si>
    <t xml:space="preserve">    Describe the bug
When open in offline it crashes 
    The log file and images videos
_x000D_
Uploading SVID 20211208 191604 1 mp4 _x000D_
_x000D_
    Steps To Reproduce
   markdown
1 Open the launcher_x000D_
2 Select account _x000D_
3 Thn it crashes
    Expected Behavior
How to fix this  
    Platform
   markdown
  Device model: Huawei MatePad T_x000D_
  CPU architecture: armv7 32bit_x000D_
  Android version: 10_x000D_
  PojavLauncher version: crocus 291 095b62a10 profiles 2 electric boogaloo
    Anything else 
 No response </t>
  </si>
  <si>
    <t>Anuken-Mindustry-6411</t>
  </si>
  <si>
    <t>BlockFlag.resupply doesn't exist?</t>
  </si>
  <si>
    <t xml:space="preserve">  Platform  :  Headless server _x000D_
_x000D_
  Build  :  Any v7 pre alpha build _x000D_
_x000D_
  Issue  :  Strange exception is thrown on different servers 2 3 times per day  The server doesn t crash but please fix it  _x000D_
_x000D_
  Steps to reproduce  :  I don t know     _x000D_
_x000D_
  Link(s) to mod(s) used  :  No mods  _x000D_
_x000D_
  (Crash) logs  :  See my screenshot  _x000D_
_x000D_
   x    I have updated to the latest release (https:  github com Anuken Mindustry releases) to make sure my issue has not been fixed   _x000D_
   x    I have searched the closed and open issues to make sure that this problem has not already been reported   _x000D_
_x000D_
  IMG 20211208 082427 (https:  user images githubusercontent com 79508138 145153525 e7fbc3bc 0f9b 4389 abae 5c290378257f jpg)_x000D_
</t>
  </si>
  <si>
    <t>garrettramela-gwu-mobile-app-5</t>
  </si>
  <si>
    <t>Correct strength training activity layout transition from the home page.</t>
  </si>
  <si>
    <t xml:space="preserve">When clicking on the strength training category from the home page  WRKT crashes and doesn t work properly </t>
  </si>
  <si>
    <t>PojavLauncherTeam-PojavLauncher-2354</t>
  </si>
  <si>
    <t>[BUG] Minecraft 1.18.1 up crashing using renderer gl4es 1.1.5</t>
  </si>
  <si>
    <t xml:space="preserve">    Describe the bug
So i downloaded the latest release and installed the jre17 and the assets which i changed to version 8 but entering game just saying game exited for some reason only on renderer gl4es 1 1 5 but other renderers were working fine but i still want the gl4es 1 1 5 cause it doesn t have the bugged out banners  dyed sheeps etc  Pls can u help  Or is there a java arg 
    The log file and images videos
  Screenshot 2021 12 08 07 27 31 64 67a64f1fc1b88908dad3392f76c1969b (https:  user images githubusercontent com 78704439 145123163 f4c54787 2a9b 4462 9059 b58071dbd10f jpg)
    Steps To Reproduce
   markdown
1  I download the version 1 18 1 rc1 and download the jre17 and assets v0 zip_x000D_
2  I set my renderer to gl4es 1 1 5 and set my runtime to jre17 from java 8 _x000D_
3  I edited the options txt on the  minecraft folder and put on the resourcepack line   assets v0 zip  _x000D_
4  I launched the game and crashed
    Expected Behavior
Expect game to run well
    Platform
   markdown
  Device model: RMX2189 11_x000D_
  CPU architecture: arm 64_x000D_
  Android version: 11_x000D_
  PojavLauncher version: crocus 292 870d86d9a profiles 2 electric boogaloo
    Anything else 
https:  drive google com file d 1 MscyaAg4evNgwH5 mgFqGs1femNSTjt view usp drivesdk_x000D_
_x000D_
Here s a video clip</t>
  </si>
  <si>
    <t>PojavLauncherTeam-PojavLauncher-2352</t>
  </si>
  <si>
    <t>Minecraft IMPORTANT versions crash😭😭😭😭</t>
  </si>
  <si>
    <t xml:space="preserve">    Describe the bug
Game exited 1 18   1 8 9   Lunarclient (in my friend phone it s work)  1 12 2   
    The log file and images videos
  Screenshot 20211207 233840 PojavLauncher (Minecraft Java Edition for Android) (https:  user images githubusercontent com 88630012 145100037 647ba029 0120 4c12 92fa 5bca50d294d7 jpg)_x000D_
  Screenshot 20211207 233902 PojavLauncher (Minecraft Java Edition for Android) (https:  user images githubusercontent com 88630012 145100042 e11dff8c 435b 4eb4 b012 86c2bbf40ffe jpg)_x000D_
  Screenshot 20211207 233939 PojavLauncher (Minecraft Java Edition for Android) (https:  user images githubusercontent com 88630012 145100046 5ae2df88 de30 41b4 a7bb d39dc0792240 jpg)_x000D_
  Screenshot 20211207 234002 PojavLauncher (Minecraft Java Edition for Android) (https:  user images githubusercontent com 88630012 145100051 71432d72 4ffd 42df ba67 621a0aebb469 jpg)_x000D_
 latestlog txt (https:  github com PojavLauncherTeam PojavLauncher files 7671368 latestlog txt)_x000D_
    Steps To Reproduce
   markdown
1 Start pojav_x000D_
2 go to this versions_x000D_
3 game exited (crash)
    Expected Behavior
Pls fix these_x000D_
 Don t say enable VBO it doesn t work_x000D_
 I test every renders   java 8 and 17
    Platform
   markdown
  Device model: Samsung Galaxy A71_x000D_
  CPU architecture: aarch64_x000D_
  Android version: 11_x000D_
  PojavLauncher version: latest in play store
    Anything else 
Just fix          </t>
  </si>
  <si>
    <t>TeamNewPipe-NewPipe-7513</t>
  </si>
  <si>
    <t>Live listening FC</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</si>
  <si>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Connect to a  not stable  network _x000D_
2  Open a live video (of songs for example) _x000D_
3  Listen it in background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app shows an error about the  interruption of the video data  and once opened again in foreground it crashes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Logs_x000D_
     If your bug includes a crash (where you re shown the Error Report page with a bunch of info)  tap on  Copy formatted report  at the bottom and paste it here:    _x000D_
_x000D_
   _x000D_
java lang RuntimeException: Error receiving broadcast Intent   act org schabi newpipe debug seamlesstransitionplayers VideoDetailFragment ACTION VIDEO FRAGMENT RESUMED flg 0x10   in org schabi newpipe player Player 3 5996f45_x000D_
	at android app LoadedApk ReceiverDispatcher Args lambda getRunnable 0 LoadedApk ReceiverDispatcher Args(LoadedApk java:1815)_x000D_
	at android app LoadedApk ReceiverDispatcher Args  ExternalSyntheticLambda0 run(Unknown Source:2)_x000D_
	at android os Handler handleCallback(Handler java:938)_x000D_
	at android os Handler dispatchMessage(Handler java:99)_x000D_
	at android os Looper loopOnce(Looper java:226)_x000D_
	at android os Looper loop(Looper java:313)_x000D_
	at android app ActivityThread main(ActivityThread java:8582)_x000D_
	at java lang reflect Method invoke(Native Method)_x000D_
	at com android internal os RuntimeInit MethodAndArgsCaller run(RuntimeInit java:563)_x000D_
	at com android internal os ZygoteInit main(ZygoteInit java:1133)_x000D_
Caused by: java lang NullPointerException_x000D_
	at java util Objects requireNonNull(Objects java:220)_x000D_
	at org schabi newpipe player Player useVideoSource(Player java:4149)_x000D_
	at org schabi newpipe player Player onBroadcastReceived(Player java:1171)_x000D_
	at org schabi newpipe player Player access 200(Player java:205)_x000D_
	at org schabi newpipe player Player 3 onReceive(Player java:1098)_x000D_
	at android app LoadedApk ReceiverDispatcher Args lambda getRunnable 0 LoadedApk ReceiverDispatcher Args(LoadedApk java:1805)_x000D_
	    9 more_x000D_
    _x000D_
_x000D_
     That s right  here     _x000D_
_x000D_
_x000D_
_x000D_
     Please fill this section if you did not provide a log generated by NewPipe    _x000D_
_x000D_
    Device info_x000D_
_x000D_
   Android version Custom ROM version:_x000D_
 12 One Ui 4 0_x000D_
   Device model:_x000D_
S21</t>
  </si>
  <si>
    <t>TeamNewPipe-NewPipe-7511</t>
  </si>
  <si>
    <t>Rnadom bug - Ratings are enabled, but the Like button is missing</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</si>
  <si>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There are no special steps to do
     If you can t cause the bug to show up again reliably (and hence don t have a proper set of steps to give us)  please still try to give as many details as possible on how you think you encountered the bug     
    Actual behavior
     Tell us what happens with the steps given above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section if you did not provide a log generated by NewPipe    
   Exception
    User Action:   requested stream
    Request:   https:  www youtube com watch v gkm     
    Content Country:   
    Content Language:   
    App Language:   
    Service:   YouTube
    Version:   0 21 13
    OS:   Linux Android 11   30
 details  summary  b Exceptions (2)  b   summary  p 
 details  summary  b Crash log 1  b   summary  p 
org schabi newpipe extractor exceptions ParsingException: Could not get like count
	at org schabi newpipe extractor services youtube extractors YoutubeStreamExtractor getLikeCount(YoutubeStreamExtractor java:359)
	at org schabi newpipe extractor stream StreamInfo extractOptionalData(StreamInfo java:281)
	at org schabi newpipe extractor stream StreamInfo getInfo(StreamInfo java:73)
	at org schabi newpipe extractor stream StreamInfo getInfo(StreamInfo java:64)
	at org schabi newpipe util ExtractorHelper lambda getStreamInfo 3(ExtractorHelper java:116)
	at org schabi newpipe util ExtractorHelper  r8 lambda YTHJjScxCJNO1LTCqs3IKy35iyY(Unknown Source:0)
	at org schabi newpipe util ExtractorHelper  ExternalSyntheticLambda6 call(Unknown Source:4)
	at io reactivex rxjava3 internal operators single SingleFromCallable subscribeActual(SingleFromCallable java:43)
	at io reactivex rxjava3 core Single subscribe(Single java:4813)
	at io reactivex rxjava3 internal operators single SingleDoOnSuccess subscribeActual(SingleDoOnSuccess java:35)
	at io reactivex rxjava3 core Single subscribe(Single java:4813)
	at io reactivex rxjava3 internal operators maybe MaybeFromSingle subscribeActual(MaybeFromSingle java:41)
	at io reactivex rxjava3 core Maybe subscribe(Maybe java:5330)
	at io reactivex rxjava3 internal operators maybe MaybeConcatArray ConcatMaybeObserver drain(MaybeConcatArray java:153)
	at io reactivex rxjava3 internal operators maybe MaybeConcatArray ConcatMaybeObserver request(MaybeConcatArray java:78)
	at io reactivex rxjava3 internal operators flowable FlowableElementAtMaybe ElementAtSubscriber onSubscribe(FlowableElementAtMaybe java:66)
	at io reactivex rxjava3 internal operators maybe MaybeConcatArray subscribeActual(MaybeConcatArray java:42)
	at io reactivex rxjava3 core Flowable subscribe(Flowable java:15753)
	at io reactivex rxjava3 internal operators flowable FlowableElementAtMaybe subscribeActual(FlowableElementAtMaybe java:36)
	at io reactivex rxjava3 core Maybe subscribe(Maybe java:5330)
	at io reactivex rxjava3 internal operators maybe MaybeToSingle subscribeActual(MaybeToSingle java:46)
	at io reactivex rxjava3 core Single subscribe(Single java:4813)
	at io reactivex rxjava3 internal operators single SingleSubscribeOn SubscribeOnObserver run(SingleSubscribeOn java:89)
	at io reactivex rxjava3 core Scheduler DisposeTask run(Scheduler java:614)
	at io reactivex rxjava3 internal schedulers ScheduledRunnable run(ScheduledRunnable java:65)
	at io reactivex rxjava3 internal schedulers ScheduledRunnable call(ScheduledRunnable java:56)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java:923)
Caused by: org schabi newpipe extractor exceptions ParsingException: Ratings are enabled even though the like button is missing
	at org schabi newpipe extractor services youtube extractors YoutubeStreamExtractor getLikeCount(YoutubeStreamExtractor java:348)
	    30 more
Caused by: java lang NullPointerException: Attempt to invoke virtual method  java lang String   java lang String split(java lang String)  on a null object reference
	at org schabi newpipe extractor services youtube extractors YoutubeStreamExtractor getLikeCount(YoutubeStreamExtractor java:344)
	    30 more
  details 
 details  summary  b Crash log 2  b   summary  p 
org schabi newpipe extractor exceptions ParsingException: Could not get dislike count
	at org schabi newpipe extractor services youtube extractors YoutubeStreamExtractor getDislikeCount(YoutubeStreamExtractor java:388)
	at org schabi newpipe extractor stream StreamInfo extractOptionalData(StreamInfo java:286)
	at org schabi newpipe extractor stream StreamInfo getInfo(StreamInfo java:73)
	at org schabi newpipe extractor stream StreamInfo getInfo(StreamInfo java:64)
	at org schabi newpipe util ExtractorHelper lambda getStreamInfo 3(ExtractorHelper java:116)
	at org schabi newpipe util ExtractorHelper  r8 lambda YTHJjScxCJNO1LTCqs3IKy35iyY(Unknown Source:0)
	at org schabi newpipe util ExtractorHelper  ExternalSyntheticLambda6 call(Unknown Source:4)
	at io reactivex rxjava3 internal operators single SingleFromCallable subscribeActual(SingleFromCallable java:43)
	at io reactivex rxjava3 core Single subscribe(Single java:4813)
	at io reactivex rxjava3 internal operators single SingleDoOnSuccess subscribeActual(SingleDoOnSuccess java:35)
	at io reactivex rxjava3 core Single subscribe(Single java:4813)
	at io reactivex rxjava3 internal operators maybe MaybeFromSingle subscribeActual(MaybeFromSingle java:41)
	at io reactivex rxjava3 core Maybe subscribe(Maybe java:5330)
	at io reactivex rxjava3 internal operators maybe MaybeConcatArray ConcatMaybeObserver drain(MaybeConcatArray java:153)
	at io reactivex rxjava3 internal operators maybe MaybeConcatArray ConcatMaybeObserver request(MaybeConcatArray java:78)
	at io reactivex rxjava3 internal operators flowable FlowableElementAtMaybe ElementAtSubscriber onSubscribe(FlowableElementAtMaybe java:66)
	at io reactivex rxjava3 internal operators maybe MaybeConcatArray subscribeActual(MaybeConcatArray java:42)
	at io reactivex rxjava3 core Flowable subscribe(Flowable java:15753)
	at io reactivex rxjava3 internal operators flowable FlowableElementAtMaybe subscribeActual(FlowableElementAtMaybe java:36)
	at io reactivex rxjava3 core Maybe subscribe(Maybe java:5330)
	at io reactivex rxjava3 internal operators maybe MaybeToSingle subscribeActual(MaybeToSingle java:46)
	at io reactivex rxjava3 core Single subscribe(Single java:4813)
	at io reactivex rxjava3 internal operators single SingleSubscribeOn SubscribeOnObserver run(SingleSubscribeOn java:89)
	at io reactivex rxjava3 core Scheduler DisposeTask run(Scheduler java:614)
	at io reactivex rxjava3 internal schedulers ScheduledRunnable run(ScheduledRunnable java:65)
	at io reactivex rxjava3 internal schedulers ScheduledRunnable call(ScheduledRunnable java:56)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java:923)
Caused by: org schabi newpipe extractor exceptions ParsingException: Ratings are enabled even though the dislike button is missing
	at org schabi newpipe extractor services youtube extractors YoutubeStreamExtractor getDislikeCount(YoutubeStreamExtractor java:377)
	    30 more
Caused by: java lang NullPointerException: Attempt to invoke virtual method  java lang String   java lang String split(java lang String)  on a null object reference
	at org schabi newpipe extractor services youtube extractors YoutubeStreamExtractor getDislikeCount(YoutubeStreamExtractor java:373)
	    30 more
  details 
  p   details 
 hr 
</t>
  </si>
  <si>
    <t>PojavLauncherTeam-PojavLauncher-2347</t>
  </si>
  <si>
    <t>[BUG] assets-v0.zip options not working</t>
  </si>
  <si>
    <t xml:space="preserve">    Describe the bug_x000D_
_x000D_
so basically my log says 1 18 that assets v0 zip is no longer compatible  btw when i im offline i launch PojavLauncher it crashes_x000D_
_x000D_
    The log file and images videos_x000D_
_x000D_
file is options txt i located in  SAF AndroidData net kdt pojavlaunch debug files_x000D_
_x000D_
    Steps To Reproduce_x000D_
_x000D_
   markdown_x000D_
i launch pojavlauncher and i play 1 18 i have the runtime running and after that i see a assets v0 zip is no compatable in options anymore in log after of that launch after minecraft almost done it crash_x000D_
   _x000D_
_x000D_
_x000D_
    Expected Behavior_x000D_
_x000D_
i thought its working but it crash_x000D_
_x000D_
    Platform_x000D_
_x000D_
   markdown_x000D_
  Device model:Samsung Galaxy A11 32GB_x000D_
  CPU architecture:8x ARM Cortex A53   1 80 GHz 32 bits_x000D_
  Android version:11 _x000D_
  PojavLauncher version:crocus 284 4219779ce v3 openjdk_x000D_
   _x000D_
_x000D_
_x000D_
    Anything else _x000D_
_x000D_
 btw when im offline i launch pojavlauncher it crashes </t>
  </si>
  <si>
    <t>inaturalist-iNaturalistAndroid-1156</t>
  </si>
  <si>
    <t>BadTokenException in ActivityHelper.alert</t>
  </si>
  <si>
    <t xml:space="preserve">https:  console firebase google com u 1 project inaturalist ios crashlytics app android:org inaturalist android issues 84497428cc7c776245b0b36e320dcfc8_x000D_
_x000D_
Crashlytics says _x000D_
_x000D_
  This crash is usually caused by your app trying to display a dialog using a previously finished Activity as a context  For example  this can happen if an Activity triggers an AsyncTask that tries to display a dialog when it is finished  but the user navigates back from the Activity before the task is completed _x000D_
_x000D_
   _x000D_
Fatal Exception: android view WindowManager BadTokenException: Unable to add window    token android os BinderProxy 48be406 is not valid  is your activity running _x000D_
       at android view ViewRootImpl setView(ViewRootImpl java:1051)_x000D_
       at android view WindowManagerGlobal addView(WindowManagerGlobal java:399)_x000D_
       at android view WindowManagerImpl addView(WindowManagerImpl java:95)_x000D_
       at android app Dialog show(Dialog java:346)_x000D_
       at org inaturalist android ActivityHelper alert(ActivityHelper java:80)_x000D_
       at org inaturalist android SignInTask onPostExecute(SignInTask java:238)_x000D_
       at org inaturalist android SignInTask onPostExecute(SignInTask java:38)_x000D_
   </t>
  </si>
  <si>
    <t>muralimanohar2002-Chatting-App-13</t>
  </si>
  <si>
    <t>[Bug] App crashes for everyone when user is uploading a story</t>
  </si>
  <si>
    <t xml:space="preserve">The app is crashing for all devices when a user is uploading Story_x000D_
  Screenshot 2021 12 07 02 06 47 620 com miui home (https:  user images githubusercontent com 73837113 144919161 5cd04e20 c5c5 4fe9 ab92 e25af59db3cf png)_x000D_
  image (https:  user images githubusercontent com 73837113 144919233 6484c17e 970d 4c58 a231 b69aa37f97af png)_x000D_
</t>
  </si>
  <si>
    <t>nextcloud-android-9471</t>
  </si>
  <si>
    <t>Crashed when downloading an image</t>
  </si>
  <si>
    <t xml:space="preserve">    Steps to reproduce_x000D_
1  Download an image_x000D_
_x000D_
    Expected behaviour_x000D_
  image downloads_x000D_
_x000D_
    Actual behaviour_x000D_
  The client crashes  and the universe collapses into a ball of fire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10_x000D_
_x000D_
Device model: _x000D_
_x000D_
Stock or customized system: Near stock (BLU barely customizes their android phones)_x000D_
_x000D_
Nextcloud app version:_x000D_
_x000D_
Nextcloud server version:_x000D_
_x000D_
Reverse proxy:_x000D_
_x000D_
    Logs_x000D_
     Web server error log_x000D_
   _x000D_
   _x000D_
_x000D_
     Nextcloud log (data nextcloud log)_x000D_
   _x000D_
             CAUSE OF ERROR             _x000D_
_x000D_
java lang IllegalArgumentException: Scale must be within the range of minScale and maxScale_x000D_
	at com github chrisbanes photoview PhotoViewAttacher setScale(PhotoViewAttacher java:456)_x000D_
	at com github chrisbanes photoview PhotoViewAttacher setScale(PhotoViewAttacher java:446)_x000D_
	at com github chrisbanes photoview PhotoViewAttacher setScale(PhotoViewAttacher java:442)_x000D_
	at com github chrisbanes photoview PhotoView setScale(PhotoView java:230)_x000D_
	at com owncloud android ui preview PreviewImageFragment onActivityCreated(PreviewImageFragment java:213)_x000D_
	at androidx fragment app Fragment performActivityCreated(Fragment java:2996)_x000D_
	at androidx fragment app FragmentStateManager activityCreated(FragmentStateManager java:580)_x000D_
	at androidx fragment app FragmentStateManager moveToExpectedState(FragmentStateManager java:285)_x000D_
	at androidx fragment app FragmentManager executeOpsTogether(FragmentManager java:2189)_x000D_
	at androidx fragment app FragmentManager removeRedundantOperationsAndExecute(FragmentManager java:2100)_x000D_
	at androidx fragment app FragmentManager execSingleAction(FragmentManager java:1971)_x000D_
	at androidx fragment app BackStackRecord commitNowAllowingStateLoss(BackStackRecord java:311)_x000D_
	at androidx fragment app FragmentStatePagerAdapter finishUpdate(FragmentStatePagerAdapter java:274)_x000D_
	at androidx viewpager widget ViewPager populate(ViewPager java:1244)_x000D_
	at androidx viewpager widget ViewPager populate(ViewPager java:1092)_x000D_
	at androidx viewpager widget ViewPager 3 run(ViewPager java:273)_x000D_
	at android view Choreographer CallbackRecord run(Choreographer java:967)_x000D_
	at android view Choreographer doCallbacks(Choreographer java:791)_x000D_
	at android view Choreographer doFrame(Choreographer java:722)_x000D_
	at android view Choreographer FrameDisplayEventReceiver run(Choreographer java:952)_x000D_
	at android os Handler handleCallback(Handler java:883)_x000D_
	at android os Handler dispatchMessage(Handler java:100)_x000D_
	at android os Looper loop(Looper java:214)_x000D_
	at android app ActivityThread main(ActivityThread java:7417)_x000D_
	at java lang reflect Method invoke(Native Method)_x000D_
	at com android internal os RuntimeInit MethodAndArgsCaller run(RuntimeInit java:492)_x000D_
	at com android internal os ZygoteInit main(ZygoteInit java:980)_x000D_
_x000D_
             APP INFORMATION             _x000D_
ID: com nextcloud client_x000D_
Version: 30180090_x000D_
Build flavor: gplay_x000D_
_x000D_
             DEVICE INFORMATION             _x000D_
Brand: BLU_x000D_
Device: G0370WW_x000D_
Model: G90 PRO_x000D_
Product: G90 PRO_x000D_
_x000D_
             FIRMWARE             _x000D_
SDK: 29_x000D_
Release: 10_x000D_
Incremental: 1630729046_x000D_
_x000D_
   _x000D_
  NOTE:   Be super sure to remove sensitive data like passwords  note that everybody can look here  You can use the Issue Template application to prefill some of the required information: https:  apps nextcloud com apps issuetemplate_x000D_
</t>
  </si>
  <si>
    <t>TeamNewPipe-NewPipe-7506</t>
  </si>
  <si>
    <t>"Unsupported URL" Error: Opening channels with special or non-latin characters (UTF-8 Hex)</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</si>
  <si>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Open any youtube channel with special or non latin characters in their URL with Newpipe _x000D_
_x000D_
Example:  SBS Radio      https:  youtube com c SBSRadio EC 97 90 EB 9D BC EC 98 A4_x000D_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Error message displayed when opening YT channels with special or non latin characters in their URL  (i e   or  ) with Newpipe or sending the URL to Newpipe  There is no error when accessing the channel from within the app  _x000D_
_x000D_
_x000D_
_x000D_
    Expected behavior_x000D_
     Tell us what you expect to happen     _x000D_
The channel in question should open in Newpipe without any errors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20211119 082824 (https:  user images githubusercontent com 94675770 142591111 46d2faba ad6c 4ee4 a582 27996e235021 jpg)_x000D_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version 10_x000D_
   Device model: Samsung Galaxy S9   SM G960F_x000D_
</t>
  </si>
  <si>
    <t>Blankj-AndroidUtilCode-1577</t>
  </si>
  <si>
    <t>1.31.0版本拉不下来</t>
  </si>
  <si>
    <t xml:space="preserve">   Describe the bug_x000D_
_x000D_
A clear and concise description of what the bug is _x000D_
_x000D_
  The version of AndroidUtilCode:      e g  utilcode:1 16 3 or utilcodex:1 16 3    _x000D_
  The device:      e g  Nexus 5X    _x000D_
  The version of device:      API 27    _x000D_
_x000D_
   The code of bug_x000D_
_x000D_
     e g  _x000D_
   java_x000D_
CrashUtils init() _x000D_
   _x000D_
   _x000D_
   _x000D_
put your code here_x000D_
   _x000D_
_x000D_
   The stack of crash_x000D_
_x000D_
     e g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Screenshots_x000D_
_x000D_
If applicable  add screenshots to help explain your problem _x000D_
_x000D_
_x000D_
   Please delete the current line and the following _x000D_
_x000D_
Thank you for supporting  AndroidUtilCode (https:  github com Blankj AndroidUtilCode) _x000D_
</t>
  </si>
  <si>
    <t>PojavLauncherTeam-PojavLauncher-2344</t>
  </si>
  <si>
    <t xml:space="preserve">    Describe the bug
I decided that I wanted to play 1 0 Minecraft for nostalgia  but the game wasn t fitting with my screen perfectly and the game crashes when I get into a world  It s most likely the render  but I m not entirely sure 
    The log file and images videos
 No response 
    Steps To Reproduce
   markdown
1  Lower Resolution so the game fits my screen (which kind of worked  but didn t fit the whole screen) _x000D_
2  Change Render and GUI scale (Helped me be able to run and see the game) _x000D_
3  Change how much storage is used on the game for it to run (went from 1200 1250 to 900 980) 
    Expected Behavior
I expected the game to load properly and hope the game runs smooth 
    Platform
   markdown
  Device model: Moto G Play_x000D_
  CPU architecture: Don t knoww how to lood at the CPU architecture)_x000D_
  Android version: 11_x000D_
  PojavLauncher version: Latest (hit update on google play this morning 
    Anything else 
 No response </t>
  </si>
  <si>
    <t>PojavLauncherTeam-PojavLauncher-2342</t>
  </si>
  <si>
    <t>[BUG] Crashed Pojavlancher</t>
  </si>
  <si>
    <t xml:space="preserve">    Describe the bug
The game crashes while running
    The log file and images videos
_x000D_
java lang ArrayIndexOutOfBoundsException:  33_x000D_
	at org lwjgl glfw GLFW glfwPollEvents(GLFW java:1140)_x000D_
	at com mojang blaze3d systems RenderSystem flipFrame(RenderSystem java:102)_x000D_
	at net minecraft class 1041 method 15998(class 1041 java:308)_x000D_
	at net minecraft class 310 method 1523(class 310 java:1068)_x000D_
	at net minecraft class 310 method 1514(class 310 java:681)_x000D_
	at net minecraft client main Main main(Main java:215)_x000D_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fabricmc loader impl game minecraft MinecraftGameProvider launch(MinecraftGameProvider java:599)_x000D_
	at net fabricmc loader impl launch knot Knot launch(Knot java:77)_x000D_
	at net fabricmc loader impl launch knot KnotClient main(KnotClient java:23)_x000D_
(I ran without fabric and the problem remained)
    Steps To Reproduce
   markdown
1 Start Pojavlancher_x000D_
2 Run the game_x000D_
3 Enter the world and the server_x000D_
4 The game freezes for a few minutes and I crash_x000D_
5 End
    Expected Behavior
I wanted it not to crash during the game because I was playing BedWars on a game server  it suddenly crashes during the game_x000D_
I realized the problem still exists
    Platform
   markdown
  Device model:Redmi Note 8_x000D_
  CPU architecture: arm64_x000D_
  Android version: 11_x000D_
  PojavLauncher version: crocus  
    Anything else 
Version 1 18 font is not known _x000D_
Sodium does not run in version 1 17 and above </t>
  </si>
  <si>
    <t>muralimanohar2002-Chatting-App-3</t>
  </si>
  <si>
    <t xml:space="preserve">[Bug] App crash if scrolled while adding reaction </t>
  </si>
  <si>
    <t xml:space="preserve">   Summary_x000D_
_x000D_
  As we touch on a chat to add reaction and start scrolling with reaction bar opened  the app gets crashed  _x000D_
_x000D_
</t>
  </si>
  <si>
    <t>TeamNewPipe-NewPipe-7504</t>
  </si>
  <si>
    <t>TV Fullscreen error when clicking recommended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</si>
  <si>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sideloaded NewPipe app on Android TV _x000D_
2  Go to settings video and audio and enable  Start main player in fullscreen  _x000D_
3  Search and click on any video  the first video played will play in fullscreen mode no problem _x000D_
4  Exit out of fullscreen mode (using TV remotes back button) and click on any of the recommended videos _x000D_
5   Unrecoverable player error  occurs and video doesn t open in fullscreen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Selecting recommended videos causes  Unrecoverable player error  and video doesn t open in fullscreen _x000D_
_x000D_
_x000D_
    Expected behavior_x000D_
     Tell us what you expect to happen     _x000D_
Selecting recommended videos should open videos in fullscreen like it does when you search for and click on a video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9 Pie (android version irrelevant)_x000D_
   Device model: Sony BRAVIA Android TV (model irrelevant)_x000D_
_x000D_
This can be replicated on any android device just enable  Start main player in fullscreen  and click on any recommended video _x000D_
PR introducing  Start main player in fullscreen  setting: https:  github com TeamNewPipe NewPipe pull 5459_x000D_
Potentially related fix PR: https:  github com TeamNewPipe NewPipe pull 6895_x000D_
</t>
  </si>
  <si>
    <t>BloodCall-BloodCall-13</t>
  </si>
  <si>
    <t>Sign up fails if you dont upload picture</t>
  </si>
  <si>
    <t>If you dont upload picture the user is never added to the datebase (somewhere there is a null exception) and when you try to login it goes to never ending crashing loop of it trying to get the user data that dont exist in the database</t>
  </si>
  <si>
    <t>PojavLauncherTeam-PojavLauncher-2338</t>
  </si>
  <si>
    <t>1.18 dosen't works</t>
  </si>
  <si>
    <t xml:space="preserve">    Describe the bug
1 18 is not starting although i have a (jre17) runtime and the new 1 18 resourcepack
    The log file and images videos
 No response 
    Steps To Reproduce
   markdown
1 launch 1 18_x000D_
2 mojang screen comes _x000D_
3 it crashes
    Expected Behavior
I expect the game to run properly
    Platform
   markdown
  Device model: vivo y81_x000D_
  CPU architecture: 64bit_x000D_
  Android version: 8_x000D_
  PojavLauncher version: playstore one
    Anything else 
Plz help</t>
  </si>
  <si>
    <t>VishnuSanal-Quotes-75</t>
  </si>
  <si>
    <t>Weird ACRA behaviour</t>
  </si>
  <si>
    <t xml:space="preserve">ACRA doesn t capture the error when the crash happens for the first time  It only captures from the second time  If the app is cleared from recents and opened again  the same behavior repeats _x000D_
_x000D_
I assume this has something to do with ACRA not getting initialized when the first crash happens  Maybe  I m missing something silly _x000D_
_x000D_
Crash reporting works for now  but not completely  Only recurring crashes can be captured as of now _x000D_
_x000D_
Any help will be appreciated  Thanks </t>
  </si>
  <si>
    <t>PojavLauncherTeam-PojavLauncher-2336</t>
  </si>
  <si>
    <t>[BUG] Android 11(SDK 30): crash when add new java runtime</t>
  </si>
  <si>
    <t xml:space="preserve">    Describe the bug_x000D_
_x000D_
when i press   runtime manager        add new    it crashes_x000D_
also  when i launch a mod installer  it crashes_x000D_
_x000D_
_x000D_
    The log file and images videos_x000D_
_x000D_
android content ActivityNotFoundException: No Activity found to handle Intent   act android intent action OPEN DOCUMENT cat  android intent category OPENABLE  typ application x xz  _x000D_
    at android app Instrumentation checkStartActivityResult(Instrumentation java:2067)_x000D_
    at android app Instrumentation execStartActivity(Instrumentation java:1727)_x000D_
    at android app Activity startActivityForResult(Activity java:5320)_x000D_
    at androidx activity ComponentActivity startActivityForResult(ComponentActivity java:574)_x000D_
    at android app Activity startActivityForResult(Activity java:5278)_x000D_
    at androidx activity ComponentActivity startActivityForResult(ComponentActivity java:560)_x000D_
    at net kdt pojavlaunch multirt MultiRTConfigDialog openRuntimeSelector(MultiRTConfigDialog java:42)_x000D_
    at net kdt pojavlaunch multirt MultiRTConfigDialog lambda prepare 0(MultiRTConfigDialog java:28)_x000D_
    at net kdt pojavlaunch multirt    Lambda MultiRTConfigDialog fP8 1TBMcwakCrixe6YEcNNbUdM onClick(Unknown Source:2)_x000D_
    at com android internal app AlertController ButtonHandler handleMessage(AlertController java:178)_x000D_
    at android os Handler dispatchMessage(Handler java:106)_x000D_
    at android os Looper loop(Looper java:223)_x000D_
    at android app ActivityThread main(ActivityThread java:7705)_x000D_
    at java lang reflect Method invoke(Native Method)_x000D_
    at com android internal os RuntimeInit MethodAndArgsCaller run(RuntimeInit java:612)_x000D_
    at com android internal os ZygoteInit main(ZygoteInit java:997)_x000D_
_x000D_
_x000D_
    Steps To Reproduce_x000D_
_x000D_
   markdown_x000D_
runtime manager    add new    crash_x000D_
option    launch a mod installer    crash_x000D_
   _x000D_
_x000D_
_x000D_
    Expected Behavior_x000D_
_x000D_
open files and choose file folder_x000D_
_x000D_
    Platform_x000D_
_x000D_
   markdown_x000D_
  Device model: VSmart Star 4_x000D_
  CPU architecture: aarch64_x000D_
  Android version: 11_x000D_
  PojavLauncher version: Google Play latest   latest success action build   custom compilation (modified runtime and mainfest)_x000D_
   _x000D_
_x000D_
_x000D_
    Anything else _x000D_
_x000D_
manually move custom runtime folder to    data data net kdt pojavlauch runtimes   gives me what i need</t>
  </si>
  <si>
    <t>PojavLauncherTeam-PojavLauncher-2332</t>
  </si>
  <si>
    <t>Optifine crashes on the actions [Fix scroll crashing 1.13+]</t>
  </si>
  <si>
    <t xml:space="preserve">    Describe the bug_x000D_
_x000D_
Installing or opening Optifine caused any version of Minecraft to crash with the message  Game exited _x000D_
_x000D_
    The log file and images videos_x000D_
_x000D_
Game exited_x000D_
_x000D_
    Steps To Reproduce_x000D_
_x000D_
   markdown_x000D_
1  Start Pojavlauncher_x000D_
2  Open Optifine_x000D_
3  Have game launch_x000D_
   _x000D_
_x000D_
_x000D_
    Expected Behavior_x000D_
_x000D_
I expected the game to launch like normal_x000D_
_x000D_
    Platform_x000D_
_x000D_
   markdown_x000D_
  Device model: _x000D_
  CPU architecture: _x000D_
  Android version: _x000D_
  PojavLauncher version:_x000D_
   _x000D_
_x000D_
_x000D_
    Anything else _x000D_
_x000D_
b</t>
  </si>
  <si>
    <t>microg-UnifiedNlp-228</t>
  </si>
  <si>
    <t>Mozilla UnifiedNlp Backend keeps crashing</t>
  </si>
  <si>
    <t xml:space="preserve">  Describe the bug  _x000D_
Mozilla UnifiedNlp Backend keeps crashing  logcat shows:_x000D_
   _x000D_
12 05 00:29:48 173   870  4526 D GmsLocProviderU: unified network: no longer requesting location update_x000D_
12 05 00:29:48 173   870  4526 D ULocClient: Disable automatic updates_x000D_
12 05 00:29:48 173   870  4526 D ULocService: setUpdateInterval com google android gms  interval: 0_x000D_
12 05 00:29:48 173   870  4526 D ULocService: Disable location updates_x000D_
12 05 00:29:48 173   870  4526 D ULocClient: updateBinding   current: true  refs: 0  reqs: 0  avail: true_x000D_
12 05 00:29:48 174   870   870 D ULocService: onDestroy_x000D_
12 05 00:29:48 174   870 11722 D UnifiedLocation: Calling close_x000D_
12 05 00:29:48 175   870   870 E ActivityThread: Service org microg nlp service UnifiedLocationServiceEntryPoint has leaked ServiceConnection org microg nlp service LocationBackendHelper d898ab0 that was originally bound here_x000D_
12 05 00:29:48 175   870   870 E ActivityThread: android app ServiceConnectionLeaked: Service org microg nlp service UnifiedLocationServiceEntryPoint has leaked ServiceConnection org microg nlp service LocationBackendHelper d898ab0 that was originally bound here_x000D_
12 05 00:29:48 175   870   870 E ActivityThread: 	at android app LoadedApk ServiceDispatcher  init (LoadedApk java:1810)_x000D_
12 05 00:29:48 175   870   870 E ActivityThread: 	at android app LoadedApk getServiceDispatcherCommon(LoadedApk java:1682)_x000D_
12 05 00:29:48 175   870   870 E ActivityThread: 	at android app LoadedApk getServiceDispatcher(LoadedApk java:1661)_x000D_
12 05 00:29:48 175   870   870 E ActivityThread: 	at android app ContextImpl bindServiceCommon(ContextImpl java:1721)_x000D_
12 05 00:29:48 175   870   870 E ActivityThread: 	at android app ContextImpl bindService(ContextImpl java:1650)_x000D_
12 05 00:29:48 175   870   870 E ActivityThread: 	at android content ContextWrapper bindService(ContextWrapper java:705)_x000D_
12 05 00:29:48 175   870   870 E ActivityThread: 	at org microg nlp service AbstractBackendHelper bind(AbstractBackendHelper kt:76)_x000D_
12 05 00:29:48 175   870   870 E ActivityThread: 	at org microg nlp service LocationFuser bind(LocationFuser kt:55)_x000D_
12 05 00:29:48 175   870   870 E ActivityThread: 	at org microg nlp service UnifiedLocationServiceRoot reset(UnifiedLocationServiceRoot kt:219)_x000D_
12 05 00:29:48 175   870   870 E ActivityThread: 	at org microg nlp service UnifiedLocationServiceRoot 1 invokeSuspend(UnifiedLocationServiceRoot kt:44)_x000D_
12 05 00:29:48 175   870   870 E ActivityThread: 	at kotlin coroutines jvm internal BaseContinuationImpl resumeWith(ContinuationImpl kt:33)_x000D_
12 05 00:29:48 175   870   870 E ActivityThread: 	at kotlinx coroutines DispatchedTask run(DispatchedTask kt:106)_x000D_
12 05 00:29:48 175   870   870 E ActivityThread: 	at kotlinx coroutines scheduling CoroutineScheduler runSafely(CoroutineScheduler kt:571)_x000D_
12 05 00:29:48 175   870   870 E ActivityThread: 	at kotlinx coroutines scheduling CoroutineScheduler Worker executeTask(CoroutineScheduler kt:738)_x000D_
12 05 00:29:48 175   870   870 E ActivityThread: 	at kotlinx coroutines scheduling CoroutineScheduler Worker runWorker(CoroutineScheduler kt:678)_x000D_
12 05 00:29:48 175   870   870 E ActivityThread: 	at kotlinx coroutines scheduling CoroutineScheduler Worker run(CoroutineScheduler kt:665)_x000D_
12 05 00:29:48 176 11925 11944 D IchnaeaBackendService: Deactivating instance at process 11925_x000D_
12 05 00:29:48 177   870  4526 D UnifiedLocation: Unbinding from: Intent   act org microg nlp LOCATION BACKEND pkg org microg nlp backend ichnaea cmp org microg nlp backend ichnaea  BackendService  _x000D_
12 05 00:29:48 177   870  4526 W UnifiedLocation: _x000D_
12 05 00:29:48 177   870  4526 W UnifiedLocation: java lang IllegalArgumentException: Service not registered: org microg nlp service LocationBackendHelper d898ab0_x000D_
12 05 00:29:48 177   870  4526 W UnifiedLocation: 	at android app LoadedApk forgetServiceDispatcher(LoadedApk java:1756)_x000D_
12 05 00:29:48 177   870  4526 W UnifiedLocation: 	at android app ContextImpl unbindService(ContextImpl java:1776)_x000D_
12 05 00:29:48 177   870  4526 W UnifiedLocation: 	at android content ContextWrapper unbindService(ContextWrapper java:741)_x000D_
12 05 00:29:48 177   870  4526 W UnifiedLocation: 	at org microg nlp service AbstractBackendHelper unbind(AbstractBackendHelper kt:54)_x000D_
12 05 00:29:48 177   870  4526 W UnifiedLocation: 	at org microg nlp service AbstractBackendHelper unbind 1 invokeSuspend(Unknown Source:11)_x000D_
12 05 00:29:48 177   870  4526 W UnifiedLocation: 	at kotlin coroutines jvm internal BaseContinuationImpl resumeWith(ContinuationImpl kt:33)_x000D_
12 05 00:29:48 177   870  4526 W UnifiedLocation: 	at kotlinx coroutines DispatchedTask run(DispatchedTask kt:106)_x000D_
12 05 00:29:48 177   870  4526 W UnifiedLocation: 	at kotlinx coroutines scheduling CoroutineScheduler runSafely(CoroutineScheduler kt:571)_x000D_
12 05 00:29:48 177   870  4526 W UnifiedLocation: 	at kotlinx coroutines scheduling CoroutineScheduler Worker executeTask(CoroutineScheduler kt:738)_x000D_
12 05 00:29:48 177   870  4526 W UnifiedLocation: 	at kotlinx coroutines scheduling CoroutineScheduler Worker runWorker(CoroutineScheduler kt:678)_x000D_
12 05 00:29:48 177   870  4526 W UnifiedLocation: 	at kotlinx coroutines scheduling CoroutineScheduler Worker run(CoroutineScheduler kt:665)_x000D_
12 05 00:29:48 177 11925 11925 D AndroidRuntime: Shutting down VM_x000D_
12 05 00:29:48 178 11925 11925 E AndroidRuntime: FATAL EXCEPTION: main_x000D_
12 05 00:29:48 178 11925 11925 E AndroidRuntime: Process: org microg nlp backend ichnaea  PID: 11925_x000D_
12 05 00:29:48 178 11925 11925 E AndroidRuntime: java lang RuntimeException: Unable to unbind to service org microg nlp backend ichnaea BackendService 15321cf with Intent   act org microg nlp LOCATION BACKEND pkg org microg nlp backend ichnaea cmp org microg nlp backend ichnaea  BackendService  : java lang IllegalStateException: Do not call onClose if not opened before_x000D_
12 05 00:29:48 178 11925 11925 E AndroidRuntime: 	at android app ActivityThread handleUnbindService(ActivityThread java:4023)_x000D_
12 05 00:29:48 178 11925 11925 E AndroidRuntime: 	at android app ActivityThread access 1700(ActivityThread java:219)_x000D_
12 05 00:29:48 178 11925 11925 E AndroidRuntime: 	at android app ActivityThread H handleMessage(ActivityThread java:1885)_x000D_
12 05 00:29:48 178 11925 11925 E AndroidRuntime: 	at android os Handler dispatchMessage(Handler java:107)_x000D_
12 05 00:29:48 178 11925 11925 E AndroidRuntime: 	at android os Looper loop(Looper java:214)_x000D_
12 05 00:29:48 178 11925 11925 E AndroidRuntime: 	at android app ActivityThread main(ActivityThread java:7356)_x000D_
12 05 00:29:48 178 11925 11925 E AndroidRuntime: 	at java lang reflect Method invoke(Native Method)_x000D_
12 05 00:29:48 178 11925 11925 E AndroidRuntime: 	at com android internal os RuntimeInit MethodAndArgsCaller run(RuntimeInit java:491)_x000D_
12 05 00:29:48 178 11925 11925 E AndroidRuntime: 	at com android internal os ZygoteInit main(ZygoteInit java:940)_x000D_
12 05 00:29:48 178 11925 11925 E AndroidRuntime: Caused by: java lang IllegalStateException: Do not call onClose if not opened before_x000D_
12 05 00:29:48 178 11925 11925 E AndroidRuntime: 	at org microg nlp api AbstractBackendHelper onClose(AbstractBackendHelper java:47)_x000D_
12 05 00:29:48 178 11925 11925 E AndroidRuntime: 	at org microg nlp api WiFiBackendHelper onClose(WiFiBackendHelper java:95)_x000D_
12 05 00:29:48 178 11925 11925 E AndroidRuntime: 	at org microg nlp api HelperLocationBackendService onClose(HelperLocationBackendService java:64)_x000D_
12 05 00:29:48 178 11925 11925 E AndroidRuntime: 	at org microg nlp backend ichnaea BackendService onClose(BackendService java:153)_x000D_
12 05 00:29:48 178 11925 11925 E AndroidRuntime: 	at org microg nlp api LocationBackendService disconnect(LocationBackendService java:80)_x000D_
12 05 00:29:48 178 11925 11925 E AndroidRuntime: 	at org microg nlp api AbstractBackendService onUnbind(AbstractBackendService java:58)_x000D_
12 05 00:29:48 178 11925 11925 E AndroidRuntime: 	at android app ActivityThread handleUnbindService(ActivityThread java:4007)_x000D_
12 05 00:29:48 178 11925 11925 E AndroidRuntime: 	    8 more_x000D_
_x000D_
   _x000D_
_x000D_
  To Reproduce  _x000D_
_x000D_
1  Open an App which tries to get location or open mozilla unifiednlp settings inside microg settings_x000D_
4  See error after a while_x000D_
_x000D_
  System  _x000D_
Android Version: 10_x000D_
Custom ROM: LineageOS with microg 17 1 (self compiled)_x000D_
_x000D_
Mozilla UnifiedNlp Backend version: 1 4 0_x000D_
MicroG version 0 2 22 212658</t>
  </si>
  <si>
    <t>PojavLauncherTeam-PojavLauncher-2331</t>
  </si>
  <si>
    <t>[BUG] Segmentation fault after loading into game</t>
  </si>
  <si>
    <t xml:space="preserve">    Describe the bug_x000D_
_x000D_
Game segfaults in libgles within a minute of joining a game  No visual artifacts before crashing  It doesn t seem to depend on minecraft version  I verified the crash on 1 7 10  1 17 1  and 1 18  A higher chunk render distance causes a crash earlier _x000D_
_x000D_
    The log file and images videos_x000D_
_x000D_
logcat:_x000D_
   _x000D_
12 04 14:55:19 540 31989 31989 I crash dump64: performing dump of process 19967 (target tid   31842)_x000D_
12 04 14:55:19 549 31989 31989 F DEBUG   :                                                                _x000D_
12 04 14:55:19 549 31989 31989 F DEBUG   : Build fingerprint:  OnePlus OnePlus7T OnePlus7T:11 RKQ1 201022 002 2110211506:user release keys _x000D_
12 04 14:55:19 549 31989 31989 F DEBUG   : Revision:  0 _x000D_
12 04 14:55:19 549 31989 31989 F DEBUG   : ABI:  arm64 _x000D_
12 04 14:55:19 549 31989 31989 F DEBUG   : Timestamp: 2021 12 04 14:55:19 0500_x000D_
12 04 14:55:19 549 31989 31989 F DEBUG   : pid: 19967  tid: 31842  name: JNISurfaceTextu      net kdt pojavlaunch debug    _x000D_
12 04 14:55:19 549 31989 31989 F DEBUG   : uid: 10469_x000D_
12 04 14:55:19 549 31989 31989 F DEBUG   : signal 11 (SIGSEGV)  code 1 (SEGV MAPERR)  fault addr 0x0_x000D_
12 04 14:55:19 549 31989 31989 F DEBUG   : Cause: null pointer dereference_x000D_
12 04 14:55:19 549 31989 31989 F DEBUG   :     x0  0000006e417bfee0  x1  0000000000000000  x2  00000000000001b0  x3  0000006e417bfee0_x000D_
12 04 14:55:19 549 31989 31989 F DEBUG   :     x4  00000000000001b0  x5  0000006e417c0090  x6  0000006f91dc0dc0  x7  0000000000000004_x000D_
12 04 14:55:19 549 31989 31989 F DEBUG   :     x8  0000007031c63730  x9  0000000000000000  x10 0000000000000010  x11 0000006e417bfee0_x000D_
12 04 14:55:19 549 31989 31989 F DEBUG   :     x12 000000000001ffb8  x13 000000000007fee0  x14 00000070d1c062d0  x15 0000000000000000_x000D_
12 04 14:55:19 549 31989 31989 F DEBUG   :     x16 0000006f03da5578  x17 00000072122a3400  x18 0000000000000005  x19 0000000000000000_x000D_
12 04 14:55:19 549 31989 31989 F DEBUG   :     x20 00000000000001b0  x21 0000000000000010  x22 0000000000000000  x23 0000007021d302e8_x000D_
12 04 14:55:19 549 31989 31989 F DEBUG   :     x24 0000006e417bfee0  x25 0000007031c63730  x26 0000000000000000  x27 0000006f91dc0d80_x000D_
12 04 14:55:19 550 31989 31989 F DEBUG   :     x28 0000006f51ddcdd0  x29 0000006e91a92cf0_x000D_
12 04 14:55:19 550 31989 31989 F DEBUG   :     lr  0000006f03d682e4  sp  0000006e91a92a00  pc  00000072122a3378  pst 0000000020000000_x000D_
12 04 14:55:19 665 31989 31989 F DEBUG   : backtrace:_x000D_
12 04 14:55:19 665 31989 31989 F DEBUG   :        00 pc 000000000004a378   apex com android runtime lib64 bionic libc so (  memcpy 232) (BuildId: 07fbaeed7b7a19203975f06be6f1d5ef)_x000D_
12 04 14:55:19 665 31989 31989 F DEBUG   :        01 pc 00000000003892e0   vendor lib64 egl libGLESv2 adreno so (   0000 f56be09eb88f86833124f1df42e945 559e78c  33824) (BuildId: b87189ccebbe50e571d1bf6b17cf24dc)_x000D_
12 04 14:55:19 665 31989 31989 F DEBUG   :        02 pc 0000000000176f88   vendor lib64 egl libGLESv2 adreno so (   0000 6b200851123c7898055fe62ff9f71f 559e78c  616) (BuildId: b87189ccebbe50e571d1bf6b17cf24dc)_x000D_
12 04 14:55:19 665 31989 31989 F DEBUG   :        03 pc 000000000016ec10   vendor lib64 egl libGLESv2 adreno so (   0000 77df12deb6a622478efa8fb9929034 559e78c  376) (BuildId: b87189ccebbe50e571d1bf6b17cf24dc)_x000D_
12 04 14:55:19 665 31989 31989 F DEBUG   :        04 pc 0000000000082500   data app   1VHk2LV8RQRC WhEL7HPlg   net kdt pojavlaunch debug D5BjXtlKzn 7vH8Arrz7fw   lib arm64 libgl4es 115 so (BuildId: 88f274efe083066491ea379ed2dd4e6ca0dd3f7a)_x000D_
12 04 14:55:19 665 31989 31989 F DEBUG   :        05 pc 0000000000074c80   data app   1VHk2LV8RQRC WhEL7HPlg   net kdt pojavlaunch debug D5BjXtlKzn 7vH8Arrz7fw   lib arm64 libgl4es 115 so (BuildId: 88f274efe083066491ea379ed2dd4e6ca0dd3f7a)_x000D_
12 04 14:55:19 665 31989 31989 F DEBUG   :        06 pc 00000000000751dc   data app   1VHk2LV8RQRC WhEL7HPlg   net kdt pojavlaunch debug D5BjXtlKzn 7vH8Arrz7fw   lib arm64 libgl4es 115 so (glDrawElements 1116) (BuildId: 88f274efe083066491ea379ed2dd4e6ca0dd3f7a)_x000D_
12 04 14:55:19 665 31989 31989 F DEBUG   :        07 pc 00000000005018cc   anonymous:6e762a2000 _x000D_
   _x000D_
_x000D_
    Steps To Reproduce_x000D_
_x000D_
1  Launch Minecraft and join a game_x000D_
1  Wait a bit_x000D_
_x000D_
_x000D_
    Expected Behavior_x000D_
_x000D_
Game does not crash _x000D_
_x000D_
    Platform_x000D_
_x000D_
  Device model: OnePlus 7T (Qualcomm Snapdragon 855 )_x000D_
  CPU architecture: arm64_x000D_
  Android version: 11_x000D_
  PojavLauncher version: https:  github com PojavLauncherTeam PojavLauncher actions runs 1538968538_x000D_
  Renderer: gl4es 1 1 5_x000D_
</t>
  </si>
  <si>
    <t>cgeo-cgeo-12242</t>
  </si>
  <si>
    <t>c:geo crashes on resume in CacheDetailActivity</t>
  </si>
  <si>
    <t xml:space="preserve">    Describe your problem _x000D_
_x000D_
c:geo crashes when CacheDetailActivity is resumed after low memory situation _x000D_
_x000D_
    How to reproduce _x000D_
_x000D_
1  Open cache details_x000D_
2  Put c:geo into background_x000D_
3  Do something that uses lots of memory and causes the CacheDetailActivity to be suspended_x000D_
4  Switch back to c:geo_x000D_
_x000D_
    Actual result after these steps _x000D_
_x000D_
c:geo crashes with_x000D_
_x000D_
   _x000D_
12 04 19:13:52 760  8835  8835 W cgeo    :  main  UncaughtException_x000D_
12 04 19:13:52 760  8835  8835 W cgeo    : java lang RuntimeException: Unable to start activity ComponentInfo cgeo geocaching cgeo geocaching CacheDetailActivity : java lang ClassCastException: android view AbsSavedState 1 cannot be cast to android widget ScrollView SavedState_x000D_
12 04 19:13:52 760  8835  8835 W cgeo    : 	at android app ActivityThread performLaunchActivity(ActivityThread java:2684)_x000D_
12 04 19:13:52 760  8835  8835 W cgeo    : 	at android app ActivityThread handleLaunchActivity(ActivityThread java:2751)_x000D_
12 04 19:13:52 760  8835  8835 W cgeo    : 	at android app ActivityThread  wrap12(ActivityThread java)_x000D_
12 04 19:13:52 760  8835  8835 W cgeo    : 	at android app ActivityThread H handleMessage(ActivityThread java:1496)_x000D_
12 04 19:13:52 760  8835  8835 W cgeo    : 	at android os Handler dispatchMessage(Handler java:102)_x000D_
12 04 19:13:52 760  8835  8835 W cgeo    : 	at android os Looper loop(Looper java:154)_x000D_
12 04 19:13:52 760  8835  8835 W cgeo    : 	at android app ActivityThread main(ActivityThread java:6186)_x000D_
12 04 19:13:52 760  8835  8835 W cgeo    : 	at java lang reflect Method invoke(Native Method)_x000D_
12 04 19:13:52 760  8835  8835 W cgeo    : 	at com android internal os ZygoteInit MethodAndArgsCaller run(ZygoteInit java:889)_x000D_
12 04 19:13:52 760  8835  8835 W cgeo    : 	at com android internal os ZygoteInit main(ZygoteInit java:779)_x000D_
12 04 19:13:52 760  8835  8835 W cgeo    : Caused by: java lang ClassCastException: android view AbsSavedState 1 cannot be cast to android widget ScrollView SavedState_x000D_
12 04 19:13:52 760  8835  8835 W cgeo    : 	at android widget ScrollView onRestoreInstanceState(ScrollView java:1832)_x000D_
12 04 19:13:52 760  8835  8835 W cgeo    : 	at android view View dispatchRestoreInstanceState(View java:15755)_x000D_
12 04 19:13:52 760  8835  8835 W cgeo    : 	at android view ViewGroup dispatchRestoreInstanceState(ViewGroup java:3231)_x000D_
12 04 19:13:52 760  8835  8835 W cgeo    : 	at android view View restoreHierarchyState(View java:15733)_x000D_
12 04 19:13:52 760  8835  8835 W cgeo    : 	at androidx fragment app Fragment restoreViewState(Fragment java:639)_x000D_
12 04 19:13:52 760  8835  8835 W cgeo    : 	at androidx fragment app Fragment restoreViewState(Fragment java:3010)_x000D_
12 04 19:13:52 760  8835  8835 W cgeo    : 	at androidx fragment app Fragment performActivityCreated(Fragment java:3001)_x000D_
12 04 19:13:52 760  8835  8835 W cgeo    : 	at androidx fragment app FragmentStateManager activityCreated(FragmentStateManager java:580)_x000D_
12 04 19:13:52 760  8835  8835 W cgeo    : 	at androidx fragment app FragmentStateManager moveToExpectedState(FragmentStateManager java:285)_x000D_
12 04 19:13:52 760  8835  8835 W cgeo    : 	at androidx fragment app FragmentStore moveToExpectedState(FragmentStore java:112)_x000D_
12 04 19:13:52 760  8835  8835 W cgeo    : 	at androidx fragment app FragmentManager moveToState(FragmentManager java:1647)_x000D_
12 04 19:13:52 760  8835  8835 W cgeo    : 	at androidx fragment app FragmentManager dispatchStateChange(FragmentManager java:3128)_x000D_
12 04 19:13:52 760  8835  8835 W cgeo    : 	at androidx fragment app FragmentManager dispatchActivityCreated(FragmentManager java:3072)_x000D_
12 04 19:13:52 760  8835  8835 W cgeo    : 	at androidx fragment app FragmentController dispatchActivityCreated(FragmentController java:251)_x000D_
12 04 19:13:52 760  8835  8835 W cgeo    : 	at androidx fragment app FragmentActivity onStart(FragmentActivity java:502)_x000D_
12 04 19:13:52 760  8835  8835 W cgeo    : 	at androidx appcompat app AppCompatActivity onStart(AppCompatActivity java:246)_x000D_
12 04 19:13:52 760  8835  8835 W cgeo    : 	at cgeo geocaching activity AbstractActivity onStart(AbstractActivity java:305)_x000D_
12 04 19:13:52 760  8835  8835 W cgeo    : 	at android app Instrumentation callActivityOnStart(Instrumentation java:1249)_x000D_
12 04 19:13:52 760  8835  8835 W cgeo    : 	at android app Activity performStart(Activity java:6701)_x000D_
12 04 19:13:52 760  8835  8835 W cgeo    : 	at android app ActivityThread performLaunchActivity(ActivityThread java:2647)_x000D_
   _x000D_
_x000D_
    Expected result after these steps _x000D_
_x000D_
No crash _x000D_
_x000D_
    Reproducible_x000D_
_x000D_
Yes_x000D_
_x000D_
    c:geo Version_x000D_
_x000D_
2021 12 04 NB 3b6e977_x000D_
_x000D_
    System information_x000D_
_x000D_
 No response _x000D_
_x000D_
    Additional Information_x000D_
_x000D_
 No response </t>
  </si>
  <si>
    <t>PojavLauncherTeam-PojavLauncher-2330</t>
  </si>
  <si>
    <t>No X11 DISPLAY variable was set</t>
  </si>
  <si>
    <t xml:space="preserve">    Describe the bug
Caused by: java awt HeadlessException: _x000D_
No X11 DISPLAY variable was set  but this program performed an operation which requires it 
    The log file and images videos
 No response 
    Steps To Reproduce
   markdown
start pojavlauncher_x000D_
start minecraft forge 1 12 2
    Expected Behavior
basically  a popup window should appear  and you should click it  but the game crashes after the minecraft loading screen 
    Platform
   markdown
  Device model: pixel 2 XL _x000D_
  Android version: 11_x000D_
  PojavLauncher version: latest
    Anything else 
 No response </t>
  </si>
  <si>
    <t>TeamNewPipe-NewPipe-7495</t>
  </si>
  <si>
    <t>Seekbar - Graphics stuttering and sound gone issue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</si>
  <si>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any video _x000D_
2  Watch for a moment or move seekbar forward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After watching for a around a minute  the video will start stuttering _x000D_
Moreover  if the seekbar move forward  the sound will be gone and the video will start more stuttering _x000D_
_x000D_
_x000D_
    Expected behavior_x000D_
     Tell us what you expect to happen     _x000D_
The video should keep playing smoothly with sound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6 0 1_x000D_
   Device model: PHILIPS QM163E_x000D_
_x000D_
    Notes_x000D_
Please inform that the issue will be resolved incase of disabling media tunneling as i tested myself with debug version 0 21 13 and the issue fixed _x000D_
_x000D_
Kindly disable media tunneling on  PHILIPS QM163E  device on the next stable build in order to solve the issue _x000D_
Thank you so much and may God bless you all guys _x000D_
</t>
  </si>
  <si>
    <t>PojavLauncherTeam-PojavLauncher-2329</t>
  </si>
  <si>
    <t>[BUG] Mod Launching crashes the game</t>
  </si>
  <si>
    <t xml:space="preserve">    Describe the bug
So  similar to the issue with custom skins crashing the game  installing mods  texture packs and Shaders prior to version 1 13   1 16 5 crashes the game (Have not tried Optifine  but Optifine is still a mod  so   ) _x000D_
Why  though   
    The log file and images videos
 No response 
    Steps To Reproduce
   markdown
1  Download any version (In my case  version 1 16 5) _x000D_
2  Download the same Forge   Fabric   Optifine version as the downloaded Minecraft version _x000D_
3  Install the client in PojavLauncher _x000D_
4  Open up the modded version of that Minecraft version _x000D_
_x000D_
Optional:_x000D_
  Open up the modded version of that Minecraft version with or without mods installed 
    Expected Behavior
I was able to play with the mods I installed 
    Platform
   markdown
  Device model: POCO M3_x000D_
  CPU architecture: Octa core Max 2 0GHz_x000D_
  Android version: Android 10_x000D_
  PojavLauncher version: crocus v3 openjdk
    Anything else 
 No response </t>
  </si>
  <si>
    <t>MuntashirAkon-AppManager-645</t>
  </si>
  <si>
    <t>AM Crashes on trying to change fixed system permissions</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</si>
  <si>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 (not sure if it s not specific  but could be a thing for all fixed permissions)_x000D_
_x000D_
  Describe the bug  _x000D_
AM crashes trying to revoke a fixed system permission for a system app (root mode) _x000D_
_x000D_
  To Reproduce  _x000D_
Steps to reproduce the behaviour:_x000D_
1  Open AM_x000D_
2  Open the page for a system app  e g   com onyx appmarket _x000D_
3  Try to revoke a permission  such as  android permission CAMERA _x000D_
4  AM Crashes_x000D_
_x000D_
  Expected behavior  _x000D_
The permission should be denied and AM should not crash _x000D_
_x000D_
  Crash logs  _x000D_
   _x000D_
java lang SecurityException: Non System UID cannot revoke system fixed permission android permission CAMERA for package com onyx appmarket_x000D_
    at android os Parcel createException(Parcel java:2071)_x000D_
    at android os Parcel readException(Parcel java:2039)_x000D_
    at android os Parcel readException(Parcel java:1987)_x000D_
    at android content pm IPackageManager Stub Proxy revokeRuntimePermission(IPackageManager java:5504)_x000D_
    at io github muntashirakon AppManager servermanager PackageManagerCompat revokePermission(PackageManagerCompat java:124)_x000D_
    at io github muntashirakon AppManager details AppDetailsViewModel setPermission(AppDetailsViewModel java:393)_x000D_
    at io github muntashirakon AppManager details AppDetailsFragment AppDetailsRecyclerAdapter lambda null 22 AppDetailsFragment AppDetailsRecyclerAdapter(AppDetailsFragment java:1353)_x000D_
    at io github muntashirakon AppManager details    Lambda AppDetailsFragment AppDetailsRecyclerAdapter ebSZkn7bHyfqKqD18v0XtWPMWr4 run(Unknown Source:10)_x000D_
    at java lang Thread run(Thread java:919)_x000D_
 Caused by: android os RemoteException: Remote stack trace:_x000D_
	at com android server pm permission PermissionManagerService revokeRuntimePermission(PermissionManagerService java:2345)_x000D_
	at com android server pm permission PermissionManagerService access 1400(PermissionManagerService java:127)_x000D_
	at com android server pm permission PermissionManagerService PermissionManagerServiceInternalImpl revokeRuntimePermission(PermissionManagerService java:3127)_x000D_
	at com android server pm PackageManagerService revokeRuntimePermission(PackageManagerService java:5778)_x000D_
	at android content pm IPackageManager Stub onTransact(IPackageManager java:2321)_x000D_
_x000D_
_x000D_
Device Info:_x000D_
App version: 2 5 24 PRE_x000D_
App version code: 383_x000D_
Android build version: 1834_x000D_
Android release version: 10_x000D_
Android SDK version: 29_x000D_
Android build ID: 2021 03 18 09 20 3 1 ad716f8_x000D_
Device brand: ONYX_x000D_
Device manufacturer: ONYX_x000D_
Device name: Note3_x000D_
Device model: Note3_x000D_
Device product name: Note3_x000D_
Device hardware name: qcom_x000D_
ABIs:  arm64 v8a  armeabi v7a  armeabi _x000D_
ABIs (32bit):  armeabi v7a  armeabi _x000D_
ABIs (64bit):  arm64 v8a _x000D_
System language: en US_x000D_
In App Language: auto_x000D_
Mode: auto_x000D_
   _x000D_
_x000D_
  Device info  _x000D_
   Device: Onyx Boox Note 3_x000D_
   OS Version: Android 10_x000D_
   App Manager Version: v2 5 24 PRE_x000D_
   Mode: root_x000D_
</t>
  </si>
  <si>
    <t>PojavLauncherTeam-PojavLauncher-2327</t>
  </si>
  <si>
    <t>[BUG] Changing to a custom skin crashes the game entirely</t>
  </si>
  <si>
    <t xml:space="preserve">    Describe the bug
So  I have read the comments on my last bug report (currently closed) that the  versions  I ve downloaded has been migrated to a new directory _x000D_
(Android   data   android kdt pojavlauncher   files   minecraft   versions)_x000D_
But the problem is  when I tried to change to a custom skin I have  why does PojavLauncher crash on me 
    The log file and images videos
  Screenshot 2021 12 04 12 34 46 129 ru zdevs zarchiver (https:  user images githubusercontent com 84720161 144697311 aa10e0c0 d902 4091 b47f 4e2d7a36a3b4 jpg)_x000D_
_x000D_
  Screenshot 2021 12 04 12 47 46 502 ru zdevs zarchiver (https:  user images githubusercontent com 84720161 144697465 1c169c57 e879 44ff 9de7 994ee374cb41 jpg)_x000D_
_x000D_
  Screenshot 2021 12 04 12 47 54 979 ru zdevs zarchiver (https:  user images githubusercontent com 84720161 144697486 95a5da88 c981 424c ab26 1fec6b60da92 jpg)_x000D_
_x000D_
    Steps To Reproduce
   markdown
How it started:_x000D_
1  Download a skin _x000D_
2  Open up ZArchiver (the file explorer I used to change to my custom skin) _x000D_
3  Duplicate the skin as a copy _x000D_
4  Rename them  steve png  and  alex png  respectively _x000D_
5  Copy them both and paste them in the version (in my case  1 16 5) according to the file directory: (Android   data   android kdt pojavlauncher   files   minecraft   versions   1 16 5   1 16 5 jar   assets   minecraft   entity) (There are two image files called  steve png  and  alex png   I just pasted the two (of the same) renamed custom skins here by overriding the Steve and Alex skins 
    Expected Behavior
I was able to open up the world on the version that my custom skin was in and roam freely 
    Platform
   markdown
  Device model: POCO M3_x000D_
  CPU architecture: Octa core Max 2 0GHz_x000D_
  Android version: Android 10_x000D_
  PojavLauncher version: crocus v3 openjdk
    Anything else 
Sorry  guys _x000D_
Just had a rough temper in terms of issues with game mechanics </t>
  </si>
  <si>
    <t>PojavLauncherTeam-PojavLauncher-2325</t>
  </si>
  <si>
    <t>[BUG] 1.17 didn't work</t>
  </si>
  <si>
    <t xml:space="preserve">    Describe the bug
Minecraft and the launcher always crash when i try to join world  Is my device doesn t support latest version 
    The log file and images videos
 2021 12 03 3 log (https:  github com PojavLauncherTeam PojavLauncher files 7652480 2021 12 03 3 log)_x000D_
    Steps To Reproduce
   markdown
1  Start Pojav launcher_x000D_
2  Select version 1 17_x000D_
3  Select singleplayer mode_x000D_
4  Open new world_x000D_
5  The launcher crash
    Expected Behavior
Need solution
    Platform
   markdown
  Device model: Vivo Y95 4 64_x000D_
  CPU architecture: aarch64_x000D_
  Android version: 8_x000D_
  PojavLauncher version:  Playstore release  version crocus v3 openjdk 
    Anything else 
 No response </t>
  </si>
  <si>
    <t>QGdev-OpenWeather-1</t>
  </si>
  <si>
    <t>Application crash - IndexOutOfBoundsException</t>
  </si>
  <si>
    <t>Application is crashing while any places excepted the last one  and try to extend place view of any place after the removed place
Type of crash:
   IndexOutOfBoundsException
Possible cause:
   Card listeners declared with place array position and not with a reference to the place object</t>
  </si>
  <si>
    <t>nextcloud-android-9441</t>
  </si>
  <si>
    <t>App crashes while syncing keepass file from /e/cloud documents folder</t>
  </si>
  <si>
    <t xml:space="preserve">    Steps to reproduce_x000D_
1  Open app_x000D_
2  Tab on  kdbx file in documents_x000D_
3  See crash log_x000D_
_x000D_
    Expected behaviour_x000D_
  synchronising file_x000D_
_x000D_
    Actual behaviour_x000D_
  crashes with null pointer_x000D_
_x000D_
_x000D_
    Environment data_x000D_
Android version: 9_x000D_
_x000D_
Device model:  fairphone 3_x000D_
_x000D_
Stock or customized system:  e  _x000D_
_x000D_
Nextcloud app version: 20211119_x000D_
_x000D_
Nextcloud server version:_x000D_
_x000D_
Reverse proxy:_x000D_
_x000D_
    Logs_x000D_
     Web server error log_x000D_
   _x000D_
Insert your webserver log here_x000D_
   _x000D_
_x000D_
     Nextcloud log (data nextcloud log)_x000D_
   _x000D_
             CAUSE OF ERROR             _x000D_
_x000D_
java lang NullPointerException: Attempt to invoke virtual method  java lang Object com nextcloud java util Optional get()  on a null object reference_x000D_
	at com owncloud android files services FileDownloader downloadFile(FileDownloader java:486)_x000D_
	at com owncloud android files services FileDownloader access 500(FileDownloader java:87)_x000D_
	at com owncloud android files services FileDownloader ServiceHandler handleMessage(FileDownloader java:422)_x000D_
	at android os Handler dispatchMessage(Handler java:106)_x000D_
	at android os Looper loop(Looper java:193)_x000D_
	at android os HandlerThread run(HandlerThread java:65)_x000D_
_x000D_
             APP INFORMATION             _x000D_
ID: com nextcloud android beta_x000D_
Version: 20211119_x000D_
Build flavor: versionDev_x000D_
_x000D_
             DEVICE INFORMATION             _x000D_
Brand: Fairphone_x000D_
Device: FP3_x000D_
Model: FP3_x000D_
Id: PQ3A 190801 002_x000D_
Product: FP3_x000D_
_x000D_
             FIRMWARE             _x000D_
SDK: 28_x000D_
Release: 9_x000D_
Incremental: eng root 20211027 143336_x000D_
_x000D_
   _x000D_
  NOTE:   Be super sure to remove sensitive data like passwords  note that everybody can look here  You can use the Issue Template application to prefill some of the required information: https:  apps nextcloud com apps issuetemplate_x000D_
</t>
  </si>
  <si>
    <t>TeamNewPipe-NewPipe-7486</t>
  </si>
  <si>
    <t>crash when going back to history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</si>
  <si>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history  scroll down and select any video _x000D_
2  open the video in full screen and after it plays  exit the full screen _x000D_
3  go back to history and scroll all the way to top _x000D_
_x000D_
_x000D_
_x000D_
    Actual behavior_x000D_
     Tell us what happens with the steps given above     _x000D_
it will show the background  popup  and playall button even tho page is not at top yet  and once you scroll up to top  newpipe crashes  also like to mention that the report button shown often in screen record doesn t do anything when pressing it _x000D_
_x000D_
_x000D_
    Ex pected behavior_x000D_
     Tell us what you expect to happen     _x000D_
report button should work and also those three buttons shouldn t appear unless user scrolls to the top and  yeah shouldn t crash _x000D_
_x000D_
_x000D_
    Screenshots Screen recordings_x000D_
_x000D_
https:  user images githubusercontent com 65234485 144565197 111fb5cf 68ee 435a b329 9db11b363306 mp4_x000D_
_x000D_
_x000D_
_x000D_
_x000D_
_x000D_
    Logs_x000D_
     If your bug includes a crash (where you re shown the Error Report page with a bunch of info)  tap on  Copy formatted report  at the bottom and paste it here:    _x000D_
_x000D_
_x000D_
     That s right  here     _x000D_
_x000D_
   Exception_x000D_
    User Action:   ui error_x000D_
    Request:   ACRA report_x000D_
    Content Country:   US_x000D_
    Content Language:   en_x000D_
    App Language:   en_x000D_
    Service:   none_x000D_
    Version:   0 21 13_x000D_
    OS:   Linux Android 11   30_x000D_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java:938)_x000D_
	at android os Handler dispatchMessage(Handler java:99)_x000D_
	at android os Looper loop(Looper java:223)_x000D_
	at android app ActivityThread main(ActivityThread java:7666)_x000D_
	at java lang reflect Method invoke(Native Method)_x000D_
	at com android internal os RuntimeInit MethodAndArgsCaller run(RuntimeInit java:592)_x000D_
	at com android internal os ZygoteInit main(ZygoteInit java:947)_x000D_
_x000D_
   _x000D_
  details _x000D_
 hr _x000D_
_x000D_
_x000D_
     Please fill this section if you did not provide a log generated by NewPipe    _x000D_
_x000D_
    Device info_x000D_
_x000D_
   Android version Custom ROM version: Crdroid 7 12 Android 11_x000D_
   Device model: poco m2 pro_x000D_
</t>
  </si>
  <si>
    <t>deepjavalibrary-djl-1398</t>
  </si>
  <si>
    <t>Direct Memory can't free</t>
  </si>
  <si>
    <t xml:space="preserve">I find the a same problem of djl pytorch inference api  which also exist in libtorch java only api  The memory of JVM is stable  but the whole memory of server increased several days until crashed  it seems like caused by direct memory  I found this issue of   libtorch java only api  so I try to use djl pytorch inference api   but it can t be solved  _x000D_
My predict part code such as:_x000D_
   _x000D_
Predictor FeatureValDO  float      predictor   createPredictor() _x000D_
        try _x000D_
            float     score   predictor predict(featureValDO) _x000D_
         catch (Exception e) _x000D_
            infoLogger error( predict error:  e) _x000D_
         finally  _x000D_
            predictor close() _x000D_
         _x000D_
   </t>
  </si>
  <si>
    <t>nextcloud-android-9428</t>
  </si>
  <si>
    <t>Crash while streaming video</t>
  </si>
  <si>
    <t xml:space="preserve">Not sure how much detail I can give on this  I was attempting to stream a large video (1080p60hz  recorded on the phone  about 4 7GB)  I had clicked into the video in the app  paused the auto play and chosen  stream with   I chose the Samsung video player but didn t get an image  When I tried to go back to the NextCloud app (three horizontal lines to switch app) it crashed with an  java lang OutOfMemoryError   see below  I tried twice with the same result 
  CAUSE OF ERROR
java lang OutOfMemoryError: Failed to allocate a 5688 byte allocation with 141120 free bytes and 137KB until OOM  target footprint 268435456  growth limit 268435456  failed due to fragmentation (largest possible contiguous allocation 1048576 bytes)
	at java util Arrays copyOf(Arrays java:3257)
	at java lang AbstractStringBuilder ensureCapacityInternal(AbstractStringBuilder java:124)
	at java lang AbstractStringBuilder append(AbstractStringBuilder java:596)
	at java lang StringBuffer append(StringBuffer java:367)
	at java io StringWriter write(StringWriter java:94)
	at com android internal util FastPrintWriter flushLocked(FastPrintWriter java:382)
	at com android internal util FastPrintWriter flush(FastPrintWriter java:412)
	at android util Log getStackTraceString(Log java:494)
	at com google android exoplayer2 util Log getThrowableString(Log java:162)
	at com google android exoplayer2 util Log appendThrowableString(Log java:168)
	at com google android exoplayer2 util Log e(Log java:132)
	at com google android exoplayer2 upstream Loader LoadTask run(Loader java:437)
	at java util concurrent ThreadPoolExecutor runWorker(ThreadPoolExecutor java:1167)
	at java util concurrent ThreadPoolExecutor Worker run(ThreadPoolExecutor java:641)
	at java lang Thread run(Thread java:923)
  APP INFORMATION
ID: com nextcloud client
Version: 30180090
Build flavor: gplay
  DEVICE INFORMATION
Brand: samsung
Device: beyond1
Model: SM G973F
Id: RP1A 200720 012
Product: beyond1lteeea
  FIRMWARE
SDK: 30
Release: 11
Incremental: G973FXXSEFUJ2
</t>
  </si>
  <si>
    <t>cgeo-cgeo-12211</t>
  </si>
  <si>
    <t>Crash when long tapping coordinate of cache</t>
  </si>
  <si>
    <t xml:space="preserve">    Describe your problem 
Nightly crashes when long tapping on the coordinate field in cache details _x000D_
_x000D_
    How to reproduce 
  Open cache_x000D_
  Long tap coords
    Actual result after these steps 
c:geo crashes
    Expected result after these steps 
Normal operation
    Reproducible
Yes
    c:geo Version
2021 12 01 6697118 developer build
    System information
   text
Emulator API30
    Additional Information
   _x000D_
2021 12 01 20:22:49 308 6345 6345 cgeo geocaching E AndroidRuntime: FATAL EXCEPTION: main_x000D_
    Process: cgeo geocaching  PID: 6345_x000D_
    java lang NullPointerException: Attempt to invoke virtual method  java lang CharSequence android widget TextView getText()  on a null object reference_x000D_
        at cgeo geocaching CacheDetailActivity 10 prepareClipboardActionMode(CacheDetailActivity java:2303)_x000D_
        at cgeo geocaching CacheDetailActivity 10 onCreateActionMode(CacheDetailActivity java:2348)_x000D_
        at androidx appcompat app AppCompatDelegateImpl ActionModeCallbackWrapperV9 onCreateActionMode(AppCompatDelegateImpl java:2692)_x000D_
        at androidx appcompat app WindowDecorActionBar ActionModeImpl dispatchOnCreate(WindowDecorActionBar java:1060)_x000D_
        at androidx appcompat app WindowDecorActionBar startActionMode(WindowDecorActionBar java:528)_x000D_
        at androidx appcompat app AppCompatDelegateImpl startSupportActionMode(AppCompatDelegateImpl java:1204)_x000D_
        at androidx appcompat app AppCompatActivity startSupportActionMode(AppCompatActivity java:362)_x000D_
        at cgeo geocaching CacheDetailActivity lambda addContextMenu 11 CacheDetailActivity(CacheDetailActivity java:2292)_x000D_
        at cgeo geocaching    Lambda CacheDetailActivity obhFglOeQgNDqx6HC2rztHcejnA onLongClick(Unknown Source:4)_x000D_
        at android view View performLongClickInternal(View java:7528)_x000D_
        at android view View performLongClick(View java:7486)_x000D_
        at android widget TextView performLongClick(TextView java:12391)_x000D_
        at android view View performLongClick(View java:7504)_x000D_
        at android view View CheckForLongPress run(View java:28263)_x000D_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2021 12 01 20:22:49 308 6345 6345 cgeo geocaching W cgeo:  main  UncaughtException_x000D_
    java lang NullPointerException: Attempt to invoke virtual method  java lang CharSequence android widget TextView getText()  on a null object reference_x000D_
        at cgeo geocaching CacheDetailActivity 10 prepareClipboardActionMode(CacheDetailActivity java:2303)_x000D_
        at cgeo geocaching CacheDetailActivity 10 onCreateActionMode(CacheDetailActivity java:2348)_x000D_
        at androidx appcompat app AppCompatDelegateImpl ActionModeCallbackWrapperV9 onCreateActionMode(AppCompatDelegateImpl java:2692)_x000D_
        at androidx appcompat app WindowDecorActionBar ActionModeImpl dispatchOnCreate(WindowDecorActionBar java:1060)_x000D_
        at androidx appcompat app WindowDecorActionBar startActionMode(WindowDecorActionBar java:528)_x000D_
        at androidx appcompat app AppCompatDelegateImpl startSupportActionMode(AppCompatDelegateImpl java:1204)_x000D_
        at androidx appcompat app AppCompatActivity startSupportActionMode(AppCompatActivity java:362)_x000D_
        at cgeo geocaching CacheDetailActivity lambda addContextMenu 11 CacheDetailActivity(CacheDetailActivity java:2292)_x000D_
        at cgeo geocaching    Lambda CacheDetailActivity obhFglOeQgNDqx6HC2rztHcejnA onLongClick(Unknown Source:4)_x000D_
        at android view View performLongClickInternal(View java:7528)_x000D_
        at android view View performLongClick(View java:7486)_x000D_
        at android widget TextView performLongClick(TextView java:12391)_x000D_
        at android view View performLongClick(View java:7504)_x000D_
        at android view View CheckForLongPress run(View java:28263)_x000D_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t>
  </si>
  <si>
    <t>Anuken-Mindustry-6394</t>
  </si>
  <si>
    <t>Startup crash caused by changing a sound in a mod.</t>
  </si>
  <si>
    <t xml:space="preserve">  Platform  :  Windows _x000D_
_x000D_
  Build  :  135 _x000D_
_x000D_
  Issue  :  Startup crash with mods _x000D_
_x000D_
  Steps to reproduce  :  I have been working on a mod  I changed a sound in a mod by replacing the wrong sound with the correct sound and removing the old one  The sound I changed was in my mod was titled  303 fire ogg   I compressed the mod into a zip and loaded the updated version of the mod into Mindustry and relaunched the game  Upon startup  the game immediately crashed  The sound was the only thing I changed in the mod when I updated the mod  This could be caused by a mistake I made but I have searched through my mod thoroughly and I have not found anything irregular that could have caused the crash  If you search through my mod I apologize in advance for my messy scripts  I am relatively new to java script  _x000D_
_x000D_
  Link(s) to mod(s) used  :  (https:  drive google com drive folders 1x0mgJNmdaArRudUXEUNKjki2HRje Bmp usp sharing) _x000D_
_x000D_
  Save file  :  (https:  drive google com file d 1JlJ18JqVS1mWDXhe43uuqGPU26ZxluLM view usp sharing) _x000D_
_x000D_
  (Crash) logs  :  (https:  drive google com file d 1BecOs7 oY7iK9w6iHwQ66CRcto4WQNNY view usp sharing) 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</si>
  <si>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TeamNewPipe-NewPipe-7477</t>
  </si>
  <si>
    <t>It will not play one of my playlists and says something went wrong</t>
  </si>
  <si>
    <t>nextcloud-android-9407</t>
  </si>
  <si>
    <t>Auto-upload crashes / loops when moving (many) files to different storage location on phone</t>
  </si>
  <si>
    <t xml:space="preserve">    Steps to reproduce_x000D_
1  Have 1000  photos   videos on phone internal memory  synced   auto uploaded to NC_x000D_
2  Move these photos   videos to different storage location (i e  SD card) which is also set to auto upload to NC_x000D_
3  App starts checking   syncing these new files  but crashes   stalls before it reaches the last file  then starts all over _x000D_
4  App never finishes syncing and becomes very slow (to almost unworkable on Fairphone 3 )  only  fixable  by deleting the majority of the files in the queue from the phone  effectively aborting the entire operation _x000D_
_x000D_
    Expected behaviour_x000D_
  App handles syncing   uploading a large number (i e  1000 ) of  perhaps already uploaded  files graciously and finishes syncing  OR at least picks up from where it left off if it  does  run into issues  without simply starting all over again indefinitely _x000D_
_x000D_
    Actual behaviour_x000D_
  App never finishes syncing and keeps running through all the  new  files over and over and over again  while becoming totally unresponsive in the process _x000D_
_x000D_
    Can you reproduce this problem on https:  try nextcloud com _x000D_
  Test accounts only work for 60 minutes  I cannot set up the app  upload the required amount of data  move that data over to an SD card AND wait for the app to finish syncing within that time frame _x000D_
_x000D_
    Environment data_x000D_
Android version: 10 _x000D_
_x000D_
Device model: Fairphone 3 _x000D_
_x000D_
Stock or customized system: stock_x000D_
_x000D_
Nextcloud app version: 3 18 0_x000D_
_x000D_
Nextcloud server version: 21 0 7_x000D_
_x000D_
Reverse proxy: Nginx Proxy Manager 2 9 7_x000D_
_x000D_
    Logs_x000D_
     Web server error log_x000D_
   _x000D_
Will provide web server logs if required _x000D_
   _x000D_
     Nextcloud log (data nextcloud log)_x000D_
   _x000D_
Will provide Nextcloud log if required _x000D_
   _x000D_
  NOTE:   Be super sure to remove sensitive data like passwords  note that everybody can look here  You can use the Issue Template application to prefill some of the required information: https:  apps nextcloud com apps issuetemplate_x000D_
_x000D_
  Issue Template is not supported (yet ) on NC 21 </t>
  </si>
  <si>
    <t>TeamNewPipe-NewPipe-7470</t>
  </si>
  <si>
    <t>Crash after long press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</si>
  <si>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F Droid      Check https:  github com TeamNewPipe NewPipe releases    _x000D_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Video selection (and have autoplay on click disabled)_x000D_
2  Press on the video_x000D_
3  Press on play in the bottom right corner_x000D_
4  Immediately: long press on another video in the feed_x000D_
5  CRASH   null object reference (the queue size has not yet been set by NewPipe _x000D_
_x000D_
I d suggest setting the queue size to 0 or 1 before requesting the video contents and then setting the queue size  just to avoid the bug OR try catching the null object and doing nothing (the user will just be irritated  but the app wont crash)_x000D_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app crashes after long click has been performed_x000D_
_x000D_
_x000D_
    Expected behavior_x000D_
     Tell us what you expect to happen     _x000D_
The app brings up the content (video options) menu for the appropriate video_x000D_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Crash Video (https:  gcdn pbrd co images sgR6MeKJpK1L png) (https:  www youtube com watch v sgXgQ56qnpY)_x000D_
_x000D_
_x000D_
     DON T POST SCREENSHOTS OF THE ERROR PAGE  Use the buttons given on the error page to paste the error as text in the Logs section below     _x000D_
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DE_x000D_
    Content Language:   de DE_x000D_
    App Language:   de_x000D_
    Service:   none_x000D_
    Version:   0 21 13_x000D_
    OS:   Linux Android 12   31_x000D_
 details  summary  b Crash log   b   summary  p _x000D_
_x000D_
   _x000D_
java lang NullPointerException: Attempt to invoke virtual method  int org schabi newpipe player playqueue PlayQueue size()  on a null object reference_x000D_
	at org schabi newpipe player helper PlayerHolder getQueueSize(PlayerHolder java:74)_x000D_
	at org schabi newpipe local feed FeedFragment showStreamDialog(FeedFragment kt:331)_x000D_
	at org schabi newpipe local feed FeedFragment access showStreamDialog(FeedFragment kt:80)_x000D_
	at org schabi newpipe local feed FeedFragment listenerStreamItem 1 onItemLongClick(FeedFragment kt:390)_x000D_
	at com xwray groupie GroupieViewHolder 2 onLongClick(GroupieViewHolder java:32)_x000D_
	at android view View performLongClickInternal(View java:7521)_x000D_
	at android view View performLongClick(View java:7479)_x000D_
	at android view View performLongClick(View java:7497)_x000D_
	at android view View CheckForLongPress run(View java:28634)_x000D_
	at android os Handler handleCallback(Handler java:938)_x000D_
	at android os Handler dispatchMessage(Handler java:99)_x000D_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_x000D_
   _x000D_
  details _x000D_
 hr _x000D_
_x000D_
_x000D_
_x000D_
     Please fill this section if you did not provide a log generated by NewPipe    _x000D_
_x000D_
    Device info_x000D_
_x000D_
   Android version: And  12 Patch Nov  (1)  stock_x000D_
   Device model: Pixel 6_x000D_
</t>
  </si>
  <si>
    <t>PojavLauncherTeam-PojavLauncher-2307</t>
  </si>
  <si>
    <t>[BUG] 1.18 is not working</t>
  </si>
  <si>
    <t xml:space="preserve">    Describe the bug_x000D_
_x000D_
The Game Altomatically closes_x000D_
_x000D_
_x000D_
Error  1_x000D_
_x000D_
    The log file and images videos_x000D_
_x000D_
  Screenshot 20211130 133415 PojavLauncher (Minecraft Java Edition for Android) (https:  user images githubusercontent com 93351407 144094323 2c110841 be83 4f41 9d43 baf6486ad8bd jpg)_x000D_
_x000D_
_x000D_
https:  user images githubusercontent com 93351407 144097137 4d17bf0d 646d 4d6e b2b5 a963c5ca0945 mp4_x000D_
_x000D_
_x000D_
_x000D_
    Steps To Reproduce_x000D_
_x000D_
   markdown_x000D_
1 First Download A 1 18_x000D_
_x000D_
2 Second Enter 1 18_x000D_
_x000D_
3 Now wait a while_x000D_
_x000D_
4 That s it  you made the bug _x000D_
   _x000D_
_x000D_
_x000D_
    Expected Behavior_x000D_
_x000D_
Tried To Play In Version 1 18 _x000D_
_x000D_
    Platform_x000D_
_x000D_
   markdown_x000D_
  Device model: SM A207M (a20sub)_x000D_
  CPU architecture: 8x ARM Cortex A53   1 80 GHz_x000D_
  Android version: 11_x000D_
  PojavLauncher version: Crocus v3 openjdk_x000D_
   _x000D_
_x000D_
_x000D_
    Anything else _x000D_
_x000D_
When I enter the app and select 1 18 it crashes on the loading bar</t>
  </si>
  <si>
    <t>PojavLauncherTeam-PojavLauncher-2306</t>
  </si>
  <si>
    <t xml:space="preserve">[BUG] Release 1.18 does not start </t>
  </si>
  <si>
    <t xml:space="preserve">    Describe the bug
When running 1 18 on any of the renders  the game crashes and gives an error: code  1 or render overlay (java 17 selected and a special resource pack included other resource packs are missing) 
    The log file and images videos
 latestlog txt (https:  github com PojavLauncherTeam PojavLauncher files 7627343 latestlog txt)_x000D_
    Steps To Reproduce
   markdown
1  Launched by Pojavlauncher_x000D_
2  Enabled java 17 _x000D_
3  I chose the zink render (tried to run on other renders) _x000D_
4 Selected from the list of versions minecraft 1 18 release _x000D_
5  Launched the game _x000D_
6  Game crashed
    Expected Behavior
I was expecting the game to start 
    Platform
   markdown
  Device model: honor 9c 4 64_x000D_
  CPU architecture: aarch 64 _x000D_
  Android version: 10 _x000D_
  PojavLauncher version: latest release
    Anything else 
No</t>
  </si>
  <si>
    <t>hzi-braunschweig-SORMAS-Project-7398</t>
  </si>
  <si>
    <t>CrashLytics fails when building release</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</si>
  <si>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Mandatory    _x000D_
_x000D_
Happened when trying to build the release 1 66 0:_x000D_
   bash_x000D_
      Task :app:uploadCrashlyticsMappingFileRelease FAILED_x000D_
     INFO  Run tasks_x000D_
     INFO  Run build_x000D_
     INFO  Build_x000D_
    _x000D_
    FAILURE: Build failed with an exception _x000D_
    _x000D_
      What went wrong:_x000D_
    Execution failed for task  :app:uploadCrashlyticsMappingFileRelease  _x000D_
      java io IOException: Unknown error while sending file  check network   srv dockerdata jenkins new workspace sormas Build sormas app app build crashlytics release mappings 8e40a82a20e044e5bc0719aeaaf16a18 gz  response: 503 HTTP 1 1 503 Service Unavailable _x000D_
   _x000D_
_x000D_
    Steps to Reproduce_x000D_
     Optional  please add more steps if necessary    _x000D_
1  Run release promotion on 1 66 0 SNAPSHOT_x000D_
_x000D_
    Expected Behavior_x000D_
     Optional    _x000D_
_x000D_
    System Details_x000D_
     Mandatory  you only have to specify the Server URL if the error appeared on a publicly available test server    _x000D_
  SORMAS version: 1 66 0 SNAPSHOT_x000D_
_x000D_
    Additional Information_x000D_
     Optional    _x000D_
Trying Workaround: Not to push the  CrashLytics  (not invoke task  app:uploadCrashlyticsMappingFileRelease ) </t>
  </si>
  <si>
    <t>nextcloud-android-9400</t>
  </si>
  <si>
    <t>"Use picture as" crashes receiving application</t>
  </si>
  <si>
    <t xml:space="preserve">    Steps to reproduce_x000D_
1  Use dot menu for a picture_x000D_
2  Choose  Use picture as    _x000D_
3  Choose any of the possible receiving apps and complete the selection _x000D_
_x000D_
    Expected behaviour_x000D_
  Photo should be set as whatever you chose_x000D_
_x000D_
    Actual behaviour_x000D_
  Receiving app crashes_x000D_
_x000D_
    Environment data_x000D_
Android version: 11_x000D_
Device model: emulator_x000D_
Stock or customized system: stock_x000D_
Nextcloud app version: 3 18 0_x000D_
Nextcloud server version: 22_x000D_
Reverse proxy: no_x000D_
_x000D_
    Logs_x000D_
Example with trying to set the photo as a contact picture (Contacts app):_x000D_
   _x000D_
2021 11 30 12:35:08 331 3566 3566 com android contacts E AndroidRuntime: FATAL EXCEPTION: main_x000D_
    Process: com android contacts  PID: 3566_x000D_
    java lang RuntimeException: Failure delivering result ResultInfo who null  request 1  result  1  data Intent   dat content:  com android contacts contacts lookup 0r1 50324E50 1 flg 0x1    to activity  com android contacts com android contacts activities AttachPhotoActivity : java lang SecurityException: Permission Denial: opening provider com owncloud android providers DiskLruImageCacheFileProvider from ProcessRecord 7fe371d 3566:com android contacts u0a85  (pid 3566  uid 10085) requires that you obtain access using ACTION OPEN DOCUMENT or related APIs_x000D_
        at android app ActivityThread deliverResults(ActivityThread java:5015)_x000D_
        at android app ActivityThread handleSendResult(ActivityThread java:5056)_x000D_
        at android app servertransaction ActivityResultItem execute(ActivityResultItem java:51)_x000D_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SecurityException: Permission Denial: opening provider com owncloud android providers DiskLruImageCacheFileProvider from ProcessRecord 7fe371d 3566:com android contacts u0a85  (pid 3566  uid 10085) requires that you obtain access using ACTION OPEN DOCUMENT or related APIs_x000D_
        at android os Parcel createExceptionOrNull(Parcel java:2373)_x000D_
        at android os Parcel createException(Parcel java:2357)_x000D_
        at android os Parcel readException(Parcel java:2340)_x000D_
        at android os Parcel readException(Parcel java:2282)_x000D_
        at android app IActivityManager Stub Proxy getContentProvider(IActivityManager java:5702)_x000D_
        at android app ActivityThread acquireProvider(ActivityThread java:6813)_x000D_
        at android app ContextImpl ApplicationContentResolver acquireUnstableProvider(ContextImpl java:2935)_x000D_
        at android content ContentResolver acquireUnstableProvider(ContentResolver java:2481)_x000D_
        at android content ContentResolver openTypedAssetFileDescriptor(ContentResolver java:1967)_x000D_
        at android content ContentResolver openAssetFileDescriptor(ContentResolver java:1798)_x000D_
        at android content ContentResolver openInputStream(ContentResolver java:1475)_x000D_
        at com android contacts util ContactPhotoUtils savePhotoFromUriToUri(ContactPhotoUtils java:155)_x000D_
        at com android contacts activities AttachPhotoActivity onActivityResult(AttachPhotoActivity java:189)_x000D_
        at android app Activity dispatchActivityResult(Activity java:8304)_x000D_
        at android app ActivityThread deliverResults(ActivityThread java:5008)_x000D_
        at android app ActivityThread handleSendResult(ActivityThread java:5056) _x000D_
        at android app servertransaction ActivityResultItem execute(ActivityResultItem java:51) _x000D_
        at android app servertransaction TransactionExecutor executeCallbacks(TransactionExecutor java:135) _x000D_
        at android app servertransaction TransactionExecutor execute(TransactionExecutor java:95) _x000D_
        at android app ActivityThread H handleMessage(ActivityThread java:2066) _x000D_
        at android os Handler dispatchMessage(Handler java:106) _x000D_
        at android os Looper loop(Looper java:223) _x000D_
        at android app ActivityThread main(ActivityThread java:7656) _x000D_
        at java lang reflect Method invoke(Native Method) _x000D_
        at com android internal os RuntimeInit MethodAndArgsCaller run(RuntimeInit java:592) _x000D_
        at com android internal os ZygoteInit main(ZygoteInit java:947) _x000D_
     Caused by: android os RemoteException: Remote stack trace:_x000D_
        at com android server am ActivityManagerService getContentProviderImpl(ActivityManagerService java:7155)_x000D_
        at com android server am ActivityManagerService getContentProvider(ActivityManagerService java:7595)_x000D_
        at android app IActivityManager Stub onTransact(IActivityManager java:2381)_x000D_
        at com android server am ActivityManagerService onTransact(ActivityManagerService java:2883)_x000D_
        at android os Binder execTransactInternal(Binder java:1154)_x000D_
    _x000D_
</t>
  </si>
  <si>
    <t>Anuken-Mindustry-6389</t>
  </si>
  <si>
    <t>Modded attributes crash with attribute weather</t>
  </si>
  <si>
    <t xml:space="preserve">  Platform  :  Linux Android (reported to me on both) _x000D_
_x000D_
  Build  :  134 1 135(see above) _x000D_
_x000D_
  Issue  :  Modded attributes crash when it spores  Crash traced down  and I found that the Attribute length of  envAttrs  is still 4 while the weather s array length is more than 4  _x000D_
_x000D_
  Steps to reproduce  : _x000D_
 1  Spore floats on BetaMindy _x000D_
 2  Cover yourself in BetaMindy _x000D_
 3  Wait for it to Spore(storm) _x000D_
 4  _x000D_
_x000D_
  Link(s) to mod(s) used  :  sk7725 BetaMindy _x000D_
_x000D_
  Save file  :  null _x000D_
_x000D_
If you remove the line above without reading it properly and understanding what it means  I will reap your soul  Even if you re playing on someone s server  you can still save the game to a slot _x000D_
_x000D_
  (Crash) logs  :_x000D_
   _x000D_
Mindustry has crashed  How unfortunate _x000D_
Version: pre alpha build 134 1_x000D_
OS: Linux xnull (aarch64)_x000D_
Java Version: 0_x000D_
Mods: betamindy:1 07_x000D_
  b59e72 Demo of Chaos Itself    betamindy music:1 0  dev mode:2 3 2  exogenesis: blue 1 4  ldb:1 3 2  override lib:1 0 1  revision:12 2  test utils:0 1  uaw:0 7 4  ui lib:2 16 6  waisa:2 3 3_x000D_
_x000D_
ArrayIndexOutOfBounds:  length 5  index 5 _x000D_
Attributes add: 36_x000D_
Logic lambda update 16: 411_x000D_
Logic  r8 lambda 2AYXZ6is5zKaTl820N3CZYFqJmc: 0_x000D_
Logic  ExternalSyntheticLambda14 get: 2_x000D_
EntityGroup each: 70_x000D_
Logic update: 411_x000D_
ApplicationCore update: 37_x000D_
ClientLauncher update: 177_x000D_
AndroidGraphics onDrawFrame: 374_x000D_
GLSurfaceView GLThread guardedRun: 1591_x000D_
GLSurfaceView GLThread run: 1286_x000D_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</si>
  <si>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deltachat-deltachat-android-2156</t>
  </si>
  <si>
    <t>App crashes when attaching image after search in-chat</t>
  </si>
  <si>
    <t xml:space="preserve">This bug was reported by the Italian DC community  thanks _x000D_
_x000D_
  Delta Chat version: 1 24_x000D_
  Steps to reproduce the problem:_x000D_
   1  open a chat_x000D_
   2  search for something in chat_x000D_
   3  end the search_x000D_
   4  click the attachment button  select an image from the images thumbnails_x000D_
   5  app crashes with  NullPointerException _x000D_
  Logs:_x000D_
   _x000D_
11 29 19:09:43 831 16273 16273 E AndroidRuntime: java lang NullPointerException: Attempt to invoke virtual method  void org thoughtcrime securesms components ThumbnailView clear(org thoughtcrime securesms mms GlideRequests)  on a null object reference_x000D_
11 29 19:09:43 831 16273 16273 E AndroidRuntime:        at org thoughtcrime securesms mms AttachmentManager 2 onPreExecute(AttachmentManager java:234)_x000D_
11 29 19:09:43 831 16273 16273 E AndroidRuntime:        at android os AsyncTask executeOnExecutor(AsyncTask java:724)_x000D_
11 29 19:09:43 831 16273 16273 E AndroidRuntime:        at org thoughtcrime securesms mms AttachmentManager setMedia(AttachmentManager java:372)_x000D_
11 29 19:09:43 831 16273 16273 E AndroidRuntime:        at org thoughtcrime securesms ConversationActivity setMedia(ConversationActivity java:1018)_x000D_
11 29 19:09:43 831 16273 16273 E AndroidRuntime:        at org thoughtcrime securesms ConversationActivity onActivityResult(ConversationActivity java:398)_x000D_
11 29 19:09:43 831 16273 16273 E AndroidRuntime:        at org thoughtcrime securesms ConversationActivity AttachmentTypeListener onQuickAttachment(ConversationActivity java:1408)_x000D_
11 29 19:09:43 831 16273 16273 E AndroidRuntime:        at org thoughtcrime securesms components AttachmentTypeSelector RecentPhotoSelectedListener onItemClicked(AttachmentTypeSelector java:287)_x000D_
11 29 19:09:43 831 16273 16273 E AndroidRuntime:        at org thoughtcrime securesms components RecentPhotoViewRail RecentPhotoAdapter lambda onBindItemViewHolder 0 org thoughtcrime securesms components RecentPhotoViewRail RecentPhotoAdapter(RecentPhotoViewRail java:124)_x000D_
11 29 19:09:43 831 16273 16273 E AndroidRuntime:        at org thoughtcrime securesms components RecentPhotoViewRail RecentPhotoAdapter  ExternalSyntheticLambda0 onClick(Unknown Source:4)_x000D_
11 29 19:09:43 831 16273 16273 E AndroidRuntime:        at android view View performClick(View java:8160)_x000D_
11 29 19:09:43 831 16273 16273 E AndroidRuntime:        at android view View performClickInternal(View java:8137)_x000D_
11 29 19:09:43 831 16273 16273 E AndroidRuntime:        at android view View access 3700(View java:888)_x000D_
11 29 19:09:43 831 16273 16273 E AndroidRuntime:        at android view View PerformClick run(View java:30236)_x000D_
11 29 19:09:43 831 16273 16273 E AndroidRuntime:        at android os Handler handleCallback(Handler java:938)_x000D_
11 29 19:09:43 831 16273 16273 E AndroidRuntime:        at android os Handler dispatchMessage(Handler java:99)_x000D_
11 29 19:09:43 831 16273 16273 E AndroidRuntime:        at android os Looper loop(Looper java:246)_x000D_
11 29 19:09:43 831 16273 16273 E AndroidRuntime:        at android app ActivityThread main(ActivityThread java:8587)_x000D_
11 29 19:09:43 831 16273 16273 E AndroidRuntime:        at java lang reflect Method invoke(Native Method)_x000D_
11 29 19:09:43 831 16273 16273 E AndroidRuntime:        at com android internal os RuntimeInit MethodAndArgsCaller run(RuntimeInit java:602)_x000D_
11 29 19:09:43 831 16273 16273 E AndroidRuntime:        at com android internal os ZygoteInit main(ZygoteInit java:1130_x000D_
   </t>
  </si>
  <si>
    <t>jzy3d-jogl-9</t>
  </si>
  <si>
    <t>JOGL 2.4 on Mac M1 has unit test failures</t>
  </si>
  <si>
    <t xml:space="preserve">On Windows and MacOS  they all finish with an  Everything OK  message but running JOGL unit tests on Mac OS ARM leads to lot of JVM crashes (the list below is exported from console output  but there might be other failing test  I think I dismiss the crash popup more than 39 times :D)  Test output archive differ a lot between these two platform  so I think lot of test reports are missing for Mac  _x000D_
_x000D_
   _x000D_
 junit  Test com jogamp opengl test junit jogl acore TestAddRemove02GLWindowNewtCanvasAWT FAILED (crashed) _x000D_
 junit  Test com jogamp opengl test junit jogl acore TestGLAutoDrawableNewtCanvasAWTOnOffscrnCapsAWT FAILED (crashed) _x000D_
 junit  Test com jogamp opengl test junit jogl acore TestOffscreenLayer02NewtCanvasAWT FAILED (crashed) _x000D_
 junit  Test com jogamp opengl test junit jogl acore TestSharedContextNewtAWTBug523 FAILED (crashed) _x000D_
 junit  Test com jogamp opengl test junit jogl acore glels TestGLContextDrawableSwitch11NewtAWT FAILED (crashed) _x000D_
 junit  Test com jogamp opengl test junit jogl acore glels TestGLContextDrawableSwitch13Newt2AWT FAILED (crashed) _x000D_
 junit  Test com jogamp opengl test junit jogl demos es2 awt TestGearsES2GLJPanelAWT FAILED (crashed) _x000D_
 junit  Test com jogamp opengl test junit jogl perf TestPerf001GLJPanelInit01AWT FAILED (crashed) _x000D_
 junit  Test com jogamp opengl test junit jogl perf TestPerf001GLJPanelInit02AWT FAILED (crashed) _x000D_
 junit  Test com jogamp opengl test junit jogl tile TestTiledPrintingGearsNewtAWT FAILED (crashed) _x000D_
 junit  Test com jogamp opengl test junit jogl util texture TestJPEGJoglAWTCompareNewtAWT FAILED (crashed) _x000D_
 junit  Test com jogamp opengl test junit jogl demos es2 newt TestGearsES2NewtCanvasAWT FAILED (crashed) _x000D_
 junit  Test com jogamp opengl test junit jogl demos es2 newt TestLandscapeES2NewtCanvasAWT FAILED (crashed) _x000D_
 junit  Test com jogamp opengl test junit jogl newt TestSwingAWTRobotUsageBeforeJOGLInitBug411 FAILED (crashed) _x000D_
 junit  Test com jogamp opengl test junit newt TestCloseNewtAWT FAILED (crashed) _x000D_
 junit  Test com jogamp opengl test junit newt TestEventSourceNotAWTBug FAILED (crashed) _x000D_
 junit  Test com jogamp opengl test junit newt TestListenerCom01AWT FAILED (crashed) _x000D_
 junit  Test com jogamp opengl test junit newt TestMultipleNewtCanvasAWT FAILED (crashed) _x000D_
 junit  Test com jogamp opengl test junit newt TestWindowClosingProtocol03NewtAWT FAILED (crashed) _x000D_
 junit  Test com jogamp opengl test junit newt event TestNewtEventModifiersAWTCanvas FAILED (crashed) _x000D_
 junit  Test com jogamp opengl test junit newt event TestNewtEventModifiersNEWTWindowAWT FAILED (crashed) _x000D_
 junit  Test com jogamp opengl test junit newt event TestNewtEventModifiersNewtCanvasAWT FAILED (crashed) _x000D_
 junit  Test com jogamp opengl test junit newt event TestNewtKeyCodeModifiersAWT FAILED (crashed) _x000D_
 junit  Test com jogamp opengl test junit newt event TestNewtKeyCodesAWT FAILED (crashed) _x000D_
 junit  Test com jogamp opengl test junit newt event TestNewtKeyEventAutoRepeatAWT FAILED (crashed) _x000D_
 junit  Test com jogamp opengl test junit newt event TestNewtKeyEventOrderAWT FAILED (crashed) _x000D_
 junit  Test com jogamp opengl test junit newt event TestNewtKeyPressReleaseUnmaskRepeatAWT FAILED (crashed) _x000D_
 junit  Test com jogamp opengl test junit newt event TestParentingFocus01SwingAWTRobot FAILED (crashed) _x000D_
 junit  Test com jogamp opengl test junit newt event TestParentingFocus02SwingAWTRobot FAILED (crashed) _x000D_
 junit  Test com jogamp opengl test junit newt event TestParentingFocus03KeyTraversalAWT FAILED (crashed) _x000D_
 junit  Test com jogamp opengl test junit newt parenting TestParenting01aAWT FAILED (crashed) _x000D_
 junit  Test com jogamp opengl test junit newt parenting TestParenting01bAWT FAILED (crashed) _x000D_
 junit  Test com jogamp opengl test junit newt parenting TestParenting01cAWT FAILED (crashed) _x000D_
 junit  Test com jogamp opengl test junit newt parenting TestParenting01cSwingAWT FAILED (crashed) _x000D_
 junit  Test com jogamp opengl test junit newt parenting TestParenting01dAWT FAILED (crashed) _x000D_
 junit  Test com jogamp opengl test junit newt parenting TestParenting02AWT FAILED (crashed) _x000D_
 junit  Test com jogamp opengl test junit newt parenting TestParenting03AWT FAILED (crashed) _x000D_
 junit  Test com jogamp opengl test junit newt parenting TestParenting04AWT FAILED (crashed) _x000D_
 junit  Test com jogamp opengl test junit newt parenting TestTranslucentParentingAWT FAILED (crashed) _x000D_
_x000D_
_x000D_
_x000D_
 junit  Testcase: test03OffscreenPBuffer(com jogamp opengl test junit jogl acore TestAddRemove01GLCanvasSwingAWT): Caused an ERROR _x000D_
 junit  Testcase: com jogamp opengl test junit jogl acore TestAddRemove02GLWindowNewtCanvasAWT:test02OffscreenFBO: Caused an ERROR _x000D_
 junit  Testcase: com jogamp opengl test junit jogl acore TestGLAutoDrawableNewtCanvasAWTOnOffscrnCapsAWT:testGL2OffScreenFBODblBufMSAA: Caused an ERROR _x000D_
 junit  Testcase: com jogamp opengl test junit jogl acore TestOffscreenLayer02NewtCanvasAWT:test01 GLDefault: Caused an ERROR _x000D_
 junit  Testcase: testDeadlock(com jogamp opengl test junit jogl acore TestPBufferDeadlockAWT): Caused an ERROR _x000D_
 junit  Testcase: com jogamp opengl test junit jogl acore TestSharedContextNewtAWTBug523:test10UseNEWTNotShared: Caused an ERROR _x000D_
 junit  Testcase: com jogamp opengl test junit jogl acore glels TestGLContextDrawableSwitch11NewtAWT:test21GLWindowGL2ES2: Caused an ERROR _x000D_
 junit  Testcase: com jogamp opengl test junit jogl acore glels TestGLContextDrawableSwitch13Newt2AWT:test11GLWindow2GLCanvasOnScrnGL2ES2: Caused an ERROR _x000D_
 junit  Testcase: test02PBufferOffscreenSupersampling(com jogamp opengl test junit jogl awt TestBug461PBufferSupersamplingSwingAWT): Caused an ERROR _x000D_
 junit  Testcase: test01AccumStencilPBuffer(com jogamp opengl test junit jogl caps TestBug605FlippedImageAWT): Caused a ERROR _x000D_
 junit  Testcase: test01DefaultPBuffer(com jogamp opengl test junit jogl caps TestBug605FlippedImageAWT): Caused an ERROR _x000D_
 junit  Testcase: com jogamp opengl test junit jogl demos es2 awt TestGearsES2GLJPanelAWT:test01 DefaultNorm: Caused an ERROR _x000D_
 junit  Testcase: com jogamp opengl test junit jogl perf TestPerf001GLJPanelInit01AWT:test14GearsNewtCanvasAWT: Caused an ERROR _x000D_
 junit  Testcase: com jogamp opengl test junit jogl perf TestPerf001GLJPanelInit02AWT:test05NopNewtCanvasAWTDefGrid: Caused an ERROR _x000D_
 junit  Testcase: com jogamp opengl test junit jogl tile TestTiledPrintingGearsNewtAWT:test01 aa0: Caused an ERROR _x000D_
 junit  Testcase: com jogamp opengl test junit jogl util texture TestJPEGJoglAWTCompareNewtAWT:test01YUV422hBase  ES2: Caused an ERROR _x000D_
 junit  Testcase: com jogamp opengl test junit jogl demos es2 newt TestGearsES2NewtCanvasAWT:test01GL2ES2: Caused an ERROR _x000D_
 junit  Testcase: com jogamp opengl test junit jogl demos es2 newt TestLandscapeES2NewtCanvasAWT:test01GL2ES2: Caused an ERROR _x000D_
 junit  Testcase: com jogamp opengl test junit jogl newt TestSwingAWTRobotUsageBeforeJOGLInitBug411:test01NewtCanvasAWT: Caused an ERROR _x000D_
 junit  Testcase: com jogamp opengl test junit newt TestCloseNewtAWT:testCloseNewtAWT: Caused an ERROR _x000D_
 junit  Testcase: com jogamp opengl test junit newt TestEventSourceNotAWTBug:testEventSourceNotNewtBug: Caused an ERROR _x000D_
 junit  Testcase: com jogamp opengl test junit newt TestListenerCom01AWT:testListenerStringPassingAndOrder: Caused an ERROR _x000D_
 junit  Testcase: com jogamp opengl test junit newt TestMultipleNewtCanvasAWT:test01: Caused an ERROR _x000D_
 junit  Testcase: com jogamp opengl test junit newt TestWindowClosingProtocol03NewtAWT:testCloseJFrameNewtCanvasAWT: Caused an ERROR _x000D_
 junit  Testcase: com jogamp opengl test junit newt event TestNewtEventModifiersAWTCanvas:test02SingleButtonPressAndReleaseWithShift: Caused an ERROR _x000D_
 junit  Testcase: com jogamp opengl test junit newt event TestNewtEventModifiersNEWTWindowAWT:BeforeFirstTest: Caused an ERROR _x000D_
 junit  Testcase: com jogamp opengl test junit newt event TestNewtEventModifiersNewtCanvasAWT:BeforeFirstTest: Caused an ERROR _x000D_
 junit  Testcase: com jogamp opengl test junit newt event TestNewtKeyCodeModifiersAWT:test01NEWT: Caused an ERROR _x000D_
 junit  Testcase: com jogamp opengl test junit newt event TestNewtKeyCodesAWT:test01NEWT: Caused an ERROR _x000D_
 junit  Testcase: com jogamp opengl test junit newt event TestNewtKeyEventAutoRepeatAWT:test01NEWT: Caused an ERROR _x000D_
 junit  Testcase: com jogamp opengl test junit newt event TestNewtKeyEventOrderAWT:test01NEWT: Caused an ERROR _x000D_
 junit  Testcase: com jogamp opengl test junit newt event TestNewtKeyPressReleaseUnmaskRepeatAWT:test01NEWT: Caused an ERROR _x000D_
 junit  Testcase: com jogamp opengl test junit newt event TestParentingFocus01SwingAWTRobot:testFocus01ProgrFocus: Caused an ERROR _x000D_
 junit  Testcase: com jogamp opengl test junit newt event TestParentingFocus02SwingAWTRobot:testFocus01ProgrFocus: Caused an ERROR _x000D_
 junit  Testcase: com jogamp opengl test junit newt event TestParentingFocus03KeyTraversalAWT:testWindowParentingAWTFocusTraversal01Onscreen: Caused an ERROR _x000D_
 junit  Testcase: com jogamp opengl test junit newt parenting TestParenting01aAWT:test01WindowParenting01CreateVisibleDestroy1: Caused an ERROR _x000D_
 junit  Testcase: com jogamp opengl test junit newt parenting TestParenting01bAWT:test01AWTWinHopFrame2FrameFPS25Animator: Caused an ERROR _x000D_
 junit  Testcase: com jogamp opengl test junit newt parenting TestParenting01cAWT:test01CreateVisibleDestroy1: Caused an ERROR _x000D_
 junit  Testcase: com jogamp opengl test junit newt parenting TestParenting01cSwingAWT:test01CreateVisibleDestroy1: Caused an ERROR _x000D_
 junit  Testcase: com jogamp opengl test junit newt parenting TestParenting01dAWT:test01GLWindowReparentRecreateNoPreserve: Caused an ERROR _x000D_
 junit  Testcase: com jogamp opengl test junit newt parenting TestParenting02AWT:test01NewtChildOnAWTParentLayouted: Caused an ERROR _x000D_
 junit  Testcase: com jogamp opengl test junit newt parenting TestParenting03AWT:test01AWTOneNewtChilds01: Caused an ERROR _x000D_
 junit  Testcase: com jogamp opengl test junit newt parenting TestParenting04AWT:test01WinHopFrame2FrameDirectHop: Caused an ERROR _x000D_
 junit  Testcase: com jogamp opengl test junit newt parenting TestTranslucentParentingAWT:testWindowParenting1AWTOneNewtChild01: Caused an ERROR _x000D_
   </t>
  </si>
  <si>
    <t>TeamNewPipe-NewPipe-7463</t>
  </si>
  <si>
    <t>Playlist shuffle doesn't load WHOLE playlist until you scroll and load it all</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</si>
  <si>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1 go on a playlist_x000D_
2 Select play all or background_x000D_
3  Go on playlist and select shuffle_x000D_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shuffle only shuffles loaded song list( 20 songs)  not whole playlist _x000D_
You have to scroll down and load all the playlist in order for it to shuffle everything _x000D_
_x000D_
_x000D_
_x000D_
    Expected behavior_x000D_
     Tell us what you expect to happen      shuffle the WHOLE playlist_x000D_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model:_x000D_
</t>
  </si>
  <si>
    <t>MuntashirAkon-AppManager-638</t>
  </si>
  <si>
    <t>Regressions with 2.6.5</t>
  </si>
  <si>
    <t xml:space="preserve">    _x000D_
Your issue will be closed without warning if you don t check at least two items _x000D_
   _x000D_
   x  I know what my device  OS and App Manager versions are_x000D_
      I know how to take logs_x000D_
      I know how to reproduce the issue which may not be specific to my device_x000D_
_x000D_
  Describe the bug  _x000D_
Video attached  _x000D_
_x000D_
  Expected behavior  _x000D_
Not crash in those case  2 6 4 doesn t crash in this case  or show misinformation _x000D_
_x000D_
  Media  _x000D_
https:  user images githubusercontent com 25033866 143870896 f342cc9a 360c 411b 962e 580e6b29074d mp4_x000D_
_x000D_
_x000D_
_x000D_
_x000D_
  Crash logs  _x000D_
   _x000D_
java lang IllegalArgumentException: ApkFile not found for key 404879949_x000D_
    at io github muntashirakon AppManager apk ApkFile getInstance(ApkFile java:89)_x000D_
    at io github muntashirakon AppManager details info AppInfoFragment startActivityForSplit(AppInfoFragment java:1115)_x000D_
    at io github muntashirakon AppManager details info AppInfoFragment lambda setHorizontalActions 81 AppInfoFragment(AppInfoFragment java:1015)_x000D_
    at io github muntashirakon AppManager details info    Lambda AppInfoFragment  KYe0pTmPF1 jNCQwBAkKnzyCzU onClick(Unknown Source:2)_x000D_
    at android view View performClick(View java:7448)_x000D_
    at android view View performClickInternal(View java:7425)_x000D_
    at android view View access 3600(View java:810)_x000D_
    at android view View PerformClick run(View java:28305)_x000D_
    at android os Handler handleCallback(Handler java:938)_x000D_
    at android os Handler dispatchMessage(Handler java:99)_x000D_
    at android os Looper loop(Looper java:223)_x000D_
    at android app ActivityThread main(ActivityThread java:7671)_x000D_
    at java lang reflect Method invoke(Native Method)_x000D_
    at com android internal os RuntimeInit MethodAndArgsCaller run(RuntimeInit java:594)_x000D_
    at com android internal os ZygoteInit main(ZygoteInit java:947)_x000D_
_x000D_
Device Info:_x000D_
App version: 2 6 5_x000D_
App version code: 396_x000D_
Android build version: eng noob 20211129 024505_x000D_
Android release version: 11_x000D_
Android SDK version: 30_x000D_
Android build ID: lineage miatoll userdebug 11 RD2A 211001 002 eng noob 20211129 024505 release keys_x000D_
Device brand: Redmi_x000D_
Device manufacturer: Xiaomi_x000D_
Device name: curtana_x000D_
Device model: Redmi Note 9 Pro_x000D_
Device product name: lineage miatoll_x000D_
Device hardware name: qcom_x000D_
ABIs:  arm64 v8a  armeabi v7a  armeabi _x000D_
ABIs (32bit):  armeabi v7a  armeabi _x000D_
ABIs (64bit):  arm64 v8a _x000D_
System language: en GB_x000D_
In App Language: auto_x000D_
Mode: root_x000D_
   </t>
  </si>
  <si>
    <t>oliexdev-openScale-803</t>
  </si>
  <si>
    <t>Random crashes A12</t>
  </si>
  <si>
    <t xml:space="preserve">  Describe the bug  _x000D_
The application just crashes randomly when using it  _x000D_
_x000D_
  To Reproduce  _x000D_
Open and use the application _x000D_
_x000D_
Reproduced with  latest dev version (https:  github com oliexdev openScale releases tag travis dev build): yes_x000D_
_x000D_
  Expected behavior  _x000D_
No crashes _x000D_
_x000D_
  Additional context  _x000D_
None_x000D_
_x000D_
  Debug log  _x000D_
Build version: 2 4 5 dev 7b1d9266 2021 11 26 _x000D_
Build date: 1981 01 01 01:01:02 _x000D_
Current date: 2021 11 29 10:02:12 _x000D_
Device: Google Pixel 5 _x000D_
OS version: Android 12 (SDK 31) _x000D_
 _x000D_
Stack trace:  _x000D_
java lang IllegalStateException: Fragment BluetoothSettingsFragment 2c7004d  (9a0f6895 3ca9 4be4 9a79 75ea466c366f) not attached to a context _x000D_
	at androidx fragment app Fragment requireContext(Fragment java:900)_x000D_
	at com health openscale gui preferences BluetoothSettingsFragment onDeviceFound(BluetoothSettingsFragment java:204)_x000D_
	at com health openscale gui preferences BluetoothSettingsFragment access 000(BluetoothSettingsFragment java:69)_x000D_
	at com health openscale gui preferences BluetoothSettingsFragment 1 1 run(BluetoothSettingsFragment java:131)_x000D_
	at android os Handler handleCallback(Handler java:938)_x000D_
	at android os Handler dispatchMessage(Handler java:99)_x000D_
	at android os Looper loopOnce(Looper java:201)_x000D_
	at android os Looper loop(Looper java:288)_x000D_
	at android app ActivityThread main(ActivityThread java:7838)_x000D_
	at java lang reflect Method invoke(Native Method)_x000D_
	at com android internal os RuntimeInit MethodAndArgsCaller run(RuntimeInit java:548)_x000D_
	at com android internal os ZygoteInit main(ZygoteInit java:1003)_x000D_
</t>
  </si>
  <si>
    <t>Neamar-KISS-1839</t>
  </si>
  <si>
    <t>Better compadibility with the google app's shortcuts</t>
  </si>
  <si>
    <t xml:space="preserve">  Describe the bug  _x000D_
Because of incompatibilities kiss or the google app may crash if I ask it to add a shortcut to the launcher_x000D_
_x000D_
  To Reproduce  _x000D_
1  Open Google app_x000D_
2  Type weather _x000D_
3  Add weather to home screen_x000D_
4  Google s or Kiss  app may crash_x000D_
_x000D_
  Expected behavior  _x000D_
A weather shortcut is added to kiss_x000D_
_x000D_
  Screenshots  _x000D_
  Screenshot 20211129 103640 (https:  user images githubusercontent com 51864332 143835981 dc21d4fb 3fe7 4ec2 9513 557bb5700d4d png)_x000D_
_x000D_
_x000D_
  Additional information  _x000D_
   App version: 3 16 1_x000D_
   App installed via: (f droid  Play Store  debug APK): play store_x000D_
_x000D_
  Additional context  _x000D_
It is not a typical shortcut and it also works with other launchers  _x000D_
I also sent a bug report to Google but I suspect that it is more of an Incompadibility with kiss_x000D_
</t>
  </si>
  <si>
    <t>PojavLauncherTeam-PojavLauncher-2298</t>
  </si>
  <si>
    <t>My Launcher Always Crashing When Play Online</t>
  </si>
  <si>
    <t xml:space="preserve">    Describe the bug
I just Play PojavLauncher and i play a multiplayer server 10 minutes after that my Launcher crashed_x000D_
Im Using google play version
    The log file and images videos
 latestlog txt (https:  github com PojavLauncherTeam PojavLauncher files 7616665 latestlog txt)_x000D_
    Steps To Reproduce
   markdown
1 Start PojavLauncher_x000D_
2 Login With Online Account_x000D_
3 Playing 1 8 8 Multiplayer Server_x000D_
4 10 Minutes Playing And My Launcher Crashed
    Expected Behavior
Crashed everytime playing
    Platform
   markdown
  Device model:Redmi Note 9 6 128G _x000D_
  CPU architecture:aarch64_x000D_
  Android version:10 _x000D_
  PojavLauncher version:crocus v3 openjdk
    Anything else 
 No response </t>
  </si>
  <si>
    <t>CMPUT301F21T23-HabitTracker-191</t>
  </si>
  <si>
    <t>Fix habit creation bug</t>
  </si>
  <si>
    <t xml:space="preserve">This issue concerns bug fixes _x000D_
_x000D_
Fix bug that crashes the app when no title is entered _x000D_
Fix bug that crashes the app when no date is entered </t>
  </si>
  <si>
    <t>PojavLauncherTeam-PojavLauncher-2297</t>
  </si>
  <si>
    <t>Optifine 1.13.2 Other Crash</t>
  </si>
  <si>
    <t xml:space="preserve">    Describe the bug
I am using the optifine 1 13 2 version on a Chromebook that handles the game very well  however  when I press other on video settings  it crashes the game  I have no coding experience  but I know one thing  ya ll are doing a mighty fine job for this launcher 
    The log file and images videos
 No response 
    Steps To Reproduce
   markdown
1  Use optifine 1 13 2_x000D_
2  Go to Video Settings_x000D_
3  Click other_x000D_
4  Game crash
    Expected Behavior
I expected it to go into other video settings to enable fps count 
    Platform
   markdown
  Device model: _x000D_
  CPU architecture: _x000D_
  Android version: _x000D_
  PojavLauncher version:
    Anything else 
 No response </t>
  </si>
  <si>
    <t>CMPUT301F21T09-BudgetProjectName-279</t>
  </si>
  <si>
    <t>Fix a bug in View Habit Details and View Habit Event Screen</t>
  </si>
  <si>
    <t xml:space="preserve">     Description of PR    _x000D_
_x000D_
   Description of Changes_x000D_
Right now  the app would crash when we delete a habit event and then try to view another habit event of the same habit _x000D_
_x000D_
This change would address this issue _x000D_
     Provide a list of changes here    _x000D_
_x000D_
   Screenshots_x000D_
_x000D_
     Prefer an animated gif    _x000D_
https:  user images githubusercontent com 37930535 143804160 56c956ab c08f 44af bdfa 2efc47bcd3b7 mov_x000D_
   Checklist_x000D_
_x000D_
_x000D_
      Automated tests_x000D_
   x  Screenshots included (if necessary)_x000D_
     Code is well commented_x000D_
_x000D_
Closes  ISSUE ID_x000D_
</t>
  </si>
  <si>
    <t>CMPUT301F21T23-HabitTracker-188</t>
  </si>
  <si>
    <t>Bug fix on sharing with old habits</t>
  </si>
  <si>
    <t>Newly created habits are supported  but this allows for old ones to still show up on sharing  this caused a crash before but doesn t hurt to add _x000D_
 Added new progress UI Mockup_x000D_
 Added change order UI Mockup</t>
  </si>
  <si>
    <t>TeamNewPipe-NewPipe-7460</t>
  </si>
  <si>
    <t>Volume spikes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</si>
  <si>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a video on NewPipe and put the playback in background_x000D_
2  Open an app (Galaxy Store in my case) or a webpage with YouTube player implementation _x000D_
3  Don t start any video and continue to navigate through it _x000D_
4  At this point the volume level should fluctuate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Volume level fluctuate from the current value to a newer (lower) one  more and more times in a second _x000D_
_x000D_
_x000D_
    Expected behavior_x000D_
     Tell us what you expect to happen     _x000D_
Volume should keep a preset value (chosen by the user)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Android 12 One Ui 4 0_x000D_
   Device model:_x000D_
 S21</t>
  </si>
  <si>
    <t>LawnchairLauncher-lawnchair-2347</t>
  </si>
  <si>
    <t>Homescreen icons &amp; widgets disappear after crash</t>
  </si>
  <si>
    <t xml:space="preserve">After trying to create a folder  Lawnchair crashed and my homescreen layout was reset to default (icons   widgets disappeared completely)_x000D_
_x000D_
 Lawnchair bug report Nov 28  2021 183042 txt (https:  github com LawnchairLauncher lawnchair files 7614021 Lawnchair bug report Nov 28 2021 183042 txt)_x000D_
</t>
  </si>
  <si>
    <t>nextcloud-android-9388</t>
  </si>
  <si>
    <t>Crash when allowed calendar permission</t>
  </si>
  <si>
    <t xml:space="preserve">I did enable calendar sync  gave permission  then it crashed _x000D_
_x000D_
             CAUSE OF ERROR             _x000D_
_x000D_
java lang NullPointerException: Attempt to read from field  com google android material button MaterialButton com owncloud android databinding BackupFragmentBinding contactsDatepicker  on a null object reference_x000D_
	at com owncloud android ui fragment contactsbackup BackupFragment 1 onPostExecute(BackupFragment java:281)_x000D_
	at com owncloud android ui fragment contactsbackup BackupFragment 1 onPostExecute(BackupFragment java:252)_x000D_
	at android os AsyncTask finish(AsyncTask java:755)_x000D_
	at android os AsyncTask access 900(AsyncTask java:192)_x000D_
	at android os AsyncTask InternalHandler handleMessage(AsyncTask java:772)_x000D_
	at android os Handler dispatchMessage(Handler java:107)_x000D_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java:935)_x000D_
_x000D_
             APP INFORMATION             _x000D_
ID: com nextcloud client_x000D_
Version: 30180090_x000D_
Build flavor: gplay_x000D_
_x000D_
             DEVICE INFORMATION             _x000D_
Brand: Nokia_x000D_
Device: DDV sprout_x000D_
Model: Nokia 7 2_x000D_
Id: QKQ1 191014 001_x000D_
Product: Daredevil 00EEA_x000D_
_x000D_
             FIRMWARE             _x000D_
SDK: 29_x000D_
Release: 10_x000D_
Incremental: 00WW 2 410 SP06_x000D_
</t>
  </si>
  <si>
    <t>PojavLauncherTeam-PojavLauncher-2292</t>
  </si>
  <si>
    <t xml:space="preserve">    Describe the bug
Doest let me play minecraft just crashes every single time I login into any server very poor app_x000D_
    The log file and images videos
 No response 
    Steps To Reproduce
   markdown
Just start the app and join any server and it crashes
    Expected Behavior
The game crashes every single time and I can t also play any version higher than 1 12
    Platform
   markdown
  Device model: OnePlus Nord 12 256 gb_x000D_
  CPU architecture: 64x_x000D_
  Android version: 10_x000D_
  PojavLauncher version: latest play store version
    Anything else 
 No response </t>
  </si>
  <si>
    <t>TeamNewPipe-NewPipe-7454</t>
  </si>
  <si>
    <t>Total Video playtime is shown wrong when deleting Video from queue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</si>
  <si>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a video_x000D_
2  Queue a second video_x000D_
3  While still playing the first video delete the first Video from the Queue_x000D_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total time shown for the now playing video is the total time for the now from the queue removed video _x000D_
_x000D_
_x000D_
    Expected behavior_x000D_
     Tell us what you expect to happen     _x000D_
The correct total time is shown_x000D_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20211127 211238 NewPipe (https:  user images githubusercontent com 76652420 143721195 a8d5daa2 aacf 4841 8769 db3470139f26 jpg)_x000D_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8 0 0_x000D_
   Device model: Galaxy A3(2017)_x000D_
</t>
  </si>
  <si>
    <t>TeamNewPipe-NewPipe-7452</t>
  </si>
  <si>
    <t>Show an alert dialog when no appropriate file manager was found</t>
  </si>
  <si>
    <t xml:space="preserve">     What is it _x000D_
   x  Bugfix (user facing)_x000D_
      Feature (user facing)_x000D_
      Codebase improvement (dev facing)_x000D_
      Meta improvement to the project (dev facing)_x000D_
_x000D_
     Description of the changes in your PR_x000D_
  See the linked issue for more details about the problem_x000D_
  If no file manager (or SAF compatible) file manager is installed on a device now an alert shows up_x000D_
_x000D_
     Before After Screenshots Screen Record_x000D_
  Before:    App crashed   _x000D_
  After: _x000D_
  grafik (https:  user images githubusercontent com 40789489 143686395 93f0a7e6 d758 44b3 a97c cbef08e1ad76 png)_x000D_
  grafik (https:  user images githubusercontent com 40789489 145270635 c060610f 6dc7 4995 8095 1d38ce6e7e28 png)   Android 10 _x000D_
_x000D_
_x000D_
     Fixes the following issue(s)_x000D_
  Fixes  7113 and more than 10 other issues where users managed to have no file manager _x000D_
_x000D_
_x000D_
     APK testing _x000D_
The APK can be found by going to the  Checks  tab below the title  On the left pane  click on  CI   scroll down to  artifacts  and click  app  to download the zip file which contains the debug APK of this PR _x000D_
_x000D_
     Due diligence_x000D_
   x  I read the  contribution guidelines (https:  github com TeamNewPipe NewPipe blob HEAD  github CONTRIBUTING md) _x000D_
_x000D_
    How to test this _x000D_
To test this you have to get rid of all your file managers (may led to data loss or other side effects)  This may require disabling system apps _x000D_
_x000D_
I strongly recommend doing this on an emulator only _x000D_
_x000D_
How to do it on an emulated Android 10 device:_x000D_
  Wipe all data from that device_x000D_
  Open a shell commandline_x000D_
  Connect to the emulator using   adb shell   (ensure that you are connected to the correct device )_x000D_
  Get into the sudo mode:   su  _x000D_
  Disable Androids default file manager:   pm disable com android documentsui  _x000D_
  Now you can deploy NewPipe to the emulator and check if the changes work as expected</t>
  </si>
  <si>
    <t>TeamNewPipe-NewPipe-7450</t>
  </si>
  <si>
    <t>Crash when importing Youtube subscriptions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</si>
  <si>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Subscritions import from   Youtube _x000D_
2  Press on IMPORT FILE_x000D_
3  Crash_x000D_
4  Can be produced every time_x000D_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AP UI crashed_x000D_
_x000D_
_x000D_
    Expected behavior_x000D_
     Tell us what you expect to happen     _x000D_
No crash_x000D_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Notes    27 11 2021 12 05 _x000D_
   Exception_x000D_
  User Action: ui error_x000D_
  Request: ACRA report_x000D_
  Content Country: US_x000D_
  Content Language: en US_x000D_
  App Language: en US_x000D_
  Service: none_x000D_
  Version: 0 21 13_x000D_
  OS: Linux Android 7 0   24_x000D_
 details  summary  b Crash log   b   summary  p _x000D_
_x000D_
_x000D_
android content ActivityNotFoundException: No Activity found to handle Intent   act android intent action OPEN DOCUMENT cat  android intent category OPENABLE  typ     flg 0x43 (has extras)  _x000D_
 at android app Instrumentation checkStartActivityResult(Instrumentation java:1809)_x000D_
 at android app Instrumentation execStartActivity(Instrumentation java:1523)_x000D_
 at android app Activity startActivityForResult(Activity java:4224)_x000D_
 at androidx activity ComponentActivity startActivityForResult(ComponentActivity java:597)_x000D_
 at androidx core app ActivityCompat startActivityForResult(ActivityCompat java:237)_x000D_
 at androidx activity ComponentActivity 2 onLaunch(ComponentActivity java:210)_x000D_
 at androidx activity result ActivityResultRegistry 2 launch(ActivityResultRegistry java:167)_x000D_
 at androidx fragment app Fragment 9 launch(Fragment java:3510)_x000D_
 at androidx activity result ActivityResultLauncher launch(ActivityResultLauncher java:47)_x000D_
 at org schabi newpipe local subscription SubscriptionsImportFragment onImportFile(SubscriptionsImportFragment java:181)_x000D_
 at org schabi newpipe local subscription SubscriptionsImportFragment onImportClicked(SubscriptionsImportFragment java:168)_x000D_
 at org schabi newpipe local subscription SubscriptionsImportFragment lambda initListeners 0(SubscriptionsImportFragment java:158)_x000D_
 at org schabi newpipe local subscription SubscriptionsImportFragment  r8 lambda 4 N3 HtVY3hbG  lTbAQ6l6ErME(SubscriptionsImportFragment java)_x000D_
 at org schabi newpipe local subscription SubscriptionsImportFragment  ExternalSyntheticLambda0 onClick(Unknown Source)_x000D_
 at android view View performClick(View java:5609)_x000D_
 at android view View PerformClick run(View java:22262)_x000D_
 at android os Handler handleCallback(Handler java:751)_x000D_
 at android os Handler dispatchMessage(Handler java:95)_x000D_
 at android os Looper loop(Looper java:154)_x000D_
 at android app ActivityThread main(ActivityThread java:6097)_x000D_
 at java lang reflect Method invoke(Native Method)_x000D_
 at com android internal os ZygoteInit MethodAndArgsCaller run(ZygoteInit java:1041)_x000D_
 at com android internal os ZygoteInit main(ZygoteInit java:931)_x000D_
_x000D_
_x000D_
  details _x000D_
 hr _x000D_
_x000D_
_x000D_
_x000D_
     Please fill this section if you did not provide a log generated by NewPipe    _x000D_
_x000D_
    Device info_x000D_
_x000D_
   Android version Custom ROM version: 1 6 1_x000D_
   Device model: Formuler CC_x000D_
</t>
  </si>
  <si>
    <t>PojavLauncherTeam-PojavLauncher-2286</t>
  </si>
  <si>
    <t>[BUG] 1.18 Release Candidate renderer problem</t>
  </si>
  <si>
    <t xml:space="preserve">    Describe the bug
Pojavlauncher crashed when joined the world in 1 18 rc3 with gl4es 1 1 5 renderer _x000D_
    The log file and images videos
  Screenshot 20211127 141126483 (https:  user images githubusercontent com 57281140 143670368 6233cfcf eb48 4560 a39f 41959ae1618c jpg)_x000D_
    Steps To Reproduce
   markdown
1  Start Pojavlauncher_x000D_
2  Start 1 18 rc3
    Expected Behavior
I expect to join the world
    Platform
   markdown
  Device model: _x000D_
  CPU architecture: _x000D_
  Android version: _x000D_
  PojavLauncher version:
    Anything else 
 No response </t>
  </si>
  <si>
    <t>TeamNewPipe-NewPipe-7447</t>
  </si>
  <si>
    <t>Android TV -- Playlists (non-user created) -- Unable to scroll through videos in List View</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</si>
  <si>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_x000D_
1  Search for a playlist and click on it _x000D_
2  Attempt to scroll down and select a video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You are only able to select the playlist buttons (Background  Play All  Popup)  Attempting to get to the video section by pressing Down just loops back to the channel name just below the playlist name _x000D_
_x000D_
_x000D_
    Expected behavior_x000D_
     Tell us what you expect to happen     _x000D_
I am able to press Down multiple times and select the videos in the playlist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9_x000D_
   Device model: Sony Bravia XBR 55A9G   Bravia 4k UR2_x000D_
</t>
  </si>
  <si>
    <t>TeamNewPipe-NewPipe-7446</t>
  </si>
  <si>
    <t>Android TV -- Settings Import broken (shows "You don't have an app for that" toast)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</si>
  <si>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_x000D_
1  On Android TV  go to Settings   Content   Import database and attempt to import a database_x000D_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Toast pops up saying  You don t have an app for that  suggesting Newpipe can t access the file system _x000D_
_x000D_
_x000D_
    Expected behavior_x000D_
     Tell us what you expect to happen     _x000D_
The Import modal should pop up and allow you to select a file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9_x000D_
   Device model: Sony Bravia XBR 55A9G   Bravia 4k UR2_x000D_
_x000D_
</t>
  </si>
  <si>
    <t>jellyfin-jellyfin-androidtv-1269</t>
  </si>
  <si>
    <t>App crashes if you change the port on the server</t>
  </si>
  <si>
    <t xml:space="preserve">    Describe the bug
If you successfully connect the app to your JF server and then change the port your server listens on  the app will continue to try to use the old port and crash when it cannot connect _x000D_
_x000D_
When it fails to connect on the old port  it ought to go back to server selection like it does before it s ever made a successful connection 
    Logs
 No response 
    Application version
0 12 3
    Where did you install the app from 
Google Play
    Device information
Chromecast with Google TV
    Android version
    Jellyfin server version
10 7 7</t>
  </si>
  <si>
    <t>Anuken-Mindustry-6381</t>
  </si>
  <si>
    <t>platform: windows 10</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</si>
  <si>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</si>
  <si>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nextcloud-android-9384</t>
  </si>
  <si>
    <t>File list crashed after login</t>
  </si>
  <si>
    <t xml:space="preserve">    Steps to reproduce
1  open app
2  grant new all files permission  then login again when prompted
3  click on dir  crash </t>
  </si>
  <si>
    <t>hzi-braunschweig-SORMAS-Project-7380</t>
  </si>
  <si>
    <t>Importing a detailed case without a responsible region and district results in a crash on the server side and no error report</t>
  </si>
  <si>
    <t xml:space="preserve">    Bug Description_x000D_
When trying to do a detailed case import  if one of the rows is missing the responsible region or district  this results in a crash and no error report is available for download _x000D_
_x000D_
    Steps to Reproduce_x000D_
1  Login as an administrator_x000D_
2  Go to Cases   Import   Detailed import_x000D_
3  Download the import template and only fill the  disease   person firstName  and  person lastName  columns _x000D_
4  Try to import the CSV_x000D_
_x000D_
    Expected Behavior_x000D_
The import should report there was an error and the error report is available for download _x000D_
_x000D_
    Screenshots_x000D_
  image (https:  user images githubusercontent com 3462897 143581871 4fe0ee58 9179 48a4 b9a9 14e67882f32d png)_x000D_
_x000D_
_x000D_
    System Details_x000D_
     Mandatory  you only have to specify the Server URL if the error appeared on a publicly available test server    _x000D_
  Device:_x000D_
  SORMAS version:_x000D_
  Android version Browser:_x000D_
  Server URL:_x000D_
  User Role:_x000D_
_x000D_
    Additional Information_x000D_
Sample CSV:  sormas detailed case import csv (https:  github com hzi braunschweig SORMAS Project files 7608765 sormas detailed case import csv)_x000D_
_x000D_
 details _x000D_
   summary Stack trace  summary _x000D_
  _x000D_
   _x000D_
 2021 11 26T14:34:31 145 0200   Payara 5 194   INFO         tid:  ThreadID 541  ThreadName Thread 224   timeMillis: 1637930071145   levelValue: 800    _x000D_
  E143431 145        Exception thrown from bean: de symeda sormas api utils ValidationRuntimeException: You have to specify a valid responsible region (de symeda sormas ui importer DataImporter java:213)_x000D_
javax ejb EJBTransactionRolledbackException: Exception thrown from bean: de symeda sormas api utils ValidationRuntimeException: You have to specify a valid responsible region_x000D_
	at com sun ejb containers BaseContainer mapLocal3xException(BaseContainer java:2360)_x000D_
	at com sun ejb containers BaseContainer postInvoke(BaseContainer java:2157)_x000D_
	at com sun ejb containers BaseContainer postInvoke(BaseContainer java:2078)_x000D_
	at com sun ejb containers EJBLocalObjectInvocationHandler invoke(EJBLocalObjectInvocationHandler java:220)_x000D_
	at com sun ejb containers EJBLocalObjectInvocationHandlerDelegate invoke(EJBLocalObjectInvocationHandlerDelegate java:90)_x000D_
	at com sun proxy  Proxy998 validate(Unknown Source)_x000D_
	at de symeda sormas backend caze   EJB31 Generated  CaseFacadeEjb CaseFacadeEjbLocal  Intf    Bean   validate(Unknown Source)_x000D_
	at de symeda sormas backend caze caseimport CaseImportFacadeEjb validateEntities(CaseImportFacadeEjb java:240)_x000D_
	at de symeda sormas backend caze caseimport CaseImportFacadeEjb importCaseData(CaseImportFacadeEjb java:143)_x000D_
	at java base jdk internal reflect NativeMethodAccessorImpl invoke0(Native Method)_x000D_
	at java base jdk internal reflect NativeMethodAccessorImpl invoke(NativeMethodAccessorImpl java:62)_x000D_
	at java base jdk internal reflect DelegatingMethodAccessorImpl invoke(DelegatingMethodAccessorImpl java:43)_x000D_
	at java base java lang reflect Method invoke(Method java:566)_x000D_
	at org glassfish ejb security application EJBSecurityManager runMethod(EJBSecurityManager java:588)_x000D_
	at org glassfish ejb security application EJBSecurityManager invoke(EJBSecurityManager java:408)_x000D_
	at com sun ejb containers BaseContainer invokeBeanMethod(BaseContainer java:4791)_x000D_
	at com sun ejb EjbInvocation invokeBeanMethod(EjbInvocation java:665)_x000D_
	at com sun ejb containers interceptors AroundInvokeChainImpl invokeNext(InterceptorManager java:836)_x000D_
	at com sun ejb EjbInvocation proceed(EjbInvocation java:615)_x000D_
	at org glassfish jersey ext cdi1x transaction internal WebAppExceptionInterceptor intercept(WebAppExceptionInterceptor java:53)_x000D_
	at jdk internal reflect GeneratedMethodAccessor522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EjbInvocation proceed(EjbInvocation java:615)_x000D_
	at org glassfish cdi transaction TransactionalInterceptorBase proceed(TransactionalInterceptorBase java:212)_x000D_
	at org glassfish cdi transaction TransactionalInterceptorRequired transactional(TransactionalInterceptorRequired java:115)_x000D_
	at jdk internal reflect GeneratedMethodAccessor521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EjbInvocation proceed(EjbInvocation java:615)_x000D_
	at de symeda sormas backend util ValidationConstraintViolationInterceptor handleValidationConstraintViolation(ValidationConstraintViolationInterceptor java:30)_x000D_
	at jdk internal reflect GeneratedMethodAccessor732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EjbInvocation proceed(EjbInvocation java:615)_x000D_
	at de symeda sormas backend util PerformanceLoggingInterceptor logInvokeDuration(PerformanceLoggingInterceptor java:37)_x000D_
	at jdk internal reflect GeneratedMethodAccessor731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EjbInvocation proceed(EjbInvocation java:615)_x000D_
	at com sun ejb containers interceptors SystemInterceptorProxy doCall(SystemInterceptorProxy java:163)_x000D_
	at com sun ejb containers interceptors SystemInterceptorProxy aroundInvoke(SystemInterceptorProxy java:140)_x000D_
	at jdk internal reflect GeneratedMethodAccessor216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EjbInvocation proceed(EjbInvocation java:615)_x000D_
	at org jboss weld module ejb AbstractEJBRequestScopeActivationInterceptor aroundInvoke(AbstractEJBRequestScopeActivationInterceptor java:81)_x000D_
	at org jboss weld module ejb SessionBeanInterceptor aroundInvoke(SessionBeanInterceptor java:52)_x000D_
	at jdk internal reflect GeneratedMethodAccessor214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containers interceptors InterceptorManager intercept(InterceptorManager java:374)_x000D_
	at com sun ejb containers BaseContainer   intercept(BaseContainer java:4763)_x000D_
	at com sun ejb containers BaseContainer intercept(BaseContainer java:4751)_x000D_
	at com sun ejb containers EJBObjectInvocationHandler invoke(EJBObjectInvocationHandler java:205)_x000D_
	at com sun ejb containers EJBObjectInvocationHandlerDelegate invoke(EJBObjectInvocationHandlerDelegate java:79)_x000D_
	at com sun proxy  Proxy969 importCaseData(Unknown Source)_x000D_
	at java base jdk internal reflect NativeMethodAccessorImpl invoke0(Native Method)_x000D_
	at java base jdk internal reflect NativeMethodAccessorImpl invoke(NativeMethodAccessorImpl java:62)_x000D_
	at java base jdk internal reflect DelegatingMethodAccessorImpl invoke(DelegatingMethodAccessorImpl java:43)_x000D_
	at java base java lang reflect Method invoke(Method java:566)_x000D_
	at com sun corba ee impl presentation rmi ReflectiveTie dispatchToMethod(ReflectiveTie java:143)_x000D_
	at com sun corba ee impl presentation rmi ReflectiveTie  invoke(ReflectiveTie java:173)_x000D_
	at com sun corba ee impl protocol ServerRequestDispatcherImpl dispatchToServant(ServerRequestDispatcherImpl java:528)_x000D_
	at com sun corba ee impl protocol ServerRequestDispatcherImpl dispatch(ServerRequestDispatcherImpl java:199)_x000D_
	at com sun corba ee impl protocol MessageMediatorImpl handleRequestRequest(MessageMediatorImpl java:1565)_x000D_
	at com sun corba ee impl protocol SharedCDRClientRequestDispatcherImpl marshalingComplete(SharedCDRClientRequestDispatcherImpl java:128)_x000D_
	at com sun corba ee impl protocol ClientDelegateImpl invoke(ClientDelegateImpl java:259)_x000D_
	at com sun corba ee impl presentation rmi StubInvocationHandlerImpl privateInvoke(StubInvocationHandlerImpl java:189)_x000D_
	at com sun corba ee impl presentation rmi StubInvocationHandlerImpl invoke(StubInvocationHandlerImpl java:140)_x000D_
	at com sun corba ee impl presentation rmi codegen CodegenStubBase invoke(CodegenStubBase java:226)_x000D_
	at de symeda sormas api caze caseimport   CaseImportFacade Remote DynamicStub importCaseData(de symeda sormas api caze caseimport   CaseImportFacade Remote DynamicStub java)_x000D_
	at de symeda sormas api caze caseimport  CaseImportFacade Wrapper importCaseData(de symeda sormas api caze caseimport  CaseImportFacade Wrapper java)_x000D_
	at de symeda sormas ui caze importer CaseImporter importDataFromCsvLine(CaseImporter java:107)_x000D_
	at de symeda sormas ui importer DataImporter runImport(DataImporter java:286)_x000D_
	at de symeda sormas ui importer DataImporter lambda startImport 3(DataImporter java:174)_x000D_
	at java base java lang Thread run(Thread java:834)_x000D_
Caused by: javax ejb TransactionRolledbackLocalException: Exception thrown from bean: de symeda sormas api utils ValidationRuntimeException: You have to specify a valid responsible region_x000D_
	at com sun ejb containers EJBContainerTransactionManager checkExceptionClientTx(EJBContainerTransactionManager java:615)_x000D_
	at com sun ejb containers EJBContainerTransactionManager postInvokeTx(EJBContainerTransactionManager java:485)_x000D_
	at com sun ejb containers BaseContainer postInvokeTx(BaseContainer java:4557)_x000D_
	at com sun ejb containers BaseContainer postInvoke(BaseContainer java:2108)_x000D_
	    87 common frames omitted_x000D_
Caused by: de symeda sormas api utils ValidationRuntimeException: You have to specify a valid responsible region_x000D_
	at de symeda sormas backend caze CaseFacadeEjb validate(CaseFacadeEjb java:1577)_x000D_
	at java base jdk internal reflect NativeMethodAccessorImpl invoke0(Native Method)_x000D_
	at java base jdk internal reflect NativeMethodAccessorImpl invoke(NativeMethodAccessorImpl java:62)_x000D_
	at java base jdk internal reflect DelegatingMethodAccessorImpl invoke(DelegatingMethodAccessorImpl java:43)_x000D_
	at java base java lang reflect Method invoke(Method java:566)_x000D_
	at org glassfish ejb security application EJBSecurityManager runMethod(EJBSecurityManager java:588)_x000D_
	at org glassfish ejb security application EJBSecurityManager invoke(EJBSecurityManager java:408)_x000D_
	at com sun ejb containers BaseContainer invokeBeanMethod(BaseContainer java:4791)_x000D_
	at com sun ejb EjbInvocation invokeBeanMethod(EjbInvocation java:665)_x000D_
	at com sun ejb containers interceptors AroundInvokeChainImpl invokeNext(InterceptorManager java:836)_x000D_
	at com sun ejb EjbInvocation proceed(EjbInvocation java:615)_x000D_
	at de symeda sormas backend util ValidationConstraintViolationInterceptor handleValidationConstraintViolation(ValidationConstraintViolationInterceptor java:30)_x000D_
	at jdk internal reflect GeneratedMethodAccessor732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EjbInvocation proceed(EjbInvocation java:615)_x000D_
	at de symeda sormas backend util PerformanceLoggingInterceptor logInvokeDuration(PerformanceLoggingInterceptor java:37)_x000D_
	at jdk internal reflect GeneratedMethodAccessor731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EjbInvocation proceed(EjbInvocation java:615)_x000D_
	at com sun ejb containers interceptors SystemInterceptorProxy doCall(SystemInterceptorProxy java:163)_x000D_
	at com sun ejb containers interceptors SystemInterceptorProxy aroundInvoke(SystemInterceptorProxy java:140)_x000D_
	at jdk internal reflect GeneratedMethodAccessor216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EjbInvocation proceed(EjbInvocation java:615)_x000D_
	at org jboss weld module ejb AbstractEJBRequestScopeActivationInterceptor aroundInvoke(AbstractEJBRequestScopeActivationInterceptor java:72)_x000D_
	at org jboss weld module ejb SessionBeanInterceptor aroundInvoke(SessionBeanInterceptor java:52)_x000D_
	at jdk internal reflect GeneratedMethodAccessor214 invoke(Unknown Source)_x000D_
	at java base jdk internal reflect DelegatingMethodAccessorImpl invoke(DelegatingMethodAccessorImpl java:43)_x000D_
	at java base java lang reflect Method invoke(Method java:566)_x000D_
	at com sun ejb containers interceptors AroundInvokeInterceptor intercept(InterceptorManager java:895)_x000D_
	at com sun ejb containers interceptors AroundInvokeChainImpl invokeNext(InterceptorManager java:835)_x000D_
	at com sun ejb containers interceptors InterceptorManager intercept(InterceptorManager java:374)_x000D_
	at com sun ejb containers BaseContainer   intercept(BaseContainer java:4763)_x000D_
	at com sun ejb containers BaseContainer intercept(BaseContainer java:4751)_x000D_
	at com sun ejb containers EJBLocalObjectInvocationHandler invoke(EJBLocalObjectInvocationHandler java:212)_x000D_
	    85 common frames omitted_x000D_
  _x000D_
   _x000D_
  details _x000D_
_x000D_
_x000D_
</t>
  </si>
  <si>
    <t>TeamNewPipe-NewPipe-7444</t>
  </si>
  <si>
    <t>Preload buffer indicator bar does not update when video is paused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</si>
  <si>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video_x000D_
2  Pause video_x000D_
3  Notice buffering indicator not updating despite network activity_x000D_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When in the player  there is an indicator bar for how much of the video has been buffered already which obviously grows when more comes in  However  when you re paused this indicator does not update eventhough the player is still filling the buffer _x000D_
_x000D_
    Expected behavior_x000D_
     Tell us what you expect to happen     _x000D_
_x000D_
The indicator should update when paused aswell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AOSP   LOS 17_x000D_
   Device model: Emulator   cheeseburger_x000D_
</t>
  </si>
  <si>
    <t>TeamNewPipe-NewPipe-7443</t>
  </si>
  <si>
    <t>When will it be compatible with Android 11？</t>
  </si>
  <si>
    <t>Anuken-Mindustry-6374</t>
  </si>
  <si>
    <t>liquids in full liquid producers have reaction particles to reacting liquids in conduits</t>
  </si>
  <si>
    <t xml:space="preserve">  Platform  : Windows_x000D_
_x000D_
  Build  : 126 2_x000D_
_x000D_
  Issue  :  conduits that are directly connected to crafters that output reactive liquids or connecting a reactive liquid to a full liquid producer that are full show reaction particles on the side where the conduit is attached  works with non leaking conduits  originally discovered in a mod I was making but I disabled the mod and tested it in vanilla with a full cryofluid mixer with a pipe of slag attached and it still happened  not fatal but very annoying _x000D_
_x000D_
  Steps to reproduce  : attach a conduit to a full liquid producer (ex cryofluid mixer  melter) and fill the conduit with a fluid that will react with the output of the producer _x000D_
_x000D_
_x000D_
_x000D_
  Link(s) to mod(s) used  :  the bug works in vanilla but just in case my mod is attached  the chaos mixer s output would react with the oxygen input _x000D_
 mod testing zip (https:  github com Anuken Mindustry files 7605584 mod testing zip)_x000D_
_x000D_
  Save file  :  34 zip (https:  github com Anuken Mindustry files 7605590 34 zip) with mod_x000D_
 35 zip (https:  github com Anuken Mindustry files 7605591 35 zip) without mod_x000D_
_x000D_
  (Crash) logs  : none  no crashes_x000D_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</si>
  <si>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MuntashirAkon-AppManager-633</t>
  </si>
  <si>
    <t>Crash on installer (split apks) - Android 12</t>
  </si>
  <si>
    <t>App Manager in itself launches   works in Android 12  but some features cause a crash _x000D_
One such features is the Installer module _x000D_
_x000D_
Steps to Reproduce:_x000D_
1: select a split apk (  apks)   tested with a few of them  via the  open with  Android menu_x000D_
2: install   App Manager will proceed to optimize the packages  but will fail crash on triggering the system package manager _x000D_
_x000D_
Tested on:_x000D_
Galaxy Fold 3 on Android 12 Beta 3</t>
  </si>
  <si>
    <t>Anuken-Mindustry-6370</t>
  </si>
  <si>
    <t>Wrong water icon on Serpulo preview</t>
  </si>
  <si>
    <t xml:space="preserve">  Platform  :  Android _x000D_
_x000D_
  Build  : 135_x000D_
_x000D_
  Issue  : On sector preview box (this which says name and ores of sector) instead of showing water icon (water droplet) mindustry shows water tile (square)_x000D_
  IMG 20211125 192134 (https:  user images githubusercontent com 33349024 143487898 c745500d 4abc 4c7a 8bbb 8dbec4246d57 jpg)_x000D_
  IMG 20211125 192143 (https:  user images githubusercontent com 33349024 143487902 14de371b 18fc 46c6 bcee eed56e4dadf9 jpg)_x000D_
_x000D_
_x000D_
_x000D_
  Steps to reproduce  : Update to 135 and open campaign _x000D_
_x000D_
  Link(s) to mod(s) used  : The same as in https:  github com Anuken Mindustry issues 6351_x000D_
_x000D_
  Save file  : The same as in https:  github com Anuken Mindustry issues 6351_x000D_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</si>
  <si>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OTTAA-Project-OTTAAProject-109</t>
  </si>
  <si>
    <t>Text to speech alert dialog</t>
  </si>
  <si>
    <t xml:space="preserve">  Describe the bug  _x000D_
this error happens when the text to speech engine is not available_x000D_
  To Reproduce  _x000D_
Steps to reproduce the behavior:_x000D_
1 init the application_x000D_
_x000D_
  Expected behavior  _x000D_
The app can t crash when the app shows this message_x000D_
_x000D_
</t>
  </si>
  <si>
    <t>TeamNewPipe-NewPipe-7441</t>
  </si>
  <si>
    <t>Hashtags with accented characters not properly recognised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</si>
  <si>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Search Youtube for  d conspirateurs 05 _x000D_
  In the results  open  Les D conspirateurs   l  mission 05 _x000D_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See the description  whenever a hashtag contains an accented character  Newpipe generates a link which stops before the first accented character  For example   extr misme is rendered as a  extr instead  while the rest is displayed as regular text _x000D_
_x000D_
_x000D_
    Expected behavior_x000D_
     Tell us what you expect to happen     _x000D_
Newpipe should consider accented characters as regular letters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DON T POST SCREENSHOTS OF THE ERROR PAGE  Use the buttons given on the error page to paste the error as text in the Logs section below     _x000D_
 img src  https:  user images githubusercontent com 1607217 143439151 6fceee5a 3b7b 4e90 ac75 5955ace623b1 jpg  width  300px  alt  Screenshot 2021 11 24 21 47 39 571 org schabi newpipe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11   MIUI 12 5 6_x000D_
   Device model: Redmi Note 10 Pro_x000D_
</t>
  </si>
  <si>
    <t>SceneView-react-native-sceneform-5</t>
  </si>
  <si>
    <t>Crash on hot reload.</t>
  </si>
  <si>
    <t xml:space="preserve">I open an issue so I keep tracking of this 
There s an issue triggered when hot reloading occurs 
The crash happens as the arFragment is being inflated on hot reloading but it already was when the component is loaded when mounted 
Preventing the initialisation method from being triggered again in the same session would be enough and solve the problem </t>
  </si>
  <si>
    <t>dedis-popstellar-620</t>
  </si>
  <si>
    <t>[BUG] AbstractEventCreationFragment allows start time in past</t>
  </si>
  <si>
    <t xml:space="preserve">    Description (Actual behavior)_x000D_
AbstractEventCreationFragment allows start time in past _x000D_
It will crash when creating an election in past _x000D_
_x000D_
    Expected behavior_x000D_
AbstractEventCreationFragment should not allow a date time in past for the start  _x000D_
_x000D_
    How to reproduce_x000D_
1  Create Lao_x000D_
2  Try to create Rollcat Election_x000D_
3a  Set date to today_x000D_
4a  Set time 1 hour before_x000D_
or_x000D_
3b  Set time 1 hour before_x000D_
4b  Set date to today_x000D_
_x000D_
    Version   Environment_x000D_
This bug was reproduced on:_x000D_
  Commit: 45469ad12c1c070c0de6f6a9c3b596be4b794a48_x000D_
_x000D_
      Front ends:_x000D_
   x  Fe2 Android_x000D_
_x000D_
    Possible root cause_x000D_
There is no check for time in AbstractEventCreationFragment </t>
  </si>
  <si>
    <t>brodeurlv-fastnfitness-240</t>
  </si>
  <si>
    <t>BodyMeasures import crashes the app.</t>
  </si>
  <si>
    <t xml:space="preserve">  Describe your issue  _x000D_
Hello  _x000D_
the app crashes every time I try to import the  export BodyMeasures username csv   So I can t transfer my weighttracking to the new phone (weight is the only thing I use the app for) _x000D_
_x000D_
Thank you  _x000D_
Bob_x000D_
_x000D_
  To Reproduce  _x000D_
Steps to reproduce the behavior:_x000D_
1  Export Database_x000D_
2  Try to import:  export BodyMeasures username csv _x000D_
3  App crashes_x000D_
_x000D_
  Expected behavior  _x000D_
File should be imported _x000D_
_x000D_
  Desktop (please complete the following information):  _x000D_
   Device: Huawai P10   Mi Mix 2s _x000D_
   OS: Andoid 9 (old phone) Andoid 10 (new phone)_x000D_
   App Version: 0 20 3_x000D_
   Database version: 24</t>
  </si>
  <si>
    <t>nextcloud-android-9353</t>
  </si>
  <si>
    <t>App sometimes crashes when listening tracks via Music Nextcloud app.</t>
  </si>
  <si>
    <t xml:space="preserve">    Steps to reproduce_x000D_
1  Install nextcloud 22 2 0 via docker _x000D_
2  Install Music by Pauli J rvinen _x000D_
3  Start listen music in android nextcloud app _x000D_
4  Sometimes app is crashing _x000D_
_x000D_
    Expected behaviour_x000D_
App should work without crashes _x000D_
_x000D_
    Actual behaviour_x000D_
App is crashing _x000D_
_x000D_
    Can you reproduce this problem on try   _x000D_
Actually it s android nextcloud app Music app problem _x000D_
Please read logs _x000D_
_x000D_
    Environment data_x000D_
Android version: 12 Stable_x000D_
_x000D_
Device model: Redmi note 7 (Pixel 6 Pro)_x000D_
_x000D_
Stock or customized system: port from Pixel 6 Pro  Spotify and every other app is working correctly _x000D_
_x000D_
Nextcloud app version: 30180090_x000D_
_x000D_
Nextcloud server version: 22 2 0_x000D_
_x000D_
Reverse proxy: none_x000D_
_x000D_
    Logs_x000D_
     Web server error log_x000D_
   _x000D_
None at that (  hour) time _x000D_
   _x000D_
_x000D_
     Nextcloud log (data nextcloud log)_x000D_
   _x000D_
             CAUSE OF ERROR             _x000D_
_x000D_
android app ForegroundServiceDidNotStartInTimeException: Context startForegroundService() did not then call Service startForeground(): ServiceRecord f74c7f5 u0 com nextcloud client  media PlayerService _x000D_
	at android app ActivityThread throwRemoteServiceException(ActivityThread java:1923)_x000D_
	at android app ActivityThread access 2700(ActivityThread java:247)_x000D_
	at android app ActivityThread H handleMessage(ActivityThread java:2148)_x000D_
	at android os Handler dispatchMessage(Handler java:106)_x000D_
	at android os Looper loopOnce(Looper java:201)_x000D_
	at android os Looper loop(Looper java:288)_x000D_
	at android app ActivityThread main(ActivityThread java:7838)_x000D_
	at java lang reflect Method invoke(Native Method)_x000D_
	at com android internal os RuntimeInit MethodAndArgsCaller run(RuntimeInit java:548)_x000D_
	at com android internal os ZygoteInit main(ZygoteInit java:1003)_x000D_
_x000D_
             APP INFORMATION             _x000D_
ID: com nextcloud client_x000D_
Version: 30180090_x000D_
Build flavor: gplay_x000D_
_x000D_
             DEVICE INFORMATION             _x000D_
Brand: google_x000D_
Device: raven_x000D_
Model: Pixel 6 Pro_x000D_
Id: SD1A 210817 036_x000D_
Product: raven_x000D_
_x000D_
             FIRMWARE             _x000D_
SDK: 31_x000D_
Release: 12_x000D_
Incremental: 7805805_x000D_
_x000D_
   _x000D_
</t>
  </si>
  <si>
    <t>PojavLauncherTeam-PojavLauncher-2275</t>
  </si>
  <si>
    <t>The pojav background cannot be started because it is not deleted</t>
  </si>
  <si>
    <t xml:space="preserve">    Describe the bug_x000D_
_x000D_
                                                          pojav       pojav                           I just went to play video game (enter the game) rest (exit)  rest enough to continue to play video game (re enter)  found no restart  need to reinstall the runtime  Delete pojav background  restart pojav launcher can continue  but quit the game  do not delete a restart will crash _x000D_
_x000D_
    The log file and images videos_x000D_
_x000D_
 latestlog txt (https:  github com PojavLauncherTeam PojavLauncher files 7602656 latestlog txt)_x000D_
 crash 2021 11 23 13 53 52 client txt (https:  github com PojavLauncherTeam PojavLauncher files 7602780 crash 2021 11 23 13 53 52 client txt)_x000D_
_x000D_
_x000D_
_x000D_
    Steps To Reproduce_x000D_
_x000D_
   markdown_x000D_
1 Open game_x000D_
2 Exit the game_x000D_
3 Open game_x000D_
4 Collapsed _x000D_
_x000D_
Solution  but trouble:_x000D_
1 Delete vms_x000D_
2 Add vms_x000D_
3 Enter the game_x000D_
4 success_x000D_
_x000D_
or_x000D_
_x000D_
1 Delete pojav background_x000D_
2 Restart_x000D_
3 success_x000D_
   _x000D_
_x000D_
_x000D_
    Expected Behavior_x000D_
_x000D_
Can you fix it _x000D_
_x000D_
    Platform_x000D_
_x000D_
   markdown_x000D_
  Device model: _x000D_
  CPU architecture: MediaTek   800_x000D_
  Android version: 10 Harmony OS 2 _x000D_
  PojavLauncher version: crocus 228 2ec6c4d18 v3 openjdk_x000D_
   _x000D_
_x000D_
_x000D_
    Anything else _x000D_
_x000D_
Solution operation  After entering the game  exit and carry out a solution again_x000D_
It s not as convenient as before  Quit  You don t need to delete the background  You can start it again</t>
  </si>
  <si>
    <t>hzi-braunschweig-SORMAS-Project-7354</t>
  </si>
  <si>
    <t>Android app crashes erratically when creating new immunisations or navigating the immunisation directory.</t>
  </si>
  <si>
    <t xml:space="preserve">      image (https:  user images githubusercontent com 71414361 143148086 1696033a 2db4 492c 8e96 a09f15db0176 png)If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image (https:  user images githubusercontent com 71414361 143148136 f4582db0 56f5 4083 910a f8fe1cab28a7 png)     image (https:  user images githubusercontent com 71414361 143148207 9ab87213 4b87 4e2e b7b4 9f77b37b5bd5 png)    Bug Description_x000D_
On frequent occasions  the  android app crashes when creating new immunisations or simply navigating the immunisation directory _x000D_
_x000D_
    Steps to Reproduce_x000D_
1  Open the immunisation directory OR_x000D_
2  Create a new immunisation for a case  or an event participant whose associated event has a disease OR_x000D_
3  Open an immunisation and try to edit it _x000D_
_x000D_
    Expected Behavior_x000D_
The app should not crash for any of these normal activities _x000D_
_x000D_
    Screenshots_x000D_
_x000D_
    System Details  image (https:  user images githubusercontent com 71414361 143148086 1696033a 2db4 492c 8e96 a09f15db0176 png)     Mandatory  you only have to specify the Server URL if the error appeared on a publicly available test server      image (https:  user images githubusercontent com 71414361 143148136 f4582db0 56f5 4083 910a f8fe1cab28a7 png)    image (https:  user images githubusercontent com 71414361 143148207 9ab87213 4b87 4e2e b7b4 9f77b37b5bd5 png)  _x000D_
_x000D_
  Device: Android _x000D_
  SORMAS version: 1 65 1_x000D_
  Android version Browser: Version 11 (knox 3 7  API level 33)_x000D_
  Server URL: https:  release international sormas netzlink com )_x000D_
  User Role: Surveillance officer   Contact officer_x000D_
_x000D_
    Additional Information_x000D_
     Optional    _x000D_
</t>
  </si>
  <si>
    <t>mI-PIV-app-203</t>
  </si>
  <si>
    <t>User-defined images not processing</t>
  </si>
  <si>
    <t xml:space="preserve">With all default parameters  the and a user defined video  the app is crashing during single pass processing </t>
  </si>
  <si>
    <t>hzi-braunschweig-SORMAS-Project-7352</t>
  </si>
  <si>
    <t>App crashes when trying to create immunizations for event participants</t>
  </si>
  <si>
    <t xml:space="preserve">      image (https:  user images githubusercontent com 71414361 143143147 ab03b603 263e 4bdf 8bbd cc5eb3806f74 png)If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The Android app crashes when trying to create an immunization for an event participant even for events with a disease _x000D_
_x000D_
Relates to  7167 _x000D_
    Steps to Reproduce_x000D_
1  Create or select and event with a disease _x000D_
2  Navigate to immunizations_x000D_
3  Click the edit icon    person edit fragment opens_x000D_
4  Navigate to immunisations and try to create a new immunisation by clicking the     icon _x000D_
5   App crashes_x000D_
_x000D_
    Expected Behavior_x000D_
The app should not crash _x000D_
    Screenshots_x000D_
_x000D_
  image (https:  user images githubusercontent com 71414361 143143147 ab03b603 263e 4bdf 8bbd cc5eb3806f74 png)    System Details_x000D_
     Mandatory  you only have to specify the Server URL if the error appeared on a publicly available test server    _x000D_
  Device: Android version 11_x000D_
  SORMAS version: 1 65 1_x000D_
  Android version Browser:_x000D_
  Server URL: https:  release international sormas netzlink com _x000D_
  User Role: Surveillance officer   contact officer_x000D_
_x000D_
    Additional Information_x000D_
     Optional    _x000D_
</t>
  </si>
  <si>
    <t>dedis-popstellar-616</t>
  </si>
  <si>
    <t>[BUG] Go backend crash when failed to handle message and when connected to witness server</t>
  </si>
  <si>
    <t xml:space="preserve">    Description (Actual behavior)_x000D_
When there are at least two servers (1 organizer   x witnesses) and if a server receive an error it crashed _x000D_
_x000D_
    Expected behavior_x000D_
No crash _x000D_
_x000D_
    How to reproduce_x000D_
1  Setup an organizer server and a witnes server connected to it_x000D_
2  Connect to organizer with android_x000D_
3  Send an invalid message (for example a roll call create with start time in the past)_x000D_
4  Organizer server crashed_x000D_
_x000D_
    Version   Environment_x000D_
This bug was reproduced on:_x000D_
  Commit: 45469ad12c1c070c0de6f6a9c3b596be4b794a48_x000D_
_x000D_
      Front ends:_x000D_
   x  Fe2 Android_x000D_
_x000D_
      Back ends:_x000D_
   x  Be1 Go_x000D_
_x000D_
    Impact_x000D_
The server crash_x000D_
_x000D_
    Possible root cause_x000D_
Maybe the servers try to propagate the receive message to others but when it s an invalid message  errors are maybe not correctly send handle  When there is only a single server (organizer)  it doesn t crash _x000D_
It seems that the crash happends with a SIGSEGV on be1 go hub standard hub message handling go:105 _x000D_
_x000D_
_x000D_
    Logs_x000D_
organizer server log https:  pastebin com jjxadM1m_x000D_
witness server log https:  pastebin com tjcN4rY2</t>
  </si>
  <si>
    <t>Rapsssito-react-native-background-actions-113</t>
  </si>
  <si>
    <t>Unable to start service com.asterinet.react.bgactions.RNBackgroundActionsTask@ebe9ce4 with Intent { cmp=com.app/com.asterinet.react.bgactions.RNBackgroundActionsTask (has extras) }: java.lang.NullPointerException: Attempt to invoke virtual method 'java.lang.Class java.lang.Object.getClass()' on a null object reference</t>
  </si>
  <si>
    <t xml:space="preserve">I am getting this error on production  and it causes crashes for some of the users  any ideas on how to solve this _x000D_
_x000D_
 Unable to start service com asterinet react bgactions RNBackgroundActionsTask ebe9ce4 with Intent   cmp com app com asterinet react bgactions RNBackgroundActionsTask (has extras)  : java lang NullPointerException: Attempt to invoke virtual method  java lang Class java lang Object getClass()  on a null object reference_x000D_
 </t>
  </si>
  <si>
    <t>gluonhq-substrate-1047</t>
  </si>
  <si>
    <t>iOS 15.x, Crash during Startup (Also happens on the Devoxx app)</t>
  </si>
  <si>
    <t xml:space="preserve">iOS 15 x  Crash during Startup_x000D_
_x000D_
This does not happen with iOS 14 x _x000D_
_x000D_
It s both reproducible on the  devoxx app (https:  github com devoxx MyDevoxxGluon commits master) from the AppStore  and on my proprietary app _x000D_
I was not able to reproduce it on the  ResistorCalculator  App   probably because it starts very very fast _x000D_
_x000D_
I was able to reproduce it on all 5 iOS I could get my fingers on _x000D_
So it happens quite frequently  For some unknown reason   it sometimes happens nearly always  and other times it doesn t happen very often _x000D_
_x000D_
_x000D_
Some topics I found in another community  with a similar error:_x000D_
 _x000D_
 https:  community stencyl com index php issue 2024 20_x000D_
 https:  github com HaxeFoundation hxcpp issues 969 issuecomment 941127280_x000D_
_x000D_
This suggests it correlates with how much is happening during the startup or when the application is used _x000D_
Especially because the complexity during startup correlates with the crash frequency  This explains why the ResistorCalculator app isn t affected _x000D_
_x000D_
My environment:_x000D_
   iOS 15 1_x000D_
   the latest version of the gluon gradle plugin  1 0 8 _x000D_
   Both iPad and iPhone_x000D_
   Couldn t test it on iOS15 x  because I didn t have a device available_x000D_
 _x000D_
_x000D_
_x000D_
To my current knowledge  this basically breaks GluonMobile for newer iOS devices  so I hope you can fix this quickly _x000D_
Maybe there is already a workaround known _x000D_
_x000D_
Here is the crash report generated by apple:_x000D_
 crashlog crash txt (https:  github com gluonhq substrate files 7584249 crashlog crash txt)_x000D_
_x000D_
_x000D_
</t>
  </si>
  <si>
    <t>SceneView-sceneform-android-209</t>
  </si>
  <si>
    <t>Application crashes if the AR activity is closed while resolving the Cloud Anchor</t>
  </si>
  <si>
    <t xml:space="preserve">   _x000D_
2021 11 22 23:42:31 755 19563 19563 com example virtualpresent I native: I1122 23:42:31 755511   19563 session cc:1619  Entering Session::Pause _x000D_
   _x000D_
2021 11 22 23:42:31 760 19563 19563 com example virtualpresent D ARCore Api: ArSession pause()    AR SUCCESS_x000D_
2021 11 22 23:42:31 760 19563 19563 com example virtualpresent I native: I1122 23:42:31 760464   19563 session lite c api cc:37  Deleting ArSession   _x000D_
    _x000D_
    _x000D_
              beginning of crash_x000D_
2021 11 22 23:42:31 778 19563 19738 com example virtualpresent A libc: Fatal signal 11 (SIGSEGV)  code 1 (SEGV MAPERR)  fault addr 0x7700000018 in tid 19738 (Thread 39)  pid 19563 (main)_x000D_
_x000D_
   </t>
  </si>
  <si>
    <t>inaturalist-iNaturalistAndroid-1153</t>
  </si>
  <si>
    <t>NullPointerException in ObservationEditor.run</t>
  </si>
  <si>
    <t xml:space="preserve">https:  console firebase google com u 1 project inaturalist ios crashlytics app android:org inaturalist android issues f3d24feb92c8f790735fc259684d56bb_x000D_
_x000D_
   _x000D_
Fatal Exception: java lang NullPointerException: Attempt to invoke virtual method  void android app Activity runOnUiThread(java lang Runnable)  on a null object reference_x000D_
       at org inaturalist android ObservationEditor 32 run(ObservationEditor java:2495)_x000D_
       at java lang Thread run(Thread java:764)_x000D_
   </t>
  </si>
  <si>
    <t>MuntashirAkon-AppManager-632</t>
  </si>
  <si>
    <t>App is crashing when backup volume (SD card) is unavailable or unmounted</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</si>
  <si>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AM debug crashing when backup volume(SD card) is unavailable or unmounted_x000D_
_x000D_
  To Reproduce  _x000D_
Steps to reproduce the behaviour:_x000D_
1  Go to setting set backup volume as SD card _x000D_
2  Remove SD card_x000D_
3  Try to backup any app and AM is crashing_x000D_
_x000D_
  Expected behavior  _x000D_
Suggestion  AM should notify users that SD card is removed  Select or change backup volume _x000D_
_x000D_
  Screenshots  _x000D_
If applicable  add screenshots to help explain your problem _x000D_
_x000D_
  Crash logs  _x000D_
 Am crash txt (https:  github com MuntashirAkon AppManager files 7579824 Am crash txt)_x000D_
_x000D_
_x000D_
  Device info  _x000D_
  App version: 2 7 0 1586 DEBUG_x000D_
  App version code: 395_x000D_
  Android build version: eng SonalS 20211112 035216_x000D_
  Android release version: 12_x000D_
  Android SDK version: 31_x000D_
  Android build ID: SD1A 210817 036 A8_x000D_
  Device brand: POCO_x000D_
  Device manufacturer: Xiaomi_x000D_
  Device name: gram_x000D_
  Device model: POCO M2 Pro_x000D_
  Device product name: arrow miatoll_x000D_
  Device hardware name: qcom_x000D_
  ABIs:  arm64 v8a  armeabi v7a  armeabi _x000D_
  ABIs (32bit):  armeabi v7a  armeabi _x000D_
  ABIs (64bit):  arm64 v8a _x000D_
  System language: en IN_x000D_
  In App Language: auto_x000D_
  Mode: auto_x000D_
_x000D_
  Additional context  _x000D_
This issue is opened on behalf of telegram user and group member  gram    as requested :_x000D_
  Sorry for not posting on github(cant login at the moment) _x000D_
Anyone report this on github  if necessary_x000D_
</t>
  </si>
  <si>
    <t>PojavLauncherTeam-PojavLauncher-2270</t>
  </si>
  <si>
    <t>Sodium Extra Not Working</t>
  </si>
  <si>
    <t xml:space="preserve">    Describe the bug
I Installed the sodium extra mod then when i open the video setting it crash bruhhhhhh
    The log file and images videos
 No response 
    Steps To Reproduce
   markdown
Install sodium extra mod_x000D_
Open video settings_x000D_
Then It Crash
    Expected Behavior
I expected to boost my fps
    Platform
   markdown
  Device model: Oppo A5s_x000D_
  CPU architecture: aarch64_x000D_
  Android version: 10_x000D_
  PojavLauncher version: Latest Release
    Anything else 
 No response </t>
  </si>
  <si>
    <t>didi-DoraemonKit-949</t>
  </si>
  <si>
    <t>【Android】【3.5.0】- API 29启动崩溃 API 30 正常</t>
  </si>
  <si>
    <t>API 29     _x000D_
_x000D_
   log_x000D_
          beginning of system_x000D_
11 22 06:53:05 031  1924  3222 I ActivityManager: START u0  act android intent action MAIN cat  android intent category LAUNCHER  flg 0x10200000 cmp com fangstar fstarbrokertest com fangstar starmate WelcomeActivity bnds  237 1072  439 1354   from uid 10026_x000D_
11 22 06:53:05 036  1605  3888 W audio hw generic: Not supplying enough data to HAL  expected position 5335428   only wrote 5335200_x000D_
11 22 06:53:05 056  9363  9363 I fstarbrokertes: Not late enabling  Xcheck:jni (already on)_x000D_
11 22 06:53:05 060  1924  1941 I ActivityManager: Start proc 9363:com fangstar fstarbrokertest u0a72 for activity com fangstar fstarbrokertest com fangstar starmate WelcomeActivity_x000D_
11 22 06:53:05 065  9363  9363 W fstarbrokertes: Unexpected CPU variant for X86 using defaults: x86_x000D_
11 22 06:53:05 096  1615  2336 D gralloc ranchu: gralloc alloc: Creating ashmem region of size 8298496_x000D_
11 22 06:53:05 100  1924  3222 W ActivityManager: Request to remove task ignored for non existent task 23_x000D_
11 22 06:53:05 118  9363  9363 I fstarbrokertes: The ClassLoaderContext is a special shared library _x000D_
11 22 06:53:05 168  1615  2336 D gralloc ranchu: gralloc alloc: Creating ashmem region of size 8298496_x000D_
11 22 06:53:05 477  2078  2370 D EGL emulation: eglMakeCurrent: 0xe35a9e20: ver 2 0 (tinfo 0xd19e1250)_x000D_
11 22 06:53:05 608  2078  2370 I chatty  : uid 10022(com android systemui) RenderThread identical 12 lines_x000D_
11 22 06:53:05 675  2078  2370 D EGL emulation: eglMakeCurrent: 0xe35a9e20: ver 2 0 (tinfo 0xd19e1250)_x000D_
11 22 06:53:05 695  1924  2348 I GnssLocationProvider: WakeLock acquired by sendMessage(REPORT SV STATUS  0  com android server location GnssLocationProvider SvStatusInfo 32caf7e)_x000D_
11 22 06:53:05 696  1924  1938 I GnssLocationProvider: WakeLock released by handleMessage(REPORT SV STATUS  0  com android server location GnssLocationProvider SvStatusInfo 32caf7e)_x000D_
11 22 06:53:05 802  2078  2370 D EGL emulation: eglMakeCurrent: 0xe35a9e20: ver 2 0 (tinfo 0xd19e1250)_x000D_
11 22 06:53:05 825  2714  2860 D EGL emulation: eglMakeCurrent: 0xd2f76f60: ver 2 0 (tinfo 0xd2d2a240)_x000D_
11 22 06:53:06 247  9363  9363 D Tinker TinkerLoader: tryLoad test test_x000D_
11 22 06:53:06 250  9363  9363 W Tinker TinkerLoader: tryLoadPatchFiles:patch dir not exist: data user 0 com fangstar fstarbrokertest tinker_x000D_
11 22 06:53:06 254  9363  9363 D Tinker DefaultAppLike: onBaseContextAttached:_x000D_
11 22 06:53:06 256  9363  9363 I MultiDex: VM with version 2 1 0 has multidex support_x000D_
11 22 06:53:06 257  9363  9363 I MultiDex: Installing application_x000D_
11 22 06:53:06 257  9363  9363 I MultiDex: VM has multidex support  MultiDex support library is disabled _x000D_
11 22 06:53:06 282  9363  9363 W fstarbrokertes: Accessing hidden field Lsun misc Unsafe   theUnsafe:Lsun misc Unsafe  (light greylist  reflection)_x000D_
11 22 06:53:06 283  9363  9363 W fstarbrokertes: Accessing hidden field Landroid app ActivityThread   sCurrentActivityThread:Landroid app ActivityThread  (light greylist  reflection)_x000D_
11 22 06:53:06 283  9363  9363 W fstarbrokertes: Accessing hidden method Landroid app ActivityThread   getApplication()Landroid app Application  (light greylist  reflection)_x000D_
11 22 06:53:06 283  9363  9363 E Utils   : app is null _x000D_
11 22 06:53:06 289  9363  9363 E Utils   : app is null _x000D_
11 22 06:53:06 582  9363  9363 W fstarbrokertes: Unexpected CPU variant for X86 using defaults: x86_x000D_
11 22 06:53:06 597  9363  9363 W epic DexposedBridge: hook: public void android view View setOnClickListener(android view View OnClickListener)  newMethod   true_x000D_
11 22 06:53:06 598  9363  9363 I Runtime : is64Bit: false  isArt: true_x000D_
11 22 06:53:06 601  9363  9363 I EpicNative: use unsafe   false_x000D_
11 22 06:53:06 602  9363  9363 W epic Runtime: isThumb2  entry: d6768440_x000D_
11 22 06:53:06 603  9363  9363 W epic Epic: ARM32  not support now _x000D_
11 22 06:53:06 664  9363  9390 W SQLiteCompatibilityWalFlags: Cannot read global setting sqlite compatibility wal flags   Application state not available_x000D_
11 22 06:53:06 695  1924  2348 I GnssLocationProvider: WakeLock acquired by sendMessage(REPORT SV STATUS  0  com android server location GnssLocationProvider SvStatusInfo 860458a)_x000D_
11 22 06:53:06 695  1924  1938 I GnssLocationProvider: WakeLock released by handleMessage(REPORT SV STATUS  0  com android server location GnssLocationProvider SvStatusInfo 860458a)_x000D_
11 22 06:53:06 992  9363  9363 I ServiceManager: registerService : TUIConversationService  com tencent qcloud tuikit tuiconversation TUIConversationService f69edc1_x000D_
11 22 06:53:06 993  9363  9363 I ServiceManager: registerEvent : key : eventGroup  subKey : eventExitGroup  notification : com tencent qcloud tuikit tuiconversation TUIConversationService f69edc1_x000D_
11 22 06:53:06 993  9363  9363 I ServiceManager: registerEvent : key : eventGroup  subKey : eventMemberKickedGroup  notification : com tencent qcloud tuikit tuiconversation TUIConversationService f69edc1_x000D_
11 22 06:53:06 993  9363  9363 I ServiceManager: registerEvent : key : eventGroup  subKey : eventMemberGroupDismiss  notification : com tencent qcloud tuikit tuiconversation TUIConversationService f69edc1_x000D_
11 22 06:53:06 993  9363  9363 I ServiceManager: registerEvent : key : eventGroup  subKey : eventMemberGroupRecycle  notification : com tencent qcloud tuikit tuiconversation TUIConversationService f69edc1_x000D_
11 22 06:53:06 993  9363  9363 I ServiceManager: registerEvent : key : eventFriendInfoChanged  subKey : eventFriendRemarkChanged  notification : com tencent qcloud tuikit tuiconversation TUIConversationService f69edc1_x000D_
11 22 06:53:07 080  9363  9363 I AGConnectProvider: AGConnectInitializeProvider onCreate_x000D_
11 22 06:53:07 080  9363  9363 I AGConnectInstance: AGConnectInstance initialize_x000D_
11 22 06:53:07 081  9363  9363 I ServiceRegistrarParser: getServices_x000D_
11 22 06:53:07 083  9363  9363 I ServiceRegistrarParser: services:0_x000D_
11 22 06:53:07 103  9363  9363 I ServiceManager: registerService : TUIContactService  com tencent qcloud tuikit tuicontact TUIContactService 8876384_x000D_
11 22 06:53:07 103  9363  9363 I ServiceManager: registerEvent : key : eventFriendInfoChanged  subKey : eventFriendRemarkChanged  notification : com tencent qcloud tuikit tuicontact TUIContactService 8876384_x000D_
11 22 06:53:07 137  9363  9363 I ServiceManager: registerService : TUIChatService  com tencent qcloud tuikit tuichat TUIChatService 2cd60a1_x000D_
11 22 06:53:07 137  9363  9363 I ServiceManager: registerEvent : key : eventGroup  subKey : eventSubKeyGroupInfoChanged  notification : com tencent qcloud tuikit tuichat TUIChatService 2cd60a1_x000D_
11 22 06:53:07 137  9363  9363 I ServiceManager: registerEvent : key : eventGroup  subKey : eventExitGroup  notification : com tencent qcloud tuikit tuichat TUIChatService 2cd60a1_x000D_
11 22 06:53:07 137  9363  9363 I ServiceManager: registerEvent : key : eventGroup  subKey : eventMemberKickedGroup  notification : com tencent qcloud tuikit tuichat TUIChatService 2cd60a1_x000D_
11 22 06:53:07 137  9363  9363 I ServiceManager: registerEvent : key : eventGroup  subKey : eventMemberGroupDismiss  notification : com tencent qcloud tuikit tuichat TUIChatService 2cd60a1_x000D_
11 22 06:53:07 137  9363  9363 I ServiceManager: registerEvent : key : eventGroup  subKey : eventSubKeyJoinGroup  notification : com tencent qcloud tuikit tuichat TUIChatService 2cd60a1_x000D_
11 22 06:53:07 137  9363  9363 I ServiceManager: registerEvent : key : eventGroup  subKey : eventSubKeyInvitedGroup  notification : com tencent qcloud tuikit tuichat TUIChatService 2cd60a1_x000D_
11 22 06:53:07 137  9363  9363 I ServiceManager: registerEvent : key : eventGroup  subKey : eventMemberGroupRecycle  notification : com tencent qcloud tuikit tuichat TUIChatService 2cd60a1_x000D_
11 22 06:53:07 137  9363  9363 I ServiceManager: registerEvent : key : eventFriendInfoChanged  subKey : eventFriendRemarkChanged  notification : com tencent qcloud tuikit tuichat TUIChatService 2cd60a1_x000D_
11 22 06:53:07 316  9363  9363 E caisq   : replace itconfig   0   210733096_x000D_
11 22 06:53:07 394  9363  9363 I crashsdk: LibcMalloc detail: disabled _x000D_
11 22 06:53:07 381  9363  9363 W fstarbrokertest: type 1400 audit(0 0:662): avc: denied   read   for name  version  dev  proc  ino 4026532001 scontext u:r:untrusted app:s0:c72 c256 c512 c768 tcontext u:object r:proc version:s0 tclass file permissive 0_x000D_
11 22 06:53:07 404  9363  9363 E fstarbrokertes: Invalid ID 0x00000000 _x000D_
11 22 06:53:07 407  9363  9363 E fstarbrokertes: Invalid ID 0x00000000 _x000D_
11 22 06:53:07 415  9363  9363 E caisq   : replace paconfig   0   86456815_x000D_
11 22 06:53:07 418  9363  9363 I Matrix AnrTracer: anrTrace  final mAnrBeatTime:400  mAnrBeatRate:400_x000D_
11 22 06:53:07 424  9363  9412 E caisq   : replace Y29uZmlnXzYxOGI3MGIzZTAxNDI1NWZjYjczYWU0Yw   0   116815847_x000D_
11 22 06:53:07 484  9363  9363 E libc    : Access denied finding property  ro serialno _x000D_
11 22 06:53:07 471  9363  9363 W fstarbrokertest: type 1400 audit(0 0:663): avc: denied   read   for name  u:object r:serialno prop:s0  dev  tmpfs  ino 7298 scontext u:r:untrusted app:s0:c72 c256 c512 c768 tcontext u:object r:serialno prop:s0 tclass file permissive 0_x000D_
11 22 06:53:07 557  9363  9363 D NetworkSecurityConfig: Using Network Security Config from resource security config debugBuild: true_x000D_
11 22 06:53:07 618  9363  9363 I fstarbrokertes: Rejecting re init on previously failed class java lang Class com didichuxing doraemonkit aop map AMapLocationListenerProxy : java lang NoClassDefFoundError: Failed resolution of: Lcom amap api location AMapLocationListener _x000D_
11 22 06:53:07 618  9363  9363 I fstarbrokertes:   at void com didichuxing doraemonkit aop map BDAbsLocationListenerProxy  init (com baidu location BDAbstractLocationListener) (BDAbsLocationListenerProxy java:22)_x000D_
11 22 06:53:07 619  9363  9363 I fstarbrokertes:   at void com baidu location LocationClient registerLocationListener(com baidu location BDAbstractLocationListener) ((null): 1)_x000D_
11 22 06:53:07 619  9363  9363 I fstarbrokertes:   at void com yh location LocationService init(com baidu location BDAbstractLocationListener) (LocationService kt:44)_x000D_
11 22 06:53:07 619  9363  9363 I fstarbrokertes:   at void com yh location LocationManager init() (LocationManager kt:111)_x000D_
11 22 06:53:07 619  9363  9363 I fstarbrokertes:   at void com yh appinject InjectHelper register(com yh appinject IBaseAppInject) (InjectHelper kt:61)_x000D_
11 22 06:53:07 619  9363  9363 I fstarbrokertes:   at void com fangstar starmate StarMateAppReally initialize() (StarMateAppReally kt:247)_x000D_
11 22 06:53:07 619  9363  9363 I fstarbrokertes:   at void com fangstar starmate StarMateAppReally install(android app Application) (StarMateAppReally kt:152)_x000D_
11 22 06:53:07 619  9363  9363 I fstarbrokertes:   at void com fangstar tinker StarMateApplicationLike onCreate() (StarMateApplicationLike kt:56)_x000D_
11 22 06:53:07 619  9363  9363 I fstarbrokertes:   at void com tencent tinker entry TinkerApplicationInlineFence handleMessageImpl(android os Message) (TinkerApplicationInlineFence java:76)_x000D_
11 22 06:53:07 619  9363  9363 I fstarbrokertes:   at void com tencent tinker entry TinkerApplicationInlineFence handleMessage  noinline (android os Message) (TinkerApplicationInlineFence java:60)_x000D_
11 22 06:53:07 619  9363  9363 I fstarbrokertes:   at void com tencent tinker entry TinkerApplicationInlineFence handleMessage(android os Message) (TinkerApplicationInlineFence java:53)_x000D_
11 22 06:53:07 619  9363  9363 I fstarbrokertes:   at void com tencent tinker loader app TinkerInlineFenceAction callOnCreate(android os Handler) (TinkerInlineFenceAction java:57)_x000D_
11 22 06:53:07 619  9363  9363 I fstarbrokertes:   at void com tencent tinker loader app TinkerApplication onCreate() (TinkerApplication java:189)_x000D_
11 22 06:53:07 619  9363  9363 I fstarbrokertes:   at void android app Instrumentation callApplicationOnCreate(android app Application) (Instrumentation java:1154)_x000D_
11 22 06:53:07 619  9363  9363 I fstarbrokertes:   at void android app ActivityThread handleBindApplication(android app ActivityThread AppBindData) (ActivityThread java:5871)_x000D_
11 22 06:53:07 619  9363  9363 I fstarbrokertes:   at void android app ActivityThread access 1100(android app ActivityThread  android app ActivityThread AppBindData) (ActivityThread java:199)_x000D_
11 22 06:53:07 619  9363  9363 I fstarbrokertes:   at void android app ActivityThread H handleMessage(android os Message) (ActivityThread java:1650)_x000D_
11 22 06:53:07 620  9363  9363 I fstarbrokertes:   at void android os Handler dispatchMessage(android os Message) (Handler java:106)_x000D_
11 22 06:53:07 620  9363  9363 I fstarbrokertes:   at void android os Looper loop() (Looper java:193)_x000D_
11 22 06:53:07 620  9363  9363 I fstarbrokertes:   at void android app ActivityThread main(java lang String  ) (ActivityThread java:6669)_x000D_
11 22 06:53:07 620  9363  9363 I fstarbrokertes:   at java lang Object java lang reflect Method invoke(java lang Object  java lang Object  ) (Method java: 2)_x000D_
11 22 06:53:07 620  9363  9363 I fstarbrokertes:   at void com android internal os RuntimeInit MethodAndArgsCaller run() (RuntimeInit java:493)_x000D_
11 22 06:53:07 620  9363  9363 I fstarbrokertes:   at void com android internal os ZygoteInit main(java lang String  ) (ZygoteInit java:858)_x000D_
11 22 06:53:07 620  9363  9363 I fstarbrokertes: Caused by: java lang ClassNotFoundException: Didn t find class  com amap api location AMapLocationListener  on path: DexPathList  zip file   system framework org apache http legacy boot jar   zip file   data app com fangstar fstarbrokertest KDAVVZiKuMGZo2FJ7UoJsA   base apk   nativeLibraryDirectories   data app com fangstar fstarbrokertest KDAVVZiKuMGZo2FJ7UoJsA   lib x86   data app com fangstar fstarbrokertest KDAVVZiKuMGZo2FJ7UoJsA   base apk  lib x86   system lib  _x000D_
11 22 06:53:07 620  9363  9363 I fstarbrokertes:   at java lang Class dalvik system BaseDexClassLoader findClass(java lang String) (BaseDexClassLoader java:134)_x000D_
11 22 06:53:07 620  9363  9363 I fstarbrokertes:   at java lang Class java lang ClassLoader loadClass(java lang String  boolean) (ClassLoader java:379)_x000D_
11 22 06:53:07 620  9363  9363 I fstarbrokertes:   at java lang Class java lang ClassLoader loadClass(java lang String) (ClassLoader java:312)_x000D_
11 22 06:53:07 620  9363  9363 I fstarbrokertes:   at void com didichuxing doraemonkit aop map BDAbsLocationListenerProxy  init (com baidu location BDAbstractLocationListener) (BDAbsLocationListenerProxy java:22)_x000D_
11 22 06:53:07 620  9363  9363 I fstarbrokertes:   at void com baidu location LocationClient registerLocationListener(com baidu location BDAbstractLocationListener) ((null): 1)_x000D_
11 22 06:53:07 620  9363  9363 I fstarbrokertes:   at void com yh location LocationService init(com baidu location BDAbstractLocationListener) (LocationService kt:44)_x000D_
11 22 06:53:07 620  9363  9363 I fstarbrokertes:   at void com yh location LocationManager init() (LocationManager kt:111)_x000D_
11 22 06:53:07 620  9363  9363 I fstarbrokertes:   at void com yh appinject InjectHelper register(com yh appinject IBaseAppInject) (InjectHelper kt:61)_x000D_
11 22 06:53:07 620  9363  9363 I fstarbrokertes:   at void com fangstar starmate StarMateAppReally initialize() (StarMateAppReally kt:247)_x000D_
11 22 06:53:07 620  9363  9363 I fstarbrokertes:   at void com fangstar starmate StarMateAppReally install(android app Application) (StarMateAppReally kt:152)_x000D_
11 22 06:53:07 620  9363  9363 I fstarbrokertes:   at void com fangstar tinker StarMateApplicationLike onCreate() (StarMateApplicationLike kt:56)_x000D_
11 22 06:53:07 620  9363  9363 I fstarbrokertes:   at void com tencent tinker entry TinkerApplicationInlineFence handleMessageImpl(android os Message) (TinkerApplicationInlineFence java:76)_x000D_
11 22 06:53:07 620  9363  9363 I fstarbrokertes:   at void com tencent tinker entry TinkerApplicationInlineFence handleMessage  noinline (android os Message) (TinkerApplicationInlineFence java:60)_x000D_
11 22 06:53:07 620  9363  9363 I fstarbrokertes:   at void com tencent tinker entry TinkerApplicationInlineFence handleMessage(android os Message) (TinkerApplicationInlineFence java:53)_x000D_
11 22 06:53:07 620  9363  9363 I fstarbrokertes:   at void com tencent tinker loader app TinkerInlineFenceAction callOnCreate(android os Handler) (TinkerInlineFenceAction java:57)_x000D_
11 22 06:53:07 620  9363  9363 I fstarbrokertes:   at void com tencent tinker loader app TinkerApplication onCreate() (TinkerApplication java:189)_x000D_
11 22 06:53:07 620  9363  9363 I fstarbrokertes:   at void android app Instrumentation callApplicationOnCreate(android app Application) (Instrumentation java:1154)_x000D_
11 22 06:53:07 620  9363  9363 I fstarbrokertes:   at void android app ActivityThread handleBindApplication(android app ActivityThread AppBindData) (ActivityThread java:5871)_x000D_
11 22 06:53:07 620  9363  9363 I fstarbrokertes:   at void android app ActivityThread access 1100(android app ActivityThread  android app ActivityThread AppBindData) (ActivityThread java:199)_x000D_
11 22 06:53:07 620  9363  9363 I fstarbrokertes:   at void android app ActivityThread H handleMessage(android os Message) (ActivityThread java:1650)_x000D_
11 22 06:53:07 620  9363  9363 I fstarbrokertes:   at void android os Handler dispatchMessage(android os Message) (Handler java:106)_x000D_
11 22 06:53:07 620  9363  9363 I fstarbrokertes:   at void android os Looper loop() (Looper java:193)_x000D_
11 22 06:53:07 620  9363  9363 I fstarbrokertes:   at void android app ActivityThread main(java lang String  ) (ActivityThread java:6669)_x000D_
11 22 06:53:07 620  9363  9363 I fstarbrokertes:   at java lang Object java lang reflect Method invoke(java lang Object  java lang Object  ) (Method java: 2)_x000D_
11 22 06:53:07 620  9363  9363 I fstarbrokertes:   at void com android internal os RuntimeInit MethodAndArgsCaller run() (RuntimeInit java:493)_x000D_
11 22 06:53:07 621  9363  9363 I fstarbrokertes:   at void com android internal os ZygoteInit main(java lang String  ) (ZygoteInit java:858)_x000D_
11 22 06:53:07 621  9363  9363 I fstarbrokertes: _x000D_
11 22 06:53:07 621  9363  9363 I fstarbrokertes: Rejecting re init on previously failed class java lang Class com didichuxing doraemonkit aop map AMapLocationListenerProxy : java lang NoClassDefFoundError: Failed resolution of: Lcom amap api location AMapLocationListener _x000D_
11 22 06:53:07 621  9363  9363 I fstarbrokertes:   at void com didichuxing doraemonkit aop map BDAbsLocationListenerProxy  init (com baidu location BDAbstractLocationListener) (BDAbsLocationListenerProxy java:22)_x000D_
11 22 06:53:07 621  9363  9363 I fstarbrokertes:   at void com baidu location LocationClient registerLocationListener(com baidu location BDAbstractLocationListener) ((null): 1)_x000D_
11 22 06:53:07 621  9363  9363 I fstarbrokertes:   at void com yh location LocationService init(com baidu location BDAbstractLocationListener) (LocationService kt:44)_x000D_
11 22 06:53:07 621  9363  9363 I fstarbrokertes:   at void com yh location LocationManager init() (LocationManager kt:111)_x000D_
11 22 06:53:07 621  9363  9363 I fstarbrokertes:   at void com yh appinject InjectHelper register(com yh appinject IBaseAppInject) (InjectHelper kt:61)_x000D_
11 22 06:53:07 621  9363  9363 I fstarbrokertes:   at void com fangstar starmate StarMateAppReally initialize() (StarMateAppReally kt:247)_x000D_
11 22 06:53:07 621  9363  9363 I fstarbrokertes:   at void com fangstar starmate StarMateAppReally install(android app Application) (StarMateAppReally kt:152)_x000D_
11 22 06:53:07 621  9363  9363 I fstarbrokertes:   at void com fangstar tinker StarMateApplicationLike onCreate() (StarMateApplicationLike kt:56)_x000D_
11 22 06:53:07 621  9363  9363 I fstarbrokertes:   at void com tencent tinker entry TinkerApplicationInlineFence handleMessageImpl(android os Message) (TinkerApplicationInlineFence java:76)_x000D_
11 22 06:53:07 621  9363  9363 I fstarbrokertes:   at void com tencent tinker entry TinkerApplicationInlineFence handleMessage  noinline (android os Message) (TinkerApplicationInlineFence java:60)_x000D_
11 22 06:53:07 621  9363  9363 I fstarbrokertes:   at void com tencent tinker entry TinkerApplicationInlineFence handleMessage(android os Message) (TinkerApplicationInlineFence java:53)_x000D_
11 22 06:53:07 621  9363  9363 I fstarbrokertes:   at void com tencent tinker loader app TinkerInlineFenceAction callOnCreate(android os Handler) (TinkerInlineFenceAction java:57)_x000D_
11 22 06:53:07 621  9363  9363 I fstarbrokertes:   at void com tencent tinker loader app TinkerApplication onCreate() (TinkerApplication java:189)_x000D_
11 22 06:53:07 621  9363  9363 I fstarbrokertes:   at void android app Instrumentation callApplicationOnCreate(android app Application) (Instrumentation java:1154)_x000D_
11 22 06:53:07 622  9363  9363 I fstarbrokertes:   at void android app ActivityThread handleBindApplication(android app ActivityThread AppBindData) (ActivityThread java:5871)_x000D_
11 22 06:53:07 622  9363  9363 I fstarbrokertes:   at void android app ActivityThread access 1100(android app ActivityThread  android app ActivityThread AppBindData) (ActivityThread java:199)_x000D_
11 22 06:53:07 622  9363  9363 I fstarbrokertes:   at void android app ActivityThread H handleMessage(android os Message) (ActivityThread java:1650)_x000D_
11 22 06:53:07 622  9363  9363 I fstarbrokertes:   at void android os Handler dispatchMessage(android os Message) (Handler java:106)_x000D_
11 22 06:53:07 622  9363  9363 I fstarbrokertes:   at void android os Looper loop() (Looper java:193)_x000D_
11 22 06:53:07 622  9363  9363 I fstarbrokertes:   at void android app ActivityThread main(java lang String  ) (ActivityThread java:6669)_x000D_
11 22 06:53:07 622  9363  9363 I fstarbrokertes:   at java lang Object java lang reflect Method invoke(java lang Object  java lang Object  ) (Method java: 2)_x000D_
11 22 06:53:07 622  9363  9363 I fstarbrokertes:   at void com android internal os RuntimeInit MethodAndArgsCaller run() (RuntimeInit java:493)_x000D_
11 22 06:53:07 622  9363  9363 I fstarbrokertes:   at void com android internal os ZygoteInit main(java lang String  ) (ZygoteInit java:858)_x000D_
11 22 06:53:07 622  9363  9363 I fstarbrokertes: Caused by: java lang ClassNotFoundException: Didn t find class  com amap api location AMapLocationListener  on path: DexPathList  zip file   system framework org apache http legacy boot jar   zip file   data app com fangstar fstarbrokertest KDAVVZiKuMGZo2FJ7UoJsA   base apk   nativeLibraryDirectories   data app com fangstar fstarbrokertest KDAVVZiKuMGZo2FJ7UoJsA   lib x86   data app com fangstar fstarbrokertest KDAVVZiKuMGZo2FJ7UoJsA   base apk  lib x86   system lib  _x000D_
11 22 06:53:07 622  9363  9363 I fstarbrokertes:   at java lang Class dalvik system BaseDexClassLoader findClass(java lang String) (BaseDexClassLoader java:134)_x000D_
11 22 06:53:07 622  9363  9363 I fstarbrokertes:   at java lang Class java lang ClassLoader loadClass(java lang String  boolean) (ClassLoader java:379)_x000D_
11 22 06:53:07 622  9363  9363 I fstarbrokertes:   at java lang Class java lang ClassLoader loadClass(java lang String) (ClassLoader java:312)_x000D_
11 22 06:53:07 622  9363  9363 I fstarbrokertes:   at void com didichuxing doraemonkit aop map BDAbsLocationListenerProxy  init (com baidu location BDAbstractLocationListener) (BDAbsLocationListenerProxy java:22)_x000D_
11 22 06:53:07 622  9363  9363 I fstarbrokertes:   at void com baidu location LocationClient registerLocationListener(com baidu location BDAbstractLocationListener) ((null): 1)_x000D_
11 22 06:53:07 622  9363  9363 I fstarbrokertes:   at void com yh location LocationService init(com baidu location BDAbstractLocationListener) (LocationService kt:44)_x000D_
11 22 06:53:07 622  9363  9363 I fstarbrokertes:   at void com yh location LocationManager init() (LocationManager kt:111)_x000D_
11 22 06:53:07 622  9363  9363 I fstarbrokertes:   at void com yh appinject InjectHelper register(com yh appinject IBaseAppInject) (InjectHelper kt:61)_x000D_
11 22 06:53:07 622  9363  9363 I fstarbrokertes:   at void com fangstar starmate StarMateAppReally initialize() (StarMateAppReally kt:247)_x000D_
11 22 06:53:07 622  9363  9363 I fstarbrokertes:   at void com fangstar starmate StarMateAppReally install(android app Application) (StarMateAppReally kt:152)_x000D_
11 22 06:53:07 622  9363  9363 I fstarbrokertes:   at void com fangstar tinker StarMateApplicationLike onCreate() (StarMateApplicationLike kt:56)_x000D_
11 22 06:53:07 622  9363  9363 I fstarbrokertes:   at void com tencent tinker entry TinkerApplicationInlineFence handleMessageImpl(android os Message) (TinkerApplicationInlineFence java:76)_x000D_
11 22 06:53:07 622  9363  9363 I fstarbrokertes:   at void com tencent tinker entry TinkerApplicationInlineFence handleMessage  noinline (android os Message) (TinkerApplicationInlineFence java:60)_x000D_
11 22 06:53:07 622  9363  9363 I fstarbrokertes:   at void com tencent tinker entry TinkerApplicationInlineFence handleMessage(android os Message) (TinkerApplicationInlineFence java:53)_x000D_
11 22 06:53:07 622  9363  9363 I fstarbrokertes:   at void com tencent tinker loader app TinkerInlineFenceAction callOnCreate(android os Handler) (TinkerInlineFenceAction java:57)_x000D_
11 22 06:53:07 622  9363  9363 I fstarbrokertes:   at void com tencent tinker loader app TinkerApplication onCreate() (TinkerApplication java:189)_x000D_
11 22 06:53:07 622  9363  9363 I fstarbrokertes:   at void android app Instrumentation callApplicationOnCreate(android app Application) (Instrumentation java:1154)_x000D_
11 22 06:53:07 622  9363  9363 I fstarbrokertes:   at void android app ActivityThread handleBindApplication(android app ActivityThread AppBindData) (ActivityThread java:5871)_x000D_
11 22 06:53:07 622  9363  9363 I fstarbrokertes:   at void android app ActivityThread access 1100(android app ActivityThread  android app ActivityThread AppBindData) (ActivityThread java:199)_x000D_
11 22 06:53:07 622  9363  9363 I fstarbrokertes:   at void android app ActivityThread H handleMessage(android os Message) (ActivityThread java:1650)_x000D_
11 22 06:53:07 622  9363  9363 I fstarbrokertes:   at void android os Handler dispatchMessage(android os Message) (Handler java:106)_x000D_
11 22 06:53:07 622  9363  9363 I fstarbrokertes:   at void android os Looper loop() (Looper java:193)_x000D_
11 22 06:53:07 622  9363  9363 I fstarbrokertes:   at void android app ActivityThread main(java lang String  ) (ActivityThread java:6669)_x000D_
11 22 06:53:07 623  9363  9363 I fstarbrokertes:   at java lang Object java lang reflect Method invoke(java lang Object  java lang Object  ) (Method java: 2)_x000D_
11 22 06:53:07 623  9363  9363 I fstarbrokertes:   at void com android internal os RuntimeInit MethodAndArgsCaller run() (RuntimeInit java:493)_x000D_
11 22 06:53:07 623  9363  9363 I fstarbrokertes:   at void com android internal os ZygoteInit main(java lang String  ) (ZygoteInit java:858)_x000D_
11 22 06:53:07 623  9363  9363 I fstarbrokertes: _x000D_
11 22 06:53:07 623  9363  9363 I fstarbrokertes: Rejecting re init on previously failed class java lang Class com didichuxing doraemonkit aop map AMapLocationChangedListenerProxy : java lang NoClassDefFoundError: Failed resolution of: Lcom amap api maps LocationSource OnLocationChangedListener _x000D_
11 22 06:53:07 623  9363  9363 I fstarbrokertes:   at void com didichuxing doraemonkit aop map BDAbsLocationListenerProxy  init (com baidu location BDAbstractLocationListener) (BDAbsLocationListenerProxy java:22)_x000D_
11 22 06:53:07 623  9363  9363 I fstarbrokertes:   at void com baidu location LocationClient registerLocationListener(com baidu location BDAbstractLocationListener) ((null): 1)_x000D_
11 22 06:53:07 623  9363  9363 I fstarbrokertes:   at void com yh location LocationService init(com baidu location BDAbstractLocationListener) (LocationService kt:44)_x000D_
11 22 06:53:07 623  9363  9363 I fstarbrokertes:   at void com yh location LocationManager init() (LocationManager kt:111)_x000D_
11 22 06:53:07 623  9363  9363 I fstarbrokertes:   at void com yh appinject InjectHelper register(com yh appinject IBaseAppInject) (InjectHelper kt:61)_x000D_
11 22 06:53:07 623  9363  9363 I fstarbrokertes:   at void com fangstar starmate StarMateAppReally initialize() (StarMateAppReally kt:247)_x000D_
11 22 06:53:07 624  9363  9363 I fstarbrokertes:   at void com fangstar starmate StarMateAppReally install(android app Application) (StarMateAppReally kt:152)_x000D_
11 22 06:53:07 624  9363  9363 I fstarbrokertes:   at void com fangstar tinker StarMateApplicationLike onCreate() (StarMateApplicationLike kt:56)_x000D_
11 22 06:53:07 624  9363  9363 I fstarbrokertes:   at void com tencent tinker entry TinkerApplicationInlineFence handleMessageImpl(android os Message) (TinkerApplicationInlineFence java:76)_x000D_
11 22 06:53:07 624  9363  9363 I fstarbrokertes:   at void com tencent tinker entry TinkerApplicationInlineFence handleMessage  noinline (android os Message) (TinkerApplicationInlineFence java:60)_x000D_
11 22 06:53:07 624  9363  9363 I fstarbrokertes:   at void com tencent tinker entry TinkerApplicationInlineFence handleMessage(android os Message) (TinkerApplicationInlineFence java:53)_x000D_
11 22 06:53:07 624  9363  9363 I fstarbrokertes:   at void com tencent tinker loader app TinkerInlineFenceAction callOnCreate(android os Handler) (TinkerInlineFenceAction java:57)_x000D_
11 22 06:53:07 624  9363  9363 I fstarbrokertes:   at void com tencent tinker loader app TinkerApplication onCreate() (TinkerApplication java:189)_x000D_
11 22 06:53:07 624  9363  9363 I fstarbrokertes:   at void android app Instrumentation callApplicationOnCreate(android app Application) (Instrumentation java:1154)_x000D_
11 22 06:53:07 624  9363  9363 I fstarbrokertes:   at void android app ActivityThread handleBindApplication(android app ActivityThread AppBindData) (ActivityThread java:5871)_x000D_
11 22 06:53:07 624  9363  9363 I fstarbrokertes:   at void android app ActivityThread access 1100(android app ActivityThread  android app ActivityThread AppBindData) (ActivityThread java:199)_x000D_
11 22 06:53:07 624  9363  9363 I fstarbrokertes:   at void android app ActivityThread H handleMessage(android os Message) (ActivityThread java:1650)_x000D_
11 22 06:53:07 624  9363  9363 I fstarbrokertes:   at void android os Handler dispatchMessage(android os Message) (Handler java:106)_x000D_
11 22 06:53:07 624  9363  9363 I fstarbrokertes:   at void android os Looper loop() (Looper java:193)_x000D_
11 22 06:53:07 624  9363  9363 I fstarbrokertes:   at void android app ActivityThread main(java lang String  ) (ActivityThread java:6669)_x000D_
11 22 06:53:07 624  9363  9363 I fstarbrokertes:   at java lang Object java lang reflect Method invoke(java lang Object  java lang Object  ) (Method java: 2)_x000D_
11 22 06:53:07 624  9363  9363 I fstarbrokertes:   at void com android internal os RuntimeInit MethodAndArgsCaller run() (RuntimeInit java:493)_x000D_
11 22 06:53:07 624  9363  9363 I fstarbrokertes:   at void com android internal os ZygoteInit main(java lang String  ) (ZygoteInit java:858)_x000D_
11 22 06:53:07 624  9363  9363 I fstarbrokertes: Caused by: java lang ClassNotFoundException: Didn t find class  com amap api maps LocationSource OnLocationChangedListener  on path: DexPathList  zip file   system framework org apache http legacy boot jar   zip file   data app com fangstar fstarbrokertest KDAVVZiKuMGZo2FJ7UoJsA   base apk   nativeLibraryDirectories   data app com fangstar fstarbrokertest KDAVVZiKuMGZo2FJ7UoJsA   lib x86   data app com fangstar fstarbrokertest KDAVVZiKuMGZo2FJ7UoJsA   base apk  lib x86   system lib  _x000D_
11 22 06:53:07 624  9363  9363 I fstarbrokertes:   at java lang Class dalvik system BaseDexClassLoader findClass(java lang String) (BaseDexClassLoader java:134)_x000D_
11 22 06:53:07 624  9363  9363 I fstarbrokertes:   at java lang Class java lang ClassLoader loadClass(java lang String  boolean) (ClassLoader java:379)_x000D_
11 22 06:53:07 624  9363  9363 I fstarbrokertes:   at java lang Class java lang ClassLoader loadClass(java lang String) (ClassLoader java:312)_x000D_
11 22 06:53:07 624  9363  9363 I fstarbrokertes:   at void com didichuxing doraemonkit aop map BDAbsLocationListenerProxy  init (com baidu location BDAbstractLocationListener) (BDAbsLocationListenerProxy java:22)_x000D_
11 22 06:53:07 624  9363  9363 I fstarbrokertes:   at void com baidu location LocationClient registerLocationListener(com baidu location BDAbstractLocationListener) ((null): 1)_x000D_
11 22 06:53:07 624  9363  9363 I fstarbrokertes:   at void com yh location LocationService init(com baidu location BDAbstractLocationListener) (LocationService kt:44)_x000D_
11 22 06:53:07 624  9363  9363 I fstarbrokertes:   at void com yh location LocationManager init() (LocationManager kt:111)_x000D_
11 22 06:53:07 624  9363  9363 I fstarbrokertes:   at void com yh appinject InjectHelper register(com yh appinject IBaseAppInject) (InjectHelper kt:61)_x000D_
11 22 06:53:07 624  9363  9363 I fstarbrokertes:   at void com fangstar starmate StarMateAppReally initialize() (StarMateAppReally kt:247)_x000D_
11 22 06:53:07 624  9363  9363 I fstarbrokertes:   at void com fangstar starmate StarMateAppReally install(android app Application) (StarMateAppReally kt:152)_x000D_
11 22 06:53:07</t>
  </si>
  <si>
    <t>PojavLauncherTeam-PojavLauncher-2263</t>
  </si>
  <si>
    <t xml:space="preserve">[BUG] VirGL does not start shaders </t>
  </si>
  <si>
    <t xml:space="preserve">    Describe the bug
When you run on VirGL shaders  even the weakest game freezes and crashes  
    The log file and images videos
 No response 
    Steps To Reproduce
   markdown
1  Start by Pojavlauncher_x000D_
2 I chose a render on VirGL_x000D_
3 Allocated 1 5GB of RAM _x000D_
4 launched minecraft 1 16 5 optifine _x000D_
5 I chose the shader I needed (tea shaders) and at this point the game froze and crashed 
    Expected Behavior
I expected shaders to start
    Platform
   markdown
  Device model: honor 9c 4 64_x000D_
  CPU architecture: aarch 64 _x000D_
  Android version: 10_x000D_
  PojavLauncher version: 3e5f04a v3 openjdk
    Anything else 
 No response </t>
  </si>
  <si>
    <t>PojavLauncherTeam-PojavLauncher-2261</t>
  </si>
  <si>
    <t>Hot to fix Sodium &amp; Dynamic Surrounding bugs</t>
  </si>
  <si>
    <t xml:space="preserve">      Mod List :  _x000D_
1  Sodium (not the newest version)_x000D_
2  Dynamic Surrounding 1 12_x000D_
_x000D_
      Known Bug :  _x000D_
  Sodium  _x000D_
  Crashes  Chunks bug  etc_x000D_
_x000D_
  Dynamic Surrounding  _x000D_
  Effect bug (white textures)_x000D_
_x000D_
      How To Fix :   _x000D_
_x000D_
  Sodium  _x000D_
_x000D_
  turn off  Compact Vertex Format  (caused crash  if on )_x000D_
  turn off  Fog  Occlusion  (chunks will glitch  if on )_x000D_
  use  open gl 3 0  (in sodium s settings)_x000D_
_x000D_
  Dynamic Surrounding  _x000D_
_x000D_
  turn off all effect  fireflies   footsteps   etc </t>
  </si>
  <si>
    <t>Anuken-Mindustry-6351</t>
  </si>
  <si>
    <t>Unit icons getting missing on Serpulo</t>
  </si>
  <si>
    <t xml:space="preserve">  Platform  :  Android _x000D_
_x000D_
  Build  :  134 1 _x000D_
_x000D_
  Issue  : You can have custom sector icon as symbol  building  item  liquid or unit  After closing and opening the game all units  icons are missing _x000D_
_x000D_
  Steps to reproduce  : Set sector icon as unit  Close the game  Open the game  That icon is missing _x000D_
  Screenshot 2021 11 20 16 38 55 751 io anuke mindustry (https:  user images githubusercontent com 33349024 142732590 a85ea129 e7bd 4cb8 91ce 9c9b27d67b80 jpg)_x000D_
  Screenshot 2021 11 20 16 39 27 247 io anuke mindustry (https:  user images githubusercontent com 33349024 142732597 6416aa67 0cd7 4a81 bcb6 c2c476a9173e jpg)_x000D_
_x000D_
_x000D_
_x000D_
  Link(s) to mod(s) used  : _x000D_
  IMG 20211120 164014 (https:  user images githubusercontent com 33349024 142732581 f62d6fa2 7c5c 480d 8465 b5fd329a9494 jpg)_x000D_
_x000D_
_x000D_
  Save file  : https:  drive google com file d 1tjBAZbVAiCMiOHMt3vdvfBNtZ Vox9ZW view usp drivesdk_x000D_
_x000D_
  (Crash) logs  : No crash this time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</si>
  <si>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TeamNewPipe-NewPipe-7427</t>
  </si>
  <si>
    <t>Video progress resets when switching to popup/background and viceversa</t>
  </si>
  <si>
    <t xml:space="preserve">  Workaround: https:  github com TeamNewPipe NewPipe issues 7427 issuecomment 1014762780_x000D_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 video_x000D_
2  Watch if for some minutes in portrait mode_x000D_
3  Switch to popup or background_x000D_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video progress will reset to either the start or the video or the last timestamp you paused it  The opposite is also true (especially switching from background to main player)  I have auto rotate disabled  if it can help _x000D_
_x000D_
_x000D_
    Expected behavior_x000D_
     Tell us what you expect to happen     _x000D_
The video should progress from the same point (or 1 2 seconds before)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github com TeamNewPipe NewPipe issues 7427 issuecomment 97482348_x000D_
(change resolution if video freezes)_x000D_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11_x000D_
   Device model: LM V500EM (LG V50 ThinQ 5G)_x000D_
</t>
  </si>
  <si>
    <t>nextcloud-android-9324</t>
  </si>
  <si>
    <t>Crash when opening settings for calender and contact backup</t>
  </si>
  <si>
    <t xml:space="preserve">    Steps to reproduce_x000D_
1  Open the settings for contact and calendar backup repeatly_x000D_
2  _x000D_
3  _x000D_
_x000D_
    Expected behaviour_x000D_
  see buttons for doing the backup now and restoring _x000D_
_x000D_
    Actual behaviour_x000D_
  only the button for doing the backup ist show  or_x000D_
  the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CAUSE OF ERROR             _x000D_
_x000D_
java lang NullPointerException: Attempt to read from field  com google android material button MaterialButton com owncloud android databinding BackupFragmentBinding contactsDatepicker  on a null object reference_x000D_
	at com owncloud android ui fragment contactsbackup BackupFragment 1 onPostExecute(BackupFragment java:281)_x000D_
	at com owncloud android ui fragment contactsbackup BackupFragment 1 onPostExecute(BackupFragment java:252)_x000D_
	at android os AsyncTask finish(AsyncTask java:771)_x000D_
	at android os AsyncTask access 900(AsyncTask java:199)_x000D_
	at android os AsyncTask InternalHandler handleMessage(AsyncTask java:788)_x000D_
	at android os Handler dispatchMessage(Handler java:106)_x000D_
	at android os Looper loop(Looper java:246)_x000D_
	at android app ActivityThread main(ActivityThread java:8633)_x000D_
	at java lang reflect Method invoke(Native Method)_x000D_
	at com android internal os RuntimeInit MethodAndArgsCaller run(RuntimeInit java:602)_x000D_
	at com android internal os ZygoteInit main(ZygoteInit java:1130)_x000D_
_x000D_
             APP INFORMATION             _x000D_
ID: com nextcloud client_x000D_
Version: 30180090_x000D_
Build flavor: gplay_x000D_
_x000D_
</t>
  </si>
  <si>
    <t>inaturalist-iNaturalistAndroid-1152</t>
  </si>
  <si>
    <t>SQLiteCantOpenDatabaseException in ObservationViewerFragment (too many files)</t>
  </si>
  <si>
    <t xml:space="preserve">https:  console firebase google com u 1 project inaturalist ios crashlytics app android:org inaturalist android issues 587fbace9ceab65a031f318530fce834_x000D_
_x000D_
Maybe related to https:  github com inaturalist iNaturalistAndroid issues 1131_x000D_
_x000D_
   _x000D_
Fatal Exception: android database sqlite SQLiteCantOpenDatabaseException: unable to open database file (code 2062)_x000D_
                                                                 _x000D_
Error Code : 2062 (SQLITE CANTOPEN EMFILE)_x000D_
Caused By : Application has opened two many files  Maximum of available file descriptors in one process is 1024 in default _x000D_
	(unable to open database file (code 2062))_x000D_
                                                                 _x000D_
       at android database sqlite SQLiteConnection nativeExecuteForCursorWindow(SQLiteConnection java)_x000D_
       at android database sqlite SQLiteConnection executeForCursorWindow(SQLiteConnection java:980)_x000D_
       at android database sqlite SQLiteSession executeForCursorWindow(SQLiteSession java:836)_x000D_
       at android database sqlite SQLiteQuery fillWindow(SQLiteQuery java:62)_x000D_
       at android database sqlite SQLiteCursor fillWindow(SQLiteCursor java:143)_x000D_
       at android database sqlite SQLiteCursor getCount(SQLiteCursor java:132)_x000D_
       at android content ContentResolver query(ContentResolver java:521)_x000D_
       at android content ContentResolver query(ContentResolver java:445)_x000D_
       at org inaturalist android ObservationViewerFragment PhotosViewPagerAdapter  init (ObservationViewerFragment java:383)_x000D_
       at org inaturalist android ObservationViewerFragment reloadPhotos(ObservationViewerFragment java:3075)_x000D_
       at org inaturalist android ObservationViewerFragment access 200(ObservationViewerFragment java:114)_x000D_
   </t>
  </si>
  <si>
    <t>PojavLauncherTeam-PojavLauncher-2258</t>
  </si>
  <si>
    <t>While playing like 10 min on pojav lastest version app just crashes it freezes on gray screen and makes you to login again it just puts you back at login screen pls fix it</t>
  </si>
  <si>
    <t xml:space="preserve">    Describe the bug
Just crashes randomly
    The log file and images videos
 No response 
    Steps To Reproduce
   markdown
    Expected Behavior
    Platform
   markdown
  Device model: _x000D_
  CPU architecture: _x000D_
  Android version: _x000D_
  PojavLauncher version: _x000D_
    Anything else 
 </t>
  </si>
  <si>
    <t>MuntashirAkon-AppManager-631</t>
  </si>
  <si>
    <t>SSAID  not shown up in Android 12</t>
  </si>
  <si>
    <t xml:space="preserve">    _x000D_
Your issue will be closed without warning if you don t check at least two items _x000D_
   _x000D_
   x  I know what my device  OS and App Manager versions are_x000D_
      I know how to take logs_x000D_
      I know how to reproduce the issue which may not be specific to my device_x000D_
_x000D_
  Describe the bug  _x000D_
A clear and concise description of what the bug is _x000D_
_x000D_
  To Reproduce  _x000D_
Steps to reproduce the behaviour:_x000D_
1  Go to      _x000D_
2  Click on       _x000D_
3  Scroll down to       _x000D_
4  See error_x000D_
_x000D_
  Expected behavior  _x000D_
A clear and concise description of what you expected to happen _x000D_
_x000D_
  Screenshots  _x000D_
If applicable  add screenshots to help explain your problem _x000D_
_x000D_
  Crash logs  _x000D_
If applicable  add crash logs to help us figure out the problem _x000D_
_x000D_
  Device info  _x000D_
   Device:  e g  One Plus 8 Pro _x000D_
   OS Version:  e g  Android 10 _x000D_
   App Manager Version:  e g  v2 5 13 _x000D_
   Mode: root adb no root_x000D_
_x000D_
  Additional context  _x000D_
Add any other context about the problem here _x000D_
</t>
  </si>
  <si>
    <t>TeamNewPipe-NewPipe-7425</t>
  </si>
  <si>
    <t>Source strings consistency improvement: avoid using `append`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</si>
  <si>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I made a  comment (https:  hosted weblate org translate newpipe strings en  checksum e602cbe9da8e40b3) on Weblate but nobody reacts to it   So I file an issue here _x000D_
_x000D_
    Steps to reproduce the bug_x000D_
    _x000D_
_x000D_
   _x000D_
Just about source string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Source string including  append :_x000D_
Used in Settings   Appearance    Show  Hold to append  tip  option_x000D_
 Show  Hold to append  tip _x000D_
https:  github com TeamNewPipe NewPipe blob bd9dcfb28aaf42e7bc4619c1ef88c0230ecbe6cf app src main res values strings xml L125_x000D_
_x000D_
But the corresponding string is  Hold to enqueue  _x000D_
https:  github com TeamNewPipe NewPipe blob bd9dcfb28aaf42e7bc4619c1ef88c0230ecbe6cf app src main res values strings xml L415_x000D_
_x000D_
    _x000D_
_x000D_
Used in Settings   Video and audio    Auto queue next stream  option_x000D_
https:  github com TeamNewPipe NewPipe blob bd9dcfb28aaf42e7bc4619c1ef88c0230ecbe6cf app src main res values strings xml L100_x000D_
_x000D_
    Expected behavior_x000D_
     Tell us what you expect to happen     _x000D_
Use  enqueue  instead_x000D_
 Hold to enqueue _x000D_
https:  github com TeamNewPipe NewPipe blob bd9dcfb28aaf42e7bc4619c1ef88c0230ecbe6cf app src main res values strings xml L415_x000D_
_x000D_
BTW   6469 needs attention  The duplicate Simplified Chinese translation should be removed: https:  github com TeamNewPipe NewPipe issues 6469 issuecomment 946335063_x000D_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9 MIUI 10 9 9 3_x000D_
   Device model: Mi 8</t>
  </si>
  <si>
    <t>TeamNewPipe-NewPipe-7424</t>
  </si>
  <si>
    <t>Onlongclick, got a nullpointer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</si>
  <si>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Swipe to my subscription  _x000D_
2  click into lasted updated video  open one  when it load slowly  close wifi _x000D_
3   long touched upper position of screen _x000D_
4   back to last fragment  long click any video  crash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Crash _x000D_
_x000D_
_x000D_
    Expected behavior_x000D_
     Tell us what you expect to happen     _x000D_
  crash_x000D_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CN_x000D_
    Content Language:   zh CN_x000D_
    App Language:   zh CN_x000D_
    Service:   none_x000D_
    Version:   0 21 13_x000D_
    OS:   Linux Android 8 0 0   26_x000D_
 details  summary  b Crash log   b   summary  p _x000D_
_x000D_
   _x000D_
java lang NullPointerException: Attempt to invoke virtual method  int org schabi newpipe player playqueue PlayQueue size()  on a null object reference_x000D_
	at org schabi newpipe player helper PlayerHolder getQueueSize(PlayerHolder java:74)_x000D_
	at org schabi newpipe local feed FeedFragment showStreamDialog(FeedFragment kt:331)_x000D_
	at org schabi newpipe local feed FeedFragment access showStreamDialog(FeedFragment kt:80)_x000D_
	at org schabi newpipe local feed FeedFragment listenerStreamItem 1 onItemLongClick(FeedFragment kt:390)_x000D_
	at com xwray groupie GroupieViewHolder 2 onLongClick(GroupieViewHolder java:32)_x000D_
	at android view View performLongClickInternal(View java:6340)_x000D_
	at android view View performLongClick(View java:6298)_x000D_
	at android view View performLongClick(View java:6316)_x000D_
	at android view View CheckForLongPress run(View java:24694)_x000D_
	at android os Handler handleCallback(Handler java:789)_x000D_
	at android os Handler dispatchMessage(Handler java:98)_x000D_
	at android os Looper loop(Looper java:164)_x000D_
	at android app ActivityThread main(ActivityThread java:6590)_x000D_
	at java lang reflect Method invoke(Native Method)_x000D_
	at com android internal os Zygote MethodAndArgsCaller run(Zygote java:240)_x000D_
	at com android internal os ZygoteInit main(ZygoteInit java:779)_x000D_
_x000D_
   _x000D_
  details _x000D_
 hr _x000D_
_x000D_
     That s right  here     _x000D_
_x000D_
_x000D_
_x000D_
     Please fill this section if you did not provide a log generated by NewPipe    _x000D_
_x000D_
    Device info_x000D_
_x000D_
   Android version Custom ROM version:android 8 0 0_x000D_
   Device model: sharp  fs8010_x000D_
_x000D_
</t>
  </si>
  <si>
    <t>mh--corona-warn-companion-android-133</t>
  </si>
  <si>
    <t>OutOfMemoryError while opening exposure.db from CCTG</t>
  </si>
  <si>
    <t xml:space="preserve">Hi since today the app crashes one minute after I export the exposure db from the CCTG app  Yesterday everything was fine _x000D_
I captured the moment in ADB logcat  I have 5400 tokens  I that too much _x000D_
_x000D_
Restarting the app  the phone had no effect  _x000D_
_x000D_
_x000D_
 log txt (https:  github com mh  corona warn companion android files 7571434 log txt)_x000D_
_x000D_
_x000D_
</t>
  </si>
  <si>
    <t>PojavLauncherTeam-PojavLauncher-2256</t>
  </si>
  <si>
    <t>Pojavlauncher latest version:  3e5f04a v3_openjdk crash in 1.7.10</t>
  </si>
  <si>
    <t xml:space="preserve">    Describe the bug_x000D_
_x000D_
Example: Application exited with code 1_x000D_
_x000D_
_x000D_
_x000D_
    The log file and images videos_x000D_
_x000D_
 latestlog txt (https:  github com PojavLauncherTeam PojavLauncher files 7571073 latestlog txt)_x000D_
_x000D_
_x000D_
    Steps To Reproduce_x000D_
_x000D_
   markdown_x000D_
1 Start pojavlauncher_x000D_
2 launch minecraft 1 7 10_x000D_
3 play for 1 10 minute_x000D_
   _x000D_
_x000D_
_x000D_
    Expected Behavior_x000D_
_x000D_
Example: I launch the game then play and then crash in 1 10 minute _x000D_
_x000D_
    Platform_x000D_
_x000D_
   markdown_x000D_
  Device model: galaxy j2_x000D_
  CPU architecture: areech 32_x000D_
  Android version: 5 1 1_x000D_
  PojavLauncher version: _x000D_
 3e5f04a_x000D_
v3 openjdk_x000D_
   _x000D_
_x000D_
_x000D_
    Anything else _x000D_
_x000D_
Please fix this problem as soon as possible</t>
  </si>
  <si>
    <t>nextcloud-android-9321</t>
  </si>
  <si>
    <t>Share file to e2e encrypted folder</t>
  </si>
  <si>
    <t xml:space="preserve">    Steps to reproduce_x000D_
1  Share a file to NC on android_x000D_
2  Try to save the file in e2e encrypted folder_x000D_
3  App crashes_x000D_
_x000D_
Bug report from the app is below  _x000D_
_x000D_
             CAUSE OF ERROR             _x000D_
_x000D_
java lang NullPointerException: Attempt to invoke virtual method  boolean com owncloud android datamodel OCFile canWrite()  on a null object reference_x000D_
	at com owncloud android ui activity ReceiveExternalFilesActivity onCreateOptionsMenu(ReceiveExternalFilesActivity java:1040)_x000D_
	at android app Activity onCreatePanelMenu(Activity java:4206)_x000D_
	at androidx fragment app FragmentActivity onCreatePanelMenu(FragmentActivity java:287)_x000D_
	at androidx appcompat view WindowCallbackWrapper onCreatePanelMenu(WindowCallbackWrapper java:94)_x000D_
	at androidx appcompat app AppCompatDelegateImpl AppCompatWindowCallback onCreatePanelMenu(AppCompatDelegateImpl java:3084)_x000D_
	at androidx appcompat view WindowCallbackWrapper onCreatePanelMenu(WindowCallbackWrapper java:94)_x000D_
	at androidx appcompat app ToolbarActionBar populateOptionsMenu(ToolbarActionBar java:456)_x000D_
	at androidx appcompat app ToolbarActionBar 1 run(ToolbarActionBar java:57)_x000D_
	at android view Choreographer CallbackRecord run(Choreographer java:972)_x000D_
	at android view Choreographer doCallbacks(Choreographer java:796)_x000D_
	at android view Choreographer doFrame(Choreographer java:727)_x000D_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_x000D_
             APP INFORMATION             _x000D_
ID: com nextcloud client_x000D_
Version: 30170190_x000D_
Build flavor: generic_x000D_
_x000D_
             DEVICE INFORMATION             _x000D_
Brand: google_x000D_
Device: sargo_x000D_
Model: Pixel 3a_x000D_
Id: RQ3A 211001 001_x000D_
Product: sargo_x000D_
_x000D_
             FIRMWARE             _x000D_
SDK: 30_x000D_
Release: 11_x000D_
Incremental: 7641976_x000D_
_x000D_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</si>
  <si>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btcontract-wallet-112</t>
  </si>
  <si>
    <t>Crash on opening pending invoice details</t>
  </si>
  <si>
    <t xml:space="preserve">There are several pending invoices that I have  they might have already expired (I might have created them yesterday  don t remember the exact date and it s not displayed anywhere)  When I open any of them the app consistently crashes with the following log:_x000D_
   _x000D_
java lang IllegalArgumentException: Software rendering doesn t support hardware bitmaps_x000D_
	at android graphics BaseCanvas onHwBitmapInSwMode(BaseCanvas java:632)_x000D_
	at android graphics BaseCanvas throwIfHwBitmapInSwMode(BaseCanvas java:639)_x000D_
	at android graphics BaseCanvas throwIfCannotDraw(BaseCanvas java:73)_x000D_
	at android graphics BaseCanvas drawBitmap(BaseCanvas java:131)_x000D_
	at android graphics Canvas drawBitmap(Canvas java:1588)_x000D_
	at android graphics drawable BitmapDrawable draw(BitmapDrawable java:548)_x000D_
	at android widget ImageView onDraw(ImageView java:1429)_x000D_
	at android view View draw(View java:21482)_x000D_
	at android view View draw(View java:21356)_x000D_
	at android view ViewGroup drawChild(ViewGroup java:4391)_x000D_
	at android view ViewGroup dispatchDraw(ViewGroup java:4152)_x000D_
	at android view ViewOverlay OverlayViewGroup dispatchDraw(ViewOverlay java:254)_x000D_
	at android view View draw(View java:21491)_x000D_
	at android widget AbsListView draw(AbsListView java:4414)_x000D_
	at android view View draw(View java:21356)_x000D_
	at android view ViewGroup drawChild(ViewGroup java:4391)_x000D_
	at android view ViewGroup dispatchDraw(ViewGroup java:4152)_x000D_
	at android view View draw(View java:21354)_x000D_
	at android view ViewGroup drawChild(ViewGroup java:4391)_x000D_
	at android view ViewGroup dispatchDraw(ViewGroup java:4152)_x000D_
	at android view View draw(View java:21354)_x000D_
	at android view ViewGroup drawChild(ViewGroup java:4391)_x000D_
	at android view ViewGroup dispatchDraw(ViewGroup java:4152)_x000D_
	at android view View draw(View java:21354)_x000D_
	at android view ViewGroup drawChild(ViewGroup java:4391)_x000D_
	at android view ViewGroup dispatchDraw(ViewGroup java:4152)_x000D_
	at android view View draw(View java:21354)_x000D_
	at android view ViewGroup drawChild(ViewGroup java:4391)_x000D_
	at android view ViewGroup dispatchDraw(ViewGroup java:4152)_x000D_
	at android view View draw(View java:21354)_x000D_
	at android view ViewGroup drawChild(ViewGroup java:4391)_x000D_
	at android view ViewGroup dispatchDraw(ViewGroup java:4152)_x000D_
	at android view View draw(View java:21485)_x000D_
	at com android internal policy DecorView draw(DecorView java:826)_x000D_
	at com github mmin18 widget RealtimeBlurView 1 onPreDraw(RealtimeBlurView java:225)_x000D_
	at android view ViewTreeObserver dispatchOnPreDraw(ViewTreeObserver java:1088)_x000D_
	at android view ViewRootImpl performTraversals(ViewRootImpl java:2830)_x000D_
	at android view ViewRootImpl doTraversal(ViewRootImpl java:1800)_x000D_
	at android view ViewRootImpl TraversalRunnable run(ViewRootImpl java:7751)_x000D_
	at android view Choreographer CallbackRecord run(Choreographer java:967)_x000D_
	at android view Choreographer doCallbacks(Choreographer java:791)_x000D_
	at android view Choreographer doFrame(Choreographer java:726)_x000D_
	at android view Choreographer FrameDisplayEventReceiver run(Choreographer java:952)_x000D_
	at android os Handler handleCallback(Handler java:883)_x000D_
	at android os Handler dispatchMessage(Handler java:100)_x000D_
	at android os Looper loop(Looper java:241)_x000D_
	at android app ActivityThread main(ActivityThread java:7604)_x000D_
	at java lang reflect Method invoke(Native Method)_x000D_
	at com android internal os RuntimeInit MethodAndArgsCaller run(RuntimeInit java:492)_x000D_
	at com android internal os ZygoteInit main(ZygoteInit java:941)_x000D_
   _x000D_
It doesn t happen with the fresh invoices I created today  they open normally </t>
  </si>
  <si>
    <t>nextcloud-android-9313</t>
  </si>
  <si>
    <t>Crash on mp3 playback</t>
  </si>
  <si>
    <t xml:space="preserve">    Steps to reproduce_x000D_
1  Start playing an mp3 file with the apps media player (it does not matter if the file is downloaded or streamed)_x000D_
2  Pause playback and lock screen (or wait until it locks itself)_x000D_
3  Unlock phone and click play_x000D_
_x000D_
    Expected behaviour_x000D_
The playback should continue_x000D_
_x000D_
    Actual behaviour_x000D_
Toast message  the build in media player is unable to play the media file _x000D_
When clicking on  back   the app crashes (see exception below)_x000D_
_x000D_
_x000D_
    Environment data_x000D_
Android version: 11_x000D_
_x000D_
Device model:  Mi A3_x000D_
_x000D_
Stock or customized system: Stock Android One_x000D_
_x000D_
Nextcloud app version: 30170190_x000D_
_x000D_
Nextcloud server version: 22 2 0_x000D_
_x000D_
Reverse proxy:  _x000D_
_x000D_
    Logs_x000D_
_x000D_
   _x000D_
           CAUSE OF ERROR           _x000D_
_x000D_
android app RemoteServiceException: Context startForegroundService() did not then call Service startForeground(): ServiceRecord 7765573 u0 com nextcloud client  media PlayerService _x000D_
	at android app ActivityThread H handleMessage(ActivityThread java:2006)_x000D_
	at android os Handler dispatchMessage(Handler java:106)_x000D_
	at android os Looper loop(Looper java:223)_x000D_
	at android app ActivityThread main(ActivityThread java:7698)_x000D_
	at java lang reflect Method invoke(Native Method)_x000D_
	at com android internal os RuntimeInit MethodAndArgsCaller run(RuntimeInit java:592)_x000D_
	at com android internal os ZygoteInit main(ZygoteInit java:952)_x000D_
_x000D_
           APP INFORMATION           _x000D_
ID: com nextcloud client_x000D_
Version: 30170190_x000D_
Build flavor: generic_x000D_
_x000D_
           DEVICE INFORMATION           _x000D_
Brand: Xiaomi_x000D_
Device: laurel sprout_x000D_
Model: Mi A3_x000D_
Id: RKQ1 200903 002_x000D_
Product: laurel sprout eea_x000D_
_x000D_
           FIRMWARE           _x000D_
SDK: 30_x000D_
Release: 11_x000D_
Incremental: V12 0 13 0 RFQEUXM_x000D_
   _x000D_
_x000D_
</t>
  </si>
  <si>
    <t>OTTAA-Project-OTTAAProject-106</t>
  </si>
  <si>
    <t>Share Pictograms Pictures Bug</t>
  </si>
  <si>
    <t xml:space="preserve">  Describe the bug  _x000D_
This issue happens when the user tries to share a phrase such as a picture and a system no find one or more icons from the pictograms _x000D_
_x000D_
_x000D_
  To Reproduce  _x000D_
Steps to reproduce the behaviour:_x000D_
1  Go to the gallery_x000D_
2  Click on the search icon_x000D_
3  Search castle_x000D_
4  Click twice at the option_x000D_
5   repeat the steps again_x000D_
6  select the share button_x000D_
7  select the image icon_x000D_
8  select your favourite social media_x000D_
9  the app crash  _x000D_
_x000D_
  Expected behaviour  _x000D_
The system should be shown a download icon when the pictogram is empty _x000D_
_x000D_
</t>
  </si>
  <si>
    <t>PojavLauncherTeam-PojavLauncher-2254</t>
  </si>
  <si>
    <t>[BUG] Controllers not supported with Android 12</t>
  </si>
  <si>
    <t xml:space="preserve">    Describe the bug
Any Controller I try crashes the entire game after one single controller input  Everything else works just fine otherwise _x000D_
_x000D_
java lang NullPointerException: Attempt to invoke virtual method  void java lang reflect Field setInt(java lang Object  int)  on a null object reference_x000D_
	at net kdt pojavlaunch customcontrols gamepad GamepadDpad setDummyEventKeycode(GamepadDpad java:76)_x000D_
	at net kdt pojavlaunch customcontrols gamepad GamepadDpad convertEvent(GamepadDpad java:67)_x000D_
	at net kdt pojavlaunch customcontrols gamepad Gamepad update(Gamepad java:158)_x000D_
	at net kdt pojavlaunch BaseMainActivity dispatchGenericMotionEvent(BaseMainActivity java:593)_x000D_
	at androidx appcompat view WindowCallbackWrapper dispatchGenericMotionEvent(WindowCallbackWrapper java:79)_x000D_
	at com android internal policy DecorView dispatchGenericMotionEvent(DecorView java:958)_x000D_
	at android view ViewRootImpl ViewPostImeInputStage processGenericMotionEvent(ViewRootImpl java:7724)_x000D_
	at android view ViewRootImpl ViewPostImeInputStage onProcess(ViewRootImpl java:7442)_x000D_
	at android view ViewRootImpl InputStage deliver(ViewRootImpl java:6773)_x000D_
	at android view ViewRootImpl InputStage onDeliverToNext(ViewRootImpl java:6830)_x000D_
	at android view ViewRootImpl InputStage forward(ViewRootImpl java:6796)_x000D_
	at android view ViewRootImpl AsyncInputStage forward(ViewRootImpl java:6994)_x000D_
	at android view ViewRootImpl InputStage apply(ViewRootImpl java:6804)_x000D_
	at android view ViewRootImpl AsyncInputStage apply(ViewRootImpl java:7051)_x000D_
	at android view ViewRootImpl InputStage deliver(ViewRootImpl java:6777)_x000D_
	at android view ViewRootImpl InputStage onDeliverToNext(ViewRootImpl java:6830)_x000D_
	at android view ViewRootImpl InputStage forward(ViewRootImpl java:6796)_x000D_
	at android view ViewRootImpl InputStage apply(ViewRootImpl java:6804)_x000D_
	at android view ViewRootImpl InputStage deliver(ViewRootImpl java:6777)_x000D_
	at android view ViewRootImpl InputStage onDeliverToNext(ViewRootImpl java:6830)_x000D_
	at android view ViewRootImpl InputStage forward(ViewRootImpl java:6796)_x000D_
	at android view ViewRootImpl AsyncInputStage forward(ViewRootImpl java:7027)_x000D_
	at android view ViewRootImpl ImeInputStage onFinishedInputEvent(ViewRootImpl java:7214)_x000D_
	at android view inputmethod InputMethodManager PendingEvent run(InputMethodManager java:3387)_x000D_
	at android view inputmethod InputMethodManager invokeFinishedInputEventCallback(InputMethodManager java:2948)_x000D_
	at android view inputmethod InputMethodManager finishedInputEvent(InputMethodManager java:2939)_x000D_
	at android view inputmethod InputMethodManager ImeInputEventSender onInputEventFinished(InputMethodManager java:3364)_x000D_
	at android view InputEventSender dispatchInputEventFinished(InputEventSender java:154)_x000D_
	at android os MessageQueue nativePollOnce(Native Method)_x000D_
	at android os MessageQueue next(MessageQueue java:335)_x000D_
	at android os Looper loopOnce(Looper java:186)_x000D_
	at android os Looper loop(Looper java:313)_x000D_
	at android app ActivityThread main(ActivityThread java:8582)_x000D_
	at java lang reflect Method invoke(Native Method)_x000D_
	at com android internal os RuntimeInit MethodAndArgsCaller run(RuntimeInit java:563)_x000D_
	at com android internal os ZygoteInit main(ZygoteInit java:1133)_x000D_
    The log file and images videos
 No response 
    Steps To Reproduce
   markdown
1  Start game with android 12 and any controller connected to phone_x000D_
2  Press any input after startup_x000D_
3  Grats your game crashes 
    Expected Behavior
Basically not a crash
    Platform
   markdown
  Device model: Samsung S21 5G_x000D_
  CPU architecture: Snapdragon 888_x000D_
  Android version: 12_x000D_
  PojavLauncher version: Any
    Anything else 
 No response </t>
  </si>
  <si>
    <t>OTTAA-Project-OTTAAProject-104</t>
  </si>
  <si>
    <t>Crash when Entering the App</t>
  </si>
  <si>
    <t xml:space="preserve">  Describe the bug  _x000D_
The app chrashes when the user tries to open in _x000D_
_x000D_
  To Reproduce  _x000D_
1  Touch OTTAA Project s icon in the launcher_x000D_
_x000D_
  Expected behavior  _x000D_
After touching the app s icon  the screen will turn white and OTTAA s logo will be shown in the middle of the screen  _x000D_
below the logo  it will appear  Iniciando sesi n   then  Cargando datos del usuario  and then the app will crash and_x000D_
will show the failure message attached below _x000D_
_x000D_
  Screenshots  _x000D_
_x000D_
  bug inicio (https:  user images githubusercontent com 78824577 142447750 d964c492 ea98 421c a6c4 06f267fd8975 PNG)_x000D_
_x000D_
  Smartphone (please complete the following information):  _x000D_
   Device: Lenovo Tab M10_x000D_
   OS: _x000D_
   Version: 7 6 4_x000D_
</t>
  </si>
  <si>
    <t>SmartPack-SmartPack-Kernel-Manager-116</t>
  </si>
  <si>
    <t>Switching to the "SmartPack" section sometimes causes a crash</t>
  </si>
  <si>
    <t xml:space="preserve">Steps to reproduce:_x000D_
_x000D_
1  Switch to any other section_x000D_
2  Switch to the  SmartPack  section_x000D_
3  Repeat steps 1 and 2 until app crashes_x000D_
_x000D_
Using version 16 8  can reproduce on both the F Droid and Google Play versions </t>
  </si>
  <si>
    <t>ankidroid-Anki-Android-9914</t>
  </si>
  <si>
    <t xml:space="preserve">[Bug] v2.16alpha33 crashes when changing Decks in Card Browser and Statistics </t>
  </si>
  <si>
    <t xml:space="preserve">       Reproduction Steps_x000D_
_x000D_
1   Open Card Browser or Statistics_x000D_
2   Tap on the deck on top to change it_x000D_
_x000D_
       Expected Result_x000D_
Deck selector pops up_x000D_
_x000D_
_x000D_
       Actual Result_x000D_
App crashes_x000D_
_x000D_
_x000D_
       Debug info_x000D_
AnkiDroid Version   2 16alpha33_x000D_
Android Version   11_x000D_
Manufacturer   Xiaomi_x000D_
Model   Redmi Note 8 Pro_x000D_
Hardware   mt6785_x000D_
Webview User Agent   Mozilla 5 0 (Linux  Android 11  Redmi Note 8 Pro Build RP1A 200720 011  wv) AppleWebKit 537 36 (KHTML  like Gecko) Version 4 0 Chrome 96 0 4664 45 Mobile Safari 537 36_x000D_
ACRA UUID   748a0c66 d316 44d1 b35d 89891a69b2bf_x000D_
Scheduler   std2_x000D_
Crash Reports Enabled   true_x000D_
DatabaseV2 Enabled   true_x000D_
_x000D_
       Research_x000D_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x  (Optional) I have confirmed the issue is not resolved in the latest alpha release ( instructions (https:  docs ankidroid org manual html betaTesting))_x000D_
_x000D_
</t>
  </si>
  <si>
    <t>jreese14-2021-fall-cs160-black-widow-41</t>
  </si>
  <si>
    <t>Register Activity bugs</t>
  </si>
  <si>
    <t xml:space="preserve">(I think I did fix these issues  but I may have reverted at one point)_x000D_
 the register button should not kick the user out of the sign up page if they accidentally clicked the register button_x000D_
 register activity XML needs fixing for its colors_x000D_
 register activity should issue warnings to user if they entered in the wrong information_x000D_
 entering wrong info into the register activity edit text  not completing the other edit texts and hitting the register button results in the app crashing  _x000D_
</t>
  </si>
  <si>
    <t>cgeo-cgeo-12127</t>
  </si>
  <si>
    <t>ConcurrentModificationException on mapsforge</t>
  </si>
  <si>
    <t xml:space="preserve">    Describe your problem _x000D_
_x000D_
This crash is reported on Google Play already since some versions  however since 2021 10 08 there is a peak and its also (still) showing up in the current beta series:_x000D_
_x000D_
  image (https:  user images githubusercontent com 949669 142270255 d2dce451 8097 405c a86f 7e7073a6128c png)_x000D_
_x000D_
The absolute figures are rather low  still I want to bring this here as its still happening _x000D_
_x000D_
Stacktrace:_x000D_
   _x000D_
java util ConcurrentModificationException: _x000D_
  at java util LinkedHashMap LinkedHashIterator nextNode (LinkedHashMap java:760)_x000D_
  at java util LinkedHashMap LinkedValueIterator next (LinkedHashMap java:788)_x000D_
  at org mapsforge map layer cache InMemoryTileCache purge (InMemoryTileCache java:82)_x000D_
  at org mapsforge map layer cache TwoLevelTileCache purge (TwoLevelTileCache java:80)_x000D_
  at cgeo geocaching maps mapsforge v6 RenderThemeHelper reapplyMapTheme (RenderThemeHelper java:168)_x000D_
  at cgeo geocaching maps mapsforge v6 NewMap switchTileLayer (NewMap java:687)_x000D_
  at cgeo geocaching maps mapsforge v6 NewMap changeMapSource (NewMap java:619)_x000D_
  at cgeo geocaching maps mapsforge v6 NewMap onOptionsItemSelected (NewMap java:478)_x000D_
  at android app Activity onMenuItemSelected (Activity java:3742)_x000D_
  at androidx fragment app FragmentActivity onMenuItemSelected (FragmentActivity java:352)_x000D_
  at androidx appcompat app AppCompatActivity onMenuItemSelected (AppCompatActivity java:264)_x000D_
  at androidx appcompat view WindowCallbackWrapper onMenuItemSelected (WindowCallbackWrapper java:109)_x000D_
  at androidx appcompat app AppCompatDelegateImpl onMenuItemSelected (AppCompatDelegateImpl java:1179)_x000D_
  at androidx appcompat view menu MenuBuilder dispatchMenuItemSelected (MenuBuilder java:834)_x000D_
  at androidx appcompat view menu SubMenuBuilder dispatchMenuItemSelected (SubMenuBuilder java:91)_x000D_
  at androidx appcompat view menu MenuItemImpl invoke (MenuItemImpl java:158)_x000D_
  at androidx appcompat view menu MenuBuilder performItemAction (MenuBuilder java:985)_x000D_
  at androidx appcompat view menu MenuPopup onItemClick (MenuPopup java:128)_x000D_
  at android widget AdapterView performItemClick (AdapterView java:321)_x000D_
  at android widget AbsListView performItemClick (AbsListView java:1234)_x000D_
  at android widget AbsListView PerformClick run (AbsListView java:3234)_x000D_
  at android widget AbsListView onTouchUp (AbsListView java:4224)_x000D_
  at android widget AbsListView onTouchUpEx (AbsListView java:4143)_x000D_
  at android widget HwAbsListView onTouchUpEx (HwAbsListView java:554)_x000D_
  at android widget AbsListView onTouchEvent (AbsListView java:3948)_x000D_
  at androidx appcompat widget DropDownListView onTouchEvent (DropDownListView java:218)_x000D_
  at androidx appcompat widget MenuPopupWindow MenuDropDownListView onTouchEvent (MenuPopupWindow java:138)_x000D_
  at android view View dispatchTouchEvent (View java:12628)_x000D_
  at android view ViewGroup dispatchTransformedTouchEvent (ViewGroup java:3035)_x000D_
  at android view ViewGroup dispatchTouchEvent (ViewGroup java:2714)_x000D_
  at android view ViewGroup dispatchTransformedTouchEvent (ViewGroup java:3041)_x000D_
  at android view ViewGroup dispatchTouchEvent (ViewGroup java:2728)_x000D_
  at android view ViewGroup dispatchTransformedTouchEvent (ViewGroup java:3041)_x000D_
  at android view ViewGroup dispatchTouchEvent (ViewGroup java:2728)_x000D_
  at android widget PopupWindow PopupDecorView dispatchTouchEvent (PopupWindow java:2478)_x000D_
  at android view View dispatchPointerEvent (View java:12873)_x000D_
  at android view ViewRootImpl ViewPostImeInputStage processPointerEvent (ViewRootImpl java:5768)_x000D_
  at android view ViewRootImpl ViewPostImeInputStage onProcess (ViewRootImpl java:5532)_x000D_
  at android view ViewRootImpl InputStage deliver (ViewRootImpl java:4980)_x000D_
  at android view ViewRootImpl InputStage onDeliverToNext (ViewRootImpl java:5033)_x000D_
  at android view ViewRootImpl InputStage forward (ViewRootImpl java:4999)_x000D_
  at android view ViewRootImpl AsyncInputStage forward (ViewRootImpl java:5154)_x000D_
  at android view ViewRootImpl InputStage apply (ViewRootImpl java:5007)_x000D_
  at android view ViewRootImpl AsyncInputStage apply (ViewRootImpl java:5211)_x000D_
  at android view ViewRootImpl InputStage deliver (ViewRootImpl java:4980)_x000D_
  at android view ViewRootImpl InputStage onDeliverToNext (ViewRootImpl java:5033)_x000D_
  at android view ViewRootImpl InputStage forward (ViewRootImpl java:4999)_x000D_
  at android view ViewRootImpl InputStage apply (ViewRootImpl java:5007)_x000D_
  at android view ViewRootImpl InputStage deliver (ViewRootImpl java:4980)_x000D_
  at android view ViewRootImpl deliverInputEvent (ViewRootImpl java:7800)_x000D_
  at android view ViewRootImpl doProcessInputEvents (ViewRootImpl java:7765)_x000D_
  at android view ViewRootImpl enqueueInputEvent (ViewRootImpl java:7723)_x000D_
  at android view ViewRootImpl WindowInputEventReceiver onInputEvent (ViewRootImpl java:8004)_x000D_
  at android view InputEventReceiver dispatchInputEvent (InputEventReceiver java:202)_x000D_
  at android os MessageQueue nativePollOnce (Native Method)_x000D_
  at android os MessageQueue next (MessageQueue java:386)_x000D_
  at android os Looper loop (Looper java:175)_x000D_
  at android app ActivityThread main (ActivityThread java:7625)_x000D_
  at java lang reflect Method invoke (Native Method)_x000D_
  at com android internal os RuntimeInit MethodAndArgsCaller run (RuntimeInit java:524)_x000D_
  at com android internal os ZygoteInit main   (ZygoteInit java:987)_x000D_
   _x000D_
_x000D_
_x000D_
    How to reproduce _x000D_
_x000D_
Unclear_x000D_
_x000D_
    Actual result after these steps _x000D_
_x000D_
 No response _x000D_
_x000D_
    Expected result after these steps _x000D_
_x000D_
 No response _x000D_
_x000D_
    Reproducible_x000D_
_x000D_
Unclear_x000D_
_x000D_
    c:geo Version_x000D_
_x000D_
Several_x000D_
_x000D_
    System information_x000D_
_x000D_
 No response _x000D_
_x000D_
    Additional Information_x000D_
_x000D_
 No response </t>
  </si>
  <si>
    <t>TeamNewPipe-NewPipe-7416</t>
  </si>
  <si>
    <t>com.squareup.picasso.NetworkRequestHandler$ResponseException: HTTP 404</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</si>
  <si>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https:  www youtube com watch v fk32u6  sRM_x000D_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An error message appears at the bottom of the screen_x000D_
_x000D_
_x000D_
    Expected behavior_x000D_
     Tell us what you expect to happen     _x000D_
No error_x000D_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load image_x000D_
  Request: https:  i ytimg com vi webp fk32u6  sRM maxresdefault webp_x000D_
  Content Country: RU_x000D_
  Content Language: ru RU_x000D_
  App Language: ru RU_x000D_
  Service: YouTube_x000D_
  Version: 0 21 13_x000D_
  OS: Linux Android 11   30_x000D_
 details  summary  b Crash log   b   summary  p _x000D_
_x000D_
_x000D_
com squareup picasso NetworkRequestHandler ResponseException: HTTP 404_x000D_
 at com squareup picasso NetworkRequestHandler load(NetworkRequestHandler java:51)_x000D_
 at com squareup picasso BitmapHunter hunt(BitmapHunter java:219)_x000D_
 at com squareup picasso BitmapHunter run(BitmapHunter java:175)_x000D_
 at java util concurrent Executors RunnableAdapter call(Executors java:462)_x000D_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java:923)_x000D_
 at com squareup picasso Utils PicassoThread run(Utils java:354)_x000D_
_x000D_
_x000D_
  details _x000D_
 hr _x000D_
_x000D_
_x000D_
     Please fill this section if you did not provide a log generated by NewPipe    _x000D_
_x000D_
    Device info_x000D_
_x000D_
   Android version Custom ROM version: LineageOS 18 1_x000D_
   Device model: OnePlus 6_x000D_
</t>
  </si>
  <si>
    <t>inaturalist-iNaturalistAndroid-1151</t>
  </si>
  <si>
    <t>CursorWindowAllocationException in ObservationCursorAdapter.refreshCursor</t>
  </si>
  <si>
    <t xml:space="preserve">https:  console firebase google com u 1 project inaturalist ios crashlytics app android:org inaturalist android issues 21e6d15a40953fe49caac39b4d0bda73_x000D_
_x000D_
   _x000D_
Fatal Exception: android database CursorWindowAllocationException: Could not allocate CursorWindow   data user 0 org inaturalist android databases inaturalist db  of size 4194304 due to error  12 _x000D_
       at android database CursorWindow nativeCreate(CursorWindow java)_x000D_
       at android database CursorWindow  init (CursorWindow java:145)_x000D_
       at android database sqlite SQLiteCursor clearOrCreateWindow(SQLiteCursor java:319)_x000D_
       at android database sqlite SQLiteCursor fillWindow(SQLiteCursor java:159)_x000D_
       at android database sqlite SQLiteCursor getCount(SQLiteCursor java:152)_x000D_
       at android content ContentResolver query(ContentResolver java:970)_x000D_
       at android content ContentResolver query(ContentResolver java:887)_x000D_
       at android content ContentResolver query(ContentResolver java:843)_x000D_
       at org inaturalist android ObservationCursorAdapter refreshCursor(ObservationCursorAdapter java:240)_x000D_
       at org inaturalist android ObservationCursorAdapter refreshCursor(ObservationCursorAdapter java:206)_x000D_
       at org inaturalist android ObservationListActivity SyncCompleteReceiver onReceive(ObservationListActivity java:205)_x000D_
   </t>
  </si>
  <si>
    <t>inaturalist-iNaturalistAndroid-1150</t>
  </si>
  <si>
    <t>NullPointerException in ImageUtils.resizeImage</t>
  </si>
  <si>
    <t xml:space="preserve">https:  console firebase google com u 1 project inaturalist ios crashlytics app android:org inaturalist android issues bac230b8c0c6f4d058c84abc4c22dc12_x000D_
_x000D_
   _x000D_
Fatal Exception: java lang NullPointerException: Attempt to invoke virtual method  android content ContentResolver android content Context getContentResolver()  on a null object reference_x000D_
       at org inaturalist android ImageUtils resizeImage(ImageUtils java:380)_x000D_
       at org inaturalist android ImageUtils resizeImage(ImageUtils java:364)_x000D_
       at org inaturalist android ObservationEditor createObservationPhotoForPhoto(ObservationEditor java:3528)_x000D_
       at org inaturalist android ObservationEditor access 5400(ObservationEditor java:146)_x000D_
       at org inaturalist android ObservationEditor 42 run(ObservationEditor java:3373)_x000D_
       at java lang Thread run(Thread java:818)_x000D_
   </t>
  </si>
  <si>
    <t>google-gson-2020</t>
  </si>
  <si>
    <t>java.lang.NoSuchFieldException: UNAVAILABLE</t>
  </si>
  <si>
    <t xml:space="preserve">  Gson version_x000D_
2 8 9_x000D_
_x000D_
  Java   Android version_x000D_
Android compileSdk 31  target Java 1 8_x000D_
_x000D_
  Description_x000D_
After upgrading from gson 2 8 8 to 2 8 9  we started seeing the following exception:_x000D_
   _x000D_
    java lang AssertionError: java lang NoSuchFieldException: UNAVAILABLE_x000D_
        at com google gson internal bind TypeAdapters EnumTypeAdapter  init (TypeAdapters java:12)_x000D_
        at com google gson internal bind TypeAdapters 30 create(TypeAdapters java:5)_x000D_
        at com google gson Gson getAdapter(Gson java:9)_x000D_
        at com google gson internal bind ReflectiveTypeAdapterFactory createBoundField(ReflectiveTypeAdapterFactory java:4)_x000D_
        at com google gson internal bind ReflectiveTypeAdapterFactory getBoundFields(ReflectiveTypeAdapterFactory java:15)_x000D_
        at com google gson internal bind ReflectiveTypeAdapterFactory create(ReflectiveTypeAdapterFactory java:4)_x000D_
        at com google gson Gson getAdapter(Gson java:9)_x000D_
   _x000D_
_x000D_
This happens when gson is creating the EnumTypeAdapter for the following class:_x000D_
   _x000D_
enum class CallingStatus  _x000D_
     SerializedName( unavailable )_x000D_
    UNAVAILABLE _x000D_
     SerializedName( disabled )_x000D_
    DISABLED _x000D_
     SerializedName( requested )_x000D_
    REQUESTED _x000D_
     SerializedName( pending )_x000D_
    PENDING _x000D_
     SerializedName( enabled )_x000D_
    ENABLED_x000D_
 _x000D_
   _x000D_
_x000D_
This enum is written in kotlin  and the class is not kept by proguard (The serialized name annotations should be telling gson how to parse this)_x000D_
_x000D_
If I log out this info on a release build like follows:_x000D_
   _x000D_
CallingStatus::class java declaredFields filter   it isEnumConstant   joinToString(  n )  _x000D_
               it name      it get(null)      (it get(null) as CallingStatus) name  _x000D_
         _x000D_
   _x000D_
I get:_x000D_
    a   UNAVAILABLE   UNAVAILABLE_x000D_
    b   DISABLED   DISABLED_x000D_
    c   REQUESTED   REQUESTED_x000D_
    d   PENDING   PENDING_x000D_
    e   ENABLED   ENABLED_x000D_
_x000D_
   Expected behavior_x000D_
Gson doesn t crash creating a type adapter_x000D_
_x000D_
   Actual behavior_x000D_
Gson crashes creating a type adapter_x000D_
_x000D_
  Reproduction steps_x000D_
_x000D_
1  Create an enum class in kotlin and do not cover it with proguard_x000D_
2  Build the project and try and create the type adapter_x000D_
_x000D_
  Exception stack trace_x000D_
_x000D_
   _x000D_
    java lang AssertionError: java lang NoSuchFieldException: UNAVAILABLE_x000D_
        at com google gson internal bind TypeAdapters EnumTypeAdapter  init (TypeAdapters java:12)_x000D_
        at com google gson internal bind TypeAdapters 30 create(TypeAdapters java:5)_x000D_
        at com google gson Gson getAdapter(Gson java:9)_x000D_
        at com google gson internal bind ReflectiveTypeAdapterFactory createBoundField(ReflectiveTypeAdapterFactory java:4)_x000D_
        at com google gson internal bind ReflectiveTypeAdapterFactory getBoundFields(ReflectiveTypeAdapterFactory java:15)_x000D_
        at com google gson internal bind ReflectiveTypeAdapterFactory create(ReflectiveTypeAdapterFactory java:4)_x000D_
        at com google gson Gson getAdapter(Gson java:9)_x000D_
        at com google gson internal bind ReflectiveTypeAdapterFactory createBoundField(ReflectiveTypeAdapterFactory java:4)_x000D_
        at com google gson internal bind ReflectiveTypeAdapterFactory getBoundFields(ReflectiveTypeAdapterFactory java:15)_x000D_
        at com google gson internal bind ReflectiveTypeAdapterFactory create(ReflectiveTypeAdapterFactory java:4)_x000D_
        at com google gson Gson getAdapter(Gson java:9)_x000D_
        at com google gson internal bind CollectionTypeAdapterFactory create(CollectionTypeAdapterFactory java:5)_x000D_
        at com google gson Gson getAdapter(Gson java:9)_x000D_
        at com google gson internal bind ReflectiveTypeAdapterFactory createBoundField(ReflectiveTypeAdapterFactory java:4)_x000D_
        at com google gson internal bind ReflectiveTypeAdapterFactory getBoundFields(ReflectiveTypeAdapterFactory java:15)_x000D_
        at com google gson internal bind ReflectiveTypeAdapterFactory create(ReflectiveTypeAdapterFactory java:4)_x000D_
        at com google gson Gson getAdapter(Gson java:9)_x000D_
        at com google gson internal bind ReflectiveTypeAdapterFactory createBoundField(ReflectiveTypeAdapterFactory java:4)_x000D_
        at com google gson internal bind ReflectiveTypeAdapterFactory getBoundFields(ReflectiveTypeAdapterFactory java:15)_x000D_
        at com google gson internal bind ReflectiveTypeAdapterFactory create(ReflectiveTypeAdapterFactory java:4)_x000D_
        at com google gson Gson getAdapter(Gson java:9)_x000D_
        at retrofit2 converter gson GsonConverterFactory responseBodyConverter(GsonConverterFactory java:1)_x000D_
        at retrofit2 Retrofit nextResponseBodyConverter(Retrofit java:6)_x000D_
        at retrofit2 Retrofit responseBodyConverter(Retrofit java:1)_x000D_
        at retrofit2 HttpServiceMethod createResponseConverter(HttpServiceMethod java:2)_x000D_
        at retrofit2 HttpServiceMethod parseAnnotations(HttpServiceMethod java:16)_x000D_
        at retrofit2 ServiceMethod parseAnnotations(ServiceMethod java:5)_x000D_
        at retrofit2 Retrofit loadServiceMethod(Retrofit java:4)_x000D_
        at retrofit2 Retrofit 1 invoke(Retrofit java:6)_x000D_
        at java lang reflect Proxy invoke(Proxy java:1006)_x000D_
        at  Proxy2 b(Unknown Source)_x000D_
   _x000D_
</t>
  </si>
  <si>
    <t>nextcloud-android-9282</t>
  </si>
  <si>
    <t>Crash when creating a text file</t>
  </si>
  <si>
    <t xml:space="preserve">    Steps to reproduce_x000D_
1  Create text file_x000D_
_x000D_
    Expected behaviour_x000D_
  The file is created _x000D_
_x000D_
    Actual behaviour_x000D_
  The file is not created and the application crashes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App error:_x000D_
             CAUSE OF ERROR             _x000D_
_x000D_
java lang IndexOutOfBoundsException: setSpan ( 1      1) starts before 0_x000D_
	at android text SpannableStringBuilder checkRange(SpannableStringBuilder java:1330)_x000D_
	at android text SpannableStringBuilder setSpan(SpannableStringBuilder java:684)_x000D_
	at android text SpannableStringBuilder setSpan(SpannableStringBuilder java:676)_x000D_
	at android text Selection setSelection(Selection java:94)_x000D_
	at android text Selection setSelection(Selection java:78)_x000D_
	at android text Selection setSelection(Selection java:153)_x000D_
	at android widget EditText setSelection(EditText java:136)_x000D_
	at com owncloud android ui dialog ChooseTemplateDialogFragment prefillFilenameIfEmpty(ChooseTemplateDialogFragment java:252)_x000D_
	at com owncloud android ui dialog ChooseTemplateDialogFragment onTemplateChosen(ChooseTemplateDialogFragment java:243)_x000D_
	at com owncloud android ui dialog ChooseTemplateDialogFragment access 200(ChooseTemplateDialogFragment java:81)_x000D_
	at com owncloud android ui dialog ChooseTemplateDialogFragment FetchTemplateTask onPostExecute(ChooseTemplateDialogFragment java:421)_x000D_
	at com owncloud android ui dialog ChooseTemplateDialogFragment FetchTemplateTask onPostExecute(ChooseTemplateDialogFragment java:373)_x000D_
	at android os AsyncTask finish(AsyncTask java:755)_x000D_
	at android os AsyncTask access 900(AsyncTask java:192)_x000D_
	at android os AsyncTask InternalHandler handleMessage(AsyncTask java:772)_x000D_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APP INFORMATION             _x000D_
ID: com nextcloud client_x000D_
Version: 30180055_x000D_
Build flavor: generic_x000D_
_x000D_
             DEVICE INFORMATION             _x000D_
Brand: Fairphone_x000D_
Device: FP3_x000D_
Model: FP3_x000D_
Id: QQ3A 200805 001_x000D_
Product: FP3_x000D_
_x000D_
             FIRMWARE             _x000D_
SDK: 29_x000D_
Release: 10_x000D_
Incremental: eng root 20211027 011913_x000D_
</t>
  </si>
  <si>
    <t>MuntashirAkon-AppManager-629</t>
  </si>
  <si>
    <t>Create shortcut</t>
  </si>
  <si>
    <t xml:space="preserve">_x000D_
_x000D_
  Describe the bug  _x000D_
Create shortcut button in activity section make nothing _x000D_
_x000D_
  To Reproduce  _x000D_
Steps to reproduce the behaviour:_x000D_
1  Go to  activities tab  _x000D_
2  Click on  create shortcut  on some activity _x000D_
_x000D_
  Expected behavior  _x000D_
Shortcut is created _x000D_
_x000D_
  Crash logs  _x000D_
Cant add logs because logd is removed  And no crashes at all _x000D_
_x000D_
  Device info  _x000D_
   Device: Fly FS526 Power Plus 2_x000D_
   OS Version: Android 7_x000D_
   App Manager Version:  v2 6 4_x000D_
   Mode: root  Magisk _x000D_
_x000D_
  Additional context  _x000D_
Default launcher is removed  Current default launcher is Holo Launcher _x000D_
</t>
  </si>
  <si>
    <t>MuntashirAkon-AppManager-628</t>
  </si>
  <si>
    <t>MuntashirAkon-AppManager-627</t>
  </si>
  <si>
    <t>google-ExoPlayer-9696</t>
  </si>
  <si>
    <t>Fatal Exception: java.lang.SecurityException</t>
  </si>
  <si>
    <t xml:space="preserve">Hi  _x000D_
We are getting these crash reports on Android 11  and we don t know how to reproduce them:_x000D_
_x000D_
   _x000D_
Fatal Exception: java lang SecurityException_x000D_
Package android does not belong to 10255_x000D_
_x000D_
android os Parcel createExceptionOrNull (Parcel java:2376)_x000D_
android os Parcel createException (Parcel java:2360)_x000D_
android os Parcel readException (Parcel java:2343)_x000D_
android os Parcel readException (Parcel java:2285)_x000D_
android net IConnectivityManager Stub Proxy listenForNetwork (IConnectivityManager java:3609)_x000D_
android net ConnectivityManager sendRequestForNetwork (ConnectivityManager java:3710)_x000D_
android net ConnectivityManager registerNetworkCallback (ConnectivityManager java:4104)_x000D_
android net ConnectivityManager registerNetworkCallback (ConnectivityManager java:4074)_x000D_
com google android exoplayer2 scheduler RequirementsWatcher registerNetworkCallbackV23 (RequirementsWatcher java:137)_x000D_
com google android exoplayer2 scheduler RequirementsWatcher start (RequirementsWatcher java:91)_x000D_
com google android exoplayer2 offline DownloadManager  init  (DownloadManager java:217)_x000D_
   _x000D_
I can see there is a patch for  Requirements isInternetActivityValidated()  here: https:  github com google ExoPlayer commit 140e110e4410e6226a6411a5246e08a9c2d1fd91 which looks quite similar to the one we are seeing   I m not saying it s the same  Has this been fixed in any version of ExoPlayer to avoid this  </t>
  </si>
  <si>
    <t>google-ExoPlayer-9695</t>
  </si>
  <si>
    <t>SQLiteDiskIOException disk I/O error (code 4874 SQLITE_IOERR_SHMSIZE)</t>
  </si>
  <si>
    <t xml:space="preserve">  Clear reproduction steps including observed and expected behavior_x000D_
    reproduction steps:  _x000D_
      when device receive  DEVICE STORAGE LOW  event_x000D_
      create SimpleCache object_x000D_
_x000D_
    expected:_x000D_
      no crash_x000D_
 _x000D_
  Output of running  adb bugreport  in the console shortly after encountering_x000D_
  _x000D_
   _x000D_
SQLiteDiskIOException_x000D_
disk I O error (code 4874 SQLITE IOERR SHMSIZE)_x000D_
android database sqlite SQLiteConnection in nativeExecuteForLong_x000D_
android database sqlite SQLiteConnection in executeForLong at line 655_x000D_
android database sqlite SQLiteSession in executeForLong at line 652_x000D_
android database sqlite SQLiteStatement in simpleQueryForLong at line 107_x000D_
android database DatabaseUtils in longForQuery at line 842_x000D_
android database DatabaseUtils in longForQuery at line 830_x000D_
android database sqlite SQLiteDatabase in getVersion at line 956_x000D_
android database sqlite SQLiteOpenHelper in getDatabaseLocked at line 371_x000D_
android database sqlite SQLiteOpenHelper in getReadableDatabase at line 322_x000D_
com google android exoplayer2 upstream cache CachedContentIndex DatabaseStorage in exists at line 799_x000D_
com google android exoplayer2 upstream cache CachedContentIndex in initialize at line 202_x000D_
com google android exoplayer2 upstream cache SimpleCache in initialize at line 582_x000D_
com google android exoplayer2 upstream cache SimpleCache in access 000 at line 49_x000D_
com google android exoplayer2 upstream cache SimpleCache 1 in run at line 268_x000D_
   _x000D_
_x000D_
  ExoPlayer version number: 2 14 0_x000D_
  Android version: Android 9_x000D_
  Android device: Meizu 16T_x000D_
_x000D_
_x000D_
</t>
  </si>
  <si>
    <t>inaturalist-iNaturalistAndroid-1149</t>
  </si>
  <si>
    <t xml:space="preserve">https:  console firebase google com u 1 project inaturalist ios crashlytics app android:org inaturalist android issues 3d1da71cab1860e9f972bf49e17d0bb7_x000D_
_x000D_
   _x000D_
Fatal Exception: java lang NullPointerException: Attempt to invoke virtual method  android view Window android app Activity getWindow()  on a null object reference_x000D_
       at org inaturalist android ObservationEditor 33 run(ObservationEditor java:2736)_x000D_
   </t>
  </si>
  <si>
    <t>inaturalist-iNaturalistAndroid-1148</t>
  </si>
  <si>
    <t>NullPointerException in SerializableJSONArray.getJSONArray</t>
  </si>
  <si>
    <t xml:space="preserve">https:  console firebase google com u 1 project inaturalist ios crashlytics app android:org inaturalist android issues 1448857dbe48e436931f853138e5a59c_x000D_
_x000D_
   _x000D_
Fatal Exception: java lang NullPointerException: Attempt to invoke virtual method  org json JSONArray org inaturalist android SerializableJSONArray getJSONArray()  on a null object reference_x000D_
       at org inaturalist android INaturalistService onHandleIntentWorker(INaturalistService java:1831)_x000D_
       at org inaturalist android INaturalistService 1 run(INaturalistService java:680)_x000D_
       at java lang Thread run(Thread java:919)_x000D_
   </t>
  </si>
  <si>
    <t>inaturalist-iNaturalistAndroid-1147</t>
  </si>
  <si>
    <t>NullPointerException in ObservationEditor.onCreateView</t>
  </si>
  <si>
    <t xml:space="preserve">https:  console firebase google com u 1 project inaturalist ios crashlytics app android:org inaturalist android issues fa9c0e195df5ac48e2f89c09b2e8ac63_x000D_
_x000D_
   _x000D_
Fatal Exception: java lang NullPointerException: uriString_x000D_
       at android net Uri StringUri  init (Uri java:490)_x000D_
       at android net Uri StringUri  init (Uri java:480)_x000D_
       at android net Uri parse(Uri java:452)_x000D_
       at org inaturalist android ObservationEditor onCreateView(ObservationEditor java:611)_x000D_
   </t>
  </si>
  <si>
    <t>inaturalist-iNaturalistAndroid-1146</t>
  </si>
  <si>
    <t>ClassCastException in BetterJSONObject.getInt</t>
  </si>
  <si>
    <t xml:space="preserve">https:  console firebase google com u 1 project inaturalist ios crashlytics app android:org inaturalist android issues 92540f53f19075316d627d9fc81f75f5_x000D_
_x000D_
   _x000D_
Caused by java lang ClassCastException: java lang String cannot be cast to java lang Integer_x000D_
       at org inaturalist android BetterJSONObject getInt(BetterJSONObject java:123)_x000D_
       at org inaturalist android MessagesThreadActivity loadThread(MessagesThreadActivity java:229)_x000D_
       at org inaturalist android MessagesThreadActivity onResume(MessagesThreadActivity java:286)_x000D_
   </t>
  </si>
  <si>
    <t>PojavLauncherTeam-PojavLauncher-2247</t>
  </si>
  <si>
    <t>[BUG] bugs and bugs</t>
  </si>
  <si>
    <t xml:space="preserve">    Describe the bug_x000D_
_x000D_
i have some bugs_x000D_
_x000D_
  1 i can t use all of rams my device have 2 gb ram i can use 1100 mb if i use 1100 or 1000 or 900 mb game crash _x000D_
_x000D_
  2 i can t playing in 1 17  and make crash even though i followed all steps _x000D_
_x000D_
  3 i can t playing forge of any version app colosed if i entered in any world_x000D_
_x000D_
  4 1 13  make crash and app exiting_x000D_
_x000D_
    The log file and images videos_x000D_
_x000D_
 _x000D_
_x000D_
    Steps To Reproduce_x000D_
_x000D_
   markdown_x000D_
i can t playing correctly_x000D_
   _x000D_
_x000D_
_x000D_
    Expected Behavior_x000D_
_x000D_
 _x000D_
_x000D_
    Platform_x000D_
_x000D_
   markdown_x000D_
  Device model: X96Q 2gb ram 16 gb storage_x000D_
  CPU architecture: arm_x000D_
  Android version: 10_x000D_
  PojavLauncher version: lasted release_x000D_
   _x000D_
_x000D_
_x000D_
    Anything else _x000D_
_x000D_
please fix this bugs</t>
  </si>
  <si>
    <t>PojavLauncherTeam-PojavLauncher-2244</t>
  </si>
  <si>
    <t>[BUG] (Chromebook) Mouse Disappears Over "Emulated" Projev Window</t>
  </si>
  <si>
    <t xml:space="preserve">    Describe the bug
Whenever you try to hover your mouse over the  Emulated  (In equation marks because I m not sure if Chromebooks really  Emulate  the app) window  the mouse disappears and you can t interact with anything inside the ProjavLauncher    (Only tested  when I opened the log in screen )  
    The log file and images videos
 No response 
    Steps To Reproduce
   markdown
1  Reinstall Projev Launcher_x000D_
2  log in to an account (WITHOUT checking the  Remember Me  checkbox) _x000D_
3  Install 1 17 1_x000D_
4  Click play_x000D_
5  Crash the game somehow_x000D_
6  Try and move your mouse over the new Instance
    Expected Behavior
For it to let me see my mouse and interact with buttons
    Platform
   markdown
  Device model:     (IDK)_x000D_
  CPU architecture:     (IDK)_x000D_
  Android version:     (It s a Chromebook)_x000D_
  PojavLauncher version: Latest    (IDK How to find out   )
    Anything else 
  THIS WILL PROBABLY ONLY HAPPEN ON CHROMEBOOKS  _x000D_
_x000D_
The curse moves like normal  as in it is only invisible and can still move the mouse itself  BUT you can interact with anything SPECIFICALLY on the ProjevLauncher _x000D_
_x000D_
After the bug happens  all new instances of the launcher are affected _x000D_
_x000D_
  Quick Fix:   Restart your computer    BUT   as I said it s only a  Quick  fix and gets really annoying after a while _x000D_
_x000D_
   DISCLAIMER: ALTHO I KNOW JAVASCRIPT  I HAVE NEVER CODED AN APP IN MY LIFE  SO PLEASE TAKE MY CLAMS WITH A GRAIN OF SALT       _x000D_
_x000D_
  What  I Suspect:   I think this happens because  since a crash is very abrupt  the launcher does not have enough time to clear all the  window s settings   (especially the   No Cursor   setting on the window) And since right after a crash a new window (the launcher) is opened  all the old settings are automatically carried over to the new one _x000D_
_x000D_
  Again I could be completely wrong here because I have no background in android app coding or  C     but I do code a lot of  Javascript  so take my words with a grain of salt  </t>
  </si>
  <si>
    <t>ViroCommunity-viro-61</t>
  </si>
  <si>
    <t>App crashes on IOS</t>
  </si>
  <si>
    <t xml:space="preserve">Hi  any idea why app crashes on IOS  even on example from app store  React Viro is working on Android  Maybe because of  issue (https:  github com viromedia viro issues 836) or  issue (https:  github com viromedia viro issues 852)  How to solve this </t>
  </si>
  <si>
    <t>TeamNewPipe-NewPipe-7409</t>
  </si>
  <si>
    <t>gesture-changing brightness while switching to portrait causes the "gesture image" to replace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</si>
  <si>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any video in landscape_x000D_
2  Use gesture to modify brightness and while doing so turn phone to portrait_x000D_
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The  brightness gesture wheel  remains as a still image and the video image is gone _x000D_
_x000D_
    Expected behavior_x000D_
     Tell us what you expect to happen     _x000D_
The gesture should be canceled when switching to portrait or  since in most cases this is likely accidental  the switch to portrait should be ignored while a landscape only gesture is being performed 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If your bug includes a crash (where you re shown the Error Report page with a bunch of info)  tap on  Copy formatted report  at the bottom and paste it here:    _x000D_
_x000D_
     That s right  here     _x000D_
     Please fill this section if you did not provide a log generated by NewPipe    _x000D_
_x000D_
    Device info_x000D_
_x000D_
   Android version Custom ROM version: 8_x000D_
   Device model: Samsung Galaxy S7 Edge_x000D_
</t>
  </si>
  <si>
    <t>PojavLauncherTeam-PojavLauncher-2241</t>
  </si>
  <si>
    <t>[BUG] Crash Pojavlauncher (2) Crash suddenly</t>
  </si>
  <si>
    <t xml:space="preserve">    Describe the bug_x000D_
_x000D_
Pojavlauncher crashes for the 2nd time  Crash suddenly  no error code 1 or any error message_x000D_
_x000D_
    The log file and images videos_x000D_
_x000D_
 No response _x000D_
_x000D_
    Steps To Reproduce_x000D_
_x000D_
   markdown_x000D_
1  Start Pojavlauncher_x000D_
2  Enter the map_x000D_
3  (Later) Crash suddenly_x000D_
   _x000D_
_x000D_
_x000D_
    Expected Behavior_x000D_
_x000D_
I hope Pojavlauncher quickly fix this sudden crash_x000D_
_x000D_
    Platform_x000D_
_x000D_
   markdown_x000D_
  Device model: Vivo Y21s 6GB 128GB_x000D_
  CPU architecture: aarch 64 (Helio G80)_x000D_
  Android version: 11_x000D_
  PojavLauncher version: Lastest Release on CH Play_x000D_
   _x000D_
_x000D_
_x000D_
    Anything else _x000D_
_x000D_
 No </t>
  </si>
  <si>
    <t>nextcloud-android-9263</t>
  </si>
  <si>
    <t>runtime exception</t>
  </si>
  <si>
    <t xml:space="preserve">    Steps to reproduce_x000D_
1  Unknown_x000D_
_x000D_
    Expected behaviour_x000D_
  next cloud does not crash_x000D_
_x000D_
    Actual behaviour_x000D_
  occasional crashing  I do not know how to reproduce this_x000D_
_x000D_
    Error message_x000D_
_x000D_
   _x000D_
             CAUSE OF ERROR             _x000D_
_x000D_
java lang RuntimeException: Unable to start activity ComponentInfo com nextcloud client com owncloud android ui activity FileDisplayActivity : java lang NullPointerException: Attempt to read from field  androidx viewpager widget ViewPager com owncloud android databinding FileDetailsFragmentBinding pager  on a null object reference_x000D_
	at android app ActivityThread performLaunchActivity(ActivityThread java:2693)_x000D_
	at android app ActivityThread handleLaunchActivity(ActivityThread java:2758)_x000D_
	at android app ActivityThread access 900(ActivityThread java:177)_x000D_
	at android app ActivityThread H handleMessage(ActivityThread java:1448)_x000D_
	at android os Handler dispatchMessage(Handler java:102)_x000D_
	at android os Looper loop(Looper java:145)_x000D_
	at android app ActivityThread main(ActivityThread java:5942)_x000D_
	at java lang reflect Method invoke(Native Method)_x000D_
	at java lang reflect Method invoke(Method java:372)_x000D_
	at com android internal os ZygoteInit MethodAndArgsCaller run(ZygoteInit java:1399)_x000D_
	at com android internal os ZygoteInit main(ZygoteInit java:1194)_x000D_
Caused by: java lang NullPointerException: Attempt to read from field  androidx viewpager widget ViewPager com owncloud android databinding FileDetailsFragmentBinding pager  on a null object reference_x000D_
	at com owncloud android ui fragment FileDetailFragment getFileDetailSharingFragment(FileDetailFragment java:158)_x000D_
	at com owncloud android ui activity FileActivity getShareFileFragment(FileActivity java:855)_x000D_
	at com owncloud android ui activity FileActivity getFile(FileActivity java:297)_x000D_
	at com owncloud android ui activity FileDisplayActivity updateActionBarTitleAndHomeButton(FileDisplayActivity java:1625)_x000D_
	at com owncloud android ui activity ToolbarActivity setupToolbar(ToolbarActivity java:103)_x000D_
	at com owncloud android ui activity ToolbarActivity setupHomeSearchToolbarWithSortAndListButtons(ToolbarActivity java:127)_x000D_
	at com owncloud android ui activity FileDisplayActivity onCreate(FileDisplayActivity java:264)_x000D_
	at android app Activity performCreate(Activity java:6288)_x000D_
	at android app Instrumentation callActivityOnCreate(Instrumentation java:1119)_x000D_
	at android app ActivityThread performLaunchActivity(ActivityThread java:2646)_x000D_
	    10 more_x000D_
_x000D_
             APP INFORMATION             _x000D_
ID: com nextcloud client_x000D_
Version: 30160190_x000D_
Build flavor: gplay_x000D_
_x000D_
             DEVICE INFORMATION             _x000D_
Brand: samsung_x000D_
Device: hltetmo_x000D_
Model: SM N900T_x000D_
Id: LRX21V_x000D_
Product: hltetmo_x000D_
_x000D_
             FIRMWARE             _x000D_
SDK: 21_x000D_
Release: 5 0_x000D_
Incremental: N900TUVUFQD2_x000D_
   </t>
  </si>
  <si>
    <t>Anuken-Mindustry-6335</t>
  </si>
  <si>
    <t>My campaign mode are refreshed for no reason, I worked for over a month, whats going on and can I have my history back ?</t>
  </si>
  <si>
    <t>oliexdev-openScale-791</t>
  </si>
  <si>
    <t>Backup crashing on Android 12</t>
  </si>
  <si>
    <t xml:space="preserve">  Describe the bug  _x000D_
App crashes when backup is clicked _x000D_
_x000D_
  To Reproduce  _x000D_
Steps to reproduce the behavior:_x000D_
1  Go to  Settings _x000D_
2  Click on  Backup _x000D_
3  See error_x000D_
_x000D_
Reproduced with  latest dev version (https:  github com oliexdev openScale releases tag travis dev build): 2 4 3 dev 49ae42b5 2021 11 12_x000D_
_x000D_
  Expected behavior  _x000D_
Backup menu should open _x000D_
_x000D_
  Additional context  _x000D_
_x000D_
_x000D_
  Debug log  _x000D_
Build version: 2 4 3 dev 49ae42b5 2021 11 12 _x000D_
Build date: 1981 01 01 01:01:02 _x000D_
Current date: 2021 11 14 11:39:39 _x000D_
Device: Google Pixel 6 Pro _x000D_
OS version: Android 12 (SDK 31) _x000D_
 _x000D_
Stack trace:  _x000D_
java lang IllegalArgumentException: com health openscale dev: Targeting S  (version 31 and above) requires that one of FLAG IMMUTABLE or FLAG MUTABLE be specified when creating a PendingIntent _x000D_
Strongly consider using FLAG IMMUTABLE  only use FLAG MUTABLE if some functionality depends on the PendingIntent being mutable  e g  if it needs to be used with inline replies or bubbles _x000D_
	at android app PendingIntent checkFlags(PendingIntent java:375)_x000D_
	at android app PendingIntent getBroadcastAsUser(PendingIntent java:645)_x000D_
	at android app PendingIntent getBroadcast(PendingIntent java:632)_x000D_
	at com health openscale core alarm AlarmBackupHandler getPendingAlarmIntent(AlarmBackupHandler java:78)_x000D_
	at com health openscale core alarm AlarmBackupHandler disableAlarm(AlarmBackupHandler java:84)_x000D_
	at com health openscale gui preferences BackupPreferences updateBackupPreferences(BackupPreferences java:94)_x000D_
	at com health openscale gui preferences BackupPreferences onCreatePreferences(BackupPreferences java:77)_x000D_
	at androidx preference PreferenceFragmentCompat onCreate(PreferenceFragmentCompat java:160)_x000D_
	at androidx fragment app Fragment performCreate(Fragment java:2949)_x000D_
	at androidx fragment app FragmentStateManager create(FragmentStateManager java:475)_x000D_
	at androidx fragment app FragmentStateManager moveToExpectedState(FragmentStateManager java:278)_x000D_
	at androidx fragment app FragmentManager executeOpsTogether(FragmentManager java:2189)_x000D_
	at androidx fragment app FragmentManager removeRedundantOperationsAndExecute(FragmentManager java:2106)_x000D_
	at androidx fragment app FragmentManager execPendingActions(FragmentManager java:2002)_x000D_
	at androidx fragment app FragmentManager 5 run(FragmentManager java:524)_x000D_
	at android os Handler handleCallback(Handler java:938)_x000D_
	at android os Handler dispatchMessage(Handler java:99)_x000D_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t>
  </si>
  <si>
    <t>TeamNewPipe-NewPipe-7404</t>
  </si>
  <si>
    <t>Video stream suddenly stops to buffer after short play</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</si>
  <si>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Start video
2  Video start playing immediately for 1 second
3  Stops to  prebuffer      for 5 10 seconds
4  Starts playing with huge buffer visible on the playbar
     If you can t cause the bug to show up again reliably (and hence don t have a proper set of steps to give us)  please still try to give as many details as possible on how you think you encountered the bug     
    Actual behavior
     Tell us what happens with the steps given above     
There seems to be enough data to start playing the video immediately but it does not happen  rather it starts loading after one seconds of play  It s really annoying  I use MPEG 1080p  The connection is stable and fast 
    Expected behavior
     Tell us what you expect to happen     
The video just plays immediately does not wait for buffer  And progressively loads a buffer as it plays ahead 
OR
Does not start playing  builds a small buffer  then plays 
Currently it just seems it COULD play the stream as it is an instant but doesn t  If there weren t buffer it would not play immediately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11  UneUI 3 1 
   Device model: SM A528B DS
</t>
  </si>
  <si>
    <t>iNPUTmice-lttrs-android-128</t>
  </si>
  <si>
    <t>Crash on email body viewing</t>
  </si>
  <si>
    <t xml:space="preserve">Ltt rs 0 2 3 (from F Droid) crashes when I tap an item in the Inbox:_x000D_
   _x000D_
11 14 12:36:33 902   287   597 I ActivityManager: START u0  act android intent action MAIN cat  android intent category LAUNCHER  flg 0x10200000 cmp rs ltt android  ui activity MainActivity bnds  1356 604  1688 830   from uid 10012_x000D_
11 14 12:36:34 072 15003 15003 D lttrs   : r l a u a LttrsActivity: onCreate()_x000D_
11 14 12:36:34 155 15003 15003 D lttrs   : r l a u m LttrsViewModel: creating instance of LttrsViewModel_x000D_
11 14 12:36:34 159 15003 15003 D lttrs   : r l a r AbstractRepository: creating instance of LttrsRepository_x000D_
11 14 12:36:34 182 15003 15003 D lttrs   : r l a r AbstractRepository: creating instance of QueryRepository_x000D_
11 14 12:36:34 209 15003 15003 W lttrs   : r l a u f AbstractQueryFragment: startPushService(MainMailboxQueryFragment)_x000D_
11 14 12:36:34 210 15003 15003 D lttrs   : r l a u a LttrsActivity: onDestinationChanged(inbox)_x000D_
11 14 12:36:34 229 15003 15358 D OpenGLRenderer: HWUI GL Pipeline_x000D_
11 14 12:36:34 263 15003 15358 D vndksupport: Loading  vendor lib64 hw gralloc tegra132 so from current namespace instead of sphal namespace _x000D_
11 14 12:36:34 281 15003 15358 I zygote64: android::hardware::configstore::V1 0::ISurfaceFlingerConfigs::hasWideColorDisplay retrieved: 0_x000D_
11 14 12:36:34 281 15003 15358 I OpenGLRenderer: Initialized EGL  version 1 4_x000D_
11 14 12:36:34 281 15003 15358 D OpenGLRenderer: Swap behavior 2_x000D_
11 14 12:36:34 315 15003 15003 D lttrs   : r l a s EventMonitorService: watchQuery(QueryInfo accountId 1  type MAIN  value null )_x000D_
11 14 12:36:34 329 15003 15359 D lttrs   : r l a s EventMonitorService: 1 accounts loaded while in state CREATED_x000D_
11 14 12:36:34 354 15003 15359 I lttrs   : r l j c e EventSourcePushService: transition to CONNECTING_x000D_
11 14 12:36:34 374 15003 15359 I lttrs   : r l j c e EventSourcePushService: Using event source url https:  jmap fastmail com event _x000D_
11 14 12:36:34 397 15003 15358 D vndksupport: Loading  vendor lib64 hw android hardware graphics mapper 2 0 impl so from current namespace instead of sphal namespace _x000D_
11 14 12:36:34 399 15003 15358 D vndksupport: Loading  vendor lib64 hw gralloc tegra132 so from current namespace instead of sphal namespace _x000D_
11 14 12:36:34 462 15003 15003 W ResourceType: Too many attribute references  stopped at: 0x01010034_x000D_
11 14 12:36:34 513 15003 15358 D vndksupport: Loading  vendor lib64 hw gralloc tegra132 so from current namespace instead of sphal namespace _x000D_
11 14 12:36:34 556   287   349 I ActivityManager: Displayed rs ltt android  ui activity LttrsActivity:  628ms_x000D_
11 14 12:36:34 610 15003 15044 I lttrs   : r l a w QueryRefreshWorker: Refreshing EmailQuery collapseThreads true  filter EmailFilterCondition inMailbox 1695d71e 0633 40cc 82b2 f424c31005af   sort  Comparator property receivedAt  isAscending false  collation null   _x000D_
11 14 12:36:34 633 15003 15022 I lttrs   : r l j m s QueryService: Refreshing query EmailQuery collapseThreads true  filter EmailFilterCondition inMailbox 1695d71e 0633 40cc 82b2 f424c31005af   sort  Comparator property receivedAt  isAscending false  collation null   _x000D_
11 14 12:36:34 633 15003 15022 I lttrs   : r l j m s MailboxService: Refreshing mailboxes since state 95925_x000D_
11 14 12:36:34 634 15003 15022 I lttrs   : r l j m s EmailService: Refreshing emails since state 95925_x000D_
11 14 12:36:34 634 15003 15003 I lttrs   : r l a u ItemAnimators: Disable item animator_x000D_
11 14 12:36:34 645 15003 15022 I lttrs   : r l j m s ThreadService: Refreshing threads since state 95925_x000D_
11 14 12:36:34 815 15003 15003 W StaticLayout: maxLineHeight should not be  1   maxLines:1 lineCount:1_x000D_
11 14 12:36:34 843 15003 15003 I chatty  : uid 10152(rs ltt android) identical 34 lines_x000D_
11 14 12:36:34 843 15003 15003 W StaticLayout: maxLineHeight should not be  1   maxLines:1 lineCount:1_x000D_
11 14 12:36:35 696 15003 15363 D lttrs   : r l j c a AbstractJmapApiClient: Notified of session state  cyrus 0 p 11 _x000D_
11 14 12:36:35 715 15003 15022 D lttrs   : r l a c DatabaseCache: cache reported 0 missing threads_x000D_
11 14 12:36:35 730 15003 15044 I lttrs   : r l a u n EmailNotification: added 0  dismissed 0  total 0_x000D_
11 14 12:36:35 733 15003 15020 I WM WorkerWrapper: Worker result SUCCESS for Work   id 3f500727 d0f3 49f0 9998 96a74b36b819  tags   rs ltt android worker MainMailboxQueryRefreshWorker    _x000D_
11 14 12:36:36 695 15003 15003 D lttrs   : r l a u a LttrsActivity: onDestinationChanged(thread)_x000D_
11 14 12:36:36 700 15003 15003 D lttrs   : r l a r AbstractRepository: creating instance of ThreadViewRepository_x000D_
11 14 12:36:36 727 15003 15003 W ResourceType: Too many attribute references  stopped at: 0x01010034_x000D_
11 14 12:36:36 754 15003 15003 W ResourceType: Too many attribute references  stopped at: 0x01010034_x000D_
11 14 12:36:36 763 15003 15003 I lttrs   : r l a u ItemAnimators: Disable item animator_x000D_
11 14 12:36:36 778 15003 15003 W ResourceType: Too many attribute references  stopped at: 0x01010034_x000D_
11 14 12:36:36 918 15003 15003 D AndroidRuntime: Shutting down VM_x000D_
11 14 12:36:36 928 15003 15003 E AndroidRuntime: FATAL EXCEPTION: main_x000D_
11 14 12:36:36 928 15003 15003 E AndroidRuntime: Process: rs ltt android  PID: 15003_x000D_
11 14 12:36:36 928 15003 15003 E AndroidRuntime: java lang ArrayIndexOutOfBoundsException: length 14  index 14_x000D_
11 14 12:36:36 928 15003 15003 E AndroidRuntime: 	at android text TextLine measure(TextLine java:324)_x000D_
11 14 12:36:36 928 15003 15003 E AndroidRuntime: 	at android text TextLine metrics(TextLine java:279)_x000D_
11 14 12:36:36 928 15003 15003 E AndroidRuntime: 	at android text Layout measurePara(Layout java:2047)_x000D_
11 14 12:36:36 928 15003 15003 E AndroidRuntime: 	at android text Layout getDesiredWidth(Layout java:164)_x000D_
11 14 12:36:36 928 15003 15003 E AndroidRuntime: 	at android widget TextView onMeasure(TextView java:8135)_x000D_
11 14 12:36:36 928 15003 15003 E AndroidRuntime: 	at androidx appcompat widget AppCompatTextView onMeasure(AppCompatTextView java:4)_x000D_
11 14 12:36:36 928 15003 15003 E AndroidRuntime: 	at android view View measure(View java:22071)_x000D_
11 14 12:36:36 928 15003 15003 E AndroidRuntime: 	at android view ViewGroup measureChildWithMargins(ViewGroup java:6602)_x000D_
11 14 12:36:36 928 15003 15003 E AndroidRuntime: 	at android widget LinearLayout measureChildBeforeLayout(LinearLayout java:1514)_x000D_
11 14 12:36:36 928 15003 15003 E AndroidRuntime: 	at android widget LinearLayout measureVertical(LinearLayout java:806)_x000D_
11 14 12:36:36 928 15003 15003 E AndroidRuntime: 	at android widget LinearLayout onMeasure(LinearLayout java:685)_x000D_
11 14 12:36:36 928 15003 15003 E AndroidRuntime: 	at android view View measure(View java:22071)_x000D_
11 14 12:36:36 928 15003 15003 E AndroidRuntime: 	at android view ViewGroup measureChildWithMargins(ViewGroup java:6602)_x000D_
11 14 12:36:36 928 15003 15003 E AndroidRuntime: 	at android widget LinearLayout measureChildBeforeLayout(LinearLayout java:1514)_x000D_
11 14 12:36:36 928 15003 15003 E AndroidRuntime: 	at android widget LinearLayout measureVertical(LinearLayout java:806)_x000D_
11 14 12:36:36 928 15003 15003 E AndroidRuntime: 	at android widget LinearLayout onMeasure(LinearLayout java:685)_x000D_
11 14 12:36:36 928 15003 15003 E AndroidRuntime: 	at android view View measure(View java:22071)_x000D_
11 14 12:36:36 928 15003 15003 E AndroidRuntime: 	at androidx recyclerview widget LinearLayoutManager layoutChunk(LinearLayoutManager java:26)_x000D_
11 14 12:36:36 928 15003 15003 E AndroidRuntime: 	at androidx recyclerview widget LinearLayoutManager fill(LinearLayoutManager java:12)_x000D_
11 14 12:36:36 928 15003 15003 E AndroidRuntime: 	at androidx recyclerview widget LinearLayoutManager onLayoutChildren(LinearLayoutManager java:119)_x000D_
11 14 12:36:36 928 15003 15003 E AndroidRuntime: 	at androidx recyclerview widget RecyclerView dispatchLayoutStep2(RecyclerView java:14)_x000D_
11 14 12:36:36 928 15003 15003 E AndroidRuntime: 	at androidx recyclerview widget RecyclerView dispatchLayout(RecyclerView java:15)_x000D_
11 14 12:36:36 928 15003 15003 E AndroidRuntime: 	at androidx recyclerview widget RecyclerView onLayout(RecyclerView java:3)_x000D_
11 14 12:36:36 928 15003 15003 E AndroidRuntime: 	at android view View layout(View java:19659)_x000D_
11 14 12:36:36 928 15003 15003 E AndroidRuntime: 	at android view ViewGroup layout(ViewGroup java:6075)_x000D_
11 14 12:36:36 928 15003 15003 E AndroidRuntime: 	at android widget FrameLayout layoutChildren(FrameLayout java:323)_x000D_
11 14 12:36:36 928 15003 15003 E AndroidRuntime: 	at android widget FrameLayout onLayout(FrameLayout java:261)_x000D_
11 14 12:36:36 928 15003 15003 E AndroidRuntime: 	at android view View layout(View java:19659)_x000D_
11 14 12:36:36 928 15003 15003 E AndroidRuntime: 	at android view ViewGroup layout(ViewGroup java:6075)_x000D_
11 14 12:36:36 928 15003 15003 E AndroidRuntime: 	at android widget FrameLayout layoutChildren(FrameLayout java:323)_x000D_
11 14 12:36:36 928 15003 15003 E AndroidRuntime: 	at android widget FrameLayout onLayout(FrameLayout java:261)_x000D_
11 14 12:36:36 928 15003 15003 E AndroidRuntime: 	at android view View layout(View java:19659)_x000D_
11 14 12:36:36 928 15003 15003 E AndroidRuntime: 	at android view ViewGroup layout(ViewGroup java:6075)_x000D_
11 14 12:36:36 928 15003 15003 E AndroidRuntime: 	at android widget FrameLayout layoutChildren(FrameLayout java:323)_x000D_
11 14 12:36:36 928 15003 15003 E AndroidRuntime: 	at android widget FrameLayout onLayout(FrameLayout java:261)_x000D_
11 14 12:36:36 928 15003 15003 E AndroidRuntime: 	at android view View layout(View java:19659)_x000D_
11 14 12:36:36 928 15003 15003 E AndroidRuntime: 	at android view ViewGroup layout(ViewGroup java:6075)_x000D_
11 14 12:36:36 928 15003 15003 E AndroidRuntime: 	at com google android material appbar HeaderScrollingViewBehavior layoutChild(HeaderScrollingViewBehavior java:23)_x000D_
11 14 12:36:36 928 15003 15003 E AndroidRuntime: 	at com google android material appbar ViewOffsetBehavior onLayoutChild(ViewOffsetBehavior java:1)_x000D_
11 14 12:36:36 928 15003 15003 E AndroidRuntime: 	at androidx coordinatorlayout widget CoordinatorLayout onLayout(CoordinatorLayout java:8)_x000D_
11 14 12:36:36 928 15003 15003 E AndroidRuntime: 	at android view View layout(View java:19659)_x000D_
11 14 12:36:36 928 15003 15003 E AndroidRuntime: 	at android view ViewGroup layout(ViewGroup java:6075)_x000D_
11 14 12:36:36 928 15003 15003 E AndroidRuntime: 	at androidx drawerlayout widget DrawerLayout onLayout(DrawerLayout java:10)_x000D_
11 14 12:36:36 928 15003 15003 E AndroidRuntime: 	at android view View layout(View java:19659)_x000D_
11 14 12:36:36 928 15003 15003 E AndroidRuntime: 	at android view ViewGroup layout(ViewGroup java:6075)_x000D_
11 14 12:36:36 928 15003 15003 E AndroidRuntime: 	at android widget FrameLayout layoutChildren(FrameLayout java:323)_x000D_
11 14 12:36:36 928 15003 15003 E AndroidRuntime: 	at android widget FrameLayout onLayout(FrameLayout java:261)_x000D_
11 14 12:36:36 928 15003 15003 E AndroidRuntime: 	at android view View layout(View java:19659)_x000D_
11 14 12:36:36 928 15003 15003 E AndroidRuntime: 	at android view ViewGroup layout(ViewGroup java:6075)_x000D_
11 14 12:36:36 928 15003 15003 E AndroidRuntime: 	at android widget FrameLayout layoutChildren(FrameLayout java:323)_x000D_
11 14 12:36:36 928 15003 15003 E AndroidRuntime: 	at android widget FrameLayout onLayout(FrameLayout java:261)_x000D_
11 14 12:36:36 928 15003 15003 E AndroidRuntime: 	at android view View layout(View java:19659)_x000D_
11 14 12:36:36 928 15003 15003 E AndroidRuntime: 	at android view ViewGroup layout(ViewGroup java:6075)_x000D_
11 14 12:36:36 928 15003 15003 E AndroidRuntime: 	at android widget FrameLayout layoutChildren(FrameLayout java:323)_x000D_
11 14 12:36:36 928 15003 15003 E AndroidRuntime: 	at android widget FrameLayout onLayout(FrameLayout java:261)_x000D_
11 14 12:36:36 928 15003 15003 E AndroidRuntime: 	at android view View layout(View java:19659)_x000D_
11 14 12:36:36 928 15003 15003 E AndroidRuntime: 	at android view ViewGroup layout(ViewGroup java:6075)_x000D_
11 14 12:36:36 928 15003 15003 E AndroidRuntime: 	at android widget LinearLayout setChildFrame(LinearLayout java:1791)_x000D_
11 14 12:36:36 928 15003 15003 E AndroidRuntime: 	at android widget LinearLayout layoutVertical(LinearLayout java:1635)_x000D_
11 14 12:36:36 928 15003 15003 E AndroidRuntime: 	at android widget LinearLayout onLayout(LinearLayout java:1544)_x000D_
11 14 12:36:36 928 15003 15003 E AndroidRuntime: 	at android view View layout(View java:19659)_x000D_
11 14 12:36:36 928 15003 15003 E AndroidRuntime: 	at android view ViewGroup layout(ViewGroup java:6075)_x000D_
11 14 12:36:36 928 15003 15003 E AndroidRuntime: 	at android widget FrameLayout layoutChildren(FrameLayout java:323)_x000D_
11 14 12:36:36 928 15003 15003 E AndroidRuntime: 	at android widget FrameLayout onLayout(FrameLayout java:261)_x000D_
11 14 12:36:36 928 15003 15003 E AndroidRuntime: 	at com android internal policy DecorView onLayout(DecorView java:761)_x000D_
11 14 12:36:36 928 15003 15003 E AndroidRuntime: 	at android view View layout(View java:19659)_x000D_
11 14 12:36:36 928 15003 15003 E AndroidRuntime: 	at android view ViewGroup layout(ViewGroup java:6075)_x000D_
11 14 12:36:36 928 15003 15003 E AndroidRuntime: 	at android view ViewRootImpl performLayout(ViewRootImpl java:2496)_x000D_
11 14 12:36:36 928 15003 15003 E AndroidRuntime: 	at android view ViewRootImpl performTraversals(ViewRootImpl java:2212)_x000D_
11 14 12:36:36 928 15003 15003 E AndroidRuntime: 	at android view ViewRootImpl doTraversal(ViewRootImpl java:1392)_x000D_
11 14 12:36:36 928 15003 15003 E AndroidRuntime: 	at android view ViewRootImpl TraversalRunnable run(ViewRootImpl java:6752)_x000D_
11 14 12:36:36 928 15003 15003 E AndroidRuntime: 	at android view Choreographer CallbackRecord run(Choreographer java:911)_x000D_
11 14 12:36:36 928 15003 15003 E AndroidRuntime: 	at android view Choreographer doCallbacks(Choreographer java:723)_x000D_
11 14 12:36:36 928 15003 15003 E AndroidRuntime: 	at android view Choreographer doFrame(Choreographer java:658)_x000D_
11 14 12:36:36 928 15003 15003 E AndroidRuntime: 	at android view Choreographer FrameDisplayEventReceiver run(Choreographer java:897)_x000D_
11 14 12:36:36 928 15003 15003 E AndroidRuntime: 	at android os Handler handleCallback(Handler java:790)_x000D_
11 14 12:36:36 928 15003 15003 E AndroidRuntime: 	at android os Handler dispatchMessage(Handler java:99)_x000D_
11 14 12:36:36 928 15003 15003 E AndroidRuntime: 	at android os Looper loop(Looper java:164)_x000D_
11 14 12:36:36 928 15003 15003 E AndroidRuntime: 	at android app ActivityThread main(ActivityThread java:6494)_x000D_
11 14 12:36:36 928 15003 15003 E AndroidRuntime: 	at java lang reflect Method invoke(Native Method)_x000D_
11 14 12:36:36 928 15003 15003 E AndroidRuntime: 	at com android internal os RuntimeInit MethodAndArgsCaller run(RuntimeInit java:438)_x000D_
11 14 12:36:36 928 15003 15003 E AndroidRuntime: 	at com android internal os ZygoteInit main(ZygoteInit java:807)_x000D_
11 14 12:36:36 930   287  1314 W ActivityManager:   Force finishing activity rs ltt android  ui activity LttrsActivity_x000D_
11 14 12:36:36 934   287   320 I ActivityManager: Showing crash dialog for package rs ltt android u0_x000D_
11 14 12:36:36 980   287  2212 I OpenGLRenderer: Initialized EGL  version 1 4_x000D_
11 14 12:36:36 981   287  2212 D OpenGLRenderer: Swap behavior 2_x000D_
11 14 12:36:37 432   287   319 W ActivityManager: Activity pause timeout for ActivityRecord 4d5929f u0 rs ltt android  ui activity LttrsActivity t25973 f _x000D_
   _x000D_
Android 8 0 tablet  Some emails crash Ltt rs  some don t  no idea what makes the difference  I can forward you a faulty one </t>
  </si>
  <si>
    <t>Anuken-Mindustry-6333</t>
  </si>
  <si>
    <t>Attempted to make my own ForceProjector which crashes on placement</t>
  </si>
  <si>
    <t xml:space="preserve">  Platform  : Linux_x000D_
_x000D_
  Build  : 126 2 (But just upgraded to 134 1 pre release)_x000D_
_x000D_
  Issue  : I have been attempting to make my own mod  which mostly follows pre built structures just modified to give me a slight advantage  (The mod doesn t override but rather makes separate items)_x000D_
_x000D_
I wanted to make my own Force Projector with slightly larger range and less downtime for when it goes down  but it appears the wiki isn t clear enough for me to follow it to make my own  (Or quite simply  I missed something that may be obvious)_x000D_
_x000D_
  Steps to reproduce  : The quickest way that I have found is to make sure my mod (which is currently not released but may soon be released via a git repo) is enabled  then enter any map in sandbox mode then go to the Defense tab (The one will walls) to select the Hex Field (my remake of the Force Projector) place it and watch your client blow up _x000D_
_x000D_
  Link(s) to mod(s) used  :  Both of the mods that I currently have installed along with the current version of my mod mindustry hacked will be added _x000D_
_x000D_
 mindustry hacked tar gz (https:  github com Anuken Mindustry files 7533309 mindustry hacked tar gz)_x000D_
 MindustryInsideAutoUpdater zip (https:  github com Anuken Mindustry files 7533310 MindustryInsideAutoUpdater zip)_x000D_
_x000D_
_x000D_
  Save file  : _x000D_
_x000D_
 test case tar gz (https:  github com Anuken Mindustry files 7533337 test case tar gz) (At this time I was still using 126 1  but now upgraded to 134 1 pre rel)_x000D_
_x000D_
  (Crash) logs  : _x000D_
_x000D_
 crash report 11 14 2021 01 50 57 txt (https:  github com Anuken Mindustry files 7533340 crash report 11 14 2021 01 50 57 txt)_x000D_
_x000D_
(At this time I was still using 126 1  but now upgraded to 134 1 pre rel)_x000D_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I have searched thru closed issues up to page 8 then quite simply gave up  since not many of them are related much to custom modding _x000D_
_x000D_
I see on the wiki  ForceProjector (https:  mindustrygame github io wiki testing modding 5 types  forceprojector) but I have all those fields on the Hex Field (as defined in mindustry hacked content blocks defense hex field hjson)  or at least I think I do _x000D_
_x000D_
I feel as though a solution  though it would take a while to complete  would be to add  hjson files that depict or even define the games built in stuff (weapons  walls  power generators  battery  and what not) as a way to show how to mod that item  (But this is just someone lost and confused)_x000D_
</t>
  </si>
  <si>
    <t>TeamNewPipe-NewPipe-7401</t>
  </si>
  <si>
    <t>Wonky aspect ratio while in fullscreen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</si>
  <si>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any video_x000D_
2  Start the video  observe aspect ratio in portrait mode_x000D_
3  Switch to fullscreen landscape mode  observe aspect ratio is wonky_x000D_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Video appears to be  stretched  horizontally while in fullscreen  making the aspect ratio wonky _x000D_
_x000D_
    Expected behavior_x000D_
     Tell us what you expect to happen     _x000D_
_x000D_
I expected the video s aspect ratio to not be wonky_x000D_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From these 2 screenshots  notice how the graphic circle turns into an oval shape when in landscape fullscreen mode_x000D_
_x000D_
 Screenshot 20211113 230544 (https:  user images githubusercontent com 18294318 141668536 8927521e ee0f 46f1 90e1 c20beec8ce95 png)_x000D_
 Screenshot 20211113 230609 (https:  user images githubusercontent com 18294318 141668535 f72dc954 c71f 46a1 b87a 322b01531a9d png)_x000D_
_x000D_
     DON T POST SCREENSHOTS OF THE ERROR PAGE  Use the buttons given on the error page to paste the error as text in the Logs section below     _x000D_
_x000D_
_x000D_
_x000D_
    Logs_x000D_
_x000D_
_x000D_
     If your bug includes a crash (where you re shown the Error Report page with a bunch of info)  tap on  Copy formatted report  at the bottom and paste it here:    _x000D_
_x000D_
NewPipe does not crash  no logs to post_x000D_
_x000D_
     That s right  here     _x000D_
_x000D_
_x000D_
_x000D_
     Please fill this section if you did not provide a log generated by NewPipe    _x000D_
_x000D_
    Device info_x000D_
_x000D_
   Android version Custom ROM version: Android 12  SP1A 211105 002  4 9 270 gd728658b095f ab7709094_x000D_
   Device model: Pixel 3a_x000D_
</t>
  </si>
  <si>
    <t>PojavLauncherTeam-PojavLauncher-2234</t>
  </si>
  <si>
    <t>Why my 1.8.9 CRASH</t>
  </si>
  <si>
    <t xml:space="preserve">    Describe the bug
I go to my world in 1 8 9 version   CRASH (game exited)_x000D_
Don t say enable VBO   it doesn t work  
    The log file and images videos
 No response 
    Steps To Reproduce
   markdown
1  go to pojav_x000D_
2  select 1 8 9_x000D_
3  go to world or server_x000D_
4  crash (game exited)
    Expected Behavior
i want to play 1 8 9   pls fix it
    Platform
   markdown
  Device model: samsung galaxy A71_x000D_
  CPU architecture: aarch 64_x000D_
  Android version: 11_x000D_
  PojavLauncher version: Latest   you guys made
    Anything else 
Pls fix it   don t say enable VBO it doesn t work for me   _x000D_
Pls don t close this so fast </t>
  </si>
  <si>
    <t>inaturalist-iNaturalistAndroid-1145</t>
  </si>
  <si>
    <t>NullPointerException in ObservationViewerSlider$ScreenSlidePagerAdapter.getObsUriByPosition</t>
  </si>
  <si>
    <t xml:space="preserve">https:  console firebase google com u 1 project inaturalist ios crashlytics app android:org inaturalist android issues 6136e037f493b818b8b8e7482c931285_x000D_
_x000D_
   _x000D_
Caused by java lang NullPointerException: Attempt to invoke interface method  boolean android database Cursor moveToPosition(int)  on a null object reference_x000D_
       at org inaturalist android ObservationViewerSlider ScreenSlidePagerAdapter getObsUriByPosition(ObservationViewerSlider java:287)_x000D_
       at org inaturalist android ObservationViewerSlider onActivityResult(ObservationViewerSlider java:119)_x000D_
       at android app Activity dispatchActivityResult(Activity java:8249)_x000D_
   </t>
  </si>
  <si>
    <t>inaturalist-iNaturalistAndroid-1144</t>
  </si>
  <si>
    <t>NumberFormatException in ObservationViewerSlider$ScreenSlidePagerAdapter</t>
  </si>
  <si>
    <t xml:space="preserve">https:  console firebase google com u 1 project inaturalist ios crashlytics app android:org inaturalist android issues 6bad5a95e3500050d3f7ab7462a8f113_x000D_
_x000D_
   _x000D_
Caused by java lang NumberFormatException: For input string:  90361247  _x000D_
       at java lang Integer parseInt(Integer java:608)_x000D_
       at java lang Integer valueOf(Integer java:794)_x000D_
       at org inaturalist android ObservationViewerSlider ScreenSlidePagerAdapter  init (ObservationViewerSlider java:198)_x000D_
       at org inaturalist android ObservationViewerSlider onCreate(ObservationViewerSlider java:73)_x000D_
   </t>
  </si>
  <si>
    <t>inaturalist-iNaturalistAndroid-1143</t>
  </si>
  <si>
    <t xml:space="preserve">https:  console firebase google com u 1 project inaturalist ios crashlytics app android:org inaturalist android issues b45004b4a574086bf4e684a7188d3e95_x000D_
_x000D_
   _x000D_
Fatal Exception: java lang NullPointerException: Attempt to invoke virtual method  android view Window android app Activity getWindow()  on a null object reference_x000D_
       at org inaturalist android ObservationEditor 33 run(ObservationEditor java:2737)_x000D_
       at android os Handler handleCallback(Handler java:938)_x000D_
       at android os Handler dispatchMessage(Handler java:99)_x000D_
       at android os Looper loop(Looper java:246)_x000D_
       at android app ActivityThread main(ActivityThread java:8512)_x000D_
       at java lang reflect Method invoke(Method java)_x000D_
       at com android internal os RuntimeInit MethodAndArgsCaller run(RuntimeInit java:602)_x000D_
       at com android internal os ZygoteInit main(ZygoteInit java:1139)_x000D_
   </t>
  </si>
  <si>
    <t>inaturalist-iNaturalistAndroid-1142</t>
  </si>
  <si>
    <t>NullPointerException in ImageUtils.addPhotoToGalleryAndroid10</t>
  </si>
  <si>
    <t xml:space="preserve">https:  console firebase google com u 1 project inaturalist ios crashlytics app android:org inaturalist android issues f24f7471d20653aed1fe26f07ccfc1ed_x000D_
_x000D_
   _x000D_
Fatal Exception: java lang NullPointerException_x000D_
       at java io File  init (File java:283)_x000D_
       at org inaturalist android ImageUtils addPhotoToGalleryAndroid10(ImageUtils java:728)_x000D_
       at org inaturalist android ImageUtils addPhotoToGallery(ImageUtils java:655)_x000D_
       at org inaturalist android ObservationEditor prepareCapturedPhoto(ObservationEditor java:3232)_x000D_
       at org inaturalist android ObservationEditor access 4600(ObservationEditor java:146)_x000D_
       at org inaturalist android ObservationEditor 35 run(ObservationEditor java:3098)_x000D_
       at java lang Thread run(Thread java:923)_x000D_
   </t>
  </si>
  <si>
    <t>MuntashirAkon-AppManager-621</t>
  </si>
  <si>
    <t>installation popup crashes</t>
  </si>
  <si>
    <t xml:space="preserve">   x  I know what my device  OS and App Manager versions are_x000D_
      Google Pixel 4a (5G)_x000D_
      Android 12_x000D_
      AM version 2 6 4_x000D_
   x  I know how to take logs_x000D_
   x  I know how to reproduce the issue which may not be specific to my device_x000D_
_x000D_
  Describe the bug  _x000D_
When trying to install something from f droid  the conformation popup shows for the blink of an eye and crashes  The crash started after updating the device to Android 12 _x000D_
_x000D_
  To Reproduce  _x000D_
Steps to reproduce the behaviour:_x000D_
1  Go to f droid and try to install any app using the AppManager_x000D_
2  Crash_x000D_
_x000D_
  Expected behavior  _x000D_
Conformation dialog with version information etc should popup _x000D_
_x000D_
  Crash logs  _x000D_
   _x000D_
java lang NoSuchMethodError: No interface method createSession(Landroid content pm PackageInstaller SessionParams Ljava lang String I)I in class Landroid content pm IPackageInstaller  or its super classes (declaration of  android content pm IPackageInstaller  appears in  system framework framework jar)_x000D_
    at io github muntashirakon AppManager apk installer PackageInstallerCompat openSession(PackageInstallerCompat java:665)_x000D_
    at io github muntashirakon AppManager apk installer PackageInstallerCompat install(PackageInstallerCompat java:527)_x000D_
    at io github muntashirakon AppManager apk installer PackageInstallerService onHandleIntent(PackageInstallerService java:122)_x000D_
    at io github muntashirakon AppManager types ForegroundService ServiceHandler handleMessage(ForegroundService java:40)_x000D_
    at android os Handler dispatchMessage(Handler java:106)_x000D_
    at android os Looper loopOnce(Looper java:201)_x000D_
    at android os Looper loop(Looper java:288)_x000D_
    at android os HandlerThread run(HandlerThread java:67)_x000D_
_x000D_
Device Info:_x000D_
App version: 2 6 4_x000D_
App version code: 394_x000D_
Android build version: 7757856_x000D_
Android release version: 12_x000D_
Android SDK version: 31_x000D_
Android build ID: SP1A 211105 003_x000D_
Device brand: google_x000D_
Device manufacturer: Google_x000D_
Device name: bramble_x000D_
Device model: Pixel 4a (5G)_x000D_
Device product name: bramble_x000D_
Device hardware name: bramble_x000D_
ABIs:  arm64 v8a  armeabi v7a  armeabi _x000D_
ABIs (32bit):  armeabi v7a  armeabi _x000D_
ABIs (64bit):  arm64 v8a _x000D_
System language: de DE_x000D_
In App Language: auto_x000D_
Mode: auto_x000D_
    _x000D_
_x000D_
  Device info  _x000D_
   Device: Google Pixel 4a (5G)_x000D_
   OS Version: Android 12_x000D_
   App Manager Version: 2 6 4_x000D_
   Mode: stock rom_x000D_
</t>
  </si>
  <si>
    <t>TeamNewPipe-NewPipe-7397</t>
  </si>
  <si>
    <t>CheckForNewAppVersion randomly fails (when app is in background)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</si>
  <si>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No idea  NewPipe popped up from background with the error message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NewPipe popped up from background with the error message _x000D_
_x000D_
_x000D_
    Expected behavior_x000D_
     Tell us what you expect to happen     _x000D_
Do not pop up with random_x000D_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lineage enchilada userdebug 11 RQ3A 211001 001 10036215_x000D_
   Device model: OnePlus 6_x000D_
_x000D_
_x000D_
   Exception_x000D_
    User Action:   ui error_x000D_
    Request:   ACRA report_x000D_
    Content Country:   RU_x000D_
    Content Language:   ru RU_x000D_
    App Language:   ru RU_x000D_
    Service:   none_x000D_
    Version:   0 21 13_x000D_
    OS:   Linux Android 11   30_x000D_
 details  summary  b Crash log   b   summary  p _x000D_
_x000D_
   _x000D_
java lang IllegalStateException: Not allowed to start service Intent   cmp org schabi newpipe  CheckForNewAppVersion  : app is in background uid UidRecord 27dcaf3 u0a248 CAC  bg: 1m47s807ms idle change:idle procs:1 seq(0 0 0) _x000D_
	at android app ContextImpl startServiceCommon(ContextImpl java:1715)_x000D_
	at android app ContextImpl startService(ContextImpl java:1670)_x000D_
	at android content ContextWrapper startService(ContextWrapper java:720)_x000D_
	at org schabi newpipe CheckForNewAppVersion startNewVersionCheckService(CheckForNewAppVersion java:258)_x000D_
	at org schabi newpipe MainActivity onPostCreate(MainActivity java:175)_x000D_
	at android app Instrumentation callActivityOnPostCreate(Instrumentation java:1383)_x000D_
	at android app ActivityThread handleStartActivity(ActivityThread java:3484)_x000D_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ClientTransactionHandler executeTransaction(ClientTransactionHandler java:58)_x000D_
	at android app ActivityThread handleRelaunchActivityLocally(ActivityThread java:5414)_x000D_
	at android app ActivityThread access 3300(ActivityThread java:237)_x000D_
	at android app ActivityThread H handleMessage(ActivityThread java:2076)_x000D_
	at android os Handler dispatchMessage(Handler java:106)_x000D_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_x000D_
   _x000D_
  details _x000D_
 hr _x000D_
</t>
  </si>
  <si>
    <t>nextcloud-android-9254</t>
  </si>
  <si>
    <t>3.18.0 RC5: search crashing</t>
  </si>
  <si>
    <t>tried different searches  get almost every time this crash:_x000D_
_x000D_
             CAUSE OF ERROR             _x000D_
_x000D_
java lang RuntimeException: java lang reflect InvocationTargetException_x000D_
	at com android internal os RuntimeInit MethodAndArgsCaller run(RuntimeInit java:641)_x000D_
	at com android internal os ZygoteInit main(ZygoteInit java:978)_x000D_
Caused by: java lang reflect InvocationTargetException_x000D_
	at java lang reflect Method invoke(Native Method)_x000D_
	at com android internal os RuntimeInit MethodAndArgsCaller run(RuntimeInit java:631)_x000D_
	    1 more_x000D_
Caused by: com nextcloud client network ClientFactory CreationException: com owncloud android lib common accounts AccountUtils AccountNotFoundException: Error receiving password token_x000D_
	at com nextcloud client network ClientFactoryImpl createNextcloudClient(ClientFactoryImpl java:64)_x000D_
	at com owncloud android ui unifiedsearch UnifiedSearchRemoteRepository fetchProviders(UnifiedSearchRemoteRepository kt:108)_x000D_
	at com owncloud android ui unifiedsearch UnifiedSearchRemoteRepository queryAll(UnifiedSearchRemoteRepository kt:45)_x000D_
	at com owncloud android ui unifiedsearch UnifiedSearchViewModel initialQuery(UnifiedSearchViewModel kt:124)_x000D_
	at com owncloud android ui fragment UnifiedSearchFragment onCreate(UnifiedSearchFragment kt:91)_x000D_
	at androidx fragment app Fragment performCreate(Fragment java:2949)_x000D_
	at androidx fragment app FragmentStateManager create(FragmentStateManager java:475)_x000D_
	at androidx fragment app FragmentStateManager moveToExpectedState(FragmentStateManager java:278)_x000D_
	at androidx fragment app FragmentManager executeOpsTogether(FragmentManager java:2189)_x000D_
	at androidx fragment app FragmentManager removeRedundantOperationsAndExecute(FragmentManager java:2100)_x000D_
	at androidx fragment app FragmentManager execPendingActions(FragmentManager java:2002)_x000D_
	at androidx fragment app FragmentManager 5 run(FragmentManager java:524)_x000D_
	at android os Handler handleCallback(Handler java:938)_x000D_
	at android os Handler dispatchMessage(Handler java:99)_x000D_
	at android os Looper loop(Looper java:233)_x000D_
	at android app ActivityThread main(ActivityThread java:8010)_x000D_
	    3 more_x000D_
Caused by: com owncloud android lib common accounts AccountUtils AccountNotFoundException: Error receiving password token_x000D_
	at com owncloud android lib common OwnCloudClientFactory createNextcloudClient(OwnCloudClientFactory java:218)_x000D_
	at com nextcloud client network ClientFactoryImpl createNextcloudClient(ClientFactoryImpl java:62)_x000D_
	    18 more_x000D_
Caused by: java lang IllegalStateException: calling this from your main thread can lead to deadlock_x000D_
	at android accounts AccountManager ensureNotOnMainThread(AccountManager java:2181)_x000D_
	at android accounts AccountManager access 500(AccountManager java:164)_x000D_
	at android accounts AccountManager AmsTask internalGetResult(AccountManager java:2287)_x000D_
	at android accounts AccountManager AmsTask getResult(AccountManager java:2325)_x000D_
	at android accounts AccountManager AmsTask getResult(AccountManager java:2240)_x000D_
	at android accounts AccountManager blockingGetAuthToken(AccountManager java:1529)_x000D_
	at com owncloud android lib common OwnCloudClientFactory createNextcloudClient(OwnCloudClientFactory java:211)_x000D_
	    19 more_x000D_
_x000D_
             APP INFORMATION             _x000D_
ID: com nextcloud client_x000D_
Version: 30180055_x000D_
Build flavor: gplay_x000D_
_x000D_
             DEVICE INFORMATION             _x000D_
Brand: OnePlus_x000D_
Device: OnePlus7T_x000D_
Model: HD1903_x000D_
Id: RKQ1 201022 002_x000D_
Product: OnePlus7T EEA_x000D_
_x000D_
             FIRMWARE             _x000D_
SDK: 30_x000D_
Release: 11_x000D_
Incremental: 2108182246</t>
  </si>
  <si>
    <t>PojavLauncherTeam-PojavLauncher-2229</t>
  </si>
  <si>
    <t>1.8.9 &amp; LC(LunarClient) crash</t>
  </si>
  <si>
    <t xml:space="preserve">    Describe the bug
It s go into menu   when i go to my world it s crash   i enabled VBO it doen t work for me _x000D_
I can t play on hypixel 1 8 9_x000D_
    The log file and images videos
 No response 
    Steps To Reproduce
   markdown
1 open 1 8 9 or Lunar Client _x000D_
2 go to world   GAME EXITED
    Expected Behavior
Plssssssss fix it   it s my dreeeaam
    Platform
   markdown
  Device model: Samsung galaxy A71_x000D_
  CPU architecture: aarch64_x000D_
  Android version: 11_x000D_
  PojavLauncher version: Latest
    Anything else 
Don t say use VBO i use it   doesn t work   </t>
  </si>
  <si>
    <t>nextcloud-talk-android-1678</t>
  </si>
  <si>
    <t>App crashes when going back into full screen from PIP</t>
  </si>
  <si>
    <t xml:space="preserve">   Steps to reproduce_x000D_
1  Jojn a call_x000D_
2  Enter PIP_x000D_
3  Leave PIP_x000D_
4  Enter PIP_x000D_
_x000D_
    Actual behaviour_x000D_
App crashes if you leave enter and leave pip mode_x000D_
_x000D_
_x000D_
   Device information_x000D_
_x000D_
  Device:   Fairphone2  _x000D_
Oneplus N200 5G_x000D_
  Android version:   10  _x000D_
Oxygen OS 11 0 3 0 DE17AA_x000D_
  Talk version:   11 0 0_x000D_
v13 0 0 RC1_x000D_
   Server information_x000D_
_x000D_
  Nextcloud version:   (see admin overview page:   index php settings admin overview )_x000D_
22 2 2_x000D_
  Talk version:   (see apps admin page:   index php settings apps )_x000D_
12 1 2_x000D_
  Custom Signaling server configured:   yes no and version (see talk admin settings:   index php index php settings admin talk signaling server )_x000D_
No_x000D_
  Custom TURN server configured:   yes no (see talk admin settings:   index php settings admin talk turn server )_x000D_
Yes_x000D_
  Custom STUN server configured:   yes no (see talk admin settings:   index php settings admin talk stun server )_x000D_
Yes_x000D_
_x000D_
https:  user images githubusercontent com 59488153 141346673 8cf65917 eb9f 47be afea 1a4c05102216 mp4_x000D_
_x000D_
_x000D_
</t>
  </si>
  <si>
    <t>Anuken-Mindustry-6326</t>
  </si>
  <si>
    <t>Typing in the game using Pinyin input method cannot display the candidate box</t>
  </si>
  <si>
    <t xml:space="preserve">  Platform  :  Windows _x000D_
_x000D_
  Build  :  134 1 _x000D_
_x000D_
  Issue  :  Typing in the game using Pinyin input method cannot display the candidate box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</si>
  <si>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Anuken-Mindustry-6325</t>
  </si>
  <si>
    <t>macOS Monterey Crashing</t>
  </si>
  <si>
    <t xml:space="preserve">macOS Monterey 12 0 1  build 6469836_x000D_
_x000D_
Issue: Game crashes immediately on startup of app   It has not opened since I have updated my OS   It happens every time _x000D_
_x000D_
No Mods_x000D_
_x000D_
Don t think you need a save file as I m not even playing yet  but let me know if you an I will see what I can do to get one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text txt (https:  github com Anuken Mindustry files 7517309 text txt)_x000D_
 _x000D_
</t>
  </si>
  <si>
    <t>Anuken-Mindustry-6324</t>
  </si>
  <si>
    <t>MultiEffect overrides children</t>
  </si>
  <si>
    <t xml:space="preserve">  Platform  :  Windows _x000D_
_x000D_
  Build  :  Custom build   this pr (https:  github com Anuken Mindustry pull 6323) _x000D_
_x000D_
  Issue  :  MultiEffect overrides its children s fields  at least in hjson _x000D_
_x000D_
  Steps to reproduce  :  Make a MultiEffect  add a child  set  baseRotation  or  startDelay   Double check that MultiEffect is the issue by removing the MultiEffect and using the child directly _x000D_
_x000D_
  Link(s) to mod(s) used  :  I was testing using my own test mod but I believe you can reproduce using any hjson _x000D_
_x000D_
  Save file  :  it has my   inaccessible   mod but ok _x000D_
 bap zip (https:  github com Anuken Mindustry files 7515645 bap zip)_x000D_
_x000D_
_x000D_
If you remove the line above without reading it properly and understanding what it means  I will reap your soul  Even if you re playing on someone s server  you can still save the game to a slot 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</si>
  <si>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TeamNewPipe-NewPipe-7394</t>
  </si>
  <si>
    <t>Showing  Video duratiom</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</si>
  <si>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feeds 
2  Most of the videos dont have video duration
3  Press and hold on  video  without duration on thumbnail 
4  Click on show channel details and it shows the video duration as to how to long it is on thumbnail 
5  Go back to video under feeds now that video shows duration on thumbnail
     If you can t cause the bug to show up again reliably (and hence don t have a proper set of steps to give us)  please still try to give as many details as possible on how you think you encountered the bug     
    Actual behavior
     Tell us what happens with the steps given above     
Thumbnail which didnt show duration shows it after last step
    Expected behavior
     Tell us what you expect to happen     
Show beforehand under feeds 
Also this is also for videos which are not played yet but played videos show duration which shouldnt be the case when you want to know how long the video is before watching it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Device model:
</t>
  </si>
  <si>
    <t>TeamNewPipe-NewPipe-7391</t>
  </si>
  <si>
    <t>NewPipe crashes when de/activating subtitles in Samsung Dex mode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</si>
  <si>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open Newpipe in Samsung Dex (I tried it Dex for Windows  probably also happens in native Dex)  watch a video  try to activate or deactivate subtitles  crash ensues 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11_x000D_
   Device model: Samsung Galaxy S21 _x000D_
</t>
  </si>
  <si>
    <t>harysuryanto-dinografi-1</t>
  </si>
  <si>
    <t>The save function does not work</t>
  </si>
  <si>
    <t xml:space="preserve">The SAVE button will make the app crash if we tap it and it does not save data </t>
  </si>
  <si>
    <t>TeamNewPipe-NewPipe-7389</t>
  </si>
  <si>
    <t>Cropped video in full 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</si>
  <si>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some video_x000D_
2  Play it in fullscreen_x000D_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Video are cropped in fullscreen mode  no matter the resolution _x000D_
_x000D_
_x000D_
_x000D_
    Expected behavior_x000D_
     Tell us what you expect to happen     _x000D_
Video not cropped_x000D_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20211110 074427 NewPipe SponsorBlock (https:  user images githubusercontent com 22192600 141064132 50c145fb 0d21 412a af22 a9a2b43d1d23 png)_x000D_
The strange white dots at the bottom are supposed to be forced subtitles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8 1_x000D_
   Device model: Galaxy S7_x000D_
</t>
  </si>
  <si>
    <t>MuntashirAkon-AppManager-620</t>
  </si>
  <si>
    <t>Root Mode does not work for a rom with Sandboxed Play services patches</t>
  </si>
  <si>
    <t xml:space="preserve">    _x000D_
Your issue will be closed without warning if you don t check at least two items _x000D_
   _x000D_
   x  I know what my device  OS and App Manager versions are_x000D_
      I know how to take logs_x000D_
      I know how to reproduce the issue which may not be specific to my device_x000D_
_x000D_
  Describe the bug  _x000D_
I applied  Sandboxed Play services  patches from grapheneos  https:  github com sn 00 x lineage gmscompat tree master src gmscompat patches_x000D_
_x000D_
Magisk grants superuser requests from AM  But AM works as if it is in  no root  mode ( falls back to it) _x000D_
_x000D_
  Crash logs  _x000D_
 Previous crashlog_x000D_
   _x000D_
java lang RuntimeException: Unable to start activity ComponentInfo io github muntashirakon AppManager debug io github muntashirakon AppManager details AppDetailsActivity : java lang RuntimeException: Cannot create an instance of class io github muntashirakon AppManager details AppDetailsViewModel_x000D_
    at android app ActivityThread performLaunchActivity(ActivityThread java:3433)_x000D_
    at android app ActivityThread handleLaunchActivity(ActivityThread java:3597)_x000D_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java:2068)_x000D_
    at android os Handler dispatchMessage(Handler java:106)_x000D_
    at android os Looper loop(Looper java:223)_x000D_
    at android app ActivityThread main(ActivityThread java:7671)_x000D_
    at java lang reflect Method invoke(Native Method)_x000D_
    at com android internal os RuntimeInit MethodAndArgsCaller run(RuntimeInit java:594)_x000D_
    at com android internal os ZygoteInit main(ZygoteInit java:947)_x000D_
 Caused by: java lang RuntimeException: Cannot create an instance of class io github muntashirakon AppManager details AppDetailsViewModel_x000D_
   at androidx lifecycle ViewModelProvider AndroidViewModelFactory create(ViewModelProvider java:275)_x000D_
   at androidx lifecycle SavedStateViewModelFactory create(SavedStateViewModelFactory java:112)_x000D_
   at androidx lifecycle ViewModelProvider get(ViewModelProvider java:185)_x000D_
   at androidx lifecycle ViewModelProvider get(ViewModelProvider java:150)_x000D_
   at io github muntashirakon AppManager details AppDetailsActivity onAuthenticated(AppDetailsActivity java:51)_x000D_
   at io github muntashirakon AppManager BaseActivity onCreate(BaseActivity java:46)_x000D_
   at android app Activity performCreate(Activity java:7994)_x000D_
   at android app Activity performCreate(Activity java:7978)_x000D_
   at android app Instrumentation callActivityOnCreate(Instrumentation java:1313)_x000D_
   at android app ActivityThread performLaunchActivity(ActivityThread java:3406)_x000D_
   at android app ActivityThread handleLaunchActivity(ActivityThread java:3597)_x000D_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java:2068)_x000D_
   at android os Handler dispatchMessage(Handler java:106)_x000D_
   at android os Looper loop(Looper java:223)_x000D_
   at android app ActivityThread main(ActivityThread java:7671)_x000D_
   at java lang reflect Method invoke(Native Method)_x000D_
   at com android internal os RuntimeInit MethodAndArgsCaller run(RuntimeInit java:594)_x000D_
   at com android internal os ZygoteInit main(ZygoteInit java:947)_x000D_
_x000D_
Device Info:_x000D_
App version: 2 7 0 1586 DEBUG_x000D_
App version code: 395_x000D_
Android build version: eng noob 20211109 101718_x000D_
Android release version: 11_x000D_
Android SDK version: 30_x000D_
Android build ID: lineage miatoll userdebug 11 RD2A 211001 002 eng noob 20211109 101718 release keys_x000D_
Device brand: Redmi_x000D_
Device manufacturer: Xiaomi_x000D_
Device name: curtana_x000D_
Device model: Redmi Note 9 Pro_x000D_
Device product name: lineage miatoll_x000D_
Device hardware name: qcom_x000D_
ABIs:  arm64 v8a  armeabi v7a  armeabi _x000D_
ABIs (32bit):  armeabi v7a  armeabi _x000D_
ABIs (64bit):  arm64 v8a _x000D_
System language: en GB_x000D_
In App Language: auto_x000D_
Mode: root_x000D_
   _x000D_
_x000D_
  log  _x000D_
_x000D_
 AM 2021 11 10 00 28 02 txt (https:  github com MuntashirAkon AppManager files 7510186 AM 2021 11 10 00 28 02 txt)_x000D_
</t>
  </si>
  <si>
    <t>TeamNewPipe-NewPipe-7388</t>
  </si>
  <si>
    <t>Repeating channel content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</si>
  <si>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Pick a channel  any channel  Open its channel page _x000D_
2  Start scrolling through the channel page  After about 50 70 items  the list will start to repeat itself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Channel content repeats itself after a few tens of videos  _x000D_
_x000D_
_x000D_
_x000D_
    Expected behavior_x000D_
     Tell us what you expect to happen     _x000D_
Channel content should continue to load as it would on the YT app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Samsung One UI 3 1 (Android 11)_x000D_
   Device model: Galaxy A32 5G (model number SM A326U)_x000D_
</t>
  </si>
  <si>
    <t>mI-PIV-app-190</t>
  </si>
  <si>
    <t>Exiting Calibration Crash</t>
  </si>
  <si>
    <t xml:space="preserve">The app crashes if a user follows the  Create Camera Calibration     Take Calibration Image    and then exits without taking an image </t>
  </si>
  <si>
    <t>TeamNewPipe-NewPipe-7387</t>
  </si>
  <si>
    <t>Downloads do not automatically start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</si>
  <si>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Try to download audio (or video)_x000D_
_x000D_
    Actual behavior_x000D_
     Tell us what happens with the steps given above     _x000D_
_x000D_
The download does not start automatically_x000D_
_x000D_
    Expected behavior_x000D_
     Tell us what you expect to happen     _x000D_
_x000D_
The download starts automatically_x000D_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https:  imgur com a tsk37Jw_x000D_
_x000D_
https:  imgur com a PRScAxK_x000D_
_x000D_
    Logs_x000D_
     If your bug includes a crash (where you re shown the Error Report page with a bunch of info)  tap on  Copy formatted report  at the bottom and paste it here:    _x000D_
_x000D_
     That s right  here     _x000D_
_x000D_
I don t know how to get one without laptop_x000D_
_x000D_
     Please fill this section if you did not provide a log generated by NewPipe    _x000D_
_x000D_
    Device info_x000D_
_x000D_
   Android version Custom ROM version: Lineage OS 9_x000D_
   Device model: Samsung Galaxy S8_x000D_
_x000D_
This happens on other ROMs including the stock official rom_x000D_
</t>
  </si>
  <si>
    <t>inaturalist-iNaturalistAndroid-1140</t>
  </si>
  <si>
    <t>NullPointerException in ObservationViewerSlider.onActivityResult</t>
  </si>
  <si>
    <t xml:space="preserve">https:  console firebase google com u 1 project inaturalist ios crashlytics app android:org inaturalist android issues 72a87b184a70c9fac8b3a02a5f1e57d4_x000D_
_x000D_
   _x000D_
Caused by java lang NullPointerException: Attempt to invoke virtual method  void androidx fragment app Fragment onActivityResult(int  int  android content Intent)  on a null object reference_x000D_
       at org inaturalist android ObservationViewerSlider onActivityResult(ObservationViewerSlider java:114)_x000D_
       at android app Activity dispatchActivityResult(Activity java:8550)_x000D_
   </t>
  </si>
  <si>
    <t>inaturalist-iNaturalistAndroid-1139</t>
  </si>
  <si>
    <t>NullPointerException in ActivityHelper.addMapPosition</t>
  </si>
  <si>
    <t xml:space="preserve">https:  console firebase google com u 1 project inaturalist ios crashlytics app android:org inaturalist android issues 409bbf78efa149b414e43b6e1550cedb_x000D_
_x000D_
   _x000D_
Fatal Exception: java lang NullPointerException: Attempt to invoke virtual method  void org inaturalist android ActivityHelper addMapPosition(com google android gms maps GoogleMap  org inaturalist android Observation  org inaturalist android BetterJSONObject)  on a null object reference_x000D_
       at org inaturalist android ObservationViewerFragment setupMap(ObservationViewerFragment java:1578)_x000D_
       at org inaturalist android ObservationViewerFragment access 1200(ObservationViewerFragment java:114)_x000D_
       at org inaturalist android ObservationViewerFragment 2 onMapReady(ObservationViewerFragment java:751)_x000D_
   </t>
  </si>
  <si>
    <t>OneBusAway-onebusaway-android-1084</t>
  </si>
  <si>
    <t>Android 12 causes device reboot while OBA is running</t>
  </si>
  <si>
    <t xml:space="preserve">  Summary:   _x000D_
_x000D_
I ve gotten the following reports from two different users  so it seems there is a bug in Android 12 that s triggered by OBA that causes a device reset _x000D_
_x000D_
I m not sure there is much we can do here as no app should be able to trigger this  so it s definitely an Android bug  But I m going to open this issue we can track it _x000D_
_x000D_
I ve suggested that users upgrade to the v2 9 x beta to see if that avoids the issue _x000D_
_x000D_
 Unfortunately  recently  I ve found that opening the app will occasionally cause my whole phone to crash and restart (no error message  just immediate restart boot screen)  The behavior seems to happen consistently when I open the app for the first time on any given day  but then typically isn t an issue again for the remainder of the day  This has been going on for at least a week or so and may have started when I upgraded to Android 12  but I m not totally confident on the timing  _x000D_
 _x000D_
 App Version: 2 8 0_x000D_
Model: Pixel 4a_x000D_
OS Version: 12   31_x000D_
Google Play Services App: 21 39 18 (190400 407637301)_x000D_
Google Play Services Library: 12451000_x000D_
Region API: Puget Sound (selected automatically)_x000D_
_x000D_
Another report:_x000D_
_x000D_
 Every time I first open the app at this location and tap on the screen  my phone resets  After the reset the app works fine  It only seems to happen at this location and has been going on since I updated to Android 12  _x000D_
 _x000D_
 Before updating  the app would freeze up at this location and it would take a few minutes and telling Android to wait for the app to respond before it would finally unfreeze  _x000D_
 _x000D_
 App Version: 2 8 0_x000D_
Model: Pixel 4 XL_x000D_
OS Version: 12   31_x000D_
Google Play Services App: 21 39 18 (190400 407637301)_x000D_
Google Play Services Library: 12451000_x000D_
Region API: Puget Sound (selected automatically)_x000D_
_x000D_
  Steps to reproduce:   _x000D_
_x000D_
Unknown_x000D_
_x000D_
  Expected behavior:   _x000D_
_x000D_
App shouldn t be able to trigger device reset_x000D_
_x000D_
  Observed behavior:   _x000D_
_x000D_
App triggers device reset_x000D_
_x000D_
  Device and Android version:   _x000D_
_x000D_
Pixel 4XL and Pixel 4a both running Android 12</t>
  </si>
  <si>
    <t>yasirkula-UnityNativeShare-130</t>
  </si>
  <si>
    <t>Android 12/S+ Native Share requires FLAG_IMMUTABLE Flag</t>
  </si>
  <si>
    <t xml:space="preserve">  Description of the bug  _x000D_
_x000D_
When calling NativeShare Share() on my Pixel 3 on Android 12  my app crashes with the error:_x000D_
_x000D_
 Error AndroidRuntime java lang IllegalArgumentException: com package packagename: Targeting S  (version 31 and above) requires that one of FLAG IMMUTABLE or FLAG MUTABLE be specified when creating a PendingIntent  _x000D_
_x000D_
  Reproduction steps  _x000D_
_x000D_
On a phone running Android 12  initialize a NativeShare object  and then call the NativeShare Share function _x000D_
The app should crash with the given error _x000D_
_x000D_
  Platform specs  _x000D_
_x000D_
Please provide the following info if this is a Unity 3D repository _x000D_
_x000D_
  Unity version: 2020 3 15f2_x000D_
  Platform: Android on phones running Android 12 _x000D_
  Device: Pixel 3  Android 12_x000D_
  How did you download the plugin: Package Manager_x000D_
_x000D_
  Additional info  _x000D_
_x000D_
Full Logcat:_x000D_
2021 11 09 11:09:09 188 10401 10401 Error AndroidRuntime FATAL EXCEPTION: main_x000D_
2021 11 09 11:09:09 188 10401 10401 Error AndroidRuntime Process: com package packagename  PID: 10401_x000D_
2021 11 09 11:09:09 188 10401 10401 Error AndroidRuntime java lang IllegalArgumentException: com package packagename: Targeting S  (version 31 and above) requires that one of FLAG IMMUTABLE or FLAG MUTABLE be specified when creating a PendingIntent _x000D_
2021 11 09 11:09:09 188 10401 10401 Error AndroidRuntime Strongly consider using FLAG IMMUTABLE  only use FLAG MUTABLE if some functionality depends on the PendingIntent being mutable  e g  if it needs to be used with inline replies or bubbles _x000D_
2021 11 09 11:09:09 188 10401 10401 Error AndroidRuntime 	at android app PendingIntent checkFlags(PendingIntent java:375)_x000D_
2021 11 09 11:09:09 188 10401 10401 Error AndroidRuntime 	at android app PendingIntent getBroadcastAsUser(PendingIntent java:645)_x000D_
2021 11 09 11:09:09 188 10401 10401 Error AndroidRuntime 	at android app PendingIntent getBroadcast(PendingIntent java:632)_x000D_
2021 11 09 11:09:09 188 10401 10401 Error AndroidRuntime 	at com yasirkula unity NativeShareBroadcastListener Initialize(NativeShareBroadcastListener java:31)_x000D_
2021 11 09 11:09:09 188 10401 10401 Error AndroidRuntime 	at com yasirkula unity NativeShareFragment onCreate(NativeShareFragment java:46)_x000D_
2021 11 09 11:09:09 188 10401 10401 Error AndroidRuntime 	at android app Fragment performCreate(Fragment java:2486)_x000D_
2021 11 09 11:09:09 188 10401 10401 Error AndroidRuntime 	at android app FragmentManagerImpl moveToState(FragmentManager java:1261)_x000D_
2021 11 09 11:09:09 188 10401 10401 Error AndroidRuntime 	at android app FragmentManagerImpl addAddedFragments(FragmentManager java:2431)_x000D_
2021 11 09 11:09:09 188 10401 10401 Error AndroidRuntime 	at android app FragmentManagerImpl executeOpsTogether(FragmentManager java:2210)_x000D_
2021 11 09 11:09:09 188 10401 10401 Error AndroidRuntime 	at android app FragmentManagerImpl removeRedundantOperationsAndExecute(FragmentManager java:2166)_x000D_
2021 11 09 11:09:09 188 10401 10401 Error AndroidRuntime 	at android app FragmentManagerImpl execPendingActions(FragmentManager java:2067)_x000D_
2021 11 09 11:09:09 188 10401 10401 Error AndroidRuntime 	at android app FragmentManagerImpl 1 run(FragmentManager java:742)_x000D_
2021 11 09 11:09:09 188 10401 10401 Error AndroidRuntime 	at android os Handler handleCallback(Handler java:938)_x000D_
2021 11 09 11:09:09 188 10401 10401 Error AndroidRuntime 	at android os Handler dispatchMessage(Handler java:99)_x000D_
2021 11 09 11:09:09 188 10401 10401 Error AndroidRuntime 	at android os Looper loopOnce(Looper java:201)_x000D_
2021 11 09 11:09:09 188 10401 10401 Error AndroidRuntime 	at android os Looper loop(Looper java:288)_x000D_
2021 11 09 11:09:09 188 10401 10401 Error AndroidRuntime 	at android app ActivityThread main(ActivityThread java:7842)_x000D_
2021 11 09 11:09:09 188 10401 10401 Error AndroidRuntime 	at java lang reflect Method invoke(Native Method)_x000D_
2021 11 09 11:09:09 188 10401 10401 Error AndroidRuntime 	at com android internal os RuntimeInit MethodAndArgsCaller run(RuntimeInit java:548)_x000D_
2021 11 09 11:09:09 188 10401 10401 Error AndroidRuntime 	at com android internal os ZygoteInit main(ZygoteInit java:1003)_x000D_
_x000D_
</t>
  </si>
  <si>
    <t>TeamNewPipe-NewPipe-7382</t>
  </si>
  <si>
    <t>Sound is completely gone after using app for some time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</si>
  <si>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Use the app  It s not exactly known how it happens and I don t even know if there s a way to fix it  all I would usually do is listen to random stuff overnight with newpipe in the background and usually when I woke up in the morning it d be paused  presumably ended  I m pretty sure that when I went to use the app the night after  the bug would occur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The sound breaks and I m unable to hear anything  all videos I select are silent (but still do play) and I ve tried everything from an app restart to force stopping it and re opening it again  I ve tried clearing cache and app data  nothing changes _x000D_
The only thing that has worked is reinstalling the app  but I m not doing that every single time I want to listen to something the day after _x000D_
Note that this has been happening across multiple versions  and only now am I speaking about it _x000D_
_x000D_
    Expected behavior_x000D_
     Tell us what you expect to happen     _x000D_
_x000D_
There should be sound that play along with the videos and it would work completely fine _x000D_
_x000D_
         Screenshots Screen recordings  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  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10_x000D_
   Device model: SM J600FN_x000D_
</t>
  </si>
  <si>
    <t>getsentry-sentry-java-1798</t>
  </si>
  <si>
    <t>Sentry Performance crash: Caused by java.lang.NullPointerException: Attempt to invoke virtual method 'int java.util.ArrayList.size()' on a null object reference</t>
  </si>
  <si>
    <t xml:space="preserve"> Platform: _x000D_
   x   Android    If yes  which Device API (and compileSdkVersion targetSdkVersion Build tools) version _x000D_
_x000D_
compileSdkVersion 30_x000D_
targetSdkVersion 30_x000D_
Device API: Galaxy S8  Android 9_x000D_
_x000D_
 IDE: _x000D_
   x   Android Studio    If yes  which version _x000D_
4 3_x000D_
_x000D_
 Build system: _x000D_
   x   Gradle    If yes  which version _x000D_
7 0 1_x000D_
_x000D_
 Android Gradle Plugin: _x000D_
   x   Yes    If yes  which version _x000D_
4 2 2_x000D_
_x000D_
 Sentry Android Gradle Plugin: _x000D_
   x   Yes    If yes  which version _x000D_
2 1 5_x000D_
_x000D_
 Proguard R8: _x000D_
   x   Enabled_x000D_
   x   Disabled_x000D_
_x000D_
 Platform installed with: _x000D_
   x  Maven Central_x000D_
_x000D_
The version of the SDK:_x000D_
  5 3 0  _x000D_
_x000D_
   _x000D_
I have the following issue:_x000D_
_x000D_
   _x000D_
Caused by java lang NullPointerException: Attempt to invoke virtual method  int java util ArrayList size()  on a null object reference_x000D_
       at android view View findFrameMetricsObserver(View java:7279)_x000D_
       at android view View removeFrameMetricsListener(View java:7250)_x000D_
       at android view Window removeOnFrameMetricsAvailableListener(Window java:886)_x000D_
       at androidx core app FrameMetricsAggregator FrameMetricsApi24Impl remove(FrameMetricsAggregator java:433)_x000D_
       at androidx core app FrameMetricsAggregator remove(FrameMetricsAggregator java:243)_x000D_
       at io sentry android core ActivityFramesTracker setMetrics(ActivityFramesTracker java:69)_x000D_
       at io sentry android core ActivityLifecycleIntegration lambda startTracing 0 ActivityLifecycleIntegration(ActivityLifecycleIntegration java:152)_x000D_
       at io sentry android core    Lambda ActivityLifecycleIntegration OZU BVfUTV1Z vCLPnw148HJdoA execute(:4)_x000D_
       at io sentry SentryTracer finish(SentryTracer java:241)_x000D_
       at io sentry android core ActivityLifecycleIntegration finishTransaction(ActivityLifecycleIntegration java:223)_x000D_
       at io sentry android core ActivityLifecycleIntegration stopPreviousTransactions(ActivityLifecycleIntegration java:128)_x000D_
       at io sentry android core ActivityLifecycleIntegration startTracing(ActivityLifecycleIntegration java:135)_x000D_
       at io sentry android core ActivityLifecycleIntegration onActivityCreated(ActivityLifecycleIntegration java:232)_x000D_
       at android app Application dispatchActivityCreated(Application java:245)_x000D_
       at android app Activity onCreate(Activity java:1108)_x000D_
       at androidx core app ComponentActivity onCreate(ComponentActivity java:85)_x000D_
       at androidx activity ComponentActivity onCreate(ComponentActivity java:323)_x000D_
       at androidx fragment app FragmentActivity onCreate(FragmentActivity java:273)_x000D_
       at com plaid internal link LinkActivity onCreate(SourceFile:1)_x000D_
       at android app Activity performCreate(Activity java:7327)_x000D_
       at android app Activity performCreate(Activity java:7318)_x000D_
       at android app Instrumentation callActivityOnCreate(Instrumentation java:1271)_x000D_
       at android app ActivityThread performLaunchActivity(ActivityThread java:3096)_x000D_
       at android app ActivityThread handleLaunchActivity(ActivityThread java:3259)_x000D_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java:1950)_x000D_
       at android os Handler dispatchMessage(Handler java:106)_x000D_
       at android os Looper loop(Looper java:214)_x000D_
       at android app ActivityThread main(ActivityThread java:7073)_x000D_
       at java lang reflect Method invoke(Method java)_x000D_
       at com android internal os RuntimeInit MethodAndArgsCaller run(RuntimeInit java:494)_x000D_
       at com android internal os ZygoteInit main(ZygoteInit java:964)_x000D_
   _x000D_
_x000D_
  Steps to reproduce:  _x000D_
  Add Plaid SDK to your app  launch Platypus Oauth Account  proceed with the fake account until you get a crash _x000D_
Could not reproduce on Android 11  but it happens 100  of the time on Android 9 (any manufacturer)  _x000D_
_x000D_
Let me know if you need more info _x000D_
_x000D_
  Actual result:  _x000D_
  Stack trace is posted above _x000D_
_x000D_
  Expected result:  _x000D_
  No runtime crash _x000D_
_x000D_
This is a different from this crash: https:  github com getsentry sentry java issues 1780</t>
  </si>
  <si>
    <t>connectbot-connectbot-1036</t>
  </si>
  <si>
    <t>Connectbot crashed while running repo sync inside screen</t>
  </si>
  <si>
    <t xml:space="preserve">   Bug description_x000D_
     A clear and concise description of what the bug is     _x000D_
I m using google play version of ConnectBot on LineageOS 18 1  device alioth  I was doing  repo sync  inside GNU screen on a remote VPS  following  this guide (https:  wiki lineageos org devices alioth build download the source code)  then ConnectBot crashed almost every time I tried to  screen  r  _x000D_
_x000D_
Stacktrace:_x000D_
   _x000D_
java lang IllegalArgumentException: x   width must be    bitmap width()_x000D_
	at android graphics Bitmap createBitmap(Bitmap java:876)_x000D_
	at android graphics Bitmap createBitmap(Bitmap java:836)_x000D_
	at org connectbot TerminalView onDraw(TerminalView java:441)_x000D_
	at android view View draw(View java:22350)_x000D_
	at android view View buildDrawingCacheImpl(View java:21623)_x000D_
	at android view View buildDrawingCache(View java:21483)_x000D_
	at android view View updateDisplayListIfDirty(View java:21203)_x000D_
	at android view ViewGroup recreateChildDisplayList(ViewGroup java:4500)_x000D_
	at android view ViewGroup dispatchGetDisplayList(ViewGroup java:4473)_x000D_
	at android view View updateDisplayListIfDirty(View java:21186)_x000D_
	at android view ViewGroup recreateChildDisplayList(ViewGroup java:4500)_x000D_
	at android view ViewGroup dispatchGetDisplayList(ViewGroup java:4473)_x000D_
	at android view View updateDisplayListIfDirty(View java:21186)_x000D_
	at android view ViewGroup recreateChildDisplayList(ViewGroup java:4500)_x000D_
	at android view ViewGroup dispatchGetDisplayList(ViewGroup java:4473)_x000D_
	at android view View updateDisplayListIfDirty(View java:21186)_x000D_
	at android view ViewGroup recreateChildDisplayList(ViewGroup java:4500)_x000D_
	at android view ViewGroup dispatchGetDisplayList(ViewGroup java:4473)_x000D_
	at android view View updateDisplayListIfDirty(View java:21186)_x000D_
	at android view ViewGroup recreateChildDisplayList(ViewGroup java:4500)_x000D_
	at android view ViewGroup dispatchGetDisplayList(ViewGroup java:4473)_x000D_
	at android view View updateDisplayListIfDirty(View java:21186)_x000D_
	at android view ViewGroup recreateChildDisplayList(ViewGroup java:4500)_x000D_
	at android view ViewGroup dispatchGetDisplayList(ViewGroup java:4473)_x000D_
	at android view View updateDisplayListIfDirty(View java:21186)_x000D_
	at android view ViewGroup recreateChildDisplayList(ViewGroup java:4500)_x000D_
	at android view ViewGroup dispatchGetDisplayList(ViewGroup java:4473)_x000D_
	at android view View updateDisplayListIfDirty(View java:21186)_x000D_
	at android view ViewGroup recreateChildDisplayList(ViewGroup java:4500)_x000D_
	at android view ViewGroup dispatchGetDisplayList(ViewGroup java:4473)_x000D_
	at android view View updateDisplayListIfDirty(View java:21186)_x000D_
	at android view ThreadedRenderer updateViewTreeDisplayList(ThreadedRenderer java:559)_x000D_
	at android view ThreadedRenderer updateRootDisplayList(ThreadedRenderer java:565)_x000D_
	at android view ThreadedRenderer draw(ThreadedRenderer java:642)_x000D_
	at android view ViewRootImpl draw(ViewRootImpl java:4106)_x000D_
	at android view ViewRootImpl performDraw(ViewRootImpl java:3833)_x000D_
	at android view ViewRootImpl performTraversals(ViewRootImpl java:3104)_x000D_
	at android view ViewRootImpl doTraversal(ViewRootImpl java:1948)_x000D_
	at android view ViewRootImpl TraversalRunnable run(ViewRootImpl java:8177)_x000D_
	at android view Choreographer CallbackRecord run(Choreographer java:972)_x000D_
	at android view Choreographer doCallbacks(Choreographer java:796)_x000D_
	at android view Choreographer doFrame(Choreographer java:731)_x000D_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_x000D_
_x000D_
   Steps to reproduce_x000D_
     Steps to reproduce the behavior:    _x000D_
1  Download   install ConnectBot from Play Store_x000D_
2  Connect to a remote machine via SSH using ConnectBot_x000D_
3  Run  repo sync  (after  repo init  u http:  xxx  etc) inside  screen _x000D_
4  ConnectBot will crash in seconds_x000D_
_x000D_
   Expected behavior_x000D_
     A clear and concise description of what you expected to happen     _x000D_
ConnectBot just runs smoothly without problem _x000D_
_x000D_
   Screenshots_x000D_
     If this is related to a UI problem or otherwise applicable  add screenshots to help explain your problem     _x000D_
_x000D_
   Android device_x000D_
     (please complete the following information):    _x000D_
_x000D_
   Device: alioth_x000D_
   OS: LineageOS 18 1 based on Android 11_x000D_
   ConnectBot Version: 1 9 8_x000D_
_x000D_
   Server information_x000D_
     Please complete the following information):    _x000D_
_x000D_
   Additional context_x000D_
     Add any other context about the problem here     _x000D_
</t>
  </si>
  <si>
    <t>PojavLauncherTeam-PojavLauncher-2218</t>
  </si>
  <si>
    <t>[BUG] &lt;VirGL&gt;</t>
  </si>
  <si>
    <t xml:space="preserve">    Describe the bug_x000D_
_x000D_
seems like crashes on any version but not 1 7 10_x000D_
_x000D_
    The log file and images videos_x000D_
_x000D_
IDK what to put so_x000D_
_x000D_
_x000D_
    Steps To Reproduce_x000D_
_x000D_
   markdown_x000D_
1  Start launcher_x000D_
2  set VirGL_x000D_
3  Launch 1 16 5_x000D_
4  crashes_x000D_
5  Launch 1 7 10_x000D_
6  open as nothing happened_x000D_
   _x000D_
_x000D_
_x000D_
    Expected Behavior_x000D_
_x000D_
game launches on 1 7 10 with VirGL but not on others versions_x000D_
_x000D_
    Platform_x000D_
_x000D_
   markdown_x000D_
  Device model: NX659J _x000D_
  CPU architecture: Arm64_x000D_
  Android version: 11 root_x000D_
  PojavLauncher version: crocus 126 48cf6ca69 v3 virgl (Duy  you put 69 at final )_x000D_
   _x000D_
_x000D_
_x000D_
    Anything else _x000D_
_x000D_
again  IDK what to put_x000D_
_x000D_
_x000D_
Never gonna give you up_x000D_
Never gonna let you down_x000D_
Never gonna run around and desert you</t>
  </si>
  <si>
    <t>PojavLauncherTeam-PojavLauncher-2217</t>
  </si>
  <si>
    <t>[BUG] Controller inputs crash on latest development build</t>
  </si>
  <si>
    <t xml:space="preserve">    Describe the bug
I m trying to use my Razer Kishi with this  but any time I so much as press a button when in the java environment  the game immediately crashes  The game works just fine if I m not using it  or if it s just plugged in and I continue to use touch controls _x000D_
_x000D_
I ve provided the latestlog  along with the crash log I got and was told to copy when the app closed 
    The log file and images videos
          beggining with launcher debug_x000D_
Info: Launcher version: crocus 105 f26df7edb v3 openjdk_x000D_
Info: LWJGL3 directory:  jsr305 jar  lwjgl glfw classes jar  lwjgl jemalloc jar  lwjgl openal jar  lwjgl opengl jar  lwjgl stb jar  lwjgl tinyfd jar  lwjgl jar  version _x000D_
Architecture: arm64_x000D_
Info: Custom Java arguments:   _x000D_
Info: Selected Minecraft version: 1 17 1_x000D_
Added custom env: TMPDIR  data user 0 net kdt pojavlaunch debug cache_x000D_
Added custom env: AWTSTUB WIDTH 2282_x000D_
Added custom env: REGAL GL VERSION 4 5_x000D_
Added custom env: REGAL GL VENDOR Android_x000D_
Added custom env: LIBGL MIPMAP 3_x000D_
Added custom env: allow higher compat version true_x000D_
Added custom env: MESA GLSL CACHE DIR  data user 0 net kdt pojavlaunch debug cache_x000D_
Added custom env: HOME  storage emulated 0 Android data net kdt pojavlaunch debug files  minecraft_x000D_
Added custom env: PATH  data user 0 net kdt pojavlaunch debug runtimes jre17 arm64 20210825 release tar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user 0 net kdt pojavlaunch debug runtimes jre17 arm64 20210825 release tar xz lib jli: data user 0 net kdt pojavlaunch debug runtimes jre17 arm64 20210825 release tar xz lib: system lib64: vendor lib64: vendor lib64 hw: data app   9Xt5Nt PEVHJ75Pfg2h1aA   net kdt pojavlaunch debug TTOtpUXdTjnKb9vYwqxBbg   lib arm64_x000D_
Added custom env: POJAV RENDERER opengles3_x000D_
Added custom env: LIBGL ES 3_x000D_
Added custom env: MESA LOADER DRIVER OVERRIDE zink_x000D_
Added custom env: MESA GLSL VERSION OVERRIDE 460_x000D_
Added custom env: JAVA HOME  data user 0 net kdt pojavlaunch debug runtimes jre17 arm64 20210825 release tar xz_x000D_
Added custom env: MESA GL VERSION OVERRIDE 4 6_x000D_
Added custom env: allow glsl extension directive midshader true_x000D_
Added custom env: REGAL GL RENDERER Regal_x000D_
Added custom env: AWTSTUB HEIGHT 1080_x000D_
Initialising gl4es_x000D_
v1 1 5 built on Nov  7 2021 08:33:31_x000D_
Using GLES 2 0 backend_x000D_
loaded: libGLESv2 so_x000D_
loaded: libEGL so_x000D_
Using GLES 2 0 backend_x000D_
Hardware Full NPOT detected and used_x000D_
Extension GL EXT blend minmax  detected and used_x000D_
Extension GL EXT draw buffers is in core ES3  and so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mapbuffer  detected_x000D_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EXT texture rg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16383_x000D_
Max Varying Vector: 31_x000D_
Texture Units: 16 16 (hardware: 128)  Max lights: 8  Max planes: 6_x000D_
Extension GL EXT texture filter anisotropic  detected and used_x000D_
Max Anisotropic filtering: 16_x000D_
Max Color Attachments: 8   Draw buffers: 8_x000D_
Hardware vendor is ARM_x000D_
GLSL 300 es supported_x000D_
GLSL 310 es supported and used_x000D_
sRGB surface supported_x000D_
EGLImage to Texture2D supported_x000D_
EGLImage to RenderBuffer supported_x000D_
ignore MipMap_x000D_
Targeting OpenGL 2 1_x000D_
NPOT texture handled in hardware_x000D_
Not trying to batch small subsequent glDrawXXXX_x000D_
try to use VBO_x000D_
glXMakeCurrent FBO workaround enabled_x000D_
FBO workaround for using binded texture enabled_x000D_
Force texture for Attachment color0 on FBO_x000D_
Hack to trigger a SwapBuffers when a Full Framebuffer Blit on default FBO is done_x000D_
Force normals to be normalized on FPE shaders_x000D_
glX Will try to recycle EGL Surface_x000D_
Current folder is: _x000D_
          beginning of main_x000D_
I jrelog  (29499): dlopen libgl4es 115 so success_x000D_
I jrelog  (29499): dlopen  data user 0 net kdt pojavlaunch debug runtimes jre17 arm64 20210825 release tar xz lib libjli so success_x000D_
I jrelog  (29499): dlopen libjvm so failed: dlopen failed: library  libjvm so  not found_x000D_
I jrelog  (29499): dlopen  data user 0 net kdt pojavlaunch debug runtimes jre17 arm64 20210825 release tar xz lib server libjvm so success_x000D_
I jrelog  (29499): dlopen  data user 0 net kdt pojavlaunch debug runtimes jre17 arm64 20210825 release tar xz lib libverify so success_x000D_
I jrelog  (29499): dlopen  data user 0 net kdt pojavlaunch debug runtimes jre17 arm64 20210825 release tar xz lib libjava so success_x000D_
I jrelog  (29499): dlopen  data user 0 net kdt pojavlaunch debug runtimes jre17 arm64 20210825 release tar xz lib libnet so success_x000D_
I jrelog  (29499): dlopen  data user 0 net kdt pojavlaunch debug runtimes jre17 arm64 20210825 release tar xz lib libnio so success_x000D_
I jrelog  (29499): dlopen  data user 0 net kdt pojavlaunch debug runtimes jre17 arm64 20210825 release tar xz lib libawt so success_x000D_
I jrelog  (29499): dlopen  data user 0 net kdt pojavlaunch debug runtimes jre17 arm64 20210825 release tar xz lib libawt headless so success_x000D_
I jrelog  (29499): dlopen  data user 0 net kdt pojavlaunch debug runtimes jre17 arm64 20210825 release tar xz lib libfreetype so success_x000D_
I jrelog  (29499): dlopen  data user 0 net kdt pojavlaunch debug runtimes jre17 arm64 20210825 release tar xz lib libfontmanager so success_x000D_
I jrelog  (29499): dlopen  data user 0 net kdt pojavlaunch debug runtimes jre17 arm64 20210825 release tar xz lib libawt so success_x000D_
I jrelog  (29499): dlopen  data user 0 net kdt pojavlaunch debug runtimes jre17 arm64 20210825 release tar xz lib server libjvm so success_x000D_
I jrelog  (29499): dlopen  data user 0 net kdt pojavlaunch debug runtimes jre17 arm64 20210825 release tar xz lib server libjsig so success_x000D_
I jrelog  (29499): dlopen  data user 0 net kdt pojavlaunch debug runtimes jre17 arm64 20210825 release tar xz lib libattach so success_x000D_
I jrelog  (29499): dlopen  data user 0 net kdt pojavlaunch debug runtimes jre17 arm64 20210825 release tar xz lib libjavajpeg so success_x000D_
I jrelog  (29499): dlopen  data user 0 net kdt pojavlaunch debug runtimes jre17 arm64 20210825 release tar xz lib libsyslookup so success_x000D_
I jrelog  (29499): dlopen  data user 0 net kdt pojavlaunch debug runtimes jre17 arm64 20210825 release tar xz lib libfontmanager so success_x000D_
I jrelog  (29499): dlopen  data user 0 net kdt pojavlaunch debug runtimes jre17 arm64 20210825 release tar xz lib libj2pcsc so success_x000D_
I jrelog  (29499): dlopen  data user 0 net kdt pojavlaunch debug runtimes jre17 arm64 20210825 release tar xz lib libmanagement so success_x000D_
I jrelog  (29499): dlopen  data user 0 net kdt pojavlaunch debug runtimes jre17 arm64 20210825 release tar xz lib libjaas so success_x000D_
I jrelog  (29499): dlopen  data user 0 net kdt pojavlaunch debug runtimes jre17 arm64 20210825 release tar xz lib libfreetype so success_x000D_
I jrelog  (29499): dlopen  data user 0 net kdt pojavlaunch debug runtimes jre17 arm64 20210825 release tar xz lib libjli so success_x000D_
I jrelog  (29499): dlopen  data user 0 net kdt pojavlaunch debug runtimes jre17 arm64 20210825 release tar xz lib libjimage so success_x000D_
I jrelog  (29499): dlopen  data user 0 net kdt pojavlaunch debug runtimes jre17 arm64 20210825 release tar xz lib libjsig so success_x000D_
I jrelog  (29499): dlopen  data user 0 net kdt pojavlaunch debug runtimes jre17 arm64 20210825 release tar xz lib libj2gss so success_x000D_
I jrelog  (29499): dlopen  data user 0 net kdt pojavlaunch debug runtimes jre17 arm64 20210825 release tar xz lib libnet so success_x000D_
I jrelog  (29499): dlopen  data user 0 net kdt pojavlaunch debug runtimes jre17 arm64 20210825 release tar xz lib libjava so success_x000D_
I jrelog  (29499): dlopen  data user 0 net kdt pojavlaunch debug runtimes jre17 arm64 20210825 release tar xz lib libnio so success_x000D_
I jrelog  (29499): dlopen  data user 0 net kdt pojavlaunch debug runtimes jre17 arm64 20210825 release tar xz lib libprefs so success_x000D_
I jrelog  (29499): dlopen  data user 0 net kdt pojavlaunch debug runtimes jre17 arm64 20210825 release tar xz lib libmanagement ext so success_x000D_
I jrelog  (29499): dlopen  data user 0 net kdt pojavlaunch debug runtimes jre17 arm64 20210825 release tar xz lib libj2pkcs11 so success_x000D_
I jrelog  (29499): dlopen  data user 0 net kdt pojavlaunch debug runtimes jre17 arm64 20210825 release tar xz lib libdt socket so success_x000D_
I jrelog  (29499): dlopen  data user 0 net kdt pojavlaunch debug runtimes jre17 arm64 20210825 release tar xz lib libjdwp so success_x000D_
I jrelog  (29499): dlopen  data user 0 net kdt pojavlaunch debug runtimes jre17 arm64 20210825 release tar xz lib libzip so success_x000D_
I jrelog  (29499): dlopen  data user 0 net kdt pojavlaunch debug runtimes jre17 arm64 20210825 release tar xz lib libsctp so success_x000D_
I jrelog  (29499): dlopen  data user 0 net kdt pojavlaunch debug runtimes jre17 arm64 20210825 release tar xz lib libmlib image so success_x000D_
I jrelog  (29499): dlopen  data user 0 net kdt pojavlaunch debug runtimes jre17 arm64 20210825 release tar xz lib libextnet so success_x000D_
I jrelog  (29499): dlopen  data user 0 net kdt pojavlaunch debug runtimes jre17 arm64 20210825 release tar xz lib libinstrument so success_x000D_
I jrelog  (29499): dlopen  data user 0 net kdt pojavlaunch debug runtimes jre17 arm64 20210825 release tar xz lib libmanagement agent so success_x000D_
I jrelog  (29499): dlopen  data user 0 net kdt pojavlaunch debug runtimes jre17 arm64 20210825 release tar xz lib librmi so success_x000D_
I jrelog  (29499): dlopen  data user 0 net kdt pojavlaunch debug runtimes jre17 arm64 20210825 release tar xz lib liblcms so success_x000D_
I jrelog  (29499): dlopen  data user 0 net kdt pojavlaunch debug runtimes jre17 arm64 20210825 release tar xz lib libjawt so success_x000D_
I jrelog  (29499): dlopen  data user 0 net kdt pojavlaunch debug runtimes jre17 arm64 20210825 release tar xz lib libverify so success_x000D_
I jrelog  (29499): dlopen  data user 0 net kdt pojavlaunch debug runtimes jre17 arm64 20210825 release tar xz lib libawt headless so success_x000D_
I jrelog  (29499): dlopen  data user 0 net kdt pojavlaunch debug runtimes jre17 arm64 20210825 release tar xz lib libawt xawt so success_x000D_
I jrelog  (29499): dlopen  data app   9Xt5Nt PEVHJ75Pfg2h1aA   net kdt pojavlaunch debug TTOtpUXdTjnKb9vYwqxBbg   lib arm64 libopenal so success_x000D_
I jrelog  (29499): Done processing args_x000D_
I jrelog  (29499): Found JLI lib_x000D_
I jrelog  (29499): Calling JLI Launch_x000D_
 13:42:00   Render thread INFO :  STDERR :  LWJGL  Failed to load a library  Possible solutions:_x000D_
	a) Add the directory that contains the shared library to  Djava library path or  Dorg lwjgl librarypath _x000D_
	b) Add the JAR that contains the shared library to the classpath _x000D_
 13:42:00   Render thread INFO :  STDERR :  LWJGL  Enable debug mode with  Dorg lwjgl util Debug true for better diagnostics _x000D_
 13:42:00   Render thread INFO :  STDERR :  LWJGL  Enable the SharedLibraryLoader debug mode with  Dorg lwjgl util DebugLoader true for better diagnostics _x000D_
 13:42:01   Render thread INFO : Environment: authHost  https:  authserver mojang com   accountsHost  https:  api mojang com   sessionHost  https:  sessionserver mojang com   servicesHost  https:  api minecraftservices com   name  PROD _x000D_
 13:42:02   Render thread INFO : Setting user: EeveeEuphoria_x000D_
 13:42:02   Render thread WARN : Invalid floating point value for option textBackgroundOpacity   _x000D_
java lang NumberFormatException: empty String_x000D_
	at jdk internal math FloatingDecimal readJavaFormatString(FloatingDecimal java:1842)    :  _x000D_
	at jdk internal math FloatingDecimal parseDouble(FloatingDecimal java:110)    :  _x000D_
	at java lang Double parseDouble(Double java:651)    :  _x000D_
	at dvt 2 a(SourceFile:408)  1 17 1 jar:  _x000D_
	at dvt a(SourceFile:286)  1 17 1 jar:  _x000D_
	at dvt a(SourceFile:366)  1 17 1 jar:  _x000D_
	at dvt  init (SourceFile:223)  1 17 1 jar:  _x000D_
	at dvp  init (SourceFile:459)  1 17 1 jar:  _x000D_
	at net minecraft client main Main main(SourceFile:179)  1 17 1 jar:  _x000D_
 13:42:02   Render thread INFO : Backend library: LWJGL version 3 2 3 SNAPSHOT_x000D_
DlLoader: using external _x000D_
EGLBridge: Initializing_x000D_
EGLBridge: Initialized _x000D_
EGLBridge: ThreadID 29923_x000D_
EGLBridge: EGLDisplay 0x6f3fa29cd0  EGLSurface 0x6edfb9d020_x000D_
EGLBridge: Created CTX pointer   0x6edfba3f80_x000D_
 13:42:02   Render thread INFO :  STDERR : java lang Exception: Trace exception_x000D_
 13:42:02   Render thread INFO :  STDERR : 	at org lwjgl glfw GLFW glfwMakeContextCurrent(GLFW java:1004)_x000D_
 13:42:02   Render thread INFO :  STDERR : 	at dpr  init (SourceFile:106)_x000D_
 13:42:02   Render thread INFO :  STDERR : 	at enx a(SourceFile:21)_x000D_
 13:42:02   Render thread INFO :  STDERR : 	at dvp  init (SourceFile:481)_x000D_
 13:42:02   Render thread INFO :  STDERR : 	at net minecraft client main Main main(SourceFile:179)_x000D_
EGLBridge: Comparing: thr 29923  this 0x6edfba3f80  curr 0x0_x000D_
EGLBridge: Making current on window 0x6edfba3f80 on thread 29923_x000D_
EGLBridge: eglMakeCurrent() succeed _x000D_
 13:42:02   Render thread INFO :  STDOUT : 6edfba3f80_x000D_
EGLBridge: Comparing: thr 29923  this 0x6edfba3f80  curr 0x6edfba3f80_x000D_
 13:42:04   Render thread WARN : ERROR : Couldn t load Narrator library :  storage emulated 0 Android data net kdt pojavlaunch debug files  cache JNA temp jna10956854388351921397 tmp: dlopen failed: library   storage emulated 0 Android data net kdt pojavlaunch debug files  cache JNA temp jna10956854388351921397 tmp  needed or dlopened by   data data net kdt pojavlaunch debug runtimes jre17 arm64 20210825 release tar xz lib server libjvm so  is not accessible for the namespace  classloader namespace _x000D_
 13:42:04   Render thread INFO : Reloading ResourceManager: Default  assets v0 zip_x000D_
 13:42:04   Realms Notification Availability checker  1 INFO : Could not authorize you against Realms server: Invalid session id_x000D_
 ALSOFT  (EE) Failed to set real time priority for thread: Operation not permitted (1)_x000D_
 13:42:14   Render thread INFO : OpenAL initialized _x000D_
 13:42:14   Render thread INFO : Sound engine started_x000D_
 13:42:14   Render thread INFO : Created: 1024x1024x0 minecraft:textures atlas blocks png atlas_x000D_
 13:42:14   Render thread INFO : Created: 256x128x0 minecraft:textures atlas signs png atlas_x000D_
 13:42:14   Render thread INFO : Created: 1024x512x0 minecraft:textures atlas banner patterns png atlas_x000D_
 13:42:14   Render thread INFO : Created: 1024x512x0 minecraft:textures atlas shield patterns png atlas_x000D_
 13:42:14   Render thread INFO : Created: 256x256x0 minecraft:textures atlas chest png atlas_x000D_
 13:42:14   Render thread INFO : Created: 512x256x0 minecraft:textures atlas beds png atlas_x000D_
 13:42:14   Render thread INFO : Created: 512x256x0 minecraft:textures atlas shulker boxes png atlas_x000D_
 13:42:17   Render thread WARN : Shader rendertype text could not find sampler named Sampler2 in the specified shader program _x000D_
 13:42:17   Render thread WARN : Shader rendertype text intensity could not find sampler named Sampler2 in the specified shader program _x000D_
 13:42:19   Render thread INFO : Created: 256x256x0 minecraft:textures atlas particles png atlas_x000D_
 13:42:19   Render thread INFO : Created: 256x256x0 minecraft:textures atlas paintings png atlas_x000D_
 13:42:19   Render thread INFO : Created: 256x128x0 minecraft:textures atlas mob effects png atlas_x000D_
 13:42:28   Render thread WARN : Ambiguity between arguments  teleport  location  and  teleport  destination  with inputs:  0 1  0 5  9  0 0 0 _x000D_
 13:42:28   Render thread WARN : Ambiguity between arguments  teleport  location  and  teleport  targets  with inputs:  0 1  0 5  9  0 0 0 _x000D_
 13:42:28   Render thread WARN : Ambiguity between arguments  teleport  destination  and  teleport  targets  with inputs:  Player  0123   e  dd12be42 52a9 4a91 a8a1 11c01849e498 _x000D_
 13:42:28   Render thread WARN : Ambiguity between arguments  teleport  targets  and  teleport  destination  with inputs:  Player  0123  dd12be42 52a9 4a91 a8a1 11c01849e498 _x000D_
 13:42:28   Render thread WARN : Ambiguity between arguments  teleport  targets  location  and  teleport  targets  destination  with inputs:  0 1  0 5  9  0 0 0 _x000D_
 13:42:28   Render thread INFO : Reloading ResourceManager: Default_x000D_
 13:42:29   Render thread INFO : Loaded 7 recipes_x000D_
 13:42:30   Render thread INFO : Loaded 1137 advancements_x000D_
 13:42:34   Render thread INFO : Environment: authHost  https:  authserver mojang com   accountsHost  https:  api mojang com   sessionHost  https:  sessionserver mojang com   servicesHost  https:  api minecraftservices com   name  PROD _x000D_
 13:42:34   Server thread INFO : Starting integrated minecraft server version 1 17 1_x000D_
 13:42:34   Server thread INFO : Generating keypair_x000D_
 13:42:44   Server thread INFO : Preparing start region for dimension minecraft:overworld_x000D_
 13:42:45   Render thread INFO : Preparing spawn area: 0 _x000D_
 13:42:45   Render thread INFO : Preparing spawn area: 0 _x000D_
 13:42:45   Render thread INFO : Preparing spawn area: 0 _x000D_
 13:42:46   Render thread INFO : Preparing spawn area: 0 _x000D_
 13:42:46   Render thread INFO : Preparing spawn area: 0 _x000D_
 13:42:47   Render thread INFO : Preparing spawn area: 0 _x000D_
 13:42:47   Render thread INFO : Preparing spawn area: 0 _x000D_
 13:42:48   Render thread INFO : Preparing spawn area: 0 _x000D_
 13:42:48   Render thread INFO : Preparing spawn area: 0 _x000D_
 13:42:49   Render thread INFO : Preparing spawn area: 0 _x000D_
 13:42:49   Render thread INFO : Preparing spawn area: 0 _x000D_
 13:42:50   Render thread INFO : Preparing spawn area: 0 _x000D_
 13:42:50   Render thread INFO : Preparing spawn area: 0 _x000D_
 13:42:50   Render thread INFO : Preparing spawn area: 1 _x000D_
 13:42:51   Render thread INFO : Preparing spawn area: 2 _x000D_
 13:42:52   Render thread INFO : Preparing spawn area: 2 _x000D_
 13:42:52   Render thread INFO : Preparing spawn area: 2 _x000D_
 13:42:55   Render thread INFO : Preparing spawn area: 2 _x000D_
 13:42:55   Render thread INFO : Preparing spawn area: 2 _x000D_
 13:42:55   Render thread INFO : Preparing spawn area: 2 _x000D_
 13:42:55   Render thread INFO : Preparing spawn area: 2 _x000D_
 13:42:55   Render thread INFO : Preparing spawn area: 2 _x000D_
 13:42:55   Render thread INFO : Preparing spawn area: 2 _x000D_
 13:42:55   Render thread INFO : Preparing spawn area: 5 _x000D_
 13:42:56   Render thread INFO : Preparing spawn area: 6 _x000D_
 13:42:57   Render thread INFO : Preparing spawn area: 6 _x000D_
 13:42:57   Render thread INFO : Preparing spawn area: 6 _x000D_
 13:42:58   Render thread INFO : Preparing spawn area: 6 _x000D_
 13:42:58   Render thread INFO : Preparing spawn area: 6 _x000D_
 13:42:58   Render thread INFO : Preparing spawn area: 9 _x000D_
 13:42:59   Render thread INFO : Preparing spawn area: 9 _x000D_
 13:43:00   Render thread INFO : Preparing spawn area: 9 _x000D_
 13:43:00   Render thread INFO : Preparing spawn area: 10 _x000D_
 13:43:00   Render thread INFO : Preparing spawn area: 10 _x000D_
 13:43:01   Render thread INFO : Preparing spawn area: 10 _x000D_
 13:43:01   Render thread INFO : Preparing spawn area: 10 _x000D_
 13:43:02   Render thread INFO : Preparing spawn area: 10 _x000D_
 13:43:03   Render thread INFO : Preparing spawn area: 13 _x000D_
 13:43:03   Render thread INFO : Preparing spawn area: 13 _x000D_
 13:43:04   Render thread INFO : Preparing spawn area: 14 _x000D_
 13:43:04   Render thread INFO : Preparing spawn area: 14 _x000D_
 13:43:05   Render thread INFO : Preparing spawn area: 15 _x000D_
 13:43:05   Render thread INFO : Preparing spawn area: 16 _x000D_
 13:43:06   Render thread INFO : Preparing spawn area: 16 _x000D_
 13:43:06   Render thread INFO : Preparing spawn area: 17 _x000D_
 13:43:07   Render thread INFO : Preparing spawn area: 17 _x000D_
 13:43:07   Render thread INFO : Preparing spawn area: 20 _x000D_
 13:43:08   Render thread INFO : Preparing spawn area: 21 _x000D_
 13:43:08   Render thread INFO : Preparing spawn area: 22 _x000D_
 13:43:09   Render thread INFO : Preparing spawn area: 23 _x000D_
 13:43:09   Render thread INFO : Preparing spawn area: 23 _x000D_
 13:43:10   Render thread INFO : Preparing spawn area: 24 _x000D_
 13:43:10   Render thread INFO : Preparing spawn area: 26 _x000D_
 13:43:10   Render thread INFO : Preparing spawn area: 28 _x000D_
 13:43:11   Render thread INFO : Preparing spawn area: 29 _x000D_
 13:43:11   Render thread INFO : Preparing spawn area: 32 _x000D_
 13:43:12   Render thread INFO : Preparing spawn area: 34 _x000D_
 13:43:12   Render thread INFO : Preparing spawn area: 34 _x000D_
 13:43:13   Render thread INFO : Preparing spawn area: 42 _x000D_
 13:43:13   Render thread INFO : Preparing spawn area: 45 _x000D_
 13:43:14   Render thread INFO : Preparing spawn area: 46 _x000D_
 13:43:15   Render thread INFO : Preparing spawn area: 48 _x000D_
 13:43:15   Render thread INFO : Preparing spawn area: 54 _x000D_
 13:43:16   Render thread INFO : Preparing spawn area: 56 _x000D_
 13:43:16   Render thread INFO : Preparing spawn area: 58 _x000D_
 13:43:16   Render thread INFO : Preparing spawn area: 61 _x000D_
 13:43:17   Render thread INFO : Preparing spawn area: 64 _x000D_
 13:43:18   Render thread INFO : Preparing spawn area: 68 _x000D_
 13:43:18   Render thread INFO : Preparing spawn area: 70 _x000D_
 13:43:19   Render thread INFO : Preparing spawn area: 73 _x000D_
 13:43:19   Render thread INFO : Preparing spawn area: 77 _x000D_
 13:43:19   Render thread INFO : Preparing spawn area: 79 _x000D_
 13:43:20   Render thread INFO : Preparing spawn area: 82 _x000D_
 13:43:20   Render thread INFO : Preparing spawn area: 85 _x000D_
 13:43:21   Render thread INFO : Preparing spawn area: 88 _x000D_
 13:43:21   Render thread INFO : Preparing spawn area: 90 _x000D_
 13:43:22   Render thread INFO : Preparing spawn area: 94 _x000D_
 13:43:23   Render thread INFO : Preparing spawn area: 98 _x000D_
 13:43:23   Render thread INFO : Time elapsed: 38679 ms_x000D_
 13:43:23   Server thread INFO : Changing view distance to 2  from 10_x000D_
 13:43:23   Render thread WARN : Failed to find a usable hardware address from the network interfaces  using random bytes: 0b:de:2c:61:60:e5:6a:da_x000D_
 13:43:23   Server thread INFO : EeveeEuphoria local:E:93d93440  logged in with entity id 304 at ( 42 5  66 0   222 5)_x000D_
 13:43:23   Server thread INFO : EeveeEuphoria joined the game_x000D_
 13:43:25   Server thread INFO : Saving and pausing game   _x000D_
 13:43:25   Server thread INFO : Saving chunks for level  ServerLevel New World   minecraft:overworld_x000D_
 13:43:25   Render thread INFO : Loaded 0 advancements_x000D_
 13:43:26   Server thread INFO : Saving chunks for level  ServerLevel New World   minecraft:the nether_x000D_
 13:43:26   Server thread INFO : Saving chunks for level  ServerLevel New World   minecraft:the end_x000D_
 13:43:26   Server thread WARN : Can t keep up  Is the server overloaded  Running 2596ms or 51 ticks behind_x000D_
 13:43:40   Render thread INFO : Loaded 4 advancements_x000D_
_x000D_
java lang NullPointerException: Attempt to invoke virtual method  void java lang reflect Field setInt(java lang Object  int)  on a null object reference_x000D_
	at net kdt pojavlaunch customcontrols gamepad GamepadDpad setDummyEventKeycode(GamepadDpad java:76)_x000D_
		at net kdt pojavlaunch customcontrols gamepad GamepadDpad convertEvent(GamepadDpad java:67)_x000D_
			at net kdt pojavlaunch customcontrols gamepad Gamepad update(Gamepad java:173)_x000D_
				at net kdt pojavlaunch BaseMainActivity dispatchGenericMotionEvent(BaseMainActivity java:618)_x000D_
					at androidx appcompat view WindowCallbackWrapper dispatchGenericMotionEvent(WindowCallbackWrapper java:79)_x000D_
						at com android internal policy DecorView dispatchGenericMotionEvent(DecorView java:474)_x000D_
							at android view ViewRootImpl ViewPostImeInputStage processGenericMotionEvent(ViewRootImpl java:6403)_x000D_
								at android view ViewRootImpl ViewPostImeInputStage onProcess(ViewRootImpl java:6152)_x000D_
									at android view ViewRootImpl InputStage deliver(ViewRootImpl java:5626)_x000D_
										at android view ViewRootImpl InputStage onDeliverToNext(ViewRootImpl java:5683)_x000D_
											at android view ViewRootImpl InputStage forward(ViewRootImpl java:5649)_x000D_
												at android view ViewRootImpl AsyncInputStage forward(ViewRootImpl java:5814)_x000D_
													at android view ViewRootImpl InputStage apply(ViewRootImpl java:5657)_x000D_
														at android view ViewRootImpl AsyncInputStage apply(ViewRootImpl java:5871)_x000D_
															at android view ViewRootImpl InputStage deliver(ViewRootImpl java:5630)_x000D_
																at android view ViewRootImpl InputStage onDeliverToNext(ViewRootImpl java:5683)_x000D_
																	at android view ViewRootImpl InputStage forward(ViewRootImpl java:5649)_x000D_
																		at android view ViewRootImpl InputStage apply(ViewRootImpl java:5657)_x000D_
																			at android view ViewRootImpl InputStage deliver(ViewRootImpl java:5630)_x000D_
																				at android view ViewRootImpl InputStage onDeliverToNext(ViewRootImpl java:5683)_x000D_
																					at android view ViewRootImpl InputStage forward(ViewRootImpl java:5649)_x000D_
																						at android view ViewRootImpl AsyncInputStage forward(ViewRootImpl java:5847)_x000D_
																							at android view ViewRootImpl ImeInputStage onFinishedInputEvent(ViewRootImpl java:6005)_x000D_
																								at android view inputmethod InputMethodManager PendingEvent run(InputMethodManager java:3158)_x000D_
																									at android view inputmethod InputMethodManager invokeFinishedInputEventCallback(InputMethodManager java:2722)_x000D_
																										at android view inputmethod InputMethodManager finishedInputEvent(InputMethodManager java:2713)_x000D_
																											at android view inputmethod InputMethodManager ImeInputEventSender onInputEventFinished(InputMethodManager java:3135)_x000D_
																												at android view InputEventSender dispatchInputEventFinished(InputEventSender java:154)_x000D_
																													at android os MessageQueue nativePollOnce(Native Method)_x000D_
																														at android os MessageQueue next(MessageQueue java:335)_x000D_
																															at android os Looper loopOnce(Looper java:161)_x000D_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Steps To Reproduce
   markdown
1  Start PojavLauncher_x000D_
2  Log in using Microsoft Account_x000D_
3  Launch 1 17 1 (also tried the default version of 1 7 10)_x000D_
4  Press any button on the Razer Kishi_x000D_
5  Crash _x000D_
_x000D_
Renderer used: vgpu (OpenGL ES3)
    Expected Behavior
I expect the game to not crash 
    Platform
   markdown
  Device model: Pixel 6_x000D_
  CPU architecture: aarch64_x000D_
  Android version: 12_x000D_
  PojavLauncher version: https:  github com PojavLauncherTeam PojavLauncher actions runs 1431054775
    Anything else 
 No response </t>
  </si>
  <si>
    <t>TeamNewPipe-NewPipe-7379</t>
  </si>
  <si>
    <t>java.lang.NullPointerException: Attempt to read from field on a null object reference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</si>
  <si>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13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I think this could be connected to  6696  though  They seem to have the same or a similar error in logs  I can t tell if this is the same bug or not 
    Steps to reproduce the bug
1  Go to      
2  Press on       
3  Swipe down to       
     If you can t cause the bug to show up again reliably (and hence don t have a proper set of steps to give us)  please still try to give as many details as possible on how you think you encountered the bug     
I can t reproduce that but I opened a short video (https:  www youtube com watch v f3WW Q4LAug)  clicked play and entered fullscreen mode  The video was playing in landscape without the image (only sound) for a couple seconds  I was touching the screen while I was waiting for it to load  it switched to portrait and the app crashed
    Actual behavior
     Tell us what happens with the steps given above     
Crash
    Expected behavior
     Tell us what you expect to happen     
Video loading normally without crashing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Exception
    User Action:   ui error
    Request:   ACRA report
    Content Country:   GB
    Content Language:   en GB
    App Language:   en GB
    Service:   none
    Version:   0 21 13
    OS:   Linux samsung a3y17ltexx a3y17lte:8 0 0 R16NW A320FXXU4CRL1:user release keys 8 0 0   26
 details  summary  b Crash log   b   summary  p 
java lang NullPointerException: Attempt to read from field  android widget TextView org schabi newpipe databinding FragmentVideoDetailBinding touchAppendDetail  on a null object reference
	at org schabi newpipe fragments detail VideoDetailFragment lambda getOnControlsTouchListener 3(VideoDetailFragment java:682)
	at org schabi newpipe fragments detail VideoDetailFragment  r8 lambda vLEH4pcM9Zih8nQ0ZNDuXPnQ54Y(Unknown Source:0)
	at org schabi newpipe fragments detail VideoDetailFragment  ExternalSyntheticLambda18 run(Unknown Source:2)
	at org schabi newpipe ktx ViewUtils animateAlpha 1 onAnimationEnd(View kt:176)
	at android view ViewPropertyAnimator AnimatorEventListener onAnimationEnd(ViewPropertyAnimator java:1122)
	at android animation Animator AnimatorListener onAnimationEnd(Animator java:552)
	at android animation ValueAnimator endAnimation(ValueAnimator java:1209)
	at android animation ValueAnimator doAnimationFrame(ValueAnimator java:1449)
	at android animation AnimationHandler doAnimationFrame(AnimationHandler java:146)
	at android animation AnimationHandler  wrap2(Unknown Source:0)
	at android animation AnimationHandler 1 doFrame(AnimationHandler java:54)
	at android view Choreographer CallbackRecord run(Choreographer java:909)
	at android view Choreographer doCallbacks(Choreographer java:723)
	at android view Choreographer doFrame(Choreographer java:655)
	at android view Choreographer FrameDisplayEventReceiver run(Choreographer java:897)
	at android os Handler handleCallback(Handler java:789)
	at android os Handler dispatchMessage(Handler java:98)
	at android os Looper loop(Looper java:164)
	at android app ActivityThread main(ActivityThread java:6944)
	at java lang reflect Method invoke(Native Method)
	at com android internal os Zygote MethodAndArgsCaller run(Zygote java:327)
	at com android internal os ZygoteInit main(ZygoteInit java:1374)
  details 
 hr 
     Please fill this section if you did not provide a log generated by NewPipe    
    Device info
   Android version Custom ROM version: Android 8 0 0
   Device model: Samsung Galaxy A3 (2017)   a3y17lte
    </t>
  </si>
  <si>
    <t>PojavLauncherTeam-PojavLauncher-2215</t>
  </si>
  <si>
    <t>[BUG] crashed when instalizing the game</t>
  </si>
  <si>
    <t xml:space="preserve">    Describe the bug
Game exited
    The log file and images videos
  Screenshot 20211108 102229 (https:  user images githubusercontent com 93697405 140679409 c549bf79 8219 4027 94b6 085d9c421294 jpg)_x000D_
  Screenshot 20211108 102233 (https:  user images githubusercontent com 93697405 140679423 b98354d9 7c9c 4c49 bc7e da8f3f37908d jpg)_x000D_
    Steps To Reproduce
   markdown
1  Start pojavlauncher_x000D_
2  Launch labymod client _x000D_
3  instalizing_x000D_
4  crashes (game exited)
    Expected Behavior
I expected it launched but it crashes
    Platform
   markdown
  Device model: vivo 1904_x000D_
  CPU architecture: 2 3 Ram_x000D_
  Android version: 11_x000D_
  PojavLauncher version: lastest version 3 3 1 1
    Anything else 
Game exited</t>
  </si>
  <si>
    <t>canyie-pine-21</t>
  </si>
  <si>
    <t>Pending hook crashes on Android 12</t>
  </si>
  <si>
    <t xml:space="preserve">Running Pine hooks resulted in crash_x000D_
_x000D_
 A libc: Fatal signal 11 (SIGSEGV)  code 1 (SEGV MAPERR)  fault addr 0x0 in tid 17671 _x000D_
_x000D_
Any plans to support Android 12 asap _x000D_
_x000D_
Seems to be issue with  PineEnhances enableDelayHook()   Crashes immediately on Android 12 Google Pixel released public factory image _x000D_
_x000D_
tag  canyie  canyie </t>
  </si>
  <si>
    <t>NekoX-Dev-NekoX-663</t>
  </si>
  <si>
    <t>Nekogram crashes when multitasking/using dual apps/multi-window</t>
  </si>
  <si>
    <t xml:space="preserve">8 1 1 arm64 (420) on Android 8 0 0:_x000D_
_x000D_
Whenever I try to bring up OpenBoard to type in Nekogram while it s set as a dual app  the keyboard never appears (despite the Back button rotating to point downward) and Nekogram freezes until it crashes </t>
  </si>
  <si>
    <t>doublesymmetry-react-native-track-player-1327</t>
  </si>
  <si>
    <t>`java.lang.IllegalStateException` bug in production app</t>
  </si>
  <si>
    <t xml:space="preserve">  Describe the bug  _x000D_
 java lang IllegalStateException  bug in production app _x000D_
_x000D_
Unfortunately  it is causing the app to have a single digit crash rate  _x000D_
_x000D_
  To Reproduce  _x000D_
I have been unable to reliably reproduce on my device  The issue can be reproduced  but it s not clear to me how to reproduce reliably _x000D_
_x000D_
Example trace:_x000D_
_x000D_
   _x000D_
java lang IllegalStateException: _x000D_
  at android app ContextImpl startServiceCommon (ContextImpl java:1795)_x000D_
  at android app ContextImpl startService (ContextImpl java:1740)_x000D_
  at android content ContextWrapper startService (ContextWrapper java:738)_x000D_
  at android content ContextWrapper startService (ContextWrapper java:738)_x000D_
  at com guichaguri trackplayer module MusicModule waitForConnection (MusicModule java:108)_x000D_
  at com guichaguri trackplayer module MusicModule getPosition (MusicModule java:455)_x000D_
  at java lang reflect Method invoke (Native Method)_x000D_
  at com facebook react bridge JavaMethodWrapper invoke (JavaMethodWrapper java:372)_x000D_
  at com facebook react bridge JavaModuleWrapper invoke (JavaModuleWrapper java:151)_x000D_
  at com facebook react bridge queue NativeRunnable run (Native Method)_x000D_
  at android os Handler handleCallback (Handler java:938)_x000D_
  at android os Handler dispatchMessage (Handler java:99)_x000D_
  at com facebook react bridge queue MessageQueueThreadHandler dispatchMessage (MessageQueueThreadHandler java:27)_x000D_
  at android os Looper loop (Looper java:246)_x000D_
  at com facebook react bridge queue MessageQueueThreadImpl 4 run (MessageQueueThreadImpl java:226)_x000D_
  at java lang Thread run (Thread java:923)_x000D_
   _x000D_
_x000D_
  Environment (please complete the following information):  _x000D_
This issue occurs in production across a number of devices  in production  OS Android 8 to 11_x000D_
_x000D_
 react native info :_x000D_
_x000D_
   _x000D_
System:_x000D_
    OS: macOS 11 6_x000D_
    CPU: (4) x64 Intel(R) Core(TM) i3 1000NG4 CPU   1 10GHz_x000D_
    Memory: 23 32 MB   8 00 GB_x000D_
    Shell: 5 8    bin zsh_x000D_
  Binaries:_x000D_
    Node: 12 19 0    usr local bin node_x000D_
    Yarn: Not Found_x000D_
    npm: 6 14 8    usr local bin npm_x000D_
    Watchman: 4 9 0    usr local bin watchman_x000D_
  Managers:_x000D_
    CocoaPods: 1 11 2    Users    rbenv shims pod_x000D_
  SDKs:_x000D_
    iOS SDK:_x000D_
      Platforms: iOS 14 5  DriverKit 20 4  macOS 11 3  tvOS 14 5  watchOS 7 4_x000D_
    Android SDK: Not Found_x000D_
  IDEs:_x000D_
    Android Studio: 4 0 AI 193 6911 18 40 6514223_x000D_
    Xcode: 12 5 1 12E507    usr bin xcodebuild_x000D_
  Languages:_x000D_
    Java: 14 0 2    usr bin javac_x000D_
  npmPackages:_x000D_
     react native community cli: Not Found_x000D_
    react: 16 13 1    16 13 1 _x000D_
    react native:  0 63 2    0 63 4 _x000D_
    react native macos: Not Found_x000D_
  npmGlobalPackages:_x000D_
     react native : Not Found_x000D_
   _x000D_
_x000D_
What  react native track player  version are you using _x000D_
_x000D_
 2 1 1 _x000D_
_x000D_
_x000D_
  Code  _x000D_
_x000D_
Audio is fired from an ordinary screen that manages a  BackgroundTimer   Download logic  and a few API calls  _x000D_
_x000D_
Additional dependencies:_x000D_
   _x000D_
 dependencies :  _x000D_
      babel core :   7 9 0  _x000D_
      babel runtime :   7 9 2  _x000D_
      bugsnag js :   7 8 0  _x000D_
      bugsnag plugin react :   7 7 0  _x000D_
      bugsnag react native :   7 6 1  _x000D_
      react native async storage async storage :   1 13 4  _x000D_
      react native community datetimepicker :   3 5 2  _x000D_
      react native community masked view :   0 1 10  _x000D_
      react native community netinfo :   5 9 6  _x000D_
      react native community slider :   3 0 3  _x000D_
      react native firebase analytics :   13 0 0  _x000D_
      react native firebase app :   13 0 0  _x000D_
      react native firebase crashlytics :   13 0 0  _x000D_
      react native firebase dynamic links :   13 0 0  _x000D_
      react native firebase messaging :   13 0 0  _x000D_
      react navigation bottom tabs :   5 4 5  _x000D_
      react navigation drawer :   5 5 0  _x000D_
      react navigation native :   5 4 0  _x000D_
      react navigation stack :   5 2 13  _x000D_
     amplitude js :   7 4 1  _x000D_
     core js :   3 8 3  _x000D_
     expo av :   9 0 0  _x000D_
     fast deep equal :   3 1 3  _x000D_
     jsc android :   241213 1 0  _x000D_
     lodash :   4 17 19  _x000D_
     moment :   2 24 0  _x000D_
     npm :   6 14 14  _x000D_
     react :  16 13 1  _x000D_
     react dom :   17 0 1  _x000D_
     react native :   0 63 2  _x000D_
     react native appsflyer :   6 2 10  _x000D_
     react native background downloader :   2 3 4  _x000D_
     react native background timer :   2 2 0  _x000D_
     react native code push :   6 3 0  _x000D_
     react native date picker :   3 3 2  _x000D_
     react native device info :   8 0 1  _x000D_
     react native dynamic :   1 0 0  _x000D_
     react native elements :   1 0 0 beta5  _x000D_
     react native fast image :   8 3 2  _x000D_
     react native fbsdk :   2 0 0  _x000D_
     react native fs :   2 16 0  _x000D_
     react native gesture handler :   1 10 3  _x000D_
     react native global props :   1 1 1  _x000D_
     react native input scroll view :   1 11 0  _x000D_
     react native iphone x helper :   1 3 1  _x000D_
     react native linear gradient :   2 5 6  _x000D_
     react native modal datetime picker :  git https:  git github com      _x000D_
     react native progress :   4 0 3  _x000D_
     react native purchases :   4 3 0  _x000D_
     react native rate :   1 2 4  _x000D_
     react native reanimated :   1 13 3  _x000D_
     react native safe area context :   0 7 3  _x000D_
     react native screens :   2 7 0  _x000D_
     react native size matters :   0 4 0  _x000D_
     react native snap carousel :   3 9 1  _x000D_
     react native splash screen :   3 2 0  _x000D_
     react native svg :   9 11 1  _x000D_
     react native svg web :   1 0 9  _x000D_
     react native swift :   1 2 2  _x000D_
     react native track player :   2 1 1  _x000D_
     react native unimodules :   0 12 0  _x000D_
     react native vector icons :   7 0 0  _x000D_
     react native version check :   3 4 2  _x000D_
     react native web :   0 14 13  _x000D_
     react native web swiper :   2 2 1  _x000D_
     react navigation animated switch :   0 3 2  _x000D_
     react redux :   7 2 4  _x000D_
     reanimated bottom sheet :   1 0 0 alpha 22  _x000D_
     redux :   3 7 2  _x000D_
     redux logger :   3 0 6  _x000D_
     redux persist :   6 0 0  _x000D_
     redux thunk :   2 2 0  _x000D_
     regenerator runtime :   0 13 7  _x000D_
     rn apple healthkit :   0 7 3  _x000D_
     rn tourguide :   2 7 1  _x000D_
     simple crypto js :   2 5 0  _x000D_
     thunk :  0 0 1  _x000D_
     utf8 :   3 0 0  _x000D_
     uuid :   3 3 3 _x000D_
    _x000D_
     _x000D_
_x000D_
</t>
  </si>
  <si>
    <t>cgeo-cgeo-12060</t>
  </si>
  <si>
    <t>Mapsforge crash in emulator</t>
  </si>
  <si>
    <t xml:space="preserve">    Describe your problem _x000D_
_x000D_
Running master in emulator it crashs when displaying any Mapsforge map  I went back two weeks in time (in the branch) and the same is happening there _x000D_
_x000D_
   _x000D_
2021 11 06 19:36:49 053 8569 8590 cgeo geocaching D LeakCanary: Setting up flushing for Thread Studio:view ins  layoutinspector view inspection primary  10 main _x000D_
2021 11 06 19:36:49 053 8569 8590 cgeo geocaching D LeakCanary: Setting up flushing for Thread PixelCopyHelper 7 main _x000D_
2021 11 06 19:36:52 091 8569 8569 cgeo geocaching I ToolbarWidgetWrapper: Progress display unsupported_x000D_
2021 11 06 19:36:52 305 8569 8569 cgeo geocaching I AndroidUtil: TILECACHE INMEMORY SIZE: 121_x000D_
2021 11 06 19:36:52 308 8569 8569 cgeo geocaching I AndroidUtil: TILECACHE FILE SIZE: 2000_x000D_
2021 11 06 19:36:53 109 8569 8569 cgeo geocaching D LeakCanary: Watching instance of androidx fragment app FragmentManagerViewModel (androidx fragment app FragmentManagerViewModel received ViewModel onCleared() callback) with key 6def1ea5 3bb0 470a 9a41 8bce6ee726db_x000D_
2021 11 06 19:36:53 109 8569 8569 cgeo geocaching D LeakCanary: Watching instance of leakcanary internal ViewModelClearedWatcher (leakcanary internal ViewModelClearedWatcher received ViewModel onCleared() callback) with key f75b8415 0347 4efc a0ad 1224f15765a9_x000D_
2021 11 06 19:36:53 110 8569 8569 cgeo geocaching D LeakCanary: Watching instance of androidx lifecycle ReportFragment (androidx lifecycle ReportFragment received Fragment onDestroy() callback) with key b5ebbad3 a21a 4109 9b77 73bbee6ca873_x000D_
2021 11 06 19:36:53 110 8569 8569 cgeo geocaching D LeakCanary: Watching instance of cgeo geocaching MainActivity (cgeo geocaching MainActivity received Activity onDestroy() callback) with key 43e9b8dc bbbf 4888 9b6b e4500566c6f4_x000D_
2021 11 06 19:36:53 114 8569 8569 cgeo geocaching D LeakCanary: Watching instance of android widget RelativeLayout (cgeo geocaching StatusFragment received Fragment onDestroyView() callback (references to its views should be cleared to prevent leaks)) with key dba1ef47 3af9 4735 8180 837891032e58_x000D_
2021 11 06 19:36:53 115 8569 8569 cgeo geocaching D LeakCanary: Watching instance of androidx loader app LoaderManagerImpl LoaderViewModel (androidx loader app LoaderManagerImpl LoaderViewModel received ViewModel onCleared() callback) with key 92fa62e9 e9e9 4edd b9ba b0755f9be4d9_x000D_
2021 11 06 19:36:53 115 8569 8569 cgeo geocaching D LeakCanary: Watching instance of leakcanary internal ViewModelClearedWatcher (leakcanary internal ViewModelClearedWatcher received ViewModel onCleared() callback) with key 6f17428e d7ba 47cb ace9 3ff88b37e623_x000D_
2021 11 06 19:36:53 115 8569 8569 cgeo geocaching D LeakCanary: Watching instance of cgeo geocaching StatusFragment (cgeo geocaching StatusFragment received Fragment onDestroy() callback) with key 62c9e6af 1dc1 4383 9e16 75b3b8b410c2_x000D_
2021 11 06 19:36:53 342 8569 8710 cgeo geocaching E AndroidRuntime: FATAL EXCEPTION: TileDownloadThread_x000D_
    Process: cgeo geocaching  PID: 8569_x000D_
    java lang IllegalStateException: Cannot access request header fields after connection is set_x000D_
        at com android okhttp internal huc HttpURLConnectionImpl getRequestProperties(HttpURLConnectionImpl java:236)_x000D_
        at com android okhttp internal huc DelegatingHttpsURLConnection getRequestProperties(DelegatingHttpsURLConnection java:183)_x000D_
        at com android okhttp internal huc HttpsURLConnectionImpl getRequestProperties(HttpsURLConnectionImpl java:30)_x000D_
        at com android tools profiler support network httpurl TrackedHttpURLConnection getRequestProperties(TrackedHttpURLConnection java:230)_x000D_
        at com android tools profiler support network httpurl TrackedHttpURLConnection trackPreConnect(TrackedHttpURLConnection java:63)_x000D_
        at com android tools profiler support network httpurl TrackedHttpURLConnection getInputStream(TrackedHttpURLConnection java:372)_x000D_
        at com android tools profiler support network httpurl HttpsURLConnection  getInputStream(HttpsURLConnection  java:261)_x000D_
        at org mapsforge map layer download TileDownloader getInputStream(TileDownloader java:37)_x000D_
        at org mapsforge map layer download TileDownloader downloadImage(TileDownloader java:71)_x000D_
        at org mapsforge map layer download TileDownloadThread downloadTile(TileDownloadThread java:81)_x000D_
        at org mapsforge map layer download TileDownloadThread doWork(TileDownloadThread java:60)_x000D_
        at org mapsforge map util PausableThread run(PausableThread java:149)_x000D_
2021 11 06 19:36:53 342 8569 8710 cgeo geocaching W cgeo:  TileDownloadThread  UncaughtException_x000D_
    java lang IllegalStateException: Cannot access request header fields after connection is set_x000D_
        at com android okhttp internal huc HttpURLConnectionImpl getRequestProperties(HttpURLConnectionImpl java:236)_x000D_
        at com android okhttp internal huc DelegatingHttpsURLConnection getRequestProperties(DelegatingHttpsURLConnection java:183)_x000D_
        at com android okhttp internal huc HttpsURLConnectionImpl getRequestProperties(HttpsURLConnectionImpl java:30)_x000D_
        at com android tools profiler support network httpurl TrackedHttpURLConnection getRequestProperties(TrackedHttpURLConnection java:230)_x000D_
        at com android tools profiler support network httpurl TrackedHttpURLConnection trackPreConnect(TrackedHttpURLConnection java:63)_x000D_
        at com android tools profiler support network httpurl TrackedHttpURLConnection getInputStream(TrackedHttpURLConnection java:372)_x000D_
        at com android tools profiler support network httpurl HttpsURLConnection  getInputStream(HttpsURLConnection  java:261)_x000D_
        at org mapsforge map layer download TileDownloader getInputStream(TileDownloader java:37)_x000D_
        at org mapsforge map layer download TileDownloader downloadImage(TileDownloader java:71)_x000D_
        at org mapsforge map layer download TileDownloadThread downloadTile(TileDownloadThread java:81)_x000D_
        at org mapsforge map layer download TileDownloadThread doWork(TileDownloadThread java:60)_x000D_
        at org mapsforge map util PausableThread run(PausableThread java:149)_x000D_
2021 11 06 19:36:53 353 8569 8708 cgeo geocaching W cgeo:  TileDownloadThread  UncaughtException_x000D_
    java lang IllegalStateException: Cannot access request header fields after connection is set_x000D_
        at com android okhttp internal huc HttpURLConnectionImpl getRequestProperties(HttpURLConnectionImpl java:236)_x000D_
        at com android okhttp internal huc DelegatingHttpsURLConnection getRequestProperties(DelegatingHttpsURLConnection java:183)_x000D_
        at com android okhttp internal huc HttpsURLConnectionImpl getRequestProperties(HttpsURLConnectionImpl java:30)_x000D_
        at com android tools profiler support network httpurl TrackedHttpURLConnection getRequestProperties(TrackedHttpURLConnection java:230)_x000D_
        at com android tools profiler support network httpurl TrackedHttpURLConnection trackPreConnect(TrackedHttpURLConnection java:63)_x000D_
        at com android tools profiler support network httpurl TrackedHttpURLConnection getInputStream(TrackedHttpURLConnection java:372)_x000D_
        at com android tools profiler support network httpurl HttpsURLConnection  getInputStream(HttpsURLConnection  java:261)_x000D_
        at org mapsforge map layer download TileDownloader getInputStream(TileDownloader java:37)_x000D_
        at org mapsforge map layer download TileDownloader downloadImage(TileDownloader java:71)_x000D_
        at org mapsforge map layer download TileDownloadThread downloadTile(TileDownloadThread java:81)_x000D_
        at org mapsforge map layer download TileDownloadThread doWork(TileDownloadThread java:60)_x000D_
        at org mapsforge map util PausableThread run(PausableThread java:149)_x000D_
2021 11 06 19:36:53 353 8569 8708 cgeo geocaching I Process: Sending signal  PID: 8569 SIG: 9_x000D_
   _x000D_
_x000D_
    How to reproduce _x000D_
_x000D_
Pixel 4 API 30 Play Store image as basis_x000D_
_x000D_
    Actual result after these steps _x000D_
_x000D_
 No response _x000D_
_x000D_
    Expected result after these steps _x000D_
_x000D_
 No response _x000D_
_x000D_
    Reproducible_x000D_
_x000D_
Yes_x000D_
_x000D_
    c:geo Version_x000D_
_x000D_
2021 11 05 NB_x000D_
_x000D_
    System information_x000D_
_x000D_
 No response _x000D_
_x000D_
    Additional Information_x000D_
_x000D_
 No response </t>
  </si>
  <si>
    <t>material-components-material-components-android-2462</t>
  </si>
  <si>
    <t>[TextField] Crash during fragment recreaton</t>
  </si>
  <si>
    <t xml:space="preserve">  Description:   _x000D_
Hey there  I work on an app that supports multiple languages in app settings  When navigating to a screen with a  com google android material textfield TextInputLayout  and then subsequently changing the app s language (specific language doesn t seem to matter)  when the Fragment that contains the  TextInputLayout  is reloaded via  onCreateView()   the app crashes with the following log output:_x000D_
   _x000D_
E AndroidRuntime: Caused by: android view InflateException: Binary XML file line  29 in com myapp android beta:layout design text input end icon: Binary XML file line  29 in com myapp android beta:layout design text input end icon: Error inflating class  unknown _x000D_
    Caused by: android view InflateException: Binary XML file line  29 in com myapp android beta:layout design text input end icon: Error inflating class  unknown _x000D_
    Caused by: java lang reflect InvocationTargetException_x000D_
        at java lang reflect Constructor newInstance0(Native Method)_x000D_
        at java lang reflect Constructor newInstance(Constructor java:343)_x000D_
        at android view LayoutInflater createView(LayoutInflater java:858)_x000D_
        at android view LayoutInflater createViewFromTag(LayoutInflater java:1010)_x000D_
        at android view LayoutInflater createViewFromTag(LayoutInflater java:965)_x000D_
        at android view LayoutInflater inflate(LayoutInflater java:663)_x000D_
        at android view LayoutInflater inflate(LayoutInflater java:538)_x000D_
        at com google android material textfield TextInputLayout  init (TextInputLayout java:613)_x000D_
        at com google android material textfield TextInputLayout  init (TextInputLayout java:428)_x000D_
        at java lang reflect Constructor newInstance0(Native Method)_x000D_
        at java lang reflect Constructor newInstance(Constructor java:343)_x000D_
        at android view LayoutInflater createView(LayoutInflater java:858)_x000D_
        at android view LayoutInflater createViewFromTag(LayoutInflater java:1010)_x000D_
        at android view LayoutInflater createViewFromTag(LayoutInflater java:965)_x000D_
        at android view LayoutInflater rInflate(LayoutInflater java:1127)_x000D_
        at android view LayoutInflater inflate(LayoutInflater java:660)_x000D_
        at android view LayoutInflater inflate(LayoutInflater java:538)_x000D_
        at com myapp android style views SelectDropdown  init (CollageSelectDropdown kt:40)_x000D_
        at com myapp android style views SelectDropdown  init (CollageSelectDropdown kt:23)_x000D_
        at com myapp android style views SelectDropdown  init (Unknown Source:11)_x000D_
        at java lang reflect Constructor newInstance0(Native Method)_x000D_
        at java lang reflect Constructor newInstance(Constructor java:343)_x000D_
        at android view LayoutInflater createView(LayoutInflater java:858)_x000D_
        at android view LayoutInflater createViewFromTag(LayoutInflater java:1010)_x000D_
        at android view LayoutInflater createViewFromTag(LayoutInflater java:965)_x000D_
        at android view LayoutInflater rInflate(LayoutInflater java:1127)_x000D_
        at android view LayoutInflater rInflateChildren(LayoutInflater java:1088)_x000D_
        at android view LayoutInflater rInflate(LayoutInflater java:1130)_x000D_
        at android view LayoutInflater rInflateChildren(LayoutInflater java:1088)_x000D_
        at android view LayoutInflater rInflate(LayoutInflater java:1130)_x000D_
        at android view LayoutInflater rInflateChildren(LayoutInflater java:1088)_x000D_
        at android view LayoutInflater parseInclude(LayoutInflater java:1267)_x000D_
        at android view LayoutInflater rInflate(LayoutInflater java:1123)_x000D_
        at android view LayoutInflater rInflateChildren(LayoutInflater java:1088)_x000D_
        at android view LayoutInflater rInflate(LayoutInflater java:1130)_x000D_
        at android view LayoutInflater rInflateChildren(LayoutInflater java:1088)_x000D_
        at android view LayoutInflater rInflate(LayoutInflater java:1130)_x000D_
        at android view LayoutInflater rInflateChildren(LayoutInflater java:1088)_x000D_
        at android view LayoutInflater rInflate(LayoutInflater java:1130)_x000D_
        at android view LayoutInflater rInflateChildren(LayoutInflater java:1088)_x000D_
        at android view LayoutInflater rInflate(LayoutInflater java:1130)_x000D_
        at android view LayoutInflater rInflateChildren(LayoutInflater java:1088)_x000D_
        at android view LayoutInflater rInflate(LayoutInflater java:1130)_x000D_
        at android view LayoutInflater rInflateChildren(LayoutInflater java:1088)_x000D_
        at android view LayoutInflater inflate(LayoutInflater java:686)_x000D_
        at android view LayoutInflater inflate(LayoutInflater java:538)_x000D_
        at com etsy android ui core listingnomapper ListingFragmentNoMapper onCreateView(ListingFragmentNoMapper java:711)_x000D_
        at androidx fragment app Fragment performCreateView(Fragment java:2963)_x000D_
2021 11 05 14:15:30 398 11421 11421 com etsy android beta E AndroidRuntime:     at androidx fragment app FragmentStateManager createView(FragmentStateManager java:518)_x000D_
        at androidx fragment app FragmentStateManager moveToExpectedState(FragmentStateManager java:282)_x000D_
        at androidx fragment app FragmentManager executeOpsTogether(FragmentManager java:2189)_x000D_
        at androidx fragment app FragmentManager removeRedundantOperationsAndExecute(FragmentManager java:2100)_x000D_
        at androidx fragment app FragmentManager execPendingActions(FragmentManager java:2002)_x000D_
        at androidx fragment app FragmentManager 5 run(FragmentManager java:524)_x000D_
        at android os Handler handleCallback(Handler java:938)_x000D_
        at android os Handler dispatchMessage(Handler java:99)_x000D_
        at android os Looper loopOnce(Looper java:201)_x000D_
        at android os Looper loop(Looper java:288)_x000D_
        at android app ActivityThread main(ActivityThread java:7842)_x000D_
        at java lang reflect Method invoke(Native Method)_x000D_
        at com android internal os RuntimeInit MethodAndArgsCaller run(RuntimeInit java:548)_x000D_
        at com android internal os ZygoteInit main(ZygoteInit java:1003)_x000D_
     Caused by: java lang UnsupportedOperationException: Failed to resolve attribute at index 13: TypedValue t 0x2 d 0x7f040002 a  1 _x000D_
        at android content res TypedArray getDrawableForDensity(TypedArray java:998)_x000D_
        at android content res TypedArray getDrawable(TypedArray java:982)_x000D_
        at android view View  init (View java:5520)_x000D_
        at android widget ImageView  init (ImageView java:195)_x000D_
        at android widget ImageButton  init (ImageButton java:86)_x000D_
        at android widget ImageButton  init (ImageButton java:82)_x000D_
        at androidx appcompat widget AppCompatImageButton  init (AppCompatImageButton java:75)_x000D_
        at com google android material internal CheckableImageButton  init (CheckableImageButton java:56)_x000D_
        at com google android material internal CheckableImageButton  init (CheckableImageButton java:52)_x000D_
   _x000D_
_x000D_
  Expected behavior:  _x000D_
No crash occurs_x000D_
_x000D_
  Source code:  _x000D_
The suspected  TextInputLayout :_x000D_
   _x000D_
 com google android material textfield TextInputLayout_x000D_
    android:id    id select layout _x000D_
    android:layout width  0dp _x000D_
    android:layout height  wrap content _x000D_
    android:layout marginTop   dimen clg space 4 _x000D_
    app:layout constraintEnd toEndOf  parent _x000D_
    app:layout constraintStart toStartOf  parent _x000D_
    app:layout constraintTop toBottomOf   id select label  _x000D_
_x000D_
     AutoCompleteTextView_x000D_
        android:id    id select input _x000D_
        style   style select text _x000D_
        android:layout width  match parent _x000D_
        android:layout height  wrap content   _x000D_
_x000D_
  com google android material textfield TextInputLayout _x000D_
   _x000D_
_x000D_
  Android API version:   _x000D_
Android 12_x000D_
_x000D_
  Material Library version:   _x000D_
Reproduced on 1 4 0 and 1 5 0 alpha02_x000D_
_x000D_
  Device:   _x000D_
Pixel 5</t>
  </si>
  <si>
    <t>getodk-collect-4899</t>
  </si>
  <si>
    <t>Stop using reference to mutable list as data backing `FileArrayAdapter`</t>
  </si>
  <si>
    <t xml:space="preserve">We re seeing the occasional  crash (https:  console firebase google com u 0 project api project 322300403941 crashlytics app android:org odk collect android issues 4d7d67b41b272b264d991d4959873afc time last seven days versions v2021 3 0 20(4316) sessionEventKey 61844403001D00012745F22552D65CAC 1605271776140814949) linked to the  FileArrayAdapter :_x000D_
_x000D_
   java_x000D_
Fatal Exception: java lang IllegalStateException: The content of the adapter has changed but ListView did not receive a notification  Make sure the content of your adapter is not modified from a background thread  but only from the UI thread  Make sure your adapter calls notifyDataSetChanged() when its content changes   in ListView(16908298  class android widget ListView) with Adapter(class org odk collect android adapters FileArrayAdapter) _x000D_
       at android widget ListView layoutChildren(ListView java:1597)_x000D_
       at android widget AbsListView CheckForTap run(AbsListView java:4344)_x000D_
       at android os Handler handleCallback(Handler java:739)_x000D_
       at android os Handler dispatchMessage(Handler java:95)_x000D_
       at android os Looper loop(Looper java:148)_x000D_
       at android app ActivityThread main(ActivityThread java:7406)_x000D_
       at java lang reflect Method invoke(Method java)_x000D_
       at com android internal os ZygoteInit MethodAndArgsCaller run(ZygoteInit java:1230)_x000D_
       at com android internal os ZygoteInit main(ZygoteInit java:1120)_x000D_
   _x000D_
_x000D_
Reviewing  FileArrayAdapter   it does look like that the data it s back with is a  List  passed from its parent  GoogleDriveActivity  and that that  List  is mutated in  getResultsFromApi  without a  notifyDataSetChanged  call  I wasn t able to reproduce  but we can see from the crash that someone is experiencing this _x000D_
_x000D_
In general  it s a pretty bad idea to share a direct reference to a mutable  List  between two objects like this  especially when we re dealing with something as complex as an  Adapter   To remove any risk of this kind of crash  and to make the code less confusing  we should just remove the shared reference and make the  Adapter  the single source of truth or copy data from the Activity to the Adapter when changing it (with a setter) </t>
  </si>
  <si>
    <t>hzi-braunschweig-SORMAS-Project-7167</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</si>
  <si>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Mandatory    _x000D_
The Android app crashes when trying to create an immunization for an event participants _x000D_
_x000D_
    Steps to Reproduce_x000D_
     Optional  please add more steps if necessary    _x000D_
1  Select a participant of an event with no disease  navigate to immunizations_x000D_
2  Click the edit icon    person edit fragment opens_x000D_
3  navigate to immunizations again_x000D_
4  Click the     icon to create an immunization    app crashes_x000D_
_x000D_
alternatively:_x000D_
_x000D_
1  Select a participant of an event with disease  navigate to immunizations_x000D_
2  Click the     icon to create an immunization    app crashes_x000D_
_x000D_
    Expected Behavior_x000D_
     Optional    _x000D_
The app should not crash _x000D_
For events with no disease  it should not be possible to create immunizations for event participants _x000D_
_x000D_
    Screenshots_x000D_
     Optional    _x000D_
_x000D_
    System Details_x000D_
     Mandatory  you only have to specify the Server URL if the error appeared on a publicly available test server    _x000D_
  Device: Android_x000D_
  SORMAS version: 1 64 1_x000D_
  Android version Browser: API 24_x000D_
  Server URL: https:  release international sormas netzlink com_x000D_
  User Role: Contact Officer   Surveillance Officer_x000D_
_x000D_
    Additional Information_x000D_
     Optional    _x000D_
</t>
  </si>
  <si>
    <t>PojavLauncherTeam-PojavLauncher-2206</t>
  </si>
  <si>
    <t xml:space="preserve">    Describe the bug
crash 1 8 9 very annoying please fix this bug  and if you play using Lunar Client 1 8 9
    The log file and images videos
crash 1 8 9 very annoying please fix this bug  and if you play using Lunar Client 1 8 9
    Steps To Reproduce
   markdown
crash
    Expected Behavior
vgpu
    Platform
   markdown
  Device model:Asus ROG Phone 3 12 256_x000D_
  CPU architecture: aarch64_x000D_
  Android version: 11_x000D_
  PojavLauncher version: crocus v3 openjdk
    Anything else 
 No response </t>
  </si>
  <si>
    <t>getodk-collect-4896</t>
  </si>
  <si>
    <t>Prevent swipes before form has loaded properly</t>
  </si>
  <si>
    <t xml:space="preserve">It seems like from this  crash (https:  console firebase google com u 0 project api project 322300403941 crashlytics app android:org odk collect android issues 30a3178c00619de299e65f60078556f8 time last seven days sessionEventKey 6184F4B302540001171121663967053E 1605465151459213822) that it s possible to swipe before the form has loaded (and there s no view on screen)  This causes a  NullPointerException  as  currentView   (in  FormEntryActivity ) hasn t been assigned yet _x000D_
_x000D_
It s hard to reproduce this  but it should be easy enough to protect against  and it does seem like a nasty instability in our swipe code _x000D_
_x000D_
   Notes_x000D_
_x000D_
I think fixing this is a nice opportunity to encapsulate our swipe code (scattered currently between  SwipeHandler  and various methods in  FormEntryActivity ) into a dedicated view  separating swiping from the actual view creation and form index manipulation entirely  In that world it d be easy to just contain  currentView  in there and ignore swipes or next back clicks if the view hasn t been populated  In my mind  a possibility would be something like this:_x000D_
_x000D_
   kotlin_x000D_
class SwipeView  _x000D_
_x000D_
       For refreshing  setting first view_x000D_
    fun setView(view: View)_x000D_
_x000D_
       For explicit moves forward and backwards like when prompting for a repeat _x000D_
       This might get rid of the need for  FormIndexAnimationHandler _x000D_
    fun setView(view: View  direction: Direction)_x000D_
_x000D_
       Called by nav bar buttons  These would then trigger the appropriate listener method_x000D_
    fun next()_x000D_
    fun back()_x000D_
   _x000D_
       The  SwipeView  can use the listener to  ask  for the next previous view  _x000D_
        FormEntryActivity  could implement the methods and carry out the form index_x000D_
       manipulation  create the view and then return it in each _x000D_
    fun setListener(listener: Listener) _x000D_
_x000D_
    interface Listener  _x000D_
_x000D_
        fun onSwipeForward(): View_x000D_
_x000D_
        fun onSwipeBackward(): View_x000D_
     _x000D_
 _x000D_
   _x000D_
_x000D_
We ve chatted about moving to a  ViewPager  before  but that process seems to be so hard at this point that I think doubling down on a custom swipe system but extracting it as a reusable component (probably in its own module) would at least give us some separation and could untangle some of  FormEntryActivity  </t>
  </si>
  <si>
    <t>ElderDrivers-EdXposed-902</t>
  </si>
  <si>
    <t xml:space="preserve">[BUG] Any app that needs to use com.google.android.documentsui will crash. </t>
  </si>
  <si>
    <t xml:space="preserve">       What happened   _x000D_
_x000D_
    _x000D_
  EdXposed         com google android documentsui app                   EdXposed    Magisk     EdXposed                Magisk    EdXposed    com google android documentsui      _x000D_
After installing EdXposed  any app that needs com google android documentsui will crash anyway  I m sure that I ve turned off all EdXposedmodules except Edxposed Magisk Module  that crash still remain  Such situation will dissapear as long as I turn off the EdXposed module in Magisk _x000D_
   _x000D_
_x000D_
  Xposed     Xposed Module List  _x000D_
    _x000D_
      _x000D_
      beta _x000D_
    _x000D_
    Xposed_x000D_
     _x000D_
        _x000D_
        _x000D_
  2 5 9_x000D_
          _x000D_
    _x000D_
    _x000D_
 X  _x000D_
     _x000D_
     _x000D_
    _x000D_
DisableFlagSecure_x000D_
Flyme  _x000D_
QNotified_x000D_
Scene4_x000D_
_x000D_
_x000D_
  Magisk     Magisk Module List  _x000D_
Riru_x000D_
Riru   EdXposed_x000D_
Riru   Hide My Applist_x000D_
Riru          QQ_x000D_
Riru            _x000D_
Riru             _x000D_
Riru            _x000D_
Riru   Momohider_x000D_
_x000D_
_x000D_
       Versions  _x000D_
_x000D_
Android: 111_x000D_
_x000D_
Magisk: 23 0(23000)_x000D_
_x000D_
Riru: v25 4 4 r426 05efc94_x000D_
_x000D_
EdXposed:v0 5 2 2 4683 master_x000D_
_x000D_
       Related Logs  _x000D_
_x000D_
    _x000D_
https:  github com Nronless documentsui  blob main documents E5 B4 A9 E6 BA 83 E6 97 A5 E5 BF 97_x000D_
   _x000D_
</t>
  </si>
  <si>
    <t>OTTAA-Project-OTTAAProject-99</t>
  </si>
  <si>
    <t>Gender null pointer exception</t>
  </si>
  <si>
    <t xml:space="preserve">  Describe the bug  _x000D_
The app crash when the user login at the first time _x000D_
Because the user doesn t have the gender _x000D_
_x000D_
</t>
  </si>
  <si>
    <t>TeamNewPipe-NewPipe-7358</t>
  </si>
  <si>
    <t>Rotate button doesn't work sometimes</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</si>
  <si>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13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Not 100  reproducible  but it happens maybe 33  of the time  Turn auto rotate off and enter full screen via the rotate button 
     If you can t cause the bug to show up again reliably (and hence don t have a proper set of steps to give us)  please still try to give as many details as possible on how you think you encountered the bug     
    Actual behavior
     Tell us what happens with the steps given above     
Can t exit landscape mode using the rotate button in newpipe 
    Expected behavior
     Tell us what you expect to happen     
I should exit landscape mode when the rotate button is pressed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https:  user images githubusercontent com 29665788 140334839 676f2455 72d0 40a8 b228 7ba904c8e018 mp4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12
   Device model: Pixel 6
</t>
  </si>
  <si>
    <t>nextcloud-android-9196</t>
  </si>
  <si>
    <t>App crashes when trying to upload a file from external storage larger than remaining internal storage</t>
  </si>
  <si>
    <t>possible duplicate of  8707_x000D_
_x000D_
    Steps to reproduce_x000D_
1  Have file on an SD card that is larger than your remaining internal storage_x000D_
2  Upload this file with the app (read only)_x000D_
3  Agree to move file instead of copying because of insufficient space left_x000D_
_x000D_
    Expected behaviour_x000D_
  The file should preferably be uploaded to the Nextcloud server without being copied or moved anywhere  At least  the app should recognize that moving a file from an SD card to internal storage does not help when the internal storage is insufficient _x000D_
_x000D_
    Actual behaviour_x000D_
  The app crashes and asks me to file a bug report _x000D_
_x000D_
    Can you reproduce this problem on https:  try nextcloud com _x000D_
  Yes  I can reproduce this error_x000D_
_x000D_
    Environment data_x000D_
Android version: 10_x000D_
Device model: SM G965F_x000D_
Stock or customized system: stock_x000D_
Nextcloud app version: 30170190_x000D_
Nextcloud server version: 22 2 0_x000D_
Reverse proxy: Nginx_x000D_
_x000D_
    Logs_x000D_
     Web server error log_x000D_
nothing noteworthy_x000D_
_x000D_
     Nextcloud log (data nextcloud log)_x000D_
nothing noteworthy_x000D_
_x000D_
Bug:_x000D_
             CAUSE OF ERROR             _x000D_
_x000D_
java lang RuntimeException: Failure delivering result ResultInfo who null  request 2  result 1  data Intent   (has extras)    to activity  com nextcloud client com owncloud android ui activity FileDisplayActivity : java lang NullPointerException: Attempt to invoke virtual method  boolean java lang String endsWith(java lang String)  on a null object reference_x000D_
	at android app ActivityThread deliverResults(ActivityThread java:5360)_x000D_
	at android app ActivityThread handleSendResult(ActivityThread java:5401)_x000D_
	at android app servertransaction ActivityResultItem execute(ActivityResultItem java:51)_x000D_
	at android app servertransaction TransactionExecutor executeCallbacks(TransactionExecutor java:135)_x000D_
	at android app servertransaction TransactionExecutor execute(TransactionExecutor java:95)_x000D_
	at android app ActivityThread H handleMessage(ActivityThread java:2267)_x000D_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Caused by: java lang NullPointerException: Attempt to invoke virtual method  boolean java lang String endsWith(java lang String)  on a null object reference_x000D_
	at com owncloud android ui activity FileDisplayActivity requestUploadOfFilesFromFileSystem(FileDisplayActivity java:964)_x000D_
	at com owncloud android ui activity FileDisplayActivity requestUploadOfFilesFromFileSystem(FileDisplayActivity java:959)_x000D_
	at com owncloud android ui activity FileDisplayActivity onActivityResult(FileDisplayActivity java:889)_x000D_
	at android app Activity dispatchActivityResult(Activity java:8300)_x000D_
	at android app ActivityThread deliverResults(ActivityThread java:5353)_x000D_
	    11 more_x000D_
_x000D_
             APP INFORMATION             _x000D_
ID: com nextcloud client_x000D_
Version: 30170190_x000D_
Build flavor: generic_x000D_
_x000D_
             DEVICE INFORMATION             _x000D_
Brand: samsung_x000D_
Device: star2lte_x000D_
Model: SM G965F_x000D_
Id: QP1A 190711 020_x000D_
Product: star2ltexx_x000D_
_x000D_
             FIRMWARE             _x000D_
SDK: 29_x000D_
Release: 10_x000D_
Incremental: G965FXXUGFUG4</t>
  </si>
  <si>
    <t>aryan-vishwakarma-Operations-2</t>
  </si>
  <si>
    <t>Error in powerMod function</t>
  </si>
  <si>
    <t>App crashes in case of a b mod a  reason being  case for 0 b mod c not included</t>
  </si>
  <si>
    <t>aryan-vishwakarma-Operations-1</t>
  </si>
  <si>
    <t>Error</t>
  </si>
  <si>
    <t xml:space="preserve">If expression is not valid  app crashes </t>
  </si>
  <si>
    <t>green-green-avk-AnotherTerm-22</t>
  </si>
  <si>
    <t xml:space="preserve">Crash on version MkIIIv38 and upwards- android 4.4.4 </t>
  </si>
  <si>
    <t xml:space="preserve">I installed the app from google playstore  After creating a shell profile i clicked to run it  but as soon as i clicked the app crashed  So then i seach for the project( amazing by the way)   and tried alll previos versions up to MkIIIv37 which ran perfectly (i am currently running it)  Am not sure if the problem is my phone _x000D_
Phone : Samsung galaxy tab 3 lite sm t116  kernel version 3 10 17  android 4 4 4  rooted with super su </t>
  </si>
  <si>
    <t>jellyfin-jellyfin-androidtv-1236</t>
  </si>
  <si>
    <t>Android TV app crash</t>
  </si>
  <si>
    <t xml:space="preserve">    Describe the bug
Android TV app crashed  we need to clear the application cache and data to able to use it again 
    Logs
 No response 
    Application version
0 12 2
    Where did you install the app from 
Google Play
    Device information
Sony Android TV
    Android version
Android 9
    Jellyfin server version
10 7 7</t>
  </si>
  <si>
    <t>googleads-googleads-mobile-flutter-422</t>
  </si>
  <si>
    <t>Load ads crash the app in release mode</t>
  </si>
  <si>
    <t xml:space="preserve">     Thank you for using Google Mobile Ads for Flutter _x000D_
_x000D_
     If you have found a bug or if our documentation doesn t have an answer_x000D_
     to what you re looking for  then fill out the template below  Please read_x000D_
     the Flutter s team guide to filing a bug first: https:  flutter dev docs resources bug reports_x000D_
   _x000D_
_x000D_
   Plugin Version_x000D_
_x000D_
google mobile ads:  0 13 5_x000D_
_x000D_
   Steps to Reproduce_x000D_
_x000D_
When i run the app in debug mode it run without any problem  but when i run in release mode the crash happen with first ad load and it stop the app _x000D_
_x000D_
  Notes:  _x000D_
_x000D_
1   i have tried to use test unit id and my app id  both have the same issue _x000D_
2   i have added meta data in my app manifest correctly _x000D_
_x000D_
_x000D_
 details _x000D_
   summary flutter run   release   verbose  summary _x000D_
_x000D_
          68 ms  E AndroidRuntime(23328): FATAL EXCEPTION: main_x000D_
           2 ms  E AndroidRuntime(23328): Process: com araktek abra  PID: 23328_x000D_
                 E AndroidRuntime(23328): java lang LinkageError: Method java lang Object com google android gms internal ads ro3 zzb()_x000D_
      overrides final method in class Lcom google android gms internal ads jo3  (declaration of  com google android gms internal ads ro3 _x000D_
      appears in  data app com araktek abra zJbCG33S15XOP9NIIaF6Pw   base apk)_x000D_
           1 ms  E AndroidRuntime(23328):     at com google android gms internal ads lv0 zza(Unknown Source:23)_x000D_
                 E AndroidRuntime(23328):     at com google android gms internal ads sk2 a(Unknown Source:297)_x000D_
                 E AndroidRuntime(23328):     at com google android gms internal ads m82 p0(Unknown Source:75)_x000D_
                 E AndroidRuntime(23328):     at com google android gms internal ads m82 L2(Unknown Source:5)_x000D_
                 E AndroidRuntime(23328):     at com google android gms internal ads g70 h(Unknown Source:28)_x000D_
                 E AndroidRuntime(23328):     at com google android gms ads e0 a b(Unknown Source:29)_x000D_
                 E AndroidRuntime(23328):     at io flutter plugins b f d(Unknown Source:0)_x000D_
                 E AndroidRuntime(23328):     at io flutter plugins b r j(Unknown Source:25)_x000D_
                 E AndroidRuntime(23328):     at io flutter plugins b v j(Unknown Source:822)_x000D_
                 E AndroidRuntime(23328):     at d a c a j a a(Unknown Source:17)_x000D_
           2 ms  E AndroidRuntime(23328):     at io flutter embedding engine f b e(Unknown Source:49)_x000D_
           1 ms  E AndroidRuntime(23328):     at io flutter embedding engine FlutterJNI handlePlatformMessage(Unknown Source:4)_x000D_
                 E AndroidRuntime(23328):     at android os MessageQueue nativePollOnce(Native Method)_x000D_
                 E AndroidRuntime(23328):     at android os MessageQueue next(MessageQueue java:363)_x000D_
           1 ms  E AndroidRuntime(23328):     at android os Looper loop(Looper java:173)_x000D_
           1 ms  E AndroidRuntime(23328):     at android app ActivityThread main(ActivityThread java:8178)_x000D_
           1 ms  E AndroidRuntime(23328):     at java lang reflect Method invoke(Native Method)_x000D_
           1 ms  E AndroidRuntime(23328):     at com android internal os RuntimeInit MethodAndArgsCaller run(RuntimeInit java:513)_x000D_
                 E AndroidRuntime(23328):     at com android internal os ZygoteInit main(ZygoteInit java:1101)_x000D_
_x000D_
  details _x000D_
_x000D_
_x000D_
 details _x000D_
   summary flutter doctor  v  summary _x000D_
_x000D_
          Flutter (Channel stable  2 5 2  on Microsoft Windows  Version 10 0 19042 1288   locale en US)_x000D_
            Flutter version 2 5 2 at C: Src flutter_x000D_
            Upstream repository https:  github com flutter flutter git_x000D_
            Framework revision 3595343e20 (5 weeks ago)  2021 09 30 12:58:18  0700_x000D_
            Engine revision 6ac856380f_x000D_
            Dart version 2 14 3_x000D_
      _x000D_
          Android toolchain   develop for Android devices (Android SDK version 29 0 3)_x000D_
            Android SDK at C: Users mahmo AppData Local Android sdk_x000D_
            Platform android 31  build tools 29 0 3_x000D_
            Java binary at: C: Program Files Android Android Studio1 jre bin java_x000D_
            Java version OpenJDK Runtime Environment (build 1 8 0 242 release 1644 b01)_x000D_
          X Android license status unknown _x000D_
            Run  flutter doctor   android licenses  to accept the SDK licenses _x000D_
            See https:  flutter dev docs get started install windows android setup for more details _x000D_
      _x000D_
          Chrome   develop for the web_x000D_
            Chrome at C: Program Files Google Chrome Application chrome exe_x000D_
      _x000D_
          Visual Studio   develop for Windows (Visual Studio Enterprise 2019 16 10 3)_x000D_
            Visual Studio at C: Program Files (x86) Microsoft Visual Studio 2019 Enterprise_x000D_
            Visual Studio Enterprise 2019 version 16 10 31424 327_x000D_
            Windows 10 SDK version 10 0 19041 0_x000D_
          X The current Visual Studio installation is incomplete  Please reinstall Visual Studio _x000D_
      _x000D_
          Android Studio (version 4 1)_x000D_
            Android Studio at C: Program Files Android Android Studio1_x000D_
            Flutter plugin can be installed from:_x000D_
             https:  plugins jetbrains com plugin 9212 flutter_x000D_
            Dart plugin can be installed from:_x000D_
             https:  plugins jetbrains com plugin 6351 dart_x000D_
            Java version OpenJDK Runtime Environment (build 1 8 0 242 release 1644 b01)_x000D_
      _x000D_
          Android Studio (version 4 2)_x000D_
            Android Studio at C: Program Files Android Android Studio_x000D_
            Flutter plugin can be installed from:_x000D_
             https:  plugins jetbrains com plugin 9212 flutter_x000D_
            Dart plugin can be installed from:_x000D_
             https:  plugins jetbrains com plugin 6351 dart_x000D_
          X Unable to determine bundled Java version _x000D_
            Try updating or re installing Android Studio _x000D_
      _x000D_
          VS Code  64 bit edition (version 1 60 0)_x000D_
            VS Code at C: Program Files Microsoft VS Code_x000D_
            Flutter extension version 3 27 0_x000D_
      _x000D_
          Connected device (4 available)_x000D_
            SNE LX2 (mobile)    64X0218B07002965   android arm64    Android 10 (API 29)_x000D_
            Windows (desktop)   windows            windows x64      Microsoft Windows  Version 10 0 19042 1288 _x000D_
            Chrome (web)        chrome             web javascript   Google Chrome 95 0 4638 69_x000D_
            Edge (web)          edge               web javascript   Microsoft Edge 95 0 1020 30_x000D_
      _x000D_
        Doctor found issues in 3 categories _x000D_
_x000D_
  details _x000D_
_x000D_
_x000D_
 details _x000D_
   summary android build gradle  summary _x000D_
_x000D_
        buildscript  _x000D_
            ext kotlin version    1 3 50 _x000D_
            repositories  _x000D_
                google()_x000D_
                jcenter()_x000D_
           _x000D_
_x000D_
          dependencies  _x000D_
              classpath  com google gms:google services:4 3 8 _x000D_
              classpath  com android tools build:gradle:4 1 0 _x000D_
              classpath  org jetbrains kotlin:kotlin gradle plugin: kotlin version _x000D_
           _x000D_
       _x000D_
      _x000D_
      allprojects  _x000D_
          repositories  _x000D_
              google()_x000D_
              jcenter()_x000D_
           _x000D_
       _x000D_
      _x000D_
      rootProject buildDir       build _x000D_
      subprojects  _x000D_
          project buildDir      rootProject buildDir    project name  _x000D_
          project evaluationDependsOn( :app )_x000D_
       _x000D_
      _x000D_
      task clean(type: Delete)  _x000D_
          delete rootProject buildDir_x000D_
       _x000D_
_x000D_
      _x000D_
_x000D_
  details _x000D_
_x000D_
_x000D_
 details _x000D_
   summary android app build gradle  summary _x000D_
_x000D_
        def localProperties   new Properties()_x000D_
        def localPropertiesFile   rootProject file( local properties )_x000D_
        if (localPropertiesFile exists())  _x000D_
            localPropertiesFile withReader( UTF 8 )   reader   _x000D_
                localProperties load(reader)_x000D_
             _x000D_
         _x000D_
        _x000D_
        def flutterRoot   localProperties getProperty( flutter sdk )_x000D_
        if (flutterRoot    null)  _x000D_
            throw new GradleException( Flutter SDK not found  Define location with flutter sdk in the local properties file  )_x000D_
         _x000D_
        _x000D_
        def flutterVersionCode   localProperties getProperty( flutter versionCode )_x000D_
        if (flutterVersionCode    null)  _x000D_
            flutterVersionCode    1 _x000D_
         _x000D_
        _x000D_
        def flutterVersionName   localProperties getProperty( flutter versionName )_x000D_
        if (flutterVersionName    null)  _x000D_
            flutterVersionName    1 0 _x000D_
         _x000D_
        _x000D_
        apply plugin:  com android application _x000D_
        apply plugin:  com google gms google services _x000D_
        apply plugin:  kotlin android _x000D_
        apply from:   flutterRoot packages flutter tools gradle flutter gradle _x000D_
        _x000D_
        def keystoreProperties   new Properties()_x000D_
        def keystorePropertiesFile   rootProject file( keystore properties )_x000D_
        if (keystorePropertiesFile exists())  _x000D_
            keystoreProperties load(new FileInputStream(keystorePropertiesFile))_x000D_
         _x000D_
        _x000D_
        android  _x000D_
            compileSdkVersion 30_x000D_
        _x000D_
            sourceSets  _x000D_
                main java srcDirs     src main kotlin _x000D_
             _x000D_
        _x000D_
            lintOptions  _x000D_
                checkReleaseBuilds false_x000D_
             _x000D_
        _x000D_
            defaultConfig  _x000D_
                applicationId  com araktek abra _x000D_
                minSdkVersion 23_x000D_
                targetSdkVersion 30_x000D_
                multiDexEnabled true_x000D_
                versionCode 5_x000D_
                versionName  0 3 _x000D_
             _x000D_
            signingConfigs  _x000D_
                release  _x000D_
                    keyAlias keystoreProperties  keyAlias  _x000D_
                    keyPassword keystoreProperties  keyPassword  _x000D_
                    storeFile keystoreProperties  storeFile     file(keystoreProperties  storeFile  ) : null_x000D_
                    storePassword keystoreProperties  storePassword  _x000D_
                 _x000D_
             _x000D_
            buildTypes  _x000D_
                release  _x000D_
                    signingConfig signingConfigs release_x000D_
                 _x000D_
             _x000D_
         _x000D_
        _x000D_
        flutter  _x000D_
            source        _x000D_
         _x000D_
        _x000D_
        dependencies  _x000D_
            implementation  org jetbrains kotlin:kotlin stdlib jdk7: kotlin version _x000D_
            implementation  com google android gms:play services ads:20 4 0 _x000D_
            implementation( com android support:multidex:2 0 1 )_x000D_
        _x000D_
         _x000D_
_x000D_
_x000D_
  details </t>
  </si>
  <si>
    <t>itsaky-AndroidIDE-21</t>
  </si>
  <si>
    <t>LogSender: IllegalThreadStateException</t>
  </si>
  <si>
    <t xml:space="preserve">LogSender crashes when it is started with the following stacktrace:
Caused by: java lang IllegalThreadStateException
11 01  22:16:07 059  10611  10611  E  AndroidRuntime: at java lang Thread start(Thread java:724)
11 01  22:16:07 059  10611  10611  E  AndroidRuntime: at com itsaky androidide logsender LogSender startLogging(LogSender java:58)
11 01  22:16:07 059  10611  10611  E  AndroidRuntime: at    package    MainActivity onCreate(MainActivity kt:39)
   </t>
  </si>
  <si>
    <t>jellyfin-jellyfin-androidtv-1235</t>
  </si>
  <si>
    <t xml:space="preserve">GCWGTV App Crashes after open with Server off </t>
  </si>
  <si>
    <t xml:space="preserve">    Describe the bug_x000D_
_x000D_
1  Start app with server off (Jellyfin Tray App closed and pc with wifi off)  pd: with server on it logins automatically _x000D_
2  App crashes_x000D_
_x000D_
    Logs_x000D_
_x000D_
   shell_x000D_
11 02 17:13:04 568  4769  4884 I Finsky  :  138  jvz run(3): Stats for Executor: BlockingExecutor jxj aa521f9 Running  pool size   0  active threads   0  queued tasks   0  completed tasks   11 _x000D_
11 02 17:13:04 570  4769  4884 I Finsky  :  138  jvz run(3): Stats for Executor: LightweightExecutor jxj 83f853e Running  pool size   3  active threads   0  queued tasks   0  completed tasks   69 _x000D_
11 02 17:13:04 811  4769  4884 I Finsky  :  138  jvz run(3): Stats for Executor: bgExecutor jxj 998cf9f Running  pool size   4  active threads   0  queued tasks   0  completed tasks   132 _x000D_
11 02 17:13:09 706  5366  5461 I Finsky:background:  187  jvz run(3): Stats for Executor: bgExecutor jxj 1a9f185 Running  pool size   0  active threads   0  queued tasks   0  completed tasks   0 _x000D_
11 02 17:13:14 262  5451  5451 I chromium:  5451:5451:INFO:grpc manager impl cc(495)  GRPC uri unix: tmp hcp ipc auth socket : num pending calls 0  num active handlers 0  num free handlers 0_x000D_
11 02 17:13:14 269  5451  5451 I chromium:  5451:5451:INFO:grpc manager impl cc(495)  GRPC uri  :: :0 : num pending calls 0  num active handlers 3  num free handlers 0_x000D_
11 02 17:13:14 271  5451  5451 I chromium:  5451:5451:INFO:grpc manager impl cc(495)  GRPC uri  : num pending calls 0  num active handlers 0  num free handlers 0_x000D_
11 02 17:13:14 325  5451  5451 I chromium:  5451:5451:INFO:metrics recorder cc(112)  Metrics stat: total 4_x000D_
11 02 17:13:14 325  5451  5451 I chromium: Cast Discovery Mdns Request In 1_x000D_
11 02 17:13:14 325  5451  5451 I chromium: Cast Discovery Mdns Response Out 1_x000D_
11 02 17:13:14 325  5451  5451 I chromium: CastV2 Transport Ping In 5_x000D_
11 02 17:13:14 325  5451  5451 I chromium: CastV2 Transport Pong Out 5_x000D_
11 02 17:13:14 622  5451  5451 I chromium:  5451:5451:INFO:grpc manager impl cc(495)  GRPC uri  :: :8012 : num pending calls 0  num active handlers 1  num free handlers 0_x000D_
11 02 17:13:14 746  5451  5930 I chromium:  5451:5930:INFO:mdns app filter cc(2829)  Mdns cast queries recently sent: queries 1_x000D_
11 02 17:13:16 023  3531  6267 I audio subMixingFactory:      usecase change validate l sm:1334  continuous:0 dev masks:0  out masks:0  out usecase PCM NORMAL_x000D_
11 02 17:13:16 023  3531  6267 I audio subMixingFactory: usecase change validate l sm()  add usecase PCM NORMAL  cnt 1_x000D_
11 02 17:13:16 023  3531  6267 D audio subMixingFactory:  usecase change validate l sm:1355  cur dev masks:0  add out usecase:PCM NORMAL_x000D_
11 02 17:13:16 023  3531  6267 I audio subMixingFactory:      usecase change validate l sm:1386   continuous:0 dev masks:0x1  out masks:0x1  out usecase PCM NORMAL_x000D_
11 02 17:13:16 023  3531  6267 I aml audio port: get input port type()  samplerate 48000_x000D_
11 02 17:13:16 023  3531  6267 I aml audio port:  new input port:297  PCM SYSTEM buf:6144  direct:0  format:0x1  rate:48000  ch:2_x000D_
11 02 17:13:16 023  3531  6267 I amlaudioMixer:  init mixer input port:180  input port:PCM SYSTEM  size 384 frames  frame write sum:2990592_x000D_
11 02 17:13:16 023  3531  6267 I aml audio port: get input port type()  samplerate 48000_x000D_
11 02 17:13:16 023  3531  6267 I audio subMixingFactory:  mixer aux buffer write sm:1188  stream 0xf056c700 input port:PCM SYSTEM_x000D_
11 02 17:13:16 023  3531  6267 I audio subMixingFactory: padding bytes 16384_x000D_
11 02 17:13:16 023  3531  6267 I amlaudioMixer:  mixer write inport:295  input port:PCM SYSTEM is active now_x000D_
11 02 17:13:16 023  3531  6267 I audio subMixingFactory: padding bytes 14336_x000D_
11 02 17:13:16 023  3531  6267 I audio subMixingFactory: padding bytes 12288_x000D_
11 02 17:13:16 023  3531  6267 I audio subMixingFactory: padding bytes 10240_x000D_
11 02 17:13:16 023  3531  3649 I amlaudioMixer:  mixer inports read:657  input port:PCM SYSTEM first start  portId:0  avail:6144_x000D_
11 02 17:13:16 032  3531  6267 I audio subMixingFactory: padding bytes 8192_x000D_
11 02 17:13:16 034  4290  4290 I GoogleInputMethodService: GoogleInputMethodService onFinishInput():3466 _x000D_
11 02 17:13:16 034  4290  4290 I GoogleInputMethodService: GoogleInputMethodService onStartInput():2045 _x000D_
11 02 17:13:16 035  4290  4290 I DeviceUnlockedTag: DeviceUnlockedTag notifyDeviceLockStatusChanged():38 Notify device unlocked _x000D_
11 02 17:13:16 040  3531  6267 I audio subMixingFactory: padding bytes 6144_x000D_
11 02 17:13:16 048  3531  6267 I audio subMixingFactory: padding bytes 4096_x000D_
11 02 17:13:16 064  3531  6267 I audio subMixingFactory: padding bytes 2048_x000D_
11 02 17:13:16 104  3531  6267 W amlaudioMixer: mixer get presentation position()  not valid now_x000D_
11 02 17:13:16 104  3531  6267 W audio subMixingFactory: out get presentation position port()  pts not valid yet_x000D_
11 02 17:13:16 534  4290  4290 I GoogleInputMethodService: GoogleInputMethodService onFinishInput():3466 _x000D_
11 02 17:13:16 535  4290  4290 I GoogleInputMethodService: GoogleInputMethodService onStartInput():2045 _x000D_
11 02 17:13:16 536  4290  4290 I DeviceUnlockedTag: DeviceUnlockedTag notifyDeviceLockStatusChanged():38 Notify device unlocked _x000D_
11 02 17:13:17 422  5451  5906 I chromium:  5451:5906:INFO:snr tracker cc(50)  snr   30_x000D_
11 02 17:13:19 592  3531  3580 D audio subMixingFactory: out standby subMixingPCM: out stream(0xf056c700) usecase: PCM NORMAL_x000D_
11 02 17:13:19 592  3531  3580 I audio subMixingFactory:  usecase change validate l sm:1294  cur dev masks:0x1  delete out usecase:PCM NORMAL_x000D_
11 02 17:13:19 592  3531  3580 I audio subMixingFactory: usecase change validate l sm()  standby unmask usecase PCM NORMAL_x000D_
11 02 17:13:19 592  3531  3580 I amlaudioMixer:  delete mixer input port:200  input port ID:0  type:PCM SYSTEM_x000D_
11 02 17:12:51 999  4187  4187 I chatty  : uid 1000(system) com android tv settings identical 2 lines_x000D_
11 02 17:12:52 283  4187  4187 W ContextImpl: Calling a method in the system process without a qualified user: android app ContextImpl sendOrderedBroadcast:1187 android app ContextImpl sendOrderedBroadcast:1161 android content ContextWrapper sendOrderedBroadcast:493 android content ContextWrapper sendOrderedBroadcast:493 com android tv settings device apps ForceStopPreference refresh:67 _x000D_
11 02 17:13:20 355  3858  4588 I ActivityTaskManager: START u0  act android intent action MAIN cat  android intent category LEANBACK LAUNCHER  flg 0x10000000 pkg org jellyfin androidtv cmp org jellyfin androidtv  ui startup StartupActivity  from uid 1000_x000D_
11 02 17:13:20 361  3531  6267 I audio subMixingFactory:      usecase change validate l sm:1334  continuous:0 dev masks:0  out masks:0  out usecase PCM NORMAL_x000D_
11 02 17:13:20 361  3531  6267 I audio subMixingFactory: usecase change validate l sm()  add usecase PCM NORMAL  cnt 1_x000D_
11 02 17:13:20 361  3531  6267 D audio subMixingFactory:  usecase change validate l sm:1355  cur dev masks:0  add out usecase:PCM NORMAL_x000D_
11 02 17:13:20 361  3531  6267 I audio subMixingFactory:      usecase change validate l sm:1386   continuous:0 dev masks:0x1  out masks:0x1  out usecase PCM NORMAL_x000D_
11 02 17:13:20 361  3531  6267 I aml audio port: get input port type()  samplerate 48000_x000D_
11 02 17:13:20 361  3531  6267 I aml audio port:  new input port:297  PCM SYSTEM buf:6144  direct:0  format:0x1  rate:48000  ch:2_x000D_
11 02 17:13:20 361  3531  6267 I amlaudioMixer:  init mixer input port:180  input port:PCM SYSTEM  size 384 frames  frame write sum:3159552_x000D_
11 02 17:13:20 361  3531  6267 I aml audio port: get input port type()  samplerate 48000_x000D_
11 02 17:13:20 361  3531  6267 I audio subMixingFactory:  mixer aux buffer write sm:1188  stream 0xf056c700 input port:PCM SYSTEM_x000D_
11 02 17:13:20 361  3531  6267 I audio subMixingFactory: padding bytes 16384_x000D_
11 02 17:13:20 361  3531  6267 I amlaudioMixer:  mixer write inport:295  input port:PCM SYSTEM is active now_x000D_
11 02 17:13:20 361  3531  6267 I audio subMixingFactory: padding bytes 14336_x000D_
11 02 17:13:20 361  3531  6267 I audio subMixingFactory: padding bytes 12288_x000D_
11 02 17:13:20 361  3531  6267 I audio subMixingFactory: padding bytes 10240_x000D_
11 02 17:13:20 367  3531  3649 I amlaudioMixer:  mixer inports read:657  input port:PCM SYSTEM first start  portId:0  avail:6144_x000D_
11 02 17:13:20 376  3531  6267 I audio subMixingFactory: padding bytes 8192_x000D_
11 02 17:13:20 384  3531  6267 I audio subMixingFactory: padding bytes 6144_x000D_
11 02 17:13:20 397  3531  6267 I audio subMixingFactory: padding bytes 4096_x000D_
11 02 17:13:20 411  3522  3522 D Zygote  : Forked child process 7922_x000D_
11 02 17:13:20 413  3531  6267 I audio subMixingFactory: padding bytes 2048_x000D_
11 02 17:13:20 414  3858  3887 I ActivityManager: Start proc 7922:org jellyfin androidtv u0a84 for activity  org jellyfin androidtv org jellyfin androidtv ui startup StartupActivity _x000D_
11 02 17:13:20 433  7922  7922 W lyfin androidt: Using default instruction set features for ARM CPU variant (cortex a9) using conservative defaults_x000D_
11 02 17:13:20 440  7922  7922 E lyfin androidt: Not starting debugger since process cannot load the jdwp agent _x000D_
11 02 17:13:20 448  3531  6267 W amlaudioMixer: mixer get presentation position()  not valid now_x000D_
11 02 17:13:20 448  3531  6267 W audio subMixingFactory: out get presentation position port()  pts not valid yet_x000D_
11 02 17:13:20 454  3858  4588 D ActivityTaskManager: add: task TaskRecord 93156b8  2160 A org jellyfin androidtv U 0 StackId 12 sz 1 _x000D_
11 02 17:13:20 454  3858  4588 D ActivityTaskManager: Trimming task TaskRecord 69bf484  2159 A org jellyfin androidtv U 0 StackId  1 sz 0  for addition of task TaskRecord 93156b8  2160 A org jellyfin androidtv U 0 StackId 12 sz 1 _x000D_
11 02 17:13:20 454  3858  4588 D ActivityTaskManager: Trimming inactive recent tasks_x000D_
11 02 17:13:20 454  3858  4588 D ActivityTaskManager: User: UserInfo 0:Owner:13  quiet false_x000D_
11 02 17:13:20 454  3858  4588 D ActivityTaskManager: User: UserInfo 11:new user:30  quiet false_x000D_
11 02 17:13:20 454  3858  4588 D ActivityTaskManager: isActiveRecentTask: task TaskRecord 93156b8  2160 A org jellyfin androidtv U 0 StackId 12 sz 1  globalMax 48_x000D_
11 02 17:13:20 455  3858  4588 D ActivityTaskManager: isVisibleRecentTask: task TaskRecord 93156b8  2160 A org jellyfin androidtv U 0 StackId 12 sz 1  minVis  1 maxVis  1 sessionDuration 1800000 inactiveDuration 0 activityType 1 windowingMode 1 intentFlags 268435456_x000D_
11 02 17:13:20 455  3858  4588 D ActivityTaskManager: isActiveRecentTask: task TaskRecord c0e3cd9  2152 A com android tv settings U 0 StackId 4 sz 1  globalMax 48_x000D_
11 02 17:13:20 455  3858  4588 D ActivityTaskManager: isVisibleRecentTask: task TaskRecord c0e3cd9  2152 A com android tv settings U 0 StackId 4 sz 1  minVis  1 maxVis  1 sessionDuration 1800000 inactiveDuration 90 activityType 1 windowingMode 1 intentFlags 343932928_x000D_
11 02 17:13:20 455  3858  4588 D ActivityTaskManager: isActiveRecentTask: task TaskRecord e2d5124  2157 A com google android apps tv launcherx U 0 StackId  1 sz 0  globalMax 48_x000D_
11 02 17:13:20 455  3858  4588 D ActivityTaskManager: isVisibleRecentTask: task TaskRecord e2d5124  2157 A com google android apps tv launcherx U 0 StackId  1 sz 0  minVis  1 maxVis  1 sessionDuration 1800000 inactiveDuration 217167 activityType 1 windowingMode 1 intentFlags 268435456_x000D_
11 02 17:13:20 455  3858  4588 D ActivityTaskManager: isActiveRecentTask: task TaskRecord b128f43  2148 A com google android apps tv launcherx U 0 StackId 0 sz 1  globalMax 48_x000D_
11 02 17:13:20 455  3858  4588 D ActivityTaskManager: isVisibleRecentTask: task TaskRecord b128f43  2148 A com google android apps tv launcherx U 0 StackId 0 sz 1  minVis  1 maxVis  1 sessionDuration 1800000 inactiveDuration 218255 activityType 2 windowingMode 1 intentFlags 276824320_x000D_
11 02 17:13:20 455  3858  4588 D ActivityTaskManager: isActiveRecentTask: task TaskRecord ede4b04  1 A com android tv settings U 0 StackId  1 sz 0  globalMax 48_x000D_
11 02 17:13:20 455  3858  4588 D ActivityTaskManager: isVisibleRecentTask: task TaskRecord ede4b04  1 A com android tv settings U 0 StackId  1 sz 0  minVis  1 maxVis  1 sessionDuration 1800000 inactiveDuration 678264 activityType 2 windowingMode 1 intentFlags 276824320_x000D_
11 02 17:13:20 455  3858  4588 D ActivityTaskManager: isActiveRecentTask: task TaskRecord fa63e  2135 A com netflix ninja U 0 StackId  1 sz 0  globalMax 48_x000D_
11 02 17:13:20 455  3858  4588 D ActivityTaskManager: isVisibleRecentTask: task TaskRecord fa63e  2135 A com netflix ninja U 0 StackId  1 sz 0  minVis  1 maxVis  1 sessionDuration 1800000 inactiveDuration 678305 activityType 0 windowingMode 0 intentFlags 268435488_x000D_
11 02 17:13:20 582  7922  7922 I ACRA    : ACRA is enabled for org jellyfin androidtv  initializing   _x000D_
11 02 17:13:20 621  7922  7922 I JellyfinApplication: Application object created_x000D_
11 02 17:13:20 648  7922  7922 W lyfin androidt: Accessing hidden field Ljava util Collections SynchronizedCollection   mutex:Ljava lang Object  (greylist max o  reflection  denied)_x000D_
11 02 17:13:20 648  7922  7922 W lyfin androidt: Accessing hidden method Ljava util Collections SynchronizedSet    init (Ljava util Set Ljava lang Object )V (greylist max o  reflection  denied)_x000D_
11 02 17:13:20 649  7922  7922 W lyfin androidt: Accessing hidden method Ljava util Collections SynchronizedCollection    init (Ljava util Collection Ljava lang Object )V (greylist max o  reflection  denied)_x000D_
11 02 17:13:20 660  7922  7922 D SessionRepositoryImpl: Restoring default system session_x000D_
11 02 17:13:20 690  7922  7922 I AppThemeCallbacks: Applying theme: DARK_x000D_
11 02 17:13:20 702  3582  3945 D SurfaceFlinger: onHandleDestroyed  markLayerPendingRemovalLocked: Dim Layer for   Task 2152 0_x000D_
11 02 17:13:20 702  3582  3945 D SurfaceFlinger: onHandleDestroyed  markLayerPendingRemovalLocked: Surface(name Dim Layer for   Task 2152)  0x2ac4fd9   animation leash 0_x000D_
11 02 17:13:20 702  3582  3945 D SurfaceFlinger: onHandleDestroyed  markLayerPendingRemovalLocked: Dim Layer for   Task 2152 0_x000D_
11 02 17:13:20 703  3582  3945 D SurfaceFlinger: onHandleDestroyed  markLayerPendingRemovalLocked: Surface(name Dim Layer for   Task 2152)  0x2ac4fd9   animation leash 0_x000D_
11 02 17:13:20 705  7922  7922 D LegacyAccountMigration: Skipping migration of legacy credentials from  data user 0 org jellyfin androidtv files org jellyfin androidtv login json (file does not exist)_x000D_
11 02 17:13:20 718  3582  3582 D SurfaceFlinger: mLayersPendingRemoval  layerRemoved  make not visible: Surface(name Dim Layer for   Task 2152)  0x2ac4fd9   animation leash 0_x000D_
11 02 17:13:20 718  3582  3582 D SurfaceFlinger: mLayersPendingRemoval  release: Surface(name Dim Layer for   Task 2152)  0x2ac4fd9   animation leash 0_x000D_
11 02 17:13:20 718  3582  3582 D SurfaceFlinger: mLayersPendingRemoval  release: Dim Layer for   Task 2152 0_x000D_
11 02 17:13:20 725  7922  7922 I JellyfinApplication: Process Lifecycle started_x000D_
11 02 17:13:20 725  7922  7922 D SessionRepositoryImpl: Restoring default session_x000D_
11 02 17:13:20 731  7922  7956 D jellyfin apiclient: Adding request to queue: http:  192 168 0 15:8096 Users 2bb34fdd 72e8 4aa7 8b2e 7d10753739cd format json_x000D_
11 02 17:13:20 739  3858  4035 E WindowManager: App trying to use insecure INPUT FEATURE NO INPUT CHANNEL flag  Ignoring_x000D_
11 02 17:13:20 746  7922  7960 D NetworkSecurityConfig: No Network Security Config specified  using platform default_x000D_
11 02 17:13:20 809  7922  7951 E ion     : ioctl c0044901 failed with code  1: Invalid argument_x000D_
11 02 17:13:20 809  7922  7951 W gralloc : WARNING: internal format modifier bits not mutually exclusive  AFBC basic bit is always set  so extended AFBC support bits must always be checked _x000D_
11 02 17:13:20 844  3858  3885 I ActivityTaskManager: Displayed org jellyfin androidtv  ui startup StartupActivity:  485ms_x000D_
11 02 17:13:20 848  4290  4290 I GoogleInputMethodService: GoogleInputMethodService onFinishInput():3466 _x000D_
11 02 17:13:20 849  4290  4290 I GoogleInputMethodService: GoogleInputMethodService onStartInput():2045 _x000D_
11 02 17:13:20 849  4290  4290 I DeviceUnlockedTag: DeviceUnlockedTag notifyDeviceLockStatusChanged():38 Notify device unlocked _x000D_
11 02 17:13:20 873  3582  3604 D SurfaceFlinger: onHandleDestroyed  markLayerPendingRemovalLocked: Surface(name AppWindowToken e82b0ec token Token fc179f ActivityRecord d82ed3e u0 com android tv settings  MainSettings t2152   )  0xb20364d   animation leash 0_x000D_
11 02 17:13:20 873  3582  3604 D SurfaceFlinger: onHandleDestroyed  markLayerPendingRemovalLocked: Surface(name AppWindowToken e82b0ec token Token fc179f ActivityRecord d82ed3e u0 com android tv settings  MainSettings t2152   )  0xb20364d   animation bounds 0_x000D_
11 02 17:13:20 873  3582  3604 D SurfaceFlinger: onHandleDestroyed  markLayerPendingRemovalLocked: Surface(name AppWindowToken df7bb2b token Token 417f77a ActivityRecord d4347a5 u0 org jellyfin androidtv  ui startup StartupActivity t2160   )  0x8800cd   animation leash 0_x000D_
11 02 17:13:20 874  3582  3604 D SurfaceFlinger: onHandleDestroyed  markLayerPendingRemovalLocked: Surface(name AppWindowToken df7bb2b token Token 417f77a ActivityRecord d4347a5 u0 org jellyfin androidtv  ui startup StartupActivity t2160   )  0x8800cd   animation bounds 0_x000D_
11 02 17:13:20 876  3582  4261 D SurfaceFlinger: onHandleDestroyed  markLayerPendingRemovalLocked: Surface(name AppWindowToken df7bb2b token Token 417f77a ActivityRecord d4347a5 u0 org jellyfin androidtv  ui startup StartupActivity t2160   )  0x8800cd   animation bounds 0_x000D_
11 02 17:13:20 876  3582  3604 D SurfaceFlinger: onHandleDestroyed  markLayerPendingRemovalLocked: Surface(name AppWindowToken e82b0ec token Token fc179f ActivityRecord d82ed3e u0 com android tv settings  MainSettings t2152   )  0xb20364d   animation leash 0_x000D_
11 02 17:13:20 876  3582  3604 D SurfaceFlinger: onHandleDestroyed  markLayerPendingRemovalLocked: Surface(name AppWindowToken e82b0ec token Token fc179f ActivityRecord d82ed3e u0 com android tv settings  MainSettings t2152   )  0xb20364d   animation bounds 0_x000D_
11 02 17:13:20 876  3582  3604 D SurfaceFlinger: onHandleDestroyed  markLayerPendingRemovalLocked: Surface(name AppWindowToken df7bb2b token Token 417f77a ActivityRecord d4347a5 u0 org jellyfin androidtv  ui startup StartupActivity t2160   )  0x8800cd   animation leash 0_x000D_
11 02 17:13:20 885  3582  3582 D SurfaceFlinger: mLayersPendingRemoval  layerRemoved  make not visible: Surface(name AppWindowToken e82b0ec token Token fc179f ActivityRecord d82ed3e u0 com android tv settings  MainSettings t2152   )  0xb20364d   animation bounds 0_x000D_
11 02 17:13:20 885  3582  3582 D SurfaceFlinger: mLayersPendingRemoval  layerRemoved  make not visible: Surface(name AppWindowToken e82b0ec token Token fc179f ActivityRecord d82ed3e u0 com android tv settings  MainSettings t2152   )  0xb20364d   animation leash 0_x000D_
11 02 17:13:20 885  3582  3582 D SurfaceFlinger: mLayersPendingRemoval  layerRemoved  make not visible: Surface(name AppWindowToken df7bb2b token Token 417f77a ActivityRecord d4347a5 u0 org jellyfin androidtv  ui startup StartupActivity t2160   )  0x8800cd   animation bounds 0_x000D_
11 02 17:13:20 885  3582  3582 D SurfaceFlinger: mLayersPendingRemoval  layerRemoved  make not visible: Surface(name AppWindowToken df7bb2b token Token 417f77a ActivityRecord d4347a5 u0 org jellyfin androidtv  ui startup StartupActivity t2160   )  0x8800cd   animation leash 0_x000D_
11 02 17:13:20 885  3582  3582 D SurfaceFlinger: mLayersPendingRemoval  release: Surface(name AppWindowToken e82b0ec token Token fc179f ActivityRecord d82ed3e u0 com android tv settings  MainSettings t2152   )  0xb20364d   animation leash 0_x000D_
11 02 17:13:20 885  3582  3582 D SurfaceFlinger: mLayersPendingRemoval  release: Surface(name AppWindowToken e82b0ec token Token fc179f ActivityRecord d82ed3e u0 com android tv settings  MainSettings t2152   )  0xb20364d   animation bounds 0_x000D_
11 02 17:13:20 885  3582  3582 D SurfaceFlinger: mLayersPendingRemoval  release: Surface(name AppWindowToken df7bb2b token Token 417f77a ActivityRecord d4347a5 u0 org jellyfin androidtv  ui startup StartupActivity t2160   )  0x8800cd   animation leash 0_x000D_
11 02 17:13:20 885  3582  3582 D SurfaceFlinger: mLayersPendingRemoval  release: Surface(name AppWindowToken df7bb2b token Token 417f77a ActivityRecord d4347a5 u0 org jellyfin androidtv  ui startup StartupActivity t2160   )  0x8800cd   animation bounds 0_x000D_
11 02 17:13:20 892  3582  3604 E BufferQueueProducer:  com android tv settings com android tv settings MainSettings 0  disconnect: not connected (req 1)_x000D_
11 02 17:13:20 892  4187  4231 W libEGL  : EGLNativeWindowType 0xdd0202a8 disconnect failed_x000D_
11 02 17:13:20 908  3582  3604 D SurfaceFlinger: onHandleDestroyed  markLayerPendingRemovalLocked: com android tv settings com android tv settings MainSettings 0_x000D_
11 02 17:13:20 918  3582  3582 D SurfaceFlinger: mLayersPendingRemoval  layerRemoved  make not visible: com android tv settings com android tv settings MainSettings 0_x000D_
11 02 17:13:20 918  3582  3582 D SurfaceFlinger: mLayersPendingRemoval  release: com android tv settings com android tv settings MainSettings 0_x000D_
11 02 17:13:20 920  3582  3604 D SurfaceFlinger: onHandleDestroyed  markLayerPendingRemovalLocked: com android tv settings com android tv settings MainSettings 0_x000D_
11 02 17:13:20 934  3582  3582 D SurfaceFlinger: mLayersPendingRemoval  release: com android tv settings com android tv settings MainSettings 0_x000D_
11 02 17:13:21 003  3582  3604 D SurfaceFlinger: onHandleDestroyed  markLayerPendingRemovalLocked: Splash Screen org jellyfin androidtv 0_x000D_
11 02 17:13:21 005  3582  3604 D SurfaceFlinger: onHandleDestroyed  markLayerPendingRemovalLocked: ac0a7ff Splash Screen org jellyfin androidtv 0_x000D_
11 02 17:13:21 005  3582  3604 D SurfaceFlinger: onHandleDestroyed  markLayerPendingRemovalLocked: Surface(name ac0a7ff Splash Screen org jellyfin androidtv)  0x13211df   animation leash 0_x000D_
11 02 17:13:21 007  3582  4261 D SurfaceFlinger: onHandleDestroyed  markLayerPendingRemovalLocked: ac0a7ff Splash Screen org jellyfin androidtv 0_x000D_
11 02 17:13:21 007  3582  4261 D SurfaceFlinger: onHandleDestroyed  markLayerPendingRemovalLocked: Surface(name ac0a7ff Splash Screen org jellyfin androidtv)  0x13211df   animation leash 0_x000D_
11 02 17:13:21 007  3582  4261 D SurfaceFlinger: onHandleDestroyed  markLayerPendingRemovalLocked: Splash Screen org jellyfin androidtv 0_x000D_
11 02 17:13:21 018  3582  3582 D SurfaceFlinger: mLayersPendingRemoval  layerRemoved  make not visible: Surface(name ac0a7ff Splash Screen org jellyfin androidtv)  0x13211df   animation leash 0_x000D_
11 02 17:13:21 018  3582  3582 D SurfaceFlinger: mLayersPendingRemoval  layerRemoved  make not visible: ac0a7ff Splash Screen org jellyfin androidtv 0_x000D_
11 02 17:13:21 018  3582  3582 D SurfaceFlinger: mLayersPendingRemoval  layerRemoved  make not visible: Splash Screen org jellyfin androidtv 0_x000D_
11 02 17:13:21 018  3582  3582 D SurfaceFlinger: mLayersPendingRemoval  release: ac0a7ff Splash Screen org jellyfin androidtv 0_x000D_
11 02 17:13:21 018  3582  3582 D SurfaceFlinger: mLayersPendingRemoval  release: Surface(name ac0a7ff Splash Screen org jellyfin androidtv)  0x13211df   animation leash 0_x000D_
11 02 17:13:21 018  3582  3582 D SurfaceFlinger: mLayersPendingRemoval  release: Splash Screen org jellyfin androidtv 0_x000D_
11 02 17:13:23 488  3531  3580 D audio subMixingFactory: out standby subMixingPCM: out stream(0xf056c700) usecase: PCM NORMAL_x000D_
11 02 17:13:23 488  3531  3580 I audio subMixingFactory:  usecase change validate l sm:1294  cur dev masks:0x1  delete out usecase:PCM NORMAL_x000D_
11 02 17:13:23 488  3531  3580 I audio subMixingFactory: usecase change validate l sm()  standby unmask usecase PCM NORMAL_x000D_
11 02 17:13:23 488  3531  3580 I amlaudioMixer:  delete mixer input port:200  input port ID:0  type:PCM SYSTEM_x000D_
11 02 17:13:23 965  3858  4512 E TaskPersister: File error accessing recents directory (directory doesn t exist ) _x000D_
11 02 17:13:38 365  7922  7922 E jellyfin apiclient: VolleyError com android volley NoConnectionError: java net ConnectException: Failed to connect to  192 168 0 15:8096_x000D_
11 02 17:13:38 365  7922  7922 E jellyfin apiclient: com android volley NoConnectionError: java net ConnectException: Failed to connect to  192 168 0 15:8096_x000D_
11 02 17:13:38 365  7922  7922 E jellyfin apiclient: 	at com android volley toolbox NetworkUtility shouldRetryException(NetworkUtility java:173)_x000D_
11 02 17:13:38 365  7922  7922 E jellyfin apiclient: 	at com android volley toolbox BasicNetwork performRequest(BasicNetwork java:145)_x000D_
11 02 17:13:38 365  7922  7922 E jellyfin apiclient: 	at com android volley NetworkDispatcher processRequest(NetworkDispatcher java:132)_x000D_
11 02 17:13:38 365  7922  7922 E jellyfin apiclient: 	at com android volley NetworkDispatcher processRequest(NetworkDispatcher java:111)_x000D_
11 02 17:13:38 365  7922  7922 E jellyfin apiclient: 	at com android volley NetworkDispatcher run(NetworkDispatcher java:90)_x000D_
11 02 17:13:38 365  7922  7922 E jellyfin apiclient: Caused by: java net ConnectException: Failed to connect to  192 168 0 15:8096_x000D_
11 02 17:13:38 365  7922  7922 E jellyfin apiclient: 	at com android okhttp internal io RealConnection connectSocket(RealConnection java:147)_x000D_
11 02 17:13:38 365  7922  7922 E jellyfin apiclient: 	at com android okhttp internal io RealConnection connect(RealConnection java:116)_x000D_
11 02 17:13:38 365  7922  7922 E jellyfin apiclient: 	at com android okhttp internal http StreamAllocation findConnection(StreamAllocation java:186)_x000D_
11 02 17:13:38 365  7922  7922 E jellyfin apiclient: 	at com android okhttp internal http StreamAllocation findHealthyConnection(StreamAllocation java:128)_x000D_
11 02 17:13:38 365  7922  7922 E jellyfin apiclient: 	at com android okhttp internal http StreamAllocation newStream(StreamAllocation java:97)_x000D_
11 02 17:13:38 365  7922  7922 E jellyfin apiclient: 	at com android okhttp internal http HttpEngine connect(HttpEngine java:289)_x000D_
11 02 17:13:38 365  7922  7922 E jellyfin apiclient: 	at com android okhttp internal http HttpEngine sendRequest(HttpEngine java:232)_x000D_
11 02 17:13:38 365  7922  7922 E jellyfin apiclient: 	at com android okhttp internal huc HttpURLConnectionImpl execute(HttpURLConnectionImpl java:465)_x000D_
11 02 17:13:38 365  7922  7922 E jellyfin apiclient: 	at com android okhttp internal huc HttpURLConnectionImpl getResponse(HttpURLConnectionImpl java:411)_x000D_
11 02 17:13:38 365  7922  7922 E jellyfin apiclient: 	at com android okhttp internal huc HttpURLConnectionImpl getResponseCode(HttpURLConnectionImpl java:542)_x000D_
11 02 17:13:38 365  7922  7922 E jellyfin apiclient: 	at com android volley toolbox HurlStack executeRequest(HurlStack java:91)_x000D_
11 02 17:13:38 365  7922  7922 E jellyfin apiclient: 	at com android volley toolbox BasicNetwork performRequest(BasicNetwork java:104)_x000D_
11 02 17:13:38 365  7922  7922 E jellyfin apiclient: 	    3 more_x000D_
11 02 17:13:38 368  7922  7956 E ApiBinder updateSession: Unable to update legacy API session _x000D_
11 02 17:13:38 368  7922  7956 E ApiBinder updateSession: org jellyfin apiclient model net HttpException: VolleyError com android volley NoConnectionError: _x000D_
11 02 17:13:38 368  7922  7956 E ApiBinder updateSession: 	at org jellyfin apiclient interaction VolleyErrorListener onErrorResponse(VolleyErrorListener java:25)_x000D_
11 02 17:13:38 368  7922  7956 E ApiBinder updateSession: 	at com android volley Request deliverError(Request java:648)_x000D_
11 02 17:13:38 368  7922  7956 E ApiBinder updateSession: 	at com android volley ExecutorDelivery ResponseDeliveryRunnable run(ExecutorDelivery java:104)_x000D_
11 02 17:13:38 368  7922  7956 E ApiBinder updateSession: 	at android os Handler handleCallback(Handler java:883)_x000D_
11 02 17:13:38 368  7922  7956 E ApiBinder updateSession: 	at android os Handler dispatchMessage(Handler java:100)_x000D_
11 02 17:13:38 368  7922  7956 E ApiBinder updateSession: 	at android os Looper loop(Looper java:214)_x000D_
11 02 17:13:38 368  7922  7956 E ApiBinder updateSession: 	at android app ActivityThread main(ActivityThread java:7356)_x000D_
11 02 17:13:38 368  7922  7956 E ApiBinder updateSession: 	at java lang reflect Method invoke(Native Method)_x000D_
11 02 17:13:38 368  7922  7956 E ApiBinder updateSession: 	at com android internal os RuntimeInit MethodAndArgsCaller run(RuntimeInit java:492)_x000D_
11 02 17:13:38 368  7922  7956 E ApiBinder updateSession: 	at com android internal os ZygoteInit main(ZygoteInit java:930)_x000D_
11 02 17:13:38 368  7922  7956 E ApiBinder updateSession: Caused by: com android volley NoConnectionError: java net ConnectException: Failed to connect to  192 168 0 15:8096_x000D_
11 02 17:13:38 368  7922  7956 E ApiBinder updateSession: 	at com android volley toolbox NetworkUtility shouldRetryException(NetworkUtility java:173)_x000D_
11 02 17:13:38 368  7922  7956 E ApiBinder updateSession: 	at com android volley toolbox BasicNetwork performRequest(BasicNetwork java:145)_x000D_
11 02 17:13:38 368  7922  7956 E ApiBinder updateSession: 	at com android volley NetworkDispatcher processRequest(NetworkDispatcher java:132)_x000D_
11 02 17:13:38 368  7922  7956 E ApiBinder updateSession: 	at com android volley NetworkDispatcher processRequest(NetworkDispatcher java:111)_x000D_
11 02 17:13:38 368  7922  7956 E ApiBinder updateSession: 	at com android volley NetworkDispatcher run(NetworkDispatcher java:90)_x000D_
11 02 17:13:38 368  7922  7956 E ApiBinder updateSession: Caused by: java net ConnectException: Failed to connect to  192 168 0 15:8096_x000D_
11 02 17:13:38 368  7922  7956 E ApiBinder updateSession: 	at com android okhttp internal io RealConnection connectSocket(RealConnection java:147)_x000D_
11 02 17:13:38 368  7922  7956 E ApiBinder updateSession: 	at com android okhttp internal io RealConnection connect(RealConnection java:116)_x000D_
11 02 17:13:38 368  7922  7956 E ApiBinder updateSession: 	at com android okhttp internal http StreamAllocation findConnection(StreamAllocation java:186)_x000D_
11 02 17:13:38 368  7922  7956 E ApiBinder updateSession: 	at com android okhttp internal http StreamAllocation findHealthyConnection(StreamAllocation java:128)_x000D_
11 02 17:13:38 368  7922  7956 E ApiBinder updateSession: 	at com android okhttp internal http StreamAllocation newStream(StreamAllocation java:97)_x000D_
11 02 17:13:38 368  7922  7956 E ApiBinder updateSession: 	at com android okhttp internal http HttpEngine connect(HttpEngine java:289)_x000D_
11 02 17:13:38 368  7922  7956 E ApiBinder updateSession: 	at com android okhttp internal http HttpEngine sendRequest(HttpEngine java:232)_x000D_
11 02 17:13:38 368  7922  7956 E ApiBinder updateSession: 	at com android okhttp internal huc HttpURLConnectionImpl execute(HttpURLConnectionImpl java:465)_x000D_
11 02 17:13:38 368  7922  7956 E ApiBinder updateSession: 	at com android okhttp internal huc HttpURLConnectionImpl getResponse(HttpURLConnectionImpl java:411)_x000D_
11 02 17:13:38 368  7922  7956 E ApiBinder updateSession: 	at com android okhttp internal huc HttpURLConnectionImpl getResponseCode(HttpURLConnectionImpl java:542)_x000D_
11 02 17:13:38 368  7922  7956 E ApiBinder updateSession: 	at com android volley toolbox HurlStack executeRequest(HurlStack java:91)_x000D_
11 02 17:13:38 368  7922  7956 E ApiBinder updateSession: 	at com android volley toolbox BasicNetwork performRequest(BasicNetwork java:104)_x000D_
11 02 17:13:38 368  7922  7956 E ApiBinder updateSession: 	    3 more_x000D_
11 02 17:13:38 370  7922  7956 D SessionRepositoryImpl setCurrentSession: Updating current session  userId 2bb34fdd 72e8 4aa7 8b2e 7d10753739cd apiBindingSuccess false_x000D_
11 02 17:13:38 430  7922  7922 E ThemeUtils: View class androidx appcompat widget AppCompatButton is an AppCompat widget that can only be used with a Theme AppCompat theme (or descendant) _x000D_
11 02 17:13:38 437  7922  7922 E ThemeUtils: View class androidx appcompat widget AppCompatImageView is an AppCompat widget that can only be used with a Theme AppCompat theme (or descendant) _x000D_
11 02 17:13:38 446  7922  7922 E ThemeUtils: View class org jellyfin androidtv ui ExpandableTextView is an AppCompat widget that can only be used with a Theme AppCompat theme (or descendant) _x000D_
11 02 17:13:38 466  7922  7922 I o j s a c KtorClient: HttpMethod(value GET) http:  192 168 0 15:8096 Branding Configuration_x000D_
11 02 17:13:38 482  7922  7922 I o j s a c KtorClient: HttpMethod(value GET) http:  192 168 0 15:8096 Users Public_x000D_
11 02 17:13:38 494  7922  7922 I o j s a c KtorClient: HttpMethod(value GET) http:  192 168 0 15:8096 Users Public_x000D_
11 02 17:13:38 537  4290  4290 I GoogleInputMethodService: GoogleInputMethodService onFinishInput():3466 _x000D_
11 02 17:13:38 537  4290  4290 I GoogleInputMethodService: GoogleInputMethodService onStartInput():2045 _x000D_
11 02 17:13:38 538  4290  4290 I DeviceUnlockedTag: DeviceUnlockedTag notifyDeviceLockStatusChanged():38 Notify device unlocked _x000D_
11 02 17:13:40 843  7922  7922 E o j s a c KtorClient: Unknown error occurred _x000D_
11 02 17:13:40 843  7922  7922 E o j s a c KtorClient: java net ConnectException: Failed to connect to  192 168 0 15:8096_x000D_
11 02 17:13:40 8</t>
  </si>
  <si>
    <t>VishnuSanal-Quotes-65</t>
  </si>
  <si>
    <t>NPE on List.size();</t>
  </si>
  <si>
    <t xml:space="preserve">  Describe the bug  _x000D_
App crashed unexpectedly  (When opened app 2nd time  just after testing  6 Not sure if it s related)_x000D_
Probably 1 time crash _x000D_
_x000D_
  Crash logs  _x000D_
   _x000D_
FATAL EXCEPTION: main_x000D_
Process: phone vishnu quotes  PID: 21989_x000D_
java lang NullPointerException: Attempt to invoke interface method  int java util List size()  on a null object reference_x000D_
	at y4 l c(Unknown Source:2)_x000D_
	at androidx viewpager widget ViewPager e(Unknown Source:2)_x000D_
	at androidx viewpager widget ViewPager j onChanged(Unknown Source:2)_x000D_
	at f1 a d(Unknown Source:5)_x000D_
	at x4 c publishResults(SourceFile:4)_x000D_
	at android widget Filter ResultsHandler handleMessage(Filter java:282)_x000D_
	at android os Handler dispatchMessage(Handler java:106)_x000D_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_x000D_
_x000D_
  Smartphone (please complete the following information):  _x000D_
   Device:  Lenovo Tab4 8 plus _x000D_
   Andorid Version:  8 1 0 _x000D_
   App Version:  2 6 0 (50) </t>
  </si>
  <si>
    <t>material-components-material-components-android-2455</t>
  </si>
  <si>
    <t>[dialog] ?attr/colorControlHighlight used for android:background</t>
  </si>
  <si>
    <t xml:space="preserve">  Description:    mtrl alert dialog xml  and  m3 alert dialog xml  use   attr colorControlHighlight  for  android:background _x000D_
_x000D_
  attr colorControlHighlight  is a color value while  android:background  expects a drawable  Using simple color values for  android:background  works but using a color selector causes a crash because it s being interpreted as a drawable _x000D_
_x000D_
This makes it impossible to set color ripples to anything else than primitive color values _x000D_
A common thing is to use a color selector to apply an alpha to another color attribute as explained e g  here: https:  material io blog android material theme color (section  Color with alpha ) _x000D_
_x000D_
So basically following the guidelines from the Material Design blog with Material Components for Android leads to a crash when showing dialogs  _x000D_
_x000D_
  Expected behavior:   No crash_x000D_
_x000D_
  Source code:  _x000D_
1  Create a color selector  e g _x000D_
_x000D_
   _x000D_
     In res color primary 60 xml    _x000D_
 selector xmlns:android  http:  schemas android com apk res android  _x000D_
     item android:alpha  0 6  android:color   attr colorPrimary    _x000D_
  selector _x000D_
   _x000D_
_x000D_
2  In your app theme set  colorControlHighlight :_x000D_
_x000D_
   _x000D_
 item name  colorControlHighlight   color primary 60 xml  item _x000D_
   _x000D_
_x000D_
3  Create and show a Material dialog:_x000D_
_x000D_
   _x000D_
MaterialAlertDialogBuilder(context)_x000D_
       _x000D_
     show()_x000D_
   _x000D_
_x000D_
4  Crash_x000D_
_x000D_
  Android API version:     30   possibly all   26 and 28  possibly 28 and lower  29  works fine _x000D_
_x000D_
  Material Library version:   master  the issue can be clearly seen in source code  Search for  colorControlHighlight  in  mrtl alert dialog xml  and  m3 alert dialog xml  files in this repository _x000D_
_x000D_
  Device:   any  reproducible on an emulator _x000D_
_x000D_
  Suggested fixes:  _x000D_
  define a proper color drawable that uses   attr colorControlHighlight  and set that in  android:background  _x000D_
  use a different color   why would a ripple color be used for backgrounds </t>
  </si>
  <si>
    <t>doublesymmetry-react-native-track-player-1322</t>
  </si>
  <si>
    <t>Android 12 RuntimeException: Unable to start service com.guichaguri.trackplayer.service.MusicService with Intent</t>
  </si>
  <si>
    <t xml:space="preserve">  Describe the bug  _x000D_
We ve just started seeing crashes reported by Pixel users running the latest Android 12 _x000D_
_x000D_
  To Reproduce  _x000D_
1  built react native using Bitrise as I don t have a working Android development environment_x000D_
2  run app using simulator (browserstack com)_x000D_
3  App crashes as soon as soon as library is initialised_x000D_
_x000D_
(runs without error on iOS)_x000D_
_x000D_
  Environment (please complete the following information):  _x000D_
   _x000D_
  react native info_x000D_
info Fetching system and libraries information   _x000D_
(node:9921) Warning: Accessing non existent property  padLevels  of module exports inside circular dependency_x000D_
(Use  node   trace warnings      to show where the warning was created)_x000D_
System:_x000D_
    OS: macOS 11 2 3_x000D_
    CPU: (16) x64 Intel(R) Core(TM) i9 9980HK CPU   2 40GHz_x000D_
    Memory: 123 13 MB   32 00 GB_x000D_
    Shell: 3 2 57    bin bash_x000D_
  Binaries:_x000D_
    Node: 14 18 0    usr local bin node_x000D_
    Yarn: 1 22 11    usr local bin yarn_x000D_
    npm: 6 14 15    usr local bin npm_x000D_
    Watchman: 2021 09 06 00    usr local bin watchman_x000D_
  Managers:_x000D_
    CocoaPods: 1 11 2    usr local bin pod_x000D_
  SDKs:_x000D_
    iOS SDK:_x000D_
      Platforms: iOS 14 5  DriverKit 20 4  macOS 11 3  tvOS 14 5  watchOS 7 4_x000D_
    Android SDK:_x000D_
      API Levels: 29  30  31_x000D_
      Build Tools: 29 0 2  30 0 2  30 0 3  31 0 0_x000D_
      System Images: android 30   Google APIs Intel x86 Atom_x000D_
      Android NDK: Not Found_x000D_
  IDEs:_x000D_
    Android Studio: 4 2 AI 202 7660 26 42 7322048_x000D_
    Xcode: 12 5 1 12E507    usr bin xcodebuild_x000D_
  Languages:_x000D_
    Java: 15 0 2    usr local opt openjdk bin javac_x000D_
    Python: 2 7 16    usr local bin python_x000D_
  npmPackages:_x000D_
     react native community cli:  5 0 1    4 13 0 _x000D_
    react: 17 0 1    16 13 1 _x000D_
    react native: 0 64 0    0 63 3 _x000D_
    react native macos: Not Found_x000D_
  npmGlobalPackages:_x000D_
     react native : Not Found_x000D_
   _x000D_
_x000D_
using  react native track player  version 2 1 2_x000D_
_x000D_
testing on a simulator on browserstack com running Android 12 beta_x000D_
_x000D_
  Code  _x000D_
   _x000D_
Targeting S  (version 31 and above) requires that one of FLAG IMMUTABLE or FLAG MUTABLE be specified when creating a PendingIntent _x000D_
Strongly consider using FLAG IMMUTABLE  only use FLAG MUTABLE if some functionality depends on the PendingIntent being mutable  e g  if it needs to be used with inline replies or bubbles _x000D_
at android app ActivityThread handleServiceArgs(ActivityThread java:4661)_x000D_
at android app ActivityThread access 2000(ActivityThread java:247)_x000D_
at android app ActivityThread H handleMessage(ActivityThread java:2095)_x000D_
at android os Handler dispatchMessage(Handler java:106)_x000D_
at android os Looper loopOnce(Looper java:201)_x000D_
at android os Looper loop(Looper java:288)_x000D_
at android app ActivityThread main(ActivityThread java:7842)_x000D_
at java lang reflect Method invoke(Native Method)_x000D_
at com android internal os RuntimeInit MethodAndArgsCaller run(RuntimeInit java:548)_x000D_
at com android internal os ZygoteInit main(ZygoteInit java:1003)_x000D_
   _x000D_
</t>
  </si>
  <si>
    <t>CMPUT301F21T06-TheHabitController-15</t>
  </si>
  <si>
    <t>Steven branch</t>
  </si>
  <si>
    <t>this branch has updates that fixes the crashing issue</t>
  </si>
  <si>
    <t>PojavLauncherTeam-PojavLauncher-2196</t>
  </si>
  <si>
    <t>[BUG] minecraft 1.18 experimental Snapshot not working!!</t>
  </si>
  <si>
    <t xml:space="preserve">    Describe the bug
I m trying to play minecraft 1 18 experimental Snapshot  the Mojang logo hasn t shown up yet  it s crashed  I ve used assets v0 shaderpack  it still crashes
    The log file and images videos
 No response 
    Steps To Reproduce
   markdown
I open my PojavLauncher and I select 1 18 experimental Snapshot 2 when I enter the game it crashes  
    Expected Behavior
Minecraft 1 18 experimental Snapshot not working on pojav launcher crocus V3 jdk
    Platform
   markdown
  Device model: Vivo y50 8 128G_x000D_
  CPU architecture: Aarch64_x000D_
  Android version: 10_x000D_
  PojavLauncher version:  latest release  version crocus V3 jdk
    Anything else 
 No response </t>
  </si>
  <si>
    <t>PojavLauncherTeam-PojavLauncher-2194</t>
  </si>
  <si>
    <t xml:space="preserve">[BUG] pojav launcher 1.17 crashing </t>
  </si>
  <si>
    <t xml:space="preserve">    Describe the bug
I have a problem when I play survival 1 17 it crashes and then there is no crash record_x000D_
_x000D_
    The log file and images videos
 No response 
    Steps To Reproduce
   markdown
1 enter my survival world_x000D_
2 Minutes later it crashes  
    Expected Behavior
Crash itself when I play survival
    Platform
   markdown
  Device model: Vivo y50 8 128G_x000D_
  CPU architecture: Aarch64_x000D_
  Android version: 10_x000D_
  PojavLauncher version: Latest Release    version crocus V3 jdk
    Anything else 
 No response </t>
  </si>
  <si>
    <t>Anuken-Mindustry-6282</t>
  </si>
  <si>
    <t>payload jumping over empty spaces (plus a random crash)</t>
  </si>
  <si>
    <t xml:space="preserve">  Platform  :  Android iOS Mac Windows Linux _x000D_
android_x000D_
  Build  :  The build number under the title in the main menu  Required   LATEST  IS NOT A VERSION  I NEED THE EXACT BUILD NUMBER OF YOUR GAME  _x000D_
134_x000D_
  Issue  :  Explain your issue in detail  _x000D_
i think the video explains it well enough_x000D_
  Steps to reproduce  :  How you happened across the issue  and what exactly you did to make the bug happen  _x000D_
you need to place the propulsion tower  then the conveyor else the bug wont work_x000D_
https:  user images githubusercontent com 87596406 139726718 f9f59237 d189 4a99 928a 7107c5e09acf mp4_x000D_
_x000D_
  Link(s) to mod(s) used  :  The mod repositories or zip files that are related to the issue  if applicable  _x000D_
testing utilities  but was not used to activate the bug_x000D_
_x000D_
  Save file  :  The (zipped) save file you were playing on when the bug happened  _x000D_
 what zip (https:  github com Anuken Mindustry files 7455569 what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before i found out about this issue  it said mindustry had crashed for some reason  so mods have been disabled  i exported crash files  and i cant upload it here because it for some reason does not have  txt at the end  but i opened it on notepad and got this   _x000D_
_x000D_
  where did this come from part 1 (https:  user images githubusercontent com 87596406 139726223 3e2f80a2 9013 4179 b99b 40c134b86755 png)_x000D_
_x000D_
  where did this come from part 2 (https:  user images githubusercontent com 87596406 139726339 d82d74e8 e68d 499a 8436 6f7fcb48698b png)_x000D_
this crash log is most likely completely unrelated  but i still posted it here  and no  i dont know how it happened or what i did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</si>
  <si>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Anuken-Mindustry-6281</t>
  </si>
  <si>
    <t>Bug with unit cap</t>
  </si>
  <si>
    <t xml:space="preserve"> Bug with ground factories zip (https:  github com Anuken Mindustry files 7454439 Bug with ground factories zip)_x000D_
  Platform  : Windows_x000D_
_x000D_
  Build  : 134_x000D_
_x000D_
  Issue  : Max unit cap completely messed up_x000D_
_x000D_
  Steps to reproduce  : Well i checked and its bc  changed the enemy team to the same color as the player team like: Player team:sharded   enemy team:sharded and then this happened_x000D_
  bug (https:  user images githubusercontent com 92264519 139700907 3db21478 9d54 4c69 87f2 8618c5f69343 png)_x000D_
_x000D_
  Link(s) to mod(s) used  :  The mod repositories or zip files that are related to the issue  if applicable  _x000D_
_x000D_
  Save file  :  Bug with ground factories zip (https:  github com Anuken Mindustry files 7454439 Bug with ground factories zip)_x000D_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</si>
  <si>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PojavLauncherTeam-PojavLauncher-2188</t>
  </si>
  <si>
    <t>Crash with code 1</t>
  </si>
  <si>
    <t xml:space="preserve">    Describe the bug_x000D_
_x000D_
The game crash and a pop up appear say : ng d ng tr  ch i    tho t v i m  1    you can read the log for more information  this happen to all minecraft version i played in new pojav version  the old version dont  this bug  i tried write something in jvm like xmx but dont work_x000D_
_x000D_
    The log file and images videos_x000D_
_x000D_
 latestlog txt (https:  github com PojavLauncherTeam PojavLauncher files 7453295 latestlog txt)_x000D_
  Screenshot 2021 11 01 22 41 58 (https:  user images githubusercontent com 84064984 139699220 6f4cb4b4 1eb8 4f4c 89cf a753407e8f43 png)_x000D_
_x000D_
_x000D_
_x000D_
    Steps To Reproduce_x000D_
_x000D_
   markdown_x000D_
What  Sorry idk what is this_x000D_
   _x000D_
_x000D_
_x000D_
    Expected Behavior_x000D_
_x000D_
I can play minecraft java again  too simple _x000D_
_x000D_
    Platform_x000D_
_x000D_
   markdown_x000D_
  Device model: Samsung galaxy j2 prime_x000D_
  CPU architecture: 4x arm cortex a 53   1 44 GHz_x000D_
  Android version: 6 0 1_x000D_
  PojavLauncher version: lastest (19:47 1 11 2021  d1m11y2021CE  UTC 7)_x000D_
API level: 23_x000D_
   _x000D_
_x000D_
_x000D_
    Anything else _x000D_
_x000D_
 No response </t>
  </si>
  <si>
    <t>nextcloud-android-9184</t>
  </si>
  <si>
    <t>Crash when entering settings Android 12</t>
  </si>
  <si>
    <t xml:space="preserve">    Steps to reproduce_x000D_
1  Press on hamburger menu_x000D_
2  Crash_x000D_
_x000D_
_x000D_
    Expected behaviour_x000D_
  open settings_x000D_
_x000D_
    Actual behaviour_x000D_
  crash_x000D_
_x000D_
             CAUSE OF ERROR             _x000D_
_x000D_
java lang RuntimeException: Canvas: trying to draw too large(362048000bytes) bitmap _x000D_
	at android graphics RecordingCanvas throwIfCannotDraw(RecordingCanvas java:266)_x000D_
	at android graphics BaseRecordingCanvas drawBitmap(BaseRecordingCanvas java:94)_x000D_
	at android graphics drawable BitmapDrawable draw(BitmapDrawable java:549)_x000D_
	at android graphics drawable LayerDrawable draw(LayerDrawable java:1019)_x000D_
	at android widget ImageView onDraw(ImageView java:1442)_x000D_
	at android view View draw(View java:22644)_x000D_
	at android view View updateDisplayListIfDirty(View java:21519)_x000D_
	at android view View draw(View java:22375)_x000D_
	at android view ViewGroup drawChild(ViewGroup java:4528)_x000D_
	at android view ViewGroup dispatchDraw(ViewGroup java:4289)_x000D_
	at android view View draw(View java:22647)_x000D_
	at android view View updateDisplayListIfDirty(View java:21519)_x000D_
	at android view View draw(View java:22375)_x000D_
	at android view ViewGroup drawChild(ViewGroup java:4528)_x000D_
	at android view ViewGroup dispatchDraw(ViewGroup java:4289)_x000D_
	at android view View updateDisplayListIfDirty(View java:21510)_x000D_
	at android view View draw(View java:22375)_x000D_
	at android view ViewGroup drawChild(ViewGroup java:4528)_x000D_
	at androidx recyclerview widget RecyclerView drawChild(RecyclerView java:5030)_x000D_
	at android view ViewGroup dispatchDraw(ViewGroup java:4289)_x000D_
	at android view View draw(View java:22647)_x000D_
	at androidx recyclerview widget RecyclerView draw(RecyclerView java:4429)_x000D_
	at android view View updateDisplayListIfDirty(View java:21519)_x000D_
	at android view View draw(View java:22375)_x000D_
	at android view ViewGroup drawChild(ViewGroup java:4528)_x000D_
	at android view ViewGroup dispatchDraw(ViewGroup java:4289)_x000D_
	at android view View draw(View java:22647)_x000D_
	at com google android material internal ScrimInsetsFrameLayout draw(ScrimInsetsFrameLayout java:109)_x000D_
	at android view View updateDisplayListIfDirty(View java:21519)_x000D_
	at android view View draw(View java:22375)_x000D_
	at android view ViewGroup drawChild(ViewGroup java:4528)_x000D_
	at androidx drawerlayout widget DrawerLayout drawChild(DrawerLayout java:1426)_x000D_
	at android view ViewGroup dispatchDraw(ViewGroup java:4289)_x000D_
	at android view View draw(View java:22647)_x000D_
	at android view View updateDisplayListIfDirty(View java:21519)_x000D_
	at android view View draw(View java:22375)_x000D_
	at android view ViewGroup drawChild(ViewGroup java:4528)_x000D_
	at android view ViewGroup dispatchDraw(ViewGroup java:4289)_x000D_
	at android view View updateDisplayListIfDirty(View java:21510)_x000D_
	at android view View draw(View java:22375)_x000D_
	at android view ViewGroup drawChild(ViewGroup java:4528)_x000D_
	at android view ViewGroup dispatchDraw(ViewGroup java:4289)_x000D_
	at android view View updateDisplayListIfDirty(View java:21510)_x000D_
	at android view View draw(View java:22375)_x000D_
	at android view ViewGroup drawChild(ViewGroup java:4528)_x000D_
	at android view ViewGroup dispatchDraw(ViewGroup java:4289)_x000D_
	at android view View updateDisplayListIfDirty(View java:21510)_x000D_
	at android view View draw(View java:22375)_x000D_
	at android view ViewGroup drawChild(ViewGroup java:4528)_x000D_
	at android view ViewGroup dispatchDraw(ViewGroup java:4289)_x000D_
	at android view View updateDisplayListIfDirty(View java:21510)_x000D_
	at android view View draw(View java:22375)_x000D_
	at android view ViewGroup drawChild(ViewGroup java:4528)_x000D_
	at android view ViewGroup dispatchDraw(ViewGroup java:4289)_x000D_
	at android view View draw(View java:22647)_x000D_
	at com android internal policy DecorView draw(DecorView java:820)_x000D_
	at android view View updateDisplayListIfDirty(View java:21519)_x000D_
	at android view ThreadedRenderer updateViewTreeDisplayList(ThreadedRenderer java:534)_x000D_
	at android view ThreadedRenderer updateRootDisplayList(ThreadedRenderer java:540)_x000D_
	at android view ThreadedRenderer draw(ThreadedRenderer java:616)_x000D_
	at android view ViewRootImpl draw(ViewRootImpl java:4421)_x000D_
	at android view ViewRootImpl performDraw(ViewRootImpl java:4149)_x000D_
	at android view ViewRootImpl performTraversals(ViewRootImpl java:3309)_x000D_
	at android view ViewRootImpl doTraversal(ViewRootImpl java:2126)_x000D_
	at android view ViewRootImpl TraversalRunnable run(ViewRootImpl java:8653)_x000D_
	at android view Choreographer CallbackRecord run(Choreographer java:1037)_x000D_
	at android view Choreographer doCallbacks(Choreographer java:845)_x000D_
	at android view Choreographer doFrame(Choreographer java:780)_x000D_
	at android view Choreographer FrameDisplayEventReceiver run(Choreographer java:1022)_x000D_
	at android os Handler handleCallback(Handler java:938)_x000D_
	at android os Handler dispatchMessage(Handler java:99)_x000D_
	at android os Looper loopOnce(Looper java:201)_x000D_
	at android os Looper loop(Looper java:288)_x000D_
	at android app ActivityThread main(ActivityThread java:7839)_x000D_
	at java lang reflect Method invoke(Native Method)_x000D_
	at com android internal os RuntimeInit MethodAndArgsCaller run(RuntimeInit java:548)_x000D_
	at com android internal os ZygoteInit main(ZygoteInit java:1003)_x000D_
_x000D_
             APP INFORMATION             _x000D_
ID: com nextcloud client_x000D_
Version: 30170190_x000D_
Build flavor: gplay_x000D_
_x000D_
             DEVICE INFORMATION             _x000D_
Brand: google_x000D_
Device: raven_x000D_
Model: Pixel 6 Pro_x000D_
Id: SD1A 210817 036_x000D_
Product: raven_x000D_
_x000D_
             FIRMWARE             _x000D_
SDK: 31_x000D_
Release: 12_x000D_
Incremental: 7805805_x000D_
_x000D_
_x000D_
_x000D_
</t>
  </si>
  <si>
    <t>PojavLauncherTeam-PojavLauncher-2187</t>
  </si>
  <si>
    <t>[BUG] Crash on the starting mojang screen 1.17.1</t>
  </si>
  <si>
    <t xml:space="preserve">    Describe the bug_x000D_
_x000D_
I hit start  game launches the red mojang loading screen appears and loads to maybe like 90  and then crashes without any message on the screen  On relaunch a crash report is displayed with discription: rendering overlay  _x000D_
Is there something I can do to start the game _x000D_
_x000D_
    The log file and images videos_x000D_
_x000D_
   x    _x000D_
 latestlog txt (https:  github com PojavLauncherTeam PojavLauncher files 7450856 latestlog txt)_x000D_
 (  latest log (https:  github com PojavLauncherTeam PojavLauncher files 7450786 latest log))_x000D_
_x000D_
_x000D_
    Steps To Reproduce_x000D_
_x000D_
   markdown_x000D_
1 start pojav launcher and launch 1 17 1_x000D_
   _x000D_
_x000D_
_x000D_
    Expected Behavior_x000D_
_x000D_
I hit the start for 1 17 1 and game crashes after loading to like 90  on the red mojang studios screen  No message appears on the screen  Game crashes and launcher is exited _x000D_
_x000D_
    Platform_x000D_
_x000D_
   markdown_x000D_
  Device model: Oppo CPH1823 _x000D_
  CPU architecture: aarch64_x000D_
  Android version: 10_x000D_
  PojavLauncher version: Latest Release_x000D_
   _x000D_
_x000D_
_x000D_
    Anything else _x000D_
_x000D_
 No response </t>
  </si>
  <si>
    <t>doublesymmetry-react-native-track-player-1321</t>
  </si>
  <si>
    <t xml:space="preserve">App get crash while initialising the Track Player </t>
  </si>
  <si>
    <t xml:space="preserve">Hello Team _x000D_
I am using   react native track player   and   react native video   into my project  The version of my library are: _x000D_
  react native video:     5 2 0_x000D_
  react native track player:     2 1 2_x000D_
but when i initialise the track player app get crash _x000D_
I am assuming that the expoPlayer version of   react native track player   and   react native video   getting mismatch _x000D_
_x000D_
  I am getting the below error at the time of crash:   _x000D_
_x000D_
 img width  958  alt  track1Issue  src  https:  user images githubusercontent com 54262572 139572553 484fb714 589f 4d1c 8f48 40fa05a25cc6 png  _x000D_
_x000D_
Can any one help me to fix this issue _x000D_
Thanks in advance_x000D_
_x000D_
</t>
  </si>
  <si>
    <t>Anuken-Mindustry-6272</t>
  </si>
  <si>
    <t>Item source payload NullPointer</t>
  </si>
  <si>
    <t xml:space="preserve">  Platform  : Windows 10_x000D_
_x000D_
  Build  : Bleeding edge build 22152_x000D_
_x000D_
  Issue  : NPE crash upon picking up item source as payload_x000D_
_x000D_
  Steps to reproduce  : Control a unit capable of carrying blocks and pick up an item source_x000D_
_x000D_
  Link(s) to mod(s) used  : All mods mentioned in the attached crash report have been disabled_x000D_
_x000D_
  Save file  : _x000D_
 itemsourcenullpointer zip (https:  github com Anuken Mindustry files 7447689 itemsourcenullpointer zip)_x000D_
_x000D_
  (Crash) logs  :_x000D_
 crash report 10 30 2021 18 07 36 txt (https:  github com Anuken Mindustry files 7447667 crash report 10 30 2021 18 07 36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</si>
  <si>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Anuken-Mindustry-6268</t>
  </si>
  <si>
    <t>странный баг или краш</t>
  </si>
  <si>
    <t xml:space="preserve">Version: pre alpha build 134_x000D_
OS: Windows 10 x64 (amd64)_x000D_
Java Version: 16 0 1_x000D_
0 Mods_x000D_
                                                                                      _x000D_
_x000D_
1                                                          homachi _x000D_
2                                                    _x000D_
3                                               _x000D_
                                                                                                         _x000D_
                                                                                                                                              _x000D_
 crash report 10 30 2021 14 49 58 txt (https:  github com Anuken Mindustry files 7446246 crash report 10 30 2021 14 49 58 txt)_x000D_
 crash report 10 30 2021 14 31 45 txt (https:  github com Anuken Mindustry files 7446247 crash report 10 30 2021 14 31 45 txt)_x000D_
</t>
  </si>
  <si>
    <t>nextcloud-android-9178</t>
  </si>
  <si>
    <t>Error while synchronizing  (file reception )</t>
  </si>
  <si>
    <t xml:space="preserve">    Steps to reproduce_x000D_
1  Nothing special was done  I uploaded a file twice in a while from another device   _x000D_
2  My android device is showing a notification  : file reception in progress (translated)_x000D_
3  When tapping on the notification   nextcloud opens up  and shows a stack trace (attached)_x000D_
_x000D_
    Expected behaviour_x000D_
  expected the file view to be opened normally_x000D_
_x000D_
    Actual behaviour_x000D_
  got an ap crash instead _x000D_
  Screenshot 20211030 112856 (https:  user images githubusercontent com 26851138 139527698 d34341cc 120f 46d7 a145 233086c20d23 png)_x000D_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10_x000D_
_x000D_
Device model: Nokia 5 1 plus_x000D_
_x000D_
Stock or customized system: stock_x000D_
_x000D_
Nextcloud app version: 3 16 1_x000D_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</si>
  <si>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HiddenRamblings-TagMo-306</t>
  </si>
  <si>
    <t>Cant set bank count to 1</t>
  </si>
  <si>
    <t xml:space="preserve">Can t set amiibo bank count to 1  says  Active beyond new count  
Also  if the current bank count is 1  and you click on the current used bank slot  a crash occurs 
</t>
  </si>
  <si>
    <t>TeamNewPipe-NewPipe-7328</t>
  </si>
  <si>
    <t>pitch and playback control problem in android 11</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</si>
  <si>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Choose any video to play  _x000D_
2  Press on  more option   Video rate _x000D_
3    Then playback speed controls will open   _x000D_
4  Try to change Tempo and pitch _x000D_
_x000D_
_x000D_
_x000D_
_x000D_
    Actual behavior_x000D_
When we try to change any tempo or pitch other is automatically rise or decrease  _x000D_
Ex  If i increase tempo pitch also increase and if pitch is decreased tempo automatically decrease _x000D_
_x000D_
_x000D_
_x000D_
    Expected behavior_x000D_
Both tempo and pitch are not required to be same _x000D_
_x000D_
_x000D_
    Screenshots Screen recordings_x000D_
  20211027 230446 (https:  user images githubusercontent com 76758776 139117295 dcfb5601 cbb2 4775 bd05 ac13b3529ff7 gif)_x000D_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model:_x000D_
</t>
  </si>
  <si>
    <t>nextcloud-android-9173</t>
  </si>
  <si>
    <t>Not open auto uploads dirs</t>
  </si>
  <si>
    <t xml:space="preserve">Have 2 problem_x000D_
1 Not opened conflict resolver window_x000D_
2 crash wen try open auto uploads dir_x000D_
_x000D_
             CAUSE OF ERROR             _x000D_
_x000D_
java lang NullPointerException: Attempt to invoke virtual method  java lang String java lang String substring(int  int)  on a null object reference_x000D_
	at com owncloud android datamodel OCFile getLocalId(OCFile java:555)_x000D_
	at com owncloud android ui fragment FileDetailActivitiesFragment lambda fetchAndSetData 6 FileDetailActivitiesFragment(FileDetailActivitiesFragment java:302)_x000D_
	at com owncloud android ui fragment    Lambda FileDetailActivitiesFragment teeJYeeJ0U eGoL93tC3tkb9ND8 run(Unknown Source:8)_x000D_
	at java lang Thread run(Thread java:764)_x000D_
_x000D_
             APP INFORMATION             _x000D_
ID: com nextcloud client_x000D_
Version: 30170190_x000D_
Build flavor: gplay_x000D_
_x000D_
             DEVICE INFORMATION             _x000D_
Brand: samsung_x000D_
Device: a7y17lte_x000D_
Model: SM A720F_x000D_
Id: R16NW_x000D_
Product: a7y17ltexx_x000D_
_x000D_
             FIRMWARE             _x000D_
SDK: 26_x000D_
Release: 8 0 0_x000D_
Incremental: A720FXXS9CTJ9_x000D_
</t>
  </si>
  <si>
    <t>Anuken-Mindustry-6256</t>
  </si>
  <si>
    <t>loader confuses water for ammo</t>
  </si>
  <si>
    <t xml:space="preserve">  Platform  :  Android iOS Mac Windows Linux _x000D_
android_x000D_
  Build  :  The build number under the title in the main menu  Required   LATEST  IS NOT A VERSION  I NEED THE EXACT BUILD NUMBER OF YOUR GAME  _x000D_
134_x000D_
  Issue  :  Explain your issue in detail  _x000D_
the title explains the issue_x000D_
  Steps to reproduce  :  How you happened across the issue  and what exactly you did to make the bug happen  _x000D_
someone told me_x000D_
_x000D_
put a payload loader with water  put another one in the front with thorium  then send a salvo through the water one  then the thorium one  then put anything thats not the same team in range _x000D_
_x000D_
  Link(s) to mod(s) used  :  The mod repositories or zip files that are related to the issue  if applicable  _x000D_
testing utilities  to switch teams_x000D_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confusion zip (https:  github com Anuken Mindustry files 7438384 confusion zip)  enter the custom game_x000D_
_x000D_
  (Crash) logs  :  Either crash reports from the crash folder  or the file you get when you go into Settings    Game Data    Export Crash logs  REQUIRED if you are reporting a crash  _x000D_
_x000D_
no crash_x000D_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</si>
  <si>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dedis-popstellar-552</t>
  </si>
  <si>
    <t>[BUG] Camera preview crash the app (Connect to LAO or scan)</t>
  </si>
  <si>
    <t xml:space="preserve">    Description (Actual behavior)_x000D_
When accessing a view with the camera preview for example connecting to a LAO or adding a witness  the app crash with this error _x000D_
   _x000D_
2021 10 28 21:53:54 161 5423 5423 com github dedis popstellar E AndroidRuntime: FATAL EXCEPTION: main_x000D_
    Process: com github dedis popstellar  PID: 5423_x000D_
    java lang NullPointerException: Attempt to invoke virtual method  int com google android gms common images Size getWidth()  on a null object reference_x000D_
        at com github dedis popstellar ui qrcode CameraPreview onLayout(CameraPreview java:101)_x000D_
        at android view View layout(View java:21912)_x000D_
        at android view ViewGroup layout(ViewGroup java:6260)_x000D_
        at androidx constraintlayout widget ConstraintLayout onLayout(ConstraintLayout java:1873)_x000D_
           _x000D_
   _x000D_
_x000D_
    Expected behavior_x000D_
Not crashing_x000D_
_x000D_
    How to reproduce_x000D_
1  Click on Connect_x000D_
_x000D_
    Version   Environment_x000D_
This bug was reproduced on:_x000D_
  Commit: 8e499053f87fcdb506f020b65180c4338367f7ce_x000D_
_x000D_
      Front ends:_x000D_
   x  Fe2 Android_x000D_
_x000D_
      Environment (as applicable):_x000D_
   Device 1: Emulator  Pixel 2 API 29_x000D_
   Device 2: Oneplus 2  Android 10_x000D_
_x000D_
    Workaround_x000D_
Replace the code on CameraPreview at  line 100 (https:  github com dedis student 21 pop blob 86783c5fc01538ae85c471daed920c27cdcdf306 fe2 android app src main java com github dedis popstellar ui qrcode CameraPreview java L100) by that (it was that before PR  512)_x000D_
   _x000D_
if (size    null)  _x000D_
  height   size getWidth() _x000D_
  width   size getHeight() _x000D_
 _x000D_
   _x000D_
_x000D_
    Impact_x000D_
Not possible to scan anything _x000D_
_x000D_
    Possible root cause_x000D_
CameraPreview  line 100 :  mCameraSource getPreviewSize() (https:  github com dedis student 21 pop blob 86783c5fc01538ae85c471daed920c27cdcdf306 fe2 android app src main java com github dedis popstellar ui qrcode CameraPreview java L100)  even if it has the annotation  RecentlyNonNull   and even if Android Studio says that  Condition  size    null  is always  true    it can return null  And if it s null  the app crash the line just after </t>
  </si>
  <si>
    <t>TeamNewPipe-NewPipe-7321</t>
  </si>
  <si>
    <t>Can't click anything underneath a pop-up window since Android 12</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</si>
  <si>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Go to any video  choose to open as a floating window  then attempt to click on or scroll objects windows underneath it outside of NewPipe (as was always possible in the past)  it no longer works (on Pixel 5  Graphene OS) _x000D_
_x000D_
     If you can t cause the bug to show up again reliably (and hence don t have a proper set of steps to give us)  please still try to give as many details as possible on how you think you encountered the bug     _x000D_
_x000D_
_x000D_
    Actual behavior_x000D_
     Tell us what happens with the steps given above     _x000D_
_x000D_
I recently upgraded my Pixel 5  running Graphene OS  to the most recent update  which naturally installed Android 12  It seems this transition has broken many apps  including any app which  layers  over others  I noticed this with NewPipe and another app I used  Red Moon  which made me think my phone was broken  When you launch a window as a pop up  you can interact with that window itself  but nothing in the background (outside of NewPipe  I ve noted I can still scroll menus and lists in NP as long as I don t tab out)  The consistent workaround I ve found is to go into the settings via the drawer and manually force stop the app from the Apps list  _x000D_
_x000D_
As I mentioned  I believe it is an issue of  layering on top  because this last happened when Red Moon had started my evening blue light filter  and I also thought my phone was broken then  I have checked all permissions and settings related to apps running over other apps and they are as normal  I have been told by the Graphene devs then that the problem is most likely with NewPipe   Red Moon respectively  rather than A12 or Graphene  I have looked in the issue tracker and didn t find an issue similar to this one _x000D_
_x000D_
_x000D_
    Expected behavior_x000D_
     Tell us what you expect to happen     _x000D_
_x000D_
Normally  I can have a pop up window anywhere on screen and continue to interact with windows   objects behind it  I am no longer able to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 a_x000D_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n a_x000D_
_x000D_
     Please fill this section if you did not provide a log generated by NewPipe    _x000D_
_x000D_
    Device info_x000D_
_x000D_
   Android version Custom ROM version: Graphene OS SP1A 210812 015 2021102613 (most recent) _x000D_
   Device model: Pixel 5_x000D_
</t>
  </si>
  <si>
    <t>PojavLauncherTeam-PojavLauncher-2174</t>
  </si>
  <si>
    <t>1.8.9 Crash</t>
  </si>
  <si>
    <t xml:space="preserve">    Describe the bug
When i go to servers with 1 8 9 it s going to freeze and go back into pojavlauncher login page   without crash loghow to fix it    
    The log file and images videos
 No response 
    Steps To Reproduce
   markdown
1 Go to pojav_x000D_
2 Launch 1 8 9 ver_x000D_
3 Go in the server_x000D_
4 Crash : 
    Expected Behavior
1 8 9 craaaaaaaaaaaaash
    Platform
   markdown
  Device model: Samsung galaxy a71 128G_x000D_
  CPU architecture: aarch64_x000D_
  Android version: 11_x000D_
  PojavLauncher ver: 3 3 1 1 latest ver
    Anything else 
 No response </t>
  </si>
  <si>
    <t>PojavLauncherTeam-PojavLauncher-2173</t>
  </si>
  <si>
    <t>21w43a Crashing</t>
  </si>
  <si>
    <t xml:space="preserve">    Describe the bug_x000D_
_x000D_
When I launch 21w43a  it crashes and says  Application exited with code 1  I tried to change renderer and jvm arguments  it still not working 
And yes i have assets v0 zip_x000D_
(I dunno it s a bug)_x000D_
_x000D_
    The log file and images videos_x000D_
_x000D_
Crash log:_x000D_
_x000D_
     Minecraft Crash Report         Surprise  Haha  Well  this is awkward  Time: 28 10 2021 15:40 Description: Rendering overlay java lang RuntimeException: could not reload shaders 	at eor b(SourceFile:496) 	at eor a(SourceFile:384) 	at aek a(SourceFile:15) 	at java base java util concurrent CompletableFuture UniRun tryFire(CompletableFuture java:787)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com mojang blaze3d systems RenderSystem replayQueue(SourceFile:207) 	at com mojang blaze3d systems RenderSystem flipFrame(SourceFile:194) 	at drd e(SourceFile:310) 	at dxc f(SourceFile:1139) 	at dxc e(SourceFile:730) 	at net minecraft client main Main main(SourceFile:238) Caused by: xj: Invalid shaders core rendertype solid json: Couldn t compile vertex program (Default  rendertype solid) : ERROR: 1:16:     : wrong operand types no operation     exists that takes a left hand operand of type  in 2 component vector of int  and a right operand of type  const float  (or there is no acceptable conversion) ERROR: 1:16:  clamp  : no matching overloaded function found ERROR: 1:16:  texture  : no matching overloaded function found ERROR: 1:16:  return  : function return is not matching type: ERROR: 4 compilation errors  No code generated  	at xj a(SourceFile:48) 	at epj  init (SourceFile:197) 	at eor b(SourceFile:452) 	    118 more Caused by: java io IOException: Couldn t compile vertex program (Default  rendertype solid) : ERROR: 1:16:     : wrong operand types no operation     exists that takes a left hand operand of type  in 2 component vector of int  and a right operand of type  const float  (or there is no acceptable conversion) ERROR: 1:16:  clamp  : no matching overloaded function found ERROR: 1:16:  texture  : no matching overloaded function found ERROR: 1:16:  return  : function return is not matching type: ERROR: 4 compilation errors  No code generated  	at drm b(SourceFile:72) 	at drm a(SourceFile:54) 	at epj a(SourceFile:237) 	at epj  init (SourceFile:179) 	    119 more A detailed walkthrough of the error  its code path and all known details is as follows:                                                                                            Head    Thread: Render thread Stacktrace: 	at eor b(SourceFile:496) 	at eor a(SourceFile:384) 	at aek a(SourceFile:15) 	at java base java util concurrent CompletableFuture UniRun tryFire(CompletableFuture java:787)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UniRun tryFire(CompletableFuture java:795)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UniRun tryFire(CompletableFuture java:784)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aeo a(SourceFile:71) 	at atg execute(SourceFile:101) 	at aeo a(SourceFile:70) 	at java base java util concurrent CompletableFuture UniCompletion claim(CompletableFuture java:572) 	at java base java util concurrent CompletableFuture UniAccept tryFire(CompletableFuture java:714) 	at java base java util concurrent CompletableFuture postComplete(CompletableFuture java:510) 	at java base java util concurrent CompletableFuture postFire(CompletableFuture java:614) 	at java base java util concurrent CompletableFuture UniAccept tryFire(CompletableFuture java:726) 	at java base java util concurrent CompletableFuture Completion run(CompletableFuture java:482) 	at com mojang blaze3d systems RenderSystem replayQueue(SourceFile:207) 	at com mojang blaze3d systems RenderSystem flipFrame(SourceFile:194)    Overlay render details    Details: 	Overlay name: ebs Stacktrace: 	at eor a(SourceFile:866) 	at dxc f(SourceFile:1114) 	at dxc e(SourceFile:730) 	at net minecraft client main Main main(SourceFile:238)    Last reload    Details: 	Reload number: 1 	Reload reason: initial 	Finished: No 	Packs: Default    System Details    Details: 	Minecraft Version: 21w43a 	Minecraft Version ID: 21w43a 	Operating System: Linux (aarch64) version Android 11 	Java Version: 17 internal  N A 	Java VM Version: OpenJDK 64 Bit Server VM (mixed mode)  Oracle Corporation 	Memory: 1906835456 bytes (1818 MiB)   3342860288 bytes (3188 MiB) up to 3342860288 bytes (3188 MiB) 	CPUs: 8 	Processor Vendor: 0x51 	Processor Name: AArch64 Processor rev 14 (aarch64) 	Identifier: 0x51 Family 8 Model 0x804 Stepping r0xdp14 	Microarchitecture: unknown 	Frequency (GHz):  0 00 	Number of physical packages: 1 	Number of physical CPUs: 1 	Number of logical CPUs: 8 	Graphics card  0 name: unknown 	Graphics card  0 vendor: unknown 	Graphics card  0 VRAM (MB): 0 00 	Graphics card  0 deviceId: unknown 	Graphics card  0 versionInfo: unknown 	Virtual memory max (MB): 5507 88 	Virtual memory used (MB): 6633 23 	Swap memory total (MB): 2048 00 	Swap memory used (MB): 976 05 	JVM Flags: 2 total   Xms3188M  Xmx3188M 	Launched Version: 21w43a 	Backend library: LWJGL version 3 2 3 SNAPSHOT 	Backend API: GL4ES wrapper GL version 2 1 gl4es wrapper 1 1 5  ptitSeb 	Window size: 2400x1080 	GL Caps: Using framebuffer using OpenGL 3 2 	GL debug messages:  disabled  	Using VBOs: Yes 	Is Modded: Probably not  Client jar signature and brand is untouched 	Type: Client (map client txt) 	Graphics mode: fast 	Resource Packs: 	Current Language: T  rk  e (T  rkiye) 	CPU: 8x AArch64 Processor rev 14 (aarch64)_x000D_
_x000D_
    Steps To Reproduce_x000D_
_x000D_
   markdown_x000D_
1:Start PojavLauncher and select user _x000D_
2:Activate snapshots (in settings)_x000D_
3:install and run 21w43a_x000D_
   _x000D_
_x000D_
_x000D_
    Expected Behavior_x000D_
_x000D_
It crashes_x000D_
_x000D_
    Platform_x000D_
_x000D_
   markdown_x000D_
  Device model: Samsung A71   128GB_x000D_
  CPU architecture: aarch64_x000D_
  Android version: 11_x000D_
  PojavLauncher version: Latest Version_x000D_
   _x000D_
_x000D_
_x000D_
    Anything else _x000D_
_x000D_
 No response </t>
  </si>
  <si>
    <t>popcorn-official-popcorn-android-778</t>
  </si>
  <si>
    <t xml:space="preserve">Cast function crashes </t>
  </si>
  <si>
    <t xml:space="preserve">   Describe the bug_x000D_
When try to cast a film to Chromecast via the Android App it crashes after a couple of minutes  The Chromecast disconnects and then the app reverts back to the home screen menu  with the film no longer loaded  _x000D_
_x000D_
   To Reproduce_x000D_
Steps to reproduce the behavior:_x000D_
1  Cast to Google Chromecast _x000D_
2  Let film buffer and press play_x000D_
3  Sit and watch for 2 minutes and then it crashes_x000D_
_x000D_
   Expected behavior_x000D_
The film to continuously crash without disconnecting from the TV  Once disconnected from Cast the film is no longer loaded and reverts back to selection menu  _x000D_
_x000D_
   Screenshots_x000D_
_x000D_
_x000D_
   Smartphone (please complete the following information):_x000D_
   Device: OnePlus 8T_x000D_
   OS: Oxygen _x000D_
   Version 0 2 11_x000D_
_x000D_
   Additional context_x000D_
Add any other context about the problem here _x000D_
</t>
  </si>
  <si>
    <t>Anuken-Mindustry-6249</t>
  </si>
  <si>
    <t>Platfrom: Windows</t>
  </si>
  <si>
    <t>dedis-popstellar-546</t>
  </si>
  <si>
    <t>[BUG] The android application cannot open the Witness Messages UI</t>
  </si>
  <si>
    <t xml:space="preserve">    Description (Actual behavior)_x000D_
When clicking on the Witness Messages in an LAO ui  the app crashes _x000D_
_x000D_
    Expected behavior_x000D_
The UI should be opened_x000D_
_x000D_
    How to reproduce_x000D_
1  Go to any LAO UI_x000D_
2  Click on the  Witness Messages  button_x000D_
_x000D_
    Version   Environment_x000D_
This bug was reproduced on:_x000D_
  Commit: 9433e1731f0ebde5c934beb3e0b303db89a0db27_x000D_
_x000D_
      Front ends:_x000D_
      Fe1 Web (please include browser s names   version)_x000D_
   x  Fe2 Android (emulation  Pixel 2 API 29)_x000D_
      Not applicable_x000D_
_x000D_
      Back ends:_x000D_
   x  Be1 Go_x000D_
      Be2 Scala_x000D_
      Not applicable_x000D_
_x000D_
      Environment (as applicable):_x000D_
   Device: Pixel 2 emulator on Windows_x000D_
_x000D_
    Workaround_x000D_
No workaround found_x000D_
_x000D_
    Impact_x000D_
The witness messages cannot be seen_x000D_
_x000D_
    Possible root cause_x000D_
It seems that there are duplicated ids in the UIs  And the tab back id points to both a Button and a ConstraintLayout _x000D_
_x000D_
This create a class cast exception when a Button is expected where a ConstraintLayout is given _x000D_
</t>
  </si>
  <si>
    <t>TeamNewPipe-NewPipe-7319</t>
  </si>
  <si>
    <t>"Default content language" is not working for video titles and descriptions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</si>
  <si>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Set up  App language  to Russian _x000D_
2  Set up  Default content language  to Russian _x000D_
3  Set up  Default content country  to the United Kingdom _x000D_
4  Open  this video (https:  youtube com watch v YfhVO2S0uFA) _x000D_
5  Open the description and you will see that it is still in English  Same for the video title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Even when  Default content language  is Russian  video title and description is still in English _x000D_
_x000D_
_x000D_
_x000D_
    Expected behavior_x000D_
     Tell us what you expect to happen     _x000D_
Video title and description should be in Russian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None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None _x000D_
_x000D_
     That s right  here     _x000D_
_x000D_
_x000D_
_x000D_
     Please fill this section if you did not provide a log generated by NewPipe    _x000D_
_x000D_
    Device info_x000D_
_x000D_
   Android version Custom ROM version: crDroid 4 3 (Android 8 1) _x000D_
   Device model: XT1803_x000D_
</t>
  </si>
  <si>
    <t>AniTrend-anitrend-app-453</t>
  </si>
  <si>
    <t xml:space="preserve">GlideImagePlugin causes crash when malformed url is received </t>
  </si>
  <si>
    <t xml:space="preserve">  AniTrend Issue Guidelines_x000D_
_x000D_
Before opening a new issue  please take a moment to review our    community guidelines   (https:  github com AniTrend anitrend app blob master CONTRIBUTING md) to make the contribution process easy and effective for everyone involved _x000D_
_x000D_
  You may find an answer in already closed issues  :_x000D_
https:  github com AniTrend anitrend app issues q is 3Aissue is 3Aclosed_x000D_
_x000D_
_x000D_
   Description Of Bug_x000D_
      A clear and concise description of what the bug is     _x000D_
_x000D_
Since  GlideImagePlugin kt  is heavily used by our markdown parser which has a lot of user generated content  we cannot always guarantee that the  url  for images is valid  and as such line  49  throws a  java net MalformedURLException _x000D_
_x000D_
https:  github com AniTrend anitrend app blob 709fdd9f389708a6b59fa804acea6b7052ec8c86 app src main java com mxt anitrend base plugin image GlideImagePlugin kt L47 L53_x000D_
_x000D_
_x000D_
   Expected Behaviour_x000D_
      A clear and concise description of what you expect to happen     _x000D_
_x000D_
Quickest solution would be to wrap the URL invocation call inside a try catch such as the following to avoid potential crashes:_x000D_
_x000D_
   kotlin_x000D_
val url   runCatching  _x000D_
    URL(drawable destination)_x000D_
  getOrNull()_x000D_
when (url  host)  _x000D_
     files catbox moe      _x000D_
        headers addHeader( User Agent   USER AGENT FEDORA)_x000D_
     _x000D_
    else         Do nothing     _x000D_
 _x000D_
   _x000D_
_x000D_
Alternatively we could also move the header building logic outside of  GlideImagePlugin  and into a separate class e g   GlideHeaderBuilder  which would also making testing easier_x000D_
_x000D_
_x000D_
   Additional Context_x000D_
      What are you trying to accomplish  Providing context helps us come up with a solution that is most useful in the real world  also include an logs if you have any in this section    _x000D_
_x000D_
   sh_x000D_
aused by java net MalformedURLException: unknown protocol: data_x000D_
       at java net URL  init (URL java:597)_x000D_
       at java net URL  init (URL java:487)_x000D_
       at java net URL  init (URL java:436)_x000D_
       at com mxt anitrend base plugin image GlideImagePlugin load(GlideImagePlugin kt:49)_x000D_
       at io noties markwon image glide GlideImagesPlugin GlideAsyncDrawableLoader load(GlideImagesPlugin java:114)_x000D_
       at io noties markwon image AsyncDrawable setCallback2(AsyncDrawable java:152)_x000D_
       at io noties markwon image AsyncDrawableScheduler schedule(AsyncDrawableScheduler java:67)_x000D_
       at io noties markwon image glide GlideImagesPlugin afterSetText(GlideImagesPlugin java:98)_x000D_
       at io noties markwon MarkwonImpl setParsedMarkdown(MarkwonImpl java:140)_x000D_
       at io noties markwon MarkwonImpl setMarkdown(MarkwonImpl java:113)_x000D_
       at com mxt anitrend base custom view text RichMarkdownTextView setMarkDownText(RichMarkdownTextView kt:50)_x000D_
       at com mxt anitrend binding RichMarkdownExtensionsKt richMarkDown(RichMarkdownExtensions kt:45)_x000D_
       at com mxt anitrend databinding FragmentUserAboutBindingImpl executeBindings(FragmentUserAboutBindingImpl java:139)_x000D_
       at androidx databinding ViewDataBinding executeBindingsInternal(ViewDataBinding java:473)_x000D_
       at androidx databinding ViewDataBinding executePendingBindings(ViewDataBinding java:445)_x000D_
       at androidx databinding ViewDataBinding 7 run(ViewDataBinding java:197)_x000D_
       at androidx databinding ViewDataBinding 8 doFrame(ViewDataBinding java:291)_x000D_
       at android view Choreographer CallbackRecord run(Choreographer java:933)_x000D_
       at android view Choreographer doCallbacks(Choreographer java:747)_x000D_
       at android view Choreographer doFrame(Choreographer java:674)_x000D_
       at android view Choreographer FrameDisplayEventReceiver run(Choreographer java:921)_x000D_
       at android os Handler handleCallback(Handler java:790)_x000D_
       at android os Handler dispatchMessage(Handler java:99)_x000D_
       at android os Looper loop(Looper java:192)_x000D_
       at android app ActivityThread main(ActivityThread java:6759)_x000D_
       at java lang reflect Method invoke(Method java)_x000D_
       at com android internal os RuntimeInit MethodAndArgsCaller run(RuntimeInit java:556)_x000D_
       at com android internal os ZygoteInit main(ZygoteInit java:875)_x000D_
   _x000D_
</t>
  </si>
  <si>
    <t>Anuken-Mindustry-6245</t>
  </si>
  <si>
    <t>Mindustry unable to find maps causing the mod unplayable.</t>
  </si>
  <si>
    <t xml:space="preserve">  Platform  :  Android iOS Mac Windows Linux _x000D_
Windows_x000D_
_x000D_
  Build  :  The build number under the title in the main menu  Required   LATEST  IS NOT A VERSION  I NEED THE EXACT BUILD NUMBER OF YOUR GAME  _x000D_
Build Alpha 134_x000D_
_x000D_
  Issue  :  Explain your issue in detail  _x000D_
When i opened a mod  that is large  the game said content error  missing  map  or something  and i reinstalled it many times  didnt do anything _x000D_
_x000D_
  Steps to reproduce  :  How you happened across the issue  and what exactly you did to make the bug happen  _x000D_
I downloaded exotic mod  then  i restarted the game  after that  the game said it couldnt find the map  and then  i couldnt play campaign  custom  and editor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It happened ONLY in main menu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 crash logs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</si>
  <si>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Anuken-Mindustry-6244</t>
  </si>
  <si>
    <t>Fail to start v134 server with docker openjdk</t>
  </si>
  <si>
    <t xml:space="preserve">  Platform  :  Android iOS Mac Windows Linux  Docker in Linux_x000D_
_x000D_
  Build  :  The build number under the title in the main menu  Required   LATEST  IS NOT A VERSION  I NEED THE EXACT BUILD NUMBER OF YOUR GAME   v134_x000D_
_x000D_
  Issue  :  Explain your issue in detail  _x000D_
Using openjdk:11 (also tried openjdk:16)_x000D_
  image (https:  user images githubusercontent com 15688938 139170916 f6f00ab0 3140 4f2b b87d 458b10d60fce png)_x000D_
This works when v133 and before_x000D_
_x000D_
  Steps to reproduce  :  How you happened across the issue  and what exactly you did to make the bug happen  _x000D_
run server in openjdk:11 docker _x000D_
_x000D_
  Link(s) to mod(s) used  :  The mod repositories or zip files that are related to the issue  if applicable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no_x000D_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see preview_x000D_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</si>
  <si>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nextcloud-android-9160</t>
  </si>
  <si>
    <t>Crash after mp3 playback</t>
  </si>
  <si>
    <t xml:space="preserve">    Steps to reproduce_x000D_
1  Click on mp3 file to play  play until the end_x000D_
2  Hit the  back  bottom in the top left corner_x000D_
_x000D_
    Expected behaviour_x000D_
  back to folder overview_x000D_
_x000D_
    Actual behaviour_x000D_
  crash  Also crashes with other actions after completing playback_x000D_
_x000D_
_x000D_
    Logs_x000D_
_x000D_
     Nextcloud log (data nextcloud log)_x000D_
_x000D_
             CAUSE OF ERROR             _x000D_
_x000D_
android app RemoteServiceException: Context startForegroundService() did not then call Service startForeground(): ServiceRecord 4dfce0b u0 com nextcloud client  media PlayerService _x000D_
	at android app ActivityThread H handleMessage(ActivityThread java:2039)_x000D_
	at android os Handler dispatchMessage(Handler java:107)_x000D_
	at android os Looper loop(Looper java:214)_x000D_
	at android app ActivityThread main(ActivityThread java:7697)_x000D_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30170190_x000D_
Build flavor: gplay_x000D_
_x000D_
             DEVICE INFORMATION             _x000D_
Brand: OnePlus_x000D_
Device: OnePlus5T_x000D_
Model: ONEPLUS A5010_x000D_
Id: QKQ1 191014 012_x000D_
Product: OnePlus5T_x000D_
_x000D_
             FIRMWARE             _x000D_
SDK: 29_x000D_
Release: 10_x000D_
Incremental: 2010292059_x000D_
</t>
  </si>
  <si>
    <t>TeamNewPipe-NewPipe-7316</t>
  </si>
  <si>
    <t>Back button behavior</t>
  </si>
  <si>
    <t xml:space="preserve">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xx  This issue contains only one bug  I will open one issue for every bug report I want to file _x000D_
_x000D_
    Steps to reproduce the bug_x000D_
1  Open NewPipe   Trending screen is shown_x000D_
1  Open Subscriptions in sidebar_x000D_
2  Click on a subscription_x000D_
3  Press the Back button in the top bar_x000D_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NewPipe opens the Trending screen_x000D_
_x000D_
_x000D_
    Expected behavior_x000D_
     Tell us what you expect to happen     _x000D_
_x000D_
Expected the same behavior as when pressing the hardware Back button  i e  open subscriptions list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11_x000D_
   Device model: Samsung Galaxy A70_x000D_
</t>
  </si>
  <si>
    <t>TeamNewPipe-NewPipe-7315</t>
  </si>
  <si>
    <t>Can't interact with anything but the pop up player when it is open.</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</si>
  <si>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13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Open popup player from anywhere (within app or from pressing a YouTube link) 
If you open from a YouTube link then the issue begins immediately 
If you open from the  pop up player  button on a video in newpipe  then the issue begins after going out of the app (while the pop up player stays open)
     If you can t cause the bug to show up again reliably (and hence don t have a proper set of steps to give us)  please still try to give as many details as possible on how you think you encountered the bug     
    Actual behavior
     Tell us what happens with the steps given above     
When the issue has started  I can no longer interact with anything on my screen other than the pop up player 
All I can do is use gestures to open the recents menu or go to the home screen  I can t even switch between apps or open the app drawer 
I can begin interacting with everything once I close the pop up player 
    Expected behavior
     Tell us what you expect to happen     
I should be able to multi task when the pop up player is open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Android 12   API 31
   Device model: Pixel 6
</t>
  </si>
  <si>
    <t>TeamNewPipe-NewPipe-7314</t>
  </si>
  <si>
    <t>Trending page shows duplicate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</si>
  <si>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Scroll through the trending page and notice duplicate videos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trending page shows duplicates instead of other videos  This isn t a Newpipe issue because it also occurs on FreeTube  YouTube probably changed something on their end  See https:  github com FreeTubeApp FreeTube issues 1858_x000D_
_x000D_
_x000D_
_x000D_
    Expected behavior_x000D_
     Tell us what you expect to happen     _x000D_
Dont show duplicates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user images githubusercontent com 73130443 139096228 e2795518 7e86 4877 b278 0fd680f46259 mp4_x000D_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That s right  here     _x000D_
None _x000D_
_x000D_
_x000D_
     Please fill this section if you did not provide a log generated by NewPipe    _x000D_
_x000D_
    Device info_x000D_
_x000D_
   Android version Custom ROM version: Android 12 Graphene OS_x000D_
   Device model: Pixel 3a XL_x000D_
</t>
  </si>
  <si>
    <t>openboard-team-openboard-463</t>
  </si>
  <si>
    <t>OpenBoard crashes on opening numeric pad</t>
  </si>
  <si>
    <t xml:space="preserve">  Describe the bug  _x000D_
Quite similar to   176  (https:  github com dslul openboard issues 176)_x000D_
When a numeric pad opens  keyboard crashes  It doesn t happen when typing numbers otherwise  only when a form or website  etc requires numers in a way that opens the numbers pad _x000D_
_x000D_
Usin OpenBoard 1 4 3_x000D_
_x000D_
  To Reproduce  _x000D_
Steps to reproduce the behavior:_x000D_
1  Go to  any site or form requiring numeric entry _x000D_
2  Click on  number entry field _x000D_
_x000D_
  Expected behavior  _x000D_
Number pad opens  ability to enter numbers _x000D_
_x000D_
  Smartphone (please complete the following information):  _x000D_
   Device: Asus Zenpad 10 P027_x000D_
   OS: Android 7_x000D_
</t>
  </si>
  <si>
    <t>NordicSemiconductor-Android-DFU-Library-315</t>
  </si>
  <si>
    <t>Crash on DFU update on Android 12 - mutable flag missing on PendingIntent</t>
  </si>
  <si>
    <t xml:space="preserve">  DFU Bootloader version (please complete the following information):  _x000D_
   SDK version: 31_x000D_
   Bonding used: yes_x000D_
   Library version: 1 11 1_x000D_
_x000D_
  Device information (please complete the following information):  _x000D_
   Device: Pixel 4A_x000D_
   OS: Android 12_x000D_
_x000D_
  Describe the bug  _x000D_
When the app tries to trigger the flow  the app crashes as a pending intent is missing mandatory flags (see stack trace below):_x000D_
_x000D_
   kotlin_x000D_
private fun startDfuService(_x000D_
        deviceAddress: String _x000D_
        deviceName: String _x000D_
    )  _x000D_
        DfuServiceInitiator createDfuNotificationChannel(context applicationContext)_x000D_
_x000D_
        val dfuServiceInitiator   DfuServiceInitiator(deviceAddress)_x000D_
                 setKeepBond(true)_x000D_
                 setRestoreBond(true)_x000D_
                 setPrepareDataObjectDelay(300L)_x000D_
                 setNumberOfRetries(3)_x000D_
                 setUnsafeExperimentalButtonlessServiceInSecureDfuEnabled(true)_x000D_
                 setZip(R raw v3957 b01)_x000D_
_x000D_
        if (deviceName    null)  _x000D_
            dfuServiceInitiator setDeviceName(deviceName)_x000D_
         _x000D_
_x000D_
        dfuServiceInitiator start(context applicationContext  BleFirmwareUpgradeService::class java)_x000D_
        DfuServiceListenerHelper registerProgressListener(_x000D_
            context applicationContext _x000D_
            this _x000D_
            deviceAddress_x000D_
        )_x000D_
        logger logServiceStarting()_x000D_
     _x000D_
   _x000D_
_x000D_
  Logs  _x000D_
   _x000D_
10 27 13:02:39 006 26997 27424 E AndroidRuntime: FATAL EXCEPTION: IntentService DfuBaseService _x000D_
10 27 13:02:39 006 26997 27424 E AndroidRuntime: Process:  REDACTED   PID: 26997_x000D_
10 27 13:02:39 006 26997 27424 E AndroidRuntime: java lang IllegalArgumentException:  REDACTED : Targeting S  (version 31 and above) requires that one of FLAG IMMUTABLE or FLAG MUTABLE be specified when creating a PendingIntent _x000D_
10 27 13:02:39 006 26997 27424 E AndroidRuntime: Strongly consider using FLAG IMMUTABLE  only use FLAG MUTABLE if some functionality depends on the PendingIntent being mutable  e g  if it needs to be used with inline replies or bubbles _x000D_
10 27 13:02:39 006 26997 27424 E AndroidRuntime: 	at android app PendingIntent checkFlags(PendingIntent java:375)_x000D_
10 27 13:02:39 006 26997 27424 E AndroidRuntime: 	at android app PendingIntent getActivityAsUser(PendingIntent java:458)_x000D_
10 27 13:02:39 006 26997 27424 E AndroidRuntime: 	at android app PendingIntent getActivity(PendingIntent java:444)_x000D_
10 27 13:02:39 006 26997 27424 E AndroidRuntime: 	at android app PendingIntent getActivity(PendingIntent java:408)_x000D_
10 27 13:02:39 006 26997 27424 E AndroidRuntime: 	at no nordicsemi android dfu DfuBaseService startForeground(DfuBaseService java:1862)_x000D_
10 27 13:02:39 006 26997 27424 E AndroidRuntime: 	at no nordicsemi android dfu DfuBaseService onHandleIntent(DfuBaseService java:1142)_x000D_
10 27 13:02:39 006 26997 27424 E AndroidRuntime: 	at android app IntentService ServiceHandler handleMessage(IntentService java:78)_x000D_
10 27 13:02:39 006 26997 27424 E AndroidRuntime: 	at android os Handler dispatchMessage(Handler java:106)_x000D_
10 27 13:02:39 006 26997 27424 E AndroidRuntime: 	at android os Looper loopOnce(Looper java:201)_x000D_
10 27 13:02:39 006 26997 27424 E AndroidRuntime: 	at android os Looper loop(Looper java:288)_x000D_
10 27 13:02:39 006 26997 27424 E AndroidRuntime: 	at android os HandlerThread run(HandlerThread java:67)_x000D_
   </t>
  </si>
  <si>
    <t>nextcloud-android-9155</t>
  </si>
  <si>
    <t>Crash once I start the app</t>
  </si>
  <si>
    <t xml:space="preserve">    Steps to reproduce_x000D_
1  Connect to a valid network_x000D_
2  Start the app_x000D_
_x000D_
    Expected behaviour_x000D_
  Everything should just work fine_x000D_
_x000D_
    Actual behaviour_x000D_
  App crashed_x000D_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11_x000D_
_x000D_
Device model: Redmi K40 Pro _x000D_
_x000D_
Stock or customized system: Stock_x000D_
_x000D_
Nextcloud app version: 20211024_x000D_
_x000D_
Nextcloud server version: 22 1 1_x000D_
_x000D_
Reverse proxy: no_x000D_
_x000D_
    Logs_x000D_
     Web server error log_x000D_
   _x000D_
No error found_x000D_
   _x000D_
_x000D_
     Nextcloud log (data nextcloud log)_x000D_
   _x000D_
             CAUSE OF ERROR             _x000D_
_x000D_
android database sqlite SQLiteBlobTooBigException: Row too big to fit into CursorWindow requiredPos 3142  totalRows 920_x000D_
	at android database sqlite SQLiteConnection nativeExecuteForCursorWindow(Native Method)_x000D_
	at android database sqlite SQLiteConnection executeForCursorWindow(SQLiteConnection java:1001)_x000D_
	at android database sqlite SQLiteSession executeForCursorWindow(SQLiteSession java:838)_x000D_
	at android database sqlite SQLiteQuery fillWindow(SQLiteQuery java:62)_x000D_
	at android database sqlite SQLiteCursor fillWindow(SQLiteCursor java:163)_x000D_
	at android database sqlite SQLiteCursor onMove(SQLiteCursor java:131)_x000D_
	at android database AbstractCursor moveToPosition(AbstractCursor java:248)_x000D_
	at android database AbstractCursor moveToNext(AbstractCursor java:286)_x000D_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 delete(ContentProvider java:1785)_x000D_
	at android content ContentProviderOperation applyInternal(ContentProviderOperation java:389)_x000D_
	at android content ContentProviderOperation apply(ContentProviderOperation java:352)_x000D_
	at com owncloud android providers FileContentProvider applyBatch(FileContentProvider java:673)_x000D_
	at android content ContentProvider applyBatch(ContentProvider java:2451)_x000D_
	at android content ContentProvider Transport applyBatch(ContentProvider java:408)_x000D_
	at android content ContentProviderClient applyBatch(ContentProviderClient java:576)_x000D_
	at android content ContentProviderClient applyBatch(ContentProviderClient java:564)_x000D_
	at android content ContentResolver applyBatch(ContentResolver java:2224)_x000D_
	at com owncloud android datamodel FileDataStorageManager saveFolder(FileDataStorageManager java:447)_x000D_
	at com owncloud android operations RefreshFolderOperation synchronizeData(RefreshFolderOperation java:530)_x000D_
	at com owncloud android operations RefreshFolderOperation fetchAndSyncRemoteFolder(RefreshFolderOperation java:409)_x000D_
	at com owncloud android operations RefreshFolderOperation run(RefreshFolderOperation java:239)_x000D_
	at com owncloud android lib common operations RemoteOperation run(RemoteOperation java:363)_x000D_
	at java lang Thread run(Thread java:923)_x000D_
_x000D_
             APP INFORMATION             _x000D_
ID: com nextcloud android beta_x000D_
Version: 20211024_x000D_
Build flavor: versionDev_x000D_
_x000D_
             DEVICE INFORMATION             _x000D_
Brand: Redmi_x000D_
Device: haydn_x000D_
Model: M2012K11C_x000D_
Id: RKQ1 201112 002_x000D_
Product: haydn_x000D_
_x000D_
             FIRMWARE             _x000D_
SDK: 30_x000D_
Release: 11_x000D_
Incremental: V12 5 5 0 RKKCNXM_x000D_
_x000D_
   _x000D_
</t>
  </si>
  <si>
    <t>doublesymmetry-react-native-track-player-1313</t>
  </si>
  <si>
    <t>Android background execution</t>
  </si>
  <si>
    <t xml:space="preserve">  Describe the bug  _x000D_
It seems that the player cannot be controlled when the app is in background  If the audio stops  it is not possible to start it again on a different track without unlocking the phone  Any attempt to play some tracks results in app crash with the following exception_x000D_
_x000D_
   _x000D_
Caught exception_x000D_
java lang IllegalStateException: Not allowed to start service Intent   cmp it dotdotdot etruscoguide com guichaguri trackplayer service MusicService  : app is in background uid UidRecord 4bbb480 u0a412 TRNB bg: 3d0h44m29s297ms idle change:idle procs:1 seq(0 0 0) _x000D_
	at android app ContextImpl startServiceCommon(ContextImpl java:1795)_x000D_
	at android app ContextImpl startService(ContextImpl java:1740)_x000D_
	at android content ContextWrapper startService(ContextWrapper java:738)_x000D_
	at android content ContextWrapper startService(ContextWrapper java:738)_x000D_
	at com guichaguri trackplayer module MusicModule waitForConnection(MusicModule java:108)_x000D_
	at com guichaguri trackplayer module MusicModule getQueue(MusicModule java:410)_x000D_
	at java lang reflect Method invoke(Native Method)_x000D_
	at com facebook react bridge JavaMethodWrapper invoke(JavaMethodWrapper java:372)_x000D_
	at com facebook react bridge JavaModuleWrapper invoke(JavaModuleWrapper java:151)_x000D_
	at com facebook react bridge queue NativeRunnable run(Native Method)_x000D_
	at android os Handler handleCallback(Handler java:938)_x000D_
	at android os Handler dispatchMessage(Handler java:99)_x000D_
	at com facebook react bridge queue MessageQueueThreadHandler dispatchMessage(MessageQueueThreadHandler java:27)_x000D_
	at android os Looper loop(Looper java:246)_x000D_
	at com facebook react bridge queue MessageQueueThreadImpl 4 run(MessageQueueThreadImpl java:226)_x000D_
	at java lang Thread run(Thread java:923)_x000D_
   _x000D_
_x000D_
  To Reproduce  _x000D_
  start to play some audio while app is foregrounded_x000D_
  lock the screen_x000D_
  await for the track to end (no other tracks should be in the queue now)_x000D_
  the try to start another track by sending a websocket message_x000D_
_x000D_
  Environment (please complete the following information):  _x000D_
React native info_x000D_
   _x000D_
System:_x000D_
    OS: macOS 11 6_x000D_
    CPU: (8) x64 Intel(R) Core(TM) i7 1068NG7 CPU   2 30GHz_x000D_
    Memory: 620 71 MB   16 00 GB_x000D_
    Shell: 5 8    bin zsh_x000D_
  Binaries:_x000D_
    Node: 15 7 0    var folders w2 jn6rky295sz7tpkd4bwj5wb00000gn T yarn  1635253136485 0 3704272740792369 node_x000D_
    Yarn: 1 22 17    var folders w2 jn6rky295sz7tpkd4bwj5wb00000gn T yarn  1635253136485 0 3704272740792369 yarn_x000D_
    npm: 7 6 3      nvm versions node v15 7 0 bin npm_x000D_
    Watchman: 2021 06 07 00    usr local bin watchman_x000D_
  Managers:_x000D_
    CocoaPods: 1 10 1    usr local bin pod_x000D_
  SDKs:_x000D_
    iOS SDK:_x000D_
      Platforms: iOS 15 0  DriverKit 20 4  macOS 11 3  tvOS 15 0  watchOS 8 0_x000D_
    Android SDK:_x000D_
      API Levels: 28  29  30_x000D_
      Build Tools: 28 0 3  29 0 2  30 0 3_x000D_
      System Images: android 29   Intel x86 Atom 64  android 29   Google APIs Intel x86 Atom  android 30   Google APIs Intel x86 Atom_x000D_
      Android NDK: Not Found_x000D_
  IDEs:_x000D_
    Android Studio: 4 1 AI 201 8743 12 41 7042882_x000D_
    Xcode: 13 0 13A233    usr bin xcodebuild_x000D_
  Languages:_x000D_
    Java: 1 8 0 282    usr bin javac_x000D_
    Python: 2 7 16    Users alberto  pyenv shims python_x000D_
  npmPackages:_x000D_
     react native community cli: Not Found_x000D_
    react: 16 13 1    16 13 1_x000D_
    react native:  0 63 4    0 63 4_x000D_
    react native macos: Not Found_x000D_
  npmGlobalPackages:_x000D_
     react native : Not Found_x000D_
   _x000D_
_x000D_
react native track player version: 2 1 1_x000D_
Testing on real device_x000D_
_x000D_
</t>
  </si>
  <si>
    <t>PojavLauncherTeam-PojavLauncher-2169</t>
  </si>
  <si>
    <t>[BUG] &lt;when I increase ram to more than 277 it crash And say exite code 1  &gt;</t>
  </si>
  <si>
    <t xml:space="preserve">    Describe the bug
when I increase ram to more than 277 it crash And say exite code 1
    The log file and images videos
 No response 
    Steps To Reproduce
   markdown
1 start pojavlauncher_x000D_
2 start game
    Expected Behavior
Game needs to start I haven t enough ram but it should  start when I  give ram to 300 or 400 or more
    Platform
   markdown
  Device model: Samsung galaxy tab A_x000D_
  CPU architecture: 32bit_x000D_
  Android version: 7_x000D_
  PojavLauncher version: jdk crouks 3
    Anything else 
I know spelling  And some information is wrong but plz help </t>
  </si>
  <si>
    <t>androidx-constraintlayout-430</t>
  </si>
  <si>
    <t>NPE flow Android 12 Samsung</t>
  </si>
  <si>
    <t xml:space="preserve">I have seen a few crash logs like this being reported (Bugsnag)  unfortunately I don t have anymore details  except that this is happening on Android 12 on Samsung devices:_x000D_
   _x000D_
10 26 08:02:25 996 11903 11903 W System err: java lang NullPointerException: Attempt to invoke virtual method  int androidx constraintlayout core widgets ConstraintWidget getVisibility()  on a null object reference_x000D_
10 26 08:02:25 997 11903 11903 W System err: 	at androidx constraintlayout core widgets Flow WidgetsList createConstraints(SourceFile:8)_x000D_
10 26 08:02:25 997 11903 11903 W System err: 	at androidx constraintlayout core widgets Flow addToSolver(SourceFile:7)_x000D_
10 26 08:02:25 997 11903 11903 W System err: 	at androidx constraintlayout core widgets ConstraintWidgetContainer addChildrenToSolver(SourceFile:26)_x000D_
10 26 08:02:25 997 11903 11903 W System err: 	at androidx constraintlayout core widgets ConstraintWidgetContainer layout(SourceFile:48)_x000D_
10 26 08:02:25 997 11903 11903 W System err: 	at androidx constraintlayout core widgets analyzer BasicMeasure solveLinearSystem(SourceFile:10)_x000D_
10 26 08:02:25 997 11903 11903 W System err: 	at androidx constraintlayout core widgets analyzer BasicMeasure solverMeasure(SourceFile:34)_x000D_
10 26 08:02:25 997 11903 11903 W System err: 	at androidx constraintlayout core widgets ConstraintWidgetContainer measure(SourceFile:3)_x000D_
10 26 08:02:25 997 11903 11903 W System err: 	at androidx constraintlayout widget ConstraintLayout resolveSystem(SourceFile:16)_x000D_
10 26 08:02:25 997 11903 11903 W System err: 	at androidx constraintlayout widget ConstraintLayout onMeasure(SourceFile:15)_x000D_
10 26 08:02:25 997 11903 11903 W System err: 	at android view View measure(View java:27110)_x000D_
10 26 08:02:25 997 11903 11903 W System err: 	at androidx constraintlayout widget ConstraintLayout Measurer measure(SourceFile:62)_x000D_
10 26 08:02:25 997 11903 11903 W System err: 	at androidx constraintlayout core widgets ConstraintWidgetContainer measure(SourceFile:47)_x000D_
10 26 08:02:25 997 11903 11903 W System err: 	at androidx constraintlayout core widgets analyzer Direct horizontalSolvingPass(SourceFile:5)_x000D_
10 26 08:02:25 997 11903 11903 W System err: 	at androidx constraintlayout core widgets analyzer Direct solveHorizontalMatchConstraint(SourceFile:15)_x000D_
10 26 08:02:25 997 11903 11903 W System err: 	at androidx constraintlayout core widgets analyzer Direct horizontalSolvingPass(SourceFile:24)_x000D_
10 26 08:02:25 997 11903 11903 W System err: 	at androidx constraintlayout core widgets analyzer Direct solvingPass(SourceFile:33)_x000D_
10 26 08:02:25 997 11903 11903 W System err: 	at androidx constraintlayout core widgets ConstraintWidgetContainer layout(SourceFile:11)_x000D_
10 26 08:02:25 997 11903 11903 W System err: 	at androidx constraintlayout core widgets analyzer BasicMeasure solveLinearSystem(SourceFile:10)_x000D_
10 26 08:02:25 997 11903 11903 W System err: 	at androidx constraintlayout core widgets analyzer BasicMeasure solverMeasure(SourceFile:34)_x000D_
10 26 08:02:25 997 11903 11903 W System err: 	at androidx constraintlayout core widgets ConstraintWidgetContainer measure(SourceFile:3)_x000D_
10 26 08:02:25 997 11903 11903 W System err: 	at androidx constraintlayout widget ConstraintLayout resolveSystem(SourceFile:16)_x000D_
10 26 08:02:25 997 11903 11903 W System err: 	at androidx constraintlayout widget ConstraintLayout onMeasure(SourceFile:15)_x000D_
10 26 08:02:25 997 11903 11903 W System err: 	at android view View measure(View java:27110)_x000D_
10 26 08:02:25 997 11903 11903 W System err: 	at androidx constraintlayout widget ConstraintLayout Measurer measure(SourceFile:62)_x000D_
10 26 08:02:25 997 11903 11903 W System err: 	at androidx constraintlayout core widgets ConstraintWidgetContainer measure(SourceFile:47)_x000D_
10 26 08:02:25 997 11903 11903 W System err: 	at androidx constraintlayout core widgets analyzer Direct horizontalSolvingPass(SourceFile:5)_x000D_
10 26 08:02:25 997 11903 11903 W System err: 	at androidx constraintlayout core widgets analyzer Direct solveHorizontalMatchConstraint(SourceFile:15)_x000D_
10 26 08:02:25 997 11903 11903 W System err: 	at androidx constraintlayout core widgets analyzer Direct horizontalSolvingPass(SourceFile:24)_x000D_
10 26 08:02:25 997 11903 11903 W System err: 	at androidx constraintlayout core widgets analyzer Direct solvingPass(SourceFile:33)_x000D_
10 26 08:02:25 997 11903 11903 W System err: 	at androidx constraintlayout core widgets ConstraintWidgetContainer layout(SourceFile:11)_x000D_
10 26 08:02:25 997 11903 11903 W System err: 	at androidx constraintlayout core widgets analyzer BasicMeasure solveLinearSystem(SourceFile:10)_x000D_
10 26 08:02:25 997 11903 11903 W System err: 	at androidx constraintlayout core widgets analyzer BasicMeasure solverMeasure(SourceFile:34)_x000D_
10 26 08:02:25 997 11903 11903 W System err: 	at androidx constraintlayout core widgets ConstraintWidgetContainer measure(SourceFile:3)_x000D_
10 26 08:02:25 997 11903 11903 W System err: 	at androidx constraintlayout widget ConstraintLayout resolveSystem(SourceFile:16)_x000D_
10 26 08:02:25 997 11903 11903 W System err: 	at androidx constraintlayout widget ConstraintLayout onMeasure(SourceFile:15)_x000D_
10 26 08:02:25 997 11903 11903 W System err: 	at android view View measure(View java:27110)_x000D_
10 26 08:02:25 997 11903 11903 W System err: 	at android view ViewGroup measureChildWithMargins(ViewGroup java:7980)_x000D_
10 26 08:02:25 999 11903 11903 W System err: 	at android widget FrameLayout onMeasure(FrameLayout java:194)_x000D_
10 26 08:02:25 999 11903 11903 W System err: 	at androidx cardview widget CardView onMeasure(SourceFile:11)_x000D_
10 26 08:02:25 999 11903 11903 W System err: 	at android view View measure(View java:27110)_x000D_
10 26 08:02:25 999 11903 11903 W System err: 	at android view ViewGroup measureChildWithMargins(ViewGroup java:7980)_x000D_
10 26 08:02:25 999 11903 11903 W System err: 	at android widget FrameLayout onMeasure(FrameLayout java:194)_x000D_
10 26 08:02:25 999 11903 11903 W System err: 	at android view View measure(View java:27110)_x000D_
10 26 08:02:25 999 11903 11903 W System err: 	at androidx recyclerview widget RecyclerView LayoutManager measureChildWithMargins(SourceFile:14)_x000D_
10 26 08:02:25 999 11903 11903 W System err: 	at androidx recyclerview widget LinearLayoutManager layoutChunk(SourceFile:11)_x000D_
10 26 08:02:25 999 11903 11903 W System err: 	at androidx recyclerview widget LinearLayoutManager fill(SourceFile:9)_x000D_
10 26 08:02:25 999 11903 11903 W System err: 	at androidx recyclerview widget LinearLayoutManager onLayoutChildren(SourceFile:65)_x000D_
10 26 08:02:25 999 11903 11903 W System err: 	at eu faircode email FragmentMessages 7 onLayoutChildren(SourceFile:1)_x000D_
10 26 08:02:25 999 11903 11903 W System err: 	at androidx recyclerview widget RecyclerView dispatchLayoutStep2(SourceFile:12)_x000D_
10 26 08:02:25 999 11903 11903 W System err: 	at androidx recyclerview widget RecyclerView dispatchLayout(SourceFile:15)_x000D_
10 26 08:02:25 999 11903 11903 W System err: 	at androidx recyclerview widget RecyclerView onLayout(SourceFile:2)_x000D_
10 26 08:02:25 999 11903 11903 W System err: 	at eu faircode email FixedRecyclerView onLayout(SourceFile:1)_x000D_
10 26 08:02:25 999 11903 11903 W System err: 	at android view View layout(View java:24442)_x000D_
10 26 08:02:25 999 11903 11903 W System err: 	at android view ViewGroup layout(ViewGroup java:7412)_x000D_
10 26 08:02:25 999 11903 11903 W System err: 	at androidx constraintlayout widget ConstraintLayout onLayout(SourceFile:12)_x000D_
10 26 08:02:25 999 11903 11903 W System err: 	at android view View layout(View java:24442)_x000D_
10 26 08:02:25 999 11903 11903 W System err: 	at android view ViewGroup layout(ViewGroup java:7412)_x000D_
10 26 08:02:25 999 11903 11903 W System err: 	at androidx swiperefreshlayout widget SwipeRefreshLayout onLayout(SourceFile:11)_x000D_
10 26 08:02:25 999 11903 11903 W System err: 	at android view View layout(View java:24442)_x000D_
10 26 08:02:25 999 11903 11903 W System err: 	at android view ViewGroup layout(ViewGroup java:7412)_x000D_
10 26 08:02:25 999 11903 11903 W System err: 	at androidx coordinatorlayout widget CoordinatorLayout layoutChild(SourceFile:18)_x000D_
10 26 08:02:25 999 11903 11903 W System err: 	at androidx coordinatorlayout widget CoordinatorLayout onLayoutChild(SourceFile:7)_x000D_
10 26 08:02:25 999 11903 11903 W System err: 	at androidx coordinatorlayout widget CoordinatorLayout onLayout(SourceFile:8)_x000D_
10 26 08:02:25 999 11903 11903 W System err: 	at android view View layout(View java:24442)_x000D_
10 26 08:02:25 999 11903 11903 W System err: 	at android view ViewGroup layout(ViewGroup java:7412)_x000D_
10 26 08:02:25 999 11903 11903 W System err: 	at android widget FrameLayout layoutChildren(FrameLayout java:332)_x000D_
10 26 08:02:25 999 11903 11903 W System err: 	at android widget FrameLayout onLayout(FrameLayout java:270)_x000D_
10 26 08:02:25 999 11903 11903 W System err: 	at android view View layout(View java:24442)_x000D_
10 26 08:02:25 999 11903 11903 W System err: 	at android view ViewGroup layout(ViewGroup java:7412)_x000D_
10 26 08:02:25 999 11903 11903 W System err: 	at androidx drawerlayout widget DrawerLayout onLayout(SourceFile:10)_x000D_
10 26 08:02:25 999 11903 11903 W System err: 	at android view View layout(View java:24442)_x000D_
10 26 08:02:25 999 11903 11903 W System err: 	at android view ViewGroup layout(ViewGroup java:7412)_x000D_
10 26 08:02:25 999 11903 11903 W System err: 	at android widget FrameLayout layoutChildren(FrameLayout java:332)_x000D_
10 26 08:02:25 999 11903 11903 W System err: 	at android widget FrameLayout onLayout(FrameLayout java:270)_x000D_
10 26 08:02:25 999 11903 11903 W System err: 	at android view View layout(View java:24442)_x000D_
10 26 08:02:25 999 11903 11903 W System err: 	at android view ViewGroup layout(ViewGroup java:7412)_x000D_
10 26 08:02:25 999 11903 11903 W System err: 	at androidx appcompat widget ActionBarOverlayLayout onLayout(SourceFile:11)_x000D_
10 26 08:02:25 999 11903 11903 W System err: 	at android view View layout(View java:24442)_x000D_
10 26 08:02:25 999 11903 11903 W System err: 	at android view ViewGroup layout(ViewGroup java:7412)_x000D_
10 26 08:02:25 999 11903 11903 W System err: 	at android widget FrameLayout layoutChildren(FrameLayout java:332)_x000D_
10 26 08:02:25 999 11903 11903 W System err: 	at android widget FrameLayout onLayout(FrameLayout java:270)_x000D_
10 26 08:02:25 999 11903 11903 W System err: 	at android view View layout(View java:24442)_x000D_
10 26 08:02:25 999 11903 11903 W System err: 	at android view ViewGroup layout(ViewGroup java:7412)_x000D_
10 26 08:02:25 999 11903 11903 W System err: 	at android widget LinearLayout setChildFrame(LinearLayout java:1829)_x000D_
10 26 08:02:25 999 11903 11903 W System err: 	at android widget LinearLayout layoutVertical(LinearLayout java:1673)_x000D_
10 26 08:02:25 999 11903 11903 W System err: 	at android widget LinearLayout onLayout(LinearLayout java:1582)_x000D_
10 26 08:02:25 999 11903 11903 W System err: 	at android view View layout(View java:24442)_x000D_
10 26 08:02:25 999 11903 11903 W System err: 	at android view ViewGroup layout(ViewGroup java:7412)_x000D_
10 26 08:02:25 999 11903 11903 W System err: 	at android widget FrameLayout layoutChildren(FrameLayout java:332)_x000D_
10 26 08:02:25 999 11903 11903 W System err: 	at android widget FrameLayout onLayout(FrameLayout java:270)_x000D_
10 26 08:02:25 999 11903 11903 W System err: 	at com android internal policy DecorView onLayout(DecorView java:1309)_x000D_
10 26 08:02:25 999 11903 11903 W System err: 	at android view View layout(View java:24442)_x000D_
10 26 08:02:26 000 11903 11903 W System err: 	at android view ViewGroup layout(ViewGroup java:7412)_x000D_
10 26 08:02:26 000 11903 11903 W System err: 	at android view ViewRootImpl performLayout(ViewRootImpl java:4492)_x000D_
10 26 08:02:26 000 11903 11903 W System err: 	at android view ViewRootImpl performTraversals(ViewRootImpl java:3914)_x000D_
10 26 08:02:26 000 11903 11903 W System err: 	at android view ViewRootImpl doTraversal(ViewRootImpl java:2820)_x000D_
10 26 08:02:26 000 11903 11903 W System err: 	at android view ViewRootImpl TraversalRunnable run(ViewRootImpl java:10305)_x000D_
10 26 08:02:26 000 11903 11903 W System err: 	at android view Choreographer CallbackRecord run(Choreographer java:1063)_x000D_
10 26 08:02:26 000 11903 11903 W System err: 	at android view Choreographer doCallbacks(Choreographer java:845)_x000D_
10 26 08:02:26 000 11903 11903 W System err: 	at android view Choreographer doFrame(Choreographer java:780)_x000D_
10 26 08:02:26 000 11903 11903 W System err: 	at android view Choreographer FrameDisplayEventReceiver run(Choreographer java:1048)_x000D_
10 26 08:02:26 000 11903 11903 W System err: 	at android os Handler handleCallback(Handler java:938)_x000D_
10 26 08:02:26 000 11903 11903 W System err: 	at android os Handler dispatchMessage(Handler java:99)_x000D_
10 26 08:02:26 000 11903 11903 W System err: 	at android os Looper loopOnce(Looper java:226)_x000D_
10 26 08:02:26 000 11903 11903 W System err: 	at android os Looper loop(Looper java:313)_x000D_
10 26 08:02:26 000 11903 11903 W System err: 	at android app ActivityThread main(ActivityThread java:8582)_x000D_
10 26 08:02:26 000 11903 11903 W System err: 	at java lang reflect Method invoke(Native Method)_x000D_
10 26 08:02:26 000 11903 11903 W System err: 	at com android internal os RuntimeInit MethodAndArgsCaller run(RuntimeInit java:563)_x000D_
10 26 08:02:26 000 11903 11903 W System err: 	at com android internal os ZygoteInit main(ZygoteInit java:1133)_x000D_
   </t>
  </si>
  <si>
    <t>aws-amplify-aws-sdk-android-2813</t>
  </si>
  <si>
    <t>NotificationClientBase.java , Fatal Exception: java.lang.IllegalArgumentException</t>
  </si>
  <si>
    <t xml:space="preserve">  Describe the bug  _x000D_
NotificationClientBase java line 572 crash _x000D_
Fatal Exception: java lang IllegalArgumentException_x000D_
Wrong number of arguments  expected 2  got 1_x000D_
_x000D_
  To Reproduce  _x000D_
Steps to reproduce the behavior:_x000D_
1  Go to  Start _x000D_
_x000D_
  Screenshots  _x000D_
             2021 10 26      1 25 34 (https:  user images githubusercontent com 3112531 138808842 fd6f11cd 2702 47ff 984d 3c2ed6e6c94b png)_x000D_
_x000D_
  Expected behavior  _x000D_
This crash event occurred within the first 3 seconds of starting a user session _x000D_
_x000D_
  Smartphone (please complete the following information):  _x000D_
   Device:  e g  Android _x000D_
   OS:  e g  Android11  Android10  Android9  Android8  Android7  Android6  Android5 _x000D_
_x000D_
  Additional context  _x000D_
_x000D_
  Lib version_x000D_
  com amazonaws:aws android sdk pinpoint:2 25 0_x000D_
  com amazonaws:aws android sdk mobile client:2 25 0 aar_x000D_
_x000D_
   Log trace _x000D_
 Fatal Exception: java lang IllegalArgumentException: Wrong number of arguments  expected 2  got 1_x000D_
       at java lang reflect Constructor newInstance0(Constructor java)_x000D_
       at java lang reflect Constructor newInstance(Constructor java:343)_x000D_
       at com amazonaws mobileconnectors pinpoint targeting notification NotificationClientBase createNotification(NotificationClientBase java:572)_x000D_
       at com amazonaws mobileconnectors pinpoint targeting notification NotificationClientBase access 100(NotificationClientBase java:59)_x000D_
       at com amazonaws mobileconnectors pinpoint targeting notification NotificationClientBase 1 run(NotificationClientBase java:732)_x000D_
       at java lang Thread run(Thread java:923) _x000D_
_x000D_
_x000D_
</t>
  </si>
  <si>
    <t>nextcloud-android-9147</t>
  </si>
  <si>
    <t>WebView android.view.InflateException crash in account_setup_webview</t>
  </si>
  <si>
    <t xml:space="preserve">Hello  the Android app keeps crashing  clesring cahche and deleting Data or reinstall doesnt help _x000D_
I am even unable to login to my cloud  even though it works fine on browsers _x000D_
_x000D_
   _x000D_
             CAUSE OF ERROR             _x000D_
_x000D_
android view InflateException: Binary XML file line  10 in com nextcloud client:layout account setup webview: Binary XML file line  10 in com nextcloud client:layout account setup webview: Error inflating class android webkit WebView_x000D_
Caused by: android view InflateException: Binary XML file line  10 in com nextcloud client:layout account setup webview: Error inflating class android webkit WebView_x000D_
Caused by: java lang reflect InvocationTargetException_x000D_
	at java lang reflect Constructor newInstance0(Native Method)_x000D_
	at java lang reflect Constructor newInstance(Constructor java:343)_x000D_
	at android view LayoutInflater createView(LayoutInflater java:852)_x000D_
	at android view LayoutInflater createView(LayoutInflater java:774)_x000D_
	at com android internal policy PhoneLayoutInflater onCreateView(PhoneLayoutInflater java:58)_x000D_
	at android view LayoutInflater onCreateView(LayoutInflater java:928)_x000D_
	at android view LayoutInflater onCreateView(LayoutInflater java:948)_x000D_
	at android view LayoutInflater createViewFromTag(LayoutInflater java:1002)_x000D_
	at android view LayoutInflater createViewFromTag(LayoutInflater java:959)_x000D_
	at android view LayoutInflater rInflate(LayoutInflater java:1121)_x000D_
	at android view LayoutInflater rInflateChildren(LayoutInflater java:1082)_x000D_
	at android view LayoutInflater inflate(LayoutInflater java:680)_x000D_
	at android view LayoutInflater inflate(LayoutInflater java:532)_x000D_
	at com owncloud android databinding AccountSetupWebviewBinding inflate(AccountSetupWebviewBinding java:49)_x000D_
	at com owncloud android databinding AccountSetupWebviewBinding inflate(AccountSetupWebviewBinding java:43)_x000D_
	at com owncloud android authentication AuthenticatorActivity onGetServerInfoFinish(AuthenticatorActivity java:922)_x000D_
	at com owncloud android authentication AuthenticatorActivity onRemoteOperationFinish(AuthenticatorActivity java:836)_x000D_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java:938)_x000D_
	at android os Handler dispatchMessage(Handler java:99)_x000D_
	at android os Looper loop(Looper java:246)_x000D_
	at android app ActivityThread main(ActivityThread java:8512)_x000D_
	at java lang reflect Method invoke(Native Method)_x000D_
	at com android internal os RuntimeInit MethodAndArgsCaller run(RuntimeInit java:602)_x000D_
	at com android internal os ZygoteInit main(ZygoteInit java:1130)_x000D_
Caused by: java lang RuntimeException: Failed to create lock file  data user 0 com nextcloud client app webview webview data lock_x000D_
	at org chromium android webview AwDataDirLock b(chromium TrichromeWebViewGoogle aab stable 460608533:10)_x000D_
	at wA0 h(chromium TrichromeWebViewGoogle aab stable 460608533:40)_x000D_
	at wA0 b(chromium TrichromeWebViewGoogle aab stable 460608533:20)_x000D_
	at wA0 j(chromium TrichromeWebViewGoogle aab stable 460608533:2)_x000D_
	at com android webview chromium WebViewChromiumFactoryProvider g(chromium TrichromeWebViewGoogle aab stable 460608533:2)_x000D_
	at com android webview chromium WebViewChromium init(chromium TrichromeWebViewGoogle aab stable 460608533:14)_x000D_
	at android webkit WebView  init (WebView java:435)_x000D_
	at android webkit WebView  init (WebView java:355)_x000D_
	at android webkit WebView  init (WebView java:337)_x000D_
	at android webkit WebView  init (WebView java:324)_x000D_
	    26 more_x000D_
Caused by: java io FileNotFoundException:  data user 0 com nextcloud client app webview webview data lock: open failed: ENOENT (No such file or directory)_x000D_
	at libcore io IoBridge open(IoBridge java:492)_x000D_
	at java io RandomAccessFile  init (RandomAccessFile java:289)_x000D_
	at org chromium android webview AwDataDirLock b(chromium TrichromeWebViewGoogle aab stable 460608533:9)_x000D_
	    35 more_x000D_
Caused by: android system ErrnoException: open failed: ENOENT (No such file or directory)_x000D_
	at libcore io Linux open(Native Method)_x000D_
	at libcore io ForwardingOs open(ForwardingOs java:166)_x000D_
	at libcore io BlockGuardOs open(BlockGuardOs java:254)_x000D_
	at libcore io ForwardingOs open(ForwardingOs java:166)_x000D_
	at android app ActivityThread AndroidOs open(ActivityThread java:8373)_x000D_
	at libcore io IoBridge open(IoBridge java:478)_x000D_
	    37 more_x000D_
_x000D_
             APP INFORMATION             _x000D_
ID: com nextcloud client_x000D_
Version: 30170190_x000D_
Build flavor: gplay_x000D_
_x000D_
             DEVICE INFORMATION             _x000D_
Brand: samsung_x000D_
Device: a50_x000D_
Model: SM A505FN_x000D_
Id: RP1A 200720 012_x000D_
Product: a50eea_x000D_
_x000D_
             FIRMWARE             _x000D_
SDK: 30_x000D_
Release: 11_x000D_
Incremental: A505FNXXS9CUI3_x000D_
   </t>
  </si>
  <si>
    <t>TeamNewPipe-NewPipe-7305</t>
  </si>
  <si>
    <t>Enqueueing videos quickly crashes the app in version 0.21.13</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</si>
  <si>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Start NewPipe_x000D_
2  Long press any video to trigger the actions menu and select  start playing in a popup  or  start playing in the background _x000D_
3  While the first video is still being added to the playback queue and it hasn t started playing (hourglass icon displayed)  long press another video or even the same one_x000D_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Before the actions menu is triggered for the second video  the app crashes_x000D_
_x000D_
_x000D_
    Expected behavior_x000D_
     Tell us what you expect to happen     _x000D_
I expect to be able to enqueue videos quickly and not wait for the first one to load fully before I can do the former action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US_x000D_
    Content Language:   en_x000D_
    App Language:   en US_x000D_
    Service:   none_x000D_
    Version:   0 21 13_x000D_
    OS:   Linux motorola potter potter:8 1 0_x000D_
 details  summary  b Crash log   b   summary  p _x000D_
_x000D_
   _x000D_
java lang NullPointerException: Attempt to invoke virtual method  int org schabi newpipe player playqueue PlayQueue size()  on a null object reference_x000D_
	at org schabi newpipe player helper PlayerHolder getQueueSize(PlayerHolder java:74)_x000D_
	at org schabi newpipe local feed FeedFragment showStreamDialog(FeedFragment kt:331)_x000D_
	at org schabi newpipe local feed FeedFragment access showStreamDialog(FeedFragment kt:80)_x000D_
	at org schabi newpipe local feed FeedFragment listenerStreamItem 1 onItemLongClick(FeedFragment kt:390)_x000D_
	at com xwray groupie GroupieViewHolder 2 onLongClick(GroupieViewHolder java:32)_x000D_
	at android view View performLongClickInternal(View java:6377)_x000D_
	at android view View performLongClick(View java:6335)_x000D_
	at android view View performLongClick(View java:6353)_x000D_
	at android view View CheckForLongPress run(View java:24762)_x000D_
	at android os Handler handleCallback(Handler java:790)_x000D_
	at android os Handler dispatchMessage(Handler java:99)_x000D_
	at android os Looper loop(Looper java:164)_x000D_
	at android app ActivityThread main(ActivityThread java:6626)_x000D_
	at java lang reflect Method invoke(Native Method)_x000D_
	at com android internal os RuntimeInit MethodAndArgsCaller run(RuntimeInit java:438)_x000D_
	at com android internal os ZygoteInit main(ZygoteInit java:811)_x000D_
_x000D_
   _x000D_
  details _x000D_
 hr </t>
  </si>
  <si>
    <t>Anuken-Mindustry-6223</t>
  </si>
  <si>
    <t>Conveyor Animation in modding is broken</t>
  </si>
  <si>
    <t xml:space="preserve">  Platform  :  Android iOS Mac Windows Linux _x000D_
Window 10 _x000D_
  Build  :  The build number under the title in the main menu  Required   LATEST  IS NOT A VERSION  I NEED THE EXACT BUILD NUMBER OF YOUR GAME  _x000D_
v7 pre release build 133_x000D_
  Issue  :  Explain your issue in detail  _x000D_
so i make a conveyor that require power in my mod_x000D_
when it doesn t have anypower and no item on it  the animation still play_x000D_
but when it doesn t have any power and (at least 1) item on it  it stopped the animation _x000D_
  Steps to reproduce  :  How you happened across the issue  and what exactly you did to make the bug happen  _x000D_
make a modded conveyor that consume power in hjson_x000D_
  Link(s) to mod(s) used  :  The mod repositories or zip files that are related to the issue  if applicable  _x000D_
https:  github com EclipseTheOldOne Project Scrap_x000D_
https:  github com EclipseTheOldOne Industrial Processing_x000D_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https:  drive google com file d 16L0UmJwdRGJ5GMpXmyf5n Q22MvNNgBx view usp sharing_x000D_
If you remove the line above without reading it properly and understanding what it means  I will reap your soul  Even if you re playing on someone s server  you can still save the game to a slot _x000D_
okay _x000D_
  (Crash) logs  :  Either crash reports from the crash folder  or the file you get when you go into Settings    Game Data    Export Crash logs  REQUIRED if you are reporting a crash  _x000D_
_x000D_
    none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</si>
  <si>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Anuken-Mindustry-6222</t>
  </si>
  <si>
    <t>Plastanium conveyor payload loading</t>
  </si>
  <si>
    <t xml:space="preserve">  Platform  :  Windows _x000D_
_x000D_
  Build  :  22110  _x000D_
_x000D_
  Issue  :  Plastanium conveyors have 10548 or so capacity when loaded with payload loaders  _x000D_
_x000D_
  Steps to reproduce  :  Place a payload source that makes plastanium conveyors  redirect it into a payload loader  provide the payload loader with any resource   _x000D_
_x000D_
  Link(s) to mod(s) used  :  None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bugreport zip (https:  github com Anuken Mindustry files 7403776 bugreport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</si>
  <si>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material-components-material-components-android-2442</t>
  </si>
  <si>
    <t>Error for not using Theme.AppCompat theme when not on Version 1.1.0 of Material</t>
  </si>
  <si>
    <t xml:space="preserve">  Description:   _x000D_
I encountered this issue for the second time in my Android Apps _x000D_
_x000D_
I just tried to set up  Back4App  1  for my App  br  _x000D_
While setting it up my App always crashed when starting _x000D_
Here is the  issue on Github  2  _x000D_
_x000D_
I always got this error:_x000D_
_x000D_
    E AndroidRuntime: FATAL EXCEPTION: main_x000D_
    Process: com jusaw curveradio  PID: 15273_x000D_
    java lang IllegalStateException: You need to use a Theme AppCompat theme (or descendant) with this activity _x000D_
        at androidx appcompat app AppCompatDelegateImpl createSubDecor(AppCompatDelegateImpl java:846)_x000D_
        at androidx appcompat app AppCompatDelegateImpl ensureSubDecor(AppCompatDelegateImpl java:809)_x000D_
        at androidx appcompat app AppCompatDelegateImpl onPostCreate(AppCompatDelegateImpl java:530)_x000D_
        at androidx appcompat app AppCompatActivity onPostCreate(AppCompatActivity java:151)_x000D_
        at android app Instrumentation callActivityOnPostCreate(Instrumentation java:1373)_x000D_
        at android app ActivityThread handleStartActivity(ActivityThread java:3321)_x000D_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The Question is why do I get this error:    java lang IllegalStateException: You need to use a Theme AppCompat theme (or descendant) with this activity     br  _x000D_
The starting activity has this theme     style name  SplashTheme  parent  Theme MaterialComponents NoActionBar     _x000D_
_x000D_
Ofcourse I used:_x000D_
   implementation  com google android material:material:1 4 0     (the newest version of material)_x000D_
_x000D_
_x000D_
When I changed the Version of material to    1 1 0    the app runs properly _x000D_
_x000D_
_x000D_
My Question is why do I have to use Material Version 1 1 0 _x000D_
_x000D_
_x000D_
   1 : https:  www back4app com docs get started parse sdk_x000D_
   2 : https:  github com parse community Parse SDK Android issues 1135 issue 1034201850_x000D_
_x000D_
  Expected behavior:   The App should properly work also on Version 1 4 0_x000D_
_x000D_
  Source code:  _x000D_
style of the splashscreen:_x000D_
   _x000D_
      SplashScreen background   _x000D_
     style name  SplashTheme  parent  Theme MaterialComponents NoActionBar  _x000D_
         item name  android:windowBackground   mipmap splash screen final  item _x000D_
         item name  android:navigationBarColor   color black  item _x000D_
      style _x000D_
   _x000D_
_x000D_
_x000D_
  Android API version:  _x000D_
target: 30_x000D_
_x000D_
  Material Library version:   _x000D_
with issue 1 4 0_x000D_
without issue 1 1 0_x000D_
_x000D_
  Device:   _x000D_
Nexus 5 Api 29_x000D_
_x000D_
 StackOverflow Question (https:  stackoverflow com q 69690591 11322034)_x000D_
</t>
  </si>
  <si>
    <t>Etar-Group-Etar-Calendar-1025</t>
  </si>
  <si>
    <t>possible Bug: app crashes when invoking settings of a DecSync CC calendar</t>
  </si>
  <si>
    <t xml:space="preserve">When tapping on a calendar from  DecSync CC (https:  github com 39aldo39 DecSyncCC) in the settings of Etar the app crashes  So it is not possible to change the settings of that calendar in Etar _x000D_
It does not happen with a calender from another app _x000D_
_x000D_
I m not sure if this is a issue with Etar or DecSync CC  If the latter is the case please let me know so I can create an issue there </t>
  </si>
  <si>
    <t>nextcloud-android-9132</t>
  </si>
  <si>
    <t>Can't upload files with E2E Encryption</t>
  </si>
  <si>
    <t xml:space="preserve">             CAUSE OF ERROR             _x000D_
_x000D_
java lang NullPointerException: Attempt to invoke virtual method  boolean com owncloud android lib common operations RemoteOperationResult isCancelled()  on a null object reference_x000D_
	at com owncloud android datamodel UploadsStorageManager updateDatabaseUploadResult(UploadsStorageManager java:562)_x000D_
	at com owncloud android files services FileUploader uploadFile(FileUploader java:661)_x000D_
	at com owncloud android files services FileUploader ServiceHandler handleMessage(FileUploader java:1402)_x000D_
	at android os Handler dispatchMessage(Handler java:107)_x000D_
	at android os Looper loop(Looper java:214)_x000D_
	at android os HandlerThread run(HandlerThread java:67)_x000D_
_x000D_
             APP INFORMATION             _x000D_
ID: com nextcloud client_x000D_
Version: 30170090_x000D_
Build flavor: generic_x000D_
_x000D_
             DEVICE INFORMATION             _x000D_
Brand: Fairphone_x000D_
Device: FP3_x000D_
Model: FP3_x000D_
Id: QQ3A 200805 001_x000D_
Product: FP3_x000D_
_x000D_
             FIRMWARE             _x000D_
SDK: 29_x000D_
Release: 10_x000D_
Incremental: eng root 20210827 151157_x000D_
_x000D_
_x000D_
When uploading a file into an encrypted folder (in my case a 200MB zip archive) the app crashes or just says an unknown problem occured while uploading (happens immediate)</t>
  </si>
  <si>
    <t>Anuken-Mindustry-6221</t>
  </si>
  <si>
    <t>UI misplacement</t>
  </si>
  <si>
    <t xml:space="preserve">  Platform  :  Android Windows _x000D_
_x000D_
  Build  :  v133 _x000D_
_x000D_
  Issue  :  UI misplacement _x000D_
_x000D_
  Steps to reproduce  :_x000D_
  I run the following code _x000D_
   js_x000D_
let dialog   new BaseDialog(  )_x000D_
dialog cont add(      )    This is the key _x000D_
dialog addCloseButton()_x000D_
dialog show()_x000D_
   _x000D_
  Here are the result _x000D_
  image (https:  user images githubusercontent com 78016895 138556317 176409c6 1136 4399 b77a d3e8b162f0db png)_x000D_
  image (https:  user images githubusercontent com 78016895 138556280 570e22ab 1692 4bc0 89df ed783cb289fa png)_x000D_
_x000D_
_x000D_
  Link(s) to mod(s) used  :  Vars enableConsole   true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</si>
  <si>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TeamNewPipe-NewPipe-7301</t>
  </si>
  <si>
    <t>Option full screen when rotation off</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</si>
  <si>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Turn off rotation screen_x000D_
2  Start any video_x000D_
3  Full screen option in video doesn t appear_x000D_
4  Turn on rotation screen _x000D_
5  Full screen option in video appears_x000D_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_x000D_
If rotation is turned off  full screen option in videos aren t showing _x000D_
_x000D_
_x000D_
    Expected behavior_x000D_
         _x000D_
_x000D_
Full screen option shows always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youtu be uFICrFshmhg_x000D_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10 0  realme UI 1 0_x000D_
   Device model: Realme x3_x000D_
</t>
  </si>
  <si>
    <t>cgeo-cgeo-11959</t>
  </si>
  <si>
    <t>Crash when trying to open GPX with cgeo</t>
  </si>
  <si>
    <t xml:space="preserve">    Describe your problem 
Current nightly crashes when I try to open a GPX from my file explorer (in order to import the caches) _x000D_
    How to reproduce 
  Have a GPX or zipped GPX on your file system_x000D_
  Use file explorer to tap the file and select to open with cgeo_x000D_
    Actual result after these steps 
App crashes and starts up again on dashboard  no import action
    Expected result after these steps 
Show list selection to select list to import the GPX
    Reproducible
Yes
    c:geo Version
2021 10 23 NB1
    System information
   text
Samsung Galaxy Tab S4_x000D_
Android 10
    Additional Information
   _x000D_
0 23 11:15:03 844  9947  9947 E AndroidRuntime: FATAL EXCEPTION: main_x000D_
10 23 11:15:03 844  9947  9947 E AndroidRuntime: Process: cgeo geocaching  PID: 9947_x000D_
10 23 11:15:03 844  9947  9947 E AndroidRuntime: java lang RuntimeException: Unable to start activity ComponentInfo cgeo geocaching cgeo geocaching CacheListActivity : java lang NullPointerException: Attempt to invoke virtual method  java lang String android os Bundle getString(java lang String)  on a null object reference_x000D_
10 23 11:15:03 844  9947  9947 E AndroidRuntime: 	at android app ActivityThread performLaunchActivity(ActivityThread java:3623)_x000D_
10 23 11:15:03 844  9947  9947 E AndroidRuntime: 	at android app ActivityThread handleLaunchActivity(ActivityThread java:3775)_x000D_
10 23 11:15:03 844  9947  9947 E AndroidRuntime: 	at android app servertransaction LaunchActivityItem execute(LaunchActivityItem java:83)_x000D_
10 23 11:15:03 844  9947  9947 E AndroidRuntime: 	at android app servertransaction TransactionExecutor executeCallbacks(TransactionExecutor java:135)_x000D_
10 23 11:15:03 844  9947  9947 E AndroidRuntime: 	at android app servertransaction TransactionExecutor execute(TransactionExecutor java:95)_x000D_
10 23 11:15:03 844  9947  9947 E AndroidRuntime: 	at android app ActivityThread H handleMessage(ActivityThread java:2261)_x000D_
10 23 11:15:03 844  9947  9947 E AndroidRuntime: 	at android os Handler dispatchMessage(Handler java:107)_x000D_
10 23 11:15:03 844  9947  9947 E AndroidRuntime: 	at android os Looper loop(Looper java:237)_x000D_
10 23 11:15:03 844  9947  9947 E AndroidRuntime: 	at android app ActivityThread main(ActivityThread java:8107)_x000D_
10 23 11:15:03 844  9947  9947 E AndroidRuntime: 	at java lang reflect Method invoke(Native Method)_x000D_
10 23 11:15:03 844  9947  9947 E AndroidRuntime: 	at com android internal os RuntimeInit MethodAndArgsCaller run(RuntimeInit java:496)_x000D_
10 23 11:15:03 844  9947  9947 E AndroidRuntime: 	at com android internal os ZygoteInit main(ZygoteInit java:1100)_x000D_
10 23 11:15:03 844  9947  9947 E AndroidRuntime: Caused by: java lang NullPointerException: Attempt to invoke virtual method  java lang String android os Bundle getString(java lang String)  on a null object reference_x000D_
10 23 11:15:03 844  9947  9947 E AndroidRuntime: 	at cgeo geocaching CacheListActivity onCreate(CacheListActivity java:592)_x000D_
10 23 11:15:03 844  9947  9947 E AndroidRuntime: 	at android app Activity performCreate(Activity java:7957)_x000D_
10 23 11:15:03 844  9947  9947 E AndroidRuntime: 	at android app Activity performCreate(Activity java:7946)_x000D_
10 23 11:15:03 844  9947  9947 E AndroidRuntime: 	at android app Instrumentation callActivityOnCreate(Instrumentation java:1307)_x000D_
10 23 11:15:03 844  9947  9947 E AndroidRuntime: 	at android app ActivityThread performLaunchActivity(ActivityThread java:3598)_x000D_
10 23 11:15:03 844  9947  9947 E AndroidRuntime: 	    11 more_x000D_
10 23 11:15:03 844  9947  9947 W cgeo    :  main  UncaughtException_x000D_
10 23 11:15:03 844  9947  9947 W cgeo    : java lang RuntimeException: Unable to start activity ComponentInfo cgeo geocaching cgeo geocaching CacheListActivity : java lang NullPointerException: Attempt to invoke virtual method  java lang String android os Bundle getString(java lang String)  on a null object reference_x000D_
10 23 11:15:03 844  9947  9947 W cgeo    : 	at android app ActivityThread performLaunchActivity(ActivityThread java:3623)_x000D_
10 23 11:15:03 844  9947  9947 W cgeo    : 	at android app ActivityThread handleLaunchActivity(ActivityThread java:3775)_x000D_
10 23 11:15:03 844  9947  9947 W cgeo    : 	at android app servertransaction LaunchActivityItem execute(LaunchActivityItem java:83)_x000D_
10 23 11:15:03 844  9947  9947 W cgeo    : 	at android app servertransaction TransactionExecutor executeCallbacks(TransactionExecutor java:135)_x000D_
10 23 11:15:03 844  9947  9947 W cgeo    : 	at android app servertransaction TransactionExecutor execute(TransactionExecutor java:95)_x000D_
10 23 11:15:03 844  9947  9947 W cgeo    : 	at android app ActivityThread H handleMessage(ActivityThread java:2261)_x000D_
10 23 11:15:03 844  9947  9947 W cgeo    : 	at android os Handler dispatchMessage(Handler java:107)_x000D_
10 23 11:15:03 844  9947  9947 W cgeo    : 	at android os Looper loop(Looper java:237)_x000D_
10 23 11:15:03 844  9947  9947 W cgeo    : 	at android app ActivityThread main(ActivityThread java:8107)_x000D_
10 23 11:15:03 844  9947  9947 W cgeo    : 	at java lang reflect Method invoke(Native Method)_x000D_
10 23 11:15:03 844  9947  9947 W cgeo    : 	at com android internal os RuntimeInit MethodAndArgsCaller run(RuntimeInit java:496)_x000D_
10 23 11:15:03 844  9947  9947 W cgeo    : 	at com android internal os ZygoteInit main(ZygoteInit java:1100)_x000D_
10 23 11:15:03 844  9947  9947 W cgeo    : Caused by: java lang NullPointerException: Attempt to invoke virtual method  java lang String android os Bundle getString(java lang String)  on a null object reference_x000D_
10 23 11:15:03 844  9947  9947 W cgeo    : 	at cgeo geocaching CacheListActivity onCreate(CacheListActivity java:592)_x000D_
10 23 11:15:03 844  9947  9947 W cgeo    : 	at android app Activity performCreate(Activity java:7957)_x000D_
10 23 11:15:03 844  9947  9947 W cgeo    : 	at android app Activity performCreate(Activity java:7946)_x000D_
10 23 11:15:03 844  9947  9947 W cgeo    : 	at android app Instrumentation callActivityOnCreate(Instrumentation java:1307)_x000D_
10 23 11:15:03 844  9947  9947 W cgeo    : 	at android app ActivityThread performLaunchActivity(ActivityThread java:3598)_x000D_
10 23 11:15:03 844  9947  9947 W cgeo    : 	    11 more_x000D_
   </t>
  </si>
  <si>
    <t>TeamNewPipe-NewPipe-7299</t>
  </si>
  <si>
    <t>Relaucnh the app will not show dowloading videos that is paused or fail to download in Downloads 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</si>
  <si>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Download list won t show Youtube videos that didn t downloaded completely or Youtube videos that was have pause download AFTER you relaunch the app  You are only show a list of finished download  making tracking unfinished download videos troublesome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9_x000D_
   Device model: Xiaomi M1 A1_x000D_
</t>
  </si>
  <si>
    <t>TeamNewPipe-NewPipe-7298</t>
  </si>
  <si>
    <t>Resuming from saved position regression(downgraded to a previous version and it started working again)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</si>
  <si>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Tap on a video_x000D_
2 Watch it to a certain point_x000D_
3 tap on the x button in top left of screen(in portrait mode)_x000D_
4 tap on the video again_x000D_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Video starts from beginning_x000D_
_x000D_
_x000D_
    Expected behavior_x000D_
     Tell us what you expect to happen     _x000D_
Video resumes from point I watched to_x000D_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LineageOS 18 1 20210902 microG bonito_x000D_
   Device model: Google Pixel 3A XL_x000D_
</t>
  </si>
  <si>
    <t>MuntashirAkon-AppManager-606</t>
  </si>
  <si>
    <t>AppManager works with Magisk but not with Phh SuperUser</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</si>
  <si>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AppManager does not work in root mode with Phh SuperUser_x000D_
_x000D_
  To Reproduce  _x000D_
Steps to reproduce the behaviour:_x000D_
1  Install AM_x000D_
2  Make sure Phh SuperUser is enabled_x000D_
3  Open AM  grant root access_x000D_
4  It keeps showing  Initializing   for a long time_x000D_
5  Sometimes it crashes  others it shows an empty list  others it shows only backed up app  and a few times it offers to open in non root mode _x000D_
_x000D_
  Expected behavior  _x000D_
AM should open in root mode and display installed apps_x000D_
_x000D_
  Screenshots  _x000D_
N A_x000D_
_x000D_
  Crash logs  _x000D_
Filtering logcat for  appmanager  does not seem to show an error most of the time  but once I caught this:_x000D_
_x000D_
   _x000D_
10 22 18:12:53 627   981   981 E WifiHAL : enter wifi get link stats_x000D_
10 22 18:12:56 157  1561  9129 E ActivityManager: Sending non protected broadcast io github muntashirakon AppManager action SERVER STOPED from system uid 0 pkg null_x000D_
10 22 18:12:56 157  1561  9129 E ActivityManager: java lang Throwable_x000D_
10 22 18:12:56 157  1561  9129 E ActivityManager: 	at com android server am ActivityManagerService checkBroadcastFromSystem(ActivityManagerService java:15941)_x000D_
10 22 18:12:56 157  1561  9129 E ActivityManager: 	at com android server am ActivityManagerService broadcastIntentLocked(ActivityManagerService java:16618)_x000D_
10 22 18:12:56 157  1561  9129 E ActivityManager: 	at com android server am ActivityManagerService broadcastIntentLocked(ActivityManagerService java:15954)_x000D_
10 22 18:12:56 157  1561  9129 E ActivityManager: 	at com android server am ActivityManagerService broadcastIntentWithFeature(ActivityManagerService java:16774)_x000D_
10 22 18:12:56 157  1561  9129 E ActivityManager: 	at android app IActivityManager Stub onTransact(IActivityManager java:2294)_x000D_
10 22 18:12:56 157  1561  9129 E ActivityManager: 	at com android server am ActivityManagerService onTransact(ActivityManagerService java:2888)_x000D_
10 22 18:12:56 157  1561  9129 E ActivityManager: 	at android os Binder execTransactInternal(Binder java:1154)_x000D_
10 22 18:12:56 157  1561  9129 E ActivityManager: 	at android os Binder execTransact(Binder java:1123)_x000D_
10 22 18:12:56 161  1561  1585 I DropBoxManagerService: add tag system server wtf isTagEnabled true flags 0x2_x000D_
   _x000D_
_x000D_
  Device info  _x000D_
   Device: Huawei FIG LX1_x000D_
   OS Version: Android 11 (cdDRom11  based on Phhusson Treble GSI)_x000D_
   App Manager Version: 2 6 4_x000D_
   Mode: root adb no root  problem happens in auto or root mode  of course_x000D_
_x000D_
  Additional context  _x000D_
I was using AppManager with Magisk v23 0 without issues  but I had to remove it because an app I use started to complain about it being installed  Other apps seem to work fine with the built in Phh SuperUser  but not AppManager  I tried to uninstall and install the app again  allow all permissions in settings  but it still refuses to work in root mode  _x000D_
Please feel free to ask for more logs _x000D_
Thank you for making AppManager </t>
  </si>
  <si>
    <t>cgeo-cgeo-11958</t>
  </si>
  <si>
    <t>Crash on opening the calculator dialog, if the plain-format has an incomplete formula</t>
  </si>
  <si>
    <t xml:space="preserve">    Describe your problem 
Crash on opening the calculator dialog  if the plain format has an incomplete formula
    How to reproduce 
Adding waypoint with plain formula  Variables will be filled later  so the formula contains at least one variable  which has no value set _x000D_
Saving the waypoint _x000D_
Then  whem gathering the value of the variable  opening the formula for the waypoint again 
    Actual result after these steps 
Calculator dialog does not open  crash of c:geo  list of waypoint is shown 
    Expected result after these steps 
Calculator dialog should open with the formula
    Reproducible
Yes
    c:geo Version
2021 10 11 RC
    System information
   text
          beginning of crash_x000D_
10 22 11:31:38 599  7778  7778 E AndroidRuntime: FATAL EXCEPTION: main_x000D_
10 22 11:31:38 599  7778  7778 E AndroidRuntime: Process: cgeo geocaching  PID: 7778_x000D_
10 22 11:31:38 599  7778  7778 E AndroidRuntime: cgeo geocaching location Geopoint ParseException: Cannot parse latitude_x000D_
10 22 11:31:38 599  7778  7778 E AndroidRuntime: 	at cgeo geocaching location GeopointParser parseLatitude(GeopointParser java:660)_x000D_
10 22 11:31:38 599  7778  7778 E AndroidRuntime: 	at cgeo geocaching location Geopoint  init (Geopoint java:92)_x000D_
10 22 11:31:38 599  7778  7778 E AndroidRuntime: 	at cgeo geocaching ui dialog CoordinatesCalculateDialog onCreate(CoordinatesCalculateDialog java:332)_x000D_
10 22 11:31:38 599  7778  7778 E AndroidRuntime: 	at androidx fragment app Fragment performCreate(Fragment java:2949)_x000D_
10 22 11:31:38 599  7778  7778 E AndroidRuntime: 	at androidx fragment app FragmentStateManager create(FragmentStateManager java:475)
    Additional Information
Parsing Geopoint from string can throw an exception  if the strings does not represent valid coordinates  so a try block should be placed around it</t>
  </si>
  <si>
    <t>eidottermihi-rpicheck-221</t>
  </si>
  <si>
    <t>When reloading it crashes was working before but now even when I clear data uninstall it has same issue 
Logs on pi shows 
23:58:15 309  AsyncTask  1  INFO  d e rpicheck ssh impl RaspiQuery   Disconnecting from host 192 168 1 130 
 But ssh is still connected and working on termux so not sure whats the cause</t>
  </si>
  <si>
    <t>cgeo-cgeo-11951</t>
  </si>
  <si>
    <t>Crashing on startup with API21-23</t>
  </si>
  <si>
    <t xml:space="preserve">    Describe your problem 
Trying to run current  master  on an Android 5  device (tested my old ZTE Android phone and could also reproduce in API 21 emulator) it crashes on startup _x000D_
_x000D_
Logcat from emulator:_x000D_
   _x000D_
2021 10 22 14:21:25 728 3949 3949 cgeo geocaching W cgeo:  main  UncaughtException_x000D_
    java lang NoClassDefFoundError: org apache commons lang3    Lambda Validate XJJZURDO20sZXXyZMfTRRv13t2c_x000D_
        at org apache commons lang3 Validate notNull(Validate java:225)_x000D_
        at org apache commons lang3 time FormatCache getInstance(FormatCache java:72)_x000D_
        at org apache commons lang3 time FastDateFormat getInstance(FastDateFormat java:133)_x000D_
        at cgeo geocaching LooperLogger  clinit (LooperLogger java:19)_x000D_
        at cgeo geocaching CgeoApplication onCreate(CgeoApplication java:69)_x000D_
        at android app Instrumentation callApplicationOnCreate(Instrumentation java:1011)_x000D_
        at android app ActivityThread handleBindApplication(ActivityThread java:4518)_x000D_
        at android app ActivityThread access 1500(ActivityThread java:144)_x000D_
        at android app ActivityThread H handleMessage(ActivityThread java:1339)_x000D_
        at android os Handler dispatchMessage(Handler java:102)_x000D_
        at android os Looper loop(Looper java:135)_x000D_
        at android app ActivityThread main(ActivityThread java:5221)_x000D_
        at java lang reflect Method invoke(Native Method)_x000D_
        at java lang reflect Method invoke(Method java:372)_x000D_
        at com android internal os ZygoteInit MethodAndArgsCaller run(ZygoteInit java:899)_x000D_
        at com android internal os ZygoteInit main(ZygoteInit java:694)_x000D_
2021 10 22 14:21:25 728 3949 3949 cgeo geocaching E AndroidRuntime: FATAL EXCEPTION: main_x000D_
    Process: cgeo geocaching  PID: 3949_x000D_
    java lang NoClassDefFoundError: org apache commons lang3    Lambda Validate XJJZURDO20sZXXyZMfTRRv13t2c_x000D_
        at org apache commons lang3 Validate notNull(Validate java:225)_x000D_
        at org apache commons lang3 time FormatCache getInstance(FormatCache java:72)_x000D_
        at org apache commons lang3 time FastDateFormat getInstance(FastDateFormat java:133)_x000D_
        at cgeo geocaching LooperLogger  clinit (LooperLogger java:19)_x000D_
        at cgeo geocaching CgeoApplication onCreate(CgeoApplication java:69)_x000D_
        at android app Instrumentation callApplicationOnCreate(Instrumentation java:1011)_x000D_
        at android app ActivityThread handleBindApplication(ActivityThread java:4518)_x000D_
        at android app ActivityThread access 1500(ActivityThread java:144)_x000D_
        at android app ActivityThread H handleMessage(ActivityThread java:1339)_x000D_
        at android os Handler dispatchMessage(Handler java:102)_x000D_
        at android os Looper loop(Looper java:135)_x000D_
        at android app ActivityThread main(ActivityThread java:5221)_x000D_
        at java lang reflect Method invoke(Native Method)_x000D_
        at java lang reflect Method invoke(Method java:372)_x000D_
        at com android internal os ZygoteInit MethodAndArgsCaller run(ZygoteInit java:899)_x000D_
        at com android internal os ZygoteInit main(ZygoteInit java:694)_x000D_
    How to reproduce 
  Install current  master  on API21 (Android 5) device or emulator_x000D_
  Start c:geo_x000D_
    Actual result after these steps 
Crash
    Expected result after these steps 
Normal operation
    Reproducible
Yes
    c:geo Version
master of 22 10 2021
    System information
 No response 
    Additional Information
 No response </t>
  </si>
  <si>
    <t>norkator-apcupsd-monitor-69</t>
  </si>
  <si>
    <t>Add missing background colour in theme</t>
  </si>
  <si>
    <t xml:space="preserve">App crashed with light theme because of this _x000D_
_x000D_
  image (https:  user images githubusercontent com 55850510 138515801 8c477178 d279 4e88 b72f 361c42d1d36d png)_x000D_
</t>
  </si>
  <si>
    <t>inaturalist-iNaturalistAndroid-1136</t>
  </si>
  <si>
    <t>ConcurrentModificationException in INaturalistService.syncObservationFields</t>
  </si>
  <si>
    <t xml:space="preserve">https:  console firebase google com u 1 project inaturalist ios crashlytics app android:org inaturalist android issues c1621a3d73487e290850852ea2b49ec9_x000D_
_x000D_
   _x000D_
Fatal Exception: java util ConcurrentModificationException_x000D_
       at java util LinkedList LinkIterator next(LinkedList java:124)_x000D_
       at java util LinkedList removeOneOccurrence(LinkedList java:835)_x000D_
       at java util LinkedList removeFirstOccurrenceImpl(LinkedList java:830)_x000D_
       at java util LinkedList remove(LinkedList java:665)_x000D_
       at org inaturalist android TrackingCursor close(TrackingCursor java:27)_x000D_
       at android database CursorWrapper close(CursorWrapper java:50)_x000D_
       at android content ContentResolver CursorWrapperInner close(ContentResolver java:2604)_x000D_
       at org inaturalist android INaturalistService syncObservationFields(INaturalistService java:5603)_x000D_
       at org inaturalist android INaturalistService syncObservations(INaturalistService java:2338)_x000D_
   </t>
  </si>
  <si>
    <t>TeamNewPipe-NewPipe-7290</t>
  </si>
  <si>
    <t>can't connect on cellular, works on wifi</t>
  </si>
  <si>
    <t xml:space="preserve">    Checklist_x000D_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turn off wifi  use mobile data_x000D_
_x000D_
_x000D_
_x000D_
    Actual behavior_x000D_
     Tell us what happens with the steps given above     _x000D_
error connecting_x000D_
_x000D_
_x000D_
    Expected behavior_x000D_
     Tell us what you expect to happen     _x000D_
obvious_x000D_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_x000D_
   Exception_x000D_
    User Action:   requested stream_x000D_
    Request:   https:  www youtube com watch v Fw7BB7xSYbw_x000D_
    Content Country:   US_x000D_
    Content Language:   en US_x000D_
    App Language:   en US_x000D_
    Service:   YouTube_x000D_
    Version:   0 21 10_x000D_
    OS:   Linux Android 11   30_x000D_
 details  summary  b Crash log   b   summary  p _x000D_
_x000D_
   _x000D_
java io IOException: Unexpected response code for CONNECT: 504_x000D_
	at okhttp3 internal connection RealConnection createTunnel(RealConnection java:419)_x000D_
	at okhttp3 internal connection RealConnection connectTunnel(RealConnection java:220)_x000D_
	at okhttp3 internal connection RealConnection connect(RealConnection java:161)_x000D_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org schabi newpipe DownloaderImpl execute(DownloaderImpl java:233)_x000D_
	at org schabi newpipe extractor downloader Downloader post(Downloader java:131)_x000D_
	at org schabi newpipe extractor services youtube YoutubeParsingHelper getJsonPostResponse(YoutubeParsingHelper java:755)_x000D_
	at org schabi newpipe extractor services youtube extractors YoutubeStreamExtractor onFetchPage(YoutubeStreamExtractor java:716)_x000D_
	at org schabi newpipe extractor Extractor fetchPage(Extractor java:54)_x000D_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details _x000D_
 hr _x000D_
_x000D_
_x000D_
_x000D_
     Please fill this section if you did not provide a log generated by NewPipe    _x000D_
_x000D_
    Device info_x000D_
_x000D_
   Android version Custom ROM version:_x000D_
   Device model:_x000D_
</t>
  </si>
  <si>
    <t>material-components-material-components-android-2438</t>
  </si>
  <si>
    <t>[TextInputLayout] Crash when set app:endIconMode="dropdown_menu"</t>
  </si>
  <si>
    <t xml:space="preserve">  Description:   I just want to show dropdown menu icon  so I set  app:endIconMode  dropdown menu   but I don t want to use  AutoCompleteTextView   Just set icon should not crash  Instead of dropdown  we show BottomSheetDialogFragment _x000D_
_x000D_
  Expected behavior:   Set dropdown icon and allow another inner layout than  AutoCompleteTextView _x000D_
_x000D_
  Source code:   _x000D_
   xml_x000D_
 style name  TextInputLayout  parent  Widget MaterialComponents TextInputLayout OutlinedBox    _x000D_
_x000D_
 style name  TextInputLayout ExpandedHintPlaceholder  _x000D_
     item name  hintEnabled  true  item _x000D_
     item name  expandedHintEnabled  false  item _x000D_
  style _x000D_
_x000D_
 com google android material textfield TextInputLayout_x000D_
    style   style TextInputLayout ExpandedHintPlaceholder _x000D_
    android:hint  Hint _x000D_
    app:endIconMode  dropdown menu _x000D_
    app:errorEnabled    viewState enableErrorShow  _x000D_
    app:errorText    viewState textError  _x000D_
    app:placeholderText  Placeholder  _x000D_
    _x000D_
     com google android material textfield TextInputEditText_x000D_
        style   style TextInputEditText _x000D_
        android:enabled    viewState isInputEnabled  _x000D_
        android:focusableInTouchMode  false _x000D_
        android:inputType  none _x000D_
        android:onClick    ()    viewModel onItemClick()  _x000D_
        android:text     viewState itemText    _x000D_
    _x000D_
  com google android material textfield TextInputLayout _x000D_
   _x000D_
_x000D_
  Android API version:   any_x000D_
_x000D_
  Material Library version:   com google android material:material:1 4 0_x000D_
_x000D_
  Device:   any</t>
  </si>
  <si>
    <t>MuntashirAkon-AppManager-605</t>
  </si>
  <si>
    <t>cant uninstall this app</t>
  </si>
  <si>
    <t xml:space="preserve">I have a Samsung S21 Ultra 5G with Android 11   no root  original state  The app manager v2 6 4 was installed from F Droid _x000D_
_x000D_
I can not uninstall the app manager  After some trys the package installer will crash  Other apps can removed without any problems </t>
  </si>
  <si>
    <t>voxeet-voxeet-uxkit-android-33</t>
  </si>
  <si>
    <t xml:space="preserve">Hi  just now I got a crash when crating a conference _x000D_
Please do me a favor _x000D_
Thank you very much _x000D_
Here is the log:  error log (https:  app hk2021 s3 ap east 1 amazonaws com 1 log)_x000D_
</t>
  </si>
  <si>
    <t>Anuken-Mindustry-6200</t>
  </si>
  <si>
    <t>Sector 19 is a complete copy of sector Ruinous Shores</t>
  </si>
  <si>
    <t xml:space="preserve">  Platform  :  Windows _x000D_
_x000D_
  Build  :  steam build 133 _x000D_
_x000D_
  Issue  :  Sector 19 is complete copy of sector Ruinous Shores  and structures of defeated where marked as mine _x000D_
_x000D_
  Steps to reproduce  :  Just were capturing sectors _x000D_
_x000D_
  Link(s) to mod(s) used  :  i play without modifications _x000D_
_x000D_
  Save file  :  _x000D_
 sector19Bug zip (https:  github com Anuken Mindustry files 7383519 sector19Bug zip)_x000D_
 _x000D_
_x000D_
If you remove the line above without reading it properly and understanding what it means  I will reap your soul  Even if you re playing on someone s server  you can still save the game to a slot _x000D_
_x000D_
  (Crash) logs  :  no crash logs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</si>
  <si>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PojavLauncherTeam-PojavLauncher-2148</t>
  </si>
  <si>
    <t xml:space="preserve">    Describe the bug
Departure
    The log file and images videos
The file does not rush for chrome  I threw the file on Google disk here is the linkhttps:  drive google com file d 1FW89iNz2S64De7B3oLts6wFspF2Rn9Sh view usp drivesdk
    Steps To Reproduce
   markdown
I launch the launcher  I choose  the version is launched then instantly crashes
    Expected Behavior
    Platform
   markdown
  Device model: Dexp k18 32_x000D_
  CPU architecture: Xz_x000D_
  Android version: 9_x000D_
  PojavLauncher version: the last
    Anything else 
 No response </t>
  </si>
  <si>
    <t>PojavLauncherTeam-PojavLauncher-2147</t>
  </si>
  <si>
    <t>Microsoft login on quest not working</t>
  </si>
  <si>
    <t xml:space="preserve">    Describe the bug
when i press on microsoft login the program crashes
    The log file and images videos
 No response 
    Steps To Reproduce
   markdown
start pojav _x000D_
press on microsoft login
    Expected Behavior
login with microsoft acc
    Platform
   markdown
oculus quest 2
    Anything else 
 No response </t>
  </si>
  <si>
    <t>nextcloud-android-9120</t>
  </si>
  <si>
    <t>Crash when trying to view "Details" of txt file from within reading view</t>
  </si>
  <si>
    <t xml:space="preserve">    Steps to reproduce_x000D_
1  Tap on a  txt file to open it_x000D_
2  File opens in read only view_x000D_
3  Tap on burgermenu (3 dots on top right)    Tap on  Details     crash with report_x000D_
_x000D_
    Logs_x000D_
                       CAUSE OF ERROR                       _x000D_
java lang NullPointerException: Attempt to read from field  android widget TextView com owncloud android databinding TextFilePreviewBinding textPreview  on a null object reference_x000D_
	at com owncloud android ui preview PreviewTextFragment lambda performSearch 0 PreviewTextFragment(PreviewTextFragment java:154)_x000D_
	at com owncloud android ui preview    Lambda PreviewTextFragment G7P0DKoywov3LvjfehsajAMol U run(Unknown Source:4)_x000D_
	at android os Handler handleCallback(Handler java:883)_x000D_
	at android os Handler dispatchMessage(Handler java:100)_x000D_
	at android os Looper loop(Looper java:237)_x000D_
	at android app ActivityThread main(ActivityThread java:7948)_x000D_
	at java lang reflect Method invoke(Native Method)_x000D_
	at com android internal os RuntimeInit MethodAndArgsCaller run(RuntimeInit java:493)_x000D_
	at com android internal os ZygoteInit main(ZygoteInit java:1075)_x000D_
                       APP INFORMATION                       _x000D_
ID: com nextcloud client_x000D_
Version: 30170090_x000D_
Build flavor: gplay_x000D_
                       DEVICE INFORMATION                       _x000D_
Brand: samsung_x000D_
Device: j6lte_x000D_
Model: SM J600FN_x000D_
Id: QP1A 190711 020_x000D_
Product: j6ltexx_x000D_
                       FIRMWARE                       _x000D_
SDK: 29_x000D_
Release: 10_x000D_
Incremental: J600FNXXUACUH1_x000D_
</t>
  </si>
  <si>
    <t>TacoTheDank-Scoop-38</t>
  </si>
  <si>
    <t>Selecting grouped crashes doesn't count number of crashes in grouping</t>
  </si>
  <si>
    <t>(I ve expected the precise amount of crashes or  Delete 1 app s crashes   )</t>
  </si>
  <si>
    <t>TacoTheDank-Scoop-37</t>
  </si>
  <si>
    <t>Weird order of crashes</t>
  </si>
  <si>
    <t xml:space="preserve">Prerequisites:_x000D_
Settings  Combine same apps  and  Combine same crashes  are both activated _x000D_
_x000D_
Whenever crashes are listed from several dates  there s a weird thing happening  that looks like the topmost crash is restacked to the very bottom in that app s group (or a duplicate is made and restacked to bottom  Can t tell yet because of  36) </t>
  </si>
  <si>
    <t>TeamNewPipe-NewPipe-7283</t>
  </si>
  <si>
    <t>Downloaded Videos Do Not Finish Play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</si>
  <si>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download issues with YouTube_x000D_
_x000D_
download video and then to play on PC_x000D_
one video showed 1:20:34  played about 5m and quit  some videos never downloaded but showed progress_x000D_
_x000D_
     If you can t cause the bug to show up again reliably (and hence don t have a proper set of steps to give us)  please still try to give as many details as possible on how you think you encountered the bug     _x000D_
_x000D_
not all videos are affected  but about 75  are affected_x000D_
_x000D_
_x000D_
    Actual behavior_x000D_
     Tell us what happens with the steps given above     _x000D_
_x000D_
videos either did not download or do not play completely since the latest update_x000D_
_x000D_
    Expected behavior_x000D_
     Tell us what you expect to happen     _x000D_
_x000D_
video download and play_x000D_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 Android 10  Moto G7_x000D_
</t>
  </si>
  <si>
    <t>TacoTheDank-Scoop-36</t>
  </si>
  <si>
    <t>Same crashes of a unique app are not grouped</t>
  </si>
  <si>
    <t xml:space="preserve">    although the related setting is activated _x000D_
Or let s say  very much looks like    very likely that      cause I ve not diffed the 38 crashes of current Floris Board beta04  god beware   )_x000D_
(Edit: typo)_x000D_
_x000D_
Scoop v2 3 1 (F Droid)_x000D_
Android 6 0 1 (with GMS upd  to 21 18 16  cn M sdk 23)_x000D_
Webview 94 0 4606 71_x000D_
Motorola Moto G4_x000D_
device not rooted_x000D_
_x000D_
_x000D_
Not to forget: _x000D_
_x000D_
Huge thanks for making this app available   Makes it soo much easier each time  </t>
  </si>
  <si>
    <t>Anuken-Mindustry-6196</t>
  </si>
  <si>
    <t>Mindustry Crashes when joining a server.</t>
  </si>
  <si>
    <t xml:space="preserve">  Platform  :  Linux _x000D_
_x000D_
  Build  :  Pre Alpha 133 _x000D_
_x000D_
  Issue  :  Mindustry Crashes when trying to join a server  _x000D_
_x000D_
  Steps to reproduce  :  Just click on Join button and then select the Server :  IO Attack  _x000D_
_x000D_
  Link(s) to mod(s) used  :  Only 2 Schematic mods were used   1  https:  github com Slotterleet Basic Schematics   2  https:  github com pixecoz MindustrySchematics _x000D_
_x000D_
If you remove the line above without reading it properly and understanding what it means  I will reap your soul  Even if you re playing on someone s server  you can still save the game to a slot  (Well its a server  I can get the file  also I cant join the server so I cant save to a slot too   as mentioned below   don t reap my soul)_x000D_
_x000D_
  (Crash) logs  :  Well: _x000D_
_x000D_
   _x000D_
Mindustry has crashed  How unfortunate _x000D_
Version: pre alpha build 133_x000D_
OS: Linux x64 (amd64)_x000D_
Java Version: 16 0 2_x000D_
3 Mods: basic schematics:1  schematics pack:8  revision:12 3_x000D_
_x000D_
java lang NullPointerException: Cannot invoke  mindustry world modules ItemModule total()  because  this payload build items  is null_x000D_
	at mindustry world blocks payloads PayloadLoader PayloadLoaderBuild shouldExport(PayloadLoader java:154)_x000D_
	at mindustry world blocks payloads PayloadLoader PayloadLoaderBuild updateTile(PayloadLoader java:106)_x000D_
	at mindustry gen Building update(Building java:1197)_x000D_
	at mindustry entities EntityGroup update(EntityGroup java:59)_x000D_
	at mindustry gen Groups update(Groups java:71)_x000D_
	at mindustry core Logic update(Logic java:413)_x000D_
	at arc ApplicationCore update(ApplicationCore java:37)_x000D_
	at mindustry ClientLauncher update(ClientLauncher java:177)_x000D_
	at arc backend sdl SdlApplication listen(SdlApplication java:166)_x000D_
	at arc backend sdl SdlApplication loop(SdlApplication java:154)_x000D_
	at arc backend sdl SdlApplication  init (SdlApplication java:45)_x000D_
	at mindustry desktop DesktopLauncher main(DesktopLauncher java:39)_x000D_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</si>
  <si>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TeamNewPipe-NewPipe-7278</t>
  </si>
  <si>
    <t>Content unavailable</t>
  </si>
  <si>
    <t>Anuken-Mindustry-6188</t>
  </si>
  <si>
    <t>Liquid container in payload loader crashes the game</t>
  </si>
  <si>
    <t xml:space="preserve">  Platform  :  Android _x000D_
_x000D_
  Build  :  133 _x000D_
_x000D_
  Issue  :  Creating 2x2 liquid container and putting it into payload loader crashes game immediately  Something with calling function to search for block item capacity  but on a null object  More info in crash log below  _x000D_
_x000D_
  Steps to reproduce  :  Easiest way is to use sandbox block to make container (liquid) and put it directly to loader  or with help of payload conveyors  _x000D_
_x000D_
  Link(s) to mod(s) used  :  All mods are listed in crash log  although none of which should have any impact on payload mechanics  _x000D_
_x000D_
  Save file  : _x000D_
 water broke zip (https:  github com Anuken Mindustry files 7364542 water broke zip)_x000D_
_x000D_
_x000D_
If you remove the line above without reading it properly and understanding what it means  I will reap your soul  Even if you re playing on someone s server  you can still save the game to a slot _x000D_
_x000D_
  (Crash) logs  : _x000D_
crash 1634550451374 txt_x000D_
_x000D_
Mindustry has crashed  How unfortunate _x000D_
Version: pre alpha build 133_x000D_
OS: Linux xnull (aarch64)_x000D_
Java Version: 0_x000D_
11 Mods: ldb:1 3 1  override lib:1 0 1  pictologic:1 5 7  ui lib:2 16 6  unit factory:2 4 2  betamindy:0 9  braindustry:1 4 2  dev mode:2 3 2  roomba:1 1  rtfm:2 14 8  time control:0 2_x000D_
_x000D_
  NullPointer:  Attempt to invoke virtual method  int mindustry world modules ItemModule total()  on a null object reference _x000D_
PayloadLoader PayloadLoaderBuild shouldExport: 154_x000D_
PayloadLoader PayloadLoaderBuild updateTile: 106_x000D_
Building update: 1180_x000D_
EntityGroup update: 59_x000D_
Groups update: 71_x000D_
Logic update: 413_x000D_
ApplicationCore update: 37_x000D_
ClientLauncher update: 177_x000D_
AndroidGraphics onDrawFrame: 374_x000D_
GLSurfaceView GLThread guardedRun: 1581_x000D_
GLSurfaceView GLThread run: 1280_x000D_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</si>
  <si>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hzi-braunschweig-SORMAS-Project-6994</t>
  </si>
  <si>
    <t>Android app crashes for non-numerical input in immunization / number of doses</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</si>
  <si>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Android app crashes upon entering a non numerical character in Immunization    number of doses _x000D_
_x000D_
    Steps to Reproduce_x000D_
     Optional  please add more steps if necessary    _x000D_
1  In the Android app  go to Immunization tab_x000D_
2  select vaccination as means of immunization_x000D_
3  insert a non numerical character in the number of doses field_x000D_
_x000D_
    Expected Behavior_x000D_
     Optional    _x000D_
_x000D_
    Screenshots_x000D_
     Optional    _x000D_
_x000D_
    System Details_x000D_
     Mandatory  you only have to specify the Server URL if the error appeared on a publicly available test server    _x000D_
  Device:_x000D_
  SORMAS version: 1 65 0 SNAPSHOT_x000D_
  Android version Browser:_x000D_
  Server URL:_x000D_
  User Role:_x000D_
_x000D_
    Additional Information_x000D_
     Optional    _x000D_
</t>
  </si>
  <si>
    <t>LSPosed-LSPosed-1307</t>
  </si>
  <si>
    <t>[Bug] module disabled after abnormal softreboot</t>
  </si>
  <si>
    <t xml:space="preserve">    Steps to reproduce     
after abnormal softreboot (not normal user softreboot) lsposed shows as active and also modules but actually nothing works  _x000D_
my device is a poco F3 on dot os 5 2 (Android 11) but I remember the same exact issue happened to me on my old phone arrow os (Android 11  mi 10 Lite and EdXposed) _x000D_
this happened to me twice in the last 3 days (while disabling some bloatware that caused the abnormal softreboot)  _x000D_
the first time it was late at night and I did not have time to do some test so I restored my full twrp backup (hopefully ) _x000D_
today happened again and I had some time to spare  I read on xda that this may sometimes happen and removing both Riru and lsposed from Magisk and then rebooting and reinstalling them is supposed to fix this flaw  _x000D_
well for me it did not work at all  I even wiped dalvik and system cache from TWRP without success  _x000D_
so as I last resort I restored my trwrp backup but I first tried just restoring super (system) wich did not fixed the problem  then I just restored data which did fixed the issue hopefully  _x000D_
can please someone give some advice or some hints for next time is gonna happen to solve this without restoring twrp data (i mquite sure that some just some files  permission get currupted) backup _x000D_
sorry for such a long bug report and thanks for the help  _x000D_
    Expected behaviour     
after the abnormal softreboot modules should work normally 
    Actual behaviour     
both lsposed and modules show as active but they won t work at all 
    Xposed Module List Xposed     
   shell
xposed edge pro_x000D_
Pok mon go
    Magisk Module List Magisk     
   shell
busybox_x000D_
Riru_x000D_
lsposed
    LSPosed version LSPosed   
1 6  2
    Android version     
11
    Magisk version Magisk   
23
    Riru version Riru   
26 1  2
    CI Version CI   
   X  I am using latest CI version of LSPosed         CI   
    Logs   
log:_x000D_
    part 1 start    _x000D_
  1970 06 13T12:49:33 022        0:   582:   582 F libc              Fatal signal 6 (SIGABRT)  code  1 (SI QUEUE) in tid 582 (init)  pid 582 (init)_x000D_
  1970 06 13T12:49:33 032        0:   582:   582 F libc              crash dump helper failed to exec_x000D_
  2021 10 18T04:39:48 976        0:   734:   734 D AndroidRuntime           START com android internal os RuntimeInit uid 0       _x000D_
  2021 10 18T04:39:49 004        0:   734:   734 I AndroidRuntime    Using default boot image_x000D_
  2021 10 18T04:39:49 004        0:   734:   734 I AndroidRuntime    Leaving lock profiling enabled_x000D_
  2021 10 18T04:39:49 213        0:   748:   748 I Riru64            Riru v26 1 3 (513) in zygote64_x000D_
  2021 10 18T04:39:49 213        0:   748:   748 I Riru64            Android 11 (api 30  preview api 0)_x000D_
  2021 10 18T04:39:49 213        0:   748:   748 W Riru64            retrying to connect rirud in 1s_x000D_
  2021 10 18T04:39:49 268        0:   734:   734 D lspd              Time zone APEX ICU file found:  apex com android tzdata etc icu icu tzdata dat_x000D_
  2021 10 18T04:39:49 272        0:   734:   734 D lspd              I18n APEX ICU file found:  apex com android i18n etc icu icudt66l dat_x000D_
  2021 10 18T04:39:49 351        0:   749:   749 I Riru              Riru v26 1 3 (513) in zygote_x000D_
  2021 10 18T04:39:49 351        0:   749:   749 I Riru              Android 11 (api 30  preview api 0)_x000D_
  2021 10 18T04:39:49 351        0:   749:   749 W Riru              retrying to connect rirud in 1s_x000D_
  2021 10 18T04:39:49 435        0:   734:   734 W lspd              JNI RegisterNativeMethods: attempt to register 0 native methods for android media AudioAttributes_x000D_
  2021 10 18T04:39:49 464        0:   734:   734 D AndroidRuntime    Calling main entry org lsposed lspd core Main_x000D_
  2021 10 18T04:39:49 478        0:   730:   963 I RiruDaemon        Set socket context to u:r:zygote:s0_x000D_
  2021 10 18T04:39:49 478        0:   730:   963 D RiruDaemon        Start server_x000D_
  2021 10 18T04:39:49 480        0:   730:   963 D RiruDaemon        Accept_x000D_
  2021 10 18T04:39:49 518        0:   734:   734 I LSPosedService    starting server   _x000D_
  2021 10 18T04:39:49 518        0:   734:   734 I LSPosedService    version 1 6 2 (6152)_x000D_
  2021 10 18T04:39:49 524        0:   734:   981 I LSPosedLogcat     start running_x000D_
  2021 10 18T04:39:49 526        0:   734:   981 I LSPosedLogcat     New verbose log file:  data adb lspd log verbose 2021 10 18T04:39:49 524 txt_x000D_
  2021 10 18T04:39:49 528        0:   734:   981 I LSPosedLogcat     New modules log file:  data adb lspd log modules 2021 10 18T04:39:49 528 txt_x000D_
  2021 10 18T04:39:49 588        0:   734:   734 W SQLiteCompatibilityWalFlags   Cannot read global setting sqlite compatibility wal flags   Application state not available_x000D_
  2021 10 18T04:39:49 908        0:   730:   730 D RiruDaemon        u:object r:system file:s0  dev RVYx  magisk modules riru core lib64 libriru so_x000D_
  2021 10 18T04:39:49 908        0:   730:   730 D RiruDaemon        u:object r:system file:s0  dev RVYx  magisk modules riru core lib64 libriruhide so_x000D_
  2021 10 18T04:39:49 908        0:   730:   730 D RiruDaemon        u:object r:system file:s0  dev RVYx  magisk modules riru core lib64_x000D_
  2021 10 18T04:39:49 908        0:   730:   730 D RiruDaemon        u:object r:system file:s0  dev RVYx  magisk modules riru core_x000D_
  2021 10 18T04:39:49 908        0:   730:   730 D RiruDaemon        u:object r:system file:s0  dev RVYx  magisk modules riru core system lib64 libriruloader so_x000D_
  2021 10 18T04:39:49 908        0:   730:   730 D RiruDaemon        u:object r:system file:s0  dev RVYx  magisk modules riru core system lib64_x000D_
  2021 10 18T04:39:49 908        0:   730:   730 D RiruDaemon        u:object r:system file:s0  dev RVYx  magisk modules riru core system_x000D_
  2021 10 18T04:39:49 908        0:   730:   730 D RiruDaemon        u:object r:system file:s0  dev RVYx  magisk modules riru core_x000D_
  2021 10 18T04:39:49 908        0:   730:   730 D RiruDaemon        u:object r:system file:s0  dev RVYx  magisk modules riru core lib libriru so_x000D_
  2021 10 18T04:39:49 908        0:   730:   730 D RiruDaemon        u:object r:system file:s0  dev RVYx  magisk modules riru core lib libriruhide so_x000D_
  2021 10 18T04:39:49 908        0:   730:   730 D RiruDaemon        u:object r:system file:s0  dev RVYx  magisk modules riru core lib_x000D_
  2021 10 18T04:39:49 908        0:   730:   730 D RiruDaemon        u:object r:system file:s0  dev RVYx  magisk modules riru core_x000D_
  2021 10 18T04:39:49 908        0:   730:   730 D RiruDaemon        u:object r:system file:s0  dev RVYx  magisk modules riru core system lib libriruloader so_x000D_
  2021 10 18T04:39:49 908        0:   730:   730 D RiruDaemon        u:object r:system file:s0  dev RVYx  magisk modules riru core system lib_x000D_
  2021 10 18T04:39:49 908        0:   730:   730 D RiruDaemon        u:object r:system file:s0  dev RVYx  magisk modules riru core system_x000D_
  2021 10 18T04:39:49 908        0:   730:   730 D RiruDaemon        u:object r:system file:s0  dev RVYx  magisk modules riru core_x000D_
  2021 10 18T04:39:49 909        0:   730:   730 I RiruDaemon        Magisk version is 23000_x000D_
  2021 10 18T04:39:49 909        0:   730:   730 I RiruDaemon        Magisk tmpfs path is  dev RVYx_x000D_
  2021 10 18T04:39:49 909        0:   730:   730 I RiruDaemon        Original native bridge is 0_x000D_
  2021 10 18T04:39:49 909        0:   730:  1176 D RiruDaemon         dev RVYx  magisk modules riru lsposed is a Riru module_x000D_
  2021 10 18T04:39:49 909        0:   730:  1176 D RiruDaemon        u:object r:system file:s0  dev RVYx  magisk modules riru lsposed riru lib liblspd so_x000D_
  2021 10 18T04:39:49 909        0:   730:  1176 D RiruDaemon        Path for riru lsposed lspd is  dev RVYx  magisk modules riru lsposed riru lib liblspd so_x000D_
  2021 10 18T04:39:49 909        0:   730:  1176 D RiruDaemon        u:object r:system file:s0  dev RVYx  magisk modules riru lsposed riru lib_x000D_
  2021 10 18T04:39:49 909        0:   730:  1176 D RiruDaemon        u:object r:system file:s0  dev RVYx  magisk modules riru lsposed riru_x000D_
  2021 10 18T04:39:49 910        0:   730:  1176 D RiruDaemon        u:object r:system file:s0  dev RVYx  magisk modules riru lsposed_x000D_
  2021 10 18T04:39:49 912        0:   730:  1175 D RiruDaemon         dev RVYx  magisk modules riru lsposed is a Riru module_x000D_
  2021 10 18T04:39:49 912        0:   730:  1175 D RiruDaemon        u:object r:system file:s0  dev RVYx  magisk modules riru lsposed riru lib64 liblspd so_x000D_
  2021 10 18T04:39:49 912        0:   730:  1175 D RiruDaemon        Path for riru lsposed lspd is  dev RVYx  magisk modules riru lsposed riru lib64 liblspd so_x000D_
  2021 10 18T04:39:49 912        0:   730:  1175 D RiruDaemon        u:object r:system file:s0  dev RVYx  magisk modules riru lsposed riru lib64_x000D_
  2021 10 18T04:39:49 912        0:   730:  1175 D RiruDaemon        u:object r:system file:s0  dev RVYx  magisk modules riru lsposed riru_x000D_
  2021 10 18T04:39:49 912        0:   730:  1175 D RiruDaemon        u:object r:system file:s0  dev RVYx  magisk modules riru lsposed_x000D_
  2021 10 18T04:39:49 918        0:   730:   730 I RiruDaemon        Read dev random BPLuHCU_x000D_
  2021 10 18T04:39:49 918        0:   730:   730 I RiruDaemon        Dev random is BPLuHCU_x000D_
  2021 10 18T04:39:49 919        0:   730:   730 I RiruDaemon        clear ServiceManager_x000D_
  2021 10 18T04:39:49 923        0:   730:   730 I RiruDaemon        Service activity not found  wait 1s   _x000D_
  2021 10 18T04:39:49 945        0:   734:   734 I LSPosedService    service package is not started  wait 1s _x000D_
  2021 10 18T04:39:49 992        0:   714:  1277 I Magisk               late start service mode running_x000D_
  2021 10 18T04:39:49 992        0:   714:  1277 I Magisk              Running service d scripts_x000D_
  2021 10 18T04:39:49 992        0:   714:  1277 I Magisk              Running module service scripts_x000D_
  2021 10 18T04:39:49 992        0:   714:  1277 I Magisk            riru core: exec  service sh _x000D_
  2021 10 18T04:39:49 993        0:   714:  1277 I Magisk            riru lsposed: exec  service sh _x000D_
  2021 10 18T04:39:50 095     1000:  1369:  1369 F libc              Fatal signal 6 (SIGABRT)  code  1 (SI QUEUE) in tid 1369 (vendor lineage )  pid 1369 (vendor lineage )_x000D_
  2021 10 18T04:39:50 117     1000:  1404:  1404 F DEBUG                                                                            _x000D_
  2021 10 18T04:39:50 118     1000:  1404:  1404 F DEBUG             Build fingerprint:  google redfin redfin:11 RQ3A 210805 001 A1 7474174:user release keys _x000D_
  2021 10 18T04:39:50 118     1000:  1404:  1404 F DEBUG             Revision:  0 _x000D_
  2021 10 18T04:39:50 118     1000:  1404:  1404 F DEBUG             ABI:  arm64 _x000D_
  2021 10 18T04:39:50 118     1000:  1404:  1404 F DEBUG             Timestamp: 2021 10 18 04:39:50 0200_x000D_
  2021 10 18T04:39:50 118     1000:  1404:  1404 F DEBUG             pid: 1369  tid: 1369  name: vendor lineage        vendor bin hw vendor lineage livedisplay 2 0 service sdm    _x000D_
  2021 10 18T04:39:50 118     1000:  1404:  1404 F DEBUG             uid: 1000_x000D_
  2021 10 18T04:39:50 118     1000:  1404:  1404 F DEBUG             signal 6 (SIGABRT)  code  1 (SI QUEUE)  fault addr         _x000D_
  2021 10 18T04:39:50 118     1000:  1404:  1404 F DEBUG             Abort message:  PictureAdjustment backend not ready  exiting  _x000D_
  2021 10 18T04:39:50 118     1000:  1404:  1404 F DEBUG                 x0  0000000000000000  x1  0000000000000559  x2  0000000000000006  x3  0000007ffb7fd1e0_x000D_
  2021 10 18T04:39:50 118     1000:  1404:  1404 F DEBUG                 x4  0000000000000000  x5  0000000000000000  x6  0000000000000000  x7  7f7f7f7f7f7f7f7f_x000D_
  2021 10 18T04:39:50 118     1000:  1404:  1404 F DEBUG                 x8  00000000000000f0  x9  d299cc5cef88e731  x10 0000000000000000  x11 ffffffc0ffffffdf_x000D_
  2021 10 18T04:39:50 118     1000:  1404:  1404 F DEBUG                 x12 0000000000000001  x13 000000000000002e  x14 00057bcf768b22cb  x15 00000000341555ad_x000D_
  2021 10 18T04:39:50 118     1000:  1404:  1404 F DEBUG                 x16 0000007892b3fc80  x17 0000007892b21950  x18 000000789395c000  x19 0000000000000559_x000D_
  2021 10 18T04:39:50 118     1000:  1404:  1404 F DEBUG                 x20 0000000000000559  x21 00000000ffffffff  x22 00000078931e0000  x23 b4000077227e3698_x000D_
  2021 10 18T04:39:50 118     1000:  1404:  1404 F DEBUG                 x24 0000000000000000  x25 0000000000000000  x26 0000000000000000  x27 0000000000000000_x000D_
  2021 10 18T04:39:50 118     1000:  1404:  1404 F DEBUG                 x28 0000000000000000  x29 0000007ffb7fd260_x000D_
  2021 10 18T04:39:50 118     1000:  1404:  1404 F DEBUG                 lr  0000007892ad40ec  sp  0000007ffb7fd1c0  pc  0000007892ad4118  pst 0000000000001000_x000D_
  2021 10 18T04:39:50 120     1000:  1404:  1404 F DEBUG             backtrace:_x000D_
  2021 10 18T04:39:50 120     1000:  1404:  1404 F DEBUG                    00 pc 000000000004e118   apex com android runtime lib64 bionic libc so (abort 164) (BuildId: a05048b33ef27dbba9dab33905cfeddd)_x000D_
  2021 10 18T04:39:50 120     1000:  1404:  1404 F DEBUG                    01 pc 00000000000062a4   system lib64 liblog so (  android log default aborter 12) (BuildId: 2f6dd032979577b24e54978331f34763)_x000D_
  2021 10 18T04:39:50 120     1000:  1404:  1404 F DEBUG                    02 pc 0000000000012fa4   apex com android vndk v30 lib64 libbase so (android::base::LogMessage:: LogMessage() 320) (BuildId: a5b94a27fb193ef64c84417086861e55)_x000D_
  2021 10 18T04:39:50 120     1000:  1404:  1404 F DEBUG                    03 pc 0000000000005688   vendor bin hw vendor lineage livedisplay 2 0 service sdm (vendor::lineage::livedisplay::V2 0::sdm::PictureAdjustment::PictureAdjustment(std::  1::shared ptr vendor::lineage::livedisplay::V2 0::sdm::SDMController ) 240) (BuildId: 605ead4d562b19463bbc5297c9261e53)_x000D_
  2021 10 18T04:39:50 120     1000:  1404:  1404 F DEBUG                    04 pc 0000000000006e98   vendor bin hw vendor lineage livedisplay 2 0 service sdm (RegisterAsServices() 116) (BuildId: 605ead4d562b19463bbc5297c9261e53)_x000D_
  2021 10 18T04:39:50 120     1000:  1404:  1404 F DEBUG                    05 pc 000000000000732c   vendor bin hw vendor lineage livedisplay 2 0 service sdm (main 108) (BuildId: 605ead4d562b19463bbc5297c9261e53)_x000D_
  2021 10 18T04:39:50 120     1000:  1404:  1404 F DEBUG                    06 pc 0000000000049718   apex com android runtime lib64 bionic libc so (  libc init 108) (BuildId: a05048b33ef27dbba9dab33905cfeddd)_x000D_
  2021 10 18T04:39:50 215        0:   730:   963 D RiruDaemon        Accepted uid 0  pid 748  context u:r:zygote:s0_x000D_
  2021 10 18T04:39:50 215        0:   730:   963 D RiruDaemon        Accept_x000D_
  2021 10 18T04:39:50 217        0:   730:  1459 I RiruDaemon        Action 6_x000D_
  2021 10 18T04:39:50 217        0:   730:  1459 I RiruDaemon        Action: read Magisk tmpfs path_x000D_
  2021 10 18T04:39:50 218        0:   730:  1459 I RiruDaemon        Handle action 6 finished_x000D_
  2021 10 18T04:39:50 245        0:   748:   748 I Riru64            hook installed_x000D_
  2021 10 18T04:39:50 245        0:   730:  1459 I RiruDaemon        Action 7_x000D_
  2021 10 18T04:39:50 245        0:   730:  1459 I RiruDaemon        Action: read modules_x000D_
  2021 10 18T04:39:50 245        0:   730:  1459 I RiruDaemon        Handle action 7 finished_x000D_
  2021 10 18T04:39:50 249        0:   748:   748 I Riru64            module loaded: riru lsposed lspd (api 25)_x000D_
  2021 10 18T04:39:50 273        0:   748:   748 I LSPosed           onModuleLoaded: welcome to LSPosed _x000D_
  2021 10 18T04:39:50 273        0:   748:   748 I LSPosed           onModuleLoaded: version v1 6 2 (6152)_x000D_
  2021 10 18T04:39:50 275        0:   748:   748 I LSPosed           Loaded  dev RVYx  magisk modules riru lsposed framework lspd dex with size 305176_x000D_
  2021 10 18T04:39:50 322        0:   730:  1459 I RiruDaemon        Action 2_x000D_
  2021 10 18T04:39:50 323        0:   730:  1459 I RiruDaemon        Action: write status_x000D_
  2021 10 18T04:39:50 325        0:   730:  1459 I RiruDaemon        Handle action 2 finished_x000D_
  2021 10 18T04:39:50 325        0:   730:  1459 I RiruDaemon        No next action  exiting   _x000D_
  2021 10 18T04:39:50 342        0:   748:   748 I Riru64            replaced com android internal os Zygote nativeForkAndSpecialize_x000D_
  2021 10 18T04:39:50 342        0:   748:   748 I Riru64            replaced com android internal os Zygote nativeForkSystemServer_x000D_
  2021 10 18T04:39:50 342        0:   748:   748 I Riru64            replaced com android internal os Zygote nativeSpecializeAppProcess_x000D_
  2021 10 18T04:39:50 352        0:   730:   963 D RiruDaemon        Accepted uid 0  pid 749  context u:r:zygote:s0_x000D_
  2021 10 18T04:39:50 352        0:   730:   963 D RiruDaemon        Accept_x000D_
  2021 10 18T04:39:50 352        0:   730:  1479 I RiruDaemon        Action 6_x000D_
  2021 10 18T04:39:50 352        0:   730:  1479 I RiruDaemon        Action: read Magisk tmpfs path_x000D_
  2021 10 18T04:39:50 352        0:   730:  1479 I RiruDaemon        Handle action 6 finished_x000D_
  2021 10 18T04:39:50 378        0:   749:   749 I Riru              hook installed_x000D_
  2021 10 18T04:39:50 379        0:   730:  1479 I RiruDaemon        Action 7_x000D_
  2021 10 18T04:39:50 379        0:   730:  1479 I RiruDaemon        Action: read modules_x000D_
  2021 10 18T04:39:50 380        0:   730:  1479 I RiruDaemon        Handle action 7 finished_x000D_
  2021 10 18T04:39:50 381        0:   749:   749 I Riru              module loaded: riru lsposed lspd (api 25)_x000D_
  2021 10 18T04:39:50 393        0:   749:   749 I LSPosed           onModuleLoaded: welcome to LSPosed _x000D_
  2021 10 18T04:39:50 393        0:   749:   749 I LSPosed           onModuleLoaded: version v1 6 2 (6152)_x000D_
  2021 10 18T04:39:50 394        0:   749:   749 I LSPosed           Loaded  dev RVYx  magisk modules riru lsposed framework lspd dex with size 305176_x000D_
  2021 10 18T04:39:50 426        0:   730:  1479 I RiruDaemon        Action 2_x000D_
  2021 10 18T04:39:50 426        0:   730:  1479 I RiruDaemon        Action: write status_x000D_
  2021 10 18T04:39:50 427        0:   730:  1479 I RiruDaemon        Handle action 2 finished_x000D_
  2021 10 18T04:39:50 427        0:   730:  1479 I RiruDaemon        No next action  exiting   _x000D_
  2021 10 18T04:39:50 576        0:   749:   749 I Riru              replaced com android internal os Zygote nativeForkAndSpecialize_x000D_
  2021 10 18T04:39:50 576        0:   749:   749 I Riru              replaced com android internal os Zygote nativeForkSystemServer_x000D_
  2021 10 18T04:39:50 576        0:   749:   749 I Riru              replaced com android internal os Zygote nativeSpecializeAppProcess_x000D_
  2021 10 18T04:39:50 924        0:   730:   730 I RiruDaemon        Service activity not found  wait 1s   _x000D_
  2021 10 18T04:39:50 945        0:   734:   734 I LSPosedService    service package is not started  wait 1s _x000D_
  2021 10 18T04:39:51 483     1000:  1573:  1573 I LSPosed           Loading modules for system server 1000_x000D_
  2021 10 18T04:39:51 495     1000:  1573:  1573 I LSPosed Bridge    Loading module com jozein xedgepro from  data app   zV4vrfLog6ULt2lJUWGLFQ   com jozein xedgepro 0ZwCOx eNzFHRqATEeRy0w   base apk_x000D_
  2021 10 18T04:39:51 499     1000:  1573:  1573 I LSPosed Bridge      Loading class com jozein xedgepro xposed HookMain_x000D_
  2021 10 18T04:39:51 513     1000:  1573:  1573 I LSPosed Bridge     XEdgePro  Cannot load settings _x000D_
  2021 10 18T04:39:51 917     1000:  1573:  1573 I LSPosed Bridge     XEdgePro  Xposed edge pro v6 0 4  _x000D_
Xiaomi M2012K11AG  alioth  Android 11  SDK 30  ROM: RD2A 211001 002  SELinux enforced _x000D_
  2021 10 18T04:39:51 924        0:   730:   730 I RiruDaemon        Service activity not found  wait 1s   _x000D_
  2021 10 18T04:39:51 945        0:   734:   734 I LSPosedService    service package is not started  wait 1s _x000D_
  2021 10 18T04:39:51 965     1000:  1573:  1573 I LSPosed Bridge     XEdgePro  System hooked _x000D_
  2021 10 18T04:39:52 924        0:   730:   730 I RiruDaemon        Service activity not found  wait 1s   _x000D_
  2021 10 18T04:39:52 946        0:   734:   734 I LSPosedService    service package is not started  wait 1s _x000D_
  2021 10 18T04:39:53 352        0:   734:  1145 I LSPosedService    manager is not installed_x000D_
  2021 10 18T04:39:53 940        0:   730:   730 I RiruDaemon        Riru loaded  reset native bridge to 0   _x000D_
  2021 10 18T04:39:53 950        0:   730:   730 I RiruDaemon        Exec resetprop exited with 0_x000D_
  2021 10 18T04:39:53 950        0:   730:   730 I RiruDaemon        Riru loaded  stop rirud socket   _x000D_
  2021 10 18T04:39:53 950        0:   730:   730 I RiruDaemon        Stop server_x000D_
  2021 10 18T04:39:53 950        0:   730:   730 I RiruDaemon        Server stopped_x000D_
  2021 10 18T04:39:53 969     1000:  1573:  1615 I LSPosedService    binder received_x000D_
  2021 10 18T04:39:53 969        0:   730:   963 W RiruDaemon        Accept failed  server is closed  _x000D_
java net SocketException: Socket closed_x000D_
	at libcore io Linux accept(Native Method)_x000D_
	at libcore io ForwardingOs accept(ForwardingOs java:69)_x000D_
	at libcore io BlockGuardOs accept(BlockGuardOs java:63)_x000D_
	at android system Os accept(Os java:53)_x000D_
	at android system Os accept(Os java:47)_x000D_
	at android net LocalSocketImpl accept(LocalSocketImpl java:306)_x000D_
	at android net LocalServerSocket accept(LocalServerSocket java:91)_x000D_
	at b d c(Unknown Source:23)_x000D_
	at b d run(:2)_x000D_
  2021 10 18T04:39:53 969        0:   730:   963 I RiruDaemon        Waiting for restart server   _x000D_
  2021 10 18T04:39:53 969        0:   734:   734 I LSPosedService    sent service to bridge_x000D_
  2021 10 18T04:39:53 969        0:   734:   734 I LSPosedLogcat       stop verbose  _x000D_
</t>
  </si>
  <si>
    <t>Anuken-Mindustry-6184</t>
  </si>
  <si>
    <t>Somehow can't play the game</t>
  </si>
  <si>
    <t xml:space="preserve">  Platform  :  Android iOS Mac Windows Linux _x000D_
Window 10_x000D_
  Build  :  The build number under the title in the main menu  Required   LATEST  IS NOT A VERSION  I NEED THE EXACT BUILD NUMBER OF YOUR GAME  _x000D_
 i can t play the game anymore  still happening in the pre release b133_x000D_
  Issue  :  Explain your issue in detail  _x000D_
So  i ran into some problems_x000D_
my computer have openGL 3 1  but when open the game it say openGL support problems_x000D_
  Screenshot 20 (https:  user images githubusercontent com 43229798 137661647 4faf7dab 0a39 48fa 93ea c1d8bcc021b8 png)_x000D_
_x000D_
_x000D_
  Steps to reproduce  :  How you happened across the issue  and what exactly you did to make the bug happen  _x000D_
 none _x000D_
  Link(s) to mod(s) used  :  The mod repositories or zip files that are related to the issue  if applicable  _x000D_
 none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sorry it s not a game bug _x000D_
If you remove the line above without reading it properly and understanding what it means  I will reap your soul  Even if you re playing on someone s server  you can still save the game to a slot _x000D_
okay_x000D_
  (Crash) logs  :  Either crash reports from the crash folder  or the file you get when you go into Settings    Game Data    Export Crash logs  REQUIRED if you are reporting a crash  _x000D_
_x000D_
    crash report 10 18 2021 09 38 57 txt (https:  github com Anuken Mindustry files 7361519 crash report 10 18 2021 09 38 57 txt)_x000D_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</si>
  <si>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TeamNewPipe-NewPipe-7272</t>
  </si>
  <si>
    <t>cgeo-cgeo-11927</t>
  </si>
  <si>
    <t>[Nightly] App Crash when leaving or rotating Live Map while it's still rendering</t>
  </si>
  <si>
    <t xml:space="preserve">    Describe your problem 
As mentioned in  11897 I am currently starting c:geo via a home screen shortcut to skip dashboard and immediately get to   Live map    But dashboard must be used sometimes  to e  g  check for nightly updates or to get to the magnifier glass  Thus I sometimes open c:geo (of course via the   Live map   shortcut)  and immediately change to the dashboard     but if I do this too fast  i  e  before   Live map   has finished it s rendering  c:geo crashes _x000D_
_x000D_
This even happens after c:geo has been opened in dashboard  then switching to   Live map    but immediately switching back to dashboard by tapping the avatar _x000D_
_x000D_
Seems as if interrupting the   Live map   activity is killing the entire app    
    How to reproduce 
1  open any main activity other than   Live map  _x000D_
2  switch to   Live map  _x000D_
3  switch to   Dashboard   (via avatar)  immediately  (i  e  before   Live map   has finished it s rendering)
    Actual result after these steps 
App crash 
    Expected result after these steps 
App should not crash 
    Reproducible
Yes
    c:geo Version
2021 10 17 NB1 9b3abf4
    System information
   text
Device:_x000D_
       _x000D_
  Device type: VOG L29 (VOG L29EEA  HUAWEI)_x000D_
  Available processors: 8_x000D_
  Android version: 10_x000D_
  Android build: VOG L29 10 1 0 150(C431E19R2P5)_x000D_
  Screen resolution: 1080x2147px (423x841dp)_x000D_
  Pixel density: 2 55_x000D_
  System font scale: 1 0   used scale: 1 0_x000D_
  Sailfish OS detected: false_x000D_
  Google Play services: disabled   21 39 16 (120400 402663742)_x000D_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Settings: v8  Count:272_x000D_
  Set language: en DE (system default)_x000D_
  System date format: dd MM y_x000D_
  Time zone: GMT 02:00_x000D_
  Debug mode active: no_x000D_
  Last backup: 17 Oct  22:56_x000D_
  Routing mode: Walk_x000D_
  Live map mode: true_x000D_
  OSM multi threading: true   threads: 4_x000D_
  Map:    DE BaW  Vosges (Offline)_x000D_
    Id: cgeo geocaching maps mapsforge MapsforgeMapProvider OfflineMapSource:0123 4567:Locus mapsVector    DE BaW  Vosges map_x000D_
    Atts: Maps: (c)Christian Kernbeis  Themes: (c)Tobias Kuehn  www openandromaps org 2012 2021_x000D_
    Theme: Elements F140 L120 S110 EB xml_x000D_
_x000D_
Filters:_x000D_
       _x000D_
  Hide waypoints: visited_x000D_
  LIVE:   Live (Hide Found  Offline logged   Archived) (   Live  (Hide Found  Offline logged   Archived ):inconclusive false:advanced true AND(status:found no:has offline log no:has offline found log no:exclude archived))_x000D_
  OFFLINE: None ( :inconclusive false:advanced true )_x000D_
_x000D_
Services:_x000D_
       _x000D_
  Geocaching sites enabled:_x000D_
   geocaching com: Logged in (Login OK)   PREMIUM_x000D_
   extremcaching com: Logged in (Login OK)_x000D_
  Geocaching com date format: dd MMM yy_x000D_
  Routing: external   BRouter installed: true_x000D_
  Installed c:geo plugins: contacts_x000D_
_x000D_
Permissions   paths:_x000D_
       _x000D_
  Fine location permission: granted_x000D_
  Write external storage permission: granted_x000D_
  System internal c:geo dir:  data user 0 cgeo geocaching (48 4 GB free) v2 internal isDir(7 entries)_x000D_
  Legacy User storage c:geo dir:  storage emulated 0 cgeo (48 4 GB free) v2 external non removable isDir(5 entries)_x000D_
  Geocache data:  storage emulated 0 Android data cgeo geocaching files GeocacheData (48 4 GB free) v2 external non removable isDir(1484 entries)_x000D_
  Internal theme sync (is turned ON):  data user 0 cgeo geocaching MapThemeData (48 4 GB free) v2 internal isDir(8 entries)_x000D_
  Public Folders:  11_x000D_
    BASE:  cgeo (User Defined)  cgeo DOCUMENT 0:p content:  com android externalstorage documents tree primary 3Acgeo::   (Uri: content:  com android externalstorage documents tree primary 3Acgeo document primary 3Acgeo  Av:true  files:  11  dirs:  12  totalFileSize:  1 3 GB  free space: 48 4 GB  files on device: 13278715)_x000D_
    OFFLINE MAPS:                                                                                                 SD card       Locus mapsVector (User Defined)                                                                                                 SD card       Locus mapsVector DOCUMENT 0:p content:  com android externalstorage documents tree 0123 4567 3ALocus 2FmapsVector::   (Uri: content:  com android externalstorage documents tree 0123 4567 3ALocus 2FmapsVector document 0123 4567 3ALocus 2FmapsVector  Av:true  files:449  dirs:4  totalFileSize:20 7 GB  free space: 151 0 GB  files on device: 0)_x000D_
    OFFLINE MAP THEMES:                                                                                                 SD card       Locus mapsVector  themes Elevate4 (User Defined)                                                                                                 SD card       Locus mapsVector  themes Elevate4 DOCUMENT 0:p content:  com android externalstorage documents tree 0123 4567 3ALocus 2FmapsVector 2F themes 2FElevate4::   (Uri: content:  com android externalstorage documents tree 0123 4567 3ALocus 2FmapsVector 2F themes 2FElevate4 document 0123 4567 3ALocus 2FmapsVector 2F themes 2FElevate4  Av:true  files:418  dirs:1  totalFileSize:3 4 MB  free space: 151 0 GB  files on device: 0)_x000D_
  LOGFILES:  cgeo logfiles (Default)  cgeo logfiles PERSISTABLE FOLDER(BASE) 1:p content:  com android externalstorage documents tree primary 3Acgeo:: logfiles   (Uri: content:  com android externalstorage documents tree primary 3Acgeo document primary 3Acgeo 2Flogfiles  Av:true  files:1  dirs:0  totalFileSize:119 B  free space: 48 4 GB  files on device: 13278715)_x000D_
    GPX:  Download GPX (User Defined)  Download GPX DOCUMENT 0:p content:  com android externalstorage documents tree primary 3ADownload 2FGPX::   (Uri: content:  com android externalstorage documents tree primary 3ADownload 2FGPX document primary 3ADownload 2FGPX  Av:true  files:11  dirs:0  totalFileSize:197 1 KB  free space: 48 4 GB  files on device: 13278715)_x000D_
    BACKUP:  cgeo backup (Default)  cgeo backup PERSISTABLE FOLDER(BASE) 1:p content:  com android externalstorage documents tree primary 3Acgeo:: backup   (Uri: content:  com android externalstorage documents tree primary 3Acgeo document primary 3Acgeo 2Fbackup  Av:true  files:  17  dirs:  7  totalFileSize:  2 2 GB  free space: 48 4 GB  files on device: 13278715)_x000D_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files:11  dirs:0  totalFileSize:22 1 KB  free space: 48 4 GB  files on device: 13278715)_x000D_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48 4 GB  files on device: 13278715)_x000D_
    ROUTING BASE:  cgeo routing (Default)  cgeo routing PERSISTABLE FOLDER(BASE) 1:p content:  com android externalstorage documents tree primary 3Acgeo:: routing   (Uri: content:  com android externalstorage documents tree primary 3Acgeo document primary 3Acgeo 2Frouting  Av:true  files:15  dirs:1  totalFileSize:582 3 MB  free space: 48 4 GB  files on device: 13278715)_x000D_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files:5  dirs:0  totalFileSize:582 2 MB  free space: 48 4 GB  files on device: 13278715)_x000D_
    TEST FOLDER:  Legacy  data user 0 cgeo geocaching files unittest (Default)  data user 0 cgeo geocaching files unittest FILE 1:p file:   data user 0 cgeo geocaching files:: unittest   (Uri: file:   data user 0 cgeo geocaching files unittest  Av:true  files:0  dirs:0  totalFileSize:0 B  free space: 48 4 GB  files on device:  1)_x000D_
  Map render theme path: Elements F140 L120 S110 EB xml_x000D_
  PersistedDocumentUris:  1_x000D_
  TRACK: null_x000D_
  Persisted Uri Permissions:  4_x000D_
    content:  com android externalstorage documents tree primary 3ADownload 2FGPX (24 May  00:17):RW_x000D_
    content:  com android externalstorage documents tree 0123 4567 3ALocus 2FmapsVector 2F themes 2FElevate4 (20 May  23:38):RW_x000D_
    content:  com android externalstorage documents tree primary 3Acgeo (20 May  23:37):RW_x000D_
    content:  com android externalstorage documents tree 0123 4567 3ALocus 2FmapsVector (20 May  23:37):RW_x000D_
  Database:  data user 0 cgeo geocaching databases data (v98  Size:435 1 MB) on system internal storage_x000D_
_x000D_
    End of system information    
    Additional Information
 No response </t>
  </si>
  <si>
    <t>mI-PIV-app-168</t>
  </si>
  <si>
    <t>Floor background</t>
  </si>
  <si>
    <t>The app is crashing when I try to run the floor background subtraction view results  I assume this is the problem as it works with only the two frame subtraction method changed</t>
  </si>
  <si>
    <t>MuntashirAkon-AppManager-600</t>
  </si>
  <si>
    <t>Crash when re-installing app</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</si>
  <si>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Not able to re install any system app which is uninstalled with app manager  It crashes _x000D_
_x000D_
  To Reproduce  _x000D_
Steps to reproduce the behaviour:_x000D_
1 Uninstall any system app (usually bloat)_x000D_
2  Try to re install it with app manager_x000D_
_x000D_
  Expected behavior  _x000D_
App should re install without crash_x000D_
_x000D_
  Crash logs  _x000D_
https:  pastebin com wENz7iH2_x000D_
_x000D_
  Device info  _x000D_
   Device: Redmi note 10 pro_x000D_
   OS Version: Android 12_x000D_
   App Manager Version: Latest debug_x000D_
   Mode: root_x000D_
_x000D_
</t>
  </si>
  <si>
    <t>PojavLauncherTeam-PojavLauncher-2140</t>
  </si>
  <si>
    <t>[BUG] &lt;servers crash on 1.12.2 optifine&gt;</t>
  </si>
  <si>
    <t xml:space="preserve">    Describe the bug
Whenever i enter a server on 1 12 2 with 1 1 4 renderer the pojav launcher crashes(this bug only happens on 1 12 2 )
    The log file and images videos
 No response 
    Steps To Reproduce
   markdown
1 start 1 12 2 optifine_x000D_
2 join a server_x000D_
3 launcher crashes
    Expected Behavior
I expects the launcher to do not crash on servers 
    Platform
   markdown
  Device model: vivo 1804_x000D_
  CPU architecture: aarch32_x000D_
  Android version: 8_x000D_
  PojavLauncher version:latest
    Anything else 
 No response </t>
  </si>
  <si>
    <t>canyie-pine-18</t>
  </si>
  <si>
    <t>Pine.disableProfileSaver() causes SIGILL ILL_ILLOPC on MiUi 12</t>
  </si>
  <si>
    <t xml:space="preserve">App crashes instantly when launched_x000D_
_x000D_
Only happens on MIUI 12 (Android 11)  works fine on other Android 11 roms _x000D_
_x000D_
 details _x000D_
 summary Logcat  summary _x000D_
_x000D_
   _x000D_
10 17 15:11:37 262 16097 16097 E com aliucord: Not starting debugger since process cannot load the jdwp agent _x000D_
10 17 15:11:37 377 16097 16097 W com aliucord: Accessing hidden method Ljava lang reflect Executable   getAccessFlags()I (greylist max o  JNI  denied)_x000D_
10 17 15:11:37 377 16097 16097 W Pine    : Method getAccessFlags not found  use default access flags _x000D_
10 17 15:11:37 379 16097 16097 W Pine    : JIT API is not supported in Android R yet_x000D_
10 17 15:11:37 380  1073  2006 W SurfaceFlinger: eEarlyWakeup is deprecated  Use eExplicitEarlyWakeup Start End _x000D_
10 17 15:11:37 381 16097 16097 W Pine    : JIT compilation is not supported in Android R yet_x000D_
          beginning of crash_x000D_
10 17 15:11:37 409 16097 16111 F libc    : Fatal signal 4 (SIGILL)  code 1 (ILL ILLOPC)  fault addr 0x73e969b118 in tid 16111 (Jit thread pool)  pid 16097 (com aliucord)_x000D_
10 17 15:11:37 417  1073  2006 W SurfaceFlinger: eEarlyWakeup is deprecated  Use eExplicitEarlyWakeup Start End _x000D_
10 17 15:11:37 423  1073  2385 W SurfaceFlinger: eEarlyWakeup is deprecated  Use eExplicitEarlyWakeup Start End _x000D_
10 17 15:11:37 439  1073  2385 W SurfaceFlinger: eEarlyWakeup is deprecated  Use eExplicitEarlyWakeup Start End _x000D_
10 17 15:11:37 446  1073  2006 W SurfaceFlinger: eEarlyWakeup is deprecated  Use eExplicitEarlyWakeup Start End _x000D_
10 17 15:11:37 456  1073  2385 W SurfaceFlinger: eEarlyWakeup is deprecated  Use eExplicitEarlyWakeup Start End _x000D_
10 17 15:11:37 457  2974  7084 W FloatingIconLayer: release_x000D_
10 17 15:11:37 464  1073  2005 W SurfaceFlinger: eEarlyWakeup is deprecated  Use eExplicitEarlyWakeup Start End _x000D_
10 17 15:11:37 472  1073  2005 W SurfaceFlinger: eEarlyWakeup is deprecated  Use eExplicitEarlyWakeup Start End _x000D_
10 17 15:11:37 483  1073  2006 W SurfaceFlinger: eEarlyWakeup is deprecated  Use eExplicitEarlyWakeup Start End _x000D_
10 17 15:11:37 491  1073  2006 W SurfaceFlinger: eEarlyWakeup is deprecated  Use eExplicitEarlyWakeup Start End _x000D_
10 17 15:11:37 503  1073  2005 W SurfaceFlinger: eEarlyWakeup is deprecated  Use eExplicitEarlyWakeup Start End _x000D_
10 17 15:11:37 513  1073  2385 W SurfaceFlinger: eEarlyWakeup is deprecated  Use eExplicitEarlyWakeup Start End _x000D_
10 17 15:11:37 521  1073  2005 W SurfaceFlinger: eEarlyWakeup is deprecated  Use eExplicitEarlyWakeup Start End _x000D_
10 17 15:11:37 530  1073  2385 W SurfaceFlinger: eEarlyWakeup is deprecated  Use eExplicitEarlyWakeup Start End _x000D_
10 17 15:11:37 534 16097 16097 W Firebase Messag: type 1400 audit(0 0:773707): avc: denied   read   for name  u:object r:vendor displayfeature prop:s0  dev  tmpfs  ino 1356 scontext u:r:untrusted app 29:s0:c110 c257 c512 c768 tcontext u:object r:vendor displayfeature prop:s0 tclass file permissive 0 app com aliucord_x000D_
10 17 15:11:37 537 16133 16133 F DEBUG   :                                                                _x000D_
10 17 15:11:37 537 16133 16133 F DEBUG   : Build fingerprint:  Redmi sweet global sweet:11 RKQ1 200826 002 V12 5 8 0 RKFMIXM:user release keys _x000D_
10 17 15:11:37 537 16097 16140 E libc    : Access denied finding property  ro vendor df effect conflict _x000D_
10 17 15:11:37 537 16133 16133 F DEBUG   : Revision:  0 _x000D_
10 17 15:11:37 538 16133 16133 F DEBUG   : ABI:  arm64 _x000D_
10 17 15:11:37 538 16097 16140 E libc    : Access denied finding property  ro vendor knock type _x000D_
10 17 15:11:37 538 16133 16133 F DEBUG   : Timestamp: 2021 10 17 15:11:37 0200_x000D_
10 17 15:11:37 538 16133 16133 F DEBUG   : pid: 16097  tid: 16111  name: Jit thread pool      com aliucord    _x000D_
10 17 15:11:37 539 16133 16133 F DEBUG   : uid: 10366_x000D_
10 17 15:11:37 539 16133 16133 F DEBUG   : signal 4 (SIGILL)  code 1 (ILL ILLOPC)  fault addr 0x73e969b118 ( pc 0x000073)_x000D_
10 17 15:11:37 539 16133 16133 F DEBUG   :     x0  0000000000000001  x1  00000073ccbc3c00  x2  00000073ccbc3c00  x3  0000000000000000_x000D_
10 17 15:11:37 539 16133 16133 F DEBUG   :     x4  00000073d5501891  x5  5472696d4d617073  x6  7370614d6d697254  x7  7370614d6d697254_x000D_
10 17 15:11:37 539 16133 16133 F DEBUG   :     x8  0000000000000000  x9  b4000073e9edb340  x10 0000000000430000  x11 00000073c0000000_x000D_
10 17 15:11:37 539 16133 16133 F DEBUG   :     x12 00000000000170d0  x13 0000000000b486ff  x14 0000000000ae64c4  x15 000040cab5ea4083_x000D_
10 17 15:11:37 539 16133 16133 F DEBUG   :     x16 000000746aeae3f0  x17 000000746e502f7c  x18 000000738a9f0000  x19 00000073ccbc3c00_x000D_
10 17 15:11:37 539 16133 16133 F DEBUG   :     x20 000000000000005c  x21 00000073e93fcc06  x22 00000073e93ef561  x23 00000073e93f14be_x000D_
10 17 15:11:37 539 16133 16133 F DEBUG   :     x24 00000073e93d2d67  x25 0000000000000001  x26 000000746a783000  x27 0000000000000043_x000D_
10 17 15:11:37 539 16133 16133 F DEBUG   :     x28 00000073e99ef000  x29 00000073d5501be0_x000D_
10 17 15:11:37 539 16133 16133 F DEBUG   :     lr  00000073e9684d18  sp  00000073d5501b70  pc  00000073e969b118  pst 0000000040000000_x000D_
10 17 15:11:37 539  1073  2385 W SurfaceFlinger: eEarlyWakeup is deprecated  Use eExplicitEarlyWakeup Start End _x000D_
10 17 15:11:37 544 16133 16133 F DEBUG   : backtrace:_x000D_
10 17 15:11:37 544 16133 16133 F DEBUG   :        00 pc 0000000000359118   apex com android art lib64 libart so libart so (offset 0x359000) (art::ProfileSaver::NotifyJitActivity()) (BuildId: d9d09da4285f1f09feadb805782797e4)_x000D_
10 17 15:11:37 544 16133 16133 F DEBUG   :        01 pc 0000000000342d14   apex com android art lib64 libart so (art::jit::JitCompileTask::Run(art::Thread ) 736) (BuildId: d9d09da4285f1f09feadb805782797e4)_x000D_
10 17 15:11:37 544 16133 16133 F DEBUG   :        02 pc 00000000005caee0   apex com android art lib64 libart so libart so (offset 0x35a000) (art::ThreadPoolWorker::Run() 108) (BuildId: d9d09da4285f1f09feadb805782797e4)_x000D_
10 17 15:11:37 544 16133 16133 F DEBUG   :        03 pc 00000000005ca9d4   apex com android art lib64 libart so libart so (offset 0x35a000) (art::ThreadPoolWorker::Callback(void ) 192) (BuildId: d9d09da4285f1f09feadb805782797e4)_x000D_
10 17 15:11:37 544 16133 16133 F DEBUG   :        04 pc 00000000000eb868   apex com android runtime lib64 bionic libc so (  pthread start(void ) 64) (BuildId: a790cdbd8e44ea8a90802da343cb82ce)_x000D_
10 17 15:11:37 544 16133 16133 F DEBUG   :        05 pc 000000000008ba88   apex com android runtime lib64 bionic libc so (  start thread 64) (BuildId: a790cdbd8e44ea8a90802da343cb82ce)_x000D_
   _x000D_
  details _x000D_
_x000D_
Some examples of affected phones (probably just all MIUI 12 phones):_x000D_
  Mi 9T MIUI Global 12 1 1_x000D_
  Poco X3 NFC MIUI Global 12 5 1 0_x000D_
  Redmi Note 10 Pro MIUI Global 12 5 3_x000D_
_x000D_
_x000D_
Edit: Also seems to happen on Realme and Oppo phones </t>
  </si>
  <si>
    <t>Anuken-Mindustry-6177</t>
  </si>
  <si>
    <t>Lack of v132 blocks in tech tree</t>
  </si>
  <si>
    <t xml:space="preserve">  Platform  :  Android _x000D_
_x000D_
  Build  :  132 _x000D_
_x000D_
  Issue  :  New 132 s blocks do not appear in tech tree making it impossible to use them in campaign   That includes both payload blocks as well as liquid container _x000D_
_x000D_
  Steps to reproduce  :  Update mindustry  Open rech tree  New blocks are nowhere to be found  Moreover core database shows  that those blocks are locked  _x000D_
_x000D_
  Link(s) to mod(s) used  :  Pure vanilla _x000D_
_x000D_
  Save file  :_x000D_
 132 no blocks zip (https:  github com Anuken Mindustry files 7359554 132 no blocks zip)_x000D_
_x000D_
_x000D_
If you remove the line above without reading it properly and understanding what it means  I will reap your soul  Even if you re playing on someone s server  you can still save the game to a slot _x000D_
_x000D_
  (Crash) logs  :  Doesn t crash the game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</si>
  <si>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PojavLauncherTeam-PojavLauncher-2139</t>
  </si>
  <si>
    <t>Too many crashes</t>
  </si>
  <si>
    <t xml:space="preserve">    Describe the bug
I recently started playing on hypixel using this Launcher (with my Premium account) and even though it s pretty useful for quickly dell ing stuff  there is one problem: the amount of times this thing crashes in just 3 minutes  
    The log file and images videos
 latestlog txt (https:  github com PojavLauncherTeam PojavLauncher files 7358873 latestlog txt)_x000D_
_x000D_
here s the log
    Steps To Reproduce
   markdown
1  Start Pojavlauncher_x000D_
2  Go on Hypixel (or probably any other server) _x000D_
3  Go in skyblock and try going to the hub by going through the portal_x000D_
4  You ll probably crash (if not Replay this a few times)
    Expected Behavior
I expect the game to run smoothly
    Platform
   markdown
  Device model: Mi 8 Pro 128gb_x000D_
  CPU architecture: aarch64_x000D_
  Android version: 10_x000D_
  PojavLauncher version: version 3 3 1 1
    Anything else 
It is also possible that my device is just not good enough to run Pojavlauncher but i dont think this is the case</t>
  </si>
  <si>
    <t>Anuken-Mindustry-6174</t>
  </si>
  <si>
    <t>Deconstructor is not 100% efficency</t>
  </si>
  <si>
    <t xml:space="preserve">  Platform  :  windows _x000D_
_x000D_
  Build  :  7 0 Build 132   Pre Alpha _x000D_
_x000D_
  Issue  :  Payload Deconstructors will randomly delete an item entirely  _x000D_
_x000D_
  Steps to reproduce  :  Put just enough items in to make a block in a constructor  put a deconstructor at the end of the line  conveyor line from deconstructor to constructor  by third pass  it cannot build it back  _x000D_
_x000D_
  Link(s) to mod(s) used  :  none _x000D_
_x000D_
  Save file  :   https:  cdn discordapp com attachments 875543055820804147 899127189931458580 why msav because github wont let me attach files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too bad its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</si>
  <si>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cgeo-cgeo-11919</t>
  </si>
  <si>
    <t>Crashes when handling with lists</t>
  </si>
  <si>
    <t xml:space="preserve">Short note from field 
Keep having lots of crashes while crawling lists and viewing caches 
2021 10 16 NB
10 16 12:07:58 742 29285 29285 E AndroidRuntime: FATAL EXCEPTION: main
10 16 12:07:58 742 29285 29285 E AndroidRuntime: Process: cgeo geocaching  PID: 29285
10 16 12:07:58 742 29285 29285 E AndroidRuntime: java lang RuntimeException: Unable to start activity ComponentInfo cgeo geocaching cgeo geocaching CacheDetailActivity : java lang NullPointerException: Attempt to invoke virtual method  boolean cgeo geocaching VariablesViewPageFragment VariablesListAdapter hasUnsavedChanges()  on a null object reference
10 16 12:07:58 742 29285 29285 E AndroidRuntime: 	at android app ActivityThread performLaunchActivity(ActivityThread java:3623)
10 16 12:07:58 742 29285 29285 E AndroidRuntime: 	at android app ActivityThread handleLaunchActivity(ActivityThread java:3775)
10 16 12:07:58 742 29285 29285 E AndroidRuntime: 	at android app servertransaction LaunchActivityItem execute(LaunchActivityItem java:83)
10 16 12:07:58 742 29285 29285 E AndroidRuntime: 	at android app servertransaction TransactionExecutor executeCallbacks(TransactionExecutor java:135)
10 16 12:07:58 742 29285 29285 E AndroidRuntime: 	at android app servertransaction TransactionExecutor execute(TransactionExecutor java:95)
10 16 12:07:58 742 29285 29285 E AndroidRuntime: 	at android app ActivityThread H handleMessage(ActivityThread java:2261)
10 16 12:07:58 742 29285 29285 E AndroidRuntime: 	at android os Handler dispatchMessage(Handler java:107)
10 16 12:07:58 742 29285 29285 E AndroidRuntime: 	at android os Looper loop(Looper java:237)
10 16 12:07:58 742 29285 29285 E AndroidRuntime: 	at android app ActivityThread main(ActivityThread java:8107)
10 16 12:07:58 742 29285 29285 E AndroidRuntime: 	at java lang reflect Method invoke(Native Method)
10 16 12:07:58 742 29285 29285 E AndroidRuntime: 	at com android internal os RuntimeInit MethodAndArgsCaller run(RuntimeInit java:496)
10 16 12:07:58 742 29285 29285 E AndroidRuntime: 	at com android internal os ZygoteInit main(ZygoteInit java:1100)
10 16 12:07:58 742 29285 29285 E AndroidRuntime: Caused by: java lang NullPointerException: Attempt to invoke virtual method  boolean cgeo geocaching VariablesViewPageFragment VariablesListAdapter hasUnsavedChanges()  on a null object reference
10 16 12:07:58 742 29285 29285 E AndroidRuntime: 	at cgeo geocaching VariablesViewPageFragment checkUnsavedChanges(VariablesViewPageFragment java:441)
10 16 12:07:58 742 29285 29285 E AndroidRuntime: 	at cgeo geocaching VariablesViewPageFragment setContent(VariablesViewPageFragment java:425)
10 16 12:07:58 742 29285 29285 E AndroidRuntime: 	at cgeo geocaching activity TabbedViewPagerFragment notifyDataSetChanged(TabbedViewPagerFragment java:61)
10 16 12:07:58 742 29285 29285 E AndroidRuntime: 	at cgeo geocaching activity TabbedViewPagerActivity setOrderedPages(TabbedViewPagerActivity java:110)
10 16 12:07:58 742 29285 29285 E AndroidRuntime: 	at cgeo geocaching activity TabbedViewPagerActivity createViewPager(TabbedViewPagerActivity java:49)
10 16 12:07:58 742 29285 29285 E AndroidRuntime: 	at cgeo geocaching CacheDetailActivity onCreate(CacheDetailActivity java:333)
10 16 12:07:58 742 29285 29285 E AndroidRuntime: 	at android app Activity performCreate(Activity java:7957)
10 16 12:07:58 742 29285 29285 E AndroidRuntime: 	at android app Activity performCreate(Activity java:7946)
10 16 12:07:58 742 29285 29285 E AndroidRuntime: 	at android app Instrumentation callActivityOnCreate(Instrumentation java:1307)
10 16 12:07:58 742 29285 29285 E AndroidRuntime: 	at android app ActivityThread performLaunchActivity(ActivityThread java:3598)
10 16 12:07:58 742 29285 29285 E AndroidRuntime: 	    11 more
10 16 23:59:14 804 30973 30973 E AndroidRuntime: FATAL EXCEPTION: main
10 16 23:59:14 804 30973 30973 E AndroidRuntime: Process: cgeo geocaching  PID: 30973
10 16 23:59:14 804 30973 30973 E AndroidRuntime: java lang RuntimeException: Unable to start activity ComponentInfo cgeo geocaching cgeo geocaching CacheDetailActivity : java lang NullPointerException: Attempt to read from field  cgeo geocaching models CacheVariables cgeo geocaching VariablesViewPageFragment VariablesListAdapter variables  on a null object reference
10 16 23:59:14 804 30973 30973 E AndroidRuntime: 	at android app ActivityThread performLaunchActivity(ActivityThread java:3623)
10 16 23:59:14 804 30973 30973 E AndroidRuntime: 	at android app ActivityThread handleLaunchActivity(ActivityThread java:3775)
10 16 23:59:14 804 30973 30973 E AndroidRuntime: 	at android app ActivityThread handleRelaunchActivityInner(ActivityThread java:5763)
10 16 23:59:14 804 30973 30973 E AndroidRuntime: 	at android app ActivityThread handleRelaunchActivity(ActivityThread java:5671)
10 16 23:59:14 804 30973 30973 E AndroidRuntime: 	at android app servertransaction ActivityRelaunchItem execute(ActivityRelaunchItem java:69)
10 16 23:59:14 804 30973 30973 E AndroidRuntime: 	at android app servertransaction TransactionExecutor executeCallbacks(TransactionExecutor java:135)
10 16 23:59:14 804 30973 30973 E AndroidRuntime: 	at android app servertransaction TransactionExecutor execute(TransactionExecutor java:95)
10 16 23:59:14 804 30973 30973 E AndroidRuntime: 	at android app ActivityThread H handleMessage(ActivityThread java:2261)
10 16 23:59:14 804 30973 30973 E AndroidRuntime: 	at android os Handler dispatchMessage(Handler java:107)
10 16 23:59:14 804 30973 30973 E AndroidRuntime: 	at android os Looper loop(Looper java:237)
10 16 23:59:14 804 30973 30973 E AndroidRuntime: 	at android app ActivityThread main(ActivityThread java:8107)
10 16 23:59:14 804 30973 30973 E AndroidRuntime: 	at java lang reflect Method invoke(Native Method)
10 16 23:59:14 804 30973 30973 E AndroidRuntime: 	at com android internal os RuntimeInit MethodAndArgsCaller run(RuntimeInit java:496)
10 16 23:59:14 804 30973 30973 E AndroidRuntime: 	at com android internal os ZygoteInit main(ZygoteInit java:1100)
10 16 23:59:14 804 30973 30973 E AndroidRuntime: Caused by: java lang NullPointerException: Attempt to read from field  cgeo geocaching models CacheVariables cgeo geocaching VariablesViewPageFragment VariablesListAdapter variables  on a null object reference
10 16 23:59:14 804 30973 30973 E AndroidRuntime: 	at cgeo geocaching VariablesViewPageFragment VariablesListAdapter access 500(VariablesViewPageFragment java:117)
10 16 23:59:14 804 30973 30973 E AndroidRuntime: 	at cgeo geocaching VariablesViewPageFragment checkUnsavedChanges(VariablesViewPageFragment java:418)
10 16 23:59:14 804 30973 30973 E AndroidRuntime: 	at cgeo geocaching VariablesViewPageFragment setContent(VariablesViewPageFragment java:402)
10 16 23:59:14 804 30973 30973 E AndroidRuntime: 	at cgeo geocaching activity TabbedViewPagerFragment notifyDataSetChanged(TabbedViewPagerFragment java:61)
10 16 23:59:14 804 30973 30973 E AndroidRuntime: 	at cgeo geocaching activity TabbedViewPagerActivity setOrderedPages(TabbedViewPagerActivity java:110)
10 16 23:59:14 804 30973 30973 E AndroidRuntime: 	at cgeo geocaching activity TabbedViewPagerActivity createViewPager(TabbedViewPagerActivity java:49)
10 16 23:59:14 804 30973 30973 E AndroidRuntime: 	at cgeo geocaching CacheDetailActivity onCreate(CacheDetailActivity java:334)
10 16 23:59:14 804 30973 30973 E AndroidRuntime: 	at android app Activity performCreate(Activity java:7957)
10 16 23:59:14 804 30973 30973 E AndroidRuntime: 	at android app Activity performCreate(Activity java:7946)
10 16 23:59:14 804 30973 30973 E AndroidRuntime: 	at android app Instrumentation callActivityOnCreate(Instrumentation java:1307)
10 16 23:59:14 804 30973 30973 E AndroidRuntime: 	at android app ActivityThread performLaunchActivity(ActivityThread java:3598)
10 16 23:59:14 804 30973 30973 E AndroidRuntime: 	    13 more
   </t>
  </si>
  <si>
    <t>TeamNewPipe-NewPipe-7262</t>
  </si>
  <si>
    <t>Fullscreen sometimes show a quarter of a screen [Android 12]</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</si>
  <si>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new pipe_x000D_
2  press on any videos_x000D_
3  press play_x000D_
4  press on the full screen_x000D_
   _x000D_
1  open new pipe_x000D_
2  press on any videos_x000D_
3  press play_x000D_
4  press on the full screen_x000D_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it is a quarter of full screen on the top left corner of the screen_x000D_
_x000D_
_x000D_
    Expected behavior_x000D_
     Tell us what you expect to happen     _x000D_
full screen_x000D_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player vimeo com video 633798373_x000D_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12 OneUI 4 0 beta 2 official ZUJ1_x000D_
   Device model: SM G998B Samsung Galaxy S21 Ultra 5G_x000D_
</t>
  </si>
  <si>
    <t>nextcloud-android-9101</t>
  </si>
  <si>
    <t>Auto report from nextcloud android</t>
  </si>
  <si>
    <t xml:space="preserve">    Steps to reproduce_x000D_
1  Open nextcloud for first time_x000D_
2  Click on qrcode icon_x000D_
3  Authorize camera access_x000D_
4  Go back (don t take photo)_x000D_
_x000D_
    Expected behaviour_x000D_
  return to login screen_x000D_
_x000D_
    Actual behaviour_x000D_
  application crashes_x000D_
_x000D_
    Can you reproduce this problem on https:_x000D_
             CAUSE OF ERROR             _x000D_
_x000D_
java lang RuntimeException: Unable to pause activity  com nextcloud client com owncloud android ui activity FileDisplayActivity : java lang IllegalArgumentException: Receiver not registered: de cotech hw internal transport usb UsbConnectionDispatcher 1 217a802_x000D_
	at android app ActivityThread performPauseActivityIfNeeded(ActivityThread java:4993)_x000D_
	at android app ActivityThread performPauseActivity(ActivityThread java:4944)_x000D_
	at android app ActivityThread handlePauseActivity(ActivityThread java:4896)_x000D_
	at android app servertransaction TransactionExecutor performLifecycleSequence(TransactionExecutor java:228)_x000D_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java:2267)_x000D_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Caused by: java lang IllegalArgumentException: Receiver not registered: de cotech hw internal transport usb UsbConnectionDispatcher 1 217a802_x000D_
	at android app LoadedApk forgetReceiverDispatcher(LoadedApk java:1499)_x000D_
	at android app ContextImpl unregisterReceiver(ContextImpl java:1605)_x000D_
	at android content ContextWrapper unregisterReceiver(ContextWrapper java:678)_x000D_
	at de cotech hw internal transport usb UsbConnectionDispatcher onInactive(UsbConnectionDispatcher java:131)_x000D_
	at de cotech hw SecurityKeyManager DispatcherActivityLifecycleCallbacks ensureStateInactive(SecurityKeyManager java:316)_x000D_
	at de cotech hw SecurityKeyManager DispatcherActivityLifecycleCallbacks refreshActiveState(SecurityKeyManager java:290)_x000D_
	at de cotech hw SecurityKeyManager DispatcherActivityLifecycleCallbacks onActivityPaused(SecurityKeyManager java:333)_x000D_
	at android app Application dispatchActivityPaused(Application java:485)_x000D_
	at android app Activity dispatchActivityPaused(Activity java:1327)_x000D_
	at android app Activity onPause(Activity java:2251)_x000D_
	at androidx fragment app FragmentActivity onPause(FragmentActivity java:388)_x000D_
	at com owncloud android ui activity BaseActivity onPause(BaseActivity java:84)_x000D_
	at com owncloud android ui activity FileActivity onPause(FileActivity java:253)_x000D_
	at com owncloud android ui activity FileDisplayActivity onPause(FileDisplayActivity java:1254)_x000D_
	at android app Activity performPause(Activity java:8150)_x000D_
	at android app Instrumentation callActivityOnPause(Instrumentation java:1508)_x000D_
	at android app ActivityThread performPauseActivityIfNeeded(ActivityThread java:4983)_x000D_
	    13 more_x000D_
_x000D_
             APP INFORMATION             _x000D_
ID: com nextcloud client_x000D_
Version: 30170090_x000D_
Build flavor: gplay_x000D_
_x000D_
             DEVICE INFORMATION             _x000D_
Brand: samsung_x000D_
Device: crownlte_x000D_
Model: SM N960F_x000D_
Id: QP1A 190711 020_x000D_
Product: crownltexx_x000D_
_x000D_
             FIRMWARE             _x000D_
SDK: 29_x000D_
Release: 10_x000D_
Incremental: N960FXXS9FUH1_x000D_
_x000D_
</t>
  </si>
  <si>
    <t>AOF-Dev-MCinaBox-1119</t>
  </si>
  <si>
    <t>when i go to the version i want it's only black</t>
  </si>
  <si>
    <t xml:space="preserve">  Describe the crash  _x000D_
A clear and concise description of what the bug is _x000D_
_x000D_
  To Reproduce  _x000D_
Steps to reproduce the crash:_x000D_
1  Go to      _x000D_
2  Click on       _x000D_
3  Scroll down to       _x000D_
4  See the crash_x000D_
_x000D_
  Expected behavior  _x000D_
A clear and concise description of what you expected to happen _x000D_
_x000D_
  Screenshots  _x000D_
If applicable  add screenshots to help explain your problem _x000D_
_x000D_
  Smartphone (please complete the following information):  _x000D_
   Device:  e g  Samsung Galaxy J7  _x000D_
   OS:  e g  Android 8 1 _x000D_
   App Version  e g  v0 1 4p5 _x000D_
   CPU architecture  e g  arm32   _x000D_
_x000D_
  Additional context  _x000D_
Add any other context about the problem here _x000D_
</t>
  </si>
  <si>
    <t>PojavLauncherTeam-PojavLauncher-2127</t>
  </si>
  <si>
    <t>[BUG] &lt;The new snapshot failed to start&gt;</t>
  </si>
  <si>
    <t xml:space="preserve">    Describe the bug
Since Mojang had changed the new render channel in the latest snapshot and had to modify the file to start the game  ZINK seemed to be able to do it  just displaying errors on my device 
    The log file and images videos
I can t give you the log file But I can copy it _x000D_
The following is the crash low _x000D_
     Minecraft Crash Report     _x000D_
   Hi  I m Minecraft  and I m a crashaholic _x000D_
_x000D_
Time: 2021 10 16   10:20_x000D_
Description: Rendering overlay_x000D_
_x000D_
java lang RuntimeException: could not reload shaders_x000D_
	at eoc b(SourceFile:496)_x000D_
	at eoc a(SourceFile:384)_x000D_
	at aej a(SourceFile:15)_x000D_
	at java base java util concurrent CompletableFuture UniRun tryFire(CompletableFuture java:787)_x000D_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com mojang blaze3d systems RenderSystem replayQueue(SourceFile:181)_x000D_
	at com mojang blaze3d systems RenderSystem flipFrame(SourceFile:168)_x000D_
	at dqo e(SourceFile:310)_x000D_
	at dwn f(SourceFile:1145)_x000D_
	at dwn e(SourceFile:736)_x000D_
	at net minecraft client main Main main(SourceFile:238)_x000D_
Caused by: xh: Invalid shaders core rendertype solid json: Couldn t compile vertex program (Default  rendertype solid) : 0:7: S0054: Overloading built in function  clamp  not allowed_x000D_
	at xh a(SourceFile:48)_x000D_
	at eou  init (SourceFile:197)_x000D_
	at eoc b(SourceFile:452)_x000D_
	    118 more_x000D_
Caused by: java io IOException: Couldn t compile vertex program (Default  rendertype solid) : 0:7: S0054: Overloading built in function  clamp  not allowed_x000D_
	at dqx b(SourceFile:72)_x000D_
	at dqx a(SourceFile:54)_x000D_
	at eou a(SourceFile:237)_x000D_
	at eou  init (SourceFile:179)_x000D_
	    119 more_x000D_
_x000D_
_x000D_
A detailed walkthrough of the error  its code path and all known details is as follows:_x000D_
                                                                                       _x000D_
_x000D_
   Head   _x000D_
Thread: Render thread_x000D_
Stacktrace:_x000D_
	at eoc b(SourceFile:496)_x000D_
	at eoc a(SourceFile:384)_x000D_
	at aej a(SourceFile:15)_x000D_
	at java base java util concurrent CompletableFuture UniRun tryFire(CompletableFuture java:787)_x000D_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UniRun tryFire(CompletableFuture java:795)_x000D_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UniRun tryFire(CompletableFuture java:784)_x000D_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aen a(SourceFile:71)_x000D_
	at atc execute(SourceFile:101)_x000D_
	at aen a(SourceFile:70)_x000D_
	at java base java util concurrent CompletableFuture UniCompletion claim(CompletableFuture java:572)_x000D_
	at java base java util concurrent CompletableFuture UniAccept tryFire(CompletableFuture java:714)_x000D_
	at java base java util concurrent CompletableFuture postComplete(CompletableFuture java:510)_x000D_
	at java base java util concurrent CompletableFuture postFire(CompletableFuture java:614)_x000D_
	at java base java util concurrent CompletableFuture UniAccept tryFire(CompletableFuture java:726)_x000D_
	at java base java util concurrent CompletableFuture Completion run(CompletableFuture java:482)_x000D_
	at com mojang blaze3d systems RenderSystem replayQueue(SourceFile:181)_x000D_
	at com mojang blaze3d systems RenderSystem flipFrame(SourceFile:168)_x000D_
_x000D_
   Overlay render details   _x000D_
Details:_x000D_
	Overlay name: ebd_x000D_
Stacktrace:_x000D_
	at eoc a(SourceFile:866)_x000D_
	at dwn f(SourceFile:1120)_x000D_
	at dwn e(SourceFile:736)_x000D_
	at net minecraft client main Main main(SourceFile:238)_x000D_
_x000D_
   Last reload   _x000D_
Details:_x000D_
	Reload number: 1_x000D_
	Reload reason: initial_x000D_
	Finished: No_x000D_
	Packs: Default_x000D_
_x000D_
   System Details   _x000D_
Details:_x000D_
	Minecraft Version: 21w41a_x000D_
	Minecraft Version ID: 21w41a_x000D_
	Operating System: Linux (aarch64) version Android 10_x000D_
	Java Version: 17 internal  N A_x000D_
	Java VM Version: OpenJDK 64 Bit Server VM (mixed mode)  Oracle Corporation_x000D_
	Memory: 2210355056 bytes (2107 MiB)   3649044480 bytes (3480 MiB) up to 3649044480 bytes (3480 MiB)_x000D_
	CPUs: 8_x000D_
	Processor Vendor: 0x41_x000D_
	Processor Name: AArch64 Processor rev 2 (aarch64)_x000D_
	Identifier: 0x41 Family 8 Model 0xd09 Stepping r0x0p4_x000D_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7948 49_x000D_
	Virtual memory used (MB): 8624 18_x000D_
	Swap memory total (MB): 4096 00_x000D_
	Swap memory used (MB): 1794 82_x000D_
	JVM Flags: 2 total   Xms3479M  Xmx3479M_x000D_
	Launched Version: 21w41a_x000D_
	Backend library: LWJGL version 3 2 3 SNAPSHOT_x000D_
	Backend API: GL4ES wrapper GL version 2 1 gl4es wrapper 1 1 5  ptitSeb_x000D_
	Window size: 2180x1026_x000D_
	GL Caps: Using framebuffer using OpenGL 3 2_x000D_
	GL debug messages:  disabled _x000D_
	Using VBOs: Yes_x000D_
	Is Modded: Probably not  Client jar signature and brand is untouched_x000D_
	Type: Client (map client txt)_x000D_
	Graphics mode: fast_x000D_
	Resource Packs: vanilla_x000D_
	Current Language: English_x000D_
	CPU: 8x AArch64 Processor rev 2 (aarch64)
    Steps To Reproduce
   markdown
I think I made myself very clear 
    Expected Behavior
I was ready to launch 21w41a but the game crashed at the last point of loading  I tried to change the renderer but Zink rendering error
    Platform
   markdown
  Device model: HUAWEI  P50_x000D_
  CPU architecture: aarch64_x000D_
  Android version: 10_x000D_
  PojavLauncher version: Latest version of actions
    Anything else 
No  not really </t>
  </si>
  <si>
    <t>Anuken-Mindustry-6167</t>
  </si>
  <si>
    <t xml:space="preserve">Copying a instruction with """ crashes the game </t>
  </si>
  <si>
    <t xml:space="preserve">  Platform  :  Android iOS Mac Windows Linux 
Android
  Build  :  The build number under the title in the main menu  Required   LATEST  IS NOT A VERSION  I NEED THE EXACT BUILD NUMBER OF YOUR GAME  
release v126 2
  Issue  :  Explain your issue in detail  
Trying to copy a instruction with three double quotes crashes the game 
  Steps to reproduce  :  How you happened across the issue  and what exactly you did to make the bug happen  
On a processor:
1  add a print instruction 
2  type      
3  copy instruction 
4  Mindustry exe has stopped working
  Link(s) to mod(s) used  :  The mod repositories or zip files that are related to the issue  if applicable    None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I m on GitHub Mobile  so I ll just base64 the files and put them here  
https:  pastebin com 8xfqfiNe I think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in base64 pastebin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Edit: apparently pastebin stupid so https:  hastebin com raw jopucovada</t>
  </si>
  <si>
    <t>PDFTron-pdftron-flutter-137</t>
  </si>
  <si>
    <t>Config Options Ignored When Opening Doc Using Widget View</t>
  </si>
  <si>
    <t xml:space="preserve">  Describe the bug  _x000D_
      A clear and concise description of what the bug is     _x000D_
In the publish prep branch  when I tried to open a document using the PDFTron Widget version of the viewer  the configs I passed into the openDocument method were ignored  When the same config options were passed into the Plugin View  they were working as expected  I first noticed this in my personal project  then confirmed the issue was also present in the sample project provided by PDFTron  _x000D_
_x000D_
  Steps to Reproduce the Problem  _x000D_
      Steps to reproduce the issue  Screenshot if it is UI related   _x000D_
_x000D_
1  Check out the publish prep branch (may not be specific to this branch)_x000D_
2  Uncomment the code in the build method of main dart to use the widget version of the viewer_x000D_
3  Comment out the call to showViewer() in the initState method so that doesn t get called and use the plugin version instead of waiting for the widget version to be opened in  OnDocumentViewCreated_x000D_
4  Copy the config values from the showViewer method  paste them in  OnDocumentViewCreated before the document is opened  and uncomment them_x000D_
5  Run the build  and check to see if the correct tools and buttons were disabled_x000D_
6  All tools that are supposed to be disabled are still enabled_x000D_
_x000D_
  Expected behavior  _x000D_
      A clear and concise description of what you expected to happen     _x000D_
In my case  the Share Button  Search Button  Create Line Tool  and Create Rectangle Tool were all supposed to be disabled based on the config values I set up _x000D_
_x000D_
  Screenshots  _x000D_
      If applicable  add screenshots to help explain your problem     _x000D_
  image (https:  user images githubusercontent com 92338321 137523259 00785b28 6e18 4e97 96ac 0766c538ce8a png)_x000D_
  image (https:  user images githubusercontent com 92338321 137523293 7cd14630 1ace 4e2d 8429 3651a1db3e92 png)_x000D_
_x000D_
_x000D_
  Platform Device Information (please complete the following information if applicable):  _x000D_
   Platform:iOS_x000D_
   Device: iPhone 11  iPhone 12 Pro Max_x000D_
   OS: iOS 14 5  iOS 15_x000D_
_x000D_
  Additional context  _x000D_
     Add any other context about the problem here     _x000D_
This issue may also be present on Android  but I haven t been able to test on that platform  When I have tried to view a document with the Widget View in my local project  the document just never displays  When I try in the example project  the app crashes when trying to open the document after downloading </t>
  </si>
  <si>
    <t>TeamNewPipe-NewPipe-7257</t>
  </si>
  <si>
    <t>Queue doesn't automatically start after pressing "background" since v0.21.11</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</si>
  <si>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1  Open a bookmarked playlist_x000D_
2  Press on  Background  to reproduce the entire playlist in the queue_x000D_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first video of the playlist doesn t automaticaly start  but you need to press also play in the latest couple of version to start the queue (0 21 12 and 0 21 11)_x000D_
_x000D_
    Expected behavior_x000D_
     Tell us what you expect to happen     _x000D_
The issue wasn t there in version 0 21 10  the queue would start automatically after pressing on  background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Tested on Android 9 and 11_x000D_
   Device model: Xiaomi Poco X3 NFC  Lenovo Zuk Z2 and Sony Xperia XZ1_x000D_
</t>
  </si>
  <si>
    <t>TeamNewPipe-NewPipe-7254</t>
  </si>
  <si>
    <t>Unfinished download always removed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</si>
  <si>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Try to download something first (video music srt)  and pause the download _x000D_
2  Close the app  and open it again _x000D_
3  Open downloads menu  it will needs some time to reload  then the notification  app is not responding  appear  and then choose wait _x000D_
4  Your downloading list is gone  but file is still exist and can t be open because it s not fully download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The downloading list is gone  it s annoying because i need to retry from beginning everytime or you have to not close the app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 10 15 15 04 54 714 org schabi newpipe (https:  user images githubusercontent com 92572661 137456794 8524c4d2 7562 49ba 9fc3 998ae5043543 jpg)_x000D_
  Screenshot 2021 10 15 15 06 12 793 org schabi newpipe (https:  user images githubusercontent com 92572661 137456808 406d6b98 10d9 4fa7 a58b 6caf0f678cc4 jpg)_x000D_
  Screenshot 2021 10 15 15 05 20 522 org schabi newpipe (https:  user images githubusercontent com 92572661 137456819 91d23009 335e 47e3 92f1 9702dfd4c1d9 jpg)_x000D_
the chronological is  I m downloading something  pause it  close the app  open app again  go to downloads list  it goes blank for a second  notification  app is not responding  appear  click wait  it goes normal  the downloading is gone _x000D_
_x000D_
PS  You can see at my screenshot  it shows that i only downloaded the Sustainable  1 videos  But actually  i am downloading the  234 too  and they re not finished yet  Now their download list are gone because Newpipe has bug that won t reload the unfinished download list on my device  But the  234 files are saved on my storage  and they can t be fully opened  viewed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 Redmi Note 10 Pro_x000D_
 I already make sure that the battery saver for Newpipe is no restrictions_x000D_
</t>
  </si>
  <si>
    <t>fossasia-pslab-android-2258</t>
  </si>
  <si>
    <t>Wavegenerator does not open up</t>
  </si>
  <si>
    <t xml:space="preserve">  Actual Behaviour  _x000D_
_x000D_
Opening wave generator instrument crashes the app_x000D_
_x000D_
  Expected Behaviour  _x000D_
_x000D_
App should not crash_x000D_
_x000D_
  Steps to reproduce it  _x000D_
_x000D_
Open wave generator_x000D_
_x000D_
  LogCat for the issue  _x000D_
_x000D_
   _x000D_
2021 10 15 08:58:48 324 12478 12478 io pslab E AndroidRuntime: FATAL EXCEPTION: main_x000D_
    Process: io pslab  PID: 12478_x000D_
    java lang RuntimeException: Unable to start activity ComponentInfo io pslab io pslab activity WaveGeneratorActivity : android view InflateException: Binary XML file line  29 in io pslab:layout activity wave generator main: Binary XML file line  34 in io pslab:layout wave generator seekbar: Error inflating class com warkiz widget IndicatorSeekBar_x000D_
        at android app ActivityThread performLaunchActivity(ActivityThread java:3449)_x000D_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android view InflateException: Binary XML file line  29 in io pslab:layout activity wave generator main: Binary XML file line  34 in io pslab:layout wave generator seekbar: Error inflating class com warkiz widget IndicatorSeekBar_x000D_
     Caused by: android view InflateException: Binary XML file line  34 in io pslab:layout wave generator seekbar: Error inflating class com warkiz widget IndicatorSeekBar_x000D_
     Caused by: java lang reflect InvocationTargetException_x000D_
        at java lang reflect Constructor newInstance0(Native Method)_x000D_
        at java lang reflect Constructor newInstance(Constructor java:343)_x000D_
        at android view LayoutInflater createView(LayoutInflater java:852)_x000D_
        at android view LayoutInflater createViewFromTag(LayoutInflater java:1004)_x000D_
        at android view LayoutInflater createViewFromTag(LayoutInflater java:959)_x000D_
        at android view LayoutInflater rInflate(LayoutInflater java:1121)_x000D_
        at android view LayoutInflater rInflateChildren(LayoutInflater java:1082)_x000D_
        at android view LayoutInflater parseInclude(LayoutInflater java:1261)_x000D_
        at android view LayoutInflater rInflate(LayoutInflater java:1117)_x000D_
        at android view LayoutInflater rInflateChildren(LayoutInflater java:1082)_x000D_
        at android view LayoutInflater parseInclude(LayoutInflater java:1261)_x000D_
        at android view LayoutInflater rInflate(LayoutInflater java:1117)_x000D_
        at android view LayoutInflater rInflateChildren(LayoutInflater java:1082)_x000D_
        at android view LayoutInflater rInflate(LayoutInflater java:1124)_x000D_
        at android view LayoutInflater rInflateChildren(LayoutInflater java:1082)_x000D_
        at android view LayoutInflater inflate(LayoutInflater java:680)_x000D_
        at android view LayoutInflater inflate(LayoutInflater java:532)_x000D_
        at android view LayoutInflater inflate(LayoutInflater java:479)_x000D_
        at androidx appcompat app AppCompatDelegateImpl setContentView(AppCompatDelegateImpl java:699)_x000D_
        at androidx appcompat app AppCompatActivity setContentView(AppCompatActivity java:195)_x000D_
        at io pslab activity WaveGeneratorActivity onCreate(WaveGeneratorActivity java:214)_x000D_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java:3422)_x000D_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2021 10 15 08:58:48 324 12478 12478 io pslab E AndroidRuntime: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IllegalArgumentException: the Argument: TICK COUNT must be limited between (0 50)  Now is 51_x000D_
        at com warkiz widget IndicatorSeekBar collectTicksInfo(IndicatorSeekBar java:272)_x000D_
        at com warkiz widget IndicatorSeekBar initParams(IndicatorSeekBar java:262)_x000D_
        at com warkiz widget IndicatorSeekBar  init (IndicatorSeekBar java:149)_x000D_
        	    36 more_x000D_
   _x000D_
_x000D_
  Screenshots of the issue  _x000D_
_x000D_
N A_x000D_
_x000D_
  Would you like to work on the issue   _x000D_
_x000D_
N A</t>
  </si>
  <si>
    <t>fossasia-pslab-android-2257</t>
  </si>
  <si>
    <t>Logic Analyzer does not open up</t>
  </si>
  <si>
    <t xml:space="preserve">  Actual Behaviour  _x000D_
_x000D_
Opening Logic Analyzer crashes the app_x000D_
_x000D_
  Expected Behaviour  _x000D_
_x000D_
App should not crash_x000D_
_x000D_
  Steps to reproduce it  _x000D_
_x000D_
Open Logic Analyzer_x000D_
_x000D_
  LogCat for the issue  _x000D_
_x000D_
   _x000D_
2021 10 15 08:08:32 520 11799 11799 io pslab E AndroidRuntime: FATAL EXCEPTION: main_x000D_
    Process: io pslab  PID: 11799_x000D_
    java lang RuntimeException: Unable to start activity ComponentInfo io pslab io pslab activity LogicalAnalyzerActivity : android view InflateException: Binary XML file line  43 in io pslab:layout activity logic analyzer: Could not inflate Behavior subclass android support design widget BottomSheetBehavior_x000D_
        at android app ActivityThread performLaunchActivity(ActivityThread java:3449)_x000D_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android view InflateException: Binary XML file line  43 in io pslab:layout activity logic analyzer: Could not inflate Behavior subclass android support design widget BottomSheetBehavior_x000D_
     Caused by: java lang RuntimeException: Could not inflate Behavior subclass android support design widget BottomSheetBehavior_x000D_
        at androidx coordinatorlayout widget CoordinatorLayout parseBehavior(CoordinatorLayout java:649)_x000D_
        at androidx coordinatorlayout widget CoordinatorLayout LayoutParams  init (CoordinatorLayout java:2896)_x000D_
        at androidx coordinatorlayout widget CoordinatorLayout generateLayoutParams(CoordinatorLayout java:1740)_x000D_
        at androidx coordinatorlayout widget CoordinatorLayout generateLayoutParams(CoordinatorLayout java:112)_x000D_
        at android view LayoutInflater parseInclude(LayoutInflater java:1256)_x000D_
        at android view LayoutInflater rInflate(LayoutInflater java:1117)_x000D_
        at android view LayoutInflater rInflateChildren(LayoutInflater java:1082)_x000D_
        at android view LayoutInflater inflate(LayoutInflater java:680)_x000D_
        at android view LayoutInflater inflate(LayoutInflater java:532)_x000D_
        at android view LayoutInflater inflate(LayoutInflater java:479)_x000D_
        at androidx appcompat app AppCompatDelegateImpl setContentView(AppCompatDelegateImpl java:699)_x000D_
        at androidx appcompat app AppCompatActivity setContentView(AppCompatActivity java:195)_x000D_
        at io pslab activity LogicalAnalyzerActivity onCreate(LogicalAnalyzerActivity java:66)_x000D_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java:3422)_x000D_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ClassNotFoundException: android support design widget BottomSheetBehavior_x000D_
        at java lang Class classForName(Native Method)_x000D_
        at java lang Class forName(Class java:454)_x000D_
        at androidx coordinatorlayout widget CoordinatorLayout parseBehavior(CoordinatorLayout java:642)_x000D_
2021 10 15 08:08:32 522 11799 11799 io pslab E AndroidRuntime: 	    27 more_x000D_
    Caused by: java lang ClassNotFoundException: Didn t find class  android support design widget BottomSheetBehavior  on path: DexPathList  zip file   data app   cOqzHTaRoTsoL4SjEKnenA   io pslab Mpttrzt764u8V54E 9cY9g   base apk   nativeLibraryDirectories   data app   cOqzHTaRoTsoL4SjEKnenA   io pslab Mpttrzt764u8V54E 9cY9g   lib x86   data app   cOqzHTaRoTsoL4SjEKnenA   io pslab Mpttrzt764u8V54E 9cY9g   base apk  lib x86   system lib   system ext lib  _x000D_
        at dalvik system BaseDexClassLoader findClass(BaseDexClassLoader java:207)_x000D_
        at java lang ClassLoader loadClass(ClassLoader java:379)_x000D_
        at java lang ClassLoader loadClass(ClassLoader java:312)_x000D_
        	    30 more_x000D_
   _x000D_
_x000D_
  Screenshots of the issue  _x000D_
_x000D_
N A_x000D_
_x000D_
  Would you like to work on the issue   _x000D_
_x000D_
N A</t>
  </si>
  <si>
    <t>fossasia-pslab-android-2256</t>
  </si>
  <si>
    <t>Oscilloscope does not open up</t>
  </si>
  <si>
    <t xml:space="preserve">  Actual Behaviour  _x000D_
_x000D_
Opening oscilloscope crashes the app_x000D_
_x000D_
  Expected Behaviour  _x000D_
_x000D_
App should not crash_x000D_
_x000D_
  Steps to reproduce it  _x000D_
_x000D_
Open oscilloscope_x000D_
_x000D_
  LogCat for the issue  _x000D_
_x000D_
   _x000D_
2021 10 15 08:06:52 991 11725 11725 io pslab E AndroidRuntime: FATAL EXCEPTION: main_x000D_
    Process: io pslab  PID: 11725_x000D_
    java lang RuntimeException: Unable to start activity ComponentInfo io pslab io pslab activity OscilloscopeActivity : android view InflateException: Binary XML file line  346 in io pslab:layout activity oscilloscope: Could not inflate Behavior subclass android support design widget BottomSheetBehavior_x000D_
        at android app ActivityThread performLaunchActivity(ActivityThread java:3449)_x000D_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android view InflateException: Binary XML file line  346 in io pslab:layout activity oscilloscope: Could not inflate Behavior subclass android support design widget BottomSheetBehavior_x000D_
     Caused by: java lang RuntimeException: Could not inflate Behavior subclass android support design widget BottomSheetBehavior_x000D_
        at androidx coordinatorlayout widget CoordinatorLayout parseBehavior(CoordinatorLayout java:649)_x000D_
        at androidx coordinatorlayout widget CoordinatorLayout LayoutParams  init (CoordinatorLayout java:2896)_x000D_
        at androidx coordinatorlayout widget CoordinatorLayout generateLayoutParams(CoordinatorLayout java:1740)_x000D_
        at androidx coordinatorlayout widget CoordinatorLayout generateLayoutParams(CoordinatorLayout java:112)_x000D_
        at android view LayoutInflater parseInclude(LayoutInflater java:1256)_x000D_
        at android view LayoutInflater rInflate(LayoutInflater java:1117)_x000D_
        at android view LayoutInflater rInflateChildren(LayoutInflater java:1082)_x000D_
        at android view LayoutInflater inflate(LayoutInflater java:680)_x000D_
        at android view LayoutInflater inflate(LayoutInflater java:532)_x000D_
        at android view LayoutInflater inflate(LayoutInflater java:479)_x000D_
        at androidx appcompat app AppCompatDelegateImpl setContentView(AppCompatDelegateImpl java:699)_x000D_
        at androidx appcompat app AppCompatActivity setContentView(AppCompatActivity java:195)_x000D_
        at io pslab activity OscilloscopeActivity onCreate(OscilloscopeActivity java:227)_x000D_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java:3422)_x000D_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ClassNotFoundException: android support design widget BottomSheetBehavior_x000D_
        at java lang Class classForName(Native Method)_x000D_
        at java lang Class forName(Class java:454)_x000D_
        at androidx coordinatorlayout widget CoordinatorLayout parseBehavior(CoordinatorLayout java:642)_x000D_
        at androidx coordinatorlayout widget CoordinatorLayout LayoutParams  init (CoordinatorLayout java:2896) _x000D_
        at androidx coordinatorlayout widget CoordinatorLayout generateLayoutParams(CoordinatorLayout java:1740) _x000D_
        at androidx coordinatorlayout widget CoordinatorLayout generateLayoutParams(CoordinatorLayout java:112) _x000D_
        at android view LayoutInflater parseInclude(LayoutInflater java:1256) _x000D_
        at android view LayoutInflater rInflate(LayoutInflater java:1117) _x000D_
        at android view LayoutInflater rInflateChildren(LayoutInflater java:1082) _x000D_
        at android view LayoutInflater inflate(LayoutInflater java:680) _x000D_
        at android view LayoutInflater inflate(LayoutInflater java:532) _x000D_
        at android view LayoutInflater inflate(LayoutInflater java:479) _x000D_
        at androidx appcompat app AppCompatDelegateImpl setContentView(AppCompatDelegateImpl java:699) _x000D_
        at androidx appcompat app AppCompatActivity setContentView(AppCompatActivity java:195) _x000D_
        at io pslab activity OscilloscopeActivity onCreate(OscilloscopeActivity java:227) _x000D_
        at android app Activity performCreate(Activity java:8000) _x000D_
        at android app Activity performCreate(Activity java:7984) _x000D_
        at android app Instrumentation callActivityOnCreate(Instrumentation java:1309) _x000D_
        at android app ActivityThread performLaunchActivity(ActivityThread java:3422) _x000D_
        at android app ActivityThread handleLaunchActivity(ActivityThread java:3601) _x000D_
        at android app servertransaction LaunchActivityItem execute(LaunchActivityItem java:85) _x000D_
        at android app servertransaction TransactionExecutor executeCallbacks(TransactionExecutor java:135) _x000D_
        at android app servertransaction TransactionExecutor execute(TransactionExecutor java:95) _x000D_
        at android app ActivityThread H handleMessage(ActivityThread java:2066) _x000D_
        at android os Handler dispatchMessage(Handler java:106) _x000D_
        at android os Looper loop(Looper java:223) _x000D_
        at android app ActivityThread main(ActivityThread java:7656) _x000D_
        at java lang reflect Method invoke(Native Method) _x000D_
        at com android internal os RuntimeInit MethodAndArgsCaller run(RuntimeInit java:592) _x000D_
        at com android internal os ZygoteInit main(ZygoteInit java:947) _x000D_
2021 10 15 08:06:52 991 11725 11725 io pslab E AndroidRuntime: Caused by: java lang ClassNotFoundException: Didn t find class  android support design widget BottomSheetBehavior  on path: DexPathList  zip file   data app   cOqzHTaRoTsoL4SjEKnenA   io pslab Mpttrzt764u8V54E 9cY9g   base apk   nativeLibraryDirectories   data app   cOqzHTaRoTsoL4SjEKnenA   io pslab Mpttrzt764u8V54E 9cY9g   lib x86   data app   cOqzHTaRoTsoL4SjEKnenA   io pslab Mpttrzt764u8V54E 9cY9g   base apk  lib x86   system lib   system ext lib  _x000D_
        at dalvik system BaseDexClassLoader findClass(BaseDexClassLoader java:207)_x000D_
        at java lang ClassLoader loadClass(ClassLoader java:379)_x000D_
        at java lang ClassLoader loadClass(ClassLoader java:312)_x000D_
        	    30 more_x000D_
   _x000D_
_x000D_
  Screenshots of the issue  _x000D_
_x000D_
N A_x000D_
_x000D_
  Would you like to work on the issue   _x000D_
_x000D_
N A</t>
  </si>
  <si>
    <t>fossasia-pslab-android-2255</t>
  </si>
  <si>
    <t>Multimeter view doesn't open up</t>
  </si>
  <si>
    <t xml:space="preserve">  Actual Behaviour  _x000D_
_x000D_
Opening Multimeter instrument crashes the app_x000D_
_x000D_
  Expected Behaviour  _x000D_
_x000D_
App should not crash_x000D_
_x000D_
  Steps to reproduce it  _x000D_
_x000D_
Open Multimeter_x000D_
_x000D_
  LogCat for the issue  _x000D_
_x000D_
   _x000D_
2021 10 15 08:01:42 774 11610 11610 io pslab E AndroidRuntime: FATAL EXCEPTION: main_x000D_
    Process: io pslab  PID: 11610_x000D_
    java lang RuntimeException: Unable to start activity ComponentInfo io pslab io pslab activity MultimeterActivity : android view InflateException: Binary XML file line  16 in io pslab:layout activity multimeter main: Could not inflate Behavior subclass android support design widget BottomSheetBehavior_x000D_
        at android app ActivityThread performLaunchActivity(ActivityThread java:3449)_x000D_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android view InflateException: Binary XML file line  16 in io pslab:layout activity multimeter main: Could not inflate Behavior subclass android support design widget BottomSheetBehavior_x000D_
     Caused by: java lang RuntimeException: Could not inflate Behavior subclass android support design widget BottomSheetBehavior_x000D_
        at androidx coordinatorlayout widget CoordinatorLayout parseBehavior(CoordinatorLayout java:649)_x000D_
        at androidx coordinatorlayout widget CoordinatorLayout LayoutParams  init (CoordinatorLayout java:2896)_x000D_
        at androidx coordinatorlayout widget CoordinatorLayout generateLayoutParams(CoordinatorLayout java:1740)_x000D_
        at androidx coordinatorlayout widget CoordinatorLayout generateLayoutParams(CoordinatorLayout java:112)_x000D_
        at android view LayoutInflater parseInclude(LayoutInflater java:1256)_x000D_
        at android view LayoutInflater rInflate(LayoutInflater java:1117)_x000D_
        at android view LayoutInflater rInflateChildren(LayoutInflater java:1082)_x000D_
        at android view LayoutInflater inflate(LayoutInflater java:680)_x000D_
        at android view LayoutInflater inflate(LayoutInflater java:532)_x000D_
        at android view LayoutInflater inflate(LayoutInflater java:479)_x000D_
        at androidx appcompat app AppCompatDelegateImpl setContentView(AppCompatDelegateImpl java:699)_x000D_
        at androidx appcompat app AppCompatActivity setContentView(AppCompatActivity java:195)_x000D_
        at io pslab activity MultimeterActivity onCreate(MultimeterActivity java:145)_x000D_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java:3422)_x000D_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ClassNotFoundException: android support design widget BottomSheetBehavior_x000D_
        at java lang Class classForName(Native Method)_x000D_
        at java lang Class forName(Class java:454)_x000D_
        at androidx coordinatorlayout widget CoordinatorLayout parseBehavior(CoordinatorLayout java:642)_x000D_
        at androidx coordinatorlayout widget CoordinatorLayout LayoutParams  init (CoordinatorLayout java:2896) _x000D_
        at androidx coordinatorlayout widget CoordinatorLayout generateLayoutParams(CoordinatorLayout java:1740) _x000D_
        at androidx coordinatorlayout widget CoordinatorLayout generateLayoutParams(CoordinatorLayout java:112) _x000D_
        at android view LayoutInflater parseInclude(LayoutInflater java:1256) _x000D_
        at android view LayoutInflater rInflate(LayoutInflater java:1117) _x000D_
        at android view LayoutInflater rInflateChildren(LayoutInflater java:1082) _x000D_
        at android view LayoutInflater inflate(LayoutInflater java:680) _x000D_
        at android view LayoutInflater inflate(LayoutInflater java:532) _x000D_
        at android view LayoutInflater inflate(LayoutInflater java:479) _x000D_
        at androidx appcompat app AppCompatDelegateImpl setContentView(AppCompatDelegateImpl java:699) _x000D_
        at androidx appcompat app AppCompatActivity setContentView(AppCompatActivity java:195) _x000D_
        at io pslab activity MultimeterActivity onCreate(MultimeterActivity java:145) _x000D_
        at android app Activity performCreate(Activity java:8000) _x000D_
        at android app Activity performCreate(Activity java:7984) _x000D_
        at android app Instrumentation callActivityOnCreate(Instrumentation java:1309) _x000D_
        at android app ActivityThread performLaunchActivity(ActivityThread java:3422) _x000D_
        at android app ActivityThread handleLaunchActivity(ActivityThread java:3601) _x000D_
        at android app servertransaction LaunchActivityItem execute(LaunchActivityItem java:85) _x000D_
        at android app servertransaction TransactionExecutor executeCallbacks(TransactionExecutor java:135) _x000D_
        at android app servertransaction TransactionExecutor execute(TransactionExecutor java:95) _x000D_
        at android app ActivityThread H handleMessage(ActivityThread java:2066) _x000D_
        at android os Handler dispatchMessage(Handler java:106) _x000D_
        at android os Looper loop(Looper java:223) _x000D_
        at android app ActivityThread main(ActivityThread java:7656) _x000D_
        at java lang reflect Method invoke(Native Method) _x000D_
        at com android internal os RuntimeInit MethodAndArgsCaller run(RuntimeInit java:592) _x000D_
        at com android internal os ZygoteInit main(ZygoteInit java:947) _x000D_
2021 10 15 08:01:42 777 11610 11610 io pslab E AndroidRuntime: Caused by: java lang ClassNotFoundException: Didn t find class  android support design widget BottomSheetBehavior  on path: DexPathList  zip file   data app   cOqzHTaRoTsoL4SjEKnenA   io pslab Mpttrzt764u8V54E 9cY9g   base apk   nativeLibraryDirectories   data app   cOqzHTaRoTsoL4SjEKnenA   io pslab Mpttrzt764u8V54E 9cY9g   lib x86   data app   cOqzHTaRoTsoL4SjEKnenA   io pslab Mpttrzt764u8V54E 9cY9g   base apk  lib x86   system lib   system ext lib  _x000D_
        at dalvik system BaseDexClassLoader findClass(BaseDexClassLoader java:207)_x000D_
        at java lang ClassLoader loadClass(ClassLoader java:379)_x000D_
        at java lang ClassLoader loadClass(ClassLoader java:312)_x000D_
        	    30 more_x000D_
   _x000D_
  Screenshots of the issue  _x000D_
_x000D_
N A_x000D_
_x000D_
  Would you like to work on the issue   _x000D_
_x000D_
N A</t>
  </si>
  <si>
    <t>TeamNewPipe-NewPipe-7251</t>
  </si>
  <si>
    <t xml:space="preserve">App crashes when playing back any content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</si>
  <si>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My device is Lenovo M10 HD 2nd Gen   _x000D_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model:_x000D_
</t>
  </si>
  <si>
    <t>Anuken-Mindustry-6155</t>
  </si>
  <si>
    <t>Planet Constructor Params swaped</t>
  </si>
  <si>
    <t xml:space="preserve">  Platform  :  Windows _x000D_
_x000D_
  Build  :  Mindustry BE Desktop 22038 _x000D_
_x000D_
  Issue  :  _x000D_
Planet Constructor Params have changed in order  causing a crash due to no such method error on mod content loading_x000D_
 _x000D_
  image (https:  user images githubusercontent com 73347888 137422395 f559c7ce f2f3 4022 ac31 b8f9b435ce56 png)_x000D_
_x000D_
_x000D_
  Steps to reproduce  :  _x000D_
 install a mod which uses old planet constructor to create a new planet_x000D_
 start up the game _x000D_
 _x000D_
_x000D_
  Link(s) to mod(s) used  :   _x000D_
https:  github com Sh1penfire Endless rusting_x000D_
_x000D_
  Save file  :  Unable to produce  crash happens the instant content loading gets to a mod s planet_x000D_
_x000D_
  (Crash) logs  : _x000D_
 Uploading crash report 10 15 2021 13 17 12 txt  ()_x000D_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</si>
  <si>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SmartPack-PackageManager-64</t>
  </si>
  <si>
    <t>Bug: Crashes When Clicking Yahoo! Mail App</t>
  </si>
  <si>
    <t xml:space="preserve">I did notice that when I tried to export Yahoo  Mail app  even before I got to exporting it  your app crashed  Just clicking on the app in the list seemed to crash this app  Just wanted to make you aware since you seem pretty good about responding to issues which I am thankful for </t>
  </si>
  <si>
    <t>norkator-apcupsd-monitor-67</t>
  </si>
  <si>
    <t>App crashes when trying to access settings menu on A7</t>
  </si>
  <si>
    <t xml:space="preserve">Hi  I m Marcus and I really like using your app  It has already proven it s usefulness in a couple of power outages  when I could not use a regular computer to check the remaining time on my UPS I use for my network equipment  Thanks for making it _x000D_
Unfortunately  my newer ish phone  an Honor 8X with Android 10  broke  Now I m back at my older Huawei P9 Lite  which stopped at Android 7  Can t say it s unusable  it is actually better in some ways than the newer phones  _x000D_
_x000D_
I ve started to have this issue on a previous version of this app and the issue still persists with the newest version _x000D_
Whenever I tap onto the gear icon in the top right corner of the main screen in your app  it is supposed to take me to the settings menu  Instead  the screen goes black for a sec and then the app closes by itself _x000D_
Just to clarify  I installed your app onto my older phone just not too long ago  so I can t really confirm if this issue didn t occur in an older version of the app _x000D_
_x000D_
I should be able to send you a logcat (debug level  my device is rooted) from my device when this issue occurs  For now  I m finally going to get that log and try to find out what s going on  _x000D_
_x000D_
Edit: got the crash _x000D_
_x000D_
  AndroidRuntime_x000D_
FATAL EXCEPTION: main_x000D_
Process: com nitramite apcupsdmonitor  PID: 19324_x000D_
java lang RuntimeException: Unable to start activity ComponentInfo com nitramite apcupsdmonitor com nitramite apcupsdmonitor Preferences : java lang IllegalArgumentException: AppCompat does not support the current theme features:   windowActionBar: false  windowActionBarOverlay: false  android:windowIsFloating: false  windowActionModeOverlay: false  windowNoTitle: false  _x000D_
	at android app ActivityThread performLaunchActivity(ActivityThread java:2793)_x000D_
	at android app ActivityThread handleLaunchActivity(ActivityThread java:2864)_x000D_
	at android app ActivityThread  wrap12(ActivityThread java)_x000D_
	at android app ActivityThread H handleMessage(ActivityThread java:1567)_x000D_
	at android os Handler dispatchMessage(Handler java:105)_x000D_
	at android os Looper loop(Looper java:156)_x000D_
	at android app ActivityThread main(ActivityThread java:6517)_x000D_
	at java lang reflect Method invoke(Native Method)_x000D_
	at com android internal os ZygoteInit MethodAndArgsCaller run(ZygoteInit java:942)_x000D_
	at com android internal os ZygoteInit main(ZygoteInit java:832)_x000D_
Caused by: java lang IllegalArgumentException: AppCompat does not support the current theme features:   windowActionBar: false  windowActionBarOverlay: false  android:windowIsFloating: false  windowActionModeOverlay: false  windowNoTitle: false  _x000D_
	at androidx appcompat app AppCompatDelegateImpl createSubDecor(AppCompatDelegateImpl java:928)_x000D_
	at androidx appcompat app AppCompatDelegateImpl ensureSubDecor(AppCompatDelegateImpl java:809)_x000D_
	at androidx appcompat app AppCompatDelegateImpl setContentView(AppCompatDelegateImpl java:696)_x000D_
	at androidx appcompat app AppCompatActivity setContentView(AppCompatActivity java:195)_x000D_
	at com nitramite apcupsdmonitor Preferences onCreate(Preferences java:70)_x000D_
	at android app Activity performCreate(Activity java:6915)_x000D_
	at android app Instrumentation callActivityOnCreate(Instrumentation java:1123)_x000D_
	at android app ActivityThread performLaunchActivity(ActivityThread java:2746)_x000D_
	    9 more_x000D_
_x000D_
Edit 2: There s many warnings occuring right before the app crashes that read:_x000D_
_x000D_
  ResourceType_x000D_
For resource 0x7f110242  entry index(578) is beyond type entryCount(182)_x000D_
_x000D_
Each warning contains different hex values and numbers  </t>
  </si>
  <si>
    <t>TeamNewPipe-NewPipe-7250</t>
  </si>
  <si>
    <t>Pause Download Problem</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</si>
  <si>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I start download a youtube video _x000D_
2  I paused in the middle of the download _x000D_
3  I quit out the newpipe app _x000D_
4  I kill the android task _x000D_
5  I reopen newpipe _x000D_
6  The previously unfinished video has disappeared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the download task disappeared _x000D_
_x000D_
i work fine on old version 0 21 08 _x000D_
this issue maybe start on 0 21 10 _x000D_
latest 0 21 12 still has this bug _x000D_
_x000D_
_x000D_
_x000D_
    Expected behavior_x000D_
     Tell us what you expect to happen     _x000D_
_x000D_
_x000D_
The download task should exist  and the download should be can continue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miui 10 2 2 0 (android 7 0)_x000D_
   Device model: xiaomi max_x000D_
</t>
  </si>
  <si>
    <t>stefan-niedermann-nextcloud-notes-1374</t>
  </si>
  <si>
    <t xml:space="preserve">App crash during note editing: IndexOutOfBoundsException </t>
  </si>
  <si>
    <t xml:space="preserve">For the second time  the app crashed during note editing with the error show below _x000D_
_x000D_
I was in transit  so one cause might be that the Internet connection broke during a sync while editing  _x000D_
_x000D_
   _x000D_
App Version: 3 4 13_x000D_
App Version Code: 3004013_x000D_
App Flavor: fdroid_x000D_
_x000D_
Files App Version Code: 30170090_x000D_
_x000D_
   _x000D_
_x000D_
OS Version: 3 18 120 perf (1911042108)_x000D_
OS API Level: 28_x000D_
Device: OnePlus3T_x000D_
Manufacturer: OnePlus_x000D_
Model (and Product): ONEPLUS A3003 (OnePlus3)_x000D_
_x000D_
   _x000D_
_x000D_
java lang IndexOutOfBoundsException: replace (670     673) ends beyond length 672_x000D_
	at android text SpannableStringBuilder checkRange(SpannableStringBuilder java:1336)_x000D_
	at android text SpannableStringBuilder replace(SpannableStringBuilder java:527)_x000D_
	at android text SpannableStringBuilder replace(SpannableStringBuilder java:521)_x000D_
	at android text SpannableStringBuilder replace(SpannableStringBuilder java:41)_x000D_
	at it niedermann android markdown markwon textwatcher AutoContinuationTextWatcher deleteCustomText(AutoContinuationTextWatcher java:78)_x000D_
	at it niedermann android markdown markwon textwatcher AutoContinuationTextWatcher afterTextChanged(AutoContinuationTextWatcher java:60)_x000D_
	at it niedermann android markdown markwon textwatcher LowerIndentionTextWatcher afterTextChanged(LowerIndentionTextWatcher java:49)_x000D_
	at it niedermann android markdown markwon textwatcher SearchHighlightTextWatcher afterTextChanged(SearchHighlightTextWatcher java:61)_x000D_
	at it niedermann android markdown markwon textwatcher CombinedTextWatcher afterTextChanged(CombinedTextWatcher java:47)_x000D_
	at android widget TextView sendAfterTextChanged(TextView java:9802)_x000D_
	at android widget TextView ChangeWatcher afterTextChanged(TextView java:12554)_x000D_
	at android text SpannableStringBuilder sendAfterTextChanged(SpannableStringBuilder java:1288)_x000D_
	at android text SpannableStringBuilder replace(SpannableStringBuilder java:591)_x000D_
	at android text SpannableStringBuilder replace(SpannableStringBuilder java:521)_x000D_
	at android text SpannableStringBuilder replace(SpannableStringBuilder java:41)_x000D_
	at android text method QwertyKeyListener onKeyDown(QwertyKeyListener java:228)_x000D_
	at android text method TextKeyListener onKeyDown(TextKeyListener java:141)_x000D_
	at android widget TextView doKeyDown(TextView java:7697)_x000D_
	at android widget TextView onKeyDown(TextView java:7474)_x000D_
	at android view KeyEvent dispatch(KeyEvent java:2692)_x000D_
	at android view View dispatchKeyEvent(View java:12529)_x000D_
	at android view ViewGroup dispatchKeyEvent(ViewGroup java:1896)_x000D_
	at android widget ScrollView dispatchKeyEvent(ScrollView java:394)_x000D_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com android internal policy DecorView superDispatchKeyEvent(DecorView java:429)_x000D_
	at com android internal policy PhoneWindow superDispatchKeyEvent(PhoneWindow java:1840)_x000D_
	at android app Activity dispatchKeyEvent(Activity java:3373)_x000D_
	at androidx core app ComponentActivity superDispatchKeyEvent(ComponentActivity java:122)_x000D_
	at androidx core view KeyEventDispatcher dispatchKeyEvent(KeyEventDispatcher java:84)_x000D_
	at androidx core app ComponentActivity dispatchKeyEvent(ComponentActivity java:140)_x000D_
	at androidx appcompat app AppCompatActivity dispatchKeyEvent(AppCompatActivity java:599)_x000D_
	at androidx appcompat view WindowCallbackWrapper dispatchKeyEvent(WindowCallbackWrapper java:59)_x000D_
	at androidx appcompat app AppCompatDelegateImpl AppCompatWindowCallback dispatchKeyEvent(AppCompatDelegateImpl java:3068)_x000D_
	at androidx appcompat view WindowCallbackWrapper dispatchKeyEvent(WindowCallbackWrapper java:59)_x000D_
	at com android internal policy DecorView dispatchKeyEvent(DecorView java:343)_x000D_
	at android view ViewRootImpl ViewPostImeInputStage processKeyEvent(ViewRootImpl java:5328)_x000D_
	at android view ViewRootImpl ViewPostImeInputStage onProcess(ViewRootImpl java:5196)_x000D_
	at android view ViewRootImpl InputStage deliver(ViewRootImpl java:4680)_x000D_
	at android view ViewRootImpl InputStage onDeliverToNext(ViewRootImpl java:4733)_x000D_
	at android view ViewRootImpl InputStage forward(ViewRootImpl java:4699)_x000D_
	at android view ViewRootImpl AsyncInputStage forward(ViewRootImpl java:4839)_x000D_
	at android view ViewRootImpl InputStage apply(ViewRootImpl java:4707)_x000D_
	at android view ViewRootImpl AsyncInputStage apply(ViewRootImpl java:4896)_x000D_
	at android view ViewRootImpl InputStage deliver(ViewRootImpl java:4680)_x000D_
	at android view ViewRootImpl InputStage onDeliverToNext(ViewRootImpl java:4733)_x000D_
	at android view ViewRootImpl InputStage forward(ViewRootImpl java:4699)_x000D_
	at android view ViewRootImpl InputStage apply(ViewRootImpl java:4707)_x000D_
	at android view ViewRootImpl InputStage deliver(ViewRootImpl java:4680)_x000D_
	at android view ViewRootImpl deliverInputEvent(ViewRootImpl java:7704)_x000D_
	at android view ViewRootImpl doProcessInputEvents(ViewRootImpl java:7673)_x000D_
	at android view ViewRootImpl enqueueInputEvent(ViewRootImpl java:7606)_x000D_
	at android view ViewRootImpl ViewRootHandler handleMessage(ViewRootImpl java:4433)_x000D_
	at android os Handler dispatchMessage(Handler java:106)_x000D_
	at android os Looper loop(Looper java:193)_x000D_
	at android app ActivityThread main(ActivityThread java:6863)_x000D_
	at java lang reflect Method invoke(Native Method)_x000D_
	at com android internal os RuntimeInit MethodAndArgsCaller run(RuntimeInit java:537)_x000D_
	at com android internal os ZygoteInit main(ZygoteInit java:858)_x000D_
_x000D_
   </t>
  </si>
  <si>
    <t>TeamNewPipe-NewPipe-7249</t>
  </si>
  <si>
    <t>Donate-Button crashes App on Android TV</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</si>
  <si>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Info  in mainMen  _x000D_
2  Press on  Give Back Donate Button _x000D_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The App crashes _x000D_
_x000D_
_x000D_
_x000D_
    Expected behavior_x000D_
Display Infos how to donate to the project_x000D_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No Screenshots available  NewPipe running on an Android TV Philips 55PUS7305_x000D_
_x000D_
_x000D_
_x000D_
    Logs_x000D_
     If your bug includes a crash (where you re shown the Error Report page with a bunch of info)  tap on  Copy formatted report  at the bottom and paste it here:    _x000D_
Sorry  can not paste the crash report  because i can t navigate to the mentioned  Copy formatted report  Button with my remote _x000D_
     That s right  here     _x000D_
_x000D_
_x000D_
_x000D_
     Please fill this section if you did not provide a log generated by NewPipe    _x000D_
_x000D_
    Device info_x000D_
_x000D_
   Android version Custom ROM version: 9 ( )  Sorry can t figure out the precise Android version_x000D_
   Device model: Philips 55PUS7305 Android TV_x000D_
</t>
  </si>
  <si>
    <t>TeamNewPipe-NewPipe-7247</t>
  </si>
  <si>
    <t>newpipe: since version 0.21.6 the "what's new" feed is not updated automatically !!!</t>
  </si>
  <si>
    <t>TeamNewPipe-NewPipe-7246</t>
  </si>
  <si>
    <t>Don't save status video visualized</t>
  </si>
  <si>
    <t xml:space="preserve">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video_x000D_
2  Press on middle progress bar video_x000D_
3  Close app_x000D_
4  Go historical videos and find the lad video played_x000D_
5  Play on_x000D_
6  Video pay from beginning instead in the middle_x000D_
   _x000D_
1  Go to any video_x000D_
2  Press on middle progress bar video_x000D_
3  Close app_x000D_
4  Go historical videos and find the last video played_x000D_
5  Play on_x000D_
6  Video plays from beginning instead in the middle_x000D_
7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Historical videos not work_x000D_
_x000D_
    Expected behavior_x000D_
     Tell us what you expect to happen     _x000D_
_x000D_
The video plays from the last status played_x000D_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model:_x000D_
</t>
  </si>
  <si>
    <t>project-anuvaad-Project-Saral-67</t>
  </si>
  <si>
    <t>App crash with issue with RELOAD/DISMISS options in reactNative layer</t>
  </si>
  <si>
    <t>App crash with issue with RELOAD DISMISS options in reactNative layer  Refer attached image for reference _x000D_
_x000D_
  Screenshot 20211013 122459 SaralApp (https:  user images githubusercontent com 89640648 137264943 3400e593 b8c8 4edc 94ea 79a9b98e0545 jpg)_x000D_
er</t>
  </si>
  <si>
    <t>inaturalist-iNaturalistAndroid-1135</t>
  </si>
  <si>
    <t>NullPointerException in ObservationListActivity.onActivityResult</t>
  </si>
  <si>
    <t xml:space="preserve">https:  console firebase google com u 1 project inaturalist ios crashlytics app android:org inaturalist android issues 03d127b174d464500c0c5c3cd30124d0_x000D_
_x000D_
   _x000D_
Caused by java lang NullPointerException: Attempt to invoke virtual method  void org inaturalist android ObservationCursorAdapter onObservationChanged()  on a null object reference_x000D_
       at org inaturalist android ObservationListActivity onActivityResult(ObservationListActivity java:1940)_x000D_
   </t>
  </si>
  <si>
    <t>cgeo-cgeo-11880</t>
  </si>
  <si>
    <t>Crash on selecting c:geo as navigation target in Lab Adventures app</t>
  </si>
  <si>
    <t xml:space="preserve">    Describe your problem 
Got reports from several users  and can reproduce myself with current beta _x000D_
_x000D_
Selecting c:geo as navigation target for a lab adventure or one of its stages leads to c:geo crashing instead of opening the list to create a new UDC or add a waypoint to a recent UDC 
    How to reproduce 
  open lab adventure app_x000D_
  select a lab adventure_x000D_
  tap on navigation symbol and select c:geo as navigation target
    Actual result after these steps 
c:geo crashes
    Expected result after these steps 
c:geo should open a selection list in which you can either create a new UDC from the coordinates selected  or add a new waypoint to one of the existing UDC 
    Reproducible
Yes
    c:geo Version
2021 10 11 RC
    System information
 No response 
    Additional Information
taken from one of my own logcats:_x000D_
_x000D_
   _x000D_
10 13 16:18:47 617 16894 16894 E AndroidRuntime: FATAL EXCEPTION: main_x000D_
10 13 16:18:47 617 16894 16894 E AndroidRuntime: Process: cgeo geocaching  PID: 16894_x000D_
10 13 16:18:47 617 16894 16894 E AndroidRuntime: java lang NullPointerException: Attempt to invoke virtual method  void android widget TextView setText(java lang CharSequence)  on a null object reference_x000D_
10 13 16:18:47 617 16894 16894 E AndroidRuntime: 	at cgeo geocaching NavigateAnyPointActivity 1 getView(NavigateAnyPointActivity java:104)_x000D_
10 13 16:18:47 617 16894 16894 E AndroidRuntime: 	at android widget AbsListView obtainView(AbsListView java:2629)_x000D_
10 13 16:18:47 617 16894 16894 E AndroidRuntime: 	at android widget ListView measureHeightOfChildren(ListView java:1452)_x000D_
10 13 16:18:47 617 16894 16894 E AndroidRuntime: 	at android widget ListView onMeasure(ListView java:1358)_x000D_
10 13 16:18:47 617 16894 16894 E AndroidRuntime: 	at android view View measure(View java:27131)_x000D_
10 13 16:18:47 617 16894 16894 E AndroidRuntime: 	at android view ViewGroup measureChildWithMargins(ViewGroup java:7951)_x000D_
10 13 16:18:47 617 16894 16894 E AndroidRuntime: 	at android widget FrameLayout onMeasure(FrameLayout java:194)_x000D_
10 13 16:18:47 617 16894 16894 E AndroidRuntime: 	at android view View measure(View java:27131)_x000D_
10 13 16:18:47 617 16894 16894 E AndroidRuntime: 	at androidx appcompat widget AlertDialogLayout tryOnMeasure(AlertDialogLayout java:134)_x000D_
     _x000D_
   _x000D_
</t>
  </si>
  <si>
    <t>cgeo-cgeo-11878</t>
  </si>
  <si>
    <t>Crash or "hang" when trying to open from AL App</t>
  </si>
  <si>
    <t xml:space="preserve">    Describe your problem 
We have three reports for current beta on support mail  that c:geo crashes or hangs when trying to invoke the navigation from the adventure lab app to generate a new target in c:geo _x000D_
    How to reproduce 
  Use Groundspeak Adventure Lab app_x000D_
  Select a location of an adventure_x000D_
  Invoke navigation and select to open it with c:geo
    Actual result after these steps 
Crash or hang
    Expected result after these steps 
Work normal
    Reproducible
Unclear
    c:geo Version
2021 10 11 RC
    System information
 No response 
    Additional Information
Not yet find the time to reproduce</t>
  </si>
  <si>
    <t>TeamNewPipe-NewPipe-7240</t>
  </si>
  <si>
    <t>playlist: NewPipe is adding same video on a playlist multiple times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</si>
  <si>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12      Check https:  github com TeamNewPipe NewPipe releases    _x000D_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play a video and add it to a playlist_x000D_
  try adding it again_x000D_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Same video is added to the playlist again  creating  a duplicate_x000D_
_x000D_
_x000D_
_x000D_
    Expected behavior_x000D_
     Tell us what you expect to happen     _x000D_
Tell that the video is already on that playlist and don t add a duplicate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10 Go_x000D_
   Device model:_x000D_
</t>
  </si>
  <si>
    <t>TeamNewPipe-NewPipe-7239</t>
  </si>
  <si>
    <t>Dark Mode inconsistency in queue page UI</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</si>
  <si>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Play anything on background_x000D_
2  Open the background player UI_x000D_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Follow screenshot below _x000D_
For top red marking   contrast issue  text is black  this makes it difficult to read especially under low brightness _x000D_
For bottom red marking   same issue  is a black track line thereby making it invisible in any dark mode _x000D_
_x000D_
    Expected behavior_x000D_
     Tell us what you expect to happen     _x000D_
 Text   playing track line should be light white higher contrast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20211013 182726 1 (https:  user images githubusercontent com 69345507 137138496 1a09aa56 d109 40f2 b58f 2ebb3adab140 jpg)_x000D_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8 0_x000D_
   Device model: ASUS X00RD_x000D_
</t>
  </si>
  <si>
    <t>NightscoutFoundation-xDrip-1850</t>
  </si>
  <si>
    <t>Xdrip variant crash</t>
  </si>
  <si>
    <t xml:space="preserve">Xdrip variant 1   13 10 2021  and also 4 10 2021  when I go to settings  alarm and alerts  glucose level alert list xdrip crash and restart  Same behavior on settings for missed reading alert _x000D_
Also xdrip variants don t have separate names like they have before  Both xdrip on my phone have the same name  just :xdrip  Before there will be xdrip and xdrip variant 1 for example  This is important because I can t identify from whom is glucose level in notification area  In variants from June 2021 names are ok and xdrip don t crash on alerts settings _x000D_
_x000D_
Thank you for your work </t>
  </si>
  <si>
    <t>enviroCar-enviroCar-app-844</t>
  </si>
  <si>
    <t>Unstable bluetooth connect workflow</t>
  </si>
  <si>
    <t xml:space="preserve">  Description  _x000D_
The workflow for connecting to bluetooth devices is unstable  as sometimes the app crashes after re connecting to a removed device or a device occurs multiple times in the list of paired devices _x000D_
_x000D_
  How to reproduce  _x000D_
For crashing the app do the following:_x000D_
1  Delete a device from the list of paired devices_x000D_
2  Click on the back button_x000D_
3  Go back to the OBD selection fragment_x000D_
4  Try to pair with device you have deleted before _x000D_
   app crashed_x000D_
_x000D_
For multiple occurence of the same device do the steps below:_x000D_
1  Pair with a device_x000D_
2  Delete the device from the list of paired devices_x000D_
3  Rediscover devices_x000D_
4  Try to pair with the device you have deleted before _x000D_
   device occurs multiple times in the list of paired devices_x000D_
_x000D_
</t>
  </si>
  <si>
    <t>TeamNewPipe-NewPipe-7237</t>
  </si>
  <si>
    <t>Resumed video if app played from recent apps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</si>
  <si>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youtube link from any other app say whatsapp _x000D_
2  Play it _x000D_
3  Exit app using back button _x000D_
4  Open app from recents _x000D_
5  Last video (played via external link) starts _x000D_
_x000D_
Even after playing another video  if i close app using back button and then open it through recents  It starts same video(played via exteral link)_x000D_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Should open to home page not last played video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dot OS_x000D_
   Device model: realme 2 pro_x000D_
</t>
  </si>
  <si>
    <t>getsentry-sentry-java-1760</t>
  </si>
  <si>
    <t>Cross-threaded calls in ActivityLifecycleIntegration with SentryOkHttpInterceptor</t>
  </si>
  <si>
    <t xml:space="preserve"> Platform: _x000D_
   X   Android    If yes  which Device API (and compileSdkVersion targetSdkVersion Build tools) version _x000D_
       Java    If yes  which Java (and sourceCompatibility targetCompatibility) version _x000D_
   X   Kotlin    If yes  which Kotlin (and jvmTarget) version _x000D_
       NDK    If yes  which NDK CMake version _x000D_
       React Native    If yes  which version _x000D_
       Timber    If yes  which version _x000D_
       Log4j2    If yes  which version _x000D_
       Logback    If yes  which version _x000D_
       Spring    If yes  which version _x000D_
_x000D_
 IDE: _x000D_
   X   Android Studio    If yes  which version _x000D_
       IntelliJ    If yes  which version _x000D_
       Other    If yes  which one _x000D_
_x000D_
 Build system: _x000D_
   X   Gradle    If yes  which version _x000D_
       Buck    If yes  which version _x000D_
       Bazel    If yes  which version _x000D_
       Maven    If yes  which version _x000D_
       Other    If yes  which one _x000D_
_x000D_
 Android Gradle Plugin: _x000D_
   X   Yes    If yes  which version _x000D_
       No_x000D_
_x000D_
 Sentry Android Gradle Plugin: _x000D_
      Yes    If yes  which version _x000D_
   X   No_x000D_
_x000D_
 Proguard R8: _x000D_
   X   Enabled_x000D_
       Disabled_x000D_
_x000D_
 Platform installed with: _x000D_
   X  JCenter_x000D_
      Bintray_x000D_
   X  Maven Central_x000D_
      Manually_x000D_
_x000D_
The version of the SDK:_x000D_
  5 2 0  _x000D_
_x000D_
   _x000D_
I have the following issue:_x000D_
I got a crash_x000D_
   _x000D_
java lang ArrayIndexOutOfBoundsException: length 10  index  1_x000D_
   	at android app ActivityThread performLaunchActivity(ActivityThread java:3534)_x000D_
   	at android app ActivityThread handleLaunchActivity(ActivityThread java:3689)_x000D_
   	at android app servertransaction LaunchActivityItem execute(LaunchActivityItem java:83)_x000D_
   	at android app servertransaction TransactionExecutor executeCallbacks(TransactionExecutor java:140)_x000D_
   	at android app servertransaction TransactionExecutor execute(TransactionExecutor java:100)_x000D_
   	at android app ActivityThread H handleMessage(ActivityThread java:2239)_x000D_
   	at com didichuxing doraemonkit kit timecounter instrumentation ProxyHandlerCallback handleMessage(ProxyHandlerCallback java:44)_x000D_
   	at android os Handler dispatchMessage(Handler java:103)_x000D_
   	at android os Looper loop(Looper java:237)_x000D_
   	at android app ActivityThread main(ActivityThread java:7830)_x000D_
   	at java lang reflect Method invoke(Native Method)_x000D_
   	at com android internal os RuntimeInit MethodAndArgsCaller run(RuntimeInit java:492)_x000D_
   	at com android internal os ZygoteInit main(ZygoteInit java:1040)_x000D_
   Caused by: java lang ArrayIndexOutOfBoundsException: length 10  index  1_x000D_
   	at java util ArrayList add(ArrayList java:468)_x000D_
   	at androidx core app FrameMetricsAggregator FrameMetricsApi24Impl add(FrameMetricsAggregator java:422)_x000D_
   	at androidx core app FrameMetricsAggregator add(FrameMetricsAggregator java:226)_x000D_
   	at io sentry android core ActivityFramesTracker addActivity(ActivityFramesTracker java:54)_x000D_
   	at io sentry android core ActivityLifecycleIntegration onActivityCreated(ActivityLifecycleIntegration java:230)_x000D_
   	at android app Application dispatchActivityCreated(Application java:386)_x000D_
   	at android app Activity dispatchActivityCreated(Activity java:1251)_x000D_
   	at android app Activity onCreate(Activity java:1528)_x000D_
   	at androidx core app ComponentActivity onCreate(ComponentActivity java:85)_x000D_
   	at androidx activity ComponentActivity onCreate(ComponentActivity java:298)_x000D_
   	at androidx fragment app FragmentActivity onCreate(FragmentActivity java:273)_x000D_
   	at com     BaseActivity onCreate(BaseActivity kt:58)_x000D_
   	at com     base ui BaseUiActivity onCreate(BaseUiActivity java:59)_x000D_
   	at com     base ui BaseFragmentActivity onCreate(BaseFragmentActivity java:61)_x000D_
   	at android app Activity performCreate(Activity java:7976)_x000D_
   	at android app Activity performCreate(Activity java:7965)_x000D_
   	at android app Instrumentation callActivityOnCreate(Instrumentation java:1306)_x000D_
   	at android app ActivityThread performLaunchActivity(ActivityThread java:3505)_x000D_
   	    12 more_x000D_
   crashend_x000D_
   _x000D_
_x000D_
The reason is a Cross threaded call in ActivityLifecycleIntegration with use a SentryOkHttpInterceptor_x000D_
_x000D_
The bug code is in the  line 151 of  ActivityLifecycleIntegration java  file_x000D_
   _x000D_
if (firstActivityCreated    appStartTime    null)  _x000D_
        transaction  _x000D_
            hub startTransaction(_x000D_
                activityName _x000D_
                UI LOAD OP _x000D_
                (Date) null _x000D_
                true _x000D_
                (finishingTransaction)     _x000D_
                  activityFramesTracker setMetrics(activity  finishingTransaction getEventId()) _x000D_
                 ) _x000D_
        else  _x000D_
           start transaction with app start timestamp_x000D_
        transaction  _x000D_
            hub startTransaction(_x000D_
                activityName _x000D_
                UI LOAD OP _x000D_
                appStartTime _x000D_
                true _x000D_
                (finishingTransaction)     _x000D_
                  activityFramesTracker setMetrics(activity  finishingTransaction getEventId()) _x000D_
                 ) _x000D_
           start specific span for app start_x000D_
_x000D_
        appStartSpan   transaction startChild(getAppStartOp()  getAppStartDesc()  appStartTime) _x000D_
       _x000D_
   _x000D_
this callback function will be called in IO thread when a child transaction finish in the SentryOkHttpInterceptor _x000D_
then activityFramesTracker setMetrics called isn t thread safed_x000D_
   _x000D_
(finishingTransaction)     _x000D_
                  activityFramesTracker setMetrics(activity  finishingTransaction getEventId()) _x000D_
                 ) _x000D_
   _x000D_
_x000D_
The description goes here    _x000D_
_x000D_
  Steps to reproduce:  _x000D_
  Step_x000D_
_x000D_
  Actual result:  _x000D_
  Actual_x000D_
_x000D_
  Expected result:  _x000D_
  Result_x000D_
</t>
  </si>
  <si>
    <t>k9mail-k-9-5736</t>
  </si>
  <si>
    <t>Missing Internet Permission</t>
  </si>
  <si>
    <t xml:space="preserve">K9 keeps crashing while attempting to  show pictures  in an email _x000D_
_x000D_
  Environment  _x000D_
   K 9 Mail version: 5 806_x000D_
   Android version: 11_x000D_
_x000D_
  Log  _x000D_
 FATAL EXCEPTION: main_x000D_
Process: com fsck k9  PID: 10992_x000D_
java lang SecurityException: Permission denied   application missing INTERNET permission_x000D_
	at com android webview chromium ContentSettingsAdapter setBlockNetworkLoads(chromium TrichromeWebView6432 apk stable 460607134:4)_x000D_
	at com fsck k9 view MessageWebView blockNetworkData(MessageWebView java:48)_x000D_
	at com fsck k9 ui messageview MessageContainerView setLoadPictures(MessageContainerView java:381)_x000D_
	at com fsck k9 ui messageview MessageContainerView showPictures(MessageContainerView java:386)_x000D_
	at com fsck k9 ui messageview MessageTopView showPicturesInAllContainerViews(MessageTopView java:100)_x000D_
	at com fsck k9 ui messageview MessageTopView access 000(MessageTopView java:38)_x000D_
	at com fsck k9 ui messageview MessageTopView 1 onClick(MessageTopView java:91)_x000D_
	at android view View performClick(View java:7448)_x000D_
	at android view View performClickInternal(View java:7425)_x000D_
	at android view View access 3600(View java:810)_x000D_
	at android view View PerformClick run(View java:28305)_x000D_
	at android os Handler handleCallback(Handler java:938)_x000D_
	at android os Handler dispatchMessage(Handler java:99)_x000D_
	at android os Looper loop(Looper java:223)_x000D_
	at android app ActivityThread main(ActivityThread java:7666)_x000D_
	at java lang reflect Method invoke(Native Method)_x000D_
	at com android internal os RuntimeInit MethodAndArgsCaller run(RuntimeInit java:592)_x000D_
	at com android internal os ExecInit main(ExecInit java:48)_x000D_
	at com android internal os RuntimeInit nativeFinishInit(Native Method)_x000D_
	at com android internal os RuntimeInit main(RuntimeInit java:399) _x000D_
_x000D_
  Fix  _x000D_
Via adb  granting k9 android permission INTERNET fixed this issue_x000D_
</t>
  </si>
  <si>
    <t>TeamNewPipe-NewPipe-7234</t>
  </si>
  <si>
    <t>Crash upon launching the app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</si>
  <si>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Open NewPipe _x000D_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Crash with an exception (see further)  The results are inconsistent _x000D_
_x000D_
Additionally  the app consistently crashes w o an exception while putting a playing video in fullscreen by turning the phone sideways _x000D_
_x000D_
    Expected behavior_x000D_
     Tell us what you expect to happen     _x000D_
_x000D_
App running stable without exceptions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RU_x000D_
    Content Language:   ru RU_x000D_
    App Language:   ru RU_x000D_
    Service:   none_x000D_
    Version:   0 21 12_x000D_
    OS:   Linux asus WW Phone ASUS Z00E 2:6 0 1 MMB29P 13 1010 1612 53 20170202:user release keys 6 0 1   23_x000D_
 details  summary  b Crash log   b   summary  p _x000D_
_x000D_
   _x000D_
java lang OutOfMemoryError: OutOfMemoryError thrown while trying to throw OutOfMemoryError  no stack trace available_x000D_
_x000D_
   _x000D_
  details _x000D_
 hr _x000D_
_x000D_
     That s right  here     _x000D_
_x000D_
_x000D_
_x000D_
     Please fill this section if you did not provide a log generated by NewPipe    _x000D_
_x000D_
    Device info_x000D_
_x000D_
   Android version Custom ROM version: 6 0 1_x000D_
   Device model: Zenfone 2 Laser ZE500KL (ASUS Z00ED)_x000D_
</t>
  </si>
  <si>
    <t>nextcloud-android-9089</t>
  </si>
  <si>
    <t>Crash at start of application</t>
  </si>
  <si>
    <t xml:space="preserve">    Steps to reproduce
1  Start the App
2  Wait for the circle to stop moving
3  Read the crash notice
    Expected behaviour
  The app should pull the actualized list of dorectories and data from the server 
    Actual behaviour
  The App crashes during the loading of the actualized directory and data list  
    Environment data
Android version: 11
Device model: OnePlus 7T
Stock or customized system: Stock
Nextcloud app version: 30170090
Nextcloud server version: 22 2 0
Reverse proxy: yes
   Error message   
             CAUSE OF ERROR             
java lang IllegalStateException: Couldn t read row 1033  col 0 from CursorWindow   Make sure the Cursor is initialized correctly before accessing data from it 
	at android database CursorWindow nativeGetLong(Native Method)
	at android database CursorWindow getLong(CursorWindow java:542)
	at android database AbstractWindowedCursor getLong(AbstractWindowedCursor java:77)
	at com owncloud android providers FileContentProvider deleteDirectory(FileContentProvider java:179)
	at com owncloud android providers FileContentProvider delete(FileContentProvider java:134)
	at com owncloud android providers FileContentProvider deleteDirectory(FileContentProvider java:184)
	at com owncloud android providers FileContentProvider delete(FileContentProvider java:134)
	at com owncloud android providers FileContentProvider delete(FileContentProvider java:114)
	at android content ContentProvider delete(ContentProvider java:1820)
	at android content ContentProviderOperation applyInternal(ContentProviderOperation java:389)
	at android content ContentProviderOperation apply(ContentProviderOperation java:352)
	at com owncloud android providers FileContentProvider applyBatch(FileContentProvider java:675)
	at android content ContentProvider applyBatch(ContentProvider java:2476)
	at android content ContentProvider Transport applyBatch(ContentProvider java:421)
	at android content ContentProviderClient applyBatch(ContentProviderClient java:586)
	at android content ContentProviderClient applyBatch(ContentProviderClient java:574)
	at android content ContentResolver applyBatch(ContentResolver java:2234)
	at com owncloud android datamodel FileDataStorageManager saveFolder(FileDataStorageManager java:438)
	at com owncloud android operations RefreshFolderOperation synchronizeData(RefreshFolderOperation java:531)
	at com owncloud android operations RefreshFolderOperation fetchAndSyncRemoteFolder(RefreshFolderOperation java:410)
	at com owncloud android operations RefreshFolderOperation run(RefreshFolderOperation java:238)
	at com owncloud android lib common operations RemoteOperation run(RemoteOperation java:363)
	at java lang Thread run(Thread java:923)
             APP INFORMATION             
ID: com nextcloud client
Version: 30170090
Build flavor: gplay
             DEVICE INFORMATION             
Brand: OnePlus
Device: OnePlus7T
Model: HD1903
Id: RKQ1 201022 002
Product: OnePlus7T EEA
             FIRMWARE             
SDK: 30
Release: 11
Incremental: 2108182246</t>
  </si>
  <si>
    <t>opensrp-opensrp-client-eusm-94</t>
  </si>
  <si>
    <t>App crashes when "looks good" is confirmed via the pop up</t>
  </si>
  <si>
    <t xml:space="preserve">Client description of the issue_x000D_
_x000D_
   _x000D_
We have End User Monitors in the field right now  they have reported a problem which I have been able to replicate at distance  This relates to mission  2021 Octobre Anosy Supply  in the production instance _x000D_
When clicking  looks good  on any of the products positioned in any of the service points with active supplies in this mission  whenever you confirm the  looks good  via the popup  the app crashes  The data is not saved _x000D_
This was reported from the field this morning  I have just been trying again (I m not in the field but I had included myself in the mission team in order to quality control) and I have recreated the problem each time  I tried with different products in service points  Centre Vonjy Taolagnaro    CSB Mandiso   and  CSB Mandromondromotra   Every single time  the app crashes when I click on a  looks good  confirmation popup  Effectively  the app is completely unusable _x000D_
Can you look into that urgently please _x000D_
It s a real disappointment  this was a good opportunity to roll out EUSM with a team of Supply colleagues in the field  including Chief Supply  Now they have zero functionality on EUSM _x000D_
   </t>
  </si>
  <si>
    <t>openid-AppAuth-Android-755</t>
  </si>
  <si>
    <t>NullPointerException prepareAuthorizationRequestIntent</t>
  </si>
  <si>
    <t xml:space="preserve">    Crash Logs_x000D_
java lang NullPointerException: _x000D_
  at net openid appauth AuthorizationService prepareAuthorizationRequestIntent (AuthorizationService java:545)_x000D_
  at net openid appauth AuthorizationService getAuthorizationRequestIntent (AuthorizationService java:374)_x000D_
  at com centurylink ctl droid wrap common oauth OAuthInitialization performAuth (OAuthInitialization java:494)_x000D_
  at com centurylink ctl droid wrap activities PreInterstitialActivity 5 run (PreInterstitialActivity java:398)_x000D_
  at android os Handler handleCallback (Handler java:938)_x000D_
  at android os Handler dispatchMessage (Handler java:99)_x000D_
  at android os Looper loop (Looper java:233)_x000D_
  at android app ActivityThread main (ActivityThread java:8063)_x000D_
  at java lang reflect Method invoke (Native Method)_x000D_
  at com android internal os RuntimeInit MethodAndArgsCaller run (RuntimeInit java:631)_x000D_
  at com android internal os ZygoteInit main (ZygoteInit java:978)_x000D_
_x000D_
    Configuration_x000D_
  AppAuth : 0 10 0_x000D_
  Version: Android 11  SDK 27 29 30_x000D_
  Integration: Java_x000D_
  Identity provider: Azure B2C_x000D_
_x000D_
    Issue Description_x000D_
I saw so many crash logs that  I have mentioned above in Playstore   Crashlytics that affecting so many users  Lets us know  what is the fix for this  _x000D_
_x000D_
Thanks _x000D_
Sanjay_x000D_
</t>
  </si>
  <si>
    <t>opensrp-opensrp-client-unicef-tunisia-133</t>
  </si>
  <si>
    <t>App location hierachy is not loading</t>
  </si>
  <si>
    <t xml:space="preserve">v 0 2 0   preview_x000D_
  Describe the bug  _x000D_
When logged onto the app  the location hierarchy is not loading at the top of the app  Tapping on the location hierarchy crashes the app for the app  _x000D_
_x000D_
  To Reproduce  _x000D_
Steps to reproduce the behavior:_x000D_
Log onto the Tunevacc app   with demo user  Observe  _x000D_
_x000D_
  Expected behavior  _x000D_
Once logged in  the location should be showing at the top bar of the app  _x000D_
_x000D_
  Screenshots  _x000D_
  Screenshot 20211012 060447 TUNeVACC (https:  user images githubusercontent com 58034047 136900893 4a93875c dba1 4ec1 aceb 427476aa8f0b jpg)_x000D_
_x000D_
  Desktop (please complete the following information):  _x000D_
   OS:  e g  iOS _x000D_
   Browser  e g  chrome  safari _x000D_
   Version  e g  22 _x000D_
_x000D_
  Smartphone (please complete the following information):  _x000D_
   Device:  e g  iPhone6 _x000D_
   OS:  e g  iOS8 1 _x000D_
   Browser  e g  stock browser  safari _x000D_
   Version  e g  22 _x000D_
_x000D_
  Additional context  _x000D_
Add any other context about the problem here _x000D_
</t>
  </si>
  <si>
    <t>enviroCar-enviroCar-app-842</t>
  </si>
  <si>
    <t>App Crashes while clicking on the area just above the eye icon in sign in</t>
  </si>
  <si>
    <t xml:space="preserve">Click on the background just above the eye icon  On the area where background contains Munster name _x000D_
Same can be observed in sign up  Click on area where background contains Munster text  App crashes _x000D_
_x000D_
https:  user images githubusercontent com 70392921 136885819 7c340276 6131 4376 8641 e5ded2a7b72b mp4_x000D_
_x000D_
</t>
  </si>
  <si>
    <t>inaturalist-iNaturalistAndroid-1134</t>
  </si>
  <si>
    <t>NullPointerException in INaturalistService.clearOldCachedPhotos</t>
  </si>
  <si>
    <t xml:space="preserve">https:  console firebase google com u 1 project inaturalist ios crashlytics app android:org inaturalist android issues 0eb27ec9551412400eef1d5df8389423_x000D_
_x000D_
   _x000D_
Fatal Exception: java lang NullPointerException: Attempt to invoke virtual method  java io File   java io File listFiles(java io FilenameFilter)  on a null object reference_x000D_
       at org inaturalist android INaturalistService clearOldCachedPhotos(INaturalistService java:4480)_x000D_
       at org inaturalist android INaturalistService onHandleIntentWorker(INaturalistService java:1628)_x000D_
       at org inaturalist android INaturalistService 1 run(INaturalistService java:684)_x000D_
       at java lang Thread run(Thread java:764)_x000D_
   </t>
  </si>
  <si>
    <t>nextcloud-android-9084</t>
  </si>
  <si>
    <t>Crash report: just uploading a picture</t>
  </si>
  <si>
    <t xml:space="preserve">    Steps to reproduce_x000D_
I don t know how reproducible it is  but let me describe what I did:_x000D_
1  take a picture_x000D_
2  choose  share with    Nextcloud _x000D_
3  navigate to another folder and share_x000D_
_x000D_
    Expected behaviour_x000D_
  pic gets uploaded_x000D_
_x000D_
    Actual behaviour_x000D_
Nopidopie  nothing happened  so I opened the app   which did show me a crash (see below) _x000D_
_x000D_
after starting the app again  it did start to upload it _x000D_
_x000D_
    Can you reproduce this problem on https:  try nextcloud com _x000D_
am using cloud nextcloud com_x000D_
_x000D_
    Environment data_x000D_
Android version: Samsung S10e   I think it s android 10_x000D_
_x000D_
Nextcloud app version: beta_x000D_
_x000D_
Nextcloud server version: cloud nc c  latest_x000D_
_x000D_
Reverse proxy: nope_x000D_
_x000D_
    Logs_x000D_
I have only the android log:_x000D_
_x000D_
   _x000D_
             CAUSE OF ERROR             _x000D_
_x000D_
java lang RuntimeException: Unable to start activity ComponentInfo com nextcloud client com owncloud android ui activity FileDisplayActivity : java lang NullPointerException: Attempt to read from field  androidx viewpager widget ViewPager com owncloud android databinding FileDetailsFragmentBinding pager  on a null object reference_x000D_
	at android app ActivityThread performLaunchActivity(ActivityThread java:3827)_x000D_
	at android app ActivityThread handleLaunchActivity(ActivityThread java:4003)_x000D_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java:2317)_x000D_
	at android os Handler dispatchMessage(Handler java:106)_x000D_
	at android os Looper loop(Looper java:246)_x000D_
	at android app ActivityThread main(ActivityThread java:8595)_x000D_
	at java lang reflect Method invoke(Native Method)_x000D_
	at com android internal os RuntimeInit MethodAndArgsCaller run(RuntimeInit java:602)_x000D_
	at com android internal os ZygoteInit main(ZygoteInit java:1130)_x000D_
Caused by: java lang NullPointerException: Attempt to read from field  androidx viewpager widget ViewPager com owncloud android databinding FileDetailsFragmentBinding pager  on a null object reference_x000D_
	at com owncloud android ui fragment FileDetailFragment getFileDetailSharingFragment(FileDetailFragment java:156)_x000D_
	at com owncloud android ui activity FileActivity getShareFileFragment(FileActivity java:855)_x000D_
	at com owncloud android ui activity FileActivity getFile(FileActivity java:297)_x000D_
	at com owncloud android ui activity FileDisplayActivity updateActionBarTitleAndHomeButton(FileDisplayActivity java:1635)_x000D_
	at com owncloud android ui activity ToolbarActivity setupToolbar(ToolbarActivity java:103)_x000D_
	at com owncloud android ui activity ToolbarActivity setupHomeSearchToolbarWithSortAndListButtons(ToolbarActivity java:127)_x000D_
	at com owncloud android ui activity FileDisplayActivity onCreate(FileDisplayActivity java:266)_x000D_
	at android app Activity performCreate(Activity java:8207)_x000D_
	at android app Activity performCreate(Activity java:8191)_x000D_
	at android app Instrumentation callActivityOnCreate(Instrumentation java:1309)_x000D_
	at android app ActivityThread performLaunchActivity(ActivityThread java:3800)_x000D_
	    11 more_x000D_
_x000D_
             APP INFORMATION             _x000D_
ID: com nextcloud client_x000D_
Version: 30170151_x000D_
Build flavor: gplay_x000D_
_x000D_
             DEVICE INFORMATION             _x000D_
Brand: samsung_x000D_
Device: beyond0_x000D_
Model: SM G970F_x000D_
Id: RP1A 200720 012_x000D_
Product: beyond0lteeea_x000D_
_x000D_
             FIRMWARE             _x000D_
SDK: 30_x000D_
Release: 11_x000D_
Incremental: G970FXXSCFUH5_x000D_
   </t>
  </si>
  <si>
    <t>andOTP-andOTP-893</t>
  </si>
  <si>
    <t>Fixed: Crash when filling password using Magikeyboard from KeePassDX (#866)</t>
  </si>
  <si>
    <t xml:space="preserve">With this branch  the app no longer crashes when filling the password using the Magikeyboard from KeePassDX _x000D_
_x000D_
This pull request resolves  866  and steps to reproduce test the behaviour can be found in the bug report </t>
  </si>
  <si>
    <t>nextcloud-android-9082</t>
  </si>
  <si>
    <t>Nextcloud app crashes.</t>
  </si>
  <si>
    <t xml:space="preserve">    Steps to reproduce_x000D_
1  browse to a folder in the nextcloud app_x000D_
2  repeatable on every access to the same folder having 54 entries  _x000D_
3  folder includes normal picturescand subfolders _x000D_
3  _x000D_
_x000D_
    Expected behaviour_x000D_
  Tell us what should happen_x000D_
_x000D_
Refresh of folder_x000D_
_x000D_
_x000D_
    Actual behaviour_x000D_
  Tell us what happens_x000D_
_x000D_
App crashes  See log below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CAUSE OF ERROR             _x000D_
_x000D_
android database sqlite SQLiteBlobTooBigException: Row too big to fit into CursorWindow requiredPos 3351  totalRows 725_x000D_
	at android database sqlite SQLiteConnection nativeExecuteForCursorWindow(Native Method)_x000D_
	at android database sqlite SQLiteConnection executeForCursorWindow(SQLiteConnection java:898)_x000D_
	at android database sqlite SQLiteSession executeForCursorWindow(SQLiteSession java:836)_x000D_
	at android database sqlite SQLiteQuery fillWindow(SQLiteQuery java:62)_x000D_
	at android database sqlite SQLiteCursor fillWindow(SQLiteCursor java:157)_x000D_
	at android database sqlite SQLiteCursor onMove(SQLiteCursor java:128)_x000D_
	at android database AbstractCursor moveToPosition(AbstractCursor java:237)_x000D_
	at android database AbstractCursor moveToNext(AbstractCursor java:269)_x000D_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ContentProviderOperation apply(ContentProviderOperation java:299)_x000D_
	at com owncloud android providers FileContentProvider applyBatch(FileContentProvider java:675)_x000D_
	at android content ContentProvider Transport applyBatch(ContentProvider java:321)_x000D_
	at android content ContentProviderClient applyBatch(ContentProviderClient java:474)_x000D_
	at android content ContentResolver applyBatch(ContentResolver java:1629)_x000D_
	at com owncloud android datamodel FileDataStorageManager saveFolder(FileDataStorageManager java:438)_x000D_
	at com owncloud android operations RefreshFolderOperation synchronizeData(RefreshFolderOperation java:531)_x000D_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java:363)_x000D_
	at java lang Thread run(Thread java:764)_x000D_
_x000D_
             APP INFORMATION             _x000D_
ID: com nextcloud client_x000D_
Version: 30170090_x000D_
Build flavor: gplay_x000D_
_x000D_
             DEVICE INFORMATION             _x000D_
Brand: lge_x000D_
Device: lucye_x000D_
Model: LG H870_x000D_
Id: PKQ1 190522 001_x000D_
Product: lucye global com_x000D_
_x000D_
             FIRMWARE             _x000D_
SDK: 28_x000D_
Release: 9_x000D_
Incremental: 1930916292597_x000D_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</si>
  <si>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TeamNewPipe-NewPipe-7223</t>
  </si>
  <si>
    <t>Newpipe crashed</t>
  </si>
  <si>
    <t xml:space="preserve">Opened Newpipe and it crashed_x000D_
   Exception_x000D_
    User Action:   ui error_x000D_
    Request:   ACRA report_x000D_
    Content Country:   GB_x000D_
    Content Language:   en IN_x000D_
    App Language:   en IN_x000D_
    Service:   none_x000D_
    Version:   0 21 10_x000D_
    OS:   Linux Android 10   29_x000D_
 details  summary  b Crash log   b   summary  p _x000D_
_x000D_
   _x000D_
java lang IllegalStateException: Fragment VideoDetailFragment d8ee295  (c57fcccc 4c3f 4bcb b360 37104b7810dc) not attached to a context _x000D_
	at androidx fragment app Fragment requireContext(Fragment java:900)_x000D_
	at org schabi newpipe error ErrorActivity reportErrorInSnackbar(ErrorActivity java:98)_x000D_
	at org schabi newpipe fragments BaseStateFragment showSnackBarError(BaseStateFragment java:211)_x000D_
	at org schabi newpipe fragments detail VideoDetailFragment 2 onError(VideoDetailFragment java:698)_x000D_
	at com squareup picasso ImageViewAction error(ImageViewAction java:72)_x000D_
	at com squareup picasso Picasso deliverAction(Picasso java:581)_x000D_
	at com squareup picasso Picasso complete(Picasso java:528)_x000D_
	at com squareup picasso Picasso 1 handleMessage(Picasso java:122)_x000D_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details _x000D_
 hr _x000D_
</t>
  </si>
  <si>
    <t>smartdevicelink-sdl_java_suite-1751</t>
  </si>
  <si>
    <t>SdlRouterService crashes if SDL app sets targetSdkVersion to 31, and running on Android 12</t>
  </si>
  <si>
    <t xml:space="preserve">    Bug Report_x000D_
SdlRouterService causes crash if the SDL app sets targetSdkVersion to 31  and running on Android 12 _x000D_
_x000D_
      Reproduction Steps_x000D_
1  open app s build gradle  and change targetSdkVersion to 31 _x000D_
2  build the app  and run on Android 12 beta 5 device_x000D_
_x000D_
      Expected Behavior_x000D_
The app should run normally even if the app s targetSdkVersion is 31  Please note that sdl java suite library s targetSdkVersion (which is 30 in release 5 3 0 RC branch) will be overridden by app s targetSdkVersion _x000D_
_x000D_
      Observed Behavior_x000D_
The app crashes by fatal exception below:_x000D_
   _x000D_
    E AndroidRuntime: FATAL EXCEPTION: main_x000D_
         snip _x000D_
     Caused by: java lang IllegalArgumentException: net shiniwa mytestapp: Targeting S  (version 31 and above) requires that one of FLAG IMMUTABLE or FLAG MUTABLE be specified when creating a PendingIntent _x000D_
    Strongly consider using FLAG IMMUTABLE  only use FLAG MUTABLE if some functionality depends on the PendingIntent being mutable  e g  if it needs to be used with inline replies or bubbles _x000D_
        at android app PendingIntent checkFlags(PendingIntent java:375)_x000D_
        at android app PendingIntent getActivityAsUser(PendingIntent java:458)_x000D_
        at android app PendingIntent getActivity(PendingIntent java:444)_x000D_
        at android app PendingIntent getActivity(PendingIntent java:408)_x000D_
        at com smartdevicelink transport SdlRouterService enterForeground(SdlRouterService java:1524)_x000D_
        at com smartdevicelink transport SdlRouterService onCreate(SdlRouterService java:1142)_x000D_
        at android app ActivityThread handleCreateService(ActivityThread java:4491)_x000D_
   _x000D_
_x000D_
      OS   Version Information_x000D_
  Android Version: Android 12 beta 5 (SPB5 210812 002)_x000D_
  SDL Android Version: release 5 3 0 RC branch (commit  60230823b341eb9e2e95f2c0649a322c7d5b9db1)_x000D_
  Testing Against: the crash has nothing to do with head unit  but you have to at least setup bluetooth pairing with head unit _x000D_
_x000D_
      Test Case  Sample Code  and   or Example App_x000D_
PR will be submitted later _x000D_
</t>
  </si>
  <si>
    <t>Anuken-Mindustry-6131</t>
  </si>
  <si>
    <t>ладно</t>
  </si>
  <si>
    <t>TeamNewPipe-NewPipe-7218</t>
  </si>
  <si>
    <t>When i paste a Youtube Mix link into the search it says something went wrong</t>
  </si>
  <si>
    <t>Aliucord-Aliucord-113</t>
  </si>
  <si>
    <t>Occasional crashing on startup after 96.3 update</t>
  </si>
  <si>
    <t xml:space="preserve">    Discord Account
snappyapple632 0632
    What happens when the bug or crash occurs 
When opening Aliucord  the app may occasionally crash  These crashes appear to be random 
    What is the expected behaviour 
Aliucord should not crash on startup 
    How do you recreate this bug or crash 
1  Force stop Aliucord_x000D_
2  Start Aliucord_x000D_
3  Repeat if crash does not occur (or use RestartButton if installed) _x000D_
4  The app should crash upon startup 
    Crash log
   _x000D_
This crash does not generate a log within Aliucord  Here is a logcat instead: _x000D_
 logs 2021 10 09 14 33 49 zip (https:  github com Aliucord Aliucord files 7316487 logs 2021 10 09 14 33 49 zip)_x000D_
_x000D_
   _x000D_
    Request Agreement
   X  I did indeed check to make sure the bug or crash report is applicable </t>
  </si>
  <si>
    <t>cgeo-cgeo-11815</t>
  </si>
  <si>
    <t>Crash on setting base folder</t>
  </si>
  <si>
    <t xml:space="preserve">    Describe your problem 
Hi _x000D_
Always when I start the app on my OnePlus 8  Android 11 the app asks for folder migration and to set the base folder  By clicking next the app crashes with the exception android content ActivityNotFoundException in the source file Instrumentation java  line number 2258  Since I installed the app 2 months ago I cannot say if it worked _x000D_
Regards_x000D_
Stephan
    How to reproduce 
1  Install application_x000D_
2  Open app on an OnePlus 8 with Android 11
    Actual result after these steps 
The app crashes
    Expected result after these steps 
Not sure  I never pass these steps
    Reproducible
Yes
    c:geo Version
2021 10 08
    System information
   text
   System information_x000D_
_x000D_
c:geo version: 2021 10 08_x000D_
_x000D_
Device:_x000D_
       _x000D_
  Device type: IN2013 (OnePlus8 EEA  OnePlus)_x000D_
  Available processors: 8_x000D_
  Android version: 11_x000D_
  Android build: IN2013 15 210731_x000D_
  Screen resolution: 1080x2162px (384x768dp)_x000D_
  Pixel density: 2 8125_x000D_
  System font scale: 1 0   used scale: 1 0_x000D_
  Sailfish OS detected: false_x000D_
  Google Play services: enabled   21 36 14 (150400 395708125)_x000D_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Settings: v8  Count:6_x000D_
  Set language: en US (system default)_x000D_
  System date format: M d yy_x000D_
  Time zone: GMT 02:00_x000D_
  Debug mode active: no_x000D_
  Last backup: never_x000D_
  Routing mode: Walk_x000D_
  Live map mode: true_x000D_
  OSM multi threading: false   threads: 1_x000D_
  Map: Google: Map_x000D_
    Id: cgeo geocaching maps google v2 GoogleMapProvider GoogleMapSource_x000D_
    Atts: none_x000D_
    Theme: none_x000D_
_x000D_
Filters:_x000D_
       _x000D_
  Hide waypoints:  _x000D_
  LIVE: None ( :inconclusive false:advanced false )_x000D_
  OFFLINE: None ( :inconclusive false:advanced false )_x000D_
_x000D_
Services:_x000D_
       _x000D_
  Geocaching sites enabled: None_x000D_
  Routing: internal   BRouter installed: false_x000D_
  Installed c:geo plugins:  none_x000D_
_x000D_
Permissions   paths:_x000D_
       _x000D_
  Fine location permission: granted_x000D_
  Write external storage permission: granted_x000D_
  System internal c:geo dir:  data user 0 cgeo geocaching (68 5 GB free) v2 internal isDir(4 entries)_x000D_
  Legacy User storage c:geo dir:  data user 0 cgeo geocaching (68 5 GB free) v2 internal isDir(4 entries)_x000D_
  Geocache data:  storage emulated 0 Android data cgeo geocaching files GeocacheData (68 5 GB free) v2 external non removable isDir(1 entries)_x000D_
  Internal theme sync (is turned off):  data user 0 cgeo geocaching MapThemeData (68 5 GB free) v2 internal isDir(0 entries)_x000D_
  Public Folders:  11_x000D_
    BASE:  Legacy  data user 0 cgeo geocaching files public BASE (Default)  data user 0 cgeo geocaching files public BASE FILE 2:p file:   data user 0 cgeo geocaching files:: public BASE   (Uri: file:   data user 0 cgeo geocaching files public BASE  Av:true  files:  0  dirs:  8  totalFileSize:  0 B  free space: 68 5 GB  files on device:  1)_x000D_
    OFFLINE MAPS:  Legacy  data user 0 cgeo geocaching files public BASE maps (Default)  data user 0 cgeo geocaching files public BASE maps PERSISTABLE FOLDER(BASE) 1:p file:   data user 0 cgeo geocaching files:: public BASE maps   (Uri: file:   data user 0 cgeo geocaching files public BASE maps  Av:true  files:0  dirs:1  totalFileSize:0 B  free space: 68 5 GB  files on device:  1)_x000D_
    OFFLINE MAP THEMES:  Legacy  data user 0 cgeo geocaching files public BASE maps  themes (Default)  data user 0 cgeo geocaching files public BASE maps  themes PERSISTABLE FOLDER(OFFLINE MAPS) 1:p file:   data user 0 cgeo geocaching files:: public BASE maps  themes   (Uri: file:   data user 0 cgeo geocaching files public BASE maps  themes  Av:true  files:0  dirs:0  totalFileSize:0 B  free space: 68 5 GB  files on device:  1)_x000D_
    LOGFILES:  Legacy  data user 0 cgeo geocaching files public BASE logfiles (Default)  data user 0 cgeo geocaching files public BASE logfiles PERSISTABLE FOLDER(BASE) 1:p file:   data user 0 cgeo geocaching files:: public BASE logfiles   (Uri: file:   data user 0 cgeo geocaching files public BASE logfiles  Av:true  files:0  dirs:0  totalFileSize:0 B  free space: 68 5 GB  files on device:  1)_x000D_
    GPX:  Legacy  data user 0 cgeo geocaching files public BASE gpx (Default)  data user 0 cgeo geocaching files public BASE gpx PERSISTABLE FOLDER(BASE) 1:p file:   data user 0 cgeo geocaching files:: public BASE gpx   (Uri: file:   data user 0 cgeo geocaching files public BASE gpx  Av:true  files:0  dirs:0  totalFileSize:0 B  free space: 68 5 GB  files on device:  1)_x000D_
    BACKUP:  Legacy  data user 0 cgeo geocaching files public BASE backup (Default)  data user 0 cgeo geocaching files public BASE backup PERSISTABLE FOLDER(BASE) 1:p file:   data user 0 cgeo geocaching files:: public BASE backup   (Uri: file:   data user 0 cgeo geocaching files public BASE backup  Av:true  files:0  dirs:0  totalFileSize:0 B  free space: 68 5 GB  files on device:  1)_x000D_
    FIELD NOTES:  Legacy  data user 0 cgeo geocaching files public BASE field notes (Default)  data user 0 cgeo geocaching files public BASE field notes PERSISTABLE FOLDER(BASE) 1:p file:   data user 0 cgeo geocaching files:: public BASE field notes   (Uri: file:   data user 0 cgeo geocaching files public BASE field notes  Av:true  files:0  dirs:0  totalFileSize:0 B  free space: 68 5 GB  files on device:  1)_x000D_
    SPOILER IMAGES:  Legacy  data user 0 cgeo geocaching files public BASE GeocachePhotos (Default)  data user 0 cgeo geocaching files public BASE GeocachePhotos PERSISTABLE FOLDER(BASE) 1:p file:   data user 0 cgeo geocaching files:: public BASE GeocachePhotos   (Uri: file:   data user 0 cgeo geocaching files public BASE GeocachePhotos  Av:true  files:0  dirs:0  totalFileSize:0 B  free space: 68 5 GB  files on device:  1)_x000D_
    ROUTING BASE:  Legacy  data user 0 cgeo geocaching files public BASE routing (Default)  data user 0 cgeo geocaching files public BASE routing PERSISTABLE FOLDER(BASE) 1:p file:   data user 0 cgeo geocaching files:: public BASE routing   (Uri: file:   data user 0 cgeo geocaching files public BASE routing  Av:true  files:0  dirs:1  totalFileSize:0 B  free space: 68 5 GB  files on device:  1)_x000D_
    ROUTING TILES:  Legacy  data user 0 cgeo geocaching files public BASE routing segments4 (Default)  data user 0 cgeo geocaching files public BASE routing segments4 PERSISTABLE FOLDER(ROUTING BASE) 1:p file:   data user 0 cgeo geocaching files:: public BASE routing segments4   (Uri: file:   data user 0 cgeo geocaching files public BASE routing segments4  Av:true  files:0  dirs:0  totalFileSize:0 B  free space: 68 5 GB  files on device:  1)_x000D_
    TEST FOLDER:  Legacy  data user 0 cgeo geocaching files unittest (Default)  data user 0 cgeo geocaching files unittest FILE 1:p file:   data user 0 cgeo geocaching files:: unittest   (Uri: file:   data user 0 cgeo geocaching files unittest  Av:true  files:0  dirs:0  totalFileSize:0 B  free space: 68 5 GB  files on device:  1)_x000D_
  Map render theme path: _x000D_
  PersistedDocumentUris:  1_x000D_
  TRACK: null_x000D_
  Persisted Uri Permissions:  0_x000D_
  Database:  data user 0 cgeo geocaching databases data (v97  Size:192 0 KB) on system internal storage_x000D_
_x000D_
    End of system information    
    Additional Information
 No response </t>
  </si>
  <si>
    <t>Anuken-Mindustry-6124</t>
  </si>
  <si>
    <t>Core DB won't show effect entries</t>
  </si>
  <si>
    <t xml:space="preserve">  Platform  :  Windows _x000D_
_x000D_
  Build  :  131 (itch io  latest) _x000D_
_x000D_
  Issue  :   _x000D_
_x000D_
  Steps to reproduce  :  Play campaign   open core DB  try clicking on status effects _x000D_
_x000D_
  Link(s) to mod(s) used  :  None _x000D_
_x000D_
  Save file  :  Not required  because universal _x000D_
_x000D_
  (Crash) logs  :  Not a crash _x000D_
_x000D_
   _x000D_
_x000D_
 Place an X (no spaces) between the brackets to confirm that you have read the line below    _x000D_
   X    I have updated to the latest release (https:  github com Anuken Mindustry releases) to make sure my issue has not been fixed    (Itch io release)_x000D_
   X    I have searched the closed and open issues to make sure that this problem has not already been reported   _x000D_
_x000D_
Also please don t reap my soul_x000D_
</t>
  </si>
  <si>
    <t>nextcloud-android-9076</t>
  </si>
  <si>
    <t>Crash of client after upgrade from NC18 to NC22</t>
  </si>
  <si>
    <t xml:space="preserve">    Steps to reproduce_x000D_
1  no idea  sorry  The app keeps crashing ever since I upgraded to NC22_x000D_
2  upon starting the app  it run for ca  3 seconds  then freezes_x000D_
3  sometimes the trace window pops up  offering to create a bug report _x000D_
_x000D_
    Expected behaviour_x000D_
  Tell us what should happen_x000D_
I used to be able to open the app and browse my NC instance_x000D_
_x000D_
    Actual behaviour_x000D_
  Tell us what happens_x000D_
The app opens  and reacts normally for 2 3 seconds  If I am quick  I can open sttings before the app freezes  or browse to a subfolder  Once the app freezes  it will not als ake anymore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lineageos ginkgo based on android 10_x000D_
Device model: _x000D_
redmi note 8)_x000D_
Stock or customized system:_x000D_
customized  I think_x000D_
Nextcloud app version:_x000D_
dev 20210928_x000D_
Nextcloud server version:_x000D_
22_x000D_
_x000D_
_x000D_
             CAUSE OF ERROR             _x000D_
_x000D_
java lang IllegalStateException: Couldn t read row 1085  col 0 from CursorWindow   Make sure the Cursor is initialized correctly before accessing data from it _x000D_
	at android database CursorWindow nativeGetLong(Native Method)_x000D_
	at android database CursorWindow getLong(CursorWindow java:542)_x000D_
	at android database AbstractWindowedCursor getLong(AbstractWindowedCursor java:77)_x000D_
	at com owncloud android providers FileContentProvider deleteDirectory(FileContentProvider java:179)_x000D_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java:675)_x000D_
	at android content ContentProvider applyBatch(ContentProvider java:2117)_x000D_
	at android content ContentProvider Transport applyBatch(ContentProvider java:371)_x000D_
	at android content ContentProviderClient applyBatch(ContentProviderClient java:532)_x000D_
	at android content ContentProviderClient applyBatch(ContentProviderClient java:520)_x000D_
	at android content ContentResolver applyBatch(ContentResolver java:1875)_x000D_
	at com owncloud android datamodel FileDataStorageManager saveFolder(FileDataStorageManager java:438)_x000D_
	at com owncloud android operations RefreshFolderOperation synchronizeData(RefreshFolderOperation java:529)_x000D_
	at com owncloud android operations RefreshFolderOperation fetchAndSyncRemoteFolder(RefreshFolderOperation java:408)_x000D_
	at com owncloud android operations RefreshFolderOperation run(RefreshFolderOperation java:238)_x000D_
	at com owncloud android lib common operations RemoteOperation run(RemoteOperation java:363)_x000D_
	at java lang Thread run(Thread java:919)_x000D_
_x000D_
             APP INFORMATION             _x000D_
ID: com nextcloud android beta_x000D_
Version: 20210928_x000D_
Build flavor: versionDev_x000D_
_x000D_
             DEVICE INFORMATION             _x000D_
Brand: Xiaomi_x000D_
Device: ginkgo_x000D_
Model: Redmi Note 8_x000D_
Id: QQ3A 200805 001_x000D_
Product: ginkgo_x000D_
_x000D_
             FIRMWARE             _x000D_
SDK: 29_x000D_
Release: 10_x000D_
Incremental: eng me1 20200810 094723_x000D_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</si>
  <si>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nextcloud-android-9075</t>
  </si>
  <si>
    <t>hamburger menu crashes app</t>
  </si>
  <si>
    <t xml:space="preserve">    Steps to reproduce_x000D_
1  Open application_x000D_
2  Tap to open hamburger menu_x000D_
_x000D_
    Expected behaviour_x000D_
  hamburger menu opens_x000D_
  I configure contacts sync_x000D_
_x000D_
    Actual behaviour_x000D_
  crash_x000D_
_x000D_
    Environment data_x000D_
Android version:_x000D_
_x000D_
Device model: pixel 5a 5g_x000D_
_x000D_
Stock or customized system: Nova launcher   KLWP_x000D_
_x000D_
Reverse proxy: Traefik_x000D_
_x000D_
    Logs_x000D_
   _x000D_
             CAUSE OF ERROR             _x000D_
_x000D_
java lang RuntimeException: Canvas: trying to draw too large(928544408bytes) bitmap _x000D_
	at android graphics RecordingCanvas throwIfCannotDraw(RecordingCanvas java:280)_x000D_
	at android graphics BaseRecordingCanvas drawBitmap(BaseRecordingCanvas java:88)_x000D_
	at android graphics drawable BitmapDrawable draw(BitmapDrawable java:548)_x000D_
	at android graphics drawable LayerDrawable draw(LayerDrawable java:1018)_x000D_
	at android widget ImageView onDraw(ImageView java:1436)_x000D_
	at android view View draw(View java:22350)_x000D_
	at android view View updateDisplayListIfDirty(View java:21226)_x000D_
	at android view View draw(View java:22081)_x000D_
	at android view ViewGroup drawChild(ViewGroup java:4516)_x000D_
	at android view ViewGroup dispatchDraw(ViewGroup java:4277)_x000D_
	at android view View draw(View java:22353)_x000D_
	at android view View updateDisplayListIfDirty(View java:21226)_x000D_
	at android view View draw(View java:22081)_x000D_
	at android view ViewGroup drawChild(ViewGroup java:4516)_x000D_
	at android view ViewGroup dispatchDraw(ViewGroup java:4277)_x000D_
	at android view View updateDisplayListIfDirty(View java:21217)_x000D_
	at android view View draw(View java:22081)_x000D_
	at android view ViewGroup drawChild(ViewGroup java:4516)_x000D_
	at androidx recyclerview widget RecyclerView drawChild(RecyclerView java:5030)_x000D_
	at android view ViewGroup dispatchDraw(ViewGroup java:4277)_x000D_
	at android view View draw(View java:22353)_x000D_
	at androidx recyclerview widget RecyclerView draw(RecyclerView java:4429)_x000D_
	at android view View updateDisplayListIfDirty(View java:21226)_x000D_
	at android view View draw(View java:22081)_x000D_
	at android view ViewGroup drawChild(ViewGroup java:4516)_x000D_
	at android view ViewGroup dispatchDraw(ViewGroup java:4277)_x000D_
	at android view View draw(View java:22353)_x000D_
	at com google android material internal ScrimInsetsFrameLayout draw(ScrimInsetsFrameLayout java:109)_x000D_
	at android view View updateDisplayListIfDirty(View java:21226)_x000D_
	at android view View draw(View java:22081)_x000D_
	at android view ViewGroup drawChild(ViewGroup java:4516)_x000D_
	at androidx drawerlayout widget DrawerLayout drawChild(DrawerLayout java:1426)_x000D_
	at android view ViewGroup dispatchDraw(ViewGroup java:4277)_x000D_
	at android view View draw(View java:22353)_x000D_
	at android view View updateDisplayListIfDirty(View java:21226)_x000D_
	at android view View draw(View java:22081)_x000D_
	at android view ViewGroup drawChild(ViewGroup java:4516)_x000D_
	at android view ViewGroup dispatchDraw(ViewGroup java:4277)_x000D_
	at android view View updateDisplayListIfDirty(View java:21217)_x000D_
	at android view View draw(View java:22081)_x000D_
	at android view ViewGroup drawChild(ViewGroup java:4516)_x000D_
	at android view ViewGroup dispatchDraw(ViewGroup java:4277)_x000D_
	at android view View updateDisplayListIfDirty(View java:21217)_x000D_
	at android view View draw(View java:22081)_x000D_
	at android view ViewGroup drawChild(ViewGroup java:4516)_x000D_
	at android view ViewGroup dispatchDraw(ViewGroup java:4277)_x000D_
	at android view View updateDisplayListIfDirty(View java:21217)_x000D_
	at android view View draw(View java:22081)_x000D_
	at android view ViewGroup drawChild(ViewGroup java:4516)_x000D_
	at android view ViewGroup dispatchDraw(ViewGroup java:4277)_x000D_
	at android view View updateDisplayListIfDirty(View java:21217)_x000D_
	at android view View draw(View java:22081)_x000D_
	at android view ViewGroup drawChild(ViewGroup java:4516)_x000D_
	at android view ViewGroup dispatchDraw(ViewGroup java:4277)_x000D_
	at android view View draw(View java:22353)_x000D_
	at com android internal policy DecorView draw(DecorView java:806)_x000D_
	at android view View updateDisplayListIfDirty(View java:21226)_x000D_
	at android view ThreadedRenderer updateViewTreeDisplayList(ThreadedRenderer java:559)_x000D_
	at android view ThreadedRenderer updateRootDisplayList(ThreadedRenderer java:565)_x000D_
	at android view ThreadedRenderer draw(ThreadedRenderer java:642)_x000D_
	at android view ViewRootImpl draw(ViewRootImpl java:4106)_x000D_
	at android view ViewRootImpl performDraw(ViewRootImpl java:3833)_x000D_
	at android view ViewRootImpl performTraversals(ViewRootImpl java:3104)_x000D_
	at android view ViewRootImpl doTraversal(ViewRootImpl java:1948)_x000D_
	at android view ViewRootImpl TraversalRunnable run(ViewRootImpl java:8177)_x000D_
	at android view Choreographer CallbackRecord run(Choreographer java:972)_x000D_
	at android view Choreographer doCallbacks(Choreographer java:796)_x000D_
	at android view Choreographer doFrame(Choreographer java:731)_x000D_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_x000D_
             APP INFORMATION             _x000D_
ID: com nextcloud client_x000D_
Version: 30170151_x000D_
Build flavor: gplay_x000D_
_x000D_
             DEVICE INFORMATION             _x000D_
Brand: google_x000D_
Device: barbet_x000D_
Model: Pixel 5a_x000D_
Id: RD2A 210605 007_x000D_
Product: barbet_x000D_
_x000D_
             FIRMWARE             _x000D_
SDK: 30_x000D_
Release: 11_x000D_
Incremental: 7381860_x000D_
   </t>
  </si>
  <si>
    <t>Anuken-Mindustry-6120</t>
  </si>
  <si>
    <t>Array Index out of Bounds" Crash without error log when working with Microprocessors</t>
  </si>
  <si>
    <t xml:space="preserve">  Platform  :  Windows _x000D_
_x000D_
  Build  :  steam build 126 3 _x000D_
_x000D_
  Issue  :   Array Index out of Bounds  Crash when working with Microprocessors  When I wanted to extract the Error Log (to have a look at it myself too) the game could not find any  _x000D_
_x000D_
  Steps to reproduce  :  I was playing around with Differential Generators and Load balancing (using microprocessors)  I added another block (like you usually do) and the game crashed with an  Array Index out of Bounds  error  I dont know exactly how many Blocks I added but the last one I added was a  Print  block using the Duplicate button on another block   _x000D_
_x000D_
  Link(s) to mod(s) used  :  No mods used  _x000D_
_x000D_
  Save file  :   saves zip (https:  github com Anuken Mindustry files 7312339 saves zip) _x000D_
_x000D_
  (Crash) logs  :  NO CRASH LOG FOUND No Logs Found (https:  user images githubusercontent com 15960617 136581858 0ebe92ee 5846 4e36 8e2c 8bf6ae0688bd PNG)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t>
  </si>
  <si>
    <t>material-components-material-components-android-2416</t>
  </si>
  <si>
    <t>[MaterialTimePicker] Input mode is not changed when clicking on keyboard icon when the app is returned from background</t>
  </si>
  <si>
    <t xml:space="preserve">  Description:   Input mode doesn t change on MaterialTimePicker when user clicks on keyboard icon or clock icon when comes back to foreground from background while the MaterialTimePicker was visible  The actual behavior is different from what is expected _x000D_
_x000D_
Steps to reproduce the issue:_x000D_
  Open implemented TimePicker in the app _x000D_
  Move your app to background _x000D_
  Move your app from background to foreground and click on keyboard icon or clock icon  _x000D_
_x000D_
Following behaviors is observed for :_x000D_
_x000D_
  version 1 4 0   crash occurs with the following stack trace:_x000D_
_x000D_
   _x000D_
java lang NullPointerException: Attempt to invoke virtual method  void com google android material timepicker TimePickerView showToggle()  on a null object reference_x000D_
        at com google android material timepicker TimePickerClockPresenter initialize(TimePickerClockPresenter java:75)_x000D_
        at com google android material timepicker TimePickerClockPresenter  init (TimePickerClockPresenter java:69)_x000D_
        at com google android material timepicker MaterialTimePicker initializeOrRetrieveActivePresenterForMode(MaterialTimePicker java:311)_x000D_
        at com google android material timepicker MaterialTimePicker updateInputMode(MaterialTimePicker java:301)_x000D_
        at com google android material timepicker MaterialTimePicker access 700(MaterialTimePicker java:59)_x000D_
        at com google android material timepicker MaterialTimePicker 4 onClick(MaterialTimePicker java:263)_x000D_
        at android view View performClick(View java:8160)_x000D_
        at android widget TextView performClick(TextView java:16222)_x000D_
        at com google android material button MaterialButton performClick(MaterialButton java:1119)_x000D_
        at android view View performClickInternal(View java:8137)_x000D_
        at android view View access 3700(View java:888)_x000D_
        at android view View PerformClick run(View java:30236)_x000D_
        at android os Handler handleCallback(Handler java:938)_x000D_
        at android os Handler dispatchMessage(Handler java:99)_x000D_
        at android os Looper loop(Looper java:246)_x000D_
        at android app ActivityThread main(ActivityThread java:8595)_x000D_
        at java lang reflect Method invoke(Native Method)_x000D_
        at com android internal os RuntimeInit MethodAndArgsCaller run(RuntimeInit java:602)_x000D_
        at com android internal os ZygoteInit main(ZygoteInit java:1130)_x000D_
   _x000D_
_x000D_
  version 1 5 0 alpha04   the keyboard icon doesn t transition the picker to keyboard input mode _x000D_
_x000D_
  Expected behavior:   The timepicker should change the input mode  _x000D_
_x000D_
  Source code:   The source code implementation is same as per the documentation _x000D_
_x000D_
   Kotlin_x000D_
val timePicker   MaterialTimePicker Builder()_x000D_
                 setTimeFormat(TimeFormat CLOCK 12H)_x000D_
                 setHour(currentHour)_x000D_
                 setMinute(currentMinute)_x000D_
                 build()_x000D_
timePicker show(supportFragmentManager  null)_x000D_
   _x000D_
_x000D_
Also  the issue can be observed with the  catalog  sample app in this repository _x000D_
_x000D_
  Android API version:   API 30_x000D_
_x000D_
  Material Library version:   _x000D_
implementation  com google android material:material:1 4 0 _x000D_
implementation  com google android material:material:1 5 0 alpha04 _x000D_
_x000D_
  Device:   Samsung M31_x000D_
</t>
  </si>
  <si>
    <t>OTTAA-Project-OTTAAProject-91</t>
  </si>
  <si>
    <t>Preference Get User Uid error</t>
  </si>
  <si>
    <t xml:space="preserve">  Description  _x000D_
A bug is a firebase crashlytics report_x000D_
the system show this message:_x000D_
_x000D_
Fatal Exception: java lang RuntimeException_x000D_
Unable to start activity ComponentInfo com stonefacesoft ottaa com stonefacesoft ottaa Principal : java lang NullPointerException: Attempt to invoke virtual method  java lang String com google firebase auth g j0()  on a null object referenceshow_x000D_
_x000D_
</t>
  </si>
  <si>
    <t>TeamNewPipe-NewPipe-7208</t>
  </si>
  <si>
    <t>Return to Play Queue screen from video details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</si>
  <si>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Fire up the background audio player and open the Play Queue screen from the notification  Long press a video and tap  details   Now swipe down the video screen as to minimise the video details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App returns to the main NewPipe window  _x000D_
_x000D_
_x000D_
    Expected behavior_x000D_
     Tell us what you expect to happen     _x000D_
App should return back to the Play Queue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Can provide a screen recording if necessary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11  LineageOS 18 1_x000D_
   Device model: Poco F1_x000D_
</t>
  </si>
  <si>
    <t>google-ExoPlayer-9541</t>
  </si>
  <si>
    <t>SimpleExoPlayer audio fails after repeated use</t>
  </si>
  <si>
    <t xml:space="preserve">If SimpleExoPlayer is created  used and released many times  eventually audio stops working  _x000D_
_x000D_
Audio in all apps then fails  Other apps that use ExoPlayer (e g  YouTube) usually crash  The device must be rebooted to fix _x000D_
_x000D_
This appears to only affect Android 5  devices  and may take thousands of repeats  _x000D_
_x000D_
Affected devices:_x000D_
Nvidia Shield_x000D_
Some Minix devices_x000D_
_x000D_
Usually the following exception is thrown:_x000D_
_x000D_
_x000D_
	Caused by: com google android exoplayer2 ExoPlaybackException: MediaCodecAudioRenderer error  index 1  format Format(null  null  null  audio raw  null   1  null    1   1   1 0    1  44100 )  format supported YES_x000D_
		at com google android exoplayer2 ExoPlayerImplInternal handleMessage(ExoPlayerImplInternal java:558)_x000D_
		at android os Handler dispatchMessage(Handler java:102)_x000D_
		    2 more_x000D_
	Caused by: com google android exoplayer2 audio AudioSink InitializationException: AudioTrack init failed 0 Config(44100  4  22050)_x000D_
		at com google android exoplayer2 audio DefaultAudioSink Configuration buildAudioTrack(DefaultAudioSink java:2041)_x000D_
		at com google android exoplayer2 audio DefaultAudioSink buildAudioTrack(DefaultAudioSink java:854)_x000D_
		at com google android exoplayer2 audio DefaultAudioSink initializeAudioTrack(DefaultAudioSink java:660)_x000D_
		at com google android exoplayer2 audio DefaultAudioSink handleBuffer(DefaultAudioSink java:736)_x000D_
		at com google android exoplayer2 audio MediaCodecAudioRenderer processOutputBuffer(MediaCodecAudioRenderer java:639)_x000D_
		at com google android exoplayer2 mediacodec MediaCodecRenderer drainOutputBuffer(MediaCodecRenderer java:1898)_x000D_
		at com google android exoplayer2 mediacodec MediaCodecRenderer render(MediaCodecRenderer java:823)_x000D_
		at com google android exoplayer2 ExoPlayerImplInternal doSomeWork(ExoPlayerImplInternal java:978)_x000D_
		at com google android exoplayer2 ExoPlayerImplInternal handleMessage(ExoPlayerImplInternal java:482)_x000D_
		    3 more_x000D_
		Suppressed: com google android exoplayer2 audio AudioSink InitializationException: AudioTrack init failed 0 Config(44100  4  22050)_x000D_
			    12 more_x000D_
_x000D_
_x000D_
_x000D_
I believe the root cause is allocation of new audio session IDs in the SimpleExoPlayer constructor  This occurs before setAudioSessionId() can be used and is therefore unavoidable _x000D_
_x000D_
The best workaround is to reuse SimpleExoPlayer  However  this can pose problems when operating on different threads and recovering from errors _x000D_
_x000D_
</t>
  </si>
  <si>
    <t>XBigTK13X-snowgloo-39</t>
  </si>
  <si>
    <t>Android crash while casting messes up the queue state</t>
  </si>
  <si>
    <t>If android crashes while casting  then when reopening the app set what is now playing and refresh the queue positiion</t>
  </si>
  <si>
    <t>TeamNewPipe-NewPipe-7205</t>
  </si>
  <si>
    <t>/watch_videos links don't work (Anonymous Playlists)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</si>
  <si>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Open the following link in NewPipe_x000D_
_x000D_
https:  www youtube com watch videos video ids dZqWjgyR9rU q9I01iNFcL4 gOpAr0UiT6Q 4RCZBSsmccE aYUY0q6dwoY TOVvfk7tqbs 4AKSpPkZAuE   R4B2j0mBc ZYCm2cUjU7Y zr9PP73UivA DJPd7xWScZs LZ9yZ2QpLys 0EesYp XFXQ xft1WqwOHoI RGkXpofMKbs I3UAPYP Qoo CPBXIQ6Z6nI mp9SeI11jpE  gqvLu466Kw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NewPipe opens a channel belonging to a user known as Watch Vid os_x000D_
_x000D_
_x000D_
    Expected behavior_x000D_
     Tell us what you expect to happen     _x000D_
I expect it to display an anonymous playlist  just like it would if you opened the link in a browser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11 LineageOS 18 1_x000D_
   Device model: Poco F1_x000D_
</t>
  </si>
  <si>
    <t>ankidroid-Anki-Android-9592</t>
  </si>
  <si>
    <t>Chromebook crashes- Need someone with a chromebook!</t>
  </si>
  <si>
    <t xml:space="preserve"> AnkiDroid Maintainer Edit: This issue is a list of stack traces right now  but the best way to start if you have a chromebook is simply to install AnkiDroid from source  and try to run it  watching  adb logcat   and see how it goes  According to user reports  it will be unusable   crash immediately  so that s where to start    _x000D_
_x000D_
_x000D_
Hi   I m having trouble opening AnkiDroid on my Chromebook (Acer Spin 713)  I do not use Linux  I downloaded AnkiDroid from the google playstore but am unable to log in or sync my files  Every time I open the app  it crashes within about 30 60 seconds with a notice that  AnkiDroid is not responding   I uninstalled and reinstalled twice (rebooting between reinstall) and attempted to use the the wiki troubleshooter to fix my problem  Nothing seems to be working  Do you have any suggestions  Thank you in advance  </t>
  </si>
  <si>
    <t>Anuken-Mindustry-6111</t>
  </si>
  <si>
    <t>Inconsistencies in unloaders</t>
  </si>
  <si>
    <t xml:space="preserve">  Platform  : MacOS  Windows  Android_x000D_
_x000D_
  Build  : pre alpha 131_x000D_
_x000D_
  Issue  : Unloaders are not distributing correctly in certain conditions even though I don t think it is intended (as far as I know)  It is also inconsistent and random  with some people in  designs getting the bug and other not  Reloading the map sometime fixes breaks it  I first encountered it when attempting to unload sand into the kiln  and coal into the graphite press from the crucible while making a schematic in sandbox_x000D_
  Steps to reproduce  : _x000D_
use certain null unloader setup_x000D_
  image (https:  user images githubusercontent com 67698926 136170884 34acdb23 2f51 45a2 b940 2b934af4ab1b png)_x000D_
the unloader is only supplying sand to kiln  which is using 2 sand per second  leaving the unloader to have 9 coal per second to the graphite press  yet no coal gets into the graphite press  Sometimes  it works again after the kiln idles  even though unloader speeds are 11 s and the kiln was using 2 s _x000D_
_x000D_
Changing the unloader configuration from something else back to null fixes the issue  but sometimes it stops working again _x000D_
replacing the bridge on top of the unloader with an item source (or vice versa)  sometimes fixes the issue (even though it has absolutely nothing to do with the coal transport) _x000D_
_x000D_
video showing random stuff fixing the bug:_x000D_
_x000D_
https:  user images githubusercontent com 67698926 136175022 db07d36c a021 4d0d 8fba 72539f210479 mp4_x000D_
_x000D_
It is very inconsistent  with some people having it  and other not and doing random stuff sometimes fixing the issue  because of this I doubt it s an intended feature _x000D_
_x000D_
  Link(s) to mod(s) used  : _x000D_
 time control (https:  github com sk7725 TimeControl)_x000D_
 max rate calculator (https:  github com L0615T1C5 216AC 9437 MaxRateCalculator)_x000D_
(both QoL mods)_x000D_
although i doubt mods are relevant as it was tested on multiple devices with different mods and it still bugged out _x000D_
_x000D_
  Save file  :  map save (https:  cdn discordapp com attachments 754304267413880832 895229917061586964 unloaderarebugged msav)_x000D_
_x000D_
No crashes_x000D_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</si>
  <si>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fossasia-pslab-android-2240</t>
  </si>
  <si>
    <t>Dependabot throw error on upgrading open street maps</t>
  </si>
  <si>
    <t xml:space="preserve">  Actual Behaviour  _x000D_
_x000D_
We need to use the latest version of open street maps_x000D_
_x000D_
  Expected Behaviour  _x000D_
_x000D_
Dependabot throws an error as if we upgrade open maps  it will crash the app_x000D_
_x000D_
  Steps to reproduce it  _x000D_
_x000D_
Check PR  2233 _x000D_
_x000D_
  LogCat for the issue  _x000D_
_x000D_
   _x000D_
47 Execution failed for task  :app:processFdroidDebugMainManifest  _x000D_
48   Manifest merger failed : Attribute application allowBackup value (true) from AndroidManifest xml:22:9 35_x000D_
  	is also present at  mil nga geopackage:geopackage android:2 0 1  AndroidManifest xml:12:9 36 value (false) _x000D_
49 Suggestion: add  tools:replace  android:allowBackup   to  application  element at AndroidManifest xml:20:5 126:19 to override _x000D_
   _x000D_
  Screenshots of the issue  _x000D_
_x000D_
N A_x000D_
_x000D_
  Would you like to work on the issue   _x000D_
_x000D_
Yes</t>
  </si>
  <si>
    <t>TeamNewPipe-NewPipe-7203</t>
  </si>
  <si>
    <t>Cannot import Youtube subscriptions from youtube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</si>
  <si>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Click  Subscriptions  button_x000D_
2  Click Import from  YouTube _x000D_
3  Click  IMPORT FILE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The app crashes _x000D_
_x000D_
_x000D_
_x000D_
    Expected behavior_x000D_
The app should give the option to select the zip archive or csv file from your phone storage containing the youtube subscriptions downloaded from google takeout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user images githubusercontent com 77164768 136085618 d51eb56e aff9 4216 aeff bc120e6b8313 mp4_x000D_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IT_x000D_
   Content Language:  it IT_x000D_
   App Language:  en_x000D_
   Service:  none_x000D_
   Version:  0 21 10_x000D_
   OS:  Linux Android 11   30_x000D_
 details  summary  b Crash log   b   summary  p _x000D_
_x000D_
   _x000D_
android content ActivityNotFoundException: No Activity found to handle Intent   act android intent action OPEN DOCUMENT cat  android intent category OPENABLE  typ     flg 0x43 (has extras)  _x000D_
	at android app Instrumentation checkStartActivityResult(Instrumentation java:2258)_x000D_
	at android app Instrumentation execStartActivity(Instrumentation java:1914)_x000D_
	at android app Activity startActivityForResult(Activity java:5326)_x000D_
	at androidx activity ComponentActivity startActivityForResult(ComponentActivity java:597)_x000D_
	at androidx core app ActivityCompat startActivityForResult(ActivityCompat java:237)_x000D_
	at androidx activity ComponentActivity 2 onLaunch(ComponentActivity java:210)_x000D_
	at androidx activity result ActivityResultRegistry 2 launch(ActivityResultRegistry java:167)_x000D_
	at androidx fragment app Fragment 9 launch(Fragment java:3510)_x000D_
	at androidx activity result ActivityResultLauncher launch(ActivityResultLauncher java:47)_x000D_
	at org schabi newpipe local subscription SubscriptionsImportFragment onImportFile(SubscriptionsImportFragment java:181)_x000D_
	at org schabi newpipe local subscription SubscriptionsImportFragment onImportClicked(SubscriptionsImportFragment java:168)_x000D_
	at org schabi newpipe local subscription SubscriptionsImportFragment lambda initListeners 0(SubscriptionsImportFragment java:158)_x000D_
	at org schabi newpipe local subscription SubscriptionsImportFragment lambda initListeners 0 SubscriptionsImportFragment(Unknown Source:0)_x000D_
	at org schabi newpipe local subscription    Lambda SubscriptionsImportFragment 4 N3 HtVY3hbG  lTbAQ6l6ErME onClick(Unknown Source:2)_x000D_
	at android view View performClick(View java:7520)_x000D_
	at android view View performClickInternal(View java:7489)_x000D_
	at android view View access 3600(View java:826)_x000D_
	at android view View PerformClick run(View java:28555)_x000D_
	at android os Handler handleCallback(Handler java:938)_x000D_
	at android os Handler dispatchMessage(Handler java:99)_x000D_
	at android os Looper loop(Looper java:233)_x000D_
	at android app ActivityThread main(ActivityThread java:8010)_x000D_
	at java lang reflect Method invoke(Native Method)_x000D_
	at com android internal os RuntimeInit MethodAndArgsCaller run(RuntimeInit java:631)_x000D_
	at com android internal os ZygoteInit main(ZygoteInit java:978)_x000D_
   _x000D_
_x000D_
  details _x000D_
 hr _x000D_
_x000D_
_x000D_
     Please fill this section if you did not provide a log generated by NewPipe    _x000D_
_x000D_
    Device info_x000D_
_x000D_
   Android version Custom ROM version: Android 11   OxygenOS 11 0 8 13_x000D_
   Device model: Oneplus 8T KB2003_x000D_
</t>
  </si>
  <si>
    <t>PojavLauncherTeam-PojavLauncher-2091</t>
  </si>
  <si>
    <t>1.17.x Optifine doesn't work with fabric even if you patch it</t>
  </si>
  <si>
    <t>_x000D_
 latestcrash txt (https:  github com PojavLauncherTeam PojavLauncher files 7286999 latestcrash txt)_x000D_
 latestlog txt (https:  github com PojavLauncherTeam PojavLauncher files 7287000 latestlog txt)_x000D_
    Describe the bug_x000D_
_x000D_
Optifine with fabric loader doesn t work_x000D_
_x000D_
    The log file and images videos_x000D_
_x000D_
  Screenshot 20211005 173631 com mxtech videoplayer ad (https:  user images githubusercontent com 79517194 136049590 8698898c 7054 4a84 acac 265bfe5e1a03 jpg)_x000D_
_x000D_
_x000D_
    Steps To Reproduce_x000D_
_x000D_
   markdown_x000D_
1 Start Pojavlauncher_x000D_
2 Play 1 17 1 Fabric_x000D_
3 Its Should Work _x000D_
   _x000D_
_x000D_
_x000D_
    Expected Behavior_x000D_
_x000D_
Since the 1 17 OF is patched its should work I guess  _x000D_
_x000D_
    Platform_x000D_
_x000D_
   markdown_x000D_
  Device model: Huawei Nova 3i_x000D_
  CPU architecture: aarch64_x000D_
  Android version: 9_x000D_
  PojavLauncher version: Latest GP build_x000D_
   _x000D_
_x000D_
_x000D_
    Anything else _x000D_
_x000D_
No</t>
  </si>
  <si>
    <t>Rapsssito-react-native-tcp-socket-127</t>
  </si>
  <si>
    <t>[ios] [5.3.1] rare crash when going from background to foreground</t>
  </si>
  <si>
    <t xml:space="preserve">   Description_x000D_
I once experienced a crash when my app was in the background for a while  and I opened so it tried to go to foreground _x000D_
I immediately looked up our crash report on bugsnag:_x000D_
_x000D_
   _x000D_
NSInvalidArgumentException_x000D_
TcpSockets m:166_x000D_
        NSPlaceholderDictionary initWithObjects:forKeys:count: : attempt to insert nil object from objects 0 _x000D_
Oct 5th  2021  11:44:31 UTC_x000D_
_x000D_
STACKTRACE_x000D_
_x000D_
CrashReporter Key:  57d0876ed81edcd073b616649639e4eae2160bcf_x000D_
Hardware Model:     iPhone12 1_x000D_
Process:            BlueWallet_x000D_
Identifier:         io bluewallet bluewallet_x000D_
Version:            6 2 9_x000D_
Role:               Foreground_x000D_
OS Version:         iOS 15 0_x000D_
_x000D_
_x000D_
NSInvalidArgumentException:         NSPlaceholderDictionary initWithObjects:forKeys:count: : attempt to insert nil object from objects 0 _x000D_
_x000D_
0  CoreFoundation       exceptionPreprocess_x000D_
1  libobjc A dylib    objc exception throw_x000D_
2  CoreFoundation      CFThrowFormattedException_x000D_
3  CoreFoundation        NSPlaceholderDictionary initWithObjects:forKeys:count:  cold 5_x000D_
4  CoreFoundation        NSPlaceholderDictionary initWithObjects:forKeys:count: _x000D_
5  CoreFoundation      NSDictionary dictionaryWithObjects:forKeys:count: _x000D_
6  BlueWallet          TcpSockets onConnect:  (TcpSockets m:166:24)_x000D_
7  BlueWallet          TcpSocketClient socketDidSecure:  (TcpSocketClient m:294:5)_x000D_
8  BlueWallet          42  GCDAsyncSocket ssl continueSSLHandshake  block invoke (GCDAsyncSocket m:7344:5)_x000D_
9  libdispatch dylib   dispatch call block and release_x000D_
10 libdispatch dylib   dispatch client callout_x000D_
11 libdispatch dylib   dispatch main queue callback 4CF_x000D_
12 CoreFoundation       CFRUNLOOP IS SERVICING THE MAIN DISPATCH QUEUE  _x000D_
13 CoreFoundation       CFRunLoopRun_x000D_
14 CoreFoundation     CFRunLoopRunSpecific_x000D_
15 GraphicsServices   GSEventRunModal_x000D_
16 UIKitCore           UIApplication  run _x000D_
17 UIKitCore          UIApplicationMain_x000D_
18 BlueWallet        main (main m:14:12)_x000D_
_x000D_
THREADS_x000D_
_x000D_
Thread 0_x000D_
0  CoreFoundation       exceptionPreprocess_x000D_
1  libobjc A dylib    objc exception throw_x000D_
2  CoreFoundation      CFThrowFormattedException_x000D_
3  CoreFoundation        NSPlaceholderDictionary initWithObjects:forKeys:count:  cold 5_x000D_
4  CoreFoundation        NSPlaceholderDictionary initWithObjects:forKeys:count: _x000D_
5  CoreFoundation      NSDictionary dictionaryWithObjects:forKeys:count: _x000D_
6  BlueWallet          TcpSockets onConnect:  (TcpSockets m:166:24)_x000D_
7  BlueWallet          TcpSocketClient socketDidSecure:  (TcpSocketClient m:294:5)_x000D_
8  BlueWallet          42  GCDAsyncSocket ssl continueSSLHandshake  block invoke (GCDAsyncSocket m:7344:5)_x000D_
9  libdispatch dylib   dispatch call block and release_x000D_
10 libdispatch dylib   dispatch client callout_x000D_
11 libdispatch dylib   dispatch main queue callback 4CF_x000D_
12 CoreFoundation       CFRUNLOOP IS SERVICING THE MAIN DISPATCH QUEUE  _x000D_
13 CoreFoundation       CFRunLoopRun_x000D_
14 CoreFoundation     CFRunLoopRunSpecific_x000D_
15 GraphicsServices   GSEventRunModal_x000D_
16 UIKitCore           UIApplication  run _x000D_
17 UIKitCore          UIApplicationMain_x000D_
18 BlueWallet        main (main m:14:12)_x000D_
_x000D_
Thread 1_x000D_
0 libsystem kernel dylib   mach msg trap_x000D_
1 libsystem kernel dylib   mach msg_x000D_
2 CoreFoundation             CFRunLoopServiceMachPort_x000D_
3 CoreFoundation             CFRunLoopRun_x000D_
4 CoreFoundation           CFRunLoopRunSpecific_x000D_
5 Foundation                NSRunLoop(NSRunLoop) runMode:beforeDate: _x000D_
6 Foundation                NSRunLoop(NSRunLoop) runUntilDate: _x000D_
7 UIKitCore                 UIEventFetcher threadMain _x000D_
8 Foundation                 NSThread  start  _x000D_
9 libsystem pthread dylib   pthread start_x000D_
_x000D_
Thread 2_x000D_
0 libsystem kernel dylib   mach msg trap_x000D_
1 libsystem kernel dylib   mach msg_x000D_
2 libsystem kernel dylib   thread suspend_x000D_
3 BlueWallet              ksmachexc i handleExceptions (BSG KSCrashSentry MachException c:221:9)_x000D_
4 libsystem pthread dylib   pthread start_x000D_
_x000D_
Thread 3_x000D_
0 libsystem kernel dylib   mach msg trap_x000D_
1 libsystem kernel dylib   mach msg_x000D_
2 BlueWallet              ksmachexc i handleExceptions (BSG KSCrashSentry MachException c:228:28)_x000D_
3 libsystem pthread dylib   pthread start_x000D_
_x000D_
Thread 4_x000D_
0 libsystem kernel dylib   semaphore timedwait trap_x000D_
1 libdispatch dylib         dispatch sema4 timedwait_x000D_
2 libdispatch dylib         dispatch semaphore wait slow_x000D_
3 BlueWallet                BSGAppHangDetector detectAppHangs  (BSGAppHangDetector m:121:13)_x000D_
4 Foundation                 NSThread  start  _x000D_
5 libsystem pthread dylib   pthread start_x000D_
_x000D_
Thread 5_x000D_
0 libsystem kernel dylib   mach msg trap_x000D_
1 libsystem kernel dylib   mach msg_x000D_
2 CoreFoundation             CFRunLoopServiceMachPort_x000D_
3 CoreFoundation             CFRunLoopRun_x000D_
4 CoreFoundation           CFRunLoopRunSpecific_x000D_
5 BlueWallet                RCTCxxBridge runRunLoop  (RCTCxxBridge mm:308:12)_x000D_
6 Foundation                 NSThread  start  _x000D_
7 libsystem pthread dylib   pthread start_x000D_
_x000D_
Thread 6_x000D_
0 libsystem kernel dylib     psynch cvwait_x000D_
1 libsystem pthread dylib   pthread cond wait_x000D_
2 libc   1 dylib          std::  1::condition variable::  do timed wait(std::  1::unique lock std::  1::mutex    std::  1::chrono::time point std::  1::chrono::system clock  std::  1::chrono::duration long long  std::  1::ratio 1l  1000000000l     )_x000D_
3 JavaScriptCore          bmalloc::Scavenger::threadRunLoop()_x000D_
4 JavaScriptCore          bmalloc::Scavenger::threadEntryPoint(bmalloc::Scavenger )_x000D_
5 JavaScriptCore          void  std::  1::  thread proxy std::  1::tuple std::  1::unique ptr std::  1::  thread struct  std::  1::default delete std::  1::  thread struct     void ( )(bmalloc::Scavenger )  bmalloc::Scavenger    (void )_x000D_
6 libsystem pthread dylib   pthread start_x000D_
_x000D_
Thread 7_x000D_
0 libsystem kernel dylib   mach msg trap_x000D_
1 libsystem kernel dylib   mach msg_x000D_
2 CoreFoundation             CFRunLoopServiceMachPort_x000D_
3 CoreFoundation             CFRunLoopRun_x000D_
4 CoreFoundation           CFRunLoopRunSpecific_x000D_
5 CoreFoundation           CFRunLoopRun_x000D_
6 CoreMotion              CLMotionActivity::isTypeInVehicle(CLMotionActivity::Type)_x000D_
7 libsystem pthread dylib   pthread start_x000D_
_x000D_
Thread 8_x000D_
0 libsystem kernel dylib   mach msg trap_x000D_
1 libsystem kernel dylib   mach msg_x000D_
2 CoreFoundation             CFRunLoopServiceMachPort_x000D_
3 CoreFoundation             CFRunLoopRun_x000D_
4 CoreFoundation           CFRunLoopRunSpecific_x000D_
5 CFNetwork                 CFURLStorageSessionCopyIdentifier_x000D_
6 Foundation                 NSThread  start  _x000D_
7 libsystem pthread dylib   pthread start_x000D_
_x000D_
Thread 9_x000D_
0 libsystem kernel dylib   mach msg trap_x000D_
1 libsystem kernel dylib   mach msg_x000D_
2 CoreFoundation             CFRunLoopServiceMachPort_x000D_
3 CoreFoundation             CFRunLoopRun_x000D_
4 CoreFoundation           CFRunLoopRunSpecific_x000D_
5 AudioSession            CADeprecated::GenericRunLoopThread::Entry(void )_x000D_
6 AudioSession            CADeprecated::CAPThread::Entry(CADeprecated::CAPThread )_x000D_
7 libsystem pthread dylib   pthread start_x000D_
_x000D_
Thread 10_x000D_
0 libsystem kernel dylib   mach msg trap_x000D_
1 libsystem kernel dylib   mach msg_x000D_
2 CoreFoundation             CFRunLoopServiceMachPort_x000D_
3 CoreFoundation             CFRunLoopRun_x000D_
4 CoreFoundation           CFRunLoopRunSpecific_x000D_
5 Foundation                NSRunLoop(NSRunLoop) runMode:beforeDate: _x000D_
6 BlueWallet                GCDAsyncSocket cfstreamThread:  (GCDAsyncSocket m:7686:25)_x000D_
7 Foundation                 NSThread  start  _x000D_
8 libsystem pthread dylib   pthread start_x000D_
_x000D_
Thread 11_x000D_
0 libsystem kernel dylib   select DARWIN EXTSN_x000D_
1 CoreFoundation             CFSocketManager_x000D_
2 libsystem pthread dylib   pthread start_x000D_
_x000D_
Thread 12_x000D_
0 unknown file unknown method_x000D_
_x000D_
Thread 13_x000D_
0 libsystem kernel dylib   kevent_x000D_
1 BlueWallet              realm:: impl::ExternalCommitHelper::listen() (BlueWallet)_x000D_
2 BlueWallet              void  std::  1::  thread proxy std::  1::tuple std::  1::unique ptr std::  1::  thread struct  std::  1::default delete std::  1::  thread struct     realm:: impl::ExternalCommitHelper::ExternalCommitHelper(realm:: impl::RealmCoordinator )::  0   (void ) (BlueWallet)_x000D_
3 libsystem pthread dylib   pthread start_x000D_
_x000D_
Thread 14_x000D_
0 unknown file unknown method_x000D_
_x000D_
Thread 15_x000D_
0 libsystem blocks dylib    Block copy_x000D_
1 libnetwork dylib         nw path necp update evaluator_x000D_
2 libnetwork dylib         nw path necp check for updates_x000D_
3 libdispatch dylib         dispatch client callout_x000D_
4 libdispatch dylib         dispatch continuation pop_x000D_
5 libdispatch dylib         dispatch source invoke_x000D_
6 libdispatch dylib         dispatch workloop invoke_x000D_
7 libdispatch dylib         dispatch workloop worker thread_x000D_
8 libsystem pthread dylib   pthread wqthread_x000D_
_x000D_
Thread 16_x000D_
0 unknown file unknown method_x000D_
_x000D_
Thread 17_x000D_
0 unknown file unknown method_x000D_
_x000D_
Thread 18_x000D_
0 unknown file unknown method_x000D_
_x000D_
Thread 19_x000D_
0 BlueWallet                 ZN5realm4util12 GLOBAL  N 122ReclaimerThreadStopperD2Ev block invoke (BlueWallet)_x000D_
1 libdispatch dylib         dispatch client callout_x000D_
2 libdispatch dylib         dispatch continuation pop_x000D_
3 libdispatch dylib         dispatch source invoke_x000D_
4 libdispatch dylib         dispatch lane serial drain_x000D_
5 libdispatch dylib         dispatch lane invoke_x000D_
6 libdispatch dylib         dispatch workloop worker thread_x000D_
7 libsystem pthread dylib   pthread wqthread_x000D_
_x000D_
Thread 20_x000D_
0  libsystem kernel dylib     ulock wait_x000D_
1  libdispatch dylib         dlock wait_x000D_
2  libdispatch dylib         dispatch thread event wait slow_x000D_
3  libdispatch dylib          DISPATCH WAIT FOR QUEUE  _x000D_
4  libdispatch dylib         dispatch sync f slow_x000D_
5  UIKitCore                  37   UIRemoteKeyboards startConnection  block invoke 3_x000D_
6  CoreFoundation             invoking   _x000D_
7  CoreFoundation            NSInvocation invoke _x000D_
8  Foundation                 NSXPCCONNECTION IS CALLING OUT TO REPLY BLOCK  _x000D_
9  Foundation                NSXPCConnection  decodeAndInvokeReplyBlockWithEvent:sequence:replyInfo: _x000D_
10 Foundation                 88  NSXPCConnection  sendInvocation:orArguments:count:methodSignature:selector:withProxy:  block invoke 3_x000D_
11 libxpc dylib              xpc connection reply callout_x000D_
12 libxpc dylib              xpc connection call reply async_x000D_
13 libdispatch dylib         dispatch client callout3_x000D_
14 libdispatch dylib         dispatch mach msg async reply invoke_x000D_
15 libdispatch dylib         dispatch lane serial drain_x000D_
16 libdispatch dylib         dispatch lane invoke_x000D_
17 libdispatch dylib         dispatch workloop worker thread_x000D_
18 libsystem pthread dylib   pthread wqthread_x000D_
_x000D_
Thread 21_x000D_
0 libsystem kernel dylib   syscall thread switch_x000D_
1 JavaScriptCore          JSC::Heap::resumeThePeriphery()_x000D_
2 JavaScriptCore          JSC::Heap::finishChangingPhase(JSC::GCConductor)_x000D_
3 JavaScriptCore          JSC::Heap::runFixpointPhase(JSC::GCConductor)_x000D_
4 JavaScriptCore          JSC::Heap::runCurrentPhase(JSC::GCConductor  JSC::CurrentThreadState )_x000D_
5 JavaScriptCore          JSC::Heap::HeapThread::work()_x000D_
6 JavaScriptCore          WTF::Detail::CallableWrapper WTF::AutomaticThread::start(WTF::AbstractLocker const )::  0  void ::call()_x000D_
7 JavaScriptCore          WTF::Thread::entryPoint(WTF::Thread::NewThreadContext )_x000D_
8 JavaScriptCore          WTF::wtfThreadEntryPoint(void )_x000D_
9 libsystem pthread dylib   pthread start_x000D_
_x000D_
Thread 22_x000D_
0  JavaScriptCore          JSC::JSLexicalEnvironment::visitChildren(JSC::JSCell   JSC::SlotVisitor )_x000D_
1  JavaScriptCore          JSC::SlotVisitor::drain(WTF::MonotonicTime)::  3::operator()(JSC::MarkStackArray ) const_x000D_
2  JavaScriptCore          JSC::SlotVisitor::drain(WTF::MonotonicTime)_x000D_
3  JavaScriptCore          JSC::SlotVisitor::drainFromShared(JSC::SlotVisitor::SharedDrainMode  WTF::MonotonicTime)_x000D_
4  JavaScriptCore          WTF::SharedTaskFunctor void ()  JSC::Heap::runBeginPhase(JSC::GCConductor)::  18 ::run()_x000D_
5  JavaScriptCore          WTF::ParallelHelperClient::runTask(WTF::RefPtr WTF::SharedTask void ()   WTF::RawPtrTraits WTF::SharedTask void ()     WTF::DefaultRefDerefTraits WTF::SharedTask void ()      const )_x000D_
6  JavaScriptCore          WTF::ParallelHelperPool::Thread::work()_x000D_
7  JavaScriptCore          WTF::Detail::CallableWrapper WTF::AutomaticThread::start(WTF::AbstractLocker const )::  0  void ::call()_x000D_
8  JavaScriptCore          WTF::Thread::entryPoint(WTF::Thread::NewThreadContext )_x000D_
9  JavaScriptCore          WTF::wtfThreadEntryPoint(void )_x000D_
10 libsystem pthread dylib   pthread start_x000D_
_x000D_
Thread 23_x000D_
0  JavaScriptCore          JSC::SlotVisitor::appendHiddenSlow(JSC::JSCell   WTF::Dependency)_x000D_
1  JavaScriptCore          JSC::Structure  JSC::JSObject::visitButterflyImpl JSC::SlotVisitor (JSC::SlotVisitor ):: lambda(unsigned char) 1 ::operator()(unsigned char) const_x000D_
2  JavaScriptCore          JSC::JSObject::visitChildren(JSC::JSCell   JSC::SlotVisitor )_x000D_
3  JavaScriptCore          JSC::SlotVisitor::drain(WTF::MonotonicTime)::  3::operator()(JSC::MarkStackArray ) const_x000D_
4  JavaScriptCore          JSC::SlotVisitor::drain(WTF::MonotonicTime)_x000D_
5  JavaScriptCore          JSC::SlotVisitor::drainFromShared(JSC::SlotVisitor::SharedDrainMode  WTF::MonotonicTime)_x000D_
6  JavaScriptCore          WTF::SharedTaskFunctor void ()  JSC::Heap::runBeginPhase(JSC::GCConductor)::  18 ::run()_x000D_
7  JavaScriptCore          WTF::ParallelHelperClient::runTask(WTF::RefPtr WTF::SharedTask void ()   WTF::RawPtrTraits WTF::SharedTask void ()     WTF::DefaultRefDerefTraits WTF::SharedTask void ()      const )_x000D_
8  JavaScriptCore          WTF::ParallelHelperPool::Thread::work()_x000D_
9  JavaScriptCore          WTF::Detail::CallableWrapper WTF::AutomaticThread::start(WTF::AbstractLocker const )::  0  void ::call()_x000D_
10 JavaScriptCore          WTF::Thread::entryPoint(WTF::Thread::NewThreadContext )_x000D_
11 JavaScriptCore          WTF::wtfThreadEntryPoint(void )_x000D_
12 libsystem pthread dylib   pthread start_x000D_
_x000D_
Thread 24_x000D_
0  JavaScriptCore          JSC::JSFinalObject::visitChildren(JSC::JSCell   JSC::SlotVisitor )_x000D_
1  JavaScriptCore          JSC::SlotVisitor::drain(WTF::MonotonicTime)::  3::operator()(JSC::MarkStackArray ) const_x000D_
2  JavaScriptCore          JSC::SlotVisitor::drain(WTF::MonotonicTime)_x000D_
3  JavaScriptCore          JSC::SlotVisitor::drainFromShared(JSC::SlotVisitor::SharedDrainMode  WTF::MonotonicTime)_x000D_
4  JavaScriptCore          WTF::SharedTaskFunctor void ()  JSC::Heap::runBeginPhase(JSC::GCConductor)::  18 ::run()_x000D_
5  JavaScriptCore          WTF::ParallelHelperClient::runTask(WTF::RefPtr WTF::SharedTask void ()   WTF::RawPtrTraits WTF::SharedTask void ()     WTF::DefaultRefDerefTraits WTF::SharedTask void ()      const )_x000D_
6  JavaScriptCore          WTF::ParallelHelperPool::Thread::work()_x000D_
7  JavaScriptCore          WTF::Detail::CallableWrapper WTF::AutomaticThread::start(WTF::AbstractLocker const )::  0  void ::call()_x000D_
8  JavaScriptCore          WTF::Thread::entryPoint(WTF::Thread::NewThreadContext )_x000D_
9  JavaScriptCore          WTF::wtfThreadEntryPoint(void )_x000D_
10 libsystem pthread dylib   pthread start_x000D_
_x000D_
Thread 25_x000D_
0  JavaScriptCore          JSC::SlotVisitor::appendHiddenSlow(JSC::JSCell   WTF::Dependency)_x000D_
1  JavaScriptCore          JSC::JSFinalObject::visitChildren(JSC::JSCell   JSC::SlotVisitor )_x000D_
2  JavaScriptCore          JSC::SlotVisitor::drain(WTF::MonotonicTime)::  3::operator()(JSC::MarkStackArray ) const_x000D_
3  JavaScriptCore          JSC::SlotVisitor::drain(WTF::MonotonicTime)_x000D_
4  JavaScriptCore          JSC::SlotVisitor::drainFromShared(JSC::SlotVisitor::SharedDrainMode  WTF::MonotonicTime)_x000D_
5  JavaScriptCore          WTF::SharedTaskFunctor void ()  JSC::Heap::runBeginPhase(JSC::GCConductor)::  18 ::run()_x000D_
6  JavaScriptCore          WTF::ParallelHelperClient::runTask(WTF::RefPtr WTF::SharedTask void ()   WTF::RawPtrTraits WTF::SharedTask void ()     WTF::DefaultRefDerefTraits WTF::SharedTask void ()      const )_x000D_
7  JavaScriptCore          WTF::ParallelHelperPool::Thread::work()_x000D_
8  JavaScriptCore          WTF::Detail::CallableWrapper WTF::AutomaticThread::start(WTF::AbstractLocker const )::  0  void ::call()_x000D_
9  JavaScriptCore          WTF::Thread::entryPoint(WTF::Thread::NewThreadContext )_x000D_
10 JavaScriptCore          WTF::wtfThreadEntryPoint(void )_x000D_
11 libsystem pthread dylib   pthread start_x000D_
_x000D_
Thread 26_x000D_
0  JavaScriptCore          JSC::JSFinalObject::visitChildren(JSC::JSCell   JSC::SlotVisitor )_x000D_
1  JavaScriptCore          JSC::SlotVisitor::drain(WTF::MonotonicTime)::  3::operator()(JSC::MarkStackArray ) const_x000D_
2  JavaScriptCore          JSC::SlotVisitor::drain(WTF::MonotonicTime)_x000D_
3  JavaScriptCore          JSC::SlotVisitor::drainFromShared(JSC::SlotVisitor::SharedDrainMode  WTF::MonotonicTime)_x000D_
4  JavaScriptCore          WTF::SharedTaskFunctor void ()  JSC::Heap::runBeginPhase(JSC::GCConductor)::  18 ::run()_x000D_
5  JavaScriptCore          WTF::ParallelHelperClient::runTask(WTF::RefPtr WTF::SharedTask void ()   WTF::RawPtrTraits WTF::SharedTask void ()     WTF::DefaultRefDerefTraits WTF::SharedTask void ()      const )_x000D_
6  JavaScriptCore          WTF::ParallelHelperPool::Thread::work()_x000D_
7  JavaScriptCore          WTF::Detail::CallableWrapper WTF::AutomaticThread::start(WTF::AbstractLocker const )::  0  void ::call()_x000D_
8  JavaScriptCore          WTF::Thread::entryPoint(WTF::Thread::NewThreadContext )_x000D_
9  JavaScriptCore          WTF::wtfThreadEntryPoint(void )_x000D_
10 libsystem pthread dylib   pthread start_x000D_
   _x000D_
_x000D_
   Steps to reproduce_x000D_
_x000D_
Steps to reproduce the behavior:_x000D_
1  keep the app in the background for a while_x000D_
2  open the app_x000D_
3   small chance of an immediate crash_x000D_
_x000D_
  Screenshots  _x000D_
If applicable  add screenshots to help explain your problem _x000D_
_x000D_
   Relevant information_x000D_
                     _x000D_
                     _x000D_
  OS    ios 15 0     _x000D_
  react native    0 64 2     _x000D_
  react native tcp socket     5 3 1     _x000D_
</t>
  </si>
  <si>
    <t>capacitor-community-google-maps-114</t>
  </si>
  <si>
    <t>App crashes on creating map</t>
  </si>
  <si>
    <t xml:space="preserve">  Describe the bug  _x000D_
I installed this plugin  updated the specific files as described and built the app  The build was successful but the app crashes at the point of creating the map  I checked the api key and it is okay since it works well when I use it elsewhere  This is the crash log_x000D_
_x000D_
   _x000D_
java lang NullPointerException: Attempt to invoke virtual method  double java lang Double doubleValue()  on a null object _x000D_
reference	at com hemangkumar capacitorgooglemaps CapacitorGoogleMaps 1 run(CapacitorGoogleMaps java:135)	at _x000D_
android os Handler handleCallback(Handler java:790)	at android os Handler dispatchMessage(Handler java:99)	at _x000D_
android os Looper loop(Looper java:164)	at android app ActivityThread main(ActivityThread java:6543)	at _x000D_
java lang reflect Method invoke(Native Method)	at _x000D_
com android internal os RuntimeInit MethodAndArgsCaller run(RuntimeInit java:440)	at _x000D_
com android internal os ZygoteInit main(ZygoteInit java:810)_x000D_
_x000D_
   _x000D_
_x000D_
  To Reproduce  _x000D_
Steps to reproduce the behavior:_x000D_
1  Install the plugin_x000D_
2  Build the app_x000D_
3  Run the app_x000D_
4  See error_x000D_
_x000D_
  Expected behavior  _x000D_
The map should display when the app is run _x000D_
_x000D_
_x000D_
_x000D_
</t>
  </si>
  <si>
    <t>TeamNewPipe-NewPipe-7199</t>
  </si>
  <si>
    <t>Bars on top and at the bottom of the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</si>
  <si>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 video in popup mode_x000D_
2 Use a different app and divide the app between the screen (basically multitasking funcitonality in samsung)_x000D_
3  Then expand the other app to the whole screen_x000D_
4  Then go back to the app and see error_x000D_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Bars around the video and no way of moving  Only when you click the expand button on popup mode does it fix _x000D_
_x000D_
_x000D_
    Expected behavior_x000D_
     Tell us what you expect to happen     _x000D_
Normal activity_x000D_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Original that cause a lot of irritation:   Screenshot 20211005 081254 (https:  user images githubusercontent com 74511929 135966645 903d4416 e15a 4684 ad44 8573065f4559 jpg)   _x000D_
_x000D_
  grafik (https:  user images githubusercontent com 40789489 137190634 fa061077 e823 4281 8fe4 cedf54e08aea png)_x000D_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7 1 1 Nougat_x000D_
   Device model: Samsung Galaxy Tab A_x000D_
</t>
  </si>
  <si>
    <t>TeamNewPipe-NewPipe-7198</t>
  </si>
  <si>
    <t>Scrolling related videos not working when using multitask mode (tablet)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</si>
  <si>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 video_x000D_
2  Use a different app and divide the app between the screen (basically multitasking funcitonality in samsung)_x000D_
3  Click the video feed icon_x000D_
4  Try to scroll down through the video feed below the video_x000D_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video feed doesn t scroll down _x000D_
_x000D_
_x000D_
    Expected behavior_x000D_
     Tell us what you expect to happen     _x000D_
The video feed should scroll down_x000D_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7 1 1 Nougat_x000D_
   Device model: Samsung Galaxy Tab A_x000D_
</t>
  </si>
  <si>
    <t>dedis-popstellar-479</t>
  </si>
  <si>
    <t>[BUG] Clicking on Launch without a lao name crash app</t>
  </si>
  <si>
    <t xml:space="preserve">    Description (Actual behavior)_x000D_
The app crash if we try to launch a lao with an empty name _x000D_
_x000D_
    Expected behavior_x000D_
The launch button should be disable if the name is empty _x000D_
_x000D_
    How to reproduce_x000D_
1  Launch android app_x000D_
2  Click on Launch tab_x000D_
3  Click on Launch button_x000D_
4  Crash_x000D_
_x000D_
    Version   Environment_x000D_
This bug was reproduced on:_x000D_
  Commit: 2800ee970778a2a08f5273b23d25d80a8ab4ed11_x000D_
_x000D_
      Front ends:_x000D_
   X  Fe2 Android_x000D_
_x000D_
    Possible root cause_x000D_
When a CreateLao is created in the launchLao()  it will try to generate a LaoId but Hash hash throws an exception if one of the value is empty </t>
  </si>
  <si>
    <t>aws-amplify-aws-sdk-android-2655</t>
  </si>
  <si>
    <t>UnsupportedOperationException in setAuthenticationParameter(AuthenticationDetails.java:229)</t>
  </si>
  <si>
    <t xml:space="preserve">  Describe the bug  _x000D_
The  authenticationParameters  property is declared as  Map String  String   which is an immutable key value pair  But  in the line of 229  there is a call to mutation process  put(String key  String value) _x000D_
_x000D_
  To Reproduce  _x000D_
A code sample or steps:_x000D_
   _x000D_
val authenticationDetails   AuthenticationDetails(_x000D_
    email _x000D_
    hashMapOf( USERNAME  to email) _x000D_
    hashMapOf()_x000D_
)_x000D_
continuation setAuthenticationDetails(authenticationDetails)_x000D_
continuation continueTask()_x000D_
   _x000D_
_x000D_
  Which AWS service(s) are affected   _x000D_
aws android sdk cognitoidentityprovider v2 33 0_x000D_
_x000D_
  Expected behavior  _x000D_
The continuation could continue the task without app crash due to  UnsupportedOperationException  of  put  process_x000D_
_x000D_
  Screenshots  _x000D_
_x000D_
  Screen Shot 2021 10 04 at 17 28 49 (https:  user images githubusercontent com 8645266 135837512 117d316b f6f3 4095 93f4 babaa7f04859 png)_x000D_
_x000D_
  Screen Shot 2021 10 04 at 17 26 59 (https:  user images githubusercontent com 8645266 135837489 82ef3271 5628 43c2 b7e1 55968adafb38 png)_x000D_
  Screen Shot 2021 10 04 at 17 28 08 (https:  user images githubusercontent com 8645266 135837509 e6625420 d3e2 43e6 a670 1108f0b284b5 png)_x000D_
_x000D_
  Environment Information (please complete the following information):  _x000D_
   AWS Android SDK Version: com amazonaws:aws android sdk cognitoidentityprovider:2 33 0_x000D_
   Device: Emulator_x000D_
   Android Version: Android 30 x86_x000D_
   Specific to simulators: There is no different process both for real device and simulator  the issue could affect both of them _x000D_
_x000D_
  Additional context  _x000D_
Add any other context about the problem here _x000D_
</t>
  </si>
  <si>
    <t>nextcloud-android-9053</t>
  </si>
  <si>
    <t xml:space="preserve">Crash with request to send bug report </t>
  </si>
  <si>
    <t xml:space="preserve">    Expected behaviour_x000D_
  normal upload of local files_x000D_
_x000D_
    Actual behaviour_x000D_
  crash with request to send bug report to GitHub_x000D_
_x000D_
    Can you reproduce this problem _x000D_
  Yes  ever since about a month  Just have to open Nextcloud client on Android and wait a variable amount of time (usually a few minutes  Haven t quite figured out if it only starts when app tries to upload a file or it updates the file list from server _x000D_
PS: haven t actively changed anything on server or client configs  just the usual system and app updates  PC client seems to be working fine and with empty error logs_x000D_
_x000D_
    Environment data_x000D_
Android version: 9_x000D_
_x000D_
Device model:  Fairphone 3_x000D_
_x000D_
Stock or customized system:  e  OS_x000D_
_x000D_
Nextcloud app version: 3 17 0_x000D_
_x000D_
Nextcloud server version: latest_x000D_
_x000D_
Reverse proxy:_x000D_
_x000D_
    Logs_x000D_
     Web server error log_x000D_
   _x000D_
Insert your webserver log here_x000D_
   _x000D_
_x000D_
     Nextcloud log (data nextcloud log)_x000D_
   _x000D_
             CAUSE OF ERROR             _x000D_
_x000D_
java lang IllegalStateException: Couldn t read row 695  col 0 from CursorWindow   Make sure the Cursor is initialized correctly before accessing data from it _x000D_
	at android database CursorWindow nativeGetLong(Native Method)_x000D_
	at android database CursorWindow getLong(CursorWindow java:538)_x000D_
	at android database AbstractWindowedCursor getLong(AbstractWindowedCursor java:75)_x000D_
	at com owncloud android providers FileContentProvider deleteDirectory(FileContentProvider java:179)_x000D_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apply(ContentProviderOperation java:299)_x000D_
	at com owncloud android providers FileContentProvider applyBatch(FileContentProvider java:675)_x000D_
	at android content ContentProvider Transport applyBatch(ContentProvider java:320)_x000D_
	at android content ContentProviderClient applyBatch(ContentProviderClient java:474)_x000D_
	at com owncloud android datamodel FileDataStorageManager saveFolder(FileDataStorageManager java:441)_x000D_
	at com owncloud android operations RefreshFolderOperation synchronizeData(RefreshFolderOperation java:531)_x000D_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execute(RemoteOperation java:187)_x000D_
	at com owncloud android syncadapter FileSyncAdapter synchronizeFolder(FileSyncAdapter java:269)_x000D_
	at com owncloud android syncadapter FileSyncAdapter syncChildren(FileSyncAdapter java:345)_x000D_
	at com owncloud android syncadapter FileSyncAdapter synchronizeFolder(FileSyncAdapter java:289)_x000D_
	at com owncloud android syncadapter FileSyncAdapter syncChildren(FileSyncAdapter java:345)_x000D_
	at com owncloud android syncadapter FileSyncAdapter synchronizeFolder(FileSyncAdapter java:289)_x000D_
	at com owncloud android syncadapter FileSyncAdapter syncChildren(FileSyncAdapter java:345)_x000D_
	at com owncloud android syncadapter FileSyncAdapter synchronizeFolder(FileSyncAdapter java:289)_x000D_
	at com owncloud android syncadapter FileSyncAdapter onPerformSync(FileSyncAdapter java:181)_x000D_
	at android content AbstractThreadedSyncAdapter SyncThread run(AbstractThreadedSyncAdapter java:334)_x000D_
_x000D_
             APP INFORMATION             _x000D_
ID: com nextcloud client_x000D_
Version: 30170090_x000D_
Build flavor: generic_x000D_
_x000D_
             DEVICE INFORMATION             _x000D_
Brand: Fairphone_x000D_
Device: FP3_x000D_
Model: FP3_x000D_
Id: PQ3A 190801 002_x000D_
Product: FP3_x000D_
_x000D_
             FIRMWARE             _x000D_
SDK: 28_x000D_
Release: 9_x000D_
Incremental: eng root 20200428 185457_x000D_
_x000D_
   _x000D_
  NOTE:   Be super sure to remove sensitive data like passwords  note that everybody can look here  You can use the Issue Template application to prefill some of the required information: https:  apps nextcloud com apps issuetemplate_x000D_
</t>
  </si>
  <si>
    <t>jellyfin-jellyfin-androidtv-1176</t>
  </si>
  <si>
    <t>Version 0.12 getting OOM killed on Chromecast</t>
  </si>
  <si>
    <t xml:space="preserve">I m using Jellyfin on a Chromecast with Google TV  and since the 0 12 update the app  crashes  after a couple minutes of video playback  This looked like https:  github com jellyfin jellyfin androidtv issues 1152  but switching backends (exoplayer vs libvlc) didn t help  so I decided to get a look using ADB _x000D_
_x000D_
It looks like the device is running low on memory  and ultimately Jellyfin is getting OOM killed:_x000D_
_x000D_
   _x000D_
10 03 21:29:10 731  3573  3573 E lowmemorykiller: Kill  org jellyfin androidtv  (23515)  uid 10073  oom adj 0 to free 1277936kB_x000D_
10 03 21:29:10 731  3573  3573 I lowmemorykiller: Reclaimed 1277936kB  cache(153164kB) and free(55048kB) reserved(47916kB) below min(153600kB) for oom adj 0_x000D_
   _x000D_
_x000D_
Before Android decides to kill Jellyfin  a bunch of other apps and components are killed  but each of those only release 10s of MBs  Jellyfin using 1 2G seems like the culprit here (since the device only has 2GB of memory) _x000D_
_x000D_
I m using Jellyfin server 10 7 7 on Linux </t>
  </si>
  <si>
    <t>jMonkeyEngine-jmonkeyengine-1614</t>
  </si>
  <si>
    <t>explicitly deleting a native object should clear its phantom reference</t>
  </si>
  <si>
    <t xml:space="preserve">Forum discussions:_x000D_
1  https:  hub jmonkeyengine org t problem in nativeobjectmanager 44846_x000D_
2  https:  hub jmonkeyengine org t irregular exception in texture image caused by garbage collector 44942_x000D_
_x000D_
The impact of this issue includes infrequent and difficult to reproduce crashes in applications that explicitly delete native objects _x000D_
_x000D_
The suggested fix is to add  ref2 clear()  immediately after  assert ref    null    ref    ref2   in  NativeObjectManager deleteNativeObject()  </t>
  </si>
  <si>
    <t>IEEE-VIT-weatherbes-android-22</t>
  </si>
  <si>
    <t>application is crashing</t>
  </si>
  <si>
    <t>when i installed this application using android studio then ut shows the  Enter city  screen and after pressing go it starts loading and crashes after 6 seconds</t>
  </si>
  <si>
    <t>TeamNewPipe-NewPipe-7190</t>
  </si>
  <si>
    <t xml:space="preserve">"Start main player on full screen" Option doesn't work at all for Portrait Videos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</si>
  <si>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If system rotation is on  portrait video starts on main player  This is the expected behavior ONLY IF tablet mode is on and the app is set on landscape _x000D_
_x000D_
If system rotation is off  portrait video switches to landscape at first and the user requires to manually switch to landscape by  Minimize  button _x000D_
_x000D_
_x000D_
    Actual behavior_x000D_
     Tell us what happens with the steps given above     _x000D_
_x000D_
Portrait videos don t start on full screen properly _x000D_
_x000D_
    Expected behavior_x000D_
     Tell us what you expect to happen     _x000D_
_x000D_
If  Start main player on full screen  is turned on and system rotation   tablet mode is turned off  portrait videos should always start on full screen according to video orientation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MIUI 12 5 3_x000D_
   Device model: Xiaomi Redmi Note 8 Pro_x000D_
</t>
  </si>
  <si>
    <t>TeamNewPipe-NewPipe-7189</t>
  </si>
  <si>
    <t>Portrait videos misbehave if system rotation is off</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</si>
  <si>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Keep system rotation on _x000D_
2  Start playing a portrait video_x000D_
3  Switch to landscape orientation _x000D_
4  Switch back to portrait _x000D_
5  Minimize directly from full screen player _x000D_
6  Close mini player _x000D_
7  Get back to the same video _x000D_
_x000D_
    Actual behavior_x000D_
     Tell us what happens with the steps given above     _x000D_
_x000D_
Black bars are shown on upper and lower side of video thumbnail on portrait _x000D_
_x000D_
    Expected behavior_x000D_
     Tell us what you expect to happen     _x000D_
_x000D_
Video info should be accessible as usual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https:  user images githubusercontent com 79245641 135700728 7dbb065e a88a 4a02 bc48 c61dab340f39 mp4_x000D_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MIUI 12 5 3_x000D_
   Device model: Xiaomi Redmi Note 8 Pro_x000D_
</t>
  </si>
  <si>
    <t>Anuken-Mindustry-6088</t>
  </si>
  <si>
    <t>crash to desktop after random amount of time</t>
  </si>
  <si>
    <t xml:space="preserve">  Platform  : windows_x000D_
_x000D_
  Build  : steam 126 3_x000D_
_x000D_
  Issue  : any time i join my friend s multiplayer game  it goes just fine for a few minutes before crashing to desktop _x000D_
_x000D_
  Steps to reproduce  : just play for a few minutes apparently  the game was working fine yesterday  but today i joined my friend  hosting through steam from a few states away  and this is happening _x000D_
_x000D_
  Link(s) to mod(s) used  :_x000D_
_x000D_
  Save file  : _x000D_
 crashreport zip (https:  github com Anuken Mindustry files 7270509 crashreport zip)_x000D_
my friend named the save crashreport before sending it to me_x000D_
_x000D_
_x000D_
If you remove the line above without reading it properly and understanding what it means  I will reap your soul  Even if you re playing on someone s server  you can still save the game to a slot _x000D_
i read the line above before deleting  don t worry_x000D_
_x000D_
  (Crash) logs  :  crash report 10 01 2021 17 39 51 txt (https:  github com Anuken Mindustry files 7270510 crash report 10 01 2021 17 39 51 txt)_x000D_
 crash report 10 01 2021 17 41 16 txt (https:  github com Anuken Mindustry files 7270511 crash report 10 01 2021 17 41 16 txt)_x000D_
 crash report 10 01 2021 17 43 59 txt (https:  github com Anuken Mindustry files 7270512 crash report 10 01 2021 17 43 59 txt)_x000D_
 crash report 10 01 2021 17 49 31 txt (https:  github com Anuken Mindustry files 7270513 crash report 10 01 2021 17 49 31 txt)_x000D_
 crash report 10 01 2021 18 09 07 txt (https:  github com Anuken Mindustry files 7270514 crash report 10 01 2021 18 09 07 txt)_x000D_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</si>
  <si>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AOF-Dev-MCinaBox-1112</t>
  </si>
  <si>
    <t>NoClassDefFoundError: sun/applet/AppletSecurity</t>
  </si>
  <si>
    <t xml:space="preserve">  Describe the crash  _x000D_
 net minecraftforge fml common LoaderExceptionModCrash: Caught exception from CustomNPCs (customnpcs)_x000D_
Caused by: java lang NoClassDefFoundError: sun applet AppletSecurity_x000D_
	at sun font SunFontManager 9 run(SunFontManager java:2892)_x000D_
	at java security AccessController doPrivileged(Native Method)_x000D_
	at sun font SunFontManager maybeMultiAppContext(SunFontManager java:2888)_x000D_
	at sun font SunFontManager registerFont(SunFontManager java:3074)_x000D_
	at java awt GraphicsEnvironment registerFont(GraphicsEnvironment java:367)_x000D_
	at noppes npcs config TrueTypeFont  init (TrueTypeFont java:61)_x000D_
	at noppes npcs client ClientProxy FontContainer  init (ClientProxy java:495)_x000D_
	at noppes npcs client ClientProxy load(ClientProxy java:81)_x000D_
	at noppes npcs CustomNpcs load(CustomNpcs java:221)_x000D_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minecraftforge fml common FMLModContainer handleModStateEvent(FMLModContainer java:637)_x000D_
	at sun reflect GeneratedMethodAccessor3 invoke(Unknown Source)_x000D_
	at sun reflect DelegatingMethodAccessorImpl invoke(DelegatingMethodAccessorImpl java:43)_x000D_
	at java lang reflect Method invoke(Method java:498)_x000D_
	at com google common eventbus Subscriber invokeSubscriberMethod(Subscriber java:91)_x000D_
	at com google common eventbus Subscriber SynchronizedSubscriber invokeSubscriberMethod(Subscriber java:150)_x000D_
	at com google common eventbus Subscriber 1 run(Subscriber java:76)_x000D_
	at com google common util concurrent MoreExecutors DirectExecutor execute(MoreExecutors java:399)_x000D_
	at com google common eventbus Subscriber dispatchEvent(Subscriber java:71)_x000D_
	at com google common eventbus Dispatcher PerThreadQueuedDispatcher dispatch(Dispatcher java:116)_x000D_
	at com google common eventbus EventBus post(EventBus java:217)_x000D_
	at net minecraftforge fml common LoadController sendEventToModContainer(LoadController java:219)_x000D_
	at net minecraftforge fml common LoadController propogateStateMessage(LoadController java:197)_x000D_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com google common eventbus Subscriber invokeSubscriberMethod(Subscriber java:91)_x000D_
	at com google common eventbus Subscriber SynchronizedSubscriber invokeSubscriberMethod(Subscriber java:150)_x000D_
	at com google common eventbus Subscriber 1 run(Subscriber java:76)_x000D_
	at com google common util concurrent MoreExecutors DirectExecutor execute(MoreExecutors java:399)_x000D_
	at com google common eventbus Subscriber dispatchEvent(Subscriber java:71)_x000D_
	at com google common eventbus Dispatcher PerThreadQueuedDispatcher dispatch(Dispatcher java:116)_x000D_
	at com google common eventbus EventBus post(EventBus java:217)_x000D_
	at net minecraftforge fml common LoadController distributeStateMessage(LoadController java:136)_x000D_
	at net minecraftforge fml common Loader preinitializeMods(Loader java:629)_x000D_
	at net minecraftforge fml client FMLClientHandler beginMinecraftLoading(FMLClientHandler java:252)_x000D_
	at net minecraft client Minecraft func 71384 a(Minecraft java:467)_x000D_
	at net minecraft client Minecraft func 99999 d(Minecraft java:378)_x000D_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 _x000D_
_x000D_
  To Reproduce  _x000D_
Install CustomNPCs then start client_x000D_
_x000D_
  Expected behavior  _x000D_
Crash_x000D_
</t>
  </si>
  <si>
    <t>dedis-popstellar-468</t>
  </si>
  <si>
    <t>Open roll call crashes on Fe1-Web</t>
  </si>
  <si>
    <t xml:space="preserve">    Description (Actual behavior)_x000D_
When the organizer tries to open an existing roll call  the user interface crashes with the error:  TypeError: timestamp before is not a function   The full stack trace has been copied at the end of this issue for clarity _x000D_
_x000D_
    Expected behavior_x000D_
I expected to be able to open the roll call_x000D_
_x000D_
    How to reproduce_x000D_
1  Start fe1 web and be1 go_x000D_
2  Create an organization_x000D_
2  Create a roll call_x000D_
2  Go to the LAO main view_x000D_
2  Click on  OPEN ROLL CALL _x000D_
4  Error gets displayed_x000D_
_x000D_
    Version   Environment_x000D_
This bug was reproduced on:_x000D_
  Commit: c39b63e96269e75bd13561f7a1f93f0bcdcc4f56_x000D_
_x000D_
      Front ends:_x000D_
  Fe1 Web (Chrome 93)_x000D_
_x000D_
      Back ends:_x000D_
  Be1 Go_x000D_
_x000D_
      Environment_x000D_
   OS: Mac OS Big Sur   11 5 2_x000D_
   Browser: Chrome 93_x000D_
_x000D_
    Workaround_x000D_
No workaround known_x000D_
_x000D_
    Impact_x000D_
A roll call can t be run on the Fe1 Web front end _x000D_
_x000D_
    Possible root cause_x000D_
The stack trace above seems to indicate that  requestOpenRollCall  is called with the wrong arguments in  EventRollCall tsx  _x000D_
_x000D_
    Stack trace_x000D_
   _x000D_
checkTimestampStaleness_x000D_
 Users borso Git student 21 pop fe1 web model network method message data Checker ts:8_x000D_
   5   _x000D_
   6   export function checkTimestampStaleness(timestamp: Timestamp)  _x000D_
   7     const TIMESTAMP BASE TIME   new Timestamp(1577833200)     1st january 2020_x000D_
   8     if (timestamp before(TIMESTAMP BASE TIME))  _x000D_
   9       throw new ProtocolError( Invalid timestamp encountered: stale timestamp ) _x000D_
  10      _x000D_
  11    _x000D_
_x000D_
_x000D_
new OpenRollCall_x000D_
 Users borso Git student 21 pop fe1 web model network method message data rollCall OpenRollCall ts:27_x000D_
  24   if ( msg opened at)  _x000D_
  25     throw new ProtocolError( Undefined  opened at    paramError(this)  ) _x000D_
  26    _x000D_
  27   checkTimestampStaleness(msg opened at) _x000D_
          28   this opened at   msg opened at _x000D_
  29   _x000D_
  30   if ( msg opens)  _x000D_
_x000D_
_x000D_
requestOpenRollCall_x000D_
 Users borso Git student 21 pop fe1 web network MessageApi ts:156_x000D_
  153   const lao: Lao   OpenedLaoStore get() _x000D_
  154   const time   (start     undefined)   Timestamp EpochNow() : start _x000D_
  155   _x000D_
  156   const message   new OpenRollCall( _x000D_
           157     update id: Hash fromStringArray(_x000D_
  158       EventTags ROLL CALL  lao id toString()  rollCallId toString()  time toString() _x000D_
  159     ) _x000D_
_x000D_
_x000D_
onOpenRollCall_x000D_
 Users borso Git student 21 pop fe1 web components eventList events EventRollCall tsx:48_x000D_
  45       (e)    console debug( Unable to send Roll call re open request   e) _x000D_
  46     ) _x000D_
  47     else  _x000D_
  48     requestOpenRollCall(event id  lao id) then() catch(_x000D_
          49       (e)    console debug( Unable to send Roll call open request   e) _x000D_
  50     ) _x000D_
  51    _x000D_
   </t>
  </si>
  <si>
    <t>inaturalist-iNaturalistAndroid-1131</t>
  </si>
  <si>
    <t>CursorWindowAllocationException in INaturalistService.syncRemotelyDeletedObs</t>
  </si>
  <si>
    <t xml:space="preserve">https:  console firebase google com u 1 project inaturalist ios crashlytics app android:org inaturalist android issues 3d0aacf5290814ca7606c557a9e49236_x000D_
_x000D_
   _x000D_
Fatal Exception: android database CursorWindowAllocationException: Cursor window allocation of 2048 kb failed    Open Cursors 569 (  cursors opened by this proc 569)_x000D_
       at android database CursorWindow  init (CursorWindow java:108)_x000D_
       at android database AbstractWindowedCursor clearOrCreateWindow(AbstractWindowedCursor java:198)_x000D_
       at android database sqlite SQLiteCursor clearOrCreateWindow(SQLiteCursor java:300)_x000D_
       at android database sqlite SQLiteCursor fillWindow(SQLiteCursor java:138)_x000D_
       at android database sqlite SQLiteCursor getCount(SQLiteCursor java:132)_x000D_
       at android content ContentResolver query(ContentResolver java:521)_x000D_
       at android content ContentResolver query(ContentResolver java:445)_x000D_
       at org inaturalist android INaturalistService syncRemotelyDeletedObs(INaturalistService java:5585)_x000D_
       at org inaturalist android INaturalistService syncObservations(INaturalistService java:2169)_x000D_
   </t>
  </si>
  <si>
    <t>jellyfin-jellyfin-androidtv-1161</t>
  </si>
  <si>
    <t>App chooses libVLC to playback files that ExoPlayer can play</t>
  </si>
  <si>
    <t xml:space="preserve">  Describe the bug  
App chooses libVLC for playback when ExoPlayer will work  
I experience this with an HEVC file  AC3 audio  with DVDSUB and SUBRIP subtitles  Subtitles however are not enabled  
  To Reproduce  
1  Play video
2  Profit
  Expected behavior  
App should choose ExoPlayer whenever possible  and only use libVLC when necessary  
  Logs  
     Please paste any log errors     
  System (please complete the following information):  
   Android TV or Fire TV version: Android 9
   Device manufacturer: Sony
   Device model: X900F
   Jellyfin server version: 10 7 7
  Additional context  
At least for me libVLC is more unstable than ExoPlayer  crashing somewhat often  So it would be nice is the app tried to use ExoPlayer and falls back to libVLC if ExoPlayer fails 
Workaround is to manually set to player to ExoPlayer  
</t>
  </si>
  <si>
    <t>jellyfin-jellyfin-androidtv-1160</t>
  </si>
  <si>
    <t>Media playback speed/smoothness bad</t>
  </si>
  <si>
    <t xml:space="preserve">  Describe the bug  
After the 12 update the video playback is slower and crappier than in version 11  Over LAN  based on jellyfin dashboard  the container bitrate was about 4 8mbps (it varied) and video was being actively transcoded  which was caused by media exceeding the client container bitrate limit (Automatic on Android TV)  
So I tried setting the limit manually to 100mbps  And it worked   the video was playing directly  The annoying part was that it was pausing all the time as if it was buffering  
Clicking back on TV remote from the video player caused a crash and it was annoying  
I feel like this is a bug because this is the only Jellyfin client that caused me these errors  On the very same TV it works perfectly when using Kodi with a Jellyfin plugin 
  To Reproduce  
     Steps to reproduce the behavior:    
1  Change to manual bitrate limit
2  Play a high quality media
3  (click back on tv remote)
  Expected behavior  
My bitrate shouldnt be limited that much in the first place since I am on the same LAN with fairly good connection 
After changing bitrate manually to more realistic limit  the video should play smoothly   without weird pauses 
  Logs  
Dont have access to logs  The crashes have been reported online automatically 
  System (please complete the following information):  
   Android TV or Fire TV version: Android 9
   Device manufacturer: Sony
   Device model: Bravia 4K GB ATV3
   Jellyfin server version: 10 7 7
  Additional context  
The jellyfin server is running behind a HTTP reverse proxy </t>
  </si>
  <si>
    <t>k9mail-k-9-5711</t>
  </si>
  <si>
    <t>Crash after removing account</t>
  </si>
  <si>
    <t xml:space="preserve">  Describe the bug  _x000D_
Deleting an account crashes the app_x000D_
_x000D_
  To Reproduce  _x000D_
Steps to reproduce the behavior:_x000D_
1  Go  Account settings  screen for an account_x000D_
2  Select  Remove account  from the menu_x000D_
3  Crash _x000D_
_x000D_
  Environment  _x000D_
  App version: 5 806 (28006)  F Droid _x000D_
  Android version: 8 1 0_x000D_
  Model: Lenovo Tabriz 8 plus (TB 8704X)_x000D_
_x000D_
_x000D_
  Logs  _x000D_
   _x000D_
java lang IllegalStateException: Account f60b8bf7 bf95 4b55 81c8 83516da088e3 not found_x000D_
	at com fsck k9 ui settings account AccountSettingsViewModel loadAccount(AccountSettingsViewModel kt:51)_x000D_
	at com fsck k9 ui settings account AccountSettingsViewModel access loadAccount(AccountSettingsViewModel kt:18)_x000D_
	at com fsck k9 ui settings account AccountSettingsViewModel getAccount 1 1 invokeSuspend(AccountSettingsViewModel kt:32)_x000D_
	at kotlin coroutines jvm internal BaseContinuationImpl resumeWith(ContinuationImpl kt:33)_x000D_
	at kotlinx coroutines DispatchedTask run(DispatchedTask kt:106)_x000D_
	at kotlinx coroutines scheduling CoroutineScheduler runSafely(CoroutineScheduler kt:571)_x000D_
	at kotlinx coroutines scheduling CoroutineScheduler Worker executeTask(CoroutineScheduler kt:750)_x000D_
	at kotlinx coroutines scheduling CoroutineScheduler Worker runWorker(CoroutineScheduler kt:678)_x000D_
	at kotlinx coroutines scheduling CoroutineScheduler Worker run(CoroutineScheduler kt:665)_x000D_
   _x000D_
_x000D_
Originally reported here: https:  forum k9mail app t crash while removing account 3317_x000D_
</t>
  </si>
  <si>
    <t>Anuken-Mindustry-6080</t>
  </si>
  <si>
    <t>Mechanical Pump problem</t>
  </si>
  <si>
    <t xml:space="preserve">  Platform  : Windows 10 x64_x000D_
_x000D_
  Build  : Steam version 126 3_x000D_
_x000D_
  Issue  : I completed several chained named missions ending with Fungal Pass  And now I stuck  No other named missions are open  Ruinous Shores need me to research Mechanical Pump  and I can not do it  I researched all available techs in Tech Tree  there is no Mechanical Pump available  checked twice  No  like 5 times  )_x000D_
_x000D_
  As I remember from previous builds (back when the map was flat  couple years ago) at this moment I already had Mechanical Pump (maybe after The Craters  I am not sure)  so this looks like a bug _x000D_
  And in Fungal Pass I have 2 working pre build Mechanical Pumps  but after destroying enemy base no Mechanical Pump tech appeared  so looks like a bug _x000D_
  And I saw one question about  How to research Mechanical Pump   somewhere in the internet  so  maybe it is not only my problem  _x000D_
_x000D_
  Link(s) to mod(s) used  : No mods  plain steam version  restarted from scratch  no previous tech imported _x000D_
_x000D_
  Save file  :  mindustry saves zip (https:  github com Anuken Mindustry files 7259490 mindustry saves zip)_x000D_
That is zipped content of my  C:  steam steamapps common Mindustry saves saves _x000D_
If there is some other  saves  or something  I will happily provide them  )_x000D_
_x000D_
  (Crash) logs  : No crash _x000D_
_x000D_
   _x000D_
_x000D_
        I have updated to the latest release (https:  github com Anuken Mindustry releases) to make sure my issue has not been fixed    No I did not  I used latest at the moment steam version 126 3_x000D_
   x    I have searched the closed and open issues to make sure that this problem has not already been reported    I did _x000D_
</t>
  </si>
  <si>
    <t>noties-Markwon-372</t>
  </si>
  <si>
    <t>AsyncDrawable crash NullPointerException</t>
  </si>
  <si>
    <t xml:space="preserve">    Markwon version  : 4 6 2_x000D_
_x000D_
i use markwon in RecyclerView sometimes crash  but cannot reproduce_x000D_
_x000D_
java lang NullPointerException: Attempt to invoke virtual method  void android graphics drawable Drawable void setBounds(android graphics Rect)(android graphics Rect)  on a null object reference_x000D_
	at io noties markwon image AsyncDrawable void initBounds()(AsyncDrawable java:280)_x000D_
	at io noties markwon image AsyncDrawable void initWithKnownDimensions(int float)(AsyncDrawable java:319)_x000D_
	at io noties markwon image AsyncDrawableSpan void draw(android graphics Canvas java lang CharSequence int int float int int int android graphics Paint)(AsyncDrawableSpan java:104)_x000D_
	at android text TextLine null handleReplacement(null)(TextLine java:1011)_x000D_
	at android text TextLine null handleRun(null)(TextLine java:1158)_x000D_
	at android text TextLine null drawRun(null)(TextLine java:491)_x000D_
	at android text TextLine null draw(null)(TextLine java:286)_x000D_
	at android text Layout null drawText(null)(Layout java:576)_x000D_
	at android text Layout null draw(null)(Layout java:324)_x000D_
	at android widget TextView null onDraw(null)(TextView java:8013)_x000D_
_x000D_
</t>
  </si>
  <si>
    <t>LiamAbyss-Scorpion-17</t>
  </si>
  <si>
    <t>app crashes since update v0.5+</t>
  </si>
  <si>
    <t xml:space="preserve">Since version 5  the application crashes when the new  info  icon on a course is pressed_x000D_
_x000D_
The problem happens when opening scorpion for the first time  Once the application has crashed  it closes at each new attempt to start _x000D_
To open it again  I have to delete all the data from the application (and reconnect) but the problem still occurs _x000D_
_x000D_
Smartphone :_x000D_
   Device: POCO f1 (Xiaomi)_x000D_
   OS: MIUI 11 0 9 (Android 10)_x000D_
_x000D_
Do you think you could look at the problem to solve it _x000D_
_x000D_
Thanks for the development of this app which is really more convenient than Aurion  I see new updates regularly this month  it s great _x000D_
_x000D_
_x000D_
</t>
  </si>
  <si>
    <t>TeamNewPipe-NewPipe-7183</t>
  </si>
  <si>
    <t>Couldn't download music from Soundcloud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</si>
  <si>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Tries to download a file from Soundcloud clicking the  download  button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requested stream_x000D_
    Request:   https:  soundcloud com blank on blank fidel castro interview full_x000D_
    Content Country:   GB_x000D_
    Content Language:   en GB_x000D_
    App Language:   en GB_x000D_
    Service:   SoundCloud_x000D_
    Version:   0 20 8_x000D_
    OS:   Linux Android 6 0   23_x000D_
 details  summary  b Crash log   b   summary  p _x000D_
_x000D_
   _x000D_
org schabi newpipe extractor exceptions ParsingException: failed to find pattern    id :((    n )  ) _x000D_
	at org schabi newpipe extractor services soundcloud linkHandler SoundcloudStreamLinkHandlerFactory getId(SoundcloudStreamLinkHandlerFactory java:37)_x000D_
	at org schabi newpipe extractor linkhandler LinkHandlerFactory fromUrl(LinkHandlerFactory java:74)_x000D_
	at org schabi newpipe extractor linkhandler LinkHandlerFactory fromUrl(LinkHandlerFactory java:55)_x000D_
	at org schabi newpipe extractor StreamingService getStreamExtractor(StreamingService java:262)_x000D_
	at org schabi newpipe extractor stream StreamInfo getInfo(StreamInfo java:64)_x000D_
	at org schabi newpipe util ExtractorHelper lambda getStreamInfo 3(ExtractorHelper java:127)_x000D_
	at org schabi newpipe util    Lambda ExtractorHelper YTHJjScxCJNO1LTCqs3IKy35iyY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java:269)_x000D_
	at java util concurrent ThreadPoolExecutor runWorker(ThreadPoolExecutor java:1113)_x000D_
	at java util concurrent ThreadPoolExecutor Worker run(ThreadPoolExecutor java:588)_x000D_
	at java lang Thread run(Thread java:818)_x000D_
Caused by: org schabi newpipe extractor utils Parser RegexException: failed to find pattern    id :((    n )  ) _x000D_
	at org schabi newpipe extractor utils Parser matchGroup(Parser java:72)_x000D_
	at org schabi newpipe extractor utils Parser matchGroup(Parser java:61)_x000D_
	at org schabi newpipe extractor utils Parser matchGroup1(Parser java:52)_x000D_
	at org schabi newpipe extractor services soundcloud SoundcloudParsingHelper resolveIdWithEmbedPlayer(SoundcloudParsingHelper java:165)_x000D_
	at org schabi newpipe extractor services soundcloud linkHandler SoundcloudStreamLinkHandlerFactory getId(SoundcloudStreamLinkHandlerFactory java:35)_x000D_
	    30 more_x000D_
_x000D_
   _x000D_
  details _x000D_
 hr _x000D_
_x000D_
_x000D_
     That s right  here     _x000D_
_x000D_
_x000D_
_x000D_
     Please fill this section if you did not provide a log generated by NewPipe    _x000D_
_x000D_
    Device info_x000D_
_x000D_
   Android version Custom ROM version: 6 0_x000D_
   Device model: Oukitel U16 Max_x000D_
 _x000D_
</t>
  </si>
  <si>
    <t>smartdevicelink-sdl_java_suite-1741</t>
  </si>
  <si>
    <t xml:space="preserve">java.lang.IndexOutOfBoundsException Crash: SdlRouterService.java line 3275 </t>
  </si>
  <si>
    <t xml:space="preserve">    Bug Report_x000D_
Fatal Exception: java lang IndexOutOfBoundsException: Index: 0  Size: 0_x000D_
_x000D_
      Reproduction Steps_x000D_
Unfortunately  no reproduction steps  crash from Crashlytics board  _x000D_
Per crash reports  app was backgrounded at the time of crash _x000D_
_x000D_
      OS   Version Information_x000D_
  Android Version: Android 11 Android 10 Android 9 Android 8 _x000D_
  SDL Android Version:  5 2 0_x000D_
  Testing Against: Unfortunately  no test steps  crash from Crashlytics board  _x000D_
_x000D_
      Test Case  Sample Code  and   or Example App_x000D_
Unfortunately  no test steps  crash from Crashlytics board  _x000D_
_x000D_
Crash Logs: _x000D_
   _x000D_
Fatal Exception: java lang IndexOutOfBoundsException: Index: 0  Size: 0_x000D_
       at java util ArrayList get(ArrayList java:437)_x000D_
       at com smartdevicelink transport SdlRouterService RegisteredApp getCompatPrimaryTransport(SdlRouterService java:3275)_x000D_
       at com smartdevicelink transport SdlRouterService RegisteredApp handleIncommingClientMessage(SdlRouterService java:3304)_x000D_
       at com smartdevicelink transport SdlRouterService RouterHandler 1 run(SdlRouterService java:496)_x000D_
       at java util concurrent ThreadPoolExecutor runWorker(ThreadPoolExecutor java:1167)_x000D_
       at java util concurrent ThreadPoolExecutor Worker run(ThreadPoolExecutor java:641)_x000D_
       at java lang Thread run(Thread java:923)_x000D_
   _x000D_
</t>
  </si>
  <si>
    <t>PojavLauncherTeam-PojavLauncher-2077</t>
  </si>
  <si>
    <t>Bug When My At a Phone that has aarch32</t>
  </si>
  <si>
    <t xml:space="preserve">    Describe the bug
Any phone that has aarch32 will crash_x000D_
Past version work properly with aarch32_x000D_
New version keep crashing_x000D_
Works with aarch64 and up
    The log file and images videos
 No response 
    Steps To Reproduce
   markdown
Have a phone that has a aarch 32_x000D_
Install pojav launcher_x000D_
Install any version (1 17 not)_x000D_
After installing play it_x000D_
BOOM Crash WTF 
    Expected Behavior
When i play in any aarch32 phones the pojav crash even in  when i install it from the first time_x000D_
_x000D_
Before_x000D_
The pojav launcher works perfectly_x000D_
After_x000D_
The new update keep crashing
    Platform
   markdown
  Device model:Samsung j6  _x000D_
  CPU architecture:aarch32_x000D_
  Android version:10_x000D_
  PojavLauncher version: latest version from playstore
    Anything else 
 No response </t>
  </si>
  <si>
    <t>Anuken-Mindustry-6070</t>
  </si>
  <si>
    <t>sound glitching</t>
  </si>
  <si>
    <t xml:space="preserve">  Platform  :  Android iOS Mac Windows Linux _x000D_
windows_x000D_
  Build  :  The build number under the title in the main menu  Required   LATEST  IS NOT A VERSION  I NEED THE EXACT BUILD NUMBER OF YOUR GAME  _x000D_
version 131_x000D_
  Issue  :  Explain your issue in detail  _x000D_
sound keeps randomly glitching out and playing the sound for removing or placing block and when i leave the server it goes away but it comes back again the second i rejoin _x000D_
  Steps to reproduce  :  How you happened across the issue  and what exactly you did to make the bug happen  _x000D_
randomly keeps happening when i build  delete stuff_x000D_
  Link(s) to mod(s) used  :  The mod repositories or zip files that are related to the issue  if applicable  _x000D_
haven t updated the mods that i use in a few months_x000D_
_x000D_
  (Crash) logs  :  Either crash reports from the crash folder  or the file you get when you go into Settings    Game Data    Export Crash logs  REQUIRED if you are reporting a crash  _x000D_
none_x000D_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</si>
  <si>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Anuken-Mindustry-6067</t>
  </si>
  <si>
    <t>Steam version doesn't launch, leaves no crash logs.</t>
  </si>
  <si>
    <t xml:space="preserve">  Platform  :  Windows _x000D_
_x000D_
  Build  : Can t get to the menu to see a build number  but it happens in both stable v6 and beta v7 Steam builds_x000D_
_x000D_
  Issue  : Steam version refuses to launch for me (shows playing for a second then stops)  Game creates   crashlogs  folder but not crash logs themselves   Weirdly enough build downloaded from Itch io works with no problems  _x000D_
_x000D_
What I tried:_x000D_
_x000D_
  Verifying game files_x000D_
  Replacing steam files with itch io files_x000D_
  Redownloading the game_x000D_
  Switching to v7 beta version_x000D_
_x000D_
Switching to v7 beta leads to the same result  except this time   game actually creates a crash log    _x000D_
_x000D_
  Steps to reproduce  : Launch the game through Steam _x000D_
_x000D_
  Save file  : There s only a steam autocloud vdf file inside saves folder which is probably used for cloud saving  so most likely game didn t create any save files _x000D_
_x000D_
  Crash log from v7 beta  : _x000D_
   _x000D_
Mindustry has crashed  How unfortunate _x000D_
Version: unknown build 0_x000D_
OS: Windows 10 x64 (amd64)_x000D_
Java Version: 16 0 1_x000D_
 no mod init _x000D_
_x000D_
arc util ArcRuntimeException: File not found: version properties (internal)_x000D_
	at arc files Fi read(Fi java:199)_x000D_
	at arc files Fi reader(Fi java:232)_x000D_
	at arc files Fi reader(Fi java:224)_x000D_
	at mindustry core Version init(Version java:30)_x000D_
	at mindustry desktop DesktopLauncher  init (DesktopLauncher java:59)_x000D_
	at mindustry desktop DesktopLauncher main(DesktopLauncher java:39)_x000D_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</si>
  <si>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nextcloud-android-9020</t>
  </si>
  <si>
    <t>App Crashes on Accessing "Hamburger" Menu</t>
  </si>
  <si>
    <t xml:space="preserve">    Steps to reproduce_x000D_
1  Install Next Cloud (or dev stream  doesn t matter) from F Droid on a CalyxOS_x000D_
2  Open app and use then close   Hamburger  menu works just fine _x000D_
3  Close App_x000D_
4  Reopen app and attempt to access  Hamburger  menu  Repeat as many times as you wish  outcome is the same _x000D_
_x000D_
    Expected behaviour_x000D_
  App should not crash at step 4  Menu should be displayed and accessible _x000D_
_x000D_
    Actual behaviour_x000D_
  App crashes at step 4 and provides log as the below _x000D_
_x000D_
    Can you reproduce this problem on https:  try nextcloud com _x000D_
  Not a server issue  Only occurs on any device using CalyxOS_x000D_
EDIT:_x000D_
  Other android device (OnePlus 7 Pro) has zero Issues when connecting to same server _x000D_
_x000D_
    Environment data_x000D_
Android version: _x000D_
11 (CalyxOS 2 9 0)_x000D_
_x000D_
Device model: _x000D_
Pixel 3a_x000D_
_x000D_
Stock or customized system:_x000D_
Stock_x000D_
_x000D_
Nextcloud app version:_x000D_
30170090_x000D_
_x000D_
Nextcloud server version:_x000D_
21 0 1 1_x000D_
_x000D_
Reverse proxy:_x000D_
Nil_x000D_
_x000D_
     Nextcloud log (data nextcloud log)       This is from the app as it crashes _x000D_
   _x000D_
                       CAUSE OF ERROR                       _x000D_
_x000D_
java lang RuntimeException: Canvas: trying to draw too large(150896656bytes) bitmap _x000D_
_x000D_
	at android graphics RecordingCanvas throwIfCannotDraw(RecordingCanvas java:280)_x000D_
_x000D_
	at android graphics BaseRecordingCanvas drawBitmap(BaseRecordingCanvas java:88)_x000D_
_x000D_
	at android graphics drawable BitmapDrawable draw(BitmapDrawable java:548)_x000D_
_x000D_
	at android graphics drawable LayerDrawable draw(LayerDrawable java:1018)_x000D_
_x000D_
	at android widget ImageView onDraw(ImageView java:1436)_x000D_
_x000D_
	at android view View draw(View java:22350)_x000D_
_x000D_
	at android view View updateDisplayListIfDirty(View java:21226)_x000D_
_x000D_
	at android view View draw(View java:22081)_x000D_
_x000D_
	at android view ViewGroup drawChild(ViewGroup java:4516)_x000D_
_x000D_
	at android view ViewGroup dispatchDraw(ViewGroup java:4277)_x000D_
_x000D_
	at android view View draw(View java:22353)_x000D_
_x000D_
	at android view View updateDisplayListIfDirty(View java:21226)_x000D_
_x000D_
	at android view View draw(View java:22081)_x000D_
_x000D_
	at android view ViewGroup drawChild(ViewGroup java:4516)_x000D_
_x000D_
	at android view ViewGroup dispatchDraw(ViewGroup java:4277)_x000D_
_x000D_
	at android view View updateDisplayListIfDirty(View java:21217)_x000D_
_x000D_
	at android view View draw(View java:22081)_x000D_
_x000D_
	at android view ViewGroup drawChild(ViewGroup java:4516)_x000D_
_x000D_
	at androidx recyclerview widget RecyclerView drawChild(RecyclerView java:5030)_x000D_
_x000D_
	at android view ViewGroup dispatchDraw(ViewGroup java:4277)_x000D_
_x000D_
	at android view View draw(View java:22353)_x000D_
_x000D_
	at androidx recyclerview widget RecyclerView draw(RecyclerView java:4429)_x000D_
_x000D_
	at android view View updateDisplayListIfDirty(View java:21226)_x000D_
_x000D_
	at android view View draw(View java:22081)_x000D_
_x000D_
	at android view ViewGroup drawChild(ViewGroup java:4516)_x000D_
_x000D_
	at android view ViewGroup dispatchDraw(ViewGroup java:4277)_x000D_
_x000D_
	at android view View draw(View java:22353)_x000D_
_x000D_
	at com google android material internal ScrimInsetsFrameLayout draw(ScrimInsetsFrameLayout java:109)_x000D_
_x000D_
	at android view View updateDisplayListIfDirty(View java:21226)_x000D_
_x000D_
	at android view View draw(View java:22081)_x000D_
_x000D_
	at android view ViewGroup drawChild(ViewGroup java:4516)_x000D_
_x000D_
	at androidx drawerlayout widget DrawerLayout drawChild(DrawerLayout java:1426)_x000D_
_x000D_
	at android view ViewGroup dispatchDraw(ViewGroup java:4277)_x000D_
_x000D_
	at android view View draw(View java:22353)_x000D_
_x000D_
	at android view View updateDisplayListIfDirty(View java:21226)_x000D_
_x000D_
	at android view View draw(View java:22081)_x000D_
_x000D_
	at android view ViewGroup drawChild(ViewGroup java:4516)_x000D_
_x000D_
	at android view ViewGroup dispatchDraw(ViewGroup java:4277)_x000D_
_x000D_
	at android view View updateDisplayListIfDirty(View java:21217)_x000D_
_x000D_
	at android view View draw(View java:22081)_x000D_
_x000D_
	at android view ViewGroup drawChild(ViewGroup java:4516)_x000D_
_x000D_
	at android view ViewGroup dispatchDraw(ViewGroup java:4277)_x000D_
_x000D_
	at android view View updateDisplayListIfDirty(View java:21217)_x000D_
_x000D_
	at android view View draw(View java:22081)_x000D_
_x000D_
	at android view ViewGroup drawChild(ViewGroup java:4516)_x000D_
_x000D_
	at android view ViewGroup dispatchDraw(ViewGroup java:4277)_x000D_
_x000D_
	at android view View updateDisplayListIfDirty(View java:21217)_x000D_
_x000D_
	at android view View draw(View java:22081)_x000D_
_x000D_
	at android view ViewGroup drawChild(ViewGroup java:4516)_x000D_
_x000D_
	at android view ViewGroup dispatchDraw(ViewGroup java:4277)_x000D_
_x000D_
	at android view View updateDisplayListIfDirty(View java:21217)_x000D_
_x000D_
	at android view View draw(View java:22081)_x000D_
_x000D_
	at android view ViewGroup drawChild(ViewGroup java:4516)_x000D_
_x000D_
	at android view ViewGroup dispatchDraw(ViewGroup java:4277)_x000D_
_x000D_
	at android view View draw(View java:22353)_x000D_
_x000D_
	at com android internal policy DecorView draw(DecorView java:806)_x000D_
_x000D_
	at android view View updateDisplayListIfDirty(View java:21226)_x000D_
_x000D_
	at android view ThreadedRenderer updateViewTreeDisplayList(ThreadedRenderer java:559)_x000D_
_x000D_
	at android view ThreadedRenderer updateRootDisplayList(ThreadedRenderer java:565)_x000D_
_x000D_
	at android view ThreadedRenderer draw(ThreadedRenderer java:642)_x000D_
_x000D_
	at android view ViewRootImpl draw(ViewRootImpl java:4106)_x000D_
_x000D_
	at android view ViewRootImpl performDraw(ViewRootImpl java:3833)_x000D_
_x000D_
	at android view ViewRootImpl performTraversals(ViewRootImpl java:3104)_x000D_
_x000D_
	at android view ViewRootImpl doTraversal(ViewRootImpl java:1948)_x000D_
_x000D_
	at android view ViewRootImpl TraversalRunnable run(ViewRootImpl java:8177)_x000D_
_x000D_
	at android view Choreographer CallbackRecord run(Choreographer java:972)_x000D_
_x000D_
	at android view Choreographer doCallbacks(Choreographer java:796)_x000D_
_x000D_
	at android view Choreographer doFrame(Choreographer java:731)_x000D_
_x000D_
	at android view Choreographer FrameDisplayEventReceiver run(Choreographer java:957)_x000D_
_x000D_
	at android os Handler handleCallback(Handler java:938)_x000D_
_x000D_
	at android os Handler dispatchMessage(Handler java:99)_x000D_
_x000D_
	at android os Looper loop(Looper java:223)_x000D_
_x000D_
	at android app ActivityThread main(ActivityThread java:7664)_x000D_
_x000D_
	at java lang reflect Method invoke(Native Method)_x000D_
_x000D_
	at com android internal os RuntimeInit MethodAndArgsCaller run(RuntimeInit java:592)_x000D_
_x000D_
	at com android internal os ZygoteInit main(ZygoteInit java:947)_x000D_
_x000D_
                       APP INFORMATION                       _x000D_
_x000D_
ID: com nextcloud client_x000D_
_x000D_
Version: 30170090_x000D_
_x000D_
Build flavor: generic_x000D_
_x000D_
                       DEVICE INFORMATION                       _x000D_
_x000D_
Brand: Android_x000D_
_x000D_
Device: bonito_x000D_
_x000D_
Model: Pixel 3a XL_x000D_
_x000D_
Id: RQ3A 210905 001_x000D_
_x000D_
Product: calyx bonito_x000D_
_x000D_
                       FIRMWARE                       _x000D_
_x000D_
SDK: 30_x000D_
_x000D_
Release: 11_x000D_
_x000D_
Incremental: 202109290_x000D_
   _x000D_
</t>
  </si>
  <si>
    <t>PojavLauncherTeam-PojavLauncher-2075</t>
  </si>
  <si>
    <t>[BUG] Randomly crashed after 5-10 minutes</t>
  </si>
  <si>
    <t xml:space="preserve">    Describe the bug
When I try to play minecraft  after every 5 10 minutes  the screen freezes on 1 picture  I hear the sounds of what I am doing  but the picture of the game freezes and crashes after a while I tried to play without keyboard and mouse  the result is the same  Tried to hide root from Pojav  same _x000D_
_x000D_
    The log file and images videos
java lang RuntimeException: InputChannel is not initialized _x000D_
at android view InputEventSender nativeInit(Native Method)_x000D_
at android view InputEventSender (InputEventSender java:66)_x000D_
at android view inputmethod InputMethodManager ImeInputEventSender (InputMethodManager java:3152)_x000D_
at android view inputmethod InputMethodManager sendInputEventOnMainLooperLocked(InputMethodManager java:2671)_x000D_
at android view inputmethod InputMethodManager dispatchInputEvent(InputMethodManager java:2603)_x000D_
at android view ImeFocusController onProcessImeInputStage(ImeFocusController java:237)_x000D_
at android view ViewRootImpl ImeInputStage onProcess(ViewRootImpl java:5659)_x000D_
at android view ViewRootImpl InputStage deliver(ViewRootImpl java:5316)_x000D_
at android view ViewRootImpl InputStage onDeliverToNext(ViewRootImpl java:5373)_x000D_
at android view ViewRootImpl InputStage forward(ViewRootImpl java:5339)_x000D_
at android view ViewRootImpl InputStage apply(ViewRootImpl java:5347)_x000D_
at android view ViewRootImpl InputStage deliver(ViewRootImpl java:5320)_x000D_
at android view ViewRootImpl InputStage onDeliverToNext(ViewRootImpl java:5373)_x000D_
at android view ViewRootImpl InputStage forward(ViewRootImpl java:5339)_x000D_
at android view ViewRootImpl AsyncInputStage forward(ViewRootImpl java:5491)_x000D_
at android view ViewRootImpl InputStage apply(ViewRootImpl java:5347)_x000D_
at android view ViewRootImpl AsyncInputStage apply(ViewRootImpl java:5548)_x000D_
at android view ViewRootImpl InputStage deliver(ViewRootImpl java:5320)_x000D_
at android view ViewRootImpl deliverInputEvent(ViewRootImpl java:8099)_x000D_
at android view ViewRootImpl doProcessInputEvents(ViewRootImpl java:8050)_x000D_
at android view ViewRootImpl enqueueInputEvent(ViewRootImpl java:8011)_x000D_
at android view ViewRootImpl WindowInputEventReceiver onInputEvent(ViewRootImpl java:8222)_x000D_
at android view InputEventReceiver dispatchInputEvent(InputEventReceiver java:220)_x000D_
at android view InputEventReceiver nativeConsumeBatchedInputEvents(Native Method)_x000D_
at android view InputEventReceiver consumeBatchedInputEvents(InputEventReceiver java:200)_x000D_
at android view ViewRootImpl doConsumeBatchedInput(ViewRootImpl java:8179)_x000D_
at android view ViewRootImpl ConsumeBatchedInputRunnable run(ViewRootImpl java:8261)_x000D_
at android view Choreographer CallbackRecord run(Choreographer java:972)_x000D_
at android view Choreographer doCallbacks(Choreographer java:796)_x000D_
at android view Choreographer doFrame(Choreographer java:724)_x000D_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java:7667)_x000D_
at java lang reflect Method invoke(Native Method)_x000D_
at com android internal os RuntimeInit MethodAndArgsCaller run(RuntimeInit java:592)_x000D_
at com android internal os ZygoteInit main(ZygoteInit java:947)
    Steps To Reproduce
   markdown
1  Starting Pojav (Settings 1960m RAM)_x000D_
2  Enter in game (1 17 1)_x000D_
3  Enter in the world _x000D_
4  Wait some minutes _x000D_
5  Crash 
    Expected Behavior
I wanted to be able to play with keyboard and mouse without problems 
    Platform
   markdown
  Device model: POCO X3 NFC_x000D_
  CPU architecture: aarch64_x000D_
  Android version: 11_x000D_
  PojavLauncher version: crocus 70 103aba6f6 v3 openjdk_x000D_
_x000D_
And custom rom with root (For improve fps in game) 
    Anything else 
 No response </t>
  </si>
  <si>
    <t>GoogleCloudPlatform-fda-mystudies-4157</t>
  </si>
  <si>
    <t>[Android] [Standalone] App is crashing when click on automated push notification for resource added</t>
  </si>
  <si>
    <t>Steps:  _x000D_
1  Install the standalone  android app and signup login_x000D_
2  Enroll into study_x000D_
3  Add a resource to the study and publish from the Study Builder_x000D_
4  Once push notification received  click on that and verify_x000D_
_x000D_
A R:  App is crashing when click on that notification received_x000D_
E R:  App should not crash and App should navigate to Resources section</t>
  </si>
  <si>
    <t>NordicSemiconductor-Android-DFU-Library-312</t>
  </si>
  <si>
    <t xml:space="preserve">  DFU Bootloader version (please complete the following information):  _x000D_
   SDK version:  e g  SDK 16 _x000D_
   Bonding used:  yes _x000D_
   Library version:  e g  1 9 1 _x000D_
_x000D_
  Device information (please complete the following information):  _x000D_
   Device: Any device running Android 12_x000D_
   OS: Android 12_x000D_
_x000D_
  Describe the bug  _x000D_
App crashes when trying to perform a DFU_x000D_
_x000D_
  Logs  _x000D_
   _x000D_
java lang IllegalArgumentException: co beeline debug: Targeting S  (version 31 and above) requires that one of FLAG IMMUTABLE or FLAG MUTABLE be specified when creating a PendingIntent_x000D_
Strongly consider using FLAG IMMUTABLE  only use FLAG MUTABLE if some functionality depends on the PendingIntent being mutable  e g  if it needs to be used with inline replies or bubbles _x000D_
        at android app PendingIntent checkFlags(PendingIntent java:375)_x000D_
        at android app PendingIntent getActivityAsUser(PendingIntent java:458)_x000D_
        at android app PendingIntent getActivity(PendingIntent java:444)_x000D_
        at android app PendingIntent getActivity(PendingIntent java:408)_x000D_
        at no nordicsemi android dfu DfuBaseService startForeground(DfuBaseService java:1862)_x000D_
        at no nordicsemi android dfu DfuBaseService onHandleIntent(DfuBaseService java:1142)_x000D_
        at android app IntentService ServiceHandler handleMessage(IntentService java:78)_x000D_
        at android os Handler dispatchMessage(Handler java:106)_x000D_
        at android os Looper loopOnce(Looper java:201)_x000D_
        at android os Looper loop(Looper java:288)_x000D_
        at android os HandlerThread run(HandlerThread java:67)_x000D_
   _x000D_
</t>
  </si>
  <si>
    <t>LawnchairLauncher-lawnchair-2238</t>
  </si>
  <si>
    <t>[Bug] Crash when opening Firefox search widget</t>
  </si>
  <si>
    <t xml:space="preserve">When I opened Firefox s search widget from homescreen Lawnchair crashed and the system changed the default launcher to the stock one  The crash log is attached here:_x000D_
 FATAL txt (https:  github com LawnchairLauncher lawnchair files 7234741 FATAL txt)_x000D_
_x000D_
I use the latest version of Lawnchair 11 (Alpha 6 1)_x000D_
_x000D_
_x000D_
</t>
  </si>
  <si>
    <t>Keidan-HexViewer-120</t>
  </si>
  <si>
    <t>double opening and app crash</t>
  </si>
  <si>
    <t xml:space="preserve">  open the file via the    open    menu_x000D_
  without closing anything  we open the same file through the    sequential opening    menu _x000D_
  we close the application by pressing the back button several times (the triangle at the bottom of the screen)_x000D_
  app crash_x000D_
_x000D_
 Bug log zip (https:  github com Keidan HexViewer files 7231968 Bug log zip)_x000D_
_x000D_
</t>
  </si>
  <si>
    <t>nextcloud-talk-android-1603</t>
  </si>
  <si>
    <t>"Big" video files are making the app crash</t>
  </si>
  <si>
    <t xml:space="preserve">   Steps to reproduce_x000D_
1  Either have a video file around 700M on your nextcloud or on the mobile device (Android)  _x000D_
2  Either share the nextcloud file or upload the video from local device_x000D_
3  If you shared the nextcloud file  then click on it to try to view it _x000D_
_x000D_
    Expected behaviour_x000D_
The video should be downloaded then played  or the App should warn us that such big file cannot be uploaded _x000D_
_x000D_
    Actual behaviour_x000D_
1   The App crashes when you try to view the video that was uploaded on Nextcloud _x000D_
2   The App crashes if you try to upload the video from the local device_x000D_
_x000D_
In some case  when trying with 300 500M mp4 files uploaded on nextcloud  the App crashes but then the download starts after booting the app back  allowing us to see the video normaly  On some other occurence it will just create a loop of crashes until Android detects the app is only crashing and stops it _x000D_
_x000D_
Smaller video files (around 200M)  download and play flawlessly _x000D_
_x000D_
  There are absolutely no problem viewing downloading or uploading the same videos from a Desktop Browser   _x000D_
_x000D_
_x000D_
   Device information_x000D_
_x000D_
  DeviceS:  _x000D_
 OnePlus 6_x000D_
 OnePlus 6T_x000D_
 Redmi Note 9 Pro_x000D_
 _x000D_
 All devices runing on Android 10 _x000D_
 _x000D_
   Android Talk App Version  : 12 2 1 (on all devices)_x000D_
_x000D_
_x000D_
_x000D_
   Server information_x000D_
_x000D_
  Nextcloud version:   22 1 1_x000D_
_x000D_
  Talk version:   12 1 2_x000D_
_x000D_
  Custom Signaling server configured:   no _x000D_
_x000D_
  Custom TURN server configured:   no _x000D_
_x000D_
  Custom STUN server configured:   no _x000D_
_x000D_
    Server log (data nextcloud log)_x000D_
_x000D_
No logs when triggering the crashes _x000D_
</t>
  </si>
  <si>
    <t>nikita36078-J2ME-Loader-838</t>
  </si>
  <si>
    <t>Storage error: check disk space (over 23 GB left)</t>
  </si>
  <si>
    <t xml:space="preserve">  Emulator version:  _x000D_
1 7 2 (also tried older versions which did not work)_x000D_
_x000D_
  Device:  _x000D_
Samsung Galaxy Note4 (N910F)_x000D_
_x000D_
  Android version:  _x000D_
LineageOS 18 1 (Android 11)_x000D_
_x000D_
  Description of the issue:  _x000D_
I downloaded J2ME Loader from F Droid and upon launching it  it says  Storage error: check disk space  when I have over 23 GB left  Installing a JAR results in a crash after the Processing screen  Some older versions of J2ME Loader did seem to install the JAR file  but would fail with the error  No such device   _x000D_
_x000D_
I tried changing the working directory  checking the application s permissions  ejecting my SD card  restarting my device and installing various versions of J2ME Loader  which all did not work  I also tried JL Mod  which also resulted in the same error  but gave this additional information:  android database sqlite SQLiteDiskIOException: disk I O error (code 5386 SQLITE IOERR SHMMAP):   while compiling: PRAGMA journal mode _x000D_
_x000D_
 log txt (https:  github com nikita36078 J2ME Loader files 7231383 log txt)_x000D_
</t>
  </si>
  <si>
    <t>TeamNewPipe-NewPipe-7174</t>
  </si>
  <si>
    <t>Progress bar does not complete after the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</si>
  <si>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newpipe_x000D_
2  https:  www youtube com watch v F4yfSGI4SOc_x000D_
3  See progress bar_x000D_
4  See error_x000D_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There is some extra space after the endof the video_x000D_
_x000D_
_x000D_
    Expected behavior_x000D_
     Tell us what you expect to happen     _x000D_
The progress bar completely cover the lower part_x000D_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7 1 1 nougat_x000D_
   Device model: Samsung Galaxy Tab A_x000D_
</t>
  </si>
  <si>
    <t>nextcloud-android-9012</t>
  </si>
  <si>
    <t>crash on search</t>
  </si>
  <si>
    <t xml:space="preserve">    Steps to reproduce_x000D_
1  Search on android  client_x000D_
2  _x000D_
3  _x000D_
_x000D_
    Expected behaviour_x000D_
  search results_x000D_
_x000D_
    Actual behaviour_x000D_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latest_x000D_
_x000D_
Device model: pixel 3a_x000D_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CAUSE OF ERROR             _x000D_
_x000D_
java lang RuntimeException: An error occurred while executing doInBackground()_x000D_
	at android os AsyncTask 4 done(AsyncTask java:415)_x000D_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java:923)_x000D_
Caused by: java util ConcurrentModificationException_x000D_
	at java util ArrayList sort(ArrayList java:1472)_x000D_
	at java util Collections sort(Collections java:206)_x000D_
	at com owncloud android utils FileSortOrderByName sortCloudFiles(FileSortOrderByName java:52)_x000D_
	at com owncloud android ui adapter OCFileListAdapter setData(OCFileListAdapter java:886)_x000D_
	at com owncloud android ui fragment OCFileListFragment 2 doInBackground(OCFileListFragment java:1563)_x000D_
	at com owncloud android ui fragment OCFileListFragment 2 doInBackground(OCFileListFragment java:1545)_x000D_
	at android os AsyncTask 3 call(AsyncTask java:394)_x000D_
	at java util concurrent FutureTask run(FutureTask java:266)_x000D_
	    3 more_x000D_
_x000D_
             APP INFORMATION             _x000D_
ID: com nextcloud client_x000D_
Version: 30170090_x000D_
Build flavor: gplay_x000D_
_x000D_
             DEVICE INFORMATION             _x000D_
Brand: Android_x000D_
Device: sargo_x000D_
Model: Pixel 3a_x000D_
Id: RQ3A 210905 001_x000D_
Product: calyx sargo_x000D_
_x000D_
             FIRMWARE             _x000D_
SDK: 30_x000D_
Release: 11_x000D_
Incremental: 202109290_x000D_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</si>
  <si>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nextcloud-android-9007</t>
  </si>
  <si>
    <t>App crashes when going back from Onlyoffice document</t>
  </si>
  <si>
    <t xml:space="preserve">    Steps to reproduce
1  Open an empty docx in Android client
2  Clic on back button
    Expected behaviour
  Should go back to documents
    Actual behaviour
  App crashes
    Can you reproduce this problem on https:  try nextcloud com 
  Please create a test demo account and see if this still happens there 
  If yes  please open up a bug report
  If not  please verify server setup and ask for help on forum
    Environment data
Android version:
Device model: ONEPLUS A5010
Stock or customized system: Custom Lineageos 17
Nextcloud app version: See log
Nextcloud server version: 21
Reverse proxy:
    Logs
     Web server error log
No access to server
     Nextcloud log (data nextcloud log)
             CAUSE OF ERROR             
java lang IllegalStateException: Native WebContents already destroyed
	at org chromium content browser webcontents WebContentsImpl U(chromium SystemWebView apk default 451515903:2)
	at org chromium content browser webcontents WebContentsImpl c0(chromium SystemWebView apk default 451515903:1)
	at org chromium content browser input ImeAdapterImpl ShowKeyboardResultReceiver onReceiveResult(chromium SystemWebView apk default 451515903:5)
	at android os ResultReceiver MyRunnable run(ResultReceiver java:50)
	at android os Handler handleCallback(Handler java:938)
	at android os Handler dispatchMessage(Handler java:99)
	at android os Looper loop(Looper java:223)
	at android app ActivityThread main(ActivityThread java:7664)
	at java lang reflect Method invoke(Native Method)
	at com android internal os RuntimeInit MethodAndArgsCaller run(RuntimeInit java:592)
	at com android internal os ZygoteInit main(ZygoteInit java:947)
Caused by: java lang RuntimeException: clearNativePtr
	at org chromium content browser webcontents WebContentsImpl clearNativePtr(chromium SystemWebView apk default 451515903:1)
	at J N MQGusfGb(Native Method)
	at K7 run(chromium SystemWebView apk default 451515903:2)
	at lh a(chromium SystemWebView apk default 451515903:5)
	at jh handleMessage(chromium SystemWebView apk default 451515903:5)
	at lh b(chromium SystemWebView apk default 451515903:3)
	at org chromium android webview AwContents h(chromium SystemWebView apk default 451515903:9)
	at z7 run(chromium SystemWebView apk default 451515903:1)
	at android os MessageQueue nativePollOnce(Native Method)
	at android os MessageQueue next(MessageQueue java:335)
	at android os Looper loop(Looper java:183)
	    4 more
             APP INFORMATION             
ID: com nextcloud client
Version: 30170090
Build flavor: generic
             DEVICE INFORMATION             
Brand: OnePlus
Device: OnePlus5T
Model: ONEPLUS A5010
Id: RQ3A 210805 001 A1
Product: OnePlus5T
             FIRMWARE             
SDK: 30
Release: 11
Incremental: c89b62ecc0
   </t>
  </si>
  <si>
    <t>PojavLauncherTeam-PojavLauncher-2072</t>
  </si>
  <si>
    <t>[BUG] Unknown Crash</t>
  </si>
  <si>
    <t xml:space="preserve">    Describe the bug
After pressing play button it immediately crashed
    The log file and images videos
 latestlog txt (https:  github com PojavLauncherTeam PojavLauncher files 7229125 latestlog txt)_x000D_
    Steps To Reproduce
   markdown
1 Start pojav launcher_x000D_
2 Press play button
    Expected Behavior
I expect the game to lunch
    Platform
   markdown
  Device model: Huawei Med L29_x000D_
  CPU architecture: 32 bit x86_x000D_
  Android version: Android 10_x000D_
  PojavLauncher version: crucus 70 103aba6f6 v3 openjdk
    Anything else 
 No response </t>
  </si>
  <si>
    <t>smartdevicelink-sdl_java_suite-1738</t>
  </si>
  <si>
    <t>ScreenManager tries to upload images even if they are not supported (SDL 2.0)</t>
  </si>
  <si>
    <t xml:space="preserve">    Bug Report_x000D_
It seems the  ScreenManager  tries to upload images on Sync 2 even if the dynamic images are not supported  That doesn t crash the app but it just sends RPCs when there is no need for that  It also logs some error messages like the following:_x000D_
_x000D_
   _x000D_
E FileManager: 5 2 0: File named icon png failed to upload  Max number of upload attempts reached _x000D_
E FileManager: 5 2 0: File named image1 png failed to upload  Max number of upload attempts reached _x000D_
E SoftButtonReplaceOperation: 5 2 0: Error uploading soft button artworks:  image1 png _x000D_
E FileManager: 5 2 0: File named image2 png failed to upload  Max number of upload attempts reached _x000D_
E SoftButtonReplaceOperation: 5 2 0: Error uploading soft button artworks:  image2 png _x000D_
   _x000D_
_x000D_
The potential reason for the issue is that Sync 2 sends  RegisterAppInterfaceRespomse  with the following values :_x000D_
   _x000D_
RegisterAppInterfaceRespomse displayCapabilities graphicSupported   false_x000D_
RegisterAppInterfaceRespomse softButtonCapabilities imageSupported   true_x000D_
   _x000D_
The  SoftButttonManager  (and possibly other managers) depends on  ImageSupported  and thinks the images are supported when in reality they are not _x000D_
_x000D_
      Reproduction Steps_x000D_
1  Run SDL app on Sync 2 TDK_x000D_
2  Use the SoftButtonManager to set buttons with images_x000D_
_x000D_
      Expected Behavior_x000D_
Images for the buttons shouldn t be uploaded because the TDK doesn t support dynamic images _x000D_
_x000D_
      Observed Behavior_x000D_
 SoftButtonmanager  tries to upload the images then fail_x000D_
_x000D_
      OS   Version Information_x000D_
  Android Version: 11_x000D_
  SDL Android Version: 5 2_x000D_
  Testing Against: Sync 2_x000D_
</t>
  </si>
  <si>
    <t>Nostradongus-Financify-5</t>
  </si>
  <si>
    <t>Changing to a taken email in Account Settings makes app crash</t>
  </si>
  <si>
    <t>Changing to a taken email will make the app crash _x000D_
_x000D_
How to trigger:_x000D_
(1) Navigate to Account Settings_x000D_
(2) Attempt to change email to a taken one_x000D_
(3) Save changes</t>
  </si>
  <si>
    <t>PojavLauncherTeam-PojavLauncher-2066</t>
  </si>
  <si>
    <t>[BUG] minecraft1.7.10, which can't use VBO crashed.</t>
  </si>
  <si>
    <t xml:space="preserve">    Describe the bug
I can play minecraft 1 8 perfectly by selecting using VBOs in options _x000D_
However  in minecraft 1 7 10 I cannot find using VBOs in options so that minecraft crashed when entering a world _x000D_
I can play 1 7 10 for a moment with optifine  then it still crashed _x000D_
    The log file and images videos
 No response 
    Steps To Reproduce
   markdown
1  install minecraft 1 7 10_x000D_
2  select a world_x000D_
3  minecraft crashed with no log _x000D_
4  install minecraft 1 8 3_x000D_
5  select a world_x000D_
6  step 3 occured _x000D_
7  using VBOs in 1 8 3_x000D_
8  1 8 3 worded well 
    Expected Behavior
version 1 7 10 should work well after entering a world 
    Platform
   markdown
  Device model: Huawei Matepad 11_x000D_
  CPU architecture: aarch64 snapdragon865_x000D_
  Android version: 10_x000D_
  PojavLauncher version: google play version and latest CI artifacts
    Anything else 
 No response </t>
  </si>
  <si>
    <t>inaturalist-iNaturalistAndroid-1130</t>
  </si>
  <si>
    <t>NullPointerException in ObservationEditor.saveProjectFields</t>
  </si>
  <si>
    <t xml:space="preserve">https:  console firebase google com u 1 project inaturalist ios crashlytics app android:org inaturalist android issues f823f1f7a8d50f66d67f77dcb72b3ce1_x000D_
_x000D_
   _x000D_
Fatal Exception: java lang NullPointerException: Attempt to invoke virtual method  java util Collection java util HashMap values()  on a null object reference_x000D_
       at org inaturalist android ObservationEditor saveProjectFields(ObservationEditor java:2560)_x000D_
       at org inaturalist android ObservationEditor save(ObservationEditor java:2050)_x000D_
       at org inaturalist android ObservationEditor save(ObservationEditor java:2024)_x000D_
       at org inaturalist android ObservationEditor access 800(ObservationEditor java:142)_x000D_
       at org inaturalist android ObservationEditor 8 1 run(ObservationEditor java:755)_x000D_
       at org inaturalist android ObservationEditor 48 onClick(ObservationEditor java:4429)_x000D_
   </t>
  </si>
  <si>
    <t>mapbox-mapbox-gl-native-android-702</t>
  </si>
  <si>
    <t>Location reuses feature object</t>
  </si>
  <si>
    <t>We have a raise condition on the location component feature  Currently we reuse the features object and pass that to gl native  gl native however parses this asynchronous and by that time we could already have updated it on the main thread  This currently results in a crash and is something we want to patch  _x000D_
_x000D_
The feature object mentioned can be found in https:  github com mapbox mapbox gl native android blob 3467eefe5d5f66240107b123be4b7dd62564aed0 MapboxGLAndroidSDK src main java com mapbox mapboxsdk location SymbolLocationLayerRenderer java L69</t>
  </si>
  <si>
    <t>PojavLauncherTeam-PojavLauncher-2062</t>
  </si>
  <si>
    <t>1.17 optifine patches doesn't work with me</t>
  </si>
  <si>
    <t xml:space="preserve">    Describe the bug
it s says this access denied idk why _x000D_
also if I tried to do the same thing in 1 17 build its crash the app so I used the Google play build
    The log file and images videos
  Screenshot 20210923 132546 net kdt pojavlaunch (https:  user images githubusercontent com 79517194 134492456 21b2670d eaaa 48db b51b 5318f36f4d6c jpg)_x000D_
    Steps To Reproduce
   markdown
1 start Pojav_x000D_
2 Install optifine for 1 17 1_x000D_
3  install the patch 1  17 thing_x000D_
4 it s should say patch 1 17 
    Expected Behavior
it s should work
    Platform
   markdown
  Device model: Huawei Nova 3i_x000D_
  CPU architecture: 8_x000D_
  Android version: 9_x000D_
  PojavLauncher version: Google Play Build
    Anything else 
 No response </t>
  </si>
  <si>
    <t>jellyfin-jellyfin-androidtv-1152</t>
  </si>
  <si>
    <t>Jellyfin crashes everytime you back out from a playing movie</t>
  </si>
  <si>
    <t>As the subject says  every time I press on the back return button on the remote control from a playing movie  the application crashes and exits out to the home screen  You have to run Jellyfin again to play another movie  This cycle continues if you want to switch to another movie regardless where the movie is played from any library you added _x000D_
_x000D_
Android TV 10 1 (kernel 4 4 55)_x000D_
Jellyfin 0 11 5_x000D_
_x000D_
 https:  ibb co gm0C3yc (url)</t>
  </si>
  <si>
    <t>inaturalist-iNaturalistAndroid-1126</t>
  </si>
  <si>
    <t>ConcurrentModificationException in TrackingCursor</t>
  </si>
  <si>
    <t xml:space="preserve">https:  console firebase google com u 1 project inaturalist ios crashlytics app android:org inaturalist android issues 92c81f8feaa6066595d3727bf31924f8_x000D_
_x000D_
   _x000D_
Fatal Exception: java util ConcurrentModificationException_x000D_
       at java util LinkedList LinkIterator next(LinkedList java:124)_x000D_
       at java util LinkedList removeOneOccurrence(LinkedList java:835)_x000D_
       at java util LinkedList removeFirstOccurrenceImpl(LinkedList java:830)_x000D_
       at java util LinkedList remove(LinkedList java:665)_x000D_
       at org inaturalist android TrackingCursor close(TrackingCursor java:23)_x000D_
       at android database CursorWrapper close(CursorWrapper java:50)_x000D_
       at android content ContentResolver CursorWrapperInner close(ContentResolver java:2561)_x000D_
       at org inaturalist android INaturalistService postProjectObservations(INaturalistService java:3092)_x000D_
   </t>
  </si>
  <si>
    <t>nextcloud-android-8995</t>
  </si>
  <si>
    <t>mp3</t>
  </si>
  <si>
    <t xml:space="preserve">    Steps to reproduce_x000D_
1  Play 44 1 256kbps cbr mp3_x000D_
2  After mp3 completes press back arrow_x000D_
3  _x000D_
_x000D_
    Expected behaviour_x000D_
  Tell us what should happen_x000D_
I did be returned to previous menu _x000D_
_x000D_
    Actual behaviour_x000D_
  Tell us what happens_x000D_
App crashes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_x000D_
             CAUSE OF ERROR             _x000D_
_x000D_
android app RemoteServiceException: Context startForegroundService() did not then call Service startForeground(): ServiceRecord 286bc10 u0 com nextcloud client  media PlayerService _x000D_
	at android app ActivityThread H handleMessage(ActivityThread java:2005)_x000D_
	at android os Handler dispatchMessage(Handler java:106)_x000D_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_x000D_
             APP INFORMATION             _x000D_
ID: com nextcloud client_x000D_
Version: 30170090_x000D_
Build flavor: gplay_x000D_
_x000D_
             DEVICE INFORMATION             _x000D_
Brand: google_x000D_
Device: bonito_x000D_
Model: Pixel 3a XL_x000D_
Id: _x000D_
Product: bonito_x000D_
_x000D_
             FIRMWARE             _x000D_
SDK: 30_x000D_
Release: 11_x000D_
Incremental: 7511028_x000D_
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</si>
  <si>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TeamNewPipe-NewPipe-7144</t>
  </si>
  <si>
    <t>Migration error after updating to 0.21.10</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</si>
  <si>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Update to latest version 0 21 10 from 0 21 9_x000D_
2  Open the app_x000D_
     If you can t cause the bug to show up again reliably (and hence don t have a proper set of steps to give us)  please still try to give as many details as possible on how you think you encountered the bug     _x000D_
_x000D_
_x000D_
    Actual behavior_x000D_
     Tell us what happens with the steps given above     _x000D_
The app crashes with the error log below _x000D_
_x000D_
_x000D_
    Expected behavior_x000D_
     Tell us what you expect to happen     _x000D_
The app doesn t crash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ACRA report_x000D_
    Content Country:   FR_x000D_
    Content Language:   fr_x000D_
    App Language:   fr FR_x000D_
    Service:   none_x000D_
    Version:   0 21 10_x000D_
    OS:   Linux Android 11   30_x000D_
 details  summary  b Crash log   b   summary  p _x000D_
_x000D_
   _x000D_
java lang IllegalStateException: Migration didn t properly handle: feed group(org schabi newpipe database feed model FeedGroupEntity) _x000D_
 Expected:_x000D_
TableInfo name  feed group   columns  name Column name  name   type  TEXT   affinity  2   notNull true  primaryKeyPosition 0  defaultValue  null    uid Column name  uid   type  INTEGER   affinity  3   notNull true  primaryKeyPosition 1  defaultValue  null    icon id Column name  icon id   type  INTEGER   affinity  3   notNull true  primaryKeyPosition 0  defaultValue  null    sort order Column name  sort order   type  INTEGER   affinity  3   notNull true  primaryKeyPosition 0  defaultValue  null     foreignKeys     indices  Index name  index feed group sort order   unique false  columns  sort order    _x000D_
 Found:_x000D_
TableInfo name  feed group   columns  uid Column name  uid   type  INTEGER   affinity  3   notNull true  primaryKeyPosition 1  defaultValue  null    name Column name  name   type  TEXT   affinity  2   notNull true  primaryKeyPosition 0  defaultValue  null    icon id Column name  icon id   type  INTEGER   affinity  3   notNull true  primaryKeyPosition 0  defaultValue  null    sort order Column name  sort order   type  INTEGER   affinity  3   notNull true  primaryKeyPosition 0  defaultValue  0     foreignKeys     indices    _x000D_
	at androidx room RoomOpenHelper onUpgrade(RoomOpenHelper java:103)_x000D_
	at androidx sqlite db framework FrameworkSQLiteOpenHelper OpenHelper onUpgrade(FrameworkSQLiteOpenHelper java:177)_x000D_
	at android database sqlite SQLiteOpenHelper getDatabaseLocked(SQLiteOpenHelper java:416)_x000D_
	at android database sqlite SQLiteOpenHelper getWritableDatabase(SQLiteOpenHelper java:316)_x000D_
	at androidx sqlite db framework FrameworkSQLiteOpenHelper OpenHelper getWritableSupportDatabase(FrameworkSQLiteOpenHelper java:145)_x000D_
	at androidx sqlite db framework FrameworkSQLiteOpenHelper getWritableDatabase(FrameworkSQLiteOpenHelper java:106)_x000D_
	at androidx room RoomDatabase internalBeginTransaction(RoomDatabase java:482)_x000D_
	at androidx room RoomDatabase beginTransaction(RoomDatabase java:471)_x000D_
	at org schabi newpipe database playlist dao PlaylistStreamDAO Impl 9 call(PlaylistStreamDAO Impl java:445)_x000D_
	at org schabi newpipe database playlist dao PlaylistStreamDAO Impl 9 call(PlaylistStreamDAO Impl java:442)_x000D_
	at io reactivex rxjava3 internal operators maybe MaybeFromCallable subscribeActual(MaybeFromCallable java:47)_x000D_
	at io reactivex rxjava3 core Maybe subscribe(Maybe java:5330)_x000D_
	at io reactivex rxjava3 internal operators flowable FlowableFlatMapMaybe FlatMapMaybeSubscriber onNext(FlowableFlatMapMaybe java:131)_x000D_
	at io reactivex rxjava3 internal operators flowable FlowableObserveOn ObserveOnSubscriber runAsync(FlowableObserveOn java:402)_x000D_
	at io reactivex rxjava3 internal operators flowable FlowableObserveOn BaseObserveOnSubscriber run(FlowableObserveOn java:176)_x000D_
	at io reactivex rxjava3 internal schedulers ExecutorScheduler ExecutorWorker BooleanRunnable run(ExecutorScheduler java:322)_x000D_
	at io reactivex rxjava3 internal schedulers ExecutorScheduler ExecutorWorker runEager(ExecutorScheduler java:287)_x000D_
	at io reactivex rxjava3 internal schedulers ExecutorScheduler ExecutorWorker run(ExecutorScheduler java:248)_x000D_
	at androidx room TransactionExecutor 1 run(TransactionExecutor java:47)_x000D_
	at java util concurrent ThreadPoolExecutor runWorker(ThreadPoolExecutor java:1167)_x000D_
	at java util concurrent ThreadPoolExecutor Worker run(ThreadPoolExecutor java:641)_x000D_
	at java lang Thread run(Thread java:923)_x000D_
_x000D_
   _x000D_
  details _x000D_
 hr _x000D_
_x000D_
</t>
  </si>
  <si>
    <t>EffnerAppArchive-effnerapp-android-legacy-150</t>
  </si>
  <si>
    <t>java.lang.Throwable (FirebaseCrashlytics.java line 64)</t>
  </si>
  <si>
    <t xml:space="preserve">    Issue information:
  Issue id: 80dd5619165edf98265026806eb2009c
  Issue title: FirebaseCrashlytics java line 64
  Issue subtitle: com getcapacitor community firebasecrashlytics FirebaseCrashlytics recordException
    Crash information:
  App version:   VERSIONNAME   (696969)
  Event timestamp: 2021 09 21T18:17:00 000Z
  Received timestamp: 2021 09 21T18:20:07 000Z
    Stacktrace(s):
Non fatal Exception: java lang Throwable: This is a non fatal message 
       at com getcapacitor community firebasecrashlytics FirebaseCrashlytics recordException(FirebaseCrashlytics java:64)
       at com getcapacitor community firebasecrashlytics FirebaseCrashlyticsPlugin recordException(FirebaseCrashlyticsPlugin java:126)
       at java lang reflect Method invoke(Method java:null)
       at com getcapacitor PluginHandle invoke(PluginHandle java:121)
       at com getcapacitor Bridge lambda callPluginMethod 0 Bridge(Bridge java:592)
       at com getcapacitor Bridge  ExternalSyntheticLambda4 run(null:8)
       at android os Handler handleCallback(Handler java:938)
       at android os Handler dispatchMessage(Handler java:99)
       at android os Looper loop(Looper java:223)
       at android os HandlerThread run(HandlerThread java:67)
    Device information:
manufacturer   model   architecture   os
Google   Pixel 4a   ARM64   11</t>
  </si>
  <si>
    <t>TeamNewPipe-NewPipe-7141</t>
  </si>
  <si>
    <t>Crash when opening downloads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</si>
  <si>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Open the app _x000D_
2  Open the menu _x000D_
3  Open the downloads _x000D_
4  The app closes _x000D_
_x000D_
    Actual behavior_x000D_
     Tell us what happens with the steps given above     _x000D_
_x000D_
The app often just closes  There is no crash report  no nothing _x000D_
_x000D_
    Expected behavior_x000D_
     Tell us what you expect to happen     _x000D_
_x000D_
Show the download queue and downloaded things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11  August 5  2021_x000D_
   Device model: realme 7 Pro_x000D_
</t>
  </si>
  <si>
    <t>Anuken-Mindustry-6032</t>
  </si>
  <si>
    <t>Schematic search function ignores Numbers</t>
  </si>
  <si>
    <t xml:space="preserve">  Platform  :  Windows 10 _x000D_
_x000D_
  Build  :  21912 _x000D_
_x000D_
  Issue  :  When I type in Numbers in the search function of Schematics they get ignored  it would be much better for big schematics folders if you can search by numbers i e  IMP 16 or IMP 3 _x000D_
_x000D_
  Screenshot 2021 09 21 193427 (https:  user images githubusercontent com 57239116 134220035 fa253bb8 dc65 42f7 8562 eca55f74907c jpg)_x000D_
_x000D_
_x000D_
  Steps to reproduce  :  Open Schematics folder  type in numbers  see that the output wont change _x000D_
_x000D_
  Link(s) to mod(s) used  :  vanilla _x000D_
_x000D_
  Save file  :  It s on every save  I can upload my schem folder if you like _x000D_
_x000D_
If you remove the line above without reading it properly and understanding what it means  I will reap your soul  Even if you re playing on someone s server  you can still save the game to a slot 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</si>
  <si>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TeamNewPipe-NewPipe-7136</t>
  </si>
  <si>
    <t>Long pause can't resume</t>
  </si>
  <si>
    <t xml:space="preserve">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some video play a video _x000D_
2  Pause the video and wait(for me i was taking notes_x000D_
3  Then sometimes the video can t be play and most case I close the player and open again in other case i won t be able to watch the video for sometime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pause  next and previous don t work and need to close the player But sometime i won t even be able to watch the video_x000D_
_x000D_
_x000D_
    Expected behavior_x000D_
     Tell us what you expect to happen     _x000D_
I expect it to behave like the previouly_x000D_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Sorry_x000D_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LineageOS 18 1_x000D_
   Device model: Redmi Note 7 Pro_x000D_
</t>
  </si>
  <si>
    <t>react-native-share-react-native-share-1095</t>
  </si>
  <si>
    <t>Startup crash on iOS 12 when using Xcode 13</t>
  </si>
  <si>
    <t xml:space="preserve">    Steps to reproduce_x000D_
1  Build and run on iOS 12 device_x000D_
_x000D_
    Expected behaviour_x000D_
Works without crashing_x000D_
_x000D_
    Actual behaviour_x000D_
Crash on app startup_x000D_
 dyld: Library not loaded:  System Library Frameworks LinkPresentation framework LinkPresentation _x000D_
_x000D_
    Environment_x000D_
    React Native version  : 0 65 1_x000D_
    React Native platform   platform version  : iOS 12 4_x000D_
    Typescript version   (if using typescript): 4 4 3_x000D_
_x000D_
    react native share_x000D_
  Version  : 7 1 0_x000D_
_x000D_
    Link to repo (highly encouraged)_x000D_
None_x000D_
</t>
  </si>
  <si>
    <t>commons-app-apps-android-commons-4642</t>
  </si>
  <si>
    <t>Crash on upload wizard's depictions screen (and depiction not selected)</t>
  </si>
  <si>
    <t xml:space="preserve">1  Open app (latest master)_x000D_
2  Upload this picture: https:  drive google com file d 1 vuOYjSqn6dTMVbgAvjBOIfoeaK0kqGm view usp sharing_x000D_
3  App asks  Is this a picture of XYZ    tap Yes_x000D_
4  In the depictions screen  XYZ is not selected as a depiction (problem 1)_x000D_
5  Tap  Next   acknowledge the warning _x000D_
6  Crash (problem 2):_x000D_
_x000D_
   _x000D_
com google gson JsonSyntaxException: java lang IllegalStateException: Expected a string but was BEGIN OBJECT at line 1 column 24 path   commonsCategories 0 _x000D_
at com google gson internal bind ReflectiveTypeAdapterFactory Adapter read(ReflectiveTypeAdapterFactory java:226)_x000D_
at org wikipedia json PostProcessingTypeAdapter 1 read(PostProcessingTypeAdapter java:26)_x000D_
at com google gson Gson fromJson(Gson java:932)_x000D_
at com google gson Gson fromJson(Gson java:897)_x000D_
at com google gson Gson fromJson(Gson java:846)_x000D_
at fr free nrw commons db Converters readObjectWithTypeToken(Converters java:136)_x000D_
at fr free nrw commons db Converters stringToDepicts(Converters java:43)_x000D_
at fr free nrw commons upload depicts DepictsDao Impl 5 call(DepictsDao Impl java:139)_x000D_
at fr free nrw commons upload depicts DepictsDao Impl 5 call(DepictsDao Impl java:122)_x000D_
at androidx room CoroutinesRoom Companion execute  inlined suspendCancellableCoroutine lambda 1 invokeSuspend(CoroutinesRoom kt:83)_x000D_
at kotlin coroutines jvm internal BaseContinuationImpl resumeWith(ContinuationImpl kt:33)_x000D_
at kotlinx coroutines DispatchedTask run(DispatchedTask kt:106)_x000D_
at java util concurrent ThreadPoolExecutor runWorker(ThreadPoolExecutor java:1167)_x000D_
at java util concurrent ThreadPoolExecutor Worker run(ThreadPoolExecutor java:641)_x000D_
at java lang Thread run(Thread java:764)_x000D_
Caused by: java lang IllegalStateException: Expected a string but was BEGIN OBJECT at line 1 column 24 path   commonsCategories 0 _x000D_
at com google gson stream JsonReader nextString(JsonReader java:826)_x000D_
at com google gson internal bind TypeAdapters 16 read(TypeAdapters java:402)_x000D_
at com google gson internal bind TypeAdapters 16 read(TypeAdapters java:390)_x000D_
at org wikipedia json PostProcessingTypeAdapter 1 read(PostProcessingTypeAdapter java:26)_x000D_
at com google gson internal bind TypeAdapterRuntimeTypeWrapper read(TypeAdapterRuntimeTypeWrapper java:41)_x000D_
at com google gson internal bind CollectionTypeAdapterFactory Adapter read(CollectionTypeAdapterFactory java:82)_x000D_
at com google gson internal bind CollectionTypeAdapterFactory Adapter read(CollectionTypeAdapterFactory java:61)_x000D_
at org wikipedia json PostProcessingTypeAdapter 1 read(PostProcessingTypeAdapter java:26)_x000D_
at com google gson internal bind ReflectiveTypeAdapterFactory 1 read(ReflectiveTypeAdapterFactory java:131)_x000D_
at com google gson internal bind ReflectiveTypeAdapterFactory Adapter read(ReflectiveTypeAdapterFactory java:222)_x000D_
    14 more_x000D_
   _x000D_
_x000D_
Same problems when uploading any picture from Nearby _x000D_
No crash if the picture has no depiction meant for pre selection </t>
  </si>
  <si>
    <t>LSPosed-LSPosed-1151</t>
  </si>
  <si>
    <t>[Bug] cannot open manager</t>
  </si>
  <si>
    <t xml:space="preserve">    Steps to reproduce     _x000D_
_x000D_
Install lsposed 6053 from latest actions on master_x000D_
Restart and add shortcut to launcher_x000D_
Tap launcher _x000D_
_x000D_
    Expected behaviour     _x000D_
_x000D_
Normally opens lsposed manager_x000D_
_x000D_
    Actual behaviour     _x000D_
_x000D_
Manager wont open_x000D_
And shell crashes_x000D_
_x000D_
    Xposed Module List Xposed     _x000D_
_x000D_
   shell_x000D_
Hideapplist_x000D_
Xprivacylua_x000D_
Lucky patcher_x000D_
Disable flag secure 2 0_x000D_
Kpn opener_x000D_
   _x000D_
   _x000D_
_x000D_
_x000D_
    Magisk Module List Magisk     _x000D_
_x000D_
   shell_x000D_
Riru lsposed_x000D_
Riru unshare_x000D_
Riru safetynet patch 2 1 0_x000D_
Magisk props config_x000D_
Busybox module_x000D_
Advanced charging controller_x000D_
Disable screenshot and camera sounds_x000D_
Riru momohider_x000D_
   _x000D_
_x000D_
_x000D_
    LSPosed version LSPosed   _x000D_
_x000D_
6053_x000D_
_x000D_
    Android version     _x000D_
_x000D_
10_x000D_
_x000D_
    Magisk version Magisk   _x000D_
_x000D_
23 0001 Canary_x000D_
_x000D_
    Riru version Riru   _x000D_
_x000D_
26 1 2r505_x000D_
_x000D_
    CI Version CI   _x000D_
_x000D_
   X  I am using latest CI version of LSPosed         CI   _x000D_
_x000D_
    Logs   _x000D_
_x000D_
 log zip (https:  github com LSPosed LSPosed files 7201826 log zip)_x000D_
_x000D_
   _x000D_
  2021 09 21T16:47:29 016        0:   709:   863 I LSPosed           verifyInstallerSignature: true_x000D_
  2021 09 21T16:47:29 021        0:   709:   863 E LSPosedService    failed to open manager apk_x000D_
java lang NullPointerException: Attempt to invoke virtual method  android app ContextImpl android app ActivityThread getSystemContext()  on a null object reference_x000D_
	at y0 a(Unknown Source:27)_x000D_
	at r1 i(Unknown Source:64)_x000D_
	at Y0 onTransact(Unknown Source:28)_x000D_
	at android os Binder execTransactInternal(Binder java:1021)_x000D_
	at android os Binder execTransact(Binder java:994)_x000D_
  2021 09 21T16:47:29 031     2000:  8811:  8811 I LSPosed           Loading modules for com android shell 2000_x000D_
  2021 09 21T16:47:29 126     2000:  8811:  8811 I LSPosed Bridge    Crash unexpectedly: java lang RuntimeException: Unable to start activity ComponentInfo com android shell com android shell BugreportWarningActivity : java lang NullPointerException: Attempt to invoke virtual method  boolean android content Intent hasExtra(java lang String)  on a null object reference_x000D_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java:925)_x000D_
Caused by: java lang NullPointerException: Attempt to invoke virtual method  boolean android content Intent hasExtra(java lang String)  on a null object reference_x000D_
	at com android shell BugreportWarningActivity onCreate(BugreportWarningActivity java:54)_x000D_
	at android app Activity performCreate(Activity java:7824)_x000D_
	at android app Activity performCreate(Activity java:7813)_x000D_
	at android app Instrumentation callActivityOnCreate(Instrumentation java:1307)_x000D_
	at android app ActivityThread performLaunchActivity(ActivityThread java:3245)_x000D_
	    11 more_x000D_
  2021 09 21T16:47:29 126     2000:  8811:  8811 E AndroidRuntime    FATAL EXCEPTION: main_x000D_
Process: com android shell  PID: 8811_x000D_
java lang RuntimeException: Unable to start activity ComponentInfo com android shell com android shell BugreportWarningActivity : java lang NullPointerException: Attempt to invoke virtual method  boolean android content Intent hasExtra(java lang String)  on a null object reference_x000D_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java:925)_x000D_
Caused by: java lang NullPointerException: Attempt to invoke virtual method  boolean android content Intent hasExtra(java lang String)  on a null object reference_x000D_
	at com android shell BugreportWarningActivity onCreate(BugreportWarningActivity java:54)_x000D_
	at android app Activity performCreate(Activity java:7824)_x000D_
	at android app Activity performCreate(Activity java:7813)_x000D_
	at android app Instrumentation callActivityOnCreate(Instrumentation java:1307)_x000D_
	at android app ActivityThread performLaunchActivity(ActivityThread java:3245)_x000D_
	    11 more_x000D_
  2021 09 21T16:47:44 457        0:   624:  7488 D Magisk            su: return code  0 _x000D_
  2021 09 21T16:47:50 338        0:   709:   863 I LSPosed           verifyInstallerSignature: true_x000D_
  2021 09 21T16:47:50 339        0:   709:   863 E LSPosedService    failed to open manager apk_x000D_
java lang NullPointerException: Attempt to invoke virtual method  android app ContextImpl android app ActivityThread getSystemContext()  on a null object reference_x000D_
	at y0 a(Unknown Source:27)_x000D_
	at r1 i(Unknown Source:64)_x000D_
	at Y0 onTransact(Unknown Source:28)_x000D_
	at android os Binder execTransactInternal(Binder java:1021)_x000D_
	at android os Binder execTransact(Binder java:994)_x000D_
  2021 09 21T16:47:50 353     2000:  9627:  9627 I LSPosed           Loading modules for com android shell 2000_x000D_
  2021 09 21T16:47:50 432     2000:  9627:  9627 I LSPosed Bridge    Crash unexpectedly: java lang RuntimeException: Unable to start activity ComponentInfo com android shell com android shell BugreportWarningActivity : java lang NullPointerException: Attempt to invoke virtual method  boolean android content Intent hasExtra(java lang String)  on a null object reference_x000D_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java:925)_x000D_
Caused by: java lang NullPointerException: Attempt to invoke virtual method  boolean android content Intent hasExtra(java lang String)  on a null object reference_x000D_
	at com android shell BugreportWarningActivity onCreate(BugreportWarningActivity java:54)_x000D_
	at android app Activity performCreate(Activity java:7824)_x000D_
	at android app Activity performCreate(Activity java:7813)_x000D_
	at android app Instrumentation callActivityOnCreate(Instrumentation java:1307)_x000D_
	at android app ActivityThread performLaunchActivity(ActivityThread java:3245)_x000D_
	    11 more_x000D_
  2021 09 21T16:47:50 432     2000:  9627:  9627 E AndroidRuntime    FATAL EXCEPTION: main_x000D_
Process: com android shell  PID: 9627_x000D_
java lang RuntimeException: Unable to start activity ComponentInfo com android shell com android shell BugreportWarningActivity : java lang NullPointerException: Attempt to invoke virtual method  boolean android content Intent hasExtra(java lang String)  on a null object reference_x000D_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java:925)_x000D_
Caused by: java lang NullPointerException: Attempt to invoke virtual method  boolean android content Intent hasExtra(java lang String)  on a null object reference_x000D_
	at com android shell BugreportWarningActivity onCreate(BugreportWarningActivity java:54)_x000D_
	at android app Activity performCreate(Activity java:7824)_x000D_
	at android app Activity performCreate(Activity java:7813)_x000D_
	at android app Instrumentation callActivityOnCreate(Instrumentation java:1307)_x000D_
	at android app ActivityThread performLaunchActivity(ActivityThread java:3245)_x000D_
	    11 more_x000D_
  2021 09 21T16:47:53 329        0:   709:   863 I LSPosed           verifyInstallerSignature: true_x000D_
  2021 09 21T16:47:53 329        0:   709:   863 E LSPosedService    failed to open manager apk_x000D_
java lang NullPointerException: Attempt to invoke virtual method  android app ContextImpl android app ActivityThread getSystemContext()  on a null object reference_x000D_
	at y0 a(Unknown Source:27)_x000D_
	at r1 i(Unknown Source:64)_x000D_
	at Y0 onTransact(Unknown Source:28)_x000D_
	at android os Binder execTransactInternal(Binder java:1021)_x000D_
	at android os Binder execTransact(Binder java:994)_x000D_
  2021 09 21T16:47:53 342     2000:  9748:  9748 I LSPosed           Loading modules for com android shell 2000_x000D_
  2021 09 21T16:47:53 421     2000:  9748:  9748 I LSPosed Bridge    Crash unexpectedly: java lang RuntimeException: Unable to start activity ComponentInfo com android shell com android shell BugreportWarningActivity : java lang NullPointerException: Attempt to invoke virtual method  boolean android content Intent hasExtra(java lang String)  on a null object reference_x000D_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java:925)_x000D_
Caused by: java lang NullPointerException: Attempt to invoke virtual method  boolean android content Intent hasExtra(java lang String)  on a null object reference_x000D_
	at com android shell BugreportWarningActivity onCreate(BugreportWarningActivity java:54)_x000D_
	at android app Activity performCreate(Activity java:7824)_x000D_
	at android app Activity performCreate(Activity java:7813)_x000D_
	at android app Instrumentation callActivityOnCreate(Instrumentation java:1307)_x000D_
	at android app ActivityThread performLaunchActivity(ActivityThread java:3245)_x000D_
	    11 more_x000D_
  2021 09 21T16:47:53 421     2000:  9748:  9748 E AndroidRuntime    FATAL EXCEPTION: main_x000D_
Process: com android shell  PID: 9748_x000D_
java lang RuntimeException: Unable to start activity ComponentInfo com android shell com android shell BugreportWarningActivity : java lang NullPointerException: Attempt to invoke virtual method  boolean android content Intent hasExtra(java lang String)  on a null object reference_x000D_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java:925)_x000D_
Caused by: java lang NullPointerException: Attempt to invoke virtual method  boolean android content Intent hasExtra(java lang String)  on a null object reference_x000D_
	at com android shell BugreportWarningActivity onCreate(BugreportWarningActivity java:54)_x000D_
	at android app Activity performCreate(Activity java:7824)_x000D_
	at android app Activity performCreate(Activity java:7813)_x000D_
	at android app Instrumentation callActivityOnCreate(Instrumentation java:1307)_x000D_
	at android app ActivityThread performLaunchActivity(ActivityThread java:3245)_x000D_
	    11 more_x000D_
   </t>
  </si>
  <si>
    <t>PojavLauncherTeam-PojavLauncher-2054</t>
  </si>
  <si>
    <t>Pls fix this</t>
  </si>
  <si>
    <t xml:space="preserve">    Describe the bug
Cannot not run latest iris version  
    The log file and images videos
 No response 
    Steps To Reproduce
   markdown
1 Download iris shader_x000D_
2 Iris Shader crashes 
    Expected Behavior
I expect the installation to work smoothly  
    Platform
   markdown
  Device model: OPPO a31 (2015)_x000D_
  CPU architecture: arm64 v8a armeabi v7a armeabi_x000D_
  Android version: 9_x000D_
  PojavLauncher version: Latest version
    Anything else 
Nope</t>
  </si>
  <si>
    <t>Azizadx-Newsly-22</t>
  </si>
  <si>
    <t xml:space="preserve">Bookmarking From General Category </t>
  </si>
  <si>
    <t xml:space="preserve"> mekedi mkt check why it s crashing when saving from General cat  All the other categories are working fine </t>
  </si>
  <si>
    <t>k9mail-k-9-5683</t>
  </si>
  <si>
    <t>All draft emails in gmail account are encrypted</t>
  </si>
  <si>
    <t xml:space="preserve">  Describe the bug  _x000D_
I have several Gmail and Gapps accounts  Recently I found that all the emails in Draft are shown as   encrypted    and when I click it  the app just crashes _x000D_
_x000D_
  To Reproduce  _x000D_
Steps to reproduce the behavior:_x000D_
1  Open a Gmail account_x000D_
2  Open Draft folder_x000D_
3  Click one of the emails_x000D_
4  App crashes_x000D_
_x000D_
  Expected behavior  _x000D_
Emails should be opened_x000D_
_x000D_
  Environment (please complete the following information):  _x000D_
   K 9 Mail version: 5 806_x000D_
   Android version: 11_x000D_
   Device: OnePlus 8_x000D_
   Account type: IMAP_x000D_
_x000D_
</t>
  </si>
  <si>
    <t>Anuken-Mindustry-6025</t>
  </si>
  <si>
    <t>Modded Message Block text getting limited when print using processor</t>
  </si>
  <si>
    <t xml:space="preserve">  Platform  :  Android iOS Mac Windows Linux _x000D_
Window 10_x000D_
  Build  :  The build number under the title in the main menu  Required   LATEST  IS NOT A VERSION  I NEED THE EXACT BUILD NUMBER OF YOUR GAME  _x000D_
v7 build 131_x000D_
  Issue  :  Explain your issue in detail  _x000D_
_x000D_
_x000D_
https:  user images githubusercontent com 43229798 133944513 9ca96150 a83f 466f 878f 18d3364ef1f8 mp4_x000D_
as you can see  the left message block is writed in by hand_x000D_
and the right one is writed by a processor  it getting limited to the normal message text size_x000D_
  Steps to reproduce  :  How you happened across the issue  and what exactly you did to make the bug happen  _x000D_
1 use a modded message that have more text than a normal message_x000D_
2 use logic print command on the message_x000D_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none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</si>
  <si>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Anuken-Mindustry-6024</t>
  </si>
  <si>
    <t>cant play "naval fortress" sector</t>
  </si>
  <si>
    <t xml:space="preserve">  Platform  :  Android iOS Mac Windows Linux _x000D_
Windows 8 1_x000D_
_x000D_
  Build  :  The build number under the title in the main menu  Required   LATEST  IS NOT A VERSION  I NEED THE EXACT BUILD NUMBER OF YOUR GAME  _x000D_
21903_x000D_
_x000D_
  Issue  :  Explain your issue in detail  _x000D_
i cant play the naval fortress sector beacuse it was created on a sector i had already conquered_x000D_
_x000D_
what can i do to play the intended naval sector _x000D_
_x000D_
  Steps to reproduce  :  How you happened across the issue  and what exactly you did to make the bug happen  _x000D_
today i wanted to conquer some campaign sectors and noticed that there were 2 named sectors i hadn t beaten yet (coastline and then naval fortress) _x000D_
i cleared the first one but when i exited the sector to look at the map it didn t show me where the second sector was_x000D_
so i looked the sector up in the sector list and i realized it spawned on a sector i conquered before v7 (or maybe before those 2 sectors were added)  sector  216 (difficulty: easy   resources: copper lead scrap sand water) _x000D_
then i loaded the sector that naval fortress was supposed to be (not launched to it  just went to it) and it was just like i left it  a few drills  some duos and walls _x000D_
so i destroyed my base using the console with the command  Groups build each(b  b kill())  hoping that by re launching to the sector in question the map would change and i could play on it _x000D_
the sector loss sector popped up as usual and i created a backup save just in case anything weird could happen _x000D_
i launched the sector but the map didnt change  and it certainly didnt look like a extreme threat sector with naval units since there werent even coal  titanium or thorium ores and just a few water pools here and there _x000D_
_x000D_
the sector after i destroyed the base using the console_x000D_
   (https:  cdn discordapp com attachments 477494303061442571 889118797246640129 unknown png)_x000D_
_x000D_
the sector when i re launched to it_x000D_
  image (https:  user images githubusercontent com 85291222 133933311 35ffa9a5 e036 4ba9 82df d6dc3acbb123 png)_x000D_
_x000D_
sector map_x000D_
  image (https:  user images githubusercontent com 85291222 133933325 11be8a4c ab95 4836 9d7e 8aaa60c2a573 png)_x000D_
_x000D_
  Link(s) to mod(s) used  :  The mod repositories or zip files that are related to the issue  if applicable  _x000D_
i dont think mods are related to this issue  but here are the ones i use_x000D_
  image (https:  user images githubusercontent com 85291222 133934037 f5786c01 3043 4b65 838a 9518726c6879 png)_x000D_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my save file is too big (47103 KB) and github doesnt let me upload it so please tell me how can i send it_x000D_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not needed_x000D_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</si>
  <si>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Anuken-Mindustry-6023</t>
  </si>
  <si>
    <t>Items.copper is null</t>
  </si>
  <si>
    <t xml:space="preserve">  Platform  :  Mac _x000D_
_x000D_
  Build  :  126 2 _x000D_
_x000D_
  Issue  :  When my mod being loaded   Items copper (and maybe others) is null _x000D_
_x000D_
  Steps to reproduce  :  Create mod  using   MindustryJavaModTemplate (https:  github com Anuken MindustryJavaModTemplate)_x000D_
_x000D_
  (Crash) logs  :  Mindustry has crashed  How unfortunate _x000D_
Version: release build 126 2_x000D_
OS: Mac OS X x64_x000D_
Java Version: 1 8 0 222_x000D_
Java Architecture: 64_x000D_
2 Mods: mindustry network:0 1  time control:0 2_x000D_
_x000D_
arc util ArcRuntimeException: arc util ArcRuntimeException: Couldn t load dependencies of asset: contentinit_x000D_
	at arc assets AssetManager handleTaskError(AssetManager java:670)_x000D_
	at arc assets AssetManager update(AssetManager java:442)_x000D_
	at arc assets AssetManager update(AssetManager java:465)_x000D_
	at mindustry ClientLauncher update(ClientLauncher java:143)_x000D_
	at arc backend sdl SdlApplication listen(SdlApplication java:160)_x000D_
	at arc backend sdl SdlApplication loop(SdlApplication java:148)_x000D_
	at arc backend sdl SdlApplication  init (SdlApplication java:44)_x000D_
	at mindustry desktop DesktopLauncher main(DesktopLauncher java:36)_x000D_
Caused by: arc util ArcRuntimeException: Couldn t load dependencies of asset: contentinit_x000D_
	at arc assets AssetLoadingTask handleAsyncLoader(AssetLoadingTask java:105)_x000D_
	at arc assets AssetLoadingTask update(AssetLoadingTask java:74)_x000D_
	at arc assets AssetManager updateTask(AssetManager java:591)_x000D_
	at arc assets AssetManager update(AssetManager java:440)_x000D_
	    6 more_x000D_
Caused by: arc util ArcRuntimeException: java lang RuntimeException: java lang NullPointerException_x000D_
	at arc util async AsyncResult get(AsyncResult java:34)_x000D_
	at arc assets AssetLoadingTask handleAsyncLoader(AssetLoadingTask java:103)_x000D_
	    9 more_x000D_
Caused by: java lang RuntimeException: java lang NullPointerException_x000D_
	at mindustry core ContentLoader initialize(ContentLoader java:123)_x000D_
	at mindustry core ContentLoader init(ContentLoader java:100)_x000D_
	at mindustry ClientLauncher lambda setup 5(ClientLauncher java:112)_x000D_
	at arc assets AssetManager 1 loadAsync(AssetManager java:329)_x000D_
	at arc assets AssetLoadingTask call(AssetLoadingTask java:53)_x000D_
	at arc assets AssetLoadingTask call(AssetLoadingTask java:17)_x000D_
	at java util concurrent FutureTask run(FutureTask java:266)_x000D_
	at java util concurrent ThreadPoolExecutor runWorker(ThreadPoolExecutor java:1149)_x000D_
	at java util concurrent ThreadPoolExecutor Worker run(ThreadPoolExecutor java:624)_x000D_
	at java lang Thread run(Thread java:748)_x000D_
Caused by: java lang NullPointerException_x000D_
	at mindustry world Block init(Block java:748)_x000D_
	at mindustry core ContentLoader initialize(ContentLoader java:117)_x000D_
	    9 more_x000D_
 _x000D_
_x000D_
   _x000D_
_x000D_
   X    I have searched the closed and open issues to make sure that this problem has not already been reported   _x000D_
</t>
  </si>
  <si>
    <t>vinzscam-react-native-file-viewer-117</t>
  </si>
  <si>
    <t>java.lang.NullPointerException: Attempt to invoke virtual method 'java.lang.String android.app.Activity.getPackageName()' on a null object reference</t>
  </si>
  <si>
    <t>Hi    _x000D_
      _x000D_
Firstly  thanks for your work on this project   _x000D_
_x000D_
Today I used  patch package (https:  github com ds300 patch package) to patch  react native file viewer 2 1 4  for the project I m working on based on a crash log collected via AppCenter _x000D_
_x000D_
   _x000D_
java lang NullPointerException: Attempt to invoke virtual method  java lang String android app Activity getPackageName()  on a null object reference_x000D_
_x000D_
com vinzscam reactnativefileviewer RNFileViewerModule open RNFileViewerModule java:55_x000D_
java lang reflect Method invoke Method java_x000D_
com facebook react bridge JavaMethodWrapper invoke JavaMethodWrapper java:372_x000D_
com facebook react bridge JavaModuleWrapper invoke JavaModuleWrapper java:151_x000D_
com facebook react bridge queue NativeRunnable run NativeRunnable java_x000D_
android os Handler handleCallback Handler java:883com vinzscam reactnativefileviewer RNFileViewerModule open RNFileViewerModule java:55_x000D_
java lang reflect Method invoke Method java_x000D_
com facebook react bridge JavaMethodWrapper invoke JavaMethodWrapper java:372_x000D_
com facebook react bridge JavaModuleWrapper invoke JavaModuleWrapper java:151_x000D_
com facebook react bridge queue NativeRunnable run NativeRunnable java_x000D_
android os Handler handleCallback Handler java:883_x000D_
   _x000D_
_x000D_
Here is the diff that solved my problem:_x000D_
_x000D_
   diff_x000D_
diff   git a node modules react native file viewer android build  transforms 26621e9c688a9714df136801936f5f38 bin b node modules react native file viewer android build  transforms 26621e9c688a9714df136801936f5f38 bin_x000D_
new file mode 100644_x000D_
index 0000000  5ff383e_x000D_
     dev null_x000D_
    b node modules react native file viewer android build  transforms 26621e9c688a9714df136801936f5f38 bin_x000D_
    0 0  1   _x000D_
 o debug_x000D_
diff   git a node modules react native file viewer android build  transforms 26621e9c688a9714df136801936f5f38 debug com vinzscam reactnativefileviewer BuildConfig dex b node modules react native file viewer android build  transforms 26621e9c688a9714df136801936f5f38 debug com vinzscam reactnativefileviewer BuildConfig dex_x000D_
new file mode 100644_x000D_
index 0000000  cbeabb4_x000D_
Binary files  dev null and b node modules react native file viewer android build  transforms 26621e9c688a9714df136801936f5f38 debug com vinzscam reactnativefileviewer BuildConfig dex differ_x000D_
diff   git a node modules react native file viewer android build  transforms 26621e9c688a9714df136801936f5f38 debug com vinzscam reactnativefileviewer FileProvider dex b node modules react native file viewer android build  transforms 26621e9c688a9714df136801936f5f38 debug com vinzscam reactnativefileviewer FileProvider dex_x000D_
new file mode 100644_x000D_
index 0000000  9d72548_x000D_
Binary files  dev null and b node modules react native file viewer android build  transforms 26621e9c688a9714df136801936f5f38 debug com vinzscam reactnativefileviewer FileProvider dex differ_x000D_
diff   git a node modules react native file viewer android build  transforms 26621e9c688a9714df136801936f5f38 debug com vinzscam reactnativefileviewer RNFileViewerModule 1 dex b node modules react native file viewer android build  transforms 26621e9c688a9714df136801936f5f38 debug com vinzscam reactnativefileviewer RNFileViewerModule 1 dex_x000D_
new file mode 100644_x000D_
index 0000000  0ff1a95_x000D_
Binary files  dev null and b node modules react native file viewer android build  transforms 26621e9c688a9714df136801936f5f38 debug com vinzscam reactnativefileviewer RNFileViewerModule 1 dex differ_x000D_
diff   git a node modules react native file viewer android build  transforms 26621e9c688a9714df136801936f5f38 debug com vinzscam reactnativefileviewer RNFileViewerModule dex b node modules react native file viewer android build  transforms 26621e9c688a9714df136801936f5f38 debug com vinzscam reactnativefileviewer RNFileViewerModule dex_x000D_
new file mode 100644_x000D_
index 0000000  039c738_x000D_
Binary files  dev null and b node modules react native file viewer android build  transforms 26621e9c688a9714df136801936f5f38 debug com vinzscam reactnativefileviewer RNFileViewerModule dex differ_x000D_
diff   git a node modules react native file viewer android build  transforms 26621e9c688a9714df136801936f5f38 debug com vin</t>
  </si>
  <si>
    <t>MuntashirAkon-AppManager-587</t>
  </si>
  <si>
    <t>App Manager initialises forever if DNSCrypt is enabled (via InviZible)</t>
  </si>
  <si>
    <t xml:space="preserve">Hello sir _x000D_
_x000D_
Using App manager version 2 6 3 (392) F Droid_x000D_
 Info hidden for privacy _x000D_
_x000D_
Your App Manager is truly amazing and makes me love   enjoy android again _x000D_
Thank you so much _x000D_
_x000D_
Hopefully it s ok to send you an email _x000D_
The bug problem I am facing on 2 devices is not a crash its a fail to start_x000D_
_x000D_
as soon as I start  InviZible Pro  App (from F Droid)_x000D_
to keep my DNS safe (only DNS crypt) App Manager will stay on Initialising screen _x000D_
and will not go past that  no matter how long you wait   _x000D_
Tried to exclude App Manager and other things without any effect _x000D_
_x000D_
its very weird that it effect App Manager like that  both apps work play well with other apps _x000D_
I will do anything to find a solution  both apps are irreplaceable_x000D_
Really hope and will appreciate if you can look into it  or tell my what I can do try _x000D_
_x000D_
Thank you again _x000D_
_x000D_
Respectfully _x000D_
_x000D_
 Name hidden for privacy </t>
  </si>
  <si>
    <t>LSPosed-LSPosed-1144</t>
  </si>
  <si>
    <t>[Bug] fatal err when hook zygoteSendArgsAndGetResult</t>
  </si>
  <si>
    <t xml:space="preserve">    Steps to reproduce     _x000D_
_x000D_
  ENV    _x000D_
Device: Pixe4_x000D_
ROM: 11 0 0 (RQ3A 210905 001  Sep 2021) (https:  developers google com android images flame)_x000D_
Magisk: 23 0 _x000D_
Riru: v26 1 2 r505 c20529bced_x000D_
Riru LSPosed: v1 5 3(5984 _x000D_
_x000D_
                     _x000D_
  Reproduce  _x000D_
Dev module to hook android os ZygoteProcess zygoteSendArgsAndGetResult _x000D_
   java_x000D_
    public void handleLoadPackage(XC LoadPackage LoadPackageParam loadPackageParam) throws Throwable  _x000D_
        if ( loadPackageParam packageName equals( android )) return _x000D_
_x000D_
        XposedHelpers findAndHookMethod( android os ZygoteProcess   classLoader   zygoteSendArgsAndGetResult    android os ZygoteProcess ZygoteState   int class   java util ArrayList   new XC MethodHook()  _x000D_
             Override_x000D_
            protected void beforeHookedMethod(MethodHookParam param) throws Throwable  _x000D_
                super beforeHookedMethod(param) _x000D_
             _x000D_
             Override_x000D_
            protected void afterHookedMethod(MethodHookParam param) throws Throwable  _x000D_
                Object result   param getResult() _x000D_
             _x000D_
         ) _x000D_
     _x000D_
   _x000D_
_x000D_
_x000D_
_x000D_
_x000D_
_x000D_
    Expected behaviour     _x000D_
_x000D_
nothing happened_x000D_
_x000D_
    Actual behaviour     _x000D_
_x000D_
wait for a while 2min in average)_x000D_
then system server keep crash _x000D_
_x000D_
_x000D_
  Cause Guessing  _x000D_
1  May be attributed to some optimization procedures on R  (art::ProfilingInfo::GetInlineCache)_x000D_
2  And the demo worked well on Android Q Framework SDK 29 _x000D_
_x000D_
_x000D_
    Xposed Module List Xposed     _x000D_
_x000D_
   shell_x000D_
this dev demo only_x000D_
   _x000D_
_x000D_
_x000D_
    Magisk Module List Magisk     _x000D_
_x000D_
   shell_x000D_
MagiskFrida:15 1 1 1_x000D_
MagiskHide Props Config:v6 0 2 v132_x000D_
Riru: v26 1 2 r505 c20529bced_x000D_
Riru LSPosed: v1 5 3(5984 _x000D_
   _x000D_
_x000D_
_x000D_
    LSPosed version LSPosed   _x000D_
_x000D_
v1 5 3(5984 _x000D_
_x000D_
    Android version     _x000D_
_x000D_
11_x000D_
_x000D_
    Magisk version Magisk   _x000D_
_x000D_
23 0_x000D_
_x000D_
    Riru version Riru   _x000D_
_x000D_
v26 1 2 r505 c20529bced_x000D_
_x000D_
    CI Version CI   _x000D_
_x000D_
   X  I am using latest CI version of LSPosed         CI   _x000D_
_x000D_
    Logs   _x000D_
_x000D_
 LSPosed 2021 09 19T13 13 44 451 zip (https:  github com LSPosed LSPosed files 7191100 LSPosed 2021 09 19T13 13 44 451 zip)_x000D_
 LSPosed 2021 09 19T13 38 03 206 zip (https:  github com LSPosed LSPosed files 7191101 LSPosed 2021 09 19T13 38 03 206 zip)_x000D_
</t>
  </si>
  <si>
    <t>PojavLauncherTeam-PojavLauncher-2046</t>
  </si>
  <si>
    <t>[BUG] crash in version minecraft 1.13.2</t>
  </si>
  <si>
    <t xml:space="preserve">    Describe the bug_x000D_
_x000D_
I choose video settings and it crashes_x000D_
_x000D_
    The log file and images videos_x000D_
_x000D_
_x000D_
https:  user images githubusercontent com 90324849 133911803 16b84ffc 7523 4dd1 a722 83f6b26355ae mp4_x000D_
_x000D_
 latestlog txt (https:  github com PojavLauncherTeam PojavLauncher files 7190814 latestlog txt)_x000D_
_x000D_
_x000D_
    Steps To Reproduce_x000D_
_x000D_
   markdown_x000D_
1 start PojavLauncher _x000D_
2 start minecraft 1 13 2_x000D_
3 I choose Java 8 default_x000D_
4 I choose renderer vgpu_x000D_
5 I choose video settings and_x000D_
6 crash :(_x000D_
   _x000D_
_x000D_
_x000D_
    Expected Behavior_x000D_
_x000D_
Please fix :(_x000D_
_x000D_
    Platform_x000D_
_x000D_
   markdown_x000D_
  Device model:Oppo A5 2020_x000D_
  CPU architecture:aarch64_x000D_
  Android version:10_x000D_
  PojavLauncher version: crocus v3 openjdk_x000D_
   _x000D_
_x000D_
_x000D_
    Anything else _x000D_
_x000D_
I just want to play Minecraft version 1 13 2 please:(</t>
  </si>
  <si>
    <t>PojavLauncherTeam-PojavLauncher-2044</t>
  </si>
  <si>
    <t>1.15.2 with OptiFine crash (2 gb ram phone)</t>
  </si>
  <si>
    <t xml:space="preserve">    Describe the bug
This bug is sh t 
    The log file and images videos
 No response 
    Steps To Reproduce
   markdown
1  I cleaned my memory but still crash_x000D_
2  I tried change the ram_x000D_
3  bullsh t
    Expected Behavior
Everything worked fine  until it started to crash
    Platform
   markdown
  Device model: Samsung J7 neo_x000D_
  CPU architecture: 32bits_x000D_
  Android version: 9_x000D_
  PojavLauncher version: latest
    Anything else 
When I play ANY VERSION with OptiFine wow crash </t>
  </si>
  <si>
    <t>TeamNewPipe-NewPipe-7124</t>
  </si>
  <si>
    <t>Switching from pop-up to fullscreen cause videos to play vertical</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</si>
  <si>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Disable system auto rotate while phone is vertical_x000D_
1  Enable minimize on exit  in NewPipe _x000D_
2  Open any landscape video in full screen  _x000D_
3  Exit the app using the home button (or swipe from bottom with gestures)   DO NOT use back button  _x000D_
4  Pop up player opens correctly  _x000D_
5  Press on open in NewPipe button on the pop up player  _x000D_
6  Video opens in vertical full screen_x000D_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Video re opens in vertical full screen _x000D_
_x000D_
_x000D_
    Expected behavior_x000D_
     Tell us what you expect to happen     _x000D_
Video re opens in landscape full screen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No screenshot_x000D_
_x000D_
_x000D_
    Logs_x000D_
     If your bug includes a crash (where you re shown the Error Report page with a bunch of info)  tap on  Copy formatted report  at the bottom and paste it here:    _x000D_
_x000D_
No crash_x000D_
_x000D_
     That s right  here     _x000D_
_x000D_
_x000D_
_x000D_
     Please fill this section if you did not provide a log generated by NewPipe    _x000D_
_x000D_
    Device info_x000D_
_x000D_
   Android version Custom ROM version: ArrowOS Android 11_x000D_
   Device model: Xiaomi Mi9T (Redmi K20)_x000D_
</t>
  </si>
  <si>
    <t>simenheg-simple-chess-clock-19</t>
  </si>
  <si>
    <t>Crashes on split view</t>
  </si>
  <si>
    <t xml:space="preserve">  Steps to produce  _x000D_
1  Click on setting gear icon_x000D_
2   Click on split view (by long click on device recent button from navigation bar)_x000D_
App crashes_x000D_
_x000D_
  Crash logs  _x000D_
_x000D_
   _x000D_
FATAL EXCEPTION: main_x000D_
Process: com chessclock android  PID: 31876_x000D_
java lang RuntimeException: Unable to start activity ComponentInfo com chessclock android com chessclock android Prefs : android content res Resources NotFoundException: Resource ID  0x7f040000_x000D_
	at android app ActivityThread performLaunchActivity(ActivityThread java:2781)_x000D_
	at android app ActivityThread handleLaunchActivity(ActivityThread java:2859)_x000D_
	at android app ActivityThread handleRelaunchActivity(ActivityThread java:4702)_x000D_
	at android app ActivityThread  wrap18(Unknown Source:0)_x000D_
	at android app ActivityThread H handleMessage(ActivityThread java:1598)_x000D_
	at android os Handler dispatchMessage(Handler java:106)_x000D_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Caused by: android content res Resources NotFoundException: Resource ID  0x7f040000_x000D_
	at android content res ResourcesImpl getValue(ResourcesImpl java:215)_x000D_
	at android content res Resources loadXmlResourceParser(Resources java:2134)_x000D_
	at android content res Resources getXml(Resources java:1192)_x000D_
	at android preference GenericInflater inflate(GenericInflater java:262)_x000D_
	at android preference PreferenceManager inflateFromResource(PreferenceManager java:324)_x000D_
	at android preference PreferenceActivity addPreferencesFromResource(PreferenceActivity java:1549)_x000D_
	at com chessclock android Prefs onCreate(Prefs java:62)_x000D_
	at android app Activity performCreate(Activity java:7023)_x000D_
	at android app Activity performCreate(Activity java:7014)_x000D_
	at android app Instrumentation callActivityOnCreate(Instrumentation java:1215)_x000D_
	at android app ActivityThread performLaunchActivity(ActivityThread java:2734)_x000D_
	    10 more_x000D_
   </t>
  </si>
  <si>
    <t>TeamNewPipe-NewPipe-7122</t>
  </si>
  <si>
    <t>Unable to import subscriptions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</si>
  <si>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subscriptions _x000D_
2  Press on  import from previous export _x000D_
3  Choose the import file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When the subscription file is selected the app crashes_x000D_
_x000D_
_x000D_
    Expected behavior_x000D_
     Tell us what you expect to happen     _x000D_
Subscriptions imported successfully_x000D_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US_x000D_
    Content Language:   en US_x000D_
    App Language:   en US_x000D_
    Service:   none_x000D_
    Version:   0 21 9_x000D_
    OS:   Linux Android 11   30_x000D_
 details  summary  b Crash log   b   summary  p _x000D_
_x000D_
   _x000D_
java lang RuntimeException: Unable to start service org schabi newpipe local subscription services SubscriptionsImportService dd8b371 with Intent   cmp org schabi newpipe  local subscription services SubscriptionsImportService (has extras)  : java lang SecurityException: Permission Denial: opening provider com android providers media MediaDocumentsProvider from ProcessRecord 987649a 10501:org schabi newpipe u0a206  (pid 10501  uid 10206) requires that you obtain access using ACTION OPEN DOCUMENT or related APIs_x000D_
	at android app ActivityThread handleServiceArgs(ActivityThread java:4338)_x000D_
	at android app ActivityThread access 1800(ActivityThread java:237)_x000D_
	at android app ActivityThread H handleMessage(ActivityThread java:1951)_x000D_
	at android os Handler dispatchMessage(Handler java:106)_x000D_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Caused by: java lang SecurityException: Permission Denial: opening provider com android providers media MediaDocumentsProvider from ProcessRecord 987649a 10501:org schabi newpipe u0a206  (pid 10501  uid 10206) requires that you obtain access using ACTION OPEN DOCUMENT or related APIs_x000D_
	at android os Parcel createExceptionOrNull(Parcel java:2373)_x000D_
	at android os Parcel createException(Parcel java:2357)_x000D_
	at android os Parcel readException(Parcel java:2340)_x000D_
	at android os Parcel readException(Parcel java:2282)_x000D_
	at android app IActivityManager Stub Proxy getContentProvider(IActivityManager java:5728)_x000D_
	at android app ActivityThread acquireProvider(ActivityThread java:6820)_x000D_
	at android app ContextImpl ApplicationContentResolver acquireUnstableProvider(ContextImpl java:2935)_x000D_
	at android content ContentResolver acquireUnstableProvider(ContentResolver java:2481)_x000D_
	at android content ContentResolver openAssetFileDescriptor(ContentResolver java:1800)_x000D_
	at android content ContentResolver openFileDescriptor(ContentResolver java:1631)_x000D_
	at android content ContentResolver openFileDescriptor(ContentResolver java:1578)_x000D_
	at us shandian giga io FileStreamSAF  init (FileStreamSAF java:32)_x000D_
	at org schabi newpipe streams io StoredFileHelper getStream(StoredFileHelper java:195)_x000D_
	at org schabi newpipe local subscription services SubscriptionsImportService onStartCommand(SubscriptionsImportService java:115)_x000D_
	at android app ActivityThread handleServiceArgs(ActivityThread java:4320)_x000D_
	    8 more_x000D_
_x000D_
   _x000D_
  details _x000D_
 hr _x000D_
_x000D_
     That s right  here     _x000D_
_x000D_
_x000D_
_x000D_
     Please fill this section if you did not provide a log generated by NewPipe    _x000D_
_x000D_
    Device info_x000D_
_x000D_
   Android version Custom ROM version: Calyx OS 2 9 (Android 11)_x000D_
_x000D_
</t>
  </si>
  <si>
    <t>PojavLauncherTeam-PojavLauncher-2042</t>
  </si>
  <si>
    <t>Game crashes if i allocate more than 256mb</t>
  </si>
  <si>
    <t xml:space="preserve">    Describe the bug_x000D_
_x000D_
Whenever i try to load pojav launcher on any version my game crashes if i allocate more ram than 300 mb it took me 2 weeks to fighure out why my game was crashing everytime it was because default is 938 mb this makes mh game lag so much i even tried different JVM agreements but it does not increase fps _x000D_
_x000D_
    The log file and images videos_x000D_
_x000D_
 No response _x000D_
_x000D_
    Steps To Reproduce_x000D_
_x000D_
   markdown_x000D_
I dont really know if its just with my device but on my other phone pojav launcher does not crash with full ram allocated but i would like if this bug gets fixed_x000D_
   _x000D_
_x000D_
_x000D_
    Expected Behavior_x000D_
_x000D_
I expected the game to run minecraft instead of saying game exited_x000D_
_x000D_
    Platform_x000D_
_x000D_
   markdown_x000D_
  Device model: Vivo Y55s_x000D_
  CPU architecture: ARMv7 processor rev4 (v7l)_x000D_
  Android version: 6 0 1_x000D_
  PojavLauncher version: crocus 63 eb24f052e v3 openjdk_x000D_
   _x000D_
_x000D_
_x000D_
    Anything else _x000D_
_x000D_
 No response </t>
  </si>
  <si>
    <t>Tornaco-Thanox-320</t>
  </si>
  <si>
    <t>微信代收插件卡死闪退</t>
  </si>
  <si>
    <t xml:space="preserve">  Describe the bug        _x000D_
              _x000D_
_x000D_
  To Reproduce        _x000D_
              _x000D_
_x000D_
  Expected behavior        _x000D_
_x000D_
  Screenshots      _x000D_
  Screenshot 20210918 093111 (https:  user images githubusercontent com 34101212 133867765 3476a2f9 3214 45e2 a344 a04e6fd52a45 png)_x000D_
  Screenshot 20210918 093115 (https:  user images githubusercontent com 34101212 133867770 f5f4bb89 6555 4bad a576 5d3142b5caf3 png)_x000D_
_x000D_
_x000D_
  Version         :  _x000D_
   OS: Android 9 47 2 A 11 228_x000D_
        2 5 9 2e3e319 pro release row_x000D_
_x000D_
   Logs        _x000D_
java lang RuntimeException: Unable to start activity ComponentInfo github tornaco android thanos pro github tornaco android nitro framework host ContainerActivity : java lang NullPointerException: Attempt to invoke interface method  void util Consumer accept(java lang Object)  on a null object reference_x000D_
	at android app ActivityThread performLaunchActivity(ActivityThread java:2919)_x000D_
	at android app ActivityThread handleLaunchActivity(ActivityThread java:3054)_x000D_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java:1814)_x000D_
	at android os Handler dispatchMessage(Handler java:106)_x000D_
	at com osama firecrasher e run(Unknown Source:87)_x000D_
	at android os Handler handleCallback(Handler java:873)_x000D_
	at android os Handler dispatchMessage(Handler java:99)_x000D_
	at android os Looper loop(Looper java:280)_x000D_
	at android app ActivityThread main(ActivityThread java:6706)_x000D_
	at java lang reflect Method invoke(Native Method)_x000D_
	at com android internal os RuntimeInit MethodAndArgsCaller run(RuntimeInit java:493)_x000D_
	at com android internal os ZygoteInit main(ZygoteInit java:858)_x000D_
Caused by: java lang NullPointerException: Attempt to invoke interface method  void util Consumer accept(java lang Object)  on a null object reference_x000D_
	at github tornaco android thanos core app ThanosManager ifServiceInstalled(Unknown Source:6)_x000D_
	at github tornaco android thanos theme AppThemePreferences getTheme(:36)_x000D_
	at github tornaco android thanos theme ThemeActivity getAppTheme(:43)_x000D_
	at github tornaco android thanos theme ThemeActivity onCreate(:31)_x000D_
	at github tornaco android plugin push message delegate MainActivity onCreate(:18)_x000D_
	at java lang reflect Method invoke(Native Method)_x000D_
	at util ReflectionUtils invokeMethod(Unknown Source:4)_x000D_
	at github tornaco android nitro framework plugin wrapper PluginActivityWrapper onCreate(Unknown Source:26)_x000D_
	at github tornaco android nitro framework plugin PluginActivityInvoker onCreate(Unknown Source:2)_x000D_
	at github tornaco android nitro framework host ContainerActivity onCreate(Unknown Source:72)_x000D_
	at android app Activity performCreate(Activity java:7136)_x000D_
	at android app Activity performCreate(Activity java:7127)_x000D_
	at android app Instrumentation callActivityOnCreate(Instrumentation java:1272)_x000D_
	at android app ActivityThread performLaunchActivity(ActivityThread java:2899)_x000D_
	    14 more</t>
  </si>
  <si>
    <t>GrapheneOS-Auditor-120</t>
  </si>
  <si>
    <t>Auditor crashes when Display Size set to Largest</t>
  </si>
  <si>
    <t>When screen size is set to largest  auditor crashes when the camera is opened for auditoring or auditeeing _x000D_
_x000D_
RQ3A 20210905 001_x000D_
Pixel 3XL</t>
  </si>
  <si>
    <t>nextcloud-android-8986</t>
  </si>
  <si>
    <t xml:space="preserve">             CAUSE OF ERROR             _x000D_
_x000D_
android database CursorIndexOutOfBoundsException: Index  1 requested  with a size of 17794_x000D_
	at android database AbstractCursor checkPosition(AbstractCursor java:514)_x000D_
	at android database AbstractWindowedCursor checkPosition(AbstractWindowedCursor java:138)_x000D_
	at android database AbstractWindowedCursor getLong(AbstractWindowedCursor java:76)_x000D_
	at com owncloud android providers FileContentProvider deleteDirectory(FileContentProvider java:179)_x000D_
	at com owncloud android providers FileContentProvider delete(FileContentProvider java:134)_x000D_
	at com owncloud android providers FileContentProvider delete(FileContentProvider java:114)_x000D_
	at android content ContentProvider delete(ContentProvider java:1798)_x000D_
	at android content ContentProviderOperation applyInternal(ContentProviderOperation java:389)_x000D_
	at android content ContentProviderOperation apply(ContentProviderOperation java:352)_x000D_
	at com owncloud android providers FileContentProvider applyBatch(FileContentProvider java:675)_x000D_
	at android content ContentProvider applyBatch(ContentProvider java:2454)_x000D_
	at android content ContentProvider Transport applyBatch(ContentProvider java:403)_x000D_
	at android content ContentProviderClient applyBatch(ContentProviderClient java:576)_x000D_
	at android content ContentProviderClient applyBatch(ContentProviderClient java:564)_x000D_
	at android content ContentResolver applyBatch(ContentResolver java:2206)_x000D_
	at com owncloud android datamodel FileDataStorageManager saveFolder(FileDataStorageManager java:438)_x000D_
	at com owncloud android operations RefreshFolderOperation synchronizeData(RefreshFolderOperation java:531)_x000D_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java:363)_x000D_
	at java lang Thread run(Thread java:923)_x000D_
_x000D_
             APP INFORMATION             _x000D_
ID: com nextcloud client_x000D_
Version: 30170090_x000D_
Build flavor: generic_x000D_
_x000D_
             DEVICE INFORMATION             _x000D_
Brand: samsung_x000D_
Device: t2s_x000D_
Model: SM G996B_x000D_
Id: RP1A 200720 012_x000D_
Product: t2sxxx_x000D_
_x000D_
             FIRMWARE             _x000D_
SDK: 30_x000D_
Release: 11_x000D_
Incremental: G996BXXS3AUHD_x000D_
_x000D_
_x000D_
    Steps to reproduce_x000D_
1  Not sure may be this one helps_x000D_
2  directory previously named as  P h o t o s  with around   55GB of images files(all jpg format)_x000D_
3  Renamed this directory to  Photos  (Removed spaces) on Nextcloud desktop application _x000D_
4  On Android application however it s still showing as  P h o t o s   and nextcloud android application crashes whenever I try to browse files from that on Mobile Device 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11_x000D_
_x000D_
Device model: Samsung SM G996B_x000D_
_x000D_
Stock or customized system: customized_x000D_
_x000D_
Nextcloud app version: 30170090_x000D_
_x000D_
Nextcloud server version: 21 0 4_x000D_
_x000D_
Reverse proxy: None_x000D_
</t>
  </si>
  <si>
    <t>Marmo-debitum-58</t>
  </si>
  <si>
    <t>Crash after double click on person</t>
  </si>
  <si>
    <t xml:space="preserve">App crashes when double clicking on a person in the People list_x000D_
   _x000D_
Process: org ebur debitum debug  PID: 23709_x000D_
    java lang IllegalArgumentException: Navigation action destination org ebur debitum debug:id action personSumList to transactionList on filter cannot be found from the current destination Destination(org ebur debitum debug:id money dest) label Geld class org ebur debitum ui TransactionListFragment_x000D_
        at androidx navigation NavController navigate(NavController java:940)_x000D_
        at org ebur debitum ui PersonSumListViewHolder onClick(PersonSumListViewHolder java:99)_x000D_
   </t>
  </si>
  <si>
    <t>TeamNewPipe-NewPipe-7119</t>
  </si>
  <si>
    <t>"Play all" fails on a channel that has an upcoming video (i.e. future premiere)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</si>
  <si>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Find a YouTube channel that has any upcoming video (i e  video premiere in the future) _x000D_
2  Open that channel in NewPipe  It will show a list of all videos (the first one will be the unreleased one)  with buttons  Background    Play All  and  Popup  _x000D_
3  Try  Play All  _x000D_
_x000D_
_x000D_
_x000D_
    Actual behavior_x000D_
     Tell us what happens with the steps given above     _x000D_
_x000D_
The  Content unavailable  view shows up  with a button to report the error  I cannot skip this video to the next one  In fact  it is impossible to reach the playlist queue at all from this state _x000D_
_x000D_
_x000D_
    Expected behavior_x000D_
     Tell us what you expect to happen     _x000D_
_x000D_
The video should have been skipped  and the rest of the videos should have been played _x000D_
_x000D_
In fact   Background  and  Popup  do work  They both skip the unavailable video and move to the second from the list  So  a workaround would be to start as a popup  and then move back to full screen  (But this workaround is not possible on devices without popup support  such as Android TV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None needed _x000D_
_x000D_
    Logs_x000D_
     If your bug includes a crash (where you re shown the Error Report page with a bunch of info)  tap on  Copy formatted report  at the bottom and paste it here:    _x000D_
_x000D_
     That s right  here     _x000D_
_x000D_
None needed _x000D_
_x000D_
     Please fill this section if you did not provide a log generated by NewPipe    _x000D_
_x000D_
    Device info_x000D_
_x000D_
   Android version Custom ROM version: 11_x000D_
   Device model: Reproduced both on a tablet and on Android TV  Probably reproducible anywhere _x000D_
</t>
  </si>
  <si>
    <t>Krow10-Lab1-Calc-11</t>
  </si>
  <si>
    <t>App crash on dark theme</t>
  </si>
  <si>
    <t xml:space="preserve">When user switches to dark theme (from system ui)  app crashes on launch </t>
  </si>
  <si>
    <t>hzi-braunschweig-SORMAS-Project-6726</t>
  </si>
  <si>
    <t>[Android App] Adding an immunization for a Contact will crash the app</t>
  </si>
  <si>
    <t xml:space="preserve">_x000D_
    Steps to Reproduce_x000D_
_x000D_
1  Create a new Contact on the mobile app_x000D_
2  Edit the contact and try adding a new immunization _x000D_
_x000D_
    Expected Behavior_x000D_
The user is able to add new immunization for a contact on the android app_x000D_
_x000D_
    Actual Behavior_x000D_
The app crashes and brings the user to the PIN screen_x000D_
_x000D_
_x000D_
    System Details_x000D_
     Mandatory  you only have to specify the Server URL if the error appeared on a publicly available test server    _x000D_
  Device: Oneplus Nord 2_x000D_
  SORMAS version: 1 64 0 snapshoot _x000D_
  Android version Browser:_x000D_
  Server URL: test de sormas netzlink com _x000D_
  User Role: SurvOff_x000D_
_x000D_
    Additional Information_x000D_
     Optional    _x000D_
</t>
  </si>
  <si>
    <t>google-ExoPlayer-9436</t>
  </si>
  <si>
    <t>NPE in 'android.media.session.ISession.getController()'</t>
  </si>
  <si>
    <t xml:space="preserve">_x000D_
I ve noticed this log in my crashlytics:_x000D_
_x000D_
   _x000D_
 Caused by java lang NullPointerException_x000D_
Attempt to invoke interface method  android media session ISessionController android media session ISession getController()  on a null object reference_x000D_
android media session MediaSession  init  (MediaSession java:199)_x000D_
android media session MediaSession  init  (MediaSession java:156)_x000D_
android support v4 media session MediaSessionCompatApi21 createSession (MediaSessionCompatApi21 java:46)_x000D_
android support v4 media session MediaSessionCompat MediaSessionImplApi21  init  (MediaSessionCompat java:3380)_x000D_
android support v4 media session MediaSessionCompat MediaSessionImplApi28  init  (MediaSessionCompat java:3906)_x000D_
android support v4 media session MediaSessionCompat  init  (MediaSessionCompat java:493)_x000D_
android support v4 media session MediaSessionCompat  init  (MediaSessionCompat java:456)_x000D_
android support v4 media session MediaSessionCompat  init  (MediaSessionCompat java:430)_x000D_
com hh exoplayer HHPlayerService CustomPlayerNotificationManager  init  (HHPlayerService java:498)_x000D_
com hh exoplayer HHPlayerService 1  init  (HHPlayerService java:124)_x000D_
com hh exoplayer HHPlayerService createNotification (HHPlayerService java:123)_x000D_
com hh exoplayer HHPlayerService onCreate (HHPlayerService java:111)_x000D_
android app ActivityThread handleCreateService (ActivityThread java:4379)_x000D_
android app ActivityThread access 1900 (ActivityThread java:274)_x000D_
android app ActivityThread H handleMessage (ActivityThread java:2112)_x000D_
android os Handler dispatchMessage (Handler java:106)_x000D_
android os Looper loop (Looper java:233)_x000D_
android app ActivityThread main (ActivityThread java:8010)_x000D_
java lang reflect Method invoke (Method java)_x000D_
com android internal os RuntimeInit MethodAndArgsCaller run (RuntimeInit java:631)_x000D_
com android internal os ZygoteInit main (ZygoteInit java:978) _x000D_
   _x000D_
_x000D_
When trying create Audio notification style within my AudioService (an Android Service which plays audio files) _x000D_
_x000D_
I m building that notification in this way:_x000D_
_x000D_
   _x000D_
            MediaSessionCompat mediaSession   new MediaSessionCompat(context  context getString(R string app name)) _x000D_
            mediaSession setActive(true) _x000D_
            mediaSessionConnector   new MediaSessionConnector(mediaSession) _x000D_
   _x000D_
_x000D_
_x000D_
I m not being able to replicate it because in every test I do I can play audios and notification is visible (and AudioService has been created successfully) _x000D_
_x000D_
What s wrong in my code  What is the right way to prevent this and play audios within a Services in versions above API 21 _x000D_
_x000D_
Thanks in advance _x000D_
_x000D_
_x000D_
  ExoPlayer version number   2 9 6_x000D_
  Android version   11_x000D_
  Android device   50  samsung devices_x000D_
_x000D_
</t>
  </si>
  <si>
    <t>material-components-material-components-android-2376</t>
  </si>
  <si>
    <t>IndexOutOfBoundsException: offset should be less than line limit on TextInputEditText with email input type</t>
  </si>
  <si>
    <t xml:space="preserve">  Description:   Lately  there has been a crash on our Android app  on a Xiaomi Redmi Note 7 device  probably when a TextInputEditText with email input type gains focus  From the stacktrace below  there is no direct relation to our code (even in other threads  stracktraces)  I only know that it happens every time in a fragment in which there is a TextInputEditText with email input type  It might be happening when a TextInputEditText is gaining focus but I have no way of being sure  From our investigation regarding this crash  this may happen on Meizu devices only (M5c  M5s  M5 Note  Note)_x000D_
_x000D_
 img width  737  alt  Screenshot 2021 09 16 at 9 09 23 AM  src  https:  user images githubusercontent com 48999841 133559173 36b61200 974a 4377 b69a e3c0ddc3b83d png  _x000D_
_x000D_
  Android API version:   10_x000D_
_x000D_
  Material Library version:   1 2 0_x000D_
  Device:   Xiaomi Redmi Note 7_x000D_
_x000D_
</t>
  </si>
  <si>
    <t>Anuken-Mindustry-6005</t>
  </si>
  <si>
    <t>I don't know why, I don't know how.</t>
  </si>
  <si>
    <t xml:space="preserve">Template is gone due to the fact that this crash log was sent to me without any information myself  I cannot provide a save file _x000D_
_x000D_
Apparently leaving a SolidPump attribute field as null crashes the game  _x000D_
_x000D_
My best guess is the person placed the block(which is Exotic s Energia Borer) or loaded it in a save that I don t have  and the game crashed _x000D_
_x000D_
If you remove the line above without reading it properly and understanding what it means  I will reap your soul  Even if you re playing on someone s server  you can still save the game to a slot _x000D_
_x000D_
I understand but can t provide one _x000D_
_x000D_
  (Crash) logs  : _x000D_
 unidentified flying crash log (https:  github com Anuken Mindustry files 7173735 crash report 09 16 2021 06 49 09 txt)_x000D_
_x000D_
If you need a save or a solid means of reproduction  notify me and I ll try to reproduce it myself 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t>
  </si>
  <si>
    <t>ankidroid-Anki-Android-9518</t>
  </si>
  <si>
    <t>[Bug] Importing deck with subdeck generated using genanki-js crash the app. Deck imported successfully on desktop</t>
  </si>
  <si>
    <t xml:space="preserve">       Reproduction Steps_x000D_
_x000D_
1  Visit  genanki js demo (https:  infinyte7 github io genanki js demo index html ) page and select  Run example  from menu_x000D_
2  Select any example from  Select test example  menu_x000D_
3  Change deck name to  Test::New  for creating subdeck_x000D_
   js_x000D_
var d   new Deck(1276438724672   Test::New )_x000D_
   _x000D_
4  Click  Run   it generate Anki deck  apkg  _x000D_
5  Import in AnkiDroid _x000D_
_x000D_
The issue created in  genanki js issues (https:  github com infinyte7 genanki js issues 4)_x000D_
_x000D_
       Expected Result_x000D_
It should import deck with deck name  Test  and subdeck  New   The  apkg file imported successfully on Anki desktop _x000D_
_x000D_
_x000D_
_x000D_
       Actual Result_x000D_
The app crashed and deck is not imported successfully  _x000D_
_x000D_
_x000D_
_x000D_
_x000D_
       Debug info_x000D_
Refer to the  support page (https:  ankidroid org docs help html) if you are unsure where to get the  debug info  _x000D_
_x000D_
AnkiDroid   v2 16alpha14_x000D_
Android Version   11_x000D_
Manufacturer   samsung_x000D_
Scheduler   std2_x000D_
Crash Reports Enabled   false_x000D_
DatabaseV2 Enabled   true_x000D_
_x000D_
       Android Studio Logcat _x000D_
 logcat txt (https:  github com ankidroid Anki Android files 7170802 logcat txt)_x000D_
_x000D_
_x000D_
_x000D_
       Research_x000D_
 Enter an  x  character to confirm the points below: 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x   (Optional) I have confirmed the issue is not resolved in the latest alpha release ( instructions (https:  docs ankidroid org manual html betaTesting))</t>
  </si>
  <si>
    <t>TeamNewPipe-NewPipe-7112</t>
  </si>
  <si>
    <t>Resizing mini pop up flashes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</si>
  <si>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Open a mini popup and resize it_x000D_
_x000D_
_x000D_
_x000D_
    Actual behavior_x000D_
     Tell us what happens with the steps given above     _x000D_
_x000D_
The popup resizes normally but it seems to go transparent and back to opaque about a 1000 times per second_x000D_
_x000D_
    Expected behavior the popup resizes normally_x000D_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this might be a device specific issue_x000D_
_x000D_
_x000D_
   Android version Custom ROM version: android 10_x000D_
   Device model: galaxy a51_x000D_
</t>
  </si>
  <si>
    <t>divvun-giellakbd-android-29</t>
  </si>
  <si>
    <t>Sentry crash reports to look into</t>
  </si>
  <si>
    <t xml:space="preserve">The following is some crude statistics gathered from Sentry emails  We should look into at least some of them to fix crashes in our keyboards:_x000D_
_x000D_
       92  DivvunSpellException_x000D_
       63  NullPointerException_x000D_
       50  CursorWindowAllocationException_x000D_
       37  OutOfMemoryError_x000D_
       22  RuntimeException_x000D_
       16  UninitializedPropertyAccessException_x000D_
       15  UnsatisfiedLinkError_x000D_
_x000D_
Sentry reports with less than 10 occurrences have been disregarded _x000D_
_x000D_
Further details from  https:  sentry io organizations divvun issues  project 1335356  (restricted access) </t>
  </si>
  <si>
    <t>TeamNewPipe-NewPipe-7111</t>
  </si>
  <si>
    <t>Youtu</t>
  </si>
  <si>
    <t>PojavLauncherTeam-PojavLauncher-2036</t>
  </si>
  <si>
    <t>Entrar no mundo e crashar</t>
  </si>
  <si>
    <t xml:space="preserve">    Describe the bug
Toda vez que eu entro num mundo meu jogo crasha pfv resolvam esse erro meu celular   Android 11 sansung a01
    The log file and images videos
 No response 
    Steps To Reproduce
   markdown
In cio um mundo e o jogo fecha
    Expected Behavior
Espero que resolvam isso grato:)_x000D_
    Platform
   markdown
  Device model: a01_x000D_
  CPU architecture: octa core_x000D_
  Android version:11 _x000D_
  PojavLauncher version: mais recente
    Anything else 
 No response </t>
  </si>
  <si>
    <t>aws-amplify-aws-sdk-android-2635</t>
  </si>
  <si>
    <t>[s3] java.lang.NullPointerException - TransferNetworkConnectionType.isConnected</t>
  </si>
  <si>
    <t xml:space="preserve">  Describe the bug  _x000D_
Some users are getting this crash:_x000D_
_x000D_
   _x000D_
Fatal Exception: java lang NullPointerException: Attempt to invoke virtual method  boolean com amazonaws mobileconnectors s3 transferutility TransferNetworkConnectionType isConnected(android net ConnectivityManager)  on a null object reference_x000D_
       at com amazonaws mobileconnectors s3 transferutility TransferRecord checkPreferredNetworkAvailability(TransferRecord java:369)_x000D_
       at com amazonaws mobileconnectors s3 transferutility TransferRecord pauseIfRequiredForNetworkInterruption(TransferRecord java:229)_x000D_
       at com amazonaws mobileconnectors s3 transferutility TransferNetworkLossHandler pauseAllTransfersDueToNetworkInterruption(TransferNetworkLossHandler java:216)_x000D_
       at com amazonaws mobileconnectors s3 transferutility TransferNetworkLossHandler access 100(TransferNetworkLossHandler java:37)_x000D_
       at com amazonaws mobileconnectors s3 transferutility TransferNetworkLossHandler 1 run(TransferNetworkLossHandler java:125)_x000D_
       at java lang Thread run(Thread java:776)_x000D_
_x000D_
   _x000D_
It started to happen after I upgraded version 2 26 0 to 2 29 0_x000D_
_x000D_
Crash info:_x000D_
The issue happened in Android 7  Android 10  and Android 11 (I could not reproduce  I m checking the crash reports) _x000D_
Multiple brands  (Samsung  oppo  Huawei)_x000D_
</t>
  </si>
  <si>
    <t>PojavLauncherTeam-PojavLauncher-2033</t>
  </si>
  <si>
    <t xml:space="preserve">    Describe the bug
You can t have fashion when I do fashion  it crashes me 
    The log file and images videos
https:  drive google com file d 1833h3fIdV3dIpnm EqRmeDPEIGF6J QP view usp drivesdk
    Steps To Reproduce
   markdown
I have installed the mod  I turned on the pojav launcher and chose the option and install resources  I chose the file and it kicked me
    Expected Behavior
I expected it to work and everything would turn out well 
    Platform
   markdown
  Device model: oppo a53_x000D_
  CPU architecture: Qualcomm SM4250 O miordzeniowy_x000D_
  Android version: 11_x000D_
  PojavLauncher version: crocus v3 openjdk
    Anything else 
 No response </t>
  </si>
  <si>
    <t>TeamNewPipe-NewPipe-7108</t>
  </si>
  <si>
    <t>Inconsistent state between Notification, Bottom-Bar and current video page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</si>
  <si>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This might just be me being an utter simpleton  but from my perspective the application state can become utterly confusing  I ll attach screenshots to help me demonstrate what I mean _x000D_
_x000D_
 img src  https:  user images githubusercontent com 25936204 133254793 f9fb65ff e4c1 4a1e 904a ea1f8c4b9cf7 png  width  300px  alt  Screenshot 20210914 130215 NewPipe  _x000D_
 img src  https:  user images githubusercontent com 25936204 133254800 4ea7606b 301d 4961 b9ec cb2a5347aacf png  width  300px  alt  Screenshot 20210914 130221 NewPipe  _x000D_
 img src  https:  user images githubusercontent com 25936204 133254814 02a46fab 5cfd 42e7 845f 8e52d537b6db png  width  300px  alt  Screenshot 20210914 130234 NewPipe  _x000D_
_x000D_
As you can see  there is a video playing on the background player  meanwhile the bottom bar shows a different video which I played earlier  and when I tap the bottom bar it opens a COMPLETELY DIFFERENT video  which I had also played earlier  _x000D_
_x000D_
Surely the bottom bar (and as such  the video which opens when you tap the bottom bar) should  always  reflect the currently playing video  _x000D_
_x000D_
Otherwise  the app seems to be split into 3 conflicting states  It just doesn t make sense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Bottom bar  linked bottom bar video and background player can t agree on what video to show  _x000D_
_x000D_
_x000D_
    Expected behavior_x000D_
     Tell us what you expect to happen     _x000D_
Bottom bar  and the video that tapping the bottom bar links to  should always reflect the currently playing video audio pop out_x000D_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LineageOS 18 1_x000D_
   Device model: Poco F1_x000D_
</t>
  </si>
  <si>
    <t>iZettle-sdk-android-39</t>
  </si>
  <si>
    <t>java.lang.IllegalStateException when CardPaymentActivity invokes setRequestedOrientation() in release-1.14.15</t>
  </si>
  <si>
    <t xml:space="preserve">  Expected Behavior_x000D_
_x000D_
No crash_x000D_
_x000D_
  Current Behavior_x000D_
_x000D_
Crash with stack:_x000D_
_x000D_
java lang RuntimeException: _x000D_
  at android app ActivityThread performLaunchActivity (ActivityThread java:3303)_x000D_
  at android app ActivityThread handleLaunchActivity (ActivityThread java:3411)_x000D_
  at android app ActivityThread  wrap12 (Unknown Source)_x000D_
  at android app ActivityThread H handleMessage (ActivityThread java:1994)_x000D_
  at android os Handler dispatchMessage (Handler java:108)_x000D_
  at android os Looper loop (Looper java:166)_x000D_
  at android app ActivityThread main (ActivityThread java:7529)_x000D_
  at java lang reflect Method invoke (Native Method)_x000D_
  at com android internal os Zygote MethodAndArgsCaller run (Zygote java:245)_x000D_
  at com android internal os ZygoteInit main (ZygoteInit java:921)_x000D_
Caused by: java lang IllegalStateException: _x000D_
  at android os Parcel readException (Parcel java:1962)_x000D_
  at android os Parcel readException (Parcel java:1900)_x000D_
  at android app IActivityManager Stub Proxy setRequestedOrientation (IActivityManager java:5704)_x000D_
  at android app Activity setRequestedOrientation (Activity java:6132)_x000D_
  at com izettle payments android ui payment CardPaymentActivity onCreate (CardPaymentActivity java:83)_x000D_
  at android app Activity performCreate (Activity java:7383)_x000D_
  at android app Instrumentation callActivityOnCreate (Instrumentation java:1218)_x000D_
  at android app ActivityThread performLaunchActivity (ActivityThread java:3256)_x000D_
  at android app ActivityThread handleLaunchActivity (ActivityThread java:3411)_x000D_
  at android app ActivityThread  wrap12 (Unknown Source)_x000D_
  at android app ActivityThread H handleMessage (ActivityThread java:1994)_x000D_
  at android os Handler dispatchMessage (Handler java:108)_x000D_
  at android os Looper loop (Looper java:166)_x000D_
  at android app ActivityThread main (ActivityThread java:7529)_x000D_
  at java lang reflect Method invoke (Native Method)_x000D_
  at com android internal os Zygote MethodAndArgsCaller run (Zygote java:245)_x000D_
  at com android internal os ZygoteInit main (ZygoteInit java:921)_x000D_
_x000D_
  Steps to Reproduce_x000D_
_x000D_
We can t reproduce  the crashes come from Google Play Console reports  but suspect it is this issue:_x000D_
_x000D_
https:  stackoverflow com questions 50976174 illegalstateexception on setrequestedorientation 50984372_x000D_
_x000D_
   Context _x000D_
_x000D_
User is running_x000D_
_x000D_
Huawei HUAWEI MediaPad T3 10_x000D_
Android 8 0 (SDK 26)_x000D_
_x000D_
   Failure Logs_x000D_
</t>
  </si>
  <si>
    <t>popcorn-official-popcorn-android-775</t>
  </si>
  <si>
    <t>Bad app, keeps crashing and is lacking in movies</t>
  </si>
  <si>
    <t xml:space="preserve">   Describe the bug_x000D_
The app keeps crashing  also there are a lot of titles that are missing_x000D_
_x000D_
   To Reproduce_x000D_
Steps to reproduce the behavior:_x000D_
1  It s simple  just open the app lmao_x000D_
_x000D_
   Expected behavior_x000D_
At least the app shouldn t crash _x000D_
_x000D_
   Screenshots_x000D_
If applicable  add screenshots to help explain your problem _x000D_
_x000D_
   Smartphone (please complete the following information):_x000D_
   Device: Moto G5S Plus_x000D_
   OS: Android 11_x000D_
   Browser Brave_x000D_
   Version 0 2 12_x000D_
_x000D_
   Additional context_x000D_
Add any other context about the problem here _x000D_
</t>
  </si>
  <si>
    <t>inaturalist-iNaturalistAndroid-1123</t>
  </si>
  <si>
    <t>TransactionTooLargeException in TaxonActivity</t>
  </si>
  <si>
    <t xml:space="preserve">https:  console firebase google com u 1 project inaturalist ios crashlytics app android:org inaturalist android issues 05d8a1ef2af173e06ac1ec85a5f53641_x000D_
_x000D_
Not sure if this is something we can deal with or not _x000D_
_x000D_
   _x000D_
Caused by android os TransactionTooLargeException: data parcel size 1226532 bytes_x000D_
       at android os BinderProxy transactNative(BinderProxy java)_x000D_
       at android os BinderProxy transact(BinderProxy java:605)_x000D_
       at android app IActivityTaskManager Stub Proxy startActivity(IActivityTaskManager java:4272)_x000D_
       at android app Instrumentation execStartActivity(Instrumentation java:1723)_x000D_
       at android app Activity startActivityForResult(Activity java:5377)_x000D_
       at androidx fragment app FragmentActivity startActivityForResult(FragmentActivity java:676)_x000D_
       at android app Activity startActivityForResult(Activity java:5335)_x000D_
       at androidx fragment app FragmentActivity startActivityForResult(FragmentActivity java:663)_x000D_
       at android app Activity startActivity(Activity java:5721)_x000D_
       at android app Activity startActivity(Activity java:5674)_x000D_
       at org inaturalist android TaxonActivity lambda onCreate 0(TaxonActivity java:786)_x000D_
       at org inaturalist android TaxonActivity lambda onCreate 0 TaxonActivity(TaxonActivity java)_x000D_
       at org inaturalist android    Lambda TaxonActivity  G4Zog339MCuuFd9cmgbpHQGnYs onClick(  java:2)_x000D_
   </t>
  </si>
  <si>
    <t>cgeo-cgeo-11658</t>
  </si>
  <si>
    <t>Crash while using live map</t>
  </si>
  <si>
    <t xml:space="preserve">    Describe your problem 
Live map sometimes caches directly  
    How to reproduce 
Does appear irregular from time to time  
    Actual result after these steps 
 No response 
    Expected result after these steps 
 No response 
    Reproducible
Yes
    c:geo Version
Latest nightly (including new vector icons) 
    System information
   text
   System information_x000D_
_x000D_
c:geo version: 2021 09 13 NB1 ecbc5f3_x000D_
_x000D_
Device:_x000D_
       _x000D_
  Device type: SNE LX1 (SNE LX1  HUAWEI)_x000D_
  Available processors: 8_x000D_
  Android version: 10_x000D_
  Android build: SNE LX1 10 0 0 245(C432E10R1P1)_x000D_
  Screen resolution: 1080x2250px (360x750dp)_x000D_
  Sailfish OS detected: false_x000D_
  Google Play services: enabled   21 33 13 (120408 393339024)_x000D_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Settings: v8  Count:189_x000D_
  Set language: de DE (system default)_x000D_
  System date format: dd MM yy_x000D_
  Time zone: GMT 02:00_x000D_
  Debug mode active: no_x000D_
  Last backup: 13  Sept   21:56_x000D_
  Routing mode: Bike_x000D_
  Live map mode: true_x000D_
  OSM multi threading: false   threads: 1_x000D_
  Map: Kombiniert (Offline)_x000D_
    Id: cgeo geocaching maps mapsforge MapsforgeMapProvider OfflineMultiMapSource_x000D_
    Atts: austria map:   Map data (c) OpenStreetMap contributors      Dubai map:   mapsforge map writer 0 9 0      germany map:   Map data (c) OpenStreetMap contributors      nord est map:   Map data (c) OpenStreetMap contributors      world map:   mapsforge map writer dev SNAPSHOT_x000D_
    Theme: none_x000D_
_x000D_
Filters:_x000D_
       _x000D_
  Hide waypoints:  _x000D_
  LIVE: Keine ( :inconclusive false:advanced false )_x000D_
  OFFLINE: Keine ( :inconclusive false:advanced false )_x000D_
_x000D_
Services:_x000D_
       _x000D_
  Geocaching sites enabled:_x000D_
   geocaching com: Not logged in (Anmeldung )_x000D_
   Geocaching com Adventure Lab_x000D_
  Geocaching com date format: dd MM yyyy_x000D_
  Routing: external   BRouter installed: true_x000D_
  Installed c:geo plugins:  none_x000D_
_x000D_
Permissions   paths:_x000D_
       _x000D_
  Fine location permission: granted_x000D_
  Write external storage permission: granted_x000D_
  System internal c:geo dir:  data user 0 cgeo geocaching (1 2 GB free) v2 internal isDir(6 entries)_x000D_
  Legacy User storage c:geo dir:  storage emulated 0 cgeo (1 2 GB free) v2 external non removable isDir(0 entries)_x000D_
  Geocache data:  storage emulated 0 Android data cgeo geocaching files GeocacheData (1 2 GB free) v2 external non removable isDir(310 entries)_x000D_
  Internal theme sync (is turned off):  data user 0 cgeo geocaching MapThemeData (1 2 GB free) v2 internal isDir(0 entries)_x000D_
  Public Folders:  11_x000D_
    BASE:  Locus (User Defined)  Locus DOCUMENT 0:p content:  com android externalstorage documents tree primary 3ALocus::   (Uri: content:  com android externalstorage documents tree primary 3ALocus document primary 3ALocus  Av:true  files:  14  dirs:  29  totalFileSize:  120 7 MB  free space: 1 2 GB  files on device: 12925952)_x000D_
    OFFLINE MAPS:  Locus maps (Default)  Locus maps PERSISTABLE FOLDER(BASE) 1:p content:  com android externalstorage documents tree primary 3ALocus:: maps   (Uri: content:  com android externalstorage documents tree primary 3ALocus document primary 3ALocus 2Fmaps  Av:true  files:15  dirs:1  totalFileSize:3 2 GB  free space: 1 2 GB  files on device: 12925952)_x000D_
    OFFLINE MAP THEMES:  Locus maps  themes (Default)  Locus maps  themes PERSISTABLE FOLDER(OFFLINE MAPS) 1:p content:  com android externalstorage documents tree primary 3ALocus:: maps  themes   (Uri: content:  com android externalstorage documents tree primary 3ALocus document primary 3ALocus 2Fmaps 2F themes  Av:true  files:8  dirs:0  totalFileSize:1 4 MB  free space: 1 2 GB  files on device: 12925952)_x000D_
    LOGFILES:  Locus logfiles (Default)  Locus logfiles PERSISTABLE FOLDER(BASE) 1:p content:  com android externalstorage documents tree primary 3ALocus:: logfiles   (Uri: content:  com android externalstorage documents tree primary 3ALocus document primary 3ALocus 2Flogfiles  Av:true  files:11  dirs:0  totalFileSize:135 2 KB  free space: 1 2 GB  files on device: 12925952)_x000D_
    GPX:  Locus gpx (Default)  Locus gpx PERSISTABLE FOLDER(BASE) 1:p content:  com android externalstorage documents tree primary 3ALocus:: gpx   (Uri: content:  com android externalstorage documents tree primary 3ALocus document primary 3ALocus 2Fgpx  Av:true  files:28  dirs:1  totalFileSize:17 9 MB  free space: 1 2 GB  files on device: 12925952)_x000D_
    BACKUP:  Locus backup (Default)  Locus backup PERSISTABLE FOLDER(BASE) 1:p content:  com android externalstorage documents tree primary 3ALocus:: backup   (Uri: content:  com android externalstorage documents tree primary 3ALocus document primary 3ALocus 2Fbackup  Av:true  files:  13  dirs:  14  totalFileSize:  149 9 MB  free space: 1 2 GB  files on device: 12925952)_x000D_
    FIELD NOTES:  Locus field notes (Default)  Locus field notes PERSISTABLE FOLDER(BASE) 1:p content:  com android externalstorage documents tree primary 3ALocus:: field notes   (Uri: content:  com android externalstorage documents tree primary 3ALocus document primary 3ALocus 2Ffield notes  Av:true  files:1  dirs:0  totalFileSize:0 B  free space: 1 2 GB  files on device: 12925952)_x000D_
    SPOILER IMAGES:  Locus GeocachePhotos (Default)  Locus GeocachePhotos PERSISTABLE FOLDER(BASE) 1:p content:  com android externalstorage documents tree primary 3ALocus:: GeocachePhotos   (Uri: content:  com android externalstorage documents tree primary 3ALocus document primary 3ALocus 2FGeocachePhotos  Av:true  files:0  dirs:0  totalFileSize:0 B  free space: 1 2 GB  files on device: 12925952)_x000D_
    ROUTING BASE:  Locus routing (Default)  Locus routing PERSISTABLE FOLDER(BASE) 1:p content:  com android externalstorage documents tree primary 3ALocus:: routing   (Uri: content:  com android externalstorage documents tree primary 3ALocus document primary 3ALocus 2Frouting  Av:true  files:7  dirs:1  totalFileSize:81 2 KB  free space: 1 2 GB  files on device: 12925952)_x000D_
    ROUTING TILES:  Locus routing segments4 (Default)  Locus routing segments4 PERSISTABLE FOLDER(ROUTING BASE) 1:p content:  com android externalstorage documents tree primary 3ALocus:: routing segments4   (Uri: content:  com android externalstorage documents tree primary 3ALocus document primary 3ALocus 2Frouting 2Fsegments4  Av:true  files:0  dirs:0  totalFileSize:0 B  free space: 1 2 GB  files on device: 12925952)_x000D_
    TEST FOLDER:  Legacy  data user 0 cgeo geocaching files unittest (Default)  data user 0 cgeo geocaching files unittest FILE 1:p file:   data user 0 cgeo geocaching files:: unittest   (Uri: file:   data user 0 cgeo geocaching files unittest  Av:true  files:0  dirs:0  totalFileSize:0 B  free space: 1 2 GB  files on device:  1)_x000D_
  Map render theme path: _x000D_
  PersistedDocumentUris:  1_x000D_
  TRACK: null_x000D_
  Persisted Uri Permissions:  1_x000D_
    content:  com android externalstorage documents tree primary 3ALocus (5  Aug   16:33):RW_x000D_
  Database:  data user 0 cgeo geocaching databases data (v97  Size:37 8 MB) on system internal storage_x000D_
_x000D_
    End of system information    
    Additional Information
   _x000D_
          beginning of crash_x000D_
09 05 16:32:17 216  1566  1566 E AndroidRuntime: FATAL EXCEPTION: main_x000D_
09 05 16:32:17 216  1566  1566 E AndroidRuntime: Process: cgeo geocaching  PID: 1566_x000D_
09 05 16:32:17 216  1566  1566 E AndroidRuntime: java lang IllegalStateException: layer is not assigned_x000D_
09 05 16:32:17 216  1566  1566 E AndroidRuntime: 	at org mapsforge map layer Layer unassign(Layer java:181)_x000D_
09 05 16:32:17 216  1566  1566 E AndroidRuntime: 	at org mapsforge map layer Layers remove(Layers java:424)_x000D_
09 05 16:32:17 216  1566  1566 E AndroidRuntime: 	at org mapsforge map layer Layers remove(Layers java:410)_x000D_
09 05 16:32:17 216  1566  1566 E AndroidRuntime: 	at cgeo geocaching maps mapsforge v6 caches AbstractCachesOverlay removeItems(AbstractCachesOverlay java:354)_x000D_
09 05 16:32:17 216  1566  1566 E AndroidRuntime: 	at cgeo geocaching maps mapsforge v6 caches AbstractCachesOverlay invalidateAll(AbstractCachesOverlay java:109)_x000D_
09 05 16:32:17 216  1566  1566 E AndroidRuntime: 	at cgeo geocaching maps mapsforge v6 caches CachesBundle invalidateAll(CachesBundle java:269)_x000D_
09 05 16:32:17 216  1566  1566 E AndroidRuntime: 	at cgeo geocaching maps mapsforge v6 NewMap checkCompactIconMode(NewMap java:1681)_x000D_
09 05 16:32:17 216  1566  1566 E AndroidRuntime: 	at cgeo geocaching maps mapsforge v6 NewMap onChange(NewMap java:1692)_x000D_
09 05 16:32:17 216  1566  1566 E AndroidRuntime: 	at org mapsforge map model common Observable notifyObservers(Observable java:46)_x000D_
09 05 16:32:17 216  1566  1566 E AndroidRuntime: 	at org mapsforge map model MapViewPosition setScaleFactor(MapViewPosition java:423)_x000D_
09 05 16:32:17 216  1566  1566 E AndroidRuntime: 	at org mapsforge map model MapViewPosition setZoomLevelInternal(MapViewPosition java:563)_x000D_
09 05 16:32:17 216  1566  1566 E AndroidRuntime: 	at org mapsforge map model MapViewPosition moveCenterAndZoom(MapViewPosition java:330)_x000D_
09 05 16:32:17 216  1566  1566 E AndroidRuntime: 	at org mapsforge map model MapViewPosition moveCenter(MapViewPosition java:294)_x000D_
09 05 16:32:17 216  1566  1566 E AndroidRuntime: 	at org mapsforge map android input TouchGestureHandler onScroll(TouchGestureHandler java:251)_x000D_
09 05 16:32:17 216  1566  1566 E AndroidRuntime: 	at android view GestureDetector onTouchEvent(GestureDetector java:726)_x000D_
09 05 16:32:17 216  1566  1566 E AndroidRuntime: 	at org mapsforge map android view MapView onTouchEvent(MapView java:451)_x000D_
09 05 16:32:17 216  1566  1566 E AndroidRuntime: 	at cgeo geocaching maps mapsforge v6 MfMapView onTouchEvent(MfMapView java:140)_x000D_
09 05 16:32:17 216  1566  1566 E AndroidRuntime: 	at android view View dispatchTouchEvent(View java:13503)_x000D_
09 05 16:32:17 216  1566  1566 E AndroidRuntime: 	at android view ViewGroup dispatchTransformedTouchEvent(ViewGroup java:3067)_x000D_
09 05 16:32:17 216  1566  1566 E AndroidRuntime: 	at android view ViewGroup dispatchTouchEvent(ViewGroup java:2752)_x000D_
09 05 16:32:17 216  1566  1566 E AndroidRuntime: 	at android view ViewGroup dispatchTransformedTouchEvent(ViewGroup java:3073)_x000D_
09 05 16:32:17 216  1566  1566 E AndroidRuntime: 	at android view ViewGroup dispatchTouchEvent(ViewGroup java:2766)_x000D_
09 05 16:32:17 216  1566  1566 E AndroidRuntime: 	at android view ViewGroup dispatchTransformedTouchEvent(ViewGroup java:3073)_x000D_
09 05 16:32:17 216  1566  1566 E AndroidRuntime: 	at android view ViewGroup dispatchTouchEvent(ViewGroup java:2766)_x000D_
09 05 16:32:17 216  1566  1566 E AndroidRuntime: 	at android view ViewGroup dispatchTransformedTouchEvent(ViewGroup java:3073)_x000D_
09 05 16:32:17 216  1566  1566 E AndroidRuntime: 	at android view ViewGroup dispatchTouchEvent(ViewGroup java:2766)_x000D_
09 05 16:32:17 216  1566  1566 E AndroidRuntime: 	at android view ViewGroup dispatchTransformedTouchEvent(ViewGroup java:3073)_x000D_
09 05 16:32:17 216  1566  1566 E AndroidRuntime: 	at android view ViewGroup dispatchTouchEvent(ViewGroup java:2766)_x000D_
09 05 16:32:17 216  1566  1566 E AndroidRuntime: 	at android view ViewGroup dispatchTransformedTouchEvent(ViewGroup java:3073)_x000D_
09 05 16:32:17 216  1566  1566 E AndroidRuntime: 	at android view ViewGroup dispatchTouchEvent(ViewGroup java:2766)_x000D_
09 05 16:32:17 216  1566  1566 E AndroidRuntime: 	at android view ViewGroup dispatchTransformedTouchEvent(ViewGroup java:3073)_x000D_
09 05 16:32:17 216  1566  1566 E AndroidRuntime: 	at android view ViewGroup dispatchTouchEvent(ViewGroup java:2766)_x000D_
09 05 16:32:17 216  1566  1566 E AndroidRuntime: 	at android view ViewGroup dispatchTransformedTouchEvent(ViewGroup java:3073)_x000D_
09 05 16:32:17 216  1566  1566 E AndroidRuntime: 	at android view ViewGroup dispatchTouchEvent(ViewGroup java:2766)_x000D_
09 05 16:32:17 216  1566  1566 E AndroidRuntime: 	at com android internal policy DecorView superDispatchTouchEvent(DecorView java:613)_x000D_
09 05 16:32:17 216  1566  1566 E AndroidRuntime: 	at com android internal policy PhoneWindow superDispatchTouchEvent(PhoneWindow java:1933)_x000D_
09 05 16:32:17 216  1566  1566 E AndroidRuntime: 	at android app Activity dispatchTouchEvent(Activity java:4147)_x000D_
09 05 16:32:17 216  1566  1566 E AndroidRuntime: 	at androidx appcompat view WindowCallbackWrapper dispatchTouchEvent(WindowCallbackWrapper java:69)_x000D_
09 05 16:32:17 216  1566  1566 E AndroidRuntime: 	at com android internal policy DecorView dispatchTouchEvent(DecorView java:559)_x000D_
09 05 16:32:17 216  1566  1566 E AndroidRuntime: 	at android view View dispatchPointerEvent(View java:13766)_x000D_
09 05 16:32:17 216  1566  1566 E AndroidRuntime: 	at android view ViewRootImpl ViewPostImeInputStage processPointerEvent(ViewRootImpl java:5821)_x000D_
09 05 16:32:17 216  1566  1566 E AndroidRuntime: 	at android view ViewRootImpl ViewPostImeInputStage onProcess(ViewRootImpl java:5616)_x000D_
09 05 16:32:17 216  1566  1566 E AndroidRuntime: 	at android view ViewRootImpl InputStage deliver(ViewRootImpl java:5060)_x000D_
09 05 16:32:17 216  1566  1566 E AndroidRuntime: 	at android view ViewRootImpl InputStage onDeliverToNext(ViewRootImpl java:5113)_x000D_
09 05 16:32:17 216  1566  1566 E AndroidRuntime: 	at android view ViewRootImpl InputStage forward(ViewRootImpl java:5079)_x000D_
09 05 16:32:17 216  1566  1566 E AndroidRuntime: 	at android view ViewRootImpl AsyncInputStage forward(ViewRootImpl java:5236)_x000D_
09 05 16:32:17 216  1566  1566 E AndroidRuntime: 	at android view ViewRootImpl InputStage apply(ViewRootImpl java:5087)_x000D_
09 05 16:32:17 216  1566  1566 E AndroidRuntime: 	at android view ViewRootImpl AsyncInputStage apply(ViewRootImpl java:5293)_x000D_
09 05 16:32:17 216  1566  1566 E AndroidRuntime: 	at android view ViewRootImpl InputStage deliver(ViewRootImpl java:5060)_x000D_
09 05 16:32:17 216  1566  1566 E AndroidRuntime: 	at android view ViewRootImpl InputStage onDeliverToNext(ViewRootImpl java:5113)_x000D_
09 05 16:32:17 217  1566  1566 E AndroidRuntime: 	at android view ViewRootImpl InputStage forward(ViewRootImpl java:5079)_x000D_
09 05 16:32:17 217  1566  1566 E AndroidRuntime: 	at android view ViewRootImpl InputStage apply(ViewRootImpl java:5087)_x000D_
09 05 16:32:17 217  1566  1566 E AndroidRuntime: 	at android view ViewRootImpl InputStage deliver(ViewRootImpl java:5060)_x000D_
09 05 16:32:17 217  1566  1566 E AndroidRuntime: 	at android view ViewRootImpl deliverInputEvent(ViewRootImpl java:7951)_x000D_
09 05 16:32:17 217  1566  1566 E AndroidRuntime: 	at android view ViewRootImpl doProcessInputEvents(ViewRootImpl java:7902)_x000D_
09 05 16:32:17 217  1566  1566 E AndroidRuntime: 	at android view ViewRootImpl enqueueInputEvent(ViewRootImpl java:7856)_x000D_
09 05 16:32:17 217  1566  1566 E AndroidRuntime: 	at android view ViewRootImpl WindowInputEventReceiver onInputEvent(ViewRootImpl java:8141)_x000D_
09 05 16:32:17 217  1566  1566 E AndroidRuntime: 	at android view InputEventReceiver dispatchInputEvent(InputEventReceiver java:233)_x000D_
09 05 16:32:17 217  1566  1566 E AndroidRuntime: 	at android view InputEventReceiver nativeConsumeBatchedInputEvents(Native Method)_x000D_
09 05 16:32:17 217  1566  1566 E AndroidRuntime: 	at android view InputEventReceiver consumeBatchedInputEvents(InputEventReceiver java:215)_x000D_
09 05 16:32:17 217  1566  1566 E AndroidRuntime: 	at android view ViewRootImpl doConsumeBatchedInput(ViewRootImpl java:8068)_x000D_
09 05 16:32:17 217  1566  1566 E AndroidRuntime: 	at android view ViewRootImpl ConsumeBatchedInputRunnable run(ViewRootImpl java:8184)_x000D_
09 05 16:32:17 217  1566  1566 E AndroidRuntime: 	at android view Choreographer CallbackRecord run(Choreographer java:1057)_x000D_
09 05 16:32:17 217  1566  1566 E AndroidRuntime: 	at android view Choreographer doCallbacks(Choreographer java:875)_x000D_
09 05 16:32:17 217  1566  1566 E AndroidRuntime: 	at android view Choreographer doFrame(Choreographer java:769)_x000D_
09 05 16:32:17 217  1566  1566 E AndroidRuntime: 	at android view Choreographer FrameDisplayEventReceiver run(Choreographer java:1042)_x000D_
09 05 16:32:17 217  1566  1566 E AndroidRuntime: 	at android os Handler handleCallback(Handler java:888)_x000D_
09 05 16:32:17 217  1566  1566 E AndroidRuntime: 	at android os Handler dispatchMessage(Handler java:100)_x000D_
09 05 16:32:17 217  1566  1566 E AndroidRuntime: 	at android os Looper loop(Looper java:213)_x000D_
09 05 16:32:17 217  1566  1566 E AndroidRuntime: 	at android app ActivityThread main(ActivityThread java:8178)_x000D_
09 05 16:32:17 217  1566  1566 E AndroidRuntime: 	at java lang reflect Method invoke(Native Method)_x000D_
09 05 16:32:17 217  1566  1566 E AndroidRuntime: 	at com android internal os RuntimeInit MethodAndArgsCaller run(RuntimeInit java:513)_x000D_
09 05 16:32:17 217  1566  1566 E AndroidRuntime: 	at com android internal os ZygoteInit main(ZygoteInit java:1101)</t>
  </si>
  <si>
    <t>nextcloud-android-8977</t>
  </si>
  <si>
    <t>Nextcloud Android Client crashes when loading folder list on fresh installation</t>
  </si>
  <si>
    <t xml:space="preserve">    Steps to reproduce_x000D_
1  Install Nextcloud Android Client_x000D_
2  Navigate to a folder that has 3 subfolder  each having lots of nested files (some gigabytes of data if it matters) _x000D_
3  Nextcloud client shows the loading indicator _x000D_
4  Crash _x000D_
_x000D_
    Expected behaviour_x000D_
  It should not crash _x000D_
_x000D_
    Actual behaviour_x000D_
  Android client crashed _x000D_
_x000D_
    Can you reproduce this problem on https:  try nextcloud com _x000D_
  No  I cannot _x000D_
_x000D_
    Environment data_x000D_
             APP INFORMATION             _x000D_
ID: com nextcloud client_x000D_
Version: 30170090_x000D_
Build flavor: gplay_x000D_
_x000D_
             DEVICE INFORMATION             _x000D_
Brand: OnePlus_x000D_
Device: OnePlus5_x000D_
Model: ONEPLUS A5000_x000D_
Id: QKQ1 191014 012_x000D_
Product: OnePlus5_x000D_
_x000D_
             FIRMWARE             _x000D_
SDK: 29_x000D_
Release: 10_x000D_
Incremental: 2010292059_x000D_
_x000D_
Nextcloud server version:_x000D_
22 1 1_x000D_
_x000D_
Reverse proxy:_x000D_
I don t know _x000D_
_x000D_
    Logs_x000D_
There are no errors in the server logs _x000D_
_x000D_
     Nextcloud log (data nextcloud log)_x000D_
             CAUSE OF ERROR             _x000D_
_x000D_
android database sqlite SQLiteBlobTooBigException: Row too big to fit into CursorWindow requiredPos 2584  totalRows 508_x000D_
	at android database sqlite SQLiteConnection nativeExecuteForCursorWindow(Native Method)_x000D_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java:342)_x000D_
	at android content ContentProviderOperation apply(ContentProviderOperation java:314)_x000D_
	at com owncloud android providers FileContentProvider applyBatch(FileContentProvider java:675)_x000D_
	at android content ContentProvider applyBatch(ContentProvider java:2179)_x000D_
	at android content ContentProvider Transport applyBatch(ContentProvider java:398)_x000D_
	at android content ContentProviderClient applyBatch(ContentProviderClient java:532)_x000D_
	at android content ContentProviderClient applyBatch(ContentProviderClient java:520)_x000D_
	at android content ContentResolver applyBatch(ContentResolver java:1915)_x000D_
	at com owncloud android datamodel FileDataStorageManager saveFolder(FileDataStorageManager java:438)_x000D_
	at com owncloud android operations RefreshFolderOperation synchronizeData(RefreshFolderOperation java:531)_x000D_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java:363)_x000D_
	at java lang Thread run(Thread java:919)_x000D_
_x000D_
             APP INFORMATION             _x000D_
ID: com nextcloud client_x000D_
Version: 30170090_x000D_
Build flavor: gplay_x000D_
_x000D_
             DEVICE INFORMATION             _x000D_
Brand: OnePlus_x000D_
Device: OnePlus5_x000D_
Model: ONEPLUS A5000_x000D_
Id: QKQ1 191014 012_x000D_
Product: OnePlus5_x000D_
_x000D_
             FIRMWARE             _x000D_
SDK: 29_x000D_
Release: 10_x000D_
Incremental: 2010292059</t>
  </si>
  <si>
    <t>TeamNewPipe-NewPipe-7104</t>
  </si>
  <si>
    <t>Shared videos misbehave when minimized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</si>
  <si>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1  Keep auto rotation off   Show Info  as open action and  Minimize on app switch  as  None  _x000D_
2  Share a landscape video to NewPipe _x000D_
3  Switch to mini player the video on full screen  The app is set on landscape as expected _x000D_
4  Exit the app _x000D_
5  Wait for 10 minutes and keep the app in memory _x000D_
6  Share another video to NewPipe _x000D_
7  Switch to mini player from full screen _x000D_
_x000D_
_x000D_
    Actual behavior_x000D_
     Tell us what happens with the steps given above     _x000D_
_x000D_
App puts the video itself down instead of switching to mini player _x000D_
_x000D_
    Expected behavior_x000D_
     Tell us what you expect to happen     _x000D_
_x000D_
Video should switch to mini player as expected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youtu be T7sNwrC7TwQ_x000D_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MIUI 12 5 1_x000D_
   Device model: Xiaomi Redmi Note 8 Pro_x000D_
</t>
  </si>
  <si>
    <t>k9mail-k-9-5665</t>
  </si>
  <si>
    <t xml:space="preserve">App crashing in Split-Screen (5.900) </t>
  </si>
  <si>
    <t xml:space="preserve">  Describe the bug  _x000D_
K 9 is crashing with activated Split Screen  _x000D_
_x000D_
  To Reproduce  _x000D_
Activate always use Split Screen and K 9 is crashing while starting  Activate Split Screen for landscape and K 9 is crashing if device ist put in landscape mode  _x000D_
_x000D_
  Expected behavior  _x000D_
No crash  _x000D_
_x000D_
_x000D_
   K 9 Mail version: 5 900_x000D_
   Android version: 9 and 10_x000D_
   Device: Huawei Mate 20 Pro  Huawei Tablet_x000D_
</t>
  </si>
  <si>
    <t>PojavLauncherTeam-PojavLauncher-2026</t>
  </si>
  <si>
    <t>CALL OF DUTY MODERN WARFARE MOD crashing on all versions can this be resolved?</t>
  </si>
  <si>
    <t xml:space="preserve">    Describe the bug
Application exited with code  1
    The log file and images videos
_x000D_
https:  user images githubusercontent com 90634767 133114278 f218e3a3 266b 40e6 95eb a1d4c30dcd66 mp4_x000D_
_x000D_
    Steps To Reproduce
   markdown
I don t really know what this area is but I just go into forge 1 8 9 I go into my world and try to use the mod and the launcher crasha (I can t describe this area)
    Expected Behavior
_x000D_
https:  user images githubusercontent com 90634767 133115534 0d2345d2 8166 4b3d a239 1e842d5040b4 mp4_x000D_
_x000D_
(this video is not mine) 
    Platform
   markdown
  Device model: Moto g8 power 64G_x000D_
  CPU architecture: aarch64_x000D_
  Android version: 11_x000D_
  PojavLauncher version: crocus v3 opengjdk
    Anything else 
 No response </t>
  </si>
  <si>
    <t>PojavLauncherTeam-PojavLauncher-2024</t>
  </si>
  <si>
    <t>[BUG] pojavlaucher crash com mais de 300 MB de ram</t>
  </si>
  <si>
    <t xml:space="preserve">    Describe the bug
Pojavlaucher crash quando coloco mais de 300 MB de ram mais meu celular tem 1G liberado_x000D_
_x000D_
Meu celular e 32 bits_x000D_
_x000D_
Espero que resolvam esse bug pfvr 
    The log file and images videos
 No response 
    Steps To Reproduce
   markdown
Entro no pojavlaucher coloco 400 MB de ram (meu celular aguenta) entro na vers o e o pojavlaucher crasha
    Expected Behavior
Espero que eu consiga jogar com mais de 300 MB de ram
    Platform
   markdown
  Device model: _x000D_
  CPU architecture: _x000D_
  Android version: _x000D_
  PojavLauncher version:
    Anything else 
 No response </t>
  </si>
  <si>
    <t>AlphaWallet-alpha-wallet-android-2014</t>
  </si>
  <si>
    <t>App crashes when you hit "Request Payment"</t>
  </si>
  <si>
    <t xml:space="preserve">3 4 (169)_x000D_
_x000D_
When you go to  My Wallet Address  and hit the top right icon for  Request Payment  the app crashes _x000D_
_x000D_
https:  user images githubusercontent com 51817359 133111007 0d5590f3 3b1b 4f95 be21 b00e79724582 mp4_x000D_
_x000D_
_x000D_
</t>
  </si>
  <si>
    <t>yasirkula-UnityNativeShare-126</t>
  </si>
  <si>
    <t>App crashes when sharing on Android 11 Xiaomi devices</t>
  </si>
  <si>
    <t xml:space="preserve">  Description of the bug  _x000D_
_x000D_
My app crashes when sharing on Android 11 Xiaomi devices _x000D_
_x000D_
  Reproduction steps  _x000D_
_x000D_
Attemp to share a screenshot on Android 11 Xiaomi devices _x000D_
_x000D_
  Platform specs  _x000D_
_x000D_
Please provide the following info if this is a Unity 3D repository _x000D_
_x000D_
  Unity version:  2019 4 13f1_x000D_
  Platform: Android 11_x000D_
  Device: Any Xiaomi device running android 11 and MIUI 12 5 4_x000D_
  How did you download the plugin:  Github url in package manager _x000D_
_x000D_
  Additional info  _x000D_
_x000D_
  2021 09 10 15:25:22 149 31234 31257   E CRASH: pid: 31234  tid: 31257  name: UnityMain      com Company Project    _x000D_
  2021 09 10 15:25:22 349 31234 31257   E AndroidRuntime: FATAL EXCEPTION: UnityMain_x000D_
      Process: com Company Project  PID: 31234_x000D_
      java lang Error:                                                                _x000D_
      Version  2019 4 13f1 (518737b1de84)   Build type  Release   Scripting Backend  il2cpp   CPU  arm64 v8a _x000D_
      Build fingerprint:  Xiaomi cepheus eea cepheus:11 RKQ1 200826 002 V12 5 1 0 RFAEUXM:user release keys _x000D_
      Revision:  0 _x000D_
      ABI:  arm64 _x000D_
      Timestamp: 2021 09 10 15:25:22 0200_x000D_
      pid: 31234  tid: 31257  name: UnityMain      com Company Project    _x000D_
      uid: 10049_x000D_
      signal 11 (SIGSEGV)  code 2 (SEGV ACCERR)  fault addr 0x75c9186f60_x000D_
          x0  00000075c8f86f20  x1  b4000075346aa890  x2  0000000000000003  x3  0000000000000000_x000D_
          x4  0000000000000000  x5  b40000752665d1b0  x6  ff646464ff717171  x7  ff515151ff585858_x000D_
          x8  00000075c9186f20  x9  0000000000000018  x10 0000000000003238  x11 ff9aa1a1ff8f9292_x000D_
          x12 ff646464ff717171  x13 ff515151ff585858  x14 0000000000000000  x15 0000000000000000_x000D_
          x16 00000075c8f67640  x17 00000076b427aaa4  x18 00000075c817b830  x19 00000075c8f93240_x000D_
          x20 b4000075346aa890  x21 0000000000000003  x22 0000000000000003  x23 00000075c8f845c6_x000D_
          x24 0000000000000018  x25 0000000000003234  x26 0000000000003238  x27 ffffff6100000000_x000D_
          x28 0000000000002a10  x29 00000075c817b5d0_x000D_
          sp  00000075c817b3a0  lr  00000075c833a234  pc  00000075c8333764   _x000D_
      backtrace:_x000D_
             00 pc 00000000001b2764   data app   guKAiLgnUVc9sMICGVqzkQ   com Company Project X3BhZe3hDCEYlPRTy nbdQ   lib arm64 libunity so (BuildId: c8ec8bb0b22b18bea80c91c45c0162f4ddc31122)_x000D_
             01 pc 00000000001b9230   data app   guKAiLgnUVc9sMICGVqzkQ   com Company Project X3BhZe3hDCEYlPRTy nbdQ   lib arm64 libunity so (BuildId: c8ec8bb0b22b18bea80c91c45c0162f4ddc31122)_x000D_
             02 pc 00000000001b8f8c   data app   guKAiLgnUVc9sMICGVqzkQ   com Company Project X3BhZe3hDCEYlPRTy nbdQ   lib arm64 libunity so (BuildId: c8ec8bb0b22b18bea80c91c45c0162f4ddc31122)_x000D_
             03 pc 00000000001b1e38   data app   guKAiLgnUVc9sMICGVqzkQ   com Company Project X3BhZe3hDCEYlPRTy nbdQ   lib arm64 libunity so (BuildId: c8ec8bb0b22b18bea80c91c45c0162f4ddc31122)_x000D_
             04 pc 00000000001b1df4   data app   guKAiLgnUVc9sMICGVqzkQ   com Company Project X3BhZe3hDCEYlPRTy nbdQ   lib arm64 libunity so (BuildId: c8ec8bb0b22b18bea80c91c45c0162f4ddc31122)_x000D_
             05 pc 00000000000c996c   data app   guKAiLgnUVc9sMICGVqzkQ   com Company Project X3BhZe3hDCEYlPRTy nbdQ   lib arm64 libunity so (BuildId: c8ec8bb0b22b18bea80c91c45c0162f4ddc31122)_x000D_
             06 pc 00000000003a23ac   data app   guKAiLgnUVc9sMICGVqzkQ   com Company Project X3BhZe3hDCEYlPRTy nbdQ   lib arm64 libunity so (BuildId: c8ec8bb0b22b18bea80c91c45c0162f4ddc31122)_x000D_
             07 pc 00000000001f4f64   data app   guKAiLgnUVc9sMICGVqzkQ   com Company Project X3BhZe3hDCEYlPRTy nbdQ   lib arm64 libunity so (BuildId: c8ec8bb0b22b18bea80c91c45c0162f4ddc31122)_x000D_
             08 pc 00000000001db680   data app   guKAiLgnUVc9sMICGVqzkQ   com Company Project X3BhZe3hDCEYlPRTy nbdQ   lib arm64 libunity so (BuildId: c8ec8bb0b22b18bea80c91c45c0162f4ddc31122)_x000D_
             09 pc 0000000000369b28   data app   guKAiLgnUVc9sMICGVqzkQ   com Company Project X3BhZe3hDCEYlPRTy nbdQ   lib arm64 libunity so (BuildId: c8ec8bb0b22b18bea80c91c45c0162f4ddc31122)_x000D_
             10 pc 0000000000688884   data app   guKAiLgnUVc9sMICGVqzkQ   com Company Project X3BhZe3hDCEYlPRTy nbdQ   lib arm64 libil2cpp so (BuildId: 1552134081f4b9b3b4c8f97338bacc27d285bbe9)_x000D_
             11 pc 00000000004412dc   data app   guKAiLgnUVc9sMICGVqzkQ   com Company Project X3BhZe3hDCEYlPRTy nbdQ   lib arm64 libil2cpp so (BuildId: 1552134081f4b9b3b4c8f97338bacc27d285bbe9)_x000D_
             12 pc 00000000006857c0   data app   guKAiLgnUVc9sMICGVqzkQ   com Company Project X3BhZe3hDCEYlPRTy nbdQ   lib arm64 libil2cpp so (BuildId: 1552134081f4b9b3b4c8f97338bacc27d285bbe9)_x000D_
             13 pc 000000000030bd9c   data app   guKAiLgnUVc9sMICGVqzkQ   com Company Project X3BhZe3hDCEYlPRTy nbdQ   lib arm64 libil2cpp so (BuildId: 1552134081f4b9b3b4c8f97338bacc27d285bbe9)_x000D_
  2021 09 10 15:25:22 359 1788 5354   W ActivityTaskManager:   Force finishing activity com Company Project com unity3d player UnityPlayerActivity_x000D_
  2021 09 10 15:25:22 633 1788 3226   I WindowManager: WIN DEATH: Window 9df2320 mode 0 rootTaskId 616 u0 com Company Project com unity3d player UnityPlayerActivity _x000D_
_x000D_
</t>
  </si>
  <si>
    <t>amplitude-Amplitude-Android-299</t>
  </si>
  <si>
    <t>EventExplorerInfoActivity crash</t>
  </si>
  <si>
    <t xml:space="preserve">      Please fill out the template to the best of your ability    _x000D_
_x000D_
   Expected Behavior_x000D_
Open EventExplorerInfoActivity_x000D_
_x000D_
   Current Behavior_x000D_
There is a crash when i click in the  Bubble  to open EventExplorerInfoActivity_x000D_
_x000D_
_x000D_
   Possible Solution_x000D_
seems that the EventExplorerInfoActivity java is not added in the manifest  from amplitud i manually added to my project but this should be in the amplitude manifest_x000D_
_x000D_
   _x000D_
 activity_x000D_
            android:name  com amplitude eventexplorer EventExplorerInfoActivity _x000D_
            android:exported  true _x000D_
            android:screenOrientation  portrait _x000D_
              _x000D_
   _x000D_
_x000D_
   Steps to Reproduce_x000D_
_x000D_
1  install sdk_x000D_
2  use  client showEventExplorer(activity) _x000D_
3  click in the bubble_x000D_
4 proof_x000D_
_x000D_
   Environment_x000D_
  SDK Version: 2 32 1_x000D_
  Android API Level: android 12 RC_x000D_
  Device: Pixel 3XL_x000D_
</t>
  </si>
  <si>
    <t>Krow10-Lab1-Calc-7</t>
  </si>
  <si>
    <t>App crash when entering invalid input</t>
  </si>
  <si>
    <t xml:space="preserve">   Device : Samsung Galaxy S20 FE   Android 11 0_x000D_
     Steps :_x000D_
  Enter input so as to show the result in scientific notation (with the  e ) _x000D_
  Tap the     button _x000D_
_x000D_
     Expected result :_x000D_
Result moves as new input _x000D_
     Actual result :_x000D_
App crashes </t>
  </si>
  <si>
    <t>MuntashirAkon-AppManager-577</t>
  </si>
  <si>
    <t>Crashed while force stopping Gardine app, while on split view</t>
  </si>
  <si>
    <t xml:space="preserve">   x  I know what my device  OS and App Manager versions are_x000D_
   x  I know how to take logs_x000D_
   x  I know how to reproduce the issue which may not be specific to my device_x000D_
_x000D_
  Describe the bug  _x000D_
Crashed while force stopping  Gardine (https:  github com yauhen l gardine) app from AM  Gardine is an Accessibility app (plus Display over other apps)  probably something related to that  IDK_x000D_
It crashes every time (if I reproduce the same behaviour)  not just one time crash _x000D_
_x000D_
  To Reproduce  _x000D_
1  while on Gardine app home screen click on the device split view_x000D_
2  open AM on another split part  go to Gardine app   try to force stop it_x000D_
AM crashed_x000D_
_x000D_
  Expected behavior  _x000D_
It should stop Gardine app as usual   it does stopped Gardine but AM crashed at the same time   _x000D_
_x000D_
  Crash logs  _x000D_
_x000D_
   _x000D_
java util concurrent RejectedExecutionException: Task java util concurrent FutureTask e507dd1 rejected from java util concurrent ThreadPoolExecutor f417036 Terminated  pool size   0  active threads   0  queued tasks   0  completed tasks   3 _x000D_
    at java util concurrent ThreadPoolExecutor AbortPolicy rejectedExecution(ThreadPoolExecutor java:2078)_x000D_
    at java util concurrent ThreadPoolExecutor reject(ThreadPoolExecutor java:843)_x000D_
    at java util concurrent ThreadPoolExecutor execute(ThreadPoolExecutor java:1389)_x000D_
    at java util concurrent AbstractExecutorService submit(AbstractExecutorService java:118)_x000D_
    at io github muntashirakon AppManager details info AppInfoFragment refreshDetails(AppInfoFragment java:575)_x000D_
    at io github muntashirakon AppManager details info AppInfoFragment lambda gqktss2mpyH8q1NFsSnxCt8CtB4(Unknown Source:0)_x000D_
    at io github muntashirakon AppManager details info    Lambda AppInfoFragment gqktss2mpyH8q1NFsSnxCt8CtB4 run(Unknown Source:2)_x000D_
    at android os Handler handleCallback(Handler java:790)_x000D_
    at android os Handler dispatchMessage(Handler java:99)_x000D_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_x000D_
_x000D_
  Device info  _x000D_
App version: 2 6 3_x000D_
App version code: 392_x000D_
Android build version: 8704X S001025 190606 ROW_x000D_
Android release version: 8 1 0_x000D_
Android SDK version: 27_x000D_
Android build ID: TB 8704X S001025 190606 ROW_x000D_
Device brand: Lenovo_x000D_
Device manufacturer: LENOVO_x000D_
Device name: TB 8704X_x000D_
Device model: Lenovo TB 8704X_x000D_
Device product name: TB 8704X_x000D_
Device hardware name: qcom_x000D_
ABIs:  arm64 v8a  armeabi v7a  armeabi _x000D_
ABIs (32bit):  armeabi v7a  armeabi _x000D_
ABIs (64bit):  arm64 v8a _x000D_
System language: en IN_x000D_
In App Language: auto_x000D_
Mode: auto</t>
  </si>
  <si>
    <t>material-components-material-components-android-2370</t>
  </si>
  <si>
    <t>[TextView &amp; AppBarLayout (maybe more)] Material3 crash with light theme</t>
  </si>
  <si>
    <t xml:space="preserve">  Description:   _x000D_
Using a theme with  Theme Material3 DayNight NoActionBar  as parent  my app crashes when running a light theme  The dark theme works fine  Here are parts of the stack trace regarding the AppBarLayout:_x000D_
   _x000D_
    java lang RuntimeException: Unable to start activity ComponentInfo nl jolanrensen widgetscreensaver nl jolanrensen widgetscreensaver SettingsActivity : android view InflateException: Binary XML file line  16 in nl jolanrensen widgetscreensaver:layout activity settings: Binary XML file line  16 in nl jolanrensen widgetscreensaver:layout activity settings: Error inflating class com google android material appbar AppBarLayout_x000D_
   _x000D_
Caused by: android view InflateException: Binary XML file line  16 in nl jolanrensen widgetscreensaver:layout activity settings: Binary XML file line  16 in nl jolanrensen widgetscreensaver:layout activity settings: Error inflating class com google android material appbar AppBarLayout_x000D_
     Caused by: android view InflateException: Binary XML file line  16 in nl jolanrensen widgetscreensaver:layout activity settings: Error inflating class com google android material appbar AppBarLayout_x000D_
     Caused by: java lang reflect InvocationTargetException_x000D_
   _x000D_
E AndroidRuntime:     at com android internal os ZygoteInit main(ZygoteInit java:1003)_x000D_
     Caused by: java lang UnsupportedOperationException: Failed to resolve attribute at index 13: TypedValue t 0x2 d 0x7f0300f1 a 10 _x000D_
        at android content res TypedArray getDrawableForDensity(TypedArray java:998)_x000D_
        at android content res TypedArray getDrawable(TypedArray java:982)_x000D_
        at android view View  init (View java:5520)_x000D_
        at android view ViewGroup  init (ViewGroup java:702)_x000D_
        at android widget LinearLayout  init (LinearLayout java:254)_x000D_
        at android widget LinearLayout  init (LinearLayout java:250)_x000D_
        at com google android material appbar AppBarLayout  init (AppBarLayout java:215)_x000D_
        at com google android material appbar AppBarLayout  init (AppBarLayout java:211)_x000D_
   _x000D_
_x000D_
If I take out the AppBarLayout from the project  the app simply crashes on the next TextView:_x000D_
   _x000D_
    java lang RuntimeException: Unable to start activity ComponentInfo nl jolanrensen widgetscreensaver nl jolanrensen widgetscreensaver SettingsActivity : android view InflateException: Binary XML file line  65 in nl jolanrensen widgetscreensaver:layout activity settings: Binary XML file line  38 in nl jolanrensen widgetscreensaver:layout content settings: Error inflating class TextView_x000D_
   _x000D_
 Caused by: android view InflateException: Binary XML file line  65 in nl jolanrensen widgetscreensaver:layout activity settings: Binary XML file line  38 in nl jolanrensen widgetscreensaver:layout content settings: Error inflating class TextView_x000D_
     Caused by: android view InflateException: Binary XML file line  38 in nl jolanrensen widgetscreensaver:layout content settings: Error inflating class TextView_x000D_
     Caused by: java lang UnsupportedOperationException: Failed to resolve attribute at index 6: TypedValue t 0x2 d 0x101009b a 1 _x000D_
        at android content res TypedArray getColorStateList(TypedArray java:598)_x000D_
        at android widget TextView readTextAppearance(TextView java:4062)_x000D_
        at android widget TextView  init (TextView java:1088)_x000D_
        at android widget TextView  init (TextView java:1026)_x000D_
        at androidx appcompat widget AppCompatTextView  init (AppCompatTextView java:108)_x000D_
        at com google android material textview MaterialTextView  init (MaterialTextView java:93)_x000D_
        at com google android material textview MaterialTextView  init (MaterialTextView java:88)_x000D_
        at com google android material textview MaterialTextView  init (MaterialTextView java:83)_x000D_
        at com google android material theme MaterialComponentsViewInflater createTextView(MaterialComponentsViewInflater java:61)_x000D_
        at androidx appcompat app AppCompatViewInflater createView(AppCompatViewInflater java:121)_x000D_
        at androidx appcompat app AppCompatDelegateImpl createView(AppCompatDelegateImpl java:1570)_x000D_
        at androidx appcompat app AppCompatDelegateImpl onCreateView(AppCompatDelegateImpl java:1621)_x000D_
        at android view LayoutInflater tryCreateView(LayoutInflater java:1065)_x000D_
        at android view LayoutInflater createViewFromTag(LayoutInflater java:1001)_x000D_
        at android view LayoutInflater createViewFromTag(LayoutInflater java:965)_x000D_
        at android view LayoutInflater rInflate(LayoutInflater java:1127)_x000D_
        at android view LayoutInflater rInflateChildren(LayoutInflater java:1088)_x000D_
        at android view LayoutInflater rInflate(LayoutInflater java:1130)_x000D_
        at android view LayoutInflater rInflateChildren(LayoutInflater java:1088)_x000D_
        at android view LayoutInflater parseInclude(LayoutInflater java:1267)_x000D_
        at android view LayoutInflater rInflate(LayoutInflater java:1123)_x000D_
        at android view LayoutInflater rInflateChildren(LayoutInflater java:1088)_x000D_
        at android view LayoutInflater rInflate(LayoutInflater java:1130)_x000D_
        at android view LayoutInflater rInflateChildren(LayoutInflater java:1088)_x000D_
        at android view LayoutInflater rInflate(LayoutInflater java:1130)_x000D_
        at android view LayoutInflater rInflateChildren(LayoutInflater java:1088)_x000D_
        at android view LayoutInflater inflate(LayoutInflater java:686)_x000D_
   _x000D_
_x000D_
It looks like there is an attribute somewhere  that only exists in the light theme  which both TextView and AppBarLayout use  that can t be read or found somehow _x000D_
_x000D_
  Expected behavior:  _x000D_
There shouldn t be a crash _x000D_
_x000D_
  Source code:   _x000D_
My app does use ViewBinding if that could be the cause of the issue  Other than that I use a simple AppBarLayout:_x000D_
   xml_x000D_
 com google android material appbar AppBarLayout_x000D_
    android:id    id appbar _x000D_
    android:layout width  match parent _x000D_
    android:layout height  wrap content _x000D_
    app:layout constraintEnd toEndOf  parent _x000D_
    app:layout constraintStart toStartOf  parent _x000D_
    app:layout constraintTop toTopOf  parent  _x000D_
_x000D_
     com google android material appbar MaterialToolbar_x000D_
        android:id    id toolbar _x000D_
        android:layout width  match parent _x000D_
        android:layout height   attr actionBarSize _x000D_
        android:transitionName  toolbar  _x000D_
_x000D_
         include_x000D_
            android:id    id activity settings toolbar content _x000D_
            layout   layout activity settings toolbar content    _x000D_
_x000D_
      com google android material appbar MaterialToolbar _x000D_
  com google android material appbar AppBarLayout _x000D_
   _x000D_
and TextView:_x000D_
   xml_x000D_
 TextView_x000D_
    android:id    id orientation text _x000D_
    android:layout width  0dp _x000D_
    android:layout height  wrap content _x000D_
    android:text   string orientation _x000D_
    android:textAppearance   style TextAppearance AppCompat Body1 _x000D_
    android:textColor   attr colorOnSurface _x000D_
    android:textSize  14sp _x000D_
    app:layout constraintBottom toBottomOf  parent _x000D_
    app:layout constraintEnd toStartOf   id guideline5 _x000D_
    app:layout constraintStart toStartOf  parent _x000D_
    app:layout constraintTop toTopOf  parent    _x000D_
   _x000D_
_x000D_
My main theme is based on MaterialThemeBuilder  with the parent theme being replaced with  Theme Material3 DayNight NoActionBar _x000D_
_x000D_
  Android API version:   31_x000D_
_x000D_
  Material Library version:   1 5 0 alpha03_x000D_
_x000D_
  Device:   Pixel 4XL: Android 12 beta 5_x000D_
</t>
  </si>
  <si>
    <t>PojavLauncherTeam-PojavLauncher-2020</t>
  </si>
  <si>
    <t xml:space="preserve">[BUG] with Vics modern warfare mod </t>
  </si>
  <si>
    <t xml:space="preserve">    Describe the bug
Loading into mojang screen then it crashes 
    The log file and images videos
 No response 
    Steps To Reproduce
   markdown
1 start PojavLauncher_x000D_
2 loading into the mojang screen then it crashes
    Expected Behavior
I expect it wouldn t crash
    Platform
   markdown
  Device model:Huawei Matepad T8 _x000D_
  CPU architecture: aarch 32_x000D_
  Android version: 10_x000D_
  PojavLauncher version: latest vgpu tests
    Anything else 
 No response </t>
  </si>
  <si>
    <t>george2209-PlanesAndShips-8</t>
  </si>
  <si>
    <t>Load the OBJ files inside the OpenGL Context.</t>
  </si>
  <si>
    <t xml:space="preserve">Description:_x000D_
  the issue is that the OBJ canvans are created outside the OpenGL context _x000D_
  We need to implement a loader that still runs in the background however once the thread is done it will trigger the creating of the OpenGL context _x000D_
_x000D_
Test scenario:_x000D_
1  Load an OBJ file and look for:_x000D_
  succesful loading_x000D_
  Draw method running_x000D_
  No App crash because of OBJs loaded outside the context _x000D_
_x000D_
Definition of DONE:_x000D_
1  All OBJs are succesfuly loaded_x000D_
2  The OBJs are initialized inside the OpenGL context life span </t>
  </si>
  <si>
    <t>TeamNewPipe-NewPipe-7092</t>
  </si>
  <si>
    <t>Maximize into and after popup bug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</si>
  <si>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video  play video_x000D_
2  Press on maximize and watch in landscape_x000D_
3  Go to homescreen  I have auto popup turned on so it will switch to popup  _x000D_
4  Use maximize button in popup to try and go back to fullscreen landscape  _x000D_
5  result: video opens in fullscreen portrait mode and when exiting newpipe has expanded itself over my status bar and navigation bar  _x000D_
6  EDIT: I found out that it has to do with the screen rotation orientation  If you go back from the popup to the app it still plays in a weird fullscreen portrait mode but tilting your phone while having auto rotation on gets it back to normal landscape fullscreen  If you exit the video from that state the bug doesnt happen  It could be fixed by forcing fullscreen mode to use landscape mode after maximizing from a popup in the same way its forced when maximizing from the video in the app when you start to watch_x000D_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Video opens in portrait fullscreen  This can be  fixed  by turning phone to landscape  Can only close video which results in the newpipe app being expanded over my statusbar and navigation button bar  In this state I can open other videos but the maximize button doesnt work anymore  _x000D_
_x000D_
_x000D_
_x000D_
    Expected behavior_x000D_
Id expect it to not have these issues and switch between modes without issues  Tried to record this but screen recording strangely enough doesnt capture landscape fullscreen and portrait fullscreen correctly_x000D_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onui core 3 1_x000D_
   Device model: samsung m51_x000D_
</t>
  </si>
  <si>
    <t>capacitor-community-google-maps-98</t>
  </si>
  <si>
    <t>Android SetCamera Crash</t>
  </si>
  <si>
    <t xml:space="preserve">  Describe the bug  _x000D_
The android app crash after calling setCamera_x000D_
</t>
  </si>
  <si>
    <t>TeamNewPipe-NewPipe-legacy-82</t>
  </si>
  <si>
    <t xml:space="preserve"> 	at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</si>
  <si>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model:9_x000D_
</t>
  </si>
  <si>
    <t>TeamNewPipe-NewPipe-7089</t>
  </si>
  <si>
    <t>Keyboard not popping up whe pressing search sometimes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</si>
  <si>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Press on the search button_x000D_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 _x000D_
sometimes when i go to search for something on newpipe when pressing the search icon the keyboard doesnt appear as expected im forced to click on the x icon and press search again for it to work_x000D_
     Tell us what happens with the steps given above     _x000D_
_x000D_
_x000D_
_x000D_
    Expected behavior _x000D_
keyboard appears reliably_x000D_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version:_x000D_
   Device model: im using stock android 10 on a galaxy a51_x000D_
   i have simple keyboard installed which works normally in other apps _x000D_
</t>
  </si>
  <si>
    <t>TeamNewPipe-NewPipe-7087</t>
  </si>
  <si>
    <t>Potential performance problem with MediaSessionManager#get/setMetadata</t>
  </si>
  <si>
    <t xml:space="preserve">    Checklist_x000D_
   x  I am using the latest version   0 21 9   develop_x000D_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Run the app   play a video (in the background) _x000D_
_x000D_
What I did:_x000D_
Opened a video and ran it in the background _x000D_
_x000D_
    Details_x000D_
NewPipe performs a progress update when the player is active every 500ms 1s (was increased to 1s in  7071) _x000D_
_x000D_
However when this progress update is executed the   setMetadata   method seems to be very costly (takes 40 80  of the time of the complete progress update) as seen when profiling the app:_x000D_
_x000D_
_x000D_
 details  summary Emulator Pixel 3a  summary _x000D_
_x000D_
 cpu emulator Pixel3a zip (https:  github com TeamNewPipe NewPipe files 7146749 cpu emulator Pixel3a zip)_x000D_
_x000D_
 img src  https:  user images githubusercontent com 40789489 132923638 8e16eea3 44e2 4077 84a4 5c1683f2c9f4 png  _x000D_
_x000D_
_x000D_
  details _x000D_
_x000D_
 details  summary Emulator Pixel C  summary _x000D_
_x000D_
 cpu emulator PixelC zip (https:  github com TeamNewPipe NewPipe files 7146750 cpu emulator PixelC zip)_x000D_
_x000D_
 img src  https:  user images githubusercontent com 40789489 132923471 e51a6810 2cdb 4fd9 a410 369fde396eec png  _x000D_
 img src  https:  user images githubusercontent com 40789489 132923587 1d8ad1ee b3cc 4db6 9860 2ffd0ba086bc png  _x000D_
_x000D_
  details _x000D_
_x000D_
Note: I m unable to determine if this is just a android emulator problem as I can t profile my real phone (crashes with SIGSEV in HeapTaskDaemon libc when running the profiler)_x000D_
_x000D_
    Device info_x000D_
   Android version Custom ROM version: Android 11   API 30_x000D_
   Device model: Android Emulator Pixel 3a Pixel C_x000D_
</t>
  </si>
  <si>
    <t>inaturalist-iNaturalistAndroid-1121</t>
  </si>
  <si>
    <t>NullPointerException in ObservationEditor.saveProjects</t>
  </si>
  <si>
    <t xml:space="preserve">https:  console firebase google com u 1 project inaturalist ios crashlytics app android:org inaturalist android issues 46d3ea8cf9e7c54bd6a458edac579acf_x000D_
_x000D_
   _x000D_
Fatal Exception: java lang NullPointerException: Attempt to invoke virtual method  int java lang Integer intValue()  on a null object reference_x000D_
       at org inaturalist android ObservationEditor saveProjects(ObservationEditor java:2579)_x000D_
       at org inaturalist android ObservationEditor save(ObservationEditor java:2047)_x000D_
       at org inaturalist android ObservationEditor save(ObservationEditor java:2022)_x000D_
       at org inaturalist android ObservationEditor access 800(ObservationEditor java:142)_x000D_
       at org inaturalist android ObservationEditor 8 1 run(ObservationEditor java:755)_x000D_
       at org inaturalist android ObservationEditor 48 onClick(ObservationEditor java:4420)_x000D_
   </t>
  </si>
  <si>
    <t>inaturalist-iNaturalistAndroid-1120</t>
  </si>
  <si>
    <t>NullPointerException in INaturalistService.onStartCommand</t>
  </si>
  <si>
    <t xml:space="preserve">https:  console firebase google com u 1 project inaturalist ios crashlytics app android:org inaturalist android issues d26e8289fc07222982d5ef4bec819824_x000D_
_x000D_
   _x000D_
Caused by java lang NullPointerException: Attempt to invoke virtual method  java lang String android content Intent getAction()  on a null object reference_x000D_
       at org inaturalist android INaturalistService onStartCommand(INaturalistService java:625)_x000D_
       at android app ActivityThread handleServiceArgs(ActivityThread java:4128)_x000D_
       at android app ActivityThread access 2400(ActivityThread java:229)_x000D_
       at android app ActivityThread H handleMessage(ActivityThread java:1924)_x000D_
       at android os Handler dispatchMessage(Handler java:102)_x000D_
       at android os Looper loop(Looper java:148)_x000D_
       at android app ActivityThread main(ActivityThread java:7325)_x000D_
       at java lang reflect Method invoke(Method java)_x000D_
       at com android internal os ZygoteInit MethodAndArgsCaller run(ZygoteInit java:1230)_x000D_
       at com android internal os ZygoteInit main(ZygoteInit java:1120)_x000D_
   </t>
  </si>
  <si>
    <t>TeamNewPipe-NewPipe-7086</t>
  </si>
  <si>
    <t>Play button on a connected device doesn't resume playback after exiting NewPipe.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</si>
  <si>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have read the contribution guidelines given at https:  github com TeamNewPipe NewPipe blob HEAD  github CONTRIBUTING md _x000D_
   x  I am using the latest version   0 21 9      Check https:  github com TeamNewPipe NewPipe releases    _x000D_
   x  This issue contains only one bug  I will open one issue for every bug report I want to file _x000D_
   x  I checked  but didn t find any duplicates (open OR closed) of this issue in the repo       Seriously  check  O O    _x000D_
_x000D_
    Steps to reproduce the bug_x000D_
    _x000D_
1  Go to      _x000D_
2  Press on       _x000D_
3  Swipe down to       _x000D_
   _x000D_
_x000D_
1  Connect an external device with play pause button  like Bluetooth speaker headset _x000D_
2  Open NewPipe _x000D_
3  Start playback of media in background or other mode _x000D_
4  Open the Android notification drawer _x000D_
5  Press  X  on the NewPipe playback notification in the notification drawer _x000D_
6  Press Play Pause button on the connected external device _x000D_
7  NewPipe notification appears with a hourglass icon instead of play button _x000D_
8  Sit in silence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This happens when NewPipe is   closed   and has been the last app playing media  Newpipe does not resume playback when play pause button is pressed on a connected external device  Instead It just opens a Notification with a hourglass icon _x000D_
This is annoying when trying to resume playback without interacting with the phone directly  Like when I am driving a car with a bluetooth audio system or using a headset  I have to take the phone out of the pocket  navigate to the media  and press play  This is tedious and can be a bit dangerous when driving a car or a bike _x000D_
_x000D_
_x000D_
    Expected behavior_x000D_
     Tell us what you expect to happen     _x000D_
I expect NewPipe to resume playing the last playlist  in background mode  or maybe in the mode that was last active _x000D_
_x000D_
OR pass the playback command to the next media app that has been open before NewPipe  like VLC  RadioDroid  etc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Here is a screen recording of the issue  note that I am pressing the play button on an external bluetooth speaker  just watch the newpipe notification icon appear to know when I am pressing it _x000D_
Video will be deleted on Nov 09  2021_x000D_
https:  files fm f kupzscvun_x000D_
     DON T POST SCREENSHOTS OF THE ERROR PAGE  Use the buttons given on the error page to paste the error as text in the Logs section below     _x000D_
Here is a screenshot of the notification _x000D_
  image (https:  user images githubusercontent com 7914353 132829620 5b7623d1 af62 4e3f 881c 2d24ea42370a png)_x000D_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10   LineageOS 17 1_x000D_
   Device model: SM G950F (Samsung galaxy s8)_x000D_
_x000D_
This was also happening on my OnePlus X_x000D_
_x000D_
_x000D_
 Thank you for developing and maintaining this wonderful app _x000D_
 Rikests </t>
  </si>
  <si>
    <t>googleads-googleads-mobile-flutter-369</t>
  </si>
  <si>
    <t xml:space="preserve">MobileAds.instance.setAppVolume causes a Non-fatal Exception </t>
  </si>
  <si>
    <t xml:space="preserve">MobileAds instance setAppVolume(0 1)  _x000D_
_x000D_
will trigger the following exception:_x000D_
   _x000D_
Non fatal Exception: io flutter plugins firebase crashlytics FlutterError: PlatformException(error  java lang Double cannot be cast to java lang Float  null  java lang ClassCastException: java lang Double cannot be cast to java lang Float_x000D_
	at io flutter plugins googlemobileads GoogleMobileAdsPlugin onMethodCall(Unknown Source:534)_x000D_
   _x000D_
   Plugin Version_x000D_
_x000D_
0 13 4_x000D_
_x000D_
   Steps to Reproduce_x000D_
_x000D_
Use the following code in a flutter app _x000D_
_x000D_
MobileAds instance setAppVolume(0 1) _x000D_
_x000D_
  Expected results:   _x000D_
Interstitial Ads volume reduced _x000D_
_x000D_
  Actual results:  _x000D_
No change in ads volume _x000D_
_x000D_
 details _x000D_
   summary Logs  summary _x000D_
_x000D_
flutter run   verbose_x000D_
    console_x000D_
    10 ms  E MethodChannel plugins flutter io google mobile ads(24393): Failed to handle method call_x000D_
           E MethodChannel plugins flutter io google mobile ads(24393): java lang ClassCastException: java lang Double cannot be cast to_x000D_
java lang Float_x000D_
           E MethodChannel plugins flutter io google mobile ads(24393):         at_x000D_
io flutter plugins googlemobileads GoogleMobileAdsPlugin onMethodCall(GoogleMobileAdsPlugin java:399)_x000D_
           E MethodChannel plugins flutter io google mobile ads(24393):         at_x000D_
io flutter plugin common MethodChannel IncomingMethodCallHandler onMessage(MethodChannel java:233)_x000D_
           E MethodChannel plugins flutter io google mobile ads(24393):         at_x000D_
io flutter embedding engine dart DartMessenger handleMessageFromDart(DartMessenger java:85)_x000D_
           E MethodChannel plugins flutter io google mobile ads(24393):         at_x000D_
io flutter embedding engine FlutterJNI handlePlatformMessage(FlutterJNI java:818)_x000D_
           E MethodChannel plugins flutter io google mobile ads(24393):         at android os MessageQueue nativePollOnce(Native Method)_x000D_
           E MethodChannel plugins flutter io google mobile ads(24393):         at android os MessageQueue next(MessageQueue java:336)_x000D_
           E MethodChannel plugins flutter io google mobile ads(24393):         at android os Looper loop(Looper java:174)_x000D_
           E MethodChannel plugins flutter io google mobile ads(24393):         at android app ActivityThread main(ActivityThread java:7356)_x000D_
           E MethodChannel plugins flutter io google mobile ads(24393):         at java lang reflect Method invoke(Native Method)_x000D_
           E MethodChannel plugins flutter io google mobile ads(24393):         at_x000D_
com android internal os RuntimeInit MethodAndArgsCaller run(RuntimeInit java:492)_x000D_
           E MethodChannel plugins flutter io google mobile ads(24393):         at com android internal os ZygoteInit main(ZygoteInit java:930)_x000D_
   _x000D_
_x000D_
   _x000D_
flutter doctor  v_x000D_
_x000D_
    Flutter (Channel stable  2 2 3  on macOS 11 5 2 20G95 darwin x64  locale en US)_x000D_
      Flutter version 2 2 3 at  Users victorgoh Tools flutter_x000D_
      Framework revision f4abaa0735 (2 months ago)  2021 07 01 12:46:11  0700_x000D_
      Engine revision 241c87ad80_x000D_
      Dart version 2 13 4_x000D_
_x000D_
    Android toolchain   develop for Android devices (Android SDK version 30 0 3)_x000D_
      Android SDK at  Users victorgoh Tools android sdk_x000D_
      Platform android 30  build tools 30 0 3_x000D_
      ANDROID HOME    Users victorgoh Tools android sdk_x000D_
      Java binary at:  Applications Android Studio app Contents jre jdk Contents Home bin java_x000D_
      Java version OpenJDK Runtime Environment (build 11 0 8 10 b944 6916264)_x000D_
      All Android licenses accepted _x000D_
_x000D_
    Xcode   develop for iOS and macOS_x000D_
      Xcode at  Applications Xcode app Contents Developer_x000D_
      Xcode 12 5 1  Build version 12E507_x000D_
      CocoaPods version 1 10 1_x000D_
_x000D_
    Chrome   develop for the web_x000D_
      Chrome at  Applications Google Chrome app Contents MacOS Google Chrome_x000D_
_x000D_
    Android Studio (version 4 2)_x000D_
      Android Studio at  Applications Android Studio app Contents_x000D_
      Flutter plugin can be installed from:_x000D_
        https:  plugins jetbrains com plugin 9212 flutter_x000D_
      Dart plugin can be installed from:_x000D_
        https:  plugins jetbrains com plugin 6351 dart_x000D_
      Java version OpenJDK Runtime Environment (build 11 0 8 10 b944 6916264)_x000D_
_x000D_
    VS Code (version 1 60 0)_x000D_
      VS Code at  Applications Visual Studio Code app Contents_x000D_
      Flutter extension version 3 26 0_x000D_
_x000D_
    Connected device (3 available)_x000D_
      Android SDK built for x86 (mobile)   emulator 5554   android x86      Android 10 (API 29) (emulator)_x000D_
      macOS (desktop)                      macos           darwin x64       macOS 11 5 2 20G95 darwin x64_x000D_
      Chrome (web)                         chrome          web javascript   Google Chrome 93 0 4577 63_x000D_
_x000D_
  No issues found _x000D_
_x000D_
   _x000D_
_x000D_
  details _x000D_
</t>
  </si>
  <si>
    <t>nextcloud-android-8963</t>
  </si>
  <si>
    <t>Nextcloud App crashes when opening side menu</t>
  </si>
  <si>
    <t xml:space="preserve">    Steps to reproduce_x000D_
1  Completely reset and restart and login into the nextcloud app_x000D_
2  Open the left side menu the first time (works fine)_x000D_
3  Opening the side menu the second time leads to the crash even with killing and restarting the app_x000D_
_x000D_
    Expected behaviour_x000D_
  the side menu should appear_x000D_
_x000D_
    Actual behaviour_x000D_
  the app shows the error log_x000D_
_x000D_
    Can you reproduce this problem on https:  try nextcloud com _x000D_
  problem doesn t appear with a demo account but I m also not able to add some external links to the menu bar there  because I have no rights to change settings for the external link app_x000D_
  further information: with the previous version of the app the problem didn t not occur the server configuration did not change_x000D_
  one assumption: I ve got some external links configured on the server    maybe this leads to a  too small  side menu in the app to fit all of them _x000D_
_x000D_
_x000D_
    Environment data_x000D_
Android version: see log below_x000D_
_x000D_
Device model: see log below_x000D_
_x000D_
Stock or customized system: stock_x000D_
_x000D_
Nextcloud app version: see log below_x000D_
_x000D_
Nextcloud server version: latest stable release (afaik 21 0 3)_x000D_
_x000D_
Reverse proxy:_x000D_
_x000D_
    Logs_x000D_
     Web server error log_x000D_
   _x000D_
Insert your webserver log here_x000D_
   _x000D_
_x000D_
     Nextcloud log (data nextcloud log)_x000D_
   _x000D_
             CAUSE OF ERROR             _x000D_
_x000D_
java lang RuntimeException: Canvas: trying to draw too large(212634660bytes) bitmap _x000D_
	at android graphics RecordingCanvas throwIfCannotDraw(RecordingCanvas java:280)_x000D_
	at android graphics BaseRecordingCanvas drawBitmap(BaseRecordingCanvas java:88)_x000D_
	at android graphics drawable BitmapDrawable draw(BitmapDrawable java:548)_x000D_
	at android graphics drawable LayerDrawable draw(LayerDrawable java:1018)_x000D_
	at android widget ImageView onDraw(ImageView java:1434)_x000D_
	at android view View draw(View java:21547)_x000D_
	at android view View updateDisplayListIfDirty(View java:20416)_x000D_
	at android view View draw(View java:21276)_x000D_
	at android view ViewGroup drawChild(ViewGroup java:4417)_x000D_
	at android view ViewGroup dispatchDraw(ViewGroup java:4177)_x000D_
	at android view View draw(View java:21550)_x000D_
	at android view View updateDisplayListIfDirty(View java:20416)_x000D_
	at android view View draw(View java:21276)_x000D_
	at android view ViewGroup drawChild(ViewGroup java:4417)_x000D_
	at android view ViewGroup dispatchDraw(ViewGroup java:4177)_x000D_
	at android view View updateDisplayListIfDirty(View java:20407)_x000D_
	at android view View draw(View java:21276)_x000D_
	at android view ViewGroup drawChild(ViewGroup java:4417)_x000D_
	at androidx recyclerview widget RecyclerView drawChild(RecyclerView java:5030)_x000D_
	at android view ViewGroup dispatchDraw(ViewGroup java:4177)_x000D_
	at android view View draw(View java:21550)_x000D_
	at androidx recyclerview widget RecyclerView draw(RecyclerView java:4429)_x000D_
	at android view View updateDisplayListIfDirty(View java:20416)_x000D_
	at android view View draw(View java:21276)_x000D_
	at android view ViewGroup drawChild(ViewGroup java:4417)_x000D_
	at android view ViewGroup dispatchDraw(ViewGroup java:4177)_x000D_
	at android view View draw(View java:21550)_x000D_
	at com google android material internal ScrimInsetsFrameLayout draw(ScrimInsetsFrameLayout java:109)_x000D_
	at android view View updateDisplayListIfDirty(View java:20416)_x000D_
	at android view View draw(View java:21276)_x000D_
	at android view ViewGroup drawChild(ViewGroup java:4417)_x000D_
	at androidx drawerlayout widget DrawerLayout drawChild(DrawerLayout java:1426)_x000D_
	at android view ViewGroup dispatchDraw(ViewGroup java:4177)_x000D_
	at android view View draw(View java:21550)_x000D_
	at android view View updateDisplayListIfDirty(View java:20416)_x000D_
	at android view View draw(View java:21276)_x000D_
	at android view ViewGroup drawChild(ViewGroup java:4417)_x000D_
	at android view ViewGroup dispatchDraw(ViewGroup java:4177)_x000D_
	at android view View updateDisplayListIfDirty(View java:20407)_x000D_
	at android view View draw(View java:21276)_x000D_
	at android view ViewGroup drawChild(ViewGroup java:4417)_x000D_
	at android view ViewGroup dispatchDraw(ViewGroup java:4177)_x000D_
	at android view View updateDisplayListIfDirty(View java:20407)_x000D_
	at android view View draw(View java:21276)_x000D_
	at android view ViewGroup drawChild(ViewGroup java:4417)_x000D_
	at android view ViewGroup dispatchDraw(ViewGroup java:4177)_x000D_
	at android view View updateDisplayListIfDirty(View java:20407)_x000D_
	at android view View draw(View java:21276)_x000D_
	at android view ViewGroup drawChild(ViewGroup java:4417)_x000D_
	at android view ViewGroup dispatchDraw(ViewGroup java:4177)_x000D_
	at android view View updateDisplayListIfDirty(View java:20407)_x000D_
	at android view View draw(View java:21276)_x000D_
	at android view ViewGroup drawChild(ViewGroup java:4417)_x000D_
	at android view ViewGroup dispatchDraw(ViewGroup java:4177)_x000D_
	at android view View draw(View java:21550)_x000D_
	at com android internal policy DecorView draw(DecorView java:844)_x000D_
	at android view View updateDisplayListIfDirty(View java:20416)_x000D_
	at android view ThreadedRenderer updateViewTreeDisplayList(ThreadedRenderer java:575)_x000D_
	at android view ThreadedRenderer updateRootDisplayList(ThreadedRenderer java:581)_x000D_
	at android view ThreadedRenderer draw(ThreadedRenderer java:654)_x000D_
	at android view ViewRootImpl draw(ViewRootImpl java:3716)_x000D_
	at android view ViewRootImpl performDraw(ViewRootImpl java:3511)_x000D_
	at android view ViewRootImpl performTraversals(ViewRootImpl java:2848)_x000D_
	at android view ViewRootImpl doTraversal(ViewRootImpl java:1801)_x000D_
	at android view ViewRootImpl TraversalRunnable run(ViewRootImpl java:7763)_x000D_
	at android view Choreographer CallbackRecord run(Choreographer java:1031)_x000D_
	at android view Choreographer doCallbacks(Choreographer java:854)_x000D_
	at android view Choreographer doFrame(Choreographer java:789)_x000D_
	at android view Choreographer FrameDisplayEventReceiver run(Choreographer java:1016)_x000D_
	at android os Handler handleCallback(Handler java:883)_x000D_
	at android os Handler dispatchMessage(Handler java:100)_x000D_
	at android os Looper loop(Looper java:224)_x000D_
	at android app ActivityThread main(ActivityThread java:7562)_x000D_
	at java lang reflect Method invoke(Native Method)_x000D_
	at com android internal os RuntimeInit MethodAndArgsCaller run(RuntimeInit java:539)_x000D_
	at com android internal os ZygoteInit main(ZygoteInit java:950)_x000D_
_x000D_
             APP INFORMATION             _x000D_
ID: com nextcloud client_x000D_
Version: 30170090_x000D_
Build flavor: gplay_x000D_
_x000D_
             DEVICE INFORMATION             _x000D_
Brand: Xiaomi_x000D_
Device: pyxis_x000D_
Model: Mi 9 Lite_x000D_
Id: QKQ1 190828 002_x000D_
Product: pyxis eea_x000D_
_x000D_
             FIRMWARE             _x000D_
SDK: 29_x000D_
Release: 10_x000D_
Incremental: V12 0 7 0 QFCEUXM</t>
  </si>
  <si>
    <t>Krow10-Lab1-Calc-1</t>
  </si>
  <si>
    <t>App crash on exception when launched from a real device</t>
  </si>
  <si>
    <t xml:space="preserve">   Device : Samsung Galaxy S20 FE   Android 11 0_x000D_
     Steps :_x000D_
  Build a signed apk from project _x000D_
  Copy   apk  file to phone and install _x000D_
  Run app and try to provoke exception (division by zero  invalid expression     )_x000D_
_x000D_
     Expected result :_x000D_
  image (https:  user images githubusercontent com 23462475 132776913 1b566fe5 7c5c 4046 b420 b3c72346f2d6 png)_x000D_
     Actual result :_x000D_
App crash</t>
  </si>
  <si>
    <t>PojavLauncherTeam-PojavLauncher-2004</t>
  </si>
  <si>
    <t xml:space="preserve">    Describe the bug
Hello  I would like to report such a problem that I am kicked out of the game and I did not do it before  I think it is due to the fact that I updated android to 11 and I had 10 before before that  Minecraft worked very well until I updated to Android 11 Now it even can t move to do anything in Minecraft
    The log file and images videos
https:  drive google com file d 1324Bi IWaBq9SYwLVRYS2NNZxrxe JZV view usp drivesdk
    Steps To Reproduce
   markdown
cannot find the error
    Expected Behavior
the game starts normally but when I m in the world it crashes me
    Platform
   markdown
  Device model: oppo a53_x000D_
  CPU architecture: Qualcomm SM4250 O miordzeniowy_x000D_
  Android version: 11_x000D_
  PojavLauncher version crocus v3 openjdk
    Anything else 
 No response</t>
  </si>
  <si>
    <t>microg-GmsCore-1560</t>
  </si>
  <si>
    <t>Settings icon causes system issues</t>
  </si>
  <si>
    <t xml:space="preserve">  Describe the bug  _x000D_
Since the microG settings icon was added within settings  a few releases ago  I get random lockups and crashes linked to SystemUI  whether it be pulling the notifications curtain down  long clicking on something like the wifi data etc button there  or a notification arrives ie a SMS message _x000D_
_x000D_
  To Reproduce  _x000D_
Install microG GMS Core_x000D_
While using any app:_x000D_
  wait for a notification to arrive (SMS  telegram  whatsapp  etc)_x000D_
or_x000D_
  pull down notification curtain and long press wifi data_x000D_
_x000D_
  Observed behavior  _x000D_
The system will randomly lock up or crash  Sometimes a message appears stating that SystemUI is not responding (close and wait options) _x000D_
_x000D_
  Expected behavior  _x000D_
No freeze  lag or crash   the system should either display the notification or the settings page without interruption _x000D_
_x000D_
  System  _x000D_
Android Version: 11_x000D_
Custom ROM: PHH AOSP 11 GSI (vanilla)_x000D_
Device: Redmi Go (ARM  low RAM device)_x000D_
_x000D_
  Additional context  _x000D_
Going back several versions of GMS Core to before the settings icon was added resolves the issue_x000D_
This issue is intermittent and random so does not happen regularly but when it happens once then it tends to happen again </t>
  </si>
  <si>
    <t>inaturalist-iNaturalistAndroid-1119</t>
  </si>
  <si>
    <t>ArrayIndexOutOfBoundsException in ObservationPhotosViewer</t>
  </si>
  <si>
    <t xml:space="preserve">https:  console firebase google com u 1 project inaturalist ios crashlytics app android:org inaturalist android issues 2b124b1a4c4c72f1a41d7d7cba095659_x000D_
_x000D_
   _x000D_
Caused by java lang ArrayIndexOutOfBoundsException: length 1  index 1_x000D_
       at org inaturalist android AndroidStateBundlers ListPairBundler get(AndroidStateBundlers java:45)_x000D_
       at org inaturalist android AndroidStateBundlers ListPairBundler get(AndroidStateBundlers java:27)_x000D_
       at com evernote android state InjectionHelper getWithBundler(InjectionHelper java:36)_x000D_
       at org inaturalist android ObservationPhotosViewer  StateSaver restore(ObservationPhotosViewer java:75)_x000D_
       at org inaturalist android ObservationPhotosViewer  StateSaver restore(ObservationPhotosViewer java:40)_x000D_
       at com evernote android state StateSaverImpl restoreInstanceState(StateSaverImpl java:85)_x000D_
       at com evernote android state StateSaver restoreInstanceState(StateSaver java:52)_x000D_
       at org inaturalist android INaturalistApp 1 restoreInstanceState(INaturalistApp java:236)_x000D_
       at com livefront bridge BridgeDelegate restoreInstanceState(BridgeDelegate java:145)_x000D_
       at com livefront bridge Bridge restoreInstanceState(Bridge java:68)_x000D_
       at org inaturalist android ObservationPhotosViewer onCreate(ObservationPhotosViewer java:103)_x000D_
   </t>
  </si>
  <si>
    <t>Anuken-Mindustry-5961</t>
  </si>
  <si>
    <t>แตะคลิปเพื่อวางในช่องข้อความ</t>
  </si>
  <si>
    <t>TeamNewPipe-NewPipe-7079</t>
  </si>
  <si>
    <t>Inconsistent app behaviour media fast forward and rewind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</si>
  <si>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Execute input key event keycode media fast forward (90) keycode media rewind (89) by using some scripting program or using any keyboard mouse with media control (an emulator can be used from Playstore   serverless mouse by appground io)_x000D_
2  The bug can be observed irrespective of foreground background state _x000D_
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_x000D_
In fast forward event the video goes ahead by 15 seconds and in rewind event the video goes back by 5 seconds irrespective of the settings defined in the app_x000D_
_x000D_
    Expected behavior_x000D_
     Tell us what you expect to happen     _x000D_
Consistent rewind and fast forward duration as specified in the settings  Usually both are same for example 10 seconds  It should be same as double tap on the video player_x000D_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Logs_x000D_
     If your bug includes a crash (where you re shown the Error Report page with a bunch of info)  tap on  Copy formatted report  at the bottom and paste it here:    _x000D_
_x000D_
     That s right  here     _x000D_
_x000D_
     Please fill this section if you did not provide a log generated by NewPipe    _x000D_
_x000D_
    Device info_x000D_
_x000D_
   Android version Custom ROM version: API 26 stock rom emui 8_x000D_
   Device model: Huawei tablet 10 inch _x000D_
</t>
  </si>
  <si>
    <t>google-ExoPlayer-9407</t>
  </si>
  <si>
    <t>Crash in Android 7 lenovo devices, while releasing the player</t>
  </si>
  <si>
    <t xml:space="preserve">App is crashing while releasing the player _x000D_
_x000D_
  Device   Android 7 Lenevo devices_x000D_
  Version of library consumed in the app   2 14 1_x000D_
  Below is the crash report captured by Firebase _x000D_
_x000D_
Fatal Exception: java lang NullPointerException: Attempt to invoke virtual method  void android view Surface release()  on a null object reference_x000D_
       at com google android exoplayer2 SimpleExoPlayer setVideoOutputInternal(SimpleExoPlayer java:1927)_x000D_
       at com google android exoplayer2 SimpleExoPlayer access 4000(SimpleExoPlayer java:92)_x000D_
       at com google android exoplayer2 SimpleExoPlayer ComponentListener surfaceDestroyed(SimpleExoPlayer java:2278)_x000D_
       at android view SurfaceView updateWindow(SurfaceView java:606)_x000D_
       at android view SurfaceView onWindowVisibilityChanged(SurfaceView java:255)_x000D_
       at android view View dispatchWindowVisibilityChanged(View java:10274)_x000D_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ViewGroup dispatchWindowVisibilityChanged(ViewGroup java:1289)_x000D_
       at android view ViewRootImpl performTraversals(ViewRootImpl java:1566)_x000D_
       at android view ViewRootImpl doTraversal(ViewRootImpl java:1278)_x000D_
       at android view ViewRootImpl TraversalRunnable run(ViewRootImpl java:6357)_x000D_
       at android view Choreographer CallbackRecord run(Choreographer java:871)_x000D_
       at android view Choreographer doCallbacks(Choreographer java:683)_x000D_
       at android view Choreographer doFrame(Choreographer java:619)_x000D_
       at android view Choreographer FrameDisplayEventReceiver run(Choreographer java:857)_x000D_
       at android os Handler handleCallback(Handler java:751)_x000D_
       at android os Handler dispatchMessage(Handler java:95)_x000D_
       at android os Looper loop(Looper java:154)_x000D_
       at android app ActivityThread main(ActivityThread java:6077)_x000D_
       at java lang reflect Method invoke(Method java)_x000D_
       at com android internal os ZygoteInit MethodAndArgsCaller run(ZygoteInit java:865)_x000D_
       at com android internal os ZygoteInit main(ZygoteInit java:755)_x000D_
       _x000D_
      Thanks </t>
  </si>
  <si>
    <t>TikitakaDiary-MemoryTrace-Android-49</t>
  </si>
  <si>
    <t>[Bug] [Crashlytics] kotlinx.coroutines.JobCancellationException</t>
  </si>
  <si>
    <t xml:space="preserve">     _x000D_
              _x000D_
_x000D_
       _x000D_
                   _x000D_
_x000D_
     _x000D_
  Crashlytics : https:  console firebase google com u 1 project memorytrace 42402 crashlytics app android:com upf memorytrace android issues 07ffc88c4068bced22f141b64711b843 time last seven days sessionEventKey 61382EAE03DF00010553A657E9D8FFA4 1583846437081883410</t>
  </si>
  <si>
    <t>TeamNewPipe-NewPipe-7076</t>
  </si>
  <si>
    <t>Not able to download the videos</t>
  </si>
  <si>
    <t>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videos _x000D_
2  Press on  download option _x000D_
3  Press on  ok button  there will be no response _x000D_
4  App will automatically get closed in few seconds_x000D_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video is not getting downloaded rather the application is getting closed automatically _x000D_
_x000D_
_x000D_
    Expected behavior_x000D_
     Tell us what you expect to happen     _x000D_
Once ok button is pressed it will start downloading the video and the video will be available in the downloads section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drive google com file d 18Y9rjWrvrOd7s4SmXRfUi2 8Xfs uaii view usp sharing_x000D_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NewPipe Version: 0 21 9_x000D_
   Android version Custom ROM version: 11_x000D_
   Device model: Realme RMX2040_x000D_
   Build number: RMX2040 11 C 08</t>
  </si>
  <si>
    <t>Blankj-AndroidUtilCode-1541</t>
  </si>
  <si>
    <t>ToastUtils 在targetsdk升级到30后，调用showS 不显示toast，targetsdk=29时则正常</t>
  </si>
  <si>
    <t xml:space="preserve">   ToastUtils  targetsdk   30    showS    toast targetsdk 29    _x000D_
_x000D_
       Bug _x000D_
_x000D_
  AndroidUtilCode             utilcode:1 16 3   utilcodex:1 16 3                     _x000D_
     Bug               Nexus 5X    _x000D_
      Android            API 27    _x000D_
_x000D_
       _x000D_
_x000D_
       _x000D_
   java_x000D_
CrashUtils init() _x000D_
   _x000D_
   _x000D_
   _x000D_
put your code here_x000D_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_x000D_
_x000D_
                    _x000D_
_x000D_
_x000D_
              _x000D_
_x000D_
      AndroidUtilCode (https:  github com Blankj AndroidUtilCode) _x000D_
</t>
  </si>
  <si>
    <t>nextcloud-android-8957</t>
  </si>
  <si>
    <t>app crashes if trying to remove all data after removing local directory</t>
  </si>
  <si>
    <t xml:space="preserve">    Steps to reproduce_x000D_
1  Use a file manager to delete the local nextcloud folder_x000D_
2  Go to app settings (in android  not in app)_x000D_
3  Click on remove cache and then remove all data  and confirm_x000D_
_x000D_
    Expected behaviour_x000D_
  all data is wiped_x000D_
_x000D_
    Actual behaviour_x000D_
  app crashes_x000D_
_x000D_
     Nextcloud log (data nextcloud log)_x000D_
   _x000D_
             CAUSE OF ERROR             _x000D_
_x000D_
android database SQLException: ERROR content:  org nextcloud arbitrary data_x000D_
	at com owncloud android providers FileContentProvider insert(FileContentProvider java:364)_x000D_
	at com owncloud android providers FileContentProvider insert(FileContentProvider java:255)_x000D_
	at android content ContentProvider Transport insert(ContentProvider java:325)_x000D_
	at android content ContentResolver insert(ContentResolver java:1854)_x000D_
	at com owncloud android datamodel ArbitraryDataProvider storeOrUpdateKeyValue(ArbitraryDataProvider java:90)_x000D_
	at com owncloud android utils PushUtils pushRegistrationToServer(PushUtils java:253)_x000D_
	at com owncloud android services firebase NCFirebaseMessagingService onNewToken(NCFirebaseMessagingService java:68)_x000D_
	at com google firebase messaging FirebaseMessagingService zzc(com google firebase:firebase messaging  20 1 3:107)_x000D_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java:919)_x000D_
_x000D_
             APP INFORMATION             _x000D_
ID: com nextcloud client_x000D_
Version: 30170090_x000D_
Build flavor: gplay_x000D_
_x000D_
             DEVICE INFORMATION             _x000D_
Brand: OnePlus_x000D_
Device: OnePlus6T_x000D_
Model: ONEPLUS A6013_x000D_
Id: QKQ1 190716 003_x000D_
Product: OnePlus6T_x000D_
_x000D_
             FIRMWARE             _x000D_
SDK: 29_x000D_
Release: 10_x000D_
Incremental: 2107132231_x000D_
_x000D_
   _x000D_
  NOTE:   Be super sure to remove sensitive data like passwords  note that everybody can look here  You can use the Issue Template application to prefill some of the required information: https:  apps nextcloud com apps issuetemplate_x000D_
</t>
  </si>
  <si>
    <t>Anuken-Mindustry-5958</t>
  </si>
  <si>
    <t>Inexplicable interpolation crashes</t>
  </si>
  <si>
    <t xml:space="preserve">  Platform  :  Android _x000D_
_x000D_
  Build  :  BE 21828  _x000D_
_x000D_
  Issue  :  My Fearless unit crashes upon death  I have checked  and my HJSON is proper  The only cause I can find is the new sizeInterp field  _x000D_
_x000D_
  Steps to reproduce  :  Kill a Fearless  _x000D_
_x000D_
  Link(s) to mod(s) used  : _x000D_
 exotic free no virus (https:  github com Anuken Mindustry files 7125697 BlueWolf3682Exotic Mod1 zip)_x000D_
   THIS SPECIFIC MOD FILE IS REQUIRED    _x000D_
_x000D_
  Save file  :   aaa zip (https:  github com Anuken Mindustry files 7125705 aaa zip) _x000D_
_x000D_
If you remove the line above without reading it properly and understanding what it means  I will reap your soul  Even if you re playing on someone s server  you can still save the game to a slot _x000D_
_x000D_
  (Crash) logs  :   crash 1631072499238 txt (https:  github com Anuken Mindustry files 7125714 crash 1631072499238 txt)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</si>
  <si>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Anuken-Mindustry-5955</t>
  </si>
  <si>
    <t>Turrets suddenly stopped shooting despite having ammo</t>
  </si>
  <si>
    <t xml:space="preserve">Platform: Windows 10_x000D_
_x000D_
Version: Alpha Build 130 1_x000D_
_x000D_
Issue: After the technical issues I had with the linux version of the game  I decided to get the game for windows  and so far I haven t had the glitch  But now there s another issue: My turrets have all of a sudden stopped shooting entirely  They have full ammo and everything  but they won t work at all  The only 2 mods I have are  Hackustry  and  Unit information   but I don t have any hackustry cheats enabled  And everything was working fine for a while no matter what hackustry cheats I had enabled  they just suddenly stopped shooting _x000D_
_x000D_
Steps to recreate: I don t know how to deliberately cause this  just go into a game and put some turrets down  then wait _x000D_
_x000D_
Mod links: https:  github com QmelZ hackustry  https:  github com Sharlottes UnitInfo_x000D_
_x000D_
Save: https:  file io di7phh6gCg61_x000D_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</si>
  <si>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MuntashirAkon-AppManager-574</t>
  </si>
  <si>
    <t>Crashed while uninstalling Spotify app through AM</t>
  </si>
  <si>
    <t xml:space="preserve">   x  I know what my device  OS and App Manager versions are_x000D_
   x  I know how to take logs_x000D_
   x  I know how to reproduce the issue which may not be specific to my device_x000D_
_x000D_
  Describe the bug  _x000D_
Crashed while uninstalling Spotify through AM  I guess it is something related to split apks or storage (my internal storage was almost full when I uninstalled Spotify app)_x000D_
_x000D_
  To Reproduce  _x000D_
Just go to App Info then click on Uninstall _x000D_
_x000D_
  Expected behavior  _x000D_
It should uninstall Spotify app normally   it does uninstalled it  But AM crashed at the same time _x000D_
_x000D_
  Crash logs  _x000D_
_x000D_
   _x000D_
java lang IllegalArgumentException: Unknown component: ComponentInfo com spotify music com facebook CustomTabActivity _x000D_
    at android os Parcel readException(Parcel java:2017)_x000D_
    at android os Parcel readException(Parcel java:1959)_x000D_
    at android content pm IPackageManager Stub Proxy getComponentEnabledSetting(IPackageManager java:4755)_x000D_
    at android app ApplicationPackageManager getComponentEnabledSetting(ApplicationPackageManager java:2361)_x000D_
    at io github muntashirakon AppManager details AppDetailsFragment isComponentDisabled(AppDetailsFragment java:623)_x000D_
    at io github muntashirakon AppManager details AppDetailsFragment AppDetailsRecyclerAdapter getActivityView(AppDetailsFragment java:916)_x000D_
    at io github muntashirakon AppManager details AppDetailsFragment AppDetailsRecyclerAdapter onBindViewHolder(AppDetailsFragment java:896)_x000D_
    at io github muntashirakon AppManager details AppDetailsFragment AppDetailsRecyclerAdapter onBindViewHolder(AppDetailsFragment java:644)_x000D_
    at androidx recyclerview widget RecyclerView Adapter onBindViewHolder(RecyclerView java:7254)_x000D_
    at androidx recyclerview widget RecyclerView Adapter bindViewHolder(RecyclerView java:7337)_x000D_
    at androidx recyclerview widget RecyclerView Recycler tryBindViewHolderByDeadline(RecyclerView java:6194)_x000D_
    at androidx recyclerview widget RecyclerView Recycler tryGetViewHolderForPositionByDeadline(RecyclerView java:6460)_x000D_
    at androidx recyclerview widget RecyclerView Recycler getViewForPosition(RecyclerView java:6300)_x000D_
    at androidx recyclerview widget RecyclerView Recycler getViewForPosition(RecyclerView java:6296)_x000D_
    at androidx recyclerview widget LinearLayoutManager LayoutState next(LinearLayoutManager java:2330)_x000D_
    at androidx recyclerview widget LinearLayoutManager layoutChunk(LinearLayoutManager java:1631)_x000D_
    at androidx recyclerview widget LinearLayoutManager fill(LinearLayoutManager java:1591)_x000D_
    at androidx recyclerview widget LinearLayoutManager onLayoutChildren(LinearLayoutManager java:668)_x000D_
    at androidx recyclerview widget RecyclerView dispatchLayoutStep2(RecyclerView java:4309)_x000D_
    at androidx recyclerview widget RecyclerView dispatchLayout(RecyclerView java:4012)_x000D_
    at androidx recyclerview widget RecyclerView onLayout(RecyclerView java:4578)_x000D_
    at android view View layout(View java:19663)_x000D_
    at android view ViewGroup layout(ViewGroup java:6075)_x000D_
    at android widget FrameLayout layoutChildren(FrameLayout java:323)_x000D_
    at android widget FrameLayout onLayout(FrameLayout java:261)_x000D_
    at android view View layout(View java:19663)_x000D_
    at android view ViewGroup layout(ViewGroup java:6075)_x000D_
    at androidx appcompat widget LinearLayoutCompat setChildFrame(LinearLayoutCompat java:1655)_x000D_
    at androidx appcompat widget LinearLayoutCompat layoutVertical(LinearLayoutCompat java:1509)_x000D_
    at androidx appcompat widget LinearLayoutCompat onLayout(LinearLayoutCompat java:1417)_x000D_
    at android view View layout(View java:19663)_x000D_
    at android view ViewGroup layout(ViewGroup java:6075)_x000D_
    at androidx swiperefreshlayout widget SwipeRefreshLayout onLayout(SwipeRefreshLayout java:688)_x000D_
    at android view View layout(View java:19663)_x000D_
    at android view ViewGroup layout(ViewGroup java:6075)_x000D_
    at androidx viewpager widget ViewPager onLayout(ViewPager java:1775)_x000D_
    at android view View layout(View java:19663)_x000D_
    at android view ViewGroup layout(ViewGroup java:6075)_x000D_
    at com google android material appbar HeaderScrollingViewBehavior layoutChild(HeaderScrollingViewBehavior java:148)_x000D_
    at com google android material appbar ViewOffsetBehavior onLayoutChild(ViewOffsetBehavior java:43)_x000D_
    at com google android material appbar AppBarLayout ScrollingViewBehavior onLayoutChild(AppBarLayout java:2003)_x000D_
    at androidx coordinatorlayout widget CoordinatorLayout onLayout(CoordinatorLayout java:918)_x000D_
    at android view View layout(View java:19663)_x000D_
    at android view ViewGroup layout(ViewGroup java:6075)_x000D_
    at android widget FrameLayout layoutChildren(FrameLayout java:323)_x000D_
    at android widget FrameLayout onLayout(FrameLayout java:261)_x000D_
    at android view View layout(View java:19663)_x000D_
    at android view ViewGroup layout(ViewGroup java:6075)_x000D_
    at android widget LinearLayout setChildFrame(LinearLayout java:1791)_x000D_
    at android widget LinearLayout layoutVertical(LinearLayout java:1635)_x000D_
    at android widget LinearLayout onLayout(LinearLayout java:1544)_x000D_
    at android view View layout(View java:19663)_x000D_
    at android view ViewGroup layout(ViewGroup java:6075)_x000D_
    at android widget FrameLayout layoutChildren(FrameLayout java:323)_x000D_
    at android widget FrameLayout onLayout(FrameLayout java:261)_x000D_
    at android view View layout(View java:19663)_x000D_
    at android view ViewGroup layout(ViewGroup java:6075)_x000D_
    at android widget LinearLayout setChildFrame(LinearLayout java:1791)_x000D_
    at android widget LinearLayout layoutVertical(LinearLayout java:1635)_x000D_
    at android widget LinearLayout onLayout(LinearLayout java:1544)_x000D_
    at android view View layout(View java:19663)_x000D_
    at android view ViewGroup layout(ViewGroup java:6075)_x000D_
    at android widget FrameLayout layoutChildren(FrameLayout java:323)_x000D_
    at android widget FrameLayout onLayout(FrameLayout java:261)_x000D_
    at com android internal policy DecorView onLayout(DecorView java:761)_x000D_
    at android view View layout(View java:19663)_x000D_
    at android view ViewGroup layout(ViewGroup java:6075)_x000D_
    at android view ViewRootImpl performLayout(ViewRootImpl java:2500)_x000D_
    at android view ViewRootImpl performTraversals(ViewRootImpl java:2216)_x000D_
    at android view ViewRootImpl doTraversal(ViewRootImpl java:1396)_x000D_
    at android view ViewRootImpl TraversalRunnable run(ViewRootImpl java:6773)_x000D_
    at android view Choreographer CallbackRecord run(Choreographer java:966)_x000D_
    at android view Choreographer doCallbacks(Choreographer java:778)_x000D_
    at android view Choreographer doFrame(Choreographer java:713)_x000D_
    at android view Choreographer FrameDisplayEventReceiver run(Choreographer java:952)_x000D_
    at android os Handler handleCallback(Handler java:790)_x000D_
    at android os Handler dispatchMessage(Handler java:99)_x000D_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_x000D_
_x000D_
  Device Info  _x000D_
App version: 2 6 3 (F Droid version)_x000D_
App version code: 392_x000D_
Android build version: 8704X S001025 190606 ROW_x000D_
Android release version: 8 1 0_x000D_
Android SDK version: 27_x000D_
Android build ID: TB 8704X S001025 190606 ROW_x000D_
Device brand: Lenovo_x000D_
Device manufacturer: LENOVO_x000D_
Device name: TB 8704X_x000D_
Device model: Lenovo TB 8704X_x000D_
Device product name: TB 8704X_x000D_
Device hardware name: qcom_x000D_
ABIs:  arm64 v8a  armeabi v7a  armeabi _x000D_
ABIs (32bit):  armeabi v7a  armeabi _x000D_
ABIs (64bit):  arm64 v8a _x000D_
System language: en IN_x000D_
In App Language: auto_x000D_
Mode: auto</t>
  </si>
  <si>
    <t>capacitor-community-google-maps-97</t>
  </si>
  <si>
    <t>Error in Android Device</t>
  </si>
  <si>
    <t xml:space="preserve">  Describe the bug  _x000D_
The app crashes in Android when it goes to background and is opened multiple times  I found this error y Android Native_x000D_
_x000D_
E AndroidRuntime: FATAL EXCEPTION: main_x000D_
    Process:  PID: 25927_x000D_
    java lang RuntimeException: Unable to stop activity  com        : java lang IllegalStateException_x000D_
        at android app ActivityThread callActivityOnStop(ActivityThread java:4995)_x000D_
        at android app ActivityThread performStopActivityInner(ActivityThread java:4960)_x000D_
        at android app ActivityThread handleStopActivity(ActivityThread java:5040)_x000D_
        at android app servertransaction StopActivityItem execute(StopActivityItem java:41)_x000D_
        at android app servertransaction TransactionExecutor executeLifecycleState(TransactionExecutor java:176)_x000D_
        at android app servertransaction TransactionExecutor execute(TransactionExecutor java:97)_x000D_
        at android app ActivityThread H handleMessage(ActivityThread java:2216)_x000D_
        at android os Handler dispatchMessage(Handler java:107)_x000D_
        at android os Looper loop(Looper java:237)_x000D_
        at android app ActivityThread main(ActivityThread java:7948)_x000D_
        at java lang reflect Method invoke(Native Method)_x000D_
        at com android internal os RuntimeInit MethodAndArgsCaller run(RuntimeInit java:493)_x000D_
        at com android internal os ZygoteInit main(ZygoteInit java:1075)_x000D_
     Caused by: java lang IllegalStateException_x000D_
        at com google android libraries maps ij zzae zzb(Preconditions java:29)_x000D_
        at com google android libraries maps ke zzae zze(MapRendererPhoenix java:253)_x000D_
        at com google android libraries maps ka zzba zzC(GoogleMapImpl java:310)_x000D_
        at com google android libraries maps ka zzcw zzh(MapViewDelegateImpl java:16)_x000D_
        at com google android libraries maps MapView zza onStop(MapView java:18)_x000D_
        at com google android gms dynamic DeferredLifecycleHelper onStop(com google android gms:play services base  17 3 0:63)_x000D_
        at com google android libraries maps MapView onStop(MapView java:39)_x000D_
        at com hemangkumar capacitorgooglemaps CapacitorGoogleMaps handleOnStop(CapacitorGoogleMaps java:90)_x000D_
        at com getcapacitor Bridge onStop(Bridge java:1092)_x000D_
        at com getcapacitor BridgeActivity onStop(BridgeActivity java:149)_x000D_
        at android app Instrumentation callActivityOnStop(Instrumentation java:1474)_x000D_
        at android app Activity performStop(Activity java:8187)_x000D_
        at android app ActivityThread callActivityOnStop(ActivityThread java:4987)_x000D_
        at android app ActivityThread performStopActivityInner(ActivityThread java:4960) _x000D_
        at android app ActivityThread handleStopActivity(ActivityThread java:5040) _x000D_
        at android app servertransaction StopActivityItem execute(StopActivityItem java:41) _x000D_
        at android app servertransaction TransactionExecutor executeLifecycleState(TransactionExecutor java:176) _x000D_
        at android app servertransaction TransactionExecutor execute(TransactionExecutor java:97) _x000D_
        at android app ActivityThread H handleMessage(ActivityThread java:2216) _x000D_
        at android os Handler dispatchMessage(Handler java:107) _x000D_
        at android os Looper loop(Looper java:237) _x000D_
        at android app ActivityThread main(ActivityThread java:7948) _x000D_
        at java lang reflect Method invoke(Native Method) _x000D_
        at com android internal os RuntimeInit MethodAndArgsCaller run(RuntimeInit java:493) _x000D_
        at com android internal os ZygoteInit main(ZygoteInit java:1075) _x000D_
_x000D_
  To Reproduce  _x000D_
Steps to reproduce the behavior:_x000D_
1  Put Background _x000D_
2  Open App _x000D_
3  Do 1  2 multiple times_x000D_
_x000D_
</t>
  </si>
  <si>
    <t>RelymeApp-RelymeAndroid-1</t>
  </si>
  <si>
    <t>BaseFragment Issue</t>
  </si>
  <si>
    <t xml:space="preserve">Application crashes on launch :sad momen: </t>
  </si>
  <si>
    <t>bytedance-AabResGuard-71</t>
  </si>
  <si>
    <t>Firebase推送接受消息时奔溃</t>
  </si>
  <si>
    <t xml:space="preserve">_x000D_
    whiteList    _x000D_
                    _x000D_
               R raw    _x000D_
               R drawable icon  _x000D_
               R drawable notify  _x000D_
_x000D_
               R mipmap ic launcher  _x000D_
                  _x000D_
               R string default web client id  _x000D_
               R string firebase database url  _x000D_
               R string gcm defaultSenderId  _x000D_
               R string google api key  _x000D_
               R string google app id  _x000D_
               R string google crash reporting api key  _x000D_
               R string google storage bucket  _x000D_
               R string project id  _x000D_
               R string com crashlytics android build id  _x000D_
                    getResources() getIdentifier      ID_x000D_
               R array a1  _x000D_
               R string s1  _x000D_
               R mipmap m1  _x000D_
               R dimen d1  _x000D_
               R integer int1  _x000D_
               for fabric_x000D_
               R string com crashlytics    _x000D_
              Firebase Crashlytics_x000D_
               R bool com crashlytics useFirebaseAppId  _x000D_
               R string com crashlytics useFirebaseAppId  _x000D_
               R string google app id  _x000D_
               R bool com crashlytics CollectDeviceIdentifiers  _x000D_
               R string com crashlytics CollectDeviceIdentifiers  _x000D_
               R bool com crashlytics CollectUserIdentifiers  _x000D_
               R string com crashlytics CollectUserIdentifiers  _x000D_
               R string com crashlytics ApiEndpoint  _x000D_
               R string io fabric android build id  _x000D_
               R string com crashlytics android build id  _x000D_
               R bool com crashlytics RequireBuildId  _x000D_
               R string com crashlytics RequireBuildId  _x000D_
               R bool com crashlytics CollectCustomLogs  _x000D_
               R string com crashlytics CollectCustomLogs  _x000D_
               R bool com crashlytics Trace  _x000D_
               R string com crashlytics Trace  _x000D_
               R string com crashlytics CollectCustomKeys  _x000D_
_x000D_
_x000D_
_x000D_
_x000D_
     _x000D_
    obfuscatedBundleFileName    fy aab                    aab    _x000D_
    mergeDuplicatedRes   false              _x000D_
    enableFilterFiles   false            _x000D_
    filterList              _x000D_
                        arm64 v8a    _x000D_
                        armeabi v7a    _x000D_
                      META INF   _x000D_
     _x000D_
    enableFilterStrings   false        _x000D_
    unusedStringPath   file( unused txt ) toPath()                mapping     _x000D_
    languageWhiteList     en    zh   in        en en xx zh zh xx         _x000D_
_x000D_
_x000D_
_x000D_
_x000D_
_x000D_
       _x000D_
            _x000D_
android content res Resources NotFoundException: String resource ID  0x0_x000D_
_x000D_
                     _x000D_
         </t>
  </si>
  <si>
    <t>nextcloud-android-8951</t>
  </si>
  <si>
    <t>Crash while picking data for upload</t>
  </si>
  <si>
    <t xml:space="preserve">    Steps to reproduce_x000D_
1  Press the SD card icon_x000D_
2  Pick Camera folder_x000D_
3  Push top left icon (arrow backwards) to cancel_x000D_
4  Push  cancel  button next to  upload  because 3  didn t work_x000D_
5  Repeat 3  and 4  until it crashes_x000D_
_x000D_
    Expected behaviour_x000D_
  it should go back to file listing_x000D_
_x000D_
    Actual behaviour_x000D_
  crash_x000D_
_x000D_
    Can you reproduce this problem on https:  try nextcloud com _x000D_
It s an app bug not nextcloud bug_x000D_
_x000D_
    Environment data_x000D_
Android version:_x000D_
10_x000D_
_x000D_
Device model: _x000D_
Nokia 8 1_x000D_
_x000D_
Stock or customized system:_x000D_
Stock_x000D_
_x000D_
Nextcloud app version:_x000D_
_x000D_
Nextcloud server version:_x000D_
_x000D_
Reverse proxy:_x000D_
_x000D_
    Logs_x000D_
_x000D_
   _x000D_
             CAUSE OF ERROR             _x000D_
_x000D_
java lang IllegalStateException: Bindings already cleared _x000D_
	at com owncloud android ui dialog LocalStoragePathPickerDialogFragment ViewBinding unbind(LocalStoragePathPickerDialogFragment ViewBinding java:29)_x000D_
	at com owncloud android ui dialog LocalStoragePathPickerDialogFragment onStop(LocalStoragePathPickerDialogFragment java:121)_x000D_
	at androidx fragment app Fragment performStop(Fragment java:3184)_x000D_
	at androidx fragment app FragmentStateManager stop(FragmentStateManager java:640)_x000D_
	at androidx fragment app FragmentStateManager moveToExpectedState(FragmentStateManager java:320)_x000D_
	at androidx fragment app FragmentManager executeOpsTogether(FragmentManager java:2180)_x000D_
	at androidx fragment app FragmentManager removeRedundantOperationsAndExecute(FragmentManager java:2100)_x000D_
	at androidx fragment app FragmentManager execPendingActions(FragmentManager java:2002)_x000D_
	at androidx fragment app FragmentManager 5 run(FragmentManager java:524)_x000D_
	at android os Handler handleCallback(Handler java:938)_x000D_
	at android os Handler dispatchMessage(Handler java:99)_x000D_
	at android os Looper loop(Looper java:223)_x000D_
	at android app ActivityThread main(ActivityThread java:7697)_x000D_
	at java lang reflect Method invoke(Native Method)_x000D_
	at com android internal os RuntimeInit MethodAndArgsCaller run(RuntimeInit java:592)_x000D_
	at com android internal os ZygoteInit main(ZygoteInit java:952)_x000D_
_x000D_
             APP INFORMATION             _x000D_
ID: com nextcloud client_x000D_
Version: 30170090_x000D_
Build flavor: gplay_x000D_
_x000D_
             DEVICE INFORMATION             _x000D_
Brand: Nokia_x000D_
Device: PNX sprout_x000D_
Model: Nokia 8 1_x000D_
Id: RKQ1 200906 002_x000D_
Product: Phoenix 00WW_x000D_
_x000D_
             FIRMWARE             _x000D_
SDK: 30_x000D_
Release: 11_x000D_
Incremental: 00WW 6 21C_x000D_
_x000D_
   _x000D_
_x000D_
     Nextcloud log (data nextcloud log)_x000D_
   _x000D_
Insert your Nextcloud log here_x000D_
   _x000D_
</t>
  </si>
  <si>
    <t>TeamNewPipe-NewPipe-7069</t>
  </si>
  <si>
    <t>"NumberFormatException" when loading a certain YouTube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</si>
  <si>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youtube com watch v g5ZgUIobSj0 in NewPipe_x000D_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After loading for a short period  an error report screen appears _x000D_
_x000D_
_x000D_
    Expected behavior_x000D_
     Tell us what you expect to happen     _x000D_
The video page displays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GB_x000D_
    Content Language:   en_x000D_
    App Language:   en US_x000D_
    Service:   none_x000D_
    Version:   0 21 9_x000D_
    OS:   Linux Android 10   29_x000D_
 details  summary  b Crash log   b   summary  p _x000D_
_x000D_
   _x000D_
java lang NumberFormatException: For input string:  61803398875 _x000D_
	at java lang Integer parseInt(Integer java:618)_x000D_
	at java lang Integer parseInt(Integer java:650)_x000D_
	at org schabi newpipe info list holder CommentsMiniInfoItemHolder 1 transformUrl(CommentsMiniInfoItemHolder java:64)_x000D_
	at android text util Linkify makeUrl(Linkify java:615)_x000D_
	at android text util Linkify addLinks(Linkify java:593)_x000D_
	at android text util Linkify addLinks(Linkify java:536)_x000D_
	at android text util Linkify addLinks(Linkify java:469)_x000D_
	at android text util Linkify addLinks(Linkify java:444)_x000D_
	at org schabi newpipe info list holder CommentsMiniInfoItemHolder linkify(CommentsMiniInfoItemHolder java:258)_x000D_
	at org schabi newpipe info list holder CommentsMiniInfoItemHolder ellipsize(CommentsMiniInfoItemHolder java:230)_x000D_
	at org schabi newpipe info list holder CommentsMiniInfoItemHolder lambda a9Jqshj OD1wN932a ym1V5C7tk(Unknown Source:0)_x000D_
	at org schabi newpipe info list holder    Lambda CommentsMiniInfoItemHolder a9Jqshj OD1wN932a ym1V5C7tk run(Unknown Source:2)_x000D_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java:493)_x000D_
	at com android internal os ZygoteInit main(ZygoteInit java:925)_x000D_
_x000D_
   _x000D_
  details _x000D_
 hr _x000D_
_x000D_
     Please fill this section if you did not provide a log generated by NewPipe    _x000D_
</t>
  </si>
  <si>
    <t>TeamNewPipe-NewPipe-7068</t>
  </si>
  <si>
    <t>Fixed restarting not working properly</t>
  </si>
  <si>
    <t xml:space="preserve">     What is it _x000D_
   x  Bugfix (user facing)_x000D_
      Feature (user facing)_x000D_
      Codebase improvement (dev facing)_x000D_
      Meta improvement to the project (dev facing)_x000D_
_x000D_
     Description of the changes in your PR_x000D_
The current method https:  github com TeamNewPipe NewPipe blob 6a1d81fcf311abab0a1caa8c207b9fa6f2e9cea3 app src main java org schabi newpipe util NavigationHelper java L602 L613 doesn t seem to work as expected  It fails to restart the app completely which causes invalid states when e g  migrating the database and results in an appcrash _x000D_
_x000D_
Note: This introduces a new external library:     process phoenix   (https:  github com JakeWharton ProcessPhoenix)_x000D_
_x000D_
     Before After Screenshots Screen Record_x000D_
  Before:_x000D_
_x000D_
https:  user images githubusercontent com 40789489 132254295 d71cc5f6 cd3d 46be bca1 c8b6f0543376 mp4_x000D_
_x000D_
Note: ACRA fails to open  may be an additional problem (could be https:  github com TeamNewPipe NewPipe issues 5222)_x000D_
_x000D_
Also note that it migrates the settings after the app crashes as seen in the log  :_x000D_
 NewPipeCrashOnImport log (https:  github com TeamNewPipe NewPipe files 7117547 NewPipeCrashOnImport log)_x000D_
_x000D_
  After:_x000D_
_x000D_
https:  user images githubusercontent com 40789489 132254488 d84799e3 0833 4efc 88a4 008120491b6c mp4_x000D_
_x000D_
 NoNewPipeCrashOnImport log (https:  github com TeamNewPipe NewPipe files 7117561 NoNewPipeCrashOnImport log)_x000D_
_x000D_
_x000D_
     APK testing _x000D_
The APK can be found by going to the  Checks  tab below the title  On the left pane  click on  CI   scroll down to  artifacts  and click  app  to download the zip file which contains the debug APK of this PR _x000D_
_x000D_
     Due diligence_x000D_
   x  I read the  contribution guidelines (https:  github com TeamNewPipe NewPipe blob HEAD  github CONTRIBUTING md) _x000D_
</t>
  </si>
  <si>
    <t>TeamNewPipe-NewPipe-7067</t>
  </si>
  <si>
    <t>Full Screen video resumes automatically after taking screenshot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</si>
  <si>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Turn auto rotation off _x000D_
2  Open a video in full screen _x000D_
3  Pause the video _x000D_
4  Take a screenshot and return to the video _x000D_
5  Video resumes automatically _x000D_
_x000D_
_x000D_
    Actual behavior_x000D_
     Tell us what happens with the steps given above     _x000D_
_x000D_
Video resumes automatically after returning to player _x000D_
_x000D_
    Expected behavior_x000D_
     Tell us what you expect to happen     _x000D_
_x000D_
Video should stay paused if it was manually paused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https:  user images githubusercontent com 79245641 132243439 874ac360 0237 4b46 85c7 f5b6cb507125 mp4_x000D_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11  MIUI 12 5 1_x000D_
   Device model: Xiaomi Redmi Note 8 Pro_x000D_
</t>
  </si>
  <si>
    <t>google-ExoPlayer-9392</t>
  </si>
  <si>
    <t>IllegalStateException when releasing DefaultDrmSession</t>
  </si>
  <si>
    <t xml:space="preserve">We are seeing a weird crash (on Firebase Crashlytics) after bumping to   2 14 2   (from 2 13 2) with the following stacktrace:_x000D_
_x000D_
   _x000D_
Fatal Exception: java lang IllegalStateException_x000D_
       at com google android exoplayer2 util Assertions checkState(Assertions java:84)_x000D_
       at com google android exoplayer2 drm DefaultDrmSession release(DefaultDrmSession java:308)_x000D_
       at com google android exoplayer2 drm DefaultDrmSessionManager PreacquiredSessionReference lambda release 1(DefaultDrmSessionManager java:1015)_x000D_
       at com google android exoplayer2 drm DefaultDrmSessionManager PreacquiredSessionReference lambda release 1 DefaultDrmSessionManager PreacquiredSessionReference(DefaultDrmSessionManager java:3)_x000D_
       at com google android exoplayer2 drm    Lambda DefaultDrmSessionManager PreacquiredSessionReference nYc XCZkgUmlTVMJKF9VQKrj NU run(  java:3)_x000D_
       at android os Handler handleCallback(Handler java:761)_x000D_
       at android os Handler dispatchMessage(Handler java:98)_x000D_
       at android os Looper loop(Looper java:156)_x000D_
       at android os HandlerThread run(HandlerThread java:61)_x000D_
   _x000D_
We haven t been able to reproduce it locally _x000D_
_x000D_
The incidence is low  few  5 out of 25K a day and not device specific  happening across all brands  Although Huawei devices have 40  of the share _x000D_
_x000D_
We use Dash with Widevine encryption  _x000D_
_x000D_
I thought this issue was related: https:  github com google ExoPlayer issues 9193 but it might be is not _x000D_
_x000D_
We ll update the status in the upcoming weeks once we move to 2 15 0 _x000D_
_x000D_
Thanks_x000D_
_x000D_
</t>
  </si>
  <si>
    <t>muxinc-mux-stats-sdk-exoplayer-152</t>
  </si>
  <si>
    <t>ConcurrentModificationException when calling updateCustomerData</t>
  </si>
  <si>
    <t>Mux library version:  2 5 2  for Exoplayer  2 14 1  _x000D_
_x000D_
There have been some reports of a crash when attempting to update the video data  The application will crash with an error:_x000D_
   _x000D_
Fatal Exception: java util ConcurrentModificationException_x000D_
       at java util LinkedHashMap LinkedHashIterator nextNode(LinkedHashMap java:757)_x000D_
       at java util LinkedHashMap LinkedKeyIterator next(LinkedHashMap java:780)_x000D_
       at com mux stats sdk os MuxDictionary c(MuxDictionary java:17)_x000D_
       at com mux stats sdk core model BaseQueryData keys(BaseQueryData java:2)_x000D_
       at com mux stats sdk core model BaseQueryData d(BaseQueryData java:2)_x000D_
       at com mux stats sdk core model CustomerData setCustomerVideoData(CustomerData java:4)_x000D_
       at com mux stats sdk muxstats MuxStats updateCustomerData(MuxStats java:4)_x000D_
       at com mux stats sdk muxstats MuxStats updateCustomerData(MuxStats java:4)_x000D_
       at com mux stats sdk muxstats MuxBaseExoPlayer updateCustomerData(MuxBaseExoPlayer java:346)_x000D_
   _x000D_
_x000D_
This happens when calling:_x000D_
   _x000D_
val videoData   muxStats customerData customerVideoData_x000D_
videoData videoTitle    newTitle _x000D_
muxStats updateCustomerData(muxStats customerData customerPlayerData  videoData)_x000D_
   _x000D_
_x000D_
I realise this version of  updateCustomerData  call  has recently been deprecated  We will probably switch to use the new approach  but it d be good to fix this problem  or at least verify it won t happen with  updateCustomerData(CustomerData data)  _x000D_
_x000D_
Note that it probably won t be possible to switch to the new call as long as this issue isn t fixed: https:  github com muxinc mux stats sdk exoplayer issues 137</t>
  </si>
  <si>
    <t>material-components-material-components-android-2360</t>
  </si>
  <si>
    <t>[MaterialDatePicker] Crash in dark theme</t>
  </si>
  <si>
    <t xml:space="preserve">  Description:   MaterialDatePicker and MaterialTimePicker not shown and app crashes when theme is dark on the phone  In Light theme everything is fine_x000D_
_x000D_
  Expected behavior:   DatePicker dialog should be shown _x000D_
_x000D_
  Android API version:   Android 10 API 29_x000D_
_x000D_
  Material Library version:   Material Android Library version 1 5 0 alpha02_x000D_
_x000D_
  Device:   Google pixel 3 API 29 emulator and Huawei P30 Lite API 29  _x000D_
_x000D_
  Logcat:  _x000D_
_x000D_
android view InflateException: Binary XML file line  23 in uz anorgroup doonk:layout mtrl picker dialog: Binary XML file line  26 in uz anorgroup doonk:layout mtrl picker header title text: Error inflating class TextView_x000D_
    Caused by: android view InflateException: Binary XML file line  26 in uz anorgroup doonk:layout mtrl picker header title text: Error inflating class TextView_x000D_
    Caused by: android content res Resources NotFoundException: Can t find ColorStateList from drawable resource ID  0x7f08009c_x000D_
        at android content res ResourcesImpl loadColorStateList(ResourcesImpl java:1395)_x000D_
        at android content res Resources loadColorStateList(Resources java:1170)_x000D_
        at android content res TypedArray getColorStateList(TypedArray java:678)_x000D_
        at android widget TextView readTextAppearance(TextView java:4035)_x000D_
        at android widget TextView  init (TextView java:1104)_x000D_
        at android widget TextView  init (TextView java:1004)_x000D_
        at androidx appcompat widget AppCompatTextView  init (AppCompatTextView java:102)_x000D_
        at com google android material textview MaterialTextView  init (MaterialTextView java:93)_x000D_
        at com google android material textview MaterialTextView  init (MaterialTextView java:88)_x000D_
        at com google android material textview MaterialTextView  init (MaterialTextView java:83)_x000D_
        at com google android material theme MaterialComponentsViewInflater createTextView(MaterialComponentsViewInflater java:61)_x000D_
        at androidx appcompat app AppCompatViewInflater createView(AppCompatViewInflater java:115)_x000D_
        at androidx appcompat app AppCompatDelegateImpl createView(AppCompatDelegateImpl java:1563)_x000D_
        at androidx appcompat app AppCompatDelegateImpl onCreateView(AppCompatDelegateImpl java:1614)_x000D_
        at android view LayoutInflater FactoryMerger onCreateView(LayoutInflater java:244)_x000D_
        at android view LayoutInflater tryCreateView(LayoutInflater java:1071)_x000D_
        at android view LayoutInflater createViewFromTag(LayoutInflater java:1007)_x000D_
        at android view LayoutInflater parseInclude(LayoutInflater java:1243)_x000D_
        at android view LayoutInflater rInflate(LayoutInflater java:1129)_x000D_
        at android view LayoutInflater rInflateChildren(LayoutInflater java:1094)_x000D_
        at android view LayoutInflater rInflate(LayoutInflater java:1136)_x000D_
        at android view LayoutInflater rInflateChildren(LayoutInflater java:1094)_x000D_
        at android view LayoutInflater rInflate(LayoutInflater java:1136)_x000D_
        at android view LayoutInflater parseInclude(LayoutInflater java:1241)_x000D_
        at android view LayoutInflater rInflate(LayoutInflater java:1129)_x000D_
        at android view LayoutInflater rInflateChildren(LayoutInflater java:1094)_x000D_
        at android view LayoutInflater inflate(LayoutInflater java:692)_x000D_
        at android view LayoutInflater inflate(LayoutInflater java:536)_x000D_
        at android view LayoutInflater inflate(LayoutInflater java:483)_x000D_
        at com google android material datepicker MaterialDatePicker onCreateView(MaterialDatePicker java:209)_x000D_
        at androidx fragment app Fragment performCreateView(Fragment java:2961)_x000D_
        at androidx fragment app DialogFragment performCreateView(DialogFragment java:489)_x000D_
        at androidx fragment app FragmentStateManager createView(FragmentStateManager java:504)_x000D_
        at androidx fragment app FragmentStateManager moveToExpectedState(FragmentStateManager java:259)_x000D_
        at androidx fragment app FragmentManager executeOpsTogether(FragmentManager java:1797)_x000D_
        at androidx fragment app FragmentManager removeRedundantOperationsAndExecute(FragmentManager java:1715)_x000D_
        at androidx fragment app FragmentManager execPendingActions(FragmentManager java:1658)_x000D_
        at androidx fragment app FragmentManager 4 run(FragmentManager java:488)_x000D_
        at android os Handler handleCallback(Handler java:888)_x000D_
        at android os Handler dispatchMessage(Handler java:100)_x000D_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_x000D_
_x000D_
</t>
  </si>
  <si>
    <t>PojavLauncherTeam-PojavLauncher-1988</t>
  </si>
  <si>
    <t>I can't create Minecraft worlds, can't play online , Can't play forge Minecraft and Minecraft fabric</t>
  </si>
  <si>
    <t xml:space="preserve">    Describe the bug
I entered the game version 1 8 9 and went into multiplayer mode  but the game crashed And so is the survival mode_x000D_
Forge and fabric While in the game  it crashed_x000D_
    The log file and images videos
 No response 
    Steps To Reproduce
   markdown
1Launch pojavlauncher _x000D_
2Enter the game with version 1 8 9 _x000D_
3Create a Minecraft World_x000D_
4Flashed out Pojavlauncher screen
    Expected Behavior
Mong nh  ph t tri n  h  tr 
    Platform
   markdown
  Device model: Oppo A37f_x000D_
  CPU architecture: aarch64_x000D_
  Android version: 5 1 1_x000D_
  PojavLauncher version: crocus 3 opejdk
    Anything else 
Ko</t>
  </si>
  <si>
    <t>PojavLauncherTeam-PojavLauncher-1986</t>
  </si>
  <si>
    <t>[BUG] Crashed when starting game</t>
  </si>
  <si>
    <t xml:space="preserve">    Describe the bug
Game crashed
    The log file and images videos
  Screenshot 2021 09 06 09 14 45 36 (https:  user images githubusercontent com 82200440 132147622 24f677e9 5dc6 402b ba8d ed234652c3a7 png)_x000D_
    Steps To Reproduce
   markdown
1  Start Pojavlauncher_x000D_
2  Select Account_x000D_
3  Select Version_x000D_
4  Start Game_x000D_
5  Crashed
    Expected Behavior
nothing
    Platform
   markdown
  Device model: OPPO A77_x000D_
  CPU architecture: aarch64_x000D_
  Android version: 6 0_x000D_
  PojavLauncher version: Latest
    Anything else 
nothing</t>
  </si>
  <si>
    <t>TeamNewPipe-NewPipe-7064</t>
  </si>
  <si>
    <t>Video ending set at 0:00</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</si>
  <si>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1  Go to newpipe and set bandcamp_x000D_
2  Play a video_x000D_
3  Look at when it ends_x000D_
4  See error_x000D_
_x000D_
_x000D_
    Actual behavior_x000D_
     Tell us what happens with the steps given above     _x000D_
It shows 0:00_x000D_
_x000D_
_x000D_
    Expected behavior_x000D_
     Tell us what you expect to happen     _x000D_
It should show the length of the video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Screenshot 20210906 023037 (https:  user images githubusercontent com 74511929 132144416 826dc5cc 1449 4955 88a8 9f1b1ee3ade3 jpg)_x000D_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7 1 1_x000D_
   Device model: Samsung Galaxy Tab A SM P555_x000D_
</t>
  </si>
  <si>
    <t>Anuken-Mindustry-5944</t>
  </si>
  <si>
    <t>Inactive sector defense calculations do not match outcome when active</t>
  </si>
  <si>
    <t xml:space="preserve">  Platform  : Windows_x000D_
_x000D_
  Build  : release build 126 2_x000D_
_x000D_
  Issue  : Currently  when a sector is under attack while you are in a different sector  the calculations do not necessarily represent your defenses  While this is not really noticeable when fighting low level waves  it can be really problematic later on _x000D_
_x000D_
In my save game  I have lost both the  Nuclear Production Complex  and the  Impact 0078  to the enemy repeatedly while concentrating on other sectors  In both cases I had reached wave 200 without any issues  but I lost them while being away at much earlier waves (e g  wave 135)  So the calculations seem to be grossly underestimating my defensive power _x000D_
_x000D_
This isn t game breaking  but can be really annoying when having multiple sectors under attack  as you have to keep cycling which sector you play actively _x000D_
_x000D_
  Steps to reproduce  : In my save file  the  Impact 0078  is in a state where it should fall with the next set of waves (might take longer  hard to say)  but would hold if viewed actively _x000D_
_x000D_
  Link(s) to mod(s) used  : This is a vanilla save _x000D_
_x000D_
  Save file  :  saves zip (https:  github com Anuken Mindustry files 7112353 saves zip) I saw a few issues like mine which never included a save file  so I hope this helps _x000D_
_x000D_
  (Crash) logs  : No crash 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</si>
  <si>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Anuken-Mindustry-5941</t>
  </si>
  <si>
    <t>Server wont start</t>
  </si>
  <si>
    <t xml:space="preserve">  Platform  :  Android iOS Mac Windows Linux 
Linux
  Build  :  The build number under the title in the main menu  Required   LATEST  IS NOT A VERSION  I NEED THE EXACT BUILD NUMBER OF YOUR GAME  
Server 130 1
  Issue  :  Explain your issue in detail  
I get this error: java  jar server jar
 09 05 2021 16:39:14   E  java lang IllegalArgumentException
        at java util concurrent ThreadPoolExecutor  init (ThreadPoolExecutor java:1314)
        at java util concurrent ThreadPoolExecutor  init (ThreadPoolExecutor java:1237)
        at java util concurrent Executors newFixedThreadPool(Executors java:151)
        at arc util async AsyncExecutor  init (AsyncExecutor java:25)
        at arc util async AsyncExecutor  init (AsyncExecutor java:20)
        at mindustry mod Mods  init (Mods java:33)
        at mindustry Vars init(Vars java:279)
        at mindustry server ServerLauncher init(ServerLauncher java:47)
        at arc backend headless HeadlessApplication mainLoop(HeadlessApplication java:65)
        at arc backend headless HeadlessApplication 1 run(HeadlessApplication java:53)
  Steps to reproduce  :  How you happened across the issue  and what exactly you did to make the bug happen  
I ran java  jar server jar
  Link(s) to mod(s) used  :  The mod repositories or zip files that are related to the issue  if applicable  
N A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Save file (https:  drive google com file d 1reT CFOKBBiqFUNYupnSgIepwq5bHLa6 view usp drivesdk)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See   Issues   section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</si>
  <si>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PojavLauncherTeam-PojavLauncher-1984</t>
  </si>
  <si>
    <t>[BUG] The application / game crashed with code 1 when launching the Lunar Client</t>
  </si>
  <si>
    <t xml:space="preserve">    Describe the bug
When launching the Lunar Client on a new assembly of PojavLauncher  the game crashes with the inscription  The application   game crashed with code 1  (sorry if there is a mistake somewhere  I don t speak English myself  
    The log file and images videos
          beggining with launcher debug_x000D_
Info: Launcher version: v3 3 1 1 1249 3db1eec99 v3 openjdk_x000D_
Info: LWJGL3 directory:  jsr305 jar  lwjgl glfw classes jar  lwjgl jemalloc jar  lwjgl openal jar  lwjgl opengl jar  lwjgl stb jar  lwjgl tinyfd jar  lwjgl jar  version _x000D_
Architecture: arm64_x000D_
Info: Custom Java arguments:   Xms812m  Xmx1800m _x000D_
Info: Selected Minecraft version: LC_x000D_
Added custom env: TMPDIR  data user 0 net kdt pojavlaunch debug cache_x000D_
Added custom env: AWTSTUB WIDTH 2400_x000D_
Added custom env: REGAL GL VERSION 4 5_x000D_
Added custom env: REGAL GL VENDOR Android_x000D_
Added custom env: LIBGL MIPMAP 3_x000D_
Added custom env: allow higher compat version true_x000D_
Added custom env: MESA GLSL CACHE DIR  data user 0 net kdt pojavlaunch debug cache_x000D_
Added custom env: HOME  storage emulated 0 Android data net kdt pojavlaunch debug files  minecraft_x000D_
Added custom env: PATH  data user 0 net kdt pojavlaunch debug runtimes jre17 arm64 20210825 release tar xz bin: sbin: system sbin: product bin: apex com android runtime bin: system bin: system xbin: odm bin: vendor bin: vendor xbin_x000D_
Added custom env: force glsl extensions warn true_x000D_
Added custom env: LIBGL NORMALIZE 1_x000D_
Added custom env: LD LIBRARY PATH  data user 0 net kdt pojavlaunch debug runtimes jre17 arm64 20210825 release tar xz lib jli: data user 0 net kdt pojavlaunch debug runtimes jre17 arm64 20210825 release tar xz lib: system lib64: vendor lib64: vendor lib64 hw: data app net kdt pojavlaunch debug Yd21vEKisoUorBMy6yUhdw   lib arm64_x000D_
Added custom env: POJAV RENDERER opengles3 vgpu_x000D_
Added custom env: LIBGL ES 3 vgpu_x000D_
Added custom env: MESA LOADER DRIVER OVERRIDE zink_x000D_
Added custom env: MESA GLSL VERSION OVERRIDE 460_x000D_
Added custom env: JAVA HOME  data user 0 net kdt pojavlaunch debug runtimes jre17 arm64 20210825 release tar xz_x000D_
Added custom env: MESA GL VERSION OVERRIDE 4 6_x000D_
Added custom env: allow glsl extension directive midshader true_x000D_
Added custom env: REGAL GL RENDERER Regal_x000D_
Added custom env: AWTSTUB HEIGHT 1080_x000D_
          beginning of main_x000D_
I jrelog  ( 1100): Going to free args_x000D_
I jrelog  ( 1100): Free done_x000D_
I jrelog  ( 6705): dlopen libxhook so success_x000D_
          beginning of system_x000D_
I LIBGL   ( 6705): Initialising vgpu gl4es_x000D_
I LIBGL   ( 6705): vgpu 1 3 6 gl4es 1 1 4 built on Aug 25 2021 09:26:59_x000D_
I LIBGL   ( 6705): Using GLES 3 0 backend_x000D_
I LIBGL   ( 6705): LIBGL:loaded: libGLESv3 so_x000D_
I LIBGL   ( 6705): loaded: libEGL so_x000D_
I LIBGL   ( 6705): Using GLES 3 0 backend_x000D_
I LIBGL   ( 6705): _x000D_
I LIBGL   ( 6705):         _x000D_
I LIBGL   ( 6705): GL EXTENSIONS is :_x000D_
I LIBGL   ( 6705): GL OES EGL image GL OES EGL image external GL OES EGL sync GL OES vertex half float GL OES framebuffer object GL OES rgb8 rgba8 GL OES compressed ETC1 RGB8 texture GL AMD compressed ATC texture GL KHR texture compression astc ldr GL KHR texture compression astc hdr GL OES texture compression astc GL OES texture npot GL EXT texture filter anisotropic GL EXT texture format BGRA8888 GL EXT read format bgra GL OES texture 3D GL EXT color buffer float GL EXT color buffer half float GL QCOM alpha test GL OES depth24 GL OES packed depth stencil GL OES depth texture GL OES depth texture cube map GL EXT sRGB GL OES texture float GL OES texture float linear GL OES texture half float GL OES texture half float linear GL EXT texture type 2 10 10 10 REV GL EXT texture sRGB decode GL EXT texture format sRGB override GL OES element index uint GL EXT copy image GL EXT geometry shader GL EXT tessellation shader GL OES texture stencil8 GL EXT shader io blocks GL OES shader image atomic GL OES sampl_x000D_
I LIBGL   ( 6705): Hardware Full NPOT detected and used_x000D_
I LIBGL   ( 6705): FBO are in core  and so used_x000D_
I LIBGL   ( 6705): PointSprite are in core  and so used_x000D_
I LIBGL   ( 6705): CubeMap are in core  and so used_x000D_
I LIBGL   ( 6705): BlendColor is in core  and so used_x000D_
I LIBGL   ( 6705): Blend Substract is in core  and so used_x000D_
I LIBGL   ( 6705): Blend Function and Equation Separation is in core  and so used_x000D_
I LIBGL   ( 6705): Texture Mirrored Repeat is in core  and so used_x000D_
I LIBGL   ( 6705): Extension GL OES element index uint  detected and used_x000D_
I LIBGL   ( 6705): Extension GL OES packed depth stencil  detected and used_x000D_
I LIBGL   ( 6705): Extension GL OES depth24  detected and used_x000D_
I LIBGL   ( 6705): Extension GL OES rgb8 rgba8  detected and used_x000D_
I LIBGL   ( 6705): Extension GL EXT texture format BGRA8888  detected and used_x000D_
I LIBGL   ( 6705): Extension GL OES depth texture  detected and used_x000D_
I LIBGL   ( 6705): Extension GL OES texture stencil8  detected and used_x000D_
I LIBGL   ( 6705): Extension GL OES texture float  detected and used_x000D_
I LIBGL   ( 6705): Extension GL OES texture half float  detected and used_x000D_
I LIBGL   ( 6705): Extension GL EXT color buffer float  detected and used_x000D_
I LIBGL   ( 6705): Extension GL EXT color buffer half float  detected and used_x000D_
I LIBGL   ( 6705): high precision float in fragment shader available and used_x000D_
I LIBGL   ( 6705): Max vertex attrib: 32_x000D_
I LIBGL   ( 6705): Extension GL OES standard derivatives  detected and used_x000D_
I LIBGL   ( 6705): Max texture size: 16384_x000D_
I LIBGL   ( 6705): Max Varying Vector: 31_x000D_
I LIBGL   ( 6705): Texture Units: 16 16 (hardware: 16)  Max lights: 8  Max planes: 6_x000D_
I LIBGL   ( 6705): Extension GL EXT texture filter anisotropic  detected and used_x000D_
I LIBGL   ( 6705): Max Anisotropic filtering: 16_x000D_
I LIBGL   ( 6705): Max Color Attachments: 8   Draw buffers: 8_x000D_
I LIBGL   ( 6705): Hardware vendor is Qualcomm_x000D_
I LIBGL   ( 6705): Hardware renderer is Adreno (TM) 618_x000D_
I LIBGL   ( 6705): GLSL 300 es supported_x000D_
I LIBGL   ( 6705): GLSL 310 es supported and used_x000D_
I LIBGL   ( 6705): GLSL 320 es supported and used_x000D_
I LIBGL   ( 6705): sRGB surface supported_x000D_
I LIBGL   ( 6705): EGLImage to Texture2D supported_x000D_
I LIBGL   ( 6705): EGLImage to RenderBuffer supported_x000D_
I LIBGL   ( 6705): ignore MipMap_x000D_
I LIBGL   ( 6705): Targeting OpenGL 3 0_x000D_
I LIBGL   ( 6705): NPOT texture handled in hardware_x000D_
I LIBGL   ( 6705): Not trying to batch small subsequent glDrawXXXX_x000D_
I LIBGL   ( 6705): try to use VBO_x000D_
I LIBGL   ( 6705): glX Will try to recycle EGL Surface_x000D_
I LIBGL   ( 6705): Current folder is: _x000D_
I jrelog  ( 6705): dlopen libvgpu so success_x000D_
I jrelog  ( 6705): dlopen  data user 0 net kdt pojavlaunch debug runtimes jre17 arm64 20210825 release tar xz lib libjli so success_x000D_
I jrelog  ( 6705): dlopen libjvm so failed: dlopen failed: library  libjvm so  not found_x000D_
I jrelog  ( 6705): dlopen  data user 0 net kdt pojavlaunch debug runtimes jre17 arm64 20210825 release tar xz lib server libjvm so success_x000D_
I jrelog  ( 6705): dlopen  data user 0 net kdt pojavlaunch debug runtimes jre17 arm64 20210825 release tar xz lib libverify so success_x000D_
I jrelog  ( 6705): dlopen  data user 0 net kdt pojavlaunch debug runtimes jre17 arm64 20210825 release tar xz lib libjava so success_x000D_
I jrelog  ( 6705): dlopen  data user 0 net kdt pojavlaunch debug runtimes jre17 arm64 20210825 release tar xz lib libnet so success_x000D_
I jrelog  ( 6705): dlopen  data user 0 net kdt pojavlaunch debug runtimes jre17 arm64 20210825 release tar xz lib libnio so success_x000D_
I jrelog  ( 6705): dlopen  data user 0 net kdt pojavlaunch debug runtimes jre17 arm64 20210825 release tar xz lib libawt so success_x000D_
I jrelog  ( 6705): dlopen  data user 0 net kdt pojavlaunch debug runtimes jre17 arm64 20210825 release tar xz lib libawt headless so success_x000D_
I jrelog  ( 6705): dlopen  data user 0 net kdt pojavlaunch debug runtimes jre17 arm64 20210825 release tar xz lib libfreetype so success_x000D_
I jrelog  ( 6705): dlopen  data user 0 net kdt pojavlaunch debug runtimes jre17 arm64 20210825 release tar xz lib libfontmanager so success_x000D_
I jrelog  ( 6705): dlopen  data user 0 net kdt pojavlaunch debug runtimes jre17 arm64 20210825 release tar xz lib libawt so success_x000D_
I jrelog  ( 6705): dlopen  data user 0 net kdt pojavlaunch debug runtimes jre17 arm64 20210825 release tar xz lib server libjvm so success_x000D_
I jrelog  ( 6705): dlopen  data user 0 net kdt pojavlaunch debug runtimes jre17 arm64 20210825 release tar xz lib server libjsig so success_x000D_
I jrelog  ( 6705): dlopen  data user 0 net kdt pojavlaunch debug runtimes jre17 arm64 20210825 release tar xz lib libattach so success_x000D_
I jrelog  ( 6705): dlopen  data user 0 net kdt pojavlaunch debug runtimes jre17 arm64 20210825 release tar xz lib libjavajpeg so success_x000D_
I jrelog  ( 6705): dlopen  data user 0 net kdt pojavlaunch debug runtimes jre17 arm64 20210825 release tar xz lib libsyslookup so success_x000D_
I jrelog  ( 6705): dlopen  data user 0 net kdt pojavlaunch debug runtimes jre17 arm64 20210825 release tar xz lib libfontmanager so success_x000D_
I jrelog  ( 6705): dlopen  data user 0 net kdt pojavlaunch debug runtimes jre17 arm64 20210825 release tar xz lib libj2pcsc so success_x000D_
I jrelog  ( 6705): dlopen  data user 0 net kdt pojavlaunch debug runtimes jre17 arm64 20210825 release tar xz lib libmanagement so success_x000D_
I jrelog  ( 6705): dlopen  data user 0 net kdt pojavlaunch debug runtimes jre17 arm64 20210825 release tar xz lib libjaas so success_x000D_
I jrelog  ( 6705): dlopen  data user 0 net kdt pojavlaunch debug runtimes jre17 arm64 20210825 release tar xz lib libfreetype so success_x000D_
I jrelog  ( 6705): dlopen  data user 0 net kdt pojavlaunch debug runtimes jre17 arm64 20210825 release tar xz lib libjli so success_x000D_
I jrelog  ( 6705): dlopen  data user 0 net kdt pojavlaunch debug runtimes jre17 arm64 20210825 release tar xz lib libjimage so success_x000D_
I jrelog  ( 6705): dlopen  data user 0 net kdt pojavlaunch debug runtimes jre17 arm64 20210825 release tar xz lib libjsig so success_x000D_
I jrelog  ( 6705): dlopen  data user 0 net kdt pojavlaunch debug runtimes jre17 arm64 20210825 release tar xz lib libj2gss so success_x000D_
I jrelog  ( 6705): dlopen  data user 0 net kdt pojavlaunch debug runtimes jre17 arm64 20210825 release tar xz lib libnet so success_x000D_
I jrelog  ( 6705): dlopen  data user 0 net kdt pojavlaunch debug runtimes jre17 arm64 20210825 release tar xz lib libjava so success_x000D_
I jrelog  ( 6705): dlopen  data user 0 net kdt pojavlaunch debug runtimes jre17 arm64 20210825 release tar xz lib libnio so success_x000D_
I jrelog  ( 6705): dlopen  data user 0 net kdt pojavlaunch debug runtimes jre17 arm64 20210825 release tar xz lib libprefs so success_x000D_
I jrelog  ( 6705): dlopen  data user 0 net kdt pojavlaunch debug runtimes jre17 arm64 20210825 release tar xz lib libmanagement ext so success_x000D_
I jrelog  ( 6705): dlopen  data user 0 net kdt pojavlaunch debug runtimes jre17 arm64 20210825 release tar xz lib libj2pkcs11 so success_x000D_
I jrelog  ( 6705): dlopen  data user 0 net kdt pojavlaunch debug runtimes jre17 arm64 20210825 release tar xz lib libdt socket so success_x000D_
I jrelog  ( 6705): dlopen  data user 0 net kdt pojavlaunch debug runtimes jre17 arm64 20210825 release tar xz lib libjdwp so success_x000D_
I jrelog  ( 6705): dlopen  data user 0 net kdt pojavlaunch debug runtimes jre17 arm64 20210825 release tar xz lib libzip so success_x000D_
I jrelog  ( 6705): dlopen  data user 0 net kdt pojavlaunch debug runtimes jre17 arm64 20210825 release tar xz lib libsctp so success_x000D_
I jrelog  ( 6705): dlopen  data user 0 net kdt pojavlaunch debug runtimes jre17 arm64 20210825 release tar xz lib libmlib image so success_x000D_
I jrelog  ( 6705): dlopen  data user 0 net kdt pojavlaunch debug runtimes jre17 arm64 20210825 release tar xz lib libextnet so success_x000D_
I jrelog  ( 6705): dlopen  data user 0 net kdt pojavlaunch debug runtimes jre17 arm64 20210825 release tar xz lib libinstrument so success_x000D_
I jrelog  ( 6705): dlopen  data user 0 net kdt pojavlaunch debug runtimes jre17 arm64 20210825 release tar xz lib libmanagement agent so success_x000D_
I jrelog  ( 6705): dlopen  data user 0 net kdt pojavlaunch debug runtimes jre17 arm64 20210825 release tar xz lib librmi so success_x000D_
I jrelog  ( 6705): dlopen  data user 0 net kdt pojavlaunch debug runtimes jre17 arm64 20210825 release tar xz lib liblcms so success_x000D_
I jrelog  ( 6705): dlopen  data user 0 net kdt pojavlaunch debug runtimes jre17 arm64 20210825 release tar xz lib libjawt so success_x000D_
I jrelog  ( 6705): dlopen  data user 0 net kdt pojavlaunch debug runtimes jre17 arm64 20210825 release tar xz lib libverify so success_x000D_
I jrelog  ( 6705): dlopen  data user 0 net kdt pojavlaunch debug runtimes jre17 arm64 20210825 release tar xz lib libawt headless so success_x000D_
I jrelog  ( 6705): dlopen  data user 0 net kdt pojavlaunch debug runtimes jre17 arm64 20210825 release tar xz lib libawt xawt so success_x000D_
I jrelog  ( 6705): dlopen  data app net kdt pojavlaunch debug Yd21vEKisoUorBMy6yUhdw   lib arm64 libopenal so success_x000D_
I jrelog  ( 6705): Done processing args_x000D_
I jrelog  ( 6705): Found JLI lib_x000D_
I jrelog  ( 6705): Calling JLI Launch_x000D_
LUNARCLIENT STATUS INIT_x000D_
 Bridge  Setting Bridge Implementation to lunar da IlllIIIIIlllllllIIIIIllIl_x000D_
 LWJGL  Failed to load a library  Possible solutions:_x000D_
	a) Add the directory that contains the shared library to  Djava library path or  Dorg lwjgl librarypath _x000D_
	b) Add the JAR that contains the shared library to the classpath _x000D_
 LWJGL  Enable debug mode with  Dorg lwjgl util Debug true for better diagnostics _x000D_
 LWJGL  Enable the SharedLibraryLoader debug mode with  Dorg lwjgl util DebugLoader true for better diagnostics _x000D_
Exception in thread  main  _x000D_
java lang ExceptionInInitializerError_x000D_
	at lunar ar IlllIIIIIlllllllIIIIIllIl  clinit (Unknown Source)_x000D_
	at net minecraft client main Main redirect zzg000 impl main parse(SourceFile:560)_x000D_
	at net minecraft client main Main main(SourceFile:53)_x000D_
Caused by: java lang ClassCastException: class jdk internal loader ClassLoaders AppClassLoader cannot be cast to class java net URLClassLoader (jdk internal loader ClassLoaders AppClassLoader and java net URLClassLoader are in module java base of loader  bootstrap )_x000D_
	at lunar aB lIlIIIIIIlllIIIIIlIIIllIl  init (Unknown Source)_x000D_
	at lunar aB lllIIIIlIIllIIllIIllIIIll  init (Unknown Source)_x000D_
	at lunar aB lllIIIIlIIllIIllIIllIIIll  clinit (Unknown Source)_x000D_
	    3 more_x000D_
Java Exit code: 1_x000D_
I jrelog  ( 6705): Going to free args_x000D_
I jrelog  ( 6705): Free done
    Steps To Reproduce
   markdown
1  Launching PojavLauncher_x000D_
2  Selecting the version of the Lunar Client_x000D_
3  Launching the game
    Expected Behavior
I expect the Lunar Client to start
    Platform
   markdown
  Device model: _x000D_
  CPU architecture: _x000D_
  Android version: _x000D_
  PojavLauncher version:
    Anything else 
 No response </t>
  </si>
  <si>
    <t>leandrosimoes-react-native-android-notification-listener-27</t>
  </si>
  <si>
    <t>Context.startForegroundService() did not then call Service.startForeground()</t>
  </si>
  <si>
    <t xml:space="preserve">I was checking reports from google crashes and ANR so I found my app is crashing because of this issue _x000D_
_x000D_
   Context startForegroundService() did not then call Service startForeground(): ServiceRecord 8a0af1e u0 com streamalerts com lesimoes androidnotificationlistener RNAndroidNotificationListener    _x000D_
_x000D_
Can you explain me why my app is crashing with this and what will be the solution _x000D_
_x000D_
  image (https:  user images githubusercontent com 25629063 132131268 3a3adeb7 67b4 45c8 ac92 aa0df41bd677 png)_x000D_
</t>
  </si>
  <si>
    <t>TeamNewPipe-NewPipe-7060</t>
  </si>
  <si>
    <t>Screen rotation</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</si>
  <si>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Actual behavior
     Tell us what happens with the steps given above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section if you did not provide a log generated by NewPipe    
    Device info
   Android version Custom ROM version:
   Device model:
</t>
  </si>
  <si>
    <t>martinloren-HScope-41</t>
  </si>
  <si>
    <t>LASTEST VERSION OF HSCOPE CRASHES DURING PROBE SETUP</t>
  </si>
  <si>
    <t xml:space="preserve">Using an ONN 100011886 tablet  the new version of HSCOPE  updated from the Play Store on Sept 4  2021  crashes when attempting to change probe settings in setup  After crash  rerunning the app shows that the change requested in the probe setup was made  just crashes the app and requires rerun  Problem noted in demo  and online 6022BE modes </t>
  </si>
  <si>
    <t>PojavLauncherTeam-PojavLauncher-1977</t>
  </si>
  <si>
    <t>[BUG] Restarting pojavlauncher may reset control map</t>
  </si>
  <si>
    <t xml:space="preserve">    Describe the bug
I spent lot of time editing control map but I found restarting pojavlauncher may reset control map  
    The log file and images videos
 No response 
    Steps To Reproduce
   markdown
1 Start pojavlauncher_x000D_
2 Edit control map_x000D_
3 Restart pojavlauncher or make a crash_x000D_
4 Try step 3 multiple times_x000D_
5 The control map reset by itself    
    Expected Behavior
I expect the control map won t be reset
    Platform
   markdown
  Device model: HUAWEI MatePad 10 4  6 128G_x000D_
  CPU architecture: aarch64_x000D_
  Android version: 10_x000D_
  PojavLauncher version: Latest Release
    Anything else 
Nope</t>
  </si>
  <si>
    <t>cgeo-cgeo-11628</t>
  </si>
  <si>
    <t>Cannot read bookmark list</t>
  </si>
  <si>
    <t xml:space="preserve">    Describe your problem 
A single user has a problem  that he (PM) can not access the bookmark lists but gets an error toast  that it can t be read _x000D_
_x000D_
I asked for a debug log _x000D_
With activated debug logging the app crashes when trying to open the List PQ menu _x000D_
_x000D_
Stack trace:_x000D_
   _x000D_
9 04 13:00:29 091 18001 18060 E AndroidRuntime: FATAL EXCEPTION: network  5_x000D_
09 04 13:00:29 091 18001 18060 E AndroidRuntime: Process: cgeo geocaching  PID: 18001_x000D_
09 04 13:00:29 091 18001 18060 E AndroidRuntime: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java lang RuntimeException: Aborting on Log e()_x000D_
09 04 13:00:29 091 18001 18060 E AndroidRuntime: 	at io reactivex rxjava3 plugins RxJavaPlugins onError(RxJavaPlugins java:372)_x000D_
09 04 13:00:29 091 18001 18060 E AndroidRuntime: 	at io reactivex rxjava3 internal schedulers ExecutorScheduler ExecutorWorker BooleanRunnable run(ExecutorScheduler java:325)_x000D_
09 04 13:00:29 091 18001 18060 E AndroidRuntime: 	at io reactivex rxjava3 internal schedulers ExecutorScheduler ExecutorWorker runEager(ExecutorScheduler java:287)_x000D_
09 04 13:00:29 091 18001 18060 E AndroidRuntime: 	at io reactivex rxjava3 internal schedulers ExecutorScheduler ExecutorWorker run(ExecutorScheduler java:248)_x000D_
09 04 13:00:29 091 18001 18060 E AndroidRuntime: 	at java util concurrent ThreadPoolExecutor runWorker(ThreadPoolExecutor java:1167)_x000D_
09 04 13:00:29 091 18001 18060 E AndroidRuntime: 	at java util concurrent ThreadPoolExecutor Worker run(ThreadPoolExecutor java:641)_x000D_
09 04 13:00:29 091 18001 18060 E AndroidRuntime: 	at java lang Thread run(Thread java:929)_x000D_
09 04 13:00:29 091 18001 18060 E AndroidRuntime: Caused by: java lang RuntimeException: Aborting on Log e()_x000D_
09 04 13:00:29 091 18001 18060 E AndroidRuntime: 	at cgeo geocaching utils Log e(Log java:325)_x000D_
09 04 13:00:29 091 18001 18060 E AndroidRuntime: 	at cgeo geocaching connector gc GCParser searchBookmarkLists(GCParser java:1069)_x000D_
09 04 13:00:29 091 18001 18060 E AndroidRuntime: 	at cgeo geocaching connector gc PocketQueryListActivity lambda loadInBackground 1(PocketQueryListActivity java:83)_x000D_
09 04 13:00:29 091 18001 18060 E AndroidRuntime: 	at cgeo geocaching connector gc PocketQueryListActivity lambda loadInBackground 1 PocketQueryListActivity(Unknown Source:0)_x000D_
09 04 13:00:29 091 18001 18060 E AndroidRuntime: 	at cgeo geocaching connector gc    Lambda PocketQueryListActivity wkb8AucIHdJVHtkSLkrnzscYwIs run(Unknown Source:2)_x000D_
09 04 13:00:29 091 18001 18060 E AndroidRuntime: 	at cgeo geocaching utils AndroidRxUtils lambda andThenOnUi 2(AndroidRxUtils java:70)_x000D_
09 04 13:00:29 091 18001 18060 E AndroidRuntime: 	at cgeo geocaching utils    Lambda AndroidRxUtils bqzWo9nlvU86BvboB 9jhDWp5vc run(Unknown Source:4)_x000D_
09 04 13:00:29 091 18001 18060 E AndroidRuntime: 	at io reactivex rxjava3 internal schedulers ExecutorScheduler ExecutorWorker BooleanRunnable run(ExecutorScheduler java:322)_x000D_
09 04 13:00:29 091 18001 18060 E AndroidRuntime: 	    5 more_x000D_
09 04 13:00:29 091 18001 18060 E AndroidRuntime: Caused by: java text ParseException: Unparseable date:  2021 08 22T21:12:35Z _x000D_
09 04 13:00:29 091 18001 18060 E AndroidRuntime: 	at java text DateFormat parse(DateFormat java:362)_x000D_
09 04 13:00:29 091 18001 18060 E AndroidRuntime: 	at cgeo geocaching utils SynchronizedDateFormat parse(SynchronizedDateFormat java:22)_x000D_
09 04 13:00:29 091 18001 18060 E AndroidRuntime: 	at cgeo geocaching connector gc GCParser searchBookmarkLists(GCParser java:1061)_x000D_
09 04 13:00:29 091 18001 18060 E AndroidRuntime: 	    11 more_x000D_
09 04 13:01:17 548 18489 18629 E AndroidRuntime: FATAL EXCEPTION: network  7_x000D_
09 04 13:01:17 548 18489 18629 E AndroidRuntime: Process: cgeo geocaching  PID: 18489_x000D_
09 04 13:01:17 548 18489 18629 E AndroidRuntime: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java lang RuntimeException: Aborting on Log e()_x000D_
09 04 13:01:17 548 18489 18629 E AndroidRuntime: 	at io reactivex rxjava3 plugins RxJavaPlugins onError(RxJavaPlugins java:372)_x000D_
09 04 13:01:17 548 18489 18629 E AndroidRuntime: 	at io reactivex rxjava3 internal schedulers ExecutorScheduler ExecutorWorker BooleanRunnable run(ExecutorScheduler java:325)_x000D_
09 04 13:01:17 548 18489 18629 E AndroidRuntime: 	at io reactivex rxjava3 internal schedulers ExecutorScheduler ExecutorWorker runEager(ExecutorScheduler java:287)_x000D_
09 04 13:01:17 548 18489 18629 E AndroidRuntime: 	at io reactivex rxjava3 internal schedulers ExecutorScheduler ExecutorWorker run(ExecutorScheduler java:248)_x000D_
09 04 13:01:17 548 18489 18629 E AndroidRuntime: 	at java util concurrent ThreadPoolExecutor runWorker(ThreadPoolExecutor java:1167)_x000D_
09 04 13:01:17 548 18489 18629 E AndroidRuntime: 	at java util concurrent ThreadPoolExecutor Worker run(ThreadPoolExecutor java:641)_x000D_
09 04 13:01:17 548 18489 18629 E AndroidRuntime: 	at java lang Thread run(Thread java:929)_x000D_
09 04 13:01:17 548 18489 18629 E AndroidRuntime: Caused by: java lang RuntimeException: Aborting on Log e()_x000D_
09 04 13:01:17 548 18489 18629 E AndroidRuntime: 	at cgeo geocaching utils Log e(Log java:325)_x000D_
09 04 13:01:17 548 18489 18629 E AndroidRuntime: 	at cgeo geocaching connector gc GCParser searchBookmarkLists(GCParser java:1069)_x000D_
09 04 13:01:17 548 18489 18629 E AndroidRuntime: 	at cgeo geocaching connector gc PocketQueryListActivity lambda loadInBackground 1(PocketQueryListActivity java:83)_x000D_
09 04 13:01:17 548 18489 18629 E AndroidRuntime: 	at cgeo geocaching connector gc PocketQueryListActivity lambda loadInBackground 1 PocketQueryListActivity(Unknown Source:0)_x000D_
09 04 13:01:17 548 18489 18629 E AndroidRuntime: 	at cgeo geocaching connector gc    Lambda PocketQueryListActivity wkb8AucIHdJVHtkSLkrnzscYwIs run(Unknown Source:2)_x000D_
09 04 13:01:17 548 18489 18629 E AndroidRuntime: 	at cgeo geocaching utils AndroidRxUtils lambda andThenOnUi 2(AndroidRxUtils java:70)_x000D_
09 04 13:01:17 548 18489 18629 E AndroidRuntime: 	at cgeo geocaching utils    Lambda AndroidRxUtils bqzWo9nlvU86BvboB 9jhDWp5vc run(Unknown Source:4)_x000D_
09 04 13:01:17 548 18489 18629 E AndroidRuntime: 	at io reactivex rxjava3 internal schedulers ExecutorScheduler ExecutorWorker BooleanRunnable run(ExecutorScheduler java:322)_x000D_
09 04 13:01:17 548 18489 18629 E AndroidRuntime: 	    5 more_x000D_
09 04 13:01:17 548 18489 18629 E AndroidRuntime: Caused by: java text ParseException: Unparseable date:  2021 08 22T21:12:35Z _x000D_
09 04 13:01:17 548 18489 18629 E AndroidRuntime: 	at java text DateFormat parse(DateFormat java:362)_x000D_
09 04 13:01:17 548 18489 18629 E AndroidRuntime: 	at cgeo geocaching utils SynchronizedDateFormat parse(SynchronizedDateFormat java:22)_x000D_
09 04 13:01:17 548 18489 18629 E AndroidRuntime: 	at cgeo geocaching connector gc GCParser searchBookmarkLists(GCParser java:1061)_x000D_
09 04 13:01:17 548 18489 18629 E AndroidRuntime: 	    11 more_x000D_
    How to reproduce 
Main menu   Open Lists Pocket Queries overview
    Actual result after these steps 
Error toast  cannot read bookmark list 
    Expected result after these steps 
Bookmark lists shown
    Reproducible
No
    c:geo Version
202108 28
    System information
   text
   System information c:geo version: 2021 08 28 Device:           Device type: SNE LX1 (SNE LX1  HUAWEI)   Available processors: 8   Android version: 10   Android build: SNE LX1 10 0 0 245(C432E10R1P1)   Screen resolution: 1080x2128px (360x709dp)   Sailfish OS detected: false   Google Play services: enabled   21 30 16 (120408 391784508)   HW acceleration: enabled (default state) Sensor and location:           Low power mode: inactive   Compass capabilities: yes   Rotation vector sensor: present   Orientation sensor: present   Magnetometer   Accelerometer sensor: present   Direction sensor used: orientation Program settings:           Settings: v8  Count:150   Set language: de   System date format: dd MM yy   Time zone: GMT 02:00   Debug mode active: yes   Last backup: never   Routing mode: Walk   Live map mode: true   OSM multi threading: true   threads: 4   Map: Google: Satellit   Id: cgeo geocaching maps google v2 GoogleMapProvider GoogleSatelliteSource   Atts: none   Theme: none Filters:           Hide waypoints:     LIVE: Status:4 Elemente ( :inconclusive false:advanced false AND(type difficulty terrain:d  :d  :t  :t   status:owned no:found no:exclude disabled:exclude archived))   OFFLINE: Keine ( :inconclusive false:advanced false AND(type difficulty terrain:d  :d  :t  :t   status)) Services:           Geocaching sites enabled: geocaching com: Logged in (Anmeldung OK)   PREMIUM Geocaching com Adventure Lab opencaching de: Not logged in (Nicht autorisiert)   Geocaching com date format: dd MM yyyy   Routing: external   BRouter installed: false   Installed c:geo plugins: none Permissions   paths:           Fine location permission: granted   Write external storage permission: granted   System internal c:geo dir:  data user 0 cgeo geocaching (21 8 GB free) v2 internal isDir(8 entries)   Legacy User storage c:geo dir:  storage emulated 0 cgeo (21 8 GB free) v2 external non removable isDir(2 entries)   Geocache data:  storage emulated 0 Android data cgeo geocaching files GeocacheData (21 8 GB free) v2 external non removable isDir(1547 entries)   Internal theme sync (is turned off):  data user 0 cgeo geocaching MapThemeData (21 8 GB free) v2 internal isDir(0 entries)   Public Folders:  11   BASE: SanDisk Speicherkarte cgeo C Geo neu April 2021 (User Defined) SanDisk Speicherkarte cgeo C Geo neu April 2021 DOCUMENT 0:p content:  com android externalstorage documents tree 3633 3431 3Acgeo 2FC Geo 20neu 20April 202021::   (Uri: content:  com android externalstorage documents tree 3633 3431 3Acgeo 2FC Geo 20neu 20April 202021 document 3633 3431 3Acgeo 2FC Geo 20neu 20April 202021  Av:true  files:  191  dirs:  9  totalFileSize:  61 5 MB  free space: 13 8 GB  files on device: 0)   OFFLINE MAPS: SanDisk Speicherkarte C Geo Maps offline (User Defined) SanDisk Speicherkarte C Geo Maps offline  DOCUMENT 0:p content:  com android externalstorage documents tree 3633 3431 3AC 20Geo 20Maps 20offline 20::   (Uri: content:  com android externalstorage documents tree 3633 3431 3AC 20Geo 20Maps 20offline 20 document 3633 3431 3AC 20Geo 20Maps 20offline 20  Av:true  files:12  dirs:1  totalFileSize:0 B  free space: 13 8 GB  files on device: 0)   OFFLINE MAP THEMES: SanDisk Speicherkarte C Geo Maps offline   themes (Default) SanDisk Speicherkarte C Geo Maps offline   themes PERSISTABLE FOLDER(OFFLINE MAPS) 1:p content:  com android externalstorage documents tree 3633 3431 3AC 20Geo 20Maps 20offline 20::  themes   (Uri: content:  com android externalstorage documents tree 3633 3431 3AC 20Geo 20Maps 20offline 20 document 3633 3431 3AC 20Geo 20Maps 20offline 20 2F themes  Av:true  files:12  dirs:0  totalFileSize:0 B  free space: 13 8 GB  files on device: 0)   LOGFILES: SanDisk Speicherkarte cgeo C Geo neu April 2021 logfiles (Default) SanDisk Speicherkarte cgeo C Geo neu April 2021 logfiles PERSISTABLE FOLDER(BASE) 1:p content:  com android externalstorage documents tree 3633 3431 3Acgeo 2FC Geo 20neu 20April 202021:: logfiles   (Uri: content:  com android externalstorage documents tree 3633 3431 3Acgeo 2FC Geo 20neu 20April 202021 document 3633 3431 3Acgeo 2FC Geo 20neu 20April 202021 2Flogfiles  Av:true  files:16  dirs:0  totalFileSize:109 5 KB  free space: 13 8 GB  files on device: 0)   GPX: SanDisk Speicherkarte cgeo C Geo neu April 2021 gpx (User Defined) SanDisk Speicherkarte cgeo C Geo neu April 2021 gpx DOCUMENT 0:p content:  com android externalstorage documents tree 3633 3431 3Acgeo 2FC Geo 20neu 20April 202021 2Fgpx::   (Uri: content:  com android externalstorage documents tree 3633 3431 3Acgeo 2FC Geo 20neu 20April 202021 2Fgpx document 3633 3431 3Acgeo 2FC Geo 20neu 20April 202021 2Fgpx  Av:true  files:151  dirs:0  totalFileSize:61 4 MB  free space: 13 8 GB  files on device: 0)   BACKUP: SanDisk Speicherkarte cgeo C Geo neu April 2021 backup (Default) SanDisk Speicherkarte cgeo C Geo neu April 2021 backup PERSISTABLE FOLDER(BASE) 1:p content:  com android externalstorage documents tree 3633 3431 3Acgeo 2FC Geo 20neu 20April 202021:: backup   (Uri: content:  com android externalstorage documents tree 3633 3431 3Acgeo 2FC Geo 20neu 20April 202021 document 3633 3431 3Acgeo 2FC Geo 20neu 20April 202021 2Fbackup  Av:true  files:12  dirs:0  totalFileSize:0 B  free space: 13 8 GB  files on device: 0)   FIELD NOTES: SanDisk Speicherkarte cgeo C Geo neu April 2021 field notes (Default) SanDisk Speicherkarte cgeo C Geo neu April 2021 field notes PERSISTABLE FOLDER(BASE) 1:p content:  com android externalstorage documents tree 3633 3431 3Acgeo 2FC Geo 20neu 20April 202021:: field notes   (Uri: content:  com android externalstorage documents tree 3633 3431 3Acgeo 2FC Geo 20neu 20April 202021 document 3633 3431 3Acgeo 2FC Geo 20neu 20April 202021 2Ffield notes  Av:true  files:12  dirs:0  totalFileSize:0 B  free space: 13 8 GB  files on device: 0)   SPOILER IMAGES: SanDisk Speicherkarte cgeo C Geo neu April 2021 GeocachePhotos (Default) SanDisk Speicherkarte cgeo C Geo neu April 2021 GeocachePhotos PERSISTABLE FOLDER(BASE) 1:p content:  com android externalstorage documents tree 3633 3431 3Acgeo 2FC Geo 20neu 20April 202021:: GeocachePhotos   (Uri: content:  com android externalstorage documents tree 3633 3431 3Acgeo 2FC Geo 20neu 20April 202021 document 3633 3431 3Acgeo 2FC Geo 20neu 20April 202021 2FGeocachePhotos  Av:true  files:12  dirs:3  totalFileSize:0 B  free space: 13 8 GB  files on device: 0)   ROUTING BASE: SanDisk Speicherkarte cgeo C Geo neu April 2021 routing (Default) SanDisk Speicherkarte cgeo C Geo neu April 2021 routing PERSISTABLE FOLDER(BASE) 1:p content:  com android externalstorage documents tree 3633 3431 3Acgeo 2FC Geo 20neu 20April 202021:: routing   (Uri: content:  com android externalstorage documents tree 3633 3431 3Acgeo 2FC Geo 20neu 20April 202021 document 3633 3431 3Acgeo 2FC Geo 20neu 20April 202021 2Frouting  Av:true  files:19  dirs:1  totalFileSize:81 2 KB  free space: 13 8 GB  files on device: 0)   ROUTING TILES: SanDisk Speicherkarte cgeo C Geo neu April 2021 routing segments4 (Default) SanDisk Speicherkarte cgeo C Geo neu April 2021 routing segments4 PERSISTABLE FOLDER(ROUTING BASE) 1:p content:  com android externalstorage documents tree 3633 3431 3Acgeo 2FC Geo 20neu 20April 202021:: routing segments4   (Uri: content:  com android externalstorage documents tree 3633 3431 3Acgeo 2FC Geo 20neu 20April 202021 document 3633 3431 3Acgeo 2FC Geo 20neu 20April 202021 2Frouting 2Fsegments4  Av:true  files:0  dirs:0  totalFileSize:0 B  free space: 13 8 GB  files on device: 0)   TEST FOLDER:  Legacy  data user 0 cgeo geocaching files unittest (Default)  data user 0 cgeo geocaching files unittest FILE 1:p file:   data user 0 cgeo geocaching files:: unittest   (Uri: file:   data user 0 cgeo geocaching files unittest  Av:true  files:0  dirs:0  totalFileSize:0 B  free space: 21 8 GB  files on device:  1)   Map render theme path:   PersistedDocumentUris:  1   TRACK: null   Persisted Uri Permissions:  3   content:  com android externalstorage documents tree 3633 3431 3Acgeo 2FC Geo 20neu 20April 202021 2Fgpx (15  Juli  18:50):RW   content:  com android externalstorage documents tree 3633 3431 3Acgeo 2FC Geo 20neu 20April 202021 (22  Apr   18:39):RW   content:  com android externalstorage documents tree 3633 3431 3AC 20Geo 20Maps 20offline 20 (22  Apr   18:41):RW   Database:  data user 0 cgeo geocaching databases data (v96  Size:60 3 MB) on system internal storage     End of system information    
    Additional Information
I cannot reproduce and it also works for the users partner (on another account) with same device _x000D_
Seems to be account specific  Date format </t>
  </si>
  <si>
    <t>TeamNewPipe-NewPipe-7057</t>
  </si>
  <si>
    <t>Playlist shown as a video only instead of a 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</si>
  <si>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Open  https:  youtube com playlist list PL2jzazaAMNtV6kJpY6y xp7A04zMGyzOK  with Newpipe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 UI should have shown the list of videos in the playlist _x000D_
_x000D_
_x000D_
    Expected behavior_x000D_
     Tell us what you expect to happen     _x000D_
It starts playing the first video and shows playlist within the player  So  there is no way to bookmark it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DON T POST SCREENSHOTS OF THE ERROR PAGE  Use the buttons given on the error page to paste the error as text in the Logs section below     _x000D_
_x000D_
_x000D_
    Logs_x000D_
     If your bug includes a crash (where you re shown the Error Report page with a bunch of info)  tap on  Copy formatted report  at the bottom and paste it here:    _x000D_
_x000D_
     That s right  here     _x000D_
Opening the same url with version 0 21 8 is showing playlist videos just fine _x000D_
_x000D_
_x000D_
     Please fill this section if you did not provide a log generated by NewPipe    _x000D_
_x000D_
    Device info_x000D_
_x000D_
   Android version Custom ROM version: EMUI Oreo 8 0 0 API 26 _x000D_
   Device model: Huawei Mediapad M5 lite (10 inch tablet)_x000D_
</t>
  </si>
  <si>
    <t>nextcloud-android-8938</t>
  </si>
  <si>
    <t>App crashes when hit full screen</t>
  </si>
  <si>
    <t xml:space="preserve">    Steps to reproduce_x000D_
1  Play the music_x000D_
2  App crashes when hit full screen_x000D_
3  _x000D_
_x000D_
    Expected behaviour_x000D_
  Tell us what should happen_x000D_
App doesn t flash back_x000D_
    Actual behaviour_x000D_
  Tell us what happens_x000D_
100  App crashes_x000D_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The latest version of the app released_x000D_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</si>
  <si>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Benji377-SocyMusic-189</t>
  </si>
  <si>
    <t>App stuck at loading screen on Android 11</t>
  </si>
  <si>
    <t xml:space="preserve">  Describe the bug  
App doesn t properly start on Android 11 Oxygen OS  It gets to a blank screen and just nothing happens  The app strangely doesn t even crash
  Expected behavior  
The app should always start  I think there is a component we use in the app which is not supported in Android 11 and therefore prevents the app from starting 
  Screenshots  
The good guy over at Reddit that reported the issue was so kind to upload the image to  Imgur (https:  imgur com B2WrjPW)
  Additional context  
I am planning to add a setting in the app to activate a debug mode which would write everything the app does in log files  We could also make this option active by default so that even if the app fails to start or users are unable to get to the settings it we could ask them to send us the logs and figure out issues more easily 
</t>
  </si>
  <si>
    <t>Azure-azure-sdk-for-android-862</t>
  </si>
  <si>
    <t>[BUG] Crash upon starting listening for real time chat events</t>
  </si>
  <si>
    <t xml:space="preserve">  Describe the bug  _x000D_
To long Log tag on Android running    API 25_x000D_
_x000D_
   Exception or Stack Trace   _x000D_
E AndroidRuntime( 7159): Caused by: java lang IllegalArgumentException: Log tag  com azure android communication chat ChatAsyncClient  exceeds limit of 23 characters_x000D_
E AndroidRuntime( 7159): _x000D_
E AndroidRuntime( 7159): 	at android util Log isLoggable(Native Method)_x000D_
E AndroidRuntime( 7159): 	at com azure android core logging implementation DefaultLogger isErrorEnabled(DefaultLogger java:233)_x000D_
E AndroidRuntime( 7159): 	at com azure android core logging ClientLogger logThrowableAsError(ClientLogger java:225)_x000D_
E AndroidRuntime( 7159): 	at com azure android core logging ClientLogger logExceptionAsError(ClientLogger java:209)_x000D_
E AndroidRuntime( 7159): 	at com azure android communication chat ChatAsyncClient addEventHandler(ChatAsyncClient java:285)_x000D_
E AndroidRuntime( 7159): 	at com microsoft pulsyksometr pulsyksometr app acs AcsIntegration chatClient 2 invoke(AcsIntegration kt:81)_x000D_
E AndroidRuntime( 7159): 	at com microsoft pulsyksometr pulsyksometr app acs AcsIntegration chatClient 2 invoke(AcsIntegration kt:18)_x000D_
E AndroidRuntime( 7159): 	at kotlin SynchronizedLazyImpl getValue(LazyJVM kt:74)_x000D_
E AndroidRuntime( 7159): 	at com microsoft pulsyksometr pulsyksometr app acs AcsIntegration getChatClient(AcsIntegration kt)_x000D_
E AndroidRuntime( 7159): 	at com microsoft pulsyksometr pulsyksometr app acs AcsIntegration access getChatClient p(AcsIntegration kt:18)_x000D_
E AndroidRuntime( 7159): 	at com microsoft pulsyksometr pulsyksometr app acs AcsIntegration getDirectMessages 1 subscribe(AcsIntegration kt:232)_x000D_
E AndroidRuntime( 7159): 	at io reactivex internal operators single SingleCreate subscribeActual(SingleCreate java:39)_x000D_
E AndroidRuntime( 7159): 	at io reactivex Single subscribe(Single java:3603)_x000D_
E AndroidRuntime( 7159): 	at io reactivex internal operators single SingleObserveOn subscribeActual(SingleObserveOn java:35)_x000D_
E AndroidRuntime( 7159): 	at io reactivex Single subscribe(Single java:3603)_x000D_
E AndroidRuntime( 7159): 	at io reactivex Single subscribe(Single java:3589)_x000D_
E AndroidRuntime( 7159): 	at io reactivex Single subscribe(Single java:3559)_x000D_
E AndroidRuntime( 7159): 	at com microsoft pulsyksometr pulsyksometr app acs AcsInitializer setup 1 onMethodCall(AcsInitializer kt:191)_x000D_
E AndroidRuntime( 7159): 	at io flutter plugin common MethodChannel IncomingMethodCallHandler onMessage(MethodChannel java:233)_x000D_
E AndroidRuntime( 7159): 	at io flutter embedding engine dart DartMessenger handleMessageFromDart(DartMessenger java:85)_x000D_
E AndroidRuntime( 7159): 	at io flutter embedding engine FlutterJNI handlePlatformMessage(FlutterJNI java:692)_x000D_
E AndroidRuntime( 7159): 	at android os MessageQueue nativePollOnce(Native Method)_x000D_
E AndroidRuntime( 7159): 	at android os MessageQueue next(MessageQueue java:143)_x000D_
E AndroidRuntime( 7159): 	at android os Looper loop(Looper java:122)_x000D_
E AndroidRuntime( 7159): 	    5 more_x000D_
_x000D_
_x000D_
  To Reproduce  _x000D_
Add code snippet found below to your App and connect  Important bit is adding event handler to receive real time notification  Then just launch the App   send some message to that user  That should create the crash I believe  _x000D_
_x000D_
   Code Snippet   _x000D_
ChatClientBuilder()_x000D_
             endpoint(endpoint)_x000D_
             credential(CommunicationTokenCredential(userAccessToken))_x000D_
             buildAsyncClient() apply  _x000D_
                val notificationCallback  _x000D_
                    RealTimeNotificationCallback   chatEvent     _x000D_
                this addEventHandler(ChatEventType CHAT MESSAGE RECEIVED  notificationCallback)_x000D_
                this startRealtimeNotifications(userAccessToken  context)_x000D_
             _x000D_
_x000D_
  Expected behavior  _x000D_
App won t crash   will be able to listen to new messages _x000D_
_x000D_
  Screenshots  _x000D_
If applicable  add screenshots to help explain your problem _x000D_
_x000D_
  Setup (please complete the following information):  _x000D_
   OS: Android 5 0  6 0  7 1 1_x000D_
   IDE : Android Studio Arctic Fox   2020 3 1 Patch 1_x000D_
Build  AI 203 7717 56 2031 7621141  built on August 7  2021_x000D_
Runtime version: 11 0 10 0 b96 7249189 amd64_x000D_
VM: OpenJDK 64 Bit Server VM by JetBrains s r o _x000D_
Linux 5 4 0 58 generic_x000D_
GC: G1 Young Generation  G1 Old Generation_x000D_
Memory: 4096M_x000D_
Cores: 8_x000D_
Registry: external system auto import disabled true  ide images show chessboard true_x000D_
Non Bundled Plugins: com bloc intellij generator plugin  Dart  com localizely flutter intl  org jetbrains kotlin  io flutter  org intellij plugins markdown_x000D_
Current Desktop: X Cinnamon _x000D_
   Version of the Library used: com azure android:azure communication chat:1 1 0 beta 2_x000D_
_x000D_
</t>
  </si>
  <si>
    <t>Benji377-SocyMusic-187</t>
  </si>
  <si>
    <t>Enabling the SD card in settings crashes SocyMusic</t>
  </si>
  <si>
    <t xml:space="preserve">My music all lives on the SD card   When I go to SocyMusic Settings and enable searching the SD card for music  the app hangs  then crashes _x000D_
_x000D_
I have almost 6 000 songs   Everything is organized in directories:_x000D_
  SD_x000D_
    Music_x000D_
       Artist 1_x000D_
          Album 1_x000D_
            Song 1_x000D_
            Song 2_x000D_
          Album 2_x000D_
_x000D_
I assume that s how everyone stores their music  but maybe not </t>
  </si>
  <si>
    <t>PojavLauncherTeam-PojavLauncher-1964</t>
  </si>
  <si>
    <t>[BUG] &lt;downloaded all versions crashed&gt;</t>
  </si>
  <si>
    <t xml:space="preserve">    Describe the bug
I install pojavlauncher lastest build from action but if i download 1 17 1 17 10(all version) keep crashing when start game 
    The log file and images videos
 latestlog txt (https:  github com PojavLauncherTeam PojavLauncher files 7106300 latestlog txt)_x000D_
    Steps To Reproduce
   markdown
1 download versions with assets_x000D_
2 start game and then crash and put me on main menu of pojavlauncher
    Expected Behavior
I use artdeel update egl bridge c from action build
    Platform
   markdown
  Device model: samsung m21_x000D_
  CPU architecture: arrch 64_x000D_
  Android version: 11_x000D_
  PojavLauncher version: 3 3 1 1 dl everything
    Anything else 
Plz fix this i never experience this on old versions of pojav </t>
  </si>
  <si>
    <t>Anuken-Mindustry-5928</t>
  </si>
  <si>
    <t>Game insta dies when i capture zone 142 in 130.1</t>
  </si>
  <si>
    <t xml:space="preserve">  Platform  :  Android windows_x000D_
_x000D_
  Build  :  130 1 pre alpha_x000D_
_x000D_
  Issue  :  mindustry dies when i capture sector 142 near frozen forest  game crash if i export crash report on android_x000D_
_x000D_
_x000D_
_x000D_
  Steps to reproduce  :  try to capture sector 142 on my save and it will crash_x000D_
_x000D_
  Link(s) to mod(s) used  :  extra utilities mod heavy armament industries _x000D_
mindustry extended new horizons _x000D_
ReVision unit information vanilla enchanced _x000D_
_x000D_
  Save file  :  https:  drive google com file d 1jhIPOZcCfeHTVaUTUTsYL8OzwUhGmWh5 view usp drivesdk_x000D_
_x000D_
K _x000D_
_x000D_
  (Crash) logs  :   crash txt (https:  github com Anuken Mindustry files 7107333 crash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</si>
  <si>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myxor-WhoRules-14</t>
  </si>
  <si>
    <t xml:space="preserve">When no vasalls are configured the "vote" button should not be shown on the home screen </t>
  </si>
  <si>
    <t xml:space="preserve">Otherwise the app crashes on voting </t>
  </si>
  <si>
    <t>MuntashirAkon-AppManager-569</t>
  </si>
  <si>
    <t>When executing block component on an application, it keeps crashing.</t>
  </si>
  <si>
    <t xml:space="preserve">    _x000D_
Your issue will be closed without warning if you don t check at least two items _x000D_
   _x000D_
      I know what my device  OS and App Manager versions are_x000D_
      I know how to take logs_x000D_
      I know how to reproduce the issue which may not be specific to my device_x000D_
_x000D_
  Describe the bug  _x000D_
A clear and concise description of what the bug is _x000D_
_x000D_
  To Reproduce  _x000D_
Steps to reproduce the behaviour:_x000D_
1  Go to      _x000D_
2  Click on       _x000D_
3  Scroll down to       _x000D_
4  See error_x000D_
_x000D_
  Expected behavior  _x000D_
A clear and concise description of what you expected to happen _x000D_
_x000D_
  Screenshots  _x000D_
If applicable  add screenshots to help explain your problem _x000D_
_x000D_
  Crash logs  _x000D_
If applicable  add crash logs to help us figure out the problem _x000D_
_x000D_
  Device info  _x000D_
   Device:  e g  One Plus 8 Pro _x000D_
   OS Version:  e g  Android 10 _x000D_
   App Manager Version:  e g  v2 5 13 _x000D_
   Mode: root adb no root_x000D_
_x000D_
  Additional context  _x000D_
Add any other context about the problem here _x000D_
_x000D_
When executing  block component on an application  it keeps crashing and does not display the component disable status correctly  At the same time  the related  ifw and AM s own conf files are fine _x000D_
Please see the log for details _x000D_
 2021 09 02 21 38 38 log (https:  github com MuntashirAkon AppManager files 7099451 2021 09 02 21 38 38 log)_x000D_
</t>
  </si>
  <si>
    <t>TeamNewPipe-NewPipe-7041</t>
  </si>
  <si>
    <t>(0.21.9) crash........again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</si>
  <si>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Open newpipe find any videos to download_x000D_
2  Try to download it and newpipe will crashed_x000D_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app crash again       _x000D_
_x000D_
_x000D_
_x000D_
    Expected behavior_x000D_
     Tell us what you expect to happen     _x000D_
_x000D_
No crash_x000D_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Language:   in ID_x000D_
    Service:   none_x000D_
    Version:   0 21 9_x000D_
    OS:   Linux realme RMX2030 RMX2030:10 QKQ1 200209 002 1605146661:user release keys 10   29_x000D_
_x000D_
_x000D_
 details  summary  b Crash log  b   summary  p _x000D_
_x000D_
   _x000D_
io reactivex rxjava3 exceptions OnErrorNotImplementedException: The exception was not handled due to missing onError handler in the subscribe() method call  Further reading: https:  github com ReactiveX RxJava wiki Error Handling   java lang NullPointerException: The callable returned a null value_x000D_
	at io reactivex rxjava3 internal functions Functions OnErrorMissingConsumer accept(Functions java:717)_x000D_
	at io reactivex rxjava3 internal functions Functions OnErrorMissingConsumer accept(Functions java:714)_x000D_
	at io reactivex rxjava3 internal observers ConsumerSingleObserver onError(ConsumerSingleObserver java:46)_x000D_
	at io reactivex rxjava3 internal operators single SingleObserveOn ObserveOnSingleObserver run(SingleObserveOn java:79)_x000D_
	at io reactivex rxjava3 android schedulers HandlerScheduler ScheduledRunnable run(HandlerScheduler java:123)_x000D_
	at android os Handler handleCallback(Handler java:899)_x000D_
	at android os Handler dispatchMessage(Handler java:100)_x000D_
	at android os Looper loop(Looper java:238)_x000D_
	at android app ActivityThread main(ActivityThread java:7853)_x000D_
	at java lang reflect Method invoke(Native Method)_x000D_
	at com android internal os RuntimeInit MethodAndArgsCaller run(RuntimeInit java:492)_x000D_
	at com android internal os ZygoteInit main(ZygoteInit java:984)_x000D_
Caused by: java lang NullPointerException: The callable returned a null value_x000D_
	at java util Objects requireNonNull(Objects java:228)_x000D_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p   details _x000D_
 hr _x000D_
_x000D_
_x000D_
_x000D_
_x000D_
     Please fill this section if you did not provide a log generated by NewPipe    _x000D_
_x000D_
    Device info_x000D_
_x000D_
   Android version Custom ROM version stock rom android Q_x000D_
   Device model: realme 5i  RMX2030_x000D_
</t>
  </si>
  <si>
    <t>elimu-ai-content-provider-83</t>
  </si>
  <si>
    <t>Audio download fails in test environment</t>
  </si>
  <si>
    <t xml:space="preserve">  Describe the bug  _x000D_
When downloading audios  the app fails:_x000D_
   _x000D_
2021 09 02 10:48:38 701 14416 14849 ai elimu content provider debug I ai elimu content provider util MultimediaDownloader: Downloading from http:  hin test elimu ai audio 44 r1 mp3_x000D_
2021 09 02 10:48:38 804 14416 14849 ai elimu content provider debug I ai elimu content provider util MultimediaDownloader: responseCode: 200_x000D_
2021 09 02 10:48:38 829 14416 14849 ai elimu content provider debug E AndroidRuntime: FATAL EXCEPTION: pool 3 thread 1_x000D_
    Process: ai elimu content provider debug  PID: 14416_x000D_
    java lang NoSuchMethodError: No static method withInitial(Ljava util function Supplier )Ljava lang ThreadLocal  in class Ljava lang ThreadLocal  or its super classes (declaration of  java lang ThreadLocal  appears in  system framework core oj jar)_x000D_
        at org apache commons io IOUtils  clinit (IOUtils java:183)_x000D_
        at org apache commons io IOUtils toByteArray(IOUtils java:2400)_x000D_
        at ai elimu content provider util MultimediaDownloader downloadFileBytes(MultimediaDownloader java:35)_x000D_
   _x000D_
_x000D_
  To Reproduce  _x000D_
Install the  debug  or  qa test  build variant of the app  and select Hindi as the preferred language _x000D_
_x000D_
Steps to reproduce the behavior:_x000D_
1  Go to the menu drawer_x000D_
2  Click on  Audios _x000D_
3  See error in the app s log output_x000D_
_x000D_
  Expected behavior  _x000D_
Audios should download  However  the app crashes _x000D_
_x000D_
  Screenshots  _x000D_
  device 2021 09 02 110300 (https:  user images githubusercontent com 15718174 131806230 fec0045d ac9e 4758 a1af 0a6a85fd366b png)_x000D_
_x000D_
  Device information (please complete the following information):  _x000D_
   Device type: Tablet_x000D_
   Device brand: Huawei_x000D_
   Android version: 7 0_x000D_
</t>
  </si>
  <si>
    <t>nextcloud-android-8926</t>
  </si>
  <si>
    <t>App crashes when selecting 'Open With'</t>
  </si>
  <si>
    <t xml:space="preserve">    Steps to reproduce_x000D_
1  App crashes when selecting three dots next to file and selecting  Open With  _x000D_
2  _x000D_
    Expected behaviour_x000D_
  selection of apps should open to choose from _x000D_
_x000D_
    Actual behaviour_x000D_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11 Grapheneos_x000D_
_x000D_
Device model: Google Pixel 5_x000D_
_x000D_
Stock or customized system:_x000D_
_x000D_
Nextcloud app version:_x000D_
_x000D_
    Logs_x000D_
     Web server error log_x000D_
             CAUSE OF ERROR             _x000D_
_x000D_
java lang SecurityException: Permission Denial: starting Intent   act android intent action VIEW dat content:  org nextcloud files external files emulated 0 Android media com nextcloud client nextcloud nxtcld kigby aleeas com pro woelkli com Joplin Readme md typ text markdown flg 0x10000003 cmp com tresorit mobile com tresorit android activity TextEditorPrivateActivity   from ProcessRecord 7170b38 7700:com nextcloud client u0a202  (pid 7700  uid 10202) not exported from uid 10194_x000D_
	at android os Parcel createExceptionOrNull(Parcel java:2373)_x000D_
	at android os Parcel createException(Parcel java:2357)_x000D_
	at android os Parcel readException(Parcel java:2340)_x000D_
	at android os Parcel readException(Parcel java:2282)_x000D_
	at android app IActivityTaskManager Stub Proxy startActivity(IActivityTaskManager java:3696)_x000D_
	at android app Instrumentation execStartActivity(Instrumentation java:1727)_x000D_
	at android app Activity startActivityForResult(Activity java:5314)_x000D_
	at androidx activity ComponentActivity startActivityForResult(ComponentActivity java:574)_x000D_
	at android app Activity startActivityForResult(Activity java:5272)_x000D_
	at androidx activity ComponentActivity startActivityForResult(ComponentActivity java:560)_x000D_
	at android app Activity startActivity(Activity java:5658)_x000D_
	at android app Activity startActivity(Activity java:5611)_x000D_
	at com owncloud android ui helpers FileOperationsHelper 1 run(FileOperationsHelper java:343)_x000D_
	at java lang Thread run(Thread java:923)_x000D_
Caused by: android os RemoteException: Remote stack trace:_x000D_
	at com android server wm ActivityStackSupervisor checkStartAnyActivityPermission(ActivityStackSupervisor java:1043)_x000D_
	at com android server wm ActivityStarter executeRequest(ActivityStarter java:999)_x000D_
	at com android server wm ActivityStarter execute(ActivityStarter java:669)_x000D_
	at com android server wm ActivityTaskManagerService startActivityAsUser(ActivityTaskManagerService java:1096)_x000D_
	at com android server wm ActivityTaskManagerService startActivityAsUser(ActivityTaskManagerService java:1068)_x000D_
_x000D_
_x000D_
             APP INFORMATION             _x000D_
ID: com nextcloud client_x000D_
Version: 30170090_x000D_
Build flavor: generic_x000D_
_x000D_
             DEVICE INFORMATION             _x000D_
Brand: google_x000D_
Device: redfin_x000D_
Model: Pixel 5_x000D_
Id: RQ3A 210805 001 A1_x000D_
Product: redfin_x000D_
_x000D_
             FIRMWARE             _x000D_
SDK: 30_x000D_
Release: 11_x000D_
Incremental: 2021082501_x000D_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</si>
  <si>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0xD34D-barinsta-1</t>
  </si>
  <si>
    <t xml:space="preserve">     Frequent reporters can ignore this template as long as it s clear and concise     _x000D_
_x000D_
   X  My app is  at least  at the current release version  I understand that any versions before that is not supported _x000D_
   Website is not available  I have read  the FAQ  (https:  barinsta austinhuang me en latest faq html) _x000D_
_x000D_
The app completely crashes  when I try to view my saved posts _x000D_
_x000D_
   Steps_x000D_
_x000D_
1  Open the app _x000D_
2  Go to your profile _x000D_
3  Click on  Saved  _x000D_
4  The app crashes _x000D_
_x000D_
_x000D_
   Environment_x000D_
_x000D_
   Device: Samsung Galaxy S8_x000D_
   Android version: 9 _x000D_
</t>
  </si>
  <si>
    <t>material-components-material-components-android-2352</t>
  </si>
  <si>
    <t>java.lang.ClassCastException: android.graphics.Rect cannot be cast to java.lang.Integer</t>
  </si>
  <si>
    <t xml:space="preserve">  Description:   _x000D_
Hi _x000D_
We are having crashes with following logs for one of our PlayStore apk as below:_x000D_
_x000D_
Fatal Exception:   java lang ClassCastException  _x000D_
  android graphics Rect cannot be cast to java lang Integer  _x000D_
_x000D_
com google android material chip Chip handleAccessibilityExit (Chip java:823)_x000D_
com google android material chip Chip dispatchHoverEvent (Chip java:851)_x000D_
  android view View dispatchGenericMotionEvent (View java:14419)    this is the line highlighted in our external crash logging system _x000D_
android view ViewGroup dispatchTransformedGenericPointerEvent_x000D_
(ViewGroup java:2606)_x000D_
com android internal os ZygoteInit main (ZygoteInit java:947)_x000D_
_x000D_
We are not able to reproduce this issue in our dev environment_x000D_
_x000D_
  Expected behavior:    No crash _x000D_
_x000D_
  Source code:   : _x000D_
  we are using_x000D_
  com google android material chip ChipGroup   to make a custom implementation in xml to show some data _x000D_
_x000D_
  But from logs we can see that the crash goes beyond the custom implementation  there is no reference of our custom class _x000D_
  Had there been a direct  major issue in our implementation we could been able to see during our internal testing or in few of the multiple crashes  But as we don t have any of its reference  using the above code  _x000D_
  is there any probable solution for this issue that we can try at our end  _x000D_
_x000D_
_x000D_
  Android API version:   versions 7  9  10  11_x000D_
_x000D_
  Material Library version:   com google android material:material:1 4 0_x000D_
_x000D_
  Device:   _x000D_
Brand:OnePlus     Model:OnePlus Nord N100       Version:10_x000D_
Brand:samsung   Model:Galaxy Note5                   Version:7 0_x000D_
Brand:motorola    Model:moto g stylus (2021)      Version:10_x000D_
Brand:Google       Model:Intel Gemini Lake Chromebook Version:9_x000D_
Brand:Google       Model:Pixel 4a (5G)                     Version:11_x000D_
Brand:samsung   Model:Galaxy Tab S4                   Version:9_x000D_
Brand:Sony           Model:Xperia 1                              Version:11</t>
  </si>
  <si>
    <t>zxing-zxing-1427</t>
  </si>
  <si>
    <t>Java Exception: java.lang.IllegalStateException: Failed to recover - encoded with PDF_417 in 110x166</t>
  </si>
  <si>
    <t xml:space="preserve">Hi  _x000D_
_x000D_
Using jazzer  the following exception has been occurred :_x000D_
_x000D_
 Java Exception: java lang IllegalStateException: Failed to recover   _x000D_
_x000D_
The produced jazzer file is as :_x000D_
   _x000D_
_x000D_
import java lang reflect InvocationTargetException _x000D_
import java lang reflect Method _x000D_
public class Crash 554492f3abaea0e383717bff996d44d0cdb12f5f  _x000D_
    static final String base64Bytes    rO0ABXNyABNqYXZhLnV0aWwuQXJyYXlMaXN0eIHSHZnHYZ0DAAFJAARzaXpleHAAAAADdwQAAAADc3IAEWphdmEubGFuZy5JbnRlZ2VyEuKgpPeBhzgCAAFJAAV2YWx1ZXhyABBqYXZhLmxhbmcuTnVtYmVyhqyVHQuU4IsCAAB4cAAAAG5zcQB AAIAAACAdAAAeA    _x000D_
_x000D_
    public static void main(String   args)  _x000D_
        ClassLoader getSystemClassLoader() setDefaultAssertionStatus(true) _x000D_
        try  _x000D_
            Method fuzzerInitialize   MultiFormatEncodeFuzzer class getMethod( fuzzerInitialize ) _x000D_
            fuzzerInitialize invoke(null) _x000D_
          catch (NoSuchMethodException ignored)  _x000D_
            try  _x000D_
                Method fuzzerInitialize   MultiFormatEncodeFuzzer class getMethod( fuzzerInitialize   String   class) _x000D_
                fuzzerInitialize invoke(null  (Object) args) _x000D_
              catch (NoSuchMethodException ignored)  _x000D_
              catch (IllegalAccessException   InvocationTargetException e)  _x000D_
                e printStackTrace() _x000D_
                System exit(1) _x000D_
             _x000D_
          catch (IllegalAccessException   InvocationTargetException e)  _x000D_
            e printStackTrace() _x000D_
            System exit(1) _x000D_
         _x000D_
        com code intelligence jazzer api CannedFuzzedDataProvider input   new com code intelligence jazzer api CannedFuzzedDataProvider(base64Bytes) _x000D_
        MultiFormatEncodeFuzzer fuzzerTestOneInput(input) _x000D_
     _x000D_
 _x000D_
_x000D_
_x000D_
   _x000D_
And the corpus required to reproduce (Please first unzip it) :_x000D_
_x000D_
 crash corpus zip (https:  github com zxing zxing files 7092192 crash corpus zip)_x000D_
_x000D_
To reproduce :_x000D_
_x000D_
   MultiFormatEncodeFuzzer   crashing corpus _x000D_
 _x000D_
Thanks _x000D_
_x000D_
</t>
  </si>
  <si>
    <t>opensrp-opensrp-client-path-zeir-201</t>
  </si>
  <si>
    <t>App crashing at login</t>
  </si>
  <si>
    <t xml:space="preserve">User: mmufungulwa_x000D_
v 2 0 3 prod(latest release) and v 2 0 2   prod (whats on playstore)_x000D_
Device: Oppo F9_x000D_
_x000D_
App crashing at log in </t>
  </si>
  <si>
    <t>hzi-braunschweig-SORMAS-Project-6571</t>
  </si>
  <si>
    <t>[Actions] Error when sorting by Action date</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</si>
  <si>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On Action Directory page  when sorting the actions by action date  the system crashes and user gets an error message _x000D_
_x000D_
    Steps to Reproduce_x000D_
     Optional  please add more steps if necessary    _x000D_
1  Go to Events _x000D_
2  Select Actions _x000D_
3   Sort by action date _x000D_
_x000D_
    Actual Behavior_x000D_
The system crashes  user gets an error message _x000D_
_x000D_
    Expected Behavior_x000D_
The actions are sorted by action date _x000D_
_x000D_
    Screenshots_x000D_
  image (https:  user images githubusercontent com 89522688 131643275 f7e039d4 b860 4373 aef6 e6a1e29d4606 png)_x000D_
_x000D_
_x000D_
    System Details_x000D_
     Mandatory  you only have to specify the Server URL if the error appeared on a publicly available test server    _x000D_
  Device: Windows 10_x000D_
  SORMAS version: 1 64 0 SNAPSHOT_x000D_
  Android version Browser: Chrome_x000D_
  Server URL: https:  test de sormas netzlink com sormas ui   events  userFilterIncluded true dateFilterOption DATE userFilterIncluded true eventDateType EVENT DATE dateFilterOption DATE evolutionDateFilterOption DATE actionChangeDateFilterOption DATE actionDateFilterOption DATE_x000D_
  User Role: NatUser_x000D_
_x000D_
    Additional Information_x000D_
</t>
  </si>
  <si>
    <t>MuntashirAkon-AppManager-567</t>
  </si>
  <si>
    <t>Can't block tracker or anything else after update to 2.6.3</t>
  </si>
  <si>
    <t xml:space="preserve">  Describe the bug  _x000D_
_x000D_
After the update to v2 6 3 the app took for ages (about 3 min) to load  and if it finally does I can no longer change the settings of an app  and the options on the top right just shows  Refresh _x000D_
I restarted the device after the update _x000D_
The problem appeared  exactly after the update  nothing else was changed and has worked very fine before _x000D_
_x000D_
  To Reproduce  _x000D_
Upgrade to v 2 6 3_x000D_
_x000D_
  Expected behavior  _x000D_
Be able to disable trackers and other parts of any application _x000D_
_x000D_
  Screenshots  _x000D_
  AppManager 1 (https:  user images githubusercontent com 62773866 131569499 618d3257 977c 42ef b8ba 51d7d895bd44 png)_x000D_
_x000D_
  AppManager (https:  user images githubusercontent com 62773866 131568601 cef22364 0b60 4ca1 b9f4 bfb00a6e0813 png)_x000D_
_x000D_
_x000D_
  Crash logs  _x000D_
nothing crashes_x000D_
_x000D_
  Device info  _x000D_
  Galaxy S9 (starlte)_x000D_
  Android 11 with LOS_x000D_
  AppManager v2 6 3 from F Droid_x000D_
  root with Magisk 23 0  su permission granted_x000D_
_x000D_
  Additional context  _x000D_
Things blocked before the update are still blocked  but can t be unblocked  I just don t understand it _x000D_
</t>
  </si>
  <si>
    <t>TeamNewPipe-NewPipe-7034</t>
  </si>
  <si>
    <t>Android TV Playback Speed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</si>
  <si>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any video on Newpipe app on Android TV_x000D_
2  Try to change playback speed_x000D_
3  The app crashes with  unrecoverable playback error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It always crashes with  unrecoverable playback error _x000D_
_x000D_
_x000D_
    Expected behavior_x000D_
     Tell us what you expect to happen     _x000D_
It should not crash when trying to change playback speed_x000D_
 Changing playback speed on TVs has been broken for several months  the crash is not caused by any changes made recently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NA sorry once again  getting logs is kinda a pain on Android TVs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section if you did not provide a log generated by NewPipe    _x000D_
_x000D_
    Device info_x000D_
_x000D_
   Android version Custom ROM version: Android Pie_x000D_
   Device model: Sony  Samsung (I think it affects Android TVs in general)_x000D_
</t>
  </si>
  <si>
    <t>TeamNewPipe-NewPipe-7033</t>
  </si>
  <si>
    <t>Seeking YouTube video removes LineageOS AudioFX equalizer settings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</si>
  <si>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video with an equalizer profile enabled in the AudioFX app_x000D_
2  Double tap to seek forward   back (this works for any time skip  also with fast seek enabled)  or just tap on the seekbar to skip to a different part of the video_x000D_
3  Equalizer will stop working  audio returns to un equalized volume_x000D_
  This bug seems to occur when loading from an un preloaded part of a video (i e  the seekbar doesn t have the lighter red colour)  or when the video buffers (i e  the buffering wheel appears on screen)  When the skip is instant (i e  no buffering happens)  the bug doesn t occur  This isn t 100  effective in causing the bug however  so there might be some race condition happening  It seems to be when there is a shorter buffering time  the crash happens (and the EQ settings are removed)  and when there is a longer buffering time  the EQ settings don t get removed_x000D_
  When closing the video player and loading the video again  the EQ settings are restored_x000D_
  The bug doesn t happen when seeking whilst in background mode_x000D_
  It also seems to be YouTube specific_x000D_
_x000D_
     If you can t cause the bug to show up again reliably (and hence don t have a proper set of steps to give us)  please still try to give as many details as possible on how you think you encountered the bug     _x000D_
_x000D_
_x000D_
_x000D_
    Actual behavior_x000D_
  Audio EQ balance profile stops working after video seek_x000D_
_x000D_
_x000D_
_x000D_
    Expected behavior_x000D_
  Audio EQ balance won t change on video seek_x000D_
_x000D_
    Logs_x000D_
     If your bug includes a crash (where you re shown the Error Report page with a bunch of info)  tap on  Copy formatted report  at the bottom and paste it here:    _x000D_
_x000D_
     That s right  here     _x000D_
_x000D_
Nothing in LogCat indicates that AudioFX   AudioServer is crashing  however I suspect this is probably device   LineageOS version specific _x000D_
_x000D_
     Please fill this section if you did not provide a log generated by NewPipe    _x000D_
_x000D_
    Device info_x000D_
_x000D_
   Android version Custom ROM version: LineageOS 18 1_x000D_
   Device model: OnePlus 5T_x000D_
</t>
  </si>
  <si>
    <t>nextcloud-android-8918</t>
  </si>
  <si>
    <t>App crash android 11</t>
  </si>
  <si>
    <t xml:space="preserve">    Steps to reproduce
1  Open app do what you want 
2  Press back button for exit 
3  Crash with log   
    Expected behaviour
  Tell us what should happen
 App crashes
    Actual behaviour
  Tell us what happens
    Can you reproduce this problem on https:  try nextcloud com 
  Please create a test demo account and see if this still happens there 
  If yes  please open up a bug report
  If not  please verify server setup and ask for help on forum
    Environment data
Android version:
Device model: 
Stock or customized system:
Nextcloud app version:
Nextcloud server version:
Reverse proxy:
    Logs
     Web server error log
Insert your webserver log here
     Nextcloud log (data nextcloud log)
Insert your Nextcloud log here
  NOTE:   Be super sure to remove sensitive data like passwords  note that everybody can look here  You can use the Issue Template application to prefill some of the required information: https:  apps nextcloud com apps issuetemplate
</t>
  </si>
  <si>
    <t>hzi-braunschweig-SORMAS-Project-6553</t>
  </si>
  <si>
    <t>[Case Directory] Error when selecting Follow-up on Case Directory</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</si>
  <si>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On Case Directory page  when user selects  Follow Up   the system crashes and user gets an error message _x000D_
_x000D_
    Steps to Reproduce_x000D_
     Optional  please add more steps if necessary    _x000D_
1  Go to Cases (Case Directory)_x000D_
2  From the top of the page  select the  Follow up  button _x000D_
_x000D_
    Actual Behavior_x000D_
The system crashes  user gets an error message _x000D_
_x000D_
    Expected Behavior_x000D_
The follow ups of the cases appear listed _x000D_
_x000D_
    Screenshots_x000D_
  image (https:  user images githubusercontent com 89522688 131476745 afd88628 73a8 4853 8928 02b1f289657b png)_x000D_
_x000D_
    System Details_x000D_
     Mandatory  you only have to specify the Server URL if the error appeared on a publicly available test server    _x000D_
  Device: Windows 10_x000D_
  SORMAS version: 1 64 0 SNAPSHOT_x000D_
  Android version Browser: Chrome_x000D_
  Server URL: https:  test de sormas netzlink com sormas ui   cases  includeCasesFromOtherJurisdictions false dateFilterOption DATE_x000D_
  User Role: NatUser_x000D_
_x000D_
    Additional Information_x000D_
</t>
  </si>
  <si>
    <t>inaturalist-iNaturalistAndroid-1111</t>
  </si>
  <si>
    <t>NullPointerException in ObservationViewerActivity.onCreate</t>
  </si>
  <si>
    <t xml:space="preserve">https:  console firebase google com u 1 project inaturalist ios crashlytics app android:org inaturalist android issues 28bb71c2ca95f224153410b394954fa5_x000D_
_x000D_
   _x000D_
Caused by java lang NullPointerException: Attempt to invoke virtual method  int android view ViewGroup getChildCount()  on a null object reference_x000D_
       at androidx databinding DataBindingUtil bindToAddedViews(DataBindingUtil java:323)_x000D_
       at androidx databinding DataBindingUtil setContentView(DataBindingUtil java:306)_x000D_
       at androidx databinding DataBindingUtil setContentView(DataBindingUtil java:284)_x000D_
       at org inaturalist android ObservationViewerActivity onCreate(ObservationViewerActivity java:694)_x000D_
   _x000D_
_x000D_
And this seems like the same or a related crash: https:  console firebase google com u 1 project inaturalist ios crashlytics app android:org inaturalist android issues bdf5c3cec76518b76da59873d03094b9_x000D_
_x000D_
   _x000D_
Caused by java lang NullPointerException: Attempt to invoke virtual method  int android view ViewGroup getChildCount()  on a null object reference_x000D_
       at androidx databinding DataBindingUtil bindToAddedViews(DataBindingUtil java:323)_x000D_
       at androidx databinding DataBindingUtil setContentView(DataBindingUtil java:306)_x000D_
       at androidx databinding DataBindingUtil setContentView(DataBindingUtil java:284)_x000D_
       at org inaturalist android TaxonActivity onCreate(TaxonActivity java:666)_x000D_
   _x000D_
_x000D_
Both seem novel and are hitting numerous people </t>
  </si>
  <si>
    <t>PojavLauncherTeam-PojavLauncher-1934</t>
  </si>
  <si>
    <t>[BUG] Flywheel crash</t>
  </si>
  <si>
    <t xml:space="preserve">    Describe the bug
I wanted to play Minecraft with forge and create mod  Create mod requires flywheel and so i put the create mod and flywheel jar into mods folder  When i push the start button play Minecraft (1 16 5 w forge mod) it didn t crash but when it finished loading it crashed
    The log file and images videos
 No response 
    Steps To Reproduce
   markdown
1  Load PojavLauncher_x000D_
2  Download the 1 16 5 Forge mod jar and install the mod_x000D_
3  Download the 1 16 5 Create mod and the 1 16 flywheel mod and put the 2 mods into the mods folder_x000D_
4  Choose version as 1 16 5 Forge_x000D_
5  Push start button
    Expected Behavior
I expected it to not crash
    Platform
   markdown
  Device model: Redmi 9a 32Gb_x000D_
  CPU architecture: aarch64_x000D_
  Android version: 10_x000D_
  PojavLauncher version: 3 3 1 1
    Anything else 
 No response </t>
  </si>
  <si>
    <t>PojavLauncherTeam-PojavLauncher-1933</t>
  </si>
  <si>
    <t>commons-app-apps-android-commons-4594</t>
  </si>
  <si>
    <t>If you click "deny and don't ask again", the app will crash</t>
  </si>
  <si>
    <t xml:space="preserve">  Summary:   _x000D_
_x000D_
If you click  deny and don t ask again   the app will crash or flash all the time_x000D_
_x000D_
  Steps to reproduce:   _x000D_
_x000D_
1  Install and open commons_x000D_
2  Skip the tutorial and log in_x000D_
3  Click  nearby _x000D_
4  Click  DENY _x000D_
5  Click  YES _x000D_
6  Click  DENY AND DON T ASK AGAIN _x000D_
7  Crash_x000D_
_x000D_
  System logs:  _x000D_
_x000D_
   _x000D_
08 30 21:11:10 908  8891  8891 E AndroidRuntime: FATAL EXCEPTION: main_x000D_
08 30 21:11:10 908  8891  8891 E AndroidRuntime: Process: fr free nrw commons  PID: 8891_x000D_
08 30 21:11:10 908  8891  8891 E AndroidRuntime: java lang RuntimeException: Failure delivering result ResultInfo who  android:requestPermissions:  request 42  result  1  data Intent   act android content pm action REQUEST PERMISSIONS (has extras)    to activity  fr free nrw commons com karumi dexter DexterActivity : android content res Resources NotFoundException: String resource ID  0xffffffff_x000D_
08 30 21:11:10 908  8891  8891 E AndroidRuntime:        at android app ActivityThread deliverResults(ActivityThread java:5598)_x000D_
08 30 21:11:10 908  8891  8891 E AndroidRuntime:        at android app ActivityThread handleSendResult(ActivityThread java:5639)_x000D_
08 30 21:11:10 908  8891  8891 E AndroidRuntime:        at android app servertransaction ActivityResultItem execute(ActivityResultItem java:51)_x000D_
08 30 21:11:10 908  8891  8891 E AndroidRuntime:        at android app servertransaction TransactionExecutor executeCallbacks(TransactionExecutor java:149)08 30 21:11:10 908  8891  8891 E AndroidRuntime:        at android app servertransaction TransactionExecutor execute(TransactionExecutor java:103)_x000D_
08 30 21:11:10 908  8891  8891 E AndroidRuntime:        at android app ActivityThread H handleMessage(ActivityThread java:2462)_x000D_
08 30 21:11:10 908  8891  8891 E AndroidRuntime:        at android os Handler dispatchMessage(Handler java:110)_x000D_
08 30 21:11:10 908  8891  8891 E AndroidRuntime:        at android os Looper loop(Looper java:219)_x000D_
08 30 21:11:10 908  8891  8891 E AndroidRuntime:        at android app ActivityThread main(ActivityThread java:8393)_x000D_
08 30 21:11:10 908  8891  8891 E AndroidRuntime:        at java lang reflect Method invoke(Native Method)_x000D_
08 30 21:11:10 908  8891  8891 E AndroidRuntime:        at com android internal os RuntimeInit MethodAndArgsCaller run(RuntimeInit java:513)_x000D_
08 30 21:11:10 908  8891  8891 E AndroidRuntime:        at com android internal os ZygoteInit main(ZygoteInit java:1055)_x000D_
08 30 21:11:10 908  8891  8891 E AndroidRuntime: Caused by: android content res Resources NotFoundException: String resource ID  0xffffffff_x000D_
08 30 21:11:10 908  8891  8891 E AndroidRuntime:        at android content res Resources getText(Resources java:413)_x000D_
08 30 21:11:10 908  8891  8891 E AndroidRuntime:        at android content res Resources getString(Resources java:509)_x000D_
08 30 21:11:10 908  8891  8891 E AndroidRuntime:        at android content Context getString(Context java:639)_x000D_
08 30 21:11:10 908  8891  8891 E AndroidRuntime:        at fr free nrw commons utils PermissionUtils 1 onPermissionDenied(PermissionUtils java:119)        _x000D_
08 30 21:11:10 908  8891  8891 E AndroidRuntime:        at com karumi dexter MultiplePermissionsListenerToPermissionListenerAdapter onPermissionsChecked(Unknown Source:23)_x000D_
08 30 21:11:10 908  8891  8891 E AndroidRuntime:        at com karumi dexter MultiplePermissionListenerThreadDecorator 1 run(Unknown Source:8)_x000D_
08 30 21:11:10 908  8891  8891 E AndroidRuntime:        at com karumi dexter MainThread execute(Unknown Source:6)_x000D_
08 30 21:11:10 908  8891  8891 E AndroidRuntime:        at com karumi dexter MultiplePermissionListenerThreadDecorator onPermissionsChecked(Unknown Source:7)_x000D_
08 30 21:11:10 908  8891  8891 E AndroidRuntime:        at com karumi dexter DexterInstance onPermissionsChecked(Unknown Source:57)_x000D_
08 30 21:11:10 908  8891  8891 E AndroidRuntime:        at com karumi dexter DexterInstance updatePermissionsAsDenied(Unknown Source:36)_x000D_
08 30 21:11:10 908  8891  8891 E AndroidRuntime:        at com karumi dexter DexterInstance onPermissionRequestDenied(Unknown Source:0)_x000D_
08 30 21:11:10 908  8891  8891 E AndroidRuntime:        at com karumi dexter Dexter onPermissionsRequested(Unknown Source:9)_x000D_
08 30 21:11:10 908  8891  8891 E AndroidRuntime:        at com karumi dexter DexterActivity onRequestPermissionsResult(Unknown Source:51)_x000D_
08 30 21:11:10 908  8891  8891 E AndroidRuntime:        at android app Activity dispatchRequestPermissionsResult(Activity java:8602)_x000D_
08 30 21:11:10 908  8891  8891 E AndroidRuntime:        at android app Activity dispatchActivityResult(Activity java:8452)_x000D_
08 30 21:11:10 908  8891  8891 E AndroidRuntime:        at android app ActivityThread deliverResults(ActivityThread java:5591)_x000D_
08 30 21:11:10 908  8891  8891 E AndroidRuntime:            11 more_x000D_
08 30 21:11:10 913 23075 23148 E AndroidRuntime: FATAL EXCEPTION: FlpThread_x000D_
08 30 21:11:10 913 23075 23148 E AndroidRuntime: Process: com google android gms persistent  PID: 23075_x000D_
08 30 21:11:10 913 23075 23148 E AndroidRuntime: java lang SecurityException:  passive  location provider requires ACCESS FINE LOCATION permission         _x000D_
08 30 21:11:10 913 23075 23148 E AndroidRuntime:        at android os Parcel createException(Parcel java:2071)_x000D_
08 30 21:11:10 913 23075 23148 E AndroidRuntime:        at android os Parcel readException(Parcel java:2039)_x000D_
08 30 21:11:10 913 23075 23148 E AndroidRuntime:        at android os Parcel readException(Parcel java:1987)_x000D_
08 30 21:11:10 913 23075 23148 E AndroidRuntime:        at android location ILocationManager Stub Proxy requestLocationUpdates(ILocationManager java:1151) _x000D_
08 30 21:11:10 913 23075 23148 E AndroidRuntime:        at android location LocationManager requestLocationUpdates(LocationManager java:1038)_x000D_
08 30 21:11:10 913 23075 23148 E AndroidRuntime:        at android location LocationManager requestLocationUpdates(LocationManager java:955)_x000D_
08 30 21:11:10 913 23075 23148 E AndroidRuntime:        at bgqs a(:com google android gms 19275039 19 2 75 (100408 269183835):14)_x000D_
08 30 21:11:10 913 23075 23148 E AndroidRuntime:        at bfjh a(:com google android gms 19275039 19 2 75 (100408 269183835):10)_x000D_
08 30 21:11:10 913 23075 23148 E AndroidRuntime:        at bfjg f(Unknown Source:7)_x000D_
08 30 21:11:10 913 23075 23148 E AndroidRuntime:        at bfjg c(:com google android gms 19275039 19 2 75 (100408 269183835):2)_x000D_
08 30 21:11:10 913 23075 23148 E AndroidRuntime:        at com google android location fused FusionEngine a(:com google android gms 19275039 19 2 75 (100408 269183835):106)_x000D_
08 30 21:11:10 913 23075 23148 E AndroidRuntime:        at bfgi a(:com google android gms 19275039 19 2 75 (100408 269183835):21)_x000D_
08 30 21:11:10 913 23075 23148 E AndroidRuntime:        at com google android location fused StationaryThrottlingEngine a(:com google android gms 19275039 19 2 75 (100408 269183835):12)_x000D_
08 30 21:11:10 913 23075 23148 E AndroidRuntime:        at bfdg a(:com google android gms 19275039 19 2 75 (100408 269183835):5)_x000D_
08 30 21:11:10 913 23075 23148 E AndroidRuntime:        at bfgl a(:com google android gms 19275039 19 2 75 (100408 269183835):3)_x000D_
08 30 21:11:10 913 23075 23148 E AndroidRuntime:        at com google android location fused StationaryThrottlingEngine a(:com google android gms 19275039 19 2 75 (100408 269183835):12)_x000D_
08 30 21:11:10 913 23075 23148 E AndroidRuntime:        at bfhr a(:com google android gms 19275039 19 2 75 (100408 269183835):4)_x000D_
08 30 21:11:10 913 23075 23148 E AndroidRuntime:        at bfdi a(:com google android gms 19275039 19 2 75 (100408 269183835):2)_x000D_
08 30 21:11:10 913 23075 23148 E AndroidRuntime:        at bfgv a(:com google android gms 19275039 19 2 75 (100408 269183835):1)_x000D_
08 30 21:11:10 913 23075 23148 E AndroidRuntime:        at bfhf handleMessage(:com google android gms 19275039 19 2 75 (100408 269183835):20)_x000D_
08 30 21:11:10 913 23075 23148 E AndroidRuntime:        at android os Handler dispatchMessage(Handler java:110)_x000D_
08 30 21:11:10 913 23075 23148 E AndroidRuntime:        at aelo a(:com google android gms 19275039 19 2 75 (100408 269183835):3)_x000D_
08 30 21:11:10 913 23075 23148 E AndroidRuntime:        at aelo dispatchMessage(:com google android gms 19275039 19 2 75 (100408 269183835):4)_x000D_
08 30 21:11:10 913 23075 23148 E AndroidRuntime:        at bgre a(:com google android gms 19275039 19 2 75 (100408 269183835):5)_x000D_
08 30 21:11:10 913 23075 23148 E AndroidRuntime:        at aelo dispatchMessage(:com google android gms 19275039 19 2 75 (100408 269183835):4)_x000D_
08 30 21:11:10 913 23075 23148 E AndroidRuntime:        at android os Looper loop(Looper java:219)_x000D_
08 30 21:11:10 913 23075 23148 E AndroidRuntime:        at android os HandlerThread run(HandlerThread java:67)_x000D_
08 30 21:11:10 913 23075 23148 E AndroidRuntime:        Suppressed: java lang RuntimeException: Active trace: location base GoogleLocationManagerChimeraService onCreate_x000D_
08 30 21:11:10 913 23075 23148 E AndroidRuntime:                at sii a(:com google android gms 19275039 19 2 75 (100408 269183835):15)_x000D_
08 30 21:11:10 913 23075 23148 E AndroidRuntime:                at sjr a(:com google android gms 19275039 19 2 75 (100408 269183835):41)_x000D_
08 30 21:11:10 913 23075 23148 E AndroidRuntime:                at aelo dispatchMessage(:com google android gms 19275039 19 2 75 (100408 269183835):7)     _x000D_
08 30 21:11:10 913 23075 23148 E AndroidRuntime:                    4 more_x000D_
08 30 21:11:10 913 23075 23148 E AndroidRuntime:        Suppressed: java lang RuntimeException: Active trace: location base GoogleLocationManagerChimeraService onCreate_x000D_
08 30 21:11:10 913 23075 23148 E AndroidRuntime:                at sii a(:com google android gms 19275039 19 2 75 (100408 269183835):15)_x000D_
08 30 21:11:10 913 23075 23148 E AndroidRuntime:                at sjr a(:com google android gms 19275039 19 2 75 (100408 269183835):41)_x000D_
08 30 21:11:10 913 23075 23148 E AndroidRuntime:                at aelo dispatchMessage(:com google android gms 19275039 19 2 75 (100408 269183835):7)     _x000D_
08 30 21:11:10 913 23075 23148 E AndroidRuntime:                    2 more_x000D_
   _x000D_
_x000D_
  Device and Android version:   _x000D_
_x000D_
Device:  Huawei nova 5 Pro _x000D_
Android version:  Android 10 0 _x000D_
EMUI version:  11 0 0 _x000D_
_x000D_
  Commons app version:   _x000D_
_x000D_
App version:  3 0 3 _x000D_
_x000D_
  Screen shots:   _x000D_
_x000D_
  ezgif com gif maker (3) (https:  user images githubusercontent com 15941953 131344956 cc539181 464c 4638 b85f 9b94873d1ac5 gif)_x000D_
_x000D_
</t>
  </si>
  <si>
    <t>tchapgouv-tchap-android-legacy-721</t>
  </si>
  <si>
    <t>Crash on Exception: java.lang.IndexOutOfBoundsException during a search in the users directory</t>
  </si>
  <si>
    <t xml:space="preserve">                                  crash call stack                                  _x000D_
Tchap Build : 79_x000D_
Tchap Version : 1 2 1 a (G 4d9e6aa67 2021 04 02 13:34:25  0200)_x000D_
SDK Version : 0 9 37 dev (68165b6d 2020 12 09 16:15:52  0100)_x000D_
Phone : W K610 EEA (08181044 11 REL)_x000D_
Memory statuses _x000D_
usedSize   11 MB_x000D_
freeSize   1 MB_x000D_
totalSize   13 MB_x000D_
Thread: main  Activity:im vector activity VectorHomeActivity  Exception: java lang IndexOutOfBoundsException: Inconsistency detected  Invalid view holder adapter positionContactViewHolder 77eadb7 position 3 id  1  oldPos 3  pLpos: 1 scrap  attachedScrap  tmpDetached not recyclable(1) no parent  androidx recyclerview widget RecyclerView 36961f9 VFED            ID 0 0 720 1168  7f090318 app:id recyclerview   adapter:fr gouv tchap adapters TchapContactAdapter f4ec53e  layout:androidx recyclerview widget LinearLayoutManager 970f9f  context:im vector activity VectorHomeActivity 40425aa_x000D_
        at androidx recyclerview widget RecyclerView Recycler validateViewHolderForOffsetPosition(RecyclerView java:5974)_x000D_
        at androidx recyclerview widget RecyclerView Recycler tryGetViewHolderForPositionByDeadline(RecyclerView java:6158)_x000D_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dispatchLayoutStep1(RecyclerView java:4085)_x000D_
        at androidx recyclerview widget RecyclerView onMeasure(RecyclerView java:3534)_x000D_
        at android view View measure(View java:25645)_x000D_
        at android widget RelativeLayout measureChildHorizontal(RelativeLayout java:735)_x000D_
        at android widget RelativeLayout onMeasure(RelativeLayout java:481)_x000D_
        at android view View measure(View java:25645)_x000D_
        at android widget RelativeLayout measureChildHorizontal(RelativeLayout java:735)_x000D_
        at android widget RelativeLayout onMeasure(RelativeLayout java:481)_x000D_
        at android view View measure(View java:25645)_x000D_
        at android widget RelativeLayout measureChildHorizontal(RelativeLayout java:735)_x000D_
        at android widget RelativeLayout onMeasure(RelativeLayout java:481)_x000D_
        at android view View measure(View java:25645)_x000D_
        at android view ViewGroup measureChildWithMargins(ViewGroup java:7026)_x000D_
        at android widget FrameLayout onMeasure(FrameLayout java:194)_x000D_
        at android view View measure(View java:25645)_x000D_
        at androidx constraintlayout widget ConstraintLayout onMeasure(ConstraintLayout java:1676)_x000D_
        at android view View measure(View java:25645)_x000D_
        at androidx drawerlayout widget DrawerLayout onMeasure(DrawerLayout java:1119)_x000D_
        at android view View measure(View java:25645)_x000D_
        at android view ViewGroup measureChildWithMargins(ViewGroup java:7026)_x000D_
        at android widget FrameLayout onMeasure(FrameLayout java:194)_x000D_
        at androidx appcompat widget ContentFrameLayout onMeasure(ContentFrameLayout java:143)_x000D_
        at android view View measure(View java:25645)_x000D_
        at android view ViewGroup measureChildWithMargins(ViewGroup java:7026)_x000D_
        at android widget LinearLayout measureChildBeforeLayout(LinearLayout java:1552)_x000D_
        at android widget LinearLayout measureVertical(LinearLayout java:842)_x000D_
        at android widget LinearLayout onMeasure(LinearLayout java:721)_x000D_
        at android view View measure(View java:25645)_x000D_
        at android view ViewGroup measureChildWithMargins(ViewGroup java:7026)_x000D_
        at android widget FrameLayout onMeasure(FrameLayout java:194)_x000D_
        at android view View measure(View java:25645)_x000D_
        at android view ViewGroup measureChildWithMargins(ViewGroup java:7026)_x000D_
        at android widget LinearLayout measureChildBeforeLayout(LinearLayout java:1552)_x000D_
        at android widget LinearLayout measureVertical(LinearLayout java:842)_x000D_
        at android widget LinearLayout onMeasure(LinearLayout java:721)_x000D_
        at android view View measure(View java:25645)_x000D_
        at android view ViewGroup measureChildWithMargins(ViewGroup java:7026)_x000D_
        at android widget FrameLayout onMeasure(FrameLayout java:194)_x000D_
        at com android internal policy DecorView onMeasure(DecorView java:747)_x000D_
        at android view View measure(View java:25645)_x000D_
        at android view ViewRootImpl performMeasure(ViewRootImpl java:3524)_x000D_
        at android view ViewRootImpl measureHierarchy(ViewRootImpl java:2313)_x000D_
        at android view ViewRootImpl performTraversals(ViewRootImpl java:2576)_x000D_
        at android view ViewRootImpl doTraversal(ViewRootImpl java:2037)_x000D_
        at android view ViewRootImpl TraversalRunnable run(ViewRootImpl java:8435)_x000D_
        at android view Choreographer CallbackRecord run(Choreographer java:974)_x000D_
        at android view Choreographer doCallbacks(Choreographer java:797)_x000D_
        at android view Choreographer doFrame(Choreographer java:732)_x000D_
        at android view Choreographer FrameDisplayEventReceiver run(Choreographer java:959)_x000D_
        at android os Handler handleCallback(Handler java:938)_x000D_
        at android os Handler dispatchMessage(Handler java:99)_x000D_
        at android os Looper loop(Looper java:230)_x000D_
        at android app ActivityThread main(ActivityThread java:7700)_x000D_
        at java lang reflect Method invoke(Native Method)_x000D_
        at com android internal os RuntimeInit MethodAndArgsCaller run(RuntimeInit java:612)_x000D_
        at com android internal os ZygoteInit main(ZygoteInit java:997)_x000D_
_x000D_
_x000D_
User Agent:  Tchap 1 2 1 a (Linux  U  Android 11  W K610 EEA Build RP1A 200720 01  Flavour appAgentWithoutvoipWithpinning  MatrixAndroidSDK 0 9 37 dev) _x000D_
Version:  1 2 1 a (G 4d9e6aa67 2021 04 02 13:34:25  0200) _x000D_
app language:  fr FR _x000D_
branch name:  tags tchap v1 2 1 0 _x000D_
default app language:  fr FR _x000D_
device:  W K610 EEA _x000D_
device id:  UDKMRJOCLI _x000D_
lazy loading:  ON _x000D_
locale:  fr FR _x000D_
matrix sdk version:  0 9 37 dev (68165b6d 2020 12 09 16:15:52  0100) _x000D_
multi window:  OFF _x000D_
olm version:  3 1 2   olm version (3 1 2)   a18a4e8 2019 05 20 21:39:54  0100 _x000D_
os:  11 (API 30) 08181044 REL </t>
  </si>
  <si>
    <t>TeamNewPipe-NewPipe-7021</t>
  </si>
  <si>
    <t>Newpipe can access storage without permission.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</si>
  <si>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_x000D_
   x  I am using the latest version   0 21 9_x000D_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Deny storage permission for Newpipe_x000D_
2  Open Newpipe and download any video_x000D_
3  Starts download without asking for storage permission in pop up notification_x000D_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I deny Newpipe access to device storage permission but the app can still freely access and download videos and audio _x000D_
_x000D_
_x000D_
    Expected behavior_x000D_
After pressing the download button a pop up notification to appear asking if I want to give Newpipe storage permission 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Galaxy A02s_x000D_
</t>
  </si>
  <si>
    <t>oliexdev-openScale-771</t>
  </si>
  <si>
    <t>crash when connecting to QN-Scale</t>
  </si>
  <si>
    <t xml:space="preserve">Happens with the release version as well as with the current master immediately upon connecting  app is therefore unusable:_x000D_
_x000D_
    D BluetoothCommunication: Found peripheral  QN Scale _x000D_
    D BluetoothAdapter: isLeEnabled(): ON_x000D_
    I BluetoothCentral: scan stopped_x000D_
    D BluetoothCommunication: Try to connect to BLE device D8:0B:CB:14:6C:E7_x000D_
    I BluetoothPeripheral: connect to  QN Scale  (D8:0B:CB:14:6C:E7) using TRANSPORT LE_x000D_
    D BluetoothGatt: connect()   device: D8:0B:CB:14:6C:E7  auto: false_x000D_
    D BluetoothGatt: registerApp()_x000D_
    D BluetoothGatt: registerApp()   UUID b0174713 c339 4b9b b0c4 1988b0dfd814_x000D_
    D BluetoothGatt: onClientRegistered()   status 0 clientIf 11_x000D_
    D BluetoothGatt: onClientConnectionState()   status 0 clientIf 11 device D8:0B:CB:14:6C:E7_x000D_
    I BluetoothPeripheral: connected to  QN Scale  (BOND NONE) in 0 2s_x000D_
    D BluetoothPeripheral: discovering services of  QN Scale  with delay of 0 ms_x000D_
    D BluetoothGatt: discoverServices()   device: D8:0B:CB:14:6C:E7_x000D_
    D BluetoothGatt: onConnectionUpdated()   Device D8:0B:CB:14:6C:E7 interval 6 latency 0 timeout 500 status 0_x000D_
    D BluetoothGatt: onSearchComplete()   Device D8:0B:CB:14:6C:E7 Status 0_x000D_
    I BluetoothPeripheral: discovered 5 services for  QN Scale _x000D_
    D BluetoothCommunication: connected to  QN Scale _x000D_
    D BluetoothCommunication: Successful Bluetooth services discovered_x000D_
    D BluetoothCommunication: Resume machine state_x000D_
    D BluetoothCommunication: Step Nr 0_x000D_
    D BluetoothCommunication: Invoke set notification on 0xffe1_x000D_
    D BluetoothCommunication: Step Nr 1_x000D_
    D BluetoothCommunication: Invoke set indication on 0xffe2_x000D_
    D BluetoothCommunication: Step Nr 2_x000D_
    D BluetoothCommunication: Invoke write bytes  13 09 15 01 10 00 00 00 42  on 0xffe3_x000D_
    D AndroidRuntime: Shutting down VM_x000D_
    E AndroidRuntime: FATAL EXCEPTION: main_x000D_
        Process: com health openscale  PID: 26816_x000D_
        java lang NullPointerException: no valid characteristic provided_x000D_
            at java util Objects requireNonNull(Objects java:245)_x000D_
            at com welie blessed BluetoothPeripheral writeCharacteristic(BluetoothPeripheral java:1182)_x000D_
            at com health openscale core bluetooth BluetoothCommunication writeBytes(BluetoothCommunication java:243)_x000D_
            at com health openscale core bluetooth BluetoothCommunication writeBytes(BluetoothCommunication java:231)_x000D_
            at com health openscale core bluetooth BluetoothQNScale onNextStep(BluetoothQNScale java:111)_x000D_
            at com health openscale core bluetooth BluetoothCommunication nextMachineStep(BluetoothCommunication java:503)_x000D_
            at com health openscale core bluetooth BluetoothCommunication nextMachineStep(BluetoothCommunication java:505)_x000D_
            at com health openscale core bluetooth BluetoothCommunication nextMachineStep(BluetoothCommunication java:505)_x000D_
            at com health openscale core bluetooth BluetoothCommunication resumeMachineState(BluetoothCommunication java:173)_x000D_
            at com health openscale core bluetooth BluetoothCommunication 1 onServicesDiscovered(BluetoothCommunication java:372)_x000D_
            at com welie blessed BluetoothPeripheral 1 1 run(BluetoothPeripheral java:323)_x000D_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E CustomActivityOnCrash: App has crashed  executing CustomActivityOnCrash s UncaughtExceptionHandler_x000D_
        java lang NullPointerException: no valid characteristic provided_x000D_
            at java util Objects requireNonNull(Objects java:245)_x000D_
            at com welie blessed BluetoothPeripheral writeCharacteristic(BluetoothPeripheral java:1182)_x000D_
            at com health openscale core bluetooth BluetoothCommunication writeBytes(BluetoothCommunication java:243)_x000D_
            at com health openscale core bluetooth BluetoothCommunication writeBytes(BluetoothCommunication java:231)_x000D_
            at com health openscale core bluetooth BluetoothQNScale onNextStep(BluetoothQNScale java:111)_x000D_
            at com health openscale core bluetooth BluetoothCommunication nextMachineStep(BluetoothCommunication java:503)_x000D_
            at com health openscale core bluetooth BluetoothCommunication nextMachineStep(BluetoothCommunication java:505)_x000D_
            at com health openscale core bluetooth BluetoothCommunication nextMachineStep(BluetoothCommunication java:505)_x000D_
            at com health openscale core bluetooth BluetoothCommunication resumeMachineState(BluetoothCommunication java:173)_x000D_
            at com health openscale core bluetooth BluetoothCommunication 1 onServicesDiscovered(BluetoothCommunication java:372)_x000D_
            at com welie blessed BluetoothPeripheral 1 1 run(BluetoothPeripheral java:323)_x000D_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D BluetoothGatt: onConnectionUpdated()   Device D8:0B:CB:14:6C:E7 interval 36 latency 0 timeout 500 status 0_x000D_
    I Process: Sending signal  PID: 26816 SIG: 9_x000D_
    Disconnected from the target VM  address:  localhost:32997   transport:  socket _x000D_
</t>
  </si>
  <si>
    <t>Anuken-Mindustry-5896</t>
  </si>
  <si>
    <t>Generation Blend's Ignore missing wall tiles.</t>
  </si>
  <si>
    <t xml:space="preserve">  Platform  :  Android iOS Mac Windows Linux _x000D_
Linux_x000D_
  Build  :  The build number under the title in the main menu  Required   LATEST  IS NOT A VERSION  I NEED THE EXACT BUILD NUMBER OF YOUR GAME  _x000D_
130 1 steam_x000D_
  Issue  :  Explain your issue in detail  _x000D_
 Blend  generation settings all have wall tiles   except  ignore _x000D_
  Steps to reproduce  :  How you happened across the issue  and what exactly you did to make the bug happen  _x000D_
Generation Add Blend  Click Ignore_x000D_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</si>
  <si>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nextcloud-android-8912</t>
  </si>
  <si>
    <t>Upload files</t>
  </si>
  <si>
    <t xml:space="preserve">    Steps to reproduce_x000D_
1  Select upload files from the nextcloud menu_x000D_
_x000D_
    Expected behaviour_x000D_
  Tell us what should happen_x000D_
The app should open a file explorer to select files to upload_x000D_
_x000D_
    Actual behaviour_x000D_
  Tell us what happens_x000D_
The app crashed and show the error message_x000D_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10_x000D_
_x000D_
Device model: _x000D_
Nokia 7 1_x000D_
_x000D_
Stock or customized system:_x000D_
Stock_x000D_
_x000D_
Nextcloud app version:_x000D_
30170090_x000D_
_x000D_
Nextcloud server version:_x000D_
21 0 4_x000D_
_x000D_
Reverse proxy:_x000D_
No_x000D_
_x000D_
    Logs_x000D_
     Web server error log_x000D_
   _x000D_
No web server log_x000D_
   _x000D_
_x000D_
     Nextcloud log (data nextcloud log)_x000D_
   _x000D_
             CAUSE OF ERROR             _x000D_
_x000D_
java lang RuntimeException: Unable to pause activity  com nextcloud client com owncloud android ui activity ReceiveExternalFilesActivity : java lang IllegalArgumentException: Receiver not registered: de cotech hw internal transport usb UsbConnectionDispatcher 1 1bb8a39_x000D_
	at android app ActivityThread performPauseActivityIfNeeded(ActivityThread java:4504)_x000D_
	at android app ActivityThread performPauseActivity(ActivityThread java:4455)_x000D_
	at android app ActivityThread handlePauseActivity(ActivityThread java:4407)_x000D_
	at android app servertransaction PauseActivityItem execute(PauseActivityItem java:46)_x000D_
	at android app servertransaction TransactionExecutor executeLifecycleState(TransactionExecutor java:176)_x000D_
	at android app servertransaction TransactionExecutor execute(TransactionExecutor java:97)_x000D_
	at android app ActivityThread H handleMessage(ActivityThread java:2017)_x000D_
	at android os Handler dispatchMessage(Handler java:107)_x000D_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java:935)_x000D_
Caused by: java lang IllegalArgumentException: Receiver not registered: de cotech hw internal transport usb UsbConnectionDispatcher 1 1bb8a39_x000D_
	at android app LoadedApk forgetReceiverDispatcher(LoadedApk java:1429)_x000D_
	at android app ContextImpl unregisterReceiver(ContextImpl java:1543)_x000D_
	at android content ContextWrapper unregisterReceiver(ContextWrapper java:664)_x000D_
	at de cotech hw internal transport usb UsbConnectionDispatcher onInactive(UsbConnectionDispatcher java:131)_x000D_
	at de cotech hw SecurityKeyManager DispatcherActivityLifecycleCallbacks ensureStateInactive(SecurityKeyManager java:316)_x000D_
	at de cotech hw SecurityKeyManager DispatcherActivityLifecycleCallbacks refreshActiveState(SecurityKeyManager java:290)_x000D_
	at de cotech hw SecurityKeyManager DispatcherActivityLifecycleCallbacks onActivityPaused(SecurityKeyManager java:333)_x000D_
	at android app Application dispatchActivityPaused(Application java:466)_x000D_
	at android app Activity dispatchActivityPaused(Activity java:1301)_x000D_
	at android app Activity onPause(Activity java:2221)_x000D_
	at androidx fragment app FragmentActivity onPause(FragmentActivity java:388)_x000D_
	at com owncloud android ui activity BaseActivity onPause(BaseActivity java:84)_x000D_
	at com owncloud android ui activity FileActivity onPause(FileActivity java:253)_x000D_
	at android app Activity performPause(Activity java:7978)_x000D_
	at android app Instrumentation callActivityOnPause(Instrumentation java:1501)_x000D_
	at android app ActivityThread performPauseActivityIfNeeded(ActivityThread java:4494)_x000D_
	    12 more_x000D_
_x000D_
             APP INFORMATION             _x000D_
ID: com nextcloud client_x000D_
Version: 30170090_x000D_
Build flavor: gplay_x000D_
_x000D_
             DEVICE INFORMATION             _x000D_
Brand: Nokia_x000D_
Device: CTL sprout_x000D_
Model: Nokia 7 1_x000D_
Id: QKQ1 190828 002_x000D_
Product: Crystal 00WW_x000D_
_x000D_
             FIRMWARE             _x000D_
SDK: 29_x000D_
Release: 10_x000D_
Incremental: 00WW 4 15T_x000D_
_x000D_
   _x000D_
  NOTE:   Be super sure to remove sensitive data like passwords  note that everybody can look here  You can use the Issue Template application to prefill some of the required information: https:  apps nextcloud com apps issuetemplate_x000D_
</t>
  </si>
  <si>
    <t>jellyfin-jellyfin-androidtv-1118</t>
  </si>
  <si>
    <t>Fail to install on Sony KD-55X8000C , which runs Android 7</t>
  </si>
  <si>
    <t xml:space="preserve">  Describe the bug  _x000D_
Installer crashes right after clicking on 0 12 0 beta 5 apk_x000D_
_x000D_
  To Reproduce  _x000D_
     Steps to reproduce the behavior:    _x000D_
1  Go to file manager _x000D_
2  Click on  jellyfin androidtv v0 12 0 beta 5 release apk _x000D_
3  Installer crashes_x000D_
_x000D_
  Expected behavior  _x000D_
v0 11 5 is OK  v0 12 0 (beta 1  beta5) is NOT OK_x000D_
_x000D_
  Logs  _x000D_
Don t know how to achieve install log  any ideas _x000D_
_x000D_
  Screenshots  _x000D_
     If applicable  add screenshots to help explain your problem     _x000D_
_x000D_
  System (please complete the following information):  _x000D_
   Android 7_x000D_
   Sony_x000D_
    KD 55X8000C_x000D_
_x000D_
</t>
  </si>
  <si>
    <t>TeamNewPipe-NewPipe-7012</t>
  </si>
  <si>
    <t>0.21.9 crashes while Listening</t>
  </si>
  <si>
    <t xml:space="preserve">Newpipe 0 21 9 crashes while listening to music _x000D_
_x000D_
Don t know if this is the same Wlan disconnect issue that i posted here  https:  github com TeamNewPipe NewPipe issues 5168 (https:  github com TeamNewPipe NewPipe issues 5168)_x000D_
_x000D_
Device is Galaxy S4 GT I9505 with Lineageos 18 1_x000D_
_x000D_
After Crash Wlan is enabled but disconnected continuously_x000D_
_x000D_
 crashlog txt (https:  github com TeamNewPipe NewPipe files 7072413 crashlog txt)_x000D_
</t>
  </si>
  <si>
    <t>PojavLauncherTeam-PojavLauncher-1920</t>
  </si>
  <si>
    <t>[BUG]  0828/140643.281656:ERROR:elf_dynamic_array_reader.h(61)</t>
  </si>
  <si>
    <t xml:space="preserve">    Describe the bug
When playing 1 7 10  it randomly crashes when loading into a new world 
    The log file and images videos
 No response 
    Steps To Reproduce
   markdown
start Pojav Launcher_x000D_
Start 1 7 10_x000D_
Load into a world
    Expected Behavior
Expected for it to be fine
    Platform
   markdown
  Device model: google pixel 3_x000D_
  CPU architecture: idk_x000D_
  Android version: 11 0_x000D_
  PojavLauncher version: newest
    Anything else 
 No response </t>
  </si>
  <si>
    <t>TeamNewPipe-NewPipe-7007</t>
  </si>
  <si>
    <t>Weird glitching effect when pinching in popup mode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</si>
  <si>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1  Open newpipe_x000D_
2  Start a video_x000D_
3  Open in popup mode_x000D_
4  Pinch to zoom_x000D_
5  See issue_x000D_
_x000D_
_x000D_
    Actual behavior_x000D_
     Tell us what happens with the steps given above     _x000D_
It glitches _x000D_
_x000D_
_x000D_
    Expected behavior_x000D_
     Tell us what you expect to happen     _x000D_
Smooth zooming_x000D_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https:  mega nz file KoVE0JAR LP4OGAgUx4F3is5 Qi3uNESCu2E8BqCj5ayL409BIXY_x000D_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 0_x000D_
   Device model: Samsung Galaxy A8 _x000D_
</t>
  </si>
  <si>
    <t>nextcloud-android-8910</t>
  </si>
  <si>
    <t>After authentication failure, nextcloud android app crashes without any way to recover the situation</t>
  </si>
  <si>
    <t xml:space="preserve">    Steps to reproduce_x000D_
1    something  goes wrong on the server side that makes connections time out or return 401_x000D_
2   Try and sync using the android app_x000D_
_x000D_
    Expected behaviour_x000D_
  Android app should error and present you with the new credentials screen  or a retry prompt or similar _x000D_
_x000D_
    Actual behaviour_x000D_
  Android app crashes entirely_x000D_
  Reopening the app takes you back to the crash  there doesn t seem to be any way to get back to a working state from here _x000D_
_x000D_
    Can you reproduce this problem on https:  try nextcloud com _x000D_
  Not directly  however the client app probably shouldn t ever crash without any form of recovery _x000D_
_x000D_
    Environment data_x000D_
_x000D_
Stock or customized system: Lineageos stock_x000D_
_x000D_
Nextcloud server version: 21 0 3_x000D_
_x000D_
    Server Logs_x000D_
Snippet from the server log showing some of the flows of 401 s etc:_x000D_
   _x000D_
192 168 87 16      28 Aug 2021:14:03:06  0100   MKCOL  nextcloud remote php dav uploads rob a1742796b607182572c5a3593198cbec HTTP 1 1  401 1249      Mozilla 5 0 (Android) Nextcloud android 3 16 1 _x000D_
192 168 87 16      28 Aug 2021:14:03:33  0100   PROPFIND  nextcloud remote php dav uploads rob a1742796b607182572c5a3593198cbec HTTP 1 1  401 1795      Mozilla 5 0 (Android) Nextcloud android 3 16 1 _x000D_
192 168 87 16      28 Aug 2021:14:04:00  0100   GET  nextcloud index php 204 HTTP 2 0  204 901      Mozilla 5 0 (Android) Nextcloud android 3 16 1 _x000D_
192 168 87 16      28 Aug 2021:14:04:00  0100   HEAD  nextcloud remote php webdav InstantUpload Camera 2021 08 IMG 20210826 190924 jpg HTTP 1 1  401 1340      Mozilla 5 0 (Android) Nextcloud android 3 16 1 _x000D_
192 168 87 16      28 Aug 2021:14:04:10  0100   PUT  nextcloud index php apps notes api v1 notes 16303  HTTP 1 1  401 2223      Mozilla 5 0 (Android) Nextcloud android 3 16 1 _x000D_
192 168 87 16      28 Aug 2021:14:04:27  0100   MKCOL  nextcloud remote php dav uploads rob 21229c7da4774481a13f130902046c61 HTTP 1 1  401 1249      Mozilla 5 0 (Android) Nextcloud android 3 16 1 _x000D_
192 168 87 16      28 Aug 2021:14:05:06  0100   GET  nextcloud ocs v2 php cloud user format json HTTP 2 0  401 1036      Mozilla 5 0 (Android) Nextcloud android 3 16 1 _x000D_
192 168 87 16      28 Aug 2021:14:04:52  0100   GET  nextcloud index php apps notes api v1 notes pruneBefore 1629655017 HTTP 1 1  401 1677      Mozilla 5 0 (Android) Nextcloud android 3 16 1 _x000D_
192 168 87 16      28 Aug 2021:14:05:07  0100   GET  nextcloud status php HTTP 1 1  200 1700      Mozilla 5 0 (Android) Nextcloud android 3 16 1 _x000D_
192 168 87 16      28 Aug 2021:14:05:07  0100   GET  nextcloud status php HTTP 1 1  200 1700      Mozilla 5 0 (Android) Nextcloud android 3 16 1 _x000D_
192 168 87 16      28 Aug 2021:14:05:18  0100   GET  nextcloud ocs v2 php cloud capabilities format json HTTP 1 1  304 286      Mozilla 5 0 (Android) Nextcloud android 3 16 1 _x000D_
192 168 87 16      28 Aug 2021:14:05:18  0100   GET  nextcloud ocs v2 php cloud capabilities format json HTTP 1 1  304 286      Mozilla 5 0 (Android) Nextcloud android 3 16 1 _x000D_
192 168 87 16      28 Aug 2021:14:05:19  0100   GET  nextcloud index php 204 HTTP 2 0  204 906      Mozilla 5 0 (Android) Nextcloud android 3 16 1 _x000D_
192 168 87 16      28 Aug 2021:14:05:19  0100   GET  nextcloud index php 204 HTTP 2 0  204 901      Mozilla 5 0 (Android) Nextcloud android 3 16 1 _x000D_
192 168 87 16      28 Aug 2021:14:05:19  0100   GET  nextcloud index php 204 HTTP 2 0  204 902      Mozilla 5 0 (Android) Nextcloud android 3 16 1 _x000D_
192 168 87 16      28 Aug 2021:14:05:19  0100   GET  nextcloud index php 204 HTTP 2 0  204 900      Mozilla 5 0 (Android) Nextcloud android 3 16 1 _x000D_
192 168 87 16      28 Aug 2021:14:05:19  0100   GET  nextcloud index php 204 HTTP 2 0  204 898      Mozilla 5 0 (Android) Nextcloud android 3 16 1 _x000D_
192 168 87 16      28 Aug 2021:14:05:19  0100   GET  nextcloud index php 204 HTTP 2 0  204 906      Mozilla 5 0 (Android) Nextcloud android 3 16 1 _x000D_
192 168 87 16      28 Aug 2021:14:05:19  0100   GET  nextcloud index php 204 HTTP 2 0  204 904      Mozilla 5 0 (Android) Nextcloud android 3 16 1 _x000D_
192 168 87 16      28 Aug 2021:14:05:20  0100   GET  nextcloud index php 204 HTTP 2 0  204 904      Mozilla 5 0 (Android) Nextcloud android 3 16 1 _x000D_
192 168 87 16      28 Aug 2021:14:04:53  0100   PROPFIND  nextcloud remote php dav uploads rob 21229c7da4774481a13f130902046c61 HTTP 1 1  401 1795      Mozilla 5 0 (Android) Nextcloud android 3 16 1 _x000D_
192 168 87 16      28 Aug 2021:14:05:20  0100   GET  nextcloud index php 204 HTTP 2 0  204 895      Mozilla 5 0 (Android) Nextcloud android 3 16 1 _x000D_
   _x000D_
_x000D_
   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java:923)_x000D_
_x000D_
             APP INFORMATION             _x000D_
ID: com nextcloud client_x000D_
Version: 30160190_x000D_
Build flavor: generic_x000D_
_x000D_
             DEVICE INFORMATION             _x000D_
Brand: Xiaomi_x000D_
Device: beryllium_x000D_
Model: POCO F1_x000D_
Id: RQ3A 210805 001 A1_x000D_
Product: beryllium_x000D_
_x000D_
             FIRMWARE             _x000D_
SDK: 30_x000D_
Release: 11_x000D_
Incremental: fd40c1807e_x000D_
   _x000D_
</t>
  </si>
  <si>
    <t>MuntashirAkon-AppManager-566</t>
  </si>
  <si>
    <t>Crash when click on Instruction (WebView uninstalled)</t>
  </si>
  <si>
    <t xml:space="preserve">   x  I know what my device  OS and App Manager versions are_x000D_
   x  I know how to take logs_x000D_
   x  I know how to reproduce the issue which may not be specific to my device_x000D_
_x000D_
  Describe the bug  _x000D_
App crashes when go to instructions page (Android System WebView disabled)_x000D_
_x000D_
  To Reproduce  _x000D_
Steps to reproduce the behaviour:_x000D_
1  Uninstall Android System WebView app_x000D_
2  Click on upper right cornor 3 dot icon_x000D_
3  Click on Instructions_x000D_
App crashes_x000D_
_x000D_
  Expected behavior  _x000D_
I know its sounds silly why would you disable WebView   try to open Instructions page  But in my opinion it should say instruction page requires  Android System WebView app plz enable update it  or something instead of crashing_x000D_
_x000D_
  Crash logs  _x000D_
java lang RuntimeException: Unable to start activity ComponentInfo io github muntashirakon AppManager io github muntashirakon AppManager misc HelpActivity : android util AndroidRuntimeException: android webkit WebViewFactory MissingWebViewPackageException: Failed to load WebView provider: No WebView installed_x000D_
    at android app ActivityThread performLaunchActivity(ActivityThread java:2781)_x000D_
    at android app ActivityThread handleLaunchActivity(ActivityThread java:2859)_x000D_
    at android app ActivityThread  wrap11(Unknown Source:0)_x000D_
    at android app ActivityThread H handleMessage(ActivityThread java:1592)_x000D_
    at android os Handler dispatchMessage(Handler java:106)_x000D_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Caused by: android util AndroidRuntimeException: android webkit WebViewFactory MissingWebViewPackageException: Failed to load WebView provider: No WebView installed_x000D_
   at android webkit WebViewFactory getProviderClass(WebViewFactory java:423)_x000D_
   at android webkit WebViewFactory getProvider(WebViewFactory java:194)_x000D_
   at android webkit WebView getFactory(WebView java:2530)_x000D_
   at android webkit WebView ensureProviderCreated(WebView java:2525)_x000D_
   at android webkit WebView setOverScrollMode(WebView java:2590)_x000D_
   at android view View  init (View java:4574)_x000D_
   at android view View  init (View java:4706)_x000D_
   at android view ViewGroup  init (ViewGroup java:597)_x000D_
   at android widget AbsoluteLayout  init (AbsoluteLayout java:55)_x000D_
   at android webkit WebView  init (WebView java:643)_x000D_
   at android webkit WebView  init (WebView java:588)_x000D_
   at android webkit WebView  init (WebView java:571)_x000D_
   at android webkit WebView  init (WebView java:558)_x000D_
   at android webkit WebView  init (WebView java:548)_x000D_
   at io github muntashirakon AppManager misc HelpActivity onAuthenticated(HelpActivity java:50)_x000D_
   at io github muntashirakon AppManager BaseActivity onCreate(BaseActivity java:46)_x000D_
   at android app Activity performCreate(Activity java:7023)_x000D_
   at android app Activity performCreate(Activity java:7014)_x000D_
   at android app Instrumentation callActivityOnCreate(Instrumentation java:1215)_x000D_
   at android app ActivityThread performLaunchActivity(ActivityThread java:2734)_x000D_
   at android app ActivityThread handleLaunchActivity(ActivityThread java:2859)_x000D_
   at android app ActivityThread  wrap11(Unknown Source:0)_x000D_
   at android app ActivityThread H handleMessage(ActivityThread java:1592)_x000D_
   at android os Handler dispatchMessage(Handler java:106)_x000D_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_x000D_
  Device info  _x000D_
App version: 2 6 3_x000D_
App version code: 392_x000D_
Android build version: 8704X S001025 190606 ROW_x000D_
Android release version: 8 1 0_x000D_
Android SDK version: 27_x000D_
Android build ID: TB 8704X S001025 190606 ROW_x000D_
Device brand: Lenovo_x000D_
Device manufacturer: LENOVO_x000D_
Device name: TB 8704X_x000D_
Device model: Lenovo TB 8704X_x000D_
Device product name: TB 8704X_x000D_
Device hardware name: qcom_x000D_
ABIs:  arm64 v8a  armeabi v7a  armeabi _x000D_
ABIs (32bit):  armeabi v7a  armeabi _x000D_
ABIs (64bit):  arm64 v8a _x000D_
System language: en IN_x000D_
In App Language: auto_x000D_
Mode: auto (adb no root)_x000D_
_x000D_
  Additional context  _x000D_
Got this idea to disable WebView while testing https:  github com mirfatif PermissionManagerX issues 19</t>
  </si>
  <si>
    <t>PojavLauncherTeam-PojavLauncher-1914</t>
  </si>
  <si>
    <t>[BUG] editing controls crash the pojavlauncher</t>
  </si>
  <si>
    <t xml:space="preserve">    Describe the bug_x000D_
_x000D_
Custom controls crash the pojavlauncher_x000D_
_x000D_
    The log file and images videos_x000D_
_x000D_
 No response _x000D_
_x000D_
    Steps To Reproduce_x000D_
_x000D_
   markdown_x000D_
1  Start the pojavlauncher_x000D_
2 open custom controls then edit SEC _x000D_
3 then crash_x000D_
   _x000D_
_x000D_
_x000D_
    Expected Behavior_x000D_
_x000D_
_x000D_
  Device model: Galaxy j2_x000D_
  CPU architecture: aarch32_x000D_
  Android version: 5 1 1_x000D_
  PojavLauncher version:  v3 3 1 1 rel 3db1eec_x000D_
_x000D_
_x000D_
    Anything else _x000D_
_x000D_
 No response</t>
  </si>
  <si>
    <t>nextcloud-android-8908</t>
  </si>
  <si>
    <t>Cannot open menu</t>
  </si>
  <si>
    <t xml:space="preserve">    Steps to reproduce_x000D_
1  Tap the  hamburger  menu button_x000D_
_x000D_
    Expected behaviour_x000D_
  Menu open as normal_x000D_
_x000D_
    Actual behaviour_x000D_
  App crash_x000D_
_x000D_
Details:_x000D_
             CAUSE OF ERROR             _x000D_
_x000D_
java lang RuntimeException: Canvas: trying to draw too large(106328180bytes) bitmap _x000D_
	at android graphics RecordingCanvas throwIfCannotDraw(RecordingCanvas java:280)_x000D_
	at android graphics BaseRecordingCanvas drawBitmap(BaseRecordingCanvas java:88)_x000D_
	at android graphics drawable BitmapDrawable draw(BitmapDrawable java:548)_x000D_
	at android graphics drawable LayerDrawable draw(LayerDrawable java:1018)_x000D_
	at android widget ImageView onDraw(ImageView java:1436)_x000D_
	at android view View draw(View java:22354)_x000D_
	at android view View updateDisplayListIfDirty(View java:21230)_x000D_
	at android view View draw(View java:22085)_x000D_
	at android view ViewGroup drawChild(ViewGroup java:4516)_x000D_
	at android view ViewGroup dispatchDraw(ViewGroup java:4277)_x000D_
	at android view View draw(View java:22357)_x000D_
	at android view View updateDisplayListIfDirty(View java:21230)_x000D_
	at android view View draw(View java:22085)_x000D_
	at android view ViewGroup drawChild(ViewGroup java:4516)_x000D_
	at android view ViewGroup dispatchDraw(ViewGroup java:4277)_x000D_
	at android view View updateDisplayListIfDirty(View java:21221)_x000D_
	at android view View draw(View java:22085)_x000D_
	at android view ViewGroup drawChild(ViewGroup java:4516)_x000D_
	at androidx recyclerview widget RecyclerView drawChild(RecyclerView java:5030)_x000D_
	at android view ViewGroup dispatchDraw(ViewGroup java:4277)_x000D_
	at android view View draw(View java:22357)_x000D_
	at androidx recyclerview widget RecyclerView draw(RecyclerView java:4429)_x000D_
	at android view View updateDisplayListIfDirty(View java:21230)_x000D_
	at android view View draw(View java:22085)_x000D_
	at android view ViewGroup drawChild(ViewGroup java:4516)_x000D_
	at android view ViewGroup dispatchDraw(ViewGroup java:4277)_x000D_
	at android view View draw(View java:22357)_x000D_
	at com google android material internal ScrimInsetsFrameLayout draw(ScrimInsetsFrameLayout java:109)_x000D_
	at android view View updateDisplayListIfDirty(View java:21230)_x000D_
	at android view View draw(View java:22085)_x000D_
	at android view ViewGroup drawChild(ViewGroup java:4516)_x000D_
	at androidx drawerlayout widget DrawerLayout drawChild(DrawerLayout java:1426)_x000D_
	at android view ViewGroup dispatchDraw(ViewGroup java:4277)_x000D_
	at android view View draw(View java:22357)_x000D_
	at android view View updateDisplayListIfDirty(View java:21230)_x000D_
	at android view View draw(View java:22085)_x000D_
	at android view ViewGroup drawChild(ViewGroup java:4516)_x000D_
	at android view ViewGroup dispatchDraw(ViewGroup java:4277)_x000D_
	at android view View updateDisplayListIfDirty(View java:21221)_x000D_
	at android view View draw(View java:22085)_x000D_
	at android view ViewGroup drawChild(ViewGroup java:4516)_x000D_
	at android view ViewGroup dispatchDraw(ViewGroup java:4277)_x000D_
	at android view View updateDisplayListIfDirty(View java:21221)_x000D_
	at android view View draw(View java:22085)_x000D_
	at android view ViewGroup drawChild(ViewGroup java:4516)_x000D_
	at android view ViewGroup dispatchDraw(ViewGroup java:4277)_x000D_
	at android view View updateDisplayListIfDirty(View java:21221)_x000D_
	at android view View draw(View java:22085)_x000D_
	at android view ViewGroup drawChild(ViewGroup java:4516)_x000D_
	at android view ViewGroup dispatchDraw(ViewGroup java:4277)_x000D_
	at android view View updateDisplayListIfDirty(View java:21221)_x000D_
	at android view View draw(View java:22085)_x000D_
	at android view ViewGroup drawChild(ViewGroup java:4516)_x000D_
	at android view ViewGroup dispatchDraw(ViewGroup java:4277)_x000D_
	at android view View draw(View java:22357)_x000D_
	at com android internal policy DecorView draw(DecorView java:806)_x000D_
	at android view View updateDisplayListIfDirty(View java:21230)_x000D_
	at android view ThreadedRenderer updateViewTreeDisplayList(ThreadedRenderer java:559)_x000D_
	at android view ThreadedRenderer updateRootDisplayList(ThreadedRenderer java:565)_x000D_
	at android view ThreadedRenderer draw(ThreadedRenderer java:642)_x000D_
	at android view ViewRootImpl draw(ViewRootImpl java:4103)_x000D_
	at android view ViewRootImpl performDraw(ViewRootImpl java:3830)_x000D_
	at android view ViewRootImpl performTraversals(ViewRootImpl java:3101)_x000D_
	at android view ViewRootImpl doTraversal(ViewRootImpl java:1954)_x000D_
	at android view ViewRootImpl TraversalRunnable run(ViewRootImpl java:8180)_x000D_
	at android view Choreographer CallbackRecord run(Choreographer java:1056)_x000D_
	at android view Choreographer doCallbacks(Choreographer java:878)_x000D_
	at android view Choreographer doFrame(Choreographer java:811)_x000D_
	at android view Choreographer FrameDisplayEventReceiver run(Choreographer java:1041)_x000D_
	at android os Handler handleCallback(Handler java:938)_x000D_
	at android os Handler dispatchMessage(Handler java:99)_x000D_
	at android os Looper loop(Looper java:223)_x000D_
	at android app ActivityThread main(ActivityThread java:7698)_x000D_
	at java lang reflect Method invoke(Native Method)_x000D_
	at com android internal os RuntimeInit MethodAndArgsCaller run(RuntimeInit java:592)_x000D_
	at com android internal os ZygoteInit main(ZygoteInit java:952)_x000D_
_x000D_
             APP INFORMATION             _x000D_
ID: com nextcloud client_x000D_
Version: 30170090_x000D_
Build flavor: gplay_x000D_
_x000D_
             DEVICE INFORMATION             _x000D_
Brand: Xiaomi_x000D_
Device: laurel sprout_x000D_
Model: Mi A3_x000D_
Id: RKQ1 200903 002_x000D_
Product: laurel sprout_x000D_
_x000D_
             FIRMWARE             _x000D_
SDK: 30_x000D_
Release: 11_x000D_
Incremental: V12 0 12 0 RFQMIXM_x000D_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</si>
  <si>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PojavLauncherTeam-PojavLauncher-1913</t>
  </si>
  <si>
    <t>Crash PoJavLauncher</t>
  </si>
  <si>
    <t>when i try to play my game crash</t>
  </si>
  <si>
    <t>cgeo-cgeo-11558</t>
  </si>
  <si>
    <t>c:geo crashing with SecurityException on opening cache details</t>
  </si>
  <si>
    <t xml:space="preserve">    Describe your problem 
From support email:_x000D_
_x000D_
 My cgeo crashes every time I try to read cache details  Map shows position and when I click on cache it comes up ok but when I press More Details it seems to lose connection as it goes back to start and i can see it saying logging on_x000D_
Tried reinstalling  no joy  _x000D_
_x000D_
Logfile contains several errors like the following:_x000D_
_x000D_
   _x000D_
08 25 16:32:40 891 29106 29106 E AndroidRuntime: FATAL EXCEPTION: main_x000D_
08 25 16:32:40 891 29106 29106 E AndroidRuntime: Process: cgeo geocaching  PID: 29106_x000D_
08 25 16:32:40 891 29106 29106 E AndroidRuntime: java lang SecurityException: UID 10227 does not have permission to content:  com android chrome FileProvider images screenshot 16296492294022962545429846031329 jpg  user 0 _x000D_
08 25 16:32:40 891 29106 29106 E AndroidRuntime: 	at android os Parcel createException(Parcel java:1966)_x000D_
08 25 16:32:40 891 29106 29106 E AndroidRuntime: 	at android os Parcel readException(Parcel java:1934)_x000D_
08 25 16:32:40 891 29106 29106 E AndroidRuntime: 	at android os Parcel readException(Parcel java:1884)_x000D_
08 25 16:32:40 891 29106 29106 E AndroidRuntime: 	at android content IClipboard Stub Proxy getPrimaryClip(IClipboard java:225)_x000D_
08 25 16:32:40 891 29106 29106 E AndroidRuntime: 	at android content ClipboardManager getPrimaryClip(ClipboardManager java:170)_x000D_
08 25 16:32:40 891 29106 29106 E AndroidRuntime: 	at android content ClipboardManager getText(ClipboardManager java:264)_x000D_
08 25 16:32:40 891 29106 29106 E AndroidRuntime: 	at cgeo geocaching utils ClipboardUtils getText(ClipboardUtils java:46)_x000D_
08 25 16:32:40 891 29106 29106 E AndroidRuntime: 	at cgeo geocaching models Waypoint hasClipboardWaypoint(Waypoint java:466)_x000D_
08 25 16:32:40 891 29106 29106 E AndroidRuntime: 	at cgeo geocaching CacheDetailActivity WaypointsViewCreator setClipboardButtonVisibility(CacheDetailActivity java:1937)_x000D_
08 25 16:32:40 891 29106 29106 E AndroidRuntime: 	at cgeo geocaching CacheDetailActivity WaypointsViewCreator setContent(CacheDetailActivity java:2022)_x000D_
08 25 16:32:40 891 29106 29106 E AndroidRuntime: 	at cgeo geocaching activity TabbedViewPagerFragment notifyDataSetChanged(TabbedViewPagerFragment java:61)_x000D_
08 25 16:32:40 891 29106 29106 E AndroidRuntime: 	at cgeo geocaching activity TabbedViewPagerActivity setOrderedPages(TabbedViewPagerActivity java:110)_x000D_
08 25 16:32:40 891 29106 29106 E AndroidRuntime: 	at cgeo geocaching CacheDetailActivity notifyDataSetChanged(CacheDetailActivity java:908)_x000D_
08 25 16:32:40 891 29106 29106 E AndroidRuntime: 	at cgeo geocaching CacheDetailActivity access 300(CacheDetailActivity java:182)_x000D_
08 25 16:32:40 891 29106 29106 E AndroidRuntime: 	at cgeo geocaching CacheDetailActivity LoadCacheHandler handleRegularMessage(CacheDetailActivity java:860)_x000D_
08 25 16:32:40 891 29106 29106 E AndroidRuntime: 	at cgeo geocaching utils DisposableHandler handleMessage(DisposableHandler java:59)_x000D_
08 25 16:32:40 891 29106 29106 E AndroidRuntime: 	at android os Handler dispatchMessage(Handler java:106)_x000D_
08 25 16:32:40 891 29106 29106 E AndroidRuntime: 	at android os Looper loop(Looper java:214)_x000D_
08 25 16:32:40 891 29106 29106 E AndroidRuntime: 	at android app ActivityThread main(ActivityThread java:7073)_x000D_
08 25 16:32:40 891 29106 29106 E AndroidRuntime: 	at java lang reflect Method invoke(Native Method)_x000D_
08 25 16:32:40 891 29106 29106 E AndroidRuntime: 	at com android internal os RuntimeInit MethodAndArgsCaller run(RuntimeInit java:494)_x000D_
08 25 16:32:40 891 29106 29106 E AndroidRuntime: 	at com android internal os ZygoteInit main(ZygoteInit java:964)_x000D_
08 25 16:32:40 891 29106 29106 E AndroidRuntime: Caused by: android os RemoteException: Remote stack trace:_x000D_
08 25 16:32:40 891 29106 29106 E AndroidRuntime: 	at com android server am ActivityManagerService checkGrantUriPermissionLocked(ActivityManagerService java:12705)_x000D_
08 25 16:32:40 891 29106 29106 E AndroidRuntime: 	at com android server am ActivityManagerService grantUriPermissionLocked(ActivityManagerService java:12771)_x000D_
08 25 16:32:40 891 29106 29106 E AndroidRuntime: 	at com android server am ActivityManagerService grantUriPermissionFromOwner(ActivityManagerService java:13209)_x000D_
08 25 16:32:40 891 29106 29106 E AndroidRuntime: 	at com android server clipboard ClipboardService grantUriLocked(ClipboardService java:830)_x000D_
08 25 16:32:40 891 29106 29106 E AndroidRuntime: 	at com android server clipboard ClipboardService grantItemLocked(ClipboardService java:845)_x000D_
   _x000D_
_x000D_
User claims that after putting a new SD card into the phone the error vanished _x000D_
_x000D_
Anyway   Does someone have an idea what s happening here 
    How to reproduce 
  open map_x000D_
  select a cache_x000D_
  in cache popup select  more details 	
    Actual result after these steps 
crash  c:geo restarts (main screen  logging in)
    Expected result after these steps 
no crash  but cache details opening
    Reproducible
Unclear
    c:geo Version
2021 08 15
    System information
   text
   System information_x000D_
_x000D_
c:geo version: 2021 08 15_x000D_
_x000D_
Device:_x000D_
       _x000D_
  Device type: SM G950U (dreamqltesq  samsung)_x000D_
  Available processors: 8_x000D_
  Android version: 9_x000D_
  Android build: PPR1 180610 011 G950USQU8DUD3_x000D_
  Screen resolution: 1080x2076px (360x668dp)_x000D_
  Sailfish OS detected: false_x000D_
  Google Play services: enabled   21 26 21 (100408 387928701)_x000D_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Settings: v8  Count:28_x000D_
  Set language: en US (system default)_x000D_
  System date format: M d yy_x000D_
  Time zone: GMT 01:00_x000D_
  Debug mode active: no_x000D_
  Last backup: never_x000D_
  Routing mode: Walk_x000D_
  Live map mode: true_x000D_
  OSM multi threading: false   threads: 1_x000D_
  Map: OpenStreetMap org_x000D_
    Id: cgeo geocaching maps mapsforge MapsforgeMapProvider OsmMapSource_x000D_
    Atts: OpenStreetMap DE  map data OpenStreetMap contributors_x000D_
    Theme: none_x000D_
_x000D_
Filters:_x000D_
       _x000D_
  Hide waypoints:  _x000D_
  LIVE: None ( :inconclusive false:advanced false )_x000D_
  OFFLINE: None ( :inconclusive false:advanced false )_x000D_
_x000D_
Services:_x000D_
       _x000D_
  Geocaching sites enabled:_x000D_
   geocaching com: Logged in (Login OK)   PREMIUM_x000D_
   Geocaching com Adventure Lab_x000D_
  Geocaching com date format: M d yyyy_x000D_
  Routing: internal   BRouter installed: false_x000D_
  Installed c:geo plugins:  none_x000D_
_x000D_
Permissions   paths:_x000D_
       _x000D_
  Fine location permission: granted_x000D_
  Write external storage permission: granted_x000D_
  System internal c:geo dir:  data user 0 cgeo geocaching (44 6 GB free) v2 internal isDir(6 entries)_x000D_
  Legacy User storage c:geo dir:  storage emulated 0 cgeo (44 6 GB free) v2 external non removable isDir(7 entries)_x000D_
  Geocache data:  storage emulated 0 Android data cgeo geocaching files GeocacheData (44 6 GB free) v2 external non removable isDir(7 entries)_x000D_
  Internal theme sync (is turned off):  data user 0 cgeo geocaching MapThemeData (44 6 GB free) v2 internal isDir(0 entries)_x000D_
  Public Folders:  11_x000D_
    BASE:  cgeo (User Defined)  cgeo DOCUMENT 0:p content:  com android externalstorage documents tree primary 3Acgeo::   (Uri: content:  com android externalstorage documents tree primary 3Acgeo document primary 3Acgeo  Av:true  files:  11  dirs:  9  totalFileSize:  1011 5 MB  free space: 44 6 GB  files on device: 1765376)_x000D_
    OFFLINE MAPS:  cgeo maps (Default)  cgeo maps PERSISTABLE FOLDER(BASE) 1:p content:  com android externalstorage documents tree primary 3Acgeo:: maps   (Uri: content:  com android externalstorage documents tree primary 3Acgeo document primary 3Acgeo 2Fmaps  Av:true  files:2  dirs:1  totalFileSize:1011 0 MB  free space: 44 6 GB  files on device: 1765376)_x000D_
    OFFLINE MAP THEMES:  cgeo maps  themes (Default)  cgeo maps  themes PERSISTABLE FOLDER(OFFLINE MAPS) 1:p content:  com android externalstorage documents tree primary 3Acgeo:: maps  themes   (Uri: content:  com android externalstorage documents tree primary 3Acgeo document primary 3Acgeo 2Fmaps 2F themes  Av:true  files:0  dirs:0  totalFileSize:0 B  free space: 44 6 GB  files on device: 1765376)_x000D_
    LOGFILES:  cgeo logfiles (Default)  cgeo logfiles PERSISTABLE FOLDER(BASE) 1:p content:  com android externalstorage documents tree primary 3Acgeo:: logfiles   (Uri: content:  com android externalstorage documents tree primary 3Acgeo document primary 3Acgeo 2Flogfiles  Av:true  files:2  dirs:0  totalFileSize:414 8 KB  free space: 44 6 GB  files on device: 1765376)_x000D_
    GPX:  cgeo gpx (Default)  cgeo gpx PERSISTABLE FOLDER(BASE) 1:p content:  com android externalstorage documents tree primary 3Acgeo:: gpx   (Uri: content:  com android externalstorage documents tree primary 3Acgeo document primary 3Acgeo 2Fgpx  Av:true  files:0  dirs:0  totalFileSize:0 B  free space: 44 6 GB  files on device: 1765376)_x000D_
    BACKUP:  cgeo backup (Default)  cgeo backup PERSISTABLE FOLDER(BASE) 1:p content:  com android externalstorage documents tree primary 3Acgeo:: backup   (Uri: content:  com android externalstorage documents tree primary 3Acgeo document primary 3Acgeo 2Fbackup  Av:true  files:0  dirs:0  totalFileSize:0 B  free space: 44 6 GB  files on device: 1765376)_x000D_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files:0  dirs:0  totalFileSize:0 B  free space: 44 6 GB  files on device: 1765376)_x000D_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44 6 GB  files on device: 1765376)_x000D_
    ROUTING BASE:  cgeo routing (Default)  cgeo routing PERSISTABLE FOLDER(BASE) 1:p content:  com android externalstorage documents tree primary 3Acgeo:: routing   (Uri: content:  com android externalstorage documents tree primary 3Acgeo document primary 3Acgeo 2Frouting  Av:true  files:7  dirs:1  totalFileSize:81 2 KB  free space: 44 6 GB  files on device: 1765376)_x000D_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files:0  dirs:0  totalFileSize:0 B  free space: 44 6 GB  files on device: 1765376)_x000D_
    TEST FOLDER:  Legacy  data user 0 cgeo geocaching files unittest (Default)  data user 0 cgeo geocaching files unittest FILE 1:p file:   data user 0 cgeo geocaching files:: unittest   (Uri: file:   data user 0 cgeo geocaching files unittest  Av:true  files:0  dirs:0  totalFileSize:0 B  free space: 44 6 GB  files on device:  1)_x000D_
  Map render theme path:_x000D_
  PersistedDocumentUris:  1_x000D_
  TRACK: null_x000D_
  Persisted Uri Permissions:  1_x000D_
    content:  com android externalstorage documents tree primary 3Acgeo (Aug 24  1:57 PM):RW_x000D_
  Database:  data user 0 cgeo geocaching databases data (v96  Size:288 0 KB) on system internal storage_x000D_
_x000D_
    End of system information    
    Additional Information
ticket  577300</t>
  </si>
  <si>
    <t>inaturalist-iNaturalistAndroid-1107</t>
  </si>
  <si>
    <t>SQLiteCantOpenDatabaseException in ObservationCursorAdapter.getNewCursor</t>
  </si>
  <si>
    <t xml:space="preserve">https:  console firebase google com u 1 project inaturalist ios crashlytics app android:org inaturalist android issues c6c73206b5382a34f68c6d953ed275a4_x000D_
_x000D_
Is there really a way we could try to open 1024 db connections  _x000D_
_x000D_
   _x000D_
Caused by android database sqlite SQLiteCantOpenDatabaseException: unable to open database file (code 2062)_x000D_
                                                                 _x000D_
Error Code : 2062 (SQLITE CANTOPEN EMFILE)_x000D_
Caused By : Application has opened two many files  Maximum of available file descriptors in one process is 1024 in default _x000D_
	(unable to open database file (code 2062))_x000D_
                                                                 _x000D_
       at android database sqlite SQLiteConnection nativeExecuteForCursorWindow(SQLiteConnection java)_x000D_
       at android database sqlite SQLiteConnection executeForCursorWindow(SQLiteConnection java:980)_x000D_
       at android database sqlite SQLiteSession executeForCursorWindow(SQLiteSession java:836)_x000D_
       at android database sqlite SQLiteQuery fillWindow(SQLiteQuery java:62)_x000D_
       at android database sqlite SQLiteCursor fillWindow(SQLiteCursor java:143)_x000D_
       at android database sqlite SQLiteCursor getCount(SQLiteCursor java:132)_x000D_
       at android content ContentResolver query(ContentResolver java:521)_x000D_
       at android content ContentResolver query(ContentResolver java:445)_x000D_
       at org inaturalist android ObservationCursorAdapter getNewCursor(ObservationCursorAdapter java:256)_x000D_
       at org inaturalist android ObservationCursorAdapter getPhotoInfo(ObservationCursorAdapter java:266)_x000D_
       at org inaturalist android ObservationCursorAdapter refreshPhotoInfo(ObservationCursorAdapter java:373)_x000D_
   </t>
  </si>
  <si>
    <t>BugBattle-ReactNative-SDK-19</t>
  </si>
  <si>
    <t>Possible Unhandled Promise Rejection (id: 0): TypeError: Cannot set property 'success' of undefined</t>
  </si>
  <si>
    <t>Another crash _x000D_
_x000D_
All we know is that it originates here:_x000D_
_x000D_
https:  github com BugBattle ReactNative SDK blob e7d15c416b5173fc5d895b043fc97e239aa29dd0 src networklogger ts L80_x000D_
_x000D_
_x000D_
_x000D_
It happened when one of our endpoints returned a 401 with the following response:_x000D_
   status code :401  error : invalid password   message : The user credentials were incorrect    _x000D_
_x000D_
_x000D_
The stacktrace is obfuscated unfortunately  but there goes nothing:_x000D_
_x000D_
_x000D_
   _x000D_
Possible Unhandled Promise Rejection (id: 0):_x000D_
TypeError: Cannot set property  success  of undefined_x000D_
TypeError: Cannot set property  success  of undefined_x000D_
    at anonymous (http:  localhost:8081 index bundle platform ios dev true minify false modulesOnly false runModule true app com example client ios:131828:51)_x000D_
    at tryCallOne ( Users distiller hermes build iphonesimulator lib InternalBytecode InternalBytecode js:53:16)_x000D_
    at anonymous ( Users distiller hermes build iphonesimulator lib InternalBytecode InternalBytecode js:139:27)_x000D_
    at apply (native)_x000D_
    at anonymous (http:  localhost:8081 index bundle platform ios dev true minify false modulesOnly false runModule true app com example client ios:28464:26)_x000D_
    at  callTimer (http:  localhost:8081 index bundle platform ios dev true minify false modulesOnly false runModule true app com example client ios:28360:17)_x000D_
    at  callImmediatesPass (http:  localhost:8081 index bundle platform ios dev true minify false modulesOnly false runModule true app com example client ios:28399:17)_x000D_
    at callImmediates (http:  localhost:8081 index bundle platform ios dev true minify false modulesOnly false runModule true app com example client ios:28609:33)_x000D_
    at   callImmediates (http:  localhost:8081 index bundle platform ios dev true minify false modulesOnly false runModule true app com example client ios:3062:35)_x000D_
    at anonymous (http:  localhost:8081 index bundle platform ios dev true minify false modulesOnly false runModule true app com example client ios:2840:34)_x000D_
    at   guard (http:  localhost:8081 index bundle platform ios dev true minify false modulesOnly false runModule true app com example client ios:3045:15)_x000D_
    at flushedQueue (http:  localhost:8081 index bundle platform ios dev true minify false modulesOnly false runModule true app com example client ios:2839:21)_x000D_
    at invokeCallbackAndReturnFlushedQueue (http:  localhost:8081 index bundle platform ios dev true minify false modulesOnly false runModule true app com example client ios:2832:33)_x000D_
_x000D_
   _x000D_
_x000D_
Thank you_x000D_
_x000D_
_x000D_
 react native bugbattle sdk :  5 0 1  _x000D_
 react native :  0 65 1  _x000D_
iOS 14 5</t>
  </si>
  <si>
    <t>TeamNewPipe-NewPipe-6992</t>
  </si>
  <si>
    <t>Network error overlaps with "did you mean to search for..."-text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</si>
  <si>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Search something and then get a network error  I m not 100  sure of what happened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text of two notifications overlaps  See screenshot _x000D_
_x000D_
_x000D_
_x000D_
    Expected behavior_x000D_
     Tell us what you expect to happen     _x000D_
They should not overlap and position themselves accordingly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img src  https:  user images githubusercontent com 59611881 131085232 ce043b8e b0d2 4716 8641 fbd508bfc996 jpg  width 250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</si>
  <si>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TeamNewPipe-NewPipe-6991</t>
  </si>
  <si>
    <t>"Show watched items" state not remembered in Whats New</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</si>
  <si>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1  Open Whats New tab_x000D_
2  Click  Show watched items   the eye_x000D_
3  Close the app  Remove from Recent_x000D_
4  Reopen Newpipe_x000D_
5  Show watched items does not remember it was pressed_x000D_
_x000D_
_x000D_
    Actual behavior_x000D_
     Tell us what happens with the steps given above     _x000D_
Does not remember its state_x000D_
_x000D_
_x000D_
    Expected behavior_x000D_
     Tell us what you expect to happen     _x000D_
Remembers state on closing_x000D_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6 0_x000D_
   Device model: Moto E3 Power_x000D_
</t>
  </si>
  <si>
    <t>TeamNewPipe-NewPipe-6989</t>
  </si>
  <si>
    <t>Livestream -&gt; Background: unrecoverable player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</si>
  <si>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a Youtube livestream (unfortunately I can t provide any links since they are no longer live)_x000D_
2  Press on  Background  button (icon of headphones)_x000D_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pop up:  Unrecoverable player error occurred _x000D_
_x000D_
However  playing as video and then pressing the android home button allows it to play in the background (though tapping the notification will bring back the video rather than the usual audio only control interface)_x000D_
_x000D_
    Expected behavior_x000D_
     Tell us what you expect to happen     _x000D_
It should play in the background (audio only)_x000D_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Logs_x000D_
     If your bug includes a crash (where you re shown the Error Report page with a bunch of info)  tap on  Copy formatted report  at the bottom and paste it here:    _x000D_
_x000D_
     That s right  here     _x000D_
N A  no crash prompt to report bug_x000D_
_x000D_
_x000D_
     Please fill this out when you do not provide a log generate by NewPipe    _x000D_
_x000D_
    Device info_x000D_
_x000D_
   Android version Custom ROM version: Android 11_x000D_
   Device model: Redmi Note 9S_x000D_
</t>
  </si>
  <si>
    <t>deltachat-deltachat-android-2043</t>
  </si>
  <si>
    <t>Sluggish performance after opening connectivity view while no network available</t>
  </si>
  <si>
    <t xml:space="preserve">  Android version:_x000D_
Android 11 _x000D_
_x000D_
  Device:_x000D_
Fairphone FP2 (Lineage OS 18 1 build RQ3A 210705 001 from 2021 08 20) _x000D_
_x000D_
  Delta Chat version:_x000D_
1 22 0 (nightly build from 2021 08 24) _x000D_
_x000D_
  Expected behavior:_x000D_
No lags occur after opening connectivity view while no network available _x000D_
_x000D_
  Actual behavior:_x000D_
Lags occur after opening connectivity view while no network available  Response time makes the user believe that the app hangs has crashed _x000D_
_x000D_
  Steps to reproduce the problem:_x000D_
   Disable WLAN and mobile data _x000D_
   Open connectivity view in Delta Chat _x000D_
   Try to go back  (Result: Delta Chat barely responds )_x000D_
_x000D_
  Screenshots:_x000D_
N A _x000D_
_x000D_
  Logs:_x000D_
N A _x000D_
_x000D_
  Remark:_x000D_
   Quota info displays  One moment     </t>
  </si>
  <si>
    <t>TeamNewPipe-NewPipe-6987</t>
  </si>
  <si>
    <t>Marking videos as watched doesn’t work and causes the app to freeze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</si>
  <si>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9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1  Open a channel group
2  Long press any video in the feed
3  Press  Mark as watched 
4  Try to go back (using the button in the app or the device back button)
    Actual behavior
     Tell us what happens with the steps given above     
At Step 3 visually nothing happens  at Step 4 the app freezes and doesn t react to any actions anymore  (If you close and reopen it  it goes back to normal)
    Expected behavior
     Tell us what you expect to happen     
The video being marked as watched and the app not freezing and instead going back to the subscriptions page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I can t record a video right now  but I can add it in a few days if needed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Android 8 0 0
   Device model: Samsung Galaxy A3 (2017)   SM A320F
</t>
  </si>
  <si>
    <t>LSPosed-LSPosed-1017</t>
  </si>
  <si>
    <t>[BUG] Scroll to bottom in Log fragment crashes after cleaning logs</t>
  </si>
  <si>
    <t xml:space="preserve">    _x000D_
                                  Xposed     Magisk   _x000D_
If you encountered boot loop  please make sure you have disabled all unrelated Xposed and Magisk modules before submit an issue_x000D_
_x000D_
            _x000D_
In any case  the title should be in English_x000D_
   _x000D_
_x000D_
       What happened   _x000D_
Scroll to bottom in Log fragment crashes after cleaning logs_x000D_
    _x000D_
           _x000D_
Such as bootloop  module not loaded  etc_x000D_
   _x000D_
_x000D_
  Xposed     Xposed Module List  _x000D_
    _x000D_
                                                  _x000D_
If a module not working  please narrow down which specific module not working _x000D_
Mostly we can t help with module specific issue  please contact their author first _x000D_
   _x000D_
BiliRoaming_x000D_
Qx_x000D_
Wx_x000D_
_x000D_
  Magisk     Magisk Module List  _x000D_
LSPosed_x000D_
Riru_x000D_
SR_x000D_
_x000D_
       Versions  _x000D_
_x000D_
Android: R_x000D_
_x000D_
Magisk: alpha 31_x000D_
_x000D_
Riru: 26 1 0_x000D_
_x000D_
LSPosed: 1 5 2_x000D_
_x000D_
       Related Logs  _x000D_
_x000D_
    _x000D_
               debug   LSPosed       _x000D_
Please capture log with debug version  otherwise it won t help us locating the issue_x000D_
   _x000D_
   _x000D_
Stack trace:  _x000D_
java lang IllegalArgumentException: Invalid target position_x000D_
 at Vn V0(Unknown Source:113)_x000D_
 at androidx recyclerview widget LinearLayoutManager U0(Unknown Source:11)_x000D_
 at androidx recyclerview widget RecyclerView v0(Unknown Source:19)_x000D_
 at org lsposed manager ui fragment LogsFragment m0(Unknown Source:102)_x000D_
 at o0 n(Unknown Source:26)_x000D_
 at bk e(Unknown Source:4)_x000D_
 at bk r(Unknown Source:27)_x000D_
 at kk onItemClick(Unknown Source:40)_x000D_
 at android widget AdapterView performItemClick(AdapterView java:330)_x000D_
 at android widget AbsListView performItemClick(AbsListView java:1221)_x000D_
 at android widget AbsListView PerformClick run(AbsListView java:3216)_x000D_
 at android widget AbsListView 3 run(AbsListView java:4172)_x000D_
 at android os Handler handleCallback(Handler java:938)_x000D_
 at android os Handler dispatchMessage(Handler java:99)_x000D_
 at android os Looper loop(Looper java:236)_x000D_
 at android app ActivityThread main(ActivityThread java:8134)_x000D_
 at java lang reflect Method invoke(Native Method)_x000D_
 at com android internal os RuntimeInit MethodAndArgsCaller run(RuntimeInit java:656)_x000D_
 at com android internal os ZygoteInit main(ZygoteInit java:967)_x000D_
   </t>
  </si>
  <si>
    <t>nextcloud-android-8902</t>
  </si>
  <si>
    <t>Nextcloud App Crashes</t>
  </si>
  <si>
    <t xml:space="preserve">    Steps to reproduce
1  Clicking the hamburger button 
2  
3  
    Expected behaviour
  Clicking the hamburger button should open option menu 
    Actual behaviour
  The app crashes
    Can you reproduce this problem on https:  try nextcloud com 
  Please create a test demo account and see if this still happens there 
  If yes  please open up a bug report
  If not  please verify server setup and ask for help on forum
    Environment data
             APP INFORMATION             
ID: com nextcloud client
Version: 30170090
Build flavor: gplay
             DEVICE INFORMATION             
Brand: POCO
Device: vayu
Model: M2102J20SG
Id: RKQ1 200826 002
Product: vayu global
             FIRMWARE             
SDK: 30
Release: 11
Incremental: V12 5 3 0 RJUMIXM
    Logs
     Web server error log
Insert your webserver log here
     Nextcloud log (data nextcloud log)
             CAUSE OF ERROR             
java lang RuntimeException: Canvas: trying to draw too large(106328180bytes) bitmap 
	at android graphics RecordingCanvas throwIfCannotDraw(RecordingCanvas java:280)
	at android graphics BaseRecordingCanvas drawBitmap(BaseRecordingCanvas java:88)
	at android graphics drawable BitmapDrawable draw(BitmapDrawable java:548)
	at android graphics drawable LayerDrawable draw(LayerDrawable java:1018)
	at android widget ImageView onDraw(ImageView java:1436)
	at android view View draw(View java:22505)
	at android view View updateDisplayListIfDirty(View java:21367)
	at android view View draw(View java:22229)
	at android view ViewGroup drawChild(ViewGroup java:4551)
	at android view ViewGroup dispatchDraw(ViewGroup java:4310)
	at android view View draw(View java:22509)
	at android view View updateDisplayListIfDirty(View java:21367)
	at android view View draw(View java:22229)
	at android view ViewGroup drawChild(ViewGroup java:4551)
	at android view ViewGroup dispatchDraw(ViewGroup java:4310)
	at android view View updateDisplayListIfDirty(View java:21358)
	at android view View draw(View java:22229)
	at android view ViewGroup drawChild(ViewGroup java:4551)
	at androidx recyclerview widget RecyclerView drawChild(RecyclerView java:5030)
	at android view ViewGroup dispatchDraw(ViewGroup java:4310)
	at android view View draw(View java:22509)
	at androidx recyclerview widget RecyclerView draw(RecyclerView java:4429)
	at android view View updateDisplayListIfDirty(View java:21367)
	at android view View draw(View java:22229)
	at android view ViewGroup drawChild(ViewGroup java:4551)
	at android view ViewGroup dispatchDraw(ViewGroup java:4310)
	at android view View draw(View java:22509)
	at com google android material internal ScrimInsetsFrameLayout draw(ScrimInsetsFrameLayout java:109)
	at android view View updateDisplayListIfDirty(View java:21367)
	at android view View draw(View java:22229)
	at android view ViewGroup drawChild(ViewGroup java:4551)
	at androidx drawerlayout widget DrawerLayout drawChild(DrawerLayout java:1426)
	at android view ViewGroup dispatchDraw(ViewGroup java:4310)
	at android view View draw(View java:22509)
	at android view View updateDisplayListIfDirty(View java:21367)
	at android view View draw(View java:22229)
	at android view ViewGroup drawChild(ViewGroup java:4551)
	at android view ViewGroup dispatchDraw(ViewGroup java:4310)
	at android view View updateDisplayListIfDirty(View java:21358)
	at android view View draw(View java:22229)
	at android view ViewGroup drawChild(ViewGroup java:4551)
	at android view ViewGroup dispatchDraw(ViewGroup java:4310)
	at android view View updateDisplayListIfDirty(View java:21358)
	at android view View draw(View java:22229)
	at android view ViewGroup drawChild(ViewGroup java:4551)
	at android view ViewGroup dispatchDraw(ViewGroup java:4310)
	at android view View updateDisplayListIfDirty(View java:21358)
	at android view View draw(View java:22229)
	at android view ViewGroup drawChild(ViewGroup java:4551)
	at android view ViewGroup dispatchDraw(ViewGroup java:4310)
	at android view View updateDisplayListIfDirty(View java:21358)
	at android view View draw(View java:22229)
	at android view ViewGroup drawChild(ViewGroup java:4551)
	at android view ViewGroup dispatchDraw(ViewGroup java:4310)
	at android view View draw(View java:22509)
	at com android internal policy DecorView draw(DecorView java:819)
	at android view View updateDisplayListIfDirty(View java:21367)
	at android view ThreadedRenderer updateViewTreeDisplayList(ThreadedRenderer java:559)
	at android view ThreadedRenderer updateRootDisplayList(ThreadedRenderer java:567)
	at android view ThreadedRenderer draw(ThreadedRenderer java:651)
	at android view ViewRootImpl draw(ViewRootImpl java:4273)
	at android view ViewRootImpl performDraw(ViewRootImpl java:3978)
	at android view ViewRootImpl performTraversals(ViewRootImpl java:3239)
	at android view ViewRootImpl doTraversal(ViewRootImpl java:2065)
	at android view ViewRootImpl TraversalRunnable run(ViewRootImpl java:8502)
	at android view Choreographer CallbackRecord run(Choreographer java:1076)
	at android view Choreographer doCallbacks(Choreographer java:897)
	at android view Choreographer doFrame(Choreographer java:826)
	at android view Choreographer FrameDisplayEventReceiver run(Choreographer java:1061)
	at android os Handler handleCallback(Handler java:938)
	at android os Handler dispatchMessage(Handler java:99)
	at android os Looper loop(Looper java:236)
	at android app ActivityThread main(ActivityThread java:8056)
	at java lang reflect Method invoke(Native Method)
	at com android internal os RuntimeInit MethodAndArgsCaller run(RuntimeInit java:656)
	at com android internal os ZygoteInit main(ZygoteInit java:967)
  NOTE:   Be super sure to remove sensitive data like passwords  note that everybody can look here  You can use the Issue Template application to prefill some of the required information: https:  apps nextcloud com apps issuetemplate
    </t>
  </si>
  <si>
    <t>TeamNewPipe-NewPipe-legacy-81</t>
  </si>
  <si>
    <t>Ui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</si>
  <si>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Exception_x000D_
    User Action:   ui error_x000D_
    Request:   App crash  UI failure_x000D_
    Content Country:   IN_x000D_
    Content Language:   en_x000D_
    App Language:   en US_x000D_
    Service:   none_x000D_
    Version:   0 20 8_x000D_
    OS:   Linux OPPO RMX1801 RMX1801:9 PKQ1 181121 001 1582710588:user release keys 9   28_x000D_
 details  summary  b Crash log   b   summary  p _x000D_
_x000D_
   _x000D_
java lang IllegalStateException: Can not perform this action after onSaveInstanceState_x000D_
	at androidx fragment app FragmentManager checkStateLoss(FragmentManager java:1691)_x000D_
	at androidx fragment app FragmentManager enqueueAction(FragmentManager java:1731)_x000D_
	at androidx fragment app BackStackRecord commitInternal(BackStackRecord java:321)_x000D_
	at androidx fragment app BackStackRecord commit(BackStackRecord java:286)_x000D_
	at androidx fragment app DialogFragment show(DialogFragment java:181)_x000D_
	at org schabi newpipelegacy RouterActivity lambda openDownloadDialog 15(RouterActivity java:534)_x000D_
	at org schabi newpipelegacy RouterActivity lambda openDownloadDialog 15 RouterActivity(Unknown Source:0)_x000D_
	at org schabi newpipelegacy    Lambda RouterActivity PO5pWEEJ5ixfCUvNmuJvuGGYbBI accept(Unknown Source:4)_x000D_
	at io reactivex rxjava3 internal observers ConsumerSingleObserver onSuccess(ConsumerSingleObserver java:62)_x000D_
	at io reactivex rxjava3 internal operators single SingleObserveOn ObserveOnSingleObserver run(SingleObserveOn java:81)_x000D_
	at io reactivex rxjava3 android schedulers HandlerScheduler ScheduledRunnable run(HandlerScheduler java:123)_x000D_
	at android os Handler handleCallback(Handler java:873)_x000D_
	at android os Handler dispatchMessage(Handler java:99)_x000D_
	at android os Looper loop(Looper java:232)_x000D_
	at android app ActivityThread main(ActivityThread java:7172)_x000D_
	at java lang reflect Method invoke(Native Method)_x000D_
	at com android internal os RuntimeInit MethodAndArgsCaller run(RuntimeInit java:576)_x000D_
	at com android internal os ZygoteInit main(ZygoteInit java:888)_x000D_
_x000D_
   _x000D_
  details _x000D_
 hr _x000D_
</t>
  </si>
  <si>
    <t>Anuken-Mindustry-5869</t>
  </si>
  <si>
    <t>Team identifier is wrong</t>
  </si>
  <si>
    <t xml:space="preserve">  Platform  :  Android iOS Mac Windows Linux _x000D_
Android_x000D_
  Build  :  The build number under the title in the main menu  Required   LATEST  IS NOT A VERSION  I NEED THE EXACT BUILD NUMBER OF YOUR GAME  _x000D_
130 1_x000D_
  Issue  :  Explain your issue in detail  _x000D_
The team identifier is wrong _x000D_
  SmartSelect 20210826 220712 Mindustry (https:  user images githubusercontent com 75618732 130984443 0e321b4b 6d09 4289 9d52 ac9239f30de2 jpg)_x000D_
The team of this block is on Sharded  but the game thinks the team of this block is on my team(Crux) _x000D_
  Steps to reproduce  :  How you happened across the issue  and what exactly you did to make the bug happen  _x000D_
Create a world  build a sharded missile launcher  change your team to crux and click on the block _x000D_
  Link(s) to mod(s) used  :  The mod repositories or zip files that are related to the issue  if applicable  _x000D_
MEEPofFaith prog mats java_x000D_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It happens everywhere  i ve tested it _x000D_
_x000D_
_x000D_
_x000D_
  (Crash) logs  :  Either crash reports from the crash folder  or the file you get when you go into Settings    Game Data    Export Crash logs  REQUIRED if you are reporting a crash  _x000D_
_x000D_
None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</si>
  <si>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nextcloud-android-8901</t>
  </si>
  <si>
    <t>Crash app</t>
  </si>
  <si>
    <t xml:space="preserve">    Steps to reproduce_x000D_
1  Play media_x000D_
2  Comeback to playing media sometimes later_x000D_
3  The media won t stop and nextcloud app crashes_x000D_
_x000D_
    Expected behaviour_x000D_
  Tell us what should happen_x000D_
_x000D_
    Actual behaviour_x000D_
  nextcloud app crashes_x000D_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CAUSE OF ERROR             _x000D_
_x000D_
android app RemoteServiceException: Context startForegroundService() did not then call Service startForeground(): ServiceRecord e5a03bd u0 com nextcloud client  media PlayerService _x000D_
	at android app ActivityThread H handleMessage(ActivityThread java:2074)_x000D_
	at android os Handler dispatchMessage(Handler java:106)_x000D_
	at android os Looper loop(Looper java:236)_x000D_
	at android app ActivityThread main(ActivityThread java:8056)_x000D_
	at java lang reflect Method invoke(Native Method)_x000D_
	at com android internal os RuntimeInit MethodAndArgsCaller run(RuntimeInit java:656)_x000D_
	at com android internal os ZygoteInit main(ZygoteInit java:967)_x000D_
_x000D_
             APP INFORMATION             _x000D_
ID: com nextcloud client_x000D_
Version: 30170090_x000D_
Build flavor: gplay_x000D_
_x000D_
             DEVICE INFORMATION             _x000D_
Brand: POCO_x000D_
Device: vayu_x000D_
Model: M2102J20SG_x000D_
Id: RKQ1 200826 002_x000D_
Product: vayu global_x000D_
_x000D_
             FIRMWARE             _x000D_
SDK: 30_x000D_
Release: 11_x000D_
Incremental: V12 5 3 0 RJUMIXM_x000D_
_x000D_
</t>
  </si>
  <si>
    <t>TeamNewPipe-NewPipe-6983</t>
  </si>
  <si>
    <t>Can't Import/Export in anything above version 2.5</t>
  </si>
  <si>
    <t xml:space="preserve">this might be a device specific issue but  whenever i try to  import  export or even change where my files are downloaded Newpipe crashes and gives me an error _x000D_
  ill attach the error report below_x000D_
_x000D_
_x000D_
_x000D_
_x000D_
_x000D_
_x000D_
   Exception_x000D_
    User Action:   ui error_x000D_
    Request:   ACRA report_x000D_
    Content Country:   US_x000D_
    Content Language:   en_x000D_
    App Language:   en_x000D_
    Service:   none_x000D_
    Version:   0 21 8_x000D_
    OS:   Linux Android 10   29_x000D_
 details  summary  b Crash log   b   summary  p _x000D_
_x000D_
   _x000D_
android content ActivityNotFoundException: No Activity found to handle Intent   act android intent action OPEN DOCUMENT cat  android intent category OPENABLE  typ     flg 0x43 (has extras)  _x000D_
	at android app Instrumentation checkStartActivityResult(Instrumentation java:2076)_x000D_
	at android app Instrumentation execStartActivity(Instrumentation java:1720)_x000D_
	at android app Activity startActivityForResult(Activity java:5258)_x000D_
	at androidx activity ComponentActivity startActivityForResult(ComponentActivity java:574)_x000D_
	at androidx core app ActivityCompat startActivityForResult(ActivityCompat java:234)_x000D_
	at androidx activity ComponentActivity 2 onLaunch(ComponentActivity java:208)_x000D_
	at androidx activity result ActivityResultRegistry 2 launch(ActivityResultRegistry java:166)_x000D_
	at androidx fragment app Fragment 9 launch(Fragment java:3510)_x000D_
	at androidx activity result ActivityResultLauncher launch(ActivityResultLauncher java:47)_x000D_
	at org schabi newpipe local subscription SubscriptionFragment onImportPreviousSelected(SubscriptionFragment kt:192)_x000D_
	at org schabi newpipe local subscription SubscriptionFragment access onImportPreviousSelected(SubscriptionFragment kt:68)_x000D_
	at org schabi newpipe local subscription SubscriptionFragment setupInitialLayout 2 invoke(SubscriptionFragment kt:268)_x000D_
	at org schabi newpipe local subscription SubscriptionFragment setupInitialLayout 2 invoke(SubscriptionFragment kt:68)_x000D_
	at org schabi newpipe local subscription item FeedImportExportItem setupImportFromItems 1 onClick(FeedImportExportItem kt:91)_x000D_
	at android view View performClick(View java:7862)_x000D_
	at android view View performClickInternal(View java:7831)_x000D_
	at android view View access 3600(View java:879)_x000D_
	at android view View PerformClick run(View java:29359)_x000D_
	at android os Handler handleCallback(Handler java:883)_x000D_
	at android os Handler dispatchMessage(Handler java:100)_x000D_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_x000D_
  details _x000D_
 hr _x000D_
_x000D_
P S  if you fix this issue then THX A TON    _x000D_
if not Then      _x000D_
ALSO THX A TON FOR MAKING NEWPIPE IN THE FIRST PLACE   _x000D_
_x000D_
_x000D_
_x000D_
</t>
  </si>
  <si>
    <t>TeamNewPipe-NewPipe-6979</t>
  </si>
  <si>
    <t>PrivateContentException not caught in description links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</si>
  <si>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(and latest directly from git)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Open this video: https:  www youtube com watch v aI45Vdyth8g_x000D_
2  Click the first link in the description (Starts with  Extra footage video: )_x000D_
3  Crash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Crash _x000D_
_x000D_
    Expected behavior_x000D_
     Tell us what you expect to happen     _x000D_
_x000D_
Show  VIDEO NOT AVAILABLE  page _x000D_
_x000D_
    My Analysis_x000D_
_x000D_
The error happens in the  Single  returned from  ErrorHelper java:116   public static Single StreamInfo  getStreamInfo(final int serviceId  final String url  final boolean forceLoad)   That  Single  is subscribed on by  InternalUrlsHandler java:147   That  subscribe  call doesn t have an error handler so the crash happens _x000D_
_x000D_
Here s a diff that prevents the crash and shows a  Toast :_x000D_
_x000D_
   diff_x000D_
diff   git a app src main java org schabi newpipe util external communication InternalUrlsHandler java b app src main java org schabi newpipe util external communication InternalUrlsHandler java_x000D_
index 39ec51ce4  a48dc3c4e 100644_x000D_
    a app src main java org schabi newpipe util external communication InternalUrlsHandler java_x000D_
    b app src main java org schabi newpipe util external communication InternalUrlsHandler java_x000D_
    1 6  1 7   _x000D_
 package org schabi newpipe util external communication _x000D_
 _x000D_
 import android content Context _x000D_
 import android widget Toast _x000D_
 _x000D_
 import androidx annotation NonNull _x000D_
 _x000D_
    148 6  149 8    public final class InternalUrlsHandler  _x000D_
                     final PlayQueue playQueue_x000D_
                               new SinglePlayQueue(info  seconds   1000) _x000D_
                     NavigationHelper playOnPopupPlayer(context  playQueue  false) _x000D_
                    throwable     _x000D_
                     Toast makeText(context   BOO       Toast LENGTH SHORT) show() _x000D_
                  )) _x000D_
         return true _x000D_
      _x000D_
   _x000D_
_x000D_
I would like to try and fix this  but I don t know how to show the  VIDEO NOT AVAILABLE  page _x000D_
_x000D_
   Exception_x000D_
    User Action:   ui error_x000D_
    Request:   ACRA report_x000D_
    Content Country:   US_x000D_
    Content Language:   en US_x000D_
    App Language:   en US_x000D_
    Service:   none_x000D_
    Version:   0 21 9_x000D_
    OS:   Linux Android 11   30_x000D_
 details  summary  b Crash log   b   summary  p _x000D_
_x000D_
   _x000D_
io reactivex rxjava3 exceptions OnErrorNotImplementedException: The exception was not handled due to missing onError handler in the subscribe() method call  Further reading: https:  github com ReactiveX RxJava wiki Error Handling   org schabi newpipe extractor exceptions PrivateContentException: This video is private _x000D_
	at io reactivex rxjava3 internal functions Functions OnErrorMissingConsumer accept(Functions java:717)_x000D_
	at io reactivex rxjava3 internal functions Functions OnErrorMissingConsumer accept(Functions java:714)_x000D_
	at io reactivex rxjava3 internal observers ConsumerSingleObserver onError(ConsumerSingleObserver java:46)_x000D_
	at io reactivex rxjava3 internal operators single SingleObserveOn ObserveOnSingleObserver run(SingleObserveOn java:79)_x000D_
	at io reactivex rxjava3 android schedulers HandlerScheduler ScheduledRunnable run(HandlerScheduler java:123)_x000D_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org schabi newpipe extractor exceptions PrivateContentException: This video is private _x000D_
	at org schabi newpipe extractor services youtube extractors YoutubeStreamExtractor checkPlayabilityStatus(YoutubeStreamExtractor java:788)_x000D_
	at org schabi newpipe extractor services youtube extractors YoutubeStreamExtractor onFetchPage(YoutubeStreamExtractor java:748)_x000D_
	at org schabi newpipe extractor Extractor fetchPage(Extractor java:54)_x000D_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details _x000D_
 hr </t>
  </si>
  <si>
    <t>TeamNewPipe-NewPipe-6977</t>
  </si>
  <si>
    <t>Android TV Unrecoverable Playback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</si>
  <si>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1  Open any video on sideloaded Newpipe app on android tv_x000D_
2  Try to use the  back button  (return button) on a TV remote_x000D_
3  Crashes with  unrecoverable playback error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It crashes with  unrecoverable playback error _x000D_
_x000D_
_x000D_
    Expected behavior_x000D_
     Tell us what you expect to happen     _x000D_
It shouldn t crash as it didn t crash in 0 21 8_x000D_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Pie_x000D_
   Device model: (Sony bravia) it also crashes on several other android tvs such as Sony  Samsung and LG_x000D_
</t>
  </si>
  <si>
    <t>TeamNewPipe-NewPipe-6976</t>
  </si>
  <si>
    <t>Startup errors opening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</si>
  <si>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search icon   trending menu what s new  history menu _x000D_
2  Press on any video and don t wait thumbnails of videos_x000D_
3  The crash appears_x000D_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app crash 10 15 per day  it is really painful to wait 5 7 sec every time when I opened NewPipe  _x000D_
_x000D_
    Expected behavior_x000D_
     Tell us what you expect to happen     _x000D_
The normal situation that I can use the NewPipe from the first 0 seconds of opening the app_x000D_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ACRA report_x000D_
    Content Country:   TN_x000D_
    Content Language:   fr_x000D_
    App Language:   en_x000D_
    Service:   none_x000D_
    Version:   0 21 9_x000D_
    OS:   Linux samsung a50dd a50:11 RP1A 200720 012 A505FDDU8CUE5:user release keys 11   30_x000D_
 details  summary  b Crash log   b   summary  p _x000D_
_x000D_
   _x000D_
io reactivex rxjava3 exceptions OnErrorNotImplementedException: The exception was not handled due to missing onError handler in the subscribe() method call  Further reading: https:  github com ReactiveX RxJava wiki Error Handling   java lang NullPointerException: Attempt to read from field  androidx recyclerview widget RecyclerView org schabi newpipe databinding FragmentSearchBinding suggestionsList  on a null object reference_x000D_
	at io reactivex rxjava3 internal functions Functions OnErrorMissingConsumer accept(Functions java:717)_x000D_
	at io reactivex rxjava3 internal functions Functions OnErrorMissingConsumer accept(Functions java:714)_x000D_
	at io reactivex rxjava3 internal observers LambdaObserver onError(LambdaObserver java:77)_x000D_
	at io reactivex rxjava3 internal observers LambdaObserver onNext(LambdaObserver java:67)_x000D_
	at io reactivex rxjava3 internal operators observable ObservableObserveOn ObserveOnObserver drainNormal(ObservableObserveOn java:201)_x000D_
	at io reactivex rxjava3 internal operators observable ObservableObserveOn ObserveOnObserver run(ObservableObserveOn java:255)_x000D_
	at io reactivex rxjava3 android schedulers HandlerScheduler ScheduledRunnable run(HandlerScheduler java:123)_x000D_
	at android os Handler handleCallback(Handler java:938)_x000D_
	at android os Handler dispatchMessage(Handler java:99)_x000D_
	at android os Looper loop(Looper java:246)_x000D_
	at android app ActivityThread main(ActivityThread java:8512)_x000D_
	at java lang reflect Method invoke(Native Method)_x000D_
	at com android internal os RuntimeInit MethodAndArgsCaller run(RuntimeInit java:602)_x000D_
	at com android internal os ZygoteInit main(ZygoteInit java:1130)_x000D_
Caused by: java lang NullPointerException: Attempt to read from field  androidx recyclerview widget RecyclerView org schabi newpipe databinding FragmentSearchBinding suggestionsList  on a null object reference_x000D_
	at org schabi newpipe fragments list search SearchFragment handleSuggestions(SearchFragment java:971)_x000D_
	at org schabi newpipe fragments list search SearchFragment lambda initSuggestionObserver 15(SearchFragment java:817)_x000D_
	at org schabi newpipe fragments list search SearchFragment lambda initSuggestionObserver 15 SearchFragment(Unknown Source:0)_x000D_
	at org schabi newpipe fragments list search    Lambda SearchFragment q2wTJo kDxgd91qkgYweNQgQ484 accept(Unknown Source:4)_x000D_
	at io reactivex rxjava3 internal observers LambdaObserver onNext(LambdaObserver java:63)_x000D_
	    10 more_x000D_
_x000D_
   _x000D_
  details _x000D_
 hr _x000D_
_x000D_
_x000D_
     Please fill this out when you do not provide a log generate by NewPipe    _x000D_
_x000D_
    Device info_x000D_
_x000D_
   Android version: 11_x000D_
   Device model: Samsung A50 SM A505F_x000D_
</t>
  </si>
  <si>
    <t>aws-amplify-amplify-android-1464</t>
  </si>
  <si>
    <t>Fatal Exception OR DataStore locks up after multiple calls to DataStore.clear()</t>
  </si>
  <si>
    <t xml:space="preserve">    Before opening  please confirm:
   X  I have  searched for duplicate or closed issues (https:  github com aws amplify amplify android issues q is 3Aissue ) and  discussions (https:  github com aws amplify amplify android discussions) 
    Language and Async Model
Kotlin
    Amplify Categories
DataStore
    Gradle script dependencies
 details _x000D_
_x000D_
   groovy_x000D_
   Put output below this line_x000D_
plugins  _x000D_
    id  com android application _x000D_
    id  kotlin android _x000D_
 _x000D_
_x000D_
android  _x000D_
    compileSdkVersion 30_x000D_
    buildToolsVersion  30 0 3 _x000D_
_x000D_
    defaultConfig  _x000D_
        applicationId  com example datastoreexampleapp _x000D_
        minSdkVersion 21_x000D_
        targetSdkVersion 30_x000D_
        versionCode 1_x000D_
        versionName  1 0 _x000D_
_x000D_
        testInstrumentationRunner  androidx test runner AndroidJUnitRunner _x000D_
     _x000D_
_x000D_
    buildTypes  _x000D_
        release  _x000D_
            minifyEnabled false_x000D_
            proguardFiles getDefaultProguardFile( proguard android optimize txt )   proguard rules pro _x000D_
         _x000D_
     _x000D_
    compileOptions  _x000D_
           Support for Java 8 features_x000D_
        coreLibraryDesugaringEnabled true_x000D_
        sourceCompatibility JavaVersion VERSION 1 8_x000D_
        targetCompatibility JavaVersion VERSION 1 8_x000D_
     _x000D_
    kotlinOptions  _x000D_
        jvmTarget    1 8 _x000D_
     _x000D_
 _x000D_
_x000D_
dependencies  _x000D_
    implementation  org jetbrains kotlin:kotlin stdlib: kotlin version _x000D_
    implementation  androidx core:core ktx:1 6 0 _x000D_
    implementation  androidx appcompat:appcompat:1 3 1 _x000D_
    implementation  com google android material:material:1 4 0 _x000D_
    implementation  androidx constraintlayout:constraintlayout:2 0 4 _x000D_
    testImplementation  junit:junit:4   _x000D_
    androidTestImplementation  androidx test ext:junit:1 1 3 _x000D_
    androidTestImplementation  androidx test espresso:espresso core:3 4 0 _x000D_
_x000D_
       Amplify core dependency_x000D_
    implementation  com amplifyframework:core:1 24 0 _x000D_
_x000D_
    implementation  com amplifyframework:aws datastore:1 24 0 _x000D_
_x000D_
       Support for Java 8 features_x000D_
    coreLibraryDesugaring  com android tools:desugar jdk libs:1 1 5 _x000D_
_x000D_
 _x000D_
_x000D_
   _x000D_
_x000D_
  details _x000D_
    Environment information
 details _x000D_
_x000D_
   _x000D_
  Put output below this line_x000D_
                                                            _x000D_
Gradle 6 7 1_x000D_
                                                            _x000D_
_x000D_
Build time:   2020 11 16 17:09:24 UTC_x000D_
Revision:     2972ff02f3210d2ceed2f1ea880f026acfbab5c0_x000D_
_x000D_
Kotlin:       1 3 72_x000D_
Groovy:       2 5 12_x000D_
Ant:          Apache Ant(TM) version 1 10 8 compiled on May 10 2020_x000D_
JVM:          1 8 0 291 (Oracle Corporation 25 291 b10)_x000D_
OS:           Mac OS X 10 16 x86 64_x000D_
_x000D_
_x000D_
   _x000D_
_x000D_
  details _x000D_
    Please include any relevant guides or documentation you re referencing
 No response 
    Describe the bug
Multiple calls to DataStore save() and DataStore clear() in succession will either cause the app to crash  or cause DataStore to lock up  causing all other operations to fail  
    Reproduction steps (if applicable)
1  Create an app where DataStore save() and DataStore clear() are called multiple times in succession (see code snippet below)
    Code Snippet
   kt_x000D_
package com example datastoreexampleapp_x000D_
_x000D_
import androidx appcompat app AppCompatActivity_x000D_
import android os Bundle_x000D_
import android util Log_x000D_
import android view View_x000D_
import com amplifyframework core Action_x000D_
import com amplifyframework core Amplify_x000D_
import com amplifyframework core Consumer_x000D_
import com amplifyframework datastore DataStoreItemChange_x000D_
import com amplifyframework datastore generated model Post_x000D_
_x000D_
class MainActivity : AppCompatActivity()  _x000D_
    override fun onCreate(savedInstanceState: Bundle )  _x000D_
        super onCreate(savedInstanceState)_x000D_
        setContentView(R layout activity main)_x000D_
     _x000D_
_x000D_
    fun clickButton(view: View)  _x000D_
        recursiveSaveAndClear(5)_x000D_
     _x000D_
_x000D_
    private fun recursiveSaveAndClear(count: Int)  _x000D_
        Log e( MyAmplifyApp   Save and clear count:  count )_x000D_
        if (count    0)  _x000D_
            return_x000D_
         _x000D_
        saveAndClear   recursiveSaveAndClear(count   1)  _x000D_
     _x000D_
_x000D_
    private fun saveAndClear(onComplete: Action)  _x000D_
        savePost  _x000D_
            clearStore(onComplete)_x000D_
         _x000D_
     _x000D_
_x000D_
    private fun savePost(onItemSaved: Consumer DataStoreItemChange Post  )  _x000D_
        val post   Post builder()_x000D_
             title( new post )_x000D_
             build()_x000D_
        Amplify DataStore save(post _x000D_
            onItemSaved _x000D_
              Log e( MyAmplifyApp    Error creating post )  _x000D_
        )_x000D_
     _x000D_
_x000D_
    private fun clearStore(onComplete: Action)  _x000D_
        Amplify DataStore clear(_x000D_
            onComplete _x000D_
              Log e( MyAmplifyApp    Error clearing DataStore   it)  _x000D_
        )_x000D_
     _x000D_
 _x000D_
   _x000D_
    Log output
Logs from a run where DataStore locked up_x000D_
_x000D_
 details _x000D_
_x000D_
   _x000D_
   Put your logs below this line_x000D_
_x000D_
2021 08 25 12:03:48 169 29315 29315 com example datastoreexampleapp E MyAmplifyApp: Save and clear count: 5_x000D_
2021 08 25 12:03:48 205 29315 29315 com example datastoreexampleapp I amplify:aws datastore: Orchestrator lock acquired _x000D_
2021 08 25 12:03:48 222 29315 29355 com example datastoreexampleapp I amplify:aws datastore: Orchestrator transitioning from STOPPED to LOCAL ONLY_x000D_
2021 08 25 12:03:48 222 29315 29355 com example datastoreexampleapp I amplify:aws datastore: Starting to observe local storage changes _x000D_
2021 08 25 12:03:48 391 29315 29357 com example datastoreexampleapp I amplify:aws datastore: Now observing local storage  Local changes will be enqueued to mutation outbox _x000D_
2021 08 25 12:03:48 393 29315 29357 com example datastoreexampleapp I amplify:aws datastore: Setting currentState to LOCAL ONLY_x000D_
2021 08 25 12:03:48 402 29315 29355 com example datastoreexampleapp I amplify:aws datastore: Orchestrator lock released _x000D_
2021 08 25 12:03:48 448 29315 29360 com example datastoreexampleapp I amplify:aws datastore: Orchestrator lock acquired _x000D_
2021 08 25 12:03:48 454 29315 29355 com example datastoreexampleapp I amplify:aws datastore: Orchestrator transitioning from LOCAL ONLY to STOPPED_x000D_
2021 08 25 12:03:48 454 29315 29355 com example datastoreexampleapp I amplify:aws datastore: Stopping observation of local storage changes _x000D_
2021 08 25 12:03:48 454 29315 29355 com example datastoreexampleapp I amplify:aws datastore: Setting currentState to STOPPED_x000D_
2021 08 25 12:03:48 457 29315 29355 com example datastoreexampleapp I amplify:aws datastore: Orchestrator lock released _x000D_
2021 08 25 12:03:48 473 29315 29359 com example datastoreexampleapp W System err: SLF4J: Failed to load class  org slf4j impl StaticLoggerBinder  _x000D_
2021 08 25 12:03:48 474 29315 29359 com example datastoreexampleapp W System err: SLF4J: Defaulting to no operation (NOP) logger implementation_x000D_
2021 08 25 12:03:48 474 29315 29359 com example datastoreexampleapp W System err: SLF4J: See http:  www slf4j org codes html StaticLoggerBinder for further details _x000D_
2021 08 25 12:03:48 548 29315 29362 com example datastoreexampleapp I amplify:aws datastore: Creating table: PersistentModelVersion_x000D_
2021 08 25 12:03:48 550 29315 29362 com example datastoreexampleapp I amplify:aws datastore: Creating table: LastSyncMetadata_x000D_
2021 08 25 12:03:48 551 29315 29362 com example datastoreexampleapp I amplify:aws datastore: Creating table: Comment_x000D_
2021 08 25 12:03:48 553 29315 29362 com example datastoreexampleapp I amplify:aws datastore: Creating table: Post_x000D_
2021 08 25 12:03:48 554 29315 29362 com example datastoreexampleapp I amplify:aws datastore: Creating table: PersistentRecord_x000D_
2021 08 25 12:03:48 556 29315 29362 com example datastoreexampleapp I amplify:aws datastore: Creating table: ModelMetadata_x000D_
2021 08 25 12:03:48 557 29315 29362 com example datastoreexampleapp I amplify:aws datastore: Creating table: Blog_x000D_
2021 08 25 12:03:48 559 29315 29362 com example datastoreexampleapp I amplify:aws datastore: Creating index for table: PersistentRecord_x000D_
2021 08 25 12:03:48 560 29315 29362 com example datastoreexampleapp I amplify:aws datastore: Creating index for table: Post_x000D_
2021 08 25 12:03:48 562 29315 29362 com example datastoreexampleapp I amplify:aws datastore: Creating index for table: Comment_x000D_
2021 08 25 12:03:48 597 29315 29364 com example datastoreexampleapp E MyAmplifyApp: Save and clear count: 4_x000D_
2021 08 25 12:03:48 599 29315 29364 com example datastoreexampleapp I amplify:aws datastore: Orchestrator lock acquired _x000D_
2021 08 25 12:03:48 601 29315 29354 com example datastoreexampleapp I amplify:aws datastore: Orchestrator transitioning from STOPPED to LOCAL ONLY_x000D_
2021 08 25 12:03:48 602 29315 29354 com example datastoreexampleapp I amplify:aws datastore: Starting to observe local storage changes _x000D_
2021 08 25 12:03:48 612 29315 29366 com example datastoreexampleapp I amplify:aws datastore: Now observing local storage  Local changes will be enqueued to mutation outbox _x000D_
2021 08 25 12:03:48 613 29315 29366 com example datastoreexampleapp I amplify:aws datastore: Setting currentState to LOCAL ONLY_x000D_
2021 08 25 12:03:48 615 29315 29354 com example datastoreexampleapp I amplify:aws datastore: Orchestrator lock released _x000D_
2021 08 25 12:03:48 646 29315 29367 com example datastoreexampleapp I amplify:aws datastore: Orchestrator lock acquired _x000D_
2021 08 25 12:03:48 649 29315 29354 com example datastoreexampleapp I amplify:aws datastore: Orchestrator transitioning from LOCAL ONLY to STOPPED_x000D_
2021 08 25 12:03:48 649 29315 29354 com example datastoreexampleapp I amplify:aws datastore: Stopping observation of local storage changes _x000D_
2021 08 25 12:03:48 651 29315 29354 com example datastoreexampleapp I amplify:aws datastore: Setting currentState to STOPPED_x000D_
2021 08 25 12:03:48 652 29315 29354 com example datastoreexampleapp I amplify:aws datastore: Orchestrator lock released _x000D_
2021 08 25 12:03:48 754 29315 29369 com example datastoreexampleapp I amplify:aws datastore: Creating table: PersistentModelVersion_x000D_
2021 08 25 12:03:48 756 29315 29369 com example datastoreexampleapp I amplify:aws datastore: Creating table: LastSyncMetadata_x000D_
2021 08 25 12:03:48 758 29315 29369 com example datastoreexampleapp I amplify:aws datastore: Creating table: Comment_x000D_
2021 08 25 12:03:48 759 29315 29369 com example datastoreexampleapp I amplify:aws datastore: Creating table: Post_x000D_
2021 08 25 12:03:48 761 29315 29369 com example datastoreexampleapp I amplify:aws datastore: Creating table: PersistentRecord_x000D_
2021 08 25 12:03:48 762 29315 29369 com example datastoreexampleapp I amplify:aws datastore: Creating table: ModelMetadata_x000D_
2021 08 25 12:03:48 764 29315 29369 com example datastoreexampleapp I amplify:aws datastore: Creating table: Blog_x000D_
2021 08 25 12:03:48 765 29315 29369 com example datastoreexampleapp I amplify:aws datastore: Creating index for table: PersistentRecord_x000D_
2021 08 25 12:03:48 767 29315 29369 com example datastoreexampleapp I amplify:aws datastore: Creating index for table: Post_x000D_
2021 08 25 12:03:48 769 29315 29369 com example datastoreexampleapp I amplify:aws datastore: Creating index for table: Comment_x000D_
2021 08 25 12:03:48 814 29315 29371 com example datastoreexampleapp E MyAmplifyApp: Save and clear count: 3_x000D_
2021 08 25 12:03:48 817 29315 29371 com example datastoreexampleapp I amplify:aws datastore: Orchestrator lock acquired _x000D_
2021 08 25 12:03:48 820 29315 29355 com example datastoreexampleapp I amplify:aws datastore: Orchestrator transitioning from STOPPED to LOCAL ONLY_x000D_
2021 08 25 12:03:48 821 29315 29355 com example datastoreexampleapp I amplify:aws datastore: Starting to observe local storage changes _x000D_
2021 08 25 12:03:48 888 29315 29372 com example datastoreexampleapp I amplify:aws datastore: Successfully enqueued PendingMutation mutatedItem SerializedModel id  0799d303 7fc9 4d1e b560 45b359ea50f0   serializedData  createdAt null  id 0799d303 7fc9 4d1e b560 45b359ea50f0  title new post  updatedAt null   modelName Post   mutationType CREATE  mutationId 0883e7f4 05be 11ec a5dd 539cbdab70d7  predicate MatchAllQueryPredicate _x000D_
_x000D_
   _x000D_
_x000D_
  details _x000D_
_x000D_
Logs from a run where the app crashed_x000D_
_x000D_
 details _x000D_
_x000D_
   _x000D_
2021 08 25 12:13:35 336 29415 29415 com example datastoreexampleapp E MyAmplifyApp: Save and clear count: 5_x000D_
2021 08 25 12:13:35 399 29415 29415 com example datastoreexampleapp I amplify:aws datastore: Orchestrator lock acquired _x000D_
2021 08 25 12:13:35 424 29415 29455 com example datastoreexampleapp I amplify:aws datastore: Orchestrator transitioning from STOPPED to LOCAL ONLY_x000D_
2021 08 25 12:13:35 424 29415 29455 com example datastoreexampleapp I amplify:aws datastore: Starting to observe local storage changes _x000D_
2021 08 25 12:13:35 876 29415 29457 com example datastoreexampleapp I amplify:aws datastore: Now observing local storage  Local changes will be enqueued to mutation outbox _x000D_
2021 08 25 12:13:35 877 29415 29457 com example datastoreexampleapp I amplify:aws datastore: Setting currentState to LOCAL ONLY_x000D_
2021 08 25 12:13:35 882 29415 29455 com example datastoreexampleapp I amplify:aws datastore: Orchestrator lock released _x000D_
2021 08 25 12:13:35 919 29415 29460 com example datastoreexampleapp I amplify:aws datastore: Orchestrator lock acquired _x000D_
2021 08 25 12:13:35 922 29415 29455 com example datastoreexampleapp I amplify:aws datastore: Orchestrator transitioning from LOCAL ONLY to STOPPED_x000D_
2021 08 25 12:13:35 922 29415 29455 com example datastoreexampleapp I amplify:aws datastore: Stopping observation of local storage changes _x000D_
2021 08 25 12:13:35 923 29415 29455 com example datastoreexampleapp I amplify:aws datastore: Setting currentState to STOPPED_x000D_
2021 08 25 12:13:35 924 29415 29455 com example datastoreexampleapp I amplify:aws datastore: Orchestrator lock released _x000D_
2021 08 25 12:13:35 934 29415 29459 com example datastoreexampleapp W System err: SLF4J: Failed to load class  org slf4j impl StaticLoggerBinder  _x000D_
2021 08 25 12:13:35 934 29415 29459 com example datastoreexampleapp W System err: SLF4J: Defaulting to no operation (NOP) logger implementation_x000D_
2021 08 25 12:13:35 934 29415 29459 com example datastoreexampleapp W System err: SLF4J: See http:  www slf4j org codes html StaticLoggerBinder for further details _x000D_
2021 08 25 12:13:35 996 29415 29462 com example datastoreexampleapp I amplify:aws datastore: Creating table: PersistentModelVersion_x000D_
2021 08 25 12:13:35 997 29415 29462 com example datastoreexampleapp I amplify:aws datastore: Creating table: LastSyncMetadata_x000D_
2021 08 25 12:13:35 999 29415 29462 com example datastoreexampleapp I amplify:aws datastore: Creating table: Comment_x000D_
2021 08 25 12:13:36 000 29415 29462 com example datastoreexampleapp I amplify:aws datastore: Creating table: Post_x000D_
2021 08 25 12:13:36 002 29415 29462 com example datastoreexampleapp I amplify:aws datastore: Creating table: PersistentRecord_x000D_
2021 08 25 12:13:36 003 29415 29462 com example datastoreexampleapp I amplify:aws datastore: Creating table: ModelMetadata_x000D_
2021 08 25 12:13:36 005 29415 29462 com example datastoreexampleapp I amplify:aws datastore: Creating table: Blog_x000D_
2021 08 25 12:13:36 006 29415 29462 com example datastoreexampleapp I amplify:aws datastore: Creating index for table: PersistentRecord_x000D_
2021 08 25 12:13:36 008 29415 29462 com example datastoreexampleapp I amplify:aws datastore: Creating index for table: Post_x000D_
2021 08 25 12:13:36 009 29415 29462 com example datastoreexampleapp I amplify:aws datastore: Creating index for table: Comment_x000D_
2021 08 25 12:13:36 046 29415 29464 com example datastoreexampleapp E MyAmplifyApp: Save and clear count: 4_x000D_
2021 08 25 12:13:36 047 29415 29464 com example datastoreexampleapp I amplify:aws datastore: Orchestrator lock acquired _x000D_
2021 08 25 12:13:36 051 29415 29454 com example datastoreexampleapp I amplify:aws datastore: Orchestrator transitioning from STOPPED to LOCAL ONLY_x000D_
2021 08 25 12:13:36 051 29415 29454 com example datastoreexampleapp I amplify:aws datastore: Starting to observe local storage changes _x000D_
2021 08 25 12:13:36 060 29415 29466 com example datastoreexampleapp I amplify:aws datastore: Now observing local storage  Local changes will be enqueued to mutation outbox _x000D_
2021 08 25 12:13:36 060 29415 29466 com example datastoreexampleapp I amplify:aws datastore: Setting currentState to LOCAL ONLY_x000D_
2021 08 25 12:13:36 062 29415 29454 com example datastoreexampleapp I amplify:aws datastore: Orchestrator lock released _x000D_
2021 08 25 12:13:36 094 29415 29467 com example datastoreexampleapp I amplify:aws datastore: Orchestrator lock acquired _x000D_
2021 08 25 12:13:36 099 29415 29454 com example datastoreexampleapp I amplify:aws datastore: Orchestrator transitioning from LOCAL ONLY to STOPPED_x000D_
2021 08 25 12:13:36 099 29415 29454 com example datastoreexampleapp I amplify:aws datastore: Stopping observation of local storage changes _x000D_
2021 08 25 12:13:36 101 29415 29454 com example datastoreexampleapp I amplify:aws datastore: Setting currentState to STOPPED_x000D_
2021 08 25 12:13:36 101 29415 29454 com example datastoreexampleapp I amplify:aws datastore: Orchestrator lock released _x000D_
2021 08 25 12:13:36 180 29415 29470 com example datastoreexampleapp W System err: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DataStoreException message Error in saving the model: PersistentRecord id 66a982b1 05bf 11ec 8073 8bd3021e731b   cause java lang IllegalStateException: attempt to re open an already closed object: SQLiteDatabase:  data user 0 com example datastoreexampleapp databases AmplifyDatastore db  recoverySuggestion See attached exception for details  _x000D_
2021 08 25 12:13:36 181 29415 29470 com example datastoreexampleapp W System err:     at io reactivex rxjava3 plugins RxJavaPlugins onError(RxJavaPlugins java:367)_x000D_
2021 08 25 12:13:36 182 29415 29470 com example datastoreexampleapp W System err:     at io reactivex rxjava3 internal operators completable CompletableCreate Emitter onError(CompletableCreate java:78)_x000D_
2021 08 25 12:13:36 183 29415 29470 com example datastoreexampleapp W System err:     at com amplifyframework datastore syncengine    Lambda wibDnzZq5mJOXI5qd8Wh zsWeGQ accept(Unknown Source:4)_x000D_
2021 08 25 12:13:36 184 29415 29470 com example datastoreexampleapp W System err:     at com amplifyframework datastore storage sqlite SQLiteStorageAdapter lambda save 3 SQLiteStorageAdapter(SQLiteStorageAdapter java:366)_x000D_
2021 08 25 12:13:36 184 29415 29470 com example datastoreexampleapp W System err:     at com amplifyframework datastore storage sqlite    Lambda SQLiteStorageAdapter 0Q4t2Se5oVsIb4pxkwWPcTH3ADs run(Unknown Source:12)_x000D_
2021 08 25 12:13:36 184 29415 29470 com example datastoreexampleapp W System err:     at java util concurrent Executors RunnableAdapter call(Executors java:462)_x000D_
2021 08 25 12:13:36 184 29415 29470 com example datastoreexampleapp W System err:     at java util concurrent FutureTask run(FutureTask java:266)_x000D_
2021 08 25 12:13:36 185 29415 29470 com example datastoreexampleapp W System err:     at java util concurrent ThreadPoolExecutor runWorker(ThreadPoolExecutor java:1167)_x000D_
2021 08 25 12:13:36 185 29415 29470 com example datastoreexampleapp W System err:     at java util concurrent ThreadPoolExecutor Worker run(ThreadPoolExecutor java:641)_x000D_
2021 08 25 12:13:36 185 29415 29470 com example datastoreexampleapp W System err:     at java lang Thread run(Thread java:923)_x000D_
2021 08 25 12:13:36 186 29415 29470 com example datastoreexampleapp W System err: Caused by: DataStoreException message Error in saving the model: PersistentRecord id 66a982b1 05bf 11ec 8073 8bd3021e731b   cause java lang IllegalStateException: attempt to re open an already closed object: SQLiteDatabase:  data user 0 com example datastoreexampleapp databases AmplifyDatastore db  recoverySuggestion See attached exception for details  _x000D_
2021 08 25 12:13:36 187 29415 29470 com example datastoreexampleapp W System err:     at com amplifyframework datastore storage sqlite SQLiteStorageAdapter lambda save 3 SQLiteStorageAdapter(SQLiteStorageAdapter java:362)_x000D_
2021 08 25 12:13:36 187 29415 29470 com example datastoreexampleapp W System err: 	    6 more_x000D_
2021 08 25 12:13:36 189 29415 29470 com example datastoreexampleapp W System err: Caused by: java lang IllegalStateException: attempt to re open an already closed object: SQLiteDatabase:  data user 0 com example datastoreexampleapp databases AmplifyDatastore db_x000D_
2021 08 25 12:13:36 189 29415 29470 com example datastoreexampleapp W System err:     at android database sqlite SQLiteClosable acquireReference(SQLiteClosable java:58)_x000D_
2021 08 25 12:13:36 190 29415 29470 com example datastoreexampleapp W System err:     at android database sqlite SQLiteDatabase compileStatement(SQLiteDatabase java:1221)_x000D_
2021 08 25 12:13:36 190 29415 29470 com example datastoreexampleapp W System err:     at com amplifyframework datastore storage sqlite SQLCommandProcessor executeExists(SQLCommandProcessor java:59)_x000D_
2021 08 25 12:13:36 191 29415 29470 com example datastoreexampleapp W System err:     at com amplifyframework datastore storage sqlite SQLiteStorageAdapter modelExists(SQLiteStorageAdapter java:766)_x000D_
2021 08 25 12:13:36 191 29415 29470 com example datastoreexampleapp W System err:     at com amplifyframework datastore storage sqlite SQLiteStorageAdapter lambda save 3 SQLiteStorageAdapter(SQLiteStorageAdapter java:315)_x000D_
2021 08 25 12:13:36 191 29415 29470 com example datastoreexampleapp W System err: 	    6 more_x000D_
2021 08 25 12:13:36 198 29415 29469 com example datastoreexampleapp I amplify:aws datastore: Creating table: PersistentModelVersion_x000D_
2021 08 25 12:13:36 200 29415 29470 com example datastoreexampleapp E AndroidRuntime: FATAL EXCEPTION: pool 7 thread 2_x000D_
    Process: com example datastoreexampleapp  PID: 29415_x000D_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DataStoreException message Error in saving the model: PersistentRecord id 66a982b1 05bf 11ec 8073 8bd3021e731b   cause java lang IllegalStateException: attempt to re open an already closed object: SQLiteDatabase:  data user 0 com example datastoreexampleapp databases AmplifyDatastore db  recoverySuggestion See attached exception for details  _x000D_
        at io reactivex rxjava3 plugins RxJavaPlugins onError(RxJavaPlugins java:367)_x000D_
        at io reactivex rxjava3 internal operators completable CompletableCreate Emitter onError(CompletableCreate java:78)_x000D_
        at com amplifyframework datastore syncengine    Lambda wibDnzZq5mJOXI5qd8Wh zsWeGQ accept(Unknown Source:4)_x000D_
        at com amplifyframework datastore storage sqlite SQLiteStorageAdapter lambda save 3 SQLiteStorageAdapter(SQLiteStorageAdapter java:366)_x000D_
        at com amplifyframework datastore storage sqlite    Lambda SQLiteStorageAdapter 0Q4t2Se5oVsIb4pxkwWPcTH3ADs run(Unknown Source:12)_x000D_
        at java util concurrent Executors RunnableAdapter call(Executors java:462)_x000D_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java:923)_x000D_
     Caused by: DataStoreException message Error in saving the model: PersistentRecord id 66a982b1 05bf 11ec 8073 8bd3021e731b   cause java lang IllegalStateException: attempt to re open an already closed object: SQLiteDatabase:  data user 0 com example datastoreexampleapp databases AmplifyDatastore db  recoverySuggestion See attached exception for details  _x000D_
        at com amplifyframework datastore storage sqlite SQLiteStorageAdapter lambda save 3 SQLiteStorageAdapter(SQLiteStorageAdapter java:362)_x000D_
        at com amplifyframework datastore storage sqlite    Lambda SQLiteStorageAdapter 0Q4t2Se5oVsIb4pxkwWPcTH3ADs run(Unknown Source:12) _x000D_
        at java util concurrent Executors RunnableAdapter call(Executors java:462)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java:923) _x000D_
     Caused by: java lang IllegalStateException: attempt to re open an already closed object: SQLiteDatabase:  data user 0 com example datastoreexampleapp databases AmplifyDatastore db_x000D_
        at android database sqlite SQLiteClosable acquireReference(SQLiteClosable java:58)_x000D_
        at android database sqlite SQLiteDatabase compileStatement(SQLiteDatabase java:1221)_x000D_
        at com amplifyframework datastore storage sqlite SQLCommandProcessor executeExists(SQLCommandProcessor java:59)_x000D_
        at com amplifyframework datastore storage sqlite SQLiteStorageAdapter modelExists(SQLiteStorageAdapter java:766)_x000D_
        at com amplifyframework datastore storage sqlite SQLiteStorageAdapter lambda save 3 SQLiteStorageAdapter(SQLiteStorageAdapter java:315)_x000D_
        at com amplifyframework datastore storage sqlite    Lambda SQLiteStorageAdapter 0Q4t2Se5oVsIb4pxkwWPcTH3ADs run(Unknown Source:12) _x000D_
        at java util concurrent Executors RunnableAdapter call(Executors java:462)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java:923) _x000D_
2021 08 25 12:13:36 200 29415 29469 com example datastoreexampleapp I amplify:aws datastore: Creating table: LastSyncMetadata_x000D_
2021 08 25 12:13:36 202 29415 29469 com example datastoreexampleapp I amplify:aws datastore: Creating table: Comment_x000D_
2021 08 25 12:13:36 204 29415 29469 com example datastoreexampleapp I amplify:aws datastore: Creating table: Post_x000D_
2021 08 25 12:13:36 205 29415 29469 com example datastoreexampleapp I amplify:aws datastore: Creating table: PersistentRecord_x000D_
2021 08 25 12:13:36 207 29415 29469 com example datastoreexampleapp I amplify:aws datastore: Creating table: ModelMetadata_x000D_
2021 08 25 12:13:36 208 29415 29469 com example datastoreexampleapp I amplify:aws datastore: Creating table: Blog_x000D_
2021 08 25 12:13:36 209 29415 29469 com example datastoreexampleapp I amplify:aws datastore: Creating index for table: PersistentRecord_x000D_
2021 08 25 12:13:36 210 29415 29469 com example datastoreexampleapp I amplify:aws datastore: Creating index for table: Post_x000D_
2021 08 25 12:13:36 213 29415 29469 com example datastoreexampleapp I amplify:aws datastore: Creating index for table: Comment_x000D_
2021 08 25 12:13:36 241 29415 29470 com example datastoreexampleapp I Process: Sending signal  PID: 29415 SIG: 9_x000D_
_x000D_
   _x000D_
_x000D_
  details _x000D_
    amplifyconfiguration json
 No response 
    GraphQL Schema
 details _x000D_
_x000D_
   graphql_x000D_
type Blog  model  _x000D_
  id: ID _x000D_
  name: String _x000D_
  posts:  Post   connection(keyName:  byBlog   fields:   id  )_x000D_
 _x000D_
_x000D_
type Post  model  key(name:  byBlog   fields:   blogID  )  _x000D_
  id: ID _x000D_
  title: String _x000D_
  blogID: ID _x000D_
  blog: Blog  connection(fields:   blogID  )_x000D_
  comments:  Comment   connection(keyName:  byPost   fields:   id  )_x000D_
 _x000D_
_x000D_
type Comment  model  key(name:  byPost   fields:   postID    content  )  _x000D_
  id: ID _x000D_
  postID: ID _x000D_
  post: Post  connection(fields:   postID  )_x000D_
  content: String _x000D_
 _x000D_
_x000D_
_x000D_
   _x000D_
_x000D_
  details _x000D_
    Additional information and screenshots
This was found while writing integration tests for the amplify flutter library  Many of the tests start by performing  clear() and then perform various operations during test execution _x000D_
_x000D_
I was able to repro this a few different ways  all of them involving calling   clear()  multiple times  Calling save and clear in succession was the simplest to reproduce  _x000D_
_x000D_
</t>
  </si>
  <si>
    <t>PojavLauncherTeam-PojavLauncher-1901</t>
  </si>
  <si>
    <t>No block outline</t>
  </si>
  <si>
    <t xml:space="preserve">    Describe the bug
There is no outline around any block so I want outline around blocks
    The log file and images videos
          beggining with launcher debug_x000D_
Info: Launcher version: v3 3 1 1 1145 44a3d03ce v3 openjdk_x000D_
Info: LWJGL3 directory:  jsr305 jar  lwjgl glfw classes jar  lwjgl jemalloc jar  lwjgl openal jar  lwjgl opengl jar  lwjgl stb jar  lwjgl tinyfd jar  lwjgl jar  version _x000D_
Architecture: arm64 aarch64_x000D_
Info: Custom Java arguments:   _x000D_
Info: Selected Minecraft version: 1 17 1_x000D_
          beginning of crash_x000D_
          beginning of main_x000D_
Initialising gl4es_x000D_
v1 1 5 built on Aug 14 2021 12:35:33_x000D_
Using GLES 2 0 backend_x000D_
loaded: libGLESv2 so_x000D_
loaded: libEGL so_x000D_
Using GLES 2 0 backend_x000D_
Hardware Full NPOT detected and used_x000D_
Extension GL EXT blend minmax  detected and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mapbuffer  detected_x000D_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EXT texture rg  detected and used_x000D_
Extension GL EXT color buffer float  detected and used_x000D_
Extension GL EXT color buffer half float  detected and used_x000D_
high precision float in fragment shader available and used_x000D_
Max vertex attrib: 16_x000D_
Extension GL OES standard derivatives  detected and used_x000D_
Max texture size: 8192_x000D_
Max Varying Vector: 31_x000D_
Texture Units: 16 16 (hardware: 16)  Max lights: 8  Max planes: 6_x000D_
Max Color Attachments: 1   Draw buffers: 1_x000D_
Hardware vendor is ARM_x000D_
GLSL 300 es supported_x000D_
GLSL 310 es supported and used_x000D_
sRGB surface supported_x000D_
EGLImage to Texture2D supported_x000D_
EGLImage to RenderBuffer supported_x000D_
Targeting OpenGL 2 1_x000D_
NPOT texture handled in hardware_x000D_
Not trying to batch small subsequent glDrawXXXX_x000D_
try to use VBO_x000D_
glXMakeCurrent FBO workaround enabled_x000D_
FBO workaround for using binded texture enabled_x000D_
Force texture for Attachment color0 on FBO_x000D_
Hack to trigger a SwapBuffers when a Full Framebuffer Blit on default FBO is done_x000D_
glX Will try to recycle EGL Surface_x000D_
Current folder is: _x000D_
I jrelog  ( 1614): dlopen libgl4es 115 so success_x000D_
Added custom env: TMPDIR  data user 0 net kdt pojavlaunch debug cache_x000D_
Added custom env: AWTSTUB WIDTH 2340_x000D_
Added custom env: REGAL GL VERSION 4 5_x000D_
Added custom env: REGAL GL VENDOR Android_x000D_
Added custom env: LIBGL MIPMAP 3_x000D_
Added custom env: allow higher compat version true_x000D_
Added custom env: MESA GLSL CACHE DIR  data user 0 net kdt pojavlaunch debug cache_x000D_
Added custom env: HOME  storage emulated 0 games PojavLauncher  minecraft_x000D_
Added custom env: PATH  data data net kdt pojavlaunch debug runtimes jdk17 arm64 20210821 release tar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data net kdt pojavlaunch debug runtimes jdk17 arm64 20210821 release tar xz lib jli: data data net kdt pojavlaunch debug runtimes jdk17 arm64 20210821 release tar xz lib: system lib64: vendor lib64: vendor lib64 hw: data app   irfy3HTmSgnSB3RmPM1yCA   net kdt pojavlaunch debug uvLCING4zrh2Smzo240wUw   lib arm64_x000D_
Added custom env: POJAV RENDERER opengles2 5_x000D_
Added custom env: LIBGL ES 2_x000D_
Added custom env: MESA LOADER DRIVER OVERRIDE zink_x000D_
Added custom env: MESA GLSL VERSION OVERRIDE 460_x000D_
Added custom env: JAVA HOME  data data net kdt pojavlaunch debug runtimes jdk17 arm64 20210821 release tar xz_x000D_
Added custom env: MESA GL VERSION OVERRIDE 4 6_x000D_
Added custom env: allow glsl extension directive midshader true_x000D_
Added custom env: REGAL GL RENDERER Regal_x000D_
Added custom env: AWTSTUB HEIGHT 1080_x000D_
I jrelog  ( 1614): dlopen  data data net kdt pojavlaunch debug runtimes jdk17 arm64 20210821 release tar xz lib libjli so success_x000D_
I jrelog  ( 1614): dlopen libjvm so failed: dlopen failed: library  libjvm so  not found_x000D_
I jrelog  ( 1614): dlopen  data data net kdt pojavlaunch debug runtimes jdk17 arm64 20210821 release tar xz lib server libjvm so success_x000D_
I jrelog  ( 1614): dlopen  data data net kdt pojavlaunch debug runtimes jdk17 arm64 20210821 release tar xz lib libverify so success_x000D_
I jrelog  ( 1614): dlopen  data data net kdt pojavlaunch debug runtimes jdk17 arm64 20210821 release tar xz lib libjava so success_x000D_
I jrelog  ( 1614): dlopen  data data net kdt pojavlaunch debug runtimes jdk17 arm64 20210821 release tar xz lib libnet so success_x000D_
I jrelog  ( 1614): dlopen  data data net kdt pojavlaunch debug runtimes jdk17 arm64 20210821 release tar xz lib libnio so success_x000D_
I jrelog  ( 1614): dlopen  data data net kdt pojavlaunch debug runtimes jdk17 arm64 20210821 release tar xz lib libawt so success_x000D_
I jrelog  ( 1614): dlopen  data data net kdt pojavlaunch debug runtimes jdk17 arm64 20210821 release tar xz lib libawt headless so success_x000D_
I jrelog  ( 1614): dlopen  data data net kdt pojavlaunch debug runtimes jdk17 arm64 20210821 release tar xz lib libfreetype so success_x000D_
I jrelog  ( 1614): dlopen  data data net kdt pojavlaunch debug runtimes jdk17 arm64 20210821 release tar xz lib libfontmanager so success_x000D_
I jrelog  ( 1614): dlopen  data data net kdt pojavlaunch debug runtimes jdk17 arm64 20210821 release tar xz lib libawt so success_x000D_
I jrelog  ( 1614): dlopen  data data net kdt pojavlaunch debug runtimes jdk17 arm64 20210821 release tar xz lib server libjvm so success_x000D_
I jrelog  ( 1614): dlopen  data data net kdt pojavlaunch debug runtimes jdk17 arm64 20210821 release tar xz lib server libjsig so success_x000D_
I jrelog  ( 1614): dlopen  data data net kdt pojavlaunch debug runtimes jdk17 arm64 20210821 release tar xz lib libattach so success_x000D_
I jrelog  ( 1614): dlopen  data data net kdt pojavlaunch debug runtimes jdk17 arm64 20210821 release tar xz lib libjavajpeg so success_x000D_
I jrelog  ( 1614): dlopen  data data net kdt pojavlaunch debug runtimes jdk17 arm64 20210821 release tar xz lib libsyslookup so success_x000D_
I jrelog  ( 1614): dlopen  data data net kdt pojavlaunch debug runtimes jdk17 arm64 20210821 release tar xz lib libfontmanager so success_x000D_
I jrelog  ( 1614): dlopen  data data net kdt pojavlaunch debug runtimes jdk17 arm64 20210821 release tar xz lib libj2pcsc so success_x000D_
I jrelog  ( 1614): dlopen  data data net kdt pojavlaunch debug runtimes jdk17 arm64 20210821 release tar xz lib libmanagement so success_x000D_
I jrelog  ( 1614): dlopen  data data net kdt pojavlaunch debug runtimes jdk17 arm64 20210821 release tar xz lib libjaas so success_x000D_
I jrelog  ( 1614): dlopen  data data net kdt pojavlaunch debug runtimes jdk17 arm64 20210821 release tar xz lib libfreetype so success_x000D_
I jrelog  ( 1614): dlopen  data data net kdt pojavlaunch debug runtimes jdk17 arm64 20210821 release tar xz lib libjli so success_x000D_
I jrelog  ( 1614): dlopen  data data net kdt pojavlaunch debug runtimes jdk17 arm64 20210821 release tar xz lib libjimage so success_x000D_
I jrelog  ( 1614): dlopen  data data net kdt pojavlaunch debug runtimes jdk17 arm64 20210821 release tar xz lib libjsig so success_x000D_
I jrelog  ( 1614): dlopen  data data net kdt pojavlaunch debug runtimes jdk17 arm64 20210821 release tar xz lib libj2gss so success_x000D_
I jrelog  ( 1614): dlopen  data data net kdt pojavlaunch debug runtimes jdk17 arm64 20210821 release tar xz lib libnet so success_x000D_
I jrelog  ( 1614): dlopen  data data net kdt pojavlaunch debug runtimes jdk17 arm64 20210821 release tar xz lib libjava so success_x000D_
I jrelog  ( 1614): dlopen  data data net kdt pojavlaunch debug runtimes jdk17 arm64 20210821 release tar xz lib libnio so success_x000D_
I jrelog  ( 1614): dlopen  data data net kdt pojavlaunch debug runtimes jdk17 arm64 20210821 release tar xz lib libprefs so success_x000D_
I jrelog  ( 1614): dlopen  data data net kdt pojavlaunch debug runtimes jdk17 arm64 20210821 release tar xz lib libmanagement ext so success_x000D_
I jrelog  ( 1614): dlopen  data data net kdt pojavlaunch debug runtimes jdk17 arm64 20210821 release tar xz lib libj2pkcs11 so success_x000D_
I jrelog  ( 1614): dlopen  data data net kdt pojavlaunch debug runtimes jdk17 arm64 20210821 release tar xz lib libdt socket so success_x000D_
I jrelog  ( 1614): dlopen  data data net kdt pojavlaunch debug runtimes jdk17 arm64 20210821 release tar xz lib libjdwp so success_x000D_
I jrelog  ( 1614): dlopen  data data net kdt pojavlaunch debug runtimes jdk17 arm64 20210821 release tar xz lib libzip so success_x000D_
I jrelog  ( 1614): dlopen  data data net kdt pojavlaunch debug runtimes jdk17 arm64 20210821 release tar xz lib libsctp so success_x000D_
I jrelog  ( 1614): dlopen  data data net kdt pojavlaunch debug runtimes jdk17 arm64 20210821 release tar xz lib libmlib image so success_x000D_
I jrelog  ( 1614): dlopen  data data net kdt pojavlaunch debug runtimes jdk17 arm64 20210821 release tar xz lib libextnet so success_x000D_
I jrelog  ( 1614): dlopen  data data net kdt pojavlaunch debug runtimes jdk17 arm64 20210821 release tar xz lib libinstrument so success_x000D_
I jrelog  ( 1614): dlopen  data data net kdt pojavlaunch debug runtimes jdk17 arm64 20210821 release tar xz lib libmanagement agent so success_x000D_
I jrelog  ( 1614): dlopen  data data net kdt pojavlaunch debug runtimes jdk17 arm64 20210821 release tar xz lib librmi so success_x000D_
I jrelog  ( 1614): dlopen  data data net kdt pojavlaunch debug runtimes jdk17 arm64 20210821 release tar xz lib liblcms so success_x000D_
I jrelog  ( 1614): dlopen  data data net kdt pojavlaunch debug runtimes jdk17 arm64 20210821 release tar xz lib libjawt so success_x000D_
I jrelog  ( 1614): dlopen  data data net kdt pojavlaunch debug runtimes jdk17 arm64 20210821 release tar xz lib libverify so success_x000D_
I jrelog  ( 1614): dlopen  data data net kdt pojavlaunch debug runtimes jdk17 arm64 20210821 release tar xz lib libawt headless so success_x000D_
I jrelog  ( 1614): dlopen  data app   irfy3HTmSgnSB3RmPM1yCA   net kdt pojavlaunch debug uvLCING4zrh2Smzo240wUw   lib arm64 libopenal so success_x000D_
I jrelog  ( 1614): Done processing args_x000D_
I jrelog  ( 1614): Found JLI lib_x000D_
I jrelog  ( 1614): Calling JLI Launch_x000D_
 12:17:27   Render thread INFO :  STDERR :  LWJGL  Failed to load a library  Possible solutions:_x000D_
	a) Add the directory that contains the shared library to  Djava library path or  Dorg lwjgl librarypath _x000D_
	b) Add the JAR that contains the shared library to the classpath _x000D_
 12:17:27   Render thread INFO :  STDERR :  LWJGL  Enable debug mode with  Dorg lwjgl util Debug true for better diagnostics _x000D_
 12:17:27   Render thread INFO :  STDERR :  LWJGL  Enable the SharedLibraryLoader debug mode with  Dorg lwjgl util DebugLoader true for better diagnostics _x000D_
 12:17:29   Render thread INFO : Environment: authHost  https:  authserver mojang com   accountsHost  https:  api mojang com   sessionHost  https:  sessionserver mojang com   servicesHost  https:  api minecraftservices com   name  PROD _x000D_
 12:17:34   Render thread ERROR : Failed to verify authentication_x000D_
com mojang authlib exceptions InvalidCredentialsException: Status: 401_x000D_
	at com mojang authlib exceptions MinecraftClientHttpException toAuthenticationException(MinecraftClientHttpException java:56)   authlib 2 3 31 jar:  _x000D_
	at com mojang authlib yggdrasil YggdrasilSocialInteractionsService checkPrivileges(YggdrasilSocialInteractionsService java:112)   authlib 2 3 31 jar:  _x000D_
	at com mojang authlib yggdrasil YggdrasilSocialInteractionsService  init (YggdrasilSocialInteractionsService java:42)   authlib 2 3 31 jar:  _x000D_
	at com mojang authlib yggdrasil YggdrasilAuthenticationService createSocialInteractionsService(YggdrasilAuthenticationService java:151)   authlib 2 3 31 jar:  _x000D_
	at dvp a(SourceFile:670)  1 17 1 jar:  _x000D_
	at dvp  init (SourceFile:429)  1 17 1 jar:  _x000D_
	at net minecraft client main Main main(SourceFile:179)  1 17 1 jar:  _x000D_
Caused by: com mojang authlib exceptions MinecraftClientHttpException: Status: 401_x000D_
	at com mojang authlib minecraft client MinecraftClient readInputStream(MinecraftClient java:77)   authlib 2 3 31 jar:  _x000D_
	at com mojang authlib minecraft client MinecraftClient get(MinecraftClient java:47)   authlib 2 3 31 jar:  _x000D_
	at com mojang authlib yggdrasil YggdrasilSocialInteractionsService checkPrivileges(YggdrasilSocialInteractionsService java:104)   authlib 2 3 31 jar:  _x000D_
	    5 more_x000D_
 12:17:34   Render thread INFO : Setting user: ajit_x000D_
 12:17:35   Render thread INFO : Backend library: LWJGL version 3 2 3 SNAPSHOT_x000D_
EGLBridge: Initializing_x000D_
EGLBridge: Initialized _x000D_
EGLBridge: ThreadID 6149_x000D_
EGLBridge: EGLDisplay 0x1  EGLSurface 0x7df5d61e80_x000D_
EGLBridge: Created CTX pointer   0x7e05db4000_x000D_
 12:17:36   Render thread INFO :  STDERR : java lang Exception: Trace exception_x000D_
 12:17:36   Render thread INFO :  STDERR : 	at org lwjgl glfw GLFW glfwMakeContextCurrent(GLFW java:1004)_x000D_
 12:17:36   Render thread INFO :  STDERR : 	at dpr  init (SourceFile:106)_x000D_
 12:17:36   Render thread INFO :  STDERR : 	at enx a(SourceFile:21)_x000D_
 12:17:36   Render thread INFO :  STDERR : 	at dvp  init (SourceFile:481)_x000D_
 12:17:36   Render thread INFO :  STDERR : 	at net minecraft client main Main main(SourceFile:179)_x000D_
EGLBridge: Comparing: thr 6149  this 0x7e05db4000  curr 0x0_x000D_
EGLBridge: Making current on window 0x7e05db4000 on thread 6149_x000D_
EGLBridge: eglMakeCurrent() succeed _x000D_
 12:17:36   Render thread INFO :  STDOUT : 7e05db4000_x000D_
EGLBridge: Comparing: thr 6149  this 0x7e05db4000  curr 0x7e05db4000_x000D_
 12:17:42   Render thread WARN : ERROR : Couldn t load Narrator library :  storage emulated 0 games PojavLauncher  cache JNA temp jna4962463123679493694 tmp: dlopen failed: library   storage emulated 0 games PojavLauncher  cache JNA temp jna4962463123679493694 tmp  needed or dlopened by   data data net kdt pojavlaunch debug runtimes jdk17 arm64 20210821 release tar xz lib server libjvm so  is not accessible for the namespace  classloader namespace _x000D_
 12:17:43   Render thread INFO : Reloading ResourceManager: Default  assets v0 zip_x000D_
 12:17:46   Realms Notification Availability checker  1 INFO : Could not authorize you against Realms server: Invalid session id_x000D_
 ALSOFT  (EE) Failed to set real time priority for thread: Operation not permitted (1)_x000D_
 12:18:17   Render thread INFO : OpenAL initialized _x000D_
 12:18:17   Render thread INFO : Sound engine started_x000D_
 12:18:19   Render thread INFO : Created: 1024x1024x0 minecraft:textures atlas blocks png atlas_x000D_
 12:18:20   Render thread INFO : Created: 256x128x0 minecraft:textures atlas signs png atlas_x000D_
 12:18:20   Render thread INFO : Created: 1024x512x0 minecraft:textures atlas banner patterns png atlas_x000D_
 12:18:20   Render thread INFO : Created: 1024x512x0 minecraft:textures atlas shield patterns png atlas_x000D_
 12:18:20   Render thread INFO : Created: 256x256x0 minecraft:textures atlas chest png atlas_x000D_
 12:18:20   Render thread INFO : Created: 512x256x0 minecraft:textures atlas beds png atlas_x000D_
 12:18:20   Render thread INFO : Created: 512x256x0 minecraft:textures atlas shulker boxes png atlas_x000D_
 12:18:29   Render thread WARN : Shader rendertype text could not find sampler named Sampler2 in the specified shader program _x000D_
 12:18:29   Render thread WARN : Shader rendertype text intensity could not find sampler named Sampler2 in the specified shader program _x000D_
 12:18:31   Render thread INFO : Created: 256x256x0 minecraft:textures atlas particles png atlas_x000D_
 12:18:31   Render thread INFO : Created: 256x256x0 minecraft:textures atlas paintings png atlas_x000D_
 12:18:31   Render thread INFO : Created: 256x128x0 minecraft:textures atlas mob effects png atlas_x000D_
 12:18:41   Render thread INFO : Stopping _x000D_
EGLBridge: Terminating_x000D_
Failed to set damage region on surface 0x7e47d6c280  error EGL NOT INITIALIZED_x000D_
FORTIFY: pthread mutex lock called on a destroyed mutex (0x7f7b4efb18)_x000D_
process killed with signal 6 code 0xffffffff addr 0x2cd90000064e
    Steps To Reproduce
   markdown
When I start any world or create world there are no outline around any block
    Expected Behavior
I expect outline around blocks
    Platform
   markdown
  Device model: Samsung galaxy m31_x000D_
  CPU architecture: aarch64_x000D_
  Android version: 11_x000D_
  PojavLauncher version: pojavlauncher v3 3 1 1 1145 44a3d03ce v3 openjdk
    Anything else 
 No response </t>
  </si>
  <si>
    <t>PojavLauncherTeam-PojavLauncher-1898</t>
  </si>
  <si>
    <t>Not possible to play 1.17+</t>
  </si>
  <si>
    <t xml:space="preserve">    Describe the bug
Application exited with code 1
    The log file and images videos
          beggining with launcher debug_x000D_
Info: Launcher version: v3 3 1 1 1145 44a3d03ce v3 openjdk_x000D_
Info: LWJGL3 directory:  jsr305 jar  lwjgl glfw classes jar  lwjgl jemalloc jar  lwjgl openal jar  lwjgl opengl jar  lwjgl stb jar  lwjgl tinyfd jar  lwjgl jar  version _x000D_
Architecture: arm64 aarch64_x000D_
Info: Custom Java arguments:   _x000D_
Info: Selected Minecraft version: 1 17 1_x000D_
          beginning of main_x000D_
Initialising gl4es_x000D_
v1 1 5 built on Aug 14 2021 12:35:33_x000D_
Using GLES 2 0 backend_x000D_
loaded: libGLESv2 so_x000D_
loaded: libEGL so_x000D_
Using GLES 2 0 backend_x000D_
Hardware Full NPOT detected and used_x000D_
Extension GL EXT blend minmax  detected and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mapbuffer  detected_x000D_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EXT texture rg  detected and used_x000D_
Extension GL EXT color buffer float  detected and used_x000D_
Extension GL EXT color buffer half float  detected and used_x000D_
high precision float in fragment shader available and used_x000D_
Max vertex attrib: 16_x000D_
Extension GL OES standard derivatives  detected and used_x000D_
Max texture size: 8192_x000D_
Max Varying Vector: 31_x000D_
Texture Units: 16 16 (hardware: 16)  Max lights: 8  Max planes: 6_x000D_
Max Color Attachments: 1   Draw buffers: 1_x000D_
Hardware vendor is ARM_x000D_
GLSL 300 es supported_x000D_
GLSL 310 es supported and used_x000D_
sRGB surface supported_x000D_
EGLImage to Texture2D supported_x000D_
EGLImage to RenderBuffer supported_x000D_
Targeting OpenGL 2 1_x000D_
NPOT texture handled in hardware_x000D_
Not trying to batch small subsequent glDrawXXXX_x000D_
try to use VBO_x000D_
glXMakeCurrent FBO workaround enabled_x000D_
FBO workaround for using binded texture enabled_x000D_
Force texture for Attachment color0 on FBO_x000D_
Hack to trigger a SwapBuffers when a Full Framebuffer Blit on default FBO is done_x000D_
glX Will try to recycle EGL Surface_x000D_
Current folder is: _x000D_
I jrelog  (20054): dlopen libgl4es 115 so success_x000D_
Added custom env: TMPDIR  data user 0 net kdt pojavlaunch debug cache_x000D_
Added custom env: AWTSTUB WIDTH 2340_x000D_
Added custom env: REGAL GL VERSION 4 5_x000D_
Added custom env: REGAL GL VENDOR Android_x000D_
Added custom env: LIBGL MIPMAP 3_x000D_
Added custom env: allow higher compat version true_x000D_
Added custom env: MESA GLSL CACHE DIR  data user 0 net kdt pojavlaunch debug cache_x000D_
Added custom env: HOME  storage emulated 0 games PojavLauncher  minecraft_x000D_
Added custom env: PATH  data data net kdt pojavlaunch debug runtimes jdk17 arm64 20210821 release tar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data net kdt pojavlaunch debug runtimes jdk17 arm64 20210821 release tar xz lib jli: data data net kdt pojavlaunch debug runtimes jdk17 arm64 20210821 release tar xz lib: system lib64: vendor lib64: vendor lib64 hw: data app   irfy3HTmSgnSB3RmPM1yCA   net kdt pojavlaunch debug uvLCING4zrh2Smzo240wUw   lib arm64_x000D_
Added custom env: POJAV RENDERER opengles2 5_x000D_
Added custom env: LIBGL ES 2_x000D_
Added custom env: MESA LOADER DRIVER OVERRIDE zink_x000D_
Added custom env: MESA GLSL VERSION OVERRIDE 460_x000D_
Added custom env: JAVA HOME  data data net kdt pojavlaunch debug runtimes jdk17 arm64 20210821 release tar xz_x000D_
Added custom env: MESA GL VERSION OVERRIDE 4 6_x000D_
Added custom env: allow glsl extension directive midshader true_x000D_
Added custom env: REGAL GL RENDERER Regal_x000D_
Added custom env: AWTSTUB HEIGHT 1080_x000D_
I jrelog  (20054): dlopen  data data net kdt pojavlaunch debug runtimes jdk17 arm64 20210821 release tar xz lib libjli so success_x000D_
I jrelog  (20054): dlopen libjvm so failed: dlopen failed: library  libjvm so  not found_x000D_
I jrelog  (20054): dlopen  data data net kdt pojavlaunch debug runtimes jdk17 arm64 20210821 release tar xz lib server libjvm so success_x000D_
I jrelog  (20054): dlopen  data data net kdt pojavlaunch debug runtimes jdk17 arm64 20210821 release tar xz lib libverify so success_x000D_
I jrelog  (20054): dlopen  data data net kdt pojavlaunch debug runtimes jdk17 arm64 20210821 release tar xz lib libjava so success_x000D_
I jrelog  (20054): dlopen  data data net kdt pojavlaunch debug runtimes jdk17 arm64 20210821 release tar xz lib libnet so success_x000D_
I jrelog  (20054): dlopen  data data net kdt pojavlaunch debug runtimes jdk17 arm64 20210821 release tar xz lib libnio so success_x000D_
I jrelog  (20054): dlopen  data data net kdt pojavlaunch debug runtimes jdk17 arm64 20210821 release tar xz lib libawt so success_x000D_
I jrelog  (20054): dlopen  data data net kdt pojavlaunch debug runtimes jdk17 arm64 20210821 release tar xz lib libawt headless so success_x000D_
I jrelog  (20054): dlopen  data data net kdt pojavlaunch debug runtimes jdk17 arm64 20210821 release tar xz lib libfreetype so success_x000D_
I jrelog  (20054): dlopen  data data net kdt pojavlaunch debug runtimes jdk17 arm64 20210821 release tar xz lib libfontmanager so success_x000D_
I jrelog  (20054): dlopen  data data net kdt pojavlaunch debug runtimes jdk17 arm64 20210821 release tar xz lib libawt so success_x000D_
I jrelog  (20054): dlopen  data data net kdt pojavlaunch debug runtimes jdk17 arm64 20210821 release tar xz lib server libjvm so success_x000D_
I jrelog  (20054): dlopen  data data net kdt pojavlaunch debug runtimes jdk17 arm64 20210821 release tar xz lib server libjsig so success_x000D_
I jrelog  (20054): dlopen  data data net kdt pojavlaunch debug runtimes jdk17 arm64 20210821 release tar xz lib libattach so success_x000D_
I jrelog  (20054): dlopen  data data net kdt pojavlaunch debug runtimes jdk17 arm64 20210821 release tar xz lib libjavajpeg so success_x000D_
I jrelog  (20054): dlopen  data data net kdt pojavlaunch debug runtimes jdk17 arm64 20210821 release tar xz lib libsyslookup so success_x000D_
I jrelog  (20054): dlopen  data data net kdt pojavlaunch debug runtimes jdk17 arm64 20210821 release tar xz lib libfontmanager so success_x000D_
I jrelog  (20054): dlopen  data data net kdt pojavlaunch debug runtimes jdk17 arm64 20210821 release tar xz lib libj2pcsc so success_x000D_
I jrelog  (20054): dlopen  data data net kdt pojavlaunch debug runtimes jdk17 arm64 20210821 release tar xz lib libmanagement so success_x000D_
I jrelog  (20054): dlopen  data data net kdt pojavlaunch debug runtimes jdk17 arm64 20210821 release tar xz lib libjaas so success_x000D_
I jrelog  (20054): dlopen  data data net kdt pojavlaunch debug runtimes jdk17 arm64 20210821 release tar xz lib libfreetype so success_x000D_
I jrelog  (20054): dlopen  data data net kdt pojavlaunch debug runtimes jdk17 arm64 20210821 release tar xz lib libjli so success_x000D_
I jrelog  (20054): dlopen  data data net kdt pojavlaunch debug runtimes jdk17 arm64 20210821 release tar xz lib libjimage so success_x000D_
I jrelog  (20054): dlopen  data data net kdt pojavlaunch debug runtimes jdk17 arm64 20210821 release tar xz lib libjsig so success_x000D_
I jrelog  (20054): dlopen  data data net kdt pojavlaunch debug runtimes jdk17 arm64 20210821 release tar xz lib libj2gss so success_x000D_
I jrelog  (20054): dlopen  data data net kdt pojavlaunch debug runtimes jdk17 arm64 20210821 release tar xz lib libnet so success_x000D_
I jrelog  (20054): dlopen  data data net kdt pojavlaunch debug runtimes jdk17 arm64 20210821 release tar xz lib libjava so success_x000D_
I jrelog  (20054): dlopen  data data net kdt pojavlaunch debug runtimes jdk17 arm64 20210821 release tar xz lib libnio so success_x000D_
I jrelog  (20054): dlopen  data data net kdt pojavlaunch debug runtimes jdk17 arm64 20210821 release tar xz lib libprefs so success_x000D_
I jrelog  (20054): dlopen  data data net kdt pojavlaunch debug runtimes jdk17 arm64 20210821 release tar xz lib libmanagement ext so success_x000D_
I jrelog  (20054): dlopen  data data net kdt pojavlaunch debug runtimes jdk17 arm64 20210821 release tar xz lib libj2pkcs11 so success_x000D_
I jrelog  (20054): dlopen  data data net kdt pojavlaunch debug runtimes jdk17 arm64 20210821 release tar xz lib libdt socket so success_x000D_
I jrelog  (20054): dlopen  data data net kdt pojavlaunch debug runtimes jdk17 arm64 20210821 release tar xz lib libjdwp so success_x000D_
I jrelog  (20054): dlopen  data data net kdt pojavlaunch debug runtimes jdk17 arm64 20210821 release tar xz lib libzip so success_x000D_
I jrelog  (20054): dlopen  data data net kdt pojavlaunch debug runtimes jdk17 arm64 20210821 release tar xz lib libsctp so success_x000D_
I jrelog  (20054): dlopen  data data net kdt pojavlaunch debug runtimes jdk17 arm64 20210821 release tar xz lib libmlib image so success_x000D_
I jrelog  (20054): dlopen  data data net kdt pojavlaunch debug runtimes jdk17 arm64 20210821 release tar xz lib libextnet so success_x000D_
I jrelog  (20054): dlopen  data data net kdt pojavlaunch debug runtimes jdk17 arm64 20210821 release tar xz lib libinstrument so success_x000D_
I jrelog  (20054): dlopen  data data net kdt pojavlaunch debug runtimes jdk17 arm64 20210821 release tar xz lib libmanagement agent so success_x000D_
I jrelog  (20054): dlopen  data data net kdt pojavlaunch debug runtimes jdk17 arm64 20210821 release tar xz lib librmi so success_x000D_
I jrelog  (20054): dlopen  data data net kdt pojavlaunch debug runtimes jdk17 arm64 20210821 release tar xz lib liblcms so success_x000D_
I jrelog  (20054): dlopen  data data net kdt pojavlaunch debug runtimes jdk17 arm64 20210821 release tar xz lib libjawt so success_x000D_
I jrelog  (20054): dlopen  data data net kdt pojavlaunch debug runtimes jdk17 arm64 20210821 release tar xz lib libverify so success_x000D_
I jrelog  (20054): dlopen  data data net kdt pojavlaunch debug runtimes jdk17 arm64 20210821 release tar xz lib libawt headless so success_x000D_
I jrelog  (20054): dlopen  data app   irfy3HTmSgnSB3RmPM1yCA   net kdt pojavlaunch debug uvLCING4zrh2Smzo240wUw   lib arm64 libopenal so success_x000D_
I jrelog  (20054): Done processing args_x000D_
I jrelog  (20054): Found JLI lib_x000D_
I jrelog  (20054): Calling JLI Launch_x000D_
 11:14:19   Render thread INFO :  STDERR :  LWJGL  Failed to load a library  Possible solutions:_x000D_
	a) Add the directory that contains the shared library to  Djava library path or  Dorg lwjgl librarypath _x000D_
	b) Add the JAR that contains the shared library to the classpath _x000D_
 11:14:19   Render thread INFO :  STDERR :  LWJGL  Enable debug mode with  Dorg lwjgl util Debug true for better diagnostics _x000D_
 11:14:19   Render thread INFO :  STDERR :  LWJGL  Enable the SharedLibraryLoader debug mode with  Dorg lwjgl util DebugLoader true for better diagnostics _x000D_
 11:14:21   Render thread INFO : Environment: authHost  https:  authserver mojang com   accountsHost  https:  api mojang com   sessionHost  https:  sessionserver mojang com   servicesHost  https:  api minecraftservices com   name  PROD _x000D_
 11:14:26   Render thread ERROR : Failed to verify authentication_x000D_
com mojang authlib exceptions InvalidCredentialsException: Status: 401_x000D_
	at com mojang authlib exceptions MinecraftClientHttpException toAuthenticationException(MinecraftClientHttpException java:56)   authlib 2 3 31 jar:  _x000D_
	at com mojang authlib yggdrasil YggdrasilSocialInteractionsService checkPrivileges(YggdrasilSocialInteractionsService java:112)   authlib 2 3 31 jar:  _x000D_
	at com mojang authlib yggdrasil YggdrasilSocialInteractionsService  init (YggdrasilSocialInteractionsService java:42)   authlib 2 3 31 jar:  _x000D_
	at com mojang authlib yggdrasil YggdrasilAuthenticationService createSocialInteractionsService(YggdrasilAuthenticationService java:151)   authlib 2 3 31 jar:  _x000D_
	at dvp a(SourceFile:670)  1 17 1 jar:  _x000D_
	at dvp  init (SourceFile:429)  1 17 1 jar:  _x000D_
	at net minecraft client main Main main(SourceFile:179)  1 17 1 jar:  _x000D_
Caused by: com mojang authlib exceptions MinecraftClientHttpException: Status: 401_x000D_
	at com mojang authlib minecraft client MinecraftClient readInputStream(MinecraftClient java:77)   authlib 2 3 31 jar:  _x000D_
	at com mojang authlib minecraft client MinecraftClient get(MinecraftClient java:47)   authlib 2 3 31 jar:  _x000D_
	at com mojang authlib yggdrasil YggdrasilSocialInteractionsService checkPrivileges(YggdrasilSocialInteractionsService java:104)   authlib 2 3 31 jar:  _x000D_
	    5 more_x000D_
 11:14:26   Render thread INFO : Setting user: ajit_x000D_
 11:14:28   Render thread ERROR : Failed to load options_x000D_
com google gson JsonParseException: com google gson stream MalformedJsonException: Use JsonReader setLenient(true) to accept malformed JSON at line 1 column 12 path   1 _x000D_
	at agv a(SourceFile:506)   1 17 1 jar:  _x000D_
	at agv a(SourceFile:512)   1 17 1 jar:  _x000D_
	at agv a(SourceFile:527)   1 17 1 jar:  _x000D_
	at dvt c(SourceFile:642)   1 17 1 jar:  _x000D_
	at dvt 2 a(SourceFile:439)   1 17 1 jar:  _x000D_
	at dvt a(SourceFile:279)   1 17 1 jar:  _x000D_
	at dvt a(SourceFile:366)  1 17 1 jar:  _x000D_
	at dvt  init (SourceFile:223)  1 17 1 jar:  _x000D_
	at dvp  init (SourceFile:459)  1 17 1 jar:  _x000D_
	at net minecraft client main Main main(SourceFile:179)  1 17 1 jar:  _x000D_
Caused by: com google gson stream MalformedJsonException: Use JsonReader setLenient(true) to accept malformed JSON at line 1 column 12 path   1 _x000D_
	at com google gson stream JsonReader syntaxError(JsonReader java:1559)   gson 2 8 0 jar:  _x000D_
	at com google gson stream JsonReader checkLenient(JsonReader java:1401)   gson 2 8 0 jar:  _x000D_
	at com google gson stream JsonReader nextNonWhitespace(JsonReader java:1352)   gson 2 8 0 jar:  _x000D_
	at com google gson stream JsonReader doPeek(JsonReader java:467)   gson 2 8 0 jar:  _x000D_
	at com google gson stream JsonReader hasNext(JsonReader java:414)   gson 2 8 0 jar:  _x000D_
	at com google gson internal bind CollectionTypeAdapterFactory Adapter read(CollectionTypeAdapterFactory java:81)   gson 2 8 0 jar:  _x000D_
	at com google gson internal bind CollectionTypeAdapterFactory Adapter read(CollectionTypeAdapterFactory java:61)   gson 2 8 0 jar:  _x000D_
	at agv a(SourceFile:504)   1 17 1 jar:  _x000D_
	    9 more_x000D_
 11:14:28   Render thread INFO : Backend library: LWJGL version 3 2 3 SNAPSHOT_x000D_
EGLBridge: Initializing_x000D_
EGLBridge: Initialized _x000D_
EGLBridge: ThreadID 24465_x000D_
EGLBridge: EGLDisplay 0x1  EGLSurface 0x7df8afbc00_x000D_
EGLBridge: Created CTX pointer   0x7df8b4d000_x000D_
 11:14:28   Render thread INFO :  STDERR : java lang Exception: Trace exception_x000D_
 11:14:28   Render thread INFO :  STDERR : 	at org lwjgl glfw GLFW glfwMakeContextCurrent(GLFW java:1004)_x000D_
 11:14:28   Render thread INFO :  STDERR : 	at dpr  init (SourceFile:106)_x000D_
 11:14:28   Render thread INFO :  STDERR : 	at enx a(SourceFile:21)_x000D_
 11:14:28   Render thread INFO :  STDERR : 	at dvp  init (SourceFile:481)_x000D_
 11:14:28   Render thread INFO :  STDERR : 	at net minecraft client main Main main(SourceFile:179)_x000D_
EGLBridge: Comparing: thr 24465  this 0x7df8b4d000  curr 0x0_x000D_
EGLBridge: Making current on window 0x7df8b4d000 on thread 24465_x000D_
EGLBridge: eglMakeCurrent() succeed _x000D_
 11:14:28   Render thread INFO :  STDOUT : 7df8b4d000_x000D_
EGLBridge: Comparing: thr 24465  this 0x7df8b4d000  curr 0x7df8b4d000_x000D_
 11:14:33   Render thread WARN : ERROR : Couldn t load Narrator library :  storage emulated 0 games PojavLauncher  cache JNA temp jna8648458315113415455 tmp: dlopen failed: library   storage emulated 0 games PojavLauncher  cache JNA temp jna8648458315113415455 tmp  needed or dlopened by   data data net kdt pojavlaunch debug runtimes jdk17 arm64 20210821 release tar xz lib server libjvm so  is not accessible for the namespace  classloader namespace _x000D_
 11:14:34   Render thread INFO : Reloading ResourceManager: Default_x000D_
 11:14:40   Realms Notification Availability checker  1 INFO : Could not authorize you against Realms server: Invalid session id_x000D_
 ALSOFT  (EE) Failed to set real time priority for thread: Operation not permitted (1)_x000D_
 11:15:17   Render thread INFO : OpenAL initialized _x000D_
 11:15:17   Render thread INFO : Sound engine started_x000D_
 11:15:20   Render thread INFO : Created: 1024x1024x4 minecraft:textures atlas blocks png atlas_x000D_
 11:15:20   Render thread INFO : Created: 256x128x4 minecraft:textures atlas signs png atlas_x000D_
 11:15:20   Render thread INFO : Created: 1024x512x4 minecraft:textures atlas banner patterns png atlas_x000D_
 11:15:20   Render thread INFO : Created: 1024x512x4 minecraft:textures atlas shield patterns png atlas_x000D_
 11:15:20   Render thread INFO : Created: 256x256x4 minecraft:textures atlas chest png atlas_x000D_
 11:15:21   Render thread INFO : Created: 512x256x4 minecraft:textures atlas beds png atlas_x000D_
 11:15:21   Render thread INFO : Created: 512x256x4 minecraft:textures atlas shulker boxes png atlas_x000D_
 11:15:31   Render thread FATAL : Reported exception thrown _x000D_
z: Rendering overlay_x000D_
	at enb a(SourceFile:870)   1 17 1 jar:  _x000D_
	at dvp f(SourceFile:1112)   1 17 1 jar:  _x000D_
	at dvp e(SourceFile:728)  1 17 1 jar:  _x000D_
	at net minecraft client main Main main(SourceFile:217)  1 17 1 jar:  _x000D_
Caused by: java lang RuntimeException: could not reload shaders_x000D_
	at enb b(SourceFile:496)   1 17 1 jar:  _x000D_
	at enb a(SourceFile:384)   1 17 1 jar:  _x000D_
	at adu a(SourceFile:15)   1 17 1 jar:  _x000D_
	at java util concurrent CompletableFuture UniRun tryFire(CompletableFuture java:787)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ady a(SourceFile:71_x000D_
)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ady a(Sourc_x000D_
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java:482)_x000D_
    :  _x000D_
	at ady a(SourceFile:71)   1 17 1 jar:  _x000D_
	at aqv execute(SourceFile:101)   1 17 1 jar:  _x000D_
	at ady a(SourceFile:70)   1 17 1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run(C_x000D_
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com mojang blaze3d systems RenderSystem replayQueue(SourceFile:179)   1 17 1 jar:  _x000D_
	at com mojang blaze3d systems RenderSystem flipFrame(SourceFile:166)   1 17 1 jar:  _x000D_
	at dpr e(SourceFile:310)   1 17 1 jar:  _x000D_
	at dvp f(SourceFile:1137)   1 17 1 jar:  _x000D_
	    2 more_x000D_
Caused by: wz: Invalid shaders core rendertype solid json: Couldn t compile vertex program (Default  rendertype solid) : 0:7: S0054: Overloading built in function  clamp  not allowed_x000D_
	at wz a(SourceFile:48)   1 17 1 jar:  _x000D_
	at ent  init (SourceFile:197)   1 17 1 jar:  _x000D_
	at enb b(SourceFile:452)   1 17 1 jar:  _x000D_
	at enb a(SourceFile:384)   1 17 1 jar:  _x000D_
	at adu a(SourceFile:15)   1 17 1 jar:  _x000D_
	at java util concurrent CompletableFuture UniRun tryFire(CompletableFuture java:787)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postFire(Comple_x000D_
tableFuture java:614)    :  _x000D_
	at java util concurrent CompletableFuture UniRun tryFire(CompletableFuture java:795)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postFir_x000D_
e(CompletableFuture java:614)    :  _x000D_
	at java util concurrent CompletableFuture UniRun tryFire(CompletableFuture java:795)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UniRun tryFire(CompletableFuture java:795)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UniRun tryFire(CompletableFuture java:784)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Completable_x000D_
Future postFire(CompletableFuture java:614)    :  _x000D_
	at java util concurrent CompletableFuture UniAccept tryFire(CompletableFuture java:726)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    :  _x000D_
	at java util concurrent CompletableFuture postFire(CompletableFuture java:614)    :  _x000D_
	at java util concurrent CompletableFuture UniAccept tryFire(CompletableFuture java:726)    :  _x000D_
	at java util concurrent CompletableFuture Completion run(CompletableFuture java:482)    :  _x000D_
	at ady a(SourceFile:71)   1 17 1 jar:  _x000D_
	at aqv execute(SourceFile:101)   1 17 1 jar:  _x000D_
	at ady a(SourceFile:70)   1 17 1 jar:  _x000D_
	at java util concurrent CompletableFuture UniCompletion claim(CompletableFuture java:572)    :  _x000D_
	at java util concurrent CompletableFuture UniAccept tryFire(CompletableFuture java:714)    :  _x000D_
	at java util concurrent CompletableFuture postComplete(CompletableFuture java:510)</t>
  </si>
  <si>
    <t>Anuken-Mindustry-5857</t>
  </si>
  <si>
    <t>Broken Logic</t>
  </si>
  <si>
    <t xml:space="preserve">  Platform  :  Android iOS Mac Windows Linux _x000D_
Windows_x000D_
  Build  :  The build number is under the title in the main menu  Required   LATEST  IS NOT A VERSION  I NEED THE EXACT BUILD NUMBER OF YOUR GAME  _x000D_
130  happened in all _x000D_
  Issue  :  Explain your issue in detail  _x000D_
The logic likes to break when I switch sectors in the campaign  I would have bots on turrets and leave to handle something else then when I come back  the logic would be broken then flares would be either at the command center or connected to multiple logic projectors _x000D_
  Steps to reproduce  :  How you happened across the issue  and what exactly you did to make the bug happen  _x000D_
I didn t do anything to it but move sectors _x000D_
  Link(s) to mod(s) used  :  The mod repositories or zip files that are related to the issue  if applicable  _x000D_
N A_x000D_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</si>
  <si>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TeamNewPipe-NewPipe-6971</t>
  </si>
  <si>
    <t xml:space="preserve">Playback autoresumes after unlocking phone when in full screen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</si>
  <si>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Start playing any video in FULL SCREEN mode_x000D_
2  Lock the phone screen while the video is playing or paused (doesn t matter)  but still in full screen_x000D_
3  Unlock the phone_x000D_
_x000D_
     If you can t cause the bug to show up again reliably (and hence don t have a proper set of steps to give us)  please still try to give as many details as possible on how you think you encountered the bug     _x000D_
_x000D_
_x000D_
_x000D_
    Actual behavior_x000D_
The video continues playback after the phone was locked and stopped the playback  Even if the video was paused but in full screen mode when the phone was locked  it starts to play again  _x000D_
_x000D_
_x000D_
_x000D_
    Expected behavior_x000D_
The playback should stay paused until you hit play again  unless you have the  resume playback  feature enabled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Andoird 11 OxygenOS 11 0 11_x000D_
   Device model: OnePlus 8T 5G KB2007 (TMobile Version)_x000D_
</t>
  </si>
  <si>
    <t>Benji377-SocyMusic-170</t>
  </si>
  <si>
    <t>Recreation of the app makes it crash</t>
  </si>
  <si>
    <t xml:space="preserve">  Describe the bug  _x000D_
As described in  169 I noticed a strange issue while changing themes  At first  I thought it had something to do with the new class I created and I  therefore  proceeded with inserting a  Timber e( Error )  after every line that would print the values and data of the lines  I did this to assure that everything was working and actually it did  It successfully initialized the new class  set the listener  and called it when the theme changed  But what happened afterward is a strange thing  It looks like when the MainActivity gets recreated something gets initialized in the wrong state and therefore makes the app crash  Unfortunately in the Log  it doesn t reference any line or file specifically   You can look at the error code below or reproduce it yourself and see if you can understand something from it _x000D_
_x000D_
  To Reproduce  _x000D_
1  Open the app and swipe or click on the settings tab _x000D_
2  Select the themes option and chose a new theme _x000D_
3  App crashes as soon as the new theme is selected _x000D_
_x000D_
_x000D_
  Expected behavior  _x000D_
When a new theme is selected the following happens:_x000D_
1  The listener detects a change in the theme_x000D_
2  Inside the listener it checks if the key of the preference matches the one specified in the Application class_x000D_
3  If that is the case  the  recreate()  method gets called  This assures that no restart of the app is needed to set the new theme but it gets set in real time_x000D_
4  As soon as the app starts again  the new theme gets set_x000D_
_x000D_
Because of this bug  the fourth stage doesn t get reached immediately  but the app crashes first  If you then reopen the app you will notice that the theme has been changed successfully _x000D_
_x000D_
_x000D_
  Additional context  _x000D_
Here is the error message  it can be achieved by simply changing the theme in the settings:_x000D_
   _x000D_
2021 08 24 21:29:18 994 6253 6253 com musicplayer musicplayer E AndroidRuntime: FATAL EXCEPTION: main_x000D_
    Process: com musicplayer musicplayer  PID: 6253_x000D_
    java lang IllegalStateException: Design assumption violated _x000D_
        at androidx viewpager2 adapter FragmentStateAdapter placeFragmentInViewHolder(FragmentStateAdapter java:287)_x000D_
        at androidx viewpager2 adapter FragmentStateAdapter onViewAttachedToWindow(FragmentStateAdapter java:276)_x000D_
        at androidx viewpager2 adapter FragmentStateAdapter onViewAttachedToWindow(FragmentStateAdapter java:67)_x000D_
        at androidx recyclerview widget RecyclerView dispatchChildAttached(RecyclerView java:7867)_x000D_
        at androidx recyclerview widget RecyclerView 5 addView(RecyclerView java:893)_x000D_
        at androidx recyclerview widget ChildHelper addView(ChildHelper java:107)_x000D_
        at androidx recyclerview widget RecyclerView LayoutManager addViewInt(RecyclerView java:8902)_x000D_
        at androidx recyclerview widget RecyclerView LayoutManager addView(RecyclerView java:8860)_x000D_
        at androidx recyclerview widget RecyclerView LayoutManager addView(RecyclerView java:8848)_x000D_
        at androidx recyclerview widget LinearLayoutManager layoutChunk(LinearLayoutManager java:1645)_x000D_
        at androidx recyclerview widget LinearLayoutManager fill(LinearLayoutManager java:1591)_x000D_
        at androidx recyclerview widget LinearLayoutManager onLayoutChildren(LinearLayoutManager java:668)_x000D_
        at androidx recyclerview widget RecyclerView dispatchLayoutStep2(RecyclerView java:4309)_x000D_
        at androidx recyclerview widget RecyclerView dispatchLayout(RecyclerView java:4012)_x000D_
        at androidx recyclerview widget RecyclerView onLayout(RecyclerView java:4578)_x000D_
        at android view View layout(View java:22844)_x000D_
        at android view ViewGroup layout(ViewGroup java:6389)_x000D_
        at androidx viewpager2 widget ViewPager2 onLayout(ViewPager2 java:527)_x000D_
        at android view View layout(View java:22844)_x000D_
        at android view ViewGroup layout(ViewGroup java:6389)_x000D_
        at android widget LinearLayout setChildFrame(LinearLayout java:1829)_x000D_
        at android widget LinearLayout layoutVertical(LinearLayout java:1673)_x000D_
        at android widget LinearLayout onLayout(LinearLayout java:1582)_x000D_
        at android view View layout(View java:22844)_x000D_
        at android view ViewGroup layout(ViewGroup java:6389)_x000D_
        at androidx coordinatorlayout widget CoordinatorLayout layoutChild(CoordinatorLayout java:1213)_x000D_
        at androidx coordinatorlayout widget CoordinatorLayout onLayoutChild(CoordinatorLayout java:899)_x000D_
        at androidx coordinatorlayout widget CoordinatorLayout onLayout(CoordinatorLayout java:919)_x000D_
        at android view View layout(View java:22844)_x000D_
        at android view ViewGroup layout(ViewGroup java:6389)_x000D_
        at android widget FrameLayout layoutChildren(FrameLayout java:332)_x000D_
        at android widget FrameLayout onLayout(FrameLayout java:270)_x000D_
        at android view View layout(View java:22844)_x000D_
        at android view ViewGroup layout(ViewGroup java:6389)_x000D_
        at androidx appcompat widget ActionBarOverlayLayout onLayout(ActionBarOverlayLayout java:536)_x000D_
        at android view View layout(View java:22844)_x000D_
        at android view ViewGroup layout(ViewGroup java:6389)_x000D_
        at android widget FrameLayout layoutChildren(FrameLayout java:332)_x000D_
        at android widget FrameLayout onLayout(FrameLayout java:270)_x000D_
        at android view View layout(View java:22844)_x000D_
        at android view ViewGroup layout(ViewGroup java:6389)_x000D_
        at android widget LinearLayout setChildFrame(LinearLayout java:1829)_x000D_
        at android widget LinearLayout layoutVertical(LinearLayout java:1673)_x000D_
        at android widget LinearLayout onLayout(LinearLayout java:1582)_x000D_
        at android view View layout(View java:22844)_x000D_
        at android view ViewGroup layout(ViewGroup java:6389)_x000D_
        at android widget FrameLayout layoutChildren(FrameLayout java:332)_x000D_
        at android widget FrameLayout onLayout(FrameLayout java:270)_x000D_
        at com android internal policy DecorView onLayout(DecorView java:784)_x000D_
        at android view View layout(View java:22844)_x000D_
        at android view ViewGroup layout(ViewGroup java:6389)_x000D_
        at android view ViewRootImpl performLayout(ViewRootImpl java:3470)_x000D_
        at android view ViewRootImpl performTraversals(ViewRootImpl java:2938)_x000D_
        at android view ViewRootImpl doTraversal(ViewRootImpl java:1952)_x000D_
2021 08 24 21:29:18 996 6253 6253 com musicplayer musicplayer E AndroidRuntime:     at android view ViewRootImpl TraversalRunnable run(ViewRootImpl java:8171)_x000D_
        at android view Choreographer CallbackRecord run(Choreographer java:972)_x000D_
        at android view Choreographer doCallbacks(Choreographer java:796)_x000D_
        at android view Choreographer doFrame(Choreographer java:731)_x000D_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t>
  </si>
  <si>
    <t>nextcloud-android-8893</t>
  </si>
  <si>
    <t>Reoccuring app crash when opening app</t>
  </si>
  <si>
    <t xml:space="preserve">    Steps to reproduce_x000D_
1  Open app_x000D_
2  Wait_x000D_
3  Crash_x000D_
_x000D_
    Expected behaviour_x000D_
It should show my files_x000D_
_x000D_
    Actual behaviour_x000D_
It shows an older file structure (old files that aren t in my root folder anymore) and after a few seconds crashes  I also reset my app  deleted cache local files  same behaviour every time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APP INFORMATION             _x000D_
ID: com nextcloud client_x000D_
Version: 30160190_x000D_
Build flavor: gplay_x000D_
              DEVICE INFORMATION             _x000D_
Brand: google_x000D_
Device: redfin_x000D_
Model: Pixel 5_x000D_
Id: RQ3A 210705 001_x000D_
Product: redfin_x000D_
              FIRMWARE             _x000D_
SDK: 30_x000D_
Release: 11_x000D_
Incremental: 7380771_x000D_
_x000D_
Stock or customized system:_x000D_
Running in a nextcloud:apache docker instance _x000D_
_x000D_
Nextcloud server version:_x000D_
    installed: true_x000D_
    version: 22 1 0 1_x000D_
    versionstring: 22 1 0_x000D_
Reverse proxy:_x000D_
traefik 2 reverse proxy_x000D_
_x000D_
    Logs_x000D_
     Android App Error Log_x000D_
   _x000D_
              CAUSE OF ERROR             _x000D_
_x000D_
java lang IllegalStateException: Couldn t read row 1159  col 0 from CursorWindow   Make sure the Cursor is initialized correctly before accessing data from it _x000D_
at android database CursorWindow nativeGetLong(Native Method)_x000D_
at android database CursorWindow getLong(CursorWindow java:542)_x000D_
at android database AbstractWindowedCursor getLong(AbstractWindowedCursor java:77)_x000D_
at com owncloud android providers FileContentProvider deleteDirectory(FileContentProvider java:179)_x000D_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 delete(ContentProvider java:1757)_x000D_
at android content ContentProviderOperation applyInternal(ContentProviderOperation java:389)_x000D_
at android content ContentProviderOperation apply(ContentProviderOperation java:352)_x000D_
at com owncloud android providers FileContentProvider applyBatch(FileContentProvider java:672)_x000D_
at android content ContentProvider applyBatch(ContentProvider java:2413)_x000D_
at android content ContentProvider Transport applyBatch(ContentProvider java:403)_x000D_
at android content ContentProviderClient applyBatch(ContentProviderClient java:576)_x000D_
at android content ContentProviderClient applyBatch(ContentProviderClient java:564)_x000D_
at android content ContentResolver applyBatch(ContentResolver java:2196)_x000D_
at com owncloud android datamodel FileDataStorageManager saveFolder(FileDataStorageManager java:438)_x000D_
at com owncloud android operations RefreshFolderOperation synchronizeData(RefreshFolderOperation java:528)_x000D_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java:359)_x000D_
at java lang Thread run(Thread java:923)_x000D_
   </t>
  </si>
  <si>
    <t>PojavLauncherTeam-PojavLauncher-1892</t>
  </si>
  <si>
    <t xml:space="preserve">[BUG] &lt;Login crashes&gt; </t>
  </si>
  <si>
    <t xml:space="preserve">    Describe the bug
 game crash when trying to log in with saved accounts
    The log file and images videos
 latestcrash txt (https:  github com PojavLauncherTeam PojavLauncher files 7038346 latestcrash txt)_x000D_
    Steps To Reproduce
   markdown
1  Start PojavLauncher_x000D_
2  Click on login_x000D_
3 Game crash
    Expected Behavior
    Platform
   markdown
  Device model: Redmi S2_x000D_
  CPU architecture: arm64_x000D_
  Android version: 10_x000D_
  PojavLauncher version: latest build
    Anything else 
 No response </t>
  </si>
  <si>
    <t>TeamNewPipe-NewPipe-6967</t>
  </si>
  <si>
    <t>挂载vpn后总是显示发生错误</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</si>
  <si>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</si>
  <si>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PojavLauncherTeam-PojavLauncher-1889</t>
  </si>
  <si>
    <t xml:space="preserve">Loading screen Pojavalauncher launcher android fix bug </t>
  </si>
  <si>
    <t xml:space="preserve">    Describe the bug
The stuck loading of Minecraft java on Android can t fix the loading screen when I download mods and you will see the loading issue was stopped and crash again anything else why the nether update is slower loading when you download mods 1 16 5 
    The log file and images videos
My photo picture on my YouTube channel _x000D_
  minecraft avatar   squid by superjenbot d8bjgnc pre (https:  user images githubusercontent com 87942910 130569754 cc2b73e5 ddb0 4dd3 a91e 434ca2a97667 jpg)_x000D_
    Steps To Reproduce
   markdown
1 start your pojavalauncher _x000D_
2 you see the red screen_x000D_
3 look at the white loading screen _x000D_
4 now if you see the stuck loading go here_x000D_
5 create world flat may fast loading _x000D_
6 create world infinite now wait it until the loading _x000D_
7 now is finished now download mods 1 16 5_x000D_
8 after download mods 1 16 5 look at your stuck loading screen
    Expected Behavior
For more stuck loading on your pojavalauncher when installing mods subscribe to my channel _x000D_
For pc are not stuck loading screen but in mobile java edition is crash again 
    Platform
   markdown
  Device model:oppo  _x000D_
  CPU architecture:876_x000D_
  Android version: 6245_x000D_
  PojavLauncher version:1 16 5 and 1 12 2 mods
    Anything else 
Anyone did you fix the screen of pojavalauncher _x000D_
Seems crash after you intall all mods </t>
  </si>
  <si>
    <t>Anuken-Mindustry-5850</t>
  </si>
  <si>
    <t>Android Version Number 130.1</t>
  </si>
  <si>
    <t xml:space="preserve">  Platform  :  Android _x000D_
_x000D_
  Build  :  The build number under the title in the main menu  Required   LATEST  IS NOT A VERSION  I NEED THE EXACT BUILD NUMBER OF YOUR GAME  _x000D_
_x000D_
 103 1 I mean 130 1 _x000D_
_x000D_
  Issue  :  Explain your issue in detail  _x000D_
_x000D_
You messed up 130 1 and made 103 1_x000D_
_x000D_
  Steps to reproduce  :  How you happened across the issue  and what exactly you did to make the bug happen  _x000D_
_x000D_
Download on itch io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N A_x000D_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 A_x000D_
_x000D_
   _x000D_
_x000D_
 Place an X (no spaces) between the brackets to confirm that you have read the line below    _x000D_
   I can t  cause there is no apk file there XD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</si>
  <si>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PojavLauncherTeam-PojavLauncher-1887</t>
  </si>
  <si>
    <t>[BUG] &lt;Game code 1 crashes, external mouse disappears&gt;</t>
  </si>
  <si>
    <t xml:space="preserve">    Describe the bug
  Today I opened the game and it crashed with code 1  I didn t do anything      _x000D_
  I have tried to download the resource again  but the result is the same  I have downloaded it 3 4 times  and I have tried to delete  options  txt   but the result is the same_x000D_
  Looks like these bugs  it only exists in Android 11  not just me
    The log file and images videos
 latestlog txt (https:  github com PojavLauncherTeam PojavLauncher files 7036123 latestlog txt)_x000D_
    Steps To Reproduce
   markdown
Start PojavLauncher   Start game In this way
    Expected Behavior
I hope the developer team can fix it soon  I really like playing PojavLauncher
    Platform
   markdown
  Device model: IQOO z3 8 3 128G_x000D_
  CPU architecture: aarch64_x000D_
  Android version: 11_x000D_
  PojavLauncher version:  v3 3 1 1 1222 f8c124814 v3 openjdk 
    Anything else 
 No response </t>
  </si>
  <si>
    <t>Anuken-Mindustry-5847</t>
  </si>
  <si>
    <t>The game crashes when trying to edit wave settings in level editor.</t>
  </si>
  <si>
    <t xml:space="preserve">  Platform  :  Android _x000D_
_x000D_
  Build  :   Pre Alpha 130 1 _x000D_
_x000D_
  Issue  :  The game crashes when I try to change the wave settings in newly created level  _x000D_
_x000D_
  Steps to reproduce  : _x000D_
 1  Open the level editor and create a new level _x000D_
2  Open editor menu and then map information _x000D_
3  Try to edit the wave settings _x000D_
_x000D_
  Link(s) to mod(s) used  :  None _x000D_
_x000D_
  (Crash) logs  :  Crash report: (sorry  I don t know how to attach the file)_x000D_
_x000D_
Mindustry has crashed  How unfortunate _x000D_
Report this at https:  github com Anuken Mindustry issues new labels bug template bug report md_x000D_
_x000D_
Version: pre alpha build 130 1_x000D_
OS: Linux xnull (aarch64)_x000D_
Java Version: 0_x000D_
0 Mods_x000D_
_x000D_
  NoClassDefFoundError:  Failed resolution of: Ljava util Comparator  CC  _x000D_
WaveInfoDialog buildGroups: 170_x000D_
WaveInfoDialog setup: 161_x000D_
WaveInfoDialog  ExternalSyntheticLambda28 run: 2_x000D_
Dialog 5 shown: 397_x000D_
VisibilityListener handle: 11_x000D_
Element notify: 162_x000D_
Element fire: 133_x000D_
Dialog show: 468_x000D_
Dialog show: 507_x000D_
Dialog show: 502_x000D_
MapInfoDialog lambda setup 5: 70_x000D_
MapInfoDialog  r8 lambda jRkdG vbX019nLZk7AAv6rBo5RY: 0_x000D_
MapInfoDialog  ExternalSyntheticLambda10 run: 2_x000D_
Element 9 changed: 964_x000D_
ChangeListener handle: 13_x000D_
Element notify: 162_x000D_
Element fire: 133_x000D_
Button setChecked: 106_x000D_
Button 1 clicked: 92_x000D_
ClickListener touchUp: 77_x000D_
InputListener handle: 31_x000D_
Scene touchUp: 366_x000D_
InputMultiplexer touchUp: 136_x000D_
AndroidInput processEvents: 294_x000D_
AndroidGraphics onDrawFrame: 367_x000D_
GLSurfaceView GLThread guardedRun: 1577_x000D_
GLSurfaceView GLThread run: 1272_x000D_
  ClassNotFound:  Didn t find class  java util Comparator  CC  on path: DexPathList  zip file   data app   BBGVd8GKl0W HHheo1F vw   io anuke mindustry qTY7tq  FydVRDFK9S kSQ   base apk   nativeLibraryDirectories   data app   BBGVd8GKl0W HHheo1F vw   io anuke mindustry qTY7tq  FydVRDFK9S kSQ   lib arm64   data app   BBGVd8GKl0W HHheo1F vw   io anuke mindustry qTY7tq  FydVRDFK9S kSQ   base apk  lib arm64 v8a   system lib64   system ext lib64   _x000D_
BaseDexClassLoader findClass: 207_x000D_
ClassLoader loadClass: 379_x000D_
ClassLoader loadClass: 312_x000D_
WaveInfoDialog buildGroups: 170_x000D_
WaveInfoDialog setup: 161_x000D_
WaveInfoDialog  ExternalSyntheticLambda28 run: 2_x000D_
Dialog 5 shown: 397_x000D_
VisibilityListener handle: 11_x000D_
Element notify: 162_x000D_
Element fire: 133_x000D_
Dialog show: 468_x000D_
Dialog show: 507_x000D_
Dialog show: 502_x000D_
MapInfoDialog lambda setup 5: 70_x000D_
MapInfoDialog  r8 lambda jRkdG vbX019nLZk7AAv6rBo5RY: 0_x000D_
MapInfoDialog  ExternalSyntheticLambda10 run: 2_x000D_
Element 9 changed: 964_x000D_
ChangeListener handle: 13_x000D_
Element notify: 162_x000D_
Element fire: 133_x000D_
Button setChecked: 106_x000D_
Button 1 clicked: 92_x000D_
ClickListener touchUp: 77_x000D_
InputListener handle: 31_x000D_
Scene touchUp: 366_x000D_
InputMultiplexer touchUp: 136_x000D_
AndroidInput processEvents: 294_x000D_
AndroidGraphics onDrawFrame: 367_x000D_
GLSurfaceView GLThread guardedRun: 1577_x000D_
GLSurfaceView GLThread run: 1272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</si>
  <si>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TeamNewPipe-NewPipe-6963</t>
  </si>
  <si>
    <t>Consistent choppy player back</t>
  </si>
  <si>
    <t xml:space="preserve">_x000D_
when watching a videos using the inbuilt player  the video player will consistently skip  Using MPV (or any other video player) an external player means that this issue completely dissapears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any video_x000D_
2  Press on: play_x000D_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The video plays however constustently skips forward consistently causing play back to be choppy  _x000D_
_x000D_
    Expected behavior_x000D_
     Tell us what you expect to happen     _x000D_
_x000D_
There should be no skipping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streamable com ahzzc0_x000D_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OnePlus 6_x000D_
</t>
  </si>
  <si>
    <t>PojavLauncherTeam-PojavLauncher-1886</t>
  </si>
  <si>
    <t>And again, problem with Create</t>
  </si>
  <si>
    <t xml:space="preserve">    Describe the bug
after launch minecraft crashes
    The log file and images videos
 latestlog txt (https:  github com PojavLauncherTeam PojavLauncher files 7034772 latestlog txt)_x000D_
    Steps To Reproduce
   markdown
1  Start PojavLauncher_x000D_
2  Wait  before game Loads_x000D_
3  Minecraft crashes
    Expected Behavior
i expect game launch  but it not happen
    Platform
   markdown
  Device model: Honor 8X _x000D_
  CPU architecture: aarch64_x000D_
  Android version: 10_x000D_
  PojavLauncher version: v3 3 1 1 1217 8a44a9688 v3 openjdk
    Anything else 
 No response </t>
  </si>
  <si>
    <t>inaturalist-iNaturalistAndroid-1104</t>
  </si>
  <si>
    <t>SecurityException in ImageUtils.resizeImage</t>
  </si>
  <si>
    <t xml:space="preserve">https:  console firebase google com u 1 project inaturalist ios crashlytics app android:org inaturalist android issues 6765e769517ca617c21fd53a380f45d8_x000D_
_x000D_
   _x000D_
Fatal Exception: java lang SecurityException: Permission Denial: reading com android providers media MediaDocumentsProvider uri content:  com android providers media documents document image 3A129067 from pid 32432  uid 10298 requires that you obtain access using ACTION OPEN DOCUMENT or related APIs_x000D_
       at android os Parcel createException(Parcel java:2074)_x000D_
       at android os Parcel readException(Parcel java:2042)_x000D_
       at android database DatabaseUtils readExceptionFromParcel(DatabaseUtils java:188)_x000D_
       at android database DatabaseUtils readExceptionWithFileNotFoundExceptionFromParcel(DatabaseUtils java:151)_x000D_
       at android content ContentProviderProxy openTypedAssetFile(ContentProviderProxy java:705)_x000D_
       at android content ContentResolver openTypedAssetFileDescriptor(ContentResolver java:1702)_x000D_
       at android content ContentResolver openAssetFileDescriptor(ContentResolver java:1518)_x000D_
       at android content ContentResolver openInputStream(ContentResolver java:1202)_x000D_
       at org inaturalist android ImageUtils resizeImage(ImageUtils java:463)_x000D_
       at org inaturalist android ImageUtils resizeImage(ImageUtils java:359)_x000D_
       at org inaturalist android ObservationEditor createObservationPhotoForPhoto(ObservationEditor java:3419)_x000D_
       at org inaturalist android ObservationEditor access 5400(ObservationEditor java:141)_x000D_
       at org inaturalist android ObservationEditor 42 run(ObservationEditor java:3273)_x000D_
       at java lang Thread run(Thread java:919)_x000D_
   _x000D_
_x000D_
Seems like an exception we re not catching  Or maybe they somehow denied permission while they were importing </t>
  </si>
  <si>
    <t>inaturalist-iNaturalistAndroid-1103</t>
  </si>
  <si>
    <t xml:space="preserve">https:  console firebase google com u 1 project inaturalist ios crashlytics app android:org inaturalist android issues 4d779f81aff665f6e81b7f661822a4dc_x000D_
_x000D_
   _x000D_
Fatal Exception: java lang NullPointerException: Attempt to invoke virtual method  int java lang Integer intValue()  on a null object reference_x000D_
       at org inaturalist android ObservationEditor saveProjects(ObservationEditor java:2572)_x000D_
       at org inaturalist android ObservationEditor save(ObservationEditor java:2040)_x000D_
       at org inaturalist android ObservationEditor save(ObservationEditor java:2015)_x000D_
       at org inaturalist android ObservationEditor access 800(ObservationEditor java:141)_x000D_
       at org inaturalist android ObservationEditor 8 1 run(ObservationEditor java:748)_x000D_
       at org inaturalist android ObservationEditor 48 onClick(ObservationEditor java:4413)_x000D_
       at com android internal app AlertController ButtonHandler handleMessage(AlertController java:177)_x000D_
   </t>
  </si>
  <si>
    <t>ankidroid-Anki-Android-9442</t>
  </si>
  <si>
    <t>[Bug] CardTemplateEditor crash</t>
  </si>
  <si>
    <t xml:space="preserve">       Reproduction Steps_x000D_
_x000D_
The google auto testing robots crashed in CardTemplateEditor as they spam click tested the latest release _x000D_
_x000D_
Some combination of field editing then touch field add button and boom_x000D_
_x000D_
https:  youtu be 1ad0dNNI2Cs_x000D_
_x000D_
_x000D_
       Expected Result_x000D_
_x000D_
No crash ever_x000D_
_x000D_
       Actual Result_x000D_
_x000D_
   _x000D_
FATAL EXCEPTION: Thread 6_x000D_
Process: com ichi2 anki  PID: 9983_x000D_
java lang NullPointerException: Attempt to invoke direct method  void com ichi2 anki CardTemplateEditor CardTemplateFragment insertField(java lang String)  on a null object reference_x000D_
	at com ichi2 anki CardTemplateEditor CardTemplateFragment access 1300(CardTemplateEditor java:1)_x000D_
	at com ichi2 anki CardTemplateEditor lambda onCreate 0(CardTemplateEditor java:1)_x000D_
	at com ichi2 anki CardTemplateEditor f(Unknown Source:0)_x000D_
	at com ichi2 anki z1 insertField(Unknown Source:2)_x000D_
	at com ichi2 anki dialogs InsertFieldDialog selectFieldAndClose(InsertFieldDialog java:1)_x000D_
	at com ichi2 anki dialogs InsertFieldDialog access 100(InsertFieldDialog java:1)_x000D_
	at com ichi2 anki dialogs InsertFieldDialog 1 lambda onBindViewHolder 0(InsertFieldDialog java:1)_x000D_
	at com ichi2 anki dialogs InsertFieldDialog 1 a(Unknown Source:0)_x000D_
	at com ichi2 anki dialogs g1 onClick(Unknown Source:4)_x000D_
	at android view View performClick(View java:7448)_x000D_
	at android view View performClickInternal(View java:7425)_x000D_
	at android view View access 3600(View java:810)_x000D_
	at android view View PerformClick run(View java:28305)_x000D_
	at android os Handler handleCallback(Handler java:938)_x000D_
	at android os Handler dispatchMessage(Handler java:99)_x000D_
	at androidx test espresso base Interrogator loopAndInterrogate(Interrogator java:10)_x000D_
	at androidx test espresso base UiControllerImpl loopUntil(UiControllerImpl java:7)_x000D_
	at androidx test espresso base UiControllerImpl loopUntil(UiControllerImpl java:1)_x000D_
	at androidx test espresso base UiControllerImpl injectMotionEvent(UiControllerImpl java:6)_x000D_
	at androidx test espresso action MotionEvents sendUp(MotionEvents java:6)_x000D_
	at androidx test espresso action MotionEvents sendUp(MotionEvents java:1)_x000D_
	at androidx test espresso action Tap sendSingleTap(Tap java:5)_x000D_
	at androidx test espresso action Tap    Nest smsendSingleTap(Unknown Source:0)_x000D_
	at androidx test espresso action Tap 1 sendTap(Tap java:1)_x000D_
	at androidx test espresso action GeneralClickAction perform(GeneralClickAction java:4)_x000D_
	at androidx test espresso ViewInteraction SingleExecutionViewAction perform(ViewInteraction java:2)_x000D_
	at androidx test espresso ViewInteraction doPerform(ViewInteraction java:21)_x000D_
	at androidx test espresso ViewInteraction    Nest mdoPerform(Unknown Source:0)_x000D_
	at androidx test espresso ViewInteraction 1 call(ViewInteraction java:2)_x000D_
	at androidx test espresso ViewInteraction 1 call(ViewInteraction java:1)_x000D_
	at java util concurrent FutureTask run(FutureTask java:266)_x000D_
	at android os Handler handleCallback(Handler java:938)_x000D_
	at android os Handler dispatchMessage(Handler java:99)_x000D_
	at android os Looper loop(Looper java:223)_x000D_
	at android app ActivityThread main(ActivityThread java:7660)_x000D_
	at java lang reflect Method invoke(Native Method)_x000D_
	at com android internal os RuntimeInit MethodAndArgsCaller run(RuntimeInit java:592)_x000D_
	at com android internal os ZygoteInit main(ZygoteInit java:947)_x000D_
   _x000D_
_x000D_
       Debug info_x000D_
_x000D_
Last alpha build _x000D_
_x000D_
Not sure which PR did it   there needs to be a unit test that reproduces it  then you may git bisect based on that if the issue isn t obvious  but the history is full of no one but  Akshay0701 in the file recently so Akshay   you are probably most familiar  https:  github com ankidroid Anki Android commits master AnkiDroid src main java com ichi2 anki CardTemplateEditor java_x000D_
_x000D_
       Research_x000D_
 Enter an  x  character to confirm the points below: _x000D_
_x000D_
      I have read the  support page (https:  ankidroid org docs help html) and am reporting a bug or enhancement request specific to AnkiDroid_x000D_
      I have checked the  manual (https:  ankidroid org docs manual html) and the  FAQ (https:  github com ankidroid Anki Android wiki FAQ) and could not find a solution to my issue_x000D_
      I have searched for similar existing issues here and on the user forum_x000D_
      (Optional) I have confirmed the issue is not resolved in the latest alpha release ( instructions (https:  docs ankidroid org manual html betaTesting))_x000D_
_x000D_
</t>
  </si>
  <si>
    <t>mit-cml-appinventor-sources-2539</t>
  </si>
  <si>
    <t>Fix NPE in WebView using data URIs on Android 5+</t>
  </si>
  <si>
    <t>As reported  here (https:  community appinventor mit edu t data uri now crashing companion and compiled 18150 4)  data URIs cannot be used in WebViewer  The previous attempt at a fixed worked in the older emulator but does not work on newer devices because a different code path is taken (triggering a different NPE)  To address this  I swapped the order of the equality call so that it is always called on the constant  localhost  _x000D_
_x000D_
Change Id: I766797612f831cb6de388b6a2e590a84f98f5117</t>
  </si>
  <si>
    <t>Anuken-Mindustry-5838</t>
  </si>
  <si>
    <t>Crashing on launching to recently lost Fungal Pass</t>
  </si>
  <si>
    <t xml:space="preserve">  Platform  : Android_x000D_
_x000D_
  Build  : 126 2_x000D_
_x000D_
  Issue  : After a series of losing and retaking Fungal Pass  trying to launch to fungal pass causes the game to crash _x000D_
_x000D_
  Steps to reproduce  : _x000D_
Roughly as follows_x000D_
1  Launch to Fungal Pass from Windswept Islands_x000D_
2  Capture Fungal Pass_x000D_
3  Launch to 210 (left side sector)_x000D_
4  Win attacks on Fungal Pass_x000D_
5  Lose attack on Fungal Pass_x000D_
6  Launch from 210_x000D_
7  Win back Fungal Pass_x000D_
8  Lose Fungal Pass_x000D_
9  Lose 210_x000D_
10  Attempt to launch from Stained Mountains to Fungal Pass  causes crash _x000D_
11  After each crash  the resources are used _x000D_
_x000D_
  Link(s) to mod(s) used  : None _x000D_
_x000D_
  Save file  : export zip https:  drive google com drive folders 11HakQ5 Vi4nk z0jD veR HDFyobtEfE usp sharing (directly from export data)_x000D_
_x000D_
  (Crash) logs  : crashes txt in https:  drive google com drive folders 11HakQ5 Vi4nk z0jD veR HDFyobtEfE usp sharing_x000D_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</si>
  <si>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PojavLauncherTeam-PojavLauncher-1881</t>
  </si>
  <si>
    <t>[BUG] 1.17.1 crashes</t>
  </si>
  <si>
    <t xml:space="preserve">    Describe the bug
1 17 1 is crashing and saying  Game Exited  I ve given it 2000 RAM and I m running on a Samsung s20
    The log file and images videos
_x000D_
 latestlog txt (https:  github com PojavLauncherTeam PojavLauncher files 7028135 latestlog txt)_x000D_
    Steps To Reproduce
   markdown
1  Choose version 1 17_x000D_
2  Press play_x000D_
3  Black screen will appear and a message saying  Game exited  will appear_x000D_
4  No crash log
    Expected Behavior
I expected the game to launch so I can play on my server
    Platform
   markdown
  Device model: Samsung Galaxy s20_x000D_
  CPU architecture:   _x000D_
  Android version: 11_x000D_
  PojavLauncher version: Latest
    Anything else 
 No response </t>
  </si>
  <si>
    <t>hackslash-nitp-Messsy-Admin-52</t>
  </si>
  <si>
    <t>Bug in report issue image upload.</t>
  </si>
  <si>
    <t xml:space="preserve">App crashes when the user tries to upload an image </t>
  </si>
  <si>
    <t>k9mail-k-9-5600</t>
  </si>
  <si>
    <t>Crash on startup after updating to 5.804</t>
  </si>
  <si>
    <t xml:space="preserve">  Describe the bug  _x000D_
After updating to 5 804 through F Droid the app crashes on startup  Trying to downgrade to 5 803 or 5 802 via F Droid also fails (but that is probably a different issue)  _x000D_
_x000D_
  To Reproduce  _x000D_
Steps to reproduce the behavior:_x000D_
1  Install the update to 5 804 via F Droid_x000D_
2  Start the app_x000D_
_x000D_
  Expected behavior  _x000D_
App should not crash _x000D_
_x000D_
  Environment (please complete the following information):  _x000D_
   K 9 Mail version: 5 804_x000D_
   Android version: 7 0_x000D_
   Device: Lenovo K6 (k33a48)_x000D_
   Account type: IMAP_x000D_
_x000D_
  Additional context  _x000D_
Add any other context about the problem here _x000D_
_x000D_
  Logs  _x000D_
 I don t know how to enable logs as I currently can t start the app at all _x000D_
_x000D_
</t>
  </si>
  <si>
    <t>bk138-droidVNC-NG-32</t>
  </si>
  <si>
    <t>createVirtualDisplay throws SecurityException</t>
  </si>
  <si>
    <t xml:space="preserve">If you d like to put out an incentive for fixing this bug  you can do so at https:  issuehunt io r bk138 droidVNC NG_x000D_
_x000D_
  Describe the bug  _x000D_
     A clear and concise description of what the bug is     _x000D_
_x000D_
  To Reproduce  _x000D_
     Steps to reproduce the behavior:_x000D_
1  Done this _x000D_
2  Done that _x000D_
3  Done nothing  _x000D_
   _x000D_
no idea yet :  _x000D_
_x000D_
  Expected Behavior  _x000D_
     A clear and concise description of what you expected to happen     _x000D_
no crash_x000D_
_x000D_
  Logs Backtraces  _x000D_
     If applicable  add log output and or debugger backtraces to help explain your problem     _x000D_
_x000D_
  Your environment (please complete the following information):  _x000D_
   OS and version: Android 9  10 _x000D_
   VNC viewer and version:_x000D_
_x000D_
  Additional context  _x000D_
     Add any other context about the problem here     _x000D_
   _x000D_
java lang SecurityException: _x000D_
  at android os Parcel createException (Parcel java:1966)_x000D_
  at android os Parcel readException (Parcel java:1934)_x000D_
  at android os Parcel readException (Parcel java:1884)_x000D_
  at android hardware display IDisplayManager Stub Proxy createVirtualDisplay (IDisplayManager java:1106)_x000D_
  at android hardware display DisplayManagerGlobal createVirtualDisplay (DisplayManagerGlobal java:502)_x000D_
  at android hardware display DisplayManager createVirtualDisplay (DisplayManager java:1267)_x000D_
  at android media projection MediaProjection createVirtualDisplay (MediaProjection java:149)_x000D_
  at net christianbeier droidvnc ng MainService startScreenCapture (MainService java:377)_x000D_
  at net christianbeier droidvnc ng MainService onConfigurationChanged (MainService java:196)_x000D_
  at android app ActivityThread performConfigurationChanged (ActivityThread java:5220)_x000D_
  at android app ActivityThread handleConfigurationChanged (ActivityThread java:5456)_x000D_
  at android app ActivityThread handleConfigurationChanged (ActivityThread java:5370)_x000D_
  at android app servertransaction ConfigurationChangeItem execute (ConfigurationChangeItem java:42)_x000D_
  at android app servertransaction TransactionExecutor executeCallbacks (TransactionExecutor java:108)_x000D_
  at android app servertransaction TransactionExecutor execute (TransactionExecutor java:68)_x000D_
  at android app ActivityThread H handleMessage (ActivityThread java:1950)_x000D_
  at android os Handler dispatchMessage (Handler java:106)_x000D_
  at android os Looper loop (Looper java:214)_x000D_
  at android app ActivityThread main (ActivityThread java:7073)_x000D_
  at java lang reflect Method invoke (Native Method)_x000D_
  at com android internal os RuntimeInit MethodAndArgsCaller run (RuntimeInit java:494)_x000D_
  at com android internal os ZygoteInit main (ZygoteInit java:965)_x000D_
Caused by: android os RemoteException: _x000D_
  at com android server display DisplayManagerService BinderService createVirtualDisplay (DisplayManagerService java:2932)_x000D_
  at android hardware display IDisplayManager Stub onTransact (IDisplayManager java:209)_x000D_
  at android os Binder execTransact (Binder java:739)_x000D_
     _x000D_
</t>
  </si>
  <si>
    <t>Anuken-Mindustry-5833</t>
  </si>
  <si>
    <t>Microprocessors, Draw image, rotation param.</t>
  </si>
  <si>
    <t xml:space="preserve">  Platform  :  Windows 64bit _x000D_
_x000D_
  Build  :  126 2 _x000D_
_x000D_
  Issue  : Rotation param in Draw image command is unsigned 1 byte (probably)  so it takes values in  0 255   But roatation should be in  0  360   Or in  0  360) but it s not so important _x000D_
_x000D_
  Steps to reproduce  : Set small display (display1) and controller  Program:_x000D_
Draw: clear  0  0  0_x000D_
Operation: angle   angle   1 (just for demo  for test I set angle manually: 0  255 and 256)_x000D_
Draw: image  40  40   copper  40  angle_x000D_
Draw flush: display1_x000D_
_x000D_
  Link(s) to mod(s) used  : no mods_x000D_
_x000D_
  Save file  : rotation bug zip_x000D_
 rotation bug zip (https:  github com Anuken Mindustry files 7026763 rotation bug zip)_x000D_
_x000D_
  (Crash) logs  :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 image rotation  search string )</t>
  </si>
  <si>
    <t>Anuken-Mindustry-5831</t>
  </si>
  <si>
    <t xml:space="preserve">Logic image rotation errors </t>
  </si>
  <si>
    <t xml:space="preserve">  Platform  :  Android iOS Mac Windows Linux _x000D_
Android _x000D_
  Build  :  The build number under the title in the main menu  Required   LATEST  IS NOT A VERSION  I NEED THE EXACT BUILD NUMBER OF YOUR GAME  _x000D_
126 2   21730_x000D_
  Issue  :  Explain your issue in detail  _x000D_
126 2: When steadily rotating a sprite using logic  you can see  that it spins perfectly OK until 270   where it clicks vertical and continues from there  When 360  is reached and the sprite is now at 90  because of the previous click  it jumps back to the top and starts the process all over again  _x000D_
21730: jumps back 180   visually  every 1 5 rotations _x000D_
  Steps to reproduce  :  How you happened across the issue  and what exactly you did to make the bug happen  _x000D_
_x000D_
  Link(s) to mod(s) used  :  The mod repositories or zip files that are related to the issue  if applicable  _x000D_
None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</si>
  <si>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oliexdev-openScale-768</t>
  </si>
  <si>
    <t xml:space="preserve">Today after starting OpenScale from the reminder notification  as I do almost every day  the app crashed after briefly flashing the UI   After the error I restarted the app and everything worked as expected 
I have not been able to reproduce the issue   As far as I know nothing has changed on my device   I ve used OpenScale for a long time  including a month on the current OS version  and never had a problem until now 
I hope this stack trace is useful   I realize that it s not a lot to go on 
Build version: 2 3 5 
Build date: 1981 01 01 01:01:02 
Current date: 2021 08 21 13:07:44 
Device: Google Pixel 4a 
OS version: Android 12 (SDK 31)  (beta 3 1)
Stack trace:  
java lang NullPointerException: no valid characteristic provided
	at java util Objects requireNonNull(Objects java:245)
	at com welie blessed BluetoothPeripheral writeCharacteristic(BluetoothPeripheral java:1182)
	at com health openscale core bluetooth BluetoothCommunication writeBytes(BluetoothCommunication java:200)
	at com health openscale core bluetooth BluetoothCommunication writeBytes(BluetoothCommunication java:188)
	at com health openscale core bluetooth BluetoothQNScale onNextStep(BluetoothQNScale java:111)
	at com health openscale core bluetooth BluetoothCommunication nextMachineStep(BluetoothCommunication java:460)
	at com health openscale core bluetooth BluetoothCommunication nextMachineStep(BluetoothCommunication java:462)
	at com health openscale core bluetooth BluetoothCommunication nextMachineStep(BluetoothCommunication java:462)
	at com health openscale core bluetooth BluetoothCommunication access 000(BluetoothCommunication java:46)
	at com health openscale core bluetooth BluetoothCommunication 2 onConnectedPeripheral(BluetoothCommunication java:370)
	at com welie blessed BluetoothCentral 4 1 run(BluetoothCentral java:250)
	at android os Handler handleCallback(Handler java:938)
	at android os Handler dispatchMessage(Handler java:99)
	at android os Looper loopOnce(Looper java:201)
	at android os Looper loop(Looper java:288)
	at android app ActivityThread main(ActivityThread java:7829)
	at java lang reflect Method invoke(Native Method)
	at com android internal os RuntimeInit MethodAndArgsCaller run(RuntimeInit java:548)
	at com android internal os ZygoteInit main(ZygoteInit java:982)
</t>
  </si>
  <si>
    <t>Anuken-Mindustry-5826</t>
  </si>
  <si>
    <t xml:space="preserve">Agries/flying units overlay issues </t>
  </si>
  <si>
    <t xml:space="preserve">  Platform  :  Android iOS Mac Windows Linux _x000D_
_x000D_
Mac_x000D_
_x000D_
  Build  :  The build number under the title in the main menu  Required   LATEST  IS NOT A VERSION  I NEED THE EXACT BUILD NUMBER OF YOUR GAME  _x000D_
_x000D_
Pre alpha: 130_x000D_
_x000D_
  Issue  :  Explain your issue in detail  _x000D_
_x000D_
Simple overlay issues between flying units and agries with the agries reactor  please note that even though other units are not contained in the bug file  this does apply to other flying units  _x000D_
_x000D_
  Steps to reproduce  :  How you happened across the issue  and what exactly you did to make the bug happen  _x000D_
_x000D_
I flew an eclipse over an agries  then tested with other flying units_x000D_
 img width  981  alt  Screen Shot 2021 08 21 at 1 19 01 PM  src  https:  user images githubusercontent com 82851415 130330329 c9b99e76 ddbd 43b6 89ed 23a8c3774523 png  _x000D_
_x000D_
_x000D_
  Link(s) to mod(s) used  :  The mod repositories or zip files that are related to the issue  if applicable  _x000D_
_x000D_
No mods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_x000D_
 bug msav zip (https:  github com Anuken Mindustry files 7025923 bug msav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</si>
  <si>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k9mail-k-9-5595</t>
  </si>
  <si>
    <t>Crash when cutting text from To field</t>
  </si>
  <si>
    <t xml:space="preserve">  Describe the bug  _x000D_
Crash when cutting text from To field in new message screen _x000D_
_x000D_
  To Reproduce  _x000D_
Steps to reproduce the behavior:_x000D_
1  Create new email_x000D_
2  Type  abc  in To field_x000D_
3  Select the text you just input and long press to bring up the edit menu_x000D_
4  Select cut_x000D_
5  App crash_x000D_
_x000D_
  Expected behavior  _x000D_
Should not crash _x000D_
_x000D_
_x000D_
  Environment (please complete the following information):  _x000D_
   K 9 Mail version: 5 804_x000D_
   Android version: 9_x000D_
   Device: FxTec Pro1_x000D_
   Account type: IMAP_x000D_
_x000D_
  Additional context  _x000D_
Does not crash if doing cut using keyboard shortcut rather than touch input_x000D_
_x000D_
  Logs  _x000D_
Please take some time to  retrieve logs (https:  github com k9mail k 9 wiki LoggingErrors) and attach them here:</t>
  </si>
  <si>
    <t>PojavLauncherTeam-PojavLauncher-1875</t>
  </si>
  <si>
    <t>vk : Failed to CreateGraphicsPipeline</t>
  </si>
  <si>
    <t xml:space="preserve">    Describe the bug
I try to load the shader with Zink  but every time the program crashes  the log prints a Failed to CreateGraphicsPipeline _x000D_
_x000D_
But actually I want to know how pojav can make zink output image to pojav s window _x000D_
Still using the EGL bridge 
    The log file and images videos
 No response 
    Steps To Reproduce
   markdown
Start MC1 12 2 with pojav and zink  and compile the shader with OptiFine F5 
    Expected Behavior
I want it to load some simple shaders 
    Platform
   markdown
  Device model: LG v35_x000D_
  CPU architecture: aarch64_x000D_
  Android version: 9_x000D_
  PojavLauncher version: (zink newest)
    Anything else 
 No response </t>
  </si>
  <si>
    <t>TeamNewPipe-NewPipe-6951</t>
  </si>
  <si>
    <t>Long titles in Settings don't wrap to the next line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</si>
  <si>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I know that this issue was already raised ( 6601)  but it was closed due to ignored template _x000D_
_x000D_
    Steps to reproduce the bug_x000D_
_x000D_
1  Open the app _x000D_
2  Go to Settings _x000D_
3  Tap  Video and Audio  section _x000D_
4  Scroll down to the end of the page _x000D_
_x000D_
_x000D_
     If you can t cause the bug to show up again reliably (and hence don t have a proper set of steps to give us)  please still try to give as many details as possible on how you think you encountered the bug     _x000D_
_x000D_
_x000D_
    Actual behavior_x000D_
     Tell us what happens with the steps given above     _x000D_
_x000D_
Long titles in Settings are not wrapped to the next line  I have to rotate the device to horizontal mode to see them whole _x000D_
_x000D_
    Expected behavior_x000D_
     Tell us what you expect to happen     _x000D_
_x000D_
Long titles should be wrapped to the next line to be fully visible in vertical view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image (https:  user images githubusercontent com 85929121 130314053 a75e7a91 5eae 49db b6b8 79d635efb7fb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N A_x000D_
_x000D_
     Please fill this out when you do not provide a log generate by NewPipe    _x000D_
_x000D_
    Device info_x000D_
_x000D_
   Android version Custom ROM version: Android 11_x000D_
   Device model: OnePlus 9 Pro_x000D_
</t>
  </si>
  <si>
    <t>cgeo-cgeo-11504</t>
  </si>
  <si>
    <t>Crash of c:geo [java.lang.ArrayIndexOutOfBoundsException]</t>
  </si>
  <si>
    <t xml:space="preserve">    Describe your problem 
For some reason  I am not sure of  c:geo version: 2021 08 15 crashes and restarted_x000D_
_x000D_
In the logs I see an exception for this time_x000D_
_x000D_
08 20 23:58:42 539 21345 21345 E AndroidRuntime: FATAL EXCEPTION: main_x000D_
08 20 23:58:42 539 21345 21345 E AndroidRuntime: Process: cgeo geocaching  PID: 21345_x000D_
08 20 23:58:42 539 21345 21345 E AndroidRuntime: java lang ArrayIndexOutOfBoundsException: length 638  index 638_x000D_
08 20 23:58:42 539 21345 21345 E AndroidRuntime: 	at java util concurrent CopyOnWriteArrayList get(CopyOnWriteArrayList java:380)_x000D_
08 20 23:58:42 539 21345 21345 E AndroidRuntime: 	at java util concurrent CopyOnWriteArrayList get(CopyOnWriteArrayList java:393)_x000D_
08 20 23:58:42 539 21345 21345 E AndroidRuntime: 	at org mapsforge map layer Layers get(Layers java:336)_x000D_
08 20 23:58:42 539 21345 21345 E AndroidRuntime: 	at org mapsforge map android input TouchGestureHandler onSingleTapConfirmed(TouchGestureHandler java:263)_x000D_
08 20 23:58:42 539 21345 21345 E AndroidRuntime: 	at android view GestureDetector GestureHandler handleMessage(GestureDetector java:354)_x000D_
08 20 23:58:42 539 21345 21345 E AndroidRuntime: 	at android os Handler dispatchMessage(Handler java:106)_x000D_
08 20 23:58:42 539 21345 21345 E AndroidRuntime: 	at android os Looper loop(Looper java:246)_x000D_
_x000D_
_x000D_
    How to reproduce 
No idea at the moment
    Actual result after these steps 
 No response 
    Expected result after these steps 
 No response 
    Reproducible
No
    c:geo Version
2021 08 15
    System information
   text
   System information_x000D_
_x000D_
c:geo version: 2021 08 15_x000D_
_x000D_
Device:_x000D_
       _x000D_
  Device type: SM A705FN (a70qeea  samsung)_x000D_
  Available processors: 8_x000D_
  Android version: 11_x000D_
  Android build: RP1A 200720 012 A705FNXXU5DUE2_x000D_
  Screen resolution: 1080x2198px (411x837dp)_x000D_
  Sailfish OS detected: false_x000D_
  Google Play services: disabled   21 26 21 (150400 387928701)_x000D_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orientation_x000D_
_x000D_
Program settings:_x000D_
       _x000D_
  Settings: v8  Count:202_x000D_
  Set language: de AT (system default)_x000D_
  System date format: dd MM yy_x000D_
  Time zone: GMT 02:00_x000D_
  Debug mode active: no_x000D_
  Last backup: 2  Apr   18:50_x000D_
  Routing mode: Walk_x000D_
  Live map mode: false_x000D_
  OSM multi threading: false   threads: 1_x000D_
  Map: Aut  (FZK) (Offline)_x000D_
    Id: cgeo geocaching maps mapsforge MapsforgeMapProvider OfflineMapSource:0000 0000:OfflineMaps Aut  (FZK) map_x000D_
    Atts: (c) Map: FZK project (free for private use)  Map data: OpenStreetMap contributors  Contour data: U S  Geological Survey and J  de Ferranti_x000D_
    Theme: freizeitkarte v5 zip:freizeitkarte v5 freizeitkarte v5 xml_x000D_
_x000D_
Filters:_x000D_
       _x000D_
  Hide waypoints: original visited_x000D_
  LIVE: Aktiv und Liste und Gespeichert und Typ eingeblendet  ( Aktiv und Liste und Gespeichert und Typ eingeblendet :inconclusive false:advanced true AND(type stored since: :  status:found no:exclude archived stored list))_x000D_
  OFFLINE: Aktiv und Liste und Gespeichert und Typ eingeblendet  ( Aktiv und Liste und Gespeichert und Typ eingeblendet :inconclusive false:advanced true AND(type stored since: :  status stored list))_x000D_
_x000D_
Services:_x000D_
       _x000D_
  Geocaching sites enabled:_x000D_
   geocaching com: Logged in (Anmeldung OK)   PREMIUM_x000D_
   Geocaching com Adventure Lab_x000D_
  Geocaching com date format: dd MM yyyy_x000D_
  Routing: external   BRouter installed: false_x000D_
  Installed c:geo plugins:  none_x000D_
_x000D_
Permissions   paths:_x000D_
       _x000D_
  Fine location permission: granted_x000D_
  Write external storage permission: granted_x000D_
  System internal c:geo dir:  data user 0 cgeo geocaching (54 7 GB free) v2 internal isDir(12 entries)_x000D_
  Legacy User storage c:geo dir:  storage emulated 0 cgeo (54 6 GB free) v2 external non removable isDir(7 entries)_x000D_
  Geocache data:  storage 0000 0000 Android data cgeo geocaching files GeocacheData (1 1 GB free) v2 external removable isDir(26484 entries)_x000D_
  Internal theme sync (is turned ON):  data user 0 cgeo geocaching MapThemeData (54 7 GB free) v2 internal isDir(16 entries)_x000D_
  Public Folders:  11_x000D_
    BASE:  cgeo (User Defined)  cgeo DOCUMENT 0:p content:  com android externalstorage documents tree primary 3Acgeo::   (Uri: content:  com android externalstorage documents tree primary 3Acgeo document primary 3Acgeo  Av:true  files:  18  dirs:  8  totalFileSize:  592 4 MB  free space: 54 6 GB  files on device: 3645440)_x000D_
    OFFLINE MAPS: SD Karte OfflineMaps (User Defined) SD Karte OfflineMaps DOCUMENT 0:p content:  com android externalstorage documents tree 0000 0000 3AOfflineMaps::   (Uri: content:  com android externalstorage documents tree 0000 0000 3AOfflineMaps document 0000 0000 3AOfflineMaps  Av:true  files:16  dirs:1  totalFileSize:4 3 GB  free space: 1 1 GB  files on device: 0)_x000D_
    OFFLINE MAP THEMES: SD Karte OfflineThemes (User Defined) SD Karte OfflineThemes DOCUMENT 0:p content:  com android externalstorage documents tree 0000 0000 3AOfflineThemes::   (Uri: content:  com android externalstorage documents tree 0000 0000 3AOfflineThemes document 0000 0000 3AOfflineThemes  Av:true  files:804  dirs:3  totalFileSize:4 8 MB  free space: 1 1 GB  files on device: 0)_x000D_
    LOGFILES:  cgeo logfiles (Default)  cgeo logfiles PERSISTABLE FOLDER(BASE) 1:p content:  com android externalstorage documents tree primary 3Acgeo:: logfiles   (Uri: content:  com android externalstorage documents tree primary 3Acgeo document primary 3Acgeo 2Flogfiles  Av:true  files:10  dirs:0  totalFileSize:6 2 MB  free space: 54 6 GB  files on device: 3645440)_x000D_
    GPX: SD Karte OfflineThemes (User Defined) SD Karte OfflineThemes DOCUMENT 0:p content:  com android externalstorage documents tree 0000 0000 3AOfflineThemes::   (Uri: content:  com android externalstorage documents tree 0000 0000 3AOfflineThemes document 0000 0000 3AOfflineThemes  Av:true  files:804  dirs:3  totalFileSize:4 8 MB  free space: 1 1 GB  files on device: 0)_x000D_
    BACKUP:  cgeo backup (Default)  cgeo backup PERSISTABLE FOLDER(BASE) 1:p content:  com android externalstorage documents tree primary 3Acgeo:: backup   (Uri: content:  com android externalstorage documents tree primary 3Acgeo document primary 3Acgeo 2Fbackup  Av:true  files:2  dirs:1  totalFileSize:585 6 MB  free space: 54 6 GB  files on device: 3645440)_x000D_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files:275  dirs:0  totalFileSize:203 4 KB  free space: 54 6 GB  files on device: 3645440)_x000D_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54 6 GB  files on device: 3645440)_x000D_
    ROUTING BASE:  cgeo routing (Default)  cgeo routing PERSISTABLE FOLDER(BASE) 1:p content:  com android externalstorage documents tree primary 3Acgeo:: routing   (Uri: content:  com android externalstorage documents tree primary 3Acgeo document primary 3Acgeo 2Frouting  Av:true  files:7  dirs:1  totalFileSize:81 2 KB  free space: 54 6 GB  files on device: 3645440)_x000D_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files:0  dirs:0  totalFileSize:0 B  free space: 54 6 GB  files on device: 3645440)_x000D_
    TEST FOLDER:  Legacy  data user 0 cgeo geocaching files unittest (Default)  data user 0 cgeo geocaching files unittest FILE 1:p file:   data user 0 cgeo geocaching files:: unittest   (Uri: file:   data user 0 cgeo geocaching files unittest  Av:true  files:0  dirs:0  totalFileSize:0 B  free space: 54 7 GB  files on device:  1)_x000D_
  Map render theme path: freizeitkarte v5 zip:freizeitkarte v5 freizeitkarte v5 xml_x000D_
  PersistedDocumentUris:  1_x000D_
  TRACK: null_x000D_
  Persisted Uri Permissions:  3_x000D_
    content:  com android externalstorage documents tree 0000 0000 3AOfflineThemes (31  M rz  13:28):RW_x000D_
    content:  com android externalstorage documents tree 0000 0000 3AOfflineMaps (31  M rz  13:27):RW_x000D_
    content:  com android externalstorage documents tree primary 3Acgeo (31  M rz  13:27):RW_x000D_
  Database:  storage emulated 0 Android data cgeo geocaching files databases data (v96  Size:848 2 MB) on user storage_x000D_
_x000D_
    End of system information    
    Additional Information
 logcat 2021 08 20 23 59 25 2 txt (https:  github com cgeo cgeo files 7024955 logcat 2021 08 20 23 59 25 2 txt)_x000D_
</t>
  </si>
  <si>
    <t>Anuken-Mindustry-5821</t>
  </si>
  <si>
    <t>Closing issues on Steam</t>
  </si>
  <si>
    <t xml:space="preserve">  Platform  : Windows Steam_x000D_
_x000D_
  Build  : 126 3 130_x000D_
_x000D_
  Issue  :_x000D_
Everytime i try to close the game on Steam  is it because of a mod restart or i press quit or whatever  steam doesnt recognize the game being closed  and its nowhere in task manager  so i have to restart steam everytime i want to reload mods or just quit and come back to play later_x000D_
_x000D_
  Steps to reproduce  :_x000D_
Open the game on Steam  Usually it happens after i change something with mods  so try downloading or disabling enabling a mod and restarting the game  After that  Steam thinks the game is still running and i have to restart_x000D_
_x000D_
  Link(s) to mod(s) used  : (also happens without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</si>
  <si>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LawnchairLauncher-lawnchair-2211</t>
  </si>
  <si>
    <t>App drawer right "cursor" can't reach the bottom of the screen if there are hidden apps.</t>
  </si>
  <si>
    <t>Minor bug  no crashes _x000D_
This is easily reproducible  if someone hides apps in the drawer the cursor will stop before reaching the end bottom of the screen _x000D_
The cursor can still be dragged down manually but after going up again it won t go down unless dragged again _x000D_
I can upload a video to Drive to show how to reproduce the bug if needed _x000D_
_x000D_
OnePlus 6 rooted with QuickSwitch_x000D_
ShapeShift OS 2 7 (Android 11)_x000D_
V11 Alpha 6</t>
  </si>
  <si>
    <t>LawnchairLauncher-lawnchair-2210</t>
  </si>
  <si>
    <t>Crash when long pressing an icon after placing a widget in homescreen from an external app</t>
  </si>
  <si>
    <t xml:space="preserve">https:  catbin up railway app ofoguguxow_x000D_
_x000D_
OnePlus 6 rooted with QuickSwitch_x000D_
ShapeShift OS 2 7 (Android 11)_x000D_
V11 Alpha 6_x000D_
_x000D_
It s a really rare crash for me but I reported it in case it could create problems in other scenarios too _x000D_
I reproduced it by long pressing an icon after selecting a widget from an  external  app  in my case it was Overdrop (weather app) but I think it is reproducible with KWGT too  _x000D_
I can upload a video to Drive to show how to reproduce the bug if needed </t>
  </si>
  <si>
    <t>Anuken-Mindustry-5818</t>
  </si>
  <si>
    <t>Mod browser bug (Probably)</t>
  </si>
  <si>
    <t xml:space="preserve">  Platform  :  Android iOS Mac Windows Linux 
Windows  Android 
  Build  :  The build number under the title in the main menu  Required   LATEST  IS NOT A VERSION  I NEED THE EXACT BUILD NUMBER OF YOUR GAME  
130  129 1  
  Issue  :  Explain your issue in detail  
Wrong search for my modification in the mod browser Correcting the repository  the problem could be in the old name   I changed the name to a new one  but my mod identifies it by the keyword  sil  (it should be  music )
important:  I am not a programmer  
  Steps to reproduce  :  How you happened across the issue  and what exactly you did to make the bug happen  
Created my own modification XD
  Link(s) to mod(s) used  :  The mod repositories or zip files that are related to the issue  if applicable  
  Screenshot 20210820 200214 io anuke mindustry jpg (https:  user images githubusercontent com 80191234 130269778 88c823a3 4c1b 4668 a81b 3278bdbce934 jpg)
  Screenshot 20210820 200203 io anuke mindustry jpg (https:  user images githubusercontent com 80191234 130269812 f17ee324 2a1a 4770 8976 62a09b9df04e jpg)
https:  github com King Silicon mindustryremix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The bug does not depend on the save file  
I Reinstalled the game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No  it is a bug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</si>
  <si>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NordicSemiconductor-Android-nRF-Mesh-Library-447</t>
  </si>
  <si>
    <t>java.lang.NullPointerException: Attempt to invoke interface method 'void no.nordicsemi.android.mesh.InternalTransportCallbacks.onMeshPduCreated(int, byte[])' on a null object reference</t>
  </si>
  <si>
    <t xml:space="preserve">   _x000D_
_x000D_
  Describe the bug  _x000D_
Exception may thrown if Invoke  MeshManagerApi createMeshPdu  too often  _x000D_
_x000D_
  To Reproduce  _x000D_
Invoke  MeshManagerApi createMeshPdu  method with high frequency  ( User send  VendorModelMessageAcked  via trigger UI  the interval around 1 seconds   )_x000D_
_x000D_
  Expected behavior  _x000D_
Let app client catch the exception to avoid app crash _x000D_
_x000D_
  Platform details:  _x000D_
   Device: Samsung Galaxy S7_x000D_
   OS: 8 0 0_x000D_
   Library Version: v3 1 6_x000D_
_x000D_
  Logs   Screenshots  _x000D_
   _x000D_
Fatal Exception: java lang NullPointerException: Attempt to invoke interface method  void no nordicsemi android mesh InternalTransportCallbacks onMeshPduCreated(int  byte  )  on a null object reference_x000D_
       at no nordicsemi android mesh transport MeshMessageState sendSegmentAcknowledgementMessage(MeshMessageState java:59)_x000D_
       at no nordicsemi android mesh transport LowerTransportLayer sendBlockAck(LowerTransportLayer java:115)_x000D_
       at no nordicsemi android mesh transport LowerTransportLayer lambda initSegmentedAccessAcknowledgementTimer 0(LowerTransportLayer java:7)_x000D_
       at no nordicsemi android mesh transport LowerTransportLayer  r8 lambda qTByC7sBLyiT YEVpMUYnkrHITk(LowerTransportLayer java)_x000D_
       at no nordicsemi android mesh transport LowerTransportLayer  InternalSyntheticLambda 0 40fa1d885b2ecaa88363e7d5e92ea6befb4732f4aefe7a7290462273435dc7a2 0 run(LowerTransportLayer java:12)_x000D_
       at android os Handler handleCallback(Handler java:789)_x000D_
       at android os Handler dispatchMessage(Handler java:98)_x000D_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_x000D_
</t>
  </si>
  <si>
    <t>muxinc-mux-stats-sdk-exoplayer-144</t>
  </si>
  <si>
    <t>Removed VideoComponent listener and now capturing firstFrameRendered …</t>
  </si>
  <si>
    <t xml:space="preserve">Tim Bobker  reported the crash related to VideoComponent listener  This is a fix </t>
  </si>
  <si>
    <t>Blankj-AndroidUtilCode-1536</t>
  </si>
  <si>
    <t>ThreadUtils内存泄露</t>
  </si>
  <si>
    <t xml:space="preserve">      Bug_x000D_
_x000D_
  ThreadUtils executeAtFixedRate               task cancel    timerTask  cancel _x000D_
_x000D_
  AndroidUtilCode             utilcode:1 16 3   utilcodex:1 16 3                     _x000D_
     Bug        Honor 20_x000D_
      Android     API 30 _x000D_
_x000D_
       _x000D_
_x000D_
       _x000D_
   java_x000D_
CrashUtils init() _x000D_
   _x000D_
   _x000D_
   _x000D_
ThreadUtils executeByCachedAtFixRate(task  1  1  TimeUnit SECONDS) _x000D_
ThreadUtils cancel(task) 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_x000D_
_x000D_
                    _x000D_
  9fb3e212950aabc329c5b426d572830 (https:  user images githubusercontent com 37507408 130178553 ba5de704 d0f4 4e1a a056 17b11ca06cf3 jpg)_x000D_
_x000D_
</t>
  </si>
  <si>
    <t>Anuken-Mindustry-5812</t>
  </si>
  <si>
    <t>Cant fix controls after importing data</t>
  </si>
  <si>
    <t xml:space="preserve">  Platform  :  iOS _x000D_
_x000D_
  Build  :  pre alpha 130 _x000D_
_x000D_
  Issue  :  No keyboard   mouse controls toggle _x000D_
  image (https:  user images githubusercontent com 78397254 130147453 de71b0d5 13a4 4384 a757 b07db4aabe65 png)_x000D_
  Steps to reproduce  :   Exported data from my PC  Then imported that data to my Iphone _x000D_
Everything loaded fine  except now my controls are all for keyboard and mouse  and there is no toggle in settings like there used to be for keyboard and mouse controls  _x000D_
_x000D_
  Link(s) to mod(s) used  :  None _x000D_
_x000D_
  Save file  :  no save file as this is a bug with the menu _x000D_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</si>
  <si>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PojavLauncherTeam-PojavLauncher-1868</t>
  </si>
  <si>
    <t>[BUG] Unable to start 1.13+Snapshots</t>
  </si>
  <si>
    <t xml:space="preserve">    Describe the bug_x000D_
_x000D_
Crashes when i select snapshot maybe its something to do of no such method_x000D_
_x000D_
    The log file and images videos_x000D_
_x000D_
          beggining with launcher debug_x000D_
Info: Launcher version: v3 3 1 1 1139 847cc1e3e v3 openjdk_x000D_
Info: LWJGL3 directory:  jsr305 jar  lwjgl glfw classes jar  lwjgl jemalloc jar  lwjgl openal jar  lwjgl opengl jar  lwjgl stb jar  lwjgl tinyfd jar  lwjgl jar  version _x000D_
Architecture: arm aarch32_x000D_
Info: Custom Java arguments:   _x000D_
Info: Selected Minecraft version: 17w43a_x000D_
          beginning of main_x000D_
Initialising gl4es_x000D_
v1 1 5 built on Aug  5 2021 06:08:59_x000D_
Using GLES 2 0 backend_x000D_
loaded: libGLESv2 so_x000D_
loaded: libEGL so_x000D_
Using GLES 2 0 backend_x000D_
Hardware Full NPOT detected and used_x000D_
Extension GL EXT blend minmax  detected and used_x000D_
Extension GL EXT draw buffers  detected and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mapbuffer  detected_x000D_
Extension GL OES element index uint  detected and used_x000D_
Extension GL OES packed depth stencil  detected and used_x000D_
Extension GL OES depth24  detected and used_x000D_
Extension GL OES rgb8 rgba8  detected and used_x000D_
Extension GL EXT multi draw arrays  detected_x000D_
Extension GL EXT texture format BGRA8888  detected and used_x000D_
Extension GL OES depth texture  detected and used_x000D_
Extension GL OES texture stencil8  detected and used_x000D_
Extension GL EXT texture rg  detected and used_x000D_
Extension GL OES texture float  detected and used_x000D_
Extension GL OES texture half float  detected and used_x000D_
Extension GL EXT color buffer float  detected and used_x000D_
Extension GL EXT color buffer half float  detected and used_x000D_
Extension GL OES fragment precision high  detected and used_x000D_
Extension GL EXT shader texture lod detected and used_x000D_
Max vertex attrib: 16_x000D_
Extension GL OES standard derivatives  detected and used_x000D_
Max texture size: 4096_x000D_
Max Varying Vector: 15_x000D_
Texture Units: 16 16 (hardware: 16)  Max lights: 8  Max planes: 6_x000D_
Max Color Attachments: 8   Draw buffers: 8_x000D_
Hardware vendor is Imagination Technologies_x000D_
GLSL 300 es supported_x000D_
GLSL 310 es supported and used_x000D_
sRGB surface supported_x000D_
EGLImage to Texture2D supported_x000D_
EGLImage to RenderBuffer supported_x000D_
Targeting OpenGL 2 1_x000D_
NPOT texture handled in hardware_x000D_
Not trying to batch small subsequent glDrawXXXX_x000D_
try to use VBO_x000D_
FBO workaround for using binded texture enabled_x000D_
Force texture for Attachment color0 on FBO_x000D_
Hack to trigger a SwapBuffers when a Full Framebuffer Blit on default FBO is done_x000D_
glX Will try to recycle EGL Surface_x000D_
Current folder is: _x000D_
Added custom env: TMPDIR  data user 0 net kdt pojavlaunch debug cache_x000D_
Added custom env: AWTSTUB WIDTH 592_x000D_
Added custom env: REGAL GL VERSION 4 5_x000D_
Added custom env: REGAL GL VENDOR Android_x000D_
I jrelog  ( 2009): dlopen libgl4es 115 so success_x000D_
Added custom env: LIBGL MIPMAP 3_x000D_
Added custom env: allow higher compat version true_x000D_
Added custom env: MESA GLSL CACHE DIR  data user 0 net kdt pojavlaunch debug cache_x000D_
Added custom env: HOME  storage emulated 0 games PojavLauncher  minecraft_x000D_
Added custom env: PATH  data data net kdt pojavlaunch debug runtimes jre8 arm 20210801 release tar xz bin: sbin: system sbin: product bin: apex com android runtime bin: system bin: system xbin: odm bin: vendor bin: vendor xbin_x000D_
Added custom env: force glsl extensions warn true_x000D_
Added custom env: LIBGL NORMALIZE 1_x000D_
Added custom env: LD LIBRARY PATH  data data net kdt pojavlaunch debug runtimes jre8 arm 20210801 release tar xz lib aarch32 jli: data data net kdt pojavlaunch debug runtimes jre8 arm 20210801 release tar xz lib aarch32: system lib: vendor lib: vendor lib hw: data app net kdt pojavlaunch debug Nuf0qMnafSFRBk9uAMaxhQ   lib arm_x000D_
Added custom env: POJAV RENDERER opengles3_x000D_
Added custom env: LIBGL ES 3_x000D_
Added custom env: MESA LOADER DRIVER OVERRIDE zink_x000D_
Added custom env: MESA GLSL VERSION OVERRIDE 460_x000D_
Added custom env: JAVA HOME  data data net kdt pojavlaunch debug runtimes jre8 arm 20210801 release tar xz_x000D_
Added custom env: MESA GL VERSION OVERRIDE 4 6_x000D_
Added custom env: allow glsl extension directive midshader true_x000D_
Added custom env: REGAL GL RENDERER Regal_x000D_
Added custom env: AWTSTUB HEIGHT 288_x000D_
I jrelog  ( 2009): dlopen  data data net kdt pojavlaunch debug runtimes jre8 arm 20210801 release tar xz lib aarch32 jli libjli so success_x000D_
I jrelog  ( 2009): dlopen libjvm so failed: dlopen failed: library  libjvm so  not found_x000D_
I jrelog  ( 2009): dlopen  data data net kdt pojavlaunch debug runtimes jre8 arm 20210801 release tar xz lib aarch32 client libjvm so success_x000D_
I jrelog  ( 2009): dlopen  data data net kdt pojavlaunch debug runtimes jre8 arm 20210801 release tar xz lib aarch32 libverify so success_x000D_
I jrelog  ( 2009): dlopen  data data net kdt pojavlaunch debug runtimes jre8 arm 20210801 release tar xz lib aarch32 libjava so success_x000D_
I jrelog  ( 2009): dlopen  data data net kdt pojavlaunch debug runtimes jre8 arm 20210801 release tar xz lib aarch32 libnet so success_x000D_
I jrelog  ( 2009): dlopen  data data net kdt pojavlaunch debug runtimes jre8 arm 20210801 release tar xz lib aarch32 libnio so success_x000D_
I jrelog  ( 2009): dlopen  data data net kdt pojavlaunch debug runtimes jre8 arm 20210801 release tar xz lib aarch32 libawt so success_x000D_
I jrelog  ( 2009): dlopen  data data net kdt pojavlaunch debug runtimes jre8 arm 20210801 release tar xz lib aarch32 libawt headless so success_x000D_
I jrelog  ( 2009): dlopen  data data net kdt pojavlaunch debug runtimes jre8 arm 20210801 release tar xz lib aarch32 libfreetype so success_x000D_
I jrelog  ( 2009): dlopen  data data net kdt pojavlaunch debug runtimes jre8 arm 20210801 release tar xz lib aarch32 libfontmanager so success_x000D_
I jrelog  ( 2009): dlopen  data data net kdt pojavlaunch debug runtimes jre8 arm 20210801 release tar xz lib aarch32 libjsound so success_x000D_
I jrelog  ( 2009): dlopen  data data net kdt pojavlaunch debug runtimes jre8 arm 20210801 release tar xz lib aarch32 libjpeg so success_x000D_
I jrelog  ( 2009): dlopen  data data net kdt pojavlaunch debug runtimes jre8 arm 20210801 release tar xz lib aarch32 libawt so success_x000D_
I jrelog  ( 2009): dlopen  data data net kdt pojavlaunch debug runtimes jre8 arm 20210801 release tar xz lib aarch32 jli libjli so success_x000D_
I jrelog  ( 2009): dlopen  data data net kdt pojavlaunch debug runtimes jre8 arm 20210801 release tar xz lib aarch32 libjsdt so success_x000D_
I jrelog  ( 2009): dlopen  data data net kdt pojavlaunch debug runtimes jre8 arm 20210801 release tar xz lib aarch32 libfontmanager so success_x000D_
I jrelog  ( 2009): dlopen  data data net kdt pojavlaunch debug runtimes jre8 arm 20210801 release tar xz lib aarch32 libj2pcsc so success_x000D_
I jrelog  ( 2009): dlopen  data data net kdt pojavlaunch debug runtimes jre8 arm 20210801 release tar xz lib aarch32 libmanagement so success_x000D_
I jrelog  ( 2009): dlopen  data data net kdt pojavlaunch debug runtimes jre8 arm 20210801 release tar xz lib aarch32 libunpack so success_x000D_
I jrelog  ( 2009): dlopen  data data net kdt pojavlaunch debug runtimes jre8 arm 20210801 release tar xz lib aarch32 libjaas unix so success_x000D_
I jrelog  ( 2009): dlopen  data data net kdt pojavlaunch debug runtimes jre8 arm 20210801 release tar xz lib aarch32 libhprof so success_x000D_
I jrelog  ( 2009): dlopen  data data net kdt pojavlaunch debug runtimes jre8 arm 20210801 release tar xz lib aarch32 libfreetype so success_x000D_
I jrelog  ( 2009): dlopen  data data net kdt pojavlaunch debug runtimes jre8 arm 20210801 release tar xz lib aarch32 libawt xawt so success_x000D_
I jrelog  ( 2009): dlopen  data data net kdt pojavlaunch debug runtimes jre8 arm 20210801 release tar xz lib aarch32 libjsig so success_x000D_
I jrelog  ( 2009): dlopen  data data net kdt pojavlaunch debug runtimes jre8 arm 20210801 release tar xz lib aarch32 libj2gss so success_x000D_
I jrelog  ( 2009): dlopen  data data net kdt pojavlaunch debug runtimes jre8 arm 20210801 release tar xz lib aarch32 libsunec so success_x000D_
I jrelog  ( 2009): dlopen  data data net kdt pojavlaunch debug runtimes jre8 arm 20210801 release tar xz lib aarch32 libnpt so failed: dlopen failed: library  libtinyiconv so  not found_x000D_
I jrelog  ( 2009): dlopen  data data net kdt pojavlaunch debug runtimes jre8 arm 20210801 release tar xz lib aarch32 libnet so success_x000D_
I jrelog  ( 2009): dlopen  data data net kdt pojavlaunch debug runtimes jre8 arm 20210801 release tar xz lib aarch32 libjava crw demo so success_x000D_
I jrelog  ( 2009): dlopen  data data net kdt pojavlaunch debug runtimes jre8 arm 20210801 release tar xz lib aarch32 libjava so success_x000D_
I jrelog  ( 2009): dlopen  data data net kdt pojavlaunch debug runtimes jre8 arm 20210801 release tar xz lib aarch32 libnio so success_x000D_
I jrelog  ( 2009): dlopen  data data net kdt pojavlaunch debug runtimes jre8 arm 20210801 release tar xz lib aarch32 libtinyiconv so success_x000D_
I jrelog  ( 2009): dlopen  data data net kdt pojavlaunch debug runtimes jre8 arm 20210801 release tar xz lib aarch32 libj2pkcs11 so success_x000D_
I jrelog  ( 2009): dlopen  data data net kdt pojavlaunch debug runtimes jre8 arm 20210801 release tar xz lib aarch32 libdt socket so success_x000D_
I jrelog  ( 2009): dlopen  data data net kdt pojavlaunch debug runtimes jre8 arm 20210801 release tar xz lib aarch32 libjdwp so success_x000D_
I jrelog  ( 2009): dlopen  data data net kdt pojavlaunch debug runtimes jre8 arm 20210801 release tar xz lib aarch32 libzip so success_x000D_
I jrelog  ( 2009): dlopen  data data net kdt pojavlaunch debug runtimes jre8 arm 20210801 release tar xz lib aarch32 libsctp so success_x000D_
I jrelog  ( 2009): dlopen  data data net kdt pojavlaunch debug runtimes jre8 arm 20210801 release tar xz lib aarch32 client libjvm so success_x000D_
I jrelog  ( 2009): dlopen  data data net kdt pojavlaunch debug runtimes jre8 arm 20210801 release tar xz lib aarch32 libmlib image so success_x000D_
I jrelog  ( 2009): dlopen  data data net kdt pojavlaunch debug runtimes jre8 arm 20210801 release tar xz lib aarch32 libinstrument so success_x000D_
I jrelog  ( 2009): dlopen  data data net kdt pojavlaunch debug runtimes jre8 arm 20210801 release tar xz lib aarch32 liblcms so success_x000D_
I jrelog  ( 2009): dlopen  data data net kdt pojavlaunch debug runtimes jre8 arm 20210801 release tar xz lib aarch32 libjawt so success_x000D_
I jrelog  ( 2009): dlopen  data data net kdt pojavlaunch debug runtimes jre8 arm 20210801 release tar xz lib aarch32 libverify so success_x000D_
I jrelog  ( 2009): dlopen  data data net kdt pojavlaunch debug runtimes jre8 arm 20210801 release tar xz lib aarch32 libawt headless so success_x000D_
I jrelog  ( 2009): dlopen  data app net kdt pojavlaunch debug Nuf0qMnafSFRBk9uAMaxhQ   lib arm libopenal so success_x000D_
I jrelog  ( 2009): Done processing args_x000D_
I jrelog  ( 2009): Found JLI lib_x000D_
I jrelog  ( 2009): Calling JLI Launch_x000D_
 LWJGL  Failed to load a library  Possible solutions:_x000D_
	a) Add the directory that contains the shared library to  Djava library path or  Dorg lwjgl librarypath _x000D_
	b) Add the JAR that contains the shared library to the classpath _x000D_
_x000D_
 LWJGL  Enable debug mode with  Dorg lwjgl util Debug true for better diagnostics _x000D_
 LWJGL  Enable the SharedLibraryLoader debug mode with  Dorg lwjgl util DebugLoader true for better diagnostics _x000D_
 16:42:22   Client thread INFO : Setting user: Javaonandroid_x000D_
 16:42:35   Client thread WARN : Skipping bad option: lastServer:_x000D_
 16:42:35   Client thread WARN : Skipping bad option: streamPreferredServer:_x000D_
 16:42:35   Client thread INFO : LWJGL Version: 3 2 3 SNAPSHOT_x000D_
EGLBridge: Initializing_x000D_
EGLBridge: Initialized _x000D_
EGLBridge: ThreadID 2117_x000D_
EGLBridge: EGLDisplay 0x1  EGLSurface 0x85a18de0_x000D_
EGLBridge: Created CTX pointer   0x87036c40_x000D_
 16:42:35   Client thread INFO :  STDERR : java lang Exception: Trace exception_x000D_
 16:42:35   Client thread INFO :  STDERR : 	at org lwjgl glfw GLFW glfwMakeContextCurrent(GLFW java:1004)_x000D_
 16:42:35   Client thread INFO :  STDERR : 	at bjr  init (SourceFile:93)_x000D_
 16:42:35   Client thread INFO :  STDERR : 	at bjq a(SourceFile:82)_x000D_
 16:42:35   Client thread INFO :  STDERR : 	at bjh ak(SourceFile:415)_x000D_
 16:42:35   Client thread INFO :  STDERR : 	at bjh a(SourceFile:356)_x000D_
 16:42:35   Client thread INFO :  STDERR : 	at net minecraft client main Main main(SourceFile:134)_x000D_
EGLBridge: Comparing: thr 2117  this 0x87036c40  curr 0xffffffff_x000D_
EGLBridge: Making current on window 0x872eac58 on thread  2029818816_x000D_
EGLBridge: eglMakeCurrent() succeed _x000D_
 16:42:35   Client thread INFO :  STDOUT : 87036c40_x000D_
EGLBridge: Comparing: thr 2117  this 0x87036c40  curr 0xffffffff_x000D_
 16:42:38   Client thread WARN : Couldn t get pack info for pi 193f75b_x000D_
pm:  pack mcmeta  in ResourcePack   storage emulated 0 games PojavLauncher  minecraft resourcepacks  5Purpleds Default Edit v1 zip _x000D_
	at pi a(SourceFile:43)   17w43a jar:  _x000D_
	at pg a(SourceFile:66)   17w43a jar:  _x000D_
	at py a(SourceFile:32)  17w43a jar:  _x000D_
	at pt a(SourceFile:38)  17w43a jar:  _x000D_
	at pv a(SourceFile:32)  17w43a jar:  _x000D_
	at bjk a(SourceFile:1162)  17w43a jar:  _x000D_
	at bjh ak(SourceFile:428)  17w43a jar:  _x000D_
	at bjh a(SourceFile:356)  17w43a jar:  _x000D_
	at net minecraft client main Main main(SourceFile:134)  17w43a jar:  _x000D_
 16:42:38   Client thread WARN : Couldn t get pack info for pi d07cf3_x000D_
pm:  pack mcmeta  in ResourcePack   storage emulated 0 games PojavLauncher  minecraft resourcepacks pixelcraft 1544723840 zip _x000D_
	at pi a(SourceFile:43)   17w43a jar:  _x000D_
	at pg a(SourceFile:66)   17w43a jar:  _x000D_
	at py a(SourceFile:32)  17w43a jar:  _x000D_
	at pt a(SourceFile:38)  17w43a jar:  _x000D_
	at pv a(SourceFile:32)  17w43a jar:  _x000D_
	at bjk a(SourceFile:1162)  17w43a jar:  _x000D_
	at bjh ak(SourceFile:428)  17w43a jar:  _x000D_
	at bjh a(SourceFile:356)  17w43a jar:  _x000D_
	at net minecraft client main Main main(SourceFile:134)  17w43a jar:  _x000D_
 16:42:39   Client thread WARN : Couldn t get pack info for pi 50b32d_x000D_
pm:  pack mcmeta  in ResourcePack   storage emulated 0 games PojavLauncher  minecraft resourcepacks SkinChangerCape zip _x000D_
	at pi a(SourceFile:43)   17w43a jar:  _x000D_
	at pg a(SourceFile:66)   17w43a jar:  _x000D_
	at py a(SourceFile:32)  17w43a jar:  _x000D_
	at pt a(SourceFile:38)  17w43a jar:  _x000D_
	at pv a(SourceFile:32)  17w43a jar:  _x000D_
	at bjk a(SourceFile:1162)  17w43a jar:  _x000D_
	at bjh ak(SourceFile:428)  17w43a jar:  _x000D_
	at bjh a(SourceFile:356)  17w43a jar:  _x000D_
	at net minecraft client main Main main(SourceFile:134)  17w43a jar:  _x000D_
 16:42:39   Client thread WARN : Couldn t get pack info for pi f4f627_x000D_
pm:  pack mcmeta  in ResourcePack   storage emulated 0 games PojavLauncher  minecraft resourcepacks  5Purpleds Default Edit v1 zip _x000D_
	at pi a(SourceFile:43)   17w43a jar:  _x000D_
	at pg a(SourceFile:66)   17w43a jar:  _x000D_
	at py a(SourceFile:32)  17w43a jar:  _x000D_
	at pt a(SourceFile:38)  17w43a jar:  _x000D_
	at pv a(SourceFile:32)  17w43a jar:  _x000D_
	at bjh f(SourceFile:637)  17w43a jar:  _x000D_
	at bjh ak(SourceFile:429)  17w43a jar:  _x000D_
	at bjh a(SourceFile:356)  17w43a jar:  _x000D_
	at net minecraft client main Main main(SourceFile:134)  17w43a jar:  _x000D_
 16:42:39   Client thread WARN : Couldn t get pack info for pi bf4386_x000D_
pm:  pack mcmeta  in ResourcePack   storage emulated 0 games PojavLauncher  minecraft resourcepacks pixelcraft 1544723840 zip _x000D_
	at pi a(SourceFile:43)   17w43a jar:  _x000D_
	at pg a(SourceFile:66)   17w43a jar:  _x000D_
	at py a(SourceFile:32)  17w43a jar:  _x000D_
	at pt a(SourceFile:38)  17w43a jar:  _x000D_
	at pv a(SourceFile:32)  17w43a jar:  _x000D_
	at bjh f(SourceFile:637)  17w43a jar:  _x000D_
	at bjh ak(SourceFile:429)  17w43a jar:  _x000D_
	at bjh a(SourceFile:356)  17w43a jar:  _x000D_
	at net minecraft client main Main main(SourceFile:134)  17w43a jar:  _x000D_
 16:42:40   Client thread WARN : Couldn t get pack info for pi 4b1061_x000D_
pm:  pack mcmeta  in ResourcePack   storage emulated 0 games PojavLauncher  minecraft resourcepacks SkinChangerCape zip _x000D_
	at pi a(SourceFile:43)   17w43a jar:  _x000D_
	at pg a(SourceFile:66)   17w43a jar:  _x000D_
	at py a(SourceFile:32)  17w43a jar:  _x000D_
	at pt a(SourceFile:38)  17w43a jar:  _x000D_
	at pv a(SourceFile:32)  17w43a jar:  _x000D_
	at bjh f(SourceFile:637)  17w43a jar:  _x000D_
	at bjh ak(SourceFile:429)  17w43a jar:  _x000D_
	at bjh a(SourceFile:356)  17w43a jar:  _x000D_
	at net minecraft client main Main main(SourceFile:134)  17w43a jar:  _x000D_
 16:42:40   Client thread INFO : Reloading ResourceManager: Default_x000D_
 16:42:40   Client thread WARN : Missing sound for event: minecraft:ambient cave_x000D_
 16:42:40   Client thread WARN : Missing sound for event: minecraft:block anvil break_x000D_
 16:42:40   Client thread WARN : Missing sound for event: minecraft:block anvil destroy_x000D_
 16:42:40   Client thread WARN : Missing sound for event: minecraft:block anvil fall_x000D_
 16:42:40   Client thread WARN : Missing sound for event: minecraft:block anvil hit_x000D_
 16:42:40   Client thread WARN : Missing sound for event: minecraft:block anvil land_x000D_
 16:42:40   Client thread WARN : Missing sound for event: minecraft:block anvil place_x000D_
 16:42:40   Client thread WARN : Missing sound for event: minecraft:block anvil step_x000D_
 16:42:40   Client thread WARN : Missing sound for event: minecraft:block anvil use_x000D_
 16:42:40   Client thread WARN : Missing sound for event: minecraft:block brewing stand brew_x000D_
 16:42:40   Client thread WARN : Missing sound for event: minecraft:block chest close_x000D_
 16:42:40   Client thread WARN : Missing sound for event: minecraft:block chest locked_x000D_
 16:42:40   Client thread WARN : Missing sound for event: minecraft:block chest open_x000D_
 16:42:40   Client thread WARN : Missing sound for event: minecraft:block chorus flower death_x000D_
 16:42:40   Client thread WARN : Missing sound for event: minecraft:block chorus flower grow_x000D_
 16:42:40   Client thread WARN : Missing sound for event: minecraft:block cloth break_x000D_
 16:42:40   Client thread WARN : Missing sound for event: minecraft:block cloth fall_x000D_
 16:42:40   Client thread WARN : Missing sound for event: minecraft:block cloth hit_x000D_
 16:42:40   Client thread WARN : Missing sound for event: minecraft:block cloth place_x000D_
 16:42:40   Client thread WARN : Missing sound for event: minecraft:block cloth step_x000D_
 16:42:40   Client thread WARN : Missing sound for event: minecraft:block comparator click_x000D_
 16:42:40   Client thread WARN : Missing sound for event: minecraft:block dispenser dispense_x000D_
 16:42:40   Client thread WARN : Missing sound for event: minecraft:block dispenser fail_x000D_
 16:42:40   Client thread WARN : Missing sound for event: minecraft:block dispenser launch_x000D_
 16:42:40   Client thread WARN : Missing sound for event: minecraft:block enchantment table use_x000D_
 16:42:40   Client thread WARN : Missing sound for event: minecraft:block end gateway spawn_x000D_
 16:42:40   Client thread WARN : Missing sound for event: minecraft:block end portal spawn_x000D_
 16:42:40   Client thread WARN : Missing sound for event: minecraft:block end portal frame fill_x000D_
 16:42:40   Client thread WARN : Missing sound for event: minecraft:block enderchest close_x000D_
 16:42:40   Client thread WARN : Missing sound for event: minecraft:block enderchest open_x000D_
 16:42:40   Client thread WARN : Missing sound for event: minecraft:block fence gate close_x000D_
 16:42:40   Client thread WARN : Missing sound for event: minecraft:block fence gate open_x000D_
 16:42:40   Client thread WARN : Missing sound for event: minecraft:block fire ambient_x000D_
 16:42:40   Client thread WARN : Missing sound for event: minecraft:block fire extinguish_x000D_
 16:42:40   Client thread WARN : Missing sound for event: minecraft:block furnace fire crackle_x000D_
 16:42:40   Client thread WARN : Missing sound for event: minecraft:block glass break_x000D_
 16:42:40   Client thread WARN : Missing sound for event: minecraft:block glass fall_x000D_
 16:42:40   Client thread WARN : Missing sound for event: minecraft:block glass hit_x000D_
 16:42:40   Client thread WARN : Missing sound for event: minecraft:block glass place_x000D_
 16:42:40   Client thread WARN : Missing sound for event: minecraft:block glass step_x000D_
 16:42:40   Client thread WARN : Missing sound for event: minecraft:block grass break_x000D_
 16:42:40   Client thread WARN : Missing sound for event: minecraft:block grass fall_x000D_
 16:42:40   Client thread WARN : Missing sound for event: minecraft:block grass hit_x000D_
 16:42:40   Client thread WARN : Missing sound for event: minecraft:block grass place_x000D_
 16:42:40   Client thread WARN : Missing sound for event: minecraft:block grass step_x000D_
 16:42:40   Client thread WARN : Missing sound for event: minecraft:block gravel break_x000D_
 16:42:40   Client thread WARN : Missing sound for event: minecraft:block gravel fall_x000D_
 16:42:40   Client thread WARN : Missing sound for event: minecraft:block gravel hit_x000D_
 16:42:40   Client thread WARN : Missing sound for event: minecraft:block gravel place_x000D_
 16:42:40   Client thread WARN : Missing sound for event: minecraft:block gravel step_x000D_
 16:42:40   Client thread WARN : Missing sound for event: minecraft:block iron door close_x000D_
 16:42:40   Client thread WARN : Missing sound for event: minecraft:block iron door open_x000D_
 16:42:40   Client thread WARN : Missing sound for event: minecraft:block iron trapdoor close_x000D_
 16:42:40   Client thread WARN : Missing sound for event: minecraft:block iron trapdoor open_x000D_
 16:42:40   Client thread WARN : Missing sound for event: minecraft:block ladder break_x000D_
 16:42:40   Client thread WARN : Missing sound for event: minecraft:block ladder fall_x000D_
 16:42:40   Client thread WARN : Missing sound for event: minecraft:block ladder hit_x000D_
 16:42:40   Client thread WARN : Missing sound for event: minecraft:block ladder place_x000D_
 16:42:40   Client thread WARN : Missing sound for event: minecraft:block ladder step_x000D_
 16:42:40   Client thread WARN : Missing sound for event: minecraft:block lava ambient_x000D_
 16:42:40   Client thread WARN : Missing sound for event: minecraft:block lava extinguish_x000D_
 16:42:40   Client thread WARN : Missing sound for event: minecraft:block lava pop_x000D_
 16:42:40   Client thread WARN : Missing sound for event: minecraft:block lever click_x000D_
 16:42:40   Client thread WARN : Missing sound for event: minecraft:block metal break_x000D_
 16:42:40   Client thread WARN : Missing sound for event: minecraft:block metal fall_x000D_
 16:42:40   Client thread WARN : Missing sound for event: minecraft:block metal hit_x000D_
 16:42:40   Client thread WARN : Missing sound for event: minecraft:block metal place_x000D_
 16:42:40   Client thread WARN : Missing sound for event: minecraft:block metal step_x000D_
 16:42:40   Client thread WARN : Missing sound for event: minecraft:block metal pressureplate click off_x000D_
 16:42:40   Client thread WARN : Missing sound for event: minecraft:block metal pressureplate click on_x000D_
 16:42:40   Client thread WARN : Missing sound for event: minecraft:block note basedrum_x000D_
 16:42:40   Client thread WARN : Missing sound for event: minecraft:block note bass_x000D_
 16:42:40   Client thread WARN : Missing sound for event: minecraft:block note bell_x000D_
 16:42:40   Client thread WARN : Missing sound for event: minecraft:block note chime_x000D_
 16:42:40   Client thread WARN : Missing sound for event: minecraft:block note flute_x000D_
 16:42:40   Client thread WARN : Missing sound for event: minecraft:block note guitar_x000D_
 16:42:40   Client thread WARN : Missing sound for event: minecraft:block note harp_x000D_
 16:42:40   Client thread WARN : Missing sound for event: minecraft:block note hat_x000D_
 16:42:40   Client thread WARN : Missing sound for event: minecraft:block note pling_x000D_
 16:42:40   Client thread WARN : Missing sound for event: minecraft:block note snare_x000D_
 16:42:40   Client thread WARN : Missing sound for event: minecraft:block note xylophone_x000D_
 16:42:40   Client thread WARN : Missing sound for event: minecraft:block piston contract_x000D_
 16:42:40   Client thread WARN : Missing sound for event: minecraft:block piston extend_x000D_
 16:42:40   Client thread WARN : Missing sound for event: minecraft:block portal ambient_x000D_
 16:42:40   Client thread WARN : Missing sound for event: minecraft:block portal travel_x000D_
 16:42:40   Client thread WARN : Missing sound for event: minecraft:block portal trigger_x000D_
 16:42:40   Client thread WARN : Missing sound for event: minecraft:block redstone torch burnout_x000D_
 16:42:40   Client thread WARN : Missing sound for event: minecraft:block sand break_x000D_
 16:42:40   Client thread WARN : Missing sound for event: minecraft:block sand fall_x000D_
 16:42:40   Client thread WARN : Missing sound for event: minecraft:block sand hit_x000D_
 16:42:40   Client thread WARN : Missing sound for event: minecraft:block sand place_x000D_
 16:42:40   Client thread WARN : Missing sound for event: minecraft:block sand step_x000D_
 16:42:40   Client thread WARN : Missing sound for event: minecraft:block shulker box close_x000D_
 16:42:40   Client thread WARN : Missing sound for event: minecraft:block shulker box open_x000D_
 16:42:40   Client thread WARN : Missing sound for event: minecraft:block slime break_x000D_
 16:42:40   Client thread WARN : Missing sound for event: minecraft:block slime fall_x000D_
 16:42:40   Client thread WARN : Missing sound for event: minecraft:block slime hit_x000D_
 16:42:40   Client thread WARN : Missing sound for event: minecraft:block slime place_x000D_
 16:42:40   Client thread WARN : Missing sound for event: minecraft:block slime step_x000D_
 16:42:40   Client thread WARN : Missing sound for event: minecraft:block snow break_x000D_
 16:42:40   Client thread WARN : Missing sound for event: minecraft:block snow fall_x000D_
 16:42:40   Client thread WARN : Missing sound for event: minecraft:block snow hit_x000D_
 16:42:40   Client thread WARN : Missing sound for event: minecraft:block snow place_x000D_
 16:42:40   Client thread WARN : Missing sound for event: minecraft:block snow step_x000D_
 16:42:40   Client thread WARN : Missing sound for event: minecraft:block stone break_x000D_
 16:42:40   Client thread WARN : Missing sound for event: minecraft:block stone fall_x000D_
 16:42:40   Client thread WARN : Missing sound for event: minecraft:block stone hit_x000D_
 16:42:40   Client thread WARN : Missing sound for event: minecraft:block stone place_x000D_
 16:42:40   Client thread WARN : Missing sound for event: minecraft:block stone step_x000D_
 16:42:40   Client thread WARN : Missing sound for event: minecraft:block stone button click off_x000D_
 16:42:40   Client thread WARN : Missing sound for event: minecraft:block stone button click on_x000D_
 16:42:40   Client thread WARN : Missing sound for event: minecraft:block stone pressureplate click off_x000D_
 16:42:40   Client thread WARN : Missing sound for event: minecraft:block stone pressureplate click on_x000D_
 16:42:40   Client thread WARN : Missing sound for event: minecraft:block tripwire attach_x000D_
 16:42:40   Client thread WARN : Missing sound for event: minecraft:block tripwire click off_x000D_
 16:42:40   Client thread WARN : Missing sound for event: minecraft:block tripwire click on_x000D_
 16:42:40   Client thread WARN : Missing sound for event: minecraft:block tripwire detach_x000D_
 16:42:40   Client thread WARN : Missing sound for event: minecraft:block water ambient_x000D_
 16:42:40   Client thread WARN : Missing sound for event: minecraft:block waterlily place_x000D_
 16:42:40   Client thread WARN : Missing sound for event: minecraft:block wood break_x000D_
 16:42:40   Client thread WARN : Missing sound for event: minecraft:block wood fall_x000D_
 16:42:40   Client thread WARN : Missing sound for event: minecraft:block wood hit_x000D_
 16:42:40   Client thread WARN : Missing sound for event: minecraft:block wood place_x000D_
 16:42:40   Client thread WARN : Missing sound for event: minecraft:block wood step_x000D_
 16:42:40   Client thread WARN : Missing sound for event: minecraft:block wood button click off_x000D_
 16:42:40   Client thread WARN : Missing sound for event: minecraft:block wood button click on_x000D_
 16:42:40   Client thread WARN : Missing sound for event: minecraft:block wood pressureplate click off_x000D_
 16:42:40   Client thread WARN : Missing sound for event: minecraft:block wood pressureplate click on_x000D_
 16:42:40   Client thread WARN : Missing sound for event: minecraft:block wooden door close_x000D_
 16:42:40   Client thread WARN : Missing sound for event: minecraft:block wooden door open_x000D_
 16:42:40   Client thread WARN : Missing sound for event: minecraft:block wooden trapdoor close_x000D_
 16:42:40   Client thread WARN : Missing sound for event: minecraft:block wooden trapdoor open_x000D_
 16:42:40   Client thread WARN : Missing sound for event: minecraft:enchant thorns hit_x000D_
 16:42:40   Client thread WARN : Missing sound for event: minecraft:entity armorstand break_x000D_
 16:42:40   Client thread WARN : Missing sound for event: minecraft:entity armorstand fall_x000D_
 16:42:40   Client thread WARN : Missing sound for event: minecraft:entity armorstand hit_x000D_
 16:42:40   Client thread WARN : Missing sound for event: minecraft:entity armorstand place_x000D_
 16:42:40   Client thread WARN : Missing sound for event: minecraft:entity arrow hit_x000D_
 16:42:40   Client thread WARN : Missing sound for event: minecraft:entity arrow hit player_x000D_
 16:42:40   Client thread WARN : Missing sound for event: minecraft:entity arrow shoot_x000D_
 16:42:40   Client thread WARN : Missing sound for event: minecraft:entity bat ambient_x000D_
 16:42:40   Client thread WARN : Missing sound for event: minecraft:entity bat death_x000D_
 16:42:40   Client thread WARN : Missing sound for event: minecraft:entity bat hurt_x000D_
 16:42:40   Client thread WARN : Missing sound for event: minecraft:entity bat loop_x000D_
 16:42:40   Client thread WARN : Missing sound for event: minecraft:entity bat takeoff_x000D_
 16:42:40   Client thread WARN : Missing sound for event: minecraft:entity blaze ambient_x000D_
 16:42:40   Client thread WARN : Missing sound for event: minecraft:entity blaze burn_x000D_
 16:42:40   Client thread WARN : Missing sound for event: minecraft:entity blaze death_x000D_
 16:42:40   Client thread WARN : Missing sound for event: minecraft:entity blaze hurt_x000D_
 16:42:40   Client thread WARN : Missing sound for event: minecraft:entity blaze shoot_x000D_
 16:42:40   Client thread WARN : Missing sound for event: minecraft:entity boat paddle land_x000D_
 16:42:40   Client thread WARN : Missing sound for event: minecraft:entity boat paddle water_x000D_
 16:42:40   Client thread WARN : Missing sound for event: minecraft:entity bobber retrieve_x000D_
 16:42:40   Client thread WARN : Missing sound for event: minecraft:entity bobber splash_x000D_
 16:42:40   Client thread WARN : Missing sound for event: minecraft:entity bobber throw_x000D_
 16:42:40   Client thread WARN : Missing sound for event: minecraft:entity cat ambient_x000D_
 16:42:40   Client thread WARN : Missing sound for event: minecraft:entity cat death_x000D_
 16:42:40   Client thread WARN : Missing sound for event: minecraft:entity cat hiss_x000D_
 16:42:40   Client thread WARN : Missing sound for event: minecraft:entity cat hurt_x000D_
 16:42:40   Client thread WARN : Missing sound for event: minecraft:entity cat purr_x000D_
 16:42:40   Client thread WARN : Missing sound for event: minecraft:entity cat purreow_x000D_
 16:42:40   Client thread WARN : Missing sound for event: minecraft:entity chicken ambient_x000D_
 16:42:40   Client thread WARN : Missing sound for event: minecraft:entity chicken death_x000D_
 16:42:40   Client thread WARN : Missing sound for event: minecraft:entity chicken egg_x000D_
 16:42:40   Client thread WARN : Missing sound for event: minecraft:entity chicken hurt_x000D_
 16:42:40   Client thread WARN : Missing sound for event: minecraft:entity chicken step_x000D_
 16:42:40   Client thread WARN : Missing sound for event: minecraft:entity cow ambient_x000D_
 16:42:40   Client thread WARN : Missing sound for event: minecraft:entity cow death_x000D_
 16:42:40   Client thread WARN : Missing sound for event: minecraft:entity cow hurt_x000D_
 16:42:40   Client thread WARN : Missing sound for event: minecraft:entity cow milk_x000D_
 16:42:40   Client thread WARN : Missing sound for event: minecraft:entity cow step_x000D_
 16:42:40   Client thread WARN : Missing sound for event: minecraft:entity creeper death_x000D_
 16:42:40   Client thread WARN : Missing sound for event: minecraft:entity creeper hurt_x000D_
 16:42:40   Client thread WARN : Missing sound for event: minecraft:entity creeper primed_x000D_
 16:42:40   Client thread WARN : Missing sound for event: minecraft:entity donkey ambient_x000D_
 16:42:40   Client thread WARN : Missing sound for event: minecraft:entity donkey angry_x000D_
 16:42:40   Client thread WARN : Missing sound for event: minecraft:entity donkey chest_x000D_
 16:42:40   Client thread WARN : Missing sound for event: minecraft:entity donkey death_x000D_
 16:42:40   Client thread WARN : Missing sound for event: minecraft:entity donkey hurt_x000D_
 16:42:40   Client thread WARN : Missing sound for event: minecraft:entity egg throw_x000D_
 16:42:40   Client thread WARN : Missing sound for event: minecraft:entity elder guardian ambient_x000D_
 16:42:40   Client thread WARN : Missing sound for event: minecraft:entity elder guardian ambient land_x000D_
 16:42:40   Client thread WARN : Missing sound for event: minecraft:entity elder guardian curse_x000D_
 16:42:40   Client thread WARN : Missing sound for event: minecraft:entity elder guardian death_x000D_
 16:42:40   Client thread WARN : Missing sound for event:</t>
  </si>
  <si>
    <t>Anuken-Mindustry-5804</t>
  </si>
  <si>
    <t>Shocked effect is not applied properly</t>
  </si>
  <si>
    <t xml:space="preserve">  Platform  : Windows_x000D_
_x000D_
  Build  : pre alpha build 130 _x000D_
_x000D_
  Issue  : Using an arc against an enemy unit does not apply the shocked effect  The issue is also present when using surge ammunition from a cyclone   swarmer  and attacking an enemy unit using a pulsar  _x000D_
_x000D_
  Steps to reproduce  : Shoot enemy units with turrets that use surge ammunition (Swarmer  cyclone)  using an arc  or a pulsar _x000D_
              _x000D_
_x000D_
  Link(s) to mod(s) used  : Not Modded_x000D_
_x000D_
_x000D_
  Save file  : _x000D_
 shocked zip (https:  github com Anuken Mindustry files 7011527 shocked zip)_x000D_
_x000D_
If you remove the line above without reading it properly and understanding what it means  I will reap your soul  Even if you re playing on someone s server  you can still save the game to a slot _x000D_
_x000D_
  (Crash) logs  : No crashes_x000D_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</si>
  <si>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Anuken-Mindustry-5803</t>
  </si>
  <si>
    <t>Typing [[ in chat crashes the game</t>
  </si>
  <si>
    <t xml:space="preserve">  Platform  : Windows_x000D_
_x000D_
  Build  : BE 21708_x000D_
_x000D_
  Issue  : As the title says  typing      in chat crashes the game_x000D_
_x000D_
  Steps to reproduce  : Type    in either dev mode  or chat (Single player   Multiplayer)_x000D_
_x000D_
  Link(s) to mod(s) used  : _x000D_
dev mode : https:  github com DeltaNedas dev mode_x000D_
pictologic : https:  github com DeltaNedas pictologic_x000D_
timecontrol : https:  github com sk7725 TimeControl_x000D_
ui lib : https:  github com DeltaNedas ui lib_x000D_
waisa : https:  github com DeltaNedas waisa_x000D_
_x000D_
  Save file  : unnecessary  reproducible in both single player  and multiplayer (Using dev mode and typing    also crashes)_x000D_
_x000D_
  (Crash) logs  : _x000D_
_x000D_
Mindustry has crashed  How unfortunate _x000D_
Version: bleeding edge build 21708_x000D_
OS: Windows 10 x64 (amd64)_x000D_
Java Version: 16 0 1_x000D_
5 Mods: dev mode:2 3 2  pictologic:1 5 7  time control:0 2  ui lib:2 16 6  waisa:2 3 3_x000D_
_x000D_
java lang IndexOutOfBoundsException: index can t be    size: 2    2_x000D_
	at arc struct FloatSeq get(FloatSeq java:140)_x000D_
	at arc scene ui TextField drawCursor(TextField java:392)_x000D_
	at arc scene ui TextField draw(TextField java:356)_x000D_
	at arc scene Group drawChildren(Group java:125)_x000D_
	at arc scene Group draw(Group java:51)_x000D_
	at arc scene ui layout WidgetGroup draw(WidgetGroup java:142)_x000D_
	at arc scene ui layout Table draw(Table java:113)_x000D_
	at mindustry ui fragments ChatFragment draw(ChatFragment java:134)_x000D_
	at arc scene Group drawChildren(Group java:125)_x000D_
	at arc scene Group draw(Group java:51)_x000D_
	at arc scene Scene draw(Scene java:133)_x000D_
	at mindustry core UI update(UI java:143)_x000D_
	at arc ApplicationCore update(ApplicationCore java:37)_x000D_
	at mindustry ClientLauncher update(ClientLauncher java:174)_x000D_
	at arc backend sdl SdlApplication listen(SdlApplication java:166)_x000D_
	at arc backend sdl SdlApplication loop(SdlApplication java:154)_x000D_
	at arc backend sdl SdlApplication  init (SdlApplication java:45)_x000D_
	at mindustry desktop DesktopLauncher main(DesktopLauncher java:39)_x000D_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</si>
  <si>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Anuken-Mindustry-5802</t>
  </si>
  <si>
    <t>Power void status indicator</t>
  </si>
  <si>
    <t xml:space="preserve">  Platform  :  Android iOS Mac Windows Linux _x000D_
Android _x000D_
  Build  :  The build number under the title in the main menu  Required   LATEST  IS NOT A VERSION  I NEED THE EXACT BUILD NUMBER OF YOUR GAME  _x000D_
126 2   BE21707_x000D_
  Issue  :  Explain your issue in detail  _x000D_
Power void has a permanent  off  block status indicator  even if it isn t even meant to have one _x000D_
  Steps to reproduce  :  How you happened across the issue  and what exactly you did to make the bug happen  _x000D_
Place power void  turn on block status indicators  _x000D_
  Link(s) to mod(s) used  :  The mod repositories or zip files that are related to the issue  if applicable  _x000D_
None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</si>
  <si>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Anuken-Mindustry-5797</t>
  </si>
  <si>
    <t>Attack maps without crux core are not playable as attack gamemode, unless you open them first in the editor.</t>
  </si>
  <si>
    <t xml:space="preserve">  Platform  :  Android iOS Mac Windows Linux _x000D_
Linux_x000D_
_x000D_
  Build  :  The build number under the title in the main menu  Required   LATEST  IS NOT A VERSION  I NEED THE EXACT BUILD NUMBER OF YOUR GAME  _x000D_
130_x000D_
  Issue  :  Explain your issue in detail  _x000D_
Attack maps without crux core do not show the attack gamemode option _x000D_
However  if you open the map in the editor  go back to custom game  the attack gamemode option appears _x000D_
Not sure if I worded it properly  so here s a video _x000D_
_x000D_
https:  user images githubusercontent com 85000121 129927592 ac76da8e 24fa 4d53 95ba a7eaac140092 mp4_x000D_
_x000D_
_x000D_
_x000D_
  Steps to reproduce  :  How you happened across the issue  and what exactly you did to make the bug happen  _x000D_
Shown in video above _x000D_
_x000D_
  Link(s) to mod(s) used  :  The mod repositories or zip files that are related to the issue  if applicable  _x000D_
Happens without mods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Not applicable   I think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</si>
  <si>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GoogleCloudPlatform-fda-mystudies-4033</t>
  </si>
  <si>
    <t>[Android] App is crashing when App name is changed in the new version when upgraded</t>
  </si>
  <si>
    <t xml:space="preserve">A R:  App is crashing when app name is changed in the new version when upgraded_x000D_
_x000D_
E R:  App should not crash for the app name change with upgrade_x000D_
_x000D_
</t>
  </si>
  <si>
    <t>material-components-material-components-android-2339</t>
  </si>
  <si>
    <t>[MaterialTimePicker] Crash on inflate picker</t>
  </si>
  <si>
    <t xml:space="preserve">  Description:   _x000D_
I tried to add time picker to my project but it got crashed each time when i try to call it whatever params i set  I ve try run it on  1 4 0  and  1 5 0 alpha02  versions _x000D_
_x000D_
After some investigation I found that crash appears when my app theme is extended from    Theme MaterialComponents Light DarkActionBar Bridge    and works good for    Theme MaterialComponents Light DarkActionBar   _x000D_
_x000D_
  Expected behavior:   Time picker dialog is appeared on screen _x000D_
_x000D_
  Source code:   _x000D_
   _x000D_
MaterialTimePicker picker   new MaterialTimePicker Builder()_x000D_
                 setTitleText(question getText())_x000D_
                 setHour(0)_x000D_
                 setMinute(0)_x000D_
                 setTimeFormat(TimeFormat CLOCK 12H)_x000D_
                 setInputMode(MaterialTimePicker INPUT MODE KEYBOARD)_x000D_
                 build() _x000D_
        picker addOnPositiveButtonClickListener(v    processTimeFormat(picker getHour()  picker getMinute())) _x000D_
        picker show(getFragmentManager()   time picker dialog ) _x000D_
   _x000D_
_x000D_
Styles:_x000D_
   _x000D_
 style name  AppThemeInspection  parent  Theme MaterialComponents Light DarkActionBar Bridge  _x000D_
             Customize your theme here     _x000D_
         item name  colorPrimary   color colorPrimaryInspection  item _x000D_
         item name  colorPrimaryDark   color colorPrimaryDarkInspection  item _x000D_
         item name  colorAccent   color colorAccentInspection  item _x000D_
         item name  materialCalendarTheme   style ThemeOverlay MaterialComponents MaterialCalendar  item _x000D_
         item name  materialTimePickerTheme   style ThemeOverlay MaterialComponents TimePicker  item _x000D_
  style _x000D_
   _x000D_
_x000D_
  Android API version:   31(Android 12 Beta 4)_x000D_
_x000D_
  Material Library version:   1 4 0_x000D_
_x000D_
  Device:   Pixel 3a XL_x000D_
_x000D_
 android view InflateException: Binary XML file line  80 in com inspection driveroo launch:layout material timepicker dialog: Binary XML file line  80 in com inspection driveroo launch:layout material timepicker dialog: Error inflating class  unknown _x000D_
    Caused by: android view InflateException: Binary XML file line  80 in com inspection driveroo launch:layout material timepicker dialog: Error inflating class  unknown _x000D_
    Caused by: java lang reflect InvocationTargetException_x000D_
        at java lang reflect Constructor newInstance0(Native Method)_x000D_
        at java lang reflect Constructor newInstance(Constructor java:343)_x000D_
        at android view LayoutInflater createView(LayoutInflater java:858)_x000D_
        at android view LayoutInflater createViewFromTag(LayoutInflater java:1010)_x000D_
        at android view LayoutInflater createViewFromTag(LayoutInflater java:965)_x000D_
        at android view LayoutInflater rInflate(LayoutInflater java:1127)_x000D_
        at android view LayoutInflater rInflateChildren(LayoutInflater java:1088)_x000D_
        at android view LayoutInflater inflate(LayoutInflater java:686)_x000D_
        at android view LayoutInflater inflate(LayoutInflater java:538)_x000D_
        at android view LayoutInflater inflate(LayoutInflater java:485)_x000D_
        at com google android material timepicker MaterialTimePicker onCreateView(MaterialTimePicker java:214)_x000D_
        at androidx fragment app Fragment performCreateView(Fragment java:2698)_x000D_
        at androidx fragment app FragmentStateManager createView(FragmentStateManager java:320)_x000D_
        at androidx fragment app FragmentManager moveToState(FragmentManager java:1187)_x000D_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BackStackRecord executeOps(BackStackRecord java:447)_x000D_
        at androidx fragment app FragmentManager executeOps(FragmentManager java:2169)_x000D_
        at androidx fragment app FragmentManager executeOpsTogether(FragmentManager java:1992)_x000D_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java:938)_x000D_
        at android os Handler dispatchMessage(Handler java:99)_x000D_
        at android os Looper loopOnce(Looper java:201)_x000D_
        at android os Looper loop(Looper java:288)_x000D_
        at android app ActivityThread main(ActivityThread java:7822)_x000D_
        at java lang reflect Method invoke(Native Method)_x000D_
        at com android internal os RuntimeInit MethodAndArgsCaller run(RuntimeInit java:548)_x000D_
        at com android internal os ZygoteInit main(ZygoteInit java:1003)_x000D_
     Caused by: java lang UnsupportedOperationException: Failed to resolve attribute at index 36: TypedValue t 0x2 d 0x7f0402f7 a 9 _x000D_
        at android content res TypedArray getDimensionPixelSize(TypedArray java:783)_x000D_
        at android view View  init (View java:5788)_x000D_
        at android widget TextView  init (TextView java:1032)_x000D_
        at android widget Button  init (Button java:166)_x000D_
        at android widget Button  init (Button java:141)_x000D_
        at androidx appcompat widget AppCompatButton  init (AppCompatButton java:74)_x000D_
        at com google android material button MaterialButton  init (MaterialButton java:224)_x000D_
        at com google android material button MaterialButton  init (MaterialButton java:220)_x000D_
        at java lang reflect Constructor newInstance0(Native Method) _x000D_
        at java lang reflect Constructor newInstance(Constructor java:343) _x000D_
        at android view LayoutInflater createView(LayoutInflater java:858) _x000D_
        at android view LayoutInflater createViewFromTag(LayoutInflater java:1010) _x000D_
        at android view LayoutInflater createViewFromTag(LayoutInflater java:965) _x000D_
        at android view LayoutInflater rInflate(LayoutInflater java:1127) _x000D_
        at android view LayoutInflater rInflateChildren(LayoutInflater java:1088) _x000D_
        at android view LayoutInflater inflate(LayoutInflater java:686) _x000D_
        at android view LayoutInflater inflate(LayoutInflater java:538) _x000D_
        at android view LayoutInflater inflate(LayoutInflater java:485) _x000D_
        at com google android material timepicker MaterialTimePicker onCreateView(MaterialTimePicker java:214) _x000D_
        at androidx fragment app Fragment performCreateView(Fragment java:2698) _x000D_
        at androidx fragment app FragmentStateManager createView(FragmentStateManager java:320) _x000D_
        at androidx fragment app FragmentManager moveToState(FragmentManager java:1187) _x000D_
        at androidx fragment app FragmentManager moveToState(FragmentManager java:1356) _x000D_
        at androidx fragment app FragmentManager moveFragmentToExpectedState(FragmentManager java:1434) _x000D_
        at androidx fragment app FragmentManager moveToState(FragmentManager java:1497) _x000D_
        at androidx fragment app BackStackRecord executeOps(BackStackRecord java:447) _x000D_
        at androidx fragment app FragmentManager executeOps(FragmentManager java:2169) _x000D_
        at androidx fragment app FragmentManager executeOpsTogether(FragmentManager java:1992) _x000D_
        at androidx fragment app FragmentManager removeRedundantOperationsAndExecute(FragmentManager java:1947) _x000D_
        at androidx fragment app FragmentManager execPendingActions(FragmentManager java:1849) _x000D_
        at androidx fragment app FragmentManager 4 run(FragmentManager java:413) _x000D_
        at android os Handler handleCallback(Handler java:938) _x000D_
        at android os Handler dispatchMessage(Handler java:99) _x000D_
        at android os Looper loopOnce(Looper java:201) _x000D_
        at android os Looper loop(Looper java:288) _x000D_
        at android app ActivityThread main(ActivityThread java:7822) _x000D_
        at java lang reflect Method invoke(Native Method) _x000D_
        at com android internal os RuntimeInit MethodAndArgsCaller run(RuntimeInit java:548) _x000D_
        at com android internal os ZygoteInit main(ZygoteInit java:1003)  </t>
  </si>
  <si>
    <t>TeamNewPipe-NewPipe-6939</t>
  </si>
  <si>
    <t>Video-Player is visible on wallpaper after the app is closed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</si>
  <si>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There is a popup at the side of the video when closing newpipe_x000D_
_x000D_
_x000D_
    Expected behavior_x000D_
     Tell us what you expect to happen     _x000D_
Nothing_x000D_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Screenshot 20210818 073717 (https:  user images githubusercontent com 74511929 129837947 92b977c9 d63e 4b99 b251 aec24c42088f jpg)_x000D_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Version 7 1 1 Nougat_x000D_
   Device model: Samsung Galaxy Tab A_x000D_
</t>
  </si>
  <si>
    <t>guolindev-PermissionX-116</t>
  </si>
  <si>
    <t>Android 12 Permission deny crash</t>
  </si>
  <si>
    <t xml:space="preserve">I found this crash on Android 12 (Pixel 3 device)  _x000D_
Function: showForwardToSettingsDialog(List String  permissions  String message  String positiveText  String negativeText)_x000D_
_x000D_
Steps to reproduce it:_x000D_
Deny the permission 2 (I tried Microphone permission) times and crash occurs as soon as app attempts to display the dialog via:  showForwardToSettingsDialog(List String  permissions  String message  String positiveText  String negativeText) _x000D_
File: ForwardScope java_x000D_
_x000D_
Here s the crash logs_x000D_
java lang RuntimeException: Failure delivering result ResultInfo who  android:requestPermissions:  request 65537  result  1  data Intent   act android content pm action REQUEST PERMISSIONS (has extras)    to activity  com gm guardian debug com gm guardian ui MainActivity : android content res Resources NotFoundException: String resource ID  0x0_x000D_
        at android app ActivityThread deliverResults(ActivityThread java:5298)_x000D_
        at android app ActivityThread handleSendResult(ActivityThread java:5337)_x000D_
        at android app servertransaction ActivityResultItem execute(ActivityResultItem java:54)_x000D_
        at android app servertransaction ActivityTransactionItem execute(ActivityTransactionItem java:45)_x000D_
        at android app servertransaction TransactionExecutor executeCallbacks(TransactionExecutor java:135)_x000D_
        at android app servertransaction TransactionExecutor execute(TransactionExecutor java:95)_x000D_
        at android app ActivityThread H handleMessage(ActivityThread java:2202)_x000D_
        at android os Handler dispatchMessage(Handler java:106)_x000D_
        at android os Looper loopOnce(Looper java:201)_x000D_
        at android os Looper loop(Looper java:288)_x000D_
        at android app ActivityThread main(ActivityThread java:7829)_x000D_
        at java lang reflect Method invoke(Native Method)_x000D_
        at com android internal os RuntimeInit MethodAndArgsCaller run(RuntimeInit java:548)_x000D_
        at com android internal os ZygoteInit main(ZygoteInit java:982)_x000D_
     Caused by: android content res Resources NotFoundException: String resource ID  0x0_x000D_
        at android content res Resources getText(Resources java:444)_x000D_
        at android content res Resources getString(Resources java:537)_x000D_
        at android content Context getString(Context java:706)_x000D_
        at com permissionx guolindev dialog DefaultDialog buildPermissionsLayout(DefaultDialog kt:161)_x000D_
        at com permissionx guolindev dialog DefaultDialog onCreate(DefaultDialog kt:54)_x000D_
        at android app Dialog dispatchOnCreate(Dialog java:424)_x000D_
        at android app Dialog show(Dialog java:318)_x000D_
        at com permissionx guolindev request PermissionBuilder showHandlePermissionDialog(PermissionBuilder kt:311)_x000D_
        at com permissionx guolindev request PermissionBuilder showHandlePermissionDialog(PermissionBuilder kt:286)_x000D_
        at com permissionx guolindev request ForwardScope showForwardToSettingsDialog(ForwardScope java:54)_x000D_
_x000D_
_x000D_
Please dop not hesitate to let me know if I can provide you with any further information </t>
  </si>
  <si>
    <t>Anuken-Mindustry-5787</t>
  </si>
  <si>
    <t>Derelict units kill cores without resistance</t>
  </si>
  <si>
    <t xml:space="preserve">  Platform  : Linux_x000D_
_x000D_
  Build  : Steam 130_x000D_
_x000D_
  Issue  : When you select derelict as an enemy team  then start a wave  the derelict units will approach cores and attack them  They will not attack anything else  and turrets will not attack the units  meaning you have to manually kill the derelict units to defend yourself from them _x000D_
_x000D_
  Steps to reproduce  : Start any map with  Enemy Team  set to Derelict  and start a wave _x000D_
_x000D_
  Link(s) to mod(s) used  : logic debugger_x000D_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bug zip (https:  github com Anuken Mindustry files 6995602 bug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(Although a similar problem has been reported before  it was closed and wasn t quite the same as this)_x000D_
</t>
  </si>
  <si>
    <t>inaturalist-iNaturalistAndroid-1097</t>
  </si>
  <si>
    <t>StringIndexOutOfBoundsException in UserActivitiesAdapter</t>
  </si>
  <si>
    <t xml:space="preserve">https:  console firebase google com u 1 project inaturalist ios crashlytics app android:org inaturalist android issues 725dbbe2a672d47b2cdfe21c68225d36_x000D_
_x000D_
   _x000D_
Fatal Exception: java lang StringIndexOutOfBoundsException: length 10  index 59_x000D_
       at java lang String substring(String java:2060)_x000D_
       at org inaturalist android UserActivitiesAdapter 2 onGlobalLayout(UserActivitiesAdapter java:164)_x000D_
   </t>
  </si>
  <si>
    <t>Rapsssito-react-native-tcp-socket-121</t>
  </si>
  <si>
    <t xml:space="preserve">Host not reachable error handling </t>
  </si>
  <si>
    <t xml:space="preserve">   Description_x000D_
Hi I have been evaluating your module as an update for some older react tcp code and it performs well _x000D_
Great job and good work in keeping the calls similar to the Node  net module  Makes for easy use and implementation _x000D_
_x000D_
I am an embedded programmer and have decent knowledge of embedded tcp ip sockets in the micro controller domain _x000D_
_x000D_
My react native app creates multiple tcp clients  all connecting to some hardware and exchanging data _x000D_
All events such as connect()   data()   close()   error() )  work perfectly well and I have created and connected up to 30 simultaneous clients with no issues at all in iOS   Android _x000D_
_x000D_
   Steps to reproduce_x000D_
_x000D_
If some or all servers are OFF and not reachable on the network  the iOS version tries to connect and then has an error and subsequently the close event destroys the client and our routine tries to reconnect again   and all is well     _x000D_
_x000D_
In android ( when some or all servers ore OFF )  an error is called within 3 seconds of the connect() function ( even though the connect timeout is set to 5 seconds or greater ) and then an error followed by close occurs  _x000D_
Our code is setup to reconnect and tries but eventually  after a few minutes the app crashes  _x000D_
_x000D_
The effect is more pronounced when more client sockets are trying to connect to unreachable servers  _x000D_
I have even tried adding a 10 second delay after socket destroy and connecting again  to no avail   _x000D_
_x000D_
   Current behavior_x000D_
If the server is offline or down or unreachable the app crashes_x000D_
The error is occurring at java level and i do not have a screenshot right now but will share one asap_x000D_
_x000D_
   Expected behavior_x000D_
The error() event should fire followed by the close() event_x000D_
 _x000D_
   Relevant information_x000D_
React Native 0 64_x000D_
Xcode 13_x000D_
Android studio 2021 1 1_x000D_
_x000D_
   Notes_x000D_
Would love to hear what the possible issues could be and if any possible solutions suggested _x000D_
Will share any further details as required  and would love to sponsor your work (  for basic prioritized bug support )_x000D_
_x000D_
Cheers   _x000D_
_x000D_
sudray</t>
  </si>
  <si>
    <t>PojavLauncherTeam-PojavLauncher-1855</t>
  </si>
  <si>
    <t>Idk why but my game crashes</t>
  </si>
  <si>
    <t xml:space="preserve">    Describe the bug_x000D_
_x000D_
When I open my game it crashes completely after_x000D_
A min or half min for some reason I think it s a bug only on my android ui (Funtouchos)_x000D_
It will be nice if you fix this_x000D_
_x000D_
    The log file and images videos_x000D_
_x000D_
 No response _x000D_
_x000D_
    Steps To Reproduce_x000D_
_x000D_
   markdown_x000D_
1 Start launcher_x000D_
2 start game (any version)_x000D_
3 load up a world_x000D_
4 play for a min or half_x000D_
5 Crash_x000D_
   _x000D_
_x000D_
_x000D_
    Expected Behavior_x000D_
_x000D_
I expected the game to not crash_x000D_
_x000D_
    Platform_x000D_
_x000D_
   markdown_x000D_
  Device model:Vivo v9 pro_x000D_
  CPU architecture:8x ARM Cortex A53 2 21 GHz_x000D_
  Android version:9_x000D_
  PojavLauncher version: _x000D_
Latest version (playstore one)_x000D_
   _x000D_
_x000D_
Latest crash _x000D_
 latestcrash txt (https:  github com PojavLauncherTeam PojavLauncher files 6994353 latestcrash txt)_x000D_
_x000D_
_x000D_
Latest log_x000D_
 latestlog txt (https:  github com PojavLauncherTeam PojavLauncher files 6994359 latestlog txt)_x000D_
</t>
  </si>
  <si>
    <t>Rapsssito-react-native-tcp-socket-120</t>
  </si>
  <si>
    <t>java.lang.IllegalArgumentException TcpSocketsNo socket with id [X]</t>
  </si>
  <si>
    <t xml:space="preserve">   Description_x000D_
I ve been getting some automated crash reports delivered to me with this error along with general user reports of frequent network interruptions   The full stack trace is _x000D_
_x000D_
   _x000D_
java lang IllegalArgumentException: TcpSocketsNo socket with id 1         at _x000D_
com asterinet react tcpsocket TcpSocketModule getTcpServer(TcpSocketModule java:357)         at _x000D_
com asterinet react tcpsocket TcpSocketModule access 700(TcpSocketModule java:37)         at _x000D_
com asterinet react tcpsocket TcpSocketModule 4 run(TcpSocketModule java:147)         at_x000D_
java lang Thread run(Thread java:923)         at _x000D_
java util concurrent ThreadPoolExecutor runWorker(ThreadPoolExecutor java:1167)         at _x000D_
java util concurrent ThreadPoolExecutor Worker run(ThreadPoolExecutor java:641)         at _x000D_
java lang Thread run(Thread java:923)_x000D_
   _x000D_
_x000D_
   Steps to reproduce_x000D_
I haven t been able to reproduce this myself  unfortunately   I don t do anything very special in my setup though  I just run a TCP server and then open up connections to it   The connections just hang out occasionally sending and receiving packets   My users have reported that the connection seems to drop a lot and my error handling code automatically reconnects them _x000D_
_x000D_
   Current behavior_x000D_
Client sockets apparently sometimes crash _x000D_
_x000D_
   Expected behavior_x000D_
Sockets stay open without error _x000D_
_x000D_
   Relevant information_x000D_
                     _x000D_
                     _x000D_
  OS   Android  various versions (8 11)   _x000D_
  react native   0 63 3    _x000D_
  react native tcp socket    5 2 1    _x000D_
</t>
  </si>
  <si>
    <t>Anuken-Mindustry-5784</t>
  </si>
  <si>
    <t>Periodical disconnect on servers with a lot of units</t>
  </si>
  <si>
    <t xml:space="preserve">  Platform  :  Android iOS Mac Windows Linux _x000D_
Windows_x000D_
_x000D_
  Build  :  The build number under the title in the main menu  Required   LATEST  IS NOT A VERSION  I NEED THE EXACT BUILD NUMBER OF YOUR GAME  _x000D_
129 2_x000D_
_x000D_
  Issue  :  Explain your issue in detail  _x000D_
When there s a lot of units on servers  i periodically get disconnected with any of those errors:_x000D_
              (https:  user images githubusercontent com 57039557 129569479 3a1e09f3 477c 4dbd af7d fe4aa46c7e3d png)_x000D_
              (https:  user images githubusercontent com 57039557 129569622 08e811d6 1cdf 44f7 bfe4 c37df76aa0d5 png)_x000D_
I actually reported this before in https:  github com Anuken Mindustry issues 5679 (happens on crawler arena) but reported it again since i noticed it happening on vanilla servers_x000D_
_x000D_
  Steps to reproduce  :  How you happened across the issue  and what exactly you did to make the bug happen  _x000D_
Be on  pl attack with  700 units alive   did not happen when i hosted and joined a dedicated server no matter how much units were spawned_x000D_
Usually  needs  at least around 500 units to happen_x000D_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disconsave zip (https:  github com Anuken Mindustry files 6992600 disconsave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</si>
  <si>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Anuken-Mindustry-5783</t>
  </si>
  <si>
    <t>Crash on startup: Couldn't load shared library 'libsdl-arc64.so' for target: Linux, 64-bit</t>
  </si>
  <si>
    <t xml:space="preserve">  Platform  : Linux (Debian 12 testing)_x000D_
_x000D_
  Build  : 129 2_x000D_
_x000D_
  Issue  : Crash on startup_x000D_
_x000D_
  Steps to reproduce  :   usr lib jvm java 17 openjdk amd64 bin java  jar Mindustry jar _x000D_
_x000D_
  Link(s) to mod(s) used  : none_x000D_
_x000D_
If you remove the line above without reading it properly and understanding what it means  I will reap your soul  Even if you re playing on someone s server  you can still save the game to a slot _x000D_
_x000D_
  (Crash) logs  : _x000D_
   _x000D_
 W  Failed to initialize Discord RPC   you are likely using a JVM  16 _x000D_
 E  java lang ExceptionInInitializerError_x000D_
	at arc backend sdl SdlApplication lambda init 0(SdlApplication java:74)_x000D_
	at arc backend sdl SdlApplication check(SdlApplication java:187)_x000D_
	at arc backend sdl SdlApplication init(SdlApplication java:74)_x000D_
	at arc backend sdl SdlApplication  init (SdlApplication java:31)_x000D_
	at mindustry desktop DesktopLauncher main(DesktopLauncher java:38)_x000D_
Caused by: arc util ArcRuntimeException: Couldn t load shared library  libsdl arc64 so  for target: Linux  64 bit_x000D_
	at arc util SharedLibraryLoader load(SharedLibraryLoader java:85)_x000D_
	at arc backend sdl jni SDL  clinit (SDL java:118)_x000D_
	    5 more_x000D_
Caused by: arc util ArcRuntimeException: java lang UnsatisfiedLinkError:  tmp arc d36ec2de libsdl arc64 so:  lib x86 64 linux gnu libc so 6: version  GLIBC 2 33  not found (required by  tmp arc d36ec2de libsdl arc64 so)_x000D_
	at arc util SharedLibraryLoader loadFile(SharedLibraryLoader java:288)_x000D_
	at arc util SharedLibraryLoader load(SharedLibraryLoader java:81)_x000D_
	    6 more_x000D_
Caused by: java lang UnsatisfiedLinkError:  tmp arc d36ec2de libsdl arc64 so:  lib x86 64 linux gnu libc so 6: version  GLIBC 2 33  not found (required by  tmp arc d36ec2de libsdl arc64 so)_x000D_
	at java base jdk internal loader NativeLibraries load(Native Method)_x000D_
	at java base jdk internal loader NativeLibraries NativeLibraryImpl open(NativeLibraries java:383)_x000D_
	at java base jdk internal loader NativeLibraries loadLibrary(NativeLibraries java:227)_x000D_
	at java base jdk internal loader NativeLibraries loadLibrary(NativeLibraries java:169)_x000D_
	at java base java lang ClassLoader loadLibrary(ClassLoader java:2383)_x000D_
	at java base java lang Runtime load0(Runtime java:746)_x000D_
	at java base java lang System load(System java:1857)_x000D_
	at arc util SharedLibraryLoader loadFile(SharedLibraryLoader java:294)_x000D_
	at arc util SharedLibraryLoader loadFile(SharedLibraryLoader java:260)_x000D_
	    7 more_x000D_
_x000D_
 E  Failed to save local crash report : java lang NoClassDefFoundError: Could not initialize class arc backend sdl jni SDL_x000D_
	at mindustry desktop DesktopLauncher message(DesktopLauncher java:355)_x000D_
	at mindustry desktop DesktopLauncher lambda handleCrash 9(DesktopLauncher java:228)_x000D_
	at mindustry desktop DesktopLauncher lambda handleCrash 10(DesktopLauncher java:228)_x000D_
	at mindustry net CrashSender send(CrashSender java:87)_x000D_
	at mindustry desktop DesktopLauncher handleCrash(DesktopLauncher java:225)_x000D_
	at mindustry desktop DesktopLauncher main(DesktopLauncher java:50)_x000D_
   _x000D_
_x000D_
Additionally  after failing to launch  mindustry leaves a file named  libsdl arc64 so   and a directory   temp  in the current directory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</si>
  <si>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Rapsssito-react-native-tcp-socket-119</t>
  </si>
  <si>
    <t>Crashing main thread if both server and socket created iOS</t>
  </si>
  <si>
    <t xml:space="preserve">   Description_x000D_
it seems that main thread is getting all the workload on ios and when data received on server and trying to connect to socket at the same time  it crashes the app  For our app  we need to create server on specific port and listen for any data it may receive and in same time be able to connect to socket if nessasary  I know that probably most of the users of this library is not using the library in this configuration  however  our app requires us to configure it this way  if there is any suggests   i would be happy to try  _x000D_
_x000D_
Once again  our configuration is consist of one  TcpSocket createServer port 8100  which created when app is started and one TcpSocket createConnection which is created whenever we are trying to connect to port 9100  _x000D_
_x000D_
   Steps to reproduce_x000D_
Steps to reproduce the behavior:_x000D_
1  Create a TcpSocket createServer_x000D_
2  At random time send data to TcpSocket createServer  data  listener and in same time try connecting  to array of ip addresses with TcpSocket createConnection_x000D_
3  it should crash the app and point to main thread on xcode_x000D_
_x000D_
   Current behavior_x000D_
iOS app crashes whenever both server and socket connection is establish at the same time with data being process on server  data  listener_x000D_
_x000D_
   Expected behavior_x000D_
App should not be crashing when there is two different types of connections _x000D_
_x000D_
   Relevant information_x000D_
                     _x000D_
                     _x000D_
  OS   iOS 14 6    _x000D_
  react native   0 63 4    _x000D_
  react native tcp socket    5 2 1   _x000D_
</t>
  </si>
  <si>
    <t>PojavLauncherTeam-PojavLauncher-1852</t>
  </si>
  <si>
    <t>BUG with Optifine, GL4ES and VGPU</t>
  </si>
  <si>
    <t xml:space="preserve">    Describe the bug_x000D_
_x000D_
When I activate the  Render Region  option the chunks bug  I used vgpu and in version 1 12 2 (I also tested on 1 16 5)  unfortunately with GL4ES 1 1 4 and 1 1 5 the game crashes when opening with Optifine (on 1 12 2) and if you don t open it with Optifine the game runs on the base of 0 1 FPS (Already that in all versions with all renderers)_x000D_
_x000D_
    The log file and images videos_x000D_
_x000D_
i had previously posted about the bug  but I didn t know where it came from  unfortunately I don t have an image or video at the moment _x000D_
_x000D_
    Steps To Reproduce_x000D_
_x000D_
   markdown_x000D_
I start the Launcher and use vgpu_x000D_
_x000D_
I open 1 12 2 with optifine (Also on 1 16 5)_x000D_
_x000D_
open a world_x000D_
_x000D_
in the settings: Render Regions OFF (Ok)_x000D_
Render Regions ON (Bug Chunks)_x000D_
_x000D_
obs: In 1 16 5 I can play with gl4es 1 1 4 or 1 1 5 then I can activate the Render Regions option_x000D_
   _x000D_
_x000D_
_x000D_
    Expected Behavior_x000D_
_x000D_
I just hope I can activate this option with the vgpu renderer or maybe use gl4es 1 1 5 on 1 12 2 with optifine without the game crashing _x000D_
_x000D_
    Platform_x000D_
_x000D_
   markdown_x000D_
  Device model: Galaxy A01_x000D_
  CPU architecture: aarch32_x000D_
  Android version: 11_x000D_
  PojavLauncher version: v3 3 1 1 1149ab569fa21 v3 openjdk_x000D_
   _x000D_
_x000D_
_x000D_
    Anything else _x000D_
_x000D_
 No response </t>
  </si>
  <si>
    <t>TeamNewPipe-NewPipe-6928</t>
  </si>
  <si>
    <t>Guys,  I hope the search algorithm isn't politicized . . .</t>
  </si>
  <si>
    <t xml:space="preserve">    _x000D_
I searched for MSNBC and it gives me results accordingly  but after I watch the first clip the second and succeeding clips are all Fox   I don t think this is how it was intended to work    Or Well I just hope the algorithm would give me a fair deal that s all   Searching for MSNBC means not Fox right    Hmmm    Coincidence    I did the same using YouTube and the results showed MSNBC clips and I played the same first clip and the succeeding lineup only had one Fox way down near the bottom   Just hoping NewPipe would have an impartial algorithm that s all   Just a concern   Thanks   _x000D_
_x000D_
  Screenshot 2021 08 15 15 16 42 649 (https:  user images githubusercontent com 82309171 129484808 04829712 263c 4ab0 a130 cf7055e5f5bc jpeg)_x000D_
  Screenshot 2021 08 15 15 16 56 324 (https:  user images githubusercontent com 82309171 129484817 28ddfdc5 d8b2 43f4 8414 0374d55a276e jpeg)_x000D_
_x000D_
_x000D_
Attached two screenshots showing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</si>
  <si>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TeamNewPipe-NewPipe-6927</t>
  </si>
  <si>
    <t>Video player slow loading on first tap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</si>
  <si>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It is a completely different issue  please read before marking as closed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1  Go to   What s New Trending page _x000D_
2  Press on  Any video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It is taking too much time to load a video   with the contents like description etc  Sometimes I have to close the window or app to play the video  Sometimes it doesn t even load the player _x000D_
See it s not related to buffering during already playing video  or not even related to Internet  _x000D_
     Tell us what happens with the steps given above     _x000D_
_x000D_
_x000D_
_x000D_
_x000D_
    Expected behavior_x000D_
The expected behaviour is fast video player loading_x000D_
     Tell us what you expect to happen     _x000D_
_x000D_
_x000D_
_x000D_
    Screenshots Screen recordings_x000D_
_x000D_
  Screenshot 20210815 154029864 (https:  user images githubusercontent com 55395995 129474974 78045ad4 223e 4383 a2f1 05105bd17108 jpg)_x000D_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Redmi note 10 (Sunny Mojito)_x000D_
</t>
  </si>
  <si>
    <t>TeamNewPipe-NewPipe-6925</t>
  </si>
  <si>
    <t>MP4 file not supporting Sony TV (audio not supported)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</si>
  <si>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newpipe_x000D_
2  Download a video_x000D_
3  Send it to a usb and then connect that to tv_x000D_
4  Play the video_x000D_
5  See audio error_x000D_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video plays but the audio isn t supported_x000D_
_x000D_
_x000D_
    Expected behavior_x000D_
     Tell us what you expect to happen     _x000D_
Video and audio to be supported_x000D_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</si>
  <si>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Anuken-Mindustry-5763</t>
  </si>
  <si>
    <t>Crash when changing sector icon before sector is played</t>
  </si>
  <si>
    <t xml:space="preserve">  Platform  : Windows_x000D_
_x000D_
  Build  : 21669_x000D_
_x000D_
  Issue  : Crash when changing sector icon _x000D_
_x000D_
  Steps to reproduce  : I just went into a freshly installed game  clicked  Campaign   and changed the icon of Ground Zero _x000D_
_x000D_
  Link(s) to mod(s) used  : None_x000D_
_x000D_
  Save file  :  The (zipped) save file you were playing on when the bug happened   Originally my game didn t generate a save because I have not entered the sector played at all when the crash happened  But I went ahead and grabbed this for you though _x000D_
 sector serpulo 15 zip (https:  github com Anuken Mindustry files 6986073 sector serpulo 15 zip)_x000D_
_x000D_
_x000D_
  (Crash) logs  : _x000D_
 crash report 08 14 2021 10 13 42 txt (https:  github com Anuken Mindustry files 6986074 crash report 08 14 2021 10 13 42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</si>
  <si>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TeamNewPipe-NewPipe-6921</t>
  </si>
  <si>
    <t>Clicking and watching a new video, then going back to the previous video ALWAYS restarts it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</si>
  <si>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Click on watch any vid for a minute_x000D_
2  Click any vid in  related videos  section  and watch it_x000D_
3  Use the  previous page back  fuction on your device to return to the original video_x000D_
_x000D_
     If you can t cause the bug to show up again reliably (and hence don t have a proper set of steps to give us)  please still try to give as many details as possible on how you think you encountered the bug     _x000D_
_x000D_
_x000D_
_x000D_
    Actual behavior_x000D_
Going back to the previous video always results in progress being lost  and it being restarted_x000D_
_x000D_
_x000D_
_x000D_
    Expected behavior_x000D_
Go back to previous vid  which should resume where you left off_x000D_
_x000D_
_x000D_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No log generated by Newpipe   Please fill this out when you do not provide a log generate by NewPipe    _x000D_
_x000D_
    Device info_x000D_
_x000D_
   Android version: 8 1 0_x000D_
   Device model:Samsung Galaxy J2_x000D_
    Issue occurs regardless of hardware software combo  I ve tested a few different devices_x000D_
</t>
  </si>
  <si>
    <t>nextcloud-android-8856</t>
  </si>
  <si>
    <t>Crash when switching to dark theme</t>
  </si>
  <si>
    <t xml:space="preserve">    Steps to reproduce_x000D_
1  Switch to dark theme_x000D_
_x000D_
_x000D_
    Expected behaviour_x000D_
It should switch to dark theme without crashing_x000D_
_x000D_
    Actual behaviour_x000D_
It crashes when attempting to switch to dark theme_x000D_
_x000D_
    Can you reproduce this problem on https:  try nextcloud com _x000D_
This question is irrelevant to this problem_x000D_
_x000D_
    Environment data_x000D_
             CAUSE OF ERROR             _x000D_
_x000D_
java lang RuntimeException: Unable to pause activity  com nextcloud android beta com owncloud android ui activity FileDisplayActivity : java lang IllegalArgumentException: Receiver not registered: de cotech hw internal transport usb UsbConnectionDispatcher 1 3de8912_x000D_
	at android app ActivityThread performPauseActivityIfNeeded(ActivityThread java:4176)_x000D_
	at android app ActivityThread handleLaunchActivity(ActivityThread java:3059)_x000D_
	at android app ActivityThread handleRelaunchActivity(ActivityThread java:4982)_x000D_
	at android app ActivityThread  wrap21(ActivityThread java)_x000D_
	at android app ActivityThread H handleMessage(ActivityThread java:1645)_x000D_
	at android os Handler dispatchMessage(Handler java:102)_x000D_
	at android os Looper loop(Looper java:154)_x000D_
	at android app ActivityThread main(ActivityThread java:6780)_x000D_
	at java lang reflect Method invoke(Native Method)_x000D_
	at com android internal os ZygoteInit MethodAndArgsCaller run(ZygoteInit java:1500)_x000D_
	at com android internal os ZygoteInit main(ZygoteInit java:1390)_x000D_
Caused by: java lang IllegalArgumentException: Receiver not registered: de cotech hw internal transport usb UsbConnectionDispatcher 1 3de8912_x000D_
	at android app LoadedApk forgetReceiverDispatcher(LoadedApk java:1054)_x000D_
	at android app ContextImpl unregisterReceiver(ContextImpl java:1376)_x000D_
	at android content ContextWrapper unregisterReceiver(ContextWrapper java:668)_x000D_
	at de cotech hw internal transport usb UsbConnectionDispatcher onInactive(UsbConnectionDispatcher java:131)_x000D_
	at de cotech hw SecurityKeyManager DispatcherActivityLifecycleCallbacks ensureStateInactive(SecurityKeyManager java:316)_x000D_
	at de cotech hw SecurityKeyManager DispatcherActivityLifecycleCallbacks refreshActiveState(SecurityKeyManager java:290)_x000D_
	at de cotech hw SecurityKeyManager DispatcherActivityLifecycleCallbacks onActivityPaused(SecurityKeyManager java:333)_x000D_
	at android app Application dispatchActivityPaused(Application java:249)_x000D_
	at android app Activity onPause(Activity java:1677)_x000D_
	at androidx fragment app FragmentActivity onPause(FragmentActivity java:388)_x000D_
	at com owncloud android ui activity BaseActivity onPause(BaseActivity java:84)_x000D_
	at com owncloud android ui activity FileActivity onPause(FileActivity java:253)_x000D_
	at com owncloud android ui activity FileDisplayActivity onPause(FileDisplayActivity java:1243)_x000D_
	at android app Activity performPause(Activity java:7139)_x000D_
	at android app Instrumentation callActivityOnPause(Instrumentation java:1330)_x000D_
	at android app ActivityThread performPauseActivityIfNeeded(ActivityThread java:4165)_x000D_
	    10 more_x000D_
_x000D_
             APP INFORMATION             _x000D_
ID: com nextcloud android beta_x000D_
Version: 20210811_x000D_
Build flavor: versionDev_x000D_
_x000D_
             DEVICE INFORMATION             _x000D_
Brand: samsung_x000D_
Device: gts28wifi_x000D_
Model: SM T710_x000D_
Id: NRD90M_x000D_
Product: gts28wifixx_x000D_
_x000D_
             FIRMWARE             _x000D_
SDK: 24_x000D_
Release: 7 0_x000D_
Incremental: T710XXU2DRG2_x000D_
</t>
  </si>
  <si>
    <t>TeamNewPipe-NewPipe-6920</t>
  </si>
  <si>
    <t>App crashes whenever I try to download content or when I go see my downloads</t>
  </si>
  <si>
    <t>When ever I try to download a video as an audio or video file  Or whenever I go to the  Downloads  menu the app crashes  This has been occuring for the past 3 recent updates of Newpipe  And after installing the recent updates  I decided to report it _x000D_
_x000D_
Log:_x000D_
   Exception_x000D_
    User Action:   ui error_x000D_
    Request:   ACRA report_x000D_
    Content Country:   US_x000D_
    Content Language:   en US_x000D_
    App Language:   en US_x000D_
    Service:   none_x000D_
    Version:   0 21 8_x000D_
    OS:   Linux Android 11   30_x000D_
 details  summary  b Crash log   b   summary  p _x000D_
_x000D_
   _x000D_
java lang RuntimeException: Unable to create service us shandian giga service DownloadManagerService: java lang NullPointerException: Attempt to invoke virtual method  java lang String org schabi newpipe streams io StoredFileHelper toString()  on a null object reference_x000D_
	at android app ActivityThread handleCreateService(ActivityThread java:4209)_x000D_
	at android app ActivityThread access 1500(ActivityThread java:242)_x000D_
	at android app ActivityThread H handleMessage(ActivityThread java:1937)_x000D_
	at android os Handler dispatchMessage(Handler java:106)_x000D_
	at android os Looper loop(Looper java:368)_x000D_
	at android app ActivityThread main(ActivityThread java:7710)_x000D_
	at java lang reflect Method invoke(Native Method)_x000D_
	at com android internal os RuntimeInit MethodAndArgsCaller run(RuntimeInit java:592)_x000D_
	at com android internal os ZygoteInit main(ZygoteInit java:954)_x000D_
Caused by: java lang NullPointerException: Attempt to invoke virtual method  java lang String org schabi newpipe streams io StoredFileHelper toString()  on a null object reference_x000D_
	at us shandian giga service DownloadManager loadPendingMissions(DownloadManager java:165)_x000D_
	at us shandian giga service DownloadManager  init (DownloadManager java:77)_x000D_
	at us shandian giga service DownloadManagerService onCreate(DownloadManagerService java:142)_x000D_
	at android app ActivityThread handleCreateService(ActivityThread java:4197)_x000D_
	    8 more_x000D_
_x000D_
   _x000D_
  details _x000D_
 hr _x000D_
_x000D_
Version of Newpipe Installed:_x000D_
NewPipe Version 0 21 8_x000D_
_x000D_
Device Information:_x000D_
OS: Android 11_x000D_
Device: Sony Xperia 5 II</t>
  </si>
  <si>
    <t>Keidan-HexViewer-102</t>
  </si>
  <si>
    <t>the application crashes if you enter a large address</t>
  </si>
  <si>
    <t>1) the file opens_x000D_
2) I click go to the address_x000D_
3) I enter the value of a very large number of 20 numbers_x000D_
4) the app is crashing_x000D_
_x000D_
the application does not check what the user has entered and does not check that this value can be very large</t>
  </si>
  <si>
    <t>Keidan-HexViewer-96</t>
  </si>
  <si>
    <t>the app is crashing</t>
  </si>
  <si>
    <t xml:space="preserve">1  updated the app _x000D_
2  opening the application_x000D_
3  click on recently open_x000D_
4  the app is crashing_x000D_
_x000D_
I think the problem is checking the permission for files after updating the application_x000D_
_x000D_
 log zip (https:  github com Keidan HexViewer files 6984351 log zip)_x000D_
</t>
  </si>
  <si>
    <t>Anuken-Mindustry-5760</t>
  </si>
  <si>
    <t>Crash when player team has builder AI - but ocasionally doesn't.</t>
  </si>
  <si>
    <t xml:space="preserve">  Platform  :  Android iOS Mac Windows Linux _x000D_
Linux_x000D_
_x000D_
  Build  :  The build number under the title in the main menu  Required   LATEST  IS NOT A VERSION  I NEED THE EXACT BUILD NUMBER OF YOUR GAME  _x000D_
21663 BE_x000D_
_x000D_
  Issue  :  Explain your issue in detail  _x000D_
The game crashes if the player team has builder AI _x000D_
Oddly enough  if you load the save file  it ll work just fine _x000D_
_x000D_
  Steps to reproduce  :  How you happened across the issue  and what exactly you did to make the bug happen  _x000D_
Enable builder AI in the enemy team_x000D_
Switch player team and enemy team _x000D_
Play_x000D_
_x000D_
ohno_x000D_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Crashthing zip (https:  github com Anuken Mindustry files 6984043 Crashthing zip)_x000D_
_x000D_
  (Crash) logs  :  Either crash reports from the crash folder  or the file you get when you go into Settings    Game Data    Export Crash logs  REQUIRED if you are reporting a crash  _x000D_
 crash report 08 13 2021 13 43 02 txt (https:  github com Anuken Mindustry files 6984044 crash report 08 13 2021 13 43 02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</si>
  <si>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MuntashirAkon-AppManager-554</t>
  </si>
  <si>
    <t xml:space="preserve">Version 2.6.2 (F-Droid) have problem and won't work in adb over tcp mode </t>
  </si>
  <si>
    <t xml:space="preserve">    _x000D_
Your issue will be closed without warning if you don t check at least two items _x000D_
   _x000D_
       I know what my device  OS and App Manager versions are_x000D_
      I know how to take logs_x000D_
       I know how to reproduce the issue which may not be specific to my device_x000D_
_x000D_
  Describe the bug  _x000D_
_x000D_
After 2 5 17  every version i install from F Droid won t work in adb mode and even though i force it in setting to use adb over tcp  it always prompt that there is a problem with current working method and would you like to go to non root mode _x000D_
_x000D_
I tested this is two devices  in both devices the latest F Droid version (2 6 2) have exact this problem but when i remove it and install 2 5 17 again  it prompt for adb permission and will work _x000D_
_x000D_
I tested this in two devices without root access _x000D_
_x000D_
Honor 10 lite woth android pie_x000D_
_x000D_
Huawei y5 lite 2018 with android oreo go edition _x000D_
_x000D_
In both 1 5 17 worked perfectly but 2 6 2 didn t worked and prompt me that text i writed before to go to non root method _x000D_
_x000D_
Although it is not related to this issue  for more info i tested this in a android box that have root access and it works very good with root thanks god :)_x000D_
_x000D_
By the way thank you very much for this great app _x000D_
_x000D_
I also checked 1 5 17 settings but there wasn t any settings to export logs  that is the reason i didn t checked it in first of this issue _x000D_
_x000D_
Otherwise i probably can find out if you help a little to provide you logs _x000D_
_x000D_
Also how much are private this logs _x000D_
_x000D_
Does them have any personal identifiable information in them _x000D_
_x000D_
Thank you very much _x000D_
_x000D_
  Expected behavior  _x000D_
_x000D_
App should show toast message that are working in adb mode and can disable enable system apps and other things that it could done qith adb mode in the past versions _x000D_
_x000D_
  Screenshots  _x000D_
_x000D_
App manager in version (1 5 17) :_x000D_
_x000D_
  Screenshot 20210813 204854 io github muntashirakon AppManager (https:  user images githubusercontent com 49192003 129389622 d30de72a 32e1 4849 92f2 65ddc8c09942 jpg)_x000D_
_x000D_
App manager in version (2 6 2) : (screen record)(available untill 30 days from now)_x000D_
_x000D_
https:  upload disroot org r rb1Z0xqd XlO0I6ZneaLPNwfagTKek6LqsMlXySKgJsECcuHH cw _x000D_
_x000D_
  Crash logs  _x000D_
If applicable  add crash logs to help us figure out the problem _x000D_
_x000D_
  Device info  _x000D_
   Device: (Huawei) Honor 10 lite   Huawei Y5 Lite 2018_x000D_
   OS Version: Android 9   Android 8 (Go Edition)_x000D_
   App Manager Version: 2 5 17 (works in adb mode and has no problem) vs 2 6 2 (don t work with adb over tcp and have problem) (F Droid versions)_x000D_
   Mode: adb_x000D_
_x000D_
  Additional context  _x000D_
Thank you very much _x000D_
</t>
  </si>
  <si>
    <t>martykan-forecastie-598</t>
  </si>
  <si>
    <t>5x2 Widget crash with custom date</t>
  </si>
  <si>
    <t xml:space="preserve">Hi _x000D_
_x000D_
Device: Motorola G7 Play_x000D_
OS: Lineage 18 1   Android 11_x000D_
_x000D_
If I change the date format to _x000D_
  WhatsApp Image 2021 08 13 at 07 56 57 (https:  user images githubusercontent com 46730249 129349336 2e39b4bf 44fe 4a37 87f1 c88aaeda784e jpeg)_x000D_
_x000D_
    the widget (5x2) becomes this_x000D_
  WhatsApp Image 2021 08 13 at 07 57 47 (https:  user images githubusercontent com 46730249 129349436 d499f4ed c714 4f19 a06e f1338ec7db6a jpeg)_x000D_
_x000D_
And if I tap on that blue screen  the app crashes _x000D_
_x000D_
Follows logcat  in case it s useful_x000D_
 logcat txt (https:  github com martykan forecastie files 6982046 logcat txt)_x000D_
_x000D_
_x000D_
</t>
  </si>
  <si>
    <t>nikita36078-J2ME-Loader-821</t>
  </si>
  <si>
    <t>Worms 2010 problem</t>
  </si>
  <si>
    <t xml:space="preserve">  Emulator version:  _x000D_
1 7 0 play_x000D_
  Device:  _x000D_
Samsung Galaxy Tab 3V_x000D_
  Android version:  _x000D_
4 4 4_x000D_
  Description of the issue:  _x000D_
Most version of worms 2010 crashed when it is CPU turn (sometimes it crash on CPU 2nd turn) </t>
  </si>
  <si>
    <t>Benji377-SocyMusic-155</t>
  </si>
  <si>
    <t>PlayerFragment crashes when opened with the system-wide dark mode</t>
  </si>
  <si>
    <t xml:space="preserve">  Describe the Bug  _x000D_
I had this bug that confused the heck out of me  The player fragment kept crashing with an exception that I didn t understand at all  After some googling and dubugging I found that it was due to the playerBackground style attribute used to set different backgrounds in the player fragment  I remembered not having this error a few days ago so I was so confused at first  Then it hit me: I had turned on the dark mode  If you have the system wide dark mode turned on in the settings (the one introduced in android 9)  the app uses the (night) version of themes xml which in our case does not set the playerBackground attribute  _x000D_
_x000D_
Updating the night themes xml should fix the crash  Ideally we should have light versions of the themes in our normal themes file and dark versions in the night themes file _x000D_
_x000D_
  To Reproduce  _x000D_
Steps to reproduce the behavior:_x000D_
1  Turn on system wide dark mode in settings _x000D_
2  Open any song _x000D_
_x000D_
_x000D_
</t>
  </si>
  <si>
    <t>nextcloud-android-8852</t>
  </si>
  <si>
    <t>App crashes after returning from lockscreen after audio ended playing</t>
  </si>
  <si>
    <t xml:space="preserve">    Steps to reproduce_x000D_
1  Go to a folder with an audio file  e g  a MP3 and play it with the internal player_x000D_
2  Put your phone into standby  so it plays the music in the background_x000D_
3  Wait until the song has ended_x000D_
4  Unlock your phone again_x000D_
5  You will see the player with the warning  Der interne Player kann die Mediendatei nicht abspielen _x000D_
5  Try to tap on the top left arrow to get back to the folder view_x000D_
5  Nextcloud crashes instantly_x000D_
_x000D_
Reproducible every time _x000D_
_x000D_
    Expected behaviour_x000D_
  After coming back from the lockscreen you should be able to play the audio again or to go back to the folder view_x000D_
_x000D_
    Actual behaviour_x000D_
  First an error is popping up  then the whole app crashes_x000D_
_x000D_
    Can you reproduce this problem on https:  try nextcloud com _x000D_
  This has nothing to do with the server backend_x000D_
_x000D_
    Environment data_x000D_
Android version: 10_x000D_
OxygenOS Version: 10 0 1_x000D_
Device model: Oneplus A5000_x000D_
Stock or customized system: OxygenOS_x000D_
Nextcloud app version: 3 17 0 RC3_x000D_
Nextcloud server version: 20 0 11_x000D_
Reverse proxy: Apache 2 4 46_x000D_
_x000D_
    Error screen_x000D_
  image (https:  user images githubusercontent com 1520064 129191218 0b5e17d6 1eff 4187 9e15 1b83dd5af25e png)_x000D_
_x000D_
    Related_x000D_
Maybe related to https:  github com nextcloud android issues 8840</t>
  </si>
  <si>
    <t>Anuken-Mindustry-5751</t>
  </si>
  <si>
    <t>Game load fails and closes app before reaching main menu - iOS 9.3.5</t>
  </si>
  <si>
    <t xml:space="preserve">  Platform  :  iOS 9 3 5 (13G36) _x000D_
_x000D_
  Build  :  6 126 3 _x000D_
_x000D_
  Issue  :  I know it s an old OS  but i m stuck with it on a device  can t update any further (iPad mini Gen1)  The game starts  inicializes all the things (which are a bit hard to read for me) and before hitting the main menu it just crashes and exits  When i check the running apps in the background  it s there with white screen  and if i switch to it it restarts itself from the beginning to crash again  I restarted the whole device  checked for errors wherever i can  updated to latest for everything i could  _x000D_
_x000D_
  Steps to reproduce  :  Simply starting the game _x000D_
_x000D_
  Link(s) to mod(s) used  :  N A _x000D_
_x000D_
  Save file  :  N A   can t start the game at all _x000D_
_x000D_
  (Crash) logs  :  If i can produce any on iPad please let me know how and i will do so  _x000D_
_x000D_
   _x000D_
_x000D_
 Place an X (no spaces) between the brackets to confirm that you have read the line below    _x000D_
   X    I have updated to the latest release (from AppStore) (https:  github com Anuken Mindustry releases) to make sure my issue has not been fixed   _x000D_
   X    I have searched the closed and open issues to make sure that this problem has not already been reported   _x000D_
</t>
  </si>
  <si>
    <t>TeamNewPipe-NewPipe-6910</t>
  </si>
  <si>
    <t>Seemingly random videos say 'Video not available'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</si>
  <si>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via F Droid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https:  www youtube com watch v EeYGiS hZhU _x000D_
2  Wait for video to load  will take unusually long time_x000D_
3  Receive blank screen stating that the video is not available_x000D_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Video takes an unusually long time to load  and ultimately  does not  This occurs with seemingly random videos  including new videos  and videos I have already watched on newpipe in a previous version  The included example is just one of the many disconnected and connected videos this happens to  there s a few more in the same playlist  even  It is entirely consistent through closing the app  restarting the phone  and reinstalling newpipe entirely  It occurs regardless of the status of my internet connection _x000D_
_x000D_
_x000D_
_x000D_
    Expected behavior_x000D_
     Tell us what you expect to happen     _x000D_
Expected video to play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https:  dl dropboxusercontent com s oyihke00desr3ai Screenshot 20210812 004028 png dl 0_x000D_
_x000D_
_x000D_
_x000D_
    Logs_x000D_
     If your bug includes a crash (where you re shown the Error Report page with a bunch of info)  tap on  Copy formatted report  at the bottom and paste it here:    _x000D_
_x000D_
     That s right  here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java:116)_x000D_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Please fill this out when you do not provide a log generate by NewPipe    _x000D_
    Device info_x000D_
_x000D_
   Android version Custom ROM version: 10  software version q720qm20f_x000D_
   Device model: LM q720qm</t>
  </si>
  <si>
    <t>TeamNewPipe-NewPipe-6909</t>
  </si>
  <si>
    <t>Seekbar in  the notification does not progress as video is playing in the background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</si>
  <si>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Start playing any video in the background_x000D_
2  Swipe down to open the notification drawer_x000D_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Seekbar in the notification stays at 0:00 as video playback progresses_x000D_
_x000D_
_x000D_
    Expected behavior_x000D_
     Tell us what you expect to happen     _x000D_
Seekbar progresses with video playback_x000D_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photo 2021 08 12 16 35 40 (https:  user images githubusercontent com 4847726 129149278 0095cd33 2939 42b3 8824 a45a2c9a71ec jpg)_x000D_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Lineage OS 17 1_x000D_
   Device model: Sony Xperia XA2 Dual H4133 pioneer_x000D_
</t>
  </si>
  <si>
    <t>Anuken-Mindustry-5749</t>
  </si>
  <si>
    <t>Spawning in any team except sharded results in an instant gameover</t>
  </si>
  <si>
    <t xml:space="preserve">  Platform  :  Android iOS Mac Windows Linux _x000D_
Android (Probably happens in all platforms)_x000D_
  Build  :  The build number under the title in the main menu  Required   LATEST  IS NOT A VERSION  I NEED THE EXACT BUILD NUMBER OF YOUR GAME  _x000D_
21655_x000D_
  Issue  :  Explain your issue in detail  _x000D_
Whenever i try to enter a map with a different player team  it results in an instant gameover _x000D_
  Steps to reproduce  :  How you happened across the issue  and what exactly you did to make the bug happen  _x000D_
1  Open up Mindustry BE 21655_x000D_
2  Go to a custom game  then change your default player team to any team(except Sharded)_x000D_
_x000D_
  Link(s) to mod(s) used  :  The mod repositories or zip files that are related to the issue  if applicable  _x000D_
None _x000D_
  Save file  :_x000D_
Also none  as this happens everywhere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</si>
  <si>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Anuken-Mindustry-5746</t>
  </si>
  <si>
    <t>Redundant Pump/Conduit Placement Possible on the Edge of Space Tiles</t>
  </si>
  <si>
    <t xml:space="preserve">  Platform  :  Android iOS Mac Windows Linux  Windows_x000D_
_x000D_
  Build  :  The build number under the title in the main menu  Required   LATEST  IS NOT A VERSION  I NEED THE EXACT BUILD NUMBER OF YOUR GAME   Pre Alpha build 129 2 _x000D_
_x000D_
  Issue  :  Explain your issue in detail   I can place pumps and conduits on the edge of the water which generally should not be possible  (Additionally  phase bridge conduit exits show idle status no matter what )_x000D_
_x000D_
  Steps to reproduce  :  How you happened across the issue  and what exactly you did to make the bug happen   Accidental conduit placement in a sandbox map on the edge of space tiles  _x000D_
_x000D_
  Link(s) to mod(s) used  :  The mod repositories or zip files that are related to the issue  if applicable   None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redundant zip (https:  github com Anuken Mindustry files 6972034 redundant zip)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Game works fine _x000D_
_x000D_
   _x000D_
_x000D_
 Place an X (no spaces) between the brackets to confirm that you have read the line below    _x000D_
        I have updated to the latest release (https:  github com Anuken Mindustry releases) to make sure my issue has not been fixed    Unfortunately  I am not using the latest BE edition  This was on Pre Alpha 129 2  _x000D_
   X    I have searched the closed and open issues to make sure that this problem has not already been reported   _x000D_
</t>
  </si>
  <si>
    <t>dashevo-dash-wallet-708</t>
  </si>
  <si>
    <t>Crash on start on version v7.3.1</t>
  </si>
  <si>
    <t xml:space="preserve">I ve just updated the application from f droid and I crash after showing the loading screen  After some tries  a popup offer send a crash report  but it also fails _x000D_
_x000D_
I ve also tried to downgrade to version 7 0 9 (the last release on f droid  that I were using) and it fails with an:  unknown error  _x000D_
_x000D_
I m currently using HavocOS without Google Play Services </t>
  </si>
  <si>
    <t>TeamNewPipe-NewPipe-6907</t>
  </si>
  <si>
    <t>Video restarts whenever a video reached its end while in background playback mode and app is reopened afterwards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</si>
  <si>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Start playing a video  _x000D_
2  Minimize the app so the video plays in the background (not PIP mode) _x000D_
3  Wait for the video to end _x000D_
4  Reopen app_x000D_
5  Video will play from the start  resetting the playback marker in the progress_x000D_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app restarts the video from the very beginning_x000D_
_x000D_
_x000D_
    Expected behavior_x000D_
     Tell us what you expect to happen     _x000D_
The video shouldn t restart_x000D_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youtu be 5yf5Wn1ZWOU_x000D_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   OxygenOS_x000D_
   Device model: Oneplus 9 Pro_x000D_
</t>
  </si>
  <si>
    <t>MuntashirAkon-AppManager-550</t>
  </si>
  <si>
    <t>Create .tmp directory during backup on internal storage, not SAF storage</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</si>
  <si>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If for eg  Nextcloud is selected as SAF storage  the  tmp directory is created on the SAF storage which has very slow i o processing  causing unsuccessful app backups  Also the  tmp directory gets uploaded to the cloud leading to unnecessary wastage of bandwidth _x000D_
_x000D_
  To Reproduce  _x000D_
Steps to reproduce the behaviour:_x000D_
1  Go to  Backup Restore _x000D_
2  Click on  Backup Volume _x000D_
3  Select Nextcloud or any other cloud storage provider as SAF storage_x000D_
4  See error_x000D_
_x000D_
  Expected behavior  _x000D_
The  tmp directory is created on internal storage and the processed backup is pushed to the SAF storage _x000D_
_x000D_
  Screenshots  _x000D_
If applicable  add screenshots to help explain your problem _x000D_
  Screenshot 20210811 234810 AM Debug (https:  user images githubusercontent com 37732050 129083943 7be6a852 6dc0 46f2 968a f24d25049f9d png)_x000D_
  Screenshot 20210811 234857 MiXplorer (https:  user images githubusercontent com 37732050 129083952 d3eb23f1 c12e 4659 99c9 55e64786229d png)_x000D_
  Screenshot 20210811 234948 AM Debug (https:  user images githubusercontent com 37732050 129083956 a9b6ab53 e5a6 4418 9007 6c64b319c6a0 png)_x000D_
_x000D_
  Crash logs  _x000D_
If applicable  add crash logs to help us figure out the problem _x000D_
No crash log  only get backup failed _x000D_
_x000D_
  Device info  _x000D_
   Device: Lenovo Tab4 10 TB X304L_x000D_
   OS Version: Lineage OS 17 1_x000D_
   App Manager Version: 2 7 0 1460 DEBUG_x000D_
   Mode: root_x000D_
_x000D_
  Additional context  _x000D_
Add any other context about the problem here _x000D_
The cloud storage is mounted using rclone  but since OAndBackupX is able to successfully create backups  I don t think there are any problems there _x000D_
</t>
  </si>
  <si>
    <t>Anuken-Mindustry-5742</t>
  </si>
  <si>
    <t>Sounds in game are getting wierd</t>
  </si>
  <si>
    <t xml:space="preserve">  Platform  : Windows_x000D_
_x000D_
  Build  :  129 2_x000D_
_x000D_
  Issue  :  sometimes sounds from game are getting vomuled down like in menu_x000D_
_x000D_
  Steps to reproduce  : Entering to the campaing then leaving  then going into custom game and then getting back to  campaing  Here is how i did it https:  youtu be QRhvxt1LdRg_x000D_
_x000D_
_x000D_
  Save file  : _x000D_
 Data zip (https:  github com Anuken Mindustry files 6970061 Data zip)_x000D_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</si>
  <si>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twilio-video-quickstart-android-668</t>
  </si>
  <si>
    <t>Failed vpx_codec_flush 146: ctx is nullptr</t>
  </si>
  <si>
    <t xml:space="preserve">    Description_x000D_
_x000D_
Hi  I updated twilio video android sdk from 5 10 2 to 6 2 1 (I checked 6 4 0 and the same error happens)  and a new error happened on some devices _x000D_
_x000D_
This crash always happens in the Xiaomi Redmi 9T _x000D_
It also happens on the Android Emulator Pixel 2 API 30 x86 64 _x000D_
In the Android Emulator Pixel 2 API 30 x86 works fine  so it seems to be related to x86 64 somehow in the case of the emulator _x000D_
_x000D_
On the other devices that I tested  it worked well _x000D_
_x000D_
    Steps to Reproduce_x000D_
_x000D_
1  Start a video call_x000D_
2  wait 15 seconds_x000D_
3  is should crash_x000D_
_x000D_
     Reproduces how Often_x000D_
_x000D_
Always _x000D_
_x000D_
     Logs_x000D_
_x000D_
   _x000D_
2021 08 10 16:32:59 588 1263 8107 com google android gms E NetworkScheduler ATC: Called cancelTask for already completed task com google android gms  measurement PackageMeasurementTaskService u 0 tag  Measurement PackageMeasurementTaskService UPLOAD TASK TAG  trigger window start 0s end 1s earliest  82s latest  81s  requirements  NET CONNECTED  attributes  PERSISTED  scheduled  82s last run  82s jid N A status ACTIVE retries 0 client lib GMS TASK SCHEDULER 201817000  :1_x000D_
2021 08 10 16:32:59 734 1263 4640 com google android gms E NetworkScheduler ATC: Called cancelTask for already completed task com google android gms  measurement PackageMeasurementTaskService u 0 tag  Measurement PackageMeasurementTaskService UPLOAD TASK TAG  trigger window start 0s end 1s earliest  82s latest  81s  requirements  NET CONNECTED  attributes  PERSISTED  scheduled  82s last run  82s jid N A status ACTIVE retries 0 client lib GMS TASK SCHEDULER 201817000  :1_x000D_
2021 08 10 16:32:59 755 1263 8107 com google android gms E NetworkScheduler ATC: Called cancelTask for already completed task com google android gms  measurement PackageMeasurementTaskService u 0 tag  Measurement PackageMeasurementTaskService UPLOAD TASK TAG  trigger window start 0s end 1s earliest  82s latest  81s  requirements  NET CONNECTED  attributes  PERSISTED  scheduled  82s last run  82s jid N A status ACTIVE retries 0 client lib GMS TASK SCHEDULER 201817000  :1_x000D_
2021 08 10 16:33:01 185 425 425   E libc: The property  ro build fingerprint  has a value with length 100 that is too large for   system property get()   system property read()  use   system property read callback() instead _x000D_
2021 08 10 16:33:06 146 493 493   E netmgr: qemu pipe open ns:62: Could not connect to the  pipe:qemud:network  service: Invalid argument_x000D_
2021 08 10 16:33:06 146 493 493   E netmgr: Failed to open QEMU pipe  qemud:network : Invalid argument_x000D_
2021 08 10 16:33:06 395 496 496   E wifi forwarder: qemu pipe open ns:62: Could not connect to the  pipe:qemud:wififorward  service: Invalid argument_x000D_
2021 08 10 16:33:06 395 496 496   E wifi forwarder: RemoteConnection failed to initialize: RemoteConnection failed to open pipe_x000D_
2021 08 10 16:33:07 977 440 4890   E AudioSystem: invalid attributes   Content type: AUDIO CONTENT TYPE UNKNOWN Usage: AUDIO USAGE UNKNOWN Source:  1 Flags: 0x800 Tags:    when converting to stream_x000D_
2021 08 10 16:33:08 060 440 9468   E FMQ: grantorIdx must be less than 3_x000D_
2021 08 10 16:33:08 061 440 9468   E FMQ: grantorIdx must be less than 3_x000D_
2021 08 10 16:33:08 068 458 986   E FMQ: grantorIdx must be less than 3_x000D_
2021 08 10 16:33:08 069 458 986   E FMQ: grantorIdx must be less than 3_x000D_
2021 08 10 16:33:08 090 440 9468   E FMQ: grantorIdx must be less than 3_x000D_
2021 08 10 16:33:08 091 458 458   E FMQ: grantorIdx must be less than 3_x000D_
2021 08 10 16:33:08 102 458 9473   E FMQ: grantorIdx must be less than 3_x000D_
2021 08 10 16:33:08 103 440 4601   E FMQ: grantorIdx must be less than 3_x000D_
2021 08 10 16:33:08 133 440 9466   E AudioSystem: invalid attributes   Content type: AUDIO CONTENT TYPE UNKNOWN Usage: AUDIO USAGE UNKNOWN Source:  1 Flags: 0x800 Tags:    when converting to stream_x000D_
2021 08 10 16:33:08 411 1263 1948 com google android gms E NetworkScheduler ATC: Called cancelTask for already completed task com google android gms  measurement PackageMeasurementTaskService u 0 tag  Measurement PackageMeasurementTaskService UPLOAD TASK TAG  trigger window start 0s end 1s earliest  91s latest  90s  requirements  NET CONNECTED  attributes  PERSISTED  scheduled  91s last run  91s jid N A status ACTIVE retries 0 client lib GMS TASK SCHEDULER 201817000  :1_x000D_
2021 08 10 16:33:08 445 1263 8107 com google android gms E NetworkScheduler ATC: Called cancelTask for already completed task com google android gms  measurement PackageMeasurementTaskService u 0 tag  Measurement PackageMeasurementTaskService UPLOAD TASK TAG  trigger window start 0s end 1s earliest  91s latest  90s  requirements  NET CONNECTED  attributes  PERSISTED  scheduled  91s last run  91s jid N A status ACTIVE retries 0 client lib GMS TASK SCHEDULER 201817000  :1_x000D_
2021 08 10 16:33:09 367 440 4685   E AudioSystem: invalid attributes   Content type: AUDIO CONTENT TYPE UNKNOWN Usage: AUDIO USAGE UNKNOWN Source:  1 Flags: 0x800 Tags:    when converting to stream_x000D_
2021 08 10 16:33:09 473 1263 8107 com google android gms E NetworkScheduler ATC: Called cancelTask for already completed task com google android gms  measurement PackageMeasurementTaskService u 0 tag  Measurement PackageMeasurementTaskService UPLOAD TASK TAG  trigger window start 0s end 1s earliest  92s latest  91s  requirements  NET CONNECTED  attributes  PERSISTED  scheduled  92s last run  92s jid N A status ACTIVE retries 0 client lib GMS TASK SCHEDULER 201817000  :1_x000D_
2021 08 10 16:33:09 730 1263 4640 com google android gms E NetworkScheduler ATC: Called cancelTask for already completed task com google android gms  measurement PackageMeasurementTaskService u 0 tag  Measurement PackageMeasurementTaskService UPLOAD TASK TAG  trigger window start 0s end 1s earliest  92s latest  91s  requirements  NET CONNECTED  attributes  PERSISTED  scheduled  92s last run  92s jid N A status ACTIVE retries 0 client lib GMS TASK SCHEDULER 201817000  :1_x000D_
2021 08 10 16:33:09 831 1263 1948 com google android gms E NetworkScheduler ATC: Called cancelTask for already completed task com google android gms  measurement PackageMeasurementTaskService u 0 tag  Measurement PackageMeasurementTaskService UPLOAD TASK TAG  trigger window start 0s end 1s earliest  92s latest  91s  requirements  NET CONNECTED  attributes  PERSISTED  scheduled  92s last run  92s jid N A status ACTIVE retries 0 client lib GMS TASK SCHEDULER 201817000  :1_x000D_
2021 08 10 16:33:09 847 1263 1948 com google android gms E NetworkScheduler ATC: Called cancelTask for already completed task com google android gms  measurement PackageMeasurementTaskService u 0 tag  Measurement PackageMeasurementTaskService UPLOAD TASK TAG  trigger window start 0s end 1s earliest  92s latest  91s  requirements  NET CONNECTED  attributes  PERSISTED  scheduled  92s last run  92s jid N A status ACTIVE retries 0 client lib GMS TASK SCHEDULER 201817000  :1_x000D_
2021 08 10 16:33:11 524 1263 4640 com google android gms E NetworkScheduler ATC: Called cancelTask for already completed task com google android gms  measurement PackageMeasurementTaskService u 0 tag  Measurement PackageMeasurementTaskService UPLOAD TASK TAG  trigger window start 0s end 1s earliest  94s latest  93s  requirements  NET CONNECTED  attributes  PERSISTED  scheduled  94s last run  94s jid N A status ACTIVE retries 0 client lib GMS TASK SCHEDULER 201817000  :1_x000D_
2021 08 10 16:33:12 252 440 9518   E FMQ: grantorIdx must be less than 3_x000D_
2021 08 10 16:33:12 252 440 9518   E FMQ: grantorIdx must be less than 3_x000D_
2021 08 10 16:33:12 256 458 986   E FMQ: grantorIdx must be less than 3_x000D_
2021 08 10 16:33:12 256 458 986   E FMQ: grantorIdx must be less than 3_x000D_
2021 08 10 16:33:12 263 440 9518   E FMQ: grantorIdx must be less than 3_x000D_
2021 08 10 16:33:12 264 458 986   E FMQ: grantorIdx must be less than 3_x000D_
2021 08 10 16:33:12 287 458 9519   E FMQ: grantorIdx must be less than 3_x000D_
2021 08 10 16:33:12 296 440 4600   E FMQ: grantorIdx must be less than 3_x000D_
2021 08 10 16:33:12 826 425 425   E libc: The property  ro build fingerprint  has a value with length 100 that is too large for   system property get()   system property read()  use   system property read callback() instead _x000D_
2021 08 10 16:33:13 521 300 338   E android hardware audio service ranchu: device generic goldfish audio stream in cpp:setMicrophoneDirection:439 failure: Result::NOT SUPPORTED_x000D_
2021 08 10 16:33:13 521 300 341   E FMQ: grantorIdx must be less than 3_x000D_
2021 08 10 16:33:13 521 300 341   E FMQ: grantorIdx must be less than 3_x000D_
2021 08 10 16:33:13 522 300 338   E android hardware audio service ranchu: device generic goldfish audio stream in cpp:setMicrophoneFieldDimension:444 failure: Result::NOT SUPPORTED_x000D_
2021 08 10 16:33:13 524 388 9564   E FMQ: grantorIdx must be less than 3_x000D_
2021 08 10 16:33:13 525 388 9564   E FMQ: grantorIdx must be less than 3_x000D_
2021 08 10 16:33:13 915 9254 9568 com example androidApp E EGL emulation: eglQueryContext 32c0  EGL BAD ATTRIBUTE_x000D_
2021 08 10 16:33:13 916 9254 9568 com example androidApp E EGL emulation: tid 9568: eglQueryContext(2019): error 0x3004 (EGL BAD ATTRIBUTE)_x000D_
2021 08 10 16:33:14 053 9254 9570 com example androidApp E ACodec:  OMX android goldfish vp8 decoder  setPortMode on output to DynamicANWBuffer failed w  err  1010_x000D_
2021 08 10 16:33:14 053 448 4864   E OMXNodeInstance: getParameter(0xef0401d0:android goldfish vp8 decoder    (0x6f600011)) ERROR: UnsupportedIndex(0x8000101a)_x000D_
2021 08 10 16:33:14 078 448 4864   E OMXNodeInstance: getParameter(0xef0401d0:android goldfish vp8 decoder  ParamVideoAndroidVp8Encoder(0x6f600007)) ERROR: UnsupportedIndex(0x8000101a)_x000D_
2021 08 10 16:33:14 079 448 4864   E OMXNodeInstance: getConfig(0xef0401d0:android goldfish vp8 decoder  ConfigAndroidVendorExtension(0x6f100004)) ERROR: UnsupportedIndex(0x8000101a)_x000D_
2021 08 10 16:33:14 602 9254 9579 com example androidApp E EGL emulation: eglQueryContext 32c0  EGL BAD ATTRIBUTE_x000D_
2021 08 10 16:33:14 602 9254 9579 com example androidApp E EGL emulation: tid 9579: eglQueryContext(2019): error 0x3004 (EGL BAD ATTRIBUTE)_x000D_
2021 08 10 16:33:14 626 9254 9581 com example androidApp E ACodec:  OMX android goldfish vp8 decoder  setPortMode on output to DynamicANWBuffer failed w  err  1010_x000D_
2021 08 10 16:33:14 626 448 4864   E OMXNodeInstance: getParameter(0xef0401d0:android goldfish vp8 decoder    (0x6f600011)) ERROR: UnsupportedIndex(0x8000101a)_x000D_
2021 08 10 16:33:14 633 448 801   E OMXNodeInstance: getParameter(0xef0401d0:android goldfish vp8 decoder  ParamVideoAndroidVp8Encoder(0x6f600007)) ERROR: UnsupportedIndex(0x8000101a)_x000D_
2021 08 10 16:33:14 634 448 801   E OMXNodeInstance: getConfig(0xef0401d0:android goldfish vp8 decoder  ConfigAndroidVendorExtension(0x6f100004)) ERROR: UnsupportedIndex(0x8000101a)_x000D_
2021 08 10 16:33:17 990 9254 9586 com example androidApp E ACodec:  OMX android goldfish vp8 decoder  setPortMode on output to DynamicANWBuffer failed w  err  1010_x000D_
2021 08 10 16:33:17 990 448 801   E OMXNodeInstance: getParameter(0xef0401d0:android goldfish vp8 decoder    (0x6f600011)) ERROR: UnsupportedIndex(0x8000101a)_x000D_
2021 08 10 16:33:17 995 448 801   E OMXNodeInstance: getParameter(0xef0401d0:android goldfish vp8 decoder  ParamVideoAndroidVp8Encoder(0x6f600007)) ERROR: UnsupportedIndex(0x8000101a)_x000D_
2021 08 10 16:33:17 995 448 801   E OMXNodeInstance: getConfig(0xef0401d0:android goldfish vp8 decoder  ConfigAndroidVendorExtension(0x6f100004)) ERROR: UnsupportedIndex(0x8000101a)_x000D_
2021 08 10 16:33:18 015 448 801   E SimpleGoldfishOMXComponent: b 63522430  Buffer size is too small _x000D_
2021 08 10 16:33:18 016 448 801   E OMXNodeInstance: setParameter(0xef0401d0:android goldfish vp8 decoder  OMX google android index useAndroidNativeBuffer(0x7f000007): Output:1 meta 0xf1145620 GB 0xee9c0910) ERROR: BadParameter(0x80001005)_x000D_
2021 08 10 16:33:18 016 9254 9586 com example androidApp E ACodec: registering GraphicBuffer 0 with OMX IL component failed:  22_x000D_
2021 08 10 16:33:18 016 9254 9586 com example androidApp E ACodec: Failed to allocate buffers after transitioning to IDLE state (error 0xffffffea)_x000D_
2021 08 10 16:33:18 016 9254 9586 com example androidApp E ACodec: signalError(omxError 0x80001001  internalError  22)_x000D_
2021 08 10 16:33:18 016 9254 9585 com example androidApp E MediaCodec: Codec reported err 0xffffffea  actionCode 0  while in state 5_x000D_
2021 08 10 16:33:18 017 9254 9575 com example androidApp E rtc:  _x000D_
      Fatal error in: gen sdk android generated base jni                      src sdk android src jni jni generator helper h  line 94_x000D_
      last system error: 0_x000D_
      Check failed:  env  ExceptionCheck()_x000D_
      _x000D_
_x000D_
_x000D_
_x000D_
              beginning of crash_x000D_
2021 08 10 16:33:18 017 9254 9575 com example androidApp A libc: Fatal signal 6 (SIGABRT)  code  1 (SI QUEUE) in tid 9575 (DecodingQueue  )  pid 9254 (edis androidApp)_x000D_
2021 08 10 16:33:18 018 448 448   E goldfish vpxdec: ERROR: Failed vpx codec flush 146: ctx is nullptr_x000D_
2021 08 10 16:33:18 019 448 448   E goldfish vpxdec: Failed to flush on2 decoder _x000D_
2021 08 10 16:33:18 019 448 448   E OMXNodeInstance: b 25884056_x000D_
2021 08 10 16:33:18 283 9591 9591   A DEBUG:                                                                _x000D_
2021 08 10 16:33:18 284 9591 9591   A DEBUG: Build fingerprint:  google sdk gphone x86 64 arm64 generic x86 64 arm64:11 RSR1 201211 001 A1 7054069:userdebug dev keys _x000D_
2021 08 10 16:33:18 284 9591 9591   A DEBUG: Revision:  0 _x000D_
2021 08 10 16:33:18 284 9591 9591   A DEBUG: ABI:  x86 64 _x000D_
2021 08 10 16:33:18 285 9591 9591   A DEBUG: Timestamp: 2021 08 10 16:33:18 0100_x000D_
2021 08 10 16:33:18 285 9591 9591   A DEBUG: pid: 9254  tid: 9575  name: DecodingQueue        com example androidApp    _x000D_
2021 08 10 16:33:18 285 9591 9591   A DEBUG: uid: 10161_x000D_
2021 08 10 16:33:18 285 9591 9591   A DEBUG: signal 6 (SIGABRT)  code  1 (SI QUEUE)  fault addr         _x000D_
2021 08 10 16:33:18 285 9591 9591   A DEBUG:     rax 0000000000000000  rbx 0000000000002426  rcx 000076b1556e52a8  rdx 0000000000000006_x000D_
2021 08 10 16:33:18 285 9591 9591   A DEBUG:     r8  000076af64a243d0  r9  000076af64a243d0  r10 000076ae52a4f590  r11 0000000000000246_x000D_
2021 08 10 16:33:18 285 9591 9591   A DEBUG:     r12 000076ae55e854b5  r13 000076afd4a75b70  r14 000076ae52a4f588  r15 0000000000002567_x000D_
2021 08 10 16:33:18 285 9591 9591   A DEBUG:     rdi 0000000000002426  rsi 0000000000002567_x000D_
2021 08 10 16:33:18 285 9591 9591   A DEBUG:     rbp 000076b15575f360  rsp 000076ae52a4f578  rip 000076b1556e52a8_x000D_
2021 08 10 16:33:18 288 9591 9591   A DEBUG: backtrace:_x000D_
2021 08 10 16:33:18 288 9591 9591   A DEBUG:        00 pc 000000000005a2a8   apex com android runtime lib64 bionic libc so (syscall 24) (BuildId: 3707c39fc397eeaa328142d90b50a973)_x000D_
2021 08 10 16:33:18 288 9591 9591   A DEBUG:        01 pc 000000000005d212   apex com android runtime lib64 bionic libc so (abort 194) (BuildId: 3707c39fc397eeaa328142d90b50a973)_x000D_
2021 08 10 16:33:18 288 9591 9591   A DEBUG:        02 pc 000000000054c982   data app   lieMntLhsKzSuZjE65SiIQ   com example androidApp gIhe9PeijOYYDABGv13ydw   lib x86 64 libtwilio video android so so (BuildId: 7cd04eef19e3a940fd5a8e5e752539521a96cac4)_x000D_
2021 08 10 16:33:19 228 287 287   E tombstoned: Tombstone written to:  data tombstones tombstone 18_x000D_
2021 08 10 16:33:19 386 448 448   E OMXNodeInstance:     Observer died  Quickly  do something      anything   _x000D_
2021 08 10 16:33:19 394 440 4890   E mediaserver: unlinkToDeath: removed reference to death recipient but unlink failed _x000D_
2021 08 10 16:33:19 405 440 4890   E IPCThreadState: attemptIncStrongHandle(13): Not supported_x000D_
2021 08 10 16:34:06 149 493 493   E netmgr: qemu pipe open ns:62: Could not connect to the  pipe:qemud:network  service: Invalid argument_x000D_
2021 08 10 16:34:06 150 493 493   E netmgr: Failed to open QEMU pipe  qemud:network : Invalid argument_x000D_
2021 08 10 16:34:06 418 496 496   E wifi forwarder: qemu pipe open ns:62: Could not connect to the  pipe:qemud:wififorward  service: Invalid argument_x000D_
2021 08 10 16:34:06 418 496 496   E wifi forwarder: RemoteConnection failed to initialize: RemoteConnection failed to open pipe_x000D_
   _x000D_
_x000D_
    Versions_x000D_
_x000D_
All relevant version information for issue _x000D_
_x000D_
     Video Android SDK_x000D_
_x000D_
6 2 1_x000D_
_x000D_
     Android API_x000D_
_x000D_
30_x000D_
_x000D_
     Android Device_x000D_
_x000D_
Android Emulator Pixel 2 API 30 x86 64</t>
  </si>
  <si>
    <t>TeamNewPipe-NewPipe-6905</t>
  </si>
  <si>
    <t>Viewing download queue causes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</si>
  <si>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1  Go to  top left hamburger menu  from main screen_x000D_
2  Press on  Downloads _x000D_
3   Watch app crash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Application flashes several times  then crashes and gives me  Guru Medication  (log included below)_x000D_
_x000D_
    Expected behavior_x000D_
     Tell us what you expect to happen     _x000D_
_x000D_
I expect to see the downloads queue and history  as I did before with v0 21 4 and v0 2103 before it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I don t have a screen recorder  but will get one if someone tells me I m imagining it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java lang RuntimeException: Unable to create service us shandian giga service DownloadManagerService: java lang NullPointerException: Attempt to invoke virtual method  java lang String org schabi newpipe streams io StoredFileHelper toString()  on a null object reference_x000D_
	at android app ActivityThread handleCreateService(ActivityThread java:3704)_x000D_
	at android app ActivityThread access 1300(ActivityThread java:208)_x000D_
	at android app ActivityThread H handleMessage(ActivityThread java:1712)_x000D_
	at android os Handler dispatchMessage(Handler java:106)_x000D_
	at android os Looper loop(Looper java:205)_x000D_
	at android app ActivityThread main(ActivityThread java:6996)_x000D_
	at java lang reflect Method invoke(Native Method)_x000D_
	at com android internal os RuntimeInit MethodAndArgsCaller run(RuntimeInit java:493)_x000D_
	at com android internal os ZygoteInit main(ZygoteInit java:884)_x000D_
Caused by: java lang NullPointerException: Attempt to invoke virtual method  java lang String org schabi newpipe streams io StoredFileHelper toString()  on a null object reference_x000D_
	at us shandian giga service DownloadManager loadPendingMissions(DownloadManager java:165)_x000D_
	at us shandian giga service DownloadManager  init (DownloadManager java:77)_x000D_
	at us shandian giga service DownloadManagerService onCreate(DownloadManagerService java:142)_x000D_
	at android app ActivityThread handleCreateService(ActivityThread java:3692)_x000D_
	    8 more_x000D_
                                     _x000D_
_x000D_
     Please fill this out when you do not provide a log generate by NewPipe    _x000D_
_x000D_
    Device info_x000D_
_x000D_
   Android version Custom ROM version: Android 9_x000D_
   Device model: LG L455DL_x000D_
</t>
  </si>
  <si>
    <t>deepjavalibrary-djl-1160</t>
  </si>
  <si>
    <t>Tensorflow &amp; MxNet Sparse bugs</t>
  </si>
  <si>
    <t xml:space="preserve">   Description_x000D_
1  MxNet shape uses  int  and then casts results into  long  which crashes when the data has a shape larger than  int   This does not happen for  PyTorch  variant of sparse matrices  It s a simple fix _x000D_
2   PyTorch  COO matrix does not support  sum()     sum(axis)  which are supported according to PyTorch documentation _x000D_
_x000D_
    Expected Behavior_x000D_
All should work _x000D_
_x000D_
    Error Message_x000D_
It s easy to reproduce_x000D_
_x000D_
   How to Reproduce _x000D_
Can t shorten it down as it s in my pipeline with my data _x000D_
_x000D_
    Steps to reproduce_x000D_
(Paste the commands you ran that produced the error )_x000D_
  MxNet  _x000D_
1  Have a sparse matrix with more columns that  int  can cover _x000D_
2  Ask for  getShape()  _x000D_
3  Crash_x000D_
_x000D_
  PyTorch  _x000D_
1  Try to call   sum()  on a  COO  matrix_x000D_
2  Fails_x000D_
_x000D_
   What have you tried to solve it _x000D_
_x000D_
1  Tried using MxNet which found a new crash_x000D_
2  Tried using Tensorflow  does not support sparcity (even if TF has sparsetensor)_x000D_
   Environment Info_x000D_
_x000D_
Using Windows 10</t>
  </si>
  <si>
    <t>aws-amplify-amplify-android-1447</t>
  </si>
  <si>
    <t>Amplify Datastore configure hitting SQLite exception (no such table)</t>
  </si>
  <si>
    <t xml:space="preserve">    Before opening  please confirm:
   X  I have  searched for duplicate or closed issues (https:  github com aws amplify amplify android issues q is 3Aissue ) and  discussions (https:  github com aws amplify amplify android discussions) 
    Language and Async Model
Kotlin
    Amplify Categories
DataStore
    Gradle script dependencies
    def amplify version    1 24 0 _x000D_
_x000D_
    implementation  com amplifyframework:core kotlin:0 8 0 _x000D_
    implementation  com amplifyframework:aws storage s3: amplify version _x000D_
    implementation  com amplifyframework:aws auth cognito: amplify version _x000D_
    implementation  com amplifyframework:aws api: amplify version _x000D_
    implementation  com amplifyframework:aws datastore: amplify version 
    Environment information
                                                            _x000D_
Gradle 7 1_x000D_
                                                            _x000D_
_x000D_
Build time:   2021 06 14 14:47:26 UTC_x000D_
Revision:     989ccc9952b140ee6ab88870e8a12f1b2998369e_x000D_
_x000D_
Kotlin:       1 4 31_x000D_
Groovy:       3 0 7_x000D_
Ant:          Apache Ant(TM) version 1 10 9 compiled on September 27 2020_x000D_
JVM:          1 8 0 265 (Amazon com Inc  25 265 b01)_x000D_
OS:           Windows 10 10 0 amd64
    Please include any relevant guides or documentation you re referencing
None
    Describe the bug
Sorry to bother you again  we have another issue which may be a datastore issue _x000D_
_x000D_
Schema changes were made in a separate environment and then merged  after running an amplify pull and codegen then launching the app the below logs were seen  Initially this showed the first few logs dropping Organization and then failing to drop User _x000D_
_x000D_
After wiping emulator data and re installing the app  everything works as expected  _x000D_
_x000D_
Another schema change and environment merge was pushed which resulted in the 2nd debug log  I m not sure what we are missing but I doubt the intention is to wipe app data after a schema change  Any help on the issue is really appreciated 
    Reproduction steps (if applicable)
 No response 
    Code Snippet
   java_x000D_
try  _x000D_
            Amplify addPlugin(AWSCognitoAuthPlugin())_x000D_
            Amplify addPlugin(AWSApiPlugin())_x000D_
            Amplify addPlugin(AWSDataStorePlugin())_x000D_
            Amplify addPlugin(AWSS3StoragePlugin())_x000D_
            Amplify addPlugin(AndroidLoggingPlugin(LogLevel VERBOSE))_x000D_
            Amplify configure(applicationContext)_x000D_
            Log i( TAG    amplifyConfiguration: Configured )_x000D_
          catch (error: AmplifyException)  _x000D_
            Log e( TAG    onCreate: configuration failed )_x000D_
         _x000D_
        _x000D_
          checking if this is a new user or the last user who logged in_x000D_
Amplify DataStore stop()    stop if its the same user_x000D_
Amplify DataStore clear()    clear if its a new user_x000D_
_x000D_
App crashes due to datastore failing to initialise  despite debug showing the configuration as successful_x000D_
_x000D_
   _x000D_
    Log output
1st notices:_x000D_
D amplify:aws datastore: Dropped table: android metadata_x000D_
D amplify:aws datastore: Dropped table: Organization_x000D_
E SQLiteLog: (1) no such table: main Organization in  DROP TABLE IF EXISTS  User  _x000D_
_x000D_
After another environment merge_x000D_
_x000D_
D amplify:aws datastore: Dropped table: android metadata_x000D_
D amplify:aws datastore: Dropped table: User_x000D_
E SQLiteLog: (1) no such table: main User in  DROP TABLE IF EXISTS  Organization  _x000D_
_x000D_
    amplifyconfiguration json
 No response 
    GraphQL Schema
 details _x000D_
_x000D_
   graphql_x000D_
type User  model _x000D_
	 key(name:  byEmail   fields:   email    queryField:  getUserByEmail ) _x000D_
 _x000D_
	id: ID _x000D_
	email: String _x000D_
	familyName: String_x000D_
	givenName: String_x000D_
	phone: String_x000D_
	profilePic: String_x000D_
	memberships:  Membership   connection(keyName:  byUserMembership   fields:   id  ) _x000D_
 _x000D_
_x000D_
type Organization  model  _x000D_
	id: ID _x000D_
	name: String _x000D_
	orgType: String_x000D_
	desc: String_x000D_
	logo: String_x000D_
	members:  Membership   connection(keyName:  byOrganizationMembership   fields:   id  ) _x000D_
 _x000D_
_x000D_
type Membership   model_x000D_
	 key(name:  membershipByUserOrganization   fields:   userID   orgID    queryField:  getMembershipByUserOrganization )_x000D_
	 key(name:  byUserMembership   fields:   userID    queryField:  getMembershipByUserID ) _x000D_
	 key(name:  byOrganizationMembership   fields:   orgID  ) _x000D_
	 key(name:  byInviteToken   fields:   inviteToken    queryField:  getMembershipByInviteToken ) _x000D_
 _x000D_
	id: ID _x000D_
	userID: ID  _x000D_
	orgID: ID  _x000D_
	inviteToken: String_x000D_
	role: Role _x000D_
	membershipState: MembershipState _x000D_
	organization: Organization  connection(fields:   orgID  )_x000D_
	user: User  connection(fields:   userID  )_x000D_
 _x000D_
_x000D_
_x000D_
   _x000D_
_x000D_
  details _x000D_
    Additional information and screenshots
 No response </t>
  </si>
  <si>
    <t>TeamNewPipe-NewPipe-6902</t>
  </si>
  <si>
    <t>Time ticker to the left of seekbar glitches when the timestamp ends in an 8</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</si>
  <si>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Long press Youtube video and select Start Playing in Background_x000D_
2  Enqueue another video just in case_x000D_
3  Swipe down and click on the NewPipe notification to view the play Queue_x000D_
4  Observe the timestamp to the left of the Seekbar_x000D_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When the timestamp ends in  8  the timestamp is displayed in two lines  You can even drag across the seekbar and see the timestamp glitch _x000D_
_x000D_
_x000D_
    Expected behavior_x000D_
Consistent one line timestamp_x000D_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20210811 150844 NewPipe (https:  user images githubusercontent com 230743 129008803 4b5d33e4 bf76 42f9 b829 57c33f383f73 jpg)_x000D_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Samsung M30s_x000D_
</t>
  </si>
  <si>
    <t>TeamNewPipe-NewPipe-6899</t>
  </si>
  <si>
    <t>Crash occurs when attempting to download a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</si>
  <si>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Download a video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A crash occurs _x000D_
_x000D_
_x000D_
_x000D_
    Expected behavior_x000D_
     Tell us what you expect to happen     _x000D_
A video of my choosing should be downloaded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AU_x000D_
    Content Language:   en AU_x000D_
    App Language:   en AU_x000D_
    Service:   none_x000D_
    Version:   0 21 8_x000D_
    OS:   Linux Android 9   28_x000D_
 details  summary  b Crash log   b   summary  p _x000D_
_x000D_
   _x000D_
android content ActivityNotFoundException: No Activity found to handle Intent   act android intent action OPEN DOCUMENT TREE flg 0x43 (has extras)  _x000D_
	at android app Instrumentation checkStartActivityResult(Instrumentation java:2018)_x000D_
	at android app Instrumentation execStartActivity(Instrumentation java:1673)_x000D_
	at android app Activity startActivityForResult(Activity java:4688)_x000D_
	at androidx activity ComponentActivity startActivityForResult(ComponentActivity java:574)_x000D_
	at androidx core app ActivityCompat startActivityForResult(ActivityCompat java:234)_x000D_
	at androidx activity ComponentActivity 2 onLaunch(ComponentActivity java:208)_x000D_
	at androidx activity result ActivityResultRegistry 2 launch(ActivityResultRegistry java:166)_x000D_
	at androidx fragment app Fragment 9 launch(Fragment java:3510)_x000D_
	at androidx activity result ActivityResultLauncher launch(ActivityResultLauncher java:47)_x000D_
	at org schabi newpipe download DownloadDialog launchDirectoryPicker(DownloadDialog java:690)_x000D_
	at org schabi newpipe download DownloadDialog prepareSelectedDownload(DownloadDialog java:749)_x000D_
	at org schabi newpipe download DownloadDialog lambda initToolbar 1(DownloadDialog java:359)_x000D_
	at org schabi newpipe download DownloadDialog lambda initToolbar 1 DownloadDialog(Unknown Source:0)_x000D_
	at org schabi newpipe download    Lambda DownloadDialog QfMS FoXWFjSoHiNV7JREecQBWg onMenuItemClick(Unknown Source:2)_x000D_
	at androidx appcompat widget Toolbar 1 onMenuItemClick(Toolbar java:207)_x000D_
	at androidx appcompat widget ActionMenuView MenuBuilderCallback onMenuItemSelected(ActionMenuView java:779)_x000D_
	at androidx appcompat view menu MenuBuilder dispatchMenuItemSelected(MenuBuilder java:834)_x000D_
	at androidx appcompat view menu MenuItemImpl invoke(MenuItemImpl java:158)_x000D_
	at androidx appcompat view menu MenuBuilder performItemAction(MenuBuilder java:985)_x000D_
	at androidx appcompat view menu MenuBuilder performItemAction(MenuBuilder java:975)_x000D_
	at androidx appcompat widget ActionMenuView invokeItem(ActionMenuView java:623)_x000D_
	at androidx appcompat view menu ActionMenuItemView onClick(ActionMenuItemView java:151)_x000D_
	at android view View performClick(View java:7333)_x000D_
	at android widget TextView performClick(TextView java:14160)_x000D_
	at android view View performClickInternal(View java:7299)_x000D_
	at android view View access 3200(View java:846)_x000D_
	at android view View PerformClick run(View java:27773)_x000D_
	at android os Handler handleCallback(Handler java:873)_x000D_
	at android os Handler dispatchMessage(Handler java:99)_x000D_
	at android os Looper loop(Looper java:214)_x000D_
	at android app ActivityThread main(ActivityThread java:6986)_x000D_
	at java lang reflect Method invoke(Native Method)_x000D_
	at com android internal os RuntimeInit MethodAndArgsCaller run(RuntimeInit java:494)_x000D_
	at com android internal os ZygoteInit main(ZygoteInit java:1445)_x000D_
_x000D_
   _x000D_
  details _x000D_
 hr _x000D_
_x000D_
     That s right  here     _x000D_
_x000D_
_x000D_
_x000D_
     Please fill this out when you do not provide a log generate by NewPipe    _x000D_
_x000D_
    Device info_x000D_
_x000D_
   Android version Custom ROM version:_x000D_
   Device model:_x000D_
</t>
  </si>
  <si>
    <t>Anuken-Mindustry-5738</t>
  </si>
  <si>
    <t>The game crashes when I launch from one place to another</t>
  </si>
  <si>
    <t xml:space="preserve">  Platform  : Windows_x000D_
_x000D_
  Build  :Pre Alpha Build 129 2_x000D_
_x000D_
  Issue  : The game crashes when I launch from one place to another_x000D_
_x000D_
  Steps to reproduce  : _x000D_
     (https:  user images githubusercontent com 53574505 128973427 71db2680 a9ab 409c b170 b900811ab792 png)_x000D_
_x000D_
  Save file  : _x000D_
 saves zip (https:  github com Anuken Mindustry files 6966028 saves zip)_x000D_
_x000D_
 details _x000D_
         summary (Crash) logs  summary _x000D_
Version: pre alpha build 129 2_x000D_
OS: Windows 10 x64 (amd64)_x000D_
Java Version: 16 0 1_x000D_
0 Mods_x000D_
_x000D_
java lang IllegalStateException: Frame buffer couldn t be constructed: incomplete attachment_x000D_
	at arc graphics gl GLFrameBuffer build(GLFrameBuffer java:241)_x000D_
	at arc graphics gl FrameBuffer resize(FrameBuffer java:115)_x000D_
	at mindustry graphics Pixelator drawPixelate(Pixelator java:36)_x000D_
	at mindustry core Renderer update(Renderer java:166)_x000D_
	at arc ApplicationCore update(ApplicationCore java:37)_x000D_
	at mindustry ClientLauncher update(ClientLauncher java:174)_x000D_
	at arc backend sdl SdlApplication listen(SdlApplication java:166)_x000D_
	at arc backend sdl SdlApplication loop(SdlApplication java:154)_x000D_
	at arc backend sdl SdlApplication  init (SdlApplication java:45)_x000D_
	at mindustry desktop DesktopLauncher main(DesktopLauncher java:38)_x000D_
  details _x000D_
_x000D_
   X    I have updated to the latest release (https:  github com Anuken Mindustry releases) to make sure my issue has not been fixed   _x000D_
   X    I have searched the closed and open issues to make sure that this problem has not already been reported   _x000D_
_x000D_
</t>
  </si>
  <si>
    <t>Anuken-Mindustry-5737</t>
  </si>
  <si>
    <t>Cant Load Campaign Sectors In Android 4.4</t>
  </si>
  <si>
    <t xml:space="preserve">  Platform  :  Android _x000D_
_x000D_
  Build  :  6 0 Build 126 2  _x000D_
_x000D_
  Issue  :  Cant Load Campaign Sectors In Android 4 4 Stucks in Loading    Page  _x000D_
_x000D_
  Steps to reproduce  :  To Launch To A New Sector _x000D_
_x000D_
  Link(s) to mod(s) used  :  No Mod Used_x000D_
 Ben Latest Data zip (https:  github com Anuken Mindustry files 6966038 Ben Latest Data zip)_x000D_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X_x000D_
 Ben Latest Data zip (https:  github com Anuken Mindustry files 6966046 Ben Latest Data zip)_x000D_
    I have searched the closed and open issues to make sure that this problem has not already been reported   _x000D_
</t>
  </si>
  <si>
    <t>TeamNewPipe-NewPipe-6897</t>
  </si>
  <si>
    <t>Video pauses and unpauses every time I go to background mode and back, or everytime I open settings and back</t>
  </si>
  <si>
    <t xml:space="preserve">_x000D_
When I open a video and start playing it  the video will  freeze  (it seems it pauses and unpauses) for about a second when I get out of the app  and if I open it again  it also does the same  This also happens when I click in  Settings  and when I go back to the video from  Settings  (this all inside the app) _x000D_
EDIT1: This also happens if you press  Downloads  or  About  _x000D_
EDIT2: Very weird  if I choose  open in pop up mode  and I don t give it any permission to open it in pop up mode  it will open it in background mode and there ll be no freezing  Any ideas _x000D_
EDIT3: This also occurs when I turn on and off the screen  even with the  trick  of EDIT2  This also happens if the screen turns off by itself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_x000D_
_x000D_
   x  I am using the latest version   0 21 8_x000D_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app _x000D_
2  Open a video _x000D_
3  Get off the app in any way (use the middle button  or use the  task switcher ) _x000D_
4  Or open settings within the app _x000D_
5  Both of these  as well as re opening the app and going back from settings  will result in a  freezing  of the video for a moment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video freezes when any of these actions is done _x000D_
_x000D_
_x000D_
    Expected behavior_x000D_
     Tell us what you expect to happen     _x000D_
No freezing should happen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8 0 0_x000D_
   Device model: SM A910F DS_x000D_
</t>
  </si>
  <si>
    <t>TeamNewPipe-NewPipe-6894</t>
  </si>
  <si>
    <t>Crash in downloads after update if download in progress/recovering before.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</si>
  <si>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that lead to bug (don t know if it could repro)_x000D_
    _x000D_
1  Start a download that is paused downloading recovering_x000D_
2  Update while it is in progress_x000D_
3  Open downloads_x000D_
4    Be sad as you cannot use newpipe  _x000D_
   _x000D_
_x000D_
I will also say that before update I had a download that wasn t starting and was stuck on recovering that prompted me to update as I though YouTube changed something thus this needed a update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Crash_x000D_
_x000D_
_x000D_
    Expected behavior_x000D_
     Tell us what you expect to happen     _x000D_
Not crash_x000D_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GB_x000D_
    Content Language:   en GB_x000D_
    App Language:   en GB_x000D_
    Service:   none_x000D_
    Version:   0 21 8_x000D_
    OS:   Linux Android 11   30_x000D_
 details  summary  b Crash log   b   summary  p _x000D_
_x000D_
   _x000D_
java lang RuntimeException: Unable to create service us shandian giga service DownloadManagerService: java lang NullPointerException: Attempt to invoke virtual method  java lang String org schabi newpipe streams io StoredFileHelper toString()  on a null object reference_x000D_
	at android app ActivityThread handleCreateService(ActivityThread java:4387)_x000D_
	at android app ActivityThread access 1900(ActivityThread java:270)_x000D_
	at android app ActivityThread H handleMessage(ActivityThread java:2108)_x000D_
	at android os Handler dispatchMessage(Handler java:106)_x000D_
	at android os Looper loop(Looper java:245)_x000D_
	at android app ActivityThread main(ActivityThread java:8004)_x000D_
	at java lang reflect Method invoke(Native Method)_x000D_
	at com android internal os RuntimeInit MethodAndArgsCaller run(RuntimeInit java:631)_x000D_
	at com android internal os ZygoteInit main(ZygoteInit java:978)_x000D_
Caused by: java lang NullPointerException: Attempt to invoke virtual method  java lang String org schabi newpipe streams io StoredFileHelper toString()  on a null object reference_x000D_
	at us shandian giga service DownloadManager loadPendingMissions(DownloadManager java:165)_x000D_
	at us shandian giga service DownloadManager  init (DownloadManager java:77)_x000D_
	at us shandian giga service DownloadManagerService onCreate(DownloadManagerService java:142)_x000D_
	at android app ActivityThread handleCreateService(ActivityThread java:4375)_x000D_
	    8 more_x000D_
_x000D_
   _x000D_
  details _x000D_
 hr _x000D_
_x000D_
_x000D_
_x000D_
     Please fill this out when you do not provide a log generate by NewPipe    _x000D_
_x000D_
    Device info_x000D_
_x000D_
   Android version Custom ROM version: 11 Oxygen OS_x000D_
   Device model: OP Nord_x000D_
</t>
  </si>
  <si>
    <t>TeamNewPipe-NewPipe-6890</t>
  </si>
  <si>
    <t>Bug</t>
  </si>
  <si>
    <t>nextcloud-android-8840</t>
  </si>
  <si>
    <t>App crashes when returning to ui a day later</t>
  </si>
  <si>
    <t xml:space="preserve">    Steps to reproduce_x000D_
1  Start app  navigate to video stored locally_x000D_
2  Watch the video_x000D_
3  Dont close the video but keep on doing other stuff_x000D_
4  return to ui to watch another video (in my case a day later)_x000D_
5  ui is showing still of previous video but is unresponsive and crashes eventually_x000D_
_x000D_
    Expected behaviour_x000D_
  Either show the Filesystem or continue with the old video_x000D_
_x000D_
    Actual behaviour_x000D_
  App crashes when trying to continue to play the video_x000D_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I m using my tablet  will add these details later when at my PC_x000D_
Android version: 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</si>
  <si>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TeamNewPipe-NewPipe-legacy-79</t>
  </si>
  <si>
    <t>Video not play - Could not get any stream.</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</si>
  <si>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Go to:  url https:  www youtube com watch v drzHwf4X b0  url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Exception_x000D_
    User Action:   requested stream_x000D_
    Request:   https:  www youtube com watch v drzHwf4X b0_x000D_
    Content Country:   PL_x000D_
    Content Language:   pl PL_x000D_
    App Language:   pl PL_x000D_
    Service:   YouTube_x000D_
    Version:   0 20 8_x000D_
    OS:   Linux Android 4 1 2   16_x000D_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newpipelegacy util ExtractorHelper lambda getStreamInfo 3(ExtractorHelper java:127)_x000D_
at org schabi newpipelegacy util    Lambda ExtractorHelper UQ1vNWjXRu939LDH1klSnNo2 Zg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Sync innerRun(FutureTask java:305)_x000D_
at java util concurrent FutureTask run(FutureTask java:137)_x000D_
at java util concurrent ScheduledThreadPoolExecutor ScheduledFutureTask access 201(ScheduledThreadPoolExecutor java:150)_x000D_
at java util concurrent ScheduledThreadPoolExecutor ScheduledFutureTask run(ScheduledThreadPoolExecutor java:264)_x000D_
at java util concurrent ThreadPoolExecutor runWorker(ThreadPoolExecutor java:1076)_x000D_
at java util concurrent ThreadPoolExecutor Worker run(ThreadPoolExecutor java:569)_x000D_
at java lang Thread run(Thread java:856)_x000D_
_x000D_
   _x000D_
  details _x000D_
 hr _x000D_
_x000D_
_x000D_
_x000D_
_x000D_
     Please fill this out when you do not provide a log generate by NewPipe    _x000D_
_x000D_
    Device info_x000D_
_x000D_
   Android version Custom ROM version: 4 1 2_x000D_
   Device model: GT S6310_x000D_
</t>
  </si>
  <si>
    <t>TeamNewPipe-NewPipe-legacy-78</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</si>
  <si>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NewPipe Legacy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Try play:  url https:  www youtube com watch v drzHwf4X b0  url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An error report appears     _x000D_
_x000D_
_x000D_
_x000D_
    Expected behavior_x000D_
     It should play the video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Exception_x000D_
    User Action:   requested stream_x000D_
    Request:   https:  www youtube com watch v drzHwf4X b0_x000D_
    Content Country:   PL_x000D_
    Content Language:   pl PL_x000D_
    App Language:   pl PL_x000D_
    Service:   YouTube_x000D_
    Version:   0 20 8_x000D_
    OS:   Linux Android 4 1 2   16_x000D_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newpipelegacy util ExtractorHelper lambda getStreamInfo 3(ExtractorHelper java:127)_x000D_
at org schabi newpipelegacy util    Lambda ExtractorHelper UQ1vNWjXRu939LDH1klSnNo2 Zg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Sync innerRun(FutureTask java:305)_x000D_
at java util concurrent FutureTask run(FutureTask java:137)_x000D_
at java util concurrent ScheduledThreadPoolExecutor ScheduledFutureTask access 201(ScheduledThreadPoolExecutor java:150)_x000D_
at java util concurrent ScheduledThreadPoolExecutor ScheduledFutureTask run(ScheduledThreadPoolExecutor java:264)_x000D_
at java util concurrent ThreadPoolExecutor runWorker(ThreadPoolExecutor java:1076)_x000D_
at java util concurrent ThreadPoolExecutor Worker run(ThreadPoolExecutor java:569)_x000D_
at java lang Thread run(Thread java:856)_x000D_
_x000D_
   _x000D_
  details _x000D_
 hr _x000D_
    _x000D_
_x000D_
_x000D_
_x000D_
     Please fill this out when you do not provide a log generate by NewPipe    _x000D_
_x000D_
    Device info_x000D_
_x000D_
   Android version Custom ROM version:_x000D_
   Device model:_x000D_
</t>
  </si>
  <si>
    <t>TeamNewPipe-NewPipe-legacy-77</t>
  </si>
  <si>
    <t>Some YT videos not play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</si>
  <si>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NewPipe Legacy 0 20 8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https:  www youtube com watch v drzHwf4X b0_x000D_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Exception_x000D_
    User Action:   requested comments_x000D_
    Request:   https:  m youtube com watch v drzHwf4X b0_x000D_
    Content Country:   PL_x000D_
    Content Language:   pl PL_x000D_
    App Language:   pl PL_x000D_
    Service:   YouTube_x000D_
    Version:   0 20 8_x000D_
    OS:   Linux Android 4 1 2   16_x000D_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newpipelegacy util ExtractorHelper lambda getCommentsInfo 7(ExtractorHelper java:166)_x000D_
at org schabi newpipelegacy util    Lambda ExtractorHelper c05hNbPsgDxL7UDIeF SWkm CC0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Sync innerRun(FutureTask java:305)_x000D_
at java util concurrent FutureTask run(FutureTask java:137)_x000D_
at java util concurrent ScheduledThreadPoolExecutor ScheduledFutureTask access 201(ScheduledThreadPoolExecutor java:150)_x000D_
at java util concurrent ScheduledThreadPoolExecutor ScheduledFutureTask run(ScheduledThreadPoolExecutor java:264)_x000D_
at java util concurrent ThreadPoolExecutor runWorker(ThreadPoolExecutor java:1076)_x000D_
at java util concurrent ThreadPoolExecutor Worker run(ThreadPoolExecutor java:569)_x000D_
at java lang Thread run(Thread java:856)_x000D_
Caused by: com grack nanojson JsonParserException: JSON did not contain the correct type  expected JsonArray  on line 1  char 97_x000D_
at com grack nanojson JsonTokener createParseException(Unknown Source)_x000D_
at com grack nanojson JsonParser parse(Unknown Source)_x000D_
at com grack nanojson JsonParser JsonParserContext from(Unknown Source)_x000D_
at org schabi newpipe extractor services youtube extractors YoutubeCommentsExtractor getPage(YoutubeCommentsExtractor java:95)_x000D_
    32 more_x000D_
_x000D_
   _x000D_
  details _x000D_
 hr _x000D_
_x000D_
_x000D_
_x000D_
     Please fill this out when you do not provide a log generate by NewPipe    _x000D_
_x000D_
    Device info_x000D_
_x000D_
   Android version Custom ROM version:_x000D_
   Device model:_x000D_
</t>
  </si>
  <si>
    <t>cgeo-cgeo-11452</t>
  </si>
  <si>
    <t>Fatal crash on startup</t>
  </si>
  <si>
    <t xml:space="preserve">    Describe your problem 
A users reports  that since the beta versions he needs several tries to get c:geo started _x000D_
On unsuccessful startups c:geo hangs for a couple of seconds on startup screen then ends again _x000D_
_x000D_
The log shows some fatal crashes _x000D_
_x000D_
What we tried so far:_x000D_
  Deleted all offline maps and themes and activated online OSM map_x000D_
  Clear orphaned files_x000D_
_x000D_
I did now ask the user to set the active map to Google maps as I do see mapsforge involvement in the stacktraces _x000D_
Waiting for answer _x000D_
_x000D_
Any other debugging ideas 
    How to reproduce 
Unclear
    Actual result after these steps 
 No response 
    Expected result after these steps 
 No response 
    Reproducible
Unclear
    c:geo Version
2021 08 08 RC
    System information
   shell
   System information_x000D_
_x000D_
c:geo version: 2021 08 08 RC_x000D_
_x000D_
Device:_x000D_
       _x000D_
  Device type: CLT L29 (CLT L29  HUAWEI)_x000D_
  Available processors: 8_x000D_
  Android version: 10_x000D_
  Android build: CLT L29 10 0 0 171(C432E3R1P3)_x000D_
  Screen resolution: 1080x2037px (360x679dp)_x000D_
  Sailfish OS detected: false_x000D_
  Google Play services: enabled   21 26 21 (120408 387928701)_x000D_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Settings: v8  Count:103_x000D_
  Set language: de_x000D_
  System date format: dd MM yy_x000D_
  Time zone: GMT 02:00_x000D_
  Debug mode active: yes_x000D_
  Last backup: 8  Aug   23:17_x000D_
  Routing mode: Walk_x000D_
  Live map mode: true_x000D_
  OSM multi threading: true   threads: 4_x000D_
  Map: OpenStreetMap de_x000D_
    Id: cgeo geocaching maps mapsforge MapsforgeMapProvider OsmdeMapSource_x000D_
    Atts:  OpenStreetMap DE  map data OpenStreetMap contributors_x000D_
    Theme: none_x000D_
_x000D_
Filters:_x000D_
       _x000D_
  Hide waypoints:  _x000D_
  LIVE: Keine ( :inconclusive false:advanced false )_x000D_
  OFFLINE: Keine ( :inconclusive false:advanced false )_x000D_
_x000D_
Services:_x000D_
       _x000D_
  Geocaching sites enabled:_x000D_
   geocaching com: Logged in (Anmeldung OK)   PREMIUM_x000D_
   Geocaching com Adventure Lab_x000D_
  Geocaching com date format: M d yyyy_x000D_
  Routing: internal   BRouter installed: false_x000D_
  Installed c:geo plugins:  none_x000D_
_x000D_
Permissions   paths:_x000D_
       _x000D_
  Fine location permission: granted_x000D_
  Write external storage permission: granted_x000D_
  System internal c:geo dir:  data user 0 cgeo geocaching (43 6 GB free) v2 internal isDir(4 entries)_x000D_
  Legacy User storage c:geo dir:  data user 0 cgeo geocaching (43 6 GB free) v2 internal isDir(4 entries)_x000D_
  Geocache data:  storage emulated 0 Android data cgeo geocaching files GeocacheData (43 6 GB free) v2 external non removable isDir(2 entries)_x000D_
  Internal theme sync (is turned off):  data user 0 cgeo geocaching MapThemeData (43 6 GB free) v2 internal isDir(0 entries)_x000D_
  Public Folders:  11_x000D_
    BASE:  CGeo (User Defined)  CGeo DOCUMENT 0:p content:  com android externalstorage documents tree primary 3ACGeo::   (Uri: content:  com android externalstorage documents tree primary 3ACGeo document primary 3ACGeo  Av:true  files:  10  dirs:  9  totalFileSize:  78 1 MB  free space: 43 6 GB  files on device: 13278717)_x000D_
    OFFLINE MAPS:  CGeo maps (Default)  CGeo maps PERSISTABLE FOLDER(BASE) 1:p content:  com android externalstorage documents tree primary 3ACGeo:: maps   (Uri: content:  com android externalstorage documents tree primary 3ACGeo document primary 3ACGeo 2Fmaps  Av:true  files:0  dirs:1  totalFileSize:0 B  free space: 43 6 GB  files on device: 13278717)_x000D_
    OFFLINE MAP THEMES:  CGeo maps  themes (Default)  CGeo maps  themes PERSISTABLE FOLDER(OFFLINE MAPS) 1:p content:  com android externalstorage documents tree primary 3ACGeo:: maps  themes   (Uri: content:  com android externalstorage documents tree primary 3ACGeo document primary 3ACGeo 2Fmaps 2F themes  Av:true  files:0  dirs:0  totalFileSize:0 B  free space: 43 6 GB  files on device: 13278717)_x000D_
    LOGFILES:  CGeo logfiles (Default)  CGeo logfiles PERSISTABLE FOLDER(BASE) 1:p content:  com android externalstorage documents tree primary 3ACGeo:: logfiles   (Uri: content:  com android externalstorage documents tree primary 3ACGeo document primary 3ACGeo 2Flogfiles  Av:true  files:8  dirs:0  totalFileSize:78 1 MB  free space: 43 6 GB  files on device: 13278717)_x000D_
    GPX:  CGeo gpx (Default)  CGeo gpx PERSISTABLE FOLDER(BASE) 1:p content:  com android externalstorage documents tree primary 3ACGeo:: gpx   (Uri: content:  com android externalstorage documents tree primary 3ACGeo document primary 3ACGeo 2Fgpx  Av:true  files:1  dirs:0  totalFileSize:0 B  free space: 43 6 GB  files on device: 13278717)_x000D_
    BACKUP:  CGeo backup (Default)  CGeo backup PERSISTABLE FOLDER(BASE) 1:p content:  com android externalstorage documents tree primary 3ACGeo:: backup   (Uri: content:  com android externalstorage documents tree primary 3ACGeo document primary 3ACGeo 2Fbackup  Av:true  files:3  dirs:1  totalFileSize:198 6 KB  free space: 43 6 GB  files on device: 13278717)_x000D_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files:0  dirs:0  totalFileSize:0 B  free space: 43 6 GB  files on device: 13278717)_x000D_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43 6 GB  files on device: 13278717)_x000D_
    ROUTING BASE:  CGeo routing (Default)  CGeo routing PERSISTABLE FOLDER(BASE) 1:p content:  com android externalstorage documents tree primary 3ACGeo:: routing   (Uri: content:  com android externalstorage documents tree primary 3ACGeo document primary 3ACGeo 2Frouting  Av:true  files:7  dirs:1  totalFileSize:81 2 KB  free space: 43 6 GB  files on device: 13278717)_x000D_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files:0  dirs:0  totalFileSize:0 B  free space: 43 6 GB  files on device: 13278717)_x000D_
    TEST FOLDER:  Legacy  data user 0 cgeo geocaching files unittest (Default)  data user 0 cgeo geocaching files unittest FILE 1:p file:   data user 0 cgeo geocaching files:: unittest   (Uri: file:   data user 0 cgeo geocaching files unittest  Av:true  files:0  dirs:0  totalFileSize:0 B  free space: 43 6 GB  files on device:  1)_x000D_
  Map render theme path: _x000D_
  PersistedDocumentUris:  1_x000D_
  TRACK: null_x000D_
  Persisted Uri Permissions:  1_x000D_
    content:  com android externalstorage documents tree primary 3ACGeo (9  Aug   15:23):RW_x000D_
  Database:  data user 0 cgeo geocaching databases data (v96  Size:192 0 KB) on system internal storage_x000D_
_x000D_
    End of system information    
    Additional Information
Crashes:_x000D_
   _x000D_
          beginning of crash_x000D_
08 08 13:37:52 375 32671  1354 F libc    : Fatal signal 6 (SIGABRT)  code  1 (SI QUEUE) in tid 1354 (pool 7 thread 1)  pid 32671 (cgeo geocaching)_x000D_
08 08 13:37:52 530  2204  2204 F DEBUG   :                                                                _x000D_
08 08 13:37:52 530  2204  2204 F DEBUG   : Build fingerprint:  HUAWEI CLT L29 HWCLT:10 HUAWEICLT L29 10 0 0 171C432:user release keys _x000D_
08 08 13:37:52 531  2204  2204 F DEBUG   : Revision:  0 _x000D_
08 08 13:37:52 531  2204  2204 F DEBUG   : ABI:  arm64 _x000D_
08 08 13:37:52 543  2204  2204 F DEBUG   : Timestamp: 2021 08 08 13:37:52 0200_x000D_
08 08 13:37:52 543  2204  2204 F DEBUG   : pid: 32671  tid: 1354  name: pool 7 thread 1      cgeo geocaching    _x000D_
08 08 13:37:52 543  2204  2204 F DEBUG   : uid: 10434_x000D_
08 08 13:37:52 543  2204  2204 F DEBUG   : signal 6 (SIGABRT)  code  1 (SI QUEUE)  fault addr         _x000D_
08 08 13:37:52 543  2204  2204 F DEBUG   : Abort message:  Error  cannot access an invalid free d bitmap here  _x000D_
08 08 13:37:52 544  2204  2204 F DEBUG   :     x0  0000000000000000  x1  000000000000054a  x2  0000000000000006  x3  0000007bcc12a560_x000D_
08 08 13:37:52 544  2204  2204 F DEBUG   :     x4  0000000000000000  x5  0000000000000000  x6  0000000000000000  x7  7f7f7f7f7f7f7f7f_x000D_
08 08 13:37:52 544  2204  2204 F DEBUG   :     x8  00000000000000f0  x9  5029e0a69c2f9146  x10 0000000000000001  x11 0000000000000000_x000D_
08 08 13:37:52 544  2204  2204 F DEBUG   :     x12 fffffff0fffffbdf  x13 0000000000000003  x14 0000000000000002  x15 00000cf2b7b54cd9_x000D_
08 08 13:37:52 544  2204  2204 F DEBUG   :     x16 0000007cdc460908  x17 0000007cdc4406f0  x18 0000007b6fa20000  x19 0000000000007f9f_x000D_
08 08 13:37:52 544  2204  2204 F DEBUG   :     x20 000000000000054a  x21 00000000ffffffff  x22 0000000000000001  x23 0000000000000001_x000D_
08 08 13:37:52 544  2204  2204 F DEBUG   :     x24 0000007bcc12c020  x25 0000007b8d499010  x26 0000000014581048  x27 000000001582f4a0_x000D_
08 08 13:37:52 544  2204  2204 F DEBUG   :     x28 0000000000000001  x29 0000007bcc12a600_x000D_
08 08 13:37:52 544  2204  2204 F DEBUG   :     sp  0000007bcc12a540  lr  0000007cdc3f5580  pc  0000007cdc3f55ac_x000D_
08 08 13:37:53 032  2204  2204 F DEBUG   : _x000D_
08 08 13:37:53 032  2204  2204 F DEBUG   : backtrace:_x000D_
08 08 13:37:53 032  2204  2204 F DEBUG   :        00 pc 00000000000705ac   apex com android runtime lib64 bionic libc so (abort 160) (BuildId: 0328f365110c006f3b155558069c03b7)_x000D_
08 08 13:37:53 032  2204  2204 F DEBUG   :        01 pc 00000000000089f8   system lib64 liblog so (  android log assert 324) (BuildId: 41675fee0f8bd3b6f1dc946483ffa1a5)_x000D_
08 08 13:37:53 032  2204  2204 F DEBUG   :        02 pc 0000000000181834   system lib64 libandroid runtime so (android::bitmap::toBitmap(long) 44) (BuildId: ac04a8ec3cbab202673096097e4386e4)_x000D_
08 08 13:37:53 032  2204  2204 F DEBUG   :        03 pc 000000000019bee0   system lib64 libandroid runtime so (BitmapShader constructor( JNIEnv    jobject   long  long  int  int) 60) (BuildId: ac04a8ec3cbab202673096097e4386e4)_x000D_
08 08 13:37:53 032  2204  2204 F DEBUG   :        04 pc 00000000002e8660   system framework arm64 boot framework oat (art jni trampoline 176) (BuildId: b885f4858adfca469bca3753536a2c7c4bacaadf)_x000D_
08 08 13:37:53 032  2204  2204 F DEBUG   :        05 pc 000000000065952c   system framework arm64 boot framework oat (android graphics BitmapShader createNativeInstance 76) (BuildId: b885f4858adfca469bca3753536a2c7c4bacaadf)_x000D_
08 08 13:37:53 032  2204  2204 F DEBUG   :        06 pc 0000000000501028   system framework arm64 boot framework oat (android graphics Shader getNativeInstance 104) (BuildId: b885f4858adfca469bca3753536a2c7c4bacaadf)_x000D_
08 08 13:37:53 032  2204  2204 F DEBUG   :        07 pc 00000000004f7a3c   system framework arm64 boot framework oat (android graphics Paint getNativeInstance 76) (BuildId: b885f4858adfca469bca3753536a2c7c4bacaadf)_x000D_
08 08 13:37:53 032  2204  2204 F DEBUG   :        08 pc 00000000004e53a4   system framework arm64 boot framework oat (android graphics BaseCanvas drawPath 228) (BuildId: b885f4858adfca469bca3753536a2c7c4bacaadf)_x000D_
08 08 13:37:53 032  2204  2204 F DEBUG   :        09 pc 000000000065ade4   system framework arm64 boot framework oat (android graphics Canvas drawPath 52) (BuildId: b885f4858adfca469bca3753536a2c7c4bacaadf)_x000D_
08 08 13:37:53 032  2204  2204 F DEBUG   :        10 pc 00000000020a7548   memfd: jit cache (deleted) (org mapsforge map layer renderer CanvasRasterer drawPath 1272)_x000D_
08 08 13:37:53 032  2204  2204 F DEBUG   :        11 pc 00000000020acf1c   memfd: jit cache (deleted) (org mapsforge map layer renderer CanvasRasterer drawShapePaintContainer 348)_x000D_
08 08 13:37:53 032  2204  2204 F DEBUG   :        12 pc 00000000020a6730   memfd: jit cache (deleted) (org mapsforge map layer renderer CanvasRasterer drawWays 656)_x000D_
08 08 13:37:53 032  2204  2204 F DEBUG   :        13 pc 0000000000144334   apex com android runtime lib64 libart so (art quick invoke stub 548) (BuildId: 0fd07ccb37ce5d1da616af1c92975c60)_x000D_
08 08 13:37:53 032  2204  2204 F DEBUG   :        14 pc 00000000001531a4   apex com android runtime lib64 libart so (art::ArtMethod::Invoke(art::Thread   unsigned int   unsigned int  art::JValue   char const ) 252) (BuildId: 0fd07ccb37ce5d1da616af1c92975c60)_x000D_
08 08 13:37:53 032  2204  2204 F DEBUG   :        15 pc 00000000002eecdc   apex com android runtime lib64 libart so (art::interpreter::ArtInterpreterToCompiledCodeBridge(art::Thread   art::ArtMethod   art::ShadowFrame   unsigned short  art::JValue ) 384) (BuildId: 0fd07ccb37ce5d1da616af1c92975c60)_x000D_
08 08 13:37:53 032  2204  2204 F DEBUG   :        16 pc 00000000002e9fac   apex com android runtime lib64 libart so (bool art::interpreter::DoCall false  false (art::ArtMethod   art::Thread   art::ShadowFrame   art::Instruction const   unsigned short  art::JValue ) 912) (BuildId: 0fd07ccb37ce5d1da616af1c92975c60)_x000D_
08 08 13:37:53 032  2204  2204 F DEBUG   :        17 pc 00000000005c12d0   apex com android runtime lib64 libart so (MterpInvokeVirtualQuick 596) (BuildId: 0fd07ccb37ce5d1da616af1c92975c60)_x000D_
08 08 13:37:53 032  2204  2204 F DEBUG   :        18 pc 0000000000142594   apex com android runtime lib64 libart so (mterp op invoke virtual quick 20) (BuildId: 0fd07ccb37ce5d1da616af1c92975c60)_x000D_
08 08 13:37:53 033  2204  2204 F DEBUG   :        19 pc 00000000005a2b74   data app cgeo geocaching qycZMFQPZWBlTaFw7bqpWA   oat arm64 base vdex (org mapsforge map layer renderer DatabaseRenderer executeJob 200)_x000D_
08 08 13:37:53 033  2204  2204 F DEBUG   :        20 pc 00000000005c15d4   apex com android runtime lib64 libart so (MterpInvokeVirtualQuick 1368) (BuildId: 0fd07ccb37ce5d1da616af1c92975c60)_x000D_
08 08 13:37:53 033  2204  2204 F DEBUG   :        21 pc 0000000000142594   apex com android runtime lib64 libart so (mterp op invoke virtual quick 20) (BuildId: 0fd07ccb37ce5d1da616af1c92975c60)_x000D_
08 08 13:37:53 033  2204  2204 F DEBUG   :        22 pc 00000000005a2f8c   data app cgeo geocaching qycZMFQPZWBlTaFw7bqpWA   oat arm64 base vdex (org mapsforge map layer renderer MapWorkerPool MapWorker run 164)_x000D_
08 08 13:37:53 033  2204  2204 F DEBUG   :        23 pc 00000000002bf918   apex com android runtime lib64 libart so ( ZN3art11interpreterL7ExecuteEPNS 6ThreadERKNS 20CodeItemDataAccessorERNS 11ShadowFrameENS 6JValueEbb llvm 4040658722762997890 240) (BuildId: 0fd07ccb37ce5d1da616af1c92975c60)_x000D_
08 08 13:37:53 033  2204  2204 F DEBUG   :        24 pc 00000000005a6298   apex com android runtime lib64 libart so (artQuickToInterpreterBridge 1012) (BuildId: 0fd07ccb37ce5d1da616af1c92975c60)_x000D_
08 08 13:37:53 033  2204  2204 F DEBUG   :        25 pc 000000000014d468   apex com android runtime lib64 libart so (art quick to interpreter bridge 88) (BuildId: 0fd07ccb37ce5d1da616af1c92975c60)_x000D_
08 08 13:37:53 033  2204  2204 F DEBUG   :        26 pc 00000000003d7d08   system framework arm64 boot oat (java util concurrent ThreadPoolExecutor runWorker 984) (BuildId: 797ef54fb9a4031e3b127f683ae5637231f7defe)_x000D_
08 08 13:37:53 033  2204  2204 F DEBUG   :        27 pc 00000000003d4880   system framework arm64 boot oat (java util concurrent ThreadPoolExecutor Worker run 64) (BuildId: 797ef54fb9a4031e3b127f683ae5637231f7defe)_x000D_
08 08 13:37:53 033  2204  2204 F DEBUG   :        28 pc 0000000000216fc8   system framework arm64 boot oat (java lang Thread run 72) (BuildId: 797ef54fb9a4031e3b127f683ae5637231f7defe)_x000D_
08 08 13:37:53 033  2204  2204 F DEBUG   :        29 pc 0000000000144334   apex com android runtime lib64 libart so (art quick invoke stub 548) (BuildId: 0fd07ccb37ce5d1da616af1c92975c60)_x000D_
08 08 13:37:53 033  2204  2204 F DEBUG   :        30 pc 00000000001531a4   apex com android runtime lib64 libart so (art::ArtMethod::Invoke(art::Thread   unsigned int   unsigned int  art::JValue   char const ) 252) (BuildId: 0fd07ccb37ce5d1da616af1c92975c60)_x000D_
08 08 13:37:53 033  2204  2204 F DEBUG   :        31 pc 00000000004c6ce8   apex com android runtime lib64 libart so (art::(anonymous namespace)::InvokeWithArgArray(art::ScopedObjectAccessAlreadyRunnable const   art::ArtMethod   art::(anonymous namespace)::ArgArray   art::JValue   char const ) 104) (BuildId: 0fd07ccb37ce5d1da616af1c92975c60)_x000D_
08 08 13:37:53 033  2204  2204 F DEBUG   :        32 pc 00000000004c7d7c   apex com android runtime lib64 libart so (art::InvokeVirtualOrInterfaceWithJValues(art::ScopedObjectAccessAlreadyRunnable const    jobject    jmethodID   jvalue const ) 416) (BuildId: 0fd07ccb37ce5d1da616af1c92975c60)_x000D_
08 08 13:37:53 033  2204  2204 F DEBUG   :        33 pc 0000000000507d4c   apex com android runtime lib64 libart so (art::Thread::CreateCallback(void ) 1176) (BuildId: 0fd07ccb37ce5d1da616af1c92975c60)_x000D_
08 08 13:37:53 033  2204  2204 F DEBUG   :        34 pc 00000000000cf6f0   apex com android runtime lib64 bionic libc so (  pthread start(void ) 36) (BuildId: 0328f365110c006f3b155558069c03b7)_x000D_
08 08 13:37:53 033  2204  2204 F DEBUG   :        35 pc 00000000000720e8   apex com android runtime lib64 bionic libc so (  start thread 64) (BuildId: 0328f365110c006f3b155558069c03b7)_x000D_
   _x000D_
_x000D_
   _x000D_
08 09 14:26:00 773 22437 23938 F libc    : Fatal signal 6 (SIGABRT)  code  1 (SI QUEUE) in tid 23938 (pool 7 thread 4)  pid 22437 (cgeo geocaching)_x000D_
08 09 14:26:00 950 23948 23948 F DEBUG   :                                                                _x000D_
08 09 14:26:00 950 23948 23948 F DEBUG   : Build fingerprint:  HUAWEI CLT L29 HWCLT:10 HUAWEICLT L29 10 0 0 171C432:user release keys _x000D_
08 09 14:26:00 950 23948 23948 F DEBUG   : Revision:  0 _x000D_
08 09 14:26:00 951 23948 23948 F DEBUG   : ABI:  arm64 _x000D_
08 09 14:26:00 952 23948 23948 F DEBUG   : Timestamp: 2021 08 09 14:26:00 0200_x000D_
08 09 14:26:00 952 23948 23948 F DEBUG   : pid: 22437  tid: 23938  name: pool 7 thread 4      cgeo geocaching    _x000D_
08 09 14:26:00 952 23948 23948 F DEBUG   : uid: 10434_x000D_
08 09 14:26:00 952 23948 23948 F DEBUG   : signal 6 (SIGABRT)  code  1 (SI QUEUE)  fault addr         _x000D_
08 09 14:26:00 952 23948 23948 F DEBUG   : Abort message:  Error  cannot access an invalid free d bitmap here  _x000D_
08 09 14:26:00 952 23948 23948 F DEBUG   :     x0  0000000000000000  x1  0000000000005d82  x2  0000000000000006  x3  0000007ba70df5b0_x000D_
08 09 14:26:00 953 23948 23948 F DEBUG   :     x4  0000000000000000  x5  0000000000000000  x6  0000000000000000  x7  7f7f7f7f7f7f7f7f_x000D_
08 09 14:26:00 953 23948 23948 F DEBUG   :     x8  00000000000000f0  x9  5029e0a69c2f9146  x10 0000000000000001  x11 0000000000000000_x000D_
08 09 14:26:00 953 23948 23948 F DEBUG   :     x12 fffffff0fffffbdf  x13 0000000000000003  x14 0000000000000002  x15 00000a9a07aaa3b8_x000D_
08 09 14:26:00 953 23948 23948 F DEBUG   :     x16 0000007cdc460908  x17 0000007cdc4406f0  x18 0000007b829c2000  x19 00000000000057a5_x000D_
08 09 14:26:00 953 23948 23948 F DEBUG   :     x20 0000000000005d82  x21 00000000ffffffff  x22 0000000000000001  x23 0000000000000001_x000D_
08 09 14:26:00 953 23948 23948 F DEBUG   :     x24 0000007ba70e1020  x25 0000007c4b845d70  x26 00000000196324c0  x27 000000001970f440_x000D_
08 09 14:26:00 953 23948 23948 F DEBUG   :     x28 0000000000000001  x29 0000007ba70df650_x000D_
08 09 14:26:00 953 23948 23948 F DEBUG   :     sp  0000007ba70df590  lr  0000007cdc3f5580  pc  0000007cdc3f55ac_x000D_
08 09 14:26:01 315 23948 23948 F DEBUG   : _x000D_
08 09 14:26:01 315 23948 23948 F DEBUG   : backtrace:_x000D_
08 09 14:26:01 315 23948 23948 F DEBUG   :        00 pc 00000000000705ac   apex com android runtime lib64 bionic libc so (abort 160) (BuildId: 0328f365110c006f3b155558069c03b7)_x000D_
08 09 14:26:01 315 23948 23948 F DEBUG   :        01 pc 00000000000089f8   system lib64 liblog so (  android log assert 324) (BuildId: 41675fee0f8bd3b6f1dc946483ffa1a5)_x000D_
08 09 14:26:01 315 23948 23948 F DEBUG   :        02 pc 0000000000181834   system lib64 libandroid runtime so (android::bitmap::toBitmap(long) 44) (BuildId: ac04a8ec3cbab202673096097e4386e4)_x000D_
08 09 14:26:01 315 23948 23948 F DEBUG   :        03 pc 000000000019bee0   system lib64 libandroid runtime so (BitmapShader constructor( JNIEnv    jobject   long  long  int  int) 60) (BuildId: ac04a8ec3cbab202673096097e4386e4)_x000D_
08 09 14:26:01 315 23948 23948 F DEBUG   :        04 pc 00000000002e8660   system framework arm64 boot framework oat (art jni trampoline 176) (BuildId: b885f4858adfca469bca3753536a2c7c4bacaadf)_x000D_
08 09 14:26:01 315 23948 23948 F DEBUG   :        05 pc 000000000065952c   system framework arm64 boot framework oat (android graphics BitmapShader createNativeInstance 76) (BuildId: b885f4858adfca469bca3753536a2c7c4bacaadf)_x000D_
08 09 14:26:01 315 23948 23948 F DEBUG   :        06 pc 0000000000501028   system framework arm64 boot framework oat (android graphics Shader getNativeInstance 104) (BuildId: b885f4858adfca469bca3753536a2c7c4bacaadf)_x000D_
08 09 14:26:01 315 23948 23948 F DEBUG   :        07 pc 00000000004f7a3c   system framework arm64 boot framework oat (android graphics Paint getNativeInstance 76) (BuildId: b885f4858adfca469bca3753536a2c7c4bacaadf)_x000D_
08 09 14:26:01 315 23948 23948 F DEBUG   :        08 pc 00000000004e53a4   system framework arm64 boot framework oat (android graphics BaseCanvas drawPath 228) (BuildId: b885f4858adfca469bca3753536a2c7c4bacaadf)_x000D_
08 09 14:26:01 315 23948 23948 F DEBUG   :        09 pc 0000000002057ea8   memfd: jit cache (deleted) (org mapsforge map layer renderer CanvasRasterer drawPath 1016)_x000D_
08 09 14:26:01 315 23948 23948 F DEBUG   :        10 pc 000000000208026c   memfd: jit cache (deleted) (org mapsforge map layer renderer CanvasRasterer drawShapePaintContainer 348)_x000D_
08 09 14:26:01 315 23948 23948 F DEBUG   :        11 pc 000000000205a488   memfd: jit cache (deleted) (org mapsforge map layer renderer CanvasRasterer drawWays 632)_x000D_
08 09 14:26:01 315 23948 23948 F DEBUG   :        12 pc 0000000000144334   apex com android runtime lib64 libart so (art quick invoke stub 548) (BuildId: 0fd07ccb37ce5d1da616af1c92975c60)_x000D_
08 09 14:26:01 315 23948 23948 F DEBUG   :        13 pc 00000000001531a4   apex com android runtime lib64 libart so (art::ArtMethod::Invoke(art::Thread   unsigned int   unsigned int  art::JValue   char const ) 252) (BuildId: 0fd07ccb37ce5d1da616af1c92975c60)_x000D_
08 09 14:26:01 315 23948 23948 F DEBUG   :        14 pc 00000000002eecdc   apex com android runtime lib64 libart so (art::interpreter::ArtInterpreterToCompiledCodeBridge(art::Thread   art::ArtMethod   art::ShadowFrame   unsigned short  art::JValue ) 384) (BuildId: 0fd07ccb37ce5d1da616af1c92975c60)_x000D_
08 09 14:26:01 315 23948 23948 F DEBUG   :        15 pc 00000000002e9fac   apex com android runtime lib64 libart so (bool art::interpreter::DoCall false  false (art::ArtMethod   art::Thread   art::ShadowFrame   art::Instruction const   unsigned short  art::JValue ) 912) (BuildId: 0fd07ccb37ce5d1da616af1c92975c60)_x000D_
08 09 14:26:01 315 23948 23948 F DEBUG   :        16 pc 00000000005c12d0   apex com android runtime lib64 libart so (MterpInvokeVirtualQuick 596) (BuildId: 0fd07ccb37ce5d1da616af1c92975c60)_x000D_
08 09 14:26:01 316 23948 23948 F DEBUG   :        17 pc 0000000000142594   apex com android runtime lib64 libart so (mterp op invoke virtual quick 20) (BuildId: 0fd07ccb37ce5d1da616af1c92975c60)_x000D_
08 09 14:26:01 316 23948 23948 F DEBUG   :        18 pc 00000000005a30dc   data app cgeo geocaching OTUX9iWVppWdPmk1 Juu3w   oat arm64 base vdex (org mapsforge map layer renderer DatabaseRenderer executeJob 200)_x000D_
08 09 14:26:01 316 23948 23948 F DEBUG   :        19 pc 00000000005c15d4   apex com android runtime lib64 libart so (MterpInvokeVirtualQuick 1368) (BuildId: 0fd07ccb37ce5d1da616af1c92975c60)_x000D_
08 09 14:26:01 316 23948 23948 F DEBUG   :        20 pc 0000000000142594   apex com android runtime lib64 libart so (mterp op invoke virtual quick 20) (BuildId: 0fd07ccb37ce5d1da616af1c92975c60)_x000D_
08 09 14:26:01 316 23948 23948 F DEBUG   :        21 pc 00000000005a34f4   data app cgeo geocaching OTUX9iWVppWdPmk1 Juu3w   oat arm64 base vdex (org mapsforge map layer renderer MapWorkerPool MapWorker run 164)_x000D_
08 09 14:26:01 316 23948 23948 F DEBUG   :        22 pc 00000000002bf918   apex com android runtime lib64 libart so ( ZN3art11interpreterL7ExecuteEPNS 6ThreadERKNS 20CodeItemDataAccessorERNS 11ShadowFrameENS 6JValueEbb llvm 4040658722762997890 240) (BuildId: 0fd07ccb37ce5d1da616af1c92975c60)_x000D_
08 09 14:26:01 316 23948 23948 F DEBUG   :        23 pc 00000000005a6298   apex com android runtime lib64 libart so (artQuickToInterpreterBridge 1012) (BuildId: 0fd07ccb37ce5d1da616af1c92975c60)_x000D_
08 09 14:26:01 316 23948 23948 F DEBUG   :        24 pc 000000000014d468   apex com android runtime lib64 libart so (art quick to interpreter bridge 88) (BuildId: 0fd07ccb37ce5d1da616af1c92975c60)_x000D_
08 09 14:26:01 316 23948 23948 F DEBUG   :        25 pc 00000000003d7d08   system framework arm64 boot oat (java util concurrent ThreadPoolExecutor runWorker 984) (BuildId: 797ef54fb9a4031e3b127f683ae5637231f7defe)_x000D_
08 09 14:26:01 316 23948 23948 F DEBUG   :        26 pc 00000000003d4880   system framework arm64 boot oat (java util concurrent ThreadPoolExecutor Worker run 64) (BuildId: 797ef54fb9a4031e3b127f683ae5637231f7defe)_x000D_
08 09 14:26:01 316 23948 23948 F DEBUG   :        27 pc 0000000000216fc8   system framework arm64 boot oat (java lang Thread run 72) (BuildId: 797ef54fb9a4031e3b127f683ae5637231f7defe)_x000D_
08 09 14:26:01 316 23948 23948 F DEBUG   :        28 pc 0000000000144334   apex com android runtime lib64 libart so (art quick invoke stub 548) (BuildId: 0fd07ccb37ce5d1da616af1c92975c60)_x000D_
08 09 14:26:01 316 23948 23948 F DEBUG   :        29 pc 00000000001531a4   apex com android runtime lib64 libart so (art::ArtMethod::Invoke(art::Thread   unsigned int   unsigned int  art::JValue   char const ) 252) (BuildId: 0fd07ccb37ce5d1da616af1c92975c60)_x000D_
08 09 14:26:01 316 23948 23948 F DEBUG   :        30 pc 00000000004c6ce8   apex com android runtime lib64 libart so (art::(anonymous namespace)::InvokeWithArgArray(art::ScopedObjectAccessAlreadyRunnable const   art::ArtMethod   art::(anonymous namespace)::ArgArray   art::JValue   char const ) 104) (BuildId: 0fd07ccb37ce5d1da616af1c92975c60)_x000D_
08 09 14:26:01 316 23948 23948 F DEBUG   :        31 pc 00000000004c7d7c   apex com android runtime lib64 libart so (art::InvokeVirtualOrInterfaceWithJValues(art::ScopedObjectAccessAlreadyRunnable const    jobject    jmethodID   jvalue const ) 416) (BuildId: 0fd07ccb37ce5d1da616af1c92975c60)_x000D_
08 09 14:26:01 316 23948 23948 F DEBUG   :        32 pc 0000000000507d4c   apex com android runtime lib64 libart so (art::Thread::CreateCallback(void ) 1176) (BuildId: 0fd07ccb37ce5d1da616af1c92975c60)_x000D_
08 09 14:26:01 316 23948 23948 F DEBUG   :        33 pc 00000000000cf6f0   apex com android runtime lib64 bionic libc so (  pthread start(void ) 36) (BuildId: 0328f365110c006f3b155558069c03b7)_x000D_
08 09 14:26:01 316 23948 23948 F DEBUG   :        34 pc 00000000000720e8   apex com android runtime lib64 bionic libc so (  start thread 64) (BuildId: 0328f365110c006f3b155558069c03b7)_x000D_
   _x000D_
</t>
  </si>
  <si>
    <t>Anuken-Mindustry-5725</t>
  </si>
  <si>
    <t>Water pump on lava</t>
  </si>
  <si>
    <t xml:space="preserve">  android  :  Android iOS Mac Windows Linux _x000D_
_x000D_
  bleeding edge build 21634  _x000D_
_x000D_
  for some reason the pumps on the lava shows what they are extracting water  but they aren t doing anything  _x000D_
_x000D_
  idk i just joined and it was like that  _x000D_
_x000D_
  None  _x000D_
_x000D_
    File :p (https:  www mediafire com file jp53fqerof4hg4k something file)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</si>
  <si>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mahmudur85-PjDroid-16</t>
  </si>
  <si>
    <t>I can not loadLibrary("pjsua2")</t>
  </si>
  <si>
    <t xml:space="preserve">You have moved the repository from jcenter to mavenCentral  Thank you very much _x000D_
However  switching repositories does not work well _x000D_
_x000D_
For example  using the sample project  switch from the local library to mavenCentral_x000D_
_x000D_
in   PjDroid blob master sample build gradle_x000D_
implementation project( :pjdroid )_x000D_
change to_x000D_
implementation  com pjdroid:pjdroid:2 2 3 _x000D_
_x000D_
and run the sample project _x000D_
_x000D_
However  in the following sentence _x000D_
System loadLibrary( pjsua2 )_x000D_
_x000D_
The app crashes _x000D_
The logcat say the following statement_x000D_
_x000D_
2021 08 09 19:00:32 883 13665 13665   E AndroidRuntime: FATAL EXCEPTION: main_x000D_
    Process: com pjdroid sample  PID: 13665_x000D_
    java lang UnsatisfiedLinkError: dlopen failed: library  libc   shared so  not found: needed by  data app   D7w1q U4HB47GQDrpOl0RA   com pjdroid sample cZQesQNut xFN tSU3suBw   base apk  lib x86 64 libpjsua2 so in namespace classloader namespace_x000D_
        at java lang Runtime loadLibrary0(Runtime java:1087)_x000D_
        at java lang Runtime loadLibrary0(Runtime java:1008)_x000D_
        at java lang System loadLibrary(System java:1664)_x000D_
_x000D_
When It try to load the library in mavenCentral  it doesn t seem to be able to find libpjsua2 so _x000D_
_x000D_
Could you please fix that </t>
  </si>
  <si>
    <t>aws-amplify-amplify-android-1446</t>
  </si>
  <si>
    <t>TransferNetworkLossHandler crashes with IllegalStateException while trying to resume its jobs</t>
  </si>
  <si>
    <t xml:space="preserve">    Before opening  please confirm:
   X  I have  searched for duplicate or closed issues (https:  github com aws amplify amplify android issues q is 3Aissue ) and  discussions (https:  github com aws amplify amplify android discussions) 
    Language and Async Model
Java
    Amplify Categories
Authentication  Storage
    Gradle script dependencies
 details _x000D_
_x000D_
   groovy_x000D_
implementation  com amplifyframework:core:1 22 0 _x000D_
implementation  com amplifyframework:aws storage s3:1 22 0 _x000D_
implementation  com amplifyframework:aws auth cognito:1 22 0 _x000D_
   _x000D_
_x000D_
  details _x000D_
    Environment information
 details _x000D_
_x000D_
   _x000D_
                                                            _x000D_
Gradle 6 7 1_x000D_
                                                            _x000D_
_x000D_
Build time:   2020 11 16 17:09:24 UTC_x000D_
Revision:     2972ff02f3210d2ceed2f1ea880f026acfbab5c0_x000D_
_x000D_
Kotlin:       1 3 72_x000D_
Groovy:       2 5 12_x000D_
Ant:          Apache Ant(TM) version 1 10 8 compiled on May 10 2020_x000D_
JVM:          1 8 0 261 (Oracle Corporation 25 261 b12)_x000D_
OS:           Mac OS X 10 15 7 x86 64_x000D_
   _x000D_
_x000D_
  details _x000D_
    Please include any relevant guides or documentation you re referencing
 No response 
    Describe the bug
Hi there _x000D_
_x000D_
Our users experience an issue from time to time  TransferNetworkLossHandler crashes with IllegalStateException while trying to resume its jobs _x000D_
_x000D_
The implementation is plain and doesn t have any customizations  The app just initializes Amplify library in Application class and later tries to upload image files to the storage _x000D_
_x000D_
There are about 100 cases for 29 users during last couple of weeks which happened on different devices (LG  Motorola  Samsung etc )_x000D_
_x000D_
Unfortunately  I can t reproduce this problem locally  so there are no exact steps to reproduce _x000D_
_x000D_
However  in detailed logs I ve found that sometimes crashes are accompanied by different connection problems  but not for the each case _x000D_
_x000D_
Like these ones:_x000D_
   _x000D_
AWS capture failed   com amazonaws AmazonClientException: Unable to execute HTTP request: Unable to resolve host  screencapture bucket145331 prod s3 amazonaws com : No address associated with hostname _x000D_
_x000D_
AWS capture failed   com amazonaws AmazonClientException: Unable to execute HTTP request: SSL handshake timed out _x000D_
_x000D_
AWS capture failed   com amazonaws AmazonClientException: Unable to execute HTTP request: timeout _x000D_
   _x000D_
    Reproduction steps (if applicable)
 No response 
    Code Snippet
   java_x000D_
   Initialization in Application class_x000D_
_x000D_
LogFactory setLevel(LogFactory Level OFF) _x000D_
_x000D_
Amplify addPlugin(new AWSCognitoAuthPlugin()) _x000D_
Amplify addPlugin(new AWSS3StoragePlugin()) _x000D_
_x000D_
AmplifyConfiguration amplifyConfig   AmplifyConfiguration builder(context)_x000D_
		 devMenuEnabled(false)_x000D_
		 build() _x000D_
Amplify configure(amplifyConfig  context) _x000D_
_x000D_
_x000D_
_x000D_
   Uploading  somewhere in the app_x000D_
_x000D_
DateFormat dateFormat   new SimpleDateFormat( yyyy MM dd T HH:mm:ssZ   Locale US) _x000D_
dateFormat setTimeZone(TimeZone getTimeZone( UTC )) _x000D_
_x000D_
Map String  String  metadata   new ArrayMap  (4) _x000D_
metadata put( date   dateFormat format(date)) _x000D_
metadata put( token   authToken) _x000D_
_x000D_
StorageUploadFileOptions options  _x000D_
		StorageUploadFileOptions builder()_x000D_
				 accessLevel(StorageAccessLevel PUBLIC)_x000D_
				 contentType(mimeType)_x000D_
				 metadata(metadata)_x000D_
				 build() _x000D_
_x000D_
Amplify Storage uploadFile(_x000D_
		 gl     new Date() getTime()         fileName _x000D_
		file _x000D_
		options _x000D_
		result     _x000D_
			   write success logs_x000D_
		  _x000D_
		failure     _x000D_
			   write failure logs_x000D_
		 _x000D_
) _x000D_
_x000D_
   _x000D_
    Log output
 details _x000D_
_x000D_
   _x000D_
   a crashlog from Firebase_x000D_
Fatal Exception: java lang IllegalStateException_x000D_
Couldn t read row 742  col 0 from CursorWindow  Make sure the Cursor is initialized correctly before accessing data from it _x000D_
_x000D_
android database CursorWindow nativeGetLong (CursorWindow java)_x000D_
android database CursorWindow getLong (CursorWindow java:542)_x000D_
android database CursorWindow getInt (CursorWindow java:609)_x000D_
android database AbstractWindowedCursor getInt (AbstractWindowedCursor java:71)_x000D_
com amazonaws mobileconnectors s3 transferutility TransferNetworkLossHandler resumeAllTransfersOnNetworkAvailability (TransferNetworkLossHandler java:171)_x000D_
com amazonaws mobileconnectors s3 transferutility TransferNetworkLossHandler access 000 (TransferNetworkLossHandler java:37)_x000D_
com amazonaws mobileconnectors s3 transferutility TransferNetworkLossHandler 1 run (TransferNetworkLossHandler java:123)_x000D_
java lang Thread run (Thread java:919)_x000D_
_x000D_
   _x000D_
_x000D_
  details _x000D_
    amplifyconfiguration json
 No response 
    GraphQL Schema
 details _x000D_
_x000D_
   graphql_x000D_
   Put your schema below this line_x000D_
_x000D_
_x000D_
   _x000D_
_x000D_
  details _x000D_
    Additional information and screenshots
 No response </t>
  </si>
  <si>
    <t>forrestguice-SuntimesCalendars-43</t>
  </si>
  <si>
    <t>App crash when clicking the "Open Calendar" button.</t>
  </si>
  <si>
    <t xml:space="preserve">  Environment Info   _x000D_
APK Version: 0 5 4 (14) _x000D_
Android  version  6 0 1 _x000D_
_x000D_
  Expected behavior   _x000D_
The app pop up a dialog  which prompts that  The device lacks  a   calendar   application  _x000D_
_x000D_
  Repro Steps   _x000D_
_x000D_
1  The calendar application is not installed in the device  _x000D_
2  Click the  Navigation  button in the top right hand corner of app _x000D_
3  Click the  Open Calendar  button   then the app will crash  _x000D_
  33 (https:  user images githubusercontent com 55122523 128684605 edb811cf ccf8 4319 bd5d 30722e48999d png)_x000D_
_x000D_
  The stack trace:  _x000D_
FATAL EXCEPTION: main_x000D_
Process: com forrestguice suntimescalendars  PID: 2120_x000D_
android content ActivityNotFoundException: No Activity found to handle Intent   act android intent action VIEW dat content:  com android calendar time 1628498624827 flg 0x10000000  _x000D_
	at android app Instrumentation checkStartActivityResult(Instrumentation java:1798)_x000D_
	at android app Instrumentation execStartActivity(Instrumentation java:1512)_x000D_
	at android app Activity startActivityForResult(Activity java:3942)_x000D_
	at android support v4 app BaseFragmentActivityJB startActivityForResult(BaseFragmentActivityJB java:50)_x000D_
	at android support v4 app FragmentActivity startActivityForResult(FragmentActivity java:79)_x000D_
	at android app Activity startActivityForResult(Activity java:3902)_x000D_
	at android support v4 app FragmentActivity startActivityForResult(FragmentActivity java:859)_x000D_
	at android app Activity startActivity(Activity java:4231)_x000D_
	at android app Activity startActivity(Activity java:4199)_x000D_
	at com forrestguice suntimeswidget calendar SuntimesCalendarActivity onOptionsItemSelected(SuntimesCalendarActivity java:494)_x000D_
	at android app Activity onMenuItemSelected(Activity java:2926)_x000D_
	at android support v4 app FragmentActivity onMenuItemSelected(FragmentActivity java:408)_x000D_
	at android support v7 app AppCompatActivity onMenuItemSelected(AppCompatActivity java:195)_x000D_
	at android support v7 view WindowCallbackWrapper onMenuItemSelected(WindowCallbackWrapper java:113)_x000D_
	at android support v7 view WindowCallbackWrapper onMenuItemSelected(WindowCallbackWrapper java:113)_x000D_
	at android support v7 app ToolbarActionBar 2 onMenuItemClick(ToolbarActionBar java:69)_x000D_
	at android support v7 widget Toolbar 1 onMenuItemClick(Toolbar java:206)_x000D_
	at android support v7 widget ActionMenuView MenuBuilderCallback onMenuItemSelected(ActionMenuView java:776)_x000D_
	at android support v7 view menu MenuBuilder dispatchMenuItemSelected(MenuBuilder java:822)_x000D_
	at android support v7 view menu MenuItemImpl invoke(MenuItemImpl java:156)_x000D_
	at android support v7 view menu MenuBuilder performItemAction(MenuBuilder java:969)_x000D_
	at android support v7 view menu MenuPopup onItemClick(MenuPopup java:127)_x000D_
	at android widget AdapterView performItemClick(AdapterView java:310)_x000D_
	at android widget AbsListView performItemClick(AbsListView java:1145)_x000D_
	at android widget AbsListView PerformClick run(AbsListView java:3066)_x000D_
	at android widget AbsListView 3 run(AbsListView java:3903)_x000D_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at de robv android xposed XposedBridge main(XposedBridge java:107)_x000D_
_x000D_
  Do you confirm this bug  Thank you   </t>
  </si>
  <si>
    <t>TeamNewPipe-NewPipe-6881</t>
  </si>
  <si>
    <t>Cannot download an any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</si>
  <si>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video player _x000D_
2  Press on  download _x000D_
3  Crash happens_x000D_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ACRA report_x000D_
    Content Country:   CA_x000D_
    Content Language:   en CA_x000D_
    App Language:   en CA_x000D_
    Service:   none_x000D_
    Version:   0 21 8_x000D_
    OS:   Linux Android 10   29_x000D_
 details  summary  b Crash log   b   summary  p _x000D_
_x000D_
   _x000D_
java lang RuntimeException: Unable to create service us shandian giga service DownloadManagerService: java lang NullPointerException: Attempt to invoke virtual method  java lang String org schabi newpipe streams io StoredFileHelper toString()  on a null object reference_x000D_
	at android app ActivityThread handleCreateService(ActivityThread java:4651)_x000D_
	at android app ActivityThread access 2800(ActivityThread java:251)_x000D_
	at android app ActivityThread H handleMessage(ActivityThread java:2315)_x000D_
	at android os Handler dispatchMessage(Handler java:110)_x000D_
	at android os Looper loop(Looper java:219)_x000D_
	at android app ActivityThread main(ActivityThread java:8387)_x000D_
	at java lang reflect Method invoke(Native Method)_x000D_
	at com android internal os RuntimeInit MethodAndArgsCaller run(RuntimeInit java:513)_x000D_
	at com android internal os ZygoteInit main(ZygoteInit java:1055)_x000D_
Caused by: java lang NullPointerException: Attempt to invoke virtual method  java lang String org schabi newpipe streams io StoredFileHelper toString()  on a null object reference_x000D_
	at us shandian giga service DownloadManager loadPendingMissions(DownloadManager java:165)_x000D_
	at us shandian giga service DownloadManager  init (DownloadManager java:77)_x000D_
	at us shandian giga service DownloadManagerService onCreate(DownloadManagerService java:142)_x000D_
	at android app ActivityThread handleCreateService(ActivityThread java:4637)_x000D_
	    8 more_x000D_
_x000D_
   _x000D_
  details _x000D_
 hr _x000D_
_x000D_
_x000D_
_x000D_
     Please fill this out when you do not provide a log generate by NewPipe    _x000D_
_x000D_
    Device info_x000D_
_x000D_
   Android version Custom ROM version:_x000D_
   Device model:_x000D_
</t>
  </si>
  <si>
    <t>PojavLauncherTeam-PojavLauncher-1814</t>
  </si>
  <si>
    <t>[BUG] Crashing when I select"Select Account"</t>
  </si>
  <si>
    <t xml:space="preserve">    Describe the bug
Crashing when I select the  select account  button 
    The log file and images videos
 latestcrash txt (https:  github com PojavLauncherTeam PojavLauncher files 6951952 latestcrash txt)_x000D_
    Steps To Reproduce
   markdown
1  Launch PojavLauncher_x000D_
2  Select Account_x000D_
3  Crashed
    Expected Behavior
I expected that this will not crash 
    Platform
   markdown
  Device model:CPH1853_x000D_
  CPU architecture:aarch64_x000D_
  Android version:8 1_x000D_
  PojavLauncher version: Latest Actions    version 3 3 1 1 1103 e874fe23 v3 openjdk 
    Anything else 
Just crashing when I tap this button _x000D_
  Screenshot 2021 08 09 11 08 27 18 (https:  user images githubusercontent com 75970303 128656590 d9f01505 ecf0 4038 92cc 5c81139ae423 png)_x000D_
</t>
  </si>
  <si>
    <t>PojavLauncherTeam-PojavLauncher-1809</t>
  </si>
  <si>
    <t>[BUG] crash when starting 1.14.3</t>
  </si>
  <si>
    <t xml:space="preserve">    Describe the bug_x000D_
_x000D_
while attempting to start 1 14 3 and 1 14 2 the game will crash_x000D_
_x000D_
    The log file and images videos_x000D_
_x000D_
     Minecraft Crash Report     _x000D_
   Don t do that _x000D_
_x000D_
Time: 8 8 2021  10:31   _x000D_
Description: Unexpected error_x000D_
_x000D_
java lang NullPointerException: Unexpected error_x000D_
	at cud u(SourceFile:225)_x000D_
	at cud c(SourceFile:264)_x000D_
	at org lwjgl glfw GLFWWindowSizeCallback Container invoke(GLFWWindowSizeCallback java:80)_x000D_
	at org lwjgl glfw GLFW glfwPollEvents(GLFW java:1154)_x000D_
	at cud l(SourceFile:425)_x000D_
	at cud c(SourceFile:283)_x000D_
	at cvk b(SourceFile:1023)_x000D_
	at cvk e(SourceFile:976)_x000D_
	at cvk b(SourceFile:411)_x000D_
	at net minecraft client main Main main(SourceFile:154)_x000D_
_x000D_
_x000D_
A detailed walkthrough of the error  its code path and all known details is as follows:_x000D_
                                                                                       _x000D_
_x000D_
   System Details   _x000D_
Details:_x000D_
	Minecraft Version: 1 14 2_x000D_
	Operating System: Linux (aarch64) version Android 9_x000D_
	Java Version: 1 8 0 internal  Oracle Corporation_x000D_
	Java VM Version: OpenJDK 64 Bit Server VM (mixed mode)  Oracle Corporation_x000D_
	Memory: 1658929976 bytes (1582 MB)   2044198912 bytes (1949 MB) up to 2044198912 bytes (1949 MB)_x000D_
	JVM Flags: 3 total   Xms1989M  Xmx1989M  Xbootclasspath p: storage emulated 0 games PojavLauncher caciocavallo ResConfHack jar: storage emulated 0 games PojavLauncher caciocavallo cacio androidnw 1 10 SNAPSHOT jar: storage emulated 0 games PojavLauncher caciocavallo cacio shared 1 10 SNAPSHOT jar_x000D_
	Launched Version: 1 14 2_x000D_
	LWJGL: 3 2 3 SNAPSHOT_x000D_
	OpenGL: GL4ES wrapper GL version 2 1 gl4es wrapper 1 1 4  ptitSeb_x000D_
	GL Caps: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Yes_x000D_
	Is Modded: Probably not  Jar signature remains and client brand is untouched _x000D_
	Type: Client (map client txt)_x000D_
	Resource Packs: _x000D_
	Current Language:   ERROR   NullPointerException: null_x000D_
	CPU: 9x null_x000D_
_x000D_
    Steps To Reproduce_x000D_
_x000D_
   markdown_x000D_
1 start pojavluncher_x000D_
2 do as usual_x000D_
3 switch to 1 14 3 or 1 14 2_x000D_
4 play_x000D_
5 wait_x000D_
_x000D_
6 done_x000D_
_x000D_
 Note  this also happens to optiFine_x000D_
   _x000D_
_x000D_
_x000D_
    Expected Behavior_x000D_
_x000D_
game will start as normal unit the mojang bar rach half full then the game will crash_x000D_
_x000D_
    Platform_x000D_
_x000D_
   markdown_x000D_
  Device model: oppo a31_x000D_
  CPU architecture: aarch64_x000D_
  Android version: 9_x000D_
  PojavLauncher version: 3 3 1 1 rel 20210321_x000D_
   _x000D_
_x000D_
_x000D_
    Anything else _x000D_
_x000D_
as i said this also happens on modded version of the game (ex  optiFine)</t>
  </si>
  <si>
    <t>TeamNewPipe-NewPipe-6873</t>
  </si>
  <si>
    <t>When comments &amp; description are both disabled, enabling description only temporarily enables comments only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</si>
  <si>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Turn off  Show comments     Show description  in Settings_x000D_
2  Use the app for a bit_x000D_
3  Navigate to settings and enable  Show description _x000D_
4  Only comments will be enabled at first  but the bug corrects itself without further action_x000D_
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_x000D_
Enabling description temporarily enables comments _x000D_
_x000D_
    Expected behavior_x000D_
     Tell us what you expect to happen     _x000D_
Enabling description should only enable description and leave comments alone_x000D_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NewPipe gui comments info display bug1 2021 08 02 07 42 35 (https:  user images githubusercontent com 29090831 128609060 903f0172 88d1 467c 895d d0a0c2007637 jpg)_x000D_
_x000D_
  NewPipe gui comments info display bug2 2021 08 02 07 43 03 (https:  user images githubusercontent com 29090831 128609095 752b32ab 48c6 4916 bb44 d1bc94fa6904 jpg)_x000D_
_x000D_
     Please fill this out when you do not provide a log generate by NewPipe    _x000D_
_x000D_
    Device info_x000D_
_x000D_
   Android version Custom ROM version: 8 0_x000D_
   Device model: Samsung Galaxy S7 Edge_x000D_
</t>
  </si>
  <si>
    <t>Anuken-Mindustry-5713</t>
  </si>
  <si>
    <t>Launch error</t>
  </si>
  <si>
    <t xml:space="preserve">  Platform  :  Android _x000D_
_x000D_
  Build  :  release build 126 2  _x000D_
_x000D_
  Issue  :  I was clearing certain attack zones until i reached  5   When i launched into it  and then changed zone for go and export to that one  somehow the zone shown me like if i didnt launch  and the side one somehow it lost the resources when launched  like if i ve got stolen  This happened on an instant and i had 3 minutes for build myself up     5  is an pentagonal zone btw  This happened on campaign so idk where s the save or how to send you all the progress i have _x000D_
_x000D_
  Steps to reproduce  :  Like stated above  Launched and changed to certain zones classified as export ones  Tried to export from them to  5  where i was  but couldn t anymore like if i didn t launch when i did  _x000D_
_x000D_
  Link(s) to mod(s) used  :  No mods used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(No crash report)_x000D_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</si>
  <si>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TeamNewPipe-NewPipe-6870</t>
  </si>
  <si>
    <t>Topics with videos don't show the videos - only the Subscribe button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</si>
  <si>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Search for something that has a    Topic  as a search result_x000D_
2  Click to open the topic (one with videos)_x000D_
3  No videos are shown_x000D_
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_x000D_
Topics with videos show 0 videos_x000D_
_x000D_
    Expected behavior_x000D_
     Tell us what you expect to happen     _x000D_
All videos of a topic shoukd be shown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img src  https:  user images githubusercontent com 29090831 128608131 ec8072ea bd4b 4788 8fc2 59733bcd4c2a jpg  width 300   img src  https:  user images githubusercontent com 29090831 128608142 8dc11062 109d 43e2 955c f7b04998c13e jpg  width 300 _x000D_
_x000D_
    Logs_x000D_
     If your bug includes a crash (where you re shown the Error Report page with a bunch of info)  tap on  Copy formatted report  at the bottom and paste it here:    n a_x000D_
_x000D_
     That s right  here     _x000D_
_x000D_
     Please fill this out when you do not provide a log generate by NewPipe    _x000D_
_x000D_
    Device info_x000D_
_x000D_
   Android version Custom ROM version: 8 0_x000D_
   Device model: Samsung Galaxy S7 Edge_x000D_
</t>
  </si>
  <si>
    <t>TeamNewPipe-NewPipe-6868</t>
  </si>
  <si>
    <t>Bandcamp albums/bands are found in Youtube search; songs are playable in Youtube player/portion of app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</si>
  <si>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the YouTube portion of NewPipe_x000D_
2  Search for something that s on both YouTube and Bandcamp (I searched for the band Sunny Flynn Hugo)_x000D_
3  Click a Bandcamp band album link in YouTube search results  The one I clicked was Sunny Flynn Hugo   Sunny Flynn Hugo (11 tracks  not the    Topic  one)  See screenshots below _x000D_
4  Click on a track  I clicked on  Ride On  and the following link was loaded in the YouTube player  red color and all: https:  sunnyflynnhugo bandcamp com track ride on feat asha jefferies _x000D_
5  The song will load and show  6417 is present here as well _x000D_
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_x000D_
Bandcamp albums are shown in YouTube search results  Bandcamp songs are played in YouTube _x000D_
_x000D_
    Expected behavior_x000D_
     Tell us what you expect to happen     _x000D_
I like the idea of being able to find bands  albums  and songs that may be on Bandcamp  but not on YouTube  but there should be a way to search only youtube and or a label or color to let the user know a result is a Bandcamp result link  When clicking to load a Bandcamp album or song link it should also switch to the Bandcamp portion of the app or at least play i in the blue color to signify the user is playing a Bandcamp link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This is what I clicked on in YouTube search results:_x000D_
  Bandcamp youtube 2021 08 07 12 20 05 (https:  user images githubusercontent com 29090831 128607487 3941ed48 60db 49d9 aa76 d63ae344fa9b jpg)_x000D_
   and this is what loads in the YouTube player after clicking on the track:_x000D_
  NewPipe seekbar bug1 20210729 142451 (https:  user images githubusercontent com 29090831 128607548 ba05f024 d419 4457 baa3 0d8ba9cc9a93 jpg)_x000D_
_x000D_
    Logs_x000D_
     If your bug includes a crash (where you re shown the Error Report page with a bunch of info)  tap on  Copy formatted report  at the bottom and paste it here:    n a_x000D_
_x000D_
     That s right  here     _x000D_
_x000D_
_x000D_
_x000D_
     Please fill this out when you do not provide a log generate by NewPipe    _x000D_
_x000D_
    Device info_x000D_
_x000D_
   Android version Custom ROM version: 8 0_x000D_
   Device model: Samsung Galaxy S7 Edge_x000D_
</t>
  </si>
  <si>
    <t>TeamNewPipe-NewPipe-6867</t>
  </si>
  <si>
    <t>When videos end the seekbar sometimes ends 1 sec ahead or 1 sec behind the video's supposed total time length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</si>
  <si>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any video to the end_x000D_
2  Look at seekbar time displays_x000D_
3  (Bug only happens on certain videos)_x000D_
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_x000D_
Sometimes the seekbar will show 1 sec shorter has played or 1 sec longer has played than the posted total video duration (at the end of a video)_x000D_
_x000D_
    Expected behavior_x000D_
     Tell us what you expect to happen     _x000D_
It should always display that it ended on the total duration_x000D_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NewPipe seekbar bug2 2021 07 30 12 50 13 (https:  user images githubusercontent com 29090831 128605231 99f13924 de8f 4992 8db4 e1e3b7b17024 jpg)_x000D_
_x000D_
     DON T POST SCREENSHOTS OF THE ERROR PAGE  Use the buttons given on the error page to paste the error as text in the Logs section below     _x000D_
_x000D_
    Logs_x000D_
     If your bug includes a crash (where you re shown the Error Report page with a bunch of info)  tap on  Copy formatted report  at the bottom and paste it here:    n a_x000D_
_x000D_
     That s right  here     _x000D_
_x000D_
_x000D_
_x000D_
     Please fill this out when you do not provide a log generate by NewPipe    _x000D_
_x000D_
    Device info_x000D_
_x000D_
   Android version Custom ROM version: 8 0_x000D_
   Device model: Samsung Galaxy S7 Edge_x000D_
</t>
  </si>
  <si>
    <t>PojavLauncherTeam-PojavLauncher-1804</t>
  </si>
  <si>
    <t>[BUG] Keyboard any tap key but its crash</t>
  </si>
  <si>
    <t xml:space="preserve">    Describe the bug_x000D_
_x000D_
PojavLauncher has unexpectedly crashed_x000D_
I try keyboard tap any key but i crash but please fix_x000D_
_x000D_
    The log file and images videos_x000D_
_x000D_
  _x000D_
 latestcrash txt (https:  github com PojavLauncherTeam PojavLauncher files 6949027 latestcrash txt)_x000D_
_x000D_
_x000D_
    Steps To Reproduce_x000D_
_x000D_
   markdown_x000D_
1  Start Pojavlauncher_x000D_
2  Play Launch_x000D_
3  Tap Singleplayer_x000D_
4  Play World_x000D_
5  Tap Chat_x000D_
6  Tap Keyboard_x000D_
7  Tap Any Key_x000D_
8  Its Crash_x000D_
   _x000D_
_x000D_
_x000D_
    Expected Behavior_x000D_
_x000D_
PojavLauncher has unexpectedly crashed_x000D_
_x000D_
    Platform_x000D_
_x000D_
   markdown_x000D_
  Device model: Samsung Galaxy A7 2018_x000D_
  CPU architecture: aarch64_x000D_
  Android version: 10_x000D_
  PojavLauncher version: v3 3 1 1 1098 c09b80e5 v3 openjdk_x000D_
   _x000D_
_x000D_
_x000D_
    Anything else _x000D_
_x000D_
 No response </t>
  </si>
  <si>
    <t>Anuken-Mindustry-5710</t>
  </si>
  <si>
    <t>option : Capture core on Destruction with Aegires</t>
  </si>
  <si>
    <t xml:space="preserve">  Platform  :  Android iOS Mac Windows Linux _x000D_
_x000D_
windows_x000D_
_x000D_
  Build  :  The build number under the title in the main menu  Required   LATEST  IS NOT A VERSION  I NEED THE EXACT BUILD NUMBER OF YOUR GAME  _x000D_
_x000D_
129 2_x000D_
_x000D_
  Issue  :  Explain your issue in detail  _x000D_
_x000D_
When  Capture core on Destruction  is enabled in Settings _x000D_
_x000D_
Usually  when destroying enemy cores with ally units  they are converted to ally cores  but when destroying cores with Aegires attacks  they are converted to neutral buildings _x000D_
_x000D_
  ezgif com gif maker (https:  user images githubusercontent com 77824588 128597374 2d73b931 a258 4983 99a7 0a6e9f8a8dd1 gif)_x000D_
_x000D_
_x000D_
  Steps to reproduce  :  How you happened across the issue  and what exactly you did to make the bug happen  _x000D_
_x000D_
Only Aegires attacks cause this bugs _x000D_
_x000D_
  Link(s) to mod(s) used  :  The mod repositories or zip files that are related to the issue  if applicable  _x000D_
_x000D_
 Time control  : for fast testing _x000D_
_x000D_
 Testing utilities  : same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</si>
  <si>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Anuken-Mindustry-5706</t>
  </si>
  <si>
    <t>Compatibility issue with StatusEffect v6 -&gt; v7</t>
  </si>
  <si>
    <t xml:space="preserve">  Platform  :  Windows _x000D_
_x000D_
  Build  :  129 1 _x000D_
_x000D_
  Issue  :  StatusEffects with transitions   affinities crash in v7 (when made with v6 code)  probably due to changed codes  _x000D_
_x000D_
  Steps to reproduce  :   sk7725 BetaMindy  s  icy  is one example  Apply it and then apply either its opposites or affinities to make it crash in v7  This does not crash in v6  _x000D_
_x000D_
  Link(s) to mod(s) used  :  sk7725 BetaMindy  MeepofFaith testing utilities (for applying them) _x000D_
_x000D_
  Save file  :  crash _x000D_
_x000D_
If you remove the line above without reading it properly and understanding what it means  I will reap your soul  Even if you re playing on someone s server  you can still save the game to a slot _x000D_
_x000D_
  (Crash) logs  : _x000D_
   _x000D_
Mindustry has crashed  How unfortunate _x000D_
Version: pre alpha build 129 1_x000D_
OS: Windows 10 x64 (amd64)_x000D_
Java Version: 16 0 1_x000D_
4 Mods: betamindy:1 0_x000D_
  b59e72 Demo of Chaos Itself    new horizon:1 9 1 Beta  test utils:0 14  testers:0 25_x000D_
_x000D_
java lang AbstractMethodError: Receiver class betamindy content MindyStatusEffects 8  Lambda 1618 0x00000001005a4440 does not define or inherit an implementation of the resolved method  abstract void handle(mindustry gen Unit  mindustry entities units StatusEntry  float)  of interface mindustry type StatusEffect TransitionHandler _x000D_
	at mindustry type StatusEffect applyTransition(StatusEffect java:176)_x000D_
	at mindustry gen UnitEntity apply(UnitEntity java:944)_x000D_
	at java base jdk internal reflect NativeMethodAccessorImpl invoke0(Native Method)_x000D_
	at java base jdk internal reflect NativeMethodAccessorImpl invoke(Unknown Source)_x000D_
	at java base jdk internal reflect DelegatingMethodAccessorImpl invoke(Unknown Source)_x000D_
	at java base java lang reflect Method invoke(Unknown Source)_x000D_
	at rhino MemberBox invoke(MemberBox java:104)_x000D_
	at rhino NativeJavaMethod call(NativeJavaMethod java:205)_x000D_
	at rhino optimizer OptRuntime call2(OptRuntime java:32)_x000D_
	at rhino gen statusMenu 14  c applyLocal 1(statusMenu:13)_x000D_
	at rhino gen statusMenu 14 call(statusMenu)_x000D_
	at rhino optimizer OptRuntime call1(OptRuntime java:23)_x000D_
	at rhino gen statusMenu 14  c apply 3(statusMenu:35)_x000D_
	at rhino gen statusMenu 14 call(statusMenu)_x000D_
	at rhino ContextFactory doTopCall(ContextFactory java:328)_x000D_
	at rhino ScriptRuntime doTopCall(ScriptRuntime java:3114)_x000D_
	at rhino gen statusMenu 14 call(statusMenu)_x000D_
	at rhino InterfaceAdapter invokeImpl(InterfaceAdapter java:141)_x000D_
	at rhino InterfaceAdapter lambda invoke 0(InterfaceAdapter java:92)_x000D_
	at rhino Context call(Context java:450)_x000D_
	at rhino ContextFactory call(ContextFactory java:428)_x000D_
	at rhino InterfaceAdapter invoke(InterfaceAdapter java:92)_x000D_
	at rhino VMBridge lambda newInterfaceProxy 0(VMBridge java:142)_x000D_
	at jdk proxy2 jdk proxy2  Proxy2 run(Unknown Source)_x000D_
	at arc scene Element lambda clicked 2(Element java:893)_x000D_
	at arc scene Element 4 clicked(Element java:902)_x000D_
	at arc scene event ClickListener touchUp(ClickListener java:77)_x000D_
	at arc scene event InputListener handle(InputListener java:31)_x000D_
	at arc scene Scene touchUp(Scene java:365)_x000D_
	at arc input InputMultiplexer touchUp(InputMultiplexer java:137)_x000D_
	at arc input InputEventQueue drain(InputEventQueue java:71)_x000D_
	at arc backend sdl SdlInput update(SdlInput java:102)_x000D_
	at arc backend sdl SdlApplication loop(SdlApplication java:150)_x000D_
	at arc backend sdl SdlApplication  init (SdlApplication java:45)_x000D_
	at mindustry desktop DesktopLauncher main(DesktopLauncher java:38)_x000D_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</si>
  <si>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TeamNewPipe-NewPipe-6861</t>
  </si>
  <si>
    <t xml:space="preserve">Comment doesn't show under any YT videos </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</si>
  <si>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Actual behavior
     Tell us what happens with the steps given above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Device model:
</t>
  </si>
  <si>
    <t>PojavLauncherTeam-PojavLauncher-1801</t>
  </si>
  <si>
    <t>[BUG] &lt;unable to run module&gt;</t>
  </si>
  <si>
    <t xml:space="preserve">    Describe the bug
The application exits with code 1 when Minecraft1 16 4 or 1 16 5 are loaded with Create v0 3 1 and above _x000D_
Of course  forge front is also installed 
    The log file and images videos
  Screenshot 2021 08 06 18 09 35 16 (https:  user images githubusercontent com 78959509 128537193 7958b824 43e8 4419 9e87 fd205dfea312 png)          beggining with launcher debug_x000D_
Info: Launcher version: v3 3 1 1 1102 73b7b812 clean vgpu_x000D_
Info: LWJGL3 directory:  jsr305 jar  lwjgl glfw classes jar  lwjgl jemalloc jar  lwjgl openal jar  lwjgl opengl jar  lwjgl stb jar  lwjgl tinyfd jar  lwjgl jar  version _x000D_
Architecture: arm64 aarch64_x000D_
Info: Custom Java arguments:   _x000D_
Info: Selected Minecraft version: 1 16 5 forge 36 1 1 (1 16 5)_x000D_
Initialising gl4es_x000D_
v1 1 5 built on Aug  5 2021 06:08:29_x000D_
Using GLES 2 0 backend_x000D_
loaded: libGLESv2 so_x000D_
loaded: libEGL so_x000D_
Using GLES 2 0 backend_x000D_
Hardware Full NPOT detected and used_x000D_
Extension GL EXT blend minmax  detected and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mapbuffer  detected_x000D_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EXT texture rg  detected and used_x000D_
Extension GL EXT color buffer float  detected and used_x000D_
Extension GL EXT color buffer half float  detected and used_x000D_
high precision float in fragment shader available and used_x000D_
Max vertex attrib: 16_x000D_
Extension GL OES standard derivatives  detected and used_x000D_
Max texture size: 16384_x000D_
Max Varying Vector: 15_x000D_
Texture Units: 16 16 (hardware: 16)  Max lights: 8  Max planes: 6_x000D_
Max Color Attachments: 1   Draw buffers: 1_x000D_
Hardware vendor is ARM_x000D_
GLSL 300 es supported_x000D_
GLSL 310 es supported and used_x000D_
EGLImage to Texture2D supported_x000D_
EGLImage to RenderBuffer supported_x000D_
Targeting OpenGL 2 1_x000D_
NPOT texture handled in hardware_x000D_
Not trying to batch small subsequent glDrawXXXX_x000D_
try to use VBO_x000D_
glXMakeCurrent FBO workaround enabled_x000D_
FBO workaround for using binded texture enabled_x000D_
Force texture for Attachment color0 on FBO_x000D_
Hack to trigger a SwapBuffers when a Full Framebuffer Blit on default FBO is done_x000D_
glX Will try to recycle EGL Surface_x000D_
Current folder is: _x000D_
Added custom env: TMPDIR  data user 0 net kdt pojavlaunch debug cache_x000D_
Added custom env: AWTSTUB WIDTH 1440_x000D_
Added custom env: REGAL GL VERSION 4 5_x000D_
Added custom env: REGAL GL VENDOR Android_x000D_
Added custom env: LIBGL MIPMAP 3_x000D_
Added custom env: allow higher compat version true_x000D_
Added custom env: MESA GLSL CACHE DIR  data user 0 net kdt pojavlaunch debug cache_x000D_
Added custom env: HOME  storage emulated 0 games PojavLauncher  minecraft_x000D_
Added custom env: PATH  data data net kdt pojavlaunch debug runtimes Internal bin: sbin: vendor bin: system sbin: system bin: system xbin_x000D_
Added custom env: force glsl extensions warn true_x000D_
Added custom env: LIBGL NORMALIZE 1_x000D_
Added custom env: LD LIBRARY PATH  data data net kdt pojavlaunch debug runtimes Internal lib aarch64 jli: data data net kdt pojavlaunch debug runtimes Internal lib aarch64: system lib64: vendor lib64: vendor lib64 hw: data app net kdt pojavlaunch debug 1 lib arm64_x000D_
Added custom env: POJAV RENDERER opengles2 5_x000D_
Added custom env: LIBGL ES 2_x000D_
Added custom env: MESA LOADER DRIVER OVERRIDE zink_x000D_
Added custom env: MESA GLSL VERSION OVERRIDE 460_x000D_
Added custom env: JAVA HOME  data data net kdt pojavlaunch debug runtimes Internal_x000D_
Added custom env: MESA GL VERSION OVERRIDE 4 6_x000D_
Added custom env: allow glsl extension directive midshader true_x000D_
Added custom env: REGAL GL RENDERER Regal_x000D_
Added custom env: AWTSTUB HEIGHT 720_x000D_
          beginning of main_x000D_
OpenJDK 64 Bit Server VM warning: _x000D_
No monotonic clock was available   timed services may be adversely affected if the time of day clock changes_x000D_
2021 08 06 12:46:33 355 main WARN Advanced terminal features are not available in this environment_x000D_
 12:46:34   main INFO   cp mo mo Launcher MODLAUNCHER : ModLauncher running: args    username  Minecraftdem    version  1 16 5    gameDir   storage emulated 0 games PojavLauncher  minecraft    assetsDir   storage emulated 0 games PojavLauncher  minecraft assets    assetIndex  1 16    uuid  00000000 0000 0000 0000 000000000000    accessToken              userType  mojang    versionType  release    launchTarget  fmlclient    fml forgeVersion  36 1 1    fml mcVersion  1 16 5    fml forgeGroup  net minecraftforge    fml mcpVersion  20210115 111550    width  1440    height  720    fullscreenWidth  1440    fullscreenHeight  720    fullscreen _x000D_
 12:46:34   main INFO   cp mo mo Launcher MODLAUNCHER : ModLauncher 8 0 9 86 master 3cf110c starting: java version 1 8 0 internal by Oracle Corporation_x000D_
 12:46:34   main INFO   op OptiFineTransformationService  : OptiFineTransformationService onLoad_x000D_
 12:46:34   main INFO   op OptiFineTransformationService  : OptiFine ZIP file:  storage emulated 0 games PojavLauncher  minecraft mods OptiFine 1 16 5 HD U G8 jar_x000D_
 12:46:34   main INFO   op OptiFineTransformer  : Target PRE CLASS is available_x000D_
 12:46:35   main INFO   ne mi fm lo FixSSL CORE : Added Lets Encrypt root certificates as additional trust_x000D_
 12:46:35   main INFO   mixin  : SpongePowered MIXIN Subsystem Version 0 8 2 Source file: storage emulated 0 games PojavLauncher  minecraft libraries org spongepowered mixin 0 8 2 mixin 0 8 2 jar Service ModLauncher Env CLIENT_x000D_
 12:46:35   main INFO   op OptiFineTransformationService  : OptiFineTransformationService initialize_x000D_
 12:46:39   main INFO   op OptiFineTransformationService  : OptiFineTransformationService transformers_x000D_
 12:46:39   main INFO   op OptiFineTransformer  : Targets: 311_x000D_
 12:46:42   main INFO   op OptiFineTransformationService  : additionalClassesLocator:  optifine   net optifine  _x000D_
 12:46:42   main INFO   cp mo mo LaunchServiceHandler MODLAUNCHER : Launching target  fmlclient  with arguments    version  1 16 5    gameDir   storage emulated 0 games PojavLauncher  minecraft    assetsDir   storage emulated 0 games PojavLauncher  minecraft assets    uuid  00000000 0000 0000 0000 000000000000    username  Minecraftdem    assetIndex  1 16    accessToken              userType  mojang    versionType  release    width  1440    height  720    fullscreenWidth  1440    fullscreenHeight  720    fullscreen _x000D_
 12:47:24   Render thread INFO   mojang YggdrasilAuthenticationService : Environment: authHost  https:  authserver mojang com   accountsHost  https:  api mojang com   sessionHost  https:  sessionserver mojang com   servicesHost  https:  api minecraftservices com   name  PROD _x000D_
 12:47:24   Render thread ERROR   minecraft Minecraft : Failed to verify authentication_x000D_
com mojang authlib exceptions AuthenticationUnavailableException: Cannot contact authentication server_x000D_
	at com mojang authlib yggdrasil YggdrasilAuthenticationService makeRequest(YggdrasilAuthenticationService java:125)   authlib 2 1 28 jar:    re:classloading _x000D_
	at com mojang authlib yggdrasil YggdrasilSocialInteractionsService checkPrivileges(YggdrasilSocialInteractionsService java:94)   authlib 2 1 28 jar:     _x000D_
	at com mojang authlib yggdrasil YggdrasilSocialInteractionsService  init (YggdrasilSocialInteractionsService java:40)   authlib 2 1 28 jar:     _x000D_
	at com mojang authlib yggdrasil YggdrasilAuthenticationService createSocialInteractionsService(YggdrasilAuthenticationService java:152)   authlib 2 1 28 jar:    re:classloading _x000D_
	at net minecraft client Minecraft func 244735 a(Minecraft java:551)    :    re:mixin pl:accesstransformer:B pl:runtimedistcleaner:A re:classloading pl:accesstransformer:B pl:mixin:APP:flywheel mixins json:ShaderCloseMixin pl:mixin:APP:create mixins json:ShaderCloseMixin pl:mixin:A pl:runtimedistcleaner:A _x000D_
	at net minecraft client Minecraft  init (Minecraft java:383)    :    re:mixin pl:accesstransformer:B pl:runtimedistcleaner:A re:classloading pl:accesstransformer:B pl:mixin:APP:flywheel mixins json:ShaderCloseMixin pl:mixin:APP:create mixins json:ShaderCloseMixin pl:mixin:A pl:runtimedistcleaner:A _x000D_
	at net minecraft client main Main main(Main java:149)   1 16 5 forge 36 1 1 jar:    re:classloading pl:runtimedistcleaner:A _x000D_
	at sun reflect NativeMethodAccessorImpl invoke0(Native Method)    :1 8 0 internal    _x000D_
	at sun reflect NativeMethodAccessorImpl invoke(NativeMethodAccessorImpl java:62)    :1 8 0 internal    _x000D_
	at sun reflect DelegatingMethodAccessorImpl invoke(DelegatingMethodAccessorImpl java:43)    :1 8 0 internal    _x000D_
	at java lang reflect Method invoke(Method java:498)    :1 8 0 internal    _x000D_
	at net minecraftforge fml loading FMLClientLaunchProvider lambda launchService 0(FMLClientLaunchProv_x000D_
ider java:51)   forge 1 16 5 36 1 1 jar:36 1    _x000D_
	at cpw mods modlauncher LaunchServiceHandlerDecorator launch(LaunchServiceHandlerDecorator java:37)  modlauncher 8 0 9 jar:     _x000D_
	at cpw mods modlauncher LaunchServiceHandler launch(LaunchServiceHandler java:54)  modlauncher 8 0 9 jar:     _x000D_
	at cpw mods modlauncher LaunchServiceHandler launch(LaunchServiceHandler java:72)  modlauncher 8 0 9 jar:     _x000D_
	at cpw mods modlauncher Launcher run(Launcher java:82)  modlauncher 8 0 9 jar:     _x000D_
	at cpw mods modlauncher Launcher main(Launcher java:66)  modlauncher 8 0 9 jar:     _x000D_
Caused by: java net UnknownHostException: api minecraftservices com_x000D_
	at java net AbstractPlainSocketImpl connect(AbstractPlainSocketImpl java:184)    :1 8 0 internal    _x000D_
	at java net SocksSocketImpl connect(SocksSocketImpl java:392)    :1 8 0 internal    _x000D_
	at java net Socket connect(Socket java:607)    :1 8 0 internal    _x000D_
	at sun security ssl SSLSocketImpl connect(SSLSocketImpl java:288)    :1 8 0 internal    _x000D_
	at sun net NetworkClient doConnect(NetworkClient java:175)    :1 8 0 internal    _x000D_
	at sun net www http HttpClient openServer(HttpClient java:463)    :1 8 0 internal    _x000D_
	at sun net www http HttpClient openServer(HttpClient java:558)    :1 8 0 internal    _x000D_
	at sun net www protocol https HttpsClient  init (HttpsClient java:264)    :1 8 0 internal    _x000D_
	at sun net www protocol https HttpsClient New(HttpsClient java:367)    :1 8 0 internal    _x000D_
	at sun net www protocol https AbstractDelegateHttpsURLConnection getNewHttpClient(AbstractDelegateHttpsURLConnection java:203)    :1 8 0 internal    _x000D_
	at sun net www protocol http HttpURLConnection plainConnect0(HttpURLConnection java:1205)    :1 8 0 internal    _x000D_
	at sun net www protocol http HttpURLConnection plainConnect(HttpURLConnection java:1056)    :1 8 0 internal    _x000D_
	at sun net www protocol https AbstractDelegateHttpsURLConnection connect(AbstractDelegateHttpsURLConnection java:189)    :1 8 0 internal    _x000D_
	at sun net www protocol http HttpURLConnection getInputStream0(HttpURLConnection java:1570)   _x000D_
 :1 8 0 internal    _x000D_
	at sun net www protocol http HttpURLConnection getInputStream(HttpURLConnection java:1498)    :1 8 0 internal    _x000D_
	at sun net www protocol https HttpsURLConnectionImpl getInputStream(HttpsURLConnectionImpl java:268)    :1 8 0 internal    _x000D_
	at com mojang authlib HttpAuthenticationService performGetRequest(HttpAuthenticationService java:140)   authlib 2 1 28 jar:     _x000D_
	at com mojang authlib yggdrasil YggdrasilAuthenticationService makeRequest(YggdrasilAuthenticationService java:104)   authlib 2 1 28 jar:    re:classloading _x000D_
	    16 more_x000D_
 12:47:24   Render thread INFO   minecraft Minecraft : Setting user: Minecraftdem_x000D_
 12:47:25   Render thread INFO   STDERR  :  org lwjgl system Library:printError:493 :  LWJGL  Failed to load a library  Possible solutions:_x000D_
	a) Add the directory that contains the shared library to  Djava library path or  Dorg lwjgl librarypath _x000D_
	b) Add the JAR that contains the shared library to the classpath _x000D_
 12:47:25   Render thread INFO   STDERR  :  org lwjgl system Library:printError:495 :  LWJGL  Enable debug mode with  Dorg lwjgl util Debug true for better diagnostics _x000D_
 12:47:25   Render thread INFO   STDERR  :  org lwjgl system Library:printError:497 :  LWJGL  Enable the SharedLibraryLoader debug mode with  Dorg lwjgl util DebugLoader true for better diagnostics _x000D_
 12:47:26   Render thread INFO   ne op Log  :  OptiFine  (Reflector) Class not present: net minecraft launchwrapper Launch_x000D_
 12:47:26   Render thread INFO   minecraft Minecraft : Backend library: LWJGL version 3 2 3 SNAPSHOT_x000D_
EGLBridge: Initializing_x000D_
EGLBridge: Initialized _x000D_
EGLBridge: ThreadID 9583_x000D_
EGLBridge: EGLDisplay 0x1  EGLSurface 0x7660f5c700_x000D_
EGLBridge: Created CTX pointer   0x765d489900_x000D_
 12:47:27   Render thread INFO   STDERR  :  org lwjgl glfw GLFW:glfwMakeContextCurrent:964 : java lang Exception: Trace exception_x000D_
 12:47:27   Render thread INFO   STDERR  :  org lwjgl glfw GLFW:glfwMakeContextCurrent:964 : 	at org lwjgl glfw GLFW glfwMakeContextCurrent(GLFW java:964)_x000D_
 12:47:27   Render thread INFO   STDERR  :  org lwjgl glfw GLFW:glfwMakeContextCurrent:964 : 	at net minecraft client MainWindow  init (MainWindow java:143)_x000D_
 12:47:27   Render thread INFO   STDERR  :  org lwjgl glfw GLFW:glfwMakeContextCurrent:964 : 	at net minecraft client renderer VirtualScreen func 217626 a(SourceFile:21)_x000D_
 12:47:27   Render thread INFO   STDERR  :  org lwjgl glfw GLFW:glfwMakeContextCurrent:964 : 	at net minecraft client Minecraft  init (Minecraft java:418)_x000D_
 12:47:27   Render thread INFO   STDERR  :  org lwjgl glfw GLFW:glfwMakeContextCurrent:964 : 	at net minecraft client main Main main(Main java:149)_x000D_
 12:47:27   Render thread INFO   STDERR  :  org lwjgl glfw GLFW:glfwMakeContextCurrent:964 : 	at sun reflect NativeMethodAccessorImpl invoke0(Native Method)_x000D_
 12:47:27   Render thread INFO   STDERR  :  org lwjgl glfw GLFW:glfwMakeContextCurrent:964 : 	at sun reflect NativeMethodAccessorImpl invoke(NativeMethodAccessorImpl java:62)_x000D_
 12:47:27   Render thread INFO   STDERR  :  org lwjgl glfw GLFW:glfwMakeContextCurrent:964 : 	at sun reflect DelegatingMethodAccessorImpl invoke(DelegatingMethodAccessorImpl java:43)_x000D_
 12:47:27   Render thread INFO   STDERR  :  org lwjgl glfw GLFW:glfwMakeContextCurrent:964 : 	at java lang reflect Method invoke(Method java:498)_x000D_
 12:47:27   Render thread INFO   STDERR  :  org lwjgl glfw GLFW:glfwMakeContextCurrent:964 : 	at net minecraftforge fml loading FMLClientLaunchProvider lambda launchService 0(FMLClientLaunchProvider java:51)_x000D_
 12:47:27   Render thread INFO   STDERR  :  org lwjgl glfw GLFW:glfwMakeContextCurrent:964 : 	at cpw mods modlauncher LaunchServiceHandlerDecorator launch(LaunchServiceHandlerDecorator java:37)_x000D_
 12:47:27   Render thread INFO   STDERR  :  org lwjgl glfw GLFW:glfwMakeContextCurrent:964 : 	at cpw mods modlauncher LaunchServiceHandler launch(LaunchServiceHandler java:54)_x000D_
 12:47:27   Render thread INFO   STDERR  :  org lwjgl glfw GLFW:glfwMakeContextCurrent:964 : 	at cpw mods modlauncher LaunchServiceHandler launch(LaunchServiceHandler java:72)_x000D_
 12:47:27   Render thread INFO   STDERR  :  org lwjgl glfw GLFW:glfwMakeContextCurrent:964 : 	at cpw mods modlauncher Launcher run(Launcher java:82)_x000D_
 12:47:27   Render thread INFO   STDERR  :  org lwjgl glfw GLFW:glfwMakeContextCurrent:964 : 	at cpw mods modlauncher Launcher main(Launcher java:66)_x000D_
EGLBridge: Comparing: thr 9583  this 0x765d489900  curr 0x0_x000D_
EGLBridge: Making current on window 0x765d489900 on thread 9583_x000D_
EGLBridge: eglMakeCurrent() succeed _x000D_
 12:47:27   Render thread INFO   STDOUT  :  org lwjgl glfw GLFW:glfwMakeContextCurrent:967 : 765d489900_x000D_
Initialising gl4es_x000D_
v1 1 5 built on Aug  5 2021 06:08:29_x000D_
Using GLES 2 0 backend_x000D_
loaded: libGLESv2 so_x000D_
loaded: libEGL so_x000D_
Using GLES 2 0 backend_x000D_
Hardware Full NPOT detected and used_x000D_
Extension GL EXT blend minmax  detected and used_x000D_
FBO are in core  and so used_x000D_
PointSprite are in core  and so used_x000D_
CubeMap are in core  and so used_x000D_
BlendColor is in core  and so used_x000D_
Blend Subtract is in core  and so used_x000D_
Blend Function and Equation Separation is in core  and so used_x000D_
Texture Mirrored Repeat is in core  and so used_x000D_
Extension GL OES mapbuffer  detected_x000D_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EXT texture rg  detected and used_x000D_
Extension GL EXT color buffer float  detected and used_x000D_
Extension GL EXT color buffer half float  detected and used_x000D_
high precision float in fragment shader available and used_x000D_
Max vertex attrib: 16_x000D_
Extension GL OES standard derivatives  detected and used_x000D_
Max texture size: 16384_x000D_
Max Varying Vector: 15_x000D_
Texture Units: 16 16 (hardware: 16)  Max lights: 8  Max planes: 6_x000D_
Max Color Attachments: 1   Draw buffers: 1_x000D_
Hardware vendor is ARM_x000D_
GLSL 300 es supported_x000D_
GLSL 310 es supported and used_x000D_
EGLImage to Texture2D supported_x000D_
EGLImage to RenderBuffer supported_x000D_
ignore MipMap_x000D_
Targeting OpenGL 2 1_x000D_
NPOT texture handled in hardware_x000D_
Not trying to batch small subsequent glDrawXXXX_x000D_
try to use VBO_x000D_
glXMakeCurrent FBO workaround enabled_x000D_
FBO workaround for using binded texture enabled_x000D_
Force texture for Attachment color0 on FBO_x000D_
Hack to trigger a SwapBuffers when a Full Framebuffer Blit on default FBO is done_x000D_
Force normals to be normalized on FPE shaders_x000D_
glX Will try to recycle EGL Surface_x000D_
Current folder is: storage emulated 0 games PojavLauncher  minecraft_x000D_
EGLBridge: Comparing: thr 9583  this 0x765d489900  curr 0x0_x000D_
EGLBridge: Making current on window 0x765d489900 on thread 9583_x000D_
EGLBridge: eglMakeCurrent() succeed _x000D_
 12:47:29   Render thread INFO   ne op Config  :  OptiFine  _x000D_
 12:47:29   Render thread INFO   ne op Config  :  OptiFine  OptiFine 1 16 5 HD U G8_x000D_
 12:47:29   Render thread INFO   ne op Config  :  OptiFine  Build: 20210515 161946_x000D_
 12:47:29   Render thread INFO   ne op Config  :  OptiFine  OS: Linux (aarch64) version Android 7 1 1_x000D_
 12:47:29   Render thread INFO   ne op Config  :  OptiFine  Java: 1 8 0 internal  Oracle Corporation_x000D_
 12:47:29   Render thread INFO   ne op Config  :  OptiFine  VM: OpenJDK 64 Bit Server VM (mixed mode)  Oracle Corporation_x000D_
 12:47:29   Render thread INFO   ne op Config  :  OptiFine  LWJGL: 3 4 0_x000D_
 12:47:29   Render thread INFO   ne op Config  :  OptiFine  OpenGL: GL4ES wrapper  version 2 1 gl4es wrapper 1 1 5  ptitSeb_x000D_
 12:47:29   Render thread INFO   ne op Config  :  OptiFine  OpenGL Version: 2 1 0_x000D_
 12:47:29   Render thread INFO   ne op Config  :  OptiFine  OpenGL Occlussion culling: Not available (GL ARB occlusion query)_x000D_
 12:47:29   Render thread INFO   ne op Config  :  OptiFine  Maximum texture size: 16384x16384_x000D_
 12:47:30   VersionCheck INFO   ne op Config  :  OptiFine  Checking for new version_x000D_
 12:47:30   VersionCheck INFO   ne op Config  :  OptiFine  java net UnknownHostException: optifine net_x000D_
 12:47:30   Render thread INFO   ne op sh SMCLog  :  Shaders  OpenGL Version: 2 1 gl4es wrapper 1 1 5_x000D_
 12:47:30   Render thread INFO   ne op sh SMCLog  :  Shaders  Vendor:  ptitSeb_x000D_
 12:47:30   Render thread INFO   ne op sh SMCLog  :  Shaders  Renderer: GL4ES wrapper_x000D_
 12:47:30   Render thread INFO   ne op sh SMCLog  :  Shaders  Capabilities:  2 0  2 1          _x000D_
 12:47:30   Render thread INFO   ne op sh SMCLog  :  Shaders  GL MAX DRAW BUFFERS: 1_x000D_
 12:47:30   Render thread INFO   ne op sh SMCLog  :  Shaders  GL MAX COLOR ATTACHMENTS EXT: 1_x000D_
 12:47:30   Render thread INFO   ne op sh SMCLog  :  Shaders  GL MAX TEXTURE IMAGE UNITS: 16_x000D_
 12:47:30   Render thread INFO   ne op sh SMCLog  :  Shaders  Load shaders configuration _x000D_
 12:47:30   Render thread INFO   ne op sh SMCLog  :  Shaders  Save shaders configuration _x000D_
 12:47:30   Render thread INFO   ne op sh SMCLog  :  Shaders  No shaderpack loaded _x000D_
 12:47:30   Render thread INFO   ne op Log  :  OptiFine  (Reflector) Class not present: net minecraftforge fml common Loader_x000D_
 12:47:30   Render thread INFO   ne op Config  :  OptiFine  VboRegions not supported  missing: OpenGL 1 3  ARB copy buffer_x000D_
 12:47:33   modloading worker 2 INFO   ne mi co ForgeMod FORGEMOD : Forge mod loading  version 36 1 1  for MC 1 16 5 with MCP 20210115 111550_x000D_
 12:47:33   modloading worker 2 INFO   ne mi co MinecraftForge FORGE : MinecraftForge v36 1 1 Initialized_x000D_
 12:47:34   modloading worker 4 INFO   co jo fl ba Backend  : Optifine detected _x000D_
 12:47:34   modloading worker 4 INFO   co jo fl ba Backend  : No shader config found _x000D_
 12:47:34   modloading worker 5 INFO   co si cr re re AbstractRegistrate  : Detected new forge version  registering events reflectively _x000D_
 12:47:44   modloading worker 5 INFO   co si cr fo re ba Backend  : Optifine detected _x000D_
 12:47:44   modloading worker 5 INFO   co si cr fo re ba Backend  : No shader config found _x000D_
 12:47:56   Render thread WARN   minecraft GameSettings : Removed resource pack assets v0 zip from options because it is no longer compatible_x000D_
 12:48:03   Render thread WARN   mojang NarratorLinux : ERROR : Couldn t load Narrator library : Unable to load library  fliteWrapper : Native library (linux aarch64 libfliteWrapper so) not found in resource path ( storage emulated 0 games PojavLauncher lwjgl3 jsr305 jar: storage emulated 0 games PojavLauncher lwjgl3 lwjgl glfw classes jar: storage emulated 0 games PojavLauncher lwjgl3 lwjgl jemalloc jar: storage emulated 0 games PojavLauncher lwjgl3 lwjgl openal jar: storage emulated 0 games PojavLauncher lwjgl3 lwjgl opengl jar: storage emulated 0 games PojavLauncher lwjgl3 lwjgl stb jar: storage emulated 0 games PojavLauncher lwjgl3 lwjgl tinyfd jar: storage emulated 0 games PojavLauncher lwjgl3 lwjgl jar: storage emulated 0 games PojavLauncher  minecraft libraries com mojang patchy 1 2 3 patchy 1 2 3 jar: storage emulated 0 games PojavLauncher  minecraft libraries oshi project oshi core 1 1 oshi core 1 1 jar: storage emulated 0 games PojavLauncher  minecraft libraries net java dev jna jna 4 4 0 jna 4 4 0 jar: storage emulated 0 games PojavLauncher  minecraft libraries net java dev jna platform 3 4 0 platform 3 4 0 jar: storage emulated 0 games PojavLauncher  minecraft libraries com ibm icu icu4j 66 1 icu4j 66 1 jar: storage emulated 0 games PojavLauncher  minecraft libraries com mojang javabridge 1 0 22 javabridge 1 0 22 jar: storage emulated 0 games PojavLauncher  minecraft libraries net sf jopt simple jopt simple 5 0 4 jopt simple 5 0 4 jar: storage emulated 0 games PojavLauncher  minecraft libraries io netty netty all 4 1 25 Final netty all 4 1 25 Final jar: storage emulated 0 games PojavLauncher  minecraft libraries com google guava guava 21 0 guava 21 0 jar: storage emulated 0 games PojavLauncher  minecraft libraries org apache commons commons lang3 3 5 commons lang3 3 5 jar: storage emulated 0 games PojavLauncher  minecraft libraries commons io commons io 2 5 commons io 2 5 jar: storage emulated 0 games PojavLauncher  minecraft libraries commons codec commons codec 1 10 commons codec 1 10 jar: storage _x000D_
emulated 0 games PojavLauncher  minecraft libraries net java jutils jutils 1 0 0 jutils 1 0 0 jar: storage emulated 0 games PojavLauncher  minecraft libraries com mojang brigadier 1 0 17 brigadier 1 0 17 jar: storage emulated 0 games PojavLauncher  minecraft libraries com mojang datafixerupper 4 0 26 datafixerupper 4 0 26 jar: storage emulated 0 games PojavLauncher  minecraft libraries com google code gson gson 2 8 0 gson 2 8 0 jar: storage emulated 0 games PojavLauncher  minecraft libraries com mojang authlib 2 1 28 authlib 2 1 28 jar: storage emulated 0 games PojavLauncher  minecraft libraries org apache commons commons compress 1 8 1 commons compress 1 8 1 jar: storage emulated 0 games PojavLauncher  minecraft libraries org apache httpcomponents httpclient 4 3 3 httpclient 4 3 3 jar: storage emulated 0 games PojavLauncher  minecraft libraries commons logging commons logging 1 1 3 commons logging 1 1 3 jar: storage emulated 0 games PojavLauncher  minecraft libraries org apache httpcomponents httpcore 4 3 2 httpcore 4 3 2 jar: storage emulated 0 games PojavLauncher  minecraft libraries it unimi dsi fastutil 8 2 1 fastutil 8 2 1 jar: storage emulated 0 games PojavLauncher  minecraft libraries org apache logging log4j log4j api 2 11 2 log4j api 2 11 2 jar: storage emulated 0 games PojavLauncher  minecraft libraries org apache logging log4j log4j core 2 11 2 log4j core 2 11 2 jar: storage emulated 0 games PojavLauncher  minecraft libraries com mojang text2speech 1 11 3 text2speech 1 11 3 jar: storage emulated 0 games PojavLauncher  minecraft libraries com mojang text2speech 1 11 3 text2speech 1 11 3 jar: storage emulated 0 games PojavLauncher  minecraft libraries ca weblite java objc bridge 1 0 0 java objc bridge 1 0 0 jar: storage emulated 0 games PojavLauncher  minecraft libraries ca weblite java objc bridge 1 0 0 java objc bridge 1 0 0 jar: storage emulated 0 games PojavLauncher  minecraft libraries net minecraftforge forge 1 16 5 36 1 1 forge 1 16 5 36 1 1 jar: storage emulated 0 games PojavLauncher  minecraft_x000D_
 libraries org ow2 asm asm 9 0 asm 9 0 jar: storage emulated 0 games PojavLauncher  minecraft libraries org ow2 asm asm commons 9 0 asm commons 9 0 jar: storage emulated 0 games PojavLauncher  minecraft libraries org ow2 asm asm tree 9 0 asm tree 9 0 jar: storage emulated 0 games PojavLauncher  minecraft libraries org ow2 asm asm util 9 0 asm util 9 0 jar: storage emulated 0 games PojavLauncher  minecraft libraries org ow2 asm asm analysis 9 0 asm analysis 9 0 jar: storage emulated 0 games PojavLauncher  minecraft libraries cpw mods modlauncher 8 0 9 modlauncher 8 0 9 jar: storage emulated 0 games PojavLauncher  minecraft libraries cpw mods grossjava9hacks 1 3 0 grossjava9hacks 1 3 0 jar: storage emulated 0 games PojavLauncher  minecraft libraries net minecraftforge accesstransformers 3 0 1 accesstransformers 3 0 1 jar: storage emulated 0 games PojavLauncher  minecraft libraries org antlr antlr4 runtime 4 9 1 antlr4 runtime 4 9 1 jar: storage emulated 0 games PojavLauncher  minecraft libraries net minecraftforge eventbus 4 0 0 eventbus 4 0 0 jar: storage emulated 0 games PojavLauncher  minecraft libraries net minecraftforge forgespi 3 2 0 forgespi 3 2 0 jar: storage emulated 0 games PojavLauncher  minecraft libraries net minecraftforge coremods 4 0 6 coremods 4 0 6 jar: storage emulated 0 games PojavLauncher  minecraft libraries net minecraftforge unsafe 0 2 0 unsafe 0 2 0 jar: storage emulated 0 games PojavLauncher  minecraft libraries com electronwill night config core 3 6 3 core 3 6 3 jar: storage emulated 0 games PojavLauncher  minecraft libraries com electronwill night config toml 3 6 3 toml 3 6 3 jar: storage emulated 0 games PojavLauncher  minecraft libraries org jline jline 3 12 1 jline 3 12 1 jar: storage emulated 0 games PojavLauncher  minecraft libraries org apache maven maven artifact 3 6 3 maven artifact 3 6 3 jar: storage emulated 0 games PojavLauncher  minecraft libraries net jodah typetools 0 8 3 typetools 0 8 3 jar: storage emulated 0 games PojavLauncher  minecraft libraries net minecrell termin_x000D_
alconsoleappender 1 2 0 terminalconsoleappender 1 2 0 jar: storage emulated 0 games PojavLauncher  minecraft libraries org spongepowered mixin 0 8 2 mixin 0 8 2 jar: storage emulated 0 games PojavLauncher  minecraft libraries net minecraftforge nashorn core compat 15 1 1 1 nashorn core compat 15 1 1 1 jar: storage emulated 0 games PojavLauncher  minecraft versions 1 16 5 forge 36 1 1 1 16 5 forge 36 1 1 jar)_x000D_
 12:48:04   Render thread INFO   minecraft SimpleReloadableResourceManager : Reloading ResourceManager: Default  Mod Resources_x000D_
 12:48:04   Render thread INFO   ne op Config  :  OptiFine      Reloading textures    _x000D_
 12:48:04   Render thread INFO   ne op Config  :  OptiFine  Resource packs: Mod Resources_x000D_
 12:48:05   Forge Version Check INFO   ne mi fm VersionChecker  :  forge  Starting version check at https:  files minecraftforge net maven net minecraftforge forge promotions slim json_x000D_
 12:48:05   Render thread INFO   ne op re Reflector  :  OptiFine      Reflector Forge    _x000D_
 12:48:05   Render thread INFO   ne op Log  :  OptiFine  (Reflector) Class not present: mods betterfoliage client BetterFoliageClient_x000D_
 12:48:05   Forge Version Check WARN   ne mi fm VersionChecker  : Failed to process update information_x000D_
java net UnknownHostException: files minecraftforge net_x000D_
	at java net AbstractPlainSocketImpl connect(AbstractPlainSocketImpl java:184)    :1 8 0 internal    _x000D_
	at java net SocksSocketImpl connect(SocksSocketImpl java:392)    :1 8 0 internal    _x000D_
	at java net Socket connect(Socket java:607)    :1 8 0 internal    _x000D_
	at sun security ssl SSLSocketImpl connect(SSLSocketImpl java:288)    :1 8 0 internal    _x000D_
	at sun security ssl BaseSSLSocketImpl connect(BaseSSLSocketImpl java:173)    :1 8 0 internal    _x000D_
	at sun net NetworkClient doConnect(NetworkClient java:180)    :1 8 0 internal    _x000D_
	at sun net www http HttpClient openServer(HttpClient java:463)    :1 8 0 internal    _x000D_
	at sun net www http HttpClient openServer(HttpClient java:558)    :1 8 0 internal    _x000D_
	at sun net www protocol https HttpsClient  init (HttpsClient java:264)    :1 8 0 internal    _x000D_
	at sun net www protocol https HttpsClient New(HttpsClient java:367)    :1 8 0 internal    _x000D_
	at sun net www protocol https AbstractDelegateHttpsURLConnection getNewHttpClient(AbstractDelegateHttpsURLConnection java:203)    :1 8 0 internal    _x000D_
	at sun net www protocol http HttpURLConnection plainConnect0(HttpURLConnection java:1162)    :1 8 0 internal    _x000D_
	at sun net www protocol http HttpURLConnection plainConnect(HttpURLConnection java:1056)    :1 8 0 internal    _x000D_
	at sun net www protocol https AbstractDelegateHttpsURLConnection connect(AbstractDelegateHttpsURLConnection java:189)    :1 8 0 internal    _x000D_
	at sun net www protocol http HttpURLConnection getInputStream0(HttpURLConnection java:1570)    :1 8 0 internal    _x000D_
	at sun net www protocol http HttpURLConnection getInputStream(HttpURLConnection java:1498)    :1 8 0 internal    _x000D_
	at java net HttpURLConnection getResponseCode(HttpURLConnection java:480)    :1 8 0 internal    _x000D_
	at sun net www protocol https HttpsURLConnectionImpl getResponseCode(HttpsURLConnectionImpl java:352)    :1 8 0 internal    _x000D_
	at net minecraftforge fm_x000D_
l VersionChecker 1 openUrlStream(VersionChecker java:155)   forge:    re:classloading _x000D_
	at net minecraftforge fml VersionChecker 1 process(VersionChecker java:187)   forge:    re:classloading _x000D_
	at java lang Iterable forEach(Iterable java:75)   :1 8 0 internal    _x000D_
	at net minecraftforge fml VersionChecker 1 run(VersionChecker java:139)  forge:    re:classloading _x000D_
 12:48:05   Worker Main 9 INFO   ne op Config  :  OptiFine  Multitexture: false_x000D_
 12:48:05   Worker Main 8 INFO   ne op Config  :  OptiFine  Multitexture: false_x000D_
 12:48:05   Worker Main 13 INFO   ne op Config  :  OptiFine  Multitexture: false_x000D_
 12:48:05   Render thread INFO   ne op Log  :  OptiFine  (Reflector) Field not present: net minecraftforge client model pipeline LightUtil itemConsumer_x000D_
 12:48:05   Render thread INFO   ne op Log  :  OptiFine  (Reflector) Field not present: net minecraftforge client model pipeline LightUtil tessellator_x000D_
 12:48:05   Render thread INFO   ne op Log  :  OptiFine  (Reflector) Class not present: net minecraftforge fml common ModContainer_x000D_
 12:48:06   Render thread INFO   ne op re Reflector  :  OptiFine      Reflector Vanilla    _x000D_
 12:48:39   Worker Main 12 WARN   ne op Config  :  OptiFine  Unknown resource pack file: mod resources_x000D_
 12:48:39   Worker Main 12 WARN   ne op Config  :  OptiFine  Unknown resource pack file: mod resources_x000D_
 12:48:39   Worker Main 12 WARN   ne op Config  :  OptiFine  Unknown resource pack file: mod resources_x000D_
 12:48:39   Worker Main 12 WARN   ne op Config  :  OptiFine  Unknown resource pack file: mod resources_x000D_
 12:48:47   Worker Main 12 INFO   ne op Config  :  OptiFine  Multitexture: false_x000D_
 12:48:48   Worker Main 12 WARN   ne op Config  :  OptiFine  Unknown resource pack file: mod resources_x000D_
 12:48:48   Worker Main 12 INFO   ne op Config  :  OptiFine  Multipass connected textures: false_x000D_
 12:48:48   Worker Main 12 INFO   ne op Config  :  OptiFine  ConnectedTextures: optifine ctm default 00 glass white glass pane white properties_x000D_
 12:48:48   Worker Main 12 INFO   ne op Config  :  OptiFine  ConnectedTextures: optifine ctm default 00 glass white glass </t>
  </si>
  <si>
    <t>Anuken-Mindustry-5703</t>
  </si>
  <si>
    <t>Core desync in coreCapture Mode</t>
  </si>
  <si>
    <t xml:space="preserve">  Platform  :  Android iOS Mac Windows Linux  Server_x000D_
_x000D_
  Build  :  The build number under the title in the main menu  Required   LATEST  IS NOT A VERSION  I NEED THE EXACT BUILD NUMBER OF YOUR GAME   129 2_x000D_
_x000D_
  Issue  :  Explain your issue in detail  _x000D_
Core disappear when destory  in multiplayer coreCapture mode _x000D_
Use  sync can see core again _x000D_
_x000D_
  Steps to reproduce  :  How you happened across the issue  and what exactly you did to make the bug happen  _x000D_
Join a multiplayer coreCapture server  And destory a core_x000D_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</si>
  <si>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Anuken-Mindustry-5702</t>
  </si>
  <si>
    <t>Too many Puddle object</t>
  </si>
  <si>
    <t xml:space="preserve">  Platform  :  Android iOS Mac Windows Linux  Linux_x000D_
_x000D_
  Build  :  The build number under the title in the main menu  Required   LATEST  IS NOT A VERSION  I NEED THE EXACT BUILD NUMBER OF YOUR GAME   129 2_x000D_
_x000D_
  Issue  :  Explain your issue in detail   OOM with 129 2 with heap max 256MB  working well with 129 1_x000D_
See heap dump  More than 182MB Puddle _x000D_
  image (https:  user images githubusercontent com 15688938 128465216 3f365939 b649 418a a589 d073ef8b14a9 png)_x000D_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</si>
  <si>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Anuken-Mindustry-5701</t>
  </si>
  <si>
    <t>Enemies in sector 224 not spawning</t>
  </si>
  <si>
    <t xml:space="preserve">  Platform  : Android_x000D_
_x000D_
  Build  : 126 2_x000D_
_x000D_
  Issue  : Enemies do not spawn in sector 224 until wave 12  wave 13 spawned a flare_x000D_
_x000D_
  Steps to reproduce  : Launch in sector 224  wait or skip waves _x000D_
_x000D_
  Link(s) to mod(s) used  : None_x000D_
_x000D_
  Save file  : _x000D_
 Sector224notspawning zip (https:  github com Anuken Mindustry files 6943305 Sector224notspawning zip)_x000D_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</si>
  <si>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libgdx-libgdx-6618</t>
  </si>
  <si>
    <t>opengl call to glDrawElements() ignores numIndices parameter on PC, but works on Android</t>
  </si>
  <si>
    <t xml:space="preserve">     Issue details_x000D_
Using opengl graphics library directly    _x000D_
    import com badlogic gdx graphics GL20 _x000D_
    private static GL20 GLES20 _x000D_
    GLES20   Gdx gl20 _x000D_
 _x000D_
 Everything works perfectly when launching to Android devices  I have an entire scene with thousands of triangles rendered just fine  but when running on PC there are extraneous triangles being drawn all over the scene  I tracked the problem down to  glDrawElements()  On PC desktop launch  glDrawElements() draws incorrect number of indices  ignoring the numIndices second parameter completely _x000D_
_x000D_
    GLES20 glDrawElements(GL20 GL TRIANGLES  numIndices  GL20 GL UNSIGNED SHORT  mIndices) _x000D_
_x000D_
For example  changing the numIndices to 3 should render only one triangle  _x000D_
_x000D_
    GLES20 glDrawElements(GL20 GL TRIANGLES  3  GL20 GL UNSIGNED SHORT  mIndices) _x000D_
_x000D_
Here is the expected correct result on Android _x000D_
_x000D_
    imageandroid (https:  user images githubusercontent com 84444721 128443889 55266ff4 225d 4592 ae60 3d9efed30094 jpg)_x000D_
_x000D_
But the desktop launch show all triangles  ignoring numIndices completely _x000D_
_x000D_
  imagepc (https:  user images githubusercontent com 84444721 128443905 28a6fca4 5045 4184 bb1f f9108b1ec938 png)_x000D_
     Reproduction steps code_x000D_
An SSCCE can be found at_x000D_
https:  gist github com arashbi 5659096_x000D_
_x000D_
NOTE: There is one bug  The mColorData needs to be changed to floating points or the shader will crash _x000D_
_x000D_
     Version of libGDX and or relevant dependencies_x000D_
1 10 0_x000D_
_x000D_
     Stacktrace_x000D_
NA_x000D_
_x000D_
     Please select the affected platforms_x000D_
      Windows 10_x000D_
</t>
  </si>
  <si>
    <t>k9mail-k-9-5525</t>
  </si>
  <si>
    <t>Crashes when selecting show images</t>
  </si>
  <si>
    <t>When selecting  show pictures  the app_x000D_
crashes _x000D_
Pixel 3 XL Graphene OS</t>
  </si>
  <si>
    <t>GoogleCloudPlatform-fda-mystudies-3996</t>
  </si>
  <si>
    <t>[iOS] App crashes in study activities screen on completing consent review process in a scenario</t>
  </si>
  <si>
    <t xml:space="preserve">  Steps:  _x000D_
_x000D_
1  Signing and enroll into study_x000D_
2  Update consent from SB and enable  Enforce e consent flow again for enrolled participants _x000D_
3  Publish updates_x000D_
4  Open the study and navigate to study activities_x000D_
5  Don t complete the consent review _x000D_
6  Kill and relaunch the app and navigate to study activities_x000D_
7  Complete the consent review process_x000D_
8  Refresh the study activities after completing _x000D_
9  Observe app crashes_x000D_
_x000D_
  Actual:   App crashes in study activities screen on completing consent review process in a scenario_x000D_
_x000D_
  Expected:   App should not crash_x000D_
_x000D_
Issue not observed when user completes the consent review process in the 1st try_x000D_
_x000D_
https:  user images githubusercontent com 60386291 128379872 2744fb07 1abb 44a3 be79 c28ec98b3ff1 MOV_x000D_
_x000D_
_x000D_
</t>
  </si>
  <si>
    <t>GoogleCloudPlatform-fda-mystudies-3991</t>
  </si>
  <si>
    <t>[iOS] App crashes on submitting incorrect option for comprehension test in a scenario</t>
  </si>
  <si>
    <t xml:space="preserve">  Steps:  _x000D_
1  Freshly install the app_x000D_
2  Click on  Get Started _x000D_
3  Click on any study having comprehension Test configured_x000D_
4  Click on Participate  Navigated to signin screen_x000D_
5  Signin successfully _x000D_
6  Enroll the study and fail the comprehension test_x000D_
7  Observe app crashes_x000D_
_x000D_
  Actual:   App crashes on submitting incorrect option for comprehension test in a scenario_x000D_
_x000D_
  Expected:   Retry comprehension test screen should be displayed_x000D_
_x000D_
1  Issue not observed when user signin   participate   enroll the study   fail the comprehension test_x000D_
2  Issue not observed when fail the comprehension test during review consent post enrolling into study_x000D_
_x000D_
_x000D_
https:  user images githubusercontent com 60386291 128352401 de0c9a41 c9a6 434e a4a4 483276301c9f MOV_x000D_
_x000D_
_x000D_
</t>
  </si>
  <si>
    <t>hzi-braunschweig-SORMAS-Project-6294</t>
  </si>
  <si>
    <t>[Mobile APP] Double click on event status leads to app crash</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</si>
  <si>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Mandatory    _x000D_
_x000D_
When creating an event via the app  the app crashes if you click on the event status several times  _x000D_
_x000D_
    Steps to Reproduce_x000D_
     Optional  please add more steps if necessary    _x000D_
1  Log in on the app _x000D_
2  Go to events _x000D_
3  Create a new event _x000D_
4  Click on event status several times_x000D_
_x000D_
    Expected Behavior_x000D_
app is not crashing _x000D_
_x000D_
    Screenshots_x000D_
     Optional    _x000D_
_x000D_
    System Details_x000D_
     Mandatory  you only have to specify the Server URL if the error appeared on a publicly available test server    _x000D_
  Device: Nexus 10_x000D_
  SORMAS version: 1 62 1_x000D_
  Android version Browser: Android 9 0_x000D_
  Server URL:  https:  release international sormas netzlink com sormas rest _x000D_
  User Role: Contact Officer  Surveillance Officer _x000D_
_x000D_
    Additional Information_x000D_
     Optional    _x000D_
</t>
  </si>
  <si>
    <t>google-ExoPlayer-9257</t>
  </si>
  <si>
    <t>ArrayIndexOutOfBoundsException in guessMediaTimeBasedOnElapsedRealTime</t>
  </si>
  <si>
    <t xml:space="preserve">We recently started using  PlaybackStatsListener  in our app  and we re seeing low medium volume crashes that we haven t been able to reproduce locally:_x000D_
_x000D_
   _x000D_
java lang ArrayIndexOutOfBoundsException: length 0  index  1_x000D_
        at java util ArrayList get(ArrayList java:439)_x000D_
        at e d a a a l(Unknown:5)_x000D_
        at com google android exoplayer2 analytics PlaybackStatsListener PlaybackStatsTracker guessMediaTimeBasedOnElapsedRealtime(PlaybackStatsListener:775)_x000D_
        at com google android exoplayer2 analytics PlaybackStatsListener PlaybackStatsTracker maybeUpdateMediaTimeHistory(PlaybackStatsListener:770)_x000D_
        at com google android exoplayer2 analytics PlaybackStatsListener PlaybackStatsTracker onEvents(PlaybackStatsListener:577)_x000D_
        at com google android exoplayer2 analytics PlaybackStatsListener onEvents(PlaybackStatsListener:257)_x000D_
        at com google android exoplayer2 analytics AnalyticsCollector lambda setPlayer 1(AnalyticsCollector:137)_x000D_
        at com google android exoplayer2 analytics AnalyticsCollector lambda setPlayer 1 AnalyticsCollector(AnalyticsCollector:1)_x000D_
        at com google android exoplayer2 analytics    Lambda AnalyticsCollector 4Pupd4CGdtbqprZwT2MGLeu1J 0 invoke( :1)_x000D_
        at com google android exoplayer2 util ListenerSet ListenerHolder iterationFinished(ListenerSet:294)_x000D_
        at com google android exoplayer2 util ListenerSet handleMessage(ListenerSet:239)_x000D_
        at com google android exoplayer2 util ListenerSet lambda eEvjP IE0x3J2lRvKfFbbjRFRvc(ListenerSet:9)_x000D_
        at com google android exoplayer2 util    Lambda ListenerSet eEvjP IE0x3J2lRvKfFbbjRFRvc handleMessage( :9)_x000D_
        at android os Handler dispatchMessage(Handler java:102)_x000D_
        at android os Looper loop(Looper java:214)_x000D_
        at android app ActivityThread main(ActivityThread java:7094)_x000D_
        at java lang reflect Method invoke(Method java: 2)_x000D_
        at com android internal os RuntimeInit MethodAndArgsCaller run(RuntimeInit java:494)_x000D_
        at com android internal os ZygoteInit main(ZygoteInit java:975)_x000D_
   _x000D_
_x000D_
Examining the code  you can see how entering  maybeUpdateMediaTimeHistory  in a playback state other than  PLAYBACK STATE PLAYING  could lead to this crash:_x000D_
_x000D_
   _x000D_
private void maybeUpdateMediaTimeHistory(long realtimeMs  long mediaTimeMs)  _x000D_
      if ( keepHistory)  _x000D_
        return _x000D_
       _x000D_
      if (currentPlaybackState    PlaybackStats PLAYBACK STATE PLAYING)  _x000D_
        if (mediaTimeMs    C TIME UNSET)  _x000D_
          return _x000D_
         _x000D_
        if ( mediaTimeHistory isEmpty())  _x000D_
          long previousMediaTimeMs   mediaTimeHistory get(mediaTimeHistory size()   1) 1  _x000D_
          if (previousMediaTimeMs    mediaTimeMs)  _x000D_
            mediaTimeHistory add(new long    realtimeMs  previousMediaTimeMs ) _x000D_
           _x000D_
         _x000D_
       _x000D_
      mediaTimeHistory add(_x000D_
          mediaTimeMs    C TIME UNSET_x000D_
                guessMediaTimeBasedOnElapsedRealtime(realtimeMs)_x000D_
              : new long    realtimeMs  mediaTimeMs ) _x000D_
     _x000D_
_x000D_
private long   guessMediaTimeBasedOnElapsedRealtime(long realtimeMs)  _x000D_
      long   previousKnownMediaTimeHistory   mediaTimeHistory get(mediaTimeHistory size()   1) _x000D_
      long previousRealtimeMs   previousKnownMediaTimeHistory 0  _x000D_
      long previousMediaTimeMs   previousKnownMediaTimeHistory 1  _x000D_
      long elapsedMediaTimeEstimateMs  _x000D_
          (long) ((realtimeMs   previousRealtimeMs)   currentPlaybackSpeed) _x000D_
      long mediaTimeEstimateMs   previousMediaTimeMs   elapsedMediaTimeEstimateMs _x000D_
      return new long    realtimeMs  mediaTimeEstimateMs  _x000D_
     _x000D_
   _x000D_
_x000D_
I m happy to put up a PR to make the code more robust  but I m wondering if this instead points to us using the analytics improperly in our app since I couldn t find any other reports of this same crash _x000D_
_x000D_
  ExoPlayer version number: 2 14 0_x000D_
  Android version: All (our minSDK is 19)_x000D_
  Android device: Various_x000D_
_x000D_
</t>
  </si>
  <si>
    <t>TeamNewPipe-NewPipe-6850</t>
  </si>
  <si>
    <t>Missing plural forms in download-related strings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</si>
  <si>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Steps not available  it s just a problem with translation (code related) _x000D_
_x000D_
In downloads  there are 2 strings that should have plural forms:  download finished more  and  deleted downloads   Currently  they are hard coded to one form which is correct in English  but that s not the case in other languages (e g  Polish)  From what I ve seen  these are only strings with that problem  others have proper plural forms _x000D_
_x000D_
This issue was already raised in comments in Weblate two months ago  but there was no response  and I haven t found an issue for this on GitHub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download finished more    deleted downloads  have the same text no matter if there are 2  4  8 or any other number of elements _x000D_
_x000D_
_x000D_
    Expected behavior_x000D_
     Tell us what you expect to happen     _x000D_
These two strings should have an ability to provide plural forms like  few  and  other   so it would be possible to translate them properly to other languages _x000D_
For example  in Polish for   s downloads finished  it should be:  2 pobrania uko czone  and  5 pobra  uko czonych  (two separate forms depending on items count)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N A_x000D_
_x000D_
    Logs_x000D_
     If your bug includes a crash (where you re shown the Error Report page with a bunch of info)  tap on  Copy formatted report  at the bottom and paste it here:    _x000D_
_x000D_
     That s right  here     _x000D_
N A_x000D_
_x000D_
_x000D_
     Please fill this out when you do not provide a log generate by NewPipe    _x000D_
_x000D_
    Device info_x000D_
_x000D_
   Android version Custom ROM version:  _x000D_
   Device model:  _x000D_
</t>
  </si>
  <si>
    <t>PojavLauncherTeam-PojavLauncher-1790</t>
  </si>
  <si>
    <t>[BUG] Game suddenly closes without a crash report while playing</t>
  </si>
  <si>
    <t xml:space="preserve">    Describe the bug_x000D_
_x000D_
So while im playing on 1 12 2  game suddenly closes without any reports or something else it puts me on either menu of PojavLauncher or Home Screen of my phone  I also use the JMV Launcher Argument for 3gb rams which i found from GitHub Page of PojavLauncher  If there is any solution or am i doing something wrong  please help Thanks _x000D_
_x000D_
    The log file and images videos_x000D_
_x000D_
 No response _x000D_
_x000D_
    Steps To Reproduce_x000D_
_x000D_
   markdown_x000D_
1  Start the Launcher_x000D_
2  Open the World_x000D_
3  Playing for a few minutes_x000D_
4  Game suddenly closes without a report_x000D_
   _x000D_
_x000D_
_x000D_
    Expected Behavior_x000D_
_x000D_
I expect to play the game without closing without a crash report in minutes _x000D_
_x000D_
    Platform_x000D_
_x000D_
   markdown_x000D_
  Device model: Huawei P Smart 2019_x000D_
  RAM: 3gb_x000D_
  CPU architecture: aarch64_x000D_
  Android version: 10_x000D_
  PojavLauncher version: version 3 3 1 1 rel 20210321 (Play Store)_x000D_
   _x000D_
_x000D_
_x000D_
    Anything else _x000D_
_x000D_
I also have Forge 1 12 2 (Latest)   OptiFine 1 12 2 (Latest)  Refined Storage  FTB Ultimine  MegaQuarry  Just Enough Items installed  All mods work perfectly without any problem OptiFine aswell _x000D_
_x000D_
I ussualy have about 1gb free ram so i give 1gb ram to Launcher (basically all of it) </t>
  </si>
  <si>
    <t>Anuken-Mindustry-5699</t>
  </si>
  <si>
    <t>Navy units do not turn when moving towards a processor.</t>
  </si>
  <si>
    <t xml:space="preserve">  Platform  : Windows_x000D_
_x000D_
  Build  : steam build 129 1_x000D_
_x000D_
  Issue  : When using logic to move navy units  they will move sideways _x000D_
_x000D_
  Steps to reproduce  :_x000D_
Step 1: Create a risso unit and put it in a pool of water (happens with every navy unit but these steps use a risso) _x000D_
Step 2: Place a processor of any type with the instructions_x000D_
ubind  risso_x000D_
ucontrol move  thisx  thisy 0 0 0_x000D_
_x000D_
Make sure that the risso is not next to the processor via Ctrl Left Clicking the unit and moving it away from the processor _x000D_
Make the risso turn 90 degrees so that its side is facing the processor _x000D_
Press V and observe the unit move sideways towards the processor _x000D_
_x000D_
  Link(s) to mod(s) used  : https:  github com DeltaNedas dev mode (never entered any commands in this session)_x000D_
_x000D_
  Save file  :  Navy Drift zip (https:  github com Anuken Mindustry files 6932646 Navy Drift zip)_x000D_
If I m doing this step wrong  please inform me _x000D_
_x000D_
  (Crash) logs  : No crash logs found 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</si>
  <si>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TeamNewPipe-NewPipe-6845</t>
  </si>
  <si>
    <t>Update Subscription manager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</si>
  <si>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6843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Subscription _x000D_
2  Press on  YouTube _x000D_
3  Follow the instructions of  Import YouTube Subscription _x000D_
4  Notice that the Subscription file format is now  csv not  json _x000D_
5  Converting the file from csv to json does not help  _x000D_
6  Please update New Pipe for this issue_x000D_
_x000D_
     If you can t cause the bug to show up again reliably (and hence don t have a proper set of steps to give us)  please still try to give as many details as possible on how you think you encountered the bug     _x000D_
_x000D_
_x000D_
_x000D_
    Actual behavior_x000D_
What happens with the steps given above  _x000D_
The app can t process csv or  csv to json  converted file _x000D_
_x000D_
_x000D_
_x000D_
    Expected behavior_x000D_
What do I expect to happen  _x000D_
To work normally ike it did with the previous json format _x000D_
_x000D_
_x000D_
_x000D_
    Screenshots Screen recordings_x000D_
Screen record sample_x000D_
_x000D_
https:  user images githubusercontent com 51513596 128202473 fd1c4707 36ae 4c46 aac5 5b5df95a190d mp4_x000D_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ColorOS 11 (Android 11 skin) _x000D_
   Device model: Oppo Reno 3 Pro_x000D_
</t>
  </si>
  <si>
    <t>TeamNewPipe-NewPipe-6843</t>
  </si>
  <si>
    <t>Subscription error</t>
  </si>
  <si>
    <t xml:space="preserve">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Please fill this out when you do not provide a log generate by NewPipe    _x000D_
_x000D_
    Device info_x000D_
_x000D_
   Android version Custom ROM version: android 10_x000D_
   Device model:_x000D_
K20pro_x000D_
_x000D_
Whenever I m trying to import subscription json file it s showing error pls fix that issue ASAP  TY </t>
  </si>
  <si>
    <t>cgeo-cgeo-11412</t>
  </si>
  <si>
    <t>Crash when switching to another app while using coordinate calculator</t>
  </si>
  <si>
    <t xml:space="preserve">    Describe your problem 
The app is crashing when I switch to another app (e g  to copy a formula) while I am on the coordinate calculator _x000D_
_x000D_
   _x000D_
_x000D_
Not reproducible for me _x000D_
    How to reproduce 
  Edit waypoint_x000D_
  Select coordinate calculator_x000D_
  Fill some fields_x000D_
  Switch to another app_x000D_
  Switch back to c:geo_x000D_
    Actual result after these steps 
Crash
    Expected result after these steps 
Normal operation
    Reproducible
Unclear
    c:geo Version
2021 07 30 RC
    System information
 No response 
    Additional Information
Stacktrace of the user shows two things  Not sure which is related but probably both need to be solved (or are already solved based on the related issues ):_x000D_
_x000D_
   _x000D_
08 03 16:44:32 074 13920 13920 E AndroidRuntime: org apache commons lang3 SerializationException: java io NotSerializableException: cgeo geocaching calculator ButtonData_x000D_
08 03 16:44:32 074 13920 13920 E AndroidRuntime: 	at org apache commons lang3 SerializationUtils serialize(SerializationUtils java:140)_x000D_
08 03 16:44:32 074 13920 13920 E AndroidRuntime: 	at org apache commons lang3 SerializationUtils serialize(SerializationUtils java:154)_x000D_
08 03 16:44:32 074 13920 13920 E AndroidRuntime: 	at cgeo geocaching ui dialog CoordinatesCalculateDialog onSaveInstanceState(CoordinatesCalculateDialog java:529)_x000D_
08 03 16:44:32 074 13920 13920 E AndroidRuntime: 	at androidx fragment app Fragment performSaveInstanceState(Fragment java:3151)_x000D_
08 03 16:44:32 074 13920 13920 E AndroidRuntime: 	at androidx fragment app FragmentStateManager saveBasicState(FragmentStateManager java:683)_x000D_
08 03 16:44:32 074 13920 13920 E AndroidRuntime: 	at androidx fragment app FragmentStateManager saveState(FragmentStateManager java:649)_x000D_
08 03 16:44:32 074 13920 13920 E AndroidRuntime: 	at androidx fragment app FragmentStore saveActiveFragments(FragmentStore java:177)_x000D_
08 03 16:44:32 074 13920 13920 E AndroidRuntime: 	at androidx fragment app FragmentManager saveAllState(FragmentManager java:2655)_x000D_
08 03 16:44:32 074 13920 13920 E AndroidRuntime: 	at androidx fragment app FragmentController saveAllState(FragmentController java:152)_x000D_
08 03 16:44:32 074 13920 13920 E AndroidRuntime: 	at androidx fragment app FragmentActivity 1 saveState(FragmentActivity java:133)_x000D_
08 03 16:44:32 074 13920 13920 E AndroidRuntime: 	at androidx savedstate SavedStateRegistry performSave(SavedStateRegistry java:227)_x000D_
08 03 16:44:32 074 13920 13920 E AndroidRuntime: 	at androidx savedstate SavedStateRegistryController performSave(SavedStateRegistryController java:74)_x000D_
08 03 16:44:32 074 13920 13920 E AndroidRuntime: 	at androidx activity ComponentActivity onSaveInstanceState(ComponentActivity java:314)_x000D_
08 03 16:44:32 074 13920 13920 E AndroidRuntime: 	at cgeo geocaching EditWaypointActivity onSaveInstanceState(EditWaypointActivity java:485)_x000D_
08 03 16:44:32 074 13920 13920 E AndroidRuntime: 	at cgeo geocaching EditWaypointActivity  onSaveInstanceState(EditWaypointActivity  java:117)_x000D_
08 03 16:44:32 074 13920 13920 E AndroidRuntime: 	at android app Activity performSaveInstanceState(Activity java:2043)_x000D_
08 03 16:44:32 074 13920 13920 E AndroidRuntime: 	at android app Instrumentation callActivityOnSaveInstanceState(Instrumentation java:1485)_x000D_
08 03 16:44:32 074 13920 13920 E AndroidRuntime: 	at android app ActivityThread callActivityOnSaveInstanceState(ActivityThread java:5304)_x000D_
08 03 16:44:32 074 13920 13920 E AndroidRuntime: 	at android app ActivityThread callActivityOnStop(ActivityThread java:4630)_x000D_
08 03 16:44:32 074 13920 13920 E AndroidRuntime: 	at android app ActivityThread performStopActivityInner(ActivityThread java:4594)_x000D_
08 03 16:44:32 074 13920 13920 E AndroidRuntime: 	at android app ActivityThread handleStopActivity(ActivityThread java:4669)_x000D_
08 03 16:44:32 074 13920 13920 E AndroidRuntime: 	at android app servertransaction StopActivityItem execute(StopActivityItem java:41)_x000D_
08 03 16:44:32 074 13920 13920 E AndroidRuntime: 	at android app servertransaction TransactionExecutor executeLifecycleState(TransactionExecutor java:176)_x000D_
08 03 16:44:32 074 13920 13920 E AndroidRuntime: 	at android app servertransaction TransactionExecutor execute(TransactionExecutor java:97)_x000D_
08 03 16:44:32 074 13920 13920 E AndroidRuntime: 	at android app ActivityThread H handleMessage(ActivityThread java:2016)_x000D_
08 03 16:44:32 074 13920 13920 E AndroidRuntime: 	at android os Handler dispatchMessage(Handler java:107)_x000D_
08 03 16:44:32 074 13920 13920 E AndroidRuntime: 	at android os Looper loop(Looper java:214)_x000D_
08 03 16:44:32 074 13920 13920 E AndroidRuntime: 	at android app ActivityThread main(ActivityThread java:7356)_x000D_
08 03 16:44:32 074 13920 13920 E AndroidRuntime: 	at java lang reflect Method invoke(Native Method)_x000D_
08 03 16:44:32 074 13920 13920 E AndroidRuntime: 	at com android internal os RuntimeInit MethodAndArgsCaller run(RuntimeInit java:491)_x000D_
08 03 16:44:32 074 13920 13920 E AndroidRuntime: 	at com android internal os ZygoteInit main(ZygoteInit java:940)_x000D_
08 03 16:44:32 074 13920 13920 E AndroidRuntime: Caused by: java io NotSerializableException: cgeo geocaching calculator ButtonData_x000D_
08 03 16:44:32 074 13920 13920 E AndroidRuntime: 	at java io ObjectOutputStream writeObject0(ObjectOutputStream java:1240)_x000D_
08 03 16:44:32 074 13920 13920 E AndroidRuntime: 	at java io ObjectOutputStream writeObject(ObjectOutputStream java:354)_x000D_
08 03 16:44:32 074 13920 13920 E AndroidRuntime: 	at java util ArrayList writeObject(ArrayList java:762)_x000D_
08 03 16:44:32 074 13920 13920 E AndroidRuntime: 	at java lang reflect Method invoke(Native Method)_x000D_
08 03 16:44:32 074 13920 13920 E AndroidRuntime: 	at java io ObjectStreamClass invokeWriteObject(ObjectStreamClass java:1036)_x000D_
08 03 16:44:32 074 13920 13920 E AndroidRuntime: 	at java io ObjectOutputStream writeSerialData(ObjectOutputStream java:1552)_x000D_
08 03 16:44:32 074 13920 13920 E AndroidRuntime: 	at java io ObjectOutputStream writeOrdinaryObject(ObjectOutputStream java:1488)_x000D_
08 03 16:44:32 074 13920 13920 E AndroidRuntime: 	at java io ObjectOutputStream writeObject0(ObjectOutputStream java:1234)_x000D_
08 03 16:44:32 074 13920 13920 E AndroidRuntime: 	at java io ObjectOutputStream defaultWriteFields(ObjectOutputStream java:1604)_x000D_
08 03 16:44:32 074 13920 13920 E AndroidRuntime: 	at java io ObjectOutputStream writeSerialData(ObjectOutputStream java:1565)_x000D_
08 03 16:44:32 074 13920 13920 E AndroidRuntime: 	at java io ObjectOutputStream writeOrdinaryObject(ObjectOutputStream java:1488)_x000D_
08 03 16:44:32 074 13920 13920 E AndroidRuntime: 	at java io ObjectOutputStream writeObject0(ObjectOutputStream java:1234)_x000D_
08 03 16:44:32 074 13920 13920 E AndroidRuntime: 	at java io ObjectOutputStream writeObject(ObjectOutputStream java:354)_x000D_
08 03 16:44:32 074 13920 13920 E AndroidRuntime: 	at org apache commons lang3 SerializationUtils serialize(SerializationUtils java:138)_x000D_
08 03 16:44:32 074 13920 13920 E AndroidRuntime: 	    30 more_x000D_
   _x000D_
_x000D_
   _x000D_
08 03 16:44:35 549 27778 27778 E AndroidRuntime: FATAL EXCEPTION: main_x000D_
08 03 16:44:35 549 27778 27778 E AndroidRuntime: Process: cgeo geocaching  PID: 27778_x000D_
08 03 16:44:35 549 27778 27778 E AndroidRuntime: java lang RuntimeException: Unable to start activity ComponentInfo cgeo geocaching cgeo geocaching CacheDetailActivity : androidx fragment app Fragment InstantiationException: Unable to instantiate fragment cgeo geocaching CacheDetailActivity WaypointsViewCreator: could not find Fragment constructor_x000D_
08 03 16:44:35 549 27778 27778 E AndroidRuntime: 	at android app ActivityThread performLaunchActivity(ActivityThread java:3270)_x000D_
08 03 16:44:35 549 27778 27778 E AndroidRuntime: 	at android app ActivityThread handleLaunchActivity(ActivityThread java:3409)_x000D_
08 03 16:44:35 549 27778 27778 E AndroidRuntime: 	at android app servertransaction LaunchActivityItem execute(LaunchActivityItem java:83)_x000D_
08 03 16:44:35 549 27778 27778 E AndroidRuntime: 	at android app servertransaction TransactionExecutor executeCallbacks(TransactionExecutor java:135)_x000D_
08 03 16:44:35 549 27778 27778 E AndroidRuntime: 	at android app servertransaction TransactionExecutor execute(TransactionExecutor java:95)_x000D_
08 03 16:44:35 549 27778 27778 E AndroidRuntime: 	at android app ActivityThread H handleMessage(ActivityThread java:2016)_x000D_
08 03 16:44:35 549 27778 27778 E AndroidRuntime: 	at android os Handler dispatchMessage(Handler java:107)_x000D_
08 03 16:44:35 549 27778 27778 E AndroidRuntime: 	at android os Looper loop(Looper java:214)_x000D_
08 03 16:44:35 549 27778 27778 E AndroidRuntime: 	at android app ActivityThread main(ActivityThread java:7356)_x000D_
08 03 16:44:35 549 27778 27778 E AndroidRuntime: 	at java lang reflect Method invoke(Native Method)_x000D_
08 03 16:44:35 549 27778 27778 E AndroidRuntime: 	at com android internal os RuntimeInit MethodAndArgsCaller run(RuntimeInit java:491)_x000D_
08 03 16:44:35 549 27778 27778 E AndroidRuntime: 	at com android internal os ZygoteInit main(ZygoteInit java:940)_x000D_
08 03 16:44:35 549 27778 27778 E AndroidRuntime: Caused by: androidx fragment app Fragment InstantiationException: Unable to instantiate fragment cgeo geocaching CacheDetailActivity WaypointsViewCreator: could not find Fragment constructor_x000D_
08 03 16:44:35 549 27778 27778 E AndroidRuntime: 	at androidx fragment app Fragment instantiate(Fragment java:628)_x000D_
08 03 16:44:35 549 27778 27778 E AndroidRuntime: 	at androidx fragment app FragmentContainer instantiate(FragmentContainer java:57)_x000D_
08 03 16:44:35 549 27778 27778 E AndroidRuntime: 	at androidx fragment app FragmentManager 3 instantiate(FragmentManager java:483)_x000D_
08 03 16:44:35 549 27778 27778 E AndroidRuntime: 	at androidx fragment app FragmentStateManager  init (FragmentStateManager java:85)_x000D_
08 03 16:44:35 549 27778 27778 E AndroidRuntime: 	at androidx fragment app FragmentManager restoreSaveState(FragmentManager java:2728)_x000D_
08 03 16:44:35 549 27778 27778 E AndroidRuntime: 	at androidx fragment app FragmentController restoreSaveState(FragmentController java:198)_x000D_
08 03 16:44:35 549 27778 27778 E AndroidRuntime: 	at androidx fragment app FragmentActivity 2 onContextAvailable(FragmentActivity java:149)_x000D_
08 03 16:44:35 549 27778 27778 E AndroidRuntime: 	at androidx activity contextaware ContextAwareHelper dispatchOnContextAvailable(ContextAwareHelper java:99)_x000D_
08 03 16:44:35 549 27778 27778 E AndroidRuntime: 	at androidx activity ComponentActivity onCreate(ComponentActivity java:297)_x000D_
08 03 16:44:35 549 27778 27778 E AndroidRuntime: 	at androidx fragment app FragmentActivity onCreate(FragmentActivity java:273)_x000D_
08 03 16:44:35 549 27778 27778 E AndroidRuntime: 	at cgeo geocaching activity AbstractActivity onCreate(AbstractActivity java:129)_x000D_
08 03 16:44:35 549 27778 27778 E AndroidRuntime: 	at cgeo geocaching activity AbstractActionBarActivity onCreate(AbstractActionBarActivity java:22)_x000D_
08 03 16:44:35 549 27778 27778 E AndroidRuntime: 	at cgeo geocaching activity TabbedViewPagerActivity onCreate(TabbedViewPagerActivity java:256)_x000D_
08 03 16:44:35 549 27778 27778 E AndroidRuntime: 	at cgeo geocaching CacheDetailActivity onCreate(CacheDetailActivity java:238)_x000D_
08 03 16:44:35 549 27778 27778 E AndroidRuntime: 	at android app Activity performCreate(Activity java:7824)_x000D_
08 03 16:44:35 549 27778 27778 E AndroidRuntime: 	at android app Activity performCreate(Activity java:7813)_x000D_
08 03 16:44:35 549 27778 27778 E AndroidRuntime: 	at android app Instrumentation callActivityOnCreate(Instrumentation java:1306)_x000D_
08 03 16:44:35 549 27778 27778 E AndroidRuntime: 	at android app ActivityThread performLaunchActivity(ActivityThread java:3245)_x000D_
08 03 16:44:35 549 27778 27778 E AndroidRuntime: 	    11 more_x000D_
08 03 16:44:35 549 27778 27778 E AndroidRuntime: Caused by: java lang NoSuchMethodException: cgeo geocaching CacheDetailActivity WaypointsViewCreator  init    _x000D_
08 03 16:44:35 549 27778 27778 E AndroidRuntime: 	at java lang Class getConstructor0(Class java:2332)_x000D_
08 03 16:44:35 549 27778 27778 E AndroidRuntime: 	at java lang Class getConstructor(Class java:1728)_x000D_
08 03 16:44:35 549 27778 27778 E AndroidRuntime: 	at androidx fragment app Fragment instantiate(Fragment java:613)_x000D_
08 03 16:44:35 549 27778 27778 E AndroidRuntime: 	    28 more_x000D_
   </t>
  </si>
  <si>
    <t>Anuken-Mindustry-5697</t>
  </si>
  <si>
    <t xml:space="preserve">  Platform  :  Linux (Ubuntu)_x000D_
_x000D_
  Build  : 129_x000D_
_x000D_
  Issue  : I tried to start the game  but it crashes before it starts  I have Java installed  everything else works fine with Java _x000D_
_x000D_
  Steps to reproduce  : Start the game on Ubuntu (command used: java  jar Mindustry jar)_x000D_
_x000D_
If you remove the line above without reading it properly and understanding what it means  I will reap your soul  Even if you re playing on someone s server  you can still save the game to a slot _x000D_
_x000D_
  (Crash) logs  :  E  java lang ExceptionInInitializerError_x000D_
	at arc backend sdl SdlApplication lambda init 0(SdlApplication java:74)_x000D_
	at arc backend sdl SdlApplication check(SdlApplication java:186)_x000D_
	at arc backend sdl SdlApplication init(SdlApplication java:74)_x000D_
	at arc backend sdl SdlApplication  init (SdlApplication java:31)_x000D_
	at mindustry desktop DesktopLauncher main(DesktopLauncher java:38)_x000D_
Caused by: arc util ArcRuntimeException: Couldn t load shared library  libsdl arc64 so  for target: Linux  64 bit_x000D_
	at arc util SharedLibraryLoader load(SharedLibraryLoader java:85)_x000D_
	at arc backend sdl jni SDL  clinit (SDL java:118)_x000D_
	    5 more_x000D_
Caused by: arc util ArcRuntimeException: java lang UnsatisfiedLinkError:  tmp arc 6aa18953 libsdl arc64 so: libSDL2 2 0 so 0: cannot open shared object file: No such file or directory_x000D_
	at arc util SharedLibraryLoader loadFile(SharedLibraryLoader java:288)_x000D_
	at arc util SharedLibraryLoader load(SharedLibraryLoader java:81)_x000D_
	    6 more_x000D_
Caused by: java lang UnsatisfiedLinkError:  tmp arc 6aa18953 libsdl arc64 so: libSDL2 2 0 so 0: cannot open shared object file: No such file or directory_x000D_
	at java base jdk internal loader NativeLibraries load(Native Method)_x000D_
	at java base jdk internal loader NativeLibraries NativeLibraryImpl open(NativeLibraries java:383)_x000D_
	at java base jdk internal loader NativeLibraries loadLibrary(NativeLibraries java:227)_x000D_
	at java base jdk internal loader NativeLibraries loadLibrary(NativeLibraries java:169)_x000D_
	at java base java lang ClassLoader loadLibrary(ClassLoader java:2383)_x000D_
	at java base java lang Runtime load0(Runtime java:746)_x000D_
	at java base java lang System load(System java:1857)_x000D_
	at arc util SharedLibraryLoader loadFile(SharedLibraryLoader java:294)_x000D_
	at arc util SharedLibraryLoader loadFile(SharedLibraryLoader java:260)_x000D_
	    7 more_x000D_
_x000D_
 E  Failed to save local crash report : java lang NoClassDefFoundError: Could not initialize class arc backend sdl jni SDL_x000D_
	at mindustry desktop DesktopLauncher message(DesktopLauncher java:358)_x000D_
	at mindustry desktop DesktopLauncher lambda handleCrash 9(DesktopLauncher java:231)_x000D_
	at mindustry desktop DesktopLauncher lambda handleCrash 10(DesktopLauncher java:231)_x000D_
	at mindustry net CrashSender send(CrashSender java:92)_x000D_
	at mindustry desktop DesktopLauncher handleCrash(DesktopLauncher java:228)_x000D_
	at mindustry desktop DesktopLauncher main(DesktopLauncher java:50)_x000D_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</si>
  <si>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TeamNewPipe-NewPipe-6842</t>
  </si>
  <si>
    <t>Clicking the 1st comment of this youtube video to expand exists &amp; crashes newpipe to homescreen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</si>
  <si>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this video url: https:  www youtube com watch v cVKBqmYljnk_x000D_
2  Press on the 1st comment when comments are loaded_x000D_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Newpipe exists to the homescreen which I believe is a form of crash  This does not invoke Guru Meditation or any other bug report pop up_x000D_
_x000D_
_x000D_
    Expected behavior_x000D_
     Tell us what you expect to happen     _x000D_
Expand the comment with ellipsis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The comment which crashes the app in question (https:  user images githubusercontent com 34276732 128179619 c85e2eae 6184 45b7 bfe7 1bcd17824744 jpg)_x000D_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miui 12_x000D_
_x000D_
_x000D_
   Device model: Redmi 7a_x000D_
</t>
  </si>
  <si>
    <t>aws-amplify-amplify-android-1439</t>
  </si>
  <si>
    <t>Amplify S3 storage exception (Failed to get user's identity ID)</t>
  </si>
  <si>
    <t xml:space="preserve">    Before opening  please confirm:_x000D_
_x000D_
_x000D_
   X  I have  searched for duplicate or closed issues (https:  github com aws amplify amplify android issues q is 3Aissue ) and  discussions (https:  github com aws amplify amplify android discussions) _x000D_
_x000D_
    Language and Async Model_x000D_
_x000D_
Java_x000D_
_x000D_
    Amplify Categories_x000D_
_x000D_
Storage_x000D_
_x000D_
    Gradle script dependencies_x000D_
 details _x000D_
_x000D_
   _x000D_
buildscript  _x000D_
    repositories  _x000D_
_x000D_
     _x000D_
_x000D_
    dependencies  _x000D_
_x000D_
     _x000D_
 _x000D_
apply plugin:  com android application _x000D_
apply plugin:  com google firebase crashlytics _x000D_
apply plugin:  org greenrobot greendao _x000D_
apply plugin:  com amazonaws appsync _x000D_
apply plugin:  kotlin android _x000D_
apply plugin:  kotlin android extensions _x000D_
_x000D_
repositories  _x000D_
    maven   url  https:  jitpack io   _x000D_
 _x000D_
_x000D_
android  _x000D_
    compileSdkVersion rootProject ext compileSdkVersion as Integer_x000D_
    buildToolsVersion rootProject ext buildToolsVersion as String_x000D_
      useLibrary  org apache http legacy _x000D_
_x000D_
    dexOptions  _x000D_
        jumboMode   true_x000D_
     _x000D_
_x000D_
    defaultConfig  _x000D_
        applicationId rootProject ext applicationId as String_x000D_
        minSdkVersion rootProject ext minSdkVersion as Integer_x000D_
        targetSdkVersion rootProject ext targetSdkVersion as Integer_x000D_
        versionCode rootProject ext versionCode as Integer_x000D_
        versionName rootProject ext versionName as String_x000D_
        multiDexEnabled true_x000D_
        ndk  _x000D_
            moduleName  Scanner _x000D_
         _x000D_
     _x000D_
    sourceSets main_x000D_
             _x000D_
                jni srcDirs     _x000D_
                jniLibs srcDir  src main libs _x000D_
             _x000D_
    buildTypes  _x000D_
        release  _x000D_
            minifyEnabled false_x000D_
            proguardFiles getDefaultProguardFile( proguard android txt )   proguard rules pro _x000D_
         _x000D_
        debug  _x000D_
            minifyEnabled false_x000D_
            proguardFiles getDefaultProguardFile( proguard android txt )   proguard rules pro _x000D_
         _x000D_
     _x000D_
    flavorDimensions  default _x000D_
    productFlavors  _x000D_
        staging  _x000D_
            versionNameSuffix   staging _x000D_
            buildConfigField( String    HOST      https:  test marketplace vastucorp com    )_x000D_
         _x000D_
_x000D_
        production  _x000D_
            versionNameSuffix   production _x000D_
            buildConfigField( String    HOST      https:  community vastucorp com    )_x000D_
         _x000D_
     _x000D_
    compileOptions  _x000D_
        sourceCompatibility JavaVersion VERSION 1 8_x000D_
        targetCompatibility JavaVersion VERSION 1 8_x000D_
     _x000D_
    configurations  _x000D_
        all  exclude group:  com android support   module:  support v4 _x000D_
        all  exclude group:  com android support   module:  support annotations _x000D_
     _x000D_
    dataBinding  _x000D_
        enabled   true_x000D_
     _x000D_
    viewBinding  _x000D_
        enabled   true_x000D_
     _x000D_
    lintOptions  _x000D_
        checkReleaseBuilds false_x000D_
     _x000D_
    dexOptions  _x000D_
        javaMaxHeapSize  4g _x000D_
     _x000D_
    kotlinOptions  _x000D_
        jvmTarget    1 8 _x000D_
     _x000D_
_x000D_
    kotlinOptions  _x000D_
        jvmTarget   JavaVersion VERSION 1 8 toString()_x000D_
     _x000D_
 _x000D_
greendao  _x000D_
    schemaVersion rootProject ext greenDaoSchemaVersion_x000D_
 _x000D_
dependencies  _x000D_
_x000D_
    implementation fileTree(include:     jar    dir:  libs )_x000D_
    implementation( com mikepenz:materialdrawer:6 1 0 aar )  _x000D_
        transitive   true_x000D_
     _x000D_
    implementation( com mikepenz:crossfader:1 6 0 aar )  _x000D_
        transitive   true_x000D_
     _x000D_
    repositories  _x000D_
        jcenter()_x000D_
     _x000D_
    configurations  _x000D_
        all  exclude group:  com android support   module:  support v13 _x000D_
     _x000D_
    implementation  com github bumptech glide:glide:4 11 0 _x000D_
    annotationProcessor  androidx lifecycle:lifecycle compiler:2 2 0 _x000D_
    implementation  androidx core:core ktx:1 3 2 _x000D_
    implementation  org jetbrains kotlin:kotlin stdlib jdk7:1 3 61 _x000D_
    implementation  com budiyev android:code scanner:2 1 0 _x000D_
    implementation  com tbruyelle rxpermissions2:rxpermissions: rxPermissionsVersion _x000D_
    implementation  io reactivex rxjava2:rxjava: rxJavaVersion _x000D_
    implementation  io reactivex rxjava2:rxandroid: rxAndroidVersion _x000D_
    def camerax version    1 0 0 beta07 _x000D_
    implementation  com isseiaoki:simplecropview:1 1 6 _x000D_
    implementation  com mikepenz:crossfadedrawerlayout:1 1 0 aar _x000D_
    implementation  com mikepenz:google material typeface:3 0 1 1 original aar _x000D_
    implementation  com mikepenz:fontawesome typeface:5 0 13 0 aar _x000D_
    implementation  com mikepenz:material design iconic typeface:2 2 0 1 aar _x000D_
    implementation  com mikepenz:community material typeface:2 0 46 1 aar _x000D_
    implementation  com mikepenz:octicons typeface:3 2 0 4 aar _x000D_
    implementation  com mikepenz:itemanimators:1 1 0 _x000D_
    implementation  com mikepenz:ionicons typeface:2 0 1 2 aar _x000D_
    implementation  com sdsmdg harjot:materialshadows:1 2 5 _x000D_
      noinspection GradleCompatible_x000D_
    implementation  com google android material:material:1 3 0 _x000D_
    implementation  androidx appcompat:appcompat:1 2 0 _x000D_
    implementation  androidx cardview:cardview:1 0 0 _x000D_
    implementation  androidx legacy:legacy support v4:1 0 0 _x000D_
    implementation  com github paolorotolo:expandableheightlistview:1 0 0 _x000D_
    implementation  com github andyxialm:ColorDialog:1 0 0 _x000D_
    implementation  joda time:joda time: joda time version _x000D_
    implementation  org greenrobot:greendao: greendao version _x000D_
    implementation  org greenrobot:eventbus: eventbus version _x000D_
    implementation  com android volley:volley: volley version _x000D_
    implementation  com google code gson:gson: gsonLibVersion _x000D_
    implementation  org apache httpcomponents:httpcore:4 4 10 _x000D_
      implementation  org apache httpcomponents:httpclient:4 5 2 _x000D_
    implementation  commons io:commons io:2 5 _x000D_
    implementation  androidx constraintlayout:constraintlayout: constraintlayout version _x000D_
    implementation  info hoang8f:fbutton:1 0 5 _x000D_
    implementation  com github shadowalker77:wp7progressbar:1 0 5 _x000D_
    implementation  com github darsh2:MultipleImageSelect:v0 0 4 _x000D_
    testImplementation  junit:junit: junitVersion _x000D_
    implementation platform( com google firebase:firebase bom:26 0 0 )_x000D_
    implementation  com google firebase:firebase crashlytics _x000D_
    implementation  com google firebase:firebase messaging:21 0 1 _x000D_
    implementation  com google firebase:firebase core:18 0 1 _x000D_
_x000D_
       Declare the dependency for the Cloud Firestore library_x000D_
       When using the BoM  you don t specify versions in Firebase library dependencies_x000D_
    implementation  com google firebase:firebase firestore _x000D_
_x000D_
    implementation  org apache commons:commons lang3:3 5 _x000D_
    implementation files( libs activation jar )_x000D_
    implementation files( libs additionnal jar )_x000D_
    implementation files( libs mail jar )_x000D_
    implementation  com edmodo:cropper:1 0 1 _x000D_
      implementation  com fxn769:pix:1 2 5 _x000D_
    implementation  com chaos view:pinview:1 3 1 _x000D_
    implementation  com google android gms:play services location:17 1 0 _x000D_
    implementation  com google android gms:play services auth:17 0 0 _x000D_
    implementation  com yanzhenjie:album:2 1 3 _x000D_
    implementation  com journeyapps:zxing android embedded:3 4 0 _x000D_
    implementation  androidx navigation:navigation fragment: nav version _x000D_
    implementation  androidx navigation:navigation ui: nav version _x000D_
    implementation  androidx navigation:navigation runtime: nav version _x000D_
    implementation  androidx camera:camera camera2:  camerax version  _x000D_
    implementation  androidx camera:camera lifecycle:  camerax version  _x000D_
    implementation  androidx camera:camera view:1 0 0 alpha12 _x000D_
    implementation  androidx camera:camera extensions:1 0 0 alpha12 _x000D_
    implementation  com github vipulasri:timelineview:1 0 6 _x000D_
    implementation  com github PhilJay:MPAndroidChart:v3 1 0 _x000D_
    implementation  androidx gridlayout:gridlayout:1 0 0 _x000D_
    implementation project( :scanlibrary )_x000D_
    implementation  com github mreram:showcaseview:1 2 0 _x000D_
    implementation  com outlander showcaseview:showcaseview:1 3 0 _x000D_
    implementation  com squareup picasso:picasso:2 71828 _x000D_
_x000D_
    implementation  com yanzhenjie:album:2 1 3 _x000D_
_x000D_
    implementation  com google android gms:play services auth api phone:17 5 0 _x000D_
    implementation  com google android play:core:1 9 1 _x000D_
    implementation  commons io:commons io:2 10 0 _x000D_
_x000D_
    implementation  com timqi sectorprogressview:library:2 0 1 _x000D_
    implementation( com paytm:pgplussdk:1 3 3 )  _x000D_
        transitive   true _x000D_
     _x000D_
      _x000D_
    implementation  com squareup retrofit2:retrofit:2 3 0 _x000D_
    implementation  com squareup retrofit2:converter gson:2 3 0 _x000D_
    implementation  com squareup retrofit2:adapter rxjava2:2 3 0 _x000D_
    implementation  com squareup okhttp3:logging interceptor:3 10 0 _x000D_
    implementation  com google code gson:gson:2 8 2 _x000D_
  _x000D_
      RxJava_x000D_
    implementation  io reactivex rxjava2:rxjava:2 1 10 _x000D_
    implementation  io reactivex rxjava2:rxandroid:2 0 2 _x000D_
_x000D_
       implementation  com paytm appinvokesdk:appinvokesdk:1 5 4 _x000D_
    implementation  com github pchmn:MaterialChipsInput:1 0 8 _x000D_
       compile  org florescu android rangeseekbar:rangeseekbar library:0 3 0 _x000D_
    implementation  com github Jay Goo:RangeSeekBar:v3 0 0 _x000D_
    implementation  net yslibrary keyboardvisibilityevent:keyboardvisibilityevent:3 0 0 RC3 _x000D_
    implementation  androidx multidex:multidex:2 0 1 _x000D_
_x000D_
       Support for Java 8 features_x000D_
    implementation  com amazonaws:aws android sdk appsync:3 1 1 _x000D_
    implementation  org eclipse paho:org eclipse paho client mqttv3:1 2 0 _x000D_
    implementation  org eclipse paho:org eclipse paho android service:1 1 1 _x000D_
_x000D_
       Mobile Client for initializing the SDK_x000D_
    implementation( com amazonaws:aws android sdk mobile client:2 22 2 )  _x000D_
        transitive   true_x000D_
     _x000D_
       Cognito UserPools for SignIn_x000D_
    implementation( com amazonaws:aws android sdk auth userpools:2 16 8 )  _x000D_
        transitive   true_x000D_
     _x000D_
       Sign in UI Library_x000D_
    implementation( com amazonaws:aws android sdk auth ui:2 16 8 )  _x000D_
        transitive   true_x000D_
     _x000D_
_x000D_
    implementation  com amplifyframework:core:1 22 0 _x000D_
_x000D_
    implementation  com amplifyframework:aws datastore:1 22 0 _x000D_
_x000D_
    implementation  com amplifyframework:aws api:1 22 0 _x000D_
    implementation  com amplifyframework:aws predictions:1 22 0 _x000D_
    implementation  com amplifyframework:aws auth cognito:1 22 0 _x000D_
_x000D_
    implementation  androidx recyclerview:recyclerview:1 2 1 _x000D_
_x000D_
    implementation  com amazonaws:aws android sdk s3:2 26 0 _x000D_
    implementation  com amplifyframework:aws storage s3:1 22 0 _x000D_
 _x000D_
_x000D_
  configurations  _x000D_
    implementation exclude group:  org apache httpcomponents   module:  httpclient _x000D_
   _x000D_
apply plugin:  com google gms google services _x000D_
   _x000D_
_x000D_
  details _x000D_
_x000D_
    Environment information_x000D_
_x000D_
_x000D_
_x000D_
  Put output below this line_x000D_
_x000D_
_x000D_
Welcome to Gradle 5 6 4 _x000D_
_x000D_
Here are the highlights of this release:_x000D_
   Incremental Groovy compilation_x000D_
   Groovy compile avoidance_x000D_
   Test fixtures for Java projects_x000D_
   Manage plugin versions via settings script_x000D_
_x000D_
For more details see https:  docs gradle org 5 6 4 release notes html_x000D_
_x000D_
_x000D_
                                                            _x000D_
Gradle 5 6 4_x000D_
                                                            _x000D_
_x000D_
Build time:   2019 11 01 20:42:00 UTC_x000D_
Revision:     dd870424f9bd8e195d614dc14bb140f43c22da98_x000D_
_x000D_
Kotlin:       1 3 41_x000D_
Groovy:       2 5 4_x000D_
Ant:          Apache Ant(TM) version 1 9 14 compiled on March 12 2019_x000D_
JVM:          1 8 0 301 (Oracle Corporation 25 301 b09)_x000D_
OS:           Windows 10 10 0 amd64_x000D_
_x000D_
_x000D_
_x000D_
    Please include any relevant guides or documentation you re referencing_x000D_
_x000D_
 No response _x000D_
_x000D_
    Describe the bug_x000D_
_x000D_
We are trying to upload a file to our bucket called  marketplace documents   But it gives me an error as follows :_x000D_
_x000D_
StorageException message Failed to get user s identity ID  cause java lang RuntimeException: Cognito Identity not configured  recoverySuggestion Please check that you are logged in and that Auth is setup to support identity pools  _x000D_
_x000D_
I have used CUSTOM AUTH for my application _x000D_
I need help to sort this issue _x000D_
_x000D_
_x000D_
    Reproduction steps (if applicable)_x000D_
_x000D_
1  Create android application and setup amplify  _x000D_
2  Create a userpool via console  _x000D_
3  Setup userpool triggers with lambda function for custom authentication _x000D_
4  Import auth in android application _x000D_
5  Signup and sign in with custom auth _x000D_
6  Import storage in android application  _x000D_
7  Try to upload a file using Amplify Storage uploadFile _x000D_
_x000D_
    Code Snippet_x000D_
_x000D_
 details _x000D_
_x000D_
   java_x000D_
   Put your code below this line _x000D_
_x000D_
private void signUp()  _x000D_
        Amplify Auth signUp(  91    edtMobileNume getText() toString() trim() _x000D_
                 vastuHfc 123  _x000D_
                AuthSignUpOptions builder() userAttribute(AuthUserAttributeKey phoneNumber()    91    edtMobileNume getText() toString() trim()) build() _x000D_
                onSuccess     _x000D_
                    signIN() _x000D_
                    Log e( Sk success   onSuccess isSignUpComplete()     ) _x000D_
                  _x000D_
                onError     _x000D_
                    Log e( Sk   onError getMessage()) _x000D_
                    onError printStackTrace() _x000D_
                    if (onError getCause() getMessage() contains( UsernameExistsException ))_x000D_
                        signIN() _x000D_
                 ) _x000D_
     _x000D_
_x000D_
    public void signIN()  _x000D_
        Map String  String  res   new HashMap String  String () _x000D_
        res put(CognitoServiceConstants AUTH PARAM CHALLENGE NAME   CUSTOM CHALLENGE ) _x000D_
        res put(AuthUserAttributeKey phoneNumber() getKeyString()    91    edtMobileNume getText() toString() trim()) _x000D_
_x000D_
        AWSMobileClient getInstance() signIn(  91    edtMobileNume getText() toString() trim() _x000D_
                 vastuHfc 123  _x000D_
                res _x000D_
                new Callback SignInResult ()  _x000D_
                     Override_x000D_
                    public void onResult(final SignInResult signInResult)  _x000D_
                        runOnUiThread(new Runnable()  _x000D_
                             Override_x000D_
                            public void run()  _x000D_
                                Log d( APP    Sign in callback state:     signInResult getSignInState()) _x000D_
                                switch (signInResult getSignInState())  _x000D_
                                    case DONE:_x000D_
                                        Log d( SK    Sign in done  ) _x000D_
                                          skipLogin() _x000D_
                                        goodToGo() _x000D_
                                          Intent intent   new Intent(LoginActivity this  MainActivity class) _x000D_
                                        startActivity(intent)   _x000D_
                                        break _x000D_
                                    case SMS MFA:_x000D_
                                        Log d( SK    Please confirm sign in with SMS  ) _x000D_
                                        break _x000D_
                                    case NEW PASSWORD REQUIRED:_x000D_
                                        Log d( SK    Please confirm sign in with new password  ) _x000D_
                                        break _x000D_
                                    case CUSTOM CHALLENGE:_x000D_
                                        Log d( SK    CUSTOM CHALLENGE CALLED  ) _x000D_
                                          openOtpDialog() _x000D_
                                        initSignIn() _x000D_
                                          Intent i   new Intent(LoginActivity this  OTPconfirmationActivity class) _x000D_
                                        i putExtra( USERNAME   signInResult getParameters() get( USERNAME )) _x000D_
                                        Log e( Sk username   signInResult getParameters() get( USERNAME )) _x000D_
                                        i putExtra( PHONE NUMBER     91    edtMobileNume getText() toString() trim()) _x000D_
                                        startActivity(i)   _x000D_
                                        break _x000D_
                                    default:_x000D_
                                        Log d( SK    Unsupported sign in confirmation:     signInResult getSignInState()) _x000D_
                                        break _x000D_
                                 _x000D_
                             _x000D_
                         ) _x000D_
                     _x000D_
_x000D_
                     Override_x000D_
                    public void onError(Exception e)  _x000D_
                        Log e( SK    Sign in error   e) _x000D_
                     _x000D_
                 ) _x000D_
     _x000D_
_x000D_
_x000D_
                                 Verification of OTP        _x000D_
_x000D_
 public void confirmSignIn()  _x000D_
        Map String  String  res   new HashMap String  String () _x000D_
        res put(CognitoServiceConstants AUTH PARAM CHALLENGE NAME   CUSTOM CHALLENGE ) _x000D_
          res put(CognitoServiceConstants AUTH PARAM USERNAME  getIntent() getStringExtra( USERNAME )) _x000D_
          res put(CognitoServiceConstants AUTH PARAM USERNAME  getIntent() getStringExtra( PHONE NUMBER )) _x000D_
        res put(CognitoServiceConstants CHLG RESP ANSWER  pinView getText() toString() trim()) _x000D_
        AWSMobileClient getInstance() confirmSignIn(res  new Callback SignInResult ()  _x000D_
             Override_x000D_
            public void onResult(final SignInResult signInResult)  _x000D_
                runOnUiThread(new Runnable()  _x000D_
                     Override_x000D_
                    public void run()  _x000D_
                        Log d( SK    Sign in callback state:     signInResult getSignInState()) _x000D_
                        switch (signInResult getSignInState())  _x000D_
                            case DONE:_x000D_
                                  goodToGo() _x000D_
                                callWebService(pinView getText() toString()) _x000D_
                                Log d( SK    Sign in done  ) _x000D_
                                break _x000D_
                            case SMS MFA:_x000D_
                                Log d( SK    Please confirm sign in with SMS  ) _x000D_
                                break _x000D_
                            case NEW PASSWORD REQUIRED:_x000D_
                                Log d( SK    Please confirm sign in with new password  ) _x000D_
                                break _x000D_
                            default:_x000D_
                                Log d( SK    Unsupported sign in confirmation:     signInResult getSignInState()) _x000D_
                                break _x000D_
                         _x000D_
                     _x000D_
                 ) _x000D_
             _x000D_
_x000D_
             Override_x000D_
            public void onError(Exception e)  _x000D_
                Log e( SK    Confirm Custom auth Sign in error   e) _x000D_
             _x000D_
         ) _x000D_
     _x000D_
_x000D_
                          Upload file using storage              _x000D_
_x000D_
_x000D_
Amplify Storage uploadFile(_x000D_
                    String valueOf(n) _x000D_
                    new File(pojo get(finalItem) getPicImage()) _x000D_
                    result     _x000D_
                        Log i( MyAmplifyApp    Successfully uploaded:     result getKey()) _x000D_
                        pojo get(finalItem) setS3 url( https:  marketplace documents s3 ap south 1 amazonaws com public     String valueOf(n)) _x000D_
                        KeyValue key   new KeyValue() _x000D_
                        String value   key getKeyFromValue(picTypeMap  pojo get(finalItem) getPicTypeName()) _x000D_
                        saveDocument(pojo get(finalItem)  value) _x000D_
                      _x000D_
                    storageFailure     _x000D_
                        Log e( MyAmplifyApp    Upload failed   storageFailure) _x000D_
                     _x000D_
            ) _x000D_
   _x000D_
_x000D_
_x000D_
  details _x000D_
_x000D_
    Log output_x000D_
_x000D_
_x000D_
   _x000D_
   Put your logs below this line_x000D_
_x000D_
StorageException message Failed to get user s identity ID  cause java lang RuntimeException: Cognito Identity not configured  recoverySuggestion Please check that you are logged in and that Auth is setup to support identity pools  _x000D_
   _x000D_
_x000D_
_x000D_
    GraphQL Schema_x000D_
_x000D_
 details _x000D_
_x000D_
   graphql_x000D_
   Put your schema below this line_x000D_
_x000D_
type MasterProduct  model  _x000D_
    id: ID _x000D_
    name: String _x000D_
    display name: String _x000D_
    pulse hfc id: String _x000D_
    nbfc id: String _x000D_
    is active: Int_x000D_
 _x000D_
type MasterCustomerType  model  _x000D_
    id: ID _x000D_
    name: String _x000D_
    display name: String _x000D_
    pulse hfc id: String _x000D_
    nbfc id: String _x000D_
    is active: Int_x000D_
 _x000D_
type MasterAddressType  model  _x000D_
    id: ID _x000D_
    name: String _x000D_
    display name: String _x000D_
    pulse hfc id: String _x000D_
    nbfc id: String _x000D_
    is active: Int_x000D_
 _x000D_
type MasterGender  model  _x000D_
    id: ID _x000D_
    name: String _x000D_
    display name: String _x000D_
    pulse hfc id: String _x000D_
    nbfc id: String _x000D_
    is active: Int_x000D_
 _x000D_
type MasterStatus  model  _x000D_
    id: ID _x000D_
    name: String _x000D_
    display name: String _x000D_
    pulse hfc id: String _x000D_
    nbfc id: String _x000D_
    is active: Int_x000D_
 _x000D_
_x000D_
type MasterPicType  model  _x000D_
    id: ID _x000D_
    name: String _x000D_
    display name: String _x000D_
    group: String _x000D_
    pulse hfc id: String _x000D_
    nbfc id: String _x000D_
    is active: Int_x000D_
 _x000D_
type MasterBranch  model  _x000D_
    id: ID _x000D_
    name: String _x000D_
    display name: String _x000D_
    code: String _x000D_
    email: String _x000D_
    contact number: String _x000D_
    is active: Int_x000D_
 _x000D_
type MasterAgency  model  _x000D_
    id: ID _x000D_
    name: String _x000D_
    display name: String _x000D_
    code: String _x000D_
    agency type id: String _x000D_
    email: String _x000D_
    contact number: String _x000D_
    is active: Int_x000D_
 _x000D_
type MasterAgencyType  model  _x000D_
    id: ID _x000D_
    name: String _x000D_
    display name: String _x000D_
    code: String _x000D_
    is active: Int_x000D_
 _x000D_
type MasterAgent  model  _x000D_
    id: ID _x000D_
    name: String _x000D_
    display name: String _x000D_
    code: String _x000D_
    agency id: String _x000D_
    is active: Int_x000D_
 _x000D_
_x000D_
type Application  model  _x000D_
    id: ID _x000D_
    cdid: String _x000D_
    application number: String _x000D_
    status: String _x000D_
    product id: String _x000D_
    user id: String _x000D_
    branch id: String _x000D_
    amount: String _x000D_
    agency type id: String _x000D_
    agency id: String _x000D_
    agent id: String _x000D_
    remark: String _x000D_
    is assigned: Int_x000D_
    is active: Int_x000D_
    createdAt: AWSDateTime _x000D_
    customers:  Customer   connection(keyName:  byApplication   fields:   id  )_x000D_
 _x000D_
_x000D_
type Customer  model_x000D_
 key(name:  byApplication   fields:   application id  )_x000D_
 key(name:  byActiveCustomer   fields:   is active    createdAt    queryField:  customerByCreatedAt )  _x000D_
    id: ID _x000D_
    cdid: String _x000D_
    application id: ID _x000D_
    applications: Application  connection(fields:   application id  )_x000D_
    customer type id : String _x000D_
    first name: String _x000D_
    last name: String _x000D_
    date of birth: String _x000D_
    gender: String _x000D_
    mobile: String _x000D_
    phone: String _x000D_
    is active: Int_x000D_
    createdAt: AWSDateTime _x000D_
 _x000D_
_x000D_
type CustomerAddress  model  _x000D_
    id: ID _x000D_
    cdid: String _x000D_
    application id: String _x000D_
    customer id: String _x000D_
    address line1: String _x000D_
    address line2: String _x000D_
    landmark: String _x000D_
    city: String _x000D_
    pin: String _x000D_
    state: String _x000D_
    address type id: String _x000D_
    is active: Int_x000D_
 _x000D_
_x000D_
type CustomerDocument  model  _x000D_
    id: ID _x000D_
    cdid: String _x000D_
    application id: String _x000D_
    customer id: String _x000D_
    pictype id: String _x000D_
    details: String _x000D_
    path: String _x000D_
    offline path: String _x000D_
    thumb: String _x000D_
    filetype: String _x000D_
    latitude: String _x000D_
    longitude: String _x000D_
    accuracy: String _x000D_
    is active: Int_x000D_
 _x000D_
_x000D_
type OcrRequest  model  _x000D_
    id: ID _x000D_
    cdid: String _x000D_
    application id: String _x000D_
    path: String _x000D_
    thumb: String _x000D_
    image type: String _x000D_
    request: String _x000D_
    response: String _x000D_
    is mask: String _x000D_
 _x000D_
_x000D_
type OcrAadhaar  model  _x000D_
    id: ID _x000D_
    cdid: String _x000D_
    ocrrequestid: String _x000D_
    masked url: String _x000D_
    aadhar no: String _x000D_
    name: String _x000D_
    father name: String _x000D_
    gender: String _x000D_
    dob: String _x000D_
    phone: String _x000D_
    address: String _x000D_
    care of: String _x000D_
    house number: String _x000D_
    line1: String _x000D_
    line2: String _x000D_
    locality: String _x000D_
    landmark: String _x000D_
    street: String _x000D_
     type: String _x000D_
    pin: String _x000D_
    city: String _x000D_
    district: String _x000D_
    state: String _x000D_
    tag: String _x000D_
 _x000D_
_x000D_
type OcrPAN  model  _x000D_
    id: ID _x000D_
    cdid: String _x000D_
    ocrrequestid: String _x000D_
    date: String _x000D_
    name: String _x000D_
    father name: String _x000D_
    gender: String _x000D_
    pan number: String _x000D_
    tag: String _x000D_
 _x000D_
_x000D_
type OcrPassport  model  _x000D_
    id: ID _x000D_
    cdid: String _x000D_
    ocrrequestid: String _x000D_
    contry code: String _x000D_
    dob: String _x000D_
    doe: String _x000D_
    doi: String _x000D_
    gender: String _x000D_
    given name: String _x000D_
    mrz: String _x000D_
    nationality: String _x000D_
    passport num: String _x000D_
    place of birth: String _x000D_
    place of issue: String _x000D_
    surname: String _x000D_
    tag: String _x000D_
    address: String _x000D_
    father: String _x000D_
    mother: String _x000D_
    file number: String _x000D_
    pin: String _x000D_
     type: String _x000D_
    city: String _x000D_
    district: String _x000D_
    locality: String _x000D_
    house number: String _x000D_
    line1: String _x000D_
    line2: String _x000D_
    state: String _x000D_
    landmark: String _x000D_
    street: String _x000D_
 _x000D_
_x000D_
type OcrVoterID  model  _x000D_
    id: ID _x000D_
    cdid: String _x000D_
    ocrrequestid: String _x000D_
    date: String _x000D_
    father name: String _x000D_
    gender: String _x000D_
    name: String _x000D_
    votherid: String _x000D_
    address: String _x000D_
    pin: String _x000D_
     type: String _x000D_
    city: String _x000D_
    district: String _x000D_
    locality: String _x000D_
    house number: String _x000D_
    line1: String _x000D_
    line2: String _x000D_
    state: String _x000D_
    landmark: String _x000D_
    street: String _x000D_
 _x000D_
_x000D_
type Test  model  _x000D_
    id: ID _x000D_
    cdid: String _x000D_
    createdAt: AWSDateTime _x000D_
 _x000D_
_x000D_
   _x000D_
_x000D_
  details _x000D_
_x000D_
_x000D_
    Additional information and screenshots_x000D_
_x000D_
 No response </t>
  </si>
  <si>
    <t>PojavLauncherTeam-PojavLauncher-1784</t>
  </si>
  <si>
    <t xml:space="preserve">[BUG] 1.17 crashes </t>
  </si>
  <si>
    <t xml:space="preserve">    Describe the bug
Soooo I was trying to play Minecraft 1 17 1 on my Google pixel 5 and it s just crashes everytime I try to play 1 17 1
    The log file and images videos
 No response 
    Steps To Reproduce
   markdown
Just start 1 17 1 on Google pixel 5 its not working
    Expected Behavior
That it s starting up not crashing with the error code 1
    Platform
   markdown
  Device model: Google pixel 5 _x000D_
  CPU architecture: Qualcomm  Octa Core (64 Bit)_x000D_
1  CPU: Snapdragon 765G (Cortex A76)  1 x 2 40 GHz_x000D_
2  CPU: Snapdragon 765G (Cortex A76)  3 x 2 20 GHz_x000D_
3  CPU: Snapdragon 765G (Cortex A55)  4 x 1 80 GHz_x000D_
Speicher	8 0 GB RAM_x000D_
128 00 GB Speicher_x000D_
  Android version: 11_x000D_
  PojavLauncher version: version 3 3 1 1 rel 20210321
    Anything else 
 No response </t>
  </si>
  <si>
    <t>PojavLauncherTeam-PojavLauncher-1783</t>
  </si>
  <si>
    <t>[BUG] somebody help me with this</t>
  </si>
  <si>
    <t xml:space="preserve">    Describe the bug
What causes this error  Elf dynamic array reader h (61)  tag not found _x000D_
he takes me out of the game for this if someone can give me a solution to this it would be great
    The log file and images videos
 latestlog txt (https:  github com PojavLauncherTeam PojavLauncher files 6930164 latestlog txt)_x000D_
    Steps To Reproduce
   markdown
1 start 1 710_x000D_
2 I create a world_x000D_
3 0 000001 second later it closes
    Expected Behavior
No crash :)
    Platform
   markdown
  Device model: Lg k 51 s_x000D_
  CPU architecture: 32_x000D_
  Android version: 10_x000D_
  PojavLauncher version: play store
    Anything else 
the version  1 12 2 opens perfect without this error the problem goes from 1 7 10 and older</t>
  </si>
  <si>
    <t>pwittchen-ReactiveNetwork-461</t>
  </si>
  <si>
    <t>java.lang.IllegalArgumentException: Too many NetworkRequests filed in Android Nougat(7.1.1).</t>
  </si>
  <si>
    <t xml:space="preserve">  Describe the bug  _x000D_
Occur crash when I call the function checkInternetConnectivity() _x000D_
This is one time issue _x000D_
_x000D_
  To Reproduce  _x000D_
Steps to reproduce the behavior:_x000D_
1  call below function_x000D_
fun checkInternetConnectivity(context: Context): Observable Boolean   _x000D_
        ReactiveNetwork observeNetworkConnectivity(context)_x000D_
             flatMapSingle   connectivity   _x000D_
                 Suppress( DEPRECATION )_x000D_
                if (connectivity state()     NetworkInfo State CONNECTED)  _x000D_
                    return flatMapSingle ReactiveNetwork checkInternetConnectivity()_x000D_
                 _x000D_
                Single fromCallable   false  _x000D_
             _x000D_
             take(1)_x000D_
             subscribeOn(Schedulers io())_x000D_
             observeOn(AndroidSchedulers mainThread())_x000D_
_x000D_
2  Log cat error _x000D_
_x000D_
08 04 14:00:20 685  5771  5771 E MessageQueue JNI: java lang IllegalArgumentException: Too many NetworkRequests filed_x000D_
08 04 14:00:20 685  5771  5771 E MessageQueue JNI: 	at android os Parcel readException(Parcel java:1688)_x000D_
08 04 14:00:20 685  5771  5771 E MessageQueue JNI: 	at android os Parcel readException(Parcel java:1637)_x000D_
08 04 14:00:20 685  5771  5771 E MessageQueue JNI: 	at android net IConnectivityManager Stub Proxy listenForNetwork(IConnectivityManager java:2400)_x000D_
08 04 14:00:20 685  5771  5771 E MessageQueue JNI: 	at android net ConnectivityManager sendRequestForNetwork(ConnectivityManager java:2856)_x000D_
08 04 14:00:20 685  5771  5771 E MessageQueue JNI: 	at android net ConnectivityManager registerNetworkCallback(ConnectivityManager java:3075)_x000D_
08 04 14:00:20 685  5771  5771 E MessageQueue JNI: 	at com github pwittchen reactivenetwork library rx2 network observing strategy MarshmallowNetworkObservingStrategy observeNetworkConnectivity(MarshmallowNetworkObservingStrategy java:80)_x000D_
08 04 14:00:20 685  5771  5771 E MessageQueue JNI: 	at com github pwittchen reactivenetwork library rx2 ReactiveNetwork observeNetworkConnectivity(ReactiveNetwork java:92)_x000D_
08 04 14:00:20 685  5771  5771 E MessageQueue JNI: 	at com github pwittchen reactivenetwork library rx2 ReactiveNetwork observeNetworkConnectivity(ReactiveNetwork java:73)_x000D_
08 04 14:00:20 685  5771  5771 E MessageQueue JNI: 	at com kakao i sdk agent util CommonUtils checkInternetConnectivity(CommonUtils kt:1)_x000D_
08 04 14:00:20 685  5771  5771 E MessageQueue JNI: 	at com kakao i sdk agent AgentService checkInternetAndAction(AgentService kt:1)_x000D_
08 04 14:00:20 685  5771  5771 E MessageQueue JNI: 	at com kakao i sdk agent AgentService checkInternetAndAction default(AgentService kt:1)_x000D_
08 04 14:00:20 685  5771  5771 E MessageQueue JNI: 	at com kakao i sdk agent AgentService requestRecognition(AgentService kt:2)_x000D_
08 04 14:00:20 685  5771  5771 E MessageQueue JNI: 	at com kakao i sdk agent AgentService access requestRecognition(AgentService kt:1)_x000D_
08 04 14:00:20 685  5771  5771 E MessageQueue JNI: 	at com kakao i sdk agent AgentService f a(AgentService kt:2)_x000D_
08 04 14:00:20 685  5771  5771 E MessageQueue JNI: 	at com kakao i sdk agent AgentService f invoke(AgentService kt:1)_x000D_
08 04 14:00:20 685  5771  5771 E MessageQueue JNI: 	at com kakao i sdk agent floating a a a(FloatingAgentViewManager kt:2)_x000D_
08 04 14:00:20 685  5771  5771 E MessageQueue JNI: 	at com kakao i sdk agent floating FloatingAgentView b onSingleTapUp(FloatingAgentView kt:1)_x000D_
08 04 14:00:20 685  5771  5771 E MessageQueue JNI: 	at android view GestureDetector onTouchEvent(GestureDetector java:635)_x000D_
08 04 14:00:20 685  5771  5771 E MessageQueue JNI: 	at com kakao i sdk agent floating FloatingAgentView onTouch(FloatingAgentView kt:1)_x000D_
08 04 14:00:20 685  5771  5771 E MessageQueue JNI: 	at android view View dispatchTouchEvent(View java:10019)_x000D_
08 04 14:00:20 685  5771  5771 E MessageQueue JNI: 	at android view ViewGroup dispatchTransformedTouchEvent(ViewGroup java:2626)_x000D_
08 04 14:00:20 685  5771  5771 E MessageQueue JNI: 	at android view ViewGroup dispatchTouchEvent(ViewGroup java:2307)_x000D_
08 04 14:00:20 685  5771  5771 E MessageQueue JNI: 	at android view View dispatchPointerEvent(View java:10243)_x000D_
08 04 14:00:20 685  5771  5771 E MessageQueue JNI: 	at android view ViewRootImpl ViewPostImeInputStage processPointerEvent(ViewRootImpl java:4438)_x000D_
08 04 14:00:20 685  5771  5771 E MessageQueue JNI: 	at android view ViewRootImpl ViewPostImeInputStage onProcess(ViewRootImpl java:4306)_x000D_
08 04 14:00:20 685  5771  5771 E MessageQueue JNI: 	at android view ViewRootImpl InputStage deliver(ViewRootImpl java:3853)_x000D_
08 04 14:00:20 685  5771  5771 E MessageQueue JNI: 	at android view ViewRootImpl InputStage onDeliverToNext(ViewRootImpl java:3906)_x000D_
08 04 14:00:20 685  5771  5771 E MessageQueue JNI: 	at android view ViewRootImpl InputStage forward(ViewRootImpl java:3872)_x000D_
08 04 14:00:20 685  5771  5771 E MessageQueue JNI: 	at android view ViewRootImpl AsyncInputStage forward(ViewRootImpl java:3999)_x000D_
08 04 14:00:20 685  5771  5771 E MessageQueue JNI: 	at android view ViewRootImpl InputStage apply(ViewRootImpl java:3880)_x000D_
08 04 14:00:20 685  5771  5771 E MessageQueue JNI: 	at android view ViewRootImpl AsyncInputStage apply(ViewRootImpl java:4056)_x000D_
08 04 14:00:20 685  5771  5771 E MessageQueue JNI: 	at android view ViewRootImpl InputStage deliver(ViewRootImpl java:3853)_x000D_
08 04 14:00:20 685  5771  5771 E MessageQueue JNI: 	at android view ViewRootImpl InputStage onDeliverToNext(ViewRootImpl java:3906)_x000D_
08 04 14:00:20 685  5771  5771 E MessageQueue JNI: 	at android view ViewRootImpl InputStage forward(ViewRootImpl java:3872)_x000D_
08 04 14:00:20 685  5771  5771 E MessageQueue JNI: 	at android view ViewRootImpl InputStage apply(ViewRootImpl java:3880)_x000D_
08 04 14:00:20 685  5771  5771 E MessageQueue JNI: 	at android view ViewRootImpl InputStage deliver(ViewRootImpl java:3853)_x000D_
08 04 14:00:20 685  5771  5771 E MessageQueue JNI: 	at android view ViewRootImpl deliverInputEvent(ViewRootImpl java:6246)_x000D_
08 04 14:00:20 685  5771  5771 E MessageQueue JNI: 	at android view ViewRootImpl doProcessInputEvents(ViewRootImpl java:6220)_x000D_
08 04 14:00:20 685  5771  5771 E MessageQueue JNI: 	at android view ViewRootImpl enqueueInputEvent(ViewRootImpl java:6181)_x000D_
08 04 14:00:20 685  5771  5771 E MessageQueue JNI: 	at android view ViewRootImpl WindowInputEventReceiver onInputEvent(ViewRootImpl java:6349)_x000D_
08 04 14:00:20 685  5771  5771 E MessageQueue JNI: 	at android view InputEventReceiver dispatchInputEvent(InputEventReceiver java:185)_x000D_
08 04 14:00:20 685  5771  5771 E MessageQueue JNI: 	at android os MessageQueue nativePollOnce(Native Method)_x000D_
08 04 14:00:20 685  5771  5771 E MessageQueue JNI: 	at android os MessageQueue next(MessageQueue java:323)_x000D_
08 04 14:00:20 685  5771  5771 E MessageQueue JNI: 	at android os Looper loop(Looper java:136)_x000D_
08 04 14:00:20 685  5771  5771 E MessageQueue JNI: 	at android app ActivityThread main(ActivityThread java:6119)_x000D_
08 04 14:00:20 685  5771  5771 E MessageQueue JNI: 	at java lang reflect Method invoke(Native Method)_x000D_
08 04 14:00:20 685  5771  5771 E MessageQueue JNI: 	at com android internal os ZygoteInit MethodAndArgsCaller run(ZygoteInit java:982)_x000D_
08 04 14:00:20 685  5771  5771 E MessageQueue JNI: 	at com android internal os ZygoteInit main(ZygoteInit java:872)_x000D_
08 04 14:00:20 691  5771  5771 D AndroidRuntime: Shutting down VM_x000D_
          beginning of crash_x000D_
_x000D_
  Smartphone (please complete the following information):  _x000D_
   Device: tablet _x000D_
   OS: Android 7 1 1_x000D_
   Library Version: 3 0 8_x000D_
_x000D_
  Additional context  _x000D_
I think this issue because of only nougat OS like below _x000D_
https:  stackoverflow com questions 41957895 android nougat too many networkrequests filed_x000D_
_x000D_
But I want to protect the crash _x000D_
So could you please catch this exception in library _x000D_
_x000D_
Thanks _x000D_
</t>
  </si>
  <si>
    <t>nextcloud-android-8804</t>
  </si>
  <si>
    <t>Android client crashes on startup after reinstalling server</t>
  </si>
  <si>
    <t xml:space="preserve">My home server died and took down my Nextcloud instance with it  I reinstalled a fresh instance of Nexcloud on a new server  I manually restored my user account with the same username   password as it had previously  The eNxcloud Android client now crashes on startup  This did not happen with the old server _x000D_
_x000D_
Workaround was to delete the app and reinstall  Deleting all app data did not resolve the issue _x000D_
_x000D_
    Expected behaviour_x000D_
  Should not crash_x000D_
_x000D_
    Actual behaviour_x000D_
  Crashes on startup_x000D_
_x000D_
    Environment data_x000D_
Android version:_x000D_
11_x000D_
_x000D_
Device model: _x000D_
Pixel 4a_x000D_
_x000D_
Stock or customized system:_x000D_
Stock_x000D_
_x000D_
Nextcloud app version:_x000D_
ID: com nextcloud client_x000D_
Version: 30160190_x000D_
Build flavor: gplay_x000D_
_x000D_
Nextcloud server version:_x000D_
Nextcloud 22 0 0 (Stable)_x000D_
_x000D_
Reverse proxy:_x000D_
No_x000D_
_x000D_
    Logs_x000D_
_x000D_
   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java:923)_x000D_
_x000D_
             APP INFORMATION             _x000D_
ID: com nextcloud client_x000D_
Version: 30160190_x000D_
Build flavor: gplay_x000D_
_x000D_
             DEVICE INFORMATION             _x000D_
Brand: google_x000D_
Device: sunfish_x000D_
Model: Pixel 4a_x000D_
Product: sunfish_x000D_
_x000D_
             FIRMWARE             _x000D_
SDK: 30_x000D_
Release: 11_x000D_
Incremental: 7380771_x000D_
   _x000D_
     Web server error log_x000D_
This web server error might be associated with the app crash  It appears to happen at around the same time _x000D_
   _x000D_
TypeError: Argument 3 passed to OCA Files Service TagService::  construct() must be an instance of OCP ITags  null given  called in  var www nextcloud apps files lib AppInfo Application php on line 106_x000D_
_x000D_
    1   var www nextcloud apps files lib AppInfo Application php   line 106:_x000D_
    OCA Files Service TagService    construct(OC User Session     OC Activity Manager     null  null  OC EventDisp       )_x000D_
_x000D_
    2   var www nextcloud lib private AppFramework Utility SimpleContainer php   line 160:_x000D_
    OCA Files AppInfo Application  OCA Files AppInfo  closure (     sensiti       )_x000D_
_x000D_
    3   var www nextcloud 3rdparty pimple pimple src Pimple Container php   line 118:_x000D_
    OC AppFramework Utility SimpleContainer  OC AppFramework Utility  closure (     sensiti       )_x000D_
_x000D_
    4   var www nextcloud lib private AppFramework Utility SimpleContainer php   line 127:_x000D_
    Pimple Container  offsetGet( OCA  Files      e )_x000D_
_x000D_
    5   var www nextcloud lib private AppFramework DependencyInjection DIContainer php   line 454:_x000D_
    OC AppFramework Utility SimpleContainer  query( OCA  Files      e )_x000D_
_x000D_
    6   var www nextcloud lib private AppFramework DependencyInjection DIContainer php   line 432:_x000D_
    OC AppFramework DependencyInjection DIContainer  queryNoFallback( OCA  Files      e )_x000D_
_x000D_
    7   var www nextcloud lib private AppFramework Utility SimpleContainer php   line 56:_x000D_
    OC AppFramework DependencyInjection DIContainer  query( OCA  Files      e )_x000D_
_x000D_
    8   var www nextcloud apps files lib AppInfo Application php   line 86:_x000D_
    OC AppFramework Utility SimpleContainer  get( OCA  Files      e )_x000D_
_x000D_
    9   var www nextcloud lib private AppFramework Utility SimpleContainer php   line 160:_x000D_
    OCA Files AppInfo Application  OCA Files AppInfo  closure (     sensiti       )_x000D_
_x000D_
    10   var www nextcloud 3rdparty pimple pimple src Pimple Container php   line 118:_x000D_
    OC AppFramework Utility SimpleContainer  OC AppFramework Utility  closure (     sensiti       )_x000D_
_x000D_
    11   var www nextcloud lib private AppFramework Utility SimpleContainer php   line 127:_x000D_
    Pimple Container  offsetGet( APIController )_x000D_
_x000D_
    12   var www nextcloud lib private AppFramework DependencyInjection DIContainer php   line 454:_x000D_
    OC AppFramework Utility SimpleContainer  query( APIController )_x000D_
_x000D_
    13   var www nextcloud lib private AppFramework DependencyInjection DIContainer php   line 432:_x000D_
    OC AppFramework DependencyInjection DIContainer  queryNoFallback( APIController )_x000D_
_x000D_
    14   var www nextcloud lib private AppFramework App php   line 129:_x000D_
    OC AppFramework DependencyInjection DIContainer  query( APIController )_x000D_
_x000D_
    15   var www nextcloud lib private Route Router php   line 301:_x000D_
      OC AppFramework App::main( APIController    getThumbnail        sensiti           x:  256  y       )_x000D_
_x000D_
    16   var www nextcloud lib base php   line 1000:_x000D_
    OC Route Router  match(  apps files     d )_x000D_
_x000D_
    17   var www nextcloud index php   line 36: _x000D_
    OC::handleRequest()_x000D_
   </t>
  </si>
  <si>
    <t>material-components-material-components-android-2324</t>
  </si>
  <si>
    <t>[CircularProgressIndicator] Crash in CircularProgressIndicator</t>
  </si>
  <si>
    <t xml:space="preserve">I am getting crash report from firebase_x000D_
_x000D_
Fatal Exception: java lang NullPointerException: Attempt to invoke virtual method  void e z a a b a(android graphics drawable Drawable)  on a null object reference_x000D_
       at com google android material progressindicator CircularIndeterminateAnimatorDelegate 2 onAnimationEnd(CircularIndeterminateAnimatorDelegate java:112)_x000D_
       at android animation Animator AnimatorListener onAnimationEnd(Animator java:554)_x000D_
       at android animation ValueAnimator endAnimation(ValueAnimator java:1242)_x000D_
       at android animation ValueAnimator doAnimationFrame(ValueAnimator java:1484)_x000D_
       at android animation AnimationHandler doAnimationFrame(AnimationHandler java:146)_x000D_
       at android animation AnimationHandler access 100(AnimationHandler java:37)_x000D_
       at android animation AnimationHandler 1 doFrame(AnimationHandler java:54)_x000D_
       at android view Choreographer CallbackRecord run(Choreographer java:994)_x000D_
       at android view Choreographer doCallbacks(Choreographer java:794)_x000D_
       at android view Choreographer doFrame(Choreographer java:725)_x000D_
       at android view Choreographer FrameDisplayEventReceiver run(Choreographer java:981)_x000D_
       at android os Handler handleCallback(Handler java:883)_x000D_
       at android os Handler dispatchMessage(Handler java:100)_x000D_
       at android os Looper loop(Looper java:237)_x000D_
       at android app ActivityThread main(ActivityThread java:7811)_x000D_
       at java lang reflect Method invoke(Method java)_x000D_
       at com android internal os RuntimeInit MethodAndArgsCaller run(RuntimeInit java:493)_x000D_
       at com android internal os ZygoteInit main(ZygoteInit java:1068)_x000D_
_x000D_
_x000D_
_x000D_
This crash on android 10 and 11 mostly _x000D_
_x000D_
material library version    1 4 0 _x000D_
_x000D_
  Devices:   Galaxy A30  Galaxy J4  Galaxy A20s  Galaxy A01  Galaxy A20  Galaxy A51  Galaxy A41  Moto G (3rd Gen)  moto e(7)  Redmi 9 Power_x000D_
_x000D_
</t>
  </si>
  <si>
    <t>deltachat-deltachat-android-2012</t>
  </si>
  <si>
    <t>Crash when going back to the chat list</t>
  </si>
  <si>
    <t xml:space="preserve">app crashed when going back from a chat to the chatlist  the issue seems to be that the  Context  is still not attached to the  ConversationListFragment  when a core event is received and  loadChatlistAsync()  is called to refresh the chatlist but  getContext()    null  at that time so  DcHelper getContext(getContext())  crashes _x000D_
_x000D_
  Android version: 10_x000D_
  Delta Chat version: 1 21 1_x000D_
  Logs:_x000D_
_x000D_
   _x000D_
08 03 22:51:39 206 23396  2053 E AndroidRuntime: FATAL EXCEPTION: AsyncTask  452_x000D_
08 03 22:51:39 206 23396  2053 E AndroidRuntime: Process: chat delta lite  PID: 23396                                   _x000D_
08 03 22:51:39 206 23396  2053 E AndroidRuntime: java lang NullPointerException: Attempt to invoke virtual method  android content Context android content Context getApplicationContext()  on a null object reference_x000D_
08 03 22:51:39 206 23396  2053 E AndroidRuntime:        at org thoughtcrime securesms ApplicationContext getInstance(ApplicationContext java:55)_x000D_
08 03 22:51:39 206 23396  2053 E AndroidRuntime:        at org thoughtcrime securesms connect DcHelper getContext(DcHelper java:69)_x000D_
08 03 22:51:39 206 23396  2053 E AndroidRuntime:        at org thoughtcrime securesms ConversationListFragment loadChatlist(ConversationListFragment java:421)_x000D_
08 03 22:51:39 206 23396  2053 E AndroidRuntime:        at org thoughtcrime securesms ConversationListFragment lambda loadChatlistAsync 6 ConversationListFragment(ConversationListFragment java:406)_x000D_
08 03 22:51:39 206 23396  2053 E AndroidRuntime:        at org thoughtcrime securesms    Lambda ConversationListFragment t6HxOnEoXxjLwcV3sjj9jH2G0ok run(Unknown Source:2)_x000D_
08 03 22:51:39 206 23396  2053 E AndroidRuntime:        at java util concurrent ThreadPoolExecutor runWorker(ThreadPoolExecutor java:1167)_x000D_
08 03 22:51:39 206 23396  2053 E AndroidRuntime:        at java util concurrent ThreadPoolExecutor Worker run(ThreadPoolExecutor java:641)_x000D_
08 03 22:51:39 206 23396  2053 E AndroidRuntime:        at java lang Thread run(Thread java:919)_x000D_
   </t>
  </si>
  <si>
    <t>Anuken-Mindustry-5693</t>
  </si>
  <si>
    <t>Rebound zoom controls does not work in editor.</t>
  </si>
  <si>
    <t xml:space="preserve">  Platform  :  Android iOS Mac Windows Linux _x000D_
Linux_x000D_
_x000D_
  Build  :  The build number under the title in the main menu  Required   LATEST  IS NOT A VERSION  I NEED THE EXACT BUILD NUMBER OF YOUR GAME  _x000D_
129 1 Steam_x000D_
_x000D_
  Issue  :  Explain your issue in detail  _x000D_
If you rebind the zoom action  you can use it just fine in game  but not in the editor _x000D_
_x000D_
  Steps to reproduce  :  How you happened across the issue  and what exactly you did to make the bug happen  _x000D_
Rebind zoom to anything other than default_x000D_
Go to level editor  attempt to zoom in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</si>
  <si>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openid-AppAuth-Android-726</t>
  </si>
  <si>
    <t>checkArgument crashing, if ui_locales has been set manually with earlier versions of AppAuth.</t>
  </si>
  <si>
    <t xml:space="preserve">     Thank your for your input  Before you submit your issue  please make sure you followed our checklist and check the appropriate boxes by putting an x in the    :  x     _x000D_
_x000D_
    Checklist:_x000D_
_x000D_
   x  I am using the latest release_x000D_
   x  I searched for  existing GitHub issues (https:  github com openid AppAuth Android issues)_x000D_
   x  I read the  documentation (https:  github com openid AppAuth Android blob master README md)_x000D_
   x  I verified the client configuration matches the information in the identity provider (or I am using dynamic client registration)_x000D_
   x  I am either using a custom URI scheme or  https  with (App Links) https:  developer android com training app links  for client redirect _x000D_
   x  I can reproduce the issue in the demo app (optional)_x000D_
_x000D_
    Configuration_x000D_
  Version: 0 9 1_x000D_
  Integration: native Kotlin_x000D_
  Identity provider: Both KeyCloak and ID4_x000D_
_x000D_
    Issue Description_x000D_
     Please include what s happening  expected behavior  and any relevant code samples    _x000D_
_x000D_
Having set  ui locales  in earlier versions manually   _x000D_
After updating from 0 8 1 to 0 9 1 the app is crashing  due to the previous ui locales parameter being saved in AuthState  _x000D_
_x000D_
Crashing with the following message  Parameter ui locales is directly supported via the authorization request builder  use the builder method instead  _x000D_
_x000D_
Stacktrace:_x000D_
   _x000D_
Caused by java lang IllegalArgumentException: Parameter ui locales is directly supported via the authorization request builder  use the builder method instead_x000D_
       at net openid appauth Preconditions checkArgument(Preconditions java:132)_x000D_
       at net openid appauth AdditionalParamsProcessor checkAdditionalParams(AdditionalParamsProcessor java:62)_x000D_
       at net openid appauth AuthorizationRequest Builder setAdditionalParameters(AuthorizationRequest java:957)_x000D_
       at net openid appauth AuthorizationRequest jsonDeserialize(AuthorizationRequest java:1161)_x000D_
       at net openid appauth AuthorizationResponse jsonDeserialize(AuthorizationResponse java:514)_x000D_
       at net openid appauth AuthState jsonDeserialize(AuthState java:701)_x000D_
       at net openid appauth AuthState jsonDeserialize(AuthState java:726)_x000D_
   _x000D_
_x000D_
Will return to 0 8 1 for now </t>
  </si>
  <si>
    <t>googleads-googleads-mobile-flutter-329</t>
  </si>
  <si>
    <t>Android app crashes when opening from a push notification</t>
  </si>
  <si>
    <t xml:space="preserve">     Thank you for using Google Mobile Ads for Flutter _x000D_
_x000D_
     If you have found a bug or if our documentation doesn t have an answer_x000D_
     to what you re looking for  then fill out the template below  Please read_x000D_
     the Flutter s team guide to filing a bug first: https:  flutter dev docs resources bug reports_x000D_
   _x000D_
_x000D_
   Plugin Version_x000D_
_x000D_
     Please tell us the version of the plugin used in your app     _x000D_
0 13 2 1_x000D_
_x000D_
   Steps to Reproduce_x000D_
_x000D_
     You must include full steps to reproduce so that we can reproduce the problem     _x000D_
_x000D_
1  Open the bundled example app source for   MainActivity java  (https:  github com googleads googleads mobile flutter blob master packages google mobile ads example android app src main java io flutter plugins googlemobileadsexample MainActivity java)_x000D_
2  Replace with this code that creates a push notification:_x000D_
_x000D_
 details  _x000D_
 summary code snippet  summary  _x000D_
_x000D_
   java_x000D_
   Copyright 2021 Google LLC_x000D_
  _x000D_
   Licensed under the Apache License  Version 2 0 (the  License ) _x000D_
   you may not use this file except in compliance with the License _x000D_
   You may obtain a copy of the License at_x000D_
  _x000D_
   https:  www apache org licenses LICENSE 2 0_x000D_
  _x000D_
   Unless required by applicable law or agreed to in writing  software_x000D_
   distributed under the License is distributed on an  AS IS  BASIS _x000D_
   WITHOUT WARRANTIES OR CONDITIONS OF ANY KIND  either express or implied _x000D_
   See the License for the specific language governing permissions and_x000D_
   limitations under the License _x000D_
_x000D_
package io flutter plugins googlemobileadsexample _x000D_
_x000D_
import android app Notification _x000D_
import android app NotificationChannel _x000D_
import android app NotificationManager _x000D_
import android app PendingIntent _x000D_
import android content Context _x000D_
import android content Intent _x000D_
import android os Build _x000D_
import android os Bundle _x000D_
import android os PersistableBundle _x000D_
_x000D_
import androidx annotation Nullable _x000D_
import androidx core app NotificationCompat _x000D_
_x000D_
import io flutter embedding android FlutterActivity _x000D_
import io flutter embedding engine FlutterEngine _x000D_
import io flutter plugins googlemobileads GoogleMobileAdsPlugin _x000D_
import io flutter plugins googlemobileads GoogleMobileAdsPlugin NativeAdFactory _x000D_
_x000D_
public class MainActivity extends FlutterActivity  _x000D_
   Override_x000D_
  public void configureFlutterEngine(FlutterEngine flutterEngine)  _x000D_
    super configureFlutterEngine(flutterEngine) _x000D_
    final NativeAdFactory factory   new NativeAdFactoryExample(getLayoutInflater()) _x000D_
    GoogleMobileAdsPlugin registerNativeAdFactory(flutterEngine   adFactoryExample   factory) _x000D_
   _x000D_
_x000D_
   Override_x000D_
  public void cleanUpFlutterEngine(FlutterEngine flutterEngine)  _x000D_
    GoogleMobileAdsPlugin unregisterNativeAdFactory(flutterEngine   adFactoryExample ) _x000D_
   _x000D_
_x000D_
   Override_x000D_
  protected void onCreate( Nullable Bundle savedInstanceState)  _x000D_
    super onCreate(savedInstanceState) _x000D_
_x000D_
    NotificationManager notificationManager   (NotificationManager)getSystemService(Context NOTIFICATION SERVICE) _x000D_
    String notificationChannelId   getPackageName()     NOTIFICATION  _x000D_
_x000D_
    if (Build VERSION SDK INT    Build VERSION CODES O)  _x000D_
      if (notificationManager getNotificationChannel(notificationChannelId)    null)  _x000D_
        NotificationChannel notificationChannel   new NotificationChannel(notificationChannelId   Name   NotificationManager IMPORTANCE DEFAULT) _x000D_
        notificationManager createNotificationChannel(notificationChannel) _x000D_
       _x000D_
     _x000D_
_x000D_
    Intent intent   new Intent(this  MainActivity class) _x000D_
_x000D_
    PendingIntent pendingIntent   PendingIntent getActivity(_x000D_
            getApplicationContext() _x000D_
            0 _x000D_
            intent _x000D_
            PendingIntent FLAG UPDATE CURRENT_x000D_
    ) _x000D_
_x000D_
    Notification notification   new NotificationCompat Builder(this  notificationChannelId)_x000D_
             setContentTitle( title )_x000D_
             setContentText( content text )_x000D_
             setSmallIcon(android R drawable sym def app icon)_x000D_
             setContentIntent(pendingIntent)_x000D_
             build() _x000D_
_x000D_
    notificationManager notify(1  notification) _x000D_
   _x000D_
 _x000D_
   _x000D_
_x000D_
  details _x000D_
_x000D_
3   flutter pub get  and run the app_x000D_
4  after the app is open  background it_x000D_
5  tap the generated notification_x000D_
_x000D_
  Expected results:        what did you want to see     _x000D_
The app opens and doesn t crash_x000D_
_x000D_
  Actual results:        what did you see     _x000D_
The app opens and crashes_x000D_
_x000D_
 details _x000D_
   summary Logs  summary _x000D_
_x000D_
    _x000D_
      Run your application with  flutter run   verbose  and attach all the_x000D_
      log output below between the lines with the backticks  If there is an_x000D_
      exception  please see if the error message includes enough information_x000D_
      to explain how to solve the issue _x000D_
   _x000D_
_x000D_
   _x000D_
    89 ms  executing: sysctl hw optional arm64_x000D_
    18 ms  Exit code 1 from: sysctl hw optional arm64_x000D_
           sysctl: unknown oid  hw optional arm64 _x000D_
     7 ms  executing:   Users westy92 Source flutter   git  c log showSignature false log  n 1   pretty format: H_x000D_
    15 ms  Exit code 0 from: git  c log showSignature false log  n 1   pretty format: H_x000D_
           f4abaa0735eba4dfd8f33f73363911d63931fe03_x000D_
           executing:   Users westy92 Source flutter   git tag   points at f4abaa0735eba4dfd8f33f73363911d63931fe03_x000D_
    88 ms  Exit code 0 from: git tag   points at f4abaa0735eba4dfd8f33f73363911d63931fe03_x000D_
           2 2 3_x000D_
     5 ms  executing:   Users westy92 Source flutter   git rev parse   abbrev ref   symbolic   u _x000D_
     6 ms  Exit code 0 from: git rev parse   abbrev ref   symbolic   u _x000D_
           origin stable_x000D_
           executing:   Users westy92 Source flutter   git ls remote   get url origin_x000D_
     5 ms  Exit code 0 from: git ls remote   get url origin_x000D_
           https:  github com flutter flutter git_x000D_
    92 ms  executing:   Users westy92 Source flutter   git rev parse   abbrev ref HEAD_x000D_
     6 ms  Exit code 0 from: git rev parse   abbrev ref HEAD_x000D_
           stable_x000D_
     6 ms  executing: sw vers  productName_x000D_
    14 ms  Exit code 0 from: sw vers  productName_x000D_
           macOS_x000D_
           executing: sw vers  productVersion_x000D_
    13 ms  Exit code 0 from: sw vers  productVersion_x000D_
           11 5 1_x000D_
           executing: sw vers  buildVersion_x000D_
    11 ms  Exit code 0 from: sw vers  buildVersion_x000D_
           20G80_x000D_
    57 ms  Artifact Instance of  AndroidGenSnapshotArtifacts  is not required  skipping update _x000D_
           Artifact Instance of  AndroidInternalBuildArtifacts  is not required  skipping update _x000D_
           Artifact Instance of  IOSEngineArtifacts  is not required  skipping update _x000D_
           Artifact Instance of  FlutterWebSdk  is not required  skipping update _x000D_
     2 ms  Artifact Instance of  WindowsEngineArtifacts  is not required  skipping update _x000D_
           Artifact Instance of  MacOSEngineArtifacts  is not required  skipping update _x000D_
           Artifact Instance of  LinuxEngineArtifacts  is not required  skipping update _x000D_
           Artifact Instance of  LinuxFuchsiaSDKArtifacts  is not required  skipping update _x000D_
           Artifact Instance of  MacOSFuchsiaSDKArtifacts  is not required  skipping update _x000D_
           Artifact Instance of  FlutterRunnerSDKArtifacts  is not required  skipping update _x000D_
           Artifact Instance of  FlutterRunnerDebugSymbols  is not required  skipping update _x000D_
    42 ms  executing:  Users westy92 Library Android sdk platform tools adb devices  l_x000D_
    11 ms  executing: sysctl hw optional arm64_x000D_
     3 ms  Exit code 1 from: sysctl hw optional arm64_x000D_
           sysctl: unknown oid  hw optional arm64 _x000D_
           executing: xcrun xcodebuild  version_x000D_
   610 ms  Exit code 0 from: xcrun xcodebuild  version_x000D_
     1 ms  Xcode 12 5 1_x000D_
           Build version 12E507_x000D_
     3 ms  executing: xcrun xcdevice list   timeout 2_x000D_
     3 ms  xcrun simctl list   json devices_x000D_
           executing: xcrun simctl list   json devices_x000D_
    41 ms  List of devices attached_x000D_
           FA69H0305733           device usb:338690048X product:sailfish model:Pixel device:sailfish transport id:3_x000D_
     4 ms   Users westy92 Library Android sdk platform tools adb  s FA69H0305733 shell getprop_x000D_
   189 ms  Artifact Instance of  AndroidInternalBuildArtifacts  is not required  skipping update _x000D_
           Artifact Instance of  IOSEngineArtifacts  is not required  skipping update _x000D_
     1 ms  Artifact Instance of  WindowsEngineArtifacts  is not required  skipping update _x000D_
           Artifact Instance of  MacOSEngineArtifacts  is not required  skipping update _x000D_
           Artifact Instance of  LinuxEngineArtifacts  is not required  skipping update _x000D_
           Artifact Instance of  LinuxFuchsiaSDKArtifacts  is not required  skipping update _x000D_
           Artifact Instance of  MacOSFuchsiaSDKArtifacts  is not required  skipping update _x000D_
           Artifact Instance of  FlutterRunnerSDKArtifacts  is not required  skipping update _x000D_
           Artifact Instance of  FlutterRunnerDebugSymbols  is not required  skipping update _x000D_
    62 ms  Skipping pub get: version match _x000D_
    43 ms  Found plugin google mobile ads at  Users westy92 Source googleads mobile flutter packages google mobile ads _x000D_
    94 ms  Found plugin google mobile ads at  Users westy92 Source googleads mobile flutter packages google mobile ads _x000D_
     6 ms  Generating  Users westy92 Source googleads mobile flutter packages google mobile ads example android app src main java io flutter plugins GeneratedPluginRegistrant java_x000D_
    51 ms  ro hardware   sailfish_x000D_
           ro build characteristics   nosdcard_x000D_
    37 ms  Initializing file store_x000D_
    10 ms  Skipping target: gen localizations_x000D_
     4 ms  complete_x000D_
     4 ms  Launching lib main dart on Pixel in debug mode   _x000D_
     4 ms   Users westy92 Source flutter bin cache dart sdk bin dart   disable dart dev  Users westy92 Source flutter bin cache artifacts engine darwin x64 frontend server dart snapshot   sdk root  Users westy92 Source flutter bin cache artifacts engine common flutter patched sdk    incremental   target flutter   debugger module names   experimental emit debug metadata  DFLUTTER WEB AUTO DETECT true   output dill  var folders ck yqz3lbc143bbwbpdryw 2yn00000gn T flutter tools j1Dufy flutter tool 8XTCam app dill   packages  Users westy92 Source googleads mobile flutter packages google mobile ads example  dart tool package config json  Ddart vm profile false  Ddart vm product false   enable asserts   track widget creation   filesystem scheme org dartlang root   initialize from dill build 3c113a45063dc6628e68a4111abcacad cache dill track dill   enable experiment alternative invalidation strategy_x000D_
     7 ms  executing:  Users westy92 Library Android sdk build tools 29 0 2 aapt dump xmltree  Users westy92 Source googleads mobile flutter packages google mobile ads example build app outputs flutter apk app apk AndroidManifest xml_x000D_
     8 ms  Exit code 0 from:  Users westy92 Library Android sdk build tools 29 0 2 aapt dump xmltree  Users westy92 Source googleads mobile flutter packages google mobile ads example build app outputs flutter apk app apk AndroidManifest xml_x000D_
           N: android http:  schemas android com apk res android_x000D_
             E: manifest (line 2)_x000D_
               A: android:versionCode(0x0101021b) (type 0x10)0x1_x000D_
               A: android:versionName(0x0101021c)  1 0  (Raw:  1 0 )_x000D_
               A: android:compileSdkVersion(0x01010572) (type 0x10)0x1e_x000D_
               A: android:compileSdkVersionCodename(0x01010573)  11  (Raw:  11 )_x000D_
               A: package  io flutter plugins googlemobileadsexample  (Raw:  io flutter plugins googlemobileadsexample )_x000D_
               A: platformBuildVersionCode (type 0x10)0x1e_x000D_
               A: platformBuildVersionName (type 0x10)0xb_x000D_
               E: uses sdk (line 7)_x000D_
                 A: android:minSdkVersion(0x0101020c) (type 0x10)0x15_x000D_
                 A: android:targetSdkVersion(0x01010270) (type 0x10)0x1c_x000D_
               E: uses permission (line 11)_x000D_
                 A: android:name(0x01010003)  android permission INTERNET  (Raw:  android permission INTERNET )_x000D_
               E: uses permission (line 12)_x000D_
                 A: android:name(0x01010003)  android permission ACCESS NETWORK STATE  (Raw:  android permission ACCESS NETWORK STATE )_x000D_
               E: queries (line 13)_x000D_
                 E: intent (line 16)_x000D_
                   E: action (line 17)_x000D_
                     A: android:name(0x01010003)  android intent action VIEW  (Raw:  android intent action VIEW )_x000D_
                   E: category (line 19)_x000D_
                     A: android:name(0x01010003)  android intent category BROWSABLE  (Raw:  android intent category BROWSABLE )_x000D_
                   E: data (line 21)_x000D_
                     A: android:scheme(0x01010027)  https  (Raw:  https )_x000D_
                 E: intent (line 25)_x000D_
                   E: action (line 26)_x000D_
                     A: android:name(0x01010003)  android support customtabs action CustomTabsService  (Raw:  android support customtabs action CustomTabsService )_x000D_
               E: uses permission (line 31)_x000D_
                 A: android:name(0x01010003)  android permission WAKE LOCK  (Raw:  android permission WAKE LOCK )_x000D_
               E: uses permission (line 32)_x000D_
                 A: android:name(0x01010003)  android permission RECEIVE BOOT COMPLETED  (Raw:  android permission RECEIVE BOOT COMPLETED )_x000D_
               E: application (line 34)_x000D_
                 A: android:label(0x01010001)  google mobile ads example  (Raw:  google mobile ads example )_x000D_
                 A: android:icon(0x01010002)  0x7f090000_x000D_
                 A: android:name(0x01010003)  io flutter app FlutterApplication  (Raw:  io flutter app FlutterApplication )_x000D_
                 A: android:debuggable(0x0101000f) (type 0x12)0xffffffff_x000D_
                 A: android:appComponentFactory(0x0101057a)  androidx core app CoreComponentFactory  (Raw:  androidx core app CoreComponentFactory )_x000D_
                 E: meta data (line 40)_x000D_
                   A: android:name(0x01010003)  com google android gms ads APPLICATION ID  (Raw:  com google android gms ads APPLICATION ID )_x000D_
                   A: android:value(0x01010024)  ca app pub 3940256099942544 3347511713  (Raw:  ca app pub 3940256099942544 3347511713 )_x000D_
                 E: activity (line 44)_x000D_
                   A: android:theme(0x01010000)  0x01030009_x000D_
                   A: android:name(0x01010003)  io flutter plugins googlemobileadsexample MainActivity  (Raw:  io flutter plugins googlemobileadsexample MainActivity )_x000D_
                   A: android:configChanges(0x0101001f) (type 0x11)0x400024b4_x000D_
                   A: android:windowSoftInputMode(0x0101022b) (type 0x11)0x10_x000D_
                   A: android:hardwareAccelerated(0x010102d3) (type 0x12)0xffffffff_x000D_
                   E: meta data (line 50)_x000D_
                     A: android:name(0x01010003)  io flutter app android SplashScreenUntilFirstFrame  (Raw:  io flutter app android SplashScreenUntilFirstFrame )_x000D_
                     A: android:value(0x01010024) (type 0x12)0xffffffff_x000D_
                   E: intent filter (line 54)_x000D_
                     E: action (line 55)_x000D_
                       A: android:name(0x01010003)  android intent action MAIN  (Raw:  android intent action MAIN )_x000D_
                     E: category (line 57)_x000D_
                       A: android:name(0x01010003)  android intent category LAUNCHER  (Raw:  android intent category LAUNCHER )_x000D_
                 E: meta data (line 61)_x000D_
                   A: android:name(0x01010003)  flutterEmbedding  (Raw:  flutterEmbedding )_x000D_
                   A: android:value(0x01010024) (type 0x10)0x2_x000D_
                 E: meta data (line 64)_x000D_
                   A: android:name(0x01010003)  io flutter embedded views preview  (Raw:  io flutter embedded views preview )_x000D_
                   A: android:value(0x01010024) (type 0x12)0xffffffff_x000D_
                 E: activity (line 67)_x000D_
                   A: android:theme(0x01010000)  0x0103000f_x000D_
                   A: android:name(0x01010003)  com google android gms ads AdActivity  (Raw:  com google android gms ads AdActivity )_x000D_
                   A: android:exported(0x01010010) (type 0x12)0x0_x000D_
                   A: android:configChanges(0x0101001f) (type 0x11)0xfb0_x000D_
                 E: provider (line 73)_x000D_
                   A: android:name(0x01010003)  com google android gms ads MobileAdsInitProvider  (Raw:  com google android gms ads MobileAdsInitProvider )_x000D_
                   A: android:exported(0x01010010) (type 0x12)0x0_x000D_
                   A: android:authorities(0x01010018)  io flutter plugins googlemobileadsexample mobileadsinitprovider  (Raw:  io flutter plugins googlemobileadsexample mobileadsinitprovider )_x000D_
                   A: android:initOrder(0x0101001a) (type 0x10)0x64_x000D_
                 E: service (line 79)_x000D_
                   A: android:name(0x01010003)  com google android gms ads AdService  (Raw:  com google android gms ads AdService )_x000D_
                   A: android:enabled(0x0101000e) (type 0x12)0xffffffff_x000D_
                   A: android:exported(0x01010010) (type 0x12)0x0_x000D_
                 E: meta data (line 84)_x000D_
                   A: android:name(0x01010003)  com google android gms version  (Raw:  com google android gms version )_x000D_
                   A: android:value(0x01010024)  0x7f070000_x000D_
                 E: provider (line 88)_x000D_
                   A: android:name(0x01010003)  androidx work impl WorkManagerInitializer  (Raw:  androidx work impl WorkManagerInitializer )_x000D_
                   A: android:exported(0x01010010) (type 0x12)0x0_x000D_
                   A: android:multiprocess(0x01010013) (type 0x12)0xffffffff_x000D_
                   A: android:authorities(0x01010018)  io flutter plugins googlemobileadsexample workmanager init  (Raw:  io flutter plugins googlemobileadsexample workmanager init )_x000D_
                   A: android:directBootAware(0x01010505) (type 0x12)0x0_x000D_
                 E: service (line 95)_x000D_
                   A: android:name(0x01010003)  androidx work impl background systemalarm SystemAlarmService  (Raw:  androidx work impl background systemalarm SystemAlarmService )_x000D_
                   A: android:enabled(0x0101000e)  0x7f020000_x000D_
                   A: android:exported(0x01010010) (type 0x12)0x0_x000D_
                   A: android:directBootAware(0x01010505) (type 0x12)0x0_x000D_
                 E: service (line 100)_x000D_
                   A: android:name(0x01010003)  androidx work impl background systemjob SystemJobService  (Raw:  androidx work impl background systemjob SystemJobService )_x000D_
                   A: android:permission(0x01010006)  android permission BIND JOB SERVICE  (Raw:  android permission BIND JOB SERVICE )_x000D_
                   A: android:enabled(0x0101000e)  0x7f020001_x000D_
                   A: android:exported(0x01010010) (type 0x12)0xffffffff_x000D_
                   A: android:directBootAware(0x01010505) (type 0x12)0x0_x000D_
                 E: receiver (line 107)_x000D_
                   A: android:name(0x01010003)  androidx work impl utils ForceStopRunnable BroadcastReceiver  (Raw:  androidx work impl utils ForceStopRunnable BroadcastReceiver )_x000D_
                   A: android:enabled(0x0101000e) (type 0x12)0xffffffff_x000D_
                   A: android:exported(0x01010010) (type 0x12)0x0_x000D_
                   A: android:directBootAware(0x01010505) (type 0x12)0x0_x000D_
                 E: receiver (line 112)_x000D_
                   A: android:name(0x01010003)  androidx work impl background systemalarm ConstraintProxy BatteryChargingProxy  (Raw:  androidx work impl background systemalarm ConstraintProxy BatteryChargingProxy )_x000D_
                   A: android:enabled(0x0101000e) (type 0x12)0x0_x000D_
                   A: android:exported(0x01010010) (type 0x12)0x0_x000D_
                   A: android:directBootAware(0x01010505) (type 0x12)0x0_x000D_
                   E: intent filter (line 117)_x000D_
                     E: action (line 118)_x000D_
                       A: android:name(0x01010003)  android intent action ACTION POWER CONNECTED  (Raw:  android intent action ACTION POWER CONNECTED )_x000D_
                     E: action (line 119)_x000D_
                       A: android:name(0x01010003)  android intent action ACTION POWER DISCONNECTED  (Raw:  android intent action ACTION POWER DISCONNECTED )_x000D_
                 E: receiver (line 122)_x000D_
                   A: android:name(0x01010003)  androidx work impl background systemalarm ConstraintProxy BatteryNotLowProxy  (Raw:  androidx work impl background systemalarm ConstraintProxy BatteryNotLowProxy )_x000D_
                   A: android:enabled(0x0101000e) (type 0x12)0x0_x000D_
                   A: android:exported(0x01010010) (type 0x12)0x0_x000D_
                   A: android:directBootAware(0x01010505) (type 0x12)0x0_x000D_
                   E: intent filter (line 127)_x000D_
                     E: action (line 128)_x000D_
                       A: android:name(0x01010003)  android intent action BATTERY OKAY  (Raw:  android intent action BATTERY OKAY )_x000D_
                     E: action (line 129)_x000D_
                       A: android:name(0x01010003)  android intent action BATTERY LOW  (Raw:  android intent action BATTERY LOW )_x000D_
                 E: receiver (line 132)_x000D_
                   A: android:name(0x01010003)  androidx work impl background systemalarm ConstraintProxy StorageNotLowProxy  (Raw:  androidx work impl background systemalarm ConstraintProxy StorageNotLowProxy )_x000D_
                   A: android:enabled(0x0101000e) (type 0x12)0x0_x000D_
                   A: android:exported(0x01010010) (type 0x12)0x0_x000D_
                   A: android:directBootAware(0x01010505) (type 0x12)0x0_x000D_
                   E: intent filter (line 137)_x000D_
                     E: action (line 138)_x000D_
                       A: android:name(0x01010003)  android intent action DEVICE STORAGE LOW  (Raw:  android intent action DEVICE STORAGE LOW )_x000D_
                     E: action (line 139)_x000D_
                       A: android:name(0x01010003)  android intent action DEVICE STORAGE OK  (Raw:  android intent action DEVICE STORAGE OK )_x000D_
                 E: receiver (line 142)_x000D_
                   A: android:name(0x01010003)  androidx work impl background systemalarm ConstraintProxy NetworkStateProxy  (Raw:  androidx work impl background systemalarm ConstraintProxy NetworkStateProxy )_x000D_
                   A: android:enabled(0x0101000e) (type 0x12)0x0_x000D_
                   A: android:exported(0x01010010) (type 0x12)0x0_x000D_
                   A: android:directBootAware(0x01010505) (type 0x12)0x0_x000D_
                   E: intent filter (line 147)_x000D_
                     E: action (line 148)_x000D_
                       A: android:name(0x01010003)  android net conn CONNECTIVITY CHANGE  (Raw:  android net conn CONNECTIVITY CHANGE )_x000D_
                 E: receiver (line 151)_x000D_
                   A: android:name(0x01010003)  androidx work impl background systemalarm RescheduleReceiver  (Raw:  androidx work impl background systemalarm RescheduleReceiver )_x000D_
                   A: android:enabled(0x0101000e) (type 0x12)0x0_x000D_
                   A: android:exported(0x01010010) (type 0x12)0x0_x000D_
                   A: android:directBootAware(0x01010505) (type 0x12)0x0_x000D_
                   E: intent filter (line 156)_x000D_
                     E: action (line 157)_x000D_
                       A: android:name(0x01010003)  android intent action BOOT COMPLETED  (Raw:  android intent action BOOT COMPLETED )_x000D_
                     E: action (line 158)_x000D_
                       A: android:name(0x01010003)  android intent action TIME SET  (Raw:  android intent action TIME SET )_x000D_
                     E: action (line 159)_x000D_
                       A: android:name(0x01010003)  android intent action TIMEZONE CHANGED  (Raw:  android intent action TIMEZONE CHANGED )_x000D_
                 E: receiver (line 162)_x000D_
                   A: android:name(0x01010003)  androidx work impl background systemalarm ConstraintProxyUpdateReceiver  (Raw:  androidx work impl background systemalarm ConstraintProxyUpdateReceiver )_x000D_
                   A: android:enabled(0x0101000e)  0x7f020000_x000D_
                   A: android:exported(0x01010010) (type 0x12)0x0_x000D_
                   A: android:directBootAware(0x01010505) (type 0x12)0x0_x000D_
                   E: intent filter (line 167)_x000D_
                     E: action (line 168)_x000D_
                       A: android:name(0x01010003)  androidx work impl background systemalarm UpdateProxies  (Raw:  androidx work impl background systemalarm UpdateProxies )_x000D_
                 E: service (line 172)_x000D_
                   A: android:name(0x01010003)  androidx room MultiInstanceInvalidationService  (Raw:  androidx room MultiInstanceInvalidationService )_x000D_
                   A: android:exported(0x01010010) (type 0x12)0x0_x000D_
     8 ms  executing:  Users westy92 Library Android sdk platform tools adb  s FA69H0305733 shell  x logcat  v time  t 1_x000D_
    14 ms     compile package:google mobile ads example main dart_x000D_
   156 ms            beginning of main_x000D_
           08 03 13:42:19 078 I  vendor bin hw android hardware health 2 0 service marlin(  647): SRAM data: 1999000_x000D_
    13 ms  executing:  Users westy92 Library Android sdk platform tools adb version_x000D_
     7 ms  Android Debug Bridge version 1 0 41_x000D_
           Version 31 0 3 7562133_x000D_
           Installed as  Users westy92 Library Android sdk platform tools adb_x000D_
     2 ms  executing:  Users westy92 Library Android sdk platform tools adb start server_x000D_
     7 ms  Building APK_x000D_
    14 ms  Running Gradle task  assembleDebug    _x000D_
     3 ms  Using gradle from  Users westy92 Source googleads mobile flutter packages google mobile ads example android gradlew _x000D_
    18 ms  executing:  usr bin plutil  convert json  o    Applications Android Studio app Contents Info plist_x000D_
    14 ms  Exit code 0 from:  usr bin plutil  convert json  o    Applications Android Studio app Contents Info plist_x000D_
             CFBundleName : Android Studio   JVMOptions :  ClassPath :  APP PACKAGE  Contents  lib  bootstrap jar: APP PACKAGE  Contents  lib  extensions jar: APP PACKAGE  Contents  lib  util jar: APP PACKAGE  Contents  lib  jdom jar: APP PACKAGE  Contents  lib  log4j jar: APP PACKAGE  Contents  lib  jna jar   JVMVersion : 1 8  1 8    MainClass : com intellij idea Main   Properties :  idea paths selector : AndroidStudio2020 3   idea executable : studio   idea platform prefix : AndroidStudio   idea vendor name : Google   idea home path :  APP PACKAGE  Contents     NSDesktopFolderUsageDescription : An application in Android Studio requests access to the user s Desktop folder    LSArchitecturePriority :  x86 64    CFBundleVersion : AI 203 7717 56 2031 7583922   CFBundleDevelopmentRegion : English   NSCameraUsageDescription : An application in Android Studio requests access to the device s camera    CFBundleDocumentTypes :   CFBundleTypeName : Android Studio Project File   CFBundleTypeExtensions :  ipr    CFBundleTypeRole : Editor   CFBundleTypeIconFile : studio icns     CFBundleTypeName : All documents   CFBundleTypeExtensions :       CFBundleTypeOSTypes :          CFBundleTypeRole : Editor   LSTypeIsPackage :false    NSSupportsAutomaticGraphicsSwitching :true  CFBundlePackageType : APPL   CFBundleIconFile : studio icns   NSHighResolutionCapable :true  CFBundleShortVersionString : 2020 3   NSMicrophoneUsageDescription : An application in Android Studio requests access to the device s microphone    CFBundleInfoDictionaryVersion : 6 0   CFBundleExecutable : studio   NSLocationUsageDescription : An application in Android Studio requests access to the user s location information    LSRequiresNativeExecution : YES   CFBundleURLTypes :   CFBundleTypeRole : Editor   CFBundleURLName : Stacktrace   CFBundleURLSchemes :  idea      CFBundleIdentifier : com google android studio   LSApplicationCategoryType : public app category developer tools   CFBundleSignature :        LSMinimumSystemVersion : 10 8   NSDocumentsFolderUsageDescription : An application in Android Studio requests access to the user s Documents folder    NSDownloadsFolderUsageDescription : An application in Android Studio requests access to the user s Downloads folder    NSNetworkVolumesUsageDescription : An application in Android Studio requests access to files on a network volume    CFBundleGetInfoString : Android Studio 2020 3  build AI 203 7717 56 2031 7583922  Copyright JetBrains s r o   (c) 2000 2021   NSRemovableVolumesUsageDescription : An application in Android Studio requests access to files on a removable volume   _x000D_
     4 ms  executing:   Users westy92 Source googleads mobile flutter packages google mobile ads example android    Users westy92 Source googleads mobile flutter packages google mobile ads example android gradlew  Pverbose true  Ptarget platform android arm64  Ptarget  Users westy92 Source googleads mobile flutter packages google mobile ads example lib main dart  Pdart defines RkxVVFRFUl9XRUJfQVVUT19ERVRFQ1Q9dHJ1ZQ    Pdart obfuscation false  Ptrack widget creation true  Ptree shake icons false  Pfilesystem scheme org dartlang root assembleDebug_x000D_
   832 ms    Task :app:compileFlutterBuildDebug UP TO DATE_x000D_
             Task :app:packLibsflutterBuildDebug UP TO DATE_x000D_
             Task :app:preBuild UP TO DATE_x000D_
             Task :app:preDebugBuild UP TO DATE_x000D_
             Task :google mobile ads:preBuild UP TO DATE_x000D_
             Task :google mobile ads:preDebugBuild UP TO DATE_x000D_
             Task :google mobile ads:compileDebugAidl NO SOURCE_x000D_
             Task :app:compileDebugAidl NO SOURCE_x000D_
             Task :google mobile ads:packageDebugRenderscript NO SOURCE_x000D_
             Task :app:compileDebugRenderscript NO SOURCE_x000D_
             Task :app:generateDebugBuildConfig UP TO DATE_x000D_
             Task :app:javaPreCompileDebug UP TO DATE_x000D_
             Task :google mobile ads:writeDebugAarMetadata UP TO DATE_x000D_
    84 ms    Task :app:checkDebugAarMetadata UP TO DATE_x000D_
             Task :app:cleanMergeDebugAssets_x000D_
             Task :app:mergeDebugShaders UP TO DATE_x000D_
             Task :app:compileDebugShaders NO SOURCE_x000D_
             Task :app:generateDebugAssets UP TO DATE_x000D_
             Task :google mobile ads:mergeDebugShaders UP TO DATE_x000D_
             Task :google mobile ads:compileDebugShaders NO SOURCE_x000D_
             Task :google mobile ads:generateDebugAssets UP TO DATE_x000D_
             Task :google mobile ads:packageDebugAssets UP TO DATE_x000D_
   100 ms    Task :app:mergeDebugAssets_x000D_
   200 ms    Task :app:copyFlutterAssetsDebug_x000D_
             Task :app:generateDebugResValues UP TO DATE_x000D_
             Task :app:generateDebugResources UP TO DATE_x000D_
             Task :google mobile ads:compileDebugRenderscript NO SOURCE_x000D_
             Task :google mobile ads:generateDebugResValues UP TO DATE_x000D_
             Task :google mobile ads:generateDebugResources UP TO DATE_x000D_
             Task :google mobile ads:packageDebugResources UP TO DATE_x000D_
    98 ms    Task :app:mergeDebugResources UP TO DATE_x000D_
             Task :app:createDebugCompatibleScreenManifests UP TO DATE_x000D_
             Task :app:extractDeepLinksDebug UP TO DATE_x000D_
             Task :google mobile ads:extractDeepLinksDebug UP TO DATE_x000D_
             Task :google mobile ads:processDebugManifest UP TO DATE_x000D_
             Task :app:processDebugMainManifest UP TO DATE_x000D_
             Task :app:processDebugManifest UP TO DATE_x000D_
             Task :app:processDebugManifestForPackage UP TO DATE_x000D_
             Task :google mobile ads:compileDebugLibraryResources UP TO DATE_x000D_
             Task :google mobile ads:parseDebugLocalResources UP TO DATE_x000D_
             Task :google mobile ads:generateDebugRFile UP TO DATE_x000D_
             Task :app:processDebugResources UP TO DATE_x000D_
             Task :google mobile ads:generateDebugBuildConfig UP TO DATE_x000D_
             Task :google mobile ads:javaPreCompileDebug UP TO DATE_x000D_
             Task :google mobile ads:compileDebugJavaWithJavac UP TO DATE_x000D_
    99 ms    Task :google mobile ads:bundleLibCompileToJarDebug UP TO DATE_x000D_
             Task :app:compileDebugJavaWithJavac UP TO DATE_x000D_
             Task :app:compileDebugSources UP TO DATE_x000D_
             Task :app:mergeDebugNativeDebugMetadata NO SOURCE_x000D_
             Task :app:compressDebugAssets UP TO DATE_x000D_
             Task :app:processDebugJavaRes NO SOURCE_x000D_
             Task :google mobile ads:processDebugJavaRes NO SOURCE_x000D_
             Task :google mobile ads:bundleLibResDebug NO SOURCE_x000D_
             Task :app:mergeDebugJavaResource UP TO DATE_x000D_
             Task :app:checkDebugDuplicateClasses UP TO DATE_x000D_
             Task :app:desugarDebugFileDependencies UP TO DATE_x000D_
    93 ms    Task :app:mergeExtDexDebug UP TO DATE_x000D_
             Task :google mobile ads:bundleLibRuntimeToJarDebug UP TO DATE_x000D_
             Task :app:dexBuilderDebug UP TO DATE_x000D_
             Task :app:mergeLibDexDebug UP TO DATE_x000D_
             Task :app:mergeProjectDexDebug UP TO DATE_x000D_
             Task :app:mergeDebugJniLibFolders UP TO DATE_x000D_
             Task :google mobile ads:mergeDebugJniLibFolders UP TO DATE_x000D_
   </t>
  </si>
  <si>
    <t>Anuken-Mindustry-5691</t>
  </si>
  <si>
    <t>hard to explain (check the detailed bug description)</t>
  </si>
  <si>
    <t xml:space="preserve">  Platform  :  Android iOS Mac Windows Linux _x000D_
android_x000D_
  Build  :  The build number under the title in the main menu  Required   LATEST  IS NOT A VERSION  I NEED THE EXACT BUILD NUMBER OF YOUR GAME  _x000D_
129 1_x000D_
  Issue  :  Explain your issue in detail  _x000D_
_x000D_
bassicaly  if you click on the impact (to see how much power its making etc ) and quickly switch to an enemy team and tap it again  the game thinks you are on the team (ex: if the impact was made by sharded and you are crux  you still see the info) _x000D_
 then if you destroy it  let polies immediately rebuild (with sandbox or with reborn mindustry anarchy server) and switch back  it thinks you are not its team  even if you are  here is a video if its too confusing_x000D_
_x000D_
https:  user images githubusercontent com 87596406 128063799 6bb50551 79c3 4e1f 99ea a9486dbc792e mp4_x000D_
_x000D_
_x000D_
  Steps to reproduce  :  How you happened across the issue  and what exactly you did to make the bug happen  _x000D_
i sorta already explained how  but see the video if you dont understand_x000D_
_x000D_
  Link(s) to mod(s) used  :  The mod repositories or zip files that are related to the issue  if applicable  _x000D_
testing utilities  only to switch teams_x000D_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 dont think you need it  but here it is anyway_x000D_
 save zip (https:  github com Anuken Mindustry files 6926192 save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</si>
  <si>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nextcloud-talk-android-1510</t>
  </si>
  <si>
    <t>12.x crashes when loading picture/video preview</t>
  </si>
  <si>
    <t xml:space="preserve">   Steps to reproduce_x000D_
1  install Nextcloud Talk on LineageOS 16 x or 18 1 with microG and without google apps_x000D_
2  connect to a nextcloud server (tried two with different version 20 x   21 x 22 0)_x000D_
3  start a conversion and share a file (video picture)  doesn t matter if you share it yourself or your conversation partner_x000D_
   app will crash when trying to load the chat view (so the preview of the picture video seems to be the problem )_x000D_
_x000D_
    Expected behaviour_x000D_
it should load the preview and be able to stay alive_x000D_
_x000D_
    Actual behaviour_x000D_
the app crashes while trying to load the preview ( )_x000D_
_x000D_
   Device information_x000D_
_x000D_
  Device:    Oneplus One (bacon)_x000D_
_x000D_
  Android version:   9 and 11 (even tried the upgrade from LineageOS 16 x to 18 1)_x000D_
_x000D_
  Talk version:   12 1 2 (from google store installed with aurora) or fdroid (doesn t matter)_x000D_
11 x does work but doesn t have the in app player_x000D_
_x000D_
   Server information_x000D_
_x000D_
  Nextcloud version:   20 22 (one server with 20  second with 21 and even upgraded to 22)_x000D_
_x000D_
  Talk version:   10   12 tested (accordingly to the nextcloud version)_x000D_
_x000D_
Debug Logs from Talk App 1508 QA (grep ed for the crashed thread) :_x000D_
 details _x000D_
_x000D_
   _x000D_
08 03 15:10:17 139  5896  5975 I okhttp OkHttpClient:     POST https:  serverurl com ocs v2 php apps spreed api v1 room 8ceoofeq participants active_x000D_
08 03 15:10:17 139  5896  5975 I okhttp OkHttpClient: Content Type: application x www form urlencoded_x000D_
08 03 15:10:17 139  5896  5975 I okhttp OkHttpClient: Content Length: 9_x000D_
08 03 15:10:17 140  5896  5975 I okhttp OkHttpClient: Authorization:  u2588 u2588_x000D_
08 03 15:10:17 140  5896  5975 I okhttp OkHttpClient: User Agent: Mozilla 5 0 (Android) Nextcloud Talk v1508_x000D_
08 03 15:10:17 140  5896  5975 I okhttp OkHttpClient: Accept: application json_x000D_
08 03 15:10:17 140  5896  5975 I okhttp OkHttpClient: OCS APIRequest: true_x000D_
08 03 15:10:17 142  5896  5975 I okhttp OkHttpClient: password _x000D_
08 03 15:10:17 143  5896  5975 I okhttp OkHttpClient:     END POST (9 byte body)_x000D_
08 03 15:10:17 753  5896  5975 I okhttp OkHttpClient:     200 OK https:  serverurl com ocs v2 php apps spreed api v1 room 8ceoofeq participants active (609ms)_x000D_
08 03 15:10:17 753  5896  5975 I okhttp OkHttpClient: Server: nginx 1 18 0_x000D_
08 03 15:10:17 753  5896  5975 I okhttp OkHttpClient: Date: Tue  03 Aug 2021 13:10:17 GMT_x000D_
08 03 15:10:17 753  5896  5975 I okhttp OkHttpClient: Content Type: application json  charset utf 8_x000D_
08 03 15:10:17 754  5896  5975 I okhttp OkHttpClient: Connection: keep alive_x000D_
08 03 15:10:17 754  5896  5975 I okhttp OkHttpClient: Keep Alive: timeout 20_x000D_
08 03 15:10:17 754  5896  5975 I okhttp OkHttpClient: Expires: Thu  19 Nov 1981 08:52:00 GMT_x000D_
08 03 15:10:17 754  5896  5975 I okhttp OkHttpClient: Pragma: no cache_x000D_
08 03 15:10:17 755  5896  5975 I okhttp OkHttpClient: Cache Control: no cache  no store  must revalidate_x000D_
08 03 15:10:17 755  5896  5975 I okhttp OkHttpClient: Content Security Policy: default src  none  base uri  none  manifest src  self  frame ancestors  none _x000D_
08 03 15:10:17 755  5896  5975 I okhttp OkHttpClient: Feature Policy: autoplay  none  camera  none  fullscreen  none  geolocation  none  microphone  none  payment  none _x000D_
08 03 15:10:17 756  5896  5975 I okhttp OkHttpClient: X Robots Tag: none_x000D_
08 03 15:10:17 756  5896  5975 I okhttp OkHttpClient: X Content Type Options: nosniff_x000D_
08 03 15:10:17 756  5896  5975 I okhttp OkHttpClient: X XSS Protection: 1  mode block_x000D_
08 03 15:10:17 756  5896  5975 I okhttp OkHttpClient: X Robots Tag: none_x000D_
08 03 15:10:17 756  5896  5975 I okhttp OkHttpClient: X Download Options: noopen_x000D_
08 03 15:10:17 757  5896  5975 I okhttp OkHttpClient: X Permitted Cross Domain Policies: none_x000D_
08 03 15:10:17 757  5896  5975 I okhttp OkHttpClient: Referrer Policy: no referrer_x000D_
08 03 15:10:17 760  5896  5975 I okhttp OkHttpClient:   ocs :  meta :  status : ok   statuscode :200  message : OK    data :  id :12  token : 8ceoofeq   type :1  name : CHATPARTNER   displayName : CHATPARTNER   objectType :    objectId :    participantType :1  participantInCall :false  participantFlags :null  readOnly :0  count :0  hasPassword :false  hasCall :false  canStartCall :true  lastActivity :1627994727  lastReadMessage :2919  unreadMessages :0  unreadMention :false  isFavorite :false  notificationLevel :1  lobbyState :0  lobbyTimer :0  lastPing :1627996217  sessionId :     SESSIONID       participants :  LOGINUSER :  name : LOGINUSER   type :1  call :0  sessionId :     SESSIONID        CHATPARTNER :  name : CHATPARTNER   type :1  call :0  sessionId : 0     numGuests :0  guestList :    lastMessage :  id :2919  token : 8ceoofeq   actorType : users   actorId : CHATPARTNER   actorDisplayName : CHATPARTNER   timestamp :1627994727  message :  file    messageParameters :  actor :  type : user   id : CHATPARTNER   name : CHATPARTNER    file :  type : file   id : 6256   name : IMG 20210801 203537 01 jpg   size :1721454  path : Talk  IMG 20210801 203537 01 jpg   link : https:    serverurl com  f  6256   mimetype : image  jpeg   preview available : yes     systemMessage :    messageType : comment   isReplyable :true  referenceId :      _x000D_
08 03 15:10:17 761  5896  5975 I okhttp OkHttpClient:     END HTTP (1729 byte body)_x000D_
08 03 15:10:18 376  5896  5975 I okhttp OkHttpClient:     PROPFIND https:  serverurl com remote php dav files LOGINUSER null_x000D_
08 03 15:10:18 377  5896  5975 I okhttp OkHttpClient: Content Type: application xml  charset utf 8_x000D_
08 03 15:10:18 377  5896  5975 I okhttp OkHttpClient: Content Length: 885_x000D_
08 03 15:10:18 377  5896  5975 I okhttp OkHttpClient: Depth: 0_x000D_
08 03 15:10:18 377  5896  5975 I okhttp OkHttpClient: User Agent: Mozilla 5 0 (Android) Nextcloud Talk v1508_x000D_
08 03 15:10:18 377  5896  5975 I okhttp OkHttpClient: Accept: application json_x000D_
08 03 15:10:18 378  5896  5975 I okhttp OkHttpClient: OCS APIRequest: true_x000D_
08 03 15:10:18 379  5896  5975 I okhttp OkHttpClient:   xml version  1 0  encoding  UTF 8     propfind xmlns  DAV:  xmlns:CAL  urn:ietf:params:xml:ns:caldav  xmlns:CARD  urn:ietf:params:xml:ns:carddav   prop  displayname    getcontenttype    getcontentlength    getcontenttype    getcontentlength    getlastmodified    creationdate    getetag    resourcetype    n0:permissions xmlns:n0  http:  owncloud org ns     n1:id xmlns:n1  http:  owncloud org ns     n2:size xmlns:n2  http:  owncloud org ns     n3:favorite xmlns:n3  http:  owncloud org ns     n4:owner id xmlns:n4  http:  owncloud org ns     n5:owner display name xmlns:n5  http:  owncloud org ns     n6:comments unread xmlns:n6  http:  owncloud org ns     n7:is encrypted xmlns:n7  http:  nextcloud org ns     n8:mount type xmlns:n8  http:  nextcloud org ns     n9:has preview xmlns:n9  http:  nextcloud org ns     n10:note xmlns:n10  http:  nextcloud org ns      prop   propfind _x000D_
08 03 15:10:18 379  5896  5975 I okhttp OkHttpClient:     END PROPFIND (885 byte body)_x000D_
08 03 15:10:18 653  5896  5975 I okhttp OkHttpClient:     404 Not Found https:  serverurl com remote php dav files LOGINUSER null (274ms)_x000D_
08 03 15:10:18 653  5896  5975 I okhttp OkHttpClient: Server: nginx 1 18 0_x000D_
08 03 15:10:18 654  5896  5975 I okhttp OkHttpClient: Date: Tue  03 Aug 2021 13:10:18 GMT_x000D_
08 03 15:10:18 654  5896  5975 I okhttp OkHttpClient: Content Type: application xml  charset utf 8_x000D_
08 03 15:10:18 654  5896  5975 I okhttp OkHttpClient: Transfer Encoding: chunked_x000D_
08 03 15:10:18 655  5896  5975 I okhttp OkHttpClient: Connection: keep alive_x000D_
08 03 15:10:18 655  5896  5975 I okhttp OkHttpClient: Keep Alive: timeout 20_x000D_
08 03 15:10:18 656  5896  5975 I okhttp OkHttpClient: Vary: Accept Encoding_x000D_
08 03 15:10:18 656  5896  5975 I okhttp OkHttpClient: Expires: Thu  19 Nov 1981 08:52:00 GMT_x000D_
08 03 15:10:18 656  5896  5975 I okhttp OkHttpClient: Cache Control: no store  no cache  must revalidate_x000D_
08 03 15:10:18 656  5896  5975 I okhttp OkHttpClient: Pragma: no cache_x000D_
08 03 15:10:18 657  5896  5975 I okhttp OkHttpClient: Content Security Policy: default src  none  _x000D_
08 03 15:10:18 657  5896  5975 I okhttp OkHttpClient: Vary: Brief Prefer_x000D_
08 03 15:10:18 657  5896  5975 I okhttp OkHttpClient: DAV: 1  3  extended mkcol  access control  calendarserver principal property search  nc calendar search  nc enable birthday calendar_x000D_
08 03 15:10:18 660  5896  5975 I okhttp OkHttpClient:   xml version  1 0  encoding  utf 8   _x000D_
08 03 15:10:18 660  5896  5975 I okhttp OkHttpClient:  d:error xmlns:d  DAV:  xmlns:s  http:  sabredav org ns  _x000D_
08 03 15:10:18 660  5896  5975 I okhttp OkHttpClient:    s:exception Sabre DAV Exception NotFound  s:exception _x000D_
08 03 15:10:18 660  5896  5975 I okhttp OkHttpClient:    s:message File with name   null could not be located  s:message _x000D_
08 03 15:10:18 660  5896  5975 I okhttp OkHttpClient:   d:error _x000D_
08 03 15:10:18 661  5896  5975 I okhttp OkHttpClient:     END HTTP (234 byte body)_x000D_
08 03 15:10:18 677  5896  5975 W         : Error reading remote path_x000D_
08 03 15:10:18 678  5896  5975 W System err: java lang NullPointerException: Attempt to invoke virtual method  okhttp3 HttpUrl at bitfire dav4jvm Response getHref()  on a null object reference_x000D_
08 03 15:10:18 679  5896  5975 W System err: 	at com nextcloud talk components filebrowser webdav ReadFilesystemOperation readRemotePath(ReadFilesystemOperation java:98)_x000D_
08 03 15:10:18 679  5896  5975 W System err: 	at com nextcloud talk adapters messages MagicPreviewMessageViewHolder 1 onSuccess(MagicPreviewMessageViewHolder java:568)_x000D_
08 03 15:10:18 680  5896  5975 W System err: 	at com nextcloud talk adapters messages MagicPreviewMessageViewHolder 1 onSuccess(MagicPreviewMessageViewHolder java:560)_x000D_
08 03 15:10:18 680  5896  5975 W System err: 	at io reactivex internal operators single SingleObserveOn ObserveOnSingleObserver run(SingleObserveOn java:81)_x000D_
08 03 15:10:18 680  5896  5975 W System err: 	at io reactivex Scheduler DisposeTask run(Scheduler java:608)_x000D_
08 03 15:10:18 680  5896  5975 W System err: 	at io reactivex internal schedulers ScheduledRunnable run(ScheduledRunnable java:66)_x000D_
08 03 15:10:18 680  5896  5975 W System err: 	at io reactivex internal schedulers ScheduledRunnable call(ScheduledRunnable java:57)_x000D_
08 03 15:10:18 680  5896  5975 W System err: 	at java util concurrent FutureTask run(FutureTask java:266)_x000D_
08 03 15:10:18 680  5896  5975 W System err: 	at java util concurrent ScheduledThreadPoolExecutor ScheduledFutureTask run(ScheduledThreadPoolExecutor java:301)_x000D_
08 03 15:10:18 681  5896  5975 W System err: 	at java util concurrent ThreadPoolExecutor runWorker(ThreadPoolExecutor java:1167)_x000D_
08 03 15:10:18 681  5896  5975 W System err: 	at java util concurrent ThreadPoolExecutor Worker run(ThreadPoolExecutor java:641)_x000D_
08 03 15:10:18 681  5896  5975 W System err: 	at java lang Thread run(Thread java:923)_x000D_
08 03 15:10:18 683  5896  5975 E AndroidRuntime: FATAL EXCEPTION: RxCachedThreadScheduler 3_x000D_
08 03 15:10:18 683  5896  5975 E AndroidRuntime: Process: com nextcloud talk2 qa  PID: 5896_x000D_
08 03 15:10:18 683  5896  5975 E AndroidRuntime: java lang NullPointerException: Attempt to invoke virtual method  okhttp3 HttpUrl at bitfire dav4jvm Response getHref()  on a null object reference_x000D_
08 03 15:10:18 683  5896  5975 E AndroidRuntime: 	at com nextcloud talk components filebrowser webdav ReadFilesystemOperation readRemotePath(ReadFilesystemOperation java:98)_x000D_
08 03 15:10:18 683  5896  5975 E AndroidRuntime: 	at com nextcloud talk adapters messages MagicPreviewMessageViewHolder 1 onSuccess(MagicPreviewMessageViewHolder java:568)_x000D_
08 03 15:10:18 683  5896  5975 E AndroidRuntime: 	at com nextcloud talk adapters messages MagicPreviewMessageViewHolder 1 onSuccess(MagicPreviewMessageViewHolder java:560)_x000D_
08 03 15:10:18 683  5896  5975 E AndroidRuntime: 	at io reactivex internal operators single SingleObserveOn ObserveOnSingleObserver run(SingleObserveOn java:81)_x000D_
08 03 15:10:18 683  5896  5975 E AndroidRuntime: 	at io reactivex Scheduler DisposeTask run(Scheduler java:608)_x000D_
08 03 15:10:18 683  5896  5975 E AndroidRuntime: 	at io reactivex internal schedulers ScheduledRunnable run(ScheduledRunnable java:66)_x000D_
08 03 15:10:18 683  5896  5975 E AndroidRuntime: 	at io reactivex internal schedulers ScheduledRunnable call(ScheduledRunnable java:57)_x000D_
08 03 15:10:18 683  5896  5975 E AndroidRuntime: 	at java util concurrent FutureTask run(FutureTask java:266)_x000D_
08 03 15:10:18 683  5896  5975 E AndroidRuntime: 	at java util concurrent ScheduledThreadPoolExecutor ScheduledFutureTask run(ScheduledThreadPoolExecutor java:301)_x000D_
08 03 15:10:18 683  5896  5975 E AndroidRuntime: 	at java util concurrent ThreadPoolExecutor runWorker(ThreadPoolExecutor java:1167)_x000D_
08 03 15:10:18 683  5896  5975 E AndroidRuntime: 	at java util concurrent ThreadPoolExecutor Worker run(ThreadPoolExecutor java:641)_x000D_
08 03 15:10:18 683  5896  5975 E AndroidRuntime: 	at java lang Thread run(Thread java:923)_x000D_
08 03 15:10:18 705  5896  5975 I Process : Sending signal  PID: 5896 SIG: 9_x000D_
_x000D_
   _x000D_
  details _x000D_
_x000D_
On a Oneplus 3T with OxygenOS 3 5 4 (Android 6 0 1) it does work without any problem _x000D_
_x000D_
So my question is  is there something wrong with the app itself  with the server settings  with the OS _x000D_
Or a combination of  _x000D_
_x000D_
Greetings and thanks for reading</t>
  </si>
  <si>
    <t>TeamNewPipe-NewPipe-6831</t>
  </si>
  <si>
    <t>Denial Of Service video loading</t>
  </si>
  <si>
    <t>Few videos make my phone crash and reebot in BIOS phone ( Xiaomi A2 )_x000D_
Video make crash_x000D_
https:  www youtube com watch v 3LJepkIijHU_x000D_
Video don t make crash _x000D_
https:  www youtube com watch v y9xQeg vjdc</t>
  </si>
  <si>
    <t>JoseJuanSE-Neo-Alexandria-96</t>
  </si>
  <si>
    <t>fix bug with pdf not liked</t>
  </si>
  <si>
    <t xml:space="preserve">When I try to open a a pdf that was not liked  Then it crash  this should be fixed if I do the cloud version of saved feature </t>
  </si>
  <si>
    <t>gluonhq-substrate-973</t>
  </si>
  <si>
    <t>Undefined symbol JVM_GetStackAccessControlContext</t>
  </si>
  <si>
    <t xml:space="preserve">I can build my app for Android without problem on a cloud Linux server and install it on my phone locally on a Mac but when I try to run it  it immediately crashes with the following message:_x000D_
_x000D_
   _x000D_
07 29 21:49:14 298 16452 16452 D AndroidRuntime: Shutting down VM_x000D_
07 29 21:49:14 300 16452 16452 E AndroidRuntime: FATAL EXCEPTION: main_x000D_
07 29 21:49:14 300 16452 16452 E AndroidRuntime: Process: de mpmediasoft de mpmediasoft mpcopilot main mobile  PID: 16452_x000D_
07 29 21:49:14 300 16452 16452 E AndroidRuntime: java lang UnsatisfiedLinkError: dlopen failed: cannot locate symbol  JVM GetStackAccessControlContext  referenced by   data app de mpmediasoft de mpmediasoft mpcopilot main mobile inn5hLFgPt65JyYiWxe7sA   lib arm64 libsubstrate so    _x000D_
07 29 21:49:14 300 16452 16452 E AndroidRuntime: 	at java lang Runtime loadLibrary0(Runtime java:1016)_x000D_
07 29 21:49:14 300 16452 16452 E AndroidRuntime: 	at java lang System loadLibrary(System java:1657)_x000D_
07 29 21:49:14 300 16452 16452 E AndroidRuntime: 	at com gluonhq helloandroid MainActivity surfaceCreated(MainActivity java:104)_x000D_
07 29 21:49:14 300 16452 16452 E AndroidRuntime: 	at android view SurfaceView updateSurface(SurfaceView java:753)_x000D_
07 29 21:49:14 300 16452 16452 E AndroidRuntime: 	at android view SurfaceView 2 onPreDraw(SurfaceView java:154)_x000D_
07 29 21:49:14 300 16452 16452 E AndroidRuntime: 	at android view ViewTreeObserver dispatchOnPreDraw(ViewTreeObserver java:1045)_x000D_
07 29 21:49:14 300 16452 16452 E AndroidRuntime: 	at android view ViewRootImpl performTraversals(ViewRootImpl java:2808)_x000D_
07 29 21:49:14 300 16452 16452 E AndroidRuntime: 	at android view ViewRootImpl doTraversal(ViewRootImpl java:1780)_x000D_
07 29 21:49:14 300 16452 16452 E AndroidRuntime: 	at android view ViewRootImpl TraversalRunnable run(ViewRootImpl java:7827)_x000D_
07 29 21:49:14 300 16452 16452 E AndroidRuntime: 	at android view Choreographer CallbackRecord run(Choreographer java:911)_x000D_
07 29 21:49:14 300 16452 16452 E AndroidRuntime: 	at android view Choreographer doCallbacks(Choreographer java:723)_x000D_
07 29 21:49:14 300 16452 16452 E AndroidRuntime: 	at android view Choreographer doFrame(Choreographer java:658)_x000D_
07 29 21:49:14 300 16452 16452 E AndroidRuntime: 	at android view Choreographer FrameDisplayEventReceiver run(Choreographer java:897)_x000D_
07 29 21:49:14 300 16452 16452 E AndroidRuntime: 	at android os Handler handleCallback(Handler java:789)_x000D_
07 29 21:49:14 300 16452 16452 E AndroidRuntime: 	at android os Handler dispatchMessage(Handler java:98)_x000D_
07 29 21:49:14 300 16452 16452 E AndroidRuntime: 	at android os Looper loop(Looper java:164)_x000D_
07 29 21:49:14 300 16452 16452 E AndroidRuntime: 	at android app ActivityThread main(ActivityThread java:6944)_x000D_
07 29 21:49:14 300 16452 16452 E AndroidRuntime: 	at java lang reflect Method invoke(Native Method)_x000D_
07 29 21:49:14 300 16452 16452 E AndroidRuntime: 	at com android internal os Zygote MethodAndArgsCaller run(Zygote java:327)_x000D_
07 29 21:49:14 300 16452 16452 E AndroidRuntime: 	at com android internal os ZygoteInit main(ZygoteInit java:1374)_x000D_
_x000D_
   _x000D_
This was already mentioned at the end of the closed issue https:  github com gluonhq substrate issues 970_x000D_
_x000D_
    Expected Behavior_x000D_
It should run and not crash _x000D_
_x000D_
    Current Behavior_x000D_
It crashes _x000D_
_x000D_
    Steps to Reproduce_x000D_
I cannot provide a simple example_x000D_
_x000D_
    Your Environment_x000D_
Built on a cloud instance of Ubuntu at Hetzner with gluonfx maven plugin 1 0 3 and graalvm svm linux gluon 21 2 0 dev  APK copied to macOS and installed via adb on a Samsung Galaxy S7 </t>
  </si>
  <si>
    <t>iNPUTmice-lttrs-android-118</t>
  </si>
  <si>
    <t>Crash during Setup</t>
  </si>
  <si>
    <t xml:space="preserve">   _x000D_
java lang NullPointerException: Attempt to invoke interface method  boolean java util Map containsKey(java lang Object)  on a null object reference_x000D_
 	at rs ltt jmap common entity Account hasCapability(Account java:54)_x000D_
 	at rs ltt jmap client session Session lambda getAccounts 1(Session java:108)_x000D_
 	at rs ltt jmap client session Session  ExternalSyntheticLambda0 apply(Unknown Source:4)_x000D_
 	at com google common collect Collections2 FilteredCollection size(Collections2 java:221)_x000D_
 	at com google common collect ForwardingCollection size(ForwardingCollection java:65)_x000D_
 	at java util AbstractMap size(AbstractMap java:85)_x000D_
 	at rs ltt android ui model SetupViewModel processAccounts(SetupViewModel java:289)_x000D_
 	at rs ltt android ui model SetupViewModel access 000(SetupViewModel java:64)_x000D_
 	at rs ltt android ui model SetupViewModel 2 onSuccess(SetupViewModel java:202)_x000D_
 	at rs ltt android ui model SetupViewModel 2 onSuccess(SetupViewModel java:198)_x000D_
 	at com google common util concurrent Futures CallbackListener run(Futures java:1080)_x000D_
 	at com google common util concurrent DirectExecutor execute(DirectExecutor java:30)_x000D_
 	at com google common util concurrent AbstractFuture executeListener(AbstractFuture java:1213)_x000D_
 	at com google common util concurrent AbstractFuture complete(AbstractFuture java:983)_x000D_
 	at com google common util concurrent AbstractFuture set(AbstractFuture java:746)_x000D_
 	at rs ltt jmap client util SettableCallFuture set(SettableCallFuture java:40)_x000D_
 	at rs ltt jmap client session SessionClient 1 onResponse(SessionClient java:126)_x000D_
 	at okhttp3 internal connection RealCall AsyncCall run(RealCall kt:519)_x000D_
 	at java util concurrent ThreadPoolExecutor runWorker(ThreadPoolExecutor java:1167)_x000D_
 	at java util concurrent ThreadPoolExecutor Worker run(ThreadPoolExecutor java:641)_x000D_
 	at java lang Thread run(Thread java:923)_x000D_
   _x000D_
_x000D_
  This shouldn t crash_x000D_
  This should lead to endless loading</t>
  </si>
  <si>
    <t>PojavLauncherTeam-PojavLauncher-1771</t>
  </si>
  <si>
    <t>[BUG] When I start the game with "-Dfile.encoding=GB2312", the game will crash</t>
  </si>
  <si>
    <t xml:space="preserve">    Describe the bug
When I start the game with   Dfile encoding GB2312   the game will crash
    The log file and images videos
 latestlog txt (https:  github com PojavLauncherTeam PojavLauncher files 6915031 latestlog txt)_x000D_
    Steps To Reproduce
   markdown
1 Start pojav_x000D_
2 Enter  Dfile encoding GB2312 to the JVM startup parameters_x000D_
3 Start any game version_x000D_
4 Game crash
    Expected Behavior
I expect the game to launches
    Platform
   markdown
  Device model: redmi note7 4 64_x000D_
  CPU architecture: aarch64_x000D_
  Android version: 10_x000D_
  PojavLauncher version: Latest Release
    Anything else 
 No response </t>
  </si>
  <si>
    <t>jellyfin-jellyfin-androidtv-1061</t>
  </si>
  <si>
    <t>Jellyfin crashes each time after 5 min when playing a video</t>
  </si>
  <si>
    <t xml:space="preserve">  Describe the bug  _x000D_
Any video media play ends up by jellyfin crashing and restarting after around 5 min  _x000D_
_x000D_
  To Reproduce  _x000D_
1  Launch a video_x000D_
2  Wait   5 minutes  (YMMV)_x000D_
_x000D_
  Expected behavior  _x000D_
Hmmm not crashing :)_x000D_
_x000D_
  Logs  _x000D_
Don t know how I can provide you that  tell me where they are and I ll provide them_x000D_
_x000D_
  Screenshots  _x000D_
none_x000D_
_x000D_
  System (please complete the following information):  _x000D_
   Android TV:  e g  Android 9 or Fire OS 7 _x000D_
   Device manufacturer: free fr (French ISP)_x000D_
   Device model: Freebox pop player (spec available https:  www androidtv guide com pay tv provider freebox pop)_x000D_
   Jellyfin server version: 10 7 6_x000D_
_x000D_
  Additional context  _x000D_
no problem with 0 11_x000D_
</t>
  </si>
  <si>
    <t>Anuken-Mindustry-5685</t>
  </si>
  <si>
    <t>Graphics bug</t>
  </si>
  <si>
    <t xml:space="preserve">  Platform  : PC_x000D_
_x000D_
  Build  : Pre alpha 129 1 (but it also happens in 126 2)_x000D_
  Issue  : When  save123 zip (https:  github com Anuken Mindustry files 6913065 save123 zip)s are not on the screen and destroying projectiles  their lasers don t appear  the projectiles just disappear  There s also the same bug with digging ore near the core: ore flying to the core animation doesn t appear if the ore you are digging is not on the screen _x000D_
_x000D_
  Steps to reproduce  : Place Segment turret  move your camera so it s not on your screen  and make something shoot Segment  Segment s laser should not appear  Same for ore digging  just move your camera so you can t see the ore you are digging _x000D_
_x000D_
  Link(s) to mod(s) used  : none_x000D_
_x000D_
  Save file  :  i built a map where you can see it (https:  github com Anuken Mindustry files 6913068 save123 zip)_x000D_
  image (https:  user images githubusercontent com 55806085 127779684 2b814988 dff7 4b87 af15 b66ef5d57e89 png)_x000D_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_x000D_
</t>
  </si>
  <si>
    <t>Anuken-Mindustry-5684</t>
  </si>
  <si>
    <t>Steam Workshop not working</t>
  </si>
  <si>
    <t xml:space="preserve">  Platform  :  Android iOS Mac Windows Linux _x000D_
Linux (Kubuntu 20 04 LTS)_x000D_
_x000D_
  Build  :  The build number under the title in the main menu  Required   LATEST  IS NOT A VERSION  I NEED THE EXACT BUILD NUMBER OF YOUR GAME  _x000D_
Steam 129 1_x000D_
_x000D_
  Issue  :  Explain your issue in detail  _x000D_
Steam Workshop is not working  I sub to an item on the Workshop  Steam doesn t even try to download it  In game  the Workshop option is missing  and I cannot see workshop schematics or maps _x000D_
_x000D_
  Steps to reproduce  :  How you happened across the issue  and what exactly you did to make the bug happen  _x000D_
I don t quite know why this is happening  It might be a Steam issue  but I don t know  since Steam Workshop works just fine for other games _x000D_
_x000D_
  Link(s) to mod(s) used  :  The mod repositories or zip files that are related to the issue  if applicable  _x000D_
I don t think these are related  but the only mod I have enabled is Logic Debugger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This is visible immediately in the title screen  which I cannot save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This isn t a crash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</si>
  <si>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TeamNewPipe-NewPipe-6822</t>
  </si>
  <si>
    <t>Mismatch between shown video and playing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</si>
  <si>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Search for something_x000D_
2  Open a video and click play_x000D_
3  Swipe down to minimize it while its playing_x000D_
4  Click on another video_x000D_
5  The newly clicked video s title is shown  but the previous video is sometimes loaded into the main player where it keeps playing  thus giving the appearance of a wrongly titled video_x000D_
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_x000D_
The newly chosen video is not pre loaded and the previous video is now playing in the main player with the newly clicked video s info below it   note this only happens sometimes_x000D_
_x000D_
    Expected behavior_x000D_
     Tell us what you expect to happen     _x000D_
The previous video should EITHER stop playing AND the newly chosen video should load OR the previous video should continue playing in its minimized state while the user sees the newly clicked video s info and thumbnail loaded into the main player s view_x000D_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Logs_x000D_
     If your bug includes a crash (where you re shown the Error Report page with a bunch of info)  tap on  Copy formatted report  at the bottom and paste it here:    _x000D_
_x000D_
     That s right  here     _x000D_
_x000D_
     Please fill this out when you do not provide a log generate by NewPipe    _x000D_
_x000D_
    Device info_x000D_
_x000D_
   Android version Custom ROM version: 8 0_x000D_
   Device model: Samsung Galaxy S7 Edge_x000D_
_x000D_
 Not sure if it s relevant or not  but I currently have  Show comments  and  Show description  disabled </t>
  </si>
  <si>
    <t>nextcloud-android-8797</t>
  </si>
  <si>
    <t>Crash after pressing back on login screen</t>
  </si>
  <si>
    <t xml:space="preserve">    Steps to reproduce_x000D_
1  Somehow get forcefully logged out (I suspect this happened because my home networks dynamic IPv4 address changed and my DynDNS script hadn t kicked in yet )_x000D_
2  Get presented with login screen_x000D_
3  Press back button to return to file list_x000D_
4  Wait a few seconds for crash to happen (loading circle was showing)_x000D_
_x000D_
    Expected behaviour_x000D_
  App should never crash_x000D_
_x000D_
    Actual behaviour_x000D_
  App crashed after I tapped back on login screen and upon opening the app again hours later_x000D_
_x000D_
    Environment data_x000D_
Android version: 9_x000D_
_x000D_
Device model: Huawei P Smart_x000D_
_x000D_
Stock or customized system: Standard OS that came with device_x000D_
_x000D_
Nextcloud app version: 3 17 0 RC1 (f droid)_x000D_
_x000D_
Nextcloud server version: Nextcloud 22 deployed via docker  Running on https:  nextcloud jotoho de_x000D_
_x000D_
Docker image hash:  sha256:38b05bd65d88aa0a01532e2eeb7fb8d40ac145044bf3a53c4222e2941f43088b _x000D_
_x000D_
Reverse proxy: Yes  Caddy _x000D_
_x000D_
    Logs_x000D_
     Web server error log_x000D_
   _x000D_
(Unavailable right now  Writing this from my phone after being asked by app to report the crash  If necessary  I can probably fill this in later )_x000D_
   _x000D_
_x000D_
     Nextcloud log (data nextcloud log)_x000D_
   _x000D_
             CAUSE OF ERROR             _x000D_
_x000D_
java lang NullPointerException: Parameter specified as non null is null: method kotlin jvm internal Intrinsics checkNotNullParameter  parameter password_x000D_
	at okhttp3 Credentials basic(Unknown Source:7)_x000D_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updateUserProfile(RefreshFolderOperation java:285)_x000D_
	at com owncloud android operations RefreshFolderOperation run(RefreshFolderOperation java:231)_x000D_
	at com owncloud android lib common operations RemoteOperation run(RemoteOperation java:363)_x000D_
	at java lang Thread run(Thread java:784)_x000D_
_x000D_
             APP INFORMATION             _x000D_
ID: com nextcloud client_x000D_
Version: 30170051_x000D_
Build flavor: generic_x000D_
_x000D_
             DEVICE INFORMATION             _x000D_
Brand: HUAWEI_x000D_
Device: HWFIG H_x000D_
Model: FIG LX1_x000D_
Id: HUAWEIFIG L31_x000D_
Product: FIG LX1_x000D_
_x000D_
             FIRMWARE             _x000D_
SDK: 28_x000D_
Release: 9_x000D_
Incremental: 9 1 0 216C432_x000D_
   _x000D_
</t>
  </si>
  <si>
    <t>TeamNewPipe-NewPipe-6819</t>
  </si>
  <si>
    <t>Newpipe still unable to pass CAPTCHA</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</si>
  <si>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The one I did find  did not follow the template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 and attempt to load it  _x000D_
2  Newpipe will notify you of a CAPTCHA request  _x000D_
3  Solve the CAPTCHA  The Web browser will then load the video correctly  _x000D_
4  Mark the CAPTCHA solved  _x000D_
5  (this bug appears periodically  but has survived a CAPTCHA cookie purge and a clean reinstall)_x000D_
_x000D_
     If you can t cause the bug to show up again reliably (and hence don t have a proper set of steps to give us)  please still try to give as many details as possible on how you think you encountered the bug     _x000D_
_x000D_
_x000D_
_x000D_
    Actual behavior_x000D_
The Web browser will close  but Newpipe will fail to load the video and still request a CAPTCHA  _x000D_
_x000D_
_x000D_
_x000D_
    Expected behavior_x000D_
Newpipe will load the video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ln4 sync com dl c214c6730 kd5e233f ipznn7t5 pi9z9jrr hu5g7jnz_x000D_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12 5 7 (Android version 11)_x000D_
   Device model: Xiaomi 10S (M2102J2SC) </t>
  </si>
  <si>
    <t>Anuken-Mindustry-5681</t>
  </si>
  <si>
    <t>Cannot use config to change the command of the unit command center</t>
  </si>
  <si>
    <t xml:space="preserve">  Platform  :  Android iOS Mac Windows Linux _x000D_
_x000D_
windows_x000D_
_x000D_
  Build  :  The build number under the title in the main menu  Required   LATEST  IS NOT A VERSION  I NEED THE EXACT BUILD NUMBER OF YOUR GAME  _x000D_
_x000D_
129 1_x000D_
_x000D_
  Issue  :  Explain your issue in detail  _x000D_
_x000D_
I wanted to create logic to change the command of the command center _x000D_
_x000D_
The status of the command center was detected  but it was not possible to change commands using config _x000D_
_x000D_
All other blocks are possible  but only command center is impossible _x000D_
_x000D_
  report2 (https:  user images githubusercontent com 77824588 127762044 879aa6b6 dcf0 40af b92b c8837a18484d PNG)_x000D_
  report1 (https:  user images githubusercontent com 77824588 127762045 5a6a0d8d fb2c 4fcd 8b24 cbfc8a186e24 PNG)_x000D_
_x000D_
  Steps to reproduce  :  How you happened across the issue  and what exactly you did to make the bug happen  _x000D_
_x000D_
maybe always in build 129 1_x000D_
_x000D_
  Link(s) to mod(s) used  :  The mod repositories or zip files that are related to the issue  if applicable  _x000D_
_x000D_
It is not affected by mod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</si>
  <si>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Anuken-Mindustry-5679</t>
  </si>
  <si>
    <t>spontaneous disconnects in multiplayer at high unit counts</t>
  </si>
  <si>
    <t xml:space="preserve">  Platform  :  Android iOS Mac Windows Linux _x000D_
Windows_x000D_
_x000D_
  Build  :  The build number under the title in the main menu  Required   LATEST  IS NOT A VERSION  I NEED THE EXACT BUILD NUMBER OF YOUR GAME  _x000D_
129 1_x000D_
_x000D_
  Issue  :  Explain your issue in detail  _x000D_
when playing crawler arena at  pl  and there s a lot (1000 ) of units  i (and apparently not only i) periodically get disconnected with an  Unknown network error  saying either  Malformed input at  number   or  Incorrect number of bytes ( number  remaining) used to deserialize object: mindustry gen EntitySnapshotCallPacket  number    i think this is likely related to internet connection problems but still making this issue in case it s possible to prevent this_x000D_
_x000D_
  Steps to reproduce  :  How you happened across the issue  and what exactly you did to make the bug happen  _x000D_
play the crawler arena gamemode on  pl on late (23 ) waves_x000D_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crsave zip (https:  github com Anuken Mindustry files 6911754 crsave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</si>
  <si>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Anuken-Mindustry-5678</t>
  </si>
  <si>
    <t>GZ captured at beginning</t>
  </si>
  <si>
    <t xml:space="preserve">  Platform  :  Windows _x000D_
_x000D_
  Build  : Custom build  FPSUncapped based off of 129  Issue still exists in official release 129 1_x000D_
_x000D_
  Issue  : Resetting campaign saves does not reset sector captured_x000D_
_x000D_
  Steps to reproduce  : Capture GZ  Reset campaign saves  (I also reset research ) Then launch back to GZ  The sector should be captured_x000D_
_x000D_
  Link(s) to mod(s) used  : I was using  Betamindy (https:  github com sk7725 BetaMindy)   Exogenesis (https:  github com AureusStratus ExoGenesis) and several js mods  but I doubt they would affect something like this_x000D_
_x000D_
  Save file  :  Here it is (https:  github com Anuken Mindustry files 6911678 GroundZeroAlreadyCaptured zip)_x000D_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</si>
  <si>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Anuken-Mindustry-5677</t>
  </si>
  <si>
    <t>Game crashes while loading sector</t>
  </si>
  <si>
    <t xml:space="preserve">  Platform  : Arch Linux_x000D_
_x000D_
  Build  : 21581_x000D_
_x000D_
  Issue  : Game crashes while loading a specific sector  sector 180 _x000D_
_x000D_
  Steps to reproduce  : I start the game  start playing campaign  go to that specific sector  and the game crashes while or right after loading it _x000D_
_x000D_
  Link(s) to mod(s) used  : All mods had been disabled for several days  worth of gameplay time when the crash occured  and none of the mods added or edited game content (one is a texture pack  the others are for generating schematics from images)  Will update with links if somehow suspected of being related anyway _x000D_
_x000D_
  Save file  :  save zip (https:  github com Anuken Mindustry files 6910987 crash zip)_x000D_
_x000D_
  (Crash) logs  : _x000D_
_x000D_
   _x000D_
Mindustry has crashed  How unfortunate _x000D_
Version: bleeding edge build 21581_x000D_
OS: Linux x64 (amd64)_x000D_
Java Version: 1 8 0 292_x000D_
3 Mods: pictologic:1 5 7  ui lib:2 16 6  xelos pixel texturepack:0 4 1_x000D_
_x000D_
java lang NullPointerException_x000D_
        at mindustry entities Units findDamagedTile(Units java:146)_x000D_
        at mindustry ai types RepairAI updateTargeting(RepairAI java:60)_x000D_
        at mindustry entities units AIController updateUnit(AIController java:44)_x000D_
        at mindustry gen PayloadUnit update(PayloadUnit java:1541)_x000D_
        at mindustry entities EntityGroup update(EntityGroup java:59)_x000D_
        at mindustry gen Groups update(Groups java:71)_x000D_
        at mindustry core Logic update(Logic java:410)_x000D_
        at arc ApplicationCore update(ApplicationCore java:37)_x000D_
        at mindustry ClientLauncher update(ClientLauncher java:174)_x000D_
        at arc backend sdl SdlApplication listen(SdlApplication java:166)_x000D_
        at arc backend sdl SdlApplication loop(SdlApplication java:154)_x000D_
        at arc backend sdl SdlApplication  init (SdlApplication java:45)_x000D_
        at mindustry desktop DesktopLauncher main(DesktopLauncher java:38)_x000D_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_x000D_
Given that this is an issue with the latest builds and that there was no other open issue at the time  I assumed checking closed issues was unnecessary _x000D_
</t>
  </si>
  <si>
    <t>PojavLauncherTeam-PojavLauncher-1760</t>
  </si>
  <si>
    <t>[BUG] Unable to load ItemPhysic mod</t>
  </si>
  <si>
    <t xml:space="preserve">    Describe the bug
Application exited with code 1_x000D_
When i try to start the game
    The log file and images videos
 latestcrash txt (https:  github com PojavLauncherTeam PojavLauncher files 6910645 latestcrash txt)_x000D_
 latestlog txt (https:  github com PojavLauncherTeam PojavLauncher files 6910646 latestlog txt)_x000D_
    Steps To Reproduce
   markdown
1 Download ItemPhysic Full 1 4 34 mc1 12 2 jar_x000D_
2 Install and start 1 12 2 forge 14 23 5 2855
    Expected Behavior
I hope the game should start normally
    Platform
   markdown
  Device model: Honor play 3_x000D_
  CPU architecture: aarch64_x000D_
  Android version: 9_x000D_
  PojavLauncher version: v3 3 1 1 1078 ff49d5a2 v3 openjdk
    Anything else 
 No response </t>
  </si>
  <si>
    <t>PojavLauncherTeam-PojavLauncher-1759</t>
  </si>
  <si>
    <t>[BUG] Unable to load randompatches mod</t>
  </si>
  <si>
    <t xml:space="preserve">    Describe the bug
Application exited with code 1_x000D_
When i try to start the game
    The log file and images videos
 latestlog txt (https:  github com PojavLauncherTeam PojavLauncher files 6910635 latestlog txt)_x000D_
 latestcrash txt (https:  github com PojavLauncherTeam PojavLauncher files 6910636 latestcrash txt)_x000D_
    Steps To Reproduce
   markdown
1 Download randompatches 1 12 2 1 22 1 10 jar_x000D_
2 Install and start 1 12 2 forge 14 23 5 2855
    Expected Behavior
I hope the game should start normally
    Platform
   markdown
  Device model: Honor play 3_x000D_
  CPU architecture: aarch64_x000D_
  Android version: 9_x000D_
  PojavLauncher version: v3 3 1 1 1078 ff49d5a2 v3 openjdk
    Anything else 
 No response </t>
  </si>
  <si>
    <t>flutter-package-images_picker-41</t>
  </si>
  <si>
    <t xml:space="preserve">Black screen shows after camera is closed only on android </t>
  </si>
  <si>
    <t xml:space="preserve">    _x000D_
           IMPORTANT       _x000D_
_x000D_
    DON T DELETE THIS TEMPLATE  USE IT TO WRITE YOUR ISSUE _x000D_
_x000D_
    If you delete this and you don t give me enough info _x000D_
    how would you expect me to solve your issue  Thanks _x000D_
_x000D_
    Also  before posting a new issue  make sure to check the following points _x000D_
    You may already find an answer to your problem _x000D_
_x000D_
           IMPORTANT       _x000D_
   _x000D_
_x000D_
   x  I have read the  Get Started   Installation (https:  inappwebview dev docs get started installation ) section_x000D_
   x  I have read and done the  Get Started   Setup Android (https:  inappwebview dev docs get started setup android ) section_x000D_
   x  I have read and done the  Get Started   Setup iOS (https:  inappwebview dev docs get started setup ios ) section_x000D_
   x  I have already searched for the same problem_x000D_
_x000D_
   Environment_x000D_
_x000D_
  Technology             Version        _x000D_
                                        _x000D_
  Flutter version           latest (master)       _x000D_
  Plugin version            latest            _x000D_
  Android version           11            _x000D_
_x000D_
Device information:      Manufacturer and model     It works fine on some of the mobile but crashes on POCO M2 PRO 4GB  No problem in IOS build _x000D_
_x000D_
   Description_x000D_
Whenever I click a photo using this library the app shows a black screen _x000D_
_x000D_
  Expected behavior:  _x000D_
After clicking the image it should show the image in the UI but it shows a black screen and sometimes crashes _x000D_
 img src  https:  user images githubusercontent com 57598532 127716448 8bc07898 da61 476e b79a 6739d0350265 png  width  200  height  400    _x000D_
_x000D_
  Current behavior:  _x000D_
 It shows a black screen on some devices after clicking the image  I am attaching a video of the current behavior on poco m2 pro  It only happens on some of the android devices  works fine on IOS  The issue occurs only when the image is selected through the camera _x000D_
_x000D_
https:  user images githubusercontent com 57598532 127717626 775fb35a 30de 4729 b5fc 89e828acf41c mp4_x000D_
_x000D_
   Steps to reproduce_x000D_
_x000D_
    Picking the image like this_x000D_
     dart_x000D_
Future getImage(bool isCam) async  _x000D_
    await Future delayed(Duration(milliseconds: 300)) _x000D_
    List Media  imageFile   isCam_x000D_
          await ImagesPicker openCamera(_x000D_
            pickType: PickType image _x000D_
            cropOpt: CropOption() _x000D_
          )_x000D_
        : await ImagesPicker pick(_x000D_
            pickType: PickType image _x000D_
            cropOpt: CropOption() _x000D_
            count: 1 _x000D_
            gif: false _x000D_
          ) _x000D_
     image   File(imageFile 0  path) _x000D_
    setState(()   ) _x000D_
    _x000D_
    _x000D_
_x000D_
    Showing the selected image like this_x000D_
_x000D_
   dart_x000D_
Center(_x000D_
   child: Image file( image _x000D_
    width: width   0 6 _x000D_
    height: height   0 23)_x000D_
) _x000D_
   _x000D_
_x000D_
</t>
  </si>
  <si>
    <t>nextcloud-android-8793</t>
  </si>
  <si>
    <t>Start error</t>
  </si>
  <si>
    <t xml:space="preserve">Just started the app from my phone and it instantly crashes _x000D_
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java:923)_x000D_
_x000D_
             APP INFORMATION             _x000D_
ID: com nextcloud client_x000D_
Version: 30160190_x000D_
Build flavor: gplay_x000D_
_x000D_
             DEVICE INFORMATION             _x000D_
Brand: samsung_x000D_
Device: x1s_x000D_
Model: SM G980F_x000D_
Id: RP1A 200720 012_x000D_
Product: x1seea_x000D_
_x000D_
             FIRMWARE             _x000D_
SDK: 30_x000D_
Release: 11_x000D_
Incremental: G980FXXU8DUF9_x000D_
</t>
  </si>
  <si>
    <t>Anuken-Mindustry-5675</t>
  </si>
  <si>
    <t>enemies stuck</t>
  </si>
  <si>
    <t xml:space="preserve">before i start  i wanna tell you that i dont want you to recreate it (i dont know how it happened)  i want you to see it  its in a server_x000D_
  Platform  :  Android iOS Mac Windows Linux _x000D_
android_x000D_
  Build  :  The build number under the title in the main menu  Required   LATEST  IS NOT A VERSION  I NEED THE EXACT BUILD NUMBER OF YOUR GAME  _x000D_
bleeding edge 21561_x000D_
  Issue  :  Explain your issue in detail  _x000D_
its a map  and enemies dont pathfind correctly_x000D_
  Steps to reproduce  :  How you happened across the issue  and what exactly you did to make the bug happen  _x000D_
i dont know  i joined and it already was in effect_x000D_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sorry  but i want you to see it  i will post it later_x000D_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the server is the nydus server  the only server in bleeding edge  go there and see the bug  because i dont know how to recreate_x000D_
</t>
  </si>
  <si>
    <t>Anuken-Mindustry-5672</t>
  </si>
  <si>
    <t>"Borderless Window" setting only makes game fullscreen</t>
  </si>
  <si>
    <t xml:space="preserve">  Platform  : Windows_x000D_
_x000D_
  Build  : 129 1_x000D_
_x000D_
  Issue  : In graphics settings  both the  Fullscreen  and  Borderless Window  settings make the game fullscreen  when enabled individually or together   Borderless Window  works correctly in build 126 3 _x000D_
_x000D_
  Steps to reproduce  : Disable  Fullscreen  and enable  Borderless Window   Press the Windows key and observe that the screen blinks which indicates that Mindustry was actually fullscreen _x000D_
_x000D_
  Link(s) to mod(s) used  : None_x000D_
_x000D_
  Save file  : Irrelevant_x000D_
_x000D_
If you remove the line above without reading it properly and understanding what it means  I will reap your soul  Even if you re playing on someone s server  you can still save the game to a slot _x000D_
_x000D_
  (Crash) logs  :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</si>
  <si>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PojavLauncherTeam-PojavLauncher-1756</t>
  </si>
  <si>
    <t>Lunching game</t>
  </si>
  <si>
    <t xml:space="preserve">    Describe the bug_x000D_
_x000D_
The problem is when I lunch the ver  1 16 5 (and other versions) it crashes   _x000D_
And when i lunch Minecraft it keeps saying  String index out of range _x000D_
Screenshot:_x000D_
  Screenshot 2021 07 30 19 06 10 63 67a64f1fc1b88908dad3392f76c1969b (https:  user images githubusercontent com 87071336 127646704 3de894f0 0d3d 4526 a0b1 aff918330fbb jpg)_x000D_
I wouldn t consider it as a crash cause there s no crash log   _x000D_
_x000D_
Every version of Pojavlauncher do the same thing   _x000D_
Why  _x000D_
_x000D_
_x000D_
    The log file and images videos_x000D_
_x000D_
Here s the log (I think  I just copied it):_x000D_
java lang StringIndexOutOfBoundsException: String index out of range:  1_x000D_
	at java lang AbstractStringBuilder setLength(AbstractStringBuilder java:207)_x000D_
	at java lang StringBuilder setLength(StringBuilder java:77)_x000D_
	at net kdt pojavlaunch Tools getLWJGL3ClassPath(Tools java:324)_x000D_
	at net kdt pojavlaunch Tools launchMinecraft(Tools java:126)_x000D_
	at net kdt pojavlaunch BaseMainActivity runCraft(BaseMainActivity java:914)_x000D_
	at net kdt pojavlaunch BaseMainActivity access 2600(BaseMainActivity java:28)_x000D_
	at net kdt pojavlaunch BaseMainActivity 9 1 run(BaseMainActivity java:709)_x000D_
	at java lang Thread run(Thread java:919)_x000D_
_x000D_
    Steps To Reproduce_x000D_
_x000D_
   markdown_x000D_
1  Open Pojavlauncher_x000D_
2  Select version Minecraft_x000D_
3  Lunch Minecraft_x000D_
4  Crash   _x000D_
   _x000D_
_x000D_
_x000D_
    Expected Behavior_x000D_
_x000D_
I expected it to run normally   _x000D_
_x000D_
    Platform_x000D_
_x000D_
   markdown_x000D_
  Device model: Realme RMX2020 32G_x000D_
  CPU architecture: Aarch64_x000D_
  Android version: 10_x000D_
  PojavLauncher version:  Latest Release    Version v3 3 1 1 1078 ff49d5a2 v3 openjdk _x000D_
   _x000D_
_x000D_
_x000D_
    Anything else _x000D_
_x000D_
I wish there s a way to fix this   _x000D_
HELPP    </t>
  </si>
  <si>
    <t>k9mail-k-9-5486</t>
  </si>
  <si>
    <t>"Share" picture proposes same contact multiple times, or never used contacts</t>
  </si>
  <si>
    <t xml:space="preserve">  Describe the bug  _x000D_
When sharing from any app  k9mail doesn t propose its  often used last used  contacts properly:_x000D_
_x000D_
When I want to share a picture on my phone  out of 4  last used often used  contacts  the same (often used in k9mail) contact is proposed 3 times by k9mail  the 4th is another app _x000D_
_x000D_
On another family member s phone (same model)  sharing a picture proposes a k9mail contact that was never used as only k9mail contact  the 3 oither spots are another app  which are ok _x000D_
_x000D_
  To Reproduce  _x000D_
Steps to reproduce the behavior:_x000D_
1  Go to  photo gallery  and to a photo_x000D_
2  Click on  Share  icon_x000D_
3  See what contacts from k9mails are proposed  They can be repeated multiple times or have a contact never used _x000D_
_x000D_
  Expected behavior  _x000D_
1  k9mail should propose each contact only once _x000D_
2  k9mail should not propose never used or seldomly used contacts_x000D_
3  k9mail should not put its contacts as first priority compared to other apps_x000D_
_x000D_
  Screenshots  _x000D_
Available on request _x000D_
_x000D_
  Environment (please complete the following information):  _x000D_
   K 9 Mail version: 5 800_x000D_
   Android version: 8 0 0 with standard Samsung Experience 9 9_x000D_
   Device: Samsung Galaxy S7_x000D_
   Account type: IMAP_x000D_
_x000D_
  Additional context  _x000D_
   searched bugs in here but didn t find it reported  so opening this one  Sorry if already known _x000D_
_x000D_
  Logs  _x000D_
  no error logs as no crash_x000D_
_x000D_
</t>
  </si>
  <si>
    <t>andOTP-andOTP-879</t>
  </si>
  <si>
    <t>KeyStore error on MIUI 12.5.2.0</t>
  </si>
  <si>
    <t xml:space="preserve">     General information_x000D_
_x000D_
    App version:   0 9 0 1 play_x000D_
    App source:   Google Play_x000D_
    Android Version:   11    MIUI 12 5 2 0 RGGEUXM (Stable Beta)_x000D_
    Custom ROM:   no_x000D_
    Device:   Xiaomi Redmi Note 8 Pro_x000D_
_x000D_
     Expected result_x000D_
I open the app and unlock it with my fingerprint or with a pin   passwort_x000D_
Then I can use the OTP keys_x000D_
_x000D_
  What does happen instead   _x000D_
After an update to the MIUI Stable Beta 12 5 2 0  it shows me a message  that there is a KeyStore error and it can t load the encryption key from the KeyStore _x000D_
It also tells me  that I can go to the settings and change the database encryption _x000D_
When I try this  the app goes back to the start message _x000D_
I also tried to make a backup  but when i try it  the screen flashes white and the app crashes completely _x000D_
_x000D_
Similiar to  847  but I didn t transfered andOTP to a new device _x000D_
I also couldn t make a backup  so I haven t tried to wipe the data   _x000D_
_x000D_
     Logcat_x000D_
_x000D_
https:  gist github com MagicLike ecf9cc51bd2e59d92340f89f8db8eafe_x000D_
_x000D_
     Steps to reproduce_x000D_
 _x000D_
   Update to the MIUI version 12 5 2 0_x000D_
   Open andOTP_x000D_
   Unlock it with the fingerprint_x000D_
   Try to change the encryption_x000D_
   Change the authenticate method  because the app says it s needed to change the encryption_x000D_
   Try again to change the encryption  this time it reminds to make an backup_x000D_
   Try to make an backup (app crashes)_x000D_
   Try to change the encryption without a backup_x000D_
   App goes back to the start message</t>
  </si>
  <si>
    <t>GoogleCloudPlatform-fda-mystudies-3974</t>
  </si>
  <si>
    <t>[SB] [Copy last published version] Study activities are getting duplicated for the original study post copying last published version for the study</t>
  </si>
  <si>
    <t xml:space="preserve">  Steps:  _x000D_
_x000D_
1  Create new study_x000D_
2  Add all contents and add activities_x000D_
3  Launch the study_x000D_
4  Edit the study again and edit basic info section only_x000D_
5  Let study be in draft_x000D_
6  Copy the last published version for the study  Successfully copied_x000D_
7  Check last published version for the study and check API response for  GetStudyActivityList _x000D_
_x000D_
  Actual:   Study activities are getting duplicated for the original study post copying last published version for the study_x000D_
_x000D_
  Expected:   Activities should not be duplicated_x000D_
_x000D_
  Issue should be handled in SB and Study datastore i e  GetStudyActivityLis  API  _x000D_
_x000D_
1  Due to above issue  iOS mobile app is crashing on navigating to study activities list_x000D_
2  Issue observed for questionnaires and active tasks_x000D_
2  Issue not observed for exporting last published version_x000D_
_x000D_
  duplicate (https:  user images githubusercontent com 60386291 127619813 8f0005c1 82e5 4f7c 929b b466e0c6dd10 png)_x000D_
</t>
  </si>
  <si>
    <t>MuntashirAkon-AppManager-536</t>
  </si>
  <si>
    <t>App manager loading non stop while scanning "battery log" app by hwangti</t>
  </si>
  <si>
    <t xml:space="preserve">    _x000D_
Your issue will be closed without warning if you don t check at least two items _x000D_
   _x000D_
   x  I know what my device  OS and App Manager versions are_x000D_
   x  I don t know how to take logs  because the log viewer doesn t show anything at redmi 6_x000D_
   x  I know how to reproduce the issue which may not be specific to my device_x000D_
_x000D_
  Describe the bug  _x000D_
When I try to scan an app with package name  kr hwangti batterylog (google play)   the application keeps loading without reaching the end  It s been hours but nothing has changed_x000D_
_x000D_
  To Reproduce  _x000D_
dunno_x000D_
_x000D_
  Expected behavior  _x000D_
This happened when I tried it on appmanager version above v2 6 0_x000D_
_x000D_
  Screenshots  _x000D_
  ss2 (https:  user images githubusercontent com 65159908 127602514 7f37e495 5370 4493 866a f14f57c614df png)_x000D_
Like this_x000D_
_x000D_
  Crash logs  _x000D_
Unfortunately the app doesn t crash  just weird things like keeps loading while scanning certain apps (since new version v2 6 1)_x000D_
_x000D_
  Device info  _x000D_
   Device: 1 redmi 6 (only)  2 redmi note 8_x000D_
   OS Version: 1 (8 1)  2 (9)_x000D_
   App Manager Version: v2 6 1  v2 6 2_x000D_
   Mode: no root_x000D_
_x000D_
  Additional context  _x000D_
Things like endless app scanning also happen to some other apps  unfortunately I can t remember all of them  and what I remember the most is when I scanned that  battery log  apps _x000D_
</t>
  </si>
  <si>
    <t>TeamNewPipe-NewPipe-6806</t>
  </si>
  <si>
    <t>UI crashes on download related actions on Android 11</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</si>
  <si>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Downloads _x000D_
2  UI crashes and I see error report screen_x000D_
3  Go to a video and click  Download _x000D_
4  UI crashes and I see error report screen_x000D_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UI crashes and go to error report screen_x000D_
_x000D_
    Expected behavior_x000D_
     Tell us what you expect to happen     _x000D_
Go to  Downloads  screen or show download video dialog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Logs_x000D_
     If your bug includes a crash (where you re shown the Error Report page with a bunch of info)  tap on  Copy formatted report  at the bottom and paste it here:    _x000D_
_x000D_
     That s right  here     _x000D_
Error log for Step 2 _x000D_
   Exception_x000D_
    User Action:   ui error_x000D_
    Request:   ACRA report_x000D_
    Content Country:   AU_x000D_
    Content Language:   en AU_x000D_
    App Language:   en AU_x000D_
    Service:   none_x000D_
    Version:   0 21 7_x000D_
    OS:   Linux Android 11   30_x000D_
 details  summary  b Crash log   b   summary  p _x000D_
_x000D_
   _x000D_
java lang RuntimeException: Unable to create service us shandian giga service DownloadManagerService: java lang NullPointerException: Attempt to invoke virtual method  java lang String org schabi newpipe streams io StoredFileHelper toString()  on a null object reference_x000D_
	at android app ActivityThread handleCreateService(ActivityThread java:4396)_x000D_
	at android app ActivityThread access 1900(ActivityThread java:274)_x000D_
	at android app ActivityThread H handleMessage(ActivityThread java:2117)_x000D_
	at android os Handler dispatchMessage(Handler java:106)_x000D_
	at android os Looper loop(Looper java:233)_x000D_
	at android app ActivityThread main(ActivityThread java:8035)_x000D_
	at java lang reflect Method invoke(Native Method)_x000D_
	at com android internal os RuntimeInit MethodAndArgsCaller run(RuntimeInit java:631)_x000D_
	at com android internal os ZygoteInit main(ZygoteInit java:978)_x000D_
Caused by: java lang NullPointerException: Attempt to invoke virtual method  java lang String org schabi newpipe streams io StoredFileHelper toString()  on a null object reference_x000D_
	at us shandian giga service DownloadManager loadPendingMissions(DownloadManager java:165)_x000D_
	at us shandian giga service DownloadManager  init (DownloadManager java:77)_x000D_
	at us shandian giga service DownloadManagerService onCreate(DownloadManagerService java:142)_x000D_
	at android app ActivityThread handleCreateService(ActivityThread java:4384)_x000D_
	    8 more_x000D_
_x000D_
   _x000D_
  details _x000D_
 hr _x000D_
_x000D_
_x000D_
Error log for Step 4 _x000D_
_x000D_
   Exception_x000D_
    User Action:   ui error_x000D_
    Request:   ACRA report_x000D_
    Content Country:   AU_x000D_
    Content Language:   en AU_x000D_
    App Language:   en AU_x000D_
    Service:   none_x000D_
    Version:   0 21 7_x000D_
    OS:   Linux Android 11   30_x000D_
 details  summary  b Crash log   b   summary  p _x000D_
_x000D_
   _x000D_
java lang RuntimeException: Unable to create service us shandian giga service DownloadManagerService: java lang NullPointerException: Attempt to invoke virtual method  java lang String org schabi newpipe streams io StoredFileHelper toString()  on a null object reference_x000D_
	at android app ActivityThread handleCreateService(ActivityThread java:4396)_x000D_
	at android app ActivityThread access 1900(ActivityThread java:274)_x000D_
	at android app ActivityThread H handleMessage(ActivityThread java:2117)_x000D_
	at android os Handler dispatchMessage(Handler java:106)_x000D_
	at android os Looper loop(Looper java:233)_x000D_
	at android app ActivityThread main(ActivityThread java:8035)_x000D_
	at java lang reflect Method invoke(Native Method)_x000D_
	at com android internal os RuntimeInit MethodAndArgsCaller run(RuntimeInit java:631)_x000D_
	at com android internal os ZygoteInit main(ZygoteInit java:978)_x000D_
Caused by: java lang NullPointerException: Attempt to invoke virtual method  java lang String org schabi newpipe streams io StoredFileHelper toString()  on a null object reference_x000D_
	at us shandian giga service DownloadManager loadPendingMissions(DownloadManager java:165)_x000D_
	at us shandian giga service DownloadManager  init (DownloadManager java:77)_x000D_
	at us shandian giga service DownloadManagerService onCreate(DownloadManagerService java:142)_x000D_
	at android app ActivityThread handleCreateService(ActivityThread java:4384)_x000D_
	    8 more_x000D_
_x000D_
   _x000D_
  details _x000D_
 hr _x000D_
_x000D_
_x000D_
     Please fill this out when you do not provide a log generate by NewPipe    _x000D_
_x000D_
    Device info_x000D_
_x000D_
   Android version Custom ROM version: Android 11 (Oxygen OS 11 2 8 8)_x000D_
   Device model: OnePlus 9_x000D_
</t>
  </si>
  <si>
    <t>TeamNewPipe-NewPipe-6805</t>
  </si>
  <si>
    <t>Crashed when opening after installing latest update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</si>
  <si>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Have a download in progress _x000D_
2  Minimize app _x000D_
3  Install latest update _x000D_
4  Try to open app _x000D_
_x000D_
     If you can t cause the bug to show up again reliably (and hence don t have a proper set of steps to give us)  please still try to give as many details as possible on how you think you encountered the bug     _x000D_
_x000D_
_x000D_
_x000D_
    Actual behavior_x000D_
App crashed upon opening   Appears to be connected to the download in progress 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Exception_x000D_
    User Action:   ui error_x000D_
    Request:   ACRA report_x000D_
    Content Country:   US_x000D_
    Content Language:   en US_x000D_
    App Language:   en US_x000D_
    Service:   none_x000D_
    Version:   0 21 7_x000D_
    OS:   Linux samsung a51tfn a51:10 QP1A 190711 020 S515DLUDU4BTK4:user release keys 10   29_x000D_
 details  summary  b Crash log   b   summary  p _x000D_
_x000D_
   _x000D_
java lang RuntimeException: Unable to create service us shandian giga service DownloadManagerService: java lang NullPointerException: Attempt to invoke virtual method  java lang String org schabi newpipe streams io StoredFileHelper toString()  on a null object reference_x000D_
	at android app ActivityThread handleCreateService(ActivityThread java:4412)_x000D_
	at android app ActivityThread access 1700(ActivityThread java:274)_x000D_
	at android app ActivityThread H handleMessage(ActivityThread java:2118)_x000D_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Caused by: java lang NullPointerException: Attempt to invoke virtual method  java lang String org schabi newpipe streams io StoredFileHelper toString()  on a null object reference_x000D_
	at us shandian giga service DownloadManager loadPendingMissions(DownloadManager java:165)_x000D_
	at us shandian giga service DownloadManager  init (DownloadManager java:77)_x000D_
	at us shandian giga service DownloadManagerService onCreate(DownloadManagerService java:142)_x000D_
	at android app ActivityThread handleCreateService(ActivityThread java:4400)_x000D_
	    8 more_x000D_
_x000D_
   _x000D_
  details _x000D_
 hr _x000D_
_x000D_
_x000D_
     That s right  here     _x000D_
_x000D_
_x000D_
_x000D_
     Please fill this out when you do not provide a log generate by NewPipe    _x000D_
_x000D_
    Device info_x000D_
_x000D_
   Android version Custom ROM version:_x000D_
   Device model:_x000D_
</t>
  </si>
  <si>
    <t>TeamNewPipe-NewPipe-6804</t>
  </si>
  <si>
    <t>Playlist video count messed up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</si>
  <si>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Look (not from the search menu) at this playlist:  https:  www youtube com playlist list PL8dPuuaLjXtNlUrzyH5r6jN9ulIgZBpdo _x000D_
_x000D_
You should see a video count of above 10000000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The Video count shows as more than 10 million  In the bookmarked playlist tab  the number isn t even shown completely _x000D_
_x000D_
    Expected behavior_x000D_
     Tell us what you expect to happen     _x000D_
_x000D_
It should have shown 41 videos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20210730 003644 (https:  user images githubusercontent com 76942454 127574920 5aa5d0a9 537f 4c95 938e 7fc58eefe677 png)_x000D_
  Screenshot 20210730 003523 (https:  user images githubusercontent com 76942454 127574975 6d7ac46b 2e15 440a 9881 a7f144e5e778 png)_x000D_
_x000D_
_x000D_
_x000D_
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6 (Samsung)_x000D_
   Device model: Samsung Galaxy J5_x000D_
   Unrooted_x000D_
</t>
  </si>
  <si>
    <t>PhenoApps-Field-Book-299</t>
  </si>
  <si>
    <t>[BUG] ArrayIndexOutOfBoundsException Study with no plots</t>
  </si>
  <si>
    <t xml:space="preserve">  Describe the bug  _x000D_
When a BrAPI study with 0 plots is imported the app will crash when navigating to the collect activity _x000D_
_x000D_
  To Reproduce  _x000D_
Steps to reproduce the behavior:_x000D_
1  Post to studies:_x000D_
  _x000D_
	 studyName  :  Empty Test  _x000D_
  _x000D_
2  Click on Empty Test in field editor_x000D_
3  Click on Collect Activity_x000D_
_x000D_
  Expected behavior  _x000D_
App should notify that no plots exist when navigating to collect activity _x000D_
</t>
  </si>
  <si>
    <t>nextcloud-android-8785</t>
  </si>
  <si>
    <t>Notification Bar won't disappear until "activities" tab is opened.</t>
  </si>
  <si>
    <t xml:space="preserve">    Steps to reproduce_x000D_
1  Press  add a file  button_x000D_
2  Press  upload file  without selecting any file_x000D_
3  TubCloud uploading files    Stays in  notifications _x000D_
_x000D_
Crash log which appears always when i open Activities tab (maybe it also crashes when i do so ):_x000D_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Caused by: java lang NumberFormatException: For input string:  2147721481 _x000D_
	at java lang Integer parseInt(Integer java:618)_x000D_
	at java lang Integer parseInt(Integer java:650)_x000D_
	at com owncloud android lib resources activities GetActivitiesRemoteOperation run(GetActivitiesRemoteOperation java:139)_x000D_
	at com owncloud android lib common operations RemoteOperation execute(RemoteOperation java:138)_x000D_
	at com owncloud android ui activities data activities ActivitiesServiceApiImpl GetActivityListTask doInBackground(ActivitiesServiceApiImpl java:105)_x000D_
	at com owncloud android ui activities data activities ActivitiesServiceApiImpl GetActivityListTask doInBackground(ActivitiesServiceApiImpl java:66)_x000D_
	at android os AsyncTask 2 call(AsyncTask java:333)_x000D_
	at java util concurrent FutureTask run(FutureTask java:266)_x000D_
	    4 more_x000D_
_x000D_
             APP INFORMATION             _x000D_
ID: de tuberlin android_x000D_
Version: 30090290 (build  1928)_x000D_
Build flavor: gplay_x000D_
_x000D_
             DEVICE INFORMATION             _x000D_
Brand: Nokia_x000D_
Device: NB1_x000D_
Model: TA 1004_x000D_
Id: PPR1 180610 011_x000D_
Product: TA 1004 00WW_x000D_
_x000D_
             FIRMWARE             _x000D_
SDK: 28_x000D_
Release: 9_x000D_
Incremental: 00WW 5 15K_x000D_
_x000D_
</t>
  </si>
  <si>
    <t>TeamNewPipe-NewPipe-6803</t>
  </si>
  <si>
    <t>YouTube music cannot search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</si>
  <si>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</si>
  <si>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TeamNewPipe-NewPipe-6802</t>
  </si>
  <si>
    <t>Version 0.21.7 Broke Subscriptions Page Condensed Grid Layout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</si>
  <si>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Recent update 0 21 7 made grid layout of  Subscriptions  page less condensed somehow  Attached screenshots are both in portrait mode and yet you can see the visible change_x000D_
_x000D_
_x000D_
    Actual behavior_x000D_
     Tell us what happens with the steps given above     _x000D_
_x000D_
Same as prior _x000D_
_x000D_
    Expected behavior_x000D_
     Tell us what you expect to happen     _x000D_
_x000D_
Should remain unchanged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IMG 000008 (https:  user images githubusercontent com 55331939 127537205 6105acb1 1332 49c1 a1c7 5704ed27bb11 PNG)_x000D_
  IMG 000009 (https:  user images githubusercontent com 55331939 127537211 1217e427 bba7 4d26 88d1 10c40a76eb5f PNG)_x000D_
_x000D_
_x000D_
    Logs_x000D_
     If your bug includes a crash (where you re shown the Error Report page with a bunch of info)  tap on  Copy formatted report  at the bottom and paste it here:    _x000D_
_x000D_
     That s right  here     _x000D_
_x000D_
NA_x000D_
_x000D_
     Please fill this out when you do not provide a log generate by NewPipe    _x000D_
_x000D_
    Device info_x000D_
_x000D_
   Android version Custom ROM version: 11_x000D_
   Device model: OnePlus_x000D_
</t>
  </si>
  <si>
    <t>TeamNewPipe-NewPipe-6801</t>
  </si>
  <si>
    <t>when we stream a video the other suggestion  videos are not loading</t>
  </si>
  <si>
    <t>OdyseeTeam-odysee-android-1</t>
  </si>
  <si>
    <t>Alpha bugs list</t>
  </si>
  <si>
    <t xml:space="preserve">   x  password not validated or saved on sign up   can t continue sign in_x000D_
   x  color theme on description is LBRY green (hyperlinks   tags)_x000D_
      blue ribbon at top of wallet page goes to rewards page that doesn t work  Blue ribbon is not within color theme  _x000D_
   x  remove USD equivalents   _x000D_
   x  channel discover page doesn t load   this should load channels from primary category  sorted by trending  _x000D_
   x  should be able to click entire comment to expand all comments  not just the expand button _x000D_
   x  Improve single comment picking  It is just selecting comment 0  even if it won t be displayed on expanded list_x000D_
      when signed out  drive sign up if you try to react  comment  etc  _x000D_
      When no channel available and required  drive channel creation_x000D_
   x  comments page on channel page shows bad data   check  saltycracker channel  only has 1 comment  _x000D_
   x  no search   url bar  _x000D_
   x  when you sign out  wallet balance still shows  notification page blank_x000D_
   x  Bittrex conversion link   https:  lbry com faq exchanges  Call it  Exchange your Credits    or ask Jeremy for the Copy for this _x000D_
   x  Can t comment: authentication required_x000D_
   x  After reacting  comments collapse  Can t see total reactions after you react  (can t seem to react anymore)_x000D_
   x  Clicking video from pop out player goes to homepage _x000D_
   x  Can t navigate home after a few videos deep via related (have to keep clicking back through each page) _x000D_
   x  New content notification click ends up in  loading decentralized data for a while (no need to mention decentralized mention)  Other navigation steps too  even after being available in claim search _x000D_
      on sign up  email sent to is black  can t see the email_x000D_
      Odysee often disappears from the quick switcher   need to find the app again  Happens when I navigate away to another app  This happens on the sign in page for sure (i  e go to check email for confirmation link  disappears)_x000D_
   x  view more on wallet page expands to a blank item (no additional breakdown shown)_x000D_
   x  remove all references to USD stuff_x000D_
   x  app crash with samsung_x000D_
   x  changes to followings in app seem to only be stored locally (wallet sync is off  added to top missing features)_x000D_
   x  has option to follow channels you are already following_x000D_
   x  Following page feels bloated(top bar   channels you follow   navigation bar takes about half of the screen )_x000D_
      view history (sign out or view   sign in   should clear maybe )  including notifications is persisted between sessions _x000D_
   x  floating player covers navigation bar at the bottom_x000D_
   x  resolve notification data to get channel and claim thumbnails for notifications area _x000D_
      fireabase token persisted between uninstall reinstall  Getting old notifications from the previous account  Never saw this before   apis issue  _x000D_
      pop out player gets stuck to top of trending somehow (notice it s both at the top and bottom   small thumbnail  I was scrolled up) _x000D_
  image (https:  user images githubusercontent com 8120721 132720109 dad3f271 ea40 45fb 9965 2203797e11a7 png)_x000D_
   x  pop out player shows on non video content (minimize while on random page) _x000D_
  image (https:  user images githubusercontent com 8120721 132720005 3aa297e9 00db 4bcd af2a 1762a1394c5d png)_x000D_
   x  Livestreams are no longer listed on the Following fragment_x000D_
   x  Make progress bar Odysee theme_x000D_
   x  Julian got stuck at  retrieving account information    had to close reopen_x000D_
   x  Julian getting random crashes  doesn t seem consistent on anything in particular  I got a few while navigating around as well _x000D_
   x  remove details on sign in about wallet sync (streamline)_x000D_
   x  search both content and channels for top result (i  e thomas zarebczan would search  thomas zarebczan) (julian noticed this)_x000D_
   x  you can get the bottom navigation items to show during search  but clicking them doesn t do anything _x000D_
      auto search after typing   waiting x seconds  _x000D_
      allow magic link login on the password prompt _x000D_
      playlists on channel page   look strange without thumbnail  cannot view content error when clicking one without thumbnail  With thumbnail  it shows the thumbnail on top and loading icon over it  and then the typical file view  playlist items are way at the bottom  Probably want to start without the details page and just show the playlist items  with current item playing on top  _x000D_
   x  livestreams don t play (tried direct link   probably needs urls updated to odysee ones)_x000D_
   x  notifications are marked read only in the session   when I quit app   restart  I see 50  on bell  and those I recently watched are not marked as read anymore _x000D_
   x  search shows a spinning bar in top right even if you aren t searching anything_x000D_
      remove search text  you can search       match ios    start typing to discover  with lasso spaceman_x000D_
   x  Make commenting flow colors odysee theme (saw green stuff)_x000D_
   x  Make search flow Odysee colors (green on channel links)_x000D_
   x  reacting to content is super slow   count does not increment  _x000D_
   x  notifications page takes over other pages  no clear way to close besides clicking back  If you click notification  and then search  it shows the search box with notifications in backgroud_x000D_
   x  authentication error when tipping_x000D_
   x  swipe gestures close app (Akin thinks this may be causing what Julian is seeing)_x000D_
   x  remove  loading decentralized data  references _x000D_
   x  Odysee notification icon   make Odysee colors (it s green today)_x000D_
_x000D_
missing features:_x000D_
  wallet sync_x000D_
  reward verification via phone twitter cc paid_x000D_
  livestreams (showing on channel page   live stream comments at least)_x000D_
  yt sync flow_x000D_
  first run flow (claiming email verified reward or maybe the android one we have   both are fine too  channel setup or YT sync  follow channels) _x000D_
  comment reactions_x000D_
  rewards_x000D_
  channel creation_x000D_
  checking for disabled comments on channels (see ios implementation)_x000D_
  playlists_x000D_
_x000D_
Will add more here as I find it  anyone else is free to edit add also  _x000D_
_x000D_
Fixed:_x000D_
   x  Blank trending homepage when navigating back to it  Clicking new (loads) and then trending again works  Categories are lost in this case _x000D_
   x  sign in goes to a sign up flow  Add option to sign in  _x000D_
   x  Sign in proces shows  join odysee _x000D_
   x  buy LBRY credits pops up a strange overlay  This can probably be modeled after odysee com buy screen or remove for now  _x000D_
   x  yerbil   space man _x000D_
   x  user and install new needs to pass odysee com as the domain   otherwise you get LBRY related emails_x000D_
   x  wildwest   all content  don t pass any channel ids   only allow trending_x000D_
   x  Makes my notification bar black  can t see any icons text  (Phone in dark mode) _x000D_
   x  seek bar on video is LBRY themed_x000D_
   x  are we optimizing spee ch thumbnails to a reasonable size  maybe use the ones that odysee com is using so they are properly cached  Lazy loading feels sluggish_x000D_
   x  Share buttons link to lbry tv  should by odysee com_x000D_
   x  Wallet:  View All  shows incorrectly  There are no transactions to display _x000D_
_x000D_
_x000D_
Some new stuff from the recent beta (12 17):_x000D_
  reports of crashing on email verification_x000D_
  can t see comments after posting_x000D_
  need comment edit delete options_x000D_
  wild west still looks filtered (that was checked off above)_x000D_
  thumbnails not loading in notifications_x000D_
  Fix odysee colors on wallet page (green) _x000D_
  Remove  exchange your credits  link _x000D_
  when supporting and entering an amount  need to click into field twice to get keyboard to pop up_x000D_
  livestreams not brought to top of channel page  Need to account for scheduled streams also  </t>
  </si>
  <si>
    <t>TeamNewPipe-NewPipe-6799</t>
  </si>
  <si>
    <t>Buffering lag during quality switching 720 to 480</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</si>
  <si>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realme_x000D_
</t>
  </si>
  <si>
    <t>XiangRongLin-NewPipe-preuinified-6</t>
  </si>
  <si>
    <t>Can't open any video in 0.21.7+</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</si>
  <si>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Latest (0 21 7 )_x000D_
_x000D_
    Steps to reproduce the bug_x000D_
    _x000D_
1  Go to      _x000D_
2  Press on       _x000D_
3  Swipe down to       _x000D_
   _x000D_
Click on any video  any at all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Open the video_x000D_
    Actual behaviour_x000D_
     Tell us what happens instead     _x000D_
Newpipe crashes and shows the error report (below)_x000D_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requested stream_x000D_
    Request:   https:  www youtube com watch v xP9A0oH 6mw_x000D_
    Content Country:   AU_x000D_
    Content Language:   en_x000D_
    App Language:   en AU_x000D_
    Service:   YouTube_x000D_
    Version:   0 21 7 _x000D_
    OS:   Linux Android 8 1 0   27_x000D_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java:117)_x000D_
 at org schabi newpipe util    Lambda ExtractorHelper YTHJjScxCJNO1LTCqs3IKy35iyY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_x000D_
   _x000D_
  details _x000D_
 hr </t>
  </si>
  <si>
    <t>PojavLauncherTeam-PojavLauncher-1745</t>
  </si>
  <si>
    <t>[BUG] couldnt hear sound in game.</t>
  </si>
  <si>
    <t xml:space="preserve">    Describe the bug
Application exited with code 1 in loading 2 second later_x000D_
_x000D_
_x000D_
And i cant hear sound in game like UI sound mob sound walking sound and others (all) i couldnt download assets file  So i need assets file     Then sounds come on game  _x000D_
_x000D_
_x000D_
_x000D_
Sometime mouse not work_x000D_
_x000D_
If i optifine game identify crash 
    The log file and images videos
 No response 
    Steps To Reproduce
   markdown
1  Start pojavlauncher_x000D_
2  Log in_x000D_
3  Renderer
    Expected Behavior
I need help
    Platform
   markdown
  Device model:samsung M21 4 64 gb_x000D_
  CPU architecture: 64_x000D_
  Android version: 11_x000D_
  PojavLauncher version: 3 3 1 1
    Anything else 
How to fix these</t>
  </si>
  <si>
    <t>TeamNewPipe-NewPipe-6794</t>
  </si>
  <si>
    <t>Clicking on any YouTube video link in the description opens in popup player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</si>
  <si>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Pick any YouTube video with a YouTube video link in the description (in this case  I used this  video (https:  www youtube com watch v 2IKqkRTo11A) as a test case)_x000D_
2  Tap on any YouTube video link in the description_x000D_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linked video will open in popup view  along with the video s information_x000D_
_x000D_
_x000D_
    Expected behavior_x000D_
     Tell us what you expect to happen     _x000D_
It should only open the video s information_x000D_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Popup video bug in action_x000D_
https:  user images githubusercontent com 46585888 127426193 8060e4f5 dacb 4383 b041 7696a0573f89 mp4_x000D_
_x000D_
Current video behavior settings_x000D_
  newpipe bugreport currentsettings (https:  user images githubusercontent com 46585888 127426234 25fd161a 1f9e 45eb bafd ce1a25eca935 jpg)_x000D_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MIUI 12 0 6 stable_x000D_
   Device model: Xiaomi Mi 9T Pro_x000D_
</t>
  </si>
  <si>
    <t>TeamNewPipe-NewPipe-6793</t>
  </si>
  <si>
    <t>Clicking on a channel link opens a video on that channel</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</si>
  <si>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https:  www youtube com watch v C4QDn6kD9Ng_x000D_
2  Navigate to the video info_x000D_
3  Scroll down to the link https:  www youtube com channel UCwSozl89jl2zUDzQ4jGJD3g and click on it_x000D_
4  Select NewPipe_x000D_
5  A video from that channel will then open instead of simply opening the channel  If you have open videos in popup by default the popup will also be on the screen _x000D_
_x000D_
     If you can t cause the bug to show up again reliably (and hence don t have a proper set of steps to give us)  please still try to give as many details as possible on how you think you encountered the bug     _x000D_
_x000D_
    Actual behavior_x000D_
     Tell us what happens with the steps given above     _x000D_
A video from a channel plays _x000D_
_x000D_
    Expected behavior_x000D_
     Tell us what you expect to happen     _x000D_
The channel e main page with Subscribe button and list of videos should be opened (and the popup or other alternative default method should be ignored since this isn t a video link)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Logs_x000D_
     If your bug includes a crash (where you re shown the Error Report page with a bunch of info)  tap on  Copy formatted report  at the bottom and paste it here:    _x000D_
_x000D_
     That s right  here     _x000D_
_x000D_
     Please fill this out when you do not provide a log generate by NewPipe    _x000D_
_x000D_
    Device info_x000D_
_x000D_
   Android version Custom ROM version: 8 0_x000D_
   Device model: Samsung Galaxy S7 Edge_x000D_
</t>
  </si>
  <si>
    <t>getodk-collect-4747</t>
  </si>
  <si>
    <t>Don't crash if creating project name file fails</t>
  </si>
  <si>
    <t xml:space="preserve">     Software and hardware versions _x000D_
Collect v2021 2_x000D_
_x000D_
     Problem description_x000D_
_x000D_
We re seeing crashes when the app creates the project name file in the project directory sometimes _x000D_
_x000D_
     Steps to reproduce the problem_x000D_
_x000D_
No idea _x000D_
_x000D_
     Expected behavior_x000D_
_x000D_
We should just catch an error here and log a timber exception _x000D_
_x000D_
     Other information _x000D_
_x000D_
Crashlytics 1: https:  console firebase google com u 0 project api project 322300403941 crashlytics app android:org odk collect android issues 6cb3be6fd3c7416b7e26e3e323a94e69 versions v2021 2 0 20(4242) time last seven days sessionEventKey 610164F300AF00015A16A4C28B43EB15 1568426655704680846_x000D_
_x000D_
Crashlytics 2: https:  console firebase google com u 0 project api project 322300403941 crashlytics app android:org odk collect android issues 6cadfda014bd31a6beb82a9a4061f9b0 versions v2021 2 0 20(4242) time last seven days sessionEventKey 6100EC6602BF00012801ACBF9F2799DD 1568293742726811014_x000D_
</t>
  </si>
  <si>
    <t>TeamNewPipe-NewPipe-6790</t>
  </si>
  <si>
    <t>Newpipe Search button sometimes become unresponsive.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</si>
  <si>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Newpipe _x000D_
2  Press on  search button _x000D_
_x000D_
_x000D_
_x000D_
     If you can t cause the bug to show up again reliably (and hence don t have a proper set of steps to give us)  please still try to give as many details as possible on how you think you encountered the bug     _x000D_
_x000D_
The problem is that sometimes the search button seems unresponsive as the keyboard don t appear on screen  The problem started when that new  show played videos  button was added beside the search button_x000D_
_x000D_
    Actual behavior_x000D_
     Tell us what happens with the steps given above     _x000D_
When clicking the the search icon  the keyboard doesn t appear no matter how much click on it _x000D_
_x000D_
_x000D_
    Expected behavior_x000D_
     Tell us what you expect to happen     _x000D_
The keyboard should appear when the search button is clicked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 07 28 21 01 06 471 org schabi newpipe (https:  user images githubusercontent com 84506636 127347948 ba6e4054 a668 476b aa0a df762025daa7 jpg)_x000D_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10 (MIUI 11)_x000D_
   Device model: Redmi 8_x000D_
</t>
  </si>
  <si>
    <t>stefan-niedermann-nextcloud-notes-1308</t>
  </si>
  <si>
    <t xml:space="preserve">Crash  when there a long press and swipe over a note </t>
  </si>
  <si>
    <t xml:space="preserve">    bug Describing_x000D_
_x000D_
the app crash when there are a Long press and swipe to the  outside of the  note border _x000D_
it happens in the Grid view and also in the default view _x000D_
_x000D_
    To Reproduce_x000D_
_x000D_
1  Long press over any note _x000D_
2  Swipe to the outside border of the note _x000D_
3  Boom CRASH  _x000D_
_x000D_
   _x000D_
_x000D_
    More Info_x000D_
_x000D_
   _x000D_
App Version: 3 4 11_x000D_
App Version Code: 3004011_x000D_
App Flavor: fdroid_x000D_
_x000D_
Files App Version Code: 30160190_x000D_
_x000D_
   _x000D_
_x000D_
OS Version: 4 14 213 LineageOS gd263581e554a ab545c332bc8(545c332bc8)_x000D_
OS API Level: 29_x000D_
Device: davinci_x000D_
Manufacturer: Xiaomi_x000D_
Model (and Product): Mi 9T (davinci)_x000D_
_x000D_
   _x000D_
_x000D_
java lang ArrayIndexOutOfBoundsException: length 72  index  1_x000D_
 at java util ArrayList get(ArrayList java:439)_x000D_
 at it niedermann owncloud notes main items ItemAdapter getItem(ItemAdapter java:170)_x000D_
 at it niedermann owncloud notes main items selection ItemSelectionTracker 1 canSetStateAtPosition(ItemSelectionTracker java:34)_x000D_
 at androidx recyclerview selection GestureSelectionHelper handleMoveEvent(GestureSelectionHelper java:192)_x000D_
 at androidx recyclerview selection GestureSelectionHelper onTouchEvent(GestureSelectionHelper java:141)_x000D_
 at androidx recyclerview selection EventRouter onTouchEvent(EventRouter java:68)_x000D_
 at androidx recyclerview widget RecyclerView dispatchToOnItemTouchListeners(RecyclerView java:3259)_x000D_
 at androidx recyclerview widget RecyclerView onTouchEvent(RecyclerView java:3421)_x000D_
 at android view View dispatchTouchEvent(View java:13953)_x000D_
 at android view ViewGroup dispatchTransformedTouchEvent(ViewGroup java:3054)_x000D_
 at android view ViewGroup dispatchTouchEvent(ViewGroup java:2741)_x000D_
 at android view ViewGroup dispatchTransformedTouchEvent(ViewGroup java:3060)_x000D_
 at android view ViewGroup dispatchTouchEvent(ViewGroup java:2755)_x000D_
 at android view ViewGroup dispatchTransformedTouchEvent(ViewGroup java:3060)_x000D_
 at android view ViewGroup dispatchTouchEvent(ViewGroup java:2755)_x000D_
 at android view ViewGroup dispatchTransformedTouchEvent(ViewGroup java:3060)_x000D_
 at android view ViewGroup dispatchTouchEvent(ViewGroup java:2755)_x000D_
 at android view ViewGroup dispatchTransformedTouchEvent(ViewGroup java:3060)_x000D_
 at android view ViewGroup dispatchTouchEvent(ViewGroup java:2755)_x000D_
 at android view ViewGroup dispatchTransformedTouchEvent(ViewGroup java:3060)_x000D_
 at android view ViewGroup dispatchTouchEvent(ViewGroup java:2755)_x000D_
 at android view ViewGroup dispatchTransformedTouchEvent(ViewGroup java:3060)_x000D_
 at android view ViewGroup dispatchTouchEvent(ViewGroup java:2755)_x000D_
 at android view ViewGroup dispatchTransformedTouchEvent(ViewGroup java:3060)_x000D_
 at android view ViewGroup dispatchTouchEvent(ViewGroup java:2755)_x000D_
 at android view ViewGroup dispatchTransformedTouchEvent(ViewGroup java:3060)_x000D_
 at android view ViewGroup dispatchTouchEvent(ViewGroup java:2755)_x000D_
 at android view ViewGroup dispatchTransformedTouchEvent(ViewGroup java:3060)_x000D_
 at android view ViewGroup dispatchTouchEvent(ViewGroup java:2755)_x000D_
 at android view ViewGroup dispatchTransformedTouchEvent(ViewGroup java:3060)_x000D_
 at android view ViewGroup dispatchTouchEvent(ViewGroup java:2755)_x000D_
 at com android internal policy DecorView superDispatchTouchEvent(DecorView java:465)_x000D_
 at com android internal policy PhoneWindow superDispatchTouchEvent(PhoneWindow java:1849)_x000D_
 at android app Activity dispatchTouchEvent(Activity java:4011)_x000D_
 at androidx appcompat view WindowCallbackWrapper dispatchTouchEvent(WindowCallbackWrapper java:69)_x000D_
 at androidx appcompat view WindowCallbackWrapper dispatchTouchEvent(WindowCallbackWrapper java:69)_x000D_
 at com android internal policy DecorView dispatchTouchEvent(DecorView java:423)_x000D_
 at android view View dispatchPointerEvent(View java:14212)_x000D_
 at android view ViewRootImpl ViewPostImeInputStage processPointerEvent(ViewRootImpl java:5649)_x000D_
 at android view ViewRootImpl ViewPostImeInputStage onProcess(ViewRootImpl java:5452)_x000D_
 at android view ViewRootImpl InputStage deliver(ViewRootImpl java:4955)_x000D_
 at android view ViewRootImpl InputStage onDeliverToNext(ViewRootImpl java:5008)_x000D_
 at android view ViewRootImpl InputStage forward(ViewRootImpl java:4974)_x000D_
 at android view ViewRootImpl AsyncInputStage forward(ViewRootImpl java:5114)_x000D_
at android view ViewRootImpl InputStage apply(ViewRootImpl java:4982)_x000D_
 at android view ViewRootImpl AsyncInputStage apply(ViewRootImpl java:5171)_x000D_
 at android view ViewRootImpl InputStage deliver(ViewRootImpl java:4955)_x000D_
 at android view ViewRootImpl InputStage onDeliverToNext(ViewRootImpl java:5008)_x000D_
 at android view ViewRootImpl InputStage forward(ViewRootImpl java:4974)_x000D_
 at android view ViewRootImpl InputStage apply(ViewRootImpl java:4982)_x000D_
 at android view ViewRootImpl InputStage deliver(ViewRootImpl java:4955)_x000D_
 at android view ViewRootImpl deliverInputEvent(ViewRootImpl java:7672)_x000D_
 at android view ViewRootImpl doProcessInputEvents(ViewRootImpl java:7641)_x000D_
 at android view ViewRootImpl enqueueInputEvent(ViewRootImpl java:7602)_x000D_
 at android view ViewRootImpl WindowInputEventReceiver onInputEvent(ViewRootImpl java:7797)_x000D_
 at android view InputEventReceiver dispatchInputEvent(InputEventReceiver java:188)_x000D_
 at android view InputEventReceiver nativeConsumeBatchedInputEvents(Native Method)_x000D_
 at android view InputEventReceiver consumeBatchedInputEvents(InputEventReceiver java:178)_x000D_
 at android view ViewRootImpl doConsumeBatchedInput(ViewRootImpl java:7748)_x000D_
 at android view ViewRootImpl ConsumeBatchedInputRunnable run(ViewRootImpl java:7821)_x000D_
 at android view Choreographer CallbackRecord run(Choreographer java:967)_x000D_
 at android view Choreographer doCallbacks(Choreographer java:791)_x000D_
 at android view Choreographer doFrame(Choreographer java:719)_x000D_
 at android view Choreographer FrameDisplayEventReceiver run(Choreographer java:952)_x000D_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t>
  </si>
  <si>
    <t>getodk-collect-4744</t>
  </si>
  <si>
    <t>External apps can launch Collect without a project and cause a crash</t>
  </si>
  <si>
    <t xml:space="preserve">     Software and hardware versions _x000D_
Collect v2021 2_x000D_
_x000D_
     Problem description_x000D_
_x000D_
External apps can use URI actions or exported Activity objects to launch Collect for form picking  uploading etc  If this is done before a project has been set up (or after they ve all been deleted) there will be a crash in most cases _x000D_
_x000D_
     Steps to reproduce the problem_x000D_
_x000D_
We should investigate reproduction for different cases of this _x000D_
_x000D_
     Expected behavior_x000D_
_x000D_
Needs discussion_x000D_
_x000D_
     Other information _x000D_
_x000D_
Crashlytics report: https:  console firebase google com u 0 project api project 322300403941 crashlytics app android:org odk collect android issues 47751216b67c18700e9762eeb97d70de time last seven days versions v2021 2 0 20(4242) sessionEventKey 6100B78B008A00012BD8C855FCD73393 1568234035702076278_x000D_
</t>
  </si>
  <si>
    <t>getodk-collect-4743</t>
  </si>
  <si>
    <t>EDIT action for forms will crash if there are no projects</t>
  </si>
  <si>
    <t xml:space="preserve">     Software and hardware versions _x000D_
Collect v2021 2_x000D_
_x000D_
     Problem description_x000D_
_x000D_
Trying to open a form from a URI or shortcut when there are no projects causes a crash _x000D_
_x000D_
     Steps to reproduce the problem_x000D_
_x000D_
1  Create a shortcut for a form_x000D_
2  Delete all the projects in Collect_x000D_
3  Click on shortcut_x000D_
_x000D_
     Expected behavior_x000D_
_x000D_
Collect should a warning dialog and then close when the dialog is dismissed _x000D_
_x000D_
     Other information _x000D_
_x000D_
Crashlytics report: https:  console firebase google com u 0 project api project 322300403941 crashlytics app android:org odk collect android issues 7abd65245bbd49ab8e4cd8acb06ad287 time last seven days versions v2021 2 0 20(4242) sessionEventKey 61012C22032C00010321849F7FC5E726 1568363353904663998_x000D_
_x000D_
Stacktrace:_x000D_
_x000D_
   _x000D_
Caused by java util NoSuchElementException: List is empty _x000D_
       at kotlin collections CollectionsKt   CollectionsKt first(CollectionsKt   CollectionsKt java:212)_x000D_
       at kotlin collections CollectionsKt first(CollectionsKt java)_x000D_
       at org odk collect android external FormUriActivity onCreate(FormUriActivity java:28)_x000D_
       at android app Activity performCreate(Activity java:7895)_x000D_
       at android app Activity performCreate(Activity java:7883)_x000D_
       at android app Instrumentation callActivityOnCreate(Instrumentation java:1306)_x000D_
       at android app ActivityThread performLaunchActivity(ActivityThread java:3310)_x000D_
       at android app ActivityThread handleLaunchActivity(ActivityThread java:3491)_x000D_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java:2055)_x000D_
       at android os Handler dispatchMessage(Handler java:107)_x000D_
       at android os Looper loop(Looper java:214)_x000D_
       at android app ActivityThread main(ActivityThread java:7649)_x000D_
       at java lang reflect Method invoke(Method java)_x000D_
       at com android internal os RuntimeInit MethodAndArgsCaller run(RuntimeInit java:503)_x000D_
       at com android internal os ZygoteInit main(ZygoteInit java:936)_x000D_
   _x000D_
</t>
  </si>
  <si>
    <t>gluonhq-substrate-970</t>
  </si>
  <si>
    <t>Cannot locate symbol "JNI_OnLoad_awt"</t>
  </si>
  <si>
    <t xml:space="preserve">I can build my app for Android without problem on a cloud Linux server and install it on my phone locally on a Mac but when I try to run it  it immediately crashes with the following message:_x000D_
   _x000D_
07 27 18:21:47 474 27745 27745 D AndroidRuntime: Shutting down VM_x000D_
07 27 18:21:47 480 27745 27745 E AndroidRuntime: FATAL EXCEPTION: main_x000D_
07 27 18:21:47 480 27745 27745 E AndroidRuntime: Process: de mpmediasoft de mpmediasoft mpcopilot main mobile  PID: 27745_x000D_
07 27 18:21:47 480 27745 27745 E AndroidRuntime: java lang UnsatisfiedLinkError: dlopen failed: cannot locate symbol  JNI OnLoad awt  referenced by   data app de mpmediasoft de mpmediasoft mpcopilot main mobile 1w1DHRwQS 1dYQSHw19ouw   lib arm64 libsubstrate so    _x000D_
07 27 18:21:47 480 27745 27745 E AndroidRuntime: 	at java lang Runtime loadLibrary0(Runtime java:1016)_x000D_
07 27 18:21:47 480 27745 27745 E AndroidRuntime: 	at java lang System loadLibrary(System java:1657)_x000D_
07 27 18:21:47 480 27745 27745 E AndroidRuntime: 	at com gluonhq helloandroid MainActivity surfaceCreated(MainActivity java:104)_x000D_
07 27 18:21:47 480 27745 27745 E AndroidRuntime: 	at android view SurfaceView updateSurface(SurfaceView java:753)_x000D_
07 27 18:21:47 480 27745 27745 E AndroidRuntime: 	at android view SurfaceView 2 onPreDraw(SurfaceView java:154)_x000D_
07 27 18:21:47 480 27745 27745 E AndroidRuntime: 	at android view ViewTreeObserver dispatchOnPreDraw(ViewTreeObserver java:1045)_x000D_
07 27 18:21:47 480 27745 27745 E AndroidRuntime: 	at android view ViewRootImpl performTraversals(ViewRootImpl java:2808)_x000D_
07 27 18:21:47 480 27745 27745 E AndroidRuntime: 	at android view ViewRootImpl doTraversal(ViewRootImpl java:1780)_x000D_
07 27 18:21:47 480 27745 27745 E AndroidRuntime: 	at android view ViewRootImpl TraversalRunnable run(ViewRootImpl java:7827)_x000D_
07 27 18:21:47 480 27745 27745 E AndroidRuntime: 	at android view Choreographer CallbackRecord run(Choreographer java:911)_x000D_
07 27 18:21:47 480 27745 27745 E AndroidRuntime: 	at android view Choreographer doCallbacks(Choreographer java:723)_x000D_
07 27 18:21:47 480 27745 27745 E AndroidRuntime: 	at android view Choreographer doFrame(Choreographer java:658)_x000D_
07 27 18:21:47 480 27745 27745 E AndroidRuntime: 	at android view Choreographer FrameDisplayEventReceiver run(Choreographer java:897)_x000D_
07 27 18:21:47 480 27745 27745 E AndroidRuntime: 	at android os Handler handleCallback(Handler java:789)_x000D_
07 27 18:21:47 480 27745 27745 E AndroidRuntime: 	at android os Handler dispatchMessage(Handler java:98)_x000D_
07 27 18:21:47 480 27745 27745 E AndroidRuntime: 	at android os Looper loop(Looper java:164)_x000D_
07 27 18:21:47 480 27745 27745 E AndroidRuntime: 	at android app ActivityThread main(ActivityThread java:6944)_x000D_
07 27 18:21:47 480 27745 27745 E AndroidRuntime: 	at java lang reflect Method invoke(Native Method)_x000D_
07 27 18:21:47 480 27745 27745 E AndroidRuntime: 	at com android internal os Zygote MethodAndArgsCaller run(Zygote java:327)_x000D_
07 27 18:21:47 480 27745 27745 E AndroidRuntime: 	at com android internal os ZygoteInit main(ZygoteInit java:1374)_x000D_
   _x000D_
This looks very much like the bug reported here: https:  github com oracle graal issues 3406_x000D_
This stops me from creating and using any Android app with JavaFX  Is there any solution or workaround for this problem _x000D_
_x000D_
    Expected Behavior_x000D_
It should run and not crash _x000D_
_x000D_
    Current Behavior_x000D_
It crashes _x000D_
_x000D_
    Steps to Reproduce_x000D_
I cannot provide a simple example myself but see link above _x000D_
_x000D_
    Your Environment_x000D_
Built on a cloud instance of Ubuntu at Hetzner with gluonfx maven plugin 1 0 3 and graalvm svm linux gluon 21 2 0 dev  APK copied to macOS and installed via adb on a Samsung Galaxy S7 </t>
  </si>
  <si>
    <t>getodk-collect-4741</t>
  </si>
  <si>
    <t>App can crash if user navigates away during QR code camera permission request</t>
  </si>
  <si>
    <t xml:space="preserve">     Software and hardware versions _x000D_
Collect v2021 2_x000D_
_x000D_
     Problem description_x000D_
_x000D_
This is caused by the permission listener being called from a  Fragment  that might not exist anymore if the user navigates away and returns to the app  It s likely that this problem exists in more places than just the QR code scanner _x000D_
_x000D_
     Steps to reproduce the problem_x000D_
_x000D_
1  Enable  Don t Keep Activities  in Android s developer settings_x000D_
2  Load up the app and click  Configure with QR code _x000D_
3  Navigate away and back to the app_x000D_
4  Grant the camera permission_x000D_
_x000D_
The app will crash _x000D_
_x000D_
     Expected behavior_x000D_
_x000D_
The app shouldn t crash and the QR code scanner should start working when the permission is granted  _x000D_
_x000D_
The easiest way to fix this is to wrap the listener logic in a check for  isAdded()  in the fragment  It would be good to check that there aren t other parts of the app that this explodes in as well _x000D_
_x000D_
     Other information _x000D_
_x000D_
Crashlytics report: https:  console firebase google com u 0 project api project 322300403941 crashlytics app android:org odk collect android issues 2607b09cab75f549f23db58cc5e2ccb4 versions v2021 2 0 20(4242) time last seven days sessionEventKey 6100DFE5035A00013F5508F69F6D6234 1568284941612917881_x000D_
_x000D_
An example stack trace:_x000D_
_x000D_
   _x000D_
Caused by java lang IllegalStateException: Fragment QrCodeProjectCreatorDialog e3de41b  (5918c3b4 96da 410e b677 dacfc4fc02ca) not attached to an activity _x000D_
       at androidx fragment app Fragment requireActivity(Fragment java:928)_x000D_
       at org odk collect android projects QrCodeProjectCreatorDialog startScanning(QrCodeProjectCreatorDialog java:204)_x000D_
       at org odk collect android projects QrCodeProjectCreatorDialog access startScanning(QrCodeProjectCreatorDialog java:41)_x000D_
       at org odk collect android projects QrCodeProjectCreatorDialog onCreateView 3 granted(QrCodeProjectCreatorDialog java:129)_x000D_
       at org odk collect android permissions PermissionsProvider 2 granted(PermissionsProvider java:80)_x000D_
       at org odk collect android permissions PermissionsProvider 8 onPermissionGranted(PermissionsProvider java:190)_x000D_
       at com karumi dexter MultiplePermissionsListenerToPermissionListenerAdapter onPermissionsChecked(MultiplePermissionsListenerToPermissionListenerAdapter java:35)_x000D_
       at com karumi dexter MultiplePermissionListenerThreadDecorator 1 run(MultiplePermissionListenerThreadDecorator java:8)_x000D_
       at com karumi dexter MainThread execute(MainThread java:6)_x000D_
       at com karumi dexter MultiplePermissionListenerThreadDecorator onPermissionsChecked(MultiplePermissionListenerThreadDecorator java:7)_x000D_
       at com karumi dexter DexterInstance onPermissionsChecked(DexterInstance java:56)_x000D_
       at com karumi dexter DexterInstance updatePermissionsAsGranted(DexterInstance java:26)_x000D_
       at com karumi dexter DexterInstance onPermissionRequestGranted(DexterInstance java)_x000D_
       at com karumi dexter Dexter onPermissionsRequested(Dexter java:4)_x000D_
       at com karumi dexter DexterActivity onRequestPermissionsResult(DexterActivity java:51)_x000D_
       at android app Activity dispatchRequestPermissionsResult(Activity java:7994)_x000D_
       at android app Activity dispatchActivityResult(Activity java:7816)_x000D_
       at android app ActivityThread deliverResults(ActivityThread java:4700)_x000D_
       at android app ActivityThread handleSendResult(ActivityThread java:4749)_x000D_
       at android app servertransaction ActivityResultItem execute(ActivityResultItem java:49)_x000D_
       at android app servertransaction TransactionExecutor executeCallbacks(TransactionExecutor java:108)_x000D_
       at android app servertransaction TransactionExecutor execute(TransactionExecutor java:68)_x000D_
       at android app ActivityThread H handleMessage(ActivityThread java:1991)_x000D_
       at android os Handler dispatchMessage(Handler java:106)_x000D_
       at android os Looper loop(Looper java:216)_x000D_
       at android app ActivityThread main(ActivityThread java:7258)_x000D_
       at java lang reflect Method invoke(Method java)_x000D_
       at com android internal os RuntimeInit MethodAndArgsCaller run(RuntimeInit java:494)_x000D_
       at com android internal os ZygoteInit main(ZygoteInit java:975)_x000D_
   _x000D_
</t>
  </si>
  <si>
    <t>TeamNewPipe-NewPipe-6788</t>
  </si>
  <si>
    <t>Full Screen Minimize Gesture Conflicts with Background Player Track Progress / Seek Bar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</si>
  <si>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Try  Start playing any video music playlist in the background _x000D_
2  Navigate and maximize open  Background player queue that is found in the notification bar _x000D_
3  If the phone has full screen gestures activated  and the selected video music playlist is running  Try to minimize the currently open background player screen with a swiping action from bottom edge of the screen towards the middle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finger will interact with seekbar and make the track jump exactly to the position where the finger crossed it while attempting to minimize the background player screen window _x000D_
_x000D_
_x000D_
_x000D_
    Expected behavior_x000D_
     Tell us what you expect to happen     _x000D_
Full screen gestures shall not overlap or interact with any of the navigational elements within the application  Otherwise it creates false inputs as stated above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20210721 142840 NewPipe (https:  user images githubusercontent com 47911521 127290658 b60b625f 6e5f 4f80 831c 4f602d36e5ab jpg)_x000D_
 Video of the bug with  Show visual feedback for taps  activated  (streamable com) (https:  streamable com hyk9e9) _x000D_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N A_x000D_
     That s right  here     _x000D_
_x000D_
_x000D_
_x000D_
     Please fill this out when you do not provide a log generate by NewPipe    _x000D_
_x000D_
    Device info_x000D_
   Android version: Android 11   OneUI 3 1_x000D_
   Device model: Samsung Galaxy S10e_x000D_
</t>
  </si>
  <si>
    <t>getodk-collect-4740</t>
  </si>
  <si>
    <t>BaseEncoding$DecodingException</t>
  </si>
  <si>
    <t xml:space="preserve">     Software and hardware versions _x000D_
Collect v2021 2 0_x000D_
_x000D_
     Problem description_x000D_
https:  console firebase google com u 1 project api project 322300403941 crashlytics app android:org odk collect android issues af3e3def7568395f1fe76cadafc4bb5a time last seven days versions v2021 2 0 20(4242) sessionEventKey 61009DC6028300010C4FE545FB872E17 1568208913187990777_x000D_
_x000D_
   _x000D_
Caused by com google common io BaseEncoding DecodingException: Unrecognized character: :_x000D_
       at com google common io BaseEncoding Alphabet decode(BaseEncoding java:492)_x000D_
       at com google common io BaseEncoding Base64Encoding decodeTo(BaseEncoding java:974)_x000D_
       at com google common io BaseEncoding decodeChecked(BaseEncoding java:233)_x000D_
       at com google common io BaseEncoding decode(BaseEncoding java:217)_x000D_
       at com google api client util Base64 decodeBase64(Base64 java:104)_x000D_
       at org odk collect android utilities CompressionUtils decompress(CompressionUtils java:74)_x000D_
       at org odk collect android projects QrCodeProjectCreatorDialog startScanning 1 onChanged(QrCodeProjectCreatorDialog java:219)_x000D_
       at org odk collect android projects QrCodeProjectCreatorDialog startScanning 1 onChanged(QrCodeProjectCreatorDialog java:41)_x000D_
       at androidx lifecycle LiveData considerNotify(LiveData java:133)_x000D_
       at androidx lifecycle LiveData dispatchingValue(LiveData java:151)_x000D_
       at androidx lifecycle LiveData setValue(LiveData java:309)_x000D_
       at androidx lifecycle MutableLiveData setValue(MutableLiveData java:50)_x000D_
       at org odk collect android views BarcodeViewDecoder 1 barcodeResult(BarcodeViewDecoder java:21)_x000D_
       at com journeyapps barcodescanner DecoratedBarcodeView WrappedCallback barcodeResult(DecoratedBarcodeView java:50)_x000D_
       at com journeyapps barcodescanner BarcodeView 1 handleMessage(BarcodeView java:52)_x000D_
   </t>
  </si>
  <si>
    <t>MadivaLenny-Calculator-1</t>
  </si>
  <si>
    <t>Delete button functionality</t>
  </si>
  <si>
    <t>App crashes when a user taps the Delete Cancel button followed by the Equals button</t>
  </si>
  <si>
    <t>opensrp-opensrp-client-chw-1842</t>
  </si>
  <si>
    <t>CRVS App Release - Feedback</t>
  </si>
  <si>
    <t>Issues found after review_x000D_
   x  Birth Death certification and Out of Area icons to be updated_x000D_
   x  Change  Out of area registration  to  Out of area birth _x000D_
   x  On child registration  take picture app logs out crashes   review Firebase crashlytics _x000D_
   x  Out of area death DOB limiting to adult only (over 5yrs)_x000D_
   x  Out of area birth death registrations do not show up on death birth certification (summary)_x000D_
   x  Out of Area registration remove checkbox for Surname same as family name  registrants not linked to any families_x000D_
   x  Death certificate issuance date limited to today s date</t>
  </si>
  <si>
    <t>TeamNewPipe-NewPipe-6783</t>
  </si>
  <si>
    <t>Unable to import database since version 0.21.6</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</si>
  <si>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Export a  zip file of the settings   history from NewPipe by going to Settings   Content   Export database _x000D_
2  Attempt to import this  zip file back into NewPipe by going to Settings   Content   Import database _x000D_
_x000D_
    Actual behaviour_x000D_
During the import stage  rather than allowing the  zip file containing the exported DB to be selected  the file picker instead goes  inside  the  zip file  showing the exported files inside the zip file  Naturally  selecting one of these files results in the import failing as it is expecting a  zip file _x000D_
_x000D_
    Expected behaviour_x000D_
During the import stage  what should happen is that the file picker should allow the  zip file to be selected  to allow the import to succeed _x000D_
_x000D_
    Screenshots Screen recordings_x000D_
Below is a screen recording of me:_x000D_
1  Exporting the settings to a  zip_x000D_
2  Attempting to import the  zip back into NewPipe  When the file picker does not let me select the  zip and instead goes into the  zip  I attempt to select one of the files inside the  zip in case that works  but (inevitably) this leads to a crash during import _x000D_
_x000D_
https:  user images githubusercontent com 13520045 127225626 f80be85a af97 417d b08e 1fcb71ab1f37 mp4_x000D_
_x000D_
    Device info_x000D_
_x000D_
   Android version Custom ROM version: Android 7 0   24_x000D_
   Device model: Alba 5 (cheap phone sold in the UK by Argos  from tracing the IMEI it s manufactured by Archos)_x000D_
_x000D_
    Possible cause of the issue_x000D_
_x000D_
My suspicion is that this issue is caused by the upgrade to the Storage Access Framework as part of  0 21 6 (https:  newpipe net blog pinned release newpipe 0 21 6 released ) _x000D_
_x000D_
    How to get past the issue_x000D_
_x000D_
The easiest way to get past the issue is to downgrade to release 0 21 5  where importing from a  zip still works fine  From there you can import the settings   history  then upgrade back to the latest release (since settings and history are preserved when upgrading through F Droid repositories) </t>
  </si>
  <si>
    <t>TeamNewPipe-NewPipe-6781</t>
  </si>
  <si>
    <t>After Subscription-Update Channel Group is "stuck in the past"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</si>
  <si>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from f droid  issue already existed on 0 21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Note: This only works if at least one of the included channels has a new video posted that the app hasn t received yet  so you might have to check this precondition with a different device or have to be a bit lucky with when you try to reload the channel information  Any attempts to look this up in the same app will prevent the issue from showing up _x000D_
1  Open the app_x000D_
2  Switch to the  Subscription  Tab_x000D_
3  Select a Channel Group_x000D_
4  Swipe down to reload the channel information for the channels included in this group (might also work with the default  All  group but given the mentioned problem that there has to be an update to load for this issue to occur  I haven t checked every single possibility  for me this always happens in the one group I m actually interested in)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group view seems to be  stuck  exactly where it was before the information update  So  if there was a video A at the very top of the list  this video will still be at the very top of the screen  If now some newer video is available  this new video B won t be visible at first  Only swiping down will reveal whether there were newer videos or whether the reload hasn t found any updates  In case there were no updates  swiping down will show the  reload arrow  indicator (the  if you release the finger now  the app will reload  overlay)  If there were updates for the app to fetch  you will see video B sliding in from above video A _x000D_
_x000D_
As a little add on for this bug report  there is the issue that videos in this list can swap positions after reload  But I guess this issue is out of your control  I assume that the video timestamps that YouTube reports to you are inexact and ambiguous such that _x000D_
the app simply has no final information to create an ultimate sorting order that will never change  But the reason why I bring this up here is  that through this other phenomenon  videos can  disappear  after a reload  If video A is on top of the list and video B is below video A  but both have more or less the same timestamp  after the reload video B can be sorted above   newer as video A and   as I said   disappear until you swipe back down to reveal that video B was just swapped with video A  But because video A appears to be the anchor point for this view  video B was out of sight after the reload _x000D_
_x000D_
I haven t encountered what happens if video A is no longer available (marked as private unlisted) on its channel  This video seems to be the anchor  so if this video is just gone  the app might even show stranger behavior _x000D_
_x000D_
_x000D_
    Expected behavior_x000D_
     Tell us what you expect to happen     _x000D_
With an older version that I used to run until a few days ago (I assume this was 0 21 5 but I m not exactly sure here  I only check version numbers if something goes wrong  ) ) this view behaved exactly like I would assume this view to still work  If I swipe down to update the information  I have to be at the top of the list (otherwise swiping down would simply scroll up the list)  So after the update process finished I expect to still be at the top of the list  If you update the information with the small arrow button  this might not be the same (I could see an argument that if you use the arrow button you might want to stay at the position you were before especially because you don t have to be at the top of the list to update using the arrow button)  but the swiping method clearly indicates (to me) that I want to be at the top of the list  and not somewhere far down the list (depending on the number of videos that were published since I last updated the list) _x000D_
_x000D_
That means that if there are updates in the group  I want the known videos to actually move down (as they did in the older version of the app) and the newly published videos to be actually and immediately visible  With this new behavior of the Channel Group update process  I don t get any visual feedback on whether the update found new videos or not unless I swipe down again  That is highly inconvenient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I could try to screen record this  but this would need a decent set up for me (I haven t tried screen recording before  so I had to get familiar with that first)  so unless my description isn t clear enough  I hope no recordings is fine  too _x000D_
_x000D_
_x000D_
_x000D_
    Logs_x000D_
     If your bug includes a crash (where you re shown the Error Report page with a bunch of info)  tap on  Copy formatted report  at the bottom and paste it here:    _x000D_
_x000D_
     That s right  here     _x000D_
_x000D_
No technical error  so no error log for this issue _x000D_
_x000D_
_x000D_
_x000D_
     Please fill this out when you do not provide a log generate by NewPipe    _x000D_
_x000D_
    Device info_x000D_
_x000D_
   Android version Custom ROM version: Android 7 1 2   Fairphone Open 19 05 2_x000D_
   Device model: Fairphone model 2_x000D_
</t>
  </si>
  <si>
    <t>nextcloud-android-8772</t>
  </si>
  <si>
    <t>andoid app crashes when nextcloud server is destoryed</t>
  </si>
  <si>
    <t xml:space="preserve">    Steps to reproduce_x000D_
1  Create nextcloud server_x000D_
2  Connect android app to it_x000D_
3  Destroy nextcloud server_x000D_
4  Go back to the app and it crashes with NPE _x000D_
_x000D_
    Expected behaviour_x000D_
  should invalidate any sessions and go back to login scree _x000D_
_x000D_
    Actual behaviour_x000D_
  just crashes_x000D_
_x000D_
    Can you reproduce this problem on https:  try_x000D_
No_x000D_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</si>
  <si>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k9mail-k-9-5457</t>
  </si>
  <si>
    <t>Crash on "empty trash"</t>
  </si>
  <si>
    <t xml:space="preserve">  Describe the bug  _x000D_
Application crashes once I try to empty trash on imap folder_x000D_
_x000D_
  To Reproduce  _x000D_
1  Go to  deleted items  folder_x000D_
2  Click on      _x000D_
3  Click on  empty trash _x000D_
4  application crash_x000D_
_x000D_
  Expected behavior  _x000D_
expect no crash_x000D_
_x000D_
  Environment  _x000D_
   K 9 Mail version: 5 800_x000D_
   Android version: 9_x000D_
   Device: ZTE Axon 9_x000D_
   Account type: IMAP_x000D_
_x000D_
  Logs  _x000D_
Please take some time to  retrieve logs (https:  github com k9mail k 9 wiki LoggingErrors) and attach them here:_x000D_
   _x000D_
2021 07 27 14:41:25 832 2549 30323   E memtrack: Couldn t load memtrack module_x000D_
2021 07 27 14:41:25 832 2549 30323   W android os Debug: failed to get memory consumption info:  1_x000D_
2021 07 27 14:41:26 330 2161 2161   D VendorServiceStateTracker: handleMessage: Event: 12_x000D_
2021 07 27 14:41:26 333 2161 2161   D VendorServiceStateTracker: handleMessage: Event: 100_x000D_
2021 07 27 14:41:26 333 2161 2161   D VendorServiceStateTracker:  0  Event EVENT VENDOR SIGNAL STRENGTH UPDATE Received_x000D_
2021 07 27 14:41:26 333 2161 2161   D VendorServiceStateTracker: mLteEarfcn   1  lteBand   1_x000D_
2021 07 27 14:41:26 336 1997 2362   D class com zte adapt systemui MobileSignalControllerAdapt: Signal changed  Google 4 operator 5_x000D_
2021 07 27 14:41:26 385 2161 2161   D VendorServiceStateTracker: handleMessage: Event: 43_x000D_
2021 07 27 14:41:26 512 29060 29147   D OpenGLRenderer: endAllActiveAnimators on 0x7003984a00 (RippleDrawable) with handle 0x70038e2ae0_x000D_
2021 07 27 14:41:26 538 1997 1997   D LightBarControllerAdapt: forbitLightMode:false_x000D_
2021 07 27 14:41:26 538 1997 1997   D LightBarControllerAdapt: forbitLightMode:false_x000D_
2021 07 27 14:41:26 652 29060 29101   W CursorWindow: Window is full: requested allocation 517 bytes  free space 7 bytes  window size 2097152 bytes_x000D_
2021 07 27 14:41:26 689 715 1773   W SurfaceFlinger: Attempting to set client state on removed layer: com fsck k9 com fsck k9 activity MessageList 1_x000D_
2021 07 27 14:41:26 689 715 1773   W SurfaceFlinger: Attempting to destroy on removed layer: com fsck k9 com fsck k9 activity MessageList 1_x000D_
2021 07 27 14:41:26 691 715 795   W SurfaceFlinger: Attempting to set client state on removed layer: Surface(name c07cf8a com fsck k9 com fsck k9 activity MessageList)  0xf3d3a18   animation leash 0_x000D_
2021 07 27 14:41:26 691 715 795   W SurfaceFlinger: Attempting to destroy on removed layer: Surface(name c07cf8a com fsck k9 com fsck k9 activity MessageList)  0xf3d3a18   animation leash 0_x000D_
2021 07 27 14:41:26 705 715 1773   W SurfaceFlinger: Attempting to set client state on removed layer: Dim Layer for   Task 18212 0_x000D_
2021 07 27 14:41:26 769 10512 10512   D SWPD: PD: R  W_x000D_
2021 07 27 14:41:26 816 29060 29524   W CursorWindow: Window is full: requested allocation 517 bytes  free space 7 bytes  window size 2097152 bytes_x000D_
2021 07 27 14:41:26 863 2549 2549   D BoundBrokerSvc: onUnbind: Intent   act com google android gms clearcut bootcount service START cmp com google android gms  chimera PersistentBoundBrokerService  _x000D_
2021 07 27 14:41:27 006 29060 29101   E CursorWindow: Failed to read row 919  column 0 from a CursorWindow which has 918 rows  19 columns _x000D_
    _x000D_
              beginning of crash_x000D_
2021 07 27 14:41:27 007 29060 29060   E AndroidRuntime: FATAL EXCEPTION: main_x000D_
    Process: com fsck k9  PID: 29060_x000D_
    java lang IllegalStateException: Couldn t read row 919  col 0 from CursorWindow   Make sure the Cursor is initialized correctly before accessing data from it _x000D_
        at android database CursorWindow nativeGetLong(Native Method)_x000D_
        at android database CursorWindow getLong(CursorWindow java:538)_x000D_
        at android database AbstractWindowedCursor getLong(AbstractWindowedCursor java:75)_x000D_
        at android database CursorWrapper getLong(CursorWrapper java:127)_x000D_
        at android database CursorWrapper getLong(CursorWrapper java:127)_x000D_
        at com fsck k9 provider EmailProvider SpecialColumnsCursor getLong(EmailProvider java:689)_x000D_
        at com fsck k9 cache EmailProviderCacheCursor  init (EmailProviderCacheCursor java:47)_x000D_
        at com fsck k9 provider EmailProvider query(EmailProvider java:248)_x000D_
        at android content ContentProvider query(ContentProvider java:1083)_x000D_
        at android content ContentProvider query(ContentProvider java:1175)_x000D_
        at android content ContentProvider Transport query(ContentProvider java:267)_x000D_
        at android content ContentResolver query(ContentResolver java:804)_x000D_
        at android content ContentResolver query(ContentResolver java:753)_x000D_
        at android content ContentResolver query(ContentResolver java:711)_x000D_
        at com fsck k9 ui messagelist MessageListLoader loadMessageListForAccount(MessageListLoader kt:125)_x000D_
        at com fsck k9 ui messagelist MessageListLoader getMessageList(MessageListLoader kt:45)_x000D_
        at com fsck k9 ui messagelist MessageListLiveData loadMessageListAsync 1 1 invokeSuspend(MessageListLiveData kt:33)_x000D_
        at kotlin coroutines jvm internal BaseContinuationImpl resumeWith(ContinuationImpl kt:33)_x000D_
        at kotlinx coroutines DispatchedTask run(DispatchedTask kt:106)_x000D_
        at kotlinx coroutines scheduling CoroutineScheduler runSafely(CoroutineScheduler kt:571)_x000D_
        at kotlinx coroutines scheduling CoroutineScheduler Worker executeTask(CoroutineScheduler kt:750)_x000D_
        at kotlinx coroutines scheduling CoroutineScheduler Worker runWorker(CoroutineScheduler kt:678)_x000D_
        at kotlinx coroutines scheduling CoroutineScheduler Worker run(CoroutineScheduler kt:665)_x000D_
    _x000D_
    _x000D_
              beginning of system_x000D_
2021 07 27 14:41:27 012 1458 4281   W ActivityManager:   Force finishing activity com fsck k9  activity MessageList_x000D_
2021 07 27 14:41:27 016 1458 4281   D ActivityTrigger: ActivityTrigger activityPauseTrigger _x000D_
2021 07 27 14:41:27 022 29060 29060   I Process: Sending signal  PID: 29060 SIG: 9_x000D_
   </t>
  </si>
  <si>
    <t>TeamNewPipe-NewPipe-6780</t>
  </si>
  <si>
    <t>Crash when sharing link of a video not on supported platform</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</si>
  <si>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1  Open this link https:  tilvids com videos watch f869e331 1cfa 44b1 8685 5d35ffa0c516 _x000D_
2  Open with newpipe_x000D_
3  See error_x000D_
_x000D_
_x000D_
    Actual behavior_x000D_
     Tell us what happens with the steps given above     _x000D_
Showed itself for a video platform it does not support_x000D_
_x000D_
_x000D_
    Expected behavior_x000D_
     Tell us what you expect to happen     _x000D_
Not show in open with_x000D_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GB_x000D_
    Content Language:   en GB_x000D_
    App Language:   en GB_x000D_
    Service:   none_x000D_
    Version:   0 21 6_x000D_
    OS:   Linux Android 7 1 1   25_x000D_
 details  summary  b Crash log   b   summary  p _x000D_
_x000D_
   _x000D_
java lang RuntimeException: Unable to create service org schabi newpipe player MainPlayer: java lang RuntimeException: org schabi newpipe extractor exceptions ParsingException: Embedded info did not provide YouTube player js url_x000D_
	at android app ActivityThread handleCreateService(ActivityThread java:3573)_x000D_
	at android app ActivityThread  wrap6(ActivityThread java)_x000D_
	at android app ActivityThread H handleMessage(ActivityThread java:1749)_x000D_
	at android os Handler dispatchMessage(Handler java:102)_x000D_
	at android os Looper loop(Looper java:154)_x000D_
	at android app ActivityThread main(ActivityThread java:6823)_x000D_
	at java lang reflect Method invoke(Native Method)_x000D_
	at com android internal os ZygoteInit MethodAndArgsCaller run(ZygoteInit java:1563)_x000D_
	at com android internal os ZygoteInit main(ZygoteInit java:1451)_x000D_
Caused by: java lang RuntimeException: org schabi newpipe extractor exceptions ParsingException: Embedded info did not provide YouTube player js url_x000D_
	at org schabi newpipe player helper PlayerDataSource  init (PlayerDataSource java:80)_x000D_
	at org schabi newpipe player Player  init (Player java:396)_x000D_
	at org schabi newpipe player MainPlayer createView(MainPlayer java:106)_x000D_
	at org schabi newpipe player MainPlayer onCreate(MainPlayer java:100)_x000D_
	at android app ActivityThread handleCreateService(ActivityThread java:3563)_x000D_
	    8 more_x000D_
Caused by: org schabi newpipe extractor exceptions ParsingException: Embedded info did not provide YouTube player js url_x000D_
	at org schabi newpipe extractor services youtube YoutubeJavaScriptExtractor extractJavaScriptUrl(YoutubeJavaScriptExtractor java:82)_x000D_
	at org schabi newpipe extractor services youtube YoutubeJavaScriptExtractor extractJavaScriptCode(YoutubeJavaScriptExtractor java:40)_x000D_
	at org schabi newpipe extractor services youtube YoutubeJavaScriptExtractor extractJavaScriptCode(YoutubeJavaScriptExtractor java:56)_x000D_
	at org schabi newpipe extractor services youtube YoutubeThrottlingDecrypter  init (YoutubeThrottlingDecrypter java:45)_x000D_
	at org schabi newpipe player helper PlayerDataSource  init (PlayerDataSource java:44)_x000D_
	    12 more_x000D_
_x000D_
   _x000D_
  details _x000D_
 hr _x000D_
_x000D_
_x000D_
_x000D_
     Please fill this out when you do not provide a log generate by NewPipe    _x000D_
_x000D_
    Device info_x000D_
_x000D_
   Android version Custom ROM version: V 7 1 1 Nougat_x000D_
   Device model: Samsung Galaxy Tab A SM P555_x000D_
</t>
  </si>
  <si>
    <t>nextcloud-android-8771</t>
  </si>
  <si>
    <t>Nextcloud app keeps crashing</t>
  </si>
  <si>
    <t xml:space="preserve">    Steps to reproduce_x000D_
1  Install nextcloud app from fdroid repo 3 16 1 or 3 17 0 RC1_x000D_
2  Login to account_x000D_
3  The app crashes_x000D_
_x000D_
    Expected behaviour_x000D_
Login to account and load data    _x000D_
_x000D_
    Actual behaviour_x000D_
App crashes_x000D_
_x000D_
    Environment data_x000D_
Android version: 11_x000D_
_x000D_
Device model: Pixel 3a_x000D_
_x000D_
Stock or customized system: GrapheneOS_x000D_
_x000D_
Nextcloud app version: 3 16 1 or 3 17 0 RC1_x000D_
_x000D_
Nextcloud server version: 21 0 3_x000D_
_x000D_
    Logs_x000D_
_x000D_
             CAUSE OF ERROR             _x000D_
_x000D_
android database sqlite SQLiteBlobTooBigException: Row too big to fit into CursorWindow requiredPos 0  totalRows 1_x000D_
	at android database sqlite SQLiteConnection nativeExecuteForCursorWindow(Native Method)_x000D_
	at android database sqlite SQLiteConnection executeForCursorWindow(SQLiteConnection java:1001)_x000D_
	at android database sqlite SQLiteSession executeForCursorWindow(SQLiteSession java:838)_x000D_
	at android database sqlite SQLiteQuery fillWindow(SQLiteQuery java:62)_x000D_
	at android database sqlite SQLiteCursor fillWindow(SQLiteCursor java:153)_x000D_
	at android database sqlite SQLiteCursor getCount(SQLiteCursor java:140)_x000D_
	at android content ContentResolver query(ContentResolver java:1202)_x000D_
	at android content ContentResolver query(ContentResolver java:1115)_x000D_
	at android content ContentResolver query(ContentResolver java:1071)_x000D_
	at com owncloud android datamodel FileDataStorageManager getFileCursorForValue(FileDataStorageManager java:950)_x000D_
	at com owncloud android datamodel FileDataStorageManager fileExists(FileDataStorageManager java:933)_x000D_
	at com owncloud android datamodel FileDataStorageManager fileExists(FileDataStorageManager java:179)_x000D_
	at com owncloud android datamodel FileDataStorageManager saveFile(FileDataStorageManager java:249)_x000D_
	at com owncloud android operations RefreshFolderOperation run(RefreshFolderOperation java:251)_x000D_
	at com owncloud android lib common operations RemoteOperation run(RemoteOperation java:363)_x000D_
	at java lang Thread run(Thread java:923)_x000D_
_x000D_
             APP INFORMATION             _x000D_
ID: com nextcloud client_x000D_
Version: 30170051_x000D_
Build flavor: generic_x000D_
_x000D_
             DEVICE INFORMATION             _x000D_
Brand: google_x000D_
Device: sargo_x000D_
Model: Pixel 3a_x000D_
_x000D_
             FIRMWARE             _x000D_
SDK: 30_x000D_
Release: 11_x000D_
Incremental: 2021 07 19 18_x000D_
</t>
  </si>
  <si>
    <t>google-ExoPlayer-9227</t>
  </si>
  <si>
    <t>Fatal signal 11 (SIGSEGV), code 1 (SEGV_MAPERR)</t>
  </si>
  <si>
    <t xml:space="preserve">When ExoPlayer video is playing   app is getting crash on few devices like one plus 6 (Android 10) and moto g 10 (Android 11)   Error is getting like this Fatal signal 11 (SIGSEGV)  code 1 (SEGV MAPERR)   Sent bug report on mail dev exoplayer gmail com </t>
  </si>
  <si>
    <t>getodk-collect-4733</t>
  </si>
  <si>
    <t>When form comes from v1.30 cache, selects from internal instances are broken in v2021.2</t>
  </si>
  <si>
    <t xml:space="preserve">     Software and hardware versions _x000D_
Collect v2021 2 betas_x000D_
_x000D_
     Problem description_x000D_
 Crashlytics (https:  console firebase google com u 0 project api project 322300403941 crashlytics app android:org odk collect android issues 29c4a0ad7245a5bb01fc22ccf7c46d8a time last seven days sessionEventKey 60FCA878004E0001551C15B0B2B3317D 1567092885019574065) _x000D_
_x000D_
     Steps to reproduce the problem_x000D_
1  Open any form that has a select from internal secondary instance such as  this one (https:  docs google com spreadsheets d 1wHRc5fDUZc06EyEPaGPP90uG QgpLkuDkG6XIH5Hft0 edit gid 0) in v1 30_x000D_
2  Upgrade to master or a v2021 2 beta_x000D_
3  Open the form and go to the select question_x000D_
4  See dialog with error  XPath evaluation: Instance xyz not found   select question can t be opened_x000D_
_x000D_
     Expected behavior_x000D_
When upgrading from v1 30  select questions continue to work_x000D_
_x000D_
     Other information _x000D_
  External secondary instances seem to work as expected_x000D_
   This (https:  github com getodk javarosa compare v3 1 0   master) is the JavaRosa diff  I searched for  readExternal   writeExternal  thinking there might have been a change to serialization but there was none  I searched for  instanceName  but only usage has changed  not how it s written _x000D_
   This (https:  github com getodk collect commits e4699b7b2af0150c3f71a8ab0c28866b0c3d08da collect app src main java org odk collect android utilities FormDefCache java) is the diff for  FormDefCache   Nothing interesting </t>
  </si>
  <si>
    <t>Anuken-Mindustry-5654</t>
  </si>
  <si>
    <t>author:me</t>
  </si>
  <si>
    <t>cgeo-cgeo-11332</t>
  </si>
  <si>
    <t>Opening a trackable crashes c:geo</t>
  </si>
  <si>
    <t xml:space="preserve">    Describe your problem 
When trying to swipe to the inventory tab of a cache  trying to open a trackable searching for its tracking code or clicking on a trackable in your inventory  c:geo crashes 
    How to reproduce 
  Search for TB59M9P
    Actual result after these steps 
Crasnh while loading trackable
    Expected result after these steps 
Trackable details shown
    Reproducible
Yes
    c:geo Version
2021 07 25 NB2
    System information
 No response 
    Additional Information
Crash log:_x000D_
   _x000D_
2021 07 27 00:18:48 481 31853 31853 cgeo geocaching E AndroidRuntime: FATAL EXCEPTION: main_x000D_
    Process: cgeo geocaching  PID: 31853_x000D_
    java lang NullPointerException: Attempt to invoke virtual method  cgeo geocaching models Trackable cgeo geocaching TrackableActivity getTrackable()  on a null object reference_x000D_
        at cgeo geocaching log TrackableLogsViewCreator  init (TrackableLogsViewCreator java:31)_x000D_
        at cgeo geocaching TrackableActivity createNewFragment(TrackableActivity java:371)_x000D_
        at cgeo geocaching activity TabbedViewPagerActivity ViewPagerAdapter createFragment(TabbedViewPagerActivity java:164)_x000D_
        at androidx viewpager2 adapter FragmentStateAdapter ensureFragment(FragmentStateAdapter java:268)_x000D_
        at androidx viewpager2 adapter FragmentStateAdapter onBindViewHolder(FragmentStateAdapter java:175)_x000D_
        at androidx viewpager2 adapter FragmentStateAdapter onBindViewHolder(FragmentStateAdapter java:67)_x000D_
        at androidx recyclerview widget RecyclerView Adapter onBindViewHolder(RecyclerView java:7254)_x000D_
        at androidx recyclerview widget RecyclerView Adapter bindViewHolder(RecyclerView java:7337)_x000D_
        at androidx recyclerview widget RecyclerView Recycler tryBindViewHolderByDeadline(RecyclerView java:6194)_x000D_
        at androidx recyclerview widget RecyclerView Recycler tryGetViewHolderForPositionByDeadline(RecyclerView java:6460)_x000D_
        at androidx recyclerview widget RecyclerView Recycler getViewForPosition(RecyclerView java:6300)_x000D_
        at androidx recyclerview widget RecyclerView Recycler getViewForPosition(RecyclerView java:6296)_x000D_
        at androidx recyclerview widget LinearLayoutManager LayoutState next(LinearLayoutManager java:2330)_x000D_
        at androidx recyclerview widget LinearLayoutManager layoutChunk(LinearLayoutManager java:1631)_x000D_
        at androidx recyclerview widget LinearLayoutManager fill(LinearLayoutManager java:1591)_x000D_
        at androidx recyclerview widget LinearLayoutManager onLayoutChildren(LinearLayoutManager java:668)_x000D_
        at androidx recyclerview widget RecyclerView dispatchLayoutStep2(RecyclerView java:4309)_x000D_
        at androidx recyclerview widget RecyclerView dispatchLayout(RecyclerView java:4012)_x000D_
        at androidx recyclerview widget RecyclerView onLayout(RecyclerView java:4578)_x000D_
        at android view View layout(View java:23142)_x000D_
        at android view ViewGroup layout(ViewGroup java:6412)_x000D_
        at androidx viewpager2 widget ViewPager2 onLayout(ViewPager2 java:527)_x000D_
        at android view View layout(View java:23142)_x000D_
        at android view ViewGroup layout(ViewGroup java:6412)_x000D_
        at androidx swiperefreshlayout widget SwipeRefreshLayout onLayout(SwipeRefreshLayout java:625)_x000D_
        at android view View layout(View java:23142)_x000D_
        at android view ViewGroup layout(ViewGroup java:6412)_x000D_
        at android widget LinearLayout setChildFrame(LinearLayout java:1829)_x000D_
        at android widget LinearLayout layoutVertical(LinearLayout java:1673)_x000D_
        at android widget LinearLayout onLayout(LinearLayout java:1582)_x000D_
        at android view View layout(View java:23142)_x000D_
        at android view ViewGroup layout(ViewGroup java:6412)_x000D_
        at android widget FrameLayout layoutChildren(FrameLayout java:332)_x000D_
        at android widget FrameLayout onLayout(FrameLayout java:270)_x000D_
        at android view View layout(View java:23142)_x000D_
        at android view ViewGroup layout(ViewGroup java:6412)_x000D_
        at androidx appcompat widget ActionBarOverlayLayout onLayout(ActionBarOverlayLayout java:536)_x000D_
        at android view View layout(View java:23142)_x000D_
        at android view ViewGroup layout(ViewGroup java:6412)_x000D_
        at android widget FrameLayout layoutChildren(FrameLayout java:332)_x000D_
        at android widget FrameLayout onLayout(FrameLayout java:270)_x000D_
        at android view View layout(View java:23142)_x000D_
        at android view ViewGroup layout(ViewGroup java:6412)_x000D_
        at android widget LinearLayout setChildFrame(LinearLayout java:1829)_x000D_
        at android widget LinearLayout layoutVertical(LinearLayout java:1673)_x000D_
        at android widget LinearLayout onLayout(LinearLayout java:1582)_x000D_
        at android view View layout(View java:23142)_x000D_
        at android view ViewGroup layout(ViewGroup java:6412)_x000D_
        at android widget FrameLayout layoutChildren(FrameLayout java:332)_x000D_
        at android widget FrameLayout onLayout(FrameLayout java:270)_x000D_
        at com android internal policy DecorView onLayout(DecorView java:798)_x000D_
2021 07 27 00:18:48 482 31853 31853 cgeo geocaching E AndroidRuntime:     at android view View layout(View java:23142)_x000D_
        at android view ViewGroup layout(ViewGroup java:6412)_x000D_
        at android view ViewRootImpl performLayout(ViewRootImpl java:3638)_x000D_
        at android view ViewRootImpl performTraversals(ViewRootImpl java:3085)_x000D_
        at android view ViewRootImpl doTraversal(ViewRootImpl java:2091)_x000D_
        at android view ViewRootImpl TraversalRunnable run(ViewRootImpl java:8584)_x000D_
        at android view Choreographer CallbackRecord run(Choreographer java:1037)_x000D_
        at android view Choreographer doCallbacks(Choreographer java:845)_x000D_
        at android view Choreographer doFrame(Choreographer java:780)_x000D_
        at android view Choreographer FrameDisplayEventReceiver run(Choreographer java:1022)_x000D_
        at android os Handler handleCallback(Handler java:938)_x000D_
        at android os Handler dispatchMessage(Handler java:99)_x000D_
        at android os Looper loopOnce(Looper java:201)_x000D_
        at android os Looper loop(Looper java:288)_x000D_
        at android app ActivityThread main(ActivityThread java:7829)_x000D_
        at java lang reflect Method invoke(Native Method)_x000D_
        at com android internal os RuntimeInit MethodAndArgsCaller run(RuntimeInit java:548)_x000D_
        at com android internal os ZygoteInit main(ZygoteInit java:982)_x000D_
   </t>
  </si>
  <si>
    <t>Benji377-SocyMusic-134</t>
  </si>
  <si>
    <t>Queue viewer button still doesn't work as expected</t>
  </si>
  <si>
    <t>To the left of the star shaped checkbox  there is a button that would take you to the queue list and basically do the same as when you click the same button in the menu bar  The problem is that once you click on it  there is no way you can go back  It doesn t matter what you try you always end up crashing the app _x000D_
_x000D_
Now there are two things to consider:_x000D_
1  Should this button replace the one in the menu and we  therefore  replace the one in the menu with something else_x000D_
2  Should this button do something else without replacing an already existing function _x000D_
Let me know what you think and if you have some different suggestions on this</t>
  </si>
  <si>
    <t>inaturalist-iNaturalistAndroid-1081</t>
  </si>
  <si>
    <t>NullPointerException in LocationDetailsActivity.onOptionsItemSelected</t>
  </si>
  <si>
    <t xml:space="preserve">https:  console firebase google com u 2 project inaturalist ios crashlytics app android:org inaturalist android issues a710dee3dda8cc3b3a87b5b5b47d0067_x000D_
_x000D_
   _x000D_
Fatal Exception: java lang NullPointerException: Attempt to invoke virtual method  double java lang Double doubleValue()  on a null object reference_x000D_
       at org inaturalist android LocationDetailsActivity onOptionsItemSelected(LocationDetailsActivity java:188)_x000D_
       at android app Activity onMenuItemSelected(Activity java:3544)_x000D_
   </t>
  </si>
  <si>
    <t>inaturalist-iNaturalistAndroid-1080</t>
  </si>
  <si>
    <t>IllegalArgumentException in ObservationEditor</t>
  </si>
  <si>
    <t xml:space="preserve">https:  console firebase google com u 2 project inaturalist ios crashlytics app android:org inaturalist android issues b28de57cc4c869fb2608b74a7a8a479e_x000D_
_x000D_
   _x000D_
Fatal Exception: java lang IllegalArgumentException: latitude    Infinity_x000D_
       at android location Geocoder getFromLocation(Geocoder java:126)_x000D_
       at org inaturalist android ObservationEditor 32 run(ObservationEditor java:2394)_x000D_
       at java lang Thread run(Thread java:919)_x000D_
   _x000D_
_x000D_
Not sure if this is fixable  might be a bug in  Geocoder  </t>
  </si>
  <si>
    <t>Anuken-Mindustry-5650</t>
  </si>
  <si>
    <t>Derelict air units still attack</t>
  </si>
  <si>
    <t xml:space="preserve">  Platform  :  Android iOS Mac Windows Linux _x000D_
WIndows_x000D_
  Build  :  The build number under the title in the main menu  Required   LATEST  IS NOT A VERSION  I NEED THE EXACT BUILD NUMBER OF YOUR GAME  _x000D_
128 1_x000D_
  Issue  :  Explain your issue in detail  _x000D_
Derelict air units still attack _x000D_
  Steps to reproduce  :  How you happened across the issue  and what exactly you did to make the bug happen  _x000D_
In any way possible  spawn derelict air units  I used a derelict payload source(fixed in bleeding edge or build  128 2) _x000D_
  Link(s) to mod(s) used  :  The mod repositories or zip files that are related to the issue  if applicable  _x000D_
None needed_x000D_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Screenshot and save:_x000D_
 img width  159  alt  Bug2  src  https:  user images githubusercontent com 87551951 126977505 770cc000 79d6 45e0 bef9 fa404f1b7986 png  _x000D_
 bug2 zip (https:  github com Anuken Mindustry files 6877570 bug2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do I have to even tell you at this point_x000D_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</si>
  <si>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TeamNewPipe-NewPipe-6767</t>
  </si>
  <si>
    <t>App crash when opening the list of downloads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</si>
  <si>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the hamburger menu  _x000D_
2  Press the download menu item _x000D_
3  App crashes and restarts with the exception details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app crashes and restarts with the exception log pasted below _x000D_
_x000D_
_x000D_
_x000D_
    Expected behavior_x000D_
     Tell us what you expect to happen     _x000D_
The list of downloads should be shown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GH_x000D_
    Content Language:   en_x000D_
    App Language:   en GH_x000D_
    Service:   none_x000D_
    Version:   0 21 7_x000D_
    OS:   Linux Android 11   30_x000D_
 details  summary  b Crash log   b   summary  p _x000D_
_x000D_
   _x000D_
java lang RuntimeException: Unable to create service us shandian giga service DownloadManagerService: java lang NullPointerException: Attempt to invoke virtual method  java lang String org schabi newpipe streams io StoredFileHelper toString()  on a null object reference_x000D_
	at android app ActivityThread handleCreateService(ActivityThread java:4209)_x000D_
	at android app ActivityThread access 1500(ActivityThread java:242)_x000D_
	at android app ActivityThread H handleMessage(ActivityThread java:1937)_x000D_
	at android os Handler dispatchMessage(Handler java:106)_x000D_
	at android os Looper loop(Looper java:368)_x000D_
	at android app ActivityThread main(ActivityThread java:7710)_x000D_
	at java lang reflect Method invoke(Native Method)_x000D_
	at com android internal os RuntimeInit MethodAndArgsCaller run(RuntimeInit java:592)_x000D_
	at com android internal os ZygoteInit main(ZygoteInit java:954)_x000D_
Caused by: java lang NullPointerException: Attempt to invoke virtual method  java lang String org schabi newpipe streams io StoredFileHelper toString()  on a null object reference_x000D_
	at us shandian giga service DownloadManager loadPendingMissions(DownloadManager java:165)_x000D_
	at us shandian giga service DownloadManager  init (DownloadManager java:77)_x000D_
	at us shandian giga service DownloadManagerService onCreate(DownloadManagerService java:142)_x000D_
	at android app ActivityThread handleCreateService(ActivityThread java:4197)_x000D_
	    8 more_x000D_
_x000D_
   _x000D_
  details _x000D_
 hr _x000D_
_x000D_
_x000D_
_x000D_
     Please fill this out when you do not provide a log generate by NewPipe    _x000D_
_x000D_
    Device info_x000D_
_x000D_
   Android version: Android 11 Build 59 1 A 2 96 with May 2021 security updates_x000D_
   Device model: Sony Xperia 10 II (XQ AU52) _x000D_
</t>
  </si>
  <si>
    <t>k9mail-k-9-5446</t>
  </si>
  <si>
    <t>Version 5.800 is not working on Android 12 Beta 3</t>
  </si>
  <si>
    <t xml:space="preserve">  Describe the bug  _x000D_
After updating on 5 800  k9mail is not working correctly on Android 12 Beta 3_x000D_
K9mail is showing the list of mails  without icons on it  and clicking on one of them is freezing the application _x000D_
_x000D_
The previous solution to remove updates of webview is not working anymore  I tried to remove updates  reboot the phone  it s always the same _x000D_
I will try to rollback k9mail version _x000D_
_x000D_
_x000D_
  To Reproduce  _x000D_
Steps to reproduce the behavior:_x000D_
1  You need to use android 12 beta 3_x000D_
2  Open k9mail_x000D_
3  Icons of emails are not shown correctly_x000D_
4  Clic on an email_x000D_
5  App should crash during animation on opening mail_x000D_
6  Mail will not be shown  app is freezing_x000D_
_x000D_
  Environment (please complete the following information):  _x000D_
   K 9 Mail version: 5 800_x000D_
   Android version: Android 12 Beta 3_x000D_
   Device: Google pixel 4a 5G_x000D_
   Account type: IMAP_x000D_
</t>
  </si>
  <si>
    <t>sachuss-Raksha-SOS-Alert--23</t>
  </si>
  <si>
    <t>App crashes when sos button is pressed while gps is off.</t>
  </si>
  <si>
    <t xml:space="preserve">Steps to reproduce:_x000D_
_x000D_
1  Launch the app turn _x000D_
2  You will be asked to turn on the GPS  Turn on GPS_x000D_
3  Now press SOS button  In my case the SMS was not sent  _x000D_
4  Now turn off GPS before the SMS is sent _x000D_
_x000D_
I guess the crash happens may be because app is trying to get the location and  GPS got turned off in between acquiring the location </t>
  </si>
  <si>
    <t>CTemplar-android-399</t>
  </si>
  <si>
    <t>Crashes during drafting of reply</t>
  </si>
  <si>
    <t xml:space="preserve">    Environment_x000D_
_x000D_
Pixel 4a running CalyxOS  Android 11 _x000D_
F droid Mobile App v1 5 0_x000D_
_x000D_
    Steps to reproduce_x000D_
_x000D_
1  Received email from ProtonMail address _x000D_
2  Clicked reply at the bottom of app screen _x000D_
3  Near immediate crash of app  Message was saved in Drafts _x000D_
4  Re entered app  entered Drafts  clicked on saved draft to construct reply _x000D_
5  Immediate crash _x000D_
_x000D_
    Expected behavior_x000D_
_x000D_
Allow me to construct reply email _x000D_
_x000D_
    Actual behavior_x000D_
_x000D_
Instant and repeated crashes _x000D_
Including (low quality lol) screen recording below _x000D_
_x000D_
https:  user images githubusercontent com 74485231 126925409 8acd2ca3 b101 40db 9f4f cb0e1b86d30d mp4</t>
  </si>
  <si>
    <t>Anuken-Mindustry-5648</t>
  </si>
  <si>
    <t>Retusa and Cyrce do not use ammo.</t>
  </si>
  <si>
    <t xml:space="preserve">  Platform  :  Android iOS Mac Windows Linux _x000D_
Linux_x000D_
_x000D_
  Build  :  The build number under the title in the main menu  Required   LATEST  IS NOT A VERSION  I NEED THE EXACT BUILD NUMBER OF YOUR GAME  _x000D_
21532 BE_x000D_
_x000D_
  Issue  :  Explain your issue in detail  _x000D_
With ammo enabled  Retusa and Cyerce don t use ammo when shooting  or  using their heal beam weapons _x000D_
_x000D_
  Steps to reproduce  :  How you happened across the issue  and what exactly you did to make the bug happen  _x000D_
On a save with ammo enabled  shoot with a Retusa or Cyerce _x000D_
  Link(s) to mod(s) used  :  The mod repositories or zip files that are related to the issue  if applicable  _x000D_
None _x000D_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_x000D_
 BugReportSave zip (https:  github com Anuken Mindustry files 6874817 BugReportSave zip)_x000D_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</si>
  <si>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Anuken-Mindustry-5647</t>
  </si>
  <si>
    <t>Crash when supplying unit with power.</t>
  </si>
  <si>
    <t xml:space="preserve">  Platform  :  Android iOS Mac Windows Linux _x000D_
Linux  although I ve reproduced the bug in windows too _x000D_
_x000D_
  Build  :  The build number under the title in the main menu  Required   LATEST  IS NOT A VERSION  I NEED THE EXACT BUILD NUMBER OF YOUR GAME  _x000D_
21532 BE_x000D_
_x000D_
  Issue  :  Explain your issue in detail  _x000D_
Units that use power as ammo  when refilling  crash the game _x000D_
_x000D_
  Steps to reproduce  :  How you happened across the issue  and what exactly you did to make the bug happen  _x000D_
On a map with ammo on  refill a unit s(had this crash happen with t3 crawler) ammo with a battery _x000D_
_x000D_
  Link(s) to mod(s) used  :  The mod repositories or zip files that are related to the issue  if applicable  _x000D_
None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BugReportSave zip (https:  github com Anuken Mindustry files 6874775 BugReportSave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crash report 07 25 2021 21 07 39 txt (https:  github com Anuken Mindustry files 6874770 crash report 07 25 2021 21 07 39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</si>
  <si>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Anuken-Mindustry-5646</t>
  </si>
  <si>
    <t>Conduit bridge visual bug</t>
  </si>
  <si>
    <t xml:space="preserve">  Platform  : Android_x000D_
_x000D_
  Build  : BE 21528_x000D_
_x000D_
  Issue  : When a bride conduit is disabled with logic and you connect it with another bridge conduit  there is a weird visual glitch  _x000D_
_x000D_
  Steps to reproduce  :_x000D_
 Place 2 conduit bridges_x000D_
 Disable one of them with logic_x000D_
 Connect disabled one to 2nd one _x000D_
_x000D_
  Save file  :_x000D_
https:  mega nz file aexlxApS TvYmQ 8y VI4NvzQSjoQKqAWePwJPFIERS6HSY1JncA_x000D_
(also contains screenshot)_x000D_
_x000D_
no crash log and no mods used 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</si>
  <si>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k9mail-k-9-5442</t>
  </si>
  <si>
    <t>Version 5.800 crashes on Android 11, OnePlus 7T</t>
  </si>
  <si>
    <t xml:space="preserve">Hi _x000D_
_x000D_
I have a problem after the new version 5 800 was automatically installed _x000D_
After the first start the database was updated and everything looked good  but I wanted to bring back the previous look by setting smaller font sizes _x000D_
So what I did was to set the font size for subjects to small I think  Afterwards nothing seemed to have changed and I quit K9 to start it again afterwards  It crashed and it now crashes every time I try to start it  (Even if I force quit from Android)_x000D_
As soon as I press the icon I see the screen gets grey and disappears again _x000D_
_x000D_
Is there anything I can do to avoid the crash  I don t want to loose all the settings if i reinstall it completely   </t>
  </si>
  <si>
    <t>Anuken-Mindustry-5643</t>
  </si>
  <si>
    <t>Keyboard mode doesn't work on iPad</t>
  </si>
  <si>
    <t xml:space="preserve">  Platform  : iPadOS_x000D_
iPad pro 3rd gen 12inch_x000D_
iPadOS 14 6_x000D_
_x000D_
  Build  : 126 3_x000D_
_x000D_
  Issue  : When going to Menu   Settings   Game and checking the  Mouse Keyboard Controls  option  the game changes to mouse and keyboard mode but the keyboard is unresponsive _x000D_
Dragging with the mouse_x000D_
_x000D_
 results in objects being placed (so the setting does do something)  but the keyboard does nothing _x000D_
_x000D_
  Steps to reproduce  : Open up a game  and turn on the setting by navigating to Menu   Settings   Game and checking the  Mouse Keyboard Controls  option_x000D_
_x000D_
  Link(s) to mod(s) used  : No Mods used _x000D_
_x000D_
  Save file  :  mindustry data export zip (https:  github com Anuken Mindustry files 6873356 mindustry data export zip)_x000D_
_x000D_
  (Crash) logs  : The game doesn t crash  I don t have any crash logs to post (please don t reap my soul)_x000D_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</si>
  <si>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Anuken-Mindustry-5642</t>
  </si>
  <si>
    <t>Payload Source cannot be deactivated</t>
  </si>
  <si>
    <t xml:space="preserve">  Platform  :  Android iOS Mac Windows Linux _x000D_
Windows_x000D_
_x000D_
  Build  :  The build number under the title in the main menu  Required   LATEST  IS NOT A VERSION  I NEED THE EXACT BUILD NUMBER OF YOUR GAME  _x000D_
128 1_x000D_
_x000D_
  Issue  :  Explain your issue in detail  _x000D_
Apparently  when you try to disable a payload source using logic it will still spawn payloads _x000D_
This also allows derelict payload sources to spawn units and blocks _x000D_
_x000D_
  Steps to reproduce  :  How you happened across the issue  and what exactly you did to make the bug happen  _x000D_
Either:_x000D_
1  Place a Payload Source and set it to something(preferably a unit)_x000D_
2  Place a Logic Processor and set the enabled of the source to 0 _x000D_
_x000D_
Or:_x000D_
1  Place and configure a derelict Payload Source_x000D_
_x000D_
  Link(s) to mod(s) used  :  The mod repositories or zip files that are related to the issue  if applicable  _x000D_
None needed_x000D_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A screenshot of the issue to display a  disabled  sharded payload source(left) and derelict payload source(right):_x000D_
 img width  274  alt  Bug  src  https:  user images githubusercontent com 87551951 126885340 c22642b2 d087 44b4 ad49 d996484257b9 png  _x000D_
Also a save file(different from image but still does the steps to reproduce for you)_x000D_
 bug zip (https:  github com Anuken Mindustry files 6873280 bug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this is not a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</si>
  <si>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PojavLauncherTeam-PojavLauncher-1728</t>
  </si>
  <si>
    <t>[BUG] 1.17 doesn't work at all</t>
  </si>
  <si>
    <t xml:space="preserve">    Describe the bug
I gave it a lot of memory and it still says game crashes _x000D_
Why and pls fix it
    The log file and images videos
 No response 
    Steps To Reproduce
   markdown
1  Start the launcher _x000D_
2  Choose version 1 17 _x000D_
3  Hit the button play _x000D_
 4 the game crashes
    Expected Behavior
I expect that I will be able to play 1 17 without crashing thx
    Platform
   markdown
  Device model: Samsung 10 _x000D_
  CPU architecture: idk sry_x000D_
  Android version: 11_x000D_
  PojavLauncher version: v3
    Anything else 
 No response </t>
  </si>
  <si>
    <t>TeamNewPipe-NewPipe-6755</t>
  </si>
  <si>
    <t>Video flickers on Redmi 6</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</si>
  <si>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vertical or lower resolution video_x000D_
2  Screen flickers_x000D_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Screen flickers on Redmi 6  This is not ROM dependent  Happened on other ROM on the same device before  Does not happen on other device with the same video  I ve only encountered it in this app _x000D_
_x000D_
Video link: https:  youtube com watch v 0cKusfzhsOc_x000D_
_x000D_
    Expected behavior_x000D_
     Tell us what you expect to happen     _x000D_
_x000D_
Screen does not flicker_x000D_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 ve managed to somehow show how its flickers  It s barely noticeable on screen recordings so I had to use another camera  It s much more intense irl  It s especially noticeable in low resolutions and vertical videos  Compare the flickering to UI elements _x000D_
_x000D_
https:  imgur com a 0uBurr1_x000D_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LineageOS 17 1_x000D_
   Device model: Redmi 6_x000D_
</t>
  </si>
  <si>
    <t>Calsign-APDE-112</t>
  </si>
  <si>
    <t>App crashing and won't open ever again</t>
  </si>
  <si>
    <t xml:space="preserve">I was working on something very simple (2 class and only basic stuff) and the app crashed during or after a run 
Then I can t reopen it even after shutting down my phone 
It already happened before and I had to reinstall for the app to work again 
I noticed no one talked about it so here I am
I m on a  zenfone max m2 pro  
It happens very very very rarely since I use the app multiple times a week
</t>
  </si>
  <si>
    <t>nextcloud-android-8764</t>
  </si>
  <si>
    <t>Automated bug report after app crash</t>
  </si>
  <si>
    <t xml:space="preserve">    Steps to reproduce_x000D_
1  Upload a bunch of files_x000D_
2  Wait_x000D_
3  _x000D_
_x000D_
    Expected behaviour_x000D_
  The files should be uploaded_x000D_
_x000D_
    Actual behaviour_x000D_
  The entire app crashes_x000D_
_x000D_
    Can you reproduce this problem on https:  try nextcloud com _x000D_
  No  I can t even reproduce the bug again on my own server _x000D_
_x000D_
    Environment data_x000D_
Android version: 10_x000D_
_x000D_
Device model: GS290_x000D_
_x000D_
Stock or customized system: Stock_x000D_
_x000D_
Nextcloud app version: 3 16 1_x000D_
_x000D_
Nextcloud server version: 20 0 7_x000D_
_x000D_
Reverse proxy: yes_x000D_
_x000D_
    Logs_x000D_
     Web server error log_x000D_
   _x000D_
Insert your webserver log here_x000D_
   _x000D_
_x000D_
     Nextcloud log (data nextcloud log)_x000D_
   _x000D_
             CAUSE OF ERROR             _x000D_
_x000D_
java lang IllegalStateException: Can not perform this action after onSaveInstanceState_x000D_
	at androidx fragment app FragmentManager checkStateLoss(FragmentManager java:1844)_x000D_
		at androidx fragment app FragmentManager enqueueAction(FragmentManager java:1884)_x000D_
			at androidx fragment app BackStackRecord commitInternal(BackStackRecord java:329)_x000D_
				at androidx fragment app BackStackRecord commit(BackStackRecord java:294)_x000D_
					at androidx fragment app DialogFragment dismissInternal(DialogFragment java:355)_x000D_
						at androidx fragment app DialogFragment dismiss(DialogFragment java:307)_x000D_
							at com owncloud android ui activity UploadFilesActivity onCheckAvailableSpaceFinish(UploadFilesActivity java:442)_x000D_
								at com owncloud android ui asynctasks CheckAvailableSpaceTask onPostExecute(CheckAvailableSpaceTask java:72)_x000D_
									at com owncloud android ui asynctasks CheckAvailableSpaceTask onPostExecute(CheckAvailableSpaceTask java:34)_x000D_
										at android os AsyncTask finish(AsyncTask java:755)_x000D_
											at android os AsyncTask access 900(AsyncTask java:192)_x000D_
												at android os AsyncTask InternalHandler handleMessage(AsyncTask java:772)_x000D_
													at android os Handler dispatchMessage(Handler java:107)_x000D_
														at android os Looper loop(Looper java:214)_x000D_
															at android app ActivityThread main(ActivityThread java:7417)_x000D_
																at java lang reflect Method invoke(Native Method)_x000D_
																	at com android internal os RuntimeInit MethodAndArgsCaller run(RuntimeInit java:492)_x000D_
																		at com android internal os ZygoteInit main(ZygoteInit java:980)_x000D_
             APP INFORMATION             _x000D_
ID: com nextcloud client_x000D_
Version: 30160190_x000D_
Build flavor: gplay_x000D_
_x000D_
             DEVICE INFORMATION             _x000D_
Brand: Gigaset_x000D_
Device: GS290_x000D_
Model: GS290_x000D_
Id: QP1A 190711 020_x000D_
Product: GS290 EEA_x000D_
_x000D_
             FIRMWARE             _x000D_
SDK: 29_x000D_
Release: 10_x000D_
Incremental: 1620883903_x000D_
   _x000D_
  NOTE:   Be super sure to remove sensitive data like passwords  note that everybody can look here  You can use the Issue Template application to prefill some of the required information: https:  apps nextcloud com apps issuetemplate_x000D_
</t>
  </si>
  <si>
    <t>TeamNewPipe-NewPipe-6747</t>
  </si>
  <si>
    <t>The text cuts off in chapters view in landscape mode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</si>
  <si>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Open a video with chapters_x000D_
tap to see all chapters(while in landscape mode)_x000D_
if any chapter title is long  it takes up more space  and the text of timestamp cuts off at the bottom_x000D_
_x000D_
    Actual behavior_x000D_
     Tell us what happens with the steps given above     _x000D_
_x000D_
the timestamp is cut off because of not enough space_x000D_
_x000D_
    Expected behavior_x000D_
     Tell us what you expect to happen     _x000D_
_x000D_
there is enough space to see timestamp  newpipe just wastes that space_x000D_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20210723 030728 NewPipe (https:  user images githubusercontent com 84063610 126851736 94884939 3bf4 49bf b26f 390826445fa0 jpg)_x000D_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</si>
  <si>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TeamNewPipe-NewPipe-6743</t>
  </si>
  <si>
    <t>Percentage sometimes disappears because the download speed number is big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</si>
  <si>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The percentage of the compliment of a download doesn t always appear_x000D_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ok_x000D_
_x000D_
   x  I am using the latest version   0 21 7      Check https:  github com TeamNewPipe NewPipe releases    I have the version 0 21 7_x000D_
   x  I checked  but didn t find any duplicates (open OR closed) of this issue in the repo       Seriously  check  O O    True_x000D_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Start any download  try to view the compliment percentage of the current video audio that you are downloading_x000D_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The percentage disappears partly shown or completely hidden_x000D_
  IMG 20210723 214316 jpg (https:  user images githubusercontent com 69008910 126851413 2867a2b0 75bc 43db 8380 809e3affc26d jpg)_x000D_
_x000D_
_x000D_
    Expected behavior_x000D_
     Tell us what you expect to happen           The percentage should be always visible_x000D_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IMG 20210723 212352 jpg (https:  user images githubusercontent com 69008910 126826114 ba614c45 13be 47dd bf20 2664d0812ef5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12 5 1 over Android 11_x000D_
   Device model: Xiaomi Poco F2 Pro</t>
  </si>
  <si>
    <t>doublesymmetry-react-native-track-player-1210</t>
  </si>
  <si>
    <t>Issues with Samsung Galaxy devices (NullPointerException in MusicBinder, MusicModule IllegaStatelException)</t>
  </si>
  <si>
    <t xml:space="preserve">  Describe the bug  _x000D_
_x000D_
Dear _x000D_
_x000D_
I can t very much describe the bug  I just see a lot of crashes happening with mostly Samsung Galaxy (around 70  of the devices are Samsung Galaxy) and some Xiaomi s  I noticed two crashes that are very common in my app _x000D_
_x000D_
Mainly:_x000D_
_x000D_
   _x000D_
java lang NullPointerException: _x000D_
  at com guichaguri trackplayer service MusicBinder post (MusicBinder java:22)_x000D_
  at com guichaguri trackplayer module MusicModule waitForConnection (MusicModule java:94)_x000D_
  at com guichaguri trackplayer module MusicModule stop (MusicModule java:334)_x000D_
  at java lang reflect Method invoke (Native Method)_x000D_
  at com facebook react bridge JavaMethodWrapper invoke (JavaMethodWrapper java:372)_x000D_
  at com facebook react bridge JavaModuleWrapper invoke (JavaModuleWrapper java:151)_x000D_
  at com facebook react bridge queue NativeRunnable run (Native Method)_x000D_
  at android os Handler handleCallback (Handler java:938)_x000D_
  at android os Handler dispatchMessage (Handler java:99)_x000D_
  at com facebook react bridge queue MessageQueueThreadHandler dispatchMessage (MessageQueueThreadHandler java:27)_x000D_
  at android os Looper loop (Looper java:246)_x000D_
  at com facebook react bridge queue MessageQueueThreadImpl 4 run (MessageQueueThreadImpl java:226)_x000D_
  at java lang Thread run (Thread java:923)_x000D_
   _x000D_
_x000D_
This is the most common crash  The other one that is most common is:_x000D_
_x000D_
   _x000D_
java lang IllegalStateException: _x000D_
  at android app ContextImpl startServiceCommon (ContextImpl java:1795)_x000D_
  at android app ContextImpl startService (ContextImpl java:1740)_x000D_
  at android content ContextWrapper startService (ContextWrapper java:738)_x000D_
  at android content ContextWrapper startService (ContextWrapper java:738)_x000D_
  at com guichaguri trackplayer module MusicModule waitForConnection (MusicModule java:106)_x000D_
  at com guichaguri trackplayer module MusicModule add (MusicModule java:195)_x000D_
  at java lang reflect Method invoke (Native Method)_x000D_
  at com facebook react bridge JavaMethodWrapper invoke (JavaMethodWrapper java:372)_x000D_
  at com facebook react bridge JavaModuleWrapper invoke (JavaModuleWrapper java:151)_x000D_
  at com facebook react bridge queue NativeRunnable run (Native Method)_x000D_
  at android os Handler handleCallback (Handler java:938)_x000D_
  at android os Handler dispatchMessage (Handler java:99)_x000D_
  at com facebook react bridge queue MessageQueueThreadHandler dispatchMessage (MessageQueueThreadHandler java:27)_x000D_
  at android os Looper loop (Looper java:246)_x000D_
  at com facebook react bridge queue MessageQueueThreadImpl 4 run (MessageQueueThreadImpl java:226)_x000D_
  at java lang Thread run (Thread java:923)_x000D_
   _x000D_
_x000D_
_x000D_
  To Reproduce  _x000D_
I have no clue how to reproduce it  I never experienced the problem myself _x000D_
_x000D_
  Environment (please complete the following information):  _x000D_
Run  react native info  in your project and share the content _x000D_
_x000D_
_x000D_
What  react native track player  version are you using _x000D_
Version 1 2 7_x000D_
_x000D_
Are you testing on a real device or in the simulator  Which OS version are you running _x000D_
Real devices  I see these crashes in Play Console  mostly reported on Android 11 and Android 10 _x000D_
_x000D_
  Code  _x000D_
In Home js (mainscreen)_x000D_
_x000D_
   _x000D_
const setup   async ()     _x000D_
  await TrackPlayer setupPlayer(  ) _x000D_
  await TrackPlayer updateOptions( _x000D_
    stopWithApp: true _x000D_
    capabilities:  _x000D_
      TrackPlayer CAPABILITY PLAY _x000D_
      TrackPlayer CAPABILITY PAUSE _x000D_
      TrackPlayer CAPABILITY STOP_x000D_
      _x000D_
    compactCapabilities:   _x000D_
      TrackPlayer CAPABILITY PLAY _x000D_
      TrackPlayer CAPABILITY PAUSE _x000D_
      TrackPlayer CAPABILITY STOP_x000D_
      _x000D_
   )  _x000D_
setup() _x000D_
   _x000D_
_x000D_
  The Player js (player)  _x000D_
    _x000D_
async InitTrackPlayer()  _x000D_
_x000D_
_x000D_
   this setState( paused: false ) _x000D_
       const   navigation     this props _x000D_
    const streamID   navigation getParam( streamID    NO ID ) _x000D_
_x000D_
_x000D_
      fetch( https:  xxx xxx xxx getinfoviajson php streamID   streamID     _x000D_
          method:  POST  _x000D_
     )_x000D_
       then(response    response json())_x000D_
       then(responseJson     _x000D_
        this setState( _x000D_
          streamName: responseJson streamName _x000D_
          desc: responseJson streamDesc app _x000D_
          mountpoint: responseJson mountpoint _x000D_
          fullStreamURL: responseJson fullStreamURL _x000D_
          imageURL: responseJson imageURL _x000D_
          phone app: responseJson phone app _x000D_
          phone app plus: responseJson phone app plus _x000D_
          streamURLJSON: responseJson streamURL _x000D_
         ) _x000D_
_x000D_
_x000D_
var streambyJSON   this state streamURLJSON_x000D_
_x000D_
const start   async ()     _x000D_
_x000D_
     Add a track to the queue_x000D_
  await TrackPlayer add( _x000D_
    id:    streamID   _x000D_
    url: streambyJSON _x000D_
    artist:    _x000D_
    title:    _x000D_
    artwork:    _x000D_
 ) _x000D_
_x000D_
  _x000D_
_x000D_
start() _x000D_
_x000D_
_x000D_
_x000D_
_x000D_
_x000D_
 ) _x000D_
_x000D_
_x000D_
        _x000D_
_x000D_
   _x000D_
_x000D_
The snippet to update the metadata_x000D_
_x000D_
   _x000D_
 async trackupdate()  _x000D_
        const trackId   await TrackPlayer getCurrentTrack() _x000D_
    await TrackPlayer updateMetadataForTrack(trackId   _x000D_
        title: this state nowPlaying _x000D_
        artist: this state streamName _x000D_
        artwork: this state imageURL _x000D_
     ) _x000D_
 _x000D_
   _x000D_
_x000D_
  The snippet that actions to certain statusses (set the correct button or reset the stream when the new stream mountpoint is not the same as the stream of a previous mountpoint)  _x000D_
_x000D_
   _x000D_
async getPlayerStatus()  _x000D_
 const   navigation     this props _x000D_
 const streamID   navigation getParam( streamID    NO ID )   _x000D_
let state   await TrackPlayer getState() _x000D_
let thisIsPlaying   await TrackPlayer getCurrentTrack() _x000D_
_x000D_
if (state     playing )  _x000D_
  this setState( DoesPlay: true ) _x000D_
 _x000D_
_x000D_
if (state     idle )  _x000D_
  this setState( DoesPlay: false ) _x000D_
 _x000D_
_x000D_
if (state     ready )  _x000D_
  this setState( DoesPlay: false ) _x000D_
 _x000D_
_x000D_
if (state     1 )  _x000D_
  this setState( DoesPlay: false ) _x000D_
 _x000D_
_x000D_
if (state     2 )  _x000D_
  this setState( DoesPlay: false ) _x000D_
 _x000D_
_x000D_
if (state     3 )  _x000D_
  this setState( DoesPlay: true ) _x000D_
 _x000D_
_x000D_
if (thisIsPlaying    streamID)   _x000D_
  var statePlayer   this state DoesPlay _x000D_
  this setState( DoesPlay: false ) _x000D_
      alert(statePlayer) _x000D_
       alert (state) _x000D_
   if (Platform OS      ios )  _x000D_
    await TrackPlayer stop() _x000D_
   _x000D_
else  _x000D_
  const   navigation     this props _x000D_
  const streamID   navigation getParam( streamID    NO ID ) _x000D_
     await TrackPlayer reset() _x000D_
   _x000D_
_x000D_
_x000D_
 _x000D_
 _x000D_
   _x000D_
_x000D_
  componentDidMount and componentWillUnmount  _x000D_
_x000D_
   _x000D_
 componentDidMount()  _x000D_
this getPlayerStatus() _x000D_
_x000D_
   this setState( paused: false ) _x000D_
       const   navigation     this props _x000D_
_x000D_
_x000D_
 this InitTrackPlayer() _x000D_
 this trackupdate() _x000D_
_x000D_
_x000D_
        TrackPlayer addEventListener( remote play   ()     _x000D_
TrackPlayer play() _x000D_
   ) _x000D_
_x000D_
    TrackPlayer addEventListener( remote pause   ()     _x000D_
this PauseClick() _x000D_
   ) _x000D_
 _x000D_
    TrackPlayer addEventListener( remote duck   ()     _x000D_
  TrackPlayer stop() _x000D_
  this setState( DoesPlay: false ) _x000D_
  this InitTrackPlayer() _x000D_
_x000D_
   )  _x000D_
_x000D_
    TrackPlayer addEventListener( remote stop   ()     _x000D_
    TrackPlayer stop() _x000D_
   )  _x000D_
_x000D_
 _x000D_
_x000D_
componentWillUnmount()  _x000D_
_x000D_
 _x000D_
   _x000D_
_x000D_
_x000D_
Any idea s what causes this problem  Thanks guys </t>
  </si>
  <si>
    <t>TeamNewPipe-NewPipe-6739</t>
  </si>
  <si>
    <t>Videos in popup mode does not go fullscreen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</si>
  <si>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NewPipe yt throttling 0 21 6 and NewPipe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any video and start playing it in horizontal full screen_x000D_
1 a  I have screen rotate locked to vertical position_x000D_
2  Switch to a different app to force the video into popup mode_x000D_
3  Tap to make it full screen_x000D_
4  In stead of reverting to horizontalfull screen it always ends up in vertical full screen_x000D_
5  tapping the full screen icon in the lower right doesn t do anything_x000D_
6  I end up having to force close the app and reopen to get back into horizontal full screen_x000D_
_x000D_
_x000D_
     If you can t cause the bug to show up again reliably (and hence don t have a proper set of steps to give us)  please still try to give as many details as possible on how you think you encountered the bug     _x000D_
_x000D_
_x000D_
    Expected behavior_x000D_
Prior to both version 0 21 6 and 0 21 7 going from popup back to horizontal full screen worked flawlessly  _x000D_
_x000D_
_x000D_
_x000D_
    Screenshots Screen recordings_x000D_
Screen recording: https:  mega nz file MMh3RSxB UPPZSO6n7fdom XuMBXoT4NVcCJsCvgiXxMGxUP9Luc_x000D_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Samsung Galaxy Note 9_x000D_
</t>
  </si>
  <si>
    <t>PojavLauncherTeam-PojavLauncher-1723</t>
  </si>
  <si>
    <t>Problem on Realme 5i</t>
  </si>
  <si>
    <t xml:space="preserve">    Describe the bug
My android version 10 ram 4gb but why i cant run 1 16 5 _x000D_
_x000D_
After I press play the application comes out_x000D_
    The log file and images videos
_x000D_
Uploading Record 2021 07 23 19 29 00 mp4 _x000D_
_x000D_
    Steps To Reproduce
   markdown
No crash error detected
    Expected Behavior
I tried 1 12 2 and it runs normally
    Platform
   markdown
  Device model: Realme 5i_x000D_
  CPU architecture: Snapdragon 664_x000D_
  Android version: 10_x000D_
  PojavLauncher version: 3 3 1 1 rel 20210321
    Anything else 
No</t>
  </si>
  <si>
    <t>MuntashirAkon-AppManager-525</t>
  </si>
  <si>
    <t>Crash on Log export</t>
  </si>
  <si>
    <t xml:space="preserve">Hey there 
exporting logs a zip crashes the app:
    android content ActivityNotFoundException: No Activity found to handle Intent   act android intent action CREATE DOCUMENT typ     (has extras)  
    at android app Instrumentation checkStartActivityResult(Instrumentation java:2067)
    at android app Instrumentation execStartActivity(Instrumentation java:1727)
    at android app Activity startActivityForResult(Activity java:5314)
    at androidx activity ComponentActivity startActivityForResult(ComponentActivity java:574)
    at androidx core app ActivityCompat startActivityForResult(ActivityCompat java:237)
    at androidx activity ComponentActivity 2 onLaunch(ComponentActivity java:208)
    at androidx activity result ActivityResultRegistry 2 launch(ActivityResultRegistry java:166)
    at androidx activity result ActivityResultLauncher launch(ActivityResultLauncher java:47)
    at io github muntashirakon AppManager utils BetterActivityResult launch(BetterActivityResult java:80)
    at io github muntashirakon AppManager logcat LogViewerActivity lambda saveLogToTargetApp 38 LogViewerActivity(LogViewerActivity java:867)
    at io github muntashirakon AppManager logcat    Lambda LogViewerActivity Ppiuashrm 6QTtnstDCUk  bJy8 run(Unknown Source:6)
    at android os Handler handleCallback(Handler java:938)
    at android os Handler dispatchMessage(Handler java:99)
    at android os Looper loop(Looper java:223)
    at android app ActivityThread main(ActivityThread java:7664)
    at java lang reflect Method invoke(Native Method)
    at com android internal os RuntimeInit MethodAndArgsCaller run(RuntimeInit java:592)
    at com android internal os ZygoteInit main(ZygoteInit java:947)
Device Info:
App version: 2 6 2
App version code: 389
Android build version: 0d2dbb77b5
Android release version: 11
Android SDK version: 30
Android build ID: lineage cheryl userdebug 11 RQ3A 210705 001 0d2dbb77b5
Device brand: razer
Device manufacturer: Razer
Device name: cheryl
Device model: Phone
Device product name: lineage cheryl
Device hardware name: qcom
ABIs:  arm64 v8a  armeabi v7a  armeabi 
ABIs (32bit):  armeabi v7a  armeabi 
ABIs (64bit):  arm64 v8a 
System language: en
In App Language: en
Mode: auto
Is there something  that I am doing wrong 
Thanks </t>
  </si>
  <si>
    <t>Anuken-Mindustry-5633</t>
  </si>
  <si>
    <t>mega control.exe has stopped working</t>
  </si>
  <si>
    <t xml:space="preserve">  Platform  :  Android iOS Mac Windows Linux _x000D_
android_x000D_
  Build  :  The build number under the title in the main menu  Required   LATEST  IS NOT A VERSION  I NEED THE EXACT BUILD NUMBER OF YOUR GAME  _x000D_
128 1_x000D_
  Issue  :  Explain your issue in detail  _x000D_
i tried to control mega  but it turned weirdly and woudnt move  when i left it looked like the game thought i never controlled it in the first place  it would move extremely fast to go to the spot it would be as if i didnt control it_x000D_
_x000D_
  Steps to reproduce  :  How you happened across the issue  and what exactly you did to make the bug happen  _x000D_
i just controlled mega  thats it_x000D_
  Link(s) to mod(s) used  :  The mod repositories or zip files that are related to the issue  if applicable  _x000D_
time control and testing utilities  neither used when it happened_x000D_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mega bug zip (https:  github com Anuken Mindustry files 6866589 mega bug zip)_x000D_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</si>
  <si>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PojavLauncherTeam-PojavLauncher-1713</t>
  </si>
  <si>
    <t>Can't look around in infdev and old versions crash</t>
  </si>
  <si>
    <t xml:space="preserve">    Describe the bug_x000D_
_x000D_
I have started playing the version inf 20100618 I wanted to find cool structures and win the game but I can t because I CAN T LOOK AROUND    when I try it changes the slots in the hot bar and I am  not touching the hot bar please fix this I can t even cut down a tree_x000D_
and older than infdev crashes_x000D_
 _x000D_
_x000D_
    The log file and images videos_x000D_
_x000D_
 No response _x000D_
_x000D_
    Steps To Reproduce_x000D_
_x000D_
   markdown_x000D_
You just try to look around without a mouse_x000D_
   _x000D_
launch a version older than infdec_x000D_
_x000D_
    Expected Behavior_x000D_
_x000D_
You be able to look around_x000D_
and older than infdev to not crash_x000D_
    Platform_x000D_
_x000D_
   markdown_x000D_
  Device model:Idk _x000D_
  CPU architecture:idk_x000D_
  Android version: it thinks it is 9 but it s a kindle_x000D_
  PojavLauncher version: latest version for Appstore Google play_x000D_
   _x000D_
_x000D_
_x000D_
    Anything else _x000D_
_x000D_
In version before it has weird behavior trying to look around_x000D_
this also happens on my samsung</t>
  </si>
  <si>
    <t>TeamNewPipe-NewPipe-6736</t>
  </si>
  <si>
    <t>Crash when sharing playlist which hasn't yet loaded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</si>
  <si>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x  I am using the latest version   0 21 7_x000D_
   x  I checked  but didn t find any duplicates (open OR closed) of this issue in the repo _x000D_
   x  I have read the  contribution guidelines (https:  github com TeamNewPipe NewPipe blob HEAD  github CONTRIBUTING md)  _x000D_
   x  This issue contains only one bug  I will open one issue for every bug report I want to file _x000D_
_x000D_
    Steps to reproduce the bug_x000D_
1  Search for a playlist_x000D_
2  Press on the playlist_x000D_
3  Tap the share button at the top before the videos load_x000D_
_x000D_
I am able to reproduce this easily with longer playlists such as  this one (https:  www youtube com playlist list PLQNcGmVgygljxhsB ooCHqWVN2myXNCBh)  I am also on slower phone data  which helps _x000D_
_x000D_
    Actual behavior_x000D_
NewPipe crashed and immediately relaunched with a  Guru Meditation  crash report (what does this mean )_x000D_
_x000D_
    Expected behavior_x000D_
I expect the share dialog to appear without crashing the app _x000D_
_x000D_
    Screenshots Screen recordings_x000D_
N A_x000D_
_x000D_
    Logs_x000D_
   Exception_x000D_
    User Action:   ui error_x000D_
    Request:   ACRA report_x000D_
    Content Country:   US_x000D_
    Content Language:   en US_x000D_
    App Language:   en US_x000D_
    Service:   none_x000D_
    Version:   0 21 7_x000D_
    OS:   Linux Android 11   30_x000D_
 details  summary  b Crash log   b   summary  p _x000D_
_x000D_
   _x000D_
java lang NullPointerException: Attempt to invoke virtual method  java lang String org schabi newpipe extractor playlist PlaylistInfo getThumbnailUrl()  on a null object reference_x000D_
	at org schabi newpipe fragments list playlist PlaylistFragment onOptionsItemSelected(PlaylistFragment java:255)_x000D_
	at androidx fragment app Fragment performOptionsItemSelected(Fragment java:3122)_x000D_
	at androidx fragment app FragmentManager dispatchOptionsItemSelected(FragmentManager java:3226)_x000D_
	at androidx fragment app FragmentController dispatchOptionsItemSelected(FragmentController java:416)_x000D_
	at androidx fragment app FragmentActivity onMenuItemSelected(FragmentActivity java:358)_x000D_
	at androidx appcompat app AppCompatActivity onMenuItemSelected(AppCompatActivity java:228)_x000D_
	at androidx appcompat view WindowCallbackWrapper onMenuItemSelected(WindowCallbackWrapper java:109)_x000D_
	at androidx appcompat view WindowCallbackWrapper onMenuItemSelected(WindowCallbackWrapper java:109)_x000D_
	at androidx appcompat app ToolbarActionBar 2 onMenuItemClick(ToolbarActionBar java:65)_x000D_
	at androidx appcompat widget Toolbar 1 onMenuItemClick(Toolbar java:207)_x000D_
	at androidx appcompat widget ActionMenuView MenuBuilderCallback onMenuItemSelected(ActionMenuView java:779)_x000D_
	at androidx appcompat view menu MenuBuilder dispatchMenuItemSelected(MenuBuilder java:834)_x000D_
	at androidx appcompat view menu MenuItemImpl invoke(MenuItemImpl java:158)_x000D_
	at androidx appcompat view menu MenuBuilder performItemAction(MenuBuilder java:985)_x000D_
	at androidx appcompat view menu MenuBuilder performItemAction(MenuBuilder java:975)_x000D_
	at androidx appcompat widget ActionMenuView invokeItem(ActionMenuView java:623)_x000D_
	at androidx appcompat view menu ActionMenuItemView onClick(ActionMenuItemView java:151)_x000D_
	at android view View performClick(View java:7448)_x000D_
	at android view View performClickInternal(View java:7425)_x000D_
	at android view View access 3600(View java:810)_x000D_
	at android view View PerformClick run(View java:28305)_x000D_
	at android os Handler handleCallback(Handler java:938)_x000D_
	at android os Handler dispatchMessage(Handler java:99)_x000D_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_x000D_
   _x000D_
  details _x000D_
 hr </t>
  </si>
  <si>
    <t>isl-org-OpenBot-211</t>
  </si>
  <si>
    <t xml:space="preserve">App crashes in Object Tracking fragment, when "Auto Mode" switch is activated </t>
  </si>
  <si>
    <t xml:space="preserve">  Bug Description  _x000D_
App crashes in the   Object Tracking Fragment   when the   Auto Mode   switch is activated  _x000D_
_x000D_
  To Reproduce  _x000D_
Steps to reproduce the behavior:_x000D_
1  Go to   Object Tracking  _x000D_
2  Turn on the   Auto Mod  e switch_x000D_
3  App may immediately crash_x000D_
4  Logcat:_x000D_
   _x000D_
07 22 12:02:06 196 26472 26554 org openbot E AndroidRuntime: FATAL EXCEPTION: inference_x000D_
    Process: org openbot  PID: 26472_x000D_
    android view ViewRootImpl CalledFromWrongThreadException: Only the original thread that created a view hierarchy can touch its views _x000D_
        at android view ViewRootImpl checkThread(ViewRootImpl java:8203)_x000D_
        at android view ViewRootImpl invalidateChildInParent(ViewRootImpl java:1309)_x000D_
        at android view ViewGroup invalidateChild(ViewGroup java:5430)_x000D_
        at android view View invalidateInternal(View java:13959)_x000D_
        at android view View invalidate(View java:13923)_x000D_
        at android view View invalidate(View java:13907)_x000D_
        at android widget TextView checkForRelayout(TextView java:8373)_x000D_
        at android widget TextView setText(TextView java:5001)_x000D_
        at android widget TextView setText(TextView java:4828)_x000D_
        at android widget TextView setText(TextView java:4803)_x000D_
        at org openbot objectNav ObjectNavFragment handleDriveCommand(ObjectNavFragment java:500)_x000D_
        at org openbot objectNav ObjectNavFragment lambda processFrame 20 ObjectNavFragment(ObjectNavFragment java:481)_x000D_
        at org openbot objectNav    Lambda ObjectNavFragment 0cdHF u8fuQJw1ABfb EY bHL6g run(lambda)_x000D_
        at android os Handler handleCallback(Handler java:739)_x000D_
        at android os Handler dispatchMessage(Handler java:95)_x000D_
        at android os Looper loop(Looper java:148)_x000D_
        at android os HandlerThread run(HandlerThread java:61)_x000D_
   _x000D_
_x000D_
_x000D_
  Fix  _x000D_
In ObjectNavFragment handleDriveCommand the textview   controlInfo   is being updated from a   child   thread  It should be   called from the main thread    in this way:_x000D_
   _x000D_
  protected void handleDriveCommand(Control control)  _x000D_
    vehicle setControl(control) _x000D_
    float left   vehicle getLeftSpeed() _x000D_
    float right   vehicle getRightSpeed() _x000D_
    requireActivity()_x000D_
         runOnUiThread(_x000D_
            ()   _x000D_
                binding controllerContainer controlInfo setText(_x000D_
                    String format(Locale US     0f   0f   left  right))) _x000D_
   _x000D_
   _x000D_
In the same way  the onConnectionEstablished is updating another text view:_x000D_
   _x000D_
 Override_x000D_
  public void onConnectionEstablished(String ipAddress)  _x000D_
    requireActivity() runOnUiThread(()    binding ipAddress setText(ipAddress)) _x000D_
   _x000D_
   _x000D_
 This is similar to this issue (https:  github com intel isl OpenBot issues 209)_x000D_
_x000D_
  Screenshots  _x000D_
Here is the gif for a better explanation:_x000D_
  ezgif com gif maker (1) (https:  user images githubusercontent com 50874919 126596304 be0c4ce1 79f4 4722 b336 4c8594a6612b gif)_x000D_
_x000D_
  Smartphone (please complete the following information):  _x000D_
   Device:  e g  Samsung J7 _x000D_
   OS:  e g  Android 6 _x000D_
_x000D_
</t>
  </si>
  <si>
    <t>isl-org-OpenBot-209</t>
  </si>
  <si>
    <t>App crashes in Autopilot fragment, when "Auto Mode" switch is activated</t>
  </si>
  <si>
    <t xml:space="preserve">  Bug Description  _x000D_
App crashes in the   Autopilot fragment   when the   Auto Mode   switch is activated  _x000D_
_x000D_
  To Reproduce  _x000D_
Steps to reproduce the behavior:_x000D_
1  Go to   Autopilot  _x000D_
2  Turn on the   Auto Mode   switch_x000D_
3  App may immediately crash_x000D_
4  Logcat:_x000D_
   _x000D_
07 22 10:07:53 736 27209 27581 org openbot E AndroidRuntime: FATAL EXCEPTION: inference_x000D_
    Process: org openbot  PID: 27209_x000D_
    android view ViewRootImpl CalledFromWrongThreadException: Only the original thread that created a view hierarchy can touch its views _x000D_
        at android view ViewRootImpl checkThread(ViewRootImpl java:8203)_x000D_
        at android view ViewRootImpl invalidateChildInParent(ViewRootImpl java:1309)_x000D_
        at android view ViewGroup invalidateChild(ViewGroup java:5430)_x000D_
        at android view View invalidateInternal(View java:13959)_x000D_
        at android view View invalidate(View java:13923)_x000D_
        at android view View invalidate(View java:13907)_x000D_
        at android widget TextView checkForRelayout(TextView java:8373)_x000D_
        at android widget TextView setText(TextView java:5001)_x000D_
        at android widget TextView setText(TextView java:4828)_x000D_
        at android widget TextView setText(TextView java:4803)_x000D_
        at org openbot autopilot AutopilotFragment handleDriveCommand(AutopilotFragment java:443)_x000D_
        at org openbot autopilot AutopilotFragment lambda processFrame 18 AutopilotFragment(AutopilotFragment java:424)_x000D_
        at org openbot autopilot    Lambda AutopilotFragment AD5NQvceNuqdJYNKu4y74kjwNKo run(lambda)_x000D_
        at android os Handler handleCallback(Handler java:739)_x000D_
        at android os Handler dispatchMessage(Handler java:95)_x000D_
        at android os Looper loop(Looper java:148)_x000D_
        at android os HandlerThread run(HandlerThread java:61)_x000D_
   _x000D_
_x000D_
_x000D_
_x000D_
  Fix  _x000D_
In AutopilotFragment handleDriveCommand the textview   controlInfo   is being updated from a   child   thread  It should be   called from the main thread    in this way:_x000D_
   _x000D_
  protected void handleDriveCommand(Control control)  _x000D_
    vehicle setControl(control) _x000D_
    float left   vehicle getLeftSpeed() _x000D_
    float right   vehicle getRightSpeed() _x000D_
    requireActivity()_x000D_
         runOnUiThread(_x000D_
            ()   _x000D_
                binding controllerContainer controlInfo setText(_x000D_
                    String format(Locale US     0f   0f   left  right))) _x000D_
   _x000D_
   _x000D_
In the same way  the onConnectionEstablished is updating another text view:_x000D_
   _x000D_
 Override_x000D_
  public void onConnectionEstablished(String ipAddress)  _x000D_
    requireActivity() runOnUiThread(()    binding ipAddress setText(ipAddress)) _x000D_
   _x000D_
   _x000D_
_x000D_
  Screenshots  _x000D_
Here is the gif for better explanation:_x000D_
  ezgif com gif maker (https:  user images githubusercontent com 50874919 126590587 be8bc584 d914 44d8 bf6c 3b8fca21367d gif)_x000D_
_x000D_
_x000D_
  Smartphone (please complete the following information):  _x000D_
   Device:  e g  Samsung J7 _x000D_
   OS:  e g  Android 6 _x000D_
_x000D_
_x000D_
  Additional context  _x000D_
Add any other context about the problem here _x000D_
</t>
  </si>
  <si>
    <t>TeamNewPipe-NewPipe-6731</t>
  </si>
  <si>
    <t>ParsingException: Could not get like/dislike count</t>
  </si>
  <si>
    <t xml:space="preserve">    Checklist_x000D_
     This checklist is COMPULSORY  The first box has been checked for you to show you how it is done     _x000D_
_x000D_
   x  I am using the latest version   0 21 7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Before the update to 0 21 7 start New Pipe_x000D_
2  Search for the channel_x000D_
3  Click on the channel_x000D_
4  Play a video for some time  but don t finish it_x000D_
5  Now close New Pipe_x000D_
6  Start New Pipe and update the app to 0 21 7_x000D_
7  After update finishes start the actual New Pipe version_x000D_
8  Repeat Steps 2 to 4 and now try to finish the video that you started earlier  _x000D_
_x000D_
     If you can t cause the bug to show up again reliably (and hence don t have a proper set of steps to give us)  please still try to give as many details as possible on how you think you encountered the bug     _x000D_
_x000D_
    Actual behavior_x000D_
When I try to resume the video the message  Could not play this Stream  (Hint) and  Something went wrong  (bottom) appears (both messages are freely translated from German)  Then the video won t play for me _x000D_
_x000D_
    Expected behavior_x000D_
Video should play normally and resume at the point were I stopped watching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20210722 025206 NewPipe (https:  user images githubusercontent com 44321142 126577125 9fef94e9 4768 4d50 bdb9 17b2d5dcd934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requested stream_x000D_
    Request:   https:  www youtube com watch v d91 rTGU6lY_x000D_
    Content Country:   DE_x000D_
    Content Language:   de DE_x000D_
    App Language:   de DE_x000D_
    Service:   YouTube_x000D_
    Version:   0 21 7_x000D_
    OS:   Linux samsung z3sxeea z3s:11 RP1A 200720 012 G988BXXU7DUE1:user release keys 11   30_x000D_
 details  summary  b Exceptions (2)  b   summary  p _x000D_
 details  summary  b Crash log 1  b   summary  p _x000D_
_x000D_
   _x000D_
org schabi newpipe extractor exceptions ParsingException: Could not get like count_x000D_
	at org schabi newpipe extractor services youtube extractors YoutubeStreamExtractor getLikeCount(YoutubeStreamExtractor java:337)_x000D_
	at org schabi newpipe extractor stream StreamInfo extractOptionalData(StreamInfo java:276)_x000D_
	at org schabi newpipe extractor stream StreamInfo getInfo(StreamInfo java:73)_x000D_
	at org schabi newpipe extractor stream StreamInfo getInfo(StreamInfo java:64)_x000D_
	at org schabi newpipe util ExtractorHelper lambda getStreamInfo 3(ExtractorHelper java:116)_x000D_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Caused by: org schabi newpipe extractor exceptions ParsingException: Ratings are enabled even though the like button is missing_x000D_
	at org schabi newpipe extractor services youtube extractors YoutubeStreamExtractor getLikeCount(YoutubeStreamExtractor java:328)_x000D_
	    29 more_x000D_
Caused by: java lang NullPointerException: Attempt to invoke virtual method  java lang String   java lang String split(java lang String)  on a null object reference_x000D_
	at org schabi newpipe extractor services youtube extractors YoutubeStreamExtractor getLikeCount(YoutubeStreamExtractor java:324)_x000D_
	    29 more_x000D_
_x000D_
   _x000D_
  details _x000D_
 details  summary  b Crash log 2  b   summary  p _x000D_
_x000D_
   _x000D_
org schabi newpipe extractor exceptions ParsingException: Could not get dislike count_x000D_
	at org schabi newpipe extractor services youtube extractors YoutubeStreamExtractor getDislikeCount(YoutubeStreamExtractor java:363)_x000D_
	at org schabi newpipe extractor stream StreamInfo extractOptionalData(StreamInfo java:281)_x000D_
	at org schabi newpipe extractor stream StreamInfo getInfo(StreamInfo java:73)_x000D_
	at org schabi newpipe extractor stream StreamInfo getInfo(StreamInfo java:64)_x000D_
	at org schabi newpipe util ExtractorHelper lambda getStreamInfo 3(ExtractorHelper java:116)_x000D_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Caused by: org schabi newpipe extractor exceptions ParsingException: Ratings are enabled even though the dislike button is missing_x000D_
	at org schabi newpipe extractor services youtube extractors YoutubeStreamExtractor getDislikeCount(YoutubeStreamExtractor java:354)_x000D_
	    29 more_x000D_
Caused by: java lang NullPointerException: Attempt to invoke virtual method  java lang String   java lang String split(java lang String)  on a null object reference_x000D_
	at org schabi newpipe extractor services youtube extractors YoutubeStreamExtractor getDislikeCount(YoutubeStreamExtractor java:350)_x000D_
	    29 more_x000D_
_x000D_
   _x000D_
  details _x000D_
  p   details _x000D_
 hr _x000D_
_x000D_
     Please fill this out when you do not provide a log generate by NewPipe    _x000D_
_x000D_
    Device info_x000D_
_x000D_
   Android version Custom ROM version: 11 (Stock Rom) _x000D_
   Device model: Samsung Galaxy S20 Ultra 5G_x000D_
   Video played: https:  www youtube com watch v d91 rTGU6lY_x000D_
_x000D_
    Aditional info_x000D_
In older releases I only found fixed bugs like  Like count was always 0  (0 20 10) or  Like count in comments was wrong  (0 21 4)  but nothing that is exactly like this  </t>
  </si>
  <si>
    <t>TeamNewPipe-NewPipe-6729</t>
  </si>
  <si>
    <t>Application get crash with downloads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</si>
  <si>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Go on youtube (for example)_x000D_
  Select any video_x000D_
  Click on share button and select newpipe_x000D_
  Select Download_x000D_
  Select any video or audio quality and press  OK _x000D_
  You got a crash error (everytime if you try theses steps)_x000D_
_x000D_
    Expected behavior_x000D_
     Tell us what you expect to happen     _x000D_
_x000D_
  If you follow theses steps below downloads work and videos are stored in  movies newpipe (if video) or  music newpipe (if audio)_x000D_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ACRA report_x000D_
    Content Country:   FR_x000D_
    Content Language:   fr FR_x000D_
    App Language:   fr FR_x000D_
    Service:   none_x000D_
    Version:   0 21 7_x000D_
    OS:   Linux Android 11   30_x000D_
 details  summary  b Crash log   b   summary  p _x000D_
_x000D_
   _x000D_
android content ActivityNotFoundException: No Activity found to handle Intent   act android intent action OPEN DOCUMENT TREE flg 0x43 (has extras)  _x000D_
	at android app Instrumentation checkStartActivityResult(Instrumentation java:2258)_x000D_
	at android app Instrumentation execStartActivity(Instrumentation java:1914)_x000D_
	at android app Activity startActivityForResult(Activity java:5326)_x000D_
	at androidx activity ComponentActivity startActivityForResult(ComponentActivity java:574)_x000D_
	at androidx core app ActivityCompat startActivityForResult(ActivityCompat java:234)_x000D_
	at androidx activity ComponentActivity 2 onLaunch(ComponentActivity java:208)_x000D_
	at androidx activity result ActivityResultRegistry 2 launch(ActivityResultRegistry java:166)_x000D_
	at androidx fragment app Fragment 9 launch(Fragment java:3510)_x000D_
	at androidx activity result ActivityResultLauncher launch(ActivityResultLauncher java:47)_x000D_
	at org schabi newpipe download DownloadDialog launchDirectoryPicker(DownloadDialog java:690)_x000D_
	at org schabi newpipe download DownloadDialog prepareSelectedDownload(DownloadDialog java:749)_x000D_
	at org schabi newpipe download DownloadDialog lambda initToolbar 1(DownloadDialog java:359)_x000D_
	at org schabi newpipe download DownloadDialog lambda initToolbar 1 DownloadDialog(Unknown Source:0)_x000D_
	at org schabi newpipe download    Lambda DownloadDialog QfMS FoXWFjSoHiNV7JREecQBWg onMenuItemClick(Unknown Source:2)_x000D_
	at androidx appcompat widget Toolbar 1 onMenuItemClick(Toolbar java:207)_x000D_
	at androidx appcompat widget ActionMenuView MenuBuilderCallback onMenuItemSelected(ActionMenuView java:779)_x000D_
	at androidx appcompat view menu MenuBuilder dispatchMenuItemSelected(MenuBuilder java:834)_x000D_
	at androidx appcompat view menu MenuItemImpl invoke(MenuItemImpl java:158)_x000D_
	at androidx appcompat view menu MenuBuilder performItemAction(MenuBuilder java:985)_x000D_
	at androidx appcompat view menu MenuBuilder performItemAction(MenuBuilder java:975)_x000D_
	at androidx appcompat widget ActionMenuView invokeItem(ActionMenuView java:623)_x000D_
	at androidx appcompat view menu ActionMenuItemView onClick(ActionMenuItemView java:151)_x000D_
	at android view View performClick(View java:7520)_x000D_
	at android view View performClickInternal(View java:7489)_x000D_
	at android view View access 3600(View java:826)_x000D_
	at android view View PerformClick run(View java:28555)_x000D_
	at android os Handler handleCallback(Handler java:938)_x000D_
	at android os Handler dispatchMessage(Handler java:99)_x000D_
	at android os Looper loop(Looper java:245)_x000D_
	at android app ActivityThread main(ActivityThread java:8004)_x000D_
	at java lang reflect Method invoke(Native Method)_x000D_
	at com android internal os RuntimeInit MethodAndArgsCaller run(RuntimeInit java:631)_x000D_
	at com android internal os ZygoteInit main(ZygoteInit java:978)_x000D_
_x000D_
   _x000D_
  details _x000D_
 hr _x000D_
_x000D_
     Please fill this out when you do not provide a log generate by NewPipe    _x000D_
_x000D_
    Device info_x000D_
_x000D_
   Android version Custom ROM version:_x000D_
   Device model:_x000D_
</t>
  </si>
  <si>
    <t>Anuken-Mindustry-5630</t>
  </si>
  <si>
    <t>Block status not showing</t>
  </si>
  <si>
    <t xml:space="preserve">  Platform  :  Android iOS Mac Windows Linux _x000D_
Windows_x000D_
_x000D_
  Build  :  The build number under the title in the main menu  Required   LATEST  IS NOT A VERSION  I NEED THE EXACT BUILD NUMBER OF YOUR GAME  _x000D_
128 1_x000D_
_x000D_
  Issue  :  Explain your issue in detail  _x000D_
Block status won t show when the setting is on_x000D_
_x000D_
  Steps to reproduce  :  How you happened across the issue  and what exactly you did to make the bug happen  _x000D_
Just turn the setting then go in a game and place a block that would normally show the status _x000D_
_x000D_
  Link(s) to mod(s) used  :  The mod repositories or zip files that are related to the issue  if applicable  _x000D_
None needed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An issue with graphics  not the game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this is not a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</si>
  <si>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Anuken-Mindustry-5628</t>
  </si>
  <si>
    <t>b o o m... reposted (with new info)</t>
  </si>
  <si>
    <t xml:space="preserve">  Platform  :  Android iOS Mac Windows Linux _x000D_
android_x000D_
i dont think i can tell you how much i hate to repost a bug  but i have new info and i dont want someone to go insane over losing a sector like i did_x000D_
  Build  :  The build number under the title in the main menu  Required   LATEST  IS NOT A VERSION  I NEED THE EXACT BUILD NUMBER OF YOUR GAME  _x000D_
bleeding edge 21467_x000D_
  Issue  :  Explain your issue in detail  _x000D_
i was saving up for nucleus when almost everything died  the only things that survived where some walls and 2 vaults i placed and the sector was cleared  i had to clear it again_x000D_
_x000D_
  Steps to reproduce  :  How you happened across the issue  and what exactly you did to make the bug happen  _x000D_
there are only 3 things i can think of that could have caused it _x000D_
1  the overdrives i spammed to get more thorium_x000D_
2  the 1 extreme and 1 eradication base next to it_x000D_
3  the defense (it was cryofluid salvo)_x000D_
  Link(s) to mod(s) used  :  The mod repositories or zip files that are related to the issue  if applicable  _x000D_
testing utilities and time control_x000D_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death happened zip (https:  github com Anuken Mindustry files 6857142 death happened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t>
  </si>
  <si>
    <t>nextcloud-android-8745</t>
  </si>
  <si>
    <t>Mobile app crashed whole managing photos</t>
  </si>
  <si>
    <t xml:space="preserve">    Steps to reproduce_x000D_
The crash occurred while I was simultaneously uploading photos and browsing the media folder from my mobile device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CAUSE OF ERROR             _x000D_
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util ConcurrentModificationException_x000D_
	at java util ArrayList sort(ArrayList java:1472)_x000D_
	at java util Collections sort(Collections java:206)_x000D_
	at com owncloud android utils FileSortOrderByName sortCloudFiles(FileSortOrderByName java:52)_x000D_
	at com owncloud android ui adapter OCFileListAdapter setData(OCFileListAdapter java:985)_x000D_
	at com owncloud android ui fragment OCFileListFragment 2 doInBackground(OCFileListFragment java:1567)_x000D_
	at com owncloud android ui fragment OCFileListFragment 2 doInBackground(OCFileListFragment java:1549)_x000D_
	at android os AsyncTask 3 call(AsyncTask java:378)_x000D_
	at java util concurrent FutureTask run(FutureTask java:266)_x000D_
	    3 more_x000D_
_x000D_
             APP INFORMATION             _x000D_
ID: com nextcloud client_x000D_
Version: 30160190_x000D_
Build flavor: gplay_x000D_
_x000D_
             DEVICE INFORMATION             _x000D_
Brand: samsung_x000D_
Device: starqltesq_x000D_
Model: SM G960U_x000D_
Id: QP1A 190711 020_x000D_
Product: starqltesq_x000D_
_x000D_
             FIRMWARE             _x000D_
SDK: 29_x000D_
Release: 10_x000D_
Incremental: G960USQU9FUE1_x000D_
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</si>
  <si>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cgeo-cgeo-11286</t>
  </si>
  <si>
    <t>Test issue with new issue forms</t>
  </si>
  <si>
    <t xml:space="preserve">    Describe your problem 
A real problematic test bug occurred    test 123_x000D_
A real problematic test bug occurred    test 456_x000D_
A real problematic test bug occurred    test 789_x000D_
_x000D_
    How to reproduce 
1  Click on abc_x000D_
2  Type def
    Actual result after these steps 
App crashes
    Expected result after these steps 
App should show result
    Reproducible
Yes
    c:geo Version
2021 07 10 RC
    System information
   shell
   System information_x000D_
_x000D_
c:geo version: 2021 07 10 RC_x000D_
_x000D_
Device:_x000D_
       _x000D_
  Device type: SM G960F (starlteeea  samsung)_x000D_
  Available processors: 8_x000D_
  Android version: 10_x000D_
  Android build: QP1A 190711 020 G960FXXUFFUE1_x000D_
  Screen resolution: 1080x2076px (360x668dp)_x000D_
  Sailfish OS detected: false_x000D_
  Google Play services: enabled   21 21 16 (120408 378233385)_x000D_
  HW acceleration: enabled (default state)_x000D_
_x000D_
Sensor and location:_x000D_
       _x000D_
  Low power mode: inactive_x000D_
  Compass capabilities: yes_x000D_
  Rotation vector sensor: present
    Additional Information
Additional blabla</t>
  </si>
  <si>
    <t>nextcloud-android-8744</t>
  </si>
  <si>
    <t>Log in from domain name error</t>
  </si>
  <si>
    <t xml:space="preserve">    Steps to reproduce_x000D_
1  Log in with a domain name_x000D_
2  Instant crash_x000D_
3  _x000D_
_x000D_
    Expected behaviour_x000D_
  Tell us what should happen_x000D_
  app should log into server_x000D_
_x000D_
    Actual behaviour_x000D_
  Tell us what happens_x000D_
App crashes with error_x000D_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_x000D_
                 CAUSE OF ERROR             _x000D_
_x000D_
java lang NullPointerException: Parameter specified as non null is null: method kotlin jvm internal Intrinsics checkNotNullParameter  parameter password_x000D_
	at okhttp3 Credentials basic(Unknown Source:7)_x000D_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updateUserProfile(RefreshFolderOperation java:285)_x000D_
	at com owncloud android operations RefreshFolderOperation run(RefreshFolderOperation java:231)_x000D_
	at com owncloud android lib common operations RemoteOperation run(RemoteOperation java:363)_x000D_
	at java lang Thread run(Thread java:764)_x000D_
_x000D_
             APP INFORMATION             _x000D_
ID: com nextcloud client_x000D_
Version: 30170052_x000D_
Build flavor: gplay_x000D_
_x000D_
             DEVICE INFORMATION             _x000D_
Brand: samsung_x000D_
Device: dreamlte_x000D_
Model: SM G950F_x000D_
Id: PPR1 180610 011_x000D_
Product: dreamltexx_x000D_
_x000D_
             FIRMWARE             _x000D_
SDK: 28_x000D_
Release: 9_x000D_
Incremental: G950FXXUCDUD1_x000D_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</si>
  <si>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TeamNewPipe-NewPipe-6718</t>
  </si>
  <si>
    <t>coudn't watched videos useing mobile internet</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</si>
  <si>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Actual behavior
     Tell us what happens with the steps given above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IMG 20210720 231901 jpg (https:  user images githubusercontent com 86552801 126367768 d3f33ad0 a81e 4b94 b40d ce0e3b44273f jpg)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Device model:
</t>
  </si>
  <si>
    <t>TeamNewPipe-NewPipe-6717</t>
  </si>
  <si>
    <t>download location fail in 0.21.6</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</si>
  <si>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When sharing a video from youtube app to newpipe to make download  newpipe 0 21 6 doesn t save it and keeps asking for save location permission  select the phone storage   allow access  Even after allowing access it doesn t save or download anything  Clearing data or reinstall doesn t solve issue  or changing file save location in newpipe download settings keep on repeating to ask fole save permission  Uninstall and installed 0 21 5 version which works fine and download and store everything _x000D_
I am using Xiaomi Mi10 miui12 5 5 latest stock rom_x000D_
_x000D_
_x000D_
_x000D_
    Expected behavior_x000D_
     Tell us what you expect to happen     _x000D_
I expect new pipe 0 21 6 to download my request and save it on my phone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   Miui Stock 12 5 5_x000D_
   Device model: Xiaomi Mi10 pro 5G_x000D_
</t>
  </si>
  <si>
    <t>material-components-material-components-android-2309</t>
  </si>
  <si>
    <t>[motion] Get crash reports when using container anim between two activities</t>
  </si>
  <si>
    <t xml:space="preserve">  Description:   _x000D_
Get crash report when using container anim between two activities  _x000D_
StartActivity: A recycler view that contains several cards _x000D_
EndActivity: A recycler view in which each view holder is full screen _x000D_
_x000D_
It s very similar to https:  github com skydoves transformationlayout_x000D_
  image (https:  user images githubusercontent com 29533679 126327456 af94fe49 9fb0 4565 bf9e 025a56f0ba2f png)_x000D_
_x000D_
Everything worked fine  but I got some crash reports as below:_x000D_
_x000D_
  Expected behavior:   _x000D_
Fatal Exception: java lang NullPointerException: Attempt to invoke virtual method  android graphics drawable Drawable android graphics drawable Drawable mutate()  on a null object reference_x000D_
       at com google android material transition platform MaterialContainerTransformSharedElementCallback removeWindowBackground(MaterialContainerTransformSharedElementCallback java:304)_x000D_
       at com google android material transition platform MaterialContainerTransformSharedElementCallback access 000(MaterialContainerTransformSharedElementCallback java:52)_x000D_
       at com google android material transition platform MaterialContainerTransformSharedElementCallback 1 onTransitionStart(MaterialContainerTransformSharedElementCallback java:243)_x000D_
       at android transition Transition start(Transition java:1897)_x000D_
       at android transition Transition runAnimators(Transition java:868)_x000D_
       at android transition TransitionSet runAnimators(TransitionSet java:433)_x000D_
       at android transition TransitionSet runAnimators(TransitionSet java:433)_x000D_
       at android transition TransitionSet runAnimators(TransitionSet java:433)_x000D_
       at android transition Transition playTransition(Transition java:1778)_x000D_
       at android transition TransitionManager MultiListener onPreDraw(TransitionManager java:306)_x000D_
       at android view ViewTreeObserver dispatchOnPreDraw(ViewTreeObserver java:944)_x000D_
       at android view ViewRootImpl performTraversals(ViewRootImpl java:2223)_x000D_
       at android view ViewRootImpl doTraversal(ViewRootImpl java:1272)_x000D_
       at android view ViewRootImpl TraversalRunnable run(ViewRootImpl java:6408)_x000D_
       at android view Choreographer CallbackRecord run(Choreographer java:874)_x000D_
       at android view Choreographer doCallbacks(Choreographer java:686)_x000D_
       at android view Choreographer doFrame(Choreographer java:621)_x000D_
       at android view Choreographer FrameDisplayEventReceiver run(Choreographer java:860)_x000D_
       at android os Handler handleCallback(Handler java:751)_x000D_
       at android os Handler dispatchMessage(Handler java:95)_x000D_
       at android os Looper loop(Looper java:154)_x000D_
       at android app ActivityThread main(ActivityThread java:6165)_x000D_
       at java lang reflect Method invoke(Method java)_x000D_
       at com android internal os ZygoteInit MethodAndArgsCaller run(ZygoteInit java:888)_x000D_
       at com android internal os ZygoteInit main(ZygoteInit java:778)_x000D_
_x000D_
  Source code:   _x000D_
Just refer to the sample code from this repo _x000D_
_x000D_
  Android API version:  _x000D_
targetApi: 23_x000D_
_x000D_
  Material Library version:   _x000D_
Material Android Library version: 1 3 0_x000D_
_x000D_
  Device:   Device on which the bug was encountered here_x000D_
Galaxy J7(6 0 1)_x000D_
Moto G4 Play(7 1 1)_x000D_
</t>
  </si>
  <si>
    <t>Anuken-Mindustry-5623</t>
  </si>
  <si>
    <t>229 crash</t>
  </si>
  <si>
    <t xml:space="preserve">  Platform  :  Android _x000D_
_x000D_
  Build  :  126 2 _x000D_
_x000D_
  Issue  :  Sector 229 keeps crashing after i failed to retake it  _x000D_
_x000D_
  Steps to reproduce  :   N A  _x000D_
_x000D_
  Link(s) to mod(s) used  :   _x000D_
_x000D_
  Save file  :  https:  mega nz file USgEVajb NViloS3htqsDFVfXa4 FApNA4AirTu3sbrnawN LmC8 _x000D_
_x000D_
  (Crash) logs  :  https:  mega nz file NexEAQyL GPi QGSVkeWRrYK B1WWL83A9fOR4Xw9t30Bmj5vdVE_x000D_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</si>
  <si>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Anuken-Mindustry-5622</t>
  </si>
  <si>
    <t>table.background(Tex.inventory) causes NoSuchFieldError</t>
  </si>
  <si>
    <t xml:space="preserve">  Platform  :  Android _x000D_
_x000D_
  Build  :  128 1 _x000D_
_x000D_
  Issue  :  Yet another case of 6 0 crashing in 7 0  but this time I have no idea what is wrong at all  what I am doing wrong  or how to fix  Wrong Deprecation or compiler issues  _x000D_
_x000D_
  Steps to reproduce  :  Install latest BetaMindy s github action  game crashes on startup  _x000D_
The code lines of the crash log stacktrace:_x000D_
   java_x000D_
parent fill(table     _x000D_
            table name    hardmodebar  _x000D_
            table left() _x000D_
            table table(t     _x000D_
                t background(Tex inventory)      Line 32_x000D_
                t top() _x000D_
                t add( Invasion   Styles techLabel) color(Pal2 portal) pad(4f) _x000D_
                t row() _x000D_
   _x000D_
_x000D_
  Link(s) to mod(s) used  :  sk7725 BetaMindy _x000D_
_x000D_
  Save file  :  crash on startup _x000D_
_x000D_
If you remove the line above without reading it properly and understanding what it means  I will reap your soul  Even if you re playing on someone s server  you can still save the game to a slot _x000D_
_x000D_
  (Crash) logs  : _x000D_
   _x000D_
Mindustry has crashed  How unfortunate _x000D_
Version: pre alpha build 128 1_x000D_
OS: Linux xnull (aarch64)_x000D_
Java Version: 0_x000D_
19 Mods: betamindy:1 0_x000D_
  b59e72 Demo of Chaos Itself    commandustry:0 5  dev mode:2 3 2  diversetech:0 1 0  hackustry:4  largeunits:0 1  ldb:1 3 2  new horizon:1 8 7 1 Fix  notepad:2 0 0  override lib:1 0 1  rtfm:2 14 10  test utils:0 14  time control:0 2  uaw:0 4  ui lib:2 16 6  unit factory:2 4 2  aeromindustry:1  bundles:13  classicified:1 4_x000D_
_x000D_
  NoSuchFieldError:  No static field inventory of type Larc scene style NinePatchDrawable  in class Lmindustry gen Tex  or its superclasses (declaration of  mindustry gen Tex  appears in base apk) _x000D_
HardmodeFragment lambda null 5 HardmodeFragment: 32_x000D_
   Lambda HardmodeFragment NV6NlXenFiI2maVLlRkza6WjMe4 get: 4_x000D_
Table table: 264_x000D_
HardmodeFragment lambda build 7 HardmodeFragment: 31_x000D_
   Lambda HardmodeFragment qobycLahpAB aXSXPcuKzmwp6DQ get: 4_x000D_
Group fill: 241_x000D_
Group fill: 233_x000D_
HardmodeFragment build: 28_x000D_
MindyUILoader lambda init 0 MindyUILoader: 19_x000D_
   Lambda MindyUILoader EUI6BBjU75xgqkOBB7cRQhKTIks run: 2_x000D_
AndroidGraphics onDrawFrame: 364_x000D_
GLSurfaceView GLThread guardedRun: 1571_x000D_
GLSurfaceView GLThread run: 1270_x000D_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</si>
  <si>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k9mail-k-9-5420</t>
  </si>
  <si>
    <t>Crash upon deleting emails</t>
  </si>
  <si>
    <t xml:space="preserve">K9 mail crashes frequently  seemingly related to me deleting emails  The is sometimes a bit of delay though between deleting the emails and the crash  I ve been able to reproduce this twice in the past few minutes  see the attached logs _x000D_
_x000D_
I m running 5 738  Android 10  on a Nokia 7 2 </t>
  </si>
  <si>
    <t>nextcloud-android-8735</t>
  </si>
  <si>
    <t>3.17.0 RC2: crash while posting comment</t>
  </si>
  <si>
    <t xml:space="preserve">    Steps to reproduce_x000D_
1  open the detail view of a file_x000D_
2  fill in a comment_x000D_
3  post it  app will crash_x000D_
_x000D_
_x000D_
             CAUSE OF ERROR             _x000D_
_x000D_
java lang RuntimeException: An error occurred while executing doInBackground()_x000D_
at android os AsyncTask 4 done(AsyncTask java:415)_x000D_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java:305)_x000D_
at java util concurrent ThreadPoolExecutor runWorker(ThreadPoolExecutor java:1167)_x000D_
at java util concurrent ThreadPoolExecutor Worker run(ThreadPoolExecutor java:641)_x000D_
at java lang Thread run(Thread java:923)_x000D_
Caused by: java lang IllegalArgumentException: Trying to execute a sync operation without storage provider  Please use execute(OwnCloudClient client  FileDataStorageManager storageManager) instead_x000D_
at com owncloud android operations common SyncOperation execute(SyncOperation java:154)_x000D_
at com owncloud android ui fragment FileDetailActivitiesFragment SubmitCommentTask doInBackground(FileDetailActivitiesFragment java:479)_x000D_
at com owncloud android ui fragment FileDetailActivitiesFragment SubmitCommentTask doInBackground(FileDetailActivitiesFragment java:460)_x000D_
at android os AsyncTask 3 call(AsyncTask java:394)_x000D_
at java util concurrent FutureTask run(FutureTask java:266)_x000D_
    4 more_x000D_
_x000D_
             APP INFORMATION             _x000D_
ID: com nextcloud client_x000D_
Version: 30170052_x000D_
Build flavor: gplay_x000D_
_x000D_
             DEVICE INFORMATION             _x000D_
Brand: OnePlus_x000D_
Device: OnePlus7T_x000D_
Model: HD1903_x000D_
Id: RKQ1 201022 002_x000D_
Product: OnePlus7T EEA_x000D_
_x000D_
             FIRMWARE             _x000D_
SDK: 30_x000D_
Release: 11_x000D_
Incremental: 2105071636</t>
  </si>
  <si>
    <t>Benji377-SocyMusic-118</t>
  </si>
  <si>
    <t>Queuefragment doesn't close</t>
  </si>
  <si>
    <t xml:space="preserve">  Describe the bug  _x000D_
Since we have the new Playerfragment  there are new buttons on it  Three new buttons actually:_x000D_
  Queue button: When you click on it  the queue opens up and then should close down again_x000D_
  Star button: Adds the song or removes it from the favorite playlist_x000D_
  Playlist button: Should open a fragment where you can choose the playlist and add the song to it_x000D_
_x000D_
I tried to add the Queue button and it seems to work beside all the warnings  but when you try to close it again it just crashes the app _x000D_
_x000D_
  To Reproduce  _x000D_
Steps to reproduce the behavior:_x000D_
1  Click on any song_x000D_
2  Click on the button to open up the queue  NOT THE ONE ON THE MENU_x000D_
3  Try to exit the Fragment again_x000D_
4  App is crashed_x000D_
_x000D_
  Expected behavior  _x000D_
I think something like when you normally open the queue from the menu should happen  The menu bar should change so that you can click on it and close it again</t>
  </si>
  <si>
    <t>PojavLauncherTeam-PojavLauncher-1699</t>
  </si>
  <si>
    <t xml:space="preserve">[BUG] Preliminary support for 1.17 doesn't work </t>
  </si>
  <si>
    <t xml:space="preserve">    Describe the bug_x000D_
_x000D_
I can t send videos  I ll do it with screenshots_x000D_
  Screenshot 20210719 163133 com lenovo anyshare gps (https:  user images githubusercontent com 75908293 126167881 27e5ed14 fa81 4435 9529 23426789278e jpg)_x000D_
  Screenshot 20210719 163144 com lenovo anyshare gps (https:  user images githubusercontent com 75908293 126167887 60cf3d4a 907d 4aba ba69 5c8ef0343188 jpg)_x000D_
  Screenshot 20210719 163155 com lenovo anyshare gps (https:  user images githubusercontent com 75908293 126167892 5b0c1f04 8a0e 4de0 95e6 4a144d6c5fad jpg)_x000D_
  Screenshot 20210719 163234 com duapps recorder (https:  user images githubusercontent com 75908293 126167895 186a5177 4023 496a 8664 1cdaaa5456cd jpg)_x000D_
_x000D_
_x000D_
    The log file and images videos_x000D_
_x000D_
 latestlog txt (https:  github com PojavLauncherTeam PojavLauncher files 6842108 latestlog txt)_x000D_
_x000D_
_x000D_
    Steps To Reproduce_x000D_
_x000D_
   1 Opened pojavlauncher v3 3 1 1 875 93f6c685 v3 openjdk noruntime_x000D_
2 Downloaded and installed jre 17_x000D_
3  Opened the file manager and went to the path: pojavlauncher  minecraft  I edited  options txt  changed the path to the resource pack there (resourcePacks:  assets v0 zip  ) _x000D_
4  Opened pojavlauncher  chose renderer gl4es 1 1 5 (OpenGl es 2)_x000D_
5  Launched minecraft 1 17 and this crash occurred _x000D_
_x000D_
 _x000D_
   _x000D_
_x000D_
_x000D_
    Expected Behavior_x000D_
I expected the game to start  but there was an error _x000D_
_x000D_
 _x000D_
_x000D_
    Platform_x000D_
_x000D_
   markdown_x000D_
  Device model:honor 9c 4 64G_x000D_
  CPU architecture:aarch64 _x000D_
  Android version:10 _x000D_
  PojavLauncher version:3 3 1 1 875 93f6c685 v3 openjdk_x000D_
   _x000D_
_x000D_
_x000D_
    Anything else _x000D_
_x000D_
 No response </t>
  </si>
  <si>
    <t>Anuken-Mindustry-5616</t>
  </si>
  <si>
    <t>Editor Undo/Redo Bug</t>
  </si>
  <si>
    <t xml:space="preserve">  Platform  :  Android iOS Mac Windows Linux _x000D_
Windows_x000D_
_x000D_
  Build  :  The build number under the title in the main menu  Required   LATEST  IS NOT A VERSION  I NEED THE EXACT BUILD NUMBER OF YOUR GAME  _x000D_
128 1_x000D_
_x000D_
  Issue  :  Explain your issue in detail  _x000D_
Undoing  then redoing placing a block in editor turns the block derelict _x000D_
_x000D_
  Steps to reproduce  :  How you happened across the issue  and what exactly you did to make the bug happen  _x000D_
1  Place any block in editor(eg  any core  plastanium wall  duo) _x000D_
2  Undo _x000D_
3  Redo and look at the block s team _x000D_
_x000D_
  Link(s) to mod(s) used  :  The mod repositories or zip files that are related to the issue  if applicable  _x000D_
None needed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Editor bug  save not required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This isn t a crash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</si>
  <si>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jellyfin-jellyfin-androidtv-1027</t>
  </si>
  <si>
    <t>FireTV media playback fails when connecting through IPv6</t>
  </si>
  <si>
    <t xml:space="preserve">  Describe the bug  _x000D_
When connecting to a Jellyfin server through its IPv6 address  the app loads fine into the  library  view  but crashes when trying to play any file  _x000D_
_x000D_
  To Reproduce  _x000D_
1  Connect from a fireTV (likely any androidTV) app to a server through its ipv6 address_x000D_
2  Log in  get into library  observe things working there_x000D_
3  Attempt to open a file to watch it _x000D_
4  Observe it crashing _x000D_
_x000D_
  Expected behavior  _x000D_
The app playing back the media without crashing _x000D_
_x000D_
  Logs  _x000D_
(server address redacted)_x000D_
   _x000D_
    _x000D_
2021 07 19 13:21:42 145 9425 9425   D Jellyfin AndroidTV: Adding request to queue: http:   xxxx:xxxx:xxxx:xxxx:xxxx:xxxx:xxxx:xxxx :8096 Users  userhash  Items  itemhash  format json_x000D_
    _x000D_
2021 07 19 13:21:42 174 9425 9425   D Jellyfin AndroidTV: Added event listener   Total listeners: 3_x000D_
    _x000D_
2021 07 19 13:21:42 253 9425 9425   I Jellyfin AndroidTV: Response received from: http:   xxxx:xxxx:xxxx:xxxx:xxxx:xxxx:xxxx:xxxx :8096 Users  userhash  Items  itemhash  format json_x000D_
    _x000D_
2021 07 19 13:21:42 313 9425 9790   E AndroidRuntime: FATAL EXCEPTION: AsyncTask  7_x000D_
    Process: org jellyfin androidtv  PID: 9425_x000D_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Caused by: java lang IllegalArgumentException: unexpected host: xxxx:xxxx:xxxx:xxxx:xxxx:xxxx:xxxx:xxxx_x000D_
        at com squareup okhttp HttpUrl Builder host(HttpUrl java:705)_x000D_
        at com squareup okhttp Address  init (Address java:57)_x000D_
        at com squareup okhttp internal http HttpEngine createAddress(HttpEngine java:985)_x000D_
        at com squareup okhttp internal http HttpEngine  init (HttpEngine java:182)_x000D_
        at com squareup okhttp internal huc HttpURLConnectionImpl newHttpEngine(HttpURLConnectionImpl java:377)_x000D_
        at com squareup okhttp internal huc HttpURLConnectionImpl initHttpEngine(HttpURLConnectionImpl java:324)_x000D_
        at com squareup okhttp internal huc HttpURLConnectionImpl getResponse(HttpURLConnectionImpl java:392)_x000D_
        at com squareup okhttp internal huc HttpURLConnectionImpl getResponseCode(HttpURLConnectionImpl java:527)_x000D_
        at com squareup picasso OkHttpDownloader load(OkHttpDownloader java:105)_x000D_
        at com squareup picasso NetworkBitmapHunter decode(NetworkBitmapHunter java:46)_x000D_
        at com squareup picasso BitmapHunter hunt(BitmapHunter java:144)_x000D_
        at com squareup picasso RequestCreator get(RequestCreator java:280)_x000D_
        at org jellyfin androidtv details FullDetailsActivity BuildDorTask doInBackground(FullDetailsActivity java:433)_x000D_
        at org jellyfin androidtv details FullDetailsActivity BuildDorTask doInBackground(FullDetailsActivity java:381)_x000D_
        at android os AsyncTask 2 call(AsyncTask java:333)_x000D_
        at java util concurrent FutureTask run(FutureTask java:266)_x000D_
        at android os AsyncTask SerialExecutor 1 run(AsyncTask java:245) _x000D_
        at java util concurrent ThreadPoolExecutor runWorker(ThreadPoolExecutor java:1167) _x000D_
        at java util concurrent ThreadPoolExecutor Worker run(ThreadPoolExecutor java:641) _x000D_
        at java lang Thread run(Thread java:764) _x000D_
2021 07 19 13:21:42 313 9425 9790   E ACRA: ACRA caught a RuntimeException for org jellyfin androidtv_x000D_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Caused by: java lang IllegalArgumentException: unexpected host: xxxx:xxxx:xxxx:xxxx:xxxx:xxxx:xxxx:xxxx_x000D_
        at com squareup okhttp HttpUrl Builder host(HttpUrl java:705)_x000D_
        at com squareup okhttp Address  init (Address java:57)_x000D_
        at com squareup okhttp internal http HttpEngine createAddress(HttpEngine java:985)_x000D_
        at com squareup okhttp internal http HttpEngine  init (HttpEngine java:182)_x000D_
        at com squareup okhttp internal huc HttpURLConnectionImpl newHttpEngine(HttpURLConnectionImpl java:377)_x000D_
        at com squareup okhttp internal huc HttpURLConnectionImpl initHttpEngine(HttpURLConnectionImpl java:324)_x000D_
        at com squareup okhttp internal huc HttpURLConnectionImpl getResponse(HttpURLConnectionImpl java:392)_x000D_
        at com squareup okhttp internal huc HttpURLConnectionImpl getResponseCode(HttpURLConnectionImpl java:527)_x000D_
        at com squareup picasso OkHttpDownloader load(OkHttpDownloader java:105)_x000D_
        at com squareup picasso NetworkBitmapHunter decode(NetworkBitmapHunter java:46)_x000D_
        at com squareup picasso BitmapHunter hunt(BitmapHunter java:144)_x000D_
        at com squareup picasso RequestCreator get(RequestCreator java:280)_x000D_
        at org jellyfin androidtv details FullDetailsActivity BuildDorTask doInBackground(FullDetailsActivity java:433)_x000D_
        at org jellyfin androidtv details FullDetailsActivity BuildDorTask doInBackground(FullDetailsActivity java:381)_x000D_
        at android os AsyncTask 2 call(AsyncTask java:333)_x000D_
        at java util concurrent FutureTask run(FutureTask java:266)_x000D_
        at android os AsyncTask SerialExecutor 1 run(AsyncTask java:245) _x000D_
        at java util concurrent ThreadPoolExecutor runWorker(ThreadPoolExecutor java:1167) _x000D_
        at java util concurrent ThreadPoolExecutor Worker run(ThreadPoolExecutor java:641) _x000D_
        at java lang Thread run(Thread java:764)_x000D_
   _x000D_
_x000D_
  System (please complete the following information):  _x000D_
   Android TV or Fire TV version: Fire OS 7_x000D_
   Device manufacturer: JVC_x000D_
   Device model: JVC Fire TV_x000D_
   Jellyfin server version: 10 7 6_x000D_
_x000D_
_x000D_
</t>
  </si>
  <si>
    <t>nextcloud-android-8732</t>
  </si>
  <si>
    <t>NullPointerException: App crashes at startup after showing Folders</t>
  </si>
  <si>
    <t xml:space="preserve">    Steps to reproduce_x000D_
1  Open the Android app  The folder list ist shown _x000D_
2  Folder list is automatically refreshed _x000D_
_x000D_
I have two accounts in the app  and right before this error started to happen  in fast succession  I changed between these and furthermore the dialog to add a new account opened briefly (not on purpose  i believe i might have touched the wrong menu option when trying to switch the account again) and was aborted _x000D_
_x000D_
    Expected behaviour_x000D_
  App shows folders and does not crash_x000D_
_x000D_
    Actual behaviour_x000D_
  App crashes with NullpointerException: Parameter password is null _x000D_
_x000D_
    Can you reproduce this problem on https:  try nextcloud com _x000D_
  no  it s a problem with the Android app and i can t change the accounts there anyway as it crashes now each time right after startup  The problem occurs even in flight mode _x000D_
_x000D_
    Environment data_x000D_
Android version: 7 0_x000D_
_x000D_
Device model: see below_x000D_
_x000D_
Stock or customized system: stock_x000D_
_x000D_
Nextcloud app version: 3 16 1_x000D_
_x000D_
Nextcloud server version: unknown_x000D_
_x000D_
Reverse proxy: unknown_x000D_
_x000D_
    Logs_x000D_
     Web server error log_x000D_
   _x000D_
Problem occurs in flight mode  No access to server _x000D_
   _x000D_
_x000D_
     Android App Error report_x000D_
   _x000D_
             CAUSE OF ERROR             _x000D_
_x000D_
java lang NullPointerException: Parameter specified as non null is null: method kotlin jvm internal Intrinsics checkNotNullParameter  parameter password_x000D_
	at okhttp3 Credentials basic(Credentials kt)_x000D_
	at okhttp3 Credentials basic default(Credentials kt:28)_x000D_
	at okhttp3 Credentials basic(Credentials kt)_x000D_
	at com owncloud android lib common OwnCloudClientFactory createNextcloudClient(OwnCloudClientFactory java:217)_x000D_
	at com owncloud android operations RefreshFolderOperation updateUserProfile(RefreshFolderOperation java:283)_x000D_
	at com owncloud android operations RefreshFolderOperation run(RefreshFolderOperation java:231)_x000D_
	at com owncloud android lib common operations RemoteOperation run(RemoteOperation java:359)_x000D_
	at java lang Thread run(Thread java:776)_x000D_
_x000D_
             APP INFORMATION             _x000D_
ID: com nextcloud client_x000D_
Version: 30160190_x000D_
Build flavor: generic_x000D_
_x000D_
             DEVICE INFORMATION             _x000D_
Brand: HUAWEI_x000D_
Device: HWVNS H_x000D_
Model: HUAWEI VNS L31_x000D_
Id: HUAWEIVNS L31_x000D_
Product: VNS L31_x000D_
_x000D_
             FIRMWARE             _x000D_
SDK: 24_x000D_
Release: 7 0_x000D_
Incremental: C432B418_x000D_
   _x000D_
</t>
  </si>
  <si>
    <t>Anuken-Mindustry-5610</t>
  </si>
  <si>
    <t>b o o m</t>
  </si>
  <si>
    <t xml:space="preserve">  Platform  :  Android iOS Mac Windows Linux _x000D_
android_x000D_
  Build  :  The build number under the title in the main menu  Required   LATEST  IS NOT A VERSION  I NEED THE EXACT BUILD NUMBER OF YOUR GAME  _x000D_
bleeding edge 24167_x000D_
  Issue  :  Explain your issue in detail  _x000D_
i was at impact 0078  saving up thor and sil for nucleus when    BOOM  everything died  i had beaten the sector too :(_x000D_
  Steps to reproduce  :  How you happened across the issue  and what exactly you did to make the bug happen  _x000D_
i dunno what i did_x000D_
  Link(s) to mod(s) used  :  The mod repositories or zip files that are related to the issue  if applicable  _x000D_
time control and testing utilities  i dont know how to get zip file_x000D_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sorry man  i lost the sector so no save  (_x000D_
_x000D_
but i have evidence that i cleared it  here_x000D_
  cleared (https:  user images githubusercontent com 87596406 126081302 15c9c397 6dcb 4878 807f d8ee1ee9335a jpg)_x000D_
and here is evidence that i died there_x000D_
  dead (https:  user images githubusercontent com 87596406 126081312 12b71250 142f 470d 8995 4b9ccfebd267 jpg)_x000D_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(x)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</si>
  <si>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Anuken-Mindustry-5609</t>
  </si>
  <si>
    <t>"Jump" destination doesn't copy correctly</t>
  </si>
  <si>
    <t xml:space="preserve">  Platform  : Android_x000D_
_x000D_
  Build  : 126 2_x000D_
_x000D_
  Issue  : See videos below _x000D_
_x000D_
https:  user images githubusercontent com 66205430 126080624 f97b27c6 9191 4990 806b 4e4ca2ffa4fb mp4_x000D_
_x000D_
https:  user images githubusercontent com 66205430 126080563 d6669516 9981 4c85 8c66 29275565a7a5 mp4_x000D_
_x000D_
  Steps to reproduce  : Copy jump function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t>
  </si>
  <si>
    <t>Anuken-Mindustry-5607</t>
  </si>
  <si>
    <t>did mindustry.pl server die?</t>
  </si>
  <si>
    <t xml:space="preserve">  Platform  : windows 10 x64_x000D_
_x000D_
  Build  : 128 1_x000D_
_x000D_
  Issue  : after my vacation i wanted to play mindustry and i can t find mindustry pl sever  did the server die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</si>
  <si>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TeamNewPipe-NewPipe-6696</t>
  </si>
  <si>
    <t>Crash when rotating device on unsupported channels</t>
  </si>
  <si>
    <t xml:space="preserve">    Checklist_x000D_
   x  I am using the latest version   0 21 15_x000D_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 channel which is not supported by NewPipe _x000D_
2  Rotate your device _x000D_
3  Observe app s behavior _x000D_
_x000D_
    Actual behavior_x000D_
The app crashes _x000D_
_x000D_
    Expected behavior_x000D_
The app displays the unsupported channel after device s rotation _x000D_
_x000D_
_x000D_
    Screenshots Screen recordings_x000D_
_x000D_
https:  user images githubusercontent com 74829229 126073585 ca479278 202b 4429 b4a5 5d8fd932bd23 mp4_x000D_
_x000D_
    Logs_x000D_
_x000D_
   Exception_x000D_
    User Action:   ui error_x000D_
    Request:   ACRA report_x000D_
    Content Country:   FR_x000D_
    Content Language:   fr FR_x000D_
    App Language:   fr FR_x000D_
    Service:   none_x000D_
    Version:   0 21 6_x000D_
    OS:   Linux Android 10   29_x000D_
 details  summary  b Crash log   b   summary  p _x000D_
_x000D_
   _x000D_
java lang NullPointerException: Attempt to read from field  android widget TextView org schabi newpipe databinding FragmentChannelBinding errorContentNotSupported  on a null object reference_x000D_
	at org schabi newpipe fragments list channel ChannelFragment showContentNotSupported(ChannelFragment java:510)_x000D_
	at org schabi newpipe fragments list channel ChannelFragment handleResult(ChannelFragment java:477)_x000D_
	at org schabi newpipe fragments list channel ChannelFragment handleResult(ChannelFragment java:67)_x000D_
	at org schabi newpipe fragments list BaseListInfoFragment doInitialLoadLogic(BaseListInfoFragment java:115)_x000D_
	at org schabi newpipe fragments BaseStateFragment onViewCreated(BaseStateFragment java:42)_x000D_
	at org schabi newpipe fragments list channel ChannelFragment onViewCreated(ChannelFragment java:125)_x000D_
	at androidx fragment app Fragment performViewCreated(Fragment java:2987)_x000D_
	at androidx fragment app FragmentStateManager createView(FragmentStateManager java:546)_x000D_
	at androidx fragment app FragmentStateManager moveToExpectedState(FragmentStateManager java:282)_x000D_
	at androidx fragment app FragmentStore moveToExpectedState(FragmentStore java:112)_x000D_
	at androidx fragment app FragmentManager moveToState(FragmentManager java:1647)_x000D_
	at androidx fragment app FragmentManager dispatchStateChange(FragmentManager java:3128)_x000D_
	at androidx fragment app FragmentManager dispatchActivityCreated(FragmentManager java:3072)_x000D_
	at androidx fragment app FragmentController dispatchActivityCreated(FragmentController java:251)_x000D_
	at androidx fragment app FragmentActivity onStart(FragmentActivity java:501)_x000D_
	at androidx appcompat app AppCompatActivity onStart(AppCompatActivity java:210)_x000D_
	at android app Instrumentation callActivityOnStart(Instrumentation java:1435)_x000D_
	at android app Activity performStart(Activity java:8024)_x000D_
	at android app ActivityThread handleStartActivity(ActivityThread java:3475)_x000D_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_x000D_
  details _x000D_
 hr _x000D_
_x000D_
    Devices info_x000D_
_x000D_
   Android version Custom ROM version: EMUI 10   Android 11_x000D_
   Device model: Honor 9X   Pixel 4A (Android emulator)</t>
  </si>
  <si>
    <t>PojavLauncherTeam-PojavLauncher-1690</t>
  </si>
  <si>
    <t>[BUG] &lt;unable to run 1.17 optifine&gt;</t>
  </si>
  <si>
    <t xml:space="preserve">    Describe the bug
_x000D_
     Minecraft Crash Report     _x000D_
   I just don t know what went wrong :(_x000D_
_x000D_
Time: 18 07 2021  11:26_x000D_
Description: Initializing game_x000D_
_x000D_
java lang IllegalStateException: could not preload shader rendertype text_x000D_
	at ena a(GameRenderer java:464)_x000D_
	at ena a(GameRenderer java:450)_x000D_
	at dvo  init (SourceFile:625)_x000D_
	at net minecraft client main Main main(SourceFile:179)_x000D_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Caused by: wz: Invalid shaders core rendertype text json: Couldn t compile vertex program (minecraft:shaders core rendertype text vsh  rendertype text) : 0:26: S0001: Type mismatch in arithmetic operation between  ivec2  and  float _x000D_
	at wz a(SourceFile:48)_x000D_
	at ens  init (ShaderInstance java:214)_x000D_
	at ena a(GameRenderer java:458)_x000D_
	    9 more_x000D_
Caused by: java io IOException: Couldn t compile vertex program (minecraft:shaders core rendertype text vsh  rendertype text) : 0:26: S0001: Type mismatch in arithmetic operation between  ivec2  and  float _x000D_
	at dpz b(Program java:94)_x000D_
	at dpz a(Program java:55)_x000D_
	at ens a(ShaderInstance java:253)_x000D_
	at ens  init (ShaderInstance java:187)_x000D_
	    10 more_x000D_
_x000D_
_x000D_
A detailed walkthrough of the error  its code path and all known details is as follows:_x000D_
                                                                                       _x000D_
_x000D_
   Head   _x000D_
Thread: Render thread_x000D_
Stacktrace:_x000D_
	at ena a(GameRenderer java:464)_x000D_
	at ena a(GameRenderer java:450)_x000D_
	at dvo  init (SourceFile:625)_x000D_
_x000D_
   Initialization   _x000D_
Details:_x000D_
Stacktrace:_x000D_
	at net minecraft client main Main main(SourceFile:179)_x000D_
	at java base jdk internal reflect NativeMethodAccessorImpl invoke0(Native Method)_x000D_
	at java base jdk internal reflect NativeMethodAccessorImpl invoke(NativeMethodAccessorImpl java:77)_x000D_
	at java base jdk internal reflect DelegatingMethodAccessorImpl invoke(DelegatingMethodAccessorImpl java:43)_x000D_
	at java base java lang reflect Method invoke(Method java:568)_x000D_
	at net minecraft launchwrapper Launch launch(Launch java:159)_x000D_
	at net minecraft launchwrapper Launch main(Launch java:30)_x000D_
_x000D_
   System Details   _x000D_
Details:_x000D_
	Minecraft Version: 1 17_x000D_
	Minecraft Version ID: 1 17_x000D_
	Operating System: Linux (aarch64) version Android 10_x000D_
	Java Version: 17 internal  N A_x000D_
	Java VM Version: OpenJDK 64 Bit Server VM (mixed mode)  Oracle Corporation_x000D_
	Memory: 902870512 bytes (861 MiB)   1719664640 bytes (1640 MiB) up to 1719664640 bytes (1640 MiB)_x000D_
	CPUs: 8_x000D_
	Processor Vendor: 0x41_x000D_
	Processor Name: AArch64 Processor rev 2 (aarch64)_x000D_
	Identifier: 0x41 Family 8 Model 0xd09 Stepping r0x0p4_x000D_
	Microarchitecture: unknown_x000D_
	Frequency (GHz):  0 00_x000D_
	Number of physical packages: 1_x000D_
	Number of physical CPUs: 1_x000D_
	Number of logical CPUs: 8_x000D_
	Graphics card  0 name: unknown_x000D_
	Graphics card  0 vendor: unknown_x000D_
	Graphics card  0 VRAM (MB): 0 00_x000D_
	Graphics card  0 deviceId: unknown_x000D_
	Graphics card  0 versionInfo: unknown_x000D_
	Virtual memory max (MB): 4079 94_x000D_
	Virtual memory used (MB): 4244 75_x000D_
	Swap memory total (MB): 2240 00_x000D_
	Swap memory used (MB): 1013 19_x000D_
	JVM Flags: 2 total   Xms1640M  Xmx1640M_x000D_
	Launched Version: 1 17_x000D_
	Backend library: LWJGL version 3 2 3 SNAPSHOT_x000D_
	Backend API: GL4ES wrapper GL version 2 1 gl4es wrapper 1 1 5  ptitSeb_x000D_
	Window size:  not initialized _x000D_
	GL Caps: Using framebuffer using OpenGL 3 2_x000D_
	GL debug messages:  disabled _x000D_
	Using VBOs: Yes_x000D_
	Is Modded: Very likely  Jar signature invalidated_x000D_
	Type: Client (map client txt)_x000D_
	CPU: 8x AArch64 Processor rev 2 (aarch64)_x000D_
	OptiFine Version: OptiFine 1 17 HD U G9 pre26_x000D_
	OptiFine Build: 20210709 184608_x000D_
	Render Distance Chunks: 10_x000D_
	Mipmaps: 2_x000D_
	Anisotropic Filtering: 1_x000D_
	Antialiasing: 0_x000D_
	Multitexture: false_x000D_
	Shaders: null_x000D_
	OpenGlVersion: 2 1 gl4es wrapper 1 1 5_x000D_
	OpenGlRenderer: GL4ES wrapper_x000D_
	OpenGlVendor: ptitSeb_x000D_
	CpuCount: 8
    The log file and images videos
 No response 
    Steps To Reproduce
   markdown
1 Downloaded and installed preview OptiFine 1 17 HD U G9 pre26_x000D_
2  I launched this version and the game unexpectedly crashed 
    Expected Behavior
I expected the game to start  but there was an error 
    Platform
   markdown
  Device model:honor 9c _x000D_
  CPU architecture:aarch64 _x000D_
  Android version:10_x000D_
  PojavLauncher version:3 3 1 1
    Anything else 
 No response </t>
  </si>
  <si>
    <t>PojavLauncherTeam-PojavLauncher-1689</t>
  </si>
  <si>
    <t>Sodium and iris mod doesn't work in 1.17.1</t>
  </si>
  <si>
    <t xml:space="preserve">    Describe the bug
When i enter a world with sodium mod the game crash
    The log file and images videos
          beggining with launcher debug_x000D_
Info: Launcher version: v3 3 1 1 866 143312eb v3 openjdk_x000D_
Info: LWJGL3 directory:  jsr305 jar  lwjgl glfw classes jar  lwjgl jemalloc jar  lwjgl openal jar  lwjgl opengl jar  lwjgl stb jar  lwjgl tinyfd jar  lwjgl jar  version _x000D_
Architecture: arm64 aarch64_x000D_
Info: Custom Java arguments:   Xms800m  Xmx800m _x000D_
Info: Selected Minecraft version: fabric loader 0 11 6 1 17 1 (1 17 1)_x000D_
Added custom env: TMPDIR  data user 0 net kdt pojavlaunch debug cache_x000D_
Added custom env: AWTSTUB WIDTH 2400_x000D_
Added custom env: REGAL GL VERSION 4 5_x000D_
Added custom env: REGAL GL VENDOR Android_x000D_
Added custom env: LIBGL MIPMAP 3_x000D_
Added custom env: allow higher compat version true_x000D_
Added custom env: MESA GLSL CACHE DIR  data user 0 net kdt pojavlaunch debug cache_x000D_
Added custom env: HOME  storage emulated 0 games PojavLauncher  minecraft_x000D_
Added custom env: PATH  data data net kdt pojavlaunch debug runtimes jre17 arm64 20210706 release tar xz bin: product bin: apex com android runtime bin: apex com android art bin: system ext bin: system bin: system xbin: odm bin: vendor bin: vendor xbin_x000D_
Added custom env: force glsl extensions warn true_x000D_
Added custom env: LIBGL NORMALIZE 1_x000D_
Added custom env: LD LIBRARY PATH  data data net kdt pojavlaunch debug runtimes jre17 arm64 20210706 release tar xz lib jli: data data net kdt pojavlaunch debug runtimes jre17 arm64 20210706 release tar xz lib: system lib64: vendor lib64: vendor lib64 hw: data app   W1cdjEc8HTcYJX E0rEWWw   net kdt pojavlaunch debug j6EHj0LSLrvRdv46QfDz0Q   lib arm64_x000D_
Added custom env: POJAV RENDERER opengles3_x000D_
Added custom env: LIBGL ES 3_x000D_
Added custom env: MESA LOADER DRIVER OVERRIDE zink_x000D_
Added custom env: MESA GLSL VERSION OVERRIDE 460_x000D_
Added custom env: JAVA HOME  data data net kdt pojavlaunch debug runtimes jre17 arm64 20210706 release tar xz_x000D_
Added custom env: MESA GL VERSION OVERRIDE 4 6_x000D_
Added custom env: allow glsl extension directive midshader true_x000D_
Added custom env: REGAL GL RENDERER Regal_x000D_
Added custom env: AWTSTUB HEIGHT 1080_x000D_
          beginning of main_x000D_
I jrelog  ( 3652): dlopen  data data net kdt pojavlaunch debug runtimes jre17 arm64 20210706 release tar xz lib libjli so success_x000D_
I jrelog  ( 3652): dlopen libjvm so failed: dlopen failed: library  libjvm so  not found_x000D_
I jrelog  ( 3652): dlopen  data data net kdt pojavlaunch debug runtimes jre17 arm64 20210706 release tar xz lib server libjvm so success_x000D_
I jrelog  ( 3652): dlopen  data data net kdt pojavlaunch debug runtimes jre17 arm64 20210706 release tar xz lib libverify so success_x000D_
I jrelog  ( 3652): dlopen  data data net kdt pojavlaunch debug runtimes jre17 arm64 20210706 release tar xz lib libjava so success_x000D_
I jrelog  ( 3652): dlopen  data data net kdt pojavlaunch debug runtimes jre17 arm64 20210706 release tar xz lib libnet so success_x000D_
I jrelog  ( 3652): dlopen  data data net kdt pojavlaunch debug runtimes jre17 arm64 20210706 release tar xz lib libnio so success_x000D_
I jrelog  ( 3652): dlopen  data data net kdt pojavlaunch debug runtimes jre17 arm64 20210706 release tar xz lib libawt so success_x000D_
I jrelog  ( 3652): dlopen  data data net kdt pojavlaunch debug runtimes jre17 arm64 20210706 release tar xz lib libawt headless so success_x000D_
I jrelog  ( 3652): dlopen  data data net kdt pojavlaunch debug runtimes jre17 arm64 20210706 release tar xz lib libfreetype so success_x000D_
I jrelog  ( 3652): dlopen  data data net kdt pojavlaunch debug runtimes jre17 arm64 20210706 release tar xz lib libfontmanager so success_x000D_
I jrelog  ( 3652): dlopen  data data net kdt pojavlaunch debug runtimes jre17 arm64 20210706 release tar xz lib libjaas so success_x000D_
I jrelog  ( 3652): dlopen  data data net kdt pojavlaunch debug runtimes jre17 arm64 20210706 release tar xz lib libawt headless so success_x000D_
I jrelog  ( 3652): dlopen  data data net kdt pojavlaunch debug runtimes jre17 arm64 20210706 release tar xz lib libnet so success_x000D_
I jrelog  ( 3652): dlopen  data data net kdt pojavlaunch debug runtimes jre17 arm64 20210706 release tar xz lib librmi so success_x000D_
I jrelog  ( 3652): dlopen  data data net kdt pojavlaunch debug runtimes jre17 arm64 20210706 release tar xz lib libextnet so success_x000D_
I jrelog  ( 3652): dlopen  data data net kdt pojavlaunch debug runtimes jre17 arm64 20210706 release tar xz lib libmlib image so success_x000D_
I jrelog  ( 3652): dlopen  data data net kdt pojavlaunch debug runtimes jre17 arm64 20210706 release tar xz lib libjawt so success_x000D_
I jrelog  ( 3652): dlopen  data data net kdt pojavlaunch debug runtimes jre17 arm64 20210706 release tar xz lib libzip so success_x000D_
I jrelog  ( 3652): dlopen  data data net kdt pojavlaunch debug runtimes jre17 arm64 20210706 release tar xz lib libawt so success_x000D_
I jrelog  ( 3652): dlopen  data data net kdt pojavlaunch debug runtimes jre17 arm64 20210706 release tar xz lib libmanagement agent so success_x000D_
I jrelog  ( 3652): dlopen  data data net kdt pojavlaunch debug runtimes jre17 arm64 20210706 release tar xz lib libverify so success_x000D_
I jrelog  ( 3652): dlopen  data data net kdt pojavlaunch debug runtimes jre17 arm64 20210706 release tar xz lib libsctp so success_x000D_
I jrelog  ( 3652): dlopen  data data net kdt pojavlaunch debug runtimes jre17 arm64 20210706 release tar xz lib libj2gss so success_x000D_
I jrelog  ( 3652): dlopen  data data net kdt pojavlaunch debug runtimes jre17 arm64 20210706 release tar xz lib libmanagement ext so success_x000D_
I jrelog  ( 3652): dlopen  data data net kdt pojavlaunch debug runtimes jre17 arm64 20210706 release tar xz lib libjimage so success_x000D_
I jrelog  ( 3652): dlopen  data data net kdt pojavlaunch debug runtimes jre17 arm64 20210706 release tar xz lib libdt socket so success_x000D_
I jrelog  ( 3652): dlopen  data data net kdt pojavlaunch debug runtimes jre17 arm64 20210706 release tar xz lib libjli so success_x000D_
I jrelog  ( 3652): dlopen  data data net kdt pojavlaunch debug runtimes jre17 arm64 20210706 release tar xz lib libjavajpeg so success_x000D_
I jrelog  ( 3652): dlopen  data data net kdt pojavlaunch debug runtimes jre17 arm64 20210706 release tar xz lib libinstrument so success_x000D_
I jrelog  ( 3652): dlopen  data data net kdt pojavlaunch debug runtimes jre17 arm64 20210706 release tar xz lib libjsig so success_x000D_
I jrelog  ( 3652): dlopen  data data net kdt pojavlaunch debug runtimes jre17 arm64 20210706 release tar xz lib libattach so success_x000D_
I jrelog  ( 3652): dlopen  data data net kdt pojavlaunch debug runtimes jre17 arm64 20210706 release tar xz lib libmanagement so success_x000D_
I jrelog  ( 3652): dlopen  data data net kdt pojavlaunch debug runtimes jre17 arm64 20210706 release tar xz lib libj2pkcs11 so success_x000D_
I jrelog  ( 3652): dlopen  data data net kdt pojavlaunch debug runtimes jre17 arm64 20210706 release tar xz lib libfreetype so success_x000D_
I jrelog  ( 3652): dlopen  data data net kdt pojavlaunch debug runtimes jre17 arm64 20210706 release tar xz lib libjdwp so success_x000D_
I jrelog  ( 3652): dlopen  data data net kdt pojavlaunch debug runtimes jre17 arm64 20210706 release tar xz lib libnio so success_x000D_
I jrelog  ( 3652): dlopen  data data net kdt pojavlaunch debug runtimes jre17 arm64 20210706 release tar xz lib libsyslookup so success_x000D_
I jrelog  ( 3652): dlopen  data data net kdt pojavlaunch debug runtimes jre17 arm64 20210706 release tar xz lib libj2pcsc so success_x000D_
I jrelog  ( 3652): dlopen  data data net kdt pojavlaunch debug runtimes jre17 arm64 20210706 release tar xz lib libjava so success_x000D_
I jrelog  ( 3652): dlopen  data data net kdt pojavlaunch debug runtimes jre17 arm64 20210706 release tar xz lib libfontmanager so success_x000D_
I jrelog  ( 3652): dlopen  data data net kdt pojavlaunch debug runtimes jre17 arm64 20210706 release tar xz lib libprefs so success_x000D_
I jrelog  ( 3652): dlopen  data data net kdt pojavlaunch debug runtimes jre17 arm64 20210706 release tar xz lib liblcms so success_x000D_
I jrelog  ( 3652): dlopen  data data net kdt pojavlaunch debug runtimes jre17 arm64 20210706 release tar xz lib server libjvm so success_x000D_
I jrelog  ( 3652): dlopen  data data net kdt pojavlaunch debug runtimes jre17 arm64 20210706 release tar xz lib server libjsig so success_x000D_
I jrelog  ( 3652): dlopen  data data net kdt pojavlaunch debug runtimes jre17 arm64 20210706 release tar xz lib libawt xawt so success_x000D_
I jrelog  ( 3652): dlopen  data app   W1cdjEc8HTcYJX E0rEWWw   net kdt pojavlaunch debug j6EHj0LSLrvRdv46QfDz0Q   lib arm64 libopenal so success_x000D_
Initialising gl4es_x000D_
v1 1 5 built on Jul 17 2021 12:58:16_x000D_
Using GLES 2 0 backend_x000D_
loaded: libGLESv2 so_x000D_
loaded: libEGL so_x000D_
Using GLES 2 0 backend_x000D_
Hardware Full NPOT detected and used_x000D_
Extension GL EXT draw buffers is in core ES3  and so used_x000D_
FBO are in core  and so used_x000D_
PointSprite are in core  and so used_x000D_
CubeMap are in core  and so used_x000D_
BlendColor is in core  and so used_x000D_
Blend Substract is in core  and so used_x000D_
Blend Function and Equation Separation is in core  and so used_x000D_
Texture Mirrored Repeat is in core  and so used_x000D_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OES texture float  detected and used_x000D_
Extension GL OES texture half float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16384_x000D_
Max Varying Vector: 31_x000D_
Texture Units: 16 16 (hardware: 16)  Max lights: 8  Max planes: 6_x000D_
Extension GL EXT texture filter anisotropic  detected and used_x000D_
Max Anisotropic filtering: 16_x000D_
Max Color Attachments: 8   Draw buffers: 8_x000D_
Hardware vendor is Qualcomm_x000D_
GLSL 300 es supported_x000D_
GLSL 310 es supported and used_x000D_
sRGB surface supported_x000D_
EGLImage to Texture2D supported_x000D_
EGLImage to RenderBuffer supported_x000D_
ignore MipMap_x000D_
Targeting OpenGL 2 1_x000D_
NPOT texture handled in hardware_x000D_
Not trying to batch small subsequent glDrawXXXX_x000D_
try to use VBO_x000D_
Force texture for Attachment color0 on FBO_x000D_
Hack to trigger a SwapBuffers when a Full Framebuffer Blit on default FBO is done_x000D_
Force normals to be normalized on FPE shaders_x000D_
glX Will try to recycle EGL Surface_x000D_
Current folder is: _x000D_
I jrelog  ( 3652): dlopen libgl4es 115 so success_x000D_
I jrelog  ( 3652): Done processing args_x000D_
I jrelog  ( 3652): Found JLI lib_x000D_
I jrelog  ( 3652): Calling JLI Launch_x000D_
 23:07:26   main INFO : Loading for game Minecraft 1 17 1_x000D_
 23:07:26   main INFO : Fabric is preparing JARs on first launch  this may take a few seconds   _x000D_
 23:07:44   main WARN : Warnings were found  _x000D_
   Conflicting versions found for fabric api base: used 0 3 0 a02b446313  also found 0 3 0 a02b446318_x000D_
   Conflicting versions found for fabric rendering data attachment v1: used 0 1 5 a02b446313  also found 0 1 5 a02b446318_x000D_
   Conflicting versions found for fabric rendering fluids v1: used 0 1 13 a02b446318  also found 0 1 13 a02b446313_x000D_
   Conflicting versions found for fabric resource loader v0: used 0 4 7 b7ab612113  also found 0 4 7 b7ab612118_x000D_
 23:07:44   main INFO :  FabricLoader  Loading 50 mods:_x000D_
	  fabric 0 37 0 1 17_x000D_
	  fabric api base 0 3 0 a02b446313_x000D_
	  fabric api lookup api v1 1 2 0 2b5c62d018_x000D_
	  fabric biome api v1 3 1 11 c345aea818_x000D_
	  fabric blockrenderlayer v1 1 1 5 a02b446318_x000D_
	  fabric command api v1 1 1 2 6cefd57718_x000D_
	  fabric commands v0 0 2 2 92519afa18_x000D_
	  fabric containers v0 0 1 12 a02b446318_x000D_
	  fabric content registries v0 0 2 2 a02b446318_x000D_
	  fabric crash report info v1 0 1 5 be9da31018_x000D_
	  fabric dimensions v1 2 0 11 6cefd57718_x000D_
	  fabric entity events v1 1 1 0 a02b446318_x000D_
	  fabric events interaction v0 0 4 9 a722d8c018_x000D_
	  fabric events lifecycle v0 0 2 1 92519afa18_x000D_
	  fabric game rule api v1 1 0 7 6cefd57718_x000D_
	  fabric item api v1 1 2 4 a02b446318_x000D_
	  fabric item groups v0 0 2 10 b7ab612118_x000D_
	  fabric key binding api v1 1 0 4 a02b446318_x000D_
	  fabric keybindings v0 0 2 2 36b77c3e18_x000D_
	  fabric lifecycle events v1 1 4 4 a02b446318_x000D_
	  fabric loot tables v1 1 0 4 a02b446318_x000D_
	  fabric mining levels v0 0 1 3 92519afa18_x000D_
	  fabric models v0 0 3 0 a02b446318_x000D_
	  fabric networking api v1 1 0 12 6cefd57718_x000D_
	  fabric networking blockentity v0 0 2 11 a02b446318_x000D_
	  fabric networking v0 0 3 2 92519afa18_x000D_
	  fabric object builder api v1 1 10 9 b7ab612118_x000D_
	  fabric object builders v0 0 7 3 a02b446318_x000D_
	  fabric particles v1 0 2 4 a02b446318_x000D_
	  fabric registry sync v0 0 7 10 e2961fee18_x000D_
	  fabric renderer api v1 0 4 4 5f02c96918_x000D_
	  fabric renderer indigo 0 4 8 a02b446318_x000D_
	  fabric renderer registries v1 3 2 0 a02b446318_x000D_
	  fabric rendering data attachment v1 0 1 5 a02b446313_x000D_
	  fabric rendering fluids v1 0 1 13 a02b446318_x000D_
	  fabric rendering v0 1 1 2 92519afa18_x000D_
	  fabric rendering v1 1 6 0 a02b446318_x000D_
	  fabric resource loader v0 0 4 7 b7ab612113_x000D_
	  fabric screen api v1 1 0 4 155f865c18_x000D_
	  fabric screen handler api v1 1 1 8 a02b446318_x000D_
	  fabric structure api v1 1 1 12 6cefd57718_x000D_
	  fabric tag extensions v0 1 1 4 a02b446318_x000D_
	  fabric textures v0 1 0 6 a02b446318_x000D_
	  fabric tool attribute api v1 1 2 12 b7ab612118_x000D_
	  fabric transfer api v1 1 0 0 3fe3c3f518_x000D_
	  fabricloade_x000D_
r 0 11 6_x000D_
	  java 17_x000D_
	  lithium 0 7 3_x000D_
	  minecraft 1 17 1_x000D_
	  sodium 0 3 0 build 5_x000D_
 23:07:44   main INFO : SpongePowered MIXIN Subsystem Version 0 8 2 Source file: storage emulated 0 games PojavLauncher  minecraft libraries net fabricmc sponge mixin 0 9 4 mixin 0 8 2 sponge mixin 0 9 4 mixin 0 8 2 jar Service Knot Fabric Env CLIENT_x000D_
 23:07:44   main INFO : Compatibility level set to JAVA 16_x000D_
 23:07:45   main INFO : Loaded configuration file for Sodium: 28 options available  0 override(s) found_x000D_
 23:07:45   main INFO : Loaded configuration file for Lithium: 80 options available  0 override(s) found_x000D_
 23:07:45   main WARN :  Mixin target net minecraft class 3218 class 5526 is public in fabric lifecycle events v1 mixins json:ServerWorldEntityLoaderMixin and should be specified in value_x000D_
 23:07:46   main WARN :  Mixin target net minecraft class 3898 class 3208 is public in fabric networking api v1 mixins json:accessor EntityTrackerAccessor and should be specified in value_x000D_
 23:07:46   main WARN :  Mixin target net minecraft class 2474 class 5124 is public in fabric tag extensions v0 mixins json:MixinObjectBuilder and should be specified in value_x000D_
 23:08:02   Render thread INFO :  STDERR :  LWJGL  Failed to load a library  Possible solutions:_x000D_
	a) Add the directory that contains the shared library to  Djava library path or  Dorg lwjgl librarypath _x000D_
	b) Add the JAR that contains the shared library to the classpath _x000D_
 23:08:02   Render thread INFO :  STDERR :  LWJGL  Enable debug mode with  Dorg lwjgl util Debug true for better diagnostics _x000D_
 23:08:02   Render thread INFO :  STDERR :  LWJGL  Enable the SharedLibraryLoader debug mode with  Dorg lwjgl util DebugLoader true for better diagnostics _x000D_
 23:08:03   Render thread INFO : Environment: authHost  https:  authserver mojang com   accountsHost  https:  api mojang com   sessionHost  https:  sessionserver mojang com   servicesHost  https:  api minecraftservices com   name  PROD _x000D_
 23:08:06   Render thread ERROR : Failed to verify authentication_x000D_
com mojang authlib exceptions InvalidCredentialsException: Status: 401_x000D_
	at com mojang authlib exceptions MinecraftClientHttpException toAuthenticationException(MinecraftClientHttpException java:56)   authlib 2 3 31 jar:  _x000D_
	at com mojang authlib yggdrasil YggdrasilSocialInteractionsService checkPrivileges(YggdrasilSocialInteractionsService java:112)   authlib 2 3 31 jar:  _x000D_
	at com mojang authlib yggdrasil YggdrasilSocialInteractionsService  init (YggdrasilSocialInteractionsService java:42)   authlib 2 3 31 jar:  _x000D_
	at com mojang authlib yggdrasil YggdrasilAuthenticationService createSocialInteractionsService(YggdrasilAuthenticationService java:151)   authlib 2 3 31 jar:  _x000D_
	at net minecraft class 310 method 31382(class 310 java:670)  intermediary fabric loader 0 11 6 1 17 1 jar:  _x000D_
	at net minecraft class 310  init (class 310 java:429)  intermediary fabric loader 0 11 6 1 17 1 jar:  _x000D_
	at net minecraft client main Main main(Main java:179)  intermediary fabric loader 0 11 6 1 17 1 jar: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fabricmc loader game MinecraftGameProvider launch(MinecraftGameProvider java:234)  fabric loader 0 11 6 jar:  _x000D_
	at net fabricmc loader launch knot Knot launch(Knot java:153)  fabric loader 0 11 6 jar:  _x000D_
	at net fabricmc loader launch knot KnotClient main(KnotClient java:28)  fabric loader 0 11 6 jar:  _x000D_
Caused by: com mojang authlib exceptions MinecraftClientHttpException: Status: 401_x000D_
	at com mojang authlib minecraft client MinecraftClient readInputStream(MinecraftClient java:77)   authlib 2 3 31 jar:  _x000D_
	at com mojang authlib minecraft client MinecraftClient get(MinecraftClient java:47)   authlib 2 3 31 jar:  _x000D_
	at com mojang _x000D_
authlib yggdrasil YggdrasilSocialInteractionsService checkPrivileges(YggdrasilSocialInteractionsService java:104)   authlib 2 3 31 jar:  _x000D_
	    12 more_x000D_
 23:08:06   Render thread INFO : Setting user: EpicDzPro_x000D_
 23:08:06   Render thread WARN :  Inject( At( INVOKE )) Shift BY 3 on fabric lifecycle events v1 mixins json:client WorldChunkMixin::handler zcf000 onLoadBlockEntity exceeds the maximum allowed value: 0  Increase the value of maxShiftBy to suppress this warning _x000D_
 23:08:06   Render thread INFO :  Indigo  Different rendering plugin detected  not applying Indigo _x000D_
 23:08:07   Render thread INFO : Backend library: LWJGL version 3 2 3 SNAPSHOT_x000D_
EGLBridge: Initializing_x000D_
EGLBridge: Initialized _x000D_
EGLBridge: ThreadID 3964_x000D_
EGLBridge: EGLDisplay 0x1  EGLSurface 0x784112be00_x000D_
EGLBridge: Created CTX pointer   0x784127d280_x000D_
 23:08:07   Render thread INFO :  STDERR : java lang Exception: Trace exception_x000D_
 23:08:07   Render thread INFO :  STDERR : 	at org lwjgl glfw GLFW glfwMakeContextCurrent(GLFW java:964)_x000D_
 23:08:07   Render thread INFO :  STDERR : 	at net minecraft class 1041  init (class 1041 java:106)_x000D_
 23:08:07   Render thread INFO :  STDERR : 	at net minecraft class 3682 method 16038(class 3682 java:21)_x000D_
 23:08:07   Render thread INFO :  STDERR : 	at net minecraft class 310  init (class 310 java:481)_x000D_
 23:08:07   Render thread INFO :  STDERR : 	at net minecraft client main Main main(Main java:179)_x000D_
 23:08:07   Render thread INFO :  STDERR : 	at java base jdk internal reflect NativeMethodAccessorImpl invoke0(Native Method)_x000D_
 23:08:07   Render thread INFO :  STDERR : 	at java base jdk internal reflect NativeMethodAccessorImpl invoke(NativeMethodAccessorImpl java:77)_x000D_
 23:08:07   Render thread INFO :  STDERR : 	at java base jdk internal reflect DelegatingMethodAccessorImpl invoke(DelegatingMethodAccessorImpl java:43)_x000D_
 23:08:07   Render thread INFO :  STDERR : 	at java base java lang reflect Method invoke(Method java:568)_x000D_
 23:08:07   Render thread INFO :  STDERR : 	at net fabricmc loader game MinecraftGameProvider launch(MinecraftGameProvider java:234)_x000D_
 23:08:07   Render thread INFO :  STDERR : 	at net fabricmc loader launch knot Knot launch(Knot java:153)_x000D_
 23:08:07   Render thread INFO :  STDERR : 	at net fabricmc loader launch knot KnotClient main(KnotClient java:28)_x000D_
EGLBridge: Comparing: thr 3964  this 0x784127d280  curr 0x0_x000D_
EGLBridge: Making current on window 0x784127d280 on thread 3964_x000D_
EGLBridge: eglMakeCurrent() succeed _x000D_
 23:08:07   Render thread INFO :  STDOUT : 784127d280_x000D_
EGLBridge: Comparing: thr 3964  this 0x784127d280  curr 0x784127d280_x000D_
 23:08:12   Render thread WARN : ERROR : Couldn t load Narrator library :  storage emulated 0 games PojavLauncher  cache JNA temp jna13951331746077876425 tmp: dlopen failed: library   storage emulated 0 games PojavLauncher  cache JNA temp jna13951331746077876425 tmp  needed or dlopened by   data data net kdt pojavlaunch debug runtimes jre17 arm64 20210706 release tar xz lib server libjvm so  is not accessible for the namespace  classloader namespace _x000D_
 23:08:12   Render thread INFO : Reloading ResourceManager: Default  assets v0 zip  VanillaTweaks r783899 zip  Better Netherite zip  Fabric Mods (Fabric Renderer API (v1)  Fabric Key Bindings (v0)  Fabric Loader  Fabric Structure API (v1)  Fabric Containers (v0)  Lithium  Fabric Dimensions API (v1)  Fabric Object Builder API (v1)  Fabric Game Rule API (v1)  Fabric API Base  Fabric Rendering Data Attachment (v1)  Fabric Textures (v0)  Fabric Rendering Fluids (v1)  Fabric BlockRenderLayer Registration (v1)  Fabric Lifecycle Events (v1)  Sodium  Fabric Renderer Registries (v1)  Fabric Loot Tables (v1)  Fabric API  Fabric Particles (v1)  Fabric Networking (v0)  Fabric API Lookup API (v1)  Fabric Networking Block Entity (v0)  Fabric Screen Handler API (v1)  Fabric Command API (v1)  Fabric Screen API (v1)  Fabric Tool Attribute API (v1)  Fabric Renderer   Indigo  Fabric Events Interaction (v0)  Fabric Crash Report Info (v1)  Fabric Item API (v1)  Fabric Entity Events (v1)  Fabric Rendering (v0)  Fabric Key Binding API (v1)  Fabric Rendering (v1)  Fabric Resource Loader (v0)  Fabric Content Registries (v0)  Fabric Tag Extensions (v0)  Fabric Biome API (v1)  Fabric Commands (v0)  Fabric Registry Sync (v0)  Fabric Mining Levels (v0)  Fabric Networking API (v1)  Fabric Events Lifecycle (v0)  Fabric Item Groups (v0)  Fabric Models (v0)  Fabric Object Builders (v0))_x000D_
 23:08:14   Realms Notification Availability checker  1 INFO : Could not authorize you against Realms server: Invalid session id_x000D_
 23:08:21   Worker Main 9 WARN : Unable to read definition  minecraft:default  in fonts json in resourcepack:  VanillaTweaks r783899 zip : minecraft:textures misc hunger full png_x000D_
 23:08:21   Worker Main 9 WARN : Unable to read definition  minecraft:default  in fonts json in resourcepack:  VanillaTweaks r783899 zip : minecraft:textures misc hunger half png_x000D_
          beginning of system_x000D_
 ALSOFT  (EE) Failed to set real time priority for thread: Operation not permitted (1)_x000D_
 23:09:40   Render thread INFO : OpenAL initialized _x000D_
 23:09:40   Render thread INFO : Sound engine started_x000D_
 23:09:41   Render thread INFO : Created: 1024x1024x0 minecraft:textures atlas blocks png atlas_x000D_
 23:09:41   Render thread INFO : Created: 256x128x0 minecraft:textures atlas signs png atlas_x000D_
 23:09:41   Render thread INFO : Created: 1024x512x0 minecraft:textures atlas banner patterns png atlas_x000D_
 23:09:41   Render thread INFO : Created: 2048x1024x0 minecraft:textures atlas shield patterns png atlas_x000D_
 23:09:41   Render thread INFO : Created: 256x256x0 minecraft:textures atlas chest png atlas_x000D_
 23:09:41   Render thread INFO : Created: 512x256x0 minecraft:textures atlas beds png atlas_x000D_
 23:09:41   Render thread INFO : Created: 512x256x0 minecraft:textures atlas shulker boxes png atlas_x000D_
 23:09:47   Render thread WARN : Shader rendertype text could not find sampler named Sampler2 in the specified shader program _x000D_
 23:09:48   Render thread WARN : Shader rendertype text intensity could not find sampler named Sampler2 in the specified shader program _x000D_
 23:09:49   Render thread INFO : Created: 256x256x0 minecraft:textures atlas particles png atlas_x000D_
 23:09:49   Render thread INFO : Created: 256x256x0 minecraft:textures atlas paintings png atlas_x000D_
 23:09:49   Render thread INFO : Created: 256x128x0 minecraft:textures atlas mob effects png atlas_x000D_
 23:10:23   Render thread INFO : Flushed changes to Sodium configuration_x000D_
 23:10:36   Render thread INFO : Applied 0 biome modifications to 0 of 81 new biomes in 11 21 ms_x000D_
 23:10:36   Render thread INFO : Found new data pack Fabric Mods  loading it automatically_x000D_
 23:10:37   Render thread WARN : Ambiguity between arguments  teleport  location  and  teleport  destination  with inputs:  0 1  0 5  9  0 0 0 _x000D_
 23:10:37   Render thread WARN : Ambiguity between arguments  teleport  location  and  teleport  targets  with inputs:  0 1  0 5  9  0 0 0 _x000D_
 23:10:37   Render thread WARN : Ambiguity between arguments  teleport  destination  and  teleport  targets  with inputs:  Player  0123   e  dd12be42 52a9 4a91 a8a1 11c01849e498 _x000D_
 23:10:37   Render thread WARN : Ambiguity between arguments  teleport  targets  and  teleport  destination  with inputs:  Player  0123  dd12be42 52a9 4a91 a8a1 11c01849e498 _x000D_
 23:10:37   Render thread WARN : Ambiguity between arguments  teleport  targets  location  and  teleport  targets  destination  with inputs:  0 1  0 5  9  0 0 0 _x000D_
 23:10:37   Render thread INFO : Reloading ResourceManager: Default  Fabric Mods (Fabric Tool Attribute API (v1))_x000D_
 23:10:47   Render thread INFO : Loaded 7 recipes_x000D_
 23:10:48   Render thread INFO : Loaded 1137 advancements_x000D_
 23:10:48   Render thread INFO :  fabric registry sync  Loaded registry data  file 1 4 _x000D_
 23:10:51   Render thread INFO : Environment: authHost  https:  authserver mojang com   accountsHost  https:  api mojang com   sessionHost  https:  sessionserver mojang com   servicesHost  https:  api minecraftservices com   name  PROD _x000D_
 23:10:51   Server thread INFO : Starting integrated minecraft server version 1 17 1_x000D_
 23:10:51   Server thread INFO : Generating keypair_x000D_
 23:10:53   Server thread INFO : Preparing start region for dimension minecraft:overworld_x000D_
 23:10:54   Render thread INFO : Preparing spawn area: 0 _x000D_
 23:10:54   Render thread INFO : Preparing spawn area: 0 _x000D_
 23:10:54   Render thread INFO : Preparing spawn area: 0 _x000D_
 23:10:54   Render thread INFO : Preparing spawn area: 0 _x000D_
 23:10:55   Render thread INFO : Preparing spawn area: 0 _x000D_
 23:10:55   Render thread INFO : Preparing spawn area: 0 _x000D_
 23:10:56   Render thread INFO : Preparing spawn area: 0 _x000D_
 23:10:56   Render thread INFO : Preparing spawn area: 4 _x000D_
 23:10:57   Render thread INFO : Preparing spawn area: 4 _x000D_
 23:10:57   Render thread INFO : Preparing spawn area: 4 _x000D_
 23:10:58   Render thread INFO : Preparing spawn area: 4 _x000D_
 23:10:58   Render thread INFO : Preparing spawn area: 17 _x000D_
 23:10:59   Render thread INFO : Preparing spawn area: 17 _x000D_
 23:10:59   Render thread INFO : Preparing spawn area: 17 _x000D_
 23:11:00   Render thread INFO : Preparing spawn area: 20 _x000D_
 23:11:01   Render thread INFO : Preparing spawn area: 20 _x000D_
 23:11:01   Render thread INFO : Preparing spawn area: 20 _x000D_
 23:11:02   Render thread INFO : Preparing spawn area: 20 _x000D_
 23:11:02   Render thread INFO : Preparing spawn area: 20 _x000D_
 23:11:02   Render thread INFO : Preparing spawn area: 20 _x000D_
 23:11:03   Render thread INFO : Preparing spawn area: 20 _x000D_
 23:11:03   Render thread INFO : Preparing spawn area: 37 _x000D_
 23:11:04   Render thread INFO : Preparing spawn area: 46 _x000D_
 23:11:04   Render thread INFO : Preparing spawn area: 56 _x000D_
 23:11:06   Render thread INFO : Preparing spawn area: 56 _x000D_
 23:11:06   Render thread INFO : Preparing spawn area: 56 _x000D_
 23:11:06   Render thread INFO : Preparing spawn area: 56 _x000D_
 23:11:06   Render thread INFO : Preparing spawn area: 70 _x000D_
 23:11:07   Render thread INFO : Preparing spawn area: 92 _x000D_
 23:11:07   Render thread INFO : Time elapsed: 14471 ms_x000D_
 23:11:08   Server thread INFO : Changing view distance to 3  from 10_x000D_
 23:11:08   Render thread WARN : Failed to find a usable hardware address from the network interfaces  using random bytes: c6:5d:66:57:4d:3d:fb:77_x000D_
 23:11:10   Server thread INFO : EpicDzPro local:E:ecc0b77e  logged in with entity id 41 at (312 99757867497607  17 24716247471716   50 52945877571296)_x000D_
 23:11:10   Server thread INFO : EpicDzPro joined the game_x000D_
 23:11:11   Server thread WARN : Can t keep up  Is the server overloaded  Running 3153ms or 63 ticks behind_x000D_
 23:11:11   Netty Local Client IO  0 INFO : Applied 0 biome modifications to 0 of 81 new biomes in 1 762 ms_x000D_
 23:11:12   Render thread INFO : Started 8 worker threads_x000D_
 23:11:12   Server thread INFO : Saving and pausing game   _x000D_
 23:11:12   Server thread INFO : Saving chunks for level  ServerLevel New World   minecraft:overworld_x000D_
 23:11:13   Render thread INFO : Loaded 199 advancements_x000D_
 23:11:13   Server thread INFO : Saving chunks for level  ServerLevel New World   minecraft:the nether_x000D_
 23:11:13   Server thread INFO : Saving chunks for level  ServerLevel New World   minecraft:the end_x000D_
ERROR: 0:27:  in  : Syntax error:  syntax error_x000D_
INTERNAL ERROR: no main() function _x000D_
ERROR: 1 compilation errors   No code generated _x000D_
_x000D_
 23:11:13   Render thread WARN : Shader compilation log for sodium:blocks block layer solid vsh: ERROR: 0:27:  in  : Syntax error:  syntax error_x000D_
INTERNAL ERROR: no main() function _x000D_
ERROR: 1 compilation errors   No code generated _x000D_
_x000D_
_x000D_
 23:11:13   Render thread FATAL : Unreported exception thrown _x000D_
java lang RuntimeException: Shader compilation failed  see log for details_x000D_
	at me jellysquid mods sodium client gl shader GlShader  init (GlShader java:34)   sodium fabric mc1 17 1 0 3 0 build 5 jar:  _x000D_
	at me jellysquid mods sodium client gl shader ShaderLoader loadShader(ShaderLoader java:22)   sodium fabric mc1 17 1 0 3 0 build 5 jar:  _x000D_
	at me jellysquid mods sodium client render chunk ShaderChunkRenderer createShader(ShaderChunkRenderer java:65)   sodium fabric mc1 17 1 0 3 0 build 5 jar:  _x000D_
	at me jellysquid mods sodium client render chunk ShaderChunkRenderer compileProgram(ShaderChunkRenderer java:46)   sodium fabric mc1 17 1 0 3 0 build 5 jar:  _x000D_
	at me jellysquid mods sodium client render chunk ShaderChunkRenderer begin(ShaderChunkRenderer java:90)   sodium fabric mc1 17 1 0 3 0 build 5 jar:  _x000D_
	at me jellysquid mods sodium client render chunk RegionChunkRenderer render(RegionChunkRenderer java:91)   sodium fabric mc1 17 1 0 3 0 build 5 jar:  _x000D_
	at me jellysquid mods sodium client render chunk RenderSectionManager renderLayer(RenderSectionManager java:296)   sodium fabric mc1 17 1 0 3 0 build 5 jar:  _x000D_
	at me jellysquid mods sodium client render SodiumWorldRenderer drawChunkLayer(SodiumWorldRenderer java:206)   sodium fabric mc1 17 1 0 3 0 build 5 jar:  _x000D_
	at net minecraft class 761 method 3251(class 761 java:4329)   intermediary fabric loader 0 11 6 1 17 1 jar:  _x000D_
	at net minecraft class 761 method 22710(class 761 java:1164)   intermediary fabric loader 0 11 6 1 17 1 jar:  _x000D_
	at net minecraft class 757 method 3188(class 757 java:1026)   intermediary fabric loader 0 11 6 1 17 1 jar:  _x000D_
	at net minecraft class 757 method 3192(class 757 java:810)   intermediary fabric loader 0 11 6 1 17 1 jar:  _x000D_
	at net minecraft class 310 method 1523(class 310 java:1112)   intermediary fabric loader 0 11 6 1 17 1 jar:  _x000D_
	at net minecraft class 310 method 1514(class 310 java:728)  intermediary fabric loader 0 11 6 1 17 1 jar:  _x000D_
	at net minecraft client main Main main(Mai_x000D_
n java:217)  intermediary fabric loader 0 11 6 1 17 1 jar:  _x000D_
	at jdk internal reflect NativeMethodAccessorImpl invoke0(Native Method)    :  _x000D_
	at jdk internal reflect NativeMethodAccessorImpl invoke(NativeMethodAccessorImpl java:77)    :  _x000D_
	at jdk internal reflect DelegatingMethodAccessorImpl invoke(DelegatingMethodAccessorImpl java:43)    :  _x000D_
	at java lang reflect Method invoke(Method java:568)    :  _x000D_
	at net fabricmc loader game MinecraftGameProvider launch(MinecraftGameProvider java:234)  fabric loader 0 11 6 jar:  _x000D_
	at net fabricmc loader launch knot Knot launch(Knot java:153)  fabric loader 0 11 6 jar:  _x000D_
	at net fabricmc loader launch knot KnotClient main(KnotClient java:28)  fabric loader 0 11 6 jar:  _x000D_
 23:11:14   Server thread INFO : Stopping server_x000D_
 23:11:14   Server thread INFO : Saving players_x000D_
 23:11:14   Server thread INFO : EpicDzPro lost connection: Disconnected_x000D_
 23:11:14   Server thread INFO : EpicDzPro left the game_x000D_
 23:11:14   Server thread INFO : Stopping singleplayer server as player logged out_x000D_
 23:11:14   Server thread INFO : Saving worlds_x000D_
 23:11:14   Server thread INFO : Saving chunks for level  ServerLevel New World   minecraft:overworld_x000D_
 23:11:14   Server thread INFO : Saving chunks for level  ServerLevel New World   minecraft:the nether_x000D_
 23:11:14   Server thread INFO : Saving chunks for level  ServerLevel New World   minecraft:the end_x000D_
 23:11:14   Server thread INFO : ThreadedAnvilChunkStorage (New World): All chunks are saved_x000D_
 23:11:14   Server thread INFO : ThreadedAnvilChunkStorage (DIM 1): All chunks are saved_x000D_
 23:11:14   Server thread INFO : ThreadedAnvilChunkStorage (DIM1): All ch</t>
  </si>
  <si>
    <t>Anuken-Mindustry-5606</t>
  </si>
  <si>
    <t>Neutral structures are not usable by player</t>
  </si>
  <si>
    <t xml:space="preserve">  Platform  :  Android iOS Mac Windows Linux _x000D_
_x000D_
Linux_x000D_
_x000D_
  Build  :  The build number under the title in the main menu  Required   LATEST  IS NOT A VERSION  I NEED THE EXACT BUILD NUMBER OF YOUR GAME  _x000D_
_x000D_
126 2_x000D_
_x000D_
  Issue  :  Explain your issue in detail  _x000D_
_x000D_
Neutral structures on the map cannot be used  only dismantled_x000D_
_x000D_
  Steps to reproduce  :  How you happened across the issue  and what exactly you did to make the bug happen  _x000D_
_x000D_
Play campaign  try to use existing structures (it used to be possible and it was a nice feature )_x000D_
_x000D_
  Link(s) to mod(s) used  :  The mod repositories or zip files that are related to the issue  if applicable  _x000D_
_x000D_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sector serpulo 213 msav zip (https:  github com Anuken Mindustry files 6836032 sector serpulo 213 msav zip)_x000D_
_x000D_
I am not sure  hopefully      local share Mindustry saves  save is good enough_x000D_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is it going to trash my campaign status  Or is it enough to backup     local share Mindustry saves  _x000D_
   x    I have searched the closed and open issues to make sure that this problem has not already been reported    https:  github com Anuken Mindustry issues q neutral structures https:  github com Anuken Mindustry issues q campaign structures_x000D_
</t>
  </si>
  <si>
    <t>Anuken-Mindustry-5603</t>
  </si>
  <si>
    <t>daggers not shoooting right</t>
  </si>
  <si>
    <t xml:space="preserve">  Platform  :  Android iOS Mac Windows Linux _x000D_
android_x000D_
  Build  :  The build number under the title in the main menu  Required   LATEST  IS NOT A VERSION  I NEED THE EXACT BUILD NUMBER OF YOUR GAME  _x000D_
bleeding edge 21467_x000D_
  Issue  :  Explain your issue in detail  _x000D_
while i was commanding  some daggers were shooting straight  while i wasnt_x000D_
  Steps to reproduce  :  How you happened across the issue  and what exactly you did to make the bug happen  _x000D_
i dont know_x000D_
  Link(s) to mod(s) used  :  The mod repositories or zip files that are related to the issue  if applicable  _x000D_
i used time control and testing utilities  i dont know how to get the zip file for them_x000D_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this is it but the map is done_x000D_
 (invalid) zip (https:  github com Anuken Mindustry files 6835796 invalid zip)_x000D_
_x000D_
If you remove the line above without reading it properly and understanding what it means  I will reap your soul  Even if you re playing on someone s server  you can still save the game to a slot _x000D_
_x000D_
also i have a video showing the bug_x000D_
https:  user images githubusercontent com 87596406 126059172 9a5d049b f69b 422a 9220 f7f5271a746f mp4_x000D_
_x000D_
_x000D_
  (Crash) logs  :  Either crash reports from the crash folder  or the file you get when you go into Settings    Game Data    Export Crash logs  REQUIRED if you are reporting a crash  _x000D_
_x000D_
   _x000D_
_x000D_
 Place an X (x)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</si>
  <si>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nextcloud-android-8725</t>
  </si>
  <si>
    <t>NPE checking if user changes in FIleDisplayActivity</t>
  </si>
  <si>
    <t xml:space="preserve">    Steps to reproduce_x000D_
1  Fresh installation_x000D_
2  Login via webflow_x000D_
3  Crash_x000D_
_x000D_
    Expected behaviour_x000D_
  Don t crash_x000D_
_x000D_
    Actual behaviour_x000D_
  Crashes right away_x000D_
_x000D_
    Can you reproduce this problem on https:  try nextcloud com _x000D_
  Yes_x000D_
_x000D_
    Environment data_x000D_
Android version: 11_x000D_
_x000D_
Device model: OP9Pro_x000D_
_x000D_
Stock or customized system:Stock_x000D_
_x000D_
Nextcloud app version:3 10 Alpha   latest master_x000D_
_x000D_
Nextcloud server version: 20_x000D_
_x000D_
Reverse proxy:no_x000D_
_x000D_
    Logs_x000D_
   _x000D_
2021 07 18 00:24:07 474 32624 32624 com nextcloud client E AndroidRuntime: FATAL EXCEPTION: main_x000D_
    Process: com nextcloud client  PID: 32624_x000D_
    java lang NullPointerException: Attempt to invoke virtual method  java lang Object com nextcloud java util Optional orElse(java lang Object)  on a null object reference_x000D_
        at com owncloud android ui activity FileDisplayActivity onStart(FileDisplayActivity java:2414)_x000D_
        at android app Instrumentation callActivityOnStart(Instrumentation java:1525)_x000D_
        at android app Activity performStart(Activity java:8030)_x000D_
        at android app ActivityThread handleStartActivity(ActivityThread java:3642)_x000D_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java:2251)_x000D_
        at android os Handler dispatchMessage(Handler java:106)_x000D_
        at android os Looper loop(Looper java:233)_x000D_
        at android app ActivityThread main(ActivityThread java:8035)_x000D_
        at java lang reflect Method invoke(Native Method)_x000D_
        at com android internal os RuntimeInit MethodAndArgsCaller run(RuntimeInit java:631)_x000D_
        at com android internal os ZygoteInit main(ZygoteInit java:978)_x000D_
   _x000D_
_x000D_
Changed line which crashes has been introduced via https:  github com nextcloud android pull 8658 files diff 63ac3b87ffc30fe6a5a9033783579006befbe5de5921a080ed073fb0ca593138R2417 so also looping in  ezaquarii for help    </t>
  </si>
  <si>
    <t>TeamNewPipe-NewPipe-legacy-76</t>
  </si>
  <si>
    <t>App crashed on Android 4.0.4 (sh000gun legacy version)</t>
  </si>
  <si>
    <t xml:space="preserve">I m trying to install the Legacy version by  sh000gun for Android 4 0 4  After launching the application  it crashes  _x000D_
Here is the logcat:_x000D_
 D MobileDataStateTracker(  452): default: setPolicyDataEnable(enabled true)_x000D_
I Process (14855): Sending signal  PID: 14855 SIG: 9_x000D_
W InputMethodManagerService(  452): Window already focused  ignoring focus gain of: com android internal view IInputMethodClient Stub Proxy 4241d098 attribute null  token   android os BinderProxy 41df33d0_x000D_
I ActivityManager(  452): Process org schabi newpipelegacy (pid 14855) has died _x000D_
D ActivityManager(  452): cleanUpApplicationRecordLocked    14855_x000D_
I ActivityManager(  452): START u0  act android intent action MAIN cat  android intent category LAUNCHER  flg 0x10200000 cmp org schabi newpipelegacy  MainActivity  from pid 623_x000D_
V Zygote  (14925): Switching descriptor 32 to  dev null_x000D_
V Zygote  (14925): Switching descriptor 10 to  dev null_x000D_
I ActivityManager(  452): Start proc org schabi newpipelegacy for activity org schabi newpipelegacy  MainActivity: pid 14925 uid 10055 gids  50055  3003  1028  1015 _x000D_
E dalvikvm(14925): Could not find class  android app NotificationChannel   referenced from method org schabi newpipelegacy App setUpUpdateNotificationChannel_x000D_
W dalvikvm(14925): VFY: unable to resolve new instance 50 (Landroid app NotificationChannel ) in Lorg schabi newpipelegacy App _x000D_
D dalvikvm(14925): VFY: replacing opcode 0x22 at 0x0015_x000D_
E dalvikvm(14925): Could not find class  android app NotificationChannel   referenced from method org schabi newpipelegacy App initNotificationChannel_x000D_
W dalvikvm(14925): VFY: unable to resolve new instance 50 (Landroid app NotificationChannel ) in Lorg schabi newpipelegacy App _x000D_
D dalvikvm(14925): VFY: replacing opcode 0x22 at 0x001c_x000D_
D dalvikvm(14925): DexOpt: unable to opt direct call 0x0179 at 0x17 in Lorg schabi newpipelegacy App  setUpUpdateNotificationChannel_x000D_
D dalvikvm(14925): DexOpt: unable to opt direct call 0x0179 at 0x1f in Lorg schabi newpipelegacy App  initNotificationChannel_x000D_
I dalvikvm(14925): Could not find method android content Context getNoBackupFilesDir  referenced from method org acra file Directory 6 getFile_x000D_
W dalvikvm(14925): VFY: unable to resolve virtual method 508: Landroid content Context  getNoBackupFilesDir ()Ljava io File _x000D_
D dalvikvm(14925): VFY: replacing opcode 0x6e at 0x0006_x000D_
I dalvikvm(14925): Failed resolving Lorg acra collections ImmutableSet  interface 4587  Lj  util Set  _x000D_
W dalvikvm(14925): Link of class  Lorg acra collections ImmutableSet   failed_x000D_
W dalvikvm(14925): VFY: unable to find class referenced in signature (Lorg acra collections ImmutableSet )_x000D_
I dalvikvm(14925): Failed resolving Lorg acra collections ImmutableSet  interface 4587  Lj  util Set  _x000D_
W dalvikvm(14925): Link of class  Lorg acra collections ImmutableSet   failed_x000D_
I dalvikvm(14925): Could not find method org acra collections ImmutableSet iterator  referenced from method org acra data StringFormat 1 toFormattedString_x000D_
W dalvikvm(14925): VFY: unable to resolve virtual method 37023: Lorg acra collections ImmutableSet  iterator ()Ljava util Iterator _x000D_
D dalvikvm(14925): VFY: replacing opcode 0x6e at 0x000d_x000D_
I dalvikvm(14925): Failed resolving Lorg acra collections ImmutableSet  interface 4587  Lj  util Set  _x000D_
W dalvikvm(14925): Link of class  Lorg acra collections ImmutableSet   failed_x000D_
W dalvikvm(14925): VFY: unable to find class referenced in signature (Lorg acra collections ImmutableSet )_x000D_
I dalvikvm(14925): Failed resolving Lorg acra collections ImmutableSet  interface 4587  Lj  util Set  _x000D_
W dalvikvm(14925): Link of class  Lorg acra collections ImmutableSet   failed_x000D_
I dalvikvm(14925): Could not find method org acra collections ImmutableSet iterator  referenced from method org acra data StringFormat 2 toFormattedString_x000D_
W dalvikvm(14925): VFY: unable to resolve virtual method 37023: Lorg acra collections ImmutableSet  iterator ()Ljava util Iterator _x000D_
D dalvikvm(14925): VFY: replacing opcode 0x6e at 0x000d_x000D_
E rsC     (  623): RS Message thread exiting _x000D_
D dalvikvm(14925): GC CONCURRENT freed 223K  7  free 3409K 3628K  paused 3ms 3ms  total 31ms_x000D_
I dalvikvm(14925): Failed resolving Lorg acra collections ImmutableList  interface 4581  Lj  util List  _x000D_
W dalvikvm(14925): Link of class  Lorg acra collections ImmutableList   failed_x000D_
E dalvikvm(14925): Could not find class  org acra collections ImmutableList   referenced from method org acra config CoreConfiguration  init _x000D_
W dalvikvm(14925): VFY: unable to resolve new instance 5449 (Lorg acra collections ImmutableList ) in Lorg acra config CoreConfiguration _x000D_
D dalvikvm(14925): VFY: replacing opcode 0x22 at 0x0015_x000D_
I dalvikvm(14925): Failed resolving Lorg acra collections ImmutableList  interface 4581  Lj  util List  _x000D_
W dalvikvm(14925): Link of class  Lorg acra collections ImmutableList   failed_x000D_
I dalvikvm(14925): Failed resolving Lorg acra collections ImmutableList  interface 4581  Lj  util List  _x000D_
W dalvikvm(14925): Link of class  Lorg acra collections ImmutableList   failed_x000D_
W dalvikvm(14925): VFY: unable to find class referenced in signature (Lorg acra collections ImmutableList )_x000D_
I dalvikvm(14925): Failed resolving Lorg acra collections ImmutableList  interface 4581  Lj  util List  _x000D_
W dalvikvm(14925): Link of class  Lorg acra collections ImmutableList   failed_x000D_
I dalvikvm(14925): Failed resolving Lorg acra collections ImmutableList  interface 4581  Lj  util List  _x000D_
W dalvikvm(14925): Link of class  Lorg acra collections ImmutableList   failed_x000D_
W dalvikvm(14925): VFY: unable to find class referenced in signature (Lorg acra collections ImmutableList )_x000D_
I dalvikvm(14925): Failed resolving Lorg acra collections ImmutableList  interface 4581  Lj  util List  _x000D_
W dalvikvm(14925): Link of class  Lorg acra collections ImmutableList   failed_x000D_
I dalvikvm(14925): Failed resolving Lorg acra collections ImmutableList  interface 4581  Lj  util List  _x000D_
W dalvikvm(14925): Link of class  Lorg acra collections ImmutableList   failed_x000D_
W dalvikvm(14925): VFY: unable to find class referenced in signature (Lorg acra collections ImmutableList )_x000D_
I dalvikvm(14925): Failed resolving Lorg acra collections ImmutableList  interface 4581  Lj  util List  _x000D_
W dalvikvm(14925): Link of class  Lorg acra collections ImmutableList   failed_x000D_
I dalvikvm(14925): Failed resolving Lorg acra collections ImmutableList  interface 4581  Lj  util List  _x000D_
W dalvikvm(14925): Link of class  Lorg acra collections ImmutableList   failed_x000D_
W dalvikvm(14925): VFY: unable to find class referenced in signature (Lorg acra collections ImmutableList )_x000D_
I dalvikvm(14925): Failed resolving Lorg acra collections ImmutableList  interface 4581  Lj  util List  _x000D_
W dalvikvm(14925): Link of class  Lorg acra collections ImmutableList   failed_x000D_
I dalvikvm(14925): Failed resolving Lorg acra collections ImmutableList  interface 4581  Lj  util List  _x000D_
W dalvikvm(14925): Link of class  Lorg acra collections ImmutableList   failed_x000D_
W dalvikvm(14925): VFY: unable to find class referenced in signature (Lorg acra collections ImmutableList )_x000D_
I dalvikvm(14925): Failed resolving Lorg acra collections ImmutableList  interface 4581  Lj  util List  _x000D_
W dalvikvm(14925): Link of class  Lorg acra collections ImmutableList   failed_x000D_
I dalvikvm(14925): Failed resolving Lorg acra collections ImmutableList  interface 4581  Lj  util List  _x000D_
W dalvikvm(14925): Link of class  Lorg acra collections ImmutableList   failed_x000D_
W dalvikvm(14925): VFY: unable to find class referenced in signature (Lorg acra collections ImmutableList )_x000D_
I dalvikvm(14925): Failed resolving Lorg acra collections ImmutableSet  interface 4587  Lj  util Set  _x000D_
W dalvikvm(14925): Link of class  Lorg acra collections ImmutableSet   failed_x000D_
I dalvikvm(14925): Failed resolving Lorg acra collections ImmutableSet  interface 4587  Lj  util Set  _x000D_
W dalvikvm(14925): Link of class  Lorg acra collections ImmutableSet   failed_x000D_
W dalvikvm(14925): VFY: unable to find class referenced in signature (Lorg acra collections ImmutableSet )_x000D_
I dalvikvm(14925): Failed resolving Lorg acra collections ImmutableList  interface 4581  Lj  util List  _x000D_
W dalvikvm(14925): Link of class  Lorg acra collections ImmutableList   failed_x000D_
I dalvikvm(14925): Failed resolving Lorg acra collections ImmutableList  interface 4581  Lj  util List  _x000D_
W dalvikvm(14925): Link of class  Lorg acra collections ImmutableList   failed_x000D_
W dalvikvm(14925): VFY: unable to find class referenced in signature (Lorg acra collections ImmutableList )_x000D_
I dalvikvm(14925): Failed resolving Lorg acra collections ImmutableList  interface 4581  Lj  util List  _x000D_
W dalvikvm(14925): Link of class  Lorg acra collections ImmutableList   failed_x000D_
D dalvikvm(14925): DexOpt: unable to opt direct call 0x9074 at 0x1b in Lorg acra config CoreConfiguration   init _x000D_
I dalvikvm(14925): Failed resolving Lorg acra collections ImmutableList  interface 4581  Lj  util List  _x000D_
W dalvikvm(14925): Link of class  Lorg acra collections ImmutableList   failed_x000D_
D dalvikvm(14925): DexOpt: unable to opt direct call 0x9074 at 0x2c in Lorg acra config CoreConfiguration   init _x000D_
I dalvikvm(14925): Failed resolving Lorg acra collections ImmutableSet  interface 4587  Lj  util Set  _x000D_
W dalvikvm(14925): Link of class  Lorg acra collections ImmutableSet   failed_x000D_
D dalvikvm(14925): DexOpt: unable to opt direct call 0x9096 at 0x37 in Lorg acra config CoreConfiguration   init _x000D_
I dalvikvm(14925): Failed resolving Lorg acra collections ImmutableList  interface 4581  Lj  util List  _x000D_
W dalvikvm(14925): Link of class  Lorg acra collections ImmutableList   failed_x000D_
D dalvikvm(14925): DexOpt: unable to opt direct call 0x9074 at 0x54 in Lorg acra config CoreConfiguration   init _x000D_
I dalvikvm(14925): Failed resolving Lorg acra collections ImmutableList  interface 4581  Lj  util List  _x000D_
W dalvikvm(14925): Link of class  Lorg acra collections ImmutableList   failed_x000D_
D dalvikvm(14925): DexOpt: unable to opt direct call 0x9074 at 0x71 in Lorg acra config CoreConfiguration   init _x000D_
I dalvikvm(14925): Failed resolving Lorg acra collections ImmutableList  interface 4581  Lj  util List  _x000D_
W dalvikvm(14925): Link of class  Lorg acra collections ImmutableList   failed_x000D_
D dalvikvm(14925): DexOpt: unable to opt direct call 0x9074 at 0x7c in Lorg acra config CoreConfiguration   init _x000D_
I dalvikvm(14925): Failed resolving Lorg acra collections ImmutableList  interface 4581  Lj  util List  _x000D_
W dalvikvm(14925): Link of class  Lorg acra collections ImmutableList   failed_x000D_
D dalvikvm(14925): DexOpt: unable to opt direct call 0x9074 at 0x8d in Lorg acra config CoreConfiguration   init _x000D_
I dalvikvm(14925): Failed resolving Lorg acra collections ImmutableList  interface 4581  Lj  util List  _x000D_
W dalvikvm(14925): Link of class  Lorg acra collections ImmutableList   failed_x000D_
D dalvikvm(14925): DexOpt: unable to opt direct call 0x9074 at 0xb6 in Lorg acra config CoreConfiguration   init _x000D_
I dalvikvm(14925): Failed resolving Lorg acra collections ImmutableList  interface 4581  Lj  util List  _x000D_
W dalvikvm(14925): Link of class  Lorg acra collections ImmutableList   failed_x000D_
D dalvikvm(14925): DexOpt: unable to opt direct call 0x9073 at 0xe5 in Lorg acra config CoreConfiguration   init _x000D_
D AndroidRuntime(14925): Shutting down VM_x000D_
W dalvikvm(14925): threadid 1: thread exiting with uncaught exception (group 0x4193ac08)_x000D_
E AndroidRuntime(14925): FATAL EXCEPTION: main_x000D_
E AndroidRuntime(14925): Process: org schabi newpipelegacy  PID: 14925_x000D_
E AndroidRuntime(14925): java lang NoClassDefFoundError: org acra collections ImmutableList_x000D_
E AndroidRuntime(14925):        at org acra config CoreConfiguration  init (CoreConfiguration java:118)_x000D_
E AndroidRuntime(14925):        at org acra config CoreConfigurationBuilder build(CoreConfigurationBuilder java:835)_x000D_
E AndroidRuntime(14925):        at org schabi newpipelegacy App initACRA(App java:210)_x000D_
E AndroidRuntime(14925):        at org schabi newpipelegacy App attachBaseContext(App java:83)_x000D_
E AndroidRuntime(14925):        at android app Application attach(Application java:181)_x000D_
E AndroidRuntime(14925):        at android app Instrumentation newApplication(Instrumentation java:991)_x000D_
E AndroidRuntime(14925):        at android app Instrumentation newApplication(Instrumentation java:975)_x000D_
E AndroidRuntime(14925):        at android app LoadedApk makeApplication(LoadedApk java:502)_x000D_
E AndroidRuntime(14925):        at android app ActivityThread handleBindApplication(ActivityThread java:4301)_x000D_
E AndroidRuntime(14925):        at android app ActivityThread access 1500(ActivityThread java:135)_x000D_
E AndroidRuntime(14925):        at android app ActivityThread H handleMessage(ActivityThread java:1256)_x000D_
E AndroidRuntime(14925):        at android os Handler dispatchMessage(Handler java:102)_x000D_
E AndroidRuntime(14925):        at android os Looper loop(Looper java:136)_x000D_
E AndroidRuntime(14925):        at android app ActivityThread main(ActivityThread java:5001)_x000D_
E AndroidRuntime(14925):        at java lang reflect Method invokeNative(Native Method)_x000D_
E AndroidRuntime(14925):        at java lang reflect Method invoke(Method java:515)_x000D_
E AndroidRuntime(14925):        at com android internal os ZygoteInit MethodAndArgsCaller run(ZygoteInit java:795)_x000D_
E AndroidRuntime(14925):        at com android internal os ZygoteInit main(ZygoteInit java:611)_x000D_
E AndroidRuntime(14925):        at dalvik system NativeStart main(Native Method)_x000D_
W ActivityManager(  452):   Force finishing activity org schabi newpipelegacy  MainActivity_x000D_
D dalvikvm(14925): GC CONCURRENT freed 391K  12  free 3525K 3984K  paused 2ms 2ms  total 25ms_x000D_
W ActivityManager(  452): Activity pause timeout for ActivityRecord 41f1e080 u0 org schabi newpipelegacy  MainActivity t59 f _x000D_
W GraphicBufferMapper(  623): registerBuffer(0x5f5f8ed8) failed  22 (Invalid argument)_x000D_
E GraphicBuffer(  623): unflatten: registerBuffer failed: Invalid argument ( 22)_x000D_
V RenderScript(  623): 0x5f767418 Launching thread(s)  CPUs 2_x000D_
E WindowManager(  452): Starting window AppWindowToken 42a06710 token Token 42217e50 ActivityRecord 41f1e080 u0 org schabi newpipelegacy  MainActivity t59    timed out_x000D_
W ActivityManager(  452): Activity destroy timeout for ActivityRecord 41f1e080 u0 org schabi newpipelegacy  MainActivity t59 f _x000D_
I Process (14925): Sending signal  PID: 14925 SIG: 9_x000D_
W InputMethodManagerService(  452): Window already focused  ignoring focus gain of: com android internal view IInputMethodClient Stub Proxy 42680268 attribute null  token   android os BinderProxy 41df33d0_x000D_
I ActivityManager(  452): Process org schabi newpipelegacy (pid 14925) has died _x000D_
D ActivityManager(  452): cleanUpApplicationRecordLocked    14925_x000D_
I ActivityManager(  452): START u0  act android intent action MAIN cat  android intent category LAUNCHER  flg 0x10200000 cmp org schabi newpipelegacy  MainActivity  from pid 623_x000D_
V Zygote  (15009): Switching descriptor 32 to  dev null_x000D_
V Zygote  (15009): Switching descriptor 10 to  dev null_x000D_
I ActivityManager(  452): Start proc org schabi newpipelegacy for activity org schabi newpipelegacy  MainActivity: pid 15009 uid 10055 gids  50055  3003  1028  1015 _x000D_
E dalvikvm(15009): Could not find class  android app NotificationChannel   referenced from method org schabi newpipelegacy App setUpUpdateNotificationChannel_x000D_
W dalvikvm(15009): VFY: unable to resolve new instance 50 (Landroid app NotificationChannel ) in Lorg schabi newpipelegacy App _x000D_
D dalvikvm(15009): VFY: replacing opcode 0x22 at 0x0015_x000D_
E dalvikvm(15009): Could not find class  android app NotificationChannel   referenced from method org schabi newpipelegacy App initNotificationChannel_x000D_
W dalvikvm(15009): VFY: unable to resolve new instance 50 (Landroid app NotificationChannel ) in Lorg schabi newpipelegacy App _x000D_
D dalvikvm(15009): VFY: replacing opcode 0x22 at 0x001c_x000D_
D dalvikvm(15009): DexOpt: unable to opt direct call 0x0179 at 0x17 in Lorg schabi newpipelegacy App  setUpUpdateNotificationChannel_x000D_
D dalvikvm(15009): DexOpt: unable to opt direct call 0x0179 at 0x1f in Lorg schabi newpipelegacy App  initNotificationChannel_x000D_
I dalvikvm(15009): Could not find method android content Context getNoBackupFilesDir  referenced from method org acra file Directory 6 getFile_x000D_
W dalvikvm(15009): VFY: unable to resolve virtual method 508: Landroid content Context  getNoBackupFilesDir ()Ljava io File _x000D_
D dalvikvm(15009): VFY: replacing opcode 0x6e at 0x0006_x000D_
I dalvikvm(15009): Failed resolving Lorg acra collections ImmutableSet  interface 4587  Lj  util Set  _x000D_
W dalvikvm(15009): Link of class  Lorg acra collections ImmutableSet   failed_x000D_
W dalvikvm(15009): VFY: unable to find class referenced in signature (Lorg acra collections ImmutableSet )_x000D_
I dalvikvm(15009): Failed resolving Lorg acra collections ImmutableSet  interface 4587  Lj  util Set  _x000D_
W dalvikvm(15009): Link of class  Lorg acra collections ImmutableSet   failed_x000D_
I dalvikvm(15009): Could not find method org acra collections ImmutableSet iterator  referenced from method org acra data StringFormat 1 toFormattedString_x000D_
W dalvikvm(15009): VFY: unable to resolve virtual method 37023: Lorg acra collections ImmutableSet  iterator ()Ljava util Iterator _x000D_
D dalvikvm(15009): VFY: replacing opcode 0x6e at 0x000d_x000D_
E rsC     (  623): RS Message thread exiting _x000D_
I dalvikvm(15009): Failed resolving Lorg acra collections ImmutableSet  interface 4587  Lj  util Set  _x000D_
W dalvikvm(15009): Link of class  Lorg acra collections ImmutableSet   failed_x000D_
W dalvikvm(15009): VFY: unable to find class referenced in signature (Lorg acra collections ImmutableSet )_x000D_
I dalvikvm(15009): Failed resolving Lorg acra collections ImmutableSet  interface 4587  Lj  util Set  _x000D_
W dalvikvm(15009): Link of class  Lorg acra collections ImmutableSet   failed_x000D_
I dalvikvm(15009): Could not find method org acra collections ImmutableSet iterator  referenced from method org acra data StringFormat 2 toFormattedString_x000D_
W dalvikvm(15009): VFY: unable to resolve virtual method 37023: Lorg acra collections ImmutableSet  iterator ()Ljava util Iterator _x000D_
D dalvikvm(15009): VFY: replacing opcode 0x6e at 0x000d_x000D_
D dalvikvm(15009): GC CONCURRENT freed 231K  8  free 3378K 3672K  paused 1ms 4ms  total 22ms_x000D_
D dalvikvm(15009): WAIT FOR CONCURRENT GC blocked 3ms_x000D_
I dalvikvm(15009): Failed resolving Lorg acra collections ImmutableList  interface 4581  Lj  util List  _x000D_
W dalvikvm(15009): Link of class  Lorg acra collections ImmutableList   failed_x000D_
E dalvikvm(15009): Could not find class  org acra collections ImmutableList   referenced from method org acra config CoreConfiguration  init _x000D_
W dalvikvm(15009): VFY: unable to resolve new instance 5449 (Lorg acra collections ImmutableList ) in Lorg acra config CoreConfiguration _x000D_
D dalvikvm(15009): VFY: replacing opcode 0x22 at 0x0015_x000D_
I dalvikvm(15009): Failed resolving Lorg acra collections ImmutableList  interface 4581  Lj  util List  _x000D_
W dalvikvm(15009): Link of class  Lorg acra collections ImmutableList   failed_x000D_
I dalvikvm(15009): Failed resolving Lorg acra collections ImmutableList  interface 4581  Lj  util List  _x000D_
W dalvikvm(15009): Link of class  Lorg acra collections ImmutableList   failed_x000D_
W dalvikvm(15009): VFY: unable to find class referenced in signature (Lorg acra collections ImmutableList )_x000D_
I dalvikvm(15009): Failed resolving Lorg acra collections ImmutableList  interface 4581  Lj  util List  _x000D_
W dalvikvm(15009): Link of class  Lorg acra collections ImmutableList   failed_x000D_
I dalvikvm(15009): Failed resolving Lorg acra collections ImmutableList  interface 4581  Lj  util List  _x000D_
W dalvikvm(15009): Link of class  Lorg acra collections ImmutableList   failed_x000D_
W dalvikvm(15009): VFY: unable to find class referenced in signature (Lorg acra collections ImmutableList )_x000D_
I dalvikvm(15009): Failed resolving Lorg acra collections ImmutableList  interface 4581  Lj  util List  _x000D_
W dalvikvm(15009): Link of class  Lorg acra collections ImmutableList   failed_x000D_
I dalvikvm(15009): Failed resolving Lorg acra collections ImmutableList  interface 4581  Lj  util List  _x000D_
W dalvikvm(15009): Link of class  Lorg acra collections ImmutableList   failed_x000D_
W dalvikvm(15009): VFY: unable to find class referenced in signature (Lorg acra collections ImmutableList )_x000D_
I dalvikvm(15009): Failed resolving Lorg acra collections ImmutableList  interface 4581  Lj  util List  _x000D_
W dalvikvm(15009): Link of class  Lorg acra collections ImmutableList   failed_x000D_
I dalvikvm(15009): Failed resolving Lorg acra collections ImmutableList  interface 4581  Lj  util List  _x000D_
W dalvikvm(15009): Link of class  Lorg acra collections ImmutableList   failed_x000D_
W dalvikvm(15009): VFY: unable to find class referenced in signature (Lorg acra collections ImmutableList )_x000D_
I dalvikvm(15009): Failed resolving Lorg acra collections ImmutableList  interface 4581  Lj  util List  _x000D_
W dalvikvm(15009): Link of class  Lorg acra collections ImmutableList   failed_x000D_
I dalvikvm(15009): Failed resolving Lorg acra collections ImmutableList  interface 4581  Lj  util List  _x000D_
W dalvikvm(15009): Link of class  Lorg acra collections ImmutableList   failed_x000D_
W dalvikvm(15009): VFY: unable to find class referenced in signature (Lorg acra collections ImmutableList )_x000D_
I dalvikvm(15009): Failed resolving Lorg acra collections ImmutableList  interface 4581  Lj  util List  _x000D_
W dalvikvm(15009): Link of class  Lorg acra collections ImmutableList   failed_x000D_
I dalvikvm(15009): Failed resolving Lorg acra collections ImmutableList  interface 4581  Lj  util List  _x000D_
W dalvikvm(15009): Link of class  Lorg acra collections ImmutableList   failed_x000D_
W dalvikvm(15009): VFY: unable to find class referenced in signature (Lorg acra collections ImmutableList )_x000D_
I dalvikvm(15009): Failed resolving Lorg acra collections ImmutableSet  interface 4587  Lj  util Set  _x000D_
W dalvikvm(15009): Link of class  Lorg acra collections ImmutableSet   failed_x000D_
I dalvikvm(15009): Failed resolving Lorg acra collections ImmutableSet  interface 4587  Lj  util Set  _x000D_
W dalvikvm(15009): Link of class  Lorg acra collections ImmutableSet   failed_x000D_
W dalvikvm(15009): VFY: unable to find class referenced in signature (Lorg acra collections ImmutableSet )_x000D_
I dalvikvm(15009): Failed resolving Lorg acra collections ImmutableList  interface 4581  Lj  util List  _x000D_
W dalvikvm(15009): Link of class  Lorg acra collections ImmutableList   failed_x000D_
I dalvikvm(15009): Failed resolving Lorg acra collections ImmutableList  interface 4581  Lj  util List  _x000D_
W dalvikvm(15009): Link of class  Lorg acra collections ImmutableList   failed_x000D_
W dalvikvm(15009): VFY: unable to find class referenced in signature (Lorg acra collections ImmutableList )_x000D_
I dalvikvm(15009): Failed resolving Lorg acra collections ImmutableList  interface 4581  Lj  util List  _x000D_
W dalvikvm(15009): Link of class  Lorg acra collections ImmutableList   failed_x000D_
D dalvikvm(15009): DexOpt: unable to opt direct call 0x9074 at 0x1b in Lorg acra config CoreConfiguration   init _x000D_
I dalvikvm(15009): Failed resolving Lorg acra collections ImmutableList  interface 4581  Lj  util List  _x000D_
W dalvikvm(15009): Link of class  Lorg acra collections ImmutableList   failed_x000D_
D dalvikvm(15009): DexOpt: unable to opt direct call 0x9074 at 0x2c in Lorg acra config CoreConfiguration   init _x000D_
I dalvikvm(15009): Failed resolving Lorg acra collections ImmutableSet  interface 4587  Lj  util Set  _x000D_
W dalvikvm(15009): Link of class  Lorg acra collections ImmutableSet   failed_x000D_
D dalvikvm(15009): DexOpt: unable to opt direct call 0x9096 at 0x37 in Lorg acra config CoreConfiguration   init _x000D_
I dalvikvm(15009): Failed resolving Lorg acra collections ImmutableList  interface 4581  Lj  util List  _x000D_
W dalvikvm(15009): Link of class  Lorg acra collections ImmutableList   failed_x000D_
D dalvikvm(15009): DexOpt: unable to opt direct call 0x9074 at 0x54 in Lorg acra config CoreConfiguration   init _x000D_
I dalvikvm(15009): Failed resolving Lorg acra collections ImmutableList  interface 4581  Lj  util List  _x000D_
W dalvikvm(15009): Link of class  Lorg acra collections ImmutableList   failed_x000D_
D dalvikvm(15009): DexOpt: unable to opt direct call 0x9074 at 0x71 in Lorg acra config CoreConfiguration   init _x000D_
I dalvikvm(15009): Failed resolving Lorg acra collections ImmutableList  interface 4581  Lj  util List  _x000D_
W dalvikvm(15009): Link of class  Lorg acra collections ImmutableList   failed_x000D_
D dalvikvm(15009): DexOpt: unable to opt direct call 0x9074 at 0x7c in Lorg acra config CoreConfiguration   init _x000D_
I dalvikvm(15009): Failed resolving Lorg acra collections ImmutableList  interface 4581  Lj  util List  _x000D_
W dalvikvm(15009): Link of class  Lorg acra collections ImmutableList   failed_x000D_
D dalvikvm(15009): DexOpt: unable to opt direct call 0x9074 at 0x8d in Lorg acra config CoreConfiguration   init _x000D_
I dalvikvm(15009): Failed resolving Lorg acra collections ImmutableList  interface 4581  Lj  util List  _x000D_
D dalvikvm(15009): GC CONCURRENT freed 327K  10  free 3522K 3912K  paused 2ms 4ms  total 21ms_x000D_
W dalvikvm(15009): Link of class  Lorg acra collections ImmutableList   failed_x000D_
D dalvikvm(15009): DexOpt: unable to opt direct call 0x9074 at 0xb6 in Lorg acra config CoreConfiguration   init _x000D_
I dalvikvm(15009): Failed resolving Lorg acra collections ImmutableList  interface 4581  Lj  util List  _x000D_
W dalvikvm(15009): Link of class  Lorg acra collections ImmutableList   failed_x000D_
D dalvikvm(15009): DexOpt: unable to opt direct call 0x9073 at 0xe5 in Lorg acra config CoreConfiguration   init _x000D_
D AndroidRuntime(15009): Shutting down VM_x000D_
W dalvikvm(15009): threadid 1: thread exiting with uncaught exception (group 0x4193ac08)_x000D_
E AndroidRuntime(15009): FATAL EXCEPTION: main_x000D_
E AndroidRuntime(15009): Process: org schabi newpipelegacy  PID: 15009_x000D_
E AndroidRuntime(15009): java lang NoClassDefFoundError: org acra collections ImmutableList_x000D_
E AndroidRuntime(15009):        at org acra config CoreConfiguration  init (CoreConfiguration java:118)_x000D_
E AndroidRuntime(15009):        at org acra config CoreConfigurationBuilder build(CoreConfigurationBuilder java:835)_x000D_
E AndroidRuntime(15009):        at org schabi newpipelegacy App initACRA(App java:210)_x000D_
E AndroidRuntime(15009):        at org schabi newpipelegacy App attachBaseContext(App java:83)_x000D_
E AndroidRuntime(15009):        at android app Application attach(Application java:181)_x000D_
E AndroidRuntime(15009):        at android app Instrumentation newApplication(Instrumentation java:991)_x000D_
E AndroidRuntime(15009):        at android app Instrumentation newApplication(Instrumentation java:975)_x000D_
E AndroidRuntime(15009):        at android app LoadedApk makeApplication(LoadedApk java:502)_x000D_
E AndroidRuntime(15009):        at android app ActivityThread handleBindApplication(ActivityThread java:4301)_x000D_
E AndroidRuntime(15009):        at android app ActivityThread access 1500(ActivityThread java:135)_x000D_
E AndroidRuntime(15009):        at android app ActivityThread H handleMessage(ActivityThread java:1256)_x000D_
E AndroidRuntime(15009):        at android os Handler dispatchMessage(Handler java:102)_x000D_
E AndroidRuntime(15009):        at android os Looper loop(Looper java:136)_x000D_
E AndroidRuntime(15009):        at android app ActivityThread main(ActivityThread java:5001)_x000D_
E AndroidRuntime(15009):        at java lang reflect Method invokeNative(Native Method)_x000D_
E AndroidRuntime(15009):        at java lang reflect Method invoke(Method java:515)_x000D_
E AndroidRuntime(15009):        at com android internal os ZygoteInit MethodAndArgsCaller run(ZygoteInit java:795)_x000D_
E AndroidRuntime(15009):        at com android internal os ZygoteInit main(ZygoteInit java:611)_x000D_
E AndroidRuntime(15009):        at dalvik system NativeStart main(Native Method)_x000D_
W ActivityManager(  452):   Force finishing activity org schabi newpipelegacy  MainActivity_x000D_
I WindowManager(  452): Screenshot max retries 4 of Token 42636aa8 ActivityRecord 41f48188 u0 org schabi newpipelegacy  MainActivity t60 f   appWin Window 41e906a0 u0 Starting org schabi newpipelegacy  drawState 4_x000D_
W WindowManager(  452): Screenshot failure taking screenshot for (720x1280) to layer 21045_x000D_
W ActivityManager(  452): Activity pause timeout for ActivityRecord 41f48188 u0 org schabi newpipelegacy  MainActivity t60 f _x000D_
W GraphicBufferMapper(  623): registerBuffer(0x6039bfa0) failed  22 (Invalid argument)_x000D_
E GraphicBuffer(  623): unflatten: registerBuffer failed: Invalid argument ( 22)_x000D_
D dalvikvm(  623): GC CONCURRENT freed 2424K  21  free 10850K 13720K  paused 2ms 17ms  total 51ms_x000D_
V RenderScript(  623): 0x608003f0 Launching thread(s)  CPUs 2_x000D_
E WindowManager(  452): Starting window AppWindowToken 41f0e2c0 token Token 42636aa8 ActivityRecord 41f48188 u0 org schabi newpipelegacy  MainActivity t60    timed out_x000D_
W ActivityManager(  452): Activity destroy timeout for ActivityRecord 41f48188 u0 org schabi newpipelegacy  MainActivity t60 f _x000D_
I Process (15009): Sending signal  PID: 15009 SIG: 9_x000D_
I ActivityManager(  452): Process org schabi newpipelegacy (pid 15009) has died _x000D_
D ActivityManager(  452): cleanUpApplicationRecordLocked    15009_x000D_
W InputMethodManagerService(  452): Window already focused  ignoring focus gain of: com android internal view IInputMethodClient Stub Proxy 42a599e8 attribute null  token   android os BinderProxy 41df33d0_x000D_
D dalvikvm(  452): GC CONCURRENT freed 2297K  41  free 13525K 22576K  paused 12ms 9ms  total 72ms_x000D_
D dalvikvm(  607): GC CONCURRENT freed 781K  18  free 5716K 6888K  paused 3ms 2ms  total 33ms </t>
  </si>
  <si>
    <t>andOTP-andOTP-875</t>
  </si>
  <si>
    <t>Crash when MOTP secret is invalid</t>
  </si>
  <si>
    <t xml:space="preserve">App crashes on Samsung S7 Edge when manually inputting an MOTP token with a wrong invalid secret key   _x000D_
Checked the logcat and this is what showed up in the logcat _x000D_
_x000D_
   _x000D_
java lang NoSuchMethodError: No static method decodeHex(Ljava lang String ) B in class Lorg apache commons codec binary Hex  or its super classes (declaration of  org apache commons codec binary Hex  appears in  system framework org apache http legacy boot jar)_x000D_
        at org shadowice flocke andotp Database Entry validateSecret(Entry java:628)_x000D_
        at org shadowice flocke andotp Dialogs ManualEntryDialog lambda show 4(ManualEntryDialog java:207)_x000D_
   </t>
  </si>
  <si>
    <t>cgeo-cgeo-11251</t>
  </si>
  <si>
    <t>Cannot instantiate class: cgeo.geocaching.apps.navi.NavigationSelectionActionProvider</t>
  </si>
  <si>
    <t xml:space="preserve">This error shows up when refreshing a cache using a developer build based on current  release  branch  Did not check with  master  _x000D_
No crash associated _x000D_
_x000D_
   _x000D_
2021 07 17 12:02:56 361 24690 24690 cgeo geocaching W SupportMenuInflater: Cannot instantiate class: cgeo geocaching apps navi NavigationSelectionActionProvider_x000D_
    java lang NoSuchMethodException: cgeo geocaching apps navi NavigationSelectionActionProvider  init   class android content Context _x000D_
        at java lang Class getConstructor0(Class java:2363)_x000D_
        at java lang Class getConstructor(Class java:1759)_x000D_
        at androidx appcompat view SupportMenuInflater MenuState newInstance(SupportMenuInflater java:550)_x000D_
        at androidx appcompat view SupportMenuInflater MenuState readItem(SupportMenuInflater java:425)_x000D_
        at androidx appcompat view SupportMenuInflater parseMenu(SupportMenuInflater java:179)_x000D_
        at androidx appcompat view SupportMenuInflater inflate(SupportMenuInflater java:129)_x000D_
        at cgeo geocaching CacheMenuHandler addMenuItems(CacheMenuHandler java:132)_x000D_
        at cgeo geocaching CacheMenuHandler addMenuItems(CacheMenuHandler java:137)_x000D_
        at cgeo geocaching CacheDetailActivity onCreateOptionsMenu(CacheDetailActivity java:645)_x000D_
        at android app Activity onCreatePanelMenu(Activity java:4277)_x000D_
        at androidx fragment app FragmentActivity onCreatePanelMenu(FragmentActivity java:287)_x000D_
        at androidx appcompat view WindowCallbackWrapper onCreatePanelMenu(WindowCallbackWrapper java:94)_x000D_
        at androidx appcompat app AppCompatDelegateImpl AppCompatWindowCallback onCreatePanelMenu(AppCompatDelegateImpl java:3084)_x000D_
        at androidx appcompat app AppCompatDelegateImpl preparePanel(AppCompatDelegateImpl java:1907)_x000D_
        at androidx appcompat app AppCompatDelegateImpl doInvalidatePanelMenu(AppCompatDelegateImpl java:2188)_x000D_
        at androidx appcompat app AppCompatDelegateImpl 2 run(AppCompatDelegateImpl java:268)_x000D_
        at android view Choreographer CallbackRecord run(Choreographer java:1037)_x000D_
        at android view Choreographer doCallbacks(Choreographer java:845)_x000D_
        at android view Choreographer doFrame(Choreographer java:775)_x000D_
        at android view Choreographer FrameDisplayEventReceiver run(Choreographer java:1022)_x000D_
        at android os Handler handleCallback(Handler java:938)_x000D_
        at android os Handler dispatchMessage(Handler java:99)_x000D_
        at android os Looper loopOnce(Looper java:201)_x000D_
        at android os Looper loop(Looper java:288)_x000D_
        at android app ActivityThread main(ActivityThread java:7829)_x000D_
        at java lang reflect Method invoke(Native Method)_x000D_
        at com android internal os RuntimeInit MethodAndArgsCaller run(RuntimeInit java:548)_x000D_
        at com android internal os ZygoteInit main(ZygoteInit java:982)_x000D_
   </t>
  </si>
  <si>
    <t>Anuken-Mindustry-5596</t>
  </si>
  <si>
    <t>jvm crash</t>
  </si>
  <si>
    <t xml:space="preserve">  Platform  :  Windows _x000D_
_x000D_
  Build  :  v128 _x000D_
_x000D_
  Issue  :  When I quit mindustry under any circumstances  the jvm crashes (I tested it even with all mods removed ) _x000D_
_x000D_
  Steps to reproduce  :  After running mindustry v128 or later  exit  This will cause the jvm to crash  creating a hs err pid     log file in the same mindustry data folder as the  SteamLibrary steamapps common Mindustry folder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hs err pid10888 log (https:  github com Anuken Mindustry files 6834498 hs err pid10888 log) _x000D_
_x000D_
  JVM version  :   AdoptOpenJDK 16 (https:  adoptopenjdk net  variant openjdk16 jvmVariant hotspot) _x000D_
_x000D_
   _x000D_
_x000D_
 Place an X (no spaces) between the brackets to confirm that you have read the line below    _x000D_
   x    I have updated to the latest release (https:  github com Anuken Mindustry releases) to make sure my issue has not been fixed   _x000D_
_x000D_
   x    I have searched the closed and open issues to make sure that this problem has not already been reported   _x000D_
</t>
  </si>
  <si>
    <t>TeamNewPipe-NewPipe-6687</t>
  </si>
  <si>
    <t>Crashing when downloading because of SAF</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</si>
  <si>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 _x000D_
2  Press on  download _x000D_
_x000D_
   _x000D_
download any video or go to see download folder in the app  app restarts a couple of time and crashes_x000D_
_x000D_
happening only if I enable SAF  its default in 0 21 6 also happens in 0 21 5 if I enabled it_x000D_
_x000D_
but in 0 21 5  I could atleast see my downloads folder  in 0 21 6 it crashes in both cases  seeing the downloads folder or downloading a video audio_x000D_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https:  user images githubusercontent com 84063610 126030104 584b3d52 d456 4769 9c7d dbb55cd1a863 mp4_x000D_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ACRA report_x000D_
    Content Country:   US_x000D_
    Content Language:   en US_x000D_
    App Language:   en US_x000D_
    Service:   none_x000D_
    Version:   0 21 6_x000D_
    OS:   Linux Android 10   29_x000D_
 details  summary  b Crash log   b   summary  p _x000D_
_x000D_
   _x000D_
java lang RuntimeException: Unable to create service us shandian giga service DownloadManagerService: java lang NullPointerException: Attempt to invoke virtual method  java lang String org schabi newpipe streams io StoredFileHelper toString()  on a null object reference_x000D_
	at android app ActivityThread handleCreateService(ActivityThread java:4412)_x000D_
	at android app ActivityThread access 1800(ActivityThread java:274)_x000D_
	at android app ActivityThread H handleMessage(ActivityThread java:2118)_x000D_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Caused by: java lang NullPointerException: Attempt to invoke virtual method  java lang String org schabi newpipe streams io StoredFileHelper toString()  on a null object reference_x000D_
	at us shandian giga service DownloadManager loadPendingMissions(DownloadManager java:165)_x000D_
	at us shandian giga service DownloadManager  init (DownloadManager java:77)_x000D_
	at us shandian giga service DownloadManagerService onCreate(DownloadManagerService java:142)_x000D_
	at android app ActivityThread handleCreateService(ActivityThread java:4400)_x000D_
	    8 more_x000D_
_x000D_
   _x000D_
  details _x000D_
 hr _x000D_
 _x000D_
_x000D_
     Please fill this out when you do not provide a log generate by NewPipe    _x000D_
_x000D_
    Device info_x000D_
_x000D_
   Android version Custom ROM version:_x000D_
   Device model:_x000D_
</t>
  </si>
  <si>
    <t>PojavLauncherTeam-PojavLauncher-1682</t>
  </si>
  <si>
    <t>Game exited on latest action</t>
  </si>
  <si>
    <t xml:space="preserve">    Describe the bug_x000D_
_x000D_
Latest action release crashes with game exited everytime I try to play  I even install java 8 runtime_x000D_
_x000D_
    The log file and images videos_x000D_
free done_x000D_
    Steps To Reproduce_x000D_
_x000D_
   markdown_x000D_
1  Fix the app so that it doesn t crash_x000D_
   _x000D_
_x000D_
_x000D_
    Expected Behavior_x000D_
_x000D_
I expected for the game to launch normally_x000D_
_x000D_
    Platform_x000D_
_x000D_
   markdown_x000D_
  Device model: Acer Chromebook 315_x000D_
  CPU architecture: x86 64_x000D_
  Android version: 10_x000D_
  PojavLauncher version: Update bug report yml_x000D_
   _x000D_
_x000D_
_x000D_
    Anything else _x000D_
_x000D_
 No response </t>
  </si>
  <si>
    <t>Anuken-Mindustry-5595</t>
  </si>
  <si>
    <t>Core Capture and the console command to kill all builds combined can stop the game from running.</t>
  </si>
  <si>
    <t xml:space="preserve">  Platform  :  Android iOS Mac Windows Linux _x000D_
Windows_x000D_
  Build  :  The build number under the title in the main menu  Required   LATEST  IS NOT A VERSION  I NEED THE EXACT BUILD NUMBER OF YOUR GAME  _x000D_
128_x000D_
  Issue  :  Explain your issue in detail  _x000D_
I think the title explains it all _x000D_
  Steps to reproduce  :  How you happened across the issue  and what exactly you did to make the bug happen  _x000D_
Turn on Core Capture  then enter the command line below:_x000D_
 Groups build each(b  b kill()) _x000D_
  Link(s) to mod(s) used  :  The mod repositories or zip files that are related to the issue  if applicable  _x000D_
Only the dev console is needed  I m sure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Game stops responding no matter what map I play on  therefore not save specific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myCrashLog txt (https:  github com Anuken Mindustry files 6833883 myCrashLog txt)_x000D_
Note: Mindustry always grants the last log every time I try to export a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</si>
  <si>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cgeo-cgeo-11248</t>
  </si>
  <si>
    <t>Map doesn't support vector drawables for markers</t>
  </si>
  <si>
    <t xml:space="preserve">Replace  marker png  with a vector drawable    crash on loading the map:_x000D_
_x000D_
    java lang ClassCastException: android graphics drawable VectorDrawable cannot be cast to android graphics drawable BitmapDrawable_x000D_
        at cgeo geocaching utils CompactIconModeUtils setCompactIconModeThreshold(CompactIconModeUtils java:24)_x000D_
        at cgeo geocaching maps CGeoMap initializeMap(CGeoMap java:496)_x000D_
_x000D_
_x000D_
 moving bits any chance you could take a look at that  It s a blocker for me </t>
  </si>
  <si>
    <t>nextcloud-android-8716</t>
  </si>
  <si>
    <t>Login crash after temp. 2FA activation</t>
  </si>
  <si>
    <t xml:space="preserve">    Steps to reproduce
1  Activate 2FA
2  deactivate 2FA
3  Open nextcloud app
    Expected behaviour
Login should work
    Actual behaviour
App crashes
    Can you reproduce this problem on https:  try nextcloud com 
No
    Environment data
Android version:
Device model: 
Stock or customized system:
Nextcloud app version:
Nextcloud server version: 22
Reverse proxy: apache
    Logs
     Web server error log
Insert your webserver log here
     Nextcloud log (data nextcloud log)
             CAUSE OF ERROR             
java lang NullPointerException: Parameter specified as non null is null: method kotlin jvm internal Intrinsics checkNotNullParameter  parameter password
	at okhttp3 Credentials basic(Unknown Source:8)
	at okhttp3 Credentials basic default(Credentials kt:28)
	at okhttp3 Credentials basic(Unknown Source:2)
	at com owncloud android lib common OwnCloudClientFactory createNextcloudClient(OwnCloudClientFactory java:217)
	at com owncloud android operations RefreshFolderOperation updatePredefinedStatus(RefreshFolderOperation java:338)
	at com owncloud android operations RefreshFolderOperation updateCapabilities(RefreshFolderOperation java:311)
	at com owncloud android operations RefreshFolderOperation updateOCVersion(RefreshFolderOperation java:277)
	at com owncloud android operations RefreshFolderOperation run(RefreshFolderOperation java:230)
	at com owncloud android lib common operations RemoteOperation run(RemoteOperation java:359)
	at java lang Thread run(Thread java:923)
             APP INFORMATION             
ID: com nextcloud client
Version: 30160190
Build flavor: gplay
             DEVICE INFORMATION             
Brand: google
Device: redfin
Model: Pixel 5
Id: RQ3A 210705 001
Product: redfin
             FIRMWARE             
SDK: 30
Release: 11
Incremental: 7380771
   </t>
  </si>
  <si>
    <t>inaturalist-iNaturalistAndroid-1072</t>
  </si>
  <si>
    <t>NullPointerException in ObservationEditor.onPause</t>
  </si>
  <si>
    <t xml:space="preserve">https:  console firebase google com u 2 project inaturalist ios crashlytics app android:org inaturalist android issues 3af870e80d8323641af7760168b35501_x000D_
_x000D_
   _x000D_
Caused by java lang NullPointerException: Attempt to invoke virtual method  int java lang Integer intValue()  on a null object reference_x000D_
       at org inaturalist android ObservationEditor onPause(ObservationEditor java:1686)_x000D_
       at android app Activity performPause(Activity java:8096)_x000D_
   </t>
  </si>
  <si>
    <t>inaturalist-iNaturalistAndroid-1071</t>
  </si>
  <si>
    <t>RSInvalidStateException in ImageUtils.blur</t>
  </si>
  <si>
    <t xml:space="preserve">https:  console firebase google com u 2 project inaturalist ios crashlytics app android:org inaturalist android issues 0a4d923aeaac8248977803b8fde5ecdc_x000D_
_x000D_
   _x000D_
Fatal Exception: androidx renderscript RSInvalidStateException: Bad bitmap type: RGBA F16_x000D_
       at androidx renderscript Allocation elementFromBitmap(Allocation java:2654)_x000D_
       at androidx renderscript Allocation typeFromBitmap(Allocation java:2659)_x000D_
       at androidx renderscript Allocation createFromBitmap(Allocation java:2696)_x000D_
       at androidx renderscript Allocation createFromBitmap(Allocation java:2749)_x000D_
       at org inaturalist android ImageUtils blur(ImageUtils java:78)_x000D_
       at org inaturalist android UserProfile 12 onLoaded(UserProfile java:873)_x000D_
       at com koushikdutta urlimageviewhelper UrlImageViewHelper 2 run(UrlImageViewHelper java:648)_x000D_
       at com koushikdutta urlimageviewhelper UrlImageViewHelper 3 onPostExecute(UrlImageViewHelper java:669)_x000D_
       at com koushikdutta urlimageviewhelper UrlImageViewHelper 3 onPostExecute(UrlImageViewHelper java:661)_x000D_
       at android os AsyncTask finish(AsyncTask java:771)_x000D_
   </t>
  </si>
  <si>
    <t>TeamNewPipe-NewPipe-6683</t>
  </si>
  <si>
    <t>When using navigation keys in android tv and the cursor is located in what's new, pushing the down key jumps to the first video in the window, instead of jumping to feed updater bar.</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</si>
  <si>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In android tv set the cursor on o the what s new tab 
2  Press on down button
     If you can t cause the bug to show up again reliably (and hence don t have a proper set of steps to give us)  please still try to give as many details as possible on how you think you encountered the bug     
    Actual behavior
     Tell us what happens with the steps given above     
The cursor jumps to the first video in the window below
    Expected behavior
     Tell us what you expect to happen     
The cursor should jump to the update feed bar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Device model:
</t>
  </si>
  <si>
    <t>TeamNewPipe-NewPipe-6682</t>
  </si>
  <si>
    <t>Import and export database does not work with Android tv Xiaomi mi box version 9</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</si>
  <si>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6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settings   contents   import or export database
2  Try the intended action
     If you can t cause the bug to show up again reliably (and hence don t have a proper set of steps to give us)  please still try to give as many details as possible on how you think you encountered the bug     
    Actual behavior
It is shown a toast saying that there are no installed app to the desired action  Old versions worked fine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Device model:
</t>
  </si>
  <si>
    <t>TeamNewPipe-NewPipe-6681</t>
  </si>
  <si>
    <t>Update to v0.21.6 removed "Play to Kodi" from channel groups video 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</si>
  <si>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Click on any channel group (or  All )_x000D_
2  Long press any video_x000D_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Play to Kodi  menu entry isn t in the context menu_x000D_
Doing the same thing from the video s channel (instead of channel group) does show the menu entry_x000D_
_x000D_
    Expected behavior_x000D_
     Tell us what you expect to happen     _x000D_
 Play to Kodi  menu entry should be there _x000D_
 Queue in Kodi  would be the great (see  6181)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</si>
  <si>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TeamNewPipe-NewPipe-6680</t>
  </si>
  <si>
    <t>Import and export does not work in android tv</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</si>
  <si>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6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settings   content   import or export database
2  See the bug
     If you can t cause the bug to show up again reliably (and hence don t have a proper set of steps to give us)  please still try to give as many details as possible on how you think you encountered the bug     
    Actual behavior
Android shows a toast saying that there is no installed app to the desired action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Device model:
</t>
  </si>
  <si>
    <t>TeamNewPipe-NewPipe-6677</t>
  </si>
  <si>
    <t>In Download Dialog UI, margin is not even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</si>
  <si>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21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Try to download any video_x000D_
2  When dialog box shows up Click the Radio Buttons_x000D_
  Video _x000D_
  Audio _x000D_
  Captions_x000D_
 I have marked the region I am talking about  _x000D_
_x000D_
  a (https:  user images githubusercontent com 50160188 125912963 398147dc bd01 45ef 8fd9 22973bf05f3e jpg)_x000D_
  b (https:  user images githubusercontent com 50160188 125912976 e557c74d 0789 4aab 85d0 13ceb674e8f4 jpg)_x000D_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margin seems like more than needed and is uneven _x000D_
_x000D_
_x000D_
    Expected behavior_x000D_
     Tell us what you expect to happen     _x000D_
Even margin for marked region _x000D_
Or may be some redesign I purposed in https:  github com TeamNewPipe NewPipe issues 5508_x000D_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 Pie_x000D_
   Device model: Huawei Nova 3i_x000D_
</t>
  </si>
  <si>
    <t>TeamNewPipe-NewPipe-6676</t>
  </si>
  <si>
    <t>Can't Play or resume a video (not live or Stream). NewPipe should have a option to reset played video status (to watch from start irrespective of resume settings).</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</si>
  <si>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21 6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Turn on Resume video option in New Pipe 21 6
2  Start any video and pause at any point before ending video 
3  Minimize New Pipe (press home button or relevant gesture)  it does t mean you re playing in background 
4  Keep phone locked for a while  (to enforce Deep sleep Doze) 
5  Now open New Pipe (which we minimized) and Tap Play button of paused video (video from step 2) 
6  Now it will not play video either from puased point or start but will throw error  could not play this stream  
  This video not played until i forcefully ended it by seeking forward  not even played after app force close or phone restart   
Encountered with one video others are working fine  i guess open video cant save its Crucial background data for playback later 
     If you can t cause the bug to show up again reliably (and hence don t have a proper set of steps to give us)  please still try to give as many details as possible on how you think you encountered the bug     
    Actual behavior
     Tell us what happens with the steps given above     
It should throw a error for any video  Could not play this stream  (no matter that video was stream live normal video)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10 Miui 12 0 3
   Device model: Mi 9T Pro 
</t>
  </si>
  <si>
    <t>TeamNewPipe-NewPipe-6674</t>
  </si>
  <si>
    <t>Title text cutoff in beginning of feed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</si>
  <si>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Newpipe_x000D_
2  Check what new_x000D_
3  Scroll up to reload what s new_x000D_
4  Look at the text_x000D_
5  See bug_x000D_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Some text on The title gets cut off _x000D_
_x000D_
_x000D_
    Expected behavior_x000D_
     Tell us what you expect to happen     _x000D_
Title to be fully shown_x000D_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20210716 044847 (https:  user images githubusercontent com 74511929 125879580 773272a3 6eb7 41c2 a509 7f24074f5128 jpg)_x000D_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version 7 1 1 Nougat_x000D_
   Device model: Samsung Galaxy Tab A_x000D_
</t>
  </si>
  <si>
    <t>PojavLauncherTeam-PojavLauncher-1678</t>
  </si>
  <si>
    <t>[BUG] Pojavlauncher Crash</t>
  </si>
  <si>
    <t xml:space="preserve">    Describe the bug_x000D_
_x000D_
the application exits suddenly_x000D_
_x000D_
    The log file and images videos_x000D_
_x000D_
_x000D_
https:  user images githubusercontent com 75988498 125869877 c077c0e1 7c77 4d7b 8e15 c5d5828b15f1 mp4_x000D_
_x000D_
_x000D_
_x000D_
    Steps To Reproduce_x000D_
_x000D_
   markdown_x000D_
1 Start Pojavlauncher_x000D_
2 crash_x000D_
   _x000D_
_x000D_
_x000D_
    Expected Behavior_x000D_
_x000D_
i can install jre 17 runtime_x000D_
_x000D_
    Platform_x000D_
_x000D_
   markdown_x000D_
  Device model: Infinix X650C_x000D_
  CPU architecture: aarch64_x000D_
  Android version: 9_x000D_
  PojavLauncher version: latest build on the action  https:  github com PojavLauncherTeam PojavLauncher actions runs 1031140435 _x000D_
   _x000D_
_x000D_
_x000D_
    Anything else _x000D_
_x000D_
 No response </t>
  </si>
  <si>
    <t>commons-app-apps-android-commons-4507</t>
  </si>
  <si>
    <t>App crashed while deleting recent searches</t>
  </si>
  <si>
    <t xml:space="preserve">  Summary:   _x000D_
_x000D_
Every time the app is crashing while deleting recent searches  And also is delete the search item one by one  But In my emulator which is Pixel 4 API 30  the app is working as expected (not crashing and deleting the whole search)  The crash is saying that we are releasing an already released resource _x000D_
_x000D_
  Steps to reproduce:   _x000D_
_x000D_
Explore    search icon    Delete recent searches _x000D_
_x000D_
  System logs:  _x000D_
_x000D_
   _x000D_
    java lang IllegalStateException: Already released_x000D_
        at android content ContentProviderClient release(ContentProviderClient java:456)_x000D_
        at fr free nrw commons explore recentsearches RecentSearchesDao deleteAll(RecentSearchesDao java:83)_x000D_
        at fr free nrw commons explore recentsearches RecentSearchesFragment lambda null 0 RecentSearchesFragment(RecentSearchesFragment java:58)_x000D_
        at fr free nrw commons explore recentsearches    Lambda RecentSearchesFragment Ug BF47xEbqSyqu8SnL2pEeYom0 onClick(lambda)_x000D_
        at androidx appcompat app AlertController ButtonHandler handleMessage(AlertController java:167)_x000D_
        at android os Handler dispatchMessage(Handler java:102)_x000D_
        at android os Looper loop(Looper java:179)_x000D_
        at android app ActivityThread main(ActivityThread java:5730)_x000D_
        at java lang reflect Method invoke(Native Method)_x000D_
        at com android internal os ZygoteInit MethodAndArgsCaller run(ZygoteInit java:791)_x000D_
        at com android internal os ZygoteInit main(ZygoteInit java:681)_x000D_
07 16 01:31:07 518 3182 3195   E ANDR PERF MPCTL: invalid request  no optimizations performed_x000D_
   _x000D_
_x000D_
  Device and Android version:   _x000D_
_x000D_
OPPO A57 API 23_x000D_
 _x000D_
  Commons app version:   _x000D_
_x000D_
latest master_x000D_
_x000D_
  Screen shots:   _x000D_
https:  drive google com file d 1Isk ePqpQM Myf6JklolHODR1OXPClZa view usp sharing_x000D_
</t>
  </si>
  <si>
    <t>TeamNewPipe-NewPipe-6670</t>
  </si>
  <si>
    <t>No option to download audio of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</si>
  <si>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https:  youtu be i6e YTOzkT0_x000D_
2  Press Download_x000D_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No option to download audio  just the video_x000D_
_x000D_
_x000D_
_x000D_
    Expected behavior_x000D_
     Tell us what you expect to happen     _x000D_
There should be an option to download audio too_x000D_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11_x000D_
   Device model: Pixel 4a_x000D_
</t>
  </si>
  <si>
    <t>TeamNewPipe-NewPipe-6669</t>
  </si>
  <si>
    <t>Could not get like/dislike count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</si>
  <si>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I don t know  it arrived while I was watching a video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video continued to work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details _x000D_
_x000D_
   Exception_x000D_
    User Action:   requested stream_x000D_
    Request:   https:  www youtube com watch v QRzYrksAMjc_x000D_
    Content Country:   FR_x000D_
    Content Language:   fr FR_x000D_
    App Language:   fr FR_x000D_
    Service:   YouTube_x000D_
    Version:   0 21 5_x000D_
    OS:   Linux Android 8 0 0   26_x000D_
 details  summary  b Exceptions (2)  b   summary  p _x000D_
 details  summary  b Crash log 1  b   summary  p _x000D_
_x000D_
   _x000D_
org schabi newpipe extractor exceptions ParsingException: Could not get like count_x000D_
	at org schabi newpipe extractor services youtube extractors YoutubeStreamExtractor getLikeCount(YoutubeStreamExtractor java:344)_x000D_
	at org schabi newpipe extractor stream StreamInfo extractOptionalData(StreamInfo java:276)_x000D_
	at org schabi newpipe extractor stream StreamInfo getInfo(StreamInfo java:73)_x000D_
	at org schabi newpipe extractor stream StreamInfo getInfo(StreamInfo java:64)_x000D_
	at org schabi newpipe util ExtractorHelper lambda getStreamInfo 3(ExtractorHelper java:115)_x000D_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java:784)_x000D_
Caused by: org schabi newpipe extractor exceptions ParsingException: Ratings are enabled even though the like button is missing_x000D_
	at org schabi newpipe extractor services youtube extractors YoutubeStreamExtractor getLikeCount(YoutubeStreamExtractor java:335)_x000D_
	    29 more_x000D_
Caused by: java lang NullPointerException: Attempt to invoke virtual method  java lang String   java lang String split(java lang String)  on a null object reference_x000D_
	at org schabi newpipe extractor services youtube extractors YoutubeStreamExtractor getLikeCount(YoutubeStreamExtractor java:331)_x000D_
	    29 more_x000D_
_x000D_
   _x000D_
  details _x000D_
 details  summary  b Crash log 2  b   summary  p _x000D_
_x000D_
   _x000D_
org schabi newpipe extractor exceptions ParsingException: Could not get dislike count_x000D_
	at org schabi newpipe extractor services youtube extractors YoutubeStreamExtractor getDislikeCount(YoutubeStreamExtractor java:370)_x000D_
	at org schabi newpipe extractor stream StreamInfo extractOptionalData(StreamInfo java:281)_x000D_
	at org schabi newpipe extractor stream StreamInfo getInfo(StreamInfo java:73)_x000D_
	at org schabi newpipe extractor stream StreamInfo getInfo(StreamInfo java:64)_x000D_
	at org schabi newpipe util ExtractorHelper lambda getStreamInfo 3(ExtractorHelper java:115)_x000D_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java:784)_x000D_
Caused by: org schabi newpipe extractor exceptions ParsingException: Ratings are enabled even though the dislike button is missing_x000D_
	at org schabi newpipe extractor services youtube extractors YoutubeStreamExtractor getDislikeCount(YoutubeStreamExtractor java:361)_x000D_
	    29 more_x000D_
Caused by: java lang NullPointerException: Attempt to invoke virtual method  java lang String   java lang String split(java lang String)  on a null object reference_x000D_
	at org schabi newpipe extractor services youtube extractors YoutubeStreamExtractor getDislikeCount(YoutubeStreamExtractor java:357)_x000D_
	    29 more_x000D_
_x000D_
   _x000D_
  details _x000D_
_x000D_
 hr _x000D_
_x000D_
_x000D_
     Please fill this out when you do not provide a log generate by NewPipe    _x000D_
_x000D_
    Device info_x000D_
_x000D_
   Android version Custom ROM version: Android 8 0 EMUI 8 stock firmware from huawei_x000D_
   Device model: Honor 7A AUM L29_x000D_
</t>
  </si>
  <si>
    <t>Anuken-Mindustry-5585</t>
  </si>
  <si>
    <t>Array index broken: NoSuchMethodError: rhino.ScriptRuntime.getObjectIndex</t>
  </si>
  <si>
    <t xml:space="preserve">  Platform  : Windows Jar_x000D_
_x000D_
  Build  : BE Build 21445_x000D_
_x000D_
  Issue  : Can t access array with indexes _x000D_
_x000D_
  Steps to reproduce  :_x000D_
   rtfm (https:  github com DeltaNedas rtfm) just crashed on startup _x000D_
  Or  console run_x000D_
   js_x000D_
(function(obj)  _x000D_
   let up   Blocks additiveReconstructor upgrades _x000D_
   for (let i   0  i   up size  i  )_x000D_
      obj up get(i) 0  toString()    up get(i) 1  toString() _x000D_
   return obj _x000D_
 )(  ) _x000D_
   _x000D_
  Link(s) to mod(s) used  : See above _x000D_
_x000D_
  Save file  : N A_x000D_
_x000D_
  (Crash) logs  : rtfm crashed on  str 0   of line  const translate   str    str 0           Core bundle get(str substr(1)) : str   _x000D_
   _x000D_
 E  java lang NoSuchMethodError: rhino ScriptRuntime getObjectIndex(Ljava lang Object DLrhino Context )Ljava lang Object _x000D_
        at rhino gen library 17  c anonymous 1(library:18)_x000D_
        at rhino gen library 17 call(library)_x000D_
        at rhino ArrowFunction call(ArrowFunction java:33)_x000D_
        at rhino optimizer OptRuntime callName(OptRuntime java:51)_x000D_
        at rhino gen library 17  c anonymous 7(library:110)_x000D_
        at rhino gen library 17 call(library)_x000D_
        at rhino optimizer OptRuntime callN(OptRuntime java:41)_x000D_
        at rhino gen library 17  c anonymous 9(library:128)_x000D_
        at rhino gen library 17 call(library)_x000D_
        at rhino optimizer OptRuntime call2(OptRuntime java:32)_x000D_
        at rhino gen docs 20  c script 0(docs:21)_x000D_
        at rhino gen docs 20 call(docs)_x000D_
        at rhino gen docs 20 exec(docs)_x000D_
        at rhino module Require executeModuleScript(Require java:321)_x000D_
        at rhino module Require getExportedModuleInterface(Require java:272)_x000D_
        at rhino module Require call(Require java:202)_x000D_
        at rhino optimizer OptRuntime callName(OptRuntime java:51)_x000D_
        at rhino gen main js 16  c anonymous 1(main js:19)_x000D_
        at rhino gen main js 16 call(main js)_x000D_
        at rhino optimizer OptRuntime call0(OptRuntime java:15)_x000D_
        at rhino gen main js 16  c script 0(main js:0)_x000D_
        at rhino gen main js 16 call(main js)_x000D_
        at rhino ContextFactory doTopCall(ContextFactory java:328)_x000D_
        at rhino ScriptRuntime doTopCall(ScriptRuntime java:3093)_x000D_
        at rhino gen main js 16 call(main js)_x000D_
        at rhino gen main js 16 exec(main js)_x000D_
        at rhino Context evaluateString(Context java:989)_x000D_
        at mindustry mod Scripts run(Scripts java:166)_x000D_
        at mindustry mod Scripts run(Scripts java:156)_x000D_
        at mindustry mod Mods lambda loadScripts 21(Mods java:551)_x000D_
        at arc struct Seq each(Seq java:193)_x000D_
        at mindustry mod Mods eachEnabled(Mods java:688)_x000D_
        at mindustry mod Mods loadScripts(Mods java:539)_x000D_
        at mindustry ClientLauncher lambda setup 4(ClientLauncher java:96)_x000D_
        at arc assets AssetManager 1 loadSync(AssetManager java:334)_x000D_
        at arc assets AssetLoadingTask handleAsyncLoader(AssetLoadingTask java:109)_x000D_
        at arc assets AssetLoadingTask update(AssetLoadingTask java:74)_x000D_
        at arc assets AssetManager updateTask(AssetManager java:591)_x000D_
        at arc assets AssetManager update(AssetManager java:440)_x000D_
        at arc assets AssetManager update(AssetManager java:465)_x000D_
        at mindustry ClientLauncher update(ClientLauncher java:143)_x000D_
        at arc backend sdl SdlApplication listen(SdlApplication java:165)_x000D_
        at arc backend sdl SdlApplication loop(SdlApplication java:153)_x000D_
        at arc backend sdl SdlApplication  init (SdlApplication java:45)_x000D_
        at mindustry desktop DesktopLauncher main(DesktopLauncher java:38)_x000D_
_x000D_
 E   rtfm main js : NoSuchMethodError: rhino ScriptRuntime getObjectIndex(Ljava lang Object DLrhino Context )Ljava lang Object 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</si>
  <si>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TeamNewPipe-NewPipe-6667</t>
  </si>
  <si>
    <t>I can't download a video if I go through YouTube-&gt;share-&gt;NewPipe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</si>
  <si>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6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a YouTube video
2  Press on share
3  Swipe down to NewPipe
4  Select format and resolution
     If you can t cause the bug to show up again reliably (and hence don t have a proper set of steps to give us)  please still try to give as many details as possible on how you think you encountered the bug     
    Actual behavior
     Tell us what happens with the steps given above     When I m on a YouTube video which I want to download  I go to share  newpipe but nothing happens
    Expected behavior
     Tell us what you expect to happen      the video should start downloading after selecting the resolution and format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https:  photos app goo gl nCYmhXXAkst7eKf47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version:MIUI12 5 1RJKMIXM Android 11
  Device model: Xiaomi Poco F2 Pro</t>
  </si>
  <si>
    <t>nextcloud-android-8706</t>
  </si>
  <si>
    <t>Android client fails to start</t>
  </si>
  <si>
    <t xml:space="preserve">    Steps to reproduce_x000D_
1  Open the client_x000D_
2  See a crash   trace_x000D_
3  _x000D_
_x000D_
    Expected behaviour_x000D_
  access to the files_x000D_
_x000D_
    Actual behaviour_x000D_
  backtrace_x000D_
_x000D_
             CAUSE OF ERROR             _x000D_
_x000D_
java lang RuntimeException: Unable to resume activity  com nextcloud client com owncloud android ui activity FileDisplayActivity : android database sqlite SQLiteBlobTooBigException: Row too big to fit into CursorWindow requiredPos 10  totalRows 11_x000D_
	at android app ActivityThread performResumeActivity(ActivityThread java:4504)_x000D_
	at android app ActivityThread handleResumeActivity(ActivityThread java:4536)_x000D_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java:2104)_x000D_
	at android os Handler dispatchMessage(Handler java:106)_x000D_
	at android os Looper loop(Looper java:236)_x000D_
	at android app ActivityThread main(ActivityThread java:7861)_x000D_
	at java lang reflect Method invoke(Native Method)_x000D_
	at com android internal os RuntimeInit MethodAndArgsCaller run(RuntimeInit java:600)_x000D_
	at com android internal os ZygoteInit main(ZygoteInit java:967)_x000D_
Caused by: android database sqlite SQLiteBlobTooBigException: Row too big to fit into CursorWindow requiredPos 10  totalRows 11_x000D_
	at android database sqlite SQLiteConnection nativeExecuteForCursorWindow(Native Method)_x000D_
	at android database sqlite SQLiteConnection executeForCursorWindow(SQLiteConnection java:1001)_x000D_
	at android database sqlite SQLiteSession executeForCursorWindow(SQLiteSession java:838)_x000D_
	at android database sqlite SQLiteQuery fillWindow(SQLiteQuery java:62)_x000D_
	at android database sqlite SQLiteCursor fillWindow(SQLiteCursor java:163)_x000D_
	at android database sqlite SQLiteCursor onMove(SQLiteCursor java:131)_x000D_
	at android database AbstractCursor moveToPosition(AbstractCursor java:248)_x000D_
	at android database AbstractCursor moveToNext(AbstractCursor java:286)_x000D_
	at android database CursorWrapper moveToNext(CursorWrapper java:206)_x000D_
	at com owncloud android datamodel FileDataStorageManager getFolderContent(FileDataStorageManager java:913)_x000D_
	at com owncloud android datamodel FileDataStorageManager getFolderContent(FileDataStorageManager java:185)_x000D_
	at com owncloud android ui adapter OCFileListAdapter swapDirectory(OCFileListAdapter java:914)_x000D_
	at com owncloud android ui fragment OCFileListFragment listDirectory(OCFileListFragment java:1262)_x000D_
	at com owncloud android ui fragment OCFileListFragment listDirectory(OCFileListFragment java:1215)_x000D_
	at com owncloud android ui fragment OCFileListFragment listDirectory(OCFileListFragment java:1204)_x000D_
	at com owncloud android ui fragment OCFileListFragment onActivityCreated(OCFileListFragment java:399)_x000D_
	at androidx fragment app Fragment performActivityCreated(Fragment java:2985)_x000D_
	at androidx fragment app FragmentStateManager activityCreated(FragmentStateManager java:580)_x000D_
	at androidx fragment app FragmentStateManager moveToExpectedState(FragmentStateManager java:285)_x000D_
	at androidx fragment app FragmentManager executeOpsTogether(FragmentManager java:2189)_x000D_
	at androidx fragment app FragmentManager removeRedundantOperationsAndExecute(FragmentManager java:2100)_x000D_
	at androidx fragment app FragmentManager execPendingActions(FragmentManager java:2002)_x000D_
	at androidx fragment app FragmentController execPendingActions(FragmentController java:451)_x000D_
	at androidx fragment app FragmentActivity onResume(FragmentActivity java:436)_x000D_
	at com owncloud android ui activity BaseActivity onResume(BaseActivity java:91)_x000D_
	at com owncloud android ui activity DrawerActivity onResume(DrawerActivity java:911)_x000D_
	at com owncloud android ui activity FileActivity onResume(FileActivity java:240)_x000D_
	at com owncloud android ui activity FileDisplayActivity onResume(FileDisplayActivity java:1148)_x000D_
	at android app Instrumentation callActivityOnResume(Instrumentation java:1457)_x000D_
	at android app Activity performResume(Activity java:8248)_x000D_
	at android app ActivityThread performResumeActivity(ActivityThread java:4494)_x000D_
	    11 more_x000D_
_x000D_
             APP INFORMATION             _x000D_
ID: com nextcloud client_x000D_
Version: 30160190_x000D_
Build flavor: gplay_x000D_
_x000D_
             DEVICE INFORMATION             _x000D_
Brand: Redmi_x000D_
Device: curtana_x000D_
Model: Redmi Note 9S_x000D_
Id: RKQ1 200826 002_x000D_
Product: curtana eea_x000D_
_x000D_
             FIRMWARE             _x000D_
SDK: 30_x000D_
Release: 11_x000D_
Incremental: V12 0 2 0 RJWEUXM_x000D_
_x000D_
</t>
  </si>
  <si>
    <t>ably-ably-java-686</t>
  </si>
  <si>
    <t>Remove use of forClass method in push activation state machine implementation</t>
  </si>
  <si>
    <t xml:space="preserve">See  here (https:  github com ably ably java blob 31d8ae442e36610158565a86069bff7e7b6782eb android src main java io ably lib push ActivationStateMachine java L681) 
Why do we need to do this 
We have a customer who is experiencing a crash  which I am pretty sure is coming from an exception thrown here 
See  this internal thread (https:  ably real time slack com archives CKAPDADC6 p1626334221082100) 
We should probably work on https:  github com ably ably java issues 685 before trying to investigate this issue  as that code encapsulates this 
 Issue is synchronized with this  Jira Uncategorised (https:  ably atlassian net browse SDK 1041) by  Unito (https:  www unito io)
</t>
  </si>
  <si>
    <t>ably-ably-java-685</t>
  </si>
  <si>
    <t>Push Activation State Machine exception handling needs improvement</t>
  </si>
  <si>
    <t xml:space="preserve">There are places where we catch  Exception  and then re throw as uncaught  RuntimeException  (e g   here (https:  github com ably ably java blob 31d8ae442e36610158565a86069bff7e7b6782eb android src main java io ably lib push ActivationStateMachine java L695))  which would almost always be inappropriate and heavy handed 
Answers to  this question (https:  stackoverflow com questions 2416316 why is the catchexception almost always a bad idea) perhaps illustrate the point better than I could describe myself  in respect as to why  catch (Exception)  is almost always a bad idea 
Plus  throwing a  RuntimeException  will cause the application process to crash  Thus  we effectively have engineered in a critical failure state when I suspect something lighter weight could have been implemented 
A customer has been seeing crashes on Android devices at runtime which pass through this exception handling path  Our manner of handling these exceptions is making it more difficult to debug that issue ( internal thread (https:  ably real time slack com archives CKAPDADC6 p1626334221082100)) 
 Issue is synchronized with this  Jira Uncategorised (https:  ably atlassian net browse SDK 1040) by  Unito (https:  www unito io)
</t>
  </si>
  <si>
    <t>TeamNewPipe-NewPipe-6665</t>
  </si>
  <si>
    <t>Unable to export to NextCloud using SAF</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</si>
  <si>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Export Database _x000D_
2  Select  Nextcloud  menu in file _x000D_
3  Tap on  SAVE  button_x000D_
_x000D_
     If you can t cause the bug to show up again reliably (and hence don t have a proper set of steps to give us)  please still try to give as many details as possible on how you think you encountered the bug     _x000D_
_x000D_
_x000D_
_x000D_
    Actual behavior_x000D_
It throws the error text  Sorry  Something went wrong   and stores a file with 0 byte size _x000D_
     Tell us what happens with the steps given above     _x000D_
_x000D_
_x000D_
_x000D_
    Expected behavior_x000D_
The file should be exported to nextcloud 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Exporting database_x000D_
  Content Country: IN_x000D_
  Content Language: en_x000D_
  App Language: en US_x000D_
  Service: none_x000D_
  Version: 0 21 6_x000D_
  OS: Linux Android 10   29_x000D_
 details  summary  b Crash log   b   summary  p _x000D_
_x000D_
   _x000D_
java io FileNotFoundException: Error downloading file: NewPipeData 20210715 122300 zip_x000D_
 at android database DatabaseUtils readExceptionWithFileNotFoundExceptionFromParcel(DatabaseUtils java:149)_x000D_
 at android content ContentProviderProxy openAssetFile(ContentProviderNative java:631)_x000D_
 at android content ContentResolver openAssetFileDescriptor(ContentResolver java:1521)_x000D_
 at android content ContentResolver openFileDescriptor(ContentResolver java:1338)_x000D_
 at android content ContentResolver openFileDescriptor(ContentResolver java:1286)_x000D_
 at us shandian giga io FileStreamSAF  init (FileStreamSAF java:32)_x000D_
 at org schabi newpipe streams io StoredFileHelper getStream(StoredFileHelper java:190)_x000D_
 at org schabi newpipe settings ContentSettingsManager exportDatabase(ContentSettingsManager kt:24)_x000D_
 at org schabi newpipe settings ContentSettingsFragment exportDatabase(ContentSettingsFragment java:200)_x000D_
 at org schabi newpipe settings ContentSettingsFragment requestExportPathResult(ContentSettingsFragment java:170)_x000D_
 at org schabi newpipe settings ContentSettingsFragment lambda 8bBkxkdGnhK6YvPK6sE5N6ky1yA(Unknown Source:0)_x000D_
 at org schabi newpipe settings    Lambda ContentSettingsFragment 8bBkxkdGnhK6YvPK6sE5N6ky1yA onActivityResult(Unknown Source:4)_x000D_
 at androidx activity result ActivityResultRegistry 1 onStateChanged(ActivityResultRegistry java:148)_x000D_
 at androidx lifecycle LifecycleRegistry ObserverWithState dispatchEvent(LifecycleRegistry java:354)_x000D_
 at androidx lifecycle LifecycleRegistry forwardPass(LifecycleRegistry java:265)_x000D_
 at androidx lifecycle LifecycleRegistry sync(LifecycleRegistry java:307)_x000D_
 at androidx lifecycle LifecycleRegistry moveToState(LifecycleRegistry java:148)_x000D_
 at androidx lifecycle LifecycleRegistry handleLifecycleEvent(LifecycleRegistry java:134)_x000D_
 at androidx fragment app Fragment performStart(Fragment java:3026)_x000D_
 at androidx fragment app FragmentStateManager start(FragmentStateManager java:589)_x000D_
 at androidx fragment app FragmentStateManager moveToExpectedState(FragmentStateManager java:300)_x000D_
 at androidx fragment app FragmentStore moveToExpectedState(FragmentStore java:112)_x000D_
 at androidx fragment app FragmentManager moveToState(FragmentManager java:1647)_x000D_
 at androidx fragment app FragmentManager dispatchStateChange(FragmentManager java:3128)_x000D_
 at androidx fragment app FragmentManager dispatchStart(FragmentManager java:3079)_x000D_
 at androidx fragment app FragmentController dispatchStart(FragmentController java:262)_x000D_
 at androidx fragment app FragmentActivity onStart(FragmentActivity java:510)_x000D_
 at androidx appcompat app AppCompatActivity onStart(AppCompatActivity java:210)_x000D_
 at android app Instrumentation callActivityOnStart(Instrumentation java:1432)_x000D_
 at android app Activity performStart(Activity java:7848)_x000D_
 at android app ActivityThread handleStartActivity(ActivityThread java:3295)_x000D_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java:2017)_x000D_
 at android os Handler dispatchMessage(Handler java:107)_x000D_
 at android os Looper loop(Looper java:214)_x000D_
 at android app ActivityThread main(ActivityThread java:7397)_x000D_
 at java lang reflect Method invoke(Native Method)_x000D_
 at com android internal os RuntimeInit MethodAndArgsCaller run(RuntimeInit java:494)_x000D_
 at com android internal os ZygoteInit main(ZygoteInit java:935)_x000D_
   _x000D_
_x000D_
  details _x000D_
 hr _x000D_
_x000D_
     Please fill this out when you do not provide a log generate by NewPipe    _x000D_
_x000D_
    Device info_x000D_
_x000D_
   Android version Custom ROM version: android 10 29_x000D_
   Device model: Redmi Note 5 Pro(Whyred)_x000D_
</t>
  </si>
  <si>
    <t>Anuken-Mindustry-5583</t>
  </si>
  <si>
    <t>java.lang.NoSuchMethodError: rhino.ScriptRuntime.delete</t>
  </si>
  <si>
    <t xml:space="preserve">  Platform  : Windows Jar_x000D_
_x000D_
  Build  : pre alpha build 128   BE build 21444_x000D_
_x000D_
  Issue  : JavaScript  delete  is unusable _x000D_
_x000D_
  Steps to reproduce  :_x000D_
  Install  dev mode (https:  github com DeltaNedas dev mode)  press  F8  to open the console  run  let y  a:0  delete y  a     _x000D_
  OR  just install the  test mod: delete crash (https:  github com Anuken Mindustry files 6820897 delete zip) _x000D_
_x000D_
  Link(s) to mod(s) used  : See above _x000D_
_x000D_
  Save file  : N A_x000D_
_x000D_
  (Crash) logs  : Mod Crashed  Tried on Java SE 1 8 0 221 and Open JDK 16 0 1 _x000D_
   _x000D_
 E  java lang NoSuchMethodError:  java lang Object rhino ScriptRuntime delete(java lang Object  java lang Object  rhino Context  boolean) _x000D_
        at rhino gen main js 3  c anonymous 1(main js:2)_x000D_
        at rhino gen main js 3 call(main js)_x000D_
        at rhino optimizer OptRuntime call0(OptRuntime java:15)_x000D_
        at rhino gen main js 3  c script 0(main js:0)_x000D_
        at rhino gen main js 3 call(main js)_x000D_
        at rhino ContextFactory doTopCall(ContextFactory java:328)_x000D_
        at rhino ScriptRuntime doTopCall(ScriptRuntime java:3093)_x000D_
        at rhino gen main js 3 call(main js)_x000D_
        at rhino gen main js 3 exec(main js)_x000D_
        at rhino Context evaluateString(Context java:989)_x000D_
        at mindustry mod Scripts run(Scripts java:166)_x000D_
        at mindustry mod Scripts run(Scripts java:156)_x000D_
        at mindustry mod Mods lambda loadScripts 21(Mods java:551)_x000D_
        at arc struct Seq each(Seq java:193)_x000D_
        at mindustry mod Mods eachEnabled(Mods java:688)_x000D_
        at mindustry mod Mods loadScripts(Mods java:539)_x000D_
        at mindustry ClientLauncher lambda setup 4(ClientLauncher java:96)_x000D_
        at arc assets AssetManager 1 loadSync(AssetManager java:334)_x000D_
        at arc assets AssetLoadingTask handleAsyncLoader(AssetLoadingTask java:109)_x000D_
        at arc assets AssetLoadingTask update(AssetLoadingTask java:74)_x000D_
        at arc assets AssetManager updateTask(AssetManager java:591)_x000D_
        at arc assets AssetManager update(AssetManager java:440)_x000D_
        at arc assets AssetManager update(AssetManager java:465)_x000D_
        at mindustry ClientLauncher update(ClientLauncher java:143)_x000D_
        at arc backend sdl SdlApplication listen(SdlApplication java:165)_x000D_
        at arc backend sdl SdlApplication loop(SdlApplication java:153)_x000D_
        at arc backend sdl SdlApplication  init (SdlApplication java:45)_x000D_
        at mindustry desktop DesktopLauncher main(DesktopLauncher java:38)_x000D_
_x000D_
 E   delete crash main js : NoSuchMethodError:  java lang Object rhino ScriptRuntime delete(java lang Object  java lang Object  rhino Context  boolean) 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</si>
  <si>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TeamNewPipe-NewPipe-6664</t>
  </si>
  <si>
    <t>0.21.6 Tablets thumbnails+title too big</t>
  </si>
  <si>
    <t xml:space="preserve">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app on a tablet_x000D_
2  Find all the videos messed up_x000D_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The thumbnails of the videos is too big  See screenshot_x000D_
_x000D_
_x000D_
    Expected behavior_x000D_
     Tell us what you expect to happen     _x000D_
Its supposed to fit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image2 (https:  user images githubusercontent com 84337276 125737081 3006d036 b4a2 4315 8750 d6440256997c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LineageOS 16  Android 9_x000D_
   Device model: SM T813_x000D_
_x000D_
Related:  6674</t>
  </si>
  <si>
    <t>google-ExoPlayer-9193</t>
  </si>
  <si>
    <t>ExoPlayer crashing while trying to release `DefaultDrmSession` (`Assertions.checkState`)</t>
  </si>
  <si>
    <t xml:space="preserve">A small percentage of our users are facing crashes within Exoplayer 2 13 3_x000D_
_x000D_
Stacktrace:_x000D_
_x000D_
   _x000D_
Fatal Exception: java lang IllegalStateException_x000D_
       at com google android exoplayer2 util Assertions checkState(Assertions java:86)_x000D_
       at com google android exoplayer2 drm DefaultDrmSession release(DefaultDrmSession java:307)_x000D_
       at com google android exoplayer2 drm DefaultDrmSessionManager ReferenceCountListenerImpl lambda onReferenceCountDecremented 0(DefaultDrmSessionManager java:795)_x000D_
       at com google android exoplayer2 drm    Lambda DefaultDrmSessionManager ReferenceCountListenerImpl lohQXhovvcCpLXYZ8GSk9gsNCn8 run(  java:2)_x000D_
       at android os Handler handleCallback(Handler java:873)_x000D_
       at android os Handler dispatchMessage(Handler java:99)_x000D_
       at android os Looper loop(Looper java:193)_x000D_
       at android os HandlerThread run(HandlerThread java:65)_x000D_
   _x000D_
_x000D_
I am trying to understand if there is something we aren t handling properly with the DRM Session Manager  _x000D_
_x000D_
This is how we create the session manager:_x000D_
_x000D_
   _x000D_
DefaultDrmSessionManager Builder()_x000D_
         setUseDrmSessionsForClearContent(C TRACK TYPE AUDIO  C TRACK TYPE VIDEO)_x000D_
         additional configuration omitted for brevity _x000D_
         build(_x000D_
            HttpMediaDrmCallback(_x000D_
                licenseUrl _x000D_
                dataSourceFactory_x000D_
            )_x000D_
        )_x000D_
_x000D_
_x000D_
DashMediaSource Factory(dataSourceFactory)_x000D_
         setDrmSessionManager(drmSessionManager)_x000D_
         createMediaSource(mediaItem)_x000D_
   </t>
  </si>
  <si>
    <t>PojavLauncherTeam-PojavLauncher-1673</t>
  </si>
  <si>
    <t>1.17 and 1.17.1 Unable to launch[BUG]</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</si>
  <si>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Minecraft Java 1 17 and 1 17 1 Unable to launch(Temporary method to play was followed step by step)_x000D_
_x000D_
  Add a log file if you want to see your bug fixed    _x000D_
_x000D_
 _x000D_
 latestlog txt (https:  github com PojavLauncherTeam PojavLauncher files 6817572 latestlog txt)_x000D_
_x000D_
_x000D_
    To Reproduce:_x000D_
Indicate steps to reproduce the buggy behavior:_x000D_
_x000D_
1  Start PojavLauncher_x000D_
2  Put in Default arguments(  Xms768m  Xmx800m)_x000D_
3  Choose renderer (OpenGL 2)_x000D_
4  Allocated the right amount of ram to the game _x000D_
5  Start Download process( 1 17 jar assets)_x000D_
6  Launch(Play)_x000D_
7  Screen fades to black and crashes _x000D_
_x000D_
    Expected behavior:_x000D_
I expected the app to launch the 1 17 version of the game because I ve followed every step on how to run Minecraft Java 1 17  Even though I did everything step by step  The game still crashed _x000D_
_x000D_
    Screenshots or videos:_x000D_
 Upload here screenshots or videos of the buggy behavior  if possible  _x000D_
_x000D_
  Platform:  _x000D_
   Device Model  OPPO A31 _x000D_
   CPU architecture  aarch64  _x000D_
   Android Version   Android 9 0 _x000D_
   PojavLauncher Version  Latest Release    version 3 3 1 1 821 7d00a2ae v3 openjdk _x000D_
_x000D_
_x000D_
 details   summary  b Additional context  b   summary _x000D_
 br _x000D_
 pre _x000D_
Add any other context about the problem here _x000D_
  pre _x000D_
  details _x000D_
</t>
  </si>
  <si>
    <t>TeamNewPipe-NewPipe-6662</t>
  </si>
  <si>
    <t>Clicking timestamp shows Toast "Playing in popup mode", even if the player is already in popup mode.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</si>
  <si>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21 6 (pre release)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Play any Youtube video that has timestamps in description_x000D_
(I used this: https:  www youtube com watch v aleEl74qkXU)_x000D_
1  Go to video description_x000D_
2  Click on time stamp _x000D_
_x000D_
 Note: This issue was first mentioned in https:  github com TeamNewPipe NewPipe pull 5523 issuecomment 771085866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Here is a screen record  _x000D_
_x000D_
https:  user images githubusercontent com 50160188 125649190 2b3b7abb 1301 4b3f 8153 53f33b9aa217 mp4_x000D_
_x000D_
_x000D_
_x000D_
    Expected behavior_x000D_
It should show   Playing in popup mode  toast message only if video was not playing in Popup mode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 _x000D_
</t>
  </si>
  <si>
    <t>nextcloud-android-8699</t>
  </si>
  <si>
    <t>Android app crashes after selecting folders to auto-upload</t>
  </si>
  <si>
    <t xml:space="preserve">             CAUSE OF ERROR             _x000D_
Now the the app only freezes crashes on wifi  on mobile data it works fine _x000D_
Here s what the app produced _x000D_
  image (https:  user images githubusercontent com 65686179 126061869 3458f200 62f5 4fbc 9b23 be63801c88c6 png)
Edit 2:
Now the app also crashes in mobile data  _x000D_
_x000D_
_x000D_
    Steps to reproduce_x000D_
1   Select camera folders to auto upload_x000D_
2   Wait for them to load_x000D_
3   Try re opening the app_x000D_
_x000D_
    Expected behaviour_x000D_
  Whilst on background activity the pictures and videos should keep uploading and the app should work normally_x000D_
_x000D_
    Actual behaviour_x000D_
  App doesn t open and crashes randomly  also the file upload stops_x000D_
_x000D_
    Can you reproduce this problem on https:  try nextcloud com _x000D_
  Not sure can t add another account since my app crashes_x000D_
_x000D_
    Environment data_x000D_
Android version:_x000D_
11 _x000D_
Device model: _x000D_
Samsung Galaxy s10 _x000D_
Stock or customized system:_x000D_
Samsung ONE UI 3 1_x000D_
Nextcloud app version:_x000D_
3 16 1_x000D_
Nextcloud server version:_x000D_
21 03_x000D_
Reverse proxy:_x000D_
NGINX _x000D_
    Logs_x000D_
     Web server error log_x000D_
   _x000D_
Doesn t show anything from an android connection_x000D_
   _x000D_
_x000D_
     Nextcloud log (data nextcloud log)_x000D_
   _x000D_
Also nothing shows up here_x000D_
   _x000D_
  NOTE:   Be super sure to remove sensitive data like passwords  note that everybody can look here  You can use the Issue Template application to prefill some of the required information: https:  apps nextcloud com apps issuetemplate_x000D_
</t>
  </si>
  <si>
    <t>Anuken-Mindustry-5580</t>
  </si>
  <si>
    <t>Deprecated methods/classes stripped</t>
  </si>
  <si>
    <t xml:space="preserve">  Platform  :  Android  _x000D_
_x000D_
  Build  :  v128 _x000D_
_x000D_
  Issue  :  Cicon  which was supposed to be deprecated (warns the compiler but definitely not crash) is actually stripped leading to a crash  I have no idea if it is my d8 or your r8 that is doing that  _x000D_
Reported by SMOLKEYS (discord)_x000D_
_x000D_
  Steps to reproduce  :  Try using a clear pipe spinner claw(with blocks)  basically any block that uses icon() _x000D_
_x000D_
  Link(s) to mod(s) used  :  sk7725 BetaMindy _x000D_
_x000D_
  Save file  :  null _x000D_
_x000D_
If you remove the line above without reading it properly and understanding what it means  I will reap your soul  Even if you re playing on someone s server  you can still save the game to a slot _x000D_
_x000D_
  (Crash) logs  : _x000D_
   _x000D_
Mindustry has crashed  How unfortunate  Version: pre alpha build 128 OS: Linux x32 Java Version: 0 Java Architecture: null 17 Mods: betamindy:1 0   b59e72 Demo of Chaos Itself    dev mode:2 3 2  hackustry:4  ldb:1 3 2  notepad:2 0 0  override lib:1 0 1  pictologic:1 5 7  radar:2 10 5  test utils:0 14  time control:0 2  ui lib:2 16 6  unit factory:2 4 2  bundles:13  exogenesis: blue 1 3 1  exotic mod:0 5 Alpha  ground vehicles:0 2  unitinfo:1 2   NoSuchMethodError:  No virtual method icon(Lmindustry ui Cicon )Larc graphics g2d TextureRegion  in class Lmindustry world blocks payloads BuildPayload  or its super classes (declaration of  mindustry world blocks payloads BuildPayload  appears in base apk)  Claw ClawBuild drawClaw: 327 Claw ClawBuild draw: 339 Block drawBase: 269 BlockRenderer drawBlocks: 327 Renderer draw: 266 Renderer update: 119 ApplicationCore update: 37 ClientLauncher update: 174 AndroidGraphics onDrawFrame: 374 GLSurfaceView GLThread guardedRun: 1571 GLSurfaceView GLThread run: 1270_x000D_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</si>
  <si>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Anuken-Mindustry-5579</t>
  </si>
  <si>
    <t>about idle logic command</t>
  </si>
  <si>
    <t xml:space="preserve">  Platform  :  Android iOS Mac Windows Linux _x000D_
Window 7_x000D_
  Build  :  The build number under the title in the main menu  Required   LATEST  IS NOT A VERSION  I NEED THE EXACT BUILD NUMBER OF YOUR GAME  _x000D_
released v7b128 (also happen in other version)_x000D_
  Issue  :  Explain your issue in detail  _x000D_
the Logic command:Unit Idle didn t do that they need to do  it say  don t move but keep mining  building  but it actually didn t do anything_x000D_
  Steps to reproduce  :  How you happened across the issue  and what exactly you did to make the bug happen  _x000D_
i used a bind and a logic control: Idle to polys (and also monos) and they didn t do anythings (no mining no building) it happen in survival and sandbox mode_x000D_
  Link(s) to mod(s) used  :  The mod repositories or zip files that are related to the issue  if applicable  _x000D_
auto updater (prob not related _x000D_
cliff (prob not related _x000D_
developer mode (prob not related  i didn t execute any commands _x000D_
item grabber (prob not related _x000D_
Logic Debugger v1 3 1_x000D_
mind util   Utility mod (prob not related _x000D_
Override Lib v1 0 1 (used to run Logic debugger)_x000D_
PicToLogic_x000D_
Radar_x000D_
RTFM_x000D_
TimeControl (not using while testing bug)_x000D_
UI lib_x000D_
Unit Factory_x000D_
WAISA v2 3 3_x000D_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https:  drive google com file d 1PiSNOt yTqkEp07yUdcyv0 KTq5x62wj view usp sharing (url)_x000D_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none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</si>
  <si>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lisawray-groupie-398</t>
  </si>
  <si>
    <t>IndexOutOfBoundsException: Wanted item at 5 but there are only 5 items</t>
  </si>
  <si>
    <t xml:space="preserve">  Describe the bug  _x000D_
_x000D_
I my RecyclerView Adapter I use updateAsync(groups)  to update all items  But sometimes it crashes with the following trace (taken from the Crashlytics):_x000D_
   _x000D_
_x000D_
Fatal Exception: java lang RuntimeException: java lang IndexOutOfBoundsException: Wanted item at 5 but there are only 5 items_x000D_
       at com xwray groupie DiffTask onPostExecute(DiffTask java:54)_x000D_
       at com xwray groupie DiffTask onPostExecute(DiffTask java:18)_x000D_
       at android os AsyncTask finish(AsyncTask java:695)_x000D_
       at android os AsyncTask access 600(AsyncTask java:180)_x000D_
       at android os AsyncTask InternalHandler handleMessage(AsyncTask java:712)_x000D_
       at android os Handler dispatchMessage(Handler java:106)_x000D_
       at android os Looper loop(Looper java:193)_x000D_
       at android app ActivityThread main(ActivityThread java:6718)_x000D_
       at java lang reflect Method invoke(Method java)_x000D_
       at com android internal os RuntimeInit MethodAndArgsCaller run(RuntimeInit java:493)_x000D_
       at com android internal os ZygoteInit main(ZygoteInit java:858)_x000D_
Caused by java lang IndexOutOfBoundsException: Wanted item at 5 but there are only 5 items_x000D_
       at com xwray groupie GroupUtils getItem(GroupUtils java:20)_x000D_
       at com xwray groupie DiffCallback areItemsTheSame(DiffCallback java:33)_x000D_
       at androidx recyclerview widget DiffUtil backward(DiffUtil java:300)_x000D_
       at androidx recyclerview widget DiffUtil midPoint(DiffUtil java:202)_x000D_
       at androidx recyclerview widget DiffUtil calculateDiff(DiffUtil java:146)_x000D_
       at com xwray groupie DiffTask doInBackground(DiffTask java:44)_x000D_
       at com xwray groupie DiffTask doInBackground(DiffTask java:18)_x000D_
       at android os AsyncTask 2 call(AsyncTask java:333)_x000D_
       at java util concurrent FutureTask run(FutureTask java:266)_x000D_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_x000D_
_x000D_
  To Reproduce  _x000D_
I cannot reproduce it myself  IMO it happens when an item is deleted from the list _x000D_
_x000D_
  Library version  _x000D_
groupie:2 8 1_x000D_
androidx recyclerview:recyclerview:1 2 1_x000D_
_x000D_
</t>
  </si>
  <si>
    <t>Anuken-Mindustry-5577</t>
  </si>
  <si>
    <t>Homing</t>
  </si>
  <si>
    <t xml:space="preserve">_x000D_
  Screenshot 28 (https:  user images githubusercontent com 43229798 125567957 e3e51206 0672 48f2 aa61 361670687736 png)_x000D_
  Platform  :  Android iOS Mac Windows Linux _x000D_
window 7 sp1_x000D_
  Build  :  The build number under the title in the main menu  Required   LATEST  IS NOT A VERSION  I NEED THE EXACT BUILD NUMBER OF YOUR GAME  _x000D_
release v7 (b128)_x000D_
  Issue  :  Explain your issue in detail  _x000D_
all the homing bullet still targeting the derelict team destroyed building_x000D_
  Steps to reproduce  :  How you happened across the issue  and what exactly you did to make the bug happen  _x000D_
i just kill some detelict message block  after that the bullets still homing to the destroyed building_x000D_
  Link(s) to mod(s) used  :  The mod repositories or zip files that are related to the issue  if applicable  _x000D_
auto updater (prob not related _x000D_
cliff (prob not related _x000D_
developer mode (prob not related  i didn t execute any commands _x000D_
item grabber (prob not related _x000D_
Logic Debugger v1 3 1_x000D_
mind util   Utility mod (prob not related _x000D_
Override Lib v1 0 1 (used to run Logic debugger)_x000D_
PicToLogic_x000D_
Radar_x000D_
RTFM_x000D_
TimeControl (not using while testing bug)_x000D_
UI lib_x000D_
Unit Factory_x000D_
WAISA v2 3 3_x000D_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sadly if we quit and join back to the save the building updated and bullets don t homing to destryed building anymore_x000D_
If you remove the line above without reading it properly and understanding what it means  I will reap your soul  Even if you re playing on someone s server  you can still save the game to a slot _x000D_
okay_x000D_
  (Crash) logs  :  Either crash reports from the crash folder  or the file you get when you go into Settings    Game Data    Export Crash logs  REQUIRED if you are reporting a crash  _x000D_
_x000D_
    none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</si>
  <si>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commons-app-apps-android-commons-4503</t>
  </si>
  <si>
    <t>Send logs button on settings doesnt work</t>
  </si>
  <si>
    <t xml:space="preserve">  Summary:   _x000D_
_x000D_
Currently the only way for user to send logs to us is waiting app to be crashed  However  user should be able to send logs without having to wait app to crash  Actually we have a button to send logs in settings page  It does not work and should be fixed _x000D_
_x000D_
  Steps to reproduce:   _x000D_
Go to settings and click send logs button  nothing will happen _x000D_
_x000D_
  Would you like to work on the issue   _x000D_
_x000D_
yes_x000D_
</t>
  </si>
  <si>
    <t>nextcloud-talk-android-1465</t>
  </si>
  <si>
    <t>crash when opening "Share from Nextcloud"</t>
  </si>
  <si>
    <t xml:space="preserve">   Steps to reproduce_x000D_
1  see title  doesn t always happen but i could reproduce it one time _x000D_
_x000D_
    Expected behaviour_x000D_
no crash_x000D_
_x000D_
    Actual behaviour_x000D_
app crashes with following stacktrace:_x000D_
_x000D_
   _x000D_
E AndroidRuntime: FATAL EXCEPTION: RxCachedThreadScheduler 8_x000D_
    Process: com nextcloud talk2  PID: 18187_x000D_
    java lang NullPointerException: subscribeActual failed_x000D_
        at io reactivex Single subscribe(Single java:3671)_x000D_
        at io reactivex internal operators single SingleSubscribeOn SubscribeOnObserver run(SingleSubscribeOn java:89)_x000D_
        at io reactivex Scheduler DisposeTask run(Scheduler java:608)_x000D_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IllegalStateException: Cannot call this method while RecyclerView is computing a layout or scrolling androidx recyclerview widget RecyclerView bbfa1a8 VFED               0 256 1440 1984  7f0a02c7 app:id recycler view   adapter:eu davidea flexibleadapter FlexibleAdapter 9047466  layout:eu davidea flexibleadapter common SmoothScrollLinearLayoutManager f40d3a7  context:com nextcloud talk activities MainActivity 90107f3_x000D_
        at androidx recyclerview widget RecyclerView assertNotInLayoutOrScroll(RecyclerView java:3051)_x000D_
        at androidx recyclerview widget RecyclerView RecyclerViewDataObserver onItemRangeInserted(RecyclerView java:5555)_x000D_
        at androidx recyclerview widget RecyclerView AdapterDataObservable notifyItemRangeInserted(RecyclerView java:12278)_x000D_
        at androidx recyclerview widget RecyclerView Adapter notifyItemRangeInserted(RecyclerView java:7498)_x000D_
        at eu davidea flexibleadapter FlexibleAdapter performInsert(FlexibleAdapter java:2962)_x000D_
        at eu davidea flexibleadapter FlexibleAdapter addItems(FlexibleAdapter java:2941)_x000D_
        at com nextcloud talk components filebrowser controllers BrowserController listingResult(BrowserController java:218)_x000D_
        at com nextcloud talk components filebrowser operations DavListing 1 onSuccess(DavListing java:60)_x000D_
        at com nextcloud talk components filebrowser operations DavListing 1 onSuccess(DavListing java:51)_x000D_
        at io reactivex internal operators single SingleSubscribeOn SubscribeOnObserver onSuccess(SingleSubscribeOn java:68)_x000D_
        at io reactivex internal operators single SingleFromCallable subscribeActual(SingleFromCallable java:56)_x000D_
        at io reactivex Single subscribe(Single java:3666)_x000D_
        at io reactivex internal operators single SingleSubscribeOn SubscribeOnObserver run(SingleSubscribeOn java:89) _x000D_
        at io reactivex Scheduler DisposeTask run(Scheduler java:608) _x000D_
        at io reactivex internal schedulers ScheduledRunnable run(ScheduledRunnable java:66) _x000D_
        at io reactivex internal schedulers ScheduledRunnable call(ScheduledRunnable java:57) _x000D_
        at java util concurrent FutureTask run(FutureTask java:237) _x000D_
        at java util concurrent ScheduledThreadPoolExecutor ScheduledFutureTask run(ScheduledThreadPoolExecutor java:272) _x000D_
        at java util concurrent ThreadPoolExecutor runWorker(ThreadPoolExecutor java:1133) _x000D_
        at java util concurrent ThreadPoolExecutor Worker run(ThreadPoolExecutor java:607) _x000D_
        at java lang Thread run(Thread java:762) _x000D_
   _x000D_
_x000D_
_x000D_
   Device information_x000D_
_x000D_
  Talk version:   happened with 12 2 0 Alpha 4  as well as   12 1 1_x000D_
_x000D_
</t>
  </si>
  <si>
    <t>iZettle-sdk-android-36</t>
  </si>
  <si>
    <t>java.lang.AssertionError at com.izettle.payments.android.bluetooth.c.lock (c.java:77) in release-1.14.15</t>
  </si>
  <si>
    <t xml:space="preserve">  Expected Behavior_x000D_
_x000D_
  Current Behavior_x000D_
Witnessing several crashes with the following stack from the Google Play Developer Console_x000D_
_x000D_
java lang AssertionError: _x000D_
  at com izettle payments android bluetooth c lock (c java:77)_x000D_
  at com izettle payments android bluetooth ble a a (a java:108)_x000D_
  at com izettle payments android bluetooth ble a getServices (a java:57)_x000D_
  at com izettle payments android readers vendors datecs ReaderV2TransportImpl doReadPowerState (ReaderV2TransportImpl java:686)_x000D_
  at com izettle payments android readers vendors datecs ReaderV2TransportImpl access doReadPowerState (ReaderV2TransportImpl java:212)_x000D_
  at com izettle payments android readers vendors datecs ReaderV2TransportImpl j a (ReaderV2TransportImpl java:600)_x000D_
  at com izettle payments android readers vendors datecs ReaderV2TransportImpl j invoke (ReaderV2TransportImpl java:212)_x000D_
  at com izettle android commons thread c run (Unknown Source:2)_x000D_
  at java lang Thread run (Thread java:784)_x000D_
_x000D_
  Steps to Reproduce_x000D_
We can t reproduce  the crashes come from Google Play Console reports _x000D_
_x000D_
   Context _x000D_
User is running_x000D_
_x000D_
Huawei M5_x000D_
Android 8 0 (SDK 26)_x000D_
_x000D_
   Failure Logs_x000D_
</t>
  </si>
  <si>
    <t>jellyfin-jellyfin-androidtv-1015</t>
  </si>
  <si>
    <t>Client for Android TV crash after connect to server</t>
  </si>
  <si>
    <t xml:space="preserve">  Describe the bug  _x000D_
Client for Android TV crash after connect to server_x000D_
_x000D_
  To Reproduce  _x000D_
1  Open Jellyfin_x000D_
2  Select user (no pswrd)_x000D_
3  Crash_x000D_
_x000D_
  Logs  _x000D_
Adb log_x000D_
_x000D_
  _x000D_
  2956  3005 E BufferQueueProducer:  org jellyfin androidtv debug org jellyfin androidtv startup StartupActivity 0  disconnect: not connected (req 1)_x000D_
  7585  7643 E ActivityThread: Failed to find provider info for android media tv_x000D_
  7585  7643 E ACRA    : ACRA caught a IllegalArgumentException for org jellyfin androidtv debug_x000D_
  7585  7643 E ACRA    : java lang IllegalArgumentException: Unknown URL content:  android media tv watch next program_x000D_
  7585  7643 E ACRA    :      at android content ContentResolver delete(ContentResolver java:1680)_x000D_
  7585  7643 E ACRA    :      at org jellyfin androidtv channels ChannelManager updateWatchNext 2 invokeSuspend(ChannelManager kt:61)_x000D_
  7585  7643 E ACRA    :      at org jellyfin androidtv channels ChannelManager updateWatchNext 2 invoke(Unknown Source:10)_x000D_
  7585  7643 E ACRA    :      at kotlinx coroutines intrinsics UndispatchedKt startUndispatchedOrReturn(Undispatched kt:91)_x000D_
  7585  7643 E ACRA    :      at kotlinx coroutines BuildersKt  Builders commonKt withContext(Builders common kt:154)_x000D_
  7585  7643 E ACRA    :      at kotlinx coroutines BuildersKt withContext(Unknown Source:1)_x000D_
  7585  7643 E ACRA    :      at org jellyfin androidtv channels ChannelManager updateWatchNext(ChannelManager kt:59)_x000D_
  7585  7643 E ACRA    :      at org jellyfin androidtv channels ChannelManager update 1 invokeSuspend(ChannelManager kt:51)_x000D_
  7585  7643 E ACRA    :      at kotlin coroutines jvm internal BaseContinuationImpl resumeWith(ContinuationImpl kt:33)_x000D_
  7585  7643 E ACRA    :      at kotlinx coroutines DispatchedTask run(DispatchedTask kt:56)_x000D_
  7585  7643 E ACRA    :      at kotlinx coroutines scheduling CoroutineScheduler runSafely(CoroutineScheduler kt:561)_x000D_
  7585  7643 E ACRA    :      at kotlinx coroutines scheduling CoroutineScheduler Worker executeTask(CoroutineScheduler kt:727)_x000D_
  7585  7643 E ACRA    :      at kotlinx coroutines scheduling CoroutineScheduler Worker runWorker(CoroutineScheduler kt:667)_x000D_
  7585  7643 E ACRA    :      at kotlinx coroutines scheduling CoroutineScheduler Worker run(CoroutineScheduler kt:655)_x000D_
  2832  2832 E SELinux : avc:  denied    find   for service meminfo pid 7658 uid 10032 scontext u:r:untrusted app:s0:c32 c256 c512 c768 tcontext u:object r:meminfo service:s0 tclass service manager permissive 0_x000D_
  3182  3357 E InputDispatcher: channel  a932a8e org jellyfin androidtv debug org jellyfin androidtv browsing MainActivity (server)    Channel is unrecoverably broken and will be disposed _x000D_
  3182  3357 E InputDispatcher: channel  6751060 org jellyfin androidtv debug org jellyfin androidtv startup SelectUserActivity (server)    Channel is unrecoverably broken and will be disposed _x000D_
_x000D_
_x000D_
_x000D_
Server log_x000D_
_x000D_
   2021 07 12 19:21:52 760  00:00   INF   77  Emby Server Implementations HttpServer WebSocketManager: WS  192 168 1 5  request_x000D_
   2021 07 12 19:21:57 087  00:00   INF   60  Jellyfin Server Implementations Users UserManager: Authentication request for  play  has succeeded _x000D_
   2021 07 12 19:21:57 088  00:00   INF   60  Emby Server Implementations Session SessionManager: Current Max sessions for user  play : 2 0_x000D_
   2021 07 12 19:21:57 090  00:00   INF   60  Emby Server Implementations Session SessionManager: Reissuing access token:  9          e _x000D_
   2021 07 12 19:21:58 245  00:00   WRN   74  Emby Server Implementations HttpServer WebSocketConnection: WS  192 168 1 5  error receiving data:  The remote party closed the WebSocket connection without completing the close handshake  _x000D_
   2021 07 12 19:21:58 260  00:00   INF   74  Emby Server Implementations HttpServer WebSocketManager: WS  192 168 1 5  closed_x000D_
_x000D_
_x000D_
  System (please complete the following information):  _x000D_
  Server 10 08 (linuxserver docker)_x000D_
  Client 0 11 5_x000D_
  Device Android TV box_x000D_
_x000D_
</t>
  </si>
  <si>
    <t>avluis-Hentoid-810</t>
  </si>
  <si>
    <t>Issue: App stutters, crashes and freezes with extremely large libraries, especially in advanced search.</t>
  </si>
  <si>
    <t>A bit embarrassing but I just wanted to report this issue  Probably low priority as I can t imagine most people download enough for this to be a major issue _x000D_
_x000D_
     What version of Hentoid you re running  for example: 1 2 0r3   1 2 1r1   1 2 1r2_x000D_
It s essentially the version number from the About Screen    _x000D_
  Hentoid Version  : v1 14 10   although issues have occurred with older versions too  usually the most up to date version across the past month or three _x000D_
_x000D_
     What devices you managed to get the issue to come up on  For example:_x000D_
fails on Galaxy S4 GT I9500 4 4 2  works fine on Nexus 6P 5 1 and Genymotion Nexus 5 5 0 1    _x000D_
  Device Android Version  : Snapdragon 845  6GB RAM  Android 9 10_x000D_
_x000D_
     Share the details of your issue in prose  detailing actual and expected behavior     _x000D_
  Issue details   Repro steps  :  When handling extremely large libraries of 15 000  entries or 3 400 GB the app begins to suffer from several errors:_x000D_
_x000D_
  Tags in advanced search are slow to load and can  hang  freezing the app and requiring the app to be  force closed  through the settings_x000D_
  Subsequently opening the app and going into advanced search will result in another crash if you do not wait at least 15 30 seconds _x000D_
  After selecting 1 tag in advanced search  you need to wait 10 30 seconds before searching for another  or it can eventually get stuck looking for available tags after 3 6 tags and require a hard restart _x000D_
  Scrolling up and down the library slowly will result in temporary  5 2 second stutters or freezes_x000D_
  Selecting a comic for deletion results in it instantly acting as if you selected then deselected it  To properly select it you must press down as if to select then scroll up or down before it detects your selection  I think it s something to do with the long press action _x000D_
  Reinstalling the app and restoring the library results in significant improvements to the tag issues   although they still exist and are significant _x000D_
_x000D_
     What is the error message that you got in the log     _x000D_
  Stack trace   LogCat  : No error log  just freezes and crashes_x000D_
_x000D_
     Bonus points if you attach a relevant screenshot or a screen recording    _x000D_
_x000D_
_x000D_
Also curious but could too low RAM have anything to do with this  _x000D_
_x000D_
 AVnetWS admin team</t>
  </si>
  <si>
    <t>Anuken-Mindustry-5571</t>
  </si>
  <si>
    <t>affinities and required tiles broke</t>
  </si>
  <si>
    <t xml:space="preserve">  Platform  :  Android iOS Mac Windows Linux  Mac_x000D_
_x000D_
  Build  :  The build number under the title in the main menu  Required   LATEST  IS NOT A VERSION  I NEED THE EXACT BUILD NUMBER OF YOUR GAME   128_x000D_
_x000D_
  Issue  :  Explain your issue in detail   affinities and required tiles don t show up in block info pages  all variations i could find: _x000D_
 img width  1280  alt  Screen Shot 2021 07 12 at 4 17 29 PM  src  https:  user images githubusercontent com 75851043 125352685 93594000 e32f 11eb 8558 ad50c6b36822 png  _x000D_
none found_x000D_
 img width  1280  alt  Screen Shot 2021 07 12 at 4 17 34 PM  src  https:  user images githubusercontent com 75851043 125352688 948a6d00 e32f 11eb 8d4f 282e338988e8 png  _x000D_
required tiles aren t even mentioned_x000D_
 img width  1280  alt  Screen Shot 2021 07 12 at 4 17 47 PM  src  https:  user images githubusercontent com 75851043 125352693 95bb9a00 e32f 11eb 92fa 44620dd541c0 png  _x000D_
same as spore press  but with required tiles this time_x000D_
_x000D_
  Steps to reproduce  :  How you happened across the issue  and what exactly you did to make the bug happen   open info pages for above blocks  as well as silicon crucibles and watex  cuz those are the only other blocks i can think of with affinities _x000D_
_x000D_
  Link(s) to mod(s) used  :  The mod repositories or zip files that are related to the issue  if applicable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infopanel msav zip (https:  github com Anuken Mindustry files 6804274 infopanel msav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</si>
  <si>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TeamNewPipe-NewPipe-6652</t>
  </si>
  <si>
    <t>NewPipe crashes when re-opening a previously played video/livestream due to a NullPointerException</t>
  </si>
  <si>
    <t xml:space="preserve">    Checklist_x000D_
     This checklist is COMPULSORY  The first box has been checked for you to show you how it is done     _x000D_
_x000D_
   x  I am using the latest version   0 21 5 and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Purpose_x000D_
This issue is intended to report the NullPointerException that occurs when  player playqueue PlayQueueItem getRecoveryPosition()  is invoked  and the logs corresponds to this crash  In the initial report the error occurred after a different crash  which is mentioned for the sake of reproducibility (I did not open an issue for this crash as I did not keep the log) _x000D_
_x000D_
    Steps to reproduce the bug_x000D_
     If you can t cause the bug to show up again reliably (and hence don t have a proper set of steps to give us)  please still try to give as many details as possible on how you think you encountered the bug     _x000D_
_x000D_
The same error has occurred twice  however I am unable to reproduce the bug following either case  In each case the actions leading up to the crash are listed below:_x000D_
_x000D_
     Re opening an ended live stream (0 21 5  initial report)_x000D_
1  Viewed a live stream (YouTube) using NewPipe  The live stream ended  at approximately the same time as it was opened  and the player only showed less than 5 seconds from the end of the stream _x000D_
2  Exited video using the back button  A toast was displayed with the message  Could not play stream   I do not remember if it occurs during this step  or in the next step when NewPipe is unfocused _x000D_
3  Unfocus the app then attempt to close it  NewPipe crashes (this is a different crash  and not covered by this issue) and brings up the bug reporting screen  Exit the bug reporting screen and close NewPipe _x000D_
4  Re open the app  The error now occurs _x000D_
_x000D_
 The live stream was set to upload as video after ending _x000D_
_x000D_
     Re opening an unlisted video (0 21 8)_x000D_
1  Played an unlisted YouTube video  from a link using NewPipe  The app may have been open already  so I am not certain if this was the earliest video in the stack  but it was the most recent _x000D_
2  Unfocus the app  NewPipe displayed the video on the lock screen (not playing)  so the application was open but not visible _x000D_
3  Re open the app  The error now occurs _x000D_
_x000D_
 The unlisted video still exists and was not removed _x000D_
_x000D_
    Actual behavior_x000D_
     Tell us what happens with the steps given above     _x000D_
On opening NewPipe  NewPipe immediately crashes and brings up the bug reporting screen  In both cases the crash log is identical except for the   Version   field (but you can find the more recent log in the comment below) _x000D_
_x000D_
    Expected behavior_x000D_
     Tell us what you expect to happen     _x000D_
The video livestream is re opened without an error _x000D_
_x000D_
    Logs_x000D_
     If your bug includes a crash (where you re shown the Error Report page with a bunch of info)  tap on  Copy formatted report  at the bottom and paste it here:    _x000D_
Error on app open following  Could not play stream  toast message and closing app  Produced on non root Android Marshmallow  Not logged in _x000D_
   Exception_x000D_
    User Action:   ui error_x000D_
    Request:   ACRA report_x000D_
    Content Country:   GB_x000D_
    Content Language:   en GB_x000D_
    App Language:   en GB_x000D_
    Service:   none_x000D_
    Version:   0 21 5_x000D_
    OS:   Linux  release keys 6 0   23_x000D_
 details  summary  b Crash log   b   summary  p _x000D_
_x000D_
   _x000D_
java lang NullPointerException: Attempt to invoke virtual method  long org schabi newpipe player playqueue PlayQueueItem getRecoveryPosition()  on a null object reference_x000D_
	at org schabi newpipe fragments detail VideoDetailFragment updateProgressInfo(VideoDetailFragment java:1644)_x000D_
	at org schabi newpipe fragments detail VideoDetailFragment handleResult(VideoDetailFragment java:1547)_x000D_
	at org schabi newpipe fragments detail VideoDetailFragment lambda runWorker 6(VideoDetailFragment java:893)_x000D_
	at org schabi newpipe fragments detail VideoDetailFragment lambda runWorker 6 VideoDetailFragment(VideoDetailFragment java)_x000D_
	at org schabi newpipe fragments detail    Lambda VideoDetailFragment X UcNln23jPsop2TvHe2VPTu0NQ accept(lambda)_x000D_
	at io reactivex rxjava3 internal observers ConsumerSingleObserver onSuccess(ConsumerSingleObserver java:62)_x000D_
	at io reactivex rxjava3 internal operators single SingleObserveOn ObserveOnSingleObserver run(SingleObserveOn java:81)_x000D_
	at io reactivex rxjava3 android schedulers HandlerScheduler ScheduledRunnable run(HandlerScheduler java:123)_x000D_
	at android os Handler handleCallback(Handler java:746)_x000D_
	at android os Handler dispatchMessage(Handler java:95)_x000D_
	at android os Looper loop(Looper java:148)_x000D_
	at android app ActivityThread main(ActivityThread java:5443)_x000D_
	at java lang reflect Method invoke(Native Method)_x000D_
	at com android internal os ZygoteInit MethodAndArgsCaller run(ZygoteInit java:728)_x000D_
	at com android internal os ZygoteInit main(ZygoteInit java:618)_x000D_
_x000D_
   _x000D_
  details _x000D_
 hr _x000D_
_x000D_
    Device info_x000D_
   Android version: 6 0_x000D_
   Device model: Motorola E (2nd Generation)</t>
  </si>
  <si>
    <t>TeamNewPipe-NewPipe-6651</t>
  </si>
  <si>
    <t>Using local extractor fails due to different gradle major version</t>
  </si>
  <si>
    <t>With the update to gradle 7 in https:  github com TeamNewPipe NewPipe pull 6538 using the  local extractor (https:  github com TeamNewPipe NewPipe blob dev settings gradle) is broken  because the extractor still uses  apply plugin:  maven   which was removed with gradle 7 _x000D_
_x000D_
 TacoTheDank Can you take a look into fixing this by upgrading the extractor too  It currently blocks me from trying to fix the throttling issues of youtube_x000D_
_x000D_
_x000D_
 details _x000D_
 summary Error message:  summary _x000D_
_x000D_
   log_x000D_
A problem occurred evaluating project  :NewPipeExtractor  _x000D_
  Plugin with id  maven  not found _x000D_
_x000D_
  Try:_x000D_
Run with   info or   debug option to get more log output  Run with   scan to get full insights _x000D_
_x000D_
  Exception is:_x000D_
org gradle api GradleScriptException: A problem occurred evaluating project  :NewPipeExtractor  _x000D_
	at org gradle groovy scripts internal DefaultScriptRunnerFactory ScriptRunnerImpl run(DefaultScriptRunnerFactory java:93)_x000D_
	at org gradle configuration DefaultScriptPluginFactory ScriptPluginImpl lambda apply 0(DefaultScriptPluginFactory java:133)_x000D_
	at org gradle configuration ProjectScriptTarget addConfiguration(ProjectScriptTarget java:77)_x000D_
	at org gradle configuration DefaultScriptPluginFactory ScriptPluginImpl apply(DefaultScriptPluginFactory java:136)_x000D_
	at org gradle configuration BuildOperationScriptPlugin 1 run(BuildOperationScriptPlugin java:65)_x000D_
	at org gradle internal operations DefaultBuildOperationRunner 1 execute(DefaultBuildOperationRunner java:29)_x000D_
	at org gradle internal operations DefaultBuildOperationRunner 1 execute(DefaultBuildOperationRunner java:26)_x000D_
	at org gradle internal operations DefaultBuildOperationRunner 3 execute(DefaultBuildOperationRunner java:75)_x000D_
	at org gradle internal operations DefaultBuildOperationRunner 3 execute(DefaultBuildOperationRunner java:68)_x000D_
	at org gradle internal operations DefaultBuildOperationRunner execute(DefaultBuildOperationRunner java:153)_x000D_
	at org gradle internal operations DefaultBuildOperationRunner execute(DefaultBuildOperationRunner java:68)_x000D_
	at org gradle internal operations DefaultBuildOperationRunner run(DefaultBuildOperationRunner java:56)_x000D_
	at org gradle internal operations DefaultBuildOperationExecutor lambda run 1(DefaultBuildOperationExecutor java:74)_x000D_
	at org gradle internal operations UnmanagedBuildOperationWrapper runWithUnmanagedSupport(UnmanagedBuildOperationWrapper java:45)_x000D_
	at org gradle internal operations DefaultBuildOperationExecutor run(DefaultBuildOperationExecutor java:74)_x000D_
	at org gradle configuration BuildOperationScriptPlugin lambda apply 0(BuildOperationScriptPlugin java:62)_x000D_
	at org gradle configuration internal DefaultUserCodeApplicationContext apply(DefaultUserCodeApplicationContext java:44)_x000D_
	at org gradle configuration BuildOperationScriptPlugin apply(BuildOperationScriptPlugin java:62)_x000D_
	at org gradle api internal project DefaultProjectStateRegistry ProjectStateImpl lambda applyToMutableState 0(DefaultProjectStateRegistry java:280)_x000D_
	at org gradle api internal project DefaultProjectStateRegistry ProjectStateImpl fromMutableState(DefaultProjectStateRegistry java:307)_x000D_
	at org gradle api internal project DefaultProjectStateRegistry ProjectStateImpl applyToMutableState(DefaultProjectStateRegistry java:279)_x000D_
	at org gradle configuration project BuildScriptProcessor execute(BuildScriptProcessor java:42)_x000D_
	at org gradle configuration project BuildScriptProcessor execute(BuildScriptProcessor java:26)_x000D_
	at org gradle configuration project ConfigureActionsProjectEvaluator evaluate(ConfigureActionsProjectEvaluator java:35)_x000D_
	at org gradle configuration project LifecycleProjectEvaluator EvaluateProject lambda run 0(LifecycleProjectEvaluator java:100)_x000D_
	at org gradle api internal project DefaultProjectStateRegistry ProjectStateImpl lambda applyToMutableState 0(DefaultProjectStateRegistry java:280)_x000D_
	at org gradle api internal project DefaultProjectStateRegistry ProjectStateImpl lambda withProjectLock 3(DefaultProjectStateRegistry java:340)_x000D_
	at org gradle internal work DefaultWorkerLeaseService withLocks(DefaultWorkerLeaseService java:213)_x000D_
	at org gradle api internal project DefaultProjectStateRegistry ProjectStateImpl withProjectLock(DefaultProjectStateRegistry java:340)_x000D_
	at org gradle api internal project DefaultProjectStateRegistry ProjectStateImpl lambda fromMutableState 2(DefaultProjectStateRegistry java:318)_x000D_
	at org gradle internal work DefaultWorkerLeaseService withoutLocks(DefaultWorkerLeaseService java:284)_x000D_
	at org gradle api internal project DefaultProjectStateRegistry ProjectStateImpl fromMutableState(DefaultProjectStateRegistry java:318)_x000D_
	at org gradle api internal project DefaultProjectStateRegistry ProjectStateImpl applyToMutableState(DefaultProjectStateRegistry java:279)_x000D_
	at org gradle configuration project LifecycleProjectEvaluator EvaluateProject run(LifecycleProjectEvaluator java:91)_x000D_
	at org gradle internal operations DefaultBuildOperationRunner 1 execute(DefaultBuildOperationRunner java:29)_x000D_
	at org gradle internal operations DefaultBuildOperationRunner 1 execute(DefaultBuildOperationRunner java:26)_x000D_
	at org gradle internal operations DefaultBuildOperationRunner 3 execute(DefaultBuildOperationRunner java:75)_x000D_
	at org gradle internal operations DefaultBuildOperationRunner 3 execute(DefaultBuildOperationRunner java:68)_x000D_
	at org gradle internal operations DefaultBuildOperationRunner execute(DefaultBuildOperationRunner java:153)_x000D_
	at org gradle internal operations DefaultBuildOperationRunner execute(DefaultBuildOperationRunner java:68)_x000D_
	at org gradle internal operations DefaultBuildOperationRunner run(DefaultBuildOperationRunner java:56)_x000D_
	at org gradle internal operations DefaultBuildOperationExecutor lambda run 1(DefaultBuildOperationExecutor java:74)_x000D_
	at org gradle internal operations UnmanagedBuildOperationWrapper runWithUnmanagedSupport(UnmanagedBuildOperationWrapper java:45)_x000D_
	at org gradle internal operations DefaultBuildOperationExecutor run(DefaultBuildOperationExecutor java:74)_x000D_
	at org gradle configuration project LifecycleProjectEvaluator evaluate(LifecycleProjectEvaluator java:63)_x000D_
	at org gradle api internal project DefaultProject evaluate(DefaultProject java:741)_x000D_
	at org gradle api internal project DefaultProject evaluate(DefaultProject java:149)_x000D_
	at org gradle api internal project DefaultProjectStateRegistry ProjectStateImpl ensureConfigured(DefaultProjectStateRegistry java:253)_x000D_
	at org gradle execution TaskPathProjectEvaluator configure(TaskPathProjectEvaluator java:41)_x000D_
	at org gradle execution TaskPathProjectEvaluator configureHierarchy(TaskPathProjectEvaluator java:55)_x000D_
	at org gradle configuration DefaultProjectsPreparer prepareProjects(DefaultProjectsPreparer java:50)_x000D_
	at org gradle configuration BuildTreePreparingProjectsPreparer prepareProjects(BuildTreePreparingProjectsPreparer java:64)_x000D_
	at org gradle configuration BuildOperationFiringProjectsPreparer ConfigureBuild run(BuildOperationFiringProjectsPreparer java:52)_x000D_
	at org gradle internal operations DefaultBuildOperationRunner 1 execute(DefaultBuildOperationRunner java:29)_x000D_
	at org gradle internal operations DefaultBuildOperationRunner 1 execute(DefaultBuildOperationRunner java:26)_x000D_
	at org gradle internal operations DefaultBuildOperationRunner 3 execute(DefaultBuildOperationRunner java:75)_x000D_
	at org gradle internal operations DefaultBuildOperationRunner 3 execute(DefaultBuildOperationRunner java:68)_x000D_
	at org gradle internal operations DefaultBuildOperationRunner execute(DefaultBuildOperationRunner java:153)_x000D_
	at org gradle internal operations DefaultBuildOperationRunner execute(DefaultBuildOperationRunner java:68)_x000D_
	at org gradle internal operations DefaultBuildOperationRunner run(DefaultBuildOperationRunner java:56)_x000D_
	at org gradle internal operations DefaultBuildOperationExecutor lambda run 1(DefaultBuildOperationExecutor java:74)_x000D_
	at org gradle internal operations UnmanagedBuildOperationWrapper runWithUnmanagedSupport(UnmanagedBuildOperationWrapper java:45)_x000D_
	at org gradle internal operations DefaultBuildOperationExecutor run(DefaultBuildOperationExecutor java:74)_x000D_
	at org gradle configuration BuildOperationFiringProjectsPreparer prepareProjects(BuildOperationFiringProjectsPreparer java:40)_x000D_
	at org gradle initialization VintageBuildModelController prepareProjects(VintageBuildModelController java:85)_x000D_
	at org gradle initialization VintageBuildModelController doBuildStages(VintageBuildModelController java:69)_x000D_
	at org gradle initialization VintageBuildModelController getConfiguredModel(VintageBuildModelController java:55)_x000D_
	at org gradle internal build DefaultBuildLifecycleController withModel(DefaultBuildLifecycleController java:134)_x000D_
	at org gradle internal build DefaultBuildLifecycleController getConfiguredBuild(DefaultBuildLifecycleController java:96)_x000D_
	at org gradle composite internal DefaultIncludedBuild getConfiguredBuild(DefaultIncludedBuild java:175)_x000D_
	at org gradle composite internal DefaultIncludedBuild Decorated getConfiguredBuild(Unknown Source)_x000D_
	at com android build gradle internal utils AgpVersionChecker enforceTheSamePluginVersions(agpVersionChecker kt:46)_x000D_
	at com android build gradle internal plugins BasePlugin basePluginApply(BasePlugin java:290)_x000D_
	at com android build gradle internal plugins BasePlugin lambda apply 0(BasePlugin java:260)_x000D_
	at com android build gradle internal crash CrashReporting runAction(crash reporting kt:27)_x000D_
	at com android build gradle internal plugins BasePlugin apply(BasePlugin java:258)_x000D_
	at com android build gradle internal plugins BasePlugin apply(BasePlugin java:141)_x000D_
	at org gradle api internal plugins ImperativeOnlyPluginTarget applyImperative(ImperativeOnlyPluginTarget java:43)_x000D_
	at org gradle api internal plugins RuleBasedPluginTarget applyImperative(RuleBasedPluginTarget java:51)_x000D_
	at org gradle api internal plugins DefaultPluginManager addPlugin(DefaultPluginManager java:187)_x000D_
	at org gradle api internal plugins DefaultPluginManager access 100(DefaultPluginManager java:52)_x000D_
	at org gradle api internal plugins DefaultPluginManager AddPluginBuildOperation run(DefaultPluginManager java:282)_x000D_
	at org gradle internal operations DefaultBuildOperationRunner 1 execute(DefaultBuildOperationRunner java:29)_x000D_
	at org gradle internal operations DefaultBuildOperationRunner 1 execute(DefaultBuildOperationRunner java:26)_x000D_
	at org gradle internal operations DefaultBuildOperationRunner 3 execute(DefaultBuildOperationRunner java:75)_x000D_
	at org gradle internal operations DefaultBuildOperationRunner 3 execute(DefaultBuildOperationRunner java:68)_x000D_
	at org gradle internal operations DefaultBuildOperationRunner execute(DefaultBuildOperationRunner java:153)_x000D_
	at org gradle internal operations DefaultBuildOperationRunner execute(DefaultBuildOperationRunner java:68)_x000D_
	at org gradle internal operations DefaultBuildOperationRunner run(DefaultBuildOperationRunner java:56)_x000D_
	at org gradle internal operations DefaultBuildOperationExecutor lambda run 1(DefaultBuildOperationExecutor java:74)_x000D_
	at org gradle internal operations UnmanagedBuildOperationWrapper runWithUnmanagedSupport(UnmanagedBuildOperationWrapper java:45)_x000D_
	at org gradle internal operations DefaultBuildOperationExecutor run(DefaultBuildOperationExecutor java:74)_x000D_
	at org gradle api internal plugins DefaultPluginManager lambda doApply 0(DefaultPluginManager java:167)_x000D_
	at org gradle configuration internal DefaultUserCodeApplicationContext apply(DefaultUserCodeApplicationContext java:44)_x000D_
	at org gradle api internal plugins DefaultPluginManager doApply(DefaultPluginManager java:166)_x000D_
	at org gradle api internal plugins DefaultPluginManager apply(DefaultPluginManager java:146)_x000D_
	at org gradle api internal plugins DefaultObjectConfigurationAction applyType(DefaultObjectConfigurationAction java:167)_x000D_
	at org gradle api internal plugins DefaultObjectConfigurationAction access 200(DefaultObjectConfigurationAction java:43)_x000D_
	at org gradle api internal plugins DefaultObjectConfigurationAction 3 run(DefaultObjectConfigurationAction java:98)_x000D_
	at org gradle api internal plugins DefaultObjectConfigurationAction execute(DefaultObjectConfigurationAction java:190)_x000D_
	at org gradle api internal project AbstractPluginAware apply(AbstractPluginAware java:49)_x000D_
	at com android build gradle AppPlugin apply(AppPlugin kt:29)_x000D_
	at com android build gradle AppPlugin apply(AppPlugin kt:25)_x000D_
	at org gradle api internal plugins ImperativeOnlyPluginTarget applyImperative(ImperativeOnlyPluginTarget java:43)_x000D_
	at org gradle api internal plugins RuleBasedPluginTarget applyImperative(RuleBasedPluginTarget java:51)_x000D_
	at org gradle api internal plugins DefaultPluginManager addPlugin(DefaultPluginManager java:187)_x000D_
	at org gradle api internal plugins DefaultPluginManager access 100(DefaultPluginManager java:52)_x000D_
	at org gradle api internal plugins DefaultPluginManager AddPluginBuildOperation run(DefaultPluginManager java:282)_x000D_
	at org gradle internal operations DefaultBuildOperationRunner 1 execute(DefaultBuildOperationRunner java:29)_x000D_
	at org gradle internal operations DefaultBuildOperationRunner 1 execute(DefaultBuildOperationRunner java:26)_x000D_
	at org gradle internal operations DefaultBuildOperationRunner 3 execute(DefaultBuildOperationRunner java:75)_x000D_
	at org gradle internal operations DefaultBuildOperationRunner 3 execute(DefaultBuildOperationRunner java:68)_x000D_
	at org gradle internal operations DefaultBuildOperationRunner execute(DefaultBuildOperationRunner java:153)_x000D_
	at org gradle internal operations DefaultBuildOperationRunner execute(DefaultBuildOperationRunner java:68)_x000D_
	at org gradle internal operations DefaultBuildOperationRunner run(DefaultBuildOperationRunner java:56)_x000D_
	at org gradle internal operations DefaultBuildOperationExecutor lambda run 1(DefaultBuildOperationExecutor java:74)_x000D_
	at org gradle internal operations UnmanagedBuildOperationWrapper runWithUnmanagedSupport(UnmanagedBuildOperationWrapper java:45)_x000D_
	at org gradle internal operations DefaultBuildOperationExecutor run(DefaultBuildOperationExecutor java:74)_x000D_
	at org gradle api internal plugins DefaultPluginManager lambda doApply 0(DefaultPluginManager java:167)_x000D_
	at org gradle configuration internal DefaultUserCodeApplicationContext apply(DefaultUserCodeApplicationContext java:44)_x000D_
	at org gradle api internal plugins DefaultPluginManager doApply(DefaultPluginManager java:166)_x000D_
	at org gradle api internal plugins DefaultPluginManager apply(DefaultPluginManager java:146)_x000D_
	at org gradle api internal plugins DefaultObjectConfigurationAction applyType(DefaultObjectConfigurationAction java:167)_x000D_
	at org gradle api internal plugins DefaultObjectConfigurationAction access 200(DefaultObjectConfigurationAction java:43)_x000D_
	at org gradle api internal plugins DefaultObjectConfigurationAction 3 run(DefaultObjectConfigurationAction java:98)_x000D_
	at org gradle api internal plugins DefaultObjectConfigurationAction execute(DefaultObjectConfigurationAction java:190)_x000D_
	at org gradle api internal project AbstractPluginAware apply(AbstractPluginAware java:49)_x000D_
	at org gradle api internal project ProjectScript apply(ProjectScript java:37)_x000D_
	at org gradle api Script apply callCurrent(Unknown Source)_x000D_
	at build dfldf361ev1py0dzqgbyjtld3 run(C: Users kaiserpudding projects NewPipe app build gradle:5)_x000D_
	at org gradle groovy scripts internal DefaultScriptRunnerFactory ScriptRunnerImpl run(DefaultScriptRunnerFactory java:91)_x000D_
	at org gradle configuration DefaultScriptPluginFactory ScriptPluginImpl lambda apply 0(DefaultScriptPluginFactory java:133)_x000D_
	at org gradle configuration ProjectScriptTarget addConfiguration(ProjectScriptTarget java:77)_x000D_
	at org gradle configuration DefaultScriptPluginFactory ScriptPluginImpl apply(DefaultScriptPluginFactory java:136)_x000D_
	at org gradle configuration BuildOperationScriptPlugin 1 run(BuildOperationScriptPlugin java:65)_x000D_
	at org gradle internal operations DefaultBuildOperationRunner 1 execute(DefaultBuildOperationRunner java:29)_x000D_
	at org gradle internal operations DefaultBuildOperationRunner 1 execute(DefaultBuildOperationRunner java:26)_x000D_
	at org gradle internal operations DefaultBuildOperationRunner 3 execute(DefaultBuildOperationRunner java:75)_x000D_
	at org gradle internal operations DefaultBuildOperationRunner 3 execute(DefaultBuildOperationRunner java:68)_x000D_
	at org gradle internal operations DefaultBuildOperationRunner execute(DefaultBuildOperationRunner java:153)_x000D_
	at org gradle internal operations DefaultBuildOperationRunner execute(DefaultBuildOperationRunner java:68)_x000D_
	at org gradle internal operations DefaultBuildOperationRunner run(DefaultBuildOperationRunner java:56)_x000D_
	at org gradle internal operations DefaultBuildOperationExecutor lambda run 1(DefaultBuildOperationExecutor java:74)_x000D_
	at org gradle internal operations UnmanagedBuildOperationWrapper runWithUnmanagedSupport(UnmanagedBuildOperationWrapper java:45)_x000D_
	at org gradle internal operations DefaultBuildOperationExecutor run(DefaultBuildOperationExecutor java:74)_x000D_
	at org gradle configuration BuildOperationScriptPlugin lambda apply 0(BuildOperationScriptPlugin java:62)_x000D_
	at org gradle configuration internal DefaultUserCodeApplicationContext apply(DefaultUserCodeApplicationContext java:44)_x000D_
	at org gradle configuration BuildOperationScriptPlugin apply(BuildOperationScriptPlugin java:62)_x000D_
	at org gradle api internal project DefaultProjectStateRegistry ProjectStateImpl lambda applyToMutableState 0(DefaultProjectStateRegistry java:280)_x000D_
	at org gradle api internal project DefaultProjectStateRegistry ProjectStateImpl fromMutableState(DefaultProjectStateRegistry java:307)_x000D_
	at org gradle api internal project DefaultProjectStateRegistry ProjectStateImpl applyToMutableState(DefaultProjectStateRegistry java:279)_x000D_
	at org gradle configuration project BuildScriptProcessor execute(BuildScriptProcessor java:42)_x000D_
	at org gradle configuration project BuildScriptProcessor execute(BuildScriptProcessor java:26)_x000D_
	at org gradle configuration project ConfigureActionsProjectEvaluator evaluate(ConfigureActionsProjectEvaluator java:35)_x000D_
	at org gradle configuration project LifecycleProjectEvaluator EvaluateProject lambda run 0(LifecycleProjectEvaluator java:100)_x000D_
	at org gradle api internal project DefaultProjectStateRegistry ProjectStateImpl lambda applyToMutableState 0(DefaultProjectStateRegistry java:280)_x000D_
	at org gradle api internal project DefaultProjectStateRegistry ProjectStateImpl lambda withProjectLock 3(DefaultProjectStateRegistry java:340)_x000D_
	at org gradle internal work DefaultWorkerLeaseService withLocks(DefaultWorkerLeaseService java:213)_x000D_
	at org gradle api internal project DefaultProjectStateRegistry ProjectStateImpl withProjectLock(DefaultProjectStateRegistry java:340)_x000D_
	at org gradle api internal project DefaultProjectStateRegistry ProjectStateImpl fromMutableState(DefaultProjectStateRegistry java:321)_x000D_
	at org gradle api internal project DefaultProjectStateRegistry ProjectStateImpl applyToMutableState(DefaultProjectStateRegistry java:279)_x000D_
	at org gradle configuration project LifecycleProjectEvaluator EvaluateProject run(LifecycleProjectEvaluator java:91)_x000D_
	at org gradle internal operations DefaultBuildOperationRunner 1 execute(DefaultBuildOperationRunner java:29)_x000D_
	at org gradle internal operations DefaultBuildOperationRunner 1 execute(DefaultBuildOperationRunner java:26)_x000D_
	at org gradle internal operations DefaultBuildOperationRunner 3 execute(DefaultBuildOperationRunner java:75)_x000D_
	at org gradle internal operations DefaultBuildOperationRunner 3 execute(DefaultBuildOperationRunner java:68)_x000D_
	at org gradle internal operations DefaultBuildOperationRunner execute(DefaultBuildOperationRunner java:153)_x000D_
	at org gradle internal operations DefaultBuildOperationRunner execute(DefaultBuildOperationRunner java:68)_x000D_
	at org gradle internal operations DefaultBuildOperationRunner run(DefaultBuildOperationRunner java:56)_x000D_
	at org gradle internal operations DefaultBuildOperationExecutor lambda run 1(DefaultBuildOperationExecutor java:74)_x000D_
	at org gradle internal operations UnmanagedBuildOperationWrapper runWithUnmanagedSupport(UnmanagedBuildOperationWrapper java:45)_x000D_
	at org gradle internal operations DefaultBuildOperationExecutor run(DefaultBuildOperationExecutor java:74)_x000D_
	at org gradle configuration project LifecycleProjectEvaluator evaluate(LifecycleProjectEvaluator java:63)_x000D_
	at org gradle api internal project DefaultProject evaluate(DefaultProject java:741)_x000D_
	at org gradle api internal project DefaultProject evaluate(DefaultProject java:149)_x000D_
	at org gradle api internal project DefaultProjectStateRegistry ProjectStateImpl ensureConfigured(DefaultProjectStateRegistry java:253)_x000D_
	at org gradle execution TaskPathProjectEvaluator configure(TaskPathProjectEvaluator java:41)_x000D_
	at org gradle execution TaskPathProjectEvaluator configureHierarchy(TaskPathProjectEvaluator java:57)_x000D_
	at org gradle configuration DefaultProjectsPreparer prepareProjects(DefaultProjectsPreparer java:50)_x000D_
	at org gradle configuration BuildTreePreparingProjectsPreparer prepareProjects(BuildTreePreparingProjectsPreparer java:64)_x000D_
	at org gradle configuration BuildOperationFiringProjectsPreparer ConfigureBuild run(BuildOperationFiringProjectsPreparer java:52)_x000D_
	at org gradle internal operations DefaultBuildOperationRunner 1 execute(DefaultBuildOperationRunner java:29)_x000D_
	at org gradle internal operations DefaultBuildOperationRunner 1 execute(DefaultBuildOperationRunner java:26)_x000D_
	at org gradle internal operations DefaultBuildOperationRunner 3 execute(DefaultBuildOperationRunner java:75)_x000D_
	at org gradle internal operations DefaultBuildOperationRunner 3 execute(DefaultBuildOperationRunner java:68)_x000D_
	at org gradle internal operations DefaultBuildOperationRunner execute(DefaultBuildOperationRunner java:153)_x000D_
	at org gradle internal operations DefaultBuildOperationRunner execute(DefaultBuildOperationRunner java:68)_x000D_
	at org gradle internal operations DefaultBuildOperationRunner run(DefaultBuildOperationRunner java:56)_x000D_
	at org gradle internal operations DefaultBuildOperationExecutor lambda run 1(DefaultBuildOperationExecutor java:74)_x000D_
	at org gradle internal operations UnmanagedBuildOperationWrapper runWithUnmanagedSupport(UnmanagedBuildOperationWrapper java:45)_x000D_
	at org gradle internal operations DefaultBuildOperationExecutor run(DefaultBuildOperationExecutor java:74)_x000D_
	at org gradle configuration BuildOperationFiringProjectsPreparer prepareProjects(BuildOperationFiringProjectsPreparer java:40)_x000D_
	at org gradle initialization VintageBuildModelController prepareProjects(VintageBuildModelController java:85)_x000D_
	at org gradle initialization VintageBuildModelController doBuildStages(VintageBuildModelController java:69)_x000D_
	at org gradle initialization VintageBuildModelController scheduleRequestedTasks(VintageBuildModelController java:61)_x000D_
	at org gradle internal build DefaultBuildLifecycleController lambda scheduleRequestedTasks 1(DefaultBuildLifecycleController java:112)_x000D_
	at org gradle internal build DefaultBuildLifecycleController withModel(DefaultBuildLifecycleController java:134)_x000D_
	at org gradle internal build DefaultBuildLifecycleController scheduleRequestedTasks(DefaultBuildLifecycleController java:110)_x000D_
	at org gradle internal buildtree DefaultBuildTreeLifecycleController lambda fromBuildModel 2(DefaultBuildTreeLifecycleController java:72)_x000D_
	at org gradle internal buildtree DefaultBuildTreeLifecycleController lambda doBuild 4(DefaultBuildTreeLifecycleController java:105)_x000D_
	at org gradle internal work DefaultWorkerLeaseService withLocks(DefaultWorkerLeaseService java:213)_x000D_
	at org gradle internal buildtree DefaultBuildTreeLifecycleController doBuild(DefaultBuildTreeLifecycleController java:99)_x000D_
	at org gradle internal buildtree DefaultBuildTreeLifecycleController fromBuildModel(DefaultBuildTreeLifecycleController java:70)_x000D_
	at org gradle tooling internal provider runner AbstractClientProvidedBuildActionRunner runClientAction(AbstractClientProvidedBuildActionRunner java:58)_x000D_
	at org gradle tooling internal provider runner ClientProvidedPhasedActionRunner run(ClientProvidedPhasedActionRunner java:52)_x000D_
	at org gradle launcher exec ChainingBuildActionRunner run(ChainingBuildActionRunner java:35)_x000D_
	at org gradle internal buildtree ProblemReportingBuildActionRunner run(ProblemReportingBuildActionRunner java:50)_x000D_
	at org gradle launcher exec BuildOutcomeReportingBuildActionRunner run(BuildOutcomeReportingBuildActionRunner java:69)_x000D_
	at org gradle tooling internal provider FileSystemWatchingBuildActionRunner run(FileSystemWatchingBuildActionRunner java:90)_x000D_
	at org gradle launcher exec BuildCompletionNotifyingBuildActionRunner run(BuildCompletionNotifyingBuildActionRunner java:41)_x000D_
	at org gradle launcher exec RootBuildLifecycleBuildActionExecutor lambda execute 0(RootBuildLifecycleBuildActionExecutor java:40)_x000D_
	at org gradle composite internal DefaultRootBuildState run(DefaultRootBuildState java:128)_x000D_
	at org gradle launcher exec RootBuildLifecycleBuildActionExecutor execute(RootBuildLifecycleBuildActionExecutor java:40)_x000D_
	at org gradle internal buildtree DefaultBuildTreeContext execute(DefaultBuildTreeContext java:40)_x000D_
	at org gradle launcher exec BuildTreeLifecycleBuildActionExecutor lambda execute 0(BuildTreeLifecycleBuildActionExecutor java:40)_x000D_
	at org gradle internal buildtree BuildTreeState run(BuildTreeState java:53)_x000D_
	at org gradle launcher exec BuildTreeLifecycleBuildActionExecutor execute(BuildTreeLifecycleBuildActionExecutor java:40)_x000D_
	at org gradle launcher exec RunAsBuildOperationBuildActionExecutor 3 call(RunAsBuildOperationBuildActionExecutor java:61)_x000D_
	at org gradle launcher exec RunAsBuildOperationBuildActionExecutor 3 call(RunAsBuildOperationBuildActionExecutor java:57)_x000D_
	at org gradle internal operations DefaultBuildOperationRunner CallableBuildOperationWorker execute(DefaultBuildOperationRunner java:200)_x000D_
	at org gradle internal operations DefaultBuildOperationRunner CallableBuildOperationWorker execute(DefaultBuildOperationRunner java:195)_x000D_
	at org gradle internal operations DefaultBuildOperationRunner 3 execute(DefaultBuildOperationRunner java:75)_x000D_
	at org gradle internal operations DefaultBuildOperationRunner 3 execute(DefaultBuildOperationRunner java:68)_x000D_
	at org gradle internal operations DefaultBuildOperationRunner execute(DefaultBuildOperationRunner java:153)_x000D_
	at org gradle internal operations DefaultBuildOperationRunner execute(DefaultBuildOperationRunner java:68)_x000D_
	at org gradle internal operations DefaultBuildOperationRunner call(DefaultBuildOperationRunner java:62)_x000D_
	at org gradle internal operations DefaultBuildOperationExecutor lambda call 2(DefaultBuildOperationExecutor java:79)_x000D_
	at org gradle internal operations UnmanagedBuildOperationWrapper callWithUnmanagedSupport(UnmanagedBuildOperationWrapper java:54)_x000D_
	at org gradle internal operations DefaultBuildOperationExecutor call(DefaultBuildOperationExecutor java:79)_x000D_
	at org gradle launcher exec RunAsBuildOperationBuildActionExecutor execute(RunAsBuildOperationBuildActionExecutor java:57)_x000D_
	at org gradle tooling internal provider ContinuousBuildActionExecutor execute(ContinuousBuildActionExecutor java:103)_x000D_
	at org gradle tooling internal provider SubscribableBuildActionExecutor execute(SubscribableBuildActionExecutor java:64)_x000D_
	at org gradle internal session DefaultBuildSessionContext execute(DefaultBuildSessionContext java:46)_x000D_
	at org gradle tooling internal provider BuildSessionLifecycleBuildActionExecuter lambda execute 0(BuildSessionLifecycleBuildActionExecuter java:55)_x000D_
	at org gradle internal session BuildSessionState run(BuildSessionState java:69)_x000D_
	at org gradle tooling internal provider BuildSessionLifecycleBuildActionExecuter execute(BuildSessionLifecycleBuildActionExecuter java:54)_x000D_
	at org gradle tooling internal provider BuildSessionLifecycleBuildActionExecuter execute(BuildSessionLifecycleBuildActionExecuter java:36)_x000D_
	at org gradle tooling internal provider GradleThreadBuildActionExecuter execute(GradleThreadBuildActionExecuter java:36)_x000D_
	at org gradle tooling internal provider GradleThreadBuildActionExecuter execute(GradleThreadBuildActionExecuter java:25)_x000D_
	at org gradle tooling internal provider StartParamsValidatingActionExecuter execute(StartParamsValidatingActionExecuter java:63)_x000D_
	at org gradle tooling internal provider StartParamsValidatingActionExecuter execute(StartParamsValidatingActionExecuter java:31)_x000D_
	at org gradle tooling internal provider SessionFailureReportingActionExecuter execute(SessionFailureReportingActionExecuter java:58)_x000D_
	at org gradle tooling internal provider SessionFailureReportingActionExecuter execute(SessionFailureReportingActionExecuter java:42)_x000D_
	at org gradle tooling internal provider SetupLoggingActionExecuter execute(SetupLoggingActionExecuter java:47)_x000D_
	at org gradle tooling internal provider SetupLoggingActionExecuter execute(SetupLoggingActionExecuter java:31)_x000D_
	at org gradle launcher daemon server exec ExecuteBuild doBuild(ExecuteBuild java:65)_x000D_
	at org gradle launcher daemon server exec BuildCommandOnly execute(BuildCommandOnly java:37)_x000D_
	at org gradle launcher daemon server api DaemonCommandExecution proceed(DaemonCommandExecution java:104)_x000D_
	at org gradle launcher daemon server exec WatchForDisconnection execute(WatchForDisconnection java:39)_x000D_
	at org gradle launcher daemon server api DaemonCommandExecution proceed(DaemonCommandExecution java:104)_x000D_
	at org gradle launcher daemon server exec ResetDeprecationLogger execute(ResetDeprecationLogger java:29)_x000D_
	at org gradle launcher daemon server api DaemonCommandExecution proceed(DaemonCommandExecution java:104)_x000D_
	at org gradle launcher daemon server exec RequestStopIfSingleUsedDaemon execute(RequestStopIfSingleUsedDaemon java:35)_x000D_
	at org gradle launcher daemon server api DaemonCommandExecution proceed(DaemonCommandExecution java:104)_x000D_
	at org gradle launcher daemon server exec ForwardClientInput 2 create(ForwardClientInput java:78)_x000D_
	at org gradle launcher daemon server exec ForwardClientInput 2 create(ForwardClientInput java:75)_x000D_
	at org gradle util internal Swapper swap(Swapper java:38)_x000D_
	at org gradle launcher daemon server exec ForwardClientInput execute(ForwardClientInput java:75)_x000D_
	at org gradle launcher daemon server api DaemonCommandExecution proceed(DaemonCommandExecution java:104)_x000D_
	at org gradle launcher daemon server exec LogAndCheckHealth execute(LogAndCheckHealth java:55)_x000D_
	at org gradle launcher daemon server api DaemonCommandExecution proceed(DaemonCommandExecution java:104)_x000D_
	at org gradle launcher daemon server exec LogToClient doBuild(LogToClient java:63)_x000D_
	at org gradle launcher daemon server exec BuildCommandOnly execute(BuildCommandOnly java:37)_x000D_
	at org gradle launcher daemon server api DaemonCommandExecution proceed(DaemonCommandExecution java:104)_x000D_
	at org gradle launcher daemon server exec EstablishBuildEnvironment doBuild(EstablishBuildEnvironment java:84)_x000D_
	at org gradle launcher daemon server exec BuildCommandOnly execute(BuildCommandOnly java:37)_x000D_
	at org gradle launcher daemon server api DaemonCommandExecution proceed(DaemonCommandExecution java:104)_x000D_
	at org gradle launcher daemon server exec StartBuildOrRespondWithBusy 1 run(StartBuildOrRespondWithBusy java:52)_x000D_
	at org gradle launcher daemon server DaemonStateCoordinator 1 run(DaemonStateCoordinator java:297)_x000D_
	at org gradle internal concurrent ExecutorPolicy CatchAndRecordFailures onExecute(ExecutorPolicy java:64)_x000D_
	at org gradle internal concurrent ManagedExecutorImpl 1 run(ManagedExecutorImpl java:48)_x000D_
	at org gradle internal concurrent ThreadFactoryImpl ManagedThreadRunnable run(ThreadFactoryImpl java:56)_x000D_
Caused by: org gradle api plugins UnknownPluginException: Plugin with id  maven  not found _x000D_
	at org gradle api internal plugins DefaultPluginManager apply(DefaultPluginManager java:144)_x000D_
	at org gradle api internal plugins DefaultObjectConfigurationAction applyType(DefaultObjectConfigurationAction java:167)_x000D_
	at org gradle api internal plugins DefaultObjectConfigurationAction access 200(DefaultObjectConfigurationAction java:43)_x000D_
	at org gradle api internal plugins DefaultObjectConfigurationAction 3 run(DefaultObjectConfigurationAction java:98)_x000D_
	at org gradle api internal plugins DefaultObjectConfigurationAction execute(DefaultObjectConfigurationAction java:190)_x000D_
	at org gradle api internal project AbstractPluginAware apply(AbstractPluginAware java:49)_x000D_
	at org gradle internal metaobject BeanDynamicObject MetaClassAdapter invokeMethod(BeanDynamicObject java:484)_x000D_
	at org gradle internal metaobject BeanDynamicObject tryInvokeMethod(BeanDynamicObject java:196)_x000D_
	at org gradle internal metaobject CompositeDynamicObject tryInvokeMethod(CompositeDynamicObject java:98)_x000D_
	at org gradle internal extensibility MixInClosurePropertiesAsMethodsDy</t>
  </si>
  <si>
    <t>TacoTheDank-Scoop-21</t>
  </si>
  <si>
    <t>Not showing the log when contentoverload is crashing an app</t>
  </si>
  <si>
    <t>I crashed an app using contentoverload  Basically I mske it so that when I try to load too many stuf or a browser has too many tabs open  it crashes  This app doesn t recognize the crash when I do that</t>
  </si>
  <si>
    <t>TeamNewPipe-NewPipe-6650</t>
  </si>
  <si>
    <t>After Feed Update, Requires Manual Scroll Up to show Latest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</si>
  <si>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6 (pre release)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Reproduce:_x000D_
 Bug Introduced in v0 21 6 (pre release) _x000D_
 Note: This issue is created as per https:  github com TeamNewPipe NewPipe issues 6577 issuecomment 877654793 on TobiGr s request https:  github com TeamNewPipe NewPipe issues 6577 issuecomment 878303609 _x000D_
_x000D_
1  Go to what s new section _x000D_
2  Pull down to refresh _x000D_
3  (If new videos are available) You have to manually scroll up to see the latest videos _x000D_
_x000D_
_x000D_
_x000D_
    Actual behavior_x000D_
     Tell us what happens with the steps given above     _x000D_
_x000D_
https:  user images githubusercontent com 50160188 125167877 60de0480 e1c2 11eb 88e4 115c6c0b2598 mp4_x000D_
_x000D_
   Ignore   the video pattern change  I don t know why that happened _x000D_
_x000D_
  Problem of Interest:  _x000D_
 Before refresh: _x000D_
First video:  Dear Apple _x000D_
_x000D_
 After refresh: _x000D_
First Video: (is still)  Dear Apple _x000D_
Until you manually scroll up  You ll see new video above it _x000D_
_x000D_
    Expected behavior_x000D_
     Tell us what you expect to happen     _x000D_
After feed update  app must show latest videos at first  (without having to manually scroll)_x000D_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 Pie_x000D_
   Device model: Huawei Nova 3i_x000D_
</t>
  </si>
  <si>
    <t>PojavLauncherTeam-PojavLauncher-1667</t>
  </si>
  <si>
    <t>[BUG] Blazingpack Client Crash</t>
  </si>
  <si>
    <t xml:space="preserve">    _x000D_
I wanna try blazingpack client (Banned client on hypixel) on cracked servers or no anti cheat servers _x000D_
   _x000D_
_x000D_
    Describe the bug_x000D_
when i run blazingpack client it just  Game Exited _x000D_
_x000D_
 latestlog txt (https:  github com PojavLauncherTeam PojavLauncher files 6800115 latestlog txt)_x000D_
_x000D_
_x000D_
    To Reproduce:_x000D_
Indicate steps to reproduce the buggy behavior:_x000D_
_x000D_
1  Start PojavLauncher_x000D_
     (Downloading blazingpack client copy to  minecraft     version) _x000D_
_x000D_
    Expected behavior:_x000D_
I expected No crash information_x000D_
_x000D_
    Screenshots or videos:_x000D_
_x000D_
https:  user images githubusercontent com 84659033 125265443 6dd03480 e337 11eb 9455 037110ecf641 mp4_x000D_
_x000D_
_x000D_
  Platform:  _x000D_
   Device Model  Acer Chromebook 714 _x000D_
   CPU architecture  x86 64  _x000D_
   Android Version  9 _x000D_
   PojavLauncher Version  Latest Release    version 3 3 1 1 rel 20210321  </t>
  </si>
  <si>
    <t>opensrp-opensrp-client-giz-malawi-402</t>
  </si>
  <si>
    <t>App crash when trying to access the client profile</t>
  </si>
  <si>
    <t xml:space="preserve">v 0 3 0 debug_x000D_
_x000D_
   x  From the Main OPD register  when the user taps on a patient who was seen today  the app crashes  This is happening only for female patients  </t>
  </si>
  <si>
    <t>cgeo-cgeo-11185</t>
  </si>
  <si>
    <t>Crash when clicking on cache in live map</t>
  </si>
  <si>
    <t xml:space="preserve">Beta user reported that sometimes (not reproducible) the app crashes when he clicks on a cache on live map to open its popup _x000D_
Started with beta update _x000D_
_x000D_
Log shows:_x000D_
   _x000D_
07 11 11:30:43 032 20961 20961 E AndroidRuntime: FATAL EXCEPTION: main_x000D_
07 11 11:30:43 032 20961 20961 E AndroidRuntime: Process: cgeo geocaching  PID: 20961_x000D_
07 11 11:30:43 032 20961 20961 E AndroidRuntime: java lang ArrayIndexOutOfBoundsException: length 506  index 506_x000D_
07 11 11:30:43 032 20961 20961 E AndroidRuntime: 	at java util concurrent CopyOnWriteArrayList get(CopyOnWriteArrayList java:380)_x000D_
07 11 11:30:43 032 20961 20961 E AndroidRuntime: 	at java util concurrent CopyOnWriteArrayList get(CopyOnWriteArrayList java:393)_x000D_
07 11 11:30:43 032 20961 20961 E AndroidRuntime: 	at org mapsforge map layer Layers get(Layers java:336)_x000D_
07 11 11:30:43 032 20961 20961 E AndroidRuntime: 	at org mapsforge map android input TouchGestureHandler onSingleTapConfirmed(TouchGestureHandler java:263)_x000D_
07 11 11:30:43 032 20961 20961 E AndroidRuntime: 	at android view GestureDetector GestureHandler handleMessage(GestureDetector java:345)_x000D_
07 11 11:30:43 032 20961 20961 E AndroidRuntime: 	at android os Handler dispatchMessage(Handler java:107)_x000D_
07 11 11:30:43 032 20961 20961 E AndroidRuntime: 	at android os Looper loop(Looper java:237)_x000D_
07 11 11:30:43 032 20961 20961 E AndroidRuntime: 	at android app ActivityThread main(ActivityThread java:8167)_x000D_
07 11 11:30:43 032 20961 20961 E AndroidRuntime: 	at java lang reflect Method invoke(Native Method)_x000D_
07 11 11:30:43 032 20961 20961 E AndroidRuntime: 	at com android internal os RuntimeInit MethodAndArgsCaller run(RuntimeInit java:496)_x000D_
07 11 11:30:43 032 20961 20961 E AndroidRuntime: 	at com android internal os ZygoteInit main(ZygoteInit java:1100)_x000D_
   _x000D_
_x000D_
Sys info:_x000D_
   _x000D_
   System information_x000D_
_x000D_
c:geo version: 2021 07 10 RC_x000D_
_x000D_
Device:_x000D_
       _x000D_
  Device type: SM G960F (starltexx  samsung)_x000D_
  Available processors: 8_x000D_
  Android version: 10_x000D_
  Android build: QP1A 190711 020 G960FXXUFFUE1_x000D_
  Screen resolution: 1440x2768px (360x668dp)_x000D_
  Sailfish OS detected: false_x000D_
  Google Play services: enabled   21 21 16 (120408 378233385)_x000D_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Hide caches: own  foundarchived_x000D_
  Hide waypoints:  _x000D_
  Set language: de DE (system default)_x000D_
  System date format: dd MM yy_x000D_
  Debug mode active: no_x000D_
  Live map mode: true_x000D_
  OSM multi threading: true   threads: 4_x000D_
  Global filter: display all caches_x000D_
  Last backup: 26  Apr  2020  11:18_x000D_
  Routing mode: Walk_x000D_
  Settings: v5  Count:171_x000D_
  Map: Kombiniert (Offline)_x000D_
  Id: cgeo geocaching maps mapsforge MapsforgeMapProvider OfflineMultiMapSource_x000D_
  Atts: alps map:   Map data (c) OpenStreetMap contributors     austria map:   Map data (c) OpenStreetMap contributors     baden wuerttemberg map:   Map data (c) OpenStreetMap contributors     bayern map:   Map data (c) OpenStreetMap contributors     hessen map:   Map data (c) OpenStreetMap contributors     rheinland pfalz map:   Map data (c) OpenStreetMap contributors_x000D_
  Theme: none_x000D_
_x000D_
Services:_x000D_
       _x000D_
  Geocaching sites enabled:_x000D_
geocaching com: Logged in (Anmeldung OK)   PREMIUM_x000D_
extremcaching com: Logged in (Anmeldung OK)_x000D_
Geocaching com Adventure Lab_x000D_
opencaching de: Logged in (Anmeldung OK)_x000D_
  Geocaching com date format: dd MM yyyy_x000D_
  Routing: external   BRouter installed: true_x000D_
  Installed c:geo plugins: contacts_x000D_
_x000D_
Permissions   paths:_x000D_
       _x000D_
  Fine location permission: granted_x000D_
  Write external storage permission: granted_x000D_
  System internal c:geo dir:  data user 0 cgeo geocaching (1 7 GB free) v2 internal isDir(6 entries)_x000D_
  Legacy User storage c:geo dir:  storage emulated 0 cgeo (1 7 GB free) v2 external non removable isDir(7 entries)_x000D_
  Geocache data:  storage emulated 0 Android data cgeo geocaching files GeocacheData (1 7 GB free) v2 external non removable isDir(2434 entries)_x000D_
  Internal theme sync (is turned off):  data user 0 cgeo geocaching MapThemeData (1 7 GB free) v2 internal isDir(0 entries)_x000D_
  Public Folders:  11_x000D_
  BASE:  cgeo (User Defined)  cgeo DOCUMENT 0:p content:  com android externalstorage documents tree primary 3Acgeo::   (Uri: content:  com android externalstorage documents tree primary 3Acgeo document primary 3Acgeo  Av:true  files:  11  dirs:  9  totalFileSize:  14 4 MB  free space: 1 7 GB  files on device: 1740800)_x000D_
  OFFLINE MAPS:  Locus maps (User Defined)  Locus maps DOCUMENT 0:p content:  com android externalstorage documents tree primary 3ALocus 2Fmaps::   (Uri: content:  com android externalstorage documents tree primary 3ALocus 2Fmaps document primary 3ALocus 2Fmaps  Av:true  files:12  dirs:1  totalFileSize:3 2 GB  free space: 1 7 GB  files on device: 1740800)_x000D_
  OFFLINE MAP THEMES:  Locus maps  themes (Default)  Locus maps  themes PERSISTABLE FOLDER(OFFLINE MAPS) 1:p content:  com android externalstorage documents tree primary 3ALocus 2Fmaps::  themes   (Uri: content:  com android externalstorage documents tree primary 3ALocus 2Fmaps document primary 3ALocus 2Fmaps 2F themes  Av:true  files:0  dirs:0  totalFileSize:0 B  free space: 1 7 GB  files on device: 1740800)_x000D_
  LOGFILES:  cgeo logfiles (Default)  cgeo logfiles PERSISTABLE FOLDER(BASE) 1:p content:  com android externalstorage documents tree primary 3Acgeo:: logfiles   (Uri: content:  com android externalstorage documents tree primary 3Acgeo document primary 3Acgeo 2Flogfiles  Av:true  files:2  dirs:0  totalFileSize:974 3 KB  free space: 1 7 GB  files on device: 1740800)_x000D_
  GPX:  cgeo gpx (Default)  cgeo gpx PERSISTABLE FOLDER(BASE) 1:p content:  com android externalstorage documents tree primary 3Acgeo:: gpx   (Uri: content:  com android externalstorage documents tree primary 3Acgeo document primary 3Acgeo 2Fgpx  Av:true  files:47  dirs:0  totalFileSize:23 2 MB  free space: 1 7 GB  files on device: 1740800)_x000D_
  BACKUP:  cgeo backup (Default)  cgeo backup PERSISTABLE FOLDER(BASE) 1:p content:  com android externalstorage documents tree primary 3Acgeo:: backup   (Uri: content:  com android externalstorage documents tree primary 3Acgeo document primary 3Acgeo 2Fbackup  Av:true  files:2  dirs:1  totalFileSize:13 4 MB  free space: 1 7 GB  files on device: 1740800)_x000D_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files:0  dirs:0  totalFileSize:0 B  free space: 1 7 GB  files on device: 1740800)_x000D_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1 7 GB  files on device: 1740800)_x000D_
  ROUTING BASE:  cgeo routing (Default)  cgeo routing PERSISTABLE FOLDER(BASE) 1:p content:  com android externalstorage documents tree primary 3Acgeo:: routing   (Uri: content:  com android externalstorage documents tree primary 3Acgeo document primary 3Acgeo 2Frouting  Av:true  files:7  dirs:1  totalFileSize:81 2 KB  free space: 1 7 GB  files on device: 1740800)_x000D_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files:0  dirs:0  totalFileSize:0 B  free space: 1 7 GB  files on device: 1740800)_x000D_
  TEST FOLDER:  Legacy  data user 0 cgeo geocaching files unittest (Default)  data user 0 cgeo geocaching files unittest FILE 1:p file:   data user 0 cgeo geocaching files:: unittest   (Uri: file:   data user 0 cgeo geocaching files unittest  Av:true  files:0  dirs:0  totalFileSize:0 B  free space: 1 7 GB  files on device:  1)_x000D_
  Map render theme path:_x000D_
  PersistedDocumentUris:  1_x000D_
  TRACK: null_x000D_
  Persisted Uri Permissions:  2_x000D_
  content:  com android externalstorage documents tree primary 3ALocus 2Fmaps (21  M rz  10:41):RW_x000D_
  content:  com android externalstorage documents tree primary 3Acgeo (21  M rz  10:40):RW_x000D_
  Database:  data user 0 cgeo geocaching databases data (v95  Size:89 7 MB) on system internal storage_x000D_
_x000D_
    End of system information    _x000D_
_x000D_
   </t>
  </si>
  <si>
    <t>cgeo-cgeo-11184</t>
  </si>
  <si>
    <t>Cannot update offline map files</t>
  </si>
  <si>
    <t xml:space="preserve">A beta users reports  that c:geo crashes when he follows the update notification for the offline map _x000D_
_x000D_
_x000D_
   c:geo version _x000D_
     You will find the c:geo version in c:geo Menu    About c:geo    _x000D_
2021 07 10 RC_x000D_
_x000D_
_x000D_
   System information _x000D_
     Attach system information here if available (see c:geo Menu    About c:geo    Swipe right to System)    _x000D_
     Keep the apostrophe at beginning and end to have it properly formatted    _x000D_
_x000D_
_x000D_
   _x000D_
   System information_x000D_
_x000D_
c:geo version: 2021 07 10 RC_x000D_
_x000D_
Device:_x000D_
       _x000D_
  Device type: SM G960F (starlteeea  samsung)_x000D_
  Available processors: 8_x000D_
  Android version: 10_x000D_
  Android build: QP1A 190711 020 G960FXXUFFUE1_x000D_
  Screen resolution: 1080x2076px (360x668dp)_x000D_
  Sailfish OS detected: false_x000D_
  Google Play services: enabled   21 21 16 (120408 378233385)_x000D_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Hide caches: foundarchived_x000D_
  Hide waypoints: visited_x000D_
  Set language: de_x000D_
  System date format: dd MM yy_x000D_
  Debug mode active: no_x000D_
  Live map mode: false_x000D_
  OSM multi threading: true   threads: 4_x000D_
  Global filter: display all caches_x000D_
  Last backup: 11  Juli  13:47_x000D_
  Routing mode: Off_x000D_
  Settings: v5  Count:158_x000D_
  Map: Germany (Offline)_x000D_
  Id: cgeo geocaching maps mapsforge MapsforgeMapProvider OfflineMapSource:3735 3561:cgeo Maps germany map_x000D_
  Atts: Map data (c) OpenStreetMap contributors_x000D_
  Theme: fzk outdoor soft v5 zip:fzk outdoor soft v5 fzk outdoor soft v5 xml_x000D_
_x000D_
Services:_x000D_
       _x000D_
  Geocaching sites enabled:_x000D_
geocaching com: Logged in (Anmeldung OK)   PREMIUM_x000D_
Geocaching com Adventure Lab_x000D_
  Geocaching com date format: MM dd yyyy_x000D_
  Routing: external   BRouter installed: true_x000D_
  Installed c:geo plugins: contacts_x000D_
_x000D_
Permissions   paths:_x000D_
       _x000D_
  Fine location permission: granted_x000D_
  Write external storage permission: granted_x000D_
  System internal c:geo dir:  data user 0 cgeo geocaching (15 9 GB free) v2 internal isDir(8 entries)_x000D_
  Legacy User storage c:geo dir:  storage emulated 0 cgeo (15 9 GB free) v2 external non removable isDir(7 entries)_x000D_
  Geocache data:  storage emulated 0 Android data cgeo geocaching files GeocacheData (15 9 GB free) v2 external non removable isDir(2924 entries)_x000D_
  Internal theme sync (is turned off):  data user 0 cgeo geocaching MapThemeData (15 9 GB free) v2 internal isDir(0 entries)_x000D_
  Public Folders:  11_x000D_
  BASE:  cgeo (User Defined)  cgeo DOCUMENT 0:p content:  com android externalstorage documents tree primary 3Acgeo::   (Uri: content:  com android externalstorage documents tree primary 3Acgeo document primary 3Acgeo  Av:true  files:  7  dirs:  8  totalFileSize:  81 2 KB  free space: 15 9 GB  files on device: 1740800)_x000D_
  OFFLINE MAPS: SD Karte cgeo Maps (User Defined) SD Karte cgeo Maps DOCUMENT 0:p content:  com android externalstorage documents tree 3735 3561 3Acgeo 2FMaps::   (Uri: content:  com android externalstorage documents tree 3735 3561 3Acgeo 2FMaps document 3735 3561 3Acgeo 2FMaps  Av:true  files:5  dirs:1  totalFileSize:3 2 GB  free space: 89 1 GB  files on device: 0)_x000D_
  OFFLINE MAP THEMES: SD Karte cgeo Themes (User Defined) SD Karte cgeo Themes DOCUMENT 0:p content:  com android externalstorage documents tree 3735 3561 3Acgeo 2FThemes::   (Uri: content:  com android externalstorage documents tree 3735 3561 3Acgeo 2FThemes document 3735 3561 3Acgeo 2FThemes  Av:true  files:6  dirs:0  totalFileSize:1 2 MB  free space: 89 1 GB  files on device: 0)_x000D_
  LOGFILES:  cgeo logfiles (Default)  cgeo logfiles PERSISTABLE FOLDER(BASE) 1:p content:  com android externalstorage documents tree primary 3Acgeo:: logfiles   (Uri: content:  com android externalstorage documents tree primary 3Acgeo document primary 3Acgeo 2Flogfiles  Av:true  files:5  dirs:0  totalFileSize:29 4 MB  free space: 15 9 GB  files on device: 1740800)_x000D_
  GPX: Downloads:msd 19805 (User Defined) Downloads:msd 19805 DOCUMENT 0:p content:  com android providers downloads documents tree msd 3A19805::   (Uri: content:  com android providers downloads documents tree msd 3A19805 document msd 3A19805  Av:true  files:5  dirs:0  totalFileSize:110 2 MB  free space: 15 9 GB  files on device: 1740800)_x000D_
  BACKUP:  cgeo backup (Default)  cgeo backup PERSISTABLE FOLDER(BASE) 1:p content:  com android externalstorage documents tree primary 3Acgeo:: backup   (Uri: content:  com android externalstorage documents tree primary 3Acgeo document primary 3Acgeo 2Fbackup  Av:true  files:6  dirs:3  totalFileSize:525 7 MB  free space: 15 9 GB  files on device: 1740800)_x000D_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files:0  dirs:0  totalFileSize:0 B  free space: 15 9 GB  files on device: 1740800)_x000D_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15 9 GB  files on device: 1740800)_x000D_
  ROUTING BASE:  cgeo routing (Default)  cgeo routing PERSISTABLE FOLDER(BASE) 1:p content:  com android externalstorage documents tree primary 3Acgeo:: routing   (Uri: content:  com android externalstorage documents tree primary 3Acgeo document primary 3Acgeo 2Frouting  Av:true  files:7  dirs:1  totalFileSize:81 2 KB  free space: 15 9 GB  files on device: 1740800)_x000D_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files:0  dirs:0  totalFileSize:0 B  free space: 15 9 GB  files on device: 1740800)_x000D_
  TEST FOLDER:  Legacy  data user 0 cgeo geocaching files unittest (Default)  data user 0 cgeo geocaching files unittest FILE 1:p file:   data user 0 cgeo geocaching files:: unittest   (Uri: file:   data user 0 cgeo geocaching files unittest  Av:true  files:0  dirs:0  totalFileSize:0 B  free space: 15 9 GB  files on device:  1)_x000D_
  Map render theme path: fzk outdoor soft v5 zip:fzk outdoor soft v5 fzk outdoor soft v5 xml_x000D_
  PersistedDocumentUris:  1_x000D_
  TRACK: null_x000D_
  Persisted Uri Permissions:  4_x000D_
  content:  com android providers downloads documents tree msd 3A19805 (19  Apr   21:44):RW_x000D_
  content:  com android externalstorage documents tree 3735 3561 3Acgeo 2FThemes (27  Apr   00:24):RW_x000D_
  content:  com android externalstorage documents tree primary 3Acgeo (21  M rz  15:58):RW_x000D_
  content:  com android externalstorage documents tree 3735 3561 3Acgeo 2FMaps (26  Apr   23:41):RW_x000D_
  Database:  data user 0 cgeo geocaching databases data (v95  Size:201 5 MB) on system internal storage_x000D_
_x000D_
    End of system information    _x000D_
   _x000D_
_x000D_
   Additional context _x000D_
     (optional  remove if not applicable) log files  reference to other similar issues  projects  sources  etc     _x000D_
Log file has this:_x000D_
   _x000D_
07 11 13:47:58 357 21348 21348 E AndroidRuntime: FATAL EXCEPTION: main_x000D_
07 11 13:47:58 357 21348 21348 E AndroidRuntime: Process: cgeo geocaching  PID: 21348_x000D_
07 11 13:47:58 357 21348 21348 E AndroidRuntime: android os NetworkOnMainThreadException_x000D_
07 11 13:47:58 357 21348 21348 E AndroidRuntime: 	at android os Parcel createException(Parcel java:2098)_x000D_
07 11 13:47:58 357 21348 21348 E AndroidRuntime: 	at android os Parcel readException(Parcel java:2056)_x000D_
07 11 13:47:58 357 21348 21348 E AndroidRuntime: 	at android database DatabaseUtils readExceptionFromParcel(DatabaseUtils java:188)_x000D_
07 11 13:47:58 357 21348 21348 E AndroidRuntime: 	at android database DatabaseUtils readExceptionFromParcel(DatabaseUtils java:140)_x000D_
07 11 13:47:58 357 21348 21348 E AndroidRuntime: 	at android content ContentProviderProxy insert(ContentProviderNative java:481)_x000D_
07 11 13:47:58 357 21348 21348 E AndroidRuntime: 	at android content ContentResolver insert(ContentResolver java:1835)_x000D_
07 11 13:47:58 357 21348 21348 E AndroidRuntime: 	at android app DownloadManager enqueue(DownloadManager java:1544)_x000D_
07 11 13:47:58 357 21348 21348 E AndroidRuntime: 	at cgeo geocaching downloader DownloaderUtils CheckForDownloadsTask lambda onPostExecuteInternal 0(DownloaderUtils java:303)_x000D_
07 11 13:47:58 357 21348 21348 E AndroidRuntime: 	at cgeo geocaching downloader    Lambda DownloaderUtils CheckForDownloadsTask FLWPWkG6wcn0q3pCXeEgr9guA1o onClick(Unknown Source:6)_x000D_
07 11 13:47:58 357 21348 21348 E AndroidRuntime: 	at androidx appcompat app AlertController ButtonHandler handleMessage(AlertController java:167)_x000D_
07 11 13:47:58 357 21348 21348 E AndroidRuntime: 	at android os Handler dispatchMessage(Handler java:107)_x000D_
07 11 13:47:58 357 21348 21348 E AndroidRuntime: 	at android os Looper loop(Looper java:237)_x000D_
07 11 13:47:58 357 21348 21348 E AndroidRuntime: 	at android app ActivityThread main(ActivityThread java:8167)_x000D_
07 11 13:47:58 357 21348 21348 E AndroidRuntime: 	at java lang reflect Method invoke(Native Method)_x000D_
07 11 13:47:58 357 21348 21348 E AndroidRuntime: 	at com android internal os RuntimeInit MethodAndArgsCaller run(RuntimeInit java:496)_x000D_
07 11 13:47:58 357 21348 21348 E AndroidRuntime: 	at com android internal os ZygoteInit main(ZygoteInit java:1100)_x000D_
   _x000D_
</t>
  </si>
  <si>
    <t>PojavLauncherTeam-PojavLauncher-1661</t>
  </si>
  <si>
    <t xml:space="preserve">[BUG] not work skyfactory 4 </t>
  </si>
  <si>
    <t xml:space="preserve">_x000D_
_x000D_
_x000D_
_x000D_
    Describe the bug_x000D_
when i try to run  sky factory 4  openGL throws an error_x000D_
_x000D_
log: https:  pastebin com p9f6vbi3_x000D_
_x000D_
    To Reproduce:_x000D_
Indicate steps to reproduce the buggy behavior:_x000D_
_x000D_
1  Start PojavLauncher_x000D_
download from crystal launcher modpack skyfactory run skyfactory on crystal how to start close and copy the  minecraft file to pojav launcher_x000D_
    Expected behavior:_x000D_
_x000D_
shutdown minecraft without crash information_x000D_
_x000D_
  Platform:  _x000D_
   Device Model  Xiaomi Poco f3 8 256 _x000D_
   CPU architecture  Kryo 585  _x000D_
   Android Version  android 11 _x000D_
   PojavLauncher Version  v3 3 1 1 944 07c2eb44   _x000D_
_x000D_
</t>
  </si>
  <si>
    <t>PojavLauncherTeam-PojavLauncher-1658</t>
  </si>
  <si>
    <t>[BUG] Java 17 incompatible</t>
  </si>
  <si>
    <t>I used java 17 JRE and the application crashed_x000D_
_x000D_
Error log:_x000D_
          beggining with launcher debug_x000D_
Info: Launcher version: v3 3 1 1 930 360cb386 _x000D_
Info: LWJGL3 directory:  jsr305 jar  lwjgl glfw classes jar  lwjgl jemalloc jar  lwjgl openal jar  lwjgl opengl jar  lwjgl stb jar  lwjgl tinyfd jar  lwjgl jar  version _x000D_
Architecture: arm aarch32_x000D_
Info: Custom Java arguments:   _x000D_
Info: Selected Minecraft version: 1 16 5_x000D_
          beginning of system_x000D_
          beginning of main_x000D_
Added custom env: TMPDIR  data user 0 net kdt pojavlaunch debug cache_x000D_
Added custom env: AWTSTUB WIDTH 1600_x000D_
Added custom env: REGAL GL VERSION 4 5_x000D_
Added custom env: REGAL GL VENDOR Android_x000D_
Added custom env: LIBGL MIPMAP 3_x000D_
Added custom env: allow higher compat version true_x000D_
Added custom env: MESA GLSL CACHE DIR  data user 0 net kdt pojavlaunch debug cache_x000D_
Added custom env: HOME  storage emulated 0 games PojavLauncher  minecraft_x000D_
Added custom env: PATH  data user 0 net kdt pojavlaunch debug jre runtime bin: sbin: system sbin: product bin: apex com android runtime bin: system bin: system xbin: odm bin: vendor bin: vendor xbin_x000D_
Added custom env: force glsl extensions warn true_x000D_
Added custom env: LIBGL NORMALIZE 1_x000D_
Added custom env: LD LIBRARY PATH  data user 0 net kdt pojavlaunch debug jre runtime lib jli: data user 0 net kdt pojavlaunch debug jre runtime lib: system lib: vendor lib: vendor lib hw: data app net kdt pojavlaunch debug NIT28BbKqzM21WLeJZP9wg   lib arm_x000D_
Added custom env: POJAV RENDERER opengles2_x000D_
Added custom env: LIBGL ES 2_x000D_
Added custom env: MESA LOADER DRIVER OVERRIDE zink_x000D_
Added custom env: MESA GLSL VERSION OVERRIDE 460_x000D_
Added custom env: JAVA HOME  data user 0 net kdt pojavlaunch debug jre runtime_x000D_
Added custom env: MESA GL VERSION OVERRIDE 4 6_x000D_
Added custom env: allow glsl extension directive midshader true_x000D_
Added custom env: REGAL GL RENDERER Regal_x000D_
Added custom env: AWTSTUB HEIGHT 720_x000D_
I jrelog  (20408): dlopen  data user 0 net kdt pojavlaunch debug jre runtime lib libjli so success_x000D_
I jrelog  (20408): dlopen libjvm so failed: dlopen failed: library  libjvm so  not found_x000D_
I jrelog  (20408): dlopen  data user 0 net kdt pojavlaunch debug jre runtime lib client libjvm so success_x000D_
I jrelog  (20408): dlopen  data user 0 net kdt pojavlaunch debug jre runtime lib libverify so success_x000D_
I jrelog  (20408): dlopen  data user 0 net kdt pojavlaunch debug jre runtime lib libjava so success_x000D_
I jrelog  (20408): dlopen  data user 0 net kdt pojavlaunch debug jre runtime lib libnet so success_x000D_
I jrelog  (20408): dlopen  data user 0 net kdt pojavlaunch debug jre runtime lib libnio so success_x000D_
I jrelog  (20408): dlopen  data user 0 net kdt pojavlaunch debug jre runtime lib libawt so success_x000D_
I jrelog  (20408): dlopen  data user 0 net kdt pojavlaunch debug jre runtime lib libawt headless so success_x000D_
I jrelog  (20408): dlopen  data user 0 net kdt pojavlaunch debug jre runtime lib libfreetype so success_x000D_
I jrelog  (20408): dlopen  data user 0 net kdt pojavlaunch debug jre runtime lib libfontmanager so success_x000D_
I jrelog  (20408): dlopen  data user 0 net kdt pojavlaunch debug jre runtime lib libjaas so success_x000D_
I jrelog  (20408): dlopen  data user 0 net kdt pojavlaunch debug jre runtime lib client libjvm so success_x000D_
I jrelog  (20408): dlopen  data user 0 net kdt pojavlaunch debug jre runtime lib client libjsig so success_x000D_
I jrelog  (20408): dlopen  data user 0 net kdt pojavlaunch debug jre runtime lib libawt headless so success_x000D_
I jrelog  (20408): dlopen  data user 0 net kdt pojavlaunch debug jre runtime lib libnet so success_x000D_
I jrelog  (20408): dlopen  data user 0 net kdt pojavlaunch debug jre runtime lib librmi so success_x000D_
I jrelog  (20408): dlopen  data user 0 net kdt pojavlaunch debug jre runtime lib libextnet so success_x000D_
I jrelog  (20408): dlopen  data user 0 net kdt pojavlaunch debug jre runtime lib libmlib image so success_x000D_
I jrelog  (20408): dlopen  data user 0 net kdt pojavlaunch debug jre runtime lib libjawt so success_x000D_
I jrelog  (20408): dlopen  data user 0 net kdt pojavlaunch debug jre runtime lib libzip so success_x000D_
I jrelog  (20408): dlopen  data user 0 net kdt pojavlaunch debug jre runtime lib libawt so success_x000D_
I jrelog  (20408): dlopen  data user 0 net kdt pojavlaunch debug jre runtime lib libmanagement agent so success_x000D_
I jrelog  (20408): dlopen  data user 0 net kdt pojavlaunch debug jre runtime lib libverify so success_x000D_
I jrelog  (20408): dlopen  data user 0 net kdt pojavlaunch debug jre runtime lib libsctp so success_x000D_
I jrelog  (20408): dlopen  data user 0 net kdt pojavlaunch debug jre runtime lib libj2gss so success_x000D_
I jrelog  (20408): dlopen  data user 0 net kdt pojavlaunch debug jre runtime lib libmanagement ext so success_x000D_
I jrelog  (20408): dlopen  data user 0 net kdt pojavlaunch debug jre runtime lib libjimage so success_x000D_
I jrelog  (20408): dlopen  data user 0 net kdt pojavlaunch debug jre runtime lib libdt socket so success_x000D_
I jrelog  (20408): dlopen  data user 0 net kdt pojavlaunch debug jre runtime lib libjli so success_x000D_
I jrelog  (20408): dlopen  data user 0 net kdt pojavlaunch debug jre runtime lib libjavajpeg so success_x000D_
I jrelog  (20408): dlopen  data user 0 net kdt pojavlaunch debug jre runtime lib libinstrument so success_x000D_
I jrelog  (20408): dlopen  data user 0 net kdt pojavlaunch debug jre runtime lib libjsig so success_x000D_
I jrelog  (20408): dlopen  data user 0 net kdt pojavlaunch debug jre runtime lib libattach so success_x000D_
I jrelog  (20408): dlopen  data user 0 net kdt pojavlaunch debug jre runtime lib libmanagement so success_x000D_
I jrelog  (20408): dlopen  data user 0 net kdt pojavlaunch debug jre runtime lib libj2pkcs11 so success_x000D_
I jrelog  (20408): dlopen  data user 0 net kdt pojavlaunch debug jre runtime lib libfreetype so success_x000D_
I jrelog  (20408): dlopen  data user 0 net kdt pojavlaunch debug jre runtime lib libjdwp so success_x000D_
I jrelog  (20408): dlopen  data user 0 net kdt pojavlaunch debug jre runtime lib libnio so success_x000D_
I jrelog  (20408): dlopen  data user 0 net kdt pojavlaunch debug jre runtime lib libsyslookup so success_x000D_
I jrelog  (20408): dlopen  data user 0 net kdt pojavlaunch debug jre runtime lib libj2pcsc so success_x000D_
I jrelog  (20408): dlopen  data user 0 net kdt pojavlaunch debug jre runtime lib libjava so success_x000D_
I jrelog  (20408): dlopen  data user 0 net kdt pojavlaunch debug jre runtime lib libfontmanager so success_x000D_
I jrelog  (20408): dlopen  data user 0 net kdt pojavlaunch debug jre runtime lib libprefs so success_x000D_
I jrelog  (20408): dlopen  data user 0 net kdt pojavlaunch debug jre runtime lib liblcms so success_x000D_
I jrelog  (20408): dlopen  data user 0 net kdt pojavlaunch debug jre runtime lib libawt xawt so success_x000D_
I jrelog  (20408): dlopen  data app net kdt pojavlaunch debug NIT28BbKqzM21WLeJZP9wg   lib arm libopenal so success_x000D_
I LIBGL   (20408): Initialising gl4es_x000D_
I LIBGL   (20408): v1 1 4 built on Jul 19 2020 08:24:33_x000D_
I LIBGL   (20408): Using GLES 2 0 backend_x000D_
I LIBGL   (20408): loaded: libGLESv2 so_x000D_
I LIBGL   (20408): loaded: libEGL so_x000D_
I LIBGL   (20408): Using GLES 2 0 backend_x000D_
I LIBGL   (20408): Hardware Full NPOT detected and used_x000D_
I LIBGL   (20408): Extension GL EXT blend minmax  detected and used_x000D_
I LIBGL   (20408): Extension GL EXT draw buffers  detected and used_x000D_
I LIBGL   (20408): FBO are in core  and so used_x000D_
I LIBGL   (20408): PointSprite are in core  and so used_x000D_
I LIBGL   (20408): CubeMap are in core  and so used_x000D_
I LIBGL   (20408): BlendColor is in core  and so used_x000D_
I LIBGL   (20408): Blend Substract is in core  and so used_x000D_
I LIBGL   (20408): Blend Function and Equation Separation is in core  and so used_x000D_
I LIBGL   (20408): Texture Mirrored Repeat is in core  and so used_x000D_
I LIBGL   (20408): Extension GL OES mapbuffer  detected_x000D_
I LIBGL   (20408): Extension GL OES element index uint  detected and used_x000D_
I LIBGL   (20408): Extension GL OES packed depth stencil  detected and used_x000D_
I LIBGL   (20408): Extension GL OES depth24  detected and used_x000D_
I LIBGL   (20408): Extension GL OES rgb8 rgba8  detected and used_x000D_
I LIBGL   (20408): Extension GL EXT multi draw arrays  detected_x000D_
I LIBGL   (20408): Extension GL EXT texture format BGRA8888  detected and used_x000D_
I LIBGL   (20408): Extension GL OES depth texture  detected and used_x000D_
I LIBGL   (20408): Extension GL OES texture stencil8  detected and used_x000D_
I LIBGL   (20408): Extension GL EXT texture rg  detected and used_x000D_
I LIBGL   (20408): Extension GL OES texture float  detected and used_x000D_
I LIBGL   (20408): Extension GL OES texture half float  detected and used_x000D_
I LIBGL   (20408): Extension GL EXT color buffer float  detected and used_x000D_
I LIBGL   (20408): Extension GL EXT color buffer half float  detected and used_x000D_
I LIBGL   (20408): Extension GL OES fragment precision high  detected and used_x000D_
I LIBGL   (20408): Extension GL EXT shader texture lod detected and used_x000D_
I LIBGL   (20408): Max vertex attrib: 16_x000D_
I LIBGL   (20408): Extension GL OES standard derivatives  detected and used_x000D_
I LIBGL   (20408): Max texture size: 4096_x000D_
I LIBGL   (20408): Max Varying Vector: 15_x000D_
I LIBGL   (20408): Texture Units: 16 16 (hardware: 16)  Max lights: 8  Max planes: 6_x000D_
I LIBGL   (20408): Max Color Attachments: 8   Draw buffers: 8_x000D_
I LIBGL   (20408): Hardware vendor is Imagination Technologies_x000D_
I LIBGL   (20408): GLSL 300 es supported_x000D_
I LIBGL   (20408): GLSL 310 es supported and used_x000D_
I LIBGL   (20408): sRGB surface supported_x000D_
I LIBGL   (20408): EGLImage to Texture2D supported_x000D_
I LIBGL   (20408): EGLImage to RenderBuffer supported_x000D_
I LIBGL   (20408): ignore MipMap_x000D_
I LIBGL   (20408): Targeting OpenGL 2 1_x000D_
I LIBGL   (20408): NPOT texture handled in hardware_x000D_
I LIBGL   (20408): Not trying to batch small subsequent glDrawXXXX_x000D_
I LIBGL   (20408): try to use VBO_x000D_
I LIBGL   (20408): FBO workaround for using binded texture enabled_x000D_
I LIBGL   (20408): glX Will try to recycle EGL Surface_x000D_
I LIBGL   (20408): Current folder is: _x000D_
I jrelog  (20408): dlopen  data app net kdt pojavlaunch debug NIT28BbKqzM21WLeJZP9wg   lib arm libgl4es 114 so success_x000D_
I jrelog  (20408): Done processing args_x000D_
I jrelog  (20408): Found JLI lib_x000D_
I jrelog  (20408): Calling JLI Launch_x000D_
Error occurred during initialization of VM</t>
  </si>
  <si>
    <t>Anuken-Mindustry-5562</t>
  </si>
  <si>
    <t>Multiplayer connection closed</t>
  </si>
  <si>
    <t xml:space="preserve">  Platform  :  Android iOS Mac Windows Linux _x000D_
_x000D_
Mac_x000D_
_x000D_
  Build  :  The build number under the title in the main menu  Required   LATEST  IS NOT A VERSION  I NEED THE EXACT BUILD NUMBER OF YOUR GAME  _x000D_
_x000D_
127 2_x000D_
_x000D_
  Issue  :  Explain your issue in detail  _x000D_
_x000D_
Every attempt made by me and some others on Macs to join any sort of Multiplayer server has resulted in a Connection Closed pop up that occurs when you turn off your computer when on a multiplayer server _x000D_
_x000D_
  Steps to reproduce  :  How you happened across the issue  and what exactly you did to make the bug happen  _x000D_
_x000D_
1  Attempt to join a Multiplayer Server_x000D_
2 Suffer_x000D_
 _x000D_
  Link(s) to mod(s) used  :  The mod repositories or zip files that are related to the issue  if applicable  _x000D_
_x000D_
No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Not in game_x000D_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</si>
  <si>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Anuken-Mindustry-5561</t>
  </si>
  <si>
    <t>handshake failure when loading mod browser</t>
  </si>
  <si>
    <t xml:space="preserve">  Platform  : mac  _x000D_
  Build  :  The build number under the title in the main menu  Required   LATEST  IS NOT A VERSION  I NEED THE EXACT BUILD NUMBER OF YOUR GAME   127 127 2_x000D_
_x000D_
  Issue  :  Explain your issue in detail   this happens whenever i open the mod browser since 127 _x000D_
 img width  707  alt  Screen Shot 2021 07 10 at 12 04 59 PM  src  https:  user images githubusercontent com 75851043 125169351 bfca5c00 e177 11eb 8a27 71bf92a0c697 png  _x000D_
_x000D_
  Steps to reproduce  :  How you happened across the issue  and what exactly you did to make the bug happen  _x000D_
_x000D_
download pre alpha from itch  open mod browser  error also pops up again every time i type a letter into the search bar in the browser or hit ok when trying to import from github directly_x000D_
_x000D_
  Link(s) to mod(s) used  :  The mod repositories or zip files that are related to the issue  if applicable  _x000D_
_x000D_
NA_x000D_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doesn t happen in game_x000D_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</si>
  <si>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Anuken-Mindustry-5560</t>
  </si>
  <si>
    <t>logic Polygon displaying bug</t>
  </si>
  <si>
    <t xml:space="preserve">  Screenshot 213 (https:  user images githubusercontent com 43229798 125167801 8b34bf80 e1cc 11eb 94ec 765a50bf5868 png)_x000D_
  Platform  :  Android iOS Mac Windows Linux _x000D_
Window 7 Ultimate_x000D_
  Build  :  The build number under the title in the main menu  Required   LATEST  IS NOT A VERSION  I NEED THE EXACT BUILD NUMBER OF YOUR GAME  _x000D_
release 127 2_x000D_
  Issue  :  Explain your issue in detail  _x000D_
when i display a polygon (using the Draw:poly command)  there s wierd part the have less transparency than other)_x000D_
  Steps to reproduce  :  How you happened across the issue  and what exactly you did to make the bug happen  _x000D_
i used a hyper processor  and a large display  it seem like only happen with rotating polygon (tested)_x000D_
  Link(s) to mod(s) used  :  The mod repositories or zip files that are related to the issue  if applicable  _x000D_
auto updater (prob not related _x000D_
cliff (prob not related _x000D_
developer mode (prob not related  i didn t execute any commands _x000D_
item grabber (prob not related _x000D_
Logic Debugger v1 3 1_x000D_
mind util   Utility mod (prob not related _x000D_
Override Lib v1 0 1 (used to run Logic debugger)_x000D_
PicToLogic_x000D_
Radar_x000D_
RTFM_x000D_
TimeControl (not using while testing bug)_x000D_
UI lib_x000D_
Unit Factory_x000D_
WAISA v2 3 3_x000D_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https:  drive google com file d 1H50SX0K5xfPJpB0Q6AV6Pyxm4dwV3iLL view usp sharing (url)_x000D_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 crash  so none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</si>
  <si>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TeamNewPipe-NewPipe-6639</t>
  </si>
  <si>
    <t>Fix crash when refreshing feed after importing database or subscriptions</t>
  </si>
  <si>
    <t xml:space="preserve">     What is it _x000D_
   x  Bugfix (user facing)_x000D_
      Feature (user facing)_x000D_
      Codebase improvement (dev facing)_x000D_
      Meta improvement to the project (dev facing)_x000D_
_x000D_
     Description of the changes in your PR_x000D_
Close database before restarting the app_x000D_
_x000D_
     Fixes the following issue(s)_x000D_
Fixes crash when refreshing feed after importing database or subscriptions _x000D_
   Exception_x000D_
    User Action:   requested feed_x000D_
    Request:   Loading feed_x000D_
    Content Country:   US_x000D_
    Content Language:   en_x000D_
    App Language:   en GB_x000D_
    Service:   none_x000D_
    Version:   0 21 6_x000D_
    OS:   Linux Android 10   29_x000D_
 details  summary  b Crash log   b   summary  p _x000D_
_x000D_
   _x000D_
java lang NullPointerException: Attempt to invoke virtual method  void org schabi newpipe database subscription SubscriptionEntity setName(java lang String)  on a null object reference_x000D_
	at org schabi newpipe local subscription SubscriptionManager updateFromInfo(SubscriptionManager kt:73)_x000D_
	at org schabi newpipe local feed service FeedLoadService databaseConsumer 1 1 run(FeedLoadService kt:324)_x000D_
	at androidx room RoomDatabase runInTransaction(RoomDatabase java:556)_x000D_
	at org schabi newpipe local feed service FeedLoadService databaseConsumer 1 accept(FeedLoadService kt:316)_x000D_
	at org schabi newpipe local feed service FeedLoadService databaseConsumer 1 accept(FeedLoadService kt:65)_x000D_
	at io reactivex rxjava3 internal operators flowable FlowableDoOnEach DoOnEachSubscriber onNext(FlowableDoOnEach java:86)_x000D_
	at io reactivex rxjava3 internal operators flowable FlowableBuffer PublisherBufferExactSubscriber onNext(FlowableBuffer java:124)_x000D_
	at io reactivex rxjava3 internal operators flowable FlowableObserveOn ObserveOnSubscriber runAsync(FlowableObserveOn java:402)_x000D_
	at io reactivex rxjava3 internal operators flowable FlowableObserveOn BaseObserveOnSubscriber run(FlowableObserveOn java:176)_x000D_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_x000D_
     APK testing _x000D_
     Use a new  meaningfully named branch  The name is used as a suffix for the app ID to allow installing and testing multiple versions of NewPipe  e g   commentfix   if your PR implements a bugfix for comments  (No names like  patch 0  and  feature 1  )     _x000D_
     Remove the following line if you directly link the APK created by the CI pipeline  Directly linking is preferred if you need to let users test    _x000D_
The APK can be found by going to the  Checks  tab below the title  On the left pane  click on  CI   scroll down to  artifacts  and click  app  to download the zip file which contains the debug APK of this PR _x000D_
_x000D_
     Due diligence_x000D_
   x  I read the  contribution guidelines (https:  github com TeamNewPipe NewPipe blob HEAD  github CONTRIBUTING md) _x000D_
</t>
  </si>
  <si>
    <t>PojavLauncherTeam-PojavLauncher-1651</t>
  </si>
  <si>
    <t>[BUG] a strange bug on a12</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</si>
  <si>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_x000D_
(Since the mouse bug has been fixed pls fix this bug)_x000D_
The bug is giving me insane speed and the texture particles stretch  im bad at explaining _x000D_
_x000D_
  Add a log file if you want to see your bug fixed    _x000D_
 latestlog txt (https:  github com PojavLauncherTeam PojavLauncher files 6795048 latestlog txt)_x000D_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2  Play any world_x000D_
3  a few seconds it is gonna give me insane speed _x000D_
4  textures about to stretch_x000D_
5  Game crashed_x000D_
_x000D_
    Expected behavior:_x000D_
I expected to play normally_x000D_
_x000D_
    Screenshots or videos:_x000D_
 Upload here screenshots or videos of the buggy behavior  if possible  _x000D_
_x000D_
https:  youtu be GZp0KroetRE_x000D_
_x000D_
  Platform:  _x000D_
   Device Model  e g  samsung galaxy a12 6 128 _x000D_
   CPU architecture  e g  aarch64  _x000D_
   Android Version  e g  10 _x000D_
   PojavLauncher Version  e g Latest Release    version 3 3 1 1 rel 20210321  _x000D_
_x000D_
_x000D_
 details   summary  b Additional context  b   summary _x000D_
 br _x000D_
 pre _x000D_
Add any other context about the problem here _x000D_
  pre _x000D_
  details _x000D_
</t>
  </si>
  <si>
    <t>PojavLauncherTeam-PojavLauncher-1649</t>
  </si>
  <si>
    <t>[BUG] Unable to open the create mod for 1.16.5. Crash a few seconds after entry. Is this a problem with the renderer</t>
  </si>
  <si>
    <t xml:space="preserve">I m sorry  I come from China  I don t know English  I can only use software translation to complete the conversation with you _x000D_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_x000D_
  Add a log file if you want to see your bug fixed    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2  Add the create mod to the mods folder  which is the only mod in the folder _x000D_
3  Start the game(The correct version of Forge is installed)_x000D_
4  The game only shows the picture inside and crashes a few seconds later _x000D_
    Expected behavior:_x000D_
I look forward to providing a solution  which helps me a lot _x000D_
_x000D_
    Screenshots or videos:_x000D_
 Upload here screenshots or videos of the buggy behavior  if possible  _x000D_
  Screenshot 2021 07 10 11 33 01 67 bab8561a5f94f0a53956d8cbbeaad774 (https:  user images githubusercontent com 87157571 125150847 70832c00 e175 11eb 9ff5 35bce88a6167 jpg)_x000D_
_x000D_
_x000D_
  Platform:  _x000D_
   Device Model  e g  OPPO reno 8 256 _x000D_
   CPU architecture  e g  aarch64  _x000D_
   Android Version  e g  11 _x000D_
   PojavLauncher Version  e g Latest Release    version 3 3 1 1 rel 20210206  _x000D_
_x000D_
_x000D_
 details   summary  b Additional context  b   summary _x000D_
 br _x000D_
 pre _x000D_
Add any other context about the problem here _x000D_
  pre _x000D_
  details _x000D_
 latestlog txt (https:  github com PojavLauncherTeam PojavLauncher files 6794620 latestlog txt)_x000D_
_x000D_
</t>
  </si>
  <si>
    <t>TeamNewPipe-NewPipe-6632</t>
  </si>
  <si>
    <t>[Bug] Error when clicking on this video even though its working.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</si>
  <si>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requested stream_x000D_
    Request:   https:  www youtube com watch v YHfroaVjx1I_x000D_
    Content Country:   GB_x000D_
    Content Language:   en GB_x000D_
    App Language:   en GB_x000D_
    Service:   YouTube_x000D_
    Version:   0 21 5_x000D_
    OS:   Linux Android 7 1 1   25_x000D_
 details  summary  b Exceptions (2)  b   summary  p _x000D_
 details  summary  b Crash log 1  b   summary  p _x000D_
_x000D_
   _x000D_
org schabi newpipe extractor exceptions ParsingException: Could not get like count_x000D_
	at org schabi newpipe extractor services youtube extractors YoutubeStreamExtractor getLikeCount(YoutubeStreamExtractor java:344)_x000D_
	at org schabi newpipe extractor stream StreamInfo extractOptionalData(StreamInfo java:276)_x000D_
	at org schabi newpipe extractor stream StreamInfo getInfo(StreamInfo java:73)_x000D_
	at org schabi newpipe extractor stream StreamInfo getInfo(StreamInfo java:64)_x000D_
	at org schabi newpipe util ExtractorHelper lambda getStreamInfo 3(ExtractorHelper java:115)_x000D_
	at org schabi newpipe util    Lambda ExtractorHelper YTHJjScxCJNO1LTCqs3IKy35iyY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org schabi newpipe extractor exceptions ParsingException: Ratings are enabled even though the like button is missing_x000D_
	at org schabi newpipe extractor services youtube extractors YoutubeStreamExtractor getLikeCount(YoutubeStreamExtractor java:335)_x000D_
	    29 more_x000D_
Caused by: java lang NullPointerException: Attempt to invoke virtual method  java lang String   java lang String split(java lang String)  on a null object reference_x000D_
	at org schabi newpipe extractor services youtube extractors YoutubeStreamExtractor getLikeCount(YoutubeStreamExtractor java:331)_x000D_
	    29 more_x000D_
_x000D_
   _x000D_
  details _x000D_
 details  summary  b Crash log 2  b   summary  p _x000D_
_x000D_
   _x000D_
org schabi newpipe extractor exceptions ParsingException: Could not get dislike count_x000D_
	at org schabi newpipe extractor services youtube extractors YoutubeStreamExtractor getDislikeCount(YoutubeStreamExtractor java:370)_x000D_
	at org schabi newpipe extractor stream StreamInfo extractOptionalData(StreamInfo java:281)_x000D_
	at org schabi newpipe extractor stream StreamInfo getInfo(StreamInfo java:73)_x000D_
	at org schabi newpipe extractor stream StreamInfo getInfo(StreamInfo java:64)_x000D_
	at org schabi newpipe util ExtractorHelper lambda getStreamInfo 3(ExtractorHelper java:115)_x000D_
	at org schabi newpipe util    Lambda ExtractorHelper YTHJjScxCJNO1LTCqs3IKy35iyY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org schabi newpipe extractor exceptions ParsingException: Ratings are enabled even though the dislike button is missing_x000D_
	at org schabi newpipe extractor services youtube extractors YoutubeStreamExtractor getDislikeCount(YoutubeStreamExtractor java:361)_x000D_
	    29 more_x000D_
Caused by: java lang NullPointerException: Attempt to invoke virtual method  java lang String   java lang String split(java lang String)  on a null object reference_x000D_
	at org schabi newpipe extractor services youtube extractors YoutubeStreamExtractor getDislikeCount(YoutubeStreamExtractor java:357)_x000D_
	    29 more_x000D_
_x000D_
   _x000D_
  details _x000D_
  p   details _x000D_
 hr _x000D_
_x000D_
_x000D_
_x000D_
     Please fill this out when you do not provide a log generate by NewPipe    _x000D_
_x000D_
    Device info_x000D_
_x000D_
   Android version Custom ROM version:_x000D_
   Device model:_x000D_
</t>
  </si>
  <si>
    <t>theheraldproject-herald-for-android-217</t>
  </si>
  <si>
    <t>Crash In Android SDK 28 device</t>
  </si>
  <si>
    <t xml:space="preserve">  Description  _x000D_
_x000D_
A small number of devices provide invalid advertised manufacturer data  and this leads to a crash on Android SDK 28 and earlier  Android SDK 29  has fixed this issue by adding a check  Herald can avoid this crash by checking if the advertised manufacturer data is valid  This will enhance support for Android SDK 28 and earlier _x000D_
_x000D_
Crash Log:_x000D_
   _x000D_
java lang NullPointerException: _x000D_
  at android bluetooth le ScanRecord getManufacturerSpecificData (ScanRecord java:118)_x000D_
  at com vmware herald sensor ble ConcreteBLEDatabase pseudoDeviceAddress (ConcreteBLEDatabase java:123)_x000D_
  at com vmware herald sensor ble ConcreteBLEDatabase device (ConcreteBLEDatabase java:83)_x000D_
  at com vmware herald sensor ble ConcreteBLEReceiver 1 onScanResult (ConcreteBLEReceiver java:93)_x000D_
  at com vmware herald sensor ble ConcreteBLEReceiver 1 onBatchScanResults (ConcreteBLEReceiver java:102)_x000D_
  at android bluetooth le BluetoothLeScanner BleScanCallbackWrapper 2 run (BluetoothLeScanner java:509)_x000D_
  at android os Handler handleCallback (Handler java:873)_x000D_
  at android os Handler dispatchMessage (Handler java:99)_x000D_
  at android os Looper loop (Looper java:205)_x000D_
  at android app ActivityThread main (ActivityThread java:6991)_x000D_
  at java lang reflect Method invoke (Native Method)_x000D_
  at com android internal os RuntimeInit MethodAndArgsCaller run (RuntimeInit java:493)_x000D_
  at com android internal os ZygoteInit main (ZygoteInit java:884)_x000D_
   _x000D_
_x000D_
_x000D_
  Smartphone and App information (REQUIRED):  _x000D_
_x000D_
  Device: LGE V30_x000D_
  Device exact model (if known): LGE V30 H933_x000D_
  OS exact version: Android 9 (SDK 28)_x000D_
  Herald demonstration app version: v1 3 0_x000D_
  Have you reproduced this issue on the latest  develop  Herald branch : No  but due to lack of access to the device _x000D_
_x000D_
This issue was reported in the App s Google Play Console _x000D_
_x000D_
  Severity (Project team may edit this section after reporting)  _x000D_
_x000D_
Please provide the following metrics (optional  can be filled in by project team if left blank): _x000D_
_x000D_
  Likely How Widespread: LOW_x000D_
  Reproducability: It is very likely to be reproduced on the affected device _x000D_
  Impact: HIGH_x000D_
_x000D_
_x000D_
  To Reproduce  _x000D_
_x000D_
Steps to reproduce the behavior:_x000D_
_x000D_
1  Connect the device to a computer with ADB logcat enabled_x000D_
2  Enable bluetooth_x000D_
3  Install and run the latest Herald for Android demo app on an LGE V30 device running Android 9_x000D_
4  Wait until the app begins scanning_x000D_
4 a Alternatively  put a breakpoint in pseudoDeviceAddress() method in ConcreteBLEDatabase_x000D_
4 b Evaluate line scanRecord getManufacturerSpecificData(BLESensorConfiguration manufacturerIdForSensor) for a crash_x000D_
_x000D_
  Expected behavior  _x000D_
_x000D_
The scan should continue without any issues_x000D_
_x000D_
  Actual behavior  _x000D_
_x000D_
The app crashes when invoking scanRecord getManufacturerSpecificData(BLESensorConfiguration manufacturerIdForSensor)_x000D_
_x000D_
_x000D_
  Additional context  _x000D_
_x000D_
Relevant issue on StackOverflow:_x000D_
https:  stackoverflow com questions 53844676 why bluetoothadapter callback is throwing error while connecting ble device_x000D_
_x000D_
AOSP Fix for Android SDK 29_x000D_
https:  android googlesource com platform frameworks base   4c2aa61202f906f52d3e5bd7f0910b0a4d837fae 5E 21  F0_x000D_
</t>
  </si>
  <si>
    <t>opensrp-opensrp-client-chw-1829</t>
  </si>
  <si>
    <t>BA CHW  - FP form crashes when submitting</t>
  </si>
  <si>
    <t xml:space="preserve">Reference:  QA Report (https:  docs google com document d 1Ti1yNqr0Upmo XbHDTKk5uclcdgOnTIbmjwmFiEhLvw edit usp sharing)_x000D_
_x000D_
Issue: App hangs and crashes when doing a FP registration  There was a lengthy time taken while saving  before the crash _x000D_
_x000D_
Reproduce:_x000D_
1  Open a user s profile page_x000D_
2  Open the FP registration form from three dot drop down_x000D_
3  Fill the form and submit_x000D_
_x000D_
 Mstjamush _x000D_
1  What device did you use to test this _x000D_
2  What username did you use to test this  So as to get similar results   possible due to the number of families </t>
  </si>
  <si>
    <t>nextcloud-talk-android-1435</t>
  </si>
  <si>
    <t>App crashes immediately when receiving a picture</t>
  </si>
  <si>
    <t xml:space="preserve">  Steps to reproduce  _x000D_
   Installed the latest Version (12 1 0) from Google Play Store on an Android 7 0 Device _x000D_
   App crashes immediately when receiving a picture from chat participant _x000D_
   The App crashes without any error message  _x000D_
_x000D_
  Device information  _x000D_
   Samsung Galaxy S7_x000D_
   Android OS version: 7 0_x000D_
   Talk version: 12 1 0   (v11 1 0 works well)_x000D_
_x000D_
  Server information  _x000D_
   Nextcloud version: 19 0 12_x000D_
   Talk version: 9 0 10_x000D_
   Custom Signaling server configured: no_x000D_
   Custom TURN server configured: no_x000D_
   Custom STUN server configured: no (stun nextcloud com:443)_x000D_
   Server log (data nextcloud log):   Logfile contains no entries from the day the crash happens_x000D_
_x000D_
     _x000D_
  Output of adb logcat:  _x000D_
_x000D_
   _x000D_
07 09 14:48:15 402 16419 16419 D TextView: setTypeface with style : 0_x000D_
07 09 14:48:15 472 16419 16466 W System err: at bitfire dav4jvm exception NotFoundException: HTTP 404 _x000D_
07 09 14:48:15 472 16419 16466 W System err: 	at at bitfire dav4jvm DavResource checkStatus(DavResource kt:376)_x000D_
07 09 14:48:15 472 16419 16466 W System err: 	at at bitfire dav4jvm DavResource checkStatus(DavResource kt:358)_x000D_
07 09 14:48:15 472 16419 16466 W System err: 	at at bitfire dav4jvm DavResource processMultiStatus(DavResource kt:458)_x000D_
07 09 14:48:15 472 16419 16466 W System err: 	at at bitfire dav4jvm DavResource propfind(DavResource kt:345)_x000D_
07 09 14:48:15 473 16419 16466 W System err: 	at com nextcloud talk components filebrowser webdav ReadFilesystemOperation readRemotePath(ReadFilesystemOperation java:65)_x000D_
07 09 14:48:15 473 16419 16466 W System err: 	at com nextcloud talk adapters messages MagicPreviewMessageViewHolder 1 onSuccess(MagicPreviewMessageViewHolder java:555)_x000D_
07 09 14:48:15 473 16419 16466 W System err: 	at com nextcloud talk adapters messages MagicPreviewMessageViewHolder 1 onSuccess(MagicPreviewMessageViewHolder java:547)_x000D_
07 09 14:48:15 473 16419 16466 W System err: 	at io reactivex internal operators single SingleObserveOn ObserveOnSingleObserver run(SingleObserveOn java:81)_x000D_
07 09 14:48:15 473 16419 16466 W System err: 	at io reactivex Scheduler DisposeTask run(Scheduler java:608)_x000D_
07 09 14:48:15 473 16419 16466 W System err: 	at io reactivex internal schedulers ScheduledRunnable run(ScheduledRunnable java:66)_x000D_
07 09 14:48:15 473 16419 16466 W System err: 	at io reactivex internal schedulers ScheduledRunnable call(ScheduledRunnable java:57)_x000D_
07 09 14:48:15 473 16419 16466 W System err: 	at java util concurrent FutureTask run(FutureTask java:237)_x000D_
07 09 14:48:15 473 16419 16466 W System err: 	at java util concurrent ScheduledThreadPoolExecutor ScheduledFutureTask run(ScheduledThreadPoolExecutor java:272)_x000D_
07 09 14:48:15 473 16419 16466 W System err: 	at java util concurrent ThreadPoolExecutor runWorker(ThreadPoolExecutor java:1133)_x000D_
07 09 14:48:15 473 16419 16466 W System err: 	at java util concurrent ThreadPoolExecutor Worker run(ThreadPoolExecutor java:607)_x000D_
07 09 14:48:15 473 16419 16466 W System err: 	at java lang Thread run(Thread java:762)_x000D_
07 09 14:48:15 474 16419 16466 W System err: java lang NullPointerException: Attempt to invoke virtual method  okhttp3 HttpUrl at bitfire dav4jvm Response getHref()  on a null object reference_x000D_
07 09 14:48:15 475 16419 16466 W System err: 	at com nextcloud talk components filebrowser webdav ReadFilesystemOperation readRemotePath(ReadFilesystemOperation java:91)_x000D_
07 09 14:48:15 475 16419 16466 W System err: 	at com nextcloud talk adapters messages MagicPreviewMessageViewHolder 1 onSuccess(MagicPreviewMessageViewHolder java:555)_x000D_
07 09 14:48:15 475 16419 16466 W System err: 	at com nextcloud talk adapters messages MagicPreviewMessageViewHolder 1 onSuccess(MagicPreviewMessageViewHolder java:547)_x000D_
07 09 14:48:15 475 16419 16466 W System err: 	at io reactivex internal operators single SingleObserveOn ObserveOnSingleObserver run(SingleObserveOn java:81)_x000D_
07 09 14:48:15 475 16419 16466 W System err: 	at io reactivex Scheduler DisposeTask run(Scheduler java:608)_x000D_
07 09 14:48:15 475 16419 16466 W System err: 	at io reactivex internal schedulers ScheduledRunnable run(ScheduledRunnable java:66)_x000D_
07 09 14:48:15 475 16419 16466 W System err: 	at io reactivex internal schedulers ScheduledRunnable call(ScheduledRunnable java:57)_x000D_
07 09 14:48:15 475 16419 16466 W System err: 	at java util concurrent FutureTask run(FutureTask java:237)_x000D_
07 09 14:48:15 475 16419 16466 W System err: 	at java util concurrent ScheduledThreadPoolExecutor ScheduledFutureTask run(ScheduledThreadPoolExecutor java:272)_x000D_
07 09 14:48:15 475 16419 16466 W System err: 	at java util concurrent ThreadPoolExecutor runWorker(ThreadPoolExecutor java:1133)_x000D_
07 09 14:48:15 475 16419 16466 W System err: 	at java util concurrent ThreadPoolExecutor Worker run(ThreadPoolExecutor java:607)_x000D_
07 09 14:48:15 475 16419 16466 W System err: 	at java lang Thread run(Thread java:762)_x000D_
07 09 14:48:15 484 16419 16466 E AndroidRuntime: FATAL EXCEPTION: RxCachedThreadScheduler 4_x000D_
07 09 14:48:15 484 16419 16466 E AndroidRuntime: Process: com nextcloud talk2  PID: 16419_x000D_
07 09 14:48:15 484 16419 16466 E AndroidRuntime: java lang NullPointerException: Attempt to invoke virtual method  okhttp3 HttpUrl at bitfire dav4jvm Response getHref()  on a null object reference_x000D_
07 09 14:48:15 484 16419 16466 E AndroidRuntime: 	at com nextcloud talk components filebrowser webdav ReadFilesystemOperation readRemotePath(ReadFilesystemOperation java:91)_x000D_
07 09 14:48:15 484 16419 16466 E AndroidRuntime: 	at com nextcloud talk adapters messages MagicPreviewMessageViewHolder 1 onSuccess(MagicPreviewMessageViewHolder java:555)_x000D_
07 09 14:48:15 484 16419 16466 E AndroidRuntime: 	at com nextcloud talk adapters messages MagicPreviewMessageViewHolder 1 onSuccess(MagicPreviewMessageViewHolder java:547)_x000D_
07 09 14:48:15 484 16419 16466 E AndroidRuntime: 	at io reactivex internal operators single SingleObserveOn ObserveOnSingleObserver run(SingleObserveOn java:81)_x000D_
07 09 14:48:15 484 16419 16466 E AndroidRuntime: 	at io reactivex Scheduler DisposeTask run(Scheduler java:608)_x000D_
07 09 14:48:15 484 16419 16466 E AndroidRuntime: 	at io reactivex internal schedulers ScheduledRunnable run(ScheduledRunnable java:66)_x000D_
07 09 14:48:15 484 16419 16466 E AndroidRuntime: 	at io reactivex internal schedulers ScheduledRunnable call(ScheduledRunnable java:57)_x000D_
07 09 14:48:15 484 16419 16466 E AndroidRuntime: 	at java util concurrent FutureTask run(FutureTask java:237)_x000D_
07 09 14:48:15 484 16419 16466 E AndroidRuntime: 	at java util concurrent ScheduledThreadPoolExecutor ScheduledFutureTask run(ScheduledThreadPoolExecutor java:272)_x000D_
07 09 14:48:15 484 16419 16466 E AndroidRuntime: 	at java util concurrent ThreadPoolExecutor runWorker(ThreadPoolExecutor java:1133)_x000D_
07 09 14:48:15 484 16419 16466 E AndroidRuntime: 	at java util concurrent ThreadPoolExecutor Worker run(ThreadPoolExecutor java:607)_x000D_
07 09 14:48:15 484 16419 16466 E AndroidRuntime: 	at java lang Thread run(Thread java:762)_x000D_
07 09 14:48:15 498  3858  3879 D InputDispatcher: Focus left window: 16419_x000D_
07 09 14:48:15 499 16419 16419 D ViewRootImpl cd44916 MainActivity : MSG WINDOW FOCUS CHANGED 0_x000D_
07 09 14:48:16 056 16419 16419 D InputMethodManager: HSI from window   flag : 0 Pid : 16419_x000D_
07 09 14:48:16 074 16419 16419 D ViewRootImpl cd44916 MainActivity : dispatchDetachedFromWindow_x000D_
07 09 14:48:16 087 16419 16419 D InputTransport: Input channel destroyed: fd 83_x000D_
   _x000D_
_x000D_
_x000D_
_x000D_
     _x000D_
Then installed the Talk QA 1420 apk from  1420  same error occured _x000D_
  adb logcat for 1420 apk:  _x000D_
_x000D_
   _x000D_
07 09 14:52:48 891 16871 16902 W System err: at bitfire dav4jvm exception NotFoundException: HTTP 404 _x000D_
07 09 14:52:48 892 16871 16902 W System err: 	at at bitfire dav4jvm DavResource checkStatus(DavResource kt:376)_x000D_
07 09 14:52:48 892 16871 16902 W System err: 	at at bitfire dav4jvm DavResource checkStatus(DavResource kt:358)_x000D_
07 09 14:52:48 892 16871 16902 W System err: 	at at bitfire dav4jvm DavResource processMultiStatus(DavResource kt:458)_x000D_
07 09 14:52:48 892 16871 16902 W System err: 	at at bitfire dav4jvm DavResource propfind(DavResource kt:345)_x000D_
07 09 14:52:48 892 16871 16902 W System err: 	at com nextcloud talk components filebrowser webdav ReadFilesystemOperation readRemotePath(ReadFilesystemOperation java:65)_x000D_
07 09 14:52:48 892 16871 16902 W System err: 	at com nextcloud talk adapters messages MagicPreviewMessageViewHolder 1 onSuccess(MagicPreviewMessageViewHolder java:555)_x000D_
07 09 14:52:48 892 16871 16902 W System err: 	at com nextcloud talk adapters messages MagicPreviewMessageViewHolder 1 onSuccess(MagicPreviewMessageViewHolder java:547)_x000D_
07 09 14:52:48 892 16871 16902 W System err: 	at io reactivex internal operators single SingleObserveOn ObserveOnSingleObserver run(SingleObserveOn java:81)_x000D_
07 09 14:52:48 892 16871 16902 W System err: 	at io reactivex Scheduler DisposeTask run(Scheduler java:608)_x000D_
07 09 14:52:48 892 16871 16902 W System err: 	at io reactivex internal schedulers ScheduledRunnable run(ScheduledRunnable java:66)_x000D_
07 09 14:52:48 892 16871 16902 W System err: 	at io reactivex internal schedulers ScheduledRunnable call(ScheduledRunnable java:57)_x000D_
07 09 14:52:48 892 16871 16902 W System err: 	at java util concurrent FutureTask run(FutureTask java:237)_x000D_
07 09 14:52:48 892 16871 16902 W System err: 	at java util concurrent ScheduledThreadPoolExecutor ScheduledFutureTask run(ScheduledThreadPoolExecutor java:272)_x000D_
07 09 14:52:48 893 16871 16902 W System err: 	at java util concurrent ThreadPoolExecutor runWorker(ThreadPoolExecutor java:1133)_x000D_
07 09 14:52:48 893 16871 16902 W System err: 	at java util concurrent ThreadPoolExecutor Worker run(ThreadPoolExecutor java:607)_x000D_
07 09 14:52:48 893 16871 16902 W System err: 	at java lang Thread run(Thread java:762)_x000D_
07 09 14:52:48 894 16871 16902 W System err: java lang NullPointerException: Attempt to invoke virtual method  okhttp3 HttpUrl at bitfire dav4jvm Response getHref()  on a null object reference_x000D_
07 09 14:52:48 894 16871 16902 W System err: 	at com nextcloud talk components filebrowser webdav ReadFilesystemOperation readRemotePath(ReadFilesystemOperation java:91)_x000D_
07 09 14:52:48 894 16871 16902 W System err: 	at com nextcloud talk adapters messages MagicPreviewMessageViewHolder 1 onSuccess(MagicPreviewMessageViewHolder java:555)_x000D_
07 09 14:52:48 894 16871 16902 W System err: 	at com nextcloud talk adapters messages MagicPreviewMessageViewHolder 1 onSuccess(MagicPreviewMessageViewHolder java:547)_x000D_
07 09 14:52:48 894 16871 16902 W System err: 	at io reactivex internal operators single SingleObserveOn ObserveOnSingleObserver run(SingleObserveOn java:81)_x000D_
07 09 14:52:48 894 16871 16902 W System err: 	at io reactivex Scheduler DisposeTask run(Scheduler java:608)_x000D_
07 09 14:52:48 894 16871 16902 W System err: 	at io reactivex internal schedulers ScheduledRunnable run(ScheduledRunnable java:66)_x000D_
07 09 14:52:48 895 16871 16902 W System err: 	at io reactivex internal schedulers ScheduledRunnable call(ScheduledRunnable java:57)_x000D_
07 09 14:52:48 895 16871 16902 W System err: 	at java util concurrent FutureTask run(FutureTask java:237)_x000D_
07 09 14:52:48 895 16871 16902 W System err: 	at java util concurrent ScheduledThreadPoolExecutor ScheduledFutureTask run(ScheduledThreadPoolExecutor java:272)_x000D_
07 09 14:52:48 895 16871 16902 W System err: 	at java util concurrent ThreadPoolExecutor runWorker(ThreadPoolExecutor java:1133)_x000D_
07 09 14:52:48 895 16871 16902 W System err: 	at java util concurrent ThreadPoolExecutor Worker run(ThreadPoolExecutor java:607)_x000D_
07 09 14:52:48 895 16871 16902 W System err: 	at java lang Thread run(Thread java:762)_x000D_
07 09 14:52:48 905 16871 16902 E AndroidRuntime: FATAL EXCEPTION: RxCachedThreadScheduler 1_x000D_
07 09 14:52:48 905 16871 16902 E AndroidRuntime: Process: com nextcloud talk2 qa  PID: 16871_x000D_
07 09 14:52:48 905 16871 16902 E AndroidRuntime: java lang NullPointerException: Attempt to invoke virtual method  okhttp3 HttpUrl at bitfire dav4jvm Response getHref()  on a null object reference_x000D_
07 09 14:52:48 905 16871 16902 E AndroidRuntime: 	at com nextcloud talk components filebrowser webdav ReadFilesystemOperation readRemotePath(ReadFilesystemOperation java:91)_x000D_
07 09 14:52:48 905 16871 16902 E AndroidRuntime: 	at com nextcloud talk adapters messages MagicPreviewMessageViewHolder 1 onSuccess(MagicPreviewMessageViewHolder java:555)_x000D_
07 09 14:52:48 905 16871 16902 E AndroidRuntime: 	at com nextcloud talk adapters messages MagicPreviewMessageViewHolder 1 onSuccess(MagicPreviewMessageViewHolder java:547)_x000D_
07 09 14:52:48 905 16871 16902 E AndroidRuntime: 	at io reactivex internal operators single SingleObserveOn ObserveOnSingleObserver run(SingleObserveOn java:81)_x000D_
07 09 14:52:48 905 16871 16902 E AndroidRuntime: 	at io reactivex Scheduler DisposeTask run(Scheduler java:608)_x000D_
07 09 14:52:48 905 16871 16902 E AndroidRuntime: 	at io reactivex internal schedulers ScheduledRunnable run(ScheduledRunnable java:66)_x000D_
07 09 14:52:48 905 16871 16902 E AndroidRuntime: 	at io reactivex internal schedulers ScheduledRunnable call(ScheduledRunnable java:57)_x000D_
07 09 14:52:48 905 16871 16902 E AndroidRuntime: 	at java util concurrent FutureTask run(FutureTask java:237)_x000D_
07 09 14:52:48 905 16871 16902 E AndroidRuntime: 	at java util concurrent ScheduledThreadPoolExecutor ScheduledFutureTask run(ScheduledThreadPoolExecutor java:272)_x000D_
07 09 14:52:48 905 16871 16902 E AndroidRuntime: 	at java util concurrent ThreadPoolExecutor runWorker(ThreadPoolExecutor java:1133)_x000D_
07 09 14:52:48 905 16871 16902 E AndroidRuntime: 	at java util concurrent ThreadPoolExecutor Worker run(ThreadPoolExecutor java:607)_x000D_
07 09 14:52:48 905 16871 16902 E AndroidRuntime: 	at java lang Thread run(Thread java:762)_x000D_
07 09 14:52:48 916  3858  5207 D InputDispatcher: Focus left window: 16871_x000D_
07 09 14:52:48 917 16871 16871 D ViewRootImpl 8d8cbc8 MainActivity : MSG WINDOW FOCUS CHANGED 0_x000D_
   _x000D_
_x000D_
_x000D_
     _x000D_
Talk app 12 1 0 works well on my 2nd phone with Android 10 _x000D_
_x000D_
Thanks for help </t>
  </si>
  <si>
    <t>PojavLauncherTeam-PojavLauncher-1646</t>
  </si>
  <si>
    <t>[BUG] When I use CodeChickenLib mod of 1.12.2, the game will be black and I can't enter it</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</si>
  <si>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_x000D_
  Add a log file if you want to see your bug fixed    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2 Download 1 12 2 and install forge_x000D_
3 install CodeChickenLib mod_x000D_
4 Start 1 12 2forge  and then the game is black_x000D_
    Expected behavior:_x000D_
I expected bug is fixed_x000D_
_x000D_
    Screenshots or videos:_x000D_
 Upload here screenshots or videos of the buggy behavior  if possible  _x000D_
_x000D_
I can t upload because of network problems_x000D_
_x000D_
  Platform:  _x000D_
   Device Model  redmi note 7 4 64 _x000D_
   CPU architecture  aarch64  _x000D_
   Android Version  10 _x000D_
   PojavLauncher Version  e g Latest Release    version 3 3 1 1 rel 20210206  _x000D_
_x000D_
_x000D_
 details   summary  b Additional context  b   summary _x000D_
 br _x000D_
 pre _x000D_
Add any other context about the problem here _x000D_
  pre _x000D_
  details _x000D_
_x000D_
 I don t know how to upload latestlog txt _x000D_
_x000D_
          beggining with launcher debug_x000D_
Info: Launcher version: v3 3 1 1 937 7ab675e0 _x000D_
Info: LWJGL3 directory:  lwjgl jemalloc jar  lwjgl opengl jar  lwjgl jar  lwjgl glfw classes jar  lwjgl tinyfd jar  lwjgl openal jar  version  lwjgl stb jar  jsr305 jar _x000D_
Architecture: arm64 aarch64_x000D_
Info: Custom Java arguments:   Dfile encoding UTF8 _x000D_
Info: Selected Minecraft version: 1 12 2 forge 14 23 5 2855 (1 12 2)_x000D_
Added custom env: TMPDIR  data user 0 net kdt pojavlaunch debug cache_x000D_
Added custom env: AWTSTUB WIDTH 2034_x000D_
Added custom env: REGAL GL VERSION 4 5_x000D_
Added custom env: REGAL GL VENDOR Android_x000D_
Added custom env: LIBGL MIPMAP 3_x000D_
Added custom env: allow higher compat version true_x000D_
Added custom env: MESA GLSL CACHE DIR  data user 0 net kdt pojavlaunch debug cache_x000D_
Added custom env: HOME  storage emulated 0 games PojavLauncher  minecraft_x000D_
Added custom env: PATH  data user 0 net kdt pojavlaunch debug jre runtime bin: sbin: system sbin: product bin: apex com android runtime bin: system bin: system xbin: odm bin: vendor bin: vendor xbin_x000D_
Added custom env: force glsl extensions warn true_x000D_
Added custom env: LIBGL NORMALIZE 1_x000D_
Added custom env: LD LIBRARY PATH  data user 0 net kdt pojavlaunch debug jre runtime lib aarch64 jli: data user 0 net kdt pojavlaunch debug jre runtime lib aarch64: system lib64: vendor lib64: vendor lib64 hw: data app net kdt pojavlaunch debug 5D bn7Fcz6nyaK5ynbcQUw   lib arm64_x000D_
Added custom env: POJAV RENDERER opengles3_x000D_
Added custom env: LIBGL ES 3_x000D_
Added custom env: MESA LOADER DRIVER OVERRIDE zink_x000D_
Added custom env: MESA GLSL VERSION OVERRIDE 460_x000D_
Added custom env: JAVA HOME  data user 0 net kdt pojavlaunch debug jre runtime_x000D_
Added custom env: MESA GL VERSION OVERRIDE 4 6_x000D_
Added custom env: allow glsl extension directive midshader true_x000D_
Added custom env: REGAL GL RENDERER Regal_x000D_
Added custom env: AWTSTUB HEIGHT 972_x000D_
          beginning of crash_x000D_
          beginning of system_x000D_
          beginning of main_x000D_
I jrelog  ( 8901): dlopen  data user 0 net kdt pojavlaunch debug jre runtime lib aarch64 jli libjli so success_x000D_
I jrelog  ( 8901): dlopen libjvm so failed: dlopen failed: library  libjvm so  not found_x000D_
I jrelog  ( 8901): dlopen  data user 0 net kdt pojavlaunch debug jre runtime lib aarch64 server libjvm so success_x000D_
I jrelog  ( 8901): dlopen  data user 0 net kdt pojavlaunch debug jre runtime lib aarch64 libverify so success_x000D_
I jrelog  ( 8901): dlopen  data user 0 net kdt pojavlaunch debug jre runtime lib aarch64 libjava so success_x000D_
I jrelog  ( 8901): dlopen  data user 0 net kdt pojavlaunch debug jre runtime lib aarch64 libnet so success_x000D_
I jrelog  ( 8901): dlopen  data user 0 net kdt pojavlaunch debug jre runtime lib aarch64 libnio so success_x000D_
I jrelog  ( 8901): dlopen  data user 0 net kdt pojavlaunch debug jre runtime lib aarch64 libawt so success_x000D_
I jrelog  ( 8901): dlopen  data user 0 net kdt pojavlaunch debug jre runtime lib aarch64 libawt headless so success_x000D_
I jrelog  ( 8901): dlopen  data user 0 net kdt pojavlaunch debug jre runtime lib aarch64 libfreetype so success_x000D_
I jrelog  ( 8901): dlopen  data user 0 net kdt pojavlaunch debug jre runtime lib aarch64 libfontmanager so success_x000D_
I jrelog  ( 8901): dlopen  data user 0 net kdt pojavlaunch debug jre runtime lib aarch64 liblcms so success_x000D_
I jrelog  ( 8901): dlopen  data user 0 net kdt pojavlaunch debug jre runtime lib aarch64 libnio so success_x000D_
I jrelog  ( 8901): dlopen  data user 0 net kdt pojavlaunch debug jre runtime lib aarch64 jli libjli so success_x000D_
I jrelog  ( 8901): dlopen  data user 0 net kdt pojavlaunch debug jre runtime lib aarch64 libawt headless so success_x000D_
I jrelog  ( 8901): dlopen  data user 0 net kdt pojavlaunch debug jre runtime lib aarch64 libjaas unix so success_x000D_
I jrelog  ( 8901): dlopen  data user 0 net kdt pojavlaunch debug jre runtime lib aarch64 libunpack so success_x000D_
I jrelog  ( 8901): dlopen  data user 0 net kdt pojavlaunch debug jre runtime lib aarch64 libfreetype so success_x000D_
I jrelog  ( 8901): dlopen  data user 0 net kdt pojavlaunch debug jre runtime lib aarch64 libmlib image so success_x000D_
I jrelog  ( 8901): dlopen  data user 0 net kdt pojavlaunch debug jre runtime lib aarch64 libnpt so failed: dlopen failed: library  libtinyiconv so  not found_x000D_
I jrelog  ( 8901): dlopen  data user 0 net kdt pojavlaunch debug jre runtime lib aarch64 libtinyiconv so success_x000D_
I jrelog  ( 8901): dlopen  data user 0 net kdt pojavlaunch debug jre runtime lib aarch64 libjsig so success_x000D_
I jrelog  ( 8901): dlopen  data user 0 net kdt pojavlaunch debug jre runtime lib aarch64 libjava crw demo so success_x000D_
I jrelog  ( 8901): dlopen  data user 0 net kdt pojavlaunch debug jre runtime lib aarch64 server libjvm so success_x000D_
I jrelog  ( 8901): dlopen  data user 0 net kdt pojavlaunch debug jre runtime lib aarch64 libjsound so success_x000D_
I jrelog  ( 8901): dlopen  data user 0 net kdt pojavlaunch debug jre runtime lib aarch64 libverify so success_x000D_
I jrelog  ( 8901): dlopen  data user 0 net kdt pojavlaunch debug jre runtime lib aarch64 libjdwp so success_x000D_
I jrelog  ( 8901): dlopen  data user 0 net kdt pojavlaunch debug jre runtime lib aarch64 libjawt so success_x000D_
I jrelog  ( 8901): dlopen  data user 0 net kdt pojavlaunch debug jre runtime lib aarch64 libsunec so success_x000D_
I jrelog  ( 8901): dlopen  data user 0 net kdt pojavlaunch debug jre runtime lib aarch64 libzip so success_x000D_
I jrelog  ( 8901): dlopen  data user 0 net kdt pojavlaunch debug jre runtime lib aarch64 libnet so success_x000D_
I jrelog  ( 8901): dlopen  data user 0 net kdt pojavlaunch debug jre runtime lib aarch64 libdt socket so success_x000D_
I jrelog  ( 8901): dlopen  data user 0 net kdt pojavlaunch debug jre runtime lib aarch64 libmanagement so success_x000D_
I jrelog  ( 8901): dlopen  data user 0 net kdt pojavlaunch debug jre runtime lib aarch64 libjpeg so success_x000D_
I jrelog  ( 8901): dlopen  data user 0 net kdt pojavlaunch debug jre runtime lib aarch64 libhprof so success_x000D_
I jrelog  ( 8901): dlopen  data user 0 net kdt pojavlaunch debug jre runtime lib aarch64 libjsdt so success_x000D_
I jrelog  ( 8901): dlopen  data user 0 net kdt pojavlaunch debug jre runtime lib aarch64 libawt so success_x000D_
I jrelog  ( 8901): dlopen  data user 0 net kdt pojavlaunch debug jre runtime lib aarch64 libawt xawt so success_x000D_
I jrelog  ( 8901): dlopen  data user 0 net kdt pojavlaunch debug jre runtime lib aarch64 libfontmanager so success_x000D_
I jrelog  ( 8901): dlopen  data user 0 net kdt pojavlaunch debug jre runtime lib aarch64 libj2pkcs11 so success_x000D_
I jrelog  ( 8901): dlopen  data user 0 net kdt pojavlaunch debug jre runtime lib aarch64 libj2gss so success_x000D_
I jrelog  ( 8901): dlopen  data user 0 net kdt pojavlaunch debug jre runtime lib aarch64 libjava so success_x000D_
I jrelog  ( 8901): dlopen  data user 0 net kdt pojavlaunch debug jre runtime lib aarch64 libinstrument so success_x000D_
I jrelog  ( 8901): dlopen  data user 0 net kdt pojavlaunch debug jre runtime lib aarch64 libj2pcsc so success_x000D_
I jrelog  ( 8901): dlopen  data user 0 net kdt pojavlaunch debug jre runtime lib aarch64 libsctp so success_x000D_
I jrelog  ( 8901): dlopen  data app net kdt pojavlaunch debug 5D bn7Fcz6nyaK5ynbcQUw   lib arm64 libopenal so success_x000D_
Initialising gl4es_x000D_
v1 1 5 built on Jul  3 2021 11:59:52_x000D_
Using GLES 2 0 backend_x000D_
loaded: libGLESv2 so_x000D_
loaded: libEGL so_x000D_
Using GLES 2 0 backend_x000D_
Hardware Full NPOT detected and used_x000D_
Extension GL EXT draw buffers is in core ES3  and so used_x000D_
FBO are in core  and so used_x000D_
PointSprite are in core  and so used_x000D_
CubeMap are in core  and so used_x000D_
BlendColor is in core  and so used_x000D_
Blend Substract is in core  and so used_x000D_
Blend Function and Equation Separation is in core  and so used_x000D_
Texture Mirrored Repeat is in core  and so used_x000D_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OES texture float  detected and used_x000D_
Extension GL OES texture half float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16384_x000D_
Max Varying Vector: 31_x000D_
Texture Units: 16 16 (hardware: 16)  Max lights: 8  Max planes: 6_x000D_
Extension GL EXT texture filter anisotropic  detected and used_x000D_
Max Anisotropic filtering: 16_x000D_
Max Color Attachments: 8   Draw buffers: 8_x000D_
Hardware vendor is Qualcomm_x000D_
GLSL 300 es supported_x000D_
GLSL 310 es supported and used_x000D_
sRGB surface supported_x000D_
EGLImage to Texture2D supported_x000D_
EGLImage to RenderBuffer supported_x000D_
ignore MipMap_x000D_
Targeting OpenGL 2 1_x000D_
NPOT texture handled in hardware_x000D_
Not trying to batch small subsequent glDrawXXXX_x000D_
try to use VBO_x000D_
Force texture for Attachment color0 on FBO_x000D_
Hack to trigger a SwapBuffers when a Full Framebuffer Blit on default FBO is done_x000D_
Force normals to be normalized on FPE shaders_x000D_
glX Will try to recycle EGL Surface_x000D_
Current folder is: _x000D_
I jrelog  ( 8901): dlopen libgl4es 115 so success_x000D_
I jrelog  ( 8901): Done processing args_x000D_
I jrelog  ( 8901): Found JLI lib_x000D_
I jrelog  ( 8901): Calling JLI Launch_x000D_
OpenJDK 64 Bit Server VM warning: No monotonic clock was available   timed services may be adversely affected if the time of day clock changes_x000D_
_x000D_
 12:48:03   main INFO   LaunchWrapper : Loading tweak class name net minecraftforge fml common launcher FMLTweaker_x000D_
 12:48:03   main INFO   LaunchWrapper : Using primary tweak class name net minecraftforge fml common launcher FMLTweaker_x000D_
 12:48:03   main INFO   LaunchWrapper : Calling tweak class net minecraftforge fml common launcher FMLTweaker_x000D_
 12:48:03   main INFO   FML : Forge Mod Loader version 14 23 5 2855 for Minecraft 1 12 2 loading_x000D_
 12:48:03   main INFO   FML : Java is OpenJDK 64 Bit Server VM  version 1 8 0 internal  running on Linux:aarch64:Android 10  installed at  data user 0 net kdt pojavlaunch debug jre runtime_x000D_
 12:48:04   main INFO   FML : Searching  storage emulated 0 games PojavLauncher  minecraft mods for mods_x000D_
 12:48:04   main INFO   FML : Loading tweaker guichaguri betterfps tweaker BetterFpsTweaker from 1 12 2  5 jar_x000D_
 12:48:04   main WARN   FML : The coremod me towdium jecharacters core JechCore does not have a MCVersion annotation  it may cause issues with this version of Minecraft_x000D_
 12:48:04   main WARN   FML : The coremod JechCore (me towdium jecharacters core JechCore) is not signed _x000D_
 12:48:04   main INFO   FML : Loading tweaker optifine OptiFineForgeTweaker from OptiFine 1 12 2 HD U F5 jar_x000D_
 12:48:04   main WARN   FML : Found FMLCorePluginContainsFMLMod marker in R    jar  This is not recommended   Mods should be in a separate jar from the coremod _x000D_
 12:48:05   main WARN   FML : The coremod invtweaks forge asm FMLPlugin does not have a MCVersion annotation  it may cause issues with this version of Minecraft_x000D_
 12:48:05   main INFO   FML : Loading tweaker org spongepowered asm launch MixinTweaker from Surge 1 12 2 2 0 77 jar_x000D_
 12:48:05   main INFO   FML : Loading tweaker me guichaguri betterfps tweaker BetterFpsTweaker from      jar_x000D_
 12:48:05   main INFO   FML : Loading tweaker org spongepowered asm launch MixinTweaker from       jar_x000D_
 12:48:05   main INFO   FML : Loading tweaker org spongepowered asm launch MixinTweaker from 1 12 2  11 jar_x000D_
 12:48:05   main INFO   LaunchWrapper : Loading tweak class name net minecraftforge fml common launcher FMLInjectionAndSortingTweaker_x000D_
 12:48:05   main INFO   LaunchWrapper : Loading tweak class name guichaguri betterfps tweaker BetterFpsTweaker_x000D_
 12:48:05   main INFO   LaunchWrapper : Loading tweak class name optifine OptiFineForgeTweaker_x000D_
 12:48:05   main INFO   LaunchWrapper : Loading tweak class name org spongepowered asm launch MixinTweaker_x000D_
 12:48:05   main INFO   mixin : SpongePowered MIXIN Subsystem Version 0 7 10 Source file: storage emulated 0 games PojavLauncher  minecraft mods Surge 1 12 2 2 0 77 jar Service LaunchWrapper Env CLIENT_x000D_
 12:48:05   main INFO   mixin : Compatibility level set to JAVA 8_x000D_
 12:48:06   main INFO   LaunchWrapper : Loading tweak class name me guichaguri betterfps tweaker BetterFpsTweaker_x000D_
 12:48:06   main WARN   LaunchWrapper : Tweak class name org spongepowered asm launch MixinTweaker has already been visited    skipping_x000D_
 12:48:06   main WARN   LaunchWrapper : Tweak class name org spongepowered asm launch MixinTweaker has already been visited    skipping_x000D_
 12:48:06   main INFO   LaunchWrapper : Loading tweak class name net minecraftforge fml common launcher FMLDeobfTweaker_x000D_
 12:48:06   main INFO   LaunchWrapper : Calling tweak class net minecraftforge fml common launcher FMLInjectionAndSortingTweaker_x000D_
 12:48:06   main INFO   LaunchWrapper : Calling tweak class net minecraftforge fml common launcher FMLInjectionAndSortingTweaker_x000D_
 12:48:06   main INFO   LaunchWrapper : Calling tweak class optifine OptiFineForgeTweaker_x000D_
 12:48:06   main INFO   STDOUT :  optifine OptiFineForgeTweaker:dbg:56 : OptiFineForgeTweaker: acceptOptions_x000D_
 12:48:06   main INFO   STDOUT :  optifine OptiFineForgeTweaker:dbg:56 : OptiFineForgeTweaker: injectIntoClassLoader_x000D_
 12:48:06   main INFO   STDOUT :  optifine OptiFineClassTransformer:dbg:242 : OptiFine ClassTransformer_x000D_
 12:48:06   main INFO   STDOUT :  optifine OptiFineClassTransformer:dbg:242 : OptiFine ZIP file:  storage emulated 0 games PojavLauncher  minecraft mods OptiFine 1 12 2 HD U F5 jar_x000D_
 12:48:06   main INFO   LaunchWrapper : Calling tweak class net minecraftforge fml relauncher CoreModManager FMLPluginWrapper_x000D_
 12:48:10   main INFO   FML : Found valid fingerprint for Minecraft Forge  Certificate fingerprint e3c3d50c7c986df74c645c0ac54639741c90a557_x000D_
 12:48:11   main INFO   FML : Found valid fingerprint for Minecraft  Certificate fingerprint cd99959656f753dc28d863b46769f7f8fbaefcfc_x000D_
 12:48:11   main INFO   LaunchWrapper : Calling tweak class net minecraftforge fml relauncher CoreModManager FMLPluginWrapper_x000D_
 12:48:11   main INFO   LaunchWrapper : Calling tweak class net minecraftforge fml relauncher CoreModManager FMLPluginWrapper_x000D_
 12:48:11   main INFO   jecharacters : Starting loading pinyin data_x000D_
 12:48:11   main INFO   jecharacters : Finished loading pinyin data_x000D_
 12:48:12   main INFO   LaunchWrapper : Calling tweak class org spongepowered asm launch MixinTweaker_x000D_
 12:48:12   main INFO   mixin : Initialised Mixin FML Remapper Adapter with net minecraftforge fml common asm transformers deobf FMLDeobfuscatingRemapper 37191ef0_x000D_
 12:48:12   main INFO   Phosphor Forge Core : Phosphor has been hooked by Forge  setting up Mixin and plugins_x000D_
 12:48:12   main INFO   LaunchWrapper : Calling tweak class guichaguri betterfps tweaker BetterFpsTweaker_x000D_
 12:48:12   main INFO   LaunchWrapper : Calling tweak class me guichaguri betterfps tweaker BetterFpsTweaker_x000D_
 12:48:12   main INFO   LaunchWrapper : Calling tweak class net minecraftforge fml common launcher FMLDeobfTweaker_x000D_
 12:48:12   Thread 1 WARN   jecharacters : Caught an exception when fetching online data:_x000D_
 12:48:12   Thread 1 INFO   STDERR :  me towdium jecharacters util FeedFetcher:fetch:53 : java net ConnectException: Connection refused (Connection refused)_x000D_
 12:48:12   Thread 1 INFO   STDERR :  me towdium jecharacters util FeedFetcher:fetch:53 : 	at java net PlainSocketImpl socketConnect(Native Method)_x000D_
 12:48:12   Thread 1 INFO   STDERR :  me towdium jecharacters util FeedFetcher:fetch:53 : 	at java net AbstractPlainSocketImpl doConnect(AbstractPlainSocketImpl java:350)_x000D_
 12:48:12   Thread 1 INFO   STDERR :  me towdium jecharacters util FeedFetcher:fetch:53 : 	at java net AbstractPlainSocketImpl connectToAddress(AbstractPlainSocketImpl java:204)_x000D_
 12:48:12   Thread 1 INFO   STDERR :  me towdium jecharacters util FeedFetcher:fetch:53 : 	at java net AbstractPlainSocketImpl connect(AbstractPlainSocketImpl java:188)_x000D_
 12:48:12   Thread 1 INFO   STDERR :  me towdium jecharacters util FeedFetcher:fetch:53 : 	at java net SocksSocketImpl connect(SocksSocketImpl java:392)_x000D_
 12:48:12   Thread 1 INFO   STDERR :  me towdium jecharacters util FeedFetcher:fetch:53 : 	at java net Socket connect(Socket java:607)_x000D_
 12:48:12   Thread 1 INFO   STDERR :  me towdium jecharacters util FeedFetcher:fetch:53 : 	at sun security ssl SSLSocketImpl connect(SSLSocketImpl java:288)_x000D_
 12:48:12   Thread 1 INFO   STDERR :  me towdium jecharacters util FeedFetcher:fetch:53 : 	at sun security ssl BaseSSLSocketImpl connect(BaseSSLSocketImpl java:173)_x000D_
 12:48:12   Thread 1 INFO   STDERR :  me towdium jecharacters util FeedFetcher:fetch:53 : 	at sun net NetworkClient doConnect(NetworkClient java:180)_x000D_
 12:48:12   Thread 1 INFO   STDERR :  me towdium jecharacters util FeedFetcher:fetch:53 : 	at sun net www http HttpClient openServer(HttpClient java:463)_x000D_
 12:48:12   Thread 1 INFO   STDERR :  me towdium jecharacters util FeedFetcher:fetch:53 : 	at sun net www http HttpClient openServer(HttpClient java:558)_x000D_
 12:48:12   Thread 1 INFO   STDERR :  me towdium jecharacters util FeedFetcher:fetch:53 : 	at sun net www protocol https HttpsClient  init (HttpsClient java:264)_x000D_
 12:48:12   Thread 1 INFO   STDERR :  me towdium jecharacters util FeedFetcher:fetch:53 : 	at sun net www protocol https HttpsClient New(HttpsClient java:367)_x000D_
 12:48:12   Thread 1 INFO   STDERR :  me towdium jecharacters util FeedFetcher:fetch:53 : 	at sun net www protocol https AbstractDelegateHttpsURLConnection getNewHttpClient(AbstractDelegateHttpsURLConnection java:203)_x000D_
 12:48:12   Thread 1 INFO   STDERR :  me towdium jecharacters util FeedFetcher:fetch:53 : 	at sun net www protocol http HttpURLConnection plainConnect0(HttpURLConnection java:1162)_x000D_
 12:48:12   Thread 1 INFO   STDERR :  me towdium jecharacters util FeedFetcher:fetch:53 : 	at sun net www protocol http HttpURLConnection 6 run(HttpURLConnection java:1046)_x000D_
 12:48:12   Thread 1 INFO   STDERR :  me towdium jecharacters util FeedFetcher:fetch:53 : 	at sun net www protocol http HttpURLConnection 6 run(HttpURLConnection java:1044)_x000D_
 12:48:12   Thread 1 INFO   STDERR :  me towdium jecharacters util FeedFetcher:fetch:53 : 	at java security AccessController doPrivileged(Native Method)_x000D_
 12:48:12   Thread 1 INFO   STDERR :  me towdium jecharacters util FeedFetcher:fetch:53 : 	at java security AccessController doPrivilegedWithCombiner(AccessController java:784)_x000D_
 12:48:12   Thread 1 INFO   STDERR :  me towdium jecharacters util FeedFetcher:fetch:53 : 	at sun net www protocol http HttpURLConnection plainConnect(HttpURLConnection java:1043)_x000D_
 12:48:12   Thread 1 INFO   STDERR :  me towdium jecharacters util FeedFetcher:fetch:53 : 	at sun net www protocol https AbstractDelegateHttpsURLConnection connect(AbstractDelegateHttpsURLConnection java:189)_x000D_
 12:48:12   Thread 1 INFO   STDERR :  me towdium jecharacters util FeedFetcher:fetch:53 : 	at sun net www protocol http HttpURLConnection getInputStream0(HttpURLConnection java:1570)_x000D_
 12:48:12   Thread 1 INFO   STDERR :  me towdium jecharacters util FeedFetcher:fetch:53 : 	at sun net www protocol http HttpURLConnection access 200(HttpURLConnection java:92)_x000D_
 12:48:12   Thread 1 INFO   STDERR :  me towdium jecharacters util FeedFetcher:fetch:53 : 	at sun net www protocol http HttpURLConnection 9 run(HttpURLConnection java:1490)_x000D_
 12:48:12   Thread 1 INFO   STDERR :  me towdium jecharacters util FeedFetcher:fetch:53 : 	at sun net www protocol http HttpURLConnection 9 run(HttpURLConnection java:1488)_x000D_
 12:48:12   Thread 1 INFO   STDERR :  me towdium jecharacters util FeedFetcher:fetch:53 : 	at java security AccessController doPrivileged(Native Method)_x000D_
 12:48:12   Thread 1 INFO   STDERR :  me towdium jecharacters util FeedFetcher:fetch:53 : 	at java security AccessController doPrivilegedWithCombiner(AccessController java:784)_x000D_
 12:48:12   Thread 1 INFO   STDERR :  me towdium jecharacters util FeedFetcher:fetch:53 : 	at sun net www protocol http HttpURLConnection getInputStream(HttpURLConnection java:1487)_x000D_
 12:48:12   Thread 1 INFO   STDERR :  me towdium jecharacters util FeedFetcher:fetch:53 : 	at sun net www protocol https HttpsURLConnectionImpl getInputStream(HttpsURLConnectionImpl java:268)_x000D_
 12:48:12   Thread 1 INFO   STDERR :  me towdium jecharacters util FeedFetcher:fetch:53 : 	at me towdium jecharacters util FeedFetcher fetch(FeedFetcher java:34)_x000D_
 12:48:12   Thread 1 INFO   STDERR :  me towdium jecharacters util FeedFetcher:fetch:53 : 	at java lang Thread run(Thread java:748)_x000D_
 12:48:13   main ERROR   mixin : Classloader restrictions  PACKAGE TRANSFORMER EXCLUSION  encountered loading mixins mzz core json:MixinLoader  name: xyz ajp makezoomzoom mixin MixinLoader_x000D_
 12:48:13   main INFO   mixin : Mixing MixinLoader from mixins mzz core json into net minecraftforge fml common Loader_x000D_
 12:48:15   main INFO   LaunchWrapper : Calling tweak class net minecraftforge fml relauncher CoreModManager FMLPluginWrapper_x000D_
 12:48:15   main INFO   LaunchWrapper : Loading tweak class name net minecraftforge fml common launcher TerminalTweaker_x000D_
 12:48:15   main INFO   LaunchWrapper : Loading tweak class name org spongepowered asm mixin EnvironmentStateTweaker_x000D_
 12:48:15   main INFO   LaunchWrapper : Calling tweak class net minecraftforge fml common launcher TerminalTweaker_x000D_
 12:48:15   main INFO   LaunchWrapper : Calling tweak class org spongepowered asm mixin EnvironmentStateTweaker_x000D_
 12:48:15   main INFO   STDOUT :  optifine OptiFineForgeTweaker:dbg:56 : OptiFineForgeTweaker: getLaunchArguments_x000D_
 12:48:15   main INFO   Phosphor Plugin : Loading configuration_x000D_
 12:48:16   main INFO   BetterFps : Patching net minecraft client Minecraft    (bib)_x000D_
 12:48:16   main INFO   mixin : A re entrant transformer  guichaguri betterfps transformers PatcherTransformer  was detected and will no longer process meta class data_x000D_
 12:48:17   main INFO   Phosphor Plugin : Disabled mixin  me jellysquid mods phosphor mixins lighting common MixinChunk Sponge  as we are in a basic Forge environment_x000D_
 12:48:17   main INFO   LaunchWrapper : Launching wrapped minecraft  net minecraft client main Main _x000D_
 12:48:17   main INFO   BetterFps : Patching net minecraft client Minecraft    (bib)_x000D_
 12:48:18   main INFO   BetterFps : Patching net minecraft client entity EntityPlayerSP    (bud)_x000D_
 12:48:20   main INFO   STDERR :  org lwjgl system Library:printError:493 :  LWJGL  Failed to load a library  Possible solutions:_x000D_
	a) Add the directory that contains the shared library to  Djava library path or  Dorg lwjgl librarypath _x000D_
	b) Add the JAR that contains the shared library to the classpath _x000D_
 12:48:20   main INFO   STDERR :  org lwjgl system Library:printError:495 :  LWJGL  Enable debug mode with  Dorg lwjgl util Debug true for better diagnostics _x000D_
 12:48:20   main INFO   STDERR :  org lwjgl system Library:printError:497 :  LWJGL  Enable the SharedLibraryLoader debug mode with  Dorg lwjgl util DebugLoader true for better diagnostics _x000D_
 12:48:21   Client thread INFO   minecraft Minecraft : Setting user: ttt_x000D_
 12:48:22   Client thread INFO   BetterFps : Patching net minecraft block Block    (aow)_x000D_
 12:48:25   Client thread INFO   BetterFps : Patching math utils with  RIVENS HALF  algorithm_x000D_
 12:48:29   Client thread INFO   BetterFps : Patching net minecraft tileentity TileEntityBeacon    (avh)_x000D_
 12:48:29   Client thread INFO   BetterFps : Patching net minecraft block BlockHopper    (arl)_x000D_
 12:48:29   Client thread INFO   BetterFps : Patching net minecraft tileentity TileEntityHopper    (avw)_x000D_
 12:48:37   Client thread INFO   Config :  OptiFine      Reflector Forge    _x000D_
 12:48:37   Client thread INFO   Config :  OptiFine  (Reflector) Class not present: mods betterfoliage client BetterFoliageClient_x000D_
 12:48:37   Client thread WARN   mixin : Static binding violation: PRIVATE  Overwrite method func 76615 h in mixins phosphor json:common MixinChunk cannot reduce visibiliy of PUBLIC target method  visibility will be upgraded _x000D_
 12:48:38   Client thread INFO   BetterFps : Patching net minecraft client renderer EntityRenderer    (buq)_x000D_
 12:48:40   BetterFps Update Checker WARN   BetterFps : Could not check for updates: Server returned HTTP response code: 403 for URL: http:  widget mcf li mc mods minecraft 229876 betterfps json_x000D_
 12:48:41   Client thread INFO   Config :  OptiFine      Reflector Vanilla    _x000D_
 12:48:41   Client thread INFO   BetterFps : Patching net minecraft client gui GuiOptions    (ble)_x000D_
EGLBridge: Initializing_x000D_
EGLBridge: Initialized _x000D_
EGLBridge: ThreadID 9511_x000D_
EGLBridge: EGLDisplay 0x1  EGLSurface 0x77be2c4d80_x000D_
EGLBridge: Created CTX pointer   0x77b9344580_x000D_
 12:48:42   Client thread INFO   STDERR :  org lwjgl glfw GLFW:glfwMakeContextCurrent:967 : java lang Exception: Trace exception_x000D_
 12:48:42   Client thread INFO   STDERR :  org lwjgl glfw GLFW:glfwMakeContextCurrent:967 : 	at org lwjgl glfw GLFW glfwMakeContextCurrent(GLFW java:965)_x000D_
 12:48:42   Client thread INFO   STDERR :  org lwjgl glfw GLFW:glfwMakeContextCurrent:967 : 	at org lwjgl opengl ContextGL makeCurrent(ContextGL java:187)_x000D_
 12:48:42   Client thread INFO   STDERR :  org lwjgl glfw GLFW:glfwMakeContextCurrent:967 : 	at org lwjgl opengl Display create(Display java:416)_x000D_
 12:48:42   Client thread INFO   STDERR :  org lwjgl glfw GLFW:glfwMakeContextCurrent:967 : 	at org lwjgl opengl Display  clinit (Display java:89)_x000D_
 12:48:42   Client thread INFO   STDERR :  org lwjgl glfw GLFW:glfwMakeContextCurrent:967 : 	at Config getDisplayModes(Config java:1859)_x000D_
 12:48:42   Client thread INFO   STDERR :  org lwjgl glfw GLFW:glfwMakeContextCurrent:967 : 	at net minecraft client settings GameSettings Options  clinit (GameSettings java:3596)_x000D_
 12:48:42   Client thread INFO   STDERR :  org lwjgl glfw GLFW:glfwMakeContextCurrent:967 : 	at net minecraft client settings GameSettings  init (GameSettings java:332)_x000D_
 12:48:42   Client thread INFO   STDERR :  org lwjgl glfw GLFW:glfwMakeContextCurrent:967 : 	at net minecraft client Minecraft func 71384 a(Minecraft java:444)_x000D_
 12:48:42   Client thread INFO   STDERR :  org lwjgl glfw GLFW:glfwMakeContextCurrent:967 : 	at net minecraft client Minecraft func 99999 d(Minecraft java:378)_x000D_
 12:48:42   Client thread INFO   STDERR :  org lwjgl glfw GLFW:glfwMakeContextCurrent:967 : 	at net minecraft client main Main main(SourceFile:123)_x000D_
 12:48:42   Client thread INFO   STDERR :  org lwjgl glfw GLFW:glfwMakeContextCurrent:967 : 	at sun reflect NativeMethodAccessorImpl invoke0(Native Method)_x000D_
 12:48:42   Client thread INFO   STDERR :  org lwjgl glfw GLFW:glfwMakeContextCurrent:967 : 	at sun reflect NativeMethodAccessorImpl invoke(NativeMethodAccessorImpl java:62)_x000D_
 12:48:42   Client thread INFO   STDERR :  org lwjgl glfw GLFW:glfwMakeContextCurrent:967 : 	at sun reflect DelegatingMethodAccessorImpl invoke(DelegatingMethodAccessorImpl java:43)_x000D_
 12:48:42   Client thread INFO   STDERR :  org lwjgl glfw GLFW:glfwMakeContextCurrent:967 : 	at java lang reflect Method invoke(Method java:498)_x000D_
 12:48:42   Client thread INFO   STDERR :  org lwjgl glfw GLFW:glfwMakeContextCurrent:967 : 	at net minecraft launchwrapper Launch launch(Launch java:135)_x000D_
 12:48:42   Client thread INFO   STDERR :  org lwjgl glfw GLFW:glfwMakeContextCurrent:967 : 	at net minecraft launchwrapper Launch main(Launch java:28)_x000D_
EGLBridge: Comparing: thr 9511  this 0x77b9344580  curr 0x0_x000D_
EGLBridge: Making current on window 0x77b9344580 on thread 9511_x000D_
EGLBridge: eglMakeCurrent() succeed _x000D_
 12:48:42   Client thread INFO   STDOUT :  org lwjgl glfw GLFW:glfwMakeContextCurrent:970 : 77b9344580_x000D_
Initialising gl4es_x000D_
v1 1 5 built on Jul  3 2021 11:59:52_x000D_
Using GLES 2 0 backend_x000D_
loaded: libGLESv2 so_x000D_
loaded: libEGL so_x000D_
Using GLES 2 0 backend_x000D_
Hardware Full NPOT detected and used_x000D_
Extension GL EXT draw buffers is in core ES3  and so used_x000D_
FBO are in core  and so used_x000D_
PointSprite are in core  and so used_x000D_
CubeMap are in core  and so used_x000D_
BlendColor is in core  and so used_x000D_
Blend Substract is in core  and so used_x000D_
Blend Function and Equation Separation is in core  and so used_x000D_
Texture Mirrored Repeat is in core  and so used_x000D_
Extension GL OES element index uint  detected and used_x000D_
Extension GL OES packed depth stencil  detected and used_x000D_
Extension GL OES depth24  detected and used_x000D_
Extension GL OES rgb8 rgba8  detected and used_x000D_
Extension GL EXT texture format BGRA8888  detected and used_x000D_
Extension GL OES depth texture  detected and used_x000D_
Extension GL OES texture stencil8  detected and used_x000D_
Extension GL OES texture float  detected and used_x000D_
Extension GL OES texture half float  detected and used_x000D_
Extension GL EXT color buffer float  detected and used_x000D_
Extension GL EXT color buffer half float  detected and used_x000D_
high precision float in fragment shader available and used_x000D_
Max vertex attrib: 32_x000D_
Extension GL OES standard derivatives  detected and used_x000D_
Max texture size: 16384_x000D_
Max Varying Vector: 31_x000D_
Texture Units: 16 16 (hardware: 16)  Max lights: 8  Max planes: 6_x000D_
Extension GL EXT texture filter anisotropic  detected and used_x000D_
Max Anisotropic filtering: 16_x000D_
Max Color Attachments: 8   Draw buffers: 8_x000D_
Hardware vendor is Qualcomm_x000D_
GLSL 300 es supported_x000D_
GLSL 310 es supported and used_x000D_
sRGB surface supported_x000D_
EGLImage to Texture2D supported_x000D_
EGLImage to RenderBuffer supported_x000D_
ignore MipMap_x000D_
Targeting OpenGL 2 1_x000D_
NPOT texture handled in hardware_x000D_
Not trying to batch small subsequent glDrawXXXX_x000D_
try to use VBO_x000D_
Force texture for Attachment color0 on FBO_x000D_
Hack to trigger a SwapBuffers when a Full Framebuffer Blit on default FBO is done_x000D_
Force normals to be normalized on FPE shaders_x000D_
glX Will try to recycle EGL Surface_x000D_
Current folder is: storage emulated 0 games PojavLauncher  minecraft_x000D_
EGLBridge: Comparing: thr 9511  this 0x77b9344580  curr 0x0_x000D_
EGLBridge: Making current on window 0x77b9344580 on thread 9511_x000D_
EGLBridge: eglMakeCurrent() succeed _x000D_
 12:48:42   Client thread INFO   STDOUT :  org lwjgl input GLFWInputImplementation:grabMouse:66 : Grab: false_x000D_
 12:48:42   Client thread WARN   minecraft GameSettings : Skipping bad option: lastServer:_x000D_
 12:48:42   Client thread WARN   minecraft GameSettings : Skipping bad option: streamPreferredServer:_x000D_
 12:48:42   Client thread INFO   minecraft Minecraft : LWJGL Version: 3 2 3 SNAPSHOT_x000D_
 12:48:42   Client thread INFO   STDERR :  org lwjgl opengl Display:setIcon:952 : java lang NullPointerException_x000D_
 12:48:42   Client thread INFO   STDERR :  org lwjgl opengl Display:setIcon:952 : 	at org lwjgl system Pointer Default  init (Pointer java:88)_x000D_
 12:48:42   Client thread INFO   STDERR :  org lwjgl opengl Display:setIcon:952 : 	at org lwjgl system CustomBuffer  init (CustomBuffer java:25)_x000D_
 12:48:42   Client thread INFO   STDERR :  org lwjgl opengl Display:setIcon:952 : 	at org lwjgl system StructBuffer  init (StructBuffer java:20)_x000D_
 12:48:42   Client thread INFO   STDERR :  org lwjgl opengl Display:setIcon:952 : 	at org lwjgl glfw GLFWImage Buffer  init (GLFWImage java:325)_x000D_
 12:48:42   Client thread INFO   STDERR :  org lwjgl opengl Display:setIcon:952 : 	at org lwjgl opengl Display setI</t>
  </si>
  <si>
    <t>mrvivacious-PorNo-_Porn_Blocker-83</t>
  </si>
  <si>
    <t>[Android] Validate inputted URLs are actually URLs....</t>
  </si>
  <si>
    <t xml:space="preserve">An  android content ActivityNotFoundException  crash happens with these lines:_x000D_
_x000D_
https:  github com mrvivacious PorNo  Porn Blocker blob 48ccc029feab6b73b565ad5058fcace9123b30a7 androidApp app src main java us mrvivacio porno MainActivity java L164_x000D_
_x000D_
https:  github com mrvivacious PorNo  Porn Blocker blob 48ccc029feab6b73b565ad5058fcace9123b30a7 androidApp app src main java us mrvivacio porno MyAccessibilityService java L227_x000D_
_x000D_
Hypothesis  because I don t have info on what the passed in intent was and don t collect data on the user s inputted data:_x000D_
 openUrlInBrowser  is called when the user presses the links in the popup menu and when the user touches their redirect links  This crash comes from a listItemTouch event  which means the  url  passed into the function is in an invalid format _x000D_
The accessibilityService class is related to this problem because when a user is redirected  an Activity is fired with the  supposed redirect URL   If the URL string is in invalid format  there is no activity to open a malformed string  so ActivityNotFound is thrown _x000D_
_x000D_
Detective mrvivacious believes this case is closed but is open to being shown more information _x000D_
_x000D_
REMEDY: Validate user input is in URL format (MainActivity class)   There exists work on this problem (https:  stackoverflow com questions 5717093 check if a javascript string is a url)  so we can rest easy for the time being  Will probably use if else checks for simplicity over regex LOL idk_x000D_
_x000D_
See exception:_x000D_
   _x000D_
android content ActivityNotFoundException: _x000D_
     _x000D_
  at android app Activity startActivity (Activity java:4789)_x000D_
  at us mrvivacio porno MainActivity openUrlInBrowser (MainActivity java:165)_x000D_
  at us mrvivacio porno MainActivity lambda setupTouchListeners 1 MainActivity (MainActivity java:114)_x000D_
     _x000D_
   _x000D_
_x000D_
_x000D_
_x000D_
 I can t believe some users don t enter valid URLs in the input    what are they typing in anyways  </t>
  </si>
  <si>
    <t>nextcloud-talk-android-1429</t>
  </si>
  <si>
    <t>app crashes after start (--&gt; Avoid crash after NoSupportedApiException)</t>
  </si>
  <si>
    <t xml:space="preserve">There are definitely too many users with outdated nextcloud installations  This currently leads to a crash after startup _x000D_
_x000D_
   Steps to reproduce_x000D_
1  start app with outdated server that does not support required API s_x000D_
_x000D_
    Expected behaviour_x000D_
show Warning that Server needs to be updated_x000D_
_x000D_
    Actual behaviour_x000D_
app crashes immediately after start with the following exception:_x000D_
_x000D_
   _x000D_
com nextcloud talk utils NoSupportedApiException: _x000D_
  at com nextcloud talk utils ApiUtils getConversationApiVersion (ApiUtils java:146)_x000D_
  at com nextcloud talk controllers ConversationsListController fetchData (ConversationsListController java:448)_x000D_
  at com nextcloud talk controllers ConversationsListController onAttach (ConversationsListController java:295)_x000D_
  at com bluelinelabs conductor Controller attach (Controller java:948)_x000D_
  at com bluelinelabs conductor Controller 7 onAttached (Controller java:1080)_x000D_
  at com bluelinelabs conductor internal ViewAttachHandler reportAttached (ViewAttachHandler java:87)_x000D_
  at com bluelinelabs conductor internal ViewAttachHandler 1 onAttached (ViewAttachHandler java:47)_x000D_
  at com bluelinelabs conductor internal ViewAttachHandler 2 onViewAttachedToWindow (ViewAttachHandler java:126)_x000D_
  at android view View dispatchAttachedToWindow (View java:20025)_x000D_
  at android view ViewGroup dispatchAttachedToWindow (ViewGroup java:3596)_x000D_
  at android view ViewGroup dispatchAttachedToWindow (ViewGroup java:3596)_x000D_
  at android view ViewGroup dispatchAttachedToWindow (ViewGroup java:3596)_x000D_
  at android view ViewGroup dispatchAttachedToWindow (ViewGroup java:3596)_x000D_
  at android view ViewGroup dispatchAttachedToWindow (ViewGroup java:3596)_x000D_
  at android view ViewGroup dispatchAttachedToWindow (ViewGroup java:3596)_x000D_
  at android view ViewGroup dispatchAttachedToWindow (ViewGroup java:3596)_x000D_
  at android view ViewGroup dispatchAttachedToWindow (ViewGroup java:3596)_x000D_
  at android view ViewGroup dispatchAttachedToWindow (ViewGroup java:3596)_x000D_
  at android view ViewRootImpl performTraversals (ViewRootImpl java:2220)_x000D_
  at android view ViewRootImpl doTraversal (ViewRootImpl java:1885)_x000D_
  at android view ViewRootImpl TraversalRunnable run (ViewRootImpl java:8508)_x000D_
  at android view Choreographer CallbackRecord run (Choreographer java:949)_x000D_
  at android view Choreographer doCallbacks (Choreographer java:761)_x000D_
  at android view Choreographer doFrame (Choreographer java:696)_x000D_
  at android view Choreographer FrameDisplayEventReceiver run (Choreographer java:935)_x000D_
  at android os Handler handleCallback (Handler java:873)_x000D_
  at android os Handler dispatchMessage (Handler java:99)_x000D_
  at android os Looper loop (Looper java:214)_x000D_
  at android app ActivityThread main (ActivityThread java:7050)_x000D_
  at java lang reflect Method invoke (Native Method)_x000D_
  at com android internal os RuntimeInit MethodAndArgsCaller run (RuntimeInit java:494)_x000D_
  at com android internal os ZygoteInit main (ZygoteInit java:965)_x000D_
   _x000D_
_x000D_
</t>
  </si>
  <si>
    <t>norkator-apcupsd-monitor-40</t>
  </si>
  <si>
    <t>People are experiencing new crashes after latest updates _x000D_
_x000D_
java lang NullPointerException: _x000D_
  at com nitramite apcupsdmonitor CustomUpsAdapter getView (CustomUpsAdapter java:83)_x000D_
  at com wdullaer swipeactionadapter DecoratorAdapter getView (DecoratorAdapter java:47)_x000D_
  at com wdullaer swipeactionadapter SwipeActionAdapter getView (SwipeActionAdapter java:63)_x000D_
  at android widget AbsListView obtainView (AbsListView java:2629)_x000D_
  at android widget ListView makeAndAddView (ListView java:2224)_x000D_
  at android widget ListView fillDown (ListView java:826)_x000D_
  at android widget ListView fillFromTop (ListView java:888)_x000D_
  at android widget ListView layoutChildren (ListView java:1960)_x000D_
  at android widget AbsListView onLayout (AbsListView java:2405)_x000D_
  at android view View layout (View java:24475)_x000D_
  at android view ViewGroup layout (ViewGroup java:7383)_x000D_
  at android widget LinearLayout setChildFrame (LinearLayout java:1829)_x000D_
  at android widget LinearLayout layoutVertical (LinearLayout java:1673)_x000D_
  at android widget LinearLayout onLayout (LinearLayout java:1582)_x000D_
  at android view View layout (View java:24475)_x000D_
  at android view ViewGroup layout (ViewGroup java:7383)_x000D_
  at androidx swiperefreshlayout widget SwipeRefreshLayout onLayout (SwipeRefreshLayout java:689)_x000D_
  at android view View layout (View java:24475)_x000D_
  at android view ViewGroup layout (ViewGroup java:7383)_x000D_
  at androidx coordinatorlayout widget CoordinatorLayout layoutChild (CoordinatorLayout java:1213)_x000D_
  at androidx coordinatorlayout widget CoordinatorLayout onLayoutChild (CoordinatorLayout java:899)_x000D_
  at androidx coordinatorlayout widget CoordinatorLayout onLayout (CoordinatorLayout java:919)_x000D_
  at android view View layout (View java:24475)_x000D_
  at android view ViewGroup layout (ViewGroup java:7383)_x000D_
  at android widget FrameLayout layoutChildren (FrameLayout java:332)_x000D_
  at android widget FrameLayout onLayout (FrameLayout java:270)_x000D_
  at android view View layout (View java:24475)_x000D_
  at android view ViewGroup layout (ViewGroup java:7383)_x000D_
  at androidx appcompat widget ActionBarOverlayLayout onLayout (ActionBarOverlayLayout java:536)_x000D_
  at android view View layout (View java:24475)_x000D_
  at android view ViewGroup layout (ViewGroup java:7383)_x000D_
  at android widget FrameLayout layoutChildren (FrameLayout java:332)_x000D_
  at android widget FrameLayout onLayout (FrameLayout java:270)_x000D_
  at android view View layout (View java:24475)_x000D_
  at android view ViewGroup layout (ViewGroup java:7383)_x000D_
  at android widget LinearLayout setChildFrame (LinearLayout java:1829)_x000D_
  at android widget LinearLayout layoutVertical (LinearLayout java:1673)_x000D_
  at android widget LinearLayout onLayout (LinearLayout java:1582)_x000D_
  at android view View layout (View java:24475)_x000D_
  at android view ViewGroup layout (ViewGroup java:7383)_x000D_
  at android widget FrameLayout layoutChildren (FrameLayout java:332)_x000D_
  at android widget FrameLayout onLayout (FrameLayout java:270)_x000D_
  at com android internal policy DecorView onLayout (DecorView java:1225)_x000D_
  at android view View layout (View java:24475)_x000D_
  at android view ViewGroup layout (ViewGroup java:7383)_x000D_
  at android view ViewRootImpl performLayout (ViewRootImpl java:4212)_x000D_
  at android view ViewRootImpl performTraversals (ViewRootImpl java:3647)_x000D_
  at android view ViewRootImpl doTraversal (ViewRootImpl java:2575)_x000D_
  at android view ViewRootImpl TraversalRunnable run (ViewRootImpl java:9916)_x000D_
  at android view Choreographer CallbackRecord run (Choreographer java:1010)_x000D_
  at android view Choreographer doCallbacks (Choreographer java:809)_x000D_
  at android view Choreographer doFrame (Choreographer java:744)_x000D_
  at android view Choreographer FrameDisplayEventReceiver run (Choreographer java:995)_x000D_
  at android os Handler handleCallback (Handler java:938)_x000D_
  at android os Handler dispatchMessage (Handler java:99)_x000D_
  at android os Looper loop (Looper java:246)_x000D_
  at android app ActivityThread main (ActivityThread java:8512)_x000D_
  at java lang reflect Method invoke (Native Method)_x000D_
  at com android internal os RuntimeInit MethodAndArgsCaller run (RuntimeInit java:602)_x000D_
  at com android internal os ZygoteInit main (ZygoteInit java:1130)</t>
  </si>
  <si>
    <t>PojavLauncherTeam-PojavLauncher-1644</t>
  </si>
  <si>
    <t>Optifine 1.17 Always crash</t>
  </si>
  <si>
    <t>Describe the bug_x000D_
When I click the start bottom in 1 17 optifine always crash_x000D_
_x000D_
To Reproduce:_x000D_
Indicate steps to reproduce the buggy behavior:_x000D_
_x000D_
Chosen 1 17 optifine_x000D_
Start the pojavlauncher_x000D_
Game crash_x000D_
_x000D_
Expected behavior:_x000D_
I expected the game to be in full screen or not zoomed in_x000D_
_x000D_
Platform:_x000D_
_x000D_
Device Model: xiaomi 9t pro_x000D_
CPU architecture: aarch64_x000D_
Android Version: EMUI 4 0 (Android 10)_x000D_
PojavLauncher Version: version 3 3 1 1 rel 20210321</t>
  </si>
  <si>
    <t>Anuken-Mindustry-5555</t>
  </si>
  <si>
    <t>powergrid turns off with combustion generators if 0 consumption, even with batteries connected</t>
  </si>
  <si>
    <t xml:space="preserve">  Platform  :  Android iOS Mac Windows Linux _x000D_
Windows 10_x000D_
_x000D_
  Build  :  The build number under the title in the main menu  Required   LATEST  IS NOT A VERSION  I NEED THE EXACT BUILD NUMBER OF YOUR GAME  _x000D_
Steam build 126 3_x000D_
_x000D_
  Issue  :  Explain your issue in detail  _x000D_
in the rare instant you have 0 powerdraw on your grid  you ll see the whole grid turning on and off if you cant supply enough coal to the generators  even though your batteries are full  and all the nodes are connected to the battery rather than directly to the combustion generators _x000D_
See gif: https:  gyazo com fec0f85b19f03334e745aa38e6424759_x000D_
It happens regardless if it s connected to a building (Mixer  graphene press  etc) as long as the buildings aren t consuming power _x000D_
_x000D_
  Steps to reproduce  :  How you happened across the issue  and what exactly you did to make the bug happen  _x000D_
at map 173 (or maybe any map) _x000D_
1  place drill on coal _x000D_
2  convey coal into combustion generator _x000D_
3  make sure the generator is undersupplied with coal  so it will turn off due to lack of coal (very important)_x000D_
3  place battery immediately next to generator so it gets charged _x000D_
4  place power node _x000D_
5  connect node to battery  rather than directly to the generator _x000D_
6  wait for the battery to get fully charged _x000D_
7  watch the power node turn on and off in sync of the generator running out of coal _x000D_
_x000D_
  Link(s) to mod(s) used  :  The mod repositories or zip files that are related to the issue  if applicable  _x000D_
None  total clean game  just started it today and experienced this 1 5 hours in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I think I uploaded a sivefile zip to this report  but cant see it anywhere  I ll double check right are submitting this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 crash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Related to  4168 but I provided all the details you need to test this bug using a very simple setup  easy to reproduce   </t>
  </si>
  <si>
    <t>inaturalist-iNaturalistAndroid-1064</t>
  </si>
  <si>
    <t>NullPointerException in ExploreActivity.onPermissionGranted</t>
  </si>
  <si>
    <t xml:space="preserve">https:  console firebase google com u 2 project inaturalist ios crashlytics app android:org inaturalist android issues 2d9568dc7ef8bc3240652bc74ba97fa2_x000D_
_x000D_
   _x000D_
Caused by java lang NullPointerException: Attempt to invoke virtual method  void android widget ImageView setVisibility(int)  on a null object reference_x000D_
       at org inaturalist android ExploreActivity 3 onPermissionGranted(ExploreActivity java:312)_x000D_
       at org inaturalist android INaturalistApp onRequestPermissionsResult(INaturalistApp java:1288)_x000D_
       at org inaturalist android ExploreActivity onRequestPermissionsResult(ExploreActivity java:1748)_x000D_
       at android app Activity dispatchRequestPermissionsResult(Activity java:8485)_x000D_
   </t>
  </si>
  <si>
    <t>Anuken-Mindustry-5553</t>
  </si>
  <si>
    <t>Incinerator Block Status Misleading</t>
  </si>
  <si>
    <t xml:space="preserve">  Platform  :  Android iOS Mac Windows Linux  Windows_x000D_
_x000D_
  Build  :  The build number under the title in the main menu  Required   LATEST  IS NOT A VERSION  I NEED THE EXACT BUILD NUMBER OF YOUR GAME   https:  github com Anuken MindustryBuilds releases tag 21401 BE 21401_x000D_
_x000D_
  Issue  :  Explain your issue in detail   The incinerator is not working at all  but the indicator on the incinerator is still green  _x000D_
_x000D_
  Steps to reproduce  :  How you happened across the issue  and what exactly you did to make the bug happen   I probably learned after trying to power an incinerator with a single solar panel  To reproduce the bug  simply place an incinerator and give it less than 30 sec power  The combustion generator is an example of power input  _x000D_
_x000D_
  image (https:  user images githubusercontent com 68676339 124966320 2e30e200 dff1 11eb 82e2 c2bdce130d3a png)_x000D_
_x000D_
  Link(s) to mod(s) used  :  The mod repositories or zip files that are related to the issue  if applicable   Vanilla_x000D_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incinerate zip (https:  github com Anuken Mindustry files 6786311 incinerate zip) mandatory_x000D_
_x000D_
  (Crash) logs  :  Either crash reports from the crash folder  or the file you get when you go into Settings    Game Data    Export Crash logs  REQUIRED if you are reporting a crash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</si>
  <si>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Anuken-Mindustry-5552</t>
  </si>
  <si>
    <t>Unable to Export Game Data and Save Files</t>
  </si>
  <si>
    <t xml:space="preserve">  Platform  :  Android iOS Mac Windows Linux 
  Android
  Build  :  The build number under the title in the main menu  Required   LATEST  IS NOT A VERSION  I NEED THE EXACT BUILD NUMBER OF YOUR GAME  
  Bleeding Edge 21396
  Issue  :  Explain your issue in detail  
  I was trying to export saves to my device so I can post a separate bug report  but  this happened  
  IMG 20210708 205429 jpg (https:  user images githubusercontent com 85320516 124925321 e5981980 e02e 11eb 8fc2 53abcad0c19a jpg)
  Steps to reproduce  :  How you happened across the issue  and what exactly you did to make the bug happen  
  You can t export save files and game  data 
  Link(s) to mod(s) used  :  The mod repositories or zip files that are related to the issue  if applicable  
  No mods used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I can t save the game data so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No crash happened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</si>
  <si>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dariuszseweryn-RxAndroidBle-758</t>
  </si>
  <si>
    <t>Uncaught exception: SingleResponseOperation.timeoutFallbackProcedure</t>
  </si>
  <si>
    <t xml:space="preserve">An exception (SingleResponseOperation timeoutFallbackProcedure  stack trace below) happens within RxAndroidBle causing our app to crash _x000D_
_x000D_
  To Reproduce  _x000D_
_x000D_
This happens to some of our customers on Android 11 as they use our ble product _x000D_
_x000D_
  Expected behavior  _x000D_
_x000D_
It s not known what causes the issue  but we expect the exception to be passed to our app  where we could take action there  Log the issue  disconnect etc _x000D_
_x000D_
  Smartphone :  _x000D_
   Device: A few from  OPPO  samsung  HUAWEI  Xiaomi _x000D_
   OS: Android 11_x000D_
   Library version: 1 10 5_x000D_
_x000D_
_x000D_
   _x000D_
com polidea rxandroidble2 internal SingleResponseOperation timeoutFallbackProcedure (SingleResponseOperation java:91)_x000D_
com polidea rxandroidble2 internal SingleResponseOperation protectedRun (SingleResponseOperation java:54)_x000D_
com polidea rxandroidble2 internal QueueOperation 1 subscribe (QueueOperation java:41)_x000D_
io reactivex internal operators observable ObservableCreate subscribeActual (ObservableCreate java:40)_x000D_
io reactivex Observable subscribe (Observable java:12267)_x000D_
io reactivex internal operators observable ObservableUnsubscribeOn subscribeActual (ObservableUnsubscribeOn java:32)_x000D_
io reactivex Observable subscribe (Observable java:12267)_x000D_
com polidea rxandroidble2 internal serialization FIFORunnableEntry 1 run (FIFORunnableEntry java:56)_x000D_
io reactivex internal schedulers ScheduledDirectTask call (ScheduledDirectTask java:38)_x000D_
io reactivex internal schedulers ScheduledDirectTask call (ScheduledDirectTask java:26)_x000D_
java util concurrent FutureTask run (FutureTask java:266)_x000D_
java util concurrent ThreadPoolExecutor runWorker (ThreadPoolExecutor java:1167)_x000D_
java util concurrent ThreadPoolExecutor Worker run (ThreadPoolExecutor java:641)_x000D_
java lang Thread run (Thread java:923) _x000D_
   _x000D_
   _x000D_
</t>
  </si>
  <si>
    <t>Blankj-AndroidUtilCode-1517</t>
  </si>
  <si>
    <t xml:space="preserve">AppUtils.getAppVersionName()返回null </t>
  </si>
  <si>
    <t xml:space="preserve">      Bug_x000D_
AppUtils getAppVersionName()  null  AppUtils getAppVersionCode()  0_x000D_
_x000D_
  AndroidUtilCode     1 30 6        utilcode:1 16 3   utilcodex:1 16 3                     _x000D_
     Bug         6T        Nexus 5X    _x000D_
      Android    30        API 27    _x000D_
_x000D_
       _x000D_
AppUtils getAppVersionName()_x000D_
AppUtils getAppVersionCode()_x000D_
       _x000D_
   java_x000D_
CrashUtils init() _x000D_
   _x000D_
   _x000D_
   _x000D_
put your code here_x000D_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_x000D_
_x000D_
  image (https:  user images githubusercontent com 6612998 124858097 06854e00 dfe0 11eb 89fc b0374c19f7bc png)_x000D_
  image (https:  user images githubusercontent com 6612998 124858596 f6ba3980 dfe0 11eb 8930 04dff79a29fc png)_x000D_
_x000D_
</t>
  </si>
  <si>
    <t>nextcloud-talk-android-1417</t>
  </si>
  <si>
    <t>App Crash on Android 5.1.1</t>
  </si>
  <si>
    <t xml:space="preserve">   Steps to reproduce_x000D_
1  Install the latest Version from the Google Play Store on an Android 5 1 1 EMUI 3 1 Huawei Device_x000D_
2  You tap the App Icon  the Splash screen shows for about 2 seconds and then the App crashed without any error message_x000D_
_x000D_
    Expected behaviour_x000D_
The App should just start normally_x000D_
_x000D_
    Actual behaviour_x000D_
The App crashes without any error message  But Video Calls are still possible_x000D_
_x000D_
_x000D_
   Device information_x000D_
_x000D_
  Device:   Huawei M2 A01L (Tablet)_x000D_
_x000D_
  Android version:   5 1 1_x000D_
_x000D_
  Talk version:   12 1 0_x000D_
_x000D_
   Server information_x000D_
_x000D_
  Nextcloud version:   21 0 3_x000D_
_x000D_
  Talk version:   11 2 2 (no update available)_x000D_
_x000D_
  Custom Signaling server configured:   no_x000D_
_x000D_
  Custom TURN server configured:   yes_x000D_
_x000D_
  Custom STUN server configured:   no (stun nextcloud com:443) _x000D_
_x000D_
    Server log (data nextcloud log)_x000D_
Logfile contains no entries from the day the crash happens_x000D_
</t>
  </si>
  <si>
    <t>cgeo-cgeo-11140</t>
  </si>
  <si>
    <t>Crash when attempting to open a cache from a link.</t>
  </si>
  <si>
    <t xml:space="preserve">     Fill in the following form by adding your text below the explanation comments     _x000D_
     You can use the preview tab above to review your issue before submitting it     _x000D_
_x000D_
   Bug description _x000D_
Crash when clicking on link http:  coord info GC6TW0V  from an email  This cache was already stored in the app as active  but the email was an archive notification _x000D_
_x000D_
_x000D_
   Reproduce _x000D_
    Steps to reproduce the problem_x000D_
     Describe step by step how to reproduce the problem    _x000D_
Click on link _x000D_
_x000D_
_x000D_
    Actual result after these steps _x000D_
     Describe the actual issue problem behavior in detail  which happens after the steps above    _x000D_
Crash _x000D_
_x000D_
_x000D_
    Expected result after these steps _x000D_
     Describe what you expected to happen instead (correct behavior)    _x000D_
App should open cache details _x000D_
_x000D_
_x000D_
   c:geo version _x000D_
     You will find the c:geo version in c:geo Menu    About c:geo    _x000D_
2021 07 06 RC_x000D_
_x000D_
_x000D_
   Reproducible _x000D_
     Yes   No (or describe under what conditions)    _x000D_
No  It crashed on two seperate attempts  Then I brought the app to foreground and subsequent attempt was successful _x000D_
_x000D_
_x000D_
   System information _x000D_
     Attach system information here if available (see c:geo Menu    About c:geo    Swipe right to System)    _x000D_
     Keep the apostrophe at beginning and end to have it properly formatted    _x000D_
_x000D_
_x000D_
_x000D_
   _x000D_
Device:_x000D_
_x000D_
Device type: Pixel 3 XL (crosshatch  google)_x000D_
Available processors: 8_x000D_
Android version: 11_x000D_
Android build: RQ3A 210605 005_x000D_
Screen resolution: 1440x2621px (411x748dp)_x000D_
Sailfish OS detected: false_x000D_
Google Play services: disabled   21 21 16 (150400 378233385)_x000D_
HW acceleration: enabled (default state)_x000D_
_x000D_
Sensor and location:_x000D_
_x000D_
Low power mode: active_x000D_
Compass capabilities: yes_x000D_
Rotation vector sensor: present_x000D_
Orientation sensor: present_x000D_
Magnetometer   Accelerometer sensor: present_x000D_
Direction sensor used: rotation vector_x000D_
_x000D_
Program settings:_x000D_
_x000D_
Hide caches: own _x000D_
Hide waypoints:  _x000D_
Set language: en US (system default)_x000D_
System date format: M d yy_x000D_
Debug mode active: no_x000D_
Live map mode: true_x000D_
OSM multi threading: true   threads: 4_x000D_
Global filter: display all caches_x000D_
Last backup: May 6  5:00 AM_x000D_
Routing mode: Walk_x000D_
Settings: v5  Count:151_x000D_
Map: OpenStreetMap org_x000D_
Id: cgeo geocaching maps mapsforge MapsforgeMapProvider OsmMapSource_x000D_
Atts:   OpenStreetMap DE  map data OpenStreetMap contributors_x000D_
Theme: Elevate zip:Elements xml_x000D_
_x000D_
Services:_x000D_
_x000D_
Geocaching sites enabled: geocaching com: Logged in (Login OK)   PREMIUM Geocaching com Adventure Lab_x000D_
Geocaching com date format: M d yyyy_x000D_
Routing: internal   BRouter installed: true_x000D_
Installed c:geo plugins: none_x000D_
_x000D_
Permissions   paths:_x000D_
_x000D_
Fine location permission: granted_x000D_
Write external storage permission: granted_x000D_
System internal c:geo dir:  data user 0 cgeo geocaching (19 7 GB free) v2 internal isDir(6 entries)_x000D_
Legacy User storage c:geo dir:  storage emulated 0 cgeo (19 7 GB free) v2 external non removable isDir(7 entries)_x000D_
Geocache data:  storage emulated 0 Android data cgeo geocaching files GeocacheData (19 7 GB free) v2 external non removable isDir(3371 entries)_x000D_
Internal theme sync (is turned off):  data user 0 cgeo geocaching MapThemeData (19 7 GB free) v2 internal isDir(0 entries)_x000D_
Public Folders:  11_x000D_
BASE:  cgeo (User Defined)  cgeo DOCUMENT 0:p content:  com android externalstorage documents tree primary 3Acgeo::   (Uri: content:  com android externalstorage documents tree primary 3Acgeo document primary 3Acgeo  Av:true  files:  48  dirs:  9  totalFileSize:  293 3 MB  free space: 19 7 GB  files on device: 13193728)_x000D_
OFFLINE MAPS:  GCDroid maps (User Defined)  GCDroid maps DOCUMENT 0:p content:  com android externalstorage documents tree primary 3AGCDroid 2Fmaps::   (Uri: content:  com android externalstorage documents tree primary 3AGCDroid 2Fmaps document primary 3AGCDroid 2Fmaps  Av:true  files:4  dirs:1  totalFileSize:1 4 GB  free space: 19 7 GB  files on device: 13193728)_x000D_
OFFLINE MAP THEMES:  GCDroid maps  themes (Default)  GCDroid maps  themes PERSISTABLE FOLDER(OFFLINE MAPS) 1:p content:  com android externalstorage documents tree primary 3AGCDroid 2Fmaps::  themes   (Uri: content:  com android externalstorage documents tree primary 3AGCDroid 2Fmaps document primary 3AGCDroid 2Fmaps 2F themes  Av:true  files:2  dirs:0  totalFileSize:467 3 KB  free space: 19 7 GB  files on device: 13193728)_x000D_
LOGFILES:  cgeo logfiles (Default)  cgeo logfiles PERSISTABLE FOLDER(BASE) 1:p content:  com android externalstorage documents tree primary 3Acgeo:: logfiles   (Uri: content:  com android externalstorage documents tree primary 3Acgeo document primary 3Acgeo 2Flogfiles  Av:true  files:1  dirs:0  totalFileSize:56 1 KB  free space: 19 7 GB  files on device: 13193728)_x000D_
GPX:  cgeo gpx (Default)  cgeo gpx PERSISTABLE FOLDER(BASE) 1:p content:  com android externalstorage documents tree primary 3Acgeo:: gpx   (Uri: content:  com android externalstorage documents tree primary 3Acgeo document primary 3Acgeo 2Fgpx  Av:true  files:43  dirs:0  totalFileSize:72 9 MB  free space: 19 7 GB  files on device: 13193728)_x000D_
BACKUP:  cgeo backup (Default)  cgeo backup PERSISTABLE FOLDER(BASE) 1:p content:  com android externalstorage documents tree primary 3Acgeo:: backup   (Uri: content:  com android externalstorage documents tree primary 3Acgeo document primary 3Acgeo 2Fbackup  Av:true  files:4  dirs:2  totalFileSize:220 3 MB  free space: 19 7 GB  files on device: 13193728)_x000D_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files:0  dirs:0  totalFileSize:0 B  free space: 19 7 GB  files on device: 13193728)_x000D_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  0  dirs:  15  totalFileSize:  0 B  free space: 19 7 GB  files on device: 13193728)_x000D_
ROUTING BASE:  cgeo routing (Default)  cgeo routing PERSISTABLE FOLDER(BASE) 1:p content:  com android externalstorage documents tree primary 3Acgeo:: routing   (Uri: content:  com android externalstorage documents tree primary 3Acgeo document primary 3Acgeo 2Frouting  Av:true  files:8  dirs:1  totalFileSize:51 8 MB  free space: 19 7 GB  files on device: 13193728)_x000D_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files:1  dirs:0  totalFileSize:51 7 MB  free space: 19 7 GB  files on device: 13193728)_x000D_
TEST FOLDER:  Legacy  data user 0 cgeo geocaching files unittest (Default)  data user 0 cgeo geocaching files unittest FILE 1:p file:   data user 0 cgeo geocaching files:: unittest   (Uri: file:   data user 0 cgeo geocaching files unittest  Av:true  files:0  dirs:0  totalFileSize:0 B  free space: 19 7 GB  files on device:  1)_x000D_
Map render theme path: Elevate zip:Elements xml_x000D_
PersistedDocumentUris:  1_x000D_
TRACK: null_x000D_
Persisted Uri Permissions:  2_x000D_
content:  com android externalstorage documents tree primary 3AGCDroid 2Fmaps (Mar 30  7:53 PM):RW_x000D_
content:  com android externalstorage documents tree primary 3Acgeo (Mar 30  7:52 PM):RW_x000D_
Database:  data user 0 cgeo geocaching databases data (v95  Size:120 2 MB) on system internal storage_x000D_
_x000D_
_x000D_
   _x000D_
_x000D_
   Screenshots _x000D_
     (optional  remove if not applicable) You may attach screenshots if applicable and helpful to explain your problem     _x000D_
07 07 15:06:17 979 25799 25799 E AndroidRuntime: FATAL EXCEPTION: main_x000D_
07 07 15:06:17 979 25799 25799 E AndroidRuntime: Process: cgeo geocaching  PID: 25799_x000D_
07 07 15:06:17 979 25799 25799 E AndroidRuntime: java lang RuntimeException: Unable to start activity ComponentInfo cgeo geocaching cgeo geocaching CacheDetailActivity : java lang NullPointerException: Attempt to invoke virtual method  io reactivex rxjava3 core Observable io reactivex rxjava3 core Observable observeOn(io reactivex rxjava3 core Scheduler)  on a null object reference_x000D_
07 07 15:06:17 979 25799 25799 E AndroidRuntime:        at android app ActivityThread performLaunchActivity(ActivityThread java:3431)_x000D_
07 07 15:06:17 979 25799 25799 E AndroidRuntime:        at android app ActivityThread handleLaunchActivity(ActivityThread java:3595)_x000D_
07 07 15:06:17 979 25799 25799 E AndroidRuntime:        at android app servertransaction LaunchActivityItem execute(LaunchActivityItem java:85)_x000D_
07 07 15:06:17 979 25799 25799 E AndroidRuntime:        at android app servertransaction TransactionExecutor executeCallbacks(TransactionExecutor java:135)_x000D_
07 07 15:06:17 979 25799 25799 E AndroidRuntime:        at android app servertransaction TransactionExecutor execute(TransactionExecutor java:95)_x000D_
07 07 15:06:17 979 25799 25799 E AndroidRuntime:        at android app ActivityThread H handleMessage(ActivityThread java:2066)_x000D_
07 07 15:06:17 979 25799 25799 E AndroidRuntime:        at android os Handler dispatchMessage(Handler java:106)_x000D_
07 07 15:06:17 979 25799 25799 E AndroidRuntime:        at android os Looper loop(Looper java:223)_x000D_
07 07 15:06:17 979 25799 25799 E AndroidRuntime:        at android app ActivityThread main(ActivityThread java:7664)_x000D_
07 07 15:06:17 979 25799 25799 E AndroidRuntime:        at java lang reflect Method invoke(Native Method)_x000D_
07 07 15:06:17 979 25799 25799 E AndroidRuntime:        at com android internal os RuntimeInit MethodAndArgsCaller run(RuntimeInit java:592)_x000D_
07 07 15:06:17 979 25799 25799 E AndroidRuntime:        at com android internal os ZygoteInit main(ZygoteInit java:947)_x000D_
07 07 15:06:17 979 25799 25799 E AndroidRuntime: Caused by: java lang NullPointerException: Attempt to invoke virtual method  io reactivex rxjava3 core Observable io reactivex rxjava3 core Observable observeOn(io reactivex rxjava3 core Scheduler)  on a null object reference_x000D_
07 07 15:06:17 979 25799 25799 E AndroidRuntime:        at cgeo geocaching sensors GeoDirHandler start(GeoDirHandler java:102)_x000D_
07 07 15:06:17 979 25799 25799 E AndroidRuntime:        at cgeo geocaching sensors GeoDirHandler start(GeoDirHandler java:85)_x000D_
07 07 15:06:17 979 25799 25799 E AndroidRuntime:        at cgeo geocaching CacheDetailActivity startOrStopGeoDataListener(CacheDetailActivity java:399)_x000D_
07 07 15:06:17 979 25799 25799 E AndroidRuntime:        at cgeo geocaching CacheDetailActivity lambda onCreate 0(CacheDetailActivity java:336)_x000D_
07 07 15:06:17 979 25799 25799 E AndroidRuntime:        at cgeo geocaching CacheDetailActivity lambda onCreate 0 CacheDetailActivity(Unknown Source:0)_x000D_
07 07 15:06:17 979 25799 25799 E AndroidRuntime:        at cgeo geocaching    Lambda CacheDetailActivity 8RiEoiH9d2V4Akug ZG4XuRm9d0 call(Unknown Source:4)_x000D_
07 07 15:06:17 979 25799 25799 E AndroidRuntime:        at cgeo geocaching activity TabbedViewPagerActivity 1 onPageSelected(TabbedViewPagerActivity java:88)_x000D_
07 07 15:06:17 979 25799 25799 E AndroidRuntime:        at androidx viewpager2 widget CompositeOnPageChangeCallback onPageSelected(CompositeOnPageChangeCallback java:73)_x000D_
07 07 15:06:17 979 25799 25799 E AndroidRuntime:        at androidx viewpager2 widget CompositeOnPageChangeCallback onPageSelected(CompositeOnPageChangeCallback java:73)_x000D_
07 07 15:06:17 979 25799 25799 E AndroidRuntime:        at androidx viewpager2 widget ScrollEventAdapter dispatchSelected(ScrollEventAdapter java:432)_x000D_
07 07 15:06:17 979 25799 25799 E AndroidRuntime:        at androidx viewpager2 widget ScrollEventAdapter notifyProgrammaticScroll(ScrollEventAdapter java:320)_x000D_
07 07 15:06:17 979 25799 25799 E AndroidRuntime:        at androidx viewpager2 widget ViewPager2 setCurrentItemInternal(ViewPager2 java:652)_x000D_
07 07 15:06:17 979 25799 25799 E AndroidRuntime:        at androidx viewpager2 widget ViewPager2 setCurrentItem(ViewPager2 java:607)_x000D_
07 07 15:06:17 979 25799 25799 E AndroidRuntime:        at androidx viewpager2 widget ViewPager2 setCurrentItem(ViewPager2 java:591)_x000D_
07 07 15:06:17 979 25799 25799 E AndroidRuntime:        at cgeo geocaching activity TabbedViewPagerActivity createViewPager(TabbedViewPagerActivity java:52)_x000D_
07 07 15:06:17 979 25799 25799 E AndroidRuntime:        at cgeo geocaching CacheDetailActivity onCreate(CacheDetailActivity java:331)_x000D_
07 07 15:06:17 979 25799 25799 E AndroidRuntime:        at android app Activity performCreate(Activity java:7994)_x000D_
07 07 15:06:17 979 25799 25799 E AndroidRuntime:        at android app Activity performCreate(Activity java:7978)_x000D_
07 07 15:06:17 979 25799 25799 E AndroidRuntime:        at android app Instrumentation callActivityOnCreate(Instrumentation java:1309)_x000D_
07 07 15:06:17 979 25799 25799 E AndroidRuntime:        at android app ActivityThread performLaunchActivity(ActivityThread java:3404)_x000D_
07 07 15:06:17 979 25799 25799 E AndroidRuntime:            11 more_x000D_
_x000D_
_x000D_
   Additional context _x000D_
     (optional  remove if not applicable) log files  reference to other similar issues  projects  sources  etc     </t>
  </si>
  <si>
    <t>trackerforce-splitmate-android-app-43</t>
  </si>
  <si>
    <t>New/Edit Item - Details are accepting blank values causing the app to crash</t>
  </si>
  <si>
    <t xml:space="preserve">When adding a new item detail  such as price or volume  when the value is not filled and the user submits the change causes the app to crash _x000D_
_x000D_
  Solution  _x000D_
Ignore or auto remove item detail that does not contain any value </t>
  </si>
  <si>
    <t>cgeo-cgeo-11136</t>
  </si>
  <si>
    <t>Chrome Webview not avalable</t>
  </si>
  <si>
    <t xml:space="preserve">Beta users report (and I can reproduce on master)  that the menu option  User Chrome Webview  is disabled and no longer usable _x000D_
Users which previously had activated it  seem to experience a crash when trying to  open with browser  (this however I cannot reproduce) </t>
  </si>
  <si>
    <t>Keidan-HexViewer-63</t>
  </si>
  <si>
    <t>application crashes</t>
  </si>
  <si>
    <t xml:space="preserve">  I open the file_x000D_
  editing it_x000D_
  save it_x000D_
  close it_x000D_
  everything is empty nothing  you need to open a new file_x000D_
  I press the menu to open_x000D_
  application crashes_x000D_
_x000D_
 bug2 zip (https:  github com Keidan HexViewer files 6779145 bug2 zip)_x000D_
</t>
  </si>
  <si>
    <t>Anuken-Mindustry-5549</t>
  </si>
  <si>
    <t>Payload driver units begone</t>
  </si>
  <si>
    <t xml:space="preserve">  Platform  :  Android iOS Mac Windows Linux _x000D_
_x000D_
Mac _x000D_
_x000D_
  Build  :  The build number under the title in the main menu  Required   LATEST  IS NOT A VERSION  I NEED THE EXACT BUILD NUMBER OF YOUR GAME  _x000D_
_x000D_
127 2_x000D_
_x000D_
  Issue  :  Explain your issue in detail  _x000D_
_x000D_
When a unit is shot with a payload driver and the game is paused while the unit is still in the air it remains in place  all normal  However  when the unit is past halfway to the receiving driver a visual bug occurs when you zoom into the unit  it disappears  _x000D_
_x000D_
  Steps to reproduce  :  How you happened across the issue  and what exactly you did to make the bug happen  _x000D_
_x000D_
1 Set us a payload driver system_x000D_
2  Pause the game with the units halfway to the receiving driver_x000D_
3  Zoom in_x000D_
4  Watch_x000D_
_x000D_
  Link(s) to mod(s) used  :  The mod repositories or zip files that are related to the issue  if applicable  _x000D_
_x000D_
No mods_x000D_
_x000D_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Driver Bug msav zip (https:  github com Anuken Mindustry files 6779041 Driver Bug msav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</si>
  <si>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Marmo-debitum-35</t>
  </si>
  <si>
    <t>Crash when clicking on a person</t>
  </si>
  <si>
    <t xml:space="preserve">Just that   clicking on any of the people in People crashes the app  Version is 1 3 2 </t>
  </si>
  <si>
    <t>commons-app-apps-android-commons-4498</t>
  </si>
  <si>
    <t>Splitting screens on some pages will cause the app to crash</t>
  </si>
  <si>
    <t xml:space="preserve">  Summary:   _x000D_
Splitting screens on some pages will cause the app to crash_x000D_
_x000D_
  Steps to reproduce:   _x000D_
1  Install and open commons_x000D_
2  Skip the tutorial_x000D_
3  Click the  search  icon in the top right corner_x000D_
4  Enter any character  such as  y _x000D_
5  Click any picture_x000D_
6  Split screen_x000D_
7  Crash_x000D_
_x000D_
  System logs:  _x000D_
_x000D_
   _x000D_
07 06 21:13:41 241 11797 11797 E AndroidRuntime: FATAL EXCEPTION: main_x000D_
07 06 21:13:41 241 11797 11797 E AndroidRuntime: Process: fr free nrw commons  PID: 11797_x000D_
07 06 21:13:41 241 11797 11797 E AndroidRuntime: kotlin UninitializedPropertyAccessException: lateinit property categoryImagesCallback has not been _x000D_
initialized_x000D_
07 06 21:13:41 241 11797 11797 E AndroidRuntime:        at fr free nrw commons explore media PageableMediaFragment getCategoryImagesCallback(PageableMediaFragment kt:24)_x000D_
07 06 21:13:41 241 11797 11797 E AndroidRuntime:        at fr free nrw commons explore media PageableMediaFragment pagedListAdapter 2 invoke(PageableMediaFragment kt:17)_x000D_
07 06 21:13:41 241 11797 11797 E AndroidRuntime:        at fr free nrw commons explore media PageableMediaFragment pagedListAdapter 2 invoke(PageableMediaFragment kt:14)_x000D_
07 06 21:13:41 241 11797 11797 E AndroidRuntime:        at kotlin SynchronizedLazyImpl getValue(LazyJVM kt:74)_x000D_
07 06 21:13:41 241 11797 11797 E AndroidRuntime:        at fr free nrw commons explore media PageableMediaFragment getPagedListAdapter(Unknown Source:2)_x000D_
07 06 21:13:41 241 11797 11797 E AndroidRuntime:        at fr free nrw commons explore media PageableMediaFragment getTotalMediaCount(PageableMediaFragment kt:55)_x000D_
07 06 21:13:41 241 11797 11797 E AndroidRuntime:        at fr free nrw commons explore SearchActivity getTotalMediaCount(SearchActivity java:177)   _x000D_
07 06 21:13:41 241 11797 11797 E AndroidRuntime:        at fr free nrw commons media MediaDetailPagerFragment MediaDetailAdapter getCount(MediaDetailPagerFragment java:404)_x000D_
07 06 21:13:41 241 11797 11797 E AndroidRuntime:        at androidx viewpager widget ViewPager setAdapter(ViewPager java:532)_x000D_
07 06 21:13:41 241 11797 11797 E AndroidRuntime:        at fr free nrw commons media MediaDetailPagerFragment onCreateView(MediaDetailPagerFragment java:105)_x000D_
07 06 21:13:41 241 11797 11797 E AndroidRuntime:        at androidx fragment app Fragment performCreateView(Fragment java:2698)_x000D_
07 06 21:13:41 241 11797 11797 E AndroidRuntime:        at androidx fragment app FragmentStateManager createView(FragmentStateManager java:310)     _x000D_
07 06 21:13:41 241 11797 11797 E AndroidRuntime:        at androidx fragment app FragmentManager moveToState(FragmentManager java:1185)_x000D_
07 06 21:13:41 241 11797 11797 E AndroidRuntime:        at androidx fragment app FragmentManager moveToState(FragmentManager java:1354)_x000D_
07 06 21:13:41 241 11797 11797 E AndroidRuntime:        at androidx fragment app FragmentManager moveFragmentToExpectedState(FragmentManager java:1432)_x000D_
07 06 21:13:41 241 11797 11797 E AndroidRuntime:        at androidx fragment app FragmentManager moveToState(FragmentManager java:1495)_x000D_
07 06 21:13:41 241 11797 11797 E AndroidRuntime:        at androidx fragment app FragmentManager dispatchStateChange(FragmentManager java:2617)     _x000D_
07 06 21:13:41 241 11797 11797 E AndroidRuntime:        at androidx fragment app FragmentManager dispatchActivityCreated(FragmentManager java:2569) _x000D_
07 06 21:13:41 241 11797 11797 E AndroidRuntime:        at androidx fragment app FragmentController dispatchActivityCreated(FragmentController java:247)_x000D_
07 06 21:13:41 241 11797 11797 E AndroidRuntime:        at androidx fragment app FragmentActivity onStart(FragmentActivity java:541)_x000D_
07 06 21:13:41 241 11797 11797 E AndroidRuntime:        at androidx appcompat app AppCompatActivity onStart(AppCompatActivity java:201)_x000D_
07 06 21:13:41 241 11797 11797 E AndroidRuntime:        at android app Instrumentation callActivityOnStart(Instrumentation java:1392)_x000D_
07 06 21:13:41 241 11797 11797 E AndroidRuntime:        at android app Activity performStart(Activity java:7252)_x000D_
07 06 21:13:41 241 11797 11797 E AndroidRuntime:        at android app ActivityThread handleStartActivity(ActivityThread java:2970)_x000D_
07 06 21:13:41 241 11797 11797 E AndroidRuntime:        at android app servertransaction TransactionExecutor performLifecycleSequence(TransactionExecutor java:180)_x000D_
07 06 21:13:41 241 11797 11797 E AndroidRuntime:        at android app servertransaction TransactionExecutor cycleToPath(TransactionExecutor java:165)_x000D_
07 06 21:13:41 241 11797 11797 E AndroidRuntime:        at android app servertransaction TransactionExecutor executeLifecycleState(TransactionExecutor java:142)_x000D_
07 06 21:13:41 241 11797 11797 E AndroidRuntime:        at android app servertransaction TransactionExecutor execute(TransactionExecutor java:70)   _x000D_
07 06 21:13:41 241 11797 11797 E AndroidRuntime:        at android app ActivityThread H handleMessage(ActivityThread java:1831)_x000D_
07 06 21:13:41 241 11797 11797 E AndroidRuntime:        at android os Handler dispatchMessage(Handler java:106)_x000D_
07 06 21:13:41 241 11797 11797 E AndroidRuntime:        at android os Looper loop(Looper java:201)_x000D_
07 06 21:13:41 241 11797 11797 E AndroidRuntime:        at android app ActivityThread main(ActivityThread java:6815)_x000D_
07 06 21:13:41 241 11797 11797 E AndroidRuntime:        at java lang reflect Method invoke(Native Method)_x000D_
07 06 21:13:41 241 11797 11797 E AndroidRuntime:        at com android internal os RuntimeInit MethodAndArgsCaller run(RuntimeInit java:547)        _x000D_
07 06 21:13:41 241 11797 11797 E AndroidRuntime:        at com android internal os ZygoteInit main(ZygoteInit java:873)_x000D_
   _x000D_
_x000D_
  Device and Android version:   _x000D_
_x000D_
Device1:  MI CC 9 _x000D_
OS version1:  MIUI 11 3 3 _x000D_
Device2:  PIXEL XL _x000D_
OS version2:  Android 8 0 _x000D_
 _x000D_
  Commons app version:   _x000D_
App version:  3 0 2 _x000D_
_x000D_
  Screen shots:   _x000D_
  ezgif com gif maker (1) (https:  user images githubusercontent com 15941953 124721001 4d6d3800 df3b 11eb 83c3 9dd14c76a011 gif)_x000D_
_x000D_
_x000D_
_x000D_
</t>
  </si>
  <si>
    <t>mvysny-aedict-962</t>
  </si>
  <si>
    <t xml:space="preserve">Hi Martin _x000D_
_x000D_
I got a crash every time I type      (french dictionary) _x000D_
_x000D_
It appears when I type the last  n  from  dennen _x000D_
_x000D_
 img src  https:  user images githubusercontent com 626863 124714469 c4ef9700 df3c 11eb 939f bcf4b0ac040a jpg  width  300     img src  https:  user images githubusercontent com 626863 124714472 c6b95a80 df3c 11eb 9950 a7bc49ac77cf jpg  width  300    _x000D_
</t>
  </si>
  <si>
    <t>twilio-video-quickstart-android-652</t>
  </si>
  <si>
    <t>Crash when using VideoTextureView: java.lang.RuntimeException: Failed to create EGL context: 0x3003</t>
  </si>
  <si>
    <t xml:space="preserve">    Description_x000D_
_x000D_
Joined a call with five participants   App crashed after a few minutes in the call   Now when I try to rejoin the call the app crashes immediately with the same error   Not fixed by a reboot _x000D_
_x000D_
     Reproduces how Often_x000D_
_x000D_
100 _x000D_
_x000D_
     Logs_x000D_
_x000D_
 egl crash txt (https:  github com twilio video quickstart android files 6773225 egl crash txt)_x000D_
_x000D_
    Versions_x000D_
_x000D_
com twilio:audioswitch:1 1 2_x000D_
com twilio:video android:6 3 0_x000D_
_x000D_
     Android API_x000D_
_x000D_
30_x000D_
_x000D_
     Android Device_x000D_
_x000D_
Pixel 4_x000D_
</t>
  </si>
  <si>
    <t>Anuken-Mindustry-5548</t>
  </si>
  <si>
    <t>Tsunami/wave sound bug</t>
  </si>
  <si>
    <t xml:space="preserve">   Platform  :  Android iOS Mac Windows Linux _x000D_
_x000D_
Android _x000D_
_x000D_
  Build  :  The build number under the title in the main menu  Required   LATEST  IS NOT A VERSION  I NEED THE EXACT BUILD NUMBER OF YOUR GAME  _x000D_
_x000D_
bleeding edge build 21391_x000D_
_x000D_
  Issue  :  Explain your issue in detail  _x000D_
_x000D_
Whenever you try to shoot a tsunami or a wave while it s disabled with logic  it will still make a spraying sound  I m sure this is not intended _x000D_
 as this is not the case with other turrets_x000D_
_x000D_
  Steps to reproduce  :  How you happened across the issue  and what exactly you did to make the bug happen  _x000D_
_x000D_
Place down tsunami and logic processor  Put the following code into processor:_x000D_
_x000D_
control enabled tsunami1 0 0 0 0_x000D_
control enabled wave1 0 0 0 0_x000D_
wait 5_x000D_
control enabled tsunami1 1 0 0 0_x000D_
control enabled wave1 1 0 0 0_x000D_
wait 1_x000D_
_x000D_
_x000D_
Link it to tsunami  enter tsunami and shoot _x000D_
_x000D_
  Link(s) to mod(s) used  :  The mod repositories or zip files that are related to the issue  if applicable  _x000D_
_x000D_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Couldn t figure out how to upload on mobile  so I uploaded it on mega_x000D_
https:  mega nz file yLJTEYYC gqB2s8M9FTBksDkrLxMILJ1IstR14eUpt1kMX2rBSew_x000D_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</si>
  <si>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BugBattle-Android-SDK-11</t>
  </si>
  <si>
    <t>App crashes with NullPointerException when takeScreenshot is invoked</t>
  </si>
  <si>
    <t xml:space="preserve">Hey there friends _x000D_
_x000D_
We noticed a plethora of crashes (in production) originating from bug battle on Android  specifically when users try to invoke it with a screenshot _x000D_
_x000D_
Another stacktrace also includes the following error:_x000D_
 Attempt to invoke virtual method  android content Context android app Activity getApplicationContext()  on a null object reference_x000D_
 _x000D_
_x000D_
Here s a stack trace:_x000D_
_x000D_
   _x000D_
java lang NullPointerException: _x000D_
  at bugbattle io bugbattle ScreenshotTaker openScreenshot (ScreenshotTaker java:37)_x000D_
  at bugbattle io bugbattle ScreenshotTaker takeScreenshot (ScreenshotTaker java:33)_x000D_
  at bugbattle io bugbattle BBDetector takeScreenshot (BBDetector java:37)_x000D_
  at bugbattle io bugbattle ScreenshotGestureDetector startBugReporting (ScreenshotGestureDetector java:31)_x000D_
  at bugbattle io bugbattle ScreenshotGestureDetector access 000 (ScreenshotGestureDetector java:9)_x000D_
  at bugbattle io bugbattle ScreenshotGestureDetector 1 onChange (ScreenshotGestureDetector java:43)_x000D_
  at android database ContentObserver onChange (ContentObserver java:132)_x000D_
  at bugbattle io bugbattle ScreenshotGestureDetector 1 onChange (ScreenshotGestureDetector java:48)_x000D_
  at android database ContentObserver onChange (ContentObserver java:147)_x000D_
  at android database ContentObserver NotificationRunnable run (ContentObserver java:218)_x000D_
  at android os Handler handleCallback (Handler java:883)_x000D_
  at android os Handler dispatchMessage (Handler java:100)_x000D_
  at android os Looper loop (Looper java:214)_x000D_
  at android app ActivityThread main (ActivityThread java:7697)_x000D_
  at java lang reflect Method invoke (Native Method)_x000D_
  at com android internal os RuntimeInit MethodAndArgsCaller run (RuntimeInit java:516)_x000D_
  at com android internal os ZygoteInit main (ZygoteInit java:950)_x000D_
   _x000D_
_x000D_
Are we doing something wrong  or is this just a bug _x000D_
_x000D_
We re using:  react native bugbattle sdk :  4 0 1  _x000D_
and this happens on  various devices and os versions (https:  share squarespace com jkuPRbbA)_x000D_
_x000D_
Is that feature stable  or should we defer from using it _x000D_
_x000D_
Thank you_x000D_
</t>
  </si>
  <si>
    <t>aws-amplify-aws-sdk-android-2533</t>
  </si>
  <si>
    <t>Kinesis saveRecord failing with null pointer exception</t>
  </si>
  <si>
    <t xml:space="preserve">  Describe the bug  _x000D_
Rather than the ACE exception  it looks like the internal code is failing with a null pointer:_x000D_
 05 24 16:33:50 234 12079  7514 E AndroidRuntime: java lang NullPointerException_x000D_
05 24 16:33:50 234 12079  7514 E AndroidRuntime: 	at java io FileOutputStream  init (FileOutputStream java:227)_x000D_
05 24 16:33:50 234 12079  7514 E AndroidRuntime: 	at com amazonaws mobileconnectors kinesis kinesisrecorder FileManager newOutputStream(FileManager java:115)_x000D_
05 24 16:33:50 234 12079  7514 E AndroidRuntime: 	at com amazonaws mobileconnectors kinesis kinesisrecorder FileRecordStore tryInitializeWriter(FileRecordStore java:121)_x000D_
05 24 16:33:50 234 12079  7514 E AndroidRuntime: 	at com amazonaws mobileconnectors kinesis kinesisrecorder FileRecordStore put(FileRecordStore java:80)_x000D_
05 24 16:33:50 234 12079  7514 E AndroidRuntime: 	at com amazonaws mobileconnectors kinesis kinesisrecorder AbstractKinesisRecorder saveRecord(AbstractKinesisRecorder java:100)_x000D_
05 24 16:33:50 234 12079  7514 E AndroidRuntime: 	at com amazonaws mobileconnectors kinesis kinesisrecorder KinesisRecorder saveRecord(KinesisRecorder java:240)_x000D_
 _x000D_
  To Reproduce  _x000D_
It is difficult to say what is triggering it  but it is failing after running for a few hours  _x000D_
_x000D_
  Which AWS service(s) are affected   _x000D_
Kinesis_x000D_
_x000D_
  Expected behavior  _x000D_
No crash or an ACE exception _x000D_
_x000D_
  Environment Information (please complete the following information):  _x000D_
   AWS Android SDK Version: _x000D_
    com amazonaws:aws android sdk kinesis:2 18 0_x000D_
   other AWS SDKs are 2 19 0_x000D_
_x000D_
   Device: Pixel 3A_x000D_
   Android Version: 11_x000D_
   Specific to simulators: No_x000D_
_x000D_
</t>
  </si>
  <si>
    <t>material-components-material-components-android-2285</t>
  </si>
  <si>
    <t>[datepicker.MaterialCalendarGridView] crash on select a date range across two months (second month with 6 weeks)</t>
  </si>
  <si>
    <t xml:space="preserve">  Description:   _x000D_
It still crashes with   com google android material:material:1 4 0  _x000D_
See  2195 (updated)_x000D_
_x000D_
_x000D_
</t>
  </si>
  <si>
    <t>Anuken-Mindustry-5543</t>
  </si>
  <si>
    <t>Crash (When shooting and aim to enemy)</t>
  </si>
  <si>
    <t xml:space="preserve">  Platform  :  Windows _x000D_
_x000D_
  Build  :  127 1 _x000D_
_x000D_
  Issue  :  When i aim to enemy and click on it i get crash _x000D_
_x000D_
  Steps to reproduce  :  When i aimed to enemy i got crash so i thinked its client problem _x000D_
_x000D_
  Link(s) to mod(s) used  :  No mods _x000D_
_x000D_
  Save file  :  Its works on every my save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crash report 07 05 2021 13 09 18 txt (https:  github com Anuken Mindustry files 6762453 crash report 07 05 2021 13 09 18 txt)_x000D_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</si>
  <si>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mtotschnig-MyExpenses-852</t>
  </si>
  <si>
    <t>Selecting a template of a type different than the previously selected one does not work</t>
  </si>
  <si>
    <t xml:space="preserve">On the edit screen  using the menu allowing to select an existing template either leads to a broken screen  for example (selecting a transfer template when the form was previously for a transaction) or crashing (selecting a category template when the form was previously for a transfer) </t>
  </si>
  <si>
    <t>Anuken-Mindustry-5541</t>
  </si>
  <si>
    <t>Derelict Cores' inventory can be accessed.</t>
  </si>
  <si>
    <t xml:space="preserve">  Platform  :  Android iOS Mac Windows Linux _x000D_
Windows_x000D_
  Build  :  The build number under the title in the main menu  Required   LATEST  IS NOT A VERSION  I NEED THE EXACT BUILD NUMBER OF YOUR GAME  _x000D_
127 3 steam_x000D_
  Issue  :  Explain your issue in detail  _x000D_
Derelict cores can be accessed  as shown on the image _x000D_
  image (https:  user images githubusercontent com 75080541 124394129 60320380 dcd4 11eb 9524 8d5432a5e549 png)_x000D_
_x000D_
  Steps to reproduce  :  How you happened across the issue  and what exactly you did to make the bug happen  _x000D_
Step 1: Add a derelict core to a map_x000D_
Step 2: Go to the core in game and click on it_x000D_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BugReportSave zip (https:  github com Anuken Mindustry files 6760316 BugReportSave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</si>
  <si>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MuntashirAkon-AppManager-505</t>
  </si>
  <si>
    <t>Can't manage app in work profile</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</si>
  <si>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Tried to manage work profile app will result AM crash_x000D_
_x000D_
  To Reproduce  _x000D_
Steps to reproduce the behaviour:_x000D_
1  Open AM With ADB Over TCP Mode_x000D_
2  Click on app choose work profile_x000D_
3  Try to disable or enable_x000D_
4  AM crash_x000D_
_x000D_
  Expected behavior  _x000D_
No crash_x000D_
_x000D_
  Screenshots  _x000D_
If applicable  add screenshots to help explain your problem _x000D_
_x000D_
  Crash logs  _x000D_
   _x000D_
java lang SecurityException: Shell cannot change component state for com oppo ota null to 1_x000D_
    at android os Parcel createException(Parcel java:2087)_x000D_
    at android os Parcel readException(Parcel java:2055)_x000D_
    at android os Parcel readException(Parcel java:2003)_x000D_
    at android content pm IPackageManager Stub Proxy setApplicationEnabledSetting(IPackageManager java:7651)_x000D_
    at io github muntashirakon AppManager servermanager PackageManagerCompat setApplicationEnabledSetting(PackageManagerCompat java:106)_x000D_
    at io github muntashirakon AppManager details info AppInfoFragment lambda setHorizontalActions 67 AppInfoFragment(AppInfoFragment java:925)_x000D_
    at io github muntashirakon AppManager details info    Lambda AppInfoFragment nS4ywqoiA G4QduKEJU9qGxhfuw onClick(Unknown Source:2)_x000D_
    at android view View performClick(View java:7394)_x000D_
    at android view View performClickInternal(View java:7348)_x000D_
    at android view View access 3900(View java:827)_x000D_
    at android view View PerformClick run(View java:28293)_x000D_
    at android os Handler handleCallback(Handler java:899)_x000D_
    at android os Handler dispatchMessage(Handler java:100)_x000D_
    at android os Looper loop(Looper java:238)_x000D_
    at android app ActivityThread main(ActivityThread java:7853)_x000D_
    at java lang reflect Method invoke(Native Method)_x000D_
    at com android internal os RuntimeInit MethodAndArgsCaller run(RuntimeInit java:492)_x000D_
    at com android internal os ZygoteInit main(ZygoteInit java:984)_x000D_
 Caused by: android os RemoteException: Remote stack trace:_x000D_
	at com android server pm PackageManagerService setEnabledSetting(PackageManagerService java:23695)_x000D_
	at com android server pm PackageManagerService setApplicationEnabledSetting(PackageManagerService java:23564)_x000D_
	at com android server pm OppoPackageManagerService setApplicationEnabledSetting(OppoPackageManagerService java:540)_x000D_
	at android content pm IPackageManager Stub onTransact(IPackageManager java:3638)_x000D_
	at com android server pm PackageManagerService onTransact(PackageManagerService java:4883)_x000D_
_x000D_
_x000D_
Device Info:_x000D_
App version: 2 6 0_x000D_
App version code: 385_x000D_
Android build version: 1608537052_x000D_
Android release version: 10_x000D_
Android SDK version: 29_x000D_
Android build ID: RMX2030EX 11 C 67_x000D_
Device brand: realme_x000D_
Device manufacturer: realme_x000D_
Device name: RMX2030_x000D_
Device model: RMX2030_x000D_
Device product name: RMX2030_x000D_
Device hardware name: qcom_x000D_
ABIs:  arm64 v8a  armeabi v7a  armeabi _x000D_
ABIs (32bit):  armeabi v7a  armeabi _x000D_
ABIs (64bit):  arm64 v8a _x000D_
System language: id ID_x000D_
In App Language: auto_x000D_
Mode: adb_x000D_
   _x000D_
_x000D_
  Device info  _x000D_
   Device: Realme 5i_x000D_
   OS Version: Android Q_x000D_
   App Manager Version: 2 6 0_x000D_
   Mode: ADB over TCP_x000D_
_x000D_
  Additional context  _x000D_
Not tested on 2 6 1 and 2 6 2 yet_x000D_
For 2 6 1 i will never able to test since AM have ADB Over TCP Issues_x000D_
For 2 6 2 Waiting Until It Released On F Droid org I dont want get bothered reinstall this app with different signature_x000D_
</t>
  </si>
  <si>
    <t>LawnchairLauncher-lawnchair-2181</t>
  </si>
  <si>
    <t>[Surface Duo] InstaCrash</t>
  </si>
  <si>
    <t xml:space="preserve">Latest Alpha  haven t tested older ones _x000D_
I saw a few posts on XDA and Reddit talking about it working fine (probably earlier Alpha)  but I got crash galore (wont even work  at all  ) _x000D_
_x000D_
Will try to get logs to append tomorrow _x000D_
_x000D_
</t>
  </si>
  <si>
    <t>Anuken-Mindustry-5528</t>
  </si>
  <si>
    <t>Executable from Itch fails</t>
  </si>
  <si>
    <t xml:space="preserve">  Platform  :  Linux _x000D_
_x000D_
  Build  :  127 2 _x000D_
_x000D_
  Issue  :  Running the executable from Itch failed and outputted the message in this report s  (Crash) logs  section  _x000D_
_x000D_
  Steps to reproduce  :  I downloaded the files for Linux from Itch   I unzipped them all into the same directory   I attempted to run it  _x000D_
_x000D_
  Link(s) to mod(s) used  :  No mods used  _x000D_
_x000D_
  Save file  :  This didn t occur in game  _x000D_
_x000D_
  (Crash) logs  :  _x000D_
   _x000D_
  91m  1m E   0m arc util ArcRuntimeException: File not found: version properties (internal)_x000D_
	at arc files Fi read(Fi java:199)_x000D_
	at arc files Fi reader(Fi java:232)_x000D_
	at arc files Fi reader(Fi java:224)_x000D_
	at mindustry core Version init(Version java:30)_x000D_
	at mindustry desktop DesktopLauncher  init (DesktopLauncher java:55)_x000D_
	at mindustry desktop DesktopLauncher main(DesktopLauncher java:38)_x000D_
_x000D_
java lang NullPointerException_x000D_
	at java base java io Reader  init (Unknown Source)_x000D_
	at java base java io InputStreamReader  init (Unknown Source)_x000D_
	at mindustry net CrashSender send(CrashSender java:72)_x000D_
	at mindustry desktop DesktopLauncher handleCrash(DesktopLauncher java:228)_x000D_
	at mindustry desktop DesktopLauncher main(DesktopLauncher java:50)_x000D_
  91m  1m E   0m Failed to parse version _x000D_
  91m  1m E   0m Failed to save local crash report : java lang ExceptionInInitializerError_x000D_
	at mindustry desktop DesktopLauncher message(DesktopLauncher java:358)_x000D_
	at mindustry desktop DesktopLauncher lambda handleCrash 9(DesktopLauncher java:231)_x000D_
	at mindustry desktop DesktopLauncher lambda handleCrash 10(DesktopLauncher java:231)_x000D_
	at mindustry net CrashSender send(CrashSender java:94)_x000D_
	at mindustry desktop DesktopLauncher handleCrash(DesktopLauncher java:228)_x000D_
	at mindustry desktop DesktopLauncher main(DesktopLauncher java:50)_x000D_
Caused by: arc util ArcRuntimeException: Couldn t load shared library  libsdl arc64 so  for target: Linux  64 bit_x000D_
	at arc util SharedLibraryLoader load(SharedLibraryLoader java:85)_x000D_
	at arc backend sdl jni SDL  clinit (SDL java:118)_x000D_
	    6 more_x000D_
Caused by: arc util ArcRuntimeException: Unable to read file for extraction: libsdl arc64 so_x000D_
	at arc util SharedLibraryLoader readFile(SharedLibraryLoader java:93)_x000D_
	at arc util SharedLibraryLoader loadFile(SharedLibraryLoader java:253)_x000D_
	at arc util SharedLibraryLoader load(SharedLibraryLoader java:81)_x000D_
	    7 more_x000D_
   _x000D_
 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t>
  </si>
  <si>
    <t>MuntashirAkon-AppManager-504</t>
  </si>
  <si>
    <t>set appops by name in profile cause AM to crash.</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</si>
  <si>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A clear and concise description of what the bug is _x000D_
_x000D_
  To Reproduce  _x000D_
Steps to reproduce the behaviour:_x000D_
1  Go to  Profile _x000D_
2  Set a new Profile_x000D_
3  Click on  Configurations _x000D_
4  Click on  app ops _x000D_
5  type  WRITE SETTINGS _x000D_
6  Click on  save _x000D_
7  See crash_x000D_
_x000D_
  Expected behavior  _x000D_
successfully add appops by name _x000D_
_x000D_
  Screenshots  _x000D_
  Screenshot 20210703 110822 App Manager (https:  user images githubusercontent com 45838887 124341552 bd07be00 dbef 11eb 896f c06191eff92c png)_x000D_
_x000D_
_x000D_
  Crash logs  _x000D_
   _x000D_
java lang NumberFormatException: For input string:  WRITE SETTINGS _x000D_
    at java lang Integer parseInt(Integer java:615)_x000D_
    at java lang Integer parseInt(Integer java:650)_x000D_
    at io github muntashirakon AppManager profiles ProfileViewModel setAppOps(ProfileViewModel java:373)_x000D_
    at io github muntashirakon AppManager profiles ConfPreferences lambda onCreatePreferences 7 ConfPreferences(ConfPreferences java:121)_x000D_
    at io github muntashirakon AppManager profiles    Lambda ConfPreferences nxOAvC52W7XpFlwknrzxUG96myw onClick(Unknown Source:8)_x000D_
    at io github muntashirakon AppManager types TextInputDialogBuilder lambda setPositiveButton 0 TextInputDialogBuilder(TextInputDialogBuilder java:103)_x000D_
    at io github muntashirakon AppManager types    Lambda TextInputDialogBuilder tKo 1QwVTk4yr IK6zS88R9KqNY onClick(Unknown Source:4)_x000D_
    at androidx appcompat app AlertController ButtonHandler handleMessage(AlertController java:167)_x000D_
    at android os Handler dispatchMessage(Handler java:106)_x000D_
    at android os Looper loop(Looper java:223)_x000D_
    at android app ActivityThread main(ActivityThread java:7664)_x000D_
    at java lang reflect Method invoke(Native Method)_x000D_
    at com android internal os RuntimeInit MethodAndArgsCaller run(RuntimeInit java:592)_x000D_
    at com android internal os ZygoteInit main(ZygoteInit java:947)_x000D_
_x000D_
Device Info:_x000D_
App version: 2 6 2_x000D_
App version code: 389_x000D_
Android build version: 1624278295_x000D_
Android release version: 11_x000D_
Android SDK version: 30_x000D_
Android build ID: RQ3A 210605 005_x000D_
Device brand: Xiaomi_x000D_
Device manufacturer: Xiaomi_x000D_
Device name: cepheus_x000D_
Device model: MI 9_x000D_
Device product name: cepheus_x000D_
Device hardware name: qcom_x000D_
ABIs:  arm64 v8a  armeabi v7a  armeabi _x000D_
ABIs (32bit):  armeabi v7a  armeabi _x000D_
ABIs (64bit):  arm64 v8a _x000D_
System language: en US_x000D_
In App Language: auto_x000D_
Mode: auto_x000D_
   _x000D_
_x000D_
  Device info  _x000D_
   Device: Xiaomi Mi9_x000D_
   OS Version: Android 11_x000D_
   App Manager Version: 2 6 2_x000D_
   Mode: root auto_x000D_
_x000D_
  Additional context  _x000D_
Add any other context about the problem here _x000D_
</t>
  </si>
  <si>
    <t>amplitude-Amplitude-Android-286</t>
  </si>
  <si>
    <t>Fatal Exception: android.database.CursorWindowAllocationException</t>
  </si>
  <si>
    <t xml:space="preserve">      Please fill out the template to the best of your ability    _x000D_
_x000D_
   Expected Behavior_x000D_
Crashlytics for our App reporting this error a lot_x000D_
following is the crash log_x000D_
_x000D_
Fatal Exception: android database CursorWindowAllocationException: Could not allocate CursorWindow   data user 0 my app package name databases com amplitude api  of size 4194304 due to error  12 _x000D_
       at android database CursorWindow nativeCreate(CursorWindow java)_x000D_
       at android database CursorWindow  init (CursorWindow java:145)_x000D_
       at android database sqlite SQLiteCursor clearOrCreateWindow(SQLiteCursor java:319)_x000D_
       at android database sqlite SQLiteCursor fillWindow(SQLiteCursor java:159)_x000D_
       at android database sqlite SQLiteCursor getCount(SQLiteCursor java:152)_x000D_
       at android database AbstractCursor moveToPosition(AbstractCursor java:232)_x000D_
       at android database AbstractCursor moveToNext(AbstractCursor java:281)_x000D_
       at com amplitude api DatabaseHelper getEventsFromTable(DatabaseHelper java:367)_x000D_
       at com amplitude api DatabaseHelper getEvents(DatabaseHelper java:347)_x000D_
       at com amplitude api AmplitudeClient updateServer(AmplitudeClient java:1814)_x000D_
       at com amplitude api AmplitudeClient updateServer(AmplitudeClient java:1785)_x000D_
       at com amplitude api AmplitudeClient 11 run(AmplitudeClient java:1762)_x000D_
       at android os Handler handleCallback(Handler java:883)_x000D_
       at android os Handler dispatchMessage(Handler java:100)_x000D_
       at android os Looper loop(Looper java:237)_x000D_
       at android os HandlerThread run(HandlerThread java:67)_x000D_
_x000D_
   Current Behavior_x000D_
      What went wrong     _x000D_
_x000D_
   Possible Solution_x000D_
      (Not obligatory) Suggest a fix reason    _x000D_
_x000D_
   Steps to Reproduce_x000D_
      Please provide a clear sequence of steps to reproduce this bug     _x000D_
      Include code and images  if relevant    _x000D_
1 _x000D_
2 _x000D_
3 _x000D_
4 _x000D_
_x000D_
   Environment_x000D_
  SDK Version:      E g  v2 28 0    _x000D_
  Android API Level:      E g  8 1 0    _x000D_
  Device:       E g  Samsung Galaxy S20   _x000D_
</t>
  </si>
  <si>
    <t>Anuken-Mindustry-5524</t>
  </si>
  <si>
    <t>Unstable Alpha for Linux on Itch can't be unzipped.</t>
  </si>
  <si>
    <t xml:space="preserve">  Platform  :  Linux _x000D_
_x000D_
  Build  :  The one available via Itch as of 2021 07 02  which I  think  is 127 2  _x000D_
_x000D_
  Issue  :  I cannot unzip the Unstable Alpha for Linux on Itch   I was trying to get this version because I couldn t find OpenJDK 16 with  apt    I am using XArchiver  if that s relevant  _x000D_
_x000D_
  Steps to reproduce  :  I downloaded the unstable alpha for Linux on Itch and tried to unzip the file with XArchiver   It didn t work  _x000D_
_x000D_
  Link(s) to mod(s) used  :  Unrelated to mods  _x000D_
_x000D_
  Save file  :  Unrelated to in game things  _x000D_
_x000D_
  (Crash) logs  :  This is not a crash  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t>
  </si>
  <si>
    <t>Anuken-Mindustry-5521</t>
  </si>
  <si>
    <t>Server Crash</t>
  </si>
  <si>
    <t xml:space="preserve">  Platform  : Windows   server_x000D_
_x000D_
  Build  : 126 2 server_x000D_
_x000D_
  Issue  : Crash Randomly_x000D_
_x000D_
  Steps to reproduce  : Open a server with any default map (may need slow io server)_x000D_
_x000D_
  Link(s) to mod(s) used  :   MDTSteamLobbyPlugin (https:  github com shugen002 MDTSteamLobbyPlugin)(latest action artifact version) _x000D_
_x000D_
I don t think this crash related to my plugin _x000D_
_x000D_
  Save file  : _x000D_
_x000D_
Seems more than one default map:  Ancient Caldera   Shattered   Tendrils_x000D_
_x000D_
  (Crash) logs  : _x000D_
   _x000D_
 07 01 2021 18:37:12   I  Selected next map to be Ancient Caldera _x000D_
 07 01 2021 18:37:25   I  call updateLobby 1860000063fb42e true_x000D_
 07 01 2021 18:37:25   I  call updateLobby 1_x000D_
 07 01 2021 18:37:25   E  java lang NullPointerException: Cannot assign field  cooldown  because  entry  is null_x000D_
        at mindustry core Logic updateWeather(Logic java:267)_x000D_
        at mindustry core Logic update(Logic java:397)_x000D_
        at arc backend headless HeadlessApplication mainLoop(HeadlessApplication java:89)_x000D_
        at arc backend headless HeadlessApplication 1 run(HeadlessApplication java:54)_x000D_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</si>
  <si>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inaturalist-iNaturalistAndroid-1060</t>
  </si>
  <si>
    <t>NullPointerException in ObservationEditor.uiToProjectFieldValues</t>
  </si>
  <si>
    <t xml:space="preserve">https:  console firebase google com u 2 project inaturalist ios crashlytics app android:org inaturalist android issues 4a028597c0538cebe19c41e8ec46c728_x000D_
_x000D_
   _x000D_
Caused by java lang NullPointerException: Attempt to invoke virtual method  int java lang Integer intValue()  on a null object reference_x000D_
       at org inaturalist android ObservationEditor uiToProjectFieldValues(ObservationEditor java:1693)_x000D_
       at org inaturalist android ObservationEditor onPause(ObservationEditor java:1676)_x000D_
       at android app Activity performPause(Activity java:8096)_x000D_
   </t>
  </si>
  <si>
    <t>nextcloud-android-8648</t>
  </si>
  <si>
    <t xml:space="preserve">Android app crashed </t>
  </si>
  <si>
    <t xml:space="preserve">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java:764)_x000D_
_x000D_
             APP INFORMATION             _x000D_
ID: com nextcloud client_x000D_
Version: 30160190_x000D_
Build flavor: gplay_x000D_
_x000D_
             DEVICE INFORMATION             _x000D_
Brand: Sony_x000D_
Device: F5321_x000D_
Model: F5321_x000D_
Id: 34 4 A 2 118_x000D_
Product: F5321_x000D_
_x000D_
             FIRMWARE             _x000D_
SDK: 26_x000D_
Release: 8 0 0_x000D_
Incremental: 1631208121_x000D_
_x000D_
_x000D_
    Steps to reproduce_x000D_
1  Open app_x000D_
2  Crash_x000D_
_x000D_
    Expected behaviour_x000D_
  app does not crash_x000D_
_x000D_
    Actual behaviour_x000D_
  app crahes_x000D_
</t>
  </si>
  <si>
    <t>microg-GmsCore-1506</t>
  </si>
  <si>
    <t>Maps crashes instantaneously</t>
  </si>
  <si>
    <t xml:space="preserve">  Describe the bug  _x000D_
Maps v10 24 3 crashes instantaneously upon launch   This version used to work on Microg v0 2 19   Upgraded to v10 38 3 to make sure this is not a random maps bug  but that version also crashes immediately _x000D_
_x000D_
MicroG version: d8e50cb341569e32e09c783517356fecebedf8a7_x000D_
_x000D_
  System  _x000D_
Android Version: 11_x000D_
Custom ROM: LineageOS 18 1_x000D_
_x000D_
  Additional context  _x000D_
Was working with microg v0 2 19_x000D_
_x000D_
 debug log (https:  github com microg GmsCore files 6748437 debug log)_x000D_
</t>
  </si>
  <si>
    <t>Anuken-Mindustry-5519</t>
  </si>
  <si>
    <t>Steam Multiplayer connect fail.</t>
  </si>
  <si>
    <t xml:space="preserve">  Platform  : Windows (Steam)_x000D_
_x000D_
  Build  : 127 2_x000D_
_x000D_
  Issue  :  Explain your issue in detail  _x000D_
_x000D_
  Steps to reproduce  : ask someone to create a server and join the server _x000D_
_x000D_
  Link(s) to mod(s) used  : none_x000D_
_x000D_
  Save file  : any map_x000D_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image (https:  user images githubusercontent com 10257291 124111692 24acf480 da9c 11eb 993a 3d4393d345be png)_x000D_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</si>
  <si>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trackerforce-splitmate-android-app-40</t>
  </si>
  <si>
    <t>App crashes when enabling dark mode while using non-Economic mode</t>
  </si>
  <si>
    <t xml:space="preserve">User must first log into the account and then change to Dark mode _x000D_
After closing the app  the crash happens when the user loads the app again _x000D_
_x000D_
This issue does not happen while using the Economic mode </t>
  </si>
  <si>
    <t>nextcloud-android-8645</t>
  </si>
  <si>
    <t>crash when tried to change account after server reset</t>
  </si>
  <si>
    <t xml:space="preserve">    Steps to reproduce_x000D_
1  Add account(s) in application from a nextcloud server (self hosted on yunohost for exemple)_x000D_
2  uninstall and reinstall nextcloud server  and create same account again   _x000D_
3  open the android application again  tried to refresh files or tried to change current account_x000D_
_x000D_
    Expected behaviour_x000D_
no crash and allow remove  refresh  reconnect account_x000D_
_x000D_
    Actual behaviour_x000D_
crash when tried to remove refresh reconnect account from a reseted nextcloud server_x000D_
_x000D_
java lang NullPointerException_x000D_
	at com nextcloud ui ChooseAccountDialogFragment getBinding(ChooseAccountDialogFragment kt:71)_x000D_
	at com nextcloud ui ChooseAccountDialogFragment avatarGenerated(ChooseAccountDialogFragment kt:196)_x000D_
	at com owncloud android datamodel ThumbnailsCacheManager AvatarGenerationTask onPostExecute(ThumbnailsCacheManager java:921)_x000D_
	at com owncloud android datamodel ThumbnailsCacheManager AvatarGenerationTask onPostExecute(ThumbnailsCacheManager java:868)_x000D_
	at android os AsyncTask finish(AsyncTask java:695)_x000D_
	at android os AsyncTask access 600(AsyncTask java:180)_x000D_
	at android os AsyncTask InternalHandler handleMessage(AsyncTask java:712)_x000D_
	at android os Handler dispatchMessage(Handler java:106)_x000D_
	at android os Looper loop(Looper java:216)_x000D_
	at android app ActivityThread main(ActivityThread java:7266)_x000D_
	at java lang reflect Method invoke(Native Method)_x000D_
	at com android internal os RuntimeInit MethodAndArgsCaller run(RuntimeInit java:494)_x000D_
	at com android internal os ZygoteInit main(ZygoteInit java:975)_x000D_
_x000D_
    Can you reproduce this problem on https:  try nextcloud com _x000D_
I think I can t because I m not able to manage test account name and pass_x000D_
_x000D_
    Environment data_x000D_
Android version:_x000D_
7 1 1_x000D_
_x000D_
Stock or customized system:_x000D_
Stock_x000D_
_x000D_
Nextcloud app version:_x000D_
ID: com nextcloud client_x000D_
Version: 30160090_x000D_
Build flavor: generic_x000D_
_x000D_
Nextcloud server version:_x000D_
21 0 2 on yunohost_x000D_
</t>
  </si>
  <si>
    <t>jellyfin-jellyfin-androidtv-989</t>
  </si>
  <si>
    <t>libVLC player crashing during playback</t>
  </si>
  <si>
    <t xml:space="preserve">  Describe the bug  _x000D_
     A clear and concise description of what the bug is     _x000D_
libVLC player crashes during playback  I ve noticed it during playback of files with H 264 video codec  with ASS subtitles _x000D_
_x000D_
  To Reproduce  _x000D_
     Steps to reproduce the behavior:    _x000D_
1  Set player choice to  auto _x000D_
2  Play file with SSA ASS subtitles _x000D_
3  Profit_x000D_
_x000D_
  Expected behavior  _x000D_
     A clear and concise description of what you expected to happen     _x000D_
Playback occurs smoothly without incident _x000D_
_x000D_
  Logs  _x000D_
     Please paste any log errors     _x000D_
 jellyfin android log (https:  github com jellyfin jellyfin androidtv files 6743063 jellyfin android log)_x000D_
_x000D_
  System (please complete the following information):  _x000D_
   Android TV or Fire TV version: Android 9_x000D_
   Device manufacturer: Sony_x000D_
   Device model: X900F_x000D_
   Jellyfin server version: 10 7 6_x000D_
_x000D_
_x000D_
EDIT: Log attached above </t>
  </si>
  <si>
    <t>k3b-LocationMapViewer-18</t>
  </si>
  <si>
    <t>Crash when LocationMapViewer is opend with geo-uri from other app.</t>
  </si>
  <si>
    <t xml:space="preserve">Tested on android 10 and 11 (LineageOS)  using real and fake GPS  On the Android 11 I ve tried on devices with and without Gapps _x000D_
_x000D_
When using  view  action from  Location Share  (ca cmetcalfe locationshare)  at first run the app asks permission to access files  and brings up the  Location Map Viewer keeps stopping  dialogue _x000D_
_x000D_
Subsequent attempt just flash up the screen for Location Map Viewer  which immediately quits back to Location Share _x000D_
_x000D_
From  share to   e g   My Position  (net mypapitmobile myposition) Location Map Viewer does not appear in the list of targets _x000D_
_x000D_
The same happens from  GPSTest  (com android gpstests osmdroid)  both for share (absent)  and view (crash) actions _x000D_
</t>
  </si>
  <si>
    <t>aws-amplify-aws-sdk-android-2530</t>
  </si>
  <si>
    <t>Top Crashes in app are pinpoint related</t>
  </si>
  <si>
    <t xml:space="preserve">  Describe the bug  _x000D_
We are seeing pinpoint being our top crashes for multiple versions now through firebase crashlytics  We have 4 crashes affecting over 5 thousand users on one of our apps   Here are the 4 crashes in order of highest number of crashes to lowest:_x000D_
_x000D_
1  PinpointDBBase java line 93_x000D_
com amazonaws mobileconnectors pinpoint internal event PinpointDBBase insert_x000D_
 Fatal Exception: java lang RuntimeException: Unable to create application com adfone cover app LycaApp: android database sqlite SQLiteDatabaseLockedException: database is locked (code 5 SQLITE BUSY):   while compiling: PRAGMA journal mode _x000D_
_x000D_
2  PinpointDatabaseHelper java line 38_x000D_
com amazonaws mobileconnectors pinpoint internal event PinpointDatabaseHelper onConfigure_x000D_
 Fatal Exception: java lang RuntimeException: Unable to create application com adfone cover app LycaApp: android database sqlite SQLiteDatabaseLockedException: database is locked (code 5) _x000D_
_x000D_
3  PinpointDBBase java line 98_x000D_
com amazonaws mobileconnectors pinpoint internal event PinpointDBBase insert_x000D_
 Fatal Exception: java lang RuntimeException: Unable to create application com adfone cover app LycaApp: android database sqlite SQLiteDatabaseLockedException: database is locked (code 5) _x000D_
_x000D_
4  PinpointDBBase java line 219_x000D_
com amazonaws mobileconnectors pinpoint internal event PinpointDBBase delete_x000D_
 Fatal Exception: java lang RuntimeException: Unable to create application com adfone cover app LycaApp: android database sqlite SQLiteDatabaseLockedException: database is locked (code 5 SQLITE BUSY) _x000D_
_x000D_
_x000D_
  Which AWS service(s) are affected   _x000D_
AWS pinpoint and we are on version 2 23 0 _x000D_
_x000D_
  Expected behavior  _x000D_
no crash_x000D_
_x000D_
  Screenshots  _x000D_
If applicable  add screenshots to help explain your problem _x000D_
_x000D_
  Environment Information (please complete the following information):  _x000D_
   AWS Android SDK Version: on 2 23 0 and we have upgraded a few times but issue is still occuring_x000D_
   Device: all_x000D_
   Android Version: all_x000D_
   Specific to simulators: no_x000D_
_x000D_
</t>
  </si>
  <si>
    <t>k9mail-k-9-5374</t>
  </si>
  <si>
    <t xml:space="preserve"> an IllegalStateException 'Couldn't get domain from email address' in account setup</t>
  </si>
  <si>
    <t xml:space="preserve">  Describe the bug  _x000D_
Sorry for my second issue  but I did find another crash caused by an IllegalStateException  Couldn t get domain from email address   As I used the automated testing tools  the value set to email account and password are random and I did not know them exactly  Immediately after I click on  MANUAL SETUP  or  NEXT  to continue  the error occured and the app crashed _x000D_
_x000D_
  To Reproduce  _x000D_
Steps to reproduce the behavior:_x000D_
1  Go to page  Set up a new account _x000D_
2  Edit the email address and password  both are set to random values_x000D_
3  Click  MANUAL SETUP  and enter page  Account type _x000D_
4  Click  IMAP  and the app crashes_x000D_
_x000D_
  Environment (please complete the following information):  _x000D_
   K 9 Mail version: 5 734_x000D_
   Android version: 6 0_x000D_
   Device: x86 Android emulator provided by Google_x000D_
   Account type: IMAP_x000D_
_x000D_
  Logs  _x000D_
06 26 20:26:47 430 24599 24599 E AndroidRuntime: FATAL EXCEPTION: main_x000D_
06 26 20:26:47 430 24599 24599 E AndroidRuntime: Process: com fsck k9  PID: 24599_x000D_
06 26 20:26:47 430 24599 24599 E AndroidRuntime: java lang IllegalStateException: Couldn t get domain from email address_x000D_
06 26 20:26:47 430 24599 24599 E AndroidRuntime: 	at com fsck k9 activity setup AccountSetupAccountType setupStoreAndSmtpTransport(AccountSetupAccountType kt:66)_x000D_
06 26 20:26:47 430 24599 24599 E AndroidRuntime: 	at com fsck k9 activity setup AccountSetupAccountType setupAccount(AccountSetupAccountType kt:60)_x000D_
06 26 20:26:47 430 24599 24599 E AndroidRuntime: 	at com fsck k9 activity setup AccountSetupAccountType setupPop3Account(AccountSetupAccountType kt:52)_x000D_
06 26 20:26:47 430 24599 24599 E AndroidRuntime: 	at com fsck k9 activity setup AccountSetupAccountType access setupPop3Account(AccountSetupAccountType kt:24)_x000D_
06 26 20:26:47 430 24599 24599 E AndroidRuntime: 	at com fsck k9 activity setup AccountSetupAccountType onCreate 1 onClick(AccountSetupAccountType kt:39)_x000D_
06 26 20:26:47 430 24599 24599 E AndroidRuntime: 	at android view View performClick(View java:5198)_x000D_
06 26 20:26:47 430 24599 24599 E AndroidRuntime: 	at android widget TextView performAccessibilityActionInternal(TextView java:8999)_x000D_
06 26 20:26:47 430 24599 24599 E AndroidRuntime: 	at android view View performAccessibilityAction(View java:8883)_x000D_
06 26 20:26:47 430 24599 24599 E AndroidRuntime: 	at android view AccessibilityInteractionController performAccessibilityActionUiThread(AccessibilityInteractionController java:668)_x000D_
06 26 20:26:47 430 24599 24599 E AndroidRuntime: 	at android view AccessibilityInteractionController  wrap6(AccessibilityInteractionController java)_x000D_
06 26 20:26:47 430 24599 24599 E AndroidRuntime: 	at android view AccessibilityInteractionController PrivateHandler handleMessage(AccessibilityInteractionController java:1194)_x000D_
06 26 20:26:47 430 24599 24599 E AndroidRuntime: 	at android os Handler dispatchMessage(Handler java:102)_x000D_
06 26 20:26:47 430 24599 24599 E AndroidRuntime: 	at android os Looper loop(Looper java:148)_x000D_
06 26 20:26:47 430 24599 24599 E AndroidRuntime: 	at android app ActivityThread main(ActivityThread java:5417)_x000D_
06 26 20:26:47 430 24599 24599 E AndroidRuntime: 	at java lang reflect Method invoke(Native Method)_x000D_
06 26 20:26:47 430 24599 24599 E AndroidRuntime: 	at com android internal os ZygoteInit MethodAndArgsCaller run(ZygoteInit java:726)_x000D_
06 26 20:26:47 430 24599 24599 E AndroidRuntime: 	at com android internal os ZygoteInit main(ZygoteInit java:616)_x000D_
_x000D_
</t>
  </si>
  <si>
    <t>hariimurti-NontonTV-5</t>
  </si>
  <si>
    <t>Android 4.4.4</t>
  </si>
  <si>
    <t>crashes on start in Android 4 4 4</t>
  </si>
  <si>
    <t>opensrp-opensrp-client-reveal-1464</t>
  </si>
  <si>
    <t>Fix crash for dynamic tasking when adding structure</t>
  </si>
  <si>
    <t xml:space="preserve">When adding structure  in dynamic tasking  the app crashes with error_x000D_
_x000D_
   java lang NoClassDefFoundError: Failed resolution of: Lcom ibm fhir model type Canonical  </t>
  </si>
  <si>
    <t>ElderDrivers-EdXposed-869</t>
  </si>
  <si>
    <t>[BUG] Google Camera app segfaults on laucnh</t>
  </si>
  <si>
    <t xml:space="preserve">  What happened   _x000D_
My Camera app ( com google android GoogleCamera ) segfaults uppon starting whenever I have any modules loaded _x000D_
Even a trivial one like this:_x000D_
   _x000D_
public class TestModule implements IXposedHookZygoteInit  _x000D_
     Override public void initZygote(IXposedHookZygoteInit StartupParam startupParam)      _x000D_
    _x000D_
_x000D_
  Xposed Module List  _x000D_
Just my  pkg testmodule  with the above code _x000D_
_x000D_
  Magisk Module List  _x000D_
 Riru  and  Riru   EdXposed _x000D_
_x000D_
  Versions  _x000D_
_x000D_
Device: Pixel 4a_x000D_
Build Number: RQ2A 210505 002_x000D_
_x000D_
Android: 11_x000D_
_x000D_
Magisk:  23 0_x000D_
_x000D_
Riru: v25 4 4r426 05efc94_x000D_
_x000D_
EdXposed: 0 5 2 2 4683 master_x000D_
_x000D_
  Related Logs  _x000D_
The relavent part of  adb logcat  is:_x000D_
   _x000D_
D Zygote  (  986): Forked child process 4880_x000D_
I am proc start( 1676):  User 0 PID 4880 UID 10191 Process Name com google android GoogleCamera Type pre top activity Component  com google android GoogleCamera com android camera CameraLauncher  _x000D_
I ActivityManager( 1676): Start proc 4880:com google android GoogleCamera u0a191 for pre top activity  com google android GoogleCamera com android camera CameraLauncher _x000D_
E id GoogleCamer( 4880): Not starting debugger since process cannot load the jdwp agent _x000D_
I EdXposed( 4880): Start to install inline hooks_x000D_
I EdXposed( 4880): Using api level 30_x000D_
I EdXposed( 4880): Start to install Riru hook_x000D_
I EdXposed( 4880): Riru hooks installed_x000D_
I EdXposed( 4880): ART hooks installed_x000D_
I EdXposed( 4880): Loading modules for com google android GoogleCamera_x000D_
I EdXposed Bridge( 4880): Loading modules from  data app   gZhixBA2n3g EIHgCUd5cQ   pkg testmodule vIv0RB9m5hXad gwkNqtHg   base apk_x000D_
I EdXposed Bridge( 4880):   Loading class pkg testmodule TestModule_x000D_
W Riru64  ( 4880): 544a is too old to hide so_x000D_
I am proc bound( 1676):  User 0 PID 4880 Process Name com google android GoogleCamera _x000D_
I id GoogleCamer( 4880): The ClassLoaderContext is a special shared library _x000D_
D nativeloader( 4880): classloader namespace configured for unbundled vendor apk  library path  data app   BEi3Zr 85 TV0c1T0TT8fw   com google android GoogleCamera k6suFXNQM6X9P3lMhN1YiA   lib arm64: data app   BEi3Zr 85 TV0c1T0TT8fw   com google android GoogleCamera k6suFXNQM6X9P3lMhN1YiA   base apk  lib arm64 v8a: data app   BEi3Zr 85 TV0c1T0TT8fw   com google android GoogleCamera k6suFXNQM6X9P3lMhN1YiA   split config arm64 v8a apk  lib arm64 v8a: data app   BEi3Zr 85 TV0c1T0TT8fw   com google android GoogleCamera k6suFXNQM6X9P3lMhN1YiA   split config en apk  lib arm64 v8a: data app   BEi3Zr 85 TV0c1T0TT8fw   com google android GoogleCamera k6suFXNQM6X9P3lMhN1YiA   split config xxhdpi apk  lib arm64 v8a: vendor lib64_x000D_
W id GoogleCamer( 4880): JIT profile information will not be recorded: profile file does not exist _x000D_
I chatty  ( 4880): uid 10191(com google android GoogleCamera) identical 1 line_x000D_
W id GoogleCamer( 4880): JIT profile information will not be recorded: profile file does not exist _x000D_
D NetworkSecurityConfig( 4880): No Network Security Config specified  using platform default_x000D_
F libc    ( 4880): Fatal signal 11 (SIGSEGV)  code 2 (SEGV ACCERR)  fault addr 0x7d6285ed60 in tid 4880 (id GoogleCamera)  pid 4880 (id GoogleCamera)_x000D_
D NetworkSecurityConfig( 4880): No Network Security Config specified  using platform default_x000D_
I crash dump64( 4915): obtaining output fd from tombstoned  type: kDebuggerdTombstone_x000D_
I tombstoned(  974): received crash request for pid 4880_x000D_
I crash dump64( 4915): performing dump of process 4880 (target tid   4880)_x000D_
F DEBUG   ( 4915):                                                                _x000D_
F DEBUG   ( 4915): Build fingerprint:  google sunfish sunfish:11 RQ2A 210505 002 7246365:user release keys _x000D_
F DEBUG   ( 4915): Revision:  MP1 0 _x000D_
F DEBUG   ( 4915): ABI:  arm64 _x000D_
F DEBUG   ( 4915): Timestamp: 2021 06 30 14:34:56 1000_x000D_
F DEBUG   ( 4915): pid: 4880  tid: 4880  name: id GoogleCamera      com google android GoogleCamera    _x000D_
F DEBUG   ( 4915): uid: 10191_x000D_
F DEBUG   ( 4915): signal 11 (SIGSEGV)  code 2 (SEGV ACCERR)  fault addr 0x7d6285ed60_x000D_
F DEBUG   ( 4915):     x0  0000007fcbe0a8d0  x1  b400007cd27ed260  x2  0000000000000000  x3  0000000000000010_x000D_
F DEBUG   ( 4915):     x4  0000000000000000  x5  0000007c7202e1a0  x6  6c2f7472612e6469  x7  62696c2f34366269_x000D_
F DEBUG   ( 4915):     x8  4e62aff34ed10823  x9  4e62aff34ed10823  x10 00000000f66ff12b  x11 00000000d27ed290_x000D_
F DEBUG   ( 4915):     x12 000000002768ed9b  x13 0000007c7223f49c  x14 0000007c7223f4fc  x15 000000000000000c_x000D_
F DEBUG   ( 4915):     x16 0000007c5ec3df18  x17 0000007f04600b8c  x18 0000007f08ebc000  x19 0000000000013b7f_x000D_
F DEBUG   ( 4915):     x20 b400007d327f1df0  x21 af82bf7b7c11beb6  x22 000000003229e6f3  x23 00000000bf806bd9_x000D_
F DEBUG   ( 4915):     x24 00000000ffffe9a3  x25 0000000060768d76  x26 00000000cbe46a31  x27 b400007d6285ed60_x000D_
F DEBUG   ( 4915):     x28 0000007fcbe0abc0  x29 0000007f07dc7000_x000D_
F DEBUG   ( 4915):     lr  0000007c5ec281bc  sp  0000007fcbe0a950  pc  0000007c5ec281bc  pst 0000000060000000_x000D_
F DEBUG   ( 4915): backtrace:_x000D_
F DEBUG   ( 4915):        00 pc 00000000000571bc   data app   BEi3Zr 85 TV0c1T0TT8fw   com google android GoogleCamera k6suFXNQM6X9P3lMhN1YiA   split config arm64 v8a apk (offset 0x3d4d000)_x000D_
I Zygote  (  986): Process 4880 exited due to signal 11 (Segmentation fault)_x000D_
I ActivityManager( 1676): Process com google android GoogleCamera (pid 4880) has died: fg  TOP _x000D_
I am proc died( 1676):  User 0 PID 4880 Process Name com google android GoogleCamera OomAdj 0 ProcState 2 _x000D_
I libprocessgroup( 1676): Successfully killed process cgroup uid 10191 pid 4880 in 0ms_x000D_
   _x000D_
_x000D_
I ve attached the full log  both during startup and when launching the camera app _x000D_
(Note: the issue template said I should use a  debug  version to get proper logs  I don t know what this meant) </t>
  </si>
  <si>
    <t>bttv-android-bttv-166</t>
  </si>
  <si>
    <t>App Crashing when open the list of Firends/Direct Messages</t>
  </si>
  <si>
    <t xml:space="preserve">   Bug Report_x000D_
_x000D_
  Current Behavior  _x000D_
Clicking the icon to open the direct message starts loading and then crashes_x000D_
_x000D_
  Expected behavior code  _x000D_
Open the list with Friends (default) and tab to select direct message_x000D_
_x000D_
  Environment  _x000D_
_x000D_
  bttv android version: v0 8 1 beta_x000D_
  Android version: Pie  9_x000D_
  Device: Moto G6 Plus_x000D_
_x000D_
  Additional context Screenshots  _x000D_
none</t>
  </si>
  <si>
    <t>Anuken-Mindustry-5511</t>
  </si>
  <si>
    <t>Put a comma in a print operation deletes all commands</t>
  </si>
  <si>
    <t xml:space="preserve">  Platform  :  Windows _x000D_
_x000D_
  Build  : 126 3_x000D_
_x000D_
  Issue  : In a processor  if you put in a comma in a print command outside the quotation marks  it will delete all commands within the processor_x000D_
_x000D_
  Steps to reproduce  : _x000D_
Build a processor_x000D_
Add a print command and any other random commands_x000D_
Add a comma to the end of the print line (should read as:  print  frog    if you copy to clipboard)_x000D_
Close the interface_x000D_
Re open the interface_x000D_
All commands will be deleted_x000D_
_x000D_
  Link(s) to mod(s) used  : None_x000D_
_x000D_
  Save file  :  broken save zip (https:  github com Anuken Mindustry files 6735956 broken save zip)_x000D_
_x000D_
_x000D_
  (Crash) logs  :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</si>
  <si>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ankidroid-Anki-Android-9164</t>
  </si>
  <si>
    <t>[Bug] 2.16alpha2: App crashes if phone volume is changed while reviewing</t>
  </si>
  <si>
    <t xml:space="preserve">       Reproduction Steps_x000D_
_x000D_
1  Enter any deck and start reviewing a card_x000D_
2  Change the phone s volume using the physical buttons on the side_x000D_
_x000D_
       Expected Result_x000D_
_x000D_
App shouldn t crash_x000D_
_x000D_
       Actual Result_x000D_
_x000D_
App crashes (volume does change)_x000D_
_x000D_
       Other info_x000D_
_x000D_
Doesn t seem to happen on any other screen  just on review  Happens both for cards with and without audio  _x000D_
_x000D_
       Debug info_x000D_
_x000D_
   _x000D_
AnkiDroid Version   2 16alpha2_x000D_
_x000D_
Android Version   10_x000D_
_x000D_
Manufacturer   OnePlus_x000D_
_x000D_
Model   ONEPLUS A6013_x000D_
_x000D_
Hardware   qcom_x000D_
_x000D_
Webview User Agent   Mozilla 5 0 (Linux  Android 10  ONEPLUS A6013 Build QKQ1 190716 003  wv) AppleWebKit 537 36 (KHTML  like Gecko) Version 4 0 Chrome 91 0 4472 120 Mobile Safari 537 36_x000D_
_x000D_
ACRA UUID   72fe91db f17e 4605 93af 7e4b52efffbd_x000D_
_x000D_
Scheduler   std2_x000D_
_x000D_
Crash Reports Enabled   true_x000D_
_x000D_
DatabaseV2 Enabled   true_x000D_
   _x000D_
_x000D_
       Research_x000D_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x  (Optional) I have confirmed the issue is not resolved in the latest alpha release ( instructions (https:  docs ankidroid org manual html betaTesting))_x000D_
_x000D_
</t>
  </si>
  <si>
    <t>Anuken-Mindustry-5510</t>
  </si>
  <si>
    <t>Unit shield conflicts with the shield of force field ability</t>
  </si>
  <si>
    <t xml:space="preserve">  Platform  :  Android iOS Mac Windows Linux _x000D_
_x000D_
  Build  :  The build number under the title in the main menu  Required   LATEST  IS NOT A VERSION  I NEED THE EXACT BUILD NUMBER OF YOUR GAME  _x000D_
127 1_x000D_
_x000D_
  Issue  :  Explain your issue in detail  _x000D_
The shield of a unit from the spawn group data will overwrite the shield from the force field ability  This will make the shield of force field ability be determined by the shield from spawn group data _x000D_
_x000D_
After searching the source code  I found that an unit is assigned a shield on Line 86 in SpawnGroup java  and the code in ForceFieldAbility java use the same attribute _x000D_
_x000D_
  Steps to reproduce  :  How you happened across the issue  and what exactly you did to make the bug happen  _x000D_
Make a map which will spawn a Otc with 1 million shield  then its force shield will also have 1 million health _x000D_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Use this map for test_x000D_
 shield zip (https:  github com Anuken Mindustry files 6735579 shield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</si>
  <si>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Anuken-Mindustry-5508</t>
  </si>
  <si>
    <t>Core capture derelict cores preventing gameover</t>
  </si>
  <si>
    <t xml:space="preserve">  Platform  :  Android iOS Mac Windows Linux _x000D_
All_x000D_
_x000D_
  Build  :  The build number under the title in the main menu  Required   LATEST  IS NOT A VERSION  I NEED THE EXACT BUILD NUMBER OF YOUR GAME  _x000D_
127 1_x000D_
_x000D_
  Issue  :  Explain your issue in detail  _x000D_
Derelict cores at the end of a pvp match prevent gameover despite nobody being able to spawn on that team_x000D_
_x000D_
  Steps to reproduce  :  How you happened across the issue  and what exactly you did to make the bug happen  _x000D_
Have cores only of derelict and any single other team alive in a pvp (core capture) match_x000D_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couldn t get a proper save file  should be easy enough to test or just find in code_x000D_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</si>
  <si>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Anuken-Mindustry-5507</t>
  </si>
  <si>
    <t>Missing/Lost launch resources</t>
  </si>
  <si>
    <t xml:space="preserve">  Android  :  Android iOS Mac Windows Linux _x000D_
_x000D_
  126 2  :  The build number under the title in the main menu  Required   LATEST  IS NOT A VERSION  I NEED THE EXACT BUILD NUMBER OF YOUR GAME  _x000D_
_x000D_
  Selected a loadout  lots of them  to reclaim lost sector Fungal pass  :  Explain your issue in detail  _x000D_
_x000D_
  Lost sector fungal pass  Returned to Tar fields  replaced its icon by the Tech icon  Waited an hour  Tapped on Fungal pass  did a few adjustments on the loadout screen  at first I was only going to use nothing but changed my mind and included graphite  silicon  glass  copper  lead  500 plastanium    :  How you happened across the issue  and what exactly you did to make the bug happen  _x000D_
_x000D_
  Link(s) to mod(s) used  :  The mod repositories or zip files that are related to the issue  if applicable  _x000D_
_x000D_
  https:  mega nz file tGYGiRrJ kLZE7dmZyTWdmhEqFjH4OfAuFuZ74dQR1gRhvRfF63w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</si>
  <si>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defold-extension-gpgs-37</t>
  </si>
  <si>
    <t>Cloud save data crash</t>
  </si>
  <si>
    <t xml:space="preserve">When i try use gpgs snapshot commit and close()  the just crashs _x000D_
_x000D_
Galaxy A01 Core  Android 10_x000D_
Defold version: 1 2 183_x000D_
GPGS 2 3 0_x000D_
_x000D_
  crash txt (https:  github com defold extension gpgs files 6733509  crash txt)_x000D_
_x000D_
   _x000D_
  1 pc      0x362b2    droid runtime lib bionic libc so abort 161_x000D_
  2 pc     0x2a7809    om android runtime lib libart so  ZN3art7Runtime5AbortEPKc 1676_x000D_
  3 pc       0x255f  system lib libbase so  ZN7android4base10LogMessageD2Ev 406_x000D_
  4 pc     0x1b8a27    om android runtime lib libart so  ZN3art9JavaVMExt8JniAbortEPKcS2  1194_x000D_
  5 pc     0x1b8bc9    om android runtime lib libart so  ZN3art9JavaVMExt9JniAbortFEPKcS2 z 64_x000D_
  6 pc     0x2dcc8b    om android runtime lib libart so  ZNK3art6Thread13DecodeJObjectEP8 jobject 486_x000D_
  7 pc     0x1adae1    om android runtime lib libart so  ZN3art12 GLOBAL  N 111ScopedCheck13CheckInstanceERNS 18ScopedObjectAccessENS1 12InstanceKindEP8 jobjectb 80_x000D_
  8 pc     0x1ad009    om android runtime lib libart so  ZN3art12 GLOBAL  N 111ScopedCheck22CheckPossibleHeapValueERNS 18ScopedObjectAccessEcNS0 12JniValueTypeE 424_x000D_
  9 pc     0x1ad15b    om android runtime lib libart so  ZN3art12 GLOBAL  N 111ScopedCheck22CheckPossibleHeapValueERNS 18ScopedObjectAccessEcNS0 12JniValueTypeE 762_x000D_
 10 pc     0x1ac853    om android runtime lib libart so  ZN3art12 GLOBAL  N 111ScopedCheck5CheckERNS 18ScopedObjectAccessEbPKcPNS0 12JniValueTypeE 634_x000D_
 11 pc     0x1b0741    om android runtime lib libart so  ZN3art12 GLOBAL  N 18CheckJNI13CheckCallArgsERNS 18ScopedObjectAccessERNS0 11ScopedCheckEP7 JNIEnvP8 jobjectP7 jclassP10 jmethodIDNS 10InvokeTypeEPKNS0 7VarArgsE 100_x000D_
 12 pc     0x1afabb    om android runtime lib libart so  ZN3art12 GLOBAL  N 18CheckJNI11CallMethodVEPKcP7 JNIEnvP8 jobjectP7 jclassP10 jmethodIDSt9  va listNS 9Primitive4TypeENS 10InvokeTypeE 542_x000D_
 13 pc     0x1a1c11    om android runtime lib libart so  ZN3art12 GLOBAL  N 18CheckJNI15CallVoidMethodVEP7 JNIEnvP8 jobjectP10 jmethodIDSt9  va list 44_x000D_
 14 pc      0x2e498    sKw   lib arm libCircleWiggle so  ZN7 JNIEnv14CallVoidMethodEP8 jobjectP10 jmethodIDz 32_x000D_
 15 pc      0x2cf3c    sKw   lib arm libCircleWiggle so  ZL31GpgsDisk SnapshotCommitAndCloseP9lua State 756_x000D_
   _x000D_
_x000D_
</t>
  </si>
  <si>
    <t>PojavLauncherTeam-PojavLauncher-1603</t>
  </si>
  <si>
    <t>[BUG] Crash after few seconds of gameplay</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</si>
  <si>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The game crashes few seconds after gameplay and app restarts_x000D_
_x000D_
  Add a log file if you want to see your bug fixed    _x000D_
 latestlog txt (https:  github com PojavLauncherTeam PojavLauncher files 6733165 latestlog txt)_x000D_
_x000D_
    To Reproduce:_x000D_
Indicate steps to reproduce the buggy behavior:_x000D_
_x000D_
1  Start PojavLauncher_x000D_
2  Login in or start an offline account _x000D_
3  Launch Minecraft of any versions _x000D_
4  Make world and start it_x000D_
_x000D_
    Expected behavior:_x000D_
I expected normal gameplay_x000D_
_x000D_
    Screenshots or videos:_x000D_
I dont know what I should screenshot_x000D_
_x000D_
  Platform:  _x000D_
   Device Model: ROG Phone 5_x000D_
   CPU architecture: Aarch64_x000D_
   Android Version: 11_x000D_
   PojavLauncher Version: latest from google play    3 3 1 1 rel 20210321_x000D_
_x000D_
_x000D_
 details   summary  b Additional context  b   summary _x000D_
 br _x000D_
 pre _x000D_
I tried reinstalling java runtime and allocated memory to 4096 MB _x000D_
_x000D_
I found similar bug  he used the same phone  But somehow I can go farther than him: https:  github com PojavLauncherTeam PojavLauncher issues 1358_x000D_
  pre _x000D_
  details _x000D_
</t>
  </si>
  <si>
    <t>ankidroid-Anki-Android-9161</t>
  </si>
  <si>
    <t>[Bug] 2.15.4: CreateDeckDialog.createNewDeck - NullPointerException</t>
  </si>
  <si>
    <t xml:space="preserve">From Google Play  Number 1 crash_x000D_
_x000D_
   _x000D_
java lang NullPointerException: _x000D_
  at android content ContextWrapper getPackageName (ContextWrapper java:142)_x000D_
  at android preference PreferenceManager getDefaultSharedPreferencesName (PreferenceManager java:537)_x000D_
  at android preference PreferenceManager getDefaultSharedPreferences (PreferenceManager java:526)_x000D_
  at com ichi2 anki AnkiDroidApp getSharedPrefs (AnkiDroidApp java:371)_x000D_
  at com ichi2 anki CollectionHelper getCurrentAnkiDroidDirectory (CollectionHelper java:263)_x000D_
  at com ichi2 anki CollectionHelper getCollectionPath (CollectionHelper java:255)_x000D_
  at com ichi2 anki CollectionHelper getCol (CollectionHelper java:122)_x000D_
  at com ichi2 anki CollectionHelper getCol (CollectionHelper java:115)_x000D_
  at com ichi2 anki AnkiActivity getCol (AnkiActivity java:157)_x000D_
  at com ichi2 anki dialogs CreateDeckDialog createNewDeck (CreateDeckDialog java:139)_x000D_
  at com ichi2 anki dialogs CreateDeckDialog createDeck (CreateDeckDialog java:114)_x000D_
  at com ichi2 anki dialogs CreateDeckDialog onPositiveButtonClicked (CreateDeckDialog java:153)_x000D_
  at com ichi2 anki dialogs CreateDeckDialog lambda showDialog 0 (CreateDeckDialog java:99)_x000D_
  at com ichi2 anki dialogs CreateDeckDialog lambda showDialog 0 CreateDeckDialog (CreateDeckDialog java)_x000D_
  at com ichi2 anki dialogs    Lambda CreateDeckDialog GT3 9pD 4kBO9MoWULdODVWg6UI onClick (lambda:2)_x000D_
  at com afollestad materialdialogs MaterialDialog onClick (MaterialDialog java:410)_x000D_
  at android view View performClick (View java:6659)_x000D_
  at android view View performClickInternal (View java:6631)_x000D_
  at android view View access 3100 (View java:790)_x000D_
  at android view View PerformClick run (View java:26187)_x000D_
  at android os Handler handleCallback (Handler java:907)_x000D_
  at android os Handler dispatchMessage (Handler java:105)_x000D_
  at android os Looper loop (Looper java:216)_x000D_
  at android app ActivityThread main (ActivityThread java:7625)_x000D_
  at java lang reflect Method invoke (Native Method)_x000D_
  at com android internal os RuntimeInit MethodAndArgsCaller run (RuntimeInit java:524)_x000D_
  at com android internal os ZygoteInit main (ZygoteInit java:987)_x000D_
   </t>
  </si>
  <si>
    <t>nataly-milman-os-planner-31</t>
  </si>
  <si>
    <t>UI's createTask issue</t>
  </si>
  <si>
    <t xml:space="preserve">Task creation activity fails on an emulated Android device:_x000D_
Pixel 4a API 30_x000D_
Android 11 0 (Google APIs)_x000D_
_x000D_
   _x000D_
              beginning of crash_x000D_
2021 06 27 21:30:36 353 26779 26779 net planner exampleapp E AndroidRuntime: FATAL EXCEPTION: main_x000D_
    Process: net planner exampleapp  PID: 26779_x000D_
    java lang RuntimeException: Unable to start receiver net planner exampleapp WidgetProvider: android util AndroidRuntimeException: Calling startActivity() from outside of an Activity  context requires the FLAG ACTIVITY NEW TASK flag  Is this really what you want _x000D_
        at android app ActivityThread handleReceiver(ActivityThread java:4101)_x000D_
        at android app ActivityThread access 1500(ActivityThread java:246)_x000D_
        at android app ActivityThread H handleMessage(ActivityThread java:1966)_x000D_
        at android os Handler dispatchMessage(Handler java:106)_x000D_
        at android os Looper loop(Looper java:236)_x000D_
        at android app ActivityThread main(ActivityThread java:7876)_x000D_
        at java lang reflect Method invoke(Native Method)_x000D_
        at com android internal os RuntimeInit MethodAndArgsCaller run(RuntimeInit java:656)_x000D_
        at com android internal os ZygoteInit main(ZygoteInit java:967)_x000D_
_x000D_
   </t>
  </si>
  <si>
    <t>Anuken-Mindustry-5506</t>
  </si>
  <si>
    <t>Some changes in setting.bin cause error wipe</t>
  </si>
  <si>
    <t xml:space="preserve">     NOTE:  I already know that this problem got reported a lot  I just come here to give Anuke extra informations  if there is _x000D_
_x000D_
  Platform  :  Window 10 x64 _x000D_
_x000D_
  Build  :  First Tested on   127 1    Then load again in   126 2    same problem  _x000D_
_x000D_
  Issue  :  Explain your issue in detail  _x000D_
I was editing the setting bin  (let s call it necromancy)  in the save file  and try to load it in Mindustry  127 1   what happen is  uhhh  let the pictures speak for themselves _x000D_
  Screenshot (9) (https:  user images githubusercontent com 85090668 123778001 e926f480 d8fa 11eb 8869 3e3c6508ed59 png)_x000D_
Every sector in Serpulo got resetted  all items  waves  research  all gone  only building were remained  that s why in the research below tells that I got all the material_x000D_
  Screenshot (10) (https:  user images githubusercontent com 85090668 123778035 ef1cd580 d8fa 11eb 9b0c e390f41bc7d9 png)_x000D_
In the background is Tar Fields  as you can see  the building are still there  but waves got resetted and material got automatically research when it enters the core _x000D_
_x000D_
   Another Note:    setting bin looks fine  but I m   sure   that the problem is the setting bin itself_x000D_
and the  necromancy  that I do is changing UUID    (Don t ask why)   _x000D_
_x000D_
_x000D_
_x000D_
  Steps to reproduce  :  How you happened across the issue  and what exactly you did to make the bug happen  _x000D_
change something in setting bin (or in this case  uuid ) then load the save in Mindustry (make sure to click  Clear Game Data  first to make it pure save) see the problem _x000D_
_x000D_
  Link(s) to mod(s) used  : No mod used (while having the problem)_x000D_
_x000D_
  Save file  :  MS G2 TEST zip (https:  github com Anuken Mindustry files 6732577 MS G2 TEST zip)_x000D_
 (it will tell that I have  BetaMindy (https:  github com sk7725 BetaMindy) in setting bin  but as noted above  I disabled all mod when I do the  necromancy )_x000D_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this got reported many times  as I said  _x000D_
</t>
  </si>
  <si>
    <t>haiwen-seadroid-898</t>
  </si>
  <si>
    <t>Trying to move several files from an encrypted library to a subfolder -&gt; repeatable crash</t>
  </si>
  <si>
    <t xml:space="preserve">Hi     _x000D_
    _x000D_
I m trying to move multiple files within an encrypted library to a different folder  This seems complicated: Once a multiple file selection is made  the  Move  and  Copy  buttons at the top will only show the other unencrypted libraries to choose  but not the current one  And if you click on the right side of a file  you can get the Copy Move options among some other options  but I never managed to see if it would apply to one or all the selected files  because the moment you try to choose a folder  Seafile crashes completely _x000D_
_x000D_
I guess there s multiple bugs regarding this  any idea if they will be resolved _x000D_
_x000D_
Thanks </t>
  </si>
  <si>
    <t>Anuken-Mindustry-5500</t>
  </si>
  <si>
    <t>Payload router sends two blocks at once</t>
  </si>
  <si>
    <t xml:space="preserve">  Platform  :  Android _x000D_
_x000D_
  Build  :  21347 _x000D_
_x000D_
  Issue  :  Payload routers don t work properly and send two blocks at once on a payload conveyor  _x000D_
_x000D_
  Steps to reproduce  :  Place a block creator  (i don t know exactly the name) place a conveyor and a payload router next to it and make the outputs  You ll see that sometimes two blocks pass through the same output  like in this screenshot: _x000D_
  Screenshot 2021 06 28 10 31 23 (https:  user images githubusercontent com 60452545 123646934 0aee8180 d7fe 11eb 87f3 2c9714b19db8 png)_x000D_
_x000D_
  Link(s) to mod(s) used  :  None  _x000D_
_x000D_
  Save file  :  Router  (https:  1drv ms u s AnYf7oxSZjN8gwCyBvELxCWzN2p1)_x000D_
_x000D_
  (Crash) logs  :  Not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</si>
  <si>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Anuken-Mindustry-5498</t>
  </si>
  <si>
    <t>Class not found when importing mod on Android</t>
  </si>
  <si>
    <t xml:space="preserve">  Platform  :  Android _x000D_
_x000D_
  Build  : 127 1_x000D_
_x000D_
  Issue  : _x000D_
  image (https:  user images githubusercontent com 60143910 123634376 fa2f1300 d7df 11eb 97f9 1d2295d9e16b png)_x000D_
mod fails to load because betamindy Betamindy is not found_x000D_
_x000D_
  Steps to reproduce  : open mindustry on android  import any mod coded in java _x000D_
_x000D_
  Link(s) to mod(s) used  : https:  github com sk7725 BetaMindy_x000D_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</si>
  <si>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nextcloud-android-8633</t>
  </si>
  <si>
    <t xml:space="preserve">Crash-Report </t>
  </si>
  <si>
    <t xml:space="preserve">    Steps to reproduce_x000D_
1  Sync Files_x000D_
2  Got crash_x000D_
             CAUSE OF ERROR             _x000D_
_x000D_
android app RemoteServiceException: Context startForegroundService() did not then call Service startForeground(): ServiceRecord ea555a2 u0 com nextcloud client com owncloud android files services FileUploader _x000D_
	at android app ActivityThread H handleMessage(ActivityThread java:2240)_x000D_
	at android os Handler dispatchMessage(Handler java:106)_x000D_
	at android os Looper loop(Looper java:246)_x000D_
	at android app ActivityThread main(ActivityThread java:8512)_x000D_
	at java lang reflect Method invoke(Native Method)_x000D_
	at com android internal os RuntimeInit MethodAndArgsCaller run(RuntimeInit java:602)_x000D_
	at com android internal os ZygoteInit main(ZygoteInit java:1130)_x000D_
_x000D_
             APP INFORMATION             _x000D_
ID: com nextcloud client_x000D_
Version: 30160190_x000D_
Build flavor: gplay_x000D_
_x000D_
             DEVICE INFORMATION             _x000D_
Brand: samsung_x000D_
Device: y2s_x000D_
Model: SM G986B_x000D_
Id: RP1A 200720 012_x000D_
Product: y2sxeea_x000D_
_x000D_
             FIRMWARE             _x000D_
SDK: 30_x000D_
Release: 11_x000D_
Incremental: G986BXXS8DUE4_x000D_
_x000D_
3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</si>
  <si>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google-ExoPlayer-9124</t>
  </si>
  <si>
    <t>stop() cause crash</t>
  </si>
  <si>
    <t>the crash log is follow:_x000D_
 java lang IllegalStateException_x000D_
        at com google android exoplayer2 util Assertions checkState(Assertions java:84)_x000D_
        at com google android exoplayer2 util ExoFlags Builder add(ExoFlags java:54)_x000D_
        at com google android exoplayer2 util ListenerSet ListenerHolder invoke(ListenerSet java:280)_x000D_
        at com google android exoplayer2 util ListenerSet lambda queueEvent 0(ListenerSet java:170)_x000D_
        at com google android exoplayer2 util    Lambda ListenerSet NbKDn9xtItiyMgYZmjIx Sv1FFQ run(Unknown Source:6)_x000D_
        at com google android exoplayer2 util ListenerSet flushEvents(ListenerSet java:191)_x000D_
        at com google android exoplayer2 ExoPlayerImpl updatePlaybackInfo(ExoPlayerImpl java:1340)_x000D_
        at com google android exoplayer2 ExoPlayerImpl stop(ExoPlayerImpl java:802)_x000D_
        at com google android exoplayer2 ExoPlayerImpl stop(ExoPlayerImpl java:772)_x000D_
        at com google android exoplayer2 SimpleExoPlayer stop(SimpleExoPlayer java:1589)_x000D_
_x000D_
_x000D_
version is 2 24 1</t>
  </si>
  <si>
    <t>TeamNewPipe-NewPipe-6584</t>
  </si>
  <si>
    <t>App crashes when the repeat button is pressed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</si>
  <si>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Version_x000D_
_x000D_
0 21 2  to 0 21 5 (bug does not exist in legacy version)_x000D_
_x000D_
    Steps to reproduce the bug_x000D_
_x000D_
1  Open any video_x000D_
2  Go to the notifications menu_x000D_
3  Press the repeat button  It should pop up the error after a second or two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When you press the repeat button  an error screen showing a crash log shows up  and I m forced to exit the app _x000D_
_x000D_
_x000D_
_x000D_
_x000D_
_x000D_
    Expected behavior_x000D_
     Tell us what you expect to happen     _x000D_
_x000D_
When you press the repeat button  the video loops without any crashes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user images githubusercontent com 86582664 123573245 6da23780 d782 11eb 8760 9183dd61c715 mp4_x000D_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_x000D_
   Exception_x000D_
    User Action:   ui error_x000D_
    Request:   ACRA report_x000D_
    Content Country:   US_x000D_
    Content Language:   en US_x000D_
    App Language:   en US_x000D_
    Service:   none_x000D_
    Version:   0 21 5_x000D_
    OS:   Linux Android 11   30_x000D_
 details  summary  b Crash log   b   summary  p _x000D_
_x000D_
   _x000D_
java lang RuntimeException: Error receiving broadcast Intent   act org schabi newpipe player MainPlayer REPEAT flg 0x10   in org schabi newpipe player Player 3 5e78bf_x000D_
	at android app LoadedApk ReceiverDispatcher Args lambda getRunnable 0 LoadedApk ReceiverDispatcher Args(LoadedApk java:1676)_x000D_
	at android app    Lambda LoadedApk ReceiverDispatcher Args  BumDX2UKsnxLVrE6UJsJZkotuA run(Unknown Source:2)_x000D_
	at android os Handler handleCallback(Handler java:938)_x000D_
	at android os Handler dispatchMessage(Handler java:99)_x000D_
	at android os Looper loop(Looper java:246)_x000D_
	at android app ActivityThread main(ActivityThread java:8512)_x000D_
	at java lang reflect Method invoke(Native Method)_x000D_
	at com android internal os RuntimeInit MethodAndArgsCaller run(RuntimeInit java:602)_x000D_
	at com android internal os ZygoteInit main(ZygoteInit java:1130)_x000D_
Caused by: java lang ClassCastException: android widget ImageButton cannot be cast to androidx appcompat widget AppCompatImageButton_x000D_
	at org schabi newpipe player Player onRepeatModeChanged(Player java:2257)_x000D_
	at com google android exoplayer2 ExoPlayerImpl lambda setRepeatMode 2(ExoPlayerImpl java:564)_x000D_
	at com google android exoplayer2    Lambda ExoPlayerImpl rgrcbaqP9Y8LgzdByBnAfUO4ydU invokeListener(Unknown Source:2)_x000D_
	at com google android exoplayer2 BasePlayer ListenerHolder invoke(BasePlayer java:279)_x000D_
	at com google android exoplayer2 ExoPlayerImpl invokeAll(ExoPlayerImpl java:1498)_x000D_
	at com google android exoplayer2 ExoPlayerImpl lambda notifyListeners 6(ExoPlayerImpl java:1318)_x000D_
	at com google android exoplayer2    Lambda ExoPlayerImpl b59raXxaB trjwE5bgpZInm1QnU run(Unknown Source:4)_x000D_
	at com google android exoplayer2 ExoPlayerImpl notifyListeners(ExoPlayerImpl java:1328)_x000D_
	at com google android exoplayer2 ExoPlayerImpl notifyListeners(ExoPlayerImpl java:1318)_x000D_
	at com google android exoplayer2 ExoPlayerImpl setRepeatMode(ExoPlayerImpl java:564)_x000D_
	at com google android exoplayer2 SimpleExoPlayer setRepeatMode(SimpleExoPlayer java:1636)_x000D_
	at org schabi newpipe player Player setRepeatMode(Player java:2247)_x000D_
	at org schabi newpipe player Player onRepeatClicked(Player java:2226)_x000D_
	at org schabi newpipe player Player onBroadcastReceived(Player java:1118)_x000D_
	at org schabi newpipe player Player access 200(Player java:190)_x000D_
	at org schabi newpipe player Player 3 onReceive(Player java:1055)_x000D_
	at android app LoadedApk ReceiverDispatcher Args lambda getRunnable 0 LoadedApk ReceiverDispatcher Args(LoadedApk java:1666)_x000D_
	    8 more_x000D_
_x000D_
   _x000D_
  details _x000D_
 hr _x000D_
_x000D_
     That s right  here     _x000D_
_x000D_
_x000D_
_x000D_
     Please fill this out when you do not provide a log generate by NewPipe    _x000D_
_x000D_
    Device info_x000D_
_x000D_
   Android 11  One UI 3 1_x000D_
   Device model: Samsung Galaxy Tab S6 Lite 64 GB_x000D_
</t>
  </si>
  <si>
    <t>TeamNewPipe-NewPipe-6583</t>
  </si>
  <si>
    <t>Title bar on full screen player is shown under the seek bar at times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</si>
  <si>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Well  the bug is extremely inconsistent  So  I don t know what is exactly happening  After returning from recent apps or home seems to solve the bug _x000D_
_x000D_
_x000D_
    Actual behaviour_x000D_
     Tell us what happens with the steps given above     _x000D_
_x000D_
Title bar is shown under seek bar  Note that I can t scroll do anything in the info section  It just stays there _x000D_
_x000D_
    Expected behavior_x000D_
     Tell us what you expect to happen     _x000D_
_x000D_
Nothing from info section (Title bar  buttons etc ) should not be shown  Just a clean full screen player experience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IMG 20210628 140251 (https:  user images githubusercontent com 79245641 123601513 96c1d700 d819 11eb 916f 42ad10c5ea89 jpg)_x000D_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12 0 8_x000D_
   Device model: Xiaomi Redmi Note 8 Pro_x000D_
</t>
  </si>
  <si>
    <t>TeamNewPipe-NewPipe-6582</t>
  </si>
  <si>
    <t>Can't update feed. Shows network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</si>
  <si>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What s New _x000D_
2  Press on  Refresh feed  or swipe down_x000D_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Shows  Network Error _x000D_
_x000D_
_x000D_
_x000D_
    Expected behavior_x000D_
     Tell us what you expect to happen     _x000D_
 Update feed_x000D_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https:  user images githubusercontent com 86551211 123561155 a1a04b80 d7c8 11eb 97e1 fc055f6feae4 mp4_x000D_
_x000D_
_x000D_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Exception_x000D_
    User Action:   requested feed_x000D_
    Request:   Loading feed_x000D_
    Content Country:   US_x000D_
    Content Language:   en_x000D_
    App Language:   en_x000D_
    Service:   none_x000D_
    Version:   0 21 5_x000D_
    OS:   Linux Android 10   29_x000D_
 details  summary  b Crash log   b   summary  p _x000D_
_x000D_
   _x000D_
java net SocketTimeoutException: failed to connect to tube privacytools io 108 61 229 155 (port 443) from  192 168 0 100 (port 38630) after 10000ms_x000D_
	at libcore io IoBridge connectErrno(IoBridge java:191)_x000D_
	at libcore io IoBridge connect(IoBridge java:135)_x000D_
	at java net PlainSocketImpl socketConnect(PlainSocketImpl java:142)_x000D_
	at java net AbstractPlainSocketImpl doConnect(AbstractPlainSocketImpl java:390)_x000D_
	at java net AbstractPlainSocketImpl connectToAddress(AbstractPlainSocketImpl java:230)_x000D_
	at java net AbstractPlainSocketImpl connect(AbstractPlainSocketImpl java:212)_x000D_
	at java net SocksSocketImpl connect(SocksSocketImpl java:436)_x000D_
	at java net Socket connect(Socket java:621)_x000D_
	at okhttp3 internal platform AndroidPlatform connectSocket(AndroidPlatform java:73)_x000D_
	at okhttp3 internal connection RealConnection connectSocket(RealConnection java:247)_x000D_
	at okhttp3 internal connection RealConnection connect(RealConnection java:167)_x000D_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org schabi newpipe DownloaderImpl execute(DownloaderImpl java:264)_x000D_
	at org schabi newpipe extractor downloader Downloader get(Downloader java:70)_x000D_
	at org schabi newpipe extractor downloader Downloader get(Downloader java:29)_x000D_
	at org schabi newpipe extractor services peertube extractors PeertubeChannelExtractor onFetchPage(PeertubeChannelExtractor java:137)_x000D_
	at org schabi newpipe extractor Extractor fetchPage(Extractor java:54)_x000D_
	at org schabi newpipe extractor channel ChannelInfo getInfo(ChannelInfo java:47)_x000D_
	at org schabi newpipe util ExtractorHelper lambda getChannelInfo 4(ExtractorHelper java:123)_x000D_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at org schabi newpipe local feed service FeedLoadService startLoading 7 apply(FeedLoadService kt:220)_x000D_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_x000D_
_x000D_
     Please fill this out when you do not provide a log generate by NewPipe    _x000D_
_x000D_
    Device info_x000D_
_x000D_
   Android version Custom ROM version: Android 10_x000D_
   Device model: Poco X3_x000D_
</t>
  </si>
  <si>
    <t>AEFeinstein-mtg-familiar-549</t>
  </si>
  <si>
    <t>java.lang.IllegalStateException in CursorAdapter</t>
  </si>
  <si>
    <t xml:space="preserve">Familiar only has two CursorAdapters   ResultListAdapter  and  AutocompleteCursorAdapter    AutocompleteCursorAdapter  already overrides  getView()   so I m guessing the crash here is a result of  ResultListAdapter   Lets override the other  getView()   do some exception handling  and see what happens _x000D_
   _x000D_
java lang IllegalStateException: _x000D_
  at android database sqlite SQLiteClosable acquireReference (SQLiteClosable java:58)_x000D_
  at android database sqlite SQLiteQuery fillWindow (SQLiteQuery java:58)_x000D_
  at android database sqlite SQLiteCursor fillWindow (SQLiteCursor java:173)_x000D_
  at android database sqlite SQLiteCursor onMove (SQLiteCursor java:134)_x000D_
  at android database AbstractCursor moveToPosition (AbstractCursor java:248)_x000D_
  at android widget CursorAdapter getView (CursorAdapter java:287)_x000D_
  at android widget AbsListView obtainView (AbsListView java:2629)_x000D_
  at android widget ListView makeAndAddView (ListView java:2224)_x000D_
  at android widget ListView fillSpecific (ListView java:1527)_x000D_
  at android widget ListView layoutChildren (ListView java:1937)_x000D_
  at android widget AbsListView onLayout (AbsListView java:2405)_x000D_
  at android view View layout (View java:24475)_x000D_
  at android view ViewGroup layout (ViewGroup java:7383)_x000D_
  at android widget LinearLayout setChildFrame (LinearLayout java:1829)_x000D_
  at android widget LinearLayout layoutVertical (LinearLayout java:1673)_x000D_
  at android widget LinearLayout onLayout (LinearLayout java:1582)_x000D_
  at android view View layout (View java:24475)_x000D_
  at android view ViewGroup layout (ViewGroup java:7383)_x000D_
  at android widget FrameLayout layoutChildren (FrameLayout java:332)_x000D_
  at android widget FrameLayout onLayout (FrameLayout java:270)_x000D_
  at android view View layout (View java:24475)_x000D_
  at android view ViewGroup layout (ViewGroup java:7383)_x000D_
  at android widget RelativeLayout onLayout (RelativeLayout java:1103)_x000D_
  at android view View layout (View java:24475)_x000D_
  at android view ViewGroup layout (ViewGroup java:7383)_x000D_
  at androidx coordinatorlayout widget CoordinatorLayout layoutChild (CoordinatorLayout java:1213)_x000D_
  at androidx coordinatorlayout widget CoordinatorLayout onLayoutChild (CoordinatorLayout java:899)_x000D_
  at androidx coordinatorlayout widget CoordinatorLayout onLayout (CoordinatorLayout java:919)_x000D_
  at android view View layout (View java:24475)_x000D_
  at android view ViewGroup layout (ViewGroup java:7383)_x000D_
  at android widget LinearLayout setChildFrame (LinearLayout java:1829)_x000D_
  at android widget LinearLayout layoutVertical (LinearLayout java:1673)_x000D_
  at android widget LinearLayout onLayout (LinearLayout java:1582)_x000D_
  at android view View layout (View java:24475)_x000D_
  at android view ViewGroup layout (ViewGroup java:7383)_x000D_
  at androidx drawerlayout widget DrawerLayout onLayout (DrawerLayout java:1231)_x000D_
  at android view View layout (View java:24475)_x000D_
  at android view ViewGroup layout (ViewGroup java:7383)_x000D_
  at android widget FrameLayout layoutChildren (FrameLayout java:332)_x000D_
  at android widget FrameLayout onLayout (FrameLayout java:270)_x000D_
  at android view View layout (View java:24475)_x000D_
  at android view ViewGroup layout (ViewGroup java:7383)_x000D_
  at android widget FrameLayout layoutChildren (FrameLayout java:332)_x000D_
  at android widget FrameLayout onLayout (FrameLayout java:270)_x000D_
  at android view View layout (View java:24475)_x000D_
  at android view ViewGroup layout (ViewGroup java:7383)_x000D_
  at android widget FrameLayout layoutChildren (FrameLayout java:332)_x000D_
  at android widget FrameLayout onLayout (FrameLayout java:270)_x000D_
  at android view View layout (View java:24475)_x000D_
  at android view ViewGroup layout (ViewGroup java:7383)_x000D_
  at android widget LinearLayout setChildFrame (LinearLayout java:1829)_x000D_
  at android widget LinearLayout layoutVertical (LinearLayout java:1673)_x000D_
  at android widget LinearLayout onLayout (LinearLayout java:1582)_x000D_
  at android view View layout (View java:24475)_x000D_
  at android view ViewGroup layout (ViewGroup java:7383)_x000D_
  at android widget FrameLayout layoutChildren (FrameLayout java:332)_x000D_
  at android widget FrameLayout onLayout (FrameLayout java:270)_x000D_
  at com android internal policy DecorView onLayout (DecorView java:1225)_x000D_
  at android view View layout (View java:24475)_x000D_
  at android view ViewGroup layout (ViewGroup java:7383)_x000D_
  at android view ViewRootImpl performLayout (ViewRootImpl java:4260)_x000D_
  at android view ViewRootImpl performTraversals (ViewRootImpl java:3695)_x000D_
  at android view ViewRootImpl doTraversal (ViewRootImpl java:2618)_x000D_
  at android view ViewRootImpl TraversalRunnable run (ViewRootImpl java:9965)_x000D_
  at android view Choreographer CallbackRecord run (Choreographer java:1010)_x000D_
  at android view Choreographer doCallbacks (Choreographer java:809)_x000D_
  at android view Choreographer doFrame (Choreographer java:744)_x000D_
  at android view Choreographer FrameDisplayEventReceiver run (Choreographer java:995)_x000D_
  at android os Handler handleCallback (Handler java:938)_x000D_
  at android os Handler dispatchMessage (Handler java:99)_x000D_
  at android os Looper loop (Looper java:246)_x000D_
  at android app ActivityThread main (ActivityThread java:8506)_x000D_
  at java lang reflect Method invoke (Native Method)_x000D_
  at com android internal os RuntimeInit MethodAndArgsCaller run (RuntimeInit java:602)_x000D_
  at com android internal os ZygoteInit main (ZygoteInit java:1130)_x000D_
   </t>
  </si>
  <si>
    <t>Anuken-Mindustry-5492</t>
  </si>
  <si>
    <t>crash on a server</t>
  </si>
  <si>
    <t xml:space="preserve">  Platform  :  windows _x000D_
_x000D_
  Build  :  21339 _x000D_
_x000D_
  Issue  :  game crash on a server _x000D_
_x000D_
  Steps to reproduce  :  the game randomly crash _x000D_
_x000D_
  Link(s) to mod(s) used  :  override lib  logicDebugger  developer mod _x000D_
_x000D_
  Save file  :  _x000D_
 bug  zip (https:  github com Anuken Mindustry files 6721738 bug zip)_x000D_
_x000D_
_x000D_
  (Crash) logs  :  _x000D_
 crash report 05 31 2021 23 32 05 txt (https:  github com Anuken Mindustry files 6721740 crash report 05 31 2021 23 32 05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</si>
  <si>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TeamNewPipe-NewPipe-6578</t>
  </si>
  <si>
    <t>This error occured after beginning to watch a video on peer tube _x000D_
_x000D_
I paused the video in order to switch apps to Chrome  The video was in portrait  and I accidentally missed the Android switch app button and clicked something inside the app in the bottom right hand corner  and the it crashed _x000D_
_x000D_
   Exception_x000D_
    User Action:   ui error_x000D_
    Request:   ACRA report_x000D_
    Content Country:   GB_x000D_
    Content Language:   en GB_x000D_
    App Language:   en GB_x000D_
    Service:   none_x000D_
    Version:   0 21 5_x000D_
    OS:   Linux Android 6 0   23_x000D_
 details  summary  b Crash log   b   summary  p _x000D_
_x000D_
   _x000D_
android os NetworkOnMainThreadException_x000D_
	at android os StrictMode AndroidBlockGuardPolicy onNetwork(StrictMode java:1273)_x000D_
	at java net InetAddress lookupHostByName(InetAddress java:436)_x000D_
	at java net InetAddress getAllByNameImpl(InetAddress java:252)_x000D_
	at java net InetAddress getAllByName(InetAddress java:215)_x000D_
	at okhttp3 Dns 1 lookup(Dns java:40)_x000D_
	at okhttp3 internal connection RouteSelector resetNextInetSocketAddress(RouteSelector java:185)_x000D_
	at okhttp3 internal connection RouteSelector nextProxy(RouteSelector java:149)_x000D_
	at okhttp3 internal connection RouteSelector next(RouteSelector java:84)_x000D_
	at okhttp3 internal connection StreamAllocation findConnection(StreamAllocation java:215)_x000D_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org schabi newpipe DownloaderImpl execute(DownloaderImpl java:264)_x000D_
	at org schabi newpipe extractor downloader Downloader get(Downloader java:70)_x000D_
	at org schabi newpipe extractor downloader Downloader get(Downloader java:29)_x000D_
	at org schabi newpipe extractor services bandcamp extractors BandcampExtractorHelper isSupportedDomain(BandcampExtractorHelper java:99)_x000D_
	at org schabi newpipe extractor services bandcamp linkHandler BandcampChannelLinkHandlerFactory onAcceptUrl(BandcampChannelLinkHandlerFactory java:83)_x000D_
	at org schabi newpipe extractor linkhandler LinkHandlerFactory acceptUrl(LinkHandlerFactory java:100)_x000D_
	at org schabi newpipe extractor StreamingService getLinkTypeByUrl(StreamingService java:291)_x000D_
	at org schabi newpipe extractor NewPipe getServiceByUrl(NewPipe java:93)_x000D_
	at org schabi newpipe util CommentTextOnTouchListener handleUrl(CommentTextOnTouchListener java:98)_x000D_
	at org schabi newpipe util CommentTextOnTouchListener onTouch(CommentTextOnTouchListener java:69)_x000D_
	at android view View dispatchTouchEvent(View java:9291)_x000D_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android view ViewGroup dispatchTransformedTouchEvent(ViewGroup java:2555)_x000D_
	at android view ViewGroup dispatchTouchEvent(ViewGroup java:2254)_x000D_
	at com android internal policy PhoneWindow DecorView superDispatchTouchEvent(PhoneWindow java:2445)_x000D_
	at com android internal policy PhoneWindow superDispatchTouchEvent aroundBody0(PhoneWindow java:1756)_x000D_
	at com android internal policy PhoneWindow AjcClosure1 run(PhoneWindow java:1)_x000D_
	at android view PhoneWindowAO ajc around android view PhoneWindowAO 2 99ce526bproceed(PhoneWindowAO aj:113)_x000D_
	at android view PhoneWindowAO ajc around android view PhoneWindowAO 2 99ce526b(PhoneWindowAO aj:117)_x000D_
	at com android internal policy PhoneWindow superDispatchTouchEvent(PhoneWindow java:1756)_x000D_
	at android app Activity dispatchTouchEvent(Activity java:2800)_x000D_
	at androidx appcompat view WindowCallbackWrapper dispatchTouchEvent(WindowCallbackWrapper java:69)_x000D_
	at androidx appcompat view WindowCallbackWrapper dispatchTouchEvent(WindowCallbackWrapper java:69)_x000D_
	at com android internal policy PhoneWindow DecorView dispatchTouchEvent(PhoneWindow java:2406)_x000D_
	at android view View dispatchPointerEvent(View java:9517)_x000D_
	at android view ViewRootImpl ViewPostImeInputStage processPointerEvent(ViewRootImpl java:4309)_x000D_
	at android view ViewRootImpl ViewPostImeInputStage onProcess(ViewRootImpl java:4175)_x000D_
	at android view ViewRootImpl InputStage deliver(ViewRootImpl java:3682)_x000D_
	at android view ViewRootImpl InputStage onDeliverToNext(ViewRootImpl java:3735)_x000D_
	at android view ViewRootImpl InputStage forward(ViewRootImpl java:3701)_x000D_
	at android view ViewRootImpl InputStage apply(ViewRootImpl java:3709)_x000D_
	at android view ViewRootImpl InputStage deliver(ViewRootImpl java:3682)_x000D_
	at android view ViewRootImpl InputStage onDeliverToNext(ViewRootImpl java:3735)_x000D_
	at android view ViewRootImpl InputStage forward(ViewRootImpl java:3701)_x000D_
	at android view ViewRootImpl AsyncInputStage forward(ViewRootImpl java:3828)_x000D_
	at android view ViewRootImpl InputStage apply(ViewRootImpl java:3709)_x000D_
	at android view ViewRootImpl AsyncInputStage apply(ViewRootImpl java:3885)_x000D_
	at android view ViewRootImpl InputStage deliver(ViewRootImpl java:3682)_x000D_
	at android view ViewRootImpl InputStage onDeliverToNext(ViewRootImpl java:3735)_x000D_
	at android view ViewRootImpl InputStage forward(ViewRootImpl java:3701)_x000D_
	at android view ViewRootImpl InputStage apply(ViewRootImpl java:3709)_x000D_
	at android view ViewRootImpl InputStage deliver(ViewRootImpl java:3682)_x000D_
	at android view ViewRootImpl deliverInputEvent(ViewRootImpl java:6001)_x000D_
	at android view ViewRootImpl doProcessInputEvents(ViewRootImpl java:5975)_x000D_
	at android view ViewRootImpl enqueueInputEvent(ViewRootImpl java:5936)_x000D_
	at android view ViewRootImpl WindowInputEventReceiver onInputEvent(ViewRootImpl java:6133)_x000D_
	at android view InputEventReceiver dispatchInputEvent(InputEventReceiver java:185)_x000D_
	at android view InputEventReceiver nativeConsumeBatchedInputEvents(Native Method)_x000D_
	at android view InputEventReceiver consumeBatchedInputEvents(InputEventReceiver java:176)_x000D_
	at android view ViewRootImpl doConsumeBatchedInput(ViewRootImpl java:6083)_x000D_
	at android view ViewRootImpl ConsumeBatchedInputRunnable run(ViewRootImpl java:6156)_x000D_
	at android view Choreographer CallbackRecord run(Choreographer java:858)_x000D_
	at android view Choreographer doCallbacks(Choreographer java:670)_x000D_
	at android view Choreographer doFrame(Choreographer java:600)_x000D_
	at android view Choreographer FrameDisplayEventReceiver run(Choreographer java:844)_x000D_
	at android os Handler handleCallback(Handler java:739)_x000D_
	at android os Handler dispatchMessage(Handler java:95)_x000D_
	at android os Looper loop(Looper java:148)_x000D_
	at android app ActivityThread main(ActivityThread java:5525)_x000D_
	at java lang reflect Method invoke(Native Method)_x000D_
	at com android internal os ZygoteInit MethodAndArgsCaller run(ZygoteInit java:730)_x000D_
	at com android internal os ZygoteInit main(ZygoteInit java:620)_x000D_
_x000D_
_x000D_
  details _x000D_
 hr _x000D_
_x000D_
_x000D_
System:_x000D_
Device: LG G4_x000D_
OS: Android 6 0   23</t>
  </si>
  <si>
    <t>Anuken-Mindustry-5485</t>
  </si>
  <si>
    <t>Crash when trying to copy incompletely deconstructed boulder with F button</t>
  </si>
  <si>
    <t xml:space="preserve">  Platform  :  Windows _x000D_
_x000D_
  Build  :  126 2 _x000D_
_x000D_
  Issue  :  Game will crash every time  when you try to copy with  F  button icompletely deconstructed boulder _x000D_
I ve not tested that on alpha versions  only last release build 126 2 _x000D_
_x000D_
  Steps to reproduce  :  I command unit to destroy boulder with right click  I cancel destroing with left click  then i press  F  button and select the incompletely undestroyed boulder to copy  game crash immediately_x000D_
I ve not tested that on alpha versions  only last release build 126 2 _x000D_
_x000D_
  Link(s) to mod(s) used  :  no mods  clean version  _x000D_
_x000D_
  Save file  :  ok  Ive get it  dont hurt me  Last save file where i ve got crush attached  it s campaign   But I ve tred it several times    same way crush on any map _x000D_
 saves zip (https:  github com Anuken Mindustry files 6720463 saves zip)_x000D_
  _x000D_
_x000D_
_x000D_
  (Crash) logs  : _x000D_
Version: release build 126 2_x000D_
OS: Windows 10 x64_x000D_
Java Version: 1 8 0 72_x000D_
Java Architecture: 64_x000D_
0 Mods_x000D_
_x000D_
java lang NullPointerException_x000D_
	at mindustry game Schematics create(Schematics java:354)_x000D_
	at mindustry input DesktopInput pollInput(DesktopInput java:433)_x000D_
	at mindustry input DesktopInput update(DesktopInput java:274)_x000D_
	at mindustry core Control update(Control java:525)_x000D_
	at arc ApplicationCore update(ApplicationCore java:36)_x000D_
	at mindustry ClientLauncher update(ClientLauncher java:164)_x000D_
	at arc backend sdl SdlApplication listen(SdlApplication java:160)_x000D_
	at arc backend sdl SdlApplication loop(SdlApplication java:148)_x000D_
	at arc backend sdl SdlApplication  init (SdlApplication java:44)_x000D_
	at mindustry desktop DesktopLauncher main(DesktopLauncher java:36)_x000D_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</si>
  <si>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Anuken-Mindustry-5482</t>
  </si>
  <si>
    <t>Screen sharing on discord makes level editor UI flicker.</t>
  </si>
  <si>
    <t xml:space="preserve">  Platform  :  Android iOS Mac Windows Linux _x000D_
Windows_x000D_
  Build  :  The build number under the title in the main menu  Required   LATEST  IS NOT A VERSION  I NEED THE EXACT BUILD NUMBER OF YOUR GAME  _x000D_
Steam build 127 1_x000D_
  Issue  :  Explain your issue in detail  _x000D_
When screen sharing mindustry  the ui of the level editor flickers  it seems to also depend on the FPS of the screen sharing _x000D_
_x000D_
  Steps to reproduce  :  How you happened across the issue  and what exactly you did to make the bug happen  _x000D_
Join a voice chat in discord  start screensharing mindustry  go to the level editor _x000D_
_x000D_
  Link(s) to mod(s) used  :  The mod repositories or zip files that are related to the issue  if applicable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</si>
  <si>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Anuken-Mindustry-5481</t>
  </si>
  <si>
    <t>Mindustry v127.1 Multiplayer Crashing when joining game - Bug Report</t>
  </si>
  <si>
    <t xml:space="preserve">  Platform  : Windows 10 x64_x000D_
_x000D_
  Build  : Steam Build 127 1_x000D_
_x000D_
  Issue  : When joining a Multiplayer Campaign that was created in a previous version of the game (Steam Build 126 3) via a friend on Steam  attempting to load the world the game crashes _x000D_
_x000D_
  Steps to reproduce  : Join friend via an invite  the right click   join menu or in game  All ways cause the crash  _x000D_
_x000D_
  Link(s) to mod(s) used  : No mods used_x000D_
_x000D_
  Save file  : https:  drive google com file d 1x a1jQEH2c9at41zToaYNiHkjFrAIDXu view usp sharing_x000D_
_x000D_
  (Crash) logs  : https:  drive google com file d 1XZYTSG2F4whxFjjlozJhsuKTa2usz87L view usp sharing_x000D_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</si>
  <si>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Anuken-Mindustry-5479</t>
  </si>
  <si>
    <t>Game sound output error</t>
  </si>
  <si>
    <t xml:space="preserve">  Platform  :_x000D_
ArchLinux_x000D_
_x000D_
  Build  :_x000D_
127 pre alpha_x000D_
_x000D_
  Issue  :_x000D_
In the KDE desktop environment  the game sound of version 127 is forced to output from the default onboard sound card_x000D_
_x000D_
  Steps to reproduce  :_x000D_
Upgrade game to 127 (126 version is ok)_x000D_
_x000D_
  Link(s) to mod(s) used  : _x000D_
no mod_x000D_
_x000D_
  Save file  : _x000D_
Nope_x000D_
_x000D_
_x000D_
  (Crash) logs  : _x000D_
Not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</si>
  <si>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Anuken-Mindustry-5478</t>
  </si>
  <si>
    <t>Crash after join to pvp server</t>
  </si>
  <si>
    <t xml:space="preserve">  Platform  :  Windows _x000D_
_x000D_
  Build  :  The build number under the title in the main menu  Required   LATEST  IS NOT A VERSION  I NEED THE EXACT BUILD NUMBER OF YOUR GAME   127_x000D_
_x000D_
  Issue  : Crash after join to server _x000D_
_x000D_
  Steps to reproduce  :  join to  pl pvp server  this crash is very rare _x000D_
_x000D_
  Link(s) to mod(s) used  : yes i have 5 mods what is showed in logs  but all are disabled_x000D_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Server save _x000D_
 2 zip (https:  github com Anuken Mindustry files 6719843 2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Mindustry has crashed  How unfortunate _x000D_
Version: pre alpha build 127_x000D_
OS: Windows 10 x64_x000D_
Java Version: 16 0 1_x000D_
Java Architecture: 64_x000D_
5 Mods: dev mode:2 3 2  pvpnotifs:0 1  ui lib:2 16 6  unitinfo:0  waisa:2 3 3_x000D_
_x000D_
java lang NullPointerException: Cannot read field  x  because  tile  is null_x000D_
	at mindustry graphics BlockRenderer lambda drawDarkness 5(BlockRenderer java:168)_x000D_
	at arc struct IntSet each(IntSet java:92)_x000D_
	at mindustry graphics BlockRenderer drawDarkness(BlockRenderer java:166)_x000D_
	at arc graphics g2d SortedSpriteBatch flushRequests(SortedSpriteBatch java:117)_x000D_
	at arc graphics g2d SortedSpriteBatch flush(SortedSpriteBatch java:97)_x000D_
	at arc graphics g2d Draw flush(Draw java:354)_x000D_
	at mindustry core Renderer draw(Renderer java:270)_x000D_
	at mindustry core Renderer update(Renderer java:118)_x000D_
	at arc ApplicationCore update(ApplicationCore java:37)_x000D_
	at mindustry ClientLauncher update(ClientLauncher java:165)_x000D_
	at arc backend sdl SdlApplication listen(SdlApplication java:166)_x000D_
	at arc backend sdl SdlApplication loop(SdlApplication java:154)_x000D_
	at arc backend sdl SdlApplication  init (SdlApplication java:46)_x000D_
	at mindustry desktop DesktopLauncher main(DesktopLauncher java:38)_x000D_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</si>
  <si>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commons-app-apps-android-commons-4482</t>
  </si>
  <si>
    <t>NPE from Explore</t>
  </si>
  <si>
    <t xml:space="preserve">  Summary:   _x000D_
_x000D_
From a user on our crash report forum:_x000D_
_x000D_
  USER COMMENT Clicked on a picture in search results of the explore tab _x000D_
  APP VERSION CODE 1016_x000D_
  APP VERSION NAME 3 0 1_x000D_
  ANDROID VERSION 11_x000D_
  PHONE MODEL Mi 9 Lite_x000D_
  STACK TRACE java lang NullPointerException: Attempt to invoke virtual method  void androidx appcompat app ActionBar setDisplayHomeAsUpEnabled(boolean)  on a null object reference_x000D_
  at fr free nrw commons media MediaDetailPagerFragment onCreateView(MediaDetailPagerFragment java:92)_x000D_
  at androidx fragment app Fragment performCreateView(Fragment java:2698)_x000D_
  at androidx fragment app FragmentStateManager createView(FragmentStateManager java:310)_x000D_
  at androidx fragment app FragmentManager moveToState(FragmentManager java:1185)_x000D_
  at androidx fragment app FragmentManager moveToState(FragmentManager java:1354)_x000D_
  at androidx fragment app FragmentManager moveFragmentToExpectedState(FragmentManager java:1432)_x000D_
  at androidx fragment app FragmentManager moveToState(FragmentManager java:1495)_x000D_
  at androidx fragment app BackStackRecord executeOps(BackStackRecord java:447)_x000D_
  at androidx fragment app FragmentManager executeOps(FragmentManager java:2167)_x000D_
  at androidx fragment app FragmentManager executeOpsTogether(FragmentManager java:1990)_x000D_
  at androidx fragment app FragmentManager removeRedundantOperationsAndExecute(FragmentManager java:1945)_x000D_
  at androidx fragment app FragmentManager execPendingActions(FragmentManager java:1847)_x000D_
  at androidx fragment app FragmentManager executePendingTransactions(FragmentManager java:489)_x000D_
  at fr free nrw commons category CategoryDetailsActivity onMediaClicked(CategoryDetailsActivity java:122)_x000D_
  at fr free nrw commons explore media PageableMediaFragment pagedListAdapter 2 1 invoke(PageableMediaFragment kt:17)_x000D_
  at fr free nrw commons explore media PageableMediaFragment pagedListAdapter 2 1 invoke(PageableMediaFragment kt:14)_x000D_
  at fr free nrw commons explore media SearchImagesViewHolder bind 1 onClick(PagedMediaAdapter kt:37)_x000D_
  at android view View performClick(Unknown Source:17)_x000D_
  at android view View performClickInternal(Unknown Source:3)_x000D_
  at android view View access 3600(Unknown Source:0)_x000D_
  at android view View PerformClick run(Unknown Source:8)_x000D_
  at android os Handler handleCallback(Unknown Source:2)_x000D_
  at android os Handler dispatchMessage(Unknown Source:4)_x000D_
  at android os Looper loop(Unknown Source:249)_x000D_
  at android app ActivityThread main(Unknown Source:134)_x000D_
  at java lang reflect Method invoke(Native Method)_x000D_
  at com android internal os RuntimeInit MethodAndArgsCaller run(Unknown Source:11)_x000D_
  at com android internal os ZygoteInit main(Unknown Source:313)_x000D_
_x000D_
 _x000D_
  Commons app version:   _x000D_
_x000D_
v3 0 1 beta release_x000D_
_x000D_
_x000D_
</t>
  </si>
  <si>
    <t>Anuken-Mindustry-5476</t>
  </si>
  <si>
    <t>Broken window scaling</t>
  </si>
  <si>
    <t xml:space="preserve">  Platform  :  Android iOS Mac Windows Linux  Mac_x000D_
_x000D_
  Build  :  The build number under the title in the main menu  Required   LATEST  IS NOT A VERSION  I NEED THE EXACT BUILD NUMBER OF YOUR GAME   127_x000D_
_x000D_
  Issue  :  Explain your issue in detail   game looks like this when i opened it_x000D_
 img width  1280  alt  Screen Shot 2021 06 25 at 10 19 24 PM  src  https:  user images githubusercontent com 75851043 123499019 aff03b00 d601 11eb 9fea 77a71c8f9e62 png  _x000D_
_x000D_
_x000D_
  Steps to reproduce  :  How you happened across the issue  and what exactly you did to make the bug happen  _x000D_
downloaded the new version from the itch io app  open it up and the screen is small while it loads  i thought it would fix itself when it finished loading but nope_x000D_
_x000D_
  Link(s) to mod(s) used  :  The mod repositories or zip files that are related to the issue  if applicable   NA_x000D_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NA_x000D_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NA_x000D_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</si>
  <si>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Anuken-Mindustry-5474</t>
  </si>
  <si>
    <t>Crash when joining steam servers</t>
  </si>
  <si>
    <t xml:space="preserve">  Platform  :  Android iOS Mac Windows Linux _x000D_
Windows_x000D_
  Build  :  The build number under the title in the main menu  Required   LATEST  IS NOT A VERSION  I NEED THE EXACT BUILD NUMBER OF YOUR GAME  _x000D_
steam build 127_x000D_
  Issue  :  Explain your issue in detail  _x000D_
When joining a server hosted by a steam user  the player joining crashes_x000D_
  Steps to reproduce  :  How you happened across the issue  and what exactly you did to make the bug happen  _x000D_
one player hosts a server via Steam and invites another player  the second player crashes_x000D_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Doesn t seem applicable  tried many saves and all of them crashed  as well as different hosts _x000D_
But anyways  here s the save file I tried playing on _x000D_
 SaveFiles zip (https:  github com Anuken Mindustry files 6719036 SaveFiles zip)_x000D_
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crash report 06 25 2021 18 17 49 txt (https:  github com Anuken Mindustry files 6718898 crash report 06 25 2021 18 17 49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</si>
  <si>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Anuken-Mindustry-5467</t>
  </si>
  <si>
    <t>Player can spawn use other team core</t>
  </si>
  <si>
    <t xml:space="preserve">  Platform  :  Android iOS Mac Windows Linux _x000D_
All_x000D_
_x000D_
  Build  : 126 2_x000D_
_x000D_
  Issue  :  Explain your issue in detail  _x000D_
Use this code in client  can spawn using green core  there is no team check in server _x000D_
   js_x000D_
Call unitControl(Vars player Team green core() unit)_x000D_
   _x000D_
_x000D_
  Steps to reproduce  :  How you happened across the issue  and what exactly you did to make the bug happen  _x000D_
   js_x000D_
Call unitControl(Vars player Team green core() unit)_x000D_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I see the code in master https:  github com Anuken Mindustry blob 0cd4ef575de24ea57b426445f7639a9dc1cee71d core src mindustry input InputHandler java L381  may fix in 7 0_x000D_
</t>
  </si>
  <si>
    <t>TeamNewPipe-NewPipe-6571</t>
  </si>
  <si>
    <t>Focus skips over resolution and playback speed button on Fire TV Stick with remote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</si>
  <si>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On Fire TV Stick_x000D_
_x000D_
1  Open a video and go to the main player _x000D_
2  Using the remote try navigating to the video resolution and speed control button  You can see the focus skips from the close and playlist button  Actually  these buttons were focusable in versions prior to 0 20_x000D_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Focus jumps between close and playlist button _x000D_
_x000D_
_x000D_
    Expected behavior_x000D_
     Tell us what you expect to happen     _x000D_
Focus video resolution and speed control button on the main player using the remote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user images githubusercontent com 39849268 123430294 a527ad00 d5e5 11eb 999d 76e582916669 mp4_x000D_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Fire OS v5 2 7 8_x000D_
   Device model: Amazon Fire TV Stick Gen 1_x000D_
</t>
  </si>
  <si>
    <t>Anuken-Mindustry-5463</t>
  </si>
  <si>
    <t>help i just loaded a mod and any mod it always says error in mindustry pls Anuken helpp.</t>
  </si>
  <si>
    <t xml:space="preserve">  Platform  :  Android iOS Mac Windows Linux _x000D_
android samsung tab 4 4 4_x000D_
  Build  :  The build number under the title in the main menu  Required   LATEST  IS NOT A VERSION  I NEED THE EXACT BUILD NUMBER OF YOUR GAME  _x000D_
my tablet is samsung 4 4 4 and mindustry version v6 0 126 2_x000D_
  Issue  :  Explain your issue in detail  _x000D_
i cant use mod because it errors_x000D_
  Steps to reproduce  :  How you happened across the issue  and what exactly you did to make the bug happen  _x000D_
 i just imported this mod_x000D_
_x000D_
  Link(s) to mod(s) used  :  The mod repositories or zip files that are related to the issue  if applicable  _x000D_
https:  github com Eschatologue Heavy Armaments Industries git_x000D_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https:  github com Eschatologue Heavy Armaments Industries git_x000D_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none_x000D_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</si>
  <si>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TeamNewPipe-NewPipe-6570</t>
  </si>
  <si>
    <t xml:space="preserve"> Fix crash when connecting to a Bluetooth device </t>
  </si>
  <si>
    <t xml:space="preserve">     Hey there  Thank you so much for improving NewPipe  and filling out the details  Having roughly the same layout helps everyone considerably :)   _x000D_
_x000D_
     What is it _x000D_
   X  Bugfix (user facing)_x000D_
      Feature (user facing)_x000D_
      Codebase improvement (dev facing)_x000D_
      Meta improvement to the project (dev facing)_x000D_
_x000D_
     Description of the changes in your PR_x000D_
The last weeks and NewPipe versions I had the issue that as soon as my phone connected via BT with my car NewPipe crashed as for some reason  onCompleted  was called _x000D_
_x000D_
 _x000D_
   _x000D_
java lang NullPointerException: Attempt to invoke virtual method  int org schabi newpipe player playqueue PlayQueue getIndex()  on a null object reference_x000D_
org schabi newpipe player Player onCompleted_x000D_
org schabi newpipe player Player changeState_x000D_
org schabi newpipe player Player onPlayerStateChanged_x000D_
   _x000D_
_x000D_
Maybe I am the only one and this is a specific issue with my current car   car software  but as we have the same null checks in other listener methods  I felt it doesn t hurt to add it here as well _x000D_
_x000D_
     Fixes the following issue(s)_x000D_
 6233_x000D_
_x000D_
     APK testing _x000D_
     Use a new  meaningfully named branch  The name is used as a suffix for the app ID to allow installing and testing multiple versions of NewPipe  e g   commentfix   if your PR implements a bugfix for comments  (No names like  patch 0  and  feature 1  )     _x000D_
     Remove the following line if you directly link the APK created by the CI pipeline  Directly linking is preferred if you need to let users test    _x000D_
On the website the APK can be found by going to the  Checks  tab below the title and then on  artifacts  on the right _x000D_
_x000D_
     Due diligence_x000D_
   X  I read the  contribution guidelines (https:  github com TeamNewPipe NewPipe blob HEAD  github CONTRIBUTING md) _x000D_
</t>
  </si>
  <si>
    <t>Anuken-Mindustry-5457</t>
  </si>
  <si>
    <t>Sector view error message piles up.</t>
  </si>
  <si>
    <t xml:space="preserve">  Platform  : Windows 10_x000D_
_x000D_
  Build  : 126 2_x000D_
_x000D_
  Issue  : While in multiplayer campaign  pressing n many times in the map view causes the same message to be printed over and over _x000D_
_x000D_
  Steps to reproduce  : You need two mindustry clients to reproduce this effect  First  take one client and host a campaign server  Then connect to that server with the other client  Using the other client  press m and then spam n a couple times  The message  Only the host can view sectors  should appear  But if you reproduced this effect correctly  you will have to click the ok button as many times as you pressed n to escape the message box _x000D_
_x000D_
  Link(s) to mod(s) used  : No mods used _x000D_
_x000D_
  Save file  : I am 100  sure that this issue has nothing to do with a save file _x000D_
_x000D_
  (Crash) logs  : This is not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I wasn t 100  sure what to search  for since I don t know if the planet view thing is called planet map  or sector view  or something else  Sorry if I have wasted your time </t>
  </si>
  <si>
    <t>Blankj-AndroidUtilCode-1515</t>
  </si>
  <si>
    <t>isIDCard18Exact 不支持身份证X/Y结尾的</t>
  </si>
  <si>
    <t>TeamNewPipe-NewPipe-6567</t>
  </si>
  <si>
    <t>Player layout problem during background playback</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</si>
  <si>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1  Play any video in background playback mode
2  Go to the full screen player UI
     If you can t cause the bug to show up again reliably (and hence don t have a proper set of steps to give us)  please still try to give as many details as possible on how you think you encountered the bug     
    Actual behaviour
     Tell us what happens with the steps given above     
The elapsed time doesn t show up properly  It gets cut into two lines 
    Expected behavior
     Tell us what you expect to happen     
The elapsed time should be in a single line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Screenshot 20210624 162918 jpg (https:  user images githubusercontent com 35728385 123252441 e8ace900 d509 11eb 836d 564ce39cf7bd jpg)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OxygenOS 11
   Device model: OnePlus Nord CE 5G
</t>
  </si>
  <si>
    <t>PojavLauncherTeam-PojavLauncher-1583</t>
  </si>
  <si>
    <t>Always crash in 1.12.2 forge</t>
  </si>
  <si>
    <t>Describe the bug_x000D_
_x000D_
Always crash in 1 12 2 forge even only 2 mods insert_x000D_
_x000D_
Add a log file if you want to see your bug fixed  _x000D_
_x000D_
 latestlog txt (https:  github com PojavLauncherTeam PojavLauncher files 6708084 latestlog txt)_x000D_
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Start PojavLauncher_x000D_
    (your set of actions to reproduce the bug)_x000D_
Launch forge 1 12 2_x000D_
Modify video settings_x000D_
Select a world_x000D_
Play for 3   4m_x000D_
Game hung and crash always crash_x000D_
_x000D_
Expected behavior:_x000D_
I expected the game not crashed_x000D_
_x000D_
Screenshots or videos:_x000D_
Upload here screenshots or videos of the buggy behavior  if possible _x000D_
_x000D_
Platform:_x000D_
https:  www google com amp s m gsmarena com xiaomi mi 9t ampp 9738 php_x000D_
_x000D_
Spec: 6gb ram and 64gb rom_x000D_
_x000D_
Device Model  e g  Mi 8 Pro 8 128 Mi 9t_x000D_
CPU architecture  e g  aarch64  aarch64_x000D_
Android Version  e g  10  10_x000D_
PojavLauncher Version Latest Actions    version 3 3 1 1 rel 20210619</t>
  </si>
  <si>
    <t>material-components-material-components-android-2272</t>
  </si>
  <si>
    <t>[Slider] IllegalStateException on Huawei (Android 9)</t>
  </si>
  <si>
    <t>We keep experiencing IllegalStateException  but only on Huawei devices and only Android 9  When using another device on same user account  no crashes occur  Current version  1 4 0 beta01 _x000D_
_x000D_
   _x000D_
Fatal Exception: java lang IllegalStateException: Value(475 0) must be equal to valueFrom(100 0) plus a multiple of stepSize(100 0) when using stepSize(100 0)_x000D_
       at com google android material slider BaseSlider validateValues(BaseSlider java:553)_x000D_
       at com google android material slider BaseSlider validateConfigurationIfDirty(BaseSlider java:587)_x000D_
       at com google android material slider BaseSlider onDraw(BaseSlider java:1521)_x000D_
       at android view View draw(View java:20483)_x000D_
       at android view View updateDisplayListIfDirty(View java:19294)_x000D_
       at android view View draw(View java:20211)_x000D_
       at android view ViewGroup drawChild(ViewGroup java:4394)_x000D_
       at android view ViewGroup dispatchDraw(ViewGroup java:4170)_x000D_
       at androidx constraintlayout widget ConstraintLayout dispatchDraw(ConstraintLayout java:1975)_x000D_
       at android view View updateDisplayListIfDirty(View java:19285)_x000D_
       at android view View draw(View java:20211)_x000D_
       at android view ViewGroup drawChild(ViewGroup java:4394)_x000D_
       at android view ViewGroup dispatchDraw(ViewGroup java:4170)_x000D_
       at android view View draw(View java:20486)_x000D_
       at android widget ScrollView draw(ScrollView java:1790)_x000D_
       at android view View updateDisplayListIfDirty(View java:19294)_x000D_
       at android view View draw(View java:20211)_x000D_
       at android view ViewGroup drawChild(ViewGroup java:4394)_x000D_
       at android view ViewGroup dispatchDraw(ViewGroup java:4170)_x000D_
       at androidx constraintlayout widget ConstraintLayout dispatchDraw(ConstraintLayout java:1975)_x000D_
       at android view View draw(View java:20486)_x000D_
       at android view View updateDisplayListIfDirty(View java:19294)_x000D_
       at android view View draw(View java:20211)_x000D_
       at android view ViewGroup drawChild(ViewGroup java:4394)_x000D_
       at android view ViewGroup dispatchDraw(ViewGroup java:4170)_x000D_
       at android view View updateDisplayListIfDirty(View java:19285)_x000D_
       at android view View draw(View java:20211)_x000D_
       at android view ViewGroup drawChild(ViewGroup java:4394)_x000D_
       at android view ViewGroup dispatchDraw(ViewGroup java:4170)_x000D_
       at android view View updateDisplayListIfDirty(View java:19285)_x000D_
       at android view View draw(View java:20211)_x000D_
       at android view ViewGroup drawChild(ViewGroup java:4394)_x000D_
       at androidx coordinatorlayout widget CoordinatorLayout drawChild(CoordinatorLayout java:1277)_x000D_
       at android view ViewGroup dispatchDraw(ViewGroup java:4170)_x000D_
       at android view View draw(View java:20486)_x000D_
       at android view View updateDisplayListIfDirty(View java:19294)_x000D_
       at android view View draw(View java:20211)_x000D_
       at android view ViewGroup drawChild(ViewGroup java:4394)_x000D_
       at android view ViewGroup dispatchDraw(ViewGroup java:4170)_x000D_
       at android view View updateDisplayListIfDirty(View java:19285)_x000D_
       at android view View draw(View java:20211)_x000D_
       at android view ViewGroup drawChild(ViewGroup java:4394)_x000D_
       at android view ViewGroup dispatchDraw(ViewGroup java:4170)_x000D_
       at android view View updateDisplayListIfDirty(View java:19285)_x000D_
       at android view View draw(View java:20211)_x000D_
       at android view ViewGroup drawChild(ViewGroup java:4394)_x000D_
       at android view ViewGroup dispatchDraw(ViewGroup java:4170)_x000D_
       at android view View updateDisplayListIfDirty(View java:19285)_x000D_
       at android view View draw(View java:20211)_x000D_
       at android view ViewGroup drawChild(ViewGroup java:4394)_x000D_
       at android view ViewGroup dispatchDraw(ViewGroup java:4170)_x000D_
       at android view View updateDisplayListIfDirty(View java:19285)_x000D_
       at android view View draw(View java:20211)_x000D_
       at android view ViewGroup drawChild(ViewGroup java:4394)_x000D_
       at android view ViewGroup dispatchDraw(ViewGroup java:4170)_x000D_
       at android view View draw(View java:20486)_x000D_
       at com android internal policy DecorView draw(DecorView java:928)_x000D_
       at android view View updateDisplayListIfDirty(View java:19294)_x000D_
       at android view ThreadedRenderer updateViewTreeDisplayList(ThreadedRenderer java:740)_x000D_
       at android view ThreadedRenderer updateRootDisplayList(ThreadedRenderer java:746)_x000D_
       at android view ThreadedRenderer draw(ThreadedRenderer java:861)_x000D_
       at android view ViewRootImpl draw(ViewRootImpl java:3586)_x000D_
       at android view ViewRootImpl performDraw(ViewRootImpl java:3382)_x000D_
       at android view ViewRootImpl performTraversals(ViewRootImpl java:2714)_x000D_
       at android view ViewRootImpl doTraversal(ViewRootImpl java:1636)_x000D_
       at android view ViewRootImpl TraversalRunnable run(ViewRootImpl java:7946)_x000D_
       at android view Choreographer CallbackRecord run(Choreographer java:1092)_x000D_
       at android view Choreographer doCallbacks(Choreographer java:893)_x000D_
       at android view Choreographer doFrame(Choreographer java:812)_x000D_
       at android view Choreographer FrameDisplayEventReceiver run(Choreographer java:1078)_x000D_
       at android os Handler handleCallback(Handler java:907)_x000D_
       at android os Handler dispatchMessage(Handler java:105)_x000D_
       at android os Looper loop(Looper java:216)_x000D_
       at android app ActivityThread main(ActivityThread java:7625)_x000D_
       at java lang reflect Method invoke(Method java)_x000D_
       at com android internal os RuntimeInit MethodAndArgsCaller run(RuntimeInit java:524)_x000D_
       at com android internal os ZygoteInit main(ZygoteInit java:987)</t>
  </si>
  <si>
    <t>PojavLauncherTeam-PojavLauncher-1582</t>
  </si>
  <si>
    <t>[BUG] crashes</t>
  </si>
  <si>
    <t xml:space="preserve"> When I try to download something crashes when I open a version sometimes crashes but what I complain about is this code when I try to change the section crashes and it does not let me do anything              code:java lang IllegalStateException: Could not execute method for android:onClick_x000D_
	at android view View DeclaredOnClickListener onClick(View java:6033)_x000D_
	at android view View performClick(View java:7192)_x000D_
	at android view View performClickInternal(View java:7166)_x000D_
	at android view View access 3500(View java:824)_x000D_
	at android view View PerformClick run(View java:27592)_x000D_
	at android os Handler handleCallback(Handler java:888)_x000D_
	at android os Handler dispatchMessage(Handler java:100)_x000D_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Caused by: java lang reflect InvocationTargetException_x000D_
	at java lang reflect Method invoke(Native Method)_x000D_
	at android view View DeclaredOnClickListener onClick(View java:6028)_x000D_
	    11 more_x000D_
Caused by: java lang NullPointerException: Attempt to read from field  java lang String net kdt pojavlaunch value MinecraftAccount accessToken  on a null object reference_x000D_
	at net kdt pojavlaunch value MinecraftAccount load(MinecraftAccount java:56)_x000D_
	at net kdt pojavlaunch PojavLoginActivity loginSavedAcc(PojavLoginActivity java:656)_x000D_
	    13 more_x000D_
</t>
  </si>
  <si>
    <t>inaturalist-iNaturalistAndroid-1056</t>
  </si>
  <si>
    <t>ActivityNotFoundException in ObservationEditor.takePhoto</t>
  </si>
  <si>
    <t xml:space="preserve">https:  console firebase google com u 2 project inaturalist ios crashlytics app android:org inaturalist android issues de33815a9bfb68f57d28e95535205247_x000D_
_x000D_
   _x000D_
Caused by android content ActivityNotFoundException: No Activity found to handle Intent   act android media action IMAGE CAPTURE flg 0x3 clip  text uri list        (has extras)  _x000D_
       at android app Instrumentation checkStartActivityResult(Instrumentation java:2067)_x000D_
       at android app Instrumentation execStartActivity(Instrumentation java:1727)_x000D_
       at android app Activity startActivityForResult(Activity java:5314)_x000D_
       at androidx fragment app FragmentActivity startActivityForResult(FragmentActivity java:676)_x000D_
       at android app Activity startActivityForResult(Activity java:5272)_x000D_
       at androidx fragment app FragmentActivity startActivityForResult(FragmentActivity java:663)_x000D_
       at org inaturalist android ObservationEditor takePhoto(ObservationEditor java:1347)_x000D_
       at org inaturalist android ObservationEditor onCreate(ObservationEditor java:982)_x000D_
       at android app Activity performCreate(Activity java:7994)_x000D_
   </t>
  </si>
  <si>
    <t>PojavLauncherTeam-PojavLauncher-1579</t>
  </si>
  <si>
    <t>Modpacks crash in 1.12.2</t>
  </si>
  <si>
    <t>Describe the bug_x000D_
_x000D_
When I  play for 2   3m the game hung and crash_x000D_
_x000D_
Add a log file if you want to see your bug fixed  _x000D_
_x000D_
 latestlog txt (https:  github com PojavLauncherTeam PojavLauncher files 6703523 latestlog txt)_x000D_
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Start PojavLauncher_x000D_
    (your set of actions to reproduce the bug)_x000D_
Launch forge 1 12 2_x000D_
Modify video settings_x000D_
Select a world_x000D_
Walking for 2   3m the game hung and crash_x000D_
_x000D_
Expected behavior:_x000D_
I expected the modpack will not crash_x000D_
_x000D_
Screenshots or videos:_x000D_
Upload here screenshots or videos of the buggy behavior  if possible _x000D_
_x000D_
Platform:_x000D_
https:  www google com amp s m gsmarena com xiaomi mi 9t ampp 9738 php_x000D_
_x000D_
Phone specs_x000D_
6gbram   128gbrom_x000D_
_x000D_
Device Model  e g  Mi 8 Pro 8 128  mi 9t_x000D_
CPU architecture  e g  aarch64  aarch64_x000D_
Android Version  e g  10  10_x000D_
PojavLauncher Version Latest Actions    version 3 3 1 1 rel 20210619</t>
  </si>
  <si>
    <t>TeamNewPipe-NewPipe-6559</t>
  </si>
  <si>
    <t>Aspect ratio is messed up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</si>
  <si>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Just watch a video (that s what the app is for  you know)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When I watch full screen  the things are horizontally stretched i e  they look wider _x000D_
_x000D_
_x000D_
    Expected behavior_x000D_
     Tell us what you expect to happen     _x000D_
The aspect ratio shouldn t change _x000D_
(I checked all the settings in the app but there is no option to let it not fill the screen fit to screen or whatever it s called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1  From NewPipe:_x000D_
  Screenshot 2021 06 23 19 46 30 597 org schabi newpipe (https:  user images githubusercontent com 77105020 123115592 d83f3480 d45d 11eb 9170 263b4fc74099 jpg)_x000D_
_x000D_
2  From YouTube app: (for reference)_x000D_
  Screenshot 2021 06 23 19 59 52 260 com google android youtube (https:  user images githubusercontent com 77105020 123115673 e4c38d00 d45d 11eb 81f0 8a233112c3a9 jpg)_x000D_
_x000D_
I think NewPipe is filling the screenand there is no option to ask it not to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Global 12 0 4_x000D_
   Device model: Redmi Note 10</t>
  </si>
  <si>
    <t>TeamNewPipe-NewPipe-6558</t>
  </si>
  <si>
    <t>Fix null pointer exception when displaying SearchFragment</t>
  </si>
  <si>
    <t xml:space="preserve">     Hey there  Thank you so much for improving NewPipe  and filling out the details  Having roughly the same layout helps everyone considerably :)   _x000D_
_x000D_
     What is it _x000D_
   x  Bugfix (user facing)_x000D_
      Feature (user facing)_x000D_
      Codebase improvement (dev facing)_x000D_
      Meta improvement to the project (dev facing)_x000D_
_x000D_
     Description of the changes in your PR_x000D_
     While bullet points are the norm in this section  feel free to write free form text instead of a list    _x000D_
  Fixes null pointer exception when starting SearchFragment_x000D_
_x000D_
It seems due to  6394 updating the FragmentX library there was a_x000D_
change to the order of lifecycle calls  as such onResume() was no longer_x000D_
before onCreateOptionsMenu() creating a null pointer exception when_x000D_
using service in onCreateOptionsMenu() as it is only set in onResume() _x000D_
_x000D_
By moving the initialization of service to onStart() which still happens_x000D_
before onCreateOptionsMenu() this crash can be avoided  This commit also_x000D_
adds a check for a null service to prevent future crashes for similar_x000D_
issues _x000D_
_x000D_
     Fixes the following issue(s)_x000D_
     Prefix issues with  Fixes  so that GitHub closes them when the PR is merged (note that each  Fixes    should be in its own item)  Also add any other relevant links     _x000D_
  Fixes  6522_x000D_
_x000D_
     APK testing _x000D_
     Use a new  meaningfully named branch  The name is used as a suffix for the app ID to allow installing and testing multiple versions of NewPipe  e g   commentfix   if your PR implements a bugfix for comments  (No names like  patch 0  and  feature 1  )     _x000D_
     Remove the following line if you directly link the APK created by the CI pipeline  Directly linking is preferred if you need to let users test    _x000D_
On the website the APK can be found by going to the  Checks  tab below the title and then on  artifacts  on the right _x000D_
_x000D_
     Due diligence_x000D_
   x  I read the  contribution guidelines (https:  github com TeamNewPipe NewPipe blob HEAD  github CONTRIBUTING md) _x000D_
</t>
  </si>
  <si>
    <t>muxinc-mux-stats-sdk-exoplayer-116</t>
  </si>
  <si>
    <t>Dash hls mime type detection</t>
  </si>
  <si>
    <t xml:space="preserve">I needed to merge cdn header crash fix branch in order to use Dash in test  _x000D_
ExoPlayer do not provide the metadata on HLS and Dash streams so we are now monitoring for m3u8 manifest file or mpd manifest file and set the mimeType to be application x mpegURL for HLS and application dash xml for dash </t>
  </si>
  <si>
    <t>PojavLauncherTeam-PojavLauncher-1577</t>
  </si>
  <si>
    <t>The Modpacks crash</t>
  </si>
  <si>
    <t xml:space="preserve">Describe the bug_x000D_
When I play the Modpacks for 2 3m my game hung and crash_x000D_
_x000D_
Modpacks server pack link:_x000D_
https:  www curseforge com minecraft modpacks zombie apocalypse slow zombies by forge labs files 3249213_x000D_
_x000D_
_x000D_
Add a log file if you want to see your bug fixed  _x000D_
_x000D_
 latestlog txt (https:  github com PojavLauncherTeam PojavLauncher files 6698495 latestlog txt)_x000D_
_x000D_
 debuglog txt (https:  github com PojavLauncherTeam PojavLauncher files 6698496 debuglog txt)_x000D_
_x000D_
 betterfoliagelog txt (https:  github com PojavLauncherTeam PojavLauncher files 6698498 betterfoliagelog txt)_x000D_
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_x000D_
Platform:_x000D_
https:  www google com amp s m gsmarena com xiaomi mi 9t ampp 9738 php_x000D_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_x000D_
1  Start PojavLauncher_x000D_
     (your set of actions to reproduce the bug) _x000D_
2  Launch forge 1 12 2_x000D_
3  Modified the setting_x000D_
4  Select the world_x000D_
5  Walking 2   3m_x000D_
6  Game hung and crash_x000D_
_x000D_
_x000D_
    Expected behavior:_x000D_
I expected modpack will not crashed_x000D_
_x000D_
    Screenshots or videos:_x000D_
 Upload here screenshots or videos of the buggy behavior  if possible  _x000D_
_x000D_
  Platform:  _x000D_
   Device Model  e g  Mi 8 Pro 8 128  mi 9t_x000D_
   CPU architecture  e g  aarch64  aarch64_x000D_
   Android Version  e g  10  10_x000D_
   PojavLauncher Version  e g Latest Release    version 3 3 1 1 rel 20210206  _x000D_
_x000D_
</t>
  </si>
  <si>
    <t>inaturalist-react-native-inat-camera-67</t>
  </si>
  <si>
    <t>Alternating camera errors, Android 8</t>
  </si>
  <si>
    <t xml:space="preserve">Someone using a Moto Z2 Play  Android 8 0 0 ran into both of these errors   an app crash within a 5 minute session  They said the errors happened:_x000D_
_x000D_
1  while they were trying to run the classifier on various plants and_x000D_
2  while switching between the photo library and the camera_x000D_
_x000D_
Not sure if there s anything we can do here  but I am curious why they might be getting more than one type of error _x000D_
_x000D_
  Screenshot 20210622 125105 (https:  user images githubusercontent com 35536439 123010191 f714cc80 d372 11eb 9b69 9c6123aa3d6d png)_x000D_
  Screenshot 20210622 124832 (https:  user images githubusercontent com 35536439 123010195 f8de9000 d372 11eb 9640 9a663dba6679 png)_x000D_
</t>
  </si>
  <si>
    <t>Anuken-Mindustry-5448</t>
  </si>
  <si>
    <t>Polygonal Core protection blocks building in the edit in-game of the editor, while the regular protection doesn't.</t>
  </si>
  <si>
    <t xml:space="preserve">  Platform  :  Android iOS Mac Windows Linux _x000D_
Windows_x000D_
  Build  :  The build number under the title in the main menu  Required   LATEST  IS NOT A VERSION  I NEED THE EXACT BUILD NUMBER OF YOUR GAME  _x000D_
21278 BE_x000D_
  Issue  :  Explain your issue in detail  _x000D_
Polygonal Core protection blocks building in the edit in game menu of the editor  while normal one does not_x000D_
  image (https:  user images githubusercontent com 75080541 123007795 1ff78a80 d390 11eb 926c a96f63566051 png)_x000D_
Normal one_x000D_
  image (https:  user images githubusercontent com 75080541 123007831 33a2f100 d390 11eb 95cf 8fac932bb337 png)_x000D_
Polygonal_x000D_
_x000D_
  Steps to reproduce  :  How you happened across the issue  and what exactly you did to make the bug happen  _x000D_
Step 1: Make a map with 2 cores of different teams_x000D_
Step 2: Go in the Edit in game mode  see that on default  normal core protection zone is active and it s basicly set to 0 regardless of the configuration for it on the rules _x000D_
Step 3: Enable polygonal core protection on the rules_x000D_
step 4: go back to Edit in game  see how with poly  building gets blocked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</si>
  <si>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IdoSagiv-CommuniDog-103</t>
  </si>
  <si>
    <t>Clicking the Login button without entering input- crashes the app</t>
  </si>
  <si>
    <t xml:space="preserve">What is the bug:_x000D_
One needs to enter input in order to log in  When clicking on the login button without entering input  crashes the app _x000D_
_x000D_
Picture of the bug:_x000D_
  image (https:  user images githubusercontent com 50168804 123007394 cdcf5d00 d3c1 11eb 84fb e9fd53e58a85 png)_x000D_
</t>
  </si>
  <si>
    <t>IdoSagiv-CommuniDog-101</t>
  </si>
  <si>
    <t>Moving back from the Register page return to the wrong page</t>
  </si>
  <si>
    <t xml:space="preserve">What is the bug:_x000D_
When one is on the register page and clicks on the system back button the  Profile  page is shown instead of the Login page _x000D_
_x000D_
Note:_x000D_
Because the Profile page needs the user information  this bug crashes the app _x000D_
_x000D_
Photo of the bug:_x000D_
_x000D_
1  Navigate to the register page _x000D_
  image (https:  user images githubusercontent com 50168804 123004936 00775680 d3be 11eb 8ca9 d11964d874ac png)_x000D_
_x000D_
_x000D_
2  Click on the system back button _x000D_
  image (https:  user images githubusercontent com 50168804 123004973 0b31eb80 d3be 11eb 93bd 79218c6fd1a1 png)_x000D_
</t>
  </si>
  <si>
    <t>Anuken-Mindustry-5447</t>
  </si>
  <si>
    <t>Boss Healthbar still shows when HUD is off.</t>
  </si>
  <si>
    <t xml:space="preserve">  Platform  :  Android iOS Mac Windows Linux _x000D_
Windows_x000D_
  Build  :  The build number under the title in the main menu  Required   LATEST  IS NOT A VERSION  I NEED THE EXACT BUILD NUMBER OF YOUR GAME  _x000D_
21273 BE_x000D_
  Issue  :  Explain your issue in detail  _x000D_
While the HUD is off  the healthbar is still visible_x000D_
  Steps to reproduce  :  How you happened across the issue  and what exactly you did to make the bug happen  _x000D_
Disable HUD while a guardian is in the map_x000D_
Observe how the healthbar  unlike the rest of the HUD  isn t gone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image (https:  user images githubusercontent com 75080541 122996966 e28c0080 d381 11eb 90aa 41ebd7b3691f png)_x000D_
</t>
  </si>
  <si>
    <t>Rapsssito-react-native-background-actions-91</t>
  </si>
  <si>
    <t>Fatal Exception: java.lang.IllegalStateException "Not allowed to start service Intent" (with solution)</t>
  </si>
  <si>
    <t xml:space="preserve">Hello  _x000D_
_x000D_
Today I used  patch package (https:  github com ds300 patch package) to patch  react native background actions 2 6 0  for the project I m working on _x000D_
_x000D_
Looking at my Firebase logs I saw this crash:_x000D_
_x000D_
   _x000D_
Fatal Exception: java lang IllegalStateException: Not allowed to start service Intent   cmp lu arhs fleetback com asterinet react bgactions RNBackgroundActionsTask (has extras)  : app is in background uid UidRecord 540e754 u0a52 TPSL bg: 2m27s614ms idle procs:1 proclist:23743  seq(0 0 0) _x000D_
       at android app ContextImpl startServiceCommon(ContextImpl java:1666)_x000D_
       at android app ContextImpl startService(ContextImpl java:1611)_x000D_
       at android content ContextWrapper startService(ContextWrapper java:677)_x000D_
       at android content ContextWrapper startService(ContextWrapper java:677)_x000D_
       at com asterinet react bgactions BackgroundActionsModule start(BackgroundActionsModule java:53)_x000D_
       at java lang reflect Method invoke(Method java)_x000D_
       at com facebook react bridge JavaMethodWrapper invoke(JavaMethodWrapper java:372)_x000D_
       at com facebook react bridge JavaModuleWrapper invoke(JavaModuleWrapper java:151)_x000D_
       at com facebook react bridge queue NativeRunnable run(NativeRunnable java)_x000D_
       at android os Handler handleCallback(Handler java:873)_x000D_
       at android os Handler dispatchMessage(Handler java:99)_x000D_
       at com facebook react bridge queue MessageQueueThreadHandler dispatchMessage(MessageQueueThreadHandler java:27)_x000D_
       at android os Looper loop(Looper java:214)_x000D_
       at com facebook react bridge queue MessageQueueThreadImpl 4 run(MessageQueueThreadImpl java:226)_x000D_
       at java lang Thread run(Thread java:764)_x000D_
   _x000D_
_x000D_
Since  reactContext startService(currentServiceIntent)   can fail  I moved it inside the try   catch block  The caller should get a rejected promise and handle the error gracefully _x000D_
_x000D_
Here is the diff that solved my problem:_x000D_
_x000D_
   diff_x000D_
diff   git a node modules react native background actions android src main java com asterinet react bgactions BackgroundActionsModule java b node modules react native background actions android src main java com asterinet react bgactions BackgroundActionsModule java_x000D_
index 862a220  b43f703 100644_x000D_
    a node modules react native background actions android src main java com asterinet react bgactions BackgroundActionsModule java_x000D_
    b node modules react native background actions android src main java com asterinet react bgactions BackgroundActionsModule java_x000D_
    45 13  45 12    public class BackgroundActionsModule extends ReactContextBaseJavaModule  _x000D_
         try  _x000D_
             final BackgroundTaskOptions bgOptions   new BackgroundTaskOptions(reactContext  options) _x000D_
             currentServiceIntent putExtras(bgOptions getExtras()) _x000D_
                Start the task_x000D_
             reactContext startService(currentServiceIntent) _x000D_
             promise resolve(null) _x000D_
           catch (Exception e)  _x000D_
             promise reject(e) _x000D_
             return _x000D_
          _x000D_
            Start the task_x000D_
         reactContext startService(currentServiceIntent) _x000D_
         promise resolve(null) _x000D_
      _x000D_
 _x000D_
      SuppressWarnings( unused )_x000D_
   _x000D_
_x000D_
 em This issue body was  partially generated by patch package (https:  github com ds300 patch package issues 296)   em _x000D_
_x000D_
Cheers_x000D_
</t>
  </si>
  <si>
    <t>cleverpush-cleverpush-flutter-sdk-7</t>
  </si>
  <si>
    <t>Example project callbacks not working</t>
  </si>
  <si>
    <t xml:space="preserve">Hello_x000D_
_x000D_
I m trying to get the example project working on Android but it seems there are no callbacks coming from the library side _x000D_
The subscription ID appears in the Cleverpush console  https:  app cleverpush com    The test push notifications sent from the console are not received one the phone _x000D_
_x000D_
 flutter   version :_x000D_
   _x000D_
Flutter 2 2 0   channel stable   https:  github com flutter flutter git_x000D_
Framework   revision b22742018b (5 weeks ago)   2021 05 14 19:12:57  0700_x000D_
Engine   revision a9d88a4d18_x000D_
Tools   Dart 2 13 0_x000D_
   _x000D_
_x000D_
Logs:_x000D_
   _x000D_
I flutter (18783): CleverPush: Flutter initializing_x000D_
D CleverPush(18783): Initializing with Channel ID: iw7        s42G (SDK 1 14 5)_x000D_
D SharedPreferencesImpl(18783): Time required to fsync  data user 0 com cleverpush example shared prefs com cleverpush example preferences xml:   1: 0   2: 0   4: 0   8: 0   16: 0   32: 0   64: 0   128: 0   256: 0   512: 0   1024: 0   2048: 1   4096: 0   8192: 0   16384: 0    16384: 0 _x000D_
I FirebaseCrash(18783): Sending crashes_x000D_
I zygote64(18783): Do partial code cache collection  code 30KB  data 23KB_x000D_
I zygote64(18783): After code cache collection  code 30KB  data 28KB_x000D_
I zygote64(18783): Increasing code cache capacity to 128KB_x000D_
D CleverPush(18783): Subscribed with ID (next sync at 2021 06 24 10:37:37 EEST): uD          niiF_x000D_
I flutter (18783): CleverPush:  handleMethod: CleverPush handleSubscribed_x000D_
I flutter (18783):  InternalLinkedHashMap Object   Object  _x000D_
   _x000D_
_x000D_
Example: https:  github com cleverpush cleverpush flutter sdk tree master example_x000D_
_x000D_
I debugged the  CleverPush  class inside   cleverpush flutter dart  _x000D_
The MethodCall method name seems to be correct and is valid in the if else block but nothing is received in the callback_x000D_
Screenshot: https:  www dropbox com s 6oqufq1hmpfrhmm Screenshot 202021 06 21 20at 2010 40 58 png dl 0_x000D_
_x000D_
_x000D_
The init is the same as in the example project  just added some extra log lines but they are not invoked:_x000D_
   _x000D_
  Future void  initPlatformState() async  _x000D_
    if ( mounted) return _x000D_
_x000D_
    CleverPush shared setNotificationReceivedHandler((CPNotificationReceivedResult result)  _x000D_
      print( TEST   received ) _x000D_
      this setState(()  _x000D_
         debugLabelString    Notification received:  n  result notification jsonRepresentation() replaceAll(   n     n )   _x000D_
       ) _x000D_
     ) _x000D_
_x000D_
    CleverPush shared setNotificationOpenedHandler((CPNotificationOpenedResult result)  _x000D_
      print( TEST   opened ) _x000D_
      this setState(()  _x000D_
         debugLabelString    Notification opened:  n  result notification jsonRepresentation() replaceAll(   n     n )   _x000D_
       ) _x000D_
     ) _x000D_
_x000D_
    CleverPush shared setSubscribedHandler((subscriptionId)  _x000D_
      print( TEST   SUBSCRIBED ) _x000D_
      this setState(()  _x000D_
         debugLabelString    Subscribed:     subscriptionId _x000D_
       ) _x000D_
_x000D_
      print( Subscribed:   subscriptionId  ) _x000D_
     ) _x000D_
_x000D_
       CleverPush Channel ID_x000D_
    await CleverPush shared init( iw7            42G   true) _x000D_
   _x000D_
   _x000D_
</t>
  </si>
  <si>
    <t>MuntashirAkon-AppManager-486</t>
  </si>
  <si>
    <t>Uninstalling?</t>
  </si>
  <si>
    <t>I can t uninstall your app  It keeps crashing package manager</t>
  </si>
  <si>
    <t>MuntashirAkon-AppManager-485</t>
  </si>
  <si>
    <t xml:space="preserve">initializing forever (2.6.1) </t>
  </si>
  <si>
    <t xml:space="preserve">    _x000D_
Your issue will be closed without warning if you don t check at least two items _x000D_
   _x000D_
       I know what my device  OS and App Manager versions are_x000D_
       I know how to take logs_x000D_
       I know how to reproduce the issue which may not be specific to my device_x000D_
_x000D_
  Describe the bug  _x000D_
AM are initializing forever (not even req for ADB)_x000D_
_x000D_
  To Reproduce  _x000D_
Steps to reproduce the behaviour:_x000D_
1  Find Apk file then open it via AM_x000D_
2  (sometime am can instal apk and sometime not by stuck on initializing)_x000D_
3  if am can t instal apk then bug are triggered now everytime you launch AM it won t work anymore in ADB over TCP_x000D_
_x000D_
  Expected behavior  _x000D_
AM can connect to ADB over TCP_x000D_
_x000D_
  Screenshots  _x000D_
_x000D_
_x000D_
  Crash logs  _x000D_
If applicable  add crash logs to help us figure out the problem _x000D_
_x000D_
  Device info  _x000D_
   Device: Realne 5i_x000D_
   OS Version: Android Q_x000D_
   App Manager Version: 2 6 0_x000D_
   Mode: ADB_x000D_
_x000D_
  Additional context  _x000D_
installing APK via AM only to trigger the glitch after you success trigger the glitch AM will stuck in initializing screen forever_x000D_
_x000D_
temp fix:_x000D_
Re enable usb debugging (after disable pls revoke all req then enable the usb debugging back)_x000D_
_x000D_
also i used latest sdk platform tools zip binary to run ADB over TCP</t>
  </si>
  <si>
    <t>doublesymmetry-react-native-track-player-1193</t>
  </si>
  <si>
    <t>Crash on Android</t>
  </si>
  <si>
    <t xml:space="preserve">  Describe the bug  _x000D_
My android app is crashing but it is working fine on IOS  it crashes 1 time in every 3  4 attempts not every time  _x000D_
_x000D_
Exception in native call _x000D_
    java lang NullPointerException: Attempt to invoke virtual method  boolean android os Handler post(java lang Runnable)  on a null object reference_x000D_
_x000D_
Image     https:  lh3 googleusercontent com  xaRP4BB5EHk YM PoYdmWLI AAAAAAAABvg t0LIUg2bcsEl8KC4IfRjNqIkBY077OjAQCJEEGAsYHg s0 2021 06 20 jpg authuser 0_x000D_
_x000D_
  To Reproduce  _x000D_
Steps to reproduce the behavior:_x000D_
_x000D_
  Environment (please complete the following information):  _x000D_
Run  react native info  in your project and share the content _x000D_
_x000D_
System:_x000D_
    OS: Windows 10 10 0 19041_x000D_
    CPU: (8) x64 Intel(R) Core(TM) i5 1035G1 CPU   1 00GHz_x000D_
    Memory: 490 54 MB   7 78 GB_x000D_
  Binaries:_x000D_
    Node: 12 18 1   C: Program Files nodejs node EXE_x000D_
    Yarn: 1 22 4     AppData Roaming npm yarn CMD_x000D_
    npm: 6 14 5   C: Program Files nodejs npm CMD_x000D_
    Watchman: Not Found_x000D_
  SDKs:_x000D_
    Android SDK:_x000D_
      API Levels: 27  28  29  30_x000D_
      Build Tools: 28 0 3  29 0 2  29 0 3  30 0 0  30 0 1  30 0 2_x000D_
      System Images: android 22   Intel x86 Atom 64  android 28   Intel x86 Atom 64  android 28   Google Play Intel x86 Atom  android 29   Google Play Intel x86 Atom_x000D_
      Android NDK: 22 1 7171670_x000D_
    Windows SDK: Not Found_x000D_
  IDEs:_x000D_
    Android Studio: Version  4 2 0 0 AI 202 7660 26 42 7322048_x000D_
    Visual Studio: Not Found_x000D_
  Languages:_x000D_
    Java: 1 8 0 211_x000D_
    Python: 3 8 3_x000D_
  npmPackages:_x000D_
     react native community cli: Not Found_x000D_
    react: 16 13 1    16 13 1 _x000D_
    react native: 0 63 4    0 63 4 _x000D_
    react native windows: Not Found_x000D_
  npmGlobalPackages:_x000D_
     react native : Not Found_x000D_
_x000D_
What  react native track player  version are you using _x000D_
     react native track player :   1 2 7  _x000D_
_x000D_
Are you testing on a real device or in the simulator  Which OS version are you running _x000D_
_x000D_
On real device_x000D_
_x000D_
  Code  _x000D_
Please  share the code that is causing the issue_x000D_
_x000D_
   _x000D_
const setupPlayer   async ()     _x000D_
    await TrackPlayer setupPlayer() _x000D_
    await TrackPlayer updateOptions( _x000D_
        stopWithApp: true _x000D_
        capabilities:  _x000D_
            TrackPlayer CAPABILITY PLAY _x000D_
            TrackPlayer CAPABILITY PAUSE _x000D_
            TrackPlayer CAPABILITY SKIP TO NEXT _x000D_
            TrackPlayer CAPABILITY SKIP TO PREVIOUS _x000D_
            TrackPlayer CAPABILITY STOP _x000D_
          _x000D_
        compactCapabilities:  _x000D_
            TrackPlayer CAPABILITY PLAY _x000D_
            TrackPlayer CAPABILITY PAUSE _x000D_
          _x000D_
        notificationCapabilities:  _x000D_
            TrackPlayer CAPABILITY PLAY _x000D_
            TrackPlayer CAPABILITY PAUSE _x000D_
            TrackPlayer CAPABILITY SKIP TO NEXT _x000D_
            TrackPlayer CAPABILITY SKIP TO PREVIOUS _x000D_
            TrackPlayer CAPABILITY STOP _x000D_
          _x000D_
     ) _x000D_
  _x000D_
_x000D_
        For Generating playlist of audios_x000D_
_x000D_
export const generatePlaylistFromTimeline   (startIndex)     _x000D_
    return async (dispatch  getState)     _x000D_
        await setupPlayer() _x000D_
        const timelineState   getState() timeline timeline _x000D_
        let newsList       timelineState feed  _x000D_
        const startIndexId   newsList startIndex    newsList startIndex  id : 0  _x000D_
        console log(       startIndexId) _x000D_
        newsList   newsList filter(item    item type      news ) _x000D_
        newsList   newsList map(item    item id) _x000D_
_x000D_
        const userState   getState() user _x000D_
        const newsInterests   userState newsInterests       _x000D_
        const identifier   newsInterests join(   ) _x000D_
_x000D_
        let lastId   newsList newsList length   1  _x000D_
        let lastTime   getState() news byIds lastId  createdAt _x000D_
        console log( Generating LastTime:    lastTime) _x000D_
        lastTime   new Date(lastTime) getTime() _x000D_
        console log( Generating LastTime:    lastTime) _x000D_
        console log(newsList) _x000D_
        const newStartIndex   newsList indexOf(startIndexId) _x000D_
        console log(newStartIndex) _x000D_
        const payload    _x000D_
            tracks: newsList _x000D_
            currentTrack: newsList newStartIndex  _x000D_
            identifier: identifier _x000D_
            lastTime: lastTime _x000D_
            paging: timelineState paging _x000D_
          _x000D_
        dispatch(savePlaylist(payload)) _x000D_
        await setTracks(newsList  newStartIndex  getState) _x000D_
      _x000D_
  _x000D_
_x000D_
       Start playing the selected track_x000D_
_x000D_
const setTracks   async (trackList  startIndex  getState)     _x000D_
    const newsByIds   getState() news byIds _x000D_
    await TrackPlayer reset() _x000D_
    const tracks   trackList map(track     _x000D_
        const newsItem   newsByIds track  _x000D_
        return  _x000D_
            id: track _x000D_
            url: newsItem audioUrl _x000D_
            title: newsItem headline _x000D_
            artist: newsItem categories 0  _x000D_
            artwork: newsItem images 0  _x000D_
          _x000D_
     ) _x000D_
    await TrackPlayer add(tracks) _x000D_
    await TrackPlayer skip(trackList startIndex ) _x000D_
    await TrackPlayer play() _x000D_
  _x000D_
   _x000D_
</t>
  </si>
  <si>
    <t>nextcloud-android-8608</t>
  </si>
  <si>
    <t xml:space="preserve">Crash in Android App </t>
  </si>
  <si>
    <t xml:space="preserve">Hi _x000D_
The app crashed after login screen and we have a screen that contains this error 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java:919)_x000D_
_x000D_
             APP INFORMATION             _x000D_
ID: com nextcloud client_x000D_
Version: 30160190_x000D_
Build flavor: gplay_x000D_
_x000D_
             DEVICE INFORMATION             _x000D_
Brand: OPPO_x000D_
Device: OP4C4BL1_x000D_
Model: CPH1989_x000D_
Id: QP1A 190711 020_x000D_
Product: CPH1989_x000D_
_x000D_
             FIRMWARE             _x000D_
SDK: 29_x000D_
Release: 10_x000D_
Incremental: 2021040100_x000D_
</t>
  </si>
  <si>
    <t>TeamNewPipe-NewPipe-6537</t>
  </si>
  <si>
    <t>Add support for delivery methods other than progressive HTTP (in the player only)</t>
  </si>
  <si>
    <t xml:space="preserve">     What is it _x000D_
   x  Bugfix (user facing)_x000D_
   x  Feature (user facing)_x000D_
      Codebase improvement (dev facing)_x000D_
      Meta improvement to the project (dev facing)_x000D_
_x000D_
     Description of the changes in your PR_x000D_
This PR adds support of YouTube OTF streams and the full support of ended livestreams in NewPipe (these streams cannot be downloaded or played in external players right now) _x000D_
It also fixes the seek of PeerTube streams which have HLS only variants of streams _x000D_
The support for downloading these streams   will be not added in this PR   _x000D_
_x000D_
Some code is inspired from  3803  _x000D_
_x000D_
For more detailed changes  check the commits _x000D_
_x000D_
  TO DO:  _x000D_
   x  Fix the crash when pressing the Download button ( IndexOutOfBoundsException ) _x000D_
   x  Add a method in  ListHelper  to return only streams which have a delivery method (for e g  return only HLS streams for PeerTube videos in the player)_x000D_
      Use the  PROGRESSIVE HTTP  delivery method for external players when possible and add ability to play other variants of streams in these players_x000D_
   x  Support HLS  raw  manifests (the manifests which are returned by the extractor and not the URLs of HLS manifests) (if ExoPlayer supports them) (thanks to  Redirion for this) _x000D_
_x000D_
     Fixes the following issue(s)_x000D_
  Fixes  2415_x000D_
  Fixes  6860 (some audio streams were recognized as video streams causing a crash in  ListHelper compareVideoStreamResolution(String res1  String res2)  which is caught in this PR  The original error cause was also fixed in the extractor )_x000D_
_x000D_
     Relies on the following changes_x000D_
  TeamNewPipe NewPipeExtractor 663_x000D_
_x000D_
     APK testing _x000D_
On the website the APK can be found by going to the  Checks  tab below the title and then on  artifacts  on the right _x000D_
_x000D_
     Due diligence_x000D_
   x  I read the  contribution guidelines (https:  github com TeamNewPipe NewPipe blob HEAD  github CONTRIBUTING md) </t>
  </si>
  <si>
    <t>TeamNewPipe-NewPipe-6535</t>
  </si>
  <si>
    <t>reCAPTCHA Requested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</si>
  <si>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the app_x000D_
2  Try to watch any video_x000D_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When I try to watch any video  the app presents a YouTube popup requesting a reCAPTCHA challenge  After completing the challenge  it takes me to a YouTube window (ads and all) within newpipe as if I m watching in a browser  It presents reCAPTCHA before any video I click on  _x000D_
_x000D_
_x000D_
    Expected behavior_x000D_
     Tell us what you expect to happen     _x000D_
I expect to be able to watch a video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_x000D_
   Android version Custom ROM version: Unofficial LineageOS for Sofiar_x000D_
   Device model: Moto GPower_x000D_
</t>
  </si>
  <si>
    <t>PojavLauncherTeam-PojavLauncher-1570</t>
  </si>
  <si>
    <t>[BUG] Sodium Mod Crashing</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</si>
  <si>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I installed sodium mod but when I select a world the game crashing _x000D_
  Add a log file if you want to see your bug fixed    _x000D_
 latestlog txt (https:  github com PojavLauncherTeam PojavLauncher files 6682325 latestlog txt)_x000D_
 crash 2021 06 20 12 39 26 client txt (https:  github com PojavLauncherTeam PojavLauncher files 6682328 crash 2021 06 20 12 39 26 client txt)_x000D_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2  Launch fabric 1 16 5_x000D_
3  Modify video settings_x000D_
4  Select a world_x000D_
5  the game crashed (THE END)_x000D_
    Expected behavior:_x000D_
I expected sodium mod will not crashed _x000D_
_x000D_
    Screenshots or videos:_x000D_
 Upload here screenshots or videos of the buggy behavior  if possible  _x000D_
_x000D_
  Platform:  _x000D_
https:  m gsmarena com oppo a12e ampp 10173 php_x000D_
   Device Model  e g  Mi 8 Pro 8 128  CPH1853_x000D_
   CPU architecture  e g  aarch64  aarch64_x000D_
   Android Version  e g  10  8 1_x000D_
   PojavLauncher Version Latest Actions    version 3 3 1 1 rel 20210619 _x000D_
_x000D_
_x000D_
 details   summary  b Additional context  b   summary _x000D_
 br _x000D_
 pre _x000D_
Why sodium mod not working on my phone _x000D_
  pre _x000D_
  details _x000D_
</t>
  </si>
  <si>
    <t>TeamNewPipe-NewPipe-6533</t>
  </si>
  <si>
    <t>Certain "videos" on media ccc fail</t>
  </si>
  <si>
    <t xml:space="preserve">    Checklist_x000D_
   x  I am using the latest version   0 21 4 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Open https:  media ccc de v fossgis2021 8956 webmaps effizient mit wegue erstellen_x000D_
_x000D_
    Actual behaviour_x000D_
A crash occurs_x000D_
_x000D_
    Expected behavior_x000D_
Video plays or is not shown_x000D_
_x000D_
    Logs_x000D_
   Exception_x000D_
    User Action:   requested stream_x000D_
    Request:   https:  media ccc de v fossgis2021 8956 webmaps effizient mit wegue erstellen_x000D_
    Content Country:   US_x000D_
    Content Language:   en US_x000D_
    App Language:   en US_x000D_
    Service:   media ccc de_x000D_
    Version:   0 21 4_x000D_
    OS:   Linux Android 11   30_x000D_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java:115)_x000D_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details _x000D_
 hr _x000D_
_x000D_
    Device info_x000D_
   Android version Custom ROM version: independent   Android Emulator_x000D_
   Device model: independent   Android Emulator_x000D_
_x000D_
    Further information_x000D_
  Issue might be related to https:  github com TeamNewPipe NewPipeExtractor issues 662_x000D_
  https:  events ccc de 2020 12 30 leere talks relive </t>
  </si>
  <si>
    <t>PojavLauncherTeam-PojavLauncher-1569</t>
  </si>
  <si>
    <t>[BUG] Minecraft 1.14.3 crash on loading screen with optifine</t>
  </si>
  <si>
    <t xml:space="preserve">_x000D_
_x000D_
    To Reproduce:_x000D_
Indicate steps to reproduce the buggy behaviour:_x000D_
_x000D_
1  Start PojavLauncher_x000D_
   Logged into my offline account_x000D_
    Selected version 1 14 3 with optifine_x000D_
_x000D_
    Expected behaviour:_x000D_
I expected when run 1 14 3 with optifine it took more time than other versions and within in loading screen it crashed _x000D_
_x000D_
    Screenshots or videos:_x000D_
 Upload here screenshots or videos of the behaviour _x000D_
_x000D_
    if possible  _x000D_
_x000D_
  Platform:  _x000D_
   Device Model Samsung M31_x000D_
   CPU architecture aarch64_x000D_
   Android Version 11_x000D_
   PojavLauncher Version latest  release _x000D_
_x000D_
_x000D_
 details   summary  b Additional context  b   summary _x000D_
 br _x000D_
 pre _x000D_
Add any other context about the problem here _x000D_
  pre _x000D_
  details _x000D_
</t>
  </si>
  <si>
    <t>nextcloud-android-8606</t>
  </si>
  <si>
    <t>Continuous notification and vibration sound in app</t>
  </si>
  <si>
    <t xml:space="preserve">Device: Pixel 4a_x000D_
OS: CalyxOS 2 6 1_x000D_
Android: 11_x000D_
_x000D_
Nextcloud app versions: 20210616 and 3 16 1_x000D_
_x000D_
Recently the app continually plays a notification sound and vibration sporadically whilst the app is in the foreground  Even with all notifications disabled for the app  This even occurs having re installed the app and the app is displaying the startup  enter server address screen  It is incredibly annoying _x000D_
_x000D_
Filtered logcat output is here:_x000D_
_x000D_
   _x000D_
06 20 09:31:58 914  1588 10234 I ActivityTaskManager: START u0  act android intent action MAIN cat  android intent category LAUNCHER  flg 0x10200000 cmp com nextcloud client com owncloud android ui activity FileDisplayActivity bnds  855 1534  1065 1767   from uid 10184_x000D_
06 20 09:32:01 274  1588  6366 W ActivityTaskManager: Duplicate finish request for r ActivityRecord c82e95f u0 com nextcloud client com owncloud android ui activity SettingsActivity t3584 f  _x000D_
06 20 09:33:56 891  1588  8618 I ActivityTaskManager: START u0  act android intent action MAIN cat  android intent category LAUNCHER  flg 0x10200000 cmp com nextcloud client com owncloud android ui activity FileDisplayActivity bnds  855 1534  1065 1767   from uid 10184_x000D_
06 20 09:34:01 907  1588  4703 I ActivityTaskManager: START u0  act android settings APPLICATION DETAILS SETTINGS dat package:com nextcloud client flg 0x10008000 cmp com android settings  applications InstalledAppDetails bnds  132 489  948 742   from uid 10152_x000D_
06 20 09:34:03 867  1588  6366 I ActivityManager: Force stopping com nextcloud client appid 10250 user 0: from pid 16513_x000D_
06 20 09:34:03 868  1588  6366 I ActivityManager: Killing 18035:com nextcloud client u0a250 (adj 900): stop com nextcloud client due to from pid 16513_x000D_
06 20 09:34:03 871  1588  6366 W ActivityTaskManager: Force removing ActivityRecord c64931d u0 com nextcloud client com owncloud android ui activity FileDisplayActivity t3584 f  : app died  no saved state_x000D_
06 20 09:34:03 893  1588  1702 W BroadcastQueue: Background execution not allowed: receiving Intent   act android intent action PACKAGE RESTARTED dat package:com nextcloud client flg 0x10 (has extras)   to com google android gms org microg nlp service PackageChangedReceiver_x000D_
06 20 09:34:07 001  1588 11112 I ActivityTaskManager: START u0  act android intent action VIEW cmp com nextcloud client com owncloud android ui activity ManageSpaceActivity  from uid 1000_x000D_
06 20 09:34:07 025  1588  1703 I ActivityManager: Start proc 18485:com nextcloud client u0a250 for pre top activity  com nextcloud client com owncloud android ui activity ManageSpaceActivity _x000D_
06 20 09:34:07 102  1588  6366 D ConnectivityService: requestNetwork for uid pid:10250 18485 NetworkRequest   TRACK DEFAULT id 2198    Capabilities: INTERNET NOT RESTRICTED TRUSTED Uid: 10250 AdministratorUids:    RequestorUid: 10250 RequestorPackageName: com nextcloud client   _x000D_
06 20 09:34:08 967  1588  2013 D ConnectivityService: releasing NetworkRequest   TRACK DEFAULT id 2198    Capabilities: INTERNET NOT RESTRICTED TRUSTED Uid: 10250 AdministratorUids:    RequestorUid: 10250 RequestorPackageName: com nextcloud client    (release request)_x000D_
06 20 09:34:16 331  1588  5861 I ActivityTaskManager: START u0  act android intent action VIEW cmp com nextcloud client com owncloud android ui activity ManageSpaceActivity  from uid 1000_x000D_
06 20 09:34:20 664  1588 10234 I ActivityTaskManager: START u0  act android intent action MAIN cat  android intent category LAUNCHER  flg 0x10300000 cmp com nextcloud client com owncloud android ui activity FileDisplayActivity  from uid 10184_x000D_
06 20 09:34:20 752 18485 18603 E AndroidRuntime: Process: com nextcloud client  PID: 18485_x000D_
06 20 09:34:20 762  1588  5861 I ActivityTaskManager: START u0  flg 0x10000000 cmp com nextcloud client  errorhandling ShowErrorActivity (has extras)  from uid 10250_x000D_
06 20 09:34:20 792  1588  8432 W ActivityTaskManager:   Force finishing activity com nextcloud client com owncloud android ui activity FileDisplayActivity_x000D_
06 20 09:34:20 807  1588  1703 I ActivityManager: Start proc 18608:com nextcloud client:crash u0a250 for pre top activity  com nextcloud client com nextcloud client errorhandling ShowErrorActivity _x000D_
06 20 09:34:20 835  1588  5861 I ActivityManager: Process com nextcloud client (pid 18485) has died: fg  TOP _x000D_
06 20 09:34:20 951  1588  1703 I ActivityManager: Start proc 18647:com nextcloud client u0a250 for content provider  com nextcloud client com owncloud android providers FileContentProvider _x000D_
06 20 09:34:21 271  1588  1685 W ActivityTaskManager: Activity top resumed state loss timeout for ActivityRecord 35c1d91 u0 com nextcloud client com owncloud android ui activity FileDisplayActivity t 1 f  _x000D_
06 20 09:34:21 380  1588  2292 D ConnectivityService: requestNetwork for uid pid:10250 18647 NetworkRequest   TRACK DEFAULT id 2199    Capabilities: INTERNET NOT RESTRICTED TRUSTED Uid: 10250 AdministratorUids:    RequestorUid: 10250 RequestorPackageName: com nextcloud client   _x000D_
06 20 09:34:21 949  1588  2013 D ConnectivityService: releasing NetworkRequest   TRACK DEFAULT id 2199    Capabilities: INTERNET NOT RESTRICTED TRUSTED Uid: 10250 AdministratorUids:    RequestorUid: 10250 RequestorPackageName: com nextcloud client    (release request)_x000D_
06 20 09:34:36 978  1588  1685 I ActivityManager: Killing 18647:com nextcloud client u0a250 (adj 700): remove task_x000D_
06 20 09:34:36 979  1588  1685 I ActivityManager: Killing 18608:com nextcloud client:crash u0a250 (adj 905): remove task_x000D_
06 20 09:34:37 028  1588  2292 I WindowManager: WIN DEATH: Window 9b46d6c u0 com nextcloud client com nextcloud client errorhandling ShowErrorActivity _x000D_
06 20 09:34:37 879  1588 10234 I ActivityTaskManager: START u0  act android settings APPLICATION DETAILS SETTINGS dat package:com nextcloud client flg 0x10108000 cmp com android settings  applications InstalledAppDetails  from uid 10152_x000D_
06 20 09:34:38 814  1588 16612 I ActivityTaskManager: START u0  act android intent action MAIN cat  android intent category LAUNCHER  flg 0x10000000 pkg com nextcloud client cmp com nextcloud client com owncloud android ui activity FileDisplayActivity  from uid 1000_x000D_
06 20 09:34:38 843  1588  1703 I ActivityManager: Start proc 18822:com nextcloud client u0a250 for pre top activity  com nextcloud client com owncloud android ui activity FileDisplayActivity _x000D_
06 20 09:34:48 301  1588  2292 I ActivityTaskManager: START u0  flg 0x4000000 cmp com nextcloud client com owncloud android ui activity UploadListActivity  from uid 10250_x000D_
06 20 09:34:51 706  1588 11108 I ActivityTaskManager: START u0  cmp com nextcloud client com owncloud android ui activity NotificationsActivity  from uid 10250_x000D_
06 20 09:35:02 237  1588 16612 I ActivityTaskManager: START u0  act android intent action MAIN cat  android intent category LAUNCHER  flg 0x10200000 cmp com nextcloud client com owncloud android ui activity FileDisplayActivity bnds  855 1534  1065 1767   from uid 10184_x000D_
06 20 09:35:06 091  1588 16612 I ActivityTaskManager: START u0  act android settings APPLICATION DETAILS SETTINGS dat package:com nextcloud client flg 0x10008000 cmp com android settings  applications InstalledAppDetails bnds  132 489  948 742   from uid 10152_x000D_
06 20 09:35:07 144  1588 11051 E UserRestrictionsUtils: Unknown restriction queried by uid 1000 (com android providers settings et al): com nextcloud client_x000D_
06 20 09:35:07 147  1588 11051 I ActivityTaskManager: START u0  act android intent action UNINSTALL PACKAGE dat package:com nextcloud client cmp com android packageinstaller  UninstallerActivity (has extras)  from uid 1000_x000D_
06 20 09:35:07 964  1588  1702 I ActivityManager: Force stopping com nextcloud client appid 10250 user 0: deletePackageX_x000D_
06 20 09:35:07 964  1588  1702 I ActivityManager: Killing 18822:com nextcloud client u0a250 (adj 900): stop com nextcloud client due to deletePackageX_x000D_
06 20 09:35:07 966  1588  1702 W ActivityTaskManager: Force removing ActivityRecord aa1b4cf u0 com nextcloud client com owncloud android ui activity NotificationsActivity t3587 f  : app died  no saved state_x000D_
06 20 09:35:07 966  1588  1702 W ActivityTaskManager: Force removing ActivityRecord 52b6037 u0 com nextcloud client com owncloud android ui activity UploadListActivity t3587 f  : app died  no saved state_x000D_
06 20 09:35:07 966  1588  1702 W ActivityTaskManager: Force removing ActivityRecord 4bc69b5 u0 com nextcloud client com owncloud android ui activity FileDisplayActivity t3587 f  : app died  no saved state_x000D_
06 20 09:35:07 967  1588  1702 I WindowManager:   Force finishing activity ActivityRecord aa1b4cf u0 com nextcloud client com owncloud android ui activity NotificationsActivity t3587 f  isExiting _x000D_
06 20 09:35:07 968  1588  1702 W ActivityTaskManager: Duplicate finish request for r ActivityRecord aa1b4cf u0 com nextcloud client com owncloud android ui activity NotificationsActivity t3587 f  isExiting _x000D_
06 20 09:35:07 968  1588  1702 I WindowManager:   Force finishing activity ActivityRecord 52b6037 u0 com nextcloud client com owncloud android ui activity UploadListActivity t3587 f  isExiting _x000D_
06 20 09:35:07 968  1588  1702 W ActivityTaskManager: Duplicate finish request for r ActivityRecord 52b6037 u0 com nextcloud client com owncloud android ui activity UploadListActivity t3587 f  isExiting _x000D_
06 20 09:35:07 968  1588  1702 I WindowManager:   Force finishing activity ActivityRecord 4bc69b5 u0 com nextcloud client com owncloud android ui activity FileDisplayActivity t3587 f  isExiting _x000D_
06 20 09:35:07 968  1588  1702 W ActivityTaskManager: Duplicate finish request for r ActivityRecord 4bc69b5 u0 com nextcloud client com owncloud android ui activity FileDisplayActivity t3587 f  isExiting _x000D_
06 20 09:35:08 030  1588 11051 I WindowManager: WIN DEATH: Window e999c43 u0 com nextcloud client com owncloud android ui activity NotificationsActivity _x000D_
06 20 09:35:08 033  1588  2292 I WindowManager: WIN DEATH: Window 7db2fb u0 com nextcloud client com owncloud android ui activity FileDisplayActivity _x000D_
06 20 09:35:08 035  1588 16612 I WindowManager: WIN DEATH: Window c718815 u0 com nextcloud client com owncloud android ui activity UploadListActivity _x000D_
06 20 09:35:08 294  1588  1837 I ActivityManager: Force stopping com nextcloud client appid 10250 user 0: pkg removed_x000D_
06 20 09:35:08 294  1588  1837 I WindowManager:   Force finishing activity ActivityRecord aa1b4cf u0 com nextcloud client com owncloud android ui activity NotificationsActivity t3587 f  isExiting _x000D_
06 20 09:35:08 294  1588  1837 W ActivityTaskManager: Duplicate finish request for r ActivityRecord aa1b4cf u0 com nextcloud client com owncloud android ui activity NotificationsActivity t3587 f  isExiting _x000D_
06 20 09:35:08 294  1588  1837 I WindowManager:   Force finishing activity ActivityRecord 52b6037 u0 com nextcloud client com owncloud android ui activity UploadListActivity t3587 f  isExiting _x000D_
06 20 09:35:08 294  1588  1837 W ActivityTaskManager: Duplicate finish request for r ActivityRecord 52b6037 u0 com nextcloud client com owncloud android ui activity UploadListActivity t3587 f  isExiting _x000D_
06 20 09:35:08 294  1588  1837 I WindowManager:   Force finishing activity ActivityRecord 4bc69b5 u0 com nextcloud client com owncloud android ui activity FileDisplayActivity t3587 f  isExiting _x000D_
06 20 09:35:08 294  1588  1837 W ActivityTaskManager: Duplicate finish request for r ActivityRecord 4bc69b5 u0 com nextcloud client com owncloud android ui activity FileDisplayActivity t3587 f  isExiting _x000D_
06 20 09:35:08 523  1588  1996 V StorageManagerService: Package com nextcloud client does not have legacy storage_x000D_
06 20 09:35:08 528  1588  1682 E PackageManager: failed to find package com nextcloud client_x000D_
06 20 09:35:08 528  1588  1682 E OverlayManager: Failed to change enabled overlays for com nextcloud client user 0_x000D_
06 20 09:35:08 538  1588  1702 W BroadcastQueue: Background execution not allowed: receiving Intent   act android intent action PACKAGE REMOVED dat package:com nextcloud client flg 0x4000010 (has extras)   to com android musicfx  Compatibility Receiver_x000D_
06 20 09:35:08 538  1588  1702 W BroadcastQueue: Background execution not allowed: receiving Intent   act android intent action PACKAGE REMOVED dat package:com nextcloud client flg 0x4000010 (has extras)   to com google android gms org microg gms gcm UnregisterReceiver_x000D_
06 20 09:35:08 538  1588  1837 I ActivityManager: Force stopping com nextcloud client appid 10250 user 0: pkg removed_x000D_
06 20 09:35:08 552  1588  1702 W BroadcastQueue: Background execution not allowed: receiving Intent   act android intent action PACKAGE REMOVED dat package:com nextcloud client flg 0x4000010 (has extras)   to com google android gms org microg nlp service PackageChangedReceiver_x000D_
06 20 09:35:08 581  1588  1975 I RollbackManager: broadcast ACTION PACKAGE FULLY REMOVED pkg com nextcloud client_x000D_
06 20 09:35:08 614  1588  2325 W BroadcastQueue: Background execution not allowed: receiving Intent   act android intent action PACKAGE REMOVED dat package:com nextcloud client flg 0x4000010 (has extras)   to com aurora store  data receiver PackageManagerReceiver_x000D_
06 20 09:35:08 616  1588  1702 W BroadcastQueue: Background execution not allowed: receiving Intent   act android intent action PACKAGE REMOVED dat package:com nextcloud client flg 0x4000010 (has extras)   to com google android apps photos com google android libraries social peoplekit thirdparty viewcontrollers ThirdPartyReceiver_x000D_
06 20 09:35:08 616  1588  1702 W BroadcastQueue: Background execution not allowed: receiving Intent   act android intent action PACKAGE REMOVED dat package:com nextcloud client flg 0x4000010 (has extras)   to com microsoft launcher com microsoft mmx continuity receiver InstallUninstallReceiver_x000D_
06 20 09:35:08 750  1588  1588 I ConditionProviders: Disallowing condition provider com nextcloud client_x000D_
06 20 09:35:40 033  1588  1837 V BackupManagerService:  UserID:0  restoreAtInstall pkg com nextcloud client token 71 restoreSet 0_x000D_
06 20 09:35:40 066  1588  1702 W BroadcastQueue: Background execution not allowed: receiving Intent   act android intent action PACKAGE ADDED dat package:com nextcloud client flg 0x4000010 (has extras)   to com android packageinstaller  PackageInstalledReceiver_x000D_
06 20 09:35:40 108  1588  2023 W BroadcastQueue: Background execution not allowed: receiving Intent   act android intent action PACKAGE ADDED dat package:com nextcloud client flg 0x4000010 (has extras)   to com aurora store  data receiver PackageManagerReceiver_x000D_
06 20 09:35:40 109  1588  1702 W BroadcastQueue: Background execution not allowed: receiving Intent   act android intent action PACKAGE ADDED dat package:com nextcloud client flg 0x4000010 (has extras)   to com microsoft launcher com microsoft mmx continuity receiver InstallUninstallReceiver_x000D_
06 20 09:35:44 436  1588 16927 I ActivityTaskManager: START u0  act android intent action MAIN cat  android intent category LAUNCHER  flg 0x10200000 cmp com nextcloud client com owncloud android ui activity FileDisplayActivity bnds  15 835  225 1068   from uid 10184_x000D_
06 20 09:35:44 467  1588  1703 I ActivityManager: Start proc 19204:com nextcloud client u0a282 for pre top activity  com nextcloud client com owncloud android ui activity FileDisplayActivity _x000D_
06 20 09:35:44 655  1588 16612 D ConnectivityService: requestNetwork for uid pid:10282 19204 NetworkRequest   TRACK DEFAULT id 2200    Capabilities: INTERNET NOT RESTRICTED TRUSTED Uid: 10282 AdministratorUids:    RequestorUid: 10282 RequestorPackageName: com nextcloud client   _x000D_
06 20 09:35:44 808  1588 16612 I ActivityTaskManager: START u0  flg 0x10800004 cmp com nextcloud client com owncloud android authentication AuthenticatorActivity clip  text plain        (has extras)  from uid 10282_x000D_
06 20 09:35:44 817  1588  2292 I ActivityTaskManager: START u0  flg 0x10800004 cmp com nextcloud client com owncloud android authentication AuthenticatorActivity clip  text plain        (has extras)  from uid 10282_x000D_
06 20 09:35:45 152  1588 11051 I ActivityTaskManager: START u0  cmp com nextcloud client  onboarding FirstRunActivity  from uid 10282_x000D_
06 20 09:35:45 339  1588  2013 D ConnectivityService: releasing NetworkRequest   TRACK DEFAULT id 2200    Capabilities: INTERNET NOT RESTRICTED TRUSTED Uid: 10282 AdministratorUids:    RequestorUid: 10282 RequestorPackageName: com nextcloud client    (release request)_x000D_
06 20 09:35:55 907  1588 10234 I ActivityTaskManager: START u0  flg 0x10800004 cmp com nextcloud client com owncloud android authentication AuthenticatorActivity clip  text plain        (has extras)  from uid 10282_x000D_
06 20 09:36:02 017  1588  8271 I ActivityTaskManager: START u0  act android settings APPLICATION DETAILS SETTINGS dat package:com nextcloud client flg 0x10008000 cmp com android settings  applications InstalledAppDetails bnds  132 489  948 742   from uid 10152_x000D_
06 20 09:54:09 066  1588 11108 I ActivityTaskManager: START u0  act android intent action MAIN cat  android intent category LAUNCHER  flg 0x10200000 cmp com nextcloud client com owncloud android ui activity FileDisplayActivity bnds  15 835  225 1068   from uid 10184_x000D_
06 20 09:54:21 566  1588  2325 I ActivityTaskManager: START u0  act android settings APPLICATION DETAILS SETTINGS dat package:com nextcloud client flg 0x10008000 cmp com android settings  applications InstalledAppDetails bnds  197 634  373 832   from uid 10184_x000D_
06 20 09:54:28 171  1588  3265 I ActivityTaskManager: START u0  act android intent action MAIN cat  android intent category LAUNCHER  flg 0x10000000 pkg com nextcloud client cmp com nextcloud client com owncloud android ui activity FileDisplayActivity  from uid 1000_x000D_
06 20 09:54:51 082  1588  2325 I ActivityTaskManager: START u0  act android intent action MAIN cat  android intent category LAUNCHER  flg 0x10200000 cmp com nextcloud client com owncloud android ui activity FileDisplayActivity bnds  15 835  225 1068   from uid 10184_x000D_
06 20 09:55:00 144  1588 11108 I ActivityTaskManager: START u0  act android intent action MAIN cat  android intent category LAUNCHER  flg 0x10200000 cmp com nextcloud client com owncloud android ui activity FileDisplayActivity bnds  15 835  225 1068   from uid 10184_x000D_
06 20 09:55:07 100  1588  1626 I ActivityTaskManager: START u0  act android settings APPLICATION DETAILS SETTINGS dat package:com nextcloud client flg 0x10008000 cmp com android settings  applications InstalledAppDetails bnds  197 634  373 832   from uid 10184_x000D_
06 20 09:55:21 823  1588  8271 I ActivityTaskManager: START u0  act android intent action MAIN cat  android intent category LAUNCHER  flg 0x10200000 cmp com nextcloud client com owncloud android ui activity FileDisplayActivity bnds  15 835  225 1068   from uid 10184_x000D_
06 20 09:55:33 648  1588  8271 I ActivityTaskManager: START u0  act android settings APPLICATION DETAILS SETTINGS dat package:com nextcloud client flg 0x10008000 cmp com android settings  applications InstalledAppDetails bnds  197 634  373 832   from uid 10184_x000D_
06 20 09:55:47 816  1588 16927 I ActivityTaskManager: START u0  act android intent action MAIN cat  android intent category LAUNCHER  flg 0x10200000 cmp com nextcloud client com owncloud android ui activity FileDisplayActivity bnds  15 835  225 1068   from uid 10184_x000D_
06 20 09:56:14 220  1588 12754 I ActivityTaskManager: START u0  act android intent action MAIN cat  android intent category LAUNCHER  flg 0x10200000 cmp com nextcloud client com owncloud android ui activity FileDisplayActivity bnds  15 835  225 1068   from uid 10184_x000D_
06 20 10:01:55 198  1588  1588 I NotificationService: Cannot find enqueued record for key: 0 org fdroid fdroid 1 https:  f droid org repo com nextcloud android beta 20210616 apk 10123_x000D_
06 20 10:01:58 668  1588  1588 D NotificationService: 0 org fdroid fdroid 1 https:  f droid org repo com nextcloud android beta 20210616 apk 10123: granting content:  settings system notification sound_x000D_
06 20 10:01:58 669  1588  1588 D NotificationService: 0 org fdroid fdroid 1 https:  f droid org repo com nextcloud android beta 20210616 apk 10123: granting content:  settings system notification sound_x000D_
06 20 10:02:01 643  1588  1837 V BackupManagerService:  UserID:0  restoreAtInstall pkg com nextcloud android beta token 72 restoreSet 0_x000D_
06 20 10:02:01 673  1588  1702 W BroadcastQueue: Background execution not allowed: receiving Intent   act android intent action PACKAGE ADDED dat package:com nextcloud android beta flg 0x4000010 (has extras)   to com android packageinstaller  PackageInstalledReceiver_x000D_
06 20 10:02:01 716  1588  5904 W BroadcastQueue: Background execution not allowed: receiving Intent   act android intent action PACKAGE ADDED dat package:com nextcloud android beta flg 0x4000010 (has extras)   to com aurora store  data receiver PackageManagerReceiver_x000D_
06 20 10:02:01 717  1588  1702 W BroadcastQueue: Background execution not allowed: receiving Intent   act android intent action PACKAGE ADDED dat package:com nextcloud android beta flg 0x4000010 (has extras)   to com microsoft launcher com microsoft mmx continuity receiver InstallUninstallReceiver_x000D_
06 20 10:02:02 033  1588  1588 D NotificationService: 0 org fdroid fdroid 2 https:  f droid org repo com nextcloud android beta 20210616 apk 10123: granting content:  settings system notification sound_x000D_
06 20 10:02:02 033  1588  1588 D NotificationService: 0 org fdroid fdroid 2 https:  f droid org repo com nextcloud android beta 20210616 apk 10123: granting content:  settings system notification sound_x000D_
06 20 10:02:03 513  1588 16927 I ActivityTaskManager: START u0  act android intent action MAIN cat  android intent category LAUNCHER  flg 0x10000000 pkg com nextcloud android beta cmp com nextcloud android beta com owncloud android ui activity FileDisplayActivity  from uid 10123_x000D_
06 20 10:02:03 554  1588  1703 I ActivityManager: Start proc 20514:com nextcloud android beta u0a283 for pre top activity  com nextcloud android beta com owncloud android ui activity FileDisplayActivity _x000D_
06 20 10:02:03 769  1588  8271 D ConnectivityService: requestNetwork for uid pid:10283 20514 NetworkRequest   TRACK DEFAULT id 2209    Capabilities: INTERNET NOT RESTRICTED TRUSTED Uid: 10283 AdministratorUids:    RequestorUid: 10283 RequestorPackageName: com nextcloud android beta   _x000D_
06 20 10:02:03 927  1588 16927 I ActivityTaskManager: START u0  flg 0x10800004 cmp com nextcloud android beta com owncloud android authentication AuthenticatorActivity clip  text plain        (has extras)  from uid 10283_x000D_
06 20 10:02:03 939  1588  3403 I ActivityTaskManager: START u0  flg 0x10800004 cmp com nextcloud android beta com owncloud android authentication AuthenticatorActivity clip  text plain        (has extras)  from uid 10283_x000D_
06 20 10:02:04 273  1588  8271 I ActivityTaskManager: START u0  cmp com nextcloud android beta com nextcloud client onboarding FirstRunActivity  from uid 10283_x000D_
06 20 10:02:04 439  1588  2013 D ConnectivityService: releasing NetworkRequest   TRACK DEFAULT id 2209    Capabilities: INTERNET NOT RESTRICTED TRUSTED Uid: 10283 AdministratorUids:    RequestorUid: 10283 RequestorPackageName: com nextcloud android beta    (release request)_x000D_
06 20 10:24:12 211 20514 20539 I WM WorkerWrapper: Worker result SUCCESS for Work   id f8d6b767 ec44 430e b3c0 cc4332f2a955  tags   timestamp:1624179723726  com nextcloud client jobs OfflineSyncWork     name:periodic offline sync    _x000D_
06 20 10:24:12 249 20514 20539 I WM WorkerWrapper: Worker result SUCCESS for Work   id 398dea5a a431 4880 afcf ef1083ccc8fb  tags   name:periodic files sync  timestamp:1624179723714  com nextcloud client jobs FilesSyncWork       _x000D_
06 20 10:24:12 269 20514 20542 I WM WorkerWrapper: Worker result SUCCESS for Work   id b4930121 a163 4ca4 a762 e07ac8475648  tags   com nextcloud client jobs MediaFoldersDetectionWork  timestamp:1624179723745     name:periodic media folder detection    _x000D_
06 20 10:34:59 582 19204 19227 I WM WorkerWrapper: Worker result SUCCESS for Work   id 8a435667 a8da 489e 9e9f 770df2c4cf86  tags   timestamp:1624178144627  com nextcloud client jobs OfflineSyncWork     name:periodic offline sync    _x000D_
06 20 10:34:59 613 19204 19233 I WM WorkerWrapper: Worker result SUCCESS for Work   id 3867f8c1 c29e 4688 b9c3 0ee886239a81  tags   name:periodic files sync  timestamp:1624178144619  com nextcloud client jobs FilesSyncWork       _x000D_
06 20 10:34:59 635 19204 19227 I WM WorkerWrapper: Worker result SUCCESS for Work   id b63d2e20 64ca 45b7 8c27 38d478fa928b  tags   com nextcloud client jobs MediaFoldersDetectionWork     timestamp:1624178144641  name:periodic media folder detection    _x000D_
06 20 10:38:08 954  1588  5904 I ActivityTaskManager: START u0  act android intent action MAIN cat  android intent category LAUNCHER  flg 0x10200000 cmp com nextcloud android beta com owncloud android ui activity FileDisplayActivity bnds  225 835  435 1068   from uid 10184_x000D_
06 20 10:38:10 052  3314  3314 I AndroidIME: AbstractIme onActivate():88 LatinIme onActivate() : EditorInfo   Package   com nextcloud android beta : Type   Text : Learning   Disable : Suggestion   Hide : AutoCorrection   Disable : Microphone   Show : NoPersonalizedLearning   Disable : AutoStartVoiceInput   Disable : AutoStartEmojiInput   Disable : SimulateDeviceLocked   False : imeActionName   NEXT : imeOptions   5 : privateImeOptions   null  IncognitoMode   false  DeviceLocked   false_x000D_
06 20 10:38:10 059  3314  3314 I ConversationToQueryExtension: ConversationToQueryExtension isEnabledForHostApp():222 Conv2Query not enabled due to current app  com nextcloud android beta  not in allowlist_x000D_
06 20 10:38:18 014 21340 21456 D com nextcloud android sso api NetworkRequest:  connectApiWithBackoff  connectApiWithBackoff() called from Thread:  Thread 2 _x000D_
06 20 10:38:18 022 21340 21340 D com nextcloud android sso api NetworkRequest:  connectApiWithBackoff  trying to connect  _x000D_
06 20 10:38:18 022 21340 21340 D com nextcloud android sso api AidlNetworkRequest:  connect  Binding to AccountManagerService for type  nextcloud _x000D_
06 20 10:38:18 022 21340 21340 D com nextcloud android sso api NetworkRequest:  connect  connect() called  main  Account Type:  nextcloud _x000D_
06 20 10:38:18 022 21340 21340 D com nextcloud android sso api AidlNetworkRequest:  connect  Component name is:  com nextcloud client _x000D_
06 20 10:38:18 026 21340 21340 D com nextcloud android sso api AidlNetworkRequest:  connect  Bound to AccountManagerService successfully_x000D_
06 20 10:38:18 026 21340 21340 D com nextcloud android sso api AidlNetworkRequest:  onServiceConnected  called from Thread:  main  with IBinder  ComponentInfo com nextcloud client com owncloud android services AccountManagerService  : android os BinderProxy 378d54e_x000D_
06 20 10:38:18 027 21340 21340 I ApiProvider: SSO API connected for com nextcloud android sso model SingleSignOnAccount 3c4c66f_x000D_
06 20 10:38:18 061 21340 21447 D com nextcloud android sso api NextcloudRetrofitServiceMethod: NextcloudRetrofitServiceMethod() called with: apiEndpoint     index php apps notes api v1    method    public abstract io reactivex Observable it niedermann owncloud notes persistence sync NotesAPI 1 0 getNotes(long java lang String) _x000D_
06 20 10:38:18 062 21340 21447 D com nextcloud android sso api NextcloudRetrofitServiceMethod: invoke call to api using observable com nextcloud android sso api ParsedResponse java util List it niedermann owncloud notes persistence entity Note  _x000D_
06 20 10:38:18 075 21340 21468 D com nextcloud android sso api AidlNetworkRequest: copy data from service finished_x000D_
06 20 10:38:18 078 19204 19548 E InputStreamBinder: 	at com nextcloud android sso InputStreamBinder processRequestV2(InputStreamBinder java:377)_x000D_
06 20 10:38:18 078 19204 19548 E InputStreamBinder: 	at com nextcloud android sso InputStreamBinder performNextcloudRequestAndBodyStreamV2(InputStreamBinder java:125)_x000D_
06 20 10:38:18 078 19204 19548 E InputStreamBinder: 	at com nextcloud android sso InputStreamBinder performNextcloudRequestV2(InputStreamBinder java:108)_x000D_
06 20 10:38:18 078 19204 19548 E InputStreamBinder: 	at com nextcloud android sso aidl IInputStreamService Stub onTransact(IInputStreamService java:158)_x000D_
06 20 10:38:18 095 21340 21447 E NotesRepository: com nextcloud android sso exceptions NextcloudFilesAppAccountNotFoundException: Account not found in nextcloud files app_x000D_
06 20 10:38:18 095 21340 21447 E NotesRepository: java lang RuntimeException: com nextcloud android sso exceptions NextcloudFilesAppAccountNotFoundException: Account not found in nextcloud files app_x000D_
06 20 10:38:18 095 21340 21447 E NotesRepository: Caused by: com nextcloud android sso exceptions NextcloudFilesAppAccountNotFoundException: Account not found in nextcloud files app_x000D_
06 20 10:38:18 095 21340 21447 E NotesRepository: 	at com nextcloud android sso api AidlNetworkRequest performNetworkRequestV2(AidlNetworkRequest java:172)_x000D_
06 20 10:38:18 095 21340 21447 E NotesRepository: 	at com nextcloud android sso api NextcloudAPI performNetworkRequestV2(NextcloudAPI java:171)_x000D_
06 20 10:38:18 095 21340 21447 E NotesRepository: 	at com nextcloud android sso api NextcloudAPI lambda performRequestObservableV2 1 NextcloudAPI(NextcloudAPI java:110)_x000D_
06 20 10:38:18 095 21340 21447 E NotesRepository: 	at com nextcloud android sso api    Lambda NextcloudAPI 8WS9mapJbOYsPgbhBi25vBNYZqI subscribe(Unknown Source:6)_x000D_
06 20 10:38:18 311  1588  1959 I ActivityTaskManager: START u0  act android intent action MAIN cat  android intent category LAUNCHER  flg 0x10200000 cmp com nextcloud client com owncloud android ui activity FileDisplayActivity bnds  15 835  225 1068   from uid 10184_x000D_
06 20 10:38:18 463  3314  3314 I AndroidIME: AbstractIme onActivate():88 LatinIme onActivate() : EditorInfo   Package   com nextcloud client : Type   Text : Learning   Disable : Suggestion   Hide : AutoCorrection   Disable : Microphone   Show : NoPersonalizedLearning   Disable : AutoStartVoiceInput   Disable : AutoStartEmojiInput   Disable : SimulateDeviceLocked   False : imeActionName   NEXT : imeOptions   5 : privateImeOptions   null  IncognitoMode   false  DeviceLocked   false_x000D_
06 20 10:38:18 467  3314  3314 I ConversationToQueryExtension: ConversationToQueryExtension isEnabledForHostApp():222 Conv2Query not enabled due to current app  com nextcloud client  not in allowlist_x000D_
06 20 10:38:19 645 19204 21469 E com nextcloud android sso aidl ParcelFileDescriptorUtil TransferThread: writing failed: write failed: EPIPE (Broken pipe)_x000D_
   _x000D_
</t>
  </si>
  <si>
    <t>TeamNewPipe-NewPipe-6522</t>
  </si>
  <si>
    <t>Crash when pressing search button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</si>
  <si>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74ad488f4ad2459d38c2141f824534b6aff8302f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Similar to  6231 but different null pointer exception_x000D_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0   Build the app from  dev  branch_x000D_
_x000D_
1  Open app_x000D_
2  Press search button_x000D_
_x000D_
    Actual behaviour_x000D_
     Tell us what happens with the steps given above     _x000D_
_x000D_
App crashes (ui error)_x000D_
_x000D_
    Expected behavior_x000D_
     Tell us what you expect to happen     _x000D_
_x000D_
App doesn t crash (no null pointer exception)_x000D_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GB_x000D_
    Content Language:   en GB_x000D_
    App Language:   en GB_x000D_
    Service:   none_x000D_
    Version:   0 21 5_x000D_
    OS:   Linux Android 11   30_x000D_
 details  summary  b Crash log   b   summary  p _x000D_
_x000D_
   _x000D_
java lang NullPointerException: Attempt to invoke virtual method  org schabi newpipe extractor linkhandler SearchQueryHandlerFactory org schabi newpipe extractor StreamingService getSearchQHFactory()  on a null object reference_x000D_
	at org schabi newpipe fragments list search SearchFragment onCreateOptionsMenu(SearchFragment java:430)_x000D_
	at androidx fragment app Fragment performCreateOptionsMenu(Fragment java:3100)_x000D_
	at androidx fragment app FragmentManager dispatchCreateOptionsMenu(FragmentManager java:3181)_x000D_
	at androidx fragment app FragmentController dispatchCreateOptionsMenu(FragmentController java:391)_x000D_
	at androidx fragment app FragmentActivity onCreatePanelMenu(FragmentActivity java:288)_x000D_
	at androidx appcompat view WindowCallbackWrapper onCreatePanelMenu(WindowCallbackWrapper java:94)_x000D_
	at androidx appcompat app AppCompatDelegateImpl AppCompatWindowCallback onCreatePanelMenu(AppCompatDelegateImpl java:3070)_x000D_
	at androidx appcompat view WindowCallbackWrapper onCreatePanelMenu(WindowCallbackWrapper java:94)_x000D_
	at androidx appcompat app ToolbarActionBar populateOptionsMenu(ToolbarActionBar java:456)_x000D_
	at androidx appcompat app ToolbarActionBar 1 run(ToolbarActionBar java:57)_x000D_
	at android view Choreographer CallbackRecord run(Choreographer java:972)_x000D_
	at android view Choreographer doCallbacks(Choreographer java:796)_x000D_
	at android view Choreographer doFrame(Choreographer java:727)_x000D_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java:7660)_x000D_
	at java lang reflect Method invoke(Native Method)_x000D_
	at com android internal os RuntimeInit MethodAndArgsCaller run(RuntimeInit java:592)_x000D_
	at com android internal os ZygoteInit main(ZygoteInit java:947)_x000D_
_x000D_
   _x000D_
  details _x000D_
 hr _x000D_
_x000D_
_x000D_
_x000D_
     Please fill this out when you do not provide a log generate by NewPipe    _x000D_
</t>
  </si>
  <si>
    <t>patzly-grocy-android-426</t>
  </si>
  <si>
    <t>App crashes when trying to consume item</t>
  </si>
  <si>
    <t xml:space="preserve">As the title says  the app crashes every time I try to consume an item  More specifically:_x000D_
_x000D_
1  Open app_x000D_
2  Select  Consume _x000D_
3  Type in product name_x000D_
4  Select product from pop up list_x000D_
5  Crash_x000D_
_x000D_
I can consume items without problems on the web app  so (I assume) this is not a consistency problem in my database _x000D_
_x000D_
App version: 2 0 0 beta02_x000D_
Server version: 3 0 1_x000D_
Android version: 11_x000D_
_x000D_
Debug log:_x000D_
   _x000D_
06 19 14:23:13 362 10974 10974 E AndroidRuntime: FATAL EXCEPTION: main_x000D_
06 19 14:23:13 362 10974 10974 E AndroidRuntime: Process: xyz zedler patrick grocy  PID: 10974_x000D_
06 19 14:23:13 362 10974 10974 E AndroidRuntime: java lang NullPointerException: Attempt to invoke virtual method  java lang String xyz zedler patrick grocy model StockLocation i()  on a null object reference_x000D_
06 19 14:23:13 362 10974 10974 E AndroidRuntime: 	at xyz zedler patrick grocy model Z0 j(SourceFile:13)_x000D_
06 19 14:23:13 362 10974 10974 E AndroidRuntime: 	at xyz zedler patrick grocy l I5 c0(SourceFile:2)_x000D_
06 19 14:23:13 362 10974 10974 E AndroidRuntime: 	at xyz zedler patrick grocy fragment ConsumeFragment l2(SourceFile:6)_x000D_
06 19 14:23:13 362 10974 10974 E AndroidRuntime: 	at xyz zedler patrick grocy fragment ConsumeFragment q2(SourceFile:15)_x000D_
06 19 14:23:13 362 10974 10974 E AndroidRuntime: 	at xyz zedler patrick grocy fragment g a(Unknown Source:2)_x000D_
06 19 14:23:13 362 10974 10974 E AndroidRuntime: 	at xyz zedler patrick grocy l E c(SourceFile:1)_x000D_
06 19 14:23:13 362 10974 10974 E AndroidRuntime: 	at xyz zedler patrick grocy l e6 o(SourceFile:2)_x000D_
06 19 14:23:13 362 10974 10974 E AndroidRuntime: 	at xyz zedler patrick grocy l w4 c(Unknown Source:4)_x000D_
06 19 14:23:13 362 10974 10974 E AndroidRuntime: 	at androidx lifecycle LiveData c(SourceFile:6)_x000D_
06 19 14:23:13 362 10974 10974 E AndroidRuntime: 	at androidx lifecycle LiveData d(SourceFile:8)_x000D_
06 19 14:23:13 362 10974 10974 E AndroidRuntime: 	at androidx lifecycle LiveData n(SourceFile:4)_x000D_
06 19 14:23:13 362 10974 10974 E AndroidRuntime: 	at androidx lifecycle p n(SourceFile:1)_x000D_
06 19 14:23:13 362 10974 10974 E AndroidRuntime: 	at xyz zedler patrick grocy l e6 n(SourceFile:2)_x000D_
06 19 14:23:13 362 10974 10974 E AndroidRuntime: 	at xyz zedler patrick grocy l H5 j(SourceFile:1)_x000D_
06 19 14:23:13 362 10974 10974 E AndroidRuntime: 	at xyz zedler patrick grocy l I5 R(SourceFile:35)_x000D_
06 19 14:23:13 362 10974 10974 E AndroidRuntime: 	at xyz zedler patrick grocy l t a(Unknown Source:4)_x000D_
06 19 14:23:13 362 10974 10974 E AndroidRuntime: 	at xyz zedler patrick grocy h J0 I d(SourceFile:4)_x000D_
06 19 14:23:13 362 10974 10974 E AndroidRuntime: 	at xyz zedler patrick grocy h h0 a(Unknown Source:2)_x000D_
06 19 14:23:13 362 10974 10974 E AndroidRuntime: 	at xyz zedler patrick grocy h m a(SourceFile:8)_x000D_
06 19 14:23:13 362 10974 10974 E AndroidRuntime: 	at xyz zedler patrick grocy h a a(Unknown Source:4)_x000D_
06 19 14:23:13 362 10974 10974 E AndroidRuntime: 	at xyz zedler patrick grocy m g a(SourceFile:3)_x000D_
06 19 14:23:13 362 10974 10974 E AndroidRuntime: 	at b a b x m e(SourceFile:5)_x000D_
06 19 14:23:13 362 10974 10974 E AndroidRuntime: 	at b a b g b run(SourceFile:5)_x000D_
06 19 14:23:13 362 10974 10974 E AndroidRuntime: 	at android os Handler handleCallback(Handler java:938)_x000D_
06 19 14:23:13 362 10974 10974 E AndroidRuntime: 	at android os Handler dispatchMessage(Handler java:99)_x000D_
06 19 14:23:13 362 10974 10974 E AndroidRuntime: 	at android os Looper loop(Looper java:223)_x000D_
06 19 14:23:13 362 10974 10974 E AndroidRuntime: 	at android app ActivityThread main(ActivityThread java:7660)_x000D_
06 19 14:23:13 362 10974 10974 E AndroidRuntime: 	at java lang reflect Method invoke(Native Method)_x000D_
06 19 14:23:13 362 10974 10974 E AndroidRuntime: 	at com android internal os RuntimeInit MethodAndArgsCaller run(RuntimeInit java:592)_x000D_
06 19 14:23:13 362 10974 10974 E AndroidRuntime: 	at com android internal os ZygoteInit main(ZygoteInit java:947)_x000D_
   _x000D_
</t>
  </si>
  <si>
    <t>PojavLauncherTeam-PojavLauncher-1564</t>
  </si>
  <si>
    <t>[BUG] Texture glitches when attacking a mob in Minecraft 1.8</t>
  </si>
  <si>
    <t xml:space="preserve">    
If you don t fill in this template  this issue will be marked as invalid and closed 
 details   summary  b Read before submit  b   summary 
 br 
  Make sure there was not duplicated issues  br 
  Make sure you have filled this issue template  or this will get rejected 
  details 
    Describe the bug
When I played Minecraft 1 8  i noticed a weird texture bug when textures turn black when attacking a mob  in previous versions before 1 8 and alpha beta versions  this bug did not exist 
  Add a log file if you want to see your bug fixed    
Here is latestlog txt
          beggining with launcher debug
Info: LWJGL3 directory:  jsr305 jar  lwjgl glfw classes jar  lwjgl jemalloc jar  lwjgl openal jar  lwjgl opengl jar  lwjgl stb jar  lwjgl tinyfd jar  lwjgl jar  version 
Architecture: arm64 aarch64
Info: Custom Java arguments:   Xmx1G  Xms1G  Xmn128m  XX: DisableExplicitGC  XX: UseConcMarkSweepGC  XX: UseParNewGC  XX: UseNUMA  XX: CMSParallelRemarkEnabled  XX:MaxTenuringThreshold 15  XX:MaxGCPauseMillis 30  XX:GCPauseIntervalMillis 150  XX: UseAdaptiveGCBoundary  XX: UseGCOverheadLimit  XX: UseBiasedLocking  XX:SurvivorRatio 8  XX:TargetSurvivorRatio 90  XX:MaxTenuringThreshold 15  Dfml ignorePatchDiscrepancies true  Dfml ignoreInvalidMinecraftCertificates true  XX: UseFastAccessorMethods  XX: UseCompressedOops  XX: OptimizeStringConcat  XX: AggressiveOpts  XX:ReservedCodeCacheSize 2048m  XX: UseCodeCacheFlushing  XX:SoftRefLRUPolicyMSPerMB 2000  XX:ParallelGCThreads 10  Dorg lwjgl opengl libname libgl4es 115 so 
Headless version detected  (20140902)
WARNING: linker: Warning:   data data net kdt pojavlaunch jre runtime lib aarch64 jli libjli so  unused DT entry: DT RPATH (type 0xf
 arg 0x361) (ignoring)
WARNING: linker: Warning:   data data net kdt pojavlaunch jre runtime lib aarch64 jli libjli so  has unsupported flags DT FLAGS 1 0x81 (ignoring unsupported flags)
WARNING: linker: 
Warning:   data data net kdt pojavlaunch jre runtime lib aarch64 libverify so  unused DT entry: DT RPATH (type 0xf arg 0x450) (ignoring)
WARNING: linker: Warning:   data data net kdt pojavlaunch jre runtime lib aarch64 libverify so  has unsupported flags DT FLAGS 1 0x81 (ignoring unsupported flags)
WARNING: linker: Warning:   data data net kdt pojavlaunch jre runtime lib aarch64 libjava so  unused DT entry: DT RPATH (type 
0xf arg 0x33c0) (ignoring)
WARNING: linker: Warning:   data data net kdt pojavlaunch jre runtime lib aarch64 libjava so  has unsupported flags DT FLAGS 1 0x81 (ignoring unsupported flags)
WARNING: linker: Warning:   data data net kdt pojavlaunch jre runtime lib aarch64 libnet so
  unused DT entry: DT RPATH (type 0xf arg 0x13b8) (ignoring)
WARNING: linker: Warning:   data data net kdt pojavlaunch jre runtime lib aarch64 libnet so  has unsupported flags DT FLAGS 1 0x81 (ignoring unsupported flags)
WARNING: linker: Warning:   data data net kdt pojavlaunch jre runtime lib aarch64 libnio so  unused DT entry: DT RPATH (type 0xf arg 0x2196) (ignoring)
WARNING: linker: Warning:   data data net kdt pojavlaunch jre runtime lib aarch64 libnio so  has unsupported flags DT FLAGS 1 0x81 (ignoring unsupported flags)
WARNING: linker: Warning:   data data net kdt pojavlaunch jre runtime lib aarch64 libawt so  unused DT entry: DT RPATH
 (type 0xf arg 0x6a68) (ignoring)
WARNING: linker: Warning:   data data net kdt pojavlaunch jre runtime lib aarch64 libawt so  has unsupported flags DT FLAGS 1 0x81 (ignoring unsupported flags)
          beginning of system
WARNING: linker: Warning:   data data net kdt pojavlaunch jre runtime lib aarch64 libawt headless so  unused DT entry: DT RPATH (type 0xf arg 0x4d9
) (ignoring)
WARNING: linker: Warning:   data data net kdt pojavlaunch jre runtime lib aarch64 libawt headless so  has unsupported flags DT FLAGS 1 0x81 (ignoring unsupported flags)
          beginning of crash
          beginning of main
WARNING: linker: Warning:   data data net kdt pojavlaunch jre runtime lib aarch64 libfontmanager so  unused DT entry: DT RPATH (type 0xf arg 0xda0
) (ignoring)
WARNING: linker: Warning:   data data net kdt pojavlaunch jre runtime lib aarch64 libfontmanager so  has unsupported flags DT FLAGS 1 0x81 (ignoring unsupported flags)
WARNING: linker: Warning:   data data net kdt pojavlaunch jre runtime lib aarch64 libjpeg so  unused DT entry: DT RPATH (type 0xf arg 
0x5e6) (ignoring)
WARNING: linker: Warning:   data data net kdt pojavlaunch jre runtime lib aarch64 libjpeg so  has unsupported flags DT FLAGS 1 0x81 (ignoring unsupported flags)
WARNING: linker: Warning:   data data net kdt pojavlaunch jre runtime lib aarch64 libjawt so  unused DT entry: DT RPATH (type 0xf arg 
0x77) (ignoring)
WARNING: linker: Warning:   data data net kdt pojavlaunch jre runtime lib aarch64 libjawt so  has unsupported flags DT FLAGS 1 0x81 (ignoring unsupported flags)
I jrelog  (12066): dlopen  data user 0 net kdt pojavlaunch jre runtime lib aarch64 jli libjli so success
I jrelog  (12066): dlopen  data user 0 net kdt pojavlaunch jre runtime lib aarch64 server libjvm so success
I jrelog  (12066): dlopen  data user 0 net kdt pojavlaunch jre runtime lib aarch64 libverify so success
I jrelog  (12066): dlopen  data user 0 net kdt pojavlaunch jre runtime lib aarch64 libjava so success
I jrelog  (12066): dlopen  data user 0 net kdt pojavlaunch jre runtime lib aarch64 libnet so success
I jrelog  (12066): dlopen  data user 0 net kdt pojavlaunch jre runtime lib aarch64 libnio so success
I jrelog  (12066): dlopen  data user 0 net kdt pojavlaunch jre runtime lib aarch64 libawt so success
I jrelog  (12066): dlopen  data user 0 net kdt pojavlaunch jre runtime lib aarch64 libawt headless so success
I jrelog  (12066): dlopen  data user 0 net kdt pojavlaunch jre runtime lib aarch64 libfreetype so success
I jrelog  (12066): dlopen  data user 0 net kdt pojavlaunch jre runtime lib aarch64 libfontmanager so success
I jrelog  (12066): dlopen  data user 0 net kdt pojavlaunch jre runtime lib aarch64 libjpeg so success
I jrelog  (12066): dlopen  data user 0 net kdt pojavlaunch jre runtime lib aarch64 libnet so success
I jrelog  (12066): dlopen  data user 0 net kdt pojavlaunch jre runtime lib aarch64 libjawt so success
WARNING: linker: Warning:   data data net kdt pojavlaunch jre runtime lib aarch64 libjdwp so  unused DT entry: DT RPATH (type 0xf
 arg 0x1c7) (ignoring)
WARNING: linker: Warning:   data data net kdt pojavlaunch jre runtime lib aarch64 libjdwp so  has unsupported flags DT FLAGS 1 0x81 (ignoring unsupported flags)
I jrelog  (12066): dlopen  data user 0 net kdt pojavlaunch jre runtime lib aarch64 libjdwp so success
I jrelog  (12066): dlopen  data user 0 net kdt pojavlaunch jre runtime lib aarch64 jli libjli so success
WARNING: linker: Warning:   data data net kdt pojavlaunch jre runtime lib aarch64 libzip so  unused DT entry: DT RPATH (type 0xf
 arg 0x8ff) (ignoring)
WARNING: linker: Warning:   data data net kdt pojavlaunch jre runtime lib aarch64 libzip so  has unsupported flags DT FLAGS 1 0x81 (ignoring unsupported flags)
I jrelog  (12066): dlopen  data user 0 net kdt pojavlaunch jre runtime lib aarch64 libzip so success
WARNING: linker: Warning:   data data net kdt pojavlaunch jre runtime lib aarch64 libmanagement so  unused DT entry: DT RPATH (type 0xf arg 0x16fe
) (ignoring)
WARNING: linker: Warning:   data data net kdt pojavlaunch jre runtime lib aarch64 libmanagement so  has unsupported flags DT FLAGS 1 0x81 (ignoring unsupported flags)
I jrelog  (12066): dlopen  data user 0 net kdt pojavlaunch jre runtime lib aarch64 libmanagement so success
WARNING: linker: Warning:   data data net kdt pojavlaunch jre runtime lib aarch64 libj2pcsc so  unused DT entry: DT RPATH (type 0xf arg 
0x2e6) (ignoring)
WARNING: linker: Warning:   data data net kdt pojavlaunch jre runtime lib aarch64 libj2pcsc so  has unsupported flags DT FLAGS 1 0x81 (ignoring unsupported flags)
I jrelog  (12066): dlopen  data user 0 net kdt pojavlaunch jre runtime lib aarch64 libj2pcsc so success
WARNING: linker: Warning:   data data net kdt pojavlaunch jre runtime lib aarch64 libjava crw demo so  unused DT entry: DT RPATH (type 0xf arg 
0xe6) (ignoring)
WARNING: linker: Warning:   data data net kdt pojavlaunch jre runtime lib aarch64 libjava crw demo so  has unsupported flags DT FLAGS 1 0x81 (ignoring unsupported flags)
I jrelog  (12066): dlopen  data user 0 net kdt pojavlaunch jre runtime lib aarch64 libjava crw demo so success
I jrelog  (12066): dlopen  data user 0 net kdt pojavlaunch jre runtime lib aarch64 libsunec so success
WARNING: linker: Warning:   data data net kdt pojavlaunch jre runtime lib aarch64 libjsound so  unused DT entry: DT RPATH (type 0xf arg 
0x119) (ignoring)
WARNING: linker: Warning:   data data net kdt pojavlaunch jre runtime lib aarch64 libjsound so  has unsupported flags DT FLAGS 1 0x81 (ignoring unsupported flags)
I jrelog  (12066): dlopen  data user 0 net kdt pojavlaunch jre runtime lib aarch64 libjsound so success
I jrelog  (12066): dlopen  data user 0 net kdt pojavlaunch jre runtime lib aarch64 libjava so success
I jrelog  (12066): dlopen  data user 0 net kdt pojavlaunch jre runtime lib aarch64 libnpt so failed: dlopen failed: library  libtinyiconv so  not found
WARNING: linker: Warning:   data data net kdt pojavlaunch jre runtime lib aarch64 libunpack so  unused DT entry: DT RPATH (type 
0xf arg 0x364) (ignoring)
WARNING: linker: Warning:   data data net kdt pojavlaunch jre runtime lib aarch64 libunpack so  has unsupported flags DT FLAGS 1 0x81 (ignoring unsupported flags)
I jrelog  (12066): dlopen  data user 0 net kdt pojavlaunch jre runtime lib aarch64 libunpack so success
I jrelog  (12066): dlopen  data user 0 net kdt pojavlaunch jre runtime lib aarch64 server libjvm so success
I jrelog  (12066): dlopen  data user 0 net kdt pojavlaunch jre runtime lib aarch64 libnio so success
WARNING: linker: Warning:   data data net kdt pojavlaunch jre runtime lib aarch64 libjsdt so  unused DT entry: DT RPATH (type 0xf arg 0x139
) (ignoring)
WARNING: linker: Warning:   data data net kdt pojavlaunch jre runtime lib aarch64 libjsdt so  has unsupported flags DT FLAGS 1 0x81 (ignoring unsupported flags)
I jrelog  (12066): dlopen  data user 0 net kdt pojavlaunch jre runtime lib aarch64 libjsdt so success
WARNING: linker: Warning:   data data net kdt pojavlaunch jre runtime lib aarch64 libj2pkcs11 so
  unused DT entry: DT RPATH (type 0xf arg 0xf13) (ignoring)
WARNING: linker: Warning:   data data net kdt pojavlaunch jre runtime lib aarch64 libj2pkcs11 so  has unsupported flags DT FLAGS 1 0x81 (ignoring unsupported flags)
I jrelog  (12066): dlopen  data user 0 net kdt pojavlaunch jre runtime lib aarch64 libj2pkcs11 so success
WARNING: linker: Warning:   data data net kdt pojavlaunch jre runtime lib aarch64 liblcms so  unused DT entry: DT RPATH (type 0xf arg 0x3f1
) (ignoring)
WARNING: linker: Warning:   data data net kdt pojavlaunch jre runtime lib aarch64 liblcms so  has unsupported flags DT FLAGS 1 0x81 (ignoring unsupported flags)
I jrelog  (12066): dlopen  data user 0 net kdt pojavlaunch jre runtime lib aarch64 liblcms so success
I jrelog  (12066): dlopen  data user 0 net kdt pojavlaunch jre runtime lib aarch64 libfontmanager so success
I jrelog  (12066): dlopen  data user 0 net kdt pojavlaunch jre runtime lib aarch64 libawt headless so success
WARNING: linker: Warning:   data data net kdt pojavlaunch jre runtime lib aarch64 libmlib image so  unused DT entry: DT RPATH
 (type 0xf arg 0x158) (ignoring)
WARNING: linker: Warning:   data data net kdt pojavlaunch jre runtime lib aarch64 libmlib image so  has unsupported flags DT FLAGS 1 0x81 (ignoring unsupported flags)
I jrelog  (12066): dlopen  data user 0 net kdt pojavlaunch jre runtime lib aarch64 libmlib image so success
I jrelog  (12066): dlopen  data user 0 net kdt pojavlaunch jre runtime lib aarch64 libinstrument so failed: dlopen failed: library  libtinyiconv so  not found
I jrelog  (12066): dlopen  data user 0 net kdt pojavlaunch jre runtime lib aarch64 libfreetype so success
WARNING: linker: Warning:   data data net kdt pojavlaunch jre runtime lib aarch64 libsctp so  unused DT entry: DT RPATH (type 0xf
 arg 0x6af) (ignoring)
WARNING: linker: Warning:   data data net kdt pojavlaunch jre runtime lib aarch64 libsctp so  has unsupported flags DT FLAGS 1 0x81 (ignoring unsupported flags)
I jrelog  (12066): dlopen  data user 0 net kdt pojavlaunch jre runtime lib aarch64 libsctp so success
WARNING: linker: Warning:   data data net kdt pojavlaunch jre runtime lib aarch64 libdt socket so  unused DT entry: DT RPATH (type 
0xf arg 0x1c1) (ignoring)
WARNING: linker: Warning:   data data net kdt pojavlaunch jre runtime lib aarch64 libdt socket so  has unsupported flags DT FLAGS 1 0x81 (ignoring unsupported flags)
I jrelog  (12066): dlopen  data user 0 net kdt pojavlaunch jre runtime lib aarch64 libdt socket so success
I jrelog  (12066): dlopen  data user 0 net kdt pojavlaunch jre runtime lib aarch64 libjsig so success
WARNING: linker: Warning:   data data net kdt pojavlaunch jre runtime lib aarch64 libj2gss so  unused DT entry: DT RPATH (type 0xf
 arg 0x6c1) (ignoring)
WARNING: linker: Warning:   data data net kdt pojavlaunch jre runtime lib aarch64 libj2gss so  has unsupported flags DT FLAGS 1 0x81 (ignoring unsupported flags)
I jrelog  (12066): dlopen  data user 0 net kdt pojavlaunch jre runtime lib aarch64 libj2gss so success
WARNING: linker: Warning:   data data net kdt pojavlaunch jre runtime lib aarch64 libtinyiconv so  unused DT entry: DT RPATH (type 0xf arg 0x23a
) (ignoring)
WARNING: linker: Warning:   data data net kdt pojavlaunch jre runtime lib aarch64 libtinyiconv so  has unsupported flags DT FLAGS 1 0x81 (ignoring unsupported flags)
I jrelog  (12066): dlopen  data user 0 net kdt pojavlaunch jre runtime lib aarch64 libtinyiconv so success
I jrelog  (12066): dlopen  data user 0 net kdt pojavlaunch jre runtime lib aarch64 libawt so success
I jrelog  (12066): dlopen  data user 0 net kdt pojavlaunch jre runtime lib aarch64 libverify so success
I jrelog  (12066): dlopen  data user 0 net kdt pojavlaunch jre runtime lib aarch64 libawt xawt so success
WARNING: linker: Warning:   data data net kdt pojavlaunch jre runtime lib aarch64 libjaas unix so  unused DT entry: DT RPATH (type 0xf arg 0x103
) (ignoring)
WARNING: linker: Warning:   data data net kdt pojavlaunch jre runtime lib aarch64 libjaas unix so  has unsupported flags DT FLAGS 1 0x81 (ignoring unsupported flags)
I jrelog  (12066): dlopen  data user 0 net kdt pojavlaunch jre runtime lib aarch64 libjaas unix so success
WARNING: linker: Warning:   data data net kdt pojavlaunch jre runtime lib aarch64 libhprof so  unused DT entry: DT RPATH (type 0xf arg 
0x1d2) (ignoring)
WARNING: linker: Warning:   data data net kdt pojavlaunch jre runtime lib aarch64 libhprof so  has unsupported flags DT FLAGS 1 0x81 (ignoring unsupported flags)
I jrelog  (12066): dlopen  data user 0 net kdt pojavlaunch jre runtime lib aarch64 libhprof so success
I jrelog  (12066): dlopen  data app net kdt pojavlaunch mPvJIlmLDs ALbgqwJqQUg   lib arm64 libopenal so success
I LIBGL   (12066): Initialising gl4es
I LIBGL   (12066): v1 1 5 built on Dec  2 2020 09:51:42
I LIBGL   (12066): Using GLES 2 0 backend
I LIBGL   (12066): loaded: libGLESv2 so
I LIBGL   (12066): loaded: libEGL so
I LIBGL   (12066): Using GLES 2 0 backend
I LIBGL   (12066): Hardware Full NPOT detected and used
I LIBGL   (12066): FBO are in core  and so used
I LIBGL   (12066): PointSprite are in core  and so used
I LIBGL   (12066): CubeMap are in core  and so used
I LIBGL   (12066): BlendColor is in core  and so used
I LIBGL   (12066): Blend Substract is in core  and so used
I LIBGL   (12066): Blend Function and Equation Separation is in core  and so used
I LIBGL   (12066): Texture Mirrored Repeat is in core  and so used
I LIBGL   (12066): Extension GL OES element index uint  detected and used
I LIBGL   (12066): Extension GL OES packed depth stencil  detected and used
I LIBGL   (12066): Extension GL OES depth24  detected and used
I LIBGL   (12066): Extension GL OES rgb8 rgba8  detected and used
I LIBGL   (12066): Extension GL EXT texture format BGRA8888  detected and used
I LIBGL   (12066): Extension GL OES depth texture  detected and used
I LIBGL   (12066): Extension GL OES texture stencil8  detected and used
I LIBGL   (12066): Extension GL OES texture float  detected and used
I LIBGL   (12066): Extension GL OES texture half float  detected and used
I LIBGL   (12066): Extension GL EXT color buffer float  detected and used
I LIBGL   (12066): Extension GL EXT color buffer half float  detected and used
I LIBGL   (12066): high precision float in fragment shader available and used
I LIBGL   (12066): Max vertex attrib: 16
I LIBGL   (12066): Extension GL OES standard derivatives  detected and used
I LIBGL   (12066): Max texture size: 16384
I LIBGL   (12066): Max Varying Vector: 31
I LIBGL   (12066): Texture Units: 16 16 (hardware: 16)  Max lights: 8  Max planes: 6
I LIBGL   (12066): Extension GL EXT texture filter anisotropic  detected and used
I LIBGL   (12066): Max Anisotropic filtering: 16
I LIBGL   (12066): Max Color Attachments: 1   Draw buffers: 1
I LIBGL   (12066): Hardware vendor is Qualcomm
I LIBGL   (12066): GLSL 300 es supported
I LIBGL   (12066): GLSL 310 es supported and used
I LIBGL   (12066): sRGB surface supported
I LIBGL   (12066): EGLImage to Texture2D supported
I LIBGL   (12066): EGLImage to RenderBuffer supported
I LIBGL   (12066): ignore MipMap
I LIBGL   (12066): Targeting OpenGL 2 1
I LIBGL   (12066): NPOT texture handled in hardware
I LIBGL   (12066): Not trying to batch small subsequent glDrawXXXX
I LIBGL   (12066): try to use VBO
I LIBGL   (12066): Force texture for Attachment color0 on FBO
I LIBGL   (12066): Hack to trigger a SwapBuffers when a Full Framebuffer Blit on default FBO is done
I LIBGL   (12066): Force normals to be normalized on FPE shaders
I LIBGL   (12066): glX Will try to recycle EGL Surface
I LIBGL   (12066): Current folder is: 
I jrelog  (12066): dlopen libgl4es 115 so success
I jrelog  (12066): Done processing args
I jrelog  (12066): Found JLI lib
I jrelog  (12066): Calling JLI Launch
OpenJDK 64 Bit Server VM warning: 
No monotonic clock was available   timed services may be adversely affected if the time of day clock changes
 LWJGL  Failed to load a library  Possible solutions:
	a) Add the directory that contains the shared library to  Djava library path or  Dorg lwjgl librarypath 
	b) Add the JAR that contains the shared library to the classpath 
 LWJGL  Enable debug mode with  Dorg lwjgl util Debug true for better diagnostics 
 LWJGL  Enable the SharedLibraryLoader debug mode with  Dorg lwjgl util DebugLoader true for better diagnostics 
 01:43:18   Client thread INFO : Setting user: Wacky Wars
 01:43:18   Client thread INFO : (Session ID is token:0:00000000 0000 0000 0000 000000000000)
 01:43:22   Client thread INFO : LWJGL Version: 3 2 3 SNAPSHOT
EGLBridge: Initializing
EGLBridge: Initialized 
EGLBridge: ThreadID 12176
EGLBridge: EGLDisplay 0x1  EGLSurface 0x7760c4b780
EGLBridge: Created CTX pointer   0x7760d40080
java lang Exception: Trace exception
	at org lwjgl glfw GLFW glfwMakeContextCurrent(GLFW java:965)
	at org lwjgl opengl ContextGL makeCurrent(ContextGL java:187)
	at org lwjgl opengl Display create(Display java:416)
	at org lwjgl opengl Display  clinit (Display java:89)
	at bsu ao(SourceFile:549)
	at bsu aj(SourceFile:350)
	at bsu a(SourceFile:299)
	at net minecraft client main Main main(SourceFile:120)
EGLBridge: Comparing: thr 12176  this 0x7760d40080  curr 0x0
EGLBridge: Making current on window 0x7760d40080 on thread 12176
EGLBridge: eglMakeCurrent() succeed 
7760d40080
I LIBGL   (12066): Initialising gl4es
I LIBGL   (12066): v1 1 5 built on Dec  2 2020 09:51:42
I LIBGL   (12066): Using GLES 2 0 backend
I LIBGL   (12066): loaded: libGLESv2 so
I LIBGL   (12066): loaded: libEGL so
I LIBGL   (12066): Using GLES 2 0 backend
I LIBGL   (12066): Hardware Full NPOT detected and used
I LIBGL   (12066): FBO are in core  and so used
I LIBGL   (12066): PointSprite are in core  and so used
I LIBGL   (12066): CubeMap are in core  and so used
I LIBGL   (12066): BlendColor is in core  and so used
I LIBGL   (12066): Blend Substract is in core  and so used
I LIBGL   (12066): Blend Function and Equation Separation is in core  and so used
I LIBGL   (12066): Texture Mirrored Repeat is in core  and so used
I LIBGL   (12066): Extension GL OES element index uint  detected and used
I LIBGL   (12066): Extension GL OES packed depth stencil  detected and used
I LIBGL   (12066): Extension GL OES depth24  detected and used
I LIBGL   (12066): Extension GL OES rgb8 rgba8  detected and used
I LIBGL   (12066): Extension GL EXT texture format BGRA8888  detected and used
I LIBGL   (12066): Extension GL OES depth texture  detected and used
I LIBGL   (12066): Extension GL OES texture stencil8  detected and used
I LIBGL   (12066): Extension GL OES texture float  detected and used
I LIBGL   (12066): Extension GL OES texture half float  detected and used
I LIBGL   (12066): Extension GL EXT color buffer float  detected and used
I LIBGL   (12066): Extension GL EXT color buffer half float  detected and used
I LIBGL   (12066): high precision float in fragment shader available and used
I LIBGL   (12066): Max vertex attrib: 16
I LIBGL   (12066): Extension GL OES standard derivatives  detected and used
I LIBGL   (12066): Max texture size: 16384
I LIBGL   (12066): Max Varying Vector: 31
I LIBGL   (12066): Texture Units: 16 16 (hardware: 16)  Max lights: 8  Max planes: 6
I LIBGL   (12066): Extension GL EXT texture filter anisotropic  detected and used
I LIBGL   (12066): Max Anisotropic filtering: 16
I LIBGL   (12066): Max Color Attachments: 1   Draw buffers: 1
I LIBGL   (12066): Hardware vendor is Qualcomm
I LIBGL   (12066): GLSL 300 es supported
I LIBGL   (12066): GLSL 310 es supported and used
I LIBGL   (12066): sRGB surface supported
I LIBGL   (12066): EGLImage to Texture2D supported
I LIBGL   (12066): EGLImage to RenderBuffer supported
I LIBGL   (12066): ignore MipMap
I LIBGL   (12066): Targeting OpenGL 2 1
I LIBGL   (12066): NPOT texture handled in hardware
I LIBGL   (12066): Not trying to batch small subsequent glDrawXXXX
I LIBGL   (12066): try to use VBO
I LIBGL   (12066): Force texture for Attachment color0 on FBO
I LIBGL   (12066): Hack to trigger a SwapBuffers when a Full Framebuffer Blit on default FBO is done
I LIBGL   (12066): Force normals to be normalized on FPE shaders
I LIBGL   (12066): glX Will try to recycle EGL Surface
I LIBGL   (12066): Current folder is: storage emulated 0 games PojavLauncher  minecraft
EGLBridge: Comparing: thr 12176  this 0x7760d40080  curr 0x0
EGLBridge: Making current on window 0x7760d40080 on thread 12176
EGLBridge: eglMakeCurrent() succeed 
Grab: false
java lang NullPointerException
	at org lwjgl system Pointer Default  init (Pointer java:88)
	at org lwjgl system CustomBuffer  init (CustomBuffer java:25)
	at org lwjgl system StructBuffer  init (StructBuffer java:20)
	at org lwjgl glfw GLFWImage Buffer  init (GLFWImage java:325)
	at org lwjgl opengl Display setIcon(Display java:948)
	at bsu ao(SourceFile:549)
	at bsu aj(SourceFile:350)
	at bsu a(SourceFile:299)
	at net minecraft client main Main main(SourceFile:120)
LWJGLX: switch fullscreen to true
EGLBridge: Created CTX pointer   0x77609de800
java lang Exception: Trace exception
	at org lwjgl glfw GLFW glfwMakeContextCurrent(GLFW java:965)
	at org lwjgl opengl ContextGL makeCurrent(ContextGL java:187)
	at org lwjgl opengl Display create(Display java:416)
	at org lwjgl opengl Display create(Display java:250)
	at bsu am(SourceFile:510)
	at bsu aj(SourceFile:352)
	at bsu a(SourceFile:299)
	at net minecraft client main Main main(SourceFile:120)
EGLBridge: Comparing: thr 12176  this 0x77609de800  curr 0x7760d40080
7760d40080
 01:43:23   Client thread INFO : Reloading ResourceManager: Default  Skin Changer
If on Windows  make sure to provide all of the necessary dll s as specified in the twitchsdk README  Also  make sure to set the PATH environment variable to point to the directory containing the dll s 
 01:43:24   Client thread ERROR : Couldn t initialize twitch stream
 01:43:24   Sound Library Loader INFO : Starting up SoundSystem   
 01:43:24   Thread 5 INFO : Initializing LWJGL OpenAL
 01:43:24   Thread 5 INFO : (The LWJGL binding of OpenAL   For more information  see http:  www lwjgl org)
 ALSOFT  (EE) Failed to set real time priority for thread: Operation not permitted (1)
 01:43:25   Thread 5 INFO : OpenAL initialized 
 01:43:25   Sound Library Loader INFO : Sound engine started
 01:43:30   Client thread INFO : Created: 512x512 textures atlas
 01:43:37   Client thread INFO : Deleting level 1 8
 01:43:37   Client thread INFO : Attempt 1   
 01:43:46   Server thread INFO : Starting integrated minecraft server version 1 8
 01:43:46   Server thread INFO : Generating keypair
 01:43:47   Server thread INFO : Converting map 
 01:43:47   Server thread INFO : Scanning folders   
 01:43:47   Server thread INFO : Total conversion count is 0
 01:43:48   Server thread INFO : Preparing start region for level 0
 01:43:49   Server thread INFO : Preparing spawn area: 4 
 01:43:50   Server thread INFO : Preparing spawn area: 7 
 01:43:51   Server thread INFO : Preparing spawn area: 11 
 01:43:52   Server thread INFO : Preparing spawn area: 16 
 01:43:53   Server thread INFO : Preparing spawn area: 21 
 01:43:54   Server thread INFO : Preparing spawn area: 26 
 01:43:55   Server thread INFO : Preparing spawn area: 32 
 01:43:56   Server thread INFO : Preparing spawn area: 37 
 01:43:57   Server thread INFO : Preparing spawn area: 43 
 01:43:58   Server thread INFO : Preparing spawn area: 48 
 01:43:59   Server thread INFO : Preparing spawn area: 54 
 01:44:00   Server thread INFO : Preparing spawn area: 59 
 01:44:01   Server thread INFO : Preparing spawn area: 66 
 01:44:02   Server thread INFO : Preparing spawn area: 72 
 01:44:03   Server thread INFO : Preparing spawn area: 79 
 01:44:04   Server thread INFO : Preparing spawn area: 86 
 01:44:05   Server thread INFO : Preparing spawn area: 92 
 01:44:06   Server thread INFO : Preparing spawn area: 97 
 01:44:06   Server thread INFO : Changing view distance to 6  from 10
 01:44:08   Server thread INFO : Wacky Wars local:E:5fa8b9c4  logged in with entity id 371 at (241 5  69 0  244 5)
 01:44:08   Server thread INFO : Pumasok si Wacky Wars sa laro
Grab: true
 01:44:09   pool 2 thread 1 WARN : Couldn t look up profile properties for com mojang authlib GameProfile 3ddb6736 id 00000000 0000 0000 0000 000000000000 name Wacky Wars properties    legacy false 
com mojang authlib exceptions AuthenticationUnavailableException: Cannot contact authentication server
	at com mojang authlib yggdrasil YggdrasilAuthenticationService makeRequest(YggdrasilAuthenticationService java:71)   authlib 1 5 21 jar:  
	at com mojang authlib yggdrasil YggdrasilMinecraftSessionService fillGameProfile(YggdrasilMinecraftSessionService java:175)  authlib 1 5 21 jar:  
	at com mojang authlib yggdrasil YggdrasilMinecraftSessionService 1 load(YggdrasilMinecraftSessionService java:59)  authlib 1 5 21 jar:  
	at com mojang authlib yggdrasil YggdrasilMinecraftSessionService 1 load(YggdrasilMinecraftSessionService java:56)  authlib 1 5 21 jar:  
	at com google common cache LocalCache LoadingValueReference loadFuture(LocalCache java:3524)  guava 17 0 jar:  
	at com google common cache LocalCache Segment loadSync(LocalCache java:2317)  guava 17 0 jar:  
	at com google common cache LocalCache Segment lockedGetOrLoad(LocalCache java:2280)  guava 17 0 jar:  
	at com google common cache LocalCache Segment get(LocalCache java:2195)  guava 17 0 jar:  
	at com google common cache LocalCache get(LocalCache java:3934)  guava 17 0 jar:  
	at com google common cache LocalCache getOrLoad(LocalCache java:3938)  guava 17 0 jar:  
	at com google common cache LocalCache LocalLoadingCache get(LocalCache java:4821)  guava 17 0 jar:  
	at com google common cache LocalCache LocalLoadingCache getUnchecked(LocalCache java:4827)  guava 17 0 jar:  
	at com mojang authlib yggdrasil YggdrasilMinecraftSessionService fillProfileProperties(YggdrasilMinecraftSessionService java:165)  authlib 1 5 21 jar:  
	at cvz run(SourceFile:105)  1 8 jar:  
	at java util concurrent Executors RunnableAdapter call(Executors java:511)   :1 8 0 internal 
	at java util concurrent FutureTask run(FutureTask java:266)   :1 8 0 internal 
	at java util concu
rrent ThreadPoolExecutor runWorker(ThreadPoolExecutor java:1149)   :1 8 0 internal 
	at java util concurrent ThreadPoolExecutor Worker run(ThreadPoolExecutor java:624)   :1 8 0 internal 
	at java lang Thread run(Thread java:748)   :1 8 0 internal 
Caused by: java net UnknownHostException: sessionserver mojang com
	at java net AbstractPlainSocketImpl connect(AbstractPlainSocketImpl java:184)    :1 8 0 internal 
	at java net SocksSocketImpl connect(SocksSocketImpl java:392)    :1 8 0 internal 
	at java net Socket connect(Socket java:607)    :1 8 0 internal 
	at sun security ssl SSLSocketImpl connect(SSLSocketImpl java:284)    :1 8 0 internal 
	at sun net NetworkClient doConnect(NetworkClient java:175)    :1 8 0 internal 
	at sun net www http HttpClient openServer(HttpClient java:463)    :1 8 0 internal 
	at sun net www http HttpClient openServer(HttpClient java:558)    :1 8 0 internal 
	at sun net www protocol https HttpsClient  init (HttpsClient java:264)    :1 8 0 internal 
	at sun net www protocol https HttpsClient New(HttpsClient java:367)    :1 8 0 internal 
	at sun net www protocol https AbstractDelegateHttpsURLConnection getNewHttpClient(AbstractDelegateHttpsURLConnection java:191)    :1 8 0 internal 
	at sun net www protocol http HttpURLConnection plainConnect0(HttpURLConnection java:1205)    :1 8 0 internal 
	at sun net www protocol http HttpURLConnection plainConnect(HttpURLConnection java:1056)    :1 8 0 internal 
	at sun net www protocol https AbstractDelegateHttpsURLConnection connect(AbstractDelegateHttpsURLConnection java:177)    :1 8 0 internal 
	at sun net www protocol http HttpURLConnection getInputStream0(HttpURLConnection java:1570)    :1 8 0 internal 
	at sun net www protocol http HttpURLConnection getInputStream(HttpURLConnection java:1498)    :1 8 0 internal 
	at sun net www protocol https HttpsURLConnectionImpl getInputStream(HttpsURLConnectionImpl java:268)    :1 8 0 internal 
	at com mojang authlib HttpAuthenticationService performGetRequest(HttpAuthenticationService java:126)   authlib 1
 5 21 jar:  
	at com mojang authlib yggdrasil YggdrasilAuthenticationService makeRequest(YggdrasilAuthenticationService java:54)   authlib 1 5 21 jar:  
	    18 more
 01:44:12   Server thread WARN : Can t keep up  Did the system time change  or is the server overloaded  Running 2177ms behind  skipping 43 tick(s)
 01:44:12   Client thread ERROR : Item entity 2335 has no item  
 01:44:12   Client thread ERROR : Item entity 2335 has no item  
 01:44:35   Client thread ERROR :            GL ERROR           
 01:44:35   Client thread ERROR :   Post render
 01:44:35   Client thread ERROR : 1282: Invalid operation
 01:44:35   Client thread ERROR :            GL ERROR           
 01:44:35   Client thread ERROR :   Post render
 01:44:35   Client thread ERROR : 1282: Invalid operation
 01:44:35   Client thread ERROR :            GL ERROR           
 01:44:35   Client thread ERROR :   Post render
 01:44:35   Client thread ERROR : 1282: Invalid operation
 01:44:35   Client thread ERROR :            GL ERROR           
 01:44:35   Client thread ERROR :   Post render
 01:44:35   Client thread ERROR : 1282: Invalid operation
 01:44:35   Client thread ERROR :            GL ERROR           
 01:44:35   Client thread ERROR :   Post render
 01:44:35   Client thread ERROR : 1282: Invalid operation
 01:44:35   Client thread ERROR :            GL ERROR           
 01:44:35   Client thread ERROR :   Post render
 01:44:35   Client thread ERROR : 1282: Invalid operation
 01:44:35   Client thread ERROR :            GL ERROR           
 01:44:35   Client thread ERROR :   Post render
 01:44:35   Client thread ERROR : 1282: Invalid operation
 01:44:35   Client thread ERROR :            GL ERROR           
 01:44:35   Client thread ERROR :   Post render
 01:44:35   Client thread ERROR : 1282: Invalid operation
 01:44:35   Client thread ERROR :            GL ERROR           
 01:44:35   Client thread ERROR :   Post render
 01:44:35   Client thread ERROR : 1282: Invalid operation
 01:44:35   Client thread ERROR :            GL ERROR           
 01:44:35   Client thread ERROR :   Post render
 01:44:35   Client thread ERROR : 1282: Inv</t>
  </si>
  <si>
    <t>TeamNewPipe-NewPipe-6519</t>
  </si>
  <si>
    <t>reCAPTCHA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</si>
  <si>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it shows  recaptcha challenge requested  when I open the video_x000D_
It just crashes when I press solve_x000D_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US_x000D_
    Content Language:   en US_x000D_
    App Language:   en US_x000D_
    Service:   none_x000D_
    Version:   0 21 5_x000D_
    OS:   Linux Android 9   28_x000D_
 details  summary  b Crash log   b   summary  p _x000D_
_x000D_
   _x000D_
java lang IllegalArgumentException: reasonPhrase can t be empty _x000D_
	at android webkit WebResourceResponse setStatusCodeAndReasonPhrase(WebResourceResponse java:139)_x000D_
	at android webkit WebResourceResponse  init (WebResourceResponse java:77)_x000D_
	at xH a(SourceFile:286)_x000D_
	at ayK handleMessage(SourceFile:67)_x000D_
	at android os Handler dispatchMessage(Handler java:106)_x000D_
	at android os Looper loop(Looper java:214)_x000D_
	at android app ActivityThread main(ActivityThread java:7050)_x000D_
	at java lang reflect Method invoke(Native Method)_x000D_
	at com android internal os RuntimeInit MethodAndArgsCaller run(RuntimeInit java:494)_x000D_
	at com android internal os ZygoteInit main(ZygoteInit java:965)_x000D_
_x000D_
   _x000D_
  details _x000D_
 hr _x000D_
_x000D_
     That s right  here     _x000D_
_x000D_
_x000D_
_x000D_
     Please fill this out when you do not provide a log generate by NewPipe    _x000D_
_x000D_
    Device info_x000D_
_x000D_
   Android version Custom ROM version:_x000D_
   Device model:_x000D_
</t>
  </si>
  <si>
    <t>TeamNewPipe-NewPipe-6514</t>
  </si>
  <si>
    <t>Can't watch age restricted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</si>
  <si>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Try to open https:  m youtube com watch v G4wt 4Bx3Cg_x000D_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 got this when a try to watch something with age restriction  Sorry  something went wrong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watch v G4wt 4Bx3Cg_x000D_
    Content Country:   US_x000D_
    Content Language:   en_x000D_
    App Language:   en_x000D_
    Service:   YouTube_x000D_
    Version:   0 21 5_x000D_
    OS:   Linux Android 7 0   24_x000D_
 details  summary  b Crash log   b   summary  p _x000D_
_x000D_
   _x000D_
java lang NullPointerException: Attempt to invoke virtual method  int java lang String length()  on a null object reference_x000D_
	at java io StringReader  init (StringReader java:50)_x000D_
	at com grack nanojson JsonParser JsonParserContext from(Unknown Source)_x000D_
	at org schabi newpipe extractor services youtube extractors YoutubeStreamExtractor fetchVideoInfoPage(YoutubeStreamExtractor java:802)_x000D_
	at org schabi newpipe extractor services youtube extractors YoutubeStreamExtractor onFetchPage(YoutubeStreamExtractor java:731)_x000D_
	at org schabi newpipe extractor Extractor fetchPage(Extractor java:54)_x000D_
	at org schabi newpipe extractor stream StreamInfo getInfo(StreamInfo java:68)_x000D_
	at org schabi newpipe extractor stream StreamInfo getInfo(StreamInfo java:64)_x000D_
	at org schabi newpipe util ExtractorHelper lambda getStreamInfo 3(ExtractorHelper java:115)_x000D_
	at org schabi newpipe util    Lambda ExtractorHelper YTHJjScxCJNO1LTCqs3IKy35iyY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_x000D_
   _x000D_
  details _x000D_
 hr _x000D_
_x000D_
_x000D_
     Please fill this out when you do not provide a log generate by NewPipe    _x000D_
_x000D_
_x000D_
</t>
  </si>
  <si>
    <t>nextcloud-android-8600</t>
  </si>
  <si>
    <t>Crash on app opening</t>
  </si>
  <si>
    <t xml:space="preserve">    Steps to reproduce_x000D_
1  open app _x000D_
_x000D_
    Expected behaviour_x000D_
  App should show files list_x000D_
_x000D_
    Actual behaviour_x000D_
  App crashes with the following message:_x000D_
_x000D_
   _x000D_
             CAUSE OF ERROR             _x000D_
_x000D_
java lang RuntimeException: Unable to start activity ComponentInfo com nextcloud client com owncloud android ui activity FileDisplayActivity : java lang IllegalStateException: Couldn t read row 0  col 3 from CursorWindow   Make sure the Cursor is initialized correctly before accessing data from it _x000D_
	at android app ActivityThread performLaunchActivity(ActivityThread java:2821)_x000D_
	at android app ActivityThread handleLaunchActivity(ActivityThread java:2899)_x000D_
	at android app ActivityThread  wrap11(Unknown Source:0)_x000D_
	at android app ActivityThread H handleMessage(ActivityThread java:1625)_x000D_
	at android os Handler dispatchMessage(Handler java:106)_x000D_
	at android os Looper loop(Looper java:164)_x000D_
	at android app ActivityThread main(ActivityThread java:6558)_x000D_
	at java lang reflect Method invoke(Native Method)_x000D_
	at com android internal os RuntimeInit MethodAndArgsCaller run(RuntimeInit java:469)_x000D_
	at com android internal os ZygoteInit main(ZygoteInit java:826)_x000D_
Caused by: java lang IllegalStateException: Couldn t read row 0  col 3 from CursorWindow   Make sure the Cursor is initialized correctly before accessing data from it _x000D_
	at android database CursorWindow nativeGetString(Native Method)_x000D_
	at android database CursorWindow getString(CursorWindow java:438)_x000D_
	at android database AbstractWindowedCursor getString(AbstractWindowedCursor java:51)_x000D_
	at android database CursorWrapper getString(CursorWrapper java:137)_x000D_
	at com owncloud android datamodel FileDataStorageManager createFileInstance(FileDataStorageManager java:982)_x000D_
	at com owncloud android datamodel FileDataStorageManager getFileByPath(FileDataStorageManager java:125)_x000D_
	at com owncloud android datamodel FileDataStorageManager getFileByEncryptedRemotePath(FileDataStorageManager java:112)_x000D_
	at com owncloud android datamodel FileDataStorageManager getFileByPath(FileDataStorageManager java:108)_x000D_
	at com owncloud android ui activity FileDisplayActivity onStart(FileDisplayActivity java:2403)_x000D_
	at android app Instrumentation callActivityOnStart(Instrumentation java:1335)_x000D_
	at android app Activity performStart(Activity java:7276)_x000D_
	at android app ActivityThread performLaunchActivity(ActivityThread java:2784)_x000D_
	    9 more_x000D_
   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_x000D_
             APP INFORMATION             _x000D_
ID: com nextcloud client_x000D_
Version: 30160190_x000D_
Build flavor: generic_x000D_
_x000D_
             DEVICE INFORMATION             _x000D_
Brand: blackberry_x000D_
Device: bbf100_x000D_
Model: BBF100 6_x000D_
Id: OPM1 171019 026_x000D_
Product: bbf100dsglobal_x000D_
_x000D_
             FIRMWARE             _x000D_
SDK: 27_x000D_
Release: 8 1 0_x000D_
Incremental: ACQ160_x000D_
   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</si>
  <si>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MuntashirAkon-AppManager-483</t>
  </si>
  <si>
    <t>Net Policy Crashed</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</si>
  <si>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change net policy of wireless setting app will auto crash _x000D_
_x000D_
  To Reproduce  _x000D_
Steps to reproduce the behaviour:_x000D_
1  open AM and find wireless setting apps_x000D_
2  Click that app and try change the net policy_x000D_
3  AM will crash but instantly take me back to main menu_x000D_
_x000D_
_x000D_
  Expected behavior  _x000D_
it should work_x000D_
_x000D_
  Screenshots  _x000D_
_x000D_
_x000D_
  Crash logs  _x000D_
   _x000D_
java lang IllegalArgumentException: cannot apply policy to UID 1000_x000D_
    at android os Parcel createException(Parcel java:2091)_x000D_
    at android os Parcel readException(Parcel java:2055)_x000D_
    at android os Parcel readException(Parcel java:2003)_x000D_
    at android net INetworkPolicyManager Stub Proxy setUidPolicy(INetworkPolicyManager java:578)_x000D_
    at io github muntashirakon AppManager servermanager NetworkPolicyManagerCompat setUidPolicy(NetworkPolicyManagerCompat java:36)_x000D_
    at io github muntashirakon AppManager details info AppInfoFragment lambda onOptionsItemSelected 20 AppInfoFragment(AppInfoFragment java:456)_x000D_
    at io github muntashirakon AppManager details info    Lambda AppInfoFragment GhDZFUXxSUY94wl46ox41RfCDLI onClick(Unknown Source:4)_x000D_
    at androidx appcompat app AlertController ButtonHandler handleMessage(AlertController java:167)_x000D_
    at android os Handler dispatchMessage(Handler java:107)_x000D_
    at android os Looper loop(Looper java:238)_x000D_
    at android app ActivityThread main(ActivityThread java:7853)_x000D_
    at java lang reflect Method invoke(Native Method)_x000D_
    at com android internal os RuntimeInit MethodAndArgsCaller run(RuntimeInit java:492)_x000D_
    at com android internal os ZygoteInit main(ZygoteInit java:984)_x000D_
 Caused by: android os RemoteException: Remote stack trace:_x000D_
	at com android server net NetworkPolicyManagerService setUidPolicy(NetworkPolicyManagerService java:2697)_x000D_
	at android net INetworkPolicyManager Stub onTransact(INetworkPolicyManager java:279)_x000D_
	at android os Binder execTransactInternal(Binder java:1021)_x000D_
	at android os Binder execTransact(Binder java:994)_x000D_
   _x000D_
_x000D_
  Device Info  _x000D_
App version: 2 6 0_x000D_
App version code: 385_x000D_
Android build version: 1608537052_x000D_
Android release version: 10_x000D_
Android SDK version: 29_x000D_
Android build ID: RMX2030EX 11 C 67_x000D_
Device brand: realme_x000D_
Device manufacturer: realme_x000D_
Device name: RMX2030_x000D_
Device model: RMX2030_x000D_
Device product name: RMX2030_x000D_
Device hardware name: qcom_x000D_
ABIs:  arm64 v8a  armeabi v7a  armeabi _x000D_
ABIs (32bit):  armeabi v7a  armeabi _x000D_
ABIs (64bit):  arm64 v8a _x000D_
System language: id ID_x000D_
In App Language: auto_x000D_
Mode: adb_x000D_
_x000D_
  Device info  _x000D_
   Device: Realme 5i_x000D_
   OS Version: Android 10 Realme UI 1 0 _x000D_
   App Manager Version: 2 6 0_x000D_
   Mode: adb_x000D_
_x000D_
  Additional context  _x000D_
disclaimer idk this AM bug or caused by android system restriction and based on my test this bug happend only on this app </t>
  </si>
  <si>
    <t>nikita36078-J2ME-Loader-802</t>
  </si>
  <si>
    <t>NokiaUI default pixel format causes issues on "Virtual Me"</t>
  </si>
  <si>
    <t xml:space="preserve">  Emulator version:  _x000D_
  1 0 7 open  _x000D_
_x000D_
  Game version:  _x000D_
Tested on   v0 14   and   v0 17  _x000D_
_x000D_
  Game resolution:  _x000D_
  128x128  _x000D_
_x000D_
  Device:  _x000D_
  Samsung SM G357FZ  _x000D_
_x000D_
  Android version:  _x000D_
Android 4 4 4_x000D_
_x000D_
  Description of the issue:  _x000D_
The game crashes upon entering a new game  with the following error:_x000D_
   _x000D_
E ACRA    (27210): ACRA caught a IllegalArgumentException for ru playsoftware j2meloader_x000D_
E ACRA    (27210): java lang IllegalArgumentException: Illegal format: 8888_x000D_
E ACRA    (27210):     at com nokia mid ui DirectGraphicsImp getPixels(DirectGraphicsImp java:18)_x000D_
E ACRA    (27210):     at com nokia mid appl vime b j(Unknown Source)_x000D_
E ACRA    (27210):     at com nokia mid appl vime VirtualMeMidlet k(Unknown Source)_x000D_
E ACRA    (27210):     at com nokia mid appl vime NGameMidlet t(Unknown Source)_x000D_
E ACRA    (27210):     at com nokia mid appl vime g run(Unknown Source)_x000D_
E ACRA    (27210):     at java util Timer TimerImpl run(Timer java:284)_x000D_
   _x000D_
The game directly uses the pixel format returned by   com nokia mid ui getNativePixelFormat()   when calling the   com nokia mid ui getPixels(short     )   functions  without checking whether it is a short based format _x000D_
The TYPE INT 8888 ARGB value returned by J2ME Loader as the native pixel format causes the game to crash  as it is not supported by the getPixels(short     ) function _x000D_
_x000D_
This issue also occurs on real Nokia devices with higher screen depths _x000D_
An option to choose the default pixel format could help solving this  but it would likely bloat the menus with a feature unuseful for vast majority of games  Is this worth fixing at J2ME Loader s side or should the game just get patched instead _x000D_
_x000D_
Thank you </t>
  </si>
  <si>
    <t>TeamNewPipe-NewPipe-6509</t>
  </si>
  <si>
    <t>Crash on attempt to enable Repeat function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</si>
  <si>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I just tried to enable the repeat button_x000D_
2  Press on repeat button_x000D_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Crash _x000D_
_x000D_
_x000D_
    Expected behavior_x000D_
     Tell us what you expect to happen     _x000D_
Enable repeat function (last checked working just fine on 0 21 2)_x000D_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Logs_x000D_
     If your bug includes a crash (where you re shown the Error Report page with a bunch of info)  tap on  Copy formatted report  at the bottom and paste it here:    _x000D_
_x000D_
   Exception_x000D_
    User Action:   ui error_x000D_
    Request:   ACRA report_x000D_
    Content Country:   BR_x000D_
    Content Language:   pt BR_x000D_
    App Language:   pt BR_x000D_
    Service:   none_x000D_
    Version:   0 21 5_x000D_
    OS:   Linux Android 5 1 1   22_x000D_
 details  summary  b Cr_x000D_
_x000D_
     That s right  here     _x000D_
_x000D_
     Please fill this out when you do not provide a log generate by NewPipe    _x000D_
_x000D_
    Device info_x000D_
_x000D_
   Android version Custom ROM version:_x000D_
   Device model:_x000D_
</t>
  </si>
  <si>
    <t>Anuken-Mindustry-5434</t>
  </si>
  <si>
    <t>my account data is corrupted daily.</t>
  </si>
  <si>
    <t xml:space="preserve">  Platform  :windows 10 64x_x000D_
_x000D_
  Build  :126 2_x000D_
_x000D_
  Issue  : my account data is getting lost daily  (including campaign and tech tree)_x000D_
_x000D_
  Steps to reproduce  :i have no idea_x000D_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</si>
  <si>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IanPeake-FatMaxxer-4</t>
  </si>
  <si>
    <t>App crash</t>
  </si>
  <si>
    <t xml:space="preserve">Hi _x000D_
_x000D_
I try the app in 2 android smartphones  in one the app open but after 3 seconds close (Samsung A52) and in other crash immediately (Huawei Mate 20 Pro) both with android 11 </t>
  </si>
  <si>
    <t>TeamNewPipe-NewPipe-6508</t>
  </si>
  <si>
    <t>[LOW] Typo</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</si>
  <si>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5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Open NewPipe for SoundCloud
2  Find a track that was posted 1 month ago
3  Experience the typo as seen in the screenshots
     If you can t cause the bug to show up again reliably (and hence don t have a proper set of steps to give us)  please still try to give as many details as possible on how you think you encountered the bug     
    Actual behaviour
     Tell us what happens with the steps given above     
Shows  Monatn  (comparable with  monhs ) instead of  Monaten  (months) 
    Expected behavior
     Tell us what you expect to happen     
Show  Monaten  (months) instead of  Monatn  (comparable with  monhs ) 
    Screenshots Screen recordings
  Screenshot 20210617 180139 NewPipe png (https:  user images githubusercontent com 17967646 122434439 a114e300 cf86 11eb 8295 e5de27f344d7 png)
  Screenshot 20210617 180547 NewPipe png (https:  user images githubusercontent com 17967646 122434457 a5d99700 cf86 11eb 8955 b9a0be9531b1 png)
    Logs
     If your bug includes a crash (where you re shown the Error Report page with a bunch of info)  tap on  Copy formatted report  at the bottom and paste it here:    
Nothing here but the chirping of the crickets    ( )   
     Please fill this out when you do not provide a log generate by NewPipe    
    Device info
   Android version Custom ROM version: crDroid 7 6 (based on Android 11)
   Device model: OnePlus A6013 (OnePlus 6T)
</t>
  </si>
  <si>
    <t>hzi-braunschweig-SORMAS-Project-5849</t>
  </si>
  <si>
    <t>EventParticipantDao.getByCase has a wrong database call</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</si>
  <si>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Mandatory    _x000D_
EventParticipantDao getByCase:89 contains this code:_x000D_
_x000D_
   _x000D_
return queryBuilder() where()_x000D_
				 eq(EventParticipant RESULTING CASE UUID     id   caze)_x000D_
   _x000D_
_x000D_
This results in a crash because the check is incorrect   id shouldn t be appended to RESULTING CASE UUID and the equality check should be for caze getUuid() instead of caze </t>
  </si>
  <si>
    <t>TeamNewPipe-NewPipe-6507</t>
  </si>
  <si>
    <t>Comments dont load from EU, but via US VPN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</si>
  <si>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Video you wanna read comments_x000D_
2  Scroll swipe to comments section_x000D_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Error  no comments_x000D_
_x000D_
It also fails when using a VPN via NL  When switching to US it works fine  After using US  it works without proxy for a while  but after clearing cache or a certain timeout it stops working again  That s why I suspect a cookie issue _x000D_
_x000D_
See  6506 _x000D_
_x000D_
    Expected behavior_x000D_
     Tell us what you expect to happen     _x000D_
comments load_x000D_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comments_x000D_
  Request: Start loading: https:  www youtube com watch v msQPZuM0xlo_x000D_
  Content Country: DE_x000D_
  Content Language: de_x000D_
  App Language: de DE_x000D_
  Service: YouTube_x000D_
  Version: 0 21 5_x000D_
  OS: Linux Android 8 1 0   27_x000D_
 details  summary  b Crash log   b   summary  p _x000D_
_x000D_
_x000D_
org schabi newpipe extractor utils Parser RegexException: failed to find pattern  INNERTUBE CONTEXT CLIENT NAME  :(   )     _x000D_
 at org schabi newpipe extractor utils Parser matchGroup(Parser java:74)_x000D_
 at org schabi newpipe extractor utils Parser matchGroup1(Parser java:58)_x000D_
 at org schabi newpipe extractor services youtube extractors YoutubeCommentsExtractor onFetchPage(YoutubeCommentsExtractor java:137)_x000D_
 at org schabi newpipe extractor Extractor fetchPage(Extractor java:54)_x000D_
 at org schabi newpipe extractor comments CommentsInfo getInfo(CommentsInfo java:34)_x000D_
 at org schabi newpipe extractor comments CommentsInfo getInfo(CommentsInfo java:25)_x000D_
 at org schabi newpipe util ExtractorHelper lambda getCommentsInfo 7(ExtractorHelper java:154)_x000D_
 at org schabi newpipe util    Lambda ExtractorHelper 60N  UL7E5eaxFaFO1bZZmnfwM8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_x000D_
_x000D_
  details _x000D_
 hr _x000D_
_x000D_
</t>
  </si>
  <si>
    <t>PojavLauncherTeam-PojavLauncher-1554</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</si>
  <si>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_x000D_
I am playing then I add open4es shader then after that the game crashed _x000D_
_x000D_
  Add a log file if you want to see your bug fixed    _x000D_
_x000D_
     Minecraft Crash Report     _x000D_
   Who set us up the TNT _x000D_
_x000D_
Time: 6 17 21 9:40 AM_x000D_
Description: Unexpected error_x000D_
_x000D_
java lang NoSuchMethodError: org lwjgl opengl ARBVertexShader glVertexAttribPointerARB(IIZZILjava nio ShortBuffer )V_x000D_
	at shadersmod client ShadersTess preDrawArray(ShadersTess java:168)_x000D_
	at shadersmod client ShadersTess draw(ShadersTess java:109)_x000D_
	at bmh a(Tessellator java:169)_x000D_
	at bno a(Render java:304)_x000D_
	at blo a(WorldRenderer java:205)_x000D_
	at bma a(RenderGlobal java:2382)_x000D_
	at blt a(EntityRenderer java:1657)_x000D_
	at blt b(EntityRenderer java:1392)_x000D_
	at bao ak(SourceFile:801)_x000D_
	at bao f(SourceFile:728)_x000D_
	at net minecraft client main Main main(SourceFile:148)_x000D_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Head   _x000D_
Stacktrace:_x000D_
	at shadersmod client ShadersTess preDrawArray(ShadersTess java:168)_x000D_
	at shadersmod client ShadersTess draw(ShadersTess java:109)_x000D_
	at bmh a(Tessellator java:169)_x000D_
	at bno a(Render java:304)_x000D_
	at blo a(WorldRenderer java:205)_x000D_
	at bma a(RenderGlobal java:2382)_x000D_
	at blt a(EntityRenderer java:1657)_x000D_
_x000D_
   Affected level   _x000D_
Details:_x000D_
	Level name: MpServer_x000D_
	All players: 1 total   bjk  PlayerLancE  739  l  MpServer   x 279 32  y 65 62  z 289 19  _x000D_
	Chunk stats: MultiplayerChunkCache: 35  44_x000D_
	Level seed: 0_x000D_
	Level generator: ID 00   default  ver 1  Features enabled: false_x000D_
	Level generator options: _x000D_
	Level spawn location: World: (252 64 252)  Chunk: (at 12 4 12 in 15 15  contains blocks 240 0 240 to 255 255 255)  Region: (0 0  contains chunks 0 0 to 31 31  blocks 0 0 0 to 511 255 511)_x000D_
	Level time: 851 game time  851 day time_x000D_
	Level dimension: 0_x000D_
	Level storage version: 0x00000   Unknown _x000D_
	Level weather: Rain time: 0 (now: false)  thunder time: 0 (now: false)_x000D_
	Level game mode: Game mode: creative (ID 1)  Hardcore: false  Cheats: false_x000D_
	Forced entities: 48 total   yq  Zombie  1046  l  MpServer   x 241 50  y 15 00  z 328 50   ya  Enderman  2605  l  MpServer   x 270 75  y 40 33  z 230 31   yn  Spider  1073  l  MpServer   x 247 42  y 34 05  z 336 39   yl  Skeleton  1076  l  MpServer   x 319 50  y 29 00  z 250 50   yl  Skeleton  1077  l  MpServer   x 319 50  y 29 00  z 252 50   yq  Zombie  1081  l  MpServer   x 259 50  y 41 00  z 305 50   we  Bat  832  l  MpServer   x 256 53  y 46 55  z 302 27   ws  Squid  833  l  MpServer   x 250 50  y 60 97  z 333 91   ws  Squid  834  l  MpServer   x 245 81  y 60 91  z 334 47   yq  Zombie  837  l  MpServer   x 269 50  y 35 61  z 236 50   ws  Squid  839  l  MpServer   x 245 19  y 61 31  z 317 31   ws  Squid  840  l  MpServer   x 240 50  y 61 28  z 313 47   ws  Squid  841  l  MpServer   x 242 59  y 60 69  z 318 56   ws  Squid  842  l  MpServer   x 243 50  y 58 97  z 315 78   we  Bat  847  l  MpServer   x 269 75  y 38 14  z 224 16   yn  Spider  1103  l  MpServer   x 246 29  y 34 35  z 339 32   yl  Skeleton  1104  l  MpServer   x 246 29  y 34 53  z 339 32   xk  item item seeds  1106  l  MpServer   x 281 19  y 63 13  z 276 88   yl  Skeleton  1109  l  MpServer   x 227 50  y 44 00  z 288 50   yq  Zombie  1110  l  MpServer   x 257 00  y 44 00  z 299 44   yq  Zombie  1111  l  MpServer   x 264 50  y 41 00  z 303 50   yq  Zombie  1112  l  MpServer   x 264 50  y 34 16  z 228 50   we  Bat  2648  l  MpServer   x 314 54  y 29 00  z 278 54   yq  Zombie  1118  l  MpServer   x 263 50  y 34 16  z 229 50   yq  Zombie  2663  l  MpServer   x 240 50  y 48 00  z 301 50   yq  Zombie  2664  l  MpServer   x 235 50  y 48 00  z 301 50   yq  Zombie  2665  l  MpServer   x 235 50  y 48 00  z 298 50   yq  Zombie  1133  l  MpServer   x 224 50  y 9 35  z 236 50   yq  Zombie  1135  l  MpServer   x 228 50  y 9 35  z 237 50   yq  Zombie  1136  l  MpServer   x 224 50  y 13 00  z 240 50   ya  Enderman  1222  l  MpServer   x 273 47  y 39 33  z 233 34   yl  Skeleton  986  l  MpServer   x 287 50  y 34 91  z 227 50   yq  Zombie  740  l  MpServer   x 237 50  y 51 00  z 303 50   bjk  PlayerLancE  739  l  MpServer   x 279 32  y 65 62  z 289 19   xz  Creeper  743  l  MpServer   x 291 56  y 28 42  z 238 22   xz  Creeper  1255  l  MpServer   x 232 50  y 25 00  z 305 50   xz  Creeper  744  l  MpServer   x 281 56  y 31 00  z 244 69   xz  Creeper  745  l  MpServer   x 281 72  y 31 42  z 231 84   xz  Creeper  1257  l  MpServer   x 230 50  y 25 00  z 307 50   xz  Creeper  746  l  MpServer   x 291 50  y 28 42  z 235 50   xz  Creeper  1258  l  MpServer   x 224 34  y 25 00  z 309 50   xz  Creeper  1259  l  MpServer   x 236 50  y 25 00  z 305 50   we  Bat  1004  l  MpServer   x 266 91  y 35 66  z 226 44   we  Bat  1014  l  MpServer   x 282 58  y 12 61  z 311 40   wg  Chicken  248  l  MpServer   x 318 50  y 63 00  z 259 50   wg  Chicken  249  l  MpServer   x 316 50  y 64 00  z 257 50   wg  Chicken  250  l  MpServer   x 317 50  y 63 00  z 257 50   yl  Skeleton  1023  l  MpServer   x 269 50  y 16 00  z 244 50  _x000D_
	Retry entities: 0 total    _x000D_
	Server brand: vanilla_x000D_
	Server type: Integrated singleplayer server_x000D_
Stacktrace:_x000D_
	at bjf a(WorldClient java:425)_x000D_
	at bao b(SourceFile:1972)_x000D_
	at bao f(SourceFile:742)_x000D_
	at net minecraft client main Main main(SourceFile:148)_x000D_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System Details   _x000D_
Details:_x000D_
	Minecraft Version: 1 7 10_x000D_
	Operating System: Linux (aarch64) version Android 8 1 0_x000D_
	Java Version: 1 8 0 internal  Oracle Corporation_x000D_
	Java VM Version: OpenJDK 64 Bit Server VM (mixed mode)  Oracle Corporation_x000D_
	Memory: 730896320 bytes (697 MB)   979369984 bytes (934 MB) up to 979369984 bytes (934 MB)_x000D_
	JVM Flags: 3 total   Xms1000M  Xmx1000M  Xbootclasspath a: storage emulated 0 games PojavLauncher caciocavallo ResConfHack jar: storage emulated 0 games PojavLauncher caciocavallo cacio androidnw 1 10 SNAPSHOT jar: storage emulated 0 games PojavLauncher caciocavallo cacio shared 1 10 SNAPSHOT jar_x000D_
	AABB Pool Size: 0 (0 bytes  0 MB) allocated  0 (0 bytes  0 MB) used_x000D_
	IntCache: cache: 0  tcache: 0  allocated: 13  tallocated: 95_x000D_
	Launched Version: 1 7 10_x000D_
	LWJGL: 3 2 3 SNAPSHOT_x000D_
	OpenGL: GL4ES wrapper GL version 2 1 gl4es wrapper 1 1 5  ptitSeb_x000D_
	GL Caps: Using GL 1 3 multitexturing _x000D_
Using framebuffer objects because ARB framebuffer object is supported and separate blending is supported _x000D_
Anisotropic filtering is supported and maximum anisotropy is 16 _x000D_
Shaders are available because OpenGL 2 1 is supported _x000D_
_x000D_
	Is Modded: Very likely  Jar signature invalidated_x000D_
	Type: Client (map client txt)_x000D_
	Resource Packs:   _x000D_
	Current Language: English (US)_x000D_
	Profiler Position: N A (disabled)_x000D_
	Vec3 Pool Size: 0 (0 bytes  0 MB) allocated  0 (0 bytes  0 MB) used_x000D_
	Anisotropic Filtering: Off (1)_x000D_
	OptiFine Version: OptiFine 1 7 10 HD U E7_x000D_
	Render Distance Chunks: 2_x000D_
	Mipmaps: 0_x000D_
	Anisotropic Filtering: 1_x000D_
	Antialiasing: 0_x000D_
	Multitexture: false_x000D_
	Shaders: Open4Es Shader Android 1 1 Beta2 zip_x000D_
	OpenGlVersion: 2 1 gl4es wrapper 1 1 5_x000D_
	OpenGlRenderer: GL4ES wrapper_x000D_
	OpenGlVendor: ptitSeb_x000D_
	CpuCount: 4_x000D_
The log file called  latestlog txt  is located under   Android data net kdt pojavlaunch files      games PojavLauncher    or   games PojavLauncher  minecraft    _x000D_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2  Launch 1 7 10_x000D_
3  Play_x000D_
4  I add shader to make my world beautiful _x000D_
5  the game crashed_x000D_
_x000D_
    Expected behavior:_x000D_
I expected when I add shaders in my world it will not crash _x000D_
_x000D_
    Screenshots or videos:_x000D_
 Upload here screenshots or videos of the buggy behavior  if possible  _x000D_
_x000D_
  Platform:  _x000D_
   Device Model  e g  Mi 8 Pro 8 128  CPH1853_x000D_
   CPU architecture  e g  aarch64  aarch64_x000D_
   Android Version  e g  10  8 1_x000D_
   PojavLauncher Version  e g Latest Release    version 3 3 1 1 rel 20210206  _x000D_
_x000D_
_x000D_
 details   summary  b Additional context  b   summary _x000D_
 br _x000D_
 pre _x000D_
Why thers so many problems _x000D_
  pre _x000D_
  details _x000D_
</t>
  </si>
  <si>
    <t>TeamNewPipe-NewPipe-6500</t>
  </si>
  <si>
    <t>"Show info" and "Video player" work the same for shared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</si>
  <si>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Actual behaviour_x000D_
     Tell us what happens with the steps given above     _x000D_
_x000D_
Unfortunately   Show info  option in  Preferred  Open  Action  is useless for videos  Videos tend to start according to  Auto play  setting  However   Video player  option works the same  According to me   Show Info  option should not start playback automatically _x000D_
_x000D_
    Expected behavior_x000D_
     Tell us what you expect to happen     _x000D_
_x000D_
This is how  Preferred  Open  Action  should work for shared videos _x000D_
Show info: Don t auto play videos_x000D_
Video player: Auto play videos on main player_x000D_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drive google com file d 12ZM8DqezvykcGHXttvka3dvoBxyoc9nC view usp drivesdk_x000D_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</si>
  <si>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deepjavalibrary-djl-1026</t>
  </si>
  <si>
    <t>JVM crash (Segmentation Fault) when using 0.11.0 and Tensorflow</t>
  </si>
  <si>
    <t xml:space="preserve">   Description_x000D_
Tensorflow crashes the JVM with a Segmentation Fault (SigSegV) when run over large number of records  Runs fine over a very small number of records _x000D_
_x000D_
    Expected Behavior_x000D_
We have integrated DJL Tensorflow with Spark  When running a small number of records (20 50) everything runs fine  When we run the same code over 1000  records results in a Segmentation Fault _x000D_
Interestingly  if we run 100K or 500K records in JUnit  we do not get a Segmentation Fault _x000D_
_x000D_
Tensorflow is expected to run predict for each row  The Spark (Java) Map Function is as follows:_x000D_
_x000D_
   _x000D_
public MapFunction Row Row  getMapFunction(final String key)  _x000D_
	return new MapFunction Row  Row  ()  _x000D_
		private static final long serialVersionUID    6121839994450598043L _x000D_
_x000D_
		final SparkTranslator translator   new SparkTranslator() _x000D_
		transient Predictor Row Row  predictor _x000D_
			_x000D_
		private void loadPredictorIfNull()  _x000D_
			if(predictor    null) predictor   get() newPredictor(translator) _x000D_
		 _x000D_
				_x000D_
		 Override_x000D_
		public Row call(Row row) throws Exception  _x000D_
			loadPredictorIfNull() _x000D_
			Row result   predictor predict(row)            crash here_x000D_
			List Object  values   new ArrayList Object () _x000D_
			values add((key    null      : row  String getAs(key))) _x000D_
			values addAll(JavaConverters seqAsJavaList(result toSeq())) _x000D_
			result   RowFactory create(values toArray())     RowFactory create(key    null      : row  String getAs(key)  result toSeq() toList() t) _x000D_
			return result _x000D_
		 _x000D_
				_x000D_
	  _x000D_
 _x000D_
   _x000D_
The SparkTranslator converts the Spark Row into an NDList and vice versa _x000D_
_x000D_
    Error Message_x000D_
   _x000D_
A fatal error has been detected by the Java Runtime Environment:_x000D_
SIGSEGV (0xb) at pc 0x0000000131daf959  pid 26917  tid 76295_x000D_
JRE version: Java(TM) SE Runtime Environment (8 0 72 b15) (build 1 8 0 72 b15)_x000D_
Java VM: Java HotSpot(TM) 64 Bit Server VM (25 72 b15 mixed mode bsd amd64 compressed oops)_x000D_
Problematic frame:_x000D_
C   libtensorflow cc 2 dylib 0x8229959   tensorflow::TF TensorToTensor(TF Tensor const   tensorflow::Tensor ) 0x9_x000D_
_x000D_
   _x000D_
 hs err pid26917 log (https:  github com deepjavalibrary djl files 6664254 hs err pid26917 log)_x000D_
_x000D_
   What have you tried to solve it _x000D_
_x000D_
1  Tried to determine whether this is a null number translation error  and whether one of the records provides the wrong typed value _x000D_
2  Tried to determine whether this is a memory issue  Junit tests and engine run in Spark (spark master local   ) on the same machine  JUnit runs fine up to 555987 records  engine fails at 1000 _x000D_
_x000D_
   Environment Info_x000D_
_x000D_
See error log _x000D_
</t>
  </si>
  <si>
    <t>TeamNewPipe-NewPipe-6497</t>
  </si>
  <si>
    <t>Crash to lockscreen on opening a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</si>
  <si>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this video (https:  www youtube com watch v ybcribf3D3Y)_x000D_
2  Let the video play  crash occurs _x000D_
_x000D_
Note: This has been occurring for many of the past versions on this particular device only (none of my other devices)  It is very difficult to recreate this bug because it occurs very rarely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System UI crashes to lockscreen_x000D_
_x000D_
    Expected behavior_x000D_
     Tell us what you expect to happen     _x000D_
Video should play normally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Imgur Link to screen recording (https:  imgur com a sAsLkLz)_x000D_
_x000D_
_x000D_
    Logs_x000D_
 Logs txt from Matlog app (https:  github com TeamNewPipe NewPipe files 6661991 Logs txt)_x000D_
Logs were taken when screen recording was   not   enabled 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Stock ROM_x000D_
   Device model: Asus Zenfone 5Z ZS620KL_x000D_
</t>
  </si>
  <si>
    <t>PojavLauncherTeam-PojavLauncher-1549</t>
  </si>
  <si>
    <t>[BUG] &lt;game won't staer&gt;</t>
  </si>
  <si>
    <t xml:space="preserve">    my game won t starrt
If you don t fill in this template  this issue will be marked as invalid and closed 
    I put in the color code for pojav and my game just crashes on startup
 details   summary  b Read before submit  b   summary 
 br 
  Make sure there was not duplicated issues  br 
  Make sure you have filled this issue template  or this will get rejected 
  details 
    Describe the bug
A clear and concise description of what the bug is 
  Add a log file if you want to see your bug fixed    
The log file called  latestlog txt  is located under   Android data net kdt pojavlaunch files      games PojavLauncher    or   games PojavLauncher  minecraft    
You may need to activate an option in your file explorer to see hidden files and folders 
Do NOT paste the whole log text   Instead  add it as a file on this issue 
    To Reproduce:
Indicate steps to reproduce the buggy behavior:
1  Start PojavLauncher
     (your set of actions to reproduce the bug) 
    Expected behavior:
I expected my game to open 
    Screenshots or videos:
 Upload here screenshots or videos of the buggy behavior  if possible  
      https:  user images githubusercontent com 85341933 122180691 3d71b380 cebb 11eb 9958 e0e0a2d62c94 mp4
  Platform:  
   Device Model  e g  Mi 8 Pro 8 128 
   CPU architecture  e g  aarch64  
   Android Version  e g  10 
   PojavLauncher Version  e g Latest Release    version 3 3 1 1 rel 20210206  
 details   summary  b Additional context  b   summary 
 br 
 pre 
Add any other context about the problem here 
  pre 
  details 
</t>
  </si>
  <si>
    <t>Poing-Studios-godot-admob-android-79</t>
  </si>
  <si>
    <t>[BUG] Close ios app to crash</t>
  </si>
  <si>
    <t xml:space="preserve">  Describe the bug  _x000D_
Add admob plugin after close app to crash app _x000D_
_x000D_
  To Reproduce  _x000D_
Steps to reproduce the behavior:_x000D_
1  Admob plugin add_x000D_
2  Run in iphone 8 or iphone 6 device_x000D_
3  show one time interstitial ads _x000D_
4  home button press to close app then app crash_x000D_
_x000D_
  Expected behavior  _x000D_
Any time app close to free admob instance _x000D_
_x000D_
  Screenshots  _x000D_
  Screenshot 2021 06 15 at 6 18 56 PM (https:  user images githubusercontent com 31446601 122169959 a9442400 ce9b 11eb 9c3a f0a42b864dd9 png)_x000D_
_x000D_
_x000D_
  Smartphone (please complete the following information):  _x000D_
   Device:  e g  iPhone8 _x000D_
   OS:  e g  iOS14 _x000D_
   Version  e g  3 3 _x000D_
</t>
  </si>
  <si>
    <t>nextcloud-android-8587</t>
  </si>
  <si>
    <t>unable to import contacts from a backup file</t>
  </si>
  <si>
    <t xml:space="preserve">    Steps to reproduce_x000D_
1  select contacts backup file_x000D_
2  selects all contacts to restore_x000D_
3  choose import into  local contacts  _x000D_
_x000D_
    Expected behaviour_x000D_
contacts should be imported _x000D_
_x000D_
    Actual behaviour_x000D_
crash_x000D_
_x000D_
    Environment data_x000D_
Android version: 8 0_x000D_
_x000D_
Device model: huawei ane lx1_x000D_
_x000D_
Stock or customized system: stock _x000D_
_x000D_
Nextcloud app version: 3 16 1_x000D_
_x000D_
Nextcloud server version:_x000D_
_x000D_
Reverse proxy:_x000D_
_x000D_
    Logs_x000D_
_x000D_
     Nextcloud log (data nextcloud log)_x000D_
   _x000D_
             CAUSE OF ERROR             _x000D_
_x000D_
java lang IllegalStateException: Data cannot occupy more than 10240 bytes when serialized_x000D_
	at androidx work Data toByteArrayInternal(Data java:417)_x000D_
	at androidx work Data Builder build(Data java:846)_x000D_
	at com nextcloud client jobs BackgroundJobManagerImpl startImmediateContactsImport(BackgroundJobManagerImpl kt:254)_x000D_
	at com owncloud android ui fragment contactsbackup ContactListFragment importContacts(ContactListFragment java:338)_x000D_
	at com owncloud android ui fragment contactsbackup ContactListFragment access 400(ContactListFragment java:108)_x000D_
	at com owncloud android ui fragment contactsbackup ContactListFragment 3 onClick(ContactListFragment java:409)_x000D_
	at androidx appcompat app AlertController AlertParams 3 onItemClick(AlertController java:1068)_x000D_
	at android widget AdapterView performItemClick(AdapterView java:321)_x000D_
	at android widget AbsListView performItemClick(AbsListView java:1217)_x000D_
	at android widget AbsListView PerformClick run(AbsListView java:3203)_x000D_
	at android widget AbsListView 3 run(AbsListView java:4151)_x000D_
	at android os Handler handleCallback(Handler java:808)_x000D_
	at android os Handler dispatchMessage(Handler java:101)_x000D_
	at android os Looper loop(Looper java:166)_x000D_
	at android app ActivityThread main(ActivityThread java:7529)_x000D_
	at java lang reflect Method invoke(Native Method)_x000D_
	at com android internal os Zygote MethodAndArgsCaller run(Zygote java:245)_x000D_
	at com android internal os ZygoteInit main(ZygoteInit java:921)_x000D_
_x000D_
             APP INFORMATION             _x000D_
ID: com nextcloud client_x000D_
Version: 30160190_x000D_
Build flavor: generic_x000D_
_x000D_
             DEVICE INFORMATION             _x000D_
Brand: HUAWEI_x000D_
Device: HWANE_x000D_
Model: ANE LX1_x000D_
Id: HUAWEIANE LX1_x000D_
Product: ANE LX1_x000D_
_x000D_
             FIRMWARE             _x000D_
SDK: 26_x000D_
Release: 8 0 0_x000D_
Incremental: 174(C432)_x000D_
 _x000D_
   _x000D_
</t>
  </si>
  <si>
    <t>PojavLauncherTeam-PojavLauncher-1547</t>
  </si>
  <si>
    <t>[BUG] &lt;crash&gt;</t>
  </si>
  <si>
    <t xml:space="preserve">    
If you don t fill in this template  this issue will be marked as invalid and closed 
   my game crash when i add color pls help
 details   summary  b Read before submit  b   summary 
 br i put  Dorg lwjgl opengl libname libgl4es 115 so
  Make sure there was not duplicated issues  br 
  Make sure you have filled this issue template  or this will get rejected 
  i put  Dorg lwjgl opengl libname libgl4es 115 so and it crashes
    Describe the bug
A clear and concise description of what the bug is 
  Add a log file if you want to see your bug fixed    
The log file called  latestlog txt  is located under   Android data net kdt pojavlaunch files      games PojavLauncher    or   games PojavLauncher  minecraft    
You may need to activate an option in your file explorer to see hidden files and folders 
Do NOT paste the whole log text   Instead  add it as a file on this issue 
    To Reproduce:
Indicate steps to reproduce the buggy behavior:
1  Start PojavLauncher
     (your set of actions to reproduce the bug) 
    Expected behavior:
I expected    
    Screenshots or videos:
 Upload here screenshots or videos of the buggy behavior  if possible  
  Screenshot 20210616 001401 png (https:  user images githubusercontent com 85341933 122088159 145c0f00 ce38 11eb 9f93 05a655fa07e4 png)
  Platform:  
   Device Model  e g  Mi 8 Pro 8 128 
   CPU architecture  e g  aarch64  
   Android Version  e g  10 
   PojavLauncher Version  e g Latest Release    version 3 3 1 1 rel 20210206  
 details   summary  b Additional context  b   summary 
 br 
 pre 
Add any other context about the problem here 
  pre 
  details 
</t>
  </si>
  <si>
    <t>muxinc-mux-stats-sdk-exoplayer-114</t>
  </si>
  <si>
    <t>Cdn header crash fix</t>
  </si>
  <si>
    <t xml:space="preserve">Fixed crash on bandwidth metric data when playing mpeg dash </t>
  </si>
  <si>
    <t>TeamNewPipe-NewPipe-6492</t>
  </si>
  <si>
    <t>Youtube Icon seems to be rendered incorrectly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</si>
  <si>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Open Drawer Menu_x000D_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Youtube Icon is missing center triangle _x000D_
  Capture (https:  user images githubusercontent com 50160188 122050139 e9a39380 ce02 11eb 8406 745b60a069b4 PNG)_x000D_
_x000D_
_x000D_
_x000D_
_x000D_
    Expected behavior_x000D_
Should show icon similar to Youtube i e  with triangle at the center of the icon _x000D_
  Capture3 (https:  user images githubusercontent com 50160188 122050026 c973d480 ce02 11eb 999a 2acb3603db6f PNG)_x000D_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 0 EMUI_x000D_
   Device model: Nova 3i_x000D_
</t>
  </si>
  <si>
    <t>SpartanJ-ImgurViewer-21</t>
  </si>
  <si>
    <t>Crash when sharing images that don't have extension in URL</t>
  </si>
  <si>
    <t xml:space="preserve">ImgurViewer appears to crash (or at least immediately exits) when sharing certain images as media  All of the images that crash don t have an extension at the end _x000D_
_x000D_
Examples that crash:_x000D_
  https:  static wikia nocookie net vocaloid images 2 2b Utatane Piko png revision latest_x000D_
  https:  a ppy sh 18945305_x000D_
_x000D_
Examples that don t crash:_x000D_
  https:  static wikia nocookie net vocaloid images 2 2b Utatane Piko png_x000D_
_x000D_
  To reproduce:  _x000D_
1  Open those images in ImgurViewer (share to it  or paste into the app)_x000D_
2  Tap on Share  rarr  (Share as) Media_x000D_
3  ImgurViewer will immediately exit upon pressing the Media button_x000D_
_x000D_
  Remarks:  _x000D_
The images load fine  it s the sharing as media that crashes </t>
  </si>
  <si>
    <t>k9mail-k-9-5343</t>
  </si>
  <si>
    <t>issue with "Add from Contact" when permission not granted</t>
  </si>
  <si>
    <t xml:space="preserve">I have some issues when i don t give contact permission to application and Add from Contacts _x000D_
_x000D_
  Describe the bug  _x000D_
On Android 11 toast showed with this message:   No email address could be found for this contact   _x000D_
On Android 7   9 contact added successfully but when i click on that in To field  application get crashed _x000D_
_x000D_
  To Reproduce  _x000D_
Steps to reproduce the behavior:_x000D_
_x000D_
1  Don t give contact permission_x000D_
2  Go to  Compose  _x000D_
2  Click on  more options then Add from Contacts _x000D_
3  Select a contact_x000D_
4 1  On Android 11 toast showed with this message:   No email address could be found for this contact   _x000D_
4 2  On Android 7   9 contact added successfully but when i click on that name or email in To field  application get crashed _x000D_
_x000D_
  Expected behavior  _x000D_
maybe should not show  Add from Contacts  when there is no contact permission or handle these situations and show related error message to the user _x000D_
_x000D_
  Environment (please complete the following information):  _x000D_
   K 9 Mail version: 5 735 SNAPSHOT_x000D_
   Android version: 7 9 11_x000D_
   Device: Emulator_x000D_
   Account type: IMAP_x000D_
_x000D_
  ScreenShot  _x000D_
Android 7_x000D_
https:  user images githubusercontent com 8654398 122031636 21e7a980 cde4 11eb 872e bd550c076d13 mp4_x000D_
_x000D_
  Logs  _x000D_
error log on Android 7_x000D_
   _x000D_
2021 06 15 14:06:09 330 3649 3724 com fsck k9 debug E AndroidRuntime: FATAL EXCEPTION: ModernAsyncTask  4_x000D_
    Process: com fsck k9 debug  PID: 3649_x000D_
    java lang RuntimeException: An error occurred while executing doInBackground()_x000D_
        at androidx loader content ModernAsyncTask 3 done(ModernAsyncTask java:164)_x000D_
        at java util concurrent FutureTask finishCompletion(FutureTask java:354)_x000D_
        at java util concurrent FutureTask setException(FutureTask java:223)_x000D_
        at java util concurrent FutureTask run(FutureTask java:242)_x000D_
        at java util concurrent ThreadPoolExecutor runWorker(ThreadPoolExecutor java:1133)_x000D_
        at java util concurrent ThreadPoolExecutor Worker run(ThreadPoolExecutor java:607)_x000D_
        at java lang Thread run(Thread java:761)_x000D_
     Caused by: java lang SecurityException: Permission Denial: reading com android providers contacts ContactsProvider2 uri content:  com android contacts contacts lookup 0r1 4B315B29 1 from pid 3649  uid 10082 requires android permission READ CONTACTS  or grantUriPermission()_x000D_
        at android os Parcel readException(Parcel java:1683)_x000D_
        at android database DatabaseUtils readExceptionFromParcel(DatabaseUtils java:183)_x000D_
        at android database DatabaseUtils readExceptionFromParcel(DatabaseUtils java:135)_x000D_
        at android content ContentProviderProxy query(ContentProviderNative java:421)_x000D_
        at android content ContentResolver query(ContentResolver java:530)_x000D_
        at android content ContentResolver query(ContentResolver java:472)_x000D_
        at android provider ContactsContract Contacts lookupContact(ContactsContract java:1623)_x000D_
        at com fsck k9 activity compose RecipientLoader fillContactDataFromLookupKey(RecipientLoader java:284)_x000D_
        at com fsck k9 activity compose RecipientLoader loadInBackground(RecipientLoader java:201)_x000D_
        at com fsck k9 activity compose RecipientLoader loadInBackground(RecipientLoader java:37)_x000D_
        at androidx loader content AsyncTaskLoader onLoadInBackground(AsyncTaskLoader java:307)_x000D_
        at androidx loader content AsyncTaskLoader LoadTask doInBackground(AsyncTaskLoader java:60)_x000D_
        at androidx loader content AsyncTaskLoader LoadTask doInBackground(AsyncTaskLoader java:48)_x000D_
        at androidx loader content ModernAsyncTask 2 call(ModernAsyncTask java:141)_x000D_
        at java util concurrent FutureTask run(FutureTask java:237)_x000D_
        at java util concurrent ThreadPoolExecutor runWorker(ThreadPoolExecutor java:1133) _x000D_
        at java util concurrent ThreadPoolExecutor Worker run(ThreadPoolExecutor java:607) _x000D_
        at java lang Thread run(Thread java:761)_x000D_
   _x000D_
_x000D_
</t>
  </si>
  <si>
    <t>PojavLauncherTeam-PojavLauncher-1544</t>
  </si>
  <si>
    <t>[F-REQ] please give me jvm arguments my pojav launcher still crash</t>
  </si>
  <si>
    <t xml:space="preserve">Developer s please give me best jvm arguments for pojav launcher my pojav launcher works properly on 512mb but I can t play survival world please give me lag and crash fixing jvm arguments and tell me how much I should have to resolve ram_x000D_
_x000D_
Phone Redmi 8A daul_x000D_
Ram 3gb_x000D_
Architecture 32 bit_x000D_
Android version 10_x000D_
Pojav launcher version leatest_x000D_
</t>
  </si>
  <si>
    <t>inaturalist-iNaturalistAndroid-1054</t>
  </si>
  <si>
    <t>NullPointerException in ProjectDetails.initializeTabs</t>
  </si>
  <si>
    <t xml:space="preserve">https:  console firebase google com u 2 project inaturalist ios crashlytics app android:org inaturalist android issues 4debf52b429d0edeb77ea7564618f608_x000D_
_x000D_
   _x000D_
Caused by java lang NullPointerException: Attempt to invoke virtual method  boolean java lang String equals(java lang Object)  on a null object reference_x000D_
       at org inaturalist android ProjectDetails initializeTabs(ProjectDetails java:419)_x000D_
       at org inaturalist android ProjectDetails onCreate(ProjectDetails java:161)_x000D_
       at android app Activity performCreate(Activity java:8198)_x000D_
   </t>
  </si>
  <si>
    <t>inaturalist-iNaturalistAndroid-1053</t>
  </si>
  <si>
    <t>NullPointerException in ObservationEditor.refreshProjectFields</t>
  </si>
  <si>
    <t xml:space="preserve">https:  console firebase google com u 2 project inaturalist ios crashlytics app android:org inaturalist android issues 7eda80db1016eddec554810d0c0bd753_x000D_
_x000D_
   _x000D_
Caused by java lang NullPointerException: Attempt to invoke virtual method  int java lang Integer intValue()  on a null object reference_x000D_
       at org inaturalist android ObservationEditor refreshProjectFields(ObservationEditor java:4428)_x000D_
       at org inaturalist android ObservationEditor onCreate(ObservationEditor java:1132)_x000D_
       at android app Activity performCreate(Activity java:8121)_x000D_
   </t>
  </si>
  <si>
    <t>andOTP-andOTP-856</t>
  </si>
  <si>
    <t>App crashing when hiding a tag (remove the checkmark)</t>
  </si>
  <si>
    <t xml:space="preserve">_x000D_
     General information_x000D_
_x000D_
    App version:   v0 9 0_x000D_
    App source:   Play on Phone   GitHub (F Droid Debug) on Emulator_x000D_
    Android Version:   8 0 0 (Phone)   10 (Emulator API 29)_x000D_
    Custom ROM:   None_x000D_
_x000D_
     Expected result_x000D_
  What is expected    _x000D_
The accounts with the tag will hide in the app when the tag check mark is removed_x000D_
_x000D_
  What does happen instead   _x000D_
The app crashes_x000D_
_x000D_
     Logcat_x000D_
   _x000D_
2021 06 14 09:47:00 819 10122 10122   I ocke andotp de: Not late enabling  Xcheck:jni (already on)_x000D_
2021 06 14 09:47:00 942 10122 10122   E ocke andotp de: Unknown bits set in runtime flags: 0x8000_x000D_
2021 06 14 09:47:00 944 10122 10122   W ocke andotp de: Unexpected CPU variant for X86 using defaults: x86_x000D_
2021 06 14 09:47:01 450 10122 10154 org shadowice flocke andotp dev D libEGL: Emulator has host GPU support  qemu gles is set to 1 _x000D_
2021 06 14 09:47:01 456 10122 10154 org shadowice flocke andotp dev W libc: Unable to set property  qemu gles  to  1 : connection failed  errno 13 (Permission denied)_x000D_
2021 06 14 09:47:01 440 10122 10122 org shadowice flocke andotp dev W RenderThread: type 1400 audit(0 0:50): avc: denied   write   for name  property service  dev  tmpfs  ino 7413 scontext u:r:untrusted app:s0:c141 c256 c512 c768 tcontext u:object r:property socket:s0 tclass sock file permissive 0_x000D_
2021 06 14 09:47:01 478 10122 10154 org shadowice flocke andotp dev D libEGL: loaded  vendor lib egl libEGL emulation so_x000D_
2021 06 14 09:47:01 504 10122 10154 org shadowice flocke andotp dev D libEGL: loaded  vendor lib egl libGLESv1 CM emulation so_x000D_
2021 06 14 09:47:01 508 10122 10154 org shadowice flocke andotp dev D libEGL: loaded  vendor lib egl libGLESv2 emulation so_x000D_
2021 06 14 09:47:01 510 10122 10122 org shadowice flocke andotp dev W System err: java io FileNotFoundException:  jacoco exec: open failed: EROFS (Read only file system)_x000D_
2021 06 14 09:47:01 510 10122 10122 org shadowice flocke andotp dev W System err:     at libcore io IoBridge open(IoBridge java:496)_x000D_
2021 06 14 09:47:01 510 10122 10122 org shadowice flocke andotp dev W System err:     at java io FileOutputStream  init (FileOutputStream java:235)_x000D_
2021 06 14 09:47:01 510 10122 10122 org shadowice flocke andotp dev W System err:     at org jacoco agent rt internal 8ff85ea output FileOutput openFile(FileOutput java:67)_x000D_
2021 06 14 09:47:01 510 10122 10122 org shadowice flocke andotp dev W System err:     at org jacoco agent rt internal 8ff85ea output FileOutput startup(FileOutput java:49)_x000D_
2021 06 14 09:47:01 511 10122 10122 org shadowice flocke andotp dev W System err:     at org jacoco agent rt internal 8ff85ea Agent startup(Agent java:122)_x000D_
2021 06 14 09:47:01 511 10122 10122 org shadowice flocke andotp dev W System err:     at org jacoco agent rt internal 8ff85ea Agent getInstance(Agent java:50)_x000D_
2021 06 14 09:47:01 511 10122 10122 org shadowice flocke andotp dev W System err:     at org jacoco agent rt internal 8ff85ea Offline  clinit (Offline java:31)_x000D_
2021 06 14 09:47:01 511 10122 10122 org shadowice flocke andotp dev W System err:     at org jacoco agent rt internal 8ff85ea Offline getProbes(Offline java:51)_x000D_
2021 06 14 09:47:01 511 10122 10122 org shadowice flocke andotp dev W System err:     at org shadowice flocke andotp Activities MainActivity  jacocoInit(Unknown Source:13)_x000D_
2021 06 14 09:47:01 511 10122 10122 org shadowice flocke andotp dev W System err:     at org shadowice flocke andotp Activities MainActivity  clinit (Unknown Source:0)_x000D_
2021 06 14 09:47:01 511 10122 10122 org shadowice flocke andotp dev W System err:     at java lang Class newInstance(Native Method)_x000D_
2021 06 14 09:47:01 511 10122 10122 org shadowice flocke andotp dev W System err:     at android app AppComponentFactory instantiateActivity(AppComponentFactory java:95)_x000D_
2021 06 14 09:47:01 511 10122 10122 org shadowice flocke andotp dev W System err:     at androidx core app CoreComponentFactory instantiateActivity(CoreComponentFactory java:45)_x000D_
2021 06 14 09:47:01 511 10122 10122 org shadowice flocke andotp dev W System err:     at android app Instrumentation newActivity(Instrumentation java:1243)_x000D_
2021 06 14 09:47:01 511 10122 10122 org shadowice flocke andotp dev W System err:     at android app ActivityThread performLaunchActivity(ActivityThread java:3182)_x000D_
2021 06 14 09:47:01 511 10122 10122 org shadowice flocke andotp dev W System err:     at android app ActivityThread handleLaunchActivity(ActivityThread java:3409)_x000D_
2021 06 14 09:47:01 511 10122 10122 org shadowice flocke andotp dev W System err:     at android app servertransaction LaunchActivityItem execute(LaunchActivityItem java:83)_x000D_
2021 06 14 09:47:01 511 10122 10122 org shadowice flocke andotp dev W System err:     at android app servertransaction TransactionExecutor executeCallbacks(TransactionExecutor java:135)_x000D_
2021 06 14 09:47:01 511 10122 10122 org shadowice flocke andotp dev W System err:     at android app servertransaction TransactionExecutor execute(TransactionExecutor java:95)_x000D_
2021 06 14 09:47:01 511 10122 10122 org shadowice flocke andotp dev W System err:     at android app ActivityThread H handleMessage(ActivityThread java:2016)_x000D_
2021 06 14 09:47:01 511 10122 10122 org shadowice flocke andotp dev W System err:     at android os Handler dispatchMessage(Handler java:107)_x000D_
2021 06 14 09:47:01 511 10122 10122 org shadowice flocke andotp dev W System err:     at android os Looper loop(Looper java:214)_x000D_
2021 06 14 09:47:01 512 10122 10122 org shadowice flocke andotp dev W System err:     at android app ActivityThread main(ActivityThread java:7356)_x000D_
2021 06 14 09:47:01 512 10122 10122 org shadowice flocke andotp dev W System err:     at java lang reflect Method invoke(Native Method)_x000D_
2021 06 14 09:47:01 512 10122 10122 org shadowice flocke andotp dev W System err:     at com android internal os RuntimeInit MethodAndArgsCaller run(RuntimeInit java:492)_x000D_
2021 06 14 09:47:01 512 10122 10122 org shadowice flocke andotp dev W System err:     at com android internal os ZygoteInit main(ZygoteInit java:930)_x000D_
2021 06 14 09:47:01 512 10122 10122 org shadowice flocke andotp dev W System err: Caused by: android system ErrnoException: open failed: EROFS (Read only file system)_x000D_
2021 06 14 09:47:01 512 10122 10122 org shadowice flocke andotp dev W System err:     at libcore io Linux open(Native Method)_x000D_
2021 06 14 09:47:01 512 10122 10122 org shadowice flocke andotp dev W System err:     at libcore io ForwardingOs open(ForwardingOs java:167)_x000D_
2021 06 14 09:47:01 512 10122 10122 org shadowice flocke andotp dev W System err:     at libcore io BlockGuardOs open(BlockGuardOs java:252)_x000D_
2021 06 14 09:47:01 512 10122 10122 org shadowice flocke andotp dev W System err:     at libcore io ForwardingOs open(ForwardingOs java:167)_x000D_
2021 06 14 09:47:01 512 10122 10122 org shadowice flocke andotp dev W System err:     at android app ActivityThread AndroidOs open(ActivityThread java:7255)_x000D_
2021 06 14 09:47:01 512 10122 10122 org shadowice flocke andotp dev W System err:     at libcore io IoBridge open(IoBridge java:482)_x000D_
2021 06 14 09:47:01 512 10122 10122 org shadowice flocke andotp dev W System err: 	    25 more_x000D_
2021 06 14 09:47:01 650 10122 10122 org shadowice flocke andotp dev W ocke andotp de: Accessing hidden method Landroid view View   computeFitSystemWindows(Landroid graphics Rect Landroid graphics Rect )Z (greylist  reflection  allowed)_x000D_
2021 06 14 09:47:01 650 10122 10122 org shadowice flocke andotp dev W ocke andotp de: Accessing hidden method Landroid view ViewGroup   makeOptionalFitsSystemWindows()V (greylist  reflection  allowed)_x000D_
2021 06 14 09:47:02 577 10122 10122 org shadowice flocke andotp dev I Choreographer: Skipped 36 frames   The application may be doing too much work on its main thread _x000D_
2021 06 14 09:47:02 662 10122 10152 org shadowice flocke andotp dev D HostConnection: HostConnection::get() New Host Connection established 0xdc272190  tid 10152_x000D_
2021 06 14 09:47:02 690 10122 10152 org shadowice flocke andotp dev D HostConnection: HostComposition ext ANDROID EMU CHECKSUM HELPER v1 ANDROID EMU native sync v2 ANDROID EMU native sync v3 ANDROID EMU native sync v4 ANDROID EMU dma v1 ANDROID EMU direct mem ANDROID EMU host composition v1 ANDROID EMU host composition v2 ANDROID EMU YUV420 888 to NV21 ANDROID EMU YUV Cache ANDROID EMU async unmap buffer ANDROID EMU sync buffer data GL OES EGL image external essl3 GL OES vertex array object GL KHR texture compression astc ldr ANDROID EMU host side tracing ANDROID EMU async frame commands ANDROID EMU gles max version 3 0 _x000D_
2021 06 14 09:47:02 709 10122 10152 org shadowice flocke andotp dev W OpenGLRenderer: Failed to choose config with EGL SWAP BEHAVIOR PRESERVED  retrying without   _x000D_
2021 06 14 09:47:02 712 10122 10152 org shadowice flocke andotp dev D eglCodecCommon: setVertexArrayObject: set vao to 0 (0) 0 0_x000D_
2021 06 14 09:47:02 712 10122 10152 org shadowice flocke andotp dev D EGL emulation: eglCreateContext: 0xdc203240: maj 3 min 0 rcv 3_x000D_
2021 06 14 09:47:02 713 10122 10152 org shadowice flocke andotp dev D EGL emulation: eglMakeCurrent: 0xdc203240: ver 3 0 (tinfo 0xdc200420)_x000D_
2021 06 14 09:47:02 724 10122 10152 org shadowice flocke andotp dev W Gralloc3: mapper 3 x is not supported_x000D_
2021 06 14 09:47:02 762 10122 10152 org shadowice flocke andotp dev D HostConnection: createUnique: call_x000D_
2021 06 14 09:47:02 762 10122 10152 org shadowice flocke andotp dev D HostConnection: HostConnection::get() New Host Connection established 0xdc272410  tid 10152_x000D_
2021 06 14 09:47:02 762 10122 10152 org shadowice flocke andotp dev D HostConnection: HostComposition ext ANDROID EMU CHECKSUM HELPER v1 ANDROID EMU native sync v2 ANDROID EMU native sync v3 ANDROID EMU native sync v4 ANDROID EMU dma v1 ANDROID EMU direct mem ANDROID EMU host composition v1 ANDROID EMU host composition v2 ANDROID EMU YUV420 888 to NV21 ANDROID EMU YUV Cache ANDROID EMU async unmap buffer ANDROID EMU sync buffer data GL OES EGL image external essl3 GL OES vertex array object GL KHR texture compression astc ldr ANDROID EMU host side tracing ANDROID EMU async frame commands ANDROID EMU gles max version 3 0 _x000D_
2021 06 14 09:47:02 763 10122 10152 org shadowice flocke andotp dev D eglCodecCommon: allocate: Ask for block of size 0x1000_x000D_
2021 06 14 09:47:02 763 10122 10152 org shadowice flocke andotp dev D eglCodecCommon: allocate: ioctl allocate returned offset 0x3ff805000 size 0x2000_x000D_
2021 06 14 09:47:02 803 10122 10152 org shadowice flocke andotp dev D EGL emulation: eglMakeCurrent: 0xdc203240: ver 3 0 (tinfo 0xdc200420)_x000D_
2021 06 14 09:47:02 814 10122 10152 org shadowice flocke andotp dev D eglCodecCommon: setVertexArrayObject: set vao to 0 (0) 1 0_x000D_
2021 06 14 09:47:03 047 10122 10152 org shadowice flocke andotp dev I OpenGLRenderer: Davey  duration 1078ms  Flags 1  IntendedVsync 2430481208642  Vsync 2431081208618  OldestInputEvent 9223372036854775807  NewestInputEvent 0  HandleInputStart 2431096169960  AnimationStart 2431096204670  PerformTraversalsStart 2431096360840  DrawStart 2431298278670  SyncQueued 2431316225050  SyncStart 2431322139870  IssueDrawCommandsStart 2431322200520  SwapBuffers 2431553734890  FrameCompleted 2431565148360  DequeueBufferDuration 1290000  QueueBufferDuration 587000  _x000D_
2021 06 14 09:47:03 135 10122 10133 org shadowice flocke andotp dev I ocke andotp de: Background young concurrent copying GC freed 22185(2028KB) AllocSpace objects  7(268KB) LOS objects  72  free  2319KB 8463KB  paused 561us total 192 728ms_x000D_
2021 06 14 09:47:03 355 10122 10122 org shadowice flocke andotp dev W ActivityThread: handleWindowVisibility: no activity for token android os BinderProxy 9a3977b_x000D_
2021 06 14 09:47:03 642 10122 10152 org shadowice flocke andotp dev D EGL emulation: eglMakeCurrent: 0xdc203240: ver 3 0 (tinfo 0xdc200420)_x000D_
2021 06 14 09:47:07 148 10122 10122 org shadowice flocke andotp dev W ocke andotp de: Accessing hidden field Landroid widget AbsListView   mIsChildViewEnabled:Z (greylist  reflection  allowed)_x000D_
2021 06 14 09:47:07 253 10122 10152 org shadowice flocke andotp dev D EGL emulation: eglMakeCurrent: 0xdc203240: ver 3 0 (tinfo 0xdc200420)_x000D_
2021 06 14 09:47:07 542 10122 10152 org shadowice flocke andotp dev I chatty: uid 10141(org shadowice flocke andotp dev) RenderThread identical 9 lines_x000D_
2021 06 14 09:47:07 551 10122 10152 org shadowice flocke andotp dev D EGL emulation: eglMakeCurrent: 0xdc203240: ver 3 0 (tinfo 0xdc200420)_x000D_
2021 06 14 09:47:07 944 10122 10152 org shadowice flocke andotp dev D EGL emulation: eglMakeCurrent: 0xdc203240: ver 3 0 (tinfo 0xdc200420)_x000D_
2021 06 14 09:47:08 306 10122 10152 org shadowice flocke andotp dev D EGL emulation: eglMakeCurrent: 0xdc203240: ver 3 0 (tinfo 0xdc200420)_x000D_
2021 06 14 09:47:08 414 10122 10152 org shadowice flocke andotp dev D EGL emulation: eglMakeCurrent: 0xdc203240: ver 3 0 (tinfo 0xdc200420)_x000D_
2021 06 14 09:47:08 439 10122 10152 org shadowice flocke andotp dev D EGL emulation: eglMakeCurrent: 0xdc203240: ver 3 0 (tinfo 0xdc200420)_x000D_
2021 06 14 09:47:08 543 10122 10152 org shadowice flocke andotp dev I chatty: uid 10141(org shadowice flocke andotp dev) RenderThread identical 3 lines_x000D_
2021 06 14 09:47:08 553 10122 10152 org shadowice flocke andotp dev D EGL emulation: eglMakeCurrent: 0xdc203240: ver 3 0 (tinfo 0xdc200420)_x000D_
2021 06 14 09:47:08 755 10122 10152 org shadowice flocke andotp dev D EGL emulation: eglMakeCurrent: 0xdc203240: ver 3 0 (tinfo 0xdc200420)_x000D_
2021 06 14 09:47:09 241 10122 10152 org shadowice flocke andotp dev D EGL emulation: eglMakeCurrent: 0xdc203240: ver 3 0 (tinfo 0xdc200420)_x000D_
2021 06 14 09:47:13 661 10122 10122 org shadowice flocke andotp dev W System err: java io FileNotFoundException:  data user 0 org shadowice flocke andotp dev files secrets dat: open failed: ENOENT (No such file or directory)_x000D_
2021 06 14 09:47:13 661 10122 10122 org shadowice flocke andotp dev W System err:     at libcore io IoBridge open(IoBridge java:496)_x000D_
2021 06 14 09:47:13 662 10122 10122 org shadowice flocke andotp dev W System err:     at java io FileInputStream  init (FileInputStream java:159)_x000D_
2021 06 14 09:47:13 662 10122 10122 org shadowice flocke andotp dev W System err:     at org shadowice flocke andotp Utilities FileHelper readFileToBytes(FileHelper java:35)_x000D_
2021 06 14 09:47:13 662 10122 10122 org shadowice flocke andotp dev W System err:     at org shadowice flocke andotp Utilities DatabaseHelper loadDatabase(DatabaseHelper java:130)_x000D_
2021 06 14 09:47:13 662 10122 10122 org shadowice flocke andotp dev W System err:     at org shadowice flocke andotp View EntriesCardAdapter loadEntries(EntriesCardAdapter java:212)_x000D_
2021 06 14 09:47:13 662 10122 10122 org shadowice flocke andotp dev W System err:     at org shadowice flocke andotp Activities MainActivity populateAdapter(MainActivity java:180)_x000D_
2021 06 14 09:47:13 662 10122 10122 org shadowice flocke andotp dev W System err:     at org shadowice flocke andotp Activities MainActivity updateEncryption(MainActivity java:594)_x000D_
2021 06 14 09:47:13 662 10122 10122 org shadowice flocke andotp dev W System err:     at org shadowice flocke andotp Activities MainActivity onActivityResult(MainActivity java:567)_x000D_
2021 06 14 09:47:13 662 10122 10122 org shadowice flocke andotp dev W System err:     at android app Activity dispatchActivityResult(Activity java:8110)_x000D_
2021 06 14 09:47:13 662 10122 10122 org shadowice flocke andotp dev W System err:     at android app ActivityThread deliverResults(ActivityThread java:4838)_x000D_
2021 06 14 09:47:13 662 10122 10122 org shadowice flocke andotp dev W System err:     at android app ActivityThread handleSendResult(ActivityThread java:4886)_x000D_
2021 06 14 09:47:13 662 10122 10122 org shadowice flocke andotp dev W System err:     at android app servertransaction ActivityResultItem execute(ActivityResultItem java:51)_x000D_
2021 06 14 09:47:13 662 10122 10122 org shadowice flocke andotp dev W System err:     at android app servertransaction TransactionExecutor executeCallbacks(TransactionExecutor java:135)_x000D_
2021 06 14 09:47:13 662 10122 10122 org shadowice flocke andotp dev W System err:     at android app servertransaction TransactionExecutor execute(TransactionExecutor java:95)_x000D_
2021 06 14 09:47:13 662 10122 10122 org shadowice flocke andotp dev W System err:     at android app ActivityThread H handleMessage(ActivityThread java:2016)_x000D_
2021 06 14 09:47:13 662 10122 10122 org shadowice flocke andotp dev W System err:     at android os Handler dispatchMessage(Handler java:107)_x000D_
2021 06 14 09:47:13 662 10122 10122 org shadowice flocke andotp dev W System err:     at android os Looper loop(Looper java:214)_x000D_
2021 06 14 09:47:13 662 10122 10122 org shadowice flocke andotp dev W System err:     at android app ActivityThread main(ActivityThread java:7356)_x000D_
2021 06 14 09:47:13 662 10122 10122 org shadowice flocke andotp dev W System err:     at java lang reflect Method invoke(Native Method)_x000D_
2021 06 14 09:47:13 662 10122 10122 org shadowice flocke andotp dev W System err:     at com android internal os RuntimeInit MethodAndArgsCaller run(RuntimeInit java:492)_x000D_
2021 06 14 09:47:13 662 10122 10122 org shadowice flocke andotp dev W System err:     at com android internal os ZygoteInit main(ZygoteInit java:930)_x000D_
2021 06 14 09:47:13 662 10122 10122 org shadowice flocke andotp dev W System err: Caused by: android system ErrnoException: open failed: ENOENT (No such file or directory)_x000D_
2021 06 14 09:47:13 662 10122 10122 org shadowice flocke andotp dev W System err:     at libcore io Linux open(Native Method)_x000D_
2021 06 14 09:47:13 662 10122 10122 org shadowice flocke andotp dev W System err:     at libcore io ForwardingOs open(ForwardingOs java:167)_x000D_
2021 06 14 09:47:13 662 10122 10122 org shadowice flocke andotp dev W System err:     at libcore io BlockGuardOs open(BlockGuardOs java:252)_x000D_
2021 06 14 09:47:13 662 10122 10122 org shadowice flocke andotp dev W System err:     at libcore io ForwardingOs open(ForwardingOs java:167)_x000D_
2021 06 14 09:47:13 662 10122 10122 org shadowice flocke andotp dev W System err:     at android app ActivityThread AndroidOs open(ActivityThread java:7255)_x000D_
2021 06 14 09:47:13 662 10122 10122 org shadowice flocke andotp dev W System err:     at libcore io IoBridge open(IoBridge java:482)_x000D_
2021 06 14 09:47:13 662 10122 10122 org shadowice flocke andotp dev W System err: 	    20 more_x000D_
2021 06 14 09:47:13 665 10122 10122 org shadowice flocke andotp dev W System err: java io FileNotFoundException:  data user 0 org shadowice flocke andotp dev files secrets dat: open failed: ENOENT (No such file or directory)_x000D_
2021 06 14 09:47:13 665 10122 10122 org shadowice flocke andotp dev W System err:     at libcore io IoBridge open(IoBridge java:496)_x000D_
2021 06 14 09:47:13 665 10122 10122 org shadowice flocke andotp dev W System err:     at java io FileInputStream  init (FileInputStream java:159)_x000D_
2021 06 14 09:47:13 665 10122 10122 org shadowice flocke andotp dev W System err:     at org shadowice flocke andotp Utilities FileHelper readFileToBytes(FileHelper java:35)_x000D_
2021 06 14 09:47:13 665 10122 10122 org shadowice flocke andotp dev W System err:     at org shadowice flocke andotp Utilities DatabaseHelper loadDatabase(DatabaseHelper java:130)_x000D_
2021 06 14 09:47:13 665 10122 10122 org shadowice flocke andotp dev W System err:     at org shadowice flocke andotp View EntriesCardAdapter loadEntries(EntriesCardAdapter java:212)_x000D_
2021 06 14 09:47:13 665 10122 10122 org shadowice flocke andotp dev W System err:     at org shadowice flocke andotp Activities MainActivity populateAdapter(MainActivity java:180)_x000D_
2021 06 14 09:47:13 666 10122 10122 org shadowice flocke andotp dev W System err:     at org shadowice flocke andotp Activities MainActivity onResume(MainActivity java:437)_x000D_
2021 06 14 09:47:13 666 10122 10122 org shadowice flocke andotp dev W System err:     at android app Instrumentation callActivityOnResume(Instrumentation java:1446)_x000D_
2021 06 14 09:47:13 666 10122 10122 org shadowice flocke andotp dev W System err:     at android app Activity performResume(Activity java:7939)_x000D_
2021 06 14 09:47:13 666 10122 10122 org shadowice flocke andotp dev W System err:     at android app ActivityThread performResumeActivity(ActivityThread java:4195)_x000D_
2021 06 14 09:47:13 666 10122 10122 org shadowice flocke andotp dev W System err:     at android app ActivityThread handleResumeActivity(ActivityThread java:4237)_x000D_
2021 06 14 09:47:13 666 10122 10122 org shadowice flocke andotp dev W System err:     at android app servertransaction ResumeActivityItem execute(ResumeActivityItem java:52)_x000D_
2021 06 14 09:47:13 666 10122 10122 org shadowice flocke andotp dev W System err:     at android app servertransaction TransactionExecutor executeLifecycleState(TransactionExecutor java:176)_x000D_
2021 06 14 09:47:13 666 10122 10122 org shadowice flocke andotp dev W System err:     at android app servertransaction TransactionExecutor execute(TransactionExecutor java:97)_x000D_
2021 06 14 09:47:13 666 10122 10122 org shadowice flocke andotp dev W System err:     at android app ActivityThread H handleMessage(ActivityThread java:2016)_x000D_
2021 06 14 09:47:13 666 10122 10122 org shadowice flocke andotp dev W System err:     at android os Handler dispatchMessage(Handler java:107)_x000D_
2021 06 14 09:47:13 666 10122 10122 org shadowice flocke andotp dev W System err:     at android os Looper loop(Looper java:214)_x000D_
2021 06 14 09:47:13 666 10122 10122 org shadowice flocke andotp dev W System err:     at android app ActivityThread main(ActivityThread java:7356)_x000D_
2021 06 14 09:47:13 666 10122 10122 org shadowice flocke andotp dev W System err:     at java lang reflect Method invoke(Native Method)_x000D_
2021 06 14 09:47:13 666 10122 10122 org shadowice flocke andotp dev W System err:     at com android internal os RuntimeInit MethodAndArgsCaller run(RuntimeInit java:492)_x000D_
2021 06 14 09:47:13 666 10122 10122 org shadowice flocke andotp dev W System err:     at com android internal os ZygoteInit main(ZygoteInit java:930)_x000D_
2021 06 14 09:47:13 666 10122 10122 org shadowice flocke andotp dev W System err: Caused by: android system ErrnoException: open failed: ENOENT (No such file or directory)_x000D_
2021 06 14 09:47:13 666 10122 10122 org shadowice flocke andotp dev W System err:     at libcore io Linux open(Native Method)_x000D_
2021 06 14 09:47:13 666 10122 10122 org shadowice flocke andotp dev W System err:     at libcore io ForwardingOs open(ForwardingOs java:167)_x000D_
2021 06 14 09:47:13 666 10122 10122 org shadowice flocke andotp dev W System err:     at libcore io BlockGuardOs open(BlockGuardOs java:252)_x000D_
2021 06 14 09:47:13 666 10122 10122 org shadowice flocke andotp dev W System err:     at libcore io ForwardingOs open(ForwardingOs java:167)_x000D_
2021 06 14 09:47:13 666 10122 10122 org shadowice flocke andotp dev W System err:     at android app ActivityThread AndroidOs open(ActivityThread java:7255)_x000D_
2021 06 14 09:47:13 666 10122 10122 org shadowice flocke andotp dev W System err:     at libcore io IoBridge open(IoBridge java:482)_x000D_
2021 06 14 09:47:13 666 10122 10122 org shadowice flocke andotp dev W System err: 	    20 more_x000D_
2021 06 14 09:47:13 667 10122 10122 org shadowice flocke andotp dev I Choreographer: Skipped 83 frames   The application may be doing too much work on its main thread _x000D_
2021 06 14 09:47:13 686 10122 10152 org shadowice flocke andotp dev D EGL emulation: eglMakeCurrent: 0xdc203240: ver 3 0 (tinfo 0xdc200420)_x000D_
2021 06 14 09:47:13 715 10122 10152 org shadowice flocke andotp dev I OpenGLRenderer: Davey  duration 1427ms  Flags 1  IntendedVsync 2440802156086  Vsync 2442185489364  OldestInputEvent 9223372036854775807  NewestInputEvent 0  HandleInputStart 2442186282850  AnimationStart 2442186318730  PerformTraversalsStart 2442186412670  DrawStart 2442199451410  SyncQueued 2442201882460  SyncStart 2442205107740  IssueDrawCommandsStart 2442205156340  SwapBuffers 2442206014790  FrameCompleted 2442233350060  DequeueBufferDuration 240000  QueueBufferDuration 378000  _x000D_
2021 06 14 09:47:16 458 10122 10128 org shadowice flocke andotp dev I ocke andotp de: JIT allocated 70KB for compiled code of void android view View  init (android content Context  android util AttributeSet  int  int)_x000D_
2021 06 14 09:47:16 498 10122 10152 org shadowice flocke andotp dev D EGL emulation: eglMakeCurrent: 0xdc203240: ver 3 0 (tinfo 0xdc200420)_x000D_
2021 06 14 09:47:16 516 10122 10152 org shadowice flocke andotp dev D EGL emulation: eglMakeCurrent: 0xdc203240: ver 3 0 (tinfo 0xdc200420)_x000D_
2021 06 14 09:47:16 516 10122 10152 org shadowice flocke andotp dev W OpenGLRenderer: Incorrectly called buildLayer on View: FloatingActionButton  destroying layer   _x000D_
2021 06 14 09:47:16 571 10122 10152 org shadowice flocke andotp dev D EGL emulation: eglMakeCurrent: 0xdc203240: ver 3 0 (tinfo 0xdc200420)_x000D_
2021 06 14 09:47:16 646 10122 10152 org shadowice flocke andotp dev D EGL emulation: eglMakeCurrent: 0xdc203240: ver 3 0 (tinfo 0xdc200420)_x000D_
2021 06 14 09:47:16 717 10122 10152 org shadowice flocke andotp dev D EGL emulation: eglMakeCurrent: 0xdc203240: ver 3 0 (tinfo 0xdc200420)_x000D_
2021 06 14 09:47:16 725 10122 10152 org shadowice flocke andotp dev D EGL emulation: eglMakeCurrent: 0xdc203240: ver 3 0 (tinfo 0xdc200420)_x000D_
2021 06 14 09:47:17 529 10122 10152 org shadowice flocke andotp dev D EGL emulation: eglMakeCurrent: 0xdc203240: ver 3 0 (tinfo 0xdc200420)_x000D_
2021 06 14 09:47:17 546 10122 10122 org shadowice flocke andotp dev I AssistStructure: Flattened final assist data: 8512 bytes  containing 2 windows  55 views_x000D_
2021 06 14 09:47:17 851 10122 10152 org shadowice flocke andotp dev D EGL emulation: eglMakeCurrent: 0xdc203240: ver 3 0 (tinfo 0xdc200420)_x000D_
2021 06 14 09:47:18 006 10122 10152 org shadowice flocke andotp dev D EGL emulation: eglMakeCurrent: 0xdc203240: ver 3 0 (tinfo 0xdc200420)_x000D_
2021 06 14 09:47:29 113 10122 10152 org shadowice flocke andotp dev D EGL emulation: eglMakeCurrent: 0xdc203240: ver 3 0 (tinfo 0xdc200420)_x000D_
2021 06 14 09:47:29 323 10122 10152 org shadowice flocke andotp dev I chatty: uid 10141(org shadowice flocke andotp dev) RenderThread identical 2 lines_x000D_
2021 06 14 09:47:29 440 10122 10152 org shadowice flocke andotp dev D EGL emulation: eglMakeCurrent: 0xdc203240: ver 3 0 (tinfo 0xdc200420)_x000D_
2021 06 14 09:47:30 245 10122 10152 org shadowice flocke andotp dev D EGL emulation: eglMakeCurrent: 0xdc203240: ver 3 0 (tinfo 0xdc200420)_x000D_
2021 06 14 09:47:30 261 10122 10152 org shadowice flocke andotp dev D EGL emulation: eglMakeCurrent: 0xdc203240: ver 3 0 (tinfo 0xdc200420)_x000D_
2021 06 14 09:47:30 262 10122 10152 org shadowice flocke andotp dev D OpenGLRenderer: endAllActiveAnimators on 0xc3a85280 (RippleDrawable) with handle 0xc23e8770_x000D_
2021 06 14 09:47:30 343 10122 10152 org shadowice flocke andotp dev D EGL emulation: eglMakeCurrent: 0xdc203240: ver 3 0 (tinfo 0xdc200420)_x000D_
2021 06 14 09:47:30 469 10122 10152 org shadowice flocke andotp dev D EGL emulation: eglMakeCurrent: 0xdc203240: ver 3 0 (tinfo 0xdc200420)_x000D_
2021 06 14 09:47:30 710 10122 10152 org shadowice flocke andotp dev D EGL emulation: eglMakeCurrent: 0xdc203240: ver 3 0 (tinfo 0xdc200420)_x000D_
2021 06 14 09:47:31 632 10122 10152 org shadowice flocke andotp dev D EGL emulation: eglMakeCurrent: 0xdc203240: ver 3 0 (tinfo 0xdc200420)_x000D_
2021 06 14 09:47:31 708 10122 10122 org shadowice flocke andotp dev I AssistStructure: Flattened final assist data: 9632 bytes  containing 3 windows  62 views_x000D_
2021 06 14 09:47:31 933 10122 10152 org shadowice flocke andotp dev D EGL emulation: eglMakeCurrent: 0xdc203240: ver 3 0 (tinfo 0xdc200420)_x000D_
2021 06 14 09:47:32 127 10122 10152 org shadowice flocke andotp dev D EGL emulation: eglMakeCurrent: 0xdc203240: ver 3 0 (tinfo 0xdc200420)_x000D_
2021 06 14 09:47:32 174 10122 10152 org shadowice flocke andotp dev D EGL emulation: eglMakeCurrent: 0xdc203240: ver 3 0 (tinfo 0xdc200420)_x000D_
2021 06 14 09:47:32 332 10122 10133 org shadowice flocke andotp dev I ocke andotp de: NativeAlloc concurrent copying GC freed 60192(2625KB) AllocSpace objects  11(284KB) LOS objects  49  free  3642KB 7284KB  paused 1 854ms total 290 032ms_x000D_
2021 06 14 09:47:35 091 10122 10152 org shadowice flocke andotp dev D EGL emulation: eglMakeCurrent: 0xdc203240: ver 3 0 (tinfo 0xdc200420)_x000D_
2021 06 14 09:47:35 094 10122 10152 org shadowice flocke andotp dev D OpenGLRenderer: endAllActiveAnimators on 0xc31e4f00 (RippleDrawable) with handle 0xc4de46a0_x000D_
2021 06 14 09:47:35 137 10122 10152 org shadowice flocke andotp dev D EGL emulation: eglMakeCurrent: 0xdc203240: ver 3 0 (tinfo 0xdc200420)_x000D_
2021 06 14 09:47:35 468 10122 10152 org shadowice flocke andotp dev D EGL emulation: eglMakeCurrent: 0xdc203240: ver 3 0 (tinfo 0xdc200420)_x000D_
2021 06 14 09:47:35 674 10122 10152 org shadowice flocke andotp dev D EGL emulation: eglMakeCurrent: 0xdc203240: ver 3 0 (tinfo 0xdc200420)_x000D_
2021 06 14 09:47:37 951 10122 10152 org shadowice flocke andotp dev D EGL emulation: eglMakeCurrent: 0xdc203240: ver 3 0 (tinfo 0xdc200420)_x000D_
2021 06 14 09:47:37 952 10122 10152 org shadowice flocke andotp dev D OpenGLRenderer: endAllActiveAnimators on 0xc4e27e00 (RippleDrawable) with handle 0xc4de46a0_x000D_
2021 06 14 09:47:38 060 10122 10152 org shadowice flocke andotp dev D EGL emulation: eglMakeCurrent: 0xdc203240: ver 3 0 (tinfo 0xdc200420)_x000D_
2021 06 14 09:47:41 352 10122 10122 org shadowice flocke andotp dev D AndroidRuntime: Shutting down VM_x000D_
    _x000D_
    _x000D_
              beginning of crash_x000D_
2021 06 14 09:47:41 353 10122 10122 org shadowice flocke andotp dev E AndroidRuntime: FATAL EXCEPTION: main_x000D_
    Process: org shadowice flocke andotp dev  PID: 10122_x000D_
    java lang UnsupportedOperationException_x000D_
        at java util AbstractCollection add(AbstractCollection java:262)_x000D_
        at org shadowice flocke andotp Utilities Settings setTagToggle(Settings java:532)_x000D_
        at org shadowice flocke andotp Activities MainActivity lambda setupDrawer 6 MainActivity(MainActivity java:860)_x000D_
        at org shadowice flocke andotp Activities    Lambda MainActivity KqsKsss5VGcnxXzvW uV2fIdCOk onItemClick(Unknown Source:10)_x000D_
        at android widget AdapterView performItemClick(AdapterView java:330)_x000D_
        at android widget AbsListView performItemClick(AbsListView java:1190)_x000D_
        at android widget AbsListView PerformClick run(AbsListView java:3198)_x000D_
        at android widget AbsListView 3 run(AbsListView java:4116)_x000D_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2021 06 14 09:47:41 360 10122 10122 org shadowice flocke andotp dev I Process: Sending signal  PID: 10122 SIG: 9_x000D_
_x000D_
_x000D_
   _x000D_
_x000D_
     Steps to reproduce_x000D_
 _x000D_
   do a clean install_x000D_
   do a initial setup using  android keystore  and  none _x000D_
   add account by  enter details :_x000D_
   issuer:  google    label:  abc    secret :  abc _x000D_
   also select Tags   new tag   enter name  tag    ok_x000D_
   click save to add the account_x000D_
   open side menu to filter tags_x000D_
   disable check mark on  tag _x000D_
   app crashed_x000D_
</t>
  </si>
  <si>
    <t>StoyanTinchev-musicial-tesla-coil-35</t>
  </si>
  <si>
    <t xml:space="preserve">Describe the bug_x000D_
When I play one song from the application then go back to the list with my songs and I scroll my notification bar and try to press any button to control the song the application crashes  _x000D_
_x000D_
To Reproduce_x000D_
Steps to reproduce the behavior:_x000D_
1  Go to the application_x000D_
2  Click on song_x000D_
3  Go back to the list with the songs_x000D_
4  Try to play the next song from the notification bar_x000D_
5  Then the app crashes_x000D_
_x000D_
Expected behavior_x000D_
To play the next song _x000D_
_x000D_
Screenshots_x000D_
  image (https:  user images githubusercontent com 36786687 121816962 57c34b80 cc87 11eb 87f9 405078b19c9f png)_x000D_
_x000D_
Desktop_x000D_
   OS: Windows_x000D_
   Browser chrome_x000D_
   Version 22_x000D_
_x000D_
Smartphone_x000D_
   Device: Samsung Galaxy A20e_x000D_
   OS: Android_x000D_
   Browser chrome_x000D_
   Version 22_x000D_
_x000D_
</t>
  </si>
  <si>
    <t>IdoSagiv-CommuniDog-13</t>
  </si>
  <si>
    <t>when launching the app on the 1st time- its crashing</t>
  </si>
  <si>
    <t xml:space="preserve">hi  when i launched the app for the 1st time it crashed  _x000D_
on the 1st time you launch the app  it asks for a location permission  and then crashes _x000D_
after i gave the permission and re launched it didnt crash and i could proceed after the login screen _x000D_
</t>
  </si>
  <si>
    <t>Anuken-Mindustry-5417</t>
  </si>
  <si>
    <t>A mod crashes like never before; why is a js mod doing the gen</t>
  </si>
  <si>
    <t xml:space="preserve">  Platform  :  Windows _x000D_
_x000D_
  Build  :  21177 _x000D_
_x000D_
  Issue  :  sk7725 testers crashes with a reason that does not make sense  this is what Intellij s Code Coverage(Run log) outputs: _x000D_
   _x000D_
 I  Loaded mod  testers  in 6 3643ms_x000D_
 2021 06 13 13:07:26  (Coverage): Error during class instrumentation: rhino gen testerblocks 5: java lang RuntimeException: java io IOException: Class rhino gen testerblocks 5 not found_x000D_
   _x000D_
_x000D_
  Steps to reproduce  :  download sk7725 testers _x000D_
_x000D_
  Link(s) to mod(s) used  :  sk7725 testers _x000D_
_x000D_
  Save file  :  I didn t get to open one  crash at load _x000D_
_x000D_
If you remove the line above without reading it properly and understanding what it means  I will reap your soul  Even if you re playing on someone s server  you can still save the game to a slot _x000D_
_x000D_
  (Crash) logs  :  I WISH I HAD ONE 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t>
  </si>
  <si>
    <t>MuntashirAkon-AppManager-476</t>
  </si>
  <si>
    <t>Unable to open App Details page for some apps most of the time</t>
  </si>
  <si>
    <t xml:space="preserve">   x  I know what my device  OS and App Manager versions are_x000D_
   x  I know how to take logs_x000D_
   x  I know how to reproduce the issue which may not be specific to my device_x000D_
_x000D_
First of all  thank you for fixing bug 140 167 298  I now see all of the apps  :)_x000D_
_x000D_
  Describe the bug  _x000D_
_x000D_
Unfortunately  this happens only intermittently (most of the time  but not always)  I believe I have a log capture of when it happened  When I select an app in app manager  I see either  Could not fetch package infor  or  App not installed   App Manager then returns to the list of apps  No other application that interacts with packages has this problem _x000D_
_x000D_
  Crash logs  _x000D_
_x000D_
App Manager did crash once due to this (but I managed to mishit a button  and lost those logs :( )  I have a log of the usual behavior (when I see the message  and App Manager returns to the llist of apps _x000D_
_x000D_
 details _x000D_
 summary Logs  summary _x000D_
_x000D_
   _x000D_
 06 12 09:52:58 039 137:171 E BufferQueueProducer _x000D_
 io github muntashirakon AppManager io github muntashirakon AppManager main MainActivity  allocateBuffers: slot 2 without buffer is not FREE_x000D_
_x000D_
 06 12 09:53:05 819 12343:15549 D IPC _x000D_
transact: uid 10171  descriptor android content pm IPackageManager  code 14_x000D_
_x000D_
 06 12 09:53:05 903 12343:12379 D IPC _x000D_
transact: uid 10171  descriptor android content pm IPackageManager  code 14_x000D_
_x000D_
 06 12 09:53:06 028 12343:12363 D IPC _x000D_
transact: uid 10171  descriptor android content pm IPackageManager  code 14_x000D_
_x000D_
 06 12 09:53:06 080 12343:12365 D IPC _x000D_
transact: uid 10171  descriptor android content pm IPackageManager  code 14_x000D_
_x000D_
 06 12 09:53:06 170 12343:8506 D IPC _x000D_
transact: uid 10171  descriptor android content pm IPackageManager  code 14_x000D_
_x000D_
 06 12 09:53:07 754 471:6166 I ActivityManager _x000D_
START u0  cmp io github muntashirakon AppManager  details AppDetailsActivity (has extras)  from uid 10171 on display 0_x000D_
_x000D_
 06 12 09:53:07 970 12343:12379 D IPC _x000D_
transact: uid 10171  descriptor android content pm IPackageManager  code 3_x000D_
_x000D_
 06 12 09:53:08 089 12343:12379 E JavaBinder _x000D_
    FAILED BINDER TRANSACTION      (parcel size   144)_x000D_
_x000D_
 06 12 09:53:08 091 12343:12379 E JavaBinder _x000D_
    Uncaught remote exception   (Exceptions are not yet supported across processes )_x000D_
java lang RuntimeException: android os DeadObjectException: Transaction failed on small parcel  remote process probably died_x000D_
        at android os Parcel writeException(Parcel java:1520)_x000D_
        at android os Binder execTransact(Binder java:459)_x000D_
Caused by: android os DeadObjectException: Transaction failed on small parcel  remote process probably died_x000D_
        at android os BinderProxy transactNative(Native Method)_x000D_
        at android os BinderProxy transact(Binder java:503)_x000D_
        at io github muntashirakon AppManager ipc AMService IAMServiceImpl transactRemote(AMService java:132)_x000D_
        at io github muntashirakon AppManager ipc AMService IAMServiceImpl onTransact(AMService java:106)_x000D_
        at android os Binder execTransact(Binder java:453)_x000D_
_x000D_
 06 12 09:53:08 092 12343:12363 D IPC _x000D_
transact: uid 10171  descriptor android content pm IPackageManager  code 3_x000D_
_x000D_
 06 12 09:53:08 279 12343:12365 D IPC _x000D_
transact: uid 10171  descriptor android content pm IPackageManager  code 3_x000D_
_x000D_
 06 12 09:53:08 304 12343:1628 D IPC _x000D_
transact: uid 10171  descriptor android content pm IPackageManager  code 3_x000D_
_x000D_
 06 12 09:53:08 314 12343:12367 D IPC _x000D_
transact: uid 10171  descriptor android content pm IPackageManager  code 3_x000D_
_x000D_
 06 12 09:53:08 340 12343:8899 D IPC _x000D_
transact: uid 10171  descriptor android content pm IPackageManager  code 3_x000D_
_x000D_
 06 12 09:53:08 348 15554:15811 W art _x000D_
Long monitor contention event with owner method void io github muntashirakon AppManager details AppDetailsViewModel lambda setPackageName 3 AppDetailsViewModel(java lang String) from AppDetailsViewModel java:198 waiters 1 for 279ms_x000D_
_x000D_
 06 12 09:53:08 349 15554:15812 W art _x000D_
Long monitor contention event with owner method void io github muntashirakon AppManager details AppDetailsViewModel lambda setPackageName 3 AppDetailsViewModel(java lang String) from AppDetailsViewModel java:198 waiters 2 for 258ms_x000D_
_x000D_
 06 12 09:53:08 350 12343:15549 D IPC _x000D_
transact: uid 10171  descriptor android content pm IPackageManager  code 3_x000D_
_x000D_
 06 12 09:53:08 356 471:490 I ActivityManager _x000D_
Displayed io github muntashirakon AppManager  details AppDetailsActivity:  585ms_x000D_
_x000D_
 06 12 09:53:08 357 12343:12365 D IPC _x000D_
transact: uid 10171  descriptor android content pm IPackageManager  code 3_x000D_
_x000D_
 06 12 09:53:08 361 12343:8506 D IPC _x000D_
transact: uid 10171  descriptor android content pm IPackageManager  code 3_x000D_
_x000D_
 06 12 09:53:08 622 12343:8506 E JavaBinder _x000D_
    FAILED BINDER TRANSACTION      (parcel size   144)_x000D_
_x000D_
 06 12 09:53:08 623 12343:8506 E JavaBinder _x000D_
    Uncaught remote exception   (Exceptions are not yet supported across processes )_x000D_
java lang RuntimeException: android os DeadObjectException: Transaction failed on small parcel  remote process probably died_x000D_
        at android os Parcel writeException(Parcel java:1520)_x000D_
        at android os Binder execTransact(Binder java:459)_x000D_
Caused by: android os DeadObjectException: Transaction failed on small parcel  remote process probably died_x000D_
        at android os BinderProxy transactNative(Native Method)_x000D_
        at android os BinderProxy transact(Binder java:503)_x000D_
        at io github muntashirakon AppManager ipc AMService IAMServiceImpl transactRemote(AMService java:132)_x000D_
        at io github muntashirakon AppManager ipc AMService IAMServiceImpl onTransact(AMService java:106)_x000D_
        at android os Binder execTransact(Binder java:453)_x000D_
_x000D_
 06 12 09:53:08 626 12343:8899 D IPC _x000D_
transact: uid 10171  descriptor android content pm IPackageManager  code 3_x000D_
_x000D_
 06 12 09:53:08 626 137:137 W SurfaceFlinger _x000D_
couldn t log to binary event log: overflow _x000D_
_x000D_
 06 12 09:53:08 642 12343:15549 E JavaBinder _x000D_
    FAILED BINDER TRANSACTION      (parcel size   144)_x000D_
_x000D_
 06 12 09:53:08 644 12343:15549 E JavaBinder _x000D_
    Uncaught remote exception   (Exceptions are not yet supported across processes )_x000D_
java lang RuntimeException: android os DeadObjectException: Transaction failed on small parcel  remote process probably died_x000D_
        at android os Parcel writeException(Parcel java:1520)_x000D_
        at android os Binder execTransact(Binder java:459)_x000D_
Caused by: android os DeadObjectException: Transaction failed on small parcel  remote process probably died_x000D_
        at android os BinderProxy transactNative(Native Method)_x000D_
        at android os BinderProxy transact(Binder java:503)_x000D_
        at io github muntashirakon AppManager ipc AMService IAMServiceImpl transactRemote(AMService java:132)_x000D_
        at io github muntashirakon AppManager ipc AMService IAMServiceImpl onTransact(AMService java:106)_x000D_
        at android os Binder execTransact(Binder java:453)_x000D_
_x000D_
 06 12 09:53:08 645 12343:8506 D IPC _x000D_
transact: uid 10171  descriptor android content pm IPackageManager  code 3_x000D_
_x000D_
 06 12 09:53:08 656 12343:12365 E JavaBinder _x000D_
    FAILED BINDER TRANSACTION      (parcel size   144)_x000D_
_x000D_
 06 12 09:53:08 657 12343:12365 E JavaBinder _x000D_
    Uncaught remote exception   (Exceptions are not yet supported across processes )_x000D_
java lang RuntimeException: android os DeadObjectException: Transaction failed on small parcel  remote process probably died_x000D_
        at android os Parcel writeException(Parcel java:1520)_x000D_
        at android os Binder execTransact(Binder java:459)_x000D_
Caused by: android os DeadObjectException: Transaction failed on small parcel  remote process probably died_x000D_
        at android os BinderProxy transactNative(Native Method)_x000D_
        at android os BinderProxy transact(Binder java:503)_x000D_
        at io github muntashirakon AppManager ipc AMService IAMServiceImpl transactRemote(AMService java:132)_x000D_
        at io github muntashirakon AppManager ipc AMService IAMServiceImpl onTransact(AMService java:106)_x000D_
        at android os Binder execTransact(Binder java:453)_x000D_
_x000D_
 06 12 09:53:08 658 12343:15549 D IPC _x000D_
transact: uid 10171  descriptor android content pm IPackageManager  code 3_x000D_
_x000D_
 06 12 09:53:08 908 15554:15808 E JavaBinder _x000D_
    FAILED BINDER TRANSACTION      (parcel size   288)_x000D_
_x000D_
 06 12 09:53:08 908 15554:15808 W System err _x000D_
android os DeadObjectException: Transaction failed on small parcel  remote process probably died_x000D_
_x000D_
 06 12 09:53:08 909 15554:15808 W System err _x000D_
        at android os BinderProxy transactNative(Native Method)_x000D_
_x000D_
 06 12 09:53:08 909 15554:15808 W System err _x000D_
        at android os BinderProxy transact(Binder java:503)_x000D_
_x000D_
 06 12 09:53:08 909 15554:15808 W System err _x000D_
        at io github muntashirakon AppManager ipc ProxyBinder transact(ProxyBinder java:57)_x000D_
_x000D_
 06 12 09:53:08 909 15554:15808 W System err _x000D_
        at android content pm IPackageManager Stub Proxy getPackageInfo(IPackageManager java:2247)_x000D_
_x000D_
 06 12 09:53:08 909 15554:15808 W System err _x000D_
        at io github muntashirakon AppManager servermanager PackageManagerCompat getPackageInfo(PackageManagerCompat java:107)_x000D_
_x000D_
 06 12 09:53:08 909 15554:15808 W System err _x000D_
        at io github muntashirakon AppManager details AppDetailsViewModel setPackageInfo(AppDetailsViewModel java:786)_x000D_
_x000D_
 06 12 09:53:08 909 15554:15808 W System err _x000D_
        at io github muntashirakon AppManager details AppDetailsViewModel getPackageInfo(AppDetailsViewModel java:839)_x000D_
_x000D_
 06 12 09:53:08 909 15554:15808 W System err _x000D_
        at io github muntashirakon AppManager details AppDetailsViewModel lambda setPackage 2 AppDetailsViewModel(AppDetailsViewModel java:167)_x000D_
_x000D_
 06 12 09:53:08 909 15554:15808 W System err _x000D_
        at io github muntashirakon AppManager details    Lambda AppDetailsViewModel UfhyR2xVfIa2 hnR4epy60V5Q I run(lambda)_x000D_
_x000D_
 06 12 09:53:08 909 15554:15808 W System err _x000D_
        at java util concurrent Executors RunnableAdapter call(Executors java:423)_x000D_
_x000D_
 06 12 09:53:08 909 15554:15808 W System err _x000D_
        at java util concurrent FutureTask run(FutureTask java:237)_x000D_
_x000D_
 06 12 09:53:08 909 15554:15808 W System err _x000D_
        at java util concurrent ThreadPoolExecutor runWorker(ThreadPoolExecutor java:1113)_x000D_
_x000D_
 06 12 09:53:08 909 15554:15808 W System err _x000D_
        at java util concurrent ThreadPoolExecutor Worker run(ThreadPoolExecutor java:588)_x000D_
_x000D_
 06 12 09:53:08 909 15554:15808 W System err _x000D_
        at java lang Thread run(Thread java:818)_x000D_
_x000D_
 06 12 09:53:08 931 471:482 W ActivityManager _x000D_
Duplicate finish request for ActivityRecord 9d8c14 u0 io github muntashirakon AppManager  details AppDetailsActivity t583 f _x000D_
_x000D_
 06 12 09:53:08 949 15554:15812 E JavaBinder _x000D_
    FAILED BINDER TRANSACTION      (parcel size   288)_x000D_
_x000D_
 06 12 09:53:08 949 15554:15812 W System err _x000D_
android os DeadObjectException: Transaction failed on small parcel  remote process probably died_x000D_
_x000D_
 06 12 09:53:08 951 15554:15812 W System err _x000D_
        at android os BinderProxy transactNative(Native Method)_x000D_
_x000D_
 06 12 09:53:08 951 15554:15812 W System err _x000D_
        at android os BinderProxy transact(Binder java:503)_x000D_
_x000D_
 06 12 09:53:08 951 15554:15812 W System err _x000D_
        at io github muntashirakon AppManager ipc ProxyBinder transact(ProxyBinder java:57)_x000D_
_x000D_
 06 12 09:53:08 951 15554:15812 W System err _x000D_
        at android content pm IPackageManager Stub Proxy getPackageInfo(IPackageManager java:2247)_x000D_
_x000D_
 06 12 09:53:08 951 15554:15812 W System err _x000D_
        at io github muntashirakon AppManager servermanager PackageManagerCompat getPackageInfo(PackageManagerCompat java:107)_x000D_
_x000D_
 06 12 09:53:08 951 15554:15812 W System err _x000D_
        at io github muntashirakon AppManager details AppDetailsViewModel setPackageInfo(AppDetailsViewModel java:786)_x000D_
_x000D_
 06 12 09:53:08 951 15554:15812 W System err _x000D_
        at io github muntashirakon AppManager details AppDetailsViewModel getPackageInfo(AppDetailsViewModel java:839)_x000D_
_x000D_
 06 12 09:53:08 951 15554:15812 W System err _x000D_
        at io github muntashirakon AppManager details AppDetailsViewModel loadActivities(AppDetailsViewModel java:914)_x000D_
_x000D_
 06 12 09:53:08 951 15554:15812 W System err _x000D_
        at io github muntashirakon AppManager details AppDetailsViewModel lambda nptXYDsatLObZChw  K7I1obpcY(AppDetailsViewModel java)_x000D_
_x000D_
 06 12 09:53:08 951 15554:15812 W System err _x000D_
        at io github muntashirakon AppManager details    Lambda AppDetailsViewModel nptXYDsatLObZChw  K7I1obpcY run(lambda)_x000D_
_x000D_
 06 12 09:53:08 951 15554:15812 W System err _x000D_
        at java util concurrent Executors RunnableAdapter call(Executors java:423)_x000D_
_x000D_
 06 12 09:53:08 951 15554:15812 W System err _x000D_
        at java util concurrent FutureTask run(FutureTask java:237)_x000D_
_x000D_
 06 12 09:53:08 951 15554:15812 W System err _x000D_
        at java util concurrent ThreadPoolExecutor runWorker(ThreadPoolExecutor java:1113)_x000D_
_x000D_
 06 12 09:53:08 951 15554:15812 W System err _x000D_
        at java util concurrent ThreadPoolExecutor Worker run(ThreadPoolExecutor java:588)_x000D_
_x000D_
 06 12 09:53:08 952 15554:15812 W System err _x000D_
        at java lang Thread run(Thread java:818)_x000D_
_x000D_
 06 12 09:53:08 956 12343:12365 D IPC _x000D_
transact: uid 10171  descriptor android content pm IPackageManager  code 3_x000D_
_x000D_
 06 12 09:53:08 997 12343:8899 D IPC _x000D_
transact: uid 10171  descriptor android content pm IPackageManager  code 3_x000D_
_x000D_
 06 12 09:53:09 005 12343:1628 D IPC _x000D_
transact: uid 10171  descriptor android content pm IPackageManager  code 3_x000D_
_x000D_
 06 12 09:53:09 027 12343:12367 D IPC _x000D_
transact: uid 10171  descriptor android content pm IPackageManager  code 3_x000D_
_x000D_
 06 12 09:53:09 035 12343:8506 D IPC _x000D_
transact: uid 10171  descriptor android content pm IPackageManager  code 3_x000D_
_x000D_
 06 12 09:53:09 115 12343:12379 D IPC _x000D_
transact: uid 10171  descriptor com android internal app IAppOpsService  code 12_x000D_
_x000D_
 06 12 09:53:09 295 15554:15564 I art _x000D_
Background partial concurrent mark sweep GC freed 172256(10MB) AllocSpace objects  6(3MB) LOS objects  22  free  13MB 17MB  paused 1 647ms total 297 912ms_x000D_
_x000D_
 06 12 09:53:10 057 15554:15554 I Choreographer _x000D_
Skipped 48 frames   The application may be doing too much work on its main thread _x000D_
_x000D_
java io InterruptedIOException_x000D_
        at com topjohnwu superuser internal TaskImpl run(TaskImpl java:74)_x000D_
        at com topjohnwu superuser internal ShellImpl execTask(ShellImpl java:229)_x000D_
        at com topjohnwu superuser internal JobImpl exec0(JobImpl java:62)_x000D_
        at com topjohnwu superuser internal JobImpl exec(JobImpl java:81)_x000D_
        at com topjohnwu superuser internal PendingJob exec(PendingJob java:54)_x000D_
        at io github muntashirakon AppManager runner RootShellRunner runCommand(RootShellRunner java:21)_x000D_
        at io github muntashirakon AppManager runner Runner run(Runner java:205)_x000D_
        at io github muntashirakon AppManager runner Runner runCommand(Runner java:163)_x000D_
        at io github muntashirakon AppManager runner Runner runCommand(Runner java:129)_x000D_
        at io github muntashirakon AppManager utils PackageUtils getHiddenCodePathOrDefault(PackageUtils java:676)_x000D_
        at io github muntashirakon AppManager details info AppInfoViewModel loadTagCloud(AppInfoViewModel java:112)_x000D_
        at io github muntashirakon AppManager details info AppInfoFragment loadPackageInfo(AppInfoFragment java:1398)_x000D_
        at io github muntashirakon AppManager details info AppInfoFragment lambda oxlKbqiAsxIkEG69gntC jrgnXk(AppInfoFragment java)_x000D_
        at io github muntashirakon AppManager details info    Lambda AppInfoFragment oxlKbqiAsxIkEG69gntC jrgnXk run(lambda)_x000D_
        at java util concurrent Executors RunnableAdapter call(Executors java:423)_x000D_
        at java util concurrent FutureTask run(FutureTask java:237)_x000D_
        at java util concurrent ThreadPoolExecutor runWorker(ThreadPoolExecutor java:1113)_x000D_
        at java util concurrent ThreadPoolExecutor Worker run(ThreadPoolExecutor java:588)_x000D_
        at java lang Thread run(Thread java:818)_x000D_
Caused by: java lang InterruptedException_x000D_
        at java util concurrent FutureTask awaitDone(FutureTask java:391)_x000D_
        at java util concurrent FutureTask get(FutureTask java:163)_x000D_
        at com topjohnwu superuser internal TaskImpl run(TaskImpl java:71)_x000D_
            18 more_x000D_
   _x000D_
  details _x000D_
_x000D_
  Device info  _x000D_
  Device: Samsung Galaxy Tab 2_x000D_
  OS Version: LineageOS 13 0 20180211 NIGHTLY espressowifi_x000D_
  App Manager Version: 2 6 1 (387)_x000D_
  Mode: root</t>
  </si>
  <si>
    <t>Benji377-SocyMusic-56</t>
  </si>
  <si>
    <t>Strange incompatibility issue with the Popup</t>
  </si>
  <si>
    <t>After coding the popup window  adding a style to it  and testing it on the Android studio emulator everything was looking good  But then I decided to do one last test on my phone and it crashed the app _x000D_
_x000D_
This is the error I get:_x000D_
  attr colorAccent  is not set  _x000D_
_x000D_
I think it might just be a color missing somewhere  Refer to this StackOverflow answer: https:  stackoverflow com questions 35813050 error no resource found that matches the given name attr coloraccent in ecli</t>
  </si>
  <si>
    <t>TeamNewPipe-NewPipe-6480</t>
  </si>
  <si>
    <t>Added itemsListHeaderDuration to large-land player</t>
  </si>
  <si>
    <t xml:space="preserve">     What is it _x000D_
   x  Bugfix (user facing)_x000D_
      Feature (user facing)_x000D_
      Codebase improvement (dev facing)_x000D_
      Meta improvement to the project (dev facing)_x000D_
_x000D_
     Description of the changes in your PR_x000D_
  The   ItemsListHeaderDuration   element was missing in the   large land   player which caused crashes on larger devices like TVs or tablets to crash_x000D_
_x000D_
Problem was caused by  6441   https:  github com TeamNewPipe NewPipe commit d921e2e61b3577469b26e361bd05483343f7b864_x000D_
_x000D_
     Fixes the following issue(s)_x000D_
  Fixes  6467_x000D_
_x000D_
     APK testing _x000D_
On the website the APK can be found by going to the  Checks  tab below the title and then on  artifacts  on the right _x000D_
_x000D_
     Due diligence_x000D_
   x  I read the  contribution guidelines (https:  github com TeamNewPipe NewPipe blob HEAD  github CONTRIBUTING md) _x000D_
</t>
  </si>
  <si>
    <t>thebergamo-react-native-fbsdk-next-54</t>
  </si>
  <si>
    <t>[iOS] App crashes on startup on 4.3.0 (probable incompatibility with deprecated MixPanel messaging module)</t>
  </si>
  <si>
    <t xml:space="preserve">     _x000D_
     react native fbsdk sdk  is a wrapper around the Facebook SDKs for iOS and Android  _x000D_
    GitHub Issues in the  thebergamo react native fbsdk next  repository are used exclusively _x000D_
    for tracking bugs in the React Native wrapper around the Facebook SDK _x000D_
_x000D_
    To report a bug in the iOS or Android Facebook SDK  please visit https:  developers facebook com bugs  _x000D_
_x000D_
    If you need help integrating the React Native Facebook SDK wrapper  _x000D_
    many members of the community use Stack Overflow to ask and answer questions  _x000D_
      Read through the existing questions: https:  stackoverflow com questions tagged react native fbsdk sort frequent_x000D_
      Ask your own: http:  stackoverflow com questions ask tags react native fbsdk_x000D_
_x000D_
   _x000D_
_x000D_
     Bug Report_x000D_
_x000D_
App is crashing on app startup on iOS _x000D_
_x000D_
   _x000D_
  MPSwizzler swizzleSelector:onClass:withBlock:named:async: : unrecognized selector sent to class 0x107ac4aa8_x000D_
    Terminating app due to uncaught exception  NSInvalidArgumentException   reason:    MPSwizzler swizzleSelector:onClass:withBlock:named:async: : unrecognized selector sent to class 0x107ac4aa8 _x000D_
    First throw call stack:_x000D_
(0x1a46bd9d8 0x1b8a40b54 0x1a45d2070 0x1a46c001c 0x1a46c1f8c 0x1040f1558 0x107a1e488 0x10a811528 0x10a8208a8 0x10a811528 0x10a81f994 0x1a463d5e0 0x1a4637a88 0x1a4636ba0 0x1bb39c598 0x1a6f282f4 0x1a6f2d874 0x10276caf8 0x1a4315568)_x000D_
libc  abi dylib: terminating with uncaught exception of type NSException_x000D_
    Terminating app due to uncaught exception  NSInvalidArgumentException   reason:    MPSwizzler swizzleSelector:onClass:withBlock:named:async: : unrecognized selector sent to class 0x107ac4aa8 _x000D_
terminating with uncaught exception of type NSException_x000D_
   _x000D_
_x000D_
   To Reproduce_x000D_
_x000D_
  Update react native fbsdk next from 4 2 0 to 4 3 0_x000D_
  pod update FBSDKCoreKit FBSDKLoginKit FBSDKShareKit_x000D_
  build and run_x000D_
_x000D_
   Expected Behavior_x000D_
  App works as before_x000D_
_x000D_
   Actual Behavior_x000D_
  App crashes on startup_x000D_
_x000D_
   Code Example_x000D_
_x000D_
App is currently only initializing the SDK _x000D_
_x000D_
   _x000D_
import   Settings   from  react native fbsdk next  _x000D_
_x000D_
Settings initializeSDK() _x000D_
   _x000D_
_x000D_
   Environment_x000D_
System:_x000D_
    OS: macOS 11 2 3_x000D_
    CPU: (8) x64 Apple M1_x000D_
    Memory: 270 97 MB   16 00 GB_x000D_
    Shell: 5 8    bin zsh_x000D_
  Binaries:_x000D_
    Node: 14 15 2    var folders py  bdk2p1n13v1hc7fq1bhs2000000gn T yarn  1623436645989 0 8183305738118558 node_x000D_
    Yarn: 1 22 10    var folders py  bdk2p1n13v1hc7fq1bhs2000000gn T yarn  1623436645989 0 8183305738118558 yarn_x000D_
    npm: 6 14 9      nvm versions node v14 15 2 bin npm_x000D_
    Watchman: 4 9 0    opt homebrew bin watchman_x000D_
  Managers:_x000D_
    CocoaPods: Not Found    using 1 10 1 with bundler_x000D_
  SDKs:_x000D_
    iOS SDK:_x000D_
      Platforms: iOS 14 4  DriverKit 20 2  macOS 11 1  tvOS 14 3  watchOS 7 2_x000D_
    Android SDK:_x000D_
      API Levels: 28  29  30_x000D_
      Build Tools: 28 0 3  29 0 2  29 0 3  30 0 2_x000D_
      System Images: android S   Google APIs ARM 64 v8a_x000D_
      Android NDK: Not Found_x000D_
  IDEs:_x000D_
    Android Studio: 4 2 AI 202 7660 26 42 7351085_x000D_
    Xcode: 12 4 12D4e    usr bin xcodebuild_x000D_
  Languages:_x000D_
    Java: 1 8 0 292    usr bin javac_x000D_
    Python: 2 7 16    usr bin python_x000D_
  npmPackages:_x000D_
     react native community cli: Not Found_x000D_
    react: 16 13 1    16 13 1 _x000D_
    react native:  0 63 3    0 63 4 _x000D_
    react native macos: Not Found_x000D_
  npmGlobalPackages:_x000D_
     react native : Not Found</t>
  </si>
  <si>
    <t>TeamNewPipe-NewPipe-6478</t>
  </si>
  <si>
    <t>Doesn't work smooth on 4G (even for 480p)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</si>
  <si>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Just normal usage shows the same result  Can t even play 480p smoothly  It stops for buffering every 2 secs  Very annoying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Not playing even the 480p videos smoothly  even on 4G _x000D_
_x000D_
_x000D_
    Expected behavior_x000D_
     Tell us what you expect to happen     _x000D_
I sometimes get 4G   Anyway 4G is enough to play even 1080p videos smoothly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12 0 4 Global Stable_x000D_
   Device model: Redmi Note 10 (4GB  64GB)_x000D_
</t>
  </si>
  <si>
    <t>oliexdev-openScale-740</t>
  </si>
  <si>
    <t>App crash while adding Beurer BF710 scale</t>
  </si>
  <si>
    <t xml:space="preserve">App crashes while going to the next step after selecting Beurer BF 710  Crash logs:_x000D_
_x000D_
 Build version: 2 3 2 dev 5d697fe9 2020 11 05 Build date: 1981 01 01 01:01:02 Current date: 2021 06 11 17:52:17 Device: Xiaomi Redmi Note 9 Pro OS version: Android 10 (SDK 29)  Stack trace:  java lang IllegalArgumentException: ID does not reference a View inside this Activity	at android app Activity requireViewById(Activity java:3297)	at androidx core app ActivityCompat requireViewById(ActivityCompat java:363)	at androidx navigation Navigation findNavController(Navigation java:58)	at com health openscale gui preferences BluetoothSettingsFragment BluetoothDeviceView onClick(BluetoothSettingsFragment java:365)	at android view View performClick(View java:7184)	at android view View performClickInternal(View java:7161)	at android view View access 3500(View java:818)	at android view View PerformClick run(View java:27683)	at android os Handler handleCallback(Handler java:883)	at android os Handler dispatchMessage(Handler java:100)	at android os Looper loop(Looper java:224)	at android app ActivityThread main(ActivityThread java:7562)	at java lang reflect Method invoke(Native Method)	at com android internal os RuntimeInit MethodAndArgsCaller run(RuntimeInit java:539)	at com android internal os ZygoteInit main(ZygoteInit java:950) </t>
  </si>
  <si>
    <t>TeamNewPipe-NewPipe-6473</t>
  </si>
  <si>
    <t>NewPipe crashes when switching back to the play queue from the main player.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</si>
  <si>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Play any playlist in the background _x000D_
2  Tap on NewPipe s notification to open the play queue _x000D_
3  Open the kebab menu and select  Switch to Main _x000D_
4  Tap on the currently playing video and tap the play queue icon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NewPipe crashes every time _x000D_
_x000D_
    Expected behavior_x000D_
     Tell us what you expect to happen     _x000D_
_x000D_
NewPipe doesn t crash and I see the play queue again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Exception_x000D_
    User Action:   ui error_x000D_
    Request:   ACRA report_x000D_
    Content Country:   US_x000D_
    Content Language:   en US_x000D_
    App Language:   en US_x000D_
    Service:   none_x000D_
    Version:   0 21 4_x000D_
    OS:   Linux Android 7 1 2   25_x000D_
 details  summary  b Crash log   b   summary  p _x000D_
_x000D_
   _x000D_
java lang NullPointerException: Attempt to invoke virtual method  void android view View setVisibility(int)  on a null object reference_x000D_
	at org schabi newpipe player Player onQueueClicked(Player java:2995)_x000D_
	at org schabi newpipe player Player onClick(Player java:3569)_x000D_
	at android view View performClick(View java:5637)_x000D_
	at android view View PerformClick run(View java:22433)_x000D_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_x000D_
   _x000D_
  details _x000D_
 hr </t>
  </si>
  <si>
    <t>square-okhttp-6701</t>
  </si>
  <si>
    <t>AssertionError: Method getAlpnSelectedProtocol not supported for object SSL socket over Socket on Android 11</t>
  </si>
  <si>
    <t>I m getting the crash below on some Android devices (i e  Android 11  MI 9 SE)_x000D_
_x000D_
OkHttp version: 4 9 1 (this seems to use io grpc:grpc okhttp:1 28 0)_x000D_
targetSdkVersion 30_x000D_
_x000D_
This issue seems to be fixed on grpc 1 32 2: https:  github com grpc grpc java issues 7519_x000D_
_x000D_
Is it safe to use grpc v1 32 2 with OkHttp 4 9 1 _x000D_
_x000D_
Fatal Exception: java lang AssertionError: Method getAlpnSelectedProtocol not supported for object SSL socket over Socket address firestore googleapis com 172 217 167 74 port 443 localPort 47098 _x000D_
       at io grpc okhttp internal OptionalMethod invoke(OptionalMethod java:114)_x000D_
       at io grpc okhttp internal OptionalMethod invokeWithoutCheckedException(OptionalMethod java:135)_x000D_
       at io grpc okhttp OkHttpProtocolNegotiator AndroidNegotiator getSelectedProtocol(OkHttpProtocolNegotiator java:183)_x000D_
       at io grpc okhttp OkHttpProtocolNegotiator AndroidNegotiator negotiate(OkHttpProtocolNegotiator java:145)_x000D_
       at io grpc okhttp OkHttpTlsUpgrader upgrade(OkHttpTlsUpgrader java:63)_x000D_
       at io grpc okhttp OkHttpClientTransport 4 run(OkHttpClientTransport java:571)_x000D_
       at io grpc internal SerializingExecutor run(SerializingExecutor java:123)_x000D_
       at java util concurrent ThreadPoolExecutor runWorker(ThreadPoolExecutor java:1167)_x000D_
       at java util concurrent ThreadPoolExecutor Worker run(ThreadPoolExecutor java:641)_x000D_
       at java lang Thread run(Thread java:923)</t>
  </si>
  <si>
    <t>TeamNewPipe-NewPipe-6472</t>
  </si>
  <si>
    <t>Jumps to beginning of media</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</si>
  <si>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When I switch to Background Play in middle while watching a video  many times it starts playing from the very beginning  Can t take any logs for same_x000D_
Well  the bug is not consistent  Sometimes  the videos play just as expected  Sometimes  from a couple of seconds ago and sometimes from the beginning  Thanks to  SameenAhnaf for this_x000D_
Be it in normal  pop up or background play  pausing a video makes it un resumeable and changing between these methods makes videos start from the beginning again  Thanks to  ShrimpBFM for this _x000D_
_x000D_
    Expected behavior_x000D_
     Tell us what you expect to happen     _x000D_
The video should resume from the same duration even if we switch between different modes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user images githubusercontent com 37961534 121629843 aa3f1500 ca99 11eb 9fad 4543b63d5c8d mp4_x000D_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Samsung Galaxy M21_x000D_
</t>
  </si>
  <si>
    <t>nextcloud-android-8561</t>
  </si>
  <si>
    <t>Nextcloud App crashing on Android 10</t>
  </si>
  <si>
    <t xml:space="preserve">    Steps to reproduce_x000D_
1  I added 4 Nextcloud server accounts and could work with the app for several weeks_x000D_
2  Today I switched to another account and the app crashed_x000D_
3  Even If I force to stop the Nextcloud app it always crashed after part of a second_x000D_
4  There is no chance to switch the account before the crash  Even if I cut the internet connection using NetGuard the app always crashed_x000D_
_x000D_
    Expected behaviour_x000D_
  Nextcloud should load the file list from server or tell if the server does not respond_x000D_
_x000D_
    Actual behaviour_x000D_
  after starting the app the blue logo screen vanishes and the previous file list with rotating circle (hourglass cursor) appears _x000D_
  home path of my account at https:  mark nl tab digital is displayed_x000D_
  approx  0 5 seconds later a white error report with overlay text  Loading     appears  the message is:_x000D_
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java:919)_x000D_
_x000D_
             APP INFORMATION             _x000D_
ID: com nextcloud client_x000D_
Version: 30160190_x000D_
Build flavor: gplay_x000D_
_x000D_
             DEVICE INFORMATION             _x000D_
Brand: Fairphone_x000D_
Device: FP3_x000D_
Model: FP3_x000D_
Id: 8901 3 A 0107 20210513_x000D_
Product: FP3_x000D_
_x000D_
             FIRMWARE             _x000D_
SDK: 29_x000D_
Release: 10_x000D_
Incremental: 05131326_x000D_
_x000D_
  when switching to another app the app disappears from app switcher menu_x000D_
  unders Android settings   apps I can still select the app and invoke  force stop _x000D_
_x000D_
    Can you reproduce this problem on https:  try nextcloud com _x000D_
  No  probably the error will be gone if I restart Android or if I remove the app and reinstall it _x000D_
_x000D_
    Environment data_x000D_
Android version: 10 (8901 3 A 0107 20210513)_x000D_
_x000D_
Device model: Fairphone 3_x000D_
_x000D_
Stock or customized system: Stock_x000D_
_x000D_
Nextcloud app version: 3 16 1_x000D_
_x000D_
Nextcloud server version: scan nextclod com says 20 0 9 1 with latest patch level and major version still supported_x000D_
_x000D_
Reverse proxy: no_x000D_
_x000D_
    Logs_x000D_
     Web server error log_x000D_
I am just user  If the service is unable or buggy I just want to deactivate it  But that is not possible without completely wiping the app and configuration data _x000D_
_x000D_
     Nextcloud log (data nextcloud log)_x000D_
I am just user _x000D_
_x000D_
</t>
  </si>
  <si>
    <t>nextcloud-android-8560</t>
  </si>
  <si>
    <t>nextcloud Android Client crashes</t>
  </si>
  <si>
    <t xml:space="preserve">    Steps to reproduce_x000D_
1   Change pw on nextcloud web interface _x000D_
2   Start nextcloud client on Android _x000D_
3   When trying to connect  client crashes before requesting new credentials _x000D_
_x000D_
    Expected behaviour_x000D_
  NC Android client starts and asks for new pw_x000D_
_x000D_
    Actual behaviour_x000D_
  NC Android client crashes before asking for new credentials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java:929)_x000D_
_x000D_
             APP INFORMATION             _x000D_
ID: com nextcloud client_x000D_
Version: 30160190_x000D_
Build flavor: gplay_x000D_
_x000D_
             DEVICE INFORMATION             _x000D_
Brand: HUAWEI_x000D_
Device: HWELE_x000D_
Model: ELE L29_x000D_
Id: HUAWEIELE L29_x000D_
Product: ELE L29EEA_x000D_
_x000D_
             FIRMWARE             _x000D_
SDK: 29_x000D_
Release: 10_x000D_
Incremental: 10 1 0 150C431_x000D_
_x000D_
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</si>
  <si>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Benji377-SocyMusic-54</t>
  </si>
  <si>
    <t>App crashes when fast forwarding or rewinding</t>
  </si>
  <si>
    <t xml:space="preserve">The app crashes when you click the fast forward button or the fast rewind button  No idea why </t>
  </si>
  <si>
    <t>PojavLauncherTeam-PojavLauncher-1518</t>
  </si>
  <si>
    <t>[BUG] The game crashes with sodium mod</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</si>
  <si>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Game not starting with sodium stable or alpha mod _x000D_
_x000D_
  Add a log file if you want to see your bug fixed    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latest log (https:  github com PojavLauncherTeam PojavLauncher files 6633152 latest log)_x000D_
_x000D_
    To Reproduce:_x000D_
Indicate steps to reproduce the buggy behavior:_x000D_
_x000D_
1  Start PojavLauncher_x000D_
2  Install fabric loader_x000D_
3  Install sodium mod in mods folder_x000D_
4  Start that game and join a world_x000D_
_x000D_
    Expected behavior:_x000D_
It shouldn t crash_x000D_
_x000D_
  Platform:  _x000D_
   Device Model  Mi 10 8 256 _x000D_
   CPU architecture  arm64 _x000D_
   Android Version  11 _x000D_
   PojavLauncher Version  Latest Release    version 3 3 1 1 rel 20210321 _x000D_
</t>
  </si>
  <si>
    <t>Anuken-Mindustry-5410</t>
  </si>
  <si>
    <t>Guardian Bar Problem</t>
  </si>
  <si>
    <t xml:space="preserve">  Platform  :  Android iOS Mac Windows Linux  Android 
  Build  :  The build number under the title in the main menu  Required   LATEST  IS NOT A VERSION  I NEED THE EXACT BUILD NUMBER OF YOUR GAME  BE 21196
  Issue  :  Explain your issue in detail  
In portrait mode Guardian Bar covers the two buttons and I cant use them until the gurdian was defeated 
  20210610 210938 jpg (https:  user images githubusercontent com 83259488 121532245 bee7c280 ca31 11eb 9906 14dc341e9cc8 jpg)
  Steps to reproduce  :  How you happened across the issue  and what exactly you did to make the bug happen   Play mindustry on portrait mode play any map and spawn a guardian 
  Link(s) to mod(s) used  :  The mod repositories or zip files that are related to the issue  if applicable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Place an X (no spaces) between the brackets to confirm that you have read the line below    
        I have updated to the latest release (https:  github com Anuken Mindustry releases) to make sure my issue has not been fixed   
   X    I have searched the closed and open issues to make sure that this problem has not already been reported   
</t>
  </si>
  <si>
    <t>Benji377-SocyMusic-53</t>
  </si>
  <si>
    <t>App crashes when clicking on Credits</t>
  </si>
  <si>
    <t xml:space="preserve">When you click on  credits  in the menu it looks like nothing happened  but instead  the Aboutfragment replaced the Playerfragment  and when you click on a song the app just crashes </t>
  </si>
  <si>
    <t>Ninjaman494-Hanji-Android-App-67</t>
  </si>
  <si>
    <t>NPE on Example Adapter</t>
  </si>
  <si>
    <t>Null pointer exception on  example sentence()  in Example Adapter  We should also start logging what entry the user s looking at in Display Activity to make debugging easier  It s possible there s an entry with malformed example_x000D_
_x000D_
 Crashlytics Report (https:  console firebase google com u 0 project hanji bd63d crashlytics app android:com a494studios koreanconjugator issues 181cac3fe441d8e7dcb1c2b788b4d64e time last thirty days sessionEventKey 60AA4C7E031F00012CE23180B1D0A703 1543909509583287659)</t>
  </si>
  <si>
    <t>Ninjaman494-Hanji-Android-App-66</t>
  </si>
  <si>
    <t>Clicking Add while Display Activity is still loading causes NPE</t>
  </si>
  <si>
    <t>Clicking on the Add Suggestion button while Display Activity is still loading the entry will cause a null pointer exception because  entry  is null _x000D_
_x000D_
 Crashlytics Report 1 (https:  console firebase google com u 0 project hanji bd63d crashlytics app android:com a494studios koreanconjugator issues 7ebbee636df13e4f0d0accce93df3324 time last thirty days sessionEventKey 60B289C302C20001650C5A22F3992FED 1546300029028537542)_x000D_
_x000D_
 Crashlytics Report 2 (https:  console firebase google com u 0 project hanji bd63d crashlytics app android:com a494studios koreanconjugator issues e595366968ad50f3051ad85150a8e858 time last seven days sessionEventKey 60DD3B7B0043000125EAD2A5F20FCBEB 1558246882241913081)</t>
  </si>
  <si>
    <t>patzly-grocy-android-425</t>
  </si>
  <si>
    <t>Cannot scan login QR code with SDK below 24</t>
  </si>
  <si>
    <t xml:space="preserve">From Matrix chat:
I m using the F droid 2 0 0 beta02 version of the app  and I m having problems with connecting to my server 
the problem is that when I scan the QR code  the app crashes with this exception:
java lang NoSuchMethodError: No interface method sort(Ljava util Comparator )V in class Ljava util List  or its super classes (declaration of  java util List  appears in  system framework core libart jar)
 at b b c y c e c(SourceFile:31)
 at b b c y c c b(SourceFile:4)
 at b b c y a a(SourceFile:31)
 at b b c i d(SourceFile:3)
 at b b c i e(SourceFile:3)
 at com journeyapps barcodescanner m b(SourceFile:4)
 at com journeyapps barcodescanner o a(SourceFile:6)
 at com journeyapps barcodescanner o a handleMessage(SourceFile:2)
 at android os Handler dispatchMessage(Handler java:98)
 at android os Looper loop(Looper java:154)
 at android os HandlerThread run(HandlerThread java:61)
not sure why that happens  but I think I have seen this exception in an other app too  I think it was the Element Android app while scanning the QR code for login verification  but not sure right now because the app which catches stack traces has so many of them  that it crashes when loading them  
User has Android 6 </t>
  </si>
  <si>
    <t>nextcloud-android-8557</t>
  </si>
  <si>
    <t>Android last version client error</t>
  </si>
  <si>
    <t xml:space="preserve">Client crashes and the only way yo restart It is restarting the phone  It happens randomly  The log is:_x000D_
_x000D_
            CAUSE OF ERROR             _x000D_
_x000D_
java lang NullPointerException: Attempt to invoke virtual method  android graphics Insets android view WindowInsets getInsets(int)  on a null object reference_x000D_
	at android view View fitSystemWindowsInt(View java:11238)_x000D_
	at android view View fitSystemWindows(View java:11227)_x000D_
	at android view View onApplyWindowInsets(View java:11299)_x000D_
	at android view View dispatchApplyWindowInsets(View java:11360)_x000D_
	at android view ViewGroup dispatchApplyWindowInsets(ViewGroup java:7320)_x000D_
	at android view ViewGroup brokenDispatchApplyWindowInsets(ViewGroup java:7334)_x000D_
	at android view ViewGroup dispatchApplyWindowInsets(ViewGroup java:7325)_x000D_
	at androidx core view ViewCompat dispatchApplyWindowInsets(ViewCompat java:2527)_x000D_
	at com google android material internal NavigationMenuPresenter dispatchApplyWindowInsets(NavigationMenuPresenter java:358)_x000D_
	at com google android material navigation NavigationView onInsetsChanged(NavigationView java:357)_x000D_
	at com google android material internal ScrimInsetsFrameLayout 1 onApplyWindowInsets(ScrimInsetsFrameLayout java:86)_x000D_
	at androidx core view ViewCompat 1 onApplyWindowInsets(ViewCompat java:2474)_x000D_
	at android view View dispatchApplyWindowInsets(View java:11358)_x000D_
	at android view ViewGroup dispatchApplyWindowInsets(ViewGroup java:7320)_x000D_
	at androidx drawerlayout widget DrawerLayout onMeasure(DrawerLayout java:1091)_x000D_
	at android view View measure(View java:25548)_x000D_
	at android view ViewGroup measureChildWithMargins(ViewGroup java:6957)_x000D_
	at android widget FrameLayout onMeasure(FrameLayout java:194)_x000D_
	at androidx appcompat widget ContentFrameLayout onMeasure(ContentFrameLayout java:146)_x000D_
	at android view View measure(View java:25548)_x000D_
	at android view ViewGroup measureChildWithMargins(ViewGroup java:6957)_x000D_
	at android widget FrameLayout onMeasure(FrameLayout java:194)_x000D_
	at android view View measure(View java:25548)_x000D_
	at android view ViewGroup measureChildWithMargins(ViewGroup java:6957)_x000D_
	at android widget FrameLayout onMeasure(FrameLayout java:194)_x000D_
	at android view View measure(View java:25548)_x000D_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java:25548)_x000D_
	at android view ViewGroup measureChildWithMargins(ViewGroup java:6957)_x000D_
	at android widget FrameLayout onMeasure(FrameLayout java:194)_x000D_
	at com android internal policy DecorView onMeasure(DecorView java:781)_x000D_
	at android view View measure(View java:25548)_x000D_
	at android view ViewRootImpl performMeasure(ViewRootImpl java:3527)_x000D_
	at android view ViewRootImpl measureHierarchy(ViewRootImpl java:2353)_x000D_
	at android view ViewRootImpl performTraversals(ViewRootImpl java:2616)_x000D_
	at android view ViewRootImpl doTraversal(ViewRootImpl java:2064)_x000D_
	at android view ViewRootImpl TraversalRunnable run(ViewRootImpl java:8400)_x000D_
	at android view Choreographer CallbackRecord run(Choreographer java:972)_x000D_
	at android view Choreographer doCallbacks(Choreographer java:796)_x000D_
	at android view Choreographer doFrame(Choreographer java:731)_x000D_
	at android view Choreographer FrameDisplayEventReceiver run(Choreographer java:957)_x000D_
	at android os Handler handleCallback(Handler java:938)_x000D_
	at android os Handler dispatchMessage(Handler java:99)_x000D_
	at android os Looper loop(Looper java:250)_x000D_
	at android app ActivityThread main(ActivityThread java:7755)_x000D_
	at java lang reflect Method invoke(Native Method)_x000D_
	at com android internal os RuntimeInit MethodAndArgsCaller run(RuntimeInit java:592)_x000D_
	at com android internal os ZygoteInit main(ZygoteInit java:958)_x000D_
_x000D_
             APP INFORMATION             _x000D_
ID: com nextcloud client_x000D_
Version: 30160190_x000D_
Build flavor: gplay_x000D_
_x000D_
             DEVICE INFORMATION             _x000D_
Brand: motorola_x000D_
Device: racer_x000D_
Model: motorola edge_x000D_
Id: RPDS31 Q4U 39 26 4 2_x000D_
Product: racer retaile_x000D_
_x000D_
             FIRMWARE             _x000D_
SDK: 30_x000D_
Release: 11_x000D_
Incremental: 226d93_x000D_
          </t>
  </si>
  <si>
    <t>ViroCommunity-viro-24</t>
  </si>
  <si>
    <t>App crashes when .arobject tracking target detects the object</t>
  </si>
  <si>
    <t xml:space="preserve">     Requirements: please go through this checklist before opening a new issue    _x000D_
     x  Review the documentation: https:  docs viromedia com _x000D_
     x  Search for existing issues: https:  github com viromedia viro_x000D_
     x  Use the latest ViroReact release: https:  docs viromedia com docs releases_x000D_
_x000D_
   Environment_x000D_
Please provide the following information about your environment:_x000D_
1  Development OS: Mac_x000D_
2  Device OS   Version: ios14 5  ios13 7_x000D_
3  Version:  viro community react viro 2 20 2  react native 0 63 4_x000D_
4  Device(s): iPhone7   iPhone X  iPhone XS  iPhone 12 pro max_x000D_
_x000D_
   Description_x000D_
We used  arobject file as a ViroARTrackingTargets and ViroARObjectMarker  We only added a ViroBox inside _x000D_
If we pointed the camera somewhere else  the app kept running without problems  But as soon as we pointed the camera to the object  the app just crashed _x000D_
No specific error showed  The crash log and console showed nothing helpful  Xcode just showed EXC BAD ACCESS (code 1  address 0x20) _x000D_
_x000D_
   Reproducible Demo_x000D_
Just clone the  starter kit (https:  github com ViroCommunity starter kit) and follow  this documentation (https:  docs viromedia com docs viroarobjectmarker)_x000D_
</t>
  </si>
  <si>
    <t>nextcloud-android-8555</t>
  </si>
  <si>
    <t>SQL Error after starting the app - SQLiteBlobTooBigException</t>
  </si>
  <si>
    <t xml:space="preserve">    Steps to reproduce_x000D_
1  install nextcloud app for android_x000D_
2  connect it to a nextcloud instance_x000D_
3  shows files  loads a few seconds and then crashes with the exception below_x000D_
_x000D_
    Expected behaviour_x000D_
  should not crash_x000D_
_x000D_
    Actual behaviour_x000D_
  crashes with an sql error_x000D_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11_x000D_
_x000D_
Device model: oneplus 7_x000D_
_x000D_
Stock or customized system: stock_x000D_
_x000D_
Nextcloud app version: 3 16 1_x000D_
_x000D_
Nextcloud server version: 21 0 2_x000D_
_x000D_
Reverse proxy: NGinx_x000D_
_x000D_
    Logs_x000D_
             CAUSE OF ERROR             _x000D_
_x000D_
android database sqlite SQLiteBlobTooBigException: Row too big to fit into CursorWindow requiredPos 2961  totalRows 1035_x000D_
	at android database sqlite SQLiteConnection nativeExecuteForCursorWindow(Native Method)_x000D_
	at android database sqlite SQLiteConnection executeForCursorWindow(SQLiteConnection java:1001)_x000D_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java:248)_x000D_
	at android database AbstractCursor moveToNext(AbstractCursor java:280)_x000D_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 delete(ContentProvider java:1820)_x000D_
	at android content ContentProviderOperation applyInternal(ContentProviderOperation java:389)_x000D_
	at android content ContentProviderOperation apply(ContentProviderOperation java:352)_x000D_
	at com owncloud android providers FileContentProvider applyBatch(FileContentProvider java:672)_x000D_
	at android content ContentProvider applyBatch(ContentProvider java:2476)_x000D_
	at android content ContentProvider Transport applyBatch(ContentProvider java:421)_x000D_
	at android content ContentProviderClient applyBatch(ContentProviderClient java:586)_x000D_
	at android content ContentProviderClient applyBatch(ContentProviderClient java:574)_x000D_
	at android content ContentResolver applyBatch(ContentResolver java:2234)_x000D_
	at com owncloud android datamodel FileDataStorageManager saveFolder(FileDataStorageManager java:438)_x000D_
	at com owncloud android operations RefreshFolderOperation synchronizeData(RefreshFolderOperation java:528)_x000D_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java:359)_x000D_
	at java lang Thread run(Thread java:923)_x000D_
_x000D_
             APP INFORMATION             _x000D_
ID: com nextcloud client_x000D_
Version: 30160190_x000D_
Build flavor: gplay_x000D_
_x000D_
             DEVICE INFORMATION             _x000D_
Brand: OnePlus_x000D_
Device: OnePlus7_x000D_
Model: GM1900_x000D_
Id: RKQ1 201022 002_x000D_
Product: OnePlus7_x000D_
_x000D_
             FIRMWARE             _x000D_
SDK: 30_x000D_
Release: 11_x000D_
Incremental: 2105071635_x000D_
</t>
  </si>
  <si>
    <t>nextcloud-talk-android-1318</t>
  </si>
  <si>
    <t>Crash during call when phone entered powersave mode</t>
  </si>
  <si>
    <t xml:space="preserve">   Steps to reproduce_x000D_
1  Drain phone battery up to the limit before it switches to save mode (around 30  or so)_x000D_
2  Enter a call with several people_x000D_
3  Wait for phone to go into battery save mode_x000D_
_x000D_
    Expected behaviour_x000D_
No crash  call goes on_x000D_
_x000D_
    Actual behaviour_x000D_
Crash_x000D_
_x000D_
   Device information_x000D_
_x000D_
  Device:   Nokia 6 1_x000D_
_x000D_
  Android version:   10_x000D_
_x000D_
  Talk version:   12 0 0 Alpha 15_x000D_
_x000D_
   Server information_x000D_
_x000D_
Server was c nc com with HPB_x000D_
_x000D_
   Logs_x000D_
_x000D_
   _x000D_
06 10 11:20:18 734  1660  1660 I Telecom : BluetoothStateReceiver: Device XX:XX:XX:XX:XX:XX transitioned to audio state 11: BSR oR b8A_x000D_
06 10 11:20:19 199  1660  4221 I BatteryService: shutdownIfLowCurrentLocked batteryLevel   14   hasChargingCurrent   false(isPowered false batteryCurrent  1028 hardware qcom)   hitShutdownVoltage   true(batteryVoltage 3487 mBatteryMinVoltage  1)   isSystemReady   true_x000D_
06 10 11:20:19 417  1660  1842 I ActivityManager: Start proc 11056:com google process gapps u0a90 for content provider  com google android gsf com google android gsf settings GoogleSettingsProvider _x000D_
06 10 11:20:19 417  1660  1842 D ActivityManager: handleProcessStartedLocked mDoneFinishBooting    app pid    0      notifyProcessStart  app processName   com google process gapps  app info   ApplicationInfo 3f952a2 com google android gsf   app hostingType   content provider  getHostingName()   ComponentInfo com google android gsf com google android gsf settings GoogleSettingsProvider   getIntentFlag()   0  getIsPackageRunning()   false  app   ProcessRecord 3a1bb33 11056:com google process gapps u0a90   getExtraData()   null_x000D_
06 10 11:20:19 476  1660  1660 I Telecom : BluetoothStateReceiver: Device XX:XX:XX:XX:XX:XX transitioned to audio state 12: BSR oR b8E_x000D_
06 10 11:20:19 476  1660  1660 I Telecom : BluetoothStateReceiver: Ignoring BT audio on since we re not in a call: BSR oR b8E_x000D_
06 10 11:20:19 478  1660  4972 D PowerManagerService: WAKE LOCK SCREEN BRIGHT Change  Total ACQUIRED:_x000D_
06 10 11:20:19 478  1660  4972 D PowerManagerService:   PARTIAL WAKE LOCK               AudioMix  ACQ  2m42s867ms LONG (uid 1041 ws WorkSource 10321 )_x000D_
06 10 11:20:19 478  1660  4972 D PowerManagerService:   PARTIAL WAKE LOCK               nctalk:partialwakelock  ACQ  3s3ms (uid 10321 pid 2457)_x000D_
06 10 11:20:19 478  1660  4972 D PowerManagerService:   PROXIMITY SCREEN OFF WAKE LOCK  nctalk:proximitylock  ACQ  21m5s782ms (uid 10321 pid 2457)_x000D_
06 10 11:20:19 478  1660  4972 D PowerManagerService:   PARTIAL WAKE LOCK               AudioIn  ACQ  21m4s308ms LONG (uid 1041 ws WorkSource 10321 )_x000D_
06 10 11:20:19 478  1660  4972 D PowerManagerService:   PARTIAL WAKE LOCK               NlpCollectorWakeLock  ACQ  2s720ms (uid 10090 pid 24095 ws WorkSource 10147 com google android apps maps )_x000D_
06 10 11:20:19 478  1660  4972 D PowerManagerService:   PARTIAL WAKE LOCK                gms scheduler  com google android gms  phenotype service sync PhenotypeConfigurator  ACQ  2s548ms (uid 10090 pid 24095 ws WorkSource 10090 com google android gms chains WorkChain (10090  scheduler)  )_x000D_
06 10 11:20:19 478  1660  4972 D PowerManagerService:   PARTIAL WAKE LOCK               nctalk:partialwakelock  ACQ  1s234ms (uid 10321 pid 2457)_x000D_
06 10 11:20:19 478  1660  4972 D PowerManagerService:   PROXIMITY SCREEN OFF WAKE LOCK  nctalk:proximitylock  ACQ  1s224ms (uid 10321 pid 2457)_x000D_
06 10 11:20:19 478  1660  4972 D PowerManagerService:   PARTIAL WAKE LOCK               nctalk:partialwakelock  ACQ  1s165ms (uid 10321 pid 2457)_x000D_
06 10 11:20:19 478  1660  4972 D PowerManagerService:   PROXIMITY SCREEN OFF WAKE LOCK  nctalk:proximitylock  ACQ  1s162ms (uid 10321 pid 2457)_x000D_
06 10 11:20:19 478  1660  4972 D PowerManagerService:   SCREEN BRIGHT WAKE LOCK         WindowManager  ON AFTER RELEASE ACQ  952ms (uid 1000 pid 1660 ws WorkSource 10321 )_x000D_
06 10 11:20:19 478  1660  4972 D PowerManagerService:   SCREEN BRIGHT WAKE LOCK         nctalk:fullwakelock  ACQUIRE CAUSES WAKEUP (uid 10321 pid 2457)_x000D_
06 10 11:20:19 822  1660  1842 I ActivityManager: Start proc 11163:com android vending u0a106 for service  com android vending com google android finsky scheduler process mainimpl PhoneskyJobServiceMain _x000D_
06 10 11:20:19 822  1660  1842 D ActivityManager: handleProcessStartedLocked mDoneFinishBooting    app pid    0      notifyProcessStart  app processName   com android vending  app info   ApplicationInfo c137162 com android vending   app hostingType   service  getHostingName()   ComponentInfo com android vending com google android finsky scheduler process mainimpl PhoneskyJobServiceMain   getIntentFlag()   0  getIsPackageRunning()   false  app   ProcessRecord 49f52f3 11163:com android vending u0a106   getExtraData()   Bundle  SERVICE INTENT Intent   cmp com android vending com google android finsky scheduler process mainimpl PhoneskyJobServiceMain    CALLER PACKAGE android  _x000D_
06 10 11:20:20 482  1660  5307 D ConnectivityService: requestNetwork for uid pid:10106 11163 NetworkRequest   TRACK DEFAULT id 28117    Capabilities: INTERNET NOT RESTRICTED TRUSTED Uid: 10106   _x000D_
06 10 11:20:20 779  1660  5307 I ActivityManager: Process de rki coronawarnapp (pid 10710) has died: cch 25 CEM_x000D_
06 10 11:20:20 788  1660  9230 I ActivityManager: Process android process acore (pid 10797) has died: cch 15 CEM_x000D_
06 10 11:20:21 864  1660 11458 D ActivityManager: Package  com android vending  have process_x000D_
06 10 11:20:21 894  1660  1842 I ActivityManager: Start proc 11620:com android vending:download service u0a106 for service  com android vending com google android finsky ipcservers downloadservice DownloadServiceGrpcServerAndroidService _x000D_
06 10 11:20:21 894  1660  1842 D ActivityManager: handleProcessStartedLocked mDoneFinishBooting    app pid    0      notifyProcessStart  app processName   com android vending:download service  app info   ApplicationInfo 8ec7628 com android vending   app hostingType   service  getHostingName()   ComponentInfo com android vending com google android finsky ipcservers downloadservice DownloadServiceGrpcServerAndroidService   getIntentFlag()   0  getIsPackageRunning()   true  app   ProcessRecord 39eaf41 11620:com android vending:download service u0a106   getExtraData()   Bundle  SERVICE INTENT Intent   act grpc io action BIND cmp com android vending com google android finsky ipcservers downloadservice DownloadServiceGrpcServerAndroidService    CALLER PACKAGE com android vending  _x000D_
06 10 11:20:22 560  1660  3771 D ConnectivityService: requestNetwork for uid pid:10106 11620 NetworkRequest   TRACK DEFAULT id 28119    Capabilities: INTERNET NOT RESTRICTED TRUSTED Uid: 10106   _x000D_
06 10 11:20:26 142  1660  4221 I BatteryService: shutdownIfLowCurrentLocked batteryLevel   13   hasChargingCurrent   false(isPowered false batteryCurrent  958 hardware qcom)   hitShutdownVoltage   true(batteryVoltage 3503 mBatteryMinVoltage  1)   isSystemReady   true_x000D_
06 10 11:20:26 226  1660  1842 I ActivityManager: Start proc 11729:com google android apps turbo u0a231 for broadcast  com google android apps turbo com google android apps turbo nudges broadcasts BatteryStatusChangedReceiver _x000D_
06 10 11:20:26 226  1660  1842 D ActivityManager: handleProcessStartedLocked mDoneFinishBooting    app pid    0      notifyProcessStart  app processName   com google android apps turbo  app info   ApplicationInfo 8b60501 com google android apps turbo   app hostingType   broadcast  getHostingName()   ComponentInfo com google android apps turbo com google android apps turbo nudges broadcasts BatteryStatusChangedReceiver   getIntentFlag()   16777236  getIsPackageRunning()   false  app   ProcessRecord acc9fa6 11729:com google android apps turbo u0a231   getExtraData()   Bundle  BROADCAST INTENT Intent   act android intent action BATTERY LEVEL CHANGED flg 0x1000010 (has extras)    CALLER PACKAGE android  _x000D_
06 10 11:20:27 929  1660 11458 I ActivityManager: Process com evenwell stbmonitor (pid 10928) has died: cch 15 CEM_x000D_
06 10 11:20:30 281  2457 10985 F libc    : Fatal signal 6 (SIGABRT)  code  1 (SI QUEUE) in tid 10985 (signaling threa)  pid 2457 (nextcloud talk2)_x000D_
06 10 11:20:30 765 11811 11811 F DEBUG   :                                                                _x000D_
06 10 11:20:30 765 11811 11811 F DEBUG   : Build fingerprint:  Nokia Plate2 00WW PL2 sprout:10 QKQ1 190828 002 00WW 4 16H:user release keys _x000D_
06 10 11:20:30 765 11811 11811 F DEBUG   : Revision:  0 _x000D_
06 10 11:20:30 765 11811 11811 F DEBUG   : ABI:  arm64 _x000D_
06 10 11:20:30 776 11811 11811 F DEBUG   : Timestamp: 2021 06 10 11:20:30 0200_x000D_
06 10 11:20:30 776 11811 11811 F DEBUG   : pid: 2457  tid: 10985  name: signaling threa      com nextcloud talk2    _x000D_
06 10 11:20:30 776 11811 11811 F DEBUG   : uid: 10321_x000D_
06 10 11:20:30 776 11811 11811 F DEBUG   : signal 6 (SIGABRT)  code  1 (SI QUEUE)  fault addr         _x000D_
06 10 11:20:30 776 11811 11811 F DEBUG   :     x0  0000000000000000  x1  0000000000002ae9  x2  0000000000000006  x3  0000007253ea0850_x000D_
06 10 11:20:30 776 11811 11811 F DEBUG   :     x4  fefeff702d9bf4ff  x5  fefeff702d9bf4ff  x6  fefeff702d9bf4ff  x7  7f7f7f7f7fffff7f_x000D_
06 10 11:20:30 776 11811 11811 F DEBUG   :     x8  00000000000000f0  x9  920e1e301373306b  x10 0000000000000001  x11 0000000000000000_x000D_
06 10 11:20:30 776 11811 11811 F DEBUG   :     x12 fffffff0fffffbdf  x13 ffffffffffffffff  x14 0000000000000004  x15 ffffffffffffffff_x000D_
06 10 11:20:30 776 11811 11811 F DEBUG   :     x16 00000073345228c0  x17 00000073344fe900  x18 00000071fc97e000  x19 0000000000000999_x000D_
06 10 11:20:30 776 11811 11811 F DEBUG   :     x20 0000000000002ae9  x21 00000000ffffffff  x22 00000072442e2937  x23 0000007253ea1020_x000D_
06 10 11:20:30 776 11811 11811 F DEBUG   :     x24 00000072442deab8  x25 00000000ffffffff  x26 0000007253ea1020  x27 0000007335301020_x000D_
06 10 11:20:30 776 11811 11811 F DEBUG   :     x28 000000720ec3c360  x29 0000007253ea08f0_x000D_
06 10 11:20:30 777 11811 11811 F DEBUG   :     sp  0000007253ea0830  lr  00000073344b00c4  pc  00000073344b00f0_x000D_
06 10 11:20:30 787 11811 11811 F DEBUG   :_x000D_
06 10 11:20:30 787 11811 11811 F DEBUG   : backtrace:_x000D_
06 10 11:20:30 787 11811 11811 F DEBUG   :        00 pc 00000000000830f0   apex com android runtime lib64 bionic libc so (abort 160) (BuildId: cf739dbc84bcc78f7a1500721bfb3758)_x000D_
06 10 11:20:30 788 11811 11811 F DEBUG   :        01 pc 00000000002626dc   data app com nextcloud talk2 8QPp4j6uYsH9xJMfXdIPjQ   lib arm64 libjingle peerconnection so so (BuildId: d011a5fc83d6e795)_x000D_
06 10 11:20:30 788 11811 11811 F DEBUG   :        02 pc 000000000024243c   data app com nextcloud talk2 8QPp4j6uYsH9xJMfXdIPjQ   lib arm64 libjingle peerconnection so so (BuildId: d011a5fc83d6e795)_x000D_
06 10 11:20:30 788 11811 11811 F DEBUG   :        03 pc 0000000000242364   data app com nextcloud talk2 8QPp4j6uYsH9xJMfXdIPjQ   lib arm64 libjingle peerconnection so so (BuildId: d011a5fc83d6e795)_x000D_
06 10 11:20:30 788 11811 11811 F DEBUG   :        04 pc 00000000004e2c60   data app com nextcloud talk2 8QPp4j6uYsH9xJMfXdIPjQ   lib arm64 libjingle peerconnection so so (BuildId: d011a5fc83d6e795)_x000D_
06 10 11:20:30 788 11811 11811 F DEBUG   :        05 pc 00000000006288b4   data app com nextcloud talk2 8QPp4j6uYsH9xJMfXdIPjQ   lib arm64 libjingle peerconnection so so (BuildId: d011a5fc83d6e795)_x000D_
06 10 11:20:30 788 11811 11811 F DEBUG   :        06 pc 000000000025c08c   data app com nextcloud talk2 8QPp4j6uYsH9xJMfXdIPjQ   lib arm64 libjingle peerconnection so so (BuildId: d011a5fc83d6e795)_x000D_
06 10 11:20:30 788 11811 11811 F DEBUG   :        07 pc 000000000025b098   data app com nextcloud talk2 8QPp4j6uYsH9xJMfXdIPjQ   lib arm64 libjingle peerconnection so so (BuildId: d011a5fc83d6e795)_x000D_
06 10 11:20:30 788 11811 11811 F DEBUG   :        08 pc 000000000025c544   data app com nextcloud talk2 8QPp4j6uYsH9xJMfXdIPjQ   lib arm64 libjingle peerconnection so so (BuildId: d011a5fc83d6e795)_x000D_
06 10 11:20:30 788 11811 11811 F DEBUG   :        09 pc 00000000000e6890   apex com android runtime lib64 bionic libc so (  pthread start(void ) 36) (BuildId: cf739dbc84bcc78f7a1500721bfb3758)_x000D_
06 10 11:20:30 788 11811 11811 F DEBUG   :        10 pc 0000000000084b6c   apex com android runtime lib64 bionic libc so (  start thread 64) (BuildId: cf739dbc84bcc78f7a1500721bfb3758)_x000D_
   _x000D_
_x000D_
   Notes_x000D_
_x000D_
Only happened once  I haven t tried to reproduce it again _x000D_
_x000D_
</t>
  </si>
  <si>
    <t>microg-GmsCore-1490</t>
  </si>
  <si>
    <t>microG core crashes when PingID is triggered</t>
  </si>
  <si>
    <t xml:space="preserve">  Describe the bug  _x000D_
Whenever PingID (https:  play google com store apps details id prod com pingidentity pingid) receives a request to authenticate  microG core crashes _x000D_
_x000D_
  To Reproduce  _x000D_
Steps to reproduce the behavior:_x000D_
1  Install PingID   set up some accounts_x000D_
2  Log in to some service requiring PingID_x000D_
3  Phone will open a PingID notification asking the user to complete 2FA_x000D_
4  microG core crashes_x000D_
_x000D_
  Expected behavior  _x000D_
microG core doesn t crash_x000D_
_x000D_
  System  _x000D_
Android Version: 8_x000D_
Custom ROM: Shift OS (https:  builds shiftphones com ShiftOS L BETA SHIFT5ME SOS 1 1 L 20200723 FULL OTA zip)_x000D_
</t>
  </si>
  <si>
    <t>TeamNewPipe-NewPipe-6467</t>
  </si>
  <si>
    <t>Crash on newpipe when pressing on chapter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</si>
  <si>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newpipe_x000D_
2  Click on this video https:  www youtube com watch v SwcqhZHB4To_x000D_
3  Click on the chapter button _x000D_
4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It crashed _x000D_
_x000D_
_x000D_
    Expected behavior_x000D_
     Tell us what you expect to happen     _x000D_
Shows chapter of the video_x000D_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ACRA report_x000D_
    Content Country:   GB_x000D_
    Content Language:   en GB_x000D_
    App Language:   en GB_x000D_
    Service:   none_x000D_
    Version:   0 21 4_x000D_
    OS:   Linux Android 7 1 1   25_x000D_
 details  summary  b Crash log   b   summary  p _x000D_
_x000D_
   _x000D_
java lang NullPointerException: Attempt to invoke virtual method  void android view View setVisibility(int)  on a null object reference_x000D_
	at org schabi newpipe player Player onSegmentsClicked(Player java:3032)_x000D_
	at org schabi newpipe player Player onClick(Player java:3572)_x000D_
	at android view View performClick(View java:6308)_x000D_
	at android view View PerformClick run(View java:23969)_x000D_
	at android os Handler handleCallback(Handler java:751)_x000D_
	at android os Handler dispatchMessage(Handler java:95)_x000D_
	at android os Looper loop(Looper java:154)_x000D_
	at android app ActivityThread main(ActivityThread java:6823)_x000D_
	at java lang reflect Method invoke(Native Method)_x000D_
	at com android internal os ZygoteInit MethodAndArgsCaller run(ZygoteInit java:1563)_x000D_
	at com android internal os ZygoteInit main(ZygoteInit java:1451)_x000D_
_x000D_
   _x000D_
  details _x000D_
 hr _x000D_
_x000D_
_x000D_
     Please fill this out when you do not provide a log generate by NewPipe    _x000D_
_x000D_
    Device info_x000D_
_x000D_
   Android version Custom ROM version:_x000D_
   Device model:_x000D_
</t>
  </si>
  <si>
    <t>Anuken-Mindustry-5406</t>
  </si>
  <si>
    <t>Processors don't update a linked building when replaced with a similar type</t>
  </si>
  <si>
    <t xml:space="preserve">  Platform  :  Android iOS Mac Windows Linux _x000D_
Windows_x000D_
_x000D_
  Build  :  The build number under the title in the main menu  Required   LATEST  IS NOT A VERSION  I NEED THE EXACT BUILD NUMBER OF YOUR GAME  _x000D_
Release build 126 2_x000D_
_x000D_
  Issue  :  Explain your issue in detail  _x000D_
(Not sure if this is reported before new to github) Replacing a building with a similar type (placing a ground factory on an air factory or an overdrive projector on a merger) does not update any logic processor that has a link to that building  keeping the data of the previous building  Unlinking and relinking the building fixes this _x000D_
Demonstration video:_x000D_
https:  user images githubusercontent com 85666120 121474927 c4420000 c992 11eb 9376 234ff53389bd mp4_x000D_
_x000D_
_x000D_
_x000D_
  Steps to reproduce  :  How you happened across the issue  and what exactly you did to make the bug happen  _x000D_
Came across the issue while making logic based unit factories_x000D_
Reproduce steps:_x000D_
The video has the steps but here s a written guide:_x000D_
Link any processor to any block that can be replaced by a different type of block(ie  a copper wall can be replaced with a titanium wall  etc )_x000D_
Use any sensor block that detects details about the linked block  the example video detects the configuration of a T1 factory  printing this to a message block helps _x000D_
Code used in example video  with 1 message block and unit factory:_x000D_
   _x000D_
sensor result factory1  config_x000D_
print result_x000D_
printflush message1_x000D_
   _x000D_
_x000D_
Replace the block with a different type of block  demonstration video replaces ground factory with air factory _x000D_
Check the output of the code  in this case  the message block  it will print the data of the previous block _x000D_
_x000D_
  Link(s) to mod(s) used  :  The mod repositories or zip files that are related to the issue  if applicable  _x000D_
No mods were used _x000D_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Zipped world File:_x000D_
 TestWorldBugReport zip (https:  github com Anuken Mindustry files 6628852 TestWorldBugReport zip)_x000D_
_x000D_
  (Crash) logs  :  Either crash reports from the crash folder  or the file you get when you go into Settings    Game Data    Export Crash logs  REQUIRED if you are reporting a crash  _x000D_
DNE_x000D_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</si>
  <si>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PojavLauncherTeam-PojavLauncher-1514</t>
  </si>
  <si>
    <t>[Bug] Labymod Crash</t>
  </si>
  <si>
    <t xml:space="preserve">I launched labymod 1 8 9  then when it loads until 75  the log said game crashed _x000D_
_x000D_
   Device Model  Samsung Galaxy S8 (SM G955F) _x000D_
   CPU architecture  aarch64  _x000D_
   Android Version  Android 9 _x000D_
   Java VM  ART 2 1 0 _x000D_
   OpenGL ES  OpenGL ES 3 2 _x000D_
   PojavLauncher Version  Latest Version(Avalible on Google Play) </t>
  </si>
  <si>
    <t>nextcloud-android-8551</t>
  </si>
  <si>
    <t>Nextcloud crashed on opening the app</t>
  </si>
  <si>
    <t xml:space="preserve">    Steps to reproduce_x000D_
1  Open the android app_x000D_
2  It loads and then crashes with an error displayed _x000D_
3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</si>
  <si>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Azure-azure-iot-sdk-java-1236</t>
  </si>
  <si>
    <t>PROVISIONING FAILED : b.e.b.b.a.c.a.f.d.b: Service error: null - null - TrackingId: null* - Proguard Protocol Used: AMQPS</t>
  </si>
  <si>
    <t xml:space="preserve"> timtay microsoft Hi   I am receiving this issue again  I tried with the your proguard rules as well  Can u help me out in this                      _x000D_
  Error: PROVISIONING FAILED : b e b b a c a f d b: Service error: null   null   TrackingId: null  _x000D_
_x000D_
  ProGuard Rules:   _x000D_
_x000D_
   _x000D_
  Add project specific ProGuard rules here _x000D_
  By default  the flags in this file are appended to flags specified_x000D_
  in C: Users v askhur REDMOND AppData Local Android Sdk tools proguard proguard android txt_x000D_
  You can edit the include path and order by changing the proguardFiles_x000D_
  directive in build gradle _x000D_
 _x000D_
  For more details  see_x000D_
    http:  developer android com guide developing tools proguard html_x000D_
_x000D_
  Add any project specific keep options here:_x000D_
_x000D_
  If your project uses WebView with JS  uncomment the following_x000D_
  and specify the fully qualified class name to the JavaScript interface_x000D_
  class:_x000D_
  keepclassmembers class fqcn of javascript interface for webview  _x000D_
    public   _x000D_
  _x000D_
_x000D_
  JSON parser classes don t mix well with minification because JSON parser classes use reflection_x000D_
  based on the name of the field to create the JSON  and minification changes those names  As a result_x000D_
  all the message payload serializing and deserializing breaks  These lines explicitly exclude_x000D_
  the packages where we keep our JSON parsing classes from minification to avoid this issue_x000D_
 keep class com microsoft azure sdk iot provisioning device internal parser         _x000D_
 keep class com microsoft azure sdk iot deps serializer         _x000D_
 keep class com microsoft azure sdk iot provisioning service configs         _x000D_
 keep class com microsoft azure sdk iot deps twin         _x000D_
 keep class com microsoft azure sdk iot service ImportMode       _x000D_
 keep class com microsoft azure sdk iot service AuthenticationMechanism       _x000D_
 keep class com microsoft azure sdk iot device edge MethodRequest       _x000D_
 keep class com microsoft azure sdk iot device hsm parser ErrorResponse       _x000D_
 keep class com microsoft azure sdk iot device hsm parser SignRequest       _x000D_
_x000D_
  These are the recommended exclusions when using the IoT Hub service client SDK  They are commented_x000D_
  out because this sample only uses the IoT Hub device client SDK_x000D_
  keep class com microsoft azure sdk iot service ImportMode       _x000D_
  keep class com microsoft azure sdk iot service AuthenticationMechanism       _x000D_
_x000D_
  These are the recommended exclusions when using the Device Provisioning Service device client SDK _x000D_
  They are commented out because this sample only uses the IoT Hub device client SDK_x000D_
  keep class com microsoft azure sdk iot provisioning device internal parser         _x000D_
_x000D_
  These are the recommended exclusions when using the Device Provisioning Service service client SDK _x000D_
  They are commented out because this sample only uses the IoT Hub device client SDK_x000D_
  keep class com microsoft azure sdk iot provisioning service configs         _x000D_
   _x000D_
_x000D_
  Gradle:  _x000D_
_x000D_
 buildTypes  _x000D_
        release  _x000D_
            minifyEnabled true_x000D_
            proguardFiles getDefaultProguardFile( proguard android optimize txt )   proguard rules pro _x000D_
         _x000D_
     _x000D_
_x000D_
  Dependencies:   _x000D_
_x000D_
  Azure provisioning device client_x000D_
       https:  mvnrepository com artifact com microsoft azure sdk iot provisioning provisioning device client_x000D_
    implementation group:  com microsoft azure sdk iot provisioning   name:  provisioning device client   version:  1 7 1 _x000D_
_x000D_
       https:  mvnrepository com artifact com microsoft azure sdk iot provisioning security x509 provider_x000D_
    implementation group:  com microsoft azure sdk iot provisioning security   name:  x509 provider   version:  1 1 3 _x000D_
_x000D_
       Azure IOT device client_x000D_
       https:  mvnrepository com artifact com microsoft azure sdk iot iot device client_x000D_
    implementation (group:  com microsoft azure sdk iot   name:  iot device client   version:  1 19 0 )  _x000D_
        exclude module:  azure storage _x000D_
     _x000D_
    implementation ( com microsoft azure android:azure storage android:2 0 0 aar )_x000D_
_x000D_
       https:  mvnrepository com artifact com microsoft azure sdk iot iot deps_x000D_
    implementation group:  com microsoft azure sdk iot   name:  iot deps   version:  0 8 5 _x000D_
_x000D_
      Currently this is added as a module dependency due to a bug in the lib  This bug is fixed in the module dependency code_x000D_
      In future if the bug gets fixed in the lib  we can remove the module and add the gradle dependency_x000D_
      Azure IOT service client_x000D_
       https:  mvnrepository com artifact com microsoft azure sdk iot iot service client_x000D_
      implementation group:  com microsoft azure sdk iot   name:  iot service client   version:  1 17 1 _x000D_
_x000D_
    implementation  org apache commons:commons lang3:3 6 _x000D_
    implementation group:  com google guava   name:  guava   version:  24 1 jre _x000D_
    implementation  com google code gson:gson:2 8 5 _x000D_
_x000D_
def appCenterSdkVersion    3 0 0 _x000D_
    implementation  com microsoft appcenter:appcenter analytics:  appCenterSdkVersion  _x000D_
    implementation  com microsoft appcenter:appcenter crashes:  appCenterSdkVersion  _x000D_
</t>
  </si>
  <si>
    <t>nextcloud-talk-android-1314</t>
  </si>
  <si>
    <t>App crashs when pressing on participants of a conversation</t>
  </si>
  <si>
    <t xml:space="preserve">   Steps to reproduce_x000D_
1  Navigate to a group conversation_x000D_
2  Navigate to the conversation settings_x000D_
3  Press on a random participant (also yourself) and see the app crashing immediately _x000D_
_x000D_
    Expected behaviour_x000D_
I don t know  but not crashing  Maybe show information about that person _x000D_
_x000D_
    Actual behaviour_x000D_
The app is crashing and closes immediately _x000D_
_x000D_
_x000D_
   Device information_x000D_
_x000D_
  Device:   Oneplus 7T_x000D_
_x000D_
  Android version:   LineageOs 18 1 latest nightly_x000D_
_x000D_
  Talk version:   12 0 0 Alpha 15_x000D_
_x000D_
   Server information_x000D_
_x000D_
  Nextcloud version:   21 0 2_x000D_
_x000D_
  Talk version:   11 2 2_x000D_
_x000D_
  Custom Signaling server configured:   no_x000D_
_x000D_
  Custom TURN server configured:   no_x000D_
_x000D_
  Custom STUN server configured:   no_x000D_
    Server log (data nextcloud log)_x000D_
Nothing about this_x000D_
_x000D_
</t>
  </si>
  <si>
    <t>Benji377-SocyMusic-43</t>
  </si>
  <si>
    <t>About fragment only showing in Player fragment</t>
  </si>
  <si>
    <t xml:space="preserve">If you click on  Credit  in the dropdown menu while in the MainActivity (Where all songs are listed) nothing happens  but if you click on it while being on the Playerfragment it overlaps the existing fragment and you can see it  _x000D_
_x000D_
If you try to do it again it crashes the app  It also seems like the Aboutfragment completely replaces the Playerfragment since even if you click on the menu at the bottom of the screen it will reopen the About instead of the Playerfragment </t>
  </si>
  <si>
    <t>nextcloud-android-8547</t>
  </si>
  <si>
    <t xml:space="preserve">App crashes at startup _x000D_
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java:923)_x000D_
_x000D_
             APP INFORMATION             _x000D_
ID: com nextcloud client_x000D_
Version: 30160190_x000D_
Build flavor: generic_x000D_
_x000D_
             DEVICE INFORMATION             _x000D_
Brand: OnePlus_x000D_
Device: OnePlus7_x000D_
Model: GM1903_x000D_
Id: RKQ1 201022 002_x000D_
Product: OnePlus7 EEA_x000D_
_x000D_
             FIRMWARE             _x000D_
SDK: 30_x000D_
Release: 11_x000D_
Incremental: 2104060843_x000D_
</t>
  </si>
  <si>
    <t>TeamNewPipe-NewPipe-6455</t>
  </si>
  <si>
    <t>SAF file open/close dialogues can't be confirmed on FireTV (FireOS bug)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</si>
  <si>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21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So this isn t really a bug by NewPipe  In fact NewPipe doesn t do anything wrong but the new SAF dialogue triggers a long standing bug limitation in FireOS used on some Amazon FireTV devices _x000D_
_x000D_
The issue is that Amazon forgot to modify the SAF file open save dialogues to make them work with a remote  While you can navigate them  it s not possible to confirm any selection made in these menus unless you are using a separate input device like a mouse _x000D_
_x000D_
My Fire TV Stick 4K running the latest FireOS 6 (based on Android 7 1) is affected by this issue  I don t know if newer FireTV devices running FireOS 7 (based on Android 9) are still affected by this _x000D_
_x000D_
If possible  one solution would be to detect FireOS TV devices and disable SAF by default for the time being _x000D_
_x000D_
Do you think it s worth spending time working around an OS bug like this _x000D_
_x000D_
Edit: Of course this bug only applies to Fire TVs and TV boxes  The SAF dialogues can be navigated perfectly fine on my Fire HD 10 tablet with its touch screen _x000D_
_x000D_
    Steps to reproduce the bug_x000D_
_x000D_
1  Install NewPipe on an up to date FireTV 4K Stick_x000D_
2  Leave the settings on default (SAF is turned on by default)_x000D_
3  Use any option that causes the SAF file open save dialogue to appear   for example try downloading a video_x000D_
4  The SAF file save dialogue will appear _x000D_
5  You will notice that it s not possible to confirm this dialogue  For example in the save dialogue you won t be able to choose a folder for the default download location as you can t reach  select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FireOS 6 based on Android 7 1_x000D_
   Device model: Fire TV Stick 4K_x000D_
</t>
  </si>
  <si>
    <t>alexvasilkov-GestureViews-172</t>
  </si>
  <si>
    <t>Crash on Redmi 6A - GL error from OpenGLRenderer: 0x502</t>
  </si>
  <si>
    <t xml:space="preserve">Hi _x000D_
I m getting a crash when trying to show any image with this library with a stacktrace similar to this: https:  stackoverflow com questions 19739269 gl error from openglrenderer 0x502_x000D_
_x000D_
There isn t much of an android stacktrace  seems to be coming from the kernel level  This seems to be isolated to this device of mine  but since the images are visible with a regular  ImageView   there s likely something within this library that s causing this  _x000D_
_x000D_
I ve tried setting my layer type to  software  and  hardware  explicitly as well  no luck _x000D_
_x000D_
</t>
  </si>
  <si>
    <t>PojavLauncherTeam-PojavLauncher-1505</t>
  </si>
  <si>
    <t>hello _x000D_
 mods zip (https:  github com PojavLauncherTeam PojavLauncher files 6615480 mods zip)_x000D_
   _x000D_
first i love your work guys thank you    _x000D_
my issue is when i play with sodium mod my game crashs i tried everything i know but nothing works i tried with and without fabric abi and it still crashing hope you understand me comment because_x000D_
also i am not that very good at English   I m sorry if i say something wrong    and I m not a progarmer  _x000D_
thanks for reading my comment    _x000D_
my phone is _x000D_
Lenovo k12 note _x000D_
4g ram   128g   _x000D_
I play on 1 16 5</t>
  </si>
  <si>
    <t>TeamNewPipe-NewPipe-6450</t>
  </si>
  <si>
    <t>The app crashes when opening a video.</t>
  </si>
  <si>
    <t>Hello _x000D_
_x000D_
    Checklist_x000D_
     This checklist is COMPULSORY  The first box has been checked for you to show you how it is done     _x000D_
_x000D_
   x  I am using the latest version   v0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NewPipe_x000D_
2  Click on the video (sometimes on a video that requires confirmation of age 18 )_x000D_
_x000D_
_x000D_
    Actual behaviour_x000D_
     Tell us what happens with the steps given above     _x000D_
I ve been experiencing this problem for quite some time  for about two months now _x000D_
On versions: v0 21 2  v0 21 3  I don t know on previous ones _x000D_
I click on the video and immediately the app crashes with two options:_x000D_
1) It crashes with a prompt to send a report_x000D_
2) Crashes with exit to android desktop  No report _x000D_
_x000D_
_x000D_
    Expected behavior_x000D_
     Tell us what you expect to happen     _x000D_
Playing Video_x000D_
_x000D_
_x000D_
_x000D_
    Logs_x000D_
     If your bug includes a crash (where you re shown the Error Report page with a bunch of info)  tap on  Copy formatted report  at the bottom and paste it here:    _x000D_
_x000D_
   Exception_x000D_
    User Action:   ui error_x000D_
    Request:   ACRA report_x000D_
    Content Country:   RU_x000D_
    Content Language:   ru_x000D_
    App Language:   ru RU_x000D_
    Service:   none_x000D_
    Version:   0 21 2_x000D_
    OS:   Linux Android 10   29_x000D_
 details  summary  b Crash log   b   summary  p _x000D_
_x000D_
   _x000D_
java lang RuntimeException: Unable to start activity ComponentInfo org schabi newpipe org schabi newpipe MainActivity : androidx fragment app Fragment InstantiationException: Unable to instantiate fragment org schabi newpipe fragments EmptyFragment: could not find Fragment constructor_x000D_
	at android app ActivityThread performLaunchActivity(ActivityThread java:3270)_x000D_
	at android app ActivityThread handleLaunchActivity(ActivityThread java:3409)_x000D_
	at android app ActivityThread handleRelaunchActivityInner(ActivityThread java:5279)_x000D_
	at android app ActivityThread handleRelaunchActivity(ActivityThread java:5187)_x000D_
	at android app servertransaction ActivityRelaunchItem execute(ActivityRelaunchItem java:69)_x000D_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Caused by: androidx fragment app Fragment InstantiationException: Unable to instantiate fragment org schabi newpipe fragments EmptyFragment: could not find Fragment constructor_x000D_
	at androidx fragment app Fragment instantiate(Fragment java:563)_x000D_
	at androidx fragment app FragmentContainer instantiate(FragmentContainer java:57)_x000D_
	at androidx fragment app FragmentManager 3 instantiate(FragmentManager java:390)_x000D_
	at androidx fragment app FragmentStateManager  init (FragmentStateManager java:74)_x000D_
	at androidx fragment app FragmentManager restoreSaveState(FragmentManager java:2454)_x000D_
	at androidx fragment app Fragment restoreChildFragmentState(Fragment java:1706)_x000D_
	at androidx fragment app Fragment onCreate(Fragment java:1683)_x000D_
	at org schabi newpipe BaseFragment onCreate(BaseFragment java:55)_x000D_
	at org schabi newpipe fragments detail VideoDetailFragment onCreate(VideoDetailFragment java:279)_x000D_
	at androidx fragment app Fragment performCreate(Fragment java:2684)_x000D_
	at androidx fragment app FragmentStateManager create(FragmentStateManager java:280)_x000D_
	at androidx fragment app FragmentManager moveToState(FragmentManager java:1175)_x000D_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FragmentManager dispatchStateChange(FragmentManager java:2625)_x000D_
	at androidx fragment app FragmentManager dispatchCreate(FragmentManager java:2571)_x000D_
	at androidx fragment app FragmentController dispatchCreate(FragmentController java:236)_x000D_
	at androidx fragment app FragmentActivity onCreate(FragmentActivity java:315)_x000D_
	at androidx appcompat app AppCompatActivity onCreate(AppCompatActivity java:115)_x000D_
	at org schabi newpipe MainActivity onCreate(MainActivity java:141)_x000D_
	at android app Activity performCreate(Activity java:7824)_x000D_
	at android app Activity performCreate(Activity java:7813)_x000D_
	at android app Instrumentation callActivityOnCreate(Instrumentation java:1306)_x000D_
	at android app ActivityThread performLaunchActivity(ActivityThread java:3245)_x000D_
	    13 more_x000D_
Caused by: java lang NoSuchMethodException: org schabi newpipe fragments EmptyFragment  init    _x000D_
	at java lang Class getConstructor0(Class java:2332)_x000D_
	at java lang Class getConstructor(Class java:1728)_x000D_
	at androidx fragment app Fragment instantiate(Fragment java:548)_x000D_
	    37 more_x000D_
_x000D_
   _x000D_
  details _x000D_
 hr _x000D_
_x000D_
_x000D_
    Device info_x000D_
_x000D_
   Android version Custom ROM version: lineage 17 1 20210202 nightly lavender signed zip_x000D_
   Device model: Xiaomi Redmi Note 7_x000D_
_x000D_
_x000D_
    Adb reports_x000D_
Several reports from  adb logcat  b crash  d  crash log _x000D_
version   v0 21 3_x000D_
_x000D_
 details  summary  b Crash log   b   summary  p _x000D_
_x000D_
   _x000D_
06 06 20:13:38 410  8728  8728 E AndroidRuntime: FATAL EXCEPTION: main_x000D_
06 06 20:13:38 410  8728  8728 E AndroidRuntime: Process: org schabi newpipe  PID: 8728_x000D_
06 06 20:13:38 410  8728  8728 E AndroidRuntime: java lang RuntimeException: Unable to start activity ComponentInfo org schabi newpipe org schabi newpipe MainActivity : androidx fragment app Fragment InstantiationException: Unable to instantiate fragment org schabi newpipe fragments EmptyFragment: could not find Fragment constructor_x000D_
06 06 20:13:38 410  8728  8728 E AndroidRuntime: 	at android app ActivityThread performLaunchActivity(ActivityThread java:3270)_x000D_
06 06 20:13:38 410  8728  8728 E AndroidRuntime: 	at android app ActivityThread handleLaunchActivity(ActivityThread java:3409)_x000D_
06 06 20:13:38 410  8728  8728 E AndroidRuntime: 	at android app ActivityThread handleRelaunchActivityInner(ActivityThread java:5279)_x000D_
06 06 20:13:38 410  8728  8728 E AndroidRuntime: 	at android app ActivityThread handleRelaunchActivity(ActivityThread java:5187)_x000D_
06 06 20:13:38 410  8728  8728 E AndroidRuntime: 	at android app servertransaction ActivityRelaunchItem execute(ActivityRelaunchItem java:69)_x000D_
06 06 20:13:38 410  8728  8728 E AndroidRuntime: 	at android app servertransaction TransactionExecutor executeCallbacks(TransactionExecutor java:135)_x000D_
06 06 20:13:38 410  8728  8728 E AndroidRuntime: 	at android app servertransaction TransactionExecutor execute(TransactionExecutor java:95)_x000D_
06 06 20:13:38 410  8728  8728 E AndroidRuntime: 	at android app ActivityThread H handleMessage(ActivityThread java:2016)_x000D_
06 06 20:13:38 410  8728  8728 E AndroidRuntime: 	at android os Handler dispatchMessage(Handler java:107)_x000D_
06 06 20:13:38 410  8728  8728 E AndroidRuntime: 	at android os Looper loop(Looper java:214)_x000D_
06 06 20:13:38 410  8728  8728 E AndroidRuntime: 	at android app ActivityThread main(ActivityThread java:7356)_x000D_
06 06 20:13:38 410  8728  8728 E AndroidRuntime: 	at java lang reflect Method invoke(Native Method)_x000D_
06 06 20:13:38 410  8728  8728 E AndroidRuntime: 	at com android internal os RuntimeInit MethodAndArgsCaller run(RuntimeInit java:491)_x000D_
06 06 20:13:38 410  8728  8728 E AndroidRuntime: 	at com android internal os ZygoteInit main(ZygoteInit java:940)_x000D_
06 06 20:13:38 410  8728  8728 E AndroidRuntime: Caused by: androidx fragment app Fragment InstantiationException: Unable to instantiate fragment org schabi newpipe fragments EmptyFragment: could not find Fragment constructor_x000D_
06 06 20:13:38 410  8728  8728 E AndroidRuntime: 	at androidx fragment app Fragment instantiate(Fragment java:563)_x000D_
06 06 20:13:38 410  8728  8728 E AndroidRuntime: 	at androidx fragment app FragmentContainer instantiate(FragmentContainer java:57)_x000D_
06 06 20:13:38 410  8728  8728 E AndroidRuntime: 	at androidx fragment app FragmentManager 3 instantiate(FragmentManager java:390)_x000D_
06 06 20:13:38 410  8728  8728 E AndroidRuntime: 	at androidx fragment app FragmentStateManager  init (FragmentStateManager java:74)_x000D_
06 06 20:13:38 410  8728  8728 E AndroidRuntime: 	at androidx fragment app FragmentManager restoreSaveState(FragmentManager java:2454)_x000D_
06 06 20:13:38 410  8728  8728 E AndroidRuntime: 	at androidx fragment app Fragment restoreChildFragmentState(Fragment java:1706)_x000D_
06 06 20:13:38 410  8728  8728 E AndroidRuntime: 	at androidx fragment app Fragment onCreate(Fragment java:1683)_x000D_
06 06 20:13:38 410  8728  8728 E AndroidRuntime: 	at org schabi newpipe BaseFragment onCreate(BaseFragment java:55)_x000D_
06 06 20:13:38 410  8728  8728 E AndroidRuntime: 	at org schabi newpipe fragments detail VideoDetailFragment onCreate(VideoDetailFragment java:279)_x000D_
06 06 20:13:38 410  8728  8728 E AndroidRuntime: 	at androidx fragment app Fragment performCreate(Fragment java:2684)_x000D_
06 06 20:13:38 410  8728  8728 E AndroidRuntime: 	at androidx fragment app FragmentStateManager create(FragmentStateManager java:280)_x000D_
06 06 20:13:38 410  8728  8728 E AndroidRuntime: 	at androidx fragment app FragmentManager moveToState(FragmentManager java:1175)_x000D_
06 06 20:13:38 410  8728  8728 E AndroidRuntime: 	at androidx fragment app FragmentManager moveToState(FragmentManager java:1356)_x000D_
06 06 20:13:38 410  8728  8728 E AndroidRuntime: 	at androidx fragment app FragmentManager moveFragmentToExpectedState(FragmentManager java:1434)_x000D_
06 06 20:13:38 410  8728  8728 E AndroidRuntime: 	at androidx fragment app FragmentManager moveToState(FragmentManager java:1497)_x000D_
06 06 20:13:38 410  8728  8728 E AndroidRuntime: 	at androidx fragment app FragmentManager dispatchStateChange(FragmentManager java:2625)_x000D_
06 06 20:13:38 410  8728  8728 E AndroidRuntime: 	at androidx fragment app FragmentManager dispatchCreate(FragmentManager java:2571)_x000D_
06 06 20:13:38 410  8728  8728 E AndroidRuntime: 	at androidx fragment app FragmentController dispatchCreate(FragmentController java:236)_x000D_
06 06 20:13:38 410  8728  8728 E AndroidRuntime: 	at androidx fragment app FragmentActivity onCreate(FragmentActivity java:315)_x000D_
06 06 20:13:38 410  8728  8728 E AndroidRuntime: 	at androidx appcompat app AppCompatActivity onCreate(AppCompatActivity java:115)_x000D_
06 06 20:13:38 410  8728  8728 E AndroidRuntime: 	at org schabi newpipe MainActivity onCreate(MainActivity java:141)_x000D_
06 06 20:13:38 410  8728  8728 E AndroidRuntime: 	at android app Activity performCreate(Activity java:7824)_x000D_
06 06 20:13:38 410  8728  8728 E AndroidRuntime: 	at android app Activity performCreate(Activity java:7813)_x000D_
06 06 20:13:38 410  8728  8728 E AndroidRuntime: 	at android app Instrumentation callActivityOnCreate(Instrumentation java:1306)_x000D_
06 06 20:13:38 410  8728  8728 E AndroidRuntime: 	at android app ActivityThread performLaunchActivity(ActivityThread java:3245)_x000D_
06 06 20:13:38 410  8728  8728 E AndroidRuntime: 	    13 more_x000D_
06 06 20:13:38 410  8728  8728 E AndroidRuntime: Caused by: java lang NoSuchMethodException: org schabi newpipe fragments EmptyFragment  init    _x000D_
06 06 20:13:38 410  8728  8728 E AndroidRuntime: 	at java lang Class getConstructor0(Class java:2332)_x000D_
06 06 20:13:38 410  8728  8728 E AndroidRuntime: 	at java lang Class getConstructor(Class java:1728)_x000D_
06 06 20:13:38 410  8728  8728 E AndroidRuntime: 	at androidx fragment app Fragment instantiate(Fragment java:548)_x000D_
06 06 20:13:38 410  8728  8728 E AndroidRuntime: 	    37 more_x000D_
06 07 09:20:53 654 11891 11891 E AndroidRuntime: FATAL EXCEPTION: main_x000D_
06 07 09:20:53 654 11891 11891 E AndroidRuntime: Process: org schabi newpipe  PID: 11891_x000D_
06 07 09:20:53 654 11891 11891 E AndroidRuntime: java lang RuntimeException: Unable to start activity ComponentInfo org schabi newpipe org schabi newpipe MainActivity : androidx fragment app Fragment InstantiationException: Unable to instantiate fragment org schabi newpipe fragments EmptyFragment: could not find Fragment constructor_x000D_
06 07 09:20:53 654 11891 11891 E AndroidRuntime: 	at android app ActivityThread performLaunchActivity(ActivityThread java:3270)_x000D_
06 07 09:20:53 654 11891 11891 E AndroidRuntime: 	at android app ActivityThread handleLaunchActivity(ActivityThread java:3409)_x000D_
06 07 09:20:53 654 11891 11891 E AndroidRuntime: 	at android app ActivityThread handleRelaunchActivityInner(ActivityThread java:5279)_x000D_
06 07 09:20:53 654 11891 11891 E AndroidRuntime: 	at android app ActivityThread handleRelaunchActivity(ActivityThread java:5187)_x000D_
06 07 09:20:53 654 11891 11891 E AndroidRuntime: 	at android app servertransaction ActivityRelaunchItem execute(ActivityRelaunchItem java:69)_x000D_
06 07 09:20:53 654 11891 11891 E AndroidRuntime: 	at android app servertransaction TransactionExecutor executeCallbacks(TransactionExecutor java:135)_x000D_
06 07 09:20:53 654 11891 11891 E AndroidRuntime: 	at android app servertransaction TransactionExecutor execute(TransactionExecutor java:95)_x000D_
06 07 09:20:53 654 11891 11891 E AndroidRuntime: 	at android app ActivityThread H handleMessage(ActivityThread java:2016)_x000D_
06 07 09:20:53 654 11891 11891 E AndroidRuntime: 	at android os Handler dispatchMessage(Handler java:107)_x000D_
06 07 09:20:53 654 11891 11891 E AndroidRuntime: 	at android os Looper loop(Looper java:214)_x000D_
06 07 09:20:53 654 11891 11891 E AndroidRuntime: 	at android app ActivityThread main(ActivityThread java:7356)_x000D_
06 07 09:20:53 654 11891 11891 E AndroidRuntime: 	at java lang reflect Method invoke(Native Method)_x000D_
06 07 09:20:53 654 11891 11891 E AndroidRuntime: 	at com android internal os RuntimeInit MethodAndArgsCaller run(RuntimeInit java:491)_x000D_
06 07 09:20:53 654 11891 11891 E AndroidRuntime: 	at com android internal os ZygoteInit main(ZygoteInit java:940)_x000D_
06 07 09:20:53 654 11891 11891 E AndroidRuntime: Caused by: androidx fragment app Fragment InstantiationException: Unable to instantiate fragment org schabi newpipe fragments EmptyFragment: could not find Fragment constructor_x000D_
06 07 09:20:53 654 11891 11891 E AndroidRuntime: 	at androidx fragment app Fragment instantiate(Fragment java:563)_x000D_
06 07 09:20:53 654 11891 11891 E AndroidRuntime: 	at androidx fragment app FragmentContainer instantiate(FragmentContainer java:57)_x000D_
06 07 09:20:53 654 11891 11891 E AndroidRuntime: 	at androidx fragment app FragmentManager 3 instantiate(FragmentManager java:390)_x000D_
06 07 09:20:53 654 11891 11891 E AndroidRuntime: 	at androidx fragment app FragmentStateManager  init (FragmentStateManager java:74)_x000D_
06 07 09:20:53 654 11891 11891 E AndroidRuntime: 	at androidx fragment app FragmentManager restoreSaveState(FragmentManager java:2454)_x000D_
06 07 09:20:53 654 11891 11891 E AndroidRuntime: 	at androidx fragment app Fragment restoreChildFragmentState(Fragment java:1706)_x000D_
06 07 09:20:53 654 11891 11891 E AndroidRuntime: 	at androidx fragment app Fragment onCreate(Fragment java:1683)_x000D_
06 07 09:20:53 654 11891 11891 E AndroidRuntime: 	at org schabi newpipe BaseFragment onCreate(BaseFragment java:55)_x000D_
06 07 09:20:53 654 11891 11891 E AndroidRuntime: 	at org schabi newpipe fragments detail VideoDetailFragment onCreate(VideoDetailFragment java:279)_x000D_
06 07 09:20:53 654 11891 11891 E AndroidRuntime: 	at androidx fragment app Fragment performCreate(Fragment java:2684)_x000D_
06 07 09:20:53 654 11891 11891 E AndroidRuntime: 	at androidx fragment app FragmentStateManager create(FragmentStateManager java:280)_x000D_
06 07 09:20:53 654 11891 11891 E AndroidRuntime: 	at androidx fragment app FragmentManager moveToState(FragmentManager java:1175)_x000D_
06 07 09:20:53 654 11891 11891 E AndroidRuntime: 	at androidx fragment app FragmentManager moveToState(FragmentManager java:1356)_x000D_
06 07 09:20:53 654 11891 11891 E AndroidRuntime: 	at androidx fragment app FragmentManager moveFragmentToExpectedState(FragmentManager java:1434)_x000D_
06 07 09:20:53 654 11891 11891 E AndroidRuntime: 	at androidx fragment app FragmentManager moveToState(FragmentManager java:1497)_x000D_
06 07 09:20:53 654 11891 11891 E AndroidRuntime: 	at androidx fragment app FragmentManager dispatchStateChange(FragmentManager java:2625)_x000D_
06 07 09:20:53 654 11891 11891 E AndroidRuntime: 	at androidx fragment app FragmentManager dispatchCreate(FragmentManager java:2571)_x000D_
06 07 09:20:53 654 11891 11891 E AndroidRuntime: 	at androidx fragment app FragmentController dispatchCreate(FragmentController java:236)_x000D_
06 07 09:20:53 654 11891 11891 E AndroidRuntime: 	at androidx fragment app FragmentActivity onCreate(FragmentActivity java:315)_x000D_
06 07 09:20:53 654 11891 11891 E AndroidRuntime: 	at androidx appcompat app AppCompatActivity onCreate(AppCompatActivity java:115)_x000D_
06 07 09:20:53 654 11891 11891 E AndroidRuntime: 	at org schabi newpipe MainActivity onCreate(MainActivity java:141)_x000D_
06 07 09:20:53 654 11891 11891 E AndroidRuntime: 	at android app Activity performCreate(Activity java:7824)_x000D_
06 07 09:20:53 654 11891 11891 E AndroidRuntime: 	at android app Activity performCreate(Activity java:7813)_x000D_
06 07 09:20:53 654 11891 11891 E AndroidRuntime: 	at android app Instrumentation callActivityOnCreate(Instrumentation java:1306)_x000D_
06 07 09:20:53 654 11891 11891 E AndroidRuntime: 	at android app ActivityThread performLaunchActivity(ActivityThread java:3245)_x000D_
06 07 09:20:53 654 11891 11891 E AndroidRuntime: 	    13 more_x000D_
06 07 09:20:53 654 11891 11891 E AndroidRuntime: Caused by: java lang NoSuchMethodException: org schabi newpipe fragments EmptyFragment  init    _x000D_
06 07 09:20:53 654 11891 11891 E AndroidRuntime: 	at java lang Class getConstructor0(Class java:2332)_x000D_
06 07 09:20:53 654 11891 11891 E AndroidRuntime: 	at java lang Class getConstructor(Class java:1728)_x000D_
06 07 09:20:53 654 11891 11891 E AndroidRuntime: 	at androidx fragment app Fragment instantiate(Fragment java:548)_x000D_
06 07 09:20:53 654 11891 11891 E AndroidRuntime: 	    37 more_x000D_
06 07 09:55:45 049 12275 12275 E AndroidRuntime: FATAL EXCEPTION: main_x000D_
06 07 09:55:45 049 12275 12275 E AndroidRuntime: Process: org schabi newpipe  PID: 12275_x000D_
06 07 09:55:45 049 12275 12275 E AndroidRuntime: java lang RuntimeException: Unable to start activity ComponentInfo org schabi newpipe org schabi newpipe MainActivity : androidx fragment app Fragment InstantiationException: Unable to instantiate fragment org schabi newpipe fragments EmptyFragment: could not find Fragment constructor_x000D_
06 07 09:55:45 049 12275 12275 E AndroidRuntime: 	at android app ActivityThread performLaunchActivity(ActivityThread java:3270)_x000D_
06 07 09:55:45 049 12275 12275 E AndroidRuntime: 	at android app ActivityThread handleLaunchActivity(ActivityThread java:3409)_x000D_
06 07 09:55:45 049 12275 12275 E AndroidRuntime: 	at android app ActivityThread handleRelaunchActivityInner(ActivityThread java:5279)_x000D_
06 07 09:55:45 049 12275 12275 E AndroidRuntime: 	at android app ActivityThread handleRelaunchActivity(ActivityThread java:5187)_x000D_
06 07 09:55:45 049 12275 12275 E AndroidRuntime: 	at android app servertransaction ActivityRelaunchItem execute(ActivityRelaunchItem java:69)_x000D_
06 07 09:55:45 049 12275 12275 E AndroidRuntime: 	at android app servertransaction TransactionExecutor executeCallbacks(TransactionExecutor java:135)_x000D_
06 07 09:55:45 049 12275 12275 E AndroidRuntime: 	at android app servertransaction TransactionExecutor execute(TransactionExecutor java:95)_x000D_
06 07 09:55:45 049 12275 12275 E AndroidRuntime: 	at android app ActivityThread H handleMessage(ActivityThread java:2016)_x000D_
06 07 09:55:45 049 12275 12275 E AndroidRuntime: 	at android os Handler dispatchMessage(Handler java:107)_x000D_
06 07 09:55:45 049 12275 12275 E AndroidRuntime: 	at android os Looper loop(Looper java:214)_x000D_
06 07 09:55:45 049 12275 12275 E AndroidRuntime: 	at android app ActivityThread main(ActivityThread java:7356)_x000D_
06 07 09:55:45 049 12275 12275 E AndroidRuntime: 	at java lang reflect Method invoke(Native Method)_x000D_
06 07 09:55:45 049 12275 12275 E AndroidRuntime: 	at com android internal os RuntimeInit MethodAndArgsCaller run(RuntimeInit java:491)_x000D_
06 07 09:55:45 049 12275 12275 E AndroidRuntime: 	at com android internal os ZygoteInit main(ZygoteInit java:940)_x000D_
06 07 09:55:45 049 12275 12275 E AndroidRuntime: Caused by: androidx fragment app Fragment InstantiationException: Unable to instantiate fragment org schabi newpipe fragments EmptyFragment: could not find Fragment constructor_x000D_
06 07 09:55:45 049 12275 12275 E AndroidRuntime: 	at androidx fragment app Fragment instantiate(Fragment java:563)_x000D_
06 07 09:55:45 049 12275 12275 E AndroidRuntime: 	at androidx fragment app FragmentContainer instantiate(FragmentContainer java:57)_x000D_
06 07 09:55:45 049 12275 12275 E AndroidRuntime: 	at androidx fragment app FragmentManager 3 instantiate(FragmentManager java:390)_x000D_
06 07 09:55:45 049 12275 12275 E AndroidRuntime: 	at androidx fragment app FragmentStateManager  init (FragmentStateManager java:74)_x000D_
06 07 09:55:45 049 12275 12275 E AndroidRuntime: 	at androidx fragment app FragmentManager restoreSaveState(FragmentManager java:2454)_x000D_
06 07 09:55:45 049 12275 12275 E AndroidRuntime: 	at androidx fragment app Fragment restoreChildFragmentState(Fragment java:1706)_x000D_
06 07 09:55:45 049 12275 12275 E AndroidRuntime: 	at androidx fragment app Fragment onCreate(Fragment java:1683)_x000D_
06 07 09:55:45 049 12275 12275 E AndroidRuntime: 	at org schabi newpipe BaseFragment onCreate(BaseFragment java:55)_x000D_
06 07 09:55:45 049 12275 12275 E AndroidRuntime: 	at org schabi newpipe fragments detail VideoDetailFragment onCreate(VideoDetailFragment java:279)_x000D_
06 07 09:55:45 049 12275 12275 E AndroidRuntime: 	at androidx fragment app Fragment performCreate(Fragment java:2684)_x000D_
06 07 09:55:45 049 12275 12275 E AndroidRuntime: 	at androidx fragment app FragmentStateManager create(FragmentStateManager java:280)_x000D_
06 07 09:55:45 049 12275 12275 E AndroidRuntime: 	at androidx fragment app FragmentManager moveToState(FragmentManager java:1175)_x000D_
06 07 09:55:45 049 12275 12275 E AndroidRuntime: 	at androidx fragment app FragmentManager moveToState(FragmentManager java:1356)_x000D_
06 07 09:55:45 049 12275 12275 E AndroidRuntime: 	at androidx fragment app FragmentManager moveFragmentToExpectedState(FragmentManager java:1434)_x000D_
06 07 09:55:45 049 12275 12275 E AndroidRuntime: 	at androidx fragment app FragmentManager moveToState(FragmentManager java:1497)_x000D_
06 07 09:55:45 049 12275 12275 E AndroidRuntime: 	at androidx fragment app FragmentManager dispatchStateChange(FragmentManager java:2625)_x000D_
06 07 09:55:45 049 12275 12275 E AndroidRuntime: 	at androidx fragment app FragmentManager dispatchCreate(FragmentManager java:2571)_x000D_
06 07 09:55:45 049 12275 12275 E AndroidRuntime: 	at androidx fragment app FragmentController dispatchCreate(FragmentController java:236)_x000D_
06 07 09:55:45 049 12275 12275 E AndroidRuntime: 	at androidx fragment app FragmentActivity onCreate(FragmentActivity java:315)_x000D_
06 07 09:55:45 049 12275 12275 E AndroidRuntime: 	at androidx appcompat app AppCompatActivity onCreate(AppCompatActivity java:115)_x000D_
06 07 09:55:45 049 12275 12275 E AndroidRuntime: 	at org schabi newpipe MainActivity onCreate(MainActivity java:141)_x000D_
06 07 09:55:45 049 12275 12275 E AndroidRuntime: 	at android app Activity performCreate(Activity java:7824)_x000D_
06 07 09:55:45 049 12275 12275 E AndroidRuntime: 	at android app Activity performCreate(Activity java:7813)_x000D_
06 07 09:55:45 049 12275 12275 E AndroidRuntime: 	at android app Instrumentation callActivityOnCreate(Instrumentation java:1306)_x000D_
06 07 09:55:45 049 12275 12275 E AndroidRuntime: 	at android app ActivityThread performLaunchActivity(ActivityThread java:3245)_x000D_
06 07 09:55:45 049 12275 12275 E AndroidRuntime: 	    13 more_x000D_
06 07 09:55:45 049 12275 12275 E AndroidRuntime: Caused by: java lang NoSuchMethodException: org schabi newpipe fragments EmptyFragment  init    _x000D_
06 07 09:55:45 049 12275 12275 E AndroidRuntime: 	at java lang Class getConstructor0(Class java:2332)_x000D_
06 07 09:55:45 049 12275 12275 E AndroidRuntime: 	at java lang Class getConstructor(Class java:1728)_x000D_
06 07 09:55:45 049 12275 12275 E AndroidRuntime: 	at androidx fragment app Fragment instantiate(Fragment java:548)_x000D_
06 07 09:55:45 049 12275 12275 E AndroidRuntime: 	    37 more_x000D_
06 07 10:19:27 033 13843 13843 E AndroidRuntime: FATAL EXCEPTION: main_x000D_
06 07 10:19:27 033 13843 13843 E AndroidRuntime: Process: org schabi newpipe  PID: 13843_x000D_
06 07 10:19:27 033 13843 13843 E AndroidRuntime: java lang RuntimeException: Unable to start activity ComponentInfo org schabi newpipe org schabi newpipe MainActivity : androidx fragment app Fragment InstantiationException: Unable to instantiate fragment org schabi newpipe fragments EmptyFragment: could not find Fragment constructor_x000D_
06 07 10:19:27 033 13843 13843 E AndroidRuntime: 	at android app ActivityThread performLaunchActivity(ActivityThread java:3270)_x000D_
06 07 10:19:27 033 13843 13843 E AndroidRuntime: 	at android app ActivityThread handleLaunchActivity(ActivityThread java:3409)_x000D_
06 07 10:19:27 033 13843 13843 E AndroidRuntime: 	at android app ActivityThread handleRelaunchActivityInner(ActivityThread java:5279)_x000D_
06 07 10:19:27 033 13843 13843 E AndroidRuntime: 	at android app ActivityThread handleRelaunchActivity(ActivityThread java:5187)_x000D_
06 07 10:19:27 033 13843 13843 E AndroidRuntime: 	at android app servertransaction ActivityRelaunchItem execute(ActivityRelaunchItem java:69)_x000D_
06 07 10:19:27 033 13843 13843 E AndroidRuntime: 	at android app servertransaction TransactionExecutor executeCallbacks(TransactionExecutor java:135)_x000D_
06 07 10:19:27 033 13843 13843 E AndroidRuntime: 	at android app servertransaction TransactionExecutor execute(TransactionExecutor java:95)_x000D_
06 07 10:19:27 033 13843 13843 E AndroidRuntime: 	at android app ActivityThread H handleMessage(ActivityThread java:2016)_x000D_
06 07 10:19:27 033 13843 13843 E AndroidRuntime: 	at android os Handler dispatchMessage(Handler java:107)_x000D_
06 07 10:19:27 033 13843 13843 E AndroidRuntime: 	at android os Looper loop(Looper java:214)_x000D_
06 07 10:19:27 033 13843 13843 E AndroidRuntime: 	at android app ActivityThread main(ActivityThread java:7356)_x000D_
06 07 10:19:27 033 13843 13843 E AndroidRuntime: 	at java lang reflect Method invoke(Native Method)_x000D_
06 07 10:19:27 033 13843 13843 E AndroidRuntime: 	at com android internal os RuntimeInit MethodAndArgsCaller run(RuntimeInit java:491)_x000D_
06 07 10:19:27 033 13843 13843 E AndroidRuntime: 	at com android internal os ZygoteInit main(ZygoteInit java:940)_x000D_
06 07 10:19:27 033 13843 13843 E AndroidRuntime: Caused by: androidx fragment app Fragment InstantiationException: Unable to instantiate fragment org schabi newpipe fragments EmptyFragment: could not find Fragment constructor_x000D_
06 07 10:19:27 033 13843 13843 E AndroidRuntime: 	at androidx fragment app Fragment instantiate(Fragment java:563)_x000D_
06 07 10:19:27 033 13843 13843 E AndroidRuntime: 	at androidx fragment app FragmentContainer instantiate(FragmentContainer java:57)_x000D_
06 07 10:19:27 033 13843 13843 E AndroidRuntime: 	at androidx fragment app FragmentManager 3 instantiate(FragmentManager java:390)_x000D_
06 07 10:19:27 033 13843 13843 E AndroidRuntime: 	at androidx fragment app FragmentStateManager  init (FragmentStateManager java:74)_x000D_
06 07 10:19:27 033 13843 13843 E AndroidRuntime: 	at androidx fragment app FragmentManager restoreSaveState(FragmentManager java:2454)_x000D_
06 07 10:19:27 033 13843 13843 E AndroidRuntime: 	at androidx fragment app Fragment restoreChildFragmentState(Fragment java:1706)_x000D_
06 07 10:19:27 033 13843 13843 E AndroidRuntime: 	at androidx fragment app Fragment onCreate(Fragment java:1683)_x000D_
06 07 10:19:27 033 13843 13843 E AndroidRuntime: 	at org schabi newpipe BaseFragment onCreate(BaseFragment java:55)_x000D_
06 07 10:19:27 033 13843 13843 E AndroidRuntime: 	at org schabi newpipe fragments detail VideoDetailFragment onCreate(VideoDetailFragment java:279)_x000D_
06 07 10:19:27 033 13843 13843 E AndroidRuntime: 	at androidx fragment app Fragment performCreate(Fragment java:2684)_x000D_
06 07 10:19:27 033 13843 13843 E AndroidRuntime: 	at androidx fragment app FragmentStateManager create(FragmentStateManager java:280)_x000D_
06 07 10:19:27 033 13843 13843 E AndroidRuntime: 	at androidx fragment app FragmentManager moveToState(FragmentManager java:1175)_x000D_
06 07 10:19:27 033 13843 13843 E AndroidRuntime: 	at androidx fragment app FragmentManager moveToState(FragmentManager java:1356)_x000D_
06 07 10:19:27 033 13843 13843 E AndroidRuntime: 	at androidx fragment app FragmentManager moveFragmentToExpectedState(FragmentManager java:1434)_x000D_
06 07 10:19:27 033 13843 13843 E AndroidRuntime: 	at androidx fragment app FragmentManager moveToState(FragmentManager java:1497)_x000D_
06 07 10:19:27 033 13843 13843 E AndroidRuntime: 	at androidx fragment app FragmentManager dispatchStateChange(FragmentManager java:2625)_x000D_
06 07 10:19:27 033 13843 13843 E AndroidRuntime: 	at androidx fragment app FragmentManager dispatchCreate(FragmentManager java:2571)_x000D_
06 07 10:19:27 033 13843 13843 E AndroidRuntime: 	at androidx fragment app FragmentController dispatchCreate(FragmentController java:236)_x000D_
06 07 10:19:27 033 13843 13843 E AndroidRuntime: 	at androidx fragment app FragmentActivity onCreate(FragmentActivity java:315)_x000D_
06 07 10:19:27 033 13843 13843 E AndroidRuntime: 	at androidx appcompat app AppCompatActivity onCreate(AppCompatActivity java:115)_x000D_
06 07 10:19:27 033 13843 13843 E AndroidRuntime: 	at org schabi newpipe MainActivity onCreate(MainActivity java:141)_x000D_
06 07 10:19:27 033 13843 13843 E AndroidRuntime: 	at android app Activity performCreate(Activity java:7824)_x000D_
06 07 10:19:27 033 13843 13843 E AndroidRuntime: 	at android app Activity performCreate(Activity java:7813)_x000D_
06 07 10:19:27 033 13843 13843 E AndroidRuntime: 	at android app Instrumentation callActivityOnCreate(Instrumentation java:1306)_x000D_
06 07 10:19:27 033 13843 13843 E AndroidRuntime: 	at android app ActivityThread performLaunchActivity(ActivityThread java:3245)_x000D_
06 07 10:19:27 033 13843 13843 E AndroidRuntime: 	    13 more_x000D_
06 07 10:19:27 033 13843 13843 E AndroidRuntime: Caused by: java lang NoSuchMethodException: org schabi newpipe fragments EmptyFragment  init    _x000D_
06 07 10:19:27 033 13843 13843 E AndroidRuntime: 	at java lang Class getConstructor0(Class java:2332)_x000D_
06 07 10:19:27 033 13843 13843 E AndroidRuntime: 	at java lang Class getConstructor(Class java:1728)_x000D_
06 07 10:19:27 033 13843 13843 E AndroidRuntime: 	at androidx fragment app Fragment instantiate(Fragment java:548)_x000D_
06 07 10:19:27 033 13843 13843 E AndroidRuntime: 	    37 more_x000D_
06 07 10:24:18 968 14880 14880 E AndroidRuntime: FATAL EXCEPTION: main_x000D_
06 07 10:24:18 968 14880 14880 E AndroidRuntime: Process: org schabi newpipe  PID: 14880_x000D_
06 07 10:24:18 968 14880 14880 E AndroidRuntime: java lang NullPointerException: Attempt to invoke virtual method  boolean org schabi newpipe util FilePickerActivityHelper CustomFilePickerFragment isBackTop()  on a null object reference_x000D_
06 07 10:24:18 968 14880 14880 E AndroidRuntime: 	at org schabi newpipe util FilePickerActivityHelper onBackPressed(FilePickerActivityHelper java:70)_x000D_
06 07 10:24:18 968 14880 14880 E AndroidRuntime: 	at android app Activity onKeyUp(Activity java:3647)_x000D_
06 07 10:24:18 968 14880 14880 E AndroidRuntime: 	at android view KeyEvent dispatch(KeyEvent java:2830)_x000D_
06 07 10:24:18 968 14880 14880 E AndroidRuntime: 	at android app Activity dispatchKeyEvent(Activity java:3976)_x000D_
06 07 10:24:18 968 14880 14880 E AndroidRuntime: 	at androidx core app ComponentActivity superDispatchKeyEvent(ComponentActivity java:122)_x000D_
06 07 10:24:18 968 14880 14880 E AndroidRuntime: 	at androidx core view KeyEventDispatcher dispatchKeyEvent(KeyEventDispatcher java:84)_x000D_
06 07 10:24:18 968 14880 14880 E AndroidRuntime: 	at androidx core app ComponentActivity dispatchKeyEvent(ComponentActivity java:140)_x000D_
06 07 10:24:18 968 14880 14880 E AndroidRuntime: 	at androidx appcompat app AppCompatActivity dispatchKeyEvent(AppCompatActivity java:569)_x000D_
06 07 10:24:18 968 14880 14880 E AndroidRuntime: 	at androidx appcompat view WindowCallbackWrapper dispatchKeyEvent(WindowCallbackWrapper java:59)_x000D_
06 07 10:24:18 968 14880 14880 E AndroidRuntime: 	at androidx appcompat app AppCompatDelegateImpl AppCompatWindowCallback dispatchKeyEvent(AppCompatDelegateImpl java:3054)_x000D_
06 07 10:24:18 968 1</t>
  </si>
  <si>
    <t>lchua2314-Game-News-App-12</t>
  </si>
  <si>
    <t>JSON Array? Overflow Bug</t>
  </si>
  <si>
    <t xml:space="preserve">With  infinite  pagination  the app can crash if the user loads too much data </t>
  </si>
  <si>
    <t>TeamNewPipe-NewPipe-6449</t>
  </si>
  <si>
    <t>Start playing in the background stops on random video from playlist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</si>
  <si>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Start playing in the background a video from a playlist _x000D_
_x000D_
https:  www youtube com playlist list PLfm0UlAaFizvaDCpgeRGD es6bq5LRO49_x000D_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Sometimes it will stop on random video from the list but most of the time it is https:  www youtube com watch v hvHi7N8kc8s list PLfm0UlAaFizvaDCpgeRGD es6bq5LRO49 index 36_x000D_
_x000D_
Can be any video in the list  this bug started from version 0 20 0 with the unified player _x000D_
_x000D_
Once it stops it will not play any video in background and in the unified player  the only way to fix it is to close the unified player tapping the X on the right of the video title  exit newpipe tapping back button  clear newpipe from the ram memory _x000D_
_x000D_
_x000D_
_x000D_
    Expected behavior_x000D_
Tap Start playing in the background a video from playlist with screen off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6 0 Marshmallow_x000D_
   Device model: Samsung J1 Mini 2016</t>
  </si>
  <si>
    <t>PojavLauncherTeam-PojavLauncher-1503</t>
  </si>
  <si>
    <t>[BUG] Minecraft Crash on Android 8.1</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</si>
  <si>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To Reproduce:_x000D_
Indicate steps to reproduce the buggy behavior:_x000D_
_x000D_
1  Start PojavLauncher_x000D_
     (your set of actions to reproduce the bug) _x000D_
2  Login my Microsoft account _x000D_
3  Press  PLAY  button _x000D_
4  Wait   _x000D_
5  Minecraft crashed _x000D_
_x000D_
    Expected behavior:_x000D_
Minecraft crash report:_x000D_
_x000D_
     Minecraft Crash Report     _x000D_
   Why did you do that _x000D_
_x000D_
Time: 21 6 8   4:15_x000D_
Description: Initializing game_x000D_
_x000D_
java lang NoClassDefFoundError: com ibm icu text ArabicShapingException_x000D_
	at dmv a(SourceFile:160)_x000D_
	at djz  init (SourceFile:507)_x000D_
	at net minecraft client main Main main(SourceFile:177)_x000D_
Caused by: java lang ClassNotFoundException: com ibm icu text ArabicShapingException_x000D_
	at java net URLClassLoader findClass(URLClassLoader java:382)_x000D_
	at java lang ClassLoader loadClass(ClassLoader java:418)_x000D_
	at sun misc Launcher AppClassLoader loadClass(Launcher java:352)_x000D_
	at java lang ClassLoader loadClass(ClassLoader java:351)_x000D_
	    3 more_x000D_
_x000D_
_x000D_
A detailed walkthrough of the error  its code path and all known details is as follows:_x000D_
_x000D_
   Head   _x000D_
Thread: Render thread_x000D_
Stacktrace:_x000D_
	at dmv a(SourceFile:160)_x000D_
	at djz  init (SourceFile:507)_x000D_
_x000D_
   Initialization   _x000D_
Details:_x000D_
Stacktrace:_x000D_
	at net minecraft client main Main main(SourceFile:177)_x000D_
_x000D_
   System Details   _x000D_
Details:_x000D_
	Minecraft Version: 1 16 4_x000D_
	Minecraft Version ID: 1 16 4_x000D_
	Operating System: Linux (aarch64) version Android 8 1 0_x000D_
	Java Version: 1 8 0 internal  Oracle Corporation_x000D_
	Java VM Version: OpenJDK 64 Bit Server VM (mixed mode)  Oracle Corporation_x000D_
	Memory: 675062288 bytes (643 MB)   872415232 bytes (832 MB) up to 872415232 bytes (832 MB)_x000D_
	CPUs: 8_x000D_
	JVM Flags: 2 total   Xms835M  Xmx835M_x000D_
	Launched Version: 1 16 4_x000D_
	Backend library: LWJGL version 3 2 3 SNAPSHOT_x000D_
	Backend API: GL4ES wrapper GL version 2 1 gl4es wrapper 1 1 4  ptitSeb_x000D_
	GL Caps: Using framebuffer using ARB framebuffer object extension_x000D_
	Using VBOs: Yes_x000D_
	Is Modded: Probably not  Jar signature remains and client brand is untouched _x000D_
	Type: Client (map client txt)_x000D_
	CPU: 9x null_x000D_
_x000D_
    Screenshots or videos:_x000D_
 Upload here screenshots or videos of the buggy behavior  if possible  _x000D_
_x000D_
No screenshots or videos  The crash report is all _x000D_
_x000D_
  Platform:  _x000D_
   Device Model Redmi 5 Plus_x000D_
   CPU architecture aarch64_x000D_
   Android Version 8 1_x000D_
   PojavLauncher Version 3 3 1 1 rel 20210206_x000D_
</t>
  </si>
  <si>
    <t>andOTP-andOTP-847</t>
  </si>
  <si>
    <t>AndOTP KeyStore error on Android 11/Pixel 4</t>
  </si>
  <si>
    <t xml:space="preserve">     General information_x000D_
_x000D_
    App version: 0 9 0 play_x000D_
    App source:   Google Play_x000D_
    Android Version:    11_x000D_
    Custom ROM:   N A_x000D_
    Device:   Pixel 4_x000D_
_x000D_
     Expected result_x000D_
Able to use AndOTP with the system KeyStore  or failing that  at least able to use AndOTP s built in pin password based encryption _x000D_
_x000D_
  What does happen instead   _x000D_
Not able to use KeyStore  app crashes when switching to internal encryption  remains on KeyStore_x000D_
_x000D_
     Logcat_x000D_
_x000D_
https:  gist github com krc 4aecc010cf727eb49dfe1b74e7b08632_x000D_
_x000D_
_x000D_
     Steps to reproduce_x000D_
 _x000D_
launch andotp_x000D_
enter previously set pin_x000D_
get warning about KeyStore not being usable_x000D_
change settings to app encryption (pin password)_x000D_
screen flashes_x000D_
get warning about KeyStore_x000D_
check settings  it is still on KeyStore_x000D_
change to app encryption_x000D_
screen flashes  warning comes up that the app keeps stopping_x000D_
</t>
  </si>
  <si>
    <t>Karumi-Dexter-279</t>
  </si>
  <si>
    <t>Proguard rules are affecting the whole project</t>
  </si>
  <si>
    <t xml:space="preserve">I use Dexter in my project  I enabled Proguard to minimize code size   I had a lot of problems  I wanted to see the file names that cause the problems   but this line in Proguard configuration file  proguard rules pro (https:  github com Karumi Dexter blob master dexter proguard rules pro L1)  :_x000D_
  renamesourcefileattribute SourceFile _x000D_
is overriding the whole project configuration   and hides source files names  it should be removed so I can decide if I want to hide source files names for whole project or not_x000D_
    Expected behaviour_x000D_
I want to show source file names in crash stack trace   so I can fix the problem_x000D_
Source file names should be visible if I added   keepattributes SourceFile LineNumberTable _x000D_
_x000D_
    Actual behaviour_x000D_
All file names are hidden like below :_x000D_
 java lang NullPointerException: station name must not be null_x000D_
        at com myapp o k(SourceFile:7)_x000D_
        at com myapp g e U(SourceFile:286)_x000D_
        at com myapp g D(SourceFile:173)_x000D_
        at androidx recyclerview widget RecyclerView h E(SourceFile:7254)_x000D_
        at androidx recyclerview widget RecyclerView h i(SourceFile:7337)_x000D_
        at androidx recyclerview widget RecyclerView x I(SourceFile:6194)_x000D_
        at androidx recyclerview widget RecyclerView x J(SourceFile:6460)_x000D_
        at androidx recyclerview widget RecyclerView x q(SourceFile:6300)_x000D_
        at androidx recyclerview widget RecyclerView x p(SourceFile:6296) _x000D_
_x000D_
    Steps to reproduce_x000D_
enable proguard for a project that uses Dexter as a dependency_x000D_
add   keepattributes SourceFile LineNumberTable   to keep the source file names visible in stack trace_x000D_
it will not be visible because Dexter Proguard rules override SourceFile directive_x000D_
_x000D_
    Version of the library_x000D_
Since 4 1 1 to 6 2 2_x000D_
</t>
  </si>
  <si>
    <t>MuntashirAkon-AppManager-472</t>
  </si>
  <si>
    <t>could not fetch package info for Swype keyboard</t>
  </si>
  <si>
    <t xml:space="preserve">_x000D_
_x000D_
  Describe the bug  _x000D_
Not actually a bug it might be due to app not in the app manager database_x000D_
App name is com nuance swype dtc india downloaded from apkpure _x000D_
Since app is not open source I just want to extract its activities and disable unnecessary ones_x000D_
  To Reproduce  _x000D_
Steps to reproduce the behaviour:_x000D_
1  Go to main screen_x000D_
2  Click on app called Swype keyboard by nuance (discontinued in 2018) _x000D_
3  Scroll down to       _x000D_
4  See error_x000D_
_x000D_
  Expected behavior  _x000D_
Using app property screen_x000D_
  Screenshots  _x000D_
If applicable  add screenshots to help explain your problem _x000D_
  Screenshot 20210607 165412380 (https:  user images githubusercontent com 81609264 121029634 62cd3600 c7c6 11eb 8d8a c106aa3815eb jpg)_x000D_
_x000D_
  Crash logs  _x000D_
Not actually since app does not crashed_x000D_
https:  telegra ph gs 06 07 2 _x000D_
_x000D_
  Device info  _x000D_
   Device: Xiaomi Redmi 6 pro_x000D_
   OS Version: 11 using custom Rom (Derpfest os)_x000D_
   App Manager Version:  v2 6 1 34187  downloaded from telegram release channel_x000D_
   Mode: root_x000D_
_x000D_
  Additional context  _x000D_
Add any other context about the problem here _x000D_
</t>
  </si>
  <si>
    <t>Anuken-Mindustry-5393</t>
  </si>
  <si>
    <t xml:space="preserve">i can't write in logic processor </t>
  </si>
  <si>
    <t xml:space="preserve">  Platform  :  Android Huawei only _x000D_
_x000D_
  Build  :  21112 _x000D_
_x000D_
  Issue  :   I can t write anything in a processor because the screen when I write anything it will resize the screen because of these buttons in Huawei_x000D_
  IMG 20210607 132445 (https:  user images githubusercontent com 81780902 121001881 68118d00 c794 11eb 9fa6 251ceacd4776 jpg) _x000D_
_x000D_
  Steps to reproduce  :  have phone or tablet and should have these buttons or anything that disappear and resize the screen when disappearing_x000D_
 open any processor try to write anything it will resize the screen when you complete the writing it will forget what you write when the screen resize I was having this also in 126 2 and 126 1 but it had a low chance of it  but in the mindustry BE the chance of that happen is 100  so now I can t code in mindustry BE using Huawei_x000D_
these some photos of it _x000D_
  Screenshot 2021 06 07 13 42 46 (https:  user images githubusercontent com 81780902 121004599 8cbb3400 c797 11eb 80b5 6473acbf1a80 jpeg)_x000D_
  Screenshot 2021 06 07 13 42 51 (https:  user images githubusercontent com 81780902 121004627 95ac0580 c797 11eb 9cf9 5aa8c3b95111 jpeg)_x000D_
look its disappear and the screen resize and it forgets what I write the  block1  should be  test _x000D_
 _x000D_
_x000D_
  Link(s) to mod(s) used  :  noun _x000D_
_x000D_
  Save file  :  any processor _x000D_
  (Crash) logs  :  noun the game don t crash it just don t write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</si>
  <si>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nextcloud-android-8539</t>
  </si>
  <si>
    <t>Crash creating a markdown file (crash on tmeplate chooser dialog)</t>
  </si>
  <si>
    <t xml:space="preserve">    Steps to reproduce_x000D_
1  Switch on Bluetooth on android menu bar_x000D_
2  Open app  click  plus  to create new text (Markup) document  wait for prompt to enter file name_x000D_
3  Switch mobile keyboard on_x000D_
4  App should crash now_x000D_
_x000D_
    Expected behaviour_x000D_
Well  the app should not crash  the file name should now be editable with the Bluetooth device _x000D_
_x000D_
    Actual behaviour_x000D_
The app crashes and shows a Java Nullpointerexception  including stacktrace (see below)_x000D_
_x000D_
    Can you reproduce this problem on https:  try nextcloud com _x000D_
No  and I am not going to  This should very much be a local device issue _x000D_
_x000D_
    Environment data_x000D_
Android version: 7 1 1_x000D_
_x000D_
Device model: Sony Z5 Compact  E5823_x000D_
_x000D_
Stock or customized system: not customised_x000D_
_x000D_
Nextcloud app version: 3 16 0_x000D_
_x000D_
Stacktrace:_x000D_
             CAUSE OF ERROR             _x000D_
_x000D_
java lang RuntimeException: Unable to start activity ComponentInfo com nextcloud client com owncloud android ui activity FileDisplayActivity : java lang NullPointerException: Attempt to invoke virtual method  void android widget TextView setEnabled(boolean)  on a null object reference_x000D_
	at android app ActivityThread performLaunchActivity(ActivityThread java:2720)_x000D_
	at android app ActivityThread handleLaunchActivity(ActivityThread java:2781)_x000D_
	at android app ActivityThread handleRelaunchActivity(ActivityThread java:4615)_x000D_
	at android app ActivityThread  wrap19(ActivityThread java)_x000D_
	at android app ActivityThread H handleMessage(ActivityThread java:1514)_x000D_
	at android os Handler dispatchMessage(Handler java:102)_x000D_
	at android os Looper loop(Looper java:241)_x000D_
	at android app ActivityThread main(ActivityThread java:6274)_x000D_
	at java lang reflect Method invoke(Native Method)_x000D_
	at com android internal os ZygoteInit MethodAndArgsCaller run(ZygoteInit java:886)_x000D_
	at com android internal os ZygoteInit main(ZygoteInit java:776)_x000D_
Caused by: java lang NullPointerException: Attempt to invoke virtual method  void android widget TextView setEnabled(boolean)  on a null object reference_x000D_
	at com owncloud android ui dialog ChooseTemplateDialogFragment checkEnablingCreateButton(ChooseTemplateDialogFragment java:277)_x000D_
	at com owncloud android ui dialog ChooseTemplateDialogFragment access 000(ChooseTemplateDialogFragment java:81)_x000D_
	at com owncloud android ui dialog ChooseTemplateDialogFragment 1 afterTextChanged(ChooseTemplateDialogFragment java:182)_x000D_
	at android widget TextView sendAfterTextChanged(TextView java:8211)_x000D_
	at android widget TextView setText(TextView java:4493)_x000D_
	at android widget TextView setText(TextView java:4341)_x000D_
	at android widget EditText setText(EditText java:89)_x000D_
	at android widget TextView setText(TextView java:4316)_x000D_
	at android widget TextView onRestoreInstanceState(TextView java:4207)_x000D_
	at android view View dispatchRestoreInstanceState(View java:15803)_x000D_
	at android view ViewGroup dispatchRestoreInstanceState(ViewGroup java:3237)_x000D_
	at android view ViewGroup dispatchRestoreInstanceState(ViewGroup java:3237)_x000D_
	at com google android material textfield TextInputLayout dispatchRestoreInstanceState(TextInputLayout java:2841)_x000D_
	at android view ViewGroup dispatchRestoreInstanceState(ViewGroup java:3237)_x000D_
	at android view ViewGroup dispatchRestoreInstanceState(ViewGroup java:3237)_x000D_
	at android view ViewGroup dispatchRestoreInstanceState(ViewGroup java:3237)_x000D_
	at android view ViewGroup dispatchRestoreInstanceState(ViewGroup java:3237)_x000D_
	at android view ViewGroup dispatchRestoreInstanceState(ViewGroup java:3237)_x000D_
	at android view ViewGroup dispatchRestoreInstanceState(ViewGroup java:3237)_x000D_
	at android view ViewGroup dispatchRestoreInstanceState(ViewGroup java:3237)_x000D_
	at android view View restoreHierarchyState(View java:15781)_x000D_
	at com android internal policy PhoneWindow restoreHierarchyState(PhoneWindow java:2106)_x000D_
	at android app Dialog onRestoreInstanceState(Dialog java:469)_x000D_
	at androidx fragment app DialogFragment performCreateView(DialogFragment java:496)_x000D_
	at androidx fragment app FragmentStateManager createView(FragmentStateManager java:518)_x000D_
	at androidx fragment app FragmentStateManager moveToExpectedState(FragmentStateManager java:282)_x000D_
	at androidx fragment app FragmentStore moveToExpectedState(FragmentStore java:112)_x000D_
	at androidx fragment app FragmentManager moveToState(FragmentManager java:1647)_x000D_
	at androidx fragment app FragmentManager dispatchStateChange(FragmentManager java:3124)_x000D_
	at androidx fragment app FragmentManager dispatchActivityCreated(FragmentManager java:3068)_x000D_
	at androidx fragment app FragmentController dispatchActivityCreated(FragmentController java:251)_x000D_
	at androidx fragment app FragmentActivity onStart(FragmentActivity java:501)_x000D_
	at androidx appcompat app AppCompatActivity onStart(AppCompatActivity java:210)_x000D_
	at com owncloud android ui activity DrawerActivity onStart(DrawerActivity java:1031)_x000D_
	at com owncloud android ui activity FileActivity onStart(FileActivity java:230)_x000D_
	at com owncloud android ui activity FileDisplayActivity onStart(FileDisplayActivity java:2378)_x000D_
	at android app Instrumentation callActivityOnStart(Instrumentation java:1249)_x000D_
	at android app Activity performStart(Activity java:6737)_x000D_
	at android app ActivityThread performLaunchActivity(ActivityThread java:2683)_x000D_
	    10 more_x000D_
_x000D_
             APP INFORMATION             _x000D_
ID: com nextcloud client_x000D_
Version: 30160090_x000D_
Build flavor: gplay_x000D_
_x000D_
             DEVICE INFORMATION             _x000D_
Brand: Sony_x000D_
Device: E5823_x000D_
Model: E5823_x000D_
Id: 32 4 A 1 54_x000D_
Product: E5823_x000D_
_x000D_
             FIRMWARE             _x000D_
SDK: 25_x000D_
Release: 7 1 1_x000D_
Incremental: 3761073091_x000D_
</t>
  </si>
  <si>
    <t>material-components-material-components-android-2242</t>
  </si>
  <si>
    <t xml:space="preserve">[MaterialDatePicker] NPE Crash </t>
  </si>
  <si>
    <t xml:space="preserve">The material date picker crashes sometimes when preselecting a date range  Code to invoke the datepicker:_x000D_
_x000D_
   _x000D_
 private fun launchDatePicker()  _x000D_
        val now   ZonedDateTime now() toEpochSecond()   1000_x000D_
        val selectionRange   ArrayList CalendarConstraints DateValidator () apply  _x000D_
            add(DateValidatorPointForward from(ZonedDateTime now() minusDays(90) toEpochSecond()   1000))_x000D_
            add(DateValidatorPointBackward before(now))_x000D_
         _x000D_
_x000D_
        val calendarConstraints   CalendarConstraints Builder()_x000D_
             setValidator(CompositeDateValidator allOf(selectionRange))_x000D_
             setStart(ZonedDateTime now() minusDays(90) toEpochSecond()   1000)_x000D_
             setOpenAt(now)_x000D_
             setEnd(now)_x000D_
             build()_x000D_
_x000D_
        val datePicker   MaterialDatePicker Builder dateRangePicker()_x000D_
             setTitleText(getString(R string date range picker title))_x000D_
             setCalendarConstraints(calendarConstraints)_x000D_
             setSelection(Pair(ZonedDateTime now() minusDays(7L) toEpochSecond() times(1000)  now))_x000D_
             build()_x000D_
_x000D_
        datePicker addOnPositiveButtonClickListener   pair: Pair Long  Long    _x000D_
            pair let  _x000D_
                viewModel getItemsWithinDateRange(it first  : now  it second  : now)_x000D_
             _x000D_
         _x000D_
        datePicker show(requireActivity() supportFragmentManager   date picker )_x000D_
   _x000D_
_x000D_
Crash log:_x000D_
_x000D_
   _x000D_
E AndroidRuntime: FATAL EXCEPTION: main_x000D_
     java lang NullPointerException: Attempt to invoke virtual method  int android view View getLeft()  on a null object reference_x000D_
        at com google android material datepicker MaterialCalendarGridView horizontalMidPoint(MaterialCalendarGridView java:242)_x000D_
        at com google android material datepicker MaterialCalendarGridView onDraw(MaterialCalendarGridView java:156)_x000D_
        at android view View draw(View java:23901)_x000D_
        at android widget AbsListView draw(AbsListView java:4988)_x000D_
        at android view View updateDisplayListIfDirty(View java:22776)_x000D_
        at android view View draw(View java:23631)_x000D_
        at android view ViewGroup drawChild(ViewGroup java:5336)_x000D_
        at android view ViewGroup dispatchDraw(ViewGroup java:5093)_x000D_
        at android view View updateDisplayListIfDirty(View java:22762)_x000D_
        at android view View draw(View java:23631)_x000D_
        at android view ViewGroup drawChild(ViewGroup java:5336)_x000D_
        at androidx recyclerview widget RecyclerView drawChild(RecyclerView java:5204)_x000D_
        at android view ViewGroup dispatchDraw(ViewGroup java:5093)_x000D_
        at android view View draw(View java:23904)_x000D_
        at androidx recyclerview widget RecyclerView draw(RecyclerView java:4603)_x000D_
        at android view View updateDisplayListIfDirty(View java:22776)_x000D_
        at android view View draw(View java:23631)_x000D_
        at android view ViewGroup drawChild(ViewGroup java:5336)_x000D_
        at android view ViewGroup dispatchDraw(ViewGroup java:5093)_x000D_
   _x000D_
_x000D_
  Expected behavior:   Not crash  The date picker does show briefly  but then the whole app crashes  Something to do with the preselected visible date range  Our code preselects the last 7 days up until today _x000D_
_x000D_
If I manually set the device date to June 6th (instead of the current day  June 7th)  then date picker does not crash and works fine  The same goes for June 8th  Only when the device date is June 7th (today) then date picker crashes  A quick fix would be nice  since this is causing a lot of crashes for users  _x000D_
_x000D_
Tested on Samsung S20 and Emulator  both Android 11  This happens with both version 1 3 0 and 1 4 0 rc01  Have not tried any other versions devices  A screenshot of how the date picker looks right before the crash:_x000D_
_x000D_
  2021 06 07 10h31 36 (https:  user images githubusercontent com 47558082 120985101 946cdf80 c77b 11eb 939b d7bc1db8f6b5 png)_x000D_
</t>
  </si>
  <si>
    <t>PojavLauncherTeam-PojavLauncher-1499</t>
  </si>
  <si>
    <t>[BUG] Meteor client crashes when I open it</t>
  </si>
  <si>
    <t xml:space="preserve">    Describe the bug_x000D_
So I just wanted to use Meteor Client on my favorite anarchy server  I installed it  opened it _x000D_
It greets me with a crash _x000D_
_x000D_
  Add a log file if you want to see your bug fixed    _x000D_
_x000D_
 latestlog txt (https:  github com PojavLauncherTeam PojavLauncher files 6606264 latestlog txt)_x000D_
_x000D_
    To Reproduce:_x000D_
Indicate steps to reproduce the buggy behavior:_x000D_
_x000D_
1  Install meteor client_x000D_
2  Start PojavLauncher_x000D_
3  Open fabric 1 16 5 with Meteor installed_x000D_
_x000D_
    Expected behavior:_x000D_
I expected it to run _x000D_
_x000D_
  Platform:  _x000D_
   Device Model LG Stylo 6_x000D_
   CPU architecture aarch64_x000D_
   Android Version 10_x000D_
   PojavLauncher Version Latest Release</t>
  </si>
  <si>
    <t>nextcloud-android-8534</t>
  </si>
  <si>
    <t>All Android App Version crashed on login</t>
  </si>
  <si>
    <t xml:space="preserve">    Steps to reproduce_x000D_
1  Open Nextcloud app on Android_x000D_
_x000D_
_x000D_
    Expected behaviour_x000D_
  App opens up and shows folder list_x000D_
_x000D_
    Actual behaviour_x000D_
  App shows browser list for less than a second  then crashes and displays below s error log _x000D_
_x000D_
    Can you reproduce this problem on https:  try nextcloud com _x000D_
  A trial under try nextcloud com was successfully _x000D_
  I am at a loss_x000D_
_x000D_
    Environment data_x000D_
Android version: 6   My Wife has Android 9 (Blackberry Android)_x000D_
_x000D_
Device model: LG G4   My Wife KEYone_x000D_
_x000D_
Stock or customized system:_x000D_
Stock_x000D_
_x000D_
Nextcloud app version:_x000D_
Newest_x000D_
_x000D_
Nextcloud server version:_x000D_
Newest (20 0 10)_x000D_
_x000D_
Reverse proxy:_x000D_
_x000D_
    Logs_x000D_
     Web server error log_x000D_
   _x000D_
Insert your webserver log here_x000D_
   _x000D_
_x000D_
     Nextcloud log (data nextcloud log)_x000D_
   _x000D_
             CAUSE OF ERROR             _x000D_
_x000D_
java lang RuntimeException: Unable to start activity ComponentInfo com nextcloud client com owncloud android ui activity FileDisplayActivity : java lang IllegalStateException: Couldn t read row 0  col 3 from CursorWindow  Make sure the Cursor is initialized correctly before accessing data from it _x000D_
at android app ActivityThread performLaunchActivity(ActivityThread java:2434)_x000D_
at android app ActivityThread handleLaunchActivity(ActivityThread java:2494)_x000D_
at android app ActivityThread access 900(ActivityThread java:157)_x000D_
at android app ActivityThread H handleMessage(ActivityThread java:1356)_x000D_
at android os Handler dispatchMessage(Handler java:102)_x000D_
at android os Looper loop(Looper java:148)_x000D_
at android app ActivityThread main(ActivityThread java:5525)_x000D_
at java lang reflect Method invoke(Native Method)_x000D_
at com android internal os ZygoteInit MethodAndArgsCaller run(ZygoteInit java:730)_x000D_
at com android internal os ZygoteInit main(ZygoteInit java:620)_x000D_
Caused by: java lang IllegalStateException: Couldn t read row 0  col 3 from CursorWindow  Make sure the Cursor is initialized correctly before accessing data from it _x000D_
at android database CursorWindow nativeGetString(Native Method)_x000D_
at android database CursorWindow getString(CursorWindow java:438)_x000D_
at android database AbstractWindowedCursor getString(AbstractWindowedCursor java:51)_x000D_
at android database CursorWrapper getString(CursorWrapper java:137)_x000D_
at com owncloud android datamodel FileDataStorageManager createFileInstance(FileDataStorageManager java:982)_x000D_
at com owncloud android datamodel FileDataStorageManager getFileByPath(FileDataStorageManager java:125)_x000D_
at com owncloud android datamodel FileDataStorageManager getFileByEncryptedRemotePath(FileDataStorageManager java:112)_x000D_
at com owncloud android datamodel FileDataStorageManager getFileByPath(FileDataStorageManager java:108)_x000D_
at com owncloud android ui activity FileDisplayActivity onStart(FileDisplayActivity java:2403)_x000D_
at android app Instrumentation callActivityOnStart(Instrumentation java:1237)_x000D_
at android app Activity performStart(Activity java:6288)_x000D_
at android app ActivityThread performLaunchActivity(ActivityThread java:2397)_x000D_
    9 more_x000D_
_x000D_
             APP INFORMATION             _x000D_
ID: com nextcloud client_x000D_
Version: 30160190_x000D_
Build flavor: generic_x000D_
_x000D_
             DEVICE INFORMATION             _x000D_
Brand: lge_x000D_
Device: p1_x000D_
Model: LG H815_x000D_
Id: MRA58K_x000D_
Product: p1 global com_x000D_
_x000D_
             FIRMWARE             _x000D_
SDK: 23_x000D_
Release: 6 0_x000D_
Incremental: 1809319266c01_x000D_
   _x000D_
  NOTE:   Be super sure to remove sensitive data like passwords  note that everybody can look here  You can use the Issue Template application to prefill some of the required information: https:  apps nextcloud com apps issuetemplate_x000D_
</t>
  </si>
  <si>
    <t>MuntashirAkon-AppManager-471</t>
  </si>
  <si>
    <t>AM 2.6.1 Crash</t>
  </si>
  <si>
    <t xml:space="preserve">    _x000D_
Your issue will be closed without warning if you don t check at least two items _x000D_
   _x000D_
   x  I know what my device  OS and App Manager versions are_x000D_
   x  I know how to take logs_x000D_
      I know how to reproduce the issue which may not be specific to my device_x000D_
_x000D_
  Describe the bug  _x000D_
App manager suddenly crash_x000D_
_x000D_
  To Reproduce  _x000D_
Steps to reproduce the behaviour:_x000D_
1  enable ADB over TCP_x000D_
2  launch AM v2 6 1_x000D_
3  AM crash_x000D_
_x000D_
  Expected behavior  _x000D_
not crashing_x000D_
_x000D_
  Screenshots  _x000D_
If applicable  add screenshots to help explain your problem _x000D_
_x000D_
  Crash logs  _x000D_
   _x000D_
java lang ArrayIndexOutOfBoundsException: length 5  index  1_x000D_
    at io github muntashirakon AppManager settings MainPreferences onCreatePreferences(MainPreferences java:177)_x000D_
    at androidx preference PreferenceFragmentCompat onCreate(PreferenceFragmentCompat java:160)_x000D_
    at androidx fragment app Fragment performCreate(Fragment java:2949)_x000D_
    at androidx fragment app FragmentStateManager create(FragmentStateManager java:475)_x000D_
    at androidx fragment app FragmentStateManager moveToExpectedState(FragmentStateManager java:278)_x000D_
    at androidx fragment app FragmentManager executeOpsTogether(FragmentManager java:2189)_x000D_
    at androidx fragment app FragmentManager removeRedundantOperationsAndExecute(FragmentManager java:2100)_x000D_
    at androidx fragment app FragmentManager execPendingActions(FragmentManager java:2002)_x000D_
    at androidx fragment app FragmentManager dispatchStateChange(FragmentManager java:3138)_x000D_
    at androidx fragment app FragmentManager dispatchActivityCreated(FragmentManager java:3072)_x000D_
    at androidx fragment app FragmentController dispatchActivityCreated(FragmentController java:251)_x000D_
    at androidx fragment app FragmentActivity onStart(FragmentActivity java:501)_x000D_
    at androidx appcompat app AppCompatActivity onStart(AppCompatActivity java:246)_x000D_
    at android app Instrumentation callActivityOnStart(Instrumentation java:1446)_x000D_
    at android app Activity performStart(Activity java:7990)_x000D_
    at android app ActivityThread handleStartActivity(ActivityThread java:3535)_x000D_
    at android app servertransaction TransactionExecutor performLifecycleSequence(TransactionExecutor java:237)_x000D_
    at android app servertransaction TransactionExecutor cycleToPath(TransactionExecutor java:217)_x000D_
    at android app servertransaction TransactionExecutor executeLifecycleState(TransactionExecutor java:189)_x000D_
    at android app servertransaction TransactionExecutor execute(TransactionExecutor java:113)_x000D_
    at android app ActivityThread H handleMessage(ActivityThread java:2213)_x000D_
    at android os Handler dispatchMessage(Handler java:107)_x000D_
    at android os Looper loop(Looper java:238)_x000D_
    at android app ActivityThread main(ActivityThread java:7853)_x000D_
    at java lang reflect Method invoke(Native Method)_x000D_
    at com android internal os RuntimeInit MethodAndArgsCaller run(RuntimeInit java:492)_x000D_
    at com android internal os ZygoteInit main(ZygoteInit java:984)_x000D_
_x000D_
Device Info:_x000D_
App version: 2 6 1_x000D_
App version code: 387_x000D_
Android build version: 1608537052_x000D_
Android release version: 10_x000D_
Android SDK version: 29_x000D_
Android build ID: RMX2030EX 11 C 67_x000D_
Device brand: realme_x000D_
Device manufacturer: realme_x000D_
Device name: RMX2030_x000D_
Device model: RMX2030_x000D_
Device product name: RMX2030_x000D_
Device hardware name: qcom_x000D_
ABIs:  arm64 v8a  armeabi v7a  armeabi _x000D_
ABIs (32bit):  armeabi v7a  armeabi _x000D_
ABIs (64bit):  arm64 v8a _x000D_
System language: id ID_x000D_
In App Language: auto_x000D_
Mode: adb_x000D_
   _x000D_
_x000D_
  Device info  _x000D_
   Device: Realme 5i_x000D_
   OS Version: Android 10 Realme UI _x000D_
   App Manager Version: 2 6 1_x000D_
   Mode: ADB_x000D_
_x000D_
  Additional context  _x000D_
Onboard Page Empty Reload Won t Help You</t>
  </si>
  <si>
    <t>PojavLauncherTeam-PojavLauncher-1497</t>
  </si>
  <si>
    <t xml:space="preserve">keeps crashing when trying to load world, using any forge 1.13.+ versions </t>
  </si>
  <si>
    <t xml:space="preserve">my game keeps crashing when im using a forge 1 13 1 16 5 versions I cant really give u a crash log  i cant find it neither is one created  the lastest one is 3 days ago </t>
  </si>
  <si>
    <t>PojavLauncherTeam-PojavLauncher-1496</t>
  </si>
  <si>
    <t>Crush zink Virson in Android 11</t>
  </si>
  <si>
    <t xml:space="preserve">                         Describe the bug    _x000D_
A clear and concise description of what the bug _x000D_
I am send crush file_x000D_
_x000D_
     Minecraft Crash Report     _x000D_
   Hi  I m Minecraft  and I m a crashaholic _x000D_
_x000D_
Time: 6 6 21 5:38 AM_x000D_
Description: Initializing game_x000D_
_x000D_
java lang RuntimeException: glCheckFramebufferStatus returned unknown status:33305_x000D_
	at bqr b(SourceFile:151)_x000D_
	at bqr a(SourceFile:57)_x000D_
	at bqr  init (SourceFile:42)_x000D_
	at bes an(SourceFile:441)_x000D_
	at bes a(SourceFile:383)_x000D_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java:159)_x000D_
	at net minecraft launchwrapper Launch main(Launch java:30)_x000D_
_x000D_
_x000D_
A detailed walkthrough of the error  its code path and all known details is as follows:_x000D_
                                                                                       _x000D_
_x000D_
   Head   _x000D_
Thread: Client thread_x000D_
Stacktrace:_x000D_
	at bqr b(SourceFile:151)_x000D_
	at bqr a(SourceFile:57)_x000D_
	at bqr  init (SourceFile:42)_x000D_
	at bes an(SourceFile:441)_x000D_
_x000D_
   Initialization   _x000D_
Details:_x000D_
Stacktrace:_x000D_
	at bes a(SourceFile:383)_x000D_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java:159)_x000D_
	at net minecraft launchwrapper Launch main(Launch java:30)_x000D_
_x000D_
   System Details   _x000D_
Details:_x000D_
	Minecraft Version: 1 11 2_x000D_
	Operating System: Linux (aarch64) version Android 11_x000D_
	Java Version: 1 8 0 internal  Oracle Corporation_x000D_
	Java VM Version: OpenJDK 64 Bit Server VM (mixed mode)  Oracle Corporation_x000D_
	Memory: 570184832 bytes (543 MB)   730857472 bytes (697 MB) up to 730857472 bytes (697 MB)_x000D_
	JVM Flags: 3 total   Xms736M  Xmx736M  Xbootclasspath p: storage emulated 0 games PojavLauncher caciocavallo ResConfHack jar: storage emulated 0 games PojavLauncher caciocavallo cacio androidnw 1 10 SNAPSHOT jar: storage emulated 0 games PojavLauncher caciocavallo cacio shared 1 10 SNAPSHOT jar_x000D_
	IntCache: cache: 0  tcache: 0  allocated: 0  tallocated: 0_x000D_
	Launched Version: 1 11 2_x000D_
	LWJGL: 3 2 3 SNAPSHOT_x000D_
	OpenGL: zink (Mali G52 MC2) GL version 4 6 (Compatibility Profile) Mesa 21 0 2 (git 9d2e7e7940)  Collabora Ltd_x000D_
	GL Caps: Using GL 1 3 multitexturing _x000D_
Using GL 1 3 texture combiners _x000D_
Using framebuffer objects because OpenGL 3 0 is supported and separate blending is supported _x000D_
Shaders are available because OpenGL 2 1 is supported _x000D_
VBOs are available because OpenGL 1 5 is supported _x000D_
_x000D_
	Using VBOs: Yes_x000D_
	Is Modded: Very likely  Jar signature invalidated_x000D_
	Type: Client (map client txt)_x000D_
	Resource Packs: _x000D_
	Current Language:   ERROR   NullPointerException: null_x000D_
	Profiler Position: N A (disabled)_x000D_
	CPU: 9x null_x000D_
	OptiFine Version: OptiFine 1 11 2 HD U G5_x000D_
	OptiFine Build: 20210124 162126_x000D_
	Render Distance Chunks: 2_x000D_
	Mipmaps: 0_x000D_
	Anisotropic Filtering: 1_x000D_
	Antialiasing: 0_x000D_
	Multitexture: false_x000D_
	Shaders: BSL v8 0 01 zip_x000D_
	OpenGlVersion: 4 6 (Compatibility Profile) Mesa 21 0 2 (git 9d2e7e7940)_x000D_
	OpenGlRenderer: zink (Mali G52 MC2)_x000D_
	OpenGlVendor: Collabora Ltd_x000D_
	CpuCount: 8_x000D_
_x000D_
  Platform:  _x000D_
   Device Model  e g  Realme C25  _x000D_
   CPU architecture  e g  aarch64_x000D_
   Android Version  e g  11 _x000D_
   PojavLauncher Version  e g Latest Release    version 3 3 1 1 rel 20210206  </t>
  </si>
  <si>
    <t>mrothberg-Kakumei-for-WaniKani-3</t>
  </si>
  <si>
    <t>Crash when going to lessons or reviews (webview related?)</t>
  </si>
  <si>
    <t xml:space="preserve">The app used to work fine  but now it crashes every time I open either lessons or reviews  before the webview loads _x000D_
_x000D_
In logcat I see lots of lines like:  06 06 13:41:28 372 E kakumei:webvie(28687): failed to connect to jdwp control socket: Connection refused _x000D_
_x000D_
Followed by this Java exception:_x000D_
   _x000D_
java lang RuntimeException: Unable to start activity ComponentInfo com mrothberg kakumei com mrothberg kakumei app activity WebReviewActivity : android view InflateException: Binary XML file line  83 in com mrothberg kakumei:layout activity web view: Binary XML file line  83 in com mrothberg kakumei:layout activity web view: Error inflating class com mrothberg kakumei app activity FocusWebView_x000D_
   _x000D_
_x000D_
I am on LineageOS 18 1 (Android 11)  and Android System Webview is version 90 0 4430 82 </t>
  </si>
  <si>
    <t>Anuken-Mindustry-5377</t>
  </si>
  <si>
    <t xml:space="preserve">all captured sector have a warn </t>
  </si>
  <si>
    <t xml:space="preserve">  Platform  :  Windows _x000D_
_x000D_
  Build  :  126 3 _x000D_
_x000D_
  Issue  :  when i go to the tech tree all is empty  so as if I had just started the game for the first time  and the campaign have all sector with a warning  i have an error in debug log :   1231 235630 940:ERROR:settings cc(325)  Settings version is not 1 _x000D_
_x000D_
  Steps to reproduce  :  Just started the game _x000D_
_x000D_
  Link(s) to mod(s) used  :  0 mods are used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https:  fromsmash com SavesMindustry (https:  fromsmash com SavesMindustry)_x000D_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</si>
  <si>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Anuken-Mindustry-5373</t>
  </si>
  <si>
    <t>Duct Bridge Bug</t>
  </si>
  <si>
    <t xml:space="preserve">  Platform  :  Windows _x000D_
_x000D_
  Build  :  BE 21177  _x000D_
_x000D_
  Issue  :  Duct Bridge output beside factories would not accept items from the right side  Found this bug on build 21164  Even after flipping and copy pasting  it appears only on the same sets  _x000D_
  image (https:  user images githubusercontent com 80879579 120915048 bae83780 c6f5 11eb 8c34 dcdc8c8370e2 png)_x000D_
_x000D_
  Steps to reproduce  :  place blocks like above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duct bridge bug build 21177 zip (https:  github com Anuken Mindustry files 6603744 duct bridge bug build 21177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</si>
  <si>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PojavLauncherTeam-PojavLauncher-1493</t>
  </si>
  <si>
    <t>crash while installing mod in the jvm (forge wurst and fabric API)</t>
  </si>
  <si>
    <t xml:space="preserve">    _x000D_
If you don t fill in this template  this issue will be marked as invalid and closed _x000D_
   well it crash when I installing mod_x000D_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_x000D_
            beggining with launcher debug_x000D_
Info: LWJGL3 directory:  jsr305 jar  lwjgl glfw classes jar  lwjgl jemalloc jar  lwjgl openal jar  lwjgl opengl jar  lwjgl stb jar  lwjgl tinyfd jar  lwjgl jar  version _x000D_
Architecture: arm aarch32_x000D_
Info: Custom Java arguments:   Xms900m  Xmx900m _x000D_
AWT enabled version detected  (20100729)_x000D_
          beginning of main_x000D_
I jrelog  (14629): dlopen  data user 0 net kdt pojavlaunch jre runtime lib aarch32 client libjvm so success_x000D_
I jrelog  (14629): WARNING: linker: Warning:   data data net kdt pojavlaunch jre runtime lib aarch32 libverify so  has unsupported flags DT FLAGS 1 0x81 (ignoring unsupported flags)_x000D_
I jrelog  (14629): dlopen  data user 0 net kdt pojavlaunch jre runtime lib aarch32 libverify so success_x000D_
I jrelog  (14629): WARNING: linker: Warning:  _x000D_
I jrelog  (14629):  data data net kdt pojavlaunch jre runtime lib aarch32 libjava so  has unsupported flags DT FLAGS 1 0x81 (ignoring unsupported flags)_x000D_
I jrelog  (14629): dlopen  data user 0 net kdt pojavlaunch jre runtime lib aarch32 libjava so success_x000D_
I jrelog  (14629): WARNING: linker: Warning:   data data net kdt pojavlaunch jre runtime lib aarch32 libnet so  has unsupported flags DT FLAGS 1 0x81 (ignoring unsupported flags)_x000D_
I jrelog  (14629): dlopen  data user 0 net kdt pojavlaunch jre runtime lib aarch32 libnet so success_x000D_
I jrelog  (14629): WARNING: linker: Warning:   data data net kdt pojavlaunch jre runtime lib aarch32 libnio so  has unsupported flags DT FLAGS 1 0x81 (ignoring unsupported flags)_x000D_
I jrelog  (14629): _x000D_
I jrelog  (14629): dlopen  data user 0 net kdt pojavlaunch jre runtime lib aarch32 libnio so success_x000D_
I jrelog  (14629): WARNING: linker: Warning:   data data net kdt pojavlaunch jre runtime lib aarch32 libawt so  has unsupported flags DT FLAGS 1 0x81 (ignoring unsupported flags)_x000D_
I jrelog  (14629): dlopen  data user 0 net kdt pojavlaunch jre runtime lib aarch32 libawt so success_x000D_
I jrelog  (14629): WARNING: linker: Warning:   data data net kdt pojavlaunch jre runtime lib aarch32 libawt headless so  has unsupported flags DT FLAGS 1 0x81 (ignoring unsupported flags)_x000D_
I jrelog  (14629): dlopen  data user 0 net kdt pojavlaunch jre runtime lib aarch32 libawt headless so success_x000D_
I jrelog  (14629): dlopen  data user 0 net kdt pojavlaunch jre runtime lib aarch32 libfreetype so success_x000D_
I jrelog  (14629): WARNING: linker: Warning:   data data net kdt pojavlaunch jre runtime lib aarch32 libfontmanager so  has unsupported flags DT FLAGS 1 0x81 (ignoring unsupported flags)_x000D_
I jrelog  (14629): _x000D_
I jrelog  (14629): dlopen  data user 0 net kdt pojavlaunch jre runtime lib aarch32 libfontmanager so success_x000D_
I jrelog  (14629): WARNING: linker: Warning:   data data net kdt pojavlaunch jre runtime lib aarch32 libhprof so_x000D_
I jrelog  (14629):   has unsupported flags DT FLAGS 1 0x81 (ignoring unsupported flags)_x000D_
I jrelog  (14629): dlopen  data user 0 net kdt pojavlaunch jre runtime lib aarch32 libhprof so success_x000D_
I jrelog  (14629): dlopen  data user 0 net kdt pojavlaunch jre runtime lib aarch32 libfontmanager so success_x000D_
I jrelog  (14629): WARNING: linker: Warning:   data data net kdt pojavlaunch jre runtime lib aarch32 libj2pcsc so  has unsupported flags DT FLAGS 1 0x81 (ignoring unsupported flags)_x000D_
I jrelog  (14629): dlopen  data user 0 net kdt pojavlaunch jre runtime lib aarch32 libj2pcsc so success_x000D_
I jrelog  (14629): WARNING: linker: Warning:   data data net kdt pojavlaunch jre runtime lib aarch32 libdt socket so  has unsupported flags DT FLAGS 1 0x81 (ignoring unsupported flags)_x000D_
I jrelog  (14629): dlopen  data user 0 net kdt pojavlaunch jre runtime lib aarch32 libdt socket so success_x000D_
I jrelog  (14629): WARNING: linker: Warning:   data data net kdt pojavlaunch jre runtime lib aarch32 liblcms so  has unsupported flags DT FLAGS 1 0x81 (ignoring unsupported flags)_x000D_
I jrelog  (14629): dlopen  data user 0 net kdt pojavlaunch jre runtime lib aarch32 liblcms so success_x000D_
I jrelog  (14629): dlopen  data user 0 net kdt pojavlaunch jre runtime lib aarch32 libverify so success_x000D_
I jrelog  (14629): WARNING: linker: Warning:   data data net kdt pojavlaunch jre runtime lib aarch32 libmanagement so  has unsupported flags DT FLAGS 1 0x81 (ignoring unsupported flags)_x000D_
I jrelog  (14629): dlopen  data user 0 net kdt pojavlaunch jre runtime lib aarch32 libmanagement so success_x000D_
I jrelog  (14629): WARNING: linker: Warning:   data data net kdt pojavlaunch jre runtime lib aarch32 libjpeg so  has unsupported flags DT FLAGS 1 0x81 (ignoring unsupported flags)_x000D_
I jrelog  (14629): dlopen  data user 0 net kdt pojavlaunch jre runtime lib aarch32 libjpeg so success_x000D_
I jrelog  (14629): WARNING: linker: Warning:   data data net kdt pojavlaunch jre runtime lib aarch32 libmlib image so  has unsupported flags DT FLAGS 1 0x81_x000D_
I jrelog  (14629):  (ignoring unsupported flags)_x000D_
I jrelog  (14629): dlopen  data user 0 net kdt pojavlaunch jre runtime lib aarch32 libmlib image so success_x000D_
I jrelog  (14629): dlopen  data user 0 net kdt pojavlaunch jre runtime lib aarch32 libjsig so success_x000D_
I jrelog  (14629): WARNING: linker: Warning:   data data net kdt pojavlaunch jre runtime lib aarch32 libjsdt so  has unsupported flags DT FLAGS 1 _x000D_
I jrelog  (14629): 0x81 (ignoring unsupported flags)_x000D_
I jrelog  (14629): dlopen  data user 0 net kdt pojavlaunch jre runtime lib aarch32 libjsdt so success_x000D_
I jrelog  (14629): dlopen  data user 0 net kdt pojavlaunch jre runtime lib aarch32 libawt headless so success_x000D_
I jrelog  (14629): WARNING: linker: Warning:   data data net kdt pojavlaunch jre runtime lib aarch32 libj2pkcs11 so  has unsupported flags DT FLAGS 1 0x81 (ignoring unsupported flags)_x000D_
I jrelog  (14629): dlopen  data user 0 net kdt pojavlaunch jre runtime lib aarch32 libj2pkcs11 so success_x000D_
I jrelog  (14629): dlopen  data user 0 net kdt pojavlaunch jre runtime lib aarch32 libnet so success_x000D_
I jrelog  (14629): dlopen  data user 0 net kdt pojavlaunch jre runtime lib aarch32 libjava so success_x000D_
I jrelog  (14629): WARNING: linker: Warning:   data data net kdt pojavlaunch jre runtime lib aarch32 libjsound so_x000D_
I jrelog  (14629):   has unsupported flags DT FLAGS 1 0x81 (ignoring unsupported flags)_x000D_
I jrelog  (14629): dlopen  data user 0 net kdt pojavlaunch jre runtime lib aarch32 libjsound so success_x000D_
I jrelog  (14629): dlopen  data user 0 net kdt pojavlaunch jre runtime lib aarch32 libsunec so success_x000D_
I jrelog  (14629): dlopen  data user 0 net kdt pojavlaunch jre runtime lib aarch32 libawt so success_x000D_
I jrelog  (14629): WARNING: linker: Warning:   data data net kdt pojavlaunch jre runtime lib aarch32 libj2gss so  has unsupported flags DT FLAGS 1 0x81 (ignoring unsupported flags)_x000D_
I jrelog  (14629): dlopen  data user 0 net kdt pojavlaunch jre runtime lib aarch32 libj2gss so success_x000D_
I jrelog  (14629): WARNING: linker: Warning:   data data net kdt pojavlaunch jre runtime lib aarch32 libunpack so  has unsupported flags DT FLAGS 1 0x81 (ignoring unsupported flags)_x000D_
I jrelog  (14629): dlopen  data user 0 net kdt pojavlaunch jre runtime lib aarch32 libunpack so success_x000D_
I jrelog  (14629): dlopen  data user 0 net kdt pojavlaunch jre runtime lib aarch32 libfreetype so success_x000D_
I jrelog  (14629): WARNING: linker: Warning:  _x000D_
I jrelog  (14629):  data data net kdt pojavlaunch jre runtime lib aarch32 libnpt so  has unsupported flags DT FLAGS 1 0x81 (ignoring unsupported flags)_x000D_
I jrelog  (14629): WARNING: linker: Warning:   data data net kdt pojavlaunch jre runtime lib aarch32 libtinyiconv so  has unsupported flags DT FLAGS 1 _x000D_
I jrelog  (14629): 0x81 (ignoring unsupported flags)_x000D_
I jrelog  (14629): dlopen  data user 0 net kdt pojavlaunch jre runtime lib aarch32 libnpt so success_x000D_
I jrelog  (14629): WARNING: linker: Warning:  _x000D_
I jrelog  (14629):  data data net kdt pojavlaunch jre runtime lib aarch32 libjava crw demo so  has unsupported flags DT FLAGS 1 0x81 (ignoring unsupported flags)_x000D_
I jrelog  (14629): dlopen  data user 0 net kdt pojavlaunch jre runtime lib aarch32 libjava crw demo so success_x000D_
I jrelog  (14629): dlopen  data user 0 net kdt pojavlaunch jre runtime lib aarch32 libnio so success_x000D_
I jrelog  (14629): dlopen  data user 0 net kdt pojavlaunch jre runtime lib aarch32 libawt xawt so success_x000D_
I jrelog  (14629): dlopen  data user 0 net kdt pojavlaunch jre runtime lib aarch32 client libjvm so success_x000D_
I jrelog  (14629): dlopen  data user 0 net kdt pojavlaunch jre runtime lib aarch32 libtinyiconv so success_x000D_
I jrelog  (14629): WARNING: linker: Warning:   data data net kdt pojavlaunch jre runtime lib aarch32 libzip so  has unsupported flags DT FLAGS 1 0x81 (ignoring unsupported flags)_x000D_
I jrelog  (14629): dlopen  data user 0 net kdt pojavlaunch jre runtime lib aarch32 libzip so success_x000D_
I jrelog  (14629): WARNING: linker: Warning:   data data net kdt pojavlaunch jre runtime lib aarch32 libjawt so  has unsupported flags DT FLAGS 1 0x81 (ignoring unsupported flags)_x000D_
I jrelog  (14629): dlopen  data user 0 net kdt pojavlaunch jre runtime lib aarch32 libjawt so success_x000D_
I jrelog  (14629): WARNING: linker: Warning:   data data net kdt pojavlaunch jre runtime lib aarch32 libjaas unix so  has unsupported flags DT FLAGS 1 0x81 (ignoring unsupported flags)_x000D_
I jrelog  (14629): dlopen  data user 0 net kdt pojavlaunch jre runtime lib aarch32 libjaas unix so success_x000D_
I jrelog  (14629): WARNING: linker: Warning:   data data net kdt pojavlaunch jre runtime lib aarch32 libsctp so  has unsupported flags DT FLAGS 1 0x81 (ignoring unsupported flags)_x000D_
I jrelog  (14629): dlopen  data user 0 net kdt pojavlaunch jre runtime lib aarch32 libsctp so success_x000D_
I jrelog  (14629): dlopen  data user 0 net kdt pojavlaunch jre runtime lib aarch32 jli libjli so success_x000D_
I jrelog  (14629): WARNING: linker: Warning:   data data net kdt pojavlaunch jre runtime lib aarch32 libjdwp so  has unsupported flags DT FLAGS 1 0x81 (ignoring unsupported flags)_x000D_
I jrelog  (14629): dlopen  data user 0 net kdt pojavlaunch jre runtime lib aarch32 libjdwp so success_x000D_
I jrelog  (14629): WARNING: linker: Warning:   data data net kdt pojavlaunch jre runtime lib aarch32 libinstrument so_x000D_
I jrelog  (14629):   has unsupported flags DT FLAGS 1 0x81 (ignoring unsupported flags)_x000D_
I jrelog  (14629): dlopen  data user 0 net kdt pojavlaunch jre runtime lib aarch32 libinstrument so success_x000D_
I jrelog  (14629): dlopen  data app net kdt pojavlaunch RGOHBFM1uuTmSvXILjNMWw   lib arm libopenal so success_x000D_
I jrelog  (14629): dlopen  data app net kdt pojavlaunch RGOHBFM1uuTmSvXILjNMWw   lib arm libgl04es so success_x000D_
I jrelog  (14629): Done processing args_x000D_
I jrelog  (14629): Found JLI lib_x000D_
I jrelog  (14629): Calling JLI Launch_x000D_
I jrelog  (14629): OpenJDK Client VM warning: No monotonic clock was available   timed services may be adversely affected if the time of day clock changes_x000D_
I jrelog  (14629): _x000D_
I jrelog  (14629): May 23  2021 5:15:53 AM net minecraft launchwrapper LogWrapper log_x000D_
I jrelog  (14629): INFO: Using tweak class name net minecraft launchwrapper VanillaTweaker_x000D_
I jrelog  (14629): May 23  2021 5:15:54 AM net minecraft launchwrapper LogWrapper log_x000D_
I jrelog  (14629): INFO: Launching wrapped minecraft_x000D_
I jrelog  (14629): CacioComponentPeer::setZOrder: NOT YET IMPLEMENTED_x000D_
I jrelog  (14629): _x000D_
I jrelog  (14629): 28_x000D_
I jrelog  (14629): _x000D_
I jrelog  (14629): Turning of ImageIO disk caching_x000D_
I jrelog  (14629): _x000D_
I jrelog  (14629): Loading current icons for window from:  storage emulated 0 games PojavLauncher  minecraft assets icons icon 16x16 png and  storage emulated 0 games PojavLauncher  minecraft assets icons icon 32x32 png_x000D_
I jrelog  (14629): _x000D_
I jrelog  (14629): javax imageio IIOException: Can t read input file _x000D_
I jrelog  (14629): _x000D_
I jrelog  (14629): 	at javax imageio ImageIO read(ImageIO java:1302)_x000D_
I jrelog  (14629): _x000D_
I jrelog  (14629): 	at net minecraft launchwrapper injector VanillaTweakInjector loadIcon(VanillaTweakInjector java:130)_x000D_
I jrelog  (14629): _x000D_
I jrelog  (14629): 	at net minecraft launchwrapper injector VanillaTweakInjector loadIconsOnFrames(VanillaTweakInjector java:107)_x000D_
I jrelog  (14629): _x000D_
I jrelog  (14629): 	at net minecraft launchwrapper injector VanillaTweakInjector inject(VanillaTweakInjector java:94)_x000D_
I jrelog  (14629): _x000D_
I jrelog  (14629): 	at net minecraft client Minecraft main(SourceFile:1364)_x000D_
I jrelog  (14629): _x000D_
I jrelog  (14629): 	at sun reflect NativeMethodAccessorImpl invoke0(Native Method)_x000D_
I jrelog  (14629): _x000D_
I jrelog  (14629): 	at sun reflect NativeMethodAccessorImpl invoke(NativeMethodAccessorImpl java:62)_x000D_
I jrelog  (14629): _x000D_
I jrelog  (14629): 	at sun reflect DelegatingMethodAccessorImpl invoke(DelegatingMethodAccessorImpl java:43)_x000D_
I jrelog  (14629): _x000D_
I jrelog  (14629): 	at java lang reflect Method invoke(Method java:498)_x000D_
I jrelog  (14629): _x000D_
I jrelog  (14629): 	at net minecraft launchwrapper Launch launch(Launch java:57)_x000D_
I jrelog  (14629): _x000D_
I jrelog  (14629): 	at net minecraft launchwrapper Launch main(Launch java:18)_x000D_
I jrelog  (14629): _x000D_
I jrelog  (14629): Setting gameDir to:  storage emulated 0 games PojavLauncher  minecraft_x000D_
I jrelog  (14629): _x000D_
I jrelog  (14629):  LWJGL  Failed to load a library  Possible solutions:_x000D_
I jrelog  (14629): 	a) Add the directory that contains the shared library to  Djava library path or  Dorg lwjgl librarypath _x000D_
I jrelog  (14629): 	b) Add the JAR that contains the shared library to the classpath _x000D_
I jrelog  (14629): _x000D_
I jrelog  (14629):  LWJGL  Enable debug mode with  Dorg lwjgl util Debug true for better diagnostics _x000D_
I jrelog  (14629): _x000D_
I jrelog  (14629):  LWJGL  Enable the SharedLibraryLoader debug mode with  Dorg lwjgl util DebugLoader true for better diagnostics _x000D_
I jrelog  (14629): _x000D_
I jrelog  (14629): EGLBridge: Initializing_x000D_
I jrelog  (14629): EGLBridge: Initialized _x000D_
I jrelog  (14629): EGLBridge: ThreadID 14791_x000D_
I jrelog  (14629): EGLBridge: EGLDisplay 0x1  EGLSurface 0xb171f8a0_x000D_
I jrelog  (14629): Created CTX pointer   0xb172d2c0_x000D_
I jrelog  (14629): java lang Exception: Trace exception_x000D_
I jrelog  (14629): _x000D_
I jrelog  (14629): 	at org lwjgl glfw GLFW glfwMakeContextCurrent(GLFW java:948)_x000D_
I jrelog  (14629): _x000D_
I jrelog  (14629): 	at org lwjgl opengl Display create(Display java:416)_x000D_
I jrelog  (14629): _x000D_
I jrelog  (14629): 	at org lwjgl opengl Display  clinit (Display java:89)_x000D_
I jrelog  (14629): _x000D_
I jrelog  (14629): 	at net minecraft client Minecraft a(SourceFile:149)_x000D_
I jrelog  (14629): _x000D_
I jrelog  (14629): 	at net minecraft client Minecraft run(SourceFile:556)_x000D_
I jrelog  (14629): _x000D_
I jrelog  (14629): 	at java lang Thread run(Thread java:748)_x000D_
I jrelog  (14629): _x000D_
I jrelog  (14629): Making current on window 0xffffffff_x000D_
I jrelog  (14629): Making current on window 0xffffffff_x000D_
I jrelog  (14629): Grab: false_x000D_
I jrelog  (14629): _x000D_
I jrelog  (14629): Created CTX pointer   0xb17b32c0_x000D_
I jrelog  (14629): java lang Exception: Trace exception_x000D_
I jrelog  (14629): _x000D_
I jrelog  (14629): 	at org lwjgl glfw GLFW glfwMakeContextCurrent(GLFW java:948)_x000D_
I jrelog  (14629): _x000D_
I jrelog  (14629): 	at org lwjgl opengl Display create(Display java:416)_x000D_
I jrelog  (14629): _x000D_
I jrelog  (14629): 	at net minecraft client Minecraft a(SourceFile:165)_x000D_
I jrelog  (14629): _x000D_
I jrelog  (14629): 	at net minecraft client Minecraft run(SourceFile:556)_x000D_
I jrelog  (14629): _x000D_
I jrelog  (14629): 	at java lang Thread run(Thread java:748)_x000D_
I jrelog  (14629): _x000D_
I jrelog  (14629): Making current on window 0xffffffff_x000D_
I jrelog  (14629): _x000D_
I jrelog  (14629): Starting up SoundSystem   _x000D_
I jrelog  (14629): _x000D_
I jrelog  (14629): Initializing LWJGL OpenAL_x000D_
I jrelog  (14629): _x000D_
I jrelog  (14629):     (The LWJGL binding of OpenAL   For more information  see http:  www lwjgl org)_x000D_
I jrelog  (14629): _x000D_
I jrelog  (14629):  ALSOFT  (EE) Failed to set real time priority for thread: Operation not permitted (1)_x000D_
I jrelog  (14629): OpenAL initialized _x000D_
I jrelog  (14629): _x000D_
I jrelog  (14629): _x000D_
I jrelog  (14629): Toggle fullscreen _x000D_
I jrelog  (14629): _x000D_
I jrelog  (14629): Created CTX pointer   0xd75ab040_x000D_
I jrelog  (14629): LWJGLX: switch fullscreen to true_x000D_
I jrelog  (14629): _x000D_
I jrelog  (14629): Grab: true_x000D_
I jrelog  (14629): Grab: false_x000D_
I jrelog  (14629): Size: 1545  720  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_x000D_
    Expected behavior:_x000D_
I expected    _x000D_
_x000D_
    Screenshots or videos:https:  youtu be tDzF6nGifWE_x000D_
 Upload here screenshots or videos of the buggy behavior  if possible  _x000D_
_x000D_
  Platform:  _x000D_
   Device Model  e g  Mi 8 Pro 8 128 _x000D_
   CPU architecture  e g  aarch64  _x000D_
   Android Version  e g  10 _x000D_
   PojavLauncher Version  e g Latest Release    version 3 3 1 1 rel 20210206  _x000D_
_x000D_
_x000D_
 details   summary  b Additional context  b   summary _x000D_
 br _x000D_
 pre _x000D_
Add any other context about the problem here _x000D_
  pre _x000D_
  details _x000D_
</t>
  </si>
  <si>
    <t>nextcloud-android-8530</t>
  </si>
  <si>
    <t>Crash on first launch on Galaxy Tab S7</t>
  </si>
  <si>
    <t xml:space="preserve">    Steps to reproduce_x000D_
1  First launch after installation _x000D_
_x000D_
    Expected behaviour_x000D_
  App shouldn t crash _x000D_
_x000D_
    Actual behaviour_x000D_
  App crashes _x000D_
_x000D_
_x000D_
     Nextcloud log (data nextcloud log)_x000D_
   _x000D_
             CAUSE OF ERROR             _x000D_
_x000D_
java lang RuntimeException: Unable to resume activity  com nextcloud client com owncloud android ui activity FileDisplayActivity : java lang SecurityException: uid 10278 cannot get user data for accounts of type: nextcloud_x000D_
	at android app ActivityThread performResumeActivity(ActivityThread java:4864)_x000D_
	at android app ActivityThread handleResumeActivity(ActivityThread java:4901)_x000D_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java:2307)_x000D_
	at android os Handler dispatchMessage(Handler java:106)_x000D_
	at android os Looper loop(Looper java:246)_x000D_
	at android app ActivityThread main(ActivityThread java:8512)_x000D_
	at java lang reflect Method invoke(Native Method)_x000D_
	at com android internal os RuntimeInit MethodAndArgsCaller run(RuntimeInit java:596)_x000D_
	at com android internal os ZygoteInit main(ZygoteInit java:1130)_x000D_
Caused by: java lang SecurityException: uid 10278 cannot get user data for accounts of type: nextcloud_x000D_
	at android os Parcel createExceptionOrNull(Parcel java:2385)_x000D_
	at android os Parcel createException(Parcel java:2369)_x000D_
	at android os Parcel readException(Parcel java:2352)_x000D_
	at android os Parcel readException(Parcel java:2294)_x000D_
	at android accounts IAccountManager Stub Proxy getUserData(IAccountManager java:1326)_x000D_
	at android accounts AccountManager getUserData(AccountManager java:516)_x000D_
	at com owncloud android ui adapter OCFileListAdapter  init (OCFileListAdapter java:171)_x000D_
	at com owncloud android ui fragment OCFileListFragment onActivityCreated(OCFileListFragment java:352)_x000D_
	at androidx fragment app Fragment performActivityCreated(Fragment java:2985)_x000D_
	at androidx fragment app FragmentStateManager activityCreated(FragmentStateManager java:580)_x000D_
	at androidx fragment app FragmentStateManager moveToExpectedState(FragmentStateManager java:285)_x000D_
	at androidx fragment app FragmentManager executeOpsTogether(FragmentManager java:2189)_x000D_
	at androidx fragment app FragmentManager removeRedundantOperationsAndExecute(FragmentManager java:2100)_x000D_
	at androidx fragment app FragmentManager execPendingActions(FragmentManager java:2002)_x000D_
	at androidx fragment app FragmentController execPendingActions(FragmentController java:451)_x000D_
	at androidx fragment app FragmentActivity onResume(FragmentActivity java:436)_x000D_
	at com owncloud android ui activity BaseActivity onResume(BaseActivity java:91)_x000D_
	at com owncloud android ui activity DrawerActivity onResume(DrawerActivity java:911)_x000D_
	at com owncloud android ui activity FileActivity onResume(FileActivity java:240)_x000D_
	at com owncloud android ui activity FileDisplayActivity onResume(FileDisplayActivity java:1148)_x000D_
	at android app Instrumentation callActivityOnResume(Instrumentation java:1456)_x000D_
	at android app Activity performResume(Activity java:8344)_x000D_
	at android app ActivityThread performResumeActivity(ActivityThread java:4854)_x000D_
	    11 more_x000D_
Caused by: android os RemoteException: Remote stack trace:_x000D_
	at com android server accounts AccountManagerService getUserData(AccountManagerService java:1685)_x000D_
	at android accounts IAccountManager Stub onTransact(IAccountManager java:453)_x000D_
	at com android server accounts AccountManagerService onTransact(AccountManagerService java:1121)_x000D_
	at android os Binder execTransactInternal(Binder java:1190)_x000D_
	at android os Binder execTransact(Binder java:1159)_x000D_
_x000D_
_x000D_
             APP INFORMATION             _x000D_
ID: com nextcloud client_x000D_
Version: 30160190_x000D_
Build flavor: gplay_x000D_
_x000D_
             DEVICE INFORMATION             _x000D_
Brand: samsung_x000D_
Device: gts7lwifi_x000D_
Model: SM T870_x000D_
Id: RP1A 200720 012_x000D_
Product: gts7lwifieea_x000D_
_x000D_
             FIRMWARE             _x000D_
SDK: 30_x000D_
Release: 11_x000D_
Incremental: T870XXU2BUE2_x000D_
</t>
  </si>
  <si>
    <t>Anuken-Mindustry-5371</t>
  </si>
  <si>
    <t>Tsunami and Meltdown info typo/bug</t>
  </si>
  <si>
    <t xml:space="preserve">  Platform  :  Android iOS Mac Windows Linux _x000D_
Windows_x000D_
  Build  :  The build number under the title in the main menu  Required   LATEST  IS NOT A VERSION  I NEED THE EXACT BUILD NUMBER OF YOUR GAME  _x000D_
bleeding edge 21174_x000D_
  Issue  :  Explain your issue in detail  _x000D_
In the info page for the tsunami pulled up from the build menu or the core database  all ammos have an ammo multiplier of 0x for some reason_x000D_
  image (https:  user images githubusercontent com 71083621 120904876 98362000 c61c 11eb 8683 02ca92f73150 png)_x000D_
_x000D_
also the info page for the meltdown has an incendiary effect instead of a melting or burning effect  i was wondering if that was a bug or intentional_x000D_
  image (https:  user images githubusercontent com 71083621 120904985 2ca08280 c61d 11eb 9191 a6d07a3593ca png)_x000D_
_x000D_
  Steps to reproduce  :  How you happened across the issue  and what exactly you did to make the bug happen  _x000D_
i happened on the issue while looking through core database  i clicked the tsunami and i saw the bug  same with melt_x000D_
  Link(s) to mod(s) used  :  The mod repositories or zip files that are related to the issue  if applicable  _x000D_
none_x000D_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info bug v7 zip (https:  github com Anuken Mindustry files 6603208 info bug v7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</si>
  <si>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falzonv-discreet-launcher-64</t>
  </si>
  <si>
    <t>Crash opening menu if the launcher icon is in a folder</t>
  </si>
  <si>
    <t xml:space="preserve">This ticket is opened following bug report from  xi7 in ticket  59:_x000D_
_x000D_
  v4 0 no work android 5 the launcher icon crash_x000D_
(  video)_x000D_
_x000D_
   _x000D_
_x000D_
Thank you for the bug report _x000D_
_x000D_
After further investigation it crashes only when the launcher icon is clicked from inside a folder (when it is directly in the applications drawer or favorites panel  not in a folder  it seems to work normally) _x000D_
I have created this ticket for follow up </t>
  </si>
  <si>
    <t>GoogleCloudPlatform-fda-mystudies-3697</t>
  </si>
  <si>
    <t>[Mobile apps] app is getting crashed when user clicks on the study</t>
  </si>
  <si>
    <t xml:space="preserve">Steps_x000D_
1  Login to SB _x000D_
2  Add any activity with a custom schedule for the study _x000D_
3  Launch publish updates_x000D_
4  In the mobile app click on the particular study for which custom activity is added  _x000D_
5  Observe_x000D_
_x000D_
AR: App is getting crashed_x000D_
ER: App should not be crashed_x000D_
_x000D_
  image (https:  user images githubusercontent com 71445210 120890284 362aea00 c61f 11eb 8883 58e2e29a6df5 png)_x000D_
</t>
  </si>
  <si>
    <t>Anuken-Mindustry-5366</t>
  </si>
  <si>
    <t>Campaign research wiped in Windows hard crash</t>
  </si>
  <si>
    <t xml:space="preserve">  Platform  : Windows_x000D_
_x000D_
  Build  : steam build 126 3_x000D_
_x000D_
  Issue  : After a hard crash of the PC campaign research progress was cleared  I still have the bases that were won  they look about right but they are all under attack so it seems waves also restarted all the way back to 0  The base I was building at the time of PC crash and have not conquered is gone _x000D_
_x000D_
  Steps to reproduce  : Load campaign with some progress  Put a kill switch to stack overflow or cause some other hard crash the game  Pull the switch  See if research is wiped out in campaign _x000D_
_x000D_
  Link(s) to mod(s) used  : none installed_x000D_
_x000D_
  Save file  : https:  drive google com file d 1HGsDL xBvM8AbTIxLJi71ut6JRM lCfv view usp sharing_x000D_
_x000D_
  (Crash) logs  : None were created _x000D_
_x000D_
   _x000D_
_x000D_
 Place an X (no spaces) between the brackets to confirm that you have read the line below    _x000D_
   X    I have reinstalled from Steam  _x000D_
   X    I have searched the closed and open issues to make sure that this problem has not already been reported   </t>
  </si>
  <si>
    <t>nextcloud-android-8526</t>
  </si>
  <si>
    <t>App crashes when opening .md file</t>
  </si>
  <si>
    <t xml:space="preserve">    Steps to reproduce_x000D_
1  Open NC app_x000D_
2  Tap on  md file_x000D_
_x000D_
    Expected behaviour_x000D_
  File should open_x000D_
_x000D_
    Actual behaviour_x000D_
  NC crashes_x000D_
_x000D_
    Environment data_x000D_
Android version: 10_x000D_
_x000D_
Device model: Volla Phone   GS290_x000D_
_x000D_
Stock or customized system: AOSP_x000D_
_x000D_
Nextcloud app version: 3 16 1_x000D_
_x000D_
Nextcloud server version: 21 0 1_x000D_
_x000D_
WebView: Bromite Webview_x000D_
_x000D_
    Logs_x000D_
     Web server error log_x000D_
   _x000D_
Insert your webserver log here_x000D_
   _x000D_
_x000D_
     Nextcloud log (data nextcloud log)_x000D_
   _x000D_
             CAUSE OF ERROR             _x000D_
_x000D_
java lang RuntimeException: Unable to start activity ComponentInfo com nextcloud client com owncloud android ui activity TextEditorWebView : android view InflateException: Binary XML file line  62 in com nextcloud client:layout richdocuments webview: Binary XML file line  62 in com nextcloud client:layout richdocuments webview: Error inflating class android webkit WebView_x000D_
	at android app ActivityThread performLaunchActivity(ActivityThread java:3298)_x000D_
	at android app ActivityThread handleLaunchActivity(ActivityThread java:3437)_x000D_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java:2041)_x000D_
	at android os Handler dispatchMessage(Handler java:107)_x000D_
	at android os Looper loop(Looper java:214)_x000D_
	at android app ActivityThread main(ActivityThread java:7386)_x000D_
	at java lang reflect Method invoke(Native Method)_x000D_
	at com android internal os RuntimeInit MethodAndArgsCaller run(RuntimeInit java:492)_x000D_
	at com android internal os ZygoteInit main(ZygoteInit java:980)_x000D_
Caused by: android view InflateException: Binary XML file line  62 in com nextcloud client:layout richdocuments webview: Binary XML file line  62 in com nextcloud client:layout richdocuments webview: Error inflating class android webkit WebView_x000D_
Caused by: android view InflateException: Binary XML file line  62 in com nextcloud client:layout richdocuments webview: Error inflating class android webkit WebView_x000D_
Caused by: java lang reflect InvocationTargetException_x000D_
	at java lang reflect Constructor newInstance0(Native Method)_x000D_
	at java lang reflect Constructor newInstance(Constructor java:343)_x000D_
	at android view LayoutInflater createView(LayoutInflater java:854)_x000D_
	at android view LayoutInflater createView(LayoutInflater java:776)_x000D_
	at com android internal policy PhoneLayoutInflater onCreateView(PhoneLayoutInflater java:58)_x000D_
	at android view LayoutInflater onCreateView(LayoutInflater java:930)_x000D_
	at android view LayoutInflater onCreateView(LayoutInflater java:950)_x000D_
	at android view LayoutInflater createViewFromTag(LayoutInflater java:1006)_x000D_
	at android view LayoutInflater createViewFromTag(LayoutInflater java:961)_x000D_
	at android view LayoutInflater rInflate(LayoutInflater java:1140)_x000D_
	at android view LayoutInflater rInflateChildren(LayoutInflater java:1101)_x000D_
	at android view LayoutInflater rInflate(LayoutInflater java:1143)_x000D_
	at android view LayoutInflater rInflateChildren(LayoutInflater java:1101)_x000D_
	at android view LayoutInflater inflate(LayoutInflater java:682)_x000D_
	at android view LayoutInflater inflate(LayoutInflater java:534)_x000D_
	at android view LayoutInflater inflate(LayoutInflater java:481)_x000D_
	at androidx appcompat app AppCompatDelegateImpl setContentView(AppCompatDelegateImpl java:696)_x000D_
	at androidx appcompat app AppCompatActivity setContentView(AppCompatActivity java:170)_x000D_
	at com owncloud android ui activity ExternalSiteWebView onCreate(ExternalSiteWebView java:91)_x000D_
	at com owncloud android ui activity EditorWebView onCreate(EditorWebView java:120)_x000D_
	at com owncloud android ui activity TextEditorWebView onCreate(TextEditorWebView kt:46)_x000D_
	at android app Activity performCreate(Activity java:7802)_x000D_
	at android app Activity performCreate(Activity java:7791)_x000D_
	at android app Instrumentation callActivityOnCreate(Instrumentation java:1306)_x000D_
	at android app ActivityThread performLaunchActivity(ActivityThread java:3273)_x000D_
	at android app ActivityThread handleLaunchActivity(ActivityThread java:3437)_x000D_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java:2041)_x000D_
	at android os Handler dispatchMessage(Handler java:107)_x000D_
	at android os Looper loop(Looper java:214)_x000D_
	at android app ActivityThread main(ActivityThread java:7386)_x000D_
	at java lang reflect Method invoke(Native Method)_x000D_
	at com android internal os RuntimeInit MethodAndArgsCaller run(RuntimeInit java:492)_x000D_
	at com android internal os ZygoteInit main(ZygoteInit java:980)_x000D_
Caused by: android util AndroidRuntimeException: java lang reflect InvocationTargetException_x000D_
	at android webkit WebViewFactory getProvider(WebViewFactory java:271)_x000D_
	at android webkit WebView getFactory(WebView java:2551)_x000D_
	at android webkit WebView ensureProviderCreated(WebView java:2545)_x000D_
	at android webkit WebView setOverScrollMode(WebView java:2613)_x000D_
	at android view View  init (View java:5062)_x000D_
	at android view View  init (View java:5203)_x000D_
	at android view ViewGroup  init (ViewGroup java:676)_x000D_
	at android widget AbsoluteLayout  init (AbsoluteLayout java:56)_x000D_
	at android webkit WebView  init (WebView java:410)_x000D_
	at android webkit WebView  init (WebView java:353)_x000D_
	at android webkit WebView  init (WebView java:336)_x000D_
	at android webkit WebView  init (WebView java:323)_x000D_
	    36 more_x000D_
Caused by: java lang reflect InvocationTargetException_x000D_
	at java lang reflect Method invoke(Native Method)_x000D_
	at android webkit WebViewFactory getProvider(WebViewFactory java:266)_x000D_
	    47 more_x000D_
Caused by: yp: errorCode 2_x000D_
	at Qj g(chromium SystemWebView apk stable 1620434410:15)_x000D_
	at Qj i(chromium SystemWebView apk stable 1620434410:5)_x000D_
	at org chromium android webview AwBrowserProcess f(chromium SystemWebView apk stable 1620434410:9)_x000D_
	at com android webview chromium WebViewChromiumFactoryProvider f(chromium SystemWebView apk stable 1620434410:84)_x000D_
	at com android webview chromium WebViewChromiumFactoryProvider  init (chromium SystemWebView apk stable 1620434410:12)_x000D_
	at com android webview chromium WebViewChromiumFactoryProviderForQ  init (chromium SystemWebView apk stable 1620434410:1)_x000D_
	at com android webview chromium WebViewChromiumFactoryProviderForQ create(chromium SystemWebView apk stable 1620434410:1)_x000D_
	    49 more_x000D_
Caused by: java lang UnsatisfiedLinkError: dalvik system PathClassLoader DexPathList  zip file   system product app webview webview apk   nativeLibraryDirectories   system product app webview lib arm64   system product app webview webview apk  lib arm64 v8a   system lib64   system product lib64   system lib64   system product lib64    couldn t find  libwebviewchromium so _x000D_
	at java lang Runtime loadLibrary0(Runtime java:1067)_x000D_
	at java lang Runtime loadLibrary0(Runtime java:1007)_x000D_
	at java lang System loadLibrary(System java:1667)_x000D_
	at Qj g(chromium SystemWebView apk stable 1620434410:8)_x000D_
	    55 more_x000D_
_x000D_
             APP INFORMATION             _x000D_
ID: com nextcloud client_x000D_
Version: 30160190_x000D_
Build flavor: generic_x000D_
_x000D_
             DEVICE INFORMATION             _x000D_
Brand: alps_x000D_
Device: k63v2 64 bsp_x000D_
Model: Volla Phone_x000D_
Id: QP1A 190711 020_x000D_
Product: full k63v2 64 bsp_x000D_
_x000D_
             FIRMWARE             _x000D_
SDK: 29_x000D_
Release: 10_x000D_
Incremental: mp1V9135_x000D_
_x000D_
   _x000D_
  NOTE:   Be super sure to remove sensitive data like passwords  note that everybody can look here  You can use the Issue Template application to prefill some of the required information: https:  apps nextcloud com apps issuetemplate_x000D_
</t>
  </si>
  <si>
    <t>capacitor-community-firebase-analytics-97</t>
  </si>
  <si>
    <t>Build fails in getAppInstanceId()</t>
  </si>
  <si>
    <t xml:space="preserve">  Describe the bug  _x000D_
The plugin native build fails in the function  getAppInstanceId()  with the error  Cannot force unwrap value of non optional type  String    _x000D_
_x000D_
This seems to be a version conflict of the native Firebase SDKs  The return type of the native Firebase SDK function  Analytics appInstanceId()  was changed at some point and Cocoapods decided to install the wrong version for this plugin  I also use the Capacitor Firebase Crashlytics plugin  maybe that s why _x000D_
_x000D_
Maybe this plugin should define the required Firebase SDK version range in  Podfile  _x000D_
_x000D_
  To Reproduce  _x000D_
Steps to reproduce the behavior:_x000D_
1  Install both this plugin and   capacitor community firebase crashlytics _x000D_
2  Run Capacitor update sync_x000D_
2  Build project_x000D_
_x000D_
  Desktop (please complete the following information):  _x000D_
   OS: macOS 10 15 7_x000D_
   CocoaPods: 1 10 1_x000D_
   Version: 1 0 0</t>
  </si>
  <si>
    <t>nextcloud-android-8525</t>
  </si>
  <si>
    <t xml:space="preserve">    Steps to reproduce_x000D_
1  Open Nextcloud app on Android_x000D_
_x000D_
    Expected behaviour_x000D_
  App opens up and shows folder list_x000D_
_x000D_
    Actual behaviour_x000D_
  App shows browser list for less than a second  then crashes and displays below s error log _x000D_
  App also shows failed upload notifications  Upload failed  log in again  Wrong username or password _x000D_
_x000D_
This behaviour has just randomly started  previously everything was working fine  No server updates recently  no change in users or account  Desktop apps and browser version work without problems _x000D_
_x000D_
    Can you reproduce this problem on https:  try nextcloud com _x000D_
  No  but because I can no longer start the app to change login details or add an account _x000D_
_x000D_
    Environment data_x000D_
Android version: 11_x000D_
_x000D_
Device model: Google Pixel 4a (5G)_x000D_
_x000D_
Stock or customized system: Stock_x000D_
_x000D_
Nextcloud app version: 3 16 1 from Google Play Store_x000D_
_x000D_
Nextcloud server version: 21 0 2_x000D_
_x000D_
Reverse proxy: none_x000D_
_x000D_
    Logs_x000D_
     Web server error log_x000D_
   _x000D_
Insert your webserver log here_x000D_
   _x000D_
_x000D_
     Nextcloud log (data nextcloud log)_x000D_
   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java:923)_x000D_
_x000D_
             APP INFORMATION             _x000D_
ID: com nextcloud client_x000D_
Version: 30160090_x000D_
Build flavor: generic_x000D_
_x000D_
             DEVICE INFORMATION             _x000D_
Brand: google_x000D_
Device: bramble_x000D_
Model: Pixel 4a (5G)_x000D_
Id: RQ2A 210505 003_x000D_
Product: bramble_x000D_
_x000D_
             FIRMWARE             _x000D_
SDK: 30_x000D_
Release: 11_x000D_
Incremental: 7255357_x000D_
</t>
  </si>
  <si>
    <t>TeamNewPipe-NewPipe-6426</t>
  </si>
  <si>
    <t>Database exporter file browser not showing all folders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</si>
  <si>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_x000D_
    Steps to reproduce the bug_x000D_
    _x000D_
1  Go to      _x000D_
2  Press on       _x000D_
3  Swipe down to       _x000D_
   _x000D_
1  Go to settings  content  export _x000D_
2  Navigate one folder up  to  storage emulated_x000D_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0  folder is not shown _x000D_
_x000D_
_x000D_
    Expected behavior_x000D_
     Tell us what you expect to happen     _x000D_
The  0  folder should be shown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20210604 192844 NewPipe save backup bug (https:  user images githubusercontent com 11820866 120877400 2782fb00 c56b 11eb 89c5 213fc6af4104 png)_x000D_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   Lineage 16 0 20200509 UNOFFICIAL potter_x000D_
_x000D_
   Device model: XT1687_x000D_
_x000D_
This issue opened per request from  6397 _x000D_
_x000D_
I found with the same underlying file browser navigation issue in Timbre v3 1 8_x000D_
https:  timbre en uptodown com android</t>
  </si>
  <si>
    <t>mtotschnig-MyExpenses-841</t>
  </si>
  <si>
    <t>app may crash, if Web UI is configured as active in backup, and dynamic feature is not yet loaded</t>
  </si>
  <si>
    <t>On most devices  trying to start the service  if feature is not loaded  should just return a null component name  but we have seen report from one device (Crosscall CORE M4) where this situation leads to crash  We can prevent this situation by_x000D_
  ignoring the Web UI configuration in a backup file  It does not make sense to start the web ui  just because it had been active at the moment  when a backup was created on a different device_x000D_
  as a safeguard check if class is found  before starting the service</t>
  </si>
  <si>
    <t>jellyfin-jellyfin-androidtv-934</t>
  </si>
  <si>
    <t>how to get the log file</t>
  </si>
  <si>
    <t>After launching jellyfin android tv  my device crashes _x000D_
I would like to know how to get the log file _x000D_
_x000D_
  System (please complete the following information):  _x000D_
   Android TV: Android 9_x000D_
   Jellyfin server version: 10 7 5</t>
  </si>
  <si>
    <t>Anuken-Mindustry-5358</t>
  </si>
  <si>
    <t>More payload propulsion tower bugs</t>
  </si>
  <si>
    <t xml:space="preserve">  Platform  :  Android _x000D_
_x000D_
  Build  :  bleeding edge build 21152 _x000D_
_x000D_
  Issue  :  payload in payload propulsion tower just disappear and it also duplicate  _x000D_
_x000D_
  Steps to reproduce  :  place two payload propulsion tower(make sure they close to each other with no gap) and make sure the output in facing at each other then put in one payload  Chance of bug occuring are little low  you can increase this by overdriving them  Screenshot will show it_x000D_
  Screenshot 2021 06 04 22 53 16 (https:  user images githubusercontent com 64296945 120825342 e222f580 c58b 11eb 9d96 85c0caab3f4d png)_x000D_
_x000D_
 _x000D_
_x000D_
  Link(s) to mod(s) used  :  The mod repositories or zip files that are related to the issue  if applicable  _x000D_
_x000D_
  Save file  :  _x000D_
 save where bug occur zip (https:  github com Anuken Mindustry files 6599552 save where bug occur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</si>
  <si>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Anuken-Mindustry-5356</t>
  </si>
  <si>
    <t>Payload Propulsion Tower instant transport + no animation line thing</t>
  </si>
  <si>
    <t xml:space="preserve">  Platform  :  Android _x000D_
_x000D_
  Build  :  Bleeding edge builds 21152 _x000D_
_x000D_
  Issue  :  i just saw Payload Propulsion Tower(PPT)just instantly teleport payload onto another PPT and this happen in multiplayer also PPT just launch payload fast without delay animation (the line thing) _x000D_
_x000D_
  Steps to reproduce  :  idk  this happen in nydus server _x000D_
_x000D_
  Link(s) to mod(s) used  :  The mod repositories or zip files that are related to the issue  if applicable  _x000D_
_x000D_
  Save file  :  None for some reason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</si>
  <si>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TeamNewPipe-NewPipe-6425</t>
  </si>
  <si>
    <t>Buffering while playing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</si>
  <si>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new pipe and search for the video you wanted to play  _x000D_
2  Press on    play the video and it buffers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problem of buffering while playing videos using wifi   other apps like Youtube works fine  it sometimes occur and other times it is fine   the problem both occurs in full view mode and pip mode  To an extent  it buffers  plays for a few seconds and buffers again _x000D_
_x000D_
_x000D_
    Expected behavior_x000D_
     Tell us what you expect to happen     _x000D_
I expect the app to be smooth  as using wifi does not hinder the YouTube app  Besides the buffering im loving this app  better features and lightweight than You tube   keep up the good work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stock android 9(pie)_x000D_
   Device model: Asus ZenFone Max Pro M2_x000D_
</t>
  </si>
  <si>
    <t>TeamNewPipe-NewPipe-6424</t>
  </si>
  <si>
    <t>MPEG 720 resolution videos are not loading.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</si>
  <si>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These are the links I found videos where 720p to keep loading despite loading desc n comments:_x000D_
_x000D_
https:  youtu be GDKVtWikC50_x000D_
https:  youtu be YlXbDoysa1I_x000D_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video keeps on loading even tho there is a good connection and I can watch it seamlessly on other browser _x000D_
_x000D_
_x000D_
    Expected behavior_x000D_
     Tell us what you expect to happen     _x000D_
_x000D_
The video should load fine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No log_x000D_
_x000D_
     Please fill this out when you do not provide a log generate by NewPipe    _x000D_
_x000D_
    Device info_x000D_
_x000D_
   Android version Custom ROM version: Android 10 (MIUI 11)_x000D_
   Device model: Redmi 8_x000D_
</t>
  </si>
  <si>
    <t>bttv-android-bttv-85</t>
  </si>
  <si>
    <t>App crash after update</t>
  </si>
  <si>
    <t xml:space="preserve">after updating the app to 0 6 0 beta the app crashes when opening (even with a fresh install) </t>
  </si>
  <si>
    <t>MuntashirAkon-AppManager-470</t>
  </si>
  <si>
    <t>App manager crashes when the back up to be made contains too many files</t>
  </si>
  <si>
    <t xml:space="preserve">    _x000D_
Your issue will be closed without warning if you don t check at least two items _x000D_
   _x000D_
   x  I know what my device  OS and App Manager versions are_x000D_
      I know how to take logs_x000D_
   x  I know how to reproduce the issue which may not be specific to my device_x000D_
_x000D_
  To Reproduce  _x000D_
Steps to reproduce the behaviour:_x000D_
1  Go to  App manager _x000D_
2  Click on  multi select user apps _x000D_
3  Click on backup restore_x000D_
4  Initiate backing up with default options_x000D_
5  After some time the AM crashes _x000D_
_x000D_
  Crash logs  _x000D_
   _x000D_
java lang AssertionError: Binder ProxyMap has too many entries: 23722 (total)  23722 (uncleared)  19591 (uncleared after GC)  BinderProxy leak _x000D_
    at android os BinderProxy ProxyMap set(BinderProxy java:228)_x000D_
    at android os BinderProxy getInstance(BinderProxy java:415)_x000D_
    at android os Parcel nativeReadStrongBinder(Native Method)_x000D_
    at android os Parcel readStrongBinder(Parcel java:2162)_x000D_
    at io github muntashirakon AppManager IAMService Stub Proxy getFile(IAMService java:261)_x000D_
    at io github muntashirakon io ProxyFile getRemoteFile(ProxyFile java:301)_x000D_
    at io github muntashirakon io ProxyFile  init (ProxyFile java:57)_x000D_
    at io github muntashirakon io ProxyFile listFiles(ProxyFile java:230)_x000D_
    at io github muntashirakon io ProxyFile listFiles(ProxyFile java:36)_x000D_
    at io github muntashirakon AppManager utils DigestUtils gatherFiles(DigestUtils java:176)_x000D_
    at io github muntashirakon AppManager utils DigestUtils gatherFiles(DigestUtils java:181)_x000D_
    at io github muntashirakon AppManager utils DigestUtils gatherFiles(DigestUtils java:181)_x000D_
    at io github muntashirakon AppManager utils DigestUtils gatherFiles(DigestUtils java:181)_x000D_
    at io github muntashirakon AppManager utils DigestUtils gatherFiles(DigestUtils java:181)_x000D_
    at io github muntashirakon AppManager utils DigestUtils getHexDigest(DigestUtils java:70)_x000D_
    at io github muntashirakon AppManager backup BackupOp lambda backupData 0 BackupOp(BackupOp java:246)_x000D_
    at io github muntashirakon AppManager backup    Lambda BackupOp OACxlh4YwzLYzk3LfLESE6sIDtI run(Unknown Source:2)_x000D_
    at java lang Thread run(Thread java:919)_x000D_
   _x000D_
_x000D_
  Device Info  _x000D_
App version: 2 6 0_x000D_
App version code: 385_x000D_
Android build version: 52_x000D_
Android release version: 10_x000D_
Android SDK version: 29_x000D_
Android build ID: lineage davinci userdebug 10 QQ3A 200805 001 52 release keys_x000D_
Device brand: Xiaomi_x000D_
Device manufacturer: Xiaomi_x000D_
Device name: davinci_x000D_
Device model: Mi 9T_x000D_
Device product name: lineage davinci_x000D_
Device hardware name: qcom_x000D_
ABIs:  arm64 v8a  armeabi v7a  armeabi _x000D_
ABIs (32bit):  armeabi v7a  armeabi _x000D_
ABIs (64bit):  arm64 v8a _x000D_
System language: en US_x000D_
In App Language: auto_x000D_
Mode: auto_x000D_
_x000D_
_x000D_
</t>
  </si>
  <si>
    <t>TeamNewPipe-NewPipe-6422</t>
  </si>
  <si>
    <t>Battery Drain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</si>
  <si>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Newpipe consumes a lot of battery in a short time  the latest update has solved all the problems  but it has not solved it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IMG 20210602 072719 (https:  user images githubusercontent com 85212846 120774919 072f4e00 c523 11eb 80c4 c6f964b6fc7e jpg)_x000D_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global 12 0 10_x000D_
   Device model: xiaomi redmi note 10_x000D_
</t>
  </si>
  <si>
    <t>Benji377-SocyMusic-26</t>
  </si>
  <si>
    <t>NotfifcationBar crashes app</t>
  </si>
  <si>
    <t xml:space="preserve">I added the NotificationBar to the PlayerFragment  but when you play a song it makes the app crash  </t>
  </si>
  <si>
    <t>Anuken-Mindustry-5348</t>
  </si>
  <si>
    <t>Fire crashing from java.lang.ArrayIndexOutOfBoundsException</t>
  </si>
  <si>
    <t xml:space="preserve">  Platform  : Windows_x000D_
_x000D_
  Build  : BE build  21112_x000D_
_x000D_
  Issue  : Drawing Fire seems to crash  This has only happened once so far _x000D_
_x000D_
Mindustry has crashed  How unfortunate _x000D_
Version: bleeding edge build 21112_x000D_
OS: Windows 10 x64_x000D_
Java Version: 1 8 0 292_x000D_
Java Architecture: 64_x000D_
14 Mods: endless rusting: i  co u  s a   6  craftdustry:1 4  exotic mod:0 1 Alpha  hackustry:3 3 zip  heavy armaments:2 6  mine :1  nuke:1  opore mod:69  pixelcraft:0 9 85  prog mats:0 39  purple air:0 2 2  roomber n wack:0 2 1  slowk _x000D_
    :skidiabapop  wdyut:ersion 0_x000D_
_x000D_
java lang ArrayIndexOutOfBoundsException: 40_x000D_
	at mindustry gen Fire draw(Fire java:510)_x000D_
	at mindustry entities EntityGroup lambda draw 0(EntityGroup java:86)_x000D_
	at mindustry entities EntityGroup each(EntityGroup java:70)_x000D_
	at mindustry entities EntityGroup draw(EntityGroup java:83)_x000D_
	at mindustry core Renderer draw(Renderer java:266)_x000D_
	at mindustry core Renderer update(Renderer java:118)_x000D_
	at arc ApplicationCore update(ApplicationCore java:37)_x000D_
	at mindustry ClientLauncher update(ClientLauncher java:165)_x000D_
	at arc backend sdl SdlApplication listen(SdlApplication java:166)_x000D_
	at arc backend sdl SdlApplication loop(SdlApplication java:154)_x000D_
	at arc backend sdl SdlApplication  init (SdlApplication java:46)_x000D_
	at mindustry desktop DesktopLauncher main(DesktopLauncher java:38)_x000D_
_x000D_
  Steps to reproduce  : _x000D_
Step 1: Get a crux flying unit_x000D_
Step 2: Use a weapon which fires projectiles that can cause fire (I had used Prisimdome  a modded turret)_x000D_
Step 3: Shoot the crux flying unit over a StaticWall_x000D_
_x000D_
  Link(s) to mod(s) used  : https:  github com Sh1penfire Endless rusting_x000D_
_x000D_
  Save file  : Unable to upload  find in zip_x000D_
_x000D_
  The (zipped) save file you were playing on when the bug happened  _x000D_
 SaveCrash zip (https:  github com Anuken Mindustry files 6595321 SaveCrash zip)_x000D_
_x000D_
Please don t reep my soul Anuken_x000D_
_x000D_
  (Crash) logs  :  Either crash reports from the crash folder  or the file you get when you go into Settings    Game Data    Export Crash logs  REQUIRED if you are reporting a crash  _x000D_
_x000D_
   _x000D_
_x000D_
 Place an X (no spaces) between the brackets to confirm _x000D_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</si>
  <si>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Anuken-Mindustry-5344</t>
  </si>
  <si>
    <t>Game crash when pasting C# in Micro Processor</t>
  </si>
  <si>
    <t xml:space="preserve">  Platform  : Windows 10_x000D_
_x000D_
  Build  : release build 126 2_x000D_
_x000D_
  Issue  : The game crashes when pasting random shit in the Edit Processor screen   5176 indicates it s fixed in 7 0  but is there even a 7 0 _x000D_
_x000D_
In my case  I had some C  in the clipboard:_x000D_
_x000D_
   cs_x000D_
sealed class Symbol T    _x000D_
_x000D_
sealed class SymbolDictionary  _x000D_
	readonly Dictionary object  object  Storage   new() _x000D_
_x000D_
	public SymbolDictionary Set T (Symbol T  key  T value)  _x000D_
		Storage key    value _x000D_
_x000D_
		return this _x000D_
	 _x000D_
_x000D_
	public bool TryGet T (Symbol T  key   NotNullWhen(true)  out T   out)  _x000D_
		if (Storage TryGetValue(key  out var value))  _x000D_
			 out   (T) value _x000D_
			return true _x000D_
		 _x000D_
_x000D_
		 out   default _x000D_
		return false _x000D_
	 _x000D_
_x000D_
	public T Get T (Symbol T  key)    Storage TryGetValue(key  out var value)   (T) value : throw new Exception() _x000D_
 _x000D_
   _x000D_
_x000D_
The C  itself isn t interesting  but does its job triggering the bug  Interestingly  the following JS code resulted in Invalid blocks  but no crash:_x000D_
_x000D_
   js_x000D_
((invertImages  invertCode  applyBlackBackground)     _x000D_
	document body style filter    invert() _x000D_
	document body style background   applyBlackBackground    black  :  white _x000D_
	Array from(document querySelectorAll( pre )) map(pre    pre style filter   invertCode    invert()  : null)_x000D_
	Array from(document querySelectorAll( img )) map(img    img style filter   invertImages    invert()  : null)_x000D_
 )(   Invert Image   Invert Code   Dark BG    1  0  1)_x000D_
   _x000D_
_x000D_
  Steps to reproduce  :_x000D_
1  Build a Micro Processor_x000D_
2  Click your wonderful Micro Processor_x000D_
3  Enter the config screen with the edit button that appears_x000D_
4  Click Edit at the bottom_x000D_
5  Ensure you have some random shit in your clipboard (see above)_x000D_
6  Click Import from Clipboard_x000D_
_x000D_
  Link(s) to mod(s) used  : No mod_x000D_
_x000D_
  Save file  : Attached a   msav   but I had to rename it and append   zip  to please GitHub   _x000D_
_x000D_
 The micro processor bug msav zip (https:  github com Anuken Mindustry files 6594243 The micro processor bug msav zip)_x000D_
_x000D_
  (Crash) logs  :  Quite unsure about it _x000D_
_x000D_
 The micro processor crash txt (https:  github com Anuken Mindustry files 6594293 The micro processor crash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</si>
  <si>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Anuken-Mindustry-5343</t>
  </si>
  <si>
    <t>Sprites are a jumbled mess</t>
  </si>
  <si>
    <t xml:space="preserve">  Platform  : Windows 10_x000D_
_x000D_
  Build  :  The build number under the title in the main menu  Required   LATEST  IS NOT A VERSION  I NEED THE EXACT BUILD NUMBER OF YOUR GAME  _x000D_
Bleeding Edge 21130_x000D_
_x000D_
  Issue  :  Explain your issue in detail  _x000D_
Sprites are all jumbled  as shown in the attached picture  I m aware that the sprites are supposed to be purple  but not like this to my knowledge _x000D_
  image (https:  user images githubusercontent com 75080541 120695484 d5b27600 c481 11eb 9f42 2869908510bb png)_x000D_
_x000D_
  Steps to reproduce  :  How you happened across the issue  and what exactly you did to make the bug happen  _x000D_
Open the game_x000D_
Observe_x000D_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SaveFile zip (https:  github com Anuken Mindustry files 6593637 SaveFile zip)_x000D_
(I don t think this is nessesary  but better be safe than sorry)_x000D_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x_x000D_
</t>
  </si>
  <si>
    <t>StoyanTinchev-musicial-tesla-coil-33</t>
  </si>
  <si>
    <t>Fix delete button bug</t>
  </si>
  <si>
    <t xml:space="preserve">   Description_x000D_
Fix bug with deletion of files  When try to delete file   app crashes _x000D_
_x000D_
   Additional context_x000D_
Also you don t need popup menu with only one option   so just put rubbish bin picture for deletion of file _x000D_
</t>
  </si>
  <si>
    <t>MindscapeHQ-raygun4android-80</t>
  </si>
  <si>
    <t>Manually setting version on RaygunClient can break mapping.</t>
  </si>
  <si>
    <t xml:space="preserve">If I do not set the version on the Raygun client and upload a mapping file matching the version eg  1 5 2 txt  the stack trace is de obfuscated as expected _x000D_
_x000D_
However if I set the version manually to provide more information  name   version code eg:_x000D_
_x000D_
 RaygunClient setVersion(   BuildConfig VERSION NAME  (  BuildConfig VERSION CODE ) ) _x000D_
_x000D_
The crash report will show the version as I set manually eg: 1 5 2 (452)_x000D_
But uploading a file  1 5 2 (452) txt  does not de obfuscate any future crash reports _x000D_
_x000D_
This did work as expected in a previous version  _x000D_
_x000D_
I have changed how I name the version to the following:_x000D_
_x000D_
 RaygunClient setVersion(   BuildConfig VERSION NAME    BuildConfig VERSION CODE  ) _x000D_
_x000D_
 eg 1 5 2 452 and this does work uploading a file  1 5 2 452 txt   _x000D_
_x000D_
This solves it for me  but adding this incase anyone else has the same issue  I m not sure if this file name should not contain spaces </t>
  </si>
  <si>
    <t>Anuken-Mindustry-5337</t>
  </si>
  <si>
    <t>Mindustry BE crashes without a crash report 2: electric boogaloo</t>
  </si>
  <si>
    <t xml:space="preserve"> 3952_x000D_
_x000D_
  Platform  :  Windows _x000D_
_x000D_
  Build  :  21112 _x000D_
_x000D_
  Issue  :  Crashes without a crash log  The reason turned out to be an old Betamindy jar that was hanging out in the BE folders  but still it should have given me a crash log  _x000D_
_x000D_
  Steps to reproduce  :  same as  3952 _x000D_
_x000D_
  Link(s) to mod(s) used  :  sk7725 BetaMindy  although the outdated one that was not compatible with the current Mindustry  let alone 7 0 _x000D_
_x000D_
  Save file  :  i didn t even get to open a map _x000D_
_x000D_
If you remove the line above without reading it properly and understanding what it means  I will reap your soul  Even if you re playing on someone s server  you can still save the game to a slot _x000D_
_x000D_
  (Crash) logs  :  here s the error pid _x000D_
   _x000D_
 _x000D_
  A fatal error has been detected by the Java Runtime Environment:_x000D_
 _x000D_
   EXCEPTION ACCESS VIOLATION (0xc0000005) at pc 0x00007ff950db4902  pid 15420  tid 7476_x000D_
 _x000D_
  JRE version: OpenJDK Runtime Environment AdoptOpenJDK (14 0 2 12) (build 14 0 2 12)_x000D_
  Java VM: OpenJDK 64 Bit Server VM AdoptOpenJDK (14 0 2 12  mixed mode  sharing  tiered  compressed oops  g1 gc  windows amd64)_x000D_
  Problematic frame:_x000D_
  C   MSCTF dll 0x64902 _x000D_
 _x000D_
  No core dump will be written  Minidumps are not enabled by default on client versions of Windows_x000D_
 _x000D_
  If you would like to submit a bug report  please visit:_x000D_
    https:  github com AdoptOpenJDK openjdk support issues_x000D_
  The crash happened outside the Java Virtual Machine in native code _x000D_
  See problematic frame for where to report the bug _x000D_
 _x000D_
_x000D_
                 S U M M A R Y             _x000D_
_x000D_
Command Line: C: Users starw AppData Roaming Mindustry be builds Mindustry BE Desktop 21112 jar_x000D_
_x000D_
Host: Intel(R) Core(TM) i7 4500U CPU   1 80GHz  4 cores  7G   Windows 10   64 bit Build 19041 (10 0 19041 928)_x000D_
Time: Thu Jun  3 20:22:00 2021          elapsed time: 11 seconds (0d 0h 0m 11s)_x000D_
_x000D_
                 T H R E A D                 _x000D_
_x000D_
Current thread (0x0000025f594c7000):  JavaThread  main    thread in native  id 7476  stack(0x000000b171200000 0x000000b171300000) _x000D_
_x000D_
Stack:  0x000000b171200000 0x000000b171300000    sp 0x000000b1712fee00   free space 1019k_x000D_
Native frames: (J compiled Java code  j interpreted  Vv VM code  C native code)_x000D_
C   MSCTF dll 0x64902 _x000D_
_x000D_
Java frames: (J compiled Java code  j interpreted  Vv VM code)_x000D_
j  arc backend sdl jni SDL SDL Quit()V 0_x000D_
j  arc backend sdl SdlApplication cleanup()V 20_x000D_
j  arc backend sdl SdlApplication  init (Larc ApplicationListener Larc backend sdl SdlConfig )V 181_x000D_
j  mindustry desktop DesktopLauncher main( Ljava lang String )V 23_x000D_
v   StubRoutines::call stub_x000D_
_x000D_
siginfo: EXCEPTION ACCESS VIOLATION (0xc0000005)  reading address 0x00007ff929594f40_x000D_
_x000D_
_x000D_
Register to memory mapping:_x000D_
_x000D_
RIP 0x00007ff950db4902 MSCTF dll_x000D_
RAX 0x00007ff929594f30 is an unknown value_x000D_
RBX 0x0000025f789ae4c0 points into unknown readable memory: 20 86 e2 50 f9 7f 00 00_x000D_
RCX 0x0000025f78cdaae0 points into unknown readable memory: 30 4f 59 29 f9 7f 00 00_x000D_
RDX 0x0 is NULL_x000D_
RSP 0x000000b1712fee00 is pointing into the stack for thread: 0x0000025f594c7000_x000D_
RBP 0x000000b1712ff240 is pointing into the stack for thread: 0x0000025f594c7000_x000D_
RSI 0x0 is NULL_x000D_
RDI 0x0000025f78a71680 points into unknown readable memory: 80 5e e2 50 f9 7f 00 00_x000D_
R8  0x0000000000000002 is an unknown value_x000D_
R9  0x0000000000000001 is an unknown value_x000D_
R10 0x0 is NULL_x000D_
R11 0x000000b1712fed70 is pointing into the stack for thread: 0x0000025f594c7000_x000D_
R12 0x00000000000003ff is an unknown value_x000D_
R13  method   0x0000025f78494e28   SDL Quit   ()V  in  arc backend sdl jni SDL _x000D_
R14 0x0 is NULL_x000D_
R15 0x0 is NULL_x000D_
_x000D_
_x000D_
Registers:_x000D_
RAX 0x00007ff929594f30  RBX 0x0000025f789ae4c0  RCX 0x0000025f78cdaae0  RDX 0x0000000000000000_x000D_
RSP 0x000000b1712fee00  RBP 0x000000b1712ff240  RSI 0x0000000000000000  RDI 0x0000025f78a71680_x000D_
R8  0x0000000000000002  R9  0x0000000000000001  R10 0x0000000000000000  R11 0x000000b1712fed70_x000D_
R12 0x00000000000003ff  R13 0x0000025f78494e20  R14 0x0000000000000000  R15 0x0000000000000000_x000D_
RIP 0x00007ff950db4902  EFLAGS 0x0000000000210202_x000D_
_x000D_
Top of Stack: (sp 0x000000b1712fee00)_x000D_
0x000000b1712fee00:   0000025f00000002 0000025f789ae4c0_x000D_
0x000000b1712fee10:   00000000ffffffff 00007ff950d64e8c_x000D_
0x000000b1712fee20:   0000025f789ae4c0 00007ff950db4b42_x000D_
0x000000b1712fee30:   0000000000000000 0000025f78a71680_x000D_
0x000000b1712fee40:   0000000000000080 0000025f00000000_x000D_
0x000000b1712fee50:   0000000000000000 00007ff950db6f57_x000D_
0x000000b1712fee60:   0000025f78a71680 0000025f78494e20_x000D_
0x000000b1712fee70:   0000000000000000 0000025f78a71680_x000D_
0x000000b1712fee80:   0000025f78a71680 00007ff950d9c2c2_x000D_
0x000000b1712fee90:   0000025f789ae4c0 000000b1712ff240_x000D_
0x000000b1712feea0:   0000000000000001 0000025f78a71680_x000D_
0x000000b1712feeb0:   0000025f78a71680 00007ff950d71cd8_x000D_
0x000000b1712feec0:   0000025f78b430a0 000000b1712ff240_x000D_
0x000000b1712feed0:   0000000000000001 0000000000000001_x000D_
0x000000b1712feee0:   0000000000000101 0000000000000001_x000D_
0x000000b1712feef0:   0000000100000001 0000000100000000 _x000D_
_x000D_
Instructions: (pc 0x00007ff950db4902)_x000D_
0x00007ff950db4802:   01 49 8b f8 48 89 51 10 48 8b d9 48 85 d2 74 10_x000D_
0x00007ff950db4812:   48 8b 02 48 8b ca 48 8b 40 08 ff 15 ee 87 07 00_x000D_
0x00007ff950db4822:   48 89 7b 18 48 85 ff 74 10 48 8b 07 48 8b cf 48_x000D_
0x00007ff950db4832:   8b 40 08 ff 15 d5 87 07 00 48 8b c3 48 8b 5c 24_x000D_
0x00007ff950db4842:   30 48 83 c4 20 5f c3 cc cc cc cc cc cc cc c7 41_x000D_
0x00007ff950db4852:   10 01 00 00 00 48 8d 05 c2 3d 07 00 48 89 01 33_x000D_
0x00007ff950db4862:   d2 48 8d 05 9e 3b 07 00 48 89 41 08 48 8d 05 4b_x000D_
0x00007ff950db4872:   0c 07 00 48 89 51 38 48 89 51 40 48 89 41 60 48_x000D_
0x00007ff950db4882:   8b c1 48 89 51 70 48 89 51 68 48 89 51 78 48 89_x000D_
0x00007ff950db4892:   91 80 00 00 00 c3 cc cc cc cc cc cc cc cc e9 93_x000D_
0x00007ff950db48a2:   12 fa ff cc cc cc cc cc cc cc e9 bb 17 fa ff cc_x000D_
0x00007ff950db48b2:   cc cc cc cc cc cc 40 53 48 83 ec 20 48 8d 05 5b_x000D_
0x00007ff950db48c2:   3d 07 00 48 8b d9 48 89 01 48 8d 05 36 3b 07 00_x000D_
0x00007ff950db48d2:   48 89 41 08 e8 5d 2f 00 00 48 8b 4b 48 48 85 c9_x000D_
0x00007ff950db48e2:   74 12 48 8b 01 48 8b 40 10 ff 15 1f 87 07 00 48_x000D_
0x00007ff950db48f2:   83 63 48 00 48 8b 4b 18 48 85 c9 74 12 48 8b 01_x000D_
0x00007ff950db4902:   48 8b 40 10 ff 15 04 87 07 00 48 83 63 18 00 48_x000D_
0x00007ff950db4912:   8b 8b 90 00 00 00 48 85 c9 74 0d e8 aa 6c 01 00_x000D_
0x00007ff950db4922:   48 83 a3 90 00 00 00 00 48 8b 8b 80 00 00 00 48_x000D_
0x00007ff950db4932:   85 c9 74 0d 48 8b 01 48 8b 40 10 ff 15 cd 86 07_x000D_
0x00007ff950db4942:   00 48 8b 4b 78 48 85 c9 74 0d 48 8b 01 48 8b 40_x000D_
0x00007ff950db4952:   10 ff 15 b7 86 07 00 48 8b 4b 68 48 8d 05 5c 0b_x000D_
0x00007ff950db4962:   07 00 48 89 43 60 48 85 c9 74 0c 48 ff 15 14 7f_x000D_
0x00007ff950db4972:   07 00 0f 1f 44 00 00 48 8b 4b 40 48 85 c9 74 0d_x000D_
0x00007ff950db4982:   48 8b 01 48 8b 40 10 ff 15 81 86 07 00 48 8b 4b_x000D_
0x00007ff950db4992:   38 48 85 c9 74 0d 48 8b 01 48 8b 40 10 ff 15 6b_x000D_
0x00007ff950db49a2:   86 07 00 48 83 c4 20 5b c3 cc cc cc cc cc cc cc_x000D_
0x00007ff950db49b2:   cc cc 40 53 48 83 ec 20 48 8d 05 3f 3b 07 00 48_x000D_
0x00007ff950db49c2:   8b d9 48 89 01 48 8d 05 02 3b 07 00 48 89 41 08_x000D_
0x00007ff950db49d2:   48 8d 05 af 3a 07 00 48 89 41 10 48 8d 05 7c 3a_x000D_
0x00007ff950db49e2:   07 00 48 89 41 18 48 8d 05 19 3a 07 00 48 89 41_x000D_
0x00007ff950db49f2:   20 48 83 c1 58 e8 90 07 00 00 48 8d 05 75 0f 07 _x000D_
_x000D_
_x000D_
Stack slot to memory mapping:_x000D_
stack at sp   0 slots: 0x0000025f00000002 is an unknown value_x000D_
stack at sp   1 slots: 0x0000025f789ae4c0 points into unknown readable memory: 20 86 e2 50 f9 7f 00 00_x000D_
stack at sp   2 slots: _x000D_
 error occurred during error reporting (inspecting top of stack)  id 0xc0000005  EXCEPTION ACCESS VIOLATION (0xc0000005) at pc 0x00007ff8f4f74644 _x000D_
_x000D_
_x000D_
                 P R O C E S S                 _x000D_
_x000D_
Threads class SMR info:_x000D_
 java thread list 0x0000025fdce058d0  length 21  elements  _x000D_
0x0000025f594c7000  0x0000025f77f6d000  0x0000025f77f6e800  0x0000025f77f8c800 _x000D_
0x0000025f77f8f800  0x0000025f77f91000  0x0000025f77f94800  0x0000025f77f9f800 _x000D_
0x0000025f77fab000  0x0000025f788e3000  0x0000025f788e4800  0x0000025fbde10000 _x000D_
0x0000025fd391f800  0x0000025fc389b000  0x0000025fdc3f0800  0x0000025fdb54f800 _x000D_
0x0000025fc35ff000  0x0000025fdc080800  0x0000025fc3e00000  0x0000025fc3e01800 _x000D_
0x0000025fc3e03800_x000D_
 _x000D_
_x000D_
Java Threads: (    current thread )_x000D_
  0x0000025f594c7000 JavaThread  main    thread in native  id 7476  stack(0x000000b171200000 0x000000b171300000) _x000D_
  0x0000025f77f6d000 JavaThread  Reference Handler  daemon   thread blocked  id 1840  stack(0x000000b171900000 0x000000b171a00000) _x000D_
  0x0000025f77f6e800 JavaThread  Finalizer  daemon   thread blocked  id 18732  stack(0x000000b171a00000 0x000000b171b00000) _x000D_
  0x0000025f77f8c800 JavaThread  Signal Dispatcher  daemon   thread blocked  id 13676  stack(0x000000b171b00000 0x000000b171c00000) _x000D_
  0x0000025f77f8f800 JavaThread  Attach Listener  daemon   thread blocked  id 12388  stack(0x000000b171c00000 0x000000b171d00000) _x000D_
  0x0000025f77f91000 JavaThread  Service Thread  daemon   thread blocked  id 7272  stack(0x000000b171d00000 0x000000b171e00000) _x000D_
  0x0000025f77f94800 JavaThread  C2 CompilerThread0  daemon   thread blocked  id 18752  stack(0x000000b171e00000 0x000000b171f00000) _x000D_
  0x0000025f77f9f800 JavaThread  C1 CompilerThread0  daemon   thread blocked  id 11280  stack(0x000000b171f00000 0x000000b172000000) _x000D_
  0x0000025f77fab000 JavaThread  Sweeper thread  daemon   thread blocked  id 13812  stack(0x000000b172000000 0x000000b172100000) _x000D_
  0x0000025f788e3000 JavaThread  Notification Thread  daemon   thread blocked  id 6436  stack(0x000000b172100000 0x000000b172200000) _x000D_
  0x0000025f788e4800 JavaThread  Common Cleaner  daemon   thread blocked  id 11792  stack(0x000000b172300000 0x000000b172400000) _x000D_
  0x0000025fbde10000 JavaThread  AsyncExecutor Thread  daemon   thread blocked  id 12740  stack(0x000000b172d00000 0x000000b172e00000) _x000D_
  0x0000025fd391f800 JavaThread  AsyncExecutor Thread  daemon   thread blocked  id 21088  stack(0x000000b173200000 0x000000b173300000) _x000D_
  0x0000025fc389b000 JavaThread  AsyncExecutor Thread  daemon   thread blocked  id 12664  stack(0x000000b173300000 0x000000b173400000) _x000D_
  0x0000025fdc3f0800 JavaThread  AsyncExecutor Thread  daemon   thread blocked  id 16644  stack(0x000000b173400000 0x000000b173500000) _x000D_
  0x0000025fdb54f800 JavaThread  AsyncExecutor Thread  daemon   thread blocked  id 19320  stack(0x000000b173500000 0x000000b173600000) _x000D_
  0x0000025fc35ff000 JavaThread  C2 CompilerThread1  daemon   thread blocked  id 14904  stack(0x000000b173100000 0x000000b173200000) _x000D_
  0x0000025fdc080800 JavaThread  AsyncExecutor Thread  daemon   thread blocked  id 16072  stack(0x000000b173600000 0x000000b173700000) _x000D_
  0x0000025fc3e00000 JavaThread  Thread 0  daemon   thread blocked  id 17612  stack(0x000000b173800000 0x000000b173900000) _x000D_
  0x0000025fc3e01800 JavaThread  AsyncExecutor Thread  daemon   thread blocked  id 18908  stack(0x000000b173900000 0x000000b173a00000) _x000D_
  0x0000025fc3e03800 JavaThread  Keep Alive Timer  daemon   thread blocked  id 17508  stack(0x000000b172800000 0x000000b172900000) _x000D_
_x000D_
Other Threads:_x000D_
  0x0000025f77f6c000 VMThread  VM Thread   stack: 0x000000b171800000 0x000000b171900000   id 16932 _x000D_
  0x0000025f788f2000 WatcherThread  stack: 0x000000b172200000 0x000000b172300000   id 17064 _x000D_
  0x0000025f5950c800 GCTaskThread  GC Thread 0   stack: 0x000000b171300000 0x000000b171400000   id 8004 _x000D_
  0x0000025fbdad9800 GCTaskThread  GC Thread 1   stack: 0x000000b172b00000 0x000000b172c00000   id 16708 _x000D_
  0x0000025fbdb4a800 GCTaskThread  GC Thread 2   stack: 0x000000b172c00000 0x000000b172d00000   id 17528 _x000D_
  0x0000025f5951f800 ConcurrentGCThread  G1 Main Marker   stack: 0x000000b171400000 0x000000b171500000   id 6288 _x000D_
  0x0000025f59520800 ConcurrentGCThread  G1 Conc 0   stack: 0x000000b171500000 0x000000b171600000   id 19612 _x000D_
  0x0000025f595ad000 ConcurrentGCThread  G1 Refine 0   stack: 0x000000b171600000 0x000000b171700000   id 5760 _x000D_
  0x0000025fc3505800 ConcurrentGCThread  G1 Refine 1   stack: 0x000000b172e00000 0x000000b172f00000   id 15240 _x000D_
  0x0000025fc3506000 ConcurrentGCThread  G1 Refine 2   stack: 0x000000b172f00000 0x000000b173000000   id 16236 _x000D_
  0x0000025f595ae800 ConcurrentGCThread  G1 Young RemSet Sampling   stack: 0x000000b171700000 0x000000b171800000   id 15072 _x000D_
_x000D_
Threads with active compile tasks:_x000D_
_x000D_
VM state:not at safepoint (normal execution)_x000D_
_x000D_
VM Mutex Monitor currently owned by a thread: None_x000D_
_x000D_
Heap address: 0x0000000081400000  size: 2028 MB  Compressed Oops mode: 32 bit_x000D_
Narrow klass base: 0x0000000800000000  Narrow klass shift: 3_x000D_
Compressed class space size: 1073741824 Address: 0x0000000800b30000_x000D_
_x000D_
Heap:_x000D_
 garbage first heap   total 66560K  used 46995K  0x0000000081400000  0x0000000100000000)_x000D_
  region size 1024K  15 young (15360K)  3 survivors (3072K)_x000D_
 Metaspace       used 34859K  capacity 36708K  committed 36732K  reserved 1079296K_x000D_
  class space    used 5098K  capacity 5996K  committed 6016K  reserved 1048576K_x000D_
Heap Regions: E young(eden)  S young(survivor)  O old  HS humongous(starts)  HC humongous(continues)  CS collection set  F free  OA open archive  CA closed archive  TAMS top at mark start (previous  next)_x000D_
    0 0x0000000081400000  0x0000000081500000  0x0000000081500000 100   O    TAMS 0x0000000081500000  0x0000000081400000  Untracked _x000D_
    1 0x0000000081500000  0x0000000081600000  0x0000000081600000 100  HS    TAMS 0x0000000081600000  0x0000000081500000  Complete _x000D_
    2 0x0000000081600000  0x0000000081700000  0x0000000081700000 100   O    TAMS 0x0000000081700000  0x0000000081600000  Untracked _x000D_
    3 0x0000000081700000  0x0000000081800000  0x0000000081800000 100   O    TAMS 0x0000000081800000  0x0000000081700000  Untracked _x000D_
    4 0x0000000081800000  0x0000000081900000  0x0000000081900000 100   O    TAMS 0x0000000081900000  0x0000000081800000  Untracked _x000D_
    5 0x0000000081900000  0x0000000081a00000  0x0000000081a00000 100   O    TAMS 0x0000000081a00000  0x0000000081900000  Untracked _x000D_
    6 0x0000000081a00000  0x0000000081b00000  0x0000000081b00000 100   O    TAMS 0x0000000081b00000  0x0000000081a00000  Untracked _x000D_
    7 0x0000000081b00000  0x0000000081c00000  0x0000000081c00000 100   O    TAMS 0x0000000081c00000  0x0000000081b00000  Untracked _x000D_
    8 0x0000000081c00000  0x0000000081d00000  0x0000000081d00000 100   O    TAMS 0x0000000081d00000  0x0000000081c00000  Untracked _x000D_
    9 0x0000000081d00000  0x0000000081e00000  0x0000000081e00000 100   O    TAMS 0x0000000081e00000  0x0000000081d00000  Untracked _x000D_
   10 0x0000000081e00000  0x0000000081f00000  0x0000000081f00000 100   O    TAMS 0x0000000081f00000  0x0000000081e00000  Untracked _x000D_
   11 0x0000000081f00000  0x0000000082000000  0x0000000082000000 100   O    TAMS 0x0000000082000000  0x0000000081f00000  Untracked _x000D_
   12 0x0000000082000000  0x0000000082100000  0x0000000082100000 100   O    TAMS 0x0000000082100000  0x0000000082000000  Untracked _x000D_
   13 0x0000000082100000  0x00000000821f0a00  0x0000000082200000  93   O    TAMS 0x00000000821f0a00  0x0000000082100000  Untracked _x000D_
   14 0x0000000082200000  0x0000000082300000  0x0000000082300000 100   O    TAMS 0x0000000082300000  0x0000000082200000  Untracked _x000D_
   15 0x0000000082300000  0x0000000082400000  0x0000000082400000 100   O    TAMS 0x0000000082400000  0x0000000082300000  Untracked _x000D_
   16 0x0000000082400000  0x0000000082500000  0x0000000082500000 100   O    TAMS 0x0000000082500000  0x0000000082400000  Untracked _x000D_
   17 0x0000000082500000  0x0000000082600000  0x0000000082600000 100   O    TAMS 0x0000000082600000  0x0000000082500000  Untracked _x000D_
   18 0x0000000082600000  0x0000000082700000  0x0000000082700000 100   O    TAMS 0x0000000082700000  0x0000000082600000  Untracked _x000D_
   19 0x0000000082700000  0x0000000082800000  0x0000000082800000 100   O    TAMS 0x0000000082800000  0x0000000082700000  Untracked _x000D_
   20 0x0000000082800000  0x0000000082900000  0x0000000082900000 100   O    TAMS 0x0000000082900000  0x0000000082800000  Untracked _x000D_
   21 0x0000000082900000  0x0000000082a00000  0x0000000082a00000 100   O    TAMS 0x0000000082a00000  0x0000000082900000  Untracked _x000D_
   22 0x0000000082a00000  0x0000000082b00000  0x0000000082b00000 100   O    TAMS 0x0000000082a00000  0x0000000082a00000  Untracked _x000D_
   23 0x0000000082b00000  0x0000000082c00000  0x0000000082c00000 100   O    TAMS 0x0000000082b00000  0x0000000082b00000  Untracked _x000D_
   24 0x0000000082c00000  0x0000000082d00000  0x0000000082d00000 100   O    TAMS 0x0000000082c00000  0x0000000082c00000  Untracked _x000D_
   25 0x0000000082d00000  0x0000000082e00000  0x0000000082e00000 100   O    TAMS 0x0000000082d00000  0x0000000082d00000  Untracked _x000D_
   26 0x0000000082e00000  0x0000000082f00000  0x0000000082f00000 100   O    TAMS 0x0000000082f00000  0x0000000082e00000  Untracked _x000D_
   27 0x0000000082f00000  0x0000000083000000  0x0000000083000000 100   O    TAMS 0x0000000083000000  0x0000000082f00000  Untracked _x000D_
   28 0x0000000083000000  0x0000000083100000  0x0000000083100000 100   O    TAMS 0x0000000083100000  0x0000000083000000  Untracked _x000D_
   29 0x0000000083100000  0x0000000083200000  0x0000000083200000 100   O    TAMS 0x0000000083100000  0x0000000083100000  Untracked _x000D_
   30 0x0000000083200000  0x0000000083300000  0x0000000083300000 100   O    TAMS 0x0000000083200000  0x0000000083200000  Untracked _x000D_
   31 0x0000000083300000  0x00000000833f4200  0x0000000083400000  95   O    TAMS 0x0000000083300000  0x0000000083300000  Untracked _x000D_
   32 0x0000000083400000  0x0000000083400000  0x0000000083500000   0   F    TAMS 0x0000000083400000  0x0000000083400000  Untracked _x000D_
   33 0x0000000083500000  0x0000000083500000  0x0000000083600000   0   F    TAMS 0x0000000083500000  0x0000000083500000  Untracked _x000D_
   34 0x0000000083600000  0x0000000083600000  0x0000000083700000   0   F    TAMS 0x0000000083600000  0x0000000083600000  Untracked _x000D_
   35 0x0000000083700000  0x0000000083700000  0x0000000083800000   0   F    TAMS 0x0000000083700000  0x0000000083700000  Untracked _x000D_
   36 0x0000000083800000  0x0000000083800000  0x0000000083900000   0   F    TAMS 0x0000000083800000  0x0000000083800000  Untracked _x000D_
   37 0x0000000083900000  0x0000000083900000  0x0000000083a00000   0   F    TAMS 0x0000000083900000  0x0000000083900000  Untracked _x000D_
   38 0x0000000083a00000  0x0000000083a00000  0x0000000083b00000   0   F    TAMS 0x0000000083a00000  0x0000000083a00000  Untracked _x000D_
   39 0x0000000083b00000  0x0000000083b00000  0x0000000083c00000   0   F    TAMS 0x0000000083b00000  0x0000000083b00000  Untracked _x000D_
   40 0x0000000083c00000  0x0000000083c00000  0x0000000083d00000   0   F    TAMS 0x0000000083c00000  0x0000000083c00000  Untracked _x000D_
   41 0x0000000083d00000  0x0000000083d00000  0x0000000083e00000   0   F    TAMS 0x0000000083d00000  0x0000000083d00000  Untracked _x000D_
   42 0x0000000083e00000  0x0000000083e00000  0x0000000083f00000   0   F    TAMS 0x0000000083e00000  0x0000000083e00000  Untracked _x000D_
   43 0x0000000083f00000  0x0000000083f00000  0x0000000084000000   0   F    TAMS 0x0000000083f00000  0x0000000083f00000  Untracked _x000D_
   44 0x0000000084000000  0x0000000084000000  0x0000000084100000   0   F    TAMS 0x0000000084000000  0x0000000084000000  Untracked _x000D_
   45 0x0000000084100000  0x0000000084200000  0x0000000084200000 100   S CS TAMS 0x0000000084100000  0x0000000084100000  Complete _x000D_
   46 0x0000000084200000  0x0000000084300000  0x0000000084300000 100   S CS TAMS 0x0000000084200000  0x0000000084200000  Complete _x000D_
   47 0x0000000084300000  0x0000000084400000  0x0000000084400000 100   S CS TAMS 0x0000000084300000  0x0000000084300000  Complete _x000D_
   48 0x0000000084400000  0x0000000084400000  0x0000000084500000   0   F    TAMS 0x0000000084400000  0x0000000084400000  Untracked _x000D_
   49 0x0000000084500000  0x0000000084500000  0x0000000084600000   0   F    TAMS 0x0000000084500000  0x0000000084500000  Untracked _x000D_
   50 0x0000000084600000  0x0000000084600000  0x0000000084700000   0   F    TAMS 0x0000000084600000  0x0000000084600000  Untracked _x000D_
   51 0x0000000084700000  0x0000000084700000  0x0000000084800000   0   F    TAMS 0x0000000084700000  0x0000000084700000  Untracked _x000D_
   52 0x0000000084800000  0x0000000084800000  0x0000000084900000   0   F    TAMS 0x0000000084800000  0x0000000084800000  Untracked _x000D_
   53 0x0000000084900000  0x0000000084912a18  0x0000000084a00000   7   E    TAMS 0x0000000084900000  0x0000000084900000  Complete _x000D_
   54 0x0000000084a00000  0x0000000084b00000  0x0000000084b00000 100   E CS TAMS 0x0000000084a00000  0x0000000084a00000  Complete _x000D_
   55 0x0000000084b00000  0x0000000084c00000  0x0000000084c00000 100   E CS TAMS 0x0000000084b00000  0x0000000084b00000  Complete _x000D_
   56 0x0000000084c00000  0x0000000084d00000  0x0000000084d00000 100   E CS TAMS 0x0000000084c00000  0x0000000084c00000  Complete _x000D_
   57 0x0000000084d00000  0x0000000084e00000  0x0000000084e00000 100   E CS TAMS 0x0000000084d00000  0x0000000084d00000  Complete _x000D_
   58 0x0000000084e00000  0x0000000084f00000  0x0000000084f00000 100   E CS TAMS 0x0000000084e00000  0x0000000084e00000  Complete _x000D_
   59 0x0000000084f00000  0x0000000085000000  0x0000000085000000 100   E CS TAMS 0x0000000084f00000  0x0000000084f00000  Complete _x000D_
   88 0x0000000086c00000  0x0000000086d00000  0x0000000086d00000 100   E CS TAMS 0x0000000086c00000  0x0000000086c00000  Complete _x000D_
   89 0x0000000086d00000  0x0000000086e00000  0x0000000086e00000 100   E CS TAMS 0x0000000086d00000  0x0000000086d00000  Complete _x000D_
   90 0x0000000086e00000  0x0000000086f00000  0x0000000086f00000 100   E CS TAMS 0x0000000086e00000  0x0000000086e00000  Complete _x000D_
   91 0x0000000086f00000  0x0000000087000000  0x0000000087000000 100   E CS TAMS 0x0000000086f00000  0x0000000086f00000  Complete _x000D_
  127 0x0000000089300000  0x0000000089400000  0x0000000089400000 100   E CS TAMS 0x0000000089300000  0x0000000089300000  Complete _x000D_
_x000D_
Card table byte map:  0x0000025f71350000 0x0000025f71750000   byte map base: 0x0000025f70f46000_x000D_
_x000D_
Marking Bits (Prev  Next): (CMBitMap ) 0x0000025f5950e548  (CMBitMap ) 0x0000025f5950e508_x000D_
 Prev Bits:  0x0000025f73b00000  0x0000025f75ab0000)_x000D_
 Next Bits:  0x0000025f71b50000  0x0000025f73b00000)_x000D_
_x000D_
Polling page: 0x0000025f57460000_x000D_
_x000D_
Metaspace:_x000D_
_x000D_
Usage:_x000D_
  Non class:     29 99 MB capacity     29 06 MB ( 97 ) used    756 84 KB (  2 ) free waste    194 13 KB (  1 ) overhead  _x000D_
      Class:      5 86 MB capacity      4 98 MB ( 85 ) used    772 66 KB ( 13 ) free waste    125 00 KB (  2 ) overhead  _x000D_
       Both:     35 85 MB capacity     34 04 MB ( 95 ) used      1 49 MB (  4 ) free waste    319 13 KB (  1 ) overhead  _x000D_
_x000D_
Virtual space:_x000D_
  Non class space:       30 00 MB reserved       30 00 MB ( 99 ) committed _x000D_
      Class space:        1 00 GB reserved        5 88 MB (  1 ) committed _x000D_
             Both:        1 03 GB reserved       35 87 MB (  3 ) committed _x000D_
_x000D_
Chunk freelists:_x000D_
   Non Class:  4 00 KB_x000D_
       Class:  0 bytes_x000D_
        Both:  4 00 KB_x000D_
_x000D_
MaxMetaspaceSize: 17179869184 00 GB_x000D_
CompressedClassSpaceSize: 1 00 GB_x000D_
_x000D_
CodeHeap  non profiled nmethods : size 120000Kb used 2296Kb max used 2381Kb free 117703Kb_x000D_
 bounds  0x0000025f69a20000  0x0000025f69c90000  0x0000025f70f50000 _x000D_
CodeHeap  profiled nmethods : size 120000Kb used 8157Kb max used 8261Kb free 111842Kb_x000D_
 bounds  0x0000025f624f0000  0x0000025f62d10000  0x0000025f69a20000 _x000D_
CodeHeap  non nmethods : size 5760Kb used 1423Kb max used 1474Kb free 4336Kb_x000D_
 bounds  0x0000025f61f50000  0x0000025f621c0000  0x0000025f624f0000 _x000D_
 total blobs 4314 nmethods 3565 adapters 661_x000D_
 compilation: enabled_x000D_
              stopped count 0  restarted count 0_x000D_
 full count 0_x000D_
_x000D_
Compilation events (20 events):_x000D_
Event: 11 711 Thread 0x0000025f77f9f800 nmethod 4104 0x0000025f62879110 code  0x0000025f62879340  0x0000025f62879d28 _x000D_
Event: 11 711 Thread 0x0000025f77f9f800 4105       3       java io StringReader::ensureOpen (18 bytes)_x000D_
Event: 11 711 Thread 0x0000025f77f9f800 nmethod 4105 0x0000025f62878c90 code  0x0000025f62878e40  0x0000025f62879068 _x000D_
Event: 11 749 Thread 0x0000025f77f94800 nmethod 4084 0x0000025f69b64c10 code  0x0000025f69b651a0  0x0000025f69b67218 _x000D_
Event: 11 750 Thread 0x0000025f77f94800 4083       4       arc graphics Mesh::getVerticesBuffer (10 bytes)_x000D_
Event: 11 751 Thread 0x0000025f77f94800 nmethod 4083 0x0000025f69b64910 code  0x0000025f69b64aa0  0x0000025f69b64b78 _x000D_
Event: 11 751 Thread 0x0000025f77f94800 4085       4       arc graphics gl IndexBufferObject::size (19 bytes)_x000D_
Event: 11 752 Thread 0x0000025f77f94800 nmethod 4085 0x0000025f69b64610 code  0x0000025f69b647a0  0x0000025f69b64858 _x000D_
Event: 11 752 Thread 0x0000025f77f94800 4087       4       mindustry world blocks environment AirBlock::drawBase (1 bytes)_x000D_
Event: 11 752 Thread 0x0000025f77f94800 nmethod 4087 0x0000025f69b64310 code  0x0000025f69b64480  0x0000025f69b644f8 _x000D_
Event: 11 752 Thread 0x0000025f77f94800 4088       4       arc graphics g2d CacheBatch::draw (23 bytes)_x000D_
Event: 11 754 Thread 0x0000025f77f94800 nmethod 4088 0x0000025f69b63f10 code  0x0000025f69b640c0  0x0000025f69b641c8 _x000D_
Event: 11 754 Thread 0x0000025f77f94800 4089       4       arc graphics g2d SpriteCache::add (674 bytes)_x000D_
Event: 11 782 Thread 0x0000025f77f94800 nmethod 4089 0x0000025f69b62690 code  0x0000025f69b62a60  0x0000025f69b635b8 _x000D_
Event: 11 782 Thread 0x0000025f77f94800 4063       4       arc struct IntSeq:: init  (17 bytes)_x000D_
Event: 11 786 Thread 0x0000025f77f94800 nmethod 4063 0x0000025f69b62210 code  0x0000025f69b623a0  0x0000025f69b625b8 _x000D_
Event: 11 786 Thread 0x0000025f77f94800 4102       4       java io InputStream:: init  (5 bytes)_x000D_
Event: 11 788 Thread 0x0000025f77f94800 nmethod 4102 0x0000025f69b61f10 code  0x0000025f69b62080  0x0000025f69b62138 _x000D_
Event: 11 788 Thread 0x0000025f77f94800 4090       4       arc graphics g2d SpriteCache::add (206 bytes)_x000D_
Event: 11 818 Thread 0x0000025f77f94800 nmethod 4090 0x0000025f69b60610 code  0x0000025f69b609c0  0x0000025f69b61518 _x000D_
_x000D_
GC Heap History (16 events):_x000D_
Event: 1 010 GC heap before_x000D_
 Heap before GC invocations 0 (full 0):_x000D_
 garbage first heap   total 131072K  used 12288K  0x0000000081400000  0x0000000100000000)_x000D_
  region size 1024K  13 young (13312K)  0 survivors (0K)_x000D_
 Metaspace       used 6030K  capacity 8218K  committed 8448K  reserved 1056768K_x000D_
  class space    used 627K  capacity 914K  committed 1024K  reserved 1048576K_x000D_
 _x000D_
Event: 1 015 GC heap after_x000D_
 Heap after GC invocations 1 (full 0):_x000D_
 garbage first heap   total 131072K  used 2591K  0x0000000081400000  0x0000000100000000)_x000D_
  region size 1024K  2 young (2048K)  2 survivors (2048K)_x000D_
 Metaspace       used 6030K  capacity 8218K  committed 8448K  reserved 1056768K_x000D_
  class space    used 627K  capacity 914K  committed 1024K  reserved 1048576K_x000D_
 _x000D_
Event: 1 877 GC heap before_x000D_
 Heap before GC invocations 1 (full 0):_x000D_
 garbage first heap   total 131072K  used 17951K  0x0000000081400000  0x0000000100000000)_x000D_
  region size 1024K  17 young (17408K)  2 survivors (2048K)_x000D_
 Metaspace       used 11588K  capacity 13079K  committed 13184K  reserved 1060864K_x000D_
  class space    used 1026K  capacity 1346K  committed 1408K  reserved 1048576K_x000D_
 _x000D_
Event: 1 889 GC heap after_x000D_
 Heap after GC invocations 2 (full 0):_x000D_
 garbage first heap   total 131072K  used 8935K  0x0000000081400000  0x0000000100000000)_x000D_
  region size 1024K  3 young (3072K)  3 survivors (3072K)_x000D_
 Metaspace       used 11588K  capacity 13079K  committed 13184K  reserved 1060864K_x000D_
  class space    used 1026K  capacity 1346K  committed 1408K  reserved 1048576K_x000D_
 _x000D_
Event: 5 768 GC heap before_x000D_
 Heap before GC invocations 2 (full 0):_x000D_
 garbage first heap   total 131072K  used 45799K  0x0000000081400000  0x0000000100000000)_x000D_
  region size 1024K  36 young (36864K)  3 survivors (3072K)_x000D_
 Metaspace       used 19686K  capacity 21247K  committed 21296K  reserved 1067008K_x000D_
  class space    used 3033K  capacity 3581K  committed 3584K  reserved 1048576K_x000D_
 _x000D_
Event: 5 783 GC heap after_x000D_
 Heap after GC invocations 3 (full 0):_x000D_
 garbage first heap   total 131072K  used 12552K  0x0000000081400000  0x0000000100000000)_x000D_
  region size 1024K  4 young (4096K)  4 survivors (4096K)_x000D_
 Metaspace       used 19686K  capacity 21247K  committed 21296K  reserved 1067008K_x000D_
  class space    used 3033K  capacity 3581K  committed 3584K  reserved 1048576K_x000D_
 _x000D_
Event: 8 559 GC heap before_x000D_
 Heap before GC invocations 4 (full 0):_x000D_
 garbage first heap   total 48128K  used 47368K  0x0000000081400000  0x0000000100000000)_x000D_
  region size 1024K  31 young (31744K)  4 survivors (4096K)_x000D_
 Metaspace       used 21998K  capacity 23575K  committed 23676K  reserved 1069056K_x000D_
  class space    used 3494K  capacity 4147K  committed 4224K  reserved 1048576K_x000D_
 _x000D_
Event: 8 580 GC heap after_x000D_
 Heap after GC invocations 5 (full 0):_x000D_
 garbage first heap   total 55296K  used 16322K  0x0000000081400000  0x0000000100000000)_x000D_
  region size 1024K  7 young (7168K)  7 survivors (7168K)_x000D_
 Metaspace       used 21998K  capacity 23575K  committed 23676K  reserved 1069056K_x000D_
  class space    used 3494K  capacity 4147K  committed 4224K  reserved 1048576K_x000D_
 _x000D_
Event: 9 337 GC heap before_x000D_
 Heap before GC invocations 6 (full 0):_x000D_
 garbage first heap   total 55296K  used 36802K  0x0000000081400000  0x0000000100000000)_x000D_
  region size 1024K  28 young (28672K)  7 survivors (7168K)_x000D_
 Metaspace       used 25407K  capacity 26817K  committed 27132K  reserved 1071104K_x000D_
  class space    used 3826K  capacity 4533K  committed 4608K  reserved 1048576K_x000D_
 _x000D_
Event: 9 379 GC heap after_x000D_
 Heap after GC invocations 7 (full 0):_x000D_
 garbage first heap   total 55296K  used 25223K  0x0000000081400000  0x0000000100000000)_x000D_
  region size 1024K  4 young (4096K)  4 survivors (4096K)_x000D_
 Metaspace       used 25407K  capacity 26817K  committed 27132K  reserved 1071104K_x000D_
  class space    used 3826K  capacity 4533K  committed 4608K  reserved 1048576K_x000D_
 _x000D_
Event: 10 086 GC heap before_x000D_
 Heap before GC invocations 7 (full 0):_x000D_
 garbage first heap   total 55296K  used 34439K  0x0000000081400000  0x0000000100000000)_x000D_
  region size 1024K  14 young (14336K)  4 survivors (4096K)_x000D_
 Metaspace       used 25551K  capacity 26966K  committed 27132K  reserved 1071104K_x000D_
  class space    used 3837K  capacity 4541K  committed 4608K  reserved 1048576K_x000D_
 _x000D_
Event: 10 106 GC heap after_x000D_
 Heap after GC invocations 8 (full 0):_x000D_
 garbage first heap   total 55296K  used 27497K  0x0000000081400000  0x0000000100000000)_x000D_
  region size 1024K  2 young (2048K)  2 survivors (2048K)_x000D_
 Metaspace       used 25551K  capacity 26966K  committed 27132K  reserved 1071104K_x000D_
  class space    used 3837K  capacity 4541K  committed 4608K  reserved 1048576K_x000D_
 _x000D_
Event: 10 627 GC heap before_x000D_
 Heap before GC invocations 8 (full 0):_x000D_
 garbage first heap   total 55296K  used 36713K  0x0000000081400000  0x0000000100000000)_x000D_
  region size 1024K  12 young (12288K)  2 survivors (2048K)_x000D_
 Metaspace       used 29003K  capacity 30365K  committed 30588K  reserved 1075200K_x000D_
  class space    used 4267K  capacity 4962K  committed 4992K  reserved 1048576K_x000D_
 _x000D_
Event: 10 636 GC heap after_x000D_
 Heap after GC invocations 9 (full 0):_x000D_
 garbage first heap   total 66560K  used 29875K  0x0000000081400000  0x0000000100000000)_x000D_
  region size 1024K  2 young (2048K)  2 survivors (2048K)_x000D_
 Metaspace       used 29003K  capacity 30365K  committed 30588K  reserved 1075200K_x000D_
  class space    used 4267K  capacity 4962K  committed 4992K  reserved 1048576K_x000D_
 _x000D_
Event: 11 267 GC heap before_x000D_
 Heap before GC invocations 10 (full 0):_x000D_
 garbage first heap   total 66560K  used 47283K  0x0000000081400000  0x0000000100000000)_x000D_
  region size 1024K  19 young (19456K)  2 survivors (2048K)_x000D_
 Metaspace       used 33087K  capacity 34669K  committed 34812K  reserved 1079296K_x000D_
  class space    used 4787K  capacity 5565K  committed 5632K  reserved 1048576K_x000D_
 _x000D_
Event: 11 284 GC heap after_x000D_
 Heap after GC invocations 11 (full 0):_x000D_
 garbage first heap   total 66560K  used 35731K  0x0000000081400000  0x0000000100000000)_x000D_
  region size 1024K  3 young (3072K)  3 survivors (3072K)_x000D_
 Metaspace       used 33087K  capacity 34669K  committed 34812K  reserved 1079296K_x000D_
  class space    used 4787K  capacity 5565K  committed 5632K  reserved 1048576K_x000D_
 _x000D_
_x000D_
Deoptimization events (20 events):_x000D_
Event: 11 520 Thread 0x0000025f594c7000 DEOPT PACKING pc 0x0000025f69b3fed0 sp 0x000000b1712fec70_x000D_
Event: 11 520 Thread 0x0000025f594c7000 DEOPT UNPACKING pc 0x0000025f61f9912f sp 0x000000b1712fec08 mode 2_x000D_
Event: 11 533 Thread 0x0000025f594c7000 DEOPT PACKING pc 0x0000025f6283eaf3 sp 0x000000b1712fec30_x000D_
Event: 11 533 Thread 0x0000025f594c7000 DEOPT UNPACKING pc 0x0000025f61f9964e sp 0x000000b1712fe180 mode 0_x000D_
Event: 11 676 Thread 0x0000025f594c7000 Uncommon trap: trap request 0xffffffde fr pc 0x0000025f69aedc28 relative 0x0000000000002548_x000D_
Event: 11 676 Thread 0x0000025f594c7000 Uncommon trap: reason class check action maybe recompile pc</t>
  </si>
  <si>
    <t>mtotschnig-MyExpenses-836</t>
  </si>
  <si>
    <t>Account widget: Broken handling of hidden and deleted accounts</t>
  </si>
  <si>
    <t xml:space="preserve">Currently hidden accounts can be selected in the account configuration for single account display  but then leads to crash  Also deleting an account that is shown in a widget  leads to crash _x000D_
_x000D_
  Hidden  accounts should not be selectable_x000D_
  When a widget is configured for account  that later is deleted  the widget should show a warning  When it is later hidden  we continue showing it </t>
  </si>
  <si>
    <t>TeamNewPipe-NewPipe-6419</t>
  </si>
  <si>
    <t>Playback tempo isn't reflected in background play without scrubbing or pausing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</si>
  <si>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YouTube video  I specifically tested this with a few random videos from the trending page _x000D_
2  Play the video with only background audio _x000D_
3  While the video is playing  change the tempo in the playback speed controls option on the top right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new tempo is not reflected in the playback speed control display from the playback queue unless you scrub around the video s audio or pause _x000D_
_x000D_
_x000D_
    Expected behavior_x000D_
     Tell us what you expect to happen     _x000D_
The updated playback speed should be reflected immediately after changing the playback speed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NewPipe Playback speed bug (https:  user images githubusercontent com 11176259 120593611 be39a580 c40d 11eb 831a 8ffdad33fbc8 png)_x000D_
_x000D_
In the screenshot  the video is playing at about 2x speed  However  the playback speed in the top right still says 0 61x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  specifically (RQ2A 210505 002)_x000D_
   Device model: Google Pixel 4_x000D_
</t>
  </si>
  <si>
    <t>TeamNewPipe-NewPipe-6418</t>
  </si>
  <si>
    <t>Many Bandcamp playlists not visible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</si>
  <si>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3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Bandcamp
2  Press on any channel artist
3  Check for albums playlists visible in their actual Bandcamp vs Playlists visible in Newpipe 
     If you can t cause the bug to show up again reliably (and hence don t have a proper set of steps to give us)  please still try to give as many details as possible on how you think you encountered the bug     
    Actual behaviour
     Tell us what happens with the steps given above     
Many playlists do not show up  even though the artists have many more playlists in their Bandcamp
    Expected behavior
     Tell us what you expect to happen     
All playlists should be visible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Screenshot 20210531 145206 NewPipe png (https:  user images githubusercontent com 75839799 120593240 cf5dd300 c45c 11eb 87e4 929bb3c1c7c0 png)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Android 11
   Device model: Samsung Galaxy M21
</t>
  </si>
  <si>
    <t>TeamNewPipe-NewPipe-6417</t>
  </si>
  <si>
    <t>[Bandcamp] when trying to seek with seekbar, track restarts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</si>
  <si>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Bandcamp in Newpipe _x000D_
2  Press on  any track _x000D_
3  Press play_x000D_
4  Slider bar cannot be moved and if we try to move forward or backward into a song it restarts at 00:00  Also  the total time duration of the song shows up as 00:00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Restarts the song when slider is moved _x000D_
_x000D_
_x000D_
    Expected behavior_x000D_
     Tell us what you expect to happen     _x000D_
_x000D_
Expected to move forward and backward into the song when the slider bar is moved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Screenshot 20210603 100528 NewPipe png (https:  user images githubusercontent com 75839799 120588240 8013a480 c454 11eb 92f4 1867b966494f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Samsung Galaxy M21_x000D_
</t>
  </si>
  <si>
    <t>TeamNewPipe-NewPipe-6416</t>
  </si>
  <si>
    <t>Slider Bar Bandcamp Bug (Issue opened by accident pls del)</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</si>
  <si>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Actual behaviour
     Tell us what happens with the steps given above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Device model:
</t>
  </si>
  <si>
    <t>Anuken-Mindustry-5331</t>
  </si>
  <si>
    <t>Bug with calling</t>
  </si>
  <si>
    <t xml:space="preserve">  Platform  :  Android iOS Mac Windows Linux _x000D_
Android _x000D_
_x000D_
  Build  :  The build number under the title in the main menu  Required   LATEST  IS NOT A VERSION  I NEED THE EXACT BUILD NUMBER OF YOUR GAME  _x000D_
126 2_x000D_
_x000D_
  Issue  :  Explain your issue in detail  _x000D_
When you are playing and on a phone call  when you or your friend hangs up  the audio completely cuts_x000D_
_x000D_
  Steps to reproduce  :  How you happened across the issue  and what exactly you did to make the bug happen  _x000D_
Open game  call a friend  hang up while game is open  glitch happens_x000D_
_x000D_
  Link(s) to mod(s) used  :  The mod repositories or zip files that are related to the issue  if applicable  _x000D_
DeltaNedas BoostControl_x000D_
VladTheEvilCat ExtendedZoom_x000D_
DeltaNedas PicToLogic_x000D_
DeltaNedas UILib_x000D_
DeltaNedas WAISA_x000D_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</si>
  <si>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MuntashirAkon-AppManager-466</t>
  </si>
  <si>
    <t>AM Does Not Open</t>
  </si>
  <si>
    <t xml:space="preserve">   x  I know what my device  OS and App Manager versions are
      I know how to take logs
   x  I know how to reproduce the issue which may not be specific to my device
  Describe the bug  
The app does not open  it just keeps asking for the keystore password (I have no password  so I just click on the notification and i press ok) 
  To Reproduce  
Steps to reproduce the behaviour:
1  Open the app
2  Open the keystore notification and press Ok 
3  See error
  Expected behavior  
The app should just open normally as in v2 6 0 
  Screenshots  
If applicable  add screenshots to help explain your problem 
  Crash logs  
If applicable  add crash logs to help us figure out the problem 
  Device info  
   Device: Redmi Note 4
   OS Version: MIUI 11 (Android 7 0)
   App Manager Version: v2 6 1 Stable  (v2 7 0 DEBUG 1319)
   Mode: no root
  Additional context  
Add any other context about the problem here 
   </t>
  </si>
  <si>
    <t>Anuken-Mindustry-5330</t>
  </si>
  <si>
    <t>Changing sectors in a co-op campain while sending a message fails to let the new sector load</t>
  </si>
  <si>
    <t xml:space="preserve">  Platform  : Mac_x000D_
_x000D_
  Build  : 126 2_x000D_
_x000D_
  Issue  : I play a co op campain with my friend  who will be referred to as friend  When my friend changes sectors while i am typing a message  whenever i press  enter  to send it  it fails to send world data and throws me to main menu  Fair enough why it s happening  i am simply requesting that it be fixed(send the message once the new sector is loaded) or there is a better error message(Sorry  we can t sent messages while switching sectors)_x000D_
_x000D_
  Steps to reproduce  : Join a co op campaign  have the host change sectors  have the other person type a message  when you press enter it fails_x000D_
_x000D_
  Link(s) to mod(s) used  : None _x000D_
_x000D_
  Save file  : https:  www mediafire com file ogwm2mejcid523f mindustryExport1 zip file_x000D_
 I think this is it  if it s something else pLEASE let me know _x000D_
_x000D_
If you remove the line above without reading it properly and understanding what it means  I will reap your soul  Even if you re playing on someone s server  you can still save the game to a slot _x000D_
_x000D_
  (Crash) logs  : Does not crash  simply goes to main menu _x000D_
_x000D_
   _x000D_
_x000D_
 Place an X (no spaces) between the brackets to confirm that you have read the line below    _x000D_
    (i have not done)     I have updated to the latest release (https:  github com Anuken Mindustry releases) to make sure my issue has not been fixed   _x000D_
    X  i searched  not gonna go through all 2000      I have searched the closed and open issues to make sure that this problem has not already been reported   _x000D_
</t>
  </si>
  <si>
    <t>cgeo-cgeo-10820</t>
  </si>
  <si>
    <t>Sporadic database loss (single user)</t>
  </si>
  <si>
    <t xml:space="preserve">     Fill in the following form by adding your text below the explanation comments     _x000D_
     You can use the preview tab above to review your issue before submitting it     _x000D_
_x000D_
   Bug description _x000D_
     Enter a summarized description of what the bug problem is  that you found    _x000D_
A user on support mail has the problem  that all saved caches vanish every few days  I asked the user to send an extended log file as soon it happens again  This was now the case _x000D_
_x000D_
   Reproduce _x000D_
    Steps to reproduce the problem_x000D_
     Describe step by step how to reproduce the problem    _x000D_
  User works normal with c:geo  stores caches  etc _x000D_
_x000D_
    Actual result after these steps _x000D_
     Describe the actual issue problem behavior in detail  which happens after the steps above    _x000D_
  Next days the user starts c:geo again and the stored list is empty_x000D_
_x000D_
_x000D_
    Expected result after these steps _x000D_
     Describe what you expected to happen instead (correct behavior)    _x000D_
  No data loss_x000D_
_x000D_
   c:geo version _x000D_
     You will find the c:geo version in c:geo Menu    About c:geo    _x000D_
2021 05 20_x000D_
_x000D_
   Reproducible _x000D_
     Yes   No (or describe under what conditions)    _x000D_
The trigger or root cause is unknown but happens every few days or weeks for this user_x000D_
_x000D_
   System information _x000D_
     Attach system information here if available (see c:geo Menu    About c:geo    Swipe right to System)    _x000D_
     Keep the apostrophe at beginning and end to have it properly formatted    _x000D_
_x000D_
_x000D_
   _x000D_
   System information    _x000D_
c:geo version: 2021 05 20_x000D_
_x000D_
Device:_x000D_
       _x000D_
  Device type: moto g(7) power (ocean reteu  motorola)_x000D_
  Available processors: 8_x000D_
  Android version: 10_x000D_
  Android build: QPOS30 52 29 7 6_x000D_
  Sailfish OS detected: false_x000D_
  Google Play services: enabled   21 18 16 (120406 374723149)_x000D_
  HW acceleration: enabled (default state)_x000D_
_x000D_
Sensor and location:_x000D_
       _x000D_
  Low power mode: inactive_x000D_
  Compass capabilities: no_x000D_
  Rotation vector sensor: absent_x000D_
  Orientation sensor: absent_x000D_
  Magnetometer   Accelerometer sensor: absent_x000D_
  Direction sensor used: magnetometer   accelerometer_x000D_
_x000D_
Program settings:_x000D_
       _x000D_
  Hide caches:  _x000D_
  Hide waypoints:  _x000D_
  Set language: en GB (system default)_x000D_
  System date format: dd MM y_x000D_
  Debug mode active: no_x000D_
  Live map mode: true_x000D_
  OSM multi threading: false   threads: 1_x000D_
  Global filter: display all caches_x000D_
  Last backup: never_x000D_
  Routing mode: Walk_x000D_
 Settings: v5  Count:118_x000D_
  Map: Great britain (Offline)_x000D_
    Id: cgeo geocaching maps mapsforge MapsforgeMapProvider OfflineMapSource:0430 1F1F:maps great britain map_x000D_
    Atts: Map data (c) OpenStreetMap contributors_x000D_
    Theme: none_x000D_
_x000D_
Services:_x000D_
       _x000D_
  Geocaching sites enabled:_x000D_
   geocaching com: Logged in (Login OK)   BASIC_x000D_
   Geocaching com Adventure Lab_x000D_
  Geocaching com date format: M d yyyy_x000D_
  Routing: external   BRouter installed: false_x000D_
  Installed c:geo plugins:  none_x000D_
_x000D_
Permissions   paths:_x000D_
       _x000D_
  Fine location permission: granted_x000D_
  Write external storage permission: granted_x000D_
  System internal c:geo dir:  data user 0 cgeo geocaching (8 7 GB free) v2 internal isDir(5 entries)_x000D_
  Legacy User storage c:geo dir:  storage emulated 0 cgeo (8 7 GB free) v2 external non removable isDir(0 entries)_x000D_
  Geocache data:  storage 0430 1F1F Android data cgeo geocaching files GeocacheData (12 6 GB free) v2 external removable isDir(1543 entries)_x000D_
  Internal theme sync (is turned off):  data user 0 cgeo geocaching MapThemeData (8 7 GB free) v2 internal isDir(0 entries)_x000D_
  Public Folders:  11_x000D_
    BASE: SanDisk SD card (User Defined) SanDisk SD card DOCUMENT 0:p content:  com android externalstorage documents tree 0430 1F1F 3A::   (Uri: content:  com android externalstorage documents tree 0430 1F1F 3A document 0430 1F1F 3A  Av:true  files:  0  dirs:  12  totalFileSize:  0 B  free space: 12 6 GB  files on device: 0)_x000D_
    OFFLINE MAPS: SanDisk SD card maps (Default) SanDisk SD card maps PERSISTABLE FOLDER(BASE) 1:p content:  com android externalstorage documents tree 0430 1F1F 3A:: maps   (Uri: content:  com android externalstorage documents tree 0430 1F1F 3A document 0430 1F1F 3Amaps  Av:true  files:2  dirs:1  totalFileSize:962 1 MB  free space: 12 6 GB  files on device: 0)_x000D_
    OFFLINE MAP THEMES: SanDisk SD card maps  themes (Default) SanDisk SD card maps  themes PERSISTABLE FOLDER(OFFLINE MAPS) 1:p content:  com android externalstorage documents tree 0430 1F1F 3A:: maps  themes   (Uri: content:  com android externalstorage documents tree 0430 1F1F 3A document 0430 1F1F 3Amaps 2F themes  Av:true  files:0  dirs:0  totalFileSize:0 B  free space: 12 6 GB  files on device: 0)_x000D_
    LOGFILES: SanDisk SD card logfiles (Default) SanDisk SD card logfiles PERSISTABLE FOLDER(BASE) 1:p content:  com android externalstorage documents tree 0430 1F1F 3A:: logfiles   (Uri: content:  com android externalstorage documents tree 0430 1F1F 3A document 0430 1F1F 3Alogfiles  Av:true  files:0  dirs:0  totalFileSize:0 B  free space: 12 6 GB  files on device: 0)_x000D_
    GPX: SanDisk SD card gpx (User Defined) SanDisk SD card gpx DOCUMENT 0:p content:  com android externalstorage documents tree 0430 1F1F 3Agpx::   (Uri: content:  com android externalstorage documents tree 0430 1F1F 3Agpx document 0430 1F1F 3Agpx  Av:false  files:0  dirs:0  totalFileSize:0 B  free space:  1 B  files on device:  1)_x000D_
    BACKUP: SanDisk SD card backup (Default) SanDisk SD card backup PERSISTABLE FOLDER(BASE) 1:p content:  com android externalstorage documents tree 0430 1F1F 3A:: backup   (Uri: content:  com android externalstorage documents tree 0430 1F1F 3A document 0430 1F1F 3Abackup  Av:true  files:0  dirs:0  totalFileSize:0 B  free space: 12 6 GB  files on device: 0)_x000D_
    FIELD NOTES: SanDisk SD card field notes (Default) SanDisk SD card field notes PERSISTABLE FOLDER(BASE) 1:p content:  com android externalstorage documents tree 0430 1F1F 3A:: field notes   (Uri: content:  com android externalstorage documents tree 0430 1F1F 3A document 0430 1F1F 3Afield notes  Av:true  files:0  dirs:0  totalFileSize:0 B  free space: 12 6 GB  files on device: 0)_x000D_
    SPOILER IMAGES: SanDisk SD card GeocachePhotos (Default) SanDisk SD card GeocachePhotos PERSISTABLE FOLDER(BASE) 1:p content:  com android externalstorage documents tree 0430 1F1F 3A:: GeocachePhotos   (Uri: content:  com android externalstorage documents tree 0430 1F1F 3A document 0430 1F1F 3AGeocachePhotos  Av:true  files:0  dirs:0  totalFileSize:0 B  free space: 12 6 GB  files on device: 0)_x000D_
    ROUTING BASE: SanDisk SD card routing (Default) SanDisk SD card routing PERSISTABLE FOLDER(BASE) 1:p content:  com android externalstorage documents tree 0430 1F1F 3A:: routing   (Uri: content:  com android externalstorage documents tree 0430 1F1F 3A document 0430 1F1F 3Arouting  Av:true  files:7  dirs:1  totalFileSize:81 2 KB  free space: 12 6 GB  files on device: 0)_x000D_
    ROUTING TILES: SanDisk SD card routing segments4 (Default) SanDisk SD card routing segments4 PERSISTABLE FOLDER(ROUTING BASE) 1:p content:  com android externalstorage documents tree 0430 1F1F 3A:: routing segments4   (Uri: content:  com android externalstorage documents tree 0430 1F1F 3A document 0430 1F1F 3Arouting 2Fsegments4  Av:true  files:0  dirs:0  totalFileSize:0 B  free space: 12 6 GB  files on device: 0)_x000D_
    TEST FOLDER:  Legacy  data user 0 cgeo geocaching files unittest (Default)  data user 0 cgeo geocaching files unittest FILE 1:p file:   data user 0 cgeo geocaching files:: unittest   (Uri: file:   data user 0 cgeo geocaching files unittest  Av:true  files:0  dirs:0  totalFileSize:0 B  free space: 8 7 GB  files on device:  1)_x000D_
  Map render theme path:_x000D_
  PersistedDocumentUris:  1_x000D_
  TRACK: null_x000D_
  Persisted Uri Permissions:  1_x000D_
    content:  com android externalstorage documents tree 0430 1F1F 3A (22 May  19:29):RW_x000D_
  Database:  storage emulated 0 Android data cgeo geocaching files databases data (v94  Size:184 0 KB) on user storage_x000D_
    End of system information    _x000D_
   _x000D_
_x000D_
   Additional context _x000D_
     (optional  remove if not applicable) log files  reference to other similar issues  projects  sources  etc     _x000D_
Relevant log file content (whole file available on request):_x000D_
   _x000D_
          beginning of crash_x000D_
05 23 17:34:03 681 22120 22120 E AndroidRuntime: FATAL EXCEPTION: main_x000D_
05 23 17:34:03 681 22120 22120 E AndroidRuntime: Process: cgeo geocaching  PID: 22120_x000D_
05 23 17:34:03 681 22120 22120 E AndroidRuntime: java lang IllegalStateException: attempt to re open an already closed object: SQLiteDatabase:  storage emulated 0 Android data cgeo geocaching files databases data_x000D_
05 23 17:34:03 681 22120 22120 E AndroidRuntime: 	at android database sqlite SQLiteClosable acquireReference(SQLiteClosable java:57)_x000D_
05 23 17:34:03 681 22120 22120 E AndroidRuntime: 	at android database sqlite SQLiteDatabase queryWithFactory(SQLiteDatabase java:1285)_x000D_
05 23 17:34:03 681 22120 22120 E AndroidRuntime: 	at android database sqlite SQLiteDatabase query(SQLiteDatabase java:1161)_x000D_
05 23 17:34:03 681 22120 22120 E AndroidRuntime: 	at android database sqlite SQLiteDatabase query(SQLiteDatabase java:1367)_x000D_
05 23 17:34:03 681 22120 22120 E AndroidRuntime: 	at cgeo geocaching storage DataStore DBExtension load(DataStore java:578)_x000D_
05 23 17:34:03 681 22120 22120 E AndroidRuntime: 	at cgeo geocaching storage DataStore DBExtension load(DataStore java:572)_x000D_
05 23 17:34:03 681 22120 22120 E AndroidRuntime: 	at cgeo geocaching storage extension FoundNumCounter load(FoundNumCounter java:25)_x000D_
05 23 17:34:03 681 22120 22120 E AndroidRuntime: 	at cgeo geocaching MainActivity UpdateUserInfoHandler 1 fillView(MainActivity java:155)_x000D_
05 23 17:34:03 681 22120 22120 E AndroidRuntime: 	at cgeo geocaching MainActivity UpdateUserInfoHandler 1 getView(MainActivity java:138)_x000D_
05 23 17:34:03 681 22120 22120 E AndroidRuntime: 	at android widget AbsListView obtainView(AbsListView java:2412)_x000D_
05 23 17:34:03 681 22120 22120 E AndroidRuntime: 	at android widget ListView measureHeightOfChildren(ListView java:1421)_x000D_
05 23 17:34:03 681 22120 22120 E AndroidRuntime: 	at android widget ListView onMeasure(ListView java:1327)_x000D_
05 23 17:34:03 681 22120 22120 E AndroidRuntime: 	at android view View measure(View java:24601)_x000D_
05 23 17:34:03 681 22120 22120 E AndroidRuntime: 	at android view ViewGroup measureChildWithMargins(ViewGroup java:6831)_x000D_
05 23 17:34:03 681 22120 22120 E AndroidRuntime: 	at android widget LinearLayout measureChildBeforeLayout(LinearLayout java:1552)_x000D_
05 23 17:34:03 681 22120 22120 E AndroidRuntime: 	at android widget LinearLayout measureVertical(LinearLayout java:842)_x000D_
05 23 17:34:03 681 22120 22120 E AndroidRuntime: 	at android widget LinearLayout onMeasure(LinearLayout java:721)_x000D_
05 23 17:34:03 681 22120 22120 E AndroidRuntime: 	at android view View measure(View java:24601)_x000D_
05 23 17:34:03 681 22120 22120 E AndroidRuntime: 	at android widget RelativeLayout measureChildHorizontal(RelativeLayout java:735)_x000D_
05 23 17:34:03 681 22120 22120 E AndroidRuntime: 	at android widget RelativeLayout onMeasure(RelativeLayout java:481)_x000D_
05 23 17:34:03 681 22120 22120 E AndroidRuntime: 	at android view View measure(View java:24601)_x000D_
05 23 17:34:03 681 22120 22120 E AndroidRuntime: 	at android view ViewGroup measureChildWithMargins(ViewGroup java:6831)_x000D_
05 23 17:34:03 681 22120 22120 E AndroidRuntime: 	at android widget FrameLayout onMeasure(FrameLayout java:194)_x000D_
05 23 17:34:03 681 22120 22120 E AndroidRuntime: 	at androidx appcompat widget ContentFrameLayout onMeasure(ContentFrameLayout java:146)_x000D_
05 23 17:34:03 681 22120 22120 E AndroidRuntime: 	at android view View measure(View java:24601)_x000D_
05 23 17:34:03 681 22120 22120 E AndroidRuntime: 	at android view ViewGroup measureChildWithMargins(ViewGroup java:6831)_x000D_
05 23 17:34:03 681 22120 22120 E AndroidRuntime: 	at androidx appcompat widget ActionBarOverlayLayout onMeasure(ActionBarOverlayLayout java:490)_x000D_
05 23 17:34:03 681 22120 22120 E AndroidRuntime: 	at android view View measure(View java:24601)_x000D_
05 23 17:34:03 681 22120 22120 E AndroidRuntime: 	at android view ViewGroup measureChildWithMargins(ViewGroup java:6831)_x000D_
05 23 17:34:03 681 22120 22120 E AndroidRuntime: 	at android widget FrameLayout onMeasure(FrameLayout java:194)_x000D_
05 23 17:34:03 681 22120 22120 E AndroidRuntime: 	at android view View measure(View java:24601)_x000D_
05 23 17:34:03 681 22120 22120 E AndroidRuntime: 	at android view ViewGroup measureChildWithMargins(ViewGroup java:6831)_x000D_
05 23 17:34:03 681 22120 22120 E AndroidRuntime: 	at android widget LinearLayout measureChildBeforeLayout(LinearLayout java:1552)_x000D_
05 23 17:34:03 681 22120 22120 E AndroidRuntime: 	at android widget LinearLayout measureVertical(LinearLayout java:842)_x000D_
05 23 17:34:03 681 22120 22120 E AndroidRuntime: 	at android widget LinearLayout onMeasure(LinearLayout java:721)_x000D_
05 23 17:34:03 681 22120 22120 E AndroidRuntime: 	at android view View measure(View java:24601)_x000D_
05 23 17:34:03 681 22120 22120 E AndroidRuntime: 	at android view ViewGroup measureChildWithMargins(ViewGroup java:6831)_x000D_
05 23 17:34:03 681 22120 22120 E AndroidRuntime: 	at android widget FrameLayout onMeasure(FrameLayout java:194)_x000D_
05 23 17:34:03 681 22120 22120 E AndroidRuntime: 	at com android internal policy DecorView onMeasure(DecorView java:762)_x000D_
05 23 17:34:03 681 22120 22120 E AndroidRuntime: 	at android view View measure(View java:24601)_x000D_
05 23 17:34:03 681 22120 22120 E AndroidRuntime: 	at android view ViewRootImpl performMeasure(ViewRootImpl java:3091)_x000D_
05 23 17:34:03 681 22120 22120 E AndroidRuntime: 	at android view ViewRootImpl measureHierarchy(ViewRootImpl java:1912)_x000D_
05 23 17:34:03 681 22120 22120 E AndroidRuntime: 	at android view ViewRootImpl performTraversals(ViewRootImpl java:2207)_x000D_
05 23 17:34:03 681 22120 22120 E AndroidRuntime: 	at android view ViewRootImpl doTraversal(ViewRootImpl java:1800)_x000D_
05 23 17:34:03 681 22120 22120 E AndroidRuntime: 	at android view ViewRootImpl TraversalRunnable run(ViewRootImpl java:7751)_x000D_
05 23 17:34:03 681 22120 22120 E AndroidRuntime: 	at android view Choreographer CallbackRecord run(Choreographer java:967)_x000D_
05 23 17:34:03 681 22120 22120 E AndroidRuntime: 	at android view Choreographer doCallbacks(Choreographer java:791)_x000D_
05 23 17:34:03 681 22120 22120 E AndroidRuntime: 	at android view Choreographer doFrame(Choreographer java:726)_x000D_
05 23 17:34:03 681 22120 22120 E AndroidRuntime: 	at android view Choreographer FrameDisplayEventReceiver run(Choreographer java:952)_x000D_
05 23 17:34:03 681 22120 22120 E AndroidRuntime: 	at android os Handler handleCallback(Handler java:883)_x000D_
05 23 17:34:03 681 22120 22120 E AndroidRuntime: 	at android os Handler dispatchMessage(Handler java:100)_x000D_
05 23 17:34:03 681 22120 22120 E AndroidRuntime: 	at android os Looper loop(Looper java:241)_x000D_
05 23 17:34:03 681 22120 22120 E AndroidRuntime: 	at android app ActivityThread main(ActivityThread java:7604)_x000D_
05 23 17:34:03 681 22120 22120 E AndroidRuntime: 	at java lang reflect Method invoke(Native Method)_x000D_
05 23 17:34:03 681 22120 22120 E AndroidRuntime: 	at com android internal os RuntimeInit MethodAndArgsCaller run(RuntimeInit java:492)_x000D_
05 23 17:34:03 681 22120 22120 E AndroidRuntime: 	at com android internal os ZygoteInit main(ZygoteInit java:941)_x000D_
          beginning of main_x000D_
06 01 23:33:21 317 26278 26278 E cgeo geocachin: Not starting debugger since process cannot load the jdwp agent _x000D_
06 01 23:33:21 344 26278 26278 I cgeo geocachin: The ClassLoaderContext is a special shared library _x000D_
06 01 23:33:21 683 26278 26278 W cgeo geocachin: Accessing hidden field Landroid view ViewConfiguration   sHasPermanentMenuKey:Z (greylist max p  reflection  denied)_x000D_
06 01 23:33:21 984 26278 26278 I cgeo    :  Log  Logging set: minLevel WARN  minAddCallerInfo NONE  addCallerInfoMaxDepth 4  throwOnError false_x000D_
06 01 23:33:21 984 26278 26278 I cgeo    :  Log  No logging config file  log properties txt  found at SanDisk SD card logfiles PERSISTABLE FOLDER(BASE) 1:p content:  com android externalstorage documents tree 0430 1F1F 3A:: logfiles   using defaults_x000D_
06 01 23:33:21 984 26278 26278 I cgeo    :  Log  Logging set: minLevel WARN  minAddCallerInfo NONE  addCallerInfoMaxDepth 4  throwOnError false_x000D_
06 01 23:33:22 002 26278 26278 I cgeo    :  main   DB  Current Database Version: 94_x000D_
06 01 23:33:22 084 26278 26278 W ActivityThread: handleWindowVisibility: no activity for token android os BinderProxy 3d6e298_x000D_
06 01 23:33:22 092 26278 26278 V NFC     : this device does not have NFC support_x000D_
06 01 23:33:22 104 26278 26278 I ToolbarWidgetWrapper: Progress display unsupported_x000D_
06 01 23:33:22 138 26278 26330 D NetworkSecurityConfig: No Network Security Config specified  using platform default_x000D_
06 01 23:33:22 180 26278 26278 I cgeo    :  main  LocalStorage: current Version: 2  expected Version: 2_x000D_
06 01 23:33:22 462 26278 26337 E SQLiteLog: (11) database corruption at line 62254 of  68b898381a _x000D_
06 01 23:33:22 463 26278 26337 E SQLiteLog: (11) database corruption at line 62295 of  68b898381a _x000D_
06 01 23:33:22 463 26278 26337 E SQLiteLog: (11) statement aborts at 23:  DELETE FROM cg logs WHERE geocode NOT IN (SELECT geocode FROM cg caches)  database disk image is malformed_x000D_
06 01 23:33:22 464 26278 26337 E DefaultDatabaseErrorHandler: Corruption reported by sqlite on database:  storage emulated 0 Android data cgeo geocaching files databases data_x000D_
06 01 23:33:22 525 26278 26337 E SQLiteDatabase: DB wipe detected: package cgeo geocaching reason corruption file  storage emulated 0 Android data cgeo geocaching files databases data ctime 2021 06 01T12:57:56Z mtime 2021 06 01T12:57:56Z atime 2021 05 23T16:38:12Z checkfile  unable to obtain timestamp _x000D_
06 01 23:33:22 525 26278 26337 E SQLiteDatabase: java lang Throwable: STACKTRACE_x000D_
06 01 23:33:22 525 26278 26337 E SQLiteDatabase: 	at android database sqlite SQLiteDatabase wipeDetected(SQLiteDatabase java:2741)_x000D_
06 01 23:33:22 525 26278 26337 E SQLiteDatabase: 	at android database DefaultDatabaseErrorHandler onCorruption(DefaultDatabaseErrorHandler java:55)_x000D_
06 01 23:33:22 525 26278 26337 E SQLiteDatabase: 	at android database sqlite SQLiteDatabase onCorruption(SQLiteDatabase java:399)_x000D_
06 01 23:33:22 525 26278 26337 E SQLiteDatabase: 	at android database sqlite SQLiteProgram onCorruption(SQLiteProgram java:114)_x000D_
06 01 23:33:22 525 26278 26337 E SQLiteDatabase: 	at android database sqlite SQLiteStatement executeUpdateDelete(SQLiteStatement java:69)_x000D_
06 01 23:33:22 525 26278 26337 E SQLiteDatabase: 	at android database sqlite SQLiteDatabase delete(SQLiteDatabase java:1627)_x000D_
06 01 23:33:22 525 26278 26337 E SQLiteDatabase: 	at cgeo geocaching storage DataStore deleteOrphanedRecords(DataStore java:3551)_x000D_
06 01 23:33:22 525 26278 26337 E SQLiteDatabase: 	at cgeo geocaching storage DataStore lambda cleanIfNeeded 11(DataStore java:3509)_x000D_
06 01 23:33:22 525 26278 26337 E SQLiteDatabase: 	at cgeo geocaching storage    Lambda DataStore 089OFH8ruTAemzXcuvsE EnIA5g run(Unknown Source:2)_x000D_
06 01 23:33:22 525 26278 26337 E SQLiteDatabase: 	at io reactivex rxjava3 core Scheduler DisposeTask run(Scheduler java:644)_x000D_
06 01 23:33:22 525 26278 26337 E SQLiteDatabase: 	at io reactivex rxjava3 internal schedulers ScheduledRunnable run(ScheduledRunnable java:65)_x000D_
06 01 23:33:22 525 26278 26337 E SQLiteDatabase: 	at io reactivex rxjava3 internal schedulers ScheduledRunnable call(ScheduledRunnable java:56)_x000D_
06 01 23:33:22 525 26278 26337 E SQLiteDatabase: 	at java util concurrent FutureTask run(FutureTask java:266)_x000D_
06 01 23:33:22 525 26278 26337 E SQLiteDatabase: 	at java util concurrent ScheduledThreadPoolExecutor ScheduledFutureTask run(ScheduledThreadPoolExecutor java:301)_x000D_
06 01 23:33:22 525 26278 26337 E SQLiteDatabase: 	at java util concurrent ThreadPoolExecutor runWorker(ThreadPoolExecutor java:1167)_x000D_
06 01 23:33:22 525 26278 26337 E SQLiteDatabase: 	at java util concurrent ThreadPoolExecutor Worker run(ThreadPoolExecutor java:641)_x000D_
06 01 23:33:22 525 26278 26337 E SQLiteDatabase: 	at java lang Thread run(Thread java:919)_x000D_
06 01 23:33:22 538 26278 26337 E DefaultDatabaseErrorHandler: deleting the database file:  storage emulated 0 Android data cgeo geocaching files databases data_x000D_
06 01 23:33:22 545 26278 26337 W SQLiteLog: (28) file unlinked while open:  storage emulated 0 Android data cgeo geocaching files databases data_x000D_
06 01 23:33:22 551 26278 26337 W cgeo    :  RxCachedThreadScheduler 2  DataStore clean_x000D_
06 01 23:33:22 551 26278 26337 W cgeo    : android database sqlite SQLiteDatabaseCorruptException: database disk image is malformed (code 11 SQLITE CORRUPT)_x000D_
06 01 23:33:22 551 26278 26337 W cgeo    : 	at android database sqlite SQLiteConnection nativeExecuteForChangedRowCount(Native Method)_x000D_
06 01 23:33:22 551 26278 26337 W cgeo    : 	at android database sqlite SQLiteConnection executeForChangedRowCount(SQLiteConnection java:831)_x000D_
06 01 23:33:22 551 26278 26337 W cgeo    : 	at android database sqlite SQLiteSession executeForChangedRowCount(SQLiteSession java:756)_x000D_
06 01 23:33:22 551 26278 26337 W cgeo    : 	at android database sqlite SQLiteStatement executeUpdateDelete(SQLiteStatement java:66)_x000D_
06 01 23:33:22 551 26278 26337 W cgeo    : 	at android database sqlite SQLiteDatabase delete(SQLiteDatabase java:1627)_x000D_
06 01 23:33:22 551 26278 26337 W cgeo    : 	at cgeo geocaching storage DataStore deleteOrphanedRecords(DataStore java:3551)_x000D_
06 01 23:33:22 551 26278 26337 W cgeo    : 	at cgeo geocaching storage DataStore lambda cleanIfNeeded 11(DataStore java:3509)_x000D_
06 01 23:33:22 551 26278 26337 W cgeo    : 	at cgeo geocaching storage    Lambda DataStore 089OFH8ruTAemzXcuvsE EnIA5g run(Unknown Source:2)_x000D_
06 01 23:33:22 551 26278 26337 W cgeo    : 	at io reactivex rxjava3 core Scheduler DisposeTask run(Scheduler java:644)_x000D_
06 01 23:33:22 551 26278 26337 W cgeo    : 	at io reactivex rxjava3 internal schedulers ScheduledRunnable run(ScheduledRunnable java:65)_x000D_
06 01 23:33:22 551 26278 26337 W cgeo    : 	at io reactivex rxjava3 internal schedulers ScheduledRunnable call(ScheduledRunnable java:56)_x000D_
06 01 23:33:22 551 26278 26337 W cgeo    : 	at java util concurrent FutureTask run(FutureTask java:266)_x000D_
06 01 23:33:22 551 26278 26337 W cgeo    : 	at java util concurrent ScheduledThreadPoolExecutor ScheduledFutureTask run(ScheduledThreadPoolExecutor java:301)_x000D_
06 01 23:33:22 551 26278 26337 W cgeo    : 	at java util concurrent ThreadPoolExecutor runWorker(ThreadPoolExecutor java:1167)_x000D_
06 01 23:33:22 551 26278 26337 W cgeo    : 	at java util concurrent ThreadPoolExecutor Worker run(ThreadPoolExecutor java:641)_x000D_
06 01 23:33:22 551 26278 26337 W cgeo    : 	at java lang Thread run(Thread java:919)_x000D_
06 01 23:33:22 557 26278 26278 D AndroidRuntime: Shutting down VM_x000D_
06 01 23:33:22 560 26278 26278 E AndroidRuntime: FATAL EXCEPTION: main_x000D_
06 01 23:33:22 560 26278 26278 E AndroidRuntime: Process: cgeo geocaching  PID: 26278_x000D_
06 01 23:33:22 560 26278 26278 E AndroidRuntime: java lang IllegalStateException: attempt to re open an already closed object: SQLiteDatabase:  storage emulated 0 Android data cgeo geocaching files databases data_x000D_
06 01 23:33:22 560 26278 26278 E AndroidRuntime: 	at android database sqlite SQLiteClosable acquireReference(SQLiteClosable java:57)_x000D_
06 01 23:33:22 560 26278 26278 E AndroidRuntime: 	at android database sqlite SQLiteDatabase queryWithFactory(SQLiteDatabase java:1285)_x000D_
06 01 23:33:22 560 26278 26278 E AndroidRuntime: 	at android database sqlite SQLiteDatabase query(SQLiteDatabase java:1161)_x000D_
06 01 23:33:22 560 26278 26278 E AndroidRuntime: 	at android database sqlite SQLiteDatabase query(SQLiteDatabase java:1367)_x000D_
06 01 23:33:22 560 26278 26278 E AndroidRuntime: 	at cgeo geocaching storage DataStore DBExtension load(DataStore java:578)_x000D_
06 01 23:33:22 560 26278 26278 E AndroidRuntime: 	at cgeo geocaching storage DataStore DBExtension load(DataStore java:572)_x000D_
06 01 23:33:22 560 26278 26278 E AndroidRuntime: 	at cgeo geocaching storage extension FoundNumCounter load(FoundNumCounter java:25)_x000D_
06 01 23:33:22 560 26278 26278 E AndroidRuntime: 	at cgeo geocaching MainActivity UpdateUserInfoHandler 1 fillView(MainActivity java:155)_x000D_
06 01 23:33:22 560 26278 26278 E AndroidRuntime: 	at cgeo geocaching MainActivity UpdateUserInfoHandler 1 getView(MainActivity java:138)_x000D_
06 01 23:33:22 560 26278 26278 E AndroidRuntime: 	at android widget AbsListView obtainView(AbsListView java:2412)_x000D_
06 01 23:33:22 560 26278 26278 E AndroidRuntime: 	at android widget ListView measureHeightOfChildren(ListView java:1421)_x000D_
06 01 23:33:22 560 26278 26278 E AndroidRuntime: 	at android widget ListView onMeasure(ListView java:1327)_x000D_
06 01 23:33:22 560 26278 26278 E AndroidRuntime: 	at android view View measure(View java:24601)_x000D_
06 01 23:33:22 560 26278 26278 E AndroidRuntime: 	at android view ViewGroup measureChildWithMargins(ViewGroup java:6831)_x000D_
06 01 23:33:22 560 26278 26278 E AndroidRuntime: 	at android widget LinearLayout measureChildBeforeLayout(LinearLayout java:1552)_x000D_
06 01 23:33:22 560 26278 26278 E AndroidRuntime: 	at android widget LinearLayout measureVertical(LinearLayout java:842)_x000D_
06 01 23:33:22 560 26278 26278 E AndroidRuntime: 	at android widget LinearLayout onMeasure(LinearLayout java:721)_x000D_
06 01 23:33:22 560 26278 26278 E AndroidRuntime: 	at android view View measure(View java:24601)_x000D_
06 01 23:33:22 560 26278 26278 E AndroidRuntime: 	at android widget RelativeLayout measureChildHorizontal(RelativeLayout java:735)_x000D_
06 01 23:33:22 560 26278 26278 E AndroidRuntime: 	at android widget RelativeLayout onMeasure(RelativeLayout java:481)_x000D_
06 01 23:33:22 560 26278 26278 E AndroidRuntime: 	at android view View measure(View java:24601)_x000D_
06 01 23:33:22 560 26278 26278 E AndroidRuntime: 	at android view ViewGroup measureChildWithMargins(ViewGroup java:6831)_x000D_
06 01 23:33:22 560 26278 26278 E AndroidRuntime: 	at android widget FrameLayout onMeasure(FrameLayout java:194)_x000D_
06 01 23:33:22 560 26278 26278 E AndroidRuntime: 	at androidx appcompat widget ContentFrameLayout onMeasure(ContentFrameLayout java:146)_x000D_
06 01 23:33:22 560 26278 26278 E AndroidRuntime: 	at android view View measure(View java:24601)_x000D_
06 01 23:33:22 560 26278 26278 E AndroidRuntime: 	at android view ViewGroup measureChildWithMargins(ViewGroup java:6831)_x000D_
06 01 23:33:22 560 26278 26278 E AndroidRuntime: 	at androidx appcompat widget ActionBarOverlayLayout onMeasure(ActionBarOverlayLayout java:490)_x000D_
06 01 23:33:22 560 26278 26278 E AndroidRuntime: 	at android view View measure(View java:24601)_x000D_
06 01 23:33:22 560 26278 26278 E AndroidRuntime: 	at android view ViewGroup measureChildWithMargins(ViewGroup java:6831)_x000D_
06 01 23:33:22 560 26278 26278 E AndroidRuntime: 	at android widget FrameLayout onMeasure(FrameLayout java:194)_x000D_
06 01 23:33:22 560 26278 26278 E AndroidRuntime: 	at android view View measure(View java:24601)_x000D_
06 01 23:33:22 560 26278 26278 E AndroidRuntime: 	at android view ViewGroup measureChildWithMargins(ViewGroup java:6831)_x000D_
06 01 23:33:22 560 26278 26278 E AndroidRuntime: 	at android widget LinearLayout measureChildBeforeLayout(LinearLayout java:1552)_x000D_
06 01 23:33:22 560 26278 26278 E AndroidRuntime: 	at android widget LinearLayout measureVertical(LinearLayout java:842)_x000D_
06 01 23:33:22 560 26278 26278 E AndroidRuntime: 	at android widget LinearLayout onMeasure(LinearLayout java:721)_x000D_
06 01 23:33:22 560 26278 26278 E AndroidRuntime: 	at android view View measure(View java:24601)_x000D_
06 01 23:33:22 560 26278 26278 E AndroidRuntime: 	at android view ViewGroup measureChildWithMargins(ViewGroup java:6831)_x000D_
06 01 23:33:22 560 26278 26278 E AndroidRuntime: 	at android widget FrameLayout onMeasure(FrameLayout java:194)_x000D_
06 01 23:33:22 560 26278 26278 E AndroidRuntime: 	at com android internal policy DecorView onMeasure(DecorView java:762)_x000D_
06 01 23:33:22 560 26278 26278 E AndroidRuntime: 	at android view View measure(View java:24601)_x000D_
06 01 23:33:22 560 26278 26278 E AndroidRuntime: 	at android view ViewRootImpl performMeasure(ViewRootImpl java:3091)_x000D_
06 01 23:33:22 560 26278 26278 E AndroidRuntime: 	at android view ViewRootImpl measureHierarchy(ViewRootImpl java:1912)_x000D_
06 01 23:33:22 560 26278 26278 E AndroidRuntime: 	at android view ViewRootImpl performTraversals(ViewRootImpl java:2207)_x000D_
06 01 23:33:22 560 26278 26278 E AndroidRuntime: 	at android view ViewRootImpl doTraversal(ViewRootImpl java:1800)_x000D_
06 01 23:33:22 560 26278 26278 E AndroidRuntime: 	at android view ViewRootImpl TraversalRunnable run(ViewRootImpl java:7751)_x000D_
06 01 23:33:22 560 26278 26278 E AndroidRuntime: 	at android view Choreographer CallbackRecord run(Choreographer java:967)_x000D_
06 01 23:33:22 560 26278 26278 E AndroidRuntime: 	at android view Choreographer doCallbacks(Choreographer java:791)_x000D_
06 01 23:33:22 560 26278 26278 E AndroidRuntime: 	at android view Choreographer doFrame(Choreographer java:726)_x000D_
06 01 23:33:22 560 26278 26278 E AndroidRuntime: 	at android view Choreographer FrameDisplayEventReceiver run(Choreographer java:952)_x000D_
06 01 23:33:22 560 26278 26278 E AndroidRuntime: 	at android os Handler handleCallback(Handler java:883)_x000D_
06 01 23:33:22 560 26278 26278 E AndroidRuntime: 	at android os Handler dispatchMessage(Handler java:100)_x000D_
06 01 23:33:22 560 26278 26278 E AndroidRuntime: 	at android os Looper loop(Looper java:241)_x000D_
06 01 23:33:22 560 26278 26278 E AndroidRuntime: 	at android app ActivityThread main(ActivityThread java:7604)_x000D_
06 01 23:33:22 560 26278 26278 E AndroidRuntime: 	at java lang reflect Method invoke(Native Method)_x000D_
06 01 23:33:22 560 26278 26278 E AndroidRuntime: 	at com android internal os RuntimeInit MethodAndArgsCaller run(RuntimeInit java:492)_x000D_
06 01 23:33:22 560 26278 26278 E AndroidRuntime: 	at com android internal os ZygoteInit main(ZygoteInit java:941)_x000D_
06 01 23:33:22 571 26278 26278 I Process : Sending signal  PID: 26278 SIG: 9_x000D_
   </t>
  </si>
  <si>
    <t>Anuken-Mindustry-5326</t>
  </si>
  <si>
    <t>Disappearing Servers</t>
  </si>
  <si>
    <t xml:space="preserve">  Platform  :  Android iOS Mac Windows Linux  
  Windows 
  Build  :  The build number under the title in the main menu  Required   LATEST  IS NOT A VERSION  I NEED THE EXACT BUILD NUMBER OF YOUR GAME  
  126 1 to 126 2
  Issue  :  Explain your issue in detail  
The servers are deleted on my PC  
They just vanished to thin air  
It happened once I installed 126 1  At first it was completely okay  the servers are showing up in the multiplayer tab  but now everything s gone  
I was worried I got banned from those servers because when I looked at my phone  I see all of them showing good ping  So I just ignored it because I got punished by the law (I do not grief)  
It took long before I got bored playing  io server multiple times  Then I saw one member of the ALEX server (one server that just vanished in my pc) in discord  We had a DM and explained why was ALEX missing in my multiplayer tab  and redirected me to the admin  
He said I wasn t banned  even if I was  then I should still see it  but can t join on it because of the long timer yhey give to banned ppl  
Many servers were gone on my PC  but in my phone all of the servers are showing up and with good ping (100 300 ms) 
I ve also seen ppl complaining some of their servers are missing  please help us  
  Steps to reproduce  :  How you happened across the issue  and what exactly you did to make the bug happen  
I don t know  it just happened unconsciously  
  Link(s) to mod(s) used  :  The mod repositories or zip files that are related to the issue  if applicable  
No mods are used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I could send screenshots in the comments tab to prove the bug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</si>
  <si>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nextcloud-android-8510</t>
  </si>
  <si>
    <t>Nextcloud app (3.16.0) crashed</t>
  </si>
  <si>
    <t xml:space="preserve">    Steps to reproduce_x000D_
1  App was only running in background  I saw a notification that a new media folder was detected  Touched the message and received the error below_x000D_
_x000D_
    Actual behaviour_x000D_
App crashed with error _x000D_
This is the first time this crash happened _x000D_
_x000D_
   _x000D_
             CAUSE OF ERROR             _x000D_
_x000D_
java lang RuntimeException: Unable to start activity ComponentInfo com nextcloud client com owncloud android ui activity SyncedFoldersActivity : java lang IllegalArgumentException: Comparison method violates its general contract _x000D_
	at android app ActivityThread performLaunchActivity(ActivityThread java:3792)_x000D_
	at android app ActivityThread handleLaunchActivity(ActivityThread java:3968)_x000D_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java:2307)_x000D_
	at android os Handler dispatchMessage(Handler java:106)_x000D_
	at android os Looper loop(Looper java:246)_x000D_
	at android app ActivityThread main(ActivityThread java:8512)_x000D_
	at java lang reflect Method invoke(Native Method)_x000D_
	at com android internal os RuntimeInit MethodAndArgsCaller run(RuntimeInit java:602)_x000D_
	at com android internal os ZygoteInit main(ZygoteInit java:1130)_x000D_
Caused by: java lang IllegalArgumentException: Comparison method violates its general contract _x000D_
	at java util TimSort mergeHi(TimSort java:899)_x000D_
	at java util TimSort mergeAt(TimSort java:516)_x000D_
	at java util TimSort mergeForceCollapse(TimSort java:457)_x000D_
	at java util TimSort sort(TimSort java:254)_x000D_
	at java util Arrays sort(Arrays java:1424)_x000D_
	at com owncloud android utils SyncedFolderUtils getFileList(SyncedFolderUtils java:233)_x000D_
	at com owncloud android utils SyncedFolderUtils isQualifyingMediaFolder(SyncedFolderUtils java:112)_x000D_
	at com owncloud android ui activity SyncedFoldersActivity mergeFolderData(SyncedFoldersActivity java:353)_x000D_
	at com owncloud android ui activity SyncedFoldersActivity load(SyncedFoldersActivity java:268)_x000D_
	at com owncloud android ui activity SyncedFoldersActivity setupContent(SyncedFoldersActivity java:227)_x000D_
	at com owncloud android ui activity SyncedFoldersActivity onCreate(SyncedFoldersActivity java:161)_x000D_
	at android app Activity performCreate(Activity java:8198)_x000D_
	at android app Activity performCreate(Activity java:8182)_x000D_
	at android app Instrumentation callActivityOnCreate(Instrumentation java:1309)_x000D_
	at android app ActivityThread performLaunchActivity(ActivityThread java:3765)_x000D_
	    11 more_x000D_
_x000D_
             APP INFORMATION             _x000D_
ID: com nextcloud client_x000D_
Version: 30160090_x000D_
Build flavor: gplay_x000D_
_x000D_
             DEVICE INFORMATION             _x000D_
Brand: samsung_x000D_
Device: r8q_x000D_
Model: SM G781B_x000D_
Id: RP1A 200720 012_x000D_
Product: r8qxeea_x000D_
_x000D_
             FIRMWARE             _x000D_
SDK: 30_x000D_
Release: 11_x000D_
Incremental: G781BXXU3CUD6_x000D_
   _x000D_
_x000D_
    Environment data_x000D_
Android version: 11_x000D_
Device model: Samsung Galaxy S20 FE 5G_x000D_
Stock or customized system: Stock _x000D_
Nextcloud app version: 3 16 0_x000D_
Nextcloud server version: 21 0 2_x000D_
Reverse proxy: None_x000D_
_x000D_
_x000D_
</t>
  </si>
  <si>
    <t>k9mail-k-9-5324</t>
  </si>
  <si>
    <t>K9 FC after Reply without "Download Complete Message"</t>
  </si>
  <si>
    <t xml:space="preserve">  Describe the bug  _x000D_
After searching for (older) email  used Reply and Reply All before selecting  Download Complete Message  resulted in error   First time returns K9 to the inbox list   After repeated attempts  K9 will FC  _x000D_
_x000D_
  To Reproduce  _x000D_
Steps to reproduce the behavior:_x000D_
1  From inbox or unified inbox  searched for older message_x000D_
2   found message with  Download Complete Message  shown at bottom (doesn t matter if attachment or not)_x000D_
3   Did NOT click on  Download Complete Message  but instead selected Reply (and Reply all   same result)_x000D_
4   After clicking Reply or Reply all  K9 reverted to inbox list of email (did not show new email response)_x000D_
5   With (2 or 3) repeated attempts  K9 then crashed FC_x000D_
_x000D_
  Expected behavior  _x000D_
Reply or Reply All yields a new message that can edited typed and sent _x000D_
_x000D_
  Screenshots  _x000D_
n a_x000D_
_x000D_
  Environment (please complete the following information):  _x000D_
   K 9 Mail version: 5 734_x000D_
   Android version: 10  (Samsung ver FFUE1)_x000D_
   Device: Galaxy S9 SM G960F _x000D_
   Account type: IMAP_x000D_
_x000D_
  Additional context  _x000D_
Log includes two sequences after searched for older email with criteria  Winger   (1) then selected old email with  Download Complete Message  then selected   Download complete email    message downloaded  then Reply All to message correctly generated an email that could be edited typed  email discarded     (2)  Selected a second older email from same search that included  Download Complete Message  at bottom  but did not download message  instead proceeded directly to  Reply All  which generated error  second  Reply All  generated FC  _x000D_
_x000D_
  Logs  _x000D_
   _x000D_
          beginning of main_x000D_
06 01 14:54:47 933 18131 18131 E ViewRootImpl: sendUserActionEvent() mView returned _x000D_
06 01 14:54:47 938 18131 18131 W ActivityThread: handleWindowVisibility: no activity for token android os BinderProxy 8aad04_x000D_
06 01 14:54:47 949 18131 18131 D PhoneWindow: forceLight changed to true    from com android internal policy PhoneWindow updateForceLightNavigationBar:4274 com android internal policy DecorView updateColorViews:1547 com android internal policy PhoneWindow dispatchWindowAttributesChanged:3252 android view Window setFlags:1153 com android internal policy PhoneWindow generateLayout:2474 _x000D_
06 01 14:54:47 949 18131 18131 D PhoneWindow: forceLight changed to false    from com android internal policy PhoneWindow updateForceLightNavigationBar:4280 com android internal policy DecorView updateColorViews:1547 com android internal policy PhoneWindow dispatchWindowAttributesChanged:3252 android view Window setFlags:1153 com android internal policy PhoneWindow generateLayout:2620 _x000D_
06 01 14:54:47 949 18131 18131 I MultiWindowDecorSupport:  INFO  isPopOver   false_x000D_
06 01 14:54:47 949 18131 18131 I MultiWindowDecorSupport: updateCaptionType    DecorView 45ed421    isFloating: false  isApplication: true  hasWindowDecorCaption: false  hasWindowControllerCallback: true_x000D_
06 01 14:54:47 949 18131 18131 D MultiWindowDecorSupport: setCaptionType   0  DecorView   DecorView 45ed421  _x000D_
06 01 14:54:47 980 18131 18131 I ViewRootImpl 8ec0c65 Search : setView   com android internal policy DecorView 45ed421 TM true MM false_x000D_
06 01 14:54:47 981 18131 18131 W IInputConnectionWrapper: requestCursorAnchorInfo on inactive InputConnection_x000D_
06 01 14:54:47 981 18131 18131 I ViewRootImpl aba2c MessageList : MSG WINDOW FOCUS CHANGED 0 1_x000D_
06 01 14:54:47 981 18131 18131 D InputMethodManager: prepareNavigationBarInfo() DecorView d8874dc MessageList _x000D_
06 01 14:54:47 981 18131 18131 D InputMethodManager: getNavigationBarColor()  16777216_x000D_
06 01 14:54:47 996 18131 18131 I ViewRootImpl 8ec0c65 Search : Relayout returned: old (0 0 1080 2220) new (0 0 1080 2220) req (1080 2220)0 dur 12 res 0x7 s  true 508957401088  ch true_x000D_
06 01 14:54:47 997 18131 18727 I mali winsys: new window surface()  1080x2220  return: 0x3000_x000D_
06 01 14:54:47 997 18131 18131 D AbsListView:  in onLayout changed _x000D_
06 01 14:54:48 027 18131 18131 I ViewRootImpl 8ec0c65 Search : MSG RESIZED REPORT: frame (0 0 1080 2220) ci (0 72 0 45) vi (0 72 0 45) or 1_x000D_
06 01 14:54:48 027 18131 18131 I ViewRootImpl 8ec0c65 Search : MSG WINDOW FOCUS CHANGED 1 1_x000D_
06 01 14:54:48 027 18131 18131 D InputMethodManager: prepareNavigationBarInfo() DecorView 45ed421 Search _x000D_
06 01 14:54:48 027 18131 18131 D InputMethodManager: getNavigationBarColor()  16777216_x000D_
06 01 14:54:48 028 18131 18131 D InputMethodManager: prepareNavigationBarInfo() DecorView 45ed421 Search _x000D_
06 01 14:54:48 028 18131 18131 D InputMethodManager: getNavigationBarColor()  16777216_x000D_
06 01 14:54:48 028 18131 18131 V InputMethodManager: Starting input: tba com fsck k9 ic null mNaviBarColor  16777216 mIsGetNaviBarColorSuccess true   NavVisible : true   NavTrans : false_x000D_
06 01 14:54:48 028 18131 18131 D InputMethodManager: startInputInner   Id : 0_x000D_
06 01 14:54:48 028 18131 18131 I InputMethodManager: startInputInner   mService startInputOrWindowGainedFocus_x000D_
06 01 14:54:48 036 18131 18131 D InputTransport: Input channel destroyed:  ClientS   fd 87_x000D_
06 01 14:54:48 435 18131 18727 I mali egl: eglDestroySurface() in_x000D_
06 01 14:54:48 436 18131 18727 I mali winsys: delete surface()  1080x2220  return_x000D_
06 01 14:54:48 436 18131 18727 I mali egl: eglDestroySurface() out_x000D_
06 01 14:54:48 437 18131 18727 W libEGL  : EGLNativeWindowType 0x767ff310d0 disconnect failed_x000D_
06 01 14:54:48 441 18131 18131 I ViewRootImpl aba2c MessageList : Relayout returned: old (0 0 1080 2220) new (0 0 1080 2220) req (1080 2220)8 dur 4 res 0x5 s  false 0  ch true_x000D_
06 01 14:54:48 441 18131 18131 I ViewRootImpl aba2c MessageList : stopped(true) old false_x000D_
06 01 14:54:48 454 18131 18131 I ViewRootImpl aba2c MessageList : Relayout returned: old (0 0 1080 2220) new (0 0 1080 2220) req (1080 2220)8 dur 5 res 0x5 s  false 0  ch false_x000D_
06 01 14:54:49 422 18131 18131 I ViewRootImpl 8ec0c65 Search : ViewPostIme pointer 0_x000D_
06 01 14:54:49 507 18131 18131 I ViewRootImpl 8ec0c65 Search : ViewPostIme pointer 1_x000D_
06 01 14:54:49 523 18131 18131 I MessagingController: searchRemoteMessages (acct   80ceda81 4579 49c0 95b3 afae10e1b9b1  folderId   6  query   winger)_x000D_
06 01 14:54:49 527 18131 19081 V ImapConnection: conn252974843    118 NOOP_x000D_
06 01 14:54:49 580 18131 19081 V ImapResponseParser: conn252974843    118   OK  Completed _x000D_
06 01 14:54:49 581 18131 19081 V ImapConnection: conn252974843    119 EXAMINE  INBOX _x000D_
06 01 14:54:49 631 18131 19081 V ImapResponseParser: conn252974843    null   OK   CLOSED   Ok _x000D_
06 01 14:54:49 631 18131 19081 V ImapResponseParser: conn252974843    null   36581  EXISTS _x000D_
06 01 14:54:49 632 18131 19081 V ImapResponseParser: conn252974843    null   2  RECENT _x000D_
06 01 14:54:49 632 18131 19081 V ImapResponseParser: conn252974843    null   FLAGS    Answered   Flagged   Draft   Deleted   Seen   X ME Annot 2   IsMailingList   IsNotification   HasAttachment   HasTD   Forwarded   NotJunk   IsTrusted   Junk   Phishing  _x000D_
06 01 14:54:49 632 18131 19081 V ImapResponseParser: conn252974843    null   OK   PERMANENTFLAGS       Ok _x000D_
06 01 14:54:49 632 18131 19081 V ImapResponseParser: conn252974843    null   OK   UNSEEN  8205   Ok _x000D_
06 01 14:54:49 633 18131 19081 V ImapResponseParser: conn252974843    null   OK   UIDVALIDITY  1358829126   Ok _x000D_
06 01 14:54:49 633 18131 19081 V ImapResponseParser: conn252974843    null   OK   UIDNEXT  87220   Ok _x000D_
06 01 14:54:49 633 18131 19081 V ImapResponseParser: conn252974843    null   OK   HIGHESTMODSEQ  815836   Ok _x000D_
06 01 14:54:49 633 18131 19081 V ImapResponseParser: conn252974843    null   OK   MAILBOXID   9557bac3 c351 4c95 b51f 6ebd36932b6b    Ok _x000D_
06 01 14:54:49 633 18131 19081 V ImapResponseParser: conn252974843    null   OK   URLMECH  INTERNAL   Ok _x000D_
06 01 14:54:49 634 18131 19081 V ImapResponseParser: conn252974843    null   OK   ANNOTATIONS  65536   Ok _x000D_
06 01 14:54:49 634 18131 19081 V ImapResponseParser: conn252974843    119   OK   READ ONLY   Completed _x000D_
06 01 14:54:49 634 18131 19081 D ImapFolder: Got untagged EXISTS with value 36581 for  NAME DELETED  Law:INBOX pool 4 thread 1 conn252974843_x000D_
06 01 14:54:49 634 18131 19081 D ImapFolder: Got UidNext   87220 for  NAME DELETED  Law:INBOX pool 4 thread 1 conn252974843_x000D_
06 01 14:54:49 635 18131 19081 V ImapConnection: conn252974843    120 UID SEARCH OR SUBJECT  winger  FROM  winger _x000D_
06 01 14:54:50 498 18131 19081 V ImapResponseParser: conn252974843    null   SEARCH  4311  5684  5767  6002  6683  11759  13135  13172  14576  16246  25359  25403  25406  27592  27593  29936  29939  33592  35799  35837  36070  36168  37879  38784  39189  40078  41026  42345  49785  50204  50212  53727  53736  55629  55799  55800  55801  55803  55896  56256  56625  56748  57195  57515  57539  57678  57693  57694  57809  57817  57839  57892  58004  58005  58062  58331  58332  58436  58477  58478  58514  58515  58516  58517  58695  58844  58858  58865  58880  58900  58911  58974  58975  59702  59707  59920  60281  60508  60510  60511  60655  60663  60758  60761  60762  60764  60784  60785  60789  60805  61410  61434  61438  61743  61746  61751  61754  61756  61769  61773  62484  62827  62852  62854  63005  63008  63791  64372  64551  64558  77235  77236  78495  80616  81865  81866  81871  81872  81873  81875  81877  81878  81879  81880  81881  81903  81904  81905  81907  81908  81910  81918  81923  81933  85573 _x000D_
06 01 14:54:50 503 18131 19081 V ImapResponseParser: conn252974843    120   OK  Completed (135 msgs in 0 040 secs) _x000D_
06 01 14:54:50 507 18131 19081 I MessagingController: Remote search got 135 results_x000D_
06 01 14:54:50 526 18131 19081 V ImapConnection: conn252974843    121 NOOP_x000D_
06 01 14:54:50 585 18131 19081 V ImapResponseParser: conn252974843    121   OK  Completed _x000D_
06 01 14:54:50 587 18131 19081 V ImapConnection: conn252974843    122 EXAMINE  INBOX _x000D_
06 01 14:54:50 657 18131 19081 V ImapResponseParser: conn252974843    null   OK   CLOSED   Ok _x000D_
06 01 14:54:50 658 18131 19081 V ImapResponseParser: conn252974843    null   36581  EXISTS _x000D_
06 01 14:54:50 659 18131 19081 V ImapResponseParser: conn252974843    null   2  RECENT _x000D_
06 01 14:54:50 667 18131 19081 V ImapResponseParser: conn252974843    null   FLAGS    Answered   Flagged   Draft   Deleted   Seen   X ME Annot 2   IsMailingList   IsNotification   HasAttachment   HasTD   Forwarded   NotJunk   IsTrusted   Junk   Phishing  _x000D_
06 01 14:54:50 668 18131 19081 V ImapResponseParser: conn252974843    null   OK   PERMANENTFLAGS       Ok _x000D_
06 01 14:54:50 669 18131 19081 V ImapResponseParser: conn252974843    null   OK   UNSEEN  8205   Ok _x000D_
06 01 14:54:50 670 18131 19081 V ImapResponseParser: conn252974843    null   OK   UIDVALIDITY  1358829126   Ok _x000D_
06 01 14:54:50 674 18131 19081 V ImapResponseParser: conn252974843    null   OK   UIDNEXT  87220   Ok _x000D_
06 01 14:54:50 675 18131 19081 V ImapResponseParser: conn252974843    null   OK   HIGHESTMODSEQ  815836   Ok _x000D_
06 01 14:54:50 680 18131 19081 V ImapResponseParser: conn252974843    null   OK   MAILBOXID   9557bac3 c351 4c95 b51f 6ebd36932b6b    Ok _x000D_
06 01 14:54:50 682 18131 19081 V ImapResponseParser: conn252974843    null   OK   URLMECH  INTERNAL   Ok _x000D_
06 01 14:54:50 683 18131 19081 V ImapResponseParser: conn252974843    null   OK   ANNOTATIONS  65536   Ok _x000D_
06 01 14:54:50 683 18131 19081 V ImapResponseParser: conn252974843    122   OK   READ ONLY   Completed _x000D_
06 01 14:54:50 685 18131 19081 D ImapFolder: Got untagged EXISTS with value 36581 for  NAME DELETED  Law:INBOX pool 4 thread 1 conn252974843_x000D_
06 01 14:54:50 686 18131 19081 D ImapFolder: Got UidNext   87220 for  NAME DELETED  Law:INBOX pool 4 thread 1 conn252974843_x000D_
06 01 14:54:50 695 18131 19081 V ImapConnection: conn252974843    123 UID FETCH 81933 (UID FLAGS INTERNALDATE RFC822 SIZE BODY PEEK HEADER FIELDS (date subject from content type to cc reply to message id references in reply to X K9mail Identity) )_x000D_
06 01 14:54:50 812 18131 18714 I com fsck k9: Background young concurrent copying GC freed 63614(2587KB) AllocSpace objects  4(80KB) LOS objects  19  free  12MB 15MB  paused 295us total 152 525ms_x000D_
06 01 14:54:50 826 18131 19081 V ImapConnection: conn252974843    null   32819  FETCH   FLAGS    Seen   X ME Annot 2   UID  81933  INTERNALDATE  23 Dec 2020 21:51:08  0500  RFC822 SIZE  17750  BODY   HEADER FIELDS   date  subject  from  content type  to  cc  reply to  message id  references  in reply to  X K9mail Identity    Date: Thu  24 Dec 2020 02:51:39  0000 (UTC)_x000D_
_x000D_
06 01 14:54:50 826 18131 19081 V ImapConnection: From: Richard               EMAIL COM _x000D_
_x000D_
06 01 14:54:50 826 18131 19081 V ImapConnection: Reply To: Richard               EMAIL COM _x000D_
_x000D_
06 01 14:54:50 826 18131 19081 V ImapConnection: To: Sam               EMAIL COM _x000D_
_x000D_
06 01 14:54:50 826 18131 19081 V ImapConnection: Cc: Oliver               EMAIL COM   Andrew               EMAIL COM _x000D_
_x000D_
06 01 14:54:50 826 18131 19081 V ImapConnection: Message ID:  1281118285 3091029 1608778299863 mail yahoo com _x000D_
_x000D_
06 01 14:54:50 826 18131 19081 V ImapConnection: In Reply To:  1518284877 2543126 1608772229423 mail yahoo com _x000D_
_x000D_
06 01 14:54:50 826 18131 19081 V ImapConnection: References:  40894703 2548082 1608771420918 ref mail yahoo com   40894703 2548082 1608771420918 mail yahoo com   1518284877 2543126 1608772229423 mail yahoo com _x000D_
_x000D_
06 01 14:54:50 826 18131 19081 V ImapConnection: Subject: Re: Your revised final signed Declaration_x000D_
_x000D_
06 01 14:54:50 826 18131 19081 V ImapConnection: Content Type: multipart alternative  _x000D_
_x000D_
06 01 14:54:50 826 18131 19081 V ImapConnection: 	boundary        Part 3091028 310536247 1608778299862 _x000D_
_x000D_
06 01 14:54:50 826 18131 19081 V ImapConnection: _x000D_
_x000D_
06 01 14:54:50 826 18131 19081 V ImapConnection:   _x000D_
06 01 14:54:50 827 18131 19081 V ImapFolder: Stored uid  81933  for msgSeq 32819 into map_x000D_
06 01 14:54:50 830 18131 19081 V ImapConnection: conn252974843    123   OK  Completed (0 002 sec) _x000D_
06 01 14:54:50 832 18131 19081 V ImapConnection: conn252974843    124 UID FETCH 81933 (UID BODYSTRUCTURE)_x000D_
06 01 14:54:50 907 18131 19081 V ImapConnection: conn252974843    null   32819  FETCH   UID  81933  BODYSTRUCTURE    TEXT  PLAIN   CHARSET  UTF 8   NIL  NIL  QUOTED PRINTABLE  1629  28  NIL  NIL  NIL  NIL    TEXT  HTML   CHARSET  UTF 8   NIL  NIL  QUOTED PRINTABLE  4182  62  NIL  NIL  NIL  NIL   ALTERNATIVE   BOUNDARY        Part 3091028 310536247 1608778299862   NIL  NIL  NIL   _x000D_
06 01 14:54:50 907 18131 19081 V ImapFolder: Stored uid  81933  for msgSeq 32819 into map_x000D_
06 01 14:54:50 910 18131 19081 V ImapConnection: conn252974843    124   OK  Completed (0 001 sec) _x000D_
06 01 14:54:50 919 18131 19081 E MessageExtractor: Unable to getTextFromPart_x000D_
06 01 14:54:51 013 18131 19081 V LockableDatabase: LockableDatabase: Transaction ended  took 18 ms   com fsck k9 storage messages SaveMessageOperations saveMessage(SaveMessageOperations kt:81)_x000D_
06 01 14:54:51 019 18131 19081 V ImapConnection: conn252974843    125 NOOP_x000D_
06 01 14:54:51 063 18131 19081 V ImapResponseParser: conn252974843    125   OK  Completed _x000D_
06 01 14:54:51 066 18131 19081 V ImapConnection: conn252974843    126 EXAMINE  INBOX _x000D_
06 01 14:54:51 138 18131 19081 V ImapResponseParser: conn252974843    null   OK   CLOSED   Ok _x000D_
06 01 14:54:51 138 18131 19081 V ImapResponseParser: conn252974843    null   36581  EXISTS _x000D_
06 01 14:54:51 139 18131 19081 V ImapResponseParser: conn252974843    null   2  RECENT _x000D_
06 01 14:54:51 140 18131 19081 V ImapResponseParser: conn252974843    null   FLAGS    Answered   Flagged   Draft   Deleted   Seen   X ME Annot 2   IsMailingList   IsNotification   HasAttachment   HasTD   Forwarded   NotJunk   IsTrusted   Junk   Phishing  _x000D_
06 01 14:54:51 140 18131 19081 V ImapResponseParser: conn252974843    null   OK   PERMANENTFLAGS       Ok _x000D_
06 01 14:54:51 142 18131 19081 V ImapResponseParser: conn252974843    null   OK   UNSEEN  8205   Ok _x000D_
06 01 14:54:51 143 18131 19081 V ImapResponseParser: conn252974843    null   OK   UIDVALIDITY  1358829126   Ok _x000D_
06 01 14:54:51 143 18131 19081 V ImapResponseParser: conn252974843    null   OK   UIDNEXT  87220   Ok _x000D_
06 01 14:54:51 144 18131 19081 V ImapResponseParser: conn252974843    null   OK   HIGHESTMODSEQ  815836   Ok _x000D_
06 01 14:54:51 144 18131 19081 V ImapResponseParser: conn252974843    null   OK   MAILBOXID   9557bac3 c351 4c95 b51f 6ebd36932b6b    Ok _x000D_
06 01 14:54:51 145 18131 19081 V ImapResponseParser: conn252974843    null   OK   URLMECH  INTERNAL   Ok _x000D_
06 01 14:54:51 145 18131 19081 V ImapResponseParser: conn252974843    null   OK   ANNOTATIONS  65536   Ok _x000D_
06 01 14:54:51 146 18131 19081 V ImapResponseParser: conn252974843    126   OK   READ ONLY   Completed _x000D_
06 01 14:54:51 146 18131 19081 D ImapFolder: Got untagged EXISTS with value 36581 for  NAME DELETED  Law:INBOX pool 4 thread 1 conn252974843_x000D_
06 01 14:54:51 147 18131 19081 D ImapFolder: Got UidNext   87220 for  NAME DELETED  Law:INBOX pool 4 thread 1 conn252974843_x000D_
06 01 14:54:51 149 18131 19081 V ImapConnection: conn252974843    127 UID FETCH 81923 (UID FLAGS INTERNALDATE RFC822 SIZE BODY PEEK HEADER FIELDS (date subject from content type to cc reply to message id references in reply to X K9mail Identity) )_x000D_
06 01 14:54:51 247 18131 19081 V ImapConnection: conn252974843    null   32811  FETCH   FLAGS    Seen   X ME Annot 2   HasAttachment   UID  81923  INTERNALDATE  23 Dec 2020 19:56:40  0500  RFC822 SIZE  7397824  BODY   HEADER FIELDS   date  subject  from  content type  to  cc  reply to  message id  references  in reply to  X K9mail Identity    Date: Thu  24 Dec 2020 00:57:00  0000 (UTC)_x000D_
_x000D_
06 01 14:54:51 247 18131 19081 V ImapConnection: From: Sam               email com _x000D_
_x000D_
06 01 14:54:51 247 18131 19081 V ImapConnection: To: Oliver             email com   Andrew               EMAIL COM _x000D_
_x000D_
06 01 14:54:51 247 18131 19081 V ImapConnection: Message ID:  40894703 2548082 1608771420918 mail yahoo com _x000D_
_x000D_
06 01 14:54:51 247 18131 19081 V ImapConnection: Subject: Winger s final signed Declaration_x000D_
_x000D_
06 01 14:54:51 247 18131 19081 V ImapConnection: Content Type: multipart mixed  _x000D_
_x000D_
06 01 14:54:51 247 18131 19081 V ImapConnection: 	boundary        Part 2548081 1202856785 1608771420918 _x000D_
_x000D_
06 01 14:54:51 247 18131 19081 V ImapConnection: References:  40894703 2548082 1608771420918 ref mail yahoo com _x000D_
_x000D_
06 01 14:54:51 247 18131 19081 V ImapConnection: _x000D_
_x000D_
06 01 14:54:51 247 18131 19081 V ImapConnection:   _x000D_
06 01 14:54:51 248 18131 19081 V ImapFolder: Stored uid  81923  for msgSeq 32811 into map_x000D_
06 01 14:54:51 255 18131 19081 V ImapConnection: conn252974843    127   OK  Completed (0 002 sec) _x000D_
06 01 14:54:51 260 18131 19081 V ImapConnection: conn252974843    128 UID FETCH 81923 (UID BODYSTRUCTURE)_x000D_
06 01 14:54:51 308 18131 19081 V ImapConnection: conn252974843    null   32811  FETCH   UID  81923  BODYSTRUCTURE     TEXT  PLAIN   CHARSET  UTF 8   NIL  NIL  7BIT  14  0  NIL  NIL  NIL  NIL    TEXT  HTML   CHARSET  UTF 8   NIL  NIL  7BIT  211  0  NIL  NIL  NIL  NIL   ALTERNATIVE   BOUNDARY        Part 2548080 1515482823 1608771420873   NIL  NIL  NIL    APPLICATION  PDF  NIL   a168400c 8777 0b50 e69e 96456b6a0973 yahoo com   NIL  BASE64  7385484  NIL   ATTACHMENT   FILENAME    UTF 8 b Z2lsbC53aW5nZXIuZGVjbC5maW5hbC5wZGY       NIL  NIL   MIXED   BOUNDARY        Part 2548081 1202856785 1608771420918   NIL  NIL  NIL   _x000D_
06 01 14:54:51 310 18131 19081 V ImapFolder: Stored uid  81923  for msgSeq 32811 into map_x000D_
06 01 14:54:51 322 18131 19081 V ImapConnection: conn252974843    128   OK  Completed (0 001 sec) _x000D_
06 01 14:54:51 331 18131 19081 E MessageExtractor: Unable to getTextFromPart_x000D_
06 01 14:54:51 395 18131 19081 V LockableDatabase: LockableDatabase: Transaction ended  took 12 ms   com fsck k9 storage messages SaveMessageOperations saveMessage(SaveMessageOperations kt:81)_x000D_
06 01 14:54:51 401 18131 19081 V ImapConnection: conn252974843    129 NOOP_x000D_
06 01 14:54:51 472 18131 19081 V ImapResponseParser: conn252974843    129   OK  Completed _x000D_
06 01 14:54:51 477 18131 19081 V ImapConnection: conn252974843    130 EXAMINE  INBOX _x000D_
06 01 14:54:51 553 18131 19081 V ImapResponseParser: conn252974843    null   OK   CLOSED   Ok _x000D_
06 01 14:54:51 554 18131 19081 V ImapResponseParser: conn252974843    null   36581  EXISTS _x000D_
06 01 14:54:51 555 18131 19081 V ImapResponseParser: conn252974843    null   2  RECENT _x000D_
06 01 14:54:51 555 18131 19081 V ImapResponseParser: conn252974843    null   FLAGS    Answered   Flagged   Draft   Deleted   Seen   X ME Annot 2   IsMailingList   IsNotification   HasAttachment   HasTD   Forwarded   NotJunk   IsTrusted   Junk   Phishing  _x000D_
06 01 14:54:51 563 18131 19081 V ImapResponseParser: conn252974843    null   OK   PERMANENTFLAGS       Ok _x000D_
06 01 14:54:51 564 18131 19081 V ImapResponseParser: conn252974843    null   OK   UNSEEN  8205   Ok _x000D_
06 01 14:54:51 565 18131 19081 V ImapResponseParser: conn252974843    null   OK   UIDVALIDITY  1358829126   Ok _x000D_
06 01 14:54:51 566 18131 19081 V ImapResponseParser: conn252974843    null   OK   UIDNEXT  87220   Ok _x000D_
06 01 14:54:51 567 18131 19081 V ImapResponseParser: conn252974843    null   OK   HIGHESTMODSEQ  815836   Ok _x000D_
06 01 14:54:51 568 18131 19081 V ImapResponseParser: conn252974843    null   OK   MAILBOXID   9557bac3 c351 4c95 b51f 6ebd36932b6b    Ok _x000D_
06 01 14:54:51 568 18131 19081 V ImapResponseParser: conn252974843    null   OK   URLMECH  INTERNAL   Ok _x000D_
06 01 14:54:51 569 18131 19081 V ImapResponseParser: conn252974843    null   OK   ANNOTATIONS  65536   Ok _x000D_
06 01 14:54:51 569 18131 19081 V ImapResponseParser: conn252974843    130   OK   READ ONLY   Completed _x000D_
06 01 14:54:51 570 18131 19081 D ImapFolder: Got untagged EXISTS with value 36581 for  NAME DELETED  Law:INBOX pool 4 thread 1 conn252974843_x000D_
06 01 14:54:51 571 18131 19081 D ImapFolder: Got UidNext   87220 for  NAME DELETED  Law:INBOX pool 4 thread 1 conn252974843_x000D_
06 01 14:54:51 580 18131 19081 V ImapConnection: conn252974843    131 UID FETCH 81918 (UID FLAGS INTERNALDATE RFC822 SIZE BODY PEEK HEADER FIELDS (date subject from content type to cc reply to message id references in reply to X K9mail Identity) )_x000D_
06 01 14:54:51 659 18131 19081 V ImapConnection: conn252974843    null   32806  FETCH   FLAGS    Seen   X ME Annot 2   HasAttachment   UID  81918  INTERNALDATE  23 Dec 2020 18:51:17  0500  RFC822 SIZE  42697  BODY   HEADER FIELDS   date  subject  from  content type  to  cc  reply to  message id  references  in reply to  X K9mail Identity    Date: Wed  23 Dec 2020 23:51:48  0000 (UTC)_x000D_
_x000D_
06 01 14:54:51 659 18131 19081 V ImapConnection: From: Sam               EMAIL COM _x000D_
_x000D_
06 01 14:54:51 659 18131 19081 V ImapConnection: To: Oliver               EMAIL COM   Andrew               EMAIL COM _x000D_
_x000D_
06 01 14:54:51 659 18131 19081 V ImapConnection: Message ID:  1638777627 11307 1608767508818 mail yahoo com _x000D_
_x000D_
06 01 14:54:51 659 18131 19081 V ImapConnection: Subject: Revised Winger affidavit_x000D_
_x000D_
06 01 14:54:51 659 18131 19081 V ImapConnection: Content Type: multipart mixed  _x000D_
_x000D_
06 01 14:54:51 659 18131 19081 V ImapConnection: 	boundary        Part 11306 269940131 1608767508817 _x000D_
_x000D_
06 01 14:54:51 659 18131 19081 V ImapConnection: References:  1638777627 11307 1608767508818 ref mail yahoo com _x000D_
_x000D_
06 01 14:54:51 659 18131 19081 V ImapConnection: _x000D_
_x000D_
06 01 14:54:51 659 18131 19081 V ImapConnection:   _x000D_
06 01 14:54:51 661 18131 19081 V ImapFolder: Stored uid  81918  for msgSeq 32806 into map_x000D_
06 01 14:54:51 665 18131 19081 V ImapConnection: conn252974843    131   OK  Completed (0 001 sec) _x000D_
06 01 14:54:51 671 18131 19081 V ImapConnection: conn252974843    132 UID FETCH 81918 (UID BODYSTRUCTURE)_x000D_
06 01 14:54:51 718 18131 19081 V ImapConnection: conn252974843    null   32806  FETCH   UID  81918  BODYSTRUCTURE     TEXT  PLAIN   CHARSET  UTF 8   NIL  NIL  QUOTED PRINTABLE  118  2  NIL  NIL  NIL  NIL    TEXT  HTML   CHARSET  UTF 8   NIL  NIL  7BIT  540  0  NIL  NIL  NIL  NIL   ALTERNATIVE   BOUNDARY        Part 11305 1528887570 1608767508816   NIL  NIL  NIL    APPLICATION  VND MS WORD DOCUMENT MACROENABLED 12  NIL   3d2b7477 30d6 be98 b7fc 36fd6f8c8a98 yahoo com   NIL  BASE64  29966  NIL   ATTACHMENT   FILENAME    UTF 8 b d2luZ2VyLmRlY2wuMy5kb2Nt      NIL  NIL   MIXED   BOUNDARY        Part 11306 269940131 1608767508817   NIL  NIL  NIL   _x000D_
06 01 14:54:51 719 18131 19081 V ImapFolder: Stored uid  81918  for msgSeq 32806 into map_x000D_
06 01 14:54:51 722 18131 19081 V ImapConnection: conn252974843    132   OK  Completed (0 001 sec) _x000D_
06 01 14:54:51 733 18131 19081 E MessageExtractor: Unable to getTextFromPart_x000D_
06 01 14:54:51 794 18131 19081 V LockableDatabase: LockableDatabase: Transaction ended  took 13 ms   com fsck k9 storage messages SaveMessageOperations saveMessage(SaveMessageOperations kt:81)_x000D_
06 01 14:54:51 805 18131 19081 V ImapConnection: conn252974843    133 NOOP_x000D_
06 01 14:54:51 854 18131 19081 V ImapResponseParser: conn252974843    133   OK  Completed _x000D_
06 01 14:54:51 858 18131 19081 V ImapConnection: conn252974843    134 EXAMINE  INBOX _x000D_
06 01 14:54:51 932 18131 19081 V ImapResponseParser: conn252974843    null   OK   CLOSED   Ok _x000D_
06 01 14:54:51 933 18131 19081 V ImapResponseParser: conn252974843    null   36581  EXISTS _x000D_
06 01 14:54:51 933 18131 19081 V ImapResponseParser: conn252974843    null   2  RECENT _x000D_
06 01 14:54:51 934 18131 19081 V ImapResponseParser: conn252974843    null   FLAGS    Answered   Flagged   Draft   Deleted   Seen   X ME Annot 2   IsMailingList   IsNotification   HasAttachment   HasTD   Forwarded   NotJunk   IsTrusted   Junk   Phishing  _x000D_
06 01 14:54:51 934 18131 19081 V ImapResponseParser: conn252974843    null   OK   PERMANENTFLAGS       Ok _x000D_
06 01 14:54:51 935 18131 19081 V ImapResponseParser: conn252974843    null   OK   UNSEEN  8205   Ok _x000D_
06 01 14:54:51 935 18131 19081 V ImapResponseParser: conn252974843    null   OK   UIDVALIDITY  1358829126   Ok _x000D_
06 01 14:54:51 936 18131 19081 V ImapResponseParser: conn252974843    null   OK   UIDNEXT  87220   Ok _x000D_
06 01 14:54:51 937 18131 19081 V ImapResponseParser: conn252974843    null   OK   HIGHESTMODSEQ  815836   Ok _x000D_
06 01 14:54:51 937 18131 19081 V ImapResponseParser: conn252974843    null   OK   MAILBOXID   9557bac3 c351 4c95 b51f 6ebd36932b6b    Ok _x000D_
06 01 14:54:51 938 18131 19081 V ImapResponseParser: conn252974843    null   OK   URLMECH  INTERNAL   Ok _x000D_
06 01 14:54:51 938 18131 19081 V ImapResponseParser: conn252974843    null   OK   ANNOTATIONS  65536   Ok _x000D_
06 01 14:54:51 939 18131 19081 V ImapResponseParser: conn252974843    134   OK   READ ONLY   Completed _x000D_
06 01 14:54:51 941 18131 19081 D ImapFolder: Got untagged EXISTS with value 36581 for  NAME DELETED  Law:INBOX pool 4 thread 1 conn252974843_x000D_
06 01 14:54:51 942 18131 19081 D ImapFolder: Got UidNext   87220 for  NAME DELETED  Law:INBOX pool 4 thread 1 conn252974843_x000D_
06 01 14:54:51 946 18131 19081 V ImapConnection: conn252974843    135 UID FETCH 81910 (UID FLAGS INTERNALDATE RFC822 SIZE BODY PEEK HEADER FIELDS (date subject from content type to cc reply to message id references in reply to X K9mail Identity) )_x000D_
06 01 14:54:52 024 18131 19081 V ImapConnection: conn252974843    null   32799  FETCH   FLAGS    Answered   Seen   X ME Annot 2   UID  81910  INTERNALDATE  23 Dec 2020 15:18:58  0500  RFC822 SIZE  27227  BODY   HEADER FIELDS   date  subject  from  content type  to  cc  reply to  message id  references  in reply to  X K9mail Identity    Date: Wed  23 Dec 2020 20:19:27  0000 (UTC)_x000D_
_x000D_
06 01 14:54:52 024 18131 19081 V ImapConnection: From: Sam               EMAIL COM _x000D_
_x000D_
06 01 14:54:52 024 18131 19081 V ImapConnection: To: Andrew               EMAIL COM   Oliver               EMAIL COM _x000D_
_x000D_
06 01 14:54:52 024 18131 19081 V ImapConnection: Message ID:  1839947908 2491783 1608754767801 mail yahoo com _x000D_
_x000D_
06 01 14:54:52 024 18131 19081 V ImapConnection: In Reply To:  934e254d 1c8a e50c 5d4d 639752cc92a9 gmail com _x000D_
_x000D_
06 01 14:54:52 024 18131 19081 V ImapConnection: References:  df0e51a7 6dbd d669 3652 13bb5a898850 gmail com   643182293 2490699 1608752945879 mail yahoo com   25e9e2dc e805 4f40 a85a c0fc99018b15 www       com   1405273650 2496452 1608753730454 mail yahoo com   934e254d 1c8a e50c 5d4d 639752cc92a9 gmail com _x000D_
_x000D_
06 01 14:54:52 024 18131 19081 V ImapConnection: Subject: Re: Correction Based on New Winger Declaration_x000D_
_x000D_
06 01 14:54:52 024 18131 19081 V ImapConnection: Content Type: multipart alternative  _x000D_
_x000D_
06 01 14:54:52 024 18131 19081 V ImapConnection: 	boundary        Part 2491782 1232255116 1608754767798 _x000D_
_x000D_
06 01 14:54:52 024 18131 19081 V ImapConnection: _x000D_
_x000D_
06 01 14:54:52 024 18131 19081 V ImapConnection:   _x000D_
06 01 14:54:52 027 18131 19081 V ImapFolder: Stored uid  81910  for msgSeq 32799 into map_x000D_
06 01 14:54:52 030 18131 19081 V ImapConnection: conn252974843    135   OK  Completed (0 001 sec) _x000D_
06 01 14:54:52 035 18131 19081 V ImapConnection: conn252974843    136 UID FETCH 81910 (UID BODYSTRUCTURE)_x000D_
06 01 14:54:52 091 18131 19081 V ImapConnection: conn252974843    null   32799  FETCH   UID  81910  BODYSTRUCTURE    TEXT  PLAIN   CHARSET  UTF 8   NIL  NIL  QUOTED PRINTABLE  3067  83  NIL  NIL  NIL  NIL    TEXT  HTML   CHARSET  UTF 8   NIL  NIL  7BIT  12267  185  NIL  NIL  NIL  NIL   ALTERNATIVE   BOUNDARY        Part 2491782 1232255116 1608754767798   NIL  NIL  NIL   _x000D_
06 01 14:54:52 093 18131 19081 V ImapFolder: Stored uid  81910  for msgSeq 32799 into map_x000D_
06 01 14:54:52 095 18131 19081 V ImapConnection: conn252974843    136   OK  Completed (0 001 sec) _x000D_
06 01 14:54:52 105 18131 19081 E MessageExtractor: Unable to getTextFromPart_x000D_
06 01 14:54:52 200 18131 19081 V LockableDatabase: LockableDatabase: Transaction ended  took 11 ms   com fsck k9 storage messages SaveMessageOperations saveMessage(SaveMessageOperations kt:81)_x000D_
06 01 14:54:52 204 18131 19081 V ImapConnection: conn252974843    137 NOOP_x000D_
06 01 14:54:52 249 18131 19081 V ImapResponseParser: conn252974843    137   OK  Completed _x000D_
06 01 14:54:52 251 18131 19081 V ImapConnection: conn252974843    138 EXAMINE  INBOX _x000D_
06 01 14:54:52 296 18131 18714 I com fsck k9: Background concurrent copying GC freed 88189(6482KB) AllocSpace objects  28(560KB) LOS objects  49  free  9165KB 17MB  paused 94us total 113 109ms_x000D_
06 01 14:54:52 309 18131 19081 V ImapResponseParser: conn252974843    null   OK   CLOSED   Ok _x000D_
06 01 14:54:52 310 18131 19081 V ImapResponseParser: conn252974843    null   36581  EXISTS _x000D_
06 01 14:54:52 310 18131 19081 V ImapResponseParser: conn252974843    null   2  RECENT _x000D_
06 01 14:54:52 311 18131 19081 V ImapResponseParser: conn252974843    null   FLAGS    Answered   Flagged   Draft   Deleted   Seen   X ME Annot 2   IsMailingList   IsNotification   HasAttachment   HasTD   Forwarded   NotJunk   IsTrusted   Junk   Phishing  _x000D_
06 01 14:54:52 311 18131 19081 V ImapResponseParser: conn252974843    null   OK   PERMANENTFLAGS       Ok _x000D_
06 01 14:54:52 313 18131 19081 V ImapResponseParser: conn252974843    null   OK   UNSEEN  8205   Ok _x000D_
06 01 14:54:52 315 18131 19081 V ImapResponseParser: conn252974843    null   OK   UIDVALIDITY  1358829126   Ok _x000D_
06 01 14:54:52 315 18131 19081 V ImapResponseParser: conn252974843    null   OK   UIDNEXT  87220   Ok _x000D_
06 01 14:54:52 317 18131 19081 V ImapResponseParser: conn252974843    null   OK   HIGHESTMODSEQ  815836   Ok _x000D_
06 01 14:54:52 321 18131 19081 V ImapResponseParser: conn252974843    null   OK   MAILBOXID   9557bac3 c351 4c95 b51f 6ebd36932b6b    Ok _x000D_
06 01 14:54:52 322 18131 19081 V ImapResponseParser: conn252974843    null   OK   URLMECH  INTERNAL   Ok _x000D_
06 01 14:54:52 322 18131 19081 V ImapResponseParser: conn252974843    null   OK   ANNOTATIONS  65536   Ok _x000D_
06 01 14:54:52 323 18131 19081 V ImapResponseParser: conn252974843    138   OK   READ ONLY   Completed _x000D_
06 01 14:54:52 323 18131 19081 D ImapFolder: Got untagged EXISTS with value 36581 for  NAME DELETED  Law:INBOX pool 4 thread 1 conn252974843_x000D_
06 01 14:54:52 324 18131 19081 D ImapFolder: Got UidNext   87220 for  NAME DELETED  Law:INBOX pool 4 thread 1 conn252974843_x000D_
06 01 14:54:52 327 18131 19081 V ImapConnection: conn252974843    139 UID FETCH 81908 (UID FLAGS INTERNALDATE RFC822 SIZE BODY PEEK HEADER FIELDS (date subject from content type to cc reply to message id references in reply to X K9mail Identity) )_x000D_
06 01 14:54:52 389 18131 19081 V ImapConnection: conn252974843    null   32797  FETCH   FLAGS    Seen   X ME Annot 2   UID  81908  INTERNALDATE  23 Dec 2020 15:04:40  0500  RFC822 SIZE  22764  BODY   HEADER FIELDS   date  subject  from  content type  to  cc  reply to  message id  references  in reply to  X K9mail Identity    Subject: Re: Correction Based on New Winger Declaration_x000D_
_x000D_
06 01 14:54:52 389 18131 19081 V ImapConnection: To: Sam               EMAIL COM   Andrew               EMAIL COM _x000D_
_x000D_
06 01 14:54:52 389 18131 19081 V ImapConnection: References:  df0e51a7 6dbd d669 3652 13bb5a898850 gmail com _x000D_
_x000D_
06 01 14:54:52 389 18131 19081 V ImapConnection:   643182293 24906</t>
  </si>
  <si>
    <t>Bible-Translation-Tools-BTT-Writer-Android-22</t>
  </si>
  <si>
    <t>Crash on select some translation words</t>
  </si>
  <si>
    <t xml:space="preserve">  crash writer android (https:  user images githubusercontent com 34975907 120372196 d82b9900 c2e4 11eb 8bd3 45759f8e75ab png)_x000D_
</t>
  </si>
  <si>
    <t>mI-PIV-app-112</t>
  </si>
  <si>
    <t>Crashing at "Compute PIV"</t>
  </si>
  <si>
    <t xml:space="preserve">V0 16 is crashing on multiple phones at the  Compute PIV  step  Videos are not high res </t>
  </si>
  <si>
    <t>nextcloud-talk-android-1306</t>
  </si>
  <si>
    <t>Crash in call with around 40 participants</t>
  </si>
  <si>
    <t xml:space="preserve">   Steps to reproduce_x000D_
1  Try to connect with Nextcloud Talk app to the Nextcloud Internal Company Call (around 40 participants I think)_x000D_
_x000D_
    Expected behaviour_x000D_
Listen to people in the call_x000D_
_x000D_
    Actual behaviour_x000D_
Heard for a minute some robo voice  After a minute the app decided to crash _x000D_
_x000D_
   Device information_x000D_
_x000D_
  Device:   LG G4_x000D_
  Android version:   9_x000D_
_x000D_
  Talk version:   11 1 0_x000D_
_x000D_
   Server information_x000D_
_x000D_
  Nextcloud version:   cloud nextcloud com_x000D_
_x000D_
  Talk version:   Don t know_x000D_
_x000D_
  Custom Signaling server configured:   Don t know_x000D_
_x000D_
  Custom TURN server configured:   Don t know_x000D_
_x000D_
  Custom STUN server configured:   Don t know_x000D_
_x000D_
    Server log (data nextcloud log)_x000D_
Don t have them_x000D_
_x000D_
  details _x000D_
_x000D_
I know there are not many information in the bug report  Probably my phone can t just handle the load  Let me know if I can provide additional information </t>
  </si>
  <si>
    <t>google-ExoPlayer-9002</t>
  </si>
  <si>
    <t>ACCESS_NETWORK_STATE crash 2.13.3</t>
  </si>
  <si>
    <t xml:space="preserve">I m getting report from Crashlytics that some user are having crashes the stacktrace is as shown below:_x000D_
_x000D_
   _x000D_
Fatal Exception: java lang RuntimeException_x000D_
Unable to create application com my application PocApplication: java lang SecurityException: Package android does not belong to 10609_x000D_
android app ActivityThread handleMakeApplication (ActivityThread java:7512)_x000D_
android app ActivityThread handleBindApplication (ActivityThread java:7446)_x000D_
android app ActivityThread access 1500 (ActivityThread java:301)_x000D_
android app ActivityThread H handleMessage (ActivityThread java:2148)_x000D_
android os Handler dispatchMessage (Handler java:106)_x000D_
android os Looper loop (Looper java:246)_x000D_
android app ActivityThread main (ActivityThread java:8512)_x000D_
java lang reflect Method invoke (Method java)_x000D_
com android internal os RuntimeInit MethodAndArgsCaller run (RuntimeInit java:602)_x000D_
com android internal os ZygoteInit main (ZygoteInit java:1130)_x000D_
   _x000D_
_x000D_
   _x000D_
android os Parcel createExceptionOrNull (Parcel java:2385)_x000D_
android os Parcel createException (Parcel java:2369)_x000D_
android os Parcel readException (Parcel java:2352)_x000D_
android os Parcel readException (Parcel java:2294)_x000D_
android net IConnectivityManager Stub Proxy requestNetwork (IConnectivityManager java:4597)_x000D_
android net ConnectivityManager sendRequestForNetwork (ConnectivityManager java:4194)_x000D_
android net ConnectivityManager registerDefaultNetworkCallback (ConnectivityManager java:4706)_x000D_
android net ConnectivityManager registerDefaultNetworkCallback (ConnectivityManager java:4673)_x000D_
com google android exoplayer2 scheduler RequirementsWatcher registerNetworkCallbackV24 (RequirementsWatcher java:136)_x000D_
com google android exoplayer2 scheduler RequirementsWatcher start (RequirementsWatcher java:91)_x000D_
com google android exoplayer2 offline DownloadManager  init  (DownloadManager java:278)_x000D_
com google android exoplayer2 offline DownloadManager  init  (DownloadManager java:230)_x000D_
   _x000D_
_x000D_
   _x000D_
Remote stack trace: at android app AppOpsManager checkPackage(AppOpsManager java:7783) at _x000D_
com android server ConnectivityService ensureSufficientPermissionsForRequest(ConnectivityService java:8546) at_x000D_
com android server ConnectivityService requestNetwork(ConnectivityService java:8648) at _x000D_
android net IConnectivityManager Stub onTransact(IConnectivityManager java:2051) at _x000D_
android os Binder execTransactInternal(Binder java:1190)_x000D_
   _x000D_
_x000D_
My manifest permission::_x000D_
   xml_x000D_
     uses permission android:name  android permission INTERNET    _x000D_
     uses permission android:name  android permission CHANGE NETWORK STATE    _x000D_
     uses permission android:name  android permission RECEIVE BOOT COMPLETED    _x000D_
     uses permission android:name  android permission FOREGROUND SERVICE   _x000D_
     uses permission android:name  android permission REQUEST INSTALL PACKAGES    _x000D_
     uses permission android:name  android permission READ EXTERNAL STORAGE    _x000D_
     uses permission android:name  android permission WRITE EXTERNAL STORAGE  tools:ignore  ScopedStorage    _x000D_
   _x000D_
_x000D_
The crash happened on _x000D_
  ExoPlayer: 2 13 3_x000D_
  Android version: 11_x000D_
  Android device: Samsung Galaxy S20 FE 5G_x000D_
  Rooted: no_x000D_
_x000D_
</t>
  </si>
  <si>
    <t>Azure-azure-iot-sdk-java-1225</t>
  </si>
  <si>
    <t>NullPointerException in ClientState.quiesce iot-device-client:1.29.4</t>
  </si>
  <si>
    <t xml:space="preserve">  Context_x000D_
_x000D_
    OS and version used:   Android (mostly ver 10 and 11)_x000D_
    SDK version used:   iot device client:1 29 4_x000D_
_x000D_
   Description of the issue_x000D_
Some crashes reported in Crashlytics for version of app that includes iot device client:1 29 4 _x000D_
3 different crashes around ClientState quiesce_x000D_
_x000D_
   Console log of the issue_x000D_
Crashlytics crash info _x000D_
_x000D_
                                        _x000D_
_x000D_
ClientState java line 1330_x000D_
org eclipse paho client mqttv3 internal ClientState quiesce_x000D_
_x000D_
Fatal Exception: java lang NullPointerException_x000D_
Attempt to invoke virtual method  void org eclipse paho client mqttv3 internal CommsCallback quiesce()  on a null object reference_x000D_
_x000D_
Fatal Exception: java lang NullPointerException: Attempt to invoke virtual method  void org eclipse paho client mqttv3 internal CommsCallback quiesce()  on a null object reference_x000D_
       at org eclipse paho client mqttv3 internal ClientState quiesce(ClientState java:1330)_x000D_
       at org eclipse paho client mqttv3 internal ClientComms DisconnectBG run(ClientComms java:775)_x000D_
       at java lang Thread run(Thread java:923)_x000D_
_x000D_
                                        _x000D_
_x000D_
ClientComms java line 775_x000D_
org eclipse paho client mqttv3 internal ClientComms DisconnectBG run_x000D_
_x000D_
Fatal Exception: java lang NullPointerException_x000D_
Attempt to invoke virtual method org eclipse paho client mqttv3 internal ClientState quiesce(long)  on a null object reference_x000D_
_x000D_
Fatal Exception: java lang NullPointerException: Attempt to invoke virtual method  void org eclipse paho client mqttv3 internal ClientState quiesce(long)  on a null object reference_x000D_
       at org eclipse paho client mqttv3 internal ClientComms DisconnectBG run(ClientComms java:775)_x000D_
       at java lang Thread run(Thread java:923)_x000D_
_x000D_
                                        _x000D_
_x000D_
ClientState java line 1355_x000D_
org eclipse paho client mqttv3 internal ClientState quiesce_x000D_
_x000D_
Fatal Exception: java lang NullPointerException_x000D_
Attempt to invoke virtual method  void java util Vector clear()  on a null object reference_x000D_
_x000D_
Fatal Exception: java lang NullPointerException: Attempt to invoke virtual method  void java util Vector clear()  on a null object reference_x000D_
       at org eclipse paho client mqttv3 internal ClientState quiesce(ClientState java:1355)_x000D_
       at org eclipse paho client mqttv3 internal ClientComms DisconnectBG run(ClientComms java:775)_x000D_
       at java lang Thread run(Thread java:923)_x000D_
_x000D_
_x000D_
</t>
  </si>
  <si>
    <t>TeamNewPipe-NewPipe-6409</t>
  </si>
  <si>
    <t>Channel description is unreadable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</si>
  <si>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Search for a channel  and see the channel description  Read the first line and second line _x000D_
_x000D_
  Screenshot 20210601 091935 org schabi newpipe (https:  user images githubusercontent com 50160188 120264431 84598980 c2bd 11eb 9719 2affab7790e5 jpg)_x000D_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Channel details is clipped on the right hand side in the first line and doesn t continue from second line  which makes it unreadable _x000D_
_x000D_
_x000D_
    Expected behavior_x000D_
     Tell us what you expect to happen     _x000D_
Incomplete text from first line should start from second line making making it readable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Full channel details from About page(from official Youtube website) _x000D_
_x000D_
  Capture (https:  user images githubusercontent com 50160188 120264777 3729e780 c2be 11eb 970f 0f7f72463e6a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</si>
  <si>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TeamNewPipe-NewPipe-6407</t>
  </si>
  <si>
    <t>App crashes if opened after a long time (booted from RAM?)</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</si>
  <si>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Not reproducible reliably  but:_x000D_
_x000D_
1  Open some video page _x000D_
2  Leave Newpipe for a long time  and use other apps _x000D_
3  Come back to Newpipe _x000D_
_x000D_
    Actual behaviour_x000D_
     Tell us what happens with the steps given above     _x000D_
_x000D_
Crash  Caught by Scoop  Newpipe s error activity doesn t open for this _x000D_
_x000D_
    Expected behavior_x000D_
     Tell us what you expect to happen     _x000D_
_x000D_
Resume Newpipe exactly how you left it _x000D_
_x000D_
    Logs_x000D_
     If your bug includes a crash (where you re shown the Error Report page with a bunch of info)  tap on  Copy formatted report  at the bottom and paste it here:    _x000D_
_x000D_
     That s right  here     _x000D_
_x000D_
   _x000D_
FATAL EXCEPTION: main_x000D_
Process: org schabi newpipe  PID: 7132_x000D_
java lang RuntimeException: Unable to start activity ComponentInfo org schabi newpipe org schabi newpipe MainActivity : androidx fragment app Fragment InstantiationException: Unable to instantiate fragment org schabi newpipe fragments EmptyFragment: could not find Fragment constructor_x000D_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Caused by: androidx fragment app Fragment InstantiationException: Unable to instantiate fragment org schabi newpipe fragments EmptyFragment: could not find Fragment constructor_x000D_
	at androidx fragment app Fragment instantiate(Fragment java:563)_x000D_
	at androidx fragment app FragmentContainer instantiate(FragmentContainer java:57)_x000D_
	at androidx fragment app FragmentManager 3 instantiate(FragmentManager java:390)_x000D_
	at androidx fragment app FragmentStateManager  init (FragmentStateManager java:74)_x000D_
	at androidx fragment app FragmentManager restoreSaveState(FragmentManager java:2454)_x000D_
	at androidx fragment app Fragment restoreChildFragmentState(Fragment java:1706)_x000D_
	at androidx fragment app Fragment onCreate(Fragment java:1683)_x000D_
	at org schabi newpipe BaseFragment onCreate(BaseFragment java:55)_x000D_
	at org schabi newpipe fragments detail VideoDetailFragment onCreate(VideoDetailFragment java:279)_x000D_
	at androidx fragment app Fragment performCreate(Fragment java:2684)_x000D_
	at androidx fragment app FragmentStateManager create(FragmentStateManager java:280)_x000D_
	at androidx fragment app FragmentManager moveToState(FragmentManager java:1175)_x000D_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FragmentManager dispatchStateChange(FragmentManager java:2625)_x000D_
	at androidx fragment app FragmentManager dispatchCreate(FragmentManager java:2571)_x000D_
	at androidx fragment app FragmentController dispatchCreate(FragmentController java:236)_x000D_
	at androidx fragment app FragmentActivity onCreate(FragmentActivity java:315)_x000D_
	at androidx appcompat app AppCompatActivity onCreate(AppCompatActivity java:115)_x000D_
	at org schabi newpipe MainActivity onCreate(MainActivity java:141)_x000D_
	at android app Activity performCreate(Activity java:7824)_x000D_
	at android app Activity performCreate(Activity java:7813)_x000D_
	at android app Instrumentation callActivityOnCreate(Instrumentation java:1306)_x000D_
	at android app ActivityThread performLaunchActivity(ActivityThread java:3245)_x000D_
	    11 more_x000D_
Caused by: java lang NoSuchMethodException: org schabi newpipe fragments EmptyFragment  init    _x000D_
	at java lang Class getConstructor0(Class java:2332)_x000D_
	at java lang Class getConstructor(Class java:1728)_x000D_
	at androidx fragment app Fragment instantiate(Fragment java:548)_x000D_
	    35 more_x000D_
   _x000D_
_x000D_
     Please fill this out when you do not provide a log generate by NewPipe    _x000D_
_x000D_
    Device info_x000D_
_x000D_
   Android version Custom ROM version: Android 10 (LOS 17 1)</t>
  </si>
  <si>
    <t>k9mail-k-9-5322</t>
  </si>
  <si>
    <t>k9-Mail v5.734 crashes on attempt to open email</t>
  </si>
  <si>
    <t xml:space="preserve">The app opens without issue but when an attempt is made to open an email the app restarts or closes _x000D_
_x000D_
  To Reproduce  _x000D_
Steps to reproduce the behavior:_x000D_
1  Open K9 Mail_x000D_
2  Select an email from the Inbox (or unified inbox)_x000D_
3  Watch the app crash :(_x000D_
_x000D_
  Expected behavior  _x000D_
To be able to view more than just the opening line of the email _x000D_
_x000D_
  Environment (please complete the following information):  _x000D_
   K 9 Mail version: 5 734_x000D_
   Android 12_x000D_
   Google Pixel 4a_x000D_
   Account type: IMAP_x000D_
_x000D_
  Additional context  _x000D_
Add any other context about the problem here _x000D_
_x000D_
  Logs  _x000D_
 20210531 k9 log txt (https:  github com k9mail k 9 files 6571814 20210531 k9 log txt)_x000D_
</t>
  </si>
  <si>
    <t>TeamNewPipe-NewPipe-6403</t>
  </si>
  <si>
    <t>All types of age-gated videos don't get loaded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</si>
  <si>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Link:https:  www youtube com watch v 61i0AoRh5Ws_x000D_
_x000D_
    Actual behaviour_x000D_
     Tell us what happens with the steps given above     _x000D_
_x000D_
Only  specific age restricted videos don t load _x000D_
_x000D_
    Expected behavior_x000D_
     Tell us what you expect to happen     _x000D_
_x000D_
All types of videos should load normally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watch v 61i0AoRh5Ws_x000D_
    Content Country:   US_x000D_
    Content Language:   en US_x000D_
    App Language:   en US_x000D_
    Service:   YouTube_x000D_
    Version:   0 21 3_x000D_
    OS:   Linux Redmi begonia begonia:10 QP1A 190711 020 V12 0 7 0 QGGMIXM:user release keys 10   29_x000D_
 details  summary  b Crash log   b   summary  p _x000D_
_x000D_
   _x000D_
org schabi newpipe extractor exceptions AgeRestrictedContentException: This age restricted video cannot be watched _x000D_
	at org schabi newpipe extractor services youtube extractors YoutubeStreamExtractor onFetchPage(YoutubeStreamExtractor java:759)_x000D_
	at org schabi newpipe extractor Extractor fetchPage(Extractor java:54)_x000D_
	at org schabi newpipe extractor stream StreamInfo getInfo(StreamInfo java:68)_x000D_
	at org schabi newpipe extractor stream StreamInfo getInfo(StreamInfo java:64)_x000D_
	at org schabi newpipe util ExtractorHelper lambda getStreamInfo 3(ExtractorHelper java:115)_x000D_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Please fill this out when you do not provide a log generate by NewPipe    _x000D_
_x000D_
    Device info_x000D_
_x000D_
   Android version Custom ROM version: MIUI 12  Android 10_x000D_
   Device model: Xiaomi Redmi Note 9_x000D_
</t>
  </si>
  <si>
    <t>voxeet-voxeet-uxkit-reactnative-35</t>
  </si>
  <si>
    <t>-[NSNull _fastCStringContents:]: unrecognized selector sent to instance 0x1eb639ee0</t>
  </si>
  <si>
    <t xml:space="preserve"> codlab  FabienLavocat _x000D_
Our users are recently facing the below crash on iOS   this is when the installation is with the develop branch_x000D_
  NSNull  fastCStringContents: : unrecognized selector sent to instance 0x1eb639ee0_x000D_
  image (https:  user images githubusercontent com 72122766 120181491 c38aca80 c22a 11eb 9e3e ba094e99f9d3 png)_x000D_
</t>
  </si>
  <si>
    <t>TeamNewPipe-NewPipe-6401</t>
  </si>
  <si>
    <t>Background audio repetition button not working and sending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</si>
  <si>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newpipe and press a video_x000D_
2  Press on a video_x000D_
3  Let it play in the background_x000D_
4  Open notificaion and click repetition_x000D_
5  Open newpipe and see error_x000D_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Error_x000D_
_x000D_
_x000D_
    Expected behavior_x000D_
     Tell us what you expect to happen     _x000D_
Song to be repeated indefinitely_x000D_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GB_x000D_
    Content Language:   en GB_x000D_
    App Language:   en GB_x000D_
    Service:   none_x000D_
    Version:   0 21 3_x000D_
    OS:   Linux Android 7 1 1   25_x000D_
 details  summary  b Crash log   b   summary  p _x000D_
_x000D_
   _x000D_
java lang RuntimeException: Error receiving broadcast Intent   act org schabi newpipe player MainPlayer REPEAT flg 0x10000010 launchParam MultiScreenLaunchParams   mDisplayId 0 mBaseDisplayId 0 mFlags 0   bqHint 0 bnds  376 187  424 235    in org schabi newpipe player Player 3 b531747_x000D_
	at android app LoadedApk ReceiverDispatcher Args run(LoadedApk java:1195)_x000D_
	at android os Handler handleCallback(Handler java:751)_x000D_
	at android os Handler dispatchMessage(Handler java:95)_x000D_
	at android os Looper loop(Looper java:154)_x000D_
	at android app ActivityThread main(ActivityThread java:6823)_x000D_
	at java lang reflect Method invoke(Native Method)_x000D_
	at com android internal os ZygoteInit MethodAndArgsCaller run(ZygoteInit java:1563)_x000D_
	at com android internal os ZygoteInit main(ZygoteInit java:1451)_x000D_
Caused by: java lang ClassCastException: android widget ImageButton cannot be cast to androidx appcompat widget AppCompatImageButton_x000D_
	at org schabi newpipe player Player onRepeatModeChanged(Player java:2257)_x000D_
	at com google android exoplayer2 ExoPlayerImpl lambda setRepeatMode 2(ExoPlayerImpl java:564)_x000D_
	at com google android exoplayer2    Lambda ExoPlayerImpl rgrcbaqP9Y8LgzdByBnAfUO4ydU invokeListener(lambda)_x000D_
	at com google android exoplayer2 BasePlayer ListenerHolder invoke(BasePlayer java:279)_x000D_
	at com google android exoplayer2 ExoPlayerImpl invokeAll(ExoPlayerImpl java:1498)_x000D_
	at com google android exoplayer2 ExoPlayerImpl lambda notifyListeners 6(ExoPlayerImpl java:1318)_x000D_
	at com google android exoplayer2    Lambda ExoPlayerImpl b59raXxaB trjwE5bgpZInm1QnU run(lambda)_x000D_
	at com google android exoplayer2 ExoPlayerImpl notifyListeners(ExoPlayerImpl java:1328)_x000D_
	at com google android exoplayer2 ExoPlayerImpl notifyListeners(ExoPlayerImpl java:1318)_x000D_
	at com google android exoplayer2 ExoPlayerImpl setRepeatMode(ExoPlayerImpl java:564)_x000D_
	at com google android exoplayer2 SimpleExoPlayer setRepeatMode(SimpleExoPlayer java:1636)_x000D_
	at org schabi newpipe player Player setRepeatMode(Player java:2247)_x000D_
	at org schabi newpipe player Player onRepeatClicked(Player java:2226)_x000D_
	at org schabi newpipe player Player onBroadcastReceived(Player java:1118)_x000D_
	at org schabi newpipe player Player access 200(Player java:190)_x000D_
	at org schabi newpipe player Player 3 onReceive(Player java:1055)_x000D_
	at android app LoadedApk ReceiverDispatcher Args run(LoadedApk java:1185)_x000D_
	    7 more_x000D_
_x000D_
   _x000D_
  details _x000D_
 hr _x000D_
_x000D_
_x000D_
_x000D_
_x000D_
     Please fill this out when you do not provide a log generate by NewPipe    _x000D_
_x000D_
    Device info_x000D_
_x000D_
   Android version Custom ROM version:_x000D_
   Device model:_x000D_
</t>
  </si>
  <si>
    <t>nextcloud-android-8500</t>
  </si>
  <si>
    <t>Crash during login</t>
  </si>
  <si>
    <t xml:space="preserve">    Steps to reproduce_x000D_
1   Open Nextcloud App_x000D_
2  Enter Server  (cloud jskup online de) and Credensials_x000D_
3   ReEnter  because first time was Passworts wrong_x000D_
4  Login sucessfull and the crash_x000D_
_x000D_
    Expected behaviour_x000D_
  Tell us what should happen_x000D_
  Enter App and Do things_x000D_
_x000D_
    Actual behaviour_x000D_
  Tell us what happens_x000D_
  Crash after sucessfull Passworts and starting loging_x000D_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</si>
  <si>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scoute-dich-browser-515</t>
  </si>
  <si>
    <t>Crash when checking Clear on application exit</t>
  </si>
  <si>
    <t xml:space="preserve">Hello _x000D_
_x000D_
The browser (v  7 4 3) crashes everytime I open the  Settings  menu after checking  Clear on application exit  together with all the boxes above this option _x000D_
I m sure about the bug  cause it stopped crashing once I cleared the app cache _x000D_
I m using a Lenovo A2016b30 with Android 6 0 _x000D_
_x000D_
I hope been helpful  Have a good day night and keep it doing  ) the app works great and have really nice features  Willing to use the Dark mode soon </t>
  </si>
  <si>
    <t>Benji377-SocyMusic-17</t>
  </si>
  <si>
    <t>App crashes from a Null pointer exception if the file selected to play has been deleted or moved</t>
  </si>
  <si>
    <t xml:space="preserve">If you run the app  switch out of it  delete or move or rename the file  and switch back  then try to play it  the app crashes with the following exception _x000D_
_x000D_
 E AndroidRuntime: FATAL EXCEPTION: main_x000D_
    Process: com example musicplayer  PID: 16053_x000D_
    java lang RuntimeException: Unable to start activity ComponentInfo com example musicplayer com example SocyMusic PlayerActivity : java lang NullPointerException: Attempt to invoke virtual method  void android media MediaPlayer start()  on a null object reference_x000D_
        at android app ActivityThread performLaunchActivity(ActivityThread java:3449)_x000D_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NullPointerException: Attempt to invoke virtual method  void android media MediaPlayer start()  on a null object reference_x000D_
        at com example SocyMusic PlayerActivity onCreate( ins PlayerActivity java:112  ins )_x000D_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java:3422)_x000D_
        at android app ActivityThread handleLaunchActivity(ActivityThread java:3601) _x000D_
        at android app servertransaction LaunchActivityItem execute(LaunchActivityItem java:85) _x000D_
        at android app servertransaction TransactionExecutor executeCallbacks(TransactionExecutor java:135) _x000D_
        at android app servertransaction TransactionExecutor execute(TransactionExecutor java:95) _x000D_
        at android app ActivityThread H handleMessage(ActivityThread java:2066) _x000D_
        at android os Handler dispatchMessage(Handler java:106) _x000D_
        at android os Looper loop(Looper java:223) _x000D_
        at android app ActivityThread main(ActivityThread java:7656) _x000D_
        at java lang reflect Method invoke(Native Method) _x000D_
        at com android internal os RuntimeInit MethodAndArgsCaller run(RuntimeInit java:592) _x000D_
        at com android internal os ZygoteInit main(ZygoteInit java:947) _x000D_
_x000D_
</t>
  </si>
  <si>
    <t>TeamNewPipe-NewPipe-6397</t>
  </si>
  <si>
    <t>Unable to navigate internal storage to export database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</si>
  <si>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_x000D_
    Steps to reproduce the bug_x000D_
1  Go to  Settings  Content  Export database _x000D_
2  Allow permissions if necessary _x000D_
3  Navigate to external drive  and attempt to save   NOTE: The default save folder has now changed  locking you out of any ability to ever navigate to a viable folder  and effectively making the database unsavable _x000D_
4  After save fails (see https:  github com TeamNewPipe NewPipe issues 5198 ) attempt to navigate back to internal storage _x000D_
5  Many folders are not displayed  especially the folder(s) necessary to navigate back to a viable internal save folder _x000D_
_x000D_
     If you can t cause the bug to show up again reliably (and hence don t have a proper set of steps to give us)  please still try to give as many details as possible on how you think you encountered the bug     _x000D_
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DON T POST SCREENSHOTS OF THE ERROR PAGE  Use the buttons given on the error page to paste the error as text in the Logs section below     _x000D_
_x000D_
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9   lineage 16 _x000D_
   Device model: xt1687_x000D_
</t>
  </si>
  <si>
    <t>DIT112-V21-group-10-110</t>
  </si>
  <si>
    <t>Bug- App crash from main menu</t>
  </si>
  <si>
    <t xml:space="preserve">Sometimes the app crashes and I get this error  I m 50  certain that I only get this in the MainActivity  Might be related to how the timer works _x000D_
_x000D_
  image (https:  user images githubusercontent com 65816176 120080709 7d165e00 c0ba 11eb 8da4 08b9684c449a png)_x000D_
</t>
  </si>
  <si>
    <t>TeamNewPipe-NewPipe-6392</t>
  </si>
  <si>
    <t>Unrecoverable Player Error on changing playback speed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</si>
  <si>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any video from Youtube_x000D_
2  Press on playback speed to open popup menu_x000D_
3  Try to increase the Tempo  over 1x :_x000D_
	  it works fine when decreasing speed from 1x to 0 75x  or even increasing from 0 75x to 1x _x000D_
	  Just doesn t seem to handle anything above 1x _x000D_
	  Changing pitch doesn t cause error _x000D_
	  Changing the step doesn t help  _x000D_
	  And the crash happens  before  pressing  ok  on the popup menu  as soon as I press the increase button and it goes over 1x _x000D_
_x000D_
    Actual behaviour_x000D_
     Tell us what happens with the steps given above     _x000D_
  Player crashes _x000D_
  Get a toast showing  Unrecoverable Player Error occurred _x000D_
  The playback speed is saved  and on restarting resuming playback  it remembers the modified speed _x000D_
_x000D_
    Expected behavior_x000D_
  Should not crash when going above 1x tempo_x000D_
_x000D_
    Logs_x000D_
     If your bug includes a crash (where you re shown the Error Report page with a bunch of info)  tap on  Copy formatted report  at the bottom and paste it here:    _x000D_
Did not get any Error Report page _x000D_
     That s right  here     _x000D_
_x000D_
    Device info_x000D_
_x000D_
   Android version Custom ROM version: Android 11  Custom ROM:  Nusantara 2 9 (https:  nusantaraproject my id )_x000D_
   Device model: Realme 3 Pro (RMX1851)_x000D_
   The bug s been present for a few weeks now  not sure when it started _x000D_
</t>
  </si>
  <si>
    <t>google-ExoPlayer-8991</t>
  </si>
  <si>
    <t>ExoPlayerImplInternal: Renderer error</t>
  </si>
  <si>
    <t xml:space="preserve">This issue seems to be specific to Android Samsung A10 mobile phones  This occurs on an app that has ExoPlayer integrated but I have found the same crash to occur in the ExoPlayer Demo App whenever I try to play UHD content  Originally found in version 2 11 7 but reproduced in 2 14 0  Whenever the player is supposed to be instantiated it will crash with this message in the logs:_x000D_
_x000D_
   _x000D_
E ExoPlayerImplInternal: Renderer error: index 0  type video  format Format(720p 30fps 3500k  null  null  video avc  avc1 64001f  3605193  null   1280  720  29 97     1   1 )  rendererSupport NO UNSUPPORTED DRM_x000D_
com google android exoplayer2 ExoPlaybackException: java lang IllegalStateException_x000D_
at com google android exoplayer2 BaseRenderer createRendererException(BaseRenderer java:359)_x000D_
at com google android exoplayer2 mediacodec MediaCodecRenderer render(MediaCodecRenderer java:723)_x000D_
at com google android exoplayer2 ExoPlayerImplInternal doSomeWork(ExoPlayerImplInternal java:599)_x000D_
at com google android exoplayer2 ExoPlayerImplInternal handleMessage(ExoPlayerImplInternal java:329)_x000D_
at android os Handler dispatchMessage(Handler java:103)_x000D_
at android os Looper loop(Looper java:237)_x000D_
at android os HandlerThread run(HandlerThread java:67)_x000D_
Caused by: java lang IllegalStateException_x000D_
at android media MediaCodec native dequeueOutputBuffer(Native Method)_x000D_
at android media MediaCodec dequeueOutputBuffer(MediaCodec java:2789)_x000D_
at com google android exoplayer2 mediacodec MediaCodecRenderer drainOutputBuffer(MediaCodecRenderer java:1504)_x000D_
at com google android exoplayer2 mediacodec MediaCodecRenderer render(MediaCodecRenderer java:709)_x000D_
at com google android exoplayer2 ExoPlayerImplInternal doSomeWork(ExoPlayerImplInternal java:599) _x000D_
at com google android exoplayer2 ExoPlayerImplInternal handleMessage(ExoPlayerImplInternal java:329) _x000D_
at android os Handler dispatchMessage(Handler java:103) _x000D_
at android os Looper loop(Looper java:237) _x000D_
at android os HandlerThread run(HandlerThread java:67) _x000D_
   _x000D_
_x000D_
I know that the resolution of UHD content is likely outside the capabilities of this device to render  but I ve also seen this issue for 720p content which should be fine  Another noteworthy part is that  E ACodec: dequeueBuffer failed: NO MEMORY( 12) _x000D_
is printed to the logs just a bit before this  I wonder if the underlying hardware decoder used by ExoPlayer by default has run out of memory  In which case I would believe this to be a limitation on the Android platform level  _x000D_
_x000D_
Another issue which I believe to be related but haven t been able to reproduce on the ExoPlayer Demo App is that sometimes video content will only play audio and no video will render  Only a black screen appears  There is nothing noteworthy in the logs regarding this occurrence other than:  E ACodec: dequeueBuffer failed: NO MEMORY( 12)  _x000D_
Which is spammed throughout the logs during the beginning of the stream _x000D_
_x000D_
  ExoPlayer Version 2 11 7  2 14 0_x000D_
  Android Version: 10_x000D_
  Android Device: Android Samsung A10_x000D_
_x000D_
</t>
  </si>
  <si>
    <t>TeamNewPipe-NewPipe-6382</t>
  </si>
  <si>
    <t>Toast Message showing many times when No internet connection is available.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</si>
  <si>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Turn off Wifi Mobile Data _x000D_
2  Attempt to play video from History _x000D_
_x000D_
 Video speaks itself _x000D_
_x000D_
https:  user images githubusercontent com 50160188 119881891 833afc00 bf4d 11eb 8b3c 9e035a6d9db1 mp4_x000D_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Could not play this stream  toast message pops many times as shown in video above _x000D_
_x000D_
_x000D_
    Expected behavior_x000D_
     Tell us what you expect to happen     _x000D_
should show Toast message only once also with the consideration of feature request from  6381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  EMUI 9 1 0_x000D_
   Device model: Huawei Nova 3i_x000D_
</t>
  </si>
  <si>
    <t>stefan-niedermann-nextcloud-notes-1239</t>
  </si>
  <si>
    <t xml:space="preserve">Hello _x000D_
_x000D_
This bug has been hitting me for the last 2 or 3 weeks  I think  Happens when I rotate 90 then I rotate the screen back to the original position  I did not find it in the closed issues  sorry if I missed it (I have a tendancy to :()_x000D_
_x000D_
  Describe the bug  _x000D_
Crash_x000D_
_x000D_
  To Reproduce  _x000D_
Steps to reproduce the behavior:_x000D_
1  Open any note_x000D_
2  Go from portrait to landscape to portrait with autorotate _x000D_
_x000D_
  Expected behavior  _x000D_
Not crash_x000D_
_x000D_
  Screenshots  _x000D_
     If applicable  add screenshots to help explain your problem     _x000D_
_x000D_
_x000D_
  Smartphone (please complete the following information):  _x000D_
   Nextcloud Notes Version (android app): 3 4 3_x000D_
   F Droid or Play Store: F Droid _x000D_
   Android Version: 4 4 268 lineage (b5a96127f4)_x000D_
   Device: OnePlus5T_x000D_
_x000D_
_x000D_
  Server  _x000D_
   Nextcloud version: 21 0 2_x000D_
   Nextcloud Notes version (server app): 4 0 4_x000D_
_x000D_
  Stacktrace  _x000D_
_x000D_
   _x000D_
App Version: 3 4 3_x000D_
App Version Code: 3004003_x000D_
App Flavor: fdroid_x000D_
_x000D_
Files App Version Code: 30160090_x000D_
_x000D_
   _x000D_
_x000D_
OS Version: 4 4 268 lineage (b5a96127f4)_x000D_
OS API Level: 30_x000D_
Device: OnePlus5T_x000D_
Manufacturer: OnePlus_x000D_
Model (and Product): ONEPLUS A5010 (OnePlus5T)_x000D_
_x000D_
   _x000D_
_x000D_
java lang RuntimeException: Unable to start activity ComponentInfo it niedermann owncloud notes it niedermann owncloud notes edit EditNoteActivity : java lang RuntimeException: Window couldn t find content container view_x000D_
	at android app ActivityThread performLaunchActivity(ActivityThread java:3431)_x000D_
	at android app ActivityThread handleLaunchActivity(ActivityThread java:3595)_x000D_
	at android app ActivityThread handleRelaunchActivityInner(ActivityThread java:5451)_x000D_
	at android app ActivityThread handleRelaunchActivity(ActivityThread java:5357)_x000D_
	at android app servertransaction ActivityRelaunchItem execute(ActivityRelaunchItem java:69)_x000D_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java:7660)_x000D_
	at java lang reflect Method invoke(Native Method)_x000D_
	at com android internal os RuntimeInit MethodAndArgsCaller run(RuntimeInit java:592)_x000D_
	at com android internal os ZygoteInit main(ZygoteInit java:947)_x000D_
Caused by: java lang RuntimeException: Window couldn t find content container view_x000D_
	at com android internal policy PhoneWindow generateLayout(PhoneWindow java:2636)_x000D_
	at com android internal policy PhoneWindow installDecor(PhoneWindow java:2695)_x000D_
	at com android internal policy PhoneWindow getDecorView(PhoneWindow java:2118)_x000D_
	at androidx appcompat app AppCompatDelegateImpl createSubDecor(AppCompatDelegateImpl java:864)_x000D_
	at androidx appcompat app AppCompatDelegateImpl ensureSubDecor(AppCompatDelegateImpl java:806)_x000D_
	at androidx appcompat app AppCompatDelegateImpl initWindowDecorActionBar(AppCompatDelegateImpl java:547)_x000D_
	at androidx appcompat app AppCompatDelegateImpl getSupportActionBar(AppCompatDelegateImpl java:534)_x000D_
	at androidx appcompat app AppCompatDelegateImpl invalidateOptionsMenu(AppCompatDelegateImpl java:1217)_x000D_
	at androidx appcompat app AppCompatActivity supportInvalidateOptionsMenu(AppCompatActivity java:273)_x000D_
	at androidx fragment app FragmentActivity HostCallbacks onSupportInvalidateOptionsMenu(FragmentActivity java:774)_x000D_
	at androidx fragment app Fragment setHasOptionsMenu(Fragment java:1275)_x000D_
	at it niedermann owncloud notes edit BaseNoteFragment onCreate(BaseNoteFragment java:146)_x000D_
	at it niedermann owncloud notes edit NoteEditFragment onCreate(NoteEditFragment java:65)_x000D_
	at androidx fragment app Fragment performCreate(Fragment java:2949)_x000D_
	at androidx fragment app FragmentStateManager create(FragmentStateManager java:475)_x000D_
	at androidx fragment app FragmentStateManager moveToExpectedState(FragmentStateManager java:278)_x000D_
	at androidx fragment app FragmentStore moveToExpectedState(FragmentStore java:112)_x000D_
	at androidx fragment app FragmentManager moveToState(FragmentManager java:1647)_x000D_
	at androidx fragment app FragmentManager dispatchStateChange(FragmentManager java:3126)_x000D_
	at androidx fragment app FragmentManager dispatchCreate(FragmentManager java:3059)_x000D_
	at androidx fragment app FragmentController dispatchCreate(FragmentController java:240)_x000D_
	at androidx fragment app FragmentActivity onCreate(FragmentActivity java:276)_x000D_
	at androidx appcompat app AppCompatActivity onCreate(AppCompatActivity java:115)_x000D_
	at it niedermann owncloud notes LockedActivity onCreate(LockedActivity java:25)_x000D_
	at it niedermann owncloud notes edit EditNoteActivity onCreate(EditNoteActivity java:63)_x000D_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java:3404)_x000D_
	    13 more_x000D_
_x000D_
   _x000D_
</t>
  </si>
  <si>
    <t>TeamNewPipe-NewPipe-6377</t>
  </si>
  <si>
    <t>Device get hanged and rebooted while playing some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</si>
  <si>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Not Everytime some random videos while playing mobile gets locked amd flashing display every 3 seconds  That time not able unlock device and forced to restart device  When we lazy to restart soon it goes to factory reset mode and asking wipe all internal data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requested kiosk_x000D_
    Request:   Start loading: https:  www youtube com feed trending_x000D_
    Content Country:   US_x000D_
    Content Language:   en US_x000D_
    App Language:   en US_x000D_
    Service:   YouTube_x000D_
    Version:   0 21 2_x000D_
    OS:   Linux motorola chef chef sprout:10 QPT30 61 18 16 4306fb:user release keys 10   29_x000D_
 details  summary  b Crash log   b   summary  p _x000D_
_x000D_
   _x000D_
java net UnknownHostException: Unable to resolve host  www youtube com : No address associated with hostname_x000D_
	at java net Inet6AddressImpl lookupHostByName(Inet6AddressImpl java:156)_x000D_
	at java net Inet6AddressImpl lookupAllHostAddr(Inet6AddressImpl java:103)_x000D_
	at java net InetAddress getAllByName(InetAddress java:1152)_x000D_
	at okhttp3 Dns 1 lookup(Dns java:40)_x000D_
	at okhttp3 internal connection RouteSelector resetNextInetSocketAddress(RouteSelector java:185)_x000D_
	at okhttp3 internal connection RouteSelector nextProxy(RouteSelector java:149)_x000D_
	at okhttp3 internal connection RouteSelector next(RouteSelector java:84)_x000D_
	at okhttp3 internal connection StreamAllocation findConnection(StreamAllocation java:215)_x000D_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org schabi newpipe DownloaderImpl execute(DownloaderImpl java:264)_x000D_
	at org schabi newpipe extractor downloader Downloader get(Downloader java:70)_x000D_
	at org schabi newpipe extractor downloader Downloader get(Downloader java:54)_x000D_
	at org schabi newpipe extractor services youtube YoutubeParsingHelper isHardcodedClientVersionValid(YoutubeParsingHelper java:290)_x000D_
	at org schabi newpipe extractor services youtube YoutubeParsingHelper getClientVersion(YoutubeParsingHelper java:363)_x000D_
	at org schabi newpipe extractor services youtube YoutubeParsingHelper addClientInfoHeaders(YoutubeParsingHelper java:714)_x000D_
	at org schabi newpipe extractor services youtube YoutubeParsingHelper addYouTubeHeaders(YoutubeParsingHelper java:700)_x000D_
	at org schabi newpipe extractor services youtube YoutubeParsingHelper getJsonResponse(YoutubeParsingHelper java:663)_x000D_
	at org schabi newpipe extractor services youtube extractors YoutubeTrendingExtractor onFetchPage(YoutubeTrendingExtractor java:60)_x000D_
	at org schabi newpipe extractor Extractor fetchPage(Extractor java:54)_x000D_
	at org schabi newpipe extractor kiosk KioskInfo getInfo(KioskInfo java:57)_x000D_
	at org schabi newpipe util ExtractorHelper lambda getKioskInfo 11(ExtractorHelper java:183)_x000D_
	at org schabi newpipe util    Lambda ExtractorHelper NbG7JFGg0N9HK 3exJNRB9r hYY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android system GaiException: android getaddrinfo failed: EAI NODATA (No address associated with hostname)_x000D_
	at libcore io Linux android getaddrinfo(Native Method)_x000D_
	at libcore io ForwardingOs android getaddrinfo(ForwardingOs java:74)_x000D_
	at libcore io BlockGuardOs android getaddrinfo(BlockGuardOs java:200)_x000D_
	at libcore io ForwardingOs android getaddrinfo(ForwardingOs java:74)_x000D_
	at java net Inet6AddressImpl lookupHostByName(Inet6AddressImpl java:135)_x000D_
	    59 more_x000D_
_x000D_
   _x000D_
  details _x000D_
 hr _x000D_
_x000D_
     That s right  here     _x000D_
_x000D_
_x000D_
_x000D_
     Please fill this out when you do not provide a log generate by NewPipe    _x000D_
_x000D_
    Device info_x000D_
_x000D_
   Android version Custom ROM version:10 STOCK OS_x000D_
   Device model: motorola one power</t>
  </si>
  <si>
    <t>TeamNewPipe-NewPipe-6376</t>
  </si>
  <si>
    <t>Specific videos keep buffering/loading every few seconds while having enough network bandwith</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</si>
  <si>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2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1  Have internet connection capable of instantly loading 1080p and even 1080p60 and 4k60 videos  Mine has a Download bandwith of 250Mbit s that can be measured with online speedtests 
2  Open specific videos  e g  https:  www youtube com watch v gmyFNHe9EIY
3  Set quality to 1080p for maximum lagging loading or 360p for still noticeable issues with loading 
4  Open video on YouTube and everything s fine and loading very fast 
    Actual behaviour
     Tell us what happens with the steps given above     
Video keeps buffering playing buffering and the loading icon appears every few seconds for 1 second 
I m noticing this for months and several Android and NewPipe versions now  Most videos are fine but approx  one out of ten videos that I watch are unwatchable on NewPipe because of this and I switch to the browser where everything s fine 
I also tested it on other internet connections and experience the same issue there  Other videos on NewPipe are completely fine  even on 1080p60 
    Expected behavior
     Tell us what you expect to happen     
Video loads and plays  fast and smoothly as on youtube com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https:  streamable com tw5gk3
In the last part where evrrythimg s black I wanted to show that the playback with YouTube in the browser is completely fine  No lags and very fast buffering at 1080p as expected for my connection  But my browser prevented the system from recording it    I can say for sure that it always works fine there  I m skipping through the
video in the screen recording because this only happens for non cached video parts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LineageOS 18 1 (Android 11) and LineageOS 17 1 (Android 10)
   Device model: Pocophone F1
</t>
  </si>
  <si>
    <t>nikita36078-J2ME-Loader-793</t>
  </si>
  <si>
    <t>Snake 3 - Multiplayer crashes the game</t>
  </si>
  <si>
    <t xml:space="preserve">  Emulator version:  _x000D_
1 7 0_x000D_
_x000D_
  Game version:  _x000D_
3 07 2_x000D_
_x000D_
  Game resolution:  _x000D_
240x320_x000D_
_x000D_
  Device:  _x000D_
Huawei P20 Pro_x000D_
_x000D_
  Android version:  _x000D_
9 1 0_x000D_
_x000D_
  Description of the issue:  _x000D_
If you attempt to create a multiplayer game it outputs this error and crashes_x000D_
  Screenshot 20210527 102600 ru playsoftware j2meloader (https:  user images githubusercontent com 25414803 119783691 20f2e480 bed6 11eb 85f8 30c585d26b80 jpg)_x000D_
</t>
  </si>
  <si>
    <t>nextcloud-news-android-964</t>
  </si>
  <si>
    <t>Crash when using card layout</t>
  </si>
  <si>
    <t xml:space="preserve">Since the latest update  the app crashes on startup if card layout is enabled  _x000D_
I resetted the app via  delete data  to reconfigure  Everything worked fine as long as I did not choose card layout once more  _x000D_
_x000D_
  Stacktrace  _x000D_
   _x000D_
java lang NullPointerException: Attempt to read from field  android widget TextView de luhmer owncloudnewsreader databinding SubscriptionDetailListItemCardViewBinding body  on a null object reference_x000D_
	at de luhmer owncloudnewsreader adapter RssItemCardViewHolder getTextViewBody(SourceFile:1)_x000D_
	at de luhmer owncloudnewsreader adapter RssItemViewHolder  init (SourceFile:12)_x000D_
	at de luhmer owncloudnewsreader adapter RssItemCardViewHolder  init (SourceFile:1)_x000D_
	at de luhmer owncloudnewsreader adapter NewsListRecyclerAdapter onCreateViewHolder(SourceFile:8)_x000D_
	at androidx recyclerview widget RecyclerView Adapter createViewHolder(SourceFile:2)_x000D_
	at androidx recyclerview widget RecyclerView Recycler tryGetViewHolderForPositionByDeadline(SourceFile:34)_x000D_
	at androidx recyclerview widget RecyclerView Recycler getViewForPosition(SourceFile:2)_x000D_
	at androidx recyclerview widget RecyclerView Recycler getViewForPosition(SourceFile:1)_x000D_
	at androidx recyclerview widget LinearLayoutManager LayoutState next(SourceFile:3)_x000D_
	at androidx recyclerview widget LinearLayoutManager layoutChunk(SourceFile:1)_x000D_
	at androidx recyclerview widget LinearLayoutManager fill(SourceFile:9)_x000D_
	at androidx recyclerview widget LinearLayoutManager onLayoutChildren(SourceFile:64)_x000D_
	at androidx recyclerview widget RecyclerView dispatchLayoutStep2(SourceFile:8)_x000D_
	at androidx recyclerview widget RecyclerView dispatchLayout(SourceFile:9)_x000D_
	at androidx recyclerview widget RecyclerView onLayout(SourceFile:2)_x000D_
	at android view View layout(View java:22088)_x000D_
	at android view ViewGroup layout(ViewGroup java:6325)_x000D_
	at androidx swiperefreshlayout widget SwipeRefreshLayout onLayout(SourceFile:11)_x000D_
	at android view View layout(View java:22088)_x000D_
	at android view ViewGroup layout(ViewGroup java:6325)_x000D_
	at android widget FrameLayout layoutChildren(FrameLayout java:332)_x000D_
	at android widget FrameLayout onLayout(FrameLayout java:270)_x000D_
	at android view View layout(View java:22088)_x000D_
	at android view ViewGroup layout(ViewGroup java:6325)_x000D_
	at androidx coordinatorlayout widget CoordinatorLayout layoutChild(SourceFile:18)_x000D_
	at androidx coordinatorlayout widget CoordinatorLayout onLayoutChild(SourceFile:7)_x000D_
	at androidx coordinatorlayout widget CoordinatorLayout onLayout(SourceFile:8)_x000D_
	at android view View layout(View java:22088)_x000D_
	at android view ViewGroup layout(ViewGroup java:6325)_x000D_
	at androidx drawerlayout widget DrawerLayout onLayout(SourceFile:10)_x000D_
	at android view View layout(View java:22088)_x000D_
	at android view ViewGroup layout(ViewGroup java:6325)_x000D_
	at com sothree slidinguppanel SlidingUpPanelLayout onLayout(SourceFile:22)_x000D_
	at android view View layout(View java:22088)_x000D_
	at android view ViewGroup layout(ViewGroup java:6325)_x000D_
	at android widget FrameLayout layoutChildren(FrameLayout java:332)_x000D_
	at android widget FrameLayout onLayout(FrameLayout java:270)_x000D_
	at android view View layout(View java:22088)_x000D_
	at android view ViewGroup layout(ViewGroup java:6325)_x000D_
	at android widget LinearLayout setChildFrame(LinearLayout java:1829)_x000D_
	at android widget LinearLayout layoutVertical(LinearLayout java:1673)_x000D_
	at android widget LinearLayout onLayout(LinearLayout java:1582)_x000D_
	at android view View layout(View java:22088)_x000D_
	at android view ViewGroup layout(ViewGroup java:6325)_x000D_
	at android widget FrameLayout layoutChildren(FrameLayout java:332)_x000D_
	at android widget FrameLayout onLayout(FrameLayout java:270)_x000D_
	at android view View layout(View java:22088)_x000D_
	at android view ViewGroup layout(ViewGroup java:6325)_x000D_
	at android widget LinearLayout setChildFrame(LinearLayout java:1829)_x000D_
	at android widget LinearLayout layoutVertical(LinearLayout java:1673)_x000D_
	at android widget LinearLayout onLayout(LinearLayout java:1582)_x000D_
	at android view View layout(View java:22088)_x000D_
	at android view ViewGroup layout(ViewGroup java:6325)_x000D_
	at android widget FrameLayout layoutChildren(FrameLayout java:332)_x000D_
	at android widget FrameLayout onLayout(FrameLayout java:270)_x000D_
	at com android internal policy DecorView onLayout(DecorView java:812)_x000D_
	at android view View layout(View java:22088)_x000D_
	at android view ViewGroup layout(ViewGroup java:6325)_x000D_
	at android view ViewRootImpl performLayout(ViewRootImpl java:3192)_x000D_
	at android view ViewRootImpl performTraversals(ViewRootImpl java:2702)_x000D_
	at android view ViewRootImpl doTraversal(ViewRootImpl java:1820)_x000D_
	at android view ViewRootImpl TraversalRunnable run(ViewRootImpl java:7782)_x000D_
	at android view Choreographer CallbackRecord run(Choreographer java:1031)_x000D_
	at android view Choreographer doCallbacks(Choreographer java:854)_x000D_
	at android view Choreographer doFrame(Choreographer java:789)_x000D_
	at android view Choreographer FrameDisplayEventReceiver run(Choreographer java:1016)_x000D_
	at android os Handler handleCallback(Handler java:883)_x000D_
	at android os Handler dispatchMessage(Handler java:100)_x000D_
	at android os Looper loop(Looper java:224)_x000D_
	at android app ActivityThread main(ActivityThread java:7562)_x000D_
	at java lang reflect Method invoke(Native Method)_x000D_
	at com android internal os RuntimeInit MethodAndArgsCaller run(RuntimeInit java:539)_x000D_
	at com android internal os ZygoteInit main(ZygoteInit java:950)_x000D_
_x000D_
   _x000D_
_x000D_
   _x000D_
_x000D_
App Version: 0 9 9 60_x000D_
App Version Code: 163_x000D_
_x000D_
   _x000D_
_x000D_
SSO enabled: true_x000D_
_x000D_
   _x000D_
_x000D_
OS Version: 4 9 186 perf ge4407a8(V12 0 5 0 QFCEUXM)_x000D_
OS API Level: 29_x000D_
Device: pyxis_x000D_
Model (and Product): Mi 9 Lite (pyxis eea)_x000D_
_x000D_
   _x000D_
_x000D_
sp max cache size 500_x000D_
sp swipe left action 2_x000D_
sw use single sign on true_x000D_
cb ShowOnlyUnread false_x000D_
cb openInBrowserDirectly false_x000D_
lv cacheImagesOffline 0_x000D_
cb ShowFastActions true_x000D_
cb AutoSyncOnStart true_x000D_
sp news detail actionbar icons   _x000D_
sp swipe right action 1_x000D_
cb NavigateWithVolumeButtons false_x000D_
sp font size 1 0_x000D_
NewsWebVersionNumber 15 4 4_x000D_
sp search in 0_x000D_
cb showNotificationNewArticles true_x000D_
sp sort order 1_x000D_
cb MarkAsReadWhileScrolling false_x000D_
sp feed list layout 6_x000D_
cb oled mode false_x000D_
sp display browser 0_x000D_
sp app theme 0_x000D_
</t>
  </si>
  <si>
    <t>nextcloud-android-8485</t>
  </si>
  <si>
    <t>Crash on refreshing file list in Photos</t>
  </si>
  <si>
    <t xml:space="preserve">    Steps to reproduce_x000D_
1  Upload tons of photos using windows client (several GB worth)_x000D_
2  Sort photos from InstantUpload folder into appropriate albums _x000D_
_x000D_
_x000D_
    Expected behaviour_x000D_
  properly update file list on android device_x000D_
_x000D_
    Actual behaviour_x000D_
  cannot open Photos folder on android app anymore  It crashes to the below log  _x000D_
  autosync is failing complaining about a conflict  Using browser shows the folder as empty with no conflicting image _x000D_
_x000D_
    Can you reproduce this problem on https:  try nextcloud com _x000D_
No it requires the android app_x000D_
  Please create a test demo account and see if this still happens there _x000D_
  If yes  please open up a bug report_x000D_
  If not  please verify server setup and ask for help on forum_x000D_
_x000D_
    Environment data_x000D_
Android version: 11_x000D_
_x000D_
Device model:  pixel 4a_x000D_
_x000D_
Stock or customized system: Calyx OS_x000D_
_x000D_
Nextcloud app version: current fdroid as of bug report date _x000D_
_x000D_
Nextcloud server version: nextcloudpi 20 0 8_x000D_
_x000D_
Reverse proxy: none_x000D_
_x000D_
    Logs_x000D_
     Web server error log_x000D_
   _x000D_
Insert your webserver log here_x000D_
   _x000D_
_x000D_
     Nextcloud log (data nextcloud log)_x000D_
   _x000D_
             CAUSE OF ERROR             _x000D_
_x000D_
java lang IllegalStateException: Couldn t read row 967  col 0 from CursorWindow   Make sure the Cursor is initialized correctly before accessing data from it _x000D_
	at android database CursorWindow nativeGetLong(Native Method)_x000D_
	at android database CursorWindow getLong(CursorWindow java:542)_x000D_
	at android database AbstractWindowedCursor getLong(AbstractWindowedCursor java:77)_x000D_
	at com owncloud android providers FileContentProvider deleteDirectory(FileContentProvider java:179)_x000D_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 delete(ContentProvider java:1757)_x000D_
	at android content ContentProviderOperation applyInternal(ContentProviderOperation java:389)_x000D_
	at android content ContentProviderOperation apply(ContentProviderOperation java:352)_x000D_
	at com owncloud android providers FileContentProvider applyBatch(FileContentProvider java:672)_x000D_
	at android content ContentProvider applyBatch(ContentProvider java:2413)_x000D_
	at android content ContentProvider Transport applyBatch(ContentProvider java:403)_x000D_
	at android content ContentProviderClient applyBatch(ContentProviderClient java:576)_x000D_
	at android content ContentProviderClient applyBatch(ContentProviderClient java:564)_x000D_
	at android content ContentResolver applyBatch(ContentResolver java:2196)_x000D_
	at com owncloud android datamodel FileDataStorageManager saveFolder(FileDataStorageManager java:438)_x000D_
	at com owncloud android operations RefreshFolderOperation synchronizeData(RefreshFolderOperation java:528)_x000D_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java:359)_x000D_
	at java lang Thread run(Thread java:923)_x000D_
_x000D_
             APP INFORMATION             _x000D_
ID: com nextcloud client_x000D_
Version: 30160090_x000D_
Build flavor: generic_x000D_
_x000D_
             DEVICE INFORMATION             _x000D_
Brand: Android_x000D_
Device: sunfish_x000D_
Model: Pixel 4a_x000D_
Id: RQ2A 210505 002_x000D_
Product: calyx sunfish_x000D_
_x000D_
             FIRMWARE             _x000D_
SDK: 30_x000D_
Release: 11_x000D_
Incremental: 2021 05 05 12_x000D_
_x000D_
   _x000D_
  NOTE:   Be super sure to remove sensitive data like passwords  note that everybody can look here  You can use the Issue Template application to prefill some of the required information: https:  apps nextcloud com apps issuetemplate_x000D_
</t>
  </si>
  <si>
    <t>DIT112-V21-group-17-136</t>
  </si>
  <si>
    <t>[PROBLEM] confirmPickupMessage(mailman,receiver) mailman object</t>
  </si>
  <si>
    <t>Description_x000D_
mailman object not found properly  the confirmPickupMessage(mailman receiver) the method Controller confirmPickupMessage(mailman receiver)  can t find the mailman  if used in another class  it crashes _x000D_
_x000D_
related issues  48  65</t>
  </si>
  <si>
    <t>DIT112-V21-group-17-135</t>
  </si>
  <si>
    <t>[PROBLEM] sendExpectDelivery(mailman,receiver) mailman object</t>
  </si>
  <si>
    <t xml:space="preserve">Description_x000D_
mailman object not found properly _x000D_
  the method Controller sendExpectDelivery(mailman receiver) can t find the mailman  if used in another class  it crashes _x000D_
_x000D_
related issue:  32 </t>
  </si>
  <si>
    <t>DIT112-V21-group-17-132</t>
  </si>
  <si>
    <t>[PROBLEM] sendPickupMessage(mailman, senderID) mailman object</t>
  </si>
  <si>
    <t xml:space="preserve">Description_x000D_
mailman object not found properly  the Controller sendPickupMessage(mailman  senderID)  the method Controller sendPickupMessage(mailman  senderID)  can t find the mailman  if used in another class  it crashes _x000D_
_x000D_
</t>
  </si>
  <si>
    <t>DIT112-V21-group-05-64</t>
  </si>
  <si>
    <t>Added green/red light and button for speed limit, fixed bug in landscape</t>
  </si>
  <si>
    <t xml:space="preserve">Added green red light in the control car page to indicate when the car is on or off _x000D_
Added a button for the speed limit pop up window in the control car page _x000D_
Fixed some bugs where some buttons in landscape mode would make the app crash _x000D_
Closes  62 </t>
  </si>
  <si>
    <t>KramerJProg-MathQuizApp-22</t>
  </si>
  <si>
    <t>When startActivityForResult is called for bestScore BUG</t>
  </si>
  <si>
    <t>When startActivityForResult is hit in the method quizStart()  It is supposed to record the score once quiz is finished  It crashes  Possible walk through for fix_x000D_
  https:  www youtube com watch v RU7OIqaKEAU</t>
  </si>
  <si>
    <t>nextcloud-talk-android-1294</t>
  </si>
  <si>
    <t>Error reading user fields for profile editing</t>
  </si>
  <si>
    <t xml:space="preserve"> 1092 added the user profile screen and editing capabilities if available  This broke recently since it seems the API URL has changed or something else is wrong (maybe with the authorization header )  Maybe  nickvergessen knows more about it _x000D_
_x000D_
URL ist build via:_x000D_
_x000D_
   _x000D_
baseUrl   ocsApiVersion     cloud user fields _x000D_
   _x000D_
_x000D_
which leads to:_x000D_
   _x000D_
https:  cloud nextcloud com ocs v2 php cloud user fields_x000D_
   _x000D_
_x000D_
Which now crashes with:_x000D_
   _x000D_
HTTP 404_x000D_
   </t>
  </si>
  <si>
    <t>DIT112-V21-group-17-123</t>
  </si>
  <si>
    <t>[BUG] App crashes when mailman send pick up notification</t>
  </si>
  <si>
    <t>when the mailman clicks on pick up app crashes</t>
  </si>
  <si>
    <t>opensrp-opensrp-client-chw-1786</t>
  </si>
  <si>
    <t>Togo - App crashes on attempt to login with certain user accounts</t>
  </si>
  <si>
    <t>Client reported an issue with some user accounts that caused the app to crash on every login attempt  The accounts are:_x000D_
_x000D_
1  pneddy10_x000D_
2  blampouguine_x000D_
3  amawenano46</t>
  </si>
  <si>
    <t>TeamNewPipe-NewPipe-6371</t>
  </si>
  <si>
    <t>"Preferred 'Open' Action" setting should be applicable for videos only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</si>
  <si>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It seems like that shared URL action doesn t always work the way as expected  In reality  people share videos  channels and playlists for different reasons  However  playback options are actually quite relevant for videos _x000D_
_x000D_
But that s not always the case with channels or playlists  Many users share directly by long press on link without opening the link  Checkback is a necessary feature and that s one of the key reasons why long press menu was not added for unsubscribed channels and playlists  That s why  info should always be shown _x000D_
_x000D_
One more thing   Video Player  and  Show Info  works exactly the same for videos  So  having both options makes no real sense _x000D_
_x000D_
    Actual behaviour_x000D_
     Tell us what happens with the steps given above     _x000D_
_x000D_
 Preferred  Open  Action  setting should be applicable for videos only   Download  option ends up giving us no output for channels and playlists _x000D_
_x000D_
    Expected behavior_x000D_
     Tell us what you expect to happen     _x000D_
_x000D_
Info should always be shown for channels and playlists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</si>
  <si>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mit-cml-appinventor-sources-2490</t>
  </si>
  <si>
    <t>Build server loses some extension info</t>
  </si>
  <si>
    <t xml:space="preserve">  Describe the bug  _x000D_
_x000D_
    _x000D_
Describe the bug in sufficient detail so that we can understand the issue  You should also describe the steps to reproduce the issue (below) so that we ideally can confirm it _x000D_
   _x000D_
 From the forum (https:  community appinventor mit edu t removes permission 33473 u ewpatton): When using different extensions in a project  sometimes some extension metadata disappears in the final build  potentially breaking the extension and or causing the app to crash _x000D_
_x000D_
  Affects  _x000D_
_x000D_
    _x000D_
Please check off the part of the system that is affected by the bug _x000D_
   _x000D_
_x000D_
      Designer_x000D_
      Blocks editor_x000D_
      Companion_x000D_
   x  Compiled apps_x000D_
      Buildserver_x000D_
      Debugging_x000D_
      Other    (please describe)_x000D_
_x000D_
  Expected behavior  _x000D_
_x000D_
    _x000D_
Please describe what you expected to happen before you encountered the bug _x000D_
   _x000D_
Any metadata added by extensions should appear if it is valid in the final app _x000D_
_x000D_
  Steps to reproduce  _x000D_
_x000D_
    _x000D_
Please describe the steps needed to reproduce the bug  If possible  please include a minimal example project that demonstrates the issue _x000D_
   _x000D_
For staff  you should be able to see the whisper post that contains the projects you can use for testing </t>
  </si>
  <si>
    <t>Bible-Translation-Tools-BTT-Writer-Android-18</t>
  </si>
  <si>
    <t>Crash when tapping project info - System language set to Vietnamese</t>
  </si>
  <si>
    <t xml:space="preserve">When I set the device system language to Vietnamese and open BW Android  tapping on the ( i ) icon to see project information will crash the app  This could happen with other system language ( )_x000D_
_x000D_
  Screenshot 20210525 162351 (https:  user images githubusercontent com 34975907 119563525 a743e500 bd75 11eb 85c5 75a82a5d980e jpeg)_x000D_
</t>
  </si>
  <si>
    <t>k9mail-k-9-5309</t>
  </si>
  <si>
    <t>Crash of compose activity after closing contextual menu for recipient address</t>
  </si>
  <si>
    <t xml:space="preserve">  To Reproduce  _x000D_
_x000D_
  Compose email_x000D_
  Enter valid recipient address  like  foo example org _x000D_
  Press on that email address until it is selected and the contextual menu appears _x000D_
  Tap anywhere outside of the menu to close it _x000D_
_x000D_
At this point  instead of just closing the menu  the compose activity is closed abruptly and the app shows me my inbox _x000D_
_x000D_
  Expected behavior  _x000D_
_x000D_
The menu is closed and I can continue composing my email _x000D_
_x000D_
  Screenshots  _x000D_
_x000D_
Just before the crash:_x000D_
_x000D_
  screenshot (https:  user images githubusercontent com 1645335 119507815 73fe5780 bd6f 11eb 9797 3ba79a5c6868 png)_x000D_
_x000D_
  Environment (please complete the following information):  _x000D_
   K 9 Mail version: 5 734_x000D_
   Android version: 11_x000D_
   Device: Google Pixel 4a_x000D_
   Account type: IMAP_x000D_
_x000D_
  Logs  _x000D_
_x000D_
   _x000D_
05 25 15:24:48 561 26763 26763 I AssistStructure: Flattened final assist data: 4648 bytes  containing 1 windows  28 views_x000D_
05 25 15:24:50 478 26763 26763 D TokenAutoComplete: Current completion text: fo_x000D_
05 25 15:24:50 650 26763 26763 D TokenAutoComplete: Current completion text: foo_x000D_
05 25 15:24:52 181 26763 26763 D TokenAutoComplete: Current completion text: foo _x000D_
05 25 15:24:52 199 26763 26763 D TokenAutoComplete: Current completion text: foo _x000D_
05 25 15:24:52 649 26763 26763 D TokenAutoComplete: Current completion text: foo e_x000D_
05 25 15:24:52 929 26763 26763 D TokenAutoComplete: Current completion text: foo ex_x000D_
05 25 15:24:53 433 26763 26763 D TokenAutoComplete: Current completion text: foo exa_x000D_
05 25 15:24:53 649 26763 26763 D TokenAutoComplete: Current completion text: foo exam_x000D_
05 25 15:24:53 946 26763 26763 D TokenAutoComplete: Current completion text: foo examp_x000D_
05 25 15:24:54 186 26763 26763 D TokenAutoComplete: Current completion text: foo exampl_x000D_
05 25 15:24:54 537 26763 26763 D TokenAutoComplete: Current completion text: foo example_x000D_
05 25 15:24:54 901 26763 26763 D TokenAutoComplete: Current completion text: foo example _x000D_
05 25 15:24:55 425 26763 26763 D TokenAutoComplete: Current completion text: foo example o_x000D_
05 25 15:24:55 675 26763 26763 D TokenAutoComplete: Current completion text: foo example or_x000D_
05 25 15:24:55 892 26763 26763 D TokenAutoComplete: Current completion text: foo example org_x000D_
05 25 15:24:57 593 26763 26763 D androidtc: Initializing SystemTextClassifier  type   System_x000D_
05 25 15:24:57 595 26763 26763 W androidtc: TextClassifier called on main thread_x000D_
05 25 15:24:57 596 26763 26763 D androidtc: Initializing SystemTextClassifier  type   System_x000D_
05 25 15:24:57 935 26763 26763 W androidtc: TextClassifier called on main thread_x000D_
05 25 15:24:58 697 26763 26763 D TokenAutoComplete: Current completion text: foo example org_x000D_
05 25 15:24:58 764 26763 26763 E InputEventReceiver: Exception dispatching input event _x000D_
05 25 15:24:58 764 26763 26763 E MessageQueue JNI: Exception in MessageQueue callback: handleReceiveCallback_x000D_
05 25 15:24:58 765 26763 26763 E MessageQueue JNI: java lang IllegalArgumentException: Invalid offset: 16  Valid range is  0  15 _x000D_
05 25 15:24:58 765 26763 26763 E MessageQueue JNI: 	at android text method WordIterator checkOffsetIsValid(WordIterator java:400)_x000D_
05 25 15:24:58 765 26763 26763 E MessageQueue JNI: 	at android text method WordIterator isBoundary(WordIterator java:100)_x000D_
05 25 15:24:58 765 26763 26763 E MessageQueue JNI: 	at android widget Editor SelectionHandleView positionAtCursorOffset(Editor java:5922)_x000D_
05 25 15:24:58 765 26763 26763 E MessageQueue JNI: 	at android widget Editor HandleView invalidate(Editor java:4790)_x000D_
05 25 15:24:58 765 26763 26763 E MessageQueue JNI: 	at android widget Editor SelectionModifierCursorController invalidateHandles(Editor java:6772)_x000D_
05 25 15:24:58 765 26763 26763 E MessageQueue JNI: 	at android widget Editor invalidateHandlesAndActionMode(Editor java:2157)_x000D_
05 25 15:24:58 765 26763 26763 E MessageQueue JNI: 	at android widget TextView setShadowLayer(TextView java:4954)_x000D_
05 25 15:24:58 765 26763 26763 E MessageQueue JNI: 	at com tokenautocomplete TokenCompleteTextView api16Invalidate(TokenCompleteTextView java:562)_x000D_
05 25 15:24:58 765 26763 26763 E MessageQueue JNI: 	at com tokenautocomplete TokenCompleteTextView invalidate(TokenCompleteTextView java:571)_x000D_
05 25 15:24:58 765 26763 26763 E MessageQueue JNI: 	at android widget TextView updateAfterEdit(TextView java:10733)_x000D_
05 25 15:24:58 765 26763 26763 E MessageQueue JNI: 	at android widget TextView handleTextChanged(TextView java:10758)_x000D_
05 25 15:24:58 765 26763 26763 E MessageQueue JNI: 	at android widget TextView ChangeWatcher onTextChanged(TextView java:13655)_x000D_
05 25 15:24:58 765 26763 26763 E MessageQueue JNI: 	at android text SpannableStringBuilder sendTextChanged(SpannableStringBuilder java:1267)_x000D_
05 25 15:24:58 765 26763 26763 E MessageQueue JNI: 	at android text SpannableStringBuilder replace(SpannableStringBuilder java:576)_x000D_
05 25 15:24:58 765 26763 26763 E MessageQueue JNI: 	at android text SpannableStringBuilder replace(SpannableStringBuilder java:507)_x000D_
05 25 15:24:58 765 26763 26763 E MessageQueue JNI: 	at android text SpannableStringBuilder replace(SpannableStringBuilder java:37)_x000D_
05 25 15:24:58 765 26763 26763 E MessageQueue JNI: 	at com tokenautocomplete TokenCompleteTextView replaceText(TokenCompleteTextView java:892)_x000D_
05 25 15:24:58 765 26763 26763 E MessageQueue JNI: 	at com fsck k9 view RecipientSelectView replaceText(RecipientSelectView java:224)_x000D_
05 25 15:24:58 765 26763 26763 E MessageQueue JNI: 	at com fsck k9 view RecipientSelectView performCompletion(RecipientSelectView java:254)_x000D_
05 25 15:24:58 765 26763 26763 E MessageQueue JNI: 	at com fsck k9 view RecipientSelectView onFocusChanged(RecipientSelectView java:208)_x000D_
05 25 15:24:58 765 26763 26763 E MessageQueue JNI: 	at android view View clearFocusInternal(View java:7953)_x000D_
05 25 15:24:58 765 26763 26763 E MessageQueue JNI: 	at android view View unFocus(View java:7986)_x000D_
05 25 15:24:58 765 26763 26763 E MessageQueue JNI: 	at android view ViewGroup unFocus(ViewGroup java:1200)_x000D_
05 25 15:24:58 765 26763 26763 E MessageQueue JNI: 	at android view ViewGroup unFocus(ViewGroup java:1200)_x000D_
05 25 15:24:58 765 26763 26763 E MessageQueue JNI: 	at android view ViewGroup requestChildFocus(ViewGroup java:858)_x000D_
05 25 15:24:58 765 26763 26763 E MessageQueue JNI: 	at android view View handleFocusGainInternal(View java:7778)_x000D_
05 25 15:24:58 765 26763 26763 E MessageQueue JNI: 	at android view View requestFocusNoSearch(View java:13320)_x000D_
05 25 15:24:58 765 26763 26763 E MessageQueue JNI: 	at android view View requestFocus(View java:13294)_x000D_
05 25 15:24:58 765 26763 26763 E MessageQueue JNI: 	at android view View requestFocus(View java:13261)_x000D_
05 25 15:24:58 765 26763 26763 E MessageQueue JNI: 	at android view View requestFocus(View java:13203)_x000D_
05 25 15:24:58 765 26763 26763 E MessageQueue JNI: 	at android view View onTouchEvent(View java:15702)_x000D_
05 25 15:24:58 765 26763 26763 E MessageQueue JNI: 	at android widget TextView onTouchEvent(TextView java:11030)_x000D_
05 25 15:24:58 765 26763 26763 E MessageQueue JNI: 	at android view View dispatchTouchEvent(View java:14309)_x000D_
05 25 15:24:58 765 26763 26763 E MessageQueue JNI: 	at android view ViewGroup dispatchTransformedTouchEvent(ViewGroup java:3118)_x000D_
05 25 15:24:58 765 26763 26763 E MessageQueue JNI: 	at android view ViewGroup dispatchTouchEvent(ViewGroup java:2799)_x000D_
05 25 15:24:58 765 26763 26763 E MessageQueue JNI: 	at android view ViewGroup dispatchTransformedTouchEvent(ViewGroup java:3118)_x000D_
05 25 15:24:58 765 26763 26763 E MessageQueue JNI: 	at android view ViewGroup dispatchTouchEvent(ViewGroup java:2799)_x000D_
05 25 15:24:58 765 26763 26763 E MessageQueue JNI: 	at android view ViewGroup dispatchTransformedTouchEvent(ViewGroup java:3118)_x000D_
05 25 15:24:58 765 26763 26763 E MessageQueue JNI: 	at android view ViewGroup dispatchTouchEvent(ViewGroup java:2799)_x000D_
05 25 15:24:58 765 26763 26763 E MessageQueue JNI: 	at android view ViewGroup dispatchTransformedTouchEvent(ViewGroup java:3118)_x000D_
05 25 15:24:58 765 26763 26763 E MessageQueue JNI: 	at android view ViewGroup dispatchTouchEvent(ViewGroup java:2799)_x000D_
05 25 15:24:58 765 26763 26763 E MessageQueue JNI: 	at android view ViewGroup dispatchTransformedTouchEvent(ViewGroup java:3118)_x000D_
05 25 15:24:58 765 26763 26763 E MessageQueue JNI: 	at android view ViewGroup dispatchTouchEvent(ViewGroup java:2799)_x000D_
05 25 15:24:58 765 26763 26763 E MessageQueue JNI: 	at android view ViewGroup dispatchTransformedTouchEvent(ViewGroup java:3118)_x000D_
05 25 15:24:58 765 26763 26763 E MessageQueue JNI: 	at android view ViewGroup dispatchTouchEvent(ViewGroup java:2799)_x000D_
05 25 15:24:58 765 26763 26763 E MessageQueue JNI: 	at android view ViewGroup dispatchTransformedTouchEvent(ViewGroup java:3118)_x000D_
05 25 15:24:58 765 26763 26763 E MessageQueue JNI: 	at android view ViewGroup dispatchTouchEvent(ViewGroup java:2799)_x000D_
05 25 15:24:58 765 26763 26763 E MessageQueue JNI: 	at android view ViewGroup dispatchTransformedTouchEvent(ViewGroup java:3118)_x000D_
05 25 15:24:58 765 26763 26763 E MessageQueue JNI: 	at android view ViewGroup dispatchTouchEvent(ViewGroup java:2799)_x000D_
05 25 15:24:58 765 26763 26763 E MessageQueue JNI: 	at com android internal policy DecorView superDispatchTouchEvent(DecorView java:488)_x000D_
05 25 15:24:58 765 26763 26763 E MessageQueue JNI: 	at com android internal policy PhoneWindow superDispatchTouchEvent(PhoneWindow java:1873)_x000D_
05 25 15:24:58 765 26763 26763 E MessageQueue JNI: 	at android app Activity dispatchTouchEvent(Activity java:4125)_x000D_
05 25 15:24:58 765 26763 26763 E MessageQueue JNI: 	at androidx appcompat view WindowCallbackWrapper dispatchTouchEvent(WindowCallbackWrapper java:69)_x000D_
05 25 15:24:58 766 26763 26763 E MessageQueue JNI: 	at androidx appcompat view WindowCallbackWrapper dispatchTouchEvent(WindowCallbackWrapper java:69)_x000D_
05 25 15:24:58 766 26763 26763 E MessageQueue JNI: 	at com android internal policy DecorView dispatchTouchEvent(DecorView java:446)_x000D_
05 25 15:24:58 766 26763 26763 E MessageQueue JNI: 	at android view View dispatchPointerEvent(View java:14568)_x000D_
05 25 15:24:58 766 26763 26763 E MessageQueue JNI: 	at android view ViewRootImpl ViewPostImeInputStage processPointerEvent(ViewRootImpl java:6022)_x000D_
05 25 15:24:58 766 26763 26763 E MessageQueue JNI: 	at android view ViewRootImpl ViewPostImeInputStage onProcess(ViewRootImpl java:5825)_x000D_
05 25 15:24:58 766 26763 26763 E MessageQueue JNI: 	at android view ViewRootImpl InputStage deliver(ViewRootImpl java:5316)_x000D_
05 25 15:24:58 766 26763 26763 E MessageQueue JNI: 	at android view ViewRootImpl InputStage onDeliverToNext(ViewRootImpl java:5373)_x000D_
05 25 15:24:58 766 26763 26763 E MessageQueue JNI: 	at android view ViewRootImpl InputStage forward(ViewRootImpl java:5339)_x000D_
05 25 15:24:58 766 26763 26763 E MessageQueue JNI: 	at android view ViewRootImpl AsyncInputStage forward(ViewRootImpl java:5491)_x000D_
05 25 15:24:58 766 26763 26763 E MessageQueue JNI: 	at android view ViewRootImpl InputStage apply(ViewRootImpl java:5347)_x000D_
05 25 15:24:58 766 26763 26763 E MessageQueue JNI: 	at android view ViewRootImpl AsyncInputStage apply(ViewRootImpl java:5548)_x000D_
05 25 15:24:58 766 26763 26763 E MessageQueue JNI: 	at android view ViewRootImpl InputStage deliver(ViewRootImpl java:5320)_x000D_
05 25 15:24:58 766 26763 26763 E MessageQueue JNI: 	at android view ViewRootImpl InputStage onDeliverToNext(ViewRootImpl java:5373)_x000D_
05 25 15:24:58 766 26763 26763 E MessageQueue JNI: 	at android view ViewRootImpl InputStage forward(ViewRootImpl java:5339)_x000D_
05 25 15:24:58 766 26763 26763 E MessageQueue JNI: 	at android view ViewRootImpl InputStage apply(ViewRootImpl java:5347)_x000D_
05 25 15:24:58 766 26763 26763 E MessageQueue JNI: 	at android view ViewRootImpl InputStage deliver(ViewRootImpl java:5320)_x000D_
05 25 15:24:58 766 26763 26763 E MessageQueue JNI: 	at android view ViewRootImpl deliverInputEvent(ViewRootImpl java:8086)_x000D_
05 25 15:24:58 766 26763 26763 E MessageQueue JNI: 	at android view ViewRootImpl doProcessInputEvents(ViewRootImpl java:8037)_x000D_
05 25 15:24:58 766 26763 26763 E MessageQueue JNI: 	at android view ViewRootImpl enqueueInputEvent(ViewRootImpl java:7998)_x000D_
05 25 15:24:58 766 26763 26763 E MessageQueue JNI: 	at android view ViewRootImpl WindowInputEventReceiver onInputEvent(ViewRootImpl java:8209)_x000D_
05 25 15:24:58 766 26763 26763 E MessageQueue JNI: 	at android view InputEventReceiver dispatchInputEvent(InputEventReceiver java:220)_x000D_
05 25 15:24:58 766 26763 26763 E MessageQueue JNI: 	at android os MessageQueue nativePollOnce(Native Method)_x000D_
05 25 15:24:58 766 26763 26763 E MessageQueue JNI: 	at android os MessageQueue next(MessageQueue java:335)_x000D_
05 25 15:24:58 766 26763 26763 E MessageQueue JNI: 	at android os Looper loop(Looper java:183)_x000D_
05 25 15:24:58 766 26763 26763 E MessageQueue JNI: 	at android app ActivityThread main(ActivityThread java:7660)_x000D_
05 25 15:24:58 766 26763 26763 E MessageQueue JNI: 	at java lang reflect Method invoke(Native Method)_x000D_
05 25 15:24:58 766 26763 26763 E MessageQueue JNI: 	at com android internal os RuntimeInit MethodAndArgsCaller run(RuntimeInit java:592)_x000D_
05 25 15:24:58 766 26763 26763 E MessageQueue JNI: 	at com android internal os ZygoteInit main(ZygoteInit java:947)_x000D_
05 25 15:24:58 766 26763 26763 D AndroidRuntime: Shutting down VM_x000D_
          beginning of crash_x000D_
05 25 15:24:58 766 26763 26763 E AndroidRuntime: FATAL EXCEPTION: main_x000D_
05 25 15:24:58 766 26763 26763 E AndroidRuntime: Process: com fsck k9  PID: 26763_x000D_
05 25 15:24:58 766 26763 26763 E AndroidRuntime: java lang IllegalArgumentException: Invalid offset: 16  Valid range is  0  15 _x000D_
05 25 15:24:58 766 26763 26763 E AndroidRuntime: 	at android text method WordIterator checkOffsetIsValid(WordIterator java:400)_x000D_
05 25 15:24:58 766 26763 26763 E AndroidRuntime: 	at android text method WordIterator isBoundary(WordIterator java:100)_x000D_
05 25 15:24:58 766 26763 26763 E AndroidRuntime: 	at android widget Editor SelectionHandleView positionAtCursorOffset(Editor java:5922)_x000D_
05 25 15:24:58 766 26763 26763 E AndroidRuntime: 	at android widget Editor HandleView invalidate(Editor java:4790)_x000D_
05 25 15:24:58 766 26763 26763 E AndroidRuntime: 	at android widget Editor SelectionModifierCursorController invalidateHandles(Editor java:6772)_x000D_
05 25 15:24:58 766 26763 26763 E AndroidRuntime: 	at android widget Editor invalidateHandlesAndActionMode(Editor java:2157)_x000D_
05 25 15:24:58 766 26763 26763 E AndroidRuntime: 	at android widget TextView setShadowLayer(TextView java:4954)_x000D_
05 25 15:24:58 766 26763 26763 E AndroidRuntime: 	at com tokenautocomplete TokenCompleteTextView api16Invalidate(TokenCompleteTextView java:562)_x000D_
05 25 15:24:58 766 26763 26763 E AndroidRuntime: 	at com tokenautocomplete TokenCompleteTextView invalidate(TokenCompleteTextView java:571)_x000D_
05 25 15:24:58 766 26763 26763 E AndroidRuntime: 	at android widget TextView updateAfterEdit(TextView java:10733)_x000D_
05 25 15:24:58 766 26763 26763 E AndroidRuntime: 	at android widget TextView handleTextChanged(TextView java:10758)_x000D_
05 25 15:24:58 766 26763 26763 E AndroidRuntime: 	at android widget TextView ChangeWatcher onTextChanged(TextView java:13655)_x000D_
05 25 15:24:58 766 26763 26763 E AndroidRuntime: 	at android text SpannableStringBuilder sendTextChanged(SpannableStringBuilder java:1267)_x000D_
05 25 15:24:58 766 26763 26763 E AndroidRuntime: 	at android text SpannableStringBuilder replace(SpannableStringBuilder java:576)_x000D_
05 25 15:24:58 766 26763 26763 E AndroidRuntime: 	at android text SpannableStringBuilder replace(SpannableStringBuilder java:507)_x000D_
05 25 15:24:58 766 26763 26763 E AndroidRuntime: 	at android text SpannableStringBuilder replace(SpannableStringBuilder java:37)_x000D_
05 25 15:24:58 766 26763 26763 E AndroidRuntime: 	at com tokenautocomplete TokenCompleteTextView replaceText(TokenCompleteTextView java:892)_x000D_
05 25 15:24:58 766 26763 26763 E AndroidRuntime: 	at com fsck k9 view RecipientSelectView replaceText(RecipientSelectView java:224)_x000D_
05 25 15:24:58 766 26763 26763 E AndroidRuntime: 	at com fsck k9 view RecipientSelectView performCompletion(RecipientSelectView java:254)_x000D_
05 25 15:24:58 766 26763 26763 E AndroidRuntime: 	at com fsck k9 view RecipientSelectView onFocusChanged(RecipientSelectView java:208)_x000D_
05 25 15:24:58 766 26763 26763 E AndroidRuntime: 	at android view View clearFocusInternal(View java:7953)_x000D_
05 25 15:24:58 766 26763 26763 E AndroidRuntime: 	at android view View unFocus(View java:7986)_x000D_
05 25 15:24:58 766 26763 26763 E AndroidRuntime: 	at android view ViewGroup unFocus(ViewGroup java:1200)_x000D_
05 25 15:24:58 766 26763 26763 E AndroidRuntime: 	at android view ViewGroup unFocus(ViewGroup java:1200)_x000D_
05 25 15:24:58 766 26763 26763 E AndroidRuntime: 	at android view ViewGroup requestChildFocus(ViewGroup java:858)_x000D_
05 25 15:24:58 766 26763 26763 E AndroidRuntime: 	at android view View handleFocusGainInternal(View java:7778)_x000D_
05 25 15:24:58 766 26763 26763 E AndroidRuntime: 	at android view View requestFocusNoSearch(View java:13320)_x000D_
05 25 15:24:58 766 26763 26763 E AndroidRuntime: 	at android view View requestFocus(View java:13294)_x000D_
05 25 15:24:58 766 26763 26763 E AndroidRuntime: 	at android view View requestFocus(View java:13261)_x000D_
05 25 15:24:58 766 26763 26763 E AndroidRuntime: 	at android view View requestFocus(View java:13203)_x000D_
05 25 15:24:58 766 26763 26763 E AndroidRuntime: 	at android view View onTouchEvent(View java:15702)_x000D_
05 25 15:24:58 766 26763 26763 E AndroidRuntime: 	at android widget TextView onTouchEvent(TextView java:11030)_x000D_
05 25 15:24:58 766 26763 26763 E AndroidRuntime: 	at android view View dispatchTouchEvent(View java:14309)_x000D_
05 25 15:24:58 766 26763 26763 E AndroidRuntime: 	at android view ViewGroup dispatchTransformedTouchEvent(ViewGroup java:3118)_x000D_
05 25 15:24:58 766 26763 26763 E AndroidRuntime: 	at android view ViewGroup dispatchTouchEvent(ViewGroup java:2799)_x000D_
05 25 15:24:58 766 26763 26763 E AndroidRuntime: 	at android view ViewGroup dispatchTransformedTouchEvent(ViewGroup java:3118)_x000D_
05 25 15:24:58 766 26763 26763 E AndroidRuntime: 	at android view ViewGroup dispatchTouchEvent(ViewGroup java:2799)_x000D_
05 25 15:24:58 766 26763 26763 E AndroidRuntime: 	at android view ViewGroup dispatchTransformedTouchEvent(ViewGroup java:3118)_x000D_
05 25 15:24:58 766 26763 26763 E AndroidRuntime: 	at android view ViewGroup dispatchTouchEvent(ViewGroup java:2799)_x000D_
05 25 15:24:58 766 26763 26763 E AndroidRuntime: 	at android view ViewGroup dispatchTransformedTouchEvent(ViewGroup java:3118)_x000D_
05 25 15:24:58 766 26763 26763 E AndroidRuntime: 	at android view ViewGroup dispatchTouchEvent(ViewGroup java:2799)_x000D_
05 25 15:24:58 766 26763 26763 E AndroidRuntime: 	at android view ViewGroup dispatchTransformedTouchEvent(ViewGroup java:3118)_x000D_
05 25 15:24:58 766 26763 26763 E AndroidRuntime: 	at android view ViewGroup dispatchTouchEvent(ViewGroup java:2799)_x000D_
05 25 15:24:58 766 26763 26763 E AndroidRuntime: 	at android view ViewGroup dispatchTransformedTouchEvent(ViewGroup java:3118)_x000D_
05 25 15:24:58 766 26763 26763 E AndroidRuntime: 	at android view ViewGroup dispatchTouchEvent(ViewGroup java:2799)_x000D_
05 25 15:24:58 766 26763 26763 E AndroidRuntime: 	at android view ViewGroup dispatchTransformedTouchEvent(ViewGroup java:3118)_x000D_
05 25 15:24:58 766 26763 26763 E AndroidRuntime: 	at android view ViewGroup dispatchTouchEvent(ViewGroup java:2799)_x000D_
05 25 15:24:58 766 26763 26763 E AndroidRuntime: 	at android view ViewGroup dispatchTransformedTouchEvent(ViewGroup java:3118)_x000D_
05 25 15:24:58 766 26763 26763 E AndroidRuntime: 	at android view ViewGroup dispatchTouchEvent(ViewGroup java:2799)_x000D_
05 25 15:24:58 766 26763 26763 E AndroidRuntime: 	at com android internal policy DecorView superDispatchTouchEvent(DecorView java:488)_x000D_
05 25 15:24:58 766 26763 26763 E AndroidRuntime: 	at com android internal policy PhoneWindow superDispatchTouchEvent(PhoneWindow java:1873)_x000D_
05 25 15:24:58 766 26763 26763 E AndroidRuntime: 	at android app Activity dispatchTouchEvent(Activity java:4125)_x000D_
05 25 15:24:58 766 26763 26763 E AndroidRuntime: 	at androidx appcompat view WindowCallbackWrapper dispatchTouchEvent(WindowCallbackWrapper java:69)_x000D_
05 25 15:24:58 766 26763 26763 E AndroidRuntime: 	at androidx appcompat view WindowCallbackWrapper dispatchTouchEvent(WindowCallbackWrapper java:69)_x000D_
05 25 15:24:58 766 26763 26763 E AndroidRuntime: 	at com android internal policy DecorView dispatchTouchEvent(DecorView java:446)_x000D_
05 25 15:24:58 766 26763 26763 E AndroidRuntime: 	at android view View dispatchPointerEvent(View java:14568)_x000D_
05 25 15:24:58 766 26763 26763 E AndroidRuntime: 	at android view ViewRootImpl ViewPostImeInputStage processPointerEvent(ViewRootImpl java:6022)_x000D_
05 25 15:24:58 766 26763 26763 E AndroidRuntime: 	at android view ViewRootImpl ViewPostImeInputStage onProcess(ViewRootImpl java:5825)_x000D_
05 25 15:24:58 766 26763 26763 E AndroidRuntime: 	at android view ViewRootImpl InputStage deliver(ViewRootImpl java:5316)_x000D_
05 25 15:24:58 766 26763 26763 E AndroidRuntime: 	at android view ViewRootImpl InputStage onDeliverToNext(ViewRootImpl java:5373)_x000D_
05 25 15:24:58 766 26763 26763 E AndroidRuntime: 	at android view ViewRootImpl InputStage forward(ViewRootImpl java:5339)_x000D_
05 25 15:24:58 766 26763 26763 E AndroidRuntime: 	at android view ViewRootImpl AsyncInputStage forward(ViewRootImpl java:5491)_x000D_
05 25 15:24:58 766 26763 26763 E AndroidRuntime: 	at android view ViewRootImpl InputStage apply(ViewRootImpl java:5347)_x000D_
05 25 15:24:58 766 26763 26763 E AndroidRuntime: 	at android view ViewRootImpl AsyncInputStage apply(ViewRootImpl java:5548)_x000D_
05 25 15:24:58 766 26763 26763 E AndroidRuntime: 	at android view ViewRootImpl InputStage deliver(ViewRootImpl java:5320)_x000D_
05 25 15:24:58 766 26763 26763 E AndroidRuntime: 	at android view ViewRootImpl InputStage onDeliverToNext(ViewRootImpl java:5373)_x000D_
05 25 15:24:58 766 26763 26763 E AndroidRuntime: 	at android view ViewRootImpl InputStage forward(ViewRootImpl java:5339)_x000D_
05 25 15:24:58 766 26763 26763 E AndroidRuntime: 	at android view ViewRootImpl InputStage apply(ViewRootImpl java:5347)_x000D_
05 25 15:24:58 766 26763 26763 E AndroidRuntime: 	at android view ViewRootImpl InputStage deliver(ViewRootImpl java:5320)_x000D_
05 25 15:24:58 766 26763 26763 E AndroidRuntime: 	at android view ViewRootImpl deliverInputEvent(ViewRootImpl java:8086)_x000D_
05 25 15:24:58 766 26763 26763 E AndroidRuntime: 	at android view ViewRootImpl doProcessInputEvents(ViewRootImpl java:8037)_x000D_
05 25 15:24:58 766 26763 26763 E AndroidRuntime: 	at android view ViewRootImpl enqueueInputEvent(ViewRootImpl java:7998)_x000D_
05 25 15:24:58 766 26763 26763 E AndroidRuntime: 	at android view ViewRootImpl WindowInputEventReceiver onInputEvent(ViewRootImpl java:8209)_x000D_
05 25 15:24:58 766 26763 26763 E AndroidRuntime: 	at android view InputEventReceiver dispatchInputEvent(InputEventReceiver java:220)_x000D_
05 25 15:24:58 766 26763 26763 E AndroidRuntime: 	at android os MessageQueue nativePollOnce(Native Method)_x000D_
05 25 15:24:58 766 26763 26763 E AndroidRuntime: 	at android os MessageQueue next(MessageQueue java:335)_x000D_
05 25 15:24:58 766 26763 26763 E AndroidRuntime: 	at android os Looper loop(Looper java:183)_x000D_
05 25 15:24:58 766 26763 26763 E AndroidRuntime: 	at android app ActivityThread main(ActivityThread java:7660)_x000D_
05 25 15:24:58 766 26763 26763 E AndroidRuntime: 	at java lang reflect Method invoke(Native Method)_x000D_
05 25 15:24:58 766 26763 26763 E AndroidRuntime: 	at com android internal os RuntimeInit MethodAndArgsCaller run(RuntimeInit java:592)_x000D_
05 25 15:24:58 766 26763 26763 E AndroidRuntime: 	at com android internal os ZygoteInit main(ZygoteInit java:947)_x000D_
05 25 15:24:58 832 26763 26763 I Process : Sending signal  PID: 26763 SIG: 9_x000D_
   </t>
  </si>
  <si>
    <t>k9mail-k-9-5308</t>
  </si>
  <si>
    <t>App crashes when moving a message</t>
  </si>
  <si>
    <t xml:space="preserve">Please search to check for an existing issue (including closed issues  for which the fix may not have yet been released) before opening a new issue: https:  github com k9mail k 9 issues q is 3Aissue_x000D_
_x000D_
If you are unsure whether or not you have found a bug please post to the support forum instead: https:  forum k9mail app_x000D_
_x000D_
  Describe the bug  _x000D_
The app crashes  when I try to delete an email _x000D_
In this case  I try to delete an email which is 157 times in the send items because the app crashed every time during sending _x000D_
k 9 is fresh installed _x000D_
_x000D_
  To Reproduce  _x000D_
Steps to reproduce the behavior:_x000D_
1  Go to  Send Elements _x000D_
2  Click on on a conversation_x000D_
3  Select an email_x000D_
4  Click the delete icon_x000D_
5  The app crashes_x000D_
_x000D_
  Expected behavior  _x000D_
The email gets deleted and the app doesn t crash_x000D_
_x000D_
  Environment (please complete the following information):  _x000D_
   K 9 Mail version: 5 734 (latest beta from play store)_x000D_
   Android version: 6 0 1_x000D_
   Device: Lenovo YT3 X90F_x000D_
   Account type: IMAP (It s a work account from outlook office365 com)_x000D_
_x000D_
  Additional context  _x000D_
Add any other context about the problem here _x000D_
_x000D_
  Logs  _x000D_
Please take some time to  retrieve logs (https:  github com k9mail k 9 wiki LoggingErrors) and attach them here:_x000D_
_x000D_
   _x000D_
05 25 12:03:51 251 32028 32046 I MessagingController: Running command  deleteMessages   seq   0 (background priority)_x000D_
05 25 12:03:51 255 32028 32046 D MessagingController: Deleting messages in normal folder  moving_x000D_
05 25 12:03:51 256 32028 32046 D MoveMessageOperations: Moving message  ID: 215  to folder  ID: 8 _x000D_
05 25 12:03:51 265 32028 32046 F libc    : Fatal signal 11 (SIGSEGV)  code 128  fault addr 0x0 in tid 32046 (MessagingContro)_x000D_
05 25 12:03:51 370  7014  7014 F DEBUG   :                                                                _x000D_
05 25 12:03:51 370  7014  7014 F DEBUG   : Build fingerprint:  Lenovo YT3 10 row wifi YT3:6 0 1 MMB29M LenovoYT3 X90F S200375 200302:user release keys _x000D_
05 25 12:03:51 370  7014  7014 F DEBUG   : Revision:  0 _x000D_
05 25 12:03:51 370  7014  7014 F DEBUG   : ABI:  x86 64 _x000D_
05 25 12:03:51 370  7014  7014 F DEBUG   : pid: 32028  tid: 32046  name: MessagingContro      com fsck k9    _x000D_
05 25 12:03:51 370  7014  7014 F DEBUG   : signal 11 (SIGSEGV)  code 128 (SI KERNEL)  fault addr 0x0_x000D_
05 25 12:03:51 379  7014  7014 F DEBUG   :     rax 00007f94eb7ed070  rbx 00007f94e8571bc8  rcx 000000ff29d6fda0  rdx 0000000012e000a0_x000D_
05 25 12:03:51 379  7014  7014 F DEBUG   :     rsi 00000000132c7be0  rdi 0000000000001e09_x000D_
05 25 12:03:51 379  7014  7014 F DEBUG   :     r8  0000000000000000  r9  00007f94ea3de9c8  r10 00000000132c7cac  r11 ffffffffffffffff_x000D_
05 25 12:03:51 379  7014  7014 F DEBUG   :     r12 0000000012f4a900  r13 0000000013210ac0  r14 0000000013210b00  r15 0000000070faa860_x000D_
05 25 12:03:51 379  7014  7014 F DEBUG   :     cs  0000000000000033  ss  000000000000002b_x000D_
05 25 12:03:51 379  7014  7014 F DEBUG   :     rip 00007f94d79083dc  rbp 0000000012e5ac10  rsp 00007f94ea3de910  eflags 0000000000010207_x000D_
05 25 12:03:51 380  7014  7014 F DEBUG   :_x000D_
05 25 12:03:51 380  7014  7014 F DEBUG   : backtrace:_x000D_
05 25 12:03:51 380  7014  7014 F DEBUG   :      00 pc 0000000000cf33dc   data app com fsck k9 1 oat x86 64 base odex (offset 0x978000)_x000D_
05 25 12:03:51 549  7014  7014 F DEBUG   :_x000D_
05 25 12:03:51 549  7014  7014 F DEBUG   : Tombstone written to:  data tombstones tombstone 00_x000D_
05 25 12:03:51 549  7014  7014 E DEBUG   : AM write failed: Broken pipe_x000D_
05 25 12:03:51 552  4194 32100 W ActivityManager:   Force finishing activity com fsck k9  activity MessageList_x000D_
   _x000D_
_x000D_
   _x000D_
05 25 13:03:34 351  2317  2333 I MessagingController: Moving sent message to folder  Gesendete Elemente  (12)_x000D_
05 25 13:03:34 352  2317  2333 D MoveMessageOperations: Moving message  ID: 265  to folder  ID: 12 _x000D_
05 25 13:03:34 369  2317  2333 F libc    : Fatal signal 11 (SIGSEGV)  code 128  fault addr 0x0 in tid 2333 (MessagingContro)_x000D_
05 25 13:03:34 421  7014  7014 F DEBUG   :                                                                _x000D_
05 25 13:03:34 421  7014  7014 F DEBUG   : Build fingerprint:  Lenovo YT3 10 row wifi YT3:6 0 1 MMB29M LenovoYT3 X90F S200375 200302:user release keys _x000D_
05 25 13:03:34 422  7014  7014 F DEBUG   : Revision:  0 _x000D_
05 25 13:03:34 422  7014  7014 F DEBUG   : ABI:  x86 64 _x000D_
05 25 13:03:34 422  7014  7014 F DEBUG   : pid: 2317  tid: 2333  name: MessagingContro      com fsck k9    _x000D_
05 25 13:03:34 422  7014  7014 F DEBUG   : signal 11 (SIGSEGV)  code 128 (SI KERNEL)  fault addr 0x0_x000D_
05 25 13:03:34 431  7014  7014 F DEBUG   :     rax 00007f94eb7ed070  rbx 00007f94e8591b48  rcx 000000ff29d6fda0  rdx 0000000012c07460_x000D_
05 25 13:03:34 431  7014  7014 F DEBUG   :     rsi 0000000013fc3760  rdi 0000000000001e09_x000D_
05 25 13:03:34 431  7014  7014 F DEBUG   :     r8  0000000000000000  r9  00007f94ea3deae8  r10 0000000013fc370c  r11 ffffffffffffffff_x000D_
05 25 13:03:34 431  7014  7014 F DEBUG   :     r12 0000000013f9a5f0  r13 00000000133432c0  r14 00000000133432e0  r15 0000000070faa860_x000D_
05 25 13:03:34 431  7014  7014 F DEBUG   :     cs  0000000000000033  ss  000000000000002b_x000D_
05 25 13:03:34 431  7014  7014 F DEBUG   :     rip 00007f94d79083dc  rbp 0000000012e88850  rsp 00007f94ea3dea30  eflags 0000000000010207_x000D_
05 25 13:03:34 432  7014  7014 F DEBUG   :_x000D_
05 25 13:03:34 432  7014  7014 F DEBUG   : backtrace:_x000D_
05 25 13:03:34 432  7014  7014 F DEBUG   :      00 pc 0000000000cf33dc   data app com fsck k9 1 oat x86 64 base odex (offset 0x978000)_x000D_
05 25 13:03:34 616  7014  7014 F DEBUG   :_x000D_
05 25 13:03:34 616  7014  7014 F DEBUG   : Tombstone written to:  data tombstones tombstone 04_x000D_
05 25 13:03:34 616  7014  7014 E DEBUG   : AM write failed: Broken pipe_x000D_
05 25 13:03:34 618  4194  2618 W ActivityManager:   Force finishing activity com fsck k9  activity MessageList_x000D_
   </t>
  </si>
  <si>
    <t>TeamNewPipe-NewPipe-6368</t>
  </si>
  <si>
    <t>App crash while playing video</t>
  </si>
  <si>
    <t>Anuken-Mindustry-5290</t>
  </si>
  <si>
    <t>Overdrive Projector/Conveyor/Crucible bug</t>
  </si>
  <si>
    <t xml:space="preserve">  Platform  :  Android iOS Mac Windows Linux _x000D_
Windows_x000D_
_x000D_
  Build  :  The build number under the title in the main menu  Required   LATEST  IS NOT A VERSION  I NEED THE EXACT BUILD NUMBER OF YOUR GAME  _x000D_
126 2_x000D_
_x000D_
  Issue  :  Explain your issue in detail  _x000D_
I noticed something odd when messing with crucibles and hot tiles  Overdrive projectors overdrive everything except other overdrive projectors  right  This means they also speedup conveyors by their respective amounts too  right _x000D_
_x000D_
A single titanium conveyor is enough to empty out a crucible  even when that crucible is heated by tiles  However  when the crucible is placed on hot tiles for some reason it gets clogged with silicon when overdriven  even if the titanium conveyor is also overdriven by the same amount  Theoretically it shouldn t get clogged since both the crucible and the titanium conveyor emptying the silicon out are overdriven by the same amount _x000D_
_x000D_
  Steps to reproduce  :  How you happened across the issue  and what exactly you did to make the bug happen  _x000D_
_x000D_
 Place a crucible on some non heat tiles and another crucible on some heat tiles  The more heat tiles boost the easier this bug is to reproduce _x000D_
 Max out both crucibles with item sources for sand  coal  and pyratite  Keep them full of what they need _x000D_
 Place a single titanium conveyor  one for each crucible  to empty out the silicon (preferably into an item void) _x000D_
 Make sure to empty the heat boosted crucible s silicon manually until it consistently drops to 0  Notice how it never gets full of silicon even though it s boosted by heat and only has 1 titanium conveyor emptying its silicon _x000D_
 Place any overdrive projector  It doesn t matter if you use regular  regular phase boosted  or dome  Power it  Make sure it overdrives both the crucible and the titanium conveyor (that empties the silicon from the crucible) _x000D_
 The unboosted crucible on the cool tiles acts normally  It produces faster and the titanium conveyor moves faster  Because they re overdriven at the same speed the crucible never gets full of silicon because the single conveyor is enough to empty it out _x000D_
 The boosted crucible on the heated tiles gets clogged fairly quickly even though it and the titanium conveyor are boosted by the same amount _x000D_
_x000D_
  Link(s) to mod(s) used  :  The mod repositories or zip files that are related to the issue  if applicable  _x000D_
NA_x000D_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https:  ufile io cbxeem6u_x000D_
_x000D_
I have a setup for you to play with  Power only 1 of the overdrivers at a time  After each test  manually remove silicon from all crucibles until they read 0 silicon  Then pick your favorite overdrive  they all produce the bug  but only 1 at a time  The unheated crucible acts normally boosted or not while the heated crucibles fill up with silicon  They shouldn t fill up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</si>
  <si>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Anuken-Mindustry-5289</t>
  </si>
  <si>
    <t>Launch Pads and Possible General Stuff</t>
  </si>
  <si>
    <t xml:space="preserve">Platform: Linux Mint_x000D_
_x000D_
Build: 126 2_x000D_
_x000D_
Issue: This has cropped up a couple of times in bug reports  The problem is kind of you can t stop them doing their thing so all of your resources disappear into the ether  In one response you described it as not being a bug so perhaps it is a feature but it happens  Elsewhere you mention that the game takes an average over some time  several minutes  and then runs with it in the future  In addition to the launch pads being silly it is noticeable that sectors are prone to hanging which I ll guess is down to the same averaging  This is me watching sectors with launch pads trying to figure out what is going on and possibly not sitting on the sector for long enough  There have also been a number of occasions where I ve left a sector under attack to check on launch pads only to discover that something like a sneak attack has occurred  Most unfair _x000D_
_x000D_
Waving my wet finger in the air I m going to guess that whilst the game supposedly operates sectors in background what it is actually doing is taking an average for a sector whilst you are on it and running with that in the future  As a result it is prone to getting a horribly wrong answer  You were launching 3000 thorium per minute for four minutes  you turn off your launch pads and immediately leave the sector  The program based on the average assumes you are still launching 3000 thorium per minute and all of your thorium disappears _x000D_
_x000D_
Apologies for the ramble _x000D_
_x000D_
However might a possible solution be to delay the exit for say 5 seconds and run the sector simulation at maximum speed to gain a better estimate of the average rates of what is going on  I m guessing  probably incorrectly  that things run a bit faster when you are no longer updating graphics and stuff _x000D_
_x000D_
Failing that or even better  perhaps according to some sort of priority  would it be possible to have the program spawn  thread  sectors in background to perform the same sort of action such that the averages are more up to date or consistent  I realise that might be a big ask but whilst I don t know much about programming I have heard of such things  Perhaps as a game option  _x000D_
_x000D_
Steps to reproduce: Just playing the game _x000D_
_x000D_
Link(s) to mod(s) used: No Mods _x000D_
_x000D_
Save file: In this case I don t think you need one  It s known to happen  As as aside however under Linux Mint files are saved under  wine dosdevices z: proc number and get deleted when you exit the game  I assume  proc number is a process that gets totally killed on exit _x000D_
_x000D_
If you remove the line above without reading it properly and understanding what it means  I will reap your soul  Even if you re playing on someone s server  you can still save the game to a slot _x000D_
_x000D_
(Crash) logs: No crashes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</si>
  <si>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inaturalist-iNaturalistAndroid-1047</t>
  </si>
  <si>
    <t>NullPointerException in ObservationPhotosViewer$IdPicsPagerAdapter</t>
  </si>
  <si>
    <t xml:space="preserve">https:  console firebase google com u 2 project inaturalist ios crashlytics app android:org inaturalist android issues c636e92c3cc3a569f238d42d463355fc_x000D_
_x000D_
   _x000D_
Caused by java lang NullPointerException: Attempt to invoke virtual method  org json JSONArray org json JSONObject optJSONArray(java lang String)  on a null object reference_x000D_
       at org inaturalist android ObservationPhotosViewer IdPicsPagerAdapter  init (ObservationPhotosViewer java:470)_x000D_
       at org inaturalist android ObservationPhotosViewer IdPicsPagerAdapter  init (ObservationPhotosViewer java:453)_x000D_
       at org inaturalist android CompareSuggestionActivity refreshCurrentTaxon(CompareSuggestionActivity java:313)_x000D_
       at org inaturalist android CompareSuggestionActivity refreshViews(CompareSuggestionActivity java:265)_x000D_
       at org inaturalist android CompareSuggestionActivity onCreate(CompareSuggestionActivity java:162)_x000D_
       at android app Activity performCreate(Activity java:7963)_x000D_
   </t>
  </si>
  <si>
    <t>inaturalist-iNaturalistAndroid-1046</t>
  </si>
  <si>
    <t>NullPointerException in BaseFragmentActivity$UserDetailsReceiver.onReceive</t>
  </si>
  <si>
    <t xml:space="preserve">https:  console firebase google com u 2 project inaturalist ios crashlytics app android:org inaturalist android issues 0819ffa0b24dde90e628fac11027ac0e_x000D_
_x000D_
   _x000D_
Fatal Exception: java lang NullPointerException: Attempt to invoke virtual method  int java lang Integer intValue()  on a null object reference_x000D_
       at org inaturalist android BaseFragmentActivity UserDetailsReceiver onReceive(BaseFragmentActivity java:946)_x000D_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java:107)_x000D_
       at android os Looper loop(Looper java:223)_x000D_
       at android app ActivityThread main(ActivityThread java:7562)_x000D_
       at java lang reflect Method invoke(Method java)_x000D_
       at com android internal os RuntimeInit MethodAndArgsCaller run(RuntimeInit java:539)_x000D_
       at com android internal os ZygoteInit main(ZygoteInit java:950)_x000D_
   </t>
  </si>
  <si>
    <t>inaturalist-iNaturalistAndroid-1045</t>
  </si>
  <si>
    <t>NullPointerException in ObservationViewerActivity$ObservationReceiver.onReceive</t>
  </si>
  <si>
    <t xml:space="preserve">https:  console firebase google com u 2 project inaturalist ios crashlytics app android:org inaturalist android issues 521c72d929ccafdc7595b2fdff7c36cf_x000D_
_x000D_
   _x000D_
Fatal Exception: java lang NullPointerException: Attempt to invoke virtual method  boolean java lang String equals(java lang Object)  on a null object reference_x000D_
       at org inaturalist android ObservationViewerActivity ObservationReceiver onReceive(ObservationViewerActivity java:2779)_x000D_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java:106)_x000D_
       at android os Looper loop(Looper java:233)_x000D_
       at android app ActivityThread main(ActivityThread java:8010)_x000D_
       at java lang reflect Method invoke(Method java)_x000D_
       at com android internal os RuntimeInit MethodAndArgsCaller run(RuntimeInit java:631)_x000D_
       at com android internal os ZygoteInit main(ZygoteInit java:978)_x000D_
   </t>
  </si>
  <si>
    <t>TeamNewPipe-NewPipe-6364</t>
  </si>
  <si>
    <t>Unit testing `ContentSettingsManagerTest` fails</t>
  </si>
  <si>
    <t xml:space="preserve">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Run tests in  ContentSettingsManagerTest  (or simply run  gradle test )_x000D_
_x000D_
    Actual behaviour_x000D_
     Tell us what happens with the steps given above     _x000D_
 FileNotFoundException _x000D_
_x000D_
    Expected behavior_x000D_
     Tell us what you expect to happen     _x000D_
Passing tests_x000D_
_x000D_
    Logs_x000D_
     If your bug includes a crash (where you re shown the Error Report page with a bunch of info)  tap on  Copy formatted report  at the bottom and paste it here:    _x000D_
_x000D_
     That s right  here     _x000D_
 details _x000D_
   summary Log for one of the failed tests  summary _x000D_
_x000D_
   _x000D_
java io FileNotFoundException:  Users imericxu Code 20Projects Java NewPipe app build intermediates java res debugUnitTest out settings empty zip (No such file or directory)_x000D_
at java base java io FileInputStream open0(Native Method)_x000D_
at java base java io FileInputStream open(FileInputStream java:219)_x000D_
at java base java io FileInputStream  init (FileInputStream java:157)_x000D_
at java base java io FileInputStream  init (FileInputStream java:112)_x000D_
at org schabi newpipe util ZipHelper extractFileFromZip(ZipHelper java:73)_x000D_
at org schabi newpipe settings ContentSettingsManager extractSettings(ContentSettingsManager kt:64)_x000D_
at org schabi newpipe settings ContentSettingsManagerTest Contains setting must return false if a no settings file exists in the zip(ContentSettingsManagerTest kt:164)_x000D_
at java base jdk internal reflect NativeMethodAccessorImpl invoke0(Native Method)_x000D_
at java base jdk internal reflect NativeMethodAccessorImpl invoke(NativeMethodAccessorImpl java:62)_x000D_
at java base jdk internal reflect DelegatingMethodAccessorImpl invoke(DelegatingMethodAccessorImpl java:43)_x000D_
at java base java lang reflect Method invoke(Method java:566)_x000D_
at org junit runners model FrameworkMethod 1 runReflectiveCall(FrameworkMethod java:59)_x000D_
at org junit internal runners model ReflectiveCallable run(ReflectiveCallable java:12)_x000D_
at org junit runners model FrameworkMethod invokeExplosively(FrameworkMethod java:56)_x000D_
at org junit internal runners statements InvokeMethod evaluate(InvokeMethod java:17)_x000D_
at org junit internal runners statements RunBefores evaluate(RunBefores java:26)_x000D_
at org mockito internal runners DefaultInternalRunner 1 1 evaluate(DefaultInternalRunner java:54)_x000D_
at org junit runners ParentRunner 3 evaluate(ParentRunner java:306)_x000D_
at org junit runners BlockJUnit4ClassRunner 1 evaluate(BlockJUnit4ClassRunner java:100)_x000D_
at org junit runners ParentRunner runLeaf(ParentRunner java:366)_x000D_
at org junit runners BlockJUnit4ClassRunner runChild(BlockJUnit4ClassRunner java:103)_x000D_
at org junit runners BlockJUnit4ClassRunner runChild(BlockJUnit4ClassRunner java:63)_x000D_
at org junit runners ParentRunner 4 run(ParentRunner java:331)_x000D_
at org junit runners ParentRunner 1 schedule(ParentRunner java:79)_x000D_
at org junit runners ParentRunner runChildren(ParentRunner java:329)_x000D_
at org junit runners ParentRunner access 100(ParentRunner java:66)_x000D_
at org junit runners ParentRunner 2 evaluate(ParentRunner java:293)_x000D_
at org junit runners ParentRunner 3 evaluate(ParentRunner java:306)_x000D_
at org junit runners ParentRunner run(ParentRunner java:413)_x000D_
at org mockito internal runners DefaultInternalRunner 1 run(DefaultInternalRunner java:99)_x000D_
at org mockito internal runners DefaultInternalRunner run(DefaultInternalRunner java:105)_x000D_
at org mockito internal runners StrictRunner run(StrictRunner java:40)_x000D_
at org mockito junit MockitoJUnitRunner run(MockitoJUnitRunner java:163)_x000D_
at org junit runners Suite runChild(Suite java:128)_x000D_
at org junit runners Suite runChild(Suite java:27)_x000D_
at org junit runners ParentRunner 4 run(ParentRunner java:331)_x000D_
at org junit runners ParentRunner 1 schedule(ParentRunner java:79)_x000D_
at org junit runners ParentRunner runChildren(ParentRunner java:329)_x000D_
at org junit runners ParentRunner access 100(ParentRunner java:66)_x000D_
at org junit runners ParentRunner 2 evaluate(ParentRunner java:293)_x000D_
at org junit runners ParentRunner 3 evaluate(ParentRunner java:306)_x000D_
at org junit runners ParentRunner run(ParentRunner java:413)_x000D_
at org junit runner JUnitCore run(JUnitCore java:137)_x000D_
at com intellij junit4 JUnit4IdeaTestRunner startRunnerWithArgs(JUnit4IdeaTestRunner java:69)_x000D_
at com intellij rt junit IdeaTestRunner Repeater startRunnerWithArgs(IdeaTestRunner java:33)_x000D_
at com intellij rt junit JUnitStarter prepareStreamsAndStart(JUnitStarter java:220)_x000D_
at com intellij rt junit JUnitStarter main(JUnitStarter java:53)_x000D_
   _x000D_
  details </t>
  </si>
  <si>
    <t>MuntashirAkon-AppManager-452</t>
  </si>
  <si>
    <t>Android 12 Beta 1 crashes</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</si>
  <si>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_x000D_
The app crashes on Android 12 Beta 1 when pressing any of the following tabs: User Permissions  Permissions Uses Features _x000D_
_x000D_
_x000D_
  Device Info:  _x000D_
App version: 2 6 0_x000D_
App version code: 385_x000D_
Android build version: 7333779_x000D_
Android release version: 11_x000D_
Android SDK version: 30_x000D_
Android build ID: SPB1 210331 013_x000D_
Device brand: google_x000D_
Device manufacturer: Google_x000D_
Device name: sunfish_x000D_
Device model: Pixel 4a_x000D_
Device product name: sunfish_x000D_
Device hardware name: qcom_x000D_
ABIs:  arm64 v8a  armeabi v7a  armeabi _x000D_
ABIs (32bit):  armeabi v7a  armeabi _x000D_
ABIs (64bit):  arm64 v8a _x000D_
System language: en US_x000D_
In App Language: auto_x000D_
Mode: auto_x000D_
_x000D_
 details _x000D_
 summary Logs  summary _x000D_
_x000D_
 pre _x000D_
_x000D_
_x000D_
java lang NoClassDefFoundError: io github muntashirakon AppManager appops AppOpsManager_x000D_
    at io github muntashirakon AppManager details AppDetailsFragment permAppOp(AppDetailsFragment java:614)_x000D_
    at io github muntashirakon AppManager details AppDetailsFragment access 1300(AppDetailsFragment java:110)_x000D_
    at io github muntashirakon AppManager details AppDetailsFragment AppDetailsRecyclerAdapter getPermissionsView(AppDetailsFragment java:1438)_x000D_
    at io github muntashirakon AppManager details AppDetailsFragment AppDetailsRecyclerAdapter onBindViewHolder(AppDetailsFragment java:849)_x000D_
    at io github muntashirakon AppManager details AppDetailsFragment AppDetailsRecyclerAdapter onBindViewHolder(AppDetailsFragment java:618)_x000D_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java:23055)_x000D_
    at android view ViewGroup layout(ViewGroup java:6402)_x000D_
    at android widget FrameLayout layoutChildren(FrameLayout java:332)_x000D_
    at android widget FrameLayout onLayout(FrameLayout java:270)_x000D_
    at android view View layout(View java:23055)_x000D_
    at android view ViewGroup layout(ViewGroup java:6402)_x000D_
    at androidx appcompat widget LinearLayoutCompat setChildFrame(LinearLayoutCompat java:1655)_x000D_
    at androidx appcompat widget LinearLayoutCompat layoutVertical(LinearLayoutCompat java:1509)_x000D_
    at androidx appcompat widget LinearLayoutCompat onLayout(LinearLayoutCompat java:1417)_x000D_
    at android view View layout(View java:23055)_x000D_
    at android view ViewGroup layout(ViewGroup java:6402)_x000D_
    at androidx swiperefreshlayout widget SwipeRefreshLayout onLayout(SwipeRefreshLayout java:688)_x000D_
    at android view View layout(View java:23055)_x000D_
    at android view ViewGroup layout(ViewGroup java:6402)_x000D_
    at androidx viewpager widget ViewPager onLayout(ViewPager java:1775)_x000D_
    at android view View layout(View java:23055)_x000D_
    at android view ViewGroup layout(ViewGroup java:6402)_x000D_
    at com google android material appbar HeaderScrollingViewBehavior layoutChild(HeaderScrollingViewBehavior java:148)_x000D_
    at com google android material appbar ViewOffsetBehavior onLayoutChild(ViewOffsetBehavior java:43)_x000D_
    at com google android material appbar AppBarLayout ScrollingViewBehavior onLayoutChild(AppBarLayout java:2003)_x000D_
    at androidx coordinatorlayout widget CoordinatorLayout onLayout(CoordinatorLayout java:918)_x000D_
    at android view View layout(View java:23055)_x000D_
    at android view ViewGroup layout(ViewGroup java:6402)_x000D_
    at android widget FrameLayout layoutChildren(FrameLayout java:332)_x000D_
    at android widget FrameLayout onLayout(FrameLayout java:270)_x000D_
    at android view View layout(View java:23055)_x000D_
    at android view ViewGroup layout(ViewGroup java:6402)_x000D_
    at android widget LinearLayout setChildFrame(LinearLayout java:1829)_x000D_
    at android widget LinearLayout layoutVertical(LinearLayout java:1673)_x000D_
    at android widget LinearLayout onLayout(LinearLayout java:1582)_x000D_
    at android view View layout(View java:23055)_x000D_
    at android view ViewGroup layout(ViewGroup java:6402)_x000D_
    at android widget FrameLayout layoutChildren(FrameLayout java:332)_x000D_
    at android widget FrameLayout onLayout(FrameLayout java:270)_x000D_
    at android view View layout(View java:23055)_x000D_
    at android view ViewGroup layout(ViewGroup java:6402)_x000D_
    at android widget LinearLayout setChildFrame(LinearLayout java:1829)_x000D_
    at android widget LinearLayout layoutVertical(LinearLayout java:1673)_x000D_
    at android widget LinearLayout onLayout(LinearLayout java:1582)_x000D_
    at android view View layout(View java:23055)_x000D_
    at android view ViewGroup layout(ViewGroup java:6402)_x000D_
    at android widget FrameLayout layoutChildren(FrameLayout java:332)_x000D_
    at android widget FrameLayout onLayout(FrameLayout java:270)_x000D_
    at com android internal policy DecorView onLayout(DecorView java:798)_x000D_
    at android view View layout(View java:23055)_x000D_
    at android view ViewGroup layout(ViewGroup java:6402)_x000D_
    at android view ViewRootImpl performLayout(ViewRootImpl java:3601)_x000D_
    at android view ViewRootImpl performTraversals(ViewRootImpl java:3054)_x000D_
    at android view ViewRootImpl doTraversal(ViewRootImpl java:2057)_x000D_
    at android view ViewRootImpl TraversalRunnable run(ViewRootImpl java:8501)_x000D_
    at android view Choreographer CallbackRecord run(Choreographer java:1005)_x000D_
    at android view Choreographer doCallbacks(Choreographer java:826)_x000D_
    at android view Choreographer doFrame(Choreographer java:761)_x000D_
    at android view Choreographer FrameDisplayEventReceiver run(Choreographer java:990)_x000D_
    at android os Handler handleCallback(Handler java:938)_x000D_
    at android os Handler dispatchMessage(Handler java:99)_x000D_
    at android os Looper loopOnce(Looper java:201)_x000D_
    at android os Looper loop(Looper java:288)_x000D_
    at android app ActivityThread main(ActivityThread java:7727)_x000D_
    at java lang reflect Method invoke(Native Method)_x000D_
    at com android internal os RuntimeInit MethodAndArgsCaller run(RuntimeInit java:548)_x000D_
    at com android internal os ZygoteInit main(ZygoteInit java:975)_x000D_
 Caused by: java lang ExceptionInInitializerError_x000D_
   at io github muntashirakon AppManager appops AppOpsManager permissionToOpCode(AppOpsManager java:1653)_x000D_
   at io github muntashirakon AppManager details AppDetailsViewModel loadAppOps(AppDetailsViewModel java:1039)_x000D_
   at io github muntashirakon AppManager details AppDetailsViewModel lambda l0EWUQ8pwSEwIOu4g2r5od7Q6Ks(Unknown Source:0)_x000D_
   at io github muntashirakon AppManager details    Lambda AppDetailsViewModel l0EWUQ8pwSEwIOu4g2r5od7Q6Ks run(Unknown Source:2)_x000D_
   at java util concurrent Executors RunnableAdapter call(Executors java:462)_x000D_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java:920)_x000D_
  pre _x000D_
_x000D_
  details </t>
  </si>
  <si>
    <t>Chimerapps-niddler-26</t>
  </si>
  <si>
    <t>Websocket Crash</t>
  </si>
  <si>
    <t xml:space="preserve">This just happened to me and it crashed the whole app:_x000D_
_x000D_
   _x000D_
FATAL EXCEPTION: OkHttp Dispatcher_x000D_
    org java websocket exceptions WebsocketNotConnectedException_x000D_
        at org java websocket WebSocketImpl send(WebSocketImpl java:628)_x000D_
        at org java websocket WebSocketImpl send(WebSocketImpl java:605)_x000D_
        at com chimerapps niddler core ServerConnection send(ServerConnection java:63)_x000D_
        at com chimerapps niddler core NiddlerServer sendToAll(NiddlerServer java:202)_x000D_
        at com chimerapps niddler core NiddlerImpl send(NiddlerImpl java:108)_x000D_
        at com chimerapps niddler core Niddler logResponse(Niddler java:64)_x000D_
        at com chimerapps niddler interceptor okhttp NiddlerOkHttpInterceptor intercept(NiddlerOkHttpInterceptor java:217)_x000D_
        at okhttp3 internal http RealInterceptorChain proceed(RealInterceptorChain kt:109)_x000D_
        at okhttp3 internal connection RealCall getResponseWithInterceptorChain okhttp(RealCall kt:201)_x000D_
        at okhttp3 internal connection RealCall AsyncCall run(RealCall kt:517)_x000D_
        at java util concurrent ThreadPoolExecutor runWorker(ThreadPoolExecutor java:1167)_x000D_
        at java util concurrent ThreadPoolExecutor Worker run(ThreadPoolExecutor java:641)_x000D_
        at java lang Thread run(Thread java:923)_x000D_
   _x000D_
_x000D_
Niddler 1 5 3  I can t reproduce anymore </t>
  </si>
  <si>
    <t>nextcloud-android-8459</t>
  </si>
  <si>
    <t>Android app crashes while uploading photos and creating odt file</t>
  </si>
  <si>
    <t xml:space="preserve">the Android app just crashed while it was uploading photos (restarted instant uploads after connection failure) and trying to create a new odt file _x000D_
_x000D_
             CAUSE OF ERROR             _x000D_
_x000D_
java lang RuntimeException: Unable to start activity ComponentInfo com nextcloud client com owncloud android ui activity FileDisplayActivity : java lang NullPointerException: Attempt to read from field  androidx viewpager widget ViewPager com owncloud android databinding FileDetailsFragmentBinding pager  on a null object reference_x000D_
	at android app ActivityThread performLaunchActivity(ActivityThread java:2944)_x000D_
	at android app ActivityThread handleLaunchActivity(ActivityThread java:3079)_x000D_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java:1836)_x000D_
	at android os Handler dispatchMessage(Handler java:106)_x000D_
	at android os Looper loop(Looper java:193)_x000D_
	at android app ActivityThread main(ActivityThread java:6702)_x000D_
	at java lang reflect Method invoke(Native Method)_x000D_
	at com android internal os RuntimeInit MethodAndArgsCaller run(RuntimeInit java:493)_x000D_
	at com android internal os ZygoteInit main(ZygoteInit java:911)_x000D_
Caused by: java lang NullPointerException: Attempt to read from field  androidx viewpager widget ViewPager com owncloud android databinding FileDetailsFragmentBinding pager  on a null object reference_x000D_
	at com owncloud android ui fragment FileDetailFragment getFileDetailSharingFragment(FileDetailFragment java:158)_x000D_
	at com owncloud android ui activity FileActivity getShareFileFragment(FileActivity java:855)_x000D_
	at com owncloud android ui activity FileActivity getFile(FileActivity java:297)_x000D_
	at com owncloud android ui activity FileDisplayActivity updateActionBarTitleAndHomeButton(FileDisplayActivity java:1625)_x000D_
	at com owncloud android ui activity ToolbarActivity setupToolbar(ToolbarActivity java:103)_x000D_
	at com owncloud android ui activity ToolbarActivity setupHomeSearchToolbarWithSortAndListButtons(ToolbarActivity java:127)_x000D_
	at com owncloud android ui activity FileDisplayActivity onCreate(FileDisplayActivity java:264)_x000D_
	at android app Activity performCreate(Activity java:7136)_x000D_
	at android app Activity performCreate(Activity java:7127)_x000D_
	at android app Instrumentation callActivityOnCreate(Instrumentation java:1271)_x000D_
	at android app ActivityThread performLaunchActivity(ActivityThread java:2924)_x000D_
	    11 more_x000D_
_x000D_
             APP INFORMATION             _x000D_
ID: com nextcloud client_x000D_
Version: 30160090_x000D_
Build flavor: generic_x000D_
_x000D_
             DEVICE INFORMATION             _x000D_
Brand: alps_x000D_
Device: k63v2 64 bsp_x000D_
Model: Volla Phone_x000D_
Id: PPR1 180610 011_x000D_
Product: full k63v2 64 bsp_x000D_
_x000D_
             FIRMWARE             _x000D_
SDK: 28_x000D_
Release: 9_x000D_
Incremental: eng helios 20201019 112318_x000D_
</t>
  </si>
  <si>
    <t>enviroCar-enviroCar-app-740</t>
  </si>
  <si>
    <t>CRASH - When we go to CarselectionFragment (Cars) the app crashes on loading data</t>
  </si>
  <si>
    <t xml:space="preserve">  Steps to reproduce the bug :  _x000D_
_x000D_
Sign in to the enviroCar account    Go to My cars section_x000D_
_x000D_
The app crashes every time i try to go to   My Cars  section _x000D_
_x000D_
  Tested on   _x000D_
1  Samsung F62 APK 30_x000D_
2  ASUS  Zenfone APK 29_x000D_
3  Emulator _x000D_
_x000D_
I am able to reproduce on all the above devices  Screen recording after following the above steps _x000D_
_x000D_
_x000D_
https:  user images githubusercontent com 70392921 119265243 96736200 bc03 11eb 8092 6c62cb6dcaa7 mp4_x000D_
_x000D_
</t>
  </si>
  <si>
    <t>flutter-package-images_picker-28</t>
  </si>
  <si>
    <t>Open camera and record video return wrong type</t>
  </si>
  <si>
    <t xml:space="preserve">    _x000D_
           IMPORTANT       _x000D_
I use this code:_x000D_
List Media   res  _x000D_
                        await ImagesPicker openCamera(pickType: PickType video)_x000D_
_x000D_
And the res have 1 item with  path and thumpath is the same String with the tail  jpeg _x000D_
When I use this link and show to Image with code line:  Image file( File(path) )  My app suddenly crash and in Painting dart had  Exception (Exception: Invalid image data) _x000D_
I am using xiaomi 10t pro _x000D_
_x000D_
           IMPORTANT       _x000D_
   _x000D_
_x000D_
I use this code:_x000D_
List Media   res  _x000D_
                        await ImagesPicker openCamera(pickType: PickType video)_x000D_
_x000D_
And the res have 1 item with  path and thumpath is the same String with the tail  jpeg _x000D_
When I use this link and show to Image with code line:  Image file( File(path) )  My app suddenly crash and in Painting dart had  Exception (Exception: Invalid image data) _x000D_
I am using xiaomi 10t pro _x000D_
</t>
  </si>
  <si>
    <t>Anuken-Mindustry-5285</t>
  </si>
  <si>
    <t>(Repost) cannot control T Naval in multiplayer</t>
  </si>
  <si>
    <t xml:space="preserve">  Platform  :  Android _x000D_
_x000D_
  Build  : 126 2_x000D_
_x000D_
  Issue  :  Explain your issue in detail _x000D_
_x000D_
  Steps to reproduce  : when I play multiplayer or play on the server   I can t control the naval factory units starting from T1 (risso)  T2 (minke)  T3 (bryde)  T4 (sei)  and T5 (omura)   but if I play Champaign I can control them (all Naval factory troops)_x000D_
(Note: I apologize to the previous post  because it has changed the open   close state)_x000D_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</si>
  <si>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TeamNewPipe-NewPipe-6351</t>
  </si>
  <si>
    <t>Next/Previous Buttons Missing - With Auto-Queue Off</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</si>
  <si>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Turning off auto queue will make next and previous buttons go missing _x000D_
_x000D_
    Actual behaviour_x000D_
     Tell us what happens with the steps given above     _x000D_
Next and previous play back buttons go missing _x000D_
_x000D_
_x000D_
    Expected behavior_x000D_
     Tell us what you expect to happen     _x000D_
Should stay as normally they do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NA_x000D_
_x000D_
    Logs_x000D_
     If your bug includes a crash (where you re shown the Error Report page with a bunch of info)  tap on  Copy formatted report  at the bottom and paste it here:    _x000D_
_x000D_
     That s right  here     _x000D_
_x000D_
NA_x000D_
_x000D_
     Please fill this out when you do not provide a log generate by NewPipe    _x000D_
_x000D_
    Device info_x000D_
_x000D_
   Android version Custom ROM version: 11_x000D_
   Device model: OnePlus_x000D_
</t>
  </si>
  <si>
    <t>Anuken-Mindustry-5281</t>
  </si>
  <si>
    <t>Cannot control T naval in multiplayer</t>
  </si>
  <si>
    <t xml:space="preserve">  Platform  :  Android_x000D_
_x000D_
  Build  :  The build number under the title in the main menu  Required   LATEST  IS NOT A VERSION  I NEED THE EXACT BUILD NUMBER OF YOUR GAME  _x000D_
_x000D_
Build : 126 2_x000D_
_x000D_
  Issue  :  Explain your issue in detail  _x000D_
_x000D_
  Steps to reproduce  : when I play multiplayer or play on the server   I can t control the naval factory units starting from T1 (risso)  T2 (minke)  T3 (bryde)  T4 (sei)  and T5 (omura)   but if I play Campaign I can control them (all Naval factory troops)_x000D_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</si>
  <si>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TeamNewPipe-NewPipe-6342</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</si>
  <si>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requested stream_x000D_
    Request:   https:  www youtube com watch v IQyXO3F0nik_x000D_
    Content Country:   GB_x000D_
    Content Language:   en GB_x000D_
    App Language:   en GB_x000D_
    Service:   YouTube_x000D_
    Version:   0 21 2_x000D_
    OS:   Linux Android 8 0 0   26_x000D_
 details  summary  b Crash log   b   summary  p _x000D_
_x000D_
   _x000D_
java lang NullPointerException: Attempt to invoke virtual method  int java lang String length()  on a null object reference_x000D_
	at java io StringReader  init (StringReader java:50)_x000D_
	at com grack nanojson JsonParser JsonParserContext from(Unknown Source:6)_x000D_
	at org schabi newpipe extractor services youtube extractors YoutubeStreamExtractor fetchVideoInfoPage(YoutubeStreamExtractor java:802)_x000D_
	at org schabi newpipe extractor services youtube extractors YoutubeStreamExtractor onFetchPage(YoutubeStreamExtractor java:731)_x000D_
	at org schabi newpipe extractor Extractor fetchPage(Extractor java:54)_x000D_
	at org schabi newpipe extractor stream StreamInfo getInfo(StreamInfo java:68)_x000D_
	at org schabi newpipe extractor stream StreamInfo getInfo(StreamInfo java:64)_x000D_
	at org schabi newpipe util ExtractorHelper lambda getStreamInfo 3(ExtractorHelper java:115)_x000D_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_x000D_
   _x000D_
  details _x000D_
 hr _x000D_
_x000D_
     That s right  here     _x000D_
_x000D_
_x000D_
_x000D_
     Please fill this out when you do not provide a log generate by NewPipe    _x000D_
_x000D_
    Device info_x000D_
_x000D_
   Android version Custom ROM version:_x000D_
   Device model:_x000D_
</t>
  </si>
  <si>
    <t>inaturalist-iNaturalistAndroid-1043</t>
  </si>
  <si>
    <t>NullPointerException in ObservationViewerActivity.discardAddComment</t>
  </si>
  <si>
    <t xml:space="preserve">https:  console firebase google com u 2 project inaturalist ios crashlytics app android:org inaturalist android issues c3cf8a03d85c3f65dff500cf9122d47d_x000D_
_x000D_
   _x000D_
Fatal Exception: java lang NullPointerException: Attempt to invoke virtual method  void android widget Button setTextColor(int)  on a null object reference_x000D_
       at org inaturalist android ActivityHelper confirm(ActivityHelper java:253)_x000D_
       at org inaturalist android ActivityHelper confirm(ActivityHelper java:262)_x000D_
       at org inaturalist android ObservationViewerActivity discardAddComment(ObservationViewerActivity java:1492)_x000D_
       at org inaturalist android ObservationViewerActivity access 2900(ObservationViewerActivity java:118)_x000D_
       at org inaturalist android ObservationViewerActivity 11 3 onClick(ObservationViewerActivity java:1483)_x000D_
       at android view View performClick(View java:7289)_x000D_
       at android view View performClickInternal(View java:7259)_x000D_
       at android view View access 4000(View java:808)_x000D_
       at android view View PerformClick run(View java:28020)_x000D_
       at android os Handler handleCallback(Handler java:883)_x000D_
       at android os Handler dispatchMessage(Handler java:100)_x000D_
       at android os Looper loop(Looper java:214)_x000D_
       at android app ActivityThread main(ActivityThread java:7616)_x000D_
       at java lang reflect Method invoke(Method java)_x000D_
       at com android internal os RuntimeInit MethodAndArgsCaller run(RuntimeInit java:492)_x000D_
       at com android internal os ZygoteInit main(ZygoteInit java:964)_x000D_
   </t>
  </si>
  <si>
    <t>inaturalist-iNaturalistAndroid-1042</t>
  </si>
  <si>
    <t>NullPointerException in CirclePageIndicator</t>
  </si>
  <si>
    <t xml:space="preserve">https:  console firebase google com u 2 project inaturalist ios crashlytics app android:org inaturalist android issues 56f95b8bffcdc0425034e82b_x000D_
_x000D_
Not sure if this is something we can address since it seems to be coming from a third party library  but putting it here in case we can _x000D_
_x000D_
   _x000D_
Fatal Exception: java lang NullPointerException: Attempt to invoke virtual method  void android view VelocityTracker addMovement(android view MotionEvent)  on a null object reference_x000D_
       at androidx viewpager widget ViewPager fakeDragBy(ViewPager java:2626)_x000D_
       at com viewpagerindicator CirclePageIndicator onTouchEvent(CirclePageIndicator java:310)_x000D_
       at android view View dispatchTouchEvent(View java:15199)_x000D_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widget ScrollView dispatchTouchEvent(ScrollView java:868)_x000D_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android view ViewGroup dispatchTransformedTouchEvent(ViewGroup java:3920)_x000D_
       at android view ViewGroup dispatchTouchEvent(ViewGroup java:3594)_x000D_
       at com android internal policy DecorView superDispatchTouchEvent(DecorView java:899)_x000D_
       at com android internal policy PhoneWindow superDispatchTouchEvent(PhoneWindow java:1957)_x000D_
       at android app Activity dispatchTouchEvent(Activity java:4181)_x000D_
       at androidx appcompat view WindowCallbackWrapper dispatchTouchEvent(WindowCallbackWrapper java:69)_x000D_
       at com android internal policy DecorView dispatchTouchEvent(DecorView java:857)_x000D_
       at android view View dispatchPointerEvent(View java:15458)_x000D_
       at android view ViewRootImpl ViewPostImeInputStage processPointerEvent(ViewRootImpl java:7279)_x000D_
       at android view ViewRootImpl ViewPostImeInputStage onProcess(ViewRootImpl java:7055)_x000D_
       at android view ViewRootImpl InputStage deliver(ViewRootImpl java:6455)_x000D_
       at android view ViewRootImpl InputStage onDeliverToNext(ViewRootImpl java:6512)_x000D_
       at android view ViewRootImpl InputStage forward(ViewRootImpl java:6478)_x000D_
       at android view ViewRootImpl AsyncInputStage forward(ViewRootImpl java:6646)_x000D_
       at android view ViewRootImpl InputStage apply(ViewRootImpl java:6486)_x000D_
       at android view ViewRootImpl AsyncInputStage apply(ViewRootImpl java:6703)_x000D_
       at android view ViewRootImpl InputStage deliver(ViewRootImpl java:6459)_x000D_
       at android view ViewRootImpl InputStage onDeliverToNext(ViewRootImpl java:6512)_x000D_
       at android view ViewRootImpl InputStage forward(ViewRootImpl java:6478)_x000D_
       at android view ViewRootImpl InputStage apply(ViewRootImpl java:6486)_x000D_
       at android view ViewRootImpl InputStage deliver(ViewRootImpl java:6459)_x000D_
       at android view ViewRootImpl deliverInputEvent(ViewRootImpl java:9693)_x000D_
       at android view ViewRootImpl doProcessInputEvents(ViewRootImpl java:9531)_x000D_
       at android view ViewRootImpl enqueueInputEvent(ViewRootImpl java:9484)_x000D_
       at android view ViewRootImpl WindowInputEventReceiver onInputEvent(ViewRootImpl java:9827)_x000D_
       at android view InputEventReceiver dispatchInputEvent(InputEventReceiver java:220)_x000D_
       at android os MessageQueue nativePollOnce(MessageQueue java)_x000D_
       at android os MessageQueue next(MessageQueue java:335)_x000D_
       at android os Looper loop(Looper java:206)_x000D_
       at android app ActivityThread main(ActivityThread java:8462)_x000D_
       at java lang reflect Method invoke(Method java)_x000D_
       at com android internal os RuntimeInit MethodAndArgsCaller run(RuntimeInit java:596)_x000D_
       at com android internal os ZygoteInit main(ZygoteInit java:1130)_x000D_
   </t>
  </si>
  <si>
    <t>mapbox-mapbox-events-android-530</t>
  </si>
  <si>
    <t>🐞 Crash in background for Android 11</t>
  </si>
  <si>
    <t xml:space="preserve">  Context  _x000D_
The issue is reported in https:  github com mapbox mapbox search android examples issues 25 and  according to crash logs  there might be something with  mapbox android telemetry  _x000D_
_x000D_
  Configuration  _x000D_
   SDK Version: v7 0 0_x000D_
   Android OS Version: Android 11_x000D_
   App: External app with Search SDK integration_x000D_
_x000D_
  Steps to Reproduce  _x000D_
There are no defined steps  but according to the customer:_x000D_
_x000D_
  I have tried many many things but I cant reproduce the issue  I have noticed that app crashes 98  when it is in background  (ie  activity is not initialized)_x000D_
_x000D_
  Expected  _x000D_
Application doesn t crash in background _x000D_
_x000D_
  Logging  _x000D_
Crash stacktrace:_x000D_
   _x000D_
Fatal Exception: java lang ClassCastException: android os BinderProxy cannot be cast to com mapbox android telemetry MapboxTelemetryService Binder_x000D_
    at com mapbox android telemetry provider MapboxTelemetryInitProvider 1 onServiceConnected(MapboxTelemetryInitProvider java:38)_x000D_
    at android app LoadedApk ServiceDispatcher doConnected(LoadedApk java:2084)_x000D_
    at android app LoadedApk ServiceDispatcher RunConnection run(LoadedApk java:2116)_x000D_
    at android os Handler handleCallback(Handler java:938)_x000D_
    at android os Handler dispatchMessage(Handler java:99)_x000D_
    at android os Looper loop(Looper java:246)_x000D_
    at android app ActivityThread main(ActivityThread java:8506)_x000D_
    at java lang reflect Method invoke(Method java)_x000D_
    at com android internal os RuntimeInit MethodAndArgsCaller run(RuntimeInit java:602)_x000D_
    at com android internal os ZygoteInit main(ZygoteInit java:1130)_x000D_
   </t>
  </si>
  <si>
    <t>OpenTracksApp-OpenTracks-787</t>
  </si>
  <si>
    <t>3.18.1: App crashes after tap to intervals</t>
  </si>
  <si>
    <t xml:space="preserve">New error in last version 3 18 1 _x000D_
_x000D_
  Describe the bug  _x000D_
When I tap to intervals or chart in activity and after that tap to  back  without waiting for interval values app crashes _x000D_
_x000D_
  To Reproduce  _x000D_
1  Go to some activity _x000D_
2  Tap to intervals _x000D_
3  Tap to  back  in your mobile _x000D_
4  App crashes _x000D_
_x000D_
 E pentracks debu:  qarth debug:   get PatchStore::createDisableExceptionQarthFile method fail _x000D_
E AndroidRuntime: FATAL EXCEPTION: TrackDataHub_x000D_
    Process: de dennisguse opentracks debug  PID: 32277_x000D_
    java lang NullPointerException: Attempt to invoke virtual method  de dennisguse opentracks stats TrackStatistics de dennisguse opentracks stats TrackStatisticsUpdater getTrackStatistics()  on a null object reference_x000D_
        at de dennisguse opentracks content TrackDataHub notifyTrackPointsTableUpdate(TrackDataHub java:383)_x000D_
        at de dennisguse opentracks content TrackDataHub loadDataForListener(TrackDataHub java:261)_x000D_
        at de dennisguse opentracks content TrackDataHub lambda registerTrackDataListener 1 TrackDataHub(TrackDataHub java:194)_x000D_
        at de dennisguse opentracks content    Lambda TrackDataHub mbEXkhjouip  npcoIfM1Jx00V4 run(Unknown Source:12)_x000D_
        at android os Handler handleCallback(Handler java:907)_x000D_
        at android os Handler dispatchMessage(Handler java:105)_x000D_
        at android os Looper loop(Looper java:216)_x000D_
        at android os HandlerThread run(HandlerThread java:65) _x000D_
_x000D_
  Technical information  _x000D_
   Device: Honor KSA LX9_x000D_
   OS: Android_x000D_
   Version 9 1 0_x000D_
</t>
  </si>
  <si>
    <t>PojavLauncherTeam-PojavLauncher-1410</t>
  </si>
  <si>
    <t>Aristos client sigma and meteor crashing</t>
  </si>
  <si>
    <t xml:space="preserve">Pojavlauncher crashing when using aristos client_x000D_
When I use aristos client on the latest Google play release it loads to the mojang screen but it crashes and a screen appears _x000D_
(Saving world)_x000D_
I am using a offline account_x000D_
I will add latest log soon _x000D_
Please fix this _x000D_
I wanna use hacks instead of impact and wurst_x000D_
No other client like meteor aristos sigma doesn t work       _x000D_
_x000D_
  Platform:  _x000D_
   Device Model  Samsung Galaxy M31 _x000D_
   CPU architecture  e g  aarch64  _x000D_
   Android Version  e g  10 _x000D_
 </t>
  </si>
  <si>
    <t>Rapsssito-react-native-background-actions-88</t>
  </si>
  <si>
    <t>Android S requires extra flag on `PendingIntent`</t>
  </si>
  <si>
    <t>I was testing our app against Android S  and we re encountering crashes when starting a background service  Logcat gave the following error:_x000D_
_x000D_
   _x000D_
05 20 14:47:08 017 10882 10882 E AndroidRuntime: java lang RuntimeException: Unable to start service _x000D_
com asterinet react bgactions RNBackgroundActionsTask 7363fa8 with Intent   cmp  app  com asterinet react bgactions RNBackgroundActionsTask (has extras)  : _x000D_
java lang IllegalArgumentException:  app : Targeting S  (version 10000 and above) requires _x000D_
that one of FLAG IMMUTABLE or FLAG MUTABLE be specified when creating a PendingIntent _x000D_
_x000D_
05 20 14:47:08 017 10882 10882 E AndroidRuntime: Strongly consider using FLAG IMMUTABLE  only use FLAG MUTABLE _x000D_
if some functionality depends on the PendingIntent being mutable  e g  if it needs to be used with inline _x000D_
replies or bubbles _x000D_
   _x000D_
_x000D_
Some info on the change here: https:  developer android com about versions 12 behavior changes 12 pending intent mutability</t>
  </si>
  <si>
    <t>twilio-video-quickstart-android-639</t>
  </si>
  <si>
    <t>SurfaceTextureHelper crashing due to 0 texture width</t>
  </si>
  <si>
    <t xml:space="preserve">    Description_x000D_
_x000D_
We re seeing a rare crash during calls which seems to stem specifically from Twilio code  with very little context on what s going on since it s specifically within the  AndroidVideoDecoder  on a separately scheduled thread  Stack trace is:_x000D_
_x000D_
   _x000D_
Fatal Exception: java lang IllegalArgumentException: Texture width must be positive  but was 0_x000D_
       at tvi webrtc SurfaceTextureHelper setTextureSize(SurfaceTextureHelper java:252)_x000D_
       at tvi webrtc AndroidVideoDecoder deliverTextureFrame(AndroidVideoDecoder java:436)_x000D_
       at tvi webrtc AndroidVideoDecoder deliverDecodedFrame(AndroidVideoDecoder java:411)_x000D_
       at tvi webrtc AndroidVideoDecoder 1 run(AndroidVideoDecoder java:373)_x000D_
   _x000D_
_x000D_
We recently updated to Twilio 6 3 0 and implemented group calls rooms  so it s unclear which this is stemming from _x000D_
_x000D_
I ll also note that the other  participants  in the room may be connecting from Android  iOS  or Mac OS via the Web  though the majority of them are Mac OS Web users _x000D_
_x000D_
    Steps to Reproduce_x000D_
_x000D_
I don t have any way to reliably reproduce this  it has happened around 5 8 times over a few weeks but I can t find any common threads or single cause  I will note that we ve only seen this for a single user device  but our code is currently in a somewhat small beta so I m not sure if that s relevant _x000D_
_x000D_
It has happened both in the middle of a call  and when first joining a call _x000D_
_x000D_
     Code_x000D_
_x000D_
I don t think this is relevant  but we do include the code mentioned in  this issue (https:  github com twilio video quickstart android issues 470 issuecomment 745567407) and the device where we re seeing this crash is one where we use this code  I did try adding code to check for 0 width height in these cases and try to  bottom out  to something non zero  but that code doesn t seem to have detected a 0 there  so it s never fired and makes me think this  workaround  isn t relevant  Also  there are other devices is our testing group that would be running this code  and none of them have experienced the issue _x000D_
_x000D_
     Expected Behavior_x000D_
_x000D_
Call video feeds should remain stable _x000D_
_x000D_
     Actual Behavior_x000D_
_x000D_
Something causes (what appears to be) a  VideoView  to crash when rendering incoming video at some points _x000D_
_x000D_
     Reproduces how Often_x000D_
_x000D_
This has happened 5 8 times for the same user who has done  15 hours of video calls  We probably have over another 60 hours of video calls across other Android users and haven t seen this issue anywhere else  It is worth noting that the single user who encountered this is the only Pixel 4 XL we ve tested on  We have a few other Pixel devices (2 XL  3  4a  5) though none of them have ever encountered the issue  This user definitely has the most usage though _x000D_
_x000D_
     Logs_x000D_
_x000D_
I have a full Android Bug Report for one instance of this  but none of the logs around the crash are anything interesting   mostly  chatty  expiring lines  I don t see anything else interesting _x000D_
_x000D_
   _x000D_
05 12 12:00:51 306 10394 15805 11171 E AndroidRuntime: FATAL EXCEPTION: AndroidVideoDecoder outputThread_x000D_
05 12 12:00:51 306 10394 15805 11171 E AndroidRuntime: Process: com pmdsoft android  PID: 15805_x000D_
05 12 12:00:51 306 10394 15805 11171 E AndroidRuntime: java lang IllegalArgumentException: Texture width must be positive  but was 0_x000D_
05 12 12:00:51 306 10394 15805 11171 E AndroidRuntime: 	at tvi webrtc SurfaceTextureHelper setTextureSize(SurfaceTextureHelper java:252)_x000D_
05 12 12:00:51 306 10394 15805 11171 E AndroidRuntime: 	at tvi webrtc AndroidVideoDecoder deliverTextureFrame(AndroidVideoDecoder java:436)_x000D_
05 12 12:00:51 306 10394 15805 11171 E AndroidRuntime: 	at tvi webrtc AndroidVideoDecoder deliverDecodedFrame(AndroidVideoDecoder java:411)_x000D_
05 12 12:00:51 306 10394 15805 11171 E AndroidRuntime: 	at tvi webrtc AndroidVideoDecoder 1 run(AndroidVideoDecoder java:373)_x000D_
   _x000D_
_x000D_
This specific instance happened in room d5642f76 0c74 4849 ae9c ecd6a549e7a1 on 5 12 21 at 12:00:51 EST_x000D_
_x000D_
    Versions_x000D_
_x000D_
     Video Android SDK_x000D_
_x000D_
com twilio:video android:6 3 0_x000D_
_x000D_
     Android API_x000D_
_x000D_
Android 11_x000D_
_x000D_
     Android Device_x000D_
_x000D_
Pixel 4 XL</t>
  </si>
  <si>
    <t>TeamNewPipe-NewPipe-6333</t>
  </si>
  <si>
    <t>JVM Error on trying to build</t>
  </si>
  <si>
    <t xml:space="preserve">    Checklist_x000D_
     This checklist is COMPULSORY  The first box has been checked for you to show you how it is done     _x000D_
_x000D_
   x  I checked  but didn t find any duplicates (open OR closed) of this issue in the repo       Seriously  check  O O     _x000D_
https:  github com TeamNewPipe NewPipe issues q is:issue error on build_x000D_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gradlew assembleDebug   _x000D_
Refer https:  developer android com studio build building cmdline DebugMode_x000D_
_x000D_
     If you can t cause the bug to show up again reliably (and hence don t have a proper set of steps to give us)  please still try to give as many details as possible on how you think you encountered the bug     _x000D_
_x000D_
_x000D_
    Actual behaviour_x000D_
     Tell us what happens with the steps given above     _x000D_
_x000D_
   _x000D_
Unable to start the daemon process _x000D_
                       _x000D_
Error occurred during initialization of VM_x000D_
Could not reserve enough space for 2097152KB object heap_x000D_
   _x000D_
_x000D_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image (https:  user images githubusercontent com 19423063 118999777 303ed300 b9a8 11eb 8732 d94468798da7 png)_x000D_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details  summary  b Command log   b   summary  p _x000D_
_x000D_
   _x000D_
PS D: 5 Setups 17 src NewPipe patch 2     gradlew assembleDebug_x000D_
Starting a Gradle Daemon  8 incompatible and 1 stopped Daemons could not be reused  use   status for details_x000D_
_x000D_
FAILURE: Build failed with an exception _x000D_
_x000D_
  What went wrong:_x000D_
Unable to start the daemon process _x000D_
This problem might be caused by incorrect configuration of the daemon _x000D_
For example  an unrecognized jvm option is used _x000D_
Please refer to the User Manual chapter on the daemon at https:  docs gradle org 6 8 3 userguide gradle daemon html_x000D_
Process command line: C: Program Files (x86) Java jre1 8 0 211 bin java exe  Xmx2048M  Dfile encoding windows 1252  Duser country US  Duser language en  Duser variant  cp C: Users Yash Pal Goyal  gradle wrapper dists gradle 6 8 3 all 6czipnbiesy2sl92ioo8dht91 gradle 6 8 3 lib gradle launcher 6 8 3 jar org gradle launcher daemon bootstrap GradleDaemon 6 8 3_x000D_
Please read the following process output to find out more:_x000D_
                       _x000D_
Error occurred during initialization of VM_x000D_
Could not reserve enough space for 2097152KB object heap_x000D_
_x000D_
_x000D_
  Try:_x000D_
Run with   stacktrace option to get the stack trace  Run with   info or   debug option to get more log output  Run with   scan to get full insights _x000D_
_x000D_
  Get more help at https:  help gradle org_x000D_
   _x000D_
  details </t>
  </si>
  <si>
    <t>SDPepe-AppArt-209</t>
  </si>
  <si>
    <t>Fix no internet connection crash bug</t>
  </si>
  <si>
    <t xml:space="preserve">A lot of our activities rely on internet connection for database information  If the connection is missing since the beginning this is not a problem since the login will fail and inform the user  In case the user is logged in and then internet connection goes down almost all our activities bug and crash  instead of informing the user and quit smoothly </t>
  </si>
  <si>
    <t>Anuken-Mindustry-5275</t>
  </si>
  <si>
    <t>Controlling payload and picking up units using logic in multiplayer causes client side players to crash</t>
  </si>
  <si>
    <t xml:space="preserve">  Platform  :  Linux _x000D_
_x000D_
  Build  :  126 2 _x000D_
_x000D_
  Issue  :  Controlling payload and picking up units using logic in multiplayer causes client side players to crash _x000D_
_x000D_
  Steps to reproduce  :  This bug is present on all payload units commanded by logic  but using megas is the easiest way to replicate it  _x000D_
_x000D_
 Log in to any server as a client  and place the schematic given in the save file below  Enter the arc in the schematic and command a sizable group of megas (during testing  70 or so were found to be effective at replicating the bug)  Fly the megas over to a group of ground units that are small enough for a mega to pick up  and hover over them  At this point  the logic should start commanding the megas to pick up the units  and subsequently trigger the crash  _x000D_
_x000D_
 If this fails to reproduce the crash  shoot the arc to command the megas to drop the units  and pick them up again  Doing this repeatedly should replicate the crash reliably  _x000D_
_x000D_
 Interestingly enough  this behavior is not seen in singleplayer  During an LAN game  the host doing the above will not cause the host to crash  but may result in other connected players crashing instead  _x000D_
_x000D_
  Link(s) to mod(s) used  :  No content mods were used  however  several testing mods were used to help replicate the bug  which may or may not affect the debugging process  _x000D_
_x000D_
https:  github com MEEPofFaith testing utilities_x000D_
_x000D_
https:  github com DeltaNedas ui lib_x000D_
_x000D_
https:  github com DeltaNedas unit factory_x000D_
_x000D_
  Save file  :  _x000D_
_x000D_
 _x000D_
_x000D_
If you remove the line above without reading it properly and understanding what it means  I will reap your soul  Even if you re playing on someone s server  you can still save the game to a slot _x000D_
_x000D_
(please note: The bug was replicated with a LAN game  although the bug should occur as normal on any server  The save file is the server side save file  The crash log was taken from the client computer )_x000D_
_x000D_
  (Crash) logs  :  _x000D_
 crash report 05 19 2021 17 24 27 txt (https:  github com Anuken Mindustry files 6512285 crash report 05 19 2021 17 24 27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</si>
  <si>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falzonv-discreet-launcher-55</t>
  </si>
  <si>
    <t>v3.6.0 crashes on Android 5</t>
  </si>
  <si>
    <t>I finished installing update v3 6 0  but it crashed when I wanted to move from the default launcher to the discrett launcher_x000D_
_x000D_
 Android 5 1 1</t>
  </si>
  <si>
    <t>ankidroid-Anki-Android-8879</t>
  </si>
  <si>
    <t>Crash 2.15beta4 - NullPointerException CardBrowser.onSelectionChanged</t>
  </si>
  <si>
    <t xml:space="preserve">_x000D_
I have no information about how this could have happened other than the crash report here_x000D_
_x000D_
   _x000D_
java lang NullPointerException: _x000D_
  at com ichi2 anki CardBrowser onSelectionChanged (CardBrowser java:2391)_x000D_
  at com ichi2 anki CardBrowser onCreateOptionsMenu (CardBrowser java:1021)_x000D_
  at android app Activity onCreatePanelMenu (Activity java:3680)_x000D_
  at androidx fragment app FragmentActivity onCreatePanelMenu (FragmentActivity java:287)_x000D_
  at androidx appcompat view WindowCallbackWrapper onCreatePanelMenu (WindowCallbackWrapper java:94)_x000D_
  at androidx appcompat app AppCompatDelegateImpl AppCompatWindowCallback onCreatePanelMenu (AppCompatDelegateImpl java:3084)_x000D_
  at androidx appcompat view WindowCallbackWrapper onCreatePanelMenu (WindowCallbackWrapper java:94)_x000D_
  at androidx appcompat app ToolbarActionBar populateOptionsMenu (ToolbarActionBar java:456)_x000D_
  at androidx appcompat app ToolbarActionBar 1 run (ToolbarActionBar java:57)_x000D_
  at android os Handler handleCallback (Handler java:907)_x000D_
  at android os Handler dispatchMessage (Handler java:105)_x000D_
  at android os Looper loop (Looper java:216)_x000D_
  at android app ActivityThread main (ActivityThread java:7625)_x000D_
  at java lang reflect Method invoke (Native Method)_x000D_
  at com android internal os RuntimeInit MethodAndArgsCaller run (RuntimeInit java:524)_x000D_
  at com android internal os ZygoteInit main (ZygoteInit java:987)_x000D_
   </t>
  </si>
  <si>
    <t>k9mail-k-9-5302</t>
  </si>
  <si>
    <t>Crash when moving an email to a folder since 5.734</t>
  </si>
  <si>
    <t xml:space="preserve">  Describe the bug  _x000D_
Since version 5 734 K9 sometimes crashes when I move an email to another folder (right after I click on the folder name)  This doesn t happen every time though so it is hard to reproduce consistently  but the changelog for 5 734 noted many internal changes and asked to spot any new bugs  This seems to be related and I haven t seen a similar bug report _x000D_
_x000D_
  To Reproduce  _x000D_
Steps to reproduce the behavior:_x000D_
1  Select an email_x000D_
2  Click on  Move _x000D_
3  Select a folder_x000D_
4  K9 crashes (I suddenly see my home screen without any error message or such)_x000D_
5  Note: when I start K9 again  the email actually is moved to the new folder_x000D_
_x000D_
  Expected behavior  _x000D_
The email is moved and K9 doesn t crash_x000D_
_x000D_
  Environment (please complete the following information):  _x000D_
   K 9 Mail version: 5 734_x000D_
   Android version: 11_x000D_
   Device: Samsung Galaxy S10_x000D_
   Account type: IMAP_x000D_
_x000D_
  Logs  _x000D_
Please take some time to  retrieve logs (https:  github com k9mail k 9 wiki LoggingErrors) and attach them here:_x000D_
_x000D_
</t>
  </si>
  <si>
    <t>Anuken-Mindustry-5274</t>
  </si>
  <si>
    <t>Insufficient resources on blowing up core and going back.</t>
  </si>
  <si>
    <t xml:space="preserve">Platform: Linux_x000D_
_x000D_
Build: 126 2_x000D_
_x000D_
Issue: I enter Impact 0078 for the first time with a fully loaded 13K core  I build a set of Monos(24)  Polys(24) and Megas(24) and set up my defences they play through the waves  Once the sector is captured I take everything down except the Core  The Monos  Polys and Megas remain  I update the tech tree to grab the goodies  I place an unloader on the Core to take out thorium and place a Thorium rector against it to blow up the core _x000D_
_x000D_
When I try to return to  restart  the sector launching from Tar Fields irrespective of the core size I use or the amount of resources I assign I am told I have insufficient resources to launch  It consistently moans about lead but depending on core size other resources may be flagged as insufficient _x000D_
_x000D_
Steps to reproduce: As described above _x000D_
_x000D_
Link(s) to mod(s) used: No mods used_x000D_
_x000D_
Save file:  insuffresources zip (https:  github com Anuken Mindustry files 6510926 insuffresources zip)_x000D_
_x000D_
(Crash) logs: No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</si>
  <si>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libgdx-gdx-pay-240</t>
  </si>
  <si>
    <t>NPE on start of the app (getTransactionDate() or getTransactionDate().toDate() is null)</t>
  </si>
  <si>
    <t xml:space="preserve">     Issue details  reproduction steps code_x000D_
 App crashes due to the uncaught NullPointerException at the start  probably only if user has made a purchase before _x000D_
_x000D_
     Version of gdx pay and or relevant dependencies_x000D_
 gdx pay 1 3 2 _x000D_
_x000D_
     Stacktrace_x000D_
   java_x000D_
java lang NullPointerException_x000D_
	at com badlogic gdx pay ios apple PurchaseManageriOSApple transaction(PurchaseManageriOSApple java:211)_x000D_
	at com badlogic gdx pay ios apple PurchaseManageriOSApple AppleTransactionObserver updatedTransactions(PurchaseManageriOSApple java:368)_x000D_
	at com badlogic gdx pay ios apple PurchaseManageriOSApple AppleTransactionObserver  cb paymentQueue updatedTransactions (PurchaseManageriOSApple java)_x000D_
	at org robovm apple uikit UIApplication main(Native Method)_x000D_
	at org robovm apple uikit UIApplication main(UIApplication java:446)_x000D_
   _x000D_
_x000D_
     Please select the affected platforms and payment service implementation_x000D_
      Amazon_x000D_
      googlebilling_x000D_
      googlepay_x000D_
   x  apple robovm_x000D_
      Huawei_x000D_
</t>
  </si>
  <si>
    <t>nextcloud-android-8437</t>
  </si>
  <si>
    <t>parameter specified as non-null is null</t>
  </si>
  <si>
    <t xml:space="preserve">    Steps to reproduce_x000D_
1  Open App_x000D_
2  App Open and Shows folders  indicating it s working to connect_x000D_
3     crash_x000D_
_x000D_
_x000D_
    Expected behaviour_x000D_
  it should not crash_x000D_
_x000D_
    Actual behaviour_x000D_
  crash_x000D_
_x000D_
    Can you reproduce this problem on try nextcloud_x000D_
No_x000D_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_x000D_
_x000D_
_x000D_
Android crash report_x000D_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java:764)_x000D_
_x000D_
             APP INFORMATION             _x000D_
ID: com nextcloud client_x000D_
Version: 30160090_x000D_
Build flavor: gplay_x000D_
_x000D_
             DEVICE INFORMATION             _x000D_
Brand: samsung_x000D_
Device: herolte_x000D_
Model: SM G930F_x000D_
Id: R16NW_x000D_
Product: heroltexx_x000D_
_x000D_
             FIRMWARE             _x000D_
SDK: 26_x000D_
Release: 8 0 0_x000D_
Incremental: G930FXXU8ETI2_x000D_
_x000D_
</t>
  </si>
  <si>
    <t>Anuken-Mindustry-5271</t>
  </si>
  <si>
    <t>Game crashes when you i go to the Stained Mountains Sector</t>
  </si>
  <si>
    <t xml:space="preserve">_x000D_
 crash txt (https:  github com Anuken Mindustry files 6505331 crash txt)_x000D_
 crash txt (https:  github com Anuken Mindustry files 6505333 crash txt)_x000D_
_x000D_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</si>
  <si>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Anuken-Mindustry-5270</t>
  </si>
  <si>
    <t>Multiplayer desync of logic blocks</t>
  </si>
  <si>
    <t xml:space="preserve">  Platform  :  Android iOS Mac Windows Linux _x000D_
_x000D_
Windows_x000D_
_x000D_
  Build  :  The build number under the title in the main menu  Required   LATEST  IS NOT A VERSION  I NEED THE EXACT BUILD NUMBER OF YOUR GAME  _x000D_
_x000D_
Steam build 126 3_x000D_
_x000D_
  Issue  :  Explain your issue in detail  _x000D_
_x000D_
When a logic display is connected to a processor and drawn on continually  the logic display seems to desync in multiplayer along with any messages that the processor is printing to _x000D_
_x000D_
  Steps to reproduce  :  How you happened across the issue  and what exactly you did to make the bug happen  _x000D_
_x000D_
I came across this issue while implementing a version of Pong  I wrote a logic program for use with a Hyper Processor that clears a Large Logic Display and draws several rectangles and polygons onto the display nearly every cycle of the processor  When I attempt to run my program in multiplayer  the position of the  ball  (a small 20 sided polygon drawn and flushed onto the display at different locations nearly every cycle) differs wildly after maybe 30 seconds of active play between the host and the client  along with the values of the two linked messages that indicate score  I would expect the pixels that display on the logic display as well as the messages that the processor is printing to to be synchronized between clients _x000D_
_x000D_
  Link(s) to mod(s) used  :  The mod repositories or zip files that are related to the issue  if applicable  _x000D_
_x000D_
No mods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In this save file  the switch controls whether or not the processor is active and flushing to the display  I have also attached a zipped copy of a text file with the logic that led to the desync if you need it:  0 zip (https:  github com Anuken Mindustry files 6504929 0 zip)   Pong txt (https:  github com Anuken Mindustry files 6504937 Pong zip)_x000D_
_x000D_
  (Crash) logs  :  Either crash reports from the crash folder  or the file you get when you go into Settings    Game Data    Export Crash logs  REQUIRED if you are reporting a crash  _x000D_
_x000D_
N 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</si>
  <si>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Anuken-Mindustry-5268</t>
  </si>
  <si>
    <t>game crash</t>
  </si>
  <si>
    <t xml:space="preserve">  Platform  :  Windows _x000D_
_x000D_
  Build  :  The build number under the title in the main menu  Required   LATEST  IS NOT A VERSION  I NEED THE EXACT BUILD NUMBER OF YOUR GAME _x000D_
126 2 _x000D_
_x000D_
  Issue  :  crash _x000D_
_x000D_
  Steps to reproduce  :   i was just in logic processor and the game crash _x000D_
_x000D_
  Link(s) to mod(s) used  :  DeltaNedasdev mode deltanedasldb deltanedasoverride lib DeltaNedasui lib DeltaNedasunit factory Redstonneur1256Mindustry RedUtilities _x000D_
_x000D_
  Save file  : _x000D_
 map 16 zip (https:  github com Anuken Mindustry files 6504583 map 16 zip) _x000D_
_x000D_
If you remove the line above without reading it properly and understanding what it means  I will reap your soul  Even if you re playing on someone s server  you can still save the game to a slot _x000D_
_x000D_
  (Crash) logs  :  _x000D_
 crash report 05 19 2021 00 28 32 txt (https:  github com Anuken Mindustry files 6504591 crash report 05 19 2021 00 28 32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</si>
  <si>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XiangRongLin-NewPipe-preuinified-4</t>
  </si>
  <si>
    <t>Very Frequent UI Crash OutOfMemory Error</t>
  </si>
  <si>
    <t xml:space="preserve">its very annoying bug in newpipe legacy  don t get me wrong  I  appreciate your work  but_x000D_
_x000D_
this app crash every few minute  this is the only reason I stop using this app before  I use old Samsung galaxy dual core device  the preunified is the only one working fine for me  error occur anytime in between the app  mostly when exiting video or going back to main screen after searching  or clicking on channel to see the videos _x000D_
_x000D_
   Exception_x000D_
    User Action:   ui error_x000D_
    Request:   App crash  UI failure_x000D_
    Content Language:   en GB_x000D_
    Service:   none_x000D_
    Version:   0 21 2_x000D_
    OS:   Linux Android 4 1 2   16_x000D_
_x000D_
_x000D_
 details  summary  b Crash log  b   summary  p _x000D_
_x000D_
   _x000D_
java lang OutOfMemoryError_x000D_
	at android graphics BitmapFactory nativeDecodeAsset(Native Method)_x000D_
	at android graphics BitmapFactory decodeStream(BitmapFactory java:636)_x000D_
	at android graphics BitmapFactory decodeResourceStream(BitmapFactory java:484)_x000D_
	at android graphics drawable Drawable createFromResourceStream(Drawable java:813)_x000D_
	at android content res Resources loadDrawable(Resources java:2822)_x000D_
	at android content res Resources getDrawable(Resources java:1522)_x000D_
	at androidx appcompat widget ResourcesWrapper getDrawable(ResourcesWrapper java:130)_x000D_
	at androidx appcompat widget TintResources getDrawable(TintResources java:46)_x000D_
	at androidx core content ContextCompat getDrawable(ContextCompat java:456)_x000D_
	at androidx appcompat widget ResourceManagerInternal getDrawable(ResourceManagerInternal java:144)_x000D_
	at androidx appcompat widget ResourceManagerInternal getDrawable(ResourceManagerInternal java:132)_x000D_
	at androidx appcompat content res AppCompatResources getDrawable(AppCompatResources java:104)_x000D_
	at androidx appcompat widget AppCompatImageHelper setImageResource(AppCompatImageHelper java:86)_x000D_
	at androidx appcompat widget AppCompatImageView setImageResource(AppCompatImageView java:94)_x000D_
	at org schabi newpipelegacy MainActivity onResume(MainActivity java:469)_x000D_
	at android app Instrumentation callActivityOnResume(Instrumentation java:1199)_x000D_
	at android app Activity performResume(Activity java:5277)_x000D_
	at android app ActivityThread performResumeActivity(ActivityThread java:2633)_x000D_
	at android app ActivityThread handleResumeActivity(ActivityThread java:2671)_x000D_
	at android app ActivityThread H handleMessage(ActivityThread java:1283)_x000D_
	at android os Handler dispatchMessage(Handler java:99)_x000D_
	at android os Looper loop(Looper java:137)_x000D_
	at android app ActivityThread main(ActivityThread java:4960)_x000D_
	at java lang reflect Method invokeNative(Native Method)_x000D_
	at java lang reflect Method invoke(Method java:511)_x000D_
	at com android internal os ZygoteInit MethodAndArgsCaller run(ZygoteInit java:1038)_x000D_
	at com android internal os ZygoteInit main(ZygoteInit java:805)_x000D_
	at dalvik system NativeStart main(Native Method)_x000D_
_x000D_
   _x000D_
  p   details _x000D_
 hr _x000D_
</t>
  </si>
  <si>
    <t>tom-anders-Easy_xkcd-258</t>
  </si>
  <si>
    <t>App crashes when opening What-If section</t>
  </si>
  <si>
    <t xml:space="preserve">Expected behaviour: What If section opens normally or shows an error message if something fails _x000D_
Observed behaviour: The App claims to be loading new articles  before crashing _x000D_
App Version: 7 3 9 from F Droid_x000D_
Crash info:_x000D_
   _x000D_
APP VERSION NAME 7 3 9_x000D_
LOGCAT 05 18 19:07:37 158 W System err(18933): 	at okhttp3 internal http RealInterceptorChain proceed(RealInterceptorChain java:147)_x000D_
05 18 19:07:37 158 W System err(18933): 	at okhttp3 internal http RealInterceptorChain proceed(RealInterceptorChain java:121)_x000D_
05 18 19:07:37 158 W System err(18933): 	at okhttp3 internal http BridgeInterceptor intercept(BridgeInterceptor java:93)_x000D_
05 18 19:07:37 159 W System err(18933): 	at okhttp3 internal http RealInterceptorChain proceed(RealInterceptorChain java:147)_x000D_
05 18 19:07:37 160 W System err(18933): 	at okhttp3 internal http RetryAndFollowUpInterceptor intercept(RetryAndFollowUpInterceptor java:126)_x000D_
05 18 19:07:37 160 W System err(18933): 	at okhttp3 internal http RealInterceptorChain proceed(RealInterceptorChain java:147)_x000D_
05 18 19:07:37 160 W System err(18933): 	at okhttp3 internal http RealInterceptorChain proceed(RealInterceptorChain java:121)_x000D_
05 18 19:07:37 160 W System err(18933): 	at okhttp3 RealCall getResponseWithInterceptorChain(RealCall java:200)_x000D_
05 18 19:07:37 160 W System err(18933): 	at okhttp3 RealCall execute(RealCall java:77)_x000D_
05 18 19:07:37 160 W System err(18933): 	at de tap easy xkcd fragments whatIf WhatIfOverviewFragment GetDoc doInBackground(WhatIfOverviewFragment java:170)_x000D_
05 18 19:07:37 160 W System err(18933): 	at de tap easy xkcd fragments whatIf WhatIfOverviewFragment GetDoc doInBackground(WhatIfOverviewFragment java:150)_x000D_
05 18 19:07:37 160 W System err(18933): 	at android os AsyncTask 3 call(AsyncTask java:378)_x000D_
05 18 19:07:37 161 W System err(18933): 	at java util concurrent FutureTask run(FutureTask java:266)_x000D_
05 18 19:07:37 161 W System err(18933): 	at android os AsyncTask SerialExecutor 1 run(AsyncTask java:289)_x000D_
05 18 19:07:37 161 W System err(18933): 	at java util concurrent ThreadPoolExecutor runWorker(ThreadPoolExecutor java:1167)_x000D_
05 18 19:07:37 161 W System err(18933): 	at java util concurrent ThreadPoolExecutor Worker run(ThreadPoolExecutor java:641)_x000D_
05 18 19:07:37 161 W System err(18933): 	at java lang Thread run(Thread java:919)_x000D_
05 18 19:07:37 161 W System err(18933): Caused by: java net ConnectException: failed to connect to what if xkcd com 151 101 112 67 (port 443) from  10  Redacted without reason  (port 39674) after 10000ms: isConnected failed: ECONNREFUSED (Connection refused)_x000D_
05 18 19:07:37 161 W System err(18933): 	at libcore io IoBridge isConnected(IoBridge java:288)_x000D_
05 18 19:07:37 161 W System err(18933): 	at libcore io IoBridge connectErrno(IoBridge java:193)_x000D_
05 18 19:07:37 161 W System err(18933): 	at libcore io IoBridge connect(IoBridge java:135)_x000D_
05 18 19:07:37 161 W System err(18933): 	at java net PlainSocketImpl socketConnect(PlainSocketImpl java:142)_x000D_
05 18 19:07:37 161 W System err(18933): 	at java net AbstractPlainSocketImpl doConnect(AbstractPlainSocketImpl java:390)_x000D_
05 18 19:07:37 161 W System err(18933): 	at java net AbstractPlainSocketImpl connectToAddress(AbstractPlainSocketImpl java:230)_x000D_
05 18 19:07:37 161 W System err(18933): 	at java net AbstractPlainSocketImpl connect(AbstractPlainSocketImpl java:212)_x000D_
05 18 19:07:37 161 W System err(18933): 	at java net SocksSocketImpl connect(SocksSocketImpl java:436)_x000D_
05 18 19:07:37 162 W System err(18933): 	at java net Socket connect(Socket java:621)_x000D_
05 18 19:07:37 162 W System err(18933): 	at okhttp3 internal platform AndroidPlatform connectSocket(AndroidPlatform java:73)_x000D_
05 18 19:07:37 162 W System err(18933): 	at okhttp3 internal connection RealConnection connectSocket(RealConnection java:245)_x000D_
05 18 19:07:37 162 W System err(18933): 	    25 more_x000D_
05 18 19:07:37 162 W System err(18933): Caused by: android system ErrnoException: isConnected failed: ECONNREFUSED (Connection refused)_x000D_
05 18 19:07:37 162 W System err(18933): 	at libcore io IoBridge isConnected(IoBridge java:275)_x000D_
05 18 19:07:37 162 W System err(18933): 	    35 more_x000D_
05 18 19:07:37 182 E AndroidRuntime(18933): FATAL EXCEPTION: AsyncTask  3_x000D_
05 18 19:07:37 182 E AndroidRuntime(18933): Process: de tap easy xkcd  PID: 18933_x000D_
05 18 19:07:37 182 E AndroidRuntime(18933): java lang RuntimeException: An error occurred while executing doInBackground()_x000D_
05 18 19:07:37 182 E AndroidRuntime(18933): 	at android os AsyncTask 4 done(AsyncTask java:399)_x000D_
05 18 19:07:37 182 E AndroidRuntime(18933): 	at java util concurrent FutureTask finishCompletion(FutureTask java:383)_x000D_
05 18 19:07:37 182 E AndroidRuntime(18933): 	at java util concurrent FutureTask setException(FutureTask java:252)_x000D_
05 18 19:07:37 182 E AndroidRuntime(18933): 	at java util concurrent FutureTask run(FutureTask java:271)_x000D_
05 18 19:07:37 182 E AndroidRuntime(18933): 	at android os AsyncTask SerialExecutor 1 run(AsyncTask java:289)_x000D_
05 18 19:07:37 182 E AndroidRuntime(18933): 	at java util concurrent ThreadPoolExecutor runWorker(ThreadPoolExecutor java:1167)_x000D_
05 18 19:07:37 182 E AndroidRuntime(18933): 	at java util concurrent ThreadPoolExecutor Worker run(ThreadPoolExecutor java:641)_x000D_
05 18 19:07:37 182 E AndroidRuntime(18933): 	at java lang Thread run(Thread java:919)_x000D_
05 18 19:07:37 182 E AndroidRuntime(18933): Caused by: java lang NullPointerException: Attempt to invoke virtual method  org jsoup select Elements org jsoup nodes Document select(java lang String)  on a null object reference_x000D_
05 18 19:07:37 182 E AndroidRuntime(18933): 	at de tap easy xkcd fragments whatIf WhatIfFragment DisplayOverview doInBackground(WhatIfFragment java:259)_x000D_
05 18 19:07:37 182 E AndroidRuntime(18933): 	at de tap easy xkcd fragments whatIf WhatIfFragment DisplayOverview doInBackground(WhatIfFragment java:247)_x000D_
05 18 19:07:37 182 E AndroidRuntime(18933): 	at android os AsyncTask 3 call(AsyncTask java:378)_x000D_
05 18 19:07:37 182 E AndroidRuntime(18933): 	at java util concurrent FutureTask run(FutureTask java:266)_x000D_
05 18 19:07:37 182 E AndroidRuntime(18933): 	    4 more_x000D_
05 18 19:07:37 182 E ACRA    (18933): ACRA caught a RuntimeException for de tap easy xkcd_x000D_
05 18 19:07:37 182 E ACRA    (18933): java lang RuntimeException: An error occurred while executing doInBackground()_x000D_
05 18 19:07:37 182 E ACRA    (18933): 	at android os AsyncTask 4 done(AsyncTask java:399)_x000D_
05 18 19:07:37 182 E ACRA    (18933): 	at java util concurrent FutureTask finishCompletion(FutureTask java:383)_x000D_
05 18 19:07:37 182 E ACRA    (18933): 	at java util concurrent FutureTask setException(FutureTask java:252)_x000D_
05 18 19:07:37 182 E ACRA    (18933): 	at java util concurrent FutureTask run(FutureTask java:271)_x000D_
05 18 19:07:37 182 E ACRA    (18933): 	at android os AsyncTask SerialExecutor 1 run(AsyncTask java:289)_x000D_
05 18 19:07:37 182 E ACRA    (18933): 	at java util concurrent ThreadPoolExecutor runWorker(ThreadPoolExecutor java:1167)_x000D_
05 18 19:07:37 182 E ACRA    (18933): 	at java util concurrent ThreadPoolExecutor Worker run(ThreadPoolExecutor java:641)_x000D_
05 18 19:07:37 182 E ACRA    (18933): 	at java lang Thread run(Thread java:919)_x000D_
05 18 19:07:37 182 E ACRA    (18933): Caused by: java lang NullPointerException: Attempt to invoke virtual method  org jsoup select Elements org jsoup nodes Document select(java lang String)  on a null object reference_x000D_
05 18 19:07:37 182 E ACRA    (18933): 	at de tap easy xkcd fragments whatIf WhatIfFragment DisplayOverview doInBackground(WhatIfFragment java:259)_x000D_
05 18 19:07:37 182 E ACRA    (18933): 	at de tap easy xkcd fragments whatIf WhatIfFragment DisplayOverview doInBackground(WhatIfFragment java:247)_x000D_
05 18 19:07:37 182 E ACRA    (18933): 	at android os AsyncTask 3 call(AsyncTask java:378)_x000D_
05 18 19:07:37 182 E ACRA    (18933): 	at java util concurrent FutureTask run(FutureTask java:266)_x000D_
05 18 19:07:37 182 E ACRA    (18933): 	    4 more_x000D_
05 18 19:07:37 202 E AndroidRuntime(18933): FATAL EXCEPTION: AsyncTask  4_x000D_
05 18 19:07:37 202 E AndroidRuntime(18933): Process: de tap easy xkcd  PID: 18933_x000D_
05 18 19:07:37 202 E AndroidRuntime(18933): java lang RuntimeException: An error occurred while executing doInBackground()_x000D_
05 18 19:07:37 202 E AndroidRuntime(18933): 	at android os AsyncTask 4 done(AsyncTask java:399)_x000D_
05 18 19:07:37 202 E AndroidRuntime(18933): 	at java util concurrent FutureTask finishCompletion(FutureTask java:383)_x000D_
05 18 19:07:37 202 E AndroidRuntime(18933): 	at java util concurrent FutureTask setException(FutureTask java:252)_x000D_
05 18 19:07:37 202 E AndroidRuntime(18933): 	at java util concurrent FutureTask run(FutureTask java:271)_x000D_
05 18 19:07:37 202 E AndroidRuntime(18933): 	at android os AsyncTask SerialExecutor 1 run(AsyncTask java:289)_x000D_
05 18 19:07:37 202 E AndroidRuntime(18933): 	at java util concurrent ThreadPoolExecutor runWorker(ThreadPoolExecutor java:1167)_x000D_
05 18 19:07:37 202 E AndroidRuntime(18933): 	at java util concurrent ThreadPoolExecutor Worker run(ThreadPoolExecutor java:641)_x000D_
05 18 19:07:37 202 E AndroidRuntime(18933): 	at java lang Thread run(Thread java:919)_x000D_
05 18 19:07:37 202 E AndroidRuntime(18933): Caused by: java lang NullPointerException: Attempt to invoke virtual method  org jsoup select Elements org jsoup nodes Document select(java lang String)  on a null object reference_x000D_
05 18 19:07:37 202 E AndroidRuntime(18933): 	at de tap easy xkcd fragments whatIf WhatIfFavoritesFragment DisplayOverview doInBackground(WhatIfFavoritesFragment java:85)_x000D_
05 18 19:07:37 202 E AndroidRuntime(18933): 	at de tap easy xkcd fragments whatIf WhatIfFavoritesFragment DisplayOverview doInBackground(WhatIfFavoritesFragment java:66)_x000D_
05 18 19:07:37 202 E AndroidRuntime(18933): 	at android os AsyncTask 3 call(AsyncTask java:378)_x000D_
05 18 19:07:37 202 E AndroidRuntime(18933): 	at java util concurrent FutureTask run(FutureTask java:266)_x000D_
05 18 19:07:37 202 E AndroidRuntime(18933): 	    4 more_x000D_
05 18 19:07:37 202 E ACRA    (18933): ACRA caught a RuntimeException for de tap easy xkcd_x000D_
05 18 19:07:37 202 E ACRA    (18933): java lang RuntimeException: An error occurred while executing doInBackground()_x000D_
05 18 19:07:37 202 E ACRA    (18933): 	at android os AsyncTask 4 done(AsyncTask java:399)_x000D_
05 18 19:07:37 202 E ACRA    (18933): 	at java util concurrent FutureTask finishCompletion(FutureTask java:383)_x000D_
05 18 19:07:37 202 E ACRA    (18933): 	at java util concurrent FutureTask setException(FutureTask java:252)_x000D_
05 18 19:07:37 202 E ACRA    (18933): 	at java util concurrent FutureTask run(FutureTask java:271)_x000D_
05 18 19:07:37 202 E ACRA    (18933): 	at android os AsyncTask SerialExecutor 1 run(AsyncTask java:289)_x000D_
05 18 19:07:37 202 E ACRA    (18933): 	at java util concurrent ThreadPoolExecutor runWorker(ThreadPoolExecutor java:1167)_x000D_
05 18 19:07:37 202 E ACRA    (18933): 	at java util concurrent ThreadPoolExecutor Worker run(ThreadPoolExecutor java:641)_x000D_
05 18 19:07:37 202 E ACRA    (18933): 	at java lang Thread run(Thread java:919)_x000D_
05 18 19:07:37 202 E ACRA    (18933): Caused by: java lang NullPointerException: Attempt to invoke virtual method  org jsoup select Elements org jsoup nodes Document select(java lang String)  on a null object reference_x000D_
05 18 19:07:37 202 E ACRA    (18933): 	at de tap easy xkcd fragments whatIf WhatIfFavoritesFragment DisplayOverview doInBackground(WhatIfFavoritesFragment java:85)_x000D_
05 18 19:07:37 202 E ACRA    (18933): 	at de tap easy xkcd fragments whatIf WhatIfFavoritesFragment DisplayOverview doInBackground(WhatIfFavoritesFragment java:66)_x000D_
05 18 19:07:37 202 E ACRA    (18933): 	at android os AsyncTask 3 call(AsyncTask java:378)_x000D_
05 18 19:07:37 202 E ACRA    (18933): 	at java util concurrent FutureTask run(FutureTask java:266)_x000D_
05 18 19:07:37 202 E ACRA    (18933): 	    4 more_x000D_
05 18 19:07:37 210 E RecyclerView(18933): No adapter attached  skipping layout_x000D_
PHONE MODEL  redacted _x000D_
PACKAGE NAME de tap easy xkcd_x000D_
ANDROID VERSION 10_x000D_
SHARED PREFERENCES default transcripts fixed true_x000D_
default pref zoom scroll true_x000D_
default pref custom tabs true_x000D_
default pref detect color true_x000D_
default pref offline true_x000D_
default pref mobile false_x000D_
default pref share false_x000D_
default pref alt options  pref alt _x000D_
default widget comicNumber true_x000D_
default pref include link false_x000D_
default pref fullscreen enabled true_x000D_
default acra legacyAlreadyConvertedTo4 8 0 true_x000D_
default pref notifications 1_x000D_
default pref nav swipe true_x000D_
default widget alt true_x000D_
default pref doubletap false_x000D_
default pref alt activation 1_x000D_
default pref offline whatif false_x000D_
default pref amoled false_x000D_
default pref overview default false_x000D_
default pref zoom default_x000D_
default cache fixed 7 3 6 true_x000D_
default pref update mobile true_x000D_
default pref invert true_x000D_
default pref night true_x000D_
default pref large true_x000D_
default pref alt style new 1_x000D_
default pref default zoom true_x000D_
default acra lastVersionNr 166_x000D_
_x000D_
_x000D_
STACK TRACE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java:289)_x000D_
	at java util concurrent ThreadPoolExecutor runWorker(ThreadPoolExecutor java:1167)_x000D_
	at java util concurrent ThreadPoolExecutor Worker run(ThreadPoolExecutor java:641)_x000D_
	at java lang Thread run(Thread java:919)_x000D_
Caused by: java lang NullPointerException: Attempt to invoke virtual method  org jsoup select Elements org jsoup nodes Document select(java lang String)  on a null object reference_x000D_
	at de tap easy xkcd fragments whatIf WhatIfFragment DisplayOverview doInBackground(WhatIfFragment java:259)_x000D_
	at de tap easy xkcd fragments whatIf WhatIfFragment DisplayOverview doInBackground(WhatIfFragment java:247)_x000D_
	at android os AsyncTask 3 call(AsyncTask java:378)_x000D_
	at java util concurrent FutureTask run(FutureTask java:266)_x000D_
	    4 more_x000D_
java lang NullPointerException: Attempt to invoke virtual method  org jsoup select Elements org jsoup nodes Document select(java lang String)  on a null object reference_x000D_
	at de tap easy xkcd fragments whatIf WhatIfFragment DisplayOverview doInBackground(WhatIfFragment java:259)_x000D_
	at de tap easy xkcd fragments whatIf WhatIfFragment DisplayOverview doInBackground(WhatIfFragment java:247)_x000D_
	at android os AsyncTask 3 call(AsyncTask java:378)_x000D_
	at java util concurrent FutureTask run(FutureTask java:266)_x000D_
	at android os AsyncTask SerialExecutor 1 run(AsyncTask java:289)_x000D_
	at java util concurrent ThreadPoolExecutor runWorker(ThreadPoolExecutor java:1167)_x000D_
	at java util concurrent ThreadPoolExecutor Worker run(ThreadPoolExecutor java:641)_x000D_
	at java lang Thread run(Thread java:919)_x000D_
_x000D_
BRAND  redacted _x000D_
   </t>
  </si>
  <si>
    <t>prebid-prebid-mobile-android-263</t>
  </si>
  <si>
    <t>java.util.ConcurrentModificationException in apply(Util.java:417)</t>
  </si>
  <si>
    <t xml:space="preserve">  Describe the bug  _x000D_
ConcurrentModificationException is thrown when processing  DemandAdapterListener onDemandFailed()   The reason for this is that in case of a  TimeoutCountDownTimer  timeout ( onFinish  method execution) will invoke  ServerConnector this cancel()   which will in result notify the  listener onDemandFailed  from a worker thread  This is not expected  since  notifyDemandFailed  method is marked with   MainThread   and is sometimes leading to concurrent modifications of static HashMap in  Util  class  _x000D_
_x000D_
  To Reproduce  _x000D_
E g  you can write a test which will execute  onDemandFailed  and  onDemandReady  from different threads which will in result end up in concurrent modifications _x000D_
_x000D_
  Expected behavior  _x000D_
 notifyDemandFailed  should be executed from the MainThread  The SDK should not crash _x000D_
_x000D_
  Screenshots  _x000D_
Here is a screenshot of a thread which will invoke  notifyDemandFailed  on timeout _x000D_
  Screenshot 2021 05 18 at 14 56 48 (https:  user images githubusercontent com 79995965 118663078 304ca080 b7f9 11eb 84c9 1782d939dd04 png)_x000D_
_x000D_
_x000D_
  Additional context  _x000D_
Stacktrace:_x000D_
   _x000D_
Fatal Exception: java util ConcurrentModificationException_x000D_
       at java util HashMap HashIterator nextNode(HashMap java:1441)_x000D_
       at java util HashMap KeyIterator next(HashMap java:1465)_x000D_
       at org prebid mobile Util removeUsedCustomTargetingForDFP(Util java:532)_x000D_
       at org prebid mobile Util handleAdManagerBuilderCustomTargeting(Util java:465)_x000D_
       at org prebid mobile Util apply(Util java:417)_x000D_
       at org prebid mobile DemandFetcher RequestRunnable 1 1 onDemandFailed(DemandFetcher java:203)_x000D_
       at org prebid mobile PrebidServerAdapter ServerConnector notifyDemandFailed(PrebidServerAdapter java:260)_x000D_
       at org prebid mobile PrebidServerAdapter ServerConnector cancel(PrebidServerAdapter java:220)_x000D_
       at org prebid mobile PrebidServerAdapter ServerConnector access 300(PrebidServerAdapter java:76)_x000D_
       at org prebid mobile PrebidServerAdapter ServerConnector TimeoutCountDownTimer onFinish(PrebidServerAdapter java:1056)_x000D_
       at android os CountDownTimer 1 handleMessage(CountDownTimer java:127)_x000D_
       at android os Handler dispatchMessage(Handler java:106)_x000D_
       at android os Looper loop(Looper java:246)_x000D_
       at android os HandlerThread run(HandlerThread java:67)_x000D_
   _x000D_
</t>
  </si>
  <si>
    <t>TeamNewPipe-NewPipe-6329</t>
  </si>
  <si>
    <t>Comment page showing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</si>
  <si>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Play any video_x000D_
2  Press on Comments_x000D_
3  You will find Something Went Wrong dialogue box with report and retry  If you press retry  the same bug happens again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You will get a  Something Went wrong  dialogue box with the report and retry  If you press report  you will get a java error and report it on a GitHub message  _x000D_
_x000D_
_x000D_
    Expected behavior_x000D_
     Tell us what you expect to happen     _x000D_
_x000D_
You will  see actual comments_x000D_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user action : requested comments   request : Start loading: https:  www youtube com watch v KuuhcltChKc   content language : en US   content country : JP   app language : en US   service : YouTube   package : org schabi newpipe   version : 0 21 2   os : Linux Android 11   30   time : 2021 05 18 16:10   exceptions :  org schabi newpipe extractor exceptions ParsingException: Could not parse json data for comments n tat org schabi newpipe extractor services youtube extractors YoutubeCommentsExtractor getPage(YoutubeCommentsExtractor java:100) n tat org schabi newpipe extractor services youtube extractors YoutubeCommentsExtractor getInitialPage(YoutubeCommentsExtractor java:55) n tat org schabi newpipe extractor utils ExtractorHelper getItemsPageOrLogError(ExtractorHelper java:19) n tat org schabi newpipe extractor comments CommentsInfo getInfo(CommentsInfo java:40) n tat org schabi newpipe extractor comments CommentsInfo getInfo(CommentsInfo java:25) n tat org schabi newpipe util ExtractorHelper lambda getCommentsInfo 7(ExtractorHelper java:154) n tat org schabi newpipe util    Lambda ExtractorHelper 60N  UL7E5eaxFaFO1bZZmnfwM8 call(Unknown Source:4) n tat io reactivex rxjava3 internal operators single SingleFromCallable subscribeActual(SingleFromCallable java:43) n tat io reactivex rxjava3 core Single subscribe(Single java:4813) n tat io reactivex rxjava3 internal operators single SingleDoOnSuccess subscribeActual(SingleDoOnSuccess java:35) n tat io reactivex rxjava3 core Single subscribe(Single java:4813) n tat io reactivex rxjava3 internal operators maybe MaybeFromSingle subscribeActual(MaybeFromSingle java:41) n tat io reactivex rxjava3 core Maybe subscribe(Maybe java:5330) n tat io reactivex rxjava3 internal operators maybe MaybeConcatArray ConcatMaybeObserver drain(MaybeConcatArray java:153) n tat io reactivex rxjava3 internal operators maybe MaybeConcatArray ConcatMaybeObserver request(MaybeConcatArray java:78) n tat io reactivex rxjava3 internal operators flowable FlowableElementAtMaybe ElementAtSubscriber onSubscribe(FlowableElementAtMaybe java:66) n tat io reactivex rxjava3 internal operators maybe MaybeConcatArray subscribeActual(MaybeConcatArray java:42) n tat io reactivex rxjava3 core Flowable subscribe(Flowable java:15753) n tat io reactivex rxjava3 internal operators flowable FlowableElementAtMaybe subscribeActual(FlowableElementAtMaybe java:36) n tat io reactivex rxjava3 core Maybe subscribe(Maybe java:5330) n tat io reactivex rxjava3 internal operators maybe MaybeToSingle subscribeActual(MaybeToSingle java:46) n tat io reactivex rxjava3 core Single subscribe(Single java:4813) n tat io reactivex rxjava3 internal operators single SingleSubscribeOn SubscribeOnObserver run(SingleSubscribeOn java:89) n tat io reactivex rxjava3 core Scheduler DisposeTask run(Scheduler java:614) n tat io reactivex rxjava3 internal schedulers ScheduledRunnable run(ScheduledRunnable java:65) n tat io reactivex rxjava3 internal schedulers ScheduledRunnable call(ScheduledRunnable java:56) n tat java util concurrent FutureTask run(FutureTask java:266) n tat java util concurrent ScheduledThreadPoolExecutor ScheduledFutureTask run(ScheduledThreadPoolExecutor java:301) n tat java util concurrent ThreadPoolExecutor runWorker(ThreadPoolExecutor java:1167) n tat java util concurrent ThreadPoolExecutor Worker run(ThreadPoolExecutor java:641) n tat java lang Thread run(Thread java:923) nCaused by: com grack nanojson JsonParserException: Unexpected character:   on line 1  char 1 n tat com grack nanojson JsonTokener createParseException(Unknown Source:44) n tat com grack nanojson JsonTokener advanceToToken(Unknown Source:118) n tat com grack nanojson JsonParser advanceToken(Unknown Source:12) n tat com grack nanojson JsonParser parse(Unknown Source:1) n tat com grack nanojson JsonParser JsonParserContext from(Unknown Source:19) n tat org schabi newpipe extractor services youtube extractors YoutubeCommentsExtractor getPage(YoutubeCommentsExtractor java:98) n t    30 more n    user comment :   _x000D_
_x000D_
_x000D_
     Please fill this out when you do not provide a log generate by NewPipe    _x000D_
_x000D_
    Device info_x000D_
_x000D_
   Android version Custom ROM version: Android 11 0_x000D_
   Device model: vivo 1901_x000D_
</t>
  </si>
  <si>
    <t>TeamNewPipe-NewPipe-6326</t>
  </si>
  <si>
    <t>Restart while playing some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</si>
  <si>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O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Stock OS 10_x000D_
   Device model:Motorola one power_x000D_
</t>
  </si>
  <si>
    <t>JohnFai91-com.jason.kslo-45</t>
  </si>
  <si>
    <t>Crash at Intranet</t>
  </si>
  <si>
    <t xml:space="preserve">  To Reproduce  _x000D_
Steps to reproduce the behavior:_x000D_
1  Go    Login _x000D_
1  See error_x000D_
_x000D_
  Expected behavior  _x000D_
It should not crash_x000D_
_x000D_
  Stacktrace  _x000D_
Build version: 1 1 3 _x000D_
Current date: 2021 05 18 13:24:08 _x000D_
OS version: Android 11 (SDK 30) _x000D_
 _x000D_
Stack trace:  _x000D_
java lang RuntimeException: An error occurred while executing doInBackground()_x000D_
	at android os AsyncTask 4 done(AsyncTask java:415)_x000D_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java:305)_x000D_
	at java util concurrent ThreadPoolExecutor runWorker(ThreadPoolExecutor java:1167)_x000D_
	at java util concurrent ThreadPoolExecutor Worker run(ThreadPoolExecutor java:641)_x000D_
	at java lang Thread run(Thread java:923)_x000D_
Caused by: java lang NumberFormatException: For input string:   _x000D_
	at java lang Integer parseInt(Integer java:627)_x000D_
	at java lang Integer parseInt(Integer java:650)_x000D_
	at com jason kslo parseContent loggedInParseContent fragment LoginFragment Content doInBackground(LoginFragment java:99)_x000D_
	at com jason kslo parseContent loggedInParseContent fragment LoginFragment Content doInBackground(LoginFragment java:59)_x000D_
	at android os AsyncTask 3 call(AsyncTask java:394)_x000D_
	at java util concurrent FutureTask run(FutureTask java:266)_x000D_
	    4 more_x000D_
</t>
  </si>
  <si>
    <t>PojavLauncherTeam-PojavLauncher-1392</t>
  </si>
  <si>
    <t>[BUG] Multiple errors in Huawei Y5</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</si>
  <si>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_x000D_
Can t open minecraft inside phone_x000D_
_x000D_
  Add a log file if you want to see your bug fixed    _x000D_
_x000D_
 latestlog txt (https:  github com PojavLauncherTeam PojavLauncher files 6497540 latestlog txt)_x000D_
_x000D_
    To Reproduce:_x000D_
Indicate steps to reproduce the buggy behavior:_x000D_
_x000D_
1  Start PojavLauncher_x000D_
2  Run any minecraft version_x000D_
3  App crashes and reboot to login_x000D_
_x000D_
_x000D_
  Platform:  _x000D_
   Device Model: Huawei Y5_x000D_
   CPU architecture aarch64 (kirin655)_x000D_
   Android Version  Android 8 0 _x000D_
   PojavLauncher Version latest from Google Play_x000D_
_x000D_
</t>
  </si>
  <si>
    <t>TeamNewPipe-NewPipe-6323</t>
  </si>
  <si>
    <t>Likes aren't shown in the YT videos comments</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</si>
  <si>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2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on a YT Video
2  Check likes
3  Observe
     If you can t cause the bug to show up again reliably (and hence don t have a proper set of steps to give us)  please still try to give as many details as possible on how you think you encountered the bug     
    Actual behaviour
     Tell us what happens with the steps given above     
Likes on comments are showing 0
    Expected behavior
     Tell us what you expect to happen     
Should report the number of likes of the comments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Android 10 QP1A 190711 020   MIUM 12 0 10
   Device model: Xiaomi Note 9 (M2003J15SG)
</t>
  </si>
  <si>
    <t>mtotschnig-MyExpenses-825</t>
  </si>
  <si>
    <t>Move command can lead to crash if invoked while category list is filtered</t>
  </si>
  <si>
    <t xml:space="preserve">Given:_x000D_
  Category A with one sub category b_x000D_
  On Category screen (either opened from transaction form or from Settings)  click on search icon an enter A as search term_x000D_
  Category A now appears without children_x000D_
  Tap and hold on category A_x000D_
_x000D_
Expected:_x000D_
  Move command is not available in contextual action bar because main category with children cannot be moved _x000D_
_x000D_
Actual:_x000D_
  Move command is available and when invoked crashes the app </t>
  </si>
  <si>
    <t>yasirkula-UnityNativeCamera-61</t>
  </si>
  <si>
    <t>app crashes upon returning from photo (only on samsung A10)</t>
  </si>
  <si>
    <t xml:space="preserve">  Description of the bug  _x000D_
i have 2 phones  A21s (app is working)  while on A10 its crashes _x000D_
attached is a video of the app running  after taking the photo  the app crashes  on A21s it works correct  _x000D_
the error says that  the app is not suitable for the device   _x000D_
_x000D_
can it be more related to the UnityNativeGallery  i use that library for saving the images _x000D_
_x000D_
https:  user images githubusercontent com 593642 118557951 3e9dac80 b766 11eb 96f6 e30aca2574c5 mp4_x000D_
_x000D_
_x000D_
  Platform specs  _x000D_
  Unity version: 2019 4 2 LTS_x000D_
  Platform: Android_x000D_
  Device: Samsung Galaxy A10  Android 10_x000D_
  How did you download the plugin: Asset Store_x000D_
</t>
  </si>
  <si>
    <t>cgeo-cgeo-10668</t>
  </si>
  <si>
    <t>Crash on saving filter before adding elements</t>
  </si>
  <si>
    <t xml:space="preserve">     Fill in the following form by adding your text below the explanation comments     _x000D_
     You can use the preview tab above to review your issue before submitting it     _x000D_
_x000D_
   Bug description _x000D_
     Enter a summarized description of what the bug problem is  that you found    _x000D_
I tried to save a filter and only afterwards applied changes to it  Accepting the filter makes c:geo crash_x000D_
_x000D_
   Reproduce _x000D_
    Steps to reproduce the problem_x000D_
     Describe step by step how to reproduce the problem    _x000D_
  Open filter for lists (empty)_x000D_
  Tap disc icon  enter a name  save_x000D_
  Add any filter_x000D_
  Select Apply_x000D_
_x000D_
    Actual result after these steps _x000D_
     Describe the actual issue problem behavior in detail  which happens after the steps above    _x000D_
Crash_x000D_
_x000D_
    Expected result after these steps _x000D_
     Describe what you expected to happen instead (correct behavior)    _x000D_
Normal function_x000D_
_x000D_
   c:geo version _x000D_
     You will find the c:geo version in c:geo Menu    About c:geo    _x000D_
2021 05 17 NB_x000D_
_x000D_
   Reproducible _x000D_
     Yes   No (or describe under what conditions)    _x000D_
Yes_x000D_
_x000D_
   Additional context _x000D_
     (optional  remove if not applicable) log files  reference to other similar issues  projects  sources  etc     _x000D_
Log available on request</t>
  </si>
  <si>
    <t>Anuken-Mindustry-5260</t>
  </si>
  <si>
    <t>When rally points can't be reached, units don't move, but once path found, they don't need it</t>
  </si>
  <si>
    <t xml:space="preserve">  Platform  : Windows Linux server_x000D_
_x000D_
  Build  : 126 2 or BE 21068_x000D_
_x000D_
  Issue  : This can be intentional  but I haven t found any reference in older issues (except something similar from  3893) and that issue confuses me  so: depending on order of placement of walls OR command center (CC) I can get both ground units that are stuck next to payload OR on place of old rally point OR somewhere in between _x000D_
_x000D_
  Steps to reproduce  : Here is what I mean by that:_x000D_
  below: Units  remember  the place of the old rally point and use old blocks  center to group later  which looks weird and (obviously) resets after save load _x000D_
  pathfinding rally field3 (https:  user images githubusercontent com 4199082 118520696 ef925000 b742 11eb 9e55 57a4cf37626d gif)_x000D_
_x000D_
  below: Units can t reach the bottom CC because the way is blocked _x000D_
  below: Units can reach the middle CC (built later)  but once I block the path they  still  try to reach it ( why  the point is not reachable  like for the bottom CC ) _x000D_
  pathfinding rally field (https:  user images githubusercontent com 4199082 118518196 8dd0e680 b740 11eb 8f42 cde8f56ab241 gif)_x000D_
_x000D_
  below  more like a side note: Units don t seem to prioritize reachable rallypoint to unreachable _x000D_
  pathfinding rally field2 (https:  user images githubusercontent com 4199082 118519058 6f1f1f80 b741 11eb 9a0b 09dc46b3cd73 gif)_x000D_
_x000D_
So  the general idea which confuses me here: for the same  state  I (as a player) get different  results  _x000D_
_x000D_
  Link(s) to mod(s) used  : no mods_x000D_
_x000D_
  Save file  :  suicide ai test zip (https:  github com Anuken Mindustry files 6495146 suicide ai test zip)_x000D_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</si>
  <si>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square-okhttp-6681</t>
  </si>
  <si>
    <t xml:space="preserve">Unexpected CertificatePinner Invalid pattern Exception </t>
  </si>
  <si>
    <t xml:space="preserve"> java lang IllegalArgumentException: Invalid pattern: https:  www domain com _x000D_
        at okhttp3 CertificatePinner Pin  init  Method String toCanonicalHost() is not working as expected_x000D_
i got this crash although it was working on okhttp version 3   </t>
  </si>
  <si>
    <t>patzly-grocy-android-407</t>
  </si>
  <si>
    <t>App Crash after Importing Server Details [v2.0.0 beta 1]</t>
  </si>
  <si>
    <t xml:space="preserve">The App crashes immediately after importing the QR Code _x000D_
_x000D_
Server: v3 0 1 on Home Assistant_x000D_
Mobile: Android 10   OnePlus 6T_x000D_
_x000D_
Here s what I did:_x000D_
  a clean install of the beta 1 version (uninstalled previous Alpha builds)_x000D_
  Create API Key on Grocy Server_x000D_
  Read API Key in App using Barcode Scanner_x000D_
_x000D_
After finishing the Server setup the App reproducibly crashes _x000D_
When restarting the app it shows up for a second and shuts down again _x000D_
_x000D_
On the server side I see that the API key has been used to the  last used  timestamp_x000D_
The connection worked on Alpha 5_x000D_
_x000D_
Please let me know if and how I can supply more detailed debugging details _x000D_
_x000D_
</t>
  </si>
  <si>
    <t>PojavLauncherTeam-PojavLauncher-1384</t>
  </si>
  <si>
    <t>Black screen while using Zink Vulkan</t>
  </si>
  <si>
    <t xml:space="preserve">My phones processor is MTK Helio G95 6GB RAM but when I change the render to Zink Vulkan it s showing black screen but I can hear it and when I change the render to others it s crashing please fix it _x000D_
_x000D_
Thnk you </t>
  </si>
  <si>
    <t>Anuken-Mindustry-5255</t>
  </si>
  <si>
    <t>Daggers don't shoot or aim properly at specific wall placement</t>
  </si>
  <si>
    <t xml:space="preserve">  Platform  : Windows Linux server_x000D_
_x000D_
  Build  : 126 2 or BE 21068_x000D_
_x000D_
  Issue  : When there is a specific placement of walls (or  in fact  other structures)  daggers aim in the wrong direction and don t shoot anywhere  Even when they do after getting closer  their bullets don t reach the target (see till 5 of them stack up in the gif below) making them not to progress _x000D_
_x000D_
  Steps to reproduce  : use attached map  see gif:_x000D_
  dagger ai (https:  user images githubusercontent com 4199082 118433171 115bea80 b6e3 11eb 9869 5dd12ed05bda gif)_x000D_
_x000D_
  Link(s) to mod(s) used  : no mods_x000D_
_x000D_
  Save file  : _x000D_
 dagger test zip (https:  github com Anuken Mindustry files 6491130 dagger test zip)_x000D_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</si>
  <si>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Anuken-Mindustry-5254</t>
  </si>
  <si>
    <t>Friendly suicideAI (again)</t>
  </si>
  <si>
    <t xml:space="preserve">  Platform  : Windows_x000D_
_x000D_
  Build  : 126 2 and BE 21068_x000D_
_x000D_
  Issue  : Here we go again  maybe next step of  4416: with specific placement of structures  crawlers are very unlikely to explode _x000D_
_x000D_
  Steps to reproduce  : See map attached  gif of what happens:_x000D_
  suicide ai again (https:  user images githubusercontent com 4199082 118430936 eb801700 b6dd 11eb 869b 561dab0285b1 gif)_x000D_
If I manupulate walls for that core and blow it up (there is one more behind)  then things get even trickier:_x000D_
  suicide ai again2 (https:  user images githubusercontent com 4199082 118431240 8678f100 b6de 11eb 8393 9acb27067fe0 gif)_x000D_
_x000D_
  Link(s) to mod(s) used  : no mods_x000D_
_x000D_
  Save file  : _x000D_
 suicide ai test zip (https:  github com Anuken Mindustry files 6491025 suicide ai test zip)_x000D_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</si>
  <si>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nextcloud-android-8426</t>
  </si>
  <si>
    <t xml:space="preserve">App Crash </t>
  </si>
  <si>
    <t xml:space="preserve">    Steps to reproduce
1  Open app with biometrics
    Expected behaviour
  App should open with no error
    Actual behaviour
  App crashes after using biometrics to unlock app
    Environment data
Android version: 11
Device model: Samsung Note20
Stock or customized system: Stock 
Nextcloud app version: 3 16 0
Nextcloud server version: Latest
    Logs
     Nextcloud App Log
             CAUSE OF ERROR             
java lang NullPointerException: Parameter specified as non null is null: method kotlin jvm internal Intrinsics checkNotNullParameter  parameter password
	at okhttp3 Credentials basic(Unknown Source:8)
	at okhttp3 Credentials basic default(Credentials kt:28)
	at okhttp3 Credentials basic(Unknown Source:2)
	at com owncloud android lib common OwnCloudClientFactory createNextcloudClient(OwnCloudClientFactory java:217)
	at com owncloud android operations RefreshFolderOperation updatePredefinedStatus(RefreshFolderOperation java:338)
	at com owncloud android operations RefreshFolderOperation updateCapabilities(RefreshFolderOperation java:311)
	at com owncloud android operations RefreshFolderOperation updateOCVersion(RefreshFolderOperation java:277)
	at com owncloud android operations RefreshFolderOperation run(RefreshFolderOperation java:230)
	at com owncloud android lib common operations RemoteOperation run(RemoteOperation java:359)
	at java lang Thread run(Thread java:923)
             APP INFORMATION             
ID: com nextcloud client
Version: 30160090
Build flavor: generic
             DEVICE INFORMATION             
Brand: samsung
Device: c1s
Model: SM N980F
Id: RP1A 200720 012
Product: c1seea
             FIRMWARE             
SDK: 30
Release: 11
Incremental: N980FXXU2DUDA
   </t>
  </si>
  <si>
    <t>capacitor-community-admob-102</t>
  </si>
  <si>
    <t>Android app crashing for @capacitor-community/admob@next</t>
  </si>
  <si>
    <t xml:space="preserve">  Describe the bug  _x000D_
Adds are visible in the emulator and there is no crash for the emulator   But when I tried on the android phone banner is not visible and if tried to call any reward interstitial ads app gets crashed  I am using the same code as per the document _x000D_
_x000D_
_x000D_
  Screenshots  _x000D_
Please find the below logs captured from the firebase crash list_x000D_
_x000D_
  image (https:  user images githubusercontent com 12828834 118409045 341bde00 b6a6 11eb 941d 462891578b8a png)_x000D_
_x000D_
_x000D_
</t>
  </si>
  <si>
    <t>MuntashirAkon-AppManager-442</t>
  </si>
  <si>
    <t>Infinite "initializing" screen before eventually crashsing.</t>
  </si>
  <si>
    <t xml:space="preserve">   x  I know what my device  OS and App Manager versions are_x000D_
   x  I know how to take logs_x000D_
   x  I know how to reproduce the issue which may not be specific to my device_x000D_
_x000D_
When first opening the app  it gets stuck at the  initializing  screen and crashes after a long time _x000D_
_x000D_
1  Open app_x000D_
2  Nothing happens but infinitely  initializing  with a blank app list _x000D_
3  wait a while_x000D_
4  App crashes_x000D_
_x000D_
The app should initialize after seconds as it usually does with a full app list _x000D_
_x000D_
  Screenshot 20210516 060606 AM Debug jpg (https:  user images githubusercontent com 43686736 118398423 66c5c800 b60d 11eb 90e2 aef80fc01e3d jpg)_x000D_
_x000D_
  Screenshot 20210516 060236 Niagara Launcher jpg (https:  user images githubusercontent com 43686736 118398466 aab8cd00 b60d 11eb 8afb 711a3ce4a1dc jpg)_x000D_
_x000D_
2021 05 16 05:40:19 693 D MVM: New instance created_x000D_
2021 05 16 05:40:19 957 E Users: Could not get list of users_x000D_
android os RemoteException: Root ADB enabled but privileged service isn t alive _x000D_
	at io github muntashirakon AppManager ipc ProxyBinder transact(ProxyBinder java:63)_x000D_
	at android os IUserManager Stub Proxy getUsers(IUserManager java:1055)_x000D_
	at io github muntashirakon AppManager users Users getUsers(Users java:80)_x000D_
	at io github muntashirakon AppManager users Users getUsersHandles(Users java:97)_x000D_
	at io github muntashirakon AppManager utils PackageUtils updateInstalledOrBackedUpApplications(PackageUtils java:254)_x000D_
	at io github muntashirakon AppManager utils PackageUtils lambda getInstalledOrBackedUpApplicationsFromDb 0(PackageUtils java:170)_x000D_
	at io github muntashirakon AppManager utils    Lambda PackageUtils FDXMpcfHZMTjLENDE7nHv1buIR0 run(Unknown Source:4)_x000D_
	at java lang Thread run(Thread java:764)_x000D_
2021 05 16 05:40:19 962 E PackageUtils: Could not retrieve package info list for user 0_x000D_
android os RemoteException: Root ADB enabled but privileged service isn t alive _x000D_
	at io github muntashirakon AppManager ipc ProxyBinder transact(ProxyBinder java:63)_x000D_
	at android content pm IPackageManager Stub Proxy getInstalledPackages(IPackageManager java:4831)_x000D_
	at io github muntashirakon AppManager servermanager PackageManagerCompat getInstalledPackages(PackageManagerCompat java:101)_x000D_
	at io github muntashirakon AppManager utils PackageUtils updateInstalledOrBackedUpApplications(PackageUtils java:258)_x000D_
	at io github muntashirakon AppManager utils PackageUtils lambda getInstalledOrBackedUpApplicationsFromDb 0(PackageUtils java:170)_x000D_
	at io github muntashirakon AppManager utils    Lambda PackageUtils FDXMpcfHZMTjLENDE7nHv1buIR0 run(Unknown Source:4)_x000D_
	at java lang Thread run(Thread java:764)_x000D_
2021 05 16 05:40:20 144 D updateInfoForPackages: packages:  com silentlexx ffmpeggui _x000D_
2021 05 16 05:40:33 406 D PackageUtils: Loading apps for the first time _x000D_
2021 05 16 05:40:33 408 E Users: Could not get list of users_x000D_
android os RemoteException: Root ADB enabled but privileged service isn t alive _x000D_
	at io github muntashirakon AppManager ipc ProxyBinder transact(ProxyBinder java:63)_x000D_
	at android os IUserManager Stub Proxy getUsers(IUserManager java:1055)_x000D_
	at io github muntashirakon AppManager users Users getUsers(Users java:80)_x000D_
	at io github muntashirakon AppManager users Users getUsersHandles(Users java:97)_x000D_
	at io github muntashirakon AppManager utils PackageUtils updateInstalledOrBackedUpApplications(PackageUtils java:254)_x000D_
	at io github muntashirakon AppManager utils PackageUtils getInstalledOrBackedUpApplicationsFromDb(PackageUtils java:166)_x000D_
	at io github muntashirakon AppManager main MainViewModel lambda loadApplicationItems 2 MainViewModel(MainViewModel java:266)_x000D_
	at io github muntashirakon AppManager main    Lambda MainViewModel GRBvAab9qfeXsa mTxGQ7idH9GI run(Unknown Source:2)_x000D_
	at java lang Thread run(Thread java:764)_x000D_
2021 05 16 05:40:33 413 E PackageUtils: Could not retrieve package info list for user 0_x000D_
android os RemoteException: Root ADB enabled but privileged service isn t alive _x000D_
	at io github muntashirakon AppManager ipc ProxyBinder transact(ProxyBinder java:63)_x000D_
	at android content pm IPackageManager Stub Proxy getInstalledPackages(IPackageManager java:4831)_x000D_
	at io github muntashirakon AppManager servermanager PackageManagerCompat getInstalledPackages(PackageManagerCompat java:101)_x000D_
	at io github muntashirakon AppManager utils PackageUtils updateInstalledOrBackedUpApplications(PackageUtils java:258)_x000D_
	at io github muntashirakon AppManager utils PackageUtils getInstalledOrBackedUpApplicationsFromDb(PackageUtils java:166)_x000D_
	at io github muntashirakon AppManager main MainViewModel lambda loadApplicationItems 2 MainViewModel(MainViewModel java:266)_x000D_
	at io github muntashirakon AppManager main    Lambda MainViewModel GRBvAab9qfeXsa mTxGQ7idH9GI run(Unknown Source:2)_x000D_
	at java lang Thread run(Thread java:764)_x000D_
2021 05 16 05:40:33 482 D updateInfoForPackages: packages:  com silentlexx ffmpeggui _x000D_
_x000D_
Galaxy S7 Edge_x000D_
Oreo_x000D_
Debug 2 7 0  1249_x000D_
Adb over TCP</t>
  </si>
  <si>
    <t>nextcloud-android-8420</t>
  </si>
  <si>
    <t>Nextcloud App crashing since several days</t>
  </si>
  <si>
    <t xml:space="preserve">This is my first bug report  I did my best to follow the template   still some information I don t know  Let me know what else is important and or relevant: I will look for it  I want and like to learn  I am happy to start a bit on GitHub : )_x000D_
Wishing all a nice week _x000D_
F_x000D_
_x000D_
_x000D_
_x000D_
    Steps to reproduce_x000D_
1  Starting app Nextcloud_x000D_
2  Starting navigating in folders  looking for a file_x000D_
3  Nextcloud crashes_x000D_
_x000D_
    Expected behaviour_x000D_
  Nextcloud should not crash while navigating through files and folders  This behaviour is new  since several days _x000D_
_x000D_
    Actual behaviour_x000D_
  Nextcloud crashes  I wonder what happened to my setup to come to this current problem  I can t think of the reason _x000D_
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java:764)_x000D_
_x000D_
    Can you reproduce this problem on https:  try nextcloud com _x000D_
_x000D_
This is too advanced for me today  I will try this perhaps soon _x000D_
_x000D_
   Please create a test demo account and see if this still happens there _x000D_
  If yes  please open up a bug report_x000D_
  If not  please verify server setup and ask for help on forum _x000D_
_x000D_
 Parameter specified as non null is null: method kotlin jvm internal Intrinsics checkNotNullParameter  parameter password _x000D_
Looks like a password issue  But the app doesn t let me enough time to access my Nextcloud App Settings   _x000D_
_x000D_
    Environment data_x000D_
             APP INFORMATION             _x000D_
ID: com nextcloud client_x000D_
Version: 30160090_x000D_
Build flavor: gplay_x000D_
_x000D_
             DEVICE INFORMATION             _x000D_
Brand: SHIFT_x000D_
Device: SHIFT6m_x000D_
Model: SHIFT6m_x000D_
Id: O00623_x000D_
Product: SHIFT6m EEA_x000D_
_x000D_
             FIRMWARE             _x000D_
SDK: 26_x000D_
Release: 8 0 0_x000D_
Incremental: 1592466613_x000D_
_x000D_
Android version: 8 0 0_x000D_
_x000D_
Stock or customized system: shift6m_x000D_
_x000D_
Nextcloud server version: I don t know_x000D_
_x000D_
Reverse proxy: I don t know_x000D_
_x000D_
    Logs_x000D_
     Web server error log_x000D_
   _x000D_
Insert your webserver log here : I don t know_x000D_
   _x000D_
_x000D_
     Nextcloud log (data nextcloud log)_x000D_
   _x000D_
I don t find it  In shift6m  file search for  nextcloud log  returns  no matches _x000D_
   </t>
  </si>
  <si>
    <t>mollyim-mollyim-android-47</t>
  </si>
  <si>
    <t>Out-of-bounds exception when trying to restore backup from file</t>
  </si>
  <si>
    <t xml:space="preserve">The app crashes   closes  when restoring backup from file _x000D_
_x000D_
Steps to reproduce:_x000D_
1  Install the app _x000D_
2  open app and turn on database encryption with a password_x000D_
3  Try restoring backup from file by selecting the file and entering the numeric code for the backup _x000D_
4  The ui shows restoring and then crashes _x000D_
_x000D_
_x000D_
app version: 5 8 10 1_x000D_
android version: 11_x000D_
_x000D_
Note: Used to work when I had the initial database encryption off </t>
  </si>
  <si>
    <t>Anuken-Mindustry-5250</t>
  </si>
  <si>
    <t>[Bug] Mindustry doesn't track mouse cursor location (android)</t>
  </si>
  <si>
    <t xml:space="preserve">  Platform  :  Android iOS Mac Windows Linux _x000D_
Android_x000D_
_x000D_
  Build  :  The build number under the title in the main menu  Required   LATEST  IS NOT A VERSION  I NEED THE EXACT BUILD NUMBER OF YOUR GAME  _x000D_
126 2_x000D_
_x000D_
  Issue  :  Explain your issue in detail  _x000D_
The game didn t track the mouse cursor location  but if hold left click now the location its follow the cursor  its should be follow the cursor without clicking button _x000D_
_x000D_
I know anuken will doens t want to fix this  but maybe someone will  idk  the only problem playing with mouse and keyboards on mindustry is just this one issue   _x000D_
_x000D_
  Steps to reproduce  :  How you happened across the issue  and what exactly you did to make the bug happen  _x000D_
Just try place building  it will not follow the mouse cursoe_x000D_
_x000D_
  Link(s) to mod(s) used  :  The mod repositories or zip files that are related to the issue  if applicable  _x000D_
https:  github com DeltaNedas mobile ui_x000D_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</si>
  <si>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MuntashirAkon-AppManager-441</t>
  </si>
  <si>
    <t>Both App Manager and latest AM Debug crash on searching for an app</t>
  </si>
  <si>
    <t xml:space="preserve">    
Your issue will be closed without warning if you don t check at least two items 
   x  I know what my device  OS and App Manager versions are
   x  I know how to take logs
   x  I know how to reproduce the issue which may not be specific to my device
  Describe the bug  
Both App Manager and latest AM Debug crash  After the scan of the installed apps  I searched for an app (Netflix)  which crashes  Typing  net  gives me a crash 
  To Reproduce  
Steps to reproduce the behaviour:
1  Start the app
2  And wait
3  Click search button
4  Type  net 
5  Getting crash everytime
  Expected behavior  
I cannot complete the task 
  Screenshots  
  Crash logs  
https:  del dog cocinoonge
  Device info  
   Device: Samsung Galaxy Tab S7 
   OS Version: Android 11
   App Manager Version: v2 6
   Mode: root
  Additional context  
Could Netflix or Google Play Services installs possible culprits here 
</t>
  </si>
  <si>
    <t>Anuken-Mindustry-5249</t>
  </si>
  <si>
    <t>Sei pathfinding bug</t>
  </si>
  <si>
    <t xml:space="preserve">  Platform  :  Android iOS Mac Windows Linux _x000D_
Mac_x000D_
  Build  :  The build number under the title in the main menu  Required   LATEST  IS NOT A VERSION  I NEED THE EXACT BUILD NUMBER OF YOUR GAME  _x000D_
126 2_x000D_
  Issue  :  Explain your issue in detail  _x000D_
Sei gets stuck on natural terrain  such as ground blocks when trying to path find to a rally command center because it counts ground blocks as a valid path_x000D_
  Steps to reproduce  :  How you happened across the issue  and what exactly you did to make the bug happen  _x000D_
make a U shape in the sandbox and place seis in the bottom of the u  now make another u and they connect via the tops of the u s  make sure there is a non liquid block in between the two u s  and on the bottom of the other U  when the command center is set to rally the seis will sometimes bunch up at the bottom of the first u  This usually happens in multiplayer games with sand blocks  Although I have seen it happen else where before  I don t have a exact map of the first time I saw this bug because it got removed from the server I use  But the zip file below contains a  replica  of the thing I am trying to explain  The bug also is random  it only happens sometimes _x000D_
_x000D_
  Link(s) to mod(s) used  :  The mod repositories or zip files that are related to the issue  if applicable  _x000D_
no mods_x000D_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bug msav zip (https:  github com Anuken Mindustry files 6488513 bug msav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</si>
  <si>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mvysny-aedict-957</t>
  </si>
  <si>
    <t>SD Card "Warning" pop up</t>
  </si>
  <si>
    <t xml:space="preserve">Hey _x000D_
_x000D_
It s been a while since I reported something here  )  Anyways  I get a popup whenever I start Aedict saying that it couldn t write data to the SD Card and will cause the app to crash (which didn t happen though    yet)  Is that a bug _x000D_
(Redmi 9A   Android 10   MIUI 12)_x000D_
_x000D_
  Screenshot 2021 05 15 22 08 44 611 sk baka aedict3 (https:  user images githubusercontent com 17984577 118377036 c8654280 b5cb 11eb 99a2 1b1e9886a18e jpg)_x000D_
</t>
  </si>
  <si>
    <t>nextcloud-android-8417</t>
  </si>
  <si>
    <t>Nextcloud App crashing on faild file download</t>
  </si>
  <si>
    <t xml:space="preserve">This is about the nextcloud app being unable to download files from connected SMB storage and crashing after faild download  _x000D_
_x000D_
    Steps to reproduce_x000D_
1  Open Nextcloud app_x000D_
2  Go into external storage folder (SMB CIFS)_x000D_
3  Download item in external storage folder_x000D_
_x000D_
    Expected behaviour_x000D_
   No crash_x000D_
  prompt download successful_x000D_
  ask how to open downloaded file_x000D_
_x000D_
    Actual behaviour_x000D_
_x000D_
1  Prompt: Error downloading file x_x000D_
2 Wait 2 3 seconds_x000D_
3  Shows Nextcloud crash dialogue_x000D_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11_x000D_
_x000D_
Device model: Umidigi S5 Pro   Samsung Galaxy Note 9_x000D_
_x000D_
Stock or customized system: S5 custom GSI   Note 9 standard_x000D_
_x000D_
Nextcloud app version: 3 16 0 (latest Playstore release)_x000D_
_x000D_
Nextcloud server version: 21 1 0_x000D_
_x000D_
Reverse proxy:   _x000D_
_x000D_
    Logs_x000D_
     Web server error log_x000D_
   _x000D_
Insert your webserver log here_x000D_
   _x000D_
_x000D_
     Nextcloud log (data nextcloud log)_x000D_
   _x000D_
Insert your Nextcloud log here_x000D_
_x000D_
(Sth about a java nullpointer exception)_x000D_
   _x000D_
  NOTE:   Be super sure to remove sensitive data like passwords  note that everybody can look here  You can use the Issue Template application to prefill some of the required information: https:  apps nextcloud com apps issuetemplate_x000D_
</t>
  </si>
  <si>
    <t>nextcloud-android-8415</t>
  </si>
  <si>
    <t>Qr-code-login crash</t>
  </si>
  <si>
    <t xml:space="preserve">    Steps to reproduce_x000D_
1  Clear all permissions   or install the app_x000D_
2  Login via QR Code_x000D_
3  Choose a picture instead of using the camera_x000D_
_x000D_
    Expected behaviour_x000D_
  The picture should be analyzed by the third party  qr scanner (https:  github com tobiasKaminsky QRCodeScanner)_x000D_
_x000D_
    Actual behaviour_x000D_
  A crash occurs due to missing permissions:_x000D_
   _x000D_
java lang RuntimeException: Failure delivering result ResultInfo who null  request 0  result  1  data Intent   dat content:  com android providers media documents document image:225036 flg 0x1   _x000D_
to activity  com nextcloud client com blikoon qrcodescanner QrCodeActivity :_x000D_
_x000D_
java lang SecurityException: Permission Denial: _x000D_
reading com android providers media MediaProvider uri content:  media external images media from pid 20754  uid 10420 _x000D_
requires android permission READ EXTERNAL STORAGE  or grantUriPermission()_x000D_
   _x000D_
    Suggested solution_x000D_
  The crash occurs because   QrCodeActivity   tries to read from external storage but doesn t ensure the necessary permissions _x000D_
  I opened a PR with a possible solution  here (https:  github com tobiasKaminsky QRCodeScanner pull 2 issue 645167305) _x000D_
  It is arguably a bug in the imported library and not within this app  but I wanted to point out the consequences _x000D_
_x000D_
_x000D_
 P S  I really hope this was not reported before  at least I couldn t find anything _x000D_
_x000D_
    Environment data_x000D_
Android version: SDK 28 Release 9_x000D_
_x000D_
Device model: LG H870_x000D_
_x000D_
Nextcloud app version: 30160090_x000D_
_x000D_
     Nextcloud log (data nextcloud log)_x000D_
   _x000D_
         CAUSE OF ERROR         _x000D_
_x000D_
java lang RuntimeException: Failure delivering result ResultInfo who null  request 0  result  1  data Intent   dat content:  com android providers media documents document image:225036 flg 0x1    to activity  com nextcloud client com blikoon qrcodescanner QrCodeActivity : java lang SecurityException: Permission Denial: reading com android providers media MediaProvider uri content:  media external images media from pid 20754  uid 10420 requires android permission READ EXTERNAL STORAGE  or grantUriPermission()_x000D_
 at android app ActivityThread deliverResults(ActivityThread java:4544)_x000D_
 at android app ActivityThread handleSendResult(ActivityThread java:4586)_x000D_
 at android app servertransaction ActivityResultItem execute(ActivityResultItem java:49)_x000D_
 at android app servertransaction TransactionExecutor executeCallbacks(TransactionExecutor java:108)_x000D_
 at android app servertransaction TransactionExecutor execute(TransactionExecutor java:68)_x000D_
 at android app ActivityThread H handleMessage(ActivityThread java:1864)_x000D_
 at android os Handler dispatchMessage(Handler java:106)_x000D_
 at android os Looper loop(Looper java:205)_x000D_
 at android app ActivityThread main(ActivityThread java:6991)_x000D_
 at java lang reflect Method invoke(Native Method)_x000D_
 at com android internal os RuntimeInit MethodAndArgsCaller run(RuntimeInit java:493)_x000D_
 at com android internal os ZygoteInit main(ZygoteInit java:884)_x000D_
Caused by: java lang SecurityException: Permission Denial: reading com android providers media MediaProvider uri content:  media external images media from pid 20754  uid 10420 requires android permission READ EXTERNAL STORAGE  or grantUriPermission()_x000D_
 at android os Parcel createException(Parcel java:1950)_x000D_
 at android os Parcel readException(Parcel java:1918)_x000D_
 at android database DatabaseUtils readExceptionFromParcel(DatabaseUtils java:183)_x000D_
 at android database DatabaseUtils readExceptionFromParcel(DatabaseUtils java:135)_x000D_
 at android content ContentProviderProxy query(ContentProviderNative java:418)_x000D_
 at android content ContentResolver query(ContentResolver java:804)_x000D_
 at android content ContentResolver query(ContentResolver java:753)_x000D_
 at android content ContentResolver query(ContentResolver java:711)_x000D_
 at com blikoon qrcodescanner QrCodeActivity getPathFromUri(QrCodeActivity java:386)_x000D_
 at com blikoon qrcodescanner QrCodeActivity onActivityResult(QrCodeActivity java:370)_x000D_
 at android app Activity dispatchActivityResult(Activity java:7477)_x000D_
 at android app ActivityThread deliverResults(ActivityThread java:4537)_x000D_
     11 more_x000D_
   _x000D_
</t>
  </si>
  <si>
    <t>MuntashirAkon-AppManager-440</t>
  </si>
  <si>
    <t>Crash upon tapping on uninstalled system app</t>
  </si>
  <si>
    <t xml:space="preserve">    _x000D_
Your issue will be closed without warning if you don t check at least two items _x000D_
   _x000D_
   x  I know what my device  OS and App Manager versions are_x000D_
   x  I know how to take logs_x000D_
   x  I know how to reproduce the issue which may not be specific to my device_x000D_
_x000D_
  Describe the bug  _x000D_
AM crashes with ActivityNotFoundException after tapping on uninstalled system app while Package Installer feature is disabled _x000D_
_x000D_
  To Reproduce  _x000D_
1  Go to Settings    Enable disable features_x000D_
2  Disable Package Installer_x000D_
3  Return to app list and uninstall a system app (I tested with Android System WebView and Android R Easter Egg)_x000D_
4  Refresh list several times until AM recognizes uninstalled app_x000D_
5  Click on uninstalled app_x000D_
6  AM crashes_x000D_
_x000D_
  Expected behavior  _x000D_
AM shows message about disabled Package Installer or temporarily enables it automatically to reinstall app_x000D_
_x000D_
  Screenshots  _x000D_
_x000D_
_x000D_
  Crash logs  _x000D_
   _x000D_
android content ActivityNotFoundException: Unable to find explicit activity class  io github muntashirakon AppManager io github muntashirakon AppManager apk installer PackageInstallerActivity   have you declared this activity in your AndroidManifest xml _x000D_
    at android app Instrumentation checkStartActivityResult(Instrumentation java:2065)_x000D_
    at android app Instrumentation execStartActivity(Instrumentation java:1727)_x000D_
    at android app Activity startActivityForResult(Activity java:5320)_x000D_
    at androidx activity ComponentActivity startActivityForResult(ComponentActivity java:574)_x000D_
    at android app Activity startActivityForResult(Activity java:5278)_x000D_
    at androidx activity ComponentActivity startActivityForResult(ComponentActivity java:560)_x000D_
    at android app Activity startActivity(Activity java:5664)_x000D_
    at android app Activity startActivity(Activity java:5617)_x000D_
    at io github muntashirakon AppManager main MainRecyclerAdapter lambda onBindViewHolder 3 MainRecyclerAdapter(MainRecyclerAdapter java:174)_x000D_
    at io github muntashirakon AppManager main    Lambda MainRecyclerAdapter f43eDB15RGNVX5IkeYSv5oDtco8 onClick(Unknown Source:6)_x000D_
    at android view View performClick(View java:7448)_x000D_
    at android view View performClickInternal(View java:7425)_x000D_
    at android view View access 3600(View java:810)_x000D_
    at android view View PerformClick run(View java:28305)_x000D_
    at android os Handler handleCallback(Handler java:938)_x000D_
    at android os Handler dispatchMessage(Handler java:99)_x000D_
    at android os Looper loop(Looper java:223)_x000D_
    at android app ActivityThread main(ActivityThread java:7660)_x000D_
    at java lang reflect Method invoke(Native Method)_x000D_
    at com android internal os RuntimeInit MethodAndArgsCaller run(RuntimeInit java:594)_x000D_
    at com android internal os ZygoteInit main(ZygoteInit java:947)_x000D_
_x000D_
Device Info:_x000D_
App version: 2 6 0_x000D_
App version code: 385_x000D_
Android build version: d759aec521_x000D_
Android release version: 11_x000D_
Android SDK version: 30_x000D_
Android build ID: potato begonia userdebug 11 RQ2A 210505 003 d759aec521_x000D_
Device brand: Redmi_x000D_
Device manufacturer: Xiaomi_x000D_
Device name: begonia_x000D_
Device model: Redmi Note 8 Pro_x000D_
Device product name: begonia_x000D_
Device hardware name: mt6785_x000D_
ABIs:  arm64 v8a  armeabi v7a  armeabi _x000D_
ABIs (32bit):  armeabi v7a  armeabi _x000D_
ABIs (64bit):  arm64 v8a _x000D_
System language: en US_x000D_
In App Language: auto_x000D_
Mode: auto_x000D_
   _x000D_
_x000D_
  Device info  _x000D_
   Device: Xiaomi Redmi Note 8 Pro_x000D_
   OS Version: Android 11_x000D_
   App Manager Version: v2 6 0 (also present in debug v2 7 0 (1242))_x000D_
   Mode: root_x000D_
_x000D_
  Additional context  _x000D_
Add any other context about the problem here _x000D_
</t>
  </si>
  <si>
    <t>TacoTheDank-Scoop-13</t>
  </si>
  <si>
    <t>Minor UI bug: Long-press animation needs to be completed</t>
  </si>
  <si>
    <t>When long pressing on a crash log to delete it  you need to wait for the  1 crash selected  dropdown bar with the delete button to appear fully before lifting your finger _x000D_
_x000D_
If you lift your finger before the animation is completed  the dropdown bar gets its feelings hurt and just disappears back the way it came from    3</t>
  </si>
  <si>
    <t>TeamNewPipe-NewPipe-6306</t>
  </si>
  <si>
    <t>Not showing NewPipe in App Chooser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</si>
  <si>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description of any Youtube video ( I used Linus Tech Tips video)_x000D_
2  Press on (if available )Youtube channel link (youtube com channelname)_x000D_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Doesn t show NewPipe in action chooser (Figure below)_x000D_
_x000D_
_x000D_
    Expected behavior_x000D_
     Tell us what you expect to happen     _x000D_
Must show NewPipe in application chooser for every youtube link clicked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1  Description of Youtube video  https:  www youtube com watch v RUI1k KHXNk _x000D_
  Capture2 (https:  user images githubusercontent com 50160188 118349999 1189a800 b574 11eb 8955 274f50b56efa PNG)_x000D_
_x000D_
2  Action chooser when clicking the  Red marked  link   Missing NewPipe     Yellow Link s are working fine _x000D_
  Capture (https:  user images githubusercontent com 50160188 118350015 29f9c280 b574 11eb 87d7 77ff92904797 PNG)_x000D_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 0 (Pie)_x000D_
   Device model: Huawei Nova 3i_x000D_
</t>
  </si>
  <si>
    <t>material-components-material-components-android-2209</t>
  </si>
  <si>
    <t>[MotionLayout] not found</t>
  </si>
  <si>
    <t xml:space="preserve">  Description:   I used the 1 3 0 alpha01 _x000D_
I wanted to fix the bug (https:  github com material components material components android issues 1719)  so I updated to the latest version _x000D_
But I started to crash the app due to an error_x000D_
 java lang RuntimeException: Unable to resume activity  com app peshkariki com app peshkariki newPesh newTwoAuth NewTwoAuthActivity : java lang NullPointerException: Attempt to read from field  int androidx constraintlayout motion widget p b e  on a null object reference _x000D_
_x000D_
By trial and error  I determined that the last version on which the application did not crash due to an error is 1 3 0 alpha02_x000D_
_x000D_
_x000D_
_x000D_
  Expected behavior:   Bug fix_x000D_
_x000D_
  Source code:   _x000D_
Fragment_x000D_
   _x000D_
class StartScreenFragment : Fragment()  _x000D_
    private lateinit var viewModel: StartScreenViewModel_x000D_
_x000D_
    private lateinit var layout: MotionLayout_x000D_
_x000D_
    override fun onCreateView(inflater: LayoutInflater  container: ViewGroup   savedInstanceState: Bundle ): View   _x000D_
        return inflater inflate(R layout fr start  container  false)_x000D_
     _x000D_
_x000D_
    override fun onViewCreated(view: View  savedInstanceState: Bundle )  _x000D_
        super onViewCreated(view  savedInstanceState)_x000D_
_x000D_
        layout   view findViewById(R id layout)_x000D_
        viewModel  _x000D_
            ViewModelProvider(this) get(StartScreenViewModel::class java)_x000D_
_x000D_
        initViewModel()_x000D_
     _x000D_
_x000D_
    override fun onResume()  _x000D_
        super onResume()_x000D_
        viewModel start()_x000D_
     _x000D_
_x000D_
    private fun initViewModel()  _x000D_
        viewModel state observe(viewLifecycleOwner   _x000D_
            when (it)  _x000D_
                is StartScreenState START ANIMATION     _x000D_
_x000D_
                    layout setTransition(R id invisibleAll  R id visibleOnlyLogo)_x000D_
                    layout setTransitionDuration(1000)_x000D_
                    layout transitionToEnd()_x000D_
                    Log d( State    Start Animation )_x000D_
                 _x000D_
                is StartScreenState LOADING     _x000D_
_x000D_
                 _x000D_
             _x000D_
         )_x000D_
     _x000D_
 _x000D_
_x000D_
   _x000D_
ViewModel_x000D_
_x000D_
   _x000D_
class StartScreenViewModel: ViewModel() _x000D_
_x000D_
    private val  state   MutableLiveData StartScreenState ()_x000D_
    val state : LiveData StartScreenState _x000D_
        get()    state_x000D_
_x000D_
    fun start()  _x000D_
         state value   StartScreenState START ANIMATION_x000D_
        viewModelScope launch(Dispatchers IO)  _x000D_
            delay(1000)_x000D_
         _x000D_
     _x000D_
 _x000D_
_x000D_
   _x000D_
_x000D_
XML_x000D_
   _x000D_
 androidx constraintlayout motion widget MotionLayout_x000D_
    xmlns:android  http:  schemas android com apk res android _x000D_
    android:layout width  match parent _x000D_
    android:layout height  match parent _x000D_
    xmlns:app  http:  schemas android com apk res auto _x000D_
    android:id    id layout _x000D_
    app:layoutDescription   xml fr start motion scene  _x000D_
_x000D_
     ImageView_x000D_
        android:id    id iv logo _x000D_
        android:layout width  120dp _x000D_
        android:layout height  120dp _x000D_
        android:layout marginBottom  16dp _x000D_
        android:background   drawable logo2 _x000D_
        app:layout constraintBottom toTopOf    id iv subtitle _x000D_
        app:layout constraintEnd toEndOf  parent _x000D_
        app:layout constraintStart toStartOf  parent    _x000D_
_x000D_
     ImageView_x000D_
        android:id    id iv subtitle _x000D_
        android:layout width  match parent _x000D_
        android:layout height  48dp _x000D_
        android:layout marginStart  24dp _x000D_
        android:layout marginEnd  24dp _x000D_
        android:layout marginBottom  24dp _x000D_
        app:layout constraintBottom toTopOf    id btn create user _x000D_
        app:layout constraintEnd toEndOf  parent _x000D_
        app:layout constraintStart toStartOf  parent    _x000D_
_x000D_
     Button_x000D_
        android:id    id btn create user _x000D_
        style   style Widget MaterialComponents Button OutlinedButton _x000D_
        android:layout width  match parent _x000D_
        android:layout height  64dp _x000D_
        android:minHeight  64dp _x000D_
        android:layout marginStart  24dp _x000D_
        android:layout marginEnd  24dp _x000D_
        android:text                  _x000D_
        android:textAllCaps  false _x000D_
        android:textSize  18sp _x000D_
        android:fontFamily  sans serif _x000D_
        app:layout constraintBottom toTopOf  parent _x000D_
        app:layout constraintEnd toEndOf  parent _x000D_
        app:layout constraintStart toStartOf  parent _x000D_
        app:layout constraintTop toBottomOf  parent    _x000D_
_x000D_
     Button_x000D_
        android:id    id btn login _x000D_
        style   style Widget MaterialComponents Button TextButton _x000D_
        android:layout width  match parent _x000D_
        android:layout height  wrap content _x000D_
        android:layout marginStart  24dp _x000D_
        android:layout marginEnd  24dp _x000D_
        android:textAllCaps  false _x000D_
        android:fontFamily  sans serif _x000D_
        android:textSize  18sp _x000D_
        app:layout constraintEnd toEndOf  parent _x000D_
        app:layout constraintStart toStartOf  parent _x000D_
        app:layout constraintTop toBottomOf   id btn create user _x000D_
           _x000D_
_x000D_
     Button_x000D_
        android:id    id btn track order _x000D_
        style   style Widget MaterialComponents Button TextButton _x000D_
        android:layout width  match parent _x000D_
        android:layout height  wrap content _x000D_
        android:layout marginStart  24dp _x000D_
        android:layout marginEnd  24dp _x000D_
        android:layout marginBottom  32dp _x000D_
        android:textAllCaps  false _x000D_
        android:fontFamily  sans serif _x000D_
        android:textSize  18sp _x000D_
        app:layout constraintBottom toBottomOf  parent _x000D_
        app:layout constraintEnd toEndOf  parent _x000D_
        app:layout constraintStart toStartOf  parent    _x000D_
_x000D_
     Button_x000D_
        android:id    id btn create order _x000D_
        android:layout width  match parent _x000D_
        android:layout height  64dp _x000D_
        android:layout marginStart  24dp _x000D_
        android:layout marginEnd  24dp _x000D_
        app:layout constraintBottom toTopOf   id btn track order _x000D_
        app:layout constraintEnd toEndOf  parent _x000D_
        app:layout constraintStart toStartOf  parent _x000D_
        android:text                _x000D_
        android:fontFamily  sans serif _x000D_
        android:textAllCaps  false _x000D_
        android:textSize  18sp   _x000D_
_x000D_
  androidx constraintlayout motion widget MotionLayout _x000D_
_x000D_
   _x000D_
_x000D_
MotionScene_x000D_
   _x000D_
 MotionScene xmlns:android  http:  schemas android com apk res android _x000D_
    xmlns:app  http:  schemas android com apk res auto  _x000D_
     ConstraintSet android:id    id invisibleAll  _x000D_
         Constraint_x000D_
            android:id    id iv logo _x000D_
            android:layout width  240dp _x000D_
            android:layout height  240dp _x000D_
            app:layout constraintTop toTopOf  parent _x000D_
            app:layout constraintBottom toBottomOf  parent _x000D_
            app:layout constraintEnd toEndOf  parent _x000D_
            app:layout constraintStart toStartOf  parent    _x000D_
         Constraint_x000D_
            android:id   id iv subtitle _x000D_
            android:visibility  gone  _x000D_
          Constraint _x000D_
         Constraint_x000D_
            android:id    id btn create user _x000D_
            android:visibility  gone  _x000D_
          Constraint _x000D_
         Constraint_x000D_
            android:id    id btn login _x000D_
            android:visibility  gone  _x000D_
          Constraint _x000D_
         Constraint_x000D_
            android:id    id btn track order _x000D_
            android:visibility  gone  _x000D_
          Constraint _x000D_
         Constraint_x000D_
            android:id    id btn create order _x000D_
            android:visibility  gone  _x000D_
          Constraint _x000D_
      ConstraintSet _x000D_
     ConstraintSet android:id    id visibleOnlyLogo  _x000D_
         Constraint_x000D_
            android:id    id iv logo _x000D_
            android:layout width  240dp _x000D_
            android:layout height  240dp _x000D_
            android:background   drawable logo2 _x000D_
            app:layout constraintTop toTopOf  parent _x000D_
            app:layout constraintBottom toBottomOf  parent _x000D_
            app:layout constraintEnd toEndOf  parent _x000D_
            app:layout constraintStart toStartOf  parent    _x000D_
         Constraint_x000D_
            android:id    id iv subtitle _x000D_
            android:visibility  gone  _x000D_
          Constraint _x000D_
         Constraint_x000D_
            android:id    id btn create user _x000D_
            android:visibility  gone  _x000D_
          Constraint _x000D_
         Constraint_x000D_
            android:id    id btn login _x000D_
            android:visibility  gone  _x000D_
          Constraint _x000D_
         Constraint_x000D_
            android:id    id btn track order _x000D_
            android:visibility  gone  _x000D_
          Constraint _x000D_
         Constraint_x000D_
            android:id    id btn create order _x000D_
            android:visibility  gone  _x000D_
          Constraint _x000D_
_x000D_
      ConstraintSet _x000D_
_x000D_
     ConstraintSet android:id    id visibleAll  _x000D_
         Constraint_x000D_
            android:id   id iv logo _x000D_
            android:layout width  120dp _x000D_
            android:layout height  120dp _x000D_
            android:layout marginBottom  16dp _x000D_
            app:layout constraintBottom toTopOf    id iv subtitle _x000D_
            app:layout constraintEnd toEndOf  parent _x000D_
            app:layout constraintStart toStartOf  parent _x000D_
            android:visibility  visible  _x000D_
          Constraint _x000D_
_x000D_
         Constraint_x000D_
            android:id    id iv subtitle _x000D_
            android:layout width  match parent _x000D_
            android:layout height  48dp _x000D_
            android:layout marginStart  24dp _x000D_
            android:layout marginEnd  24dp _x000D_
            android:layout marginBottom  24dp _x000D_
            app:layout constraintBottom toTopOf    id btn create user _x000D_
            app:layout constraintEnd toEndOf  parent _x000D_
            app:layout constraintStart toStartOf  parent _x000D_
            android:visibility  visible  _x000D_
          Constraint _x000D_
_x000D_
         Constraint_x000D_
            android:id    id btn create user _x000D_
            style   style Widget MaterialComponents Button OutlinedButton _x000D_
            android:layout width  match parent _x000D_
            android:layout height  wrap content _x000D_
            android:minHeight  64dp _x000D_
            android:layout marginStart  24dp _x000D_
            android:layout marginEnd  24dp _x000D_
            android:text                  _x000D_
            android:textAllCaps  false _x000D_
            android:textSize  18sp _x000D_
            android:fontFamily  sans serif _x000D_
            app:layout constraintBottom toTopOf  parent _x000D_
            app:layout constraintEnd toEndOf  parent _x000D_
            app:layout constraintStart toStartOf  parent _x000D_
            app:layout constraintTop toBottomOf  parent _x000D_
            android:visibility  visible   _x000D_
_x000D_
         Constraint_x000D_
            android:id    id btn login _x000D_
            style   style Widget MaterialComponents Button TextButton _x000D_
            android:layout width  match parent _x000D_
            android:layout height  wrap content _x000D_
            android:layout marginStart  24dp _x000D_
            android:layout marginEnd  24dp _x000D_
            android:textAllCaps  false _x000D_
            android:fontFamily  sans serif _x000D_
            android:textSize  18sp _x000D_
            app:layout constraintEnd toEndOf  parent _x000D_
            app:layout constraintStart toStartOf  parent _x000D_
            app:layout constraintTop toBottomOf   id btn create user _x000D_
            android:visibility  visible   _x000D_
_x000D_
         Constraint_x000D_
            android:id    id btn track order _x000D_
            style   style Widget MaterialComponents Button TextButton _x000D_
            android:layout width  match parent _x000D_
            android:layout height  wrap content _x000D_
            android:layout marginStart  24dp _x000D_
            android:layout marginEnd  24dp _x000D_
            android:layout marginBottom  32dp _x000D_
            android:textAllCaps  false _x000D_
            android:fontFamily  sans serif _x000D_
            android:textSize  18sp _x000D_
            app:layout constraintBottom toBottomOf  parent _x000D_
            app:layout constraintEnd toEndOf  parent _x000D_
            app:layout constraintStart toStartOf  parent _x000D_
            android:visibility  visible   _x000D_
_x000D_
         Constraint_x000D_
            android:id    id btn create order _x000D_
            android:layout width  match parent _x000D_
            android:layout height  wrap content _x000D_
            android:layout marginStart  24dp _x000D_
            android:layout marginEnd  24dp _x000D_
            app:layout constraintBottom toTopOf   id btn track order _x000D_
            app:layout constraintEnd toEndOf  parent _x000D_
            app:layout constraintStart toStartOf  parent _x000D_
            android:text                _x000D_
            android:minHeight  64dp _x000D_
            android:fontFamily  sans serif _x000D_
            android:textAllCaps  false _x000D_
            android:textSize  18sp _x000D_
            android:visibility  visible   _x000D_
_x000D_
      ConstraintSet _x000D_
_x000D_
_x000D_
_x000D_
  MotionScene _x000D_
   _x000D_
_x000D_
  Android API version:   9 0_x000D_
_x000D_
  Material Library version:   1 3 0 alpha03    1 4 0 beta01_x000D_
_x000D_
  Device:   Xiaomi Redmi 7_x000D_
_x000D_
I cut out all the extra stuff and put it in the repository  but this way another error comes out  but with MotionLayout int androidx constraintlayout motion widget MotionScene Transition mDefaultInterpolator _x000D_
_x000D_
Repository: https:  github com danilshik Bug_x000D_
</t>
  </si>
  <si>
    <t>TeamNewPipe-NewPipe-6301</t>
  </si>
  <si>
    <t>Crash on sharing via main players button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</si>
  <si>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 was watching a video in the main screen and clicked the share button in player ui_x000D_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crashed_x000D_
_x000D_
    Expected behavior_x000D_
     Tell us what you expect to happen     _x000D_
_x000D_
share dialog to open_x000D_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Clicked the share button when in a video main ui_x000D_
   Exception_x000D_
    User Action:   ui error_x000D_
    Request:   ACRA report_x000D_
    Content Country:   DE_x000D_
    Content Language:   en US_x000D_
    App Language:   en US_x000D_
    Service:   none_x000D_
    Version:   0 21 2_x000D_
    OS:   Linux Android 7 0   24_x000D_
 details  summary  b Crash log   b   summary  p _x000D_
_x000D_
   _x000D_
java lang NullPointerException: Attempt to invoke interface method  void android view IWindowSession performDeferredDestroy(android view IWindow)  on a null object reference_x000D_
	at android view SurfaceView updateWindow(SurfaceView java:644)_x000D_
	at android view SurfaceView onWindowVisibilityChanged(SurfaceView java:251)_x000D_
	at android view View dispatchWindowVisibilityChanged(View java:10293)_x000D_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ViewRootImpl performTraversals(ViewRootImpl java:1537)_x000D_
	at android view ViewRootImpl doTraversal(ViewRootImpl java:1249)_x000D_
	at android view ViewRootImpl TraversalRunnable run(ViewRootImpl java:6331)_x000D_
	at android view Choreographer CallbackRecord run(Choreographer java:871)_x000D_
	at android view Choreographer doCallbacks(Choreographer java:683)_x000D_
	at android view Choreographer doFrame(Choreographer java:619)_x000D_
	at android view Choreographer FrameDisplayEventReceiver run(Choreographer java:857)_x000D_
	at android os Handler handleCallback(Handler java:751)_x000D_
	at android os Handler dispatchMessage(Handler java:95)_x000D_
	at android os Looper loop(Looper java:154)_x000D_
	at android app ActivityThread main(ActivityThread java:6146)_x000D_
	at java lang reflect Method invoke(Native Method)_x000D_
	at com android internal os ZygoteInit MethodAndArgsCaller run(ZygoteInit java:865)_x000D_
	at com android internal os ZygoteInit main(ZygoteInit java:755)_x000D_
_x000D_
   _x000D_
  details _x000D_
 hr _x000D_
_x000D_
_x000D_
     Please fill this out when you do not provide a log generate by NewPipe    _x000D_
_x000D_
    Device info_x000D_
_x000D_
i think it was_x000D_
   Android version Custom ROM version: 7 0_x000D_
   Device model: Prime P30 (jivi)_x000D_
_x000D_
_x000D_
_x000D_
_x000D_
_x000D_
     _x000D_
source of downloading: fdroid main repo</t>
  </si>
  <si>
    <t>TeamNewPipe-NewPipe-6300</t>
  </si>
  <si>
    <t>Crash on minimizing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</si>
  <si>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i was just watching a video in the main and minimised (press the home circle button)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the crash screen popped up _x000D_
_x000D_
    Expected behavior_x000D_
     Tell us what you expect to happen     _x000D_
_x000D_
Nothing specific_x000D_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ACRA report_x000D_
    Content Country:   DE_x000D_
    Content Language:   en US_x000D_
    App Language:   en US_x000D_
    Service:   none_x000D_
    Version:   0 21 2_x000D_
    OS:   Linux Android 7 0   24_x000D_
 details  summary  b Crash log   b   summary  p _x000D_
_x000D_
   _x000D_
java lang NullPointerException: Attempt to invoke interface method  void android view IWindowSession performDeferredDestroy(android view IWindow)  on a null object reference_x000D_
	at android view SurfaceView updateWindow(SurfaceView java:644)_x000D_
	at android view SurfaceView onWindowVisibilityChanged(SurfaceView java:251)_x000D_
	at android view View dispatchWindowVisibilityChanged(View java:10293)_x000D_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ViewGroup dispatchWindowVisibilityChanged(ViewGroup java:1291)_x000D_
	at android view ViewRootImpl performTraversals(ViewRootImpl java:1537)_x000D_
	at android view ViewRootImpl doTraversal(ViewRootImpl java:1249)_x000D_
	at android view ViewRootImpl TraversalRunnable run(ViewRootImpl java:6331)_x000D_
	at android view Choreographer CallbackRecord run(Choreographer java:871)_x000D_
	at android view Choreographer doCallbacks(Choreographer java:683)_x000D_
	at android view Choreographer doFrame(Choreographer java:619)_x000D_
	at android view Choreographer FrameDisplayEventReceiver run(Choreographer java:857)_x000D_
	at android os Handler handleCallback(Handler java:751)_x000D_
	at android os Handler dispatchMessage(Handler java:95)_x000D_
	at android os Looper loop(Looper java:154)_x000D_
	at android app ActivityThread main(ActivityThread java:6146)_x000D_
	at java lang reflect Method invoke(Native Method)_x000D_
	at com android internal os ZygoteInit MethodAndArgsCaller run(ZygoteInit java:865)_x000D_
	at com android internal os ZygoteInit main(ZygoteInit java:755)_x000D_
_x000D_
   _x000D_
  details _x000D_
 hr _x000D_
_x000D_
_x000D_
     Please fill this out when you do not provide a log generate by NewPipe    _x000D_
_x000D_
    Device info_x000D_
_x000D_
i think it was_x000D_
   Android version Custom ROM version: 7 0_x000D_
   Device model: Prime P30 (jivi)_x000D_
_x000D_
      _x000D_
source: fdroid official repo</t>
  </si>
  <si>
    <t>Kira060200-banking_app-18</t>
  </si>
  <si>
    <t>Crash on failed login</t>
  </si>
  <si>
    <t>App is crashing if no valid combination of email and password is found</t>
  </si>
  <si>
    <t>TeamNewPipe-NewPipe-6286</t>
  </si>
  <si>
    <t>Github artifacts "app.zip" extraction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</si>
  <si>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The artifacts downloaded is corrupted _x000D_
Errors while extracting app zip obtained from artifacts tab  I tried WinRAR  7zip and windows explorer extractor _x000D_
_x000D_
  Capture (https:  user images githubusercontent com 50160188 118248837 784f8880 b4c4 11eb 9b5d e1f5c3f81b75 PNG)_x000D_
  Capture2 (https:  user images githubusercontent com 50160188 118248841 7980b580 b4c4 11eb 9948 6582576d7f39 PNG)_x000D_
  Capture3 (https:  user images githubusercontent com 50160188 118248849 7c7ba600 b4c4 11eb 9288 ba86c35e0269 PNG)_x000D_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</si>
  <si>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nextcloud-android-8403</t>
  </si>
  <si>
    <t>SQLiteBlobTooBigException on Oppo Fins X2 Lite</t>
  </si>
  <si>
    <t xml:space="preserve">    Steps to reproduce_x000D_
Just open app on phone ans crash After few second_x000D_
_x000D_
    Log_x000D_
_x000D_
   _x000D_
             CAUSE OF ERROR             _x000D_
_x000D_
android database sqlite SQLiteBlobTooBigException: Row too big to fit into CursorWindow requiredPos 3171  totalRows 849_x000D_
	at android database sqlite SQLiteConnection nativeExecuteForCursorWindow(Native Method)_x000D_
	at android database sqlite SQLiteConnection executeForCursorWindow(SQLiteConnection java:1011)_x000D_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java:248)_x000D_
	at android database AbstractCursor moveToNext(AbstractCursor java:280)_x000D_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 delete(ContentProvider java:1757)_x000D_
	at android content ContentProviderOperation applyInternal(ContentProviderOperation java:401)_x000D_
	at android content ContentProviderOperation apply(ContentProviderOperation java:357)_x000D_
	at com owncloud android providers FileContentProvider applyBatch(FileContentProvider java:672)_x000D_
	at android content ContentProvider applyBatch(ContentProvider java:2413)_x000D_
	at android content ContentProvider Transport applyBatch(ContentProvider java:403)_x000D_
	at android content ContentProviderClient applyBatch(ContentProviderClient java:576)_x000D_
	at android content ContentProviderClient applyBatch(ContentProviderClient java:564)_x000D_
	at android content ContentResolver applyBatch(ContentResolver java:2212)_x000D_
	at com owncloud android datamodel FileDataStorageManager saveFolder(FileDataStorageManager java:438)_x000D_
	at com owncloud android operations RefreshFolderOperation synchronizeData(RefreshFolderOperation java:528)_x000D_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java:359)_x000D_
	at java lang Thread run(Thread java:923)_x000D_
_x000D_
             APP INFORMATION             _x000D_
ID: com nextcloud client_x000D_
Version: 30160090_x000D_
Build flavor: gplay_x000D_
_x000D_
             DEVICE INFORMATION             _x000D_
Brand: OPPO_x000D_
Device: OP4C41L1_x000D_
Model: CPH2005_x000D_
Id: RKQ1 200903 002_x000D_
Product: CPH2005EEA_x000D_
_x000D_
             FIRMWARE             _x000D_
SDK: 30_x000D_
Release: 11_x000D_
Incremental: 1618924990708_x000D_
   _x000D_
  NOTE:   Be super sure to remove sensitive data like passwords  note that everybody can look here  You can use the Issue Template application to prefill some of the required information: https:  apps nextcloud com apps issuetemplate_x000D_
</t>
  </si>
  <si>
    <t>nextcloud-android-8400</t>
  </si>
  <si>
    <t>App crash in Startup</t>
  </si>
  <si>
    <t xml:space="preserve">    Steps to reproduce_x000D_
1  Open App   crash_x000D_
2               CAUSE OF ERROR             _x000D_
_x000D_
android database sqlite SQLiteBlobTooBigException: Row too big to fit into CursorWindow requiredPos 2846  totalRows 526_x000D_
	at android database sqlite SQLiteConnection nativeExecuteForCursorWindow(Native Method)_x000D_
	at android database sqlite SQLiteConnection executeForCursorWindow(SQLiteConnection java:1001)_x000D_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java:248)_x000D_
	at android database AbstractCursor moveToNext(AbstractCursor java:280)_x000D_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 delete(ContentProvider java:1757)_x000D_
	at android content ContentProviderOperation applyInternal(ContentProviderOperation java:389)_x000D_
	at android content ContentProviderOperation apply(ContentProviderOperation java:352)_x000D_
	at com owncloud android providers FileContentProvider applyBatch(FileContentProvider java:672)_x000D_
	at android content ContentProvider applyBatch(ContentProvider java:2413)_x000D_
	at android content ContentProvider Transport applyBatch(ContentProvider java:403)_x000D_
	at android content ContentProviderClient applyBatch(ContentProviderClient java:576)_x000D_
	at android content ContentProviderClient applyBatch(ContentProviderClient java:564)_x000D_
	at android content ContentResolver applyBatch(ContentResolver java:2196)_x000D_
	at com owncloud android datamodel FileDataStorageManager saveFolder(FileDataStorageManager java:438)_x000D_
	at com owncloud android operations RefreshFolderOperation synchronizeData(RefreshFolderOperation java:528)_x000D_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java:359)_x000D_
	at java lang Thread run(Thread java:923)_x000D_
_x000D_
             APP INFORMATION             _x000D_
ID: com nextcloud client_x000D_
Version: 30160090_x000D_
Build flavor: gplay_x000D_
_x000D_
             DEVICE INFORMATION             _x000D_
Brand: google_x000D_
Device: coral_x000D_
Model: Pixel 4 XL_x000D_
Id: RQ2A 210305 006_x000D_
Product: coral_x000D_
_x000D_
             FIRMWARE             _x000D_
SDK: 30_x000D_
Release: 11_x000D_
Incremental: 7119741_x000D_
_x000D_
3  _x000D_
_x000D_
    Expected behaviour_x000D_
  App should start_x000D_
_x000D_
    Actual behaviour_x000D_
  App Crashes_x000D_
_x000D_
    Can you reproduce this problem    No  because   _x000D_
_x000D_
  it seems to depend on the amount of files data i store _x000D_
41000 objects and 200gb For this user_x000D_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</si>
  <si>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TeamNewPipe-NewPipe-6284</t>
  </si>
  <si>
    <t>Newpipe doesn't recognize SoundCloud mobile website links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</si>
  <si>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any SoundCloud mobile website link (m soundcloud com) in Newpipe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Newpipe cannot recognize the mobile site link  and just goes to a  sorry  something went wrong  screen as a result _x000D_
_x000D_
_x000D_
    Expected behavior_x000D_
     Tell us what you expect to happen     _x000D_
I expect for Newpipe to recognize the link  as the only difference between the mobile and desktop site links  is the  m   for the mobile site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OnePlus 7 Pro_x000D_
</t>
  </si>
  <si>
    <t>hauke96-GeoNotes-32</t>
  </si>
  <si>
    <t>can't attach photo to note. Android 4.1.1</t>
  </si>
  <si>
    <t xml:space="preserve"> attach photo  button ask a camera app to choose:_x000D_
  native camera app crashes after confirmation of the taken photo _x000D_
  opencamera (from f droid) says   storage accessing error   _x000D_
(both apps works fine then run from a system launcher  but have no permission to write to SD  when run by a GeoNotes) _x000D_
_x000D_
GeoNotes was downloaded from f droid and from github v1 3 1  installed to SD  Attempt to make it system app was unsuccessful _x000D_
Lenovo P770  Android 4 1 1 (however  rooted  extremely customized  cluttered   so  may be the problem here  )</t>
  </si>
  <si>
    <t>Anuken-Mindustry-5241</t>
  </si>
  <si>
    <t>"Join Game" window resizing causes remote servers list to refresh</t>
  </si>
  <si>
    <t xml:space="preserve">  Platform  : Linux_x000D_
_x000D_
  Build  : 126 2_x000D_
_x000D_
  Issue  : Remote servers list refreshes whenever you change the window size  This might not be too serious  but it s definitely unexpected behavior  If all the servers are being pinged every time you resize the window  that could be a problem  too _x000D_
_x000D_
  Steps to reproduce  : Connect to a remote server by IP address  then turn off that server (in my case  it was a hosted multiplayer game  not a dedicated server)  The  Remote Servers  list in the  Join Game  menu will list the IP address and say  Can t connect to host   Whenever you adjust the window size  it changes to  Refreshing server      sometimes just for an instant before switching back to  Can t connect to host    I have not checked to see whether this is just a GUI bug or whether it actually does reach out to the server again every time the window size changes _x000D_
_x000D_
  Link(s) to mod(s) used  : None_x000D_
_x000D_
  Save file  : This is not an in game bug _x000D_
_x000D_
  (Crash) logs  : This is not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</si>
  <si>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ankidroid-Anki-Android-8822</t>
  </si>
  <si>
    <t>Crash 2.15.0beta1 CardTemplateEditor$CardTemplateFragment.getCurrentTemplate</t>
  </si>
  <si>
    <t xml:space="preserve">       Reproduction Steps_x000D_
_x000D_
Unfortunately nothing in the logcat on this report  so it will have to be deduced from the crash trace working backwards_x000D_
_x000D_
This was seen on 2 15alpha48 but I don t remember this code changing before beta  it should still be a valid issue_x000D_
_x000D_
       Expected Result_x000D_
_x000D_
Never crashes ever_x000D_
_x000D_
       Actual Result_x000D_
_x000D_
   _x000D_
com ichi2 utils JSONException: org json JSONException: Index 2 out of range  0  2)_x000D_
at com ichi2 utils JSONArray get(JSONArray java:2)_x000D_
at org json JSONArray getJSONObject(JSONArray java:523)_x000D_
at com ichi2 utils JSONArray getJSONObject(JSONArray java:2)_x000D_
at com ichi2 anki CardTemplateEditor CardTemplateFragment getCurrentTemplate(CardTemplateEditor java:2)_x000D_
at com ichi2 anki CardTemplateEditor CardTemplateFragment onCreateOptionsMenu(CardTemplateEditor java:7)_x000D_
at androidx fragment app Fragment performCreateOptionsMenu(Fragment java:3)_x000D_
at androidx fragment app FragmentManager dispatchCreateOptionsMenu(FragmentManager java:3)_x000D_
at androidx fragment app FragmentController dispatchCreateOptionsMenu(FragmentController java:1)_x000D_
at androidx fragment app FragmentActivity onCreatePanelMenu(FragmentActivity java:2)_x000D_
at androidx appcompat view WindowCallbackWrapper onCreatePanelMenu(WindowCallbackWrapper java:1)_x000D_
at androidx appcompat app AppCompatDelegateImpl AppCompatWindowCallback onCreatePanelMenu(AppCompatDelegateImpl java:2)_x000D_
at androidx appcompat view WindowCallbackWrapper onCreatePanelMenu(WindowCallbackWrapper java:1)_x000D_
at androidx appcompat app ToolbarActionBar populateOptionsMenu(ToolbarActionBar java:5)_x000D_
at androidx appcompat app ToolbarActionBar 1 run(ToolbarActionBar java:1)_x000D_
at android view Choreographer CallbackRecord run(Choreographer java:1010)_x000D_
at android view Choreographer doCallbacks(Choreographer java:809)_x000D_
at android view Choreographer doFrame(Choreographer java:740)_x000D_
at android view Choreographer FrameDisplayEventReceiver run(Choreographer java:995)_x000D_
at android os Handler handleCallback(Handler java:938)_x000D_
at android os Handler dispatchMessage(Handler java:99)_x000D_
at android os Looper loop(Looper java:246)_x000D_
at android app ActivityThread main(ActivityThread java:8512)_x000D_
at java lang reflect Method invoke(Native Method)_x000D_
at com android internal os RuntimeInit MethodAndArgsCaller run(RuntimeInit java:602)_x000D_
at com android internal os ZygoteInit main(ZygoteInit java:1130)_x000D_
   _x000D_
_x000D_
_x000D_
       Debug info_x000D_
_x000D_
   _x000D_
       _x000D_
ANDROID VERSION   11_x000D_
APP VERSION CODE   321500148_x000D_
APP VERSION NAME   2 15alpha48_x000D_
AVAILABLE MEM SIZE   182676721664_x000D_
BRAND   samsung_x000D_
BUILD   BOARDexynos9820BOOTLOADERG977NKSU4FUCDBRANDsamsungCPU ABIarm64 v8aCPU ABI2DEVICEbeyondx   BOARD   exynos9820   BOOTLOADER   G977NKSU4FUCD   BRAND   samsung   CPU ABI   arm64 v8a   CPU ABI2       DEVICE   beyondx_x000D_
BOARD   exynos9820_x000D_
BOOTLOADER   G977NKSU4FUCD_x000D_
BRAND   samsung_x000D_
CPU ABI   arm64 v8a_x000D_
CPU ABI2    _x000D_
DEVICE   beyondx_x000D_
   _x000D_
       Research_x000D_
 Enter an  x  character to confirm the points below: _x000D_
_x000D_
      I have read the  support page (https:  ankidroid org docs help html) and am reporting a bug or enhancement request specific to AnkiDroid_x000D_
      I have checked the  manual (https:  ankidroid org docs manual html) and the  FAQ (https:  github com ankidroid Anki Android wiki FAQ) and could not find a solution to my issue_x000D_
      I have searched for similar existing issues here and on the user forum_x000D_
      (Optional) I have confirmed the issue is not resolved in the latest alpha release ( instructions (https:  docs ankidroid org manual html betaTesting))_x000D_
_x000D_
</t>
  </si>
  <si>
    <t>ankidroid-Anki-Android-8821</t>
  </si>
  <si>
    <t>Crash 2.15alpha49 / 2.15.0beta1 - CardBrowser render</t>
  </si>
  <si>
    <t xml:space="preserve">_x000D_
 Arthur Milchior   I think CardCollection is usually your area  Not sure what happened here  looks like the CardBrowser was shutting down prior to the crash  but it still failed in render somehow_x000D_
_x000D_
The stack trace line numbers are of course problematic (not correct) but hopefully the stack frame method names are enough to locate _x000D_
_x000D_
       Reproduction Steps_x000D_
_x000D_
logcat from crash report_x000D_
_x000D_
   _x000D_
_x000D_
_x000D_
 _x000D_
  _x000D_
LOGCAT   0          beginning of main105 13 12:01:08 170 I AnkiDroid( 6503): AbstractFlashcardViewer:: EASE 3 pressed205 13 12:01:08 171 I AnkiDroid( 6503): Answering card 1612815015767305 13  12:01:08 177 I AnkiDroid( 6503): Rust: executeGetRowsAffected UPDATE  cards SET  factor   lapses   did   due   ivl   mod   usn   left   odid   odue   reps   type   queue    WHERE id    405 13 12:01:08 179 I AnkiDroid( 6503): Obtaining card505 13 12:01:08 195 I AnkiDroid( 6503): ViewGroupUtils::setRenderWorkaround   using default   hardware rendering605 13 12:01:08 197 I AnkiDroid( 6503): AbstractFlashcardViewer:: Question successfully shown for card id 1523919409004705 13 12:01:09 305 I AnkiDroid( 6503): Back key pressed805 13 12:01:09 305 I AnkiDroid( 6503): finishWithAnimation END905 13 12:01:09 311 I AnkiDroid( 6503): AnkiActivity::onPause   Reviewer1005 13 12:01:09 320 I AnkiDroid( 6503): Handling Activity Result: 901  Result: 501105 13 12:01:09 320 I AnkiDroid( 6503): Creating notification channel with id name: General Notifications AnkiDroid1205 13 12:01:09 320 I AnkiDroid( 6503): Creating notification channel with id name: Synchronization   1305 13 12:01:09 320 I AnkiDroid( 6503): Creating notification channel with id name: Global Reminders     1405 13 12:01:09 321 I AnkiDroid( 6503): Creating notification channel with id name: Deck Reminders   1505 13 12:01:09 323 I AnkiDroid( 6503): AnkiActivity::onStart   DeckPicker1605 13 12:01:09 326 I AnkiDroid( 6503): AnkiActivity::onResume   DeckPicker1705 13 12:01:09 355 I AnkiDroid( 6503): Updating deck list UI1805 13 12:01:09 416 I AnkiDroid( 6503): AnkiActivity::onStop   Reviewer1905 13 12:01:09 418 I AnkiDroid( 6503): AnkiActivity::onDestroy   Reviewer2005 13 12:01:09 419 I AnkiDroid( 6503): Rust: executeGetRowsAffected UPDATE col SET dconf   decks  21          beginning of system2205 13 12:01:09 423 I AnkiDroid( 6503): flush   Saving information to DB   2305 13 12:01:09 423 I AnkiDroid( 6503): Rust: executeGetRowsAffected UPDATE col SET ls   crt   dty   mod   scm   usn   conf  2405 13 12:01:10 795 I AnkiDroid( 6503): Navigating to card browser2505 13 12:01:10 813 I AnkiDroid( 6503): AnkiActivity::onPause   DeckPicker2605 13 12:01:10 824 I AnkiDroid( 6503): AnkiActivity::onCreate   CardBrowser2705 13 12:01:10 847 I AnkiDroid( 6503): AnkiActivity::onStart   CardBrowser2805 13 12:01:10 849 I AnkiDroid( 6503): AnkiActivity::onResume   CardBrowser2905 13 12:01:10 897 I AnkiDroid( 6503): CardBrowser:: Completed doInBackgroundSearchCards Successfully3005 13 12:01:10 944 I AnkiDroid( 6503): AnkiActivity::onStop   DeckPicker31          beginning of crash   0             beginning of main   1   05 13 12:01:08 170 I AnkiDroid( 6503): AbstractFlashcardViewer:: EASE 3 pressed   2   05 13 12:01:08 171 I AnkiDroid( 6503): Answering card 1612815015767   3   05 13  12:01:08 177 I AnkiDroid( 6503): Rust: executeGetRowsAffected UPDATE  cards SET  factor   lapses   did   due   ivl   mod   usn   left   odid   odue   reps   type   queue    WHERE id       4   05 13 12:01:08 179 I AnkiDroid( 6503): Obtaining card   5   05 13 12:01:08 195 I AnkiDroid( 6503): ViewGroupUtils::setRenderWorkaround   using default   hardware rendering   6   05 13 12:01:08 197 I AnkiDroid( 6503): AbstractFlashcardViewer:: Question successfully shown for card id 1523919409004   7   05 13 12:01:09 305 I AnkiDroid( 6503): Back key pressed   8   05 13 12:01:09 305 I AnkiDroid( 6503): finishWithAnimation END   9   05 13 12:01:09 311 I AnkiDroid( 6503): AnkiActivity::onPause   Reviewer   10   05 13 12:01:09 320 I AnkiDroid( 6503): Handling Activity Result: 901  Result: 50   11   05 13 12:01:09 320 I AnkiDroid( 6503): Creating notification channel with id name: General Notifications AnkiDroid   12   05 13 12:01:09 320 I AnkiDroid( 6503): Creating notification channel with id name: Synchronization      13   05 13 12:01:09 320 I AnkiDroid( 6503): Creating notification channel with id name: Global Reminders        14   05 13 12:01:09 321 I AnkiDroid( 6503): Creating notification channel with id name: Deck Reminders      15   05 13 12:01:09 323 I AnkiDroid( 6503): AnkiActivity::onStart   DeckPicker   16   05 13 12:01:09 326 I AnkiDroid( 6503): AnkiActivity::onResume   DeckPicker   17   05 13 12:01:09 355 I AnkiDroid( 6503): Updating deck list UI   18   05 13 12:01:09 416 I AnkiDroid( 6503): AnkiActivity::onStop   Reviewer   19   05 13 12:01:09 418 I AnkiDroid( 6503): AnkiActivity::onDestroy   Reviewer   20   05 13 12:01:09 419 I AnkiDroid( 6503): Rust: executeGetRowsAffected UPDATE col SET dconf   decks     21             beginning of system   22   05 13 12:01:09 423 I AnkiDroid( 6503): flush   Saving information to DB      23   05 13 12:01:09 423 I AnkiDroid( 6503): Rust: executeGetRowsAffected UPDATE col SET ls   crt   dty   mod   scm   usn   conf     24   05 13 12:01:10 795 I AnkiDroid( 6503): Navigating to card browser   25   05 13 12:01:10 813 I AnkiDroid( 6503): AnkiActivity::onPause   DeckPicker   26   05 13 12:01:10 824 I AnkiDroid( 6503): AnkiActivity::onCreate   CardBrowser   27   05 13 12:01:10 847 I AnkiDroid( 6503): AnkiActivity::onStart   CardBrowser   28   05 13 12:01:10 849 I AnkiDroid( 6503): AnkiActivity::onResume   CardBrowser   29   05 13 12:01:10 897 I AnkiDroid( 6503): CardBrowser:: Completed doInBackgroundSearchCards Successfully   30   05 13 12:01:10 944 I AnkiDroid( 6503): AnkiActivity::onStop   DeckPicker   31             beginning of crash_x000D_
0             beginning of main_x000D_
1   05 13 12:01:08 170 I AnkiDroid( 6503): AbstractFlashcardViewer:: EASE 3 pressed_x000D_
2   05 13 12:01:08 171 I AnkiDroid( 6503): Answering card 1612815015767_x000D_
3   05 13  12:01:08 177 I AnkiDroid( 6503): Rust: executeGetRowsAffected UPDATE  cards SET  factor   lapses   did   due   ivl   mod   usn   left   odid   odue   reps   type   queue    WHERE id    _x000D_
4   05 13 12:01:08 179 I AnkiDroid( 6503): Obtaining card_x000D_
5   05 13 12:01:08 195 I AnkiDroid( 6503): ViewGroupUtils::setRenderWorkaround   using default   hardware rendering_x000D_
6   05 13 12:01:08 197 I AnkiDroid( 6503): AbstractFlashcardViewer:: Question successfully shown for card id 1523919409004_x000D_
7   05 13 12:01:09 305 I AnkiDroid( 6503): Back key pressed_x000D_
8   05 13 12:01:09 305 I AnkiDroid( 6503): finishWithAnimation END_x000D_
9   05 13 12:01:09 311 I AnkiDroid( 6503): AnkiActivity::onPause   Reviewer_x000D_
10   05 13 12:01:09 320 I AnkiDroid( 6503): Handling Activity Result: 901  Result: 50_x000D_
11   05 13 12:01:09 320 I AnkiDroid( 6503): Creating notification channel with id name: General Notifications AnkiDroid_x000D_
12   05 13 12:01:09 320 I AnkiDroid( 6503): Creating notification channel with id name: Synchronization   _x000D_
13   05 13 12:01:09 320 I AnkiDroid( 6503): Creating notification channel with id name: Global Reminders     _x000D_
14   05 13 12:01:09 321 I AnkiDroid( 6503): Creating notification channel with id name: Deck Reminders   _x000D_
15   05 13 12:01:09 323 I AnkiDroid( 6503): AnkiActivity::onStart   DeckPicker_x000D_
16   05 13 12:01:09 326 I AnkiDroid( 6503): AnkiActivity::onResume   DeckPicker_x000D_
17   05 13 12:01:09 355 I AnkiDroid( 6503): Updating deck list UI_x000D_
18   05 13 12:01:09 416 I AnkiDroid( 6503): AnkiActivity::onStop   Reviewer_x000D_
19   05 13 12:01:09 418 I AnkiDroid( 6503): AnkiActivity::onDestroy   Reviewer_x000D_
20   05 13 12:01:09 419 I AnkiDroid( 6503): Rust: executeGetRowsAffected UPDATE col SET dconf   decks  _x000D_
21             beginning of system_x000D_
22   05 13 12:01:09 423 I AnkiDroid( 6503): flush   Saving information to DB   _x000D_
23   05 13 12:01:09 423 I AnkiDroid( 6503): Rust: executeGetRowsAffected UPDATE col SET ls   crt   dty   mod   scm   usn   conf  _x000D_
24   05 13 12:01:10 795 I AnkiDroid( 6503): Navigating to card browser_x000D_
25   05 13 12:01:10 813 I AnkiDroid( 6503): AnkiActivity::onPause   DeckPicker_x000D_
26   05 13 12:01:10 824 I AnkiDroid( 6503): AnkiActivity::onCreate   CardBrowser_x000D_
27   05 13 12:01:10 847 I AnkiDroid( 6503): AnkiActivity::onStart   CardBrowser_x000D_
28   05 13 12:01:10 849 I AnkiDroid( 6503): AnkiActivity::onResume   CardBrowser_x000D_
29   05 13 12:01:10 897 I AnkiDroid( 6503): CardBrowser:: Completed doInBackgroundSearchCards Successfully_x000D_
30   05 13 12:01:10 944 I AnkiDroid( 6503): AnkiActivity::onStop   DeckPicker_x000D_
31             beginning of crash_x000D_
_x000D_
   _x000D_
_x000D_
       Expected Result_x000D_
_x000D_
No crash_x000D_
_x000D_
       Actual Result_x000D_
_x000D_
   _x000D_
java lang ArrayIndexOutOfBoundsException: length 5  index  1_x000D_
at java util ArrayList get(ArrayList java:439)_x000D_
at com ichi2 anki CardBrowser CardCollection get(CardBrowser java:1)_x000D_
at com ichi2 anki CardBrowser RenderOnScroll onScroll(CardBrowser java:4)_x000D_
at android widget AbsListView invokeOnItemScrollListener(AbsListView java:1707)_x000D_
at android widget ListView layoutChildren(ListView java:2053)_x000D_
at android widget AbsListView onLayout(AbsListView java:2416)_x000D_
at android widget HwAbsListView onLayout(HwAbsListView java:466)_x000D_
at android view View layout(View java:22244)_x000D_
at android view ViewGroup layout(ViewGroup java:6494)_x000D_
at android widget LinearLayout setChildFrame(LinearLayout java:1857)_x000D_
at android widget LinearLayout layoutVertical(LinearLayout java:1701)_x000D_
at android widget LinearLayout onLayout(LinearLayout java:1610)_x000D_
at android view View layout(View java:22244)_x000D_
at android view ViewGroup layout(ViewGroup java:6494)_x000D_
at androidx coordinatorlayout widget CoordinatorLayout layoutChild(CoordinatorLayout java:18)_x000D_
at androidx coordinatorlayout widget CoordinatorLayout onLayoutChild(CoordinatorLayout java:7)_x000D_
at androidx coordinatorlayout widget CoordinatorLayout onLayout(CoordinatorLayout java:8)_x000D_
at android view View layout(View java:22244)_x000D_
at android view ViewGroup layout(ViewGroup java:6494)_x000D_
at android widget FrameLayout layoutChildren(FrameLayout java:334)_x000D_
at android widget FrameLayout onLayout(FrameLayout java:270)_x000D_
at android view View layout(View java:22244)_x000D_
at android view ViewGroup layout(ViewGroup java:6494)_x000D_
at androidx drawerlayout widget DrawerLayout onLayout(DrawerLayout java:10)_x000D_
at android view View layout(View java:22244)_x000D_
at android view ViewGroup layout(ViewGroup java:6494)_x000D_
at android widget FrameLayout layoutChildren(FrameLayout java:334)_x000D_
at android widget FrameLayout onLayout(FrameLayout java:270)_x000D_
at android view View layout(View java:22244)_x000D_
at android view ViewGroup layout(ViewGroup java:6494)_x000D_
at android widget FrameLayout layoutChildren(FrameLayout java:334)_x000D_
at android widget FrameLayout onLayout(FrameLayout java:270)_x000D_
at android view View layout(View java:22244)_x000D_
at android view ViewGroup layout(ViewGroup java:6494)_x000D_
at android widget FrameLayout layoutChildren(FrameLayout java:334)_x000D_
at android widget FrameLayout onLayout(FrameLayout java:270)_x000D_
at android view View layout(View java:22244)_x000D_
at android view ViewGroup layout(ViewGroup java:6494)_x000D_
at android widget LinearLayout setChildFrame(LinearLayout java:1857)_x000D_
at android widget LinearLayout layoutVertical(LinearLayout java:1701)_x000D_
at android widget LinearLayout onLayout(LinearLayout java:1610)_x000D_
at android view View layout(View java:22244)_x000D_
at android view ViewGroup layout(ViewGroup java:6494)_x000D_
at android widget FrameLayout layoutChildren(FrameLayout java:334)_x000D_
at android widget FrameLayout onLayout(FrameLayout java:270)_x000D_
at com android internal policy DecorView onLayout(DecorView java:1084)_x000D_
at android view View layout(View java:22244)_x000D_
at android view ViewGroup layout(ViewGroup java:6494)_x000D_
at android view ViewRootImpl performLayout(ViewRootImpl java:3633)_x000D_
at android view ViewRootImpl performTraversals(ViewRootImpl java:3113)_x000D_
at android view ViewRootImpl doTraversal(ViewRootImpl java:2111)_x000D_
at android view ViewRootImpl TraversalRunnable run(ViewRootImpl java:8577)_x000D_
at android view Choreographer CallbackRecord run(Choreographer java:1256)_x000D_
at android view Choreographer doCallbacks(Choreographer java:995)_x000D_
at android view Choreographer doFrame(Choreographer java:887)_x000D_
at android view Choreographer FrameDisplayEventReceiver run(Choreographer java:1224)_x000D_
at android os Handler handleCallback(Handler java:900)_x000D_
at android os Handler dispatchMessage(Handler java:103)_x000D_
at android os Looper loop(Looper java:219)_x000D_
at android app ActivityThread main(ActivityThread java:8393)_x000D_
at java lang reflect Method invoke(Native Method)_x000D_
at com android internal os RuntimeInit MethodAndArgsCaller run(RuntimeInit java:513)_x000D_
at com android internal os ZygoteInit main(ZygoteInit java:1055)_x000D_
   _x000D_
_x000D_
_x000D_
       Debug info_x000D_
_x000D_
https:  couchdb ankidroid org acralyzer  design acralyzer index html  report details 696335b5 712e 4e07 a445 0f4f7cd47f53_x000D_
_x000D_
   _x000D_
  _x000D_
ANDROID VERSION   10_x000D_
APP VERSION CODE   321500149_x000D_
APP VERSION NAME   2 15alpha49_x000D_
AVAILABLE MEM SIZE   177545961472_x000D_
BRAND   HUAWEI_x000D_
BUILD   BOARDTASBOOTLOADERunknownBRANDHUAWEICPU ABIarm64 v8aCPU ABI2DEVICEHWTAS   BOARD   TAS   BOOTLOADER   unknown   BRAND   HUAWEI   CPU ABI   arm64 v8a   CPU ABI2       DEVICE   HWTAS_x000D_
BOARD   TAS_x000D_
BOOTLOADER   unknown_x000D_
BRAND   HUAWEI_x000D_
CPU ABI   arm64 v8a_x000D_
CPU ABI2    _x000D_
DEVICE   HWTAS_x000D_
_x000D_
   _x000D_
       Research_x000D_
 Enter an  x  character to confirm the points below: _x000D_
_x000D_
      I have read the  support page (https:  ankidroid org docs help html) and am reporting a bug or enhancement request specific to AnkiDroid_x000D_
      I have checked the  manual (https:  ankidroid org docs manual html) and the  FAQ (https:  github com ankidroid Anki Android wiki FAQ) and could not find a solution to my issue_x000D_
      I have searched for similar existing issues here and on the user forum_x000D_
      (Optional) I have confirmed the issue is not resolved in the latest alpha release ( instructions (https:  docs ankidroid org manual html betaTesting))_x000D_
_x000D_
</t>
  </si>
  <si>
    <t>jellyfin-jellyfin-androidtv-885</t>
  </si>
  <si>
    <t>Crash when trying to play a video, after upgrading server to 10.7.5</t>
  </si>
  <si>
    <t xml:space="preserve">I don t know what I could add in the description _x000D_
The video plays correctly in Jellyfin web  _x000D_
_x000D_
I also tried playing files that i  could  play before the server update (from 10 7 0) and the android tv app still crashes </t>
  </si>
  <si>
    <t>miguelpruivo-flutter_file_picker-708</t>
  </si>
  <si>
    <t xml:space="preserve">App crash with IllegalStateException for large pdf file when selected </t>
  </si>
  <si>
    <t xml:space="preserve">Getting this exception_x000D_
   _x000D_
java lang IllegalStateException: Reply already submitted_x000D_
        at io flutter embedding engine dart DartMessenger Reply reply(DartMessenger java:155)_x000D_
        at io flutter plugin common MethodChannel IncomingMethodCallHandler 1 success(MethodChannel java:238)_x000D_
        at com mr flutter plugin filepicker FilePickerPlugin MethodResultWrapper 1 run(FilePickerPlugin java:214)_x000D_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This is my code_x000D_
_x000D_
   _x000D_
Container(_x000D_
              height: 128 0 _x000D_
              decoration: BoxDecoration(_x000D_
                  color: Colors white _x000D_
                  borderRadius: BorderRadius only(_x000D_
                      topLeft: Radius circular(10 0) _x000D_
                      topRight: Radius circular(10 0))) _x000D_
              child: Row(_x000D_
                  mainAxisAlignment: MainAxisAlignment spaceEvenly _x000D_
                  children:  _x000D_
                    InkWell(_x000D_
                        onTap: () async  _x000D_
                          FilePickerResult result   await FilePicker platform_x000D_
                               pickFiles(_x000D_
                                  allowMultiple: true _x000D_
                                  type: FileType custom _x000D_
                                  allowedExtensions:   pdf  ) _x000D_
                          if (result    null)  _x000D_
                            List File  files  _x000D_
                                result paths map((path)    File(path)) toList() _x000D_
                            chooserCallback filesChosen(files) _x000D_
                            Navigator of(buildContext) pop() _x000D_
                            else  _x000D_
                            chooserCallback error( No pdf files selected ) _x000D_
                           _x000D_
                          _x000D_
                        child: Column(_x000D_
                            crossAxisAlignment: CrossAxisAlignment center _x000D_
                            mainAxisAlignment: MainAxisAlignment center _x000D_
                            children:  _x000D_
                              SvgPicture asset(_x000D_
                                     assetImage ic health claim pdf svg )_x000D_
                             )) _x000D_
                    InkWell(_x000D_
                        onTap: () async  _x000D_
                          FilePickerResult result   await FilePicker platform_x000D_
                               pickFiles(_x000D_
                                  allowMultiple: true _x000D_
                                  type: FileType image) _x000D_
                          if (result    null)  _x000D_
                            List File  files  _x000D_
                                result paths map((path)    File(path)) toList() _x000D_
                            chooserCallback filesChosen(files) _x000D_
                            Navigator of(buildContext) pop() _x000D_
                            else  _x000D_
                            chooserCallback error( No images selected ) _x000D_
                           _x000D_
                          _x000D_
                        child: Column(_x000D_
                            crossAxisAlignment: CrossAxisAlignment center _x000D_
                            mainAxisAlignment: MainAxisAlignment center _x000D_
                            children:  _x000D_
                              SvgPicture asset(_x000D_
                                     assetImage ic health claim gallery svg )_x000D_
                             )) _x000D_
                    InkWell(_x000D_
                        onTap: () async  _x000D_
                          List Media  res   await ImagesPicker openCamera(_x000D_
                              pickType: PickType image  quality: 0 8) _x000D_
                          if (res isNotEmpty)  _x000D_
                            List File  files  _x000D_
                                res map((media)    File(media path)) toList() _x000D_
                            chooserCallback filesChosen(files) _x000D_
                            Navigator of(buildContext) pop() _x000D_
                            else  _x000D_
                            chooserCallback error( No images captured ) _x000D_
                           _x000D_
                          _x000D_
                        child: Column(_x000D_
                            crossAxisAlignment: CrossAxisAlignment center _x000D_
                            mainAxisAlignment: MainAxisAlignment center _x000D_
                            children:  _x000D_
                              SvgPicture asset(_x000D_
                                     assetImage ic health claim camera svg )_x000D_
                             ))_x000D_
                   )) _x000D_
         ) _x000D_
   _x000D_
I am using   file picker: 3 0 1      images picker: 1 2 4 _x000D_
Crash happens for large files  40MB or if large number of files are selected  I tried removing the images picker library but even then the crash occurs  Its very frequent  _x000D_
_x000D_
</t>
  </si>
  <si>
    <t>PojavLauncherTeam-PojavLauncher-1369</t>
  </si>
  <si>
    <t>[BUG] zink test not working on my phone</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</si>
  <si>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I want to play minecraft 1 8 9 with zink but it crashed _x000D_
  Add a log file if you want to see your bug fixed    _x000D_
_x000D_
          beggining with launcher debug_x000D_
Info: Launcher version: 3 3 1 1 rel 20210512_x000D_
Info: LWJGL3 directory:  jsr305 jar  lwjgl glfw classes jar  lwjgl jemalloc jar  lwjgl openal jar  lwjgl opengl jar  lwjgl stb jar  lwjgl tinyfd jar  lwjgl jar  version _x000D_
Architecture: arm64 aarch64_x000D_
Info: Custom Java arguments:   Xms750m  Xmx750m  Dorg lwjgl opengl libname libOSMesa 8 so _x000D_
Headless version detected  (20151203)_x000D_
OpenJDK 64 Bit Server VM warning: _x000D_
No monotonic clock was available   timed services may be adversely affected if the time of day clock changes_x000D_
_x000D_
 LWJGL  Failed to load a library  Possible solutions:_x000D_
	a) Add the directory that contains the shared library to  Djava library path or  Dorg lwjgl librarypath _x000D_
	b) Add the JAR that contains the shared library to the classpath _x000D_
_x000D_
 LWJGL  Enable debug mode with  Dorg lwjgl util Debug true for better diagnostics _x000D_
_x000D_
 LWJGL  Enable the SharedLibraryLoader debug mode with  Dorg lwjgl util DebugLoader true for better diagnostics _x000D_
_x000D_
 05:32:30   Client thread INFO : Setting user: PlayerLancE_x000D_
 05:32:31   Client thread INFO : (Session ID is token:0:00000000 0000 0000 0000 000000000000)_x000D_
 05:32:40   Client thread INFO : LWJGL Version: 3 2 3 SNAPSHOT_x000D_
OSMDroid: using built in libOSMesa 8 so_x000D_
OSMDroid: unable to load: dlopen failed: library  libOSMesa 8 so  wasn t loaded and RTLD NOLOAD prevented it_x000D_
     Minecraft Crash Report     _x000D_
   Daisy  daisy   _x000D_
_x000D_
Time: 5 13 21 5:32 AM_x000D_
Description: Initializing game_x000D_
_x000D_
java lang ExceptionInInitializerError_x000D_
	at ave ar(SourceFile:560)_x000D_
	at ave am(SourceFile:361)_x000D_
	at ave a(SourceFile:310)_x000D_
	at net minecraft client main Main main(SourceFile:124)_x000D_
Caused by: java lang IllegalStateException: Unable to initialize GLFW_x000D_
	at org lwjgl Sys initialize(Sys java:27)_x000D_
	at org lwjgl opengl Display  clinit (Display java:73)_x000D_
	    4 more_x000D_
_x000D_
_x000D_
A detailed walkthrough of the error  its code path and all known details is as follows:_x000D_
                                                                                       _x000D_
_x000D_
   Head   _x000D_
Stacktrace:_x000D_
	at ave ar(SourceFile:560)_x000D_
	at ave am(SourceFile:361)_x000D_
_x000D_
   Initialization   _x000D_
Details:_x000D_
Stacktrace:_x000D_
	at ave a(SourceFile:310)_x000D_
	at net minecraft client main Main main(SourceFile:124)_x000D_
_x000D_
   System Details   _x000D_
Details:_x000D_
	Minecraft Version: 1 8 9_x000D_
	Operating System: Linux (aarch64) version Android 8 1 0_x000D_
	Java Version: 1 8 0 internal  Oracle Corporation_x000D_
	Java VM Version: OpenJDK 64 Bit Server VM (mixed mode)  Oracle Corporation_x000D_
	Memory: 698999568 bytes (666 MB)   756023296 bytes (721 MB) up to 756023296 bytes (721 MB)_x000D_
	JVM Flags: 3 total   Xms751M  Xmx751M  Xbootclasspath p: storage emulated 0 games PojavLauncher caciocavallo ResConfHack jar: storage emulated 0 games PojavLauncher caciocavallo cacio androidnw 1 10 SNAPSHOT jar: storage emulated 0 games PojavLauncher caciocavallo cacio shared 1 10 SNAPSHOT jar_x000D_
	IntCache: cache: 0  tcache: 0  allocated: 0  tallocated: 0_x000D_
	Launched Version: 1 8 9_x000D_
	LWJGL: 3 2 3 SNAPSHOT_x000D_
	OpenGL:   ERROR   UnsatisfiedLinkError: Failed to dynamically load library:  data app net kdt pojavlaunch YWV I1GrTDqiqSIzhXX0Pw   lib arm64 libOSMesa 8 so(error   dlopen failed: cannot locate symbol  getrandom  referenced by   data app net kdt pojavlaunch YWV I1GrTDqiqSIzhXX0Pw   lib arm64 libOSMesa 8 so    )_x000D_
	GL Caps: _x000D_
	Using VBOs: No_x000D_
	Is Modded: Probably not  Jar signature remains and client brand is untouched _x000D_
	Type: Client (map client txt)_x000D_
	Resource Packs: _x000D_
	_x000D_
Current Language:   ERROR   NullPointerException: null_x000D_
	Profiler Position: N A (disabled)_x000D_
	CPU:  unknown _x000D_
_x000D_
      Game crashed  Crash report saved to:        storage emulated 0 games PojavLauncher  minecraft crash reports crash 2021 05 13 05 32 40 client txt_x000D_
_x000D_
 05:32:40   Client Shutdown Thread INFO : Stopping server_x000D_
_x000D_
  Crash Report   _x000D_
_x000D_
     Minecraft Crash Report     _x000D_
   I bet Cylons wouldn t have this problem _x000D_
_x000D_
Time: 5 13 21 5:32 AM_x000D_
Description: Initializing game_x000D_
_x000D_
java lang ExceptionInInitializerError_x000D_
	at ave ar(SourceFile:560)_x000D_
	at ave am(SourceFile:361)_x000D_
	at ave a(SourceFile:310)_x000D_
	at net minecraft client main Main main(SourceFile:124)_x000D_
Caused by: java lang IllegalStateException: Unable to initialize GLFW_x000D_
	at org lwjgl Sys initialize(Sys java:27)_x000D_
	at org lwjgl opengl Display  clinit (Display java:73)_x000D_
	    4 more_x000D_
_x000D_
_x000D_
A detailed walkthrough of the error  its code path and all known details is as follows:_x000D_
                                                                                       _x000D_
_x000D_
   Head   _x000D_
Stacktrace:_x000D_
	at ave ar(SourceFile:560)_x000D_
	at ave am(SourceFile:361)_x000D_
_x000D_
   Initialization   _x000D_
Details:_x000D_
Stacktrace:_x000D_
	at ave a(SourceFile:310)_x000D_
	at net minecraft client main Main main(SourceFile:124)_x000D_
_x000D_
   System Details   _x000D_
Details:_x000D_
	Minecraft Version: 1 8 9_x000D_
	Operating System: Linux (aarch64) version Android 8 1 0_x000D_
	Java Version: 1 8 0 internal  Oracle Corporation_x000D_
	Java VM Version: OpenJDK 64 Bit Server VM (mixed mode)  Oracle Corporation_x000D_
	Memory: 698999568 bytes (666 MB)   756023296 bytes (721 MB) up to 756023296 bytes (721 MB)_x000D_
	JVM Flags: 3 total   Xms751M  Xmx751M  Xbootclasspath p: storage emulated 0 games PojavLauncher caciocavallo ResConfHack jar: storage emulated 0 games PojavLauncher caciocavallo cacio androidnw 1 10 SNAPSHOT jar: storage emulated 0 games PojavLauncher caciocavallo cacio shared 1 10 SNAPSHOT jar_x000D_
	IntCache: cache: 0  tcache: 0  allocated: 0  tallocated: 0_x000D_
	Launched Version: 1 8 9_x000D_
	LWJGL: 3 2 3 SNAPSHOT_x000D_
	OpenGL:   ERROR   UnsatisfiedLinkError: Failed to dynamically load library:  data app net kdt pojavlaunch YWV I1GrTDqiqSIzhXX0Pw   lib arm64 libOSMesa 8 so(error   dlopen failed: cannot locate symbol  getrandom  referenced by   data app net kdt pojavlaunch YWV I1GrTDqiqSIzhXX0Pw   lib arm64 libOSMesa 8 so    )_x000D_
	GL Caps: _x000D_
	Using VBOs: No_x000D_
	Is Modded: Probably not  Jar signature remains and client brand is untouched _x000D_
	Type: Client (map client txt)_x000D_
	Resource Packs: _x000D_
	Current Language:   ERROR   NullPointerException: null_x000D_
	Profiler Position: N A (disabled)_x000D_
	CPU:  unknown _x000D_
_x000D_
  Thats all  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2  Play 1 8 9_x000D_
    Expected behavior:_x000D_
I expected it will work _x000D_
_x000D_
    Screenshots or videos:_x000D_
 Upload here screenshots or videos of the buggy behavior  if possible  _x000D_
_x000D_
  Platform:  _x000D_
   Device Model CPH1853 (OPPO A12e)_x000D_
   CPU architecture arm64 aarch64_x000D_
   Android Version 8_x000D_
   PojavLauncher Version 3 3 1 1 rel 20210512_x000D_
_x000D_
_x000D_
 details   summary  b Additional context  b   summary _x000D_
 br _x000D_
 pre _x000D_
I want to play PC Shaders on 1 8 9 but it did not work on my phone _x000D_
  pre _x000D_
  details </t>
  </si>
  <si>
    <t>voxeet-voxeet-uxkit-reactnative-33</t>
  </si>
  <si>
    <t>Crash in debug mode and random crash in release mode apk</t>
  </si>
  <si>
    <t xml:space="preserve"> codlab There crash we discussed on call while working with the debug builds is also occurring now with the release apk on random basis when the UI is displayed  _x000D_
 react native :  0 63 3 _x000D_
  voxeet react native voxeet conferencekit :  git:  github com voxeet voxeet uxkit reactnative git develop _x000D_
  voxeet react native voxeet firebase :   2 0 2 _x000D_
It occurs randomly not everytime like it may work 2 times and on 3rd time it may crash  _x000D_
I am attaching the screenshots and log file for your reference_x000D_
  image (https:  user images githubusercontent com 72122766 118082189 5974c780 b3da 11eb 94e9 aa0911bee020 png)_x000D_
  image (https:  user images githubusercontent com 72122766 118082200 5e397b80 b3da 11eb 9ee6 e049fc37da04 png)_x000D_
  image (https:  user images githubusercontent com 72122766 118082211 61346c00 b3da 11eb 85c2 ca1227be7c9b png)_x000D_
 releaseCrashLog txt (https:  github com voxeet voxeet uxkit reactnative files 6470530 releaseCrashLog txt)_x000D_
</t>
  </si>
  <si>
    <t>PojavLauncherTeam-PojavLauncher-1368</t>
  </si>
  <si>
    <t>[BUG] &lt;1.12.2 forge crashes after a while&gt;</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</si>
  <si>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_x000D_
When I was playing in my hardcore world for a while the launcher crashes randomly yet no crash were reported _x000D_
_x000D_
  Add a log file if you want to see your bug fixed    _x000D_
_x000D_
https:  pastebin com Hhfj7V3M_x000D_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1 12 2_x000D_
2  Create a world_x000D_
3  Now start playing_x000D_
4  After a while the launcher crashes randomly_x000D_
_x000D_
    Expected behavior:_x000D_
I expected to play peacefully without this fricking strange bug    _x000D_
_x000D_
    Screenshots or videos:_x000D_
 Upload here screenshots or videos of the buggy behavior  if possible  _x000D_
_x000D_
  Platform:  _x000D_
   Device Model  e g  Samsung j4  2 16 _x000D_
   CPU architecture  e g  aarch32  _x000D_
   Android Version  e g  9 _x000D_
   PojavLauncher Version  e g Latest Release    version 3 3 1 1 rel 20210206  _x000D_
_x000D_
_x000D_
 details   summary  b Additional context  b   summary _x000D_
 br _x000D_
 pre _x000D_
Add any other context about the problem here _x000D_
  pre _x000D_
  details _x000D_
</t>
  </si>
  <si>
    <t>TeamNewPipe-NewPipe-6276</t>
  </si>
  <si>
    <t>Videos occasionally loading indefinitely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</si>
  <si>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Happens seemingly at random when playing a playlist in the background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Most songs load immediately  but occasionally  one will stay loading indefinitely  Fast forwarding to the next song usually works  but sometimes that song doesn t load either  The effect is usually resolved for the song in question by closing the current playlist  closing the app  and reopening it  but then it will sometimes happen to a different song _x000D_
_x000D_
_x000D_
    Expected behavior_x000D_
     Tell us what you expect to happen     _x000D_
I expect songs to load normally  as long as I maintain a stable internet connection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Samsung Galaxy M51  Model number SM M515F DSN_x000D_
</t>
  </si>
  <si>
    <t>inaturalist-iNaturalistAndroid-1040</t>
  </si>
  <si>
    <t>Resources$NotFoundExceptions from a Nexus 5x</t>
  </si>
  <si>
    <t>https:  console firebase google com u 2 project inaturalist ios crashlytics app android:org inaturalist android issues dcf4f234f77f2fb23f365d7dcfa34b2d_x000D_
_x000D_
   _x000D_
Caused by android content res Resources NotFoundException: Unable to find resource ID  0x7f080164_x000D_
       at android content res ResourcesImpl getResourceName(ResourcesImpl java:253)_x000D_
       at android content res ResourcesImpl loadDrawableForCookie(ResourcesImpl java:760)_x000D_
       at android content res ResourcesImpl loadDrawable(ResourcesImpl java:630)_x000D_
       at android content res Resources loadDrawable(Resources java:886)_x000D_
       at android content res TypedArray getDrawableForDensity(TypedArray java:953)_x000D_
       at android content res TypedArray getDrawable(TypedArray java:928)_x000D_
       at android content res XResources XTypedArray getDrawable(XResources java:1363)_x000D_
       at android graphics drawable LayerDrawable updateLayerFromTypedArray(LayerDrawable java:382)_x000D_
       at android graphics drawable LayerDrawable inflateLayers(LayerDrawable java:261)_x000D_
       at android graphics drawable LayerDrawable inflate(LayerDrawable java:194)_x000D_
       at android graphics drawable DrawableInflater inflateFromXmlForDensity(DrawableInflater java:142)_x000D_
       at android graphics drawable Drawable createFromXmlInnerForDensity(Drawable java:1295)_x000D_
       at android graphics drawable Drawable createFromXmlForDensity(Drawable java:1254)_x000D_
       at android content res ResourcesImpl loadDrawableForCookie(ResourcesImpl java:807)_x000D_
       at android content res ResourcesImpl loadDrawable(ResourcesImpl java:630)_x000D_
       at android content res Resources getDrawableForDensity(Resources java:877)_x000D_
       at android content res XResources getDrawableForDensity(XResources java:868)_x000D_
       at android content res Resources getDrawable(Resources java:819)_x000D_
       at android content res XResources getDrawable(XResources java:790)_x000D_
       at android content Context getDrawable(Context java:605)_x000D_
       at androidx core content ContextCompat getDrawable(ContextCompat java:454)_x000D_
       at androidx appcompat widget ResourceManagerInternal getDrawable(ResourceManagerInternal java:144)_x000D_
       at androidx appcompat widget ResourceManagerInternal getDrawable(ResourceManagerInternal java:132)_x000D_
       at androidx appcompat content res AppCompatResources getDrawable(AppCompatResources java:104)_x000D_
       at androidx appcompat widget ToolbarWidgetWrapper setLogo(ToolbarWidgetWrapper java:312)_x000D_
       at androidx appcompat app WindowDecorActionBar setLogo(WindowDecorActionBar java:1381)_x000D_
       at org inaturalist android DataQualityAssessment onCreate(DataQualityAssessment java:77)_x000D_
   _x000D_
_x000D_
There are a number of related crashes  all from a Nexus 5x  Any idea what s going on  Here are the others:_x000D_
_x000D_
https:  console firebase google com u 2 project inaturalist ios crashlytics app android:org inaturalist android issues 91c0104cb9bf8cbffadeb86b8527f814_x000D_
https:  console firebase google com u 2 project inaturalist ios crashlytics app android:org inaturalist android issues 30836b69a0824310d5a423d1b5a4c230_x000D_
https:  console firebase google com u 2 project inaturalist ios crashlytics app android:org inaturalist android issues 04b86ee706fdc8288fbe2885f8117daf</t>
  </si>
  <si>
    <t>falzonv-discreet-launcher-45</t>
  </si>
  <si>
    <t>Access to favorites active even when DL not set as launcher</t>
  </si>
  <si>
    <t>By chance I ve discovered that with Discreet Launcher (DL) installed and native launcher active  the  Access to favorites  notification is still present _x000D_
_x000D_
At first DL was set as default launcher  and the access to favorites turned on  Then a crash (not because of DL) reset the launcher in Settings  and the access to favorites still visible in notifications  I can reproduce by setting DL as launcher  then setting native launcher_x000D_
_x000D_
v3 4 0 from APK on Android 10</t>
  </si>
  <si>
    <t>TrackerControl-tracker-control-android-193</t>
  </si>
  <si>
    <t>Tracker Control crashes when opening a specific app</t>
  </si>
  <si>
    <t xml:space="preserve">I updated to version  2021 05 05 (the latest available on f droid) and while enjoying the new domain based block allow  the app crashed and two things happened:_x000D_
_x000D_
1 all known companies in the apps reverted to  last week  (but if you click in the apps you can see the selected domains being blocked so the error is just about on the main page)_x000D_
_x000D_
2 a specific app (which I would rather not mention here due to privacy) makes tracker control crash whenever from the main page I press on it to see what is being blocked  Once it crashes a message appears where I can send an email to the devs with what happened  Does it contain any log or what  I didn t send anything as I wasn t sure what the message would contain _x000D_
_x000D_
Is there a way I can tell you the name of the app privately (maybe through private message or email </t>
  </si>
  <si>
    <t>PojavLauncherTeam-PojavLauncher-1367</t>
  </si>
  <si>
    <t>[BUG] &lt;Can't play infdev and below versions&gt;</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</si>
  <si>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Can t play the infdev and below versions  i can  only play infdev and below versions in some seconds  nothing in log tab and crash tab  when i play infdev and below versions  after some seconds  screen change to launcher menu or login menu  but i can play other versions _x000D_
_x000D_
  Add a log file if you want to see your bug fixed   _x000D_
 latestlog txt (https:  github com PojavLauncherTeam PojavLauncher files 6471022 latestlog txt)_x000D_
  _x000D_
_x000D_
The log file called  latestlog txt  is located under   Android data net kdt pojavlaunch files      games PojavLauncher    or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_x000D_
    Expected behavior:_x000D_
What that mean  _x000D_
_x000D_
    Screenshots or videos:_x000D_
 Upload here screenshots or videos of the buggy behavior  if possible  _x000D_
(Not enough memory to record a video or capture a screenshot)_x000D_
_x000D_
  Platform:  _x000D_
   Device Model  e g  Samsung Galaxy J2 Prime _x000D_
   CPU architecture  e g  arm32  _x000D_
   Android Version  e g  6 0 1 _x000D_
   PojavLauncher Version  e g Latest Release    version 3 3 1 1 rel 20210206  _x000D_
_x000D_
_x000D_
 details   summary  b Additional context  b   summary _x000D_
 br _x000D_
 pre _x000D_
Add any other context about the problem here _x000D_
  pre _x000D_
  details _x000D_
Bonus: i think infdev and below versions cant save world file</t>
  </si>
  <si>
    <t>react-native-share-react-native-share-1024</t>
  </si>
  <si>
    <t>Android App Crashes when closing popup</t>
  </si>
  <si>
    <t xml:space="preserve">I m able to share files in both ios and android  but incase of android it gets crash when i click back button (after share popup opens)_x000D_
    Steps to reproduce_x000D_
   _x000D_
 RNFetchBlob fetch(_x000D_
         POST  _x000D_
         https:  somedomain downloadZip  _x000D_
           Content Type :  application json    _x000D_
        JSON stringify( data )_x000D_
      )_x000D_
         then((resp)     _x000D_
          return resp base64() _x000D_
         )_x000D_
         then(async (base64Data)     _x000D_
          var base64Dat    data:application zip base64     base64Data _x000D_
          console log( 64    base64Dat) _x000D_
          Share open(  url: base64Dat  title:     message:     ) _x000D_
         ) _x000D_
   _x000D_
    LOGS_x000D_
_x000D_
   _x000D_
05 12 03:23:20 614  1220  2789 D PowerHalWrapper:  amsBoostResume  last:android  next:com myapp _x000D_
05 12 03:23:20 618  1220  2512 D PowerHalWrapper: amsBoostNotify pid:25894 activity:com myapp MainActivity  package:com myapp  mProcessCreatePackcom myapp _x000D_
05 12 03:23:20 619   466   511 I libPowerHal:  perfNotifyAppState  foreground:com myapp  pid:25894  uid:10407_x000D_
05 12 03:23:20 619   466   511 I powerd  :  powerd req  POWER MSG NOTIFY STATE  pc:0  android    com myapp_x000D_
05 12 03:23:20 622 25894 25894 E AndroidRuntime: Process: com myapp  PID: 25894_x000D_
05 12 03:23:20 622 25894 25894 E AndroidRuntime: java lang RuntimeException: Failure delivering result ResultInfo who null  request 16845  result 0  data null  to activity  com myapp com myapp MainActivity : kotlin UninitializedPropertyAccessException: lateinit property stripe has not been initialized_x000D_
05 12 03:23:20 637  1220  3157 W ActivityTaskManager:   Force finishing activity com myapp  MainActivity_x000D_
05 12 03:23:20 639  1220  3157 D PowerHalWrapper:  amsBoostResume  last:com myapp  next:com android launcher3 _x000D_
05 12 03:23:20 710  1220  1340 W InputDispatcher: channel  10e4471 com myapp com myapp MainActivity (server)    Consumer closed input channel or an error occurred   events 0x9_x000D_
05 12 03:23:20 710  1220  1340 E InputDispatcher: channel  10e4471 com myapp com myapp MainActivity (server)    Channel is unrecoverably broken and will be disposed _x000D_
05 12 03:23:20 717   489   540 I BufferQueueProducer:  com myapp com myapp MainActivity 0 (this:0x7800a13000 id:1018 api:1 p:25894 c:489) disconnect(P): api 1_x000D_
05 12 03:23:20 718  1220  1927 V ActivityManager: Death received in com android server am ActivityManagerService AppDeathRecipient c40a991 for thread android os BinderProxy 25890f6  mPid:25894 mApp:ProcessRecord 56ba7b8 25894:com myapp u0a407 _x000D_
05 12 03:23:20 718  1220  2790 I WindowManager: WIN DEATH: Window 10e4471 u0 com myapp com myapp MainActivity _x000D_
05 12 03:23:20 719  1220  2790 W InputDispatcher: Attempted to unregister already unregistered input channel  10e4471 com myapp com myapp MainActivity (server) _x000D_
05 12 03:23:20 746  1220  1927 I ActivityManager: Process com myapp (pid 25894) has died: vis 99 TOP _x000D_
05 12 03:23:20 751  1220  1927 D PowerHalWrapper: amsBoostNotify pid:1697 activity:com android searchlauncher SearchLauncher  package:com android launcher3  mProcessCreatePackcom myapp _x000D_
05 12 03:23:20 752   466   511 I powerd  :  powerd req  POWER MSG NOTIFY STATE  pc:0  com myapp    com android launcher3_x000D_
05 12 03:23:20 761   489   489 I BufferQueue:  com myapp com myapp MainActivity 0 (this:0x7800a13000 id:1018 api:1 p: 1 c: 1)  BufferQueueCore_x000D_
05 12 03:23:20 924 21274 26367 I StabilityMonitor:   ParserUtility    key word : com myapp_x000D_
05 12 03:23:21 017 21274 26367 I StabilityMonitor:  APRReport  exceptionItem  tag:data app crash packageName:com myapp versionCode:1 versionName:1 0_x000D_
05 12 03:23:21 138  1220  1237 W ActivityTaskManager: Activity top resumed state loss timeout for ActivityRecord a1afb6e u0 com myapp  MainActivity t 1 f _x000D_
   _x000D_
_x000D_
_x000D_
_x000D_
    Environment_x000D_
    React Native version  :  0 63 3 _x000D_
    React Native platform   platform version  : Android 10 0_x000D_
    Typescript version   4 0 3_x000D_
_x000D_
_x000D_
</t>
  </si>
  <si>
    <t>TeamNewPipe-NewPipe-6273</t>
  </si>
  <si>
    <t>Black bars on both sides of drawer are shown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</si>
  <si>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Auto rotation is off_x000D_
2  Swipe down the upper interface of video_x000D_
3  App is set to landscape mode as expected_x000D_
4  Go back to main page_x000D_
5  Access the drawer_x000D_
_x000D_
    Actual behaviour_x000D_
     Tell us what happens with the steps given above     _x000D_
_x000D_
Black bars on both sides are shown of drawer  Interestingly  it only shows if you reproduce the bug that way  If you browse normally on landscape mode  it never shows up _x000D_
_x000D_
    Expected behavior_x000D_
     Tell us what you expect to happen     _x000D_
_x000D_
No black bar should be shown on the sides of drawers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IMG 20210712 133807 (https:  user images githubusercontent com 79245641 125248929 7ebc7e00 e316 11eb 8a3b 4c272e2cb57f jpg)_x000D_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Redmi Note 8 Pro_x000D_
   Device model: MIUI 12 0 7_x000D_
</t>
  </si>
  <si>
    <t>TeamNewPipe-NewPipe-6269</t>
  </si>
  <si>
    <t>Can't close popup when keyboard is active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</si>
  <si>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Open a video in popup _x000D_
2  Tap on search bar or any other place to type _x000D_
3  Try to close the popup  Not possible _x000D_
_x000D_
_x000D_
    Actual behaviour_x000D_
     Tell us what happens with the steps given above     _x000D_
_x000D_
Closing popup gets problematic if any keyboard is active _x000D_
_x000D_
_x000D_
    Expected behavior_x000D_
     Tell us what you expect to happen     _x000D_
_x000D_
Closing popup should always be the same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https:  user images githubusercontent com 79245641 117921293 4eeefb00 b312 11eb 96ab 60bb627df9aa mp4_x000D_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Xiaomi Redmi Note 8 Pro_x000D_
   Device model: MIUI 12 0 7_x000D_
</t>
  </si>
  <si>
    <t>ankidroid-Anki-Android-8807</t>
  </si>
  <si>
    <t>Crash 2.15alpha49 Tags list editor</t>
  </si>
  <si>
    <t xml:space="preserve">       Reproduction Steps_x000D_
_x000D_
 TarekkMA I think this might be your area  :thinking: _x000D_
_x000D_
_x000D_
Here s the logcat from the crash report showing user path roughly_x000D_
_x000D_
   _x000D_
_x000D_
_x000D_
05 10 19:24:31 948 I AnkiDroid(22524): AnkiActivity::onStop   DeckPicker_x000D_
  _x000D_
2   05 10 19:24:31 965 I AnkiDroid(22524): Rust: executeGetRowsAffected UPDATE col SET decks   dconf  _x000D_
3   05 10 19:24:31 980 I AnkiDroid(22524): flush   Saving information to DB   _x000D_
4   05 10 19:24:31 981 I AnkiDroid(22524): Rust: executeGetRowsAffected UPDATE col SET mod   scm   crt   dty   conf   usn   ls  _x000D_
5   05 10 19:24:35 994 I AnkiDroid(22524): AbstractFlashcardViewer:: EASE 4 pressed_x000D_
6   05 10 19:24:36 010 I AnkiDroid(22524): Answering card 1620057434432_x000D_
7   05 10  19:24:36 033 I AnkiDroid(22524): Rust: executeGetRowsAffected UPDATE  cards SET  mod   due   queue   ivl   factor   reps   did   left   lapses   usn   type   odid   odue    WHERE id    _x000D_
8   05 10 19:24:36 069 I AnkiDroid(22524): Obtaining card_x000D_
9   05 10 19:24:36 162 I AnkiDroid(22524): ViewGroupUtils::setRenderWorkaround   software render requested  altering Views   _x000D_
10   05 10 19:24:36 181 I AnkiDroid(22524): AbstractFlashcardViewer:: Question successfully shown for card id 1620630770452_x000D_
11   05 10 19:24:46 528 I AnkiDroid(22524): AbstractFlashcardViewer:: EASE 1 pressed_x000D_
12   05 10 19:24:46 543 I AnkiDroid(22524): Answering card 1620630770452_x000D_
13   05 10  19:24:46 565 I AnkiDroid(22524): Rust: executeGetRowsAffected UPDATE  cards SET  mod   due   queue   ivl   factor   reps   did   left   lapses   usn   type   odid   odue    WHERE id    _x000D_
14   05 10 19:24:46 578 I AnkiDroid(22524): Obtaining card_x000D_
15   05 10 19:24:46 679 I AnkiDroid(22524): ViewGroupUtils::setRenderWorkaround   software render requested  altering Views   _x000D_
16   05 10 19:24:46 695 I AnkiDroid(22524): AbstractFlashcardViewer:: Question successfully shown for card id 1620631842916_x000D_
17   05 10 19:24:54 434 I AnkiDroid(22524): AbstractFlashcardViewer:: Show answer button pressed_x000D_
18   05 10 19:24:59 289 I AnkiDroid(22524): Reviewer:: Edit note button pressed_x000D_
19   05 10 19:24:59 344 I AnkiDroid(22524): AnkiActivity::onPause   Reviewer_x000D_
20   05 10 19:24:59 399 I AnkiDroid(22524): AnkiActivity::onCreate   NoteEditor_x000D_
21   05 10 19:24:59 474 E AnkiDroid(22524): DeckSpinnerSelection  updateDeckPosition() error :: mCurrentDid 0  position  1_x000D_
22   05 10 19:24:59 507 I AnkiDroid(22524): onCollectionLoaded() Edit note activity successfully started with card id 1620631842916_x000D_
23   05 10 19:24:59 509 I AnkiDroid(22524): AnkiActivity::onStart   NoteEditor_x000D_
24   05 10 19:24:59 516 I AnkiDroid(22524): AnkiActivity::onResume   NoteEditor_x000D_
25   05 10 19:24:59 530 I AnkiDroid(22524): Disabling Extended Text UI_x000D_
26   05 10 19:24:59 533 I AnkiDroid(22524): Disabling Extended Text UI_x000D_
27   05 10 19:24:59 724 I AnkiDroid(22524): Disabling Extended Text UI_x000D_
28   05 10 19:24:59 727 I AnkiDroid(22524): Disabling Extended Text UI_x000D_
29   05 10 19:24:59 823 I AnkiDroid(22524): AnkiActivity::onStop   Reviewer_x000D_
30   05 10 19:24:59 838 I AnkiDroid(22524): Rust: executeGetRowsAffected UPDATE col SET decks   dconf  _x000D_
31   05 10 19:24:59 853 I AnkiDroid(22524): flush   Saving information to DB   _x000D_
32   05 10 19:24:59 854 I AnkiDroid(22524): Rust: executeGetRowsAffected UPDATE col SET mod   scm   crt   dty   conf   usn   ls  _x000D_
33   05 10 19:25:32 163 I AnkiDroid(22524): NoteEditor:: Tags button pressed    opening tags editor_x000D_
_x000D_
_x000D_
   _x000D_
_x000D_
_x000D_
       Expected Result_x000D_
_x000D_
display tags list editor_x000D_
_x000D_
       Actual Result_x000D_
_x000D_
   _x000D_
java lang UnsupportedOperationException: ListIterator does not support set_x000D_
at org apache commons collections4 list SetUniqueList SetListListIterator set(SetUniqueList java:1)_x000D_
at java util Collections sort(Collections java:247)_x000D_
at com ichi2 anki dialogs tags TagsList sort(TagsList java:1)_x000D_
at com ichi2 anki dialogs tags TagsArrayAdapter sortData(TagsArrayAdapter java:1)_x000D_
at com ichi2 anki dialogs tags TagsArrayAdapter  init (TagsArrayAdapter java:4)_x000D_
at com ichi2 anki dialogs tags TagsDialog onCreateDialog(TagsDialog java:6)_x000D_
at androidx fragment app DialogFragment prepareDialog(DialogFragment java:4)_x000D_
at androidx fragment app DialogFragment onGetLayoutInflater(DialogFragment java:3)_x000D_
at androidx fragment app Fragment performGetLayoutInflater(Fragment java:1)_x000D_
at androidx fragment app FragmentStateManager createView(FragmentStateManager java:4)_x000D_
at androidx fragment app FragmentStateManager moveToExpectedState(FragmentStateManager java:20)_x000D_
at androidx fragment app FragmentManager executeOpsTogether(FragmentManager java:34)_x000D_
at androidx fragment app FragmentManager removeRedundantOperationsAndExecute(FragmentManager java:10)_x000D_
at androidx fragment app FragmentManager execPendingActions(FragmentManager java:4)_x000D_
at androidx fragment app FragmentManager executePendingTransactions(FragmentManager java:1)_x000D_
at com ichi2 anki AnkiActivity showDialogFragment(AnkiActivity java:8)_x000D_
at com ichi2 anki AnkiActivity showDialogFragment(AnkiActivity java:1)_x000D_
at com ichi2 anki NoteEditor showTagsDialog(NoteEditor java:6)_x000D_
at com ichi2 anki NoteEditor lambda onCollectionLoaded 2(NoteEditor java:2)_x000D_
at com ichi2 anki NoteEditor l(NoteEditor java)_x000D_
at com ichi2 anki s5 onClick(lambda)_x000D_
at android view View performClick(View java:5706)_x000D_
at android view View PerformClick run(View java:22834)_x000D_
at android os Handler handleCallback(Handler java:836)_x000D_
at android os Handler dispatchMessage(Handler java:103)_x000D_
at android os Looper loop(Looper java:203)_x000D_
at android app ActivityThread main(ActivityThread java:6339)_x000D_
at java lang reflect Method invoke(Native Method)_x000D_
at com android internal os ZygoteInit MethodAndArgsCaller run(ZygoteInit java:1084)_x000D_
at com android internal os ZygoteInit main(ZygoteInit java:945)_x000D_
   _x000D_
_x000D_
       Debug info_x000D_
_x000D_
https:  couchdb ankidroid org acralyzer  design acralyzer index html  report details 572f850e 643d 4aff 8c41 3621744286e7_x000D_
_x000D_
       Research_x000D_
 Enter an  x  character to confirm the points below: _x000D_
_x000D_
      I have read the  support page (https:  ankidroid org docs help html) and am reporting a bug or enhancement request specific to AnkiDroid_x000D_
      I have checked the  manual (https:  ankidroid org docs manual html) and the  FAQ (https:  github com ankidroid Anki Android wiki FAQ) and could not find a solution to my issue_x000D_
      I have searched for similar existing issues here and on the user forum_x000D_
      (Optional) I have confirmed the issue is not resolved in the latest alpha release ( instructions (https:  docs ankidroid org manual html betaTesting))_x000D_
_x000D_
</t>
  </si>
  <si>
    <t>tchapgouv-tchap-android-legacy-717</t>
  </si>
  <si>
    <t>Crash: Exception: java.util.ConcurrentModificationException</t>
  </si>
  <si>
    <t xml:space="preserve">                                  crash call stack                                  _x000D_
Tchap Build : 77_x000D_
Tchap Version : 1 1 1 a (G 66163c55b 2020 12 18 14:08:48  0100)_x000D_
SDK Version : 0 9 37 dev (184214f2e 2020 11 18 01:42:26  0100)_x000D_
Phone : SM A105FN (A105FNXXU3ATA1 9 REL)_x000D_
Memory statuses _x000D_
usedSize   48 MB_x000D_
freeSize   22 MB_x000D_
totalSize   70 MB_x000D_
Thread: MXCrypto decrypting  redacted   Activity:im vector activity SASVerificationActivity  Exception: java util ConcurrentModificationException_x000D_
        at java util HashMap HashIterator nextNode(HashMap java:1441)_x000D_
        at java util HashMap ValueIterator next(HashMap java:1470)_x000D_
        at org matrix androidsdk crypto verification VerificationManager onStartRequestReceived 1 invoke(VerificationManager kt:444)_x000D_
        at org matrix androidsdk crypto verification VerificationManager onStartRequestReceived 1 invoke(VerificationManager kt:39)_x000D_
        at org matrix androidsdk crypto verification VerificationManager checkKeysAreDownloaded 1 onSuccess 1 run(VerificationManager kt:239)_x000D_
        at android os Handler handleCallback(Handler java:873)_x000D_
        at android os Handler dispatchMessage(Handler java:99)_x000D_
        at android os Looper loop(Looper java:214)_x000D_
        at android os HandlerThread run(HandlerThread java:65)_x000D_
_x000D_
_x000D_
User Agent:  Tchap 1 1 1 a (Linux  U  Android 9  SM A105FN Build PPR1 180610 01  Flavour appAgentWithoutvoipWithpinning  MatrixAndroidSDK 0 9 37 dev) _x000D_
Version:  1 1 1 a (G 66163c55b 2020 12 18 14:08:48  0100) _x000D_
app language:  fr FR _x000D_
branch name:  tags tchap v1 1 1 0 _x000D_
default app language:  fr FR _x000D_
device:  SM A105FN _x000D_
device id:  MHCSPZYBLP _x000D_
lazy loading:  ON _x000D_
locale:  fr FR _x000D_
matrix sdk version:  0 9 37 dev (184214f2e 2020 11 18 01:42:26  0100) _x000D_
multi window:  OFF _x000D_
olm version:  3 1 2   olm version (3 1 2)   a18a4e8 2019 05 20 21:39:54  0100 _x000D_
os:  9 (API 28) A105FNXXU3ATA1 REL </t>
  </si>
  <si>
    <t>jMonkeyEngine-jmonkeyengine-1548</t>
  </si>
  <si>
    <t>MorphControl doesn't override cloneFields(), jmeClone(), read(), nor write()</t>
  </si>
  <si>
    <t xml:space="preserve">As was pointed out at the Forum  the  MorphControl  class supposedly implements  JmeCloneable  and  Savable   yet none of the relevant methods are overridden _x000D_
_x000D_
https:  hub jmonkeyengine org t issue with multiple models and morph animations 44598_x000D_
_x000D_
Obviously this makes it impossible to load a  MorphControl  from assets _x000D_
_x000D_
Also  the OP reported that after cloning a model with a  MorphControl   the clone and the original morphed in synchrony _x000D_
_x000D_
In my own tests  cloning a model with a  MorphControl  resulted in a crash:_x000D_
   text_x000D_
RendererException: Cannot recompile shader source_x000D_
   </t>
  </si>
  <si>
    <t>nextcloud-android-8380</t>
  </si>
  <si>
    <t>NullPointerException in FileDetailsFragmentBinding</t>
  </si>
  <si>
    <t xml:space="preserve">    Steps to reproduce_x000D_
1  Open nextcloud Android app_x000D_
2  _x000D_
3  _x000D_
_x000D_
    Expected behaviour_x000D_
  Tell us what should happen_x000D_
_x000D_
    Actual behaviour_x000D_
  Tell us what happens_x000D_
It crashes at startup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CAUSE OF ERROR             _x000D_
_x000D_
java lang RuntimeException: Unable to start activity ComponentInfo com nextcloud client com owncloud android ui activity FileDisplayActivity : java lang NullPointerException: Attempt to read from field  androidx viewpager widget ViewPager com owncloud android databinding FileDetailsFragmentBinding pager  on a null object reference_x000D_
	at android app ActivityThread performLaunchActivity(ActivityThread java:2434)_x000D_
	at android app ActivityThread handleLaunchActivity(ActivityThread java:2494)_x000D_
	at android app ActivityThread access 900(ActivityThread java:157)_x000D_
	at android app ActivityThread H handleMessage(ActivityThread java:1356)_x000D_
	at android os Handler dispatchMessage(Handler java:102)_x000D_
	at android os Looper loop(Looper java:148)_x000D_
	at android app ActivityThread main(ActivityThread java:5525)_x000D_
	at java lang reflect Method invoke(Native Method)_x000D_
	at com android internal os ZygoteInit MethodAndArgsCaller run(ZygoteInit java:730)_x000D_
	at com android internal os ZygoteInit main(ZygoteInit java:620)_x000D_
Caused by: java lang NullPointerException: Attempt to read from field  androidx viewpager widget ViewPager com owncloud android databinding FileDetailsFragmentBinding pager  on a null object reference_x000D_
	at com owncloud android ui fragment FileDetailFragment getFileDetailSharingFragment(FileDetailFragment java:158)_x000D_
	at com owncloud android ui activity FileActivity getShareFileFragment(FileActivity java:855)_x000D_
	at com owncloud android ui activity FileActivity getFile(FileActivity java:297)_x000D_
	at com owncloud android ui activity FileDisplayActivity updateActionBarTitleAndHomeButton(FileDisplayActivity java:1625)_x000D_
	at com owncloud android ui activity ToolbarActivity setupToolbar(ToolbarActivity java:103)_x000D_
	at com owncloud android ui activity ToolbarActivity setupHomeSearchToolbarWithSortAndListButtons(ToolbarActivity java:127)_x000D_
	at com owncloud android ui activity FileDisplayActivity onCreate(FileDisplayActivity java:264)_x000D_
	at android app Activity performCreate(Activity java:6272)_x000D_
	at android app Instrumentation callActivityOnCreate(Instrumentation java:1107)_x000D_
	at android app ActivityThread performLaunchActivity(ActivityThread java:2387)_x000D_
	    9 more_x000D_
_x000D_
             APP INFORMATION             _x000D_
ID: com nextcloud client_x000D_
Version: 30160090_x000D_
Build flavor: gplay_x000D_
_x000D_
             DEVICE INFORMATION             _x000D_
Brand: lge_x000D_
Device: p1_x000D_
Model: LG H818_x000D_
Id: MRA58K_x000D_
Product: p1 global com_x000D_
_x000D_
             FIRMWARE             _x000D_
SDK: 23_x000D_
Release: 6 0_x000D_
Incremental: 16293194481ff_x000D_
  NOTE:   Be super sure to remove sensitive data like passwords  note that everybody can look here  You can use the Issue Template application to prefill some of the required information: https:  apps nextcloud com apps issuetemplate_x000D_
</t>
  </si>
  <si>
    <t>PojavLauncherTeam-PojavLauncher-1359</t>
  </si>
  <si>
    <t>[BUG] Incompatible with Thaumcraft 6</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</si>
  <si>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_x000D_
  Add a log file if you want to see your bug fixed    _x000D_
_x000D_
 crash 2021 05 10 11 11 51 client txt (https:  github com PojavLauncherTeam PojavLauncher files 6458537 crash 2021 05 10 11 11 51 client txt)_x000D_
 latestlog txt (https:  github com PojavLauncherTeam PojavLauncher files 6458538 latestlog txt)_x000D_
_x000D_
_x000D_
    To Reproduce:_x000D_
Indicate steps to reproduce the buggy behavior:_x000D_
_x000D_
1  Start PojavLauncher_x000D_
2  Add thaumcraft 6 in MODS folder_x000D_
_x000D_
_x000D_
    Expected behavior:_x000D_
I expected     Software crash_x000D_
_x000D_
    Screenshots or videos:_x000D_
Crash directly  so there is no valid screenshot_x000D_
_x000D_
  Platform:  _x000D_
   Device Model vivo Y50_x000D_
   CPU architecture 64 bit_x000D_
   Android Version 10_x000D_
   PojavLauncher Version version 3 3 1 1 rel 20210206_x000D_
_x000D_
_x000D_
 details   summary  b Additional context  b   summary _x000D_
 br _x000D_
 pre _x000D_
After removing thaumcraft 6  it can start normally_x000D_
Thaumcraft 6 can be started normally in Java version_x000D_
_x000D_
 Content from the network translation  because my English level is bad_x000D_
  pre _x000D_
  details _x000D_
</t>
  </si>
  <si>
    <t>PojavLauncherTeam-PojavLauncher-1358</t>
  </si>
  <si>
    <t>[BUG] Crash on Android 11</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</si>
  <si>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The game crashes immediately after I launch Minecraft (video) _x000D_
_x000D_
  Add a log file if you want to see your bug fixed    _x000D_
 latestlog txt (https:  github com PojavLauncherTeam PojavLauncher files 6446198 latestlog txt)_x000D_
_x000D_
_x000D_
    To Reproduce:_x000D_
Indicate steps to reproduce the buggy behavior:_x000D_
_x000D_
1  Start PojavLauncher _x000D_
2  Login in or start an offline account _x000D_
3  Launch Minecraft of any versions  _x000D_
_x000D_
    Expected behavior:_x000D_
The app should have opened Minecraft  _x000D_
_x000D_
    Screenshots or videos:_x000D_
 Upload here screenshots or videos of the buggy behavior  if possible  _x000D_
_x000D_
https:  user images githubusercontent com 81773752 117546899 6d64a600 b035 11eb 9b73 90db8b4bdc76 mp4_x000D_
_x000D_
_x000D_
  Platform:  _x000D_
   Device Model: ROG Phone 5 _x000D_
   CPU architecture: Aarch64 _x000D_
   Android Version: Android 11 _x000D_
   PojavLauncher Version: Latest Release for Android 11 taken from GitHub  _x000D_
_x000D_
_x000D_
_x000D_
</t>
  </si>
  <si>
    <t>defold-extension-gpgs-36</t>
  </si>
  <si>
    <t>Crash when I try to unlock achievement</t>
  </si>
  <si>
    <t>I called  gpgs achievement set _x000D_
And I get crash_x000D_
_x000D_
   _x000D_
2021 05 11 09:39:18 434 16495 16515   E defold: ERROR:CRASH: CALL STACK:_x000D_
    _x000D_
      0 pc      0x199d4  system lib libc so  unknown  0_x000D_
      1 pc      0x1ccc2  system lib libc so abort 53_x000D_
      2 pc     0x3428db  system lib libart so  ZN3art7Runtime5AbortEPKc 910_x000D_
      3 pc       0x71b3  system lib libbase so  ZN7android4base10LogMessageD2Ev 494_x000D_
      4 pc     0x226be7  system lib libart so  ZN3art9JavaVMExt8JniAbortEPKcS2  1214_x000D_
      5 pc     0x226db3  system lib libart so  ZN3art9JavaVMExt9JniAbortFEPKcS2 z 66_x000D_
      6 pc     0x368353  system lib libart so  ZNK3art6Thread13DecodeJObjectEP8 jobject 510_x000D_
      7 pc      0xb7d05  system lib libart so  ZN3art12 GLOBAL  N 111ScopedCheck13CheckInstanceERNS 18ScopedObjectAccessENS1 12InstanceKindEP8 jobjectb 72_x000D_
      8 pc      0xb706f  system lib libart so  ZN3art12 GLOBAL  N 111ScopedCheck22CheckPossibleHeapValueERNS 18ScopedObjectAccessEcNS0 12JniValueTypeE 442_x000D_
      9 pc      0xb71e3  system lib libart so  ZN3art12 GLOBAL  N 111ScopedCheck22CheckPossibleHeapValueERNS 18ScopedObjectAccessEcNS0 12JniValueTypeE 814_x000D_
     10 pc      0xb67bd  system lib libart so_x000D_
   _x000D_
_x000D_
Phone: Redmi 6_x000D_
Android version: 9 PPR1 180610 011_x000D_
Defold version: 1 2 181_x000D_
GPGS plugin version: 2 3 0_x000D_
Symbols: https:  www dropbox com s gwbld7sfqtej5nr lib zip dl 0</t>
  </si>
  <si>
    <t>ankidroid-Anki-Android-8803</t>
  </si>
  <si>
    <t>[Bug] Modifying note types while clock set incorrectly (on purpose, kids do this to parents phones sometimes...) results in a crash</t>
  </si>
  <si>
    <t xml:space="preserve">       Reproduction Steps_x000D_
1  Modify a note type (Add remove rename field or delete note type)_x000D_
2  Synchronise changes (If it doesn t crash)_x000D_
_x000D_
_x000D_
       Expected Result_x000D_
  Modify note types without having the app crash _x000D_
_x000D_
_x000D_
       Actual Result_x000D_
  Modifying a note type results in a crash _x000D_
_x000D_
  When it doesn t end up crashing  it just reverses my changes when it finishes synchronising  Synchronising also no longer gives me the options to upload or download changes  instead it just downloads from the server and reverses my changes  _x000D_
_x000D_
       Debug info_x000D_
AnkiDroid Version   2 14 6 _x000D_
Android Version   11 _x000D_
ACRA UUID   758dae2e 58aa 40d0 9d37 18809c5cb0dc _x000D_
Scheduler   std _x000D_
Crash Reports Enabled   true_x000D_
_x000D_
       Research_x000D_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x  (Optional) I have confirmed the issue is not resolved in the latest alpha release ( instructions (https:  docs ankidroid org manual html betaTesting))_x000D_
_x000D_
       Additional Information_x000D_
 java lang RuntimeException_x000D_
at com ichi2 anki ModelBrowser DeleteModelHandler actualOnPostExecute(ModelBrowser java:5)_x000D_
at com ichi2 anki ModelBrowser DeleteModelHandler actualOnPostExecute(ModelBrowser java:1)_x000D_
at com ichi2 async TaskListenerWithContext onPostExecute(TaskListenerWithContext java:2)_x000D_
at com ichi2 async CollectionTask onPostExecute(CollectionTask java:4)_x000D_
at com ichi2 async CollectionTask onPostExecute(CollectionTask java:1)_x000D_
at android os AsyncTask finish(AsyncTask java:771)_x000D_
at android os AsyncTask access 900(AsyncTask java:199)_x000D_
at android os AsyncTask InternalHandler handleMessage(AsyncTask java:788)_x000D_
at android os Handler dispatchMessage(Handler java:106)_x000D_
at android os Looper loop(Looper java:246)_x000D_
at android app ActivityThread main(ActivityThread java:8443)_x000D_
at java lang reflect Method invoke(Native Method)_x000D_
at com android internal os RuntimeInit MethodAndArgsCaller run(RuntimeInit java:596)_x000D_
at com android internal os ZygoteInit main(ZygoteInit java:1130) _x000D_
_x000D_
 java lang RuntimeException: An error occurred while executing doInBackground()_x000D_
at android os AsyncTask 4 done(AsyncTask java:415)_x000D_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java:305)_x000D_
at java util concurrent ThreadPoolExecutor runWorker(ThreadPoolExecutor java:1167)_x000D_
at java util concurrent ThreadPoolExecutor Worker run(ThreadPoolExecutor java:641)_x000D_
at java lang Thread run(Thread java:923)_x000D_
Caused by: java lang AssertionError: Mod was assumed to be already changed  but is not_x000D_
at com ichi2 utils Assert that(Assert java:3)_x000D_
at com ichi2 libanki Models addFieldModChanged(Models java:1)_x000D_
at com ichi2 async CollectionTask doInBackGroundAddField(CollectionTask java:6)_x000D_
at com ichi2 async CollectionTask actualDoInBackground(CollectionTask java:22)_x000D_
at com ichi2 async CollectionTask doInBackground(CollectionTask java:2)_x000D_
at com ichi2 async CollectionTask doInBackground(CollectionTask java:1)_x000D_
at android os AsyncTask 3 call(AsyncTask java:394)_x000D_
at java util concurrent FutureTask run(FutureTask java:266) _x000D_
</t>
  </si>
  <si>
    <t>nextcloud-android-8378</t>
  </si>
  <si>
    <t xml:space="preserve">Nextcloud crashed on reopen </t>
  </si>
  <si>
    <t xml:space="preserve">    Steps to reproduce_x000D_
1  Upload some pictures via the share menu  (don t know if that was relevant  was a while ago) _x000D_
2  Open nextcloud app _x000D_
3  _x000D_
_x000D_
    Expected behaviour_x000D_
  Nextcloud should open normally_x000D_
_x000D_
    Actual behaviour_x000D_
  Nextcloud crashed randomly _x000D_
_x000D_
    Can you reproduce this problem on https:  try nextcloud com _x000D_
  the crash was very random  I doubt that I can reproduce it easily _x000D_
_x000D_
    Environment data_x000D_
Android version: 11_x000D_
_x000D_
Device model: POCO F3 _x000D_
_x000D_
Stock or customized system: stock _x000D_
_x000D_
Nextcloud app version: see below_x000D_
_x000D_
Nextcloud server version: 21_x000D_
_x000D_
Reverse proxy: Caddy 2_x000D_
_x000D_
    Logs_x000D_
     Web server error log_x000D_
   _x000D_
Insert your webserver log here_x000D_
   _x000D_
_x000D_
     Nextcloud log (data nextcloud log)_x000D_
                CAUSE OF ERROR             _x000D_
_x000D_
java lang RuntimeException: Unable to start activity ComponentInfo com nextcloud client com owncloud android ui activity FileDisplayActivity : java lang NullPointerException: Attempt to read from field  androidx viewpager widget ViewPager com owncloud android databinding FileDetailsFragmentBinding pager  on a null object reference_x000D_
	at android app ActivityThread performLaunchActivity(ActivityThread java:3539)_x000D_
	at android app ActivityThread handleLaunchActivity(ActivityThread java:3699)_x000D_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java:2135)_x000D_
	at android os Handler dispatchMessage(Handler java:106)_x000D_
	at android os Looper loop(Looper java:236)_x000D_
	at android app ActivityThread main(ActivityThread java:8057)_x000D_
	at java lang reflect Method invoke(Native Method)_x000D_
	at com android internal os RuntimeInit MethodAndArgsCaller run(RuntimeInit java:656)_x000D_
	at com android internal os ZygoteInit main(ZygoteInit java:967)_x000D_
Caused by: java lang NullPointerException: Attempt to read from field  androidx viewpager widget ViewPager com owncloud android databinding FileDetailsFragmentBinding pager  on a null object reference_x000D_
	at com owncloud android ui fragment FileDetailFragment getFileDetailSharingFragment(FileDetailFragment java:158)_x000D_
	at com owncloud android ui activity FileActivity getShareFileFragment(FileActivity java:855)_x000D_
	at com owncloud android ui activity FileActivity getFile(FileActivity java:297)_x000D_
	at com owncloud android ui activity FileDisplayActivity updateActionBarTitleAndHomeButton(FileDisplayActivity java:1625)_x000D_
	at com owncloud android ui activity ToolbarActivity setupToolbar(ToolbarActivity java:103)_x000D_
	at com owncloud android ui activity ToolbarActivity setupHomeSearchToolbarWithSortAndListButtons(ToolbarActivity java:127)_x000D_
	at com owncloud android ui activity FileDisplayActivity onCreate(FileDisplayActivity java:264)_x000D_
	at android app Activity performCreate(Activity java:8143)_x000D_
	at android app Activity performCreate(Activity java:8115)_x000D_
	at android app Instrumentation callActivityOnCreate(Instrumentation java:1310)_x000D_
	at android app ActivityThread performLaunchActivity(ActivityThread java:3512)_x000D_
	    11 more_x000D_
_x000D_
             APP INFORMATION             _x000D_
ID: com nextcloud client_x000D_
Version: 30160090_x000D_
Build flavor: gplay_x000D_
_x000D_
             DEVICE INFORMATION             _x000D_
Brand: POCO_x000D_
Device: alioth_x000D_
Model: M2012K11AG_x000D_
Id: RKQ1 200826 002_x000D_
Product: alioth eea_x000D_
_x000D_
             FIRMWARE             _x000D_
SDK: 30_x000D_
Release: 11_x000D_
Incremental: V12 0 5 0 RKHEUXM_x000D_
_x000D_
_x000D_
   _x000D_
  NOTE:   Be super sure to remove sensitive data like passwords  note that everybody can look here  You can use the Issue Template application to prefill some of the required information: https:  apps nextcloud com apps issuetemplate_x000D_
</t>
  </si>
  <si>
    <t>PojavLauncherTeam-PojavLauncher-1354</t>
  </si>
  <si>
    <t>[BUG] 不兼容神秘时代6</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</si>
  <si>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_x000D_
_x000D_
    Describe the bug_x000D_
A clear and concise description of what the bug is _x000D_
_x000D_
  Add a log file if you want to see your bug fixed    _x000D_
_x000D_
 crash 2021 05 10 11 11 51 client txt (https:  github com PojavLauncherTeam PojavLauncher files 6451602 crash 2021 05 10 11 11 51 client txt)_x000D_
 latestlog txt (https:  github com PojavLauncherTeam PojavLauncher files 6451603 latestlog txt)_x000D_
_x000D_
_x000D_
    To Reproduce:_x000D_
Indicate steps to reproduce the buggy behavior:_x000D_
_x000D_
      6         _x000D_
       _x000D_
  Java    _x000D_
_x000D_
    Expected behavior:_x000D_
I expected    _x000D_
_x000D_
    Screenshots or videos:_x000D_
 Upload here screenshots or videos of the buggy behavior  if possible  _x000D_
_x000D_
  Platform:  _x000D_
   Android Version 10_x000D_
   PojavLauncher Version version 3 3 1 1 rel 20210206 _x000D_
_x000D_
_x000D_
 details   summary  b Additional context  b   summary _x000D_
 br _x000D_
 pre _x000D_
                             _x000D_
     Issue        _x000D_
  pre _x000D_
  details _x000D_
</t>
  </si>
  <si>
    <t>nextcloud-talk-android-1233</t>
  </si>
  <si>
    <t>NullPointerException after leaving an errored call with the backbutton</t>
  </si>
  <si>
    <t xml:space="preserve">   Steps to reproduce_x000D_
1  Try a call_x000D_
2  No one joins_x000D_
3  See message about 45s being over blabla_x000D_
4  Press back button_x000D_
5  App crashes_x000D_
_x000D_
    Expected behaviour_x000D_
Chat is shown_x000D_
_x000D_
    Actual behaviour_x000D_
   _x000D_
2021 05 10 12:47:15 482 5019 5019 com nextcloud talk2 qa E AndroidRuntime: FATAL EXCEPTION: main_x000D_
    Process: com nextcloud talk2 qa  PID: 5019_x000D_
    java lang RuntimeException: Unable to destroy activity  com nextcloud talk2 qa com nextcloud talk activities MagicCallActivity : java lang NullPointerException: Attempt to invoke virtual method  android view View android widget RelativeLayout findViewById(int)  on a null object reference_x000D_
        at android app ActivityThread performDestroyActivity(ActivityThread java:5111)_x000D_
        at android app ActivityThread handleDestroyActivity(ActivityThread java:5140)_x000D_
        at android app servertransaction DestroyActivityItem execute(DestroyActivityItem java:44)_x000D_
        at android app servertransaction TransactionExecutor executeLifecycleState(TransactionExecutor java:176)_x000D_
        at android app servertransaction TransactionExecutor execute(TransactionExecutor java:97)_x000D_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NullPointerException: Attempt to invoke virtual method  android view View android widget RelativeLayout findViewById(int)  on a null object reference_x000D_
        at com nextcloud talk controllers CallController initGridAdapter(CallController java:520)_x000D_
        at com nextcloud talk controllers CallController removeMediaStream(CallController java:1800)_x000D_
        at com nextcloud talk controllers CallController lambda endPeerConnection 1 CallController(CallController java:1789)_x000D_
        at com nextcloud talk controllers    Lambda CallController kR9MNCpaawldSklsH7niEF Uu0M run(Unknown Source:4)_x000D_
        at android app Activity runOnUiThread(Activity java:7068)_x000D_
        at com nextcloud talk controllers CallController endPeerConnection(CallController java:1789)_x000D_
        at com nextcloud talk controllers CallController hangup(CallController java:1554)_x000D_
        at com nextcloud talk controllers CallController onHangupClick(CallController java:850)_x000D_
        at com nextcloud talk controllers CallController onDestroy(CallController java:1091)_x000D_
        at com bluelinelabs conductor Controller performDestroy(Controller java:1146)_x000D_
        at com bluelinelabs conductor Controller removeViewReference(Controller java:1045)_x000D_
        at com bluelinelabs conductor Controller destroy(Controller java:1173)_x000D_
        at com bluelinelabs conductor Controller activityDestroyed(Controller java:906)_x000D_
        at com bluelinelabs conductor Router onActivityDestroyed(Router java:616)_x000D_
        at com bluelinelabs conductor ActivityHostedRouter onActivityDestroyed(ActivityHostedRouter java:62)_x000D_
        at com bluelinelabs conductor internal LifecycleHandler destroyRouters(LifecycleHandler java:220)_x000D_
        at com bluelinelabs conductor internal LifecycleHandler onDestroy(LifecycleHandler java:162)_x000D_
        at android app Fragment performDestroy(Fragment java:2765)_x000D_
        at android app FragmentManagerImpl moveToState(FragmentManager java:1456)_x000D_
        at android app FragmentManagerImpl moveFragmentToExpectedState(FragmentManager java:1581)_x000D_
        at android app FragmentManagerImpl moveToState(FragmentManager java:1642)_x000D_
        at android app FragmentManagerImpl dispatchMoveToState(FragmentManager java:3052)_x000D_
        at android app FragmentManagerImpl dispatchDestroy(FragmentManager java:3032)_x000D_
        at android app FragmentController dispatchDestroy(FragmentController java:250)_x000D_
        at android app Activity performDestroy(Activity java:8244)_x000D_
        at android app Instrumentation callActivityOnDestroy(Instrumentation java:1344)_x000D_
        at android app ActivityThread performDestroyActivity(ActivityThread java:5096)_x000D_
   _x000D_
_x000D_
</t>
  </si>
  <si>
    <t>Blankj-AndroidUtilCode-1499</t>
  </si>
  <si>
    <t>ToastUtils   layout/utils_toast_view: Error inflating class null</t>
  </si>
  <si>
    <t xml:space="preserve">      Bug_x000D_
_x000D_
       Bug _x000D_
_x000D_
  AndroidUtilCode     1 30 0      _x000D_
     Bug           _x000D_
_x000D_
_x000D_
       _x000D_
_x000D_
       _x000D_
   _x000D_
App has crashed  executing CustomActivityOnCrash s UncaughtExceptionHandler_x000D_
    android view InflateException: Binary XML file line  2 in layout utils toast view: Binary XML file line  2 in com sdyl yiliaobao:layout utils toast view: Error inflating class null_x000D_
    Caused by: android view InflateException: Binary XML file line  2 in  layout utils toast view: Error inflating class null_x000D_
    Caused by: java lang NullPointerException: Attempt to invoke virtual method  boolean java lang String equals(java lang Object)  on a null object reference_x000D_
   _x000D_
   _x000D_
_x000D_
   _x000D_
put the stack of crash here_x000D_
   _x000D_
_x000D_
     _x000D_
_x000D_
                    _x000D_
_x000D_
_x000D_
              _x000D_
_x000D_
      AndroidUtilCode (https:  github com Blankj AndroidUtilCode) _x000D_
</t>
  </si>
  <si>
    <t>dariuszseweryn-RxAndroidBle-750</t>
  </si>
  <si>
    <t>UndeliverableException crashing the app but only on Samsung Phones</t>
  </si>
  <si>
    <t xml:space="preserve">I use Crashlytics to monitor crashes and I am getting this one but just for Samsung phones  Any ideas  I have added error handling for all (connection  write  read  indication) _x000D_
_x000D_
_x000D_
  Screen Shot 2021 05 10 at 9 19 25 AM (https:  user images githubusercontent com 58920139 117587755 870c0780 b173 11eb 9882 9e5e4e081789 png)_x000D_
  Screen Shot 2021 05 10 at 9 18 21 AM (https:  user images githubusercontent com 58920139 117587757 883d3480 b173 11eb 8dd9 075c78e6af78 png)_x000D_
_x000D_
Thanks_x000D_
_x000D_
</t>
  </si>
  <si>
    <t>TeamNewPipe-NewPipe-6259</t>
  </si>
  <si>
    <t>Not able to play the subscription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</si>
  <si>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</si>
  <si>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TeamNewPipe-NewPipe-legacy-73</t>
  </si>
  <si>
    <t>The Newpipe-legacy app's UI FAILED..</t>
  </si>
  <si>
    <t xml:space="preserve">   Exception_x000D_
    User Action:   ui error_x000D_
    Request:   App crash  UI failure_x000D_
    Content Country:   MX_x000D_
    Content Language:   en_x000D_
    App Language:   en_x000D_
    Service:   none_x000D_
    Version:   0 20 8_x000D_
    OS:   Linux Android 8 0 0   26_x000D_
 details  summary  b Crash log   b   summary  p _x000D_
_x000D_
   _x000D_
android view InflateException: Binary XML file line  31: Error inflating class (not found)org schabi newpipe settings custom NotificationActionsPreference_x000D_
	at androidx preference PreferenceInflater createItemFromTag(PreferenceInflater java:287)_x000D_
	at androidx preference PreferenceInflater rInflate(PreferenceInflater java:344)_x000D_
	at androidx preference PreferenceInflater rInflate(PreferenceInflater java:346)_x000D_
	at androidx preference PreferenceInflater inflate(PreferenceInflater java:157)_x000D_
	at androidx preference PreferenceInflater inflate(PreferenceInflater java:109)_x000D_
	at androidx preference PreferenceManager inflateFromResource(PreferenceManager java:216)_x000D_
	at androidx preference PreferenceFragmentCompat addPreferencesFromResource(PreferenceFragmentCompat java:361)_x000D_
	at org schabi newpipelegacy settings NotificationSettingsFragment onCreatePreferences(NotificationSettingsFragment kt:10)_x000D_
	at androidx preference PreferenceFragmentCompat onCreate(PreferenceFragmentCompat java:160)_x000D_
	at org schabi newpipelegacy settings BasePreferenceFragment onCreate(BasePreferenceFragment java:24)_x000D_
	at androidx fragment app Fragment performCreate(Fragment java:2684)_x000D_
	at androidx fragment app FragmentStateManager create(FragmentStateManager java:280)_x000D_
	at androidx fragment app FragmentManager moveToState(FragmentManager java:1175)_x000D_
	at androidx fragment app FragmentTransition addToFirstInLastOut(FragmentTransition java:1255)_x000D_
	at androidx fragment app FragmentTransition calculateFragments(FragmentTransition java:1138)_x000D_
	at androidx fragment app FragmentTransition startTransitions(FragmentTransition java:136)_x000D_
	at androidx fragment app FragmentManager executeOpsTogether(FragmentManager java:1989)_x000D_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java:869)_x000D_
	at android os Handler dispatchMessage(Handler java:101)_x000D_
	at android os Looper loop(Looper java:206)_x000D_
	at android app ActivityThread main(ActivityThread java:6760)_x000D_
	at java lang reflect Method invoke(Native Method)_x000D_
	at com android internal os Zygote MethodAndArgsCaller run(Zygote java:240)_x000D_
	at com android internal os ZygoteInit main(ZygoteInit java:845)_x000D_
Caused by: java lang ClassNotFoundException: org schabi newpipe settings custom NotificationActionsPreference_x000D_
	at java lang Class classForName(Native Method)_x000D_
	at java lang Class forName(Class java:453)_x000D_
	at androidx preference PreferenceInflater createItem(PreferenceInflater java:214)_x000D_
	at androidx preference PreferenceInflater createItemFromTag(PreferenceInflater java:277)_x000D_
	    26 more_x000D_
Caused by: java lang ClassNotFoundException: Didn t find class  org schabi newpipe settings custom NotificationActionsPreference  on path: DexPathList  zip file   data app org schabi newpipelegacy ehGe3fGQb3KGeSWywCbRww   base apk   nativeLibraryDirectories   data app org schabi newpipelegacy ehGe3fGQb3KGeSWywCbRww   lib arm64   system lib64   system vendor lib64  _x000D_
	at dalvik system BaseDexClassLoader findClass(BaseDexClassLoader java:93)_x000D_
	at java lang ClassLoader loadClass(ClassLoader java:379)_x000D_
	at java lang ClassLoader loadClass(ClassLoader java:312)_x000D_
	    30 more_x000D_
_x000D_
   _x000D_
  details _x000D_
 hr _x000D_
</t>
  </si>
  <si>
    <t>jMonkeyEngine-jmonkeyengine-1544</t>
  </si>
  <si>
    <t>TestMusicPlayer reports unhandled exceptions</t>
  </si>
  <si>
    <t xml:space="preserve">Discovered in v3 4 0 beta3  while running  TestMusicPlayer  _x000D_
_x000D_
I loaded a monoaural audio file  clicked the pause play button  then dragged the top slider left and right  Diagnostic messages appeared on the console:_x000D_
   text_x000D_
May 08  2021 2:30:29 PM com jme3 system JmeDesktopSystem initialize_x000D_
INFO: Running on jMonkeyEngine 3 4 0 SNAPSHOT_x000D_
   Branch: v3 4_x000D_
   Git Hash: fef5fc4_x000D_
   Build Date: 2021 05 08_x000D_
May 08  2021 2:30:29 PM com jme3 audio openal ALAudioRenderer initOpenAL_x000D_
INFO: Audio Renderer Information_x000D_
   Device: OpenAL Soft_x000D_
   Vendor: OpenAL Community_x000D_
   Renderer: OpenAL Soft_x000D_
   Version: 1 1 ALSOFT 1 15 1_x000D_
   Supported channels: 64_x000D_
   ALC extensions: ALC ENUMERATE ALL EXT ALC ENUMERATION EXT ALC EXT CAPTURE ALC EXT DEDICATED ALC EXT disconnect ALC EXT EFX ALC EXT thread local context ALC SOFT loopback_x000D_
   AL extensions: AL EXT ALAW AL EXT DOUBLE AL EXT EXPONENT DISTANCE AL EXT FLOAT32 AL EXT IMA4 AL EXT LINEAR DISTANCE AL EXT MCFORMATS AL EXT MULAW AL EXT MULAW MCFORMATS AL EXT OFFSET AL EXT source distance model AL LOKI quadriphonic AL SOFT buffer samples AL SOFT buffer sub data AL SOFTX deferred updates AL SOFT direct channels AL SOFT loop points AL SOFT source latency_x000D_
May 08  2021 2:30:29 PM com jme3 audio openal ALAudioRenderer initOpenAL_x000D_
WARNING: Pausing audio device not supported _x000D_
May 08  2021 2:30:29 PM com jme3 audio openal ALAudioRenderer initOpenAL_x000D_
INFO: Audio effect extension version: 1 0_x000D_
May 08  2021 2:30:29 PM com jme3 audio openal ALAudioRenderer initOpenAL_x000D_
INFO: Audio max auxiliary sends: 4_x000D_
Exception in thread  AWT EventQueue 0  java lang UnsupportedOperationException: OGG Vorbis seeking only supported for time   0_x000D_
	at com jme3 audio plugins OGGLoader SeekableJOggInputStream setTime(OGGLoader java:149)_x000D_
	at com jme3 audio AudioStream setTime(AudioStream java:210)_x000D_
	at com jme3 audio AudioNode setTimeOffset(AudioNode java:456)_x000D_
	at jme3test audio TestMusicPlayer sldBarStateChanged(TestMusicPlayer java:272)_x000D_
	at jme3test audio TestMusicPlayer access 600(TestMusicPlayer java:46)_x000D_
	at jme3test audio TestMusicPlayer 7 stateChanged(TestMusicPlayer java:164)_x000D_
	at javax swing JSlider fireStateChanged(JSlider java:432)_x000D_
	at javax swing JSlider ModelListener stateChanged(JSlider java:350)_x000D_
	at javax swing DefaultBoundedRangeModel fireStateChanged(DefaultBoundedRangeModel java:364)_x000D_
	at javax swing DefaultBoundedRangeModel setRangeProperties(DefaultBoundedRangeModel java:302)_x000D_
	at javax swing DefaultBoundedRangeModel setValueIsAdjusting(DefaultBoundedRangeModel java:231)_x000D_
	at javax swing JSlider setValueIsAdjusting(JSlider java:652)_x000D_
	at javax swing plaf basic BasicSliderUI TrackListener mouseReleased(BasicSliderUI java:1579)_x000D_
	at java awt Component processMouseEvent(Component java:6539)_x000D_
	at javax swing JComponent processMouseEvent(JComponent java:3324)_x000D_
	at java awt Component processEvent(Component java:6304)_x000D_
	at java awt Container processEvent(Container java:2239)_x000D_
	at java awt Component dispatchEventImpl(Component java:4889)_x000D_
	at java awt Container dispatchEventImpl(Container java:2297)_x000D_
	at java awt Component dispatchEvent(Component java:4711)_x000D_
	at java awt LightweightDispatcher retargetMouseEvent(Container java:4904)_x000D_
	at java awt LightweightDispatcher processMouseEvent(Container java:4535)_x000D_
	at java awt LightweightDispatcher dispatchEvent(Container java:4476)_x000D_
	at java awt Container dispatchEventImpl(Container java:2283)_x000D_
	at java awt Window dispatchEventImpl(Window java:2746)_x000D_
	at java awt Component dispatchEvent(Component java:4711)_x000D_
	at java awt EventQueue dispatchEventImpl(EventQueue java:760)_x000D_
	at java awt EventQueue access 500(EventQueue java:97)_x000D_
	at java awt EventQueue 3 run(EventQueue java:709)_x000D_
	at java awt EventQueue 3 run(EventQueue java:703)_x000D_
	at java security AccessController doPrivileged(Native Method)_x000D_
	at java security ProtectionDomain JavaSecurityAccessImpl doIntersectionPrivilege(ProtectionDomain java:74)_x000D_
	at java security ProtectionDomain JavaSecurityAccessImpl doIntersectionPrivilege(ProtectionDomain java:84)_x000D_
	at java awt EventQueue 4 run(EventQueue java:733)_x000D_
	at java awt EventQueue 4 run(EventQueue java:731)_x000D_
	at java security AccessController doPrivileged(Native Method)_x000D_
	at java security ProtectionDomain JavaSecurityAccessImpl doIntersectionPrivilege(ProtectionDomain java:74)_x000D_
	at java awt EventQueue dispatchEvent(EventQueue java:730)_x000D_
	at java awt EventDispatchThread pumpOneEventForFilters(EventDispatchThread java:205)_x000D_
	at java awt EventDispatchThread pumpEventsForFilter(EventDispatchThread java:116)_x000D_
	at java awt EventDispatchThread pumpEventsForHierarchy(EventDispatchThread java:105)_x000D_
	at java awt EventDispatchThread pumpEvents(EventDispatchThread java:101)_x000D_
	at java awt EventDispatchThread pumpEvents(EventDispatchThread java:93)_x000D_
	at java awt EventDispatchThread run(EventDispatchThread java:82)_x000D_
   _x000D_
_x000D_
Note that this is not a crash </t>
  </si>
  <si>
    <t>andOTP-andOTP-827</t>
  </si>
  <si>
    <t>Beta2 still crashes on MOTP at least under android 7 or 8 maybe lower versions as well</t>
  </si>
  <si>
    <t xml:space="preserve">    App version:  _x000D_
0 9 0beta2_x000D_
    App source:   Google Play   F Droid   GitHub      _x000D_
Google play_x000D_
    Android Version:  _x000D_
7 1 2 and also on version 8_x000D_
    Custom ROM:  _x000D_
Nope  this test is on a BQ M5 with stock rom_x000D_
     Expected result_x000D_
  What is expected    _x000D_
As you enter the pin for a MOTP token and hit accept it should do the MOTP calculation and show it _x000D_
  What does happen instead   _x000D_
Application crashes_x000D_
     Logcat_x000D_
   _x000D_
05 08 22:32:01 381  5804  5804 D wpa supplicant: wlan0: Control interface command  SIGNAL POLL _x000D_
05 08 22:32:01 395  5804  5804 D wpa supplicant: CTRL DEBUG: global ctrl sock sendto: sock 8 sndbuf 163840 outq 0 send len 48_x000D_
05 08 22:32:03 417  4043  4899 D audio hw primary: out set parameters: enter: usecase(1: low latency playback) kvpairs: routing 2_x000D_
05 08 22:32:03 419  4043  4899 D audio hw primary: start output stream: enter: stream(0xaa644140)usecase(1: low latency playback) devices(0x2)_x000D_
05 08 22:32:03 419  4043  4899 D audio hw primary: select devices: out snd device(2: speaker) in snd device(0: )_x000D_
05 08 22:32:03 419  4043  4899 D hardware info: hw info append hw type : device name   speaker_x000D_
05 08 22:32:03 419  4043  4899 D audio hw primary: enable snd device: snd device(2: speaker)_x000D_
05 08 22:32:03 419  4043  4899 I soundtrigger: audio extn sound trigger update device status: device 0x2 of type 0 for Event 1  with Raise 0_x000D_
05 08 22:32:03 447  4043  4899 W audio hw utils: audio extn utils update stream app type cfg: App type could not be selected  Falling back to default_x000D_
05 08 22:32:03 447  4043  4899 I audio hw primary: select devices Selected apptype: 69936_x000D_
05 08 22:32:03 448  4043  4899 V audio hw dolby: audio extn dolby set dmid Dolby device manufacturer id is:0_x000D_
05 08 22:32:03 448  4043  4899 V audio hw dolby: audio extn dolby set license Setting DS1 License  key:0x0 dmid 0_x000D_
05 08 22:32:03 448  4043  4899 E DAP HAL : dap hal set hw info: dmid 0_x000D_
05 08 22:32:03 448  4043  4899 E DAP HAL :  key 00x_x000D_
05 08 22:32:03 448  4043  4899 E audio hw dolby: audio extn dolby set license Could not set DS1 License  Status:  1_x000D_
05 08 22:32:03 448  4043  4899 D soundtrigger: audio extn sound trigger update stream status: uc id 1 of type 0 for Event 3  with Raise 0_x000D_
05 08 22:32:03 448  4043  4899 D ACDB LOADER: ACDB    send audio cal  acdb id   14  path    0_x000D_
05 08 22:32:03 449  4043  4899 D ACDB LOADER: ACDB    send asm topology_x000D_
05 08 22:32:03 449  4043  4899 D ACDB LOADER: ACDB    ACDB CMD GET AUDPROC STREAM TOPOLOGY ID_x000D_
05 08 22:32:03 449  4043  4899 D ACDB LOADER: ACDB    send adm topology_x000D_
05 08 22:32:03 449  4043  4899 D ACDB LOADER: ACDB    ACDB CMD GET AUDPROC COMMON TOPOLOGY ID_x000D_
05 08 22:32:03 449  4043  4899 D ACDB LOADER: ACDB    send audtable_x000D_
05 08 22:32:03 449  4043  4899 D ACDB LOADER: ACDB    ACDB CMD GET AUDPROC COMMON TABLE SIZE_x000D_
05 08 22:32:03 449  4043  4899 D ACDB LOADER: ACDB    ACDB CMD GET AUDPROC COMMON TABLE_x000D_
05 08 22:32:03 449  4043  4899 D ACDB LOADER: ACDB    AUDIO SET AUDPROC CAL_x000D_
05 08 22:32:03 449  4043  4899 D ACDB LOADER: ACDB    send audvoltable_x000D_
05 08 22:32:03 449  4043  4899 D ACDB LOADER: ACDB    ACDB CMD GET AUDPROC GAIN DEP STEP TABLE_x000D_
05 08 22:32:03 449  4043  4899 D ACDB LOADER: ACDB    AUDIO SET AUDPROC VOL CAL_x000D_
05 08 22:32:03 449  4043  4899 D ACDB LOADER: ACDB    send afe cal_x000D_
05 08 22:32:03 449  4043  4899 D ACDB LOADER: ACDB    ACDB CMD GET AFE COMMON TABLE_x000D_
05 08 22:32:03 449  4043  4899 D ACDB LOADER: ACDB    AUDIO SET AFE CAL_x000D_
05 08 22:32:03 449  4043  4899 D ACDB LOADER: ACDB    send hw delay : acdb id   14 path   0_x000D_
05 08 22:32:03 449  4043  4899 D ACDB LOADER: ACDB    ACDB AVSYNC INFO: ACDB CMD GET DEVICE PROPERTY_x000D_
05 08 22:32:03 450  4043  4899 I audio hw utils: audio extn utils send app type cfg: PLAYBACK  app type 69936  acdb dev id 14  sample rate 48000_x000D_
05 08 22:32:03 450  4043  4899 D audio hw primary: enable audio route: apply mixer and update path: low latency playback_x000D_
05 08 22:32:03 452  4043  4899 D audio hw primary: select devices: done_x000D_
05 08 22:32:03 584  4043  4899 D msm8916 platform: platform set channel map mixer ctl name:Playback Channel Map12_x000D_
05 08 22:32:03 585  4043  4899 D msm8916 platform: platform set channel map: set mapping(1 2 3 0 0 0 0 0) for channel:2_x000D_
05 08 22:32:03 585  4043  4899 D audio hw primary: start output stream: exit_x000D_
05 08 22:32:03 735  5808  5808 W InputMethodService: Window size has been changed  This may cause jankiness of resizing window:  1     2_x000D_
05 08 22:32:03 737  5808  5808 I GoogleInputMethodServic: GoogleInputMethodService onStartInputView():2083 _x000D_
05 08 22:32:03 759 25802 25802 V BoostFramework: BoostFramework() : mPerf   com qualcomm qti Performance 36e98b4_x000D_
05 08 22:32:03 759 25802 25802 V BoostFramework: BoostFramework() : mPerf   com qualcomm qti Performance 7d60cdd_x000D_
05 08 22:32:03 773 25802 25802 V BoostFramework: BoostFramework() : mPerf   com qualcomm qti Performance ab68c20_x000D_
05 08 22:32:03 773 25802 25802 V BoostFramework: BoostFramework() : mPerf   com qualcomm qti Performance f2b99d9_x000D_
05 08 22:32:03 846  5808  5808 E InputConnectionWrapper: InputConnectionWrapper waitForInputConnectionFuture():1503 Failed to get the input connection call s result _x000D_
05 08 22:32:03 846  5808  5808 E InputConnectionWrapper: java util concurrent TimeoutException: Waited 100 milliseconds (plus 249166 nanoseconds delay) for oko 354831a status PENDING  info  task  running  RUNNING ON ExUtils P2 1   jdd b09ee4b   _x000D_
05 08 22:32:03 846  5808  5808 E InputConnectionWrapper: 	at ohj get(PG:50)_x000D_
05 08 22:32:03 846  5808  5808 E InputConnectionWrapper: 	at jdn s(PG:2)_x000D_
05 08 22:32:03 846  5808  5808 E InputConnectionWrapper: 	at jdm e(PG:7)_x000D_
05 08 22:32:03 846  5808  5808 E InputConnectionWrapper: 	at jdw v(PG:1)_x000D_
05 08 22:32:03 846  5808  5808 E InputConnectionWrapper: 	at jdn f(PG:1)_x000D_
05 08 22:32:03 846  5808  5808 E InputConnectionWrapper: 	at com android inputmethod latin LatinIME f(PG:126)_x000D_
05 08 22:32:03 846  5808  5808 E InputConnectionWrapper: 	at dqc onStartInputView(PG:33)_x000D_
05 08 22:32:03 846  5808  5808 E InputConnectionWrapper: 	at android inputmethodservice InputMethodService showWindowInner(InputMethodService java:1641)_x000D_
05 08 22:32:03 846  5808  5808 E InputConnectionWrapper: 	at android inputmethodservice InputMethodService showWindow(InputMethodService java:1592)_x000D_
05 08 22:32:03 846  5808  5808 E InputConnectionWrapper: 	at android inputmethodservice InputMethodService InputMethodImpl showSoftInput(InputMethodService java:444)_x000D_
05 08 22:32:03 846  5808  5808 E InputConnectionWrapper: 	at android inputmethodservice IInputMethodWrapper executeMessage(IInputMethodWrapper java:206)_x000D_
05 08 22:32:03 846  5808  5808 E InputConnectionWrapper: 	at com android internal os HandlerCaller MyHandler handleMessage(HandlerCaller java:37)_x000D_
05 08 22:32:03 846  5808  5808 E InputConnectionWrapper: 	at android os Handler dispatchMessage(Handler java:102)_x000D_
05 08 22:32:03 846  5808  5808 E InputConnectionWrapper: 	at android os Looper loop(Looper java:154)_x000D_
05 08 22:32:03 846  5808  5808 E InputConnectionWrapper: 	at android app ActivityThread main(ActivityThread java:6121)_x000D_
05 08 22:32:03 846  5808  5808 E InputConnectionWrapper: 	at java lang reflect Method invoke(Native Method)_x000D_
05 08 22:32:03 846  5808  5808 E InputConnectionWrapper: 	at com android internal os ZygoteInit MethodAndArgsCaller run(ZygoteInit java:889)_x000D_
05 08 22:32:03 846  5808  5808 E InputConnectionWrapper: 	at com android internal os ZygoteInit main(ZygoteInit java:779)_x000D_
05 08 22:32:03 847  5808  5808 W InputConnectionWrapper: InputConnectionWrapper recordDuration():1487 IPC IC GET SURROUNDING TEXT took 104 ms_x000D_
05 08 22:32:03 850  5808  5808 I KeyboardViewUtil: KeyboardViewUtil getKeyboardHeightRatio():166 systemKeyboardHeightRatio:1 000000  userKeyboardHeightRatio:1 000000 _x000D_
05 08 22:32:03 853  5808  5808 I AndroidIME: AbstractIme onActivate():88 PasswordIme onActivate() : EditorInfo   Package   org shadowice flocke andotp : Type   Text : Learning   Disable : Suggestion   Show : AutoCorrection   Disable : Microphone   Show : NoPersonalizedLearning   Disable : AutoStartVoiceInput   Disable : AutoStartEmojiInput   Disable : SimulateDeviceLocked   False : imeActionName   UNSPECIFIED : imeOptions   0 : privateImeOptions   null  IncognitoMode   false  DeviceLocked   false_x000D_
05 08 22:32:03 873  5808  5808 I KeyboardViewUtil: KeyboardViewUtil calculateMaxKeyboardBodyHeight():62 leave 375 height for app when screen height:1920  header height:132 and isFullscreenMode:false  so the max keyboard body height is:1413_x000D_
05 08 22:32:03 898  5808  5808 I KeyboardViewUtil: KeyboardViewUtil calculateMaxKeyboardBodyHeight():62 leave 375 height for app when screen height:1920  header height:132 and isFullscreenMode:false  so the max keyboard body height is:1413_x000D_
05 08 22:32:03 903  5808  5808 W KeyboardModeManager: KeyboardModeManager setInputView():303 setInputView() : inputView   com google android apps inputmethod libs framework core InputView 8d744bc V E             ID 0 0 1080 1848 _x000D_
05 08 22:32:03 903  5808  5808 I NormalModeController: NormalModeController getKeyboardBodyViewHolderPaddingBottom():112 currentPrimeKeyboardType:SOFT systemPaddingBottom: 1_x000D_
05 08 22:32:03 905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22:32:03 905  5808  5808 I AndroidIME: KeyboardViewManager getKeyboardYPosition():719 positionY 0_x000D_
05 08 22:32:03 906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22:32:03 906  5808  5808 I AndroidIME: KeyboardViewManager getKeyboardYPosition():719 positionY 0_x000D_
05 08 22:32:03 906  5808  5808 I AndroidIME: KeyboardViewManager getInputViewBottomGapFromScreen():387 get inputViewBottomGapFromScreen   0 from keyboard size helper _x000D_
05 08 22:32:03 907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22:32:03 909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22:32:03 910  5808  5808 I AndroidIME: KeyboardViewManager getKeyboardYPosition():719 positionY 0_x000D_
05 08 22:32:03 910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22:32:03 911  5808  5808 I AndroidIME: KeyboardViewManager getKeyboardYPosition():719 positionY 0_x000D_
05 08 22:32:03 911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22:32:03 912  5808  5808 I AndroidIME: KeyboardViewManager getKeyboardYPosition():719 positionY 0_x000D_
05 08 22:32:03 912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22:32:03 913  5808  5808 I AndroidIME: KeyboardViewManager getKeyboardYPosition():719 positionY 0_x000D_
05 08 22:32:03 913  5808  5808 W KeyboardModeManager: KeyboardModeManager reloadOrientationAwareData():469 reloadOrientationAwareData() : orientation   1_x000D_
05 08 22:32:03 914  5808  5808 I NormalModeController: NormalModeController getKeyboardBodyViewHolderPaddingBottom():112 currentPrimeKeyboardType:SOFT systemPaddingBottom: 1_x000D_
05 08 22:32:03 917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22:32:03 921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22:32:03 922  5808  5808 W AndroidIME: KeyboardViewManager initializeViews():457 initializeViews() : keyboard full width    1  root view width   1080  measured keyboard height   1848_x000D_
05 08 22:32:03 923  5808  5808 I AndroidIME: KeyboardViewManager updateKeyboardHeaderViewWidth():926 keyboard header ratio:1 000000 body ratio:1 000000_x000D_
05 08 22:32:03 924  5808  5808 I AndroidIME: KeyboardViewManager updateKeyboardHeaderViewWidth():926 keyboard header ratio:1 000000 body ratio:1 000000_x000D_
05 08 22:32:03 924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22:32:03 925  5808  5808 I AndroidIME: KeyboardViewManager getKeyboardYPosition():719 positionY 0_x000D_
05 08 22:32:03 925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22:32:03 925  5808  5808 I AndroidIME: KeyboardViewManager getKeyboardYPosition():719 positionY 0_x000D_
05 08 22:32:03 925  5808  5808 I AndroidIME: KeyboardViewManager getInputViewBottomGapFromScreen():387 get inputViewBottomGapFromScreen   0 from keyboard size helper _x000D_
05 08 22:32:03 925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22:32:03 927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22:32:03 927  5808  5808 I AndroidIME: KeyboardViewManager getKeyboardYPosition():719 positionY 0_x000D_
05 08 22:32:03 927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22:32:03 927  5808  5808 I AndroidIME: KeyboardViewManager getKeyboardYPosition():719 positionY 0_x000D_
05 08 22:32:03 927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22:32:03 928  5808  5808 I AndroidIME: KeyboardViewManager getKeyboardYPosition():719 positionY 0_x000D_
05 08 22:32:03 928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22:32:03 928  5808  5808 I AndroidIME: KeyboardViewManager getKeyboardYPosition():719 positionY 0_x000D_
05 08 22:32:03 931  5808  5808 I VoiceImeExtension: VoiceImeExtension shouldStartVoiceInputAutomatically():353 No private IME option set to start voice input _x000D_
05 08 22:32:03 985  5808  5808 I GoogleInputMethodServic: GoogleInputMethodService onFinishInputView():2310 _x000D_
05 08 22:32:03 987  5808  5808 I AndroidIME: AbstractIme onDeactivate():209 PasswordIme onDeactivate()_x000D_
05 08 22:32:03 991  5808  5808 I GoogleInputMethodServic: GoogleInputMethodService onFinishInput():3362 _x000D_
05 08 22:32:03 992  5808  5808 I GoogleInputMethodServic: GoogleInputMethodService onStartInput():1943 _x000D_
05 08 22:32:03 999  5808  5808 I GoogleInputMethodServic: GoogleInputMethodService onStartInputView():2083 _x000D_
05 08 22:32:04 016  5808  5808 I KeyboardViewUtil: KeyboardViewUtil getKeyboardHeightRatio():166 systemKeyboardHeightRatio:1 000000  userKeyboardHeightRatio:1 000000 _x000D_
05 08 22:32:04 017  5808  5808 I AndroidIME: AbstractIme onActivate():88 DummyIme onActivate() : EditorInfo   Package   org shadowice flocke andotp : Type   Number : Learning   Disable : Suggestion   Hide : AutoCorrection   Disable : Microphone   Hide : NoPersonalizedLearning   Disable : AutoStartVoiceInput   Disable : AutoStartEmojiInput   Disable : SimulateDeviceLocked   False : imeActionName   DONE : imeOptions   6 : privateImeOptions   null  IncognitoMode   false  DeviceLocked   false_x000D_
05 08 22:32:04 032  5808  5808 I KeyboardViewUtil: KeyboardViewUtil calculateMaxKeyboardBodyHeight():62 leave 375 height for app when screen height:1920  header height:132 and isFullscreenMode:false  so the max keyboard body height is:1413_x000D_
05 08 22:32:04 041  5808  5808 W Keyboard: Keyboard getKeyboardViewHelper():628 null helper is returned: keyboardDef KeyboardDef className  latin keyboard LatinNumberKeyboard  id  0x7f0b065d  initialStates 0  keyboardViewDefs  jnd direction LOCALE  id  0x7f0b0139  isScalable false  layoutId  0x7f0e0307  type HEADER  touchable true   jnd direction null  id  0x7f0b0139  isScalable true  layoutId  0x7f0e02f1  type BODY  touchable true    keyTextSizeRatio 1 0  persistentStates 0  persistentStatesPrefKey null  popupBubbleLayoutId  0x7f0e03a1  recentKeyLayoutId  0x0  recentKeyPopupLayoutId  0x0  recentKeyType null  rememberRecentKey NONE  sessionStates 0   type FLOATING CANDIDATES  helpersCreated  jhh 627f910  jhh f481c09  null   _x000D_
05 08 22:32:04 047  5808  5808 W Keyboard: Keyboard getKeyboardViewHelper():628 null helper is returned: keyboardDef KeyboardDef className  latin keyboard LatinNumberKeyboard  id  0x7f0b065d  initialStates 0  keyboardViewDefs  jnd direction LOCALE  id  0x7f0b0139  isScalable false  layoutId  0x7f0e0307  type HEADER  touchable true   jnd direction null  id  0x7f0b0139  isScalable true  layoutId  0x7f0e02f1  type BODY  touchable true    keyTextSizeRatio 1 0  persistentStates 0  persistentStatesPrefKey null  popupBubbleLayoutId  0x7f0e03a1  recentKeyLayoutId  0x0  recentKeyPopupLayoutId  0x0  recentKeyType null  rememberRecentKey NONE  sessionStates 0   type FLOATING CANDIDATES  helpersCreated  jhh 627f910  jhh f481c09  null   _x000D_
05 08 22:32:04 051  5808  5808 W KeyboardModeManager: KeyboardModeManager setInputView():303 setInputView() : inputView   com google android apps inputmethod libs framework core InputView 8d744bc V E             ID 0 0 1080 1848 _x000D_
05 08 22:32:04 052  5808  5808 I NormalModeController: NormalModeController getKeyboardBodyViewHolderPaddingBottom():112 currentPrimeKeyboardType:SOFT systemPaddingBottom: 1_x000D_
05 08 22:32:04 054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22:32:04 055  5808  5808 I AndroidIME: KeyboardViewManager getKeyboardYPosition():719 positionY 0_x000D_
05 08 22:32:04 055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22:32:04 055  5808  5808 I AndroidIME: KeyboardViewManager getKeyboardYPosition():719 positionY 0_x000D_
05 08 22:32:04 055  5808  5808 I AndroidIME: KeyboardViewManager getInputViewBottomGapFromScreen():387 get inputViewBottomGapFromScreen   0 from keyboard size helper _x000D_
05 08 22:32:04 056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22:32:04 059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22:32:04 059  5808  5808 I AndroidIME: KeyboardViewManager getKeyboardYPosition():719 positionY 0_x000D_
05 08 22:32:04 059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22:32:04 059  5808  5808 I AndroidIME: KeyboardViewManager getKeyboardYPosition():719 positionY 0_x000D_
05 08 22:32:04 060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22:32:04 060  5808  5808 I AndroidIME: KeyboardViewManager getKeyboardYPosition():719 positionY 0_x000D_
05 08 22:32:04 060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22:32:04 060  5808  5808 I AndroidIME: KeyboardViewManager getKeyboardYPosition():719 positionY 0_x000D_
05 08 22:32:04 060  5808  5808 W KeyboardModeManager: KeyboardModeManager reloadOrientationAwareData():469 reloadOrientationAwareData() : orientation   1_x000D_
05 08 22:32:04 061  5808  5808 I NormalModeController: NormalModeController getKeyboardBodyViewHolderPaddingBottom():112 currentPrimeKeyboardType:SOFT systemPaddingBottom: 1_x000D_
05 08 22:32:04 066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22:32:04 072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22:32:04 074  5808  5808 W AndroidIME: KeyboardViewManager initializeViews():457 initializeViews() : keyboard full width    1  root view width   1080  measured keyboard height   1848_x000D_
05 08 22:32:04 075  5808  5808 I AndroidIME: KeyboardViewManager updateKeyboardHeaderViewWidth():926 keyboard header ratio:1 000000 body ratio:1 000000_x000D_
05 08 22:32:04 076  5808  5808 I AndroidIME: KeyboardViewManager updateKeyboardHeaderViewWidth():926 keyboard header ratio:1 000000 body ratio:1 000000_x000D_
05 08 22:32:04 078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22:32:04 078  5808  5808 I AndroidIME: KeyboardViewManager getKeyboardYPosition():719 positionY 0_x000D_
05 08 22:32:04 079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22:32:04 079  5808  5808 I AndroidIME: KeyboardViewManager getKeyboardYPosition():719 positionY 0_x000D_
05 08 22:32:04 079  5808  5808 I AndroidIME: KeyboardViewManager getInputViewBottomGapFromScreen():387 get inputViewBottomGapFromScreen   0 from keyboard size helper _x000D_
05 08 22:32:04 079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22:32:04 082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22:32:04 082  5808  5808 I AndroidIME: KeyboardViewManager getKeyboardYPosition():719 positionY 0_x000D_
05 08 22:32:04 083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22:32:04 083  5808  5808 I AndroidIME: KeyboardViewManager getKeyboardYPosition():719 positionY 0_x000D_
05 08 22:32:04 084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22:32:04 084  5808  5808 I AndroidIME: KeyboardViewManager getKeyboardYPosition():719 positionY 0_x000D_
05 08 22:32:04 084  5808  5808 I GoogleInputMethodServic: GoogleInputMethodService 10 getInputViewCoverNavigationHeight():3263 Returns default 0 as the coverNavigationHeight while extendsTouchBelowSpace false decorViewWindowInsets WindowInsets systemWindowInsets Rect(0  0   0  0) windowDecorInsets Rect(0  0   0  0) stableInsets Rect(0  0   0  0) _x000D_
05 08 22:32:04 084  5808  5808 I AndroidIME: KeyboardViewManager getKeyboardYPosition():719 positionY 0_x000D_
05 08 22:32:04 090  5808  5808 I CurrentMicStatusHolder: CurrentMicStatusHolder onStartInputView():79 Current Mic status    MicIconHidden SettingOff MicIconHidden PasswordOrNumberOrDateInputType  _x000D_
05 08 22:32:04 090  5808  5808 I VoiceImeExtension: VoiceImeExtension shouldStartVoiceInputAutomatically():353 No private IME option set to start voice input _x000D_
05 08 22:32:04 173  6912  6912 D BoundBrokerSvc: onBind: Intent   act com google android gms common BIND SHARED PREFS pkg com google android gms  _x000D_
05 08 22:32:04 173  6912  6912 D BoundBrokerSvc: Loading bound service for intent: Intent   act com google android gms common BIND SHARED PREFS pkg com google android gms  _x000D_
05 08 22:32:04 196  6912  6912 D BoundBrokerSvc: onUnbind: Intent   act com google android gms common BIND SHARED PREFS pkg com google android gms  _x000D_
05 08 22:32:04 238  6912  6912 D BoundBrokerSvc: onBind: Intent   act com google android gms common BIND SHARED PREFS pkg com google android gms  _x000D_
05 08 22:32:04 239  6912  6912 D BoundBrokerSvc: Loading bound service for intent: Intent   act com google android gms common BIND SHARED PREFS pkg com google android gms  _x000D_
05 08 22:32:04 257  6912  6912 D BoundBrokerSvc: onUnbind: Intent   act com google android gms common BIND SHARED PREFS pkg com google android gms  _x000D_
05 08 22:32:04 274  6912  6912 D BoundBrokerSvc: onBind: Intent   act com google android gms common BIND SHARED PREFS pkg com google android gms  _x000D_
05 08 22:32:04 274  6912  6912 D BoundBrokerSvc: Loading bound service for intent: Intent   act com google android gms common BIND SHARED PREFS pkg com google android gms  _x000D_
05 08 22:32:04 284  6912  6912 D BoundBrokerSvc: onUnbind: Intent   act com google android gms common BIND SHARED PREFS pkg com google android gms  _x000D_
05 08 22:32:04 320  6912  6912 D BoundBrokerSvc: onBind: Intent   act com google android gms common BIND SHARED PREFS pkg com google android gms  _x000D_
05 08 22:32:04 320  6912  6912 D BoundBrokerSvc: Loading bound service for intent: Intent   act com google android gms common BIND SHARED PREFS pkg com google android gms  _x000D_
05 08 22:32:04 336  6912  6912 D BoundBrokerSvc: onUnbind: Intent   act com google android gms common BIND SHARED PREFS pkg com google android gms  _x000D_
05 08 22:32:04 399  5804  5804 D wpa supplicant: wlan0: Control interface command  SIGNAL POLL _x000D_
05 08 22:32:04 414  5804  5804 D wpa supplicant: CTRL DEBUG: global ctrl sock sendto: sock 8 sndbuf 163840 outq 0 send len 48_x000D_
05 08 22:32:06 734  4043  4899 D audio hw primary: out standby: enter: stream (0xaa644140) usecase(1: low latency playback)_x000D_
05 08 22:32:06 771  4043  4899 D audio hw primary: disable audio route: reset and update mixer path: low latency playback_x000D_
05 08 22:32:06 778  4043  4899 D soundtrigger: audio extn sound trigger update stream status: uc id 1 of type 0 for Event 2  with Raise 0_x000D_
05 08 22:32:06 778  4043  4899 D hardware info: hw info append hw type : device name   speaker_x000D_
05 08 22:32:06 778  4043  4899 D audio hw primary: disable snd device: snd device(2: speaker)_x000D_
05 08 22:32:06 809  4043  4899 I soundtrigger: audio extn sound trigger update device status: device 0x2 of type 0 for Event 0  with Raise 0_x000D_
05 08 22:32:07 009  5808  6029 W LatinCommonCountersMetr: LatinCommonCountersMetricsProcessor DelightProblemReporter run():773 Missing LM for  es _x000D_
05 08 22:32:07 422  5804  5804 D wpa supplicant: wlan0: Control interface command  SIGNAL POLL _x000D_
05 08 22:32:07 433  5804  5804 D wpa supplicant: CTRL DEBUG: global ctrl sock sendto: sock 8 sndbuf 163840 outq 0 send len 48_x000D_
05 08 22:32:10 442  5804  5804 D wpa supplicant: wlan0: Control interface command  SIGNAL POLL _x000D_
05 08 22:32:10 455  5804  5804 D wpa supplicant: CTRL DEBUG: global ctrl sock sendto: sock 8 sndbuf 163840 outq 0 send len 48_x000D_
05 08 22:32:11 884  5808  5808 I GoogleInputMethodServic: GoogleInputMethodService onFinishInputView():2310 _x000D_
05 08 22:32:11 886  5808  5808 I AndroidIME: AbstractIme onDeactivate():209 DummyIme onDeactivate()_x000D_
05 08 22:32:11 896  5808  6029 W DeferredProtoXDBCacheFl: Def</t>
  </si>
  <si>
    <t>LSPosed-LSPosed-553</t>
  </si>
  <si>
    <t>[BUG] NullPointerException in manager</t>
  </si>
  <si>
    <t xml:space="preserve">    _x000D_
                                  Xposed     Magisk   _x000D_
If you encountered boot loop  please make sure you have disabled all unrelated Xposed and Magisk modules before submit an issue_x000D_
_x000D_
            _x000D_
In any case  the title should be in English_x000D_
   _x000D_
_x000D_
       What happened   _x000D_
Manager sometimes crashes when changing search term in app list  (I think when I change search while app list is already being updated  but this doesn t cause crash every time  so I m not sure)_x000D_
    _x000D_
           _x000D_
Such as bootloop  module not loaded  etc_x000D_
   _x000D_
_x000D_
  Xposed     Xposed Module List  _x000D_
    _x000D_
                                                  _x000D_
If a module not working  please narrow down which specific module not working _x000D_
Mostly we can t help with module specific issue  please contact their author first _x000D_
   _x000D_
_x000D_
  Magisk     Magisk Module List  _x000D_
_x000D_
_x000D_
       Versions  _x000D_
_x000D_
Android:_x000D_
POSP Android 11_x000D_
_x000D_
Magisk:_x000D_
22104 Canary_x000D_
_x000D_
Riru:_x000D_
v25 4 4_x000D_
_x000D_
LSPosed:_x000D_
Framework v1 3 5 (5601)_x000D_
Manager v1 3 5 (5604)_x000D_
_x000D_
       Related Logs  _x000D_
Preceding exception in logcat:_x000D_
_x000D_
  An exception occured during performFiltering() _x000D_
  java util ConcurrentModificationException_x000D_
  	at java util ArrayList Itr next(ArrayList java:860)_x000D_
  	at Bk d performFiltering(:4)_x000D_
  	at android widget Filter RequestHandler handleMessage(Filter java:236)_x000D_
  	at android os Handler dispatchMessage(Handler java:106)_x000D_
  	at android os Looper loop(Looper java:223)_x000D_
  	at android os HandlerThread run(HandlerThread java:67)_x000D_
_x000D_
Crash log:_x000D_
  Build version: v1 3 5 (5604) _x000D_
  Current date: 2021 05 08 19:37:28 _x000D_
  Device: Xiaomi Redmi Note 8 Pro _x000D_
   _x000D_
  SDK: 30 _x000D_
   _x000D_
  Stack trace:  _x000D_
  java lang NullPointerException: Attempt to invoke interface method  java lang Object   java util Collection toArray()  on a null object reference_x000D_
   at java util ArrayList addAll(ArrayList java:588)_x000D_
   at Bk d publishResults(:4)_x000D_
   at android widget Filter ResultsHandler handleMessage(Filter java:284)_x000D_
   at android os Handler dispatchMessage(Handler java:106)_x000D_
   at android os Looper loop(Looper java:223)_x000D_
   at android app ActivityThread main(ActivityThread java:7660)_x000D_
   at java lang reflect Method invoke(Native Method)_x000D_
   at com android internal os RuntimeInit MethodAndArgsCaller run(RuntimeInit java:594)_x000D_
   at com android internal os ZygoteInit main(ZygoteInit java:947)_x000D_
_x000D_
    _x000D_
_x000D_
               debug   LSPosed       _x000D_
Please capture log with debug version  otherwise it won t help us locating the issue_x000D_
   _x000D_
</t>
  </si>
  <si>
    <t>LSPosed-LSPosed-550</t>
  </si>
  <si>
    <t>[BUG] IndexOutOfBoundsException</t>
  </si>
  <si>
    <t xml:space="preserve">    _x000D_
                                  Xposed     Magisk   _x000D_
If you encountered boot loop  please make sure you have disabled all unrelated Xposed and Magisk modules before submit an issue_x000D_
_x000D_
            _x000D_
In any case  the title should be in English_x000D_
   _x000D_
_x000D_
       What happened   _x000D_
The LSPosed Manager will crash when I sellect the  system app _x000D_
    _x000D_
           _x000D_
Such as bootloop  module not loaded  etc_x000D_
   _x000D_
_x000D_
  Xposed     Xposed Module List  _x000D_
    _x000D_
                                                  _x000D_
If a module not working  please narrow down which specific module not working _x000D_
Mostly we can t help with module specific issue  please contact their author first _x000D_
   _x000D_
_x000D_
_x000D_
  Magisk     Magisk Module List  _x000D_
_x000D_
_x000D_
       Versions  _x000D_
_x000D_
Android:_x000D_
_x000D_
Magisk:_x000D_
_x000D_
Riru:_x000D_
_x000D_
LSPosed:_x000D_
_x000D_
       Related Logs  _x000D_
Build version: v1 3 5 (5551) _x000D_
Current date: 2021 05 08 15:45:23 _x000D_
Device: Xiaomi MI 8 _x000D_
 _x000D_
SDK: 29 _x000D_
 _x000D_
Stack trace:  _x000D_
java lang IndexOutOfBoundsException: Inconsistency detected  Invalid view holder adapter positione 9d96af2 position 131 id 2101830649  oldPos  1  pLpos: 1 no parent  rikka widget borderview BorderRecyclerView cbe6b79 VFED               0 0 1080 1832  7f090174 app:id 0 resource name obfuscated   adapter:tl a68d0be  layout:org lsposed manager util LinearLayoutManagerFix f2ef51f  context:org lsposed manager ui activity AppListActivity b387796_x000D_
 at androidx recyclerview widget RecyclerView s k(:33)_x000D_
 at androidx recyclerview widget m c(:2)_x000D_
 at androidx recyclerview widget m b(:3)_x000D_
 at androidx recyclerview widget m run(:6)_x000D_
 at android os Handler handleCallback(Handler java:883)_x000D_
 at android os Handler dispatchMessage(Handler java:100)_x000D_
 at android os Looper loop(Looper java:224)_x000D_
 at android app ActivityThread main(ActivityThread java:7562)_x000D_
 at java lang reflect Method invoke(Native_x000D_
    _x000D_
               debug   LSPosed       _x000D_
Please capture log with debug version  otherwise it won t help us locating the issue_x000D_
   _x000D_
       20210508155535 (https:  user images githubusercontent com 65964332 117531610 db00da00 b015 11eb 89fe a3904762b9ee jpg)_x000D_
_x000D_
</t>
  </si>
  <si>
    <t>TeamNewPipe-NewPipe-6255</t>
  </si>
  <si>
    <t>Some equalizer apps wouldn't work (e.g Poweramp Equalizer)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</si>
  <si>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When using this equalizer app it usually works on previous versions of Newpipe but now isn t compatible with the new version_x000D_
_x000D_
_x000D_
    Actual behaviour_x000D_
     Tell us what happens with the steps given above     _x000D_
_x000D_
_x000D_
_x000D_
    Expected behavior_x000D_
     Tell us what you expect to happen     _x000D_
Be compatible with the latest version_x000D_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11_x000D_
   Device model: Oppo Reno 10x Zoom_x000D_
</t>
  </si>
  <si>
    <t>Anuken-Mindustry-5219</t>
  </si>
  <si>
    <t>Non sharded fortress cannot shoot over blocks</t>
  </si>
  <si>
    <t xml:space="preserve">  Platform  :  Android iOS Mac Windows Linux _x000D_
_x000D_
Steam windows_x000D_
_x000D_
  Build  :  The build number under the title in the main menu  Required   LATEST  IS NOT A VERSION  I NEED THE EXACT BUILD NUMBER OF YOUR GAME  _x000D_
_x000D_
126 2_x000D_
_x000D_
  Issue  :  Explain your issue in detail  _x000D_
_x000D_
When commanding fortress units that are not on sharded team and attempting to fire over walls  the projectiles explode on the nearest wall  conveyor  etc instead of going over it and acting like an artillery shot _x000D_
_x000D_
  Steps to reproduce  :  How you happened across the issue  and what exactly you did to make the bug happen  _x000D_
_x000D_
Have a wall or obstruction  be commanding a fortress unit that is NOT on sharded team and attempt to fire past the wall _x000D_
_x000D_
Either be in a pvp match or use the mods below to switch teams  if you cant do it yourself already _x000D_
_x000D_
  Link(s) to mod(s) used  :  The mod repositories or zip files that are related to the issue  if applicable  _x000D_
_x000D_
https:  github com MEEPofFaith testing utilities_x000D_
https:  github com MEEPofFaith TimeControl_x000D_
https:  github com MEEPofFaith unit factory_x000D_
https:  github com DeltaNedas ui lib_x000D_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fortress zip (https:  github com Anuken Mindustry files 6443352 fortress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much crashing evry tiem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</si>
  <si>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Anuken-Mindustry-5218</t>
  </si>
  <si>
    <t>part of schematic disappears when clearing space (video)</t>
  </si>
  <si>
    <t xml:space="preserve">  Platform  :  Mac and maybe more _x000D_
_x000D_
  Build  :  126 2_x000D_
_x000D_
  Issue  :  when i place schematic over things and delete the things blocking it but it removes part of schematic _x000D_
_x000D_
  Steps to reproduce  :  place something then try to place schematic over it and try to clear the things block it but then it will make the schematic disappear  _x000D_
_x000D_
  Link(s) to mod(s) used  :  none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 i put a closed report tho) _x000D_
_x000D_
https:  user images githubusercontent com 83832266 117480955 867b3300 af1f 11eb 84da fc7008f3e150 mp4_x000D_
_x000D_
_x000D_
     _x000D_
</t>
  </si>
  <si>
    <t>Anuken-Mindustry-5217</t>
  </si>
  <si>
    <t>Schematic disappears when clearing space</t>
  </si>
  <si>
    <t xml:space="preserve">  Platform  :  mac and maybe others _x000D_
_x000D_
  Build  :  build 126 2  _x000D_
_x000D_
  Issue  :  part of schematic deletes when clearing space for schematic _x000D_
_x000D_
  Steps to reproduce  :  try to place schematic then delete some blocks that are already placed and part of schematic is removed _x000D_
_x000D_
  Link(s) to mod(s) used  :  none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https:  user images githubusercontent com 83832266 117480642 19679d80 af1f 11eb 92b0 37a860b73f04 mp4_x000D_
_x000D_
</t>
  </si>
  <si>
    <t>dariuszseweryn-RxAndroidBle-749</t>
  </si>
  <si>
    <t>Library crashes when no MAC address specified in ScanFilter</t>
  </si>
  <si>
    <t xml:space="preserve">  Describe the bug  _x000D_
Application crash when try scan devices when ScanFilter has  null  device mac address_x000D_
_x000D_
  To Reproduce  _x000D_
Steps to reproduce the behavior:_x000D_
1  Create a  ScanFilter  and don t specify device mac address_x000D_
2  Perform  RxBleClient scanBleDevices(   ) _x000D_
3   NullPointerException  occurs_x000D_
_x000D_
  Expected behavior  _x000D_
Application start scanning bluetooth devices_x000D_
_x000D_
  Smartphone (please complete the following information):  _x000D_
   Device: Google Pixel 4XL_x000D_
   OS: Android 12 Developer Preview 3_x000D_
   Library version: 1 12 1_x000D_
 _x000D_
  Exception stacktrace  _x000D_
_x000D_
   _x000D_
java lang NullPointerException_x000D_
    at com android internal util Preconditions checkNotNull(Preconditions java:147)_x000D_
    at android bluetooth le ScanFilter Builder setDeviceAddressInternal(ScanFilter java:678)_x000D_
    at android bluetooth le ScanFilter Builder setDeviceAddress(ScanFilter java:615)_x000D_
    at android bluetooth le ScanFilter Builder setDeviceAddress(ScanFilter java:590)_x000D_
    at com polidea rxandroidble2 internal scan AndroidScanObjectsConverter toNative(AndroidScanObjectsConverter java:71)_x000D_
    at com polidea rxandroidble2 internal scan AndroidScanObjectsConverter toNativeFilters(AndroidScanObjectsConverter java:56)_x000D_
    at com polidea rxandroidble2 internal operations ScanOperationApi21 startScan(ScanOperationApi21 java:117)_x000D_
    at com polidea rxandroidble2 internal operations ScanOperationApi21 startScan(ScanOperationApi21 java:28)_x000D_
    at com polidea rxandroidble2 internal operations ScanOperation protectedRun(ScanOperation java:43)_x000D_
    at com polidea rxandroidble2 internal QueueOperation 1 subscribe(QueueOperation java:41)_x000D_
    at io reactivex internal operators observable ObservableCreate subscribeActual(ObservableCreate java:40)_x000D_
    at io reactivex Observable subscribe(Observable java:12284)_x000D_
    at io reactivex internal operators observable ObservableUnsubscribeOn subscribeActual(ObservableUnsubscribeOn java:32)_x000D_
    at io reactivex Observable subscribe(Observable java:12284)_x000D_
    at com polidea rxandroidble2 internal serialization FIFORunnableEntry 1 run(FIFORunnableEntry java:56)_x000D_
    at io reactivex internal schedulers ScheduledDirectTask call(ScheduledDirectTask java:38)_x000D_
    at io reactivex internal schedulers ScheduledDirectTask call(ScheduledDirectTask java:26)_x000D_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java:920)_x000D_
   _x000D_
_x000D_
  Additional context  _x000D_
The issue is related to OS only and should not be realted to device of library version (at least few last ones)_x000D_
The problem here is inside  AndroidScanObjectsConverter toNative(scanFilter) _x000D_
As the  Device Address  inside  ScanFilter  is  null   the sdk s  ScanFilter Builder  verifies that the value is not null and throws exception  _x000D_
 toNative()  method should set only  not null  values to the builder  Seems that  null  chedking was added in Android 12 DP 3_x000D_
</t>
  </si>
  <si>
    <t>TeamNewPipe-NewPipe-6253</t>
  </si>
  <si>
    <t>Why popup player closes when Mini player closes? Is able to separate these two players?</t>
  </si>
  <si>
    <t>Anuken-Mindustry-5214</t>
  </si>
  <si>
    <t>Community servers list not coming on linux(installed via snap), while on android its working</t>
  </si>
  <si>
    <t>PojavLauncherTeam-PojavLauncher-1343</t>
  </si>
  <si>
    <t>[BUG] &lt;1.13 won't launch.&gt;</t>
  </si>
  <si>
    <t xml:space="preserve">I just recently downloaded 1 13  and it just crashed 
Latestlog and latestcrash
https:  www mediafire com file mivaq7i54wadmfh fix my prob pls zip file
pls fix I just wanna swim in lava in 2p2j
</t>
  </si>
  <si>
    <t>cgeo-cgeo-10550</t>
  </si>
  <si>
    <t>Crash when/after invoking Google Maps navigation</t>
  </si>
  <si>
    <t xml:space="preserve">     Fill in the following form by adding your text below the explanation comments     _x000D_
     You can use the preview tab above to review your issue before submitting it     _x000D_
_x000D_
   Bug description _x000D_
     Enter a summarized description of what the bug problem is  that you found    _x000D_
Reported by a beta user on support mail _x000D_
_x000D_
_x000D_
   Reproduce _x000D_
    Steps to reproduce the problem_x000D_
     Describe step by step how to reproduce the problem    _x000D_
  Open cache details of a cache_x000D_
  Select Navigation    Navigation (Driving)_x000D_
_x000D_
_x000D_
    Actual result after these steps _x000D_
     Describe the actual issue problem behavior in detail  which happens after the steps above    _x000D_
Bounces back to cache details page and often crashes directly after_x000D_
_x000D_
    Expected result after these steps _x000D_
     Describe what you expected to happen instead (correct behavior)    _x000D_
Navigation app should be started_x000D_
_x000D_
   c:geo version _x000D_
     You will find the c:geo version in c:geo Menu    About c:geo    _x000D_
2021 05 05 RC_x000D_
_x000D_
   Reproducible _x000D_
     Yes   No (or describe under what conditions)    _x000D_
Yes  for the affected user  but not for me _x000D_
_x000D_
   System information _x000D_
     Attach system information here if available (see c:geo Menu    About c:geo    Swipe right to System)    _x000D_
     Keep the apostrophe at beginning and end to have it properly formatted    _x000D_
_x000D_
_x000D_
   _x000D_
    System information    _x000D_
c:geo version: 2021 05 05 RC_x000D_
_x000D_
Device:_x000D_
       _x000D_
  Device type: Pixel 4 XL (coral  google)_x000D_
  Available processors: 8_x000D_
  Android version: 11_x000D_
  Android build: RQ2A 210405 005_x000D_
  Sailfish OS detected: false_x000D_
  Google Play services: disabled   21 15 15 (150400 371058782)_x000D_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orientation_x000D_
_x000D_
Program settings:_x000D_
       _x000D_
  Hide caches: own found disabled archived_x000D_
  Hide waypoints:  _x000D_
  Set language: en US (system default)_x000D_
  System date format: M d yy_x000D_
  Debug mode active: no_x000D_
  Live map mode: true_x000D_
  OSM multi threading: true   threads: 4_x000D_
  Global filter: display all caches_x000D_
  Last backup: Apr 29  7:16 PM_x000D_
  Routing mode: Walk_x000D_
 Settings: v5  Count:154_x000D_
  Map: CyclOSM_x000D_
    Id: cgeo geocaching maps mapsforge MapsforgeMapProvider CyclosmMapSource_x000D_
    Atts: CyclOSM  map data OpenStreetMap contributors_x000D_
    Theme: none_x000D_
_x000D_
Services:_x000D_
       _x000D_
  Geocaching sites enabled:_x000D_
   geocaching com: Logged in (Login OK)   PREMIUM_x000D_
   Geocaching com Adventure Lab_x000D_
  Geocaching com date format: MM dd yyyy_x000D_
  Routing: external   BRouter installed: false_x000D_
  Installed c:geo plugins:  none_x000D_
_x000D_
Permissions   paths:_x000D_
       _x000D_
  Fine location permission: granted_x000D_
  Write external storage permission: granted_x000D_
  System internal c:geo dir:  data user 0 cgeo geocaching (50 4 GB free) v2 internal isDir(9 entries)_x000D_
  Legacy User storage c:geo dir:  storage emulated 0 cgeo (50 4 GB free) v2 external non removable isDir(7 entries)_x000D_
  Geocache data:  storage emulated 0 Android data cgeo geocaching files GeocacheData (50 4 GB free) v2 external non removable isDir(908 entries)_x000D_
  Internal theme sync (is turned off):  data user 0 cgeo geocaching MapThemeData (50 4 GB free) v2 internal isDir(0 entries)_x000D_
  Public Folders:  11_x000D_
    BASE:  cgeo (User Defined)  cgeo DOCUMENT 0:p content:  com android externalstorage documents tree primary 3Acgeo::   (Uri: content:  com android externalstorage documents tree primary 3Acgeo document primary 3Acgeo  Av:true  files:  5  dirs:  9  totalFileSize:  814 5 MB  free space: 50 4 GB  files on device: 13511677)_x000D_
    OFFLINE MAPS:  cgeo maps (Default)  cgeo maps PERSISTABLE FOLDER(BASE) 1:p content:  com android externalstorage documents tree primary 3Acgeo:: maps   (Uri: content:  com android externalstorage documents tree primary 3Acgeo document primary 3Acgeo 2Fmaps  Av:true  files:2  dirs:1  totalFileSize:773 5 MB  free space: 50 4 GB  files on device: 13511677)_x000D_
    OFFLINE MAP THEMES:  cgeo maps  themes (Default)  cgeo maps  themes PERSISTABLE FOLDER(OFFLINE MAPS) 1:p content:  com android externalstorage documents tree primary 3Acgeo:: maps  themes   (Uri: content:  com android externalstorage documents tree primary 3Acgeo document primary 3Acgeo 2Fmaps 2F themes  Av:true  files:0  dirs:0  totalFileSize:0 B  free space: 50 4 GB  files on device: 13511677)_x000D_
    LOGFILES:  cgeo logfiles (Default)  cgeo logfiles PERSISTABLE FOLDER(BASE) 1:p content:  com android externalstorage documents tree primary 3Acgeo:: logfiles   (Uri: content:  com android externalstorage documents tree primary 3Acgeo document primary 3Acgeo 2Flogfiles  Av:true  files:1  dirs:0  totalFileSize:44 7 KB  free space: 50 4 GB  files on device: 13511677)_x000D_
    GPX:  cgeo gpx (Default)  cgeo gpx PERSISTABLE FOLDER(BASE) 1:p content:  com android externalstorage documents tree primary 3Acgeo:: gpx   (Uri: content:  com android externalstorage documents tree primary 3Acgeo document primary 3Acgeo 2Fgpx  Av:true  files:0  dirs:0  totalFileSize:0 B  free space: 50 4 GB  files on device: 13511677)_x000D_
    BACKUP:  cgeo backup (Default)  cgeo backup PERSISTABLE FOLDER(BASE) 1:p content:  com android externalstorage documents tree primary 3Acgeo:: backup   (Uri: content:  com android externalstorage documents tree primary 3Acgeo document primary 3Acgeo 2Fbackup  Av:true  files:2  dirs:1  totalFileSize:41 0 MB  free space: 50 4 GB  files on device: 13511677)_x000D_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files:0  dirs:0  totalFileSize:0 B  free space: 50 4 GB  files on device: 13511677)_x000D_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50 4 GB  files on device: 13511677)_x000D_
    ROUTING BASE:  cgeo routing (Default)  cgeo routing PERSISTABLE FOLDER(BASE) 1:p content:  com android externalstorage documents tree primary 3Acgeo:: routing   (Uri: content:  com android externalstorage documents tree primary 3Acgeo document primary 3Acgeo 2Frouting  Av:true  files:0  dirs:1  totalFileSize:0 B  free space: 50 4 GB  files on device: 13511677)_x000D_
    ROUTING TILES:  cgeo routing segments4 (Default)  cgeo routing segments4 PERSISTABLE FOLDER(ROUTING BASE) 1:p content:  com android externalstorage documents tree primary 3Acgeo:: routing segments4   (Uri: content:  com android externalstorage documents tree primary 3Acgeo document primary 3Acgeo 2Frouting 2Fsegments4  Av:true  files:0  dirs:0  totalFileSize:0 B  free space: 50 4 GB  files on device: 13511677)_x000D_
    TEST FOLDER:  Legacy  data user 0 cgeo geocaching files unittest (Default)  data user 0 cgeo geocaching files unittest FILE 1:p file:   data user 0 cgeo geocaching files:: unittest   (Uri: file:   data user 0 cgeo geocaching files unittest  Av:true  files:0  dirs:0  totalFileSize:0 B  free space: 50 4 GB  files on device:  1)_x000D_
  Map render theme path:_x000D_
  PersistedDocumentUris:  1_x000D_
  TRACK: null_x000D_
  Persisted Uri Permissions:  1_x000D_
    content:  com android externalstorage documents tree primary 3Acgeo (Mar 19  1:06 PM):RW_x000D_
  Database:  data user 0 cgeo geocaching databases data (v94  Size:41 3 MB) on system internal storage_x000D_
    End of system information    _x000D_
   _x000D_
_x000D_
   Additional context _x000D_
     (optional  remove if not applicable) log files  reference to other similar issues  projects  sources  etc     _x000D_
Log file contains:_x000D_
   _x000D_
          beginning of crash_x000D_
05 06 13:30:10 923 22816 22816 E AndroidRuntime: FATAL EXCEPTION: main_x000D_
05 06 13:30:10 923 22816 22816 E AndroidRuntime: Process: cgeo geocaching  PID: 22816_x000D_
05 06 13:30:10 923 22816 22816 E AndroidRuntime: android view InflateException: Binary XML file line  2 in cgeo geocaching:layout cacheslist item select: Binary XML file line  2 in cgeo geocaching:layout cacheslist item select: Error inflating class  unknown _x000D_
05 06 13:30:10 923 22816 22816 E AndroidRuntime: Caused by: android view InflateException: Binary XML file line  2 in cgeo geocaching:layout cacheslist item select: Error inflating class  unknown _x000D_
05 06 13:30:10 923 22816 22816 E AndroidRuntime: Caused by: java lang reflect InvocationTargetException_x000D_
05 06 13:30:10 923 22816 22816 E AndroidRuntime: 	at java lang reflect Constructor newInstance0(Native Method)_x000D_
05 06 13:30:10 923 22816 22816 E AndroidRuntime: 	at java lang reflect Constructor newInstance(Constructor java:343)_x000D_
05 06 13:30:10 923 22816 22816 E AndroidRuntime: 	at android view LayoutInflater createView(LayoutInflater java:852)_x000D_
05 06 13:30:10 923 22816 22816 E AndroidRuntime: 	at android view LayoutInflater createView(LayoutInflater java:774)_x000D_
05 06 13:30:10 923 22816 22816 E AndroidRuntime: 	at com android internal policy PhoneLayoutInflater onCreateView(PhoneLayoutInflater java:58)_x000D_
05 06 13:30:10 923 22816 22816 E AndroidRuntime: 	at android view LayoutInflater onCreateView(LayoutInflater java:928)_x000D_
05 06 13:30:10 923 22816 22816 E AndroidRuntime: 	at android view LayoutInflater onCreateView(LayoutInflater java:948)_x000D_
05 06 13:30:10 923 22816 22816 E AndroidRuntime: 	at android view LayoutInflater createViewFromTag(LayoutInflater java:1002)_x000D_
05 06 13:30:10 923 22816 22816 E AndroidRuntime: 	at android view LayoutInflater createViewFromTag(LayoutInflater java:959)_x000D_
05 06 13:30:10 923 22816 22816 E AndroidRuntime: 	at android view LayoutInflater inflate(LayoutInflater java:657)_x000D_
05 06 13:30:10 923 22816 22816 E AndroidRuntime: 	at android view LayoutInflater inflate(LayoutInflater java:532)_x000D_
05 06 13:30:10 923 22816 22816 E AndroidRuntime: 	at cgeo geocaching apps navi GoogleNavigationApp GoogleNavigationDrivingApp 1 getView(GoogleNavigationApp java:95)_x000D_
05 06 13:30:10 923 22816 22816 E AndroidRuntime: 	at android widget AbsListView obtainView(AbsListView java:2387)_x000D_
05 06 13:30:10 923 22816 22816 E AndroidRuntime: 	at android widget ListView measureHeightOfChildren(ListView java:1417)_x000D_
05 06 13:30:10 923 22816 22816 E AndroidRuntime: 	at android widget ListView onMeasure(ListView java:1323)_x000D_
05 06 13:30:10 923 22816 22816 E AndroidRuntime: 	at android view View measure(View java:25466)_x000D_
05 06 13:30:10 923 22816 22816 E AndroidRuntime: 	at android view ViewGroup measureChildWithMargins(ViewGroup java:6957)_x000D_
05 06 13:30:10 923 22816 22816 E AndroidRuntime: 	at android widget FrameLayout onMeasure(FrameLayout java:194)_x000D_
05 06 13:30:10 923 22816 22816 E AndroidRuntime: 	at android view View measure(View java:25466)_x000D_
05 06 13:30:10 923 22816 22816 E AndroidRuntime: 	at com android internal widget AlertDialogLayout tryOnMeasure(AlertDialogLayout java:146)_x000D_
05 06 13:30:10 923 22816 22816 E AndroidRuntime: 	at com android internal widget AlertDialogLayout onMeasure(AlertDialogLayout java:71)_x000D_
05 06 13:30:10 923 22816 22816 E AndroidRuntime: 	at android view View measure(View java:25466)_x000D_
05 06 13:30:10 923 22816 22816 E AndroidRuntime: 	at android view ViewGroup measureChildWithMargins(ViewGroup java:6957)_x000D_
05 06 13:30:10 923 22816 22816 E AndroidRuntime: 	at android widget FrameLayout onMeasure(FrameLayout java:194)_x000D_
05 06 13:30:10 923 22816 22816 E AndroidRuntime: 	at android view View measure(View java:25466)_x000D_
05 06 13:30:10 923 22816 22816 E AndroidRuntime: 	at android view ViewGroup measureChildWithMargins(ViewGroup java:6957)_x000D_
05 06 13:30:10 923 22816 22816 E AndroidRuntime: 	at android widget FrameLayout onMeasure(FrameLayout java:194)_x000D_
05 06 13:30:10 923 22816 22816 E AndroidRuntime: 	at android view View measure(View java:25466)_x000D_
05 06 13:30:10 923 22816 22816 E AndroidRuntime: 	at android view ViewGroup measureChildWithMargins(ViewGroup java:6957)_x000D_
05 06 13:30:10 923 22816 22816 E AndroidRuntime: 	at android widget FrameLayout onMeasure(FrameLayout java:194)_x000D_
05 06 13:30:10 923 22816 22816 E AndroidRuntime: 	at com android internal policy DecorView onMeasure(DecorView java:747)_x000D_
05 06 13:30:10 923 22816 22816 E AndroidRuntime: 	at android view View measure(View java:25466)_x000D_
05 06 13:30:10 923 22816 22816 E AndroidRuntime: 	at android view ViewRootImpl performMeasure(ViewRootImpl java:3402)_x000D_
05 06 13:30:10 923 22816 22816 E AndroidRuntime: 	at android view ViewRootImpl measureHierarchy(ViewRootImpl java:2219)_x000D_
05 06 13:30:10 923 22816 22816 E AndroidRuntime: 	at android view ViewRootImpl performTraversals(ViewRootImpl java:2504)_x000D_
05 06 13:30:10 923 22816 22816 E AndroidRuntime: 	at android view ViewRootImpl doTraversal(ViewRootImpl java:1948)_x000D_
05 06 13:30:10 923 22816 22816 E AndroidRuntime: 	at android view ViewRootImpl TraversalRunnable run(ViewRootImpl java:8177)_x000D_
05 06 13:30:10 923 22816 22816 E AndroidRuntime: 	at android view Choreographer CallbackRecord run(Choreographer java:972)_x000D_
05 06 13:30:10 923 22816 22816 E AndroidRuntime: 	at android view Choreographer doCallbacks(Choreographer java:796)_x000D_
05 06 13:30:10 923 22816 22816 E AndroidRuntime: 	at android view Choreographer doFrame(Choreographer java:731)_x000D_
05 06 13:30:10 923 22816 22816 E AndroidRuntime: 	at android view Choreographer FrameDisplayEventReceiver run(Choreographer java:957)_x000D_
05 06 13:30:10 923 22816 22816 E AndroidRuntime: 	at android os Handler handleCallback(Handler java:938)_x000D_
05 06 13:30:10 923 22816 22816 E AndroidRuntime: 	at android os Handler dispatchMessage(Handler java:99)_x000D_
05 06 13:30:10 923 22816 22816 E AndroidRuntime: 	at android os Looper loop(Looper java:223)_x000D_
05 06 13:30:10 923 22816 22816 E AndroidRuntime: 	at android app ActivityThread main(ActivityThread java:7660)_x000D_
05 06 13:30:10 923 22816 22816 E AndroidRuntime: 	at java lang reflect Method invoke(Native Method)_x000D_
05 06 13:30:10 923 22816 22816 E AndroidRuntime: 	at com android internal os RuntimeInit MethodAndArgsCaller run(RuntimeInit java:592)_x000D_
05 06 13:30:10 923 22816 22816 E AndroidRuntime: 	at com android internal os ZygoteInit main(ZygoteInit java:947)_x000D_
05 06 13:30:10 923 22816 22816 E AndroidRuntime: Caused by: java lang UnsupportedOperationException: Failed to resolve attribute at index 13: TypedValue t 0x2 d 0x7f040048 a  1 _x000D_
05 06 13:30:10 923 22816 22816 E AndroidRuntime: 	at android content res TypedArray getDrawableForDensity(TypedArray java:997)_x000D_
05 06 13:30:10 923 22816 22816 E AndroidRuntime: 	at android content res TypedArray getDrawable(TypedArray java:981)_x000D_
05 06 13:30:10 923 22816 22816 E AndroidRuntime: 	at android view View  init (View java:5535)_x000D_
05 06 13:30:10 923 22816 22816 E AndroidRuntime: 	at android view ViewGroup  init (ViewGroup java:697)_x000D_
05 06 13:30:10 923 22816 22816 E AndroidRuntime: 	at android widget RelativeLayout  init (RelativeLayout java:255)_x000D_
05 06 13:30:10 923 22816 22816 E AndroidRuntime: 	at android widget RelativeLayout  init (RelativeLayout java:251)_x000D_
05 06 13:30:10 923 22816 22816 E AndroidRuntime: 	at android widget RelativeLayout  init (RelativeLayout java:247)_x000D_
05 06 13:30:10 923 22816 22816 E AndroidRuntime: 	    48 more_x000D_
05 06 13:30:26 010  7152  7152 E AndroidRuntime: FATAL EXCEPTION: main_x000D_
05 06 13:30:26 010  7152  7152 E AndroidRuntime: Process: cgeo geocaching  PID: 7152_x000D_
05 06 13:30:26 010  7152  7152 E AndroidRuntime: android view InflateException: Binary XML file line  2 in cgeo geocaching:layout cacheslist item select: Binary XML file line  2 in cgeo geocaching:layout cacheslist item select: Error inflating class  unknown _x000D_
05 06 13:30:26 010  7152  7152 E AndroidRuntime: Caused by: android view InflateException: Binary XML file line  2 in cgeo geocaching:layout cacheslist item select: Error inflating class  unknown _x000D_
05 06 13:30:26 010  7152  7152 E AndroidRuntime: Caused by: java lang reflect InvocationTargetException_x000D_
05 06 13:30:26 010  7152  7152 E AndroidRuntime: 	at java lang reflect Constructor newInstance0(Native Method)_x000D_
05 06 13:30:26 010  7152  7152 E AndroidRuntime: 	at java lang reflect Constructor newInstance(Constructor java:343)_x000D_
05 06 13:30:26 010  7152  7152 E AndroidRuntime: 	at android view LayoutInflater createView(LayoutInflater java:852)_x000D_
05 06 13:30:26 010  7152  7152 E AndroidRuntime: 	at android view LayoutInflater createView(LayoutInflater java:774)_x000D_
05 06 13:30:26 010  7152  7152 E AndroidRuntime: 	at com android internal policy PhoneLayoutInflater onCreateView(PhoneLayoutInflater java:58)_x000D_
05 06 13:30:26 010  7152  7152 E AndroidRuntime: 	at android view LayoutInflater onCreateView(LayoutInflater java:928)_x000D_
05 06 13:30:26 010  7152  7152 E AndroidRuntime: 	at android view LayoutInflater onCreateView(LayoutInflater java:948)_x000D_
05 06 13:30:26 010  7152  7152 E AndroidRuntime: 	at android view LayoutInflater createViewFromTag(LayoutInflater java:1002)_x000D_
05 06 13:30:26 010  7152  7152 E AndroidRuntime: 	at android view LayoutInflater createViewFromTag(LayoutInflater java:959)_x000D_
05 06 13:30:26 010  7152  7152 E AndroidRuntime: 	at android view LayoutInflater inflate(LayoutInflater java:657)_x000D_
05 06 13:30:26 010  7152  7152 E AndroidRuntime: 	at android view LayoutInflater inflate(LayoutInflater java:532)_x000D_
05 06 13:30:26 010  7152  7152 E AndroidRuntime: 	at cgeo geocaching apps navi GoogleNavigationApp GoogleNavigationDrivingApp 1 getView(GoogleNavigationApp java:95)_x000D_
05 06 13:30:26 010  7152  7152 E AndroidRuntime: 	at android widget AbsListView obtainView(AbsListView java:2387)_x000D_
05 06 13:30:26 010  7152  7152 E AndroidRuntime: 	at android widget ListView measureHeightOfChildren(ListView java:1417)_x000D_
05 06 13:30:26 010  7152  7152 E AndroidRuntime: 	at android widget ListView onMeasure(ListView java:1323)_x000D_
05 06 13:30:26 010  7152  7152 E AndroidRuntime: 	at android view View measure(View java:25466)_x000D_
05 06 13:30:26 010  7152  7152 E AndroidRuntime: 	at android view ViewGroup measureChildWithMargins(ViewGroup java:6957)_x000D_
05 06 13:30:26 010  7152  7152 E AndroidRuntime: 	at android widget FrameLayout onMeasure(FrameLayout java:194)_x000D_
05 06 13:30:26 010  7152  7152 E AndroidRuntime: 	at android view View measure(View java:25466)_x000D_
05 06 13:30:26 010  7152  7152 E AndroidRuntime: 	at com android internal widget AlertDialogLayout tryOnMeasure(AlertDialogLayout java:146)_x000D_
05 06 13:30:26 010  7152  7152 E AndroidRuntime: 	at com android internal widget AlertDialogLayout onMeasure(AlertDialogLayout java:71)_x000D_
05 06 13:30:26 010  7152  7152 E AndroidRuntime: 	at android view View measure(View java:25466)_x000D_
05 06 13:30:26 010  7152  7152 E AndroidRuntime: 	at android view ViewGroup measureChildWithMargins(ViewGroup java:6957)_x000D_
05 06 13:30:26 010  7152  7152 E AndroidRuntime: 	at android widget FrameLayout onMeasure(FrameLayout java:194)_x000D_
05 06 13:30:26 010  7152  7152 E AndroidRuntime: 	at android view View measure(View java:25466)_x000D_
05 06 13:30:26 010  7152  7152 E AndroidRuntime: 	at android view ViewGroup measureChildWithMargins(ViewGroup java:6957)_x000D_
05 06 13:30:26 010  7152  7152 E AndroidRuntime: 	at android widget FrameLayout onMeasure(FrameLayout java:194)_x000D_
05 06 13:30:26 010  7152  7152 E AndroidRuntime: 	at android view View measure(View java:25466)_x000D_
05 06 13:30:26 010  7152  7152 E AndroidRuntime: 	at android view ViewGroup measureChildWithMargins(ViewGroup java:6957)_x000D_
05 06 13:30:26 010  7152  7152 E AndroidRuntime: 	at android widget FrameLayout onMeasure(FrameLayout java:194)_x000D_
05 06 13:30:26 010  7152  7152 E AndroidRuntime: 	at com android internal policy DecorView onMeasure(DecorView java:747)_x000D_
05 06 13:30:26 010  7152  7152 E AndroidRuntime: 	at android view View measure(View java:25466)_x000D_
05 06 13:30:26 010  7152  7152 E AndroidRuntime: 	at android view ViewRootImpl performMeasure(ViewRootImpl java:3402)_x000D_
05 06 13:30:26 010  7152  7152 E AndroidRuntime: 	at android view ViewRootImpl measureHierarchy(ViewRootImpl java:2219)_x000D_
05 06 13:30:26 010  7152  7152 E AndroidRuntime: 	at android view ViewRootImpl performTraversals(ViewRootImpl java:2504)_x000D_
05 06 13:30:26 010  7152  7152 E AndroidRuntime: 	at android view ViewRootImpl doTraversal(ViewRootImpl java:1948)_x000D_
05 06 13:30:26 010  7152  7152 E AndroidRuntime: 	at android view ViewRootImpl TraversalRunnable run(ViewRootImpl java:8177)_x000D_
05 06 13:30:26 010  7152  7152 E AndroidRuntime: 	at android view Choreographer CallbackRecord run(Choreographer java:972)_x000D_
05 06 13:30:26 010  7152  7152 E AndroidRuntime: 	at android view Choreographer doCallbacks(Choreographer java:796)_x000D_
05 06 13:30:26 010  7152  7152 E AndroidRuntime: 	at android view Choreographer doFrame(Choreographer java:731)_x000D_
05 06 13:30:26 010  7152  7152 E AndroidRuntime: 	at android view Choreographer FrameDisplayEventReceiver run(Choreographer java:957)_x000D_
05 06 13:30:26 010  7152  7152 E AndroidRuntime: 	at android os Handler handleCallback(Handler java:938)_x000D_
05 06 13:30:26 010  7152  7152 E AndroidRuntime: 	at android os Handler dispatchMessage(Handler java:99)_x000D_
05 06 13:30:26 010  7152  7152 E AndroidRuntime: 	at android os Looper loop(Looper java:223)_x000D_
05 06 13:30:26 010  7152  7152 E AndroidRuntime: 	at android app ActivityThread main(ActivityThread java:7660)_x000D_
05 06 13:30:26 010  7152  7152 E AndroidRuntime: 	at java lang reflect Method invoke(Native Method)_x000D_
05 06 13:30:26 010  7152  7152 E AndroidRuntime: 	at com android internal os RuntimeInit MethodAndArgsCaller run(RuntimeInit java:592)_x000D_
05 06 13:30:26 010  7152  7152 E AndroidRuntime: 	at com android internal os ZygoteInit main(ZygoteInit java:947)_x000D_
05 06 13:30:26 010  7152  7152 E AndroidRuntime: Caused by: java lang UnsupportedOperationException: Failed to resolve attribute at index 13: TypedValue t 0x2 d 0x7f040048 a  1 _x000D_
05 06 13:30:26 010  7152  7152 E AndroidRuntime: 	at android content res TypedArray getDrawableForDensity(TypedArray java:997)_x000D_
05 06 13:30:26 010  7152  7152 E AndroidRuntime: 	at android content res TypedArray getDrawable(TypedArray java:981)_x000D_
05 06 13:30:26 010  7152  7152 E AndroidRuntime: 	at android view View  init (View java:5535)_x000D_
05 06 13:30:26 010  7152  7152 E AndroidRuntime: 	at android view ViewGroup  init (ViewGroup java:697)_x000D_
05 06 13:30:26 010  7152  7152 E AndroidRuntime: 	at android widget RelativeLayout  init (RelativeLayout java:255)_x000D_
05 06 13:30:26 010  7152  7152 E AndroidRuntime: 	at android widget RelativeLayout  init (RelativeLayout java:251)_x000D_
05 06 13:30:26 010  7152  7152 E AndroidRuntime: 	at android widget RelativeLayout  init (RelativeLayout java:247)_x000D_
05 06 13:30:26 010  7152  7152 E AndroidRuntime: 	    48 more_x000D_
          beginning of main_x000D_
   </t>
  </si>
  <si>
    <t>Blankj-AndroidUtilCode-1493</t>
  </si>
  <si>
    <t>LanguageUtil.attachBaseContext报空指针问题</t>
  </si>
  <si>
    <t xml:space="preserve">      Bug_x000D_
_x000D_
 Application attachBaseContext   LanguageUtil attachBaseContext            bug _x000D_
_x000D_
  AndroidUtilCode     utilcodex:1 30 6        utilcode:1 16 3   utilcodex:1 16 3                     _x000D_
     Bug               Nexus 5X    _x000D_
      Android            API 27    _x000D_
_x000D_
       _x000D_
 Override_x000D_
protected void attachBaseContext(Context base)  _x000D_
  if (base    null)  _x000D_
    super attachBaseContext(null) _x000D_
   else _x000D_
    super attachBaseContext(LanguageUtil attachBaseContext(base)) _x000D_
   _x000D_
       _x000D_
   java_x000D_
CrashUtils init() _x000D_
   _x000D_
   _x000D_
   _x000D_
put your code here_x000D_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t>
  </si>
  <si>
    <t>PojavLauncherTeam-PojavLauncher-1335</t>
  </si>
  <si>
    <t>[BUG] Crash on Samsung Note 10+ on all minecraft versions</t>
  </si>
  <si>
    <t xml:space="preserve">    _x000D_
If you don t fill in this template  this issue will be marked as invalid and closed _x000D_
   _x000D_
_x000D_
 details   summary  b Read before submit  b   summary _x000D_
 br _x000D_
 X  Make sure there was not duplicated issues  br _x000D_
 X  Make sure you have filled this issue template  or this will get rejected _x000D_
  details _x000D_
_x000D_
    Describe the bug_x000D_
_x000D_
App crashes after a while and restarts (video)_x000D_
_x000D_
_x000D_
_x000D_
  Add a log file if you want to see your bug fixed    _x000D_
_x000D_
 latestlog txt (https:  github com PojavLauncherTeam PojavLauncher files 6430206 latestlog txt)_x000D_
_x000D_
_x000D_
    To Reproduce:_x000D_
_x000D_
(Video)_x000D_
_x000D_
    Screenshots or videos:_x000D_
_x000D_
 Upload here screenshots or videos of the buggy behavior  if possible  _x000D_
_x000D_
https:  user images githubusercontent com 28235457 117208539 db516900 adba 11eb 94fd e07d813ae7f4 mp4_x000D_
_x000D_
_x000D_
  Platform:  _x000D_
   Device Model: Samsung Note 10 _x000D_
   CPU architecture: aarch64_x000D_
   Android Version: 11_x000D_
   PojavLauncher Version: Latest stable release_x000D_
_x000D_
</t>
  </si>
  <si>
    <t>uerceg-play-install-referrer-react-native-6</t>
  </si>
  <si>
    <t>Invariant Violation: Native module cannot be null.</t>
  </si>
  <si>
    <t xml:space="preserve">  Describe the bug  _x000D_
Running the app on iOS causes the following error:  Invariant Violation: Native module cannot be null  _x000D_
_x000D_
Removing the import line causes iOS to runs correctly _x000D_
   import   PlayInstallReferrer   from  react native play install referrer     _x000D_
_x000D_
To temporarily solve the issue I imported the library like this:_x000D_
 const PlayInstallReferrer   Platform OS      android    require( react native play install referrer ) : null  _x000D_
_x000D_
  To Reproduce  _x000D_
Just running the app on iOS simulator caused the crash in my case   _x000D_
_x000D_
  Expected behaviour  _x000D_
I expect that importing the library doesn t create any problem to iOS  it just doesn t do anything _x000D_
_x000D_
  Environment  _x000D_
    react native play install referrer  : v1 1 6_x000D_
  React Native: v0 63 2 _x000D_
  Android API: 29_x000D_
  Device name and model: iOS Simulator_x000D_
_x000D_
  Screenshots  _x000D_
  Invariant Violation: Native module cannot be null (https:  user images githubusercontent com 15264288 117149287 629cdd80 adb7 11eb 9894 3857fdd434af png)_x000D_
</t>
  </si>
  <si>
    <t>opensrp-opensrp-client-reveal-1403</t>
  </si>
  <si>
    <t xml:space="preserve">The app keeps on crashing </t>
  </si>
  <si>
    <t xml:space="preserve">Version: Thai preview 5 3 25_x000D_
User: raitest _x000D_
Login to the app  _x000D_
Wait for the sync to complete _x000D_
Turn the internet off _x000D_
Go to list view_x000D_
Select an old residential structure(existing)_x000D_
Click on add new member _x000D_
App crashes _x000D_
_x000D_
Varshana has also been experiencing some app crashes at the same time  I used Samsung A21  she used Huawei _x000D_
 Rkareko we should check Crashylitcs _x000D_
  image (https:  user images githubusercontent com 61143692 117122458 9a4b5b80 ad9e 11eb 8b1b 07ad1ceac1a9 png)_x000D_
</t>
  </si>
  <si>
    <t>TeamNewPipe-NewPipe-6241</t>
  </si>
  <si>
    <t>Cannot change video preferences using remote while video is playing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</si>
  <si>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I am on Android 5 1 TCL TV  And I cannot use remote to change quality  subtitles  seek video using remote while watching _x000D_
any video  Earlier (in version 0 19 I think I was able to these things using the remote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Play any video_x000D_
2  Try to change quality  subtitles using remote buttons without having any cursor control (like using Mouse)_x000D_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Cannot navigate to above mentioned options using remote buttons_x000D_
_x000D_
_x000D_
_x000D_
    Expected behavior_x000D_
     Tell us what you expect to happen     _x000D_
Being able to change video preferences using remote buttons_x000D_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5 1_x000D_
   Device model: TCL Android TV _x000D_
</t>
  </si>
  <si>
    <t>DIT112-V21-group-01-50</t>
  </si>
  <si>
    <t>Arduino messaging lag</t>
  </si>
  <si>
    <t xml:space="preserve">The app crashes after a short while on the drive screen _x000D_
 nk io suggested to update the Arduino sketch to only have one timer for sending camera frames and the car speed the lag was eliminated _x000D_
_x000D_
_x000D_
</t>
  </si>
  <si>
    <t>TeamNewPipe-NewPipe-6237</t>
  </si>
  <si>
    <t>it's true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</si>
  <si>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</si>
  <si>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TeamNewPipe-NewPipe-6236</t>
  </si>
  <si>
    <t>TeamNewPipe-NewPipe-6233</t>
  </si>
  <si>
    <t>Crash when using pause/play button on a bluetooth device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</si>
  <si>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Open NewPipe (don t play a video)_x000D_
2) Click Pause Play button a few times in a row_x000D_
_x000D_
    Actual behaviour_x000D_
App crashes_x000D_
_x000D_
_x000D_
_x000D_
    Expected behavior_x000D_
App ignores play pause button when nothing is in the queue_x000D_
_x000D_
_x000D_
    Screenshots Screen recordings_x000D_
_x000D_
_x000D_
_x000D_
    Logs_x000D_
   Exception_x000D_
    User Action:   ui error_x000D_
    Request:   ACRA report_x000D_
    Content Country:   US_x000D_
    Content Language:   en US_x000D_
    App Language:   en US_x000D_
    Service:   none_x000D_
    Version:   0 21 2_x000D_
    OS:   Linux Android 11   30_x000D_
 details  summary  b Crash log   b   summary  p _x000D_
_x000D_
   _x000D_
java lang NullPointerException: Attempt to invoke virtual method  int org schabi newpipe player playqueue PlayQueue getIndex()  on a null object reference_x000D_
	at org schabi newpipe player Player onCompleted(Player java:2154)_x000D_
	at org schabi newpipe player Player changeState(Player java:1993)_x000D_
	at org schabi newpipe player Player onPlayerStateChanged(Player java:1913)_x000D_
	at com google android exoplayer2 ExoPlayerImpl lambda updatePlaybackInfo 13(ExoPlayerImpl java:1052)_x000D_
	at com google android exoplayer2    Lambda ExoPlayerImpl eAKzukwdd6P91AoYEF8JC1HDnJ4 invoke(Unknown Source:4)_x000D_
	at com google android exoplayer2 util ListenerSet ListenerHolder invoke(ListenerSet java:297)_x000D_
	at com google android exoplayer2 util ListenerSet lambda queueEvent 0(ListenerSet java:184)_x000D_
	at com google android exoplayer2 util    Lambda ListenerSet NbKDn9xtItiyMgYZmjIx Sv1FFQ run(Unknown Source:6)_x000D_
	at com google android exoplayer2 util ListenerSet flushEvents(ListenerSet java:205)_x000D_
	at com google android exoplayer2 ExoPlayerImpl updatePlaybackInfo(ExoPlayerImpl java:1101)_x000D_
	at com google android exoplayer2 ExoPlayerImpl prepare(ExoPlayerImpl java:333)_x000D_
	at com google android exoplayer2 SimpleExoPlayer prepare(SimpleExoPlayer java:1268)_x000D_
	at com google android exoplayer2 DefaultControlDispatcher dispatchPrepare(DefaultControlDispatcher java:57)_x000D_
	at com google android exoplayer2 ext mediasession MediaSessionConnector ComponentListener onPlay(MediaSessionConnector java:1156)_x000D_
	at android support v4 media session MediaSessionCompat Callback MediaSessionCallbackApi21 onPlay(MediaSessionCompat java:1614)_x000D_
	at android media session MediaSession Callback onMediaButtonEvent(MediaSession java:928)_x000D_
	at android support v4 media session MediaSessionCompat Callback MediaSessionCallbackApi21 onMediaButtonEvent(MediaSessionCompat java:1604)_x000D_
	at android media session MediaSession CallbackMessageHandler handleMessage(MediaSession java:1566)_x000D_
	at android os Handler dispatchMessage(Handler java:106)_x000D_
	at android os Looper loop(Looper java:223)_x000D_
	at android app ActivityThread main(ActivityThread java:7867)_x000D_
	at java lang reflect Method invoke(Native Method)_x000D_
	at com android internal os RuntimeInit MethodAndArgsCaller run(RuntimeInit java:592)_x000D_
	at com android internal os ZygoteInit main(ZygoteInit java:981)_x000D_
_x000D_
   _x000D_
  details _x000D_
 hr _x000D_
_x000D_
_x000D_
_x000D_
_x000D_
    Device info_x000D_
_x000D_
   Android version Custom ROM version:_x000D_
   Device model:_x000D_
</t>
  </si>
  <si>
    <t>TeamNewPipe-NewPipe-6231</t>
  </si>
  <si>
    <t>Crash when opening very quickly the search window after NewPipe launch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</si>
  <si>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and I have found a closed issue ( 5812)  but the problem is still here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Open NewPipe and very quickly click on the search icon as soon as it appears_x000D_
_x000D_
     If you can t cause the bug to show up again reliably (and hence don t have a proper set of steps to give us)  please still try to give as many details as possible on how you think you encountered the bug     _x000D_
_x000D_
_x000D_
_x000D_
    Actual behaviour_x000D_
_x000D_
NewPipe crashes _x000D_
_x000D_
_x000D_
    Expected behavior_x000D_
_x000D_
No crash and possibility to search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FR_x000D_
    Content Language:   fr_x000D_
    App Language:   fr FR_x000D_
    Service:   none_x000D_
    Version:   0 21 2_x000D_
    OS:   Linux Android 10   29_x000D_
 details  summary  b Crash log   b   summary  p _x000D_
_x000D_
   _x000D_
java lang NullPointerException: Attempt to invoke virtual method  android widget RelativeLayout org schabi newpipe databinding PlaylistHeaderBinding getRoot()  on a null object reference_x000D_
at org schabi newpipe fragments list playlist PlaylistFragment handleResult(PlaylistFragment java:277)_x000D_
at org schabi newpipe fragments list playlist PlaylistFragment handleResult(PlaylistFragment java:65)_x000D_
at org schabi newpipe fragments list BaseListInfoFragment lambda startLoading 0(BaseListInfoFragment java:146)_x000D_
at org schabi newpipe fragments list BaseListInfoFragment lambda startLoading 0 BaseListInfoFragment(Unknown Source:0)_x000D_
at org schabi newpipe fragments list    Lambda BaseListInfoFragment Gn1fP3 8OJnktT5gkmUmbW egTg accept(Unknown Source:4)_x000D_
at io reactivex rxjava3 internal observers ConsumerSingleObserver onSuccess(ConsumerSingleObserver java:62)_x000D_
at io reactivex rxjava3 internal operators single SingleObserveOn ObserveOnSingleObserver run(SingleObserveOn java:81)_x000D_
at io reactivex rxjava3 android schedulers HandlerScheduler ScheduledRunnable run(HandlerScheduler java:123)_x000D_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details _x000D_
 hr _x000D_
_x000D_
_x000D_
_x000D_
     Please fill this out when you do not provide a log generate by NewPipe    _x000D_
_x000D_
    Device info_x000D_
_x000D_
   Android version Custom ROM version: Android 10   LineageOS 17 1_x000D_
   Device model: Samsung Galaxy S5_x000D_
</t>
  </si>
  <si>
    <t>gsantner-markor-1329</t>
  </si>
  <si>
    <t>Android 4.4 crash when moving files</t>
  </si>
  <si>
    <t xml:space="preserve">     General information_x000D_
_x000D_
    App version: 2 6 0   _x000D_
    System: Android 4 4 4   _x000D_
_x000D_
     Description_x000D_
_x000D_
When moving a file from one folder to another  the file is copied  then Markor crashes with the following exception  The file has been copied successfully to the target location  but it has not been removed from the source folder _x000D_
_x000D_
     Log_x000D_
_x000D_
   _x000D_
05 03 11:45:44 972 E dalvikvm(12677): Could not find class  java util function Consumer   referenced from method org apache commons io IOUtils closeQuietly_x000D_
05 03 11:45:44 972 W dalvikvm(12677): VFY: unable to resolve check cast 4643 (Ljava util function Consumer ) in Lorg apache commons io IOUtils _x000D_
05 03 11:45:44 972 D dalvikvm(12677): VFY: replacing opcode 0x1f at 0x0001_x000D_
05 03 11:45:44 972 W dalvikvm(12677): VFY: unable to find class referenced in signature (Ljava util function Consumer )_x000D_
05 03 11:45:44 972 I dalvikvm(12677): Could not find method java util function Consumer accept  referenced from method org apache commons io IOUtils closeQuietly_x000D_
05 03 11:45:44 982 W dalvikvm(12677): VFY: unable to resolve interface method 35121: Ljava util function Consumer  accept (Ljava lang Object )V_x000D_
05 03 11:45:44 982 D dalvikvm(12677): VFY: replacing opcode 0x72 at 0x0009_x000D_
05 03 11:45:45 012 D AndroidRuntime(12677): Shutting down VM_x000D_
05 03 11:45:45 012 W dalvikvm(12677): threadid 1: thread exiting with uncaught exception (group 0x41d63ba8)_x000D_
05 03 11:45:45 052 E AndroidRuntime(12677): FATAL EXCEPTION: main_x000D_
05 03 11:45:45 052 E AndroidRuntime(12677): Process: net gsantner markor  PID: 12677_x000D_
05 03 11:45:45 052 E AndroidRuntime(12677): java lang NoClassDefFoundError: java util function Consumer_x000D_
05 03 11:45:45 052 E AndroidRuntime(12677): 	at org apache commons io IOUtils closeQuietly(IOUtils java:345)_x000D_
05 03 11:45:45 052 E AndroidRuntime(12677): 	at org apache commons io IOUtils closeQuietly(IOUtils java:498)_x000D_
05 03 11:45:45 052 E AndroidRuntime(12677): 	at other writeily model WrMarkorSingleton copyFile(WrMarkorSingleton java:73)_x000D_
05 03 11:45:45 052 E AndroidRuntime(12677): 	at other writeily model WrMarkorSingleton moveFile(WrMarkorSingleton java:97)_x000D_
05 03 11:45:45 052 E AndroidRuntime(12677): 	at other writeily model WrMarkorSingleton moveSelectedNotes(WrMarkorSingleton java:132)_x000D_
05 03 11:45:45 052 E AndroidRuntime(12677): 	at net gsantner opoc ui FilesystemViewerFragment 1 onFsViewerSelected(FilesystemViewerFragment java:579)_x000D_
05 03 11:45:45 052 E AndroidRuntime(12677): 	at net gsantner opoc ui FilesystemViewerDialog onFsViewerSelected(FilesystemViewerDialog java:218)_x000D_
05 03 11:45:45 052 E AndroidRuntime(12677): 	at net gsantner opoc ui FilesystemViewerAdapter onClick(FilesystemViewerAdapter java:355)_x000D_
05 03 11:45:45 052 E AndroidRuntime(12677): 	at net gsantner opoc ui FilesystemViewerDialog onClicked(FilesystemViewerDialog java:190)_x000D_
05 03 11:45:45 052 E AndroidRuntime(12677): 	at net gsantner opoc ui FilesystemViewerDialog ViewBinding 2 doClick(FilesystemViewerDialog ViewBinding java:59)_x000D_
05 03 11:45:45 052 E AndroidRuntime(12677): 	at butterknife internal DebouncingOnClickListener onClick(DebouncingOnClickListener java:22)_x000D_
05 03 11:45:45 052 E AndroidRuntime(12677): 	at android view View performClick(View java:4449)_x000D_
05 03 11:45:45 052 E AndroidRuntime(12677): 	at android view View PerformClick run(View java:18631)_x000D_
05 03 11:45:45 052 E AndroidRuntime(12677): 	at android os Handler handleCallback(Handler java:733)_x000D_
05 03 11:45:45 052 E AndroidRuntime(12677): 	at android os Handler dispatchMessage(Handler java:95)_x000D_
05 03 11:45:45 052 E AndroidRuntime(12677): 	at android os Looper loop(Looper java:136)_x000D_
05 03 11:45:45 052 E AndroidRuntime(12677): 	at android app ActivityThread main(ActivityThread java:5001)_x000D_
05 03 11:45:45 052 E AndroidRuntime(12677): 	at java lang reflect Method invokeNative(Native Method)_x000D_
05 03 11:45:45 052 E AndroidRuntime(12677): 	at java lang reflect Method invoke(Method java:515)_x000D_
05 03 11:45:45 052 E AndroidRuntime(12677): 	at com android internal os ZygoteInit MethodAndArgsCaller run(ZygoteInit java:785)_x000D_
05 03 11:45:45 052 E AndroidRuntime(12677): 	at com android internal os ZygoteInit main(ZygoteInit java:601)_x000D_
05 03 11:45:45 052 E AndroidRuntime(12677): 	at dalvik system NativeStart main(Native Method)_x000D_
05 03 11:45:45 062 W ActivityManager( 2767):   Force finishing activity net gsantner markor  activity MainActivity_x000D_
   _x000D_
</t>
  </si>
  <si>
    <t>TeamNewPipe-NewPipe-6227</t>
  </si>
  <si>
    <t>Mini player should also get closed if notification player is closed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</si>
  <si>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Start any video on any player_x000D_
2  Close it from notification player_x000D_
3  Notification player gets closed_x000D_
4  Mini player still persists on the app inside even if I am using another app _x000D_
_x000D_
_x000D_
    Actual behaviour_x000D_
     Tell us what happens with the steps given above     _x000D_
_x000D_
It seems like that  Pause  and  Close  action button has the exact same purpose for now   Close  button just ditches the notification as well _x000D_
_x000D_
    Expected behavior_x000D_
     Tell us what you expect to happen     _x000D_
_x000D_
 Close  button should close both the notification and media completely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12 0 7_x000D_
   Device model: Xiaomi Redmi Note 8 Pro_x000D_
</t>
  </si>
  <si>
    <t>TeamNewPipe-NewPipe-6224</t>
  </si>
  <si>
    <t>Remote Stack Trace Crash</t>
  </si>
  <si>
    <t xml:space="preserve">Hi_x000D_
I am currently using NewPipe version 0 21 2 Github build  I am facing this error on previous versions of Newpipe even on my earlier android 10 device _x000D_
_x000D_
This crash happens suddenly whenever i was watching some content on Newpipe   it just exits automatically  After that i am unable to open Newpipe again _x000D_
_x000D_
To fix this error temporarily i cleared app data   restored the Playlist   channels subscription backup only  If settings also restored then this error again came frequently _x000D_
_x000D_
After i used this temporary fix same error came again after long usage time period of Newpipe like around 2 3 weeks approx according to my usage _x000D_
_x000D_
  Crash logs:_x000D_
https:  del dog aisapamest txt_x000D_
_x000D_
  Device details:_x000D_
Device Name: Realme 5 Pro (RMX1971)_x000D_
Android 11_x000D_
OS: Custom ROM Nusantara OS_x000D_
Newpipe Version: 0 21 2 Github build_x000D_
_x000D_
I hope soon an workaround will be implemented in next updates _x000D_
Thanks for making an awesome app </t>
  </si>
  <si>
    <t>TeamNewPipe-NewPipe-6223</t>
  </si>
  <si>
    <t>Downloads speeds are incredibly slow and stall</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</si>
  <si>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YouTube Video in Newpipe _x000D_
2  Press on  Download _x000D_
3  Swipe down to  Choose Audio or Video _x000D_
4  Wait for it to download   slowly_x000D_
5  Download eventually stalls after a short while without user interaction_x000D_
_x000D_
Internet speeds from Speedtest net:_x000D_
     If you can t cause the bug to show up again reliably (and hence don t have a proper set of steps to give us)  please still try to give as many details as possible on how you think you encountered the bug     _x000D_
  image (https:  user images githubusercontent com 73392805 116828764 bcf72d80 ab6e 11eb 9f0a 9c79bab800bd png)_x000D_
Causes Factors: Unsure  Internet speeds are great (fiber optic connection) but might be due to old phone hardware  I am less than 1 room away from the router in my home (bedroom) and have noticed same speeds house wide  _x000D_
    I have tried: _x000D_
1  Changing router settings_x000D_
2  Changing connected WiFi network_x000D_
3  Rebooting phone_x000D_
4  Reinstalling Newpipe_x000D_
_x000D_
    Actual behaviour_x000D_
     Tell us what happens with the steps given above     _x000D_
Download will start and the first few MB might go fast  but eventually the download slows to a crawl and just straight up stops or stalls   E g  I went to download a 20 minute video from youtube in audio format  Went to get some food and coffee  keeping the phone away  Found the download stalled at 56 200 MB and is not moving  _x000D_
_x000D_
    Expected behavior_x000D_
     Tell us what you expect to happen     _x000D_
Video or Audio should download smoothly without stalling after only a few minutes  Download should be able to be completed in a (somewhat) timely manner  even with slow internet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image (https:  user images githubusercontent com 73392805 116828893 9e456680 ab6f 11eb 9838 ef42ba816131 png)_x000D_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8 1 0   crDroid version 4 6 1_x000D_
   Device model: SM G900T_x000D_
</t>
  </si>
  <si>
    <t>AOF-Dev-MCinaBox-1064</t>
  </si>
  <si>
    <t>Приложение вылетает при запуске</t>
  </si>
  <si>
    <t xml:space="preserve">Description of the bug:_x000D_
After installing the apk  the program doesn t start  but crashes _x000D_
To reproduce:_x000D_
Steps to reproduce the behavior:_x000D_
1  Must be installed Android 9 _x000D_
2  Download the version v0 1 4 p5 _x000D_
3  Install  apk _x000D_
4  Launch it _x000D_
5  See error _x000D_
_x000D_
Expected behavior:_x000D_
The basic program menu should start _x000D_
_x000D_
Smartphone:_x000D_
   Device:  Samsung Galaxy S8 _x000D_
   OS:  Android 9 _x000D_
   App Version  v0 1 4 p5 _x000D_
   CPU architecture  none   _x000D_
</t>
  </si>
  <si>
    <t>nextcloud-android-8342</t>
  </si>
  <si>
    <t>Android app crash after login</t>
  </si>
  <si>
    <t xml:space="preserve">    Steps to reproduce_x000D_
1  Create QR code for AP login_x000D_
2  Login using Android app (scan QR)_x000D_
3  App crash_x000D_
_x000D_
    Expected behaviour_x000D_
  app does not crash_x000D_
_x000D_
    Actual behaviour_x000D_
  app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10_x000D_
_x000D_
Device model: OnePlus 6_x000D_
_x000D_
Stock or customized system: stock android_x000D_
_x000D_
Nextcloud app version: 3 15 1_x000D_
_x000D_
Nextcloud server version: 21_x000D_
_x000D_
Reverse proxy: traefik_x000D_
_x000D_
    Logs_x000D_
     Web server error log_x000D_
No error nor warn in logs_x000D_
_x000D_
     Nextcloud log (data nextcloud log)_x000D_
On Android app  after login attempt_x000D_
_x000D_
   _x000D_
             CAUSE OF ERROR             _x000D_
_x000D_
android database SQLException: ERROR content:  org nextcloud file_x000D_
	at com owncloud android providers FileContentProvider insert(FileContentProvider java:289)_x000D_
	at com owncloud android providers FileContentProvider insert(FileContentProvider java:255)_x000D_
	at android content ContentProvider Transport insert(ContentProvider java:325)_x000D_
	at android content ContentResolver insert(ContentResolver java:1854)_x000D_
	at com owncloud android datamodel FileDataStorageManager saveFile(FileDataStorageManager java:275)_x000D_
	at com owncloud android datamodel FileDataStorageManager createRootDir(FileDataStorageManager java:926)_x000D_
	at com owncloud android datamodel FileDataStorageManager getFileByPath(FileDataStorageManager java:130)_x000D_
	at com owncloud android datamodel FileDataStorageManager getFileByEncryptedRemotePath(FileDataStorageManager java:112)_x000D_
	at com owncloud android datamodel FileDataStorageManager getFileByPath(FileDataStorageManager java:108)_x000D_
	at com owncloud android ui activity FileDisplayActivity onStart(FileDisplayActivity java:2401)_x000D_
	at android app Instrumentation callActivityOnStart(Instrumentation java:1514)_x000D_
	at android app Activity performStart(Activity java:7838)_x000D_
	at android app ActivityThread handleStartActivity(ActivityThread java:3398)_x000D_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java:2109)_x000D_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30150190_x000D_
Build flavor: gplay_x000D_
_x000D_
             DEVICE INFORMATION             _x000D_
Brand: OnePlus_x000D_
Device: OnePlus6_x000D_
Model: ONEPLUS A6003_x000D_
Id: QKQ1 190716 003_x000D_
Product: OnePlus6_x000D_
_x000D_
             FIRMWARE             _x000D_
SDK: 29_x000D_
Release: 10_x000D_
Incremental: 2103022249_x000D_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</si>
  <si>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nextcloud-android-8341</t>
  </si>
  <si>
    <t>Moving files crash app</t>
  </si>
  <si>
    <t xml:space="preserve">
    Steps to reproduce
1  Select files 
2  Move to different fokder
3  Wait for crash 
    Expected behaviour
  app should not crash  Instead files should be moved
    Actual behaviour
  app did not move any file  just crashed after 
    Can you reproduce this problem on https:  try nextcloud com 
  Please create a test demo account and see if this still happens there 
  If yes  please open up a bug report
  If not  please verify server setup and ask for help on forum
So you expect me to upload private data (pictures and movies) to public cloud  
Sorry  but no  
    Environment data
Android version: 10
Device model: OnePlus6 
Stock or customized system: Stock
Nextcloud app version: current 
Nextcloud server version:
Reverse proxy: none
    Logs
     Web server error log
Insert your webserver log here
     Nextcloud log (data nextcloud log)
Insert your Nextcloud log here
  NOTE:   Be super sure to remove sensitive data like passwords  note that everybody can look here  You can use the Issue Template application to prefill some of the required information: https:  apps nextcloud com apps issuetemplate
</t>
  </si>
  <si>
    <t>PojavLauncherTeam-PojavLauncher-1325</t>
  </si>
  <si>
    <t>Can my device run it? It's realme 7</t>
  </si>
  <si>
    <t xml:space="preserve">My device is Realme 7 and I am trying to run Zink version from last 2 days but it s not playing at all _x000D_
My game opens  I downlaods 1 16 5 try to run with suggested settings   controls appears with black screen  and it sucks  _x000D_
Or else it sends me crash report I can even use optifine   Please help me out _x000D_
I want to try shaders pls </t>
  </si>
  <si>
    <t>Argentable-Exacto-GPS-3</t>
  </si>
  <si>
    <t>Exacto GPS app crashes</t>
  </si>
  <si>
    <t>After turning on location settings for  Only while using the app   the application crashes and exits  _x000D_
_x000D_
  To Reproduce  _x000D_
Steps to reproduce the behavior:_x000D_
1  Launch a new instance of Exacto GPS _x000D_
2  Select any location option other than  Don t allow  when prompted _x000D_
3  See error (app still closes even after force closing and reinstallation) _x000D_
_x000D_
The app is expected to start up normally and configure the location settings as needed _x000D_
_x000D_
   Device: Nexus 5X_x000D_
   OS: Android R_x000D_
   API Level: 30</t>
  </si>
  <si>
    <t>TeamNewPipe-NewPipe-6215</t>
  </si>
  <si>
    <t>'Buffering' and 'Pause/Play' icons get smudged on main player if buffering occurs in the middle of a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</si>
  <si>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Go to main player or full screen_x000D_
2  Buffering occurs in the middle of a video_x000D_
3  Tap buffering icon or elsewhere of the video itself _x000D_
4  If  Buffering  icon is tapped   Play  and  Buffering  icon get smudged _x000D_
If not   Pause  and  Buffering  icon get smudged _x000D_
_x000D_
Please note that I didn t encounter such bug on popup player  However   Pause on buffering  is still possible there _x000D_
_x000D_
    Actual behaviour_x000D_
     Tell us what happens with the steps given above     _x000D_
_x000D_
 Buffering  and  Pause Play  icons get smudged if buffering occurs on main player or full screen _x000D_
_x000D_
_x000D_
    Expected behavior_x000D_
     Tell us what you expect to happen     _x000D_
_x000D_
The mentioned three icons don t need to get smudged  It s not that hard to remember if I clicked on  Buffering  icon or not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IMG 20210501 232237 (https:  user images githubusercontent com 79245641 116792309 9b9c3000 aae1 11eb 8f66 3da5f7fd3a51 jpg)_x000D_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12 0 3_x000D_
   Device model: Xiaomi Redmi Note 8 Pro_x000D_
</t>
  </si>
  <si>
    <t>devgianlu-Timeless-45</t>
  </si>
  <si>
    <t>Projects and commits activity crash on 404</t>
  </si>
  <si>
    <t xml:space="preserve">Projects  commits  public  and private leaderboards currently have no corresponding endpoints in Wakapi (there will be one for projects though  https:  github com muety wakapi issues 196)  For leaderboard  an explanatory message is displayed  informing the user of the corresponding feature not being available with the current backend  For projects and commits  however  an activity seems to start and then crash with only a short toast message  Maybe this failure could be a bit more graceful  too </t>
  </si>
  <si>
    <t>TeamNewPipe-NewPipe-6209</t>
  </si>
  <si>
    <t>Incorrect notification of download process started.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</si>
  <si>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a video and open the   Download   menu _x000D_
2  Select quality and proceed to download video or audio with   OK   selected  (Highest quality selected during tests )_x000D_
3  Wait until video or audio is downloaded _x000D_
4  Attempt to download video or audio again (Same or different quality does not impact tests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Notification stating:   Download has started   occurs _x000D_
Pop up menu titled:    Download    with   A downloaded file with this name already exists   appears as well _x000D_
_x000D_
    Expected behavior_x000D_
     Tell us what you expect to happen     _x000D_
Simply the pop up menu to appear stating   A downloaded file with this name already exists   _x000D_
The notification noted above is inaccurate and therefore should not appear _x000D_
(Notification is used in reference to  Download has started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</si>
  <si>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inaturalist-iNaturalistAndroid-1034</t>
  </si>
  <si>
    <t>IllegalStateException in SignInTask.onCurrentAccessTokenChanged</t>
  </si>
  <si>
    <t xml:space="preserve">https:  console firebase google com u 2 project inaturalist ios crashlytics app android:org inaturalist android issues d11a60adf718c3c938a26088ff236431_x000D_
_x000D_
   _x000D_
Fatal Exception: java lang IllegalStateException: Cannot execute task: the task is already running _x000D_
       at android os AsyncTask executeOnExecutor(AsyncTask java:697)_x000D_
       at android os AsyncTask execute(AsyncTask java:655)_x000D_
       at org inaturalist android SignInTask 1 onCurrentAccessTokenChanged(SignInTask java:97)_x000D_
       at com facebook AccessTokenTracker CurrentAccessTokenBroadcastReceiver onReceive(AccessTokenTracker java:104)_x000D_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java:107)_x000D_
       at android os Looper loop(Looper java:224)_x000D_
   </t>
  </si>
  <si>
    <t>inaturalist-iNaturalistAndroid-1033</t>
  </si>
  <si>
    <t>NullPointerException for taxon in TaxonSuggestionsActivity.getTaxonSuggestions</t>
  </si>
  <si>
    <t xml:space="preserve">https:  console firebase google com u 2 project inaturalist ios crashlytics app android:org inaturalist android issues 58341b15b6586cabe89cda9ec2a48c69_x000D_
_x000D_
   _x000D_
Caused by java lang NullPointerException: Attempt to read from field  org json JSONObject org inaturalist android ExploreSearchFilters taxon  on a null object reference_x000D_
       at org inaturalist android TaxonSuggestionsActivity getTaxonSuggestions(TaxonSuggestionsActivity java:553)_x000D_
       at org inaturalist android TaxonSuggestionsActivity onResume(TaxonSuggestionsActivity java:595)_x000D_
       at android app Instrumentation callActivityOnResume(Instrumentation java:1475)_x000D_
       at android app Activity performResume(Activity java:7959)_x000D_
       at android app ActivityThread performResumeActivity(ActivityThread java:4410)_x000D_
   </t>
  </si>
  <si>
    <t>inaturalist-iNaturalistAndroid-1032</t>
  </si>
  <si>
    <t>NullPointerException for startsWith in INaturalistService.getTaxonSuggestions</t>
  </si>
  <si>
    <t xml:space="preserve">https:  console firebase google com u 2 project inaturalist ios crashlytics app android:org inaturalist android issues 1a171926b995c067cff1bf2aff0dc872_x000D_
_x000D_
   _x000D_
Fatal Exception: java lang NullPointerException: Attempt to invoke virtual method  boolean java lang String startsWith(java lang String)  on a null object reference_x000D_
       at org inaturalist android INaturalistService getTaxonSuggestions(INaturalistService java:2678)_x000D_
       at org inaturalist android INaturalistService onHandleIntentWorker(INaturalistService java:1142)_x000D_
       at org inaturalist android INaturalistService 1 run(INaturalistService java:655)_x000D_
       at java lang Thread run(Thread java:929)_x000D_
   </t>
  </si>
  <si>
    <t>inaturalist-iNaturalistAndroid-1031</t>
  </si>
  <si>
    <t>NullPointerException in ObservationPhotoEditor.closeActivity</t>
  </si>
  <si>
    <t xml:space="preserve">https:  console firebase google com u 2 project inaturalist ios crashlytics app android:org inaturalist android issues af0c693fd0cc751daf5653f13e2fd626_x000D_
_x000D_
   _x000D_
Fatal Exception: java lang NullPointerException: Attempt to invoke virtual method  boolean com yalantis ucrop UCropFragment isDirty()  on a null object reference_x000D_
       at org inaturalist android ObservationPhotoEditor closeActivity(ObservationPhotoEditor java:183)_x000D_
       at org inaturalist android ObservationPhotoEditor onBackPressed(ObservationPhotoEditor java:179)_x000D_
   </t>
  </si>
  <si>
    <t>inaturalist-iNaturalistAndroid-1030</t>
  </si>
  <si>
    <t>FacebookException, no app ID?</t>
  </si>
  <si>
    <t xml:space="preserve">https:  console firebase google com u 2 project inaturalist ios crashlytics app android:org inaturalist android issues 7a3b8ae623fb5f4d9055c695e126385e_x000D_
_x000D_
   _x000D_
Caused by com facebook FacebookException: A valid Facebook app id must be set in the AndroidManifest xml or set by calling FacebookSdk setApplicationId before initializing the sdk _x000D_
       at com facebook FacebookSdk sdkInitialize(FacebookSdk java:296)_x000D_
       at com facebook FacebookSdk sdkInitialize(FacebookSdk java:251)_x000D_
       at com facebook FacebookActivity onCreate(FacebookActivity java:79)_x000D_
       at android app Activity performCreate(Activity java:7963)_x000D_
   </t>
  </si>
  <si>
    <t>inaturalist-iNaturalistAndroid-1029</t>
  </si>
  <si>
    <t>NullPointerException in ObservationViewerActivity.downloadCommunityTaxon</t>
  </si>
  <si>
    <t xml:space="preserve">https:  console firebase google com u 2 project inaturalist ios crashlytics app android:org inaturalist android issues 182bcd140f76b8ba3ebfa756cc9ab25c_x000D_
_x000D_
   _x000D_
Fatal Exception: java lang NullPointerException: Attempt to invoke virtual method  int java lang Integer intValue()  on a null object reference_x000D_
       at org inaturalist android ObservationViewerActivity downloadCommunityTaxon(ObservationViewerActivity java:2955)_x000D_
       at org inaturalist android ObservationViewerActivity access 4700(ObservationViewerActivity java:118)_x000D_
       at org inaturalist android ObservationViewerActivity ObservationReceiver 3 run(ObservationViewerActivity java:2879)_x000D_
       at java lang Thread run(Thread java:919)_x000D_
   </t>
  </si>
  <si>
    <t>Anuken-Mindustry-5176</t>
  </si>
  <si>
    <t>Logic parser crash</t>
  </si>
  <si>
    <t xml:space="preserve">  Platform  :  Android iOS Mac Windows Linux _x000D_
_x000D_
  Build  :  126 2 _x000D_
_x000D_
  Issue  :  Due to the logic parser accepting raw input  the game can freeze or crash if you set a variable to a quote sign or semicolon  _x000D_
_x000D_
  Steps to reproduce  : _x000D_
  image (https:  user images githubusercontent com 54619416 116693210 3ef82280 a9c6 11eb 8624 1e1f15a4ce1a png)_x000D_
 Exit the processor  and    the game just froze  Inputting a quote is more unpredictable  9 out of 10 times it clears out all instructions from that processor  and the 1 time it crashes  _x000D_
_x000D_
  Link(s) to mod(s) used  :  Not applicable  _x000D_
_x000D_
  Save file  :  Save file isn t applicable  the game doesn t save when frozen and I m not sure what you d get out of an empty processor    save zip (https:  github com Anuken Mindustry files 6405241 save zip)_x000D_
_x000D_
  (Crash) logs  : _x000D_
 crash report 04 30 2021 14 45 52 txt (https:  github com Anuken Mindustry files 6405270 crash report 04 30 2021 14 45 52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</si>
  <si>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TeamNewPipe-NewPipe-6201</t>
  </si>
  <si>
    <t>If resume playback is off, clicking on a video while the player is open causes a reboot</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</si>
  <si>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21 2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1  Go to settings
2  Go to history and cache
3  Disable resume playback
4  Start a video
5  While the first video is open (through miniplayer  popup  or main player)  click a second video
     If you can t cause the bug to show up again reliably (and hence don t have a proper set of steps to give us)  please still try to give as many details as possible on how you think you encountered the bug     
    Actual behaviour
     Tell us what happens with the steps given above     
The screen momentarily freezes  then the phone displays the boot animation before going back to the lockscreen as if rebooted 
    Expected behavior
The second video should start in place of the first video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I haven t been able to capture any before the device reboots 
    Logs
     If your bug includes a crash (where you re shown the Error Report page with a bunch of info)  tap on  Copy formatted report  at the bottom and paste it here:    
     That s right  here     
No crash screen displays before the reboot 
     Please fill this out when you do not provide a log generate by NewPipe    
    Device info
   Android version Custom ROM version: Android 11 RP1A 200720 009 (Stock)
   Device model: Google Pixel 2 XL (taimen)
    </t>
  </si>
  <si>
    <t>cgeo-cgeo-10506</t>
  </si>
  <si>
    <t>No app to handle OPEN_DOCUMENT_TREE</t>
  </si>
  <si>
    <t xml:space="preserve">     Fill in the following form by adding your text below the explanation comments     _x000D_
     You can use the preview tab above to review your issue before submitting it     _x000D_
_x000D_
   Bug description _x000D_
     Enter a summarized description of what the bug problem is  that you found    _x000D_
c:geo keeps crashing on base folder selection as it cannot find an app to handle  OPEN DOCUMENT TREE _x000D_
Thus thus the user cannot migrate _x000D_
_x000D_
I asked the user to install a even newer version which includes the fix for  10413 with no success _x000D_
_x000D_
   Reproduce _x000D_
    Steps to reproduce the problem_x000D_
     Describe step by step how to reproduce the problem    _x000D_
  Start c:geo_x000D_
  Select base folder dialog shown_x000D_
  User selects  Continue _x000D_
_x000D_
    Actual result after these steps _x000D_
     Describe the actual issue problem behavior in detail  which happens after the steps above    _x000D_
Crash_x000D_
_x000D_
    Expected result after these steps _x000D_
     Describe what you expected to happen instead (correct behavior)    _x000D_
Dir chooser should open_x000D_
_x000D_
   c:geo version _x000D_
     You will find the c:geo version in c:geo Menu    About c:geo    _x000D_
2021 04 25_x000D_
2021 04 27 RC (inofficial RC)_x000D_
_x000D_
   Reproducible _x000D_
     Yes   No (or describe under what conditions)    _x000D_
Yes  for this user_x000D_
_x000D_
   System information _x000D_
     Attach system information here if available (see c:geo Menu    About c:geo    Swipe right to System)    _x000D_
     Keep the apostrophe at beginning and end to have it properly formatted    _x000D_
_x000D_
   _x000D_
    System information    _x000D_
c:geo version: 2021 04 27 RC_x000D_
_x000D_
Device:_x000D_
       _x000D_
  Device type: 8227L (full 8227L  ffkj)_x000D_
  Available processors: 4_x000D_
  Android version: 9_x000D_
  Android build: full 8227L demo userdebug 8 1 0 O11019 1550113051 test keys_x000D_
  Sailfish OS detected: false_x000D_
  Google Play services: enabled   21 12 13 (040304 367530751)_x000D_
  HW acceleration: enabled (default state)_x000D_
_x000D_
Sensor and location:_x000D_
       _x000D_
  Low power mode: inactive_x000D_
  Compass capabilities: no_x000D_
  Rotation vector sensor: absent_x000D_
  Orientation sensor: absent_x000D_
  Magnetometer   Accelerometer sensor: absent_x000D_
  Direction sensor used: magnetometer   accelerometer_x000D_
_x000D_
Program settings:_x000D_
       _x000D_
  Hide caches:  _x000D_
  Hide waypoints:  _x000D_
  Set language: nl NL (system default)_x000D_
  System date format: dd MM yy_x000D_
  Debug mode active: yes_x000D_
  Live map mode: true_x000D_
  OSM multi threading: false   threads: 1_x000D_
  Global filter: display all caches_x000D_
  Last backup: never_x000D_
  Routing mode: Walk_x000D_
  Map: Google: Map_x000D_
    Id: cgeo geocaching maps google v2 GoogleMapProvider GoogleMapSource_x000D_
    Atts: none_x000D_
    Theme: none_x000D_
_x000D_
Services:_x000D_
       _x000D_
  Geocaching sites enabled:_x000D_
   geocaching com: Logged in (Ingelogd)   PREMIUM_x000D_
  Geocaching com date format: dd MM yy_x000D_
  BRouter installed: false   connection available: false_x000D_
  Installed c:geo plugins:  none_x000D_
_x000D_
Permissions   paths:_x000D_
       _x000D_
  Fine location permission: granted_x000D_
  Write external storage permission: granted_x000D_
  System internal c:geo dir:  data user 0 cgeo geocaching (19 4 GB free) v2 internal isDir(7 entries)_x000D_
  Legacy User storage c:geo dir:  storage emulated 0 cgeo (19 4 GB free) v2 external non removable isDir(6 entries)_x000D_
  Geocache data:  storage emulated 0 Android data cgeo geocaching files GeocacheData (19 4 GB free) v2 external non removable isDir(2 entries)_x000D_
  Internal theme sync (is turned ON):  data user 0 cgeo geocaching MapThemeData (19 4 GB free) v2 internal isDir(0 entries)_x000D_
  Public Folders:  9_x000D_
    BASE:  Legacy  storage emulated 0 cgeo (Default)  storage emulated 0 cgeo FILE 0:p file:   storage emulated 0 cgeo::   (Uri: file:   storage emulated 0 cgeo  Av:true  files:  9  dirs:  7  totalFileSize:  15 2 MB  free space: 19 4 GB  files on device:  1)_x000D_
    OFFLINE MAPS:  Legacy  storage emulated 0 cgeo maps (Default)  storage emulated 0 cgeo maps PERSISTABLE FOLDER(BASE) 1:p file:   storage emulated 0 cgeo:: maps   (Uri: file:   storage emulated 0 cgeo maps  Av:true  files:0  dirs:1  totalFileSize:0 B  free space: 19 4 GB  files on device:  1)_x000D_
    OFFLINE MAP THEMES:  Legacy  storage emulated 0 cgeo maps  themes (Default)  storage emulated 0 cgeo maps  themes PERSISTABLE FOLDER(OFFLINE MAPS) 1:p file:   storage emulated 0 cgeo:: maps  themes   (Uri: file:   storage emulated 0 cgeo maps  themes  Av:true  files:0  dirs:0  totalFileSize:0 B  free space: 19 4 GB  files on device:  1)_x000D_
    LOGFILES:  Legacy  storage emulated 0 cgeo logfiles (Default)  storage emulated 0 cgeo logfiles PERSISTABLE FOLDER(BASE) 1:p file:   storage emulated 0 cgeo:: logfiles   (Uri: file:   storage emulated 0 cgeo logfiles  Av:true  files:9  dirs:0  totalFileSize:15 2 MB  free space: 19 4 GB  files on device:  1)_x000D_
    GPX:  Legacy  storage emulated 0 cgeo gpx (Default)  storage emulated 0 cgeo gpx PERSISTABLE FOLDER(BASE) 1:p file:   storage emulated 0 cgeo:: gpx   (Uri: file:   storage emulated 0 cgeo gpx  Av:true  files:0  dirs:0  totalFileSize:0 B  free space: 19 4 GB  files on device:  1)_x000D_
    BACKUP:  Legacy  storage emulated 0 cgeo backup (Default)  storage emulated 0 cgeo backup PERSISTABLE FOLDER(BASE) 1:p file:   storage emulated 0 cgeo:: backup   (Uri: file:   storage emulated 0 cgeo backup  Av:true  files:0  dirs:0  totalFileSize:0 B  free space: 19 4 GB  files on device:  1)_x000D_
    FIELD NOTES:  Legacy  storage emulated 0 cgeo field notes (Default)  storage emulated 0 cgeo field notes PERSISTABLE FOLDER(BASE) 1:p file:   storage emulated 0 cgeo:: field notes   (Uri: file:   storage emulated 0 cgeo field notes  Av:true  files:0  dirs:0  totalFileSize:0 B  free space: 19 4 GB  files on device:  1)_x000D_
    SPOILER IMAGES:  Legacy  storage emulated 0 cgeo GeocachePhotos (Default)  storage emulated 0 cgeo GeocachePhotos PERSISTABLE FOLDER(BASE) 1:p file:   storage emulated 0 cgeo:: GeocachePhotos   (Uri: file:   storage emulated 0 cgeo GeocachePhotos  Av:true  files:0  dirs:0  totalFileSize:0 B  free space: 19 4 GB  files on device:  1)_x000D_
    TEST FOLDER:  Legacy  data user 0 cgeo geocaching files unittest (Default)  data user 0 cgeo geocaching files unittest FILE 1:p file:   data user 0 cgeo geocaching files:: unittest   (Uri: file:   data user 0 cgeo geocaching files unittest  Av:true  files:0  dirs:0  totalFileSize:0 B  free space: 19 4 GB  files on device:  1)_x000D_
  Map render theme path:_x000D_
  PersistedDocumentUris:  1_x000D_
  TRACK: null_x000D_
  Persisted Uri Permissions:  0_x000D_
  Database:  data user 0 cgeo geocaching databases data (v94  Size:184 0 KB) on system internal storage_x000D_
 Settings: v5  Count:107_x000D_
    End of system information    _x000D_
   _x000D_
_x000D_
   Screenshots _x000D_
     (optional  remove if not applicable) You may attach screenshots if applicable and helpful to explain your problem     _x000D_
Seems to be a rather rare Android car radio  but user said  c:geo was working good on that _x000D_
_x000D_
  grafik (https:  user images githubusercontent com 949669 116603533 50d9b700 a92d 11eb 8d77 86d248dd4833 png)_x000D_
_x000D_
_x000D_
   Additional context _x000D_
     (optional  remove if not applicable) log files  reference to other similar issues  projects  sources  etc     _x000D_
   _x000D_
04 29 21:00:34 668  2010  2010 E AndroidRuntime: FATAL EXCEPTION: main_x000D_
04 29 21:00:34 668  2010  2010 E AndroidRuntime: Process: cgeo geocaching  PID: 2010_x000D_
04 29 21:00:34 668  2010  2010 E AndroidRuntime: android content ActivityNotFoundException: No Activity found to handle Intent   act android intent action OPEN DOCUMENT TREE flg 0x43 (has extras)  _x000D_
04 29 21:00:34 668  2010  2010 E AndroidRuntime: 	at android app Instrumentation checkStartActivityResult(Instrumentation java:1937)_x000D_
04 29 21:00:34 668  2010  2010 E AndroidRuntime: 	at android app Instrumentation execStartActivity(Instrumentation java:1616)_x000D_
04 29 21:00:34 668  2010  2010 E AndroidRuntime: 	at android app Activity startActivityForResult(Activity java:4571)_x000D_
04 29 21:00:34 668  2010  2010 E AndroidRuntime: 	at androidx fragment app FragmentActivity startActivityForResult(FragmentActivity java:676)_x000D_
04 29 21:00:34 668  2010  2010 E AndroidRuntime: 	at android app Activity startActivityForResult(Activity java:4529)_x000D_
04 29 21:00:34 668  2010  2010 E AndroidRuntime: 	at androidx fragment app FragmentActivity startActivityForResult(FragmentActivity java:663)_x000D_
04 29 21:00:34 668  2010  2010 E AndroidRuntime: 	at cgeo geocaching storage ContentStorageActivityHelper selectFolderInternal(ContentStorageActivityHelper java:328)_x000D_
04 29 21:00:34 668  2010  2010 E AndroidRuntime: 	at cgeo geocaching storage ContentStorageActivityHelper migratePersistableFolder(ContentStorageActivityHelper java:212)_x000D_
04 29 21:00:34 668  2010  2010 E AndroidRuntime: 	at cgeo geocaching InstallWizardActivity requestBasefolder(InstallWizardActivity java:426)_x000D_
04 29 21:00:34 668  2010  2010 E AndroidRuntime: 	at cgeo geocaching InstallWizardActivity lambda S12dzTv1tNyVh49CWAcHgRWECHs(Unknown Source:0)_x000D_
04 29 21:00:34 668  2010  2010 E AndroidRuntime: 	at cgeo geocaching    Lambda InstallWizardActivity S12dzTv1tNyVh49CWAcHgRWECHs run(Unknown Source:2)_x000D_
04 29 21:00:34 668  2010  2010 E AndroidRuntime: 	at cgeo geocaching InstallWizardActivity lambda setNavigation 8(InstallWizardActivity java:297)_x000D_
04 29 21:00:34 668  2010  2010 E AndroidRuntime: 	at cgeo geocaching    Lambda InstallWizardActivity qKYa72uUggZbUw 6eh42zWfcXVo onClick(Unknown Source:2)_x000D_
04 29 21:00:34 668  2010  2010 E AndroidRuntime: 	at android view View performClick(View java:6300)_x000D_
04 29 21:00:34 668  2010  2010 E AndroidRuntime: 	at android view View PerformClick run(View java:24941)_x000D_
04 29 21:00:34 668  2010  2010 E AndroidRuntime: 	at android os Handler handleCallback(Handler java:790)_x000D_
04 29 21:00:34 668  2010  2010 E AndroidRuntime: 	at android os Handler dispatchMessage(Handler java:99)_x000D_
04 29 21:00:34 668  2010  2010 E AndroidRuntime: 	at android os Looper loop(Looper java:164)_x000D_
04 29 21:00:34 668  2010  2010 E AndroidRuntime: 	at android app ActivityThread main(ActivityThread java:6529)_x000D_
04 29 21:00:34 668  2010  2010 E AndroidRuntime: 	at java lang reflect Method invoke(Native Method)_x000D_
04 29 21:00:34 668  2010  2010 E AndroidRuntime: 	at com android internal os RuntimeInit MethodAndArgsCaller run(RuntimeInit java:438)_x000D_
04 29 21:00:34 668  2010  2010 E AndroidRuntime: 	at com android internal os ZygoteInit main(ZygoteInit java:940)_x000D_
04 29 21:05:13 879  4151  4151 E AndroidRuntime: FATAL EXCEPTION: main_x000D_
04 29 21:05:13 879  4151  4151 E AndroidRuntime: Process: cgeo geocaching  PID: 4151_x000D_
04 29 21:05:13 879  4151  4151 E AndroidRuntime: android content ActivityNotFoundException: No Activity found to handle Intent   act android intent action OPEN DOCUMENT TREE flg 0x43 (has extras)  _x000D_
04 29 21:05:13 879  4151  4151 E AndroidRuntime: 	at android app Instrumentation checkStartActivityResult(Instrumentation java:1937)_x000D_
04 29 21:05:13 879  4151  4151 E AndroidRuntime: 	at android app Instrumentation execStartActivity(Instrumentation java:1616)_x000D_
04 29 21:05:13 879  4151  4151 E AndroidRuntime: 	at android app Activity startActivityForResult(Activity java:4571)_x000D_
04 29 21:05:13 879  4151  4151 E AndroidRuntime: 	at android app Activity startActivityForResult(Activity java:4529)_x000D_
04 29 21:05:13 879  4151  4151 E AndroidRuntime: 	at cgeo geocaching storage ContentStorageActivityHelper selectFolderInternal(ContentStorageActivityHelper java:328)_x000D_
04 29 21:05:13 879  4151  4151 E AndroidRuntime: 	at cgeo geocaching storage ContentStorageActivityHelper lambda selectPersistableFolder 0(ContentStorageActivityHelper java:192)_x000D_
04 29 21:05:13 879  4151  4151 E AndroidRuntime: 	at cgeo geocaching storage ContentStorageActivityHelper lambda selectPersistableFolder 0 ContentStorageActivityHelper(Unknown Source:0)_x000D_
04 29 21:05:13 879  4151  4151 E AndroidRuntime: 	at cgeo geocaching storage    Lambda ContentStorageActivityHelper tu9zPTlHm0nj4aCEw7OuEgcNbKo onClick(Unknown Source:4)_x000D_
04 29 21:05:13 879  4151  4151 E AndroidRuntime: 	at com android internal app AlertController ButtonHandler handleMessage(AlertController java:166)_x000D_
04 29 21:05:13 879  4151  4151 E AndroidRuntime: 	at android os Handler dispatchMessage(Handler java:106)_x000D_
04 29 21:05:13 879  4151  4151 E AndroidRuntime: 	at android os Looper loop(Looper java:164)_x000D_
04 29 21:05:13 879  4151  4151 E AndroidRuntime: 	at android app ActivityThread main(ActivityThread java:6529)_x000D_
04 29 21:05:13 879  4151  4151 E AndroidRuntime: 	at java lang reflect Method invoke(Native Method)_x000D_
04 29 21:05:13 879  4151  4151 E AndroidRuntime: 	at com android internal os RuntimeInit MethodAndArgsCaller run(RuntimeInit java:438)_x000D_
04 29 21:05:13 879  4151  4151 E AndroidRuntime: 	at com android internal os ZygoteInit main(ZygoteInit java:940)_x000D_
04 29 21:05:25 419  4619  4619 W ViewRootImpl MainActivity : Dropping event due to root view being removed: MotionEvent   action ACTION MOVE  actionButton 0  id 0  0  x 0   83 094635  y 0  408 07983  toolType 0  TOOL TYPE FINGER  buttonState 0  metaState 0  flags 0x0  edgeFlags 0x0  pointerCount 1  historySize 6  eventTime 452323  downTime 452250  deviceId 1  source 0x1002  _x000D_
   </t>
  </si>
  <si>
    <t>Anuken-Mindustry-5167</t>
  </si>
  <si>
    <t>Electric-based turrets consume power when disabled</t>
  </si>
  <si>
    <t xml:space="preserve">  Platform  :  Android  Windows _x000D_
_x000D_
  Build  : 126 3_x000D_
_x000D_
  Issue  :  Assuming turrets were already disabled by processor : Meltdown  arc  lancer and foreshadow  when enemy reaches their range  despite not shooting  still consume power  Foreshadow doesn t consume surge thought _x000D_
_x000D_
  Steps to reproduce  : Disable turret by processor  Connect to power source (of any kind)  When enemy enters its range player can notice power drain as if turret was shooting  Once enemy leaves  turret stops consuming power _x000D_
_x000D_
  Screenshot  :_x000D_
  image (https:  user images githubusercontent com 33349024 116601529 e758a900 a92a 11eb 9669 0451d67173f4 png)_x000D_
_x000D_
_x000D_
  Link(s) to mod(s) used  : Works with vanilla   Once I used  deltanedas unit factory  to spawn units for testing _x000D_
_x000D_
  Save file  :  https:  github com Anuken Mindustry files 6309673 mega bug report zip_x000D_
_x000D_
_x000D_
  (Crash) logs  : Bug doesn t crash the game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</si>
  <si>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tchapgouv-tchap-android-legacy-715</t>
  </si>
  <si>
    <t>Crash: Exception: java.lang.RuntimeException: Unable to start activity ComponentInfo{SASVerificationActivity}</t>
  </si>
  <si>
    <t xml:space="preserve">l application s est arr t e apr s la validation d une demande de v rification de clefs_x000D_
_x000D_
                                  crash call stack                                  _x000D_
Tchap Build : 77_x000D_
Tchap Version : 1 1 1 a (F 834c9b8a2 2021 03 12 07:46:04  0100)_x000D_
SDK Version : 0 9 37 dev (834c9b8a2 2021 03 12 07:46:04  0100)_x000D_
Phone : Xperia X (AOSP) (eng 10112020 20210210 110640 6 0 1 REL)_x000D_
Memory statuses _x000D_
usedSize   77 MB_x000D_
freeSize   1 MB_x000D_
totalSize   78 MB_x000D_
Thread: main  Exception: java lang RuntimeException: Unable to start activity ComponentInfo fr gouv tchap a im vector activity SASVerificationActivity : kotlin TypeCastException: null cannot be cast to non null type org matrix androidsdk crypto verification IncomingSASVerificationTransaction_x000D_
        at android app ActivityThread performLaunchActivity(ActivityThread java:2416)_x000D_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java:722)_x000D_
        at com android internal os ZygoteInit main(ZygoteInit java:612)_x000D_
Caused by: kotlin TypeCastException: null cannot be cast to non null type org matrix androidsdk crypto verification IncomingSASVerificationTransaction_x000D_
        at im vector activity SASVerificationActivity initUiAndData(SASVerificationActivity kt:98)_x000D_
        at im vector activity VectorAppCompatActivity onCreate(VectorAppCompatActivity kt:108)_x000D_
        at android app Activity performCreate(Activity java:6251)_x000D_
        at android app Instrumentation callActivityOnCreate(Instrumentation java:1107)_x000D_
        at android app ActivityThread performLaunchActivity(ActivityThread java:2369)_x000D_
            9 more_x000D_
_x000D_
_x000D_
User Agent:  Tchap 1 1 1 a (Linux  U  Android 6 0 1  Xperia X (AOSP) Build MOB31  Flavour appfdroidAgentWithoutvoipWithoutpinning  MatrixAndroidSDK 0 9 37 dev) </t>
  </si>
  <si>
    <t>mollyim-mollyim-android-41</t>
  </si>
  <si>
    <t>Molly Crashes on attempted opening of a group chat</t>
  </si>
  <si>
    <t xml:space="preserve">I am in a group chat with 4 other signal users  Whenever I try to open this chat to read its contents  Molly crashes instantly  yet if there is a notification for a new message in said group chat  I may access the chat without issue only as long as I select the notification  _x000D_
Attempting to open the chat manually by selecting it within Molly crashes the app _x000D_
_x000D_
I am in two group chats currently  the one that causes the crashes only holds 5 users including myself  The other chat holds 20  and causes me no issue _x000D_
_x000D_
I downloaded and installed Molly from the F DROID repository and am running Android version 7 0 but my phone informs me whenever I check for new updates that it s software is up to date  _x000D_
_x000D_
Edit: in attempt to send in the debug log  it notified me that it is  without specifying why  unable to submit the debug log </t>
  </si>
  <si>
    <t>material-components-material-components-android-2195</t>
  </si>
  <si>
    <t xml:space="preserve">Select a date range across two months  _x000D_
Open MaterialCalendarGridView on current month (april 2021   with 5 weeks  ) and select a day  move to next month (may   with 6 weeks  ) and select the last day (  it s invisible   )  _x000D_
When select the last day  it crashes _x000D_
_x000D_
  MainActivity java  _x000D_
_x000D_
The problem is with _x000D_
 builder setTheme(R style ThemeOverlay HRAppTheme MaterialCalendar)  _x000D_
_x000D_
   _x000D_
package com example myapplication _x000D_
_x000D_
import android os Bundle _x000D_
import android os Handler _x000D_
import android view View _x000D_
import android widget Button _x000D_
_x000D_
import com google android material datepicker MaterialDatePicker _x000D_
_x000D_
import androidx appcompat app AppCompatActivity _x000D_
import androidx core util Pair _x000D_
_x000D_
public class MainActivity extends AppCompatActivity_x000D_
 _x000D_
_x000D_
    private Handler openPickerHandler   new Handler() _x000D_
    private Runnable runOpenPicker   new Runnable()_x000D_
     _x000D_
         Override_x000D_
        public void run()_x000D_
         _x000D_
            MaterialDatePicker Builder Pair Long  Long   builder   MaterialDatePicker Builder dateRangePicker() _x000D_
            builder setTheme(R style ThemeOverlay HRAppTheme MaterialCalendar) _x000D_
            MaterialDatePicker Pair Long  Long   datePicker   builder build() _x000D_
            datePicker show(getSupportFragmentManager()   MATERIAL DATE PICKER ) _x000D_
         _x000D_
_x000D_
      _x000D_
_x000D_
     Override_x000D_
    protected void onCreate(Bundle savedInstanceState)_x000D_
     _x000D_
        super onCreate(savedInstanceState) _x000D_
        setContentView(R layout activity main) _x000D_
        Button button   findViewById(R id button) _x000D_
        button setOnClickListener(new View OnClickListener()_x000D_
         _x000D_
             Override_x000D_
            public void onClick(View v)_x000D_
             _x000D_
                openPickerHandler postDelayed(runOpenPicker  120) _x000D_
             _x000D_
         ) _x000D_
     _x000D_
_x000D_
 _x000D_
   _x000D_
_x000D_
  style xml  _x000D_
   _x000D_
  xml version  1 0  encoding  utf 8   _x000D_
 resources _x000D_
_x000D_
     style name  ThemeOverlay HRAppTheme MaterialCalendar  parent  ThemeOverlay MaterialComponents MaterialCalendar  _x000D_
      style _x000D_
_x000D_
  resources _x000D_
   _x000D_
_x000D_
  activity main xml  _x000D_
   _x000D_
  xml version  1 0  encoding  utf 8   _x000D_
 androidx constraintlayout widget ConstraintLayout xmlns:android  http:  schemas android com apk res android _x000D_
    xmlns:app  http:  schemas android com apk res auto _x000D_
    xmlns:tools  http:  schemas android com tools _x000D_
    android:layout width  match parent _x000D_
    android:layout height  match parent _x000D_
    tools:context   MainActivity  _x000D_
_x000D_
     Button_x000D_
        android:id    id button _x000D_
        android:layout width  wrap content _x000D_
        android:layout height  wrap content _x000D_
        android:text  Button _x000D_
        app:layout constraintStart toStartOf  parent _x000D_
        app:layout constraintTop toTopOf  parent _x000D_
           _x000D_
_x000D_
  androidx constraintlayout widget ConstraintLayout _x000D_
_x000D_
   _x000D_
_x000D_
  crash video (https:  user images githubusercontent com 40659655 116667402 6f2acb80 a99c 11eb 9473 54d4efaa9a65 gif)_x000D_
_x000D_
  Android API version:   _x000D_
Android API 26_x000D_
_x000D_
  Material Library version:   _x000D_
com google android material:material:1 3 0_x000D_
com google android material:material:1 4 0 alpha02_x000D_
com google android material:material:1 4 0 beta01_x000D_
com google android material:material:1 4 0 rc01_x000D_
com google android material:material:1 4 0 _x000D_
_x000D_
  Device:   _x000D_
Emulator_x000D_
_x000D_
Here the stacktrace_x000D_
_x000D_
2021 04 29 16:57:30 483 19374 19374 com zucchetti hr hrsuite E AndroidRuntime: FATAL EXCEPTION: main_x000D_
    Process: com zucchetti hr hrsuite  PID: 19374_x000D_
    java lang NullPointerException: Attempt to invoke virtual method  int android view View getLeft()  on a null object reference_x000D_
        at com google android material datepicker MaterialCalendarGridView horizontalMidPoint(MaterialCalendarGridView java:242)_x000D_
        at com google android material datepicker MaterialCalendarGridView onDraw(MaterialCalendarGridView java:172)_x000D_
        at android view View draw(View java:19123)_x000D_
        at android widget AbsListView draw(AbsListView java:4317)_x000D_
        at android view View updateDisplayListIfDirty(View java:18073)_x000D_
        at android view View draw(View java:18851)_x000D_
        at android view ViewGroup drawChild(ViewGroup java:4214)_x000D_
        at android view ViewGroup dispatchDraw(ViewGroup java:4000)_x000D_
        at android view View updateDisplayListIfDirty(View java:18064)_x000D_
        at android view View draw(View java:18851)_x000D_
        at android view ViewGroup drawChild(ViewGroup java:4214)_x000D_
        at androidx recyclerview widget RecyclerView drawChild(RecyclerView java:5030)_x000D_
        at android view ViewGroup dispatchDraw(ViewGroup java:4000)_x000D_
        at android view View draw(View java:19126)_x000D_
        at androidx recyclerview widget RecyclerView draw(RecyclerView java:4429)_x000D_
        at android view View updateDisplayListIfDirty(View java:18073)_x000D_
        at android view View draw(View java:18851)_x000D_
        at android view ViewGroup drawChild(ViewGroup java:4214)_x000D_
        at android view ViewGroup dispatchDraw(ViewGroup java:4000)_x000D_
        at android view View updateDisplayListIfDirty(View java:18064)_x000D_
        at android view View draw(View java:18851)_x000D_
        at android view ViewGroup drawChild(ViewGroup java:4214)_x000D_
        at android view ViewGroup dispatchDraw(ViewGroup java:4000)_x000D_
        at android view View updateDisplayListIfDirty(View java:18064)_x000D_
        at android view View draw(View java:18851)_x000D_
        at android view ViewGroup drawChild(ViewGroup java:4214)_x000D_
        at android view ViewGroup dispatchDraw(ViewGroup java:4000)_x000D_
        at android view View updateDisplayListIfDirty(View java:18064)_x000D_
        at android view View draw(View java:18851)_x000D_
        at android view ViewGroup drawChild(ViewGroup java:4214)_x000D_
        at android view ViewGroup dispatchDraw(ViewGroup java:4000)_x000D_
        at android view View updateDisplayListIfDirty(View java:18064)_x000D_
        at android view View draw(View java:18851)_x000D_
        at android view ViewGroup drawChild(ViewGroup java:4214)_x000D_
        at android view ViewGroup dispatchDraw(ViewGroup java:4000)_x000D_
        at android view View updateDisplayListIfDirty(View java:18064)_x000D_
        at android view View draw(View java:18851)_x000D_
        at android view ViewGroup drawChild(ViewGroup java:4214)_x000D_
        at android view ViewGroup dispatchDraw(ViewGroup java:4000)_x000D_
        at android view View updateDisplayListIfDirty(View java:18064)_x000D_
        at android view View draw(View java:18851)_x000D_
        at android view ViewGroup drawChild(ViewGroup java:4214)_x000D_
        at android view ViewGroup dispatchDraw(ViewGroup java:4000)_x000D_
        at android view View updateDisplayListIfDirty(View java:18064)_x000D_
        at android view View draw(View java:18851)_x000D_
        at android view ViewGroup drawChild(ViewGroup java:4214)_x000D_
        at android view ViewGroup dispatchDraw(ViewGroup java:4000)_x000D_
        at android view View updateDisplayListIfDirty(View java:18064)_x000D_
        at android view View draw(View java:18851)_x000D_
        at android view ViewGroup drawChild(ViewGroup java:4214)_x000D_
        at android view ViewGroup dispatchDraw(ViewGroup java:4000)_x000D_
        at android view View draw(View java:19126)_x000D_
        at com android internal policy DecorView draw(DecorView java:785)_x000D_
        at android view View updateDisplayListIfDirty(View java:18073)_x000D_
        at android view ThreadedRenderer updateViewTreeDisplayList(ThreadedRenderer java:643)_x000D_
        at android view ThreadedRenderer updateRootDisplayList(ThreadedRenderer java:649)_x000D_
        at android view ThreadedRenderer draw(ThreadedRenderer java:757)_x000D_
        at android view ViewRootImpl draw(ViewRootImpl java:2980)_x000D_
        at android view ViewRootImpl performDraw(ViewRootImpl java:2794)_x000D_
        at android view ViewRootImpl performTraversals(ViewRootImpl java:2347)_x000D_
        at android view ViewRootImpl doTraversal(ViewRootImpl java:1386)_x000D_
        at android view ViewRootImpl TraversalRunnable run(ViewRootImpl java:6733)_x000D_
2021 04 29 16:57:30 483 19374 19374 com zucchetti hr hrsuite E AndroidRuntime:     at android view Choreographer CallbackRecord run(Choreographer java:911)_x000D_
        at android view Choreographer doCallbacks(Choreographer java:723)_x000D_
        at android view Choreographer doFrame(Choreographer java:658)_x000D_
        at android view Choreographer FrameDisplayEventReceiver run(Choreographer java:897)_x000D_
        at android os Handler handleCallback(Handler java:789)_x000D_
        at android os Handler dispatchMessage(Handler java:98)_x000D_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t>
  </si>
  <si>
    <t>commons-app-apps-android-commons-4385</t>
  </si>
  <si>
    <t xml:space="preserve">App crash On categoryDetail activity when click on image  after orientation change </t>
  </si>
  <si>
    <t xml:space="preserve">  Summary:   _x000D_
_x000D_
App crash On categoryDetail activity when click on image  after orientation change_x000D_
_x000D_
  Steps to reproduce:   _x000D_
_x000D_
1  Open categoryDetail activity _x000D_
2  change the orientation _x000D_
3  click on the image _x000D_
_x000D_
  System logs:  _x000D_
_x000D_
   _x000D_
2021 04 29 09:06:54 580 31940 31940 fr free nrw commons E ACRA: ACRA caught a UninitializedPropertyAccessException for fr free nrw commons_x000D_
    kotlin UninitializedPropertyAccessException: lateinit property categoryImagesCallback has not been initialized_x000D_
        at fr free nrw commons explore media PageableMediaFragment getCategoryImagesCallback(PageableMediaFragment kt:24)_x000D_
        at fr free nrw commons explore media PageableMediaFragment pagedListAdapter 2 invoke(PageableMediaFragment kt:17)_x000D_
        at fr free nrw commons explore media PageableMediaFragment pagedListAdapter 2 invoke(PageableMediaFragment kt:14)_x000D_
        at kotlin SynchronizedLazyImpl getValue(LazyJVM kt:74)_x000D_
        at fr free nrw commons explore media PageableMediaFragment getPagedListAdapter(PageableMediaFragment kt)_x000D_
        at fr free nrw commons explore media PageableMediaFragment getTotalMediaCount(PageableMediaFragment kt:55)_x000D_
        at fr free nrw commons category CategoryDetailsActivity getTotalMediaCount(CategoryDetailsActivity java:160)_x000D_
        at fr free nrw commons media MediaDetailPagerFragment MediaDetailAdapter getCount(MediaDetailPagerFragment java:438)_x000D_
        at androidx viewpager widget ViewPager setAdapter(ViewPager java:532)_x000D_
        at fr free nrw commons media MediaDetailPagerFragment onCreateView(MediaDetailPagerFragment java:109)_x000D_
        at androidx fragment app Fragment performCreateView(Fragment java:2698)_x000D_
        at androidx fragment app FragmentStateManager createView(FragmentStateManager java:310)_x000D_
        at androidx fragment app FragmentManager moveToState(FragmentManager java:1185)_x000D_
        at androidx fragment app FragmentManager moveToState(FragmentManager java:1354)_x000D_
        at androidx fragment app FragmentManager moveFragmentToExpectedState(FragmentManager java:1432)_x000D_
        at androidx fragment app FragmentManager moveToState(FragmentManager java:1495)_x000D_
        at androidx fragment app BackStackRecord executeOps(BackStackRecord java:447)_x000D_
        at androidx fragment app FragmentManager executeOps(FragmentManager java:2167)_x000D_
        at androidx fragment app FragmentManager executeOpsTogether(FragmentManager java:1990)_x000D_
        at androidx fragment app FragmentManager removeRedundantOperationsAndExecute(FragmentManager java:1945)_x000D_
        at androidx fragment app FragmentManager execPendingActions(FragmentManager java:1847)_x000D_
        at androidx fragment app FragmentManager executePendingTransactions(FragmentManager java:489)_x000D_
        at fr free nrw commons category CategoryDetailsActivity onMediaClicked(CategoryDetailsActivity java:125)_x000D_
        at fr free nrw commons explore media PageableMediaFragment pagedListAdapter 2 1 invoke(PageableMediaFragment kt:17)_x000D_
        at fr free nrw commons explore media PageableMediaFragment pagedListAdapter 2 1 invoke(PageableMediaFragment kt:14)_x000D_
        at fr free nrw commons explore media SearchImagesViewHolder bind 1 onClick(PagedMediaAdapter kt:37)_x000D_
        at android view View performClick(View java:5647)_x000D_
        at android view View PerformClick run(View java:22465)_x000D_
        at android os Handler handleCallback(Handler java:754)_x000D_
        at android os Handler dispatchMessage(Handler java:95)_x000D_
        at android os Looper loop(Looper java:163)_x000D_
        at android app ActivityThread main(ActivityThread java:6238)_x000D_
        at java lang reflect Method invoke(Native Method)_x000D_
        at com android internal os ZygoteInit MethodAndArgsCaller run(ZygoteInit java:933)_x000D_
        at com android internal os ZygoteInit main(ZygoteInit java:823)_x000D_
   _x000D_
_x000D_
  Device and Android version:   _x000D_
Android Device :Redmi y3_x000D_
API :_x000D_
  Commons app version:  _x000D_
Latest master _x000D_
  Screen shots:   _x000D_
_x000D_
_x000D_
https:  user images githubusercontent com 65972015 116501158 bf872800 a8cd 11eb 83b6 0043f2b41569 mp4_x000D_
_x000D_
_x000D_
_x000D_
  Would you like to work on the issue   _x000D_
YES _x000D_
</t>
  </si>
  <si>
    <t>TeamNewPipe-NewPipe-6196</t>
  </si>
  <si>
    <t>Cannot pause queue manager or notification player while buffering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</si>
  <si>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Pause Play doesn t work on notification player or queue manager player while buffering  It works completely fine on main player or full screen _x000D_
_x000D_
    Expected behavior_x000D_
     Tell us what you expect to happen     _x000D_
_x000D_
Ability to select pause or play should work normally for notification and queue manager player just like main player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12 0 3_x000D_
   Device model: Xiaomi Redmi Note 8 Pro_x000D_
</t>
  </si>
  <si>
    <t>nextcloud-android-8326</t>
  </si>
  <si>
    <t>crash when need to relogin</t>
  </si>
  <si>
    <t xml:space="preserve">    Steps to reproduce_x000D_
1  Click on invalid user prompt from notifications_x000D_
2  Crash_x000D_
3  _x000D_
_x000D_
    Expected behaviour_x000D_
  login screen_x000D_
_x000D_
    Actual behaviour_x000D_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11_x000D_
_x000D_
Device model: oneplus 7t_x000D_
_x000D_
Stock or customized system: stock_x000D_
_x000D_
Nextcloud app version: beta user _x000D_
_x000D_
Nextcloud server version: 21 0 1_x000D_
_x000D_
Reverse proxy: nginx_x000D_
_x000D_
    Logs_x000D_
     Web server error log_x000D_
   _x000D_
Insert your webserver log here_x000D_
   _x000D_
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java:923)_x000D_
_x000D_
             APP INFORMATION             _x000D_
ID: com nextcloud client_x000D_
Version: 30160052_x000D_
Build flavor: gplay_x000D_
_x000D_
             DEVICE INFORMATION             _x000D_
Brand: OnePlus_x000D_
Device: OnePlus7T_x000D_
Model: HD1900_x000D_
Id: RKQ1 201022 002_x000D_
Product: OnePlus7T_x000D_
_x000D_
             FIRMWARE             _x000D_
SDK: 30_x000D_
Release: 11_x000D_
Incremental: 2104060845_x000D_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</si>
  <si>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nextcloud-android-8325</t>
  </si>
  <si>
    <t>Crashing with old/wrong credentials</t>
  </si>
  <si>
    <t>I just switched to a private profile that I have not been using on my phone for a while  so the saved user password is wrong  Switching to the profile immediately crashes the app 
The bad thing is that I now cannot enter the app any more 
    Steps to reproduce
1  Add profile B to the app and then switch to your default profile A 
2  Change your password server side (e g  in your browser or via an external IdM  in my case in LDAP)
3  Back in the app  switch from your default profile A to profile B  and see the app crashing 
    Expected behaviour
  The app should switch from profile A to profile B (with the changed password)  1  asking for the new credentials  or 2  proposing to use a token for the app to avoid having to change the password in the future 
    Actual behaviour
  The app crashes when switching from default profile A to profile B with a new password 
    Environment data
Android version: 9 PKQ1
Device model: Xiaomi Mi MIX 2
Stock or customized system: MIUI 12
Nextcloud app version: 3 16 0 RC2
Nextcloud server version: 19 0 10 1
Reverse proxy: Apache</t>
  </si>
  <si>
    <t>smartdevicelink-sdl_java_suite-1678</t>
  </si>
  <si>
    <t>java.lang.NegativeArraySizeException Crash at SdlPsm.java line 241 com.smartdevicelink.transport.SdlPsm.transitionOnInput</t>
  </si>
  <si>
    <t xml:space="preserve">    Bug Report_x000D_
Fatal Crash _x000D_
   _x000D_
Fatal Exception: java lang NegativeArraySizeException:  592969471_x000D_
       at com smartdevicelink transport SdlPsm transitionOnInput(SdlPsm java:241)_x000D_
       at com smartdevicelink transport SdlPsm handleByte(SdlPsm java:88)_x000D_
       at com smartdevicelink transport MultiplexBluetoothTransport ConnectedThread run(MultiplexBluetoothTransport java:801)_x000D_
_x000D_
   _x000D_
_x000D_
_x000D_
      Reproduction Steps_x000D_
Seeing crash in Firebase Crashlytics dash  unfortunately no reproduction steps to share  _x000D_
_x000D_
      Expected Behavior_x000D_
No Crash_x000D_
_x000D_
      Observed Behavior_x000D_
Crashing_x000D_
_x000D_
      OS   Version Information_x000D_
  Android Version: 46  Android 11  45  Android 10  5  Android 7 _x000D_
  SDL Android Version: 4 12 0_x000D_
  Testing Against: _x000D_
According to crash logs  app was always in background when the crash was seen _x000D_
_x000D_
      Test Case  Sample Code  and   or Example App_x000D_
 Paste a link to a PR  gist  or other code that exemplifies this behavior _x000D_
</t>
  </si>
  <si>
    <t>hzi-braunschweig-SORMAS-Project-5268</t>
  </si>
  <si>
    <t>Inconsistencies when saving pathogen tests after recent disease variant introduction</t>
  </si>
  <si>
    <t xml:space="preserve">    _x000D_
If you ve never submitted an issue to the SORMAS repository before or this is your first time using this template  please read the Contributing guidelines (https:  github com hzi braunschweig SORMAS Project blob development docs CONTRIBUTING md) for an explanation of the information we need you to provide  You don t have to remove this comment or any other comment from this issue as they will automatically be hidden _x000D_
   _x000D_
    Bug Description_x000D_
     Mandatory    _x000D_
  Issue  5029 added a variant to pathogen test  _x000D_
   WEB   when the same pathogen test is opened and save without editing any data  there is still a popup asking user if they need to override the disease variant   followed by  unsaved change message _x000D_
   mobile  when a multiple positive PCR test of covid19 is created for the same sample  save icon is not responsive and mobile app crashes_x000D_
   mobile  For some of the pathogen test ( often when creating a second  test of the same sample)  disease variant caption is missing on the pathogen test form _x000D_
_x000D_
_x000D_
    Steps to Reproduce_x000D_
     Optional  please add more steps if necessary    _x000D_
1 _x000D_
2 _x000D_
_x000D_
    Expected Behavior_x000D_
     Optional    _x000D_
  When a POSITIVE pathogen test with confirmed by supervisor   YES with a disease variant    the disease variant of the case is saved  display a popup message that asks the user to update the disease variant of the case:  You have saved a positive pathogen test of a different disease variant than the variant specified in the case  Do you want to update the disease variant of the case     options  Yes  and  No    Discard _x000D_
    Screenshots_x000D_
     Optional    _x000D_
_x000D_
    System Details_x000D_
     Mandatory  you only have to specify the Server URL if the error appeared on a publicly available test server    _x000D_
  Device:_x000D_
  SORMAS version: 1 59_x000D_
  Android version Browser: A7  Tecno_x000D_
  Server URL: https:  release international sormas netzlink com sormas ui _x000D_
  User Role: national user  surveillance officer   contact officer_x000D_
_x000D_
    Additional Information_x000D_
     Optional    _x000D_
</t>
  </si>
  <si>
    <t>hzi-braunschweig-SORMAS-Project-5262</t>
  </si>
  <si>
    <t>Saving case-events in the android app causes the app to crash</t>
  </si>
  <si>
    <t xml:space="preserve">    Bug Description_x000D_
Creating case events in the android app causes the app to exit _x000D_
_x000D_
    Steps to Reproduce_x000D_
     Optional  please add more steps if necessary    _x000D_
1  Create a case _x000D_
2  Go to Case Events_x000D_
3  Create a new Event and save_x000D_
_x000D_
    Expected Behavior_x000D_
Don t crash_x000D_
_x000D_
    System Details_x000D_
     Mandatory  you only have to specify the Server URL if the error appeared on a publicly available test server    _x000D_
  Device:_x000D_
  SORMAS version: 1 60 0 SNAPSHOT_x000D_
  Android version Browser: Android 11 0_x000D_
  Server URL:_x000D_
  User Role: Surveillance Officer_x000D_
_x000D_
    Additional Information_x000D_
     Optional    _x000D_
</t>
  </si>
  <si>
    <t>Tencent-matrix-581</t>
  </si>
  <si>
    <t>运行时 crash, AppMethodBeat.i方法StackOverflowError</t>
  </si>
  <si>
    <t xml:space="preserve">     app      _x000D_
_x000D_
        mate 30 pro_x000D_
_x000D_
       Android 11_x000D_
_x000D_
matrix   0 8 1_x000D_
_x000D_
gradle   4 1 0_x000D_
_x000D_
      matrix gradle plugin        plugin                app  crash_x000D_
_x000D_
      _x000D_
1      _x000D_
  Task :app:compileDebugSources_x000D_
 W  Matrix Trace   getMethodFromBaseMethod  not exist  Users maplesnow Desktop vv XMVV APM app matrixTrace methodMapping txt_x000D_
 I  Matrix Trace   ParseMappingTask run  cost:0ms  black size:4  collect 0 method from  Users maplesnow Desktop vv XMVV APM app matrixTrace methodMapping txt_x000D_
 I  MethodCollector   saveIgnoreCollectedMethod  size:15219 path: Users maplesnow Desktop vv XMVV APM app build outputs mapping debug ignoreMethodMapping txt_x000D_
 I  MethodCollector   saveCollectedMethod  size:41218 incrementCount:41217 path: Users maplesnow Desktop vv XMVV APM app build outputs mapping debug methodMapping txt_x000D_
_x000D_
  Task :app:transformClassesWithMatrixTraceTransformForDebug_x000D_
 I  Matrix Trace   doTransform  Step(1) Parse     cost:5ms_x000D_
 I  Matrix Trace   doTransform  Step(2) Collection     cost:320ms_x000D_
 I  Matrix Trace   doTransform  Step(3) Trace     cost:2416ms_x000D_
 I  Matrix TraceTransform   Insert matrix trace instrumentations cost time: 2742ms _x000D_
_x000D_
2    crash    _x000D_
    java lang StackOverflowError: stack size 8192KB_x000D_
        at      AppMethodBeat i(Unknown Source:2)_x000D_
        at      AppMethodBeat i(Unknown Source:2)_x000D_
        at      AppMethodBeat i(Unknown Source:2)_x000D_
        at      AppMethodBeat i(Unknown Source:2)_x000D_
        at      AppMethodBeat i(Unknown Source:2)_x000D_
        at      AppMethodBeat i(Unknown Source:2)_x000D_
_x000D_
</t>
  </si>
  <si>
    <t>nextcloud-android-8316</t>
  </si>
  <si>
    <t>Created new odt file using collabora code server</t>
  </si>
  <si>
    <t xml:space="preserve">    Steps to reproduce_x000D_
1  Create new document_x000D_
2  Enter file name_x000D_
3  Collabora will execute and report error_x000D_
             CAUSE OF ERROR             _x000D_
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java:289)_x000D_
	at java util concurrent ThreadPoolExecutor runWorker(ThreadPoolExecutor java:1167)_x000D_
	at java util concurrent ThreadPoolExecutor Worker run(ThreadPoolExecutor java:641)_x000D_
	at java lang Thread run(Thread java:919)_x000D_
Caused by: java lang IllegalStateException: Fragment ChooseRichDocumentsTemplateDialogFragment d409b83  (9b541160 7b03 4b33 b7ad b23b96a8fa82) not attached to a context _x000D_
	at androidx fragment app Fragment requireContext(Fragment java:900)_x000D_
	at com owncloud android ui dialog ChooseRichDocumentsTemplateDialogFragment CreateFileFromTemplateTask doInBackground(ChooseRichDocumentsTemplateDialogFragment java:291)_x000D_
	at com owncloud android ui dialog ChooseRichDocumentsTemplateDialogFragment CreateFileFromTemplateTask doInBackground(ChooseRichDocumentsTemplateDialogFragment java:256)_x000D_
	at android os AsyncTask 3 call(AsyncTask java:378)_x000D_
	at java util concurrent FutureTask run(FutureTask java:266)_x000D_
	    4 more_x000D_
_x000D_
             APP INFORMATION             _x000D_
ID: com nextcloud client_x000D_
Version: 30160052_x000D_
Build flavor: gplay_x000D_
_x000D_
             DEVICE INFORMATION             _x000D_
Brand: lge_x000D_
Device: cv7as_x000D_
Model: LM Q720_x000D_
Id: QKQ1 200308 002_x000D_
Product: cv7as fg_x000D_
_x000D_
             FIRMWARE             _x000D_
SDK: 29_x000D_
Release: 10_x000D_
Incremental: 210552140c31d_x000D_
_x000D_
    Expected_x000D_
Should have brought up editor screen_x000D_
    Actual behaviour_x000D_
Loads Collabora CODE server ans crashes_x000D_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</si>
  <si>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Anuken-Mindustry-5162</t>
  </si>
  <si>
    <t>Conveyors Blend With Middle Bridges</t>
  </si>
  <si>
    <t xml:space="preserve">  Platform  :  Android iOS Mac Windows Linux _x000D_
Windows 10_x000D_
_x000D_
  Build  :  The build number under the title in the main menu  Required   LATEST  IS NOT A VERSION  I NEED THE EXACT BUILD NUMBER OF YOUR GAME  _x000D_
steam_x000D_
_x000D_
  Issue  :  Explain your issue in detail  _x000D_
  image (https:  user images githubusercontent com 54417042 116325178 8779cb00 a78f 11eb 8396 0ec4594cdcf2 png)_x000D_
_x000D_
_x000D_
  Steps to reproduce  :  How you happened across the issue  and what exactly you did to make the bug happen  _x000D_
_x000D_
bXNjaAF4nE2LzQqDMBCEJ6l pQfxQXyoqEvZg5sSY0F8dXGbmkN7GD6YbwZ3WItC3EwoB3Ky4DHRMgZ RfYCWLRD4OlJ ejlTZsP6CJHJ7zOvwpoUmBqVd1Vz8Oa9Exvg1tG8QUSrs1xrQ3KLKssm3 5AXeuJWM _x000D_
_x000D_
  Link(s) to mod(s) used  :  The mod repositories or zip files that are related to the issue  if applicable  _x000D_
no_x000D_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no_x000D_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no_x000D_
   _x000D_
_x000D_
 Place an X (no spaces) between the brackets to confirm that you have read the line below    _x000D_
   X    I have updated to the latest release (https:  github com Anuken Mindustry releases) to make sure my issue has not been fixed   _x000D_
   sortof    I have searched the closed and open issues to make sure that this problem has not already been reported   _x000D_
</t>
  </si>
  <si>
    <t>cgeo-cgeo-10490</t>
  </si>
  <si>
    <t>Position freezes on mapsforge map / NPE on mapsforge</t>
  </si>
  <si>
    <t xml:space="preserve">     Fill in the following form by adding your text below the explanation comments     _x000D_
     You can use the preview tab above to review your issue before submitting it     _x000D_
_x000D_
   Bug description _x000D_
     Enter a summarized description of what the bug problem is  that you found    _x000D_
Reported by a user  that says this is a new bug appearing since 2021 04 15 for him_x000D_
_x000D_
   Reproduce _x000D_
    Steps to reproduce the problem_x000D_
     Describe step by step how to reproduce the problem    _x000D_
  Open map_x000D_
  Walk around_x000D_
_x000D_
_x000D_
    Actual result after these steps _x000D_
     Describe the actual issue problem behavior in detail  which happens after the steps above    _x000D_
  After some time of map usage the position icon freezes and is no longer moving_x000D_
  Restart only helps_x000D_
_x000D_
    Expected result after these steps _x000D_
     Describe what you expected to happen instead (correct behavior)    _x000D_
Normal operation_x000D_
_x000D_
   c:geo version _x000D_
     You will find the c:geo version in c:geo Menu    About c:geo    _x000D_
2021 04 25_x000D_
_x000D_
   Reproducible _x000D_
     Yes   No (or describe under what conditions)    _x000D_
Not clearly_x000D_
_x000D_
   System information _x000D_
     Attach system information here if available (see c:geo Menu    About c:geo    Swipe right to System)    _x000D_
     Keep the apostrophe at beginning and end to have it properly formatted    _x000D_
_x000D_
_x000D_
   _x000D_
    System information    _x000D_
c:geo version: 2021 04 25_x000D_
_x000D_
Device:_x000D_
       _x000D_
  Device type: SM A520F (a5y17ltexx  samsung)_x000D_
  Available processors: 8_x000D_
  Android version: 8 0 0_x000D_
  Android build: R16NW A520FXXUGCTKA_x000D_
  Sailfish OS detected: false_x000D_
  Google Play services: enabled   21 12 13 (040408 367530751)_x000D_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Hide caches:  _x000D_
  Hide waypoints:  _x000D_
  Set language: fr FR (system default)_x000D_
  System date format: dd MM y_x000D_
  Debug mode active: no_x000D_
  Live map mode: true_x000D_
  OSM multi threading: false   threads: 1_x000D_
  Global filter: display all caches_x000D_
  Last backup: never_x000D_
  Routing mode: Walk_x000D_
  Map: Lorraine (hors ligne)_x000D_
    Id: cgeo geocaching maps mapsforge MapsforgeMapProvider OfflineMapSource:82AD 1914:Cartes lorraine map_x000D_
    Atts: mapsforge map writer 0 6 0 rc3_x000D_
    Theme: none_x000D_
_x000D_
Services:_x000D_
       _x000D_
  Geocaching sites enabled:_x000D_
   geocaching com: Logged in (Connect )   PREMIUM_x000D_
  Geocaching com date format: dd MM yyyy_x000D_
  BRouter installed: false   connection available: false_x000D_
  Installed c:geo plugins:  none_x000D_
_x000D_
Permissions   paths:_x000D_
       _x000D_
  Fine location permission: granted_x000D_
  Write external storage permission: granted_x000D_
  System internal c:geo dir:  data user 0 cgeo geocaching (12 1 GB free) v2 internal isDir(9 entries)_x000D_
  Legacy User storage c:geo dir:  storage emulated 0 cgeo (12 1 GB free) v2 external non removable isDir(5 entries)_x000D_
  Geocache data:  storage emulated 0 Android data cgeo geocaching files GeocacheData (12 1 GB free) v2 external non removable isDir(308 entries)_x000D_
  Internal theme sync (is turned off):  data user 0 cgeo geocaching MapThemeData (12 1 GB free) v2 internal isDir(0 entries)_x000D_
  Public Folders:  9_x000D_
    BASE:  cgeo (User Defined)  cgeo DOCUMENT 0:p content:  com android externalstorage documents tree primary 3Acgeo::   (Uri: content:  com android externalstorage documents tree primary 3Acgeo document primary 3Acgeo  Av:true  files:  3  dirs:  5  totalFileSize:  2 6 MB  free space: 12 1 GB  files on device: 783360)_x000D_
    OFFLINE MAPS: Carte SD Cartes (User Defined) Carte SD Cartes DOCUMENT 0:p content:  com android externalstorage documents tree 82AD 1914 3ACartes::   (Uri: content:  com android externalstorage documents tree 82AD 1914 3ACartes document 82AD 1914 3ACartes  Av:true  files:6  dirs:1  totalFileSize:292 9 MB  free space: 25 2 GB  files on device: 0)_x000D_
    OFFLINE MAP THEMES: Carte SD Cartes  themes (Default) Carte SD Cartes  themes PERSISTABLE FOLDER(OFFLINE MAPS) 1:p content:  com android externalstorage documents tree 82AD 1914 3ACartes::  themes   (Uri: content:  com android externalstorage documents tree 82AD 1914 3ACartes document 82AD 1914 3ACartes 2F themes  Av:true  files:0  dirs:0  totalFileSize:0 B  free space: 25 2 GB  files on device: 0)_x000D_
    LOGFILES:  cgeo logfiles (Default)  cgeo logfiles PERSISTABLE FOLDER(BASE) 1:p content:  com android externalstorage documents tree primary 3Acgeo:: logfiles   (Uri: content:  com android externalstorage documents tree primary 3Acgeo document primary 3Acgeo 2Flogfiles  Av:true  files:2  dirs:0  totalFileSize:56 4 KB  free space: 12 1 GB  files on device: 783360)_x000D_
    GPX:  cgeo gpx (User Defined)  cgeo gpx DOCUMENT 0:p content:  com android externalstorage documents tree primary 3Acgeo 2Fgpx::   (Uri: content:  com android externalstorage documents tree primary 3Acgeo 2Fgpx document primary 3Acgeo 2Fgpx  Av:true  files:1  dirs:0  totalFileSize:2 6 MB  free space: 12 1 GB  files on device: 783360)_x000D_
    BACKUP:  cgeo backup (Default)  cgeo backup PERSISTABLE FOLDER(BASE) 1:p content:  com android externalstorage documents tree primary 3Acgeo:: backup   (Uri: content:  com android externalstorage documents tree primary 3Acgeo document primary 3Acgeo 2Fbackup  Av:true  files:0  dirs:0  totalFileSize:0 B  free space: 12 1 GB  files on device: 783360)_x000D_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files:0  dirs:0  totalFileSize:0 B  free space: 12 1 GB  files on device: 783360)_x000D_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12 1 GB  files on device: 783360)_x000D_
    TEST FOLDER:  Legacy  data user 0 cgeo geocaching files unittest (Default)  data user 0 cgeo geocaching files unittest FILE 1:p file:   data user 0 cgeo geocaching files:: unittest   (Uri: file:   data user 0 cgeo geocaching files unittest  Av:true  files:0  dirs:0  totalFileSize:0 B  free space: 12 1 GB  files on device:  1)_x000D_
  Map render theme path:_x000D_
  PersistedDocumentUris:  1_x000D_
  TRACK: null_x000D_
  Persisted Uri Permissions:  3_x000D_
    content:  com android externalstorage documents tree 82AD 1914 3ACartes (31 mars   08:10):RW_x000D_
    content:  com android externalstorage documents tree primary 3Acgeo (31 mars   08:10):RW_x000D_
    content:  com android externalstorage documents tree primary 3Acgeo 2Fgpx (31 mars   08:10):RW_x000D_
  Database:  data user 0 cgeo geocaching databases data (v94  Size:13 6 MB) on system internal storage_x000D_
 Settings: v5  Count:127_x000D_
    End of system information    _x000D_
   _x000D_
_x000D_
   Additional context _x000D_
     (optional  remove if not applicable) log files  reference to other similar issues  projects  sources  etc     _x000D_
Logfile sent by the user with his problem report contains one crash  not sure if related  Rest is nothing abnormal:_x000D_
   _x000D_
          beginning of crash_x000D_
04 25 16:24:05 171 30689  5540 E AndroidRuntime: FATAL EXCEPTION: LayerManager_x000D_
04 25 16:24:05 171 30689  5540 E AndroidRuntime: Process: cgeo geocaching  PID: 30689_x000D_
04 25 16:24:05 171 30689  5540 E AndroidRuntime: java lang NullPointerException: Attempt to invoke virtual method  int android graphics Bitmap getHeight()  on a null object reference_x000D_
04 25 16:24:05 171 30689  5540 E AndroidRuntime: 	at org mapsforge map android graphics AndroidBitmap getHeight(AndroidBitmap java:109)_x000D_
04 25 16:24:05 171 30689  5540 E AndroidRuntime: 	at cgeo geocaching maps mapsforge v6 layers PositionLayer draw(PositionLayer java:81)_x000D_
04 25 16:24:05 171 30689  5540 E AndroidRuntime: 	at org mapsforge map layer LayerManager doWork(LayerManager java:95)_x000D_
04 25 16:24:05 171 30689  5540 E AndroidRuntime: 	at org mapsforge map util PausableThread run(PausableThread java:149)_x000D_
   _x000D_
_x000D_
</t>
  </si>
  <si>
    <t>TeamNewPipe-NewPipe-6184</t>
  </si>
  <si>
    <t>Cannot open named channel links in NP (youtube.com/channelname)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</si>
  <si>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Send a VIEW intent with a URL like https:  youtube com macaddress_x000D_
_x000D_
When doing this_x000D_
_x000D_
   diff_x000D_
diff   git a app src main AndroidManifest xml b app src main AndroidManifest xml_x000D_
index 6686291a0  056c70a5d 100644_x000D_
    a app src main AndroidManifest xml_x000D_
    b app src main AndroidManifest xml_x000D_
    149 6  149 8   _x000D_
                  data android:pathPrefix   c     _x000D_
                      playlist prefix    _x000D_
                  data android:pathPrefix   playlist    _x000D_
                      channel names    _x000D_
                  data android:pathPattern          _x000D_
               intent filter _x000D_
              intent filter _x000D_
                  action android:name  android intent action VIEW    _x000D_
   _x000D_
_x000D_
you can open channel URLs just fine since it s a redirect to a  channel  URL which NP knows how to handle _x000D_
_x000D_
This does match more than just channels though (the account or settings pages for example) and I m not sure what the impact of that on regular users would be in that regard as my system is set up in a way to not allow browsers to open apps automatically etc   _x000D_
_x000D_
    Actual behaviour_x000D_
     Tell us what happens with the steps given above     _x000D_
_x000D_
No NP in the list_x000D_
_x000D_
    Expected behavior_x000D_
     Tell us what you expect to happen     _x000D_
_x000D_
NP in the list_x000D_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Irrelevant _x000D_
</t>
  </si>
  <si>
    <t>MuntashirAkon-AppManager-412</t>
  </si>
  <si>
    <t>Unable to block trackers - App manager crash</t>
  </si>
  <si>
    <t>After trying to block trackers app manager crash   after chrash the page app info keeps loading forever  this is the output log  _x000D_
_x000D_
   _x000D_
java lang SecurityException: Attempt to change component state  pid 23875  uid 10242  component lyr search net com google android gms measurement AppMeasurementReceiver_x000D_
    at android os Parcel createException(Parcel java:2071)_x000D_
    at android os Parcel readException(Parcel java:2039)_x000D_
    at android os Parcel readException(Parcel java:1987)_x000D_
    at android content pm IPackageManager Stub Proxy setComponentEnabledSetting(IPackageManager java:7352)_x000D_
    at io github muntashirakon AppManager servermanager PackageManagerCompat setComponentEnabledSetting(PackageManagerCompat java:100)_x000D_
    at io github muntashirakon AppManager rules compontents ComponentsBlocker applyRules(ComponentsBlocker java:369)_x000D_
    at io github muntashirakon AppManager details AppDetailsViewModel updateRulesForComponent(AppDetailsViewModel java:291)_x000D_
    at io github muntashirakon AppManager details AppDetailsFragment lambda applyRules 21 AppDetailsFragment(AppDetailsFragment java:536)_x000D_
    at io github muntashirakon AppManager details    Lambda AppDetailsFragment 2C3qSdlz9HxGg5kXQssh3mJPsMY run(Unknown Source:6)_x000D_
    at java lang Thread run(Thread java:919)_x000D_
 Caused by: android os RemoteException: Remote stack trace:_x000D_
	at com android server pm PackageManagerService setEnabledSetting(PackageManagerService java:21582)_x000D_
	at com android server pm PackageManagerService setComponentEnabledSetting(PackageManagerService java:21516)_x000D_
	at android content pm IPackageManager Stub onTransact(IPackageManager java:3481)_x000D_
	at com android server pm PackageManagerService onTransact(PackageManagerService java:4144)_x000D_
	at android os Binder execTransactInternal(Binder java:1021)_x000D_
   _x000D_
_x000D_
Device Info:_x000D_
App version: 2 6 0_x000D_
App version code: 385_x000D_
Android build version: eng kenhv 20200915 184314_x000D_
Android release version: 10_x000D_
Android SDK version: 29_x000D_
Android build ID: QQ3A 200805 001_x000D_
Device brand: Xiaomi_x000D_
Device manufacturer: Xiaomi_x000D_
Device name: vince_x000D_
Device model: Redmi 5 Plus_x000D_
Device product name: havoc vince_x000D_
Device hardware name: qcom_x000D_
ABIs:  arm64 v8a  armeabi v7a  armeabi _x000D_
ABIs (32bit):  armeabi v7a  armeabi _x000D_
ABIs (64bit):  arm64 v8a _x000D_
System language: es HN_x000D_
In App Language: auto_x000D_
Mode: root</t>
  </si>
  <si>
    <t>MuntashirAkon-AppManager-410</t>
  </si>
  <si>
    <t>App Info doesn't load for hidden apps</t>
  </si>
  <si>
    <t xml:space="preserve">  Describe the bug  _x000D_
am cannot view app that DISABLED BY ISLAND_x000D_
_x000D_
  To Reproduce  _x000D_
Steps to reproduce the behaviour:_x000D_
1  open AM_x000D_
2  Click on App That Disabled By Island_x000D_
3  Couldn t Fetch Package Info_x000D_
_x000D_
_x000D_
  Expected behavior  _x000D_
It Should Work But Due To Glitch Or Something From Island  Other App Cannot View Disabled App By Island_x000D_
_x000D_
  Screenshots  _x000D_
If applicable  add screenshots to help explain your problem _x000D_
_x000D_
  Crash logs  _x000D_
If applicable  add crash logs to help us figure out the problem _x000D_
_x000D_
  Device info  _x000D_
   Device: Realme 5i_x000D_
   OS Version: Android 10_x000D_
   App Manager Version: 2 6 0 Stable Release_x000D_
   Mode: ADB _x000D_
_x000D_
  Additional context  _x000D_
I Guess This Are Glitch Or Restriction From Island_x000D_
_x000D_
The Only Solution Is Add Mark On App That Disabled By Island So User Understand If That App Are Disabled by Island</t>
  </si>
  <si>
    <t>TeamNewPipe-NewPipe-6180</t>
  </si>
  <si>
    <t>Progress bar not matching short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</si>
  <si>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newpipe_x000D_
2  Watch this video https:  www youtube com watch v s MsZo02dos_x000D_
3   Look at the progress animation_x000D_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Screenshot 20210427 040728 (https:  user images githubusercontent com 74511929 116169882 573e1800 a70e 11eb 9a02 23b2d1af958a jpg)_x000D_
  Screenshot 20210427 040738 (https:  user images githubusercontent com 74511929 116169886 5907db80 a70e 11eb 95a2 63e398daaeea jpg)_x000D_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v7 Nougat_x000D_
   Device model: SM P555_x000D_
</t>
  </si>
  <si>
    <t>MuntashirAkon-AppManager-407</t>
  </si>
  <si>
    <t xml:space="preserve">Does not load on Android TV 10. The opening screen stays on "Initializing" forever. </t>
  </si>
  <si>
    <t xml:space="preserve">  Describe the bug  _x000D_
A clear and concise description of what the bug is _x000D_
_x000D_
  To Reproduce  _x000D_
Steps to reproduce the behaviour:_x000D_
1  Go to      _x000D_
2  Click on       _x000D_
3  Scroll down to       _x000D_
4  See error_x000D_
_x000D_
  Expected behavior  _x000D_
A clear and concise description of what you expected to happen _x000D_
_x000D_
  Screenshots  _x000D_
If applicable  add screenshots to help explain your problem _x000D_
_x000D_
  Crash logs  _x000D_
If applicable  add crash logs to help us figure out the problem _x000D_
_x000D_
  Device info  _x000D_
   Device:  e g  One Plus 8 Pro _x000D_
   OS Version:  e g  Android 10 _x000D_
   App Manager Version:  e g  v2 5 13 _x000D_
   Mode: root adb no root_x000D_
_x000D_
  Additional context  _x000D_
Add any other context about the problem here _x000D_
</t>
  </si>
  <si>
    <t>CleverTap-clevertap-android-sdk-168</t>
  </si>
  <si>
    <t>Crash on Android 4.4 after updating SDK to v4.1.0</t>
  </si>
  <si>
    <t xml:space="preserve">  Describe the bug  _x000D_
The SDK crashes on init on Android 4 4 devices_x000D_
_x000D_
  To Reproduce  _x000D_
Steps to reproduce the behavior:_x000D_
1  Try to init the SDK v4 1 0 on Android 4 4_x000D_
_x000D_
  Expected behavior  _x000D_
The SDK v 4 1 0 does not crash on Android 4 4_x000D_
_x000D_
  Screenshots Logs  _x000D_
 crash log txt (https:  github com CleverTap clevertap android sdk files 6377269 crash log txt)_x000D_
_x000D_
  Environment (please complete the following information):  _x000D_
   Device: Nexus 5 Emulator_x000D_
   OS: Android 4 4_x000D_
   CleverTap SDK Version: 4 1 0_x000D_
   Android Studio Version: 4 1 3_x000D_
_x000D_
  Additional context  _x000D_
After investigating the crash  I discovered that the issue was present in SDK 4 0 4  but did not crash the app (it would just log a warning if you set a kinda secret logging level  2) and thus remained unnoticed:_x000D_
 log 4 0 4 txt (https:  github com CleverTap clevertap android sdk files 6377315 log 4 0 4 txt)_x000D_
_x000D_
The problem in v 4 1 0 is com clevertap android sdk validation ManifestValidator:59:_x000D_
 validateServiceInManifest((Application) context getApplicationContext()  CTBackgroundJobService class getName())  _x000D_
_x000D_
Since JobService was added in Android 5 0 Lollipop  checking for this on 4 4 won t succeed as this class won t be present in the classpath  This results in NoClassDefFoundError that was somehow handled in SDK v4 0 4  but I can see there were some internal changes to that in v4 1 0_x000D_
_x000D_
</t>
  </si>
  <si>
    <t>AOF-Dev-MCinaBox-1060</t>
  </si>
  <si>
    <t>stuck with a white screen every version</t>
  </si>
  <si>
    <t xml:space="preserve">when i want to play normal 1 16 4  it shows me a white screen  when i take a screenshot of that  it shows me a black screen_x000D_
_x000D_
just press the play button and hers the crash_x000D_
  Screenshot 20210426 123838 (https:  user images githubusercontent com 72686414 116077528 7e083a00 a68d 11eb 92fb 8510ee0a1442 png)_x000D_
_x000D_
_x000D_
  Smartphone (please complete the following information):  _x000D_
   Device: INFINIX hot 8_x000D_
   OS: android 9_x000D_
   App Version the latest_x000D_
   CPU architecture arm64_x000D_
_x000D_
pls help_x000D_
</t>
  </si>
  <si>
    <t>TeamNewPipe-NewPipe-6176</t>
  </si>
  <si>
    <t>SoundCloud extraction is broken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</si>
  <si>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2 RC 2 and latest dev APK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Try to open any SoundCloud stream _x000D_
_x000D_
     If you can t cause the bug to show up again reliably (and hence don t have a proper set of steps to give us)  please still try to give as many details as possible on how you think you encountered the bug     _x000D_
_x000D_
    Actual behaviour_x000D_
     Tell us what happens with the steps given above     _x000D_
The stream fails to load  giving an error (see the  Logs  section) _x000D_
_x000D_
    Expected behavior_x000D_
     Tell us what you expect to happen     _x000D_
The stream should load without any errors _x000D_
_x000D_
    Logs_x000D_
     If your bug includes a crash (where you re shown the Error Report page with a bunch of info)  tap on  Copy formatted report  at the bottom and paste it here:    _x000D_
_x000D_
   Exception_x000D_
    User Action:   requested stream_x000D_
    Request:   https:  soundcloud com alanwalker alan walker fade_x000D_
    Content Country:   US_x000D_
    Content Language:   en US_x000D_
    App Language:   en US_x000D_
    Service:   SoundCloud_x000D_
    Version:   0 21 2_x000D_
    OS:   Linux Android 11   30_x000D_
 details  summary  b Crash log   b   summary  p _x000D_
_x000D_
   _x000D_
org schabi newpipe extractor exceptions ParsingException: failed to find pattern    id :((    n )  )  _x000D_
	at org schabi newpipe extractor services soundcloud linkHandler SoundcloudStreamLinkHandlerFactory getId(SoundcloudStreamLinkHandlerFactory java:37)_x000D_
	at org schabi newpipe extractor linkhandler LinkHandlerFactory fromUrl(LinkHandlerFactory java:77)_x000D_
	at org schabi newpipe extractor linkhandler LinkHandlerFactory fromUrl(LinkHandlerFactory java:58)_x000D_
	at org schabi newpipe extractor StreamingService getStreamExtractor(StreamingService java:262)_x000D_
	at org schabi newpipe extractor stream StreamInfo getInfo(StreamInfo java:64)_x000D_
	at org schabi newpipe util ExtractorHelper lambda getStreamInfo 3(ExtractorHelper java:115)_x000D_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Caused by: org schabi newpipe extractor utils Parser RegexException: failed to find pattern    id :((    n )  )  _x000D_
	at org schabi newpipe extractor utils Parser matchGroup(Parser java:74)_x000D_
	at org schabi newpipe extractor utils Parser matchGroup(Parser java:63)_x000D_
	at org schabi newpipe extractor utils Parser matchGroup1(Parser java:54)_x000D_
	at org schabi newpipe extractor services soundcloud SoundcloudParsingHelper resolveIdWithEmbedPlayer(SoundcloudParsingHelper java:163)_x000D_
	at org schabi newpipe extractor services soundcloud linkHandler SoundcloudStreamLinkHandlerFactory getId(SoundcloudStreamLinkHandlerFactory java:35)_x000D_
	    30 more_x000D_
_x000D_
   _x000D_
  details _x000D_
 hr _x000D_
_x000D_
_x000D_
_x000D_
_x000D_
     Please fill this out when you do not provide a log generate by NewPipe    _x000D_
_x000D_
    Device info_x000D_
_x000D_
   Android version Custom ROM version: Android 11_x000D_
   Device model: Galaxy A51_x000D_
_x000D_
All my SoundCloud subscriptions are also failing to load in my  What s New  feed </t>
  </si>
  <si>
    <t>Blankj-AndroidUtilCode-1487</t>
  </si>
  <si>
    <t>targetSdkVersion 30 获取不到设备mac地址。DeviceUtils.getMacAddress</t>
  </si>
  <si>
    <t>microg-GmsCore-1460</t>
  </si>
  <si>
    <t>whatsapp on phh gsi v305 on redmi note 9 pro muui12 vendor fail to create account</t>
  </si>
  <si>
    <t xml:space="preserve">phh gsi v305 on redmi note 9 pro (miui12 vendor) whatsapp fail to start create account  not sure below are critical or not _x000D_
_x000D_
04 26 12:41:46 148  2275  2280 V TI SmartPA: TAS25XX ALGO PROFILE:  1_x000D_
04 26 12:41:46 148  2275  2280 D msm8974 platform: platform get output snd device: enter: output devices(0x2)_x000D_
04 26 12:41:46 148  2275  2280 D msm8974 platform: platform get output snd device: exit: snd device(speaker) acdb id 10011_x000D_
04 26 12:41:46 149  2275  2280 D audio hw extn: audio extn fm set parameters: Enter_x000D_
04 26 12:41:46 149  2275  2280 D audio hw hfp: hfp set parameters: enter_x000D_
04 26 12:41:46 150  4933  4933 I GoogleInputMethodService: GoogleInputMethodService onFinishInput():3340_x000D_
04 26 12:41:46 151  4933  4933 I GoogleInputMethodService: GoogleInputMethodService onStartInput():1929_x000D_
04 26 12:41:46 208  9146  9157 E cessService0:1: failed to create Unix domain socket: Operation not permitted_x000D_
04 26 12:41:46 290  2366  6861 I chatty  : uid 1000(system) Binder:2366 F expire 6 lines_x000D_
04 26 12:41:46 291  2322  2342 W APM::AudioPolicyEngine: getDevicesForStrategy() unknown strategy:  1_x000D_
04 26 12:41:46 296 19238 19249 E essService0:74: failed to create Unix domain socket: Operation not permitted_x000D_
04 26 12:41:46 584     0     0 I TI SmartPA: tas25xx get profile: getting profile MUSIC_x000D_
04 26 12:41:46 584     0     0 I TI SmartPA: tas25xx set profile: Setting profile MUSIC_x000D_
04 26 12:41:46 584     0     0 I TI SmartPA: tas25xx set profile: Sending set profile_x000D_
04 26 12:41:46 584     0     0 I  TI SmartPA:afe tas smartamp set calib data  length: 4_x000D_
04 26 12:41:46 584     0     0 I         :  TI SmartPA:afe tas smartamp set calib data  module id : 0x11111112_x000D_
04 26 12:41:46 584     0     0 E         :  TI SmartPA:afe tas smartamp set calib data  port   0x1004_x000D_
04 26 12:41:46 635  7009 21706 I chatty  : uid 10188(com google android gms) expire 33 lines_x000D_
04 26 12:41:46 666  7009 21706 D GmsServicesProvider: update caller com google android gms table main name voice search:de DE_x000D_
 hint navigate to value brandenburger tor  b ansteuern  b _x000D_
04 26 12:41:46 667  7009 21706 D GmsServicesProvider: update caller com google android gms table main name voice search:de DE_x000D_
 hint send sms value  b sms senden  b  an john smith_x000D_
04 26 12:41:46 668  7009 21706 D GmsServicesProvider: update caller com google android gms table main name voice search:extra_x000D_
 total result timeout ms value 20000_x000D_
04 26 12:41:46 669  7009 21706 D GmsServicesProvider: update caller com google android gms table main name voice search:gstat_x000D_
ic url value https:  www gstatic com android voicesearch production 2018 04 18 16 50 26 e76d587f4278d32f483226ff066c1173fb8bf_x000D_
b3586abce6fa2fa4c86_x000D_
04 26 12:41:46 670  7009 21706 D GmsServicesProvider: update caller com google android gms table main name voice search:help _x000D_
video url value http:  www youtube com watch v tPPcTN5sdX4_x000D_
04 26 12:41:46 671  7009 21706 D GmsServicesProvider: update caller com google android gms table main name voice search:ime b_x000D_
ackoff languages value af:af ZA af NA:af ZA ar:ar EG ar BH:ar QA ar LY:ar EG ar OM:ar AE ar PS:ar IL bg:bg BG ca:ca ES ca AD:_x000D_
ca ES cs:cs CZ da:da DK de:de DE de AT:de DE de CH:de DE de LI:de DE el:el GR en:en 001 en IE:en GB en SG:en 001 en UK:en GB_x000D_
es:es ES fa:fa IR fi:fi FI fil:fil PH fr:fr FR fr BE:fr FR fr CA:fr FR fr CH:fr FR gl:gl ES he:iw IL he IL:iw IL hi:hi IN hu:_x000D_
hu HU hr:hr HR hr BA:hr HR id:id ID in:id ID in ID:id ID is:is IS it:it IT it CH:it IT iw:iw IL ja:ja JP ko:ko KR lt:lt LT ms_x000D_
:ms MY ms BN:ms MY ms SG:ms MY nb:nb NO nl:nl NL nl BE:nl NL no:nb NO no NO:nb NO pl:pl PL pt:pt BR pt AO:pt BR ro:ro RO ro M_x000D_
D:ro RO ru:ru RU ru UA:ru RU sk:sk SK sl:sl SI sr:sr Cyrl RS sr BA:sr Cyrl RS sr ME:sr Cyrl RS sr RS:sr Cyrl RS sr XK:sr Cyrl_x000D_
 RS sv:sv SE sv FI:sv SE th:th TH tl:fil PH tl PH:fil PH tr:tr TR uk:uk UA vi:vi VN zh:cmn Hans CN zh CN:cmn Hans CN zh HK:yu_x000D_
e Hant HK zh MO:yue Hant HK zh SG:cmn Hans CN zh TW:cmn Hant TW zu:zu ZA_x000D_
04 26 12:41:46 672  7009 21706 D GmsServicesProvider: update caller com google android gms table main name voice search:ime s_x000D_
upported languages value af ZA ar AE ar DZ ar EG ar IL ar JO ar KW ar LB ar MA ar QA ar SA ar TN bg BG ca ES cmn Hans CN cmn _x000D_
Hans HK cmn Hant TW cs CZ da DK de DE el GR en 001 en AU en CA en GB en IN en NZ en US en ZA es AR es BO es CL es CO es CR es_x000D_
 DO es EC es ES es GT es HN es MX es NI es PA es PE es PR es PY es SV es US es UY es VE fa IR fi FI fil PH fr FR gl ES hi IN_x000D_
hr HR hu HU id ID is IS it IT iw IL ja JP ko KR lt LT ms MY nb NO nl NL pl PL pt BR pt PT ro RO ru RU sk SK sl SI sr Cyrl RS_x000D_
sv SE th TH tr TR uk UA vi VN yue Hant HK zu ZA_x000D_
04 26 12:41:46 675  7009 21706 D GmsServicesProvider: update caller com google android gms table main name voice search:it IT_x000D_
 hint go to value  b vai su  b  wikipedia  string _x000D_
04 26 12:41:46 677  7009 21706 D GmsServicesProvider: update caller com google android gms table main name voice search:it IT_x000D_
 hint send sms value  b invia sms  b  a giulia bianchi_x000D_
04 26 12:41:46 678  7009 21706 D GmsServicesProvider: update caller com google android gms table main name voice search:it IT_x000D_
 slot send sms message value messaggio_x000D_
04 26 12:41:46 679  7009 21706 D GmsServicesProvider: update caller com google android gms table main name voice search:map b_x000D_
cp47 to java locales value af:af af NA:af NA af ZA:af ZA ar:ar ar AE:ar AE ar BH:ar BH ar DZ:ar DZ ar EG:ar EG ar IL:ar IL ar_x000D_
 JO:ar JO ar KW:ar KW ar LB:ar LB ar LY:ar LY ar MA:ar MA ar OM:ar OM ar PS:ar PS ar QA:ar QA ar SA:ar SA ar TN:ar TN bg:bg b_x000D_
g BG:bg BG ca:ca ca AD:ca AD ca ES:ca ES cmn Hans CN:cmn CN Hans cmn Hans HK:cmn HK Hans cmn Hant TW:cmn TW Hant cs:cs cs CZ:_x000D_
cs CZ da:da da DK:da DK de:de de AT:de AT de CH:de CH de DE:de DE de LI:de LI el:el el GR:el GR en:en en 001:en 001 en AU:en _x000D_
AU en CA:en CA en GB:en GB en IE:en IE en IN:en IN en NZ:en NZ en SG:en SG en UK:en UK en US:en US en ZA:en ZA es:es es AR:es_x000D_
 AR es BO:es BO es CL:es CL es CO:es CO es CR:es CR es DO:es DO es EC:es EC es ES:es ES es GT:es GT es HN:es HN es MX:es MX e_x000D_
s NI:es NI es PA:es PA es PE:es PE es PR:es PR es PY:es PY es SV:es SV es US:es US es UY:es UY es VE:es VE fa:fa fa IR:fa IR_x000D_
fi:fi fi FI:fi FI fil:fil fil PH:fil PH fr:fr fr BE:fr BE fr CA:fr CA fr CH:fr CH fr FR:fr FR gl:gl gl ES:gl ES he:he he IL:h_x000D_
e IL hi:hi hi IN:hi IN hr:hr hr HR:hr HR hr BA:hr BA hu:hu hu HU:hu HU id:id id ID:id ID in:in in ID:in ID is:is is IS:is IS_x000D_
it:it it CH:it CH it IT:it IT iw:iw iw IL:iw IL ja:ja ja JP:ja JP ko:ko ko KR:ko KR lt:lt lt LT:lt LT ms:ms ms BN:ms BN ms MY_x000D_
:ms MY ms SG:ms SG nb:nb nb NO:nb NO nl:nl nl BE:nl BE nl NL:nl NL no:no no NO:no NO pl:pl pl PL:pl PL pt:pt pt AO:pt AO pt B_x000D_
R:pt BR pt PT:pt PT ro:ro ro MD:ro MD ro RO:ro RO ru:ru ru RU:ru RU ru UA:ru UA sk:sk sk SK:sk SK sl:sl sl SI:sl SI sr:sr sr _x000D_
BA:sr BA sr Cyrl RS:sr RS Cyrl sr ME:sr ME sr RS:sr RS sr XK:sr XK sv:sv sv FI:sv FI sv SE:sv SE th:th th TH:th TH tl:tl tl P_x000D_
H:tl PH tr:tr tr TR:tr TR uk:uk uk UA:uk UA vi:vi vi VN:vi VN yue Hant HK:yue HK Hant zh:zh zh CN:zh CN zh HK:zh HK zh MO:zh _x000D_
MO zh SG:zh SG zh TW:zh TW zu:zu zu ZA:zu ZA_x000D_
04 26 12:41:46 680  7009 21706 D GmsServicesProvider: update caller com google android gms table main name voice search:mobil_x000D_
e privacy url value https:  www google com privacy html_x000D_
04 26 12:41:46 681  7009 21706 D GmsServicesProvider: update caller com google android gms table main name voice search:perso_x000D_
nalization countries value _x000D_
04 26 12:41:46 682  7009 21706 D GmsServicesProvider: update caller com google android gms table main name voice search:perso_x000D_
nalization v2 countries value 310 311 312 313 314 315 316_x000D_
04 26 12:41:46 683  7009 21706 D GmsServicesProvider: update caller com google android gms table main name voice search:suppo_x000D_
rted actions value en US:0 1 2 3 4 en CA:0 1 2 3 4 en GB:0 1 2 3 4 en AU:0 1 2 3 4 en NZ:0 1 2 3 4 en IN:0 1 2 3 4 en 001:0 1_x000D_
 2 3 4 af ZA: ar DZ: ar EG: ar IL: ar JO: ar KW: ar LB: ar MA: ar QA: ar SA: ar TN: ar AE: bg BG: ca ES: cmn Hans CN: cmn Han_x000D_
s HK: cmn Hant TW: yue Hant HK: hr BA: hr HR: cs CZ: da DK: nl NL: en ZA: fi FI: fil PH: tl PH: fr FR: gl ES: de DE: el GR: i_x000D_
w IL: hi IN: hu HU: is IS: id ID: zu ZA: it IT: ja JP: ko KR: lt LT: ms MY: nb NO: fa IR: pl PL: pt BR: pt PT: ro RO: ru RU:_x000D_
sr Cyrl RS: sk SK: sl SI: es AR: es BO: es CL: es CO: es CR: es DO: es EC: es SV: es GT: es HN: es MX: es NI: es PA: es PY: e_x000D_
s PE: es PR: es ES: es US: es UY: es VE: sv SE: th TH: tr TR: uk UA: vi VN:_x000D_
04 26 12:41:46 684  7009 21706 D GmsServicesProvider: update caller com google android gms table main name voice search:suppo_x000D_
rted actions new numbering scheme value en US:14 18 2 12 13 15 4 17 1 6 3 en CA:2 3 4 1 en GB:14 2 12 4 17 1 3 en AU:2 3 4 1_x000D_
en NZ:2 3 4 1 en IN:2 3 4 1 en 001:2 3 4 1 de DE:14 2 12 4 17 1 3 es ES:14 2 12 4 17 1 3 fr FR:14 2 12 4 17 1 3 it IT:14 2 12_x000D_
 4 17 1 3 af ZA: ar DZ: ar EG: ar IL: ar JO: ar KW: ar LB: ar MA: ar QA: ar SA: ar TN: ar AE: bg BG: ca ES: cmn Hans CN: cmn _x000D_
Hans HK: cmn Hant TW: yue Hant HK: hr BA: hr HR: cs CZ: da DK: nl NL: en ZA: fi FI: fil PH: tl PH: gl ES: el GR: iw IL: hi IN_x000D_
: hu HU: is IS: id ID: zu ZA: ja JP: ko KR: lt LT: ms MY: nb NO: fa IR: pl PL: pt BR: pt PT: ro RO: ru RU: sr Cyrl RS: sk SK:_x000D_
 sl SI: es AR: es BO: es CL: es CO: es CR: es DO: es EC: es SV: es GT: es HN: es MX: es NI: es PA: es PY: es PE: es PR: es US_x000D_
: es UY: es VE: sv SE: th TH: tr TR: uk UA: vi VN:_x000D_
04 26 12:41:46 685  7009 21706 D GmsServicesProvider: update caller com google android gms table main name voice search:suppo_x000D_
rted languages value af ZA ar DZ ar EG ar IL ar JO ar KW ar LB ar MA ar QA ar SA ar TN ar AE bg BG ca ES cmn Hans CN cmn Hans_x000D_
 HK cmn Hant TW yue Hant HK hr HR cs CZ da DK nl NL en AU en CA en IN en NZ en ZA en GB en US en 001 fil PH fi FI fr FR gl ES_x000D_
 de DE el GR iw IL hi IN hu HU is IS id ID zu ZA it IT ja JP ko KR lt LT ms MY nb NO fa IR pl PL pt BR pt PT ro RO ru RU sr C_x000D_
yrl RS sk SK sl SI es AR es BO es CL es CO es CR es DO es EC es SV es GT es HN es MX es NI es PA es PY es PE es PR es ES es U_x000D_
S es UY es VE sv SE th TH tr TR uk UA vi VN Euskara_x000D_
04 26 12:41:46 686  7009 21706 D GmsServicesProvider: update caller com google android gms table main name voice search:unsup_x000D_
ported action market url set alarm value http:  www google com support mobile bin answer py answer 187559_x000D_
04 26 12:41:46 687  7009 21706 D GmsServicesProvider: update caller com google android gms table main name wallet allow gzipp_x000D_
ed responses value false_x000D_
04 26 12:41:46 687  7009 21706 D GmsServicesProvider: update caller com google android gms table main name wallet branding us_x000D_
e google wallet tos text value false_x000D_
04 26 12:41:46 688  7009 21706 D GmsServicesProvider: update caller com google android gms table main name wallet check form _x000D_
edit text should hide label for showing layout cutout value true_x000D_
04 26 12:41:46 688     0     0 E rmt storage: INFO:rmt storage rw iovec cb: Write iovec request (req h 0xc2 wr count 187) rec_x000D_
eived for  boot modem fs1_x000D_
04 26 12:41:46 689     0     0 E rmt storage: INFO:rmt storage client thread: Calling Write  offset 0  size 2097152  req h 0x_x000D_
c2  wr count 187  for  boot modem fs1 _x000D_
04 26 12:41:46 689  7009 21706 D GmsServicesProvider: update caller com google android gms table main name wallet clientlog e_x000D_
nable fingerprint auth event value true_x000D_
04 26 12:41:46 690  7009 21706 D GmsServicesProvider: update caller com google android gms table main name wallet enable aler_x000D_
t tooltip dialog gm2 style value true_x000D_
04 26 12:41:46 691  7009 21706 D GmsServicesProvider: update caller com google android gms table main name wallet min full wa_x000D_
llet wait time millis value 1500_x000D_
04 26 12:41:46 692  7009 21706 D GmsServicesProvider: update caller com google android gms table main name wallet populate va_x000D_
lue for read only ui fields value false_x000D_
04 26 12:41:46 693  7009 21706 D GmsServicesProvider: update caller com google android gms table main name wallet request con_x000D_
text include native client context android id value true_x000D_
04 26 12:41:46 694  7009 21706 D GmsServicesProvider: update caller com google android gms table main name wallet volley api _x000D_
request default timeout value 35000_x000D_
04 26 12:41:46 695  7009 21706 D GmsServicesProvider: update caller com google android gms table main name wear dialer:quick _x000D_
reply value true_x000D_
04 26 12:41:46 696  7009 21706 D GmsServicesProvider: update caller com google android gms table main name wear dialer:spam d_x000D_
etection value false_x000D_
04 26 12:41:46 696  7009 21706 D GmsServicesProvider: update caller com google android gms table main name work:oob config ph_x000D_
onesky dpc installation value false_x000D_
04 26 12:41:46 697  7009 21706 D GmsServicesProvider: update caller com google android gms table main name work:oob config sk_x000D_
ip zero touch ui value true_x000D_
04 26 12:41:46 698  7009 21706 D GmsServicesProvider: update caller com google android gms table main name youtube:allow debu_x000D_
g value true_x000D_
04 26 12:41:46 699  7009 21706 D GmsServicesProvider: update caller com google android gms table main name youtube:analytics _x000D_
sample ratio value 2000_x000D_
04 26 12:41:46 700  7009 21706 D GmsServicesProvider: update caller com google android gms table main name youtube:companion _x000D_
ad enabled value true_x000D_
04 26 12:41:46 701  7009 21706 D GmsServicesProvider: update caller com google android gms table main name youtube:csi enable_x000D_
d value true_x000D_
04 26 12:41:46 702  7009 21706 D GmsServicesProvider: update caller com google android gms table main name youtube:enable dis_x000D_
tiller comments value false_x000D_
04 26 12:41:46 702  7009 21706 D GmsServicesProvider: update caller com google android gms table main name youtube:enable dis_x000D_
tiller comments 5 2 value true_x000D_
04 26 12:41:46 703  7009 21706 D GmsServicesProvider: update caller com google android gms table main name youtube:enable dis_x000D_
tiller comments 5 3 value false_x000D_
04 26 12:41:46 704  7009 21706 D GmsServicesProvider: update caller com google android gms table main name youtube:enable inn_x000D_
ertube browse for default feed value true_x000D_
04 26 12:41:46 705  7009 21706 D GmsServicesProvider: update caller com google android gms table main name youtube:enable inn_x000D_
ertube guide value false_x000D_
04 26 12:41:46 706  7009 21706 D GmsServicesProvider: update caller com google android gms table main name youtube:enable inn_x000D_
ertube guide 5 2 value true_x000D_
04 26 12:41:46 708  7009 21706 D GmsServicesProvider: update caller com google android gms table main name youtube:enable inn_x000D_
ertube guide 5 3 value false_x000D_
04 26 12:41:46 709  7009 21706 D GmsServicesProvider: update caller com google android gms table main name youtube:enable inn_x000D_
ertube guide 5 3 b value true_x000D_
04 26 12:41:46 709  7009 21706 D GmsServicesProvider: update caller com google android gms table main name youtube:enable inn_x000D_
ertube watch next value false_x000D_
04 26 12:41:46 710  7009 21706 D GmsServicesProvider: update caller com google android gms table main name youtube:enable inn_x000D_
ertube watch next 5 3 value false_x000D_
04 26 12:41:46 711  7009 21706 D GmsServicesProvider: update caller com google android gms table main name youtube:enable lac_x000D_
t value true_x000D_
04 26 12:41:46 712  7009 21706 D GmsServicesProvider: update caller com google android gms table main name youtube:enable tre_x000D_
nding logged out v3 value true_x000D_
04 26 12:41:46 712  7009 21706 D GmsServicesProvider: update caller com google android gms table main name youtube:enable uni_x000D_
versal search value false_x000D_
04 26 12:41:46 713  7009 21706 D GmsServicesProvider: update caller com google android gms table main name youtube:enable uni_x000D_
versal search 5 3 value false_x000D_
04 26 12:41:46 714  7009 21706 D GmsServicesProvider: update caller com google android gms table main name youtube:enable wha_x000D_
t to watch v3 value true_x000D_
04 26 12:41:46 715  7009 21706 D GmsServicesProvider: update caller com google android gms table main name youtube:interactio_x000D_
n logging enabled value true_x000D_
04 26 12:41:46 715  7009 21706 D GmsServicesProvider: update caller com google android gms table main name youtube:is bgol en_x000D_
abled value false_x000D_
04 26 12:41:46 716  7009 21706 D GmsServicesProvider: update caller com google android gms table main name youtube:is bgol en_x000D_
abled 5 3 value false_x000D_
04 26 12:41:46 717  7009 21706 D GmsServicesProvider: update caller com google android gms table main name youtube:is pudl en_x000D_
abled without resync value false_x000D_
04 26 12:41:46 718  7009 21706 D GmsServicesProvider: update caller com google android gms table main name youtube:is pudl en_x000D_
abled without resync 5 3 value false_x000D_
04 26 12:41:46 719  7009 21706 D GmsServicesProvider: update caller com google android gms table main name youtube:kids:csi e_x000D_
nabled value true_x000D_
04 26 12:41:46 719  7009 21706 D GmsServicesProvider: update caller com google android gms table main name youtube:main: : :c_x000D_
si enabled value true_x000D_
04 26 12:41:46 720  7009 21706 D GmsServicesProvider: update caller com google android gms table main name youtube:main: : :e_x000D_
nable lact value true_x000D_
04 26 12:41:46 721  7009 21706 D GmsServicesProvider: update caller com google android gms table main name youtube:main: : :i_x000D_
nteraction logging enabled value true_x000D_
04 26 12:41:46 722  7009 21706 D GmsServicesProvider: update caller com google android gms table main name youtube:main: : :i_x000D_
s bgol enabled value false_x000D_
04 26 12:41:46 722  7009 21706 D GmsServicesProvider: update caller com google android gms table main name youtube:main: : :m_x000D_
in app version value 115199999_x000D_
04 26 12:41:46 723  7009 21706 D GmsServicesProvider: update caller com google android gms table main name youtube:main: : :t_x000D_
arget app version value 114559000_x000D_
04 26 12:41:46 724  7009 21706 D GmsServicesProvider: update caller com google android gms table main name youtube:main:cache_x000D_
 ms param millis value 240000_x000D_
04 26 12:41:46 725  7009 21706 D GmsServicesProvider: update caller com google android gms table main name youtube:main:csi e_x000D_
nabled value true_x000D_
04 26 12:41:46 726  7009 21706 D GmsServicesProvider: update caller com google android gms table main name youtube:main:enabl_x000D_
e lact value true_x000D_
04 26 12:41:46 727  7009 21706 D GmsServicesProvider: update caller com google android gms table main name youtube:main:fails_x000D_
afe clear cache dogfood value false_x000D_
04 26 12:41:46 727  7009 21706 D GmsServicesProvider: update caller com google android gms table main name youtube:main:fails_x000D_
afe clear cache dogfood 13 02 value true_x000D_
04 26 12:41:46 728  7009 21706 D GmsServicesProvider: update caller com google android gms table main name youtube:main:fails_x000D_
afe clear cache release value false_x000D_
04 26 12:41:46 729  7009 21706 D GmsServicesProvider: update caller com google android gms table main name youtube:main:fails_x000D_
afe clear cache release 13 02 value true_x000D_
04 26 12:41:46 730  7009 21706 D GmsServicesProvider: update caller com google android gms table main name youtube:main:fails_x000D_
afe maxnumber uncaught exception value 3_x000D_
04 26 12:41:46 731  7009 21706 D GmsServicesProvider: update caller com google android gms table main name youtube:main:fails_x000D_
afe maxnumber unfinished startup value  1_x000D_
04 26 12:41:46 732  7009 21706 D GmsServicesProvider: update caller com google android gms table main name youtube:main:fails_x000D_
afe maxnumbercrash value  1_x000D_
04 26 12:41:46 733  7009 21706 D GmsServicesProvider: update caller com google android gms table main name youtube:main:fails_x000D_
afe maxnumbercrash 12 15 value  1_x000D_
04 26 12:41:46 733  7009 21706 D GmsServicesProvider: update caller com google android gms table main name youtube:main:inter_x000D_
action logging enabled value true_x000D_
04 26 12:41:46 734  7009 21706 D GmsServicesProvider: update caller com google android gms table main name youtube:main:is bg_x000D_
ol enabled value false_x000D_
04 26 12:41:46 735  7009 21706 D GmsServicesProvider: update caller com google android gms table main name youtube:main:min a_x000D_
pp version value 115199999_x000D_
04 26 12:41:46 736  7009 21706 D GmsServicesProvider: update caller com google android gms table main name youtube:main:targe_x000D_
t app version value 114559000_x000D_
04 26 12:41:46 737  7009 21706 D GmsServicesProvider: update caller com google android gms table main name youtube:min app ve_x000D_
rsion value 101756000_x000D_
04 26 12:41:46 738  7009 21706 D GmsServicesProvider: update caller com google android gms table main name youtube:min app ve_x000D_
rsion 5 7 value 101756000_x000D_
04 26 12:41:46 738  7009 21706 D GmsServicesProvider: update caller com google android gms table main name youtube:offline di_x000D_
spatch maximum errors value 0_x000D_
04 26 12:41:46 739  7009 21706 D GmsServicesProvider: update caller com google android gms table main name youtube:offline ht_x000D_
tp report cap hours value 17520_x000D_
04 26 12:41:46 740  7009 21706 D GmsServicesProvider: update caller com google android gms table main name youtube:target app_x000D_
 version 5 7 value 110170000_x000D_
04 26 12:41:46 741  7009 21706 D GmsServicesProvider: update caller com google android gms table main name youtube:tv: : :ena_x000D_
ble mdx https browser channel value true_x000D_
04 26 12:41:46 742  7009 21706 D GmsServicesProvider: update caller com google android gms table main name youtube:tv: : :int_x000D_
eraction logging enabled value true_x000D_
04 26 12:41:46 743  7009 21706 D GmsServicesProvider: update caller com google android gms table main name youtube:tv: : :tar_x000D_
get app version value 10116000_x000D_
04 26 12:41:46 744  7009 21706 D GmsServicesProvider: update caller com google android gms table main name youtube:tv:can use_x000D_
 texture surface value false_x000D_
04 26 12:41:46 745  7009 21706 D GmsServicesProvider: update caller com google android gms table main name youtube:tv:enable _x000D_
mdx https browser channel value true_x000D_
04 26 12:41:46 746  7009 21706 D GmsServicesProvider: update caller com google android gms table main name youtube:tv:interac_x000D_
tion logging enabled value true_x000D_
04 26 12:41:46 746  7009 21706 D GmsServicesProvider: update caller com google android gms table main name youtube:tv:target _x000D_
app version value 10116000_x000D_
04 26 12:41:46 747  7009 21706 D GmsServicesProvider: update caller com google android gms table main name youtube:vmap via g_x000D_
et ad tags enabled value true_x000D_
04 26 12:41:46 748  7009 21706 D GmsServicesProvider: update caller com google android gms table main name youtube:vss sampli_x000D_
ng weight value 10_x000D_
04 26 12:41:46 749  7009 21706 D GmsServicesProvider: update caller com google android gms table main name youtube use proxy_x000D_
value true_x000D_
04 26 12:41:46 750  7009 21706 D GmsCheckinSvc: Checked in as 3c0edc21b03b160c_x000D_
04 26 12:41:46 751  7009 21706 W GmsPackageUtils: GcmPrefs initialized outside persistent process_x000D_
04 26 12:41:46 751  7009 21706 W GmsPackageUtils: java lang RuntimeException_x000D_
04 26 12:41:46 751  7009 21706 W GmsPackageUtils:       at org microg gms common PackageUtils warnIfNotPersistentProcess(Pack_x000D_
ageUtils java:269)_x000D_
04 26 12:41:46 751  7009 21706 W GmsPackageUtils:       at org microg gms gcm GcmPrefs get(GcmPrefs java:56)_x000D_
04 26 12:41:46 751  7009 21706 W GmsPackageUtils:       at org microg gms gcm McsService logd(McsService java:178)_x000D_
04 26 12:41:46 751  7009 21706 W GmsPackageUtils:       at org microg gms gcm McsService scheduleReconnect(McsService java:26_x000D_
0)_x000D_
04 26 12:41:46 751  7009 21706 W GmsPackageUtils:       at org microg gms checkin CheckinService onHandleIntent(CheckinServic_x000D_
e java:81)_x000D_
04 26 12:41:46 751  7009 21706 W GmsPackageUtils:       at android app IntentService ServiceHandler handleMessage(IntentServi_x000D_
ce java:77)_x000D_
04 26 12:41:46 751  7009 21706 W GmsPackageUtils:       at android os Handler dispatchMessage(Handler java:106)_x000D_
04 26 12:41:46 751  7009 21706 W GmsPackageUtils:       at android os Looper loop(Looper java:223)_x000D_
04 26 12:41:46 751  7009 21706 W GmsPackageUtils:       at android os HandlerThread run(HandlerThread java:67)_x000D_
04 26 12:41:46 751  7009 21706 D GmsGcmMcsSvc: Scheduling reconnect in 5 seconds   _x000D_
04 26 12:41:46 759     0     0 E rmt storage: INFO:rmt storage client thread: Done Write (bytes   2097152  req h 0xc2  wr cou_x000D_
nt 187) for  boot modem fs1 _x000D_
04 26 12:41:46 953 21540 21540 D GmsGcmMcsSvc: Connection is not enabled or dead _x000D_
04 26 12:41:46 972  2275  2280 D audio hw primary: out set parameters: enter: usecase(1: low latency playback) kvpairs: routi_x000D_
ng 2_x000D_
04 26 12:41:46 974  2275  2280 D audio hw primary: select devices for use case (low latency playback)_x000D_
04 26 12:41:46 974  2275  2280 D ultrasound extn: dump usecase list: enter sensor activated:0 hw port enabled:0_x000D_
04 26 12:41:46 974  2275  2280 D ultrasound extn: dump usecase list: select devices exit usecase  0 :(1  low latency playback_x000D_
) in dev:(0  ) out dv:(2  speaker)_x000D_
04 26 12:41:46 974  2275  2280 D ultrasound extn: dump usecase list: select devices exit usecase  1 :(72  tas iv capture) in _x000D_
dev:(259  (null)) out dv:(0  )_x000D_
04 26 12:41:46 975  2275  2280 V TI SmartPA: TAS25XX ALGO PROFILE:  1_x000D_
04 26 12:41:46 976  2275  2280 D msm8974 platform: platform get output snd device: enter: output devices(0x2)_x000D_
04 26 12:41:46 976  2275  2280 D msm8974 platform: platform get output snd device: exit: snd device(speaker) acdb id 10011_x000D_
04 26 12:41:46 976  2275  2280 D audio hw extn: audio extn fm set parameters: Enter_x000D_
04 26 12:41:46 976  2275  2280 D audio hw hfp: hfp set parameters: enter_x000D_
04 26 12:41:46 976 21540 21540 D GmsGcmMcsSvc: Connection is not enabled or dead _x000D_
04 26 12:41:46 984  2366  3142 I chatty  : uid 1000(system) Binder:2366 9 expire 4 lines_x000D_
04 26 12:41:46 990 21540 21540 I TetheringManager: registerTetheringEventCallback:com google android gms_x000D_
04 26 12:41:46 994 21540 21540 D GmsGcmMcsSvc: Connection is not enabled or dead _x000D_
04 26 12:41:46 994 21540 21540 D GmsGcmTrigger: Not connected to GCM but should be  asking the service to start up  Triggered_x000D_
 by: Intent   act org microg gms gcm FORCE TRY RECONNECT flg 0x10 cmp com google android gms org microg gms gcm TriggerReceiv_x000D_
er  _x000D_
04 26 12:41:46 997 21540 21540 D ForegroundService: Starting in foreground mode _x000D_
04 26 12:41:47 014 21540 21540 D GmsGcmMcsSvc: Started Google    (GCM) in foreground mode _x000D_
04 26 12:41:47 020 21540 21540 D ForegroundService: Active in background    Google    (GCM) is running in background    _x000D_
Exclude microG Services Core from battery optimizations or change notification settings to hide this notification _x000D_
04 26 12:41:47 026 21540 21540 D GmsGcmMcsSvc: Notification: Notification(channel foreground service shortcut null contentVie_x000D_
w null vibrate null sound null defaults 0x0 flags 0x2 color 0x00000000 vis PRIVATE)_x000D_
04 26 12:41:47 028 21540 21717 D GmsGcmMcsSvc: Connect initiated  reason: Intent   act org microg gms gcm FORCE TRY RECONNECT_x000D_
 flg 0x10 cmp com google android gms org microg gms gcm TriggerReceiver  _x000D_
04 26 12:41:47 029 21540 21717 D GmsGcmMcsSvc: Connection is not enabled or dead _x000D_
04 26 12:41:47 030 21540 21540 D GmsGcmMcsSvc: Connection is not enabled or dead _x000D_
04 26 12:41:47 030 21540 21540 D GmsGcmTrigger: Not connected to GCM but should be  asking the service to start up  Triggered_x000D_
 by: Intent   act android net conn CONNECTIVITY CHANGE flg 0x4200010 (has extras)  _x000D_
04 26 12:41:47 031 21540 21540 D ForegroundService: Starting in foreground mode _x000D_
04 26 12:41:47 033 21540 21717 D GmsGcmMcsSvc: Starting MCS connection   _x000D_
04 26 12:41:47 034 21540 21540 D GmsGcmMcsSvc: Started Google    (GCM) in foreground mode _x000D_
04 26 12:41:47 037 21540 21540 D ForegroundService: Active in background    Google    (GCM) is running in background    _x000D_
Exclude microG Services Core from battery optimizations or change notification settings to hide this notification _x000D_
04 26 12:41:47 039 21540 21540 D GmsGcmMcsSvc: Notification: Notification(channel foreground service shortcut null contentVie_x000D_
w null vibrate null sound null defaults 0x0 flags 0x2 color 0x00000000 vis PRIVATE)_x000D_
04 26 12:41:47 042 21540 21540 D GmsGcmMcsSvc: Connection is not enabled or dead _x000D_
04 26 12:41:47 051 21540 21540 D GmsGcmMcsSvc: Connection is not enabled or dead _x000D_
04 26 12:41:47 079  1312  1312 I vendor rmt storage: rmt storage connect cb: clnt h 0xc2 conn h 0x79a7122370_x000D_
04 26 12:41:47 080  1312  1312 I vendor rmt storage: rmt storage rw iovec cb:  boot modem fs1: req h 0xc2 msg id 3: R W reque_x000D_
st received (wr count 187)_x000D_
04 26 12:41:47 080  1312  1312 I vendor rmt storage: wakelock acquired: 1  error no: 11_x000D_
04 26 12:41:47 080  1312  1585 I vendor rmt storage: rmt storage client thread:  boot modem fs1: Unblock worker thread (th id_x000D_
: 520075652352)_x000D_
04 26 12:41:47 089 21540 21717 D GmsGcmMcsSvc: Connected to mtalk google com:5228_x000D_
04 26 12:41:47 093 21540 21717 D GmsGcmMcsSvc: Activated SSL with mtalk google com:5228_x000D_
04 26 12:41:47 110     0     0 E msm dwc3 perf vote work: in perf mode:0  interrupts in last sample:0_x000D_
04 26 12:41:47 132  2322  2342 W APM::AudioPolicyEngine: getDevicesForStrategy() unknown strategy:  1_x000D_
04 26 12:41:47 150  1312  1585 I vendor rmt storage: rmt storage client thread:  boot modem fs1: req h 0xc2 msg id 3: Bytes w_x000D_
ritten   2097152  wr count 187_x000D_
04 26 12:41:47 150  1312  1585 I vendor rmt storage: rmt storage client thread:  boot modem fs1: req h 0xc2 msg id 3: Send re_x000D_
sponse: res 0 err 0  wr count 187_x000D_
04 26 12:41:47 151  1312  1585 I vendor rmt storage: rmt storage client thread:  boot modem fs1: About to block rmt storage c_x000D_
lient thread (th id: 520075652352) wakelock released: 1  error no: 22_x000D_
04 26 12:41:47 151  1312  1585 I vendor rmt storage:_x000D_
04 26 12:41:47 152 21540 21540 D GmsGcmMcsSvc: Connection is not enabled or dead _x000D_
04 26 12:41:47 153  1312  1312 I vendor rmt storage: rmt storage disconnect cb: clnt h 0xc2 conn h 0x79a7122370_x000D_
04 26 12:41:47 165 21540 21717 D GmsGcmMcsSvc: Scheduling heartbeat in 300 seconds   _x000D_
04 26 12:41:47 165 21540 21720 D GmsGcmMcsSvc: Sending login request   _x000D_
04 26 12:41:47 166 21540 21717 D GmsGcmMcsSvc: Connect initiated  reason: Intent   act android net conn CONNECTIVITY CHANGE f_x000D_
lg 0x4200010 (has extras)  _x000D_
04 26 12:41:47 180 21540 21720 D GmsGcmMcsOutput: Outgoing message: LoginRequest id android 30  domain mcs android com  user _x000D_
4327638329198319116  resource 4327638329198319116  auth token 2864949966609327754  device id android 3c0edc21b03b160c  settin_x000D_
g  Setting name new vc  value 1    adaptive heartbeat false  use rmq2 true  auth service ANDROID ID  network type 1 _x000D_
04 26 12:41:47 180 21540 21720 D GmsGcmMcsOutput: Write MCS version code: 41_x000D_
04 26 12:41:47 218 21540 21719 D GmsGcmMcsInput: Reading from MCS version: 41_x000D_
04 26 12:41:47 224 21540 21719 D GmsGcmMcsInput: Incoming message: LoginResponse id android 30  jid user firebase com notific_x000D_
ations  last stream id received 1  server timestamp 1619412108365 _x000D_
04 26 12:41:47 225 21540 21719 D GmsGcmMcsSvc: Logged in_x000D_
04 26 12:41:47 233  2366  2366 D NotificationService: 0 com google android gms  637282331 null 10188: granting content:  sett_x000D_
ings system notification sound_x000D_
04 26 12:41:47 234 21540 21719 D GmsGcmMcsInput: Incoming message: IqStanza type SET  id   extension Extension id 12  data  s_x000D_
ize 0   _x000D_
04 26 12:41:47 234 21540 21719 W GmsGcmMcsSvc: Unknown message: IqStanza type SET  id   extension Extension id 12  data  size_x000D_
 0   _x000D_
04 26 12:41:47 235  2366  2366 I chatty  : uid 1000 system server identical 1 line_x000D_
04 26 12:41:47 236  2366  2366 D NotificationService: 0 com google android gms  637282331 null 10188: granting content:  sett_x000D_
ings system notification sound_x000D_
04 26 12:41:47 238  2366  2366 W NotificationHistory: Attempted to add notif for locked gone disabled user 0_x000D_
04 26 12:41:47 257  2830  2830 D InterruptionStateProvider: No bubble up: not allowed to bubble: 0 com google android gms  63_x000D_
7282331 null 10188_x000D_
04 26 12:41:47 260  2830  2830 D InterruptionStateProvider: No heads up: unimportant notification: 0 com google android gms  _x000D_
637282331 null 10188_x000D_
04 26 12:41:47 269  2830  2830 D InterruptionStateProvider: No bubble up: not allowed to bubble: 0 com google android gms  63_x000D_
7282331 null 10188_x000D_
04 26 12:41:47 270  2830  2830 D InterruptionStateProvider: No heads up: unimportant notification: 0 com google android gms  _x000D_
637282331 null 10188_x000D_
04 26 12:41:47 488 28132 28143 E essService0:84: failed to create Unix domain socket: Operation not permitted_x000D_
04 26 12:41:47 733  3867  3878 E ssService0:133: failed to create Unix domain socket: Operation not permitted_x000D_
04 26 12:41:47 751     0     0 I IRQ 6   : no longer affine to CPU5_x000D_
04 26 12:41:48 102 20964 20975 E ssService0:147: failed to create Unix domain socket: Operation not permitted_x000D_
04 26 12:41:48 233  9146  9157 E cessService0:1: failed to create Unix domain socket: Operation not permitted_x000D_
04 26 12:41:48 332 19238 19249 E essService0:74: failed to create Unix domain socket: Operation not permitted_x000D_
04 26 12:41:49 110     0     0 E msm dwc3 perf vote work: in perf mode:0  interrupts in last sample:0_x000D_
04 26 12:41:49 350     0     0 E         </t>
  </si>
  <si>
    <t>TeamNewPipe-NewPipe-6172</t>
  </si>
  <si>
    <t>Please stabilise the caption text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</si>
  <si>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_x000D_
    Steps to reproduce the bug_x000D_
1  Go to  https:  www youtube com watch v Y ejCmX008s   or basically any video_x000D_
2  turn on captions_x000D_
3  choose  auto generated _x000D_
    _x000D_
1  Go to  https:  www youtube com watch v Y ejCmX008s   or basically any video_x000D_
2  turn on captions_x000D_
3  choose  auto generated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With the auto generated caption  the text are centrally justified   This causes the text to shift back and forth when changing lines  making them hard to track by the eye   _x000D_
_x000D_
_x000D_
    Expected behavior_x000D_
     Tell us what you expect to happen     _x000D_
The start position of each line of text should stay the same  so perhaps left justification is ideal  as YouTube does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The behavior appears on various devices  all with Android 9 as I tried </t>
  </si>
  <si>
    <t>cgeo-cgeo-10464</t>
  </si>
  <si>
    <t>NPE in settings</t>
  </si>
  <si>
    <t xml:space="preserve">     Fill in the following form by adding your text below the explanation comments     _x000D_
     You can use the preview tab above to review your issue before submitting it     _x000D_
_x000D_
   Bug description _x000D_
     Enter a summarized description of what the bug problem is  that you found    _x000D_
Just seen in a users logfile (probably independent from his problem  that Brouter is not working  )_x000D_
_x000D_
   Reproduce _x000D_
    Steps to reproduce the problem_x000D_
     Describe step by step how to reproduce the problem    _x000D_
Unkown_x000D_
_x000D_
    Actual result after these steps _x000D_
     Describe the actual issue problem behavior in detail  which happens after the steps above    _x000D_
Crash_x000D_
_x000D_
    Expected result after these steps _x000D_
     Describe what you expected to happen instead (correct behavior)    _x000D_
No crash_x000D_
_x000D_
   c:geo version _x000D_
     You will find the c:geo version in c:geo Menu    About c:geo    _x000D_
2012 04 25_x000D_
_x000D_
   Reproducible _x000D_
     Yes   No (or describe under what conditions)    _x000D_
No_x000D_
_x000D_
   System information _x000D_
     Attach system information here if available (see c:geo Menu    About c:geo    Swipe right to System)    _x000D_
     Keep the apostrophe at beginning and end to have it properly formatted    _x000D_
_x000D_
_x000D_
   _x000D_
    System information    _x000D_
c:geo version: 2021 04 25_x000D_
_x000D_
Device:_x000D_
       _x000D_
  Device type: ONEPLUS A3003 (OnePlus3  OnePlus)_x000D_
  Available processors: 4_x000D_
  Android version: 9_x000D_
  Android build: ONEPLUS A3003 16 191104_x000D_
  Sailfish OS detected: false_x000D_
  Google Play services: enabled   21 15 12 (100400 368160137)_x000D_
  HW acceleration: enabled (default state)_x000D_
_x000D_
Sensor and location:_x000D_
       _x000D_
  Low power mode: active_x000D_
  Compass capabilities: yes_x000D_
  Rotation vector sensor: present_x000D_
  Orientation sensor: present_x000D_
  Magnetometer   Accelerometer sensor: present_x000D_
  Direction sensor used: rotation vector_x000D_
_x000D_
Program settings:_x000D_
       _x000D_
  Hide caches: own found_x000D_
  Hide waypoints:  _x000D_
  Set language: de DE (system default)_x000D_
  System date format: dd MM yy_x000D_
  Debug mode active: no_x000D_
  Live map mode: true_x000D_
  OSM multi threading: true   threads: 4_x000D_
  Global filter: display all caches_x000D_
  Last backup: never_x000D_
  Routing mode: Straight_x000D_
  Map: Bayern oam osm (Offline)_x000D_
    Id:_x000D_
 cgeo geocaching maps mapsforge MapsforgeMapProvider OfflineMapSource:primary:OSM Maps bayern oam osm map_x000D_
    Atts: Maps: (c)Christian Kernbeis  Themes: (c)Tobias Kuehn  www openandromaps org 2012 2020_x000D_
    Theme: Elevate zip:Elevate xml_x000D_
_x000D_
Services:_x000D_
       _x000D_
  Geocaching sites enabled:_x000D_
   geocaching com: Logged in (Anmeldung OK)   PREMIUM_x000D_
   opencaching de: Logged in (Anmeldung OK)_x000D_
  Geocaching com date format: yyyy MM dd_x000D_
  BRouter installed: true   connection available: false_x000D_
  Installed c:geo plugins: contacts_x000D_
_x000D_
Permissions   paths:_x000D_
       _x000D_
  Fine location permission: granted_x000D_
  Write external storage permission: granted_x000D_
  System internal c:geo dir:  data user 0 cgeo geocaching (734 8 MB free) v2 internal isDir(10 entries)_x000D_
  Legacy User storage c:geo dir:  storage emulated 0 cgeo (634 8 MB free) v2 external non removable isDir(5 entries)_x000D_
  Geocache data:  storage emulated 0 Android data cgeo geocaching files GeocacheData (634 8 MB free) v2 external non removable isDir(1711 entries)_x000D_
  Internal theme sync (is turned off):  data user 0 cgeo geocaching MapThemeData (734 8 MB free) v2 internal isDir(0 entries)_x000D_
  Public Folders:  9_x000D_
    BASE:  cgeo (User Defined)  cgeo DOCUMENT 0:p content:  com android externalstorage documents tree primary 3Acgeo::   (Uri: content:  com android externalstorage documents tree primary 3Acgeo document primary 3Acgeo  Av:true  files:  4  dirs:  5  totalFileSize:  12 6 MB  free space: 634 8 MB  files on device: 3522560)_x000D_
    OFFLINE MAPS:  OSM Maps (User Defined)  OSM Maps DOCUMENT 0:p content:  com android externalstorage documents tree primary 3AOSM Maps::   (Uri: content:  com android externalstorage documents tree primary 3AOSM Maps document primary 3AOSM Maps  Av:true  files:3  dirs:1  totalFileSize:773 4 MB  free space: 634 7 MB  files on device: 3522560)_x000D_
    OFFLINE MAP THEMES:  OSM Maps Themes (User Defined)  OSM Maps Themes DOCUMENT 0:p content:  com android externalstorage documents tree primary 3AOSM Maps 2FThemes::   (Uri: content:  com android externalstorage documents tree primary 3AOSM Maps 2FThemes document primary 3AOSM Maps 2FThemes  Av:true  files:2  dirs:0  totalFileSize:444 2 KB  free space: 634 7 MB  files on device: 3522560)_x000D_
    LOGFILES:  cgeo logfiles (Default)  cgeo logfiles PERSISTABLE FOLDER(BASE) 1:p content:  com android externalstorage documents tree primary 3Acgeo:: logfiles   (Uri: content:  com android externalstorage documents tree primary 3Acgeo document primary 3Acgeo 2Flogfiles  Av:true  files:1  dirs:0  totalFileSize:160 8 KB  free space: 634 6 MB  files on device: 3522560)_x000D_
    GPX:  cgeo gpx (User Defined)  cgeo gpx DOCUMENT 0:p content:  com android externalstorage documents tree primary 3Acgeo 2Fgpx::   (Uri: content:  com android externalstorage documents tree primary 3Acgeo 2Fgpx document primary 3Acgeo 2Fgpx  Av:true  files:0  dirs:0  totalFileSize:0 B  free space: 634 6 MB  files on device: 3522560)_x000D_
    BACKUP:  cgeo backup (Default)  cgeo backup PERSISTABLE FOLDER(BASE) 1:p content:  com android externalstorage documents tree primary 3Acgeo:: backup   (Uri: content:  com android externalstorage documents tree primary 3Acgeo document primary 3Acgeo 2Fbackup  Av:true  files:1  dirs:0  totalFileSize:12 5 MB  free space: 634 6 MB  files on device: 3522560)_x000D_
    FIELD NOTES:  cgeo field notes (Default)  cgeo field notes PERSISTABLE FOLDER(BASE) 1:p content:  com android externalstorage documents tree primary 3Acgeo:: field notes   (Uri: content:  com android externalstorage documents tree primary 3Acgeo document primary 3Acgeo 2Ffield notes  Av:true  files:2  dirs:0  totalFileSize:0 B  free space: 634 6 MB  files on device: 3522560)_x000D_
    SPOILER IMAGES:  cgeo GeocachePhotos (Default)  cgeo GeocachePhotos PERSISTABLE FOLDER(BASE) 1:p content:  com android externalstorage documents tree primary 3Acgeo:: GeocachePhotos   (Uri: content:  com android externalstorage documents tree primary 3Acgeo document primary 3Acgeo 2FGeocachePhotos  Av:true  files:0  dirs:0  totalFileSize:0 B  free space: 634 6 MB  files on device: 3522560)_x000D_
    TEST FOLDER:  Legacy  data user 0 cgeo geocaching files unittest (Default)  data user 0 cgeo geocaching files unittest FILE 1:p file:   data user 0 cgeo geocaching files:: unittest   (Uri: file:   data user 0 cgeo geocaching files unittest  Av:true  files:0  dirs:0  totalFileSize:0 B  free space: 734 6 MB  files on device:  1)_x000D_
  Map render theme path: Elevate zip:Elevate xml_x000D_
  PersistedDocumentUris:  1_x000D_
  TRACK: null_x000D_
  Persisted Uri Permissions:  4_x000D_
    content:  com android externalstorage documents tree primary 3AOSM Maps 2FThemes (3  Apr   07:48):RW_x000D_
    content:  com android externalstorage documents tree primary 3AOSM Maps (29  M rz  07:31):RW_x000D_
    content:  com android externalstorage documents tree primary 3Acgeo (25  Apr   09:45):RW_x000D_
    content:  com android externalstorage documents tree primary 3Acgeo 2Fgpx (3  Apr   07:43):RW_x000D_
  Database:  storage emulated 0 Android data cgeo geocaching files databases data (v94  Size:46 8 MB) on user storage_x000D_
 Settings: v5  Count:185_x000D_
    End of system information    _x000D_
   _x000D_
_x000D_
   Additional context _x000D_
     (optional  remove if not applicable) log files  reference to other similar issues  projects  sources  etc     _x000D_
   _x000D_
04 25 09:45:55 627 10665 10665 D AndroidRuntime: Shutting down VM_x000D_
04 25 09:45:55 653 10665 10665 E AndroidRuntime: FATAL EXCEPTION: main_x000D_
04 25 09:45:55 653 10665 10665 E AndroidRuntime: Process: cgeo geocaching  PID: 10665_x000D_
04 25 09:45:55 653 10665 10665 E AndroidRuntime: java lang RuntimeException: Unable to start activity ComponentInfo cgeo geocaching cgeo geocaching settings ViewSettingsActivity : java lang NullPointerException: Attempt to invoke virtual method  java lang String java lang Object toString()  on a null object reference_x000D_
04 25 09:45:55 653 10665 10665 E AndroidRuntime: 	at android app ActivityThread performLaunchActivity(ActivityThread java:3037)_x000D_
04 25 09:45:55 653 10665 10665 E AndroidRuntime: 	at android app ActivityThread handleLaunchActivity(ActivityThread java:3172)_x000D_
04 25 09:45:55 653 10665 10665 E AndroidRuntime: 	at android app servertransaction LaunchActivityItem execute(LaunchActivityItem java:78)_x000D_
04 25 09:45:55 653 10665 10665 E AndroidRuntime: 	at android app servertransaction TransactionExecutor executeCallbacks(TransactionExecutor java:108)_x000D_
04 25 09:45:55 653 10665 10665 E AndroidRuntime: 	at android app servertransaction TransactionExecutor execute(TransactionExecutor java:68)_x000D_
04 25 09:45:55 653 10665 10665 E AndroidRuntime: 	at android app ActivityThread H handleMessage(ActivityThread java:1906)_x000D_
04 25 09:45:55 653 10665 10665 E AndroidRuntime: 	at android os Handler dispatchMessage(Handler java:106)_x000D_
04 25 09:45:55 653 10665 10665 E AndroidRuntime: 	at android os Looper loop(Looper java:193)_x000D_
04 25 09:45:55 653 10665 10665 E AndroidRuntime: 	at android app ActivityThread main(ActivityThread java:6863)_x000D_
04 25 09:45:55 653 10665 10665 E AndroidRuntime: 	at java lang reflect Method invoke(Native Method)_x000D_
04 25 09:45:55 653 10665 10665 E AndroidRuntime: 	at com android internal os RuntimeInit MethodAndArgsCaller run(RuntimeInit java:537)_x000D_
04 25 09:45:55 653 10665 10665 E AndroidRuntime: 	at com android internal os ZygoteInit main(ZygoteInit java:858)_x000D_
04 25 09:45:55 653 10665 10665 E AndroidRuntime: Caused by: java lang NullPointerException: Attempt to invoke virtual method  java lang String java lang Object toString()  on a null object reference_x000D_
04 25 09:45:55 653 10665 10665 E AndroidRuntime: 	at cgeo geocaching settings ViewSettingsActivity onCreate(ViewSettingsActivity java:76)_x000D_
04 25 09:45:55 653 10665 10665 E AndroidRuntime: 	at android app Activity performCreate(Activity java:7149)_x000D_
04 25 09:45:55 653 10665 10665 E AndroidRuntime: 	at android app Activity performCreate(Activity java:7140)_x000D_
04 25 09:45:55 653 10665 10665 E AndroidRuntime: 	at android app Instrumentation callActivityOnCreate(Instrumentation java:1288)_x000D_
04 25 09:45:55 653 10665 10665 E AndroidRuntime: 	at android app ActivityThread performLaunchActivity(ActivityThread java:3017)_x000D_
04 25 09:45:55 653 10665 10665 E AndroidRuntime: 	    11 more_x000D_
   </t>
  </si>
  <si>
    <t>TeamNewPipe-NewPipe-6164</t>
  </si>
  <si>
    <t>Forced aspect ratio.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</si>
  <si>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Start watching any video for a few seconds _x000D_
2  Tab out of the app using your navigation bar _x000D_
3  Tab back into the video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app s aspect ratio gets bigger and forces the navigation bar and top menu to close _x000D_
_x000D_
_x000D_
    Expected behavior_x000D_
     Tell us what you expect to happen     _x000D_
I expect the app not to close the nav bar unless I am in fullscreen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streamable com dxa0cb_x000D_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One UI 3 0   Android 11_x000D_
   Device model: Galaxy S10_x000D_
</t>
  </si>
  <si>
    <t>Anuken-Mindustry-5152</t>
  </si>
  <si>
    <t>High Buildspeed = Wacky Movement</t>
  </si>
  <si>
    <t xml:space="preserve">  Platform  :  Android iOS Mac Windows Linux _x000D_
windows_x000D_
_x000D_
  Build  :  The build number under the title in the main menu  Required   LATEST  IS NOT A VERSION  I NEED THE EXACT BUILD NUMBER OF YOUR GAME  _x000D_
steam 126 3_x000D_
_x000D_
  Issue  :  Explain your issue in detail  _x000D_
when a units build speed is very high  deconstructing buildings results is weird teleports and other oddities _x000D_
_x000D_
  Steps to reproduce  :  How you happened across the issue  and what exactly you did to make the bug happen  _x000D_
1  UnitTypes gamma buildSpeed   1000_x000D_
2  deconstruct lots of blocks_x000D_
3  observe_x000D_
_x000D_
  Link(s) to mod(s) used  :  The mod repositories or zip files that are related to the issue  if applicable  _x000D_
console mod_x000D_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works on any survival world_x000D_
_x000D_
If you remove the line above without reading it properly and understanding what it means  I will reap your soul  Even if you re playing on someone s server  you can still save the game to a slot _x000D_
yeet_x000D_
_x000D_
  (Crash) logs  :  Either crash reports from the crash folder  or the file you get when you go into Settings    Game Data    Export Crash logs  REQUIRED if you are reporting a crash  _x000D_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</si>
  <si>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MuntashirAkon-AppManager-400</t>
  </si>
  <si>
    <t>AM crash during import of blocking rules</t>
  </si>
  <si>
    <t xml:space="preserve">AM crash when trying to import blocking rules (previously exported from AM) _x000D_
 AMlog import txt (https:  github com MuntashirAkon AppManager files 6370989 AMlog import txt)_x000D_
 logcat txt (https:  github com MuntashirAkon AppManager files 6370990 logcat txt)_x000D_
</t>
  </si>
  <si>
    <t>TeamNewPipe-NewPipe-6162</t>
  </si>
  <si>
    <t>"Delete Downloaded Files" does not work immediately before closing app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</si>
  <si>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Start and finish downloading at least one video _x000D_
2  Go to  Menu Downloads Trashcan   _x000D_
2  In the  Clear Download History  pop up that has appeared  press on  DELETE DOWNLOADED FILES   Note the downloaded file(s) all disappear as expected  and there is an  Undo  pop up at the bottom of the screen _x000D_
3  Immediately open the android app switcher   Recents view  and close NewPipe _x000D_
4  Reopen NewPipe  return to Menu Downloads  and note the downloaded file(s) are all back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Choosing  DELETE DOWNLOADED FILES  immediately before closing the app does not in fact delete any files at all _x000D_
_x000D_
    Expected behavior_x000D_
     Tell us what you expect to happen     _x000D_
Choosing  DELETE DOWNLOADED FILES  immediately before closing the app DOES delete all the files  The Microsoft Edge app on Android has basically the same interface  including the Undo  but if I clean out my downloads immediately before closing the app  they stay deleted unlike NewPipe  I found https:  github com TeamNewPipe NewPipe issues 1793 issuecomment 436094742 which made me think of specifically waiting awhile before closing the app   and that does work around this issue  However I ve been using the app for months  frequently annoyed that NewPipe usually wouldn t actually delete files when I asked it to  and it was only after coming and investigating Github issues that I realized the root cause is closing the app too quickly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DON T POST SCREENSHOTS OF THE ERROR PAGE  Use the buttons given on the error page to paste the error as text in the Logs section below     _x000D_
_x000D_
https:  user images githubusercontent com 59303202 115970379 7fa7f580 a507 11eb 9502 e50e79b872b7 mp4_x000D_
_x000D_
_x000D_
_x000D_
    Logs_x000D_
     If your bug includes a crash (where you re shown the Error Report page with a bunch of info)  tap on  Copy formatted report  at the bottom and paste it here:    _x000D_
_x000D_
     That s right  here     _x000D_
N A_x000D_
_x000D_
_x000D_
     Please fill this out when you do not provide a log generate by NewPipe    _x000D_
_x000D_
    Device info_x000D_
_x000D_
   Android version Custom ROM version: Android 11 with April 1  2021 security updates_x000D_
   Device model: Samsung Galaxy S21 (same behavior happened on my old Galaxy S10e  but I did not think to submit a bug report until now) </t>
  </si>
  <si>
    <t>cgeo-cgeo-10457</t>
  </si>
  <si>
    <t>User cannot attach image to log</t>
  </si>
  <si>
    <t xml:space="preserve">     Fill in the following form by adding your text below the explanation comments     _x000D_
     You can use the preview tab above to review your issue before submitting it     _x000D_
_x000D_
   Bug description _x000D_
     Enter a summarized description of what the bug problem is  that you found    _x000D_
Reported on support mail _x000D_
User tries to attach an image to the log but it fails (is not attached)  Happens for existing as well as new photo_x000D_
_x000D_
   Reproduce _x000D_
    Steps to reproduce the problem_x000D_
     Describe step by step how to reproduce the problem    _x000D_
  Compose a log_x000D_
  Select to add an image_x000D_
_x000D_
    Actual result after these steps _x000D_
     Describe the actual issue problem behavior in detail  which happens after the steps above    _x000D_
Nothing attached_x000D_
_x000D_
    Expected result after these steps _x000D_
     Describe what you expected to happen instead (correct behavior)    _x000D_
Image should be attached to log_x000D_
_x000D_
   c:geo version _x000D_
     You will find the c:geo version in c:geo Menu    About c:geo    _x000D_
2021 04 24_x000D_
_x000D_
   Reproducible _x000D_
     Yes   No (or describe under what conditions)    _x000D_
No  seems to be device specific_x000D_
_x000D_
   System information _x000D_
     Attach system information here if available (see c:geo Menu    About c:geo    Swipe right to System)    _x000D_
     Keep the apostrophe at beginning and end to have it properly formatted    _x000D_
_x000D_
_x000D_
   _x000D_
    System information    _x000D_
c:geo version: 2021 04 24_x000D_
_x000D_
Device:_x000D_
       _x000D_
  Device type: SM A520F (a5y17ltexx  samsung)_x000D_
  Available processors: 8_x000D_
  Android version: 8 0 0_x000D_
  Android build: R16NW A520FXXUGCTKA_x000D_
  Sailfish OS detected: false_x000D_
  Google Play services: enabled   21 12 13 (040408 367530751)_x000D_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rotation vector_x000D_
_x000D_
Program settings:_x000D_
       _x000D_
  Hide caches: own found disabled archived_x000D_
  Hide waypoints: original_x000D_
  Set language: de DE (system default)_x000D_
  System date format: dd MM yy_x000D_
  Debug mode active: yes_x000D_
  Live map mode: true_x000D_
  OSM multi threading: false   threads: 1_x000D_
  Global filter: display all caches_x000D_
  Last backup: never_x000D_
  Routing mode: Walk_x000D_
  Map: OpenStreetMap org_x000D_
  Id: cgeo geocaching maps mapsforge MapsforgeMapProvider OsmMapSource_x000D_
  Atts: OpenStreetMap DE  map data OpenStreetMap contributors_x000D_
  Theme: none_x000D_
_x000D_
Services:_x000D_
       _x000D_
  Geocaching sites enabled:_x000D_
geocaching com: Logged in (Anmeldung OK)   PREMIUM_x000D_
  Geocaching com date format: dd MM yyyy_x000D_
  BRouter installed: false   connection available: false_x000D_
  Installed c:geo plugins: none_x000D_
_x000D_
Permissions   paths:_x000D_
       _x000D_
  Fine location permission: granted_x000D_
  Write external storage permission: granted_x000D_
  System internal c:geo dir:  data user 0 cgeo geocaching (10 6 GB free) v2 internal isDir(10 entries)_x000D_
  Legacy User storage c:geo dir:  storage emulated 0 cgeo (10 6 GB free) v2 external non removable isDir(4 entries)_x000D_
  Geocache data:  storage 3030 6431 Android data cgeo geocaching files GeocacheData (8 1 GB free) v2 external removable isDir(4604 entries)_x000D_
  Internal theme sync (is turned off):  data user 0 cgeo geocaching MapThemeData (10 6 GB free) v2 internal isDir(0 entries)_x000D_
  Public Folders:  9_x000D_
  BASE:  cgeo Cgeo (User Defined)  cgeo Cgeo DOCUMENT 0:p content:  com android externalstorage documents tree primary 3Acgeo 2FCgeo::   (Uri: content:  com android externalstorage documents tree primary 3Acgeo 2FCgeo document primary 3Acgeo 2FCgeo  Av:true  files:  3  dirs:  7  totalFileSize:  444 2 KB  free space: 10 6 GB  files on device: 783360)_x000D_
  OFFLINE MAPS:  cgeo Cgeo maps (Default)  cgeo Cgeo maps PERSISTABLE FOLDER(BASE) 1:p content:  com android externalstorage documents tree primary 3Acgeo 2FCgeo:: maps   (Uri: content:  com android externalstorage documents tree primary 3Acgeo 2FCgeo document primary 3Acgeo 2FCgeo 2Fmaps  Av:true  files:0  dirs:1  totalFileSize:0 B  free space: 10 6 GB  files on device: 783360)_x000D_
  OFFLINE MAP THEMES:  cgeo Cgeo maps  themes (Default)  cgeo Cgeo maps  themes PERSISTABLE FOLDER(OFFLINE MAPS) 1:p content:  com android externalstorage documents tree primary 3Acgeo 2FCgeo:: maps  themes   (Uri: content:  com android externalstorage documents tree primary 3Acgeo 2FCgeo document primary 3Acgeo 2FCgeo 2Fmaps 2F themes  Av:true  files:0  dirs:0  totalFileSize:0 B  free space: 10 6 GB  files on device: 783360)_x000D_
  LOGFILES:  cgeo Cgeo logfiles (Default)  cgeo Cgeo logfiles PERSISTABLE FOLDER(BASE) 1:p content:  com android externalstorage documents tree primary 3Acgeo 2FCgeo:: logfiles   (Uri: content:  com android externalstorage documents tree primary 3Acgeo 2FCgeo document primary 3Acgeo 2FCgeo 2Flogfiles  Av:true  files:3  dirs:0  totalFileSize:444 2 KB  free space: 10 6 GB  files on device: 783360)_x000D_
  GPX:  cgeo Cgeo gpx (Default)  cgeo Cgeo gpx PERSISTABLE FOLDER(BASE) 1:p content:  com android externalstorage documents tree primary 3Acgeo 2FCgeo:: gpx   (Uri: content:  com android externalstorage documents tree primary 3Acgeo 2FCgeo document primary 3Acgeo 2FCgeo 2Fgpx  Av:true  files:0  dirs:0  totalFileSize:0 B  free space: 10 6 GB  files on device: 783360)_x000D_
  BACKUP:  cgeo Cgeo backup (Default)  cgeo Cgeo backup PERSISTABLE FOLDER(BASE) 1:p content:  com android externalstorage documents tree primary 3Acgeo 2FCgeo:: backup   (Uri: content:  com android externalstorage documents tree primary 3Acgeo 2FCgeo document primary 3Acgeo 2FCgeo 2Fbackup  Av:true  files:0  dirs:0  totalFileSize:0 B  free space: 10 6 GB  files on device: 783360)_x000D_
  FIELD NOTES:  cgeo Cgeo field notes (Default)  cgeo Cgeo field notes PERSISTABLE FOLDER(BASE) 1:p content:  com android externalstorage documents tree primary 3Acgeo 2FCgeo:: field notes   (Uri: content:  com android externalstorage documents tree primary 3Acgeo 2FCgeo document primary 3Acgeo 2FCgeo 2Ffield notes  Av:true  files:0  dirs:0  totalFileSize:0 B  free space: 10 6 GB  files on device: 783360)_x000D_
  SPOILER IMAGES:  cgeo Cgeo GeocachePhotos (Default)  cgeo Cgeo GeocachePhotos PERSISTABLE FOLDER(BASE) 1:p content:  com android externalstorage documents tree primary 3Acgeo 2FCgeo:: GeocachePhotos   (Uri: content:  com android externalstorage documents tree primary 3Acgeo 2FCgeo document primary 3Acgeo 2FCgeo 2FGeocachePhotos  Av:true  files:0  dirs:0  totalFileSize:0 B  free space: 10 6 GB  files on device: 783360)_x000D_
  TEST FOLDER:  Legacy  data user 0 cgeo geocaching files unittest (Default)  data user 0 cgeo geocaching files unittest FILE 1:p file:   data user 0 cgeo geocaching files:: unittest   (Uri: file:   data user 0 cgeo geocaching files unittest  Av:true  files:0  dirs:0  totalFileSize:0 B  free space: 10 6 GB  files on device:  1)_x000D_
  Map render theme path:_x000D_
  PersistedDocumentUris:  1_x000D_
  TRACK: null_x000D_
  Persisted Uri Permissions:  1_x000D_
  content:  com android externalstorage documents tree primary 3Acgeo 2FCgeo (19  Apr   18:12):RW_x000D_
  Database:  data user 0 cgeo geocaching databases data (v94  Size:178 1 MB) on system internal storage_x000D_
 Settings: v5  Count:143_x000D_
    End of system information    _x000D_
   _x000D_
_x000D_
   Additional context _x000D_
     (optional  remove if not applicable) log files  reference to other similar issues  projects  sources  etc     _x000D_
Log:_x000D_
   _x000D_
          beginning of crash_x000D_
04 17 12:38:28 940 21111 21111 E AndroidRuntime: FATAL EXCEPTION: main_x000D_
04 17 12:38:28 940 21111 21111 E AndroidRuntime: Process: cgeo geocaching  PID: 21111_x000D_
04 17 12:38:28 940 21111 21111 E AndroidRuntime: android view WindowManager BadTokenException: Unable to add window    token android os BinderProxy 67b8937 is not valid  is your activity running _x000D_
04 17 12:38:28 940 21111 21111 E AndroidRuntime: 	at android view ViewRootImpl setView(ViewRootImpl java:958)_x000D_
04 17 12:38:28 940 21111 21111 E AndroidRuntime: 	at android view WindowManagerGlobal addView(WindowManagerGlobal java:381)_x000D_
04 17 12:38:28 940 21111 21111 E AndroidRuntime: 	at android view WindowManagerImpl addView(WindowManagerImpl java:100)_x000D_
04 17 12:38:28 940 21111 21111 E AndroidRuntime: 	at android app Dialog show(Dialog java:420)_x000D_
04 17 12:38:28 940 21111 21111 E AndroidRuntime: 	at cgeo geocaching ui dialog Dialogs confirmPositiveNegativeNeutral(Dialogs java:385)_x000D_
04 17 12:38:28 940 21111 21111 E AndroidRuntime: 	at cgeo geocaching log LogCacheActivity Poster onPostExecuteInternal(LogCacheActivity java:870)_x000D_
04 17 12:38:28 940 21111 21111 E AndroidRuntime: 	at cgeo geocaching log LogCacheActivity Poster onPostExecuteInternal(LogCacheActivity java:725)_x000D_
04 17 12:38:28 940 21111 21111 E AndroidRuntime: 	at cgeo geocaching utils AbstractAsyncTaskWithProgress onPostExecute(AbstractAsyncTaskWithProgress java:74)_x000D_
04 17 12:38:28 940 21111 21111 E AndroidRuntime: 	at android os AsyncTask finish(AsyncTask java:695)_x000D_
04 17 12:38:28 940 21111 21111 E AndroidRuntime: 	at android os AsyncTask  wrap1(Unknown Source:0)_x000D_
04 17 12:38:28 940 21111 21111 E AndroidRuntime: 	at android os AsyncTask InternalHandler handleMessage(AsyncTask java:712)_x000D_
04 17 12:38:28 940 21111 21111 E AndroidRuntime: 	at android os Handler dispatchMessage(Handler java:105)_x000D_
04 17 12:38:28 940 21111 21111 E AndroidRuntime: 	at android os Looper loop(Looper java:164)_x000D_
04 17 12:38:28 940 21111 21111 E AndroidRuntime: 	at android app ActivityThread main(ActivityThread java:6944)_x000D_
04 17 12:38:28 940 21111 21111 E AndroidRuntime: 	at java lang reflect Method invoke(Native Method)_x000D_
04 17 12:38:28 940 21111 21111 E AndroidRuntime: 	at com android internal os Zygote MethodAndArgsCaller run(Zygote java:327)_x000D_
04 17 12:38:28 940 21111 21111 E AndroidRuntime: 	at com android internal os ZygoteInit main(ZygoteInit java:1374)_x000D_
04 17 12:46:18 978 14263 14263 E AndroidRuntime: FATAL EXCEPTION: main_x000D_
04 17 12:46:18 978 14263 14263 E AndroidRuntime: Process: cgeo geocaching  PID: 14263_x000D_
04 17 12:46:18 978 14263 14263 E AndroidRuntime: android view WindowManager BadTokenException: Unable to add window    token android os BinderProxy 6c4176e is not valid  is your activity running _x000D_
04 17 12:46:18 978 14263 14263 E AndroidRuntime: 	at android view ViewRootImpl setView(ViewRootImpl java:958)_x000D_
04 17 12:46:18 978 14263 14263 E AndroidRuntime: 	at android view WindowManagerGlobal addView(WindowManagerGlobal java:381)_x000D_
04 17 12:46:18 978 14263 14263 E AndroidRuntime: 	at android view WindowManagerImpl addView(WindowManagerImpl java:100)_x000D_
04 17 12:46:18 978 14263 14263 E AndroidRuntime: 	at android app Dialog show(Dialog java:420)_x000D_
04 17 12:46:18 978 14263 14263 E AndroidRuntime: 	at cgeo geocaching ui dialog Dialogs confirmPositiveNegativeNeutral(Dialogs java:385)_x000D_
04 17 12:46:18 978 14263 14263 E AndroidRuntime: 	at cgeo geocaching log LogCacheActivity Poster onPostExecuteInternal(LogCacheActivity java:870)_x000D_
04 17 12:46:18 978 14263 14263 E AndroidRuntime: 	at cgeo geocaching log LogCacheActivity Poster onPostExecuteInternal(LogCacheActivity java:725)_x000D_
04 17 12:46:18 978 14263 14263 E AndroidRuntime: 	at cgeo geocaching utils AbstractAsyncTaskWithProgress onPostExecute(AbstractAsyncTaskWithProgress java:74)_x000D_
04 17 12:46:18 978 14263 14263 E AndroidRuntime: 	at android os AsyncTask finish(AsyncTask java:695)_x000D_
04 17 12:46:18 978 14263 14263 E AndroidRuntime: 	at android os AsyncTask  wrap1(Unknown Source:0)_x000D_
04 17 12:46:18 978 14263 14263 E AndroidRuntime: 	at android os AsyncTask InternalHandler handleMessage(AsyncTask java:712)_x000D_
04 17 12:46:18 978 14263 14263 E AndroidRuntime: 	at android os Handler dispatchMessage(Handler java:105)_x000D_
04 17 12:46:18 978 14263 14263 E AndroidRuntime: 	at android os Looper loop(Looper java:164)_x000D_
04 17 12:46:18 978 14263 14263 E AndroidRuntime: 	at android app ActivityThread main(ActivityThread java:6944)_x000D_
04 17 12:46:18 978 14263 14263 E AndroidRuntime: 	at java lang reflect Method invoke(Native Method)_x000D_
04 17 12:46:18 978 14263 14263 E AndroidRuntime: 	at com android internal os Zygote MethodAndArgsCaller run(Zygote java:327)_x000D_
04 17 12:46:18 978 14263 14263 E AndroidRuntime: 	at com android internal os ZygoteInit main(ZygoteInit java:1374)_x000D_
04 17 13:59:07 528 22032 22032 E AndroidRuntime: FATAL EXCEPTION: main_x000D_
04 17 13:59:07 528 22032 22032 E AndroidRuntime: Process: cgeo geocaching  PID: 22032_x000D_
04 17 13:59:07 528 22032 22032 E AndroidRuntime: java lang ArrayIndexOutOfBoundsException: length 69  index 74_x000D_
04 17 13:59:07 528 22032 22032 E AndroidRuntime: 	at java util concurrent CopyOnWriteArrayList get(CopyOnWriteArrayList java:385)_x000D_
04 17 13:59:07 528 22032 22032 E AndroidRuntime: 	at java util concurrent CopyOnWriteArrayList get(CopyOnWriteArrayList java:398)_x000D_
04 17 13:59:07 528 22032 22032 E AndroidRuntime: 	at org mapsforge map layer Layers get(Layers java:336)_x000D_
04 17 13:59:07 528 22032 22032 E AndroidRuntime: 	at org mapsforge map android input TouchGestureHandler onSingleTapConfirmed(TouchGestureHandler java:263)_x000D_
04 17 13:59:07 528 22032 22032 E AndroidRuntime: 	at android view GestureDetector GestureHandler handleMessage(GestureDetector java:312)_x000D_
04 17 13:59:07 528 22032 22032 E AndroidRuntime: 	at android os Handler dispatchMessage(Handler java:105)_x000D_
04 17 13:59:07 528 22032 22032 E AndroidRuntime: 	at android os Looper loop(Looper java:164)_x000D_
04 17 13:59:07 528 22032 22032 E AndroidRuntime: 	at android app ActivityThread main(ActivityThread java:6944)_x000D_
04 17 13:59:07 528 22032 22032 E AndroidRuntime: 	at java lang reflect Method invoke(Native Method)_x000D_
04 17 13:59:07 528 22032 22032 E AndroidRuntime: 	at com android internal os Zygote MethodAndArgsCaller run(Zygote java:327)_x000D_
04 17 13:59:07 528 22032 22032 E AndroidRuntime: 	at com android internal os ZygoteInit main(ZygoteInit java:1374)_x000D_
          beginning of main_x000D_
   </t>
  </si>
  <si>
    <t>Anuken-Mindustry-5150</t>
  </si>
  <si>
    <t>Stable desync of units, producing ghosts</t>
  </si>
  <si>
    <t xml:space="preserve">  Platform  : Windows Linux server_x000D_
_x000D_
  Build  : 126 2_x000D_
_x000D_
  Issue  : There is a specific case when units get destroyed only on client side and it obviously produces a lot of confusion  In normal circumstances it is rare (still  not an impossible case  especially if ping spikes or  I guess  gets higher than 200ms)  but now I have a stable way to reproduce it with a slight modification of server side _x000D_
_x000D_
  Steps to reproduce  :_x000D_
1  Modify  mindustry entities comp ShieldComp rawDamage    server side only   to replace incoming damage with something small (say   amount   0 001f  )_x000D_
2  Make default flare s health   server side only   to 10 _x000D_
3  Launch attached map on server in sandbox mode _x000D_
4  Connect via client  Network between server and client should have ability to lag  or server should be able to lag  I  shake  server s window on windows to get this effect in local network _x000D_
5  Flare gets produced  flies up _x000D_
6  Produce lag  observe flare gets killed on client _x000D_
7  Type   sync  and flare is still alive flying around _x000D_
Here is a video of how it looks if I connect from phone via local Wi Fi network and produce a little  lag  via shaking server s window: https:  www youtube com watch v mptzC1KkFow_x000D_
_x000D_
It is obvious that due to randomness of other places we can get pseudorandom generated bullet (either produced by player or by turret) to  kill  unit client side only in even more cases other than that and later see half of the base being destroyed by a ghost _x000D_
_x000D_
I believe this is due to the fact that client side proceeds with  destroy()  here without noticing that the unit may still be alive:_x000D_
https:  github com Anuken Mindustry blob 02e68d27a3e4a045a174223e158a7b76dd5cc454 core src mindustry entities comp UnitComp java L370_x000D_
_x000D_
Fun note:_x000D_
https:  github com Anuken Mindustry blob 02e68d27a3e4a045a174223e158a7b76dd5cc454 core src mindustry entities comp UnitComp java L514_x000D_
_x000D_
  Link(s) to mod(s) used  : no mods_x000D_
_x000D_
  Save file  : A simple map to test this out: 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I can t find them now  but I believe I saw countless amounts of related issues with answer   sync  _x000D_
   x    I have searched the closed and open issues to make sure that this problem has not already been reported   _x000D_
</t>
  </si>
  <si>
    <t>nextcloud-android-8307</t>
  </si>
  <si>
    <t>SQlite crashed multiple times</t>
  </si>
  <si>
    <t xml:space="preserve">    Steps to reproduce
1   Open Nextcloud Android App
    Expected behaviour
  normal starting
    Actual behaviour
  on Start  SQlite Database crashes
    Environment data
Android version:
Device model: Xiaomi Mi 9
Stock or customized system: Miui 12 5   stock
Nextcloud app version: 3 15 1
Nextcloud server version: newest of stable channel
Reverse proxy: not in use
    Logs
     Web server error log
Nothing with relation to this Problem 
     Nextcloud log (data nextcloud log)
             CAUSE OF ERROR             
android database sqlite SQLiteBlobTooBigException: Row too big to fit into CursorWindow requiredPos 0  totalRows 1
	at android database sqlite SQLiteConnection nativeExecuteForCursorWindow(Native Method)
	at android database sqlite SQLiteConnection executeForCursorWindow(Unknown Source:92)
	at android database sqlite SQLiteSession executeForCursorWindow(Unknown Source:41)
	at android database sqlite SQLiteQuery fillWindow(Unknown Source:28)
	at android database sqlite SQLiteCursor fillWindow(Unknown Source:44)
	at android database sqlite SQLiteCursor getCount(Unknown Source:6)
	at android content ContentResolver query(Unknown Source:201)
	at android content ContentResolver query(Unknown Source:4)
	at android content ContentResolver query(Unknown Source:12)
	at com owncloud android datamodel FileDataStorageManager getFileCursorForValue(FileDataStorageManager java:950)
	at com owncloud android datamodel FileDataStorageManager getFileByPath(FileDataStorageManager java:122)
	at com owncloud android datamodel FileDataStorageManager getFileByEncryptedRemotePath(FileDataStorageManager java:112)
	at com owncloud android datamodel FileDataStorageManager getFileByPath(FileDataStorageManager java:108)
	at com owncloud android ui activity FileDisplayActivity onStart(FileDisplayActivity java:2401)
	at android app Instrumentation callActivityOnStart(Unknown Source:0)
	at android app Activity performStart(Unknown Source:31)
	at android app ActivityThread handleStartActivity(Unknown Source:31)
	at android app servertransaction TransactionExecutor performLifecycleSequence(Unknown Source:140)
	at android app servertransaction TransactionExecutor cycleToPath(Unknown Source:10)
	at android app servertransaction TransactionExecutor executeLifecycleState(Unknown Source:25)
	at android app servertransaction TransactionExecutor execute(Unknown Source:76)
	at android app ActivityThread H handleMessage(Unknown Source:52)
	at android os Handler dispatchMessage(Unknown Source:19)
	at android os Looper loop(Unknown Source:249)
	at android app ActivityThread main(Unknown Source:134)
	at java lang reflect Method invoke(Native Method)
	at com android internal os RuntimeInit MethodAndArgsCaller run(Unknown Source:11)
	at com android internal os ZygoteInit main(Unknown Source:313)
             APP INFORMATION             
ID: com nextcloud client
Version: 30150190
Build flavor: gplay
</t>
  </si>
  <si>
    <t>Anuken-Mindustry-5149</t>
  </si>
  <si>
    <t>Waves Reset on captured sector when core dies</t>
  </si>
  <si>
    <t xml:space="preserve">  Platform  :  Android iOS Mac Windows Linux _x000D_
Windows_x000D_
_x000D_
  Build  :  The build number under the title in the main menu  Required   LATEST  IS NOT A VERSION  I NEED THE EXACT BUILD NUMBER OF YOUR GAME  _x000D_
Steam Release 126 2_x000D_
_x000D_
  Issue  :  Explain your issue in detail  _x000D_
When the core dies on a captured sector  waves reset_x000D_
_x000D_
  Steps to reproduce  :  How you happened across the issue  and what exactly you did to make the bug happen  _x000D_
1  capture sector_x000D_
2  kill your own core (thorium reactor explosion etc )_x000D_
3  launch there again_x000D_
4  waves are back  _x000D_
_x000D_
  Link(s) to mod(s) used  :  The mod repositories or zip files that are related to the issue  if applicable  _x000D_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Tested on multiple sectors  issue persists _x000D_
_x000D_
If you remove the line above without reading it properly and understanding what it means  I will reap your soul  Even if you re playing on someone s server  you can still save the game to a slot _x000D_
  _x000D_
_x000D_
  (Crash) logs  :  Either crash reports from the crash folder  or the file you get when you go into Settings    Game Data    Export Crash logs  REQUIRED if you are reporting a crash  _x000D_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</si>
  <si>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openid-AppAuth-Android-694</t>
  </si>
  <si>
    <t xml:space="preserve">Calling AuthorizationManagementActivity.createStartIntent causes the app to crash </t>
  </si>
  <si>
    <t xml:space="preserve">    Checklist:_x000D_
_x000D_
   x  I am using the latest release_x000D_
   x  I searched for  existing GitHub issues (https:  github com openid AppAuth Android issues)_x000D_
   x  I read the  documentation (https:  github com openid AppAuth Android blob master README md)_x000D_
   x  I verified the client configuration matches the information in the identity provider (or I am using dynamic client registration)_x000D_
      I am either using a custom URI scheme or  https  with (App Links) https:  developer android com training app links  for client redirect _x000D_
      I can reproduce the issue in the demo app (optional)_x000D_
_x000D_
    Configuration_x000D_
  Version: 0 8 1_x000D_
  Integration: native Kotlin_x000D_
  Identity provider: our own_x000D_
_x000D_
    Issue Description_x000D_
_x000D_
Calling  AuthorizationManagementActivity createStartIntent  causes the app to crash because  AuthorizationManagementRequest  is package private _x000D_
_x000D_
Can I make a PR to change it to public </t>
  </si>
  <si>
    <t>Anuken-Mindustry-5146</t>
  </si>
  <si>
    <t>Exiting in-game causes Steam to think Mindustry is still open</t>
  </si>
  <si>
    <t xml:space="preserve">  Platform  : Windows   Steam_x000D_
_x000D_
  Build  : v6   126 2_x000D_
_x000D_
  Issue  : When i was downloading mods on Steam  the game (obviously) exited to reload mods  Afterwards  i tried starting it again to play  but Steam seemed to think Mindustry was still open  yet i could find it nowhere in the Task Manager  The same happened with regularly exiting through the main menu _x000D_
_x000D_
  Steps to reproduce  : First  i quit the game  Steam thinks Mindustry is open _x000D_
_x000D_
  Link(s) to mod(s) used  : _x000D_
 DeltaNedasunit factory zip (https:  github com Anuken Mindustry files 6366707 DeltaNedasunit factory zip)_x000D_
 XeloboyoFactoriodustry zip (https:  github com Anuken Mindustry files 6366708 XeloboyoFactoriodustry zip)_x000D_
 DeltaNedasui lib zip (https:  github com Anuken Mindustry files 6366709 DeltaNedasui lib zip)_x000D_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</si>
  <si>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dariuszseweryn-RxAndroidBle-746</t>
  </si>
  <si>
    <t>CompositeException when setting up notification</t>
  </si>
  <si>
    <t xml:space="preserve">  Describe the bug  _x000D_
It s very hard to reproduce this exception but we are seeing crashes caused by this in our production app  When notifications fail to be set up and at the same time a disconnection happens   RxJava  seems to combine the two exceptions and throw a  Fatal: CompositeException _x000D_
_x000D_
  To Reproduce  _x000D_
Steps to reproduce the behavior:_x000D_
1  Throw exception at  NotificationAndIndicationManager java  at line 241 _x000D_
2  Disconnect the BLE peripheral_x000D_
_x000D_
  Expected behavior  _x000D_
Normal disconnect exception is handled and no  Fatal: CompositeException  that crashes the app _x000D_
_x000D_
  Smartphone (please complete the following information):  _x000D_
   Device: Any_x000D_
   OS: Any_x000D_
   Library version: 2 1 1_x000D_
_x000D_
   _x000D_
Fatal Exception: io reactivex exceptions CompositeException: 2 exceptions occurred  _x000D_
       at io reactivex internal util ExceptionHelper addThrowable(ExceptionHelper java:67)_x000D_
       at io reactivex internal util AtomicThrowable addThrowable(AtomicThrowable java:34)_x000D_
       at io reactivex internal operators observable ObservableFlatMap InnerObserver onError(ObservableFlatMap java:585)_x000D_
       at io reactivex internal operators observable ObservableFlatMap MergeObserver checkTerminate(ObservableFlatMap java:511)_x000D_
       at io reactivex internal operators observable ObservableFlatMap MergeObserver drainLoop(ObservableFlatMap java:334)_x000D_
       at io reactivex internal operators observable ObservableFlatMap MergeObserver drain(ObservableFlatMap java:326)_x000D_
       at io reactivex internal operators observable ObservableFlatMap InnerObserver onError(ObservableFlatMap java:590)_x000D_
       at io reactivex internal disposables EmptyDisposable error(EmptyDisposable java:63)_x000D_
       at io reactivex internal operators observable ObservableError subscribeActual(ObservableError java:38)_x000D_
       at io reactivex Observable subscribe(Observable java:12284)_x000D_
       at io reactivex internal operators observable ObservableFlatMap MergeObserver subscribeInner(ObservableFlatMap java:165)_x000D_
       at io reactivex internal operators observable ObservableFlatMap MergeObserver onNext(ObservableFlatMap java:139)_x000D_
       at io reactivex internal util NotificationLite accept(NotificationLite java:246)_x000D_
       at io reactivex internal operators observable ObservableReplay UnboundedReplayBuffer replay(ObservableReplay java:553)_x000D_
       at io reactivex internal operators observable ObservableReplay ReplayObserver replay(ObservableReplay java:401)_x000D_
       at io reactivex internal operators observable ObservableReplay ReplayObserver onNext(ObservableReplay java:366)_x000D_
       at io reactivex internal operators observable ObservableDoOnEach DoOnEachObserver onNext(ObservableDoOnEach java:101)_x000D_
       at io reactivex internal operators observable ObservableElementAt ElementAtObserver onNext(ObservableElementAt java:86)_x000D_
       at com jakewharton rxrelay2 BehaviorRelay BehaviorDisposable test(BehaviorRelay java:364)_x000D_
       at com jakewharton rxrelay2 BehaviorRelay BehaviorDisposable emitNext(BehaviorRelay java:358)_x000D_
       at com jakewharton rxrelay2 BehaviorRelay accept(BehaviorRelay java:135)_x000D_
       at com polidea rxandroidble2 internal connection DisconnectionRouter onDisconnectedException(DisconnectionRouter java:110)_x000D_
       at com polidea rxandroidble2 internal connection RxBleGattCallback 2 onConnectionStateChange(RxBleGattCallback java:81)_x000D_
       at android bluetooth BluetoothGatt 1 4 run(BluetoothGatt java:272)_x000D_
       at android bluetooth BluetoothGatt runOrQueueCallback(BluetoothGatt java:780)_x000D_
       at android bluetooth BluetoothGatt access 200(BluetoothGatt java:41)_x000D_
       at android bluetooth BluetoothGatt 1 onClientConnectionState(BluetoothGatt java:267)_x000D_
       at android bluetooth IBluetoothGattCallback Stub onTransact(IBluetoothGattCallback java:192)_x000D_
       at android os Binder execTransactInternal(Binder java:1159)_x000D_
       at android os Binder execTransact(Binder java:1123)_x000D_
_x000D_
Caused by com polidea rxandroidble2 exceptions BleCannotSetCharacteristicNotificationException: Cannot write client characteristic config descriptor (code 3) with characteristic UUID                                     _x000D_
       at com polidea rxandroidble2 internal connection NotificationAndIndicationManager 7 apply(NotificationAndIndicationManager java:241)_x000D_
       at com polidea rxandroidble2 internal connection NotificationAndIndicationManager 7 apply(NotificationAndIndicationManager java:238)_x000D_
       at io reactivex internal operators completable CompletableResumeNext ResumeNextObserver onError(CompletableResumeNext java:82)_x000D_
       at io reactivex internal operators observable ObservableIgnoreElementsCompletable IgnoreObservable onError(ObservableIgnoreElementsCompletable java:61)_x000D_
       at io reactivex internal operators observable ObservableCreate CreateEmitter tryOnError(ObservableCreate java:84)_x000D_
       at com polidea rxandroidble2 internal serialization ConnectionOperationQueueImpl flushQueue(ConnectionOperationQueueImpl java:95)_x000D_
       at com polidea rxandroidble2 internal serialization ConnectionOperationQueueImpl 1 run(ConnectionOperationQueueImpl java:86)_x000D_
       at java util concurrent Executors RunnableAdapter call(Executors java:462)_x000D_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java:923)_x000D_
_x000D_
Caused by com polidea rxandroidble2 exceptions BleDisconnectedException: Disconnected from MAC  C3:94:7B:7F:57:XX  with status 8 (GATT INSUF AUTHORIZATION or GATT CONN TIMEOUT)_x000D_
       at com polidea rxandroidble2 internal connection RxBleGattCallback 2 onConnectionStateChange(RxBleGattCallback java:81)_x000D_
       at android bluetooth BluetoothGatt 1 4 run(BluetoothGatt java:272)_x000D_
       at android bluetooth BluetoothGatt runOrQueueCallback(BluetoothGatt java:780)_x000D_
       at android bluetooth BluetoothGatt access 200(BluetoothGatt java:41)_x000D_
       at android bluetooth BluetoothGatt 1 onClientConnectionState(BluetoothGatt java:267)_x000D_
       at android bluetooth IBluetoothGattCallback Stub onTransact(IBluetoothGattCallback java:192)_x000D_
       at android os Binder execTransactInternal(Binder java:1159)_x000D_
       at android os Binder execTransact(Binder java:1123)_x000D_
   _x000D_
</t>
  </si>
  <si>
    <t>k9mail-k-9-5271</t>
  </si>
  <si>
    <t>App crashes on opening mail with invalid Sender: header</t>
  </si>
  <si>
    <t xml:space="preserve">  Describe the bug  _x000D_
If a message with an invalid address of the form             in the Sender: header is opened  the app crashes _x000D_
_x000D_
  To Reproduce  _x000D_
1  Arrange for a message such as the following to be present in the IMAP folder:_x000D_
             _x000D_
From: julian julianbradfield org_x000D_
Sender: jcb julian julianbradfield org_x000D_
To: jcb julianbradfield org_x000D_
Message Id:  atestmessage julianbradfield org _x000D_
Subject: test_x000D_
Date: Fri  23 Apr 2021 12:24:28  0000_x000D_
_x000D_
test_x000D_
             _x000D_
_x000D_
2  View the folder in k9mail and open the message _x000D_
_x000D_
_x000D_
  Expected behavior  _x000D_
View the message as normal  either with the invalid address left alone  or corrected to (in this case)  jcb julian  julianbradfield org_x000D_
_x000D_
  Environment (please complete the following information):  _x000D_
   K 9 Mail version: 5 600 _x000D_
   Android version: 8_x000D_
   Device: Xiaomi Redmi Go_x000D_
   Account type: IMAP_x000D_
_x000D_
  Additional context  _x000D_
The above mnwe is constructed   this arose in the live by messages sent from hostedemail com on behalf of one of their customers  I have asked the customer to raise a bug report with hostedemail com about their sending of invalid addresses  Nonetheless  k9mail should handle them gracefully _x000D_
_x000D_
  Logs  _x000D_
application crashes  so no logs_x000D_
</t>
  </si>
  <si>
    <t>NordicSemiconductor-Android-DFU-Library-302</t>
  </si>
  <si>
    <t>Attempt to invoke virtual method 'void android.os.Bundle.unparcel()' on a null object reference</t>
  </si>
  <si>
    <t xml:space="preserve">OnePlus 7T Pro_x000D_
Android 11_x000D_
_x000D_
Gettings this crash at intent putExtras(getIntent() getExtras())  _x000D_
_x000D_
What am I missing _x000D_
_x000D_
   java_x000D_
public class NotificationActivity extends Activity  _x000D_
     Override_x000D_
    protected void onCreate(Bundle savedInstanceState)  _x000D_
        super onCreate(savedInstanceState) _x000D_
_x000D_
           If this activity is the root activity of the task  the app is not running_x000D_
        if (isTaskRoot())  _x000D_
               Start the app before finishing_x000D_
            final Intent intent   new Intent(this  MainActivity class) _x000D_
            intent addFlags(Intent FLAG ACTIVITY NEW TASK) _x000D_
            intent putExtras(getIntent() getExtras())     copy all extras_x000D_
            startActivity(intent) _x000D_
         _x000D_
_x000D_
           Now finish  which will drop you to the activity at which you were at the top of the task stack_x000D_
        finish() _x000D_
     _x000D_
 _x000D_
   _x000D_
</t>
  </si>
  <si>
    <t>skrafft-react-native-jitsi-meet-270</t>
  </si>
  <si>
    <t>Android: call aborted. There is another call in progress</t>
  </si>
  <si>
    <t xml:space="preserve">Device details:_x000D_
                 _x000D_
Android version: 8 1_x000D_
Phone: LG Xpower 3_x000D_
_x000D_
Server Configuration Details:_x000D_
                                _x000D_
Self hosted jitsi server_x000D_
Prosody enabled_x000D_
Token authentication enabled_x000D_
_x000D_
Client Configuration Details:_x000D_
                                _x000D_
 call integration enabled  set to false_x000D_
_x000D_
Scenario:_x000D_
           _x000D_
An un authenticated guest tries to join a room_x000D_
Opens up the window to sign in if  You are the host _x000D_
After few seconds of waiting  the app crashes with message  Call aborted  There is another call in progress  _x000D_
I am using  react native jitsi meet  on the client side along with  react native navigation  _x000D_
_x000D_
_x000D_
The app works fine for the following scenarios:_x000D_
_x000D_
        starting a new meeting (after authentication)_x000D_
        Joining an already existing meeting (both as guest and authenticated user)_x000D_
      _x000D_
The issue surfaces when the user is not authenticated and is trying to join a meeting that has not yet started </t>
  </si>
  <si>
    <t>mohyghb-MoClock-36</t>
  </si>
  <si>
    <t>updated the add city activity to show empty list when nothing is bein…</t>
  </si>
  <si>
    <t xml:space="preserve"> g searched_x000D_
_x000D_
updated the search hint_x000D_
now we don t let them turn on or off the alarm while selecting_x000D_
the color for selection has improved_x000D_
fixed the bug where if the alarm did not have any alarms  cancelling it would crash the app_x000D_
now the alarms also are updated inside the app when they ring_x000D_
updated the animation for selectable of world clock and alarm clocks_x000D_
increased the padding for switch alarm_x000D_
now the alarm clocks use recycler view instead of list view_x000D_
_x000D_
resolved  35 </t>
  </si>
  <si>
    <t>smartdevicelink-sdl_java_suite-1667</t>
  </si>
  <si>
    <t>IllegalArgumentException when starting video stream with custom RPC MTU</t>
  </si>
  <si>
    <t xml:space="preserve">    Bug Report_x000D_
When attempting to start a video stream  if Core has a custom MTU value for the RPC service higher than  MAX QUEUE SIZE  (262144)  an  IllegalArgumentException  is thrown _x000D_
_x000D_
      Reproduction Steps_x000D_
1  Set  MaximumRpcPayloadSize   300000  in smartDeviceLink ini_x000D_
2  Connect app with NAVIGATION type_x000D_
3  Activate app and try to start video stream_x000D_
_x000D_
      Expected Behavior_x000D_
Video stream starts without issue_x000D_
_x000D_
      Observed Behavior_x000D_
App crashes with_x000D_
_x000D_
   _x000D_
java lang IllegalArgumentException_x000D_
        at java util concurrent LinkedBlockingQueue  init (LinkedBlockingQueue java:229)_x000D_
        at com smartdevicelink streaming StreamPacketizer  init (StreamPacketizer java:89)_x000D_
        at com smartdevicelink managers video VideoStreamManager startVideoStream(VideoStreamManager java:1075)_x000D_
        at com smartdevicelink managers video VideoStreamManager 1 onServiceStarted(VideoStreamManager java:131)_x000D_
        at com smartdevicelink session SdlSession onServiceStarted(SdlSession java:172)_x000D_
        at com smartdevicelink protocol SdlProtocolBase handleStartServiceACK(SdlProtocolBase java:1127)_x000D_
        at com smartdevicelink protocol SdlProtocolBase MessageFrameAssembler handleControlFrame(SdlProtocolBase java:1469)_x000D_
        at com smartdevicelink protocol SdlProtocolBase MessageFrameAssembler handleFrame(SdlProtocolBase java:1425)_x000D_
        at com smartdevicelink protocol SdlProtocolBase handlePacketReceived(SdlProtocolBase java:719)_x000D_
        at com smartdevicelink protocol SdlProtocolBase 2 onPacketReceived(SdlProtocolBase java:1192)_x000D_
   _x000D_
_x000D_
      OS   Version Information_x000D_
  Android Version: 6 0 1_x000D_
  SDL Android Version: 5 1 0_x000D_
  Testing Against: SDL Core 7 1 0  SDL HMI develop branch_x000D_
</t>
  </si>
  <si>
    <t>Anuken-Mindustry-5142</t>
  </si>
  <si>
    <t>(Logic) drawn geometry / imagery angles are off by +90° when given an angle between ~270° and 360°</t>
  </si>
  <si>
    <t xml:space="preserve">  Platform  : Windows_x000D_
_x000D_
  Build  : 126 2_x000D_
_x000D_
  Issue  : when attempting to draw anything that can be given an angle on a display the angle of the result will be  90 degrees off if it is supposed to be drawn with an angle that is in the 269 99999       360  range_x000D_
_x000D_
  Steps to reproduce  : 0) open mindustry_x000D_
1) make a processor try drawing a dagger with an angle of 280  (for example) and flushing that to a display_x000D_
2) observe that the dagger is indeed drawn with an angle of 10  (for example) instead_x000D_
_x000D_
  Link(s) to mod(s) used  : no mods required_x000D_
_x000D_
  Save file  :  loopback zip (https:  github com Anuken Mindustry files 6360598 loopback zip)_x000D_
_x000D_
  (Crash) logs  : no crashes_x000D_
_x000D_
additional material: _x000D_
_x000D_
https:  user images githubusercontent com 44333723 115770481 0dbb9900 a3ad 11eb 9c31 aaccc0d47588 mp4_x000D_
_x000D_
(note that this was recorded with a bunch of mods active  but they do not have an impact on this)_x000D_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</si>
  <si>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TeamNewPipe-NewPipe-6142</t>
  </si>
  <si>
    <t>Video should pause or switch to background if player interface is shown or shown respectively while turning off 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</si>
  <si>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I am not sure how this feature actually works as I rarely use it  In current versions of Newpipe  the video switches to background regardless of being interface shown or hidden _x000D_
_x000D_
However  users should be given the choice to pause the video easily  Video should pause instead if the interface is shown while turning off the screen _x000D_
_x000D_
    Actual behaviour_x000D_
     Tell us what happens with the steps given above     _x000D_
_x000D_
Video automatically switches to background if the interface is shown _x000D_
_x000D_
_x000D_
    Expected behavior_x000D_
     Tell us what you expect to happen     _x000D_
_x000D_
Video should pause if the interface was shown while turning off screen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12 0 3_x000D_
   Device model: Xiaomi Redmi Note 8 Pro_x000D_
</t>
  </si>
  <si>
    <t>Anuken-Mindustry-5138</t>
  </si>
  <si>
    <t>Controll issue</t>
  </si>
  <si>
    <t xml:space="preserve">  Platform  :  Android _x000D_
_x000D_
  Build  :  126  2 _x000D_
_x000D_
  Issue  :  When Im controlling the Sei or Omura it will start moving by itself like pathfinding even im doing nothing but i can shoot  _x000D_
_x000D_
  Steps to reproduce  :  How you happened across the issue  and what exactly you did to make the bug happen  _x000D_
_x000D_
  Link(s) to mod(s) used  :  The mod repositories or zip files that are related to the issue  if applicable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</si>
  <si>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nextcloud-android-8302</t>
  </si>
  <si>
    <t>Locked AD/LDAP Accounts / APP CRASH ON RELOGIN</t>
  </si>
  <si>
    <t xml:space="preserve">    Steps to reproduce_x000D_
1  Nextcloud Server with LDAP AD (latest  but same bahavior on older versions)_x000D_
2  Android App from Playstore (3 15 1  but same bahavior on older versions since new WebViewLogin)  3 13 1 was ok_x000D_
3  Log into custom nextcloud instance _x000D_
4  Log out   Delete Account on Android device_x000D_
5  Log into account again   LDAP Account is locked  cause of invalid credentials_x000D_
_x000D_
    Expected behaviour_x000D_
  Recreation   Relogin should not lock AD Account_x000D_
  Nextcloud App runs fine until new WebViewLogin_x000D_
_x000D_
    Actual behaviour_x000D_
  until Version 3 15 x_x000D_
    Recreation   Relogin (only start login process one time) results in a locked account    (AD lockout after 5x failed logins)_x000D_
    Server log shows several errors_x000D_
    Login via Browser on Desktop PC runs fine without issues_x000D_
    Issue does not occur if device was rebooted before relogin_x000D_
    Issue also occurs when using Nextcloud Talk and Notes   _x000D_
  with 3 17 x Master Branch (27th  April)_x000D_
    App crashes with Exception (see 2nd comment) on relogin_x000D_
_x000D_
    Environment data_x000D_
Android version: Android 8 11_x000D_
_x000D_
Device models: Samsung A40  S9  Tab S4 TabS6  TabS3   _x000D_
_x000D_
Stock or customized system: Stock  with and without MDM (both tested)_x000D_
_x000D_
Nextcloud app version: Tested Versions: 3 14 x  3 15 x_x000D_
Last Good Version: 3 13 x_x000D_
_x000D_
Nextcloud server version: Tested Versions: 18 19 21_x000D_
2 Node Cluster behind a loadbalancer_x000D_
_x000D_
Reverse proxy: _x000D_
_x000D_
    Logs_x000D_
     Web server error log_x000D_
Error Log shows no related errors_x000D_
Access Log (IPs changed):_x000D_
   _x000D_
1 2 3 4      22 Apr 2021:10:46:52  0200   GET  nextcloud index html HTTP 1 1  200 156_x000D_
1 2 3 4      22 Apr 2021:10:46:54  0200   GET  nextcloud ocs v2 php apps notifications api v2 notifications HTTP 1 1  200 74_x000D_
1 2 3 4      22 Apr 2021:10:46:53  0200   GET  nextcloud ocs v2 php core navigation apps absolute true format json HTTP 1 1  304  _x000D_
1 2 3 4      22 Apr 2021:10:46:53  0200   PROPFIND  nextcloud remote php dav files SEPers  HTTP 1 1  207 397_x000D_
1 2 3 4      22 Apr 2021:10:46:54  0200   POST  nextcloud index php apps text session sync HTTP 1 1  200 369_x000D_
1 2 3 4      22 Apr 2021:10:46:54  0200   GET  nextcloud ocs v2 php apps notifications api v2 notifications HTTP 1 1  200 74_x000D_
1 2 3 4      22 Apr 2021:10:46:56  0200   POST  nextcloud index php apps text session sync HTTP 1 1  200 371_x000D_
1 2 3 4      22 Apr 2021:10:46:56  0200   GET  nextcloud index php csrftoken HTTP 1 1  200 101_x000D_
1 2 3 4      22 Apr 2021:10:46:57  0200   GET  nextcloud index html HTTP 1 1  200 156_x000D_
1 2 3 5      22 Apr 2021:10:46:57  0200   GET  nextcloud ocs v2 php apps notifications api v2 notifications HTTP 1 1  200 74_x000D_
1 2 3 5      22 Apr 2021:10:46:58  0200   GET  nextcloud index php csrftoken HTTP 1 1  200 104_x000D_
1 2 3 4      22 Apr 2021:10:46:59  0200   PROPFIND  nextcloud remote php dav files 24345777 HTTP 1 1  207 623_x000D_
1 2 3 4      22 Apr 2021:10:47:00  0200   GET  nextcloud ocs v2 php apps notifications api v1 notifications format json HTTP 1 1  200 74_x000D_
1 2 3 4      22 Apr 2021:10:47:00  0200   POST  nextcloud index php apps text session sync HTTP 1 1  200 369_x000D_
1 2 3 4      22 Apr 2021:10:47:01  0200   PROPFIND  nextcloud remote php dav files SEPers  HTTP 1 1  207 377_x000D_
1 2 3 4      22 Apr 2021:10:47:01  0200   GET  nextcloud ocs v2 php apps notifications api v2 notifications HTTP 1 1  200 74_x000D_
1 2 3 4      22 Apr 2021:10:47:02  0200   GET  nextcloud index html HTTP 1 1  200 156_x000D_
1 2 3 4      22 Apr 2021:10:47:02  0200   POST  nextcloud index php apps text session sync HTTP 1 1  200 371_x000D_
1 2 3 4      22 Apr 2021:10:47:05  0200   PROPFIND  nextcloud remote php webdav  HTTP 1 1  207 387_x000D_
1 2 3 4      22 Apr 2021:10:47:05  0200   GET  nextcloud ocs v2 php apps notifications api v2 notifications HTTP 1 1  200 74_x000D_
1 2 3 4      22 Apr 2021:10:47:06  0200   POST  nextcloud index php apps text session sync HTTP 1 1  200 369_x000D_
1 2 3 4      22 Apr 2021:10:47:07  0200   GET  nextcloud ocs v2 php apps notifications api v2 notifications HTTP 1 1  200 74_x000D_
1 2 3 4      22 Apr 2021:10:47:07  0200   GET  nextcloud ocs v2 php apps notifications api v2 notifications HTTP 1 1  200 74_x000D_
1 2 3 4      22 Apr 2021:10:47:07  0200   GET  nextcloud index html HTTP 1 1  200 156_x000D_
1 2 3 4      22 Apr 2021:10:47:07  0200   PROPFIND  nextcloud remote php webdav  HTTP 1 1  207 386_x000D_
1 2 3 4      22 Apr 2021:10:47:08  0200   POST  nextcloud index php apps text session sync HTTP 1 1  200 371_x000D_
1 2 3 4      22 Apr 2021:10:47:09  0200   GET  nextcloud ocs v2 php apps notifications api v2 notifications HTTP 1 1  200 74_x000D_
1 2 3 4      22 Apr 2021:10:47:12  0200   GET  nextcloud index html HTTP 1 1  200 156_x000D_
1 2 3 4      22 Apr 2021:10:47:12  0200   POST  nextcloud index php apps text session sync HTTP 1 1  200 369_x000D_
1 2 3 4      22 Apr 2021:10:47:12  0200   GET  nextcloud ocs v2 php apps notifications api v2 notifications HTTP 1 1  200 74_x000D_
1 2 3 4      22 Apr 2021:10:47:14  0200   GET  nextcloud ocs v2 php apps notifications api v2 notifications HTTP 1 1  200 74_x000D_
1 2 3 4      22 Apr 2021:10:47:14  0200   POST  nextcloud index php apps text session sync HTTP 1 1  200 371_x000D_
1 2 3 4      22 Apr 2021:10:47:14  0200   GET  nextcloud ocs v2 php apps notifications api v2 notifications HTTP 1 1  200 74_x000D_
1 2 3 4      22 Apr 2021:10:47:15  0200   GET  nextcloud index php csrftoken HTTP 1 1  200 103_x000D_
1 2 3 6      22 Apr 2021:10:47:17  0200   GET  nextcloud ocs v2 php apps notifications api v2 notifications HTTP 1 1  200 74_x000D_
1 2 3 4      22 Apr 2021:10:47:17  0200   GET  nextcloud index html HTTP 1 1  200 156_x000D_
1 2 3 4      22 Apr 2021:10:47:18  0200   GET  nextcloud ocs v2 php apps notifications api v2 notifications HTTP 1 1  200 74_x000D_
1 2 3 4      22 Apr 2021:10:47:18  0200   GET  nextcloud ocs v2 php apps notifications api v2 notifications HTTP 1 1  200 74_x000D_
1 2 3 4      22 Apr 2021:10:47:18  0200   POST  nextcloud index php apps text session sync HTTP 1 1  200 369_x000D_
1 2 3 4      22 Apr 2021:10:47:18  0200   GET  nextcloud ocs v2 php apps notifications api v2 notifications HTTP 1 1  200 74_x000D_
1 2 3 4      22 Apr 2021:10:47:20  0200   POST  nextcloud index php apps text session sync HTTP 1 1  200 371_x000D_
1 2 3 4      22 Apr 2021:10:47:21  0200   GET  nextcloud ocs v2 php apps notifications api v2 notifications HTTP 1 1  200 74_x000D_
1 2 3 4      22 Apr 2021:10:47:21  0200   PROPFIND  nextcloud remote php dav files 24024587  HTTP 1 1  207 398_x000D_
1 2 3 4      22 Apr 2021:10:47:22  0200   GET  nextcloud index html HTTP 1 1  200 156_x000D_
1 2 3 4      22 Apr 2021:10:47:23  0200   GET  nextcloud ocs v2 php apps notifications api v2 notifications HTTP 1 1  200 74_x000D_
1 2 3 4      22 Apr 2021:10:47:24  0200   GET  nextcloud ocs v2 php apps notifications api v2 notifications HTTP 1 1  200 74_x000D_
1 2 3 4      22 Apr 2021:10:47:24  0200   GET  nextcloud ocs v2 php apps notifications api v2 notifications HTTP 1 1  200 74_x000D_
1 2 3 4      22 Apr 2021:10:47:24  0200   POST  nextcloud index php apps text session sync HTTP 1 1  200 369_x000D_
1 2 3 4      22 Apr 2021:10:47:24  0200   GET  nextcloud ocs v2 php apps notifications api v2 notifications HTTP 1 1  200 74_x000D_
1 2 3 4      22 Apr 2021:10:47:25  0200   GET  nextcloud ocs v2 php apps notifications api v2 notifications HTTP 1 1  200 74_x000D_
1 2 3 4      22 Apr 2021:10:47:25  0200   GET  nextcloud ocs v2 php core navigation apps absolute true format json HTTP 1 1  304  _x000D_
1 2 3 4      22 Apr 2021:10:47:25  0200   PROPFIND  nextcloud remote php dav files SEPers  HTTP 1 1  207 397_x000D_
1 2 3 4      22 Apr 2021:10:47:26  0200   GET  nextcloud ocs v2 php apps notifications api v2 notifications HTTP 1 1  200 74_x000D_
1 2 3 4      22 Apr 2021:10:47:26  0200   POST  nextcloud index php apps text session sync HTTP 1 1  200 371_x000D_
1 2 3 4      22 Apr 2021:10:47:26  0200   GET  nextcloud ocs v2 php apps notifications api v2 notifications HTTP 1 1  200 74_x000D_
1 2 3 4      22 Apr 2021:10:47:27  0200   GET  nextcloud index html HTTP 1 1  200 156_x000D_
1 2 3 5      22 Apr 2021:10:47:27  0200   GET  nextcloud ocs v2 php apps notifications api v2 notifications HTTP 1 1  200 74_x000D_
1 2 3 4      22 Apr 2021:10:47:30  0200   GET  nextcloud ocs v2 php apps notifications api v2 notifications HTTP 1 1  200 74_x000D_
1 2 3 4      22 Apr 2021:10:47:30  0200   GET  nextcloud ocs v2 php apps notifications api v2 notifications HTTP 1 1  200 74_x000D_
1 2 3 4      22 Apr 2021:10:47:30  0200   POST  nextcloud index php apps text session sync HTTP 1 1  200 369_x000D_
1 2 3 4      22 Apr 2021:10:47:30  0200   GET  nextcloud index php csrftoken HTTP 1 1  200 101_x000D_
1 2 3 4      22 Apr 2021:10:47:30  0200   GET  nextcloud ocs v2 php apps notifications api v2 notifications HTTP 1 1  200 74_x000D_
1 2 3 4      22 Apr 2021:10:47:31  0200   GET  nextcloud ocs v2 php apps notifications api v2 notifications HTTP 1 1  200 74_x000D_
1 2 3 4      22 Apr 2021:10:47:31  0200   PROPFIND  nextcloud remote php dav files SEPers  HTTP 1 1  207 377_x000D_
1 2 3 4      22 Apr 2021:10:47:31  0200   GET  nextcloud ocs v2 php apps notifications api v2 notifications HTTP 1 1  200 74_x000D_
1 2 3 4      22 Apr 2021:10:47:32  0200   GET  nextcloud index html HTTP 1 1  200 156_x000D_
1 2 3 4      22 Apr 2021:10:47:32  0200   POST  nextcloud index php apps text session sync HTTP 1 1  200 371_x000D_
1 2 3 4      22 Apr 2021:10:47:34  0200   GET  nextcloud index php csrftoken HTTP 1 1  200 103_x000D_
1 2 3 4      22 Apr 2021:10:47:35  0200   GET  nextcloud ocs v2 php apps notifications api v2 notifications HTTP 1 1  200 74_x000D_
1 2 3 4      22 Apr 2021:10:47:36  0200   POST  nextcloud index php apps text session sync HTTP 1 1  200 369_x000D_
1 2 3 4      22 Apr 2021:10:47:37  0200   GET  nextcloud ocs v2 php apps notifications api v2 notifications HTTP 1 1  200 74_x000D_
1 2 3 4      22 Apr 2021:10:47:37  0200   PROPFIND  nextcloud remote php webdav  HTTP 1 1  207 387_x000D_
1 2 3 4      22 Apr 2021:10:47:37  0200   GET  nextcloud ocs v2 php apps notifications api v2 notifications HTTP 1 1  200 74_x000D_
1 2 3 4      22 Apr 2021:10:47:37  0200   GET  nextcloud index html HTTP 1 1  200 156_x000D_
1 2 3 4      22 Apr 2021:10:47:37  0200   PROPFIND  nextcloud remote php webdav  HTTP 1 1  207 386_x000D_
1 2 3 4      22 Apr 2021:10:47:38  0200   GET  nextcloud ocs v2 php apps notifications api v2 notifications HTTP 1 1  200 74_x000D_
1 2 3 4      22 Apr 2021:10:47:38  0200   POST  nextcloud index php apps text session sync HTTP 1 1  200 371_x000D_
1 2 3 4      22 Apr 2021:10:47:39  0200   GET  nextcloud ocs v2 php apps notifications api v2 notifications HTTP 1 1  200 74_x000D_
1 2 3 7      22 Apr 2021:10:47:40  0200   GET  nextcloud ocs v2 php apps notifications api v2 notifications HTTP 1 1  200 693_x000D_
1 2 3 4      22 Apr 2021:10:47:42  0200   GET  nextcloud index html HTTP 1 1  200 156_x000D_
1 2 3 4      22 Apr 2021:10:47:42  0200   POST  nextcloud index php apps text session sync HTTP 1 1  200 369_x000D_
1 2 3 4      22 Apr 2021:10:47:42  0200   GET  nextcloud ocs v2 php apps notifications api v2 notifications HTTP 1 1  200 74_x000D_
1 2 3 4      22 Apr 2021:10:47:44  0200   GET  nextcloud ocs v2 php apps notifications api v2 notifications HTTP 1 1  200 74_x000D_
1 2 3 4      22 Apr 2021:10:47:44  0200   GET  nextcloud ocs v2 php apps notifications api v2 notifications HTTP 1 1  200 74_x000D_
1 2 3 4      22 Apr 2021:10:47:44  0200   POST  nextcloud index php apps text session sync HTTP 1 1  200 371_x000D_
1 2 3 6      22 Apr 2021:10:47:47  0200   GET  nextcloud ocs v2 php apps notifications api v2 notifications HTTP 1 1  200 74_x000D_
1 2 3 4      22 Apr 2021:10:47:47  0200   GET  nextcloud ocs v2 php apps notifications api v2 notifications HTTP 1 1  200 74_x000D_
1 2 3 4      22 Apr 2021:10:47:47  0200   GET  nextcloud index html HTTP 1 1  200 156_x000D_
1 2 3 4      22 Apr 2021:10:47:48  0200   GET  nextcloud ocs v2 php apps notifications api v2 notifications HTTP 1 1  200 74_x000D_
1 2 3 4      22 Apr 2021:10:47:48  0200   POST  nextcloud index php apps text session sync HTTP 1 1  200 369_x000D_
1 2 3 4      22 Apr 2021:10:47:48  0200   GET  nextcloud ocs v2 php apps notifications api v2 notifications HTTP 1 1  200 74_x000D_
1 2 3 4      22 Apr 2021:10:47:50  0200   POST  nextcloud index php apps text session sync HTTP 1 1  200 371_x000D_
1 2 3 4      22 Apr 2021:10:47:51  0200   GET  nextcloud ocs v2 php apps notifications api v2 notifications HTTP 1 1  200 74_x000D_
1 2 3 4      22 Apr 2021:10:47:51  0200   PROPFIND  nextcloud remote php dav files 24024587  HTTP 1 1  207 398_x000D_
1 2 3 4      22 Apr 2021:10:47:52  0200   GET  nextcloud index html HTTP 1 1  200 156_x000D_
1 2 3 4      22 Apr 2021:10:47:54  0200   GET  nextcloud ocs v2 php apps notifications api v2 notifications HTTP 1 1  200 74_x000D_
1 2 3 4      22 Apr 2021:10:47:54  0200   POST  nextcloud index php apps text session sync HTTP 1 1  200 369_x000D_
1 2 3 4      22 Apr 2021:10:47:54  0200   GET  nextcloud ocs v2 php apps notifications api v2 notifications HTTP 1 1  200 74_x000D_
1 2 3 4      22 Apr 2021:10:47:56  0200   POST  nextcloud index php apps text session sync HTTP 1 1  200 371_x000D_
1 2 3 4      22 Apr 2021:10:47:57  0200   GET  nextcloud index html HTTP 1 1  200 156_x000D_
1 2 3 4      22 Apr 2021:10:47:57  0200   GET  nextcloud ocs v2 php core navigation apps absolute true format json HTTP 1 1  304  _x000D_
1 2 3 5      22 Apr 2021:10:47:57  0200   GET  nextcloud ocs v2 php apps notifications api v2 notifications HTTP 1 1  200 74_x000D_
1 2 3 4      22 Apr 2021:10:47:57  0200   PROPFIND  nextcloud remote php dav files SEPers  HTTP 1 1  207 397_x000D_
1 2 3 4      22 Apr 2021:10:48:00  0200   POST  nextcloud index php apps text session sync HTTP 1 1  200 369_x000D_
1 2 3 4      22 Apr 2021:10:48:01  0200   GET  nextcloud ocs v2 php apps notifications api v2 notifications HTTP 1 1  200 74_x000D_
1 2 3 4      22 Apr 2021:10:48:01  0200   PROPFIND  nextcloud remote php dav files SEPers  HTTP 1 1  207 377_x000D_
1 2 3 4      22 Apr 2021:10:48:02  0200   GET  nextcloud index html HTTP 1 1  200 156_x000D_
1 2 3 4      22 Apr 2021:10:48:02  0200   POST  nextcloud index php apps text session sync HTTP 1 1  200 371_x000D_
1 2 3 4      22 Apr 2021:10:48:05  0200   GET  nextcloud ocs v2 php apps notifications api v2 notifications HTTP 1 1  200 74_x000D_
1 2 3 4      22 Apr 2021:10:48:06  0200   POST  nextcloud index php apps text session sync HTTP 1 1  200 369_x000D_
1 2 3 4      22 Apr 2021:10:48:07  0200   GET  nextcloud index html HTTP 1 1  200 156_x000D_
1 2 3 4      22 Apr 2021:10:48:07  0200   GET  nextcloud ocs v2 php apps notifications api v2 notifications HTTP 1 1  200 74_x000D_
1 2 3 4      22 Apr 2021:10:48:07  0200   PROPFIND  nextcloud remote php webdav  HTTP 1 1  207 386_x000D_
1 2 3 4      22 Apr 2021:10:48:07  0200   GET  nextcloud ocs v2 php apps notifications api v2 notifications HTTP 1 1  200 74_x000D_
1 2 3 4      22 Apr 2021:10:48:08  0200   POST  nextcloud index php apps text session sync HTTP 1 1  200 371_x000D_
1 2 3 4      22 Apr 2021:10:48:09  0200   PROPFIND  nextcloud remote php webdav  HTTP 1 1  207 387_x000D_
1 2 3 4      22 Apr 2021:10:48:09  0200   GET  nextcloud ocs v2 php apps notifications api v2 notifications HTTP 1 1  200 74_x000D_
1 2 3 4      22 Apr 2021:10:48:10  0200   GET  nextcloud index php csrftoken HTTP 1 1  200 102_x000D_
1 2 3 4      22 Apr 2021:10:48:12  0200   GET  nextcloud index html HTTP 1 1  200 156_x000D_
1 2 3 4      22 Apr 2021:10:48:12  0200   POST  nextcloud index php apps text session sync HTTP 1 1  200 369_x000D_
1 2 3 4      22 Apr 2021:10:48:12  0200   GET  nextcloud ocs v2 php apps notifications api v2 notifications HTTP 1 1  200 74_x000D_
1 2 3 4      22 Apr 2021:10:48:14  0200   GET  nextcloud ocs v2 php apps notifications api v2 notifications HTTP 1 1  200 74_x000D_
1 2 3 4      22 Apr 2021:10:48:14  0200   POST  nextcloud index php apps text session sync HTTP 1 1  200 371_x000D_
1 2 3 4      22 Apr 2021:10:48:14  0200   GET  nextcloud ocs v2 php apps notifications api v2 notifications HTTP 1 1  200 74_x000D_
1 2 3 6      22 Apr 2021:10:48:17  0200   GET  nextcloud ocs v2 php apps notifications api v2 notifications HTTP 1 1  200 74_x000D_
1 2 3 4      22 Apr 2021:10:48:17  0200   GET  nextcloud index html HTTP 1 1  200 156_x000D_
1 2 3 4      22 Apr 2021:10:48:18  0200   GET  nextcloud ocs v2 php apps notifications api v2 notifications HTTP 1 1  200 74_x000D_
1 2 3 4      22 Apr 2021:10:48:18  0200   GET  nextcloud ocs v2 php apps notifications api v2 notifications HTTP 1 1  200 74_x000D_
1 2 3 4      22 Apr 2021:10:48:18  0200   POST  nextcloud index php apps text session sync HTTP 1 1  200 369_x000D_
1 2 3 4      22 Apr 2021:10:48:18  0200   GET  nextcloud ocs v2 php apps notifications api v2 notifications HTTP 1 1  200 74_x000D_
1 2 3 4      22 Apr 2021:10:48:20  0200   POST  nextcloud index php apps text session sync HTTP 1 1  200 371_x000D_
1 2 3 4      22 Apr 2021:10:48:21  0200   GET  nextcloud ocs v2 php apps notifications api v2 notifications HTTP 1 1  200 74_x000D_
1 2 3 4      22 Apr 2021:10:48:21  0200   PROPFIND  nextcloud remote php dav files 24024587  HTTP 1 1  207 398_x000D_
1 2 3 4      22 Apr 2021:10:48:22  0200   GET  nextcloud index html HTTP 1 1  200 156_x000D_
1 2 3 4      22 Apr 2021:10:48:23  0200   GET  nextcloud ocs v2 php apps notifications api v2 notifications HTTP 1 1  200 74_x000D_
1 2 3 4      22 Apr 2021:10:48:24  0200   GET  nextcloud ocs v2 php apps notifications api v2 notifications HTTP 1 1  200 74_x000D_
1 2 3 4      22 Apr 2021:10:48:24  0200   POST  nextcloud index php apps text session sync HTTP 1 1  200 369_x000D_
1 2 3 4      22 Apr 2021:10:48:24  0200   GET  nextcloud ocs v2 php apps notifications api v2 notifications HTTP 1 1  200 74_x000D_
1 2 3 4      22 Apr 2021:10:48:25  0200   GET  nextcloud ocs v2 php apps notifications api v2 notifications HTTP 1 1  200 74_x000D_
1 2 3 4      22 Apr 2021:10:48:25  0200   GET  nextcloud ocs v2 php apps notifications api v2 notifications HTTP 1 1  200 74_x000D_
1 2 3 4      22 Apr 2021:10:48:26  0200   GET  nextcloud ocs v2 php apps notifications api v2 notifications HTTP 1 1  200 74_x000D_
1 2 3 4      22 Apr 2021:10:48:26  0200   GET  nextcloud ocs v2 php apps notifications api v2 notifications HTTP 1 1  200 74_x000D_
1 2 3 4      22 Apr 2021:10:48:26  0200   POST  nextcloud index php apps text session sync HTTP 1 1  200 371_x000D_
1 2 3 4      22 Apr 2021:10:48:27  0200   GET  nextcloud index html HTTP 1 1  200 156_x000D_
1 2 3 5      22 Apr 2021:10:48:27  0200   GET  nextcloud ocs v2 php apps notifications api v2 notifications HTTP 1 1  200 74_x000D_
1 2 3 4      22 Apr 2021:10:48:29  0200   GET  nextcloud ocs v2 php core navigation apps absolute true format json HTTP 1 1  304  _x000D_
1 2 3 4      22 Apr 2021:10:48:29  0200   PROPFIND  nextcloud remote php dav files SEPers  HTTP 1 1  207 397_x000D_
1 2 3 4      22 Apr 2021:10:48:30  0200   GET  nextcloud ocs v2 php apps notifications api v2 notifications HTTP 1 1  200 74_x000D_
1 2 3 4      22 Apr 2021:10:48:30  0200   GET  nextcloud ocs v2 php apps notifications api v2 notifications HTTP 1 1  200 74_x000D_
1 2 3 4      22 Apr 2021:10:48:30  0200   POST  nextcloud index php apps text session sync HTTP 1 1  200 369_x000D_
1 2 3 4      22 Apr 2021:10:48:30  0200   GET  nextcloud ocs v2 php apps notifications api v2 notifications HTTP 1 1  200 74_x000D_
1 2 3 4      22 Apr 2021:10:48:31  0200   GET  nextcloud ocs v2 php apps notifications api v2 notifications HTTP 1 1  200 74_x000D_
1 2 3 4      22 Apr 2021:10:48:31  0200   PROPFIND  nextcloud remote php dav files SEPers  HTTP 1 1  207 377_x000D_
1 2 3 4      22 Apr 2021:10:48:31  0200   GET  nextcloud ocs v2 php apps notifications api v2 notifications HTTP 1 1  200 74_x000D_
1 2 3 4      22 Apr 2021:10:48:32  0200   GET  nextcloud index html HTTP 1 1  200 156_x000D_
1 2 3 4      22 Apr 2021:10:48:32  0200   POST  nextcloud index php apps text session sync HTTP 1 1  200 371_x000D_
1 2 3 4      22 Apr 2021:10:48:33  0200   GET  nextcloud index php login HTTP 1 1  200 6174_x000D_
1 2 3 4      22 Apr 2021:10:48:33  0200   GET  nextcloud core css guest css v 7ec7075b 19 HTTP 1 1  200 20949_x000D_
1 2 3 4      22 Apr 2021:10:48:33  0200   GET  nextcloud apps files pdfviewer css style css v 6a154fe0 19 HTTP 1 1  200 346_x000D_
1 2 3 4      22 Apr 2021:10:48:33  0200   GET  nextcloud core js dist main js v 7ec7075b 19 HTTP 1 1  200 1364972_x000D_
1 2 3 4      22 Apr 2021:10:48:33  0200   GET  nextcloud index php core js oc js v 7ec7075b HTTP 1 1  200 7156_x000D_
1 2 3 4      22 Apr 2021:10:48:33  0200   GET  nextcloud core search js search js v 7ec7075b 19 HTTP 1 1  200 5560_x000D_
1 2 3 4      22 Apr 2021:10:48:33  0200   GET  nextcloud core l10n de DE js v 7ec7075b 19 HTTP 1 1  200 57369_x000D_
1 2 3 4      22 Apr 2021:10:48:33  0200   GET  nextcloud index php js core merged template prepend js v 7ec7075b 19 HTTP 1 1  200 2950_x000D_
1 2 3 4      22 Apr 2021:10:48:33  0200   GET  nextcloud apps files sharing l10n de DE js v 7ec7075b 19 HTTP 1 1  200 18867_x000D_
1 2 3 4      22 Apr 2021:10:48:33  0200   GET  nextcloud core search js searchprovider js v 7ec7075b 19 HTTP 1 1  200 12444_x000D_
1 2 3 4      22 Apr 2021:10:48:33  0200   GET  nextcloud apps files videoplayer js main js v 7ec7075b 19 HTTP 1 1  200 6350_x000D_
1 2 3 4      22 Apr 2021:10:48:33  0200   GET  nextcloud apps files pdfviewer js previewplugin js v 7ec7075b 19 HTTP 1 1  200 6000_x000D_
1 2 3 4      22 Apr 2021:10:48:33  0200   GET  nextcloud core js files fileinfo js v 7ec7075b 19 HTTP 1 1  200 2142_x000D_
1 2 3 4      22 Apr 2021:10:48:33  0200   GET  nextcloud apps files sharing js dist main js v 7ec7075b 19 HTTP 1 1  200 2043_x000D_
1 2 3 4      22 Apr 2021:10:48:33  0200   GET  nextcloud core js files client js v 7ec7075b 19 HTTP 1 1  200 23878_x000D_
1 2 3 4      22 Apr 2021:10:48:33  0200   GET  nextcloud core js files iedavclient js v 7ec7075b 19 HTTP 1 1  200 3735_x000D_
1 2 3 4      22 Apr 2021:10:48:33  0200   GET  nextcloud core js dist login js v 7ec7075b 19 HTTP 1 1  200 747069_x000D_
1 2 3 4      22 Apr 2021:10:48:33  0200   GET  nextcloud index php apps theming styles v 19 HTTP 1 1  200 1775_x000D_
1 2 3 4      22 Apr 2021:10:48:33  0200   GET  nextcloud index php apps theming image logo useSvg 1 v 19 HTTP 1 1  200 208004_x000D_
1 2 3 4      22 Apr 2021:10:48:33  0200   GET  nextcloud index php apps theming js theming v 19 HTTP 1 1  200 261_x000D_
1 2 3 4      22 Apr 2021:10:48:33  0200   GET  nextcloud index php apps theming image background v 19 HTTP 1 1  200 273303_x000D_
1 2 3 4      22 Apr 2021:10:48:34  0200   GET  nextcloud core img loading dark gif HTTP 1 1  200 4683_x000D_
1 2 3 4      22 Apr 2021:10:48:34  0200   GET  nextcloud core img actions toggle svg HTTP 1 1  200 308_x000D_
1 2 3 4      22 Apr 2021:10:48:34  0200   GET  nextcloud core img actions confirm white svg v 2 HTTP 1 1  200 405_x000D_
1 2 3 4      22 Apr 2021:10:48:34  0200   GET  nextcloud index php apps theming image logo v 19 HTTP 1 1  200 208004_x000D_
1 2 3 4      22 Apr 2021:10:48:34  0200   GET  nextcloud index php apps theming favicon v 19 HTTP 1 1  200 205625_x000D_
1 2 3 4      22 Apr 2021:10:48:35  0200   GET  nextcloud ocs v2 php apps notifications api v2 notifications HTTP 1 1  200 74_x000D_
1 2 3 4      22 Apr 2021:10:48:36  0200   POST  nextcloud index php apps text session sync HTTP 1 1  200 369_x000D_
1 2 3 4      22 Apr 2021:10:48:37  0200   GET  nextcloud index html HTTP 1 1  200 156_x000D_
1 2 3 4      22 Apr 2021:10:48:37  0200   GET  nextcloud ocs v2 php apps notifications api v2 notifications HTTP 1 1  200 74_x000D_
1 2 3 4      22 Apr 2021:10:48:37  0200   PROPFIND  nextcloud remote php webdav  HTTP 1 1  207 386_x000D_
1 2 3 4      22 Apr 2021:10:48:38  0200   GET  nextcloud ocs v2 php apps notifications api v2 notifications HTTP 1 1  200 74_x000D_
1 2 3 4      22 Apr 2021:10:48:37  0200   GET  nextcloud ocs v2 php apps notifications api v2 notifications HTTP 1 1  200 74_x000D_
1 2 3 4      22 Apr 2021:10:48:38  0200   POST  nextcloud index php apps text session sync HTTP 1 1  200 371_x000D_
1 2 3 4      22 Apr 2021:10:48:39  0200   GET  nextcloud ocs v2 php apps notifications api v2 notifications HTTP 1 1  200 74_x000D_
1 2 3 7      22 Apr 2021:10:48:40  0200   GET  nextcloud ocs v2 php apps notifications api v2 notifications HTTP 1 1  200 693_x000D_
1 2 3 7      22 Apr 2021:10:48:40  0200   GET  nextcloud index php csrftoken HTTP 1 1  200 102_x000D_
1 2 3 4      22 Apr 2021:10:48:41  0200   PROPFIND  nextcloud remote php webdav  HTTP 1 1  207 387_x000D_
1 2 3 4      22 Apr 2021:10:48:41  0200   POST  nextcloud index php login HTTP 1 1  303  _x000D_
1 2 3 4      22 Apr 2021:10:48:42  0200   GET  nextcloud index php apps files  HTTP 1 1  200 36633_x000D_
1 2 3 4      22 Apr 2021:10:48:42  0200   GET  nextcloud index php css core 1090 aeda server css v 21e1e79890084385592e52308221da88 7ec7075b 19 HTTP 1 1  200 19639_x000D_
1 2 3 4      22 Apr 2021:10:48:42  0200   GET  nextcloud apps files rightclick css app css v 5e585c9e 19 HTTP 1 1  200 412_x000D_
1 2 3 4      22 Apr 2021:10:48:42  0200   GET  nextcloud index php css files 9eeb aeda merged css v 21e1e79890084385592e52308221da88 7ec7075b 19 HTTP 1 1  200 5572_x000D_
1 2 3 4      22 Apr 2021:10:48:42  0200   GET  nextcloud index php css files sharing c5f2 aeda icons css v 21e1e79890084385592e52308221da88 7ec7075b 19 HTTP 1 1  200 102_x000D_
1 2 3 4      22 Apr 2021:10:48:42  0200   GET  nextcloud index php css notifications 783c aeda styles css v 21e1e79890084385592e52308221da88 7ec7075b 19 HTTP 1 1  200 903_x000D_
1 2 3 4      22 Apr 2021:10:48:42  0200   GET  nextcloud index php css core 1090 aeda ie css v 21e1e79890084385592e52308221da88 7ec7075b 19 HTTP 1 1  200 303_x000D_
1 2 3 4      22 Apr 2021:10:48:42  0200   GET  nextcloud index php css text d233 aeda icons css v 21e1e79890084385592e52308221da88 7ec7075b 19 HTTP 1 1  200 417_x000D_
1 2 3 4      22 Apr 2021:10:48:42  0200   GET  nextcloud apps notifications l10n de DE js v 7ec7075b 19 HTTP 1 1  200 1962_x000D_
1 2 3 4      22 Apr 2021:10:48:42  0200   GET  nextcloud apps notifications js notifications js v 7ec7075b 19 HTTP 1 1  200 185202_x000D_
1 2 3 4      22 Apr 2021:10:48:42  0200   GET  nextcloud apps files l10n de DE js v 7ec7075b 19 HTTP 1 1  200 15057_x000D_
1 2 3 4      22 Apr 2021:10:48:42  0200   GET  nextcloud index php css icons icons vars css v 1618994061 HTTP 1 1  200 193719_x000D_
1 2 3 4      22 Apr 2021:10:48:42  0200   GET  nextcloud apps files sharing js dist collaboration js v 7ec7075b 19 HTTP 1 1  200 1507_x000D_
1 2 3 4      22 Apr 2021:10:48:42  0200   GET  nextcloud apps spreed l10n de DE js v 7ec7075b 19 HTTP 1 1  200 82075_x000D_
1 2 3 4      22 Apr 2021:10:48:42  0200   GET  nextcloud index php css spreed 4de7 aeda merged files css v 21e1e79890084385592e52308221da88 7ec7075b 19 HTTP 1 1  200 1709_x000D_
1 2 3 4      22 Apr 2021:10:48:42  0200   GET  nextcloud apps spreed js collections js v 7ec7075b 19 HTTP 1 1  200 407956_x000D_
1 2 3 4      22 Apr 2021:10:48:42  0200   GET  nextcloud apps text l10n de DE js v 7ec7075b 19 HTTP 1 1  200 3523_x000D_
1 2 3 4      22 Apr 2021:10:48:42  0200   GET  nextcloud apps text js files js v 7ec7075b 19 HTTP 1 1  200 196436_x000D_
1 2 3 4      22 Apr 2021:10:48:42  0200   GET  nextcloud apps files rightclick l10n de DE js v 7ec7075b 19 HTTP 1 1  200 825_x000D_
1 2 3 4      22 Apr 2021:10:48:42  0200   GET  nextcloud apps files rightclick js script js v 7ec7075b 19 HTTP 1 1  200 14871_x000D_
1 2 3 4      22 Apr 2021:10:48:42  0200   GET  nextcloud index html HTTP 1 1  200 156_x000D_
1 2 3 4      22 Apr 2021:10:48:42  0200   GET  nextcloud apps files rightclick js files js v 7ec7075b 19 HTTP 1 1  200 4760_x000D_
1 2 3 4      22 Apr 2021:10:48:42  0200   GET  nextcloud core js dist systemtags js v 7ec7075b 19 HTTP 1 1  200 21170_x000D_
1 2 3 4      22 Apr 2021:10:48:42  0200   GET  nextcloud apps systemtags l10n de DE js v 7ec7075b 19 HTTP 1 1  200 5862_x000D_
1 2 3 4      22 Apr 2021:10:48:42  0200   GET  nextcloud index php css core 1090 aeda css variables css v 21e1e79890084385592e52308221da88 7ec7075b 19 HTTP 1 1  200 557_x000D_
1 2 3 4      22 Apr 2021:10:48:42  0200   GET  nextcloud apps systemtags js systemtags js v 7ec7075b 19 HTTP 1 1  200 12832_x000D_
1 2 3 4      22 Apr 2021:10:48:42  0200   GET  nextcloud apps comments l10n de DE js v 7ec7075b 19 HTTP 1 1  200 2150_x000D_
1 2 3 4      22 Apr 2021:10:48:42  0200   GET  nextcloud apps comments js comments js v 7ec7075b 19 HTTP 1 1  200 66858_x000D_
1 2 3 4      22 Apr 2021:10:48:42  0200   GET  nextcloud apps files versions l10n de DE js v 7ec7075b 19 HTTP 1 1  200 2281_x000D_
1 2 3 4      22 Apr 2021:10:48:42  0200   GET  nextcloud apps files versions js files versions js v 7ec7075b 19 HTTP 1 1  200 33431_x000D_
1 2 3 4      22 Apr 2021:10:48:42  0200   GET  nextcloud apps files sharing js dist files sharing js v 7ec7075b 19 HTTP 1 1  200 15666_x000D_
1 2 3 4      22 Apr 2021:10:48:42  0200   GET  nextcloud apps files sharing js dist additionalScripts js v 7ec7075b 19 HTTP 1 1  200 15466_x000D_
1 2 3 4      22 Apr 2021:10:48:42  0200   GET  nextcloud apps viewer js viewer js v 7ec7075b 19 HTTP 1 1  200 966524_x000D_
1 2 3 4      22 Apr 2021:10:48:42  0200   GET  nextcloud apps viewer l10n de DE js v 7ec7075b 19 HTTP 1 1  200 948_x000D_
1 2 3 4      22 Apr 2021:10:48:42  0200   GET  nextcloud apps files js dist sidebar js v 7ec7075b 19 HTTP 1 1  200 402598_x000D_
1 2 3 4      22 Apr 2021:10:48:42  0200   GET  nextcloud apps files js fileinfomodel js v 7ec7075b 19 HTTP 1 1  200 3187_x000D_
1 2 3 4      22 Apr 2021:10:48:42  0200   GET  nextcloud apps files sharing js dist files sharing tab js v 7ec7075b 19 HTTP 1 1  200 1451110_x000D_
1 2 3 4      22 Apr 2021:10:48:42  0200   GET  nextcloud apps spreed js talk files sidebar js v 7ec7075b 19 HTTP 1 1  200 1250114_x000D_
1 2 3 4      22 Apr 2021:10:48:42  0200   GET  nextcloud apps files trashbin l10n de DE js v 7ec7075b 19 HTTP 1 1  200 3523_x000D_
1 2 3 4      22 Apr 2021:10:48:42  0200   GET  nextcloud apps files trashbin js files trashbin js v 7ec7075b 19 HTTP 1 1  200 12559_x000D_
1 2 3 4      22 Apr 2021:10:48:42  0200   GET  nextcloud index php css core 1090 aeda results css v 21e1e79890084385592e52308221da88 7ec7075b 19 HTTP 1 1  200 520_x000D_
1 2 3 4      22 Apr 2021:10:48:42  0200   GET  nextcloud apps settings img admin svg v 7ec7075b HTTP 1 1  200 236_x000D_
1 2 3 4      22 Apr 2021:10:48:42  0200   GET  nextcloud apps settings img help svg v 7ec7075b HTTP 1 1  200 519_x000D_
1 2 3 4      22 Apr 2021:10:48:42  0200   GET  nextcloud core img actions logout svg v 7ec7075b HTTP 1 1  200 342_x000D_
1 2 3 4      22 Apr 2021:10:48:42  0200   GET  nextcloud core img actions delete svg HTTP 1 1  200 247_x000D_
1 2 3 4      22 Apr 2021:10:48:42  0200   POST  nextcloud index php apps text session sync HTTP 1 1  200 369_x000D_
1 2 3 4      22 Apr 2021:10:48:42  0200   GET  nextcloud apps files img app svg v 7ec7075b HTTP 1 1  200 222_x000D_
1 2 3 4      22 Apr 2021:10:48:42  0200   GET  nextcloud index php js files merged index js v 7ec7075b 19 HTTP 1 1  200 92585_x000D_
1 2 3 4      22 Apr 2021:10:48:42  0200   GET  nextcloud ocs v2 php apps notifications api v2 notifications HTTP 1 1  200 74_x000D_
1 2 3 4      22 Apr 2021:10:48:42  0200   GET  nextcloud index php avatar 24120528 32 v 0 HTTP 1 1  201 375_x000D_
1 2 3 4      22 Apr 2021:10:48:42  0200   GET  nextcloud index php core js oc js v 7ec7075b HTTP 1 1  200 6716_x000D_
1 2 3 4      22 Apr 2021:10:48:42  0200   GET  nextcloud index php apps theming image logoheader v 19 HTTP 1 1  200 204219_x000D_
1 2 3 4      22 Apr 2021:10:48:43  0200   GET  nextcloud apps notifications img notifications svg HTTP 1 1  200 456_x000D_
1 2 3 4      22 Apr 2021:10:48:44  0200   GET  nextcloud ocs v2 php apps notifications api v2 notifications HTTP 1 1  200 74_x000D_
1 2 3 4      22 Apr 2021:10:48:44  0200   GET  nextcloud ocs v2 php apps notifications api v2 notifications HTTP 1 1  200 74_x000D_
1 2 3 4      22 Apr 2021:10:48:44  0200   GET  nextcloud core img breadcrumb svg v 1 HTTP 1 1  200 188_x000D_
1 2 3 4      22 Apr 2021:10:48:44  0200   GET  nextcloud ocs v2 php core whatsnew format json HTTP 1 1  204  _x000D_
1 2 3 4      22 Apr 2021:10:48:44  0200   POST  nextcloud index php apps text session sync HTTP 1 1  200 371_x000D_
1 2 3 4      22 Apr 2021:10:48:44  0200   GET  nextcloud ocs v2 php apps notifications api v2 notifications HTTP 1 1  200 74_x000D_
1 2 3 6      22 Apr 2021:10:48:47  0200   GET  nextcloud ocs v2 php apps notifications api v2 notifications HTTP 1 1  200 74_x000D_
1 2 3 4      22 Apr 2021:10:48:47  0200   GET  nextcloud index php apps theming img core filetypes folder svg v 19 HTTP 1 1  200 255_x000D_
1 2 3 4      22 Apr 2021:10:48:47  0200   GET  nextcloud index php apps systemtags lastused HTTP 1 1  200 2_x000D_
1 2 3 4      22 Apr 2021:10:48:44  0200   PROPFIND  nextcloud remote php dav files 24120528  HTTP 1 1  207 8184_x000D_
1 2 3 4      22 Apr 2021:10:48:47  0200   GET  nextcloud index php apps theming favicon files v 19 HTTP 1 1  200 205625_x000D_
1 2 3 4      22 Apr 2021:10:48:47  0200   GET  nextcloud index php apps files ajax getstoragestats php dir  2F HTTP 1 1  200 255_x000D_
1 2 3 4      22 Apr 2021:10:48:47  0200   GET  nextcloud index php avatar 24019490 32 HTTP 1 1  201 412_x000D_
1 2 3 4      22 Apr 2021:10:48:47  0200   GET  nextcloud index html HTTP 1 1  200 156_x000D_
1 2 3 4      22 Apr 2021:10:48:47  0200   GET  nextcloud index php avatar 24028516 32 HTTP 1 1  201 209_x000D_
1 2 3 4      22 Apr 2021:10:48:47  0200   GET  nextcloud index php apps theming img core filetypes folder shared svg v 19 HTTP 1 1  200 784_x000D_
1 2 3 4      22 Apr 2021:10:48:47  0200   GET  nextcloud ocs v2 php apps notifications api v2 notifications HTTP 1 1  200 74_x000D_
1 2 3 4      22 Apr 2021:10:48:48  0200   GET  nextcloud ocs v2 php apps notifications api v2 notifications HTTP 1 1 </t>
  </si>
  <si>
    <t>google-ExoPlayer-8845</t>
  </si>
  <si>
    <t>OOM crash during offline playback of encoded with proprietary encoder flac tracks</t>
  </si>
  <si>
    <t xml:space="preserve">Hi everyone _x000D_
_x000D_
We re using ExoPlayer (now v 2 12 3) for playback of specific tracks encoded with some custom proprietary encoder and are packed into FLAC container  Unfortunately  I can t give you more details about the encoder due to NDA   _x000D_
_x000D_
To make the playback actually work  we use ExoPlayer s FLAC extension _x000D_
Everything seems to be working fine except for one problem _x000D_
We experience OOM crashes during offline playback (when a track is downloaded) of quite big files (duration    15 minutes  or size    150MB) _x000D_
Android Studio s Profiler during the playback shows constantly increasing memory consumption until OOM crash occurs _x000D_
I ve spent some time for investigation and realized that these OOM crashes appeared with this  commit (https:  github com google ExoPlayer commit 5e090d81b41f8c6dfcb20dc641fe720e97f01cfb)_x000D_
I reverted this commit  and it seems that OOM went away _x000D_
_x000D_
So  guys  I d really appreciate it if you could revert the commit on your end  of course  if there is no reason not to do it  If you decide to leave it as is  maybe you could give us some more details about why you need it _x000D_
_x000D_
Thanks </t>
  </si>
  <si>
    <t>NordicSemiconductor-Android-nRF-Mesh-Library-423</t>
  </si>
  <si>
    <t>Crash after updating app from any version 2.4.4 and below to 3.0 and above</t>
  </si>
  <si>
    <t xml:space="preserve">   _x000D_
_x000D_
  Describe the bug  _x000D_
Downloaded 2 4 4 and added a device  bound keys  and added subscriptions  Controlled device from 2 4 4 with no issues  Downloaded 3 1 5 and built app  Device TTL unknown and app crashes when trying to send messages _x000D_
_x000D_
  To Reproduce  _x000D_
Steps to reproduce the behavior:_x000D_
1  Build 2 4 4 and add a device  bind keys  and add subscriptions_x000D_
2  Update the app to version 3 0 or above_x000D_
3  Try to control device and app crashes_x000D_
_x000D_
  Logs   Screenshots  _x000D_
   _x000D_
E AndroidRuntime: FATAL EXCEPTION: main_x000D_
    Process: no nordicsemi android nrfmeshprovisioner  PID: 9297_x000D_
    java lang NullPointerException: Attempt to invoke virtual method  int java lang Integer intValue()  on a null object reference_x000D_
        at no nordicsemi android mesh transport MeshTransport createMeshMessage(MeshTransport java:145)_x000D_
        at no nordicsemi android mesh transport ConfigMessageState createAccessMessage(ConfigMessageState java:69)_x000D_
        at no nordicsemi android mesh transport ConfigMessageState  init (ConfigMessageState java:54)_x000D_
        at no nordicsemi android mesh transport BaseMeshMessageHandler createConfigMeshMessage(BaseMeshMessageHandler java:281)_x000D_
        at no nordicsemi android mesh transport BaseMeshMessageHandler createMeshMessage(BaseMeshMessageHandler java:247)_x000D_
        at no nordicsemi android mesh MeshManagerApi createMeshPdu(MeshManagerApi java:891)_x000D_
        at no nordicsemi android nrfmesh node NodeConfigurationActivity sendMessage(NodeConfigurationActivity java:392)_x000D_
        at no nordicsemi android nrfmesh node NodeConfigurationActivity onNodeReset(NodeConfigurationActivity java:280)_x000D_
        at no nordicsemi android nrfmesh node dialog DialogFragmentResetNode lambda onCreateDialog 0 DialogFragmentResetNode(DialogFragmentResetNode java:60)_x000D_
        at no nordicsemi android nrfmesh node dialog    Lambda DialogFragmentResetNode gCxhC2Iii6008Kq2hz97l 5HhbY onClick(Unknown Source:2)_x000D_
        at androidx appcompat app AlertController ButtonHandler handleMessage(AlertController java:167)_x000D_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_x000D_
</t>
  </si>
  <si>
    <t>Blankj-AndroidUtilCode-1482</t>
  </si>
  <si>
    <t>PermissionUtils没有适配安卓11</t>
  </si>
  <si>
    <t xml:space="preserve">   Describe the bug_x000D_
_x000D_
            11_x000D_
_x000D_
A clear and concise description of what the bug is _x000D_
_x000D_
  The version of AndroidUtilCode:      e g  utilcode:1 16 3 or utilcodex:1 16 3    _x000D_
  The device:      e g  Nexus 5X    _x000D_
  The version of device:      API 27    _x000D_
_x000D_
   The code of bug_x000D_
_x000D_
     e g  _x000D_
   java_x000D_
CrashUtils init() _x000D_
   _x000D_
   _x000D_
   _x000D_
put your code here_x000D_
   _x000D_
_x000D_
   The stack of crash_x000D_
_x000D_
     e g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Screenshots_x000D_
_x000D_
If applicable  add screenshots to help explain your problem _x000D_
_x000D_
_x000D_
   Please delete the current line and the following _x000D_
_x000D_
Thank you for supporting  AndroidUtilCode (https:  github com Blankj AndroidUtilCode) _x000D_
</t>
  </si>
  <si>
    <t>material-components-material-components-android-2186</t>
  </si>
  <si>
    <t>[AppBarLayout] Resources$NotFoundException: design_appbar_state_list_animator.xml</t>
  </si>
  <si>
    <t xml:space="preserve">  Description:   _x000D_
_x000D_
Firebase crash log _x000D_
   _x000D_
Caused by android view InflateException: Binary XML file line  20: Error inflating class  unknown _x000D_
   _x000D_
_x000D_
   _x000D_
Caused by java lang reflect InvocationTargetException_x000D_
       at java lang reflect Constructor newInstance0(Constructor java)_x000D_
       at java lang reflect Constructor newInstance(Constructor java:334)_x000D_
       at android view LayoutInflater createView(LayoutInflater java:658)_x000D_
       at android view LayoutInflater createViewFromTag(LayoutInflater java:801)_x000D_
       at android view LayoutInflater createViewFromTag(LayoutInflater java:741)_x000D_
       at android view LayoutInflater rInflate(LayoutInflater java:874)_x000D_
       at android view LayoutInflater rInflateChildren(LayoutInflater java:835)_x000D_
       at android view LayoutInflater rInflate(LayoutInflater java:877)_x000D_
       at android view LayoutInflater rInflateChildren(LayoutInflater java:835)_x000D_
       at android view LayoutInflater inflate(LayoutInflater java:515)_x000D_
       at android view LayoutInflater inflate(LayoutInflater java:423)_x000D_
       at android view LayoutInflater inflate(LayoutInflater java:374)_x000D_
       at androidx appcompat app AppCompatDelegateImpl setContentView(AppCompatDelegateImpl java:555)_x000D_
       at androidx appcompat app AppCompatActivity setContentView(AppCompatActivity java:161)_x000D_
       at com               base BaseActivity onCreate(BaseActivity java:175)_x000D_
       at android app Activity performCreate(Activity java:7383)_x000D_
       at android app Instrumentation callActivityOnCreate(Instrumentation java:1218)_x000D_
       at android app ActivityThread performLaunchActivity(ActivityThread java:3256)_x000D_
       at android app ActivityThread handleLaunchActivity(ActivityThread java:3411)_x000D_
       at android app ActivityThread  wrap12(ActivityThread java)_x000D_
       at android app ActivityThread H handleMessage(ActivityThread java:1994)_x000D_
       at android os Handler dispatchMessage(Handler java:108)_x000D_
       at android os Looper loop(Looper java:166)_x000D_
       at android app ActivityThread main(ActivityThread java:7529)_x000D_
       at java lang reflect Method invoke(Method java)_x000D_
       at com android internal os Zygote MethodAndArgsCaller run(Zygote java:245)_x000D_
       at com android internal os ZygoteInit main(ZygoteInit java:921)_x000D_
   _x000D_
_x000D_
   _x000D_
Caused by android content res Resources NotFoundException: File res mipmap xxhdpi v4 ic launcher png from xml type anim resource ID  0x7f020000_x000D_
       at android content res ResourcesImpl loadXmlResourceParser(ResourcesImpl java:1435)_x000D_
       at android content res Resources loadXmlResourceParser(Resources java:2312)_x000D_
       at android content res Resources getAnimation(Resources java:1317)_x000D_
       at android animation AnimatorInflater loadStateListAnimator(AnimatorInflater java:171)_x000D_
       at com google android material appbar ViewUtilsLollipop setStateListAnimatorFromAttrs(ViewUtilsLollipop java:51)_x000D_
       at com google android material appbar AppBarLayout  init (AppBarLayout java:215)_x000D_
       at com google android material appbar AppBarLayout  init (AppBarLayout java:199)_x000D_
       at java lang reflect Constructor newInstance0(Constructor java)_x000D_
       at java lang reflect Constructor newInstance(Constructor java:334)_x000D_
       at android view LayoutInflater createView(LayoutInflater java:658)_x000D_
       at android view LayoutInflater createViewFromTag(LayoutInflater java:801)_x000D_
       at android view LayoutInflater createViewFromTag(LayoutInflater java:741)_x000D_
       at android view LayoutInflater rInflate(LayoutInflater java:874)_x000D_
       at android view LayoutInflater rInflateChildren(LayoutInflater java:835)_x000D_
       at android view LayoutInflater rInflate(LayoutInflater java:877)_x000D_
       at android view LayoutInflater rInflateChildren(LayoutInflater java:835)_x000D_
       at android view LayoutInflater inflate(LayoutInflater java:515)_x000D_
       at android view LayoutInflater inflate(LayoutInflater java:423)_x000D_
       at android view LayoutInflater inflate(LayoutInflater java:374)_x000D_
       at androidx appcompat app AppCompatDelegateImpl setContentView(AppCompatDelegateImpl java:555)_x000D_
       at androidx appcompat app AppCompatActivity setContentView(AppCompatActivity java:161)_x000D_
       at com             base BaseActivity onCreate(BaseActivity java:175)_x000D_
       at android app Activity performCreate(Activity java:7383)_x000D_
       at android app Instrumentation callActivityOnCreate(Instrumentation java:1218)_x000D_
       at android app ActivityThread performLaunchActivity(ActivityThread java:3256)_x000D_
       at android app ActivityThread handleLaunchActivity(ActivityThread java:3411)_x000D_
       at android app ActivityThread  wrap12(ActivityThread java)_x000D_
       at android app ActivityThread H handleMessage(ActivityThread java:1994)_x000D_
       at android os Handler dispatchMessage(Handler java:108)_x000D_
       at android os Looper loop(Looper java:166)_x000D_
       at android app ActivityThread main(ActivityThread java:7529)_x000D_
       at java lang reflect Method invoke(Method java)_x000D_
       at com android internal os Zygote MethodAndArgsCaller run(Zygote java:245)_x000D_
       at com android internal os ZygoteInit main(ZygoteInit java:921)_x000D_
   _x000D_
_x000D_
   _x000D_
Caused by java io FileNotFoundException: Corrupt XML binary file_x000D_
       at android content res AssetManager openXmlAssetNative(AssetManager java)_x000D_
       at android content res AssetManager openXmlBlockAsset(AssetManager java:862)_x000D_
       at android content res ResourcesImpl loadXmlResourceParser(ResourcesImpl java:1420)_x000D_
       at android content res Resources loadXmlResourceParser(Resources java:2312)_x000D_
       at android content res Resources getAnimation(Resources java:1317)_x000D_
       at android animation AnimatorInflater loadStateListAnimator(AnimatorInflater java:171)_x000D_
       at com google android material appbar ViewUtilsLollipop setStateListAnimatorFromAttrs(ViewUtilsLollipop java:51)_x000D_
       at com google android material appbar AppBarLayout  init (AppBarLayout java:215)_x000D_
       at com google android material appbar AppBarLayout  init (AppBarLayout java:199)_x000D_
       at java lang reflect Constructor newInstance0(Constructor java)_x000D_
       at java lang reflect Constructor newInstance(Constructor java:334)_x000D_
       at android view LayoutInflater createView(LayoutInflater java:658)_x000D_
       at android view LayoutInflater createViewFromTag(LayoutInflater java:801)_x000D_
       at android view LayoutInflater createViewFromTag(LayoutInflater java:741)_x000D_
       at android view LayoutInflater rInflate(LayoutInflater java:874)_x000D_
       at android view LayoutInflater rInflateChildren(LayoutInflater java:835)_x000D_
       at android view LayoutInflater rInflate(LayoutInflater java:877)_x000D_
       at android view LayoutInflater rInflateChildren(LayoutInflater java:835)_x000D_
       at android view LayoutInflater inflate(LayoutInflater java:515)_x000D_
       at android view LayoutInflater inflate(LayoutInflater java:423)_x000D_
       at android view LayoutInflater inflate(LayoutInflater java:374)_x000D_
       at androidx appcompat app AppCompatDelegateImpl setContentView(AppCompatDelegateImpl java:555)_x000D_
       at androidx appcompat app AppCompatActivity setContentView(AppCompatActivity java:161)_x000D_
       at com             base BaseActivity onCreate(BaseActivity java:175)_x000D_
       at android app Activity performCreate(Activity java:7383)_x000D_
       at android app Instrumentation callActivityOnCreate(Instrumentation java:1218)_x000D_
       at android app ActivityThread performLaunchActivity(ActivityThread java:3256)_x000D_
       at android app ActivityThread handleLaunchActivity(ActivityThread java:3411)_x000D_
       at android app ActivityThread  wrap12(ActivityThread java)_x000D_
       at android app ActivityThread H handleMessage(ActivityThread java:1994)_x000D_
       at android os Handler dispatchMessage(Handler java:108)_x000D_
       at android os Looper loop(Looper java:166)_x000D_
       at android app ActivityThread main(ActivityThread java:7529)_x000D_
       at java lang reflect Method invoke(Method java)_x000D_
       at com android internal os Zygote MethodAndArgsCaller run(Zygote java:245)_x000D_
       at com android internal os ZygoteInit main(ZygoteInit java:921)_x000D_
   _x000D_
  image (https:  user images githubusercontent com 9261499 115510792 bf29d400 a2b2 11eb 8620 f1423ab04c06 png)_x000D_
_x000D_
  image (https:  user images githubusercontent com 9261499 115510732 ade0c780 a2b2 11eb 96db a3a4661962bd png)_x000D_
_x000D_
  image (https:  user images githubusercontent com 9261499 115511777 d2896f00 a2b3 11eb 9683 ebb1affb4e5f png)_x000D_
  image (https:  user images githubusercontent com 9261499 115511793 d6b58c80 a2b3 11eb 9da7 d7f63607c414 png)_x000D_
_x000D_
  Expected behavior:   _x000D_
I don t understand why the anim resource ID  0x7f020000(design appbar state list animator xml)  is bound to the res mipmap xxhdpi v4 ic launcher png _x000D_
_x000D_
  Source code:   _x000D_
I can t reproduce the bug This bug only crash on some of Huawei s phones_x000D_
_x000D_
  Android API version:   _x000D_
Android 8 0 0 8 1 0_x000D_
_x000D_
  Material Library version:   _x000D_
1 2 1_x000D_
_x000D_
  Device:   _x000D_
  image (https:  user images githubusercontent com 9261499 115510829 c7820f00 a2b2 11eb 8c5f 8356abc2fd76 png)_x000D_
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</si>
  <si>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PojavLauncherTeam-PojavLauncher-1263</t>
  </si>
  <si>
    <t xml:space="preserve">[BUG] The Game alway's crash on Osmesas-Devs-Tests </t>
  </si>
  <si>
    <t xml:space="preserve">          beggining with launcher debug Info: Launcher version: 3 3 1 1 rel 20210418 Info: LWJGL3 directory:  jsr305 jar  lwjgl glfw classes jar  lwjgl jemalloc jar  lwjgl openal jar  lwjgl opengl jar  lwjgl stb jar  lwjgl tinyfd jar  lwjgl jar  version  Architecture: arm aarch32 Info: Custom Java arguments:   Dorg lwjgl opengl libname libgl4es 115 so  Xms768m  Xmx800m  Dorg lwjgl opengl libname libOSMesa 8 so  XX: UseConcMarkSweepGC  XX: CMSIncrementalMode  XX: UseAdaptiveSizePolicy            beginning of crash           beginning of main Headless version detected  (20210317) WARNING: linker:    data data net kdt pojavlaunch jre runtime lib aarch32 jli libjli so  has unsupported flags DT FLAGS 1  0x81 I jrelog ( 2590): dlopen  data user 0 net kdt pojavlaunch jre runtime lib aarch32 jli libjli so success I jrelog ( 2590): dlopen  data user 0 net kdt pojavlaunch jre runtime lib aarch32 client libjvm so success WARNING: linker:    data data net kdt pojavlaunch jre runtime lib aarch32 libverify so  has unsupported flags DT FLAGS 1  0x81 WARNING: linker:   data data net kdt pojavlaunch jre runtime lib aarch32 libjava so  has unsupported flags DT FLAGS 1 0x81 I jrelog ( 2590): dlopen  data user 0 net kdt pojavlaunch jre runtime lib aarch32 libverify so success I jrelog ( 2590): dlopen  data user 0 net kdt pojavlaunch jre runtime lib aarch32 libjava so success WARNING: linker:   data data net kdt pojavlaunch jre runtime lib aarch32 libnet so  has unsupported flags DT FLAGS 1  0x81 I jrelog ( 2590): dlopen  data user 0 net kdt pojavlaunch jre runtime lib aarch32 libnet so success WARNING: linker:    data data net kdt pojavlaunch jre runtime lib aarch32 libnio so   has unsupported flags DT FLAGS 1  0x81 I jrelog ( 2590): dlopen  data user 0 net kdt pojavlaunch jre runtime lib aarch32 libnio so success WARNING: linker:   data data net kdt pojavlaunch jre runtime lib aarch32 libawt so  has unsupported flags DT FLAGS 1 0x81 I jrelog ( 2590): dlopen  data user 0 net kdt pojavlaunch jre runtime lib aarch32 libawt so success WARNING: linker:    data data net kdt pojavlaunch jre runtime lib aarch32 libawt headless so  has unsupported flags DT FLAGS 1 0x81 I jrelog ( 2590): dlopen  data user 0 net kdt pojavlaunch jre runtime lib aarch32 libawt headless so success I jrelog ( 2590): dlopen  data user 0 net kdt pojavlaunch jre runtime lib aarch32 libfreetype so success WARNING: linker:   data data net kdt pojavlaunch jre runtime lib aarch32 libfontmanager so  has unsupported flags DT FLAGS 1 0x81 I jrelog ( 2590): dlopen  data user 0 net kdt pojavlaunch jre runtime lib aarch32 libfontmanager so success WARNING: linker:    data data net kdt pojavlaunch jre runtime lib aarch32 libjpeg so   has unsupported flags DT FLAGS 1  0x81 I jrelog ( 2590): dlopen  data user 0 net kdt pojavlaunch jre runtime lib aarch32 libjpeg so success I jrelog ( 2590): dlopen  data user 0 net kdt pojavlaunch jre runtime lib aarch32 libnet so success WARNING: linker:    data data net kdt pojavlaunch jre runtime lib aarch32 libjawt so   has unsupported flags DT FLAGS 1  0x81 WARNING: linker:    data data net kdt pojavlaunch jre runtime lib aarch32 libjdwp so  has unsupported flags DT FLAGS 1 0x81 I jrelog ( 2590): dlopen  data user 0 net kdt pojavlaunch jre runtime lib aarch32 libjawt so success I jrelog ( 2590): dlopen  data user 0 net kdt pojavlaunch jre runtime lib aarch32 libjdwp so success WARNING: linker:   data data net kdt pojavlaunch jre runtime lib aarch32 libzip so  has unsupported flags DT FLAGS 1 0x81 I jrelog ( 2590): dlopen  data user 0 net kdt pojavlaunch jre runtime lib aarch32 jli libjli so success I jrelog ( 2590): dlopen  data user 0 net kdt pojavlaunch jre runtime lib aarch32 libzip so success WARNING: linker:    data data net kdt pojavlaunch jre runtime lib aarch32 libmanagement so  has unsupported flags DT FLAGS 1 0x81 I jrelog ( 2590): dlopen  data user 0 net kdt pojavlaunch jre runtime lib aarch32 libmanagement so success WARNING: linker:   data data net kdt pojavlaunch jre runtime lib aarch32 libj2pcsc so  has unsupported flags DT FLAGS 1 0x81 I jrelog ( 2590): dlopen  data user 0 net kdt pojavlaunch jre runtime lib aarch32 libj2pcsc so success WARNING: linker:    data data net kdt pojavlaunch jre runtime lib aarch32 libjava crw demo so  has unsupported flags DT FLAGS 1 0x81 WARNING: linker:    data data net kdt pojavlaunch jre runtime lib aarch32 libjsound so  has unsupported flags DT FLAGS 1 0x81 I jrelog ( 2590): dlopen  data user 0 net kdt pojavlaunch jre runtime lib aarch32 libjava crw demo so success I jrelog ( 2590): dlopen  data user 0 net kdt pojavlaunch jre runtime lib aarch32 libsunec so success I jrelog ( 2590): dlopen  data user 0 net kdt pojavlaunch jre runtime lib aarch32 libjsound so success I jrelog ( 2590): dlopen  data user 0 net kdt pojavlaunch jre runtime lib aarch32 libjava so success WARNING: linker:    data data net kdt pojavlaunch jre runtime lib aarch32 libnpt so  has unsupported flags DT FLAGS 1 0x81 WARNING: linker:   data data net kdt pojavlaunch jre runtime lib aarch32 libtinyiconv so  has unsupported flags DT FLAGS 1 0x81 I jrelog ( 2590): dlopen  data user 0 net kdt pojavlaunch jre runtime lib aarch32 libnpt so success WARNING: linker:   data data net kdt pojavlaunch jre runtime lib aarch32 libunpack so  has unsupported flags DT FLAGS 1 0x81 I jrelog ( 2590): dlopen  data user 0 net kdt pojavlaunch jre runtime lib aarch32 libunpack so success I jrelog ( 2590): dlopen  data user 0 net kdt pojavlaunch jre runtime lib aarch32 libnio so success WARNING: linker:   data data net kdt pojavlaunch jre runtime lib aarch32 libjsdt so  has unsupported flags DT FLAGS 1 0x81 I jrelog ( 2590): dlopen  data user 0 net kdt pojavlaunch jre runtime lib aarch32 libjsdt so success WARNING: linker:    data data net kdt pojavlaunch jre runtime lib aarch32 libj2pkcs11 so  has unsupported flags DT FLAGS 1 0x81 I jrelog ( 2590): dlopen  data user 0 net kdt pojavlaunch jre runtime lib aarch32 libj2pkcs11 so success WARNING: linker:   data data net kdt pojavlaunch jre runtime lib aarch32 liblcms so  has unsupported flags DT FLAGS 1 0x81 I jrelog ( 2590): dlopen  data user 0 net kdt pojavlaunch jre runtime lib aarch32 liblcms so success I jrelog ( 2590): dlopen  data user 0 net kdt pojavlaunch jre runtime lib aarch32 libfontmanager so success I jrelog ( 2590): dlopen  data user 0 net kdt pojavlaunch jre runtime lib aarch32 libawt headless so success WARNING: linker:    data data net kdt pojavlaunch jre runtime lib aarch32 libmlib image so  has unsupported flags DT FLAGS 1 0x81 I jrelog ( 2590): dlopen  data user 0 net kdt pojavlaunch jre runtime lib aarch32 libmlib image so success I jrelog ( 2590): dlopen  data user 0 net kdt pojavlaunch jre runtime lib aarch32 client libjvm so success WARNING: linker:   data data net kdt pojavlaunch jre runtime lib aarch32 libinstrument so  has unsupported flags DT FLAGS 1 0x81 I jrelog ( 2590): dlopen  data user 0 net kdt pojavlaunch jre runtime lib aarch32 libinstrument so success I jrelog ( 2590): dlopen  data user 0 net kdt pojavlaunch jre runtime lib aarch32 libfreetype so success WARNING: linker:   data data net kdt pojavlaunch jre runtime lib aarch32 libsctp so  has unsupported flags DT FLAGS 1 0x81 I jrelog ( 2590): dlopen  data user 0 net kdt pojavlaunch jre runtime lib aarch32 libsctp so success WARNING: linker:    data data net kdt pojavlaunch jre runtime lib aarch32 libdt socket so  has unsupported flags DT FLAGS 1 0x81 I jrelog ( 2590): dlopen  data user 0 net kdt pojavlaunch jre runtime lib aarch32 libdt socket so success I jrelog ( 2590): dlopen  data user 0 net kdt pojavlaunch jre runtime lib aarch32 libjsig so success WARNING: linker:   data data net kdt pojavlaunch jre runtime lib aarch32 libj2gss so  has unsupported flags DT FLAGS 1 0x81 I jrelog ( 2590): dlopen  data user 0 net kdt pojavlaunch jre runtime lib aarch32 libj2gss so success I jrelog ( 2590): dlopen  data user 0 net kdt pojavlaunch jre runtime lib aarch32 libtinyiconv so success I jrelog ( 2590): dlopen  data user 0 net kdt pojavlaunch jre runtime lib aarch32 libawt so success I jrelog ( 2590): dlopen  data user 0 net kdt pojavlaunch jre runtime lib aarch32 libverify so success WARNING: linker: I jrelog ( 2590): dlopen  data user 0 net kdt pojavlaunch jre runtime lib aarch32 libawt xawt so success   data data net kdt pojavlaunch jre runtime lib aarch32 libjaas unix so   has unsupported flags DT FLAGS 1 0x81 I jrelog ( 2590): dlopen  data user 0 net kdt pojavlaunch jre runtime lib aarch32 libjaas unix so success WARNING: linker:    data data net kdt pojavlaunch jre runtime lib aarch32 libhprof so  has unsupported flags DT FLAGS 1 0x81 I jrelog ( 2590): dlopen  data user 0 net kdt pojavlaunch jre runtime lib aarch32 libhprof so success I jrelog ( 2590): dlopen  data app net kdt pojavlaunch svPpOWSwBTgj1QbHv zzrQ   lib arm libopenal so success I jrelog ( 2590): dlopen libOSMesa 8 so success I jrelog ( 2590): Done processing args I jrelog ( 2590): Found JLI lib I jrelog ( 2590): Calling JLI Launch OpenJDK Client VM warning: No monotonic clock was available   timed services may be adversely affected if the time of day clock changes OpenJDK Client VM warning: Using incremental CMS is deprecated and will likely be removed in a future release  03:01:12   Render thread INFO : Environment: authHost  https:  authserver mojang com   accountsHost  https:  api mojang com   sessionHost  https:  sessionserver mojang com   servicesHost  https:  api minecraftservices com   name  PROD   03:01:24   Render thread ERROR : Failed to verify authentication com mojang authlib exceptions AuthenticationUnavailableException: null 	at com mojang authlib yggdrasil YggdrasilSocialInteractionsService checkPrivileges(YggdrasilSocialInteractionsService java:97)   authlib 2 1 28 jar:   	at com mojang authlib yggdrasil YggdrasilSocialInteractionsService  init (YggdrasilSocialInteractionsService java:40)   authlib 2 1 28 jar:   	at com mojang authlib yggdrasil YggdrasilAuthenticationService createSocialInteractionsService(YggdrasilAuthenticationService java:152)   authlib 2 1 28 jar:   	at dsp a(SourceFile:643)  21w11a jar:   	at dsp  init (SourceFile:414)  21w11a jar:   	at net minecraft client main Main main(SourceFile:178)  21w11a jar:    03:01:24   Render thread INFO : Setting user: HenLogMC  03:01:25   Render thread INFO :  STDERR :  LWJGL  Failed to load a library  Possible solutions: 	a) Add the directory that contains the shared library to  Djava library path or  Dorg lwjgl librarypath  	b) Add the JAR that contains the shared library to the classpath   03:01:25   Render thread INFO :  STDERR :  LWJGL  Enable debug mode with  Dorg lwjgl util Debug true for better diagnostics   03:01:25   Render thread INFO :  STDERR :  LWJGL  Enable the SharedLibraryLoader debug mode with  Dorg lwjgl util DebugLoader true for better diagnostics   03:01:27   Render thread WARN : Invalid floating point value for option textBackgroundOpacity   java lang NumberFormatException: empty String 	at sun misc FloatingDecimal readJavaFormatString(FloatingDecimal java:1842)    :1 8 0 internal  	at sun misc FloatingDecimal parseDouble(FloatingDecimal java:110)    :1 8 0 internal  	at java lang Double parseDouble(Double java:538)    :1 8 0 internal  	at dst 2 a(SourceFile:402)  21w11a jar:   	at dst a(SourceFile:280)  21w11a jar:   	at dst a(SourceFile:360)  21w11a jar:   	at dst  init (SourceFile:218)  21w11a jar:   	at dsp  init (SourceFile:444)  21w11a jar:   	at net minecraft client main Main main(SourceFile:178)  21w11a jar:    03:01:28   Render thread INFO : Backend library: LWJGL version 3 2 3 SNAPSHOT OSMDroid: using built in libOSMesa 8 so OSMDroid: width 1280 height 720  reserving 3686400 bytes for frame buffer OSMDroid: created frame buffer OSMDroid: generating context    src gallium drivers zink zink screen c:778: VkPhysicalDevice choose pdev(const VkInstance): assertion  pdev count   0  failed</t>
  </si>
  <si>
    <t>hilerio23-TheOfficalScrabbleGame-11</t>
  </si>
  <si>
    <t>isMissing crashes the program</t>
  </si>
  <si>
    <t>If the user doesn t play the letter tile where the words intersect it will crash  Probably need to fix the isMissing method somehow maybe by getting the the x and y coords and analyzing where the hole is</t>
  </si>
  <si>
    <t>Anuken-Mindustry-5133</t>
  </si>
  <si>
    <t>Mass Driver receives items without power</t>
  </si>
  <si>
    <t xml:space="preserve">  Platform  : iOS_x000D_
_x000D_
  Build  : 126 3_x000D_
_x000D_
  Issue  :_x000D_
  image (https:  user images githubusercontent com 49368953 115475264 3c027280 a20d 11eb 8f73 13151ae80975 png)_x000D_
The receiver Mass Driver does not need power to function when it should  It just needs to be aligned to the sender Mass Driver  _x000D_
_x000D_
  Steps to reproduce  :_x000D_
1  Build two Mass Drivers  one surrounded by item voids and the other surrounded by item sources _x000D_
2  Set the item sources to any item _x000D_
3  Connect the second to the first _x000D_
4  Build a power source that connects to the Mass Drivers and wait for them to align _x000D_
5  Disconnect the first Mass Driver from the power source _x000D_
_x000D_
  Link(s) to mod(s) used  :  Mindustry Schematics (https:  github com pixecoz MindustrySchematics)_x000D_
_x000D_
  Save file  : _x000D_
 save Bug Report zip (https:  github com Anuken Mindustry files 6347188 save Bug Report zip)_x000D_
_x000D_
If you remove the line above without reading it properly and understanding what it means  I will reap your soul  Even if you re playing on someone s server  you can still save the game to a slot 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</si>
  <si>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TeamNewPipe-NewPipe-6124</t>
  </si>
  <si>
    <t>Crash after trying to delete a video from a playlist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</si>
  <si>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playlist page_x000D_
2  Press on a playlist_x000D_
3  Try to remove a video_x000D_
_x000D_
     If you can t cause the bug to show up again reliably (and hence don t have a proper set of steps to give us)  please still try to give as many details as possible on how you think you encountered the bug     _x000D_
_x000D_
It happens randomly  but today it did happen 2 times  I deleted a video from my playlist  watched another  and I ve tried to delete that one and NewPipe got crashed _x000D_
_x000D_
    Actual behaviour_x000D_
     Tell us what happens with the steps given above     _x000D_
_x000D_
When I try to delete it  ut crashes  I open the app again  and I can delete it _x000D_
_x000D_
    Expected behavior_x000D_
     Tell us what you expect to happen     _x000D_
_x000D_
Deleting a video from a playlist_x000D_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Exception_x000D_
    User Action:   ui error_x000D_
    Request:   ACRA report_x000D_
    Content Country:   UK_x000D_
    Content Language:   en_x000D_
    App Language:   en UK_x000D_
    Service:   none_x000D_
    Version:   0 21 1_x000D_
    OS:   Linux Samsung Android 9_x000D_
 details  summary  b Crash log   b   summary  p _x000D_
_x000D_
   _x000D_
java lang ArrayIndexOutOfBoundsException: length 37  index  1_x000D_
	at java util ArrayList remove(ArrayList java:506)_x000D_
	at org schabi newpipe local LocalItemListAdapter removeItem(LocalItemListAdapter java:129)_x000D_
	at org schabi newpipe local playlist LocalPlaylistFragment deleteItem(LocalPlaylistFragment java:602)_x000D_
	at org schabi newpipe local playlist LocalPlaylistFragment lambda showStreamItemDialog 23(LocalPlaylistFragment java:780)_x000D_
	at org schabi newpipe local playlist LocalPlaylistFragment lambda showStreamItemDialog 23 LocalPlaylistFragment(Unknown Source:0)_x000D_
	at org schabi newpipe local playlist    Lambda LocalPlaylistFragment mqVZbx Y0Wr3WWOrkG9BVt02WwI onClick(Unknown Source:4)_x000D_
	at org schabi newpipe util StreamDialogEntry clickOn(StreamDialogEntry java:144)_x000D_
	at org schabi newpipe local playlist LocalPlaylistFragment lambda showStreamItemDialog 24(LocalPlaylistFragment java:783)_x000D_
	at org schabi newpipe local playlist LocalPlaylistFragment lambda showStreamItemDialog 24 LocalPlaylistFragment(Unknown Source:0)_x000D_
	at org schabi newpipe local playlist    Lambda LocalPlaylistFragment DKJcisObqgB6j43xoqruTCAJLOE onClick(Unknown Source:4)_x000D_
	at com android internal app AlertController AlertParams 3 onItemClick(AlertController java:1299)_x000D_
	at android widget AdapterView performItemClick(AdapterView java:362)_x000D_
	at android widget AbsListView performItemClick(AbsListView java:1689)_x000D_
	at android widget AbsListView PerformClick run(AbsListView java:4130)_x000D_
	at android widget AbsListView 7 run(AbsListView java:6612)_x000D_
	at android os Handler handleCallback(Handler java:873)_x000D_
	at android os Handler dispatchMessage(Handler java:99)_x000D_
	at android os Looper loop(Looper java:214)_x000D_
	at android app ActivityThread main(ActivityThread java:7050)_x000D_
	at java lang reflect Method invoke(Native Method)_x000D_
	at com android internal os RuntimeInit MethodAndArgsCaller run(RuntimeInit java:494)_x000D_
	at com android internal os ZygoteInit main(ZygoteInit java:965)_x000D_
_x000D_
   _x000D_
  details _x000D_
 hr _x000D_
_x000D_
     Please fill this out when you do not provide a log generate by NewPipe    </t>
  </si>
  <si>
    <t>OpenTracksApp-OpenTracks-722</t>
  </si>
  <si>
    <t>newest bugs after update // voice announcements by distance not working</t>
  </si>
  <si>
    <t xml:space="preserve">  can t export my runs anymore  I get the message that their was an error for all the exports   _x000D_
  I was using voice announcements for every 5km but it kept on announcing without pause  So I had to turn off the announcements _x000D_
  downgrade to older version viva Fdroid always resulted in an error that the installation was aborted _x000D_
  app crashed several times after the update to 3 17  _x000D_
_x000D_
_x000D_
Thank you for your good work  </t>
  </si>
  <si>
    <t>Anuken-Mindustry-5131</t>
  </si>
  <si>
    <t>Lancer fires without dealing any damage if placed at 90-degrees angle relative to target</t>
  </si>
  <si>
    <t xml:space="preserve">  Platform  : Windows Linux server_x000D_
_x000D_
  Build  : 126 2_x000D_
_x000D_
  Issue  : Lancer does no damage if it fires at specific angle relative to the wall that protects target_x000D_
_x000D_
  Steps to reproduce  : Launch the attached map (or see gif below) _x000D_
_x000D_
  Link(s) to mod(s) used  : no mods_x000D_
_x000D_
  Save file  : map:  lancer test zip (https:  github com Anuken Mindustry files 6340552 lancer test zip)_x000D_
_x000D_
  lancer no damage (https:  user images githubusercontent com 4199082 115335963 e8f5d480 a1a6 11eb 8d8e 96d7f934ae36 gif)_x000D_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</si>
  <si>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PojavLauncherTeam-PojavLauncher-1256</t>
  </si>
  <si>
    <t>[BUG] Labymod installer doesn't work</t>
  </si>
  <si>
    <t xml:space="preserve">    Describe the bug_x000D_
So when I download the lastest Pojav version from github (3 3 1 1) and then download the lastest labymod installer  and then execute it on Pojav s app  it will say  No mod detected  Starting JVM   When I tried it but using the app store s version (not sure what Pojav version it is but it is the one uploaded by  artdeell ) I m able to execute the labymod installer  and after I install it  and select to play with the Labymod version  when the Mojang loading screen completes  it crashes  giving this crash report: https:  mcpaste io 7c74e4ae606150d2_x000D_
_x000D_
   latestlog txt (https:  github com PojavLauncherTeam PojavLauncher files 6339703 latestlog txt)   (PojavLauncher 3 3 1 1)_x000D_
   latestlog txt (https:  github com PojavLauncherTeam PojavLauncher files 6339844 latestlog 4 txt)   (PojavLauncher App Store  artdeell )_x000D_
_x000D_
    To Reproduce:_x000D_
_x000D_
1  Download PojavLauncher 3 3 1 1_x000D_
2  Download Labymod from https:  www labymod net en download_x000D_
3  Start PojavLauncher_x000D_
4  Go to  Options   Launch a mod installer (Forge  Labymod  Fabric  etc   )  and select the downloaded Labymod s installer _x000D_
5  You will get  No mod detected  Starting JVM  message on the Log Output and PojavLauncher will stop working _x000D_
_x000D_
    Expected behavior:_x000D_
To launch the Labymod installer properly and detect it as a Minecraft modification _x000D_
_x000D_
    Screenshots or videos:_x000D_
  Screenshot 20210419 210903 PojavLauncher (Minecraft Java Edition for Android) (https:  user images githubusercontent com 43190931 115318183 9ccd7480 a153 11eb 8c61 e5855ac249bc jpg)_x000D_
_x000D_
  Platform:  _x000D_
   Galaxy J7 Prime_x000D_
   CPU architecture aarch64_x000D_
   Android Version 8 1 0_x000D_
   PojavLauncher version 3 3 1 1 rel 20210206_x000D_
</t>
  </si>
  <si>
    <t>NekoX-Dev-NekoX-470</t>
  </si>
  <si>
    <t>Crash and jump out app when open</t>
  </si>
  <si>
    <t xml:space="preserve">Hi_x000D_
Jump out and crash on version 7 7 2 on android 4 4 redmi note 4g _x000D_
  cant sent bug report because of jump out from app _x000D_
upload a logcat file_x000D_
 logcat txt (https:  github com NekoX Dev NekoX files 6372160 logcat txt)_x000D_
</t>
  </si>
  <si>
    <t>MuntashirAkon-AppManager-379</t>
  </si>
  <si>
    <t>AM crash when importing rules from Blocker.</t>
  </si>
  <si>
    <t xml:space="preserve">AM crash when selecting a rules file that previously exported from Blocker _x000D_
 AM log txt (https:  github com MuntashirAkon AppManager files 6338743 AM log txt)_x000D_
 logcat txt (https:  github com MuntashirAkon AppManager files 6338744 logcat txt)_x000D_
</t>
  </si>
  <si>
    <t>k9mail-k-9-5261</t>
  </si>
  <si>
    <t>Crash when clicking compose button in message list widget</t>
  </si>
  <si>
    <t xml:space="preserve">  Describe the bug  _x000D_
Clicking the envelope icon in the message list widget crashes the app _x000D_
_x000D_
  To Reproduce  _x000D_
Steps to reproduce the behavior:_x000D_
1  Set up an account_x000D_
2  Drag the message list widget to a home screen_x000D_
3  Click the envelope icon (compose message) in the upper right of the home screen widget_x000D_
4  Observe app crash_x000D_
_x000D_
  Environment (please complete the following information):  _x000D_
   K 9 Mail version: 5 734 SNAPSHOT_x000D_
_x000D_
  Logs  _x000D_
   _x000D_
Caused by: java lang NullPointerException: Parameter specified as non null is null: method kotlin jvm internal Intrinsics checkNotNullParameter  parameter accountUuid_x000D_
   at com fsck k9 Preferences getAccount(Unknown Source:2)_x000D_
   at com fsck k9 activity MessageCompose onCreate(MessageCompose java:284)_x000D_
   </t>
  </si>
  <si>
    <t>Anuken-Mindustry-5128</t>
  </si>
  <si>
    <t>Blocks with transparency (non-full blocks) don't render right in map editor</t>
  </si>
  <si>
    <t xml:space="preserve">  Platform  :  Android iOS Mac Windows Linux _x000D_
Tested on steam version_x000D_
_x000D_
  Build  :  The build number under the title in the main menu  Required   LATEST  IS NOT A VERSION  I NEED THE EXACT BUILD NUMBER OF YOUR GAME  _x000D_
steam build 126 3_x000D_
_x000D_
  Issue  :  Explain your issue in detail  _x000D_
   Blocks    that have transparency that don t fill the entire square area that they take up (e g  shock mine  power node  microprocessor) have their backgrounds shown as black instead of as the block under them as it is in the normal game  (Most noticeable with shock mines) Terrain blocks such as pines and boulders work as expected  _x000D_
_x000D_
  image (https:  user images githubusercontent com 64788399 115282303 fc228900 a141 11eb 9474 5c4e3d1d9a3a png)_x000D_
You can see that the coal  titanium  and boulders have their transparent areas showing the ground underneath  The other blocks have black replacing their transparent areas instead of the ground underneath  like the boulders  _x000D_
_x000D_
_x000D_
_x000D_
_x000D_
_x000D_
  image (https:  user images githubusercontent com 64788399 115282625 51f73100 a142 11eb 981c 018706407cb2 png)_x000D_
Reference image: In the  Edit in game  option the blocks render as expected _x000D_
_x000D_
  Steps to reproduce  :  How you happened across the issue  and what exactly you did to make the bug happen  _x000D_
I found it when making an attack map  _x000D_
1  Enter a map in the editor_x000D_
2  Place a block with transparent areas (use shock mine for most obvious effect)_x000D_
3  Notice that the normally transparent areas of the block are black instead of showing the ground  _x000D_
_x000D_
  Link(s) to mod(s) used  :  The mod repositories or zip files that are related to the issue  if applicable  _x000D_
No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brokentransp zip (https:  github com Anuken Mindustry files 6338077 brokentransp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</si>
  <si>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jMonkeyEngine-jmonkeyengine-1527</t>
  </si>
  <si>
    <t>GLRenderer: avoid NPE reported by Pavl_G</t>
  </si>
  <si>
    <t xml:space="preserve">This attempts to avoid the  NullPointerException  reported by Pavl G at the Forum:_x000D_
   https:  hub jmonkeyengine org t engine v3 4 0 beta testing 44507 9_x000D_
_x000D_
Since this appears to be related to  1408  I d appreciate a review from  riccardobl_x000D_
_x000D_
Stack trace from the reported crash:_x000D_
   text_x000D_
SEVERE: Uncaught exception thrown in Thread jME3 Main 5 main _x000D_
java lang NullPointerException_x000D_
	at com jme3 renderer opengl GLRenderer clearVertexAttribs(GLRenderer java:2855)_x000D_
	at com jme3 renderer opengl GLRenderer renderMeshDefault(GLRenderer java:3188)_x000D_
	at com jme3 renderer opengl GLRenderer renderMesh(GLRenderer java:3219)_x000D_
	at com jme3 material logic DefaultTechniqueDefLogic renderMeshFromGeometry(DefaultTechniqueDefLogic java:72)_x000D_
	at com jme3 material logic SinglePassAndImageBasedLightingLogic render(SinglePassAndImageBasedLightingLogic java:268)_x000D_
	at com jme3 material Technique render(Technique java:167)_x000D_
	at com jme3 material Material render(Material java:1033)_x000D_
	at com jme3 renderer RenderManager renderGeometry(RenderManager java:634)_x000D_
	at com jme3 renderer queue RenderQueue renderGeometryList(RenderQueue java:273)_x000D_
	at com jme3 renderer queue RenderQueue renderQueue(RenderQueue java:318)_x000D_
	at com jme3 renderer RenderManager renderViewPortQueues(RenderManager java:918)_x000D_
	at com jme3 renderer RenderManager flushQueue(RenderManager java:799)_x000D_
	at com jme3 renderer RenderManager renderViewPort(RenderManager java:1128)_x000D_
	at com jme3 renderer RenderManager render(RenderManager java:1180)_x000D_
	at com jme3 app SimpleApplication update(SimpleApplication java:273)_x000D_
	at com jme3 system lwjgl LwjglWindow runLoop(LwjglWindow java:537)_x000D_
	at com jme3 system lwjgl LwjglWindow run(LwjglWindow java:624)_x000D_
	at com jme3 system lwjgl LwjglWindow create(LwjglWindow java:473)_x000D_
	at com jme3 app LegacyApplication start(LegacyApplication java:491)_x000D_
   </t>
  </si>
  <si>
    <t>google-ExoPlayer-8832</t>
  </si>
  <si>
    <t>Hi exoplayer out of memory error</t>
  </si>
  <si>
    <t>Hi  guys  _x000D_
when i watched video a long time   it will cause app crash  and log shows :_x000D_
_x000D_
used in flutter plugin video plugin   version is : 1 0 0_x000D_
_x000D_
_x000D_
I banjia rikiuse(22362): Alloc young concurrent copying GC freed 102(10048B) AllocSpace objects  0(0B) LOS objects  0  free  255MB 256MB  paused 99us total 21 642ms_x000D_
I banjia rikiuse(22362): WaitForGcToComplete blocked Alloc on HeapTrim for 15 110ms_x000D_
I banjia rikiuse(22362): Starting a blocking GC Alloc_x000D_
I banjia rikiuse(22362): Starting a blocking GC Alloc_x000D_
I banjia rikiuse(22362): Starting a blocking GC Alloc_x000D_
I banjia rikiuse(22362): Waiting for a blocking GC Alloc_x000D_
I banjia rikiuse(22362): Clamp target GC heap from 279MB to 256MB_x000D_
I banjia rikiuse(22362): Alloc concurrent copying GC freed 61(13KB) AllocSpace objects  4(80KB) LOS objects  0  free  255MB 256MB  paused 45us total 23 149ms_x000D_
E LoadTask(22362): OutOfMemory error loading stream_x000D_
E LoadTask(22362):   java lang OutOfMemoryError: Failed to allocate a 65552 byte allocation with 24856 free bytes and 24KB until OOM  target footprint 268435456  growth limit 268435456_x000D_
E LoadTask(22362):       at com google android exoplayer2 upstream DefaultAllocator allocate(DefaultAllocator java:106)_x000D_
E LoadTask(22362):       at com google android exoplayer2 source SampleDataQueue preAppend(SampleDataQueue java:394)_x000D_
E LoadTask(22362):       at com google android exoplayer2 source SampleDataQueue sampleData(SampleDataQueue java:183)_x000D_
E LoadTask(22362):       at com google android exoplayer2 source SampleQueue sampleData(SampleQueue java:530)_x000D_
E LoadTask(22362):       at com google android exoplayer2 extractor TrackOutput  CC  default sampleData(TrackOutput java:161)_x000D_
E LoadTask(22362):       at com google android exoplayer2 source SampleQueue sampleData(Unknown Source:0)_x000D_
E LoadTask(22362):       at com google android exoplayer2 extractor mp4 Mp4Extractor readSample(Mp4Extractor java:541)_x000D_
E LoadTask(22362):       at com google android exoplayer2 extractor mp4 Mp4Extractor read(Mp4Extractor java:200)_x000D_
E LoadTask(22362):       at com google android exoplayer2 source BundledExtractorsAdapter read(BundledExtractorsAdapter java:127)_x000D_
E LoadTask(22362):       at com google android exoplayer2 source ProgressiveMediaPeriod ExtractingLoadable load(ProgressiveMediaPeriod java:1046)_x000D_
E LoadTask(22362):       at com google android exoplayer2 upstream Loader LoadTask run(Loader java:415)_x000D_
E LoadTask(22362):       at java util concurrent ThreadPoolExecutor runWorker(ThreadPoolExecutor java:1167)_x000D_
E LoadTask(22362):       at java util concurrent ThreadPoolExecutor Worker run(ThreadPoolExecutor java:641)_x000D_
E LoadTask(22362):       at java lang Thread run(Thread java:923)_x000D_
I banjia rikiuse(22362): WaitForGcToComplete blocked Alloc on HeapTrim for 43 592ms_x000D_
I banjia rikiuse(22362): Starting a blocking GC Alloc_x000D_
_x000D_
_x000D_
thanks a lot for help me _x000D_
_x000D_
relative issue : https:  github com flutter flutter issues 80409</t>
  </si>
  <si>
    <t>PojavLauncherTeam-PojavLauncher-1252</t>
  </si>
  <si>
    <t>Jvm proxy argument isn't working right</t>
  </si>
  <si>
    <t xml:space="preserve">So  pojav allows to add jvm launch arguments  One of those allows setting a proxy  For old minecraft versions (especially indev and infdev) this is crucial to get the game running  This worked till seemingly recently  when both proxies i know of stopped working  rendering indev and infdev unplayable in pojavlauncher_x000D_
_x000D_
    To Reproduce:_x000D_
Indicate steps to reproduce the buggy behavior:_x000D_
_x000D_
1  Start PojavLauncher_x000D_
2  Go into  Jvm Launch Arguments  and add   Dhttp proxyHost mineonline codie gg (or Betacraft pl  but that one never worked for some reason)_x000D_
3  Add a custom indev or infdev version_x000D_
4  Launch it  It will freeze and the log will show a crash _x000D_
_x000D_
    Expected behavior:_x000D_
I expected indev to load normally  Instead  it freezes_x000D_
_x000D_
  Platform:  _x000D_
   Device Model Redmi Note 8 pro_x000D_
   CPU architecture aarch64_x000D_
   Android Version 10_x000D_
   PojavLauncher version 3 3 1 1 rel 20210418_x000D_
 _x000D_
_x000D_
Add any other context about the problem here _x000D_
Betacraft is a commonly used proxy for running old minecraft versions  but it doesn t work with pojav for some reason  Mineonline did work before but now stopped working _x000D_
</t>
  </si>
  <si>
    <t>PojavLauncherTeam-PojavLauncher-1250</t>
  </si>
  <si>
    <t>Minecraft doesn't running with Create Mod v0.3.1c</t>
  </si>
  <si>
    <t>If i want to run the Minecraft 1 16 4 with Create mod v0 3 1c  after load screen minecraft crashes
Crash report:
     Minecraft Crash Report     
   Uh    Did I do that 
Time: 19 04 21 12:04
Description: Rendering overlay
java lang RuntimeException: Could not compile shader  See log for details 
	at com simibubi create foundation render backend gl shader GlShader  init (GlShader java:31)   create:mc1 16 5 v0 3 1c 151   re:classloading 
	at com simibubi create foundation render backend ShaderLoader loadShader(ShaderLoader java:178)   create:mc1 16 5 v0 3 1c 151   re:classloading 
	at com simibubi create foundation render backend ShaderLoader loadProgram(ShaderLoader java:124)   create:mc1 16 5 v0 3 1c 151   re:classloading 
	at com simibubi create foundation render backend ShaderLoader loadProgramFromSpec(ShaderLoader java:103)   create:mc1 16 5 v0 3 1c 151   re:classloading 
	at java util HashMap Values forEach(HashMap java:981)    :1 8 0 internal    
	at com simibubi create foundation render backend ShaderLoader onResourceManagerReload(ShaderLoader java:66)   create:mc1 16 5 v0 3 1c 151   re:classloading 
	at net minecraftforge resource ISelectiveResourceReloadListener func 195410 a(ISelectiveResourceReloadListener java:33)   forge:    re:classloading 
	at net minecraft resources IResourceManagerReloadListener lambda reload 0(IResourceManagerReloadListener java:18)    :    re:classloading re:mixin 
	at java util concurrent CompletableFuture uniRun(CompletableFuture java:719)    :1 8 0 internal    
	at java util concurrent CompletableFuture UniRun tryFire(CompletableFuture java:701)    :1 8 0 internal    
	at java util concurrent CompletableFuture Completion run(CompletableFuture java:456)    :1 8 0 internal    
	at net minecraft resources AsyncReloader func 219557 a(SourceFile:71)    :    re:classloading 
	at net minecraft util concurrent ThreadTaskExecutor func 213166 h(SourceFile:144)    :    re:mixin pl:accesstransformer:B re:computing frames pl:accesstransformer:B re:classloading pl:accesstransformer:B 
	at net minecraft util concurrent RecursiveEventLoop func 213166 h(SourceFile:23)    :    re:mixin re:computing frames re:classloading 
	at net minecraft util concurrent ThreadTaskExecutor func 213168 p(SourceFile:118)    :    re:mixin pl:accesstransformer:B re:computing frames pl:accesstransformer:B re:classloading pl:accesstransformer:B 
	at net minecraft util concurrent ThreadTaskExecutor func 213160 bf(SourceFile:103)    :    re:mixin pl:accesstransformer:B re:computing frames pl:accesstransformer:B re:classloading pl:accesstransformer:B 
	at net minecraft client Minecraft func 195542 b(Minecraft java:947)    :    re:mixin pl:accesstransformer:B pl:runtimedistcleaner:A re:classloading pl:accesstransformer:B pl:mixin:APP:create mixins json:ShaderCloseMixin pl:mixin:A pl:runtimedistcleaner:A 
	at net minecraft client Minecraft func 99999 d(Minecraft java:607)    :    re:mixin pl:accesstransformer:B pl:runtimedistcleaner:A re:classloading pl:accesstransformer:B pl:mixin:APP:create mixins json:ShaderCloseMixin pl:mixin:A pl:runtimedistcleaner:A 
	at net minecraft client main Main main(Main java:184)    :    re:classloading pl:runtimedistcleaner:A 
	at sun reflect NativeMethodAccessorImpl invoke0(Native Method)    :1 8 0 internal    
	at sun reflect NativeMethodAccessorImpl invoke(NativeMethodAccessorImpl java:62)    :1 8 0 internal    
	at sun reflect DelegatingMethodAccessorImpl invoke(DelegatingMethodAccessorImpl java:43)    :1 8 0 internal    
	at java lang reflect Method invoke(Method java:498)    :1 8 0 internal    
	at net minecraftforge fml loading FMLClientLaunchProvider lambda launchService 0(FMLClientLaunchProvider java:51)   forge 1 16 4 35 1 37 jar:35 1    
	at cpw mods modlauncher LaunchServiceHandlerDecorator launch(LaunchServiceHandlerDecorator java:37)  modlauncher 8 0 9 jar:     
	at cpw mods modlauncher LaunchServiceHandler launch(LaunchServiceHandler java:54)  modlauncher 8 0 9 jar:     
	at cpw mods modlauncher LaunchServiceHandler launch(LaunchServiceHandler java:72)  modlauncher 8 0 9 jar:     
	at cpw mods modlauncher Launcher run(Launcher java:82)  modlauncher 8 0 9 jar:     
	at cpw mods modlauncher Launcher main(Launcher java:66)  modlauncher 8 0 9 jar:     
A detailed walkthrough of the error  its code path and all known details is as follows:
   Head   
Thread: Render thread
Stacktrace:
	at com simibubi create foundation render backend gl shader GlShader  init (GlShader java:31)   create:mc1 16 5 v0 3 1c 151   re:classloading 
	at com simibubi create foundation render backend ShaderLoader loadShader(ShaderLoader java:178)   create:mc1 16 5 v0 3 1c 151   re:classloading 
	at com simibubi create foundation render backend ShaderLoader loadProgram(ShaderLoader java:124)   create:mc1 16 5 v0 3 1c 151   re:classloading 
	at com simibubi create foundation render backend ShaderLoader loadProgramFromSpec(ShaderLoader java:103)   create:mc1 16 5 v0 3 1c 151   re:classloading 
	at java util HashMap Values forEach(HashMap java:981)    :1 8 0 internal    
	at com simibubi create foundation render backend ShaderLoader onResourceManagerReload(ShaderLoader java:66)   create:mc1 16 5 v0 3 1c 151   re:classloading 
	at net minecraftforge resource ISelectiveResourceReloadListener func 195410 a(ISelectiveResourceReloadListener java:33)   forge:    re:classloading 
	at net minecraft resources IResourceManagerReloadListener lambda reload 0(IResourceManagerReloadListener java:18)    :    re:classloading re:mixin 
	at java util concurrent CompletableFuture uniRun(CompletableFuture java:719)    :1 8 0 internal    
	at java util concurrent CompletableFuture UniRun tryFire(CompletableFuture java:701)    :1 8 0 internal    
	at java util concurrent CompletableFuture Completion run(CompletableFuture java:456)    :1 8 0 internal    
	at net minecraft resources AsyncReloader func 219557 a(SourceFile:71)    :    re:classloading 
	at net minecraft util concurrent ThreadTaskExecutor func 213166 h(SourceFile:144)    :    re:mixin pl:accesstransformer:B re:computing frames pl:accesstransformer:B re:classloading pl:accesstransformer:B 
	at net minecraft util concurrent RecursiveEventLoop func 213166 h(SourceFile:23)    :    re:mixin re:computing frames re:classloading 
	at net minecraft util concurrent ThreadTaskExecutor func 213168 p(SourceFile:118)    :    re:mixin pl:accesstransformer:B re:computing frames pl:accesstransformer:B re:classloading pl:accesstransformer:B 
   Overlay render details   
Details:
	Overlay name: net minecraft client gui ResourceLoadProgressGui
Stacktrace:
	at net minecraft client renderer GameRenderer func 195458 a(GameRenderer java:483)    :    re:mixin pl:accesstransformer:B pl:runtimedistcleaner:A re:classloading pl:accesstransformer:B pl:mixin:APP:create mixins json:StoreProjectionMatrixMixin pl:mixin:A pl:runtimedistcleaner:A 
	at net minecraft client Minecraft func 195542 b(Minecraft java:976)    :    re:mixin pl:accesstransformer:B pl:runtimedistcleaner:A re:classloading pl:accesstransformer:B pl:mixin:APP:create mixins json:ShaderCloseMixin pl:mixin:A pl:runtimedistcleaner:A 
	at net minecraft client Minecraft func 99999 d(Minecraft java:607)    :    re:mixin pl:accesstransformer:B pl:runtimedistcleaner:A re:classloading pl:accesstransformer:B pl:mixin:APP:create mixins json:ShaderCloseMixin pl:mixin:A pl:runtimedistcleaner:A 
	at net minecraft client main Main main(Main java:184)    :    re:classloading pl:runtimedistcleaner:A 
	at sun reflect NativeMethodAccessorImpl invoke0(Native Method)    :1 8 0 internal    
	at sun reflect NativeMethodAccessorImpl invoke(NativeMethodAccessorImpl java:62)    :1 8 0 internal    
	at sun reflect DelegatingMethodAccessorImpl invoke(DelegatingMethodAccessorImpl java:43)    :1 8 0 internal    
	at java lang reflect Method invoke(Method java:498)    :1 8 0 internal    
	at net minecraftforge fml loading FMLClientLaunchProvider lambda launchService 0(FMLClientLaunchProvider java:51)   forge 1 16 4 35 1 37 jar:35 1    
	at cpw mods modlauncher LaunchServiceHandlerDecorator launch(LaunchServiceHandlerDecorator java:37)  modlauncher 8 0 9 jar:     
	at cpw mods modlauncher LaunchServiceHandler launch(LaunchServiceHandler java:54)  modlauncher 8 0 9 jar:     
	at cpw mods modlauncher LaunchServiceHandler launch(LaunchServiceHandler java:72)  modlauncher 8 0 9 jar:     
	at cpw mods modlauncher Launcher run(Launcher java:82)  modlauncher 8 0 9 jar:     
	at cpw mods modlauncher Launcher main(Launcher java:66)  modlauncher 8 0 9 jar:     
   System Details   
Details:
	Minecraft Version: 1 16 4
	Minecraft Version ID: 1 16 4
	Operating System: Linux (aarch64) version Android 10
	Java Version: 1 8 0 internal  Oracle Corporation
	Java VM Version: OpenJDK 64 Bit Server VM (mixed mode)  Oracle Corporation
	Memory: 3010807592 bytes (2871 MB)   3697803264 bytes (3526 MB) up to 3697803264 bytes (3526 MB)
	CPUs: 8
	JVM Flags: 3 total   Xms3592M  Xmx3592M  Xbootclasspath p: storage emulated 0 games PojavLauncher caciocavallo ResConfHack jar: storage emulated 0 games PojavLauncher caciocavallo cacio androidnw 1 10 SNAPSHOT jar: storage emulated 0 games PojavLauncher caciocavallo cacio shared 1 10 SNAPSHOT jar
	ModLauncher: 8 0 9 86 master 3cf110c
	ModLauncher launch target: fmlclient
	ModLauncher naming: srg
	ModLauncher services: 
		 mixin 0 8 2 jar mixin PLUGINSERVICE 
		 eventbus 4 0 0 jar eventbus PLUGINSERVICE 
		 forge 1 16 4 35 1 37 jar object holder definalize PLUGINSERVICE 
		 forge 1 16 4 35 1 37 jar runtime enum extender PLUGINSERVICE 
		 accesstransformers 3 0 1 jar accesstransformer PLUGINSERVICE 
		 forge 1 16 4 35 1 37 jar capability inject definalize PLUGINSERVICE 
		 forge 1 16 4 35 1 37 jar runtimedistcleaner PLUGINSERVICE 
		 mixin 0 8 2 jar mixin TRANSFORMATIONSERVICE 
		 forge 1 16 4 35 1 37 jar fml TRANSFORMATIONSERVICE 
	FML: 35 1
	Forge: net minecraftforge:35 1 37
	FML Language Providers: 
		javafml 35 1
		minecraft 1
	Mod List: 
		forge 1 16 4 35 1 37 client jar                    Minecraft                      minecraft                      1 16 4               ENQUEUE IM NOSIGNATURE
		forge 1 16 4 35 1 37 universal jar                 Forge                          forge                          35 1 37              ENQUEUE IM 22:af:21:d8:19:82:7f:93:94:fe:2b:ac:b7:e4:41:57:68:39:87:b1:a7:5c:c6:44:f9:25:74:21:14:f5:0d:90
		create mc1 16 5 v0 3 1c jar                        Create                         create                         mc1 16 5 v0 3 1c 151 ENQUEUE IM NOSIGNATURE
	Crash Report UUID: d9798f8d b72a 49fd bc78 085c81663aeb
	Launched Version: 1 16 4
	Backend library: LWJGL version 3 2 3 SNAPSHOT
	Backend API: GL4ES wrapper GL version 2 1 gl4es wrapper 1 1 4  ptitSeb
	GL Caps: Using framebuffer using ARB framebuffer object extension
	Using VBOs: Yes
	Is Modded: Definitely  Client brand changed to  forge 
	Type: Client (map client txt)
	Graphics mode: fancy
	Resource Packs: vanilla
	Current Language: English (US)
	CPU: 9x null</t>
  </si>
  <si>
    <t>Honeydew-List-Honeydew-List-App-17</t>
  </si>
  <si>
    <t>Crash when leaving tab while it is loading from Firestore</t>
  </si>
  <si>
    <t xml:space="preserve">  Describe the bug  _x000D_
The app crashes if the user leaves the fragment while it is loading data from Firestore_x000D_
_x000D_
  To Reproduce  _x000D_
Steps to reproduce the behavior:_x000D_
1  Go to the Tasks tab_x000D_
2  Quickly switch back to Home before it loads_x000D_
3  If no crash  quickly repeat 1 and 2 _x000D_
_x000D_
  Expected behavior  _x000D_
Crashes should be avoided  Canceling loading data from Firestore when leaving the fragment might fix it _x000D_
_x000D_
  Smartphone (please complete the following information):  _x000D_
   Device: Pixel 3a_x000D_
   OS: Android 11_x000D_
</t>
  </si>
  <si>
    <t>TeamNewPipe-NewPipe-6107</t>
  </si>
  <si>
    <t>App crashes when i download in Pop-up mode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</si>
  <si>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a video 
2  Press on  Pop up mode 
3  Press on   the channel and download any video while Pop up is playing  it crashes  
     If you can t cause the bug to show up again reliably (and hence don t have a proper set of steps to give us)  please still try to give as many details as possible on how you think you encountered the bug     
    Actual behaviour
     Tell us what happens with the steps given above     
The app crashes 
    Expected behavior
     Tell us what you expect to happen      Proceed to Download the selected video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Exception
    User Action:   ui error
    Request:   ACRA report
    Content Country:   US
    Content Language:   en GB
    App Language:   en
    Service:   none
    Version:   0 21 0
    OS:   Linux Android 10   29
 details  summary  b Crash log   b   summary  p 
io reactivex rxjava3 exceptions OnErrorNotImplementedException: The exception was not handled due to missing onError handler in the subscribe() method call  Further reading: https:  github com ReactiveX RxJava wiki Error Handling   java lang NullPointerException: The callable returned a null value
	at io reactivex rxjava3 internal functions Functions OnErrorMissingConsumer accept(Functions java:717)
	at io reactivex rxjava3 internal functions Functions OnErrorMissingConsumer accept(Functions java:714)
	at io reactivex rxjava3 internal observers ConsumerSingleObserver onError(ConsumerSingleObserver java:46)
	at io reactivex rxjava3 internal operators single SingleObserveOn ObserveOnSingleObserver run(SingleObserveOn java:79)
	at io reactivex rxjava3 android schedulers HandlerScheduler ScheduledRunnable run(HandlerScheduler java:123)
	at android os Handler handleCallback(Handler java:900)
	at android os Handler dispatchMessage(Handler java:103)
	at android os Looper loop(Looper java:219)
	at android app ActivityThread main(ActivityThread java:8349)
	at java lang reflect Method invoke(Native Method)
	at com android internal os RuntimeInit MethodAndArgsCaller run(RuntimeInit java:513)
	at com android internal os ZygoteInit main(ZygoteInit java:1055)
Caused by: java lang NullPointerException: The callable returned a null value
	at java util Objects requireNonNull(Objects java:228)
	at io reactivex rxjava3 internal operators single SingleFromCallable subscribeActual(SingleFromCallable java:43)
	at io reactivex rxjava3 core Single subscribe(Single java:4813)
	at io reactivex rxjava3 internal operators single SingleSubscribeOn SubscribeOnObserver run(SingleSubscribeOn java:89)
	at io reactivex rxjava3 core Scheduler DisposeTask run(Scheduler java:614)
	at io reactivex rxjava3 internal schedulers ScheduledRunnable run(ScheduledRunnable java:65)
	at io reactivex rxjava3 internal schedulers ScheduledRunnable call(ScheduledRunnable java:56)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java:929)
  details 
 hr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Device model:
</t>
  </si>
  <si>
    <t>Anuken-Mindustry-5124</t>
  </si>
  <si>
    <t>Two bit volume lol</t>
  </si>
  <si>
    <t xml:space="preserve">  Platform  :  Android _x000D_
_x000D_
  Build  :  126 2 _x000D_
_x000D_
  Issue  : My phone is a little bad  All sounds are sizzling  except for the music  How can I say     It looks like the quality has decreased a little  So I deleted and installed the game several times  However  it has not been resolved  aNuKe_x000D_
_x000D_
  Steps to reproduce  :  when the game is overloaded  when there are too many elements on the map  in short  when the using RAM rises _x000D_
_x000D_
  Link(s) to mod(s) used  :  no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</si>
  <si>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uscki-Wilson-Android-221</t>
  </si>
  <si>
    <t>Feature/improve smobo</t>
  </si>
  <si>
    <t>Improvements to smobo:_x000D_
_x000D_
  Photo view and WiCKI tab no longer shown if not present for person  respectively _x000D_
  Hopefully no longer crashes on the timer task</t>
  </si>
  <si>
    <t>UweTrottmann-SeriesGuide-785</t>
  </si>
  <si>
    <t>Crash at app start if google-service.json is missing</t>
  </si>
  <si>
    <t xml:space="preserve">  Describe the issue  _x000D_
Disclaimer: This issue occurs when building the app from code  it s not a  bug  in a released version _x000D_
_x000D_
Without a  google services json  file in the  app  folder the app crashes at startup _x000D_
_x000D_
According to the  contribution guide (https:  github com UweTrottmann SeriesGuide blob dev CONTRIBUTING md) the  Debug builds should just work  _x000D_
_x000D_
A clear and concise description of what the bug is _x000D_
_x000D_
  To Reproduce  _x000D_
Steps to reproduce the behavior:_x000D_
1  Fork SeriesGuide and clone your fork_x000D_
2  Select  dev  branch_x000D_
3  Import the  SeriesGuide  folder as a new project in Android Studio_x000D_
4  Select the  pureDebug  build variant (defined in  app build gradle ) _x000D_
_x000D_
  Expected behavior  _x000D_
The app starts without crashes _x000D_
_x000D_
  Additional context  _x000D_
From the  build gradle  ( app ) and the lines_x000D_
   _x000D_
if (project file( google services json ) exists())  _x000D_
    apply plugin:  com google gms google services _x000D_
 _x000D_
apply plugin:  com google firebase crashlytics _x000D_
   _x000D_
I can see that measures were taken to prevent loading google servies if no  google service json  file is present _x000D_
However  calling  FirebaseCrashlytics getInstance()  without having  google services json  file in the  app  folder leads to the following exception:_x000D_
   _x000D_
2021 04 18 09:32:09 593 5052 5052 com battlelancer seriesguide E AndroidRuntime: FATAL EXCEPTION: main_x000D_
    Process: com battlelancer seriesguide  PID: 5052_x000D_
    java lang RuntimeException: Unable to create application com battlelancer seriesguide SgApp: java lang IllegalStateException: Default FirebaseApp is not initialized in this process com battlelancer seriesguide  Make sure to call FirebaseApp initializeApp(Context) first _x000D_
        at android app ActivityThread handleBindApplication(ActivityThread java:6717)_x000D_
        at android app ActivityThread access 1300(ActivityThread java:237)_x000D_
        at android app ActivityThread H handleMessage(ActivityThread java:1913)_x000D_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IllegalStateException: Default FirebaseApp is not initialized in this process com battlelancer seriesguide  Make sure to call FirebaseApp initializeApp(Context) first _x000D_
        at com google firebase FirebaseApp getInstance(FirebaseApp java:183)_x000D_
        at com google firebase crashlytics FirebaseCrashlytics getInstance(FirebaseCrashlytics java:270)_x000D_
        at com battlelancer seriesguide SgApp initializeLogging(SgApp kt:184)_x000D_
        at com battlelancer seriesguide SgApp onCreate(SgApp kt:144)_x000D_
        at android app Instrumentation callApplicationOnCreate(Instrumentation java:1192)_x000D_
   _x000D_
_x000D_
When commenting out line 184 of SgApp kt_x000D_
   _x000D_
FirebaseCrashlytics getInstance() setCrashlyticsCollectionEnabled(isSendErrors)_x000D_
   _x000D_
the crash does not occur anymore </t>
  </si>
  <si>
    <t>TeamNewPipe-NewPipe-6103</t>
  </si>
  <si>
    <t>Startup loop on opening URLs (prob. device specific)</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</si>
  <si>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Open any YT link with newpipe selected as a default app _x000D_
_x000D_
_x000D_
    Actual behaviour_x000D_
     Tell us what happens with the steps given above     _x000D_
Startup loop_x000D_
_x000D_
_x000D_
    Expected behavior_x000D_
     Tell us what you expect to happen     _x000D_
Video opens_x000D_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https:  user images githubusercontent com 26146502 115139444 37ce2d80 a032 11eb 8b59 546ece2ed422 mp4_x000D_
_x000D_
XiangRongLin NewPipe preuinified 3_x000D_
I m using this modified version most of the times  I downloaded the original app just to test this bug out  I hope it would be as easy as possible to backport the code that solves this  The video shown is from this app  but the exact same happened with  upstream  app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11 API 30_x000D_
   Device model: Samsung Galaxy A70_x000D_
</t>
  </si>
  <si>
    <t>PojavLauncherTeam-PojavLauncher-1239</t>
  </si>
  <si>
    <t>[BUG] libOSMesa_8.so not work osmesa-devs-tests on arm32</t>
  </si>
  <si>
    <t xml:space="preserve">          beggining with launcher debug Info: Launcher version: 3 3 1 1 rel 20210416 Info: LWJGL3 directory:  jsr305 jar  lwjgl glfw classes jar  lwjgl jemalloc jar  lwjgl openal jar  lwjgl opengl jar  lwjgl stb jar  lwjgl tinyfd jar  lwjgl jar  version  Architecture: arm aarch32 Info: Custom Java arguments:   Dorg lwjgl opengl libname libgl4es 115 so  Xms512m  Xmx800m  Dorg lwjgl opengl libname libOSMesa 8 so  Headless version detected  (20210416)           beginning of crash WARNING: linker:   data data net kdt pojavlaunch jre runtime lib aarch32 jli libjli so  has unsupported flags DT FLAGS 1  0x81 WARNING: linker:   data data net kdt pojavlaunch jre runtime lib aarch32 libverify so  has unsupported flags DT FLAGS 1 0x81           beginning of main WARNING: linker:   data data net kdt pojavlaunch jre runtime lib aarch32 libjava so  has unsupported flags DT FLAGS 1 0x81 WARNING: linker:   data data net kdt pojavlaunch jre runtime lib aarch32 libnet so  has unsupported flags DT FLAGS 1 0x81 WARNING: linker:   data data net kdt pojavlaunch jre runtime lib aarch32 libnio so  has unsupported flags DT FLAGS 1 0x81 WARNING: linker:   data data net kdt pojavlaunch jre runtime lib aarch32 libawt so  has unsupported flags DT FLAGS 1 0x81 WARNING: linker:   data data net kdt pojavlaunch jre runtime lib aarch32 libawt headless so  has unsupported flags DT FLAGS 1 0x81 WARNING: linker:   data data net kdt pojavlaunch jre runtime lib aarch32 libfontmanager so  has unsupported flags DT FLAGS 1 0x81 I jrelog (30100): dlopen  data user 0 net kdt pojavlaunch jre runtime lib aarch32 jli libjli so success I jrelog (30100): dlopen  data user 0 net kdt pojavlaunch jre runtime lib aarch32 client libjvm so success I jrelog (30100): dlopen  data user 0 net kdt pojavlaunch jre runtime lib aarch32 libverify so success I jrelog (30100): dlopen  data user 0 net kdt pojavlaunch jre runtime lib aarch32 libjava so success I jrelog (30100): dlopen  data user 0 net kdt pojavlaunch jre runtime lib aarch32 libnet so success I jrelog (30100): dlopen  data user 0 net kdt pojavlaunch jre runtime lib aarch32 libnio so success I jrelog (30100): dlopen  data user 0 net kdt pojavlaunch jre runtime lib aarch32 libawt so success I jrelog (30100): dlopen  data user 0 net kdt pojavlaunch jre runtime lib aarch32 libawt headless so success I jrelog (30100): dlopen  data user 0 net kdt pojavlaunch jre runtime lib aarch32 libfreetype so success I jrelog (30100): dlopen  data user 0 net kdt pojavlaunch jre runtime lib aarch32 libfontmanager so success WARNING: linker:   data data net kdt pojavlaunch jre runtime lib aarch32 libjpeg so  has unsupported flags DT FLAGS 1 0x81 I jrelog (30100): dlopen  data user 0 net kdt pojavlaunch jre runtime lib aarch32 libjpeg so success I jrelog (30100): dlopen  data user 0 net kdt pojavlaunch jre runtime lib aarch32 libnet so success WARNING: linker:   data data net kdt pojavlaunch jre runtime lib aarch32 libjawt so  has unsupported flags DT FLAGS 1 0x81 WARNING: linker:    data data net kdt pojavlaunch jre runtime lib aarch32 libjdwp so   has unsupported flags DT FLAGS 1  I jrelog (30100): dlopen  data user 0 net kdt pojavlaunch jre runtime lib aarch32 libjawt so success I jrelog (30100): dlopen  data user 0 net kdt pojavlaunch jre runtime lib aarch32 libjdwp so success 0x81 I jrelog (30100): dlopen  data user 0 net kdt pojavlaunch jre runtime lib aarch32 jli libjli so success WARNING: linker:    data data net kdt pojavlaunch jre runtime lib aarch32 libzip so  has unsupported flags DT FLAGS 1 0x81 I jrelog (30100): dlopen  data user 0 net kdt pojavlaunch jre runtime lib aarch32 libzip so success WARNING: linker:    data data net kdt pojavlaunch jre runtime lib aarch32 libmanagement so  has unsupported flags DT FLAGS 1 0x81 I jrelog (30100): dlopen  data user 0 net kdt pojavlaunch jre runtime lib aarch32 libmanagement so success WARNING: linker:    data data net kdt pojavlaunch jre runtime lib aarch32 libj2pcsc so  has unsupported flags DT FLAGS 1 0x81 I jrelog (30100): dlopen  data user 0 net kdt pojavlaunch jre runtime lib aarch32 libj2pcsc so success WARNING: linker:    data data net kdt pojavlaunch jre runtime lib aarch32 libjava crw demo so  has unsupported flags DT FLAGS 1  0x81 I jrelog (30100): dlopen  data user 0 net kdt pojavlaunch jre runtime lib aarch32 libjava crw demo so success I jrelog (30100): dlopen  data user 0 net kdt pojavlaunch jre runtime lib aarch32 libsunec so success WARNING: linker:    data data net kdt pojavlaunch jre runtime lib aarch32 libjsound so  has unsupported flags DT FLAGS 1 0x81 I jrelog (30100): dlopen  data user 0 net kdt pojavlaunch jre runtime lib aarch32 libjsound so success I jrelog (30100): dlopen  data user 0 net kdt pojavlaunch jre runtime lib aarch32 libjava so success WARNING: linker:   data data net kdt pojavlaunch jre runtime lib aarch32 libnpt so   has unsupported flags DT FLAGS 1 0x81 WARNING: linker:   data data net kdt pojavlaunch jre runtime lib aarch32 libtinyiconv so  has unsupported flags DT FLAGS 1 0x81 WARNING: linker:   data data net kdt pojavlaunch jre runtime lib aarch32 libunpack so  has unsupported flags DT FLAGS 1 0x81 I jrelog (30100): dlopen  data user 0 net kdt pojavlaunch jre runtime lib aarch32 libnpt so success I jrelog (30100): dlopen  data user 0 net kdt pojavlaunch jre runtime lib aarch32 libunpack so success I jrelog (30100): dlopen  data user 0 net kdt pojavlaunch jre runtime lib aarch32 libnio so success WARNING: linker:    data data net kdt pojavlaunch jre runtime lib aarch32 libjsdt so  has unsupported flags DT FLAGS 1 0x81 I jrelog (30100): dlopen  data user 0 net kdt pojavlaunch jre runtime lib aarch32 libjsdt so success WARNING: linker:    data data net kdt pojavlaunch jre runtime lib aarch32 libj2pkcs11 so   has unsupported flags DT FLAGS 1 0x81 I jrelog (30100): dlopen  data user 0 net kdt pojavlaunch jre runtime lib aarch32 libj2pkcs11 so success WARNING: linker:    data data net kdt pojavlaunch jre runtime lib aarch32 liblcms so   has unsupported flags DT FLAGS 1  0x81 I jrelog (30100): dlopen  data user 0 net kdt pojavlaunch jre runtime lib aarch32 liblcms so success I jrelog (30100): dlopen  data user 0 net kdt pojavlaunch jre runtime lib aarch32 libfontmanager so success I jrelog (30100): dlopen  data user 0 net kdt pojavlaunch jre runtime lib aarch32 libawt headless so success WARNING: linker:   data data net kdt pojavlaunch jre runtime lib aarch32 libmlib image so  has unsupported flags DT FLAGS 1  0x81 I jrelog (30100): dlopen  data user 0 net kdt pojavlaunch jre runtime lib aarch32 libmlib image so success I jrelog (30100): dlopen  data user 0 net kdt pojavlaunch jre runtime lib aarch32 client libjvm so success WARNING: linker:   data data net kdt pojavlaunch jre runtime lib aarch32 libinstrument so  has unsupported flags DT FLAGS 1 0x81 I jrelog (30100): dlopen  data user 0 net kdt pojavlaunch jre runtime lib aarch32 libinstrument so success I jrelog (30100): dlopen  data user 0 net kdt pojavlaunch jre runtime lib aarch32 libfreetype so success WARNING: linker:    data data net kdt pojavlaunch jre runtime lib aarch32 libsctp so  has unsupported flags DT FLAGS 1 0x81 WARNING: linker:   data data net kdt pojavlaunch jre runtime lib aarch32 libdt socket so  has unsupported flags DT FLAGS 1  0x81 I jrelog (30100): dlopen  data user 0 net kdt pojavlaunch jre runtime lib aarch32 libsctp so success I jrelog (30100): dlopen  data user 0 net kdt pojavlaunch jre runtime lib aarch32 libdt socket so success I jrelog (30100): dlopen  data user 0 net kdt pojavlaunch jre runtime lib aarch32 libjsig so success WARNING: linker:    data data net kdt pojavlaunch jre runtime lib aarch32 libj2gss so  has unsupported flags DT FLAGS 1 0x81 I jrelog (30100): dlopen  data user 0 net kdt pojavlaunch jre runtime lib aarch32 libj2gss so success I jrelog (30100): dlopen  data user 0 net kdt pojavlaunch jre runtime lib aarch32 libtinyiconv so success I jrelog (30100): dlopen  data user 0 net kdt pojavlaunch jre runtime lib aarch32 libawt so success I jrelog (30100): dlopen  data user 0 net kdt pojavlaunch jre runtime lib aarch32 libverify so success I jrelog (30100): dlopen  data user 0 net kdt pojavlaunch jre runtime lib aarch32 libawt xawt so success WARNING: linker:    data data net kdt pojavlaunch jre runtime lib aarch32 libjaas unix so   has unsupported flags DT FLAGS 1  0x81 I jrelog (30100): dlopen  data user 0 net kdt pojavlaunch jre runtime lib aarch32 libjaas unix so success WARNING: linker:    data data net kdt pojavlaunch jre runtime lib aarch32 libhprof so   has unsupported flags DT FLAGS 1  0x81 I jrelog (30100): dlopen  data user 0 net kdt pojavlaunch jre runtime lib aarch32 libhprof so success I jrelog (30100): dlopen  data app net kdt pojavlaunch jkqodoefqW66FN3p1F2tEA   lib arm libopenal so success I jrelog (30100): dlopen libOSMesa 8 so success I jrelog (30100): Done processing args I jrelog (30100): Found JLI lib I jrelog (30100): Calling JLI Launch OpenJDK Client VM warning: No monotonic clock was available   timed services may be adversely affected if the time of day clock changes  18:42:05   main INFO : Loading tweak class name optifine OptiFineTweaker  18:42:05   main INFO : Using primary tweak class name optifine OptiFineTweaker  18:42:05   main INFO : Calling tweak class optifine OptiFineTweaker OptiFineTweaker: acceptOptions OptiFineTweaker: injectIntoClassLoader OptiFine ClassTransformer OptiFine ZIP file:  storage emulated 0 games PojavLauncher  minecraft libraries optifine OptiFine 1 13 2 HD U G5 OptiFine 1 13 2 HD U G5 jar OptiFineTweaker: getLaunchArguments OptiFineTweaker: getLaunchTarget  18:42:06   main INFO : Launching wrapped minecraft  net minecraft client main Main   18:42:09   main INFO : Setting user: Henlog  18:42:27   main INFO :  OptiFine      Reflector Forge      18:42:27   main INFO :  OptiFine      Reflector Vanilla      18:42:28   main INFO :  OptiFine  (Reflector) Class not present: net minecraftforge client settings KeyConflictContext  18:42:28   main WARN : Skipping bad option: lastServer:  18:42:28   main INFO :  OptiFine  (Reflector) Class not present: net minecraftforge client settings KeyModifier  18:42:28   main INFO :  OptiFine  (Reflector) Class not present: net minecraftforge eventbus api Event Result  18:42:28   main INFO :  OptiFine  (Reflector) Method not present: blc hasTileEntity  18:42:28   main INFO : LWJGL Version: 3 2 3 SNAPSHOT  18:42:30   main INFO :  STDERR :  LWJGL  Failed to load a library  Possible solutions: 	a) Add the directory that contains the shared library to  Djava library path or  Dorg lwjgl librarypath  	b) Add the JAR that contains the shared library to the classpath   18:42:30   main INFO :  STDERR :  LWJGL  Enable debug mode with  Dorg lwjgl util Debug true for better diagnostics   18:42:30   main INFO :  STDERR :  LWJGL  Enable the SharedLibraryLoader debug mode with  Dorg lwjgl util DebugLoader true for better diagnostics  OSMDroid: using built in libOSMesa 8 so OSMDroid: width 1280 height 720  reserving 3686400 bytes for frame buffer OSMDroid: created frame buffer OSMDroid: generating context    src gallium drivers zink zink screen c:778: VkPhysicalDevice choose pdev(const VkInstance): assertion  pdev count   0  failed</t>
  </si>
  <si>
    <t>SCCapstone-MobileAssistant-174</t>
  </si>
  <si>
    <t>Entering a number to a power crashes the app</t>
  </si>
  <si>
    <t xml:space="preserve">For the most part entering a number to a power crashes the app  Sometimes it won t crash it I do a small power like 1 1 _x000D_
_x000D_
https:  user images githubusercontent com 54754550 115119928 d1390900 9f78 11eb 96f2 73ec9963b4a5 mp4_x000D_
_x000D_
</t>
  </si>
  <si>
    <t>PojavLauncherTeam-PojavLauncher-1236</t>
  </si>
  <si>
    <t>[BUG] Forge 1.8.9 Crashes after joining server</t>
  </si>
  <si>
    <t>_x000D_
    Describe the bug_x000D_
After fresh instalation of each new build (not release) and latest forge 1 8 9 it crashes after few seconds of joining any server  no mods are used_x000D_
 latest log (https:  github com PojavLauncherTeam PojavLauncher files 6329305 latest log)_x000D_
 fml junk earlystartup log (https:  github com PojavLauncherTeam PojavLauncher files 6329306 fml junk earlystartup log)_x000D_
 fml client latest log (https:  github com PojavLauncherTeam PojavLauncher files 6329307 fml client latest log)_x000D_
 latestlog txt (https:  github com PojavLauncherTeam PojavLauncher files 6329308 latestlog txt)_x000D_
_x000D_
_x000D_
_x000D_
    To Reproduce:_x000D_
Indicate steps to reproduce the buggy behavior:_x000D_
_x000D_
1  Start PojavLauncher_x000D_
2  Select Forge 1 8 9_x000D_
3  Join any server_x000D_
_x000D_
    Expected behavior:_x000D_
To be playable_x000D_
_x000D_
    Screenshots or videos:_x000D_
https:  youtu be WmteuGT9KNo_x000D_
_x000D_
  Platform:  _x000D_
   Device Model: POCO F2 PRO_x000D_
   CPU architecture: aarch64_x000D_
   Android Version: 11_x000D_
   PojavLauncher Version: Each new build after release</t>
  </si>
  <si>
    <t>mtotschnig-MyExpenses-809</t>
  </si>
  <si>
    <t>WebUi server should find available port</t>
  </si>
  <si>
    <t>Currently port is hardcoded to 9000 and crashes if it is already in use</t>
  </si>
  <si>
    <t>ankidroid-Anki-Android-8637</t>
  </si>
  <si>
    <t>[Bug] Recording audio crashes background apps</t>
  </si>
  <si>
    <t xml:space="preserve">       Reproduction Steps_x000D_
_x000D_
1  Constantly press record Audio shortcut (shift   v) and play (v)_x000D_
2  After some intervals its possible to have both states active_x000D_
3  It is not possible to active another state anymore_x000D_
_x000D_
_x000D_
       Expected Result_x000D_
Switching between recording and play audio should trigger the desired states without side effects_x000D_
_x000D_
_x000D_
       Actual Result_x000D_
Backgound services crash  (I also had to restart the phone)  Both states can be triggered the same time  After happened it is not possible to change states anymore _x000D_
_x000D_
  Screenshot 20210417 105758 (https:  user images githubusercontent com 48199873 115107645 992bc900 9f6c 11eb 8fc1 f0ddb98219c8 jpg)_x000D_
  Screenshot 20210417 105843 (https:  user images githubusercontent com 48199873 115107664 b1034d00 9f6c 11eb 9d48 cc44c854f94b jpg)_x000D_
_x000D_
I am using a one plus 8 pro with android 11 _x000D_
Normally i never experienced background crashes  but could trigger this behavior 2 times when reproducing this bug_x000D_
_x000D_
I m using the 2 15 alpha 43_x000D_
_x000D_
       Debug info_x000D_
Refer to the  support page (https:  ankidroid org docs help html) if you are unsure where to get the  debug info  _x000D_
_x000D_
       Research_x000D_
 Enter an  x  character to confirm the points below: 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x  (Optional) I have confirmed the issue is not resolved in the latest alpha release ( instructions (https:  docs ankidroid org manual html betaTesting))_x000D_
_x000D_
AnkiDroid Version   2 15alpha43_x000D_
_x000D_
Android Version   11_x000D_
_x000D_
Manufacturer   OnePlus_x000D_
_x000D_
Model   IN2023_x000D_
_x000D_
Hardware   qcom_x000D_
_x000D_
Webview User Agent   Mozilla 5 0 (Linux  Android 11  IN2023 Build RP1A 201005 001  wv) AppleWebKit 537 36 (KHTML  like Gecko) Version 4 0 Chrome 90 0 4430 66 Mobile Safari 537 36_x000D_
_x000D_
ACRA UUID   ed0ca8ca f925 4399 a89a 409ede3efc4c_x000D_
_x000D_
Scheduler   std2_x000D_
_x000D_
Crash Reports Enabled   true_x000D_
_x000D_
DatabaseV2 Enabled   true_x000D_
</t>
  </si>
  <si>
    <t>PojavLauncherTeam-PojavLauncher-1234</t>
  </si>
  <si>
    <t>[BUG] Sodium always crashes</t>
  </si>
  <si>
    <t xml:space="preserve"> it crashes when joining a server opening a world   keeps crashing Everytime _x000D_
_x000D_
    Describe the bug_x000D_
A clear and concise description of what the bug is _x000D_
 latestlog txt (https:  github com PojavLauncherTeam PojavLauncher files 6328488 latestlog txt)_x000D_
_x000D_
_x000D_
    To Reproduce:_x000D_
Indicate steps to reproduce the buggy behavior:_x000D_
_x000D_
1  Start PojavLauncher_x000D_
2 join server or open a world_x000D_
3 crash_x000D_
_x000D_
    Expected behavior:_x000D_
I expected it to not crash   _x000D_
_x000D_
    Screenshots or videos:_x000D_
 Upload here screenshots or videos of the buggy behavior  if possible  _x000D_
_x000D_
  Platform:  _x000D_
   Device Model  Oppo a12 4 64 _x000D_
   CPU architecture  aarch64  _x000D_
   Android Version  9 _x000D_
   PojavLauncher Version  Version 3 3 1 1 rel 20210405  _x000D_
_x000D_
</t>
  </si>
  <si>
    <t>nextcloud-android-8291</t>
  </si>
  <si>
    <t>Crash when opening Nextcloud</t>
  </si>
  <si>
    <t xml:space="preserve">    Steps to reproduce_x000D_
1  Open the Nextcloud app_x000D_
2  Wait _x000D_
3  Stack trace appears_x000D_
_x000D_
    Expected behaviour_x000D_
  app should function normally_x000D_
_x000D_
    Actual behaviour_x000D_
  app crashes with stack trace_x000D_
_x000D_
   _x000D_
             CAUSE OF ERROR             _x000D_
_x000D_
java lang IllegalStateException: Couldn t read row 981  col 0 from CursorWindow   Make sure the Cursor is initialized correctly before accessing data from it _x000D_
	at android database CursorWindow nativeGetLong(Native Method)_x000D_
	at android database CursorWindow getLong(CursorWindow java:542)_x000D_
	at android database AbstractWindowedCursor getLong(AbstractWindowedCursor java:77)_x000D_
	at com owncloud android providers FileContentProvider deleteDirectory(FileContentProvider java:179)_x000D_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java:342)_x000D_
	at android content ContentProviderOperation apply(ContentProviderOperation java:314)_x000D_
	at com owncloud android providers FileContentProvider applyBatch(FileContentProvider java:672)_x000D_
	at android content ContentProvider applyBatch(ContentProvider java:2179)_x000D_
	at android content ContentProvider Transport applyBatch(ContentProvider java:398)_x000D_
	at android content ContentProviderClient applyBatch(ContentProviderClient java:532)_x000D_
	at android content ContentProviderClient applyBatch(ContentProviderClient java:520)_x000D_
	at android content ContentResolver applyBatch(ContentResolver java:1915)_x000D_
	at com owncloud android datamodel FileDataStorageManager saveFolder(FileDataStorageManager java:438)_x000D_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java:919)_x000D_
_x000D_
             APP INFORMATION             _x000D_
ID: com nextcloud client_x000D_
Version: 30150190_x000D_
Build flavor: gplay_x000D_
_x000D_
             DEVICE INFORMATION             _x000D_
Brand: OnePlus_x000D_
Device: OnePlus7Pro_x000D_
Model: GM1917_x000D_
Id: QKQ1 190716 003_x000D_
Product: OnePlus7Pro_x000D_
_x000D_
             FIRMWARE             _x000D_
SDK: 29_x000D_
Release: 10_x000D_
Incremental: 2101212056_x000D_
   </t>
  </si>
  <si>
    <t>PojavLauncherTeam-PojavLauncher-1232</t>
  </si>
  <si>
    <t>[BUG] Game crashing (osmesa-dev-tests)</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</si>
  <si>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The game is crashing with both OpenGL ES 3 and Zink _x000D_
_x000D_
  Add a log file if you want to see your bug fixed    _x000D_
_x000D_
Minecraft 1 16 5 with OpenGL ES 3 :   latestlog txt (https:  github com PojavLauncherTeam PojavLauncher files 6327394 latestlog txt)_x000D_
_x000D_
Minecraft 1 16 5 with Zink:   latestlog txt (https:  github com PojavLauncherTeam PojavLauncher files 6327398 latestlog txt)_x000D_
_x000D_
_x000D_
    To Reproduce:_x000D_
     Start PojavLauncher_x000D_
1  Minecraft 1 16 5 with OpenGL ES 3 (Shows the Mojang studios screen  and crash)_x000D_
2  Minecraft 1 16 5 with Zink (Nothing shows  just crash after some seconds)_x000D_
_x000D_
  Platform:  _x000D_
   Device Model: Motorola Moto G6 play_x000D_
   CPU architecture: aarch32 _x000D_
   Android Version: 9_x000D_
   PojavLauncher Version: Latest Release (osmesa dev tests)    version 3 3 1 1 rel 20210416_x000D_
_x000D_
_x000D_
 details   summary  b Additional context  b   summary _x000D_
 br _x000D_
 pre _x000D_
This happens with 1 12 2 too _x000D_
  pre _x000D_
  details _x000D_
</t>
  </si>
  <si>
    <t>ubergeek42-weechat-android-512</t>
  </si>
  <si>
    <t>Rare crashes in buffer list's `RecyclerView`</t>
  </si>
  <si>
    <t xml:space="preserve">there are a few  very rare  bugs related to buffer list s  RecyclerView  and its item animator  these bugs has been present in the app for a long time  it is possible to reproduce them  but it takes a bit of effort  even then it s not reliable and can take tens of minutes to reproduce  i could not reproduce these bugs in isolated environment _x000D_
_x000D_
at this time my best guess is some obscure race condition in the library code  for the first bug to manifest  apparently you have to trigger a change animation  which is then ended by subsequent animation:_x000D_
_x000D_
   java_x000D_
private boolean endChangeAnimationIfNecessary(ChangeInfo changeInfo  RecyclerView ViewHolder item)  _x000D_
       _x000D_
      else if (changeInfo oldHolder    item)  _x000D_
        changeInfo oldHolder   null _x000D_
       _x000D_
   _x000D_
_x000D_
 DefaultItemAnimator runPendingAnimations()  then schedules animation using the deleted view holder  which leads to a crash:_x000D_
_x000D_
   java_x000D_
if (changesPending)  _x000D_
    if (removalsPending)  _x000D_
        RecyclerView ViewHolder holder   changes get(0) oldHolder _x000D_
        ViewCompat postOnAnimationDelayed(holder itemView  changer  getRemoveDuration()) _x000D_
   _x000D_
_x000D_
the holder in question comes from  mPendingChanges   i gather it shouldn t be there as it must ve been removed by something around the call to  endChangeAnimationIfNecessary   so the  RecyclerView  is in some bad state  i think this underlying issue causes the other crashes as well _x000D_
_x000D_
in order of the frequency of appearance  these are:_x000D_
_x000D_
   _x000D_
java lang NullPointerException: Attempt to read from field  android view View androidx recyclerview widget RecyclerView ViewHolder itemView  on a null object reference_x000D_
    at androidx recyclerview widget DefaultItemAnimator runPendingAnimations(DefaultItemAnimator java:157)_x000D_
    at androidx recyclerview widget RecyclerView 2 run(RecyclerView java:589)_x000D_
    at android view Choreographer CallbackRecord run(Choreographer java:967)_x000D_
    at android view Choreographer doCallbacks(Choreographer java:791)_x000D_
    at android view Choreographer doFrame(Choreographer java:722)_x000D_
    at android view Choreographer FrameDisplayEventReceiver run(Choreographer java:952)_x000D_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_x000D_
java lang IllegalArgumentException: view is not a child  cannot hide android widget RelativeLayout b13601 VFE   C         ID 0 981 539 1066  7f08004e app:id bufferlist item container _x000D_
    at androidx recyclerview widget ChildHelper unhide(ChildHelper java:352)_x000D_
    at androidx recyclerview widget RecyclerView Recycler getScrapOrHiddenOrCachedHolderForPosition(RecyclerView java:6393)_x000D_
    at androidx recyclerview widget RecyclerView Recycler tryGetViewHolderForPositionByDeadline(RecyclerView java:5896)_x000D_
    at androidx recyclerview widget RecyclerView Recycler getViewForPosition(RecyclerView java:5858)_x000D_
    at androidx recyclerview widget RecyclerView Recycler getViewForPosition(RecyclerView java:5854)_x000D_
    at androidx recyclerview widget LinearLayoutManager LayoutState next(LinearLayoutManager java:2230)_x000D_
    at androidx recyclerview widget LinearLayoutManager layoutChunk(LinearLayoutManager java:1557)_x000D_
    at androidx recyclerview widget LinearLayoutManager fill(LinearLayoutManager java:1517)_x000D_
    at androidx recyclerview widget LinearLayoutManager onLayoutChildren(LinearLayoutManager java:612)_x000D_
    at androidx recyclerview widget RecyclerView dispatchLayoutStep2(RecyclerView java:3924)_x000D_
    at androidx recyclerview widget RecyclerView onMeasure(RecyclerView java:3336)_x000D_
    at android view View measure(View java:25086)_x000D_
    at android widget RelativeLayout measureChildHorizontal(RelativeLayout java:735)_x000D_
    at android widget RelativeLayout onMeasure(RelativeLayout java:481)_x000D_
    at android view View measure(View java:25086)_x000D_
    at android view ViewGroup measureChildWithMargins(ViewGroup java:6872)_x000D_
    at android widget LinearLayout measureChildBeforeLayout(LinearLayout java:1552)_x000D_
    at android widget LinearLayout measureHorizontal(LinearLayout java:1204)_x000D_
    at android widget LinearLayout onMeasure(LinearLayout java:723)_x000D_
    at android view View measure(View java:25086)_x000D_
    at android view ViewGroup measureChildWithMargins(ViewGroup java:6872)_x000D_
    at android widget FrameLayout onMeasure(FrameLayout java:194)_x000D_
    at androidx appcompat widget ContentFrameLayout onMeasure(ContentFrameLayout java:146)_x000D_
    at android view View measure(View java:25086)_x000D_
   _x000D_
_x000D_
   _x000D_
java lang RuntimeException: trying to unhide a view that was not hiddenandroid widget TextView 74540c2 VFED  C            0 807 196 859 _x000D_
    at androidx recyclerview widget ChildHelper unhide(ChildHelper java:355)_x000D_
    at androidx recyclerview widget RecyclerView Recycler getScrapOrHiddenOrCachedHolderForPosition(RecyclerView java:6393)_x000D_
    at androidx recyclerview widget RecyclerView Recycler tryGetViewHolderForPositionByDeadline(RecyclerView java:5896)_x000D_
    at androidx recyclerview widget RecyclerView Recycler getViewForPosition(RecyclerView java:5858)_x000D_
    at androidx recyclerview widget RecyclerView Recycler getViewForPosition(RecyclerView java:5854)_x000D_
    at androidx recyclerview widget LinearLayoutManager LayoutState next(LinearLayoutManager java:2230)_x000D_
    at androidx recyclerview widget LinearLayoutManager layoutChunk(LinearLayoutManager java:1557)_x000D_
    at androidx recyclerview widget LinearLayoutManager fill(LinearLayoutManager java:1517)_x000D_
    at androidx recyclerview widget LinearLayoutManager scrollBy(LinearLayoutManager java:1331)_x000D_
    at androidx recyclerview widget LinearLayoutManager scrollVerticallyBy(LinearLayoutManager java:1075)_x000D_
    at androidx recyclerview widget RecyclerView scrollStep(RecyclerView java:1832)_x000D_
    at androidx recyclerview widget RecyclerView ViewFlinger run(RecyclerView java:5067)_x000D_
    at android view Choreographer CallbackRecord run(Choreographer java:967)_x000D_
    at android view Choreographer doCallbacks(Choreographer java:791)_x000D_
    at android view Choreographer doFrame(Choreographer java:722)_x000D_
    at android view Choreographer FrameDisplayEventReceiver run(Choreographer java:952)_x000D_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(ignore the fact that it s a  TextView  above  not  bufferlist item container  )_x000D_
_x000D_
   _x000D_
java lang IndexOutOfBoundsException: Inconsistency detected  Invalid item position 14(offset: 1) state:15 androidx recyclerview widget RecyclerView 9dd3ee8 VFED V          ID 0 0 539 957  7f0800e7 app:id recycler   adapter:com ubergeek42 WeechatAndroid adapters BufferListAdapter c99d850  layout:com ubergeek42 WeechatAndroid views FullScreenDrawerLinearLayoutManager b49aa49  context:com ubergeek42 WeechatAndroid WeechatActivity 89ce4b9_x000D_
    at androidx recyclerview widget RecyclerView Recycler tryGetViewHolderForPositionByDeadline(RecyclerView java:5923)_x000D_
    at androidx recyclerview widget RecyclerView Recycler getViewForPosition(RecyclerView java:5858)_x000D_
    at androidx recyclerview widget RecyclerView Recycler getViewForPosition(RecyclerView java:5854)_x000D_
    at androidx recyclerview widget LinearLayoutManager LayoutState next(LinearLayoutManager java:2230)_x000D_
    at androidx recyclerview widget LinearLayoutManager layoutChunk(LinearLayoutManager java:1557)_x000D_
    at androidx recyclerview widget LinearLayoutManager fill(LinearLayoutManager java:1517)_x000D_
    at androidx recyclerview widget LinearLayoutManager onLayoutChildren(LinearLayoutManager java:612)_x000D_
    at androidx recyclerview widget RecyclerView dispatchLayoutStep1(RecyclerView java:3875)_x000D_
    at androidx recyclerview widget RecyclerView dispatchLayout(RecyclerView java:3639)_x000D_
    at androidx recyclerview widget RecyclerView consumePendingUpdateOperations(RecyclerView java:1888)_x000D_
    at androidx recyclerview widget RecyclerView ViewFlinger run(RecyclerView java:5044)_x000D_
    at android view Choreographer CallbackRecord run(Choreographer java:967)_x000D_
    at android view Choreographer doCallbacks(Choreographer java:791)_x000D_
    at android view Choreographer doFrame(Choreographer java:722)_x000D_
    at android view Choreographer FrameDisplayEventReceiver run(Choreographer java:952)_x000D_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These can be triggered on current search   master branches by simulating rapid buffer list changes by using  this (https:  github com ubergeek42 weechat android wiki Notes to self simulate activity in weechat) and perhaps by having the following in  WeechatActivity onHotlistSelected() :_x000D_
_x000D_
   kt_x000D_
 MainThread  Cat( Menu ) private fun onHotlistSelected()  _x000D_
    val buffer   BufferList buffers shuffled() firstOrNull   it hotCount   0  _x000D_
_x000D_
    if (buffer    null)  _x000D_
        openBuffer(buffer pointer)_x000D_
      else  _x000D_
        Toaster ShortToast show(R string error  etc  no hot buffers)_x000D_
     _x000D_
_x000D_
    val closeDelay   if (Random nextInt(0  2)    0) Random nextLong(0  3000) else 0_x000D_
    if (closeDelay    0L)  _x000D_
        Weechat runOnMainThread( _x000D_
            val pointer   pagerAdapter currentBufferPointer_x000D_
            if (pointer    0L) closeBuffer(pointer)_x000D_
           closeDelay)_x000D_
     _x000D_
    val switchDelay   closeDelay   Random nextLong(0  3000)_x000D_
    Weechat runOnMainThread(  onHotlistSelected()    switchDelay)_x000D_
 _x000D_
   </t>
  </si>
  <si>
    <t>nextcloud-android-8289</t>
  </si>
  <si>
    <t>Android app crashes on folder open</t>
  </si>
  <si>
    <t xml:space="preserve">    Steps to reproduce
1  Open nextcloud
2  Pick a folder
3  It crashes
    Expected behaviour
  shouldn t crash
    Actual behaviour
  it crashes
    Can you reproduce this problem on https:  try nextcloud com 
  Please create a test demo account and see if this still happens there 
  If yes  please open up a bug report
  If not  please verify server setup and ask for help on forum
    Environment data
Android version:
Device model: 
Stock or customized system:
Nextcloud app version:
Nextcloud server version:
Reverse proxy:
    Logs
     Web server error log
Insert your webserver log here
     Nextcloud log (data nextcloud log)
Insert your Nextcloud log here
  NOTE:   Be super sure to remove sensitive data like passwords  note that everybody can look here  You can use the Issue Template application to prefill some of the required information: https:  apps nextcloud com apps issuetemplate
</t>
  </si>
  <si>
    <t>Crazy-Marvin-Morse-65</t>
  </si>
  <si>
    <t>Crash in fdroid release</t>
  </si>
  <si>
    <t>When I installed and opened the app  it keeps on crashing _x000D_
Device: SM P555_x000D_
Achitecture: Armeabi v7a_x000D_
OS: 7 Nougat</t>
  </si>
  <si>
    <t>PojavLauncherTeam-PojavLauncher-1231</t>
  </si>
  <si>
    <t xml:space="preserve">Everytime i tried to play on snapshot it keep crashing some of them are not so pls fix it_x000D_
</t>
  </si>
  <si>
    <t>MuntashirAkon-AppManager-374</t>
  </si>
  <si>
    <t>Action to re-install an uninstalled system app</t>
  </si>
  <si>
    <t xml:space="preserve">  Is your feature request related to a problem  Please describe   _x000D_
When I go to delete some unused apps  it s always possible that when cleaning system apps  I break the system  or an important part of it   _x000D_
An example is MIUI s  com miui home launcher assistant   Removing it causes the MIUI launcher to crash at start  making my phone hard to use  Found out that App Manager uses the  pm uninstall   user  userid   packagename   command for uninstallation  and then that this can be reversed with  pm install  r   user  userid   (pm dump  packagename    awk   path   print  2   )  _x000D_
_x000D_
  Describe the solution you d like  _x000D_
A 1 click op to run the above mentioned command for a given packagename _x000D_
_x000D_
  Describe alternatives you ve considered  _x000D_
An action similar to launch  disable  uninstall  etc on the AppDetailsActivity  but this would first need a modification to be able to open apps that are not installed  so a different solution might be better _x000D_
_x000D_
  Additional context  _x000D_
AM can already list uninstalled apps if I set the filter appropriately (I think not all though  but this might be because of my other problem)  so this might be incorporated into the feature _x000D_
</t>
  </si>
  <si>
    <t>nextcloud-android-8287</t>
  </si>
  <si>
    <t>Out of memory error with automatic image upload (also data loss)</t>
  </si>
  <si>
    <t xml:space="preserve">    Steps to reproduce_x000D_
1  Make 5000 pictures_x000D_
2  Setup automatic syncing of images for all picture folders_x000D_
      only upload with wifi and cable plugged in_x000D_
      sort images by year_x000D_
      All picture folders from the phone are synced into one phone specific target folder_x000D_
      retry on duplicates (with  replace  option   keep existing  produced corrupted images for me)_x000D_
_x000D_
    Expected behaviour_x000D_
  Images are uploaded without limiting me in using my phone_x000D_
  (the initial upload of all my images occurs in a reasonable time)_x000D_
_x000D_
    Actual behaviour_x000D_
  Main memory fully consumed by nextcloud_x000D_
     Phone is very slow to the point I sometimes have to unplug it from power supply (to stop uploading) in order to use it_x000D_
     I get continuous warnings by Android  Nextcloud does not react  which I always accept with  Wait _x000D_
     Sometimes the app crashes due to full main memory consumption_x000D_
     I get a lot  duplicated image  errors  If I resolve them with  keep existing  I sometimes lose data (the existing image is corrupted)_x000D_
  (the initial upload takes ages  The app is installed for two weeks  now but the initial images still aren t uploaded fully  On a very good day 1000 images are uploaded through wifi  But only if I have opened the app  connected to power supply and don t touch my phone  Today is a bad day and not a single image was uploaded after 2h)_x000D_
_x000D_
It feels like Nextcloud is collecting all images for upload at once without caring about the resources  The actual upload then only processes one image at a time  I have (kinda) unlimited network by uploading through wifi but I don t have unlimited main memory so the priority of the scan should be otherway round _x000D_
_x000D_
The data corruption of images could be a result of an incomplete communication with the backend due to the memory issues of the app_x000D_
_x000D_
    Environment data_x000D_
Android version: 7 0_x000D_
_x000D_
Device model: HTC One M9_x000D_
_x000D_
Stock or customized system: Stock_x000D_
_x000D_
Nextcloud app version: 3 15 1_x000D_
_x000D_
Nextcloud server version: 21 0 0 18_x000D_
_x000D_
Reverse proxy: Apache_x000D_
_x000D_
</t>
  </si>
  <si>
    <t>SCCapstone-PokeCompanion-118</t>
  </si>
  <si>
    <t>App crashes when modifying Pokemon attributes</t>
  </si>
  <si>
    <t xml:space="preserve">  Error  : I tried to edit the attributes of a Pokemon I created  but the app crashed as soon as I entered a new value for HP _x000D_
  Environment  : I ran your application on an android tablet with Android OS version 10 _x000D_
  Steps to recreate error  : _x000D_
1  Create a new Pokemon with all attributes filled in _x000D_
2  Attempt to change value for HP (or any attribute) on that Pokemon _x000D_
_x000D_
 img src  https:  user images githubusercontent com 52005500 114974225 00a02680 9e50 11eb 8076 7c068e52d1c6 gif  width  300    </t>
  </si>
  <si>
    <t>nextcloud-android-8284</t>
  </si>
  <si>
    <t>Beta crash (fails to sync)</t>
  </si>
  <si>
    <t xml:space="preserve">The files seem to be stuck spinning (refreshing) forever and then the crashed page pops up randomly (even while in other apps) and by clicking on certain button like the  media  button _x000D_
_x000D_
This only started happening but worked earlier _x000D_
_x000D_
Could this be because I have 2 A records for my external   internal ip addresses  I m doing this because my router doesnt support hairpin NAT _x000D_
_x000D_
    Steps to reproduce_x000D_
1  _x000D_
2  _x000D_
3  _x000D_
_x000D_
    Expected behaviour_x000D_
App is able to sync correctly w out crashing_x000D_
_x000D_
    Actual behaviour_x000D_
App gets stuck refreshing files and eventually crashes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9_x000D_
_x000D_
Device model: SM G950U_x000D_
_x000D_
Stock or customized system:_x000D_
_x000D_
Nextcloud app version: 3 16 0 RC2_x000D_
_x000D_
Nextcloud server version: 21 latest stable_x000D_
_x000D_
Reverse proxy:_x000D_
_x000D_
    Logs_x000D_
     Web server error log_x000D_
   _x000D_
I can get it if you would like _x000D_
   _x000D_
_x000D_
     Nextcloud log (data nextcloud log)_x000D_
   _x000D_
             CAUSE OF ERROR             _x000D_
_x000D_
java lang NullPointerException_x000D_
	at com nextcloud ui ChooseAccountDialogFragment getBinding(ChooseAccountDialogFragment kt:71)_x000D_
	at com nextcloud ui ChooseAccountDialogFragment avatarGenerated(ChooseAccountDialogFragment kt:196)_x000D_
	at com owncloud android datamodel ThumbnailsCacheManager AvatarGenerationTask onPostExecute(ThumbnailsCacheManager java:921)_x000D_
	at com owncloud android datamodel ThumbnailsCacheManager AvatarGenerationTask onPostExecute(ThumbnailsCacheManager java:868)_x000D_
	at android os AsyncTask finish(AsyncTask java:695)_x000D_
	at android os AsyncTask access 600(AsyncTask java:180)_x000D_
	at android os AsyncTask InternalHandler handleMessage(AsyncTask java:712)_x000D_
	at android os Handler dispatchMessage(Handler java:106)_x000D_
	at android os Looper loop(Looper java:214)_x000D_
	at android app ActivityThread main(ActivityThread java:7073)_x000D_
	at java lang reflect Method invoke(Native Method)_x000D_
	at com android internal os RuntimeInit MethodAndArgsCaller run(RuntimeInit java:494)_x000D_
	at com android internal os ZygoteInit main(ZygoteInit java:964)_x000D_
_x000D_
             APP INFORMATION             _x000D_
ID: com nextcloud client_x000D_
Version: 30160052_x000D_
Build flavor: gplay_x000D_
_x000D_
             DEVICE INFORMATION             _x000D_
Brand: samsung_x000D_
Device: dreamqltesq_x000D_
Model: SM G950U_x000D_
Id: PPR1 180610 011_x000D_
Product: dreamqltesq_x000D_
_x000D_
             FIRMWARE             _x000D_
SDK: 28_x000D_
Release: 9_x000D_
Incremental: G950USQU8DUA2_x000D_
_x000D_
   _x000D_
Second crash while filling out the github bug request:_x000D_
   _x000D_
             CAUSE OF ERROR             _x000D_
_x000D_
java lang NullPointerException_x000D_
	at com nextcloud ui ChooseAccountDialogFragment getBinding(ChooseAccountDialogFragment kt:71)_x000D_
	at com nextcloud ui ChooseAccountDialogFragment avatarGenerated(ChooseAccountDialogFragment kt:196)_x000D_
	at com owncloud android datamodel ThumbnailsCacheManager AvatarGenerationTask onPostExecute(ThumbnailsCacheManager java:921)_x000D_
	at com owncloud android datamodel ThumbnailsCacheManager AvatarGenerationTask onPostExecute(ThumbnailsCacheManager java:868)_x000D_
	at android os AsyncTask finish(AsyncTask java:695)_x000D_
	at android os AsyncTask access 600(AsyncTask java:180)_x000D_
	at android os AsyncTask InternalHandler handleMessage(AsyncTask java:712)_x000D_
	at android os Handler dispatchMessage(Handler java:106)_x000D_
	at android os Looper loop(Looper java:214)_x000D_
	at android app ActivityThread main(ActivityThread java:7073)_x000D_
	at java lang reflect Method invoke(Native Method)_x000D_
	at com android internal os RuntimeInit MethodAndArgsCaller run(RuntimeInit java:494)_x000D_
	at com android internal os ZygoteInit main(ZygoteInit java:964)_x000D_
_x000D_
             APP INFORMATION             _x000D_
ID: com nextcloud client_x000D_
Version: 30160052_x000D_
Build flavor: gplay_x000D_
_x000D_
             DEVICE INFORMATION             _x000D_
Brand: samsung_x000D_
Device: dreamqltesq_x000D_
Model: SM G950U_x000D_
Id: PPR1 180610 011_x000D_
Product: dreamqltesq_x000D_
_x000D_
             FIRMWARE             _x000D_
SDK: 28_x000D_
Release: 9_x000D_
Incremental: G950USQU8DUA2_x000D_
   _x000D_
  NOTE:   Be super sure to remove sensitive data like passwords  note that everybody can look here  You can use the Issue Template application to prefill some of the required information: https:  apps nextcloud com apps issuetemplate_x000D_
</t>
  </si>
  <si>
    <t>TeamNewPipe-NewPipe-6089</t>
  </si>
  <si>
    <t>Comments, info, queue buttons appear on full screen portrait mode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</si>
  <si>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I can t reproduce at the moment but happened a few times already so might be able to recreate the issue soon _x000D_
_x000D_
_x000D_
_x000D_
    Actual behaviour_x000D_
     Tell us what happens with the steps given above     _x000D_
Full screen portrait mode shows the comment  info and queue buttons _x000D_
_x000D_
_x000D_
    Expected behavior_x000D_
     Tell us what you expect to happen     _x000D_
Should not appear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IMG 00213123 (https:  user images githubusercontent com 55331939 114886968 8c399900 9df7 11eb 91c7 5b0f75b2c619 jpg)_x000D_
_x000D_
_x000D_
    Logs_x000D_
     If your bug includes a crash (where you re shown the Error Report page with a bunch of info)  tap on  Copy formatted report  at the bottom and paste it here:    _x000D_
_x000D_
     That s right  here     _x000D_
_x000D_
Not any _x000D_
_x000D_
     Please fill this out when you do not provide a log generate by NewPipe    _x000D_
_x000D_
    Device info_x000D_
_x000D_
   Android version Custom ROM version: 10_x000D_
   Device model: OnePlus_x000D_
</t>
  </si>
  <si>
    <t>priteshrnandgaonkar-react-native-call-detection-88</t>
  </si>
  <si>
    <t>App got crashes when it is running in background</t>
  </si>
  <si>
    <t xml:space="preserve">  app crashed when it is in the background  Here is the crash report   _x000D_
_x000D_
   _x000D_
2021 04 15 15:50:53 630 29896 31325 com zoobiapps truecaller E unknown:ReactNative: CatalystInstanceImpl caught native exception_x000D_
    java lang RuntimeException: Could not invoke CallDetectionManagerAndroid startListener_x000D_
        at com facebook react bridge JavaMethodWrapper invoke(JavaMethodWrapper java:383)_x000D_
        at com facebook react bridge JavaModuleWrapper invoke(JavaModuleWrapper java:151)_x000D_
        at com facebook react bridge queue NativeRunnable run(Native Method)_x000D_
        at android os Handler handleCallback(Handler java:873)_x000D_
        at android os Handler dispatchMessage(Handler java:99)_x000D_
        at com facebook react bridge queue MessageQueueThreadHandler dispatchMessage(MessageQueueThreadHandler java:27)_x000D_
        at android os Looper loop(Looper java:193)_x000D_
        at com facebook react bridge queue MessageQueueThreadImpl 4 run(MessageQueueThreadImpl java:226)_x000D_
        at java lang Thread run(Thread java:764)_x000D_
     Caused by: java lang reflect InvocationTargetException_x000D_
        at java lang reflect Method invoke(Native Method)_x000D_
        at com facebook react bridge JavaMethodWrapper invoke(JavaMethodWrapper java:372)_x000D_
        at com facebook react bridge JavaModuleWrapper invoke(JavaModuleWrapper java:151) _x000D_
        at com facebook react bridge queue NativeRunnable run(Native Method) _x000D_
        at android os Handler handleCallback(Handler java:873) _x000D_
        at android os Handler dispatchMessage(Handler java:99) _x000D_
        at com facebook react bridge queue MessageQueueThreadHandler dispatchMessage(MessageQueueThreadHandler java:27) _x000D_
        at android os Looper loop(Looper java:193) _x000D_
        at com facebook react bridge queue MessageQueueThreadImpl 4 run(MessageQueueThreadImpl java:226) _x000D_
        at java lang Thread run(Thread java:764) _x000D_
     Caused by: java lang AssertionError_x000D_
        at com pritesh calldetection CallDetectionManagerModule startListener(CallDetectionManagerModule java:45)_x000D_
        at java lang reflect Method invoke(Native Method) _x000D_
        at com facebook react bridge JavaMethodWrapper invoke(JavaMethodWrapper java:372) _x000D_
        at com facebook react bridge JavaModuleWrapper invoke(JavaModuleWrapper java:151) _x000D_
        at com facebook react bridge queue NativeRunnable run(Native Method) _x000D_
        at android os Handler handleCallback(Handler java:873) _x000D_
        at android os Handler dispatchMessage(Handler java:99) _x000D_
        at com facebook react bridge queue MessageQueueThreadHandler dispatchMessage(MessageQueueThreadHandler java:27) _x000D_
        at android os Looper loop(Looper java:193) _x000D_
        at com facebook react bridge queue MessageQueueThreadImpl 4 run(MessageQueueThreadImpl java:226) _x000D_
        at java lang Thread run(Thread java:764) _x000D_
    _x000D_
    _x000D_
              beginning of crash_x000D_
2021 04 15 15:50:53 635 29896 31325 com zoobiapps truecaller E AndroidRuntime: FATAL EXCEPTION: mqt native modules_x000D_
    Process: com zoobiapps truecaller  PID: 29896_x000D_
    java lang RuntimeException: Could not invoke CallDetectionManagerAndroid startListener_x000D_
        at com facebook react bridge JavaMethodWrapper invoke(JavaMethodWrapper java:383)_x000D_
        at com facebook react bridge JavaModuleWrapper invoke(JavaModuleWrapper java:151)_x000D_
        at com facebook react bridge queue NativeRunnable run(Native Method)_x000D_
        at android os Handler handleCallback(Handler java:873)_x000D_
        at android os Handler dispatchMessage(Handler java:99)_x000D_
        at com facebook react bridge queue MessageQueueThreadHandler dispatchMessage(MessageQueueThreadHandler java:27)_x000D_
        at android os Looper loop(Looper java:193)_x000D_
        at com facebook react bridge queue MessageQueueThreadImpl 4 run(MessageQueueThreadImpl java:226)_x000D_
        at java lang Thread run(Thread java:764)_x000D_
     Caused by: java lang reflect InvocationTargetException_x000D_
        at java lang reflect Method invoke(Native Method)_x000D_
        at com facebook react bridge JavaMethodWrapper invoke(JavaMethodWrapper java:372)_x000D_
        at com facebook react bridge JavaModuleWrapper invoke(JavaModuleWrapper java:151) _x000D_
        at com facebook react bridge queue NativeRunnable run(Native Method) _x000D_
        at android os Handler handleCallback(Handler java:873) _x000D_
        at android os Handler dispatchMessage(Handler java:99) _x000D_
        at com facebook react bridge queue MessageQueueThreadHandler dispatchMessage(MessageQueueThreadHandler java:27) _x000D_
        at android os Looper loop(Looper java:193) _x000D_
        at com facebook react bridge queue MessageQueueThreadImpl 4 run(MessageQueueThreadImpl java:226) _x000D_
        at java lang Thread run(Thread java:764) _x000D_
     Caused by: java lang AssertionError_x000D_
        at com pritesh calldetection CallDetectionManagerModule startListener(CallDetectionManagerModule java:45)_x000D_
        at java lang reflect Method invoke(Native Method) _x000D_
        at com facebook react bridge JavaMethodWrapper invoke(JavaMethodWrapper java:372) _x000D_
        at com facebook react bridge JavaModuleWrapper invoke(JavaModuleWrapper java:151) _x000D_
        at com facebook react bridge queue NativeRunnable run(Native Method) _x000D_
        at android os Handler handleCallback(Handler java:873) _x000D_
        at android os Handler dispatchMessage(Handler java:99) _x000D_
        at com facebook react bridge queue MessageQueueThreadHandler dispatchMessage(MessageQueueThreadHandler java:27) _x000D_
        at android os Looper loop(Looper java:193) _x000D_
        at com facebook react bridge queue MessageQueueThreadImpl 4 run(MessageQueueThreadImpl java:226) _x000D_
        at java lang Thread run(Thread java:764) _x000D_
_x000D_
   </t>
  </si>
  <si>
    <t>TeamNewPipe-NewPipe-6084</t>
  </si>
  <si>
    <t>Choose nearest possible or lower resolution if default resolution is not available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</si>
  <si>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Sometimes  480p is not available and the video ends up getting 1080p resolution _x000D_
This is kinda frustrating as many users like me use cellular data packs  Plus  the video starts to buffer for no good reason  Newpipe has a variety of options for a controlled data usage  Sadlyz the same case is not with _x000D_
_x000D_
_x000D_
    Actual behaviour_x000D_
     Tell us what happens with the steps given above     _x000D_
_x000D_
Best resolution is chosen if default resolution is not available _x000D_
_x000D_
    Expected behavior_x000D_
     Tell us what you expect to happen     _x000D_
_x000D_
Nearest possible or a little lower (for example  360p instead of 480p) should be chosen if default resolution is not available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</si>
  <si>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TeamNewPipe-NewPipe-6080</t>
  </si>
  <si>
    <t>Notification player should have black text on white background if thumbnail is not shown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</si>
  <si>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Notification player lacks contrast between title bar and player background if thumbnail is not shown  It s quite hard to differentiate between title and player _x000D_
_x000D_
    Actual behaviour_x000D_
     Tell us what happens with the steps given above     _x000D_
_x000D_
Notification player seems to have black text on ash background  This makes title and buttons really hard to see _x000D_
_x000D_
    Expected behavior_x000D_
     Tell us what you expect to happen     _x000D_
_x000D_
Notification player should be black and white for better contrast  Personally  I prefer black text with white background  It s quite clean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 04 14 12 20 42 344 org polymorphicshade newpipe (https:  user images githubusercontent com 79245641 114763786 02e97e80 9d85 11eb 8954 6bea2cfc28e5 jpg)_x000D_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</si>
  <si>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ankidroid-Anki-Android-8610</t>
  </si>
  <si>
    <t>[Bug] AnkiDroid doesn't open: FragmentManager has not been attached to a host</t>
  </si>
  <si>
    <t xml:space="preserve">   _x000D_
2021 04 14 18:44:34 774 21612 21612 com ichi2 anki D ApplicationLoaders: Returning zygote cached class loader:  system framework android test base jar_x000D_
2021 04 14 18:44:35 288 21612 21612 com ichi2 anki D NetworkSecurityConfig: Using Network Security Config from resource network security config debugBuild: true_x000D_
2021 04 14 18:44:35 290 21612 21612 com ichi2 anki D NetworkSecurityConfig: Using Network Security Config from resource network security config debugBuild: true_x000D_
2021 04 14 18:44:35 354 21612 21612 com ichi2 anki I ACRA: ACRA is disabled for com ichi2 anki  initializing   _x000D_
2021 04 14 18:44:35 389 21612 21612 com ichi2 anki D AnkiDroid: Startup   Application Start_x000D_
2021 04 14 18:44:35 391 21612 21612 com ichi2 anki I UsageAnalytics: initialize()_x000D_
2021 04 14 18:44:35 392 21612 21612 com ichi2 anki D UsageAnalytics: App tracking id  tid    UA 125800786 1_x000D_
2021 04 14 18:44:35 428 21612 21612 com ichi2 anki I WebViewFactory: Loading com google android webview version 89 0 4389 105 (code 438910533)_x000D_
2021 04 14 18:44:35 456 21612 21612 com ichi2 anki W com ichi2 anki: Accessing hidden method Landroid os Trace   isTagEnabled(J)Z (greylist  reflection  allowed)_x000D_
2021 04 14 18:44:35 456 21612 21612 com ichi2 anki W com ichi2 anki: Accessing hidden method Landroid os Trace   traceBegin(JLjava lang String )V (greylist  reflection  allowed)_x000D_
2021 04 14 18:44:35 456 21612 21612 com ichi2 anki W com ichi2 anki: Accessing hidden method Landroid os Trace   traceEnd(J)V (greylist  reflection  allowed)_x000D_
2021 04 14 18:44:35 456 21612 21612 com ichi2 anki W com ichi2 anki: Accessing hidden method Landroid os Trace   asyncTraceBegin(JLjava lang String I)V (greylist  reflection  allowed)_x000D_
2021 04 14 18:44:35 456 21612 21612 com ichi2 anki W com ichi2 anki: Accessing hidden method Landroid os Trace   asyncTraceEnd(JLjava lang String I)V (greylist  reflection  allowed)_x000D_
2021 04 14 18:44:35 473 21612 21612 com ichi2 anki I cr LibraryLoader: Loaded native library version number  89 0 4389 105 _x000D_
2021 04 14 18:44:35 474 21612 21612 com ichi2 anki I cr CachingUmaRecorder: Flushed 4 samples from 4 histograms _x000D_
2021 04 14 18:44:35 477 21612 21612 com ichi2 anki I TetheringManager: registerTetheringEventCallback:com ichi2 anki_x000D_
2021 04 14 18:44:35 653 21612 21612 com ichi2 anki I GoogleAnalyticsImpl: Not participating in analytics sample (sample percentage vs random: 10 32)_x000D_
2021 04 14 18:44:35 653 21612 21612 com ichi2 anki I UsageAnalytics: setOptIn(): from false to false_x000D_
2021 04 14 18:44:35 653 21612 21612 com ichi2 anki I GoogleAnalyticsImpl: Not participating in analytics sample (sample percentage vs random: 10 92)_x000D_
2021 04 14 18:44:35 654 21612 21612 com ichi2 anki D UsageAnalytics: setOptIn() optIn   sAnalytics config() enabled(): false false_x000D_
2021 04 14 18:44:35 654 21612 21612 com ichi2 anki I UsageAnalytics: setDryRun(): true  warning dryRun is experimental_x000D_
2021 04 14 18:44:35 663 21612 21612 com ichi2 anki I CompatV26: Creating notification channel with id name: General Notifications AnkiDroid_x000D_
2021 04 14 18:44:35 664 21612 21612 com ichi2 anki I CompatV26: Creating notification channel with id name: Synchronization Synchronization_x000D_
2021 04 14 18:44:35 666 21612 21612 com ichi2 anki I CompatV26: Creating notification channel with id name: Global Reminders Cards due_x000D_
2021 04 14 18:44:35 667 21612 21612 com ichi2 anki I CompatV26: Creating notification channel with id name: Deck Reminders Reminders_x000D_
2021 04 14 18:44:35 702 21612 21612 com ichi2 anki I AnkiDroidApp: AnkiDroidApp: Starting Services_x000D_
2021 04 14 18:44:35 706 21612 21612 com ichi2 anki I CollectionHelper: Begin openCollection:  storage emulated 0 AnkiDroidA collection anki2_x000D_
2021 04 14 18:44:35 733 21612 21612 com ichi2 anki D RustSupportSQLiteOpenHelper: createRustSupportSQLiteDatabase_x000D_
2021 04 14 18:44:36 012 21612 21612 com ichi2 anki I Collection: Opening Collection Log_x000D_
2021 04 14 18:44:36 016 21612 21612 com ichi2 anki D Collection:  1618422276  Collection java: init ():  storage emulated 0 AnkiDroidA collection anki2   2 15alpha41_x000D_
2021 04 14 18:44:36 075 21612 21612 com ichi2 anki I NativeMethods: ExecuteCommand: localMinutesWest_x000D_
2021 04 14 18:44:36 084 21612 21612 com ichi2 anki D Collection:  1618422276  SchedV2 java: updateCutoff(): 32   1618455600_x000D_
2021 04 14 18:44:36 085 21612 21612 com ichi2 anki I NativeMethods: ExecuteCommand: localMinutesWest_x000D_
2021 04 14 18:44:36 085 21612 21612 com ichi2 anki I CollectionHelper: End openCollection:  storage emulated 0 AnkiDroidA collection anki2_x000D_
2021 04 14 18:44:36 086 21612 21612 com ichi2 anki I BootService: Executing Boot Service_x000D_
2021 04 14 18:44:36 110 21612 21612 com ichi2 anki D IntentHandler: onCreate()_x000D_
2021 04 14 18:44:36 122 21612 21612 com ichi2 anki D IntentHandler: onCreate() performing default action_x000D_
2021 04 14 18:44:36 123 21612 21612 com ichi2 anki I IntentHandler: Launching DeckPicker_x000D_
2021 04 14 18:44:36 180 21612 21612 com ichi2 anki D AnkiDroidApp: AnkiDroidApp::getLanguageConfig   setting locale to en GB_x000D_
2021 04 14 18:44:36 208 21612 21612 com ichi2 anki D DeckPicker: onCreate()_x000D_
2021 04 14 18:44:36 210 21612 21612 com ichi2 anki I DeckPicker: AnkiDroid is being updated and a collection already exists _x000D_
2021 04 14 18:44:36 217 21612 21612 com ichi2 anki D AndroidRuntime: Shutting down VM_x000D_
    _x000D_
    _x000D_
              beginning of crash_x000D_
2021 04 14 18:44:36 219 21612 21612 com ichi2 anki E AndroidRuntime: FATAL EXCEPTION: main_x000D_
    Process: com ichi2 anki  PID: 21612_x000D_
    java lang RuntimeException: Unable to start activity ComponentInfo com ichi2 anki com ichi2 anki DeckPicker : java lang IllegalStateException: FragmentManager has not been attached to a host _x000D_
        at android app ActivityThread performLaunchActivity(ActivityThread java:3431)_x000D_
        at android app ActivityThread handleLaunchActivity(ActivityThread java:3595)_x000D_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java:7660)_x000D_
        at java lang reflect Method invoke(Native Method)_x000D_
        at com android internal os RuntimeInit MethodAndArgsCaller run(RuntimeInit java:592)_x000D_
        at com android internal os ZygoteInit main(ZygoteInit java:947)_x000D_
     Caused by: java lang IllegalStateException: FragmentManager has not been attached to a host _x000D_
        at androidx fragment app FragmentManager enqueueAction(FragmentManager java:1880)_x000D_
        at androidx fragment app BackStackRecord commitInternal(BackStackRecord java:329)_x000D_
        at androidx fragment app BackStackRecord commit(BackStackRecord java:294)_x000D_
        at androidx fragment app DialogFragment show(DialogFragment java:277)_x000D_
        at com ichi2 anki AnkiActivity showDialogFragment(AnkiActivity java:444)_x000D_
        at com ichi2 anki AnkiActivity showDialogFragment(AnkiActivity java:429)_x000D_
        at com ichi2 anki DeckPicker showStartupScreensAndDialogs(DeckPicker java:1191)_x000D_
        at com ichi2 anki DeckPicker handleStartup(DeckPicker java:541)_x000D_
        at com ichi2 anki DeckPicker onCreate(DeckPicker java:456)_x000D_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java:3404)_x000D_
        at android app ActivityThread handleLaunchActivity(ActivityThread java:3595) _x000D_
        at android app servertransaction LaunchActivityItem execute(LaunchActivityItem java:85) _x000D_
        at android app servertransaction TransactionExecutor executeCallbacks(TransactionExecutor java:135) _x000D_
        at android app servertransaction TransactionExecutor execute(TransactionExecutor java:95) _x000D_
        at android app ActivityThread H handleMessage(ActivityThread java:2066) _x000D_
        at android os Handler dispatchMessage(Handler java:106) _x000D_
        at android os Looper loop(Looper java:223) _x000D_
        at android app ActivityThread main(ActivityThread java:7660) _x000D_
        at java lang reflect Method invoke(Native Method) _x000D_
        at com android internal os RuntimeInit MethodAndArgsCaller run(RuntimeInit java:592) _x000D_
        at com android internal os ZygoteInit main(ZygoteInit java:947) _x000D_
2021 04 14 18:44:36 219 21612 21612 com ichi2 anki D UsageAnalytics: sendAnalyticsException() description fatal: java lang IllegalStateException: FragmentManager has not been attached to a host  true_x000D_
2021 04 14 18:44:36 224 21612 21612 com ichi2 anki I ACRA: ACRA is disabled for com ichi2 anki   forwarding uncaught Exception on to default ExceptionHandler_x000D_
2021 04 14 18:44:36 232 21612 21612 com ichi2 anki I Process: Sending signal  PID: 21612 SIG: 9_x000D_
   </t>
  </si>
  <si>
    <t>square-okhttp-6631</t>
  </si>
  <si>
    <t>[Android] Fatal Exception: kotlin.KotlinNullPointerException in React-native App</t>
  </si>
  <si>
    <t xml:space="preserve">I am working on React native (v0 63 4) Android and iOS app  in which I have receive the crash Fatal Exception: kotlin KotlinNullPointerException  in Firebase Crashlytics (v10 1 0)   but the kotlin is not used anywhere   Android folder having all necessary files like build gradle  MainActivity java   MainApplication java all are using java  This crash was received from production version from app user _x000D_
_x000D_
   Device Info:_x000D_
Crash occurred two times:_x000D_
_x000D_
  Type   Crash 1  Crash 2  _x000D_
          _x000D_
  Model   HUAWEI P20 lite  Samsung Galaxy On7 Prime_x000D_
  RAM free  1 51 GB  866 67 MB_x000D_
  Disk free  23 65 GB  15 75 GB_x000D_
  Android Version  9  8 0 0_x000D_
  Orientation  Portrait  Portrait _x000D_
  Rooted  No  No_x000D_
  Build Type  arm64 v8a  armeabi v7a_x000D_
_x000D_
   Crash Logs:_x000D_
Crash log captured by Firebase Crashlytics _x000D_
  Crash 1   _x000D_
_x000D_
    Fatal Exception: kotlin KotlinNullPointerException_x000D_
       at a b a a f e b c(SourceFile:34)_x000D_
       at a b a a f e b a(SourceFile:14)_x000D_
       at a b a a f e b a(SourceFile:2)_x000D_
       at a b a a f e b b a(SourceFile:7)_x000D_
       at a b a a f e b b a(SourceFile:1)_x000D_
       at a b a a f a a(SourceFile:3)_x000D_
       at a b a a f a a(SourceFile:1)_x000D_
       at a b a a f b c a(SourceFile:2)_x000D_
       at a b a a f d a b c run(SourceFile:1)_x000D_
       at android os Handler handleCallback(Handler java:907)_x000D_
       at android os Handler dispatchMessage(Handler java:105)_x000D_
       at android os Looper loop(Looper java:216)_x000D_
       at android app ActivityThread main(ActivityThread java:7625)_x000D_
       at java lang reflect Method invoke(Method java)_x000D_
       at com android internal os RuntimeInit MethodAndArgsCaller run(RuntimeInit java:524)_x000D_
       at com android internal os ZygoteInit main(ZygoteInit java:987)_x000D_
  Crash 2   _x000D_
_x000D_
    Fatal Exception: kotlin KotlinNullPointerException_x000D_
       at a b a a e i g b a(SourceFile:305)_x000D_
       at a b a a e i g e a onTouch(SourceFile:1)_x000D_
       at android widget PopupWindow PopupDecorView dispatchTouchEvent(PopupWindow java:2683)_x000D_
       at android view View dispatchPointerEvent(View java:12788)_x000D_
       at android view ViewRootImpl ViewPostImeInputStage processPointerEvent(ViewRootImpl java:5675)_x000D_
       at android view ViewRootImpl ViewPostImeInputStage onProcess(ViewRootImpl java:5470)_x000D_
       at android view ViewRootImpl InputStage deliver(ViewRootImpl java:4963)_x000D_
       at android view ViewRootImpl InputStage onDeliverToNext(ViewRootImpl java:5016)_x000D_
       at android view ViewRootImpl InputStage forward(ViewRootImpl java:4982)_x000D_
       at android view ViewRootImpl AsyncInputStage forward(ViewRootImpl java:5119)_x000D_
       at android view ViewRootImpl InputStage apply(ViewRootImpl java:4990)_x000D_
       at android view ViewRootImpl AsyncInputStage apply(ViewRootImpl java:5176)_x000D_
       at android view ViewRootImpl InputStage deliver(ViewRootImpl java:4963)_x000D_
       at android view ViewRootImpl InputStage onDeliverToNext(ViewRootImpl java:5016)_x000D_
       at android view ViewRootImpl InputStage forward(ViewRootImpl java:4982)_x000D_
       at android view ViewRootImpl InputStage apply(ViewRootImpl java:4990)_x000D_
       at android view ViewRootImpl InputStage deliver(ViewRootImpl java:4963)_x000D_
       at android view ViewRootImpl deliverInputEvent(ViewRootImpl java:7742)_x000D_
       at android view ViewRootImpl doProcessInputEvents(ViewRootImpl java:7682)_x000D_
       at android view ViewRootImpl enqueueInputEvent(ViewRootImpl java:7643)_x000D_
       at android view ViewRootImpl WindowInputEventReceiver onInputEvent(ViewRootImpl java:7853)_x000D_
       at android view InputEventReceiver dispatchInputEvent(InputEventReceiver java:197)_x000D_
       at android os MessageQueue nativePollOnce(MessageQueue java)_x000D_
       at android os MessageQueue next(MessageQueue java:325)_x000D_
       at android os Looper loop(Looper java:142)_x000D_
       at android app ActivityThread main(ActivityThread java:6942)_x000D_
       at java lang reflect Method invoke(Method java)_x000D_
       at com android internal os Zygote MethodAndArgsCaller run(Zygote java:327)_x000D_
       at com android internal os ZygoteInit main(ZygoteInit java:1374)_x000D_
_x000D_
   How to reproduce_x000D_
I am keep tracking user action via  Firebase events  and  Clevertap Events    So I follow the same action step by step in Android Simulator (Android 9   8) but I didn t get any kind of crash  So it is hard to reproduce in Android Simulator _x000D_
_x000D_
   My Investigation_x000D_
1  As I came to know that nothing is wrong with my code  It might be happening with any third party library or dependencies  which is directly or indirectly using Kotlin  for this I am sharing my  package json   _x000D_
2  I have also found OkHttp footprints in my crash logs  See screenshots  OkHttp also made some major change from version 3 8 0 regarding Kotlin   So I guess it can crash cause _x000D_
_x000D_
   My Question_x000D_
So please let me how to handle it or which dependencies is making this crash  So I can coordinate with those library accordingly  You can see all dependencies in my   package json  _x000D_
_x000D_
   package json:_x000D_
_x000D_
   sh_x000D_
 dependencies :  _x000D_
	  react native async storage async storage :   1 13 2  _x000D_
	  react native community clipboard :   1 5 1  _x000D_
	  react native community geolocation :   2 0 2  _x000D_
	  react native community masked view :   0 1 10  _x000D_
	  react native community netinfo :   5 9 9  _x000D_
	  react native community toolbar android :   0 1 0 rc 2  _x000D_
	  react native firebase analytics :   10 1 0  _x000D_
	  react native firebase app :   10 1 0  _x000D_
	  react native firebase crashlytics :   10 1 0  _x000D_
	  react native firebase perf :   11 1 2  _x000D_
	  twotalltotems react native otp input :   1 3 11  _x000D_
	 add :   2 0 6  _x000D_
	 axios :   0 21 0  _x000D_
	 clevertap react native :   0 5 0  _x000D_
	 compare versions :   3 6 0  _x000D_
	 jwt decode :   3 1 2  _x000D_
	 passport orcid :   0 0 4  _x000D_
	 react :  16 13 1  _x000D_
	 react content loader :   5 0 2  _x000D_
	 react dom :   16 13 1  _x000D_
	 react native :  0 63 4  _x000D_
	 react native app intro slider :   3 0 0  _x000D_
	 react native appearance :   0 3 2  _x000D_
	 react native charts wrapper :   0 5 7  _x000D_
	 react native circular progress :   1 3 6  _x000D_
	 react native config :   1 4 1  _x000D_
	 react native cookies :   3 3 0  _x000D_
	 react native datepicker :   1 7 2  _x000D_
	 react native device info :   5 5 4  _x000D_
	 react native document picker :   3 3 2  _x000D_
	 react native fbsdk :   3 0 0  _x000D_
	 react native gesture handler :   1 9 0  _x000D_
	 react native highlight words :   1 0 1  _x000D_
	 react native htmlview :   0 15 0  _x000D_
	 react native linkedin :   2 1 1  _x000D_
	 react native modal :   11 5 6  _x000D_
	 react native navigation :   2 13 1  _x000D_
	 react native pdf :  github:wonday react native pdf master  _x000D_
	 react native popover view :   2 0 5  _x000D_
	 react native reanimated :   1 7 0  _x000D_
	 react native safe area context :   0 6 2  _x000D_
	 react native screens :   2 0 0 alpha 29  _x000D_
	 react native sectioned multi select :   0 7 6  _x000D_
	 react native share :   3 2 0  _x000D_
	 react native slider :   0 11 0  _x000D_
	 react native snap carousel :   3 8 4  _x000D_
	 react native splash screen :   3 2 0  _x000D_
	 react native svg :   11 0 1  _x000D_
	 react native swipeable :   0 6 0  _x000D_
	 react native tab view :   2 13 0  _x000D_
	 react native vector icons :   6 6 0  _x000D_
	 react native webview :   11 3 2  _x000D_
	 react navigation :   4 0 10  _x000D_
	 react navigation drawer :   2 3 3  _x000D_
	 react navigation stack :   2 0 16  _x000D_
	 react redux :   7 2 2  _x000D_
	 redux :   4 0 5  _x000D_
	 redux axios middleware :   4 0 1  _x000D_
	 redux logger :   3 0 6  _x000D_
	 redux persist :   6 0 0  _x000D_
	 redux persist filesystem storage :   3 0 0  _x000D_
	 redux promise :   0 6 0  _x000D_
	 redux thunk :   2 3 0  _x000D_
	 rn fetch blob :   0 10 16  _x000D_
	 smartlook react native wrapper :   0 39 0  _x000D_
	 yarn :   1 22 10 _x000D_
  _x000D_
_x000D_
 devDependencies :  _x000D_
	  babel core :   7 12 10  _x000D_
	  babel runtime :   7 12 5 _x000D_
	  react native community eslint config :   2 0 0  _x000D_
	 babel jest :   26 6 3  _x000D_
	 eslint :   7 18 0  _x000D_
	 jest :   26 6 3  _x000D_
	 metro react native babel preset :   0 64 0  _x000D_
	 react test renderer :  16 13 1 _x000D_
  _x000D_
_x000D_
 jest :  _x000D_
	 preset :  react native _x000D_
 _x000D_
   _x000D_
  full (https:  user images githubusercontent com 16758184 114724618 5e9e1280 9d59 11eb 95df d7d0c9eedb8b png)_x000D_
_x000D_
</t>
  </si>
  <si>
    <t>TeamNewPipe-NewPipe-6078</t>
  </si>
  <si>
    <t>Play Queue screen crashes on split-screen resize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</si>
  <si>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another app that supports split screen (e g  Clock) _x000D_
2  Open NewPipe and start a video playlist anything _x000D_
3  Go to the NewPipe play queue  To do this  I tap the NewPipe media playing notification in my notification center _x000D_
4  Enter split screen with the other app  To do this  I enter the app switcher  tap the icon at the top of the NewPipe app  choose  Split screen   then choose the other app _x000D_
5  At this point  NewPipe should be in split screen with the other app  Now adjust resize the border between the two apps  and NewPipe should crash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NewPipe crashes _x000D_
_x000D_
    Expected behavior_x000D_
     Tell us what you expect to happen     _x000D_
NewPipe should adjust to the size of the split screen border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of split screen before I adjust the split screen border and cause the crash  _x000D_
_x000D_
  Screenshot 20210414 095502 (https:  user images githubusercontent com 36807140 114724252 5c13cc80 9d09 11eb 8bd6 ba8d5d2266d6 png)_x000D_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US_x000D_
    Content Language:   en US_x000D_
    App Language:   en US_x000D_
    Service:   none_x000D_
    Version:   0 21 1_x000D_
    OS:   Linux motorola sofia trac sofia:10 QPM30 80 63 6 8 a0f3f:user release keys 10   29_x000D_
 details  summary  b Crash log   b   summary  p _x000D_
_x000D_
   _x000D_
java lang NullPointerException: Attempt to invoke virtual method  com google android exoplayer2 PlaybackParameters org schabi newpipe player Player getPlaybackParameters()  on a null object reference_x000D_
	at org schabi newpipe player PlayQueueActivity onCreateOptionsMenu(PlayQueueActivity java:106)_x000D_
	at android app Activity onCreatePanelMenu(Activity java:4085)_x000D_
	at androidx fragment app FragmentActivity onCreatePanelMenu(FragmentActivity java:324)_x000D_
	at androidx appcompat view WindowCallbackWrapper onCreatePanelMenu(WindowCallbackWrapper java:94)_x000D_
	at androidx appcompat app AppCompatDelegateImpl AppCompatWindowCallback onCreatePanelMenu(AppCompatDelegateImpl java:3070)_x000D_
	at androidx appcompat view WindowCallbackWrapper onCreatePanelMenu(WindowCallbackWrapper java:94)_x000D_
	at androidx appcompat app ToolbarActionBar populateOptionsMenu(ToolbarActionBar java:456)_x000D_
	at androidx appcompat app ToolbarActionBar 1 run(ToolbarActionBar java:57)_x000D_
	at android view Choreographer CallbackRecord run(Choreographer java:966)_x000D_
	at android view Choreographer doCallbacks(Choreographer java:790)_x000D_
	at android view Choreographer doFrame(Choreographer java:721)_x000D_
	at android view Choreographer FrameDisplayEventReceiver run(Choreographer java:951)_x000D_
	at android os Handler handleCallback(Handler java:883)_x000D_
	at android os Handler dispatchMessage(Handler java:100)_x000D_
	at android os Looper loop(Looper java:241)_x000D_
	at android app ActivityThread main(ActivityThread java:7617)_x000D_
	at java lang reflect Method invoke(Native Method)_x000D_
	at com android internal os RuntimeInit MethodAndArgsCaller run(RuntimeInit java:492)_x000D_
	at com android internal os ZygoteInit main(ZygoteInit java:941)_x000D_
_x000D_
   _x000D_
  details _x000D_
 hr _x000D_
_x000D_
_x000D_
_x000D_
     Please fill this out when you do not provide a log generate by NewPipe    _x000D_
_x000D_
    Device info_x000D_
_x000D_
   Android version Custom ROM version: Android 10_x000D_
   Device model: Moto G Power (XT2041DL)_x000D_
</t>
  </si>
  <si>
    <t>TeamNewPipe-NewPipe-6077</t>
  </si>
  <si>
    <t>Endlessly "Recovering from player error" after pausing and resuming stream</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</si>
  <si>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(also was able to reproduce in 0 21 2 RC1)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Start playing a stream  e g  https:  m youtube com watch v DWcJFNfaw9c_x000D_
2  Pause the stream for a while  90 seconds seems to work _x000D_
3  Resume the stream  Wait for minute or so  and playback will attempt to catch up to the stream  at which point the problem occurs  (Or instead of waiting a minute  you may bring up the app switcher and switch back to NewPipe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stream stops playing  and it repeatedly shows  Recovering from player error   To make it stop  I have to close the video and open it again (just closing the play queue and resuming the video is not enough)_x000D_
_x000D_
_x000D_
_x000D_
    Expected behavior_x000D_
     Tell us what you expect to happen     _x000D_
Playback should catch up to the stream  which would result in a brief pause but not stop the stream entirely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20210414 093141 (https:  user images githubusercontent com 36807140 114719222 dbeb6800 9d04 11eb 982c 0c163ec08cc5 png)_x000D_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None  app does not crash _x000D_
_x000D_
_x000D_
_x000D_
     Please fill this out when you do not provide a log generate by NewPipe    _x000D_
_x000D_
    Device info_x000D_
_x000D_
   Android version Custom ROM version: Android 10_x000D_
   Device model: Moto G Power (XT2041DL)_x000D_
</t>
  </si>
  <si>
    <t>Anuken-Mindustry-5107</t>
  </si>
  <si>
    <t>Unloaders can't fill a Titanium conveyor.</t>
  </si>
  <si>
    <t xml:space="preserve">  Platform  :  Windows _x000D_
_x000D_
  Build  :  V6   Release Build 126 1 _x000D_
_x000D_
  Issue  :  I check how much sand it takes for a Phase Weaver  one need 5 sand s  so two need 10 sand s    A titanium conveyor can bring this (10 11)  so I unload it from my core to Phase Weavers  but the titanium conveyor isn t enough for two Phase Weavers  I try this in a sandbox world  one side with a Titanium conveyor bringind sand from a source and the other from a container using an unloader  The first one work perfectly  the second one need more sand  We have the exact same problem on three alloy smelter  they take 9 6 lead s  _x000D_
_x000D_
  Steps to reproduce  :  Just open a sandbox world  paste this shematic and wait 20 second:_x000D_
bXNjaAF4nHVUTU bQBAdf8TrjwRcaAkhoBj1DG0vlXpsTz1WKlXPVrIiaRMb2QkR 6aX kmKlM7bB YEUfw8O7vLzJv3Iuey50tYlSsre5dfNteXxY9qWZcz20g2s 20WdysF3UlMpBssbari7beNFMredms6sbOLqZ1dWvv6kYG5XJZ3120K7tc62mzsm1bXlt5tV6sy2qxWT1vjZp6gz3xr001ddcn7u7bejGT k29tc3T 0n00LpcVNi9eaps72Zetvb5vj7jrS1vNSvyV DXE0kCvHj6Frk3X9 EvQVdNuyyvS4bdVnTZWOX9cRzV7qPe iEgBASeoSIYAixFqD7dC8gJBgJAl3uh568vZo31hafwWPxnTwW6 K3LT5dfiyWtpy9a93BVDcff7WNLba2mGvTha3qzfXc7dE8KvVRhJaIKGAUMooYGXHvWlqkoH2EyICYCEViMeRij4sRFw0XYwkACSElZIQ 2IhkABZ8tO oMiTHkI4YlAB8QkAICT1CRDCEmJCIZxRStJGgcICWikwv1qp3O4SKD7v73W53L77ig9umxScKffSeukkrOJZS9p6y9JRkpew9BTNYNFx0vafsPcURPDJ0qwsZ9ZGR0ozCyMhlRkVkJDFTU m PpwiBlTEgIrouyEfPQ25snZWwHAcsWh 8KixfQ57n0zsaxsOAkJI6BEigiGAe8k7o SdUfLOKHlnlLwzSt4ZJe MkndGyR NEsoBtgBCXHLAmR5AXYgMIwxeIdEzxs kUALjuqPXDmmkQxAfKMAlk6ttXXyD4YufzvC0yIf3RVtWcEhfXmNsAEflm5f9ghNa3hH5OcJ0EBlGMagZou5IIWJkGMXYOaQEhpT kPIfUv5DNyCVsxxz6Mc4E8tIwjja XM FZ6i yGATiXSr6d5J oRCRpR9COKfgTNenLCOZ5ggImCU OYdY5Z5xiMIXJ1jlnnmFIdO6mGunBKek9xHyLDKGak4uzLGak8I5VnL6nSESmaZ9OZTHSQ6r1z f7RSydkeELhF3A7IITkCiqjQOOItIr adauxA   _x000D_
_x000D_
  Link(s) to mod(s) used  :  No mods _x000D_
_x000D_
  Save file  :   Bug Unloader zip (https:  github com Anuken Mindustry files 6311022 Bug Unloader zip) _x000D_
_x000D_
  (Crash) logs  :  The game don t crash on this bug  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</si>
  <si>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Blankj-AndroidUtilCode-1481</t>
  </si>
  <si>
    <t>FileIOUtils#writeFileFromIS 这个方法计算进度时出现了除0的问题</t>
  </si>
  <si>
    <t xml:space="preserve">      Bug_x000D_
_x000D_
       Bug _x000D_
com blankj utilcode util FileIOUtils writeFileFromIS              0          infinity _x000D_
    Retrofit                                           _x000D_
_x000D_
  AndroidUtilCode      com blankj:utilcodex:1 30 5 _x000D_
     Bug         _x000D_
      Android      _x000D_
_x000D_
       _x000D_
_x000D_
_x000D_
   java_x000D_
ResponseBody responseBody   response body() _x000D_
                    long total   responseBody contentLength() _x000D_
                    boolean writtenToDisk  FileIOUtils writeFileFromIS(savePath  responseBody byteStream()  new FileIOUtils OnProgressUpdateListener()  _x000D_
                         Override_x000D_
                        public void onProgressUpdate(double progress)  _x000D_
                            retrofitCallBack onProgress(total  (long) (total progress) progress true) _x000D_
                         _x000D_
                     ) _x000D_
   _x000D_
   _x000D_
   _x000D_
put your code here_x000D_
   _x000D_
_x000D_
       _x000D_
_x000D_
           infinity_x000D_
_x000D_
   _x000D_
put the stack of crash here_x000D_
   _x000D_
_x000D_
     _x000D_
_x000D_
  image (https:  user images githubusercontent com 1248528 114694613 4aecaf00 9d4d 11eb 88af ed6b9b2059bb png)_x000D_
_x000D_
_x000D_
</t>
  </si>
  <si>
    <t>Anuken-Mindustry-5106</t>
  </si>
  <si>
    <t>Unable to cargo containers/units from payload conveyors using Mega on android</t>
  </si>
  <si>
    <t xml:space="preserve">  Platform  :  Android _x000D_
_x000D_
  Build  : 126 2_x000D_
_x000D_
  Issue  : While controling Mega  player is unable to pick up things transported by payload conveyors  However it works with usage of quad  I ve tested cargo with logic  and picking up with usage of processors still works  Only player controlled mega is unable to do the thing _x000D_
_x000D_
  Steps to reproduce  : Control Mega  Put the container unit on payload conveyor (it is possible)  but trying to tap hold to pick up moving container is impossible _x000D_
_x000D_
  Link(s) to mod(s) used  :  None  _x000D_
_x000D_
  Save file  : _x000D_
 mega bug report zip (https:  github com Anuken Mindustry files 6309673 mega bug report zip)_x000D_
I ve been testing it on   Lab   custom map _x000D_
_x000D_
_x000D_
  (Crash) logs  : This bug doesn t crash the game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</si>
  <si>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JohnFai91-com.jason.kslo-15</t>
  </si>
  <si>
    <t>Fix PdfView crashing bug</t>
  </si>
  <si>
    <t xml:space="preserve">Prevents the app from crashing because of progaurd rules </t>
  </si>
  <si>
    <t>TeamNewPipe-NewPipe-6074</t>
  </si>
  <si>
    <t>No search results continue to occur on version 0.21.1</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</si>
  <si>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Open NewPipe
2  Enter anything in the search field
    Actual behaviour
The application crashes  no search results are shown 
    Expected behavior
Search results should be shown 
    Logs
   Exception
    User Action:   searched
    Request:   test
    Content Country:   DE
    Content Language:   de DE
    App Language:   de DE
    Service:   YouTube
    Version:   0 21 1
    OS:   Linux Android 9   28
 details  summary  b Crash log   b   summary  p 
org schabi newpipe extractor exceptions ParsingException: Could not get ytInitialData
	at org schabi newpipe extractor services youtube YoutubeParsingHelper getInitialData(YoutubeParsingHelper java:278)
	at org schabi newpipe extractor services youtube YoutubeParsingHelper extractClientVersionAndKey(YoutubeParsingHelper java:296)
	at org schabi newpipe extractor services youtube YoutubeParsingHelper getKey(YoutubeParsingHelper java:374)
	at org schabi newpipe extractor services youtube extractors YoutubeSearchExtractor getNewNextPageFrom(YoutubeSearchExtractor java:233)
	at org schabi newpipe extractor services youtube extractors YoutubeSearchExtractor getInitialPage(YoutubeSearchExtractor java:127)
	at org schabi newpipe extractor utils ExtractorHelper getItemsPageOrLogError(ExtractorHelper java:19)
	at org schabi newpipe extractor search SearchInfo getInfo(SearchInfo java:60)
	at org schabi newpipe extractor search SearchInfo getInfo(SearchInfo java:30)
	at org schabi newpipe util ExtractorHelper lambda searchFor 0(ExtractorHelper java:80)
	at org schabi newpipe util    Lambda ExtractorHelper qyxpuXgomWa cbONQns pd7zxm0 call(Unknown Source:8)
	at io reactivex rxjava3 internal operators single SingleFromCallable subscribeActual(SingleFromCallable java:43)
	at io reactivex rxjava3 core Single subscribe(Single java:4813)
	at io reactivex rxjava3 internal operators single SingleSubscribeOn SubscribeOnObserver run(SingleSubscribeOn java:89)
	at io reactivex rxjava3 core Scheduler DisposeTask run(Scheduler java:614)
	at io reactivex rxjava3 internal schedulers ScheduledRunnable run(ScheduledRunnable java:65)
	at io reactivex rxjava3 internal schedulers ScheduledRunnable call(ScheduledRunnable java:56)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java:764)
Caused by: org schabi newpipe extractor utils Parser RegexException: failed to find pattern  var s ytInitialData s   s (       )  
	at org schabi newpipe extractor utils Parser matchGroup(Parser java:74)
	at org schabi newpipe extractor utils Parser matchGroup(Parser java:63)
	at org schabi newpipe extractor utils Parser matchGroup1(Parser java:54)
	at org schabi newpipe extractor services youtube YoutubeParsingHelper getInitialData(YoutubeParsingHelper java:274)
	    20 more
  details 
 hr 
     That s right  here     
     Please fill this out when you do not provide a log generate by NewPipe    </t>
  </si>
  <si>
    <t>deltachat-deltachat-android-1869</t>
  </si>
  <si>
    <t>App crashes due to switching profile tabs while items selected</t>
  </si>
  <si>
    <t xml:space="preserve">  Operating System (Linux Mac Windows iOS Android): Android 10_x000D_
  Delta Chat Version: master_x000D_
  Steps to reproduce the problem:_x000D_
    open a group s profile_x000D_
    select some member as if you wish to delete the contact_x000D_
     press the Documents  tab  menu is still active_x000D_
    press the top bar s back row_x000D_
    app crashes_x000D_
    the same can be done in the opposite direction  selecting a document and then switching to the settings group tab  but it doesn t happens if you switch to the Gallery tab    the issue is exactly between Settings and Document tabs   _x000D_
  Logs:_x000D_
_x000D_
   _x000D_
04 13 21:05:49 983  4069  4069 E AndroidRuntime: java lang NullPointerException: Attempt to invoke virtual method  android view Window androidx fragment app FragmentActivity getWindow()  on a null object reference_x000D_
04 13 21:05:49 983  4069  4069 E AndroidRuntime:        at org thoughtcrime securesms ProfileDocumentsFragment ActionModeCallback onDestroyActionMode(ProfileDocumentsFragment java:253)_x000D_
04 13 21:05:49 983  4069  4069 E AndroidRuntime:        at androidx appcompat app AppCompatDelegateImpl ActionModeCallbackWrapperV9 onDestroyActionMode(AppCompatDelegateImpl java:2694)_x000D_
04 13 21:05:49 983  4069  4069 E AndroidRuntime:        at androidx appcompat view StandaloneActionMode finish(StandaloneActionMode java:112)_x000D_
04 13 21:05:49 983  4069  4069 E AndroidRuntime:        at androidx appcompat widget ActionBarContextView 1 onClick(ActionBarContextView java:174)_x000D_
04 13 21:05:49 983  4069  4069 E AndroidRuntime:        at android view View performClick(View java:7870)_x000D_
04 13 21:05:49 983  4069  4069 E AndroidRuntime:        at android view View performClickInternal(View java:7839)_x000D_
04 13 21:05:49 983  4069  4069 E AndroidRuntime:        at android view View access 3600(View java:886)_x000D_
04 13 21:05:49 983  4069  4069 E AndroidRuntime:        at android view View PerformClick run(View java:29363)_x000D_
04 13 21:05:49 983  4069  4069 E AndroidRuntime:        at android os Handler handleCallback(Handler java:883)_x000D_
04 13 21:05:49 983  4069  4069 E AndroidRuntime:        at android os Handler dispatchMessage(Handler java:100)_x000D_
04 13 21:05:49 983  4069  4069 E AndroidRuntime:        at android os Looper loop(Looper java:237)_x000D_
04 13 21:05:49 983  4069  4069 E AndroidRuntime:        at android app ActivityThread main(ActivityThread java:7948)_x000D_
04 13 21:05:49 983  4069  4069 E AndroidRuntime:        at java lang reflect Method invoke(Native Method)_x000D_
04 13 21:05:49 983  4069  4069 E AndroidRuntime:        at com android internal os RuntimeInit MethodAndArgsCaller run(RuntimeInit java:493)_x000D_
04 13 21:05:49 983  4069  4069 E AndroidRuntime:        at com android internal os ZygoteInit main(ZygoteInit java:1075)_x000D_
   </t>
  </si>
  <si>
    <t>XiangRongLin-NewPipe-preuinified-2</t>
  </si>
  <si>
    <t>The app opens and closes for some time after selecting Bandcamp</t>
  </si>
  <si>
    <t xml:space="preserve">First of all  thank you for your support _x000D_
_x000D_
English isn t my first language _x000D_
_x000D_
On 0 21 0  I selected Bandcamp in the service  and the app returned me a crash error with the UI type  I upgraded to 21 1 1 and now this is happening (video) _x000D_
_x000D_
https:  user images githubusercontent com 16386382 114614034 8cb91f00 9c93 11eb 8749 0025ee326f3b mp4_x000D_
_x000D_
Checked on another device  the bug is present _x000D_
_x000D_
Information from adb_x000D_
_x000D_
  E( 5829: 5829) FATAL EXCEPTION: main_x000D_
E( 5829: 5829) Process: org schabi newpipe preunified  PID: 5829_x000D_
E( 5829: 5829) java lang RuntimeException: Unable to start activity ComponentInfo org schabi newpipe preunified org schabi newpipe report ErrorActivity : android os BadParcelableException: Parcelable protocol requires a Parcelable Creator object called CREATOR on class org schabi newpipe report ErrorActivity ErrorInfo_x000D_
E( 5829: 5829) 	at android app ActivityThread performLaunchActivity(ActivityThread java:3782)_x000D_
E( 5829: 5829) 	at android app ActivityThread handleLaunchActivity(ActivityThread java:3961)_x000D_
E( 5829: 5829) 	at android app servertransaction LaunchActivityItem execute(LaunchActivityItem java:91)_x000D_
E( 5829: 5829) 	at android app servertransaction TransactionExecutor executeCallbacks(TransactionExecutor java:149)_x000D_
E( 5829: 5829) 	at android app servertransaction TransactionExecutor execute(TransactionExecutor java:103)_x000D_
E( 5829: 5829) 	at android app ActivityThread H handleMessage(ActivityThread java:2386)_x000D_
E( 5829: 5829) 	at android os Handler dispatchMessage(Handler java:107)_x000D_
E( 5829: 5829) 	at android os Looper loop(Looper java:213)_x000D_
E( 5829: 5829) 	at android app ActivityThread main(ActivityThread java:8178)_x000D_
E( 5829: 5829) 	at java lang reflect Method invoke(Native Method)_x000D_
E( 5829: 5829) 	at com android internal os RuntimeInit MethodAndArgsCaller run(RuntimeInit java:513)_x000D_
E( 5829: 5829) 	at com android internal os ZygoteInit main(ZygoteInit java:1101)_x000D_
E( 5829: 5829) Caused by: android os BadParcelableException: Parcelable protocol requires a Parcelable Creator object called CREATOR on class org schabi newpipe report ErrorActivity ErrorInfo_x000D_
E( 5829: 5829) 	at android os Parcel readParcelableCreator(Parcel java:3046)_x000D_
E( 5829: 5829) 	at android os Parcel readParcelable(Parcel java:2964)_x000D_
E( 5829: 5829) 	at android os Parcel readValue(Parcel java:2866)_x000D_
E( 5829: 5829) 	at android os Parcel readArrayMapInternal(Parcel java:3244)_x000D_
E( 5829: 5829) 	at android os BaseBundle initializeFromParcelLocked(BaseBundle java:292)_x000D_
E( 5829: 5829) 	at android os BaseBundle unparcel(BaseBundle java:236)_x000D_
E( 5829: 5829) 	at android os Bundle getParcelable(Bundle java:951)_x000D_
E( 5829: 5829) 	at android content Intent getParcelableExtra(Intent java:8086)_x000D_
E( 5829: 5829) 	at org schabi newpipe report ErrorActivity onCreate(ErrorActivity java:21)_x000D_
E( 5829: 5829) 	at android app Activity performCreate(Activity java:8086)_x000D_
E( 5829: 5829) 	at android app Activity performCreate(Activity java:8074)_x000D_
E( 5829: 5829) 	at android app Instrumentation callActivityOnCreate(Instrumentation java:1313)_x000D_
E( 5829: 5829) 	at android app ActivityThread performLaunchActivity(ActivityThread java:3755)_x000D_
E( 5829: 5829) 	    11 more_x000D_
_x000D_
</t>
  </si>
  <si>
    <t>apache-cordova-android-1203</t>
  </si>
  <si>
    <t>java checks in check_reqs.js is incompatible with "javac -version" output</t>
  </si>
  <si>
    <t xml:space="preserve">  Bug Report_x000D_
_x000D_
   Problem_x000D_
check reqs js fails to retrieve the correct version java  When checking the version using  javac  version    semver coerce  always returns version  8 0 0  _x000D_
 javac  version  returns the following output:_x000D_
_x000D_
  image (https:  user images githubusercontent com 60993939 114612178 2d99e100 9c78 11eb 8e12 24abb2ecca6f png)_x000D_
_x000D_
 semver coerce  uses the first number found and returns this as a version:_x000D_
_x000D_
  image (https:  user images githubusercontent com 60993939 114612207 368ab280 9c78 11eb 8eb6 50cac5e0b4cc png)_x000D_
_x000D_
With this  the needed check fails:_x000D_
_x000D_
  image (https:  user images githubusercontent com 60993939 114611339 4fdf2f00 9c77 11eb 916a e94c13a9d9f7 png)_x000D_
_x000D_
    What is expected to happen _x000D_
_x000D_
Return the correct version  in this case  1 8 0 282_x000D_
_x000D_
    What does actually happen _x000D_
_x000D_
Always returns 8 (related to UTF8)_x000D_
_x000D_
   Information_x000D_
It seems the problem was introduced with the commit 774de786910abd0c83e5b5e285961fcb07c38474 where this check was refactored_x000D_
_x000D_
    Command or Code_x000D_
 javac  version _x000D_
 cordova build  d _x000D_
_x000D_
   _x000D_
import semver   require( semver ) _x000D_
const version   Picked up JAVA TOOL OPTIONS:  Dfile encoding UTF8 njavac 1 8 0 282 _x000D_
console log(semver coerce(version)) _x000D_
   _x000D_
_x000D_
    Environment  Platform  Device_x000D_
OS: Ubuntu 18 04 1_x000D_
_x000D_
    Version information_x000D_
Cordova: 10 0 0_x000D_
Plugin list:_x000D_
   _x000D_
cordova hot code push plugin 1 5 3  Hot Code Push Plugin _x000D_
cordova plugin appcenter analytics 0 5 1  App Center Analytics for Cordova _x000D_
cordova plugin appcenter crashes 0 5 1  App Center Crashes for Cordova _x000D_
cordova plugin appcenter shared 0 5 1  App Center shared code for Cordova _x000D_
cordova plugin barcodescanner 0 7 4  BarcodeScanner _x000D_
cordova plugin camera 5 0 1  Camera _x000D_
cordova plugin compat 1 2 0  Compat _x000D_
cordova plugin device 1 1 2  Device _x000D_
cordova plugin file 6 0 2  File _x000D_
cordova plugin geolocation 4 0 2  Geolocation _x000D_
cordova plugin inappbrowser 4 0 0  InAppBrowser _x000D_
cordova plugin media capture 3 0 3  Capture _x000D_
cordova plugin media 5 0 3  Media _x000D_
cordova plugin openfilenative 1 0 3  Open File Native _x000D_
cordova plugin statusbar 2 4 3  StatusBar _x000D_
cordova plugin whitelist 1 3 5 dev  Whitelist _x000D_
cordova plugin wkwebviewxhrfix 1 0 0  Cordova WKWebView File XHR Fix _x000D_
   _x000D_
 cordova platform ls  output:_x000D_
   _x000D_
Installed platforms:_x000D_
  android 9 1 0_x000D_
Available platforms:_x000D_
  browser  6 0 0_x000D_
  electron  1 0 0_x000D_
Picked up JAVA TOOL OPTIONS:  Dfile encoding UTF8_x000D_
javac 1 8 0 282_x000D_
SemVer  _x000D_
  options:    _x000D_
  loose: false _x000D_
  includePrerelease: false _x000D_
  raw:  8 0 0  _x000D_
  major: 8 _x000D_
  minor: 0 _x000D_
  patch: 0 _x000D_
  prerelease:    _x000D_
  build:    _x000D_
  version:  8 0 0 _x000D_
 _x000D_
   _x000D_
_x000D_
OS: Ubuntu 18 04 1_x000D_
_x000D_
   Checklist_x000D_
     Please check the boxes by putting an x in the     like so:  x     _x000D_
_x000D_
   X  I searched for existing GitHub issues_x000D_
      I updated all Cordova tooling to most recent version_x000D_
   X  I included all the necessary information above</t>
  </si>
  <si>
    <t>inaturalist-react-native-inat-camera-53</t>
  </si>
  <si>
    <t>java.lang.OutOfMemoryError: inatcamera.classifier.Taxonomy.aggregateScores</t>
  </si>
  <si>
    <t xml:space="preserve">   _x000D_
java lang OutOfMemoryError: _x000D_
  at java util HashMap resize (HashMap java:703)_x000D_
  at java util HashMap putVal (HashMap java:662)_x000D_
  at java util HashMap putMapEntries (HashMap java:514)_x000D_
  at java util HashMap putAll (HashMap java:784)_x000D_
  at org inaturalist inatcamera classifier Taxonomy aggregateScores (Taxonomy java:130)_x000D_
  at org inaturalist inatcamera classifier Taxonomy aggregateScores (Taxonomy java:129)_x000D_
  at org inaturalist inatcamera classifier Taxonomy aggregateScores (Taxonomy java:118)_x000D_
  at org inaturalist inatcamera classifier Taxonomy predict (Taxonomy java:109)_x000D_
  at org inaturalist inatcamera classifier ImageClassifier classifyFrame (ImageClassifier java:114)_x000D_
  at org inaturalist inatcamera nativecamera RNCameraView classifyFrame (RNCameraView java:478)_x000D_
  at org inaturalist inatcamera nativecamera RNCameraView access 1200 (RNCameraView java:46)_x000D_
  at org inaturalist inatcamera nativecamera RNCameraView 4 run (RNCameraView java:453)_x000D_
  at android os Handler handleCallback (Handler java:938)_x000D_
  at android os Handler dispatchMessage (Handler java:99)_x000D_
  at android os Looper loop (Looper java:246)_x000D_
  at android os HandlerThread run (HandlerThread java:67)_x000D_
   _x000D_
_x000D_
Seen on Samsung Galaxy S10e  Android 11  Not sure what the best solution is here  but I guess we could at least display an error instead of letting the app crash if there s not enough memory to classify images  </t>
  </si>
  <si>
    <t>inaturalist-react-native-inat-camera-50</t>
  </si>
  <si>
    <t>signal 7 (SIGBUS), code 2 (BUS_ADRERR): libtensorflowlite_jni.so</t>
  </si>
  <si>
    <t xml:space="preserve">   _x000D_
                                                               _x000D_
pid: 0  tid: 0     org inaturalist seek    _x000D_
_x000D_
backtrace:_x000D_
   00  pc 00000000001cd84c   data app org inaturalist seek RgpsNEpUX7BH3TG1P83xqQ   split config arm64 v8a apk lib arm64 v8a libtensorflowlite jni so (offset 0x1f48000)_x000D_
   00  pc 00000000000830b4   data app org inaturalist seek RgpsNEpUX7BH3TG1P83xqQ   split config arm64 v8a apk lib arm64 v8a libtensorflowlite jni so (offset 0x1f48000)_x000D_
   00  pc 00000000000833dc   data app org inaturalist seek RgpsNEpUX7BH3TG1P83xqQ   split config arm64 v8a apk lib arm64 v8a libtensorflowlite jni so (offset 0x1f48000)_x000D_
   00  pc 00000000001cf27c   data app org inaturalist seek RgpsNEpUX7BH3TG1P83xqQ   split config arm64 v8a apk lib arm64 v8a libtensorflowlite jni so (offset 0x1f48000)_x000D_
   00  pc 00000000001cef98   data app org inaturalist seek RgpsNEpUX7BH3TG1P83xqQ   split config arm64 v8a apk lib arm64 v8a libtensorflowlite jni so (offset 0x1f48000)_x000D_
   00  pc 00000000001c75ec   data app org inaturalist seek RgpsNEpUX7BH3TG1P83xqQ   split config arm64 v8a apk lib arm64 v8a libtensorflowlite jni so (offset 0x1f48000)_x000D_
   00  pc 00000000000828b0   data app org inaturalist seek RgpsNEpUX7BH3TG1P83xqQ   split config arm64 v8a apk lib arm64 v8a libtensorflowlite jni so (offset 0x1f48000)_x000D_
   00  pc 00000000000822dc   data app org inaturalist seek RgpsNEpUX7BH3TG1P83xqQ   split config arm64 v8a apk lib arm64 v8a libtensorflowlite jni so (offset 0x1f48000)_x000D_
   00  pc 00000000000b2ba4   data app org inaturalist seek RgpsNEpUX7BH3TG1P83xqQ   split config arm64 v8a apk lib arm64 v8a libtensorflowlite jni so (offset 0x1f48000)_x000D_
   00  pc 00000000000b8470   data app org inaturalist seek RgpsNEpUX7BH3TG1P83xqQ   split config arm64 v8a apk lib arm64 v8a libtensorflowlite jni so (offset 0x1f48000)_x000D_
   00  pc 00000000000b70a0   data app org inaturalist seek RgpsNEpUX7BH3TG1P83xqQ   split config arm64 v8a apk lib arm64 v8a libtensorflowlite jni so (offset 0x1f48000)_x000D_
   00  pc 00000000000b13a8   data app org inaturalist seek RgpsNEpUX7BH3TG1P83xqQ   split config arm64 v8a apk lib arm64 v8a libtensorflowlite jni so (offset 0x1f48000)_x000D_
   00  pc 00000000001dd640   data app org inaturalist seek RgpsNEpUX7BH3TG1P83xqQ   split config arm64 v8a apk lib arm64 v8a libtensorflowlite jni so (offset 0x1f48000)_x000D_
   00  pc 00000000001e0414   data app org inaturalist seek RgpsNEpUX7BH3TG1P83xqQ   split config arm64 v8a apk lib arm64 v8a libtensorflowlite jni so (offset 0x1f48000)_x000D_
   00  pc 000000000004af50   data app org inaturalist seek RgpsNEpUX7BH3TG1P83xqQ   split config arm64 v8a apk lib arm64 v8a libtensorflowlite jni so (offset 0x1f48000) (Java org tensorflow lite NativeInterpreterWrapper run 32)_x000D_
   00  pc 0000000000030170   data app org inaturalist seek RgpsNEpUX7BH3TG1P83xqQ   oat arm64 base odex (offset 0x2e000) (com facebook yoga YogaNative jni YGNodeCopyStyleJNI  DEDUPED  160)_x000D_
   00  pc 000000000055844c   system lib64 libart so (art quick invoke static stub 604)_x000D_
   00  pc 00000000000cfce8   system lib64 libart so (art::ArtMethod::Invoke(art::Thread   unsigned int   unsigned int  art::JValue   char const ) 232)_x000D_
   00  pc 0000000000280438   system lib64 libart so (art::interpreter::ArtInterpreterToCompiledCodeBridge(art::Thread   art::ArtMethod   art::ShadowFrame   unsigned short  art::JValue ) 344)_x000D_
   00  pc 000000000027a440   system lib64 libart so (bool art::interpreter::DoCall false  false (art::ArtMethod   art::Thread   art::ShadowFrame   art::Instruction const   unsigned short  art::JValue ) 968)_x000D_
   00  pc 00000000005285f4   system lib64 libart so (MterpInvokeStatic 204)_x000D_
   00  pc 000000000054a914   system lib64 libart so (ExecuteMterpImpl 14612)_x000D_
   00  pc 00000000008f46a6   data app org inaturalist seek RgpsNEpUX7BH3TG1P83xqQ   oat arm64 base vdex (org tensorflow lite NativeInterpreterWrapper run 158)_x000D_
   00  pc 0000000000254144   system lib64 libart so (art::interpreter::Execute(art::Thread   art::CodeItemDataAccessor const   art::ShadowFrame   art::JValue  bool) ( llvm 3404100416) 488)_x000D_
   00  pc 0000000000259c38   system lib64 libart so (art::interpreter::ArtInterpreterToInterpreterBridge(art::Thread   art::CodeItemDataAccessor const   art::ShadowFrame   art::JValue ) 216)_x000D_
   00  pc 000000000027a424   system lib64 libart so (bool art::interpreter::DoCall false  false (art::ArtMethod   art::Thread   art::ShadowFrame   art::Instruction const   unsigned short  art::JValue ) 940)_x000D_
   00  pc 000000000052a134   system lib64 libart so (MterpInvokeVirtualQuick 584)_x000D_
   00  pc 000000000054e514   system lib64 libart so (ExecuteMterpImpl 29972)_x000D_
   00  pc 00000000008f3c7e   data app org inaturalist seek RgpsNEpUX7BH3TG1P83xqQ   oat arm64 base vdex (org tensorflow lite Interpreter runForMultipleInputsOutputs 10)_x000D_
   00  pc 0000000000254144   system lib64 libart so (art::interpreter::Execute(art::Thread   art::CodeItemDataAccessor const   art::ShadowFrame   art::JValue  bool) ( llvm 3404100416) 488)_x000D_
   00  pc 0000000000259c38   system lib64 libart so (art::interpreter::ArtInterpreterToInterpreterBridge(art::Thread   art::CodeItemDataAccessor const   art::ShadowFrame   art::JValue ) 216)_x000D_
   00  pc 000000000027a424   system lib64 libart so (bool art::interpreter::DoCall false  false (art::ArtMethod   art::Thread   art::ShadowFrame   art::Instruction const   unsigned short  art::JValue ) 940)_x000D_
   00  pc 000000000052a134   system lib64 libart so (MterpInvokeVirtualQuick 584)_x000D_
   00  pc 000000000054e514   system lib64 libart so (ExecuteMterpImpl 29972)_x000D_
   00  pc 00000000008e5cda   data app org inaturalist seek RgpsNEpUX7BH3TG1P83xqQ   oat arm64 base vdex (org inaturalist inatcamera classifier ImageClassifier classifyFrame 194)_x000D_
   00  pc 0000000000254144   system lib64 libart so (art::interpreter::Execute(art::Thread   art::CodeItemDataAccessor const   art::ShadowFrame   art::JValue  bool) ( llvm 3404100416) 488)_x000D_
   00  pc 0000000000259c38   system lib64 libart so (art::interpreter::ArtInterpreterToInterpreterBridge(art::Thread   art::CodeItemDataAccessor const   art::ShadowFrame   art::JValue ) 216)_x000D_
   00  pc 000000000027a424   system lib64 libart so (bool art::interpreter::DoCall false  false (art::ArtMethod   art::Thread   art::ShadowFrame   art::Instruction const   unsigned short  art::JValue ) 940)_x000D_
   00  pc 000000000052a134   system lib64 libart so (MterpInvokeVirtualQuick 584)_x000D_
   00  pc 000000000054e514   system lib64 libart so (ExecuteMterpImpl 29972)_x000D_
   00  pc 00000000008e8f18   data app org inaturalist seek RgpsNEpUX7BH3TG1P83xqQ   oat arm64 base vdex (org inaturalist inatcamera nativecamera RNCameraView classifyFrame 68)_x000D_
   00  pc 0000000000254144   system lib64 libart so (art::interpreter::Execute(art::Thread   art::CodeItemDataAccessor const   art::ShadowFrame   art::JValue  bool) ( llvm 3404100416) 488)_x000D_
   00  pc 0000000000259c38   system lib64 libart so (art::interpreter::ArtInterpreterToInterpreterBridge(art::Thread   art::CodeItemDataAccessor const   art::ShadowFrame   art::JValue ) 216)_x000D_
   00  pc 000000000027a424   system lib64 libart so (bool art::interpreter::DoCall false  false (art::ArtMethod   art::Thread   art::ShadowFrame   art::Instruction const   unsigned short  art::JValue ) 940)_x000D_
   00  pc 0000000000528430   system lib64 libart so (MterpInvokeDirect 296)_x000D_
   00  pc 000000000054a894   system lib64 libart so (ExecuteMterpImpl 14484)_x000D_
   00  pc 00000000008e8ea4   data app org inaturalist seek RgpsNEpUX7BH3TG1P83xqQ   oat arm64 base vdex (org inaturalist inatcamera nativecamera RNCameraView access 1200)_x000D_
   00  pc 0000000000254144   system lib64 libart so (art::interpreter::Execute(art::Thread   art::CodeItemDataAccessor const   art::ShadowFrame   art::JValue  bool) ( llvm 3404100416) 488)_x000D_
   00  pc 0000000000259c38   system lib64 libart so (art::interpreter::ArtInterpreterToInterpreterBridge(art::Thread   art::CodeItemDataAccessor const   art::ShadowFrame   art::JValue ) 216)_x000D_
   00  pc 000000000027a424   system lib64 libart so (bool art::interpreter::DoCall false  false (art::ArtMethod   art::Thread   art::ShadowFrame   art::Instruction const   unsigned short  art::JValue ) 940)_x000D_
   00  pc 00000000005285f4   system lib64 libart so (MterpInvokeStatic 204)_x000D_
   00  pc 000000000054a914   system lib64 libart so (ExecuteMterpImpl 14612)_x000D_
   00  pc 00000000008e750e   data app org inaturalist seek RgpsNEpUX7BH3TG1P83xqQ   oat arm64 base vdex (org inaturalist inatcamera nativecamera RNCameraView 4 run 110)_x000D_
   00  pc 0000000000254144   system lib64 libart so (art::interpreter::Execute(art::Thread   art::CodeItemDataAccessor const   art::ShadowFrame   art::JValue  bool) ( llvm 3404100416) 488)_x000D_
   00  pc 0000000000517984   system lib64 libart so (artQuickToInterpreterBridge 1020)_x000D_
   00  pc 00000000005612fc   system lib64 libart so (art quick to interpreter bridge 92)_x000D_
   00  pc 0000000000b26a2c   system framework arm64 boot framework oat (offset 0x420000) (android os Handler dispatchMessage 76)_x000D_
   00  pc 0000000000b29b90   system framework arm64 boot framework oat (offset 0x420000) (android os Looper loop 1264)_x000D_
   00  pc 0000000000b28a34   system framework arm64 boot framework oat (offset 0x420000) (android os HandlerThread run 548)_x000D_
   00  pc 0000000000558188   system lib64 libart so (art quick invoke stub 584)_x000D_
   00  pc 00000000000cfcc8   system lib64 libart so (art::ArtMethod::Invoke(art::Thread   unsigned int   unsigned int  art::JValue   char const ) 200)_x000D_
   00  pc 000000000045e630   system lib64 libart so (art::(anonymous namespace)::InvokeWithArgArray(art::ScopedObjectAccessAlreadyRunnable const   art::ArtMethod   art::(anonymous namespace)::ArgArray   art::JValue   char const ) 104)_x000D_
   00  pc 000000000045f6ec   system lib64 libart so (art::InvokeVirtualOrInterfaceWithJValues(art::ScopedObjectAccessAlreadyRunnable const    jobject    jmethodID   jvalue ) 424)_x000D_
   00  pc 000000000048ab0c   system lib64 libart so (art::Thread::CreateCallback(void ) 1120)_x000D_
   00  pc 0000000000091a14   system lib64 libc so (  pthread start(void ) 36)_x000D_
   00  pc 0000000000023f78   system lib64 libc so (  start thread 68)_x000D_
   _x000D_
From Google Play Console  Not sure if there s enough info here to address these signal crashes  but I m leaving them here in case  This one was seen on Samsung Galaxy S8  Android 9</t>
  </si>
  <si>
    <t>barbeau-gpstest-498</t>
  </si>
  <si>
    <t>Crash when rapidly tapping on "Share" button</t>
  </si>
  <si>
    <t xml:space="preserve">  Describe the bug  _x000D_
If after getting a fix you rapidly tap on the Share button  you ll see a crash with:_x000D_
_x000D_
   _x000D_
2021 04 13 12:14:57 080 3889 3889 com android gpstest E AndroidRuntime: FATAL EXCEPTION: main_x000D_
    Process: com android gpstest  PID: 3889_x000D_
    java lang IllegalStateException: Fragment already added: ShareDialogFragment ad7393f (24f27146 cb66 4c00 82ac a2aa3e3f24df) ShareDialogFragment _x000D_
        at androidx fragment app FragmentManagerImpl addFragment(FragmentManagerImpl java:1379)_x000D_
        at androidx fragment app BackStackRecord executeOps(BackStackRecord java:399)_x000D_
        at androidx fragment app FragmentManagerImpl executeOps(FragmentManagerImpl java:2079)_x000D_
        at androidx fragment app FragmentManagerImpl executeOpsTogether(FragmentManagerImpl java:1869)_x000D_
        at androidx fragment app FragmentManagerImpl removeRedundantOperationsAndExecute(FragmentManagerImpl java:1824)_x000D_
        at androidx fragment app FragmentManagerImpl execPendingActions(FragmentManagerImpl java:1727)_x000D_
        at androidx fragment app FragmentManagerImpl 2 run(FragmentManagerImpl java:150)_x000D_
        at android os Handler handleCallback(Handler java:938)_x000D_
        at android os Handler dispatchMessage(Handler java:99)_x000D_
        at android os Looper loop(Looper java:246)_x000D_
        at android app ActivityThread main(ActivityThread java:8462)_x000D_
        at java lang reflect Method invoke(Native Method)_x000D_
        at com android internal os RuntimeInit MethodAndArgsCaller run(RuntimeInit java:596)_x000D_
        at com android internal os ZygoteInit main(ZygoteInit java:1130)_x000D_
2021 04 13 12:14:57 125 7816 7864   E TaskStackListenerAbstract: onTaskSnapshotChanged called by Binder getCallingPid() 0 android app ITaskStackListener Stub onTransact:587 android os Binder execTransactInternal:1195 android os Binder execTransact:1159  bottom of call stack _x000D_
   _x000D_
_x000D_
  To Reproduce  _x000D_
Steps to reproduce the behavior:_x000D_
1  Get a fix_x000D_
2  Rapidly tap on Share button (including on the same place on the screen when the share dialog pops up)_x000D_
_x000D_
  Expected behavior  _x000D_
Don t crash_x000D_
_x000D_
  Observed behavior  _x000D_
Crash with above stack trace_x000D_
_x000D_
  App  Device and Android version:   _x000D_
_x000D_
Samsung Galaxy S21  w  Android 11 with master at https:  github com barbeau gpstest commit 3e45354b330a4f923972badf4718d1da917d67e0_x000D_
</t>
  </si>
  <si>
    <t>TeamNewPipe-NewPipe-6072</t>
  </si>
  <si>
    <t>Videos don't maintain chronological order in feeds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</si>
  <si>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If a video is expected to be premiered and not published yet  that video ends up copying multiple videos  Also  channel feed lacks proper chronological order for premieres  Videos uploaded around the same time also tend to jumble_x000D_
_x000D_
_x000D_
    Actual behaviour_x000D_
     Tell us what happens with the steps given above     _x000D_
Videos lack chronological order in feeds _x000D_
_x000D_
_x000D_
    Expected behavior_x000D_
     Tell us what you expect to happen     _x000D_
Videos should maintain chronological order in all feeds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img src  https:  user images githubusercontent com 79245641 114578962 381ba100 9c9f 11eb 82e4 b90e34bb9ca9 jpg  height  150px   _x000D_
_x000D_
 img src  https:  user images githubusercontent com 79245641 114579022 4964ad80 9c9f 11eb 9267 925df2c63633 jpg  height  150px   _x000D_
_x000D_
_x000D_
https:  user images githubusercontent com 79245641 153483574 fa9a8e8a 1f03 476d 88ba 54b26e25fda7 mp4_x000D_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MIUI 12 0 3_x000D_
   Device model: Xiaomi Redmi Note 8 Pro_x000D_
</t>
  </si>
  <si>
    <t>MuntashirAkon-AppManager-373</t>
  </si>
  <si>
    <t>Not showing any apps after initializing</t>
  </si>
  <si>
    <t xml:space="preserve">  Describe the bug  _x000D_
After initializing  it doesn t show any app on pre release app manager  However  debug version of app Manger doesn t have this issue  _x000D_
_x000D_
_x000D_
  Crash logs  _x000D_
If applicable  add crash logs to help us figure out the problem _x000D_
_x000D_
  Device info  _x000D_
   Device:  e g  POCO X3 NFC _x000D_
   OS Version:  e g  Android 11 (Octavi OS _x000D_
   App Manager Version:  PRE  v2 5 24 _x000D_
   Mode: root adb no root_x000D_
_x000D_
  Screenshot 20210413 155526 AM Pre release (https:  user images githubusercontent com 58624914 114573646 fb957880 9c91 11eb 9c9f b2b3bb1986ba png)_x000D_
 appmgr txt (https:  github com MuntashirAkon AppManager files 6304626 appmgr txt)_x000D_
_x000D_
</t>
  </si>
  <si>
    <t>k9mail-k-9-5249</t>
  </si>
  <si>
    <t>NPE when trying to change folder settings of outbox folder</t>
  </si>
  <si>
    <t xml:space="preserve">  Describe the bug  _x000D_
I tried to change my folder settings for outbox folder but app crashes _x000D_
_x000D_
  To Reproduce  _x000D_
Steps to reproduce the behavior:_x000D_
1  Tab on sandwich icon to open side menu_x000D_
2  Tab on  Manage folders _x000D_
3  Tab on  Outbox  (2nd list item)_x000D_
4  App crashes_x000D_
_x000D_
  Expected behavior  _x000D_
App should show folder settings_x000D_
_x000D_
  Environment (please complete the following information):  _x000D_
   K 9 Mail version: actual main (1a68adc8)_x000D_
   Android version: 10_x000D_
_x000D_
  Logs  _x000D_
FATAL EXCEPTION: main_x000D_
    Process: com fsck k9 debug  PID: 9972_x000D_
    java lang NullPointerException: cursor getString(7) must not be null_x000D_
        at com fsck k9 storage messages CursorFolderAccessor getSyncClass(RetrieveFolderOperations kt:151)_x000D_
        at com fsck k9 mailstore FolderRepository getFolderDetails 1 map(FolderRepository kt:62)_x000D_
        at com fsck k9 mailstore FolderRepository getFolderDetails 1 map(FolderRepository kt:8)_x000D_
        at com fsck k9 storage messages RetrieveFolderOperations getFolder 1 doDbWork(RetrieveFolderOperations kt:44)_x000D_
        at com fsck k9 mailstore LockableDatabase execute(LockableDatabase java:273)_x000D_
        at com fsck k9 storage messages RetrieveFolderOperations getFolder(RetrieveFolderOperations kt:32)_x000D_
        at com fsck k9 storage messages RetrieveFolderOperations getFolder(RetrieveFolderOperations kt:16)_x000D_
        at com fsck k9 storage messages K9MessageStore getFolder(K9MessageStore kt:94)_x000D_
        at com fsck k9 mailstore FolderRepository getFolderDetails(FolderRepository kt:52)_x000D_
        at com fsck k9 ui managefolders FolderSettingsViewModel loadFolderDetails 2 invokeSuspend(FolderSettingsViewModel kt:74)_x000D_
        at kotlin coroutines jvm internal BaseContinuationImpl resumeWith(ContinuationImpl kt:33)_x000D_
        at kotlinx coroutines DispatchedTask run(DispatchedTask kt:106)_x000D_
        at kotlinx coroutines scheduling CoroutineScheduler runSafely(CoroutineScheduler kt:571)_x000D_
        at kotlinx coroutines scheduling CoroutineScheduler Worker executeTask(CoroutineScheduler kt:738)_x000D_
        at kotlinx coroutines scheduling CoroutineScheduler Worker runWorker(CoroutineScheduler kt:678)_x000D_
        at kotlinx coroutines scheduling CoroutineScheduler Worker run(CoroutineScheduler kt:665)</t>
  </si>
  <si>
    <t>getsentry-sentry-java-1395</t>
  </si>
  <si>
    <t>Device's memory for Android NDK hard crashes is added on restart</t>
  </si>
  <si>
    <t xml:space="preserve">Device s memory for Android NDK crashes is added on the restart  so these values are not accurate _x000D_
_x000D_
Ideally   sentry native  would add this to the event before writing the event to the disk  so on restart  the Android SDK enriches only with static data </t>
  </si>
  <si>
    <t>nextcloud-android-8275</t>
  </si>
  <si>
    <t>Crash on contact, usb debugging enabled</t>
  </si>
  <si>
    <t xml:space="preserve">
    Steps to reproduce
0  USB debugging connected
1  enable daily backup of contacts
2  Force update
3  Remove cable  nextcloud crashes
    Expected behaviour
   sync should start  abort gracefully
    Actual behaviour
  see above
    Can you reproduce this problem on https:  try nextcloud com 
  Please create a test demo account and see if this still happens there 
  If yes  please open up a bug report
  If not  please verify server setup and ask for help on forum
    Environment data
Android version: 18 1
Device model: discovery
Stock or customized system: lineage os
Nextcloud app version: 3 15 1
Nextcloud server version:
Reverse proxy:
    Logs
     Web server error log
Insert your webserver log here
     Nextcloud log (data nextcloud log)
Insert your Nextcloud log here
  NOTE:   Be super sure to remove sensitive data like passwords  note that everybody can look here  You can use the Issue Template application to prefill some of the required information: https:  apps nextcloud com apps issuetemplate
</t>
  </si>
  <si>
    <t>TeamNewPipe-NewPipe-6066</t>
  </si>
  <si>
    <t>(Double of #3556)
 Can't add a Channel Group in Main Page Content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</si>
  <si>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into Settings Content Content of Main Page_x000D_
2  Click add to choose content for Tab_x000D_
_x000D_
     If you can t cause the bug to show up again reliably (and hence don t have a proper set of steps to give us)  please still try to give as many details as possible on how you think you encountered the bug     _x000D_
_x000D_
_x000D_
_x000D_
    Actual behaviour_x000D_
You cant select a Channel Group_x000D_
_x000D_
    Expected behavior_x000D_
Add a channel group as a tab  I don t think I m now asking for a new feature  this should be possible    maybe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9   Kernel version 4 9 125_x000D_
Device model: Bravia UR2 4K_x000D_
</t>
  </si>
  <si>
    <t>TeamNewPipe-NewPipe-6065</t>
  </si>
  <si>
    <t>Can't delete individual entries in Main Page Content on AndroidTV</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</si>
  <si>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On AndroidTV_x000D_
1  Go into Settings Content Content of Main Page_x000D_
2  Long press doesn t show context menu to delete individual entry_x000D_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You cant select delete entry_x000D_
_x000D_
    Expected behavior_x000D_
Delete an entry without having to reset to default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9   Kernel version 4 9 125_x000D_
Device model: Bravia UR2 4K_x000D_
</t>
  </si>
  <si>
    <t>TeamNewPipe-NewPipe-6064</t>
  </si>
  <si>
    <t>Can't reorder Main Page Contents on AndroidTV with keyboard, mouse nor remote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</si>
  <si>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On AndroidTV_x000D_
1  Go into Settings Content Content of main page_x000D_
2  Use mouse  keyboard or remote to reorder  can t do it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You cant select the right two lines to  drag to reorder _x000D_
Long click to enter context menu not working either (if this was the intended design) _x000D_
_x000D_
_x000D_
    Expected behavior_x000D_
Click and drag to reorder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9   Kernel version 4 9 125_x000D_
Device model: Bravia UR2 4K_x000D_
</t>
  </si>
  <si>
    <t>TeamNewPipe-NewPipe-6063</t>
  </si>
  <si>
    <t>Can't select a subscriptions video to play it on AndroidTV with remote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</si>
  <si>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On AndroidTV_x000D_
1  Go to Subscriptions  press down to go to a subscribed channel  click it to enter the channel   RSS symbol  has focus_x000D_
2  Press down (Subscribed) and down (Background)_x000D_
3  Pressing down again skips the list and goes back to  Subscribed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Can t enter the list with video s_x000D_
_x000D_
_x000D_
_x000D_
    Expected behavior_x000D_
Pick a video to play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9   Kernel version 4 9 125_x000D_
Device model: Bravia UR2 4K:_x000D_
</t>
  </si>
  <si>
    <t>TeamNewPipe-NewPipe-6062</t>
  </si>
  <si>
    <t>Focus skips over defined Channel groups on AndroidTV with remote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</si>
  <si>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On AndroidTV_x000D_
1  Go to Subscriptions tab    Channel groups  has focus_x000D_
2  Press down once   focus skips over the groups and instead goes to  Subscriptions _x000D_
And :  Wooops now after the bug report it does it    But only if you enter the Subscriptions tab fresh   It still skips the channel groups if you go up and down in the Subscriptions list and THEN go up to pick a channel group  They then still get skipped   I hope you can reproduce _x000D_
_x000D_
     If you can t cause the bug to show up again reliably (and hence don t have a proper set of steps to give us)  please still try to give as many details as possible on how you think you encountered the bug     _x000D_
_x000D_
_x000D_
_x000D_
    Actual behaviour_x000D_
No way to click a Channel group_x000D_
_x000D_
_x000D_
    Expected behavior_x000D_
     Tell us what you expect to happen     _x000D_
You need to be able to click a channel group  I can t find out how to do it so I think this is a bug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9   Kernel version 4 9 125_x000D_
   Device model: Bravia UR2 4K_x000D_
</t>
  </si>
  <si>
    <t>Stephenklop-School-Movie-Android-App-Project-84</t>
  </si>
  <si>
    <t>App crashing when clicking back button on update password</t>
  </si>
  <si>
    <t xml:space="preserve">De app crasht (NullPointerException) wanneer je met een ingelogd account het wachtwoord probeert te wijzigen </t>
  </si>
  <si>
    <t>Anuken-Mindustry-5099</t>
  </si>
  <si>
    <t>"water" in "Sand water" is not capitalized</t>
  </si>
  <si>
    <t xml:space="preserve">  Platform  :  Android iOS Mac Windows Linux _x000D_
_x000D_
N A  this is an issue with the bundles_x000D_
_x000D_
  Build  :  The build number under the title in the main menu  Required   LATEST  IS NOT A VERSION  I NEED THE EXACT BUILD NUMBER OF YOUR GAME  _x000D_
_x000D_
Latest look at the source code shows that the issue still exists https:  github com Anuken Mindustry blob 24c8d6e040258b196010ac8601afbdc137f42020 core assets bundles bundle properties L1119_x000D_
_x000D_
  Issue  :  Explain your issue in detail  _x000D_
_x000D_
 water  in  Sand water  is not capitalized  which is an inconsistency with the rest of the floor water tiles _x000D_
_x000D_
  Steps to reproduce  :  How you happened across the issue  and what exactly you did to make the bug happen  _x000D_
_x000D_
Open Editor  look at the name of Sand water_x000D_
_x000D_
  Link(s) to mod(s) used  :  The mod repositories or zip files that are related to the issue  if applicable  _x000D_
_x000D_
N A  this is an issue with the base game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N A  this is an issue with game bundles  which aren t saved in save files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</si>
  <si>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NordicSemiconductor-Android-DFU-Library-300</t>
  </si>
  <si>
    <t>ArchiveInputStream.rawRead NullPointerException</t>
  </si>
  <si>
    <t xml:space="preserve">  DFU Bootloader version  _x000D_
   SDK version: I don t know_x000D_
   Bonding used: no_x000D_
   Library version: 1 11 0_x000D_
_x000D_
  Device information  _x000D_
   Device: Galaxy Note10_x000D_
   OS: Android 11_x000D_
_x000D_
  Describe the bug  _x000D_
Firebase reportes this 1 time crash on production_x000D_
_x000D_
I don t have more information_x000D_
_x000D_
  Logs  _x000D_
   _x000D_
NullPointerException_x000D_
Attempt to get length of null array_x000D_
no nordicsemi android dfu internal ArchiveInputStream rawRead (ArchiveInputStream java:423)_x000D_
no nordicsemi android dfu internal ArchiveInputStream read (ArchiveInputStream java:415)_x000D_
no nordicsemi android dfu internal ArchiveInputStream read (ArchiveInputStream java:410)_x000D_
no nordicsemi android dfu SecureDfuImpl sendFirmware (SecureDfuImpl java:538)_x000D_
no nordicsemi android dfu SecureDfuImpl performDfu (SecureDfuImpl java:275)_x000D_
no nordicsemi android dfu DfuBaseService onHandleIntent (DfuBaseService java:1394)_x000D_
android app IntentService ServiceHandler handleMessage (IntentService java:77)_x000D_
android os HandlerThread run (HandlerThread java:67)_x000D_
   _x000D_
</t>
  </si>
  <si>
    <t>AOF-Dev-MCinaBox-1052</t>
  </si>
  <si>
    <t>Adding online acc with different server</t>
  </si>
  <si>
    <t xml:space="preserve">  The app is crashing when im logging in with different server like tlauncher server  _x000D_
_x000D_
I was trying to login using tlauncher acc and im Changing the server to tlauncher org and after i Click the login its crashing then nothing was happen it didn t add the acc_x000D_
_x000D_
My phone is_x000D_
   Device: Realme 3_x000D_
   OS: Android 10_x000D_
   App v0 1 4 p5_x000D_
   CPU arch arm64 _x000D_
_x000D_
</t>
  </si>
  <si>
    <t>cgeo-cgeo-10374</t>
  </si>
  <si>
    <t>Crash after refreshing subset of a list of caches</t>
  </si>
  <si>
    <t xml:space="preserve">     Fill in the following form by adding your text below the explanation comments     _x000D_
     You can use the preview tab above to review your issue before submitting it     _x000D_
_x000D_
   Bug description _x000D_
     Enter a summarized description of what the bug problem is  that you found    _x000D_
From support mail:_x000D_
The user refreshes a filtered list of caches  If he tries to scroll through the list after refresh the app crashes_x000D_
_x000D_
   Reproduce _x000D_
    Steps to reproduce the problem_x000D_
     Describe step by step how to reproduce the problem    _x000D_
  Open list of many caches (scrolling needed)_x000D_
  Apply a filter (user filtered for last update   7 days ago)_x000D_
  Refresh selected_x000D_
  After refresh has been completed  scroll down or up through the list_x000D_
_x000D_
    Actual result after these steps _x000D_
     Describe the actual issue problem behavior in detail  which happens after the steps above    _x000D_
In a high percentage of tries  c:geo crashes (return to main menu or dies completely)_x000D_
_x000D_
    Expected result after these steps _x000D_
     Describe what you expected to happen instead (correct behavior)    _x000D_
Normal list functionality_x000D_
_x000D_
   c:geo version _x000D_
     You will find the c:geo version in c:geo Menu    About c:geo    _x000D_
2021 04 11 RC_x000D_
_x000D_
   Reproducible _x000D_
     Yes   No (or describe under what conditions)    _x000D_
Not clearly  but happens in high percentage of tries for the user  _x000D_
_x000D_
   System information _x000D_
     Attach system information here if available (see c:geo Menu    About c:geo    Swipe right to System)    _x000D_
     Keep the apostrophe at beginning and end to have it properly formatted    _x000D_
_x000D_
_x000D_
   _x000D_
    System information    _x000D_
c:geo version: 2021 04 11 RC_x000D_
_x000D_
Device:_x000D_
       _x000D_
  Device type: SM A705FN (a70qeea  samsung)_x000D_
  Android version: 10_x000D_
  Android build: QP1A 190711 020 A705FNXXU5CUA7_x000D_
  Sailfish OS detected: false_x000D_
  Google Play services: disabled   21 09 15 (120400 361652764)_x000D_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orientation_x000D_
_x000D_
Program settings:_x000D_
       _x000D_
  Hide caches: own found archived_x000D_
  Hide waypoints: original visited_x000D_
  Set language: de AT (system default)_x000D_
  System date format: dd MM yy_x000D_
  Debug mode active: no_x000D_
  Live map mode: false_x000D_
  Global filter: display all caches_x000D_
  Last backup: 2  Apr   18:50_x000D_
  Routing mode: Gehen_x000D_
  Map: Austria 200403 (Offline)_x000D_
    Id: cgeo geocaching maps mapsforge MapsforgeMapProvider OfflineMapSource:0000 0000:OfflineMaps Austria 200403 map_x000D_
    Atts: (C) 2007 2020 OpenMaps eu_x000D_
    Theme: Elevate xml_x000D_
_x000D_
Services:_x000D_
       _x000D_
  Geocaching sites enabled:_x000D_
   geocaching com: Logged in (Anmeldung OK)   PREMIUM_x000D_
  Geocaching com date format: dd MM yyyy_x000D_
  BRouter installed: false   connection available: false_x000D_
  Installed c:geo plugins:  none_x000D_
_x000D_
Permissions   paths:_x000D_
       _x000D_
  Fine location permission: granted_x000D_
  Write external storage permission: granted_x000D_
  System internal c:geo dir:  data user 0 cgeo geocaching (66 2 GB free) v2 internal isDir(11 entries)_x000D_
  Legacy User storage c:geo dir:  storage emulated 0 cgeo (66 2 GB free) v2 external non removable isDir(5 entries)_x000D_
  Geocache data:  storage 0000 0000 Android data cgeo geocaching files GeocacheData (1 9 GB free) v2 external removable isDir(25658 entries)_x000D_
  Internal theme sync (is turned off):  data user 0 cgeo geocaching MapThemeData (66 2 GB free) v2 internal isDir(0 entries)_x000D_
  Public Folders:  9_x000D_
    BASE:  cgeo (Benutzerdefiniert)  cgeo DOCUMENT 0:p content:  com android externalstorage documents tree primary 3Acgeo::   (Uri: content:  com android externalstorage documents tree primary 3Acgeo document primary 3Acgeo  Av:true  files:  15  dirs:  6  totalFileSize:  589 5 MB  topLevel(5): backup  gpx  logfiles  GeocachePhotos  field notes    free space: 66 2 GB  files on device: 3645440)_x000D_
    OFFLINE MAPS: SD Karte OfflineMaps (Benutzerdefiniert) SD Karte OfflineMaps DOCUMENT 0:p content:  com android externalstorage documents tree 0000 0000 3AOfflineMaps::   (Uri: content:  com android externalstorage documents tree 0000 0000 3AOfflineMaps document 0000 0000 3AOfflineMaps  Av:true  files:14  dirs:0  totalFileSize:3 9 GB  topLevel(first 10 of 14): montenegro poi slovenia poi slovenia 190228 map austria poi austria 190401 map czech republic map germany map Austria 200403 map slovakia map bosnia herzegovina poi   free space: 1 9 GB  files on device: 0)_x000D_
    OFFLINE MAP THEMES: SD Karte OfflineThemes (Benutzerdefiniert) SD Karte OfflineThemes DOCUMENT 0:p content:  com android externalstorage documents tree 0000 0000 3AOfflineThemes::   (Uri: content:  com android externalstorage documents tree 0000 0000 3AOfflineThemes document 0000 0000 3AOfflineThemes  Av:true  files:800  dirs:3  totalFileSize:4 0 MB  topLevel(first 10 of 11): Elevate  Elements xml Elevate xml read me elevate txt ele res  GC94CYH gpx ZZ1020 2 gpx ZZ1020 gpx GC3A51M gpx GC94CYH 2 gpx   free space: 1 9 GB  files on device: 0)_x000D_
    LOGFILES:  cgeo logfiles (Standard)  cgeo logfiles PERSISTABLE FOLDER(BASE) 1:p content:  com android externalstorage documents tree primary 3Acgeo:: logfiles   (Uri: content:  com android externalstorage documents tree primary 3Acgeo document primary 3Acgeo 2Flogfiles  Av:true  files:7  dirs:0  totalFileSize:3 3 MB  topLevel(7): logcat 2021 04 01 18 10 55 2 txt logcat 2021 04 05 07 23 29 2 txt logcat 2021 04 11 21 33 19 2 txt logcat 2021 04 06 22 11 22 2 txt logcat 2021 04 11 21 29 08 2 txt logcat 2021 04 01 20 45 54 2 txt logcat 2021 04 08 21 45 01 2 txt   free space: 66 2 GB  files on device: 3645440)_x000D_
    GPX: SD Karte OfflineThemes (Benutzerdefiniert) SD Karte OfflineThemes DOCUMENT 0:p content:  com android externalstorage documents tree 0000 0000 3AOfflineThemes::   (Uri: content:  com android externalstorage documents tree 0000 0000 3AOfflineThemes document 0000 0000 3AOfflineThemes  Av:true  files:800  dirs:3  totalFileSize:4 0 MB  topLevel(first 10 of 11): Elevate  Elements xml Elevate xml read me elevate txt ele res  GC94CYH gpx ZZ1020 2 gpx ZZ1020 gpx GC3A51M gpx GC94CYH 2 gpx   free space: 1 9 GB  files on device: 0)_x000D_
    BACKUP:  cgeo backup (Standard)  cgeo backup PERSISTABLE FOLDER(BASE) 1:p content:  com android externalstorage documents tree primary 3Acgeo:: backup   (Uri: content:  com android externalstorage documents tree primary 3Acgeo document primary 3Acgeo 2Fbackup  Av:true  files:2  dirs:1  totalFileSize:585 6 MB  topLevel(1): 2021 04 02 18 50    free space: 66 2 GB  files on device: 3645440)_x000D_
    FIELD NOTES:  cgeo field notes (Standard)  cgeo field notes PERSISTABLE FOLDER(BASE) 1:p content:  com android externalstorage documents tree primary 3Acgeo:: field notes   (Uri: content:  com android externalstorage documents tree primary 3Acgeo document primary 3Acgeo 2Ffield notes  Av:true  files:215  dirs:0  totalFileSize:155 1 KB  topLevel(first 10 of 215): 20201021191549 txt 20201212171827 txt 20200625141328 txt 20200208184143 txt 20200731215004 txt 20200612230855 txt 20200111112119 txt 20210330181914 txt 20200507141420 txt 20201113100020 txt   free space: 66 2 GB  files on device: 3645440)_x000D_
    SPOILER IMAGES:  cgeo GeocachePhotos (Standard)  cgeo GeocachePhotos PERSISTABLE FOLDER(BASE) 1:p content:  com android externalstorage documents tree primary 3Acgeo:: GeocachePhotos   (Uri: content:  com android externalstorage documents tree primary 3Acgeo document primary 3Acgeo 2FGeocachePhotos  Av:true  files:0  dirs:0  totalFileSize:0 B  topLevel(0):    free space: 66 2 GB  files on device: 3645440)_x000D_
    TEST FOLDER:  Veraltet  data user 0 cgeo geocaching files unittest (Standard)  data user 0 cgeo geocaching files unittest FILE 1:p file:   data user 0 cgeo geocaching files:: unittest   (Uri: file:   data user 0 cgeo geocaching files unittest  Av:true  files:0  dirs:0  totalFileSize:0 B  topLevel(0):    free space: 66 2 GB  files on device:  1)_x000D_
  Map render theme path: Elevate xml_x000D_
  PersistedDocumentUris:  1_x000D_
  TRACK: null_x000D_
  Persisted Uri Permissions:  3_x000D_
    content:  com android externalstorage documents tree 0000 0000 3AOfflineThemes (31  M rz  13:28):RW_x000D_
    content:  com android externalstorage documents tree 0000 0000 3AOfflineMaps (31  M rz  13:27):RW_x000D_
    content:  com android externalstorage documents tree primary 3Acgeo (31  M rz  13:27):RW_x000D_
  Database:  storage emulated 0 Android data cgeo geocaching files databases data (v94  Size:603 3 MB) on user storage_x000D_
 Settings: v5  Count:160_x000D_
    End of system information    _x000D_
   _x000D_
_x000D_
_x000D_
   Additional context _x000D_
     (optional  remove if not applicable) log files  reference to other similar issues  projects  sources  etc     _x000D_
Crash in log:_x000D_
   _x000D_
04 08 21:43:39 265 14924 14924 E AndroidRuntime: FATAL EXCEPTION: main_x000D_
04 08 21:43:39 265 14924 14924 E AndroidRuntime: Process: cgeo geocaching  PID: 14924_x000D_
04 08 21:43:39 265 14924 14924 E AndroidRuntime: java lang ArrayIndexOutOfBoundsException: length 1887  index 1891_x000D_
04 08 21:43:39 265 14924 14924 E AndroidRuntime: 	at java util concurrent CopyOnWriteArrayList get(CopyOnWriteArrayList java:380)_x000D_
04 08 21:43:39 265 14924 14924 E AndroidRuntime: 	at java util concurrent CopyOnWriteArrayList get(CopyOnWriteArrayList java:393)_x000D_
04 08 21:43:39 265 14924 14924 E AndroidRuntime: 	at org mapsforge map layer Layers get(Layers java:336)_x000D_
04 08 21:43:39 265 14924 14924 E AndroidRuntime: 	at org mapsforge map android input TouchGestureHandler onSingleTapConfirmed(TouchGestureHandler java:263)_x000D_
04 08 21:43:39 265 14924 14924 E AndroidRuntime: 	at android view GestureDetector GestureHandler handleMessage(GestureDetector java:345)_x000D_
04 08 21:43:39 265 14924 14924 E AndroidRuntime: 	at android os Handler dispatchMessage(Handler java:107)_x000D_
04 08 21:43:39 265 14924 14924 E AndroidRuntime: 	at android os Looper loop(Looper java:237)_x000D_
04 08 21:43:39 265 14924 14924 E AndroidRuntime: 	at android app ActivityThread main(ActivityThread java:8167)_x000D_
04 08 21:43:39 265 14924 14924 E AndroidRuntime: 	at java lang reflect Method invoke(Native Method)_x000D_
04 08 21:43:39 265 14924 14924 E AndroidRuntime: 	at com android internal os RuntimeInit MethodAndArgsCaller run(RuntimeInit java:496)_x000D_
04 08 21:43:39 265 14924 14924 E AndroidRuntime: 	at com android internal os ZygoteInit main(ZygoteInit java:1100)_x000D_
04 09 19:19:37 703 26805 26805 E AndroidRuntime: FATAL EXCEPTION: main_x000D_
04 09 19:19:37 703 26805 26805 E AndroidRuntime: Process: cgeo geocaching  PID: 26805_x000D_
04 09 19:19:37 703 26805 26805 E AndroidRuntime: java lang NullPointerException: Attempt to invoke virtual method  int android view View getBottom()  on a null object reference_x000D_
04 09 19:19:37 703 26805 26805 E AndroidRuntime: 	at android widget ListView fillDown(ListView java:840)_x000D_
04 09 19:19:37 703 26805 26805 E AndroidRuntime: 	at android widget ListView fillGap(ListView java:801)_x000D_
04 09 19:19:37 703 26805 26805 E AndroidRuntime: 	at android widget AbsListView trackMotionScroll(AbsListView java:8315)_x000D_
04 09 19:19:37 703 26805 26805 E AndroidRuntime: 	at android widget ListView trackMotionScroll(ListView java:2155)_x000D_
04 09 19:19:37 703 26805 26805 E AndroidRuntime: 	at android widget AbsListView scrollIfNeeded(AbsListView java:4945)_x000D_
04 09 19:19:37 703 26805 26805 E AndroidRuntime: 	at android widget AbsListView onTouchMove(AbsListView java:6632)_x000D_
04 09 19:19:37 703 26805 26805 E AndroidRuntime: 	at android widget AbsListView onTouchEvent(AbsListView java:6448)_x000D_
04 09 19:19:37 703 26805 26805 E AndroidRuntime: 	at android widget ListView onTouchEvent(ListView java:1721)_x000D_
04 09 19:19:37 703 26805 26805 E AndroidRuntime: 	at android view View dispatchTouchEvent(View java:14368)_x000D_
04 09 19:19:37 703 26805 26805 E AndroidRuntime: 	at android view ViewGroup dispatchTransformedTouchEvent(ViewGroup java:3857)_x000D_
04 09 19:19:37 703 26805 26805 E AndroidRuntime: 	at android view ViewGroup dispatchTouchEvent(ViewGroup java:3535)_x000D_
04 09 19:19:37 703 26805 26805 E AndroidRuntime: 	at android widget AbsListView dispatchTouchEvent(AbsListView java:6365)_x000D_
04 09 19:19:37 703 26805 26805 E AndroidRuntime: 	at android view ViewGroup dispatchTransformedTouchEvent(ViewGroup java:3863)_x000D_
04 09 19:19:37 703 26805 26805 E AndroidRuntime: 	at android view ViewGroup dispatchTouchEvent(ViewGroup java:3551)_x000D_
04 09 19:19:37 703 26805 26805 E AndroidRuntime: 	at android view ViewGroup dispatchTransformedTouchEvent(ViewGroup java:3863)_x000D_
04 09 19:19:37 703 26805 26805 E AndroidRuntime: 	at android view ViewGroup dispatchTouchEvent(ViewGroup java:3551)_x000D_
04 09 19:19:37 703 26805 26805 E AndroidRuntime: 	at android view ViewGroup dispatchTransformedTouchEvent(ViewGroup java:3863)_x000D_
04 09 19:19:37 703 26805 26805 E AndroidRuntime: 	at android view ViewGroup dispatchTouchEvent(ViewGroup java:3551)_x000D_
04 09 19:19:37 703 26805 26805 E AndroidRuntime: 	at android view ViewGroup dispatchTransformedTouchEvent(ViewGroup java:3863)_x000D_
04 09 19:19:37 703 26805 26805 E AndroidRuntime: 	at android view ViewGroup dispatchTouchEvent(ViewGroup java:3551)_x000D_
04 09 19:19:37 703 26805 26805 E AndroidRuntime: 	at android view ViewGroup dispatchTransformedTouchEvent(ViewGroup java:3863)_x000D_
04 09 19:19:37 703 26805 26805 E AndroidRuntime: 	at android view ViewGroup dispatchTouchEvent(ViewGroup java:3551)_x000D_
04 09 19:19:37 703 26805 26805 E AndroidRuntime: 	at android view ViewGroup dispatchTransformedTouchEvent(ViewGroup java:3863)_x000D_
04 09 19:19:37 703 26805 26805 E AndroidRuntime: 	at android view ViewGroup dispatchTouchEvent(ViewGroup java:3551)_x000D_
04 09 19:19:37 703 26805 26805 E AndroidRuntime: 	at com android internal policy DecorView superDispatchTouchEvent(DecorView java:770)_x000D_
04 09 19:19:37 703 26805 26805 E AndroidRuntime: 	at com android internal policy PhoneWindow superDispatchTouchEvent(PhoneWindow java:1952)_x000D_
04 09 19:19:37 703 26805 26805 E AndroidRuntime: 	at android app Activity dispatchTouchEvent(Activity java:4038)_x000D_
04 09 19:19:37 703 26805 26805 E AndroidRuntime: 	at androidx appcompat view WindowCallbackWrapper dispatchTouchEvent(WindowCallbackWrapper java:69)_x000D_
04 09 19:19:37 703 26805 26805 E AndroidRuntime: 	at com android internal policy DecorView dispatchTouchEvent(DecorView java:728)_x000D_
04 09 19:19:37 703 26805 26805 E AndroidRuntime: 	at android view View dispatchPointerEvent(View java:14636)_x000D_
04 09 19:19:37 703 26805 26805 E AndroidRuntime: 	at android view ViewRootImpl ViewPostImeInputStage processPointerEvent(ViewRootImpl java:6582)_x000D_
04 09 19:19:37 703 26805 26805 E AndroidRuntime: 	at android view ViewRootImpl ViewPostImeInputStage onProcess(ViewRootImpl java:6360)_x000D_
04 09 19:19:37 703 26805 26805 E AndroidRuntime: 	at android view ViewRootImpl InputStage deliver(ViewRootImpl java:5796)_x000D_
04 09 19:19:37 703 26805 26805 E AndroidRuntime: 	at android view ViewRootImpl InputStage onDeliverToNext(ViewRootImpl java:5849)_x000D_
04 09 19:19:37 703 26805 26805 E AndroidRuntime: 	at android view ViewRootImpl InputStage forward(ViewRootImpl java:5815)_x000D_
04 09 19:19:37 703 26805 26805 E AndroidRuntime: 	at android view ViewRootImpl AsyncInputStage forward(ViewRootImpl java:5971)_x000D_
04 09 19:19:37 703 26805 26805 E AndroidRuntime: 	at android view ViewRootImpl InputStage apply(ViewRootImpl java:5823)_x000D_
04 09 19:19:37 703 26805 26805 E AndroidRuntime: 	at android view ViewRootImpl AsyncInputStage apply(ViewRootImpl java:6028)_x000D_
04 09 19:19:37 703 26805 26805 E AndroidRuntime: 	at android view ViewRootImpl InputStage deliver(ViewRootImpl java:5796)_x000D_
04 09 19:19:37 703 26805 26805 E AndroidRuntime: 	at android view ViewRootImpl InputStage onDeliverToNext(ViewRootImpl java:5849)_x000D_
04 09 19:19:37 703 26805 26805 E AndroidRuntime: 	at android view ViewRootImpl InputStage forward(ViewRootImpl java:5815)_x000D_
04 09 19:19:37 703 26805 26805 E AndroidRuntime: 	at android view ViewRootImpl InputStage apply(ViewRootImpl java:5823)_x000D_
04 09 19:19:37 703 26805 26805 E AndroidRuntime: 	at android view ViewRootImpl InputStage deliver(ViewRootImpl java:5796)_x000D_
04 09 19:19:37 703 26805 26805 E AndroidRuntime: 	at android view ViewRootImpl deliverInputEvent(ViewRootImpl java:9032)_x000D_
04 09 19:19:37 703 26805 26805 E AndroidRuntime: 	at android view ViewRootImpl doProcessInputEvents(ViewRootImpl java:8889)_x000D_
04 09 19:19:37 703 26805 26805 E AndroidRuntime: 	at android view ViewRootImpl enqueueInputEvent(ViewRootImpl java:8842)_x000D_
04 09 19:19:37 703 26805 26805 E AndroidRuntime: 	at android view ViewRootImpl WindowInputEventReceiver onInputEvent(ViewRootImpl java:9169)_x000D_
04 09 19:19:37 703 26805 26805 E AndroidRuntime: 	at android view InputEventReceiver dispatchInputEvent(InputEventReceiver java:194)_x000D_
04 09 19:19:37 703 26805 26805 E AndroidRuntime: 	at android view InputEventReceiver nativeConsumeBatchedInputEvents(Native Method)_x000D_
04 09 19:19:37 703 26805 26805 E AndroidRuntime: 	at android view InputEventReceiver consumeBatchedInputEvents(InputEventReceiver java:183)_x000D_
04 09 19:19:37 703 26805 26805 E AndroidRuntime: 	at android view ViewRootImpl doConsumeBatchedInput(ViewRootImpl java:9109)_x000D_
04 09 19:19:37 704 26805 26805 E AndroidRuntime: 	at android view ViewRootImpl ConsumeBatchedInputRunnable run(ViewRootImpl java:9196)_x000D_
04 09 19:19:37 704 26805 26805 E AndroidRuntime: 	at android view Choreographer CallbackRecord run(Choreographer java:999)_x000D_
04 09 19:19:37 704 26805 26805 E AndroidRuntime: 	at android view Choreographer doCallbacks(Choreographer java:797)_x000D_
04 09 19:19:37 704 26805 26805 E AndroidRuntime: 	at android view Choreographer doFrame(Choreographer java:725)_x000D_
04 09 19:19:37 704 26805 26805 E AndroidRuntime: 	at android view Choreographer FrameDisplayEventReceiver run(Choreographer java:984)_x000D_
04 09 19:19:37 704 26805 26805 E AndroidRuntime: 	at android os Handler handleCallback(Handler java:883)_x000D_
04 09 19:19:37 704 26805 26805 E AndroidRuntime: 	at android os Handler dispatchMessage(Handler java:100)_x000D_
04 09 19:19:37 704 26805 26805 E AndroidRuntime: 	at android os Looper loop(Looper java:237)_x000D_
04 09 19:19:37 704 26805 26805 E AndroidRuntime: 	at android app ActivityThread main(ActivityThread java:8167)_x000D_
04 09 19:19:37 704 26805 26805 E AndroidRuntime: 	at java lang reflect Method invoke(Native Method)_x000D_
04 09 19:19:37 704 26805 26805 E AndroidRuntime: 	at com android internal os RuntimeInit MethodAndArgsCaller run(RuntimeInit java:496)_x000D_
04 09 19:19:37 704 26805 26805 E AndroidRuntime: 	at com android internal os ZygoteInit main(ZygoteInit java:1100)_x000D_
04 09 19:26:25 459 30032 30032 E AndroidRuntime: FATAL EXCEPTION: main_x000D_
04 09 19:26:25 459 30032 30032 E AndroidRuntime: Process: cgeo geocaching  PID: 30032_x000D_
04 09 19:26:25 459 30032 30032 E AndroidRuntime: java lang NullPointerException: Attempt to invoke virtual method  int android view View getTop()  on a null object reference_x000D_
04 09 19:26:25 459 30032 30032 E AndroidRuntime: 	at android widget ListView fillUp(ListView java:874)_x000D_
04 09 19:26:25 459 30032 30032 E AndroidRuntime: 	at android widget ListView fillGap(ListView java:810)_x000D_
04 09 19:26:25 459 30032 30032 E AndroidRuntime: 	at android widget AbsListView trackMotionScroll(AbsListView java:8315)_x000D_
04 09 19:26:25 459 30032 30032 E AndroidRuntime: 	at android widget ListView trackMotionScroll(ListView java:2155)_x000D_
04 09 19:26:25 459 30032 30032 E AndroidRuntime: 	at android widget AbsListView scrollIfNeeded(AbsListView java:4945)_x000D_
04 09 19:26:25 459 30032 30032 E AndroidRuntime: 	at android widget AbsListView onTouchMove(AbsListView java:6632)_x000D_
04 09 19:26:25 459 30032 30032 E AndroidRuntime: 	at android widget AbsListView onTouchEvent(AbsListView java:6448)_x000D_
04 09 19:26:25 459 30032 30032 E AndroidRuntime: 	at android widget ListView onTouchEvent(ListView java:1721)_x000D_
04 09 19:26:25 459 30032 30032 E AndroidRuntime: 	at android view View dispatchTouchEvent(View java:14368)_x000D_
04 09 19:26:25 459 30032 30032 E AndroidRuntime: 	at android view ViewGroup dispatchTransformedTouchEvent(ViewGroup java:3857)_x000D_
04 09 19:26:25 459 30032 30032 E AndroidRuntime: 	at android view ViewGroup dispatchTouchEvent(ViewGroup java:3535)_x000D_
04 09 19:26:25 459 30032 30032 E AndroidRuntime: 	at android widget AbsListView dispatchTouchEvent(AbsListView java:6365)_x000D_
04 09 19:26:25 459 30032 30032 E AndroidRuntime: 	at android view ViewGroup dispatchTransformedTouchEvent(ViewGroup java:3863)_x000D_
04 09 19:26:25 459 30032 30032 E AndroidRuntime: 	at android view ViewGroup dispatchTouchEvent(ViewGroup java:3551)_x000D_
04 09 19:26:25 459 30032 30032 E AndroidRuntime: 	at android view ViewGroup dispatchTransformedTouchEvent(ViewGroup java:3863)_x000D_
04 09 19:26:25 459 30032 30032 E AndroidRuntime: 	at android view ViewGroup dispatchTouchEvent(ViewGroup java:3551)_x000D_
04 09 19:26:25 459 30032 30032 E AndroidRuntime: 	at android view ViewGroup dispatchTransformedTouchEvent(ViewGroup java:3863)_x000D_
04 09 19:26:25 459 30032 30032 E AndroidRuntime: 	at android view ViewGroup dispatchTouchEvent(ViewGroup java:3551)_x000D_
04 09 19:26:25 459 30032 30032 E AndroidRuntime: 	at android view ViewGroup dispatchTransformedTouchEvent(ViewGroup java:3863)_x000D_
04 09 19:26:25 459 30032 30032 E AndroidRuntime: 	at android view ViewGroup dispatchTouchEvent(ViewGroup java:3551)_x000D_
04 09 19:26:25 459 30032 30032 E AndroidRuntime: 	at android view ViewGroup dispatchTransformedTouchEvent(ViewGroup java:3863)_x000D_
04 09 19:26:25 459 30032 30032 E AndroidRuntime: 	at android view ViewGroup dispatchTouchEvent(ViewGroup java:3551)_x000D_
04 09 19:26:25 459 30032 30032 E AndroidRuntime: 	at android view ViewGroup dispatchTransformedTouchEvent(ViewGroup java:3863)_x000D_
04 09 19:26:25 459 30032 30032 E AndroidRuntime: 	at android view ViewGroup dispatchTouchEvent(ViewGroup java:3551)_x000D_
04 09 19:26:25 459 30032 30032 E AndroidRuntime: 	at com android internal policy DecorView superDispatchTouchEvent(DecorView java:770)_x000D_
04 09 19:26:25 459 30032 30032 E AndroidRuntime: 	at com android internal policy PhoneWindow superDispatchTouchEvent(PhoneWindow java:1952)_x000D_
04 09 19:26:25 459 30032 30032 E AndroidRuntime: 	at android app Activity dispatchTouchEvent(Activity java:4038)_x000D_
04 09 19:26:25 459 30032 30032 E AndroidRuntime: 	at androidx appcompat view WindowCallbackWrapper dispatchTouchEvent(WindowCallbackWrapper java:69)_x000D_
04 09 19:26:25 459 30032 30032 E AndroidRuntime: 	at com android internal policy DecorView dispatchTouchEvent(DecorView java:728)_x000D_
04 09 19:26:25 459 30032 30032 E AndroidRuntime: 	at android view View dispatchPointerEvent(View java:14636)_x000D_
04 09 19:26:25 459 30032 30032 E AndroidRuntime: 	at android view ViewRootImpl ViewPostImeInputStage processPointerEvent(ViewRootImpl java:6582)_x000D_
04 09 19:26:25 459 30032 30032 E AndroidRuntime: 	at android view ViewRootImpl ViewPostImeInputStage onProcess(ViewRootImpl java:6360)_x000D_
04 09 19:26:25 459 30032 30032 E AndroidRuntime: 	at android view ViewRootImpl InputStage deliver(ViewRootImpl java:5796)_x000D_
04 09 19:26:25 459 30032 30032 E AndroidRuntime: 	at android view ViewRootImpl InputStage onDeliverToNext(ViewRootImpl java:5849)_x000D_
04 09 19:26:25 459 30032 30032 E AndroidRuntime: 	at android view ViewRootImpl InputStage forward(ViewRootImpl java:5815)_x000D_
04 09 19:26:25 459 30032 30032 E AndroidRuntime: 	at android view ViewRootImpl AsyncInputStage forward(ViewRootImpl java:5971)_x000D_
04 09 19:26:25 459 30032 30032 E AndroidRuntime: 	at android view ViewRootImpl InputStage apply(ViewRootImpl java:5823)_x000D_
04 09 19:26:25 459 30032 30032 E AndroidRuntime: 	at android view ViewRootImpl AsyncInputStage apply(ViewRootImpl java:6028)_x000D_
04 09 19:26:25 459 30032 30032 E AndroidRuntime: 	at android view ViewRootImpl InputStage deliver(ViewRootImpl java:5796)_x000D_
04 09 19:26:25 459 30032 30032 E AndroidRuntime: 	at android view ViewRootImpl InputStage onDeliverToNext(ViewRootImpl java:5849)_x000D_
04 09 19:26:25 459 30032 30032 E AndroidRuntime: 	at android view ViewRootImpl InputStage forward(ViewRootImpl java:5815)_x000D_
04 09 19:26:25 459 30032 30032 E AndroidRuntime: 	at android view ViewRootImpl InputStage apply(ViewRootImpl java:5823)_x000D_
04 09 19:26:25 459 30032 30032 E AndroidRuntime: 	at android view ViewRootImpl InputStage deliver(ViewRootImpl java:5796)_x000D_
04 09 19:26:25 459 30032 30032 E AndroidRuntime: 	at android view ViewRootImpl deliverInputEvent(ViewRootImpl java:9032)_x000D_
04 09 19:26:25 459 30032 30032 E AndroidRuntime: 	at android view ViewRootImpl doProcessInputEvents(ViewRootImpl java:8889)_x000D_
04 09 19:26:25 459 30032 30032 E AndroidRuntime: 	at android view ViewRootImpl enqueueInputEvent(ViewRootImpl java:8842)_x000D_
04 09 19:26:25 459 30032 30032 E AndroidRuntime: 	at android view ViewRootImpl WindowInputEventReceiver onInputEvent(ViewRootImpl java:9169)_x000D_
04 09 19:26:25 459 30032 30032 E AndroidRuntime: 	at android view InputEventReceiver dispatchInputEvent(InputEventReceiver java:194)_x000D_
04 09 19:26:25 459 30032 30032 E AndroidRuntime: 	at android view InputEventReceiver nativeConsumeBatchedInputEvents(Native Method)_x000D_
04 09 19:26:25 459 30032 30032 E AndroidRuntime: 	at android view InputEventReceiver consumeBatchedInputEvents(InputEventReceiver java:183)_x000D_
04 09 19:26:25 459 30032 30032 E AndroidRuntime: 	at android view ViewRootImpl doConsumeBatchedInput(ViewRootImpl java:9109)_x000D_
04 09 19:26:25 460 30032 30032 E AndroidRuntime: 	at android view ViewRootImpl ConsumeBatchedInputRunnable run(ViewRootImpl java:9196)_x000D_
04 09 19:26:25 460 30032 30032 E AndroidRuntime: 	at android view Choreographer CallbackRecord run(Choreographer java:999)_x000D_
04 09 19:26:25 460 30032 30032 E AndroidRuntime: 	at android view Choreographer doCallbacks(Choreographer java:797)_x000D_
04 09 19:26:25 460 30032 30032 E AndroidRuntime: 	at android view Choreographer doFrame(Choreographer java:725)_x000D_
04 09 19:26:25 460 30032 30032 E AndroidRuntime: 	at android view Choreographer FrameDisplayEventReceiver run(Choreographer java:984)_x000D_
04 09 19:26:25 460 30032 30032 E AndroidRuntime: 	at android os Handler handleCallback(Handler java:883)_x000D_
04 09 19:26:25 460 30032 30032 E AndroidRuntime: 	at android os Handler dispatchMessage(Handler java:100)_x000D_
04 09 19:26:25 460 30032 30032 E AndroidRuntime: 	at android os Looper loop(Looper java:237)_x000D_
04 09 19:26:25 460 30032 30032 E AndroidRuntime: 	at android app ActivityThread main(ActivityThread java:8167)_x000D_
04 09 19:26:25 460 30032 30032 E AndroidRuntime: 	at java lang reflect Method invoke(Native Method)_x000D_
04 09 19:26:25 460 30032 30032 E AndroidRuntime: 	at com android internal os RuntimeInit MethodAndArgsCaller run(RuntimeInit java:496)_x000D_
04 09 19:26:25 460 30032 30032 E AndroidRuntime: 	at com android internal os ZygoteInit main(ZygoteInit java:1100)_x000D_
   </t>
  </si>
  <si>
    <t>opensrp-opensrp-client-native-form-567</t>
  </si>
  <si>
    <t>Fix NumericDatePicker bug</t>
  </si>
  <si>
    <t>A Bug in the NumericDatePicker class which sometimes causes crash when one selects a date out of the range of allowed dates (min and max dates)</t>
  </si>
  <si>
    <t>PojavLauncherTeam-PojavLauncher-1201</t>
  </si>
  <si>
    <t>[BUG] Not Launching After Using Dev Version</t>
  </si>
  <si>
    <t>I am using a 6gb ram android phone and after using a dev build  i can t launch any minecraft versions anymore cuz all i need to do is to delete all the files  is there any other solutions on this _x000D_
_x000D_
There is no  crash report  or  latestlog  giving us to me  and my ram is 6gb ram and i allocated 3gb only</t>
  </si>
  <si>
    <t>PojavLauncherTeam-PojavLauncher-1200</t>
  </si>
  <si>
    <t>[BUG] every minecraft version not launching after using dev build</t>
  </si>
  <si>
    <t>XiangRongLin-NewPipe-preuinified-1</t>
  </si>
  <si>
    <t>NewPipe_preunified v0.21.1-legacy - Crash at start</t>
  </si>
  <si>
    <t xml:space="preserve">First of all  thank you for your support _x000D_
_x000D_
I tried  but the app crashed as soon as it started _x000D_
_x000D_
Screenshots with the error report_x000D_
  screen 01 (https:  user images githubusercontent com 23250218 114326335 a7ac5780 9b0a 11eb 9959 c7e4eb000c1e png)_x000D_
  screen 02 (https:  user images githubusercontent com 23250218 114326337 aaa74800 9b0a 11eb 9d13 1ffa83a95a98 png)_x000D_
_x000D_
 attached (Sorry  I didn t can save it on a txt file) </t>
  </si>
  <si>
    <t>TeamNewPipe-NewPipe-6057</t>
  </si>
  <si>
    <t>Landscape Mode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</si>
  <si>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 was trying landscape mode on my galaxy grand duos phone but only black screen  The sound and player works in landscape mode  When back to portrait mode  the app becomes laggy and i have to force it close _x000D_
I just found another issue  When i switch to menu switcher and go back to the app  even in portrait mode  the screen blank but player and sound work as well as in landscape mode and then exiting by itself  When i try to open the app again  it shows error log (I put the error log on logs part)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US_x000D_
    Content Language:   en US_x000D_
    App Language:   en US_x000D_
    Service:   none_x000D_
    Version:   0 21 2_x000D_
    OS:   Linux Android 7 1 2   25_x000D_
 details  summary  b Crash log   b   summary  p _x000D_
_x000D_
   _x000D_
java lang RuntimeException: Unable to destroy activity  org schabi newpipe org schabi newpipe MainActivity : java lang NullPointerException: Attempt to invoke interface method  void android view IWindowSession performDeferredDestroy(android view IWindow)  on a null object reference_x000D_
	at android app ActivityThread performDestroyActivity(ActivityThread java:4240)_x000D_
	at android app ActivityThread handleDestroyActivity(ActivityThread java:4258)_x000D_
	at android app ActivityThread handleRelaunchActivity(ActivityThread java:4532)_x000D_
	at android app ActivityThread  wrap19(ActivityThread java)_x000D_
	at android app ActivityThread H handleMessage(ActivityThread java:1502)_x000D_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Caused by: java lang NullPointerException: Attempt to invoke interface method  void android view IWindowSession performDeferredDestroy(android view IWindow)  on a null object reference_x000D_
	at android view SurfaceView updateWindow(SurfaceView java:654)_x000D_
	at android view SurfaceView onWindowVisibilityChanged(SurfaceView java:247)_x000D_
	at android view View dispatchDetachedFromWindow(View java:15555)_x000D_
	at android view ViewGroup dispatchDetachedFromWindow(ViewGroup java:3179)_x000D_
	at android view ViewGroup dispatchDetachedFromWindow(ViewGroup java:3179)_x000D_
	at android view ViewGroup dispatchDetachedFromWindow(ViewGroup java:3179)_x000D_
	at android view ViewGroup dispatchDetachedFromWindow(ViewGroup java:3179)_x000D_
	at android view ViewGroup dispatchDetachedFromWindow(ViewGroup java:3179)_x000D_
	at android view ViewGroup dispatchDetachedFromWindow(ViewGroup java:3179)_x000D_
	at android view ViewGroup dispatchDetachedFromWindow(ViewGroup java:3179)_x000D_
	at android view ViewGroup removeViewInternal(ViewGroup java:4715)_x000D_
	at android view ViewGroup removeViewInternal(ViewGroup java:4689)_x000D_
	at android view ViewGroup removeView(ViewGroup java:4620)_x000D_
	at androidx fragment app FragmentContainerView removeView(FragmentContainerView java:317)_x000D_
	at androidx fragment app FragmentManager moveToState(FragmentManager java:1250)_x000D_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FragmentManager dispatchStateChange(FragmentManager java:2625)_x000D_
	at androidx fragment app FragmentManager dispatchDestroy(FragmentManager java:2609)_x000D_
	at androidx fragment app FragmentController dispatchDestroy(FragmentController java:330)_x000D_
	at androidx fragment app FragmentActivity onDestroy(FragmentActivity java:365)_x000D_
	at androidx appcompat app AppCompatActivity onDestroy(AppCompatActivity java:242)_x000D_
	at org schabi newpipe MainActivity onDestroy(MainActivity java:460)_x000D_
	at android app Activity performDestroy(Activity java:6886)_x000D_
	at android app Instrumentation callActivityOnDestroy(Instrumentation java:1154)_x000D_
	at android app ActivityThread performDestroyActivity(ActivityThread java:4227)_x000D_
	    10 more_x000D_
_x000D_
   _x000D_
  details _x000D_
 hr _x000D_
_x000D_
     That s right  here     _x000D_
_x000D_
_x000D_
_x000D_
     Please fill this out when you do not provide a log generate by NewPipe    _x000D_
_x000D_
    Device info_x000D_
_x000D_
   Android version Custom ROM version: lineage os 14 1 20180326 UNOFFICIAL i9082_x000D_
   Device model: GT I9082_x000D_
</t>
  </si>
  <si>
    <t>TeamNewPipe-NewPipe-6055</t>
  </si>
  <si>
    <t>solving captcha won't show video anymore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</si>
  <si>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video_x000D_
2  Solve recaptcha_x000D_
3  go back to that video_x000D_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video is not displayed  instead it shows the  solve  button  Pressing retry won t change it _x000D_
Clearing recaptcha cookies won t fix the problem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Lollipop_x000D_
   Device model: HTC ONE_x000D_
  Additional Info: ProtonVPN   NL IP Address</t>
  </si>
  <si>
    <t>TeamNewPipe-NewPipe-6054</t>
  </si>
  <si>
    <t>Video not closing after I moved it down completely [Video Available]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</si>
  <si>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any video_x000D_
2  Let it play for some time and try to xlose it_x000D_
3  Check notifications and find out if it is actually closed_x000D_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Even though it was suppose to close it didn t_x000D_
_x000D_
_x000D_
_x000D_
    Expected behavior_x000D_
     Tell us what you expect to happen     _x000D_
Close the video_x000D_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user images githubusercontent com 74511929 114323832 c07b3400 9b2f 11eb 81bd 5a08f516da4d mp4_x000D_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7 Nougat_x000D_
   Device model: Samsung Galaxy Tab A_x000D_
_x000D_
</t>
  </si>
  <si>
    <t>PojavLauncherTeam-PojavLauncher-1198</t>
  </si>
  <si>
    <t>[BUG] [Solved] BOOT/BLACKSCREEN LOAD TAKES FOREVER WITH FABRIC - megane-3.1.5+1.16.5.jar</t>
  </si>
  <si>
    <t xml:space="preserve">    Describe the bug_x000D_
The game wont boot or Stuck on the blacksceen when having themegane 3 1 5 1 16 5 jar on mods directory  _x000D_
_x000D_
Heres the Log   latest log (https:  github com PojavLauncherTeam PojavLauncher files 6291994 latest log)_x000D_
Log Directory ( minecraft logs)_x000D_
_x000D_
I cant provide any crashlog  i dont see it crash with the mod yet _x000D_
_x000D_
    To Reproduce:_x000D_
Indicate steps to reproduce the buggy behavior:_x000D_
_x000D_
1  Pasting the mod on the mods folder_x000D_
2  Start Pojav Launcher_x000D_
3  Launch Fabric Client 1 16 5_x000D_
4  Bug occurrs it wont boot anymore _x000D_
_x000D_
    Expected behavior:_x000D_
I expected to see the mojang loading screen but no _x000D_
_x000D_
    Screenshots or videos:_x000D_
 I Will follow up videos or images  _x000D_
_x000D_
  Platform:  _x000D_
   Device Model  Vivo v11i 4 128 _x000D_
   CPU architecture  aarch64  _x000D_
   Android Version  10 _x000D_
   PojavLauncher Version  Latest Release    version 3 3 1 1 rel 20210206  (3 3 1 1 GPlay Version)_x000D_
_x000D_
_x000D_
 details   summary  b Additional context  b   summary _x000D_
 br _x000D_
 pre _x000D_
Any other fabric mods loads normally but when i join the megane 3 1 5 1 16 5 mod  On the directory its breaking the game  I tried adding it Alone on the mods folder still dont work _x000D_
  pre _x000D_
  details _x000D_
</t>
  </si>
  <si>
    <t>andOTP-andOTP-806</t>
  </si>
  <si>
    <t>App Crashes When Tapping On Scan QR Code</t>
  </si>
  <si>
    <t xml:space="preserve">     General information_x000D_
_x000D_
    App version:   0 9 0 beta1_x000D_
    App source:   GitHub_x000D_
    Android Version:   11_x000D_
    Custom ROM:   LineageOS 18 1_x000D_
_x000D_
     Expected result_x000D_
  What is expected   _x000D_
The app launches the QR Scanning normally  _x000D_
_x000D_
  What does happen instead   _x000D_
The app crashes just after tapping on  Scan QR Code  _x000D_
_x000D_
     Logcat_x000D_
https:  pastebin com 7QLKWKab_x000D_
_x000D_
     Steps to reproduce_x000D_
 _x000D_
   Launch andOTP _x000D_
   Tap on the     button _x000D_
   Tap on the  Scan QR Code  option _x000D_
   Experiment the crash </t>
  </si>
  <si>
    <t>TeamNewPipe-NewPipe-6050</t>
  </si>
  <si>
    <t>Upload Date in StreamInfoItem with Error from PrettyTime Conversion in German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</si>
  <si>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As the Image shows  if you open any View containing several StreamInfos  some of them have a bad PrettyTime conversion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In German (and other languages)  the date is expressed with a certain gramatical case  So if the video was made 2 months ago  the date would have to be translated to  vor 2 Monate  n     This suffix only appears with the plural of the word so  1 month ago  would translate to  vor 1 Monat  without the n  _x000D_
_x000D_
    Actual behaviour_x000D_
     Tell us what happens with the steps given above     _x000D_
The upload date is wrongly declinated in a way that it also receives the case suffix if the unit for the date is singular  _x000D_
 1 month ago      vor 1 Monatn _x000D_
This actually only happens with part of the dates as seen in the example picture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MonatnDateIssue (https:  user images githubusercontent com 52137816 114301062 52008c80 9ac3 11eb 99cf 1d167194d946 png)_x000D_
     DON T POST SCREENSHOTS OF THE ERROR PAGE  Use the buttons given on the error page to paste the error as text in the Logs section below     _x000D_
_x000D_
    Logs_x000D_
     If your bug includes a crash (where you re shown the Error Report page with a bunch of info)  tap on  Copy formatted report  at the bottom and paste it here:    _x000D_
No Logs available _x000D_
_x000D_
     That s right  here     _x000D_
_x000D_
     Please fill this out when you do not provide a log generate by NewPipe    _x000D_
_x000D_
    Device info_x000D_
_x000D_
   Android version Custom ROM version: Android 10_x000D_
   Device model: Android Emulator (Nexus 5X)_x000D_
</t>
  </si>
  <si>
    <t>mitulbipin-RxMedicus-1</t>
  </si>
  <si>
    <t>RxMedicus Code Refactoring</t>
  </si>
  <si>
    <t xml:space="preserve">The PR includes a fix for one of the major crash issues in UserProfile java activity  </t>
  </si>
  <si>
    <t>TrackerControl-tracker-control-android-179</t>
  </si>
  <si>
    <t>'Essential' section reverts to unblocked if apps are frozen using Island/Insular</t>
  </si>
  <si>
    <t xml:space="preserve">I m using    Insular   (https:  secure system gitlab io Insular )  a fork of Oasis Feng s    Island   (https:  island oasisfeng com ) but with all blobs (gms  crashlytics  etc) removed  Island allows users to install and run applications in a work profile isolated from their personal files and with its own separate network connection if needed  Island also allows complete app  freezing  by temporarily and transparently uninstalling and shelving apps  and using  unfreeze  launcher shortcuts that rapidly re install and start the app  App freezing can also be used for apps in the main user profile  _x000D_
_x000D_
If the TrackerControl option   Strict Blocking   is disabled  any apps frozen with Island Insular will have the Tracker section  Essential  revert to unblocked when unfrozen relaunched   even if set to blocked at the time of freezing  If Strict Blocking is  enabled   the settings for the Essential section appear to be properly kept  Other sections seem to retain their settings regardless of whether or not Strict Blocking is enabled _x000D_
_x000D_
This issue is not limited to Island Insular users  This issue is also seen if apps are uninstalled and re installed (I tested without clearing settings)  so it also effects users who might be trying to fix issues with an app by re installing  _x000D_
_x000D_
Tested on Pixel 4 XL running Android 11 </t>
  </si>
  <si>
    <t>MuntashirAkon-AppManager-367</t>
  </si>
  <si>
    <t>can't instal apk</t>
  </si>
  <si>
    <t xml:space="preserve">  Describe the bug  _x000D_
crash while trying to instal apk from mt manager_x000D_
_x000D_
  To Reproduce  _x000D_
Steps to reproduce the behaviour:_x000D_
1  open mt manager browser apk file_x000D_
2  click the apk choose instal _x000D_
3  choose Instal (Am Icon)_x000D_
4  See error_x000D_
_x000D_
  Expected behavior  _x000D_
It Should Working_x000D_
_x000D_
  Screenshots  _x000D_
   _x000D_
_x000D_
  Crash logs  _x000D_
on reply_x000D_
_x000D_
  Device info  _x000D_
   Device: Realme 5i_x000D_
   OS Version: Android Q (10)_x000D_
   App Manager Version: v 2 5 20_x000D_
   Mode: adb_x000D_
_x000D_
  Additional context  _x000D_
bruh</t>
  </si>
  <si>
    <t>UniRegensburg-unsere-app-fur-die-universitat-regensburg-bib-buddy-158</t>
  </si>
  <si>
    <t>App crash with isbn retrieving</t>
  </si>
  <si>
    <t xml:space="preserve">App crashes in   ISBN search   if the author exists in different spellings  because then the format  last name  first name  is not necessarily true  Then the authorList has one element  which is   null    what then leads to a crash because of missing error catching _x000D_
_x000D_
The test was done with the ISBN:   9783150012413  _x000D_
Link to related the dataset: https:  portal dnb de opac htm method simpleSearch cqlMode true query nid 118577468 _x000D_
or http:  d nb info gnd 118577468_x000D_
_x000D_
Also if the book has   multiple authors    only the first one is taken over and not all of them  but here I don t know if it s because there s a split between main and co authors (ISBN 9780262038904)  </t>
  </si>
  <si>
    <t>TeamNewPipe-NewPipe-6038</t>
  </si>
  <si>
    <t>Android TV (Xiaomi Mi Box S) - Audio distorsion while playing videos with 2140p WebM or 1440p WebM quality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</si>
  <si>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Play a video on NewPipe at Xiaomi Mi Box S with 2140p WebM or 1440p WebM quality_x000D_
_x000D_
    Actual behaviour_x000D_
     Tell us what happens with the steps given above     _x000D_
_x000D_
  Audio distortion happens  No issues while playing on NewPipe client with 1080p or 720p quality _x000D_
  No issues while playing same videos on default Youtube client of Xiaomi Mi Box S TV Box with 2140p WebM or 1440p WebM quality  Audio streams smootly _x000D_
_x000D_
    Expected behavior_x000D_
     Tell us what you expect to happen     _x000D_
_x000D_
  Audio should stream smootly while playing on NewPipe client with 2140p WebM or 1440p WebM quality_x000D_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No screenshot_x000D_
_x000D_
    Logs_x000D_
     If your bug includes a crash (where you re shown the Error Report page with a bunch of info)  tap on  Copy formatted report  at the bottom and paste it here:    _x000D_
_x000D_
     That s right  here     _x000D_
_x000D_
  No logs_x000D_
_x000D_
     Please fill this out when you do not provide a log generate by NewPipe    _x000D_
_x000D_
    Device info_x000D_
_x000D_
TV: Philips 55PUS6501 12_x000D_
Using HDMI 2 1 certified cable  My TV Philips 55PUS6501 12 and Xiaomi Mi Box S support HDMI 2 0_x000D_
No issues while playing same videos on default Youtube client of Xiaomi Mi Box S with 2140p WebM or 1440p WebM quality  Audio streams smootly _x000D_
_x000D_
Android TV Box: Xiaomi Mi Box S_x000D_
Android version: 9_x000D_
Kernel: 4 9 113    1 Wed May 12 CST 2021_x000D_
Build: PI 3595 release keys_x000D_
SPL: March 5 2021_x000D_
</t>
  </si>
  <si>
    <t>inaturalist-iNaturalistAndroid-1018</t>
  </si>
  <si>
    <t>NullPointerException in TaxonActivity.onMapClick</t>
  </si>
  <si>
    <t xml:space="preserve">https:  console firebase google com u 2 project inaturalist ios crashlytics app android:org inaturalist android issues be628d0a746d66c00f781608b69bc9ae_x000D_
_x000D_
   _x000D_
Fatal Exception: java lang NullPointerException: Attempt to invoke virtual method  org json JSONObject org inaturalist android BetterJSONObject getJSONObject()  on a null object reference_x000D_
       at org inaturalist android TaxonActivity 3 2 onMapClick(TaxonActivity java:719)_x000D_
       at com google android gms maps zzy onMapClick(zzy java:2)_x000D_
       at com google android gms maps internal zzak dispatchTransaction(zzak java:5)_x000D_
       at com google android gms internal maps zzb onTransact(zzb java:12)_x000D_
       at android os Binder transact(Binder java:914)_x000D_
       at dv aZ(dv java:2)_x000D_
       at com google android gms maps internal ai e(ai java)_x000D_
   </t>
  </si>
  <si>
    <t>Anuken-Mindustry-5087</t>
  </si>
  <si>
    <t>Polys get stuck when rebuilding if a resource is out</t>
  </si>
  <si>
    <t xml:space="preserve">  Platform  : Android_x000D_
_x000D_
  Build  : 126 2_x000D_
_x000D_
  Issue  : _x000D_
The war story  if anyone wants to hear it   ):_x000D_
While playing the campaign  I got a bad whacking while defending sector 226 (which was the first  extreme  base I tackled so far    having only T3 units available  I was really struggling during the initial capture attempts (my core got destroyed at least twice    yes  I suck      )) and I only made it by suicide bombing the core   by repeatedly flying several Zenith loaded with 80 units of blast compound each into the enemy core) _x000D_
So during that defense mission _x000D_
my defenses got maimed pretty badly during the last 5 waves   I wouldn t have made it if I had not had the deeply layered defenses set up during the original conquest of the sector  where I used sniping with long range turrets to destroy as much of the enemy base as possible  _x000D_
Since this sector is still threatened and since I dare not attack the two extinction level sectors next to it that threaten it yet (not until I have at least T4 units)  I had hoped that building a load of polys to auto reconstruct most parts of the base while I rebuild and upgrade the defenses would give me a quick way to get a chance of surviving the next attack  Alas  I am somewhat low on phase fabric (yes  I have launch pads on several sectors launching phase fabric and more to 226  but I am still not that good at mass producing it)  I had initially built tons of RTGs  since Thorium is abundant on that map and since I have some trouble keeping impact reactors happy  So the Polys start rebuilding my hinterland  while I am away fixing those battered front lines  After a while  I go back to check progress   and find all polys stuck re  building  an RTG  during which they ran out of phase fabric  And instead of moving to some other reconstruction project that would not require phase fabric  they just sit there  their build beam pointed on the RTG  without progress   : (_x000D_
_x000D_
  The issue  in short form:  _x000D_
Polys get stuck while auto rebuilding when the block they are trying to rebuild requires a resource that is currently out  _x000D_
Expected behaviour: polys move on to some other reconstruction project nearby not requiring that particular resource  _x000D_
Nice to have: having a basic way to control the area where polys rebuild (without having to dive into writing logic   )) _x000D_
_x000D_
_x000D_
_x000D_
  Link(s) to mod(s) used  : zero mods_x000D_
_x000D_
  Save file  : coming soon    have to figure out where to find the campaign save game_x000D_
_x000D_
  (Crash) logs  : no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</si>
  <si>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sschueller-peertube-android-268</t>
  </si>
  <si>
    <t>after adding a new instance thorium client crashes</t>
  </si>
  <si>
    <t xml:space="preserve">hi _x000D_
thorium crashes after I added a new peertube instance _x000D_
device: galaxy s5 klte_x000D_
os: los microg 17 1_x000D_
_x000D_
log file attached_x000D_
_x000D_
thx for looking at it_x000D_
_x000D_
 2021 04 09 thorium crash txt (https:  github com sschueller peertube android files 6286233 2021 04 09 thorium crash txt)_x000D_
_x000D_
best </t>
  </si>
  <si>
    <t>jellyfin-jellyfin-androidtv-812</t>
  </si>
  <si>
    <t>Changing theme crashes app in latest debug build</t>
  </si>
  <si>
    <t xml:space="preserve">  Describe the bug  _x000D_
If I change the theme in the settings on the fire TV app  it will crash the app _x000D_
after a restart the theme is changed to the new one correctly (dark or emerald( ))_x000D_
_x000D_
  To Reproduce  _x000D_
     Steps to reproduce the behavior:    _x000D_
1  Go to settings menu_x000D_
2  Click on change theme_x000D_
3  app crashes_x000D_
4  restart app    theme is changed_x000D_
_x000D_
  Expected behavior  _x000D_
change theme without crashing the app_x000D_
_x000D_
  Logs  _x000D_
sorry  no idea where to find the logs on the android tv _x000D_
Crashreport was auto submitted by the app _x000D_
_x000D_
_x000D_
  System (please complete the following information):  _x000D_
   Fire TV 4k _x000D_
   Amazon_x000D_
    Fire TV Stick 4k_x000D_
   Jellyfin server version: 10 7 1_x000D_
   app version: debug build from a few days ago_x000D_
</t>
  </si>
  <si>
    <t>SkyTubeTeam-SkyTube-956</t>
  </si>
  <si>
    <t>Find some crashes, and hope they can help you to debug</t>
  </si>
  <si>
    <t xml:space="preserve">  Describe the bug  _x000D_
Some crashes happened by accident when I was testing in different devices  I tried to reproduce them and found that they can t be reproduced  but they are real  I hope they can help you to debug  _x000D_
_x000D_
  Setup:  _x000D_
   Android version:  e g  7 or 10  etc  7 0_x000D_
   Is Your device rooted   No_x000D_
   Do You use Tor or any VPN service with your device  No_x000D_
   App source  e g  FDroid  Downloaded from GitHub  self build  self build_x000D_
   App Version  e g  v2 977   v2 977_x000D_
_x000D_
  Crash 1:  _x000D_
Long Msg: java lang Error: java io FileNotFoundException:  storage emulated 0 Download leakcanary free rm skytube oss 2021 03 22 14 34 49 904 hprof (No such file or directory)_x000D_
	at java util concurrent ThreadPoolExecutor runWorker(ThreadPoolExecutor java:1139)_x000D_
	at java util concurrent ThreadPoolExecutor Worker run(ThreadPoolExecutor java:607)_x000D_
	at java lang Thread run(Thread java:760)_x000D_
Caused by: java io FileNotFoundException:  storage emulated 0 Download leakcanary free rm skytube oss 2021 03 22 14 34 49 904 hprof (No such file or directory)_x000D_
	at java io FileInputStream open(Native Method)_x000D_
	at java io FileInputStream  init (FileInputStream java:146)_x000D_
	at shark FileSourceProvider openRandomAccessSource(FileSourceProvider kt:13)_x000D_
	at shark RandomAccessHprofReader Companion openReaderFor(RandomAccessHprofReader kt:69)_x000D_
	at shark HprofIndex openHeapGraph(HprofIndex kt:19)_x000D_
	at shark HprofHeapGraph Companion openHeapGraph(HprofHeapGraph kt:398)_x000D_
	at shark HprofHeapGraph Companion openHeapGraph(HprofHeapGraph kt:389)_x000D_
	at shark HprofHeapGraph Companion openHeapGraph default(HprofHeapGraph kt:387)_x000D_
	at leakcanary internal activity screen HprofExplorerScreen createView  inlined apply lambda 1 invoke(HprofExplorerScreen kt:67)_x000D_
	at leakcanary internal activity screen HprofExplorerScreen createView  inlined apply lambda 1 invoke(HprofExplorerScreen kt:46)_x000D_
	at leakcanary internal activity db Io execute 2 invoke(Io kt:44)_x000D_
	at leakcanary internal activity db Io execute 2 run(Io kt:10)_x000D_
	at java util concurrent ThreadPoolExecutor runWorker(ThreadPoolExecutor java:1133)_x000D_
	    2 more_x000D_
_x000D_
  Crash2:  _x000D_
Long Msg: java lang NullPointerException: Attempt to invoke virtual method  android content res Resources Theme android content Context getTheme()  on a null object reference_x000D_
	at android app AlertDialog resolveDialogTheme(AlertDialog java:222)_x000D_
	at android app AlertDialog  init (AlertDialog java:200)_x000D_
	at android app AlertDialog  init (AlertDialog java:196)_x000D_
	at android app AlertDialog  init (AlertDialog java:141)_x000D_
	at android app ProgressDialog  init (ProgressDialog java:77)_x000D_
	at free rm skytube gui fragments preferences AboutPreferenceFragment 1 onProgressChanged(AboutPreferenceFragment java:137)_x000D_
	at com android webview chromium WebViewContentsClientAdapter onProgressChanged(WebViewContentsClientAdapter java:45)_x000D_
	at org chromium android webview AwContentsClientCallbackHelper MyHandler handleMessage(AwContentsClientCallbackHelper java:81)_x000D_
	at android os Handler dispatchMessage(Handler java:102)_x000D_
	at android os Looper loop(Looper java:163)_x000D_
	at android app ActivityThread main(ActivityThread java:6395)_x000D_
	at java lang reflect Method invoke(Native Method)_x000D_
	at com android internal os ZygoteInit MethodAndArgsCaller run(ZygoteInit java:904)_x000D_
	at com android internal os ZygoteInit main(ZygoteInit java:794)_x000D_
_x000D_
  Crash3:  _x000D_
Long Msg: java lang NullPointerException: Attempt to invoke virtual method  free rm skytube businessobjects YouTube newpipe VideoId free rm skytube businessobjects YouTube POJOs YouTubeVideo getVideoId()  on a null object reference_x000D_
	at free rm skytube businessobjects db DownloadedVideosDb isVideoDownloaded(DownloadedVideosDb java:301)_x000D_
	at free rm skytube gui fragments YouTubePlayerV1Fragment onPrepareOptionsMenu(YouTubePlayerV1Fragment java:693)_x000D_
	at androidx fragment app Fragment performPrepareOptionsMenu(Fragment java:2820)_x000D_
	at androidx fragment app FragmentManager dispatchPrepareOptionsMenu(FragmentManager java:2703)_x000D_
	at androidx fragment app FragmentController dispatchPrepareOptionsMenu(FragmentController java:399)_x000D_
	at androidx fragment app FragmentActivity onPreparePanel(FragmentActivity java:488)_x000D_
	at androidx appcompat view WindowCallbackWrapper onPreparePanel(WindowCallbackWrapper java:99)_x000D_
	at androidx appcompat app AppCompatDelegateImpl AppCompatWindowCallback onPreparePanel(AppCompatDelegateImpl java:3097)_x000D_
	at androidx appcompat app AppCompatDelegateImpl preparePanel(AppCompatDelegateImpl java:1922)_x000D_
	at androidx appcompat app AppCompatDelegateImpl doInvalidatePanelMenu(AppCompatDelegateImpl java:2176)_x000D_
	at androidx appcompat app AppCompatDelegateImpl 2 run(AppCompatDelegateImpl java:268)_x000D_
	at android os Handler handleCallback(Handler java:754)_x000D_
	at android os Handler dispatchMessage(Handler java:95)_x000D_
	at android os Looper loop(Looper java:163)_x000D_
	at android app ActivityThread main(ActivityThread java:6395)_x000D_
	at java lang reflect Method invoke(Native Method)_x000D_
	at com android internal os ZygoteInit MethodAndArgsCaller run(ZygoteInit java:904)_x000D_
	at com android internal os ZygoteInit main(ZygoteInit java:794)_x000D_
_x000D_
  Crash4:  _x000D_
Long Msg: java lang RuntimeException: Unable to destroy activity  free rm skytube oss free rm skytube gui activities MainActivity : java lang NullPointerException: Attempt to invoke virtual method  void free rm skytube gui businessobjects adapters VideoGridAdapter onDestroy()  on a null object reference_x000D_
	at android app ActivityThread performDestroyActivity(ActivityThread java:4337)_x000D_
	at android app ActivityThread handleDestroyActivity(ActivityThread java:4355)_x000D_
	at android app ActivityThread handleRelaunchActivity(ActivityThread java:4629)_x000D_
	at android app ActivityThread  wrap19(ActivityThread java)_x000D_
	at android app ActivityThread H handleMessage(ActivityThread java:1565)_x000D_
	at android os Handler dispatchMessage(Handler java:102)_x000D_
	at android os Looper loop(Looper java:163)_x000D_
	at android app ActivityThread main(ActivityThread java:6395)_x000D_
	at java lang reflect Method invoke(Native Method)_x000D_
	at com android internal os ZygoteInit MethodAndArgsCaller run(ZygoteInit java:904)_x000D_
	at com android internal os ZygoteInit main(ZygoteInit java:794)_x000D_
Caused by: java lang NullPointerException: Attempt to invoke virtual method  void free rm skytube gui businessobjects adapters VideoGridAdapter onDestroy()  on a null object reference_x000D_
	at free rm skytube gui businessobjects fragments BaseVideosGridFragment onDestroy(BaseVideosGridFragment java:110)_x000D_
	at androidx fragment app Fragment performDestroy(Fragment java:2927)_x000D_
	at androidx fragment app FragmentStateManager destroy(FragmentStateManager java:492)_x000D_
	at androidx fragment app FragmentManager moveToState(FragmentManager java:1296)_x000D_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FragmentManager dispatchStateChange(FragmentManager java:2625)_x000D_
	at androidx fragment app FragmentManager dispatchDestroy(FragmentManager java:2609)_x000D_
	at androidx fragment app Fragment performDestroy(Fragment java:2922)_x000D_
	at androidx fragment app FragmentStateManager destroy(FragmentStateManager java:492)_x000D_
	at androidx fragment app FragmentManager moveToState(FragmentManager java:1296)_x000D_
	at androidx fragment app FragmentManager moveToState(FragmentManager java:1356)_x000D_
	at androidx fragment app FragmentManager moveFragmentToExpectedState(FragmentManager java:1434)_x000D_
	at androidx fragment app FragmentManager moveToState(FragmentManager java:1504)_x000D_
	at androidx fragment app FragmentManager dispatchStateChange(FragmentManager java:2625)_x000D_
	at androidx fragment app FragmentManager dispatchDestroy(FragmentManager java:2609)_x000D_
	at androidx fragment app FragmentController dispatchDestroy(FragmentController java:330)_x000D_
	at androidx fragment app FragmentActivity onDestroy(FragmentActivity java:365)_x000D_
	at androidx appcompat app AppCompatActivity onDestroy(AppCompatActivity java:242)_x000D_
	at android app Activity performDestroy(Activity java:7079)_x000D_
	at android app Instrumentation callActivityOnDestroy(Instrumentation java:1154)_x000D_
	at android app ActivityThread performDestroyActivity(ActivityThread java:4324)_x000D_
	    10 more_x000D_
_x000D_
  Crash5:  _x000D_
Long Msg: java lang IllegalArgumentException: Hprof file is 0 byte length_x000D_
	at shark HprofHeader Companion parseHeaderOf(HprofHeader kt:40)_x000D_
	at shark StreamingHprofReader Companion readerFor default(StreamingHprofReader kt:331)_x000D_
	at leakcanary internal activity screen HeapDumpRenderer render(HeapDumpRenderer kt:105)_x000D_
	at leakcanary internal activity screen RenderHeapDumpScreen createView  inlined apply lambda 2 1 invoke(RenderHeapDumpScreen kt:51)_x000D_
	at leakcanary internal activity screen RenderHeapDumpScreen createView  inlined apply lambda 2 1 invoke(RenderHeapDumpScreen kt:47)_x000D_
	at leakcanary internal activity db Io execute 2 invoke(Io kt:44)_x000D_
	at leakcanary internal activity db Io execute 2 run(Io kt:10)_x000D_
	at java util concurrent ThreadPoolExecutor runWorker(ThreadPoolExecutor java:1133)_x000D_
	at java util concurrent ThreadPoolExecutor Worker run(ThreadPoolExecutor java:607)_x000D_
	at java lang Thread run(Thread java:760)</t>
  </si>
  <si>
    <t>deepjavalibrary-djl-838</t>
  </si>
  <si>
    <t>PaddlePaddle ocr example crashed</t>
  </si>
  <si>
    <t xml:space="preserve">   Description_x000D_
(A clear and concise description of what the bug is )_x000D_
PaddlePaddle ocr example crashed when i ocr another picture_x000D_
  20181230 c2222f5782a5420e8b42d89e585a11e8 (https:  user images githubusercontent com 19482737 114158134 f2856e00 9956 11eb 8ddc 97a46d32ce6c jpeg)_x000D_
    Expected Behavior_x000D_
(what s the expected behavior )_x000D_
JVM crashed_x000D_
    Error Message_x000D_
(Paste the complete error message  including stack trace )_x000D_
ARNING: Logging before InitGoogleLogging() is written to STDERR_x000D_
W0409 17:07:45 859364 25780 analysis predictor cc:1059  Deprecated  Please use CreatePredictor instead _x000D_
I0409 17:07:45 859364 25780 analysis predictor cc:139  Profiler is deactivated  and no profiling report will be generated _x000D_
e 1me 35m    Running analysis  ir graph build pass e 0m_x000D_
e 1me 35m    Running analysis  ir graph clean pass e 0m_x000D_
e 1me 35m    Running analysis  ir analysis pass e 0m_x000D_
e 32m    Running IR pass  simplify with basic ops pass e 0m_x000D_
e 32m    Running IR pass  attention lstm fuse pass e 0m_x000D_
e 32m    Running IR pass  seqconv eltadd relu fuse pass e 0m_x000D_
e 32m    Running IR pass  seqpool cvm concat fuse pass e 0m_x000D_
e 32m    Running IR pass  mul lstm fuse pass e 0m_x000D_
e 32m    Running IR pass  fc gru fuse pass e 0m_x000D_
e 32m    Running IR pass  mul gru fuse pass e 0m_x000D_
e 32m    Running IR pass  seq concat fc fuse pass e 0m_x000D_
e 32m    Running IR pass  squeeze2 matmul fuse pass e 0m_x000D_
e 32m    Running IR pass  reshape2 matmul fuse pass e 0m_x000D_
e 32m    Running IR pass  flatten2 matmul fuse pass e 0m_x000D_
e 32m    Running IR pass  map matmul to mul pass e 0m_x000D_
e 32m    Running IR pass  fc fuse pass e 0m_x000D_
e 32m    Running IR pass  repeated fc relu fuse pass e 0m_x000D_
e 32m    Running IR pass  squared mat sub fuse pass e 0m_x000D_
e 32m    Running IR pass  conv bn fuse pass e 0m_x000D_
I0409 17:07:45 982364 25780 graph pattern detector cc:101       detected 33 subgraphs_x000D_
e 32m    Running IR pass  conv eltwiseadd bn fuse pass e 0m_x000D_
e 32m    Running IR pass  conv transpose bn fuse pass e 0m_x000D_
e 32m    Running IR pass  conv transpose eltwiseadd bn fuse pass e 0m_x000D_
I0409 17:07:45 994366 25780 graph pattern detector cc:101       detected 1 subgraphs_x000D_
e 32m    Running IR pass  is test pass e 0m_x000D_
e 32m    Running IR pass  runtime context cache pass e 0m_x000D_
e 1me 35m    Running analysis  ir params sync among devices pass e 0m_x000D_
e 1me 35m    Running analysis  adjust cudnn workspace size pass e 0m_x000D_
e 1me 35m    Running analysis  inference op replace pass e 0m_x000D_
e 1me 35m    Running analysis  ir graph to program pass e 0m_x000D_
I0409 17:07:46 062363 25780 analysis predictor cc:548          optimize end        _x000D_
I0409 17:07:46 062363 25780 naive executor cc:107       skip  feed   feed    x_x000D_
I0409 17:07:46 064363 25780 naive executor cc:107       skip  save infer model scale 0 tmp 1   fetch    fetch_x000D_
I0409 17:07:46 067366 25780 analysis predictor cc:139  Profiler is deactivated  and no profiling report will be generated _x000D_
I0409 17:07:46 067366 25780 naive executor cc:107       skip  feed   feed    x_x000D_
I0409 17:07:46 070394 25780 naive executor cc:107       skip  save infer model scale 0 tmp 1   fetch    fetch_x000D_
W0409 17:07:47 504354 25780 analysis predictor cc:1059  Deprecated  Please use CreatePredictor instead _x000D_
I0409 17:07:47 504354 25780 analysis predictor cc:139  Profiler is deactivated  and no profiling report will be generated _x000D_
e 1me 35m    Running analysis  ir graph build pass e 0m_x000D_
e 1me 35m    Running analysis  ir graph clean pass e 0m_x000D_
e 1me 35m    Running analysis  ir analysis pass e 0m_x000D_
e 32m    Running IR pass  simplify with basic ops pass e 0m_x000D_
e 32m    Running IR pass  attention lstm fuse pass e 0m_x000D_
e 32m    Running IR pass  seqconv eltadd relu fuse pass e 0m_x000D_
e 32m    Running IR pass  seqpool cvm concat fuse pass e 0m_x000D_
e 32m    Running IR pass  mul lstm fuse pass e 0m_x000D_
e 32m    Running IR pass  fc gru fuse pass e 0m_x000D_
e 32m    Running IR pass  mul gru fuse pass e 0m_x000D_
e 32m    Running IR pass  seq concat fc fuse pass e 0m_x000D_
e 32m    Running IR pass  squeeze2 matmul fuse pass e 0m_x000D_
e 32m    Running IR pass  reshape2 matmul fuse pass e 0m_x000D_
I0409 17:07:47 564352 25780 graph pattern detector cc:101       detected 1 subgraphs_x000D_
e 32m    Running IR pass  flatten2 matmul fuse pass e 0m_x000D_
e 32m    Running IR pass  map matmul to mul pass e 0m_x000D_
I0409 17:07:47 565352 25780 graph pattern detector cc:101       detected 1 subgraphs_x000D_
e 32m    Running IR pass  fc fuse pass e 0m_x000D_
I0409 17:07:47 566351 25780 graph pattern detector cc:101       detected 1 subgraphs_x000D_
e 32m    Running IR pass  repeated fc relu fuse pass e 0m_x000D_
e 32m    Running IR pass  squared mat sub fuse pass e 0m_x000D_
e 32m    Running IR pass  conv bn fuse pass e 0m_x000D_
I0409 17:07:47 603384 25780 graph pattern detector cc:101       detected 24 subgraphs_x000D_
e 32m    Running IR pass  conv eltwiseadd bn fuse pass e 0m_x000D_
e 32m    Running IR pass  conv transpose bn fuse pass e 0m_x000D_
e 32m    Running IR pass  conv transpose eltwiseadd bn fuse pass e 0m_x000D_
e 32m    Running IR pass  is test pass e 0m_x000D_
e 32m    Running IR pass  runtime context cache pass e 0m_x000D_
e 1me 35m    Running analysis  ir params sync among devices pass e 0m_x000D_
e 1me 35m    Running analysis  adjust cudnn workspace size pass e 0m_x000D_
e 1me 35m    Running analysis  inference op replace pass e 0m_x000D_
e 1me 35m    Running analysis  ir graph to program pass e 0m_x000D_
I0409 17:07:47 661382 25780 analysis predictor cc:548          optimize end        _x000D_
I0409 17:07:47 661382 25780 naive executor cc:107       skip  feed   feed    x_x000D_
I0409 17:07:47 664384 25780 naive executor cc:107       skip  save infer model scale 0 tmp 1   fetch    fetch_x000D_
I0409 17:07:47 664384 25780 analysis predictor cc:139  Profiler is deactivated  and no profiling report will be generated _x000D_
I0409 17:07:47 664384 25780 naive executor cc:107       skip  feed   feed    x_x000D_
I0409 17:07:47 667392 25780 naive executor cc:107       skip  save infer model scale 0 tmp 1   fetch    fetch_x000D_
W0409 17:07:47 679383 25780 analysis predictor cc:1059  Deprecated  Please use CreatePredictor instead _x000D_
I0409 17:07:47 679383 25780 analysis predictor cc:139  Profiler is deactivated  and no profiling report will be generated _x000D_
e 1me 35m    Running analysis  ir graph build pass e 0m_x000D_
e 1me 35m    Running analysis  ir graph clean pass e 0m_x000D_
e 1me 35m    Running analysis  ir analysis pass e 0m_x000D_
e 32m    Running IR pass  simplify with basic ops pass e 0m_x000D_
e 32m    Running IR pass  attention lstm fuse pass e 0m_x000D_
e 32m    Running IR pass  seqconv eltadd relu fuse pass e 0m_x000D_
e 32m    Running IR pass  seqpool cvm concat fuse pass e 0m_x000D_
e 32m    Running IR pass  mul lstm fuse pass e 0m_x000D_
e 32m    Running IR pass  fc gru fuse pass e 0m_x000D_
e 32m    Running IR pass  mul gru fuse pass e 0m_x000D_
e 32m    Running IR pass  seq concat fc fuse pass e 0m_x000D_
e 32m    Running IR pass  squeeze2 matmul fuse pass e 0m_x000D_
e 32m    Running IR pass  reshape2 matmul fuse pass e 0m_x000D_
e 32m    Running IR pass  flatten2 matmul fuse pass e 0m_x000D_
e 32m    Running IR pass  map matmul to mul pass e 0m_x000D_
I0409 17:07:47 733382 25780 graph pattern detector cc:101       detected 1 subgraphs_x000D_
e 32m    Running IR pass  fc fuse pass e 0m_x000D_
e 32m    Running IR pass  repeated fc relu fuse pass e 0m_x000D_
e 32m    Running IR pass  squared mat sub fuse pass e 0m_x000D_
e 32m    Running IR pass  conv bn fuse pass e 0m_x000D_
I0409 17:07:47 771381 25780 graph pattern detector cc:101       detected 24 subgraphs_x000D_
e 32m    Running IR pass  conv eltwiseadd bn fuse pass e 0m_x000D_
e 32m    Running IR pass  conv transpose bn fuse pass e 0m_x000D_
e 32m    Running IR pass  conv transpose eltwiseadd bn fuse pass e 0m_x000D_
e 32m    Running IR pass  is test pass e 0m_x000D_
e 32m    Running IR pass  runtime context cache pass e 0m_x000D_
e 1me 35m    Running analysis  ir params sync among devices pass e 0m_x000D_
e 1me 35m    Running analysis  adjust cudnn workspace size pass e 0m_x000D_
e 1me 35m    Running analysis  inference op replace pass e 0m_x000D_
e 1me 35m    Running analysis  ir graph to program pass e 0m_x000D_
_x000D_
_x000D_
                                      _x000D_
C   Traceback (most recent call last):_x000D_
                                      _x000D_
Not support stack backtrace yet _x000D_
_x000D_
                      _x000D_
Error Message Summary:_x000D_
                      _x000D_
InvalidArgumentError: The input tensor s dimension should be equal to the axis s size  But received input tensor s dimension is 4  axis s size is 3_x000D_
   Hint: Expected x rank    axis size  but received x rank:4    axis size:3   (at D: v2 0 0 paddle paddle fluid operators transpose op cc:47)_x000D_
_x000D_
 _x000D_
  A fatal error has been detected by the Java Runtime Environment:_x000D_
 _x000D_
   EXCEPTION UNCAUGHT CXX EXCEPTION (0xe06d7363) at pc 0x00007ffe1b9b3e49  pid 29908  tid 25780_x000D_
 _x000D_
  JRE version: Java(TM) SE Runtime Environment 18 9 (11 0 7 8) (build 11 0 7 8 LTS)_x000D_
  Java VM: Java HotSpot(TM) 64 Bit Server VM 18 9 (11 0 7 8 LTS  mixed mode  tiered  compressed oops  g1 gc  windows amd64)_x000D_
  Problematic frame:_x000D_
  C   KERNELBASE dll 0x23e49 _x000D_
 _x000D_
  No core dump will be written  Minidumps are not enabled by default on client versions of Windows_x000D_
 _x000D_
  An error report file with more information is saved as:_x000D_
   hs err pid29908 log_x000D_
 _x000D_
  If you would like to submit a bug report  please visit:_x000D_
    https:  bugreport java com bugreport crash jsp_x000D_
  The crash happened outside the Java Virtual Machine in native code _x000D_
  See problematic frame for where to report the bug _x000D_
 _x000D_
I0409 17:07:47 826381 25780 analysis predictor cc:548          optimize end        _x000D_
I0409 17:07:47 826381 25780 naive executor cc:107       skip  feed   feed    x_x000D_
I0409 17:07:47 829383 25780 naive executor cc:107       skip  save infer model scale 0 tmp 1   fetch    fetch_x000D_
I0409 17:07:47 829383 25780 analysis predictor cc:139  Profiler is deactivated  and no profiling report will be generated _x000D_
I0409 17:07:47 829383 25780 naive executor cc:107       skip  feed   feed    x_x000D_
I0409 17:07:47 832397 25780 naive executor cc:107       skip  save infer model scale 0 tmp 1   fetch    fetch_x000D_
_x000D_
Process finished with exit code 1_x000D_
_x000D_
here is the picture</t>
  </si>
  <si>
    <t>martykan-forecastie-583</t>
  </si>
  <si>
    <t>Find some crashes!</t>
  </si>
  <si>
    <t>APK Version : 1 17 2_x000D_
AndroidOS Version   6 0 9 0_x000D_
  Description information   _x000D_
These crashes happened by accident when I was testing in different devices  I tried to reproduce them and found that they can t be reproduced  but they are real  I hope they can help you to debug _x000D_
_x000D_
  Crash 1:  _x000D_
Long Msg: java lang IllegalArgumentException: View DecorView c78088 MainActivity  not attached to window manager_x000D_
	at android view WindowManagerGlobal findViewLocked(WindowManagerGlobal java:546)_x000D_
	at android view WindowManagerGlobal removeView(WindowManagerGlobal java:439)_x000D_
	at android view WindowManagerImpl removeViewImmediate(WindowManagerImpl java:208)_x000D_
	at android app Dialog dismissDialog(Dialog java:517)_x000D_
	at android app Dialog dismiss(Dialog java:500)_x000D_
	at cz martykan forecastie tasks GenericRequestTask onPostExecute(GenericRequestTask java:204)_x000D_
	at cz martykan forecastie activities MainActivity TodayWeatherTask onPostExecute(MainActivity java:932)_x000D_
	at cz martykan forecastie activities MainActivity TodayWeatherTask onPostExecute(MainActivity java:919)_x000D_
	at android os AsyncTask finish(AsyncTask java:696)_x000D_
	at android os AsyncTask access 600(AsyncTask java:180)_x000D_
	at android os AsyncTask InternalHandler handleMessage(AsyncTask java:713)_x000D_
	at android os Handler dispatchMessage(Handler java:109)_x000D_
	at android os Looper loop(Looper java:207)_x000D_
	at android app ActivityThread main(ActivityThread java:7539)_x000D_
	at java lang reflect Method invoke(Native Method)_x000D_
	at com android internal os RuntimeInit MethodAndArgsCaller run(RuntimeInit java:524)_x000D_
	at com android internal os ZygoteInit main(ZygoteInit java:958)_x000D_
_x000D_
  Crash 2:  _x000D_
Long Msg: java lang IllegalArgumentException: Number of rows columns can t be lesser than 1 _x000D_
	at com db chart view ChartView setGrid(ChartView java:1423)_x000D_
	at cz martykan forecastie activities GraphActivity humidityGraph(GraphActivity java:364)_x000D_
	at cz martykan forecastie activities GraphActivity updateGraphs(GraphActivity java:158)_x000D_
	at cz martykan forecastie activities GraphActivity access 300(GraphActivity java:42)_x000D_
	at cz martykan forecastie activities GraphActivity 4 onCheckedChanged(GraphActivity java:104)_x000D_
	at android widget CompoundButton setChecked(CompoundButton java:176)_x000D_
	at android widget Switch setChecked(Switch java:1124)_x000D_
	at android widget Switch toggle(Switch java:1119)_x000D_
	at android widget CompoundButton performClick(CompoundButton java:137)_x000D_
	at android view View performClickInternal(View java:6620)_x000D_
	at android view View access 3100(View java:787)_x000D_
	at android view View PerformClick run(View java:26167)_x000D_
	at android os Handler handleCallback(Handler java:891)_x000D_
	at android os Handler dispatchMessage(Handler java:102)_x000D_
	at android os Looper loop(Looper java:207)_x000D_
	at android app ActivityThread main(ActivityThread java:7539)_x000D_
	at java lang reflect Method invoke(Native Method)_x000D_
	at com android internal os RuntimeInit MethodAndArgsCaller run(RuntimeInit java:524)_x000D_
	at com android internal os ZygoteInit main(ZygoteInit java:958)_x000D_
_x000D_
  Crash 3:  _x000D_
Long Msg: android view WindowManager BadTokenException: Unable to add window    token android os BinderProxy 2086418 for displayid   0 is not valid  is your activity running _x000D_
	at android view ViewRootImpl setView(ViewRootImpl java:931)_x000D_
	at android view WindowManagerGlobal addView(WindowManagerGlobal java:398)_x000D_
	at android view WindowManagerImpl addView(WindowManagerImpl java:129)_x000D_
	at android app Dialog show(Dialog java:471)_x000D_
	at cz martykan forecastie tasks GenericRequestTask onPreExecute(GenericRequestTask java:60)_x000D_
	at cz martykan forecastie activities MainActivity TodayWeatherTask onPreExecute(MainActivity java:927)_x000D_
	at android os AsyncTask executeOnExecutor(AsyncTask java:649)_x000D_
	at android os AsyncTask execute(AsyncTask java:596)_x000D_
	at cz martykan forecastie activities MainActivity getTodayWeather(MainActivity java:319)_x000D_
	at cz martykan forecastie activities MainActivity refreshWeather(MainActivity java:759)_x000D_
	at cz martykan forecastie activities MainActivity ProvideCityNameTask onPostExecute(MainActivity java:1082)_x000D_
	at cz martykan forecastie activities MainActivity ProvideCityNameTask onPostExecute(MainActivity java:1040)_x000D_
	at android os AsyncTask finish(AsyncTask java:696)_x000D_
	at android os AsyncTask access 600(AsyncTask java:180)_x000D_
	at android os AsyncTask InternalHandler handleMessage(AsyncTask java:713)_x000D_
	at android os Handler dispatchMessage(Handler java:109)_x000D_
	at android os Looper loop(Looper java:207)_x000D_
	at android app ActivityThread main(ActivityThread java:7539)_x000D_
	at java lang reflect Method invoke(Native Method)_x000D_
	at com android internal os RuntimeInit MethodAndArgsCaller run(RuntimeInit java:524)_x000D_
	at com android internal os ZygoteInit main(ZygoteInit java:958)_x000D_
_x000D_
  Crash 4:  _x000D_
Long Msg: java lang NullPointerException: Attempt to invoke virtual method  java lang String java lang String trim()  on a null object reference_x000D_
	at sun misc FloatingDecimal readJavaFormatString(FloatingDecimal java:1838)_x000D_
	at sun misc FloatingDecimal parseFloat(FloatingDecimal java:122)_x000D_
	at java lang Float parseFloat(Float java:451)_x000D_
	at cz martykan forecastie activities MainActivity updateTodayWeatherUI(MainActivity java:509)_x000D_
	at cz martykan forecastie activities MainActivity onStart(MainActivity java:243)_x000D_
	at android app Instrumentation callActivityOnStart(Instrumentation java:1419)_x000D_
	at android app Activity performStart(Activity java:7462)_x000D_
	at android app ActivityThread handleStartActivity(ActivityThread java:3388)_x000D_
	at android app servertransaction TransactionExecutor performLifecycleSequence(TransactionExecutor java:180)_x000D_
	at android app servertransaction TransactionExecutor cycleToPath(TransactionExecutor java:165)_x000D_
	at android app servertransaction TransactionExecutor executeLifecycleState(TransactionExecutor java:142)_x000D_
	at android app servertransaction TransactionExecutor execute(TransactionExecutor java:70)_x000D_
	at android app ActivityThread H handleMessage(ActivityThread java:2155)_x000D_
	at android os Handler dispatchMessage(Handler java:109)_x000D_
	at android os Looper loop(Looper java:207)_x000D_
	at android app ActivityThread main(ActivityThread java:7539)_x000D_
	at java lang reflect Method invoke(Native Method)_x000D_
	at com android internal os RuntimeInit MethodAndArgsCaller run(RuntimeInit java:524)_x000D_
	at com android internal os ZygoteInit main(ZygoteInit java:958)_x000D_
_x000D_
  Crash 5:  _x000D_
Long Msg: android app RemoteServiceException: Context startForegroundService() did not then call Service startForeground(): ServiceRecord b3c462 u0 cz martykan forecastie  notifications WeatherNotificationService _x000D_
	at android app ActivityThread H handleMessage(ActivityThread java:2082)_x000D_
	at android os Handler dispatchMessage(Handler java:109)_x000D_
	at android os Looper loop(Looper java:207)_x000D_
	at android app ActivityThread main(ActivityThread java:7539)_x000D_
	at java lang reflect Method invoke(Native Method)_x000D_
	at com android internal os RuntimeInit MethodAndArgsCaller run(RuntimeInit java:524)_x000D_
	at com android internal os ZygoteInit main(ZygoteInit java:958)</t>
  </si>
  <si>
    <t>Anuken-Mindustry-5085</t>
  </si>
  <si>
    <t>Can't download mods.</t>
  </si>
  <si>
    <t xml:space="preserve">  Platform  : Windows 10_x000D_
_x000D_
  Build  : 126 2_x000D_
_x000D_
  Issue  : I can t download any mods  even though i have a strong wifi connection  here s the picture _x000D_
  aaaaaaaaaaa (https:  user images githubusercontent com 77478972 114112603 8987f280 9891 11eb 8b94 7d73f08d4465 png)_x000D_
_x000D_
_x000D_
  Steps to reproduce  : Step:1 Download any mods from the mod browser _x000D_
_x000D_
  Link(s) to mod(s) used  : No mods were used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</si>
  <si>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Anuken-Mindustry-5083</t>
  </si>
  <si>
    <t>Crash While Playing Level 234</t>
  </si>
  <si>
    <t xml:space="preserve">  Platform  : Windows (Steam)_x000D_
_x000D_
  Build  :  Steam Build 126 3 _x000D_
_x000D_
  Issue  : Playing  Level 234  and got a crash  Was building when it happened _x000D_
Direct error window is:_x000D_
 A crash has occurred  It has been saved    _x000D_
Byte write length exceeded: 37808   32767 _x000D_
Unsure if the byte write length is related or not _x000D_
_x000D_
  Steps to reproduce  : Unable to reproduce currently_x000D_
_x000D_
  Link(s) to mod(s) used  :  DeltaNedasrtfm zip (https:  github com Anuken Mindustry files 6279727 DeltaNedasrtfm zip)_x000D_
 DeltaNedasui lib zip (https:  github com Anuken Mindustry files 6279728 DeltaNedasui lib zip)_x000D_
_x000D_
  Save file  :  sector serpulo 25 zip (https:  github com Anuken Mindustry files 6279704 sector serpulo 25 zip) _x000D_
_x000D_
 I will reap your soul _x000D_
_x000D_
Best warning I have ever seen_x000D_
_x000D_
  (Crash) logs  : _x000D_
Crash Log:  crash report 04 08 2021 11 05 47 txt (https:  github com Anuken Mindustry files 6279673 crash report 04 08 2021 11 05 47 txt)_x000D_
_x000D_
Last Log:  last log txt (https:  github com Anuken Mindustry files 6279675 last log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</si>
  <si>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flackbash-AudioAnchor-102</t>
  </si>
  <si>
    <t>AudioAnchor becomes unresponsive when pressing play on a completed file</t>
  </si>
  <si>
    <t xml:space="preserve">This was already reported in  84 and in  96  _x000D_
_x000D_
  Steps to reproduce:  _x000D_
  start the app_x000D_
  disable autoplay_x000D_
  select a completed file_x000D_
  press play_x000D_
_x000D_
After some seconds  the log output reads_x000D_
   _x000D_
2021 04 08 15:01:53 898 2394 2407 com prangesoftwaresolutions audioanchor I ons audioancho: Thread 3 tid 2407 WaitingInMainSignalCatcherLoop Thread  0xa56cf600 peer 0x13480000  Signal Catcher  : reacting to signal 3_x000D_
2021 04 08 15:01:54 504 2394 2407 com prangesoftwaresolutions audioanchor I ons audioancho: Wrote stack traces to   tombstoned  _x000D_
   _x000D_
And AudioAnchor becomes unresponsive or crashes _x000D_
_x000D_
  What I ve tried so far  _x000D_
  Emptying the  onStartCommand()  method and only returning  START NOT STICKY   Same behavior _x000D_
  Starting playback even though  getCurrentPosition()    getDuration()  such that playback is started along with the foreground service and onCompletion() is immediately called to stop the service again  Same behavior </t>
  </si>
  <si>
    <t>TeamNewPipe-NewPipe-legacy-71</t>
  </si>
  <si>
    <t>Trending page remains empty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</si>
  <si>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legacy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install latest version of NewPipe Legacy_x000D_
2  Launch it_x000D_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Circle keeps rotating and list remains empty _x000D_
_x000D_
_x000D_
    Expected behavior_x000D_
     Tell us what you expect to happen     _x000D_
Trending should be displayed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4 1 2_x000D_
   Device model: SO 05D_x000D_
_x000D_
    Other info_x000D_
_x000D_
as suggested in https:  github com TeamNewPipe NewPipe issues 6022 issuecomment 815652977   I opened same issue here instead </t>
  </si>
  <si>
    <t>PojavLauncherTeam-PojavLauncher-1187</t>
  </si>
  <si>
    <t>[BUG] crash after a while</t>
  </si>
  <si>
    <t xml:space="preserve">_x000D_
 details   summary  b Read before submit  b   summary _x000D_
 br _x000D_
  Make sure there was not duplicated issues  br _x000D_
  Make sure you have filled this issue template  or this will get rejected _x000D_
  details _x000D_
_x000D_
crash after a while in a forge_x000D_
Log: https:  pastebin com 52zs5R1D_x000D_
_x000D_
  Platform:  _x000D_
   Device Model meizu m6s 32_x000D_
   CPU architecture aarch64_x000D_
   Android Version 7 1 2_x000D_
   PojavLauncher Version version 3 3 1 1 rel 20210305_x000D_
_x000D_
_x000D_
 details   summary  b Additional context  b   summary _x000D_
 br _x000D_
 pre _x000D_
This was not at first  but now it has appeared_x000D_
  pre _x000D_
  details _x000D_
</t>
  </si>
  <si>
    <t>sunilpaulmathew-Translator-17</t>
  </si>
  <si>
    <t>string incorrectly marked wrong</t>
  </si>
  <si>
    <t xml:space="preserve">One of the strings of this app contains illegal characters  except I believe they are correct:_x000D_
_x000D_
   _x000D_
Some character  s are considered illegal in   xml   format and are not acceptable  Please be noted that the entire text will be neglected (or even app crashes in the worst case) when an illegal character is detected  n nSome of the prohibited character  s includes  but not limited to n amp    except for certain words n lt  and  gt   except for certain cases such as  lt b gt    lt  b gt    lt i gt    lt  i gt  etc  nSingle (  ) or double (  ) quotation marks without a backward slash (  ) in the front  etc _x000D_
   _x000D_
_x000D_
The issue seems to be with   gt b lt    This prevents me from translating it properly  Are you interpreting it twice _x000D_
_x000D_
How about making all characters legal and escaping when saving the string instead  That would be much less confusing for translators </t>
  </si>
  <si>
    <t>nextcloud-android-8252</t>
  </si>
  <si>
    <t>No password, no app</t>
  </si>
  <si>
    <t xml:space="preserve">    Steps to reproduce_x000D_
1  Add account_x000D_
2  Something gets wrong and you have to reenter the password_x000D_
3  Go back from that  enter password  dialog_x000D_
4  You can t access the app anymore_x000D_
_x000D_
    Expected behaviour_x000D_
  I can enter the password_x000D_
_x000D_
    Actual behaviour_x000D_
  App crashes_x000D_
_x000D_
_x000D_
    Environment data_x000D_
             CAUSE OF ERROR             _x000D_
_x000D_
java lang NullPointerException: Parameter specified as non null is null: method kotlin jvm internal Intrinsics checkNotNullParameter  parameter password_x000D_
  at okhttp3 Credentials basic(Unknown Source:8)_x000D_
  at okhttp3 Credentials basic default(Credentials kt:28)_x000D_
  at okhttp3 Credentials basic(Unknown Source:2)_x000D_
  at com owncloud android lib common OwnCloudClientFactory createNextcloudClient(OwnCloudClientFactory java:217)_x000D_
  at com owncloud android operations RefreshFolderOperation updatePredefinedStatus(RefreshFolderOperation java:338)_x000D_
  at com owncloud android operations RefreshFolderOperation updateCapabilities(RefreshFolderOperation java:311)_x000D_
  at com owncloud android operations RefreshFolderOperation updateOCVersion(RefreshFolderOperation java:277)_x000D_
  at com owncloud android operations RefreshFolderOperation run(RefreshFolderOperation java:230)_x000D_
  at com owncloud android lib common operations RemoteOperation run(RemoteOperation java:359)_x000D_
  at java lang Thread run(Thread java:919)_x000D_
_x000D_
             APP INFORMATION             _x000D_
ID: com nextcloud client_x000D_
Version: 30160052_x000D_
Build flavor: gplay_x000D_
_x000D_
             DEVICE INFORMATION             _x000D_
Brand: motorola_x000D_
Device: doha n_x000D_
Model: moto g(8) plus_x000D_
Id: QPIS30 28 Q3 28 26 3 4_x000D_
Product: doha reteu n_x000D_
_x000D_
             FIRMWARE             _x000D_
SDK: 29_x000D_
Release: 10_x000D_
Incremental: 19343</t>
  </si>
  <si>
    <t>inaturalist-iNaturalistAndroid-1016</t>
  </si>
  <si>
    <t>NullPointerException in DataQualityAssessment.refreshIdCanBeImproved</t>
  </si>
  <si>
    <t xml:space="preserve">https:  console firebase google com u 2 project inaturalist ios crashlytics app android:org inaturalist android issues cd36447a5c2cf9fad49dcc8e370c555a_x000D_
_x000D_
   _x000D_
Fatal Exception: java lang NullPointerException: Attempt to invoke virtual method  org inaturalist android SerializableJSONArray org inaturalist android BetterJSONObject getJSONArray(java lang String)  on a null object reference_x000D_
       at org inaturalist android DataQualityAssessment refreshIdCanBeImproved(DataQualityAssessment java:258)_x000D_
       at org inaturalist android DataQualityAssessment access 800(DataQualityAssessment java:29)_x000D_
       at org inaturalist android DataQualityAssessment IdCanBeImprovedReceiver onReceive(DataQualityAssessment java:432)_x000D_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java:106)_x000D_
       at android os Looper loop(Looper java:246)_x000D_
       at android app ActivityThread main(ActivityThread java:8506)_x000D_
       at java lang reflect Method invoke(Method java)_x000D_
   </t>
  </si>
  <si>
    <t>inaturalist-iNaturalistAndroid-1015</t>
  </si>
  <si>
    <t>TransactionTooLargeException in TaxonActivity$TaxonPhotosPagerAdapter$3.onClick</t>
  </si>
  <si>
    <t xml:space="preserve">https:  console firebase google com u 2 project inaturalist ios crashlytics app android:org inaturalist android issues 347ce4ac8f41c8984c18f600c8f8aee0_x000D_
_x000D_
Is this something we can do anything about other than reducing API size _x000D_
_x000D_
   _x000D_
Caused by android os TransactionTooLargeException: data parcel size 1147204 bytes_x000D_
       at android os BinderProxy transactNative(BinderProxy java)_x000D_
       at android os BinderProxy transact(BinderProxy java:511)_x000D_
       at android app IActivityTaskManager Stub Proxy startActivity(IActivityTaskManager java:3969)_x000D_
       at android app Instrumentation execStartActivity(Instrumentation java:1716)_x000D_
       at android app Activity startActivityForResult(Activity java:5260)_x000D_
       at androidx fragment app FragmentActivity startActivityForResult(FragmentActivity java:676)_x000D_
       at android app Activity startActivityForResult(Activity java:5218)_x000D_
       at androidx fragment app FragmentActivity startActivityForResult(FragmentActivity java:663)_x000D_
       at android app Activity startActivity(Activity java:5589)_x000D_
       at android app Activity startActivity(Activity java:5557)_x000D_
       at org inaturalist android TaxonActivity TaxonPhotosPagerAdapter 3 onClick(TaxonActivity java:1172)_x000D_
   </t>
  </si>
  <si>
    <t>inaturalist-iNaturalistAndroid-1014</t>
  </si>
  <si>
    <t xml:space="preserve">https:  console firebase google com u 2 project inaturalist ios crashlytics app android:org inaturalist android issues 05e85f02d9467009d9c9569e0b7cdc3a_x000D_
_x000D_
   _x000D_
Fatal Exception: java lang NullPointerException: Attempt to invoke virtual method  int java lang Integer intValue()  on a null object reference_x000D_
       at org inaturalist android ObservationViewerActivity downloadCommunityTaxon(ObservationViewerActivity java:2953)_x000D_
       at org inaturalist android ObservationViewerActivity access 4700(ObservationViewerActivity java:118)_x000D_
       at org inaturalist android ObservationViewerActivity ObservationReceiver 3 run(ObservationViewerActivity java:2879)_x000D_
       at java lang Thread run(Thread java:923)_x000D_
   </t>
  </si>
  <si>
    <t>TeamNewPipe-NewPipe-6022</t>
  </si>
  <si>
    <t>[Legacy] Trending page remains empty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</si>
  <si>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legacy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install latest version of NewPipe Legacy_x000D_
2  Launch it_x000D_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Circle keeps rotating and list remains empty _x000D_
_x000D_
_x000D_
    Expected behavior_x000D_
     Tell us what you expect to happen     _x000D_
Trending should be displayed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4 1 2_x000D_
   Device model: SO 05D_x000D_
</t>
  </si>
  <si>
    <t>Anuken-Mindustry-5076</t>
  </si>
  <si>
    <t>Legged units do not project shadows</t>
  </si>
  <si>
    <t xml:space="preserve">  Platform  : Any_x000D_
_x000D_
  Build  : 126 2_x000D_
_x000D_
  Issue  : Legged units  shadows have only appear for the top part  Not the legs  This ends up looking very silly  shadow under the foot  yet the leg has none _x000D_
_x000D_
  Steps to reproduce  : Acquire a legged unit  Best seen on Toxopids_x000D_
_x000D_
  Link(s) to mod(s) used  : Nah_x000D_
_x000D_
  Save file  : Any save file  (proceeds to get soul reaped) Seriously  I tested on some other saves  old imported saves  new saves  essentially 10 of them _x000D_
_x000D_
  (Crash) logs  : No crashin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(probably  there are  many )_x000D_
</t>
  </si>
  <si>
    <t>SCCapstone-TabDab-155</t>
  </si>
  <si>
    <t>App crashes when camera points to certain barcodes</t>
  </si>
  <si>
    <t xml:space="preserve">App is unusable in the emulator  Keeps crashing the moment I open it (after login) _x000D_
_x000D_
The camera app works in the emulator  this app has camera permissions:_x000D_
_x000D_
https:  user images githubusercontent com 228704 113864738 433f7000 9779 11eb 9754 97b3e9f302c1 mp4_x000D_
_x000D_
I will try with my phone   </t>
  </si>
  <si>
    <t>aws-amplify-amplify-android-1273</t>
  </si>
  <si>
    <t>App Crash when trying to save item to DataStore offline</t>
  </si>
  <si>
    <t xml:space="preserve">If I go offline and try to save an item the app crashes _x000D_
_x000D_
aws datastore: 1 17 2_x000D_
_x000D_
   _x000D_
    private fun addDevice()  _x000D_
        val device   Device builder()   _x000D_
             build()_x000D_
_x000D_
        Amplify DataStore save(device _x000D_
               _x000D_
             _x000D_
                Log e( addDevice    AddDevice error:    it)_x000D_
             _x000D_
        )_x000D_
     _x000D_
   _x000D_
_x000D_
   _x000D_
FATAL EXCEPTION: OkHttp https:  fnguccyr6nhmtdnniyxq6xpzte appsync api eu central 1 amazonaws com    _x000D_
    Process: net escalibre myapplication  PID: 29980_x000D_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DataStoreException message Failure during mutation   cause ApiException message OkHttp client request failed   cause java net SocketTimeoutException: timeout  recoverySuggestion See attached exception for more details    recoverySuggestion Check details  _x000D_
        at io reactivex rxjava3 plugins RxJavaPlugins onError(RxJavaPlugins java:367)_x000D_
        at io reactivex rxjava3 internal operators single SingleCreate Emitter onError(SingleCreate java:82)_x000D_
        at com amplifyframework datastore syncengine    Lambda H2kP2N9w3X0gYQg1QzSwv0s9uXc accept(Unknown Source:4)_x000D_
        at com amplifyframework datastore appsync AppSyncClient lambda mutation 5(AppSyncClient java:328)_x000D_
        at com amplifyframework datastore appsync    Lambda AppSyncClient FfgHx1XvivjmTcZhtf9BjbrAq M accept(Unknown Source:4)_x000D_
        at com amplifyframework api aws AppSyncGraphQLOperation OkHttpCallback onFailure(AppSyncGraphQLOperation java:156)_x000D_
        at okhttp3 internal connection RealCall AsyncCall run(RealCall kt:525)_x000D_
        at java util concurrent ThreadPoolExecutor runWorker(ThreadPoolExecutor java:1167)_x000D_
        at java util concurrent ThreadPoolExecutor Worker run(ThreadPoolExecutor java:641)_x000D_
        at java lang Thread run(Thread java:764)_x000D_
     Caused by: DataStoreException message Failure during mutation   cause ApiException message OkHttp client request failed   cause java net SocketTimeoutException: timeout  recoverySuggestion See attached exception for more details    recoverySuggestion Check details  _x000D_
        at com amplifyframework datastore appsync AppSyncClient lambda mutation 5(AppSyncClient java:328) _x000D_
        at com amplifyframework datastore appsync    Lambda AppSyncClient FfgHx1XvivjmTcZhtf9BjbrAq M accept(Unknown Source:4) _x000D_
        at com amplifyframework api aws AppSyncGraphQLOperation OkHttpCallback onFailure(AppSyncGraphQLOperation java:156) _x000D_
        at okhttp3 internal connection RealCall AsyncCall run(RealCall kt:525) _x000D_
        at java util concurrent ThreadPoolExecutor runWorker(ThreadPoolExecutor java:1167) _x000D_
        at java util concurrent ThreadPoolExecutor Worker run(ThreadPoolExecutor java:641) _x000D_
        at java lang Thread run(Thread java:764) _x000D_
     Caused by: ApiException message OkHttp client request failed   cause java net SocketTimeoutException: timeout  recoverySuggestion See attached exception for more details  _x000D_
        at com amplifyframework api aws AppSyncGraphQLOperation OkHttpCallback onFailure(AppSyncGraphQLOperation java:156) _x000D_
        at okhttp3 internal connection RealCall AsyncCall run(RealCall kt:525) _x000D_
        at java util concurrent ThreadPoolExecutor runWorker(ThreadPoolExecutor java:1167) _x000D_
        at java util concurrent ThreadPoolExecutor Worker run(ThreadPoolExecutor java:641) _x000D_
        at java lang Thread run(Thread java:764) _x000D_
     Caused by: java net SocketTimeoutException: timeout_x000D_
        at okhttp3 internal http2 Http2Stream StreamTimeout newTimeoutException(Http2Stream kt:677)_x000D_
        at okhttp3 internal http2 Http2Stream StreamTimeout exitAndThrowIfTimedOut(Http2Stream kt:686)_x000D_
        at okhttp3 internal http2 Http2Stream takeHeaders(Http2Stream kt:143)_x000D_
        at okhttp3 internal http2 Http2ExchangeCodec readResponseHeaders(Http2ExchangeCodec kt:96)_x000D_
        at okhttp3 internal connection Exchange readResponseHeaders(Exchange kt:106)_x000D_
        at okhttp3 internal http CallServerInterceptor intercept(CallServerInterceptor kt:79)_x000D_
        at okhttp3 internal http RealInterceptorChain proceed(RealInterceptorChain kt:109)_x000D_
        at com amplifyframework api aws UserAgentInterceptor intercept(UserAgentInterceptor java:56)_x000D_
        at okhttp3 internal http RealInterceptorChain proceed(RealInterceptorChain kt:109)_x000D_
        at okhttp3 internal connection ConnectInterceptor intercept(ConnectInterceptor kt:34)_x000D_
        at okhttp3 internal http RealInterceptorChain proceed(RealInterceptorChain kt:109)_x000D_
        at okhttp3 internal cache CacheInterceptor intercept(CacheInterceptor kt:95)_x000D_
        at okhttp3 internal http RealInterceptorChain proceed(RealInterceptorChain kt:109)_x000D_
        at okhttp3 internal http BridgeInterceptor intercept(BridgeInterceptor kt:83)_x000D_
        at okhttp3 internal http RealInterceptorChain proceed(RealInterceptorChain kt:109)_x000D_
        at okhttp3 internal http RetryAndFollowUpInterceptor intercept(RetryAndFollowUpInterceptor kt:76)_x000D_
        at okhttp3 internal http RealInterceptorChain proceed(RealInterceptorChain kt:109)_x000D_
        at okhttp3 internal connection RealCall getResponseWithInterceptorChain okhttp(RealCall kt:201)_x000D_
        at okhttp3 internal connection RealCall AsyncCall run(RealCall kt:517)_x000D_
        at java util concurrent ThreadPoolExecutor runWorker(ThreadPoolExecutor java:1167) _x000D_
        at java util concurrent ThreadPoolExecutor Worker run(ThreadPoolExecutor java:641) _x000D_
        at java lang Thread run(Thread java:764) _x000D_
2021 04 07 15:00:26 366 29980 30150 net escalibre myapplication I Process: Sending signal  PID: 29980 SIG: 9_x000D_
   _x000D_
_x000D_
_x000D_
</t>
  </si>
  <si>
    <t>googleads-googleads-mobile-flutter-158</t>
  </si>
  <si>
    <t>Strict Secure Cookie policy error in Admob after updating to Android 11</t>
  </si>
  <si>
    <t xml:space="preserve">   Bug report_x000D_
Native ad cause crash app on simulator Android  API 30 _x000D_
_x000D_
  Describe the bug  _x000D_
https:  stackoverflow com questions 64605612 strict secure cookie policy error in admob after updating to android 11_x000D_
    Steps to reproduce_x000D_
_x000D_
Steps to reproduce the behavior:_x000D_
_x000D_
1  Config native ad as codelab https:  codelabs developers google com codelabs admob inline ads in flutter 7 _x000D_
2  Run app on Android simular with API 30_x000D_
_x000D_
    Expected behavior_x000D_
_x000D_
Firstly app run success but after 3s it was crash and throw the error:_x000D_
_x000D_
   _x000D_
Strict Secure Cookie policy does not allow setting a secure cookie for_x000D_
http:  googleads g doubleclick net  for apps targeting    R  Please either use the  https:  scheme for _x000D_
this URL or omit the  Secure  directive in the cookie value _x000D_
   _x000D_
</t>
  </si>
  <si>
    <t>Anuken-Mindustry-5071</t>
  </si>
  <si>
    <t xml:space="preserve">Mindustry has crashed </t>
  </si>
  <si>
    <t>Mindustry has crashed  How unfortunate _x000D_
Report this at https:  github com Anuken Mindustry issues new labels bug template bug report md_x000D_
_x000D_
Version: bleeding edge build 21007_x000D_
OS: Linux x32_x000D_
Java Version: 0_x000D_
Java Architecture: null_x000D_
0 Mods_x000D_
_x000D_
  ArcRuntime:  arc util ArcRuntimeException: Error reading file: sprites sprites atlas (internal) _x000D_
AssetManager handleTaskError: 670_x000D_
AssetManager update: 442_x000D_
AssetManager update: 465_x000D_
ClientLauncher update: 143_x000D_
AndroidGraphics onDrawFrame: 374_x000D_
GLSurfaceView GLThread guardedRun: 1582_x000D_
GLSurfaceView GLThread run: 1281_x000D_
  ArcRuntime:  Error reading file: sprites sprites atlas (internal) _x000D_
AndroidFi read: 62_x000D_
TextureAtlas TextureAtlasData  init : 350_x000D_
TextureAtlasLoader getDependencies: 45_x000D_
TextureAtlasLoader getDependencies: 20_x000D_
AssetLoadingTask handleSyncLoader: 83_x000D_
AssetLoadingTask update: 72_x000D_
AssetManager updateTask: 591_x000D_
AssetManager update: 440_x000D_
AssetManager update: 465_x000D_
ClientLauncher update: 143_x000D_
AndroidGraphics onDrawFrame: 374_x000D_
GLSurfaceView GLThread guardedRun: 1582_x000D_
GLSurfaceView GLThread run: 1281_x000D_
  FileNotFound:  sprites sprites atlas _x000D_
AssetManager nativeOpenAsset:  2_x000D_
AssetManager open: 902_x000D_
AssetManager open: 879_x000D_
AndroidFi read: 60_x000D_
TextureAtlas TextureAtlasData  init : 350_x000D_
TextureAtlasLoader getDependencies: 45_x000D_
TextureAtlasLoader getDependencies: 20_x000D_
AssetLoadingTask handleSyncLoader: 83_x000D_
AssetLoadingTask update: 72_x000D_
AssetManager updateTask: 591_x000D_
AssetManager update: 440_x000D_
AssetManager update: 465_x000D_
ClientLauncher update: 143_x000D_
AndroidGraphics onDrawFrame: 374_x000D_
GLSurfaceView GLThread guardedRun: 1582_x000D_
GLSurfaceView GLThread run: 1281</t>
  </si>
  <si>
    <t>SCCapstone-PokeCompanion-110</t>
  </si>
  <si>
    <t>The app crashes</t>
  </si>
  <si>
    <t xml:space="preserve">The app keeps crashing of all options of are not updated before updating a pokemon  This needs to be handled _x000D_
_x000D_
https:  user images githubusercontent com 12802456 113782648 8c9fa900 9700 11eb 9c21 4739022eb171 mp4_x000D_
_x000D_
</t>
  </si>
  <si>
    <t>Anuken-Mindustry-5070</t>
  </si>
  <si>
    <t>Crashes on startup loading screen</t>
  </si>
  <si>
    <t xml:space="preserve">  Platform  :  Android iOS Mac Windows Linux _x000D_
_x000D_
Windows 32bit (technically a windows arm64 device  but running the 32bit version of the app)_x000D_
_x000D_
  Build  :  The build number under the title in the main menu  Required   LATEST  IS NOT A VERSION  I NEED THE EXACT BUILD NUMBER OF YOUR GAME  _x000D_
_x000D_
Release build 126 2  I think this is the number you re looking for  This is the Itch io version as I was never able to figure out how to use the GitHub release version_x000D_
_x000D_
  Issue  :  Explain your issue in detail  _x000D_
_x000D_
Game opens and the initial loading screen gets to about 6  triangles  into the loading bar on each side and then crashes _x000D_
_x000D_
  Steps to reproduce  :  How you happened across the issue  and what exactly you did to make the bug happen  _x000D_
_x000D_
Opened up the game  Waited  Crashed_x000D_
_x000D_
  Link(s) to mod(s) used  :  The mod repositories or zip files that are related to the issue  if applicable  _x000D_
_x000D_
No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No save file created yet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Version: release build 126 2_x000D_
OS: Windows 10 x32_x000D_
Java Version: 1 8 0 201 1 ojdkbuild_x000D_
Java Architecture: 32_x000D_
0 Mods_x000D_
_x000D_
arc util ArcRuntimeException: arc util ArcRuntimeException: Couldn t load dependencies of asset: contentcreate_x000D_
	at arc assets AssetManager handleTaskError(AssetManager java:670)_x000D_
	at arc assets AssetManager update(AssetManager java:442)_x000D_
	at arc assets AssetManager update(AssetManager java:465)_x000D_
	at mindustry ClientLauncher update(ClientLauncher java:143)_x000D_
	at arc backend sdl SdlApplication listen(SdlApplication java:160)_x000D_
	at arc backend sdl SdlApplication loop(SdlApplication java:148)_x000D_
	at arc backend sdl SdlApplication  init (SdlApplication java:44)_x000D_
	at mindustry desktop DesktopLauncher main(DesktopLauncher java:36)_x000D_
Caused by: arc util ArcRuntimeException: Couldn t load dependencies of asset: contentcreate_x000D_
	at arc assets AssetLoadingTask handleAsyncLoader(AssetLoadingTask java:105)_x000D_
	at arc assets AssetLoadingTask update(AssetLoadingTask java:74)_x000D_
	at arc assets AssetManager updateTask(AssetManager java:591)_x000D_
	at arc assets AssetManager update(AssetManager java:440)_x000D_
	    6 more_x000D_
Caused by: arc util ArcRuntimeException: java lang NullPointerException_x000D_
	at arc util async AsyncResult get(AsyncResult java:34)_x000D_
	at arc assets AssetLoadingTask handleAsyncLoader(AssetLoadingTask java:103)_x000D_
	    9 more_x000D_
Caused by: java lang NullPointerException_x000D_
	at mindustry graphics g3d PlanetGrid subdividedGrid(PlanetGrid java:149)_x000D_
	at mindustry graphics g3d PlanetGrid create(PlanetGrid java:60)_x000D_
	at mindustry type Planet  init (Planet java:82)_x000D_
	at mindustry content Planets 2  init (Planets java:45)_x000D_
	at mindustry content Planets load(Planets java:45)_x000D_
	at mindustry core ContentLoader createBaseContent(ContentLoader java:67)_x000D_
	at mindustry ClientLauncher lambda setup 3(ClientLauncher java:95)_x000D_
	at arc assets AssetManager 1 loadAsync(AssetManager java:329)_x000D_
	at arc assets AssetLoadingTask call(AssetLoadingTask java:53)_x000D_
	at arc assets AssetLoadingTask call(AssetLoadingTask java:17)_x000D_
	at java util concurrent FutureTask run(FutureTask java:266)_x000D_
	at java util concurrent ThreadPoolExecutor runWorker(ThreadPoolExecutor java:1149)_x000D_
	at java util concurrent ThreadPoolExecutor Worker run(ThreadPoolExecutor java:624)_x000D_
	at java lang Thread run(Thread java:748)_x000D_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</si>
  <si>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UniRegensburg-unsere-app-fur-die-universitat-regensburg-bib-buddy-155</t>
  </si>
  <si>
    <t>Delete book with option menu causes an app crash</t>
  </si>
  <si>
    <t xml:space="preserve">When a book or multiple books are deleted with the options menu the app crashes when you try to delete another book e g  with swipe to delete or when you want to change a book  Also the selected items are still selected   _x000D_
   _x000D_
E AndroidRuntime: FATAL EXCEPTION: main_x000D_
    Process: de bibbuddy  PID: 15722_x000D_
    java lang NullPointerException: Attempt to invoke virtual method  java lang String de bibbuddy Book getIsbn()  on a null object reference_x000D_
        at de bibbuddy BookFormFragment setInputText(BookFormFragment java:105)_x000D_
        at de bibbuddy BookFormFragment onCreateView(BookFormFragment java:87)_x000D_
        at androidx fragment app Fragment performCreateView(Fragment java:2950)_x000D_
        at androidx fragment app FragmentStateManager createView(FragmentStateManager java:515)_x000D_
        at androidx fragment app FragmentStateManager moveToExpectedState(FragmentStateManager java:282)_x000D_
        at androidx fragment app FragmentManager executeOpsTogether(FragmentManager java:2177)_x000D_
        at androidx fragment app FragmentManager removeRedundantOperationsAndExecute(FragmentManager java:2088)_x000D_
        at androidx fragment app FragmentManager execPendingActions(FragmentManager java:1990)_x000D_
        at androidx fragment app FragmentManager 5 run(FragmentManager java:524)_x000D_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t>
  </si>
  <si>
    <t>freezy04-Runtime-Terror-1</t>
  </si>
  <si>
    <t xml:space="preserve">Firebase Null Instance </t>
  </si>
  <si>
    <t xml:space="preserve">When the user attempts to login   a null firebase Instance is returned resulting in an app crash  </t>
  </si>
  <si>
    <t>PojavLauncherTeam-PojavLauncher-1175</t>
  </si>
  <si>
    <t xml:space="preserve">[BUG] infinite loading </t>
  </si>
  <si>
    <t>When i load forge it has an infinite loading screen after selecting play  I use version 1 0 of pojavlauncher because when i use the latest it crashes  I m following the tutorial made by LAZZA MCPE I can do every other version except for forge please help me_x000D_
_x000D_
Specs_x000D_
_x000D_
iphone: Iphone SE (2020)_x000D_
_x000D_
IOS: Ios 14 3_x000D_
_x000D_
I use unc0ver jailbreak</t>
  </si>
  <si>
    <t>TeamNewPipe-NewPipe-6017</t>
  </si>
  <si>
    <t>Some videos fail to play (in both foreground/background)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</si>
  <si>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https:  www youtube com watch v rc4PHKmjnMU (Search for Harold Budd   Jane 8)   for example_x000D_
2  Tap the search result long tap (for background play)_x000D_
3  Try  Play  or  Play in background _x000D_
_x000D_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The video audio never loads starts_x000D_
_x000D_
_x000D_
    Expected behavior_x000D_
Video should start playing  or be able to be played in the background (audio)_x000D_
OR_x000D_
an error message_x000D_
_x000D_
If I share the video to my browser (Firefox Android)  it plays fine _x000D_
_x000D_
    Screenshots Screen recordings_x000D_
(screen recording available on request)_x000D_
_x000D_
     DON T POST SCREENSHOTS OF THE ERROR PAGE  Use the buttons given on the error page to paste the error as text in the Logs section below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v9 (stock)_x000D_
   Device model: Huawei P10_x000D_
</t>
  </si>
  <si>
    <t>TeamNewPipe-NewPipe-6016</t>
  </si>
  <si>
    <t>Video reccomendations and comment section not loading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</si>
  <si>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any video at all _x000D_
2  Press on the video _x000D_
3  Swipe down to a comment section that doesn t exist and gives an error message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app gives an error message  instead of the comment section and video reccomendations _x000D_
_x000D_
_x000D_
    Expected behavior_x000D_
     Tell us what you expect to happen     _x000D_
I think it might be device based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no comment section  no video reccomnedations_x000D_
   Exception_x000D_
    User Action:   requested comments_x000D_
    Request:   Start loading: https:  www youtube com watch v f5omY8jVrSM_x000D_
    Content Country:   US_x000D_
    Content Language:   en GB_x000D_
    App Language:   en US_x000D_
    Service:   YouTube_x000D_
    Version:   0 21 0_x000D_
    OS:   Linux Android 10   29_x000D_
 details  summary  b Crash log   b   summary  p _x000D_
_x000D_
   _x000D_
org schabi newpipe extractor utils Parser RegexException: failed to find pattern  INNERTUBE CONTEXT CLIENT NAME  :(   )     _x000D_
	at org schabi newpipe extractor utils Parser matchGroup(Parser java:74)_x000D_
	at org schabi newpipe extractor utils Parser matchGroup1(Parser java:58)_x000D_
	at org schabi newpipe extractor services youtube extractors YoutubeCommentsExtractor onFetchPage(YoutubeCommentsExtractor java:137)_x000D_
	at org schabi newpipe extractor Extractor fetchPage(Extractor java:54)_x000D_
	at org schabi newpipe extractor comments CommentsInfo getInfo(CommentsInfo java:34)_x000D_
	at org schabi newpipe extractor comments CommentsInfo getInfo(CommentsInfo java:25)_x000D_
	at org schabi newpipe util ExtractorHelper lambda getCommentsInfo 7(ExtractorHelper java:154)_x000D_
	at org schabi newpipe util    Lambda ExtractorHelper 60N  UL7E5eaxFaFO1bZZmnfwM8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_x000D_
     Please fill this out when you do not provide a log generate by NewPipe    _x000D_
_x000D_
    Device info_x000D_
_x000D_
   Android version Custom ROM version: Android 10 Q API 29  MIUI 12_x000D_
   Device model: Xiaomi Pocophone F1 Global_x000D_
</t>
  </si>
  <si>
    <t>TeamNewPipe-NewPipe-6012</t>
  </si>
  <si>
    <t>v21.0 causing infinite Guru Meditation crash loop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</si>
  <si>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Newpipe _x000D_
2  Press on  Any video or videos _x000D_
3  Wait 1 10 minutes for instability_x000D_
   _x000D_
_x000D_
     If you can t cause the bug to show up again reliably (and hence don t have a proper set of steps to give us)  please still try to give as many details as possible on how you think you encountered the bug     _x000D_
_x000D_
1  Go to  Newpipe _x000D_
2  Press on  Any video or videos _x000D_
3  Wait 1 10 minutes for instability_x000D_
_x000D_
_x000D_
    Actual behaviour_x000D_
     Tell us what happens with the steps given above     _x000D_
_x000D_
LG V20: Android 8 0 0_x000D_
_x000D_
Updated Newpipe per a Newpipe notification about ten days ago   System has been unstable ever since _x000D_
_x000D_
After a few minutes of use  I will get the  Guru Meditation  error page for  2 seconds  it will disappear  and then reappear in an endless loop on top of any other applications   The only solution is a full reboot of the phone   I can try it again and the error will come back but the time to get to the error will vary from one to many minutes _x000D_
_x000D_
_x000D_
    Expected behavior_x000D_
     Tell us what you expect to happen     _x000D_
Newpipe has been very stable up to this point and I simply accept new updates    But  upon checking it seems 21 0 is in beta   _x000D_
https:  newpipe net blog pinned release newpipe 0 21 0 released  indicates it is a full release but_x000D_
https:  github com TeamNewPipe NewPipe says the latest is still in beta and to file a bug report if there are problems  hence this message _x000D_
_x000D_
Additional observations:_x000D_
The Newpipe icon will blink on the top icon panel of the phone as the error comes and goes   _x000D_
_x000D_
On the lock screen  the Newpipe ribbon is gray and the hourglass indication appears _x000D_
_x000D_
I no longer have a Trending icon as shown in_x000D_
https:  github com TeamNewPipe NewPipe blob dev fastlane metadata android en US images phoneScreenshots shot 01 png_x000D_
  I only have the Channel groups (TV) and Bookmarked Playlists icons_x000D_
  I can get Trending through Hamburger    Trending_x000D_
  I don t need or use Trending  just noting a discrepancy between what I have and the documentation_x000D_
_x000D_
I can t find any way to break out of the loop other than rebooting the phone   e g  Closing all running apps does not stop the Newpipe error loop_x000D_
_x000D_
Steps I have taken:_x000D_
1) Checked the Issues list prior to posting_x000D_
2) Reproduced the error per above_x000D_
3) Downgraded to 20 9   Seems to fix the crashing but some features like YT comments don t work and I frequently get  Something went wrong  messages but without the crash loop_x000D_
4) Reinstalled 21 0 and confirmed the problem_x000D_
_x000D_
I can downgrade to any recommended version   So long as I can watch videos and access playlists  I can live without comments and other features   _x000D_
_x000D_
Thanks  _x000D_
_x000D_
The Old Guy in the Club_x000D_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Can t capture anything due to infinite Guru Meditation loop _x000D_
_x000D_
    Logs_x000D_
     If your bug includes a crash (where you re shown the Error Report page with a bunch of info)  tap on  Copy formatted report  at the bottom and paste it here:    _x000D_
_x000D_
     That s right  here     _x000D_
_x000D_
Don t see any applicable logs but I don t know where to look  either   Again  infinite loop makes this hard to pin down _x000D_
_x000D_
     Please fill this out when you do not provide a log generate by NewPipe    _x000D_
_x000D_
    Device info_x000D_
_x000D_
   Android version Custom ROM version: 8 0 0 nothing custom_x000D_
   Device model: LG V20_x000D_
</t>
  </si>
  <si>
    <t>Landry333-Big-Owl-278</t>
  </si>
  <si>
    <t>BUG-278: Accepting invitation request crashes the app</t>
  </si>
  <si>
    <t xml:space="preserve">    Related Issue(s): _x000D_
 52 _x000D_
_x000D_
    Relevant File(s):_x000D_
SignUpPageActivity java_x000D_
_x000D_
    Describe the bug:_x000D_
When accepting a group invitation request  the app will crash _x000D_
_x000D_
The reason behind this is because  in the database  the memberGroupIdList is null instead of empty when a user is new to the app  So  when the app tries to add the user to a group  it will call something like  null add(group)  which crashes the app _x000D_
_x000D_
    To Reproduce:_x000D_
Steps to reproduce the behavior:_x000D_
1  Create a new user (let s call them user 1)_x000D_
2  From another account (user 2)  invite user 1 into its group_x000D_
3  From user 1 s account  accept their invitation_x000D_
4  App crashes_x000D_
_x000D_
    Expected behavior_x000D_
User 1 should be added to user 2 s group successfully _x000D_
</t>
  </si>
  <si>
    <t>Anuken-Mindustry-5064</t>
  </si>
  <si>
    <t>Memory leak MP</t>
  </si>
  <si>
    <t xml:space="preserve">  Platform  :  Windows 10 x64 _x000D_
_x000D_
  Build  :  steam build 126 3 _x000D_
_x000D_
  Issue  :  Game freezes after some time of gameplay  Game using 16GB ram  PC runs out of memory  Task manager unable to kill the process  hard reset of PC required  _x000D_
_x000D_
  Steps to reproduce  :  Play the game with a friend  I am the client  other player host  Game freezes after sometime  Game using 16GB ram  PC runs out of memory  Happened twice  map: Nuclear Production Complex _x000D_
Also noticed game state is different on both client and host  specifically items in pipes and belts  had a couple of mixups  and after cleaning for 1 client it all looks good  while the other client still sees mixed item on belts or liquids in pipes  (might be related)_x000D_
 _x000D_
_x000D_
  Link(s) to mod(s) used  :  no mods _x000D_
_x000D_
  Save file  :   sector serpulo 130 msav backup zip (https:  github com Anuken Mindustry files 6260699 sector serpulo 130 msav backup zip) _x000D_
_x000D_
If you remove the line above without reading it properly and understanding what it means  I will reap your soul  Even if you re playing on someone s server  you can still save the game to a slot _x000D_
_x000D_
  (Crash) logs  :  NO crash logs available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</si>
  <si>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ankidroid-Anki-Android-8487</t>
  </si>
  <si>
    <t>[Bug] Regression CustomStudyDialog filtering on tags will result in a crash</t>
  </si>
  <si>
    <t xml:space="preserve">I think this  8341 introduced a bug in  CustomStudyDialog   it removed the setter for the listener (which is great  since we can t relay on it to be there after a configuration change) but it assumed the fact that  getActivity()  would return an activity that does implement the interface _x000D_
_x000D_
In the case of  CustomStudyDialog  the interface was implemented on the dialog  not on its hosing activity  StudyOptionsActivity  _x000D_
_x000D_
_x000D_
   _x000D_
2021 04 05 21:48:15 228 22091 22091 com ichi2 anki E AndroidRuntime: FATAL EXCEPTION: main_x000D_
    Process: com ichi2 anki  PID: 22091_x000D_
    java lang ClassCastException: com ichi2 anki StudyOptionsActivity cannot be cast to com ichi2 anki dialogs TagsDialog TagsDialogListener_x000D_
        at com ichi2 anki dialogs TagsDialog lambda onCreateDialog 1 TagsDialog(TagsDialog java:171)_x000D_
        at com ichi2 anki dialogs    Lambda TagsDialog TJXB9icr xFZpv9Zstg5vm6cF3o onClick(Unknown Source:2)_x000D_
        at com afollestad materialdialogs MaterialDialog onClick(MaterialDialog java:410)_x000D_
              _x000D_
              _x000D_
   _x000D_
_x000D_
       Reproduction Steps_x000D_
_x000D_
1  Open custom study dialog_x000D_
2  select tag filtering_x000D_
3  have fun in the tag dialog_x000D_
4  once you click on ok  it crashes_x000D_
_x000D_
_x000D_
       Expected Result_x000D_
no crash_x000D_
_x000D_
_x000D_
       Actual Result_x000D_
crash_x000D_
_x000D_
_x000D_
</t>
  </si>
  <si>
    <t>material-components-material-components-android-2164</t>
  </si>
  <si>
    <t>Error inflating class com.google.android.material.tabs.TabLayout, The style on this component requires your app theme to be Theme.AppCompat (or a descendant).</t>
  </si>
  <si>
    <t xml:space="preserve">  Description:   When navigating to a page with TabLayout  I get:  Error inflating class com google android material tabs TabLayout  The style on this component requires your app theme to be Theme AppCompat (or a descendant)  _x000D_
_x000D_
  Expected behavior:   App does not crash _x000D_
_x000D_
  Source code:   _x000D_
   java_x000D_
Intent nextScreen   WidgetFactory getWidgetIntent(widget  this bridge getActivity()) _x000D_
            if (WidgetFactory canAccessWidget(widget)    nextScreen    null)  _x000D_
                getActivity() startActivity(nextScreen) _x000D_
              else  _x000D_
                success   false _x000D_
                showAccessDialog() _x000D_
             _x000D_
   _x000D_
_x000D_
  Android API version:   29_x000D_
_x000D_
  Material Library version:    com google android material:material:1 0 0 _x000D_
_x000D_
  Device:   Google Pixel 4  Google Pixel 3_x000D_
</t>
  </si>
  <si>
    <t>nextcloud-android-8244</t>
  </si>
  <si>
    <t>Files App Crashes Upon Opening an Image Shared on Team Conversation</t>
  </si>
  <si>
    <t xml:space="preserve">    Steps to reproduce_x000D_
1  Open Talk _x000D_
2  Go to a conversation _x000D_
3  Tap on an image shared earlier in the group conversation _x000D_
_x000D_
    Expected behaviour_x000D_
  The image should simply open up _x000D_
_x000D_
    Actual behaviour_x000D_
  Files app crashes _x000D_
_x000D_
    Environment data_x000D_
Android version: 11_x000D_
_x000D_
Device model: Google Pixel 3XL_x000D_
_x000D_
Stock or customized system: Stock_x000D_
_x000D_
Nextcloud Files app version: v3 15 0  build 4804_x000D_
_x000D_
Nextcloud server version: 21 0 0_x000D_
_x000D_
Reverse proxy:_x000D_
_x000D_
    Logs_x000D_
     error log from the app_x000D_
             CAUSE OF ERROR             _x000D_
_x000D_
java lang IllegalArgumentException: Comparison method violates its general contract _x000D_
	at java util TimSort mergeHi(TimSort java:899)_x000D_
	at java util TimSort mergeAt(TimSort java:516)_x000D_
	at java util TimSort mergeForceCollapse(TimSort java:457)_x000D_
	at java util TimSort sort(TimSort java:254)_x000D_
	at java util Arrays sort(Arrays java:1492)_x000D_
	at java util ArrayList sort(ArrayList java:1470)_x000D_
	at java util Collections sort(Collections java:206)_x000D_
	at com owncloud android utils FileSortOrderByName sortCloudFiles(FileSortOrderByName java:52)_x000D_
	at com owncloud android ui adapter OCFileListAdapter swapDirectory(OCFileListAdapter java:922)_x000D_
	at com owncloud android ui fragment OCFileListFragment listDirectory(OCFileListFragment java:1259)_x000D_
	at com owncloud android ui asynctasks FetchRemoteFileTask onPostExecute(FetchRemoteFileTask java:133)_x000D_
	at com owncloud android ui asynctasks FetchRemoteFileTask onPostExecute(FetchRemoteFileTask java:45)_x000D_
	at android os AsyncTask finish(AsyncTask java:771)_x000D_
	at android os AsyncTask access 900(AsyncTask java:199)_x000D_
	at android os AsyncTask InternalHandler handleMessage(AsyncTask java:788)_x000D_
	at android os Handler dispatchMessage(Handler java:106)_x000D_
	at android os Looper loop(Looper java:223)_x000D_
	at android app ActivityThread main(ActivityThread java:7660)_x000D_
	at java lang reflect Method invoke(Native Method)_x000D_
	at com android internal os RuntimeInit MethodAndArgsCaller run(RuntimeInit java:592)_x000D_
	at com android internal os ZygoteInit main(ZygoteInit java:947)_x000D_
_x000D_
             APP INFORMATION             _x000D_
ID: sa gov tafaul android client_x000D_
Version: 30150090 (build  4804)_x000D_
Build flavor: gplay_x000D_
_x000D_
             DEVICE INFORMATION             _x000D_
Brand: google_x000D_
Device: crosshatch_x000D_
Model: Pixel 3 XL_x000D_
Id: RQ2A 210305 006_x000D_
Product: crosshatch_x000D_
_x000D_
             FIRMWARE             _x000D_
SDK: 30_x000D_
Release: 11_x000D_
Incremental: 7119741</t>
  </si>
  <si>
    <t>TeamNewPipe-NewPipe-6010</t>
  </si>
  <si>
    <t>Crash when opening some links from comments.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</si>
  <si>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Example video: https:  www youtube com watch v Ws0npSEwEOg_x000D_
Go to the comment section and tap to the link inside a comment and the app will crash  It seems like it s specific to og sg net I can t reproduce with other links  The same link from the description works as it should _x000D_
_x000D_
     If you can t cause the bug to show up again reliably (and hence don t have a proper set of steps to give us)  please still try to give as many details as possible on how you think you encountered the bug     _x000D_
_x000D_
_x000D_
_x000D_
    Actual behaviour_x000D_
The app will crash _x000D_
_x000D_
_x000D_
_x000D_
    Expected behavior_x000D_
The app should ask to choose an application to open the link _x000D_
_x000D_
_x000D_
_x000D_
    Screenshots Screen recordings_x000D_
  image (https:  user images githubusercontent com 44613177 113594621 39faba00 9638 11eb 84be 1c163a4e7c97 png)_x000D_
_x000D_
_x000D_
_x000D_
_x000D_
_x000D_
    Logs_x000D_
   Exception_x000D_
   User Action:  ui error_x000D_
   Request:  ACRA report_x000D_
   Content Country:  HU_x000D_
   Content Language:  hu HU_x000D_
   App Language:  hu HU_x000D_
   Service:  none_x000D_
   Version:  0 21 0_x000D_
   OS:  Linux Android 11   30_x000D_
 details  summary  b Crash log   b   summary  p _x000D_
_x000D_
   _x000D_
android os NetworkOnMainThreadException_x000D_
	at android os StrictMode AndroidBlockGuardPolicy onNetwork(StrictMode java:1605)_x000D_
	at java net Inet6AddressImpl lookupHostByName(Inet6AddressImpl java:115)_x000D_
	at java net Inet6AddressImpl lookupAllHostAddr(Inet6AddressImpl java:103)_x000D_
	at java net InetAddress getAllByName(InetAddress java:1152)_x000D_
	at okhttp3 Dns 1 lookup(Dns java:40)_x000D_
	at okhttp3 internal connection RouteSelector resetNextInetSocketAddress(RouteSelector java:185)_x000D_
	at okhttp3 internal connection RouteSelector nextProxy(RouteSelector java:149)_x000D_
	at okhttp3 internal connection RouteSelector next(RouteSelector java:84)_x000D_
	at okhttp3 internal connection StreamAllocation findConnection(StreamAllocation java:215)_x000D_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org schabi newpipe DownloaderImpl execute(DownloaderImpl java:264)_x000D_
	at org schabi newpipe extractor downloader Downloader get(Downloader java:70)_x000D_
	at org schabi newpipe extractor downloader Downloader get(Downloader java:29)_x000D_
	at org schabi newpipe extractor services bandcamp extractors BandcampExtractorHelper isSupportedDomain(BandcampExtractorHelper java:95)_x000D_
	at org schabi newpipe extractor services bandcamp linkHandler BandcampChannelLinkHandlerFactory onAcceptUrl(BandcampChannelLinkHandlerFactory java:83)_x000D_
	at org schabi newpipe extractor linkhandler LinkHandlerFactory acceptUrl(LinkHandlerFactory java:100)_x000D_
	at org schabi newpipe extractor StreamingService getLinkTypeByUrl(StreamingService java:291)_x000D_
	at org schabi newpipe extractor NewPipe getServiceByUrl(NewPipe java:93)_x000D_
	at org schabi newpipe util CommentTextOnTouchListener handleUrl(CommentTextOnTouchListener java:98)_x000D_
	at org schabi newpipe util CommentTextOnTouchListener onTouch(CommentTextOnTouchListener java:69)_x000D_
	at android view View dispatchTouchEvent(View java:14306)_x000D_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dispatchTouchEvent(ViewGroup java:2799)_x000D_
	at android view ViewGroup dispatchTransformedTouchEvent(ViewGroup java:3118)_x000D_
	at android view ViewGroup dispat_x000D_
</t>
  </si>
  <si>
    <t>SCCapstone-PokeCompanion-103</t>
  </si>
  <si>
    <t>Cannot edit pokemon values</t>
  </si>
  <si>
    <t xml:space="preserve">When I try to edit the values for an existing pokemon the number reverts back  eventually the whole page crashes away:_x000D_
_x000D_
The values cannot be changed:_x000D_
_x000D_
https:  user images githubusercontent com 228704 113578000 262b6580 95f0 11eb 85a1 787d018f8a66 mp4_x000D_
_x000D_
</t>
  </si>
  <si>
    <t>PojavLauncherTeam-PojavLauncher-1168</t>
  </si>
  <si>
    <t>[BUG] pojav crashing on the latest Google Play release</t>
  </si>
  <si>
    <t xml:space="preserve">    _x000D_
If you don t fill in this template  this issue will be marked as invalid and closed _x000D_
   Bug_x000D_
_x000D_
 details   summary  b Read before submit  b   summary _x000D_
 br _x000D_
  Make sure there was not duplicated issues  br _x000D_
  Make sure you have filled this issue template  or this will get rejected _x000D_
  details _x000D_
_x000D_
    Describe the bug_x000D_
Whenever I click play the pojavlauncher crashes_x000D_
_x000D_
  Add a log file if you want to see your bug fix  _x000D_
 _x000D_
 latestlog txt (https:  github com PojavLauncherTeam PojavLauncher files 6256812 latestlog txt)_x000D_
_x000D_
_x000D_
The log file called  lastlog txt  is located under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_x000D_
    Expected behavior:_x000D_
I expected to work properly_x000D_
_x000D_
    Screenshots or videos:_x000D_
 Upload here screenshots or videos of the buggy behavior  if possible  _x000D_
_x000D_
  Platform:  _x000D_
   Device Model Samsung galaxy A30s_x000D_
   CPU architecture aarch64_x000D_
   Android Version 10_x000D_
   PojavLauncher Version Latest Release _x000D_
_x000D_
_x000D_
 details   summary  b Additional context  b   summary _x000D_
 br _x000D_
 pre _x000D_
Add any other context about the problem here _x000D_
  pre _x000D_
  details _x000D_
Please unban me on discord</t>
  </si>
  <si>
    <t>indomie858-app-A-161</t>
  </si>
  <si>
    <t>Added null location check to PlaceViewModel</t>
  </si>
  <si>
    <t xml:space="preserve">This should prevent the app from crashing due to a null pointer exception when clicking on a category_x000D_
_x000D_
See issue  156 </t>
  </si>
  <si>
    <t>ankidroid-Anki-Android-8467</t>
  </si>
  <si>
    <t>[Bug] Long pressing a card below the end of the initial ListView crashes</t>
  </si>
  <si>
    <t xml:space="preserve">       Reproduction Steps_x000D_
_x000D_
1  Go to card browser _x000D_
2  Long press on a card to select it _x000D_
3  After the card is selected  long press again _x000D_
4  Notice that the app crashes _x000D_
_x000D_
       Expected Result_x000D_
_x000D_
App should not crash _x000D_
_x000D_
       Actual Result_x000D_
_x000D_
The app crashes  Here are the logs:_x000D_
_x000D_
   _x000D_
java lang NullPointerException: Attempt to invoke virtual method  android view View android view View findViewById(int)  on a null object reference_x000D_
        at com ichi2 anki CardBrowser lambda onCollectionLoaded 2 CardBrowser(CardBrowser java:673)_x000D_
        at com ichi2 anki    Lambda CardBrowser cpk2FDlr72riVUwAw9LYnTvoqho onItemLongClick(Unknown Source:6)_x000D_
        at android widget AbsListView performLongPress(AbsListView java:3288)_x000D_
        at android widget AbsListView CheckForLongPress run(AbsListView java:3205)_x000D_
        at android os Handler handleCallback(Handler java:873)_x000D_
        at android os Handler dispatchMessage(Handler java:99)_x000D_
        at android os Looper loop(Looper java:201)_x000D_
        at android app ActivityThread main(ActivityThread java:6864)_x000D_
        at java lang reflect Method invoke(Native Method)_x000D_
        at com android internal os RuntimeInit MethodAndArgsCaller run(RuntimeInit java:547)_x000D_
        at com android internal os ZygoteInit main(ZygoteInit java:873)_x000D_
   _x000D_
_x000D_
       Research_x000D_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(Optional) I have confirmed the issue is not resolved in the latest alpha release ( instructions (https:  docs ankidroid org manual html betaTesting))</t>
  </si>
  <si>
    <t>TeamNewPipe-NewPipe-5996</t>
  </si>
  <si>
    <t>Unable to start activity ComponentInfo{org.schabi.newpipe/org.schabi.newpipe.MainActivity}: java.lang.NullPointerException: Attempt to get length of null array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</si>
  <si>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Open the app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logo shows up for a second  then disappears and goes back to the launcher screen  A few seconds later the error screen comes up _x000D_
    Expected behavior_x000D_
     Tell us what you expect to happen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ui error_x000D_
    Request:   ACRA report_x000D_
    Content Country:   GB_x000D_
    Content Language:   en GB_x000D_
    App Language:   en GB_x000D_
    Service:   none_x000D_
    Version:   0 21 0_x000D_
    OS:   Linux OPPO CPH1605 CPH1605:5 1 LMY47I 1471871662:user release keys 6 0   23_x000D_
 details  summary  b Crash log   b   summary  p _x000D_
_x000D_
   _x000D_
java lang RuntimeException: Unable to start activity ComponentInfo org schabi newpipe org schabi newpipe MainActivity : java lang NullPointerException: Attempt to get length of null array_x000D_
	at android app ActivityThread performLaunchActivity(ActivityThread java:2687)_x000D_
	at android app ActivityThread handleLaunchActivity(ActivityThread java:2753)_x000D_
	at android app ActivityThread access 1100(ActivityThread java:186)_x000D_
	at android app ActivityThread H handleMessage(ActivityThread java:1609)_x000D_
	at android os Handler dispatchMessage(Handler java:111)_x000D_
	at android os Looper loop(Looper java:238)_x000D_
	at android app ActivityThread main(ActivityThread java:6016)_x000D_
	at java lang reflect Method invoke(Native Method)_x000D_
	at com android internal os ZygoteInit MethodAndArgsCaller run(ZygoteInit java:937)_x000D_
	at com android internal os ZygoteInit main(ZygoteInit java:798)_x000D_
Caused by: java lang NullPointerException: Attempt to get length of null array_x000D_
	at org schabi newpipe util StateSaver clearStateFiles(StateSaver java:302)_x000D_
	at org schabi newpipe MainActivity initFragments(MainActivity java:702)_x000D_
	at org schabi newpipe MainActivity onCreate(MainActivity java:149)_x000D_
	at android app Activity performCreate(Activity java:6466)_x000D_
	at android app Instrumentation callActivityOnCreate(Instrumentation java:1113)_x000D_
	at android app ActivityThread performLaunchActivity(ActivityThread java:2640)_x000D_
	    9 more_x000D_
_x000D_
   _x000D_
  details _x000D_
 hr _x000D_
_x000D_
     That s right  here     _x000D_
_x000D_
_x000D_
_x000D_
_x000D_
     Please fill this out when you do not provide a log generate by NewPipe    _x000D_
_x000D_
    Device info_x000D_
_x000D_
   Android version Custom ROM version: ColorOS 3 0 0i   Android 6 0_x000D_
   Device model: Oppo A39_x000D_
</t>
  </si>
  <si>
    <t>CMPUT301W21T12-WiseTrack-104</t>
  </si>
  <si>
    <t>Experiment Search - Whitespace Error</t>
  </si>
  <si>
    <t xml:space="preserve">     Steps to reproduce the issue_x000D_
1   Go to  Search for Experiments _x000D_
2   Input single space into the search bar_x000D_
3   Press the search button_x000D_
4  App will crash_x000D_
_x000D_
     What s the expected result _x000D_
Search results should be returned_x000D_
_x000D_
     What s the actual result _x000D_
App crashes_x000D_
_x000D_
     Additional details   screenshot_x000D_
 java lang IllegalStateException: Could not execute method for android:onClick _x000D_
Suggestion: use  strip  method to remove whitespace from before and after search  then check if search is empty like normal </t>
  </si>
  <si>
    <t>ankidroid-Anki-Android-8459</t>
  </si>
  <si>
    <t>[Bug] 2.14.6 - Android 11 - onRenderProcessGone triggered when app is in background</t>
  </si>
  <si>
    <t xml:space="preserve">       Reproduction Steps_x000D_
_x000D_
1  Open AnkiDroid_x000D_
2  Open a card_x000D_
3  Move AnkiDroid to background_x000D_
3  Do something which causes the WebView to OOM   Discord Video  open camera  etc   _x000D_
_x000D_
_x000D_
       Expected Result_x000D_
_x000D_
  We only show the toast when the app is visible_x000D_
_x000D_
       Actual Result_x000D_
_x000D_
  AnkiDroid shows a toast: the  Fatal Error: WebView renderer crashed  Cause:  s  message_x000D_
_x000D_
_x000D_
       Debug info_x000D_
   _x000D_
AnkiDroid Version   2 14 6_x000D_
_x000D_
Android Version   11_x000D_
_x000D_
ACRA UUID   ed31b78c 342f 42f0 92c1 0ee430a93ec6_x000D_
_x000D_
Scheduler   std2_x000D_
_x000D_
Crash Reports Enabled   true_x000D_
   _x000D_
_x000D_
       Research_x000D_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(Optional) I have confirmed the issue is not resolved in the latest alpha release ( instructions (https:  docs ankidroid org manual html betaTesting))</t>
  </si>
  <si>
    <t>PojavLauncherTeam-PojavLauncher-1159</t>
  </si>
  <si>
    <t>[BUG] black sky when using shaders on 32bits device</t>
  </si>
  <si>
    <t xml:space="preserve">    _x000D_
I love the shader pack but bug turns the sky into a black void in any 32bits device_x000D_
   _x000D_
_x000D_
 details   summary  b Read before submit  b   summary _x000D_
 br _x000D_
  Make sure there was not duplicated issues  br _x000D_
  Make sure you have filled this issue template  or this will get rejected _x000D_
  details _x000D_
Bug about the shaders on 32bits device_x000D_
    Describe the bug_x000D_
A clear and concise description of what the bug is _x000D_
_x000D_
  Add a log file if you want to see your bug fixed    _x000D_
_x000D_
The log file called  lastlog txt  is located under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2  Turn on the shaders_x000D_
    Expected behavior:_x000D_
I expected that would be no bug but when I turn on the shader the sky turns black and in a minute it crashes the game_x000D_
_x000D_
    Screenshots or videos:_x000D_
 Upload here screenshots or videos of the buggy behavior  if possible  _x000D_
_x000D_
  Platform:  _x000D_
   Device Model  e g  MRD LX2 (MRD L22)  _x000D_
   CPU architecture  e g  armv8l   _x000D_
   Android Version  e g  9 _x000D_
   PojavLauncher Version  e g Latest Release    version 3 3 1 1 rel 20210321  _x000D_
_x000D_
_x000D_
 details   summary  b Additional context  b   summary _x000D_
 br _x000D_
 pre _x000D_
Add any other context about the problem here _x000D_
  pre _x000D_
  details _x000D_
</t>
  </si>
  <si>
    <t>TeamNewPipe-NewPipe-5993</t>
  </si>
  <si>
    <t>Buttons went to the top of the screen - Orientation breaks UI</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</si>
  <si>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Play a video with background play enabled  Pause the video now _x000D_
2  Go to home screen and pull down notification drawer _x000D_
3  From there open the app again  Video is still paused _x000D_
4  Rotate the device to different orientation _x000D_
5  You will get the UI buttons on top of screen _x000D_
_x000D_
_x000D_
    Actual behaviour_x000D_
     Tell us what happens with the steps given above     _x000D_
Video UI buttons get to the top bar of the app _x000D_
_x000D_
_x000D_
    Expected behavior_x000D_
     Tell us what you expect to happen     _x000D_
Should remain constant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80841 (https:  user images githubusercontent com 55331939 113485022 0898b780 949b 11eb 9a76 eab2dc54fcc5 jpg)_x000D_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Don t have any _x000D_
_x000D_
    Device info_x000D_
_x000D_
   Android version Custom ROM version: 10_x000D_
   Device model: OnePlus_x000D_
</t>
  </si>
  <si>
    <t>nextcloud-android-8239</t>
  </si>
  <si>
    <t xml:space="preserve">Crash uploading pictures from phone </t>
  </si>
  <si>
    <t xml:space="preserve">    Steps to reproduce_x000D_
1  Setup autoloader folder with phone camera folder _x000D_
2  Take picture _x000D_
_x000D_
    Expected behaviour_x000D_
  Tell us what should happen_x000D_
  file should upload to private nextcloud server _x000D_
_x000D_
    Actual behaviour_x000D_
  Tell us what happens_x000D_
  crash message _x000D_
             CAUSE OF ERROR             _x000D_
_x000D_
android database sqlite SQLiteBlobTooBigException: Row too big to fit into CursorWindow requiredPos 3149  totalRows 218_x000D_
	at android database sqlite SQLiteConnection nativeExecuteForCursorWindow(Native Method)_x000D_
	at android database sqlite SQLiteConnection executeForCursorWindow(SQLiteConnection java:1002)_x000D_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java:248)_x000D_
	at android database AbstractCursor moveToNext(AbstractCursor java:280)_x000D_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 delete(ContentProvider java:1760)_x000D_
	at android content ContentProviderOperation applyInternal(ContentProviderOperation java:389)_x000D_
	at android content ContentProviderOperation apply(ContentProviderOperation java:352)_x000D_
	at com owncloud android providers FileContentProvider applyBatch(FileContentProvider java:672)_x000D_
	at android content ContentProvider applyBatch(ContentProvider java:2416)_x000D_
	at android content ContentProvider Transport applyBatch(ContentProvider java:404)_x000D_
	at android content ContentProviderClient applyBatch(ContentProviderClient java:576)_x000D_
	at android content ContentProviderClient applyBatch(ContentProviderClient java:564)_x000D_
	at android content ContentResolver applyBatch(ContentResolver java:2205)_x000D_
	at com owncloud android datamodel FileDataStorageManager saveFolder(FileDataStorageManager java:438)_x000D_
	at com owncloud android operations RefreshFolderOperation synchronizeData(RefreshFolderOperation java:528)_x000D_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java:359)_x000D_
	at java lang Thread run(Thread java:923)_x000D_
_x000D_
             APP INFORMATION             _x000D_
ID: com nextcloud client_x000D_
Version: 30160052_x000D_
Build flavor: gplay_x000D_
_x000D_
             DEVICE INFORMATION             _x000D_
Brand: lge_x000D_
Device: timelm_x000D_
Model: LM V600_x000D_
Id: RKQ1 201105 002_x000D_
Product: timelm_x000D_
_x000D_
             FIRMWARE             _x000D_
SDK: 30_x000D_
Release: 11_x000D_
Incremental: 2108514166356_x000D_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CAUSE OF ERROR             _x000D_
_x000D_
android database sqlite SQLiteBlobTooBigException: Row too big to fit into CursorWindow requiredPos 3149  totalRows 218_x000D_
	at android database sqlite SQLiteConnection nativeExecuteForCursorWindow(Native Method)_x000D_
	at android database sqlite SQLiteConnection executeForCursorWindow(SQLiteConnection java:1002)_x000D_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java:248)_x000D_
	at android database AbstractCursor moveToNext(AbstractCursor java:280)_x000D_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 delete(ContentProvider java:1760)_x000D_
	at android content ContentProviderOperation applyInternal(ContentProviderOperation java:389)_x000D_
	at android content ContentProviderOperation apply(ContentProviderOperation java:352)_x000D_
	at com owncloud android providers FileContentProvider applyBatch(FileContentProvider java:672)_x000D_
	at android content ContentProvider applyBatch(ContentProvider java:2416)_x000D_
	at android content ContentProvider Transport applyBatch(ContentProvider java:404)_x000D_
	at android content ContentProviderClient applyBatch(ContentProviderClient java:576)_x000D_
	at android content ContentProviderClient applyBatch(ContentProviderClient java:564)_x000D_
	at android content ContentResolver applyBatch(ContentResolver java:2205)_x000D_
	at com owncloud android datamodel FileDataStorageManager saveFolder(FileDataStorageManager java:438)_x000D_
	at com owncloud android operations RefreshFolderOperation synchronizeData(RefreshFolderOperation java:528)_x000D_
	at com owncloud android operations RefreshFolderOperation fetchAndSyncRemoteFolder(RefreshFolderOperation java:410)_x000D_
	at com owncloud android operations RefreshFolderOperation run(RefreshFolderOperation java:238)_x000D_
	at com owncloud android lib common operations RemoteOperation run(RemoteOperation java:359)_x000D_
	at java lang Thread run(Thread java:923)_x000D_
_x000D_
             APP INFORMATION             _x000D_
ID: com nextcloud client_x000D_
Version: 30160052_x000D_
Build flavor: gplay_x000D_
_x000D_
             DEVICE INFORMATION             _x000D_
Brand: lge_x000D_
Device: timelm_x000D_
Model: LM V600_x000D_
Id: RKQ1 201105 002_x000D_
Product: timelm_x000D_
_x000D_
             FIRMWARE             _x000D_
SDK: 30_x000D_
Release: 11_x000D_
Incremental: 2108514166356_x000D_
_x000D_
   _x000D_
  NOTE:   Be super sure to remove sensitive data like passwords  note that everybody can look here  You can use the Issue Template application to prefill some of the required information: https:  apps nextcloud com apps issuetemplate_x000D_
</t>
  </si>
  <si>
    <t>OpenTracksApp-OpenTracks-696</t>
  </si>
  <si>
    <t>Crash in ChartFragment</t>
  </si>
  <si>
    <t xml:space="preserve">Found while testing  680  but not related to changes in  680 _x000D_
_x000D_
I don t know how to exactly reproduce this failure  but  I guess  that the ChartFragment is paused and then resumed _x000D_
The resume will trigger loading the data via TrackDataHub  but processing might not take place as all methods check  if (isResumed())  _x000D_
And therefore  clearTrackPoints()  might not be executing the data cleanup in ChartFragment _x000D_
And then we try to add old TrackPoints  again  to the TrackStatistics _x000D_
And may lead to the crash _x000D_
_x000D_
Feels like a race condition _x000D_
_x000D_
   _x000D_
2021 04 03 17:51:29 373 18724 19125   E AndroidRuntime: FATAL EXCEPTION: TrackDataHub_x000D_
    Process: de dennisguse opentracks debug  PID: 18724_x000D_
    java lang RuntimeException: stopTime cannot be less than startTime: 2021 04 03T15:51:20 379Z 2021 04 03T15:33:48 631Z_x000D_
        at de dennisguse opentracks stats TrackStatistics setStopTime(TrackStatistics java:157)_x000D_
        at de dennisguse opentracks stats TrackStatisticsUpdater internalAddTrackPoint(TrackStatisticsUpdater java:125)_x000D_
        at de dennisguse opentracks stats TrackStatisticsUpdater addTrackPoint(TrackStatisticsUpdater java:110)_x000D_
        at de dennisguse opentracks fragments ChartFragment createPendingPoint(ChartFragment java:326)_x000D_
        at de dennisguse opentracks fragments ChartFragment onSampledInTrackPoint(ChartFragment java:233)_x000D_
        at de dennisguse opentracks content TrackDataHub notifyTrackPointsTableUpdate(TrackDataHub java:390)_x000D_
        at de dennisguse opentracks content TrackDataHub loadDataForAll(TrackDataHub java:246)_x000D_
        at de dennisguse opentracks content TrackDataHub lambda start 1 TrackDataHub(TrackDataHub java:156)_x000D_
        at de dennisguse opentracks content    Lambda TrackDataHub TZP5DuLlUVB kErcp3WpHgOwuus run(Unknown Source:2)_x000D_
   _x000D_
_x000D_
If applicable:_x000D_
  add screenshots_x000D_
  add logcat output_x000D_
_x000D_
  Technical information  _x000D_
   Device:  e g  Nexus 7 (2013) _x000D_
   OS:  e g  LineageOS 15 1 _x000D_
   Version  e g  v3 2 4 _x000D_
</t>
  </si>
  <si>
    <t>OpenTracksApp-OpenTracks-694</t>
  </si>
  <si>
    <t>Auto export weird bug</t>
  </si>
  <si>
    <t xml:space="preserve">  Describe the bug  _x000D_
Read To Reproduce _x000D_
_x000D_
  To Reproduce  _x000D_
1  Go to Settings _x000D_
2  Set a  Track export directory  _x000D_
3  Set  Instant post workout export  option (instantExportEnabled    True) _x000D_
4  Unset  Track export directory   Now  instantExportEnabled still is True but disabled (gray out) _x000D_
5  Record a Track  stop it    OT crashes _x000D_
_x000D_
  Screenshot  _x000D_
  imagen (https:  user images githubusercontent com 4819612 113482185 b0af8000 949d 11eb 814b 3ff70fe0275d png)_x000D_
</t>
  </si>
  <si>
    <t>avluis-Hentoid-781</t>
  </si>
  <si>
    <t>Stabilize the app</t>
  </si>
  <si>
    <t xml:space="preserve">The app lags whenever you delete lots of titles all at once and not all are deleted  because it crashes  Also both delete buttons don t work properly as they also lag when you press on them you need to press more than once to delete something  And when you delete using swipe action sometimes the title stays on the background even though it was deleted  Please try to stabilize the app with the next update on these problems </t>
  </si>
  <si>
    <t>PojavLauncherTeam-PojavLauncher-1157</t>
  </si>
  <si>
    <t>[BUG] The game cannot be loaded using create3.1, and it is invalid after repeated loading several times</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</si>
  <si>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When the game is about to load  forge throws a  Description: Rendering overlay  error_x000D_
_x000D_
  Add a log file if you want to see your bug fixed    _x000D_
 crash 2021 04 03 10 35 31 client txt (https:  github com PojavLauncherTeam PojavLauncher files 6252390 crash 2021 04 03 10 35 31 client txt)_x000D_
 latest log (https:  github com PojavLauncherTeam PojavLauncher files 6252392 latest log)_x000D_
 latestlog txt (https:  github com PojavLauncherTeam PojavLauncher files 6252398 latestlog txt)_x000D_
_x000D_
_x000D_
_x000D_
    To Reproduce:_x000D_
Indicate steps to reproduce the buggy behavior:_x000D_
_x000D_
1  Start PojavLauncher_x000D_
2  start minecraft forge 35 1 37_x000D_
_x000D_
    Expected behavior:_x000D_
Start the game normally_x000D_
_x000D_
    Screenshots or videos:_x000D_
 Upload here screenshots or videos of the buggy behavior  if possible  _x000D_
_x000D_
  Platform:  _x000D_
   Device Model  Huawei honor play 3 _x000D_
   CPU architecture  aarch64  _x000D_
   Android Version  9 _x000D_
   PojavLauncher Version  3 3 1 1 rel 20210330 _x000D_
_x000D_
_x000D_
 details   summary  b Additional context  b   summary _x000D_
 br _x000D_
 pre _x000D_
Add any other context about the problem here _x000D_
  pre _x000D_
  details _x000D_
</t>
  </si>
  <si>
    <t>PojavLauncherTeam-PojavLauncher-1156</t>
  </si>
  <si>
    <t>[BUG] Game instantly crashes when pressing F3+ESC button!</t>
  </si>
  <si>
    <t xml:space="preserve"> it crashed   I was just testing world edit and then when I pressed the shortcut it instantly crashes _x000D_
    Describe the bug_x000D_
A clear and concise description of what the bug is _x000D_
_x000D_
  Here: _x000D_
 crash 2021 04 03 07 56 33 client txt (https:  github com PojavLauncherTeam PojavLauncher files 6252202 crash 2021 04 03 07 56 33 client txt)_x000D_
And this is latest log:_x000D_
 latestlog txt (https:  github com PojavLauncherTeam PojavLauncher files 6252206 latestlog txt)_x000D_
  _x000D_
    To Reproduce:_x000D_
Indicate steps to reproduce the buggy behavior:_x000D_
_x000D_
1  Start PojavLauncher_x000D_
     (The crash log says render issue  I think restarting and doing it again would result in a crash ) _x000D_
_x000D_
    Expected behavior:_x000D_
I expected invisible menu    _x000D_
_x000D_
  Platform:  _x000D_
   Oppo A12 (4 64)_x000D_
   Mediatek p35_x000D_
   Android Version 9 (pie)_x000D_
   Version 3 3 1 1 rel 20210321_x000D_
_x000D_
</t>
  </si>
  <si>
    <t>Anuken-Mindustry-5051</t>
  </si>
  <si>
    <t>Can't zoom in/out when holding a schematic</t>
  </si>
  <si>
    <t xml:space="preserve">  Platform  :  Android iOS Mac Windows Linux _x000D_
Windows_x000D_
_x000D_
  Build  :  The build number under the title in the main menu  Required   LATEST  IS NOT A VERSION  I NEED THE EXACT BUILD NUMBER OF YOUR GAME  _x000D_
126 2  but this has been going on for a long time  I just keep forgetting _x000D_
_x000D_
  Issue  :  Explain your issue in detail  _x000D_
You can zoom in out with the middle mouse wheel  However you can t do this when you re holding a schematic or you copy blocks for a schematic  You can however still zoom in out when holding a building that isn t for a schematic  _x000D_
_x000D_
  Steps to reproduce  :  How you happened across the issue  and what exactly you did to make the bug happen  _x000D_
Click on a building on the right GUI but don t place it _x000D_
Move the middle mouse button and you ll see you can zoom in out _x000D_
_x000D_
Middle click a building on the map _x000D_
Again move the middle mouse button and you ll see you can zoom in out _x000D_
_x000D_
The above steps were for clarification  Now for the actual bug:_x000D_
_x000D_
1a  Either select a region containing buildings with the  select region  key  The save schematic button will now be visible  OR_x000D_
1b  Open the saved schematics menu a click a schematic as if you intend to place it down (but don t place it) _x000D_
2  You should see a schematic highlight ready to place and build  Don t place it _x000D_
3  Move the middle mouse wheel to zoom  You can t zoom  This is the bug _x000D_
_x000D_
  Link(s) to mod(s) used  :  The mod repositories or zip files that are related to the issue  if applicable  _x000D_
NA_x000D_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https:  ufile io z2lbw8xj_x000D_
This bug affects everywhere  It doesn t matter the save file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</si>
  <si>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permissions-dispatcher-PermissionsDispatcher-723</t>
  </si>
  <si>
    <t>Application crash after sending it to background (process kill)</t>
  </si>
  <si>
    <t xml:space="preserve">   Overview_x000D_
At the very beginning I would like you thank you for great library which solves developer problems in a beautiful style _x000D_
_x000D_
I found a problem when system permission dialog appears and we put app to the background _x000D_
_x000D_
Code snippet for fragment (for activity is same behaviour):_x000D_
   kotlin_x000D_
class TestFragment : Fragment()  _x000D_
_x000D_
    private lateinit var locationPermissionRequester: PermissionsRequester_x000D_
_x000D_
    override fun onAttach(context: Context)  _x000D_
        super onAttach(context)_x000D_
        locationPermissionRequester   constructLocationPermissionRequest(LocationPermission FINE)  _x000D_
               do nothing_x000D_
         _x000D_
     _x000D_
_x000D_
    override fun onViewCreated(view: View  savedInstanceState: Bundle )  _x000D_
        super onViewCreated(view  savedInstanceState)_x000D_
        locationPermissionRequester launch()_x000D_
     _x000D_
 _x000D_
   _x000D_
_x000D_
Stacktrace:_x000D_
   _x000D_
java lang RuntimeException: Unable to start activity ComponentInfo my app debug my app  RootActivity : java lang IllegalStateException: FragmentManager is already executing transactions_x000D_
   android app ActivityThread performLaunchActivity(ActivityThread java:3270)_x000D_
   android app ActivityThread handleLaunchActivity(ActivityThread java:3409)_x000D_
   android app servertransaction LaunchActivityItem execute(LaunchActivityItem java:83)_x000D_
   android app servertransaction TransactionExecutor executeCallbacks(TransactionExecutor java:135)_x000D_
   android app servertransaction TransactionExecutor execute(TransactionExecutor java:95)_x000D_
   android app ActivityThread H handleMessage(ActivityThread java:2016)_x000D_
   android os Handler dispatchMessage(Handler java:107)_x000D_
   android os Looper loop(Looper java:214)_x000D_
   android app ActivityThread main(ActivityThread java:7356)_x000D_
   java lang reflect Method invoke(Native Method)_x000D_
   com android internal os RuntimeInit MethodAndArgsCaller run(RuntimeInit java:492)_x000D_
   com android internal os ZygoteInit main(ZygoteInit java:930)_x000D_
Caused by:_x000D_
java lang IllegalStateException: FragmentManager is already executing transactions_x000D_
   androidx fragment app FragmentManager ensureExecReady(FragmentManager java:1919)_x000D_
   androidx fragment app FragmentManager execSingleAction(FragmentManager java:1955)_x000D_
   androidx fragment app BackStackRecord commitNowAllowingStateLoss(BackStackRecord java:311)_x000D_
   permissions dispatcher ktx PermissionRequestFragment dismiss(PermissionRequestFragment kt:26)_x000D_
   permissions dispatcher ktx PermissionRequestFragment NormalRequestPermissionFragment onRequestPermissionsResult(PermissionRequestFragment kt:56)_x000D_
   androidx fragment app FragmentManager 11 onActivityResult(FragmentManager java:2951)_x000D_
   androidx fragment app FragmentManager 11 onActivityResult(FragmentManager java:2923)_x000D_
   androidx activity result ActivityResultRegistry doDispatch(ActivityResultRegistry java:362)_x000D_
   androidx activity result ActivityResultRegistry dispatchResult(ActivityResultRegistry java:322)_x000D_
   androidx activity ComponentActivity onRequestPermissionsResult(ComponentActivity java:654)_x000D_
   androidx fragment app FragmentActivity onRequestPermissionsResult(FragmentActivity java:604)_x000D_
   android app Activity requestPermissions(Activity java:5083)_x000D_
   androidx core app ActivityCompat requestPermissions(ActivityCompat java:516)_x000D_
   androidx activity ComponentActivity 2 onLaunch(ComponentActivity java:195)_x000D_
   androidx activity result ActivityResultRegistry 3 launch(ActivityResultRegistry java:219)_x000D_
   androidx activity result ActivityResultLauncher launch(ActivityResultLauncher java:47)_x000D_
   androidx fragment app FragmentManager launchRequestPermissions(FragmentManager java:3028)_x000D_
   androidx fragment app Fragment requestPermissions(Fragment java:1559)_x000D_
   permissions dispatcher ktx PermissionRequestFragment NormalRequestPermissionFragment onCreate(PermissionRequestFragment kt:32)_x000D_
   androidx fragment app Fragment performCreate(Fragment java:2936)_x000D_
   androidx fragment app FragmentStateManager create(FragmentStateManager java:472)_x000D_
   androidx fragment app FragmentStateManager moveToExpectedState(FragmentStateManager java:278)_x000D_
   androidx fragment app FragmentStore moveToExpectedState(FragmentStore java:112)_x000D_
   androidx fragment app FragmentManager moveToState(FragmentManager java:1636)_x000D_
   androidx fragment app FragmentManager dispatchStateChange(FragmentManager java:3112)_x000D_
   androidx fragment app FragmentManager dispatchCreate(FragmentManager java:3045)_x000D_
   androidx fragment app FragmentController dispatchCreate(FragmentController java:240)_x000D_
   androidx fragment app FragmentActivity onCreate(FragmentActivity java:272)_x000D_
   my app RootActivity onCreate(RootActivity kt:147)_x000D_
   android app Activity performCreate(Activity java:7802)_x000D_
   android app Activity performCreate(Activity java:7791)_x000D_
   android app Instrumentation callActivityOnCreate(Instrumentation java:1299)_x000D_
   android app ActivityThread performLaunchActivity(ActivityThread java:3245)_x000D_
   android app ActivityThread handleLaunchActivity(ActivityThread java:3409)_x000D_
   android app servertransaction LaunchActivityItem execute(LaunchActivityItem java:83)_x000D_
   android app servertransaction TransactionExecutor executeCallbacks(TransactionExecutor java:135)_x000D_
   android app servertransaction TransactionExecutor execute(TransactionExecutor java:95)_x000D_
   android app ActivityThread H handleMessage(ActivityThread java:2016)_x000D_
   android os Handler dispatchMessage(Handler java:107)_x000D_
   android os Looper loop(Looper java:214)_x000D_
   android app ActivityThread main(ActivityThread java:7356)_x000D_
   java lang reflect Method invoke(Native Method)_x000D_
   com android internal os RuntimeInit MethodAndArgsCaller run(RuntimeInit java:492)_x000D_
   com android internal os ZygoteInit main(ZygoteInit java:930)_x000D_
   _x000D_
_x000D_
    Expected_x000D_
_x000D_
  App does not crash_x000D_
_x000D_
    Actual_x000D_
_x000D_
  App crashes_x000D_
_x000D_
   Environment_x000D_
_x000D_
   Permissions Dispatcher  version  4 8 0  and  Permissions Dispatcher KTX  version  1 0 4 _x000D_
  Android 29  30_x000D_
_x000D_
   Reproducible steps_x000D_
_x000D_
1  To make it easier to reproduce this bug  turn on  Don t keep activities  in developer options_x000D_
2  Run the app with activity or fragment with permission_x000D_
3  When pop up asking about permission will appear  send app to background_x000D_
4  Return to the app_x000D_
_x000D_
Thank you for the help in advance _x000D_
Jack</t>
  </si>
  <si>
    <t>Anuken-Mindustry-5048</t>
  </si>
  <si>
    <t>A different mass driver issue</t>
  </si>
  <si>
    <t xml:space="preserve">  Platform  :  Android iOS Mac Windows Linux _x000D_
 _x000D_
 Windows steam_x000D_
 _x000D_
  Build  :  The build number under the title in the main menu  Required  _x000D_
_x000D_
126 3 of steam _x000D_
_x000D_
  Issue  :  Explain your issue in detail  _x000D_
_x000D_
If there are multiple mass drivers shooting in a chain into one receiver and for whatever reason one of the drivers gets depowered the entire chain stops shooting  In the image below (and save file) if you disconnect the middle mass driver the chain will continue shooting  I deleted and rebuilt the chain and now if I disconnect the far rightmost driver the chain will still continue shooting  It is very inconsistent  but the majority of the time the drivers all just stop shooting _x000D_
_x000D_
_x000D_
  20210402130553 1 (https:  user images githubusercontent com 31638088 113446039 322ae380 93b4 11eb 8492 bf87318e9eee jpg)_x000D_
_x000D_
_x000D_
  Steps to reproduce  :  How you happened across the issue  and what exactly you did to make the bug happen  _x000D_
_x000D_
Setup multiple mass drivers shooting into one driver with incinerators voids  Once everything is running depower one mass driver and watch all the drivers stop shooting  If it continues shooting repower that driver and DC a different one  _x000D_
_x000D_
_x000D_
  Link(s) to mod(s) used  :  The mod repositories or zip files that are related to the issue  if applicable  _x000D_
_x000D_
https:  github com MEEPofFaith testing utilities_x000D_
https:  github com MEEPofFaith TimeControl_x000D_
https:  github com MEEPofFaith unit factory_x000D_
_x000D_
  Save file  :  The (zipped) save file you were playing on when the bug happened _x000D_
_x000D_
_x000D_
 mass driver zip (https:  github com Anuken Mindustry files 6250926 mass driver zip)_x000D_
_x000D_
_x000D_
If you remove the line above without reading it properly and understanding what it means  I will reap your soul  Even if you re playing on someone s server  you can still save the game to a slot _x000D_
_x000D_
It hath been removethed _x000D_
_x000D_
  (Crash) logs  :  Either crash reports from the crash folder  or the file you get when you go into Settings    Game Data    Export Crash logs  REQUIRED if you are reporting a crash  _x000D_
_x000D_
crash exe i dunno_x000D_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</si>
  <si>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TeamNewPipe-NewPipe-5990</t>
  </si>
  <si>
    <t>Copyrighted videos do not play or download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</si>
  <si>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any video that is copyrighed_x000D_
2  Press on the play button or attempt to download the video_x000D_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playing: The video attempts to load indefinitely _x000D_
downloading: Download failed notification after a few minutes_x000D_
_x000D_
_x000D_
    Expected behavior_x000D_
     Tell us what you expect to happen     _x000D_
The video plays or starts downloading_x000D_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20210402 131437 NewPipe (https:  user images githubusercontent com 69603438 113414738 9b5f2680 93b5 11eb 9abf 060e9d64629d jpg)_x000D_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8 0 0_x000D_
   Device model: SM A320FL_x000D_
</t>
  </si>
  <si>
    <t>nextcloud-android-8231</t>
  </si>
  <si>
    <t>Crash updating AutoUpload settings after having moved folder</t>
  </si>
  <si>
    <t xml:space="preserve">Below crash report happened after having reorganised some folders related to auto upload (using the web UI) by moving folders to a parent folder and trying to reflect this in the AutoUpload settings _x000D_
_x000D_
I chose an AutoUpload rule and chose to set the destination folder and navigated to the folder which were now empty  First the previous contents were shown and the application seemed to attempt to refresh the contents showing the  busy  spinner but then crashed _x000D_
_x000D_
   _x000D_
             CAUSE OF ERROR             _x000D_
_x000D_
android database sqlite SQLiteBlobTooBigException: Row too big to fit into CursorWindow requiredPos 6239  totalRows 1254_x000D_
	at android database sqlite SQLiteConnection nativeExecuteForCursorWindow(Native Method)_x000D_
	at android database sqlite SQLiteConnection executeForCursorWindow(SQLiteConnection java:1060)_x000D_
	at android database sqlite SQLiteSession executeForCursorWindow(SQLiteSession java:836)_x000D_
	at android database sqlite SQLiteQuery fillWindow(SQLiteQuery java:62)_x000D_
	at android database sqlite SQLiteCursor fillWindow(SQLiteCursor java:169)_x000D_
	at android database sqlite SQLiteCursor onMove(SQLiteCursor java:131)_x000D_
	at android database AbstractCursor moveToPosition(AbstractCursor java:237)_x000D_
	at android database AbstractCursor moveToNext(AbstractCursor java:269)_x000D_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ContentProviderOperation apply(ContentProviderOperation java:299)_x000D_
	at com owncloud android providers FileContentProvider applyBatch(FileContentProvider java:672)_x000D_
	at android content ContentProvider Transport applyBatch(ContentProvider java:319)_x000D_
	at android content ContentProviderClient applyBatch(ContentProviderClient java:474)_x000D_
	at android content ContentResolver applyBatch(ContentResolver java:1633)_x000D_
	at com owncloud android datamodel FileDataStorageManager saveFolder(FileDataStorageManager java:438)_x000D_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java:764)_x000D_
_x000D_
             APP INFORMATION             _x000D_
ID: com nextcloud client_x000D_
Version: 30150151_x000D_
Build flavor: generic_x000D_
_x000D_
             DEVICE INFORMATION             _x000D_
Brand: samsung_x000D_
Device: dreamlte_x000D_
Model: SM G950F_x000D_
Id: PPR1 180610 011_x000D_
Product: dreamltexx_x000D_
_x000D_
             FIRMWARE             _x000D_
SDK: 28_x000D_
Release: 9_x000D_
Incremental: G950FXXSBDUA3_x000D_
_x000D_
_x000D_
   </t>
  </si>
  <si>
    <t>mohyghb-MoClock-1</t>
  </si>
  <si>
    <t>Timer crashes</t>
  </si>
  <si>
    <t>when it gets to zero the app crashes</t>
  </si>
  <si>
    <t>wokka112-ProductList-1</t>
  </si>
  <si>
    <t>Navigation via databinding in the view causing crashes</t>
  </si>
  <si>
    <t xml:space="preserve">  Bug Report_x000D_
_x000D_
   Description_x000D_
_x000D_
Navigation is to be implemented via databinding  Currently the layout for viewing the product list   fragment product list   is being setup to use data binding  The auto generated NavDirections from the product list view to connected views has been imported into the product list layout and the product viewmodel has been set up as a variable in the layout  The FABs and button have had their onClicks set to call the navigate() function in the viewmodel and pass it one of the actions from the auto generated NavDirections class via one of its static methods  This seems to work without any issue for the add FAB  but it causes a fatal error and crashes the app for the search FAB and temporary details Button  Regardless of whether you hit the add FAB first  then return to the product list view and hit the search FAB or details Button  or just hit the search FAB or details Button immediately  the app always crashes _x000D_
_x000D_
The error is an IllegalStateException and is given by the Logcat as follows:_x000D_
_x000D_
java lang IllegalStateException: Could not find method   ()    viewModel navigate(ProductListFragmentDirections actionNavProductListToNavProductAdd())(View) in a parent or ancestor Context for android:onClick attribute defined on view class com google android material floatingactionbutton FloatingActionButton with id  product search fab _x000D_
        at android view View DeclaredOnClickListener resolveMethod(View java:5070)_x000D_
        at android view View DeclaredOnClickListener onClick(View java:5029)_x000D_
        at android view View performClick(View java:6199)_x000D_
        at android view View PerformClick run(View java:23647)_x000D_
        at android os Handler handleCallback(Handler java:751)_x000D_
        at android os Handler dispatchMessage(Handler java:95)_x000D_
        at android os Looper loop(Looper java:154)_x000D_
        at android app ActivityThread main(ActivityThread java:6682)_x000D_
        at java lang reflect Method invoke(Native Method)_x000D_
        at com android internal os ZygoteInit MethodAndArgsCaller run(ZygoteInit java:1520)_x000D_
        at com android internal os ZygoteInit main(ZygoteInit java:1410)_x000D_
_x000D_
Obviously this should not be happening _x000D_
_x000D_
   Identified Frequency _x000D_
_x000D_
Every time _x000D_
_x000D_
   How to recreate the bug_x000D_
_x000D_
1  Load up the app _x000D_
2  On the first screen hit the add FAB  This will take you to the add fragment _x000D_
3  Hit back to return to the product list fragment _x000D_
4  Hit the search FAB  This will crash the app _x000D_
5  Load up the app again _x000D_
6  Hit the search FAB  Again the app crashes _x000D_
7  Load the app one last time _x000D_
8  Hit the details button  Again the app crashes _x000D_
_x000D_
   Other Observations_x000D_
None </t>
  </si>
  <si>
    <t>cgeo-cgeo-10307</t>
  </si>
  <si>
    <t>Some (native) crashes on Google Play and support mail</t>
  </si>
  <si>
    <t xml:space="preserve">While checking the Google Play reports for our beta versions I have seen some of these  now also two users contacted us _x000D_
_x000D_
Both describe the problem as general instability and unresponsiveness of c:geo _x000D_
Long startup times (splash screen shown) and crashes unreproducible but in nearly each session _x000D_
One user even reported it took 3 minutes from pressing the button to send the system information until c:geo finally opened his mail client _x000D_
_x000D_
User 1 (sorry for bad formatting   problem at users side  feel free to edit here):_x000D_
_x000D_
   _x000D_
_x000D_
    System information    _x000D_
c:geo version: 2021 03 28 RC _x000D_
Device:         _x000D_
  Device type: SM N950F (greatltexx  samsung) _x000D_
  Android version: 9 _x000D_
  Android build: PPR1 180610 011 N950FXXSBDTED _x000D_
  Sailfish OS detected: false _x000D_
  Google Play services: enabled   21 09 15 (100400 361652764)   HW acceleration: enabled (default state) Sensor and location:           Low power mode: active   Compass capabilities: yes   Rotation vector sensor: present   Orientation sensor: present   Magnetometer   Accelerometer sensor: present   Direction sensor used: orientation Program settings:           Hide caches: own found   Hide waypoints: original   Set language: de DE (system default)   System date format: dd MM yy   Debug mode active: no   Live map mode: true   Global filter: display all caches   Last backup: 8  Sep  2020  13:52   Routing mode: Gehen   Map: Kombiniert (Offline)   Id: cgeo geocaching maps mapsforge MapsforgeMapProvider OfflineMultiMapSource   Atts:_x000D_
czech republic map:_x000D_
mapsforge map writer master SNAPSHOT_x000D_
germanyV3 map:_x000D_
mapsforge map writer master SNAPSHOT_x000D_
germanyV4 map:_x000D_
mapsforge map writer master SNAPSHOT_x000D_
great britain map:_x000D_
mapsforge map writer dev SNAPSHOT_x000D_
italy map:_x000D_
mapsforge map writer dev SNAPSHOT_x000D_
poland map:_x000D_
mapsforge map writer master SNAPSHOT_x000D_
spain map:_x000D_
mapsforge map writer 0 6 0 rc3_x000D_
  Theme: Services:           Geocaching sites enabled: geocaching com: Logged in (Anmeldung OK)   PREMIUM   Geocaching com date format: dd MM yyyy   BRouter installed: true   connection available: false   Installed c:geo plugins: contacts Permissions   paths:           Fine location permission: granted   Write external storage permission: granted   System internal c:geo dir:  data user 0 cgeo geocaching (8 6 GB free) v2 internal isDir(10 entries)   Legacy User storage c:geo dir:  storage emulated 0 cgeo (8 5 GB free) v2 external non removable isDir(6 entries)   Geocache data:  storage emulated 0 Android data cgeo geocaching files GeocacheData (8 5 GB free) v2 external non removable isDir(5618 entries)   Internal theme sync (is turned off):  data user 0 cgeo geocaching MapThemeData (8 6 GB free) v2 internal isDir(0 entries)   Public Folders:  9   BASE:  cgeo (Benutzerdefiniert)  cgeo DOCUMENT 0:p content:  com android externalstorage documents tree primary 3Acgeo::   (Uri: content:  com android externalstorage documents tree primary 3Acgeo document primary 3Acgeo  Av:true  files:8  dirs:28  totalFileSize:275 9 MB  topLevel(6): field notes  gpx  backup  Maps  logfiles  GeocachePhotos    free space: 8 5 GB  files on device: 1761280)   OFFLINE MAPS:  Locus maps (Benutzerdefiniert)  Locus maps DOCUMENT 0:p content:  com android externalstorage documents tree primary 3ALocus 2Fmaps::   (Uri: content:  com android externalstorage documents tree primary 3ALocus 2Fmaps document primary 3ALocus 2Fmaps  Av:true  files:8  dirs:0  totalFileSize:6 8 GB  topLevel(8): Karten txt czech republic map great britain map italy map poland map spain map germanyV4 map germanyV3 map   free space: 8 5 GB  files on device: 1761280)   OFFLINE MAP THEMES: SD Karte (Benutzerdefiniert) SD Karte DOCUMENT 0:p content:  com android externalstorage documents tree 3863 6465 3A::   (Uri: content:  com android externalstorage documents tree 3863 6465 3A document 3863 6465 3A  Av:true  files:3912  dirs:964  totalFileSize:9 8 GB  topLevel(first 10 of 15): LOST DIR  Geocaching  C geo  VIE  DCIM  Android  Music  navbr  Maps   android secure    free space: 4 9 GB  files on device: 0)   LOGFILES:  cgeo logfiles (Standard)  cgeo logfiles PERSISTABLE FOLDER(BASE) 1:p content:  com android externalstorage documents tree primary 3Acgeo:: logfiles   (Uri: content:  com android externalstorage documents tree primary 3Acgeo document primary 3Acgeo 2Flogfiles  Av:true  files:3  dirs:0  totalFileSize:588 4 KB  topLevel(3): logcat 2020 10 03 20 17 txt logcat 2020 11 22 21 34 txt logcat 2021 04 01 12 43 09 2 txt   free space: 8 5 GB  files on device: 1761280)   GPX:  cgeo gpx (Benutzerdefiniert)  cgeo gpx DOCUMENT 0:p content:  com android externalstorage documents tree primary 3Acgeo 2Fgpx::   (Uri: content:  com android externalstorage documents tree primary 3Acgeo 2Fgpx document primary 3Acgeo 2Fgpx  Av:true  files:3  dirs:0  totalFileSize:8 4 MB  topLevel(3): LabCaches210316 gpx LabCaches210316Voll gpx LabCaches210315 gpx   free space: 8 5 GB  files on device: 1761280)   BACKUP:  cgeo backup (Standard)  cgeo backup PERSISTABLE FOLDER(BASE) 1:p content:  com android externalstorage documents tree primary 3Acgeo:: backup   (Uri: content:  com android externalstorage documents tree primary 3Acgeo document primary 3Acgeo 2Fbackup  Av:true  files:2  dirs:1  totalFileSize:267 0 MB  topLevel(1): 2020 09 08 13 52    free space: 8 5 GB  files on device: 1761280)   FIELD NOTES:  cgeo field notes (Standard)  cgeo field notes PERSISTABLE FOLDER(BASE) 1:p content:  com android externalstorage documents tree primary 3Acgeo:: field notes   (Uri: content:  com android externalstorage documents tree primary 3Acgeo document primary 3Acgeo 2Ffield notes  Av:true  files:0  dirs:0  totalFileSize:0 B  topLevel(0):    free space: 8 5 GB  files on device: 1761280)   SPOILER IMAGES:  cgeo GeocachePhotos (Standard)  cgeo GeocachePhotos PERSISTABLE FOLDER(BASE) 1:p content:  com android externalstorage documents tree primary 3Acgeo:: GeocachePhotos   (Uri: content:  com android externalstorage documents tree primary 3Acgeo document primary 3Acgeo 2FGeocachePhotos  Av:true  files:0  dirs:21  totalFileSize:0 B  topLevel(7): J  N  H  3  B  R  D    free space: 8 5 GB  files on device: 1761280)   TEST FOLDER:  Veraltet  data user 0 cgeo geocaching files unittest (Standard)  data user 0 cgeo geocaching files unittest FILE 1:p file:   data user 0 cgeo geocaching files:: unittest   (Uri: file:   data user 0 cgeo geocaching files unittest  Av:true  files:0  dirs:0  totalFileSize:0 B  topLevel(0):    free space: 8 6 GB  files on device:  1)   Map render theme path:   PersistedDocumentUris:  1   TRACK: null   Persisted Uri Permissions:  4   content:  com android externalstorage documents tree primary 3ALocus 2Fmaps (1  Apr   06:52):RW   content:  com android externalstorage documents tree primary 3Acgeo (1  Apr   06:52):RW   content:  com android externalstorage documents tree 3863 6465 3A (1  Apr   06:52):RW   content:  com android externalstorage documents tree primary 3Acgeo 2Fgpx (1  Apr   06:53):RW   Database:  storage emulated 0 Android data cgeo geocaching files databases data (v94  Size:282 5 MB) on user storage  Settings: v5  Count:161     End of system information    _x000D_
   _x000D_
_x000D_
Logifle contains this:_x000D_
   _x000D_
          beginning of crash_x000D_
03 31 11:20:07 879 17187 17429 F libc    : Fatal signal 6 (SIGABRT)  code  6 (SI TKILL) in tid 17429 (pool 8 thread 3)  pid 17187 (cgeo geocaching)_x000D_
03 31 11:20:08 184 17437 17437 F DEBUG   :                                                                _x000D_
03 31 11:20:08 185 17437 17437 F DEBUG   : Build fingerprint:  samsung greatltexx greatlte:9 PPR1 180610 011 N950FXXSBDTED:user release keys _x000D_
03 31 11:20:08 185 17437 17437 F DEBUG   : Revision:  9 _x000D_
03 31 11:20:08 185 17437 17437 F DEBUG   : ABI:  arm64 _x000D_
03 31 11:20:08 185 17437 17437 F DEBUG   : pid: 17187  tid: 17429  name: pool 8 thread 3      cgeo geocaching    _x000D_
03 31 11:20:08 185 17437 17437 F DEBUG   : signal 6 (SIGABRT)  code  6 (SI TKILL)  fault addr         _x000D_
03 31 11:20:08 185 17437 17437 F DEBUG   : Abort message:  Error  cannot access an invalid free d bitmap here  _x000D_
03 31 11:20:08 185 17437 17437 F DEBUG   :     x0  0000000000000000  x1  0000000000004415  x2  0000000000000006  x3  0000000000000008_x000D_
03 31 11:20:08 186 17437 17437 F DEBUG   :     x4  fefeff7cec4f01ff  x5  fefeff7cec4f01ff  x6  fefeff7cec4f01ff  x7  7f7f7f7fff7f7f7f_x000D_
03 31 11:20:08 186 17437 17437 F DEBUG   :     x8  0000000000000083  x9  0000007ded538828  x10 fffffff87ffffbdf  x11 0000000000000001_x000D_
03 31 11:20:08 186 17437 17437 F DEBUG   :     x12 0000007d3f0ec750  x13 ffffffffffffffff  x14 ffffffffff000000  x15 ffffffffffffffff_x000D_
03 31 11:20:08 186 17437 17437 F DEBUG   :     x16 0000007ded56f290  x17 0000007ded4ae8e0  x18 0000007d3f0ebf3a  x19 0000000000004323_x000D_
03 31 11:20:08 186 17437 17437 F DEBUG   :     x20 0000000000004415  x21 0000000000000083  x22 000000001695e3f0  x23 000000001695ded0_x000D_
03 31 11:20:08 186 17437 17437 F DEBUG   :     x24 000000001695df88  x25 0000007d4b9a3180  x26 0000007d4948b3f0  x27 000000001695e3f0_x000D_
03 31 11:20:08 186 17437 17437 F DEBUG   :     x28 000000001695ded0  x29 0000007d3f0ec670_x000D_
03 31 11:20:08 186 17437 17437 F DEBUG   :     sp  0000007d3f0ec630  lr  0000007ded4a1d28  pc  0000007ded4a1d54_x000D_
03 31 11:20:08 317 17437 17437 F DEBUG   :_x000D_
03 31 11:20:08 317 17437 17437 F DEBUG   : backtrace:_x000D_
03 31 11:20:08 317 17437 17437 F DEBUG   :      00 pc 0000000000021d54   system lib64 libc so (abort 124)_x000D_
03 31 11:20:08 317 17437 17437 F DEBUG   :      01 pc 0000000000008150   system lib64 liblog so (  android log assert 296)_x000D_
03 31 11:20:08 317 17437 17437 F DEBUG   :      02 pc 0000000000144da4   system lib64 libandroid runtime so (android::bitmap::toBitmap( JNIEnv    jobject ) 68)_x000D_
03 31 11:20:08 317 17437 17437 F DEBUG   :      03 pc 0000000000143298   system lib64 libandroid runtime so (android::CanvasJNI::drawBitmapMatrix( JNIEnv    jobject   long   jobject   long  long) 32)_x000D_
03 31 11:20:08 317 17437 17437 F DEBUG   :      04 pc 0000000000427744   system framework arm64 boot framework oat (offset 0x420000) (android graphics BaseCanvas nDrawBitmapMatrix 196)_x000D_
03 31 11:20:08 317 17437 17437 F DEBUG   :      05 pc 000000000099d2a0   system framework arm64 boot framework oat (offset 0x420000) (android graphics Canvas drawBitmap 192)_x000D_
03 31 11:20:08 317 17437 17437 F DEBUG   :      06 pc 0000000000170c60   data app cgeo geocaching SlSqlpe OpLDx jbOQeyDQ   oat arm64 base odex (offset 0x100000) (org mapsforge map android graphics AndroidCanvas drawBitmap 400)_x000D_
03 31 11:20:08 317 17437 17437 F DEBUG   :      07 pc 000000000014a7bc   data app cgeo geocaching SlSqlpe OpLDx jbOQeyDQ   oat arm64 base odex (offset 0x100000) (org mapsforge core mapelements SymbolContainer draw 524)_x000D_
03 31 11:20:08 317 17437 17437 F DEBUG   :      08 pc 0000000000126c04   data app cgeo geocaching SlSqlpe OpLDx jbOQeyDQ   oat arm64 base odex (offset 0x100000) (org mapsforge map layer renderer CanvasRasterer drawMapElements 372)_x000D_
03 31 11:20:08 317 17437 17437 F DEBUG   :      09 pc 0000000000176694   data app cgeo geocaching SlSqlpe OpLDx jbOQeyDQ   oat arm64 base odex (offset 0x100000) (org mapsforge map layer renderer DatabaseRenderer executeJob 2100)_x000D_
03 31 11:20:08 317 17437 17437 F DEBUG   :      10 pc 0000000000127be4   data app cgeo geocaching SlSqlpe OpLDx jbOQeyDQ   oat arm64 base odex (offset 0x100000) (org mapsforge map layer renderer MapWorkerPool MapWorker run 420)_x000D_
03 31 11:20:08 317 17437 17437 F DEBUG   :      11 pc 00000000003da7e4   system framework arm64 boot oat (offset 0x115000) (java util concurrent ThreadPoolExecutor runWorker 996)_x000D_
03 31 11:20:08 317 17437 17437 F DEBUG   :      12 pc 00000000003d7560   system framework arm64 boot oat (offset 0x115000) (java util concurrent ThreadPoolExecutor Worker run 64)_x000D_
03 31 11:20:08 317 17437 17437 F DEBUG   :      13 pc 000000000025e068   system framework arm64 boot oat (offset 0x115000) (java lang Thread run 72)_x000D_
03 31 11:20:08 317 17437 17437 F DEBUG   :      14 pc 0000000000561f88   system lib64 libart so (art quick invoke stub 584)_x000D_
03 31 11:20:08 317 17437 17437 F DEBUG   :      15 pc 00000000000d0140   system lib64 libart so (art::ArtMethod::Invoke(art::Thread   unsigned int   unsigned int  art::JValue   char const ) 200)_x000D_
03 31 11:20:08 317 17437 17437 F DEBUG   :      16 pc 00000000004682e0   system lib64 libart so (art::(anonymous namespace)::InvokeWithArgArray(art::ScopedObjectAccessAlreadyRunnable const   art::ArtMethod   art::(anonymous namespace)::ArgArray   art::JValue   char const ) 104)_x000D_
03 31 11:20:08 317 17437 17437 F DEBUG   :      17 pc 00000000004693a8   system lib64 libart so (art::InvokeVirtualOrInterfaceWithJValues(art::ScopedObjectAccessAlreadyRunnable const    jobject    jmethodID   jvalue ) 424)_x000D_
03 31 11:20:08 317 17437 17437 F DEBUG   :      18 pc 0000000000494ca0   system lib64 libart so (art::Thread::CreateCallback(void ) 1120)_x000D_
03 31 11:20:08 317 17437 17437 F DEBUG   :      19 pc 0000000000084dc0   system lib64 libc so (  pthread start(void ) 208)_x000D_
03 31 11:20:08 317 17437 17437 F DEBUG   :      20 pc 0000000000023a4c   system lib64 libc so (  start thread 68)_x000D_
   _x000D_
_x000D_
and also this (Not sure if relevant):_x000D_
   _x000D_
04 01 12:43:01 064  2394  2394 W cgeo    :  main  Failed to update location_x000D_
04 01 12:43:01 064  2394  2394 W cgeo    : java lang NullPointerException: Attempt to invoke virtual method  float cgeo geocaching location Geopoint distanceTo(cgeo geocaching models ICoordinates)  on a null object reference_x000D_
04 01 12:43:01 064  2394  2394 W cgeo    : 	at cgeo geocaching maps mapsforge v6 caches AbstractCachesOverlay getClosestDistanceInM(AbstractCachesOverlay java:405)_x000D_
04 01 12:43:01 064  2394  2394 W cgeo    : 	at cgeo geocaching maps mapsforge v6 caches CachesBundle getClosestDistanceInM(CachesBundle java:341)_x000D_
04 01 12:43:01 064  2394  2394 W cgeo    : 	at cgeo geocaching maps mapsforge v6 NewMap UpdateLoc repaintPositionOverlay(NewMap java:1271)_x000D_
04 01 12:43:01 064  2394  2394 W cgeo    : 	at cgeo geocaching maps mapsforge v6 NewMap UpdateLoc updateGeoDir(NewMap java:1234)_x000D_
04 01 12:43:01 064  2394  2394 W cgeo    : 	at cgeo geocaching sensors GeoDirHandler updateGeoDirData(GeoDirHandler java:70)_x000D_
04 01 12:43:01 064  2394  2394 W cgeo    : 	at cgeo geocaching sensors GeoDirHandler lambda start 0(GeoDirHandler java:109)_x000D_
04 01 12:43:01 064  2394  2394 W cgeo    : 	at cgeo geocaching sensors GeoDirHandler lambda start 0 GeoDirHandler(Unknown Source:0)_x000D_
04 01 12:43:01 064  2394  2394 W cgeo    : 	at cgeo geocaching sensors    Lambda GeoDirHandler iBu37b5fsSLKy3w8O YfiBttMp8 accept(Unknown Source:4)_x000D_
04 01 12:43:01 064  2394  2394 W cgeo    : 	at io reactivex rxjava3 internal subscribers LambdaSubscriber onNext(LambdaSubscriber java:65)_x000D_
04 01 12:43:01 064  2394  2394 W cgeo    : 	at io reactivex rxjava3 internal operators flowable AbstractBackpressureThrottlingSubscriber drain(AbstractBackpressureThrottlingSubscriber java:124)_x000D_
04 01 12:43:01 064  2394  2394 W cgeo    : 	at io reactivex rxjava3 internal operators flowable FlowableOnBackpressureLatest BackpressureLatestSubscriber onNext(FlowableOnBackpressureLatest java:41)_x000D_
04 01 12:43:01 064  2394  2394 W cgeo    : 	at io reactivex rxjava3 internal operators flowable FlowableFromObservable SubscriberObserver onNext(FlowableFromObservable java:56)_x000D_
04 01 12:43:01 064  2394  2394 W cgeo    : 	at io reactivex rxjava3 internal operators observable ObservableObserveOn ObserveOnObserver drainNormal(ObservableObserveOn java:201)_x000D_
04 01 12:43:01 064  2394  2394 W cgeo    : 	at io reactivex rxjava3 internal operators observable ObservableObserveOn ObserveOnObserver run(ObservableObserveOn java:255)_x000D_
04 01 12:43:01 064  2394  2394 W cgeo    : 	at io reactivex rxjava3 android schedulers HandlerScheduler ScheduledRunnable run(HandlerScheduler java:123)_x000D_
04 01 12:43:01 064  2394  2394 W cgeo    : 	at android os Handler handleCallback(Handler java:873)_x000D_
04 01 12:43:01 064  2394  2394 W cgeo    : 	at android os Handler dispatchMessage(Handler java:99)_x000D_
04 01 12:43:01 064  2394  2394 W cgeo    : 	at android os Looper loop(Looper java:214)_x000D_
04 01 12:43:01 064  2394  2394 W cgeo    : 	at android app ActivityThread main(ActivityThread java:7073)_x000D_
04 01 12:43:01 064  2394  2394 W cgeo    : 	at java lang reflect Method invoke(Native Method)_x000D_
04 01 12:43:01 064  2394  2394 W cgeo    : 	at com android internal os RuntimeInit MethodAndArgsCaller run(RuntimeInit java:494)_x000D_
04 01 12:43:01 064  2394  2394 W cgeo    : 	at com android internal os ZygoteInit main(ZygoteInit java:965)_x000D_
   _x000D_
_x000D_
User 2:_x000D_
   _x000D_
_x000D_
    System information    _x000D_
c:geo version: 2021 03 28 RC_x000D_
_x000D_
Device:_x000D_
       _x000D_
  Device type: SM A705FN (a70qeea  samsung)_x000D_
  Android version: 10_x000D_
  Android build: QP1A 190711 020 A705FNXXU5CUA7_x000D_
  Sailfish OS detected: false_x000D_
  Google Play services: disabled   21 09 15 (120400 361652764)_x000D_
  HW acceleration: enabled (default state)_x000D_
_x000D_
Sensor and location:_x000D_
       _x000D_
  Low power mode: inactive_x000D_
  Compass capabilities: yes_x000D_
  Rotation vector sensor: present_x000D_
  Orientation sensor: present_x000D_
  Magnetometer   Accelerometer sensor: present_x000D_
  Direction sensor used: orientation_x000D_
_x000D_
Program settings:_x000D_
       _x000D_
  Hide caches: own found archived_x000D_
  Hide waypoints: original visited_x000D_
  Set language: de AT (system default)_x000D_
  System date format: dd MM yy_x000D_
  Debug mode active: no_x000D_
  Live map mode: false_x000D_
  Global filter: display all caches_x000D_
  Last backup: never_x000D_
  Routing mode: Gehen_x000D_
  Map: Kombiniert (Offline)_x000D_
    Id: cgeo geocaching maps mapsforge MapsforgeMapProvider OfflineMultiMapSource_x000D_
    Atts:_x000D_
_x000D_
austria 190401 map:_x000D_
mapsforge map writer 0 10 0_x000D_
_x000D_
Austria 200403 map:_x000D_
(C) 2007 2020 OpenMaps eu_x000D_
_x000D_
bosnia herzegovina 190228 map:_x000D_
mapsforge map writer 0 10 0_x000D_
_x000D_
croatia 190228 map:_x000D_
mapsforge map writer 0 10 0_x000D_
_x000D_
czech republic map:_x000D_
mapsforge map writer master SNAPSHOT_x000D_
_x000D_
germany map:_x000D_
mapsforge map writer master SNAPSHOT_x000D_
_x000D_
slovakia map:_x000D_
mapsforge map writer master SNAPSHOT_x000D_
_x000D_
slovenia 190228 map:_x000D_
mapsforge map writer 0 10 0_x000D_
_x000D_
Ungarn 190606 map:_x000D_
(c) Map: FZK project (free for private use)  Map data: OpenStreetMap contributors  Contour data: U S  Geological Survey and J  de Ferranti_x000D_
_x000D_
    Theme: Elevate xml_x000D_
_x000D_
Services:_x000D_
       _x000D_
  Geocaching sites enabled:_x000D_
   geocaching com: Logged in (Anmeldung OK)   PREMIUM_x000D_
  Geocaching com date format: dd MM yyyy_x000D_
  BRouter installed: false   connection available: false_x000D_
  Installed c:geo plugins:  none_x000D_
_x000D_
Permissions   paths:_x000D_
       _x000D_
  Fine location permission: granted_x000D_
  Write external storage permission: granted_x000D_
  System internal c:geo dir:  data user 0 cgeo geocaching (67 6 GB free) v2 internal isDir(11 entries)_x000D_
  Legacy User storage c:geo dir:  storage emulated 0 cgeo (67 6 GB free) v2 external non removable isDir(5 entries)_x000D_
  Geocache data:  storage 0000 0000 Android data cgeo geocaching files GeocacheData (3 8 GB free) v2 external removable isDir(25593 entries)_x000D_
  Internal theme sync (is turned off):  data user 0 cgeo geocaching MapThemeData (67 6 GB free) v2 internal isDir(0 entries)_x000D_
  Public Folders:  9_x000D_
    BASE:  cgeo (Benutzerdefiniert)  cgeo DOCUMENT 0:p content:  com android externalstorage documents tree primary 3Acgeo::   (Uri: content:  com android externalstorage documents tree primary 3Acgeo document primary 3Acgeo  Av:true  files:219  dirs:5  totalFileSize:1 7 MB  topLevel(5): backup  gpx  logfiles  GeocachePhotos  field notes    free space: 67 6 GB  files on device: 3645440)_x000D_
    OFFLINE MAPS: SD Karte OfflineMaps (Benutzerdefiniert) SD Karte OfflineMaps DOCUMENT 0:p content:  com android externalstorage documents tree 0000 0000 3AOfflineMaps::   (Uri: content:  com android externalstorage documents tree 0000 0000 3AOfflineMaps document 0000 0000 3AOfflineMaps  Av:true  files:14  dirs:0  totalFileSize:3 9 GB  topLevel(first 10 of 14): montenegro poi slovenia poi slovenia 190228 map austria poi austria 190401 map czech republic map germany map Austria 200403 map slovakia map bosnia herzegovina poi   free space: 3 8 GB  files on device: 0)_x000D_
    OFFLINE MAP THEMES: SD Karte OfflineThemes (Benutzerdefiniert) SD Karte OfflineThemes DOCUMENT 0:p content:  com android externalstorage documents tree 0000 0000 3AOfflineThemes::   (Uri: content:  com android externalstorage documents tree 0000 0000 3AOfflineThemes document 0000 0000 3AOfflineThemes  Av:true  files:800  dirs:3  totalFileSize:4 0 MB  topLevel(first 10 of 11): Elevate  Elements xml Elevate xml read me elevate txt ele res  GC94CYH gpx ZZ1020 2 gpx ZZ1020 gpx GC3A51M gpx GC94CYH 2 gpx   free space: 3 8 GB  files on device: 0)_x000D_
    LOGFILES:  cgeo logfiles (Standard)  cgeo logfiles PERSISTABLE FOLDER(BASE) 1:p content:  com android externalstorage documents tree primary 3Acgeo:: logfiles   (Uri: content:  com android externalstorage documents tree primary 3Acgeo document primary 3Acgeo 2Flogfiles  Av:true  files:2  dirs:0  totalFileSize:892 0 KB  topLevel(2): logcat 2021 04 01 18 10 55 2 txt logcat 2021 04 01 20 45 54 2 txt   free space: 67 6 GB  files on device: 3645440)_x000D_
    GPX: SD Karte OfflineThemes (Benutzerdefiniert) SD Karte OfflineThemes DOCUMENT 0:p content:  com android externalstorage documents tree 0000 0000 3AOfflineThemes::   (Uri: content:  com android externalstorage documents tree 0000 0000 3AOfflineThemes document 0000 0000 3AOfflineThemes  Av:true  files:800  dirs:3  totalFileSize:4 0 MB  topLevel(first 10 of 11): Elevate  Elements xml Elevate xml read me elevate txt ele res  GC94CYH gpx ZZ1020 2 gpx ZZ1020 gpx GC3A51M gpx GC94CYH 2 gpx   free space: 3 8 GB  files on device: 0)_x000D_
    BACKUP:  cgeo backup (Standard)  cgeo backup PERSISTABLE FOLDER(BASE) 1:p content:  com android externalstorage documents tree primary 3Acgeo:: backup   (Uri: content:  com android externalstorage documents tree primary 3Acgeo document primary 3Acgeo 2Fbackup  Av:true  files:0  dirs:0  totalFileSize:0 B  topLevel(0):    free space: 67 6 GB  files on device: 3645440)_x000D_
    FIELD NOTES:  cgeo field notes (Standard)  cgeo field notes PERSISTABLE FOLDER(BASE) 1:p content:  com android externalstorage documents tree primary 3Acgeo:: field notes   (Uri: content:  com android externalstorage documents tree primary 3Acgeo document primary 3Acgeo 2Ffield notes  Av:true  files:211  dirs:0  totalFileSize:150 7 KB  topLevel(first 10 of 211): 20201021191549 txt 20201212171827 txt 20200625141328 txt 20200208184143 txt 20200731215004 txt 20200612230855 txt 20200111112119 txt 20210330181914 txt 20200507141420 txt 20201113100020 txt   free space: 67 6 GB  files on device: 3645440)_x000D_
    SPOILER IMAGES:  cgeo GeocachePhotos (Standard)  cgeo GeocachePhotos PERSISTABLE FOLDER(BASE) 1:p content:  com android externalstorage documents tree primary 3Acgeo:: GeocachePhotos   (Uri: content:  com android externalstorage documents tree primary 3Acgeo document primary 3Acgeo 2FGeocachePhotos  Av:true  files:0  dirs:0  totalFileSize:0 B  topLevel(0):    free space: 67 6 GB  files on device: 3645440)_x000D_
    TEST FOLDER:  Veraltet  data user 0 cgeo geocaching files unittest (Standard)  data user 0 cgeo geocaching files unittest FILE 1:p file:   data user 0 cgeo geocaching files:: unittest   (Uri: file:   data user 0 cgeo geocaching files unittest  Av:true  files:0  dirs:0  totalFileSize:0 B  topLevel(0):    free space: 67 6 GB  files on device:  1)_x000D_
  Map render theme path: Elevate xml_x000D_
  PersistedDocumentUris:  1_x000D_
  TRACK: null_x000D_
  Persisted Uri Permissions:  3_x000D_
    content:  com android externalstorage documents tree 0000 0000 3AOfflineThemes (31  M rz  13:28):RW_x000D_
    content:  com android externalstorage documents tree 0000 0000 3AOfflineMaps (31  M rz  13:27):RW_x000D_
    content:  com android externalstorage documents tree primary 3Acgeo (31  M rz  13:27):RW_x000D_
  Database:  storage emulated 0 Android data cgeo geocaching files databases data (v94  Size:584 9 MB) on user storage_x000D_
 Settings: v5  Count:158_x000D_
    End of system information    _x000D_
   _x000D_
_x000D_
Logs of user 2:_x000D_
   _x000D_
          beginning of crash_x000D_
03 22 08:30:38 896 12502 31770 F libc    : Fatal signal 6 (SIGABRT)  code  1 (SI QUEUE) in tid 31770 (pool 218 thread)  pid 12502 (cgeo geocaching)_x000D_
03 22 08:30:39 095 31908 31908 F DEBUG   :                                                                _x000D_
03 22 08:30:39 095 31908 31908 F DEBUG   : Build fingerprint:  samsung a70qeea a70q:10 QP1A 190711 020 A705FNXXU5CUA7:user release keys _x000D_
03 22 08:30:39 095 31908 31908 F DEBUG   : Revision:  14 _x000D_
03 22 08:30:39 095 31908 31908 F DEBUG   : ABI:  arm64 _x000D_
03 22 08:30:39 096 31908 31908 F DEBUG   : Timestamp: 2021 03 22 08:30:39 0100_x000D_
03 22 08:30:39 096 31908 31908 F DEBUG   : pid: 12502  tid: 31770  name: pool 218 thread      cgeo geocaching    _x000D_
03 22 08:30:39 096 31908 31908 F DEBUG   : uid: 10248_x000D_
03 22 08:30:39 096 31908 31908 F DEBUG   : signal 6 (SIGABRT)  code  1 (SI QUEUE)  fault addr         _x000D_
03 22 08:30:39 096 31908 31908 F DEBUG   : Abort message:  Error  cannot access an invalid free d bitmap here  _x000D_
03 22 08:30:39 096 31908 31908 F DEBUG   :     x0  0000000000000000  x1  0000000000007c1a  x2  0000000000000006  x3  000000705c2c4cd0_x000D_
03 22 08:30:39 096 31908 31908 F DEBUG   :     x4  0000000080000000  x5  0000000080000000  x6  0000000080000000  x7  0000008000000000_x000D_
03 22 08:30:39 096 31908 31908 F DEBUG   :     x8  00000000000000f0  x9  d1e0c3b36ea57a19  x10 0000000000000001  x11 0000000000000000_x000D_
03 22 08:30:39 096 31908 31908 F DEBUG   :     x12 fffffff0fffffbdf  x13 0000000000000005  x14 0000000000000000  x15 00011586c0be394d_x000D_
03 22 08:30:39 096 31908 31908 F DEBUG   :     x16 00000071c13fd8c0  x17 00000071c13d9ff0  x18 000000705bb10000  x19 00000000000030d6_x000D_
03 22 08:30:39 096 31908 31908 F DEBUG   :     x20 0000000000007c1a  x21 00000000ffffffff  x22 0000000000000001  x23 0000000000000001_x000D_
03 22 08:30:39 096 31908 31908 F DEBUG   :     x24 000000705c2c6020  x25 00000070b0edc730  x26 00000000137c00a0  x27 000000001a23f640_x000D_
03 22 08:30:39 096 31908 31908 F DEBUG   :     x28 000000001c3a4ca8  x29 000000705c2c4d70_x000D_
03 22 08:30:39 096 31908 31908 F DEBUG   :     sp  000000705c2c4cb0  lr  00000071c138b27c  pc  00000071c138b2a8_x000D_
03 22 08:30:39 452 31908 31908 F DEBUG   : _x000D_
03 22 08:30:39 452 31908 31908 F DEBUG   : backtrace:_x000D_
03 22 08:30:39 452 31908 31908 F DEBUG   :        00 pc 00000000000832a8   apex com android runtime lib64 bionic libc so (abort 160) (BuildId: 27147c78d1670fec7bce21c48e84eb70)_x000D_
03 22 08:30:39 452 31908 31908 F DEBUG   :        01 pc 0000000000008a14   system lib64 liblog so (  android log assert 328) (BuildId: 6f856a3031635a86c8fd5b77d01a6074)_x000D_
03 22 08:30:39 453 31908 31908 F DEBUG   :        02 pc 000000000018775c   system lib64 libandroid runtime so (android::bitmap::toBitmap(long) 44) (BuildId: 4936846b97df981449dcbbf13ba63ac5)_x000D_
03 22 08:30:39 453 31908 31908 F DEBUG   :        03 pc 000000000019e1b0   system lib64 libandroid runtime so (BitmapShader constructor( JNIEnv    jobject   long  long  int  int) 60) (BuildId: 4936846b97df981449dcbbf13ba63ac5)_x000D_
03 22 08:30:39 454 31908 31908 F DEBUG   :        04 pc 00000000002fe980   system framework arm64 boot framework oat (art jni trampoline 176) (BuildId: 7fa19beacd222d2e4c8d2d608acd9018031d2da8)_x000D_
03 22 08:30:39 454 31908 31908 F DEBUG   :        05 pc 000000000060adbc   system framework arm64 boot framework oat (android graphics BitmapShader createNativeInstance 76) (BuildId: 7fa19beacd222d2e4c8d2d608acd9018031d2da8)_x000D_
03 22 08:30:39 454 31908 31908 F DEBUG   :        06 pc 0000000000506a98   system framework arm64 boot framework oat (android graphics Shader getNativeInstance 104) (BuildId: 7fa19beacd222d2e4c8d2d608acd9018031d2da8)_x000D_
03 22 08:30:39 454 31908 31908 F DEBUG   :        07 pc 00000000004fffbc   system framework arm64 boot framework oat (android graphics Paint getNativeInstance 76) (BuildId: 7fa19beacd222d2e4c8d2d608acd9018031d2da8)_x000D_
03 22 08:30:39 454 31908 31908 F DEBUG   :        08 pc 00000000004f1c74   system framework arm64 boot framework oat (android graphics BaseCanvas drawPath 228) (BuildId: 7fa19beacd222d2e4c8d2d608acd9018031d2da8)_x000D_
03 22 08:30:39 454 31908 31908 F DEBUG   :        09 pc 0000000002004c84   memfd: jit cache (deleted) (org mapsforge map layer renderer CanvasRasterer drawPath 1492)_x000D_
03 22 08:30:39 454 31908 31908 F DEBUG   :        10 pc 00000000021262e4   memfd: jit cache (deleted) (org mapsforge map layer renderer CanvasRasterer drawShapePaintContainer 356)_x000D_
03 22 08:30:39 454 31908 31908 F DEBUG   :        11 pc 00000000021b241c   memfd: jit cache (deleted) (org mapsforge map layer renderer CanvasRasterer drawWays 604)_x000D_
03 22 08:30:39 454 31908 31908 F DEBUG   :        12 pc 000000000206c5e8   memfd: jit cache (deleted) (org mapsforge map layer renderer DatabaseRenderer executeJob 2040)_x000D_
03 22 08:30:39 454 31908 31908 F DEBUG   :        13 pc 000000000204c844   memfd: jit cache (deleted) (org mapsforge map layer renderer MapWorkerPool MapWorker run 452)_x000D_
03 22 08:30:39 454 31908 31908 F DEBUG   :        14 pc 000000000031abd8   system framework arm64 boot oat (java util concurrent ThreadPoolExecutor runWorker 984) (BuildId: ed4f6263188c43be4b21b72fc298bef107614795)_x000D_
03 22 08:30:39 454 31908 31908 F DEBUG   :        15 pc 0000000000318230   system framework arm64 boot oat (java util concurrent ThreadPoolExecutor Worker run 64) (BuildId: ed4f6263188c43be4b21b72fc298bef107614795)_x000D_
03 22 08:30:39 454 31908 31908 F DEBUG   :        16 pc 00000000001b7c38   system framework arm64 boot oat (java lang Thread run 72) (BuildId: ed4f6263188c43be4b21b72fc298bef107614795)_x000D_
03 22 08:30:39 454 31908 31908 F DEBUG   :        17 pc 0000000000138334   apex com android runtime lib64 libart so (art quick invoke stub 548) (BuildId: 3cf8c22e0e5e8cc201d7666e18ab1796)_x000D_
03 22 08:30:39 454 31908 31908 F DEBUG   :        18 pc 0000000000146fec   apex com android runtime lib64 libart so (art::ArtMethod::Invoke(art::Thread   unsigned int   unsigned int  art::JValue   char const ) 244) (BuildId: 3cf8c22e0e5e8cc201d7666e18ab1796)_x000D_
03 22 08:30:39 455 31908 31908 F DEBUG   :        19 pc 00000000004b8e7c   apex com android runtime lib64 libart so (art::(anonymous namespace)::InvokeWithArgArray(art::ScopedObjectAccessAlreadyRunnable const   art::ArtMethod   art::(anonymous namespace)::ArgArray   art::JValue   char const ) 104) (BuildId: 3cf8c22e0e5e8cc201d7666e18ab1796)_x000D_
03 22 08:30:39 455 31908 31908 F DEBUG   :        20 pc 00000000004b9f90   apex com android runtime lib64 libart so (art::InvokeVirtualOrInterfaceWithJValues(art::ScopedObjectAccessAlreadyRunnable const    jobject    jmethodID   jvalue const ) 416) (BuildId: 3cf8c22e0e5e8cc201d7666e18ab1796)_x000D_
03 22 08:30:39 455 31908 31908 F DEBUG   :        21 pc 00000000004fafe4   apex com android runtime lib64 libart so (art::Thread::CreateCallback(void ) 1176) (BuildId: 3cf8c22e0e5e8cc201d7666e18ab1796)_x000D_
03 22 08:30:39 455 31908 31908 F DEBUG   :        22 pc 00000000000e6f20   apex com android runtime lib64 bionic libc so (  pthread start(void ) 36) (BuildId: 27147c78d1670fec7bce21c48e84eb70)_x000D_
03 22 08:30:39 455 31908 31908 F DEBUG   :        23 pc 00000000000850c8   apex com android runtime lib64 bionic libc so (  start thread 64) (BuildId: 27147c78d1670fec7bce21c48e84eb70)_x000D_
03 22 20:30:24 563 27653 22742 F libc    : Fatal signal 6 (SIGABRT)  code  1 (SI QUEUE) in tid 22742 (pool 18 thread )  pid 27653 (cgeo geocaching)_x000D_
03 22 20:30:24 844 22755 22755 F DEBUG   :                                                                _x000D_
03 22 20:30:24 844 22755 22755 F DEBUG   : Build fingerprint:  samsung a70qeea a70q:10 QP1A 190711 020 A705FNXXU5CUA7:user release keys _x000D_
03 22 20:30:24 844 22755 22755 F DEBUG   : Revision:  14 _x000D_
03 22 20:30:24 844 22755 22755 F DEBUG   : ABI:  arm64 _x000D_
03 22 20:30:24 845 22755 22755 F DEBUG   : Timestamp: 2021 03 22 20:30:24 0100_x000D_
03 22 20:30:24 845 22755 22755 F DEBUG   : pid: 27653  tid: 22742  name: pool 18 thread       cgeo geocaching    _x000D_
03 22 20:30:24 845 22755 22755 F DEBUG   : uid: 10248_x000D_
03 22 20:30:24 845 22755 22755 F DEBUG   : signal 6 (SIGABRT)  code  1 (SI QUEUE)  fault addr         _x000D_
03 22 20:30:24 845 22755 22755 F DEBUG   : Abort message:  Error  cannot access an invalid free d bitmap here  _x000D_
03 22 20:30:24 845 22755 22755 F DEBUG   :     x0  0000000000000000  x1  00000000000058d6  x2  0000000000000006  x3  00000070afb20340_x000D_
03 22 20:30:24 845 22755 22755 F DEBUG   :     x4  fefeff6fcf2006ff  x5  fefeff6fcf2006ff  x6  fefeff6fcf2006ff  x7  7f7f7f7fff7f7f7f_x000D_
03 22 20:30:24 845 22755 22755 F DEBUG   :     x8  00000000000000f0  x9  d1e0c3b36ea57a19  x10 0000000000000001  x11 0000000000000000_x000D_
03 22 20:30:24 845 22755 22755 F DEBUG   :     x12 fffffff0fffffbdf  x13 ffffffffffffffff  x14 0000000000000000  x15 ffffffffffffffff_x000D_
03 22 20:30:24 845 22755 22755 F DEBUG   :     x16 00000071c13fd8c0 </t>
  </si>
  <si>
    <t>TeamNewPipe-NewPipe-5985</t>
  </si>
  <si>
    <t>Channels dont load from subscriptions. Comments arent showing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</si>
  <si>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Solved:_x000D_
_x000D_
I had to clear the captchas fuck me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Open newpipe _x000D_
Tap on reload bar_x000D_
Bar is going_x000D_
Videos not showing  (not loaded:  number )_x000D_
_x000D_
Open video _x000D_
go to comments_x000D_
error_x000D_
_x000D_
    Actual behaviour_x000D_
     Tell us what happens with the steps given above     _x000D_
_x000D_
When i try to load a feed i see the loading line going (maybe a bit too fast) but the reload bar says  Not loaded:  number    It doesnt give an arror screen or log  Also i cant view the comments  this gives error  i pasted it below  Tried closing  clearing cache reinstalling did not work  The issue is the same as  5977 but many people say the debug app zip apk worked for them  this didnt for me so i opened an issue too to be safe _x000D_
_x000D_
    Expected behavior_x000D_
     Tell us what you expect to happen     _x000D_
_x000D_
Subscriptions and comments parsing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comments_x000D_
    Request:   Start loading: https:  www youtube com watch v EXJgfj Nlek_x000D_
    Content Country:   US_x000D_
    Content Language:   en US_x000D_
    App Language:   en US_x000D_
    Service:   YouTube_x000D_
    Version:   0 21 0_x000D_
    OS:   Linux Android 9   28_x000D_
 details  summary  b Crash log   b   summary  p _x000D_
_x000D_
   _x000D_
org schabi newpipe extractor utils Parser RegexException: failed to find pattern  INNERTUBE CONTEXT CLIENT NAME  :(   )     _x000D_
	at org schabi newpipe extractor utils Parser matchGroup(Parser java:74)_x000D_
	at org schabi newpipe extractor utils Parser matchGroup1(Parser java:58)_x000D_
	at org schabi newpipe extractor services youtube extractors YoutubeCommentsExtractor onFetchPage(YoutubeCommentsExtractor java:137)_x000D_
	at org schabi newpipe extractor Extractor fetchPage(Extractor java:54)_x000D_
	at org schabi newpipe extractor comments CommentsInfo getInfo(CommentsInfo java:34)_x000D_
	at org schabi newpipe extractor comments CommentsInfo getInfo(CommentsInfo java:25)_x000D_
	at org schabi newpipe util ExtractorHelper lambda getCommentsInfo 7(ExtractorHelper java:154)_x000D_
	at org schabi newpipe util    Lambda ExtractorHelper 60N  UL7E5eaxFaFO1bZZmnfwM8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t>
  </si>
  <si>
    <t>PojavLauncherTeam-PojavLauncher-1147</t>
  </si>
  <si>
    <t>[BUG] The game crashes with Scannable mod</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</si>
  <si>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The game crashes when I use Scannable to scan blocks_x000D_
_x000D_
  Add a log file if you want to see your bug fixed    _x000D_
_x000D_
 latestlog txt (https:  github com PojavLauncherTeam PojavLauncher files 6245443 latestlog txt)_x000D_
 latestcrash txt (https:  github com PojavLauncherTeam PojavLauncher files 6245444 latestcrash txt)_x000D_
 crash 2021 04 01 17 28 06 client txt (https:  github com PojavLauncherTeam PojavLauncher files 6245460 crash 2021 04 01 17 28 06 client txt)_x000D_
_x000D_
_x000D_
    To Reproduce:_x000D_
Indicate steps to reproduce the buggy behavior:_x000D_
_x000D_
1  Start PojavLauncher_x000D_
2 Start 1 16 4 forge 35 1 37_x000D_
3 Use the scanner with  Scanner Module: Rare Ores  in the game_x000D_
_x000D_
    Expected behavior:_x000D_
Display scan results normally_x000D_
_x000D_
    Screenshots or videos:_x000D_
not thing_x000D_
_x000D_
  Platform:  _x000D_
   Device Model  Huawei Honor play3 _x000D_
   CPU architecture  aarch64  _x000D_
   Android Version  9 _x000D_
   PojavLauncher Version  3 3 1 1 rel 20210330 _x000D_
_x000D_
_x000D_
 details   summary  b Additional context  b   summary _x000D_
 br _x000D_
 pre _x000D_
Add any other context about the problem here _x000D_
  pre _x000D_
  details _x000D_
</t>
  </si>
  <si>
    <t>TeamNewPipe-NewPipe-5983</t>
  </si>
  <si>
    <t>Popup player doesn't remember position or size after closing and reopening it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</si>
  <si>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 video  _x000D_
2  Press the maximize button _x000D_
3  Resize or move it _x000D_
4  Close it _x000D_
5  Open it again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It doesn t remember size and position_x000D_
_x000D_
_x000D_
    Expected behavior_x000D_
     Tell us what you expect to happen     _x000D_
It should remomber size and position (this should have been fixed in a recent version 0 20 11 or 0 21 0 but only the main player was fixed)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user images githubusercontent com 77978836 113317423 06f2b680 9318 11eb 8a98 9463d97e2f72 mp4_x000D_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None_x000D_
_x000D_
     Please fill this out when you do not provide a log generate by NewPipe    _x000D_
_x000D_
    Device info_x000D_
_x000D_
   Android version Custom ROM version:7 1 2 and 10_x000D_
   Device model:Redmi Note 5A and on Redmi 8A_x000D_
</t>
  </si>
  <si>
    <t>bumptech-glide-4542</t>
  </si>
  <si>
    <t>How to force Glide to use only the VideoDecoder</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</si>
  <si>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_x000D_
_x000D_
     What version of Glide you re running  for example: 3 7 1   3 8 0 SNAPSHOT   4 0 0 SNAPSHOT_x000D_
It s essentially the version number from your build gradle:  dependencies   compile     :x y z        _x000D_
  Glide Version  : 4 11  4 12_x000D_
_x000D_
_x000D_
     What devices you managed to get the issue to come up on  For example:_x000D_
fails on Galaxy S4 GT I9500 4 4 2  works fine on Nexus 6P 5 1 and Genymotion Nexus 5 5 0 1    _x000D_
  Device Android Version  : Different Huawei models_x000D_
_x000D_
     Share the details of your issue in prose  detailing actual and expected behavior  It also helps if you give some info   why   you are trying to do something as opposed to   what   is not working     _x000D_
  Issue details   Repro steps   Use case background  : _x000D_
_x000D_
Is there a way to force a Glide request to use only the   VideoDecoder   to obtain thumbnails  when a file s media type is known to be a video _x000D_
_x000D_
My question is because I need to find a temporary workaround to avoid the crashes reported in issues  4165 and  4519  until these get fixed _x000D_
To put in context  and avoid repeating everything that is already explained in the above tickets  the bug is an uncatchable system crash which happens in different Huawei models when trying to get thumbnails from large video files (over 2GB)  _x000D_
_x000D_
Debugging Glide I ve found that in its flow it also calls the   BitmapFactory decodeFileDescriptor   for video files via the   Downsampler   class  to be more exact  the crash happens when trying to obtain the video thumbnail dimensions _x000D_
_x000D_
To avoid the crash  I guess that forcing to use the VideoDecoder when the type is known  would mitigate temporarily the issue _x000D_
_x000D_
See next screenshot for the frames stacktrace _x000D_
Is from when reading a video file _x000D_
As you can see marked in red  to get the video dimensions Glide is calling the   ImageReader decodeBitmap   method  which content maps to a single   BitmapFactory decodeFileDescriptor   call _x000D_
Glide shouldn t be calling such API to get video dimensions  as it is mean to be for image files only  So  even if doesn t crash in several devices  the behavior is unpredictable as is passing the file descriptor of an unsupported format _x000D_
_x000D_
_x000D_
  image (https:  user images githubusercontent com 7354233 113313042 29320780 930b 11eb 852a 01ca83818b55 png)_x000D_
_x000D_
 _x000D_
_x000D_
 _x000D_
_x000D_
 _x000D_
</t>
  </si>
  <si>
    <t>tradle-react-native-udp-159</t>
  </si>
  <si>
    <t>Detox 18 and react-native 0.64.0 compatibility</t>
  </si>
  <si>
    <t xml:space="preserve">   Description_x000D_
When running  gradlew assembleDebug assembleAndroidTest  with  detox  and  react native 0 64 0  installed  the building process crashes due to a  minSdkVersion  too low _x000D_
_x000D_
In particular  the lowest required minSdkVersion should be  18  or  21  _x000D_
_x000D_
   Current behavior_x000D_
The command  gradlew assembleDebug assembleAndroidTest  crashes _x000D_
_x000D_
   Expected behavior_x000D_
The command  gradlew assembleDebug assembleAndroidTest  should not crash _x000D_
_x000D_
  Screenshots  _x000D_
If applicable  add screenshots to help explain your problem _x000D_
_x000D_
   Relevant information_x000D_
                     _x000D_
                     _x000D_
  OS   Windows    _x000D_
  react native    0 64 0     _x000D_
  react native udp     4 1 2     _x000D_
</t>
  </si>
  <si>
    <t>SkyTubeTeam-SkyTube-949</t>
  </si>
  <si>
    <t>Crash When Selecting Search</t>
  </si>
  <si>
    <t xml:space="preserve">In Kit Kat 4 4  SkyTube crashes when you try the search feature </t>
  </si>
  <si>
    <t>Anuken-Mindustry-5039</t>
  </si>
  <si>
    <t>so, my core just keeps animating</t>
  </si>
  <si>
    <t xml:space="preserve">  Platform  :  Android iOS Mac Windows Linux _x000D_
linux_x000D_
  Build  :  The build number under the title in the main menu  Required   LATEST  IS NOT A VERSION  I NEED THE EXACT BUILD NUMBER OF YOUR GAME  _x000D_
126 2_x000D_
  Issue  :  Explain your issue in detail  _x000D_
my core keeps animating the spawn thing_x000D_
  Steps to reproduce  :  How you happened across the issue  and what exactly you did to make the bug happen  _x000D_
idk  it just does it_x000D_
  Link(s) to mod(s) used  :  The mod repositories or zip files that are related to the issue  if applicable  _x000D_
null_x000D_
file:   home klunk Downloads screen capture (8) webm_x000D_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msav saves dont upload hmm_x000D_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</si>
  <si>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hauke96-GeoNotes-30</t>
  </si>
  <si>
    <t>Crash after rotating twice</t>
  </si>
  <si>
    <t xml:space="preserve">1  Rotate the device twice_x000D_
2  Tap on the map to create a note_x000D_
_x000D_
Now the app crashed for a reason I don t know yet </t>
  </si>
  <si>
    <t>microg-GmsCore-1431</t>
  </si>
  <si>
    <t>No sound in latest lineage+microg for harpia</t>
  </si>
  <si>
    <t xml:space="preserve">  Describe the bug  _x000D_
The latest OTA update broke sound in every application  Even in system settings  no sound is reproduced either through the speakers or using a headphone  Some applications like a metronome crash and others say they can t reproduce sound_x000D_
_x000D_
  To Reproduce  _x000D_
Steps to reproduce the behavior:_x000D_
1  You have a perfectly working Moto G4 Play (harpia) using  lineage microg 17 1 20210201 (https:  download lineage microg org harpia lineage 17 1 20210201 microG harpia zip)_x000D_
2  Update the system to  lineage microg 17 1 20210328 (https:  download lineage microg org harpia lineage 17 1 20210328 microG harpia zip)_x000D_
3  Sound is gone_x000D_
_x000D_
  System  _x000D_
Android Version: 10_x000D_
Custom ROM: LineageOS 17 1_x000D_
_x000D_
  Additional context  _x000D_
I tried to revert to the previous build  but then I couldn t even unlock the phone that something crashed_x000D_
_x000D_
  Please remove the latest OTA update as soon as possible  _x000D_
I tried to talk to the people behind lineage microg  but it s extremely difficult to find any contact  This is maybe not the proper place to talk about this  but I hope you guys know how to contact them_x000D_
</t>
  </si>
  <si>
    <t>TeamNewPipe-NewPipe-5973</t>
  </si>
  <si>
    <t>NullPointerException on screen rotation during exit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</si>
  <si>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Watch a video in landscape_x000D_
2  Press the return button repeatedly _x000D_
2 1  Video swipes down_x000D_
2 2 Back to start page (Subscribed channels for me)_x000D_
2 3 Exit app_x000D_
3  Turn the phone to portrait_x000D_
(Not sure about the timing  but I got the error now multiple times  I guess during the last step 2 3 )_x000D_
_x000D_
    Actual behaviour_x000D_
     Tell us what happens with the steps given above     _x000D_
See crash log below_x000D_
_x000D_
_x000D_
    Expected behavior_x000D_
     Tell us what you expect to happen     _x000D_
The app should exit_x000D_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DE_x000D_
    Content Language:   de_x000D_
    App Language:   de DE_x000D_
    Service:   none_x000D_
    Version:   0 21 0_x000D_
    OS:   Linux Android 7 1 2   25_x000D_
 details  summary  b Crash log   b   summary  p _x000D_
_x000D_
   _x000D_
java lang NullPointerException: Attempt to read from field  androidx viewpager widget ViewPager org schabi newpipe databinding FragmentVideoDetailBinding viewPager  on a null object reference_x000D_
	at org schabi newpipe fragments detail VideoDetailFragment updateTabLayoutVisibility(VideoDetailFragment java:1012)_x000D_
	at org schabi newpipe fragments detail VideoDetailFragment lambda initListeners 2(VideoDetailFragment java:653)_x000D_
	at org schabi newpipe fragments detail VideoDetailFragment lambda initListeners 2 VideoDetailFragment(VideoDetailFragment java)_x000D_
	at org schabi newpipe fragments detail    Lambda VideoDetailFragment KSgfQ0ZoZbJufG4lEaiRA Ac5xI onOffsetChanged(lambda)_x000D_
	at com google android material appbar AppBarLayout onOffsetChanged(AppBarLayout java:762)_x000D_
	at com google android material appbar AppBarLayout BaseBehavior setHeaderTopBottomOffset(AppBarLayout java:1739)_x000D_
	at com google android material appbar AppBarLayout BaseBehavior setHeaderTopBottomOffset(AppBarLayout java:1215)_x000D_
	at com google android material appbar HeaderBehavior setHeaderTopBottomOffset(HeaderBehavior java:158)_x000D_
	at com google android material appbar AppBarLayout BaseBehavior 1 onAnimationUpdate(AppBarLayout java:1409)_x000D_
	at android animation ValueAnimator animateValue(ValueAnimator java:1350)_x000D_
	at android animation ValueAnimator animateBasedOnTime(ValueAnimator java:1262)_x000D_
	at android animation ValueAnimator doAnimationFrame(ValueAnimator java:1310)_x000D_
	at android animation AnimationHandler doAnimationFrame(AnimationHandler java:146)_x000D_
	at android animation AnimationHandler  wrap2(AnimationHandler java)_x000D_
	at android animation AnimationHandler 1 doFrame(AnimationHandler java:54)_x000D_
	at android view Choreographer CallbackRecord run(Choreographer java:872)_x000D_
	at android view Choreographer doCallbacks(Choreographer java:686)_x000D_
	at android view Choreographer doFrame(Choreographer java:618)_x000D_
	at android view Choreographer FrameDisplayEventReceiver run(Choreographer java:860)_x000D_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_x000D_
   _x000D_
  details _x000D_
 hr _x000D_
_x000D_
_x000D_
     Please fill this out when you do not provide a log generate by NewPipe    _x000D_
_x000D_
    Device info_x000D_
_x000D_
   Android version Custom ROM version: Lineage OS for microg_x000D_
   Device model: tenshi_x000D_
</t>
  </si>
  <si>
    <t>microsoft-appcenter-sdk-android-1523</t>
  </si>
  <si>
    <t>App crashes on clicking download in release + minified buiilds</t>
  </si>
  <si>
    <t xml:space="preserve">      Description  _x000D_
The app crashes consistently when the user goes to background just before the apk download starts  There is no way from recovering this error when the update is mandatory _x000D_
The crash has occurred 684 times on the app affecting more than 200 users_x000D_
_x000D_
Please describe the issue you are facing using the SDK _x000D_
_x000D_
      Repro Steps  _x000D_
1  Install old version with appcenter sdk v 4 1 1  with following build config_x000D_
      _x000D_
   shrinkResources true_x000D_
   debuggable false_x000D_
   minifyEnabled true_x000D_
   proguardFiles getDefaultProguardFile( proguard android optimize txt )   proguard rules pro _x000D_
       _x000D_
        _x000D_
2  Distribute a new version with same config_x000D_
3  When the dialog appears for update click download_x000D_
4  Clicking download crashes the _x000D_
_x000D_
      Details  _x000D_
_x000D_
1  Which SDK version are you using _x000D_
    v 4 1 1_x000D_
2  Which OS version did you experience the issue on _x000D_
    Android 6 to Android 10_x000D_
3  What device version did you see this error on   Were you using an emulator or a physical device _x000D_
     Happening on all devices_x000D_
4  What third party libraries are you using _x000D_
      has no relation_x000D_
_x000D_
Crash logs_x000D_
   _x000D_
Fatal Exception: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java:764)_x000D_
       _x000D_
 Caused by java lang VerifyError: Verifier rejected class m j a n j c c: java lang Object m j a n j c c doInBackground(java lang Object  ) failed to verify: java lang Object m j a n j c c doInBackground(java lang Object  ):  0x6F  expected to be within a catch all for an instruction where a monitor is held (declaration of  m j a n j c c  appears in base apk)_x000D_
       at com microsoft appcenter distribute download manager DownloadManagerReleaseDownloader request(DownloadManagerReleaseDownloader java:121)_x000D_
       at com microsoft appcenter distribute download manager DownloadManagerReleaseDownloader onStart(DownloadManagerReleaseDownloader java:141)_x000D_
       at com microsoft appcenter distribute download manager DownloadManagerUpdateTask doInBackground(DownloadManagerUpdateTask java:35)_x000D_
       at com microsoft appcenter distribute download manager DownloadManagerUpdateTask doInBackground(DownloadManagerUpdateTask java:20)_x000D_
       at android os AsyncTask 2 call(AsyncTask java:333)_x000D_
       at java util concurrent FutureTask run(FutureTask java:266)_x000D_
       at java util concurrent ThreadPoolExecutor runWorker(ThreadPoolExecutor java:1162)_x000D_
       at java util concurrent ThreadPoolExecutor Worker run(ThreadPoolExecutor java:636)_x000D_
       at java lang Thread run(Thread java:764)_x000D_
          _x000D_
</t>
  </si>
  <si>
    <t>TeamNewPipe-NewPipe-5968</t>
  </si>
  <si>
    <t>App Crashes when no videos in last played and user interacts with playlistController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</si>
  <si>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the app_x000D_
2  Watch any video s_x000D_
3  Click on  History  in navigation pane_x000D_
4 Clear watch history by clicking on 3 dots in top right corner _x000D_
5 PlaylistController is still visible   interact with it to see the magic (click on  Play All  button)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App crashed (TT)_x000D_
_x000D_
    Expected behavior_x000D_
     Tell us what you expect to happen     _x000D_
Anything but crash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photo 2021 03 31 16 59 44 (https:  user images githubusercontent com 56369484 113137759 929a1380 9242 11eb 9c18 df216699a92e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LineageOS_x000D_
   Device model: Redmi Note 5_x000D_
</t>
  </si>
  <si>
    <t>Anuken-Mindustry-5035</t>
  </si>
  <si>
    <t>Can't spawn on steam invite multiplayer game</t>
  </si>
  <si>
    <t xml:space="preserve">  Platform  : Windows_x000D_
_x000D_
  Build  : 126 2_x000D_
_x000D_
  Issue  : my drone or my friend s drone can t spawn  the only one can play it is the host  the problem only happen if ur a client  it s like iam in spectating mode  i can t see my friend s drone  my drone and the enemy  and also i can t build  but i can see what was my friend building_x000D_
  20210331172546 1 (https:  user images githubusercontent com 52745539 113130726 962f9980 9246 11eb 9b51 b80a00d362dd jpg)_x000D_
_x000D_
_x000D_
  Steps to reproduce  : it happen only if i joined my friend through steam invites  the problem only occur on the client and it s also happening on my friend when my friend joined me_x000D_
_x000D_
  Link(s) to mod(s) used  :  _x000D_
_x000D_
  Save file  : _x000D_
 prob zip (https:  github com Anuken Mindustry files 6235896 prob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</si>
  <si>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TeamNewPipe-NewPipe-5967</t>
  </si>
  <si>
    <t>Return to portrait after video finish in fullscreen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</si>
  <si>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Use NewPipe in portrait mode with locked screen rotate_x000D_
2  Launch a video and press the fullscreen button  Let it finish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video exits from fullacreen and NewPipe is stuck in landscape  You have to enable autorotate to fix it _x000D_
_x000D_
_x000D_
    Expected behavior_x000D_
     Tell us what you expect to happen     _x000D_
NewPipe returns to portrait  the mode I launched the video from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Lineage 17_x000D_
   Device model: Galaxy A3(2017)_x000D_
</t>
  </si>
  <si>
    <t>prebid-prebid-mobile-android-249</t>
  </si>
  <si>
    <t>ConcurrentModificationException in Util line 530</t>
  </si>
  <si>
    <t xml:space="preserve">  Describe the bug  _x000D_
ConcurrentModificationException on line 530 in Util_x000D_
_x000D_
  To Reproduce  _x000D_
Unfortunately we don t have the steps to reproduce the issue  only the stackstrace _x000D_
_x000D_
  Expected behavior  _x000D_
The app does not crash _x000D_
_x000D_
  Additional context  _x000D_
   _x000D_
Fatal Exception: java util ConcurrentModificationException_x000D_
java util HashMap HashIterator nextNode (HashMap java:1441)_x000D_
java util HashMap KeyIterator next (HashMap java:1465)_x000D_
org prebid mobile Util removeUsedCustomTargetingForDFP (Util java:530)_x000D_
org prebid mobile Util handleAdManagerBuilderCustomTargeting (Util java:463)_x000D_
org prebid mobile Util apply (Util java:415)_x000D_
org prebid mobile DemandFetcher RequestRunnable 1 1 onDemandReady (DemandFetcher java:193)_x000D_
org prebid mobile PrebidServerAdapter ServerConnector notifyDemandReady (PrebidServerAdapter java:251)_x000D_
org prebid mobile PrebidServerAdapter ServerConnector processResult (PrebidServerAdapter java:208)_x000D_
org prebid mobile PrebidServerAdapter ServerConnector onPostExecute (PrebidServerAdapter java:103)_x000D_
org prebid mobile http HTTPPost execute (HTTPPost java:67)_x000D_
org prebid mobile PrebidServerAdapter ServerConnector execute (PrebidServerAdapter java:109)_x000D_
org prebid mobile PrebidServerAdapter requestDemand (PrebidServerAdapter java:61)_x000D_
org prebid mobile DemandFetcher RequestRunnable 1 run (DemandFetcher java:188)_x000D_
android os Handler handleCallback (Handler java:873)_x000D_
android os Handler dispatchMessage (Handler java:99)_x000D_
android os Looper loop (Looper java:214)_x000D_
android os HandlerThread run (HandlerThread java:65)_x000D_
   _x000D_
</t>
  </si>
  <si>
    <t>prebid-prebid-mobile-android-248</t>
  </si>
  <si>
    <t>NullPointerException in PrebidServerAdapter line 237</t>
  </si>
  <si>
    <t xml:space="preserve">  Describe the bug  _x000D_
NullPointerException on line 237 in PrebidServerAdapter _x000D_
_x000D_
  To Reproduce  _x000D_
Unfortunately we don t have the steps to reproduce the issue  only the stackstrace _x000D_
_x000D_
  Expected behavior  _x000D_
The app does not crash _x000D_
_x000D_
  Additional context  _x000D_
 My guess is this place can cause the crash:_x000D_
 if (connector getAuctionId() equals(auctionId))  (line 68)  but currently not sure how  getAuctionId  can return null _x000D_
_x000D_
   _x000D_
Fatal Exception: java lang NullPointerException_x000D_
Attempt to read from field  java lang String n2 e a s a d  on a null object reference_x000D_
org prebid mobile PrebidServerAdapter ServerConnector getAuctionId (PrebidServerAdapter java:237)_x000D_
org prebid mobile PrebidServerAdapter stopRequest (PrebidServerAdapter java:68)_x000D_
org prebid mobile DemandFetcher RequestRunnable cancelRequest (DemandFetcher java:167)_x000D_
org prebid mobile DemandFetcher destroy (DemandFetcher java:120)_x000D_
org prebid mobile DemandFetcher 1 run (DemandFetcher java:145)_x000D_
android os Handler handleCallback (Handler java:873)_x000D_
android os Handler dispatchMessage (Handler java:99)_x000D_
android os Looper loop (Looper java:214)_x000D_
android app ActivityThread main (ActivityThread java:7050)_x000D_
java lang reflect Method invoke (Method java)_x000D_
com android internal os RuntimeInit MethodAndArgsCaller run (RuntimeInit java:494)_x000D_
com android internal os ZygoteInit main (ZygoteInit java:964)_x000D_
   _x000D_
</t>
  </si>
  <si>
    <t>material-components-material-components-android-2158</t>
  </si>
  <si>
    <t>[MaterialCalendarGridView] NullPointerException in onDraw in 1.3.0</t>
  </si>
  <si>
    <t xml:space="preserve">  Description:   I m receiving a similar bug to https:  github com material components material components android issues 1338  but using version  1 3 0 _x000D_
_x000D_
I don t have steps to reproduce  but It occurred on different devices with different android versions  Maybe there is a trick with language  most users are using  fr  _x000D_
_x000D_
  Expected behavior:   expect the app will not crash_x000D_
_x000D_
  Source code:   _x000D_
_x000D_
   _x000D_
private fun showDatePicker(from: DateTime  to: DateTime  onSubmit: (DateTime  DateTime)    Unit)  _x000D_
        val datePicker   MaterialDatePicker Builder dateRangePicker()_x000D_
        datePicker setSelection(Pair(from millis  to millis))_x000D_
        val dialog   datePicker build()_x000D_
        dialog addOnPositiveButtonClickListener  _x000D_
            onSubmit(DateTime(it first)  DateTime(it second))_x000D_
         _x000D_
        dialog show(parentFragmentManager  dialog javaClass simpleName)_x000D_
     _x000D_
_x000D_
   _x000D_
  Android API versions:    29  28  27  26_x000D_
_x000D_
  Material Library version:   1 3 0_x000D_
_x000D_
  Devices:   _x000D_
Huawei P20_x000D_
Xiaomi Redmi 9_x000D_
Samsung Galaxy S7_x000D_
Samsung Galaxy S7 edge_x000D_
Samsung Galaxy A41_x000D_
Samsung Galaxy Note 10_x000D_
Samsung Galaxy S9_x000D_
OnePlus 6_x000D_
_x000D_
  Stacktrace:  _x000D_
   _x000D_
Fatal Exception: java lang NullPointerException: Attempt to invoke virtual method  int android view View getLeft()  on a null object reference_x000D_
       at com google android material datepicker MaterialCalendarGridView horizontalMidPoint(MaterialCalendarGridView java)_x000D_
       at com google android material datepicker MaterialCalendarGridView onDraw(MaterialCalendarGridView java:221)_x000D_
       at android view View draw(View java:23187)_x000D_
       at android widget AbsListView draw(AbsListView java:7190)_x000D_
       at android view View updateDisplayListIfDirty(View java:22062)_x000D_
       at android view View draw(View java:22917)_x000D_
       at android view ViewGroup drawChild(ViewGroup java:5230)_x000D_
       at android view ViewGroup dispatchDraw(ViewGroup java:4987)_x000D_
       at android view View updateDisplayListIfDirty(View java:22048)_x000D_
       at android view View draw(View java:22917)_x000D_
       at android view ViewGroup drawChild(ViewGroup java:5230)_x000D_
       at androidx recyclerview widget RecyclerView drawChild(RecyclerView java)_x000D_
       at android view ViewGroup dispatchDraw(ViewGroup java:4987)_x000D_
       at android view View draw(View java:23190)_x000D_
       at androidx recyclerview widget RecyclerView draw(RecyclerView java)_x000D_
       at android view View updateDisplayListIfDirty(View java:22062)_x000D_
       at android view View draw(View java:22917)_x000D_
       at android view ViewGroup drawChild(ViewGroup java:5230)_x000D_
       at android view ViewGroup dispatchDraw(ViewGroup java:4987)_x000D_
       at android view View updateDisplayListIfDirty(View java:22048)_x000D_
       at android view View draw(View java:22917)_x000D_
       at android view ViewGroup drawChild(ViewGroup java:5230)_x000D_
       at android view ViewGroup dispatchDraw(ViewGroup java:4987)_x000D_
       at android view View updateDisplayListIfDirty(View java:22048)_x000D_
       at android view View draw(View java:22917)_x000D_
       at android view ViewGroup drawChild(ViewGroup java:5230)_x000D_
       at android view ViewGroup dispatchDraw(ViewGroup java:4987)_x000D_
       at android view View updateDisplayListIfDirty(View java:22048)_x000D_
       at android view View draw(View java:22917)_x000D_
       at android view ViewGroup drawChild(ViewGroup java:5230)_x000D_
       at android view ViewGroup dispatchDraw(ViewGroup java:4987)_x000D_
       at android view View updateDisplayListIfDirty(View java:22048)_x000D_
       at android view View draw(View java:22917)_x000D_
       at android view ViewGroup drawChild(ViewGroup java:5230)_x000D_
       at android view ViewGroup dispatchDraw(ViewGroup java:4987)_x000D_
       at android view View updateDisplayListIfDirty(View java:22048)_x000D_
       at android view View draw(View java:22917)_x000D_
       at android view ViewGroup drawChild(ViewGroup java:5230)_x000D_
       at android view ViewGroup dispatchDraw(ViewGroup java:4987)_x000D_
       at android view View updateDisplayListIfDirty(View java:22048)_x000D_
       at android view View draw(View java:22917)_x000D_
       at android view ViewGroup drawChild(ViewGroup java:5230)_x000D_
       at android view ViewGroup dispatchDraw(ViewGroup java:4987)_x000D_
       at android view View updateDisplayListIfDirty(View java:22048)_x000D_
       at android view View draw(View java:22917)_x000D_
       at android view ViewGroup drawChild(ViewGroup java:5230)_x000D_
       at android view ViewGroup dispatchDraw(ViewGroup java:4987)_x000D_
       at android view View updateDisplayListIfDirty(View java:22048)_x000D_
       at android view View draw(View java:22917)_x000D_
       at android view ViewGroup drawChild(ViewGroup java:5230)_x000D_
       at android view ViewGroup dispatchDraw(ViewGroup java:4987)_x000D_
       at android view View draw(View java:23190)_x000D_
       at com android internal policy DecorView draw(DecorView java:1154)_x000D_
       at android view View updateDisplayListIfDirty(View java:22062)_x000D_
       at android view ThreadedRenderer updateViewTreeDisplayList(ThreadedRenderer java:588)_x000D_
       at android view ThreadedRenderer updateRootDisplayList(ThreadedRenderer java:594)_x000D_
       at android view ThreadedRenderer draw(ThreadedRenderer java:667)_x000D_
       at android view ViewRootImpl draw(ViewRootImpl java:4296)_x000D_
       at android view ViewRootImpl performDraw(ViewRootImpl java:4080)_x000D_
       at android view ViewRootImpl performTraversals(ViewRootImpl java:3348)_x000D_
       at android view ViewRootImpl doTraversal(ViewRootImpl java:2225)_x000D_
   _x000D_
_x000D_
I going to try the latest release 1 4 0 alpha01 of the library  But I can t reproduce this issue by myself  so the only way is to receive crash information from Firebase  it s painful  Maybe someone faced the same issue  will be thankful for any help _x000D_
_x000D_
</t>
  </si>
  <si>
    <t>TeamNewPipe-NewPipe-5966</t>
  </si>
  <si>
    <t>Screen blacks out while rotating 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</si>
  <si>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any video_x000D_
2  rotate screen while video is playing_x000D_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screen blacks out for a while_x000D_
_x000D_
_x000D_
    Expected behavior_x000D_
     Tell us what you expect to happen     _x000D_
video should play smoothly_x000D_
_x000D_
https:  user images githubusercontent com 81674317 113104381 1988c500 921e 11eb 9c0c 9a16a54dfc06 mp4_x000D_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nougat_x000D_
   Device model: mido_x000D_
</t>
  </si>
  <si>
    <t>TeamNewPipe-NewPipe-5964</t>
  </si>
  <si>
    <t>Support for PeerTube HLS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</si>
  <si>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Set NewPipe to PeerTube mode_x000D_
2  Set instance to  https:  tilvids com _x000D_
3  Pick any video _x000D_
4  Video results with  Sorry  something went wrong  _x000D_
   _x000D_
_x000D_
     If you can t cause the bug to show up again reliably (and hence don t have a proper set of steps to give us)  please still try to give as many details as possible on how you think you encountered the bug     _x000D_
We have been able to independently verify this happening on two devices so far  Possibly some configuration mismatch  PeerTube instance is running 3 0 1 _x000D_
_x000D_
_x000D_
    Actual behaviour_x000D_
     Tell us what happens with the steps given above     _x000D_
Video does not load _x000D_
_x000D_
_x000D_
    Expected behavior_x000D_
     Tell us what you expect to happen     _x000D_
Video should successfully load and play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Do not have phone on me at the moment  will update this post in a bit when I can get to it  if I can pull a log _x000D_
_x000D_
  UPDATE: Here is the report I pulled   _x000D_
_x000D_
  user action : requested stream   request : https:  tilvids com videos watch ef17153e c21c 4ee5 8258 bbd6bf873a34   content language : en US   content country : US   app language : en US   service : PeerTube   package : org schabi newpipe   version : 0 21 0   os : Linux motorola payton fi payton sprout:9 PPW29 69 39 6 c74e9:user release keys 9   28   time : 2021 03 31 08:59   exceptions :  org schabi newpipe extractor stream StreamInfo StreamExtractException: Could not get any stream  See error variable to get further details  n tat org schabi newpipe extractor stream StreamInfo extractStreams(StreamInfo java:194) n tat org schabi newpipe extractor stream StreamInfo getInfo(StreamInfo java:72) n tat org schabi newpipe extractor stream StreamInfo getInfo(StreamInfo java:64) n tat org schabi newpipe util ExtractorHelper lambda getStreamInfo 3(ExtractorHelper java:115) n tat org schabi newpipe util    Lambda ExtractorHelper YTHJjScxCJNO1LTCqs3IKy35iyY call(Unknown Source:4) n tat io reactivex rxjava3 internal operators single SingleFromCallable subscribeActual(SingleFromCallable java:43) n tat io reactivex rxjava3 core Single subscribe(Single java:4813) n tat io reactivex rxjava3 internal operators single SingleDoOnSuccess subscribeActual(SingleDoOnSuccess java:35) n tat io reactivex rxjava3 core Single subscribe(Single java:4813) n tat io reactivex rxjava3 internal operators maybe MaybeFromSingle subscribeActual(MaybeFromSingle java:41) n tat io reactivex rxjava3 core Maybe subscribe(Maybe java:5330) n tat io reactivex rxjava3 internal operators maybe MaybeConcatArray ConcatMaybeObserver drain(MaybeConcatArray java:153) n tat io reactivex rxjava3 internal operators maybe MaybeConcatArray ConcatMaybeObserver request(MaybeConcatArray java:78) n tat io reactivex rxjava3 internal operators flowable FlowableElementAtMaybe ElementAtSubscriber onSubscribe(FlowableElementAtMaybe java:66) n tat io reactivex rxjava3 internal operators maybe MaybeConcatArray subscribeActual(MaybeConcatArray java:42) n tat io reactivex rxjava3 core Flowable subscribe(Flowable java:15753) n tat io reactivex rxjava3 internal operators flowable FlowableElementAtMaybe subscribeActual(FlowableElementAtMaybe java:36) n tat io reactivex rxjava3 core Maybe subscribe(Maybe java:5330) n tat io reactivex rxjava3 internal operators maybe MaybeToSingle subscribeActual(MaybeToSingle java:46) n tat io reactivex rxjava3 core Single subscribe(Single java:4813) n tat io reactivex rxjava3 internal operators single SingleSubscribeOn SubscribeOnObserver run(SingleSubscribeOn java:89) n tat io reactivex rxjava3 core Scheduler DisposeTask run(Scheduler java:614) n tat io reactivex rxjava3 internal schedulers ScheduledRunnable run(ScheduledRunnable java:65) n tat io reactivex rxjava3 internal schedulers ScheduledRunnable call(ScheduledRunnable java:56) n tat java util concurrent FutureTask run(FutureTask java:266) n tat java util concurrent ScheduledThreadPoolExecutor ScheduledFutureTask run(ScheduledThreadPoolExecutor java:301) n tat java util concurrent ThreadPoolExecutor runWorker(ThreadPoolExecutor java:1167) n tat java util concurrent ThreadPoolExecutor Worker run(ThreadPoolExecutor java:641) n tat java lang Thread run(Thread java:764) n    user comment :    _x000D_
   _x000D_
_x000D_
     Please fill this out when you do not provide a log generate by NewPipe    _x000D_
_x000D_
    Device info_x000D_
_x000D_
   Android version Custom ROM version:_x000D_
   Device model:_x000D_
</t>
  </si>
  <si>
    <t>Anuken-Mindustry-5029</t>
  </si>
  <si>
    <t>ParticleWeather does not use Time.delta for push force.</t>
  </si>
  <si>
    <t xml:space="preserve">  Platform  :  Android iOS Mac Windows Linux _x000D_
_x000D_
Windows_x000D_
_x000D_
  Build  :  The build number under the title in the main menu  Required   LATEST  IS NOT A VERSION  I NEED THE EXACT BUILD NUMBER OF YOUR GAME  _x000D_
_x000D_
126 1  but ParticleWeather java hasn t been changed since October of 2020 _x000D_
_x000D_
  Issue  :  Explain your issue in detail  _x000D_
_x000D_
ParticleWeather does not use Time delta when pushing entities  meaning if you slow down time or speed it up  the unit will be pushed at the same speed _x000D_
_x000D_
  Steps to reproduce  :  How you happened across the issue  and what exactly you did to make the bug happen  _x000D_
_x000D_
Install the mod  sk7725 timecontrol   modify the time value  start a sporestorm (This can be done via a weather spawner from  testers (https:  github com sk7725 testers))  modify the hitSize of the player unit to have the pushing around be visible  respawn  and watch as the speed of movement is not affected by Time delta whatsoever _x000D_
_x000D_
  Link(s) to mod(s) used  :  The mod repositories or zip files that are related to the issue  if applicable  _x000D_
_x000D_
 sk7725 timecontrol (https:  github com sk7725 timecontrol)_x000D_
 sk7725 testers (https:  github com sk7725 testers)_x000D_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Not applicable  this is a mechanic  not a block unit data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X    I have searched the closed and open issues to make sure that this problem has not already been reported   _x000D_
</t>
  </si>
  <si>
    <t>TeamNewPipe-NewPipe-5963</t>
  </si>
  <si>
    <t>Fix display of channel details when it has no videos</t>
  </si>
  <si>
    <t xml:space="preserve">     Hey there  Thank you so much for improving NewPipe  and filling out the details  Having roughly the same layout helps everyone considerably :)   _x000D_
_x000D_
     What is it _x000D_
   x  Bugfix (user facing)_x000D_
      Feature (user facing)_x000D_
      Codebase improvement (dev facing)_x000D_
      Meta improvement to the project (dev facing)_x000D_
_x000D_
     Description of the changes in your PR_x000D_
     While bullet points are the norm in this section  feel free to write free form text instead of a list    _x000D_
  in ChannelFragment java do not throw emptyStateView error if no videos are present as there will be header in list which shows channel metadata and thus should be visible to user as expected by issue fix  also when there is no video the playlistController is hidden to prevent the app crash_x000D_
_x000D_
_x000D_
  showEmptySpace() hides all the views in list including header when there is some error so it should be not called when there is header in the list  so changes are done accordingly in BaseListInfoFragment java_x000D_
_x000D_
     Fixes the following issue(s)_x000D_
     Prefix issues with  Fixes  so that GitHub closes them when the PR is merged (note that each  Fixes    should be in its own item)  Also add any other relevant links     _x000D_
  Fixes  5959_x000D_
_x000D_
_x000D_
     APK testing _x000D_
     Use a new  meaningfully named branch  The name is used as a suffix for the app ID to allow installing and testing multiple versions of NewPipe  e g   commentfix   if your PR implements a bugfix for comments  (No names like  patch 0  and  feature 1  )     _x000D_
     Remove the following line if you directly link the APK created by the CI pipeline  Directly linking is preferred if you need to let users test    _x000D_
On the website the APK can be found by going to the  Checks  tab below the title and then on  artifacts  on the right _x000D_
_x000D_
     Due diligence_x000D_
   x  I read the  contribution guidelines (https:  github com TeamNewPipe NewPipe blob HEAD  github CONTRIBUTING md) _x000D_
</t>
  </si>
  <si>
    <t>PojavLauncherTeam-PojavLauncher-1136</t>
  </si>
  <si>
    <t>The update _ libs _ mesa _ test version crashed.</t>
  </si>
  <si>
    <t xml:space="preserve">          beggining with launcher debug_x000D_
Info: LWJGL3 directory:  lwjgl jemalloc jar  lwjgl opengl jar  lwjgl jar  lwjgl glfw classes jar  lwjgl tinyfd jar  lwjgl openal jar  version  lwjgl stb jar  jsr305 jar _x000D_
Architecture: arm64 aarch64_x000D_
Info: Custom Java arguments:   Xms2048m  Xmx2048m _x000D_
          beginning of system_x000D_
          beginning of crash_x000D_
          beginning of main_x000D_
Headless version detected  (20210114)_x000D_
WARNING: linker: _x000D_
Warning:  _x000D_
 data data net kdt pojavlaunch jre runtime lib aarch64 jli libjli so_x000D_
  unused DT entry: _x000D_
DT RPATH_x000D_
 (type _x000D_
0xf_x000D_
 arg _x000D_
0x361_x000D_
) (ignoring)_x000D_
_x000D_
WARNING: linker: _x000D_
Warning:  _x000D_
 data data net kdt pojavlaunch jre runtime lib aarch64 jli libjli so_x000D_
  has unsupported flags DT FLAGS 1 _x000D_
0x81_x000D_
 (ignoring unsupported flags)_x000D_
_x000D_
I jrelog  (27496): dlopen  data user 0 net kdt pojavlaunch jre runtime lib aarch64 jli libjli so success_x000D_
WARNING: linker: _x000D_
Warning:  _x000D_
 data data net kdt pojavlaunch jre runtime lib aarch64 libverify so_x000D_
  unused DT entry: _x000D_
DT RPATH_x000D_
 (type _x000D_
0xf_x000D_
 arg _x000D_
0x450_x000D_
) (ignoring)_x000D_
_x000D_
WARNING: linker: _x000D_
Warning:  _x000D_
 data data net kdt pojavlaunch jre runtime lib aarch64 libverify so_x000D_
  has unsupported flags DT FLAGS 1 _x000D_
0x81_x000D_
 (ignoring unsupported flags)_x000D_
_x000D_
I jrelog  (27496): dlopen  data user 0 net kdt pojavlaunch jre runtime lib aarch64 server libjvm so success_x000D_
I jrelog  (27496): dlopen  data user 0 net kdt pojavlaunch jre runtime lib aarch64 libverify so success_x000D_
WARNING: linker: _x000D_
Warning:  _x000D_
 data data net kdt pojavlaunch jre runtime lib aarch64 libjava so_x000D_
  unused DT entry: _x000D_
DT RPATH_x000D_
 (type _x000D_
0xf arg 0x33c0) (ignoring)_x000D_
WARNING: linker: Warning:   data data net kdt pojavlaunch jre runtime lib aarch64 libjava so  has unsupported flags DT FLAGS 1 _x000D_
0x81 (ignoring unsupported flags)_x000D_
WARNING: linker: _x000D_
Warning:   data data net kdt pojavlaunch jre runtime lib aarch64 libnet so  unused DT entry: DT RPATH (type 0xf arg 0x13b8) (ignoring)_x000D_
WARNING: linker: Warning:   data data net kdt pojavlaunch jre runtime lib aarch64 libnet so  has unsupported flags DT FLAGS 1 0x81 (ignoring unsupported flags)_x000D_
I jrelog  (27496): dlopen  data user 0 net kdt pojavlaunch jre runtime lib aarch64 libjava so success_x000D_
WARNING: linker: _x000D_
Warning:  _x000D_
 data data net kdt pojavlaunch jre runtime lib aarch64 libnio so_x000D_
  unused DT entry: _x000D_
DT RPATH_x000D_
 (type _x000D_
0xf_x000D_
 arg _x000D_
0x2196_x000D_
) (ignoring)_x000D_
_x000D_
WARNING: linker: _x000D_
Warning:  _x000D_
 data data net kdt pojavlaunch jre runtime lib aarch64 libnio so_x000D_
  has unsupported flags DT FLAGS 1 _x000D_
0x81_x000D_
 (ignoring unsupported flags)_x000D_
_x000D_
I jrelog  (27496): dlopen  data user 0 net kdt pojavlaunch jre runtime lib aarch64 libnet so success_x000D_
I jrelog  (27496): dlopen  data user 0 net kdt pojavlaunch jre runtime lib aarch64 libnio so success_x000D_
WARNING: linker: _x000D_
Warning:  _x000D_
 data data net kdt pojavlaunch jre runtime lib aarch64 libawt so_x000D_
  unused DT entry: _x000D_
DT RPATH_x000D_
 (type _x000D_
0xf_x000D_
 arg _x000D_
0x6a68_x000D_
) (ignoring)_x000D_
_x000D_
WARNING: linker: _x000D_
Warning:  _x000D_
 data data net kdt pojavlaunch jre runtime lib aarch64 libawt so_x000D_
  has unsupported flags DT FLAGS 1 _x000D_
0x81_x000D_
 (ignoring unsupported flags)_x000D_
_x000D_
I jrelog  (27496): dlopen  data user 0 net kdt pojavlaunch jre runtime lib aarch64 libawt so success_x000D_
WARNING: linker: _x000D_
Warning:  _x000D_
 data data net kdt pojavlaunch jre runtime lib aarch64 libawt headless so  unused DT entry: DT RPATH (type 0xf arg 0x4d9) (ignoring)_x000D_
WARNING: linker: Warning:   data data net kdt pojavlaunch jre runtime lib aarch64 libawt headless so  has unsupported flags DT FLAGS 1 _x000D_
0x81 (ignoring unsupported flags)_x000D_
I jrelog  (27496): dlopen  data user 0 net kdt pojavlaunch jre runtime lib aarch64 libawt headless so success_x000D_
I jrelog  (27496): dlopen  data user 0 net kdt pojavlaunch jre runtime lib aarch64 libfreetype so success_x000D_
WARNING: linker: _x000D_
Warning:  _x000D_
 data data net kdt pojavlaunch jre runtime lib aarch64 libfontmanager so_x000D_
  unused DT entry: _x000D_
DT RPATH_x000D_
 (type _x000D_
0xf_x000D_
 arg _x000D_
0xda0_x000D_
) (ignoring)_x000D_
_x000D_
WARNING: linker: _x000D_
Warning:  _x000D_
 data data net kdt pojavlaunch jre runtime lib aarch64 libfontmanager so_x000D_
  has unsupported flags DT FLAGS 1 _x000D_
0x81_x000D_
 (ignoring unsupported flags)_x000D_
_x000D_
I jrelog  (27496): dlopen  data user 0 net kdt pojavlaunch jre runtime lib aarch64 libfontmanager so success_x000D_
WARNING: linker: _x000D_
Warning:  _x000D_
 data data net kdt pojavlaunch jre runtime lib aarch64 liblcms so_x000D_
  unused DT entry: _x000D_
DT RPATH_x000D_
 (type _x000D_
0xf_x000D_
 arg _x000D_
0x3f1_x000D_
) (ignoring)_x000D_
_x000D_
WARNING: linker: _x000D_
Warning:  _x000D_
 data data net kdt pojavlaunch jre runtime lib aarch64 liblcms so_x000D_
  has unsupported flags DT FLAGS 1 _x000D_
0x81_x000D_
 (ignoring unsupported flags)_x000D_
_x000D_
WARNING: linker: _x000D_
Warning:  _x000D_
 data data net kdt pojavlaunch jre runtime lib aarch64 libjaas unix so_x000D_
  unused DT entry: _x000D_
DT RPATH_x000D_
 (type _x000D_
0xf_x000D_
I jrelog  (27496): dlopen  data user 0 net kdt pojavlaunch jre runtime lib aarch64 liblcms so success_x000D_
I jrelog  (27496): dlopen  data user 0 net kdt pojavlaunch jre runtime lib aarch64 libnio so success_x000D_
I jrelog  (27496): dlopen  data user 0 net kdt pojavlaunch jre runtime lib aarch64 jli libjli so success_x000D_
I jrelog  (27496): dlopen  data user 0 net kdt pojavlaunch jre runtime lib aarch64 libawt headless so success_x000D_
 arg _x000D_
0x103_x000D_
) (ignoring)_x000D_
WARNING: linker: _x000D_
Warning:   data data net kdt pojavlaunch jre runtime lib aarch64 libjaas unix so  has unsupported flags DT FLAGS 1 0x81 (ignoring unsupported flags)_x000D_
WARNING: linker: Warning:   data data net kdt pojavlaunch jre runtime lib aarch64 libunpack so  unused DT entry: DT RPATH (type _x000D_
0xf arg 0x364) (ignoring)_x000D_
WARNING: linker: Warning:   data data net kdt pojavlaunch jre runtime lib aarch64 libunpack so  has unsupported flags DT FLAGS 1 0x81 (ignoring unsupported flags)_x000D_
I jrelog  (27496): dlopen  data user 0 net kdt pojavlaunch jre runtime lib aarch64 libjaas unix so success_x000D_
I jrelog  (27496): dlopen  data user 0 net kdt pojavlaunch jre runtime lib aarch64 libunpack so success_x000D_
WARNING: linker: Warning:   data data net kdt pojavlaunch jre runtime lib aarch64 libmlib image so  unused DT entry: DT RPATH_x000D_
 (type 0xf arg 0x158) (ignoring)_x000D_
WARNING: linker: Warning:   data data net kdt pojavlaunch jre runtime lib aarch64 libmlib image so  has unsupported flags DT FLAGS 1 0x81 (ignoring unsupported flags)_x000D_
I jrelog  (27496): dlopen  data user 0 net kdt pojavlaunch jre runtime lib aarch64 libfreetype so success_x000D_
I jrelog  (27496): dlopen  data user 0 net kdt pojavlaunch jre runtime lib aarch64 libmlib image so success_x000D_
I jrelog  (27496): dlopen  data user 0 net kdt pojavlaunch jre runtime lib aarch64 libnpt so failed: dlopen failed: library  libtinyiconv so  not found_x000D_
WARNING: linker: _x000D_
Warning:  _x000D_
 data data net kdt pojavlaunch jre runtime lib aarch64 libtinyiconv so_x000D_
  unused DT entry: _x000D_
DT RPATH_x000D_
 (type _x000D_
0xf_x000D_
 arg _x000D_
0x23a_x000D_
) (ignoring)_x000D_
_x000D_
WARNING: linker: _x000D_
Warning:  _x000D_
 data data net kdt pojavlaunch jre runtime lib aarch64 libtinyiconv so_x000D_
  has unsupported flags DT FLAGS 1 _x000D_
0x81_x000D_
 (ignoring unsupported flags)_x000D_
_x000D_
I jrelog  (27496): dlopen  data user 0 net kdt pojavlaunch jre runtime lib aarch64 libtinyiconv so success_x000D_
I jrelog  (27496): dlopen  data user 0 net kdt pojavlaunch jre runtime lib aarch64 libjsig so success_x000D_
WARNING: linker: Warning:   data data net kdt pojavlaunch jre runtime lib aarch64 libjava crw demo so  unused DT entry: DT RPATH_x000D_
 (type 0xf arg 0xe6) (ignoring)_x000D_
WARNING: linker: Warning:   data data net kdt pojavlaunch jre runtime lib aarch64 libjava crw demo so  has unsupported flags DT FLAGS 1 0x81 (ignoring unsupported flags)_x000D_
WARNING: linker: _x000D_
Warning:  _x000D_
 data data net kdt pojavlaunch jre runtime lib aarch64 libjsound so_x000D_
I jrelog  (27496): dlopen  data user 0 net kdt pojavlaunch jre runtime lib aarch64 libjava crw demo so success_x000D_
I jrelog  (27496): dlopen  data user 0 net kdt pojavlaunch jre runtime lib aarch64 server libjvm so success_x000D_
  unused DT entry: DT RPATH (type 0xf arg 0x119) (ignoring)_x000D_
WARNING: linker: Warning:   data data net kdt pojavlaunch jre runtime lib aarch64 libjsound so  has unsupported flags DT FLAGS 1 0x81 (ignoring unsupported flags)_x000D_
I jrelog  (27496): dlopen  data user 0 net kdt pojavlaunch jre runtime lib aarch64 libjsound so success_x000D_
I jrelog  (27496): dlopen  data user 0 net kdt pojavlaunch jre runtime lib aarch64 libverify so success_x000D_
WARNING: linker: _x000D_
Warning:  _x000D_
 data data net kdt pojavlaunch jre runtime lib aarch64 libjdwp so_x000D_
  unused DT entry: _x000D_
DT RPATH_x000D_
 (type _x000D_
0xf_x000D_
 arg _x000D_
0x1c7_x000D_
) (ignoring)_x000D_
_x000D_
WARNING: linker: _x000D_
Warning:  _x000D_
 data data net kdt pojavlaunch jre runtime lib aarch64 libjdwp so_x000D_
  has unsupported flags DT FLAGS 1 _x000D_
0x81_x000D_
 (ignoring unsupported flags)_x000D_
_x000D_
WARNING: linker: _x000D_
Warning:  _x000D_
I jrelog  (27496): dlopen  data user 0 net kdt pojavlaunch jre runtime lib aarch64 libjdwp so success_x000D_
 data data net kdt pojavlaunch jre runtime lib aarch64 libjawt so_x000D_
  unused DT entry: _x000D_
DT RPATH_x000D_
 (type _x000D_
0xf_x000D_
 arg _x000D_
0x77_x000D_
) (ignoring)_x000D_
_x000D_
WARNING: linker: _x000D_
Warning:  _x000D_
 data data net kdt pojavlaunch jre runtime lib aarch64 libjawt so  has unsupported flags DT FLAGS 1 0x81 (ignoring unsupported flags)_x000D_
I jrelog  (27496): dlopen  data user 0 net kdt pojavlaunch jre runtime lib aarch64 libjawt so success_x000D_
I jrelog  (27496): dlopen  data user 0 net kdt pojavlaunch jre runtime lib aarch64 libsunec so success_x000D_
WARNING: linker: _x000D_
Warning:   data data net kdt pojavlaunch jre runtime lib aarch64 libzip so  unused DT entry: DT RPATH (type 0xf arg 0x8ff) (ignoring)_x000D_
WARNING: linker: Warning:   data data net kdt pojavlaunch jre runtime lib aarch64 libzip so  has unsupported flags DT FLAGS 1 0x81 (ignoring unsupported flags)_x000D_
WARNING: linker: _x000D_
Warning:  _x000D_
 data data net kdt pojavlaunch jre runtime lib aarch64 libdt socket so_x000D_
  unused DT entry: _x000D_
DT RPATH_x000D_
 (type _x000D_
0xf_x000D_
 arg _x000D_
0x1c1_x000D_
) (ignoring)_x000D_
_x000D_
WARNING: linker: _x000D_
Warning:   data data net kdt pojavlaunch jre runtime lib aarch64 libdt socket so  has unsupported flags DT FLAGS 1 0x81 (ignoring unsupported flags)_x000D_
WARNING: linker: _x000D_
Warning:  _x000D_
 data data net kdt pojavlaunch jre runtime lib aarch64 libmanagement so_x000D_
  unused DT entry: _x000D_
DT RPATH_x000D_
 (type _x000D_
0xf_x000D_
 arg _x000D_
0x16fe_x000D_
) (ignoring)_x000D_
_x000D_
WARNING: linker: _x000D_
I jrelog  (27496): dlopen  data user 0 net kdt pojavlaunch jre runtime lib aarch64 libzip so success_x000D_
I jrelog  (27496): dlopen  data user 0 net kdt pojavlaunch jre runtime lib aarch64 libjpeg so_x000D_
  has unsupported flags DT FLAGS 1 _x000D_
0x81_x000D_
 (ignoring unsupported flags)_x000D_
_x000D_
WARNING: linker: _x000D_
Warning:  _x000D_
 data data net kdt pojavlaunch jre runtime lib aarch64 libhprof so_x000D_
  unused DT entry: _x000D_
DT RPATH_x000D_
 (type 0xf arg 0x1d2) (ignoring)_x000D_
_x000D_
WARNING: linker: Warning:   data data net kdt pojavlaunch jre runtime lib aarch64 libhprof so  has unsupported flags DT FLAGS 1 0x81 (ignoring unsupported flags)_x000D_
I jrelog  (27496): dlopen  data user 0 net kdt pojavlaunch jre runtime lib aarch64 libjpeg so success_x000D_
I jrelog  (27496): dlopen  data user 0 net kdt pojavlaunch jre runtime lib aarch64 libhprof so success_x000D_
I jrelog  (27496): dlopen  data user 0 net kdt pojavlaunch jre runtime lib aarch64 libjsdt so success_x000D_
I jrelog  (27496): dlopen  data user 0 net kdt pojavlaunch jre runtime lib aarch64 libawt so success_x000D_
WARNING: linker: _x000D_
Warning:   data data net kdt pojavlaunch jre runtime lib aarch64 libjsdt so  unused DT entry: DT RPATH (type 0xf arg 0x139) (ignoring)_x000D_
WARNING: linker: Warning:   data data net kdt pojavlaunch jre runtime lib aarch64 libjsdt so  has unsupported flags DT FLAGS 1 0x81 (ignoring unsupported flags)_x000D_
I jrelog  (27496): dlopen  data user 0 net kdt pojavlaunch jre runtime lib aarch64 libawt xawt so success_x000D_
I jrelog  (27496): dlopen  data user 0 net kdt pojavlaunch jre runtime lib aarch64 libfontmanager so success_x000D_
I jrelog  (27496): dlopen  data user 0 net kdt pojavlaunch jre runtime lib aarch64 libj2pkcs11 so success_x000D_
WARNING: linker: Warning:   data data net kdt pojavlaunch jre runtime lib aarch64 libj2pkcs11 so  unused DT entry: DT RPATH (type 0xf arg 0xf13) (ignoring)_x000D_
WARNING: linker: Warning:   data data net kdt pojavlaunch jre runtime lib aarch64 libj2pkcs11 so  has unsupported flags DT FLAGS 1 0x81 (ignoring unsupported flags)_x000D_
WARNING: linker: Warning:   data data net kdt pojavlaunch jre runtime lib aarch64 libj2gss so  unused DT entry: DT RPATH (type 0xf arg 0x6c1) (ignoring)_x000D_
WARNING: linker: Warning:   data data net kdt pojavlaunch jre runtime lib aarch64 libj2gss so  has unsupported flags DT FLAGS 1 0x81 (ignoring unsupported flags)_x000D_
I jrelog  (27496): dlopen  data user 0 net kdt pojavlaunch jre runtime lib aarch64 libj2gss so success_x000D_
I jrelog  (27496): dlopen  data user 0 net kdt pojavlaunch jre runtime lib aarch64 libjava so success_x000D_
WARNING: linker: Warning:   data data net kdt pojavlaunch jre runtime lib aarch64 libinstrument so  unused DT entry: DT RPATH (type 0xf arg 0x3ed) (ignoring)_x000D_
WARNING: linker: Warning:   data data net kdt pojavlaunch jre runtime lib aarch64 libinstrument so  has unsupported flags DT FLAGS 1 0x81 (ignoring unsupported flags)_x000D_
I jrelog  (27496): dlopen  data user 0 net kdt pojavlaunch jre runtime lib aarch64 libinstrument so success_x000D_
WARNING: linker: Warning:  _x000D_
 data data net kdt pojavlaunch jre runtime lib aarch64 libj2pcsc so  unused DT entry: DT RPATH (type 0xf arg 0x2e6) (ignoring)_x000D_
WARNING: linker: Warning:   data data net kdt pojavlaunch jre runtime lib aarch64 libj2pcsc so  has unsupported flags DT FLAGS 1 0x81 (ignoring unsupported flags)_x000D_
I jrelog  (27496): dlopen  data user 0 net kdt pojavlaunch jre runtime lib aarch64 libj2pcsc so success_x000D_
WARNING: linker: Warning:   data data net kdt pojavlaunch jre runtime lib aarch64 libsctp so  unused DT entry: DT RPATH (type 0xf arg 0x6af) (ignoring)_x000D_
WARNING: linker: Warning:   data data net kdt pojavlaunch jre runtime lib aarch64 libsctp so  has unsupported flags DT FLAGS 1 0x81 (ignoring unsupported flags)_x000D_
I jrelog  (27496): dlopen  data user 0 net kdt pojavlaunch jre runtime lib aarch64 libsctp so success_x000D_
I jrelog  (27496): dlopen  data app net kdt pojavlaunch Z094bcO W6dGk5QRZG2SbQ   lib arm64 libopenal so success_x000D_
I LIBGL   (27496): Initialising gl4es_x000D_
I LIBGL   (27496): v1 1 4 built on Jul 19 2020 08:20:42_x000D_
I LIBGL   (27496): Using GLES 2 0 backend_x000D_
I LIBGL   (27496): loaded: libGLESv2 so_x000D_
I LIBGL   (27496): loaded: libEGL so_x000D_
I LIBGL   (27496): Using GLES 2 0 backend_x000D_
I LIBGL   (27496): Hardware Full NPOT detected and used_x000D_
I LIBGL   (27496): FBO are in core  and so used_x000D_
I LIBGL   (27496): PointSprite are in core  and so used_x000D_
I LIBGL   (27496): CubeMap are in core  and so used_x000D_
I LIBGL   (27496): BlendColor is in core  and so used_x000D_
I LIBGL   (27496): Blend Substract is in core  and so used_x000D_
I LIBGL   (27496): Blend Function and Equation Separation is in core  and so used_x000D_
I LIBGL   (27496): Texture Mirrored Repeat is in core  and so used_x000D_
I LIBGL   (27496): Extension GL OES element index uint  detected and used_x000D_
I LIBGL   (27496): Extension GL OES packed depth stencil  detected and used_x000D_
I LIBGL   (27496): Extension GL OES depth24  detected and used_x000D_
I LIBGL   (27496): Extension GL OES rgb8 rgba8  detected and used_x000D_
I LIBGL   (27496): Extension GL EXT texture format BGRA8888  detected and used_x000D_
I LIBGL   (27496): Extension GL OES depth texture  detected and used_x000D_
I LIBGL   (27496): Extension GL OES texture stencil8  detected and used_x000D_
I LIBGL   (27496): Extension GL OES texture float  detected and used_x000D_
I LIBGL   (27496): Extension GL OES texture half float  detected and used_x000D_
I LIBGL   (27496): Extension GL EXT color buffer float  detected and used_x000D_
I LIBGL   (27496): Extension GL EXT color buffer half float  detected and used_x000D_
I LIBGL   (27496): high precision float in fragment shader available and used_x000D_
I LIBGL   (27496): Max vertex attrib: 32_x000D_
I LIBGL   (27496): Extension GL OES standard derivatives  detected and used_x000D_
I LIBGL   (27496): Max texture size: 16384_x000D_
I LIBGL   (27496): Max Varying Vector: 31_x000D_
I LIBGL   (27496): Texture Units: 16 16 (hardware: 16)  Max lights: 8  Max planes: 6_x000D_
I LIBGL   (27496): Extension GL EXT texture filter anisotropic  detected and used_x000D_
I LIBGL   (27496): Max Anisotropic filtering: 16_x000D_
I LIBGL   (27496): Max Color Attachments: 1   Draw buffers: 1_x000D_
I LIBGL   (27496): Hardware vendor is Qualcomm_x000D_
I LIBGL   (27496): GLSL 300 es supported_x000D_
I LIBGL   (27496): GLSL 310 es supported and used_x000D_
I LIBGL   (27496): sRGB surface supported_x000D_
I LIBGL   (27496): EGLImage to Texture2D supported_x000D_
I LIBGL   (27496): EGLImage to RenderBuffer supported_x000D_
I LIBGL   (27496): ignore MipMap_x000D_
I LIBGL   (27496): Targeting OpenGL 2 1_x000D_
I LIBGL   (27496): NPOT texture handled in hardware_x000D_
I LIBGL   (27496): Not trying to batch small subsequent glDrawXXXX_x000D_
I LIBGL   (27496): try to use VBO_x000D_
I LIBGL   (27496): glX Will try to recycle EGL Surface_x000D_
I LIBGL   (27496): Current folder is: _x000D_
I jrelog  (27496): dlopen  data app net kdt pojavlaunch Z094bcO W6dGk5QRZG2SbQ   lib arm64 libgl4es 114 so success_x000D_
I jrelog  (27496): Done processing args_x000D_
I jrelog  (27496): Found JLI lib_x000D_
I jrelog  (27496): Calling JLI Launch_x000D_
OpenJDK 64 Bit Server VM warning: _x000D_
No monotonic clock was available   timed services may be adversely affected if the time of day clock changes_x000D_
_x000D_
 22:24:50   Render thread INFO : Environment: authHost  https:  authserver mojang com   accountsHost  https:  api mojang com   sessionHost  https:  sessionserver mojang com   servicesHost  https:  api minecraftservices com   name  PROD _x000D_
 22:24:54   Render thread ERROR : Failed to verify authentication_x000D_
com mojang authlib exceptions AuthenticationUnavailableException: null_x000D_
	at com mojang authlib yggdrasil YggdrasilSocialInteractionsService checkPrivileges(YggdrasilSocialInteractionsService java:97)   authlib 2 1 28 jar:  _x000D_
	at com mojang authlib yggdrasil YggdrasilSocialInteractionsService  init (YggdrasilSocialInteractionsService java:40)   authlib 2 1 28 jar:  _x000D_
	at com mojang authlib yggdrasil YggdrasilAuthenticationService createSocialInteractionsService(YggdrasilAuthenticationService java:152)   authlib 2 1 28 jar:  _x000D_
	at djz a(SourceFile:625)  1 16 5 jar:  _x000D_
	at djz  init (SourceFile:409)  1 16 5 jar:  _x000D_
	at net minecraft client main Main main(SourceFile:177)  1 16 5 jar:  _x000D_
 22:24:54   Render thread INFO : Setting user: ttt_x000D_
 22:24:54   Render thread INFO :  STDERR :  LWJGL   ERROR  Incompatible Java and native library versions detected _x000D_
Possible reasons:_x000D_
	a)  Djava library path is set to a folder containing shared libraries of an older LWJGL version _x000D_
	b) The classpath contains jar files of an older LWJGL version _x000D_
Possible solutions:_x000D_
	a) Make sure to not set  Djava library path (it is not needed for developing with LWJGL 3) or make_x000D_
	   sure the folder it points to contains the shared libraries of the correct LWJGL version _x000D_
	b) Check the classpath and make sure to only have jar files of the same LWJGL version in it _x000D_
 22:24:55   Render thread INFO :  STDERR :  LWJGL  Failed to load a library  Possible solutions:_x000D_
	a) Add the directory that contains the shared library to  Djava library path or  Dorg lwjgl librarypath _x000D_
	b) Add the JAR that contains the shared library to the classpath _x000D_
 22:24:55   Render thread INFO :  STDERR :  LWJGL  Enable debug mode with  Dorg lwjgl util Debug true for better diagnostics _x000D_
 22:24:55   Render thread INFO :  STDERR :  LWJGL  Enable the SharedLibraryLoader debug mode with  Dorg lwjgl util DebugLoader true for better diagnostics _x000D_
 22:24:55   Render thread INFO : Backend library: LWJGL version 3 2 3 SNAPSHOT_x000D_
OSMDroid: using built in libOSMesa 8 so_x000D_
OSMDroid: unable to load: dlopen failed: library  libOSMesa 8 so  wasn t loaded and RTLD NOLOAD prevented it_x000D_
 0331 062457 093058:ERROR:elf dynamic array reader h(61)  tag not found_x000D_
</t>
  </si>
  <si>
    <t>TeamNewPipe-NewPipe-5962</t>
  </si>
  <si>
    <t>App crashed - log attached - UI buttons went to the top of the 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</si>
  <si>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_x000D_
_x000D_
     If you can t cause the bug to show up again reliably (and hence don t have a proper set of steps to give us)  please still try to give as many details as possible on how you think you encountered the bug     _x000D_
_x000D_
I can t reproduce _x000D_
_x000D_
    Actual behaviour_x000D_
     Tell us what happens with the steps given above     _x000D_
This happened out of nowhere _x000D_
_x000D_
_x000D_
_x000D_
    Expected behavior_x000D_
     Tell us what you expect to happen     _x000D_
Should not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IMG 00231 (https:  user images githubusercontent com 55331939 113061616 dab52980 91a1 11eb 9a58 ca9d991bfb3a jpg)_x000D_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ACRA report_x000D_
    Content Country:   US_x000D_
    Content Language:   en_x000D_
    App Language:   en US_x000D_
    Service:   none_x000D_
    Version:   0 21 0_x000D_
    OS:   Linux Android 10   29_x000D_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java:883)_x000D_
	at android os Handler dispatchMessage(Handler java:100)_x000D_
	at android os Looper loop(Looper java:214)_x000D_
	at android app ActivityThread main(ActivityThread java:7710)_x000D_
	at java lang reflect Method invoke(Native Method)_x000D_
	at com android internal os RuntimeInit MethodAndArgsCaller run(RuntimeInit java:516)_x000D_
	at com android internal os ZygoteInit main(ZygoteInit java:950)_x000D_
_x000D_
   _x000D_
  details _x000D_
 hr _x000D_
_x000D_
_x000D_
     Please fill this out when you do not provide a log generate by NewPipe    _x000D_
_x000D_
    Device info_x000D_
_x000D_
   Android version Custom ROM version: 10_x000D_
   Device model: OnePlus_x000D_
</t>
  </si>
  <si>
    <t>popcorn-official-popcorn-android-746</t>
  </si>
  <si>
    <t>App crash when it tries to look for update</t>
  </si>
  <si>
    <t xml:space="preserve">   Describe the bug_x000D_
The app crashes on its own when opened  was working normally just a second before_x000D_
_x000D_
   To Reproduce_x000D_
Not sure how it can be reproduced_x000D_
_x000D_
   Expected behavior_x000D_
app should not crash and open normally_x000D_
_x000D_
   Screenshots_x000D_
    INITIAL Crash logs: _x000D_
  03 31 00:34:47 402  1414  1522 I ActivityManager: Start proc 28628:pct droid u0a246 for activity  pct droid butter droid activities MainActivity _x000D_
  03 31 00:34:47 525  1414  3970 D OnePlusSmartBoostManager: writeHotCount pct droid  pid 28628_x000D_
  03 31 00:34:47 525  1414  1536 E OPPerf  : Exception : file not exits : proc 28628 main boost switch_x000D_
  03 31 00:34:47 550  1414  1515 D Foreground io: TOP APP is ProcessRecord 97355c4 28628:pct droid u0a246  uid is 10246_x000D_
  03 31 00:34:49 528  1414  1536 E OPPerf  : Exception : file not exits : proc 28628 main boost switch_x000D_
  03 31 00:34:50 066  1414  3580 I ActivityTaskManager: START u0  cmp pct droid butter droid activities SearchActivity  from uid 10246 pid 28628_x000D_
  03 31 00:35:13 165 28628 28816 E AndroidRuntime: FATAL EXCEPTION: OkHttp Dispatcher_x000D_
  03 31 00:35:13 165 28628 28816 E AndroidRuntime: Process: pct droid  PID: 28628_x000D_
  03 31 00:35:13 165 28628 28816 E AndroidRuntime: java lang NullPointerException: Attempt to invoke virtual method  android content res XmlResourceParser android content pm ProviderInfo loadXmlMetaData(android content pm PackageManager  java lang String)  on a null object reference_x000D_
  03 31 00:35:13 165 28628 28816 E AndroidRuntime:        at android support v4 content FileProvider parsePathStrategy(FileProvider java:583)_x000D_
  03 31 00:35:13 165 28628 28816 E AndroidRuntime:        at android support v4 content FileProvider getPathStrategy(FileProvider java:557)_x000D_
  03 31 00:35:13 165 28628 28816 E AndroidRuntime:        at android support v4 content FileProvider getUriForFile(FileProvider java:399)_x000D_
  03 31 00:35:13 165 28628 28816 E AndroidRuntime:        at butter droid base ButterApplication updateAvailable(ButterApplication java:141)_x000D_
  03 31 00:35:13 165 28628 28816 E AndroidRuntime:        at butter droid base manager updater ButterUpdateManager 4 onResponse(ButterUpdateManager java:243)_x000D_
  03 31 00:35:13 165 28628 28816 E AndroidRuntime:        at okhttp3 RealCall AsyncCall execute(RealCall java:126)_x000D_
  03 31 00:35:13 165 28628 28816 E AndroidRuntime:        at okhttp3 internal NamedRunnable run(NamedRunnable java:32)_x000D_
  03 31 00:35:13 165 28628 28816 E AndroidRuntime:        at java util concurrent ThreadPoolExecutor runWorker(ThreadPoolExecutor java:1167)_x000D_
  03 31 00:35:13 165 28628 28816 E AndroidRuntime:        at java util concurrent ThreadPoolExecutor Worker run(ThreadPoolExecutor java:641)_x000D_
  03 31 00:35:13 165 28628 28816 E AndroidRuntime:        at java lang Thread run(Thread java:919)_x000D_
  03 31 00:35:13 643  1414  3970 W InputMethodManagerService: Got RemoteException sending setActive(false) notification to pid 28628 uid 10246_x000D_
  03 31 00:35:13 688  1414  1537 E OnePlusSmartBoostManager: Exception : file not exits : proc 28628 memplus type_x000D_
  03 31 00:35:13 720  1414  1433 I ActivityManager: Process pct droid (pid 28628) has died: cch 5 SVC _x000D_
  03 31 00:35:13 764  1414  1433 D BFP     : ProcessRecord 97355c4 28628:pct droid u0a246  died but not restart      _x000D_
  03 31 00:35:13 893  1414  1515 W ActivityManager: setHasOverlayUi called on unknown pid: 28628_x000D_
_x000D_
    Subsequent crash logcat_x000D_
  03 31 00:40:15 148   732   732 D Zygote  : Forked child process 31656_x000D_
  03 31 00:40:15 150  1414  1522 I ActivityManager: Start proc 31656:pct droid u0a246 for activity  pct droid butter droid activities MainActivity _x000D_
  03 31 00:40:15 147 31656 31656 W main    : type 1400 audit(0 0:110511): avc: granted   read   for name  u:object r:net dns prop:s0  dev  tmpfs  ino 16779 scontext u:r:untrusted app 25:s0:c512 c768 tcontext u:object r:net dns prop:s0 tclass file_x000D_
  03 31 00:40:15 157 31656 31656 E pct droid: Not starting debugger since process cannot load the jdwp agent _x000D_
  03 31 00:40:15 165  1414  1432 D OnePlusSmartBoostManager: writeHotCount pct droid  pid 31656_x000D_
  03 31 00:40:15 165  1414  1536 E OPPerf  : Exception : file not exits : proc 31656 main boost switch_x000D_
  03 31 00:40:15 172  1111 31676 E ANDR RAMBOOST SERVER: ramboost cmd len   76 cmd: iop start 31656 pct droid  data app pct droid 5T3odKlvIlpfJWjfyesVgw   false_x000D_
  03 31 00:40:15 185  1414  1515 D Foreground io: TOP APP is ProcessRecord dbf25c8 31656:pct droid u0a246  uid is 10246_x000D_
  03 31 00:40:15 192 31656 31656 I pct droid: The ClassLoaderContext is a special shared library _x000D_
  03 31 00:40:15 195 31656 31656 W pct droid: Insufficient pre allocated space to mmap vdex _x000D_
  03 31 00:40:15 203 31656 31656 I Perf    : Connecting to perf service _x000D_
  03 31 00:40:15 205 31656 31656 I pct droid:  GL OOM  ClampGrowthLimit 268435456_x000D_
  03 31 00:40:15 206 31656 31656 I MultiDex: VM with version 2 1 0 has multidex support_x000D_
  03 31 00:40:15 206 31656 31656 I MultiDex: install_x000D_
  03 31 00:40:15 206 31656 31656 I MultiDex: VM has multidex support  MultiDex support library is disabled _x000D_
  03 31 00:40:15 220 31656 31656 D NetworkSecurityConfig: No Network Security Config specified  using platform default_x000D_
  03 31 00:40:15 223 31656 31656 W Settings: Setting airplane mode on has moved from android provider Settings System to android provider Settings Global  returning read only value _x000D_
  03 31 00:40:15 229 31656 31656 W nAnnotationIntrospector: Unable to load JDK7 annotation types  will have to skip_x000D_
  03 31 00:40:15 239 31656 31656 V Font    : Change font:1_x000D_
  03 31 00:40:15 239 31656 31656 V Font    : Default family:android graphics Typeface d0a0981e_x000D_
  03 31 00:40:15 243 31656 31656 D AndroidRuntime: Shutting down VM_x000D_
  03 31 00:40:15 243 31656 31656 E AndroidRuntime: FATAL EXCEPTION: main_x000D_
  03 31 00:40:15 243 31656 31656 E AndroidRuntime: Process: pct droid  PID: 31656_x000D_
  03 31 00:40:15 243 31656 31656 E AndroidRuntime: java lang RuntimeException: Unable to create application butter droid MobileButterApplication: java lang NullPointerException: Attempt to invoke virtual method  android content res XmlResourceParser android content pm ProviderInfo loadXmlMetaData(android content pm PackageManager  java lang String)  on a null object reference_x000D_
  03 31 00:40:15 243 31656 31656 E AndroidRuntime:        at android app ActivityThread handleBindApplication(ActivityThread java:6652)_x000D_
  03 31 00:40:15 243 31656 31656 E AndroidRuntime:        at android app ActivityThread access 1600(ActivityThread java:231)_x000D_
  03 31 00:40:15 243 31656 31656 E AndroidRuntime:        at android app ActivityThread H handleMessage(ActivityThread java:1952)_x000D_
  03 31 00:40:15 243 31656 31656 E AndroidRuntime:        at android os Handler dispatchMessage(Handler java:107)_x000D_
  03 31 00:40:15 243 31656 31656 E AndroidRuntime:        at android os Looper loop(Looper java:214)_x000D_
  03 31 00:40:15 243 31656 31656 E AndroidRuntime:        at android app ActivityThread main(ActivityThread java:7682)_x000D_
  03 31 00:40:15 243 31656 31656 E AndroidRuntime:        at java lang reflect Method invoke(Native Method)_x000D_
  03 31 00:40:15 243 31656 31656 E AndroidRuntime:        at com android internal os RuntimeInit MethodAndArgsCaller run(RuntimeInit java:516)_x000D_
  03 31 00:40:15 243 31656 31656 E AndroidRuntime:        at com android internal os ZygoteInit main(ZygoteInit java:950)_x000D_
  03 31 00:40:15 243 31656 31656 E AndroidRuntime: Caused by: java lang NullPointerException: Attempt to invoke virtual method  android content res XmlResourceParser android content pm ProviderInfo loadXmlMetaData(android content pm PackageManager  java lang String)  on a null object reference_x000D_
  03 31 00:40:15 243 31656 31656 E AndroidRuntime:        at android support v4 content FileProvider parsePathStrategy(FileProvider java:583)_x000D_
  03 31 00:40:15 243 31656 31656 E AndroidRuntime:        at android support v4 content FileProvider getPathStrategy(FileProvider java:557)_x000D_
  03 31 00:40:15 243 31656 31656 E AndroidRuntime:        at android support v4 content FileProvider getUriForFile(FileProvider java:399)_x000D_
  03 31 00:40:15 243 31656 31656 E AndroidRuntime:        at butter droid base ButterApplication updateAvailable(ButterApplication java:141)_x000D_
  03 31 00:40:15 243 31656 31656 E AndroidRuntime:        at butter droid base manager updater ButterUpdateManager checkUpdates(ButterUpdateManager java:300)_x000D_
  03 31 00:40:15 243 31656 31656 E AndroidRuntime:        at butter droid base ButterApplication onCreate(ButterApplication java:112)_x000D_
  03 31 00:40:15 243 31656 31656 E AndroidRuntime:        at butter droid MobileButterApplication onCreate(MobileButterApplication java:38)_x000D_
  03 31 00:40:15 243 31656 31656 E AndroidRuntime:        at android app Instrumentation callApplicationOnCreate(Instrumentation java:1197)_x000D_
  03 31 00:40:15 243 31656 31656 E AndroidRuntime:        at android app ActivityThread handleBindApplication(ActivityThread java:6647)_x000D_
  03 31 00:40:15 243 31656 31656 E AndroidRuntime:            8 more_x000D_
  03 31 00:40:15 265 31656 31656 I Process : Sending signal  PID: 31656 SIG: 9_x000D_
  03 31 00:40:15 280  1414  5859 I ActivityManager: Process pct droid (pid 31656) has died: vis 99 TOP _x000D_
  03 31 00:40:15 280   732   732 I Zygote  : Process 31656 exited due to signal 9 (Killed)_x000D_
  03 31 00:40:15 323  1414  1524 I libprocessgroup: Successfully killed process cgroup uid 10246 pid 31656 in 43ms_x000D_
_x000D_
   Smartphone (please complete the following information):_x000D_
   Device: OnePlus 6T_x000D_
   OS: OxygenOS 10 3 9_x000D_
   Browser NA_x000D_
   Version: 2 10_x000D_
_x000D_
   Additional context_x000D_
The crash happens when the app is left ideal for some time and happens on every app start try after that  and keeps happening till the app s data is cleared  According to the logcat  it happens when the app tries to look for update  I ve not investigated the code properly to find the root cause  just looking at the logs  and looked up the error on google  and came across this: https:  stackoverflow com questions 48828698 java lang nullpointerexception attempt to invoke virtual method android conten The answer provided in this thread is already implemented in the app  so i m not sure what happened _x000D_
</t>
  </si>
  <si>
    <t>popcorn-official-popcorn-android-745</t>
  </si>
  <si>
    <t>GoogleCloudPlatform-fda-mystudies-3423</t>
  </si>
  <si>
    <t>[Android] Fetal kick counter activity &gt; App is crashing for the following scenario</t>
  </si>
  <si>
    <t xml:space="preserve">Steps_x000D_
1  Configure a study with  Fetal kick counter  activity_x000D_
2  Launch Publish updates_x000D_
3  In mobile   join that particular study_x000D_
4  Click on Fetal kick counter activity_x000D_
5  Enter the total number of kick count_x000D_
6  Click on  Edit  on the displayed popup_x000D_
7  Remove the number of kick counts_x000D_
8  Click on the Back button  Next button  and observe_x000D_
_x000D_
_x000D_
AR : App is getting crashed_x000D_
ER : It should display a validation message to enter the value if the user clicks on  Next  button </t>
  </si>
  <si>
    <t>square-okhttp-6610</t>
  </si>
  <si>
    <t>Crash: Fatal Exception: java.net.UnknownHostException</t>
  </si>
  <si>
    <t xml:space="preserve">Hey  _x000D_
I m using okhttp3:3 9 0 retrofit:2 9 0 in my project _x000D_
Recently I noticed the following crash in firebase crashlytics (I wasn t able to reproduce it) _x000D_
It happens on a main flow in my app and didn t find any solution  please advise  _x000D_
_x000D_
Crash:_x000D_
Fatal Exception: java net UnknownHostException_x000D_
Unable to resolve host  xxx example com : No address associated with hostname_x000D_
_x000D_
Caused by android system GaiException_x000D_
android getaddrinfo failed: EAI NODATA (No address associated with hostname)_x000D_
_x000D_
stack trace:_x000D_
okhttp3 Dns lambda static 0 (Dns java:39)_x000D_
okhttp3    Lambda Dns 9evC3uO H z08sS9O 4 hLhZ8es lookup (  java)_x000D_
okhttp3 internal connection RouteSelector resetNextInetSocketAddress (RouteSelector java:171)_x000D_
okhttp3 internal connection RouteSelector nextProxy (RouteSelector java:135)_x000D_
okhttp3 internal connection RouteSelector next (RouteSelector java:84)_x000D_
okhttp3 internal connection ExchangeFinder findConnection (ExchangeFinder java:187)_x000D_
okhttp3 internal connection ExchangeFinder findHealthyConnection (ExchangeFinder java:108)_x000D_
okhttp3 internal connection ExchangeFinder find (ExchangeFinder java:88)_x000D_
okhttp3 internal connection Transmitter newExchange (Transmitter java:169)_x000D_
okhttp3 internal connection ConnectInterceptor intercept (ConnectInterceptor java:41)_x000D_
okhttp3 internal http RealInterceptorChain proceed (RealInterceptorChain java:142)_x000D_
okhttp3 internal http RealInterceptorChain proceed (RealInterceptorChain java:117)_x000D_
okhttp3 internal cache CacheInterceptor intercept (CacheInterceptor java:94)_x000D_
okhttp3 internal http RealInterceptorChain proceed (RealInterceptorChain java:142)_x000D_
okhttp3 internal http RealInterceptorChain proceed (RealInterceptorChain java:117)_x000D_
okhttp3 internal http BridgeInterceptor intercept (BridgeInterceptor java:93)_x000D_
okhttp3 internal http RealInterceptorChain proceed (RealInterceptorChain java:142)_x000D_
okhttp3 internal http RetryAndFollowUpInterceptor intercept (RetryAndFollowUpInterceptor java:88)_x000D_
okhttp3 internal http RealInterceptorChain proceed (RealInterceptorChain java:142)_x000D_
okhttp3 internal http RealInterceptorChain proceed (RealInterceptorChain java:117)_x000D_
okhttp3 logging HttpLoggingInterceptor intercept (HttpLoggingInterceptor java:143)_x000D_
okhttp3 internal http RealInterceptorChain proceed (RealInterceptorChain java:142)_x000D_
okhttp3 internal http RealInterceptorChain proceed (RealInterceptorChain java:117)_x000D_
com fiverr insertcreditcard RetrofitManager builder 1 intercept (RetrofitManager java:38)_x000D_
okhttp3 internal http RealInterceptorChain proceed (RealInterceptorChain java:142)_x000D_
okhttp3 internal http RealInterceptorChain proceed (RealInterceptorChain java:117)_x000D_
okhttp3 RealCall getResponseWithInterceptorChain (RealCall java:229)_x000D_
okhttp3 RealCall execute (RealCall java:81)_x000D_
com google firebase perf network FirebasePerfOkHttpClient execute (FirebasePerfOkHttpClient java:43)_x000D_
retrofit2 OkHttpCall execute (OkHttpCall java:204)_x000D_
retrofit2 DefaultCallAdapterFactory ExecutorCallbackCall execute (DefaultCallAdapterFactory java:108)_x000D_
com fiverr insertcreditcard CreditCardViewModel validateSavedCreditCard 1 invoke (CreditCardViewModel java:66)_x000D_
com fiverr insertcreditcard CreditCardViewModel validateSavedCreditCard 1 invoke (CreditCardViewModel java:21)_x000D_
kotlin concurrent ThreadsKt thread thread 1 run (ThreadsKt java:30)_x000D_
_x000D_
</t>
  </si>
  <si>
    <t>TeamNewPipe-NewPipe-5959</t>
  </si>
  <si>
    <t>Can't subscribe to channels without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</si>
  <si>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Search Youtube for  subscribers without videos   tap on a channel that doesn t show any videos  _x000D_
_x000D_
The search term is just to find empty channels  I don t want to subscribe to those  but sometimes people announce new channels that don t have videos yet and it would be nice to have them in Newpipe so they show up in the new video feed once videos get uploaded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The channel header with subscribe button shows up for a moment  then gets replaced by a  No videos  message _x000D_
_x000D_
    Expected behavior_x000D_
     Tell us what you expect to happen     _x000D_
_x000D_
Channel header stays  the  No videos  message only occupies the space where the videos would go  so the subscribe button is always visible _x000D_
_x000D_
There s also a loading circle animation when looking for videos on a channel that seems to do the same and could also just be below the header instead of replacing it to keep the UI less busy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</si>
  <si>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TeamNewPipe-NewPipe-5957</t>
  </si>
  <si>
    <t>Video controls tab order inconsistent and buttons unreachable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</si>
  <si>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Play a video on firestick _x000D_
2  Use firetv remote and arrow up from title area into video controls _x000D_
3  Highlighted button order skips full screen button when going upward _x000D_
4  Arrow downward from upper buttons  full screen button is now reachable _x000D_
5  Video playback speed button cannot be highlighted nor video quality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Full screen button inconsistently highlightable on FireCube firetv_x000D_
Video resolution button inaccessible_x000D_
Playback speed button also inaccessable_x000D_
_x000D_
_x000D_
_x000D_
    Expected behavior_x000D_
     Tell us what you expect to happen     _x000D_
When arrowing up down left or right full screen button  resolution and playback speed button should be reachable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version:Firecube_x000D_
   Device model:Original_x000D_
</t>
  </si>
  <si>
    <t>PojavLauncherTeam-PojavLauncher-1134</t>
  </si>
  <si>
    <t>[BUG] 1.8.9 upon launching, the game crashed.</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</si>
  <si>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Upon launching the game  the game crashed _x000D_
similar to  974 _x000D_
  Add a log file if you want to see your bug fixed    _x000D_
_x000D_
_x000D_
 latestlog txt (https:  github com PojavLauncherTeam PojavLauncher files 6226159 latestlog txt)_x000D_
_x000D_
_x000D_
    To Reproduce:_x000D_
Indicate steps to reproduce the buggy behavior:_x000D_
_x000D_
1  Start PojavLauncher_x000D_
2  Play_x000D_
3  Wait for it to launch the game_x000D_
_x000D_
_x000D_
    Expected behavior:_x000D_
I expected it would launch the game perfectly fine_x000D_
_x000D_
    Screenshots or videos:_x000D_
_x000D_
https:  youtube com shorts YInsYzryy2Y_x000D_
_x000D_
  Platform:  _x000D_
   Device Model : Infinix hot 10 play (x688c)_x000D_
   CPU architecture : ARMv7_x000D_
   Android Version : 10_x000D_
   PojavLauncher Version : latest release and the play store version_x000D_
_x000D_
_x000D_
 details   summary  b Additional context  b   summary _x000D_
 br _x000D_
 pre _x000D_
Add any other context about the problem here _x000D_
  pre _x000D_
  details _x000D_
</t>
  </si>
  <si>
    <t>TeamNewPipe-NewPipe-5953</t>
  </si>
  <si>
    <t>Videos should not be playing if minimised from main player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</si>
  <si>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Videos still keep playing if minimized from main player  I wonder if it is useful as I can t watch the video anyway  Newpipe has a huge number of customisations to continue streaming even with low amount of data  Unfortunately  that is not the case with minimized player _x000D_
_x000D_
Plus  switching from background to main player doesn t cause too much lag  Yes  I can select background and then exit the video info  But the process of selecting every single time the same action and pressing back button is unnecessary  Most importantly  I won t be benefited by that video playback  Only  audio is important at this point _x000D_
_x000D_
    Actual behaviour_x000D_
     Tell us what happens with the steps given above     _x000D_
Video is still playing on the minimised player_x000D_
    Expected behavior_x000D_
     Tell us what you expect to happen     _x000D_
Video should be closed and only audio should stay continued  if I exit directly from main player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This is how it actually works  The minimized player seems to play only a part video as if something unnecessary is moving  But this should not be happening  It ends up spending a lot of data for no reason  Video should switch to background no matter how it is minimised _x000D_
https:  drive google com file d 1 tJuISV3c mIS5lCCUpBhPqxMRrlSO E view usp drivesdk_x000D_
_x000D_
Only   Background  button acts properly  No video is needed  No video is moving _x000D_
https:  drive google com file d 1 74NblE6SOLzrMyMQ0lJidloNjICH51g view usp drivesdk_x000D_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</si>
  <si>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HBiSoft-HBRecorder-60</t>
  </si>
  <si>
    <t>The app is crashing with this exception.</t>
  </si>
  <si>
    <t xml:space="preserve">  Describe the bug  _x000D_
The crash is on Crashlytics_x000D_
_x000D_
  Log  _x000D_
Caused by java lang NullPointerException: Attempt to invoke virtual method  android os Parcelable android content Intent getParcelableExtra(java lang String)  on a null object reference_x000D_
       at com hbisoft hbrecorder ScreenRecordService callOnComplete(ScreenRecordService java:4)_x000D_
       at com hbisoft hbrecorder ScreenRecordService onDestroy(ScreenRecordService java:6)_x000D_
       at android app ActivityThread handleStopService(ActivityThread java:4117)_x000D_
       at android app ActivityThread access 1900(ActivityThread java:220)_x000D_
       at android app ActivityThread H handleMessage(ActivityThread java:1897)_x000D_
       at android os Handler dispatchMessage(Handler java:107)_x000D_
       at android os Looper loop(Looper java:214)_x000D_
       at android app ActivityThread main(ActivityThread java:7403)_x000D_
       at java lang reflect Method invoke(Method java)_x000D_
       at com android internal os RuntimeInit MethodAndArgsCaller run(RuntimeInit java:492)_x000D_
       at com android internal os ZygoteInit main(ZygoteInit java:935)_x000D_
_x000D_
  Can it be reproduced in demo app  _x000D_
No_x000D_
_x000D_
  HBRecorder version  _x000D_
0 1 15_x000D_
_x000D_
  Device information  _x000D_
  Xiaomi Mi A2_x000D_
  SDK version: 30_x000D_
</t>
  </si>
  <si>
    <t>crux-lab-sectioned-recycler-view-11</t>
  </si>
  <si>
    <t>Header issue : java.lang.IllegalStateException: The specified child already has a parent. You must call removeView() on the child's parent first.</t>
  </si>
  <si>
    <t xml:space="preserve">Hello _x000D_
I create header view holder in such way:_x000D_
   Override_x000D_
    public AisleHeaderHolder onCreateHeaderViewHolder(ViewGroup parent)  _x000D_
        View view   LayoutInflater from(parent getContext()) inflate(R layout listitem aisle header  parent  false) _x000D_
        return new AisleHeaderHolder(view) _x000D_
      _x000D_
_x000D_
and I got sometimes such a crash  any idea how to resolve it   :_x000D_
_x000D_
 java lang IllegalStateException: The specified child already has a parent  You must call removeView() on the child s parent first at android view ViewGroup addViewInner(ViewGroup java:4419)at android view ViewGroup addView(ViewGroup java:4260)at android view ViewGroup addView(ViewGroup java:4200)at android view ViewGroup addView(ViewGroup java:4173)at com cruxlab sectionedrecyclerview lib SectionHeaderLayout 1 addHeaderView(SectionHeaderLayout java:139)at com cruxlab sectionedrecyclerview lib SectionDataManager HeaderManager addHeaderView(SectionDataManager java:827)at com cruxlab sectionedrecyclerview lib SectionDataManager HeaderManager checkIsHeaderViewChanged(SectionDataManager java:798)at com cruxlab sectionedrecyclerview lib SectionHeaderLayout 2 onScrolled(SectionHeaderLayout java:189)at androidx recyclerview widget RecyclerView dispatchOnScrolled(RecyclerView java:5173)at androidx recyclerview widget RecyclerView scrollByInternal(RecyclerView java:1971)at androidx recyclerview widget RecyclerView onTouchEvent(RecyclerView java:3391)at android view View dispatchTouchEvent(View java:10039)at android view ViewGroup dispatchTransformedTouchEvent(ViewGroup java:2628)at android view ViewGroup dispatchTouchEvent(ViewGroup java:2307)at android view ViewGroup dispatchTransformedTouchEvent(ViewGroup java:2634)at android view ViewGroup dispatchTouchEvent(ViewGroup java:2321)at android view ViewGroup dispatchTransformedTouchEvent(ViewGroup java:2634)at android view ViewGroup dispatchTouchEvent(ViewGroup java:2321)at android view ViewGroup dispatchTransformedTouchEvent(ViewGroup java:2634)at android view ViewGroup dispatchTouchEvent(ViewGroup java:2321)at android view ViewGroup dispatchTransformedTouchEvent(ViewGroup java:2634)at android view ViewGroup dispatchTouchEvent(ViewGroup java:2321)at android view ViewGroup dispatchTransformedTouchEvent(ViewGroup java:2634)at android view ViewGroup dispatchTouchEvent(ViewGroup java:2321)at android view ViewGroup dispatchTransformedTouchEvent(ViewGroup java:2634)at android view ViewGroup dispatchTouchEvent(ViewGroup java:2321)at android view ViewGroup dispatchTransformedTouchEvent(ViewGroup java:2634)at android view ViewGroup dispatchTouchEvent(ViewGroup java:2321)at android view ViewGroup dispatchTransformedTouchEvent(ViewGroup java:2634)at android view ViewGroup dispatchTouchEvent(ViewGroup java:2321)at android view ViewGroup dispatchTransformedTouchEvent(ViewGroup java:2634)at android view ViewGroup dispatchTouchEvent(ViewGroup java:2321)at android view ViewGroup dispatchTransformedTouchEvent(ViewGroup java:2634)at android view ViewGroup dispatchTouchEvent(ViewGroup java:2321)at android view ViewGroup dispatchTransformedTouchEvent(ViewGroup java:2634)at android view ViewGroup dispatchTouchEvent(ViewGroup java:2321)at com android internal policy DecorView superDispatchTouchEvent(DecorView java:417)at com android internal policy PhoneWindow superDispatchTouchEvent(PhoneWindow java:1808)at android app Activity dispatchTouchEvent(Activity java:3194)at androidx appcompat view WindowCallbackWrapper dispatchTouchEvent(WindowCallbackWrapper java:69)at com android internal policy DecorView dispatchTouchEvent(DecorView java:379)at android view View dispatchPointerEvent(View java:10261)at android view ViewRootImpl ViewPostImeInputStage processPointerEvent(ViewRootImpl java:4503)at android view ViewRootImpl ViewPostImeInputStage onProcess(ViewRootImpl java:4368)at android view ViewRootImpl InputStage deliver(ViewRootImpl java:3908)at android view ViewRootImpl InputStage onDeliverToNext(ViewRootImpl java:3961)at android view ViewRootImpl InputStage forward(ViewRootImpl java:3927)at android view ViewRootImpl AsyncInputStage forward(ViewRootImpl java:4054)at android view ViewRootImpl InputStage apply(ViewRootImpl java:3935)at android view ViewRootImpl AsyncInputStage apply(ViewRootImpl java:4111)at android view ViewRootImpl InputStage deliver(ViewRootImpl java:3908)at android view ViewRootImpl InputStage onDeliverToNext(ViewRootImpl java:3961)at android view ViewRootImpl InputStage forward(ViewRootImpl java:3927)at android view ViewRootImpl InputStage apply(ViewRootImpl java:3935)at android view ViewRootImpl InputStage deliver(ViewRootImpl java:3908)at android view ViewRootImpl deliverInputEvent(ViewRootImpl java:6346)at android view ViewRootImpl doProcessInputEvents(ViewRootImpl java:6320)at android view ViewRootImpl enqueueInputEvent(ViewRootImpl java:6281)at android view ViewRootImpl WindowInputEventReceiver onInputEvent(ViewRootImpl java:6452)at android view InputEventReceiver dispatchInputEvent(InputEventReceiver java:187)at android view InputEventReceiver nativeConsumeBatchedInputEvents(Native Method)at android view InputEventReceiver consumeBatchedInputEvents(InputEventReceiver java:176)at android view ViewRootImpl doConsumeBatchedInput(ViewRootImpl java:6420)at android view ViewRootImpl ConsumeBatchedInputRunnable run(ViewRootImpl java:6475)at android view Choreographer CallbackRecord run(Choreographer java:876)at android view Choreographer doCallbacks(Choreographer java:688)at android view Choreographer doFrame(Choreographer java:617)at android view Choreographer FrameDisplayEventReceiver run(Choreographer java:862)at android os Handler handleCallback(Handler java:754)at android os Handler dispatchMessage(Handler java:95)at android os Looper loop(Looper java:163)at android app ActivityThread main(ActivityThread java:6238)at java lang reflect Method invoke(Native Method)at com android internal os ZygoteInit MethodAndArgsCaller run(ZygoteInit java:933)at com android internal os ZygoteInit main(ZygoteInit java:823) </t>
  </si>
  <si>
    <t>Anuken-Mindustry-5018</t>
  </si>
  <si>
    <t>Ok so i got a problem on mods</t>
  </si>
  <si>
    <t>TeamNewPipe-NewPipe-5947</t>
  </si>
  <si>
    <t>Crash at very early startup, looks like unable to get cache dir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</si>
  <si>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Install NewPipe from apk in Github releases_x000D_
2  Start NewPipe_x000D_
_x000D_
    Actual behaviour_x000D_
When starting the app  the phone appears to freeze  No UI elements are drawn  Swiping to change apps works and the app can then be killed _x000D_
_x000D_
    Expected behavior_x000D_
I d like for NewPipe to start and be able to be used normally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NewPipe does not initialize enough to get to a crash report dialog _x000D_
Adb logcat:  newpipe crash log (https:  github com TeamNewPipe NewPipe files 6218314 newpipe crash log)_x000D_
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GrapheneOS 3 21 Patch update_x000D_
   Device model: Google Pixel 4a_x000D_
</t>
  </si>
  <si>
    <t>Ninjaman494-Hanji-Android-App-59</t>
  </si>
  <si>
    <t>Clicking Add Favorite button when loading causes a Null Pointer Exception</t>
  </si>
  <si>
    <t>In  FavoritesActivity   the  addFavoriteFragment  is only created once the conjugation names are fetched  If the add favorite button is clicked while the query is loading or has failed  a Null Pointer Exception will occur  This button should be disabled until the query is completed _x000D_
_x000D_
 Crash report (https:  console firebase google com u 0 project hanji bd63d crashlytics app android:com a494studios koreanconjugator issues 2dcb884582f4165db9db088118eb9f03 time last seven days sessionEventKey 605EA657038A00012EB2AC336665637A 1522616631337538559)</t>
  </si>
  <si>
    <t>PojavLauncherTeam-PojavLauncher-1127</t>
  </si>
  <si>
    <t>[BUG] Newest dev build crashes</t>
  </si>
  <si>
    <t>Newest dev build with Mesa crashes on launch_x000D_
_x000D_
    To Reproduce:_x000D_
Indicate steps to reproduce the buggy behavior:_x000D_
_x000D_
1  Download newest dev build (Missing )_x000D_
2  Start Pojavlauncher_x000D_
3  Open any version (I tried 1 16 3)_x000D_
4  Wait a few seconds_x000D_
5  Crash_x000D_
_x000D_
    Expected behavior:_x000D_
I expected it to launch  and it didn t even go to the Mojang screen_x000D_
_x000D_
  Platform:  _x000D_
   Device Model : Samsung Galaxy Tab s5e_x000D_
   CPU architecture : AARCH64_x000D_
   Android Version : 10_x000D_
   PojavLauncher Version : Latest development build_x000D_
 latestlog txt (https:  github com PojavLauncherTeam PojavLauncher files 6217950 latestlog txt)</t>
  </si>
  <si>
    <t>nextcloud-android-8218</t>
  </si>
  <si>
    <t xml:space="preserve">Android 11 auto upload crash </t>
  </si>
  <si>
    <t xml:space="preserve">    Steps to reproduce_x000D_
1  Set up auto upload _x000D_
2  Wait for it to crash (file conflict dialog is shown  But this was with a clean directory to upload to _x000D_
3  _x000D_
_x000D_
    Expected behaviour_x000D_
  Tell us what should happen_x000D_
  upload without crashing _x000D_
_x000D_
    Actual behaviour_x000D_
  Tell us what happens_x000D_
  it crashes _x000D_
_x000D_
    Can you reproduce this problem on https:  try nextcloud com _x000D_
  Please create a test demo account and see if this still happens there _x000D_
  If yes  please open up a bug report_x000D_
  If not  please verify server setup and ask for help on forum_x000D_
  _x000D_
             CAUSE OF ERROR             _x000D_
_x000D_
java lang NullPointerException: Attempt to invoke virtual method  java lang String com owncloud android datamodel OCFile getRemotePath()  on a null object reference_x000D_
	at com owncloud android ui activity ConflictsResolveActivity onStart(ConflictsResolveActivity java:187)_x000D_
	at android app Instrumentation callActivityOnStart(Instrumentation java:1435)_x000D_
	at android app Activity performStart(Activity java:8222)_x000D_
	at android app ActivityThread handleStartActivity(ActivityThread java:3818)_x000D_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java:2307)_x000D_
	at android os Handler dispatchMessage(Handler java:106)_x000D_
	at android os Looper loop(Looper java:246)_x000D_
	at android app ActivityThread main(ActivityThread java:8506)_x000D_
	at java lang reflect Method invoke(Native Method)_x000D_
	at com android internal os RuntimeInit MethodAndArgsCaller run(RuntimeInit java:602)_x000D_
	at com android internal os ZygoteInit main(ZygoteInit java:1130)_x000D_
_x000D_
             APP INFORMATION             _x000D_
ID: com nextcloud client_x000D_
Version: 30140190_x000D_
Build flavor: generic_x000D_
_x000D_
             DEVICE INFORMATION             _x000D_
Brand: samsung_x000D_
Device: beyond2_x000D_
Model: SM G975F_x000D_
Id: RP1A 200720 012_x000D_
Product: beyond2lteeea_x000D_
_x000D_
             FIRMWARE             _x000D_
SDK: 30_x000D_
Release: 11_x000D_
Incremental: G975FXXU9FUBD_x000D_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</si>
  <si>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PojavLauncherTeam-PojavLauncher-1126</t>
  </si>
  <si>
    <t>[BUG] Game randomly closes while playing, no crash is reported</t>
  </si>
  <si>
    <t xml:space="preserve">    Describe the bug_x000D_
While playing the game and actually inside a server  PojavLauncher abruptly closed without Minecraft reporting a crash _x000D_
_x000D_
Sadly  the game s logs don t display a crash  so my logs wouldn t be helpful in this case _x000D_
_x000D_
    To Reproduce:_x000D_
Indicate steps to reproduce the buggy behavior:_x000D_
_x000D_
1  Start PojavLauncher_x000D_
2  Log in using an online account (have not tried to repro with an offline account)_x000D_
3  Launch 1 16 5 with Fabric and OptiFabric and OptiFine (have not tried to repro with other versions)_x000D_
4  Join a multiplayer survival server that is vanilla with data packs (have not tried to repro with public servers or local worlds)_x000D_
5  While playing  the PojavLauncher will close after some minutes _x000D_
_x000D_
    Expected behavior:_x000D_
I expected PojavLauncher not to close so I could continue to enjoy playing with my friend _x000D_
_x000D_
    Screenshots or videos:_x000D_
Once I figure out how to record my phone  I will try to record this for the bug report _x000D_
_x000D_
  Platform:  _x000D_
   Device Model Moto g7 Power_x000D_
   CPU architecture aarch64 _x000D_
   Android Version 10_x000D_
   PojavLauncher Version Latest Release_x000D_
_x000D_
_x000D_
 details   summary  b Additional context  b   summary _x000D_
 br _x000D_
 pre _x000D_
N A_x000D_
  pre _x000D_
  details _x000D_
</t>
  </si>
  <si>
    <t>TeamNewPipe-NewPipe-5941</t>
  </si>
  <si>
    <t>Rotation crash on „Video not available“ page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</si>
  <si>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 video that s not available (invalid URL private video whatever)_x000D_
2  Rotate the screen by 90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NewPipe throws an UI error_x000D_
_x000D_
_x000D_
_x000D_
    Expected behavior_x000D_
     Tell us what you expect to happen     _x000D_
Just rotate the page by 90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user images githubusercontent com 62775760 112752430 3c736900 8fd3 11eb 9de1 59a109b83e4e mp4_x000D_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ACRA report_x000D_
    Content Country:   US_x000D_
    Content Language:   en US_x000D_
    App Language:   en US_x000D_
    Service:   none_x000D_
    Version:   0 21 0_x000D_
    OS:   Linux Android 11   30_x000D_
 details  summary  b Crash log   b   summary  p _x000D_
_x000D_
   _x000D_
java lang RuntimeException: Unable to start activity ComponentInfo org schabi newpipe org schabi newpipe MainActivity : androidx fragment app Fragment InstantiationException: Unable to instantiate fragment org schabi newpipe fragments EmptyFragment: could not find Fragment constructor_x000D_
	at android app ActivityThread performLaunchActivity(ActivityThread java:3792)_x000D_
	at android app ActivityThread handleLaunchActivity(ActivityThread java:3968)_x000D_
	at android app ActivityThread handleRelaunchActivityInner(ActivityThread java:5957)_x000D_
	at android app ActivityThread handleRelaunchActivity(ActivityThread java:5863)_x000D_
	at android app servertransaction ActivityRelaunchItem execute(ActivityRelaunchItem java:69)_x000D_
	at android app servertransaction TransactionExecutor executeCallbacks(TransactionExecutor java:135)_x000D_
	at android app servertransaction TransactionExecutor execute(TransactionExecutor java:95)_x000D_
	at android app ActivityThread H handleMessage(ActivityThread java:2307)_x000D_
	at android os Handler dispatchMessage(Handler java:106)_x000D_
	at android os Looper loop(Looper java:246)_x000D_
	at android app ActivityThread main(ActivityThread java:8506)_x000D_
	at java lang reflect Method invoke(Native Method)_x000D_
	at com android internal os RuntimeInit MethodAndArgsCaller run(RuntimeInit java:602)_x000D_
	at com android internal os ZygoteInit main(ZygoteInit java:1130)_x000D_
Caused by: androidx fragment app Fragment InstantiationException: Unable to instantiate fragment org schabi newpipe fragments EmptyFragment: could not find Fragment constructor_x000D_
	at androidx fragment app Fragment instantiate(Fragment java:563)_x000D_
	at androidx fragment app FragmentContainer instantiate(FragmentContainer java:57)_x000D_
	at androidx fragment app FragmentManager 3 instantiate(FragmentManager java:390)_x000D_
	at androidx fragment app FragmentStateManager  init (FragmentStateManager java:74)_x000D_
	at androidx fragment app FragmentManager restoreSaveState(FragmentManager java:2454)_x000D_
	at androidx fragment app Fragment restoreChildFragmentState(Fragment java:1706)_x000D_
	at androidx fragment app Fragment onCreate(Fragment java:1683)_x000D_
	at org schabi newpipe BaseFragment onCreate(BaseFragment java:55)_x000D_
	at org schabi newpipe fragments detail VideoDetailFragment onCreate(VideoDetailFragment java:279)_x000D_
	at androidx fragment app Fragment performCreate(Fragment java:2684)_x000D_
	at androidx fragment app FragmentStateManager create(FragmentStateManager java:280)_x000D_
	at androidx fragment app FragmentManager moveToState(FragmentManager java:1175)_x000D_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FragmentManager dispatchStateChange(FragmentManager java:2625)_x000D_
	at androidx fragment app FragmentManager dispatchCreate(FragmentManager java:2571)_x000D_
	at androidx fragment app FragmentController dispatchCreate(FragmentController java:236)_x000D_
	at androidx fragment app FragmentActivity onCreate(FragmentActivity java:315)_x000D_
	at androidx appcompat app AppCompatActivity onCreate(AppCompatActivity java:115)_x000D_
	at org schabi newpipe MainActivity onCreate(MainActivity java:139)_x000D_
	at android app Activity performCreate(Activity java:8198)_x000D_
	at android app Activity performCreate(Activity java:8182)_x000D_
	at android app Instrumentation callActivityOnCreate(Instrumentation java:1309)_x000D_
	at android app ActivityThread performLaunchActivity(ActivityThread java:3765)_x000D_
	    13 more_x000D_
Caused by: java lang NoSuchMethodException: org schabi newpipe fragments EmptyFragment  init    _x000D_
	at java lang Class getConstructor0(Class java:2332)_x000D_
	at java lang Class getConstructor(Class java:1728)_x000D_
	at androidx fragment app Fragment instantiate(Fragment java:548)_x000D_
	    37 more_x000D_
_x000D_
   _x000D_
  details _x000D_
 hr _x000D_
_x000D_
_x000D_
_x000D_
_x000D_
     Please fill this out when you do not provide a log generate by NewPipe    _x000D_
_x000D_
    Device info_x000D_
_x000D_
   Android version Custom ROM version: Android 11 R  Stock ROM_x000D_
   Device model: Samsung Galaxy Note 10 _x000D_
</t>
  </si>
  <si>
    <t>microg-GmsCore-1426</t>
  </si>
  <si>
    <t>Push Notifaction access</t>
  </si>
  <si>
    <t xml:space="preserve">  Describe the bug  _x000D_
When running a latest git pull compiled   nothing can request a push notification   It acts like it isn t signed in   If I go back to an earlier version 0 2 17   The apps can request the puh notification access and well run for awhile and new apps can request access   However as I found out yesterday they disappeared   Once I rolled back to 0 2 17 they all came back and functioned properly _x000D_
Another thing is Google account isn t really logged in   However Maps worked logged in and could do a search for home address and it worked   But when rolled back it showed up as not logged in and crashed again when logged in _x000D_
_x000D_
  To Reproduce  _x000D_
Steps to reproduce the behavior:_x000D_
Install fresh git pull and no apps can request push notification Google account shows as logged in but doesn t really seem to be _x000D_
_x000D_
  Expected behavior  _x000D_
Apps allowed to ask for push notification _x000D_
_x000D_
_x000D_
  System  _x000D_
Android Version: android 11_x000D_
Custom ROM:  Proton ASOP_x000D_
_x000D_
</t>
  </si>
  <si>
    <t>cgeo-cgeo-10281</t>
  </si>
  <si>
    <t>cgeo crashes when opening live map</t>
  </si>
  <si>
    <t xml:space="preserve">cgeo keeps crashing when opening live map_x000D_
_x000D_
(Individual route was set before upgrading to newest nightly) _x000D_
_x000D_
Stacktrace:_x000D_
   _x000D_
FATAL EXCEPTION: RxCachedThreadScheduler 1_x000D_
Process: cgeo geocaching  PID: 27833_x000D_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java lang SecurityException: Binder invocation to an incorrect interface_x000D_
	at io reactivex rxjava3 plugins RxJavaPlugins onError(RxJavaPlugins java:372)_x000D_
	at io reactivex rxjava3 internal schedulers ScheduledRunnable run(ScheduledRunnable java:68)_x000D_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java:929)_x000D_
Caused by: java lang SecurityException: Binder invocation to an incorrect interface_x000D_
	at android os Parcel createException(Parcel java:2071)_x000D_
	at android os Parcel readException(Parcel java:2039)_x000D_
	at android os Parcel readException(Parcel java:1987)_x000D_
	at cgeo geocaching brouter IBRouterService Stub Proxy getTrackFromParams(IBRouterService java:157)_x000D_
	at cgeo geocaching maps routing BRouterServiceConnection getTrackFromParams(BRouterServiceConnection java:46)_x000D_
	at cgeo geocaching maps routing Routing calculateRouting(Routing java:213)_x000D_
	at cgeo geocaching maps routing Routing getTrackNoCaching(Routing java:191)_x000D_
	at cgeo geocaching models Route calculateNavigationRoute(Route java:145)_x000D_
	at cgeo geocaching models IndividualRoute toggleItemInternal(IndividualRoute java:133)_x000D_
	at cgeo geocaching models IndividualRoute loadRouteInternal(IndividualRoute java:99)_x000D_
	at cgeo geocaching models IndividualRoute lambda  GNSf27WQYOP2dSZLbdIUw Qclw(Unknown Source:0)_x000D_
	at cgeo geocaching models    Lambda IndividualRoute  GNSf27WQYOP2dSZLbdIUw Qclw run(Unknown Source:2)_x000D_
	at cgeo geocaching utils AndroidRxUtils lambda andThenOnUi 2(AndroidRxUtils java:70)_x000D_
	at cgeo geocaching utils    Lambda AndroidRxUtils bqzWo9nlvU86BvboB 9jhDWp5vc run(Unknown Source:4)_x000D_
	at io reactivex rxjava3 internal schedulers ScheduledRunnable run(ScheduledRunnable java:65)_x000D_
	    6 more_x000D_
   </t>
  </si>
  <si>
    <t>PojavLauncherTeam-PojavLauncher-1118</t>
  </si>
  <si>
    <t>[BUG] 当我使用最新版本时游戏将崩溃https://github.com/PojavLauncherTeam/PojavLauncher/actions/runs/693439875</t>
  </si>
  <si>
    <t xml:space="preserve">  Platform:  _x000D_
   Device Model  e g  redmi note 7 4 64 _x000D_
   CPU architecture  e g  aarch64  _x000D_
   Android Version  e g  10 _x000D_
   PojavLauncher Version  e g Latest Release    version 3 3 1 1 rel 20210327  _x000D_
_x000D_
_x000D_
 I can t upload the file because of the network problem _x000D_
_x000D_
_x000D_
          beggining with launcher debug_x000D_
Info: LWJGL3 directory:  lwjgl jemalloc jar  lwjgl opengl jar  lwjgl jar  lwjgl glfw classes jar  lwjgl tinyfd jar  lwjgl openal jar  version  lwjgl stb jar  jsr305 jar _x000D_
Architecture: arm64 aarch64_x000D_
Info: Custom Java arguments:   Xms2048m  Xmx2048m  Dorg lwjgl opengl libname libgl4es 115 so _x000D_
Headless version detected  (20210326)_x000D_
          beginning of system_x000D_
          beginning of crash_x000D_
WARNING: linker: Warning:   data data net kdt pojavlaunch jre runtime lib aarch64 jli libjli so  unused DT entry: DT RPATH (type 0xf arg 0x361) (ignoring)_x000D_
WARNING: linker: Warning:   data data net kdt pojavlaunch jre runtime lib aarch64 jli libjli so  has unsupported flags DT FLAGS 1 0x81 (ignoring unsupported flags)_x000D_
          beginning of main_x000D_
I jrelog  (28970): dlopen  data user 0 net kdt pojavlaunch jre runtime lib aarch64 jli libjli so success_x000D_
I jrelog  (28970): dlopen  data user 0 net kdt pojavlaunch jre runtime lib aarch64 server libjvm so success_x000D_
WARNING: linker: _x000D_
Warning:   data data net kdt pojavlaunch jre runtime lib aarch64 libverify so  unused DT entry: DT RPATH (type 0xf arg 0x450) (ignoring)_x000D_
WARNING: linker: Warning:   data data net kdt pojavlaunch jre runtime lib aarch64 libverify so  has unsupported flags DT FLAGS 1 0x81 (ignoring unsupported flags)_x000D_
WARNING: linker: Warning:   data data net kdt pojavlaunch jre runtime lib aarch64 libjava so  unused DT entry: DT RPATH (type 0xf arg 0x33c0) (ignoring)_x000D_
WARNING: linker: Warning:   data data net kdt pojavlaunch jre runtime lib aarch64 libjava so  has unsupported flags DT FLAGS 1 0x81 (ignoring unsupported flags)_x000D_
I jrelog  (28970): dlopen  data user 0 net kdt pojavlaunch jre runtime lib aarch64 libverify so success_x000D_
I jrelog  (28970): dlopen  data user 0 net kdt pojavlaunch jre runtime lib aarch64 libjava so success_x000D_
WARNING: linker: _x000D_
Warning:  _x000D_
 data data net kdt pojavlaunch jre runtime lib aarch64 libnet so_x000D_
  unused DT entry: _x000D_
DT RPATH_x000D_
 (type _x000D_
0xf_x000D_
 arg _x000D_
0x13b8_x000D_
) (ignoring)_x000D_
_x000D_
WARNING: linker: _x000D_
Warning:  _x000D_
 data data net kdt pojavlaunch jre runtime lib aarch64 libnet so_x000D_
  has unsupported flags DT FLAGS 1 _x000D_
0x81_x000D_
 (ignoring unsupported flags)_x000D_
_x000D_
WARNING: linker: _x000D_
Warning:  _x000D_
 data data net kdt pojavlaunch jre runtime lib aarch64 libnio so_x000D_
I jrelog  (28970): dlopen  data user 0 net kdt pojavlaunch jre runtime lib aarch64 libnet so success_x000D_
  unused DT entry: _x000D_
DT RPATH (type 0xf arg 0x2196) (ignoring)_x000D_
WARNING: linker: _x000D_
Warning:  _x000D_
 data data net kdt pojavlaunch jre runtime lib aarch64 libnio so_x000D_
  has unsupported flags DT FLAGS 1 _x000D_
0x81_x000D_
 (ignoring unsupported flags)_x000D_
_x000D_
I jrelog  (28970): dlopen  data user 0 net kdt pojavlaunch jre runtime lib aarch64 libnio so success_x000D_
WARNING: linker: Warning:   data data net kdt pojavlaunch jre runtime lib aarch64 libawt so  unused DT entry: DT RPATH (type 0xf arg 0x6a68) (ignoring)_x000D_
_x000D_
WARNING: linker: Warning:   data data net kdt pojavlaunch jre runtime lib aarch64 libawt so  has unsupported flags DT FLAGS 1 0x81 (ignoring unsupported flags)_x000D_
I jrelog  (28970): dlopen  data user 0 net kdt pojavlaunch jre runtime lib aarch64 libawt so success_x000D_
WARNING: linker: Warning:   data data net kdt pojavlaunch jre runtime lib aarch64 libawt headless so  unused DT entry: DT RPATH_x000D_
 (type 0xf arg 0x4d9) (ignoring)_x000D_
WARNING: linker: Warning:   data data net kdt pojavlaunch jre runtime lib aarch64 libawt headless so  has unsupported flags DT FLAGS 1 0x81 (ignoring unsupported flags)_x000D_
I jrelog  (28970): dlopen  data user 0 net kdt pojavlaunch jre runtime lib aarch64 libawt headless so success_x000D_
I jrelog  (28970): dlopen  data user 0 net kdt pojavlaunch jre runtime lib aarch64 libfreetype so success_x000D_
WARNING: linker: Warning:   data data net kdt pojavlaunch jre runtime lib aarch64 libfontmanager so  unused DT entry: DT RPATH (type 0xf arg _x000D_
0xda0) (ignoring)_x000D_
WARNING: linker: Warning:   data data net kdt pojavlaunch jre runtime lib aarch64 libfontmanager so  has unsupported flags DT FLAGS 1 0x81 (ignoring unsupported flags)_x000D_
I jrelog  (28970): dlopen  data user 0 net kdt pojavlaunch jre runtime lib aarch64 libfontmanager so success_x000D_
WARNING: linker: _x000D_
Warning:   data data net kdt pojavlaunch jre runtime lib aarch64 liblcms so  unused DT entry: DT RPATH (type 0xf arg 0x3f1) (ignoring)_x000D_
WARNING: linker: Warning:   data data net kdt pojavlaunch jre runtime lib aarch64 liblcms so  has unsupported flags DT FLAGS 1 0x81 (ignoring unsupported flags)_x000D_
I jrelog  (28970): dlopen  data user 0 net kdt pojavlaunch jre runtime lib aarch64 liblcms so success_x000D_
I jrelog  (28970): dlopen  data user 0 net kdt pojavlaunch jre runtime lib aarch64 libnio so success_x000D_
I jrelog  (28970): dlopen  data user 0 net kdt pojavlaunch jre runtime lib aarch64 jli libjli so success_x000D_
I jrelog  (28970): dlopen  data user 0 net kdt pojavlaunch jre runtime lib aarch64 libawt headless so success_x000D_
WARNING: linker: Warning:   data data net kdt pojavlaunch jre runtime lib aarch64 libjaas unix so  unused DT entry: _x000D_
DT RPATH (type 0xf arg 0x103) (ignoring)_x000D_
WARNING: linker: Warning:   data data net kdt pojavlaunch jre runtime lib aarch64 libjaas unix so  has unsupported flags DT FLAGS 1 0x81 (ignoring unsupported flags)_x000D_
WARNING: linker: Warning:   data data net kdt pojavlaunch jre runtime lib aarch64 libunpack so  unused DT entry: DT RPATH (type 0xf arg 0x364_x000D_
) (ignoring)_x000D_
WARNING: linker: Warning:   data data net kdt pojavlaunch jre runtime lib aarch64 libunpack so  has unsupported flags DT FLAGS 1 0x81 (ignoring unsupported flags)_x000D_
I jrelog  (28970): dlopen  data user 0 net kdt pojavlaunch jre runtime lib aarch64 libjaas unix so success_x000D_
I jrelog  (28970): dlopen  data user 0 net kdt pojavlaunch jre runtime lib aarch64 libunpack so success_x000D_
I jrelog  (28970): dlopen  data user 0 net kdt pojavlaunch jre runtime lib aarch64 libfreetype so success_x000D_
WARNING: linker: Warning:   data data net kdt pojavlaunch jre runtime lib aarch64 libmlib image so  unused DT entry: DT RPATH (type 0xf arg 0x158) (ignoring)_x000D_
WARNING: linker: Warning:   data data net kdt pojavlaunch jre runtime lib aarch64 libmlib image so  has unsupported flags DT FLAGS 1 0x81 (ignoring unsupported flags)_x000D_
I jrelog  (28970): dlopen  data user 0 net kdt pojavlaunch jre runtime lib aarch64 libmlib image so success_x000D_
I jrelog  (28970): dlopen  data user 0 net kdt pojavlaunch jre runtime lib aarch64 libnpt so failed: dlopen failed: library  libtinyiconv so  not found_x000D_
WARNING: linker: Warning:   data data net kdt pojavlaunch jre runtime lib aarch64 libtinyiconv so  unused DT entry: _x000D_
DT RPATH (type 0xf arg 0x23a) (ignoring)_x000D_
WARNING: linker: Warning:   data data net kdt pojavlaunch jre runtime lib aarch64 libtinyiconv so  has unsupported flags DT FLAGS 1 0x81 (ignoring unsupported flags)_x000D_
WARNING: linker: Warning:   data data net kdt pojavlaunch jre runtime lib aarch64 libjava crw demo so  unused DT entry: DT RPATH (type 0xf arg 0xe6) (ignoring)_x000D_
_x000D_
WARNING: linker: Warning:   data data net kdt pojavlaunch jre runtime lib aarch64 libjava crw demo so  has unsupported flags DT FLAGS 1 0x81 (ignoring unsupported flags)_x000D_
WARNING: linker: Warning:   data data net kdt pojavlaunch jre runtime lib aarch64 libjsound so  unused DT entry: DT RPATH (type 0xf arg 0x119) (ignoring)_x000D_
WARNING: linker: Warning:   data data net kdt pojavlaunch jre runtime lib aarch64 libjsound so  has unsupported flags DT FLAGS 1 0x81 (ignoring unsupported flags)_x000D_
I jrelog  (28970): dlopen  data user 0 net kdt pojavlaunch jre runtime lib aarch64 libtinyiconv so success_x000D_
I jrelog  (28970): dlopen  data user 0 net kdt pojavlaunch jre runtime lib aarch64 libjsig so success_x000D_
I jrelog  (28970): dlopen  data user 0 net kdt pojavlaunch jre runtime lib aarch64 libjava crw demo so success_x000D_
I jrelog  (28970): dlopen  data user 0 net kdt pojavlaunch jre runtime lib aarch64 server libjvm so success_x000D_
I jrelog  (28970): dlopen  data user 0 net kdt pojavlaunch jre runtime lib aarch64 libjsound so success_x000D_
I jrelog  (28970): dlopen  data user 0 net kdt pojavlaunch jre runtime lib aarch64 libverify so success_x000D_
WARNING: linker: _x000D_
Warning:  _x000D_
 data data net kdt pojavlaunch jre runtime lib aarch64 libjdwp so_x000D_
  unused DT entry: _x000D_
DT RPATH_x000D_
 (type _x000D_
0xf_x000D_
 arg 0x1c7) (ignoring)_x000D_
WARNING: linker: Warning:   data data net kdt pojavlaunch jre runtime lib aarch64 libjdwp so  has unsupported flags DT FLAGS 1 0x81 (ignoring unsupported flags)_x000D_
I jrelog  (28970): dlopen  data user 0 net kdt pojavlaunch jre runtime lib aarch64 libjdwp so success_x000D_
WARNING: linker: _x000D_
Warning:  _x000D_
 data data net kdt pojavlaunch jre runtime lib aarch64 libjawt so_x000D_
  unused DT entry: _x000D_
DT RPATH_x000D_
 (type _x000D_
0xf_x000D_
 arg _x000D_
0x77_x000D_
) (ignoring)_x000D_
_x000D_
WARNING: linker: _x000D_
Warning:  _x000D_
 data data net kdt pojavlaunch jre runtime lib aarch64 libjawt so  has unsupported flags DT FLAGS 1 0x81 (ignoring unsupported flags)_x000D_
I jrelog  (28970): dlopen  data user 0 net kdt pojavlaunch jre runtime lib aarch64 libjawt so success_x000D_
I jrelog  (28970): dlopen  data user 0 net kdt pojavlaunch jre runtime lib aarch64 libsunec so success_x000D_
WARNING: linker: _x000D_
Warning:   data data net kdt pojavlaunch jre runtime lib aarch64 libzip so  unused DT entry: DT RPATH (type 0xf arg 0x8ff) (ignoring)_x000D_
WARNING: linker: Warning:   data data net kdt pojavlaunch jre runtime lib aarch64 libzip so  has unsupported flags DT FLAGS 1 0x81 (ignoring unsupported flags)_x000D_
I jrelog  (28970): dlopen  data user 0 net kdt pojavlaunch jre runtime lib aarch64 libzip so success_x000D_
WARNING: linker: Warning:  _x000D_
 data data net kdt pojavlaunch jre runtime lib aarch64 libdt socket so  unused DT entry: DT RPATH (type 0xf arg 0x1c1) (ignoring)_x000D_
WARNING: linker: Warning:   data data net kdt pojavlaunch jre runtime lib aarch64 libdt socket so  has unsupported flags DT FLAGS 1 0x81 (ignoring unsupported flags)_x000D_
I jrelog  (28970): dlopen  data user 0 net kdt pojavlaunch jre runtime lib aarch64 libnet so success_x000D_
I jrelog  (28970): dlopen  data user 0 net kdt pojavlaunch jre runtime lib aarch64 libdt socket so success_x000D_
WARNING: linker: Warning:   data data net kdt pojavlaunch jre runtime lib aarch64 libmanagement so  unused DT entry: DT RPATH (type _x000D_
0xf arg 0x1</t>
  </si>
  <si>
    <t>PojavLauncherTeam-PojavLauncher-1116</t>
  </si>
  <si>
    <t>[BUG] Crash on 1.12 and up</t>
  </si>
  <si>
    <t xml:space="preserve">    Describe the bug_x000D_
Launching Minecraft 1 12 and up causes it to crash with  Application Game exited with code 1 _x000D_
_x000D_
 Crash log (https:  cdn discordapp com attachments 825415495938998273 825416526319452260 latestlog txt)_x000D_
_x000D_
I have also dedicated 2GB RAM to it:   Xms768m  Xmx2048m _x000D_
    To Reproduce:_x000D_
1  Start PojavLauncher_x000D_
2  Launch any version that s 1 12 or above_x000D_
3  Crash_x000D_
_x000D_
    Expected behavior:_x000D_
No crash_x000D_
_x000D_
    Screenshots or videos:_x000D_
https:  cdn discordapp com attachments 825415495938998273 825415916283363368 Screenshot 2021 03 27 18 07 05 523 net kdt pojavlaunch jpg_x000D_
_x000D_
  Platform:  _x000D_
   Device Model: Xiaomi Redmi 9 Prime (4   64)_x000D_
   CPU architecture: aarch64_x000D_
   Android Version: Android 10   MIUI 12_x000D_
   PojavLauncher Version: Latest Release_x000D_
</t>
  </si>
  <si>
    <t>MuntashirAkon-AppManager-340</t>
  </si>
  <si>
    <t>Cannot install apps using AM Installer</t>
  </si>
  <si>
    <t xml:space="preserve">  Describe the bug  _x000D_
Every time I try to use the installer for installing an apk  the loading popup appears for a few seconds and then nothing happens  The install prompt never comes _x000D_
  To Reproduce  _x000D_
Steps to reproduce the behaviour:_x000D_
1  Go to apk file location_x000D_
2  Open apk with App Manager to install_x000D_
3  See error_x000D_
_x000D_
  Expected behavior  _x000D_
Prompt to install apk and eventually install it  _x000D_
_x000D_
  Screenshots  _x000D_
  Screenshot 20210327 235308 AM Pre release (https:  user images githubusercontent com 37732050 112730465 bbc35700 8f57 11eb 8f59 77ae892fb6aa png)_x000D_
  Screenshot 20210327 235325 MiXplorer (https:  user images githubusercontent com 37732050 112730468 bfef7480 8f57 11eb 8fbe dd2b0d26ed1c png)_x000D_
_x000D_
  Crash logs  _x000D_
If applicable  add crash logs to help us figure out the problem  _x000D_
 Log 2021 03 27 23 55 54 txt (https:  github com MuntashirAkon AppManager files 6216162 Log 2021 03 27 23 55 54 txt)_x000D_
_x000D_
  Device info  _x000D_
   Device: Lenovo Tab 4 X304L_x000D_
   OS Version: Lineage OS 16_x000D_
   App Manager Version: 2 5 24 pre release_x000D_
   Mode: root_x000D_
_x000D_
  Additional context  _x000D_
I opened the apk file from Mixplorer  _x000D_
_x000D_
</t>
  </si>
  <si>
    <t>nextcloud-android-8213</t>
  </si>
  <si>
    <t>Crash when editing shared file permissions</t>
  </si>
  <si>
    <t xml:space="preserve">Was editing a shared file s permissions  specifically removing the  can edit  property  This caused the application to show a busy spinner for app  30 seconds after which I changed to another application  When returning to NC the application had crashed _x000D_
_x000D_
I think there were network problems at the server  or some other still uninvestigated server issue  as I was not able to access NC through the webinterface or via iOS application after this _x000D_
_x000D_
Concurrently with this there were an iOS  upload camera roll  with app  1000 photos running  _x000D_
_x000D_
   _x000D_
             CAUSE OF ERROR             _x000D_
_x000D_
java lang RuntimeException: Unable to resume activity  com nextcloud client com owncloud android ui activity FileDisplayActivity : java lang RuntimeException: Accessing result data after operation failed _x000D_
	at android app ActivityThread performResumeActivity(ActivityThread java:4014)_x000D_
	at android app ActivityThread handleResumeActivity(ActivityThread java:4046)_x000D_
	at android app servertransaction ResumeActivityItem execute(ResumeActivityItem java:51)_x000D_
	at android app servertransaction TransactionExecutor executeLifecycleState(TransactionExecutor java:145)_x000D_
	at android app servertransaction TransactionExecutor execute(TransactionExecutor java:70)_x000D_
	at android app ActivityThread H handleMessage(ActivityThread java:1948)_x000D_
	at android os Handler dispatchMessage(Handler java:106)_x000D_
	at android os Looper loop(Looper java:214)_x000D_
	at android app ActivityThread main(ActivityThread java:7050)_x000D_
	at java lang reflect Method invoke(Native Method)_x000D_
	at com android internal os RuntimeInit MethodAndArgsCaller run(RuntimeInit java:494)_x000D_
	at com android internal os ZygoteInit main(ZygoteInit java:965)_x000D_
Caused by: java lang RuntimeException: Accessing result data after operation failed _x000D_
	at com owncloud android lib common operations RemoteOperationResult getData(RemoteOperationResult java:488)_x000D_
	at com owncloud android utils ErrorMessageAdapter getMessageForUpdateShareOperations(ErrorMessageAdapter java:204)_x000D_
	at com owncloud android utils ErrorMessageAdapter getMessageForResultAndOperation(ErrorMessageAdapter java:152)_x000D_
	at com owncloud android utils ErrorMessageAdapter getErrorCauseMessage(ErrorMessageAdapter java:79)_x000D_
	at com owncloud android ui activity FileActivity onRemoteOperationFinish(FileActivity java:384)_x000D_
	at com owncloud android ui activity FileDisplayActivity onRemoteOperationFinish(FileDisplayActivity java:1704)_x000D_
	at com owncloud android services OperationsService OperationsServiceBinder dispatchResultIfFinished(OperationsService java:353)_x000D_
	at com owncloud android ui activity FileActivity doOnResumeAndBound(FileActivity java:563)_x000D_
	at com owncloud android ui activity FileActivity onResume(FileActivity java:242)_x000D_
	at com owncloud android ui activity FileDisplayActivity onResume(FileDisplayActivity java:1146)_x000D_
	at android app Instrumentation callActivityOnResume(Instrumentation java:1412)_x000D_
	at android app Activity performResume(Activity java:7572)_x000D_
	at android app ActivityThread performResumeActivity(ActivityThread java:4006)_x000D_
	    11 more_x000D_
_x000D_
             APP INFORMATION             _x000D_
ID: com nextcloud client_x000D_
Version: 30150151_x000D_
Build flavor: generic_x000D_
_x000D_
             DEVICE INFORMATION             _x000D_
Brand: samsung_x000D_
Device: dreamlte_x000D_
Model: SM G950F_x000D_
Id: PPR1 180610 011_x000D_
Product: dreamltexx_x000D_
_x000D_
             FIRMWARE             _x000D_
SDK: 28_x000D_
Release: 9_x000D_
Incremental: G950FXXSBDUA3_x000D_
_x000D_
   </t>
  </si>
  <si>
    <t>TeamNewPipe-NewPipe-5923</t>
  </si>
  <si>
    <t xml:space="preserve">Loading circle and bar both appear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</si>
  <si>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21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what s new _x000D_
2  Press on  Feed last updated: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There is the loading circle and the loading bar _x000D_
_x000D_
_x000D_
    Expected behavior_x000D_
     Tell us what you expect to happen     _x000D_
Only the loading bar to show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20210327 123742 (https:  user images githubusercontent com 78709186 112721308 17132c00 8efb 11eb 916d da4a40c58eab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version:Android 10_x000D_
   Device model:Motorola moto g7 power _x000D_
</t>
  </si>
  <si>
    <t>getsentry-sentry-java-1357</t>
  </si>
  <si>
    <t>Applying immutable map in `SentryEvent#setExtras` causes `UnsupportedOperationException`</t>
  </si>
  <si>
    <t xml:space="preserve"> Platform: _x000D_
   x   Android    If yes  which Device API (and compileSdkVersion targetSdkVersion Build tools) version _x000D_
Device  API : 26_x000D_
 compileSdkVersion : 30_x000D_
 targetSdkVersion : 30_x000D_
 buildTools : applied by Android Gradle Plugin_x000D_
_x000D_
 IDE: _x000D_
   x   Android Studio    If yes  which version _x000D_
 4 2 beta 3  _x000D_
_x000D_
 Build system: _x000D_
   x   Gradle    If yes  which version _x000D_
 6 7 1 _x000D_
_x000D_
 Android Gradle Plugin: _x000D_
   x   Yes    If yes  which version _x000D_
 4 2 0 beta03 _x000D_
_x000D_
 Sentry Android Gradle Plugin: _x000D_
   x   No_x000D_
_x000D_
 Proguard R8: _x000D_
   x   Disabled_x000D_
_x000D_
 Platform installed with: _x000D_
   x  Maven Central_x000D_
_x000D_
The version of the SDK:_x000D_
  4 3 0  _x000D_
_x000D_
   _x000D_
I have the following issue:_x000D_
_x000D_
When applying extra data by  Sentry setExtra  and then applying extra data for a single event by  SentryEvent setExtras  with  immutable map  (from  Kotlin )  I m experiencing  UnsupportedOperationException  as SDK tries to edit the immutable map that is passed _x000D_
_x000D_
It crashes on the runtime as Java s method signatures will accept  immutable  Kotlin s map _x000D_
_x000D_
  Steps to reproduce:  _x000D_
I ve prepared  a reproduction repository (https:  github com wzieba SentryImmutableMapCrashRepro) _x000D_
_x000D_
To check it  please go to   SentryProxyTest  (https:  github com wzieba SentryImmutableMapCrashRepro blob main app src test java io github sentrymutablemaprepro SentryProxyTest kt)  Both of the use cases are tested there _x000D_
_x000D_
You can also check the results of those tests on CI _x000D_
 The test with mutable map passes (https:  github com wzieba SentryImmutableMapCrashRepro runs 2208270028 check suite focus true step:5:132) while test with immutable map  throws an exception (https:  github com wzieba SentryImmutableMapCrashRepro runs 2208270028 check suite focus true step:5:199)_x000D_
_x000D_
  Actual result:  _x000D_
When applying extra with  MutableMap  everything works fine  the exception is not thrown  When applying extra with  Map  (which is immutable)   UnsupportedOperationException  is thrown _x000D_
_x000D_
  Expected result:  _x000D_
Sentry SDK should accept both the  mutable  and  immutable  types  For  immutable  types  if editing is required  it should map a  Map  to  mutable  type _x000D_
_x000D_
   _x000D_
</t>
  </si>
  <si>
    <t>Anuken-Mindustry-5005</t>
  </si>
  <si>
    <t>can't spawn on multiplayer mode</t>
  </si>
  <si>
    <t xml:space="preserve">  Platform  : Windows_x000D_
_x000D_
  Build  : 126 1_x000D_
_x000D_
  Issue  :  i recently join my friend but i can t see where is my drone  my friend s drone and the enemy  i also can t build  it s like iam in pause mode but i can see my friend building something _x000D_
_x000D_
  Steps to reproduce  : after a long time ago i played with my friend then i come back to play it again then it happen _x000D_
_x000D_
  Link(s) to mod(s) used  :  _x000D_
_x000D_
  Save file  : _x000D_
 Uploading bruh zip  ()_x000D_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</si>
  <si>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Anuken-Mindustry-4999</t>
  </si>
  <si>
    <t>Maps in campaign do not update when they are changed in later updates and have been launched to before the update was applied</t>
  </si>
  <si>
    <t xml:space="preserve">  Platform  :  Android iOS Mac Windows Linux _x000D_
MacOS (Big Sur)_x000D_
  Build  :  The build number under the title in the main menu  Required   LATEST  IS NOT A VERSION  I NEED THE EXACT BUILD NUMBER OF YOUR GAME  _x000D_
126 1_x000D_
  Issue  :  Explain your issue in detail  _x000D_
When a sector is updated or changed in any way  the game doesn t update the map accordingly_x000D_
  Steps to reproduce  :  How you happened across the issue  and what exactly you did to make the bug happen  _x000D_
1  Download a beta v6 version of mindustry through itch io client_x000D_
2  Launch to sector 214 (At that version  it was an enemy base next to frozen forest)_x000D_
3  Update to latest version_x000D_
4  You would see that the enemy bases nearby haven t disappeared  they just have not been labeled as an enemy base on the planet (Because of this  I launched to what I thought was a easy sector and failed to capture this sector)_x000D_
  Link(s) to mod(s) used  :  The mod repositories or zip files that are related to the issue  if applicable  _x000D_
All mods were disabled  The mods were https:  github com deltanedas rtfm  https:  github com deltanedas dev mode and https:  github com DeltaNedas ui lib_x000D_
  Save file  :  The (zipped) save file you were playing on when the bug happened  THIS IS REQUIRED FOR ANY ISSUE HAPPENING IN GAME OR IN MULTIPLAYER  REGARDLESS OF WHETHER YOU THINK IT HAPPENS EVERYWHERE  DELETE OR OMIT THIS LINE UNLESS YOU ARE SURE THAT THE ISSUE HAPPENS IN GAME  IF YOU DO NOT HAVE A SAVE  DON T WASTE TIME OPENING THIS ISSUE  _x000D_
 campaign zip (https:  github com Anuken Mindustry files 6209411 campaign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Not needed_x000D_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X    This is issue 4999  which happens to be an issue with a prime number   _x000D_
</t>
  </si>
  <si>
    <t>indomie858-app-A-156</t>
  </si>
  <si>
    <t>[Bug] App crashes when clicking on a category, then backing out, then clicking category again</t>
  </si>
  <si>
    <t xml:space="preserve">Bug is more apparent on emulator  On phone  it was roughly 4 5 times going back and forth to crash it  Same error everytime_x000D_
_x000D_
   _x000D_
E AndroidRuntime: FATAL EXCEPTION: main_x000D_
    Process: com example appa  PID: 15181_x000D_
    java lang NullPointerException: Attempt to invoke virtual method  double android location Location getLatitude()  on a null object reference_x000D_
        at com example appa viewmodel PlaceViewModel setNearestEntrance(PlaceViewModel java:85)_x000D_
        at com example appa ui navigationlist PlaceAdapter setLocations(PlaceAdapter java:64)_x000D_
        at com example appa ui navigationlist NavigationListActivity 4 onChanged(NavigationListActivity java:255)_x000D_
        at com example appa ui navigationlist NavigationListActivity 4 onChanged(NavigationListActivity java:226)_x000D_
        at androidx lifecycle LiveData considerNotify(LiveData java:131)_x000D_
        at androidx lifecycle LiveData dispatchingValue(LiveData java:149)_x000D_
        at androidx lifecycle LiveData setValue(LiveData java:307)_x000D_
        at androidx lifecycle LiveData 1 run(LiveData java:91)_x000D_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t>
  </si>
  <si>
    <t>inaturalist-iNaturalistAndroid-1010</t>
  </si>
  <si>
    <t>TransactionTooLargeException in TaxonActivity.onMapClick</t>
  </si>
  <si>
    <t xml:space="preserve">https:  console firebase google com u 2 project inaturalist ios crashlytics app android:org inaturalist android issues be628d0a746d66c00f781608b69bc9ae_x000D_
_x000D_
   _x000D_
Caused by android os TransactionTooLargeException: data parcel size 1523216 bytes_x000D_
       at android os BinderProxy transactNative(BinderProxy java)_x000D_
       at android os BinderProxy transact(BinderProxy java:510)_x000D_
       at android app IActivityTaskManager Stub Proxy startActivity(IActivityTaskManager java:3847)_x000D_
       at android app Instrumentation execStartActivity(Instrumentation java:1714)_x000D_
       at android app Activity startActivityForResult(Activity java:5383)_x000D_
       at androidx fragment app FragmentActivity startActivityForResult(FragmentActivity java:676)_x000D_
       at android app Activity startActivityForResult(Activity java:5341)_x000D_
       at androidx fragment app FragmentActivity startActivityForResult(FragmentActivity java:663)_x000D_
       at android app Activity startActivity(Activity java:5712)_x000D_
       at android app Activity startActivity(Activity java:5680)_x000D_
       at org inaturalist android TaxonActivity 3 2 onMapClick(TaxonActivity java:719)_x000D_
   </t>
  </si>
  <si>
    <t>inaturalist-iNaturalistAndroid-1009</t>
  </si>
  <si>
    <t>NullPointerException in ExploreSearchFilters.orderBy</t>
  </si>
  <si>
    <t xml:space="preserve">https:  console firebase google com u 2 project inaturalist ios crashlytics app android:org inaturalist android issues 592e1fb5eaed9174b610793d2501dc7e_x000D_
_x000D_
   _x000D_
Fatal Exception: java lang NullPointerException: Attempt to write to field  java lang String org inaturalist android ExploreSearchFilters orderBy  on a null object reference_x000D_
       at org inaturalist android ExploreFiltersActivity 17 onItemSelected(ExploreFiltersActivity java:549)_x000D_
       at android widget AdapterView fireOnSelected(AdapterView java:944)_x000D_
       at android widget AdapterView dispatchOnItemSelected(AdapterView java:933)_x000D_
       at android widget AdapterView  wrap1(AdapterView java)_x000D_
       at android widget AdapterView SelectionNotifier run(AdapterView java:898)_x000D_
       at android os Handler handleCallback(Handler java:790)_x000D_
       at android os Handler dispatchMessage(Handler java:99)_x000D_
       at android os Looper loop(Looper java:192)_x000D_
       at android app ActivityThread main(ActivityThread java:6748)_x000D_
       at java lang reflect Method invoke(Method java)_x000D_
   </t>
  </si>
  <si>
    <t>inaturalist-iNaturalistAndroid-1008</t>
  </si>
  <si>
    <t>NullPointerException in TaxonSuggestionsActivity.onResume</t>
  </si>
  <si>
    <t xml:space="preserve">https:  console firebase google com u 2 project inaturalist ios crashlytics app android:org inaturalist android issues ddab5312d4fa8f4bd949c816a25cff55_x000D_
_x000D_
   _x000D_
Caused by java lang NullPointerException: Attempt to invoke virtual method  int java lang String length()  on a null object reference_x000D_
       at org json JSONTokener nextCleanInternal(JSONTokener java:116)_x000D_
       at org json JSONTokener nextValue(JSONTokener java:94)_x000D_
       at org json JSONObject  init (JSONObject java:159)_x000D_
       at org json JSONObject  init (JSONObject java:176)_x000D_
       at org inaturalist android BetterJSONObject  init (BetterJSONObject java:41)_x000D_
       at org inaturalist android TaxonSuggestionsActivity onResume(TaxonSuggestionsActivity java:507)_x000D_
       at android app Instrumentation callActivityOnResume(Instrumentation java:1364)_x000D_
       at android app Activity performResume(Activity java:7490)_x000D_
   </t>
  </si>
  <si>
    <t>inaturalist-iNaturalistAndroid-1007</t>
  </si>
  <si>
    <t>NullPointerException in ObservationListActivity.markAllObservationsAsRead</t>
  </si>
  <si>
    <t xml:space="preserve">https:  console firebase google com u 2 project inaturalist ios crashlytics app android:org inaturalist android issues 107be4d59f0be9d1fa047fa295bb646f_x000D_
_x000D_
   _x000D_
Fatal Exception: java lang NullPointerException: Attempt to invoke virtual method  int java lang Integer intValue()  on a null object reference_x000D_
       at org inaturalist android ObservationListActivity markAllObservationsAsRead(ObservationListActivity java:1096)_x000D_
       at org inaturalist android ObservationListActivity onOptionsItemSelected(ObservationListActivity java:1066)_x000D_
       at android app Activity onMenuItemSelected(Activity java:4269)_x000D_
       at androidx fragment app FragmentActivity onMenuItemSelected(FragmentActivity java:384)_x000D_
       at androidx appcompat app AppCompatActivity onMenuItemSelected(AppCompatActivity java:219)_x000D_
       at androidx appcompat view WindowCallbackWrapper onMenuItemSelected(WindowCallbackWrapper java:109)_x000D_
       at androidx appcompat app AppCompatDelegateImpl onMenuItemSelected(AppCompatDelegateImpl java:1030)_x000D_
       at androidx appcompat view menu MenuBuilder dispatchMenuItemSelected(MenuBuilder java:840)_x000D_
       at androidx appcompat view menu MenuItemImpl invoke(MenuItemImpl java:158)_x000D_
       at androidx appcompat view menu MenuBuilder performItemAction(MenuBuilder java:991)_x000D_
       at androidx appcompat view menu MenuPopup onItemClick(MenuPopup java:128)_x000D_
   </t>
  </si>
  <si>
    <t>inaturalist-iNaturalistAndroid-1006</t>
  </si>
  <si>
    <t>Prevent crashes from encoding problems in the User-Agent</t>
  </si>
  <si>
    <t xml:space="preserve">https:  console firebase google com u 2 project inaturalist ios crashlytics app android:org inaturalist android issues d38ad06808bc678f77814c421b758aef_x000D_
_x000D_
Not even sure this is something we  can  fix  but I figured I d note it _x000D_
_x000D_
   _x000D_
Caused by java lang IllegalArgumentException: Unexpected char 0x2122 at 60 in User Agent value: iNaturalist 1 21 13 (Build 480  Android 4 14 223 QuicksilveR  v2 5 aa5017fb 6454  SDK 30  willow Redmi Note 8T willow  OS Version 11)_x000D_
       at okhttp3 Headers checkValue(Headers java:284)_x000D_
       at okhttp3 Headers Builder add(Headers java:324)_x000D_
       at okhttp3 Request Builder addHeader(Request java:196)_x000D_
       at org inaturalist android INaturalistService verifyCredentials(INaturalistService java:6323)_x000D_
       at org inaturalist android SignInTask doInBackground(SignInTask java:161)_x000D_
       at org inaturalist android SignInTask doInBackground(SignInTask java:38)_x000D_
   </t>
  </si>
  <si>
    <t>Anuken-Mindustry-4992</t>
  </si>
  <si>
    <t>Giving a unit multiple ForceFieldAbility s causes issues.</t>
  </si>
  <si>
    <t xml:space="preserve">  Platform  :  Android iOS Mac Windows Linux _x000D_
_x000D_
Windows_x000D_
_x000D_
  Build  :  The build number under the title in the main menu  Required   LATEST  IS NOT A VERSION  I NEED THE EXACT BUILD NUMBER OF YOUR GAME  _x000D_
_x000D_
126 1_x000D_
_x000D_
  Issue  :  Explain your issue in detail  _x000D_
_x000D_
Giving a unit multiple ForceFieldAbilities will make the shields regenerate at the same time  regardless of different cooldown times _x000D_
_x000D_
  Steps to reproduce  :  How you happened across the issue  and what exactly you did to make the bug happen  _x000D_
_x000D_
Open Mindustry  add multiple ForceFieldAbilities with different cooldowns to a unit  and have enemy turrets fire at you  When your shield regenerates  instead of just the one with the shortest cooldown regenerating  all of them regenerate  Example code:  UnitTypes gamma abilities add(new ForceFieldAbility(10  1  1000  60 5))   UnitTypes gamma abilities add(new ForceFieldAbility(50  1  1000  60 20))   UnitTypes gamma health   Infinity _x000D_
_x000D_
  Link(s) to mod(s) used  :  The mod repositories or zip files that are related to the issue  if applicable  _x000D_
_x000D_
Not applicable  this issue happens with vanilla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_x000D_
 savefile zip (https:  github com Anuken Mindustry files 6205688 savefile zip)_x000D_
(Latest saved custom game)_x000D_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</si>
  <si>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MuntashirAkon-AppManager-338</t>
  </si>
  <si>
    <t>Am crash on viewing yesterday usage(special case)</t>
  </si>
  <si>
    <t xml:space="preserve">Am debug 1056 crashes when you try to view yesterday app usage when you flashed custom rom today(when yesterday data is not found missing) _x000D_
_x000D_
Steps to reproduce the behaviour:_x000D_
1  Go to Am_x000D_
2  Click on three dots and then app usage _x000D_
3  Click on today and select yesterday_x000D_
4  See error_x000D_
_x000D_
Expected behavior_x000D_
Add no data found or something instead of crash_x000D_
_x000D_
Crash log_x000D_
 New file txt (https:  github com MuntashirAkon AppManager files 6204430 New file txt)_x000D_
_x000D_
Screenrecord: _x000D_
_x000D_
https:  user images githubusercontent com 75420364 112470068 39d50180 8d90 11eb 9c97 4b1729f1e1d2 mp4_x000D_
_x000D_
Device info_x000D_
   Device: Poco m2 pro_x000D_
   OS Version: Arrow OS android 11_x000D_
   App Manager Version: am debug 2 6 0  1056_x000D_
   Mode: root_x000D_
</t>
  </si>
  <si>
    <t>SDP-group22-Helio-app-166</t>
  </si>
  <si>
    <t>Fix motor state polling crash</t>
  </si>
  <si>
    <t xml:space="preserve">It works on local hub  but when with hub on DICE it crashes when opening blinds settings </t>
  </si>
  <si>
    <t>nextcloud-android-8208</t>
  </si>
  <si>
    <t>Phone got hot but nextcloud did nothing, then crashed.</t>
  </si>
  <si>
    <t xml:space="preserve">    Steps to reproduce_x000D_
1  Login to new nextcload setup_x000D_
2  Set folders with 20 000 photos to auto sync_x000D_
3  Wait_x000D_
_x000D_
    Expected behaviour_x000D_
  Tell us what should happen_x000D_
Files should have began getting uploaded  I checked there were no settings prrventing it multiple times_x000D_
_x000D_
    Actual behaviour_x000D_
  Tell us what happens_x000D_
Nothing  the phone gets really hot  a few other apps crashed while trying to use them  About an hour later nextcloud crashed and the phone cooled down_x000D_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11_x000D_
_x000D_
Device model: galaxy note 10 _x000D_
_x000D_
Stock or customized system: stock_x000D_
_x000D_
Nextcloud app version: 3 15 1_x000D_
_x000D_
Nextcloud server version: 21 0 0_x000D_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</si>
  <si>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square-okhttp-6605</t>
  </si>
  <si>
    <t>NoClassDefFoundError when trying to instantiate MockWebServer</t>
  </si>
  <si>
    <t xml:space="preserve">When attempting to use Retrofit and MockWebServer in my project  I get the following exception when initializing a MockWebServer object in my unit tests  When it is initialized    crash_x000D_
 java lang NoSuchMethodError: okhttp3 internal Internal initializeInstanceForTests()V_x000D_
_x000D_
	at okhttp3 mockwebserver MockWebServer  clinit (MockWebServer java:105)_x000D_
	at kineita code challenge repository FeedRepositoryUnitTest  init (FeedRepositoryUnitTest kt:46)_x000D_
	at sun reflect NativeConstructorAccessorImpl newInstance0(Native Method)_x000D_
	at sun reflect NativeConstructorAccessorImpl newInstance(NativeConstructorAccessorImpl java:62)_x000D_
	at sun reflect DelegatingConstructorAccessorImpl newInstance(DelegatingConstructorAccessorImpl java:45)_x000D_
	at java lang reflect Constructor newInstance(Constructor java:423)_x000D_
	at org junit runners BlockJUnit4ClassRunner createTest(BlockJUnit4ClassRunner java:250)_x000D_
	at org junit runners BlockJUnit4ClassRunner createTest(BlockJUnit4ClassRunner java:260)_x000D_
	at org junit runners BlockJUnit4ClassRunner 2 runReflectiveCall(BlockJUnit4ClassRunner java:309)_x000D_
	at org junit internal runners model ReflectiveCallable run(ReflectiveCallable java:12)_x000D_
	at org junit runners BlockJUnit4ClassRunner methodBlock(BlockJUnit4ClassRunner java:306)_x000D_
	at org junit runners BlockJUnit4ClassRunner 1 evaluate(BlockJUnit4ClassRunner java:100)_x000D_
	at org junit runners ParentRunner runLeaf(ParentRunner java:366)_x000D_
	at org junit runners BlockJUnit4ClassRunner runChild(BlockJUnit4ClassRunner java:103)_x000D_
	at org junit runners BlockJUnit4ClassRunner runChild(BlockJUnit4ClassRunner java:63)_x000D_
	at org junit runners ParentRunner 4 run(ParentRunner java:331)_x000D_
	at org junit runners ParentRunner 1 schedule(ParentRunner java:79)_x000D_
	at org junit runners ParentRunner runChildren(ParentRunner java:329)_x000D_
	at org junit runners ParentRunner access 100(ParentRunner java:66)_x000D_
	at org junit runners ParentRunner 2 evaluate(ParentRunner java:293)_x000D_
	at org junit runners ParentRunner 3 evaluate(ParentRunner java:306)_x000D_
	at org junit runners ParentRunner run(ParentRunner java:413)_x000D_
	at org mockito internal runners DefaultInternalRunner 1 run(DefaultInternalRunner java:99)_x000D_
	at org mockito internal runners DefaultInternalRunner run(DefaultInternalRunner java:105)_x000D_
	at org mockito internal runners StrictRunner run(StrictRunner java:40)_x000D_
	at org mockito junit MockitoJUnitRunner run(MockitoJUnitRunner java:163)_x000D_
	at org junit runners Suite runChild(Suite java:128)_x000D_
	at org junit runners Suite runChild(Suite java:27)_x000D_
	at org junit runners ParentRunner 4 run(ParentRunner java:331)_x000D_
	at org junit runners ParentRunner 1 schedule(ParentRunner java:79)_x000D_
	at org junit runners ParentRunner runChildren(ParentRunner java:329)_x000D_
	at org junit runners ParentRunner access 100(ParentRunner java:66)_x000D_
	at org junit runners ParentRunner 2 evaluate(ParentRunner java:293)_x000D_
	at org junit runners ParentRunner 3 evaluate(ParentRunner java:306)_x000D_
	at org junit runners ParentRunner run(ParentRunner java:413)_x000D_
	at org junit runner JUnitCore run(JUnitCore java:137)_x000D_
	at com intellij junit4 JUnit4IdeaTestRunner startRunnerWithArgs(JUnit4IdeaTestRunner java:68)_x000D_
	at com intellij rt junit IdeaTestRunner Repeater startRunnerWithArgs(IdeaTestRunner java:33)_x000D_
	at com intellij rt junit JUnitStarter prepareStreamsAndStart(JUnitStarter java:230)_x000D_
	at com intellij rt junit JUnitStarter main(JUnitStarter java:58) _x000D_
I checked same version in okhttps and MockWebServer  please check my gradle:_x000D_
 implementation  org jetbrains kotlin:kotlin stdlib: kotlin version _x000D_
    implementation  androidx core:core ktx:1 3 2 _x000D_
    implementation  androidx appcompat:appcompat:1 2 0 _x000D_
    implementation  com google android material:material:1 3 0 _x000D_
    implementation  androidx constraintlayout:constraintlayout:2 0 4 _x000D_
_x000D_
    implementation  com squareup picasso:picasso:2 71828 _x000D_
_x000D_
    implementation  com github bumptech glide:glide:4 12 0 _x000D_
    annotationProcessor  com github bumptech glide:compiler:4 12 0 _x000D_
_x000D_
    implementation  com squareup retrofit2:retrofit:2 9 0 _x000D_
    implementation  com squareup retrofit2:converter gson:2 7 1 _x000D_
    implementation  com squareup okhttp3:logging interceptor:4 2 1 _x000D_
_x000D_
       Koin for Kotlin_x000D_
    implementation  org koin:koin core: koin version _x000D_
       Koin AndroidX Scope features_x000D_
    implementation  org koin:koin androidx scope: koin version _x000D_
       Koin AndroidX ViewModel features_x000D_
    implementation  org koin:koin androidx viewmodel: koin version _x000D_
       Koin AndroidX Fragment features_x000D_
    implementation  org koin:koin androidx fragment: koin version _x000D_
       Koin AndroidX WorkManager_x000D_
    implementation  org koin:koin androidx workmanager: koin version _x000D_
       Koin AndroidX Jetpack Compose_x000D_
    implementation  org koin:koin androidx compose: koin version _x000D_
_x000D_
    testImplementation  junit:junit:4 13 2 _x000D_
    androidTestImplementation  androidx test ext:junit:1 1 2 _x000D_
    androidTestImplementation  androidx test espresso:espresso core:3 3 0 _x000D_
    androidTestImplementation  org koin:koin test:2 2 2 _x000D_
    androidTestImplementation  org mockito:mockito android:2 22 0 _x000D_
    androidTestImplementation  org mockito:mockito core:3 5 9 _x000D_
    androidTestImplementation  org mockito:mockito inline:2 28 2 _x000D_
    testImplementation  org mockito:mockito core:3 5 9 _x000D_
    testImplementation  androidx arch core:core testing:2 1 0 _x000D_
    testImplementation  org jetbrains kotlinx:kotlinx coroutines test:1 3 4 _x000D_
    testImplementation  org koin:koin test: koin version _x000D_
    testImplementation  com squareup okhttp3:mockwebserver:3 14 9 _x000D_
    androidTestImplementation  com squareup okhttp3:mockwebserver:3 14 9  </t>
  </si>
  <si>
    <t>Blankj-AndroidUtilCode-1473</t>
  </si>
  <si>
    <t>系统8.0版本的PermissionConstants.LOCATION中的"ACCESS_BACKGROUND_LOCATION"会直接被拒绝</t>
  </si>
  <si>
    <t xml:space="preserve">      Bug_x000D_
_x000D_
       Bug _x000D_
  _x000D_
  AndroidUtilCode             utilcode:1 16 3   utilcodex:1 16 3                     _x000D_
     Bug               Nexus 5X    _x000D_
      Android            API 27    _x000D_
_x000D_
       _x000D_
_x000D_
       _x000D_
   java_x000D_
CrashUtils init() _x000D_
   _x000D_
   _x000D_
   _x000D_
put your code here_x000D_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_x000D_
_x000D_
                    _x000D_
_x000D_
_x000D_
              _x000D_
_x000D_
      AndroidUtilCode (https:  github com Blankj AndroidUtilCode) _x000D_
</t>
  </si>
  <si>
    <t>doublesymmetry-react-native-track-player-1149</t>
  </si>
  <si>
    <t>crash exception java.lang.NullPointerException</t>
  </si>
  <si>
    <t>I found crash in devices samsung  oppo with tracking log:_x000D_
Crash Location Class: com guichaguri trackplayer module MusicModule_x000D_
Crash Location File: MusicModule java_x000D_
Crash Location Line Number: 1 _x000D_
Message crash: Crash  Attempt to invoke virtual method  com guichaguri trackplayer service g a com guichaguri trackplayer service b b()  on a null object reference _x000D_
_x000D_
Any suggest for me  thanks</t>
  </si>
  <si>
    <t>TeamNewPipe-NewPipe-5901</t>
  </si>
  <si>
    <t>Wrong title on "minimized" video (note: steps to reduce section isn't adding my steps; can't edit or add a comment with my browser; 1. play vid w autoplay on, 2. let next vid begin, 3. hit back to browse other vids)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</si>
  <si>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a video and play it with autoplay on_x000D_
2  Allow it to autoplay the next video_x000D_
3  Hit back so you can browse other videos while the current one is still playing_x000D_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title is the first video you clicked_x000D_
_x000D_
_x000D_
    Expected behavior_x000D_
     Tell us what you expect to happen     _x000D_
The title should be the one that is currently playing_x000D_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My browser isn t supported or I would add screenshots_x000D_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stock Android 8 0_x000D_
   Device model: Samsung Galaxy S7 Edge_x000D_
</t>
  </si>
  <si>
    <t>TeamNewPipe-NewPipe-5900</t>
  </si>
  <si>
    <t>"Trending" no longer loads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</si>
  <si>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NewPipe_x000D_
2  Navigate to the Trending tab_x000D_
3  Wait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No videos ever load (this just started happening yesterday)_x000D_
_x000D_
_x000D_
    Expected behavior_x000D_
     Tell us what you expect to happen     _x000D_
Trending videos should load_x000D_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stock Android 8 0_x000D_
   Device model: Samsung Galaxy S7 Edge_x000D_
</t>
  </si>
  <si>
    <t>TeamNewPipe-NewPipe-5895</t>
  </si>
  <si>
    <t>Trending page stuck on loading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</si>
  <si>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Go to trending Page_x000D_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Trending Page gets stuck loading forever _x000D_
Personal feed and videos load normal _x000D_
_x000D_
_x000D_
    Expected behavior_x000D_
     Tell us what you expect to happen     _x000D_
Loading Trending videos_x000D_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 March Update_x000D_
   Device model: Xiaomi Mi A3_x000D_
   Newpipe Version: 0 20 11_x000D_
  Screenshot 20210324 071840 (https:  user images githubusercontent com 81283562 112265255 80343e80 8c72 11eb 95f7 6428ebb2e3a4 png)_x000D_
_x000D_
</t>
  </si>
  <si>
    <t>prebid-prebid-mobile-android-247</t>
  </si>
  <si>
    <t>NullPointerException in PrebidServerAdapter.java line 68</t>
  </si>
  <si>
    <t xml:space="preserve">  Describe the bug  _x000D_
NullPointerException in PrebidServerAdapter java line 68_x000D_
_x000D_
  To Reproduce  _x000D_
Steps to reproduce the behavior:_x000D_
Unfortunately we don t have the steps to reproduce the issue  only the crashlog from crashlytics  The issue occurs when updating to  Prebid SDK version 1 10 (https:  github com prebid prebid mobile android releases tag 1 10) _x000D_
_x000D_
  Expected behavior  _x000D_
The app does not crash_x000D_
_x000D_
  Smartphone (please complete the following information):  _x000D_
DEVICE 1:_x000D_
  Brand: HUAWEI_x000D_
  Model: Huawei P30_x000D_
  Orientation: Portrait_x000D_
  RAM free: 1 92 GB_x000D_
  Disk free: 65 99 GB_x000D_
  OS version: Android 10_x000D_
_x000D_
DEVICE 2:_x000D_
  Brand: samsung_x000D_
  Model: Galaxy S9_x000D_
  Orientation: Portrait_x000D_
  RAM free: 919 2 MB_x000D_
  Disk free: 34 55 GB_x000D_
  OS version: Android 10_x000D_
_x000D_
  Additional context  _x000D_
   _x000D_
Fatal Exception: java lang NullPointerException: Attempt to invoke virtual method  java lang String org prebid mobile PrebidServerAdapter ServerConnector getAuctionId()  on a null object reference_x000D_
       at org prebid mobile PrebidServerAdapter stopRequest(PrebidServerAdapter java:68)_x000D_
       at org prebid mobile DemandFetcher RequestRunnable cancelRequest(DemandFetcher java:167)_x000D_
       at org prebid mobile DemandFetcher destroy(DemandFetcher java:120)_x000D_
       at org prebid mobile DemandFetcher 1 run(DemandFetcher java:145)_x000D_
       at android os Handler handleCallback(Handler java:883)_x000D_
       at android os Handler dispatchMessage(Handler java:100)_x000D_
       at android os Looper loop(Looper java:237)_x000D_
       at android app ActivityThread main(ActivityThread java:8125)_x000D_
       at java lang reflect Method invoke(Method java)_x000D_
       at com android internal os RuntimeInit MethodAndArgsCaller run(RuntimeInit java:496)_x000D_
       at com android internal os ZygoteInit main(ZygoteInit java:1100)_x000D_
   _x000D_
</t>
  </si>
  <si>
    <t>prebid-prebid-mobile-android-246</t>
  </si>
  <si>
    <t>ConcurrentModificationException in PrebidServerAdapter.java line 67</t>
  </si>
  <si>
    <t xml:space="preserve">  Describe the bug  _x000D_
ConcurrentModificationException in PrebidServerAdapter java line 67_x000D_
_x000D_
  To Reproduce  _x000D_
Steps to reproduce the behavior:_x000D_
Unfortunately we don t have the steps to reproduce the issue  only the crashlog from crashlytics  The issue occurs when updating to  Prebid SDK version 1 10 (https:  github com prebid prebid mobile android releases tag 1 10) _x000D_
_x000D_
  Expected behavior  _x000D_
The app does not crash_x000D_
_x000D_
  Smartphone (please complete the following information):  _x000D_
DEVICE 1:_x000D_
  Brand: HUAWEI_x000D_
  Model: HUAWEI P smart 2019_x000D_
  Orientation: Portrait_x000D_
  RAM free: 600 56 MB_x000D_
  Disk free: 14 72 GB_x000D_
  OS version: Android 10_x000D_
_x000D_
DEVICE 2:_x000D_
  Brand: samsung_x000D_
  Model: Galaxy J4 _x000D_
  Orientation: Portrait_x000D_
  RAM free: 437 4 MB_x000D_
  Disk free: 7 65 GB_x000D_
  OS version: Android 9_x000D_
_x000D_
  Additional context  _x000D_
   _x000D_
Fatal Exception: java util ConcurrentModificationException_x000D_
       at java util ArrayList Itr next(ArrayList java:860)_x000D_
       at org prebid mobile PrebidServerAdapter stopRequest(PrebidServerAdapter java:67)_x000D_
       at org prebid mobile DemandFetcher RequestRunnable cancelRequest(DemandFetcher java:167)_x000D_
       at org prebid mobile DemandFetcher destroy(DemandFetcher java:120)_x000D_
       at org prebid mobile DemandFetcher 1 run(DemandFetcher java:145)_x000D_
       at android os Handler handleCallback(Handler java:873)_x000D_
       at android os Handler dispatchMessage(Handler java:99)_x000D_
       at android os Looper loop(Looper java:214)_x000D_
       at android app ActivityThread main(ActivityThread java:7094)_x000D_
       at java lang reflect Method invoke(Method java)_x000D_
       at com android internal os RuntimeInit MethodAndArgsCaller run(RuntimeInit java:494)_x000D_
       at com android internal os ZygoteInit main(ZygoteInit java:975)_x000D_
   _x000D_
</t>
  </si>
  <si>
    <t>SeulGeek-FoodForYou-63</t>
  </si>
  <si>
    <t>[BUG] java.lang.IndexOutOfBoundsException: Index: 0, Size: 0</t>
  </si>
  <si>
    <t xml:space="preserve">  process: When user install the app at first time and then click the main category  there is crash  _x000D_
  image (https:  user images githubusercontent com 64777031 112158972 04170800 8c2c 11eb 9ab1 2ae0c596d580 png)_x000D_
_x000D_
  reason: If network is slow  the API data receives late _x000D_
  os version: android 9 (API level 28)_x000D_
  test device: Nexus 5_x000D_
_x000D_
    solution : handling IndexOutOfBoundsException</t>
  </si>
  <si>
    <t>openid-AppAuth-Android-678</t>
  </si>
  <si>
    <t xml:space="preserve"> ActivityNotFoundException in AuthorizationService Class</t>
  </si>
  <si>
    <t xml:space="preserve">     Thank your for your input  Before you submit your issue  please make sure you followed our checklist and check the appropriate boxes by putting an x in the    :  x     _x000D_
_x000D_
    Checklist:_x000D_
_x000D_
      I am using the latest release_x000D_
   x  I searched for  existing GitHub issues (https:  github com openid AppAuth Android issues)_x000D_
   x  I read the  documentation (https:  github com openid AppAuth Android blob master README md)_x000D_
   x  I verified the client configuration matches the information in the identity provider (or I am using dynamic client registration)_x000D_
   x  I am either using a custom URI scheme or  https  with (App Links) https:  developer android com training app links  for client redirect _x000D_
      I can reproduce the issue in the demo app (optional)_x000D_
_x000D_
    Configuration_x000D_
  Version: 0 7 1_x000D_
  Integration: native(Java Kotlin)_x000D_
  Identity provider: Google_x000D_
_x000D_
    Issue Description_x000D_
     Please include what s happening  expected behavior  and any relevant code samples    _x000D_
We are using aapauth library version 0 7 1 for Google signin support  We have seen few crashes in appauth library _x000D_
Below is the Crashlytics log from user _x000D_
 _x000D_
Fatal Exception: android content ActivityNotFoundException_x000D_
       at net openid appauth AuthorizationService prepareAuthorizationRequestIntent(AuthorizationService java:372)_x000D_
       at net openid appauth AuthorizationService performAuthorizationRequest(AuthorizationService java:232)_x000D_
       at net openid appauth AuthorizationService performAuthorizationRequest(AuthorizationService java:174)_x000D_
       at com janrain android engage OpenIDAppAuthGoogle makeAuthRequest(OpenIDAppAuthGoogle java:162)_x000D_
       at com janrain android engage OpenIDAppAuthGoogle access 000(OpenIDAppAuthGoogle java:62)_x000D_
       at com janrain android engage OpenIDAppAuthGoogle 1 onFetchConfigurationCompleted(OpenIDAppAuthGoogle java:120)_x000D_
       at net openid appauth AuthorizationServiceConfiguration ConfigurationRetrievalAsyncTask onPostExecute(AuthorizationServiceConfiguration java:364)_x000D_
       at net openid appauth AuthorizationServiceConfiguration ConfigurationRetrievalAsyncTask onPostExecute(AuthorizationServiceConfiguration java:305)_x000D_
       at android os AsyncTask finish(AsyncTask java:695)_x000D_
       at android os AsyncTask access 600(AsyncTask java:180)_x000D_
       at android os AsyncTask InternalHandler handleMessage(AsyncTask java:712)_x000D_
       at android os Handler dispatchMessage(Handler java:106)_x000D_
       at android os Looper loop(Looper java:193)_x000D_
       at android app ActivityThread main(ActivityThread java:6863)_x000D_
       at java lang reflect Method invoke(Method java)_x000D_
       at com android internal os RuntimeInit MethodAndArgsCaller run(RuntimeInit java:537)_x000D_
       at com android internal os ZygoteInit main(ZygoteInit java:858)</t>
  </si>
  <si>
    <t>gsantner-markor-1292</t>
  </si>
  <si>
    <t>todo.txt: Browse tags/projects does not show up onLongClick</t>
  </si>
  <si>
    <t xml:space="preserve">     General information_x000D_
_x000D_
    latest version of markor   _x000D_
    System:   _x000D_
  Android 11 on Samsung Galaxy Note 9_x000D_
  German language_x000D_
  Nova Launcher Prime_x000D_
_x000D_
     Description_x000D_
_x000D_
When long clicking on the  tags ( )  button in my todo txt file the add function changes to filtering to filter all tags starting with an     _x000D_
_x000D_
This should be possible with the  project  button to give an overview of the tasks of all projects (e  g    something ) _x000D_
_x000D_
Bug or feature _x000D_
_x000D_
_x000D_
     Log_x000D_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blog 2018 03 19 android contribution guide html packageid net gsantner markor project markor web https:  github com gsantner markor logcat_x000D_
   _x000D_
</t>
  </si>
  <si>
    <t>PojavLauncherTeam-PojavLauncher-1099</t>
  </si>
  <si>
    <t xml:space="preserve">[BUG] Crash on login </t>
  </si>
  <si>
    <t xml:space="preserve">    Describe the bug_x000D_
I ve downloaded Pojav Launcher for the first time  I ve launched MC 1 12 2 and everything was working  but when I quit the app it s was impossible to reconnect  the app crash everytime I click on play  I ve tried to reinstall Pojav Launcher and everytime the first time work perfectly  but after I quit the app  I crash when I login_x000D_
Moreover there is no log txt or latestlog txt and I have activated the option to see masked files _x000D_
_x000D_
    To Reproduce:_x000D_
_x000D_
1  Install PojavLauncher_x000D_
2  Start PojavLauncher_x000D_
3  Quit PojavLauncher_x000D_
4  Start PojavLauncher again_x000D_
_x000D_
    Expected behavior:_x000D_
I expected to log in the launcher _x000D_
_x000D_
_x000D_
  Platform:  _x000D_
   Device Model  Xiaomi Blackshark 1  8GB _x000D_
   CPU architecture  aarch64  _x000D_
   Android Version  9 _x000D_
   PojavLauncher Version   Latest Release    version 3 3 1 1 rel 20210206  _x000D_
_x000D_
_x000D_
_x000D_
</t>
  </si>
  <si>
    <t>smartdevicelink-sdl_java_suite-1642</t>
  </si>
  <si>
    <t>Multiframe encryption is not implemented correctly</t>
  </si>
  <si>
    <t xml:space="preserve">    Bug Report_x000D_
_x000D_
     MultiFrame Issues_x000D_
_x000D_
There is currently a discrepancy between how multi frame packets are encrypted and decrypted  It appears that at least the Java Suite and Core do them in opposite ways  For reference the two methods are Packet Payload Encryption vs Frame Payload Encryption  _x000D_
_x000D_
      Packet Payload_x000D_
_x000D_
This method encrypts the entire payload of a packet first  then it chunks up that payload into multiple frames  This requires the receiver to buffer the entire payload of the large packet from all of the multi frames before it decrypts anything  This leads to the issue that no block should be larger than the max TLS size  however if multi frames are being sent it can be guaranteed that the encrypted payload would be larger than that  _x000D_
_x000D_
      Frame Payload_x000D_
_x000D_
This method takes the large packet and chunks it up first using the TLS max block size  Then each frame has its payload encrypted individually  This request the receiver to decrypt the data prior to adding it to a buffer to rebuild the larger packet s complete payload _x000D_
_x000D_
     Multi Frame fails on Java Suite_x000D_
_x000D_
The current library assumes that the data size received in the first frame describes the entire payload of what is to come  However this is with the assumption that it is supposed to perform Packet Payload encryption so it buffers the entire multi frame message prior to decrypting  SDL Core is using Frame Payload encryption though and the data size included in the first frame describes the total number of decrypted bytes to buffer _x000D_
_x000D_
  EncryptionMethods (https:  user images githubusercontent com 6579474 112058553 1ceec300 8b31 11eb 90b2 1c6b5627ddce png)_x000D_
_x000D_
_x000D_
     First Frame incorrect encryption flag_x000D_
According to the protocol spec the first frame s payload must  always  be 8 bytes and therefore can t be encrypted  The library currently marks the packet as encrypted but does not actually encrypt the payload  _x000D_
_x000D_
     Incorrect Single Frame Encryption_x000D_
_x000D_
The Java Suite will allow any packet that is less than the MTU size through as a single frame  This includes attempting to encrypt the payload of that same size  However  the max TLS record is usually much less than that of the MTU  This causes the encryption library to crash because it can t encrypt that much data  Even if the encryption library handled it  the java suite library only reads out the max TLS record size of bytes so anything larger than that will be lost _x000D_
_x000D_
The Java suite will encrypt up to the  16k number of bytes correctly  but anything over that will crash the app _x000D_
_x000D_
      Reproduction Steps_x000D_
_x000D_
       Receiving_x000D_
  Start the RPC service with encryption enabled _x000D_
  Have Core send an encrypted  OnSystemRequest _x000D_
  Library crashes_x000D_
_x000D_
       Sending_x000D_
  Start the RPC service with encryption enabled _x000D_
  Send an  PutFile  with a size  16k_x000D_
  Notice the library fails_x000D_
_x000D_
      Expected Behavior_x000D_
_x000D_
Encrypted RPCs are sent and received correctly regardless of if they are single or multi frame _x000D_
_x000D_
      Observed Behavior_x000D_
RPCs are not sent  library crashes etc _x000D_
_x000D_
</t>
  </si>
  <si>
    <t>Anuken-Mindustry-4975</t>
  </si>
  <si>
    <t>Crash when trying to use Angles.randLenVectors in an effect</t>
  </si>
  <si>
    <t xml:space="preserve">  Platform  : Windows 10_x000D_
_x000D_
  Build  : 126 1_x000D_
_x000D_
  Issue  : The game crashes when using  randLenVectors  in an effect_x000D_
_x000D_
  Steps to reproduce  :_x000D_
1  Make any mod with an effect that uses  randLenVectors  (or download the one i provided below)_x000D_
2  Trigger the effect in game_x000D_
_x000D_
  The mod and the save file  :  mod save zip (https:  github com Anuken Mindustry files 6185229 mod 2Bsave zip) (shoot with a duo to trigger the effect)_x000D_
_x000D_
  (Crash) logs  :  crashlog txt (https:  github com Anuken Mindustry files 6185232 crashlog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</si>
  <si>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barbeau-gpstest-492</t>
  </si>
  <si>
    <t>Remove legacy GpsStatus listener</t>
  </si>
  <si>
    <t xml:space="preserve">  Describe the bug  _x000D_
Reported 23 times in the Google Play Developer Console over the last 30 days:_x000D_
_x000D_
   _x000D_
java lang ArrayIndexOutOfBoundsException: _x000D_
  at com android gpstest view GpsSkyView setSats (GpsSkyView java:316)_x000D_
  at com android gpstest GpsSkyFragment onGpsStatusChanged (GpsSkyFragment java:189)_x000D_
  at com android gpstest GpsTestActivity 4 onGpsStatusChanged (GpsTestActivity java:1125)_x000D_
  at android location LocationManager GnssStatusListenerManager 1 onSatelliteStatusChanged (LocationManager java:2958)_x000D_
  at android location LocationManager GnssStatusListenerManager GnssStatusListener lambda onSvStatusChanged 1 (LocationManager java:3014)_x000D_
  at android location    Lambda LocationManager GnssStatusListenerManager GnssStatusListener 4EPi22o4xuVnpNhFHnDvebH4TG8 accept (Unknown Source:4)_x000D_
  at android location AbstractListenerManager Registration accept (AbstractListenerManager java:83)_x000D_
  at android location AbstractListenerManager Registration lambda XpiThbVaDDpOnFWIkrt38Bf4yx0 (Unknown Source)_x000D_
  at android location    Lambda AbstractListenerManager Registration XpiThbVaDDpOnFWIkrt38Bf4yx0 accept (Unknown Source:4)_x000D_
  at com android internal util function pooled PooledLambdaImpl doInvoke (PooledLambdaImpl java:278)_x000D_
  at com android internal util function pooled PooledLambdaImpl invoke (PooledLambdaImpl java:201)_x000D_
  at com android internal util function pooled OmniFunction run (OmniFunction java:97)_x000D_
  at android os Handler handleCallback (Handler java:938)_x000D_
  at android os Handler dispatchMessage (Handler java:99)_x000D_
  at android os Looper loop (Looper java:236)_x000D_
  at android app ActivityThread main (ActivityThread java:8057)_x000D_
  at java lang reflect Method invoke (Native Method)_x000D_
  at com android internal os RuntimeInit MethodAndArgsCaller run (RuntimeInit java:656)_x000D_
  at com android internal os ZygoteInit main (ZygoteInit java:967)_x000D_
   _x000D_
_x000D_
  To Reproduce  _x000D_
Unknown_x000D_
_x000D_
  Expected behavior  _x000D_
Don t crash_x000D_
_x000D_
  Observed behavior  _x000D_
Crash_x000D_
_x000D_
  App  Device and Android version:   _x000D_
_x000D_
All crashes are with GPSTest version  18076  (v3 8 4) and all on Android 11  Devices are Samsung Galaxy M31  Xiaomi Mi 10T  Xiaomi Mi Note 10 Lite  Samsung Galaxy Z Flip 5G</t>
  </si>
  <si>
    <t>Anuken-Mindustry-4972</t>
  </si>
  <si>
    <t>I can't join a server yet i have good internet</t>
  </si>
  <si>
    <t xml:space="preserve">  Platform  :  Android iOS Mac Windows Linux 
Android
  Build  :  The build number under the title in the main menu  Required   LATEST  IS NOT A VERSION  I NEED THE EXACT BUILD NUMBER OF YOUR GAME  
126 1
  Issue  :  Explain your issue in detail  
I attempt to enter a server and it doesn t even try to enter the server i was able to enter servers before 126 1 so idk what happened
  Steps to reproduce  :  How you happened across the issue  and what exactly you did to make the bug happen  
Its not a reproducible bug something happened with the update and it just broke my ability to join servers
  Link(s) to mod(s) used  :  The mod repositories or zip files that are related to the issue  if applicable  
No mods and no relevant zip files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This happened in the server menu not in game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</si>
  <si>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mishraaditya595-ScanIt-62</t>
  </si>
  <si>
    <t>App Crashing while opening Camera, some part is not working correctly</t>
  </si>
  <si>
    <t xml:space="preserve">  Description  _x000D_
_x000D_
Some Features are not working in the application  Like scanning image   no preview mode   error while validating and app crash _x000D_
_x000D_
  Stack  _x000D_
_x000D_
Project stack or language (eg  Frontend):_x000D_
_x000D_
Logical Implementation_x000D_
_x000D_
  Working Environment  _x000D_
_x000D_
Operating System (eg Linux): Win 10_x000D_
_x000D_
Browser (eg  Chrome): Edge_x000D_
_x000D_
Device (eg  Laptop or Phone): Laptop Phone _x000D_
_x000D_
  Screenshots  _x000D_
_x000D_
  image (https:  user images githubusercontent com 50570677 111988314 5b3ab100 8b36 11eb 864d a678c8e018a2 png)_x000D_
  image (https:  user images githubusercontent com 50570677 111988337 6392ec00 8b36 11eb 8924 be3264ad17e2 png)_x000D_
_x000D_
</t>
  </si>
  <si>
    <t>prebid-prebid-mobile-android-244</t>
  </si>
  <si>
    <t>ArrayIndexOutOfBoundsException in PrebidServerAdapter.java line 73</t>
  </si>
  <si>
    <t xml:space="preserve">  Describe the bug  _x000D_
ArrayIndexOutOfBoundsException in PrebidServerAdapter java line 73_x000D_
_x000D_
  To Reproduce  _x000D_
Steps to reproduce the behavior:_x000D_
Unfortunately we don t have the steps to reproduce the issue  only the crashlog from crashlytics  The issue occurs when updating to  Prebid SDK version 1 10 (https:  github com prebid prebid mobile android releases tag 1 10)  _x000D_
_x000D_
  Expected behavior  _x000D_
The app does not crash_x000D_
_x000D_
  Smartphone (please complete the following information):  _x000D_
DEVICE 1:_x000D_
  Brand: HUAWEI_x000D_
  Model: HUAWEI P smart 2019_x000D_
  Orientation: Portrait_x000D_
  RAM free: 622 86 MB_x000D_
  Disk free: 19 61 GB_x000D_
  OS version: Android 10_x000D_
_x000D_
DEVICE 2:_x000D_
  Brand: samsung_x000D_
  Model: Galaxy S20 5G_x000D_
  Orientation: Portrait_x000D_
  RAM free: 3 07 GB_x000D_
  Disk free: 67 63 GB_x000D_
  OS version: Android 11_x000D_
_x000D_
  Additional context  _x000D_
   _x000D_
Fatal Exception: java lang ArrayIndexOutOfBoundsException: src length 10 srcPos 1 dst length 10 dstPos 0 length  1_x000D_
       at java lang System arraycopy(System java)_x000D_
       at java util ArrayList batchRemove(ArrayList java:726)_x000D_
       at java util ArrayList removeAll(ArrayList java:690)_x000D_
       at org prebid mobile PrebidServerAdapter stopRequest(PrebidServerAdapter java:73)_x000D_
       at org prebid mobile DemandFetcher RequestRunnable cancelRequest(DemandFetcher java:167)_x000D_
       at org prebid mobile DemandFetcher destroy(DemandFetcher java:120)_x000D_
       at org prebid mobile DemandFetcher 1 run(DemandFetcher java:145)_x000D_
       at android os Handler handleCallback(Handler java:888)_x000D_
       at android os Handler dispatchMessage(Handler java:100)_x000D_
       at android os Looper loop(Looper java:213)_x000D_
       at android app ActivityThread main(ActivityThread java:8178)_x000D_
       at java lang reflect Method invoke(Method java)_x000D_
       at com android internal os RuntimeInit MethodAndArgsCaller run(RuntimeInit java:513)_x000D_
       at com android internal os ZygoteInit main(ZygoteInit java:1101)_x000D_
   _x000D_
</t>
  </si>
  <si>
    <t>prebid-prebid-mobile-android-243</t>
  </si>
  <si>
    <t>ArrayIndexOutOfBoundsException in PrebidServerAdapter.java line 233</t>
  </si>
  <si>
    <t xml:space="preserve">  Describe the bug  _x000D_
ArrayIndexOutOfBoundsException in PrebidServerAdapter java line 233_x000D_
_x000D_
  To Reproduce  _x000D_
Steps to reproduce the behavior:_x000D_
Unfortunately we don t have the steps to reproduce the issue  only the crashlog from crashlytics  The issue occurs when updating to  Prebid SDK version 1 10 (https:  github com prebid prebid mobile android releases tag 1 10)  _x000D_
_x000D_
  Expected behavior  _x000D_
The app does not crash_x000D_
_x000D_
  Smartphone (please complete the following information):  _x000D_
DEVICE 1:_x000D_
  Brand: samsung_x000D_
  Model: Galaxy S8_x000D_
  Orientation: Portrait_x000D_
  RAM free: 1017 75 MB_x000D_
  Disk free: 6 69 GB_x000D_
  OS version: Android 9_x000D_
_x000D_
DEVICE 2:_x000D_
  Brand: samsung_x000D_
  Model: Galaxy A51_x000D_
  Orientation: Portrait_x000D_
  RAM free: 775 22 MB_x000D_
  Disk free: 87 75 GB_x000D_
  OS version: Android 11_x000D_
_x000D_
  Additional context  _x000D_
   _x000D_
Fatal Exception: java lang ArrayIndexOutOfBoundsException: length 10  index  1_x000D_
       at java util ArrayList fastRemove(ArrayList java:557)_x000D_
       at java util ArrayList remove(ArrayList java:540)_x000D_
       at org prebid mobile PrebidServerAdapter ServerConnector removeThisTask(PrebidServerAdapter java:233)_x000D_
       at org prebid mobile PrebidServerAdapter ServerConnector processResult(PrebidServerAdapter java:214)_x000D_
       at org prebid mobile PrebidServerAdapter ServerConnector onPostExecute(PrebidServerAdapter java:103)_x000D_
       at org prebid mobile http HTTPPost execute(HTTPPost java:67)_x000D_
       at org prebid mobile PrebidServerAdapter ServerConnector execute(PrebidServerAdapter java:109)_x000D_
       at org prebid mobile PrebidServerAdapter requestDemand(PrebidServerAdapter java:61)_x000D_
       at org prebid mobile DemandFetcher RequestRunnable 1 run(DemandFetcher java:188)_x000D_
       at android os Handler handleCallback(Handler java:938)_x000D_
       at android os Handler dispatchMessage(Handler java:99)_x000D_
       at android os Looper loop(Looper java:246)_x000D_
       at android os HandlerThread run(HandlerThread java:67)_x000D_
   _x000D_
</t>
  </si>
  <si>
    <t>TeamNewPipe-NewPipe-5877</t>
  </si>
  <si>
    <t>Number of Videos in Playlist Incorrect</t>
  </si>
  <si>
    <t xml:space="preserve">  Screenshot 20210322 184812 NewPipe (https:  user images githubusercontent com 73827127 111971709 f8e6ae00 8b3f 11eb 9169 d3294ebba327 jpg)_x000D_
  Screenshot 20210322 184747 NewPipe (https:  user images githubusercontent com 73827127 111971714 fa17db00 8b3f 11eb 874e 740ecb840a35 jpg)_x000D_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20 11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Go to  https:  www youtube com playlist list PL8dPuuaLjXtNCG9Vq7vdvJytS F xGi7   (underscore is part of link)_x000D_
_x000D_
     If you can t cause the bug to show up again reliably (and hence don t have a proper set of steps to give us)  please still try to give as many details as possible on how you think you encountered the bug     _x000D_
_x000D_
_x000D_
_x000D_
    Actual behaviour_x000D_
Number of videos in playlist shows up as 7 618 291  _x000D_
_x000D_
_x000D_
_x000D_
    Expected behavior_x000D_
The number should be 42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11_x000D_
   Device model: Galaxy S20_x000D_
</t>
  </si>
  <si>
    <t>AOF-Dev-MCinaBox-1039</t>
  </si>
  <si>
    <t>New pc problem in pixelmon</t>
  </si>
  <si>
    <t>I am facing pc problem when I use pc 0okemon go in corner and when I click with mouse the game crash  How can I solve this</t>
  </si>
  <si>
    <t>MuntashirAkon-AppManager-324</t>
  </si>
  <si>
    <t>W/NotificationService: Toast already killed. pkg=io.github.muntashirakon.AppManager token=android.os.BinderProxy</t>
  </si>
  <si>
    <t xml:space="preserve">AM crashes when I trying open apk file after  9d4ab56 (https:  github com MuntashirAkon AppManager commit 9d4ab56809ee34376eb64b02eb2b1213c5280590)  commit _x000D_
_x000D_
   _x000D_
 03 22 05:25:03 354 2134:3930 I ActivityTaskManager _x000D_
START u0  act android intent action VIEW dat content:  pl solidexplorer2 files storage emulated 0 Download AppManager v2 5 24 apk typ application vnd android package archive flg 0x10000003 cmp io github muntashirakon AppManager  details AppDetailsActivity (has extras)  from uid 10622_x000D_
_x000D_
 03 22 05:25:03 497 2134:2276 D ArtManagerInternalImpl _x000D_
 data misc iorapd io github muntashirakon AppManager 383 io github muntashirakon AppManager details AppDetailsActivity compiled traces compiled trace pb doesn t exist_x000D_
_x000D_
 03 22 05:25:03 498 2134:2276 I ActivityTaskManager _x000D_
Displayed io github muntashirakon AppManager  details AppDetailsActivity:  140ms_x000D_
_x000D_
 03 22 05:25:04 849 2134:3940 W NotificationService _x000D_
Toast already killed  pkg io github muntashirakon AppManager token android os BinderProxy 4b36a27_x000D_
   </t>
  </si>
  <si>
    <t>TeamNewPipe-NewPipe-5869</t>
  </si>
  <si>
    <t xml:space="preserve">Problems exporting and importing playlists etc. </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</si>
  <si>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20 11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settings 
2  Press on     content 
3  Swipe down to     export database 
     If you can t cause the bug to show up again reliably (and hence don t have a proper set of steps to give us)  please still try to give as many details as possible on how you think you encountered the bug     
    Actual behaviour
     Tell us what happens with the steps given above     
Hi  
I ve spoken to a dev regarding exporting all my playlists etc from one phone to another which he told me what I knew  I ve tried using the back to back part too and it does pop up transfer data but it never comes up on my new phone  I have tried other ways  my old phone is storing the data ready but new phone won t find it  I do only have one sim card but I m also using the hot spot and tried Bluetooth also but I still can t get it to mine across from a Samsung galaxy s7 to a Samsung j4 plus  the data just doesn t appear for me to get it on the j4  
Am I missing something or is this a bug  
I ve even been through each file looking for it on the j4 to no avail  
It would be great if they re were a really easy way to do it or if you can explain exactly how to do it please  I have so many songs to do it one by one  although if needs be ill have to one day  
    Expected behavior
     Tell us what you expect to happen     
I expect it to be relatively easy like your dev said it would be  maybe just put the phones back to back and it s done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B from      That s right  here     
     Please fill this out when you do not provide a log generate by NewPipe    
    Device info
From Samsung galaxy s7 to Samsung j4 plus  
   Android version Custom ROM version:
   Device model:
Samsung galaxy s7 running android 8 0 
Samsung j4 plus running android 9 0 </t>
  </si>
  <si>
    <t>falzonv-discreet-launcher-12</t>
  </si>
  <si>
    <t>Launcher crashes when opening an uninstalled/disabled application</t>
  </si>
  <si>
    <t xml:space="preserve">This ticket is created following ticket  10 opened by  xi7_x000D_
_x000D_
In the demo video  an application is uninstalled and stay in the list (expected behavior as per v1 2 0) _x000D_
However  when the application icon is clicked the launcher crashes instead of displaying the expected warning _x000D_
_x000D_
This is a regression following v1 1 0 where a different method of launching applications has been implemented to cover applications from the same package (the existence test is still present but is not used anymore) </t>
  </si>
  <si>
    <t>patzly-grocy-android-378</t>
  </si>
  <si>
    <t>Scanning issues</t>
  </si>
  <si>
    <t xml:space="preserve">When scanning out a product with the consume function the app crashes  Most of the time when it does scan and the app doesn t crash    The upc shows as scanned but the product still shows that it s required to be filled </t>
  </si>
  <si>
    <t>PhenoApps-Field-Book-229</t>
  </si>
  <si>
    <t>Import sanitization to prevent SQL injection</t>
  </si>
  <si>
    <t>When imported headers contain   or   the app crashes  Instead of trying to catch all of these (  DataHelper hasSpecialChars  )  they should just be imported correctly as plain text _x000D_
_x000D_
Related to  109 _x000D_
Related to https:  github com solgenomics sgn issues 3375</t>
  </si>
  <si>
    <t>Anuken-Mindustry-4959</t>
  </si>
  <si>
    <t>Cannot host multiplayer</t>
  </si>
  <si>
    <t xml:space="preserve">  Platform  :  Windows _x000D_
_x000D_
  Build  :  steam build 126 1 _x000D_
_x000D_
  Issue  :  I can t host multiplayer game  I can t see any additional game settings like  Player Limit  or  Public Game Visibility   I can t join game from friend invitation  but I can join public server flawlessly  _x000D_
_x000D_
  Steps to reproduce  :_x000D_
 1  Create a new campaign   custom game  Then press   Esc   and click   Host Multiplayer Game    After that  a pop up text  Opening Server     appears  Then what happens next is the button doesn t change to  Invite Friends   instead it goes to unclickable state button (Grey color Host Multiplayer Game button)  but at the same time the game is no longer paused when I pressed Esc  _x000D_
_x000D_
 2  When I pressed join from friend invitation on Steam  the game does nothing  It just stays in main menu  _x000D_
_x000D_
  Link(s) to mod(s) used  :  no mod _x000D_
_x000D_
  Save file  :  save1 zip (https:  github com Anuken Mindustry files 6167915 save1 zip)_x000D_
_x000D_
  (Crash) logs  :  The game won t let me export crash log since there is no crash  However  I got error from last log txt  _x000D_
   _x000D_
 I   GL  Version: OpenGL 4 5 0   Intel   Intel(R) HD Graphics 630_x000D_
 I   GL  Max texture size: 16384_x000D_
 I   GL  Using OpenGL 2 context _x000D_
 I   JAVA  Version: 1 8 0 72_x000D_
 W  Shader shaders mesh vert   shaders planet frag:_x000D_
Vertex shader_x000D_
WARNING: 0:2:    :   version directive missing_x000D_
_x000D_
Fragment shader:_x000D_
WARNING: 0:5:    :   version directive missing_x000D_
_x000D_
_x000D_
 W  Shader shaders default vert   shaders blockbuild frag:_x000D_
Vertex shader_x000D_
WARNING: 0:2:    :   version directive missing_x000D_
_x000D_
Fragment shader:_x000D_
WARNING: 0:5:    :   version directive missing_x000D_
_x000D_
_x000D_
 W  Shader shaders screenspace vert   shaders shield frag:_x000D_
Vertex shader_x000D_
WARNING: 0:2:    :   version directive missing_x000D_
_x000D_
Fragment shader:_x000D_
WARNING: 0:5:    :   version directive missing_x000D_
_x000D_
_x000D_
 W  Shader shaders screenspace vert   shaders buildbeam frag:_x000D_
Vertex shader_x000D_
WARNING: 0:2:    :   version directive missing_x000D_
_x000D_
Fragment shader:_x000D_
WARNING: 0:5:    :   version directive missing_x000D_
_x000D_
_x000D_
 W  Shader shaders default vert   shaders unitbuild frag:_x000D_
Vertex shader_x000D_
WARNING: 0:2:    :   version directive missing_x000D_
_x000D_
Fragment shader:_x000D_
WARNING: 0:5:    :   version directive missing_x000D_
_x000D_
_x000D_
 W  Shader shaders default vert   shaders darkness frag:_x000D_
Vertex shader_x000D_
WARNING: 0:2:    :   version directive missing_x000D_
_x000D_
Fragment shader:_x000D_
WARNING: 0:5:    :   version directive missing_x000D_
_x000D_
_x000D_
 W  Shader shaders screenspace vert   shaders light frag:_x000D_
Vertex shader_x000D_
WARNING: 0:2:    :   version directive missing_x000D_
_x000D_
Fragment shader:_x000D_
WARNING: 0:5:    :   version directive missing_x000D_
_x000D_
_x000D_
 W  Shader shaders screenspace vert   shaders water frag:_x000D_
Vertex shader_x000D_
WARNING: 0:2:    :   version directive missing_x000D_
_x000D_
Fragment shader:_x000D_
WARNING: 0:5:    :   version directive missing_x000D_
_x000D_
_x000D_
 W  Shader shaders screenspace vert   shaders mud frag:_x000D_
Vertex shader_x000D_
WARNING: 0:2:    :   version directive missing_x000D_
_x000D_
Fragment shader:_x000D_
WARNING: 0:5:    :   version directive missing_x000D_
_x000D_
_x000D_
 W  Shader shaders screenspace vert   shaders tar frag:_x000D_
Vertex shader_x000D_
WARNING: 0:2:    :   version directive missing_x000D_
_x000D_
Fragment shader:_x000D_
WARNING: 0:5:    :   version directive missing_x000D_
_x000D_
_x000D_
 W  Shader shaders screenspace vert   shaders slag frag:_x000D_
Vertex shader_x000D_
WARNING: 0:2:    :   version directive missing_x000D_
_x000D_
Fragment shader:_x000D_
WARNING: 0:5:    :   version directive missing_x000D_
_x000D_
_x000D_
 W  Shader shaders screenspace vert   shaders space frag:_x000D_
Vertex shader_x000D_
WARNING: 0:2:    :   version directive missing_x000D_
_x000D_
Fragment shader:_x000D_
WARNING: 0:5:    :   version directive missing_x000D_
_x000D_
_x000D_
 W  Shader shaders planet vert   shaders planet frag:_x000D_
Vertex shader_x000D_
WARNING: 0:2:    :   version directive missing_x000D_
_x000D_
Fragment shader:_x000D_
WARNING: 0:5:    :   version directive missing_x000D_
_x000D_
_x000D_
 W  Shader shaders planetgrid vert   shaders planetgrid frag:_x000D_
Vertex shader_x000D_
WARNING: 0:2:    :   version directive missing_x000D_
_x000D_
Fragment shader:_x000D_
WARNING: 0:5:    :   version directive missing_x000D_
_x000D_
_x000D_
 W  Shader shaders atmosphere vert   shaders atmosphere frag:_x000D_
Vertex shader_x000D_
WARNING: 0:2:    :   version directive missing_x000D_
_x000D_
Fragment shader:_x000D_
WARNING: 0:5:    :   version directive missing_x000D_
_x000D_
_x000D_
 W  Shader shaders unlit vert   shaders planet frag:_x000D_
Vertex shader_x000D_
WARNING: 0:2:    :   version directive missing_x000D_
_x000D_
Fragment shader:_x000D_
WARNING: 0:5:    :   version directive missing_x000D_
_x000D_
_x000D_
 W  Shader shaders screenspace vert   shaders screenspace frag:_x000D_
Vertex shader_x000D_
WARNING: 0:2:    :   version directive missing_x000D_
_x000D_
Fragment shader:_x000D_
WARNING: 0:5:    :   version directive missing_x000D_
_x000D_
_x000D_
 E  java lang RuntimeException: java util zip ZipException: incorrect header check_x000D_
	at mindustry io SaveIO getMeta(SaveIO java:95)_x000D_
	at mindustry io SaveIO isSaveValid(SaveIO java:69)_x000D_
	at mindustry io SaveIO isSaveValid(SaveIO java:61)_x000D_
	at mindustry game Saves load(Saves java:51)_x000D_
	at mindustry core Control loadAsync(Control java:239)_x000D_
	at arc assets AssetManager 2 loadAsync(AssetManager java:353)_x000D_
	at arc assets AssetLoadingTask call(AssetLoadingTask java:53)_x000D_
	at arc assets AssetLoadingTask call(AssetLoadingTask java:17)_x000D_
	at java util concurrent FutureTask run(FutureTask java:266)_x000D_
	at java util concurrent ThreadPoolExecutor runWorker(ThreadPoolExecutor java:1142)_x000D_
	at java util concurrent ThreadPoolExecutor Worker run(ThreadPoolExecutor java:617)_x000D_
	at java lang Thread run(Thread java:745)_x000D_
Caused by: java util zip ZipException: incorrect header check_x000D_
	at java util zip InflaterInputStream read(InflaterInputStream java:164)_x000D_
	at java io DataInputStream readFully(DataInputStream java:195)_x000D_
	at java io DataInputStream readFully(DataInputStream java:169)_x000D_
	at mindustry io SaveIO readHeader(SaveIO java:176)_x000D_
	at mindustry io SaveIO getMeta(SaveIO java:89)_x000D_
	    11 more_x000D_
_x000D_
 I  Total time to load: 6418_x000D_
 W  Shader bloomshaders screenspace vert   bloomshaders bloom frag:_x000D_
Vertex shader_x000D_
WARNING: 0:2:    :   version directive missing_x000D_
_x000D_
Fragment shader:_x000D_
WARNING: 0:5:    :   version directive missing_x000D_
_x000D_
_x000D_
 W  Shader bloomshaders screenspace vert   bloomshaders threshold frag:_x000D_
Vertex shader_x000D_
WARNING: 0:2:    :   version directive missing_x000D_
_x000D_
Fragment shader:_x000D_
WARNING: 0:5:    :   version directive missing_x000D_
_x000D_
_x000D_
 W  Shader bloomshaders blurspace vert   bloomshaders gaussian frag:_x000D_
Vertex shader_x000D_
WARNING: 0:2:    :   version directive missing_x000D_
_x000D_
Fragment shader:_x000D_
WARNING: 0:5:    :   version directive missing_x000D_
_x000D_
_x000D_
 W  Shader shaders cubemap vert   shaders cubemap frag:_x000D_
Vertex shader_x000D_
WARNING: 0:2:    :   version directive missing_x000D_
_x000D_
Fragment shader:_x000D_
WARNING: 0:5:    :   version directive missing_x000D_
_x000D_
_x000D_
 W  Shader bloomshaders screenspace vert   bloomshaders alpha bloom frag:_x000D_
Vertex shader_x000D_
WARNING: 0:2:    :   version directive missing_x000D_
_x000D_
Fragment shader:_x000D_
WARNING: 0:5:    :   version directive missing_x000D_
_x000D_
_x000D_
 W  Shader bloomshaders screenspace vert   bloomshaders alpha threshold frag:_x000D_
Vertex shader_x000D_
WARNING: 0:2:    :   version directive missing_x000D_
_x000D_
Fragment shader:_x000D_
WARNING: 0:5:    :   version directive missing_x000D_
_x000D_
_x000D_
 W  Shader bloomshaders blurspace vert   bloomshaders alpha gaussian frag:_x000D_
Vertex shader_x000D_
WARNING: 0:2:    :   version directive missing_x000D_
_x000D_
Fragment shader:_x000D_
WARNING: 0:5:    :   version directive missing_x000D_
_x000D_
_x000D_
 I  Fetching community servers at https:  raw githubusercontent com Anuken Mindustry master servers v6 json_x000D_
 I  Time to generate menu: 114 311295_x000D_
 I  Fetched 25 community servers _x000D_
 I  Saved on exit _x000D_
 save1 zip (https:  github com Anuken Mindustry files 6167890 save1 zip)_x000D_
_x000D_
   _x000D_
   _x000D_
   X    I have updated to the latest release (https:  github com Anuken Mindustry releases) to make sure my issue has not been fixed   _x000D_
   X    I have searched the closed and open issues to make sure that this problem has not already been reported   </t>
  </si>
  <si>
    <t>inaturalist-iNaturalistAndroid-1003</t>
  </si>
  <si>
    <t>NullPointerException in ObservationViewerActivity.reloadObservation</t>
  </si>
  <si>
    <t xml:space="preserve">https:  console firebase google com u 2 project inaturalist ios crashlytics app android:org inaturalist android issues 1efbcbf5ecffbd499ece3d75eadace23_x000D_
_x000D_
   _x000D_
Caused by java lang NullPointerException: Attempt to invoke virtual method  java lang String org json JSONObject optString(java lang String)  on a null object reference_x000D_
       at org inaturalist android ObservationViewerActivity reloadObservation(ObservationViewerActivity java:978)_x000D_
       at org inaturalist android ObservationViewerActivity onCreate(ObservationViewerActivity java:699)_x000D_
       at android app Activity performCreate(Activity java:8086)_x000D_
       at android app Activity performCreate(Activity java:8074)_x000D_
   </t>
  </si>
  <si>
    <t>ankidroid-Anki-Android-8264</t>
  </si>
  <si>
    <t>[Bug] Notification service crash the app if it runs during sync</t>
  </si>
  <si>
    <t xml:space="preserve">       Reproduction Steps_x000D_
_x000D_
0  Turn on notification_x000D_
1  Reinstall AnkiDroid_x000D_
2  Start ankidroid_x000D_
3  Sync_x000D_
_x000D_
_x000D_
       Expected Result_x000D_
_x000D_
Syncing _x000D_
A notification _x000D_
_x000D_
Not crashing_x000D_
_x000D_
       Actual Result_x000D_
_x000D_
Crash with the stacktrace:_x000D_
_x000D_
  2021 03 18 04:53:05 640 22370 22370 com ichi2 anki E AndroidRuntime: FATAL EXCEPTION: main_x000D_
    Process: com ichi2 anki  PID: 22370_x000D_
    java lang RuntimeException: Unable to start receiver com ichi2 anki services ReminderService: java lang NullPointerException: Attempt to invoke virtual method  int com ichi2 libanki DB queryScalar(java lang String  java lang Object  )  on a null object reference_x000D_
        at android app ActivityThread handleReceiver(ActivityThread java:4207)_x000D_
        at android app ActivityThread access 1600(ActivityThread java:273)_x000D_
        at android app ActivityThread H handleMessage(ActivityThread java:2107)_x000D_
        at android os Handler dispatchMessage(Handler java:107)_x000D_
        at android os Looper loop(Looper java:237)_x000D_
        at android app ActivityThread main(ActivityThread java:8107)_x000D_
        at java lang reflect Method invoke(Native Method)_x000D_
        at com android internal os RuntimeInit MethodAndArgsCaller run(RuntimeInit java:496)_x000D_
        at com android internal os ZygoteInit main(ZygoteInit java:1100)_x000D_
     Caused by: java lang NullPointerException: Attempt to invoke virtual method  int com ichi2 libanki DB queryScalar(java lang String  java lang Object  )  on a null object reference_x000D_
        at com ichi2 libanki sched SchedV2  lrnForDeck(SchedV2 java:1478)_x000D_
        at com ichi2 libanki sched SchedV2 deckDueList(SchedV2 java:552)_x000D_
        at com ichi2 libanki sched SchedV2 deckDueTree(SchedV2 java:592)_x000D_
        at com ichi2 libanki sched SchedV2 deckDueTree(SchedV2 java:587)_x000D_
        at com ichi2 anki services ReminderService getDeckOptionDue(ReminderService java:172)_x000D_
        at com ichi2 anki services ReminderService onReceive(ReminderService java:110)_x000D_
        at android app ActivityThread handleReceiver(ActivityThread java:4198)_x000D_
        at android app ActivityThread access 1600(ActivityThread java:273) _x000D_
        at android app ActivityThread H handleMessage(ActivityThread java:2107) _x000D_
        at android os Handler dispatchMessage(Handler java:107) _x000D_
        at android os Looper loop(Looper java:237) _x000D_
        at android app ActivityThread main(ActivityThread java:8107) _x000D_
        at java lang reflect Method invoke(Native Method) _x000D_
        at com android internal os RuntimeInit MethodAndArgsCaller run(RuntimeInit java:496) _x000D_
        at com android internal os ZygoteInit main(ZygoteInit java:1100) _x000D_
_x000D_
My understanding is that the notification service started running  However  sync closed the database  which means that notification suddenly can t access the database anymore_x000D_
_x000D_
One way to deal with it would be to try catch the NullPointerException here and state that notification is not so important that it should crash the program  Or that sync interact with notification  to pause notification until database is reoladed</t>
  </si>
  <si>
    <t>Anuken-Mindustry-4954</t>
  </si>
  <si>
    <t>plastanium walls don't properly block automatic power connections</t>
  </si>
  <si>
    <t xml:space="preserve">  Platform  :  Android iOS Mac Windows Linux _x000D_
win 10_x000D_
  Build  :  The build number under the title in the main menu  Required   LATEST  IS NOT A VERSION  I NEED THE EXACT BUILD NUMBER OF YOUR GAME  _x000D_
126 1_x000D_
  Issue  :  Explain your issue in detail  _x000D_
plastanium walls only block automatic node connections when the node is placed after something else(airblasts  factories  generators)  but they don t block connections when the node is placed after the block_x000D_
  Steps to reproduce  :  How you happened across the issue  and what exactly you did to make the bug happen  _x000D_
i found the issue while making a schematic  and afterwards to make sure it really was the issue i placed down a power node entirely surrounded with plastanium walls and tried placing drills  factories  batteries  generators and the like outside the plastanium walls  the node connected through the plastanium walls  this also happened with the large power node  surge tower and power source  as well as through several layers of plastanium walls_x000D_
  Link(s) to mod(s) used  :  The mod repositories or zip files that are related to the issue  if applicable  _x000D_
i used no mods_x000D_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plast wall bug save zip (https:  github com Anuken Mindustry files 6160946 plast wall bug save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</si>
  <si>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Anuken-Mindustry-4952</t>
  </si>
  <si>
    <t>TapEvent is not sent to server for unspawned players from PC</t>
  </si>
  <si>
    <t xml:space="preserve">  Platform  : Windows_x000D_
_x000D_
  Build  : 126_x000D_
_x000D_
  Issue  : When player is not spawned  TapEvent   is   sent from mobile client  but it   isn t   being sent from PC client to server_x000D_
_x000D_
  Steps to reproduce  : Simply track tap events on server on empty map (with no cores  or just assign wrong team): for mobile client they do appear  but not for PC_x000D_
_x000D_
  Link(s) to mod(s) used  : N A_x000D_
_x000D_
  Save file  : N A_x000D_
_x000D_
  (Crash) logs  : not a crash_x000D_
_x000D_
  Additional note  : I understand this can be left unfixed because initially the event was introduced for tracking greifers  but I found another use case for the feature: on ranked pvp during spectating you get inactive team assigned hence you can t see details about any blocks (power status progress health etc )   this would be a great way to add such thing on click at tiles  but apparently it works only on mobile now _x000D_
The problem in code starts here and doesn t seem easily fixable to me   but maybe I m lucky today   :_x000D_
 mindustry input DesktopInput java:262  and TapEvent is sent later in  pollInput()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</si>
  <si>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TeamNewPipe-NewPipe-5849</t>
  </si>
  <si>
    <t>App Crash, UI Failure</t>
  </si>
  <si>
    <t xml:space="preserve">   Exception_x000D_
    User Action:   ui error_x000D_
    Request:   App crash  UI failure_x000D_
    Content Country:   DE_x000D_
    Content Language:   de_x000D_
    App Language:   de DE_x000D_
    Service:   none_x000D_
    Version:   0 20 8_x000D_
    OS:   Linux samsung starltexx starlte:10 QP1A 190711 020 G960FXXUAETG3:user release keys 10   29_x000D_
 details  summary  b Crash log   b   summary  p _x000D_
_x000D_
   _x000D_
android view InflateException: Binary XML file line  31: Error inflating class (not found)org schabi newpipe settings custom NotificationActionsPreference_x000D_
	at androidx preference PreferenceInflater createItemFromTag(PreferenceInflater java:287)_x000D_
	at androidx preference PreferenceInflater rInflate(PreferenceInflater java:344)_x000D_
	at androidx preference PreferenceInflater rInflate(PreferenceInflater java:346)_x000D_
	at androidx preference PreferenceInflater inflate(PreferenceInflater java:157)_x000D_
	at androidx preference PreferenceInflater inflate(PreferenceInflater java:109)_x000D_
	at androidx preference PreferenceManager inflateFromResource(PreferenceManager java:216)_x000D_
	at androidx preference PreferenceFragmentCompat addPreferencesFromResource(PreferenceFragmentCompat java:361)_x000D_
	at org schabi newpipelegacy settings NotificationSettingsFragment onCreatePreferences(NotificationSettingsFragment kt:10)_x000D_
	at androidx preference PreferenceFragmentCompat onCreate(PreferenceFragmentCompat java:160)_x000D_
	at org schabi newpipelegacy settings BasePreferenceFragment onCreate(BasePreferenceFragment java:24)_x000D_
	at androidx fragment app Fragment performCreate(Fragment java:2684)_x000D_
	at androidx fragment app FragmentStateManager create(FragmentStateManager java:280)_x000D_
	at androidx fragment app FragmentManager moveToState(FragmentManager java:1175)_x000D_
	at androidx fragment app FragmentTransition addToFirstInLastOut(FragmentTransition java:1255)_x000D_
	at androidx fragment app FragmentTransition calculateFragments(FragmentTransition java:1138)_x000D_
	at androidx fragment app FragmentTransition startTransitions(FragmentTransition java:136)_x000D_
	at androidx fragment app FragmentManager executeOpsTogether(FragmentManager java:1989)_x000D_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java:883)_x000D_
	at android os Handler dispatchMessage(Handler java:100)_x000D_
	at android os Looper loop(Looper java:237)_x000D_
	at android app ActivityThread main(ActivityThread java:8125)_x000D_
	at java lang reflect Method invoke(Native Method)_x000D_
	at com android internal os RuntimeInit MethodAndArgsCaller run(RuntimeInit java:496)_x000D_
	at com android internal os ZygoteInit main(ZygoteInit java:1100)_x000D_
Caused by: java lang ClassNotFoundException: org schabi newpipe settings custom NotificationActionsPreference_x000D_
	at java lang Class classForName(Native Method)_x000D_
	at java lang Class forName(Class java:454)_x000D_
	at androidx preference PreferenceInflater createItem(PreferenceInflater java:214)_x000D_
	at androidx preference PreferenceInflater createItemFromTag(PreferenceInflater java:277)_x000D_
	    26 more_x000D_
Caused by: java lang ClassNotFoundException: org schabi newpipe settings custom NotificationActionsPreference_x000D_
	    30 more_x000D_
_x000D_
   _x000D_
  details _x000D_
 hr _x000D_
</t>
  </si>
  <si>
    <t>Anuken-Mindustry-4949</t>
  </si>
  <si>
    <t xml:space="preserve">Mindustry has crashed  How unfortunate _x000D_
Version: release build 126 1_x000D_
OS: Windows 10 x64_x000D_
Java Version: 1 8 0 72_x000D_
Java Architecture: 64_x000D_
1 Mods: example mod:3 0_x000D_
_x000D_
java lang NullPointerException_x000D_
	at mindustry world blocks distribution StackConveyor StackConveyorBuild poofIn(StackConveyor java:269)_x000D_
	at mindustry world blocks distribution StackConveyor StackConveyorBuild handleItem(StackConveyor java:286)_x000D_
	at mindustry world blocks experimental BlockLoader BlockLoaderBuild updateTile(BlockLoader java:116)_x000D_
	at mindustry gen Building update(Building java:1185)_x000D_
	at mindustry entities EntityGroup each(EntityGroup java:68)_x000D_
	at mindustry entities EntityGroup update(EntityGroup java:58)_x000D_
	at mindustry gen Groups update(Groups java:71)_x000D_
	at mindustry core Logic update(Logic java:411)_x000D_
	at arc ApplicationCore update(ApplicationCore java:36)_x000D_
	at mindustry ClientLauncher update(ClientLauncher java:164)_x000D_
	at arc backend sdl SdlApplication listen(SdlApplication java:160)_x000D_
	at arc backend sdl SdlApplication loop(SdlApplication java:148)_x000D_
	at arc backend sdl SdlApplication  init (SdlApplication java:44)_x000D_
	at mindustry desktop DesktopLauncher main(DesktopLauncher java:36)_x000D_
_x000D_
</t>
  </si>
  <si>
    <t>PojavLauncherTeam-PojavLauncher-1073</t>
  </si>
  <si>
    <t>[BUG] FORGE NOT INSTALLING</t>
  </si>
  <si>
    <t xml:space="preserve">Whenever i install forge for 1 12 2 its crashes and main menu pops up _x000D_
 latestlog txt (https:  github com PojavLauncherTeam PojavLauncher files 6157694 latestlog txt)_x000D_
</t>
  </si>
  <si>
    <t>skrafft-react-native-jitsi-meet-255</t>
  </si>
  <si>
    <t>Crash on JitsiMeet.call in android</t>
  </si>
  <si>
    <t>I am getting crash on calling this   getting these errors on the android studio console _x000D_
react native gesture handler module was not found  Make sure you re running your app on the native platform_x000D_
 _x000D_
Error: react native permissions: NativeModule RNPermissions is null _x000D_
_x000D_
Please suggest how to fix this crash</t>
  </si>
  <si>
    <t>Goujer-kanojo_app-48</t>
  </si>
  <si>
    <t>Dashboard Activities Product is null in ActivityModel</t>
  </si>
  <si>
    <t xml:space="preserve">Server is giving no product for activity type 2 (Generation) _x000D_
Also everything is in this weird b XXX  format and it looks weird _x000D_
This is causing a crash </t>
  </si>
  <si>
    <t>TeamNewPipe-NewPipe-5848</t>
  </si>
  <si>
    <t>Any video fails to play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</si>
  <si>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Install and run DPI Tunnel with default settings (available from F Droid)  Then open NewPipe  search for anything (e g   travicka zelena )  List of search results without pictures appears  Then select any video and it crashes   see example bug report below _x000D_
_x000D_
    Actual behaviour_x000D_
     Tell us what happens with the steps given above     _x000D_
 See steps above _x000D_
_x000D_
    Expected behavior_x000D_
     Tell us what you expect to happen     _x000D_
_x000D_
All videos working (it works e g  in Chrome for Android)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7 1 1_x000D_
   Device model: samsung j5_x000D_
_x000D_
_x000D_
   Exception_x000D_
    User Action:   requested stream_x000D_
    Request:   https:  www youtube com watch v DzcRiOqcKEU_x000D_
    Content Country:   US_x000D_
    Content Language:   en US_x000D_
    App Language:   en US_x000D_
    Service:   YouTube_x000D_
    Version:   0 20 1_x000D_
    OS:   Linux samsung j5xnltexx j5xnlte:7 1 1 NMF26X J510FNXXU2BRJ4:user release keys 7 1 1   25_x000D_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call(lambda)_x000D_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_x000D_
   _x000D_
  details _x000D_
 hr _x000D_
</t>
  </si>
  <si>
    <t>PojavLauncherTeam-PojavLauncher-1071</t>
  </si>
  <si>
    <t>Mod bud</t>
  </si>
  <si>
    <t xml:space="preserve">_x000D_
     Minecraft Crash Report     _x000D_
   Hi  I m Minecraft  and I m a crashaholic _x000D_
_x000D_
Time: 3 17 21 8:10 AM_x000D_
Description: Unexpected error_x000D_
_x000D_
com badlogic gdx utils GdxRuntimeException: Couldn t load shared library  libgdxarm64 so  for target: Linux  64 bit_x000D_
	at com badlogic gdx utils SharedLibraryLoader load(SharedLibraryLoader java:120)   physicsmod:1 0   re:classloading _x000D_
	at com badlogic gdx utils GdxNativesLoader load(GdxNativesLoader java:33)   physicsmod:1 0   re:classloading _x000D_
	at net diebuddies physics PhysicsMod onRenderTick(PhysicsMod java:183)   physicsmod:1 0   re:mixin re:classloading _x000D_
	at net minecraftforge eventbus ASMEventHandler 0 PhysicsMod onRenderTick RenderTickEvent invoke( dynamic)    :     _x000D_
	at net minecraftforge eventbus ASMEventHandler invoke(ASMEventHandler java:85)   eventbus 3 0 5 service jar:     _x000D_
	at net minecraftforge eventbus EventBus post(EventBus java:297)   eventbus 3 0 5 service jar:     _x000D_
	at net minecraftforge fml hooks BasicEventHooks onRenderTickEnd(BasicEventHooks java:80)   forge:    re:classloading _x000D_
	at net minecraft client Minecraft func 195542 b(Minecraft java:980)    :    re:classloading pl:accesstransformer:B pl:runtimedistcleaner:A re:mixin pl:accesstransformer:B pl:runtimedistcleaner:A _x000D_
	at net minecraft client Minecraft func 99999 d(Minecraft java:607)    :    re:classloading pl:accesstransformer:B pl:runtimedistcleaner:A re:mixin pl:accesstransformer:B pl:runtimedistcleaner:A _x000D_
	at net minecraft client main Main main(Main java:184)   1 16 4 forge 35 1 4 jar:    re:classloading pl:runtimedistcleaner:A _x000D_
	at sun reflect NativeMethodAccessorImpl invoke0(Native Method)    :1 8 0 internal    _x000D_
	at sun reflect NativeMethodAccessorImpl invoke(NativeMethodAccessorImpl java:62)    :1 8 0 internal    _x000D_
	at sun reflect DelegatingMethodAccessorImpl invoke(DelegatingMethodAccessorImpl java:43)    :1 8 0 internal    _x000D_
	at java lang reflect Method invoke(Method java:498)    :1 8 0 internal    _x000D_
	at net minecraftforge fml loading FMLClientLaunchProvider lambda launchService 0(FMLClientLaunchProvider java:51)   forge 1 16 4 35 1 4 jar:35 1    _x000D_
	at cpw mods modlauncher LaunchServiceHandlerDecorator launch(LaunchServiceHandlerDecorator java:37)  modlauncher 8 0 6 jar:     _x000D_
	at cpw mods modlauncher LaunchServiceHandler launch(LaunchServiceHandler java:54)  modlauncher 8 0 6 jar:     _x000D_
	at cpw mods modlauncher LaunchServiceHandler launch(LaunchServiceHandler java:72)  modlauncher 8 0 6 jar:     _x000D_
	at cpw mods modlauncher Launcher run(Launcher java:82)  modlauncher 8 0 6 jar:     _x000D_
	at cpw mods modlauncher Launcher main(Launcher java:66)  modlauncher 8 0 6 jar:     _x000D_
Caused by: com badlogic gdx utils GdxRuntimeException: java lang UnsatisfiedLinkError:  data data net kdt pojavlaunch cache libgdxu0 a640 7f06eb57 libgdxarm64 so: dlopen failed: library  libm so 6  not found_x000D_
	at com badlogic gdx utils SharedLibraryLoader loadFile(SharedLibraryLoader java:316)   physicsmod:1 0   re:classloading _x000D_
	at com badlogic gdx utils SharedLibraryLoader load(SharedLibraryLoader java:116)   physicsmod:1 0   re:classloading _x000D_
	    19 more_x000D_
Caused by: java lang UnsatisfiedLinkError:  data data net kdt pojavlaunch cache libgdxu0 a640 7f06eb57 libgdxarm64 so: dlopen failed: library  libm so 6  not found_x000D_
	at java lang ClassLoader NativeLibrary load(Native Method)    :1 8 0 internal    _x000D_
	at java lang ClassLoader loadLibrary0(ClassLoader java:1934)    :1 8 0 internal    _x000D_
	at java lang ClassLoader loadLibrary(ClassLoader java:1817)    :1 8 0 internal    _x000D_
	at java lang Runtime load0(Runtime java:810)    :1 8 0 internal    _x000D_
	at java lang System load(System java:1088)    :1 8 0 internal    _x000D_
	at com badlogic gdx utils SharedLibraryLoader loadFile(SharedLibraryLoader java:322)   physicsmod:1 0   re:classloading _x000D_
	at com badlogic gdx utils SharedLibraryLoader loadFile(SharedLibraryLoader java:291)   physicsmod:1 0   re:classloading _x000D_
	at com badlogic gdx utils SharedLibraryLoader load(SharedLibraryLoader java:116)   physicsmod:1 0   re:classloading _x000D_
	    19 more_x000D_
_x000D_
_x000D_
A detailed walkthrough of the error  its code path and all known details is as follows:_x000D_
                                                                                       _x000D_
_x000D_
   System Details   _x000D_
Details:_x000D_
	Minecraft Version: 1 16 4_x000D_
	Minecraft Version ID: 1 16 4_x000D_
	Operating System: Linux (aarch64) version Android 9_x000D_
	Java Version: 1 8 0 internal  Oracle Corporation_x000D_
	Java VM Version: OpenJDK 64 Bit Server VM (mixed mode)  Oracle Corporation_x000D_
	Memory: 227580720 bytes (217 MB)   750780416 bytes (716 MB) up to 750780416 bytes (716 MB)_x000D_
	CPUs: 8_x000D_
	JVM Flags: 2 total   Xms512m  Xmx800m_x000D_
	ModLauncher: 8 0 6 85 master 325de55_x000D_
	ModLauncher launch target: fmlclient_x000D_
	ModLauncher naming: srg_x000D_
	ModLauncher services: _x000D_
		 mixin 0 8 2 jar mixin PLUGINSERVICE _x000D_
		 eventbus 3 0 5 service jar eventbus PLUGINSERVICE _x000D_
		 forge 1 16 4 35 1 4 jar object holder definalize PLUGINSERVICE _x000D_
		 forge 1 16 4 35 1 4 jar runtime enum extender PLUGINSERVICE _x000D_
		 accesstransformers 2 2 0 shadowed jar accesstransformer PLUGINSERVICE _x000D_
		 forge 1 16 4 35 1 4 jar capability inject definalize PLUGINSERVICE _x000D_
		 forge 1 16 4 35 1 4 jar runtimedistcleaner PLUGINSERVICE _x000D_
		 mixin 0 8 2 jar mixin TRANSFORMATIONSERVICE _x000D_
		 forge 1 16 4 35 1 4 jar fml TRANSFORMATIONSERVICE _x000D_
	FML: 35 1_x000D_
	Forge: net minecraftforge:35 1 4_x000D_
	FML Language Providers: _x000D_
		javafml 35 1_x000D_
		minecraft 1_x000D_
	Mod List: _x000D_
		forge 1 16 4 35 1 4 client jar                     Minecraft                      minecraft                      1 16 4               DONE       NOSIGNATURE_x000D_
		physics mod 1 3 4 forge jar                        Physics Mod                    physicsmod                     1 0                  DONE       NOSIGNATURE_x000D_
		forge 1 16 4 35 1 4 universal jar                  Forge                          forge                          35 1 4               DONE       22:af:21:d8:19:82:7f:93:94:fe:2b:ac:b7:e4:41:57:68:39:87:b1:a7:5c:c6:44:f9:25:74:21:14:f5:0d:90_x000D_
	Crash Report UUID: b14ca7e5 e193 4e3e 956a e8515d02b50c_x000D_
	Launched Version: 1 16 4_x000D_
	Backend library: LWJGL version 3 2 3 SNAPSHOT_x000D_
	Backend API: GL4ES wrapper GL version 2 1 gl4es wrapper 1 1 4  ptitSeb_x000D_
	GL Caps: Using framebuffer using ARB framebuffer object extension_x000D_
	Using VBOs: Yes_x000D_
	Is Modded: Definitely  Client brand changed to  forge _x000D_
	Type: Client (map client txt)_x000D_
	GPU Warnings: version: 2 1_x000D_
	Graphics mode: fancy_x000D_
	Resource Packs: vanilla_x000D_
	Current Language: English (US)_x000D_
	CPU: 9x null_x000D_
</t>
  </si>
  <si>
    <t>Amarpsp10-AMusic-1</t>
  </si>
  <si>
    <t xml:space="preserve">App crashes:  when no songs available in storage    </t>
  </si>
  <si>
    <t xml:space="preserve">    _x000D_
  Please provide a clear and concise description of what the bug is  (In the section Steps To Reproduce )_x000D_
  Include screenshots if needed _x000D_
  Please test using the latest Joplin release to make sure your issue has not already been fixed _x000D_
   _x000D_
_x000D_
    _x000D_
  IMPORTANT: If you are reporting a clipper bug  please include an example URL that shows the issue _x000D_
  Without the URL the issue is likely to be closed _x000D_
   _x000D_
_x000D_
   Environment_x000D_
_x000D_
Platform: android _x000D_
OS specifics: 10_x000D_
_x000D_
    _x000D_
  Platform can be one of: macOS  Linux  Windows  Android  iOS  terminal (or a combination)_x000D_
  OS specifics: e g  OS version  Linux distribution  Android iOS version   _x000D_
   _x000D_
_x000D_
   Steps to reproduce_x000D_
_x000D_
1  run app when no song available in storage _x000D_
2  click on play button and app crash_x000D_
_x000D_
    _x000D_
  Issues without reproduction steps are likely to stall _x000D_
   _x000D_
_x000D_
</t>
  </si>
  <si>
    <t>square-reader-sdk-flutter-plugin-57</t>
  </si>
  <si>
    <t>Android Release Build Crashes on Start</t>
  </si>
  <si>
    <t xml:space="preserve">    Describe the issue_x000D_
_x000D_
I have the fluter square reader SDK working perfectly on Android when compiled in debug mode  Compiling in release mode  however  causes the app to crash immediately on startup with the following errors:_x000D_
   _x000D_
E AndroidRuntime(14032): FATAL EXCEPTION: main_x000D_
E AndroidRuntime(14032): java lang RuntimeException: Unable to create application com XXXXXXXX store MainApplication: java lang RuntimeException: java lang ClassNotFoundException: Didn t find class  com squareup AppBootstrapFactory  on path: DexPathList  zip file   data app com XXXXXXXX store 1 base apk   nativeLibraryDirectories   data app com XXXXXXXXXXX store 1 lib arm   vendor lib   system lib  _x000D_
   _x000D_
I have the added the multiDex stuff from the instructions to my build gradle file  _x000D_
_x000D_
I have tried a lot of suggestions from various Stack Overflow pages and nothing has fixed the problem _x000D_
_x000D_
</t>
  </si>
  <si>
    <t>Anuken-Mindustry-4946</t>
  </si>
  <si>
    <t>Auto bridge bug</t>
  </si>
  <si>
    <t xml:space="preserve">  Platform  :  Android iOS Mac Windows Linux _x000D_
_x000D_
  Build  :  The build number under the title in the main menu  Required   LATEST  IS NOT A VERSION  I NEED THE EXACT BUILD NUMBER OF YOUR GAME   126 1_x000D_
_x000D_
  Issue  :  Explain your issue in detail  _x000D_
Bridge conveyors gets built via auto bridge EVEN before unlocking bridge conv_x000D_
_x000D_
  Steps to reproduce  :  How you happened across the issue  and what exactly you did to make the bug happen  _x000D_
1  Go to mindustry_x000D_
2  Go to campaign_x000D_
3  Built in straight line_x000D_
4  See bug_x000D_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DO NOT HAVE A SAVE  DON T WASTE TIME OPENING THIS ISSUE  _x000D_
 issue zip (https:  github com Anuken Mindustry files 6153668 issue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x_x000D_
_x000D_
Uploading SVID 20210317 115342 1 mp4 _x000D_
_x000D_
    I have searched the closed and open issues to make sure that this problem has not already been reported   _x000D_
</t>
  </si>
  <si>
    <t>PojavLauncherTeam-PojavLauncher-1070</t>
  </si>
  <si>
    <t>[BUG] forge 1.16 not working and crashing and random crashes in single player.</t>
  </si>
  <si>
    <t xml:space="preserve">    _x000D_
Forge 1 16 crashes after 1 min  And survival creative world s are crashing every 5 10 20 minutes  _x000D_
  Screenshot 2021 03 05 00 48 49 85 bab8561a5f94f0a53956d8cbbeaad774 (https:  user images githubusercontent com 80798103 111398439 6dfc5280 86fe 11eb 8d8b e6f15c966ae4 jpg) also tipped arrows  spawn egg  leather armor not in correct color_x000D_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_x000D_
  Add a log file if you want to see your bug fixed    _x000D_
_x000D_
The log file called  lastlog txt  is located under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_x000D_
    Expected behavior:_x000D_
I expected    _x000D_
_x000D_
    Screenshots or videos:_x000D_
 Upload here screenshots or videos of the buggy behavior  if possible  _x000D_
_x000D_
  Platform:  _x000D_
   Device Model  e g  Mi 8 Pro 8 128 _x000D_
   CPU architecture  e g  aarch64  _x000D_
   Android Version  e g  10 _x000D_
   PojavLauncher Version  e g Latest Release    version 3 3 1 1 rel 20210206  _x000D_
_x000D_
_x000D_
 details   summary  b Additional context  b   summary _x000D_
 br _x000D_
 pre _x000D_
Add any other context about the problem here _x000D_
  pre _x000D_
  details _x000D_
</t>
  </si>
  <si>
    <t>CMPUT301W21T12-WiseTrack-67</t>
  </si>
  <si>
    <t>Commenting</t>
  </si>
  <si>
    <t>Clicking on comment sometimes brings back to Main  Also sometimes crashes when adding a response</t>
  </si>
  <si>
    <t>nextcloud-android-8175</t>
  </si>
  <si>
    <t>App crashes when changing file order</t>
  </si>
  <si>
    <t xml:space="preserve">    Steps to reproduce_x000D_
1  Open any Folder_x000D_
2  Change order to recently first_x000D_
3  Search for anything  but abort search while it s loading by using the system s back arrow_x000D_
4  Change order to A Z  A first_x000D_
_x000D_
    Expected behaviour_x000D_
Files should be sorted alphabetically_x000D_
_x000D_
    Actual behaviour_x000D_
App crashes  _x000D_
_x000D_
    Can you reproduce this problem on https:  try nextcloud com _x000D_
No  as it s an error within the Android App_x000D_
_x000D_
    Environment data_x000D_
Android version: 10_x000D_
_x000D_
Device model: Huawei SNE LX1_x000D_
_x000D_
Stock or customized system: Stock (with Huawei EMUI)_x000D_
_x000D_
Nextcloud app version: 30150190_x000D_
_x000D_
Nextcloud server version:  _x000D_
_x000D_
Reverse proxy:  _x000D_
_x000D_
    Logs_x000D_
_x000D_
_x000D_
     Nextcloud log (data nextcloud log)_x000D_
   _x000D_
             CAUSE OF ERROR             _x000D_
_x000D_
java util ConcurrentModificationException_x000D_
	at java util ArrayList sort(ArrayList java:1472)_x000D_
	at java util Collections sort(Collections java:208)_x000D_
	at com owncloud android utils FileSortOrderByName sortCloudFiles(FileSortOrderByName java:52)_x000D_
	at com owncloud android ui adapter OCFileListAdapter setSortOrder(OCFileListAdapter java:1124)_x000D_
	at com owncloud android ui fragment OCFileListFragment sortFiles(OCFileListFragment java:1321)_x000D_
	at com owncloud android ui activity FileDisplayActivity onSortingOrderChosen(FileDisplayActivity java:1250)_x000D_
	at com owncloud android ui dialog SortingOrderDialogFragment OnSortOrderClickListener onClick(SortingOrderDialogFragment java:181)_x000D_
	at android view View performClick(View java:7192)_x000D_
	at android view View performClickInternal(View java:7166)_x000D_
	at android view View access 3500(View java:824)_x000D_
	at android view View PerformClick run(View java:27592)_x000D_
	at android os Handler handleCallback(Handler java:888)_x000D_
	at android os Handler dispatchMessage(Handler java:100)_x000D_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_x000D_
             APP INFORMATION             _x000D_
ID: com nextcloud client_x000D_
Version: 30150190_x000D_
Build flavor: gplay_x000D_
_x000D_
             DEVICE INFORMATION             _x000D_
Brand: HUAWEI_x000D_
Device: HWSNE_x000D_
Model: SNE LX1_x000D_
Id: HUAWEISNE L21_x000D_
Product: SNE LX1_x000D_
_x000D_
             FIRMWARE             _x000D_
SDK: 29_x000D_
Release: 10_x000D_
Incremental: 10 0 0 245C432_x000D_
_x000D_
   _x000D_
</t>
  </si>
  <si>
    <t>MrReSc-Headi-4</t>
  </si>
  <si>
    <t>Crash when opening the statistics</t>
  </si>
  <si>
    <t xml:space="preserve">If the diary is still empty and the statistics page is opened  the app crashes </t>
  </si>
  <si>
    <t>opentok-opentok-react-native-477</t>
  </si>
  <si>
    <t>Compatibility with React Native 0.64</t>
  </si>
  <si>
    <t xml:space="preserve">  Bug Report_x000D_
_x000D_
  Current behavior  _x000D_
Initializing an OpenTok session results in a crash _x000D_
_x000D_
  Steps to reproduce  _x000D_
1  Update your app to React Native 0 64_x000D_
2  Initialize instance of OpenTok_x000D_
_x000D_
  What is the current  bug  behavior   _x000D_
Full OT js crash_x000D_
_x000D_
  What is the expected  correct  behavior   _x000D_
Initialization as usual_x000D_
_x000D_
  Relevant logs and or screenshots  _x000D_
_x000D_
   _x000D_
TypeError: nativeEvents listeners is not a function_x000D_
   _x000D_
  image (https:  user images githubusercontent com 80416631 111241323 452b6e80 85d3 11eb 934d c48748c537ee png)_x000D_
_x000D_
   Explanation_x000D_
The  NativeEventEmitter  export has changed per https:  github com facebook react native commit b11d6ecbb8bb2f0d6f423be6775e587f4e9b1c4d_x000D_
_x000D_
  TLDR  _x000D_
   diff_x000D_
 listeners(eventType: string):  EmitterSubscription         _x000D_
 listenerCount(eventType: string): number        _x000D_
   _x000D_
_x000D_
With this method no longer available  OT js s  setNativeEvents  function will have to be updated _x000D_
_x000D_
When patching this locally I can get past the crash and everything appears to be running as per usual  but I m definitely worried about what s happening behind the scenes here _x000D_
_x000D_
 details _x000D_
   summary OT js Patch  summary _x000D_
_x000D_
   diff_x000D_
const setNativeEvents   (events)     _x000D_
  const eventNames   Object keys(events) _x000D_
  OT setNativeEvents(eventNames) _x000D_
  each(events  (eventHandler  eventType)     _x000D_
    const allEvents   nativeEvents listeners()_x000D_
 	const allEvents     _x000D_
    if ( allEvents includes(eventType))  _x000D_
      nativeEvents addListener(eventType  eventHandler) _x000D_
     _x000D_
   ) _x000D_
  _x000D_
   _x000D_
_x000D_
  details </t>
  </si>
  <si>
    <t>butzist-ActivityLauncher-66</t>
  </si>
  <si>
    <t>Runtime Exception on AllTasksListAdapter.java due to Package manager has died</t>
  </si>
  <si>
    <t xml:space="preserve">crash logs retrieved from firebase with help of  drogga _x000D_
_x000D_
  Web capture 15 3 2021 20338 console firebase google com (https:  user images githubusercontent com 55515799 111240605 920a4780 85c9 11eb 8f4f c4609bd0f367 jpeg)_x000D_
</t>
  </si>
  <si>
    <t>inaturalist-iNaturalistAndroid-1001</t>
  </si>
  <si>
    <t>NullPointerException in Observation.toJSONObject</t>
  </si>
  <si>
    <t xml:space="preserve">https:  console firebase google com u 2 project inaturalist ios crashlytics app android:org inaturalist android issues afb1fe7d1efd58cdc71c18b79283f009_x000D_
_x000D_
I m pretty sure this is the cause of the crash I experience when I tap on a map marker in Explore  FWIW  this seems to happen for any map marker in Explore  regardless of the observation _x000D_
_x000D_
   _x000D_
Caused by java lang NullPointerException: Attempt to invoke virtual method  long java util Date getTime()  on a null object reference_x000D_
       at java util Calendar setTime(Calendar java:1749)_x000D_
       at java text SimpleDateFormat format(SimpleDateFormat java:1063)_x000D_
       at java text SimpleDateFormat format(SimpleDateFormat java:1056)_x000D_
       at java text DateFormat format(DateFormat java:341)_x000D_
       at org inaturalist android Observation toJSONObject(Observation java:637)_x000D_
       at org inaturalist android Observation toJSONObject(Observation java:596)_x000D_
       at org inaturalist android ObservationViewerActivity loadObservationIntoUI(ObservationViewerActivity java:1941)_x000D_
       at org inaturalist android ObservationViewerActivity onResume(ObservationViewerActivity java:643)_x000D_
       at android app Instrumentation callActivityOnResume(Instrumentation java:1456)_x000D_
       at android app Activity performResume(Activity java:8135)_x000D_
       at android app ActivityThread performResumeActivity(ActivityThread java:4428)_x000D_
   </t>
  </si>
  <si>
    <t>googleads-googleads-mobile-flutter-95</t>
  </si>
  <si>
    <t>🐛 Crashes with Android 5.0.1</t>
  </si>
  <si>
    <t xml:space="preserve">   Bug report_x000D_
_x000D_
  Describe the bug  _x000D_
i just test the interstitial publisher type in this mobile : _x000D_
_x000D_
Samsung S4_x000D_
Android 5 0 1_x000D_
_x000D_
the phone open the app and when the ads begin to show it give it a black screen then it crash the app _x000D_
_x000D_
  Update  _x000D_
_x000D_
by using sentry the crashes tool   it looks like the following :_x000D_
  image (https:  user images githubusercontent com 74349843 111313357 ee707400 8668 11eb 8c92 ec0913132bbe png)_x000D_
_x000D_
_x000D_
   _x000D_
I Ads     ( 4439): Use RequestConfiguration Builder() setTestDeviceIds(Arrays asList( 3AE64AB069F1295E3CB0DF0395543D38 )) to get test ads on this device _x000D_
I AdCheck ( 4439): APS: blockAdView: android widget FrameLayout 3567934 G E             ID 0 0 720 1208  1020002 android:id content _x000D_
I cr Ime  ( 4439): ImeThread is enabled _x000D_
W cr BindingManager( 4439): Cannot call determinedVisibility()   never saw a connection for the pid: 4439_x000D_
I AdCheck ( 4439): APS: blockAdView: com google android gms ads internal webview ac 2b3a81 GFE HV          I  0 0 0 0 _x000D_
I AdCheck ( 4439): APS: blockAdView: com google android gms ads internal webview y b03b8b9 G E             I  0 0 0 0 _x000D_
I cr Ime  ( 4439): ImeThread is enabled _x000D_
W cr BindingManager( 4439): Cannot call determinedVisibility()   never saw a connection for the pid: 4439_x000D_
 log  interstitialAd onAdLoaded Maps_x000D_
I SendBroadcastPermission( 4439): action:huawei intent action APS UPDATE DATA ACTION  mPermissionType:0_x000D_
I AdCheck ( 4439): APS: blockAdView: android widget FrameLayout 8ffbfe9 G E             I  0 0 0 0  1020002 android:id content _x000D_
E art     ( 4439): invalid stream   problem with parameter iterator in  data data com google android gms app chimera m 0000000b dl AdsFdrDynamite integ 210402101000000 apk for method void com google android gms ads nonagon ad event p a(java lang Object)_x000D_
_x000D_
   _x000D_
_x000D_
some mobiles crash and another just restart the app</t>
  </si>
  <si>
    <t>AnySoftKeyboard-AnySoftKeyboard-2785</t>
  </si>
  <si>
    <t>Crash with suggest emojis by tag typing in Discord</t>
  </si>
  <si>
    <t xml:space="preserve">    Steps to reproduce_x000D_
1  Enable  Suggest Emojis by tag typing _x000D_
2  Open Discord and go to any text channel_x000D_
3  Type  : _x000D_
4  Select one of the emojis suggested by Discord (not by the keyboard)  this will fill in the rest of the name of the emoji_x000D_
5  Press any key on the keyboard_x000D_
_x000D_
    Expected behavior_x000D_
The keyboard should realize that stuff was completed externally and continue working normally _x000D_
_x000D_
    Actual behavior_x000D_
The keyboard appears to crash but gets stuck on screen  even if I hit the back or home buttons  This can be fixed by switching to a different keyboard  waiting a bit  then switching back  I presume this would also happen on other apps that somehow complete text with colons but Discord is the only one that I know that does this _x000D_
_x000D_
  Android OS version:   11_x000D_
_x000D_
  Device manufacturer and model:   Samsung Galaxy S10_x000D_
_x000D_
  List of installed add ons (like languages  or themes):   Brazillian Portuguese  Greek_x000D_
</t>
  </si>
  <si>
    <t>TeamNewPipe-NewPipe-5837</t>
  </si>
  <si>
    <t>Jcenter will shut down soon</t>
  </si>
  <si>
    <t xml:space="preserve">I wanted to build NewPipe today but there s a jcenter outage and I m unable to fetch the dependencies _x000D_
_x000D_
When googling for potential mirrors  I found this: https:  blog gradle org jcenter shutdown_x000D_
_x000D_
O o_x000D_
_x000D_
I wasn t even able to fetch the kotlin plugin with a clean GRADLE USER HOME  It s in mavenCentral too thankfully but even with that I get stuck at trove4j which isn t in mavenCentral nor Google s repo _x000D_
_x000D_
Apparently jcenter will go readonly at the end of the month  so this patch will need to be made to work rather soon if we want security patches from that point on:_x000D_
_x000D_
   diff_x000D_
diff   git a build gradle b build gradle_x000D_
index b2593ab42  4f23e4b5e 100644_x000D_
    a build gradle_x000D_
    b build gradle_x000D_
    3 7  3 6   _x000D_
 buildscript  _x000D_
     ext kotlin version    1 4 10 _x000D_
     repositories  _x000D_
         jcenter()_x000D_
         google()_x000D_
      _x000D_
     dependencies  _x000D_
    17 7  16 6    buildscript  _x000D_
 _x000D_
 allprojects  _x000D_
     repositories  _x000D_
         jcenter()_x000D_
         google()_x000D_
         maven   url  https:  jitpack io   _x000D_
         maven   url  https:  clojars org repo   _x000D_
   _x000D_
   _x000D_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</si>
  <si>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PojavLauncherTeam-PojavLauncher-1062</t>
  </si>
  <si>
    <t>[BUG] &lt;game crash&gt;</t>
  </si>
  <si>
    <t xml:space="preserve">Hi i tried to play the version down of 1 10 and if i do a New world the game crash and the snapshots up from 21w08b the game crash at mojang studios logo please can you fix that_x000D_
</t>
  </si>
  <si>
    <t>PojavLauncherTeam-PojavLauncher-1061</t>
  </si>
  <si>
    <t>[BUG] &lt;No crash information flashback&gt;</t>
  </si>
  <si>
    <t>Can the official repair the loophole of flash back without any error  The same flaw lies in version 1 7 10  I flashed back after 23 seconds when I entered the archive  and I crashed after 3 seconds when I became a vampire  This is very annoying  Please fix it</t>
  </si>
  <si>
    <t>aws-amplify-aws-sdk-android-2380</t>
  </si>
  <si>
    <t>NPE in com.amazonaws.mobile.client.AWSMobileClient._signIn (AWSMobileClient.java:1168)</t>
  </si>
  <si>
    <t xml:space="preserve">NPE trying to login _x000D_
_x000D_
  Steps:   _x000D_
1  AWSMobileClient is initialized successfully _x000D_
2  AWSMobileClient getInstance() signOut() wrapped in try catch because of unresolved https:  github com aws amplify aws sdk android issues 2268_x000D_
2  Execute signIn function_x000D_
3  NPE_x000D_
_x000D_
  Expected behavior  _x000D_
No crash_x000D_
_x000D_
  Environment Information :  _x000D_
   com amazonaws:aws android sdk mobile client:2 22 2_x000D_
   Device: Galaxy A50_x000D_
   Android Version: Android 10  API 29_x000D_
_x000D_
  Stack trace  _x000D_
Fatal Exception: java lang NullPointerException: Attempt to invoke virtual method  void com amazonaws mobile client AWSMobileClientStore d(java lang String  java lang String)  on a null object reference_x000D_
       at com amazonaws mobile client AWSMobileClient  signIn(AWSMobileClient java:1168)_x000D_
       at com amazonaws mobile client AWSMobileClient signIn(AWSMobileClient java:1140)_x000D_
       at com amazonaws mobile client AWSMobileClient signIn(AWSMobileClient java:1129)_x000D_
_x000D_
_x000D_
  Something to be noted  _x000D_
There is connection with https:  github com aws amplify aws sdk android issues 2268 because again it s problem with the   mStore   field being null </t>
  </si>
  <si>
    <t>NSU-SP21-CSE486-1-1712265-SP21-CSE486-S01-8</t>
  </si>
  <si>
    <t>Assignment_app_bug</t>
  </si>
  <si>
    <t xml:space="preserve">Lab2 assignment crashing  After build it says   operation success   but app   opens and auto closes    Checked manifest xml  But found no problem   Maybe i have to rebuild it   </t>
  </si>
  <si>
    <t>ankidroid-Anki-Android-8221</t>
  </si>
  <si>
    <t>[Bug] Random crashes in "Add note" screen</t>
  </si>
  <si>
    <t xml:space="preserve">       Reproduction Steps_x000D_
_x000D_
1  Click     and then  Add    in Decks screen to open  Add note  screen _x000D_
2  Select my custom note type  ParentingCloze  with many fields and custom card templates with custom Javascript in it _x000D_
3  Enter the content of the fields and make some clozes _x000D_
4  One time it crashed in this screen  when I was doing some editing or previewing  I do not remember what exactly i did before the crash  The second time it crashed after I clicked the prereview button _x000D_
_x000D_
I spent 5 minutes trying to  reproduce the problem  but I was not able to  It worked this time  _x000D_
_x000D_
I lost in total about 40 minutes of my work because of the crashes  since the data I already entered were lost _x000D_
_x000D_
       Expected Result_x000D_
No crash_x000D_
_x000D_
_x000D_
       Actual Result_x000D_
Crash_x000D_
_x000D_
_x000D_
       Debug info_x000D_
Refer to the  support page (https:  ankidroid org docs help html) if you are unsure where to get the  debug info  _x000D_
AnkiDroid Version   2 14 6_x000D_
_x000D_
Android Version   10_x000D_
_x000D_
ACRA UUID   1b392f85 2b0c 4491 b153 fdb7fb7b8d34_x000D_
_x000D_
Scheduler   std2_x000D_
_x000D_
Crash Reports Enabled   true_x000D_
_x000D_
       Research_x000D_
 Enter an  x  character to confirm the points below: 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(Optional) I have confirmed the issue is not resolved in the latest alpha release ( instructions (https:  docs ankidroid org manual html betaTesting))_x000D_
_x000D_
</t>
  </si>
  <si>
    <t>MewX-light-novel-library_Wenku8_Android-76</t>
  </si>
  <si>
    <t>启动app后操作过快大概率导致crash</t>
  </si>
  <si>
    <t xml:space="preserve">    :_x000D_
 app                           crash_x000D_
  :_x000D_
Android 11 LineageOS 18 1 lenovo k10_x000D_
log:_x000D_
03 15 12:22:52 608  4208  4208 E AndroidRuntime: FATAL EXCEPTION: main_x000D_
03 15 12:22:52 608  4208  4208 E AndroidRuntime: Process: org mewx wenku8  PID: 4208_x000D_
03 15 12:22:52 608  4208  4208 E AndroidRuntime: java lang NullPointerException: Attempt to invoke virtual method  void android view View setVisibility(int)  on a null object reference_x000D_
03 15 12:22:52 608  4208  4208 E AndroidRuntime:        at hr b b(Unknown Source:176)_x000D_
03 15 12:22:52 608  4208  4208 E AndroidRuntime:        at hr b onPostExecute(Unknown Source:2)_x000D_
03 15 12:22:52 608  4208  4208 E AndroidRuntime:        at android os AsyncTask finish(AsyncTask java:771)_x000D_
03 15 12:22:52 608  4208  4208 E AndroidRuntime:        at android os AsyncTask access 900(AsyncTask java:199)_x000D_
03 15 12:22:52 608  4208  4208 E AndroidRuntime:        at android os AsyncTask InternalHandler handleMessage(AsyncTask java:788)_x000D_
03 15 12:22:52 608  4208  4208 E AndroidRuntime:        at android os Handler dispatchMessage(Handler java:106)_x000D_
03 15 12:22:52 608  4208  4208 E AndroidRuntime:        at android os Looper loop(Looper java:223)_x000D_
03 15 12:22:52 608  4208  4208 E AndroidRuntime:        at android app ActivityThread main(ActivityThread java:7660)_x000D_
03 15 12:22:52 608  4208  4208 E AndroidRuntime:        at java lang reflect Method invoke(Native Method)_x000D_
03 15 12:22:52 608  4208  4208 E AndroidRuntime:        at com android internal os RuntimeInit MethodAndArgsCaller run(RuntimeInit java:592)_x000D_
03 15 12:22:52 608  4208  4208 E AndroidRuntime:        at com android internal os ZygoteInit main(ZygoteInit java:947)_x000D_
</t>
  </si>
  <si>
    <t>AOF-Dev-MCinaBox-1026</t>
  </si>
  <si>
    <t xml:space="preserve">1.13 and 1.14 Crash on 32 bits mcinabox </t>
  </si>
  <si>
    <t xml:space="preserve">1 install 1 13 or 1 14
2 open the game
3 wait minutes
4 crash 
Phone:J5 Prime Samsung 
Android: 8 0
Samsung experience:9 0
Bits: 32
</t>
  </si>
  <si>
    <t>UniRegensburg-unsere-app-fur-die-universitat-regensburg-bib-buddy-119</t>
  </si>
  <si>
    <t>Note related bugs</t>
  </si>
  <si>
    <t xml:space="preserve">There are some small bugs related to notes _x000D_
_x000D_
1    Blobs have a limited size of 1MB   which might cause the app to crash on potentially creating too large voice notes _x000D_
_x000D_
2  Creating a   new text note   in editor and leaving it (going back to the BookNotesFragment) is causing its itemView to be   selected on default     could not find the reason yet </t>
  </si>
  <si>
    <t>TeamNewPipe-NewPipe-5828</t>
  </si>
  <si>
    <t>Many bugs related to Android TV, newpipe 0.20.11</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</si>
  <si>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user images githubusercontent com 69087924 111076394 29ac5f00 8512 11eb 8f38 dd7c6ef3dd86 mp4_x000D_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</si>
  <si>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PojavLauncherTeam-PojavLauncher-1057</t>
  </si>
  <si>
    <t>Every time the game freeze the game keep crashing.</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</si>
  <si>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A clear and concise description of what the bug is _x000D_
I m playing Vic s Modern Warfare Mod then suddenly the game freeze and crashed_x000D_
_x000D_
  Add a log file if you want to see your bug fixed    _x000D_
_x000D_
The log file called  lastlog txt  is located under   games PojavLauncher  minecraft    _x000D_
You may need to activate an option in your file explorer to see hidden files and folders _x000D_
_x000D_
Do NOT paste the whole log text   Instead  add it as a file on this issue _x000D_
 latestlog txt (https:  github com PojavLauncherTeam PojavLauncher files 6136774 latestlog txt)_x000D_
_x000D_
_x000D_
    To Reproduce:_x000D_
Indicate steps to reproduce the buggy behavior:_x000D_
_x000D_
1  Start PojavLauncher_x000D_
2  Choose 1 12 2 forge 14 23 5 2854_x000D_
3  Loading   _x000D_
4  Create a World_x000D_
5  Open inv choose a gun_x000D_
6  The game freeze_x000D_
7  Last it crashed_x000D_
_x000D_
    Expected behavior:_x000D_
I expected the game will run smoothly  no freezing and no crashing _x000D_
_x000D_
  Platform:  _x000D_
   Device Model OPPO A12e CPH1853_x000D_
   CPU architecture 64 bit_x000D_
   Android Version 8 1_x000D_
   PojavLauncher Version latest build_x000D_
   RAM Used 1000MB_x000D_
   RAM 3GB_x000D_
   GPU Andreno 506 Qualcomm SDM 450 Octa Core_x000D_
_x000D_
_x000D_
 details   summary  b Additional context  b   summary _x000D_
 br _x000D_
 pre _x000D_
Add any other context about the problem here _x000D_
  pre _x000D_
  details _x000D_
</t>
  </si>
  <si>
    <t>ElderDrivers-EdXposed-851</t>
  </si>
  <si>
    <t xml:space="preserve">[BUG] </t>
  </si>
  <si>
    <t xml:space="preserve">Hi jim wu   when you out the new update from edxposed    My latest debug or master version issue with jasi patcher app  and my whole phone apps its crash when jasi patcher edxposed framework is active  _x000D_
</t>
  </si>
  <si>
    <t>TeamNewPipe-NewPipe-5817</t>
  </si>
  <si>
    <t>Unable to load feed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</si>
  <si>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Install Newpipe_x000D_
2  Refresh feed (My subscription list is available in attachment)_x000D_
3  See that it blocks while loading feed_x000D_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feed don t load_x000D_
_x000D_
_x000D_
    Expected behavior_x000D_
     Tell us what you expect to happen     _x000D_
It should load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Screenshot 20210313 152037 Fennec (https:  user images githubusercontent com 57091497 111033054 ad315780 840f 11eb 8a03 02a7616d5903 png)_x000D_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LineageOS 17 1_x000D_
   Device model: Lenovo Z5 pro GT_x000D_
</t>
  </si>
  <si>
    <t>cgeo-cgeo-10138</t>
  </si>
  <si>
    <t>NPE in Routing logic should be safeguarded</t>
  </si>
  <si>
    <t xml:space="preserve">In preparation of a geocaching tour I imported a GPX yesterday  which was generated by https:  www project gc com_x000D_
After that I notices  that c geo keeps crashing under certain conditions  I am not 100  sure  that the GPX causes it but it seems likely as it happens on two devices  where c:geo was running stable until I imported the same GPX _x000D_
_x000D_
 20210312190043 Favaround zip (https:  github com cgeo cgeo files 6134583 20210312190043 Favaround zip)_x000D_
_x000D_
  Import the attached zipped GPX (in zipped format) into a new list  Fav around _x000D_
  Open the list_x000D_
  Map the list (using OSM map)_x000D_
  Leave the map  return to the list_x000D_
  Leave the list to the mainscreen and either wait some seconds or do some other action (e g  try to open the settings)_x000D_
_x000D_
This procedure reproducibly crashes my c:geo 2021 03 12 NB_x000D_
_x000D_
I am unsure about the corresponding error log  as somehow the logfile shows different problems or no exceptions logs at all while trying to produce this problem  Here is what I found so far  but you might want to try it yourself using the attached GPX  _x000D_
The problem might even be unrelated to these stacktraces _x000D_
_x000D_
   _x000D_
03 13 11:44:34 106  6491  6491 E cgeo    :  main  Error requesting indeterminate progress_x000D_
03 13 11:44:34 106  6491  6491 E cgeo    : android util AndroidRuntimeException: Window feature must be requested before adding content_x000D_
03 13 11:44:34 106  6491  6491 E cgeo    : 	at androidx appcompat app AppCompatDelegateImpl throwFeatureRequestIfSubDecorInstalled(AppCompatDelegateImpl java:2309)_x000D_
03 13 11:44:34 106  6491  6491 E cgeo    : 	at androidx appcompat app AppCompatDelegateImpl requestWindowFeature(AppCompatDelegateImpl java:1085)_x000D_
03 13 11:44:34 106  6491  6491 E cgeo    : 	at androidx appcompat app AppCompatActivity supportRequestWindowFeature(AppCompatActivity java:267)_x000D_
03 13 11:44:34 106  6491  6491 E cgeo    : 	at cgeo geocaching activity AbstractActivity onCreateCommon(AbstractActivity java:150)_x000D_
03 13 11:44:34 106  6491  6491 E cgeo    : 	at cgeo geocaching activity AbstractActivity onCreate(AbstractActivity java:131)_x000D_
03 13 11:44:34 106  6491  6491 E cgeo    : 	at cgeo geocaching CachePopup onCreate(CachePopup java:43)_x000D_
03 13 11:44:34 106  6491  6491 E cgeo    : 	at android app Activity performCreate(Activity java:7957)_x000D_
03 13 11:44:34 106  6491  6491 E cgeo    : 	at android app Activity performCreate(Activity java:7946)_x000D_
03 13 11:44:34 106  6491  6491 E cgeo    : 	at android app Instrumentation callActivityOnCreate(Instrumentation java:1307)_x000D_
03 13 11:44:34 106  6491  6491 E cgeo    : 	at android app ActivityThread performLaunchActivity(ActivityThread java:3598)_x000D_
03 13 11:44:34 106  6491  6491 E cgeo    : 	at android app ActivityThread handleLaunchActivity(ActivityThread java:3775)_x000D_
03 13 11:44:34 106  6491  6491 E cgeo    : 	at android app servertransaction LaunchActivityItem execute(LaunchActivityItem java:83)_x000D_
03 13 11:44:34 106  6491  6491 E cgeo    : 	at android app servertransaction TransactionExecutor executeCallbacks(TransactionExecutor java:135)_x000D_
03 13 11:44:34 106  6491  6491 E cgeo    : 	at android app servertransaction TransactionExecutor execute(TransactionExecutor java:95)_x000D_
03 13 11:44:34 106  6491  6491 E cgeo    : 	at android app ActivityThread H handleMessage(ActivityThread java:2261)_x000D_
03 13 11:44:34 106  6491  6491 E cgeo    : 	at android os Handler dispatchMessage(Handler java:107)_x000D_
03 13 11:44:34 106  6491  6491 E cgeo    : 	at android os Looper loop(Looper java:237)_x000D_
03 13 11:44:34 106  6491  6491 E cgeo    : 	at android app ActivityThread main(ActivityThread java:8107)_x000D_
03 13 11:44:34 106  6491  6491 E cgeo    : 	at java lang reflect Method invoke(Native Method)_x000D_
03 13 11:44:34 106  6491  6491 E cgeo    : 	at com android internal os RuntimeInit MethodAndArgsCaller run(RuntimeInit java:496)_x000D_
03 13 11:44:34 106  6491  6491 E cgeo    : 	at com android internal os ZygoteInit main(ZygoteInit java:1100)_x000D_
03 13 11:44:34 108  6491  6491 E cgeo    :  main  Error requesting no title feature_x000D_
03 13 11:44:34 108  6491  6491 E cgeo    : android util AndroidRuntimeException: Window feature must be requested before adding content_x000D_
03 13 11:44:34 108  6491  6491 E cgeo    : 	at androidx appcompat app AppCompatDelegateImpl throwFeatureRequestIfSubDecorInstalled(AppCompatDelegateImpl java:2309)_x000D_
03 13 11:44:34 108  6491  6491 E cgeo    : 	at androidx appcompat app AppCompatDelegateImpl requestWindowFeature(AppCompatDelegateImpl java:1089)_x000D_
03 13 11:44:34 108  6491  6491 E cgeo    : 	at androidx appcompat app AppCompatActivity supportRequestWindowFeature(AppCompatActivity java:267)_x000D_
03 13 11:44:34 108  6491  6491 E cgeo    : 	at cgeo geocaching CachePopup onCreate(CachePopup java:45)_x000D_
03 13 11:44:34 108  6491  6491 E cgeo    : 	at android app Activity performCreate(Activity java:7957)_x000D_
03 13 11:44:34 108  6491  6491 E cgeo    : 	at android app Activity performCreate(Activity java:7946)_x000D_
03 13 11:44:34 108  6491  6491 E cgeo    : 	at android app Instrumentation callActivityOnCreate(Instrumentation java:1307)_x000D_
03 13 11:44:34 108  6491  6491 E cgeo    : 	at android app ActivityThread performLaunchActivity(ActivityThread java:3598)_x000D_
03 13 11:44:34 108  6491  6491 E cgeo    : 	at android app ActivityThread handleLaunchActivity(ActivityThread java:3775)_x000D_
03 13 11:44:34 108  6491  6491 E cgeo    : 	at android app servertransaction LaunchActivityItem execute(LaunchActivityItem java:83)_x000D_
03 13 11:44:34 108  6491  6491 E cgeo    : 	at android app servertransaction TransactionExecutor executeCallbacks(TransactionExecutor java:135)_x000D_
03 13 11:44:34 108  6491  6491 E cgeo    : 	at android app servertransaction TransactionExecutor execute(TransactionExecutor java:95)_x000D_
03 13 11:44:34 108  6491  6491 E cgeo    : 	at android app ActivityThread H handleMessage(ActivityThread java:2261)_x000D_
03 13 11:44:34 108  6491  6491 E cgeo    : 	at android os Handler dispatchMessage(Handler java:107)_x000D_
03 13 11:44:34 108  6491  6491 E cgeo    : 	at android os Looper loop(Looper java:237)_x000D_
03 13 11:44:34 108  6491  6491 E cgeo    : 	at android app ActivityThread main(ActivityThread java:8107)_x000D_
03 13 11:44:34 108  6491  6491 E cgeo    : 	at java lang reflect Method invoke(Native Method)_x000D_
03 13 11:44:34 108  6491  6491 E cgeo    : 	at com android internal os RuntimeInit MethodAndArgsCaller run(RuntimeInit java:496)_x000D_
03 13 11:44:34 108  6491  6491 E cgeo    : 	at com android internal os ZygoteInit main(ZygoteInit java:1100)_x000D_
   _x000D_
_x000D_
   _x000D_
3 12 21:00:16 053 25031 28302 E AndroidRuntime: FATAL EXCEPTION: RxCachedThreadScheduler 3_x000D_
03 12 21:00:16 053 25031 28302 E AndroidRuntime: Process: cgeo geocaching  PID: 25031_x000D_
03 12 21:00:16 053 25031 28302 E AndroidRuntime: java lang NullPointerException: Attempt to invoke virtual method  java lang String cgeo geocaching maps routing BRouterServiceConnection getTrackFromParams(android os Bundle)  on a null object reference_x000D_
03 12 21:00:16 053 25031 28302 E AndroidRuntime: 	at cgeo geocaching maps routing Routing calculateRouting(Routing java:203)_x000D_
03 12 21:00:16 053 25031 28302 E AndroidRuntime: 	at cgeo geocaching maps routing Routing getTrackNoCaching(Routing java:181)_x000D_
03 12 21:00:16 053 25031 28302 E AndroidRuntime: 	at cgeo geocaching models Route calculateNavigationRoute(Route java:145)_x000D_
03 12 21:00:16 053 25031 28302 E AndroidRuntime: 	at cgeo geocaching models IndividualRoute toggleItemInternal(IndividualRoute java:133)_x000D_
03 12 21:00:16 053 25031 28302 E AndroidRuntime: 	at cgeo geocaching models IndividualRoute loadRouteInternal(IndividualRoute java:99)_x000D_
03 12 21:00:16 053 25031 28302 E AndroidRuntime: 	at cgeo geocaching models IndividualRoute lambda  GNSf27WQYOP2dSZLbdIUw Qclw(Unknown Source:0)_x000D_
03 12 21:00:16 053 25031 28302 E AndroidRuntime: 	at cgeo geocaching models    Lambda IndividualRoute  GNSf27WQYOP2dSZLbdIUw Qclw run(Unknown Source:2)_x000D_
03 12 21:00:16 053 25031 28302 E AndroidRuntime: 	at cgeo geocaching utils AndroidRxUtils lambda andThenOnUi 2(AndroidRxUtils java:70)_x000D_
03 12 21:00:16 053 25031 28302 E AndroidRuntime: 	at cgeo geocaching utils    Lambda AndroidRxUtils bqzWo9nlvU86BvboB 9jhDWp5vc run(Unknown Source:4)_x000D_
03 12 21:00:16 053 25031 28302 E AndroidRuntime: 	at io reactivex rxjava3 internal schedulers ScheduledRunnable run(ScheduledRunnable java:65)_x000D_
03 12 21:00:16 053 25031 28302 E AndroidRuntime: 	at io reactivex rxjava3 internal schedulers ScheduledRunnable call(ScheduledRunnable java:56)_x000D_
03 12 21:00:16 053 25031 28302 E AndroidRuntime: 	at java util concurrent FutureTask run(FutureTask java:266)_x000D_
03 12 21:00:16 053 25031 28302 E AndroidRuntime: 	at java util concurrent ScheduledThreadPoolExecutor ScheduledFutureTask run(ScheduledThreadPoolExecutor java:301)_x000D_
03 12 21:00:16 053 25031 28302 E AndroidRuntime: 	at java util concurrent ThreadPoolExecutor runWorker(ThreadPoolExecutor java:1167)_x000D_
03 12 21:00:16 053 25031 28302 E AndroidRuntime: 	at java util concurrent ThreadPoolExecutor Worker run(ThreadPoolExecutor java:641)_x000D_
03 12 21:00:16 053 25031 28302 E AndroidRuntime: 	at java lang Thread run(Thread java:919)_x000D_
   _x000D_
_x000D_
_x000D_
_x000D_
_x000D_
</t>
  </si>
  <si>
    <t>PojavLauncherTeam-PojavLauncher-1044</t>
  </si>
  <si>
    <t>[BUG] 1.13+ Worked but 1.7.10 Crashed</t>
  </si>
  <si>
    <t xml:space="preserve">    Describe the bug_x000D_
Well I played 1 7 10 and it was working i was getting 100  FPS and it seems to be fine  but once I played for a while it crashed  so I try 1 16 5 and it was not crashing _x000D_
_x000D_
 latestlog txt (https:  github com PojavLauncherTeam PojavLauncher files 6134338 latestlog txt)_x000D_
_x000D_
    To Reproduce:_x000D_
1  Start PojavLauncher_x000D_
2  Play 1 7 10 and start world_x000D_
3  Play for a while_x000D_
4  Crash_x000D_
_x000D_
    Expected behavior:_x000D_
idk Maybe GLFW stub worked better for me  (Also I try mcinabox and it seems that 1 7 10 work and it not crashing)_x000D_
_x000D_
  Platform:  _x000D_
   Device Model KFMAWI (maverick)_x000D_
   CPU architecture armv8I_x000D_
   Android Version 9_x000D_
   PojavLauncher Version  Google Play version </t>
  </si>
  <si>
    <t>ankidroid-Anki-Android-8178</t>
  </si>
  <si>
    <t>[Bug] Rust - Check Database OOM</t>
  </si>
  <si>
    <t xml:space="preserve">https:  couchdb ankidroid org acralyzer  design acralyzer index html  report details 2811a70b bccf 4ad4 9b94 3386ac6d4196_x000D_
_x000D_
   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java:289)_x000D_
at java util concurrent ThreadPoolExecutor runWorker(ThreadPoolExecutor java:1167)_x000D_
at java util concurrent ThreadPoolExecutor Worker run(ThreadPoolExecutor java:641)_x000D_
at java lang Thread run(Thread java:919)_x000D_
Caused by: java lang OutOfMemoryError: Failed to allocate a 169408 byte allocation with 118096 free bytes and 115KB until OOM  target footprint 536870912  growth limit 536870912_x000D_
at java lang StringFactory newStringFromChars(StringFactory java:260)_x000D_
at com google protobuf Utf8 SafeProcessor decodeUtf8(Utf8 java:20)_x000D_
at com google protobuf Utf8 decodeUtf8(Utf8 java:2)_x000D_
at com google protobuf CodedInputStream ArrayDecoder readStringRequireUtf8(CodedInputStream java:3)_x000D_
at BackendProto Sqlite SqlValue  init (Sqlite java:20)_x000D_
at BackendProto Sqlite SqlValue  init (Sqlite java:1)_x000D_
at BackendProto Sqlite SqlValue 1 parsePartialFrom(Sqlite java:2)_x000D_
at BackendProto Sqlite SqlValue 1 parsePartialFrom(Sqlite java:1)_x000D_
at com google protobuf CodedInputStream ArrayDecoder readMessage(CodedInputStream java:14)_x000D_
at BackendProto Sqlite Row  init (Sqlite java:15)_x000D_
at BackendProto Sqlite Row  init (Sqlite java:1)_x000D_
at BackendProto Sqlite Row 1 parsePartialFrom(Sqlite java:2)_x000D_
at BackendProto Sqlite Row 1 parsePartialFrom(Sqlite java:1)_x000D_
at com google protobuf CodedInputStream ArrayDecoder readMessage(CodedInputStream java:14)_x000D_
at BackendProto Sqlite DBResult  init (Sqlite java:15)_x000D_
at BackendProto Sqlite DBResult  init (Sqlite java:1)_x000D_
at BackendProto Sqlite DBResult 1 parsePartialFrom(Sqlite java:2)_x000D_
at BackendProto Sqlite DBResult 1 parsePartialFrom(Sqlite java:1)_x000D_
at com google protobuf CodedInputStream ArrayDecoder readMessage(CodedInputStream java:14)_x000D_
at BackendProto Sqlite DBResponse  init (Sqlite java:16)_x000D_
at BackendProto Sqlite DBResponse  init (Sqlite java:1)_x000D_
at BackendProto Sqlite DBResponse 1 parsePartialFrom(Sqlite java:2)_x000D_
at BackendProto Sqlite DBResponse 1 parsePartialFrom(Sqlite java:1)_x000D_
at com google protobuf AbstractParser parsePartialFrom(AbstractParser java:18)_x000D_
at com google protobuf AbstractParser parseFrom(AbstractParser java:24)_x000D_
at com google protobuf AbstractParser parseFrom(AbstractParser java:26)_x000D_
at com google protobuf AbstractParser parseFrom(AbstractParser java:27)_x000D_
at com google protobuf AbstractParser parseFrom(AbstractParser java:9)_x000D_
at BackendProto Sqlite DBResponse parseFrom(Sqlite java:5)_x000D_
at net ankiweb rsdroid BackendV1Impl getPage(BackendV1Impl java:4)_x000D_
at net ankiweb rsdroid BackendMutex getPage(BackendMutex java:2)_x000D_
at net ankiweb rsdroid database Session getPage(Session java:1)_x000D_
at net ankiweb rsdroid database StreamingProtobufSQLiteCursor getNextPage(StreamingProtobufSQLiteCursor java:3)_x000D_
at net ankiweb rsdroid database StreamingProtobufSQLiteCursor moveToNext(StreamingProtobufSQLiteCursor java:2)_x000D_
at com ichi2 libanki Collection  fieldData(Collection java:3)_x000D_
at com ichi2 libanki Collection updateFieldCache(Collection java:5)_x000D_
at com ichi2 libanki Collection updateFieldCache(Collection java:2)_x000D_
at com ichi2 libanki Collection updateFieldCache(Collection java:16)_x000D_
at com ichi2 libanki Collection q(Unknown Source:0)_x000D_
at com ichi2 libanki q apply(Unknown Source:4)_x000D_
at com ichi2 libanki Collection lambda fixIntegrity 1(Collection java:2)_x000D_
at com ichi2 libanki Collection j(Unknown Source:0)_x000D_
at com ichi2 libanki g consume(Unknown Source:8)_x000D_
at com ichi2 libanki Collection fixIntegrity(Collection java:27)_x000D_
at com ichi2 async CollectionTask CheckDatabase task(CollectionTask java:5)_x000D_
at com ichi2 async CollectionTask CheckDatabase task(CollectionTask java:1)_x000D_
at com ichi2 async CollectionTask actualDoInBackground(CollectionTask java:14)_x000D_
at com ichi2 async CollectionTask doInBackground(CollectionTask java:2)_x000D_
at com ichi2 async CollectionTask doInBackground(CollectionTask java:1)_x000D_
at android os AsyncTask 3 call(AsyncTask java:378)_x000D_
at java util concurrent FutureTask run(FutureTask java:266)_x000D_
    4 more_x000D_
   _x000D_
_x000D_
Initial Thoughts_x000D_
_x000D_
  Better handling of Rust DB Streaming _x000D_
    Maybe: instead of 1000 rows  determine how to count the size of a protobuf as we stream it into a byte array  and stop at a certain point_x000D_
     Or vary the number of rows: since we re getting FieldData  rows can be arbitrarily large_x000D_
     Maybe this isn t a blocker if we can  fail forward  and move this to Rust in V2 16 X _x000D_
  https:  github com david allison 1 Anki Android Backend issues 14   provide a lambda to the backend which contains  Are we low on OOM _x000D_
  Maybe catch the OOM here and use a fallback which won t fail  This will be slow but better than crashing </t>
  </si>
  <si>
    <t>nextcloud-android-library-594</t>
  </si>
  <si>
    <t>com.nextcloud.android.beta craches in IPV6PreferringDNS.lookup in constant restart loop (as long as wifi connected)</t>
  </si>
  <si>
    <t xml:space="preserve">I have been running the beta android client the last couple of years basically with only one serious problem before  this it number two _x000D_
_x000D_
   log_x000D_
03 12 16:56:41 174 16254 16375 E AndroidRuntime: FATAL EXCEPTION: Thread 5_x000D_
03 12 16:56:41 174 16254 16375 E AndroidRuntime: Process: com nextcloud android beta  PID: 16254_x000D_
03 12 16:56:41 174 16254 16375 E AndroidRuntime: java lang UnsupportedOperationException_x000D_
03 12 16:56:41 174 16254 16375 E AndroidRuntime:        at java util AbstractList set(AbstractList java:132)_x000D_
03 12 16:56:41 174 16254 16375 E AndroidRuntime:        at java util AbstractList ListItr set(AbstractList java:426)_x000D_
03 12 16:56:41 174 16254 16375 E AndroidRuntime:        at java util Collections sort(Collections java:247)_x000D_
03 12 16:56:41 174 16254 16375 E AndroidRuntime:        at com nextcloud common IPV6PreferringDNS lookup(IPV6PreferringDNS java:30)_x000D_
03 12 16:56:41 174 16254 16375 E AndroidRuntime:        at okhttp3 internal connection RouteSelector resetNextInetSocketAddress(RouteSelector kt:164)_x000D_
03 12 16:56:41 174 16254 16375 E AndroidRuntime:        at okhttp3 internal connection RouteSelector nextProxy(RouteSelector kt:129)_x000D_
03 12 16:56:41 174 16254 16375 E AndroidRuntime:        at okhttp3 internal connection RouteSelector next(RouteSelector kt:71)_x000D_
03 12 16:56:41 174 16254 16375 E AndroidRuntime:        at okhttp3 internal connection ExchangeFinder findConnection(ExchangeFinder kt:205)_x000D_
03 12 16:56:41 174 16254 16375 E AndroidRuntime:        at okhttp3 internal connection ExchangeFinder findHealthyConnection(ExchangeFinder kt:106)_x000D_
03 12 16:56:41 174 16254 16375 E AndroidRuntime:        at okhttp3 internal connection ExchangeFinder find(ExchangeFinder kt:74)_x000D_
03 12 16:56:41 174 16254 16375 E AndroidRuntime:        at okhttp3 internal connection RealCall initExchange okhttp(RealCall kt:255)_x000D_
03 12 16:56:41 174 16254 16375 E AndroidRuntime:        at okhttp3 internal connection ConnectInterceptor intercept(ConnectInterceptor kt:32)_x000D_
03 12 16:56:41 174 16254 16375 E AndroidRuntime:        at okhttp3 internal http RealInterceptorChain proceed(RealInterceptorChain kt:109)_x000D_
03 12 16:56:41 174 16254 16375 E AndroidRuntime:        at okhttp3 internal cache CacheInterceptor intercept(CacheInterceptor kt:95)_x000D_
03 12 16:56:41 174 16254 16375 E AndroidRuntime:        at okhttp3 internal http RealInterceptorChain proceed(RealInterceptorChain kt:109)_x000D_
03 12 16:56:41 174 16254 16375 E AndroidRuntime:        at okhttp3 internal http BridgeInterceptor intercept(BridgeInterceptor kt:83)_x000D_
03 12 16:56:41 174 16254 16375 E AndroidRuntime:        at okhttp3 internal http RealInterceptorChain proceed(RealInterceptorChain kt:109)_x000D_
03 12 16:56:41 174 16254 16375 E AndroidRuntime:        at okhttp3 internal http RetryAndFollowUpInterceptor intercept(RetryAndFollowUpInterceptor kt:76)_x000D_
03 12 16:56:41 174 16254 16375 E AndroidRuntime:        at okhttp3 internal http RealInterceptorChain proceed(RealInterceptorChain kt:109)_x000D_
03 12 16:56:41 174 16254 16375 E AndroidRuntime:        at okhttp3 internal connection RealCall getResponseWithInterceptorChain okhttp(RealCall kt:201)_x000D_
03 12 16:56:41 174 16254 16375 E AndroidRuntime:        at okhttp3 internal connection RealCall execute(RealCall kt:154)_x000D_
03 12 16:56:41 174 16254 16375 E AndroidRuntime:        at com nextcloud common OkHttpMethodBase execute(OkHttpMethodBase kt:171)_x000D_
03 12 16:56:41 174 16254 16375 E AndroidRuntime:        at com nextcloud client network ConnectivityServiceImpl isInternetWalled(ConnectivityServiceImpl java:75)_x000D_
03 12 16:56:41 174 16254 16375 E AndroidRuntime:        at com owncloud android utils FilesSyncHelper lambda restartJobsIfNeeded 0(FilesSyncHelper java:207)_x000D_
03 12 16:56:41 174 16254 16375 E AndroidRuntime:        at com owncloud android utils    Lambda FilesSyncHelper 78U1WN nzr5HiGIrRZMThSEamz8 run(lambda)_x000D_
03 12 16:56:41 174 16254 16375 E AndroidRuntime:        at java lang Thread run(Thread java:761)_x000D_
03 12 16:56:41 241   562 16383 I chatty  : uid 1000 system server expire 1 line_x000D_
03 12 16:56:41 268   562  6111 I ActivityManager: Process com nextcloud android beta (pid 16254) has died_x000D_
03 12 16:56:41 269   562  6111 D ActivityManager: cleanUpApplicationRecord    16254_x000D_
03 12 16:56:41 269   562  6111 W ActivityManager: Scheduling restart of crashed service com nextcloud android beta androidx work impl background systemjob SystemJobService in 1000ms_x000D_
03 12 16:56:41 269   562  6111 W ActivityManager: Scheduling restart of crashed service com nextcloud android beta com owncloud android services AccountManagerService in 11000ms_x000D_
03 12 16:56:41 269   562  6111 I ActivityManager: Killing 16260:com nextcloud android beta:crash u0a184 (adj 0): depends on provider com nextcloud android beta com owncloud android providers FileContentProvider in dying proc com nextcloud android beta (adj 0)_x000D_
03 12 16:56:41 315   562  2187 I WindowManager: WIN DEATH: Window bf2c98c u0 com nextcloud android beta com nextcloud client errorhandling ShowErrorActivity _x000D_
03 12 16:56:41 325   562  8038 I ActivityManager: Start proc 16384:com nextcloud android beta u0a184 for service com nextcloud android beta com owncloud android services AccountManagerService_x000D_
03 12 16:56:41 326   562  8294 D ActivityManager: cleanUpApplicationRecord    16260_x000D_
03 12 16:56:41 327   562  8294 W ActivityManager: Force removing ActivityRecord ef0a427 u0 com nextcloud android beta com nextcloud client errorhandling ShowErrorActivity t3751 : app died  no saved state_x000D_
03 12 16:56:41 386   562   583 W WindowManager: Failed looking up window_x000D_
   _x000D_
_x000D_
Looking at the code  the function is quite simple_x000D_
_x000D_
   java_x000D_
        public List InetAddress  lookup(String hostname) throws UnknownHostException  _x000D_
            List InetAddress  addresses   cache get(hostname toLowerCase(Locale ROOT)) _x000D_
_x000D_
            if (addresses    null)  _x000D_
                return addresses _x000D_
             _x000D_
_x000D_
            addresses   Dns SYSTEM lookup(hostname) _x000D_
            Collections sort(addresses  (address1  address2)     _x000D_
                if(address1 instanceof Inet4Address)  _x000D_
                    return 1 _x000D_
                  else  _x000D_
                    return  1 _x000D_
                 _x000D_
             ) _x000D_
            cache put(hostname  addresses) _x000D_
_x000D_
            return addresses _x000D_
         _x000D_
   _x000D_
_x000D_
I am not sure what types  Dns SYSTEM lookup  returns  but looking into why  sort  can fail  it seems to be cause by missing  set  support on the elements _x000D_
_x000D_
https:  stackoverflow com questions 53065894 collections sort throws unsupportedoperationexception while sorting a list after_x000D_
https:  stackoverflow com questions 21854353 why does collections sort throw unsupported operation exception while sorting by_x000D_
https:  stackoverflow com questions 55802573 abstractlist unsupportedoperationexception when calling sort on a list_x000D_
_x000D_
Probably you need to wrap the result in an ArrayList before attempting to sort </t>
  </si>
  <si>
    <t>nextcloud-android-8166</t>
  </si>
  <si>
    <t>Crash when trying to share folder</t>
  </si>
  <si>
    <t xml:space="preserve">    Steps to reproduce_x000D_
1  Open Nextcloud App_x000D_
2  Tap the Share icon on folder_x000D_
3  Type the name of the other user (on same server)_x000D_
_x000D_
    Expected behaviour_x000D_
It should share to the other use_x000D_
_x000D_
    Actual behaviour_x000D_
I get an immediate crash  If I re try it crashes again _x000D_
Sharing from the web interface works fine _x000D_
_x000D_
    Can you reproduce this problem on https:  try nextcloud com _x000D_
Yes  just tried on try nextcloud com and got the same crash sharing to a random account there _x000D_
_x000D_
    Environment data_x000D_
Android version: 11_x000D_
_x000D_
Device model: S21 Ultra_x000D_
_x000D_
Stock or customized system: Stock_x000D_
_x000D_
Nextcloud app version: 30150090 (installed from F Droid)_x000D_
_x000D_
Nextcloud server version: 20 0 8   running in docker using the official nextcloud docker_x000D_
_x000D_
Reverse proxy: Yes   nginx_x000D_
_x000D_
    Logs_x000D_
     Web server error log_x000D_
   _x000D_
root bigtuckey     cat nextcloud crash log_x000D_
Attaching to nextcloud nextcloud 1_x000D_
nextcloud 1 38cb3d836e7c   10 1 1 9      12 Mar 2021:23:09:08  0000   GET  index php 204 HTTP 1 0  204 1347      Mozilla 5 0 (Android) Nextcloud android 3 15 0 _x000D_
nextcloud 1 38cb3d836e7c   10 1 1 9      12 Mar 2021:23:09:08  0000   GET  index php 204 HTTP 1 0  204 1343      Mozilla 5 0 (Android) Nextcloud android 3 15 0 _x000D_
nextcloud 1 38cb3d836e7c   10 1 1 9      12 Mar 2021:23:09:08  0000   GET  index php 204 HTTP 1 0  204 1347      Mozilla 5 0 (Android) Nextcloud android 3 15 0 _x000D_
nextcloud 1 38cb3d836e7c   10 1 1 9      12 Mar 2021:23:09:08  0000   GET  index php 204 HTTP 1 0  204 1347      Mozilla 5 0 (Android) Nextcloud android 3 15 0 _x000D_
nextcloud 1 38cb3d836e7c   10 1 1 9   jtuckey  12 Mar 2021:23:09:13  0000   PROPFIND  remote php dav files jtuckey  HTTP 1 0  207 995      Mozilla 5 0 (Linux) mirall 3 1 3git (build 4849) (Nextcloud) _x000D_
nextcloud 1 38cb3d836e7c   10 1 1 9   jtuckey  12 Mar 2021:23:09:25  0000   PROPFIND  remote php dav files jtuckey  HTTP 1 0  207 995      Mozilla 5 0 (Linux) mirall 3 1 3git (build 4849) (Nextcloud) _x000D_
nextcloud 1 38cb3d836e7c   10 1 1 9   jtuckey  12 Mar 2021:23:09:25  0000   PROPFIND  remote php dav files jtuckey  HTTP 1 0  207 1008      Mozilla 5 0 (Linux) mirall 3 1 3git (build 4849) (Nextcloud) _x000D_
nextcloud 1 38cb3d836e7c   10 1 1 9   jtuckey  12 Mar 2021:23:09:29  0000   PROPFIND  remote php dav files jtuckey  HTTP 1 0  207 1008      Mozilla 5 0 (Linux) mirall 3 1 3git (build 4849) (Nextcloud) _x000D_
nextcloud 1 38cb3d836e7c   10 1 1 9      12 Mar 2021:23:09:31  0000   GET  ocs v2 php apps notifications api v2 notifications HTTP 1 0  304 249      Mozilla 5 0 (X11  Linux x86 64  rv:87 0) Gecko 20100101 Firefox 87 0 _x000D_
nextcloud 1 38cb3d836e7c   10 1 1 9   jtuckey  12 Mar 2021:23:09:43  0000   PROPFIND  remote php dav files jtuckey  HTTP 1 0  207 995      Mozilla 5 0 (Linux) mirall 3 1 3git (build 4849) (Nextcloud) _x000D_
nextcloud 1 38cb3d836e7c   10 1 1 9   jtuckey  12 Mar 2021:23:09:46  0000   GET  ocs v1 php cloud user format json HTTP 1 0  200 1330      Mozilla 5 0 (Android) Nextcloud android 3 15 0 _x000D_
nextcloud 1 38cb3d836e7c   10 1 1 9   jtuckey  12 Mar 2021:23:09:46  0000   GET  status php HTTP 1 0  200 1068      Mozilla 5 0 (Android) Nextcloud android 3 15 0 _x000D_
nextcloud 1 38cb3d836e7c   10 1 1 9   jtuckey  12 Mar 2021:23:09:46  0000   GET  ocs v2 php cloud capabilities format json HTTP 1 0  304 251      Mozilla 5 0 (Android) Nextcloud android 3 15 0 _x000D_
nextcloud 1 38cb3d836e7c   10 1 1 9   jtuckey  12 Mar 2021:23:09:46  0000   GET  status php HTTP 1 0  200 1068      Mozilla 5 0 (Android) Nextcloud android 3 15 0 _x000D_
nextcloud 1 38cb3d836e7c   10 1 1 9   jtuckey  12 Mar 2021:23:09:46  0000   GET  ocs v2 php cloud capabilities format json HTTP 1 0  304 251      Mozilla 5 0 (Android) Nextcloud android 3 15 0 _x000D_
nextcloud 1 38cb3d836e7c   10 1 1 9   jtuckey  12 Mar 2021:23:09:46  0000   GET  ocs v2 php apps user status api v1 predefined statuses format json HTTP 1 0  200 1789      Mozilla 5 0 (Android) Nextcloud android 3 15 0 _x000D_
nextcloud 1 38cb3d836e7c   10 1 1 9   jtuckey  12 Mar 2021:23:09:46  0000   GET  ocs v2 php apps user status api v1 predefined statuses format json HTTP 1 0  200 1785      Mozilla 5 0 (Android) Nextcloud android 3 15 0 _x000D_
nextcloud 1 38cb3d836e7c   10 1 1 9   jtuckey  12 Mar 2021:23:09:46  0000   GET  ocs v1 php cloud user format json HTTP 1 0  200 1330      Mozilla 5 0 (Android) Nextcloud android 3 15 0 _x000D_
nextcloud 1 38cb3d836e7c   10 1 1 9   jtuckey  12 Mar 2021:23:09:46  0000   GET  ocs v1 php cloud user format json HTTP 1 0  200 1330      Mozilla 5 0 (Android) Nextcloud android 3 15 0 _x000D_
nextcloud 1 38cb3d836e7c   10 1 1 9   jtuckey  12 Mar 2021:23:09:47  0000   PROPFIND  remote php webdav  HTTP 1 0  207 1444      Mozilla 5 0 (Android) Nextcloud android 3 15 0 _x000D_
nextcloud 1 38cb3d836e7c   10 1 1 9   jtuckey  12 Mar 2021:23:09:47  0000   PROPFIND  remote php webdav  HTTP 1 0  207 1444      Mozilla 5 0 (Android) Nextcloud android 3 15 0 _x000D_
nextcloud 1 38cb3d836e7c   10 1 1 9   jtuckey  12 Mar 2021:23:09:47  0000   PROPFIND  remote php webdav  HTTP 1 0  207 32090      Mozilla 5 0 (Android) Nextcloud android 3 15 0 _x000D_
nextcloud 1 38cb3d836e7c   10 1 1 9   jtuckey  12 Mar 2021:23:09:47  0000   PROPFIND  remote php webdav  HTTP 1 0  207 32090      Mozilla 5 0 (Android) Nextcloud android 3 15 0 _x000D_
nextcloud 1 38cb3d836e7c   10 1 1 9   jtuckey  12 Mar 2021:23:09:47  0000   GET  ocs v2 php apps files sharing api v1 shares path  2F reshares true subfiles true HTTP 1 0  200 4371      Mozilla 5 0 (Android) Nextcloud android 3 15 0 _x000D_
nextcloud 1 38cb3d836e7c   10 1 1 9   jtuckey  12 Mar 2021:23:09:47  0000   GET  ocs v2 php apps files sharing api v1 shares path  2F reshares true subfiles true HTTP 1 0  200 4371      Mozilla 5 0 (Android) Nextcloud android 3 15 0 _x000D_
nextcloud 1 38cb3d836e7c   10 1 1 9   jtuckey  12 Mar 2021:23:09:50  0000   GET  ocs v2 php apps activity api v2 activity filter object type files format json previews true sort desc object id 457387 HTTP 1 0  200 2067      Mozilla 5 0 (Android) Nextcloud android 3 15 0 _x000D_
nextcloud 1 38cb3d836e7c   10 1 1 9   jtuckey  12 Mar 2021:23:09:50  0000   PROPFIND  remote php dav versions jtuckey versions 457387 HTTP 1 0  404 912      Mozilla 5 0 (Android) Nextcloud android 3 15 0 _x000D_
nextcloud 1 38cb3d836e7c   10 1 1 9   jtuckey  12 Mar 2021:23:09:51  0000   GET  ocs v2 php apps activity api v2 activity filter object type files format json previews true sort desc object id 457387 since 70360 HTTP 1 0  304 1007      Mozilla 5 0 (Android) Nextcloud android 3 15 0 _x000D_
nextcloud 1 38cb3d836e7c   10 1 1 9   jtuckey  12 Mar 2021:23:09:51  0000   PROPFIND  remote php dav versions jtuckey versions 457387 HTTP 1 0  404 912      Mozilla 5 0 (Android) Nextcloud android 3 15 0 _x000D_
nextcloud 1 38cb3d836e7c   10 1 1 9   jtuckey  12 Mar 2021:23:09:55  0000   PROPFIND  remote php dav files jtuckey  HTTP 1 0  207 995      Mozilla 5 0 (Linux) mirall 3 1 3git (build 4849) (Nextcloud) _x000D_
nextcloud 1 38cb3d836e7c   10 1 1 9   jtuckey  12 Mar 2021:23:09:52  0000   GET  ocs v2 php apps files sharing api v1 sharees format json itemType file search s page 1 perPage 50 HTTP 1 0  200 4514      Mozilla 5 0 (Android) Nextcloud android 3 15 0 _x000D_
nextcloud 1 38cb3d836e7c   10 1 1 9   jtuckey  12 Mar 2021:23:09:57  0000   POST  ocs v2 php apps files sharing api v1 shares HTTP 1 0  403 927      Mozilla 5 0 (Android) Nextcloud android 3 15 0 _x000D_
nextcloud 1 38cb3d836e7c   10 1 1 9   jtuckey  12 Mar 2021:23:09:57  0000   PROPFIND  remote php dav files jtuckey  HTTP 1 0  207 1008      Mozilla 5 0 (Linux) mirall 3 1 3git (build 4849) (Nextcloud) _x000D_
nextcloud 1 38cb3d836e7c   10 1 1 9   jtuckey  12 Mar 2021:23:09:55  0000   GET  ocs v2 php apps files sharing api v1 sharees format json itemType file search samara page 1 perPage 50 HTTP 1 0  200 1660      Mozilla 5 0 (Android) Nextcloud android 3 15 0 _x000D_
nextcloud 1 38cb3d836e7c   10 1 1 9   jtuckey  12 Mar 2021:23:10:01  0000   PROPFIND  remote php dav files jtuckey  HTTP 1 0  207 1008      Mozilla 5 0 (Linux) mirall 3 1 3git (build 4849) (Nextcloud) _x000D_
nextcloud 1 38cb3d836e7c   10 1 1 9      12 Mar 2021:23:10:01  0000   GET  ocs v2 php apps notifications api v2 notifications HTTP 1 0  304 249      Mozilla 5 0 (X11  Linux x86 64  rv:87 0) Gecko 20100101 Firefox 87 0 _x000D_
nextcloud 1 38cb3d836e7c   10 1 1 9   jtuckey  12 Mar 2021:23:10:13  0000   PROPFIND  remote php dav files jtuckey  HTTP 1 0  207 995      Mozilla 5 0 (Linux) mirall 3 1 3git (build 4849) (Nextcloud) _x000D_
nextcloud 1 38cb3d836e7c   10 1 1 9   jtuckey  12 Mar 2021:23:10:25  0000   PROPFIND  remote php dav files jtuckey  HTTP 1 0  207 995      Mozilla 5 0 (Linux) mirall 3 1 3git (build 4849) (Nextcloud) _x000D_
nextcloud 1 38cb3d836e7c   10 1 1 9   jtuckey  12 Mar 2021:23:10:29  0000   PROPFIND  remote php dav files jtuckey  HTTP 1 0  207 1008      Mozilla 5 0 (Linux) mirall 3 1 3git (build 4849) (Nextcloud) _x000D_
nextcloud 1 38cb3d836e7c   10 1 1 9      12 Mar 2021:23:10:31  0000   GET  ocs v2 php apps notifications api v2 notifications HTTP 1 0  304 249      Mozilla 5 0 (X11  Linux x86 64  rv:87 0) Gecko 20100101 Firefox 87 0 _x000D_
nextcloud 1 38cb3d836e7c   10 1 1 9   jtuckey  12 Mar 2021:23:10:33  0000   PROPFIND  remote php dav files jtuckey  HTTP 1 0  207 1008      Mozilla 5 0 (Linux) mirall 3 1 3git (build 4849) (Nextcloud) _x000D_
nextcloud 1 38cb3d836e7c   10 1 1 9   jtuckey  12 Mar 2021:23:10:43  0000   PROPFIND  remote php dav files jtuckey  HTTP 1 0  207 995      Mozilla 5 0 (Linux) mirall 3 1 3git (build 4849) (Nextcloud) _x000D_
nextcloud 1 38cb3d836e7c   10 1 1 9   jtuckey  12 Mar 2021:23:10:55  0000   PROPFIND  remote php dav files jtuckey  HTTP 1 0  207 995      Mozilla 5 0 (Linux) mirall 3 1 3git (build 4849) (Nextcloud) _x000D_
nextcloud 1 38cb3d836e7c   10 1 1 9      12 Mar 2021:23:11:01  0000   PUT  apps user status heartbeat HTTP 1 0  204 686      Mozilla 5 0 (X11  Linux x86 64  rv:87 0) Gecko 20100101 Firefox 87 0 _x000D_
nextcloud 1 38cb3d836e7c   10 1 1 9      12 Mar 2021:23:11:01  0000   GET  ocs v2 php apps user status api v1 user status HTTP 1 0  200 922      Mozilla 5 0 (X11  Linux x86 64  rv:87 0) Gecko 20100101 Firefox 87 0 _x000D_
nextcloud 1 38cb3d836e7c   10 1 1 9   jtuckey  12 Mar 2021:23:11:01  0000   PROPFIND  remote php dav files jtuckey  HTTP 1 0  207 1008      Mozilla 5 0 (Linux) mirall 3 1 3git (build 4849) (Nextcloud) _x000D_
nextcloud 1 38cb3d836e7c   10 1 1 9      12 Mar 2021:23:11:02  0000   GET  ocs v2 php apps notifications api v2 notifications HTTP 1 0  304 249      Mozilla 5 0 (X11  Linux x86 64  rv:87 0) Gecko 20100101 Firefox 87 0 _x000D_
nextcloud 1 38cb3d836e7c   10 1 1 9   jtuckey  12 Mar 2021:23:11:05  0000   PROPFIND  remote php dav files jtuckey  HTTP 1 0  207 1008      Mozilla 5 0 (Linux) mirall 3 1 3git (build 4849) (Nextcloud) _x000D_
   _x000D_
_x000D_
     Nextcloud log (data nextcloud log)_x000D_
   _x000D_
             CAUSE OF ERROR             _x000D_
_x000D_
java lang RuntimeException: Accessing result data after operation failed _x000D_
	at com owncloud android lib common operations RemoteOperationResult getData(RemoteOperationResult java:486)_x000D_
	at com owncloud android utils ErrorMessageAdapter getMessageForCreateShareOperations(ErrorMessageAdapter java:254)_x000D_
	at com owncloud android utils ErrorMessageAdapter getMessageForResultAndOperation(ErrorMessageAdapter java:143)_x000D_
	at com owncloud android utils ErrorMessageAdapter getErrorCauseMessage(ErrorMessageAdapter java:79)_x000D_
	at com owncloud android ui activity FileActivity onRemoteOperationFinish(FileActivity java:380)_x000D_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java:938)_x000D_
	at android os Handler dispatchMessage(Handler java:99)_x000D_
	at android os Looper loop(Looper java:246)_x000D_
	at android app ActivityThread main(ActivityThread java:8506)_x000D_
	at java lang reflect Method invoke(Native Method)_x000D_
	at com android internal os RuntimeInit MethodAndArgsCaller run(RuntimeInit java:602)_x000D_
	at com android internal os ZygoteInit main(ZygoteInit java:1130)_x000D_
_x000D_
             APP INFORMATION             _x000D_
ID: com nextcloud client_x000D_
Version: 30150090_x000D_
Build flavor: generic_x000D_
_x000D_
             DEVICE INFORMATION             _x000D_
Brand: samsung_x000D_
Device: z3s_x000D_
Model: SM G988B_x000D_
Id: RP1A 200720 012_x000D_
Product: z3sxxx_x000D_
_x000D_
             FIRMWARE             _x000D_
SDK: 30_x000D_
Release: 11_x000D_
Incremental: G988BXXU6DUB5_x000D_
   _x000D_
</t>
  </si>
  <si>
    <t>TarekElDick-COEN390_GroupProject_BearCare-39</t>
  </si>
  <si>
    <t>Task #3.4 Fix bug where entering temperature page crashes app</t>
  </si>
  <si>
    <t>Particularly in the emulator  when we enter the temperature activity  the app crashes  It clearly is not connecting to any device over bluetooth  but that should not cause a crash _x000D_
_x000D_
Ideal hours: 2</t>
  </si>
  <si>
    <t>k9mail-k-9-5200</t>
  </si>
  <si>
    <t>K9 crashes when addressing a Domain with an emoji</t>
  </si>
  <si>
    <t>When I want to paste an emoji email address  the activity crashes and I get back to the welcome screen  
(sorry  I opened this issue via FastHub and the prefilled template data is missing here  I will complete it as soon as I get to a PC )</t>
  </si>
  <si>
    <t>PojavLauncherTeam-PojavLauncher-1043</t>
  </si>
  <si>
    <t>[BUG] a lot of problem with recent versions (1.13+)</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</si>
  <si>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I have two problems with recent Minecraft versions (1 13 ) 1  I cannot launch the game with fabric otherwise my game crashes with code 1     2  There are massive lags with these versions so I have to play on 1 12  and I find that a real shame     _x000D_
_x000D_
  Platform:  _x000D_
   Model: Alcatel_x000D_
   CPU architecture: ARMv7_x000D_
   Android Version: 10_x000D_
   PojavLauncher Version: version 3 3 1 1 rel 20210206 </t>
  </si>
  <si>
    <t>Caldarie-flutter_tflite_audio-9</t>
  </si>
  <si>
    <t>iOS issues: Invalid 'tflite_audio.podspec' file after change plugin version and problems with flutter 2</t>
  </si>
  <si>
    <t xml:space="preserve">I noted that using a new version of this plugin  there are some problems specially in   iOS devices  :_x000D_
_x000D_
1  Using the next dependency and running  pod install   it fails:_x000D_
_x000D_
   _x000D_
dependencies:_x000D_
  tflite audio:  0 1 6 1_x000D_
   _x000D_
_x000D_
   _x000D_
Analyzing dependencies_x000D_
    Failed to load  tflite audio  podspec: _x000D_
    Invalid  tflite audio podspec  file: syntax error  unexpected tCONSTANT  expecting end_x000D_
  s summary             A new flutter plugin project  _x000D_
                         _x000D_
 Users carolinaalbuquerque Documents beingcare concept proof concept proof ios  symlinks plugins tflite audio ios tflite audio podspec:8: syntax error  unexpected tSTRING BEG_x000D_
    A new flutter plugin project  _x000D_
                                  _x000D_
 Users carolinaalbuquerque Documents beingcare concept proof concept proof ios  symlinks plugins tflite audio ios tflite audio podspec:12: syntax error  unexpected tIDENTIFIER  expecting end of input_x000D_
  s homepage            http:  example com _x000D_
                             _x000D_
_x000D_
    from  Users carolinaalbuquerque Documents beingcare concept proof concept proof ios  symlinks plugins tflite audio ios tflite audio podspec:8_x000D_
                                               _x000D_
      s version             0 1 6 1_x000D_
      s summary             A new flutter plugin project  _x000D_
      s description           DESC_x000D_
                                               _x000D_
   _x000D_
_x000D_
_x000D_
However    using the version 0 1 5 3    this issue not happens  _x000D_
_x000D_
2  Also  after flutter update to flutter 2  I started to have some problems in startRecording process when running using an iPhone:_x000D_
_x000D_
   _x000D_
Launching lib main dart on iPhone de Carolina in debug mode   _x000D_
Automatically signing iOS for device deployment using specified development team in Xcode project: 5SSNTW7HP4_x000D_
Running pod install                                                 6 4s_x000D_
Running Xcode build                                                     _x000D_
   Compiling  linking and signing                           18 5s_x000D_
Xcode build done                                            43 6s_x000D_
Initialized TensorFlow Lite runtime                                     _x000D_
Created TensorFlow Lite delegate for select TF ops                      _x000D_
TfLiteFlexDelegate delegate: 3 nodes delegated out of 47 nodes with 2 partitions _x000D_
  0 Background Noise    1 Clap    2 Whistle                             _x000D_
Installing and launching                                           42 9s_x000D_
Connecting to the VM Service is taking longer than expected   _x000D_
Permission granted_x000D_
start microphone_x000D_
Permission granted_x000D_
start microphone_x000D_
 avae             AVAEInternal h:76    required condition is false:  AVAEGraphNode mm:817:CreateRecordingTap: (nullptr    Tap()) _x000D_
    Terminating app due to uncaught exception  com apple coreaudio avfaudio   reason:  required condition is false: nullptr    Tap() _x000D_
    First throw call stack:_x000D_
(0x1ad19a9d8 0x1c1520b54 0x1ad0a950c 0x1bd103984 0x1bd161c04 0x1bd149b3c 0x1bd1c6de8 0x1bd1a81e4 0x105aaaf80 0x105aa83d4 0x105aa7a30 0x105aa7bcc 0x10d2e45bc 0x10ca83b78 0x10cd82f5c 0x10cd2235c 0x10cd24a14 0x1ad11b3e0 0x1ad11afe4 0x1ad11a4c4 0x1ad114850 0x1ad113ba0 0x1c3e7c598 0x1afa052f4 0x1afa0a874 0x10578877c 0x1acdf2568)_x000D_
libc  abi dylib: terminating with uncaught exception of type NSException_x000D_
  thread  1  queue    com apple main thread   stop reason   signal SIGABRT_x000D_
    frame  0: 0x00000001d90d984c libsystem kernel dylib   pthread kill   8_x000D_
libsystem kernel dylib   pthread kill:_x000D_
    0x1d90d984c   8 :  b lo   0x1d90d9868                   36 _x000D_
    0x1d90d9850   12 : stp    x29  x30   sp    0x10  _x000D_
    0x1d90d9854   16 : mov    x29  sp_x000D_
    0x1d90d9858   20 : bl     0x1d90b6f5c                 cerror nocancel_x000D_
Target 0: (Runner) stopped _x000D_
Still attempting to connect to the VM Service   _x000D_
If you do NOT see the Flutter application running  it might have crashed  The device logs (e g  from adb or XCode) might have more details _x000D_
   _x000D_
_x000D_
Besides this  when running in   Android device    it   works perfectly   both for   v0 1 5 3   and   v0 1 6 1    </t>
  </si>
  <si>
    <t>TeamNewPipe-NewPipe-5812</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</si>
  <si>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NewPipe and very quickly click on the search icon as soon as it appears_x000D_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_x000D_
NewPipe crashes _x000D_
_x000D_
_x000D_
_x000D_
    Expected behavior_x000D_
_x000D_
No crash and possibility to search  _x000D_
_x000D_
_x000D_
    Logs_x000D_
     If your bug includes a crash (where you re shown the Error Report page with a bunch of info)  tap on  Copy formatted report  at the bottom and paste it here:    _x000D_
_x000D_
   Exception_x000D_
    User Action:   ui error_x000D_
    Request:   App crash  UI failure_x000D_
    Content Country:   FR_x000D_
    Content Language:   fr_x000D_
    App Language:   fr FR_x000D_
    Service:   none_x000D_
    Version:   0 20 11_x000D_
    OS:   Linux Android 10   29_x000D_
 details  summary  b Crash log   b   summary  p _x000D_
_x000D_
   _x000D_
java lang NullPointerException: Attempt to read from field  android widget TextView org schabi newpipe databinding PlaylistHeaderBinding playlistTitleView  on a null object reference_x000D_
at org schabi newpipe fragments list playlist PlaylistFragment setTitle(PlaylistFragment java:449)_x000D_
at org schabi newpipe fragments list BaseListInfoFragment handleResult(BaseListInfoFragment java:205)_x000D_
at org schabi newpipe fragments list playlist PlaylistFragment handleResult(PlaylistFragment java:273)_x000D_
at org schabi newpipe fragments list playlist PlaylistFragment handleResult(PlaylistFragment java:67)_x000D_
at org schabi newpipe fragments list BaseListInfoFragment lambda startLoading 0(BaseListInfoFragment java:135)_x000D_
at org schabi newpipe fragments list BaseListInfoFragment lambda startLoading 0 BaseListInfoFragment(Unknown Source:0)_x000D_
at org schabi newpipe fragments list    Lambda BaseListInfoFragment Gn1fP3 8OJnktT5gkmUmbW egTg accept(Unknown Source:4)_x000D_
at io reactivex rxjava3 internal observers ConsumerSingleObserver onSuccess(ConsumerSingleObserver java:62)_x000D_
at io reactivex rxjava3 internal operators single SingleObserveOn ObserveOnSingleObserver run(SingleObserveOn java:81)_x000D_
at io reactivex rxjava3 android schedulers HandlerScheduler ScheduledRunnable run(HandlerScheduler java:123)_x000D_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details _x000D_
 hr _x000D_
_x000D_
_x000D_
_x000D_
     Please fill this out when you do not provide a log generate by NewPipe    _x000D_
_x000D_
    Device info_x000D_
_x000D_
   Android version Custom ROM version: Android 10   LineageOS 17 1_x000D_
   Device model: Samasung Galaxy S5 (klte)_x000D_
</t>
  </si>
  <si>
    <t>cgeo-cgeo-10133</t>
  </si>
  <si>
    <t>SecurityException when trying to open GPX</t>
  </si>
  <si>
    <t xml:space="preserve">Reported by a user on support mail:_x000D_
_x000D_
The user tries to open a GPX file (containing caches) recevied via Whatsapp or mail _x000D_
c:geo crashes when trying to import it _x000D_
_x000D_
I have asked the user to describe step by step how he tries to open the file and from what app he triggers to open it _x000D_
_x000D_
   _x000D_
03 03 10:58:57 127 31663 31663 E AndroidRuntime: FATAL EXCEPTION: main_x000D_
03 03 10:58:57 127 31663 31663 E AndroidRuntime: Process: cgeo geocaching  PID: 31663_x000D_
03 03 10:58:57 127 31663 31663 E AndroidRuntime: java lang SecurityException: Permission Denial: reading com android providers downloads DownloadProvider uri content:  downloads all downloads 4048 from pid 31663  uid 10333 requires android permission ACCESS ALL DOWNLOADS  or grantUriPermission()_x000D_
03 03 10:58:57 127 31663 31663 E AndroidRuntime: 	at android os Parcel createException(Parcel java:2088)_x000D_
03 03 10:58:57 127 31663 31663 E AndroidRuntime: 	at android os Parcel readException(Parcel java:2056)_x000D_
03 03 10:58:57 127 31663 31663 E AndroidRuntime: 	at android database DatabaseUtils readExceptionFromParcel(DatabaseUtils java:188)_x000D_
03 03 10:58:57 127 31663 31663 E AndroidRuntime: 	at android database DatabaseUtils readExceptionWithFileNotFoundExceptionFromParcel(DatabaseUtils java:151)_x000D_
03 03 10:58:57 127 31663 31663 E AndroidRuntime: 	at android content ContentProviderProxy openTypedAssetFile(ContentProviderNative java:705)_x000D_
03 03 10:58:57 127 31663 31663 E AndroidRuntime: 	at android content ContentResolver openTypedAssetFileDescriptor(ContentResolver java:1694)_x000D_
03 03 10:58:57 127 31663 31663 E AndroidRuntime: 	at android content ContentResolver openAssetFileDescriptor(ContentResolver java:1510)_x000D_
03 03 10:58:57 127 31663 31663 E AndroidRuntime: 	at android content ContentResolver openInputStream(ContentResolver java:1194)_x000D_
03 03 10:58:57 127 31663 31663 E AndroidRuntime: 	at cgeo geocaching files FileTypeDetector getFileType(FileTypeDetector java:35)_x000D_
03 03 10:58:57 127 31663 31663 E AndroidRuntime: 	at cgeo geocaching files GPXImporter importGPX(GPXImporter java:89)_x000D_
03 03 10:58:57 127 31663 31663 E AndroidRuntime: 	at cgeo geocaching files GPXImporter importGPX(GPXImporter java:161)_x000D_
03 03 10:58:57 127 31663 31663 E AndroidRuntime: 	at cgeo geocaching CacheListActivity lambda importGpxAttachement 4(CacheListActivity java:618)_x000D_
03 03 10:58:57 127 31663 31663 E AndroidRuntime: 	at cgeo geocaching CacheListActivity lambda importGpxAttachement 4 CacheListActivity(Unknown Source:0)_x000D_
03 03 10:58:57 127 31663 31663 E AndroidRuntime: 	at cgeo geocaching    Lambda CacheListActivity ZyzHICuUWbvLhVk59vIUWp4yB U call(Unknown Source:4)_x000D_
03 03 10:58:57 127 31663 31663 E AndroidRuntime: 	at cgeo geocaching list StoredList UserInterface lambda promptForListCreation 2(StoredList java:218)_x000D_
03 03 10:58:57 127 31663 31663 E AndroidRuntime: 	at cgeo geocaching list StoredList UserInterface lambda promptForListCreation 2 StoredList UserInterface(Unknown Source:0)_x000D_
03 03 10:58:57 127 31663 31663 E AndroidRuntime: 	at cgeo geocaching list    Lambda StoredList UserInterface YIzphoU0eIqsCTDRzzRd6EylFs0 call(Unknown Source:6)_x000D_
03 03 10:58:57 127 31663 31663 E AndroidRuntime: 	at cgeo geocaching list StoredList UserInterface lambda handleListNameInput 4(StoredList java:255)_x000D_
03 03 10:58:57 127 31663 31663 E AndroidRuntime: 	at cgeo geocaching list    Lambda StoredList UserInterface iOXT t24c3eCgRuhBTD 9SEPTYs call(Unknown Source:4)_x000D_
03 03 10:58:57 127 31663 31663 E AndroidRuntime: 	at cgeo geocaching ui dialog Dialogs lambda input 4(Dialogs java:728)_x000D_
03 03 10:58:57 127 31663 31663 E AndroidRuntime: 	at cgeo geocaching ui dialog    Lambda Dialogs d0V7wC Pu8lZs1IM8WhUwUv1Lu0 onClick(Unknown Source:4)_x000D_
03 03 10:58:57 127 31663 31663 E AndroidRuntime: 	at com android internal app AlertController ButtonHandler handleMessage(AlertController java:191)_x000D_
03 03 10:58:57 127 31663 31663 E AndroidRuntime: 	at android os Handler dispatchMessage(Handler java:107)_x000D_
03 03 10:58:57 127 31663 31663 E AndroidRuntime: 	at android os Looper loop(Looper java:237)_x000D_
03 03 10:58:57 127 31663 31663 E AndroidRuntime: 	at android app ActivityThread main(ActivityThread java:8167)_x000D_
03 03 10:58:57 127 31663 31663 E AndroidRuntime: 	at java lang reflect Method invoke(Native Method)_x000D_
03 03 10:58:57 127 31663 31663 E AndroidRuntime: 	at com android internal os RuntimeInit MethodAndArgsCaller run(RuntimeInit java:496)_x000D_
03 03 10:58:57 127 31663 31663 E AndroidRuntime: 	at com android internal os ZygoteInit main(ZygoteInit java:1100)_x000D_
03 03 10:59:04 331 29213 29213 E AndroidRuntime: FATAL EXCEPTION: main_x000D_
03 03 10:59:04 331 29213 29213 E AndroidRuntime: Process: cgeo geocaching  PID: 29213_x000D_
03 03 10:59:04 331 29213 29213 E AndroidRuntime: java lang SecurityException: Permission Denial: opening provider com yahoo mail provider AttachmentFileProvider from ProcessRecord b3975da 29213:cgeo geocaching u0a333  (pid 29213  uid 10333) that is not exported from UID 10228_x000D_
03 03 10:59:04 331 29213 29213 E AndroidRuntime: 	at android os Parcel createException(Parcel java:2088)_x000D_
03 03 10:59:04 331 29213 29213 E AndroidRuntime: 	at android os Parcel readException(Parcel java:2056)_x000D_
03 03 10:59:04 331 29213 29213 E AndroidRuntime: 	at android os Parcel readException(Parcel java:2004)_x000D_
03 03 10:59:04 331 29213 29213 E AndroidRuntime: 	at android app IActivityManager Stub Proxy getContentProvider(IActivityManager java:6031)_x000D_
03 03 10:59:04 331 29213 29213 E AndroidRuntime: 	at android app ActivityThread acquireProvider(ActivityThread java:7342)_x000D_
03 03 10:59:04 331 29213 29213 E AndroidRuntime: 	at android app ContextImpl ApplicationContentResolver acquireUnstableProvider(ContextImpl java:2895)_x000D_
03 03 10:59:04 331 29213 29213 E AndroidRuntime: 	at android content ContentResolver acquireUnstableProvider(ContentResolver java:2124)_x000D_
03 03 10:59:04 331 29213 29213 E AndroidRuntime: 	at android content ContentResolver openTypedAssetFileDescriptor(ContentResolver java:1678)_x000D_
03 03 10:59:04 331 29213 29213 E AndroidRuntime: 	at android content ContentResolver openAssetFileDescriptor(ContentResolver java:1510)_x000D_
03 03 10:59:04 331 29213 29213 E AndroidRuntime: 	at android content ContentResolver openInputStream(ContentResolver java:1194)_x000D_
03 03 10:59:04 331 29213 29213 E AndroidRuntime: 	at cgeo geocaching files FileTypeDetector getFileType(FileTypeDetector java:35)_x000D_
03 03 10:59:04 331 29213 29213 E AndroidRuntime: 	at cgeo geocaching files GPXImporter importGPX(GPXImporter java:89)_x000D_
03 03 10:59:04 331 29213 29213 E AndroidRuntime: 	at cgeo geocaching files GPXImporter importGPX(GPXImporter java:161)_x000D_
03 03 10:59:04 331 29213 29213 E AndroidRuntime: 	at cgeo geocaching CacheListActivity lambda importGpxAttachement 4(CacheListActivity java:618)_x000D_
03 03 10:59:04 331 29213 29213 E AndroidRuntime: 	at cgeo geocaching CacheListActivity lambda importGpxAttachement 4 CacheListActivity(Unknown Source:0)_x000D_
03 03 10:59:04 331 29213 29213 E AndroidRuntime: 	at cgeo geocaching    Lambda CacheListActivity ZyzHICuUWbvLhVk59vIUWp4yB U call(Unknown Source:4)_x000D_
03 03 10:59:04 331 29213 29213 E AndroidRuntime: 	at cgeo geocaching list StoredList UserInterface lambda promptForListSelection 0(StoredList java:146)_x000D_
03 03 10:59:04 331 29213 29213 E AndroidRuntime: 	at cgeo geocaching list StoredList UserInterface lambda promptForListSelection 0 StoredList UserInterface(Unknown Source:0)_x000D_
03 03 10:59:04 331 29213 29213 E AndroidRuntime: 	at cgeo geocaching list    Lambda StoredList UserInterface krzEx7wJJyD95 F 5VTcjndVJwk onClick(Unknown Source:10)_x000D_
03 03 10:59:04 331 29213 29213 E AndroidRuntime: 	at com android internal app AlertController AlertParams 3 onItemClick(AlertController java:1463)_x000D_
03 03 10:59:04 331 29213 29213 E AndroidRuntime: 	at android widget AdapterView performItemClick(AdapterView java:374)_x000D_
03 03 10:59:04 331 29213 29213 E AndroidRuntime: 	at android widget AbsListView performItemClick(AbsListView java:1736)_x000D_
03 03 10:59:04 331 29213 29213 E AndroidRuntime: 	at android widget AbsListView PerformClick run(AbsListView java:4207)_x000D_
03 03 10:59:04 331 29213 29213 E AndroidRuntime: 	at android widget AbsListView 7 run(AbsListView java:6692)_x000D_
03 03 10:59:04 331 29213 29213 E AndroidRuntime: 	at android os Handler handleCallback(Handler java:883)_x000D_
03 03 10:59:04 331 29213 29213 E AndroidRuntime: 	at android os Handler dispatchMessage(Handler java:100)_x000D_
03 03 10:59:04 331 29213 29213 E AndroidRuntime: 	at android os Looper loop(Looper java:237)_x000D_
03 03 10:59:04 331 29213 29213 E AndroidRuntime: 	at android app ActivityThread main(ActivityThread java:8167)_x000D_
03 03 10:59:04 331 29213 29213 E AndroidRuntime: 	at java lang reflect Method invoke(Native Method)_x000D_
03 03 10:59:04 331 29213 29213 E AndroidRuntime: 	at com android internal os RuntimeInit MethodAndArgsCaller run(RuntimeInit java:496)_x000D_
03 03 10:59:04 331 29213 29213 E AndroidRuntime: 	at com android internal os ZygoteInit main(ZygoteInit java:1100)_x000D_
03 03 10:59:04 331 29213 29213 E AndroidRuntime: Caused by: android os RemoteException: Remote stack trace:_x000D_
03 03 10:59:04 331 29213 29213 E AndroidRuntime: 	at com android server am ActivityManagerService getContentProviderImpl(ActivityManagerService java:8551)_x000D_
03 03 10:59:04 331 29213 29213 E AndroidRuntime: 	at com android server am ActivityManagerService getContentProviderImpl(ActivityManagerService java:8391)_x000D_
03 03 10:59:04 331 29213 29213 E AndroidRuntime: 	at com android server am ActivityManagerService getContentProvider(ActivityManagerService java:9059)_x000D_
03 03 10:59:04 331 29213 29213 E AndroidRuntime: 	at android app IActivityManager Stub onTransact(IActivityManager java:2546)_x000D_
03 03 10:59:04 331 29213 29213 E AndroidRuntime: 	at com android server am ActivityManagerService onTransact(ActivityManagerService java:3427)_x000D_
03 03 10:59:04 331 29213 29213 E AndroidRuntime: _x000D_
03 03 15:17:49 066 29928 29928 E AndroidRuntime: FATAL EXCEPTION: main_x000D_
03 03 15:17:49 066 29928 29928 E AndroidRuntime: Process: cgeo geocaching  PID: 29928_x000D_
03 03 15:17:49 066 29928 29928 E AndroidRuntime: java lang SecurityException: Permission Denial: reading com android providers downloads DownloadProvider uri content:  downloads all downloads 4050 from pid 29928  uid 10333 requires android permission ACCESS ALL DOWNLOADS  or grantUriPermission()_x000D_
03 03 15:17:49 066 29928 29928 E AndroidRuntime: 	at android os Parcel createException(Parcel java:2088)_x000D_
03 03 15:17:49 066 29928 29928 E AndroidRuntime: 	at android os Parcel readException(Parcel java:2056)_x000D_
03 03 15:17:49 066 29928 29928 E AndroidRuntime: 	at android database DatabaseUtils readExceptionFromParcel(DatabaseUtils java:188)_x000D_
03 03 15:17:49 066 29928 29928 E AndroidRuntime: 	at android database DatabaseUtils readExceptionWithFileNotFoundExceptionFromParcel(DatabaseUtils java:151)_x000D_
03 03 15:17:49 066 29928 29928 E AndroidRuntime: 	at android content ContentProviderProxy openTypedAssetFile(ContentProviderNative java:705)_x000D_
03 03 15:17:49 066 29928 29928 E AndroidRuntime: 	at android content ContentResolver openTypedAssetFileDescriptor(ContentResolver java:1694)_x000D_
03 03 15:17:49 066 29928 29928 E AndroidRuntime: 	at android content ContentResolver openAssetFileDescriptor(ContentResolver java:1510)_x000D_
03 03 15:17:49 066 29928 29928 E AndroidRuntime: 	at android content ContentResolver openInputStream(ContentResolver java:1194)_x000D_
03 03 15:17:49 066 29928 29928 E AndroidRuntime: 	at cgeo geocaching files FileTypeDetector getFileType(FileTypeDetector java:35)_x000D_
03 03 15:17:49 066 29928 29928 E AndroidRuntime: 	at cgeo geocaching files GPXImporter importGPX(GPXImporter java:89)_x000D_
03 03 15:17:49 066 29928 29928 E AndroidRuntime: 	at cgeo geocaching files GPXImporter importGPX(GPXImporter java:161)_x000D_
03 03 15:17:49 066 29928 29928 E AndroidRuntime: 	at cgeo geocaching CacheListActivity lambda importGpxAttachement 4(CacheListActivity java:618)_x000D_
03 03 15:17:49 066 29928 29928 E AndroidRuntime: 	at cgeo geocaching CacheListActivity lambda importGpxAttachement 4 CacheListActivity(Unknown Source:0)_x000D_
03 03 15:17:49 066 29928 29928 E AndroidRuntime: 	at cgeo geocaching    Lambda CacheListActivity ZyzHICuUWbvLhVk59vIUWp4yB U call(Unknown Source:4)_x000D_
03 03 15:17:49 066 29928 29928 E AndroidRuntime: 	at cgeo geocaching list StoredList UserInterface lambda promptForListSelection 0(StoredList java:146)_x000D_
03 03 15:17:49 066 29928 29928 E AndroidRuntime: 	at cgeo geocaching list StoredList UserInterface lambda promptForListSelection 0 StoredList UserInterface(Unknown Source:0)_x000D_
03 03 15:17:49 066 29928 29928 E AndroidRuntime: 	at cgeo geocaching list    Lambda StoredList UserInterface krzEx7wJJyD95 F 5VTcjndVJwk onClick(Unknown Source:10)_x000D_
03 03 15:17:49 066 29928 29928 E AndroidRuntime: 	at com android internal app AlertController AlertParams 3 onItemClick(AlertController java:1463)_x000D_
03 03 15:17:49 066 29928 29928 E AndroidRuntime: 	at android widget AdapterView performItemClick(AdapterView java:374)_x000D_
03 03 15:17:49 066 29928 29928 E AndroidRuntime: 	at android widget AbsListView performItemClick(AbsListView java:1736)_x000D_
03 03 15:17:49 066 29928 29928 E AndroidRuntime: 	at android widget AbsListView PerformClick run(AbsListView java:4207)_x000D_
03 03 15:17:49 066 29928 29928 E AndroidRuntime: 	at android widget AbsListView 7 run(AbsListView java:6692)_x000D_
03 03 15:17:49 066 29928 29928 E AndroidRuntime: 	at android os Handler handleCallback(Handler java:883)_x000D_
03 03 15:17:49 066 29928 29928 E AndroidRuntime: 	at android os Handler dispatchMessage(Handler java:100)_x000D_
03 03 15:17:49 066 29928 29928 E AndroidRuntime: 	at android os Looper loop(Looper java:237)_x000D_
03 03 15:17:49 066 29928 29928 E AndroidRuntime: 	at android app ActivityThread main(ActivityThread java:8167)_x000D_
03 03 15:17:49 066 29928 29928 E AndroidRuntime: 	at java lang reflect Method invoke(Native Method)_x000D_
03 03 15:17:49 066 29928 29928 E AndroidRuntime: 	at com android internal os RuntimeInit MethodAndArgsCaller run(RuntimeInit java:496)_x000D_
03 03 15:17:49 066 29928 29928 E AndroidRuntime: 	at com android internal os ZygoteInit main(ZygoteInit java:1100)_x000D_
03 03 15:17:58 906 17345 17345 E AndroidRuntime: FATAL EXCEPTION: main_x000D_
03 03 15:17:58 906 17345 17345 E AndroidRuntime: Process: cgeo geocaching  PID: 17345_x000D_
03 03 15:17:58 906 17345 17345 E AndroidRuntime: java lang SecurityException: Permission Denial: opening provider com yahoo mail provider AttachmentFileProvider from ProcessRecord 557ab4b 17345:cgeo geocaching u0a333  (pid 17345  uid 10333) that is not exported from UID 10228_x000D_
03 03 15:17:58 906 17345 17345 E AndroidRuntime: 	at android os Parcel createException(Parcel java:2088)_x000D_
03 03 15:17:58 906 17345 17345 E AndroidRuntime: 	at android os Parcel readException(Parcel java:2056)_x000D_
03 03 15:17:58 906 17345 17345 E AndroidRuntime: 	at android os Parcel readException(Parcel java:2004)_x000D_
03 03 15:17:58 906 17345 17345 E AndroidRuntime: 	at android app IActivityManager Stub Proxy getContentProvider(IActivityManager java:6031)_x000D_
03 03 15:17:58 906 17345 17345 E AndroidRuntime: 	at android app ActivityThread acquireProvider(ActivityThread java:7342)_x000D_
03 03 15:17:58 906 17345 17345 E AndroidRuntime: 	at android app ContextImpl ApplicationContentResolver acquireUnstableProvider(ContextImpl java:2895)_x000D_
03 03 15:17:58 906 17345 17345 E AndroidRuntime: 	at android content ContentResolver acquireUnstableProvider(ContentResolver java:2124)_x000D_
03 03 15:17:58 906 17345 17345 E AndroidRuntime: 	at android content ContentResolver openTypedAssetFileDescriptor(ContentResolver java:1678)_x000D_
03 03 15:17:58 906 17345 17345 E AndroidRuntime: 	at android content ContentResolver openAssetFileDescriptor(ContentResolver java:1510)_x000D_
03 03 15:17:58 906 17345 17345 E AndroidRuntime: 	at android content ContentResolver openInputStream(ContentResolver java:1194)_x000D_
03 03 15:17:58 906 17345 17345 E AndroidRuntime: 	at cgeo geocaching files FileTypeDetector getFileType(FileTypeDetector java:35)_x000D_
03 03 15:17:58 906 17345 17345 E AndroidRuntime: 	at cgeo geocaching files GPXImporter importGPX(GPXImporter java:89)_x000D_
03 03 15:17:58 906 17345 17345 E AndroidRuntime: 	at cgeo geocaching files GPXImporter importGPX(GPXImporter java:161)_x000D_
03 03 15:17:58 906 17345 17345 E AndroidRuntime: 	at cgeo geocaching CacheListActivity lambda importGpxAttachement 4(CacheListActivity java:618)_x000D_
03 03 15:17:58 906 17345 17345 E AndroidRuntime: 	at cgeo geocaching CacheListActivity lambda importGpxAttachement 4 CacheListActivity(Unknown Source:0)_x000D_
03 03 15:17:58 906 17345 17345 E AndroidRuntime: 	at cgeo geocaching    Lambda CacheListActivity ZyzHICuUWbvLhVk59vIUWp4yB U call(Unknown Source:4)_x000D_
03 03 15:17:58 906 17345 17345 E AndroidRuntime: 	at cgeo geocaching list StoredList UserInterface lambda promptForListSelection 0(StoredList java:146)_x000D_
03 03 15:17:58 906 17345 17345 E AndroidRuntime: 	at cgeo geocaching list StoredList UserInterface lambda promptForListSelection 0 StoredList UserInterface(Unknown Source:0)_x000D_
03 03 15:17:58 906 17345 17345 E AndroidRuntime: 	at cgeo geocaching list    Lambda StoredList UserInterface krzEx7wJJyD95 F 5VTcjndVJwk onClick(Unknown Source:10)_x000D_
03 03 15:17:58 906 17345 17345 E AndroidRuntime: 	at com android internal app AlertController AlertParams 3 onItemClick(AlertController java:1463)_x000D_
03 03 15:17:58 906 17345 17345 E AndroidRuntime: 	at android widget AdapterView performItemClick(AdapterView java:374)_x000D_
03 03 15:17:58 906 17345 17345 E AndroidRuntime: 	at android widget AbsListView performItemClick(AbsListView java:1736)_x000D_
03 03 15:17:58 906 17345 17345 E AndroidRuntime: 	at android widget AbsListView PerformClick run(AbsListView java:4207)_x000D_
03 03 15:17:58 906 17345 17345 E AndroidRuntime: 	at android widget AbsListView onTouchUp(AbsListView java:6707)_x000D_
03 03 15:17:58 906 17345 17345 E AndroidRuntime: 	at android widget AbsListView onTouchEvent(AbsListView java:6453)_x000D_
03 03 15:17:58 906 17345 17345 E AndroidRuntime: 	at android widget ListView onTouchEvent(ListView java:1721)_x000D_
03 03 15:17:58 906 17345 17345 E AndroidRuntime: 	at android view View dispatchTouchEvent(View java:14368)_x000D_
03 03 15:17:58 906 17345 17345 E AndroidRuntime: 	at android view ViewGroup dispatchTransformedTouchEvent(ViewGroup java:3857)_x000D_
03 03 15:17:58 906 17345 17345 E AndroidRuntime: 	at android view ViewGroup dispatchTouchEvent(ViewGroup java:3535)_x000D_
03 03 15:17:58 906 17345 17345 E AndroidRuntime: 	at android widget AbsListView dispatchTouchEvent(AbsListView java:6365)_x000D_
03 03 15:17:58 906 17345 17345 E AndroidRuntime: 	at android view ViewGroup dispatchTransformedTouchEvent(ViewGroup java:3863)_x000D_
03 03 15:17:58 906 17345 17345 E AndroidRuntime: 	at android view ViewGroup dispatchTouchEvent(ViewGroup java:3551)_x000D_
03 03 15:17:58 906 17345 17345 E AndroidRuntime: 	at android view ViewGroup dispatchTransformedTouchEvent(ViewGroup java:3863)_x000D_
03 03 15:17:58 906 17345 17345 E AndroidRuntime: 	at android view ViewGroup dispatchTouchEvent(ViewGroup java:3551)_x000D_
03 03 15:17:58 906 17345 17345 E AndroidRuntime: 	at android view ViewGroup dispatchTransformedTouchEvent(ViewGroup java:3863)_x000D_
03 03 15:17:58 906 17345 17345 E AndroidRuntime: 	at android view ViewGroup dispatchTouchEvent(ViewGroup java:3551)_x000D_
03 03 15:17:58 906 17345 17345 E AndroidRuntime: 	at android view ViewGroup dispatchTransformedTouchEvent(ViewGroup java:3863)_x000D_
03 03 15:17:58 906 17345 17345 E AndroidRuntime: 	at android view ViewGroup dispatchTouchEvent(ViewGroup java:3551)_x000D_
03 03 15:17:58 906 17345 17345 E AndroidRuntime: 	at android view ViewGroup dispatchTransformedTouchEvent(ViewGroup java:3863)_x000D_
03 03 15:17:58 906 17345 17345 E AndroidRuntime: 	at android view ViewGroup dispatchTouchEvent(ViewGroup java:3551)_x000D_
03 03 15:17:58 906 17345 17345 E AndroidRuntime: 	at com android internal policy DecorView superDispatchTouchEvent(DecorView java:770)_x000D_
03 03 15:17:58 906 17345 17345 E AndroidRuntime: 	at com android internal policy PhoneWindow superDispatchTouchEvent(PhoneWindow java:1952)_x000D_
03 03 15:17:58 906 17345 17345 E AndroidRuntime: 	at android app Dialog dispatchTouchEvent(Dialog java:1156)_x000D_
03 03 15:17:58 906 17345 17345 E AndroidRuntime: 	at com android internal policy DecorView dispatchTouchEvent(DecorView java:728)_x000D_
03 03 15:17:58 906 17345 17345 E AndroidRuntime: 	at android view View dispatchPointerEvent(View java:14636)_x000D_
03 03 15:17:58 906 17345 17345 E AndroidRuntime: 	at android view ViewRootImpl ViewPostImeInputStage processPointerEvent(ViewRootImpl java:6582)_x000D_
03 03 15:17:58 906 17345 17345 E AndroidRuntime: 	at android view ViewRootImpl ViewPostImeInputStage onProcess(ViewRootImpl java:6360)_x000D_
03 03 15:17:58 906 17345 17345 E AndroidRuntime: 	at android view ViewRootImpl InputStage deliver(ViewRootImpl java:5796)_x000D_
03 03 15:17:58 906 17345 17345 E AndroidRuntime: 	at android view ViewRootImpl InputStage onDeliverToNext(ViewRootImpl java:5849)_x000D_
03 03 15:17:58 906 17345 17345 E AndroidRuntime: 	at android view ViewRootImpl InputStage forward(ViewRootImpl java:5815)_x000D_
03 03 15:17:58 906 17345 17345 E AndroidRuntime: 	at android view ViewRootImpl AsyncInputStage forward(ViewRootImpl java:5971)_x000D_
03 03 15:17:58 906 17345 17345 E AndroidRuntime: 	at android view ViewRootImpl InputStage apply(ViewRootImpl java:5823)_x000D_
03 03 15:17:58 906 17345 17345 E AndroidRuntime: 	at android view ViewRootImpl AsyncInputStage apply(ViewRootImpl java:6028)_x000D_
03 03 15:17:58 906 17345 17345 E AndroidRuntime: 	at android view ViewRootImpl InputStage deliver(ViewRootImpl java:5796)_x000D_
03 03 15:17:58 906 17345 17345 E AndroidRuntime: 	at android view ViewRootImpl InputStage onDeliverToNext(ViewRootImpl java:5849)_x000D_
03 03 15:17:58 906 17345 17345 E AndroidRuntime: 	at android view ViewRootImpl InputStage forward(ViewRootImpl java:5815)_x000D_
03 03 15:17:58 906 17345 17345 E AndroidRuntime: 	at android view ViewRootImpl InputStage apply(ViewRootImpl java:5823)_x000D_
03 03 15:17:58 906 17345 17345 E AndroidRuntime: 	at android view ViewRootImpl InputStage deliver(ViewRootImpl java:5796)_x000D_
03 03 15:17:58 906 17345 17345 E AndroidRuntime: 	at android view ViewRootImpl deliverInputEvent(ViewRootImpl java:9032)_x000D_
03 03 15:17:58 906 17345 17345 E AndroidRuntime: 	at android view ViewRootImpl doProcessInputEvents(ViewRootImpl java:8889)_x000D_
03 03 15:17:58 906 17345 17345 E AndroidRuntime: 	at android view ViewRootImpl enqueueInputEvent(ViewRootImpl java:8842)_x000D_
03 03 15:17:58 906 17345 17345 E AndroidRuntime: 	at android view ViewRootImpl WindowInputEventReceiver onInputEvent(ViewRootImpl java:9169)_x000D_
03 03 15:17:58 906 17345 17345 E AndroidRuntime: 	at android view InputEventReceiver dispatchInputEvent(InputEventReceiver java:194)_x000D_
03 03 15:17:58 906 17345 17345 E AndroidRuntime: 	at android os MessageQueue nativePollOnce(Native Method)_x000D_
03 03 15:17:58 906 17345 17345 E AndroidRuntime: 	at android os MessageQueue next(MessageQueue java:336)_x000D_
03 03 15:17:58 906 17345 17345 E AndroidRuntime: 	at android os Looper loop(Looper java:197)_x000D_
03 03 15:17:58 906 17345 17345 E AndroidRuntime: 	at android app ActivityThread main(ActivityThread java:8167)_x000D_
03 03 15:17:58 906 17345 17345 E AndroidRuntime: 	at java lang reflect Method invoke(Native Method)_x000D_
03 03 15:17:58 906 17345 17345 E AndroidRuntime: 	at com android internal os RuntimeInit MethodAndArgsCaller run(RuntimeInit java:496)_x000D_
03 03 15:17:58 906 17345 17345 E AndroidRuntime: 	at com android internal os ZygoteInit main(ZygoteInit java:1100)_x000D_
03 03 15:17:58 906 17345 17345 E AndroidRuntime: Caused by: android os RemoteException: Remote stack trace:_x000D_
03 03 15:17:58 906 17345 17345 E AndroidRuntime: 	at com android server am ActivityManagerService getContentProviderImpl(ActivityManagerService java:8551)_x000D_
03 03 15:17:58 906 17345 17345 E AndroidRuntime: 	at com android server am ActivityManagerService getContentProviderImpl(ActivityManagerService java:8391)_x000D_
03 03 15:17:58 906 17345 17345 E AndroidRuntime: 	at com android server am ActivityManagerService getContentProvider(ActivityManagerService java:9059)_x000D_
03 03 15:17:58 906 17345 17345 E AndroidRuntime: 	at android app IActivityManager Stub onTransact(IActivityManager java:2546)_x000D_
03 03 15:17:58 906 17345 17345 E AndroidRuntime: 	at com android server am ActivityManagerService onTransact(ActivityManagerService java:3427)_x000D_
03 03 15:17:58 906 17345 17345 E AndroidRuntime: _x000D_
   _x000D_
_x000D_
   _x000D_
    System information    _x000D_
Device: SM A705FN (a70qeea  samsung)_x000D_
Android version: 10_x000D_
Android build: QP1A 190711 020 A705FNXXU5CTK4_x000D_
c:geo version: 2021 02 14_x000D_
Google Play services: disabled   21 02 14 (120400 352619232)_x000D_
Low power mode: inactive_x000D_
Compass capabilities: yes_x000D_
Rotation vector sensor: present_x000D_
Orientation sensor: present_x000D_
Magnetometer   Accelerometer sensor: present_x000D_
Direction sensor used: rotation vector_x000D_
Hide caches: own found archived_x000D_
Hide waypoints: visited_x000D_
HW acceleration: disabled (manually changed)_x000D_
System language: nl NL   user defined language: _x000D_
System date format: dd MM y_x000D_
Debug mode active: yes_x000D_
System internal c:geo dir:  data user 0 cgeo geocaching (63 9 GB free) internal_x000D_
User storage c:geo dir:  storage emulated 0 cgeo (63 9 GB free) external non removable_x000D_
Geocache data:  storage emulated 0 Android data cgeo geocaching files GeocacheData (63 9 GB free) external non removable_x000D_
Database:  data user 0 cgeo geocaching databases data (151 2 MB) on system internal storage_x000D_
Last backup: 16 feb  20:28_x000D_
GPX import path:  storage emulated 0 cgeo gpx_x000D_
GPX export path:  storage emulated 0 cgeo gpx_x000D_
Offline maps path:  storage emulated 0 cgeo gpx_x000D_
Map render theme path: _x000D_
Live map mode: true_x000D_
Global filter: display all caches_x000D_
Sailfish OS detected: false_x000D_
Fine location permission: granted_x000D_
Write external storage permission: granted_x000D_
Geocaching sites enabled:_x000D_
   geocaching com: Logged in (Ingelogd)   PREMIUM_x000D_
Geocaching com date format: MM dd yyyy_x000D_
Installed c:geo plugins: contacts_x000D_
BRouter connection available: false_x000D_
    End of system information    _x000D_
   </t>
  </si>
  <si>
    <t>TeamNewPipe-NewPipe-5811</t>
  </si>
  <si>
    <t>Unable to minimize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</si>
  <si>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View the video in pip mode_x000D_
2  Maximize the video from the pip window_x000D_
3  Attempt this a few times to possibly get similar bug results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button to maximize or minimize the video does not register at all with my finger pressing and I am forced to close the whole app every time _x000D_
_x000D_
_x000D_
    Expected behavior_x000D_
     Tell us what you expect to happen     _x000D_
_x000D_
To be able to change the size of the video at will without the button getting stuck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Galaxy S10_x000D_
_x000D_
  NewPipe Screenshot 3 12 (https:  user images githubusercontent com 57234536 110923729 33a24800 82ef 11eb 8a72 5fee1cf37187 jpg)_x000D_
</t>
  </si>
  <si>
    <t>nextcloud-android-8164</t>
  </si>
  <si>
    <t xml:space="preserve">    Steps to reproduce_x000D_
1  start app_x000D_
2  _x000D_
3  _x000D_
_x000D_
    Expected behaviour_x000D_
  app starts_x000D_
_x000D_
    Actual behaviour_x000D_
after last update:_x000D_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CAUSE OF ERROR             _x000D_
_x000D_
java lang NullPointerException: Attempt to invoke virtual method  java lang Object java util ArrayList get(int)  on a null object reference_x000D_
	at com owncloud android lib common operations RemoteOperationResult getSingleData(RemoteOperationResult java:527)_x000D_
	at com owncloud android operations RefreshFolderOperation updatePredefinedStatus(RefreshFolderOperation java:339)_x000D_
	at com owncloud android operations RefreshFolderOperation updateCapabilities(RefreshFolderOperation java:304)_x000D_
	at com owncloud android operations RefreshFolderOperation updateOCVersion(RefreshFolderOperation java:276)_x000D_
	at com owncloud android operations RefreshFolderOperation run(RefreshFolderOperation java:229)_x000D_
	at com owncloud android lib common operations RemoteOperation run(RemoteOperation java:359)_x000D_
	at java lang Thread run(Thread java:919)_x000D_
_x000D_
             APP INFORMATION             _x000D_
ID: com nextcloud android beta_x000D_
Version: 20210304_x000D_
Build flavor: versionDev_x000D_
_x000D_
             DEVICE INFORMATION             _x000D_
Brand: OnePlus_x000D_
Device: OnePlus3T_x000D_
Model: ONEPLUS A3003_x000D_
Id: QQ2A 200501 001 B2_x000D_
Product: lineage oneplus3_x000D_
_x000D_
             FIRMWARE             _x000D_
SDK: 29_x000D_
Release: 10_x000D_
Incremental: eng nomahl 20200605 115231_x000D_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</si>
  <si>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PojavLauncherTeam-PojavLauncher-1041</t>
  </si>
  <si>
    <t>[BUG] &lt;Game crashes as soon as i click play</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</si>
  <si>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The game crashes as soon as i click on play_x000D_
_x000D_
  Add a log file if you want to see your bug fixed    _x000D_
_x000D_
 Log txt file (https:  drive google com file d 1fXetSSwU1eWgXndg9uxdIcNWW heYXMh view usp drivesdk) _x000D_
_x000D_
Do NOT paste the whole log text   Instead  add it as a file on this issue _x000D_
_x000D_
    To Reproduce:_x000D_
Indicate steps to reproduce the buggy behavior:_x000D_
_x000D_
1  Start PojavLauncher_x000D_
2 Install 1 8 9_x000D_
3 Click on play_x000D_
4 see the error_x000D_
_x000D_
    Expected behavior:_x000D_
game should run_x000D_
_x000D_
    Screenshots or videos:_x000D_
_x000D_
https:  user images githubusercontent com 76276190 110910544 843d9380 8337 11eb 9c92 37b40af48e92 mp4_x000D_
_x000D_
_x000D_
_x000D_
  Platform:  _x000D_
   Device Model Lg stylus 3_x000D_
   CPU architecture aarch32_x000D_
   Android Version 7_x000D_
   PojavLauncher Version 3 3 1 1_x000D_
_x000D_
_x000D_
 details   summary  b Additional context  b   summary _x000D_
 br _x000D_
 pre _x000D_
Add any other context about the problem here _x000D_
  pre _x000D_
  details _x000D_
</t>
  </si>
  <si>
    <t>libgdx-libgdx-6450</t>
  </si>
  <si>
    <t>OpenAL Music Crashes on LWJGL3</t>
  </si>
  <si>
    <t xml:space="preserve">     Issue details_x000D_
Playing music on LWJGL3 crashes sometimes possibly due to synchronization issues  _x000D_
_x000D_
     How to reproduce_x000D_
Based on my assessment  it s possible for  OpenALMusic fill(   ) (https:  github com libgdx libgdx blob master backends gdx backend lwjgl3 src com badlogic gdx backends lwjgl3 audio OpenALMusic java L251) to be called from multiple threads causing a buffer exception if 2  threads manipulate  tempBuffer  at the same time  Attached is a player submitted crash report  An example would be calling  play  from a non render thread while the render thread updates the audio at the same time _x000D_
_x000D_
     Proposed solution_x000D_
Maybe the easiest solution is to simply make the method synchronized:_x000D_
   _x000D_
private synchronized boolean fill (int bufferID)  _x000D_
     _x000D_
 _x000D_
   _x000D_
_x000D_
     Version of LibGDX and or relevant dependencies_x000D_
libGDX 1 9 14 with LWJGL 3 2 3_x000D_
 _x000D_
     Stacktrace_x000D_
   java_x000D_
java nio BufferOverflowException_x000D_
	at java nio DirectByteBuffer put(DirectByteBuffer java:362)_x000D_
	at com badlogic gdx backends lwjgl3 audio OpenALMusic fill(OpenALMusic java:269)_x000D_
	at com badlogic gdx backends lwjgl3 audio OpenALMusic update(OpenALMusic java:237)_x000D_
	at com badlogic gdx backends lwjgl3 audio OpenALLwjgl3Audio update(OpenALLwjgl3Audio java:250)_x000D_
	at com badlogic gdx backends lwjgl3 Lwjgl3Application loop(Lwjgl3Application java:133)_x000D_
	at com badlogic gdx backends lwjgl3 Lwjgl3Application  init (Lwjgl3Application java:117)_x000D_
   _x000D_
_x000D_
     Please select the affected platforms_x000D_
      Android_x000D_
      iOS_x000D_
      HTML GWT_x000D_
   x  Desktop with LWJGL3_x000D_
</t>
  </si>
  <si>
    <t>iNPUTmice-lttrs-android-77</t>
  </si>
  <si>
    <t>A swiped item should not trigger a selection</t>
  </si>
  <si>
    <t>When swiping and remaining in a half swiped position the long press   selection tracker kicks in _x000D_
This is a) annoying and b) can cause crashes like this:_x000D_
_x000D_
    _x000D_
03 11 21:54:09 448 30972 30972 D lttrs   : r l a u f AbstractQueryFragment: prepare action mode for 1 selected items_x000D_
03 11 21:54:09 462 30972 30972 I lttrs   : r l a u a ThreadOverviewItemKeyProvider: attempting to get key for position 2_x000D_
03 11 21:54:09 462 30972 30972 I lttrs   : r l a u a ThreadOverviewItemKeyProvider: thread id Te35430819ce810f4_x000D_
java lang IllegalArgumentException_x000D_
        at androidx core util Preconditions checkArgument(Preconditions java:36)_x000D_
        at androidx recyclerview selection DefaultSelectionTracker anchorRange(DefaultSelectionTracker java:288)_x000D_
        at androidx recyclerview selection MotionInputHandler selectItem(MotionInputHandler java:60)_x000D_
        at androidx recyclerview selection TouchInputHandler onLongPress(TouchInputHandler java:164)_x000D_
        at androidx recyclerview selection GestureRouter onLongPress(GestureRouter java:97)_x000D_
        at android view GestureDetector dispatchLongPress(GestureDetector java:896)_x000D_
        at android view GestureDetector access 300(GestureDetector java:57)_x000D_
        at android view GestureDetector GestureHandler handleMessage(GestureDetector java:322)_x000D_
        at android os Handler dispatchMessage(Handler java:106)_x000D_
        at android os Looper loop(Looper java:223)_x000D_
        at android app ActivityThread main(ActivityThread java:7660)_x000D_
        at java lang reflect Method invoke(Native Method)_x000D_
        at com android internal os RuntimeInit MethodAndArgsCaller run(RuntimeInit java:592)_x000D_
        at com android internal os ZygoteInit main(ZygoteInit java:947)</t>
  </si>
  <si>
    <t>ultrasonic-ultrasonic-390</t>
  </si>
  <si>
    <t>Crashes when playing audio</t>
  </si>
  <si>
    <t xml:space="preserve">   Problem description_x000D_
_x000D_
Sometimes I expirience random crashes _x000D_
_x000D_
    Steps to reproduce_x000D_
_x000D_
Not yet clear_x000D_
_x000D_
   System information_x000D_
_x000D_
     Ultrasonic version  :  Latest on F Droid_x000D_
     Android version  : Lineage 17 1_x000D_
     Device info  :  not provided_x000D_
_x000D_
   Additional notes_x000D_
_x000D_
Fatal signal 11 (SIGSEGV)  code 1 (SEGV MAPERR)  fault addr 0x0 in tid 29016 (Thread 8)  pid 28948 (oire ultrasonic)_x000D_
03 10 13:22:14 794 29019 29019 F DEBUG   :                                                                _x000D_
03 10 13:22:14 794 29019 29019 F DEBUG   : LineageOS Version:  17 1 xxxxxxxxxxxxxxxxxxxxxxxx _x000D_
03 10 13:22:14 794 29019 29019 F DEBUG   : Build fingerprint: xxxxxxxxxxxxxxxxxxxxxxxxxxxxxxxxxxxxx_x000D_
03 10 13:22:14 794 29019 29019 F DEBUG   : Revision:  0 _x000D_
03 10 13:22:14 794 29019 29019 F DEBUG   : ABI:  arm64 _x000D_
03 10 13:22:14 796 29019 29019 F DEBUG   : Timestamp: 2021 03 10 13:22:14 0100_x000D_
03 10 13:22:14 796 29019 29019 F DEBUG   : pid: 28948  tid: 29016  name: Thread 8      org moire ultrasonic    _x000D_
03 10 13:22:14 796 29019 29019 F DEBUG   : uid: 10149_x000D_
03 10 13:22:14 796 29019 29019 F DEBUG   : signal 11 (SIGSEGV)  code 1 (SEGV MAPERR)  fault addr 0x0_x000D_
03 10 13:22:14 796 29019 29019 F DEBUG   : Cause: null pointer dereference_x000D_
03 10 13:22:14 796 29019 29019 F DEBUG   :     x0  0000007666a65900  x1  00000076634dfb90  x2  0000000000000001  x3  0000000012f04d94_x000D_
03 10 13:22:14 796 29019 29019 F DEBUG   :     x4  0000000000000000  x5  0000007672a60a00  x6  0000007672a60a00  x7  0000000000000000_x000D_
03 10 13:22:14 796 29019 29019 F DEBUG   :     x8  0000000000000006  x9  0000007673035804  x10 0000007673038228  x11 0000000000000041_x000D_
03 10 13:22:14 796 29019 29019 F DEBUG   :     x12 00000076cd05b0a8  x13 00000076cd05b0b0  x14 00000076d8b562cc  x15 0000000000000000_x000D_
03 10 13:22:14 796 29019 29019 F DEBUG   :     x16 000000767303d5e8  x17 0000007759e1a630  x18 0000007661eec000  x19 0000000000000000_x000D_
03 10 13:22:14 796 29019 29019 F DEBUG   :     x20 00000076634dfb90  x21 0000007666a65900  x22 0000000000000002  x23 00000000fffffff9_x000D_
03 10 13:22:14 796 29019 29019 F DEBUG   :     x24 0000000012f04d84  x25 00000076729147ec  x26 00000000ffffffe0  x27 0000000012f04d94_x000D_
03 10 13:22:14 796 29019 29019 F DEBUG   :     x28 00000076634e1020  x29 00000076634dfb70_x000D_
03 10 13:22:14 797 29019 29019 F DEBUG   :     sp  00000076634dfb50  lr  000000767303823c  pc  0000007759e1a64c_x000D_
03 10 13:22:15 260 29019 29019 F DEBUG   : _x000D_
03 10 13:22:15 260 29019 29019 F DEBUG   : backtrace:_x000D_
03 10 13:22:15 260 29019 29019 F DEBUG   :        00 pc 000000000000f64c   system lib64 libutils so (android::RefBase::decStrong(void const ) const 28) (BuildId: 6212421b5da38101f8412487a7e3e28e)_x000D_
03 10 13:22:15 260 29019 29019 F DEBUG   :        01 pc 0000000000004238   system lib64 libaudioeffect jni so (android media AudioEffect native getParameter( JNIEnv    jobject   int   jbyteArray   int   jbyteArray ) 616) (BuildId: 58219892f2590f2e29f34622141ee178)_x000D_
03 10 13:22:15 260 29019 29019 F DEBUG   :        02 pc 000000000029efd4   system framework arm64 boot framework oat (art jni trampoline 196) (BuildId: 600a26b6da00607997f3350c09c9e3dec3da8b47)_x000D_
03 10 13:22:15 260 29019 29019 F DEBUG   :        03 pc 0000000000136334   apex com android runtime lib64 libart so (art quick invoke stub 548) (BuildId: a0de32d5cd8b6ef7386adb27fa34113b)_x000D_
03 10 13:22:15 261 29019 29019 F DEBUG   :        04 pc 0000000000145064   apex com android runtime lib64 libart so (art::ArtMethod::Invoke(art::Thread   unsigned int   unsigned int  art::JValue   char const ) 244) (BuildId: a0de32d5cd8b6ef7386adb27fa34113b)_x000D_
03 10 13:22:15 261 29019 29019 F DEBUG   :        05 pc 00000000002e343c   apex com android runtime lib64 libart so (art::interpreter::ArtInterpreterToCompiledCodeBridge(art::Thread   art::ArtMethod   art::ShadowFrame   unsigned short  art::JValue ) 384) (BuildId: a0de32d5cd8b6ef7386adb27fa34113b)_x000D_
03 10 13:22:15 261 29019 29019 F DEBUG   :        06 pc 00000000002de334   apex com android runtime lib64 libart so (bool art::interpreter::DoCall false  false (art::ArtMethod   art::Thread   art::ShadowFrame   art::Instruction const   unsigned short  art::JValue ) 928) (BuildId: a0de32d5cd8b6ef7386adb27fa34113b)_x000D_
03 10 13:22:15 261 29019 29019 F DEBUG   :        07 pc 00000000005a3b48   apex com android runtime lib64 libart so (MterpInvokeDirect 400) (BuildId: a0de32d5cd8b6ef7386adb27fa34113b)_x000D_
</t>
  </si>
  <si>
    <t>TeamNewPipe-NewPipe-5808</t>
  </si>
  <si>
    <t>Comment crash on specific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</si>
  <si>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newpipe _x000D_
2  Open this video  https:  www youtube com watch v oT3XR1e1Aoo_x000D_
3  Wait for it to load and it will appear  It appears only on specific videos_x000D_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comments section didn t load giving me an error when loading video _x000D_
_x000D_
_x000D_
    Expected behavior_x000D_
     Tell us what you expect to happen     _x000D_
Comments section appearing_x000D_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4d3defce 5fb0 4712 8c0c f66658b5426c (https:  user images githubusercontent com 74511929 110814226 4c344300 829a 11eb 9331 3fe09ad0a34e jpg)_x000D_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comments_x000D_
    Request:   https:  m youtube com watch v oT3XR1e1Aoo_x000D_
    Content Country:   GB_x000D_
    Content Language:   en GB_x000D_
    App Language:   en GB_x000D_
    Service:   YouTube_x000D_
    Version:   0 20 11_x000D_
    OS:   Linux Android 7 1 1   25_x000D_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java:100)_x000D_
	at org schabi newpipe extractor services youtube extractors YoutubeCommentsExtractor getInitialPage(YoutubeCommentsExtractor java:55)_x000D_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java:167)_x000D_
	at org schabi newpipe util    Lambda ExtractorHelper 60N  UL7E5eaxFaFO1bZZmnfwM8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com grack nanojson JsonParserException: Unexpected character:   on line 1  char 1_x000D_
	at com grack nanojson JsonTokener createParseException(Unknown Source)_x000D_
	at com grack nanojson JsonTokener advanceToToken(Unknown Source)_x000D_
	at com grack nanojson JsonParser advanceToken(Unknown Source)_x000D_
	at com grack nanojson JsonParser parse(Unknown Source)_x000D_
	at com grack nanojson JsonParser JsonParserContext from(Unknown Source)_x000D_
	at org schabi newpipe extractor services youtube extractors YoutubeCommentsExtractor getPage(YoutubeCommentsExtractor java:98)_x000D_
	    30 more_x000D_
_x000D_
   _x000D_
  details _x000D_
 hr _x000D_
_x000D_
_x000D_
     Please fill this out when you do not provide a log generate by NewPipe    _x000D_
_x000D_
    Device info_x000D_
_x000D_
   Android version Custom ROM version:_x000D_
   Device model:_x000D_
</t>
  </si>
  <si>
    <t>PhenoApps-Field-Book-222</t>
  </si>
  <si>
    <t>[BUG] Java time API 26 or later</t>
  </si>
  <si>
    <t xml:space="preserve">  Describe the bug  _x000D_
Can t resolve java time class which looks to be only available on API 26 or later _x000D_
_x000D_
   _x000D_
java lang NoClassDefFoundError: Failed resolution of: Ljava time format DateTimeFormatter _x000D_
        at org brapi client v2 typeAdapters OffsetDateTimeTypeAdapter  init (OffsetDateTimeTypeAdapter java:19)_x000D_
        at org brapi client v2 JSON  init (JSON java:43)_x000D_
        at org brapi client v2 BrAPIClient init(BrAPIClient java:97)_x000D_
        at org brapi client v2 BrAPIClient  init (BrAPIClient java:87)_x000D_
        at com fieldbook tracker brapi service BrAPIServiceV2  init (BrAPIServiceV2 java:77)_x000D_
        at com fieldbook tracker brapi service BrAPIServiceFactory getBrAPIService(BrAPIServiceFactory java:15)_x000D_
        at com fieldbook tracker activities BrapiActivity onCreate(BrapiActivity java:64)_x000D_
   _x000D_
_x000D_
  To Reproduce  _x000D_
1  Set brapi version to V2_x000D_
2  Try to import a study and field book will crash_x000D_
_x000D_
  Expected behavior  _x000D_
Import works without error_x000D_
_x000D_
  Device Info (please complete the following information):  _x000D_
   Model:  Nexus 6P API 23 _x000D_
   Field Book Version  brapi v2 _x000D_
</t>
  </si>
  <si>
    <t>googleads-googleads-mobile-flutter-78</t>
  </si>
  <si>
    <t>Crash - Ad for following adId already exists</t>
  </si>
  <si>
    <t xml:space="preserve">following sequence crash the app:_x000D_
_x000D_
if ad not null    dispose_x000D_
create new ad_x000D_
load_x000D_
   fast run my app   (clear my app memory and reference to old ad)   _x000D_
if ad not null    dispose_x000D_
create new ad_x000D_
load_x000D_
_x000D_
E flutter ( 4234):  ERROR:flutter lib ui ui dart state cc(186)  Unhandled Exception: PlatformException(error  Ad for following adId already exists: 2  null  java lang IllegalArgumentException: Ad for following adId already exists: 2_x000D_
_x000D_
</t>
  </si>
  <si>
    <t>Raheemshah2809-Relax-app-1</t>
  </si>
  <si>
    <t xml:space="preserve">Issue with displaying year of the date, the application crashes </t>
  </si>
  <si>
    <t>Issue with displaying year of the date  the application crashes  _x000D_
_x000D_
line 238 and onwards seems to be the cause  _x000D_
_x000D_
Urgent wihtout it doesnt work</t>
  </si>
  <si>
    <t>Anuken-Mindustry-4919</t>
  </si>
  <si>
    <t>Bridges build out of order in the build queue link incorrectly</t>
  </si>
  <si>
    <t xml:space="preserve">  Platform  :  Android iOS Mac Windows Linux _x000D_
Windows_x000D_
_x000D_
  Build  :  The build number under the title in the main menu  Required   LATEST  IS NOT A VERSION  I NEED THE EXACT BUILD NUMBER OF YOUR GAME  _x000D_
126 1_x000D_
_x000D_
  Issue  :  Explain your issue in detail  _x000D_
When you put things into the build queue and run out of material  the player will build things out of order  This is normal  Sometimes though when it decides to build bridges out of order the bridges don t remember which direction they re linked to and link randomly  I ve never had this occur with schematics or click hold placing to build a line of bridges  It only occurs when placing bridges down manually one by one  The order they link is determined solely by the order they get built  It happens rarely and is difficult to figure out exactly how to recreate _x000D_
_x000D_
  Steps to reproduce  :  How you happened across the issue  and what exactly you did to make the bug happen  _x000D_
1  Make sure the core has enough copper lead _x000D_
2  Make sure you have a source of copper lead going into the core  For best results  make the sources slow _x000D_
3  Start building a ton of scatters  enough to exhaust all of your copper or lead _x000D_
4  Immediately start placing bridges (one at a time  not click hold) and take note of the order you placed them  Make sure every bridge can link up to a nearby bridge _x000D_
5  At some point the copper will run out and the player will go through the normal process of building 1 item per scatter to keep them on the map to be finished later _x000D_
6  It will then get to the bridges and do the same process (because we re out of copper or lead) _x000D_
7  At this point I get different results depending on how fast the sources are and when I placed the bridges in comparison to the scatters  Sometimes the bridges will link in the correct order and sometimes they won t  The order they link is determined solely by the order they get built _x000D_
_x000D_
  Link(s) to mod(s) used  :  The mod repositories or zip files that are related to the issue  if applicable  _x000D_
NA_x000D_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https:  ufile io xmy6gah4_x000D_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NA_x000D_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</si>
  <si>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nextcloud-android-8148</t>
  </si>
  <si>
    <t>crash nextcloud dev android after start aplication #8105</t>
  </si>
  <si>
    <t xml:space="preserve">    Steps to reproduce_x000D_
1  Click on Nextcloud app_x000D_
2  _x000D_
3  _x000D_
_x000D_
    Expected behaviour_x000D_
So should open_x000D_
_x000D_
    Actual behaviour_x000D_
App opens with spinning circle (loading) then crashes within seconds_x000D_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Brand: google_x000D_
Device: redfin_x000D_
Model: Pixel 5_x000D_
_x000D_
Stock or customized system:_x000D_
_x000D_
Nextcloud app version:_x000D_
ID: com nextcloud android beta_x000D_
Version: 20210304_x000D_
Build flavor: versionDev_x000D_
_x000D_
Nextcloud server version:_x000D_
_x000D_
Reverse proxy:_x000D_
_x000D_
    Logs_x000D_
     Web server error log_x000D_
   _x000D_
Insert your webserver log here_x000D_
   _x000D_
_x000D_
     Nextcloud log (data nextcloud log)_x000D_
   _x000D_
             CAUSE OF ERROR             _x000D_
_x000D_
java lang NullPointerException: Attempt to invoke virtual method  java lang Object java util ArrayList get(int)  on a null object reference_x000D_
	at com owncloud android operations GetUserProfileOperation run(GetUserProfileOperation java:61)_x000D_
	at com owncloud android lib common operations RemoteOperation execute(RemoteOperation java:139)_x000D_
	at com owncloud android operations common SyncOperation execute(SyncOperation java:64)_x000D_
	at com owncloud android operations RefreshFolderOperation updateUserProfile(RefreshFolderOperation java:282)_x000D_
	at com owncloud android operations RefreshFolderOperation run(RefreshFolderOperation java:230)_x000D_
	at com owncloud android lib common operations RemoteOperation run(RemoteOperation java:359)_x000D_
	at java lang Thread run(Thread java:923)_x000D_
   _x000D_
  NOTE:   Be super sure to remove sensitive data like passwords  note that everybody can look here  You can use the Issue Template application to prefill some of the required information: https:  apps nextcloud com apps issuetemplate_x000D_
</t>
  </si>
  <si>
    <t>TeamNewPipe-NewPipe-legacy-67</t>
  </si>
  <si>
    <t>Bug by Notification</t>
  </si>
  <si>
    <t xml:space="preserve">   Exception_x000D_
    User Action:   ui error_x000D_
    Request:   App crash  UI failure_x000D_
    Content Country:   DE_x000D_
    Content Language:   de DE_x000D_
    App Language:   de DE_x000D_
    Service:   none_x000D_
    Version:   0 20 8_x000D_
    OS:   Linux Android 11   30_x000D_
 details  summary  b Crash log   b   summary  p _x000D_
_x000D_
   _x000D_
android view InflateException: Binary XML file line  31: Error inflating class (not found)org schabi newpipe settings custom NotificationActionsPreference_x000D_
	at androidx preference PreferenceInflater createItemFromTag(PreferenceInflater java:287)_x000D_
	at androidx preference PreferenceInflater rInflate(PreferenceInflater java:344)_x000D_
	at androidx preference PreferenceInflater rInflate(PreferenceInflater java:346)_x000D_
	at androidx preference PreferenceInflater inflate(PreferenceInflater java:157)_x000D_
	at androidx preference PreferenceInflater inflate(PreferenceInflater java:109)_x000D_
	at androidx preference PreferenceManager inflateFromResource(PreferenceManager java:216)_x000D_
	at androidx preference PreferenceFragmentCompat addPreferencesFromResource(PreferenceFragmentCompat java:361)_x000D_
	at org schabi newpipelegacy settings NotificationSettingsFragment onCreatePreferences(NotificationSettingsFragment kt:10)_x000D_
	at androidx preference PreferenceFragmentCompat onCreate(PreferenceFragmentCompat java:160)_x000D_
	at org schabi newpipelegacy settings BasePreferenceFragment onCreate(BasePreferenceFragment java:24)_x000D_
	at androidx fragment app Fragment performCreate(Fragment java:2684)_x000D_
	at androidx fragment app FragmentStateManager create(FragmentStateManager java:280)_x000D_
	at androidx fragment app FragmentManager moveToState(FragmentManager java:1175)_x000D_
	at androidx fragment app FragmentTransition addToFirstInLastOut(FragmentTransition java:1255)_x000D_
	at androidx fragment app FragmentTransition calculateFragments(FragmentTransition java:1138)_x000D_
	at androidx fragment app FragmentTransition startTransitions(FragmentTransition java:136)_x000D_
	at androidx fragment app FragmentManager executeOpsTogether(FragmentManager java:1989)_x000D_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java:938)_x000D_
	at android os Handler dispatchMessage(Handler java:99)_x000D_
	at android os Looper loop(Looper java:246)_x000D_
	at android app ActivityThread main(ActivityThread java:8443)_x000D_
	at java lang reflect Method invoke(Native Method)_x000D_
	at com android internal os RuntimeInit MethodAndArgsCaller run(RuntimeInit java:596)_x000D_
	at com android internal os ZygoteInit main(ZygoteInit java:1130)_x000D_
Caused by: java lang ClassNotFoundException: org schabi newpipe settings custom NotificationActionsPreference_x000D_
	at java lang Class classForName(Native Method)_x000D_
	at java lang Class forName(Class java:454)_x000D_
	at androidx preference PreferenceInflater createItem(PreferenceInflater java:214)_x000D_
	at androidx preference PreferenceInflater createItemFromTag(PreferenceInflater java:277)_x000D_
	    26 more_x000D_
Caused by: java lang ClassNotFoundException: org schabi newpipe settings custom NotificationActionsPreference_x000D_
	    30 more_x000D_
_x000D_
   _x000D_
  details _x000D_
 hr _x000D_
</t>
  </si>
  <si>
    <t>TeamNewPipe-NewPipe-5805</t>
  </si>
  <si>
    <t>In Romanian translation 1 minute is wrongly translated [localisation/translation]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</si>
  <si>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Select Romanian language_x000D_
2  Refresh subscription list_x000D_
3  Wait one minute  fluxul a fost actualizat acum 1 minuta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It will say  fluxul a fost actualizat acum 1 minuta _x000D_
_x000D_
    Expected behavior_x000D_
     Tell us what you expect to happen     _x000D_
_x000D_
It shout say  fluxul a fost actualizat acum 1 minut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 03 10 21 11 09 595 org schabi newpipe (https:  user images githubusercontent com 77978836 110684520 eab29c80 81e5 11eb 9386 5bd8c5ce9b7d jpg)_x000D_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</si>
  <si>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comcore-app-2</t>
  </si>
  <si>
    <t>Dark mode GUI crash</t>
  </si>
  <si>
    <t xml:space="preserve">I run my phone with dark mode enabled  so all of the apps use a dark theme (from  values night themes xml  instead of  values themes xml )  When I tried to run the main branch of the app on my phone  it immediately crashed with the following error from the GUI:_x000D_
_x000D_
   _x000D_
E AndroidRuntime: FATAL EXCEPTION: main_x000D_
    Process: com gmail comcorecrew comcore  PID: 30772_x000D_
       _x000D_
    Caused by: java lang IllegalStateException: This Activity already has an action bar supplied by the window decor  Do not request Window FEATURE SUPPORT ACTION BAR and set windowActionBar to false in your theme to use a Toolbar instead _x000D_
        at androidx appcompat app AppCompatDelegateImpl setSupportActionBar(AppCompatDelegateImpl java:572)_x000D_
        at androidx appcompat app AppCompatActivity setSupportActionBar(AppCompatActivity java:159)_x000D_
        at com gmail comcorecrew comcore MainActivity onCreate(MainActivity java:25)_x000D_
           _x000D_
   _x000D_
_x000D_
I think this is because the dark mode theme hasn t been configured  since when I run it without dark mode it works fine  Maybe we could have a separate dark theme  or if that s too much work we could set it to disable dark mode for the app </t>
  </si>
  <si>
    <t>AOF-Dev-MCinaBox-1020</t>
  </si>
  <si>
    <t>20w10a crash</t>
  </si>
  <si>
    <t xml:space="preserve">When launching MCinaBox game immediatly crashes _x000D_
  Smartphone (please complete the following information):  _x000D_
   Device:  Samsung Galaxy Tab S7 _x000D_
   OS:  Android 11 _x000D_
   App Version  e g  v0 1 4p5 0119 _x000D_
   CPU architecture  e g  arm64   _x000D_
_x000D_
</t>
  </si>
  <si>
    <t>PojavLauncherTeam-PojavLauncher-1034</t>
  </si>
  <si>
    <t>[BUG] PojavLauncher (Google Play) Broken</t>
  </si>
  <si>
    <t xml:space="preserve">    Describe the bug_x000D_
I can download and install the app normally in the store  but after install a version in the launcher and press  Play  a black screen appear  a box with how many memory have allocated too and then crash (don t have a crash log in the folder)_x000D_
_x000D_
    To Reproduce:_x000D_
Indicate steps to reproduce the buggy behavior:_x000D_
_x000D_
1  Start PojavLauncher_x000D_
2  Keep all standard configs_x000D_
3  Download a version (1 12 2)_x000D_
4  Press Play_x000D_
_x000D_
    Expected behavior:_x000D_
I expected that could load and play normally_x000D_
_x000D_
  Platform:  _x000D_
   Device Model  Redmi _x000D_
   CPU architecture  aarch32  _x000D_
   Android Version  9 _x000D_
   PojavLauncher Version  Latest Release in Google Play _x000D_
</t>
  </si>
  <si>
    <t>OTTAA-Project-OTTAAProject-5</t>
  </si>
  <si>
    <t>NewsDialog bug</t>
  </si>
  <si>
    <t>There is a crash error on line 275 of the NewDialogOTTAA class _x000D_
when the user s try to performance a click on the buttons of the dialog</t>
  </si>
  <si>
    <t>TeamNewPipe-NewPipe-5804</t>
  </si>
  <si>
    <t>Crash on tapping anywhere on video after long-pressing 'Popup' button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</si>
  <si>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Open any video (play it or pause it  doesn t matter) _x000D_
2  Long press (press and hold) the  Popup  button   Enqueued  dialog appears _x000D_
3  Tap anywhere on video _x000D_
_x000D_
_x000D_
    Actual behaviour_x000D_
     Tell us what happens with the steps given above     _x000D_
_x000D_
The app immediately crashes and displays crash log _x000D_
_x000D_
The app still crashes when you:_x000D_
  play next video and tap anywhere on the video _x000D_
  go to Downloads by long pressing the Download button  then come back to the video and like above tap anywhere on the video _x000D_
_x000D_
_x000D_
    Expected behavior_x000D_
     Tell us what you expect to happen     _x000D_
_x000D_
Tapping anywhere on the video should display the controls (Play Pause and others) rather than crashing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img src  https:  user images githubusercontent com 57973356 110599603 25e3aa00 81ab 11eb 958b 4178b550d0dc gif  alt  crash recording  height  592  width  288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App crash  UI failure_x000D_
    Content Country:   US_x000D_
    Content Language:   en US_x000D_
    App Language:   en US_x000D_
    Service:   none_x000D_
    Version:   0 20 11_x000D_
    OS:   Linux Android 10   29_x000D_
 details  summary  b Crash log   b   summary  p _x000D_
_x000D_
   _x000D_
java lang NullPointerException_x000D_
	at org schabi newpipe player event BasePlayerGestureListener onDownInPopup(BasePlayerGestureListener kt:232)_x000D_
	at org schabi newpipe player event BasePlayerGestureListener onDown(BasePlayerGestureListener kt:222)_x000D_
	at android view GestureDetector onTouchEvent(GestureDetector java:661)_x000D_
	at org schabi newpipe player event BasePlayerGestureListener onTouchInPopup(BasePlayerGestureListener kt:108)_x000D_
	at org schabi newpipe player event BasePlayerGestureListener onTouch(BasePlayerGestureListener kt:82)_x000D_
	at android view View dispatchTouchEvent(View java:14372)_x000D_
	at android view ViewGroup dispatchTransformedTouchEvent(ViewGroup java:3857)_x000D_
	at android view ViewGroup dispatchTouchEvent(ViewGroup java:3535)_x000D_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com android internal policy DecorView superDispatchTouchEvent(DecorView java:733)_x000D_
	at com android internal policy PhoneWindow superDispatchTouchEvent(PhoneWindow java:1922)_x000D_
	at android app Activity dispatchTouchEvent(Activity java:4051)_x000D_
	at androidx appcompat view WindowCallbackWrapper dispatchTouchEvent(WindowCallbackWrapper java:69)_x000D_
	at androidx appcompat view WindowCallbackWrapper dispatchTouchEvent(WindowCallbackWrapper java:69)_x000D_
	at com android internal policy DecorView dispatchTouchEvent(DecorView java:691)_x000D_
	at android view View dispatchPointerEvent(View java:14644)_x000D_
	at android view ViewRootImpl ViewPostImeInputStage processPointerEvent(ViewRootImpl java:6526)_x000D_
	at android view ViewRootImpl ViewPostImeInputStage onProcess(ViewRootImpl java:6313)_x000D_
	at android view ViewRootImpl InputStage deliver(ViewRootImpl java:5751)_x000D_
	at android view ViewRootImpl InputStage onDeliverToNext(ViewRootImpl java:5804)_x000D_
	at android view ViewRootImpl InputStage forward(ViewRootImpl java:5770)_x000D_
	at android view ViewRootImpl AsyncInputStage forward(ViewRootImpl java:5926)_x000D_
	at android view ViewRootImpl InputStage apply(ViewRootImpl java:5778)_x000D_
	at android view ViewRootImpl AsyncInputStage apply(ViewRootImpl java:5983)_x000D_
	at android view ViewRootImpl InputStage deliver(ViewRootImpl java:5751)_x000D_
	at android view ViewRootImpl InputStage onDeliverToNext(ViewRootImpl java:5804)_x000D_
	at android view ViewRootImpl InputStage forward(ViewRootImpl java:5770)_x000D_
	at android view ViewRootImpl InputStage apply(ViewRootImpl java:5778)_x000D_
	at android view ViewRootImpl InputStage deliver(ViewRootImpl java:5751)_x000D_
	at android view ViewRootImpl deliverInputEvent(ViewRootImpl java:8910)_x000D_
	at android view ViewRootImpl doProcessInputEvents(ViewRootImpl java:8771)_x000D_
	at android view ViewRootImpl enqueueInputEvent(ViewRootImpl java:8724)_x000D_
	at android view ViewRootImpl WindowInputEventReceiver onInputEvent(ViewRootImpl java:9046)_x000D_
	at android view InputEventReceiver dispatchInputEvent(InputEventReceiver java:194)_x000D_
	at android os MessageQueue nativePollOnce(Native Method)_x000D_
	at android os MessageQueue next(MessageQueue java:336)_x000D_
	at android os Looper loop(Looper java:197)_x000D_
	at android app ActivityThread main(ActivityThread java:7948)_x000D_
	at java lang reflect Method invoke(Native Method)_x000D_
	at com android internal os RuntimeInit MethodAndArgsCaller run(RuntimeInit java:493)_x000D_
	at com android internal os ZygoteInit main(ZygoteInit java:1075)_x000D_
_x000D_
   _x000D_
  details _x000D_
 hr </t>
  </si>
  <si>
    <t>TeamNewPipe-NewPipe-5803</t>
  </si>
  <si>
    <t>Android w/ Zoom bug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</si>
  <si>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Use app with font zoom on android causes unreadable text overlap_x000D_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Use app with font zoom on android causes unreadable text overlap_x000D_
_x000D_
_x000D_
    Expected behavior_x000D_
     Tell us what you expect to happen     _x000D_
Text should display properly on android at all font zoom levels_x000D_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20210309 185748 NewPipe (https:  user images githubusercontent com 7246249 110574627 b02ffd80 811a 11eb 84b7 880b8e6dbba0 jpg)_x000D_
_x000D_
  Screenshot 20210309 205424 Settings (https:  user images githubusercontent com 7246249 110574643 baea9280 811a 11eb 87b5 c09b655f7f70 jpg)_x000D_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 stock_x000D_
   Device model: Samsung Galaxy S8 _x000D_
</t>
  </si>
  <si>
    <t>Neamar-KISS-1711</t>
  </si>
  <si>
    <t>Slowdown/crash after applying icon pack</t>
  </si>
  <si>
    <t xml:space="preserve">  Describe the bug  _x000D_
KISS hangs freezes crashes after applying an icon pack  When the custom icon pack is applied  changing any kind of setting gets the launcher to freeze _x000D_
_x000D_
  To Reproduce  _x000D_
Steps to reproduce the behavior:_x000D_
1  Apply icon pack_x000D_
2  Wait for the launcher to become responsive again_x000D_
3  Change any setting_x000D_
4  Wait for response or accept the crash_x000D_
_x000D_
  Expected behavior  _x000D_
Use any icon pack with no issues (everything works correctly on Sentien Launcher   KISS clone)_x000D_
_x000D_
  Screenshots  _x000D_
  image (https:  user images githubusercontent com 80368620 110559207 95618700 8122 11eb 8a45 f2605d55083a png)_x000D_
  image (https:  user images githubusercontent com 80368620 110559236 a27e7600 8122 11eb 9974 47dc0174d0f6 png)_x000D_
_x000D_
_x000D_
  Additional information  _x000D_
   App version: 3 15 5_x000D_
   App installed via: Play Store_x000D_
   Android version: RessurectionRemix 8 6 6 (Android 10)   Xiaomi Redmi 5 Plus (vince)_x000D_
 _x000D_
  Additional context  _x000D_
  KISS used to work normally on crDroid (also Android 10)_x000D_
</t>
  </si>
  <si>
    <t>inaturalist-iNaturalistAndroid-996</t>
  </si>
  <si>
    <t>FacebookSdkNotInitializedException in SignInTask</t>
  </si>
  <si>
    <t xml:space="preserve">https:  console firebase google com u 2 project inaturalist ios crashlytics app android:org inaturalist android issues 8da8802406921dc0597110bfce260f0c_x000D_
_x000D_
This is happening to 1 person with a rooted phone  but if end users have a way to stop the Facebook SDK from even being initialized  I feel like we should support that  Can we catch this exception and still show the sign in view  Or is this already going to be addressed by https:  github com inaturalist iNaturalistAndroid issues 988 _x000D_
_x000D_
   _x000D_
Caused by com facebook FacebookSdkNotInitializedException: The SDK has not been initialized  make sure to call FacebookSdk sdkInitialize() first _x000D_
       at com facebook internal Validate sdkInitialized(Validate java:135)_x000D_
       at com facebook AccessTokenTracker  init (AccessTokenTracker java:55)_x000D_
       at org inaturalist android SignInTask 1  init (SignInTask java:89)_x000D_
       at org inaturalist android SignInTask  init (SignInTask java:89)_x000D_
       at org inaturalist android LoginSignupActivity onCreate(LoginSignupActivity java:465)_x000D_
       at android app Activity performCreate(Activity java:7802)_x000D_
       at android app Activity performCreate(Activity java:7791)_x000D_
       at android app Instrumentation callActivityOnCreate(Instrumentation java:1299)_x000D_
       at android app ActivityThread performLaunchActivity(ActivityThread java:3245)_x000D_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invoke(Method java)_x000D_
       at com android internal os RuntimeInit MethodAndArgsCaller run(RuntimeInit java:492)_x000D_
       at com android internal os ZygoteInit main(ZygoteInit java:930)_x000D_
   </t>
  </si>
  <si>
    <t>inaturalist-iNaturalistAndroid-995</t>
  </si>
  <si>
    <t>NullPointerException in ObservationViewerActivity.refreshFollowStatus</t>
  </si>
  <si>
    <t xml:space="preserve">https:  console firebase google com u 2 project inaturalist ios crashlytics app android:org inaturalist android issues 46d394627883a7a8b494c5ec6707f99c_x000D_
https:  console firebase google com u 2 project inaturalist ios crashlytics app android:org inaturalist android issues a10cb4a6876c5bdea16ffbd793b6356e_x000D_
_x000D_
Not high volume  but affecting several people _x000D_
_x000D_
   _x000D_
Caused by java lang NullPointerException: Attempt to read from field  java lang Integer org inaturalist android Observation id  on a null object reference_x000D_
       at org inaturalist android ObservationViewerActivity refreshFollowStatus(ObservationViewerActivity java:2456)_x000D_
       at org inaturalist android ObservationViewerActivity onCreate(ObservationViewerActivity java:836)_x000D_
       at android app Activity performCreate(Activity java:7955)_x000D_
       at android app Activity performCreate(Activity java:7944)_x000D_
       at android app Instrumentation callActivityOnCreate(Instrumentation java:1307)_x000D_
       at android app ActivityThread performLaunchActivity(ActivityThread java:3463)_x000D_
       at android app ActivityThread handleLaunchActivity(ActivityThread java:3635)_x000D_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java:2175)_x000D_
       at android os Handler dispatchMessage(Handler java:107)_x000D_
       at android os Looper loop(Looper java:237)_x000D_
       at android app ActivityThread main(ActivityThread java:7860)_x000D_
       at java lang reflect Method invoke(Method java)_x000D_
       at com android internal os RuntimeInit MethodAndArgsCaller run(RuntimeInit java:493)_x000D_
       at com android internal os ZygoteInit main(ZygoteInit java:1075)_x000D_
   </t>
  </si>
  <si>
    <t>doublesymmetry-react-native-track-player-1130</t>
  </si>
  <si>
    <t>Playing URL crashes...</t>
  </si>
  <si>
    <t xml:space="preserve">_x000D_
Following URL crashes iOS:_x000D_
_x000D_
http:  www mediafire com file clcf947zz6nazg1 Expert Insights  Using TMS and Ketamine to Treat Depression mp3_x000D_
_x000D_
The following URL works:_x000D_
_x000D_
http:  feedproxy google com  r BeingWellBlackDogInstitutePodcasts  5 N427w4aXbvA Being Well Shaii 2527s Story 2 mp3_x000D_
_x000D_
I m unable to debug this as I m getting    invalid swift context  _x000D_
_x000D_
  image (4) (https:  user images githubusercontent com 2983327 110551600 ebb5e080 8189 11eb 8da3 d2e888aa173e png)_x000D_
</t>
  </si>
  <si>
    <t>TeamNewPipe-NewPipe-5801</t>
  </si>
  <si>
    <t>Error when loading a livestream</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</si>
  <si>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any livestream_x000D_
2  You ll see a snackbar showing up_x000D_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See logs below_x000D_
_x000D_
_x000D_
    Expected behavior_x000D_
     Tell us what you expect to happen     _x000D_
_x000D_
no error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comments_x000D_
    Request:   https:  m youtube com watch v 5qap5aO4i9A_x000D_
    Content Country:   FR_x000D_
    Content Language:   fr FR_x000D_
    App Language:   fr FR_x000D_
    Service:   YouTube_x000D_
    Version:   0 20 11_x000D_
    OS:   Linux Android 9   28_x000D_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java:100)_x000D_
	at org schabi newpipe extractor services youtube extractors YoutubeCommentsExtractor getInitialPage(YoutubeCommentsExtractor java:55)_x000D_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java:167)_x000D_
	at org schabi newpipe util    Lambda ExtractorHelper 60N  UL7E5eaxFaFO1bZZmnfwM8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com grack nanojson JsonParserException: Unexpected character:   on line 1  char 1_x000D_
	at com grack nanojson JsonTokener createParseException(Unknown Source:44)_x000D_
	at com grack nanojson JsonTokener advanceToToken(Unknown Source:118)_x000D_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YoutubeCommentsExtractor getPage(YoutubeCommentsExtractor java:98)_x000D_
	    30 more_x000D_
_x000D_
   _x000D_
  details _x000D_
 hr _x000D_
_x000D_
_x000D_
     Please fill this out when you do not provide a log generate by NewPipe    _x000D_
_x000D_
    Device info_x000D_
_x000D_
   Android version Custom ROM version:_x000D_
   Device model:_x000D_
</t>
  </si>
  <si>
    <t>cgeo-cgeo-10128</t>
  </si>
  <si>
    <t>ArrayIndexOutOfBoundsException in Mapsforge</t>
  </si>
  <si>
    <t xml:space="preserve">A user reported non reproducible crashes in a scenario where he repeatedly changed from map to a cache  added waypoint with his current position and returned to the map _x000D_
_x000D_
His logfile only contains this crash  not sure if it is related (as the time stamp provided by the user does not match the log time stamp (wrong day)) _x000D_
   _x000D_
03 03 07:44:39 257 10687 10687 E AndroidRuntime: FATAL EXCEPTION: main_x000D_
03 03 07:44:39 257 10687 10687 E AndroidRuntime: Process: cgeo geocaching  PID: 10687_x000D_
03 03 07:44:39 257 10687 10687 E AndroidRuntime: java lang ArrayIndexOutOfBoundsException: length 1874  index 1875_x000D_
03 03 07:44:39 257 10687 10687 E AndroidRuntime: 	at java util concurrent CopyOnWriteArrayList get(CopyOnWriteArrayList java:385)_x000D_
03 03 07:44:39 257 10687 10687 E AndroidRuntime: 	at java util concurrent CopyOnWriteArrayList get(CopyOnWriteArrayList java:398)_x000D_
03 03 07:44:39 257 10687 10687 E AndroidRuntime: 	at org mapsforge map layer Layers get(Layers java:336)_x000D_
03 03 07:44:39 257 10687 10687 E AndroidRuntime: 	at org mapsforge map android input TouchGestureHandler onSingleTapConfirmed(TouchGestureHandler java:263)_x000D_
03 03 07:44:39 257 10687 10687 E AndroidRuntime: 	at android view GestureDetector GestureHandler handleMessage(GestureDetector java:300)_x000D_
03 03 07:44:39 257 10687 10687 E AndroidRuntime: 	at android os Handler dispatchMessage(Handler java:105)_x000D_
03 03 07:44:39 257 10687 10687 E AndroidRuntime: 	at android os Looper loop(Looper java:164)_x000D_
03 03 07:44:39 257 10687 10687 E AndroidRuntime: 	at android app ActivityThread main(ActivityThread java:6798)_x000D_
03 03 07:44:39 257 10687 10687 E AndroidRuntime: 	at java lang reflect Method invoke(Native Method)_x000D_
03 03 07:44:39 257 10687 10687 E AndroidRuntime: 	at com android internal os Zygote MethodAndArgsCaller run(Zygote java:240)_x000D_
03 03 07:44:39 257 10687 10687 E AndroidRuntime: 	at com android internal os ZygoteInit main(ZygoteInit java:767)_x000D_
   _x000D_
_x000D_
   _x000D_
    System information    _x000D_
Device: ONEPLUS A3003 (OnePlus3  OnePlus)_x000D_
Android version: 8 0 0_x000D_
Android build: ONEPLUS A3003 28 180704_x000D_
c:geo version: 2021 02 14_x000D_
Google Play services: enabled   21 06 13 (040400 358943053)_x000D_
Low power mode: inactive_x000D_
Compass capabilities: yes_x000D_
Rotation vector sensor: present_x000D_
Orientation sensor: present_x000D_
Magnetometer   Accelerometer sensor: present_x000D_
Direction sensor used: rotation vector_x000D_
Hide caches: own found disabled archived_x000D_
Hide waypoints: original visited_x000D_
HW acceleration: enabled (default state)_x000D_
System language: da DK   user defined language:_x000D_
System date format: dd MM y_x000D_
Debug mode active: no_x000D_
System internal c:geo dir:  data user 0 cgeo geocaching (21 9 GB free) internal_x000D_
User storage c:geo dir:  storage emulated 0 cgeo (21 8 GB free) external non removable_x000D_
Geocache data:  storage emulated 0 Android data cgeo geocaching files GeocacheData (21 8 GB free) external non removable_x000D_
Database:  data user 0 cgeo geocaching databases data (99 2 MB) on system internal storage_x000D_
Last backup: 16  jan  07 19_x000D_
GPX import path:  storage emulated 0 cgeo gpx_x000D_
GPX export path:  storage emulated 0 cgeo gpx_x000D_
Offline maps path:  storage emulated 0 cgeo maps_x000D_
Map render theme path:_x000D_
Live map mode: true_x000D_
Global filter: display all caches_x000D_
Sailfish OS detected: false_x000D_
Fine location permission: granted_x000D_
Write external storage permission: granted_x000D_
Geocaching sites enabled:_x000D_
   geocaching com: Logged in (Login OK)   PREMIUM_x000D_
Geocaching com date format: dd MM yyyy_x000D_
Installed c:geo plugins: contacts_x000D_
BRouter connection available: false_x000D_
    End of system information    _x000D_
   </t>
  </si>
  <si>
    <t>TeamNewPipe-NewPipe-5800</t>
  </si>
  <si>
    <t>Crash when resuming from background after playback ended</t>
  </si>
  <si>
    <t xml:space="preserve">_x000D_
_x000D_
    Checklist_x000D_
_x000D_
   x  I am using the latest version   0 20 11_x000D_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Play a video in the background_x000D_
2  Multitask away from NewPipe_x000D_
3  Wait until it ends_x000D_
4  Wait a long time  use the phone for something else  and even not use the phone for some time  (Basically give Android a potential reason to kill the app)_x000D_
5  Open Android recents_x000D_
6  Resume NewPipe_x000D_
_x000D_
This bug doesn t happen all the time _x000D_
_x000D_
    Actual behaviour_x000D_
_x000D_
I saw an empty playback queue flash once or twice  then I saw the crash dialog _x000D_
_x000D_
    Expected behavior_x000D_
_x000D_
It should not crash_x000D_
_x000D_
    Screenshots Screen recordings_x000D_
_x000D_
I wasn t able to take a screenshot before I saw the error page_x000D_
_x000D_
_x000D_
    Logs_x000D_
_x000D_
   Exception_x000D_
    User Action:   ui error_x000D_
    Request:   App crash  UI failure_x000D_
    Content Country:   GB_x000D_
    Content Language:   en_x000D_
    App Language:   en CA_x000D_
    Service:   none_x000D_
    Version:   0 20 11_x000D_
    OS:   Linux Android 11   30_x000D_
 details  summary  b Crash log   b   summary  p _x000D_
_x000D_
   _x000D_
java lang NullPointerException: Attempt to invoke virtual method  com google android exoplayer2 PlaybackParameters org schabi newpipe player Player getPlaybackParameters()  on a null object reference_x000D_
	at org schabi newpipe player PlayQueueActivity onCreateOptionsMenu(PlayQueueActivity java:106)_x000D_
	at android app Activity onCreatePanelMenu(Activity java:4212)_x000D_
	at androidx fragment app FragmentActivity onCreatePanelMenu(FragmentActivity java:324)_x000D_
	at androidx appcompat view WindowCallbackWrapper onCreatePanelMenu(WindowCallbackWrapper java:94)_x000D_
	at androidx appcompat app AppCompatDelegateImpl AppCompatWindowCallback onCreatePanelMenu(AppCompatDelegateImpl java:3070)_x000D_
	at androidx appcompat view WindowCallbackWrapper onCreatePanelMenu(WindowCallbackWrapper java:94)_x000D_
	at androidx appcompat app ToolbarActionBar populateOptionsMenu(ToolbarActionBar java:456)_x000D_
	at androidx appcompat app ToolbarActionBar 1 run(ToolbarActionBar java:57)_x000D_
	at android os Handler handleCallback(Handler java:938)_x000D_
	at android os Handler dispatchMessage(Handler java:99)_x000D_
	at android os Looper loop(Looper java:233)_x000D_
	at android app ActivityThread main(ActivityThread java:8010)_x000D_
	at java lang reflect Method invoke(Native Method)_x000D_
	at com android internal os RuntimeInit MethodAndArgsCaller run(RuntimeInit java:631)_x000D_
	at com android internal os ZygoteInit main(ZygoteInit java:978)_x000D_
_x000D_
   _x000D_
  details _x000D_
 hr _x000D_
_x000D_
    Device info_x000D_
_x000D_
   Android version Custom ROM version: OP7Pro O2 BETA 3_x000D_
   Device model: OnePlus 7 Pro_x000D_
</t>
  </si>
  <si>
    <t>nextcloud-android-8138</t>
  </si>
  <si>
    <t>Nextcloud Android app crashes when trying to share a directory</t>
  </si>
  <si>
    <t xml:space="preserve">    Steps to reproduce_x000D_
1  Open Nextcloud app on Android and go to files _x000D_
2  Pick any directory and click the sharing icon _x000D_
3  Start typing user name and select once it appears _x000D_
_x000D_
    Expected behaviour_x000D_
  The directory is now shared with the selected user _x000D_
_x000D_
    Actual behaviour_x000D_
  The application crashes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_x000D_
Error message:_x000D_
             CAUSE OF ERROR             _x000D_
_x000D_
java lang RuntimeException: Accessing result data after operation failed _x000D_
	at com owncloud android lib common operations RemoteOperationResult getData(RemoteOperationResult java:486)_x000D_
	at com owncloud android utils ErrorMessageAdapter getMessageForCreateShareOperations(ErrorMessageAdapter java:254)_x000D_
	at com owncloud android utils ErrorMessageAdapter getMessageForResultAndOperation(ErrorMessageAdapter java:143)_x000D_
	at com owncloud android utils ErrorMessageAdapter getErrorCauseMessage(ErrorMessageAdapter java:79)_x000D_
	at com owncloud android ui activity FileActivity onRemoteOperationFinish(FileActivity java:380)_x000D_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at de robv android xposed XposedBridge main(XposedBridge java:108)_x000D_
_x000D_
             APP INFORMATION             _x000D_
ID: com nextcloud client_x000D_
Version: 30150090_x000D_
Build flavor: generic_x000D_
_x000D_
             DEVICE INFORMATION             _x000D_
Brand: Sony_x000D_
Device: lilac_x000D_
Model: G8441_x000D_
Id: OPM7 181005 003_x000D_
Product: lilac_x000D_
_x000D_
             FIRMWARE             _x000D_
SDK: 27_x000D_
Release: 8 1 0_x000D_
Incremental: 76102e37e6</t>
  </si>
  <si>
    <t>google-ExoPlayer-8693</t>
  </si>
  <si>
    <t>Crash happening on 2.13.0: ArrayIndexOutOfBoundsException in maybeUpdateAdMediaSources</t>
  </si>
  <si>
    <t>I want to report a crash using exoplayer v2 13 0 and googleIMA 3 22 0  It s a TV app in which we have a DAI video and other VOD videos with prerolls midrolls  Not sure if it s crashing on live video (DAI) or VOD _x000D_
Since we updated Exoplayer to 2 13 0 this crash started happening:_x000D_
   _x000D_
Fatal Exception: java lang ArrayIndexOutOfBoundsException_x000D_
length 0  index 1_x000D_
com google android exoplayer2 source ads AdsMediaSource maybeUpdateAdMediaSources (AdsMediaSource java:316)_x000D_
com google android exoplayer2 source ads AdsMediaSource onAdPlaybackState (AdsMediaSource java:295)_x000D_
com google android exoplayer2 source ads AdsMediaSource access 100 (AdsMediaSource java:58)_x000D_
com google android exoplayer2 source ads AdsMediaSource ComponentListener lambda onAdPlaybackState 0 (AdsMediaSource java:385)_x000D_
com google android exoplayer2 source ads AdsMediaSource ComponentListener lambda onAdPlaybackState 0 AdsMediaSource ComponentListener (AdsMediaSource java:7)_x000D_
com google android exoplayer2 source ads    Lambda AdsMediaSource ComponentListener 0n PEDqeEt9IJPXJ3J126o4e0MQ run (  java:7)_x000D_
android os Handler handleCallback (Handler java:751)_x000D_
android os Handler dispatchMessage (Handler java:95)_x000D_
android os Looper loop (Looper java:154)_x000D_
android os HandlerThread run (HandlerThread java:61)_x000D_
   _x000D_
I believe this might be a crash in the Exo SDK itself since we re not seeing any reference to our code in the stack trace  but even if it s not could you provide me any information on what could be causing this  as well as any tips to fix it _x000D_
  ExoPlayer version 2 13 0_x000D_
  IMA version  3 22 0_x000D_
  Android 7 47  of crashes_x000D_
  Android 5 45  of crashes_x000D_
  Android 9 8  of crashes_x000D_
  Android device: Amazon AFTT AFTTM</t>
  </si>
  <si>
    <t>codekidX-storage-chooser-133</t>
  </si>
  <si>
    <t>[BUG] Crash on launchng dialog on Android 11</t>
  </si>
  <si>
    <t xml:space="preserve">  Describe the bug  _x000D_
App crashes when picker  is launched with following code_x000D_
_x000D_
  To Reproduce  _x000D_
Steps to reproduce the behavior:_x000D_
    _x000D_
 StorageChooser Theme theme   new StorageChooser Theme(SettingsActivity this getApplicationContext()) _x000D_
        int   myScheme   theme getDefaultScheme() _x000D_
_x000D_
        myScheme StorageChooser Theme OVERVIEW HEADER INDEX    SettingsActivity this getResources() getColor(R color colorBlue) _x000D_
        myScheme StorageChooser Theme SEC ADDRESS BAR BG    SettingsActivity this getResources() getColor(R color colorBlue) _x000D_
        myScheme StorageChooser Theme SEC FOLDER TINT INDEX    SettingsActivity this getResources() getColor(R color colorBlue) _x000D_
        myScheme StorageChooser Theme SEC SELECT LABEL INDEX    SettingsActivity this getResources() getColor(R color colorBlue) _x000D_
        myScheme StorageChooser Theme SEC FOLDER CREATION BG INDEX    SettingsActivity this getResources() getColor(R color colorBlue) _x000D_
        myScheme StorageChooser Theme OVERVIEW MEMORYBAR INDEX    SettingsActivity this getResources() getColor(R color colorBlue) _x000D_
_x000D_
        theme setScheme(myScheme) _x000D_
_x000D_
        final StorageChooser Builder builder   new StorageChooser Builder() _x000D_
        final StorageChooser chooser   builder_x000D_
                 withActivity((Activity) SettingsActivity this)_x000D_
                 withFragmentManager((SettingsActivity this) getFragmentManager())_x000D_
                 allowAddFolder(true)_x000D_
                 hideFreeSpaceLabel(true)_x000D_
                 showHidden(true)_x000D_
                 withMemoryBar(false)_x000D_
                 setListTypeface( font GlacialIndifference Regular otf   true)_x000D_
                 setHeadingTypeface( font GlacialIndifference Regular otf   true)_x000D_
                 setTheme(theme)_x000D_
                 build() _x000D_
_x000D_
        chooser show() _x000D_
   _x000D_
_x000D_
  Expected behavior  _x000D_
It should show picker dialog as usual_x000D_
_x000D_
  Smartphone (please complete the following information):  _x000D_
   OS: Android 11_x000D_
_x000D_
  Additional context  _x000D_
Stack Trace_x000D_
   _x000D_
_x000D_
 java lang NullPointerException: Attempt to get length of null array_x000D_
        at com codekidlabs storagechooser fragments ChooserDialogFragment populateList(ChooserDialogFragment java:261)_x000D_
        at com codekidlabs storagechooser fragments ChooserDialogFragment initListView(ChooserDialogFragment java:114)_x000D_
        at com codekidlabs storagechooser fragments ChooserDialogFragment getLayout(ChooserDialogFragment java:84)_x000D_
        at com codekidlabs storagechooser fragments ChooserDialogFragment onCreateDialog(ChooserDialogFragment java:299)_x000D_
        at android app DialogFragment onGetLayoutInflater(DialogFragment java:417)_x000D_
        at android app Fragment performGetLayoutInflater(Fragment java:1322)_x000D_
        at android app FragmentManagerImpl moveToState(FragmentManager java:1303)_x000D_
        at android app FragmentManagerImpl addAddedFragments(FragmentManager java:2431)_x000D_
        at android app FragmentManagerImpl executeOpsTogether(FragmentManager java:2210)_x000D_
        at android app FragmentManagerImpl removeRedundantOperationsAndExecute(FragmentManager java:2166)_x000D_
        at android app FragmentManagerImpl execPendingActions(FragmentManager java:2067)_x000D_
        at android app FragmentManagerImpl 1 run(FragmentManager java:742)_x000D_
        at android os Handler handleCallback(Handler java:938)_x000D_
        at android os Handler dispatchMessage(Handler java:99)_x000D_
        at android os Looper loop(Looper java:223)_x000D_
        at android app ActivityThread main(ActivityThread java:7661)_x000D_
        at java lang reflect Method invoke(Native Method)_x000D_
        at com android internal os RuntimeInit MethodAndArgsCaller run(RuntimeInit java:594)_x000D_
        at com android internal os ZygoteInit main(ZygoteInit java:947)_x000D_
_x000D_
   </t>
  </si>
  <si>
    <t>kkevn-LEDsign-20</t>
  </si>
  <si>
    <t>Crash on Editing Rainbow Wave Effect</t>
  </si>
  <si>
    <t xml:space="preserve">  Summary  :_x000D_
For an existing Rainbow Wave effect created in the effects list  attempting to edit this effect will crash the application _x000D_
_x000D_
  Steps to reproduce  :_x000D_
1  Navigate to the profile creation page_x000D_
2  Apply any combination of at least one Rainbow Wave effect_x000D_
3  Tap the  Edit  option for this Rainbow Wave effect_x000D_
4  Observe the application crash_x000D_
_x000D_
  Actual result  : _x000D_
The application crashes _x000D_
_x000D_
  Expected result  : _x000D_
The application should navigate to the Rainbow Wave effect creation page with the selected effect s parameters loaded in as defaults </t>
  </si>
  <si>
    <t>TeamNewPipe-NewPipe-5797</t>
  </si>
  <si>
    <t>Maximize button from popup player is not working</t>
  </si>
  <si>
    <t xml:space="preserve">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 video _x000D_
2  Press the open in popup mode_x000D_
3  Get out of the app_x000D_
4  Press the maximize button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It doesn t do anything_x000D_
_x000D_
    Expected behavior_x000D_
     Tell us what you expect to happen     _x000D_
_x000D_
It should get back to the app (main player)_x000D_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user images githubusercontent com 77978836 110384072 d5aeff80 8065 11eb 843a 66e71ce19ecb mp4_x000D_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version:7 1 2_x000D_
   Device model:Redmi Note 5A_x000D_
</t>
  </si>
  <si>
    <t>Anuken-Mindustry-4904</t>
  </si>
  <si>
    <t>Crash on startup: No glyph:  (59420)</t>
  </si>
  <si>
    <t xml:space="preserve">I have not had the chance to try with the prebuilt binaries  as they do not run on my system without lots of tricks  Arc and Mindustry were built from source as described in the Nix package _x000D_
_x000D_
  Platform  :  Android iOS Mac Windows Linux _x000D_
_x000D_
Linux (NixOS)_x000D_
_x000D_
  Build  :  The build number under the title in the main menu  Required   LATEST  IS NOT A VERSION  I NEED THE EXACT BUILD NUMBER OF YOUR GAME  _x000D_
_x000D_
126 1_x000D_
_x000D_
  Issue  :  Explain your issue in detail  _x000D_
_x000D_
I start the game  It shows the loading screen  but before the title menu is shown it crashes _x000D_
_x000D_
  Steps to reproduce  :  How you happened across the issue  and what exactly you did to make the bug happen  _x000D_
_x000D_
Unclear  it happens to me every time I start Mindustry on one machine  On another machine the same files work  so the issue must be in some cache directory like   home  or   tmp  _x000D_
_x000D_
  Link(s) to mod(s) used  :  The mod repositories or zip files that are related to the issue  if applicable  _x000D_
_x000D_
N 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N A_x000D_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E  arc util ArcRuntimeException: java lang IllegalArgumentException: No glyph:   (59420)_x000D_
	at arc assets AssetManager handleTaskError(AssetManager java:670)_x000D_
	at arc assets AssetManager update(AssetManager java:442)_x000D_
	at arc assets AssetManager update(AssetManager java:465)_x000D_
	at mindustry ClientLauncher update(ClientLauncher java:143)_x000D_
	at arc backend sdl SdlApplication listen(SdlApplication java:160)_x000D_
	at arc backend sdl SdlApplication loop(SdlApplication java:148)_x000D_
	at arc backend sdl SdlApplication  init (SdlApplication java:44)_x000D_
	at mindustry desktop DesktopLauncher main(DesktopLauncher java:36)_x000D_
Caused by: java lang IllegalArgumentException: No glyph:   (59420)_x000D_
	at mindustry ui Fonts getGlyph(Fonts java:238)_x000D_
	at mindustry gen Icon load(Icon java:676)_x000D_
	at mindustry core UI loadSync(UI java:102)_x000D_
	at arc assets AssetManager 2 loadSync(AssetManager java:358)_x000D_
	at arc assets AssetLoadingTask handleAsyncLoader(AssetLoadingTask java:125)_x000D_
	at arc assets AssetLoadingTask update(AssetLoadingTask java:74)_x000D_
	at arc assets AssetManager updateTask(AssetManager java:591)_x000D_
	at arc assets AssetManager update(AssetManager java:440)_x000D_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</si>
  <si>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PojavLauncherTeam-PojavLauncher-1024</t>
  </si>
  <si>
    <t>[BUG] Minecraft crash when I try to enter in a server (again)</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</si>
  <si>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When I try to enter in a server  like Hypixel for example  the game simply crash _x000D_
_x000D_
  Add a log file if you want to see your bug fixed    _x000D_
_x000D_
The log file called  lastlog txt  is located under   games PojavLauncher  minecraft    _x000D_
You may need to activate an option in your file explorer to see hidden files and folders _x000D_
_x000D_
Do NOT paste the whole log text   Instead  add it as a file on this issue _x000D_
Logs:_x000D_
 latestlog txt (https:  github com PojavLauncherTeam PojavLauncher files 6101869 latestlog txt)_x000D_
_x000D_
 latest log (https:  github com PojavLauncherTeam PojavLauncher files 6101871 latest log)_x000D_
_x000D_
_x000D_
    To Reproduce:_x000D_
Indicate steps to reproduce the buggy behavior:_x000D_
_x000D_
1  Start PojavLauncher_x000D_
2  Open the game (1 12 2 or 1 16 5  with the latest OptiFine)_x000D_
3  Try to enter in a server _x000D_
     (your set of actions to reproduce the bug) _x000D_
_x000D_
    Expected behavior:_x000D_
I expected to enter in the server    _x000D_
_x000D_
    Screenshots or videos:_x000D_
 Upload here screenshots or videos of the buggy behavior  if possible  _x000D_
_x000D_
  Platform:  _x000D_
   Device Model: Moto G6 play_x000D_
   CPU architecture: aarch32  _x000D_
   Android Version: 9_x000D_
   PojavLauncher Version: Latest Release on play store_x000D_
_x000D_
_x000D_
 details   summary  b Additional context  b   summary _x000D_
 br _x000D_
 pre _x000D_
Add any other context about the problem here _x000D_
  pre _x000D_
  details _x000D_
</t>
  </si>
  <si>
    <t>PojavLauncherTeam-PojavLauncher-1020</t>
  </si>
  <si>
    <t>[BUG] LabyMod 1.8.9 crashes</t>
  </si>
  <si>
    <t xml:space="preserve">    Describe the bug_x000D_
The instalation of LabyMod ran successfully  but when I started the game  it freezes with this error:_x000D_
_x000D_
 crash 2021 03 08 10 22 36 client txt (https:  github com PojavLauncherTeam PojavLauncher files 6100768 crash 2021 03 08 10 22 36 client txt)_x000D_
 latestcrash txt (https:  github com PojavLauncherTeam PojavLauncher files 6100771 latestcrash txt)_x000D_
_x000D_
One of them is from Labymod vanilla (I don t remember which one)  the second is from forge  with Labymod mod _x000D_
 Also  I hope these files are enough   cause I accidentally deleted logs   _x000D_
_x000D_
    To Reproduce:_x000D_
_x000D_
1  Install LabyMod (Vanilla or forge  I tried both)_x000D_
2  Start LabyMod_x000D_
3  It freezes_x000D_
_x000D_
  Platform:  _x000D_
   Motorola e5 plus_x000D_
   ARM_x000D_
   Android Version 8 0 0_x000D_
   PojavLauncher Version: Automatic build  2225_x000D_
_x000D_
 details   summary  b Additional context  b   summary _x000D_
 br _x000D_
 pre _x000D_
I ve just started using this app  so I don t know if this is just_x000D_
temporary bug in this version  or it s  cause of my mobile   _x000D_
  pre _x000D_
  details _x000D_
</t>
  </si>
  <si>
    <t>yasirkula-UnityNativeCamera-56</t>
  </si>
  <si>
    <t>Taking multiple shots on iOS14.4 can crash the game</t>
  </si>
  <si>
    <t xml:space="preserve">_x000D_
  image (https:  user images githubusercontent com 32432306 110298585 b5fce480 802f 11eb 887a a2618829d055 png)_x000D_
  image (https:  user images githubusercontent com 32432306 110298633 c57c2d80 802f 11eb 9227 1d107733b9b2 png)_x000D_
_x000D_
The game crashed after repeated shots  and the lower version of iOS didn t crash_x000D_
</t>
  </si>
  <si>
    <t>Anuken-Mindustry-4893</t>
  </si>
  <si>
    <t>Android: App crashes when setting name</t>
  </si>
  <si>
    <t xml:space="preserve">  Platform  :  Android 
  Build  :  release build 126 1 
  Issue  :  The app crashes when trying to create a in game username  
  Steps to reproduce  :  Open the game  go to join game  tap on the text field labeled  Name   I get returned to my home screen  like exiting by pressing the back key  
  Link(s) to mod(s) used  :  None used  
  (Crash) logs  :  Empty log  
   X    I have updated to the latest release (https:  github com Anuken Mindustry releases) to make sure my issue has not been fixed    
Bleeding edge works fine
   X    I have searched the closed and open issues to make sure that this problem has not already been reported   </t>
  </si>
  <si>
    <t>labexp-osmtracker-android-307</t>
  </si>
  <si>
    <t>Crash when exporting a long GPX</t>
  </si>
  <si>
    <t xml:space="preserve">Since today  I can t export any longer GPX routes  Short routes export correctly  I even tried re exporting routes that I successfully exported yesterday  and it didn t work   what I get is a partially exported  truncated GPX file with maybe 1000  maybe 1100   trkpt  s out of 4400  What s odd  is that on every export of the same recorded route  the app manages to create an export folder  starts writing to a GPX file  writes the waypoints  and starts writing trackpoints   but crashes somewhere while exporting the points and  the number of successfully exported points is DIFFERENT each time   Also  even though I my Google Play history says the app was last updated on March 1st  today I was greeted by the  welcome to OSMtracker  screen  even though  like I said  I was successfully recording and exporting yesterday _x000D_
_x000D_
Aside from hoping on having this problem analyzed and fixed  is there a way I could access the original routes as the app stores them internally  to  export  them manually somehow </t>
  </si>
  <si>
    <t>nextcloud-android-8128</t>
  </si>
  <si>
    <t>Crash while uploading (from share)</t>
  </si>
  <si>
    <t xml:space="preserve">    Steps to reproduce_x000D_
1  Touch the share button_x000D_
2  Select nextcloud dev_x000D_
3  Touch upload_x000D_
4  app crashes  but media appears to upload successfully ( )_x000D_
_x000D_
    Expected behaviour_x000D_
  Upload should complete successfully_x000D_
_x000D_
    Actual behaviour_x000D_
  Crashes _x000D_
  Noting this appeared to only crash when uploading the first item after upgrading my nextcloud dev client  _x000D_
  Subsequent uploads do not appear to crash  _x000D_
  However I m stuck in the  Nextcloud dev crashed  activity  not sure if this is PEBKAC  but open an issue for that problem:  8127_x000D_
_x000D_
    Environment_x000D_
_x000D_
   _x000D_
             CAUSE OF ERROR             _x000D_
_x000D_
java lang NullPointerException: Attempt to invoke virtual method  java lang Object java util ArrayList get(int)  on a null object reference_x000D_
	at com owncloud android lib common operations RemoteOperationResult getSingleData(RemoteOperationResult java:527)_x000D_
	at com owncloud android operations RefreshFolderOperation updatePredefinedStatus(RefreshFolderOperation java:339)_x000D_
	at com owncloud android operations RefreshFolderOperation updateCapabilities(RefreshFolderOperation java:304)_x000D_
	at com owncloud android operations RefreshFolderOperation updateOCVersion(RefreshFolderOperation java:276)_x000D_
	at com owncloud android operations RefreshFolderOperation run(RefreshFolderOperation java:229)_x000D_
	at com owncloud android lib common operations RemoteOperation run(RemoteOperation java:359)_x000D_
	at java lang Thread run(Thread java:919)_x000D_
_x000D_
             APP INFORMATION             _x000D_
ID: com nextcloud android beta_x000D_
Version: 20210304_x000D_
Build flavor: versionDev_x000D_
_x000D_
             DEVICE INFORMATION             _x000D_
Brand: motorola_x000D_
Device: channel_x000D_
Model: moto g(7) play_x000D_
Id: QPYS30 85 18 9_x000D_
Product: channel_x000D_
_x000D_
             FIRMWARE             _x000D_
SDK: 29_x000D_
Release: 10_x000D_
Incremental: 767ff_x000D_
   </t>
  </si>
  <si>
    <t>nextcloud-android-8127</t>
  </si>
  <si>
    <t>Stuck in "Nextcloud dev crashed" activity</t>
  </si>
  <si>
    <t xml:space="preserve">    Steps to reproduce_x000D_
1  Crash nextcloud client on android_x000D_
2  Reopen nextcloud_x000D_
3  Hit report and try to report the issue   hit share button    I really don t know what exactly I did other than I think I pressed everything I could trying to figure out how to share the crash properly _x000D_
4  Then try to dismiss the  Nextcloud dev crashed  activity   Note the  Loading     overlaid text in the screenshot (see bottom of this issue)_x000D_
_x000D_
    Expected behaviour_x000D_
  Maybe back button dismisses the activity  or there is a dismiss button   I can t remember how I got out of this activity before  but it seemed self evident and can t remember how _x000D_
_x000D_
    Actual behaviour_x000D_
  Stuck in the activity_x000D_
_x000D_
    Environment data_x000D_
_x000D_
(Not exactly sure where to get all the data from  so this is data from the stack trace in the activity )_x000D_
_x000D_
   _x000D_
             APP INFORMATION             _x000D_
ID: com nextcloud android beta_x000D_
Version: 20210304_x000D_
Build flavor: versionDev_x000D_
_x000D_
             DEVICE INFORMATION             _x000D_
Brand: motorola_x000D_
Device: channel_x000D_
Model: moto g(7) play_x000D_
Id: QPYS30 85 18 9_x000D_
Product: channel_x000D_
_x000D_
             FIRMWARE             _x000D_
SDK: 29_x000D_
Release: 10_x000D_
Incremental: 767ff_x000D_
   _x000D_
_x000D_
  signal 2021 03 07 145416 (https:  user images githubusercontent com 3893828 110254514 1c610480 7f55 11eb 8050 531b731da05d png)_x000D_
</t>
  </si>
  <si>
    <t>Anuken-Mindustry-4890</t>
  </si>
  <si>
    <t>Separators consume power even when idle</t>
  </si>
  <si>
    <t xml:space="preserve">  Platform  :  Android iOS Mac Windows Linux _x000D_
Windows_x000D_
_x000D_
  Build  :  The build number under the title in the main menu  Required   LATEST  IS NOT A VERSION  I NEED THE EXACT BUILD NUMBER OF YOUR GAME  _x000D_
126 1_x000D_
_x000D_
  Issue  :  Explain your issue in detail  _x000D_
Separators consume 60 power even when they don t have any slag to process  They re the only block that does this  as far as I know _x000D_
_x000D_
  Steps to reproduce  :  How you happened across the issue  and what exactly you did to make the bug happen  _x000D_
I noticed power nodes flickering when I connected separators to solar panels  Power flickered between  5 and  114 (I was using 1 solar panel with 4 separators)  After testing I realized separators always consume 60 power even when there is no slag for them to process and they have no items in storage  An idle separator is literally a power sink  tested with full batteries _x000D_
_x000D_
Place a separator  connect it to a power node  Place any other power consumer (but don t give it items liquids to process)  You should see the separator s power node has  60 power while any other blocks  power node has 0 power _x000D_
_x000D_
  Link(s) to mod(s) used  :  The mod repositories or zip files that are related to the issue  if applicable  _x000D_
NA_x000D_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https:  ufile io ornc8rls_x000D_
_x000D_
Sorry I don t know how to upload files to Github  The link is safe  I m not dumb  I know it s a felony to make someone download a virus or something  It s called  bug save zip   There are 2 places on the map I did for testing  Ignore the disassemblers because they re normal and don t consume power when idle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</si>
  <si>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Ninjaman494-Hanji-Android-App-55</t>
  </si>
  <si>
    <t>IllegalStateException on Error Dialog in Search Activity</t>
  </si>
  <si>
    <t>This is a very specific bug where  if  onBackPressed  is called while the app in the background  an IllegalStateException occurs  This happens because the Error Dialog s onDismissed listener called  onBackPressed   it should be updated to  finish   Other activities should also be updated accordingly _x000D_
_x000D_
 Crashlytics Report (https:  console firebase google com u 0 project hanji bd63d crashlytics app android:com a494studios koreanconjugator issues e1e5ca6a0040ec2fba73d15923b64da4 time last seven days sessionEventKey 6040A2F3013E000169CCC8390D2759EB 1514170145459634748)</t>
  </si>
  <si>
    <t>nextcloud-android-8126</t>
  </si>
  <si>
    <t>crash while accessing photos</t>
  </si>
  <si>
    <t xml:space="preserve">    Steps to reproduce_x000D_
1  Open a photo_x000D_
2  Crash_x000D_
_x000D_
    Expected behaviour_x000D_
  Don t crash_x000D_
_x000D_
    Actual behaviour_x000D_
  Crashes stack trace below_x000D_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_x000D_
To hard to edit on my phone  the call trace:_x000D_
_x000D_
   _x000D_
             CAUSE OF ERROR             _x000D_
_x000D_
java lang RuntimeException: android os TransactionTooLargeException: data parcel size 4069512 bytes_x000D_
	at android app servertransaction PendingTransactionActions StopInfo run(PendingTransactionActions java:161)_x000D_
	at android os Handler handleCallback(Handler java:883)_x000D_
	at android os Handler dispatchMessage(Handler java:100)_x000D_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Caused by: android os TransactionTooLargeException: data parcel size 4069512 bytes_x000D_
	at android os BinderProxy transactNative(Native Method)_x000D_
	at android os BinderProxy transact(BinderProxy java:575)_x000D_
	at android app IActivityTaskManager Stub Proxy activityStopped(IActivityTaskManager java:5148)_x000D_
	at android app servertransaction PendingTransactionActions StopInfo run(PendingTransactionActions java:145)_x000D_
	    7 more_x000D_
_x000D_
             APP INFORMATION             _x000D_
ID: com nextcloud client_x000D_
Version: 30150090_x000D_
Build flavor: generic_x000D_
_x000D_
             DEVICE INFORMATION             _x000D_
Brand: samsung_x000D_
Device: star2qltesq_x000D_
Model: SM G965U_x000D_
Id: QP1A 190711 020_x000D_
Product: star2qltesq_x000D_
_x000D_
             FIRMWARE             _x000D_
SDK: 29_x000D_
Release: 10_x000D_
Incremental: G965USQS9FUA2_x000D_
   _x000D_
</t>
  </si>
  <si>
    <t>AOF-Dev-MCinaBox-1012</t>
  </si>
  <si>
    <t>MACinabox Crash On startup</t>
  </si>
  <si>
    <t xml:space="preserve">Hello  I have downloaded MCinaBox but I can t make it even run _x000D_
I have downloaded the runtime and it just crashes on startup _x000D_
_x000D_
Steps to reproduce the crash:_x000D_
1  Open MCinaBox_x000D_
2  Start the game (1 12 2)_x000D_
3  Game crashes _x000D_
                              _x000D_
_x000D_
My device: _x000D_
   Device: Samsung Galaxy Tab E (SM T561)_x000D_
   OS: Running custom android 7 1 version (Linage OS ) _x000D_
   App Version: v0 1 4 p5 0119_x000D_
   CPU: 3 x ARM Cortex A7_x000D_
_x000D_
</t>
  </si>
  <si>
    <t>MuntashirAkon-AppManager-313</t>
  </si>
  <si>
    <t>Backup/Restore with 'Only APK' option unmarked creates corrupted app</t>
  </si>
  <si>
    <t xml:space="preserve">Continuation from here  https:  github com MuntashirAkon AppManager issues 30 issuecomment 792279264_x000D_
As the title says it creates a corrupted installation of apps that doesn t launch  (Badly crashes while trying to launch) _x000D_
_x000D_
Note:_x000D_
No Odex patch applied  just regular Backup Restore _x000D_
_x000D_
Crash log: https:  del dog ypexaperru_x000D_
  image (https:  user images githubusercontent com 32187927 110244471 066d3700 7f89 11eb 89ec 9a14eee862db png)_x000D_
Shows this weird msg while uninstalling </t>
  </si>
  <si>
    <t>TeamNewPipe-NewPipe-5788</t>
  </si>
  <si>
    <t xml:space="preserve">Recaptcha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</si>
  <si>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Newpipe   _x000D_
2  Press on  any video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 ve had to perform a recaptcha once a day for the last 4 days so far  I didn t think to screenshot unfortunately  I just wondered if this is normal now or something that s either easy to fix or a problem my end with YouTube  _x000D_
_x000D_
_x000D_
    Expected behavior_x000D_
     Tell us what you expect to happen     _x000D_
To just open newpipe as normal and have it perform as it usually does  normally I get a recaptcha every so often not daily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Samsung galaxy _x000D_
   Android version Custom ROM version:8 0 0_x000D_
   Device model:s7_x000D_
</t>
  </si>
  <si>
    <t>TeamNewPipe-NewPipe-legacy-66</t>
  </si>
  <si>
    <t>Comments won't show</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</si>
  <si>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comments_x000D_
    Request:   https:  m youtube com watch v k0BWlvnBmIE_x000D_
    Content Country:   US_x000D_
    Content Language:   en US_x000D_
    App Language:   en US_x000D_
    Service:   YouTube_x000D_
    Version:   0 20 8_x000D_
    OS:   Linux realme RMX2189 RMX2189:10 QP1A 190711 020 1607650120:user release keys 10   29_x000D_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newpipelegacy util ExtractorHelper lambda getCommentsInfo 7(ExtractorHelper java:166)_x000D_
	at org schabi newpipelegacy util    Lambda ExtractorHelper c05hNbPsgDxL7UDIeF SWkm CC0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com grack nanojson JsonParserException: Unexpected character:   on line 1  char 1_x000D_
	at com grack nanojson JsonTokener createParseException(Unknown Source:44)_x000D_
	at com grack nanojson JsonTokener advanceToToken(Unknown Source:118)_x000D_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YoutubeCommentsExtractor getPage(YoutubeCommentsExtractor java:95)_x000D_
	    30 more_x000D_
_x000D_
   _x000D_
  details _x000D_
 hr _x000D_
_x000D_
_x000D_
     Please fill this out when you do not provide a log generate by NewPipe    _x000D_
_x000D_
    Device info_x000D_
_x000D_
   Android version Custom ROM version: android 10_x000D_
   Device model: Real me C12_x000D_
</t>
  </si>
  <si>
    <t>Anuken-Mindustry-4882</t>
  </si>
  <si>
    <t>Mindustry has crashed. How unfortunate.</t>
  </si>
  <si>
    <t xml:space="preserve">  Platform  :  Windows _x000D_
_x000D_
  Build  :  126 1 _x000D_
_x000D_
  Issue  :  game crashed on not host client _x000D_
_x000D_
  Steps to reproduce  :  i played in local network multiplayer with friend in two windows  to play on both teams  and game crashed on second window when it was rolled _x000D_
_x000D_
  Link(s) to mod(s) used  :  nothing _x000D_
_x000D_
  Save file  :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crash report 03 06 2021 23 45 18 txt (https:  github com Anuken Mindustry files 6096162 crash report 03 06 2021 23 45 18 txt)_x000D_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crash save zip (https:  github com Anuken Mindustry files 6096182 crash save zip)_x000D_
</t>
  </si>
  <si>
    <t>Anuken-Mindustry-4881</t>
  </si>
  <si>
    <t>IOException during multiplayer game. Client returned back to main menu, not crashed fully</t>
  </si>
  <si>
    <t xml:space="preserve">  Platform  Windows_x000D_
_x000D_
  Build  : 126_x000D_
_x000D_
  Issue  : Crashed during multiplayer game session (IOException)  Client kept working  just throw exception (will be attached)_x000D_
_x000D_
  Steps to reproduce  : I just played on mindustry io attack server_x000D_
_x000D_
_x000D_
  Link(s) to mod(s) used  : None_x000D_
_x000D_
  Save file  : _x000D_
 IOException zip (https:  github com Anuken Mindustry files 6095992 IOException zip)_x000D_
_x000D_
_x000D_
_x000D_
  (Crash) logs  : It is not crash that generated such crash log  but there is Exception stack in other file last log txt  attaching_x000D_
 last log zip (https:  github com Anuken Mindustry files 6095996 last log zip)_x000D_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</si>
  <si>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Anuken-Mindustry-4879</t>
  </si>
  <si>
    <t>Player's speed is not limited to speed of formation</t>
  </si>
  <si>
    <t xml:space="preserve">  Platform  : Windows_x000D_
_x000D_
  Build  : 126_x000D_
_x000D_
  Issue  : If you control unit with slower speed than yours in multiplayer and you are client  then you have no limit in speed but on server you do have the limit and after a while of flying you get reconciled back to your real position _x000D_
_x000D_
  Steps to reproduce  : simple example:_x000D_
1  connect to server_x000D_
2  take gamma_x000D_
3  make horizons_x000D_
4  make formation (but stay as gamma)_x000D_
5  fly far_x000D_
6  you get reconciled back after a while like your speed is too fast_x000D_
_x000D_
  Link(s) to mod(s) used  : no mods_x000D_
_x000D_
  Save file  : I don t think this is needed  but I ll attach gif_x000D_
  formation desync (https:  user images githubusercontent com 4199082 110217000 6e088100 7eba 11eb 9417 68c31df84683 gif)_x000D_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</si>
  <si>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OpenTracksApp-OpenTracks-636</t>
  </si>
  <si>
    <t>[v3.15.0] GPX export fails: File name contains invalid characters</t>
  </si>
  <si>
    <t xml:space="preserve">  Describe the bug  _x000D_
_x000D_
I recorded a bike ride today  just like I always do  Now after updating the app I m no longer to export the GPX to any other app  As I understand from the logcat output it looks like the encoding of spaces as  20 could be troublesome _x000D_
_x000D_
  To Reproduce  _x000D_
1  Open a recording_x000D_
2  Click the share icon_x000D_
3  Select Nextcloud K 9whatever_x000D_
4  App crashes_x000D_
_x000D_
   _x000D_
03 06 18:25:38 359 23587 23616 E AndroidRuntime: FATAL EXCEPTION: AsyncTask  2_x000D_
03 06 18:25:38 359 23587 23616 E AndroidRuntime: Process: de dennisguse opentracks  PID: 23587_x000D_
03 06 18:25:38 359 23587 23616 E AndroidRuntime: java lang RuntimeException: An error occurred while executing doInBackground()_x000D_
03 06 18:25:38 359 23587 23616 E AndroidRuntime: 	at android os AsyncTask 4 done(AsyncTask java:415)_x000D_
03 06 18:25:38 359 23587 23616 E AndroidRuntime: 	at java util concurrent FutureTask finishCompletion(FutureTask java:383)_x000D_
03 06 18:25:38 359 23587 23616 E AndroidRuntime: 	at java util concurrent FutureTask setException(FutureTask java:252)_x000D_
03 06 18:25:38 359 23587 23616 E AndroidRuntime: 	at java util concurrent FutureTask run(FutureTask java:271)_x000D_
03 06 18:25:38 359 23587 23616 E AndroidRuntime: 	at java util concurrent ThreadPoolExecutor runWorker(ThreadPoolExecutor java:1167)_x000D_
03 06 18:25:38 359 23587 23616 E AndroidRuntime: 	at java util concurrent ThreadPoolExecutor Worker run(ThreadPoolExecutor java:641)_x000D_
03 06 18:25:38 359 23587 23616 E AndroidRuntime: 	at java lang Thread run(Thread java:923)_x000D_
03 06 18:25:38 359 23587 23616 E AndroidRuntime: Caused by: java lang UnsupportedOperationException_x000D_
03 06 18:25:38 359 23587 23616 E AndroidRuntime: 	at de dennisguse opentracks io file exporter GPXTrackExporter writeTrack(GPXTrackExporter java:108)_x000D_
03 06 18:25:38 359 23587 23616 E AndroidRuntime: 	at de dennisguse opentracks content provider ShareContentProvider lambda openFile 1(ShareContentProvider java:228)_x000D_
03 06 18:25:38 359 23587 23616 E AndroidRuntime: 	at de dennisguse opentracks content provider    Lambda ShareContentProvider UUYLBGQZWBfxU6qi91pkc6uXicw writeDataToPipe(Unknown Source:11)_x000D_
03 06 18:25:38 359 23587 23616 E AndroidRuntime: 	at android content ContentProvider 1 doInBackground(ContentProvider java:2304)_x000D_
03 06 18:25:38 359 23587 23616 E AndroidRuntime: 	at android os AsyncTask 3 call(AsyncTask java:394)_x000D_
03 06 18:25:38 359 23587 23616 E AndroidRuntime: 	at java util concurrent FutureTask run(FutureTask java:266)_x000D_
03 06 18:25:38 359 23587 23616 E AndroidRuntime: 	    3 more_x000D_
03 06 18:25:38 371  3401 29543 E MediaProvider: File name contains invalid characters_x000D_
03 06 18:25:38 373 29187 17277 E CopyAndUploadContentUrisTask: Exception while copying content:  de dennisguse opentracks content tracks gpx 46 2021 03 06 2014 3A30 gpx to temporary file_x000D_
03 06 18:25:38 373 29187 17277 E CopyAndUploadContentUrisTask: java io IOException: Operation not permitted_x000D_
03 06 18:25:38 373 29187 17277 E CopyAndUploadContentUrisTask: 	at java io UnixFileSystem createFileExclusively0(Native Method)_x000D_
03 06 18:25:38 373 29187 17277 E CopyAndUploadContentUrisTask: 	at java io UnixFileSystem createFileExclusively(UnixFileSystem java:317)_x000D_
03 06 18:25:38 373 29187 17277 E CopyAndUploadContentUrisTask: 	at java io File createNewFile(File java:1008)_x000D_
03 06 18:25:38 373 29187 17277 E CopyAndUploadContentUrisTask: 	at com owncloud android ui asynctasks CopyAndUploadContentUrisTask doInBackground(CopyAndUploadContentUrisTask java:170)_x000D_
03 06 18:25:38 373 29187 17277 E CopyAndUploadContentUrisTask: 	at com owncloud android ui asynctasks CopyAndUploadContentUrisTask doInBackground(CopyAndUploadContentUrisTask java:49)_x000D_
03 06 18:25:38 373 29187 17277 E CopyAndUploadContentUrisTask: 	at android os AsyncTask 3 call(AsyncTask java:394)_x000D_
03 06 18:25:38 373 29187 17277 E CopyAndUploadContentUrisTask: 	at java util concurrent FutureTask run(FutureTask java:266)_x000D_
03 06 18:25:38 373 29187 17277 E CopyAndUploadContentUrisTask: 	at android os AsyncTask SerialExecutor 1 run(AsyncTask java:305)_x000D_
03 06 18:25:38 373 29187 17277 E CopyAndUploadContentUrisTask: 	at java util concurrent ThreadPoolExecutor runWorker(ThreadPoolExecutor java:1167)_x000D_
03 06 18:25:38 373 29187 17277 E CopyAndUploadContentUrisTask: 	at java util concurrent ThreadPoolExecutor Worker run(ThreadPoolExecutor java:641)_x000D_
03 06 18:25:38 373 29187 17277 E CopyAndUploadContentUrisTask: 	at java lang Thread run(Thread java:923)_x000D_
03 06 18:25:38 383  1618  4218 W ActivityTaskManager:   Force finishing activity de dennisguse opentracks  TrackRecordedActivity_x000D_
   _x000D_
_x000D_
  Technical information  _x000D_
   Device: Pixel 3a_x000D_
   OS: Android 11_x000D_
   Version 3 15 1_x000D_
</t>
  </si>
  <si>
    <t>nextcloud-android-8119</t>
  </si>
  <si>
    <t>Nextcloud app is crashing or not responding while uploading files in the background.</t>
  </si>
  <si>
    <t xml:space="preserve">    Steps to reproduce_x000D_
1  Install Nextcloud app_x000D_
2  Mark for Auto Upload photos ( 60GB) _x000D_
3  Close Open the app (it has become absolutely unusable)_x000D_
_x000D_
    Expected behaviour_x000D_
  App running wile the uploading photos_x000D_
_x000D_
    Actual behaviour_x000D_
  Not responding (stuck) or even crashes_x000D_
_x000D_
    Can you reproduce this problem on https:  try nextcloud com _x000D_
  Not applicable_x000D_
_x000D_
    Environment data_x000D_
Android version: 10 0 0 185_x000D_
_x000D_
Device model: Huawei P20 Pro_x000D_
_x000D_
Stock or customized system:_x000D_
_x000D_
Nextcloud app version: 3 15 0_x000D_
_x000D_
Nextcloud server version: 20 0 5_x000D_
_x000D_
Reverse proxy:_x000D_
_x000D_
    Logs_x000D_
     Nextcloud log (data nextcloud log)_x000D_
 log3 log (https:  github com nextcloud android files 6095641 log3 log)_x000D_
 log4 log (https:  github com nextcloud android files 6095642 log4 log)_x000D_
 log2 log (https:  github com nextcloud android files 6095643 log2 log)_x000D_
_x000D_
</t>
  </si>
  <si>
    <t>TeamNewPipe-NewPipe-5773</t>
  </si>
  <si>
    <t>Every download fails with HTTP 401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</si>
  <si>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any video_x000D_
2) Press  Download _x000D_
3) Select any size  press OK_x000D_
4) Download starts then immediately fails with  Download failed  notification _x000D_
_x000D_
     If you can t cause the bug to show up again reliably (and hence don t have a proper set of steps to give us)  please still try to give as many details as possible on how you think you encountered the bug     _x000D_
_x000D_
    Actual behaviour_x000D_
     Tell us what happens with the steps given above     _x000D_
Every video download fails   In downloads list  error download reads  HTTP 401  _x000D_
_x000D_
Additional details: it does download  but stops and errors out every about 0 5 1MB for me  so downloading a 300MB clip (I m downloading 1440p) takes me around 350 550 clicks to resume (I had tested with both of the clips I had mentioned _x000D_
_x000D_
    Expected behavior_x000D_
     Tell us what you expect to happen     _x000D_
Videos were downloading just fine until a few days ago _x000D_
Note that videos can be streamed viewed fine   It s just downloading that fails 100  of the time   I checked app permissions and they haven t changed   NewPipe has storage permissions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No logs_x000D_
     That s right  here     _x000D_
_x000D_
     Please fill this out when you do not provide a log generate by NewPipe    _x000D_
_x000D_
    Device info_x000D_
_x000D_
   Android version Custom ROM version: Android 8 1 0_x000D_
   Device model: Nexus 7 2013 wifi_x000D_
</t>
  </si>
  <si>
    <t>PojavLauncherTeam-PojavLauncher-1009</t>
  </si>
  <si>
    <t>[BUG] Dropz mod not working</t>
  </si>
  <si>
    <t xml:space="preserve">_x000D_
 latestlog txt (https:  github com PojavLauncherTeam PojavLauncher files 6094384 latestlog txt)_x000D_
_x000D__x000D_
    To Reproduce:_x000D_
Indicate steps to reproduce the buggy behavior:_x000D_
_x000D_
1  Install the dropz mod and fabricapi_x000D_
2  Install optifabric and optifine_x000D_
3  Boot up PojavLauncher_x000D_
4  Select a version containing fabric_x000D_
5  Press the  Play  button_x000D_
6  Wait_x000D_
_x000D_
_x000D_
    Expected behavior:_x000D_
I expected the dropz mod to work on PojavLauncher with optifabric  and not crash_x000D_
_x000D_
    Screenshots or videos:_x000D_
 Upload here screenshots or videos of the buggy behavior  if possible  _x000D_
_x000D_
  Platform:  _x000D_
   Device Mode: Redmi Note 9s Pro_x000D_
   CPU architecture: aarch64_x000D_
   Android Version: Android 10_x000D_
   PojavLauncher Version  e g Latest Release    version 3 3 1 1 rel 20210303_x000D_
_x000D_
_x000D_
 details   summary  b Additional context  b   summary _x000D_
 br _x000D_
 pre _x000D_
Dropz mod is like item physics mod but more realistic_x000D_
  pre  _x000D_
  details _x000D_
</t>
  </si>
  <si>
    <t>TeamNewPipe-NewPipe-5765</t>
  </si>
  <si>
    <t>Comments not showing up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</si>
  <si>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20 10 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  _x000D_
2  Press on   the video _x000D_
3  Swipe down to       _x000D_
   _x000D_
Go to any video_x000D_
Open it_x000D_
Scroll down to comments_x000D_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The comments don t appear_x000D_
_x000D_
    Expected behavior_x000D_
     Tell us what you expect to happen     _x000D_
_x000D_
The comments should appear_x000D_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 03 05 22 40 23 062 org schabi newpipe (https:  user images githubusercontent com 77978836 110173040 be260b80 7e06 11eb 9243 82439169d403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comments_x000D_
    Request:   https:  m youtube com watch v dQw4w9WgXcQ_x000D_
    Content Country:   RO_x000D_
    Content Language:   ro RO_x000D_
    App Language:   ro RO_x000D_
    Service:   YouTube_x000D_
    Version:   0 20 10_x000D_
    OS:   Linux Android 7 1 2   25_x000D_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java:167)_x000D_
	at org schabi newpipe util    Lambda ExtractorHelper 60N  UL7E5eaxFaFO1bZZmnfwM8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java:760)_x000D_
Caused by: com grack nanojson JsonParserException: Unexpected character:   on line 1  char 1_x000D_
	at com grack nanojson JsonTokener createParseException(Unknown Source)_x000D_
	at com grack nanojson JsonTokener advanceToToken(Unknown Source)_x000D_
	at com grack nanojson JsonParser advanceToken(Unknown Source)_x000D_
	at com grack nanojson JsonParser parse(Unknown Source)_x000D_
	at com grack nanojson JsonParser JsonParserContext from(Unknown Source)_x000D_
	at org schabi newpipe extractor services youtube extractors YoutubeCommentsExtractor getPage(YoutubeCommentsExtractor java:95)_x000D_
	    30 more_x000D_
_x000D_
   _x000D_
  details _x000D_
 hr _x000D_
_x000D_
_x000D_
     Please fill this out when you do not provide a log generate by NewPipe    _x000D_
_x000D_
    Device info_x000D_
_x000D_
   Android version Custom ROM version: 7 1 2_x000D_
   Device model:Redmi Note 5A_x000D_
</t>
  </si>
  <si>
    <t>TeamNewPipe-NewPipe-5763</t>
  </si>
  <si>
    <t>Error when trying to play youtube video</t>
  </si>
  <si>
    <t>SanojPunchihewa-InAppUpdater-84</t>
  </si>
  <si>
    <t>crash app : Failed to call observer method</t>
  </si>
  <si>
    <t xml:space="preserve">hi  i just use 2 lines of code:_x000D_
   _x000D_
val mUpdateManager   UpdateManager Builder(this) mode(UpdateManagerConstant FLEXIBLE) _x000D_
        mUpdateManager start()_x000D_
   _x000D_
_x000D_
but got this crash:_x000D_
   _x000D_
_x000D_
2021 03 05 23:25:09 458 8683 8683 com civix link E CustomActivityOnCrash: The previous app process crashed  This is the stack trace of the crash:_x000D_
    java lang RuntimeException: Failed to call observer method_x000D_
        at androidx lifecycle ClassesInfoCache MethodReference invokeCallback(ClassesInfoCache java:226)_x000D_
        at androidx lifecycle ClassesInfoCache CallbackInfo invokeMethodsForEvent(ClassesInfoCache java:194)_x000D_
        at androidx lifecycle ClassesInfoCache CallbackInfo invokeCallbacks(ClassesInfoCache java:185)_x000D_
        at androidx lifecycle ReflectiveGenericLifecycleObserver onStateChanged(ReflectiveGenericLifecycleObserver java:37)_x000D_
        at androidx lifecycle LifecycleRegistry ObserverWithState dispatchEvent(LifecycleRegistry java:361)_x000D_
        at androidx lifecycle LifecycleRegistry addObserver(LifecycleRegistry java:188)_x000D_
        at com sanojpunchihewa updatemanager UpdateManager  init (UpdateManager java:49)_x000D_
        at com sanojpunchihewa updatemanager UpdateManager Builder(UpdateManager java:54)_x000D_
        at com civix link Screen HomeScreen checkUpdateApp(HomeScreen kt:296)_x000D_
        at com civix link Screen HomeScreen access checkUpdateApp(HomeScreen kt:57)_x000D_
        at com civix link Screen HomeScreen getCurrentUserInfo 1 onSuccess(HomeScreen kt:195)_x000D_
        at com civix link Network ApiHelper getData 1 onResponse(ApiHelper kt:42)_x000D_
        at com androidnetworking common ANRequest deliverSuccessResponse(ANRequest java:727)_x000D_
        at com androidnetworking common ANRequest access 6500(ANRequest java:80)_x000D_
        at com androidnetworking common ANRequest 6 run(ANRequest java:709)_x000D_
        at android os Handler handleCallback(Handler java:883)_x000D_
        at android os Handler dispatchMessage(Handler java:100)_x000D_
        at android os Looper loop(Looper java:237)_x000D_
        at android app ActivityThread main(ActivityThread java:8107)_x000D_
        at java lang reflect Method invoke(Native Method)_x000D_
        at com android internal os RuntimeInit MethodAndArgsCaller run(RuntimeInit java:496)_x000D_
        at com android internal os ZygoteInit main(ZygoteInit java:1100)_x000D_
     Caused by: java lang NullPointerException: Attempt to read from field  int com sanojpunchihewa updatemanager UpdateManager mode  on a null object reference_x000D_
        at com sanojpunchihewa updatemanager UpdateManager continueUpdate(UpdateManager java:142)_x000D_
        at com sanojpunchihewa updatemanager UpdateManager onResume(UpdateManager java:252)_x000D_
        at java lang reflect Method invoke(Native Method)_x000D_
        at androidx lifecycle ClassesInfoCache MethodReference invokeCallback(ClassesInfoCache java:216)_x000D_
        at androidx lifecycle ClassesInfoCache CallbackInfo invokeMethodsForEvent(ClassesInfoCache java:194) _x000D_
        at androidx lifecycle ClassesInfoCache CallbackInfo invokeCallbacks(ClassesInfoCache java:185) _x000D_
        at androidx lifecycle ReflectiveGenericLifecycleObserver onStateChanged(ReflectiveGenericLifecycleObserver java:37) _x000D_
        at androidx lifecycle LifecycleRegistry ObserverWithState dispatchEvent(LifecycleRegistry java:361) _x000D_
        at androidx lifecycle LifecycleRegistry addObserver(LifecycleRegistry java:188) _x000D_
        at com sanojpunchihewa updatemanager UpdateManager  init (UpdateManager java:49) _x000D_
        at com sanojpunchihewa updatemanager UpdateManager Builder(UpdateManager java:54) _x000D_
        at com civix link Screen HomeScreen checkUpdateApp(HomeScreen kt:296) _x000D_
        at com civix link Screen HomeScreen access checkUpdateApp(HomeScreen kt:57) _x000D_
        at com civix link Screen HomeScreen getCurrentUserInfo 1 onSuccess(HomeScreen kt:195) _x000D_
        at com civix link Network ApiHelper getData 1 onResponse(ApiHelper kt:42) _x000D_
        at com androidnetworking common ANRequest deliverSuccessResponse(ANRequest java:727) _x000D_
        at com androidnetworking common ANRequest access 6500(ANRequest java:80) _x000D_
        at com androidnetworking common ANRequest 6 run(ANRequest java:709) _x000D_
        at android os Handler handleCallback(Handler java:883) _x000D_
        at android os Handler dispatchMessage(Handler java:100) _x000D_
        at android os Looper loop(Looper java:237) _x000D_
        at android app ActivityThread main(ActivityThread java:8107) _x000D_
        at java lang reflect Method invoke(Native Method) _x000D_
        at com android internal os RuntimeInit MethodAndArgsCaller run(RuntimeInit java:496) _x000D_
        at com android internal os ZygoteInit main(ZygoteInit java:1100) _x000D_
2021 03 05 23:25:09 555 8683 8683 com civix link W Gralloc3: mapper 3 x is not supported_x000D_
_x000D_
   </t>
  </si>
  <si>
    <t>TeamNewPipe-NewPipe-5762</t>
  </si>
  <si>
    <t>YouTube Search throws an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</si>
  <si>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Go on NewPipe and search YouTube for anything_x000D_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You get the (    ) screen with  no results  and the error below_x000D_
_x000D_
_x000D_
_x000D_
    Expected behavior_x000D_
You get search results_x000D_
_x000D_
_x000D_
    Logs_x000D_
     If your bug includes a crash (where you re shown the Error Report page with a bunch of info)  tap on  Copy formatted report  at the bottom and paste it here:    _x000D_
_x000D_
     That s right  here     _x000D_
_x000D_
   Exception_x000D_
    User Action:   searched_x000D_
    Request:   8088 domination_x000D_
    Content Country:   DE_x000D_
    Content Language:   de_x000D_
    App Language:   de DE_x000D_
    Service:   YouTube_x000D_
    Version:   0 20 10_x000D_
    OS:   Linux samsung a50eea a50:10 QP1A 190711 020 A505FNXXU6BUA1:user release keys 10   29_x000D_
 details  summary  b Crash log   b   summary  p _x000D_
_x000D_
   _x000D_
org schabi newpipe extractor exceptions ParsingException: Could not get ytInitialData_x000D_
	at org schabi newpipe extractor services youtube YoutubeParsingHelper getInitialData(YoutubeParsingHelper java:248)_x000D_
	at org schabi newpipe extractor services youtube YoutubeParsingHelper extractClientVersionAndKey(YoutubeParsingHelper java:266)_x000D_
	at org schabi newpipe extractor services youtube YoutubeParsingHelper getKey(YoutubeParsingHelper java:342)_x000D_
	at org schabi newpipe extractor services youtube extractors YoutubeSearchExtractor getNewNextPageFrom(YoutubeSearchExtractor java:239)_x000D_
	at org schabi newpipe extractor services youtube extractors YoutubeSearchExtractor getInitialPage(YoutubeSearchExtractor java:133)_x000D_
	at org schabi newpipe extractor utils ExtractorHelper getItemsPageOrLogError(ExtractorHelper java:19)_x000D_
	at org schabi newpipe extractor search SearchInfo getInfo(SearchInfo java:60)_x000D_
	at org schabi newpipe extractor search SearchInfo getInfo(SearchInfo java:30)_x000D_
	at org schabi newpipe util ExtractorHelper lambda searchFor 0(ExtractorHelper java:93)_x000D_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var s ytInitialData s   s (       )  _x000D_
	at org schabi newpipe extractor utils Parser matchGroup(Parser java:72)_x000D_
	at org schabi newpipe extractor utils Parser matchGroup(Parser java:61)_x000D_
	at org schabi newpipe extractor utils Parser matchGroup1(Parser java:52)_x000D_
	at org schabi newpipe extractor services youtube YoutubeParsingHelper getInitialData(YoutubeParsingHelper java:244)_x000D_
	    20 more_x000D_
_x000D_
   _x000D_
  details _x000D_
 hr </t>
  </si>
  <si>
    <t>TeamNewPipe-NewPipe-5761</t>
  </si>
  <si>
    <t>Channel content not available when scrolling.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</si>
  <si>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No logs_x000D_
_x000D_
     That s right  here     _x000D_
_x000D_
_x000D_
_x000D_
     Please fill this out when you do not provide a log generate by NewPipe    _x000D_
_x000D_
    Device info_x000D_
_x000D_
   Android version Custom ROM version: 10_x000D_
   Device model:_x000D_
_x000D_
_x000D_
Bug report:_x000D_
_x000D_
On a YT channel scrolling through the list of videos after a few pages of scrolling the message  content unavailable  even though there are many more videos on the channel  Checked on several channels  Until recently it was OK </t>
  </si>
  <si>
    <t>GoogleCloudPlatform-fda-mystudies-3301</t>
  </si>
  <si>
    <t xml:space="preserve">[Android] App is getting crashed while enrolling into the study </t>
  </si>
  <si>
    <t xml:space="preserve">Steps_x000D_
1  Login into SB_x000D_
2  Add Edit study_x000D_
3  Create more than one consent with the same title_x000D_
4  Launch the study_x000D_
5  In mobile app try to enroll for the particular study_x000D_
_x000D_
AR: App is getting crashed while enrolling into the study _x000D_
ER: The user should be able to enroll successfully_x000D_
_x000D_
  image (https:  user images githubusercontent com 71445210 110089658 606cd180 7dbc 11eb 87bb dd4307d5f6cb png)_x000D_
_x000D_
</t>
  </si>
  <si>
    <t>TeamNewPipe-NewPipe-5758</t>
  </si>
  <si>
    <t>NewPipe won't use the VPN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</si>
  <si>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Set up a VPN on your phone _x000D_
2  Go to Settings    Apps and notifications    NewPipe    Data usage    disable WiFi data and Cellular data  and enable VPN data_x000D_
3  Play any video on NewPipe_x000D_
_x000D_
You ll get  Network error  and a red  RETRY  button _x000D_
_x000D_
(Other apps including the browser work perfectly when restricted to the VPN in the same way)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Network error  and a red  RETRY  button _x000D_
_x000D_
    Expected behavior_x000D_
     Tell us what you expect to happen     _x000D_
_x000D_
The video should be played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9   lineage X00TD userdebug 9 PQ3A _x000D_
   Device model: Asus X00TD_x000D_
</t>
  </si>
  <si>
    <t>TeamNewPipe-NewPipe-5754</t>
  </si>
  <si>
    <t>Long playlists yet again not loading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</si>
  <si>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Try load any playlist with 100  songs  play in background_x000D_
2  Open background playlist  scroll down_x000D_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It will stop prematurely after not even half the songs are loaded_x000D_
_x000D_
_x000D_
_x000D_
    Expected behavior_x000D_
     Tell us what you expect to happen     _x000D_
It will usually stop  load more songs  stop  until you reach the end of the playlist_x000D_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I ve also tried de installing and re installing previous version and current version  no change _x000D_
     Please fill this out when you do not provide a log generate by NewPipe    _x000D_
_x000D_
    Device info_x000D_
_x000D_
   Android version Custom ROM version: Android 11 updated last 20th feb 2021_x000D_
   Device model: Samsung Galaxy S10_x000D_
</t>
  </si>
  <si>
    <t>TeamNewPipe-NewPipe-5752</t>
  </si>
  <si>
    <t>[Question] Why does Newpipe get buggy even before an update is released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</si>
  <si>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Newpipe is an amazing app in a word  Unfortunately  it is not free from bugs  Especially  not updating the app turns everything into a mess  Such problems are actually rare in most other YouTube downloader apps  Although  it s not a major problem  But it should be fixed to make users  update schedule at least a little flexible _x000D_
_x000D_
But the key problem is that app often starts to get buggy much before an update is released  For example   5739  The channel feed shows  Content Unavailable  just after scrolling a little down _x000D_
_x000D_
 _x000D_
    Actual behaviour_x000D_
     Tell us what happens with the steps given above     _x000D_
Users most often face bugs even though no update is released _x000D_
_x000D_
_x000D_
    Expected behavior_x000D_
     Tell us what you expect to happen     _x000D_
Users should not encounter any kind of bug until an update is released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</si>
  <si>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TeamNewPipe-NewPipe-5751</t>
  </si>
  <si>
    <t>Comments don't load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</si>
  <si>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Load any video_x000D_
2  Go to comments_x000D_
_x000D_
     If you can t cause the bug to show up again reliably (and hence don t have a proper set of steps to give us)  please still try to give as many details as possible on how you think you encountered the bug     _x000D_
_x000D_
_x000D_
_x000D_
    Actual behaviour_x000D_
Comments don t load and it says  no comments _x000D_
_x000D_
_x000D_
_x000D_
    Expected behavior_x000D_
The comments load_x000D_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20210304 162540 NewPipe (https:  user images githubusercontent com 61789626 109987271 643a1e80 7cfe 11eb 8f2c 73c3b87bd599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No logs_x000D_
_x000D_
    Device info_x000D_
_x000D_
   Android version Custom ROM version: Android 10   One UI 2 0_x000D_
   Device model: Samsung SM A405FN (Samsung Galaxy A40)_x000D_
</t>
  </si>
  <si>
    <t>google-ExoPlayer-8675</t>
  </si>
  <si>
    <t>Resume after Behind-Live-Window-Exception issues</t>
  </si>
  <si>
    <t xml:space="preserve">  Crashes on versions 2 13    _x000D_
_x000D_
_x000D_
  Steps to Reproduce   :_x000D_
_x000D_
1) Use HLS live stream URI as a data source  (Ex : https:  cph msl akamaized net hls live 2000341 test master m3u8)_x000D_
2) Attach a PlaybackStatsListener to the exoplayer _x000D_
3) Reproducing  BehindLiveWindowException  will crash the app   (Pause the live stream for more than twice the live window duration and then resume the video to reproduce  BehindLiveWindowException )_x000D_
_x000D_
Works fine if I don t attach the PlaybackStatsListener by removing the below line_x000D_
 player  addAnalyticsListener(playbackStatsListener) _x000D_
_x000D_
  StackTrace :   _x000D_
_x000D_
   _x000D_
FATAL EXCEPTION: main_x000D_
    java lang IllegalArgumentException_x000D_
        at com google android exoplayer2 util Assertions checkArgument(SourceFile:41)_x000D_
        at com google android exoplayer2 analytics PlaybackStatsListener PlaybackStatsTracker updatePlaybackState(SourceFile:679)_x000D_
        at com google android exoplayer2 analytics PlaybackStatsListener PlaybackStatsTracker onFinished(SourceFile:477)_x000D_
        at com google android exoplayer2 analytics PlaybackStatsListener onSessionFinished(SourceFile:183)_x000D_
        at com google android exoplayer2 analytics DefaultPlaybackSessionManager updateSessionsWithTimelineChange(SourceFile:182)_x000D_
        at com google android exoplayer2 analytics PlaybackStatsListener maybeAddSessions(SourceFile:304)_x000D_
        at com google android exoplayer2 analytics PlaybackStatsListener onEvents(SourceFile:252)_x000D_
        at com google android exoplayer2 analytics AnalyticsCollector lambda setPlayer 1 AnalyticsCollector(SourceFile:141)_x000D_
        at com google android exoplayer2 analytics    Lambda AnalyticsCollector zCA9RWls746W6T nwroi1F zK 4 invoke(Unknown Source:8)_x000D_
        at com google android exoplayer2 util ListenerSet ListenerHolder iterationFinished(SourceFile:309)_x000D_
        at com google android exoplayer2 util ListenerSet handleMessage(SourceFile:253)_x000D_
        at com google android exoplayer2 util ListenerSet lambda gt28PMFfhLXGfIVY4v7eP9kmalg(Unknown Source:0)_x000D_
        at com google android exoplayer2 util    Lambda ListenerSet gt28PMFfhLXGfIVY4v7eP9kmalg handleMessage(Unknown Source:2)_x000D_
        at android os Handler dispatchMessage(Handler java:103)_x000D_
        at android os Looper loop(Looper java:214)_x000D_
        at android app ActivityThread main(ActivityThread java:7695)_x000D_
        at java lang reflect Method invoke(Native Method)_x000D_
        at com android internal os RuntimeInit MethodAndArgsCaller run(RuntimeInit java:516)_x000D_
        at com android internal os ZygoteInit main(ZygoteInit java:950)_x000D_
_x000D_
   _x000D_
_x000D_
  Code :  _x000D_
   _x000D_
fun initPlayer()  _x000D_
    val bandwidthMeter: BandwidthMeter   DefaultBandwidthMeter_x000D_
         Builder(context)_x000D_
         build()_x000D_
_x000D_
    val videoTrackSelectionFactory   AdaptiveTrackSelection Factory()_x000D_
_x000D_
    val trackSelector   DefaultTrackSelector(context  videoTrackSelectionFactory)_x000D_
   _x000D_
    player   SimpleExoPlayer Builder(context)_x000D_
         setTrackSelector(trackSelector)_x000D_
         setBandwidthMeter(bandwidthMeter)_x000D_
         build()_x000D_
_x000D_
    player  addListener(playerEventListener)_x000D_
    player  addAnalyticsListener(playbackStatsListener)_x000D_
_x000D_
    player  prepare()_x000D_
    player  repeatMode   Player REPEAT MODE ONE_x000D_
    player  playWhenReady   true_x000D_
_x000D_
 _x000D_
_x000D_
fun setMediaSource(url: String)  _x000D_
_x000D_
    val dataSourceFactory: DataSource Factory   DefaultHttpDataSourceFactory()_x000D_
_x000D_
    val hlsMediaSource: HlsMediaSource   HlsMediaSource Factory(dataSourceFactory)_x000D_
         setAllowChunklessPreparation(true)_x000D_
         createMediaSource(MediaItem fromUri(url))_x000D_
_x000D_
    player  setMediaSource(hlsMediaSource  false)_x000D_
_x000D_
    player  seekToDefaultPosition()_x000D_
_x000D_
    player  playWhenReady   true_x000D_
_x000D_
 _x000D_
_x000D_
   </t>
  </si>
  <si>
    <t>Spikatrix-Zoned-5</t>
  </si>
  <si>
    <t>Crash on startup on Windows in Zoned v0.0.4-dev</t>
  </si>
  <si>
    <t xml:space="preserve">Zoned v0 0 4 dev crashes on startup on Windows  I suspect this was caused by 807834c which fetches the Discord RPC Java wrapper library from upstream rather than relying on a jar file _x000D_
_x000D_
Windows Java version:_x000D_
   _x000D_
  java  version_x000D_
java version  1 8 0 241 _x000D_
Java(TM) SE Runtime Environment (build 1 8 0 241 b07)_x000D_
Java HotSpot(TM) 64 Bit Server VM (build 25 241 b07  mixed mode)_x000D_
   _x000D_
_x000D_
Crash stack trace:_x000D_
_x000D_
   _x000D_
Exception in thread  LWJGL Application  com badlogic gdx utils GdxRuntimeException: java lang UnsatisfiedLinkError: Unable to load library  discord rpc : Native library (win32 x86 64 discord rpc dll) not found in resource path ( file: C: Users jas Downloads Zoned 0 0 4 dev jar )_x000D_
        at com badlogic gdx backends lwjgl LwjglApplication 1 run(LwjglApplication java:134)_x000D_
Caused by: java lang UnsatisfiedLinkError: Unable to load library  discord rpc : Native library (win32 x86 64 discord rpc dll) not found in resource path ( file: C: Users jas Downloads Zoned 0 0 4 dev jar )_x000D_
        at com sun jna NativeLibrary loadLibrary(NativeLibrary java:303)_x000D_
        at com sun jna NativeLibrary getInstance(NativeLibrary java:427)_x000D_
        at com sun jna Library Handler  init (Library java:179)_x000D_
        at com sun jna Native loadLibrary(Native java:569)_x000D_
        at com sun jna Native loadLibrary(Native java:544)_x000D_
        at net arikia dev drpc DiscordRPC DLL  clinit (DiscordRPC java:222)_x000D_
        at net arikia dev drpc DiscordRPC discordInitialize(DiscordRPC java:32)_x000D_
        at com cg zoned desktop DiscordRPCManager initRPC(DiscordRPCManager java:27)_x000D_
        at com cg zoned managers DiscordRPCManager initRPC(DiscordRPCManager java:13)_x000D_
        at com cg zoned screens LoadingScreen initSetup(LoadingScreen java:59)_x000D_
        at com cg zoned screens LoadingScreen  init (LoadingScreen java:50)_x000D_
        at com cg zoned Zoned create(Zoned java:41)_x000D_
        at com badlogic gdx backends lwjgl LwjglApplication mainLoop(LwjglApplication java:150)_x000D_
        at com badlogic gdx backends lwjgl LwjglApplication 1 run(LwjglApplication java:127)_x000D_
   _x000D_
_x000D_
Looks like it can t find the Discord RPC dll file  Looking into the jar file  there s the _x000D_
   32 bit lib at  win x86 discord rpc dll _x000D_
   64 bit lib at  win x64 discord rpc dll _x000D_
_x000D_
There no  win32 x86 64  folder  Sure enough  duplicating the  win x64  folder with the name  win32 x86 64  and saving it in the jar fixed the issue  An alternate workaround would be to disable Zoned Discord RPC manually by setting   entry key  Discord RPC Preference  false  entry   in Zoned s preferences which you can find at  C: Users username  prefs Zoned Preferences _x000D_
_x000D_
However that s more of a workaround and not a permanent actual fix  I m not sure why it looks up  win32 x86 64  rather than  win x64  there and I m also not sure if this is an upstream library issue _x000D_
_x000D_
I m experiencing this issue only on Windows  It works flawlessly on Linux  Android is out of the equation since it does not support Discord RPC yet </t>
  </si>
  <si>
    <t>TeamNewPipe-NewPipe-5748</t>
  </si>
  <si>
    <t>Crash upon reordering channel groups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</si>
  <si>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Subscriptions _x000D_
2  Press on the three stripes in the top left to reorder the channel group order_x000D_
3  Press on the three bars to swift order_x000D_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Upon trying to shift a channel group  an UI crash occurs immediately and it sends me to the error report page_x000D_
_x000D_
_x000D_
    Expected behavior_x000D_
     Tell us what you expect to happen     _x000D_
It should upon holding the bars of a particular channel group be able to shift up and down the order_x000D_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App crash  UI failure_x000D_
    Content Country:   GB_x000D_
    Content Language:   en GB_x000D_
    App Language:   en GB_x000D_
    Service:   none_x000D_
    Version:   0 20 10_x000D_
    OS:   Linux Android 11   30_x000D_
 details  summary  b Crash log   b   summary  p _x000D_
_x000D_
   _x000D_
java lang NullPointerException: Attempt to invoke virtual method  int com xwray groupie Item getDragDirs()  on a null object reference_x000D_
	at com xwray groupie GroupieViewHolder getDragDirs(GroupieViewHolder java:87)_x000D_
	at com xwray groupie TouchCallback getDragDirs(TouchCallback java:18)_x000D_
	at androidx recyclerview widget ItemTouchHelper SimpleCallback getMovementFlags(ItemTouchHelper java:2293)_x000D_
	at androidx recyclerview widget ItemTouchHelper Callback getAbsoluteMovementFlags(ItemTouchHelper java:1593)_x000D_
	at androidx recyclerview widget ItemTouchHelper Callback hasDragFlag(ItemTouchHelper java:1598)_x000D_
	at androidx recyclerview widget ItemTouchHelper startDrag(ItemTouchHelper java:1092)_x000D_
	at org schabi newpipe local subscription item FeedGroupReorderItem bind 1 onTouch(FeedGroupReorderItem kt:38)_x000D_
	at android view View dispatchTouchEvent(View java:14305)_x000D_
	at android view ViewGroup dispatchTransformedTouchEvent(ViewGroup java:3118)_x000D_
	at android view ViewGroup dispatchTouchEvent(ViewGroup java:2742)_x000D_
	at android view ViewGroup dispatchTransformedTouchEvent(ViewGroup java:3118)_x000D_
	at android view ViewGroup dispatchTouchEvent(ViewGroup java:2742)_x000D_
	at android view ViewGroup dispatchTransformedTouchEvent(ViewGroup java:3118)_x000D_
	at android view ViewGroup dispatchTouchEvent(ViewGroup java:2742)_x000D_
	at android view ViewGroup dispatchTransformedTouchEvent(ViewGroup java:3118)_x000D_
	at android view ViewGroup dispatchTouchEvent(ViewGroup java:2742)_x000D_
	at android view ViewGroup dispatchTransformedTouchEvent(ViewGroup java:3118)_x000D_
	at android view ViewGroup dispatchTouchEvent(ViewGroup java:2742)_x000D_
	at android view ViewGroup dispatchTransformedTouchEvent(ViewGroup java:3118)_x000D_
	at android view ViewGroup dispatchTouchEvent(ViewGroup java:2742)_x000D_
	at android view ViewGroup dispatchTransformedTouchEvent(ViewGroup java:3118)_x000D_
	at android view ViewGroup dispatchTouchEvent(ViewGroup java:2742)_x000D_
	at com android internal policy DecorView superDispatchTouchEvent(DecorView java:488)_x000D_
	at com android internal policy PhoneWindow superDispatchTouchEvent(PhoneWindow java:1871)_x000D_
	at android app Dialog dispatchTouchEvent(Dialog java:859)_x000D_
	at com android internal policy DecorView dispatchTouchEvent(DecorView java:446)_x000D_
	at android view View dispatchPointerEvent(View java:14568)_x000D_
	at android view ViewRootImpl ViewPostImeInputStage processPointerEvent(ViewRootImpl java:6022)_x000D_
	at android view ViewRootImpl ViewPostImeInputStage onProcess(ViewRootImpl java:5825)_x000D_
	at android view ViewRootImpl InputStage deliver(ViewRootImpl java:5316)_x000D_
	at android view ViewRootImpl InputStage onDeliverToNext(ViewRootImpl java:5373)_x000D_
	at android view ViewRootImpl InputStage forward(ViewRootImpl java:5339)_x000D_
	at android view ViewRootImpl AsyncInputStage forward(ViewRootImpl java:5491)_x000D_
	at android view ViewRootImpl InputStage apply(ViewRootImpl java:5347)_x000D_
	at android view ViewRootImpl AsyncInputStage apply(ViewRootImpl java:5548)_x000D_
	at android view ViewRootImpl InputStage deliver(ViewRootImpl java:5320)_x000D_
	at android view ViewRootImpl InputStage onDeliverToNext(ViewRootImpl java:5373)_x000D_
	at android view ViewRootImpl InputStage forward(ViewRootImpl java:5339)_x000D_
	at android view ViewRootImpl InputStage apply(ViewRootImpl java:5347)_x000D_
	at android view ViewRootImpl InputStage deliver(ViewRootImpl java:5320)_x000D_
	at android view ViewRootImpl deliverInputEvent(ViewRootImpl java:8086)_x000D_
	at android view ViewRootImpl doProcessInputEvents(ViewRootImpl java:8037)_x000D_
	at android view ViewRootImpl enqueueInputEvent(ViewRootImpl java:7998)_x000D_
	at android view ViewRootImpl WindowInputEventReceiver onInputEvent(ViewRootImpl java:8209)_x000D_
	at android view InputEventReceiver dispatchInputEvent(InputEventReceiver java:220)_x000D_
	at android os MessageQueue nativePollOnce(Native Method)_x000D_
	at android os MessageQueue next(MessageQueue java:335)_x000D_
	at android os Looper loop(Looper java:183)_x000D_
	at android app ActivityThread main(ActivityThread java:7660)_x000D_
	at java lang reflect Method invoke(Native Method)_x000D_
	at com android internal os RuntimeInit MethodAndArgsCaller run(RuntimeInit java:592)_x000D_
	at com android internal os ZygoteInit main(ZygoteInit java:947)_x000D_
_x000D_
   _x000D_
  details _x000D_
 hr _x000D_
_x000D_
_x000D_
     Please fill this out when you do not provide a log generate by NewPipe    _x000D_
_x000D_
    Device info_x000D_
_x000D_
   Android version Custom ROM version: Android 11 CalyxOS 2 2 0_x000D_
   Device model: Pixel 4a_x000D_
</t>
  </si>
  <si>
    <t>jellyfin-jellyfin-androidtv-752</t>
  </si>
  <si>
    <t>(master) App crashes while setting background</t>
  </si>
  <si>
    <t xml:space="preserve">  Describe the bug  _x000D_
Sometimes the app will crash while it s loading background images  I can t really find a pattern to it  but I ve noticed it more when I scroll around fast _x000D_
_x000D_
  Logs  _x000D_
   _x000D_
2021 03 03 19:33:48 116 15414 15502 org jellyfin androidtv debug E ACRA: ACRA caught a ExecutionException for org jellyfin androidtv debug_x000D_
    java util concurrent ExecutionException: com bumptech glide load engine GlideException: Failed to load resource_x000D_
    There was 1 root cause:_x000D_
    com bumptech glide load HttpException(Failed to connect or obtain data  status code:  1)_x000D_
     call GlideException logRootCauses(String) for more detail_x000D_
        at com bumptech glide request RequestFutureTarget doGet(RequestFutureTarget java:217)_x000D_
        at com bumptech glide request RequestFutureTarget get(RequestFutureTarget java:130)_x000D_
        at org jellyfin androidtv data service BackgroundService setBackground 1 backdropDrawables 2 1 invokeSuspend(BackgroundService kt:161)_x000D_
        at kotlin coroutines jvm internal BaseContinuationImpl resumeWith(ContinuationImpl kt:33)_x000D_
        at kotlinx coroutines DispatchedTask run(DispatchedTask kt:106)_x000D_
        at kotlinx coroutines scheduling CoroutineScheduler runSafely(CoroutineScheduler kt:571)_x000D_
        at kotlinx coroutines scheduling CoroutineScheduler Worker executeTask(CoroutineScheduler kt:738)_x000D_
        at kotlinx coroutines scheduling CoroutineScheduler Worker runWorker(CoroutineScheduler kt:678)_x000D_
        at kotlinx coroutines scheduling CoroutineScheduler Worker run(CoroutineScheduler kt:665)_x000D_
     Caused by: com bumptech glide load engine GlideException: Failed to load resource_x000D_
    There was 1 root cause:_x000D_
    com bumptech glide load HttpException(Failed to connect or obtain data  status code:  1)_x000D_
     call GlideException logRootCauses(String) for more detail_x000D_
   _x000D_
_x000D_
  System (please complete the following information):  _x000D_
   Emulator  Fire TV Stick  Sony Android TVs_x000D_
</t>
  </si>
  <si>
    <t>nextcloud-android-8103</t>
  </si>
  <si>
    <t>It crashes if it can't access the site</t>
  </si>
  <si>
    <t xml:space="preserve">    Steps to reproduce_x000D_
There is not much of steps  it seems like it crashes in the background (when I have not opened the app myself) when there is no internet access_x000D_
_x000D_
    Expected behaviour_x000D_
It should not crash_x000D_
_x000D_
    Actual behaviour_x000D_
I think it is trying to sync in the background and it crashes _x000D_
_x000D_
_x000D_
Nextcloud app version: Dev 20210226_x000D_
_x000D_
Nextcloud server version: Nextcloud 20 0 7_x000D_
_x000D_
    Logs_x000D_
   _x000D_
_x000D_
             CAUSE OF ERROR             _x000D_
_x000D_
java lang RuntimeException: java net UnknownHostException: Unable to resolve host  site com : No address associated with hostname_x000D_
	at com nextcloud common OkHttpMethodBase execute(OkHttpMethodBase kt:174)_x000D_
	at com nextcloud client network ConnectivityServiceImpl isInternetWalled(ConnectivityServiceImpl java:75)_x000D_
	at com owncloud android utils FilesSyncHelper lambda restartJobsIfNeeded 0(FilesSyncHelper java:207)_x000D_
	at com owncloud android utils    Lambda FilesSyncHelper 78U1WN nzr5HiGIrRZMThSEamz8 run(Unknown Source:10)_x000D_
	at java lang Thread run(Thread java:764)_x000D_
Caused by: java net UnknownHostException: Unable to resolve host  site com : No address associated with hostname_x000D_
	at java net Inet6AddressImpl lookupHostByName(Inet6AddressImpl java:157)_x000D_
	at java net Inet6AddressImpl lookupAllHostAddr(Inet6AddressImpl java:105)_x000D_
	at java net InetAddress getAllByName(InetAddress java:1154)_x000D_
	at okhttp3 Dns Companion DnsSystem lookup(Dns kt:49)_x000D_
	at com nextcloud common IPV6PreferringDNS lookup(IPV6PreferringDNS java:29)_x000D_
	at okhttp3 internal connection RouteSelector resetNextInetSocketAddress(RouteSelector kt:164)_x000D_
	at okhttp3 internal connection RouteSelector nextProxy(RouteSelector kt:129)_x000D_
	at okhttp3 internal connection RouteSelector next(RouteSelector kt:71)_x000D_
	at okhttp3 internal connection ExchangeFinder findConnection(ExchangeFinder kt:205)_x000D_
	at okhttp3 internal connection ExchangeFinder findHealthyConnection(ExchangeFinder kt:106)_x000D_
	at okhttp3 internal connection ExchangeFinder find(ExchangeFinder kt:74)_x000D_
	at okhttp3 internal connection RealCall initExchange okhttp(RealCall kt:255)_x000D_
	at okhttp3 internal connection ConnectInterceptor intercept(ConnectInterceptor kt:32)_x000D_
	at okhttp3 internal http RealInterceptorChain proceed(RealInterceptorChain kt:109)_x000D_
	at okhttp3 internal cache CacheInterceptor intercept(CacheInterceptor kt:95)_x000D_
	at okhttp3 internal http RealInterceptorChain proceed(RealInterceptorChain kt:109)_x000D_
	at okhttp3 internal http BridgeInterceptor intercept(BridgeInterceptor kt:83)_x000D_
	at okhttp3 internal http RealInterceptorChain proceed(RealInterceptorChain kt:109)_x000D_
	at okhttp3 internal http RetryAndFollowUpInterceptor intercept(RetryAndFollowUpInterceptor kt:76)_x000D_
	at okhttp3 internal http RealInterceptorChain proceed(RealInterceptorChain kt:109)_x000D_
	at okhttp3 internal connection RealCall getResponseWithInterceptorChain okhttp(RealCall kt:201)_x000D_
	at okhttp3 internal connection RealCall execute(RealCall kt:154)_x000D_
	at com nextcloud common OkHttpMethodBase execute(OkHttpMethodBase kt:171)_x000D_
	    4 more_x000D_
Caused by: android system GaiException: android getaddrinfo failed: EAI NODATA (No address associated with hostname)_x000D_
	at libcore io Linux android getaddrinfo(Native Method)_x000D_
	at libcore io BlockGuardOs android getaddrinfo(BlockGuardOs java:172)_x000D_
	at java net Inet6AddressImpl lookupHostByName(Inet6AddressImpl java:137)_x000D_
	    26 more_x000D_
_x000D_
             APP INFORMATION             _x000D_
ID: com nextcloud android beta_x000D_
Version: 20210226_x000D_
Build flavor: versionDev_x000D_
_x000D_
             DEVICE INFORMATION             _x000D_
Brand: samsung_x000D_
Model: SM N910_x000D_
_x000D_
             FIRMWARE             _x000D_
SDK: 28_x000D_
Release: 9_x000D_
_x000D_
   </t>
  </si>
  <si>
    <t>nextcloud-android-8102</t>
  </si>
  <si>
    <t>App crashes while creating an password protected sharing link</t>
  </si>
  <si>
    <t xml:space="preserve">    Steps to reproduce_x000D_
1  Open the app  choose any file_x000D_
2  click  details    share   add a new public link_x000D_
3  Open the menu to add a password  enter password   crash_x000D_
_x000D_
    Expected behaviour_x000D_
It should work without crashing_x000D_
_x000D_
    Actual behaviour_x000D_
It crashes_x000D_
_x000D_
    Can you reproduce this problem on https:  try nextcloud com _x000D_
  actually I am unable to create a test account there  sorry _x000D_
_x000D_
    Environment data_x000D_
Android version:_x000D_
_x000D_
Device model: _x000D_
  Pixel 4a_x000D_
_x000D_
Stock or customized system:_x000D_
  CalyxOS_x000D_
_x000D_
Nextcloud app version:_x000D_
  3 15 1_x000D_
_x000D_
Nextcloud server version:_x000D_
  20 0 0 4_x000D_
_x000D_
Reverse proxy:_x000D_
_x000D_
    Logs_x000D_
     Web server error log_x000D_
   _x000D_
Insert your webserver log here_x000D_
   _x000D_
_x000D_
     Nextcloud app error_x000D_
   _x000D_
             CAUSE OF ERROR             _x000D_
_x000D_
java lang RuntimeException: Accessing result data after operation failed _x000D_
	at com owncloud android lib common operations RemoteOperationResult getData(RemoteOperationResult java:486)_x000D_
	at com owncloud android utils ErrorMessageAdapter getMessageForUpdateShareOperations(ErrorMessageAdapter java:204)_x000D_
	at com owncloud android utils ErrorMessageAdapter getMessageForResultAndOperation(ErrorMessageAdapter java:152)_x000D_
	at com owncloud android utils ErrorMessageAdapter getErrorCauseMessage(ErrorMessageAdapter java:79)_x000D_
	at com owncloud android ui activity FileActivity onRemoteOperationFinish(FileActivity java:380)_x000D_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java:938)_x000D_
	at android os Handler dispatchMessage(Handler java:99)_x000D_
	at android os Looper loop(Looper java:223)_x000D_
	at android app ActivityThread main(ActivityThread java:7660)_x000D_
	at java lang reflect Method invoke(Native Method)_x000D_
	at com android internal os RuntimeInit MethodAndArgsCaller run(RuntimeInit java:592)_x000D_
	at com android internal os ZygoteInit main(ZygoteInit java:947)_x000D_
_x000D_
             APP INFORMATION             _x000D_
ID: com nextcloud client_x000D_
Version: 30150090_x000D_
Build flavor: generic_x000D_
_x000D_
             DEVICE INFORMATION             _x000D_
Brand: Android_x000D_
Device: sunfish_x000D_
Model: Pixel 4a_x000D_
Product: calyx sunfish_x000D_
_x000D_
             FIRMWARE             _x000D_
SDK: 30_x000D_
Release: 11_x000D_
Incremental: 2021 02 02 18_x000D_
   _x000D_
  NOTE:   Be super sure to remove sensitive data like passwords  note that everybody can look here  You can use the Issue Template application to prefill some of the required information: https:  apps nextcloud com apps issuetemplate_x000D_
</t>
  </si>
  <si>
    <t>k9mail-k-9-5187</t>
  </si>
  <si>
    <t>Crash when editing outgoing server settings</t>
  </si>
  <si>
    <t xml:space="preserve">  Describe the bug  _x000D_
Ever since the  5 728 (https:  github com k9mail k 9 releases tag 5 728) update (with the long awaited  Add support for client certificate and password authentication (https:  github com k9mail k 9 issues 793 event 4298863970)) change  K 9 crashes when trying to send email over a (TLS enabled) SMTP server _x000D_
_x000D_
  To Reproduce  _x000D_
Steps to reproduce the behavior:_x000D_
1  Go to Settings    Account settings    Sending mail    Outgoing server_x000D_
2  Optional: disable  require sign in _x000D_
3  Tap on  Next _x000D_
4  K 9 crashes and goes back to the  Sending mail  screen _x000D_
5  Click  Next  again and K9 crashes and the Android   K 9 Mail keeps stopping  screen comes up _x000D_
_x000D_
  Expected behavior  _x000D_
K 9 should not crash : )_x000D_
_x000D_
  Environment (please complete the following information):  _x000D_
   K 9 Mail version:  5 731 (https:  github com k9mail k 9 releases tag 5 731) (Beta)_x000D_
   Android version: 11 (February 2021)_x000D_
   Device: Google Pixel 4a_x000D_
   Account type: IMAP   SMTP_x000D_
_x000D_
  Logs  _x000D_
When the  Next  button is pressed (and K 9 crashes)  the following is being captured by  logcat :_x000D_
_x000D_
   _x000D_
          beginning of crash_x000D_
03 02 09:28:43 426 10303 10303 E AndroidRuntime: FATAL EXCEPTION: main_x000D_
03 02 09:28:43 426 10303 10303 E AndroidRuntime: Process: com fsck k9  PID: 10303_x000D_
03 02 09:28:43 426 10303 10303 E AndroidRuntime: java lang NullPointerException: Parameter specified as non null is null: method kotlin jvm internal Intrinsics checkNotNullParameter  paramet_x000D_
er authenticationType_x000D_
03 02 09:28:43 426 10303 10303 E AndroidRuntime:        at com fsck k9 mail ServerSettings  init (Unknown Source:12)_x000D_
03 02 09:28:43 426 10303 10303 E AndroidRuntime:        at com fsck k9 mail ServerSettings  init (ServerSettings kt:17)_x000D_
03 02 09:28:43 426 10303 10303 E AndroidRuntime:        at com fsck k9 mail ServerSettings  init (Unknown Source:18)_x000D_
03 02 09:28:43 426 10303 10303 E AndroidRuntime:        at com fsck k9 activity setup AccountSetupOutgoing onNext(AccountSetupOutgoing java:494)_x000D_
03 02 09:28:43 426 10303 10303 E AndroidRuntime:        at com fsck k9 activity setup AccountSetupOutgoing onClick(AccountSetupOutgoing java:503)_x000D_
03 02 09:28:43 426 10303 10303 E AndroidRuntime:        at android view View performClick(View java:7448)_x000D_
03 02 09:28:43 426 10303 10303 E AndroidRuntime:        at android view View performClickInternal(View java:7425)_x000D_
03 02 09:28:43 426 10303 10303 E AndroidRuntime:        at android view View access 3600(View java:810)_x000D_
03 02 09:28:43 426 10303 10303 E AndroidRuntime:        at android view View PerformClick run(View java:28305)_x000D_
03 02 09:28:43 426 10303 10303 E AndroidRuntime:        at android os Handler handleCallback(Handler java:938)_x000D_
03 02 09:28:43 426 10303 10303 E AndroidRuntime:        at android os Handler dispatchMessage(Handler java:99)_x000D_
03 02 09:28:43 426 10303 10303 E AndroidRuntime:        at android os Looper loop(Looper java:223)_x000D_
03 02 09:28:43 426 10303 10303 E AndroidRuntime:        at android app ActivityThread main(ActivityThread java:7660)_x000D_
03 02 09:28:43 426 10303 10303 E AndroidRuntime:        at java lang reflect Method invoke(Native Method)_x000D_
03 02 09:28:43 426 10303 10303 E AndroidRuntime:        at com android internal os RuntimeInit MethodAndArgsCaller run(RuntimeInit java:592)_x000D_
03 02 09:28:43 426 10303 10303 E AndroidRuntime:        at com android internal os ZygoteInit main(ZygoteInit java:947)_x000D_
   _x000D_
_x000D_
The crash looked a bit like the one reported in  5134  but the behaviour is different  K 9 works fine   fetching  and  reading  mail works fine  only  sending  crashes the application _x000D_
_x000D_
And  after the crash:_x000D_
_x000D_
   _x000D_
  adb logcat  d   pid  (adb shell pgrep k9)_x000D_
          beginning of main_x000D_
03 03 22:01:45 842 25439 25439 I libc    : SetHeapTaggingLevel: tag level set to 0_x000D_
03 03 22:01:45 847 25439 25439 E com fsck k9: Not starting debugger since process cannot load the jdwp agent _x000D_
03 03 22:01:45 879 25439 25439 D ApplicationLoaders: Returning zygote cached class loader:  system framework android test base jar_x000D_
03 03 22:01:45 893 25439 25439 D NetworkSecurityConfig: No Network Security Config specified  using platform default_x000D_
03 03 22:01:45 893 25439 25439 D NetworkSecurityConfig: No Network Security Config specified  using platform default_x000D_
03 03 22:01:45 922 25439 25439 I TetheringManager: registerTetheringEventCallback:com fsck k9_x000D_
03 03 22:01:46 006 25439 25463 I AdrenoGLES 0: QUALCOMM build                   : 0905e9f  Ia11ce2d146_x000D_
03 03 22:01:46 006 25439 25463 I AdrenoGLES 0: Build Date                       : 09 02 20_x000D_
03 03 22:01:46 006 25439 25463 I AdrenoGLES 0: OpenGL ES Shader Compiler Version: EV031 31 04 00_x000D_
03 03 22:01:46 006 25439 25463 I AdrenoGLES 0: Local Branch                     : gfx adreno lnx 2 0_x000D_
03 03 22:01:46 006 25439 25463 I AdrenoGLES 0: Remote Branch                    : _x000D_
03 03 22:01:46 006 25439 25463 I AdrenoGLES 0: Remote Branch                    : _x000D_
03 03 22:01:46 006 25439 25463 I AdrenoGLES 0: Reconstruct Branch               : _x000D_
03 03 22:01:46 006 25439 25463 I AdrenoGLES 0: Build Config                     : S P 10 0 4 AArch64_x000D_
03 03 22:01:46 006 25439 25463 I AdrenoGLES 0: Driver Path                      :  vendor lib64 egl libGLESv2 adreno so_x000D_
03 03 22:01:46 010 25439 25439 W ListPreference: Setting a summary with a String formatting marker is no longer supported  You should use a SummaryProvider instead _x000D_
03 03 22:01:46 010 25439 25463 I AdrenoGLES 0: PFP: 0x016ee189  ME: 0x00000000_x000D_
03 03 22:01:46 011 25439 25463 W AdrenoUtils:  ReadGpuID from sysfs:197 : Failed to open  sys class kgsl kgsl 3d0 gpu model_x000D_
03 03 22:01:46 012 25439 25463 W AdrenoUtils:  ReadGpuID:221 : Failed to read chip ID from gpu model  Fallback to use the GSL path_x000D_
03 03 22:01:46 023 25439 25439 W ListPreference: Setting a summary with a String formatting marker is no longer supported  You should use a SummaryProvider instead _x000D_
03 03 22:01:46 042 25439 25463 I Gralloc4: mapper 4 x is not supported_x000D_
   </t>
  </si>
  <si>
    <t>TeamNewPipe-NewPipe-5742</t>
  </si>
  <si>
    <t>UI crashed on Realme ui</t>
  </si>
  <si>
    <t xml:space="preserve">   Exception_x000D_
    User Action:   ui error_x000D_
    Request:   App crash  UI failure_x000D_
    Content Country:   US_x000D_
    Content Language:   en US_x000D_
    App Language:   en US_x000D_
    Service:   none_x000D_
    Version:   0 20 10_x000D_
    OS:   Linux realme RMX1911 RMX1911:10 QKQ1 200209 002 1603357505:user release keys 10   29_x000D_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java:899)_x000D_
	at android os Handler dispatchMessage(Handler java:100)_x000D_
	at android os Looper loop(Looper java:238)_x000D_
	at android app ActivityThread main(ActivityThread java:7853)_x000D_
	at java lang reflect Method invoke(Native Method)_x000D_
	at com android internal os RuntimeInit MethodAndArgsCaller run(RuntimeInit java:492)_x000D_
	at com android internal os ZygoteInit main(ZygoteInit java:984)_x000D_
_x000D_
   _x000D_
  details _x000D_
 hr _x000D_
_x000D_
    Device info_x000D_
_x000D_
   Android version Custom ROM version: Realme UI 1 0_x000D_
   Device model: Realme 5_x000D_
</t>
  </si>
  <si>
    <t>prebid-prebid-mobile-android-240</t>
  </si>
  <si>
    <t>Crash reports java.lang.InternalError Thread starting during runtime shutdown</t>
  </si>
  <si>
    <t xml:space="preserve">Our users experiencing crashes  which looks like happens at the application close  Not sure if it is real crash or unavailability to correctly close the app _x000D_
_x000D_
There is stack trace:_x000D_
_x000D_
   _x000D_
java lang Thread nativeCreate (Thread java)_x000D_
java lang Thread start (Thread java:733)_x000D_
java util concurrent ThreadPoolExecutor addWorker (ThreadPoolExecutor java:975)_x000D_
java util concurrent ThreadPoolExecutor execute (ThreadPoolExecutor java:1382)_x000D_
android os AsyncTask SerialExecutor scheduleNext (AsyncTask java:258)_x000D_
android os AsyncTask SerialExecutor execute (AsyncTask java:252)_x000D_
android os AsyncTask executeOnExecutor (AsyncTask java:651)_x000D_
android os AsyncTask execute (AsyncTask java:595)_x000D_
org prebid mobile PrebidServerAdapter requestDemand (PrebidServerAdapter java:73)_x000D_
org prebid mobile DemandFetcher RequestRunnable 1 run (DemandFetcher java:179)_x000D_
android os Handler handleCallback (Handler java:873)_x000D_
android os Handler dispatchMessage (Handler java:99)_x000D_
android os Looper loop (Looper java:280)_x000D_
android os HandlerThread run (HandlerThread java:65)_x000D_
   _x000D_
_x000D_
  users environment (https:  user images githubusercontent com 527307 109841701 fdf7c200 7c51 11eb 91ea 486c0ea637c5 png)_x000D_
_x000D_
Crashes appear since prebid 1 4  our current version 1 6_x000D_
</t>
  </si>
  <si>
    <t>DanielVaknin-MamaFood-16</t>
  </si>
  <si>
    <t>Login/Register page crashes when empty details</t>
  </si>
  <si>
    <t>When you don t provide any login details and click on login   the application crashes</t>
  </si>
  <si>
    <t>commons-app-apps-android-commons-4283</t>
  </si>
  <si>
    <t>IllegalStateException: The application's PagerAdapter changed the adapter's contents without calling PagerAdapter#notifyDataSetChanged! Expected adapter item count: 140, found: 150</t>
  </si>
  <si>
    <t xml:space="preserve">In the contributions activity  when opening any of my uploaded pictures I get the following crash either immediately or after changing screen orientation a few times  I can reproduce the crash easily  both in latest master and in branch  marcosliberal:fix issue 3906  _x000D_
   _x000D_
02 26 17:25:29 772 16399 16513 D OkHttp  :     GET https:  commons wikimedia org w api php action query format json formatversion 2 generator allimages gaisort timestamp gaidir older prop imageinfo iiprop url extmetadata user  iiurlwidth 640 iiextmetadatafilter DateTime Categories GPSLatitude GPSLongitude ImageDescription DateTimeOriginal Artist LicenseShortName LicenseUrl gaiuser Syced gailimit 10 gaicontinue 20210103154838 1 E6 9C 883 E6 97 A5( E6 97 A5) E3 81 AF E6 9D B1 E4 BA AC E3 82 BF E3 83 AF E3 83 BC E3 82 92 E5 8F B0 E6 B9 BE E8 89 B2 E3 81 AB E3 83 A9 E3 82 A4 E3 83 88 E3 82 A2 E3 83 83 E3 83 97 4 jpg continue gaicontinue  _x000D_
02 26 17:25:29 774 16399 16513 D CookieManager: Domain:commons wikimedia org_x000D_
02 26 17:25:29 793  5618  5825 D WifiStateMachine: enter getWifiLinkLayerStats_x000D_
02 26 17:25:29 793  5618  5825 I WifiVendorHal: getWifiLinkLayerStats(l 2973) before calling iface getLinkLayerStats_x000D_
02 26 17:25:29 793  5144  5144 I android hardware wifi 1 0 service: enter getLinkLayerStats_x000D_
02 26 17:25:29 793  5144  5144 I android hardware wifi 1 0 service: enter getLinkLayerStatsInternal_x000D_
02 26 17:25:29 799 16399 16399 D AndroidRuntime: Shutting down VM_x000D_
02 26 17:25:29 800 16399 16399 E AndroidRuntime: FATAL EXCEPTION: main_x000D_
02 26 17:25:29 800 16399 16399 E AndroidRuntime: Process: fr free nrw commons  PID: 16399_x000D_
02 26 17:25:29 800 16399 16399 E AndroidRuntime: java lang IllegalStateException: The application s PagerAdapter changed the adapter s contents without calling PagerAdapter notifyDataSetChanged  Expected adapter item count: 140  found: 150 Pager id: fr free nrw commons:id mediaDetailsPager Pager class: class androidx viewpager widget ViewPager Problematic adapter: class fr free nrw commons media MediaDetailPagerFragment MediaDetailAdapter_x000D_
02 26 17:25:29 800 16399 16399 E AndroidRuntime: 	at androidx viewpager widget ViewPager populate(ViewPager java:1143)_x000D_
02 26 17:25:29 800 16399 16399 E AndroidRuntime: 	at androidx viewpager widget ViewPager populate(ViewPager java:1092)_x000D_
02 26 17:25:29 800 16399 16399 E AndroidRuntime: 	at androidx viewpager widget ViewPager 3 run(ViewPager java:273)_x000D_
02 26 17:25:29 800 16399 16399 E AndroidRuntime: 	at android view Choreographer CallbackRecord run(Choreographer java:949)_x000D_
02 26 17:25:29 800 16399 16399 E AndroidRuntime: 	at android view Choreographer doCallbacks(Choreographer java:761)_x000D_
02 26 17:25:29 800 16399 16399 E AndroidRuntime: 	at android view Choreographer doFrame(Choreographer java:693)_x000D_
02 26 17:25:29 800 16399 16399 E AndroidRuntime: 	at android view Choreographer FrameDisplayEventReceiver run(Choreographer java:935)_x000D_
02 26 17:25:29 800 16399 16399 E AndroidRuntime: 	at android os Handler handleCallback(Handler java:873)_x000D_
02 26 17:25:29 800 16399 16399 E AndroidRuntime: 	at android os Handler dispatchMessage(Handler java:99)_x000D_
02 26 17:25:29 800 16399 16399 E AndroidRuntime: 	at android os Looper loop(Looper java:214)_x000D_
02 26 17:25:29 800 16399 16399 E AndroidRuntime: 	at android app ActivityThread main(ActivityThread java:7032)_x000D_
02 26 17:25:29 800 16399 16399 E AndroidRuntime: 	at java lang reflect Method invoke(Native Method)_x000D_
02 26 17:25:29 800 16399 16399 E AndroidRuntime: 	at com android internal os RuntimeInit MethodAndArgsCaller run(RuntimeInit java:494)_x000D_
02 26 17:25:29 800 16399 16399 E AndroidRuntime: 	at com android internal os ZygoteInit main(ZygoteInit java:965)_x000D_
   _x000D_
_x000D_
5 hours later  I get the same crash with different numbers:  Expected adapter item count: 590  found: 600 _x000D_
_x000D_
I guess the app is somehow busy loading my thousands of past contributions  and miscalculating something while this happens  The crash might not be reproduced on account with few contributions  It does not happen in Explore either </t>
  </si>
  <si>
    <t>TeamNewPipe-NewPipe-5739</t>
  </si>
  <si>
    <t>"Content unavailable" when scrolling down a channel or playlist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</si>
  <si>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any channel with videos of more than one page _x000D_
2  Scroll down until it loads the second page_x000D_
_x000D_
     If you can t cause the bug to show up again reliably (and hence don t have a proper set of steps to give us)  please still try to give as many details as possible on how you think you encountered the bug     _x000D_
_x000D_
_x000D_
_x000D_
    Actual behaviour_x000D_
All the videos disappear  and it shows  Content unavailable _x000D_
_x000D_
_x000D_
_x000D_
    Expected behavior_x000D_
The videos in the second page will be loaded_x000D_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TCL Plex_x000D_
</t>
  </si>
  <si>
    <t>capacitor-community-google-maps-40</t>
  </si>
  <si>
    <t>Fix default config setup in setCamera</t>
  </si>
  <si>
    <t xml:space="preserve">Reported by  gbrits _x000D_
_x000D_
Ref https:  github com hemangsk capacitor googlemaps native pull 39 files diff c1fd3aab06a21d07732bdebb118e40a701c8f6316740ba02d6ad913cc956c5beL474 _x000D_
_x000D_
googleMap getCameraPosition() causes app to crash  We need to find a proper way to get current camera position and use that config as the fallback value in setCamera  </t>
  </si>
  <si>
    <t>inaturalist-iNaturalistAndroid-991</t>
  </si>
  <si>
    <t>IllegalStateException in ObservationCursorAdapter.getPhotoInfo</t>
  </si>
  <si>
    <t xml:space="preserve">https:  console firebase google com u 2 project inaturalist ios crashlytics app android:org inaturalist android issues 98fd52ab8f5b480563a73ddf20233c1b_x000D_
_x000D_
   _x000D_
Fatal Exception: java lang IllegalStateException: Couldn t read row 3330  col 4 from CursorWindow   Make sure the Cursor is initialized correctly before accessing data from it _x000D_
       at android database CursorWindow nativeGetString(CursorWindow java)_x000D_
       at android database CursorWindow getString(CursorWindow java:469)_x000D_
       at android database AbstractWindowedCursor getString(AbstractWindowedCursor java:53)_x000D_
       at android database CursorWrapper getString(CursorWrapper java:141)_x000D_
       at org inaturalist android ObservationCursorAdapter getPhotoInfo(ObservationCursorAdapter java:302)_x000D_
       at org inaturalist android ObservationCursorAdapter refreshCursor(ObservationCursorAdapter java:245)_x000D_
       at org inaturalist android ObservationCursorAdapter refreshCursor(ObservationCursorAdapter java:205)_x000D_
       at org inaturalist android ObservationListActivity ObservationSyncProgressReceiver onReceive(ObservationListActivity java:1711)_x000D_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java:106)_x000D_
       at android os Looper loop(Looper java:223)_x000D_
       at android app ActivityThread main(ActivityThread java:7660)_x000D_
       at java lang reflect Method invoke(Method java)_x000D_
       at com android internal os RuntimeInit MethodAndArgsCaller run(RuntimeInit java:592)_x000D_
       at com android internal os ZygoteInit main(ZygoteInit java:947)_x000D_
   </t>
  </si>
  <si>
    <t>inaturalist-iNaturalistAndroid-990</t>
  </si>
  <si>
    <t>NullPointerException in ObservationEditor.onCreate</t>
  </si>
  <si>
    <t xml:space="preserve">https:  console firebase google com u 2 project inaturalist ios crashlytics app android:org inaturalist android issues 6792326736a3dae9ba77c1d611472cff_x000D_
_x000D_
   _x000D_
Caused by java lang NullPointerException: Attempt to invoke virtual method  int java lang Integer intValue()  on a null object reference_x000D_
       at org inaturalist android ObservationEditor onCreate(ObservationEditor java:1094)_x000D_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java:3404)_x000D_
       at android app ActivityThread handleLaunchActivity(ActivityThread java:3595)_x000D_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java:7660)_x000D_
       at java lang reflect Method invoke(Method java)_x000D_
       at com android internal os RuntimeInit MethodAndArgsCaller run(RuntimeInit java:592)_x000D_
       at com android internal os ZygoteInit main(ZygoteInit java:947)_x000D_
   </t>
  </si>
  <si>
    <t>PojavLauncherTeam-PojavLauncher-999</t>
  </si>
  <si>
    <t>labymod 1 8 9 crash_x000D_
_x000D_
     Minecraft Crash Report     _x000D_
   Daisy  daisy   _x000D_
_x000D_
Time: 3 2 21 4:34 PM_x000D_
Description: Initializing game_x000D_
_x000D_
java lang UnsatisfiedLinkError: Can t obtain static method fromNative(Method  Object) from class com sun jna Native_x000D_
	at com sun jna Native initIDs(Native Method)_x000D_
	at com sun jna Native  clinit (Native java:135)_x000D_
	at com sun jna Structure  clinit (Structure java:146)_x000D_
	at net labymod discordapp DiscordApp  init (DiscordApp java:43)_x000D_
	at net labymod main LabyMod init(LabyMod java:287)_x000D_
	at ave am(SourceFile:470)_x000D_
	at ave a(SourceFile:310)_x000D_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java:131)_x000D_
	at net minecraft launchwrapper Launch main(Launch java:27)_x000D_
_x000D_
_x000D_
A detailed walkthrough of the error  its code path and all known details is as follows:_x000D_
                                                                                       _x000D_
_x000D_
   Head   _x000D_
Stacktrace:_x000D_
	at com sun jna Native initIDs(Native Method)_x000D_
	at com sun jna Native  clinit (Native java:135)_x000D_
	at com sun jna Structure  clinit (Structure java:146)_x000D_
	at net labymod discordapp DiscordApp  init (DiscordApp java:43)_x000D_
	at net labymod main LabyMod init(LabyMod java:287)_x000D_
	at ave am(SourceFile:470)_x000D_
_x000D_
   Initialization   _x000D_
Details:_x000D_
Stacktrace:_x000D_
	at ave a(SourceFile:310)_x000D_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java:131)_x000D_
	at net minecraft launchwrapper Launch main(Launch java:27)_x000D_
_x000D_
   System Details   _x000D_
Details:_x000D_
	Minecraft Version: 1 8 9_x000D_
	Operating System: Linux (aarch64) version Android 10_x000D_
	Java Version: 1 8 0 internal  Oracle Corporation_x000D_
	Java VM Version: OpenJDK 64 Bit Server VM (mixed mode)  Oracle Corporation_x000D_
	Memory: 1679591048 bytes (1601 MB)   2067005440 bytes (1971 MB) up to 2067005440 bytes (1971 MB)_x000D_
	JVM Flags: 26 total   Xmx2G  Xms2G  Xmn768m  XX: DisableExplicitGC  XX: UseConcMarkSweepGC  XX: UseParNewGC  XX: UseNUMA  XX: CMSParallelRemarkEnabled  XX:MaxTenuringThreshold 15  XX:MaxGCPauseMillis 30  XX:GCPauseIntervalMillis 150  XX: UseAdaptiveGCBoundary  XX: UseGCOverheadLimit  XX: UseBiasedLocking  XX:SurvivorRatio 8  XX:TargetSurvivorRatio 90  XX:MaxTenuringThreshold 15  XX: UseFastAccessorMethods  XX: UseCompressedOops  XX: OptimizeStringConcat  XX: AggressiveOpts  XX:ReservedCodeCacheSize 2048m  XX: UseCodeCacheFlushing  XX:SoftRefLRUPolicyMSPerMB 10000  XX:ParallelGCThreads 10  Xbootclasspath p: storage emulated 0 games PojavLauncher caciocavallo ResConfHack jar: storage emulated 0 games PojavLauncher caciocavallo cacio androidnw 1 10 SNAPSHOT jar: storage emulated 0 games PojavLauncher caciocavallo cacio shared 1 10 SNAPSHOT jar_x000D_
	IntCache: cache: 0  tcache: 0  allocated: 0  tallocated: 0_x000D_
	Launched Version: 1 8_x000D_
	LWJGL: 3 2 3 SNAPSHOT_x000D_
	OpenGL: GL4ES wrapper GL version 2 1 gl4es wrapper 1 1 5  ptitSeb_x000D_
	GL Caps: VboRegions not supported  missing: OpenGL 1 3  ARB copy buffer_x000D_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No_x000D_
	Is Modded: Very likely  Jar signature invalidated_x000D_
	Type: Client (map client txt)_x000D_
	Resource Packs: vanilla_x000D_
	Current Language: English (US)_x000D_
	Profiler Position: N A (disabled)_x000D_
	CPU: 9x null_x000D_
	OptiFine Version: OptiFine 1 8 9 HD U L5_x000D_
	OptiFine Build: 20191204 143016_x000D_
	Render Distance Chunks: 4_x000D_
	Mipmaps: 4_x000D_
	Anisotropic Filtering: 1_x000D_
	Antialiasing: 0_x000D_
	Multitexture: false_x000D_
	Shaders: null_x000D_
	OpenGlVersion: 2 1 gl4es wrapper 1 1 5_x000D_
	OpenGlRenderer: GL4ES wrapper_x000D_
	OpenGlVendor: ptitSeb_x000D_
	CpuCount: 6</t>
  </si>
  <si>
    <t>TeamNewPipe-NewPipe-5733</t>
  </si>
  <si>
    <t>Comments no longer showing on any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</si>
  <si>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any video in the app_x000D_
2  Go to the comments tab at the bottom_x000D_
3  Screen will show no comments_x000D_
_x000D_
     If you can t cause the bug to show up again reliably (and hence don t have a proper set of steps to give us)  please still try to give as many details as possible on how you think you encountered the bug     _x000D_
_x000D_
_x000D_
_x000D_
    Actual behaviour_x000D_
Comments section is empty and it just says no comments _x000D_
_x000D_
_x000D_
_x000D_
    Expected behavior_x000D_
Great youtube comments everyone loves reading are supposed to be in this tab_x000D_
_x000D_
_x000D_
    Screenshots Screen recordings_x000D_
  Screenshot 20210302 101958 NewPipe (https:  user images githubusercontent com 72403056 109679841 90f50700 7b41 11eb 83cc dcfb899289ca png)_x000D_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LineageOS 18 1 January 25 Update_x000D_
   Device model: Realme X2 Pro RMX1931_x000D_
</t>
  </si>
  <si>
    <t>AOF-Dev-MCinaBox-999</t>
  </si>
  <si>
    <t xml:space="preserve">Mods Does Not Work For Some Reason </t>
  </si>
  <si>
    <t xml:space="preserve">  Describe the crash  _x000D_
A clear and concise description of what the bug is _x000D_
So i Updated To the latest Version of Mcinabox (v0 1 4 p5 0119)  Then installed Forge 1 12 2 _x000D_
 14 24 5 2847  (The latest version does not work) then loaded Optifine 1 12 2 the latest version  Then started minecraft then like 1 or 2 minutes later  It crashed    _x000D_
  To Reproduce  _x000D_
Steps to reproduce the crash:_x000D_
1  Go to Mcinabox_x000D_
2  Click on  Forge installer _x000D_
3  Install Forge_x000D_
4  Load Optifine_x000D_
5  Go Start the game_x000D_
4  See the crash_x000D_
_x000D_
  Expected behavior  _x000D_
A clear and concise description of what you expected to happen _x000D_
It working_x000D_
  Screenshots  _x000D_
If applicable  add screenshots to help explain your problem _x000D_
Will Add If Needed_x000D_
_x000D_
  Smartphone (please complete the following information):  _x000D_
   Device:  Samsung Galaxy J2 Prime _x000D_
   OS:  e g  Android 6 0 1 _x000D_
   App Version  v0 1 4 p5 0119 _x000D_
   CPU architecture  aarch32   _x000D_
_x000D_
  Additional context  _x000D_
Add any other context about the problem here _x000D_
Here is the log output_x000D_
_x000D_
_x000D_
 15:15:26   main INFO   LaunchWrapper : Loading tweak class name net minecraftforge fml common launcher FMLTweaker_x000D_
 15:15:26   main INFO   LaunchWrapper : Using primary tweak class name net minecraftforge fml common launcher FMLTweaker_x000D_
 15:15:26   main INFO   LaunchWrapper : Calling tweak class net minecraftforge fml common launcher FMLTweaker_x000D_
 15:15:26   main INFO   FML : Forge Mod Loader version 14 23 5 2847 for Minecraft 1 12 2 loading_x000D_
 15:15:26   main INFO   FML : Java is OpenJDK Client VM  version 1 8 0 internal  running on Linux:arm:3 18 19 15222057  installed at  data data com aof mcinabox files runtime boat j2re image_x000D_
 15:15:27   main WARN   FML : The coremod FMLCorePlugin (net minecraftforge fml relauncher FMLCorePlugin) is not signed _x000D_
 15:15:27   main WARN   FML : The coremod FMLForgePlugin (net minecraftforge classloading FMLForgePlugin) is not signed _x000D_
 15:15:27   main INFO   FML : Searching  storage emulated 0 MCinaBox gamedir mods for mods_x000D_
 15:15:27   main INFO   FML : Loading tweaker optifine OptiFineForgeTweaker from OptiFine 1 12 2 HD U G5 jar_x000D_
 15:15:27   main INFO   LaunchWrapper : Loading tweak class name net minecraftforge fml common launcher FMLInjectionAndSortingTweaker_x000D_
 15:15:27   main INFO   LaunchWrapper : Loading tweak class name optifine OptiFineForgeTweaker_x000D_
 15:15:27   main INFO   LaunchWrapper : Loading tweak class name net minecraftforge fml common launcher FMLDeobfTweaker_x000D_
 15:15:27   main INFO   LaunchWrapper : Calling tweak class net minecraftforge fml common launcher FMLInjectionAndSortingTweaker_x000D_
 15:15:27   main INFO   LaunchWrapper : Calling tweak class net minecraftforge fml common launcher FMLInjectionAndSortingTweaker_x000D_
 15:15:27   main INFO   LaunchWrapper : Calling tweak class optifine OptiFineForgeTweaker_x000D_
 15:15:27   main INFO   STDOUT :  optifine OptiFineForgeTweaker:dbg:56 : OptiFineForgeTweaker: acceptOptions_x000D_
 15:15:27   main INFO   STDOUT :  optifine OptiFineForgeTweaker:dbg:56 : OptiFineForgeTweaker: injectIntoClassLoader_x000D_
 15:15:27   main INFO   STDOUT :  optifine OptiFineClassTransformer:dbg:242 : OptiFine ClassTransformer_x000D_
 15:15:27   main INFO   STDOUT :  optifine OptiFineClassTransformer:dbg:242 : OptiFine ZIP file:  storage emulated 0 MCinaBox gamedir mods OptiFine 1 12 2 HD U G5 jar_x000D_
 15:15:27   main INFO   LaunchWrapper : Calling tweak class net minecraftforge fml relauncher CoreModManager FMLPluginWrapper_x000D_
 15:15:40   main INFO   FML : Found valid fingerprint for Minecraft  Certificate fingerprint cd99959656f753dc28d863b46769f7f8fbaefcfc_x000D_
 15:15:40   main ERROR   FML : FML appears to be missing any signature data  This is not a good thing_x000D_
 15:15:40   main INFO   LaunchWrapper : Calling tweak class net minecraftforge fml relauncher CoreModManager FMLPluginWrapper_x000D_
 15:15:40   main INFO   LaunchWrapper : Calling tweak class net minecraftforge fml common launcher FMLDeobfTweaker_x000D_
 15:15:41   main INFO   LaunchWrapper : Loading tweak class name net minecraftforge fml common launcher TerminalTweaker_x000D_
 15:15:41   main INFO   LaunchWrapper : Calling tweak class net minecraftforge fml common launcher TerminalTweaker_x000D_
 15:15:41   main INFO   STDOUT :  optifine OptiFineForgeTweaker:dbg:56 : OptiFineForgeTweaker: getLaunchArguments_x000D_
 15:15:41   main INFO   LaunchWrapper : Launching wrapped minecraft  net minecraft client main Main _x000D_
 15:15:46   Client thread INFO   minecraft Minecraft : Setting user: ZianDaReal_x000D_
 15:16:10   Client thread INFO   net optifine reflect Reflector :  OptiFine      Reflector Forge    _x000D_
 15:16:11   Client thread INFO   net optifine reflect Reflector :  OptiFine      Reflector Vanilla    _x000D_
 15:16:12   Client thread WARN   minecraft GameSettings : Skipping bad option: lastServer:_x000D_
 15:16:12   Client thread INFO   minecraft Minecraft : LWJGL Version: 2 9 3_x000D_
 15:16:14   Client thread INFO   Config :  OptiFine  _x000D_
 15:16:14   Client thread INFO   Config :  OptiFine  OptiFine 1 12 2 HD U G5_x000D_
 15:16:14   Client thread INFO   Config :  OptiFine  Build: 20210124 142939_x000D_
 15:16:14   Client thread INFO   Config :  OptiFine  OS: Linux (arm) version 3 18 19 15222057_x000D_
 15:16:14   Client thread INFO   Config :  OptiFine  Java: 1 8 0 internal  Oracle Corporation_x000D_
 15:16:14   Client thread INFO   Config :  OptiFine  VM: OpenJDK Client VM (mixed mode)  Oracle Corporation_x000D_
 15:16:14   Client thread INFO   Config :  OptiFine  LWJGL: 2 9 3_x000D_
 15:16:14   Client thread INFO   Config :  OptiFine  OpenGL: GL4ES wrapper  version 2 0 gl4es wrapper 1 1 2  ptitSeb_x000D_
 15:16:14   Client thread INFO   Config :  OptiFine  OpenGL Version: 2 0 0_x000D_
 15:16:14   Client thread INFO   Config :  OptiFine  OpenGL Occlussion culling: Not available (GL ARB occlusion query)_x000D_
 15:16:14   Client thread INFO   Config :  OptiFine  Maximum texture size: 8192x8192_x000D_
 15:16:14   VersionCheck INFO   Config :  OptiFine  Checking for new version_x000D_
 15:16:15   Client thread INFO   net optifine shaders SMCLog :  Shaders  OpenGL Version: 2 0 gl4es wrapper 1 1 2_x000D_
 15:16:15   Client thread INFO   net optifine shaders SMCLog :  Shaders  Vendor:  ptitSeb_x000D_
 15:16:15   Client thread INFO   net optifine shaders SMCLog :  Shaders  Renderer: GL4ES wrapper_x000D_
 15:16:15   Client thread INFO   net optifine shaders SMCLog :  Shaders  Capabilities:  2 0             _x000D_
 15:16:15   Client thread INFO   net optifine shaders SMCLog :  Shaders  GL MAX DRAW BUFFERS: 1_x000D_
 15:16:15   Client thread INFO   net optifine shaders SMCLog :  Shaders  GL MAX COLOR ATTACHMENTS EXT: 1_x000D_
 15:16:15   Client thread INFO   net optifine shaders SMCLog :  Shaders  GL MAX TEXTURE IMAGE UNITS: 8_x000D_
 15:16:15   Client thread INFO   net optifine shaders SMCLog :  Shaders  Load shaders configuration _x000D_
 15:16:15   Client thread INFO   net optifine shaders SMCLog :  Shaders  Save shaders configuration _x000D_
 15:16:15   Client thread INFO   net optifine shaders SMCLog :  Shaders  No shaderpack loaded _x000D_
 15:16:15   Client thread INFO   Config :  OptiFine   Shaders  Delayed loading of block mappings after resources are loaded_x000D_
 15:16:15   Client thread INFO   Config :  OptiFine   Shaders  Delayed loading of item mappings after resources are loaded_x000D_
 15:16:15   Client thread INFO   Config :  OptiFine   Shaders  Delayed loading of entity mappings after resources are loaded_x000D_
 15:16:15   Client thread INFO   Config :  OptiFine  VboRegions not supported  missing: OpenGL 1 3  ARB copy buffer_x000D_
 15:16:15   VersionCheck INFO   Config :  OptiFine  Version found: G5_x000D_
 15:16:16   Client thread INFO   FML : Forge Mod Loader has detected optifine OptiFine 1 12 2 HD U G5  enabling compatibility features_x000D_
 15:16:16   Client thread INFO   FML : MinecraftForge v14 23 5 2847 Initialized_x000D_
 15:16:16   Client thread INFO   FML : Starts to replace vanilla recipe ingredients with ore ingredients _x000D_
 15:16:16   Client thread INFO   FML : Invalid recipe found with multiple oredict ingredients in the same ingredient   _x000D_
 15:16:17   Client thread INFO   FML : Replaced 1227 ore ingredients_x000D_
 15:16:18   Client thread INFO   FML : Searching  storage emulated 0 MCinaBox gamedir mods for mods_x000D_
 15:16:22   Client thread INFO   FML : Forge Mod Loader has identified 4 mods to load_x000D_
 15:16:23   Client thread INFO   FML : Attempting connection with missing mods  minecraft  mcp  FML  forge  at CLIENT_x000D_
 15:16:23   Client thread INFO   FML : Attempting connection with missing mods  minecraft  mcp  FML  forge  at SERVER_x000D_
 15:16:26   Client thread INFO   minecraft SimpleReloadableResourceManager : Reloading ResourceManager: Default  FMLFileResourcePack:Forge Mod Loader  FMLFileResourcePack:Minecraft Forge_x000D_
 15:16:26   Client thread INFO   FML : Processing ObjectHolder annotations_x000D_
 15:16:27   Client thread INFO   FML : Found 1169 ObjectHolder annotations_x000D_
 15:16:27   Client thread INFO   FML : Identifying ItemStackHolder annotations_x000D_
 15:16:27   Client thread INFO   FML : Found 0 ItemStackHolder annotations_x000D_
 15:16:27   Client thread INFO   FML : Configured a dormant chunk cache size of 0_x000D_
 15:16:27   Forge Version Check INFO   forge VersionCheck :  forge  Starting version check at http:  files minecraftforge net maven net minecraftforge forge promotions slim json_x000D_
 15:16:27   Client thread INFO   FML : Applying holder lookups_x000D_
 15:16:27   Client thread INFO   FML : Holder lookups applied_x000D_
 15:16:27   Client thread INFO   FML : Applying holder lookups_x000D_
 15:16:27   Client thread INFO   FML : Holder lookups applied_x000D_
 15:16:27   Client thread INFO   FML : Applying holder lookups_x000D_
 15:16:27   Client thread INFO   FML : Holder lookups applied_x000D_
 15:16:27   Client thread INFO   FML : Applying holder lookups_x000D_
 15:16:27   Client thread INFO   FML : Holder lookups applied_x000D_
 15:16:27   Client thread INFO   FML : Injecting itemstacks_x000D_
 15:16:27   Client thread INFO   FML : Itemstack injection complete_x000D_
 15:16:27   Client thread INFO   Config :  OptiFine      Reloading textures    _x000D_
 15:16:28   Client thread INFO   Config :  OptiFine  Resource packs: Default_x000D_
 15:16:28   Forge Version Check INFO   forge VersionCheck :  forge  Found status: OUTDATED Target: 14 23 5 2854_x000D_
 15:16:31   Sound Library Loader INFO   minecraft SoundManager : Starting up SoundSystem   _x000D_
 15:16:31   Thread 3 INFO   minecraft SoundManager : Initializing LWJGL OpenAL_x000D_
 15:16:31   Thread 3 INFO   minecraft SoundManager : (The LWJGL binding of OpenAL   For more information  see http:  www lwjgl org)_x000D_
 15:16:32   Thread 3 INFO   minecraft SoundManager : OpenAL initialized _x000D_
 15:16:32   Sound Library Loader INFO   minecraft SoundManager : Sound engine started_x000D_
 15:16:45   Client thread INFO   Config :  OptiFine  Multitexture: false_x000D_
 15:16:45   Client thread INFO   Config :  OptiFine  ConnectedTextures: mcpatcher ctm default 0 glass white glass pane white properties_x000D_
 15:16:45   Client thread INFO   Config :  OptiFine  ConnectedTextures: mcpatcher ctm default 0 glass white glass white properties_x000D_
 15:16:45   Client thread INFO   Config :  OptiFine  ConnectedTextures: mcpatcher ctm default 10 glass purple glass pane purple properties_x000D_
 15:16:45   Client thread INFO   Config :  OptiFine  ConnectedTextures: mcpatcher ctm default 10 glass purple glass purple properties_x000D_
 15:16:46   Client thread INFO   Config :  OptiFine  ConnectedTextures: mcpatcher ctm default 11 glass blue glass blue properties_x000D_
 15:16:46   Client thread INFO   Config :  OptiFine  ConnectedTextures: mcpatcher ctm default 11 glass blue glass pane blue properties_x000D_
 15:16:46   Client thread INFO   Config :  OptiFine  ConnectedTextures: mcpatcher ctm default 12 glass brown glass brown properties_x000D_
 15:16:46   Client thread INFO   Config :  OptiFine  ConnectedTextures: mcpatcher ctm default 12 glass brown glass pane brown properties_x000D_
 15:16:46   Client thread INFO   Config :  OptiFine  ConnectedTextures: mcpatcher ctm default 13 glass green glass green properties_x000D_
 15:16:46   Client thread INFO   Config :  OptiFine  ConnectedTextures: mcpatcher ctm default 13 glass green glass pane green properties_x000D_
 15:16:46   Client thread INFO   Config :  OptiFine  ConnectedTextures: mcpatcher ctm default 14 glass red glass pane red properties_x000D_
 15:16:46   Client thread INFO   Config :  OptiFine  ConnectedTextures: mcpatcher ctm default 14 glass red glass red properties_x000D_
 15:16:46   Client thread INFO   Config :  OptiFine  ConnectedTextures: mcpatcher ctm default 15 glass black glass black properties_x000D_
 15:16:46   Client thread INFO   Config :  OptiFine  ConnectedTextures: mcpatcher ctm default 15 glass black glass pane black properties_x000D_
 15:16:46   Client thread INFO   Config :  OptiFine  ConnectedTextures: mcpatcher ctm default 1 glass orange glass orange properties_x000D_
 15:16:46   Client thread INFO   Config :  OptiFine  ConnectedTextures: mcpatcher ctm default 1 glass orange glass pane orange properties_x000D_
 15:16:46   Client thread INFO   Config :  OptiFine  ConnectedTextures: mcpatcher ctm default 2 glass magenta glass magenta properties_x000D_
 15:16:46   Client thread INFO   Config :  OptiFine  ConnectedTextures: mcpatcher ctm default 2 glass magenta glass pane magenta properties_x000D_
 15:16:47   Client thread INFO   Config :  OptiFine  ConnectedTextures: mcpatcher ctm default 3 glass light blue glass light blue properties_x000D_
 15:16:47   Client thread INFO   Config :  OptiFine  ConnectedTextures: mcpatcher ctm default 3 glass light blue glass pane light blue properties_x000D_
 15:16:47   Client thread INFO   Config :  OptiFine  ConnectedTextures: mcpatcher ctm default 4 glass yellow glass pane yellow properties_x000D_
 15:16:47   Client thread INFO   Config :  OptiFine  ConnectedTextures: mcpatcher ctm default 4 glass yellow glass yellow properties_x000D_
 15:16:47   Client thread INFO   Config :  OptiFine  ConnectedTextures: mcpatcher ctm default 5 glass lime glass lime properties_x000D_
 15:16:47   Client thread INFO   Config :  OptiFine  ConnectedTextures: mcpatcher ctm default 5 glass lime glass pane lime properties_x000D_
 15:16:47   Client thread INFO   Config :  OptiFine  ConnectedTextures: mcpatcher ctm default 6 glass pink glass pane pink properties_x000D_
 15:16:47   Client thread INFO   Config :  OptiFine  ConnectedTextures: mcpatcher ctm default 6 glass pink glass pink properties_x000D_
 15:16:47   Client thread INFO   Config :  OptiFine  ConnectedTextures: mcpatcher ctm default 7 glass gray glass gray properties_x000D_
 15:16:47   Client thread INFO   Config :  OptiFine  ConnectedTextures: mcpatcher ctm default 7 glass gray glass pane gray properties_x000D_
 15:16:47   Client thread INFO   Config :  OptiFine  ConnectedTextures: mcpatcher ctm default 8 glass silver glass pane silver properties_x000D_
 15:16:47   Client thread INFO   Config :  OptiFine  ConnectedTextures: mcpatcher ctm default 8 glass silver glass silver properties_x000D_
 15:16:47   Client thread INFO   Config :  OptiFine  ConnectedTextures: mcpatcher ctm default 9 glass cyan glass cyan properties_x000D_
 15:16:47   Client thread INFO   Config :  OptiFine  ConnectedTextures: mcpatcher ctm default 9 glass cyan glass pane cyan properties_x000D_
 15:16:48   Client thread INFO   Config :  OptiFine  ConnectedTextures: mcpatcher ctm default bookshelf properties_x000D_
</t>
  </si>
  <si>
    <t>morenoh149-react-native-contacts-596</t>
  </si>
  <si>
    <t>Crash on Android when loading contacts</t>
  </si>
  <si>
    <t>Couldn t read row 900  col 1 from CursorWindow  Make sure the Cursor is initialized correctly before accessing data from it _x000D_
com rt2zz reactnativecontacts ContactsProvider loadContactsFrom_x000D_
_x000D_
Device Info:_x000D_
   Brand: Xiaomi_x000D_
   Model: Mi A1_x000D_
Operating System_x000D_
  Version: 9_x000D_
Rooted: No_x000D_
_x000D_
react native: 0 62 2_x000D_
react native contacts: 6 0 4_x000D_
_x000D_
I faced with this crash   i couldn t find any solution or wrong usage of library _x000D_
_x000D_
thanks in advance</t>
  </si>
  <si>
    <t>PojavLauncherTeam-PojavLauncher-995</t>
  </si>
  <si>
    <t xml:space="preserve">[Mod not working] The mod works on MCinabox but crashes on Pojav. </t>
  </si>
  <si>
    <t xml:space="preserve"> details  
The mod in question is SanLib  It is a dependency of Claysoldiers mod by SanAndreasP on forge  The main error the crash log shows is  net minecraftforge fml common LoaderExceptionModCrash: Caught exception from SanAndreasPs Mod Library (sanlib)
Caused by: java lang NoSuchMethodError: org lwjgl opengl Display getTitle()Ljava lang String    It does work on MCinabox 
 summary  b Mod not working because of missing method   b   summary 
  details 
    Describe the bug
Not much that I understand but I think its because of methods of java apps( ) or maybe java opengl( ) that aren t in the Pojav Java Runtime  
    To Reproduce:
Indicate steps to reproduce the buggy behavior:
1  Make sure Claysoldiers mod and it dependencies are in mod folder 
2  Start PojavLauncher 
3  Wait for black screen 
4  App crashes and sends user to previous screen (app drawer or home screen)
    Expected behavior:
I expected it to work fine since its working on pc and on MCinabox 
    Screenshots or videos:
 Upload here screenshots or videos of the buggy behavior  if possible  
  Platform:  
   Device Model  e g  Mi 8 Pro 8 128 
   CPU architecture  e g  aarch64  
   Android Version  e g  10 
   PojavLauncher Version  e g Latest Release    version 3 3 1 1 rel 20210206  
  ()https:  drive google com file d 13My7i3f4eF8pvcAFUSuRzCTLAtUDEDD  view usp drivesdk 
Sorry I don t know how to upload the crash log on github mobile so this is a link to the crash file  </t>
  </si>
  <si>
    <t>doublesymmetry-react-native-track-player-1126</t>
  </si>
  <si>
    <t>Activity relaunches the app after killed</t>
  </si>
  <si>
    <t xml:space="preserve">  Describe the bug  _x000D_
When I kill the app (except for when using back button)  the app relaunches itself and crashes _x000D_
_x000D_
I see this in logs:_x000D_
 ActivityManager: Start proc 23076: name  u0a222 for service  name  com guichaguri trackplayer service MusicService_x000D_
_x000D_
  To Reproduce  _x000D_
Steps to reproduce the behavior:_x000D_
_x000D_
Launch on Android  swipe to kill app _x000D_
_x000D_
  Environment (please complete the following information):  _x000D_
Run  react native info  in your project and share the content  _x000D_
info Fetching system and libraries information   _x000D_
System:_x000D_
    OS: macOS 10 15 7_x000D_
    CPU: (12) x64 Intel(R) Core(TM) i7 9750H CPU   2 60GHz_x000D_
    Memory: 1 43 GB   16 00 GB_x000D_
    Shell: 5 7 1    bin zsh_x000D_
  Binaries:_x000D_
    Node: 12 18 3      nvm versions node v12 18 3 bin node_x000D_
    Yarn: 1 22 10    usr local bin yarn_x000D_
    npm: 6 14 6      nvm versions node v12 18 3 bin npm_x000D_
    Watchman: 4 9 0    usr local bin watchman_x000D_
  SDKs:_x000D_
    iOS SDK:_x000D_
      Platforms: iOS 14 3  DriverKit 20 2  macOS 11 1  tvOS 14 3  watchOS 7 2_x000D_
    Android SDK:_x000D_
      API Levels: 23  26  27  28  29_x000D_
      Build Tools: 27 0 3  28 0 3  29 0 0  29 0 2_x000D_
      System Images: android 30   Google Play Intel x86 Atom_x000D_
      Android NDK: 17 2 4988734_x000D_
  IDEs:_x000D_
    Android Studio: 4 1 AI 201 8743 12 41 6858069_x000D_
    Xcode: 12 3 12C33    usr bin xcodebuild_x000D_
  npmPackages:_x000D_
    react: 16 9 0    16 9 0 _x000D_
    react native: 0 61 4    0 61 4_x000D_
_x000D_
What  react native track player  version are you using  2 0 0 rc13_x000D_
Are you testing on a real device or in the simulator  Which OS version are you running _x000D_
Real device_x000D_
_x000D_
  Code  _x000D_
Please  share the code that is causing the issue_x000D_
</t>
  </si>
  <si>
    <t>ElderDrivers-EdXposed-844</t>
  </si>
  <si>
    <t>[BUG] edXposed thinks it's not installed properly but it is working.</t>
  </si>
  <si>
    <t xml:space="preserve">       What happened   _x000D_
_x000D_
I upgraded to Magisk 22 and also got recent edXposed and things stopped working properly  Opening edXposed welcomes me with this:_x000D_
_x000D_
  Screenshot 20210301 204749 (https:  user images githubusercontent com 8041294 109554341 61f47c00 7ad4 11eb 8300 3630d9d54978 jpg)_x000D_
_x000D_
However modules do work  Still  checking logs indicates some problems:_x000D_
_x000D_
   _x000D_
          beginning of head_x000D_
EdXposed Log_x000D_
Powered by Log Catcher_x000D_
QQ support group: 855219808_x000D_
Telegram support group:  Code Of MeowCat_x000D_
Telegram channel:  EdXposed_x000D_
          beginning of information_x000D_
Manufacturer: OnePlus_x000D_
Brand:_x000D_
Device: OnePlus7Pro_x000D_
Product: OnePlus7Pro_x000D_
Model: GM1913_x000D_
Fingerprint:_x000D_
ROM description: OnePlus7Pro user 10 QKQ1 190716 003 2007240000 release keys_x000D_
Architecture:_x000D_
Android build: QKQ1 190716 003_x000D_
Android version: 10_x000D_
Android sdk: 29_x000D_
EdXposed version: v0 4 6 2 (4529) (SandHook)_x000D_
EdXposed api: 91 0_x000D_
Riru version:  ()_x000D_
Riru api:_x000D_
Magisk: 22 0 (22000)_x000D_
          beginning of main_x000D_
          beginning of system_x000D_
          beginning of crash_x000D_
   _x000D_
_x000D_
note missing Riru version and Api _x000D_
_x000D_
Magisk:_x000D_
_x000D_
  Screenshot 20210301 071347 (https:  user images githubusercontent com 8041294 109554565 aed85280 7ad4 11eb 8170 41491a077c3d jpg)_x000D_
_x000D_
_x000D_
       Versions  _x000D_
_x000D_
Android: 10_x000D_
Magisk: 22_x000D_
Riru: 23 6_x000D_
EdXposed: 0 5 2 2 4683 master_x000D_
_x000D_
I am aware of bug  828 and others  Tried all described there with no luck </t>
  </si>
  <si>
    <t>nextcloud-android-8088</t>
  </si>
  <si>
    <t>Crash deleting share</t>
  </si>
  <si>
    <t xml:space="preserve">    Steps to reproduce_x000D_
1  Open App_x000D_
2  Go to folder which contains a folder which is shared by a link_x000D_
3  Click on the chain icon _x000D_
4  Klick on     Icon_x000D_
5  Delete share_x000D_
6  CRASH_x000D_
_x000D_
    Expected behaviour_x000D_
  Tell us what should happen_x000D_
Share should be deleted_x000D_
_x000D_
    Actual behaviour_x000D_
  crash_x000D_
_x000D_
_x000D_
    Environment data_x000D_
             CAUSE OF ERROR             _x000D_
_x000D_
java lang RuntimeException: Accessing result data after operation failed _x000D_
	at com owncloud android lib common operations RemoteOperationResult getData(RemoteOperationResult java:486)_x000D_
	at com owncloud android utils ErrorMessageAdapter getMessageForUnshareOperation(ErrorMessageAdapter java:220)_x000D_
	at com owncloud android utils ErrorMessageAdapter getMessageForResultAndOperation(ErrorMessageAdapter java:147)_x000D_
	at com owncloud android utils ErrorMessageAdapter getErrorCauseMessage(ErrorMessageAdapter java:79)_x000D_
	at com owncloud android ui activity FileActivity onRemoteOperationFinish(FileActivity java:380)_x000D_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java:914)_x000D_
	at android os Handler dispatchMessage(Handler java:100)_x000D_
	at android os Looper loop(Looper java:224)_x000D_
	at android app ActivityThread main(ActivityThread java:7560)_x000D_
	at java lang reflect Method invoke(Native Method)_x000D_
	at com android internal os RuntimeInit MethodAndArgsCaller run(RuntimeInit java:539)_x000D_
	at com android internal os ZygoteInit main(ZygoteInit java:950)_x000D_
_x000D_
             APP INFORMATION             _x000D_
ID: com nextcloud client_x000D_
Version: 30150090_x000D_
Build flavor: gplay_x000D_
_x000D_
             DEVICE INFORMATION             _x000D_
Brand: Xiaomi_x000D_
Device: cepheus_x000D_
Model: MI 9_x000D_
Id: QKQ1 190825 002_x000D_
Product: cepheus_x000D_
_x000D_
             FIRMWARE             _x000D_
SDK: 29_x000D_
Release: 10_x000D_
Incremental: V12 0 4 0 QFAMIXM_x000D_
</t>
  </si>
  <si>
    <t>ZogopZ-to-do-73</t>
  </si>
  <si>
    <t>Rework edit clock instance button.</t>
  </si>
  <si>
    <t xml:space="preserve">   x  The add button should be disabled while the user edits a clock instance  This results to a crash of the application because it tries reordering to do instances with empty clock instances </t>
  </si>
  <si>
    <t>AOF-Dev-MCinaBox-993</t>
  </si>
  <si>
    <t>Forge Does Not Work</t>
  </si>
  <si>
    <t xml:space="preserve">  Describe the crash  _x000D_
A clear and concise description of what the bug is _x000D_
I Installed the  last  Version of Mcinabox  So i did every step  And started Forge 1 12 2  Then when the Mojang Screen Pop up It Crashed  _x000D_
  To Reproduce  _x000D_
Steps to reproduce the crash:_x000D_
1  Go to Mcinabox_x000D_
2  Click on Start game   Make sure 1 12 2 forge is Selected  _x000D_
4  See the crash_x000D_
_x000D_
  Expected behavior  _x000D_
A clear and concise description of what you expected to happen _x000D_
Forge Working_x000D_
  Screenshots  _x000D_
If applicable  add screenshots to help explain your problem _x000D_
N A Will Add If Needed_x000D_
  Smartphone (please complete the following information):  _x000D_
   Device:  Samsung Galaxy J2 Prime _x000D_
   OS:  Android 6 0 1 _x000D_
   App Version  v0 1 4 p5 0119 _x000D_
   CPU architecture  aarch32   _x000D_
_x000D_
  Additional context  _x000D_
Add any other context about the problem here _x000D_
Here is the latest log Goodluck Reading this_x000D_
_x000D_
 15:05:45   main INFO   LaunchWrapper : Loading tweak class name net minecraftforge fml common launcher FMLTweaker_x000D_
 15:05:45   main INFO   LaunchWrapper : Using primary tweak class name net minecraftforge fml common launcher FMLTweaker_x000D_
 15:05:45   main INFO   LaunchWrapper : Calling tweak class net minecraftforge fml common launcher FMLTweaker_x000D_
 15:05:45   main INFO   FML : Forge Mod Loader version 14 23 5 2847 for Minecraft 1 12 2 loading_x000D_
 15:05:45   main INFO   FML : Java is OpenJDK Client VM  version 1 8 0 internal  running on Linux:arm:3 18 19 15222057  installed at  data data com aof mcinabox files runtime boat j2re image_x000D_
 15:05:46   main WARN   FML : The coremod FMLCorePlugin (net minecraftforge fml relauncher FMLCorePlugin) is not signed _x000D_
 15:05:46   main WARN   FML : The coremod FMLForgePlugin (net minecraftforge classloading FMLForgePlugin) is not signed _x000D_
 15:05:46   main INFO   FML : Searching  storage emulated 0 MCinaBox gamedir mods for mods_x000D_
 15:05:46   main INFO   FML : Loading tweaker org spongepowered asm launch MixinTweaker from baritone standalone forge 1 2 13 jar_x000D_
 15:05:46   main WARN   FML : The coremod ObfuscatePlugin (com mrcrayfish obfuscate asm ObfuscatePlugin) is not signed _x000D_
 15:05:46   main INFO   FML : Loading tweaker optifine OptiFineForgeTweaker from OptiFine 1 12 2 HD U G5 jar_x000D_
 15:05:46   main INFO   LaunchWrapper : Loading tweak class name net minecraftforge fml common launcher FMLInjectionAndSortingTweaker_x000D_
 15:05:46   main INFO   LaunchWrapper : Loading tweak class name org spongepowered asm launch MixinTweaker_x000D_
 15:05:46   main INFO   mixin : SpongePowered MIXIN Subsystem Version 0 7 11 Source file: storage emulated 0 MCinaBox gamedir mods baritone standalone forge 1 2 13 jar Service LaunchWrapper Env CLIENT_x000D_
 15:05:47   main INFO   LaunchWrapper : Loading tweak class name optifine OptiFineForgeTweaker_x000D_
 15:05:47   main INFO   LaunchWrapper : Loading tweak class name net minecraftforge fml common launcher FMLDeobfTweaker_x000D_
 15:05:47   main INFO   LaunchWrapper : Calling tweak class net minecraftforge fml common launcher FMLInjectionAndSortingTweaker_x000D_
 15:05:47   main INFO   LaunchWrapper : Calling tweak class net minecraftforge fml common launcher FMLInjectionAndSortingTweaker_x000D_
 15:05:47   main INFO   LaunchWrapper : Calling tweak class optifine OptiFineForgeTweaker_x000D_
 15:05:47   main INFO   STDOUT :  optifine OptiFineForgeTweaker:dbg:56 : OptiFineForgeTweaker: acceptOptions_x000D_
 15:05:47   main INFO   STDOUT :  optifine OptiFineForgeTweaker:dbg:56 : OptiFineForgeTweaker: injectIntoClassLoader_x000D_
 15:05:47   main INFO   STDOUT :  optifine OptiFineClassTransformer:dbg:242 : OptiFine ClassTransformer_x000D_
 15:05:47   main INFO   STDOUT :  optifine OptiFineClassTransformer:dbg:242 : OptiFine ZIP file:  storage emulated 0 MCinaBox gamedir mods OptiFine 1 12 2 HD U G5 jar_x000D_
 15:05:47   main INFO   LaunchWrapper : Calling tweak class net minecraftforge fml relauncher CoreModManager FMLPluginWrapper_x000D_
 15:06:00   main INFO   FML : Found valid fingerprint for Minecraft  Certificate fingerprint cd99959656f753dc28d863b46769f7f8fbaefcfc_x000D_
 15:06:00   main ERROR   FML : FML appears to be missing any signature data  This is not a good thing_x000D_
 15:06:00   main INFO   LaunchWrapper : Calling tweak class net minecraftforge fml relauncher CoreModManager FMLPluginWrapper_x000D_
 15:06:00   main INFO   LaunchWrapper : Calling tweak class org spongepowered asm launch MixinTweaker_x000D_
 15:06:00   main INFO   mixin : Compatibility level set to JAVA 8_x000D_
 15:06:00   main ERROR   mixin : Mixin config mixins baritone json does not specify  minVersion  property_x000D_
 15:06:00   main INFO   mixin : Initialised Mixin FML Remapper Adapter with net minecraftforge fml common asm transformers deobf FMLDeobfuscatingRemapper 167e53d_x000D_
 15:06:00   main INFO   LaunchWrapper : Calling tweak class net minecraftforge fml common launcher FMLDeobfTweaker_x000D_
 15:06:02   main INFO   LaunchWrapper : Calling tweak class net minecraftforge fml relauncher CoreModManager FMLPluginWrapper_x000D_
 15:06:02   main INFO   LaunchWrapper : Loading tweak class name net minecraftforge fml common launcher TerminalTweaker_x000D_
 15:06:02   main INFO   LaunchWrapper : Loading tweak class name org spongepowered asm mixin EnvironmentStateTweaker_x000D_
 15:06:02   main INFO   LaunchWrapper : Calling tweak class net minecraftforge fml common launcher TerminalTweaker_x000D_
 15:06:02   main INFO   LaunchWrapper : Calling tweak class org spongepowered asm mixin EnvironmentStateTweaker_x000D_
 15:06:02   main INFO   STDOUT :  optifine OptiFineForgeTweaker:dbg:56 : OptiFineForgeTweaker: getLaunchArguments_x000D_
 15:06:05   main WARN   mixin :  Mixin target net minecraft block state BlockStateContainer StateImplementation is public in mixins baritone json:MixinStateImplementation and should be specified in value_x000D_
 15:06:05   main INFO   LaunchWrapper : Launching wrapped minecraft  net minecraft client main Main _x000D_
 15:06:10   Client thread INFO   minecraft Minecraft : Setting user: ZianDaReal_x000D_
 15:06:36   Client thread INFO   net optifine reflect Reflector :  OptiFine      Reflector Forge    _x000D_
 15:06:37   Client thread INFO   net optifine reflect Reflector :  OptiFine      Reflector Vanilla    _x000D_
 15:06:38   Client thread WARN   minecraft GameSettings : Skipping bad option: lastServer:_x000D_
 15:06:38   Client thread INFO   minecraft Minecraft : LWJGL Version: 2 9 3_x000D_
 15:06:39   Client thread INFO   Config :  OptiFine  _x000D_
 15:06:39   Client thread INFO   Config :  OptiFine  OptiFine 1 12 2 HD U G5_x000D_
 15:06:39   Client thread INFO   Config :  OptiFine  Build: 20210124 142939_x000D_
 15:06:39   Client thread INFO   Config :  OptiFine  OS: Linux (arm) version 3 18 19 15222057_x000D_
 15:06:39   Client thread INFO   Config :  OptiFine  Java: 1 8 0 internal  Oracle Corporation_x000D_
 15:06:39   Client thread INFO   Config :  OptiFine  VM: OpenJDK Client VM (mixed mode)  Oracle Corporation_x000D_
 15:06:39   Client thread INFO   Config :  OptiFine  LWJGL: 2 9 3_x000D_
 15:06:39   Client thread INFO   Config :  OptiFine  OpenGL: GL4ES wrapper  version 2 0 gl4es wrapper 1 1 2  ptitSeb_x000D_
 15:06:39   Client thread INFO   Config :  OptiFine  OpenGL Version: 2 0 0_x000D_
 15:06:39   Client thread INFO   Config :  OptiFine  OpenGL Occlussion culling: Not available (GL ARB occlusion query)_x000D_
 15:06:40   Client thread INFO   Config :  OptiFine  Maximum texture size: 8192x8192_x000D_
 15:06:40   VersionCheck INFO   Config :  OptiFine  Checking for new version_x000D_
 15:06:40   Client thread INFO   net optifine shaders SMCLog :  Shaders  OpenGL Version: 2 0 gl4es wrapper 1 1 2_x000D_
 15:06:40   Client thread INFO   net optifine shaders SMCLog :  Shaders  Vendor:  ptitSeb_x000D_
 15:06:40   Client thread INFO   net optifine shaders SMCLog :  Shaders  Renderer: GL4ES wrapper_x000D_
 15:06:40   Client thread INFO   net optifine shaders SMCLog :  Shaders  Capabilities:  2 0             _x000D_
 15:06:40   Client thread INFO   net optifine shaders SMCLog :  Shaders  GL MAX DRAW BUFFERS: 1_x000D_
 15:06:40   Client thread INFO   net optifine shaders SMCLog :  Shaders  GL MAX COLOR ATTACHMENTS EXT: 1_x000D_
 15:06:40   Client thread INFO   net optifine shaders SMCLog :  Shaders  GL MAX TEXTURE IMAGE UNITS: 8_x000D_
 15:06:40   Client thread INFO   net optifine shaders SMCLog :  Shaders  Load shaders configuration _x000D_
 15:06:40   Client thread INFO   net optifine shaders SMCLog :  Shaders  Save shaders configuration _x000D_
 15:06:40   Client thread INFO   net optifine shaders SMCLog :  Shaders  No shaderpack loaded _x000D_
 15:06:41   VersionCheck INFO   Config :  OptiFine  Version found: G5_x000D_
 15:06:41   Client thread INFO   Config :  OptiFine   Shaders  Delayed loading of block mappings after resources are loaded_x000D_
 15:06:41   Client thread INFO   Config :  OptiFine   Shaders  Delayed loading of item mappings after resources are loaded_x000D_
 15:06:41   Client thread INFO   Config :  OptiFine   Shaders  Delayed loading of entity mappings after resources are loaded_x000D_
 15:06:41   Client thread INFO   Config :  OptiFine  VboRegions not supported  missing: OpenGL 1 3  ARB copy buffer_x000D_
 15:06:41   Client thread INFO   FML : Forge Mod Loader has detected optifine OptiFine 1 12 2 HD U G5  enabling compatibility features_x000D_
 15:06:41   Client thread INFO   FML : MinecraftForge v14 23 5 2847 Initialized_x000D_
 15:06:42   Client thread INFO   FML : Starts to replace vanilla recipe ingredients with ore ingredients _x000D_
 15:06:42   Client thread INFO   FML : Invalid recipe found with multiple oredict ingredients in the same ingredient   _x000D_
 15:06:43   Client thread INFO   FML : Replaced 1227 ore ingredients_x000D_
 15:06:44   Client thread INFO   FML : Searching  storage emulated 0 MCinaBox gamedir mods for mods_x000D_
 15:06:50   Client thread INFO   FML : Forge Mod Loader has identified 6 mods to load_x000D_
 15:06:51   Client thread INFO   FML : Attempting connection with missing mods  minecraft  mcp  FML  forge  obfuscate  cgm  at CLIENT_x000D_
 15:06:51   Client thread INFO   FML : Attempting connection with missing mods  minecraft  mcp  FML  forge  obfuscate  cgm  at SERVER_x000D_
 15:06:54   Client thread INFO   minecraft SimpleReloadableResourceManager : Reloading ResourceManager: Default  FMLFileResourcePack:Forge Mod Loader  FMLFileResourcePack:Minecraft Forge  FMLFileResourcePack:MrCrayfish s Gun Mod_x000D_
 15:06:54   Client thread INFO   Obfuscate : Applying ASM to RenderItem_x000D_
 15:06:54   Client thread INFO   Obfuscate : Successfully patched RenderItem_x000D_
 15:06:55   Client thread INFO   FML : Processing ObjectHolder annotations_x000D_
 15:06:55   Client thread INFO   FML : Found 1169 ObjectHolder annotations_x000D_
 15:06:55   Client thread INFO   FML : Identifying ItemStackHolder annotations_x000D_
 15:06:55   Client thread INFO   FML : Found 0 ItemStackHolder annotations_x000D_
 15:06:56   Client thread INFO   FML : Configured a dormant chunk cache size of 0_x000D_
 15:06:56   Forge Version Check INFO   forge VersionCheck :  forge  Starting version check at http:  files minecraftforge net maven net minecraftforge forge promotions slim json_x000D_
 15:06:57   Client thread INFO   FML : Applying holder lookups_x000D_
 15:06:57   Client thread INFO   FML : Holder lookups applied_x000D_
 15:06:57   Client thread INFO   FML : Applying holder lookups_x000D_
 15:06:57   Client thread INFO   FML : Holder lookups applied_x000D_
 15:06:57   Client thread INFO   FML : Applying holder lookups_x000D_
 15:06:57   Client thread INFO   FML : Holder lookups applied_x000D_
 15:06:57   Forge Version Check INFO   forge VersionCheck :  forge  Found status: OUTDATED Target: 14 23 5 2854_x000D_
 15:06:57   Client thread INFO   FML : Applying holder lookups_x000D_
 15:06:57   Client thread INFO   FML : Holder lookups applied_x000D_
 15:06:57   Client thread INFO   FML : Injecting itemstacks_x000D_
 15:06:57   Client thread INFO   FML : Itemstack injection complete_x000D_
 15:06:57   Client thread INFO   Config :  OptiFine      Reloading textures    _x000D_
 15:06:58   Client thread INFO   Config :  OptiFine  Resource packs: Default_x000D_
 15:07:01   Client thread WARN   minecraft SoundManager : Missing sound for event: cgm:silenced fire_x000D_
 15:07:01   Sound Library Loader INFO   minecraft SoundManager : Starting up SoundSystem   _x000D_
 15:07:02   Thread 3 INFO   minecraft SoundManager : Initializing LWJGL OpenAL_x000D_
 15:07:02   Thread 3 INFO   minecraft SoundManager : (The LWJGL binding of OpenAL   For more information  see http:  www lwjgl org)_x000D_
 15:07:02   Thread 3 INFO   minecraft SoundManager : OpenAL initialized _x000D_
 15:07:02   Sound Library Loader INFO   minecraft SoundManager : Sound engine started_x000D_
 15:07:17   Client thread INFO   Config :  OptiFine  Multitexture: false_x000D_
 15:07:17   Client thread INFO   Config :  OptiFine  ConnectedTextures: mcpatcher ctm default 0 glass white glass pane white properties_x000D_
 15:07:18   Client thread INFO   Config :  OptiFine  ConnectedTextures: mcpatcher ctm default 0 glass white glass white properties_x000D_
 15:07:18   Client thread INFO   Config :  OptiFine  ConnectedTextures: mcpatcher ctm default 10 glass purple glass pane purple properties_x000D_
 15:07:18   Client thread INFO   Config :  OptiFine  ConnectedTextures: mcpatcher ctm default 10 glass purple glass purple properties_x000D_
 15:07:18   Client thread INFO   Config :  OptiFine  ConnectedTextures: mcpatcher ctm default 11 glass blue glass blue properties_x000D_
 15:07:18   Client thread INFO   Config :  OptiFine  ConnectedTextures: mcpatcher ctm default 11 glass blue glass pane blue properties_x000D_
 15:07:18   Client thread INFO   Config :  OptiFine  ConnectedTextures: mcpatcher ctm default 12 glass brown glass brown properties_x000D_
 15:07:18   Client thread INFO   Config :  OptiFine  ConnectedTextures: mcpatcher ctm default 12 glass brown glass pane brown properties_x000D_
 15:07:18   Client thread INFO   Config :  OptiFine  ConnectedTextures: mcpatcher ctm default 13 glass green glass green properties_x000D_
 15:07:18   Client thread INFO   Config :  OptiFine  ConnectedTextures: mcpatcher ctm default 13 glass green glass pane green properties_x000D_
 15:07:18   Client thread INFO   Config :  OptiFine  ConnectedTextures: mcpatcher ctm default 14 glass red glass pane red properties_x000D_
 15:07:18   Client thread INFO   Config :  OptiFine  ConnectedTextures: mcpatcher ctm default 14 glass red glass red properties_x000D_
 15:07:18   Client thread INFO   Config :  OptiFine  ConnectedTextures: mcpatcher ctm default 15 glass black glass black properties_x000D_
 15:07:19   Client thread INFO   Config :  OptiFine  ConnectedTextures: mcpatcher ctm default 15 glass black glass pane black properties_x000D_
 15:07:19   Client thread INFO   Config :  OptiFine  ConnectedTextures: mcpatcher ctm default 1 glass orange glass orange properties_x000D_
 15:07:19   Client thread INFO   Config :  OptiFine  ConnectedTextures: mcpatcher ctm default 1 glass orange glass pane orange properties_x000D_
 15:07:19   Client thread INFO   Config :  OptiFine  ConnectedTextures: mcpatcher ctm default 2 glass magenta glass magenta properties_x000D_
 15:07:19   Client thread INFO   Config :  OptiFine  ConnectedTextures: mcpatcher ctm default 2 glass magenta glass pane magenta properties_x000D_
</t>
  </si>
  <si>
    <t>cgeo-cgeo-10093</t>
  </si>
  <si>
    <t>Crash after renaming theme file</t>
  </si>
  <si>
    <t xml:space="preserve">While testing theme sync yesterday I had several crashes with 2021 02 28 NB _x000D_
_x000D_
Sadly I cannot really reproduce it up to now _x000D_
What I potentially did before this happened was:_x000D_
  Debug mode active_x000D_
  End c:geo_x000D_
  Rename some theme folder and or theme file_x000D_
  Start c:geo_x000D_
  Open live map_x000D_
  Open theme selection menu_x000D_
_x000D_
Not sure whether it crashed on startup  on live map or only when opening the theme selection _x000D_
_x000D_
This is the log I exported yesterday:_x000D_
   _x000D_
02 28 23:18:51 730 17335 17335 E AndroidRuntime: FATAL EXCEPTION: main_x000D_
02 28 23:18:51 730 17335 17335 E AndroidRuntime: Process: cgeo geocaching  PID: 17335_x000D_
02 28 23:18:51 730 17335 17335 E AndroidRuntime: java lang NullPointerException: Attempt to read from field  android net Uri cgeo geocaching storage ContentStorage FileInformation uri  on a null object reference_x000D_
02 28 23:18:51 730 17335 17335 E AndroidRuntime: 	at cgeo geocaching maps mapsforge v6 RenderThemeHelper getThemeFor(RenderThemeHelper java:183)_x000D_
02 28 23:18:51 730 17335 17335 E AndroidRuntime: 	at cgeo geocaching maps mapsforge v6 RenderThemeHelper reapplyMapTheme(RenderThemeHelper java:134)_x000D_
02 28 23:18:51 730 17335 17335 E AndroidRuntime: 	at cgeo geocaching maps mapsforge v6 NewMap switchTileLayer(NewMap java:642)_x000D_
02 28 23:18:51 730 17335 17335 E AndroidRuntime: 	at cgeo geocaching maps mapsforge v6 NewMap initializeLayers(NewMap java:714)_x000D_
02 28 23:18:51 730 17335 17335 E AndroidRuntime: 	at cgeo geocaching maps mapsforge v6 NewMap onStart(NewMap java:709)_x000D_
02 28 23:18:51 730 17335 17335 E AndroidRuntime: 	at android app Instrumentation callActivityOnStart(Instrumentation java:1435)_x000D_
02 28 23:18:51 730 17335 17335 E AndroidRuntime: 	at android app Activity performStart(Activity java:8222)_x000D_
02 28 23:18:51 730 17335 17335 E AndroidRuntime: 	at android app ActivityThread handleStartActivity(ActivityThread java:3818)_x000D_
02 28 23:18:51 730 17335 17335 E AndroidRuntime: 	at android app servertransaction TransactionExecutor performLifecycleSequence(TransactionExecutor java:221)_x000D_
02 28 23:18:51 730 17335 17335 E AndroidRuntime: 	at android app servertransaction TransactionExecutor cycleToPath(TransactionExecutor java:201)_x000D_
02 28 23:18:51 730 17335 17335 E AndroidRuntime: 	at android app servertransaction TransactionExecutor executeLifecycleState(TransactionExecutor java:173)_x000D_
02 28 23:18:51 730 17335 17335 E AndroidRuntime: 	at android app servertransaction TransactionExecutor execute(TransactionExecutor java:97)_x000D_
02 28 23:18:51 730 17335 17335 E AndroidRuntime: 	at android app ActivityThread H handleMessage(ActivityThread java:2307)_x000D_
02 28 23:18:51 730 17335 17335 E AndroidRuntime: 	at android os Handler dispatchMessage(Handler java:106)_x000D_
02 28 23:18:51 730 17335 17335 E AndroidRuntime: 	at android os Looper loop(Looper java:246)_x000D_
02 28 23:18:51 730 17335 17335 E AndroidRuntime: 	at android app ActivityThread main(ActivityThread java:8506)_x000D_
02 28 23:18:51 730 17335 17335 E AndroidRuntime: 	at java lang reflect Method invoke(Native Method)_x000D_
02 28 23:18:51 730 17335 17335 E AndroidRuntime: 	at com android internal os RuntimeInit MethodAndArgsCaller run(RuntimeInit java:602)_x000D_
02 28 23:18:51 730 17335 17335 E AndroidRuntime: 	at com android internal os ZygoteInit main(ZygoteInit java:1130)_x000D_
02 28 23:18:51 730 17335 17335 W cgeo    :  main  UncaughtException_x000D_
02 28 23:18:51 730 17335 17335 W cgeo    : java lang NullPointerException: Attempt to read from field  android net Uri cgeo geocaching storage ContentStorage FileInformation uri  on a null object reference_x000D_
02 28 23:18:51 730 17335 17335 W cgeo    : 	at cgeo geocaching maps mapsforge v6 RenderThemeHelper getThemeFor(RenderThemeHelper java:183)_x000D_
02 28 23:18:51 730 17335 17335 W cgeo    : 	at cgeo geocaching maps mapsforge v6 RenderThemeHelper reapplyMapTheme(RenderThemeHelper java:134)_x000D_
02 28 23:18:51 730 17335 17335 W cgeo    : 	at cgeo geocaching maps mapsforge v6 NewMap switchTileLayer(NewMap java:642)_x000D_
02 28 23:18:51 730 17335 17335 W cgeo    : 	at cgeo geocaching maps mapsforge v6 NewMap initializeLayers(NewMap java:714)_x000D_
02 28 23:18:51 730 17335 17335 W cgeo    : 	at cgeo geocaching maps mapsforge v6 NewMap onStart(NewMap java:709)_x000D_
02 28 23:18:51 730 17335 17335 W cgeo    : 	at android app Instrumentation callActivityOnStart(Instrumentation java:1435)_x000D_
02 28 23:18:51 730 17335 17335 W cgeo    : 	at android app Activity performStart(Activity java:8222)_x000D_
02 28 23:18:51 730 17335 17335 W cgeo    : 	at android app ActivityThread handleStartActivity(ActivityThread java:3818)_x000D_
02 28 23:18:51 730 17335 17335 W cgeo    : 	at android app servertransaction TransactionExecutor performLifecycleSequence(TransactionExecutor java:221)_x000D_
02 28 23:18:51 730 17335 17335 W cgeo    : 	at android app servertransaction TransactionExecutor cycleToPath(TransactionExecutor java:201)_x000D_
02 28 23:18:51 730 17335 17335 W cgeo    : 	at android app servertransaction TransactionExecutor executeLifecycleState(TransactionExecutor java:173)_x000D_
02 28 23:18:51 730 17335 17335 W cgeo    : 	at android app servertransaction TransactionExecutor execute(TransactionExecutor java:97)_x000D_
02 28 23:18:51 730 17335 17335 W cgeo    : 	at android app ActivityThread H handleMessage(ActivityThread java:2307)_x000D_
02 28 23:18:51 730 17335 17335 W cgeo    : 	at android os Handler dispatchMessage(Handler java:106)_x000D_
02 28 23:18:51 730 17335 17335 W cgeo    : 	at android os Looper loop(Looper java:246)_x000D_
02 28 23:18:51 730 17335 17335 W cgeo    : 	at android app ActivityThread main(ActivityThread java:8506)_x000D_
02 28 23:18:51 730 17335 17335 W cgeo    : 	at java lang reflect Method invoke(Native Method)_x000D_
02 28 23:18:51 730 17335 17335 W cgeo    : 	at com android internal os RuntimeInit MethodAndArgsCaller run(RuntimeInit java:602)_x000D_
02 28 23:18:51 730 17335 17335 W cgeo    : 	at com android internal os ZygoteInit main(ZygoteInit java:1130)_x000D_
   _x000D_
_x000D_
_x000D_
</t>
  </si>
  <si>
    <t>grishka-Houseclub-208</t>
  </si>
  <si>
    <t>clicking on notification button crash the app</t>
  </si>
  <si>
    <t xml:space="preserve">     IMPORTANT: please make sure that this issue is related to the app itself as opposed to the Clubhouse API or third party components  including the Agora voice SDK  Issues that aren t related to the app will be closed without further consideration  Do not remove this comment     _x000D_
_x000D_
  Describe the bug  _x000D_
opening notification list crash the app_x000D_
_x000D_
  To Reproduce  _x000D_
Steps to reproduce the behavior:_x000D_
1  Go to main window_x000D_
2  Click on notifications button_x000D_
_x000D_
logcat shows following error_x000D_
 03 01 02:14:34 982 16777 16777 E AndroidRuntime: FATAL EXCEPTION: main_x000D_
03 01 02:14:34 982 16777 16777 E AndroidRuntime: Process: me grishka houseclub  PID: 16777_x000D_
03 01 02:14:34 982 16777 16777 E AndroidRuntime: java lang NullPointerException: Attempt to read from field  java lang String me grishka houseclub api model User name  on a null object reference_x000D_
03 01 02:14:34 982 16777 16777 E AndroidRuntime: 	at me grishka houseclub fragments NotificationListFragment NotificationViewHolder onBind(NotificationListFragment java:131)_x000D_
03 01 02:14:34 982 16777 16777 E AndroidRuntime: 	at me grishka houseclub fragments NotificationListFragment NotificationViewHolder onBind(NotificationListFragment java:112)_x000D_
03 01 02:14:34 982 16777 16777 E AndroidRuntime: 	at me grishka appkit utils BindableViewHolder bind(BindableViewHolder java:33)_x000D_
03 01 02:14:34 982 16777 16777 E AndroidRuntime: 	at me grishka houseclub fragments NotificationListFragment NotificationListAdapter onBindViewHolder(NotificationListFragment java:93)_x000D_
03 01 02:14:34 982 16777 16777 E AndroidRuntime: 	at me grishka houseclub fragments NotificationListFragment NotificationListAdapter onBindViewHolder(NotificationListFragment java:83)_x000D_
03 01 02:14:34 982 16777 16777 E AndroidRuntime: 	at me grishka appkit views UsableRecyclerView FooterRecyclerAdapter onBindViewHolder(UsableRecyclerView java:478)_x000D_
03 01 02:14:34 982 16777 16777 E AndroidRuntime: 	at androidx recyclerview widget RecyclerView Adapter onBindViewHolder(RecyclerView java:7038) _x000D_
_x000D_
  Expected behavior  _x000D_
should show list of notification or blank screen_x000D_
  Screenshots  _x000D_
_x000D_
  Smartphone (please complete the following information):  _x000D_
   Device: Samsung A30_x000D_
   OS: Android 10_x000D_
   Version : 1 0 8_x000D_
_x000D_
  Additional context  _x000D_
Add any other context about the problem here _x000D_
</t>
  </si>
  <si>
    <t>k9mail-k-9-5175</t>
  </si>
  <si>
    <t>Draging an account on the accounts screen crashes</t>
  </si>
  <si>
    <t xml:space="preserve">During testing of my fix for issue  4875 if found that if you try and drag any of the accounts listed_x000D_
  Crash (https:  user images githubusercontent com 43848359 109459490 fb129b00 7ab2 11eb 9904 f64d5196cd73 png)_x000D_
 on the accounts screen down (I appreciate that it makes no sense to do this here  but you can) it crashes  well actually it never finishes _x000D_
_x000D_
I m running the K9 V 5 731 Beta on my tablet  and I observe the same behaviour in the Studio emulator for my forked repos of 5 732  Attached is the log from Studio_x000D_
 crash log (https:  github com k9mail k 9 files 6059511 crash log)_x000D_
</t>
  </si>
  <si>
    <t>nextcloud-android-8083</t>
  </si>
  <si>
    <t>Crash on sharing a file</t>
  </si>
  <si>
    <t xml:space="preserve">    Steps to reproduce_x000D_
1  Pick a random file in Files_x000D_
2  Click share icon_x000D_
3  Search for a local user_x000D_
4  Choose local user when popping up_x000D_
5  Click  Share _x000D_
_x000D_
    Expected behaviour_x000D_
  File should be shared with chosen user_x000D_
_x000D_
    Actual behaviour_x000D_
  A wait spinner appears  then application  crashes_x000D_
_x000D_
    Can you reproduce this problem on https:  try nextcloud com _x000D_
  Please create a test demo account and see if this still happens there _x000D_
_x000D_
I m either logged into a Trial Account in which I can t establish a password to use in the application or I m asked to contact you for a quote  How am I supposed to do this _x000D_
_x000D_
    Environment data_x000D_
Android version:_x000D_
9_x000D_
_x000D_
Device model: _x000D_
Samsung Galaxy S8_x000D_
_x000D_
Stock or customized system:_x000D_
Stock_x000D_
_x000D_
Nextcloud app version:_x000D_
30150090 (latest on F Droid)_x000D_
_x000D_
Nextcloud server version:_x000D_
20 something (latest from Syncloud)_x000D_
_x000D_
Reverse proxy:_x000D_
No_x000D_
_x000D_
    Logs_x000D_
     Web server error log_x000D_
Lost in SDcard formatting_x000D_
_x000D_
     Nextcloud log (data nextcloud log)_x000D_
Lost SDCard formatting_x000D_
 _x000D_
     Android application  stack trace_x000D_
_x000D_
   _x000D_
             CAUSE OF ERROR             _x000D_
_x000D_
java lang RuntimeException: Accessing result data after operation failed _x000D_
 at _x000D_
com owncloud android lib common operations RemoteOperationResult getData(RemoteOperationResult java:486)_x000D_
 at _x000D_
com owncloud android utils ErrorMessageAdapter getMessageForCreateShareOperations(ErrorMessageAdapter java:254)_x000D_
 at _x000D_
com owncloud android utils ErrorMessageAdapter getMessageForResultAndOperation(ErrorMessageAdapter java:143)_x000D_
 at _x000D_
com owncloud android utils ErrorMessageAdapter getErrorCauseMessage(ErrorMessageAdapter java:79)_x000D_
 at _x000D_
com owncloud android ui activity FileActivity onRemoteOperationFinish(FileActivity java:380)_x000D_
 at _x000D_
com owncloud android ui activity FileDisplayActivity onRemoteOperationFinish(FileDisplayActivity java:1704)_x000D_
 at _x000D_
com owncloud android services OperationsService lambda dispatchResultToOperationListeners 0(OperationsService java:734)_x000D_
 at _x000D_
com owncloud android services    Lambda OperationsService KsB1LbjHjlEBSp0h7XO24czs OQ run(Unknown _x000D_
Source:6)_x000D_
 at android os Handler handleCallback(Handler java:873)_x000D_
 at android os Handler dispatchMessage(Handler java:99)_x000D_
 at android os Looper loop(Looper java:214)_x000D_
 at android app ActivityThread main(ActivityThread java:7050)_x000D_
 at java lang reflect Method invoke(Native Method)_x000D_
 at _x000D_
com android internal os RuntimeInit MethodAndArgsCaller run(RuntimeInit java:494)_x000D_
 at com android internal os ZygoteInit main(ZygoteInit java:965)_x000D_
_x000D_
             APP INFORMATION             _x000D_
ID: com nextcloud client_x000D_
Version: 30150090_x000D_
Build flavor: generic_x000D_
_x000D_
             DEVICE INFORMATION             _x000D_
Brand: samsung_x000D_
Device: dreamlte_x000D_
Model: SM G950F_x000D_
Id: PPR1 180610 011_x000D_
Product: dreamltexx_x000D_
_x000D_
             FIRMWARE             _x000D_
SDK: 28_x000D_
Release: 9_x000D_
Incremental: G950FXXSBDTJ1_x000D_
   </t>
  </si>
  <si>
    <t>nextcloud-android-8082</t>
  </si>
  <si>
    <t>Nextcloud dev in crash loop on missing server</t>
  </si>
  <si>
    <t xml:space="preserve">    Steps to reproduce_x000D_
1  Install dev v  20210224 (currently latest on F Deoid)_x000D_
2  Connect to account on server _x000D_
3  Shutdown server_x000D_
_x000D_
    Expected behaviour_x000D_
  Application handles missing server connectivity in a sensible way_x000D_
_x000D_
    Actual behaviour_x000D_
  Application crashes in loop_x000D_
_x000D_
    Can you reproduce this problem on https:  try nextcloud com _x000D_
  if you shut it down I ll test_x000D_
_x000D_
    Environment data_x000D_
Android version:_x000D_
9_x000D_
_x000D_
Device model: _x000D_
Samsung Galaxy S8_x000D_
_x000D_
Stock or customized system:_x000D_
Stock_x000D_
_x000D_
Nextcloud app version:_x000D_
dev 20210224_x000D_
_x000D_
Nextcloud server version:_x000D_
Was at 20 something (latest in Syncloud) _x000D_
_x000D_
Reverse proxy:_x000D_
No_x000D_
_x000D_
    Logs_x000D_
     Web server error log_x000D_
N A_x000D_
_x000D_
     Nextcloud log (data nextcloud log)_x000D_
N A_x000D_
_x000D_
     Android stack trace_x000D_
   _x000D_
             CAUSE OF ERROR             _x000D_
_x000D_
java lang RuntimeException: java net ConnectException: Failed to connect to nextcloud mikini dk 109 57 224 233:443_x000D_
	at com nextcloud common OkHttpMethodBase execute(OkHttpMethodBase kt:174)_x000D_
	at com nextcloud client network ConnectivityServiceImpl isInternetWalled(ConnectivityServiceImpl java:75)_x000D_
	at com owncloud android utils FilesSyncHelper lambda restartJobsIfNeeded 0(FilesSyncHelper java:207)_x000D_
	at com owncloud android utils    Lambda FilesSyncHelper 78U1WN nzr5HiGIrRZMThSEamz8 run(Unknown Source:10)_x000D_
	at java lang Thread run(Thread java:764)_x000D_
Caused by: java net ConnectException: Failed to connect to nextcloud mikini dk 109 57 224 233:443_x000D_
	at okhttp3 internal connection RealConnection connectSocket(RealConnection kt:297)_x000D_
	at okhttp3 internal connection RealConnection connect(RealConnection kt:207)_x000D_
	at okhttp3 internal connection ExchangeFinder findConnection(ExchangeFinder kt:226)_x000D_
	at okhttp3 internal connection ExchangeFinder findHealthyConnection(ExchangeFinder kt:106)_x000D_
	at okhttp3 internal connection ExchangeFinder find(ExchangeFinder kt:74)_x000D_
	at okhttp3 internal connection RealCall initExchange okhttp(RealCall kt:255)_x000D_
	at okhttp3 internal connection ConnectInterceptor intercept(ConnectInterceptor kt:32)_x000D_
	at okhttp3 internal http RealInterceptorChain proceed(RealInterceptorChain kt:109)_x000D_
	at okhttp3 internal cache CacheInterceptor intercept(CacheInterceptor kt:95)_x000D_
	at okhttp3 internal http RealInterceptorChain proceed(RealInterceptorChain kt:109)_x000D_
	at okhttp3 internal http BridgeInterceptor intercept(BridgeInterceptor kt:83)_x000D_
	at okhttp3 internal http RealInterceptorChain proceed(RealInterceptorChain kt:109)_x000D_
	at okhttp3 internal http RetryAndFollowUpInterceptor intercept(RetryAndFollowUpInterceptor kt:76)_x000D_
	at okhttp3 internal http RealInterceptorChain proceed(RealInterceptorChain kt:109)_x000D_
	at okhttp3 internal connection RealCall getResponseWithInterceptorChain okhttp(RealCall kt:201)_x000D_
	at okhttp3 internal connection RealCall execute(RealCall kt:154)_x000D_
	at com nextcloud common OkHttpMethodBase execute(OkHttpMethodBase kt:171)_x000D_
	    4 more_x000D_
Caused by: java net ConnectException: failed to connect to nextcloud mikini dk 109 57 224 233 (port 443) from  192 168 1 136 (port 36304) after 10000ms: isConnected failed: EHOSTUNREACH (No route to host)_x000D_
	at libcore io IoBridge isConnected(IoBridge java:278)_x000D_
	at libcore io IoBridge connectErrno(IoBridge java:187)_x000D_
	at libcore io IoBridge connect(IoBridge java:129)_x000D_
	at java net PlainSocketImpl socketConnect(PlainSocketImpl java:137)_x000D_
	at java net AbstractPlainSocketImpl doConnect(AbstractPlainSocketImpl java:390)_x000D_
	at java net AbstractPlainSocketImpl connectToAddress(AbstractPlainSocketImpl java:230)_x000D_
	at java net AbstractPlainSocketImpl connect(AbstractPlainSocketImpl java:212)_x000D_
	at java net SocksSocketImpl connect(SocksSocketImpl java:436)_x000D_
	at java net Socket connect(Socket java:621)_x000D_
	at okhttp3 internal platform AndroidPlatform connectSocket(AndroidPlatform kt:63)_x000D_
	at okhttp3 internal connection RealConnection connectSocket(RealConnection kt:295)_x000D_
	    20 more_x000D_
Caused by: android system ErrnoException: isConnected failed: EHOSTUNREACH (No route to host)_x000D_
	at libcore io IoBridge isConnected(IoBridge java:267)_x000D_
	    30 more_x000D_
_x000D_
             APP INFORMATION             _x000D_
ID: com nextcloud android beta_x000D_
Version: 20210224_x000D_
Build flavor: versionDev_x000D_
_x000D_
             DEVICE INFORMATION             _x000D_
Brand: samsung_x000D_
Device: dreamlte_x000D_
Model: SM G950F_x000D_
Id: PPR1 180610 011_x000D_
Product: dreamltexx_x000D_
_x000D_
             FIRMWARE             _x000D_
SDK: 28_x000D_
Release: 9_x000D_
Incremental: G950FXXSBDTJ1_x000D_
   </t>
  </si>
  <si>
    <t>Anuken-Mindustry-4824</t>
  </si>
  <si>
    <t>server crash upon placing power consuming/producing/storing blocks</t>
  </si>
  <si>
    <t xml:space="preserve">  Platform  :  Android iOS Mac Windows Linux _x000D_
Linux Mint:server_x000D_
(what ever quezler uses to host nydus)_x000D_
  Build  :20836_x000D_
  Issue  :placing anything which consumes produces stores power crashes the server_x000D_
  Steps to reproduce  :_x000D_
make a headless server_x000D_
join the server_x000D_
build something which consumes stores produces power (except power nodes and diodes)_x000D_
server crash when finished_x000D_
  Link(s) to mod(s) used  :none_x000D_
  Save file  :_x000D_
 no msav txt (https:  github com Anuken Mindustry files 6059413 no msav txt)_x000D_
  (Crash) logs  :_x000D_
  crash (https:  cdn discordapp com attachments 663854113418641429 815821513763717151 unknown png)_x000D_
_x000D_
_x000D_
  Extra  :_x000D_
quezler identified the problem line to be  here (https:  github com Anuken Mindustry blob master core src mindustry world blocks power PowerNode java L261)_x000D_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</si>
  <si>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PojavLauncherTeam-PojavLauncher-983</t>
  </si>
  <si>
    <t>[BUG] Immersive Portals (fabric) doesn't work.</t>
  </si>
  <si>
    <t xml:space="preserve">Excuse me _x000D_
  Screenshot 20210301 060312 (https:  user images githubusercontent com 79562074 109437050 7cd3db80 7a55 11eb 9ff8 54f29844a836 png)_x000D_
_x000D_
When I enter the game  it keeps crashing  i am using version 1 16 5 fabric _x000D_
immersive portals 0 80 mc1 16 5 fabric jar_x000D_
Latestlog txt :_x000D_
_x000D_
          beggining with launcher debug_x000D_
Info: LWJGL3 directory:  version  lwjgl tinyfd jar  lwjgl stb jar  lwjgl glfw classes jar  lwjgl opengl jar  lwjgl openal jar  lwjgl jemalloc jar  jsr305 jar  lwjgl jar _x000D_
Architecture: arm64 aarch64_x000D_
Info: Custom Java arguments:   Xms384m  Xmx768m _x000D_
Headless version detected  (20210218)_x000D_
          beginning of main_x000D_
I jrelog  (28610): Starting logging STDIO as jrelog:V_x000D_
I jrelog  (28610): WARNING: linker: _x000D_
I jrelog  (28610): Warning:  _x000D_
I jrelog  (28610):  data data net kdt pojavlaunch jre runtime lib aarch64 jli libjli so_x000D_
I jrelog  (28610):   unused DT entry: _x000D_
I jrelog  (28610): DT RPATH_x000D_
I jrelog  (28610):  (type _x000D_
I jrelog  (28610): 0xf_x000D_
I jrelog  (28610):  arg _x000D_
I jrelog  (28610): 0x361_x000D_
I jrelog  (28610): ) (ignoring)_x000D_
I jrelog  (28610): _x000D_
I jrelog  (28610): WARNING: linker: _x000D_
I jrelog  (28610): Warning:  _x000D_
I jrelog  (28610):  data data net kdt pojavlaunch jre runtime lib aarch64 jli libjli so_x000D_
I jrelog  (28610):   has unsupported flags DT FLAGS 1 _x000D_
I jrelog  (28610): 0x81_x000D_
I jrelog  (28610):  (ignoring unsupported flags)_x000D_
I jrelog  (28610): _x000D_
I jrelog  (28610): dlopen  data user 0 net kdt pojavlaunch jre runtime lib aarch64 jli libjli so success_x000D_
I jrelog  (28610): dlopen  data user 0 net kdt pojavlaunch jre runtime lib aarch64 server libjvm so success_x000D_
I jrelog  (28610): WARNING: linker: _x000D_
I jrelog  (28610): Warning:  _x000D_
I jrelog  (28610):  data data net kdt pojavlaunch jre runtime lib aarch64 libverify so_x000D_
I jrelog  (28610):   unused DT entry: _x000D_
I jrelog  (28610): DT RPATH_x000D_
I jrelog  (28610):  (type _x000D_
I jrelog  (28610): 0xf_x000D_
I jrelog  (28610):  arg _x000D_
I jrelog  (28610): 0x450_x000D_
I jrelog  (28610): ) (ignoring)_x000D_
I jrelog  (28610): _x000D_
I jrelog  (28610): WARNING: linker: _x000D_
I jrelog  (28610): Warning:  _x000D_
I jrelog  (28610):  data data net kdt pojavlaunch jre runtime lib aarch64 libverify so_x000D_
I jrelog  (28610):   has unsupported flags DT FLAGS 1 _x000D_
I jrelog  (28610): 0x81_x000D_
I jrelog  (28610):  (ignoring unsupported flags)_x000D_
I jrelog  (28610): _x000D_
I jrelog  (28610): dlopen  data user 0 net kdt pojavlaunch jre runtime lib aarch64 libverify so success_x000D_
I jrelog  (28610): WARNING: linker: _x000D_
I jrelog  (28610): Warning:  _x000D_
I jrelog  (28610):  data data net kdt pojavlaunch jre runtime lib aarch64 libjava so_x000D_
I jrelog  (28610):   unused DT entry: _x000D_
I jrelog  (28610): DT RPATH_x000D_
I jrelog  (28610):  (type _x000D_
I jrelog  (28610): 0xf_x000D_
I jrelog  (28610):  arg _x000D_
I jrelog  (28610): 0x33c0_x000D_
I jrelog  (28610): ) (ignoring)_x000D_
I jrelog  (28610): _x000D_
I jrelog  (28610): WARNING: linker: _x000D_
I jrelog  (28610): Warning:  _x000D_
I jrelog  (28610):  data data net kdt pojavlaunch jre runtime lib aarch64 libjava so_x000D_
I jrelog  (28610):   has unsupported flags DT FLAGS 1 _x000D_
I jrelog  (28610): 0x81_x000D_
I jrelog  (28610):  (ignoring unsupported flags)_x000D_
I jrelog  (28610): _x000D_
I jrelog  (28610): dlopen  data user 0 net kdt pojavlaunch jre runtime lib aarch64 libjava so success_x000D_
I jrelog  (28610): WARNING: linker: _x000D_
I jrelog  (28610): Warning:  _x000D_
I jrelog  (28610):  data data net kdt pojavlaunch jre runtime lib aarch64 libnet so_x000D_
I jrelog  (28610):   unused DT entry: _x000D_
I jrelog  (28610): DT RPATH_x000D_
I jrelog  (28610):  (type _x000D_
I jrelog  (28610): 0xf_x000D_
I jrelog  (28610):  arg _x000D_
I jrelog  (28610): 0x13b8_x000D_
I jrelog  (28610): ) (ignoring)_x000D_
I jrelog  (28610): _x000D_
I jrelog  (28610): WARNING: linker: _x000D_
I jrelog  (28610): Warning:  _x000D_
I jrelog  (28610):  data data net kdt pojavlaunch jre runtime lib aarch64 libnet so_x000D_
I jrelog  (28610):   has unsupported flags DT FLAGS 1 _x000D_
I jrelog  (28610): 0x81_x000D_
I jrelog  (28610):  (ignoring unsupported flags)_x000D_
I jrelog  (28610): _x000D_
I jrelog  (28610): dlopen  data user 0 net kdt pojavlaunch jre runtime lib aarch64 libnet so success_x000D_
I jrelog  (28610): WARNING: linker: _x000D_
I jrelog  (28610): Warning:  _x000D_
I jrelog  (28610):  data data net kdt pojavlaunch jre runtime lib aarch64 libnio so_x000D_
I jrelog  (28610):   unused DT entry: _x000D_
I jrelog  (28610): DT RPATH_x000D_
I jrelog  (28610):  (type _x000D_
I jrelog  (28610): 0xf_x000D_
I jrelog  (28610):  arg _x000D_
I jrelog  (28610): 0x2196_x000D_
I jrelog  (28610): ) (ignoring)_x000D_
I jrelog  (28610): _x000D_
I jrelog  (28610): WARNING: linker: _x000D_
I jrelog  (28610): Warning:  _x000D_
I jrelog  (28610):  data data net kdt pojavlaunch jre runtime lib aarch64 libnio so_x000D_
I jrelog  (28610):   has unsupported flags DT FLAGS 1 _x000D_
I jrelog  (28610): 0x81_x000D_
I jrelog  (28610):  (ignoring unsupported flags)_x000D_
I jrelog  (28610): _x000D_
I jrelog  (28610): dlopen  data user 0 net kdt pojavlaunch jre runtime lib aarch64 libnio so success_x000D_
I jrelog  (28610): WARNING: linker: _x000D_
I jrelog  (28610): Warning:  _x000D_
I jrelog  (28610):  data data net kdt pojavlaunch jre runtime lib aarch64 libawt so_x000D_
I jrelog  (28610):   unused DT entry: _x000D_
I jrelog  (28610): DT RPATH_x000D_
I jrelog  (28610):  (type _x000D_
I jrelog  (28610): 0xf_x000D_
I jrelog  (28610):  arg _x000D_
I jrelog  (28610): 0x6a46_x000D_
I jrelog  (28610): ) (ignoring)_x000D_
I jrelog  (28610): _x000D_
I jrelog  (28610): WARNING: linker: _x000D_
I jrelog  (28610): Warning:  _x000D_
I jrelog  (28610):  data data net kdt pojavlaunch jre runtime lib aarch64 libawt so_x000D_
I jrelog  (28610):   has unsupported flags DT FLAGS 1 _x000D_
I jrelog  (28610): 0x81_x000D_
I jrelog  (28610):  (ignoring unsupported flags)_x000D_
I jrelog  (28610): _x000D_
I jrelog  (28610): dlopen  data user 0 net kdt pojavlaunch jre runtime lib aarch64 libawt so success_x000D_
I jrelog  (28610): WARNING: linker: _x000D_
I jrelog  (28610): Warning:  _x000D_
I jrelog  (28610):  data data net kdt pojavlaunch jre runtime lib aarch64 libawt headless so_x000D_
I jrelog  (28610):   unused DT entry: _x000D_
I jrelog  (28610): DT RPATH_x000D_
I jrelog  (28610):  (type _x000D_
I jrelog  (28610): 0xf_x000D_
I jrelog  (28610):  arg _x000D_
I jrelog  (28610): 0x4d9_x000D_
I jrelog  (28610): ) (ignoring)_x000D_
I jrelog  (28610): _x000D_
I jrelog  (28610): WARNING: linker: _x000D_
I jrelog  (28610): Warning:  _x000D_
I jrelog  (28610):  data data net kdt pojavlaunch jre runtime lib aarch64 libawt headless so_x000D_
I jrelog  (28610):   has unsupported flags DT FLAGS 1 _x000D_
I jrelog  (28610): 0x81_x000D_
I jrelog  (28610):  (ignoring unsupported flags)_x000D_
I jrelog  (28610): _x000D_
I jrelog  (28610): dlopen  data user 0 net kdt pojavlaunch jre runtime lib aarch64 libawt headless so success_x000D_
I jrelog  (28610): dlopen  data user 0 net kdt pojavlaunch jre runtime lib aarch64 libfreetype so success_x000D_
I jrelog  (28610): WARNING: linker: _x000D_
I jrelog  (28610): Warning:  _x000D_
I jrelog  (28610):  data data net kdt pojavlaunch jre runtime lib aarch64 libfontmanager so_x000D_
I jrelog  (28610):   unused DT entry: _x000D_
I jrelog  (28610): DT RPATH_x000D_
I jrelog  (28610):  (type _x000D_
I jrelog  (28610): 0xf_x000D_
I jrelog  (28610):  arg _x000D_
I jrelog  (28610): 0xda0_x000D_
I jrelog  (28610): ) (ignoring)_x000D_
I jrelog  (28610): _x000D_
I jrelog  (28610): WARNING: linker: _x000D_
I jrelog  (28610): Warning:  _x000D_
I jrelog  (28610):  data data net kdt pojavlaunch jre runtime lib aarch64 libfontmanager so_x000D_
I jrelog  (28610):   has unsupported flags DT FLAGS 1 _x000D_
I jrelog  (28610): 0x81_x000D_
I jrelog  (28610):  (ignoring unsupported flags)_x000D_
I jrelog  (28610): _x000D_
I jrelog  (28610): dlopen  data user 0 net kdt pojavlaunch jre runtime lib aarch64 libfontmanager so success_x000D_
I jrelog  (28610): WARNING: linker: _x000D_
I jrelog  (28610): Warning:  _x000D_
I jrelog  (28610):  data data net kdt pojavlaunch jre runtime lib aarch64 libhprof so_x000D_
I jrelog  (28610):   unused DT entry: _x000D_
I jrelog  (28610): DT RPATH_x000D_
I jrelog  (28610):  (type _x000D_
I jrelog  (28610): 0xf_x000D_
I jrelog  (28610):  arg _x000D_
I jrelog  (28610): 0x1d2_x000D_
I jrelog  (28610): ) (ignoring)_x000D_
I jrelog  (28610): _x000D_
I jrelog  (28610): WARNING: linker: _x000D_
I jrelog  (28610): Warning:  _x000D_
I jrelog  (28610):  data data net kdt pojavlaunch jre runtime lib aarch64 libhprof so_x000D_
I jrelog  (28610):   has unsupported flags DT FLAGS 1 _x000D_
I jrelog  (28610): 0x81_x000D_
I jrelog  (28610):  (ignoring unsupported flags)_x000D_
I jrelog  (28610): _x000D_
I jrelog  (28610): dlopen  data user 0 net kdt pojavlaunch jre runtime lib aarch64 libhprof so success_x000D_
I jrelog  (28610): WARNING: linker: _x000D_
I jrelog  (28610): Warning:  _x000D_
I jrelog  (28610):  data data net kdt pojavlaunch jre runtime lib aarch64 libmanagement so_x000D_
I jrelog  (28610):   unused DT entry: _x000D_
I jrelog  (28610): DT RPATH_x000D_
I jrelog  (28610):  (type _x000D_
I jrelog  (28610): 0xf_x000D_
I jrelog  (28610):  arg _x000D_
I jrelog  (28610): 0x16fe_x000D_
I jrelog  (28610): ) (ignoring)_x000D_
I jrelog  (28610): _x000D_
I jrelog  (28610): WARNING: linker: _x000D_
I jrelog  (28610): Warning:  _x000D_
I jrelog  (28610):  data data net kdt pojavlaunch jre runtime lib aarch64 libmanagement so_x000D_
I jrelog  (28610):   has unsupported flags DT FLAGS 1 _x000D_
I jrelog  (28610): 0x81_x000D_
I jrelog  (28610):  (ignoring unsupported flags)_x000D_
I jrelog  (28610): _x000D_
I jrelog  (28610): dlopen  data user 0 net kdt pojavlaunch jre runtime lib aarch64 libmanagement so success_x000D_
I jrelog  (28610): dlopen  data user 0 net kdt pojavlaunch jre runtime lib aarch64 libjsig so success_x000D_
I jrelog  (28610): dlopen  data user 0 net kdt pojavlaunch jre runtime lib aarch64 libnet so success_x000D_
I jrelog  (28610): WARNING: linker: _x000D_
I jrelog  (28610): Warning:  _x000D_
I jrelog  (28610):  data data net kdt pojavlaunch jre runtime lib aarch64 libjpeg so_x000D_
I jrelog  (28610):   unused DT entry: _x000D_
I jrelog  (28610): DT RPATH_x000D_
I jrelog  (28610):  (type _x000D_
I jrelog  (28610): 0xf_x000D_
I jrelog  (28610):  arg _x000D_
I jrelog  (28610): 0x5e6_x000D_
I jrelog  (28610): ) (ignoring)_x000D_
I jrelog  (28610): _x000D_
I jrelog  (28610): WARNING: linker: _x000D_
I jrelog  (28610): Warning:  _x000D_
I jrelog  (28610):  data data net kdt pojavlaunch jre runtime lib aarch64 libjpeg so_x000D_
I jrelog  (28610):   has unsupported flags DT FLAGS 1 _x000D_
I jrelog  (28610): 0x81_x000D_
I jrelog  (28610):  (ignoring unsupported flags)_x000D_
I jrelog  (28610): _x000D_
I jrelog  (28610): dlopen  data user 0 net kdt pojavlaunch jre runtime lib aarch64 libjpeg so success_x000D_
I jrelog  (28610): dlopen  data user 0 net kdt pojavlaunch jre runtime lib aarch64 libverify so success_x000D_
I jrelog  (28610): WARNING: linker: _x000D_
I jrelog  (28610): Warning:  _x000D_
I jrelog  (28610):  data data net kdt pojavlaunch jre runtime lib aarch64 liblcms so_x000D_
I jrelog  (28610):   unused DT entry: _x000D_
I jrelog  (28610): DT RPATH_x000D_
I jrelog  (28610):  (type _x000D_
I jrelog  (28610): 0xf_x000D_
I jrelog  (28610):  arg _x000D_
I jrelog  (28610): 0x3f1_x000D_
I jrelog  (28610): ) (ignoring)_x000D_
I jrelog  (28610): _x000D_
I jrelog  (28610): WARNING: linker: _x000D_
I jrelog  (28610): Warning:  _x000D_
I jrelog  (28610):  data data net kdt pojavlaunch jre runtime lib aarch64 liblcms so_x000D_
I jrelog  (28610):   has unsupported flags DT FLAGS 1 _x000D_
I jrelog  (28610): 0x81_x000D_
I jrelog  (28610):  (ignoring unsupported flags)_x000D_
I jrelog  (28610): _x000D_
I jrelog  (28610): dlopen  data user 0 net kdt pojavlaunch jre runtime lib aarch64 liblcms so success_x000D_
I jrelog  (28610): dlopen  data user 0 net kdt pojavlaunch jre runtime lib aarch64 libfreetype so success_x000D_
I jrelog  (28610): WARNING: linker: _x000D_
I jrelog  (28610): Warning:  _x000D_
I jrelog  (28610):  data data net kdt pojavlaunch jre runtime lib aarch64 libtinyiconv so_x000D_
I jrelog  (28610):   unused DT entry: _x000D_
I jrelog  (28610): DT RPATH_x000D_
I jrelog  (28610):  (type _x000D_
I jrelog  (28610): 0xf_x000D_
I jrelog  (28610):  arg _x000D_
I jrelog  (28610): 0x23a_x000D_
I jrelog  (28610): ) (ignoring)_x000D_
I jrelog  (28610): _x000D_
I jrelog  (28610): WARNING: linker: _x000D_
I jrelog  (28610): Warning:  _x000D_
I jrelog  (28610):  data data net kdt pojavlaunch jre runtime lib aarch64 libtinyiconv so_x000D_
I jrelog  (28610):   has unsupported flags DT FLAGS 1 _x000D_
I jrelog  (28610): 0x81_x000D_
I jrelog  (28610):  (ignoring unsupported flags)_x000D_
I jrelog  (28610): _x000D_
I jrelog  (28610): dlopen  data user 0 net kdt pojavlaunch jre runtime lib aarch64 libtinyiconv so success_x000D_
I jrelog  (28610): dlopen  data user 0 net kdt pojavlaunch jre runtime lib aarch64 libnio so success_x000D_
I jrelog  (28610): dlopen  data user 0 net kdt pojavlaunch jre runtime lib aarch64 libawt so success_x000D_
I jrelog  (28610): dlopen  data user 0 net kdt pojavlaunch jre runtime lib aarch64 libawt headless so success_x000D_
I jrelog  (28610): WARNING: linker: _x000D_
I jrelog  (28610): Warning:  _x000D_
I jrelog  (28610):  data data net kdt pojavlaunch jre runtime lib aarch64 libsctp so_x000D_
I jrelog  (28610):   unused DT entry: _x000D_
I jrelog  (28610): DT RPATH_x000D_
I jrelog  (28610):  (type _x000D_
I jrelog  (28610): 0xf_x000D_
I jrelog  (28610):  arg _x000D_
I jrelog  (28610): 0x6af_x000D_
I jrelog  (28610): ) (ignoring)_x000D_
I jrelog  (28610): _x000D_
I jrelog  (28610): WARNING: linker: _x000D_
I jrelog  (28610): Warning:  _x000D_
I jrelog  (28610):  data data net kdt pojavlaunch jre runtime lib aarch64 libsctp so_x000D_
I jrelog  (28610):   has unsupported flags DT FLAGS 1 _x000D_
I jrelog  (28610): 0x81_x000D_
I jrelog  (28610):  (ignoring unsupported flags)_x000D_
I jrelog  (28610): _x000D_
I jrelog  (28610): dlopen  data user 0 net kdt pojavlaunch jre runtime lib aarch64 libsctp so success_x000D_
I jrelog  (28610): WARNING: linker: _x000D_
I jrelog  (28610): Warning:  _x000D_
I jrelog  (28610):  data data net kdt pojavlaunch jre runtime lib aarch64 libj2gss so_x000D_
I jrelog  (28610):   unused DT entry: _x000D_
I jrelog  (28610): DT RPATH_x000D_
I jrelog  (28610):  (type _x000D_
I jrelog  (28610): 0xf_x000D_
I jrelog  (28610):  arg _x000D_
I jrelog  (28610): 0x6c1_x000D_
I jrelog  (28610): ) (ignoring)_x000D_
I jrelog  (28610): _x000D_
I jrelog  (28610): WARNING: linker: _x000D_
I jrelog  (28610): Warning:  _x000D_
I jrelog  (28610):  data data net kdt pojavlaunch jre runtime lib aarch64 libj2gss so_x000D_
I jrelog  (28610):   has unsupported flags DT FLAGS 1 _x000D_
I jrelog  (28610): 0x81_x000D_
I jrelog  (28610):  (ignoring unsupported flags)_x000D_
I jrelog  (28610): _x000D_
I jrelog  (28610): dlopen  data user 0 net kdt pojavlaunch jre runtime lib aarch64 libj2gss so success_x000D_
I jrelog  (28610): WARNING: linker: _x000D_
I jrelog  (28610): Warning:  _x000D_
I jrelog  (28610):  data data net kdt pojavlaunch jre runtime lib aarch64 libjawt so_x000D_
I jrelog  (28610):   unused DT entry: _x000D_
I jrelog  (28610): DT RPATH_x000D_
I jrelog  (28610):  (type _x000D_
I jrelog  (28610): 0xf_x000D_
I jrelog  (28610):  arg _x000D_
I jrelog  (28610): 0x77_x000D_
I jrelog  (28610): ) (ignoring)_x000D_
I jrelog  (28610): _x000D_
I jrelog  (28610): WARNING: linker: _x000D_
I jrelog  (28610): Warning:  _x000D_
I jrelog  (28610):  data data net kdt pojavlaunch jre runtime lib aarch64 libjawt so_x000D_
I jrelog  (28610):   has unsupported flags DT FLAGS 1 _x000D_
I jrelog  (28610): 0x81_x000D_
I jrelog  (28610):  (ignoring unsupported flags)_x000D_
I jrelog  (28610): _x000D_
I jrelog  (28610): dlopen  data user 0 net kdt pojavlaunch jre runtime lib aarch64 libjawt so success_x000D_
I jrelog  (28610): WARNING: linker: _x000D_
I jrelog  (28610): Warning:  _x000D_
I jrelog  (28610):  data data net kdt pojavlaunch jre runtime lib aarch64 libjava crw demo so_x000D_
I jrelog  (28610):   unused DT entry: _x000D_
I jrelog  (28610): DT RPATH_x000D_
I jrelog  (28610):  (type _x000D_
I jrelog  (28610): 0xf_x000D_
I jrelog  (28610):  arg _x000D_
I jrelog  (28610): 0xe6_x000D_
I jrelog  (28610): ) (ignoring)_x000D_
I jrelog  (28610): _x000D_
I jrelog  (28610): WARNING: linker: _x000D_
I jrelog  (28610): Warning:  _x000D_
I jrelog  (28610):  data data net kdt pojavlaunch jre runtime lib aarch64 libjava crw demo so_x000D_
I jrelog  (28610):   has unsupported flags DT FLAGS 1 _x000D_
I jrelog  (28610): 0x81_x000D_
I jrelog  (28610):  (ignoring unsupported flags)_x000D_
I jrelog  (28610): _x000D_
I jrelog  (28610): dlopen  data user 0 net kdt pojavlaunch jre runtime lib aarch64 libjava crw demo so success_x000D_
I jrelog  (28610): WARNING: linker: _x000D_
I jrelog  (28610): Warning:  _x000D_
I jrelog  (28610):  data data net kdt pojavlaunch jre runtime lib aarch64 libjsdt so_x000D_
I jrelog  (28610):   unused DT entry: _x000D_
I jrelog  (28610): DT RPATH_x000D_
I jrelog  (28610):  (type _x000D_
I jrelog  (28610): 0xf_x000D_
I jrelog  (28610):  arg _x000D_
I jrelog  (28610): 0x139_x000D_
I jrelog  (28610): ) (ignoring)_x000D_
I jrelog  (28610): _x000D_
I jrelog  (28610): WARNING: linker: _x000D_
I jrelog  (28610): Warning:  _x000D_
I jrelog  (28610):  data data net kdt pojavlaunch jre runtime lib aarch64 libjsdt so_x000D_
I jrelog  (28610):   has unsupported flags DT FLAGS 1 _x000D_
I jrelog  (28610): 0x81_x000D_
I jrelog  (28610):  (ignoring unsupported flags)_x000D_
I jrelog  (28610): _x000D_
I jrelog  (28610): dlopen  data user 0 net kdt pojavlaunch jre runtime lib aarch64 libjsdt so success_x000D_
I jrelog  (28610): WARNING: linker: _x000D_
I jrelog  (28610): Warning:  _x000D_
I jrelog  (28610):  data data net kdt pojavlaunch jre runtime lib aarch64 libmlib image so_x000D_
I jrelog  (28610):   unused DT entry: _x000D_
I jrelog  (28610): DT RPATH_x000D_
I jrelog  (28610):  (type _x000D_
I jrelog  (28610): 0xf_x000D_
I jrelog  (28610):  arg _x000D_
I jrelog  (28610): 0x158_x000D_
I jrelog  (28610): ) (ignoring)_x000D_
I jrelog  (28610): _x000D_
I jrelog  (28610): WARNING: linker: _x000D_
I jrelog  (28610): Warning:  _x000D_
I jrelog  (28610):  data data net kdt pojavlaunch jre runtime lib aarch64 libmlib image so_x000D_
I jrelog  (28610):   has unsupported flags DT FLAGS 1 _x000D_
I jrelog  (28610): 0x81_x000D_
I jrelog  (28610):  (ignoring unsupported flags)_x000D_
I jrelog  (28610): _x000D_
I jrelog  (28610): dlopen  data user 0 net kdt pojavlaunch jre runtime lib aarch64 libmlib image so success_x000D_
I jrelog  (28610): WARNING: linker: _x000D_
I jrelog  (28610): Warning:  _x000D_
I jrelog  (28610):  data data net kdt pojavlaunch jre runtime lib aarch64 libjdwp so_x000D_
I jrelog  (28610):   unused DT entry: _x000D_
I jrelog  (28610): DT RPATH_x000D_
I jrelog  (28610):  (type _x000D_
I jrelog  (28610): 0xf_x000D_
I jrelog  (28610):  arg _x000D_
I jrelog  (28610): 0x1c7_x000D_
I jrelog  (28610): ) (ignoring)_x000D_
I jrelog  (28610): _x000D_
I jrelog  (28610): WARNING: linker: _x000D_
I jrelog  (28610): Warning:  _x000D_
I jrelog  (28610):  data data net kdt pojavlaunch jre runtime lib aarch64 libjdwp so_x000D_
I jrelog  (28610):   has unsupported flags DT FLAGS 1 _x000D_
I jrelog  (28610): 0x81_x000D_
I jrelog  (28610):  (ignoring unsupported flags)_x000D_
I jrelog  (28610): _x000D_
I jrelog  (28610): dlopen  data user 0 net kdt pojavlaunch jre runtime lib aarch64 libjdwp so success_x000D_
I jrelog  (28610): WARNING: linker: _x000D_
I jrelog  (28610): Warning:  _x000D_
I jrelog  (28610):  data data net kdt pojavlaunch jre runtime lib aarch64 libinstrument so_x000D_
I jrelog  (28610):   unused DT entry: _x000D_
I jrelog  (28610): DT RPATH_x000D_
I jrelog  (28610):  (type _x000D_
I jrelog  (28610): 0xf_x000D_
I jrelog  (28610):  arg _x000D_
I jrelog  (28610): 0x3ed_x000D_
I jrelog  (28610): ) (ignoring)_x000D_
I jrelog  (28610): _x000D_
I jrelog  (28610): WARNING: linker: _x000D_
I jrelog  (28610): Warning:  _x000D_
I jrelog  (28610):  data data net kdt pojavlaunch jre runtime lib aarch64 libinstrument so_x000D_
I jrelog  (28610):   has unsupported flags DT FLAGS 1 _x000D_
I jrelog  (28610): 0x81_x000D_
I jrelog  (28610):  (ignoring unsupported flags)_x000D_
I jrelog  (28610): _x000D_
I jrelog  (28610): dlopen  data user 0 net kdt pojavlaunch jre runtime lib aarch64 libinstrument so success_x000D_
I jrelog  (28610): dlopen  data user 0 net kdt pojavlaunch jre runtime lib aarch64 libawt xawt so success_x000D_
I jrelog  (28610): dlopen  data user 0 net kdt pojavlaunch jre runtime lib aarch64 libsunec so success_x000D_
I jrelog  (28610): WARNING: linker: _x000D_
I jrelog  (28610): Warning:  _x000D_
I jrelog  (28610):  data data net kdt pojavlaunch jre runtime lib aarch64 libj2pkcs11 so_x000D_
I jrelog  (28610):   unused DT entry: _x000D_
I jrelog  (28610): DT RPATH_x000D_
I jrelog  (28610):  (type _x000D_
I jrelog  (28610): 0xf_x000D_
I jrelog  (28610):  arg _x000D_
I jrelog  (28610): 0xf13_x000D_
I jrelog  (28610): ) (ignoring)_x000D_
I jrelog  (28610): _x000D_
I jrelog  (28610): WARNING: linker: _x000D_
I jrelog  (28610): Warning:  _x000D_
I jrelog  (28610):  data data net kdt pojavlaunch jre runtime lib aarch64 libj2pkcs11 so_x000D_
I jrelog  (28610):   has unsupported flags DT FLAGS 1 _x000D_
I jrelog  (28610): 0x81_x000D_
I jrelog  (28610):  (ignoring unsupported flags)_x000D_
I jrelog  (28610): _x000D_
I jrelog  (28610): dlopen  data user 0 net kdt pojavlaunch jre runtime lib aarch64 libj2pkcs11 so success_x000D_
I jrelog  (28610): WARNING: linker: _x000D_
I jrelog  (28610): Warning:  _x000D_
I jrelog  (28610):  data data net kdt pojavlaunch jre runtime lib aarch64 libunpack so_x000D_
I jrelog  (28610):   unused DT entry: _x000D_
I jrelog  (28610): DT RPATH_x000D_
I jrelog  (28610):  (type _x000D_
I jrelog  (28610): 0xf_x000D_
I jrelog  (28610):  arg _x000D_
I jrelog  (28610): 0x364_x000D_
I jrelog  (28610): ) (ignoring)_x000D_
I jrelog  (28610): _x000D_
I jrelog  (28610): WARNING: linker: _x000D_
I jrelog  (28610): Warning:  _x000D_
I jrelog  (28610):  data data net kdt pojavlaunch jre runtime lib aarch64 libunpack so_x000D_
I jrelog  (28610):   has unsupported flags DT FLAGS 1 _x000D_
I jrelog  (28610): 0x81_x000D_
I jrelog  (28610):  (ignoring unsupported flags)_x000D_
I jrelog  (28610): _x000D_
I jrelog  (28610): dlopen  data user 0 net kdt pojavlaunch jre runtime lib aarch64 libunpack so success_x000D_
I jrelog  (28610): WARNING: linker: _x000D_
I jrelog  (28610): Warning:  _x000D_
I jrelog  (28610):  data data net kdt pojavlaunch jre runtime lib aarch64 libzip so_x000D_
I jrelog  (28610):   unused DT entry: _x000D_
I jrelog  (28610): DT RPATH_x000D_
I jrelog  (28610):  (type _x000D_
I jrelog  (28610): 0xf_x000D_
I jrelog  (28610):  arg _x000D_
I jrelog  (28610): 0x8ff_x000D_
I jrelog  (28610): ) (ignoring)_x000D_
I jrelog  (28610): _x000D_
I jrelog  (28610): WARNING: linker: _x000D_
I jrelog  (28610): Warning:  _x000D_
I jrelog  (28610):  data data net kdt pojavlaunch jre runtime lib aarch64 libzip so_x000D_
I jrelog  (28610):   has unsupported flags DT FLAGS 1 _x000D_
I jrelog  (28610): 0x81_x000D_
I jrelog  (28610):  (ignoring unsupported flags)_x000D_
I jrelog  (28610): _x000D_
I jrelog  (28610): dlopen  data user 0 net kdt pojavlaunch jre runtime lib aarch64 libzip so success_x000D_
I jrelog  (28610): dlopen  data user 0 net kdt pojavlaunch jre runtime lib aarch64 server libjvm so success_x000D_
I jrelog  (28610): dlopen  data user 0 net kdt pojavlaunch jre runtime lib aarch64 libfontmanager so success_x000D_
I jrelog  (28610): WARNING: linker: _x000D_
I jrelog  (28610): Warning:  _x000D_
I jrelog  (28610):  data data net kdt pojavlaunch jre runtime lib aarch64 libj2pcsc so_x000D_
I jrelog  (28610):   unused DT entry: _x000D_
I jrelog  (28610): DT RPATH_x000D_
I jrelog  (28610):  (type _x000D_
I jrelog  (28610): 0xf_x000D_
I jrelog  (28610):  arg _x000D_
I jrelog  (28610): 0x2e6_x000D_
I jrelog  (28610): ) (ignoring)_x000D_
I jrelog  (28610): _x000D_
I jrelog  (28610): WARNING: linker: _x000D_
I jrelog  (28610): Warning:  _x000D_
I jrelog  (28610):  data data net kdt pojavlaunch jre runtime lib aarch64 libj2pcsc so_x000D_
I jrelog  (28610):   has unsupported flags DT FLAGS 1 _x000D_
I jrelog  (28610): 0x81_x000D_
I jrelog  (28610):  (ignoring unsupported flags)_x000D_
I jrelog  (28610): _x000D_
I jrelog  (28610): dlopen  data user 0 net kdt pojavlaunch jre runtime lib aarch64 libj2pcsc so success_x000D_
I jrelog  (28610): WARNING: linker: _x000D_
I jrelog  (28610): Warning:  _x000D_
I jrelog  (28610):  data data net kdt pojavlaunch jre runtime lib aarch64 libdt socket so_x000D_
I jrelog  (28610):   unused DT entry: _x000D_
I jrelog  (28610): DT RPATH_x000D_
I jrelog  (28610):  (type _x000D_
I jrelog  (28610): 0xf_x000D_
I jrelog  (28610):  arg _x000D_
I jrelog  (28610): 0x1c1_x000D_
I jrelog  (28610): ) (ignoring)_x000D_
I jrelog  (28610): _x000D_
I jrelog  (28610): WARNING: linker: _x000D_
I jrelog  (28610): Warning:  _x000D_
I jrelog  (28610):  data data net kdt pojavlaunch jre runtime lib aarch64 libdt socket so_x000D_
I jrelog  (28610):   has unsupported flags DT FLAGS 1 _x000D_
I jrelog  (28610): 0x81_x000D_
I jrelog  (28610):  (ignoring unsupported flags)_x000D_
I jrelog  (28610): _x000D_
I jrelog  (28610): dlopen  data user 0 net kdt pojavlaunch jre runtime lib aarch64 libdt socket so success_x000D_
I jrelog  (28610): dlopen  data user 0 net kdt pojavlaunch jre runtime lib aarch64 jli libjli so success_x000D_
I jrelog  (28610): WARNING: linker: _x000D_
I jrelog  (28610): Warning:  _x000D_
I jrelog  (28610):  data data net kdt pojavlaunch jre runtime lib aarch64 libjsound so_x000D_
I jrelog  (28610):   unused DT entry: _x000D_
I jrelog  (28610): DT RPATH_x000D_
I jrelog  (28610):  (type _x000D_
I jrelog  (28610): 0xf_x000D_
I jrelog  (28610):  arg _x000D_
I jrelog  (28610): 0x119_x000D_
I jrelog  (28610): ) (ignoring)_x000D_
I jrelog  (28610): _x000D_
I jrelog  (28610): WARNING: linker: _x000D_
I jrelog  (28610): Warning:  _x000D_
I jrelog  (28610):  data data net kdt pojavlaunch jre runtime lib aarch64 libjsound so_x000D_
I jrelog  (28610):   has unsupported flags DT FLAGS 1 _x000D_
I jrelog  (28610): 0x81_x000D_
I jrelog  (28610):  (ignoring unsupported flags)_x000D_
I jrelog  (28610): _x000D_
I jrelog  (28610): dlopen  data user 0 net kdt pojavlaunch jre runtime lib aarch64 libjsound so success_x000D_
I jrelog  (28610): dlopen  data user 0 net kdt pojavlaunch jre runtime lib aarch64 libjava so success_x000D_
I jrelog  (28610): WARNING: linker: _x000D_
I jrelog  (28610): Warning:  _x000D_
I jrelog  (28610):  data data net kdt pojavlaunch jre runtime lib aarch64 libjaas unix so_x000D_
I jrelog  (28610):   unused DT entry: _x000D_
I jrelog  (28610): DT RPATH_x000D_
I jrelog  (28610):  (type _x000D_
I jrelog  (28610): 0xf_x000D_
I jrelog  (28610):  arg _x000D_
I jrelog  (28610): 0x103_x000D_
I jrelog  (28610): ) (ignoring)_x000D_
I jrelog  (28610): _x000D_
I jrelog  (28610): WARNING: linker: _x000D_
I jrelog  (28610): Warning:  _x000D_
I jrelog  (28610):  data data net kdt pojavlaunch jre runtime lib aarch64 libjaas unix so_x000D_
I jrelog  (28610):   has unsupported flags DT FLAGS 1 _x000D_
I jrelog  (28610): 0x81_x000D_
I jrelog  (28610):  (ignoring unsupported flags)_x000D_
I jrelog  (28610): _x000D_
I jrelog  (28610): dlopen  data user 0 net kdt pojavlaunch jre runtime lib aarch64 libjaas unix so success_x000D_
I jrelog  (28610): WARNING: linker: _x000D_
I jrelog  (28610): Warning:  _x000D_
I jrelog  (28610):  data data net kdt pojavlaunch jre runtime lib aarch64 libnpt so_x000D_
I jrelog  (28610):   unused DT entry: _x000D_
I jrelog  (28610): DT RPATH_x000D_
I jrelog  (28610):  (type _x000D_
I jrelog  (28610): 0xf_x000D_
I jrelog  (28610):  arg _x000D_
I jrelog  (28610): 0xd5_x000D_
I jrelog  (28610): ) (ignoring)_x000D_
I jrelog  (28610): _x000D_
I jrelog  (28610): WARNING: linker: _x000D_
I jrelog  (28610): Warning:  _x000D_
I jrelog  (28610):  data data net kdt pojavlaunch jre runtime lib aarch64 libnpt so_x000D_
I jrelog  (28610):   has unsupported flags DT FLAGS 1 _x000D_
I jrelog  (28610): 0x81_x000D_
I jrelog  (28610):  (ignoring unsupported flags)_x000D_
I jrelog  (28610): _x000D_
I jrelog  (28610): dlopen  data user 0 net kdt pojavlaunch jre runtime lib aarch64 libnpt so success_x000D_
I jrelog  (28610): dlopen  data app net kdt pojavlaunch hag8SCc6mv51 mGIL10u4w   lib arm64 libopenal so success_x000D_
I jrelog  (28610): dlopen  data app net kdt pojavlaunch hag8SCc6mv51 mGIL10u4w   lib arm64 libgl04es so success_x000D_
I jrelog  (28610): Done processing args_x000D_
I jrelog  (28610): Found JLI lib_x000D_
I jrelog  (28610): Calling JLI Launch_x000D_
I jrelog  (28610): OpenJDK 64 Bit Server VM warning: _x000D_
I jrelog  (28610): No monotonic clock was available   timed services may be adversely affected if the time of day clock changes_x000D_
I jrelog  (28610): _x000D_
I jrelog  (28610):  23:01:57   main INFO : Loading for game Minecraft 1 16 5_x000D_
I jrelog  (28610):  23:01:57   main INFO :  FabricLoader  Loading 58 mods: fabric renderer api v1 0 4 1 ca58154a7d  fabric keybindings v0 0 2 1 ca58154a7d  fabricloader 0 11 1  fabric structure api v1 1 1 4 ca58154a7d  fabric containers v0 0 1 11 9354966b7d  lithium 0 6 3  fabric dimensions v1 2 0 6 9354966b7d  fabric object builder api v1 1 9 4 9354966b7d  java 8  fabric game rule api v1 1 0 6 ca58154a7d  fabric api base 0 2 1 9354966b7d  fabric rendering data attachment v1 0 1 5 ca58154a7d  fabric textures v0 1 0 6 ca58154_x000D_
I jrelog  (28610): a7d  fabric rendering fluids v1 0 1 13 ca58154a7d  fabric blockrenderlayer v1 1 1 5 ca58154a7d  fabric lifecycle events v1 1 2 1 ca58154a7d  sodium 0 1 0  fabric renderer registries v1 2 2 1 ca58154a7d  immersive portals 0 80  fabric loot tables v1 1 0 2 ca58154a7d  fabric 0 30 3 1 16  fabric particles v1 0 2 4 ca58154a7d  fabric networking v0 0 3 2 ca58154a7d  imm ptl core 0 80  fabric networking blockentity v0 0 2 8 ca58154a7d  minecraft 1 16 5  fabric screen handler api v1 1 1 5 9354966b7d  modmenu 1 16_x000D_
I jrelog  (28610):  7  fabric command api v1 1 0 10 ca58154a7d  cloth basic math 0 5 1  fpsdisplay 1 3 0 1 16 4  phosphor 0 7 1 build 11  fabric screen api v1 1 0 0 c045166c7d  fabric tool attribute api v1 1 2 6 ca58154a7d  fabric renderer indigo 0 4 4 ca58154a7d  fabric crash report info v1 0 1 3 ca58154a7d  fabric events interaction v0 0 4 2 ca58154a7d  fabric item api v1 1 2 1 ca58154a7d  fabric entity events v1 1 0 3 ca58154a7d  fabric rendering v0 1 1 2 ca58154a7d  fabric rendering v1 1 5 1 ca58154a7d  fabric key bindin_x000D_
I jrelog  (28610): g api v1 1 0 4 9354966b7d  cloth config2 4 8 3  replaymod 1 16 4 2 5 1  fabric resource loader v0 0 4 2 ca58154a7d  autoconfig1u 3 3 1  fabric content registries v0 0 2 1 ca58154a7d  fabric tag extensions v0 1 1 1 ca58154a7d  fabric biome api v1 3 1 1 ca58154a7d  fabric commands v0 0 2 2 ca58154a7d  fabric registry sync v0 0 7 4 ca58154a7d  fabric mining levels v0 0 1 3 ca58154a7d  fabric networking api v1 1 0 1 ca58154a7d  fallingtree 2 10 2  fabric events lifecycle v0 0 2 1 ca58154a7d  fabric item groups_x000D_
I jrelog  (28610):  v0 0 2 3 ca58154a7d  fabric models v0 0 2 1 ca58154a7d  fabric object builders v0 0 7 2 ca58154a7d_x000D_
I jrelog  (28610):  23:01:57   main INFO : SpongePowered MIXIN Subsystem Version 0 8 2 Source file: storage emulated 0 games PojavLauncher  minecraft libraries net fabricmc sponge mixin 0 8 2 build 24 sponge mixin 0 8 2 build 24 jar Service Knot Fabric Env CLIENT_x000D_
I jrelog  (28610):  23:01:58   main INFO : Loaded configuration file for Sodium (38 options available  0 user overrides)_x000D_
I jrelog  (28610):  23:01:58   main INFO : Sodium has been successfully discovered and initialized    your game is now faster _x000D_
I jrelog  (28610):  23:01:58   main INFO : Loaded configuration file for Lithium: 76 options available  1 override(s) found_x000D_
I jrelog  (28610):  23:01:58   main WARN : Reference map  mixins nonmmlauncher replaymod refmap json  for mixins nonmmlauncher replaymod json could not be read  If this is a development environment you can ignore this message_x000D_
I jrelog  (28610):  23:01:58   main WARN : Force disabling mixin  world player chunk tick ThreadedAnvilChunkStorageMixin  as rule  mixin world player chunk tick  (added by mods  immersive portals ) disables it and children_x000D_
I jrelog  (28610):  23:01:59   main WARN :  Mixin target net minecraft class 3898 class 3208 is public in imm ptl mixins json:common entity sync MixinEntityTracker and should be specified in value_x000D_
I jrelog  (28610):  23:01:59   main WARN :  Mixin target net minecraft class 3898 class 3208 is public in fabric networking api v1 mixins json:accessor EntityTrackerAccessor and should be specified in value_x000D_
I jrelog  (28610): Fetching https:  api sk1er club modcore versions_x000D_
I jrelog  (28610): _x000D_
I jrelog  (28610): No ModCore target for 1 16 5 fabric  This in fine  unless you re specifically looking for ModCore _x000D_
I jrelog  (28610): _x000D_
I jrelog  (28610):  23:02:01   main WARN : Error loading class: net optifine render ChunkVisibility (java lang ClassNotFoundException: net optifine render ChunkVisibility)_x000D_
I jrelog  (28610):  23:02:01   main WARN : Error loading class: shadersmod client ShadersRender (java lang ClassNotFoundException: shadersmod client ShadersRender)_x000D_
I jrelog  (28610):  23:02:01   main WARN : Error loading class: net optifine shaders ShadersRender (java lang ClassNotFoundException: net optifine shaders ShadersRender)_x000D_
I jrelog  (28610):  23:02:11   main INFO : Environment: authHost  https:  authserver mojang com   accountsHost  https:  api mojang com   sessionHost  https:  sessionserver mojang com   servicesHost  https:  api minecraftservices com   name  PROD _x000D_
I jrelog  (28610):  23:02:13   main ERROR : Failed to verify authentication_x000D_
I jrelog  (28610): com mojang authlib exceptions AuthenticationUnavailableException: null_x000D_
I jrelog  (28610): 	at com mojang authlib yggdrasil YggdrasilSocialInteractionsService checkPrivileges(YggdrasilSocialInteractionsService java:97)   authlib 2 1 28 jar:  _x000D_
I jrelog  (28610): 	at com mojang authlib yggdrasil YggdrasilSocialInteractionsService  init (YggdrasilSocialInteractionsService java:40)   authlib 2 1 28 jar:  _x000D_
I jrelog  (28610): 	at com mojang authlib yggdrasil YggdrasilAuthenticationService createSocialInteractions_x000D_
I jrelog  (28610): Service(YggdrasilAuthenticationService java:152)   authlib 2 1 28 jar:  _x000D_
I jrelog  (28610): 	at net minecraft class 310 method 31382(class 310 java:625)  intermediary fabric loader 0 11 1 1 16 5 jar:  _x000D_
I jrelog  (28610): 	at net minecraft class 310  init (class 310 java:409)  intermediary fabric loader 0 11 1 1 16 5 jar:  _x000D_
I jrelog  (28610): 	at net minecraft client main Main main(Main java:177)  intermediary fabric loader 0 11 1 1 16 5 jar:  _x000D_
I jrelog  (28610): 	at sun reflect NativeMethodAccessorImpl invoke0(Native Method)    :1 8 0 internal _x000D_
I jrelog  (28610): 	at sun reflect NativeMethodAccessor_x000D_
I jrelog  (28610): Impl invoke(NativeMethodAccessorImpl java:62)    :1 8 0 internal _x000D_
I jrelog  (28610): 	at sun reflect DelegatingMethodAccessorImpl invoke(DelegatingMethodAccessorImpl java:43)    :1 8 0 internal _x000D_
I jrelog  (28610): 	at java lang reflect Method invoke(Method java:498)    :1 8 0 internal _x000D_
I jrelog  (28610): 	at net fabricmc loader game MinecraftGameProvider launch(MinecraftGameProvider java:226)  fabric loader 0 11 1 jar:  _x000D_
I jrelog  (28610): 	at net fabricmc loader launch knot Knot init(Knot java:139)  fabric loader 0 11 1 jar:  _x000D_
I jrelog  (28610): 	at net fabricmc loader launch knot KnotClient main(K_x000D_
I jrelog  (28610): notClient java:27)  fabric loader 0 11 1 jar:  _x000D_
I </t>
  </si>
  <si>
    <t>TeamNewPipe-NewPipe-5720</t>
  </si>
  <si>
    <t>NewPipe not working on Android 7.0 Nougat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</si>
  <si>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7 0_x000D_
   Device model: Galaxy Nesus_x000D_
</t>
  </si>
  <si>
    <t>TeamNewPipe-NewPipe-5719</t>
  </si>
  <si>
    <t>Disabling "Show description" disables comments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</si>
  <si>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Turn off Show description in Content settings page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Description remains under each video  but comment tab is hidden _x000D_
_x000D_
_x000D_
    Expected behavior_x000D_
     Tell us what you expect to happen     _x000D_
Description should be hidden and comments unchanged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9_x000D_
   Device model: SM P200</t>
  </si>
  <si>
    <t>skrafft-react-native-jitsi-meet-251</t>
  </si>
  <si>
    <t>JitsiMeet.call(url, userInfo); crush Android App</t>
  </si>
  <si>
    <t xml:space="preserve">Hello all trying to call but the entire application crash  _x000D_
_x000D_
   java_x000D_
	13:54:47 507	unknown:ReactNative		CatalystInstanceImpl caught native exception_x000D_
com facebook react common JavascriptException: TypeError: null is not an object (evaluating  E SECURITY LEVEL ANY )  stack:_x000D_
 unknown  441:1268_x000D_
v 2:1473_x000D_
 unknown  423:157_x000D_
v 2:1473_x000D_
 unknown  408:130_x000D_
v 2:1473_x000D_
 unknown  407:126_x000D_
v 2:1473_x000D_
 unknown  406:174_x000D_
v 2:1473_x000D_
 unknown  6:57_x000D_
v 2:1473_x000D_
d 2:875_x000D_
global code 1017:3_x000D_
_x000D_
	at com facebook react modules core ExceptionsManagerModule reportException(ExceptionsManagerModule java:83)_x000D_
	at java lang reflect Method invoke(Native Method)_x000D_
	at com facebook react bridge JavaMethodWrapper invoke(JavaMethodWrapper java:372)_x000D_
	at com facebook react bridge JavaModuleWrapper invoke(JavaModuleWrapper java:151)_x000D_
	at com facebook react bridge queue NativeRunnable run(Native Method)_x000D_
	at android os Handler handleCallback(Handler java:938)_x000D_
	at android os Handler dispatchMessage(Handler java:99)_x000D_
	at com facebook react bridge queue MessageQueueThreadHandler dispatchMessage(MessageQueueThreadHandler java:27)_x000D_
	at android os Looper loop(Looper java:223)_x000D_
	at com facebook react bridge queue MessageQueueThreadImpl 4 run(MessageQueueThreadImpl java:226)_x000D_
	at java lang Thread run(Thread java:923)_x000D_
_x000D_
	13:54:47 507	unknown:DisabledDevSupportManager		Caught exception_x000D_
com facebook react common JavascriptException: TypeError: null is not an object (evaluating  E SECURITY LEVEL ANY )  stack:_x000D_
 unknown  441:1268_x000D_
v 2:1473_x000D_
 unknown  423:157_x000D_
v 2:1473_x000D_
 unknown  408:130_x000D_
v 2:1473_x000D_
 unknown  407:126_x000D_
v 2:1473_x000D_
 unknown  406:174_x000D_
v 2:1473_x000D_
 unknown  6:57_x000D_
v 2:1473_x000D_
d 2:875_x000D_
global code 1017:3_x000D_
_x000D_
	at com facebook react modules core ExceptionsManagerModule reportException(ExceptionsManagerModule java:83)_x000D_
	at java lang reflect Method invoke(Native Method)_x000D_
	at com facebook react bridge JavaMethodWrapper invoke(JavaMethodWrapper java:372)_x000D_
	at com facebook react bridge JavaModuleWrapper invoke(JavaModuleWrapper java:151)_x000D_
	at com facebook react bridge queue NativeRunnable run(Native Method)_x000D_
	at android os Handler handleCallback(Handler java:938)_x000D_
	at android os Handler dispatchMessage(Handler java:99)_x000D_
	at com facebook react bridge queue MessageQueueThreadHandler dispatchMessage(MessageQueueThreadHandler java:27)_x000D_
	at android os Looper loop(Looper java:223)_x000D_
	at com facebook react bridge queue MessageQueueThreadImpl 4 run(MessageQueueThreadImpl java:226)_x000D_
	at java lang Thread run(Thread java:923)_x000D_
_x000D_
	13:54:47 507	AndroidRuntime		FATAL EXCEPTION: mqt native modules_x000D_
Process: com objectivelove  PID: 24141_x000D_
com facebook react common JavascriptException: TypeError: null is not an object (evaluating  E SECURITY LEVEL ANY )  stack:_x000D_
 unknown  441:1268_x000D_
v 2:1473_x000D_
 unknown  423:157_x000D_
v 2:1473_x000D_
 unknown  408:130_x000D_
v 2:1473_x000D_
 unknown  407:126_x000D_
v 2:1473_x000D_
 unknown  406:174_x000D_
v 2:1473_x000D_
 unknown  6:57_x000D_
v 2:1473_x000D_
d 2:875_x000D_
global code 1017:3_x000D_
_x000D_
	at com facebook react modules core ExceptionsManagerModule reportException(ExceptionsManagerModule java:83)_x000D_
	at java lang reflect Method invoke(Native Method)_x000D_
	at com facebook react bridge JavaMethodWrapper invoke(JavaMethodWrapper java:372)_x000D_
	at com facebook react bridge JavaModuleWrapper invoke(JavaModuleWrapper java:151)_x000D_
	at com facebook react bridge queue NativeRunnable run(Native Method)_x000D_
	at android os Handler handleCallback(Handler java:938)_x000D_
	at android os Handler dispatchMessage(Handler java:99)_x000D_
	at com facebook react bridge queue MessageQueueThreadHandler dispatchMessage(MessageQueueThreadHandler java:27)_x000D_
	at android os Looper loop(Looper java:223)_x000D_
	at com facebook react bridge queue MessageQueueThreadImpl 4 run(MessageQueueThreadImpl java:226)_x000D_
	at java lang Thread run(Thread java:923)_x000D_
_x000D_
	13:54:47 509	JitsiMeetSDK		JitsiMeetUncaughtExceptionHandler FATAL ERROR_x000D_
com facebook react common JavascriptException: TypeError: null is not an object (evaluating  E SECURITY LEVEL ANY )  stack:_x000D_
 unknown  441:1268_x000D_
v 2:1473_x000D_
 unknown  423:157_x000D_
v 2:1473_x000D_
 unknown  408:130_x000D_
v 2:1473_x000D_
 unknown  407:126_x000D_
v 2:1473_x000D_
 unknown  406:174_x000D_
v 2:1473_x000D_
 unknown  6:57_x000D_
v 2:1473_x000D_
d 2:875_x000D_
global code 1017:3_x000D_
_x000D_
	at com facebook react modules core ExceptionsManagerModule reportException(ExceptionsManagerModule java:83)_x000D_
	at java lang reflect Method invoke(Native Method)_x000D_
	at com facebook react bridge JavaMethodWrapper invoke(JavaMethodWrapper java:372)_x000D_
	at com facebook react bridge JavaModuleWrapper invoke(JavaModuleWrapper java:151)_x000D_
	at com facebook react bridge queue NativeRunnable run(Native Method)_x000D_
	at android os Handler handleCallback(Handler java:938)_x000D_
	at android os Handler dispatchMessage(Handler java:99)_x000D_
	at com facebook react bridge queue MessageQueueThreadHandler dispatchMessage(MessageQueueThreadHandler java:27)_x000D_
	at android os Looper loop(Looper java:223)_x000D_
	at com facebook react bridge queue MessageQueueThreadImpl 4 run(MessageQueueThreadImpl java:226)_x000D_
	at java lang Thread run(Thread java:923)_x000D_
_x000D_
com facebook react common JavascriptException: TypeError: null is not an object (evaluating  E SECURITY LEVEL ANY )  stack:_x000D_
 unknown  441:1268_x000D_
v 2:1473_x000D_
 unknown  423:157_x000D_
v 2:1473_x000D_
 unknown  408:130_x000D_
v 2:1473_x000D_
 unknown  407:126_x000D_
v 2:1473_x000D_
 unknown  406:174_x000D_
v 2:1473_x000D_
 unknown  6:57_x000D_
v 2:1473_x000D_
d 2:875_x000D_
global code 1017:3_x000D_
_x000D_
	at com facebook react modules core ExceptionsManagerModule reportException(ExceptionsManagerModule java:83)_x000D_
	at java lang reflect Method invoke(Native Method)_x000D_
	at com facebook react bridge JavaMethodWrapper invoke(JavaMethodWrapper java:372)_x000D_
	at com facebook react bridge JavaModuleWrapper invoke(JavaModuleWrapper java:151)_x000D_
	at com facebook react bridge queue NativeRunnable run(Native Method)_x000D_
	at android os Handler handleCallback(Handler java:938)_x000D_
	at android os Handler dispatchMessage(Handler java:99)_x000D_
	at com facebook react bridge queue MessageQueueThreadHandler dispatchMessage(MessageQueueThreadHandler java:27)_x000D_
	at android os Looper loop(Looper java:223)_x000D_
	at com facebook react bridge queue MessageQueueThreadImpl 4 run(MessageQueueThreadImpl java:226)_x000D_
	at java lang Thread run(Thread java:923)_x000D_
_x000D_
	13:54:48 008	MDD		DownloadProgressMonitor: Can t find file group for uri: android:  com google android googlequicksearchbox files sharedminusonemodule shared SharedMinusOneData pb tmp_x000D_
   </t>
  </si>
  <si>
    <t>TeamNewPipe-NewPipe-5718</t>
  </si>
  <si>
    <t>Fix crash when reordering channel groups.</t>
  </si>
  <si>
    <t xml:space="preserve">     Hey there  Thank you so much for improving NewPipe  and filling out the details  Having roughly the same layout helps everyone considerably :)   _x000D_
_x000D_
     What is it _x000D_
   x  Bugfix (user facing)_x000D_
      Feature (user facing)_x000D_
      Codebase improvement (dev facing)_x000D_
      Meta improvement to the project (dev facing)_x000D_
_x000D_
     Description of the changes in your PR_x000D_
     While bullet points are the norm in this section  feel free to write free form text instead of a list    _x000D_
  Fix the crash that occurs when reordering channel groups _x000D_
_x000D_
     Fixes the following issue(s)_x000D_
     Also add any other links relevant to your change     _x000D_
  https:  github com TeamNewPipe NewPipe issues 5596_x000D_
_x000D_
     APK testing _x000D_
     Use a new  meaningfully named branch  The name is used as a suffix for the app ID to allow installing and testing multiple versions of NewPipe  e g   commentfix   if your PR implements a bugfix for comments  (No names like  patch 0  and  feature 1  )     _x000D_
     Remove the following line if you directly link the APK created by the CI pipeline  Directly linking is preferred if you need to let users test    _x000D_
On the website the APK can be found by going to the  Checks  tab below the title and then on  artifacts  on the right _x000D_
_x000D_
     Due diligence_x000D_
   x  I read the  contribution guidelines (https:  github com TeamNewPipe NewPipe blob HEAD  github CONTRIBUTING md) _x000D_
</t>
  </si>
  <si>
    <t>microg-GmsCore-1409</t>
  </si>
  <si>
    <t>Android 11 package visibility changes break microg</t>
  </si>
  <si>
    <t xml:space="preserve">Normally my workflow is:_x000D_
_x000D_
1) Build custom AOSP ROM with framework patches and minimal changes otherwise_x000D_
2) Sideload F Droid_x000D_
3) Install Barcode Scanner from F Droid_x000D_
4) Scan QR code to add microg F Droid repository_x000D_
5) Install microg components via F Droid (as normal non system apps)_x000D_
6) Sideload other random apps or restore them from backup_x000D_
_x000D_
When trying to run Google Camera under Android 11 I encountered this new crash:_x000D_
_x000D_
   _x000D_
          beginning of crash_x000D_
02 28 03:40:31 161  6374  6374 E AndroidRuntime: FATAL EXCEPTION: main_x000D_
02 28 03:40:31 161  6374  6374 E AndroidRuntime: Process: com google android GoogleCamera  PID: 6374_x000D_
02 28 03:40:31 161  6374  6374 E AndroidRuntime: java lang RuntimeException: Unable to create application com google vr vrcore base api util Application: java lang SecurityException: Failed to find provider com google android gsf gservices for user 0  expected to find a valid ContentProvider for this authority_x000D_
02 28 03:40:31 161  6374  6374 E AndroidRuntime: 	at android app ActivityThread handleBindApplication(ActivityThread java:6720)_x000D_
02 28 03:40:31 161  6374  6374 E AndroidRuntime: 	at android app ActivityThread access 1300(ActivityThread java:237)_x000D_
02 28 03:40:31 161  6374  6374 E AndroidRuntime: 	at android app ActivityThread H handleMessage(ActivityThread java:1913)_x000D_
02 28 03:40:31 161  6374  6374 E AndroidRuntime: 	at android os Handler dispatchMessage(Handler java:106)_x000D_
02 28 03:40:31 161  6374  6374 E AndroidRuntime: 	at android os Looper loop(Looper java:223)_x000D_
02 28 03:40:31 161  6374  6374 E AndroidRuntime: 	at android app ActivityThread main(ActivityThread java:7660)_x000D_
02 28 03:40:31 161  6374  6374 E AndroidRuntime: 	at java lang reflect Method invoke(Native Method)_x000D_
02 28 03:40:31 161  6374  6374 E AndroidRuntime: 	at com android internal os RuntimeInit MethodAndArgsCaller run(RuntimeInit java:592)_x000D_
02 28 03:40:31 161  6374  6374 E AndroidRuntime: 	at com android internal os ZygoteInit main(ZygoteInit java:947)_x000D_
02 28 03:40:31 161  6374  6374 E AndroidRuntime: Caused by: java lang SecurityException: Failed to find provider com google android gsf gservices for user 0  expected to find a valid ContentProvider for this authority_x000D_
02 28 03:40:31 161  6374  6374 E AndroidRuntime: 	at android os Parcel createExceptionOrNull(Parcel java:2373)_x000D_
02 28 03:40:31 161  6374  6374 E AndroidRuntime: 	at android os Parcel createException(Parcel java:2357)_x000D_
02 28 03:40:31 161  6374  6374 E AndroidRuntime: 	at android os Parcel readException(Parcel java:2340)_x000D_
02 28 03:40:31 161  6374  6374 E AndroidRuntime: 	at android os Parcel readException(Parcel java:2282)_x000D_
02 28 03:40:31 161  6374  6374 E AndroidRuntime: 	at android content IContentService Stub Proxy registerContentObserver(IContentService java:1229)_x000D_
02 28 03:40:31 161  6374  6374 E AndroidRuntime: 	at android content ContentResolver registerContentObserver(ContentResolver java:2627)_x000D_
02 28 03:40:31 161  6374  6374 E AndroidRuntime: 	at android content ContentResolver registerContentObserver(ContentResolver java:2615)_x000D_
02 28 03:40:31 161  6374  6374 E AndroidRuntime: 	at msa g(PG:3)_x000D_
02 28 03:40:31 161  6374  6374 E AndroidRuntime: 	at msa c(PG:1)_x000D_
02 28 03:40:31 161  6374  6374 E AndroidRuntime: 	at msa a(PG:1)_x000D_
02 28 03:40:31 161  6374  6374 E AndroidRuntime: 	at com google android apps camera legacy app app CameraApp onCreate(PG:10)_x000D_
02 28 03:40:31 161  6374  6374 E AndroidRuntime: 	at android app Instrumentation callApplicationOnCreate(Instrumentation java:1192)_x000D_
02 28 03:40:31 161  6374  6374 E AndroidRuntime: 	at android app ActivityThread handleBindApplication(ActivityThread java:6715)_x000D_
02 28 03:40:31 161  6374  6374 E AndroidRuntime: 	    8 more_x000D_
02 28 03:40:31 161  6374  6374 E AndroidRuntime: Caused by: android os RemoteException: Remote stack trace:_x000D_
02 28 03:40:31 161  6374  6374 E AndroidRuntime: 	at com android server content ContentService registerContentObserver(ContentService java:355)_x000D_
02 28 03:40:31 161  6374  6374 E AndroidRuntime: 	at android content IContentService Stub onTransact(IContentService java:482)_x000D_
02 28 03:40:31 161  6374  6374 E AndroidRuntime: 	at android os Binder execTransactInternal(Binder java:1154)_x000D_
02 28 03:40:31 161  6374  6374 E AndroidRuntime: 	at android os Binder execTransact(Binder java:1123)_x000D_
02 28 03:40:31 161  6374  6374 E AndroidRuntime: _x000D_
02 28 03:40:31 163  1481  1783 W ActivityTaskManager:   Force finishing activity com google android GoogleCamera com android camera CameraLauncher_x000D_
   _x000D_
_x000D_
After I uninstalled microg GmsCore and then sideloaded the APK using    force queryable   that fixed the error   I confirmed with  dumpsys package queries  that Android 11 no longer makes microg s GmsCore visible to all apps   Perhaps we should introduce a new framework patch to work around this quirk   This worked for me but I m not sure if I should be listing other microg packages too:_x000D_
_x000D_
   _x000D_
diff   git a services core java com android server pm AppsFilter java b services core java com android server pm AppsFilter java_x000D_
index 10f77144e022  718fcb1b0f4c 100644_x000D_
    a services core java com android server pm AppsFilter java_x000D_
    b services core java com android server pm AppsFilter java_x000D_
    567 6  567 7    public class AppsFilter  _x000D_
         final boolean newIsForceQueryable  _x000D_
                 mForceQueryable contains(newPkgSetting appId)_x000D_
                            shared user that is already force queryable   _x000D_
                            newPkg getPackageName() equals( com google android gms )_x000D_
                            newPkgSetting forceQueryableOverride    adb override   _x000D_
                            (newPkgSetting isSystem()    (mSystemAppsQueryable_x000D_
                            newPkg isForceQueryable()_x000D_
   </t>
  </si>
  <si>
    <t>connectbot-connectbot-904</t>
  </si>
  <si>
    <t>Crash on versions git-v1.9.7-76 to git-v1.9.7-82</t>
  </si>
  <si>
    <t xml:space="preserve">   Bug description_x000D_
Connectbot crashes when launched on a Pixel 4 XL running latest Android build RQ1A 210205 004 _x000D_
_x000D_
The affected versions are the latest versions at time of writing:_x000D_
git v1 9 7 76 gf2bf38af _x000D_
git v1 9 7 77 g4778931e _x000D_
git v1 9 7 78 g4492a904_x000D_
git v1 9 7 79 gbee9ecef_x000D_
git v1 9 7 80 g329c8858_x000D_
git v1 9 7 81 gd93f5ee4_x000D_
git v1 9 7 82 g96664d4c_x000D_
_x000D_
_x000D_
   Steps to reproduce_x000D_
_x000D_
1  Open Connectbot_x000D_
2  Observe instant crash and app close _x000D_
3  Try open Connectbot again _x000D_
4  See Android dialogue box explaining that  Connectbot keeps stopping  _x000D_
_x000D_
_x000D_
   Expected behavior_x000D_
_x000D_
It is expected that Connectbot will open without crashing _x000D_
_x000D_
_x000D_
   Android device_x000D_
_x000D_
   Device: Google Pixel 4 XL_x000D_
   OS: Android 10 build RQ1A 210205 004_x000D_
   ConnectBot Versions: git v1 9 7 77 g4778931e  and git v1 9 7 76 gf2bf38af and git v1 9 7 78 g4492a904 and git v1 9 7 79 gbee9ecef and git v1 9 7 80 g329c8858 and git v1 9 7 81 gd93f5ee4 and git v1 9 7 82 g96664d4c_x000D_
_x000D_
_x000D_
   Additional context_x000D_
_x000D_
Thanks for Connectbot _x000D_
_x000D_
Edit: Prior version git v1 9 7 71 gae7366d0  is not affected by this crash bug  The crash was introduced somewhere in this commit: https:  github com connectbot connectbot compare git v1 9 7 71 gae7366d0   git v1 9 7 76 gf2bf38af _x000D_
</t>
  </si>
  <si>
    <t>nextcloud-android-8077</t>
  </si>
  <si>
    <t>unable to share folder with read and put or put only rights</t>
  </si>
  <si>
    <t xml:space="preserve">    Steps to reproduce_x000D_
1  Create empty folder_x000D_
2  Cr ate sharing link_x000D_
3  Change permissions of the link from read only to put only or  read and put files _x000D_
_x000D_
    Expected behaviour_x000D_
  should change access rights of the folder_x000D_
_x000D_
    Actual behaviour_x000D_
  application crash with logs bellow_x000D_
_x000D_
             CAUSE OF ERROR             _x000D_
_x000D_
java lang RuntimeException: Accessing result data after operation failed _x000D_
	at com owncloud android lib common operations RemoteOperationResult getData(RemoteOperationResult java:486)_x000D_
	at com owncloud android utils ErrorMessageAdapter getMessageForUpdateShareOperations(ErrorMessageAdapter java:204)_x000D_
	at com owncloud android utils ErrorMessageAdapter getMessageForResultAndOperation(ErrorMessageAdapter java:152)_x000D_
	at com owncloud android utils ErrorMessageAdapter getErrorCauseMessage(ErrorMessageAdapter java:79)_x000D_
	at com owncloud android ui activity FileActivity onRemoteOperationFinish(FileActivity java:380)_x000D_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java:873)_x000D_
	at android os Handler dispatchMessage(Handler java:99)_x000D_
	at android os Looper loop(Looper java:193)_x000D_
	at android app ActivityThread main(ActivityThread java:6766)_x000D_
	at java lang reflect Method invoke(Native Method)_x000D_
	at com android internal os RuntimeInit MethodAndArgsCaller run(RuntimeInit java:493)_x000D_
	at com android internal os ZygoteInit main(ZygoteInit java:858)_x000D_
_x000D_
             APP INFORMATION             _x000D_
ID: com nextcloud client_x000D_
Version: 30150090_x000D_
Build flavor: generic_x000D_
_x000D_
             DEVICE INFORMATION             _x000D_
Brand: CROSSCALL_x000D_
Model: Trekker X4_x000D_
_x000D_
             FIRMWARE             _x000D_
SDK: 28_x000D_
Release: 9_x000D_
Incremental: L637 10 4 1_x000D_
_x000D_
</t>
  </si>
  <si>
    <t>Anuken-Mindustry-4806</t>
  </si>
  <si>
    <t>Spawning when opening a new zone from a long time ago. Behavior of enemy units.</t>
  </si>
  <si>
    <t xml:space="preserve">  Platform  : Windows 10_x000D_
  Build  : 6 0 Build 125 1_x000D_
_x000D_
  Issue  : When I spawned in a new zone after opening Mindustry from a long time (even though I updated it when build 125 1 went public)  I didn t built anything before  But when I arrived  the camera  instead of following the core animation landing  spawned my ship near to the enemy spawn point  What was  bizarre  was that I spawned with other enemy units  at the same place  One of them was in low health  And even more  bizarre  they were ground units  more precisely Pulsars  They were all flying  and they didn t interact at all with me  not even shot at me  They couldn t fly to attack my core  and they were just here hanging out  Is it an AI problem _x000D_
_x000D_
Other major problem  as you can see  when I updated to 125 1  all my tech tree progress was erased  but not the maps and zones  I think it s rather an   important problem   to lose  all  progression on tech tree but   not on the planet     _x000D_
  Steps to reproduce  : Open zone 170  at wave 1  there is as I seen 5 pulsars spawning  I think that it is impossible to recreate because they were flying out of the map _x000D_
_x000D_
  Link(s) to mod(s) used  : No mods were used at this time _x000D_
_x000D_
  Save file  : How do I save the map of a Campaign map on a file  Sorry  but I have a screenshot instead if it can help you _x000D_
  image (https:  user images githubusercontent com 67834068 109383447 dbc71280 78e6 11eb 89a8 160b5ef630a6 png)_x000D_
_x000D_
_x000D_
If you remove the line above without reading it properly and understanding what it means  I will reap your soul  Even if you re playing on someone s server  you can still save the game to a slot _x000D_
_x000D_
  (Crash) logs  : It is not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</si>
  <si>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PojavLauncherTeam-PojavLauncher-974</t>
  </si>
  <si>
    <t>[BUG] Crash Upon Launching Game 1.12.2 [Forge/Vanilla]</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</si>
  <si>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Upon starting any version type of the Minecraft client  the launcher opens the game  and immediately crashes  returning to the launcher main menu  This has been tested with both Vanilla and Forge releases of the 1 12 2 Minecraft version  with the issue occurring on both releases _x000D_
_x000D_
  Add a log file if you want to see your bug fixed    _x000D_
_x000D_
The log file called  lastlog txt  is located under   games PojavLauncher  minecraft    _x000D_
You may need to activate an option in your file explorer to see hidden files and folders _x000D_
_x000D_
Do NOT paste the whole log text   Instead  add it as a file on this issue _x000D_
_x000D_
 latestlog txt (https:  github com PojavLauncherTeam PojavLauncher files 6053009 latestlog txt)_x000D_
_x000D_
    To Reproduce:_x000D_
Indicate steps to reproduce the buggy behavior:_x000D_
_x000D_
1  Start PojavLauncher_x000D_
2  Select a version and press  Play _x000D_
3  Wait for the client to open_x000D_
4  The client crashes  returning to the main menu of the launcher _x000D_
_x000D_
    Expected behavior:_x000D_
I expected the client to open normally and be functional operational with inputs _x000D_
_x000D_
    Screenshots or videos:_x000D_
 Upload here screenshots or videos of the buggy behavior  if possible  _x000D_
_x000D_
  Platform:  _x000D_
   Device Model: Oppo F1s_x000D_
   CPU architecture: aarch64_x000D_
   Android Version: Lollipop MR1 5 1_x000D_
   PojavLauncher Version: version 3 3 1 1 rel 20210125_x000D_
_x000D_
_x000D_
 details   summary  b Additional context  b   summary _x000D_
 br _x000D_
 pre _x000D_
Add any other context about the problem here _x000D_
  pre _x000D_
  details _x000D_
</t>
  </si>
  <si>
    <t>MuntashirAkon-AppManager-299</t>
  </si>
  <si>
    <t>App crashing at specific Tabs</t>
  </si>
  <si>
    <t xml:space="preserve">  Describe the bug  _x000D_
The App is crashing  when going to Providers  App OPS  User Permissions and Permissions _x000D_
_x000D_
  Crash logs  _x000D_
java lang ExceptionInInitializerError_x000D_
    at io github muntashirakon AppManager details AppDetailsViewModel loadAppOps(AppDetailsViewModel java:917)_x000D_
    at io github muntashirakon AppManager details AppDetailsViewModel lambda l0EWUQ8pwSEwIOu4g2r5od7Q6Ks(Unknown Source:0)_x000D_
    at io github muntashirakon AppManager details    Lambda AppDetailsViewModel l0EWUQ8pwSEwIOu4g2r5od7Q6Ks run(Unknown Source:2)_x000D_
    at java lang Thread run(Thread java:923)_x000D_
 Caused by: java lang ArrayIndexOutOfBoundsException: length 100  index 100_x000D_
   at io github muntashirakon AppManager appops AppOpsManager  clinit (AppOpsManager java:1410)_x000D_
   at io github muntashirakon AppManager details AppDetailsViewModel loadAppOps(AppDetailsViewModel java:917)_x000D_
   at io github muntashirakon AppManager details AppDetailsViewModel lambda l0EWUQ8pwSEwIOu4g2r5od7Q6Ks(Unknown Source:0)_x000D_
   at io github muntashirakon AppManager details    Lambda AppDetailsViewModel l0EWUQ8pwSEwIOu4g2r5od7Q6Ks run(Unknown Source:2)_x000D_
   at java lang Thread run(Thread java:923)_x000D_
_x000D_
_x000D_
  Device info  _x000D_
App version: 2 5 20_x000D_
App version code: 375_x000D_
Android build version: G973FXXU9ETLJ_x000D_
Android release version: 11_x000D_
Android SDK version: 30_x000D_
Android build ID: beyond1ltexx user 11 RP1A 200720 012 G973FXXU9ETLJ release keys_x000D_
Device brand: samsung_x000D_
Device manufacturer: Samsung_x000D_
Device name: beyond1_x000D_
Device model: SM G973F_x000D_
Device product name: beyond1ltexx_x000D_
Device hardware name: exynos9820_x000D_
ABIs:  arm64 v8a  armeabi v7a  armeabi _x000D_
ABIs (32bit):  armeabi v7a  armeabi _x000D_
ABIs (64bit):  arm64 v8a _x000D_
System language: de DE_x000D_
In App Language: auto  but doesn t matter_x000D_
Mode: root  gut doesn t matter</t>
  </si>
  <si>
    <t>Anuken-Mindustry-4802</t>
  </si>
  <si>
    <t>Game gets confused and puts you in a weird state when joining a server (server join spectator bug)</t>
  </si>
  <si>
    <t xml:space="preserve">  i know this is a duplicate of  4800  but i have reproduction steps   apparently not_x000D_
_x000D_
  Platform  : Windows 10_x000D_
_x000D_
  Build  : 125 1_x000D_
_x000D_
  Issue  : When joining a server  game gets confused and puts you in a weird combination of singleplayer and multiplayer _x000D_
in this mode:_x000D_
  you will see the world as singleplayer_x000D_
  you can t chat or see the chat_x000D_
  you can interact with the world  and people can see you_x000D_
  you can t see the player list_x000D_
  you can see what people are building breaking_x000D_
  you can t see other people_x000D_
_x000D_
  Steps to reproduce  : _x000D_
1  open the join dialog_x000D_
2  click the server you want to perform the bug in (tested on 2r2t)_x000D_
3  quickly click the  cancel  button on the  connecting  screen_x000D_
4  if you get  loading world data   the glitch has been performed successfully_x000D_
5  if you get  already connected    connection timed out   or nothing  you weren t fast enough_x000D_
_x000D_
  Link(s) to mod(s) used  : none_x000D_
_x000D_
  Save file  :  multiplayer bug zip (https:  github com Anuken Mindustry files 6051410 multiplayer bug zip) (zipped msav)_x000D_
_x000D_
  (Crash) logs  : no crashes_x000D_
_x000D_
   _x000D_
_x000D_
 Place an X (no spaces) between the brackets to confirm that you have read the line below    _x000D_
   X    I have updated to the latest release (https:  github com Anuken Mindustry releases) to make sure my issue has not been fixed   _x000D_
</t>
  </si>
  <si>
    <t>SDP-group22-Helio-app-84</t>
  </si>
  <si>
    <t>Make control sliders send move instead of update requests</t>
  </si>
  <si>
    <t xml:space="preserve">See  ControlRecViewAdapter   onStopTrackingTouch()   This should send a move request but it updates instead  Note that it crashes if you use  moveCurrentMotor(int id)  because there is no current id when in the control screen  so something will need to be done to get the id if the motor from there and send to the model in a new method </t>
  </si>
  <si>
    <t>nextcloud-android-8072</t>
  </si>
  <si>
    <t>App crashed by setting password on OnePlus7T</t>
  </si>
  <si>
    <t xml:space="preserve">    Steps to reproduce_x000D_
1   Open Android App_x000D_
2   Move to Folder  Folder has name   24 02 2021  _x000D_
3   Press on sharing button  press on  Share Link    Sharing Link is generated   everything works as expected_x000D_
4   Press 3 Dots Menu Button   br  img src  https:  user images githubusercontent com 9842552 109324016 6c084780 7854 11eb 8573 d8d413b6a42a png  height  1000px   _x000D_
_x000D_
5   Choose  Set Password    br  img src  https:  user images githubusercontent com 9842552 109323987 5eeb5880 7854 11eb 96c5 6216aa0e19e1 png  height  1000px   _x000D_
_x000D_
6   Confirm new Password    App crashed   br  img src  https:  user images githubusercontent com 9842552 109323929 4da24c00 7854 11eb 92dc 9196d598f04f png  height  1000px   _x000D_
_x000D_
    Expected behaviour_x000D_
  Password will be set  App doesn t crashed_x000D_
_x000D_
    Actual behaviour_x000D_
  App crashed_x000D_
_x000D_
    Can you reproduce this problem on https:  try nextcloud com _x000D_
  No  because it just happen in the app _x000D_
_x000D_
     CAUSE OF ERROR     _x000D_
_x000D_
java lang RuntimeException: Accessing result data after operation failed _x000D_
	at com owncloud android lib common operations RemoteOperationResult getData(RemoteOperationResult java:488)_x000D_
	at com owncloud android utils ErrorMessageAdapter getMessageForUpdateShareOperations(ErrorMessageAdapter java:204)_x000D_
	at com owncloud android utils ErrorMessageAdapter getMessageForResultAndOperation(ErrorMessageAdapter java:152)_x000D_
	at com owncloud android utils ErrorMessageAdapter getErrorCauseMessage(ErrorMessageAdapter java:79)_x000D_
	at com owncloud android ui activity FileActivity onRemoteOperationFinish(FileActivity java:384)_x000D_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java:883)_x000D_
	at android os Handler dispatchMessage(Handler java:100)_x000D_
	at android os Looper loop(Looper java:214)_x000D_
	at android app ActivityThread main(ActivityThread java:7710)_x000D_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30150151_x000D_
Build flavor: generic_x000D_
_x000D_
     DEVICE INFORMATION     _x000D_
Brand: OnePlus_x000D_
Device: OnePlus7T_x000D_
Model: HD1903_x000D_
Id: QKQ1 190716 003_x000D_
Product: OnePlus7T EEA_x000D_
Build: Oxygen OS 10 0 16 HD65BA_x000D_
_x000D_
     FIRMWARE     _x000D_
SDK: 29_x000D_
Release: 10_x000D_
Incremental: 2101282100_x000D_
Android Security Patch Level: 2021 02 01_x000D_
Google Play Systemupdate: 2021 02 01_x000D_
_x000D_
_x000D_
Nextcloud server version: 20 0 8_x000D_
_x000D_
Reverse proxy: Apache_x000D_
_x000D_
    Logs_x000D_
_x000D_
   Server configuration detail_x000D_
_x000D_
  Operating system:   Linux 5 8 0 44 generic  50 20 04 1 Ubuntu SMP Wed Feb 10 21:07:30 UTC 2021 x86 64_x000D_
_x000D_
  Webserver:   Apache (apache2handler)_x000D_
_x000D_
  Database:   mysql 8 0 23_x000D_
_x000D_
  PHP version:   7 4 3_x000D_
_x000D_
Modules loaded: Core  date  libxml  openssl  pcre  zlib  filter  hash  Reflection  SPL  session  standard  sodium  apache2handler  mysqlnd  PDO  xml  apcu  bcmath  bz2  calendar  ctype  curl  dom  mbstring  FFI  fileinfo  ftp  gd  gettext  gmp  iconv  imagick  intl  json  exif  mysqli  pdo mysql  apc  posix  readline  shmop  SimpleXML  sockets  sysvmsg  sysvsem  sysvshm  tokenizer  xmlreader  xmlwriter  xsl  zip  Phar  Zend OPcache_x000D_
_x000D_
  Nextcloud version:   20 0 8   20 0 8 1_x000D_
_x000D_
  Updated from an older Nextcloud ownCloud or fresh install:   _x000D_
_x000D_
  Where did you install Nextcloud from:   unknown_x000D_
_x000D_
 details  summary Signing status  summary _x000D_
_x000D_
Array_x000D_
(_x000D_
)_x000D_
_x000D_
  details _x000D_
_x000D_
 details  summary List of activated apps  summary _x000D_
_x000D_
   _x000D_
Enabled:_x000D_
   accessibility: 1 6 0_x000D_
   activity: 2 13 4_x000D_
   cloud federation api: 1 3 0_x000D_
   comments: 1 10 0_x000D_
   contactsinteraction: 1 1 0_x000D_
   dashboard: 7 0 0_x000D_
   dav: 1 16 2_x000D_
   federatedfilesharing: 1 10 2_x000D_
   federation: 1 10 1_x000D_
   files: 1 15 0_x000D_
   files pdfviewer: 2 0 1_x000D_
   files rightclick: 0 17 0_x000D_
   files sharing: 1 12 2_x000D_
   files trashbin: 1 10 1_x000D_
   files versions: 1 13 0_x000D_
   files videoplayer: 1 9 0_x000D_
   firstrunwizard: 2 9 0_x000D_
   logreader: 2 5 0_x000D_
   lookup server connector: 1 8 0_x000D_
   nextcloud announcements: 1 9 0_x000D_
   notifications: 2 8 0_x000D_
   oauth2: 1 8 0_x000D_
   password policy: 1 10 1_x000D_
   photos: 1 2 3_x000D_
   privacy: 1 4 0_x000D_
   provisioning api: 1 10 0_x000D_
   recommendations: 0 8 0_x000D_
   serverinfo: 1 10 0_x000D_
   settings: 1 2 0_x000D_
   sharebymail: 1 10 0_x000D_
   support: 1 3 0_x000D_
   survey client: 1 8 0_x000D_
   systemtags: 1 10 0_x000D_
   text: 3 1 0_x000D_
   theming: 1 11 0_x000D_
   twofactor backupcodes: 1 9 0_x000D_
   updatenotification: 1 10 0_x000D_
   user status: 1 0 1_x000D_
   viewer: 1 4 0_x000D_
   weather status: 1 0 0_x000D_
   workflowengine: 2 2 0_x000D_
Disabled:_x000D_
   admin audit_x000D_
   encryption_x000D_
   files external_x000D_
   user ldap_x000D_
_x000D_
   _x000D_
  details _x000D_
_x000D_
 details  summary Configuration (config config php)  summary _x000D_
_x000D_
   _x000D_
 _x000D_
     passwordsalt :     REMOVED SENSITIVE VALUE     _x000D_
     secret :     REMOVED SENSITIVE VALUE     _x000D_
     trusted domains :  _x000D_
         localhost  _x000D_
         nextcloud devtube de _x000D_
      _x000D_
     datadirectory :     REMOVED SENSITIVE VALUE     _x000D_
     dbtype :  mysql  _x000D_
     version :  20 0 8 1  _x000D_
     htaccess RewriteVase :      _x000D_
     overwrite cli url :  https:    nextcloud devtube de  _x000D_
     dbname :     REMOVED SENSITIVE VALUE     _x000D_
     dbhost :     REMOVED SENSITIVE VALUE     _x000D_
     dbport :    _x000D_
     dbtableprefix :  oc   _x000D_
     mysql utf8mb4 : true _x000D_
     dbuser :     REMOVED SENSITIVE VALUE     _x000D_
     dbpassword :     REMOVED SENSITIVE VALUE     _x000D_
     installed : true _x000D_
     instanceid :     REMOVED SENSITIVE VALUE     _x000D_
     theme :    _x000D_
     loglevel : 2 _x000D_
     memcache local :    OC  Memcache  APCu  _x000D_
     memcache distributed :    OC  Memcache  APCu  _x000D_
     maintenance : false _x000D_
     updater secret :     REMOVED SENSITIVE VALUE    _x000D_
 _x000D_
   _x000D_
  details _x000D_
_x000D_
  External storages:   files external is disabled_x000D_
_x000D_
  Encryption:   no_x000D_
_x000D_
  User backends:   _x000D_
   OC User Database_x000D_
_x000D_
_x000D_
  Browser:   Mozilla 5 0 (Windows NT 10 0  Win64  x64) AppleWebKit 537 36 (KHTML  like Gecko) Chrome 88 0 4324 190 Safari 537 36_x000D_
_x000D_
_x000D_
</t>
  </si>
  <si>
    <t>opensrp-opensrp-client-eusm-60</t>
  </si>
  <si>
    <t>App crashing when loading service points for live mission test</t>
  </si>
  <si>
    <t xml:space="preserve">Here s the mission: https:  web mg eusm staging smartregister org missions assignments 087ac84a dc19 5b89 a6ac e85e535e1215_x000D_
_x000D_
When a user assigned to this mission logs in and selects the mission and distirct in the dropdown  the app starts to fetch the service points and then crashes  consistently </t>
  </si>
  <si>
    <t>TeamNewPipe-NewPipe-5712</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</si>
  <si>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App crash  UI failure_x000D_
    Content Country:   GB_x000D_
    Content Language:   en GB_x000D_
    App Language:   en GB_x000D_
    Service:   none_x000D_
    Version:   0 20 10_x000D_
    OS:   Linux Android 7 1 1   25_x000D_
 details  summary  b Crash log   b   summary  p _x000D_
_x000D_
   _x000D_
java lang IndexOutOfBoundsException: setSpan ( 1      1) starts before 0_x000D_
	at android text SpannableStringInternal checkRange(SpannableStringInternal java:434)_x000D_
	at android text SpannableStringInternal setSpan(SpannableStringInternal java:155)_x000D_
	at android text SpannableString setSpan(SpannableString java:46)_x000D_
	at android text Selection setSelection(Selection java:76)_x000D_
	at android widget TextView semSetSelection(TextView java:11588)_x000D_
	at android widget Editor SelectionModifierCursorController resetDragAcceleratorState(Editor java:6895)_x000D_
	at android widget Editor SelectionModifierCursorController resetTouchOffsets(Editor java:6884)_x000D_
	at android widget Editor onFocusChanged(Editor java:1360)_x000D_
	at android widget TextView onFocusChanged(TextView java:9739)_x000D_
	at android view View clearFocusInternal(View java:6859)_x000D_
	at android view View unFocus(View java:6892)_x000D_
	at android view ViewGroup unFocus(ViewGroup java:1001)_x000D_
	at android view ViewGroup unFocus(ViewGroup java:1001)_x000D_
	at android view ViewGroup unFocus(ViewGroup java:1001)_x000D_
	at android view ViewGroup unFocus(ViewGroup java:1001)_x000D_
	at android view ViewGroup unFocus(ViewGroup java:1001)_x000D_
	at android view ViewGroup unFocus(ViewGroup java:1001)_x000D_
	at android view ViewGroup unFocus(ViewGroup java:1001)_x000D_
	at android view ViewGroup requestChildFocus(ViewGroup java:738)_x000D_
	at org schabi newpipe views FocusAwareCoordinator requestChildFocus(FocusAwareCoordinator java:54)_x000D_
	at android view ViewGroup requestChildFocus(ViewGroup java:744)_x000D_
	at android view ViewGroup requestChildFocus(ViewGroup java:744)_x000D_
	at android view View handleFocusGainInternal(View java:6675)_x000D_
	at android view ViewGroup handleFocusGainInternal(ViewGroup java:720)_x000D_
	at android view View requestFocusNoSearch(View java:9904)_x000D_
	at android view View requestFocus(View java:9883)_x000D_
	at android view ViewGroup requestFocus(ViewGroup java:3048)_x000D_
	at android view ViewGroup onRequestFocusInDescendants(ViewGroup java:3088)_x000D_
	at android view ViewGroup requestFocus(ViewGroup java:3044)_x000D_
	at android view ViewGroup onRequestFocusInDescendants(ViewGroup java:3088)_x000D_
	at android view ViewGroup requestFocus(ViewGroup java:3047)_x000D_
	at android view View requestFocus(View java:9850)_x000D_
	at android view View requestFocus(View java:9829)_x000D_
	at org schabi newpipe fragments detail VideoDetailFragment moveFocusToMainFragment(VideoDetailFragment java:2153)_x000D_
	at org schabi newpipe fragments detail VideoDetailFragment access 800(VideoDetailFragment java:127)_x000D_
	at org schabi newpipe fragments detail VideoDetailFragment 5 onStateChanged(VideoDetailFragment java:2240)_x000D_
	at com google android material bottomsheet BottomSheetBehavior setStateInternal(BottomSheetBehavior java:1109)_x000D_
	at com google android material bottomsheet BottomSheetBehavior SettleRunnable run(BottomSheetBehavior java:1540)_x000D_
	at android view Choreographer CallbackRecord run(Choreographer java:930)_x000D_
	at android view Choreographer doCallbacks(Choreographer java:705)_x000D_
	at android view Choreographer doFrame(Choreographer java:637)_x000D_
	at android view Choreographer FrameDisplayEventReceiver run(Choreographer java:916)_x000D_
	at android os Handler handleCallback(Handler java:751)_x000D_
	at android os Handler dispatchMessage(Handler java:95)_x000D_
	at android os Looper loop(Looper java:154)_x000D_
	at android app ActivityThread main(ActivityThread java:6823)_x000D_
	at java lang reflect Method invoke(Native Method)_x000D_
	at com android internal os ZygoteInit MethodAndArgsCaller run(ZygoteInit java:1563)_x000D_
	at com android internal os ZygoteInit main(ZygoteInit java:1451)_x000D_
_x000D_
   _x000D_
  details _x000D_
 hr _x000D_
_x000D_
_x000D_
_x000D_
     Please fill this out when you do not provide a log generate by NewPipe    _x000D_
_x000D_
    Device info_x000D_
_x000D_
   Android version Custom ROM version:_x000D_
   Device model:_x000D_
</t>
  </si>
  <si>
    <t>scottyab-rootbeer-159</t>
  </si>
  <si>
    <t>Native crash for some devices</t>
  </si>
  <si>
    <t xml:space="preserve">After include the root beer library to check if the devices are rooted  we are having the following native crashes for a few users _x000D_
_x000D_
Any idea what could cause that issue  If you need more information I can provide it _x000D_
_x000D_
   _x000D_
02 22 17:11:07 330 10176 23575 23749 F libc    : Fatal signal 11 (SIGSEGV)  code 2 (SEGV ACCERR)  fault addr 0x7d34799004 in tid 23749 (DefaultDispatch)  pid 23575 (stocard stocard)_x000D_
02 22 17:11:07 531 10176 26042 26042 F DEBUG   :                                                                _x000D_
02 22 17:11:07 531 10176 26042 26042 F DEBUG   : Build fingerprint:  HUAWEI EML L29 HWEML:10 HUAWEIEML L29 10 0 0 171C432:user release keys _x000D_
02 22 17:11:07 531 10176 26042 26042 F DEBUG   : Revision:  0 _x000D_
02 22 17:11:07 531 10176 26042 26042 F DEBUG   : ABI:  arm64 _x000D_
02 22 17:11:07 532 10176 26042 26042 F DEBUG   : Timestamp: 2021 02 22 17:11:07 0100_x000D_
02 22 17:11:07 532 10176 26042 26042 F DEBUG   : pid: 23575  tid: 23749  name: DefaultDispatch      com example app    _x000D_
02 22 17:11:07 532 10176 26042 26042 F DEBUG   : uid: 10176_x000D_
02 22 17:11:07 532 10176 26042 26042 F DEBUG   : signal 11 (SIGSEGV)  code 2 (SEGV ACCERR)  fault addr 0x7d34799004_x000D_
02 22 17:11:07 532 10176 26042 26042 F DEBUG   :     x0  0000007cad8935c0  x1  0000007d91db6258  x2  0000007d91db6258  x3  0000007d1a12b000_x000D_
02 22 17:11:07 532 10176 26042 26042 F DEBUG   :     x4  0000007d91db6a00  x5  0000007d381eb47d  x6  0000000000000000  x7  0000000000000000_x000D_
02 22 17:11:07 532 10176 26042 26042 F DEBUG   :     x8  b6bed8e77851b31c  x9  b6bed8e77851b31c  x10 0000000000430000  x11 0000007da17f8000_x000D_
02 22 17:11:07 532 10176 26042 26042 F DEBUG   :     x12 0000007e22842420  x13 690c4866f2e217a5  x14 0000007da13472cc  x15 0000000000000000_x000D_
02 22 17:11:07 532 10176 26042 26042 F DEBUG   :     x16 0000007d34798fd8  x17 0000007d34799004  x18 0000007ca8aa6000  x19 0000007d1a12b000_x000D_
02 22 17:11:07 532 10176 26042 26042 F DEBUG   :     x20 0000007da1346490  x21 0000007d1a12b000  x22 0000007d91db64a0  x23 0000007d381eb47d_x000D_
02 22 17:11:07 532 10176 26042 26042 F DEBUG   :     x24 0000000000000008  x25 0000007d91db8020  x26 0000007d1a12b0b0  x27 0000000000000002_x000D_
02 22 17:11:07 532 10176 26042 26042 F DEBUG   :     x28 0000000000000000  x29 0000007d91db6230_x000D_
02 22 17:11:07 532 10176 26042 26042 F DEBUG   :     sp  0000007d91db61f0  lr  0000007d34796afc  pc  0000007d34799004_x000D_
02 22 17:11:07 899 10176 26042 26042 F DEBUG   : _x000D_
02 22 17:11:07 899 10176 26042 26042 F DEBUG   : backtrace:_x000D_
02 22 17:11:07 899 10176 26042 26042 F DEBUG   :        00 pc 0000000000002004   data app com example app wAmJooPZUBfGxO5fmOODPA   lib arm64 libtool checker so libtool checker so (offset 0x2000)_x000D_
02 22 17:11:07 899 10176 26042 26042 F DEBUG   :        01 pc 0000000000000af8   data app com example app wAmJooPZUBfGxO5fmOODPA   lib arm64 libtool checker so_x000D_
02 22 17:11:07 900 10176 26042 26042 F DEBUG   :        02 pc 0000000000198c98   data app com example app wAmJooPZUBfGxO5fmOODPA   oat arm64 base odex (art jni trampoline 152)_x000D_
02 22 17:11:07 900 10176 26042 26042 F DEBUG   :        03 pc 0000000000144334   apex com android runtime lib64 libart so (art quick invoke stub 548) (BuildId: 0fd07ccb37ce5d1da616af1c92975c60)_x000D_
02 22 17:11:07 900 10176 26042 26042 F DEBUG   :        04 pc 00000000001531a4   apex com android runtime lib64 libart so (art::ArtMethod::Invoke(art::Thread   unsigned int   unsigned int  art::JValue   char const ) 252) (BuildId: 0fd07ccb37ce5d1da616af1c92975c60)_x000D_
02 22 17:11:07 900 10176 26042 26042 F DEBUG   :        05 pc 00000000002eecdc   apex com android runtime lib64 libart so (art::interpreter::ArtInterpreterToCompiledCodeBridge(art::Thread   art::ArtMethod   art::ShadowFrame   unsigned short  art::JValue ) 384) (BuildId: 0fd07ccb37ce5d1da616af1c92975c60)_x000D_
02 22 17:11:07 900 10176 26042 26042 F DEBUG   :        06 pc 00000000002e9fac   apex com android runtime lib64 libart so (bool art::interpreter::DoCall false  false (art::ArtMethod   art::Thread   art::ShadowFrame   art::Instruction const   unsigned short  art::JValue ) 912) (BuildId: 0fd07ccb37ce5d1da616af1c92975c60)_x000D_
02 22 17:11:07 900 10176 26042 26042 F DEBUG   :        07 pc 00000000005c12d0   apex com android runtime lib64 libart so (MterpInvokeVirtualQuick 596) (BuildId: 0fd07ccb37ce5d1da616af1c92975c60)_x000D_
02 22 17:11:07 900 10176 26042 26042 F DEBUG   :        08 pc 0000000000142594   apex com android runtime lib64 libart so (mterp op invoke virtual quick 20) (BuildId: 0fd07ccb37ce5d1da616af1c92975c60)_x000D_
02 22 17:11:07 900 10176 26042 26042 F DEBUG   :        09 pc 00000000006418c8   data app com example app wAmJooPZUBfGxO5fmOODPA   oat arm64 base vdex (o xo equals    124)_x000D_
02 22 17:11:07 900 10176 26042 26042 F DEBUG   :        10 pc 00000000005c15d4   apex com android runtime lib64 libart so (MterpInvokeVirtualQuick 1368) (BuildId: 0fd07ccb37ce5d1da616af1c92975c60)_x000D_
02 22 17:11:07 900 10176 26042 26042 F DEBUG   :        11 pc 0000000000142594   apex com android runtime lib64 libart so (mterp op invoke virtual quick 20) (BuildId: 0fd07ccb37ce5d1da616af1c92975c60)_x000D_
02 22 17:11:07 900 10176 26042 26042 F DEBUG   :        12 pc 0000000000b39930   data app com example app wAmJooPZUBfGxO5fmOODPA   oat arm64 base vdex (o newInstantiatorOf aabb 208)_x000D_
02 22 17:11:07 900 10176 26042 26042 F DEBUG   :        13 pc 00000000005bdf64   apex com android runtime lib64 libart so (MterpInvokeStatic 1136) (BuildId: 0fd07ccb37ce5d1da616af1c92975c60)_x000D_
02 22 17:11:07 900 10176 26042 26042 F DEBUG   :        14 pc 000000000013e994   apex com android runtime lib64 libart so (mterp op invoke static 20) (BuildId: 0fd07ccb37ce5d1da616af1c92975c60)_x000D_
02 22 17:11:07 900 10176 26042 26042 F DEBUG   :        15 pc 0000000000b39840   data app com example app wAmJooPZUBfGxO5fmOODPA   oat arm64 base vdex (o newInstantiatorOf hashCode invoke 72)_x000D_
02 22 17:11:07 900 10176 26042 26042 F DEBUG   :        16 pc 00000000002bf918   apex com android runtime lib64 libart so ( ZN3art11interpreterL7ExecuteEPNS 6ThreadERKNS 20CodeItemDataAccessorERNS 11ShadowFrameENS 6JValueEbb llvm 4040658722762997890 240) (BuildId: 0fd07ccb37ce5d1da616af1c92975c60)_x000D_
02 22 17:11:07 900 10176 26042 26042 F DEBUG   :        17 pc 00000000005a6298   apex com android runtime lib64 libart so (artQuickToInterpreterBridge 1012) (BuildId: 0fd07ccb37ce5d1da616af1c92975c60)_x000D_
02 22 17:11:07 900 10176 26042 26042 F DEBUG   :        18 pc 000000000014d468   apex com android runtime lib64 libart so (art quick to interpreter bridge 88) (BuildId: 0fd07ccb37ce5d1da616af1c92975c60)_x000D_
02 22 17:11:07 900 10176 26042 26042 F DEBUG   :        19 pc 00000000003ae20c   data app com example app wAmJooPZUBfGxO5fmOODPA   oat arm64 base odex (o CalendarConstraints DateValidator equals 252)_x000D_
02 22 17:11:07 900 10176 26042 26042 F DEBUG   :        20 pc 0000000000144334   apex com android runtime lib64 libart so (art quick invoke stub 548) (BuildId: 0fd07ccb37ce5d1da616af1c92975c60)_x000D_
02 22 17:11:07 900 10176 26042 26042 F DEBUG   :        21 pc 00000000001531a4   apex com android runtime lib64 libart so (art::ArtMethod::Invoke(art::Thread   unsigned int   unsigned int  art::JValue   char const ) 252) (BuildId: 0fd07ccb37ce5d1da616af1c92975c60)_x000D_
02 22 17:11:07 900 10176 26042 26042 F DEBUG   :        22 pc 00000000002eecdc   apex com android runtime lib64 libart so (art::interpreter::ArtInterpreterToCompiledCodeBridge(art::Thread   art::ArtMethod   art::ShadowFrame   unsigned short  art::JValue ) 384) (BuildId: 0fd07ccb37ce5d1da616af1c92975c60)_x000D_
02 22 17:11:07 900 10176 26042 26042 F DEBUG   :        23 pc 00000000002e9fac   apex com android runtime lib64 libart so (bool art::interpreter::DoCall false  false (art::ArtMethod   art::Thread   art::ShadowFrame   art::Instruction const   unsigned short  art::JValue ) 912) (BuildId: 0fd07ccb37ce5d1da616af1c92975c60)_x000D_
02 22 17:11:07 900 10176 26042 26042 F DEBUG   :        24 pc 00000000005bc858   apex com android runtime lib64 libart so (MterpInvokeInterface 884) (BuildId: 0fd07ccb37ce5d1da616af1c92975c60)_x000D_
02 22 17:11:07 900 10176 26042 26042 F DEBUG   :        25 pc 000000000013ea14   apex com android runtime lib64 libart so (mterp op invoke interface 20) (BuildId: 0fd07ccb37ce5d1da616af1c92975c60)_x000D_
02 22 17:11:07 900 10176 26042 26042 F DEBUG   :        26 pc 0000000000b39a00   data app com example app wAmJooPZUBfGxO5fmOODPA   oat arm64 base vdex (o newInstantiatorOf equals 4)_x000D_
02 22 17:11:07 900 10176 26042 26042 F DEBUG   :        27 pc 00000000005bcbbc   apex com android runtime lib64 libart so (MterpInvokeInterface 1752) (BuildId: 0fd07ccb37ce5d1da616af1c92975c60)_x000D_
02 22 17:11:07 900 10176 26042 26042 F DEBUG   :        28 pc 000000000013ea14   apex com android runtime lib64 libart so (mterp op invoke interface 20) (BuildId: 0fd07ccb37ce5d1da616af1c92975c60)_x000D_
02 22 17:11:07 901 10176 26042 26042 F DEBUG   :        29 pc 000000000049b638   anon:dalvik classes dex extracted in memory from  data user 0 com example app files splitcompat 780 verified splits pay apk  (o sanitizeEntry equals 160)_x000D_
02 22 17:11:07 901 10176 26042 26042 F DEBUG   :        30 pc 00000000005bb3bc   apex com android runtime lib64 libart so (MterpInvokeVirtual 1432) (BuildId: 0fd07ccb37ce5d1da616af1c92975c60)_x000D_
02 22 17:11:07 901 10176 26042 26042 F DEBUG   :        31 pc 000000000013e814   apex com android runtime lib64 libart so (mterp op invoke virtual 20) (BuildId: 0fd07ccb37ce5d1da616af1c92975c60)_x000D_
02 22 17:11:07 901 10176 26042 26042 F DEBUG   :        32 pc 000000000049b562   anon:dalvik classes dex extracted in memory from  data user 0 com example app files splitcompat 780 verified splits pay apk  (o sanitizeEntry    invokeSuspend 22)_x000D_
02 22 17:11:07 901 10176 26042 26042 F DEBUG   :        33 pc 00000000002bf918   apex com android runtime lib64 libart so ( ZN3art11interpreterL7ExecuteEPNS 6ThreadERKNS 20CodeItemDataAccessorERNS 11ShadowFrameENS 6JValueEbb llvm 4040658722762997890 240) (BuildId: 0fd07ccb37ce5d1da616af1c92975c60)_x000D_
02 22 17:11:07 901 10176 26042 26042 F DEBUG   :        34 pc 00000000005a6298   apex com android runtime lib64 libart so (artQuickToInterpreterBridge 1012) (BuildId: 0fd07ccb37ce5d1da616af1c92975c60)_x000D_
02 22 17:11:07 901 10176 26042 26042 F DEBUG   :        35 pc 000000000014d468   apex com android runtime lib64 libart so (art quick to interpreter bridge 88) (BuildId: 0fd07ccb37ce5d1da616af1c92975c60)_x000D_
02 22 17:11:07 901 10176 26042 26042 F DEBUG   :        36 pc 00000000003a6c30   data app com example app wAmJooPZUBfGxO5fmOODPA   oat arm64 base odex (o BaseMotionStrategy resumeWith 160)_x000D_
02 22 17:11:07 901 10176 26042 26042 F DEBUG   :        37 pc 00000000003bccf8   data app com example app wAmJooPZUBfGxO5fmOODPA   oat arm64 base odex (o ShadowRenderer run 1128)_x000D_
02 22 17:11:07 901 10176 26042 26042 F DEBUG   :        38 pc 000000000059373c   data app com example app wAmJooPZUBfGxO5fmOODPA   oat arm64 base odex (o setTabRippleColorResource equals 44)_x000D_
02 22 17:11:07 901 10176 26042 26042 F DEBUG   :        39 pc 000000000059257c   data app com example app wAmJooPZUBfGxO5fmOODPA   oat arm64 base odex (o setTabRippleColorResource aa run 2476)_x000D_
02 22 17:11:07 901 10176 26042 26042 F DEBUG   :        40 pc 0000000000144334   apex com android runtime lib64 libart so (art quick invoke stub 548) (BuildId: 0fd07ccb37ce5d1da616af1c92975c60)_x000D_
02 22 17:11:07 901 10176 26042 26042 F DEBUG   :        41 pc 00000000001531a4   apex com android runtime lib64 libart so (art::ArtMethod::Invoke(art::Thread   unsigned int   unsigned int  art::JValue   char const ) 252) (BuildId: 0fd07ccb37ce5d1da616af1c92975c60)_x000D_
02 22 17:11:07 901 10176 26042 26042 F DEBUG   :        42 pc 00000000004c6ce8   apex com android runtime lib64 libart so (art::(anonymous namespace)::InvokeWithArgArray(art::ScopedObjectAccessAlreadyRunnable const   art::ArtMethod   art::(anonymous namespace)::ArgArray   art::JValue   char const ) 104) (BuildId: 0fd07ccb37ce5d1da616af1c92975c60)_x000D_
02 22 17:11:07 901 10176 26042 26042 F DEBUG   :        43 pc 00000000004c7d7c   apex com android runtime lib64 libart so (art::InvokeVirtualOrInterfaceWithJValues(art::ScopedObjectAccessAlreadyRunnable const    jobject    jmethodID   jvalue const ) 416) (BuildId: 0fd07ccb37ce5d1da616af1c92975c60)_x000D_
02 22 17:11:07 901 10176 26042 26042 F DEBUG   :        44 pc 0000000000507d4c   apex com android runtime lib64 libart so (art::Thread::CreateCallback(void ) 1176) (BuildId: 0fd07ccb37ce5d1da616af1c92975c60)_x000D_
02 22 17:11:07 901 10176 26042 26042 F DEBUG   :        45 pc 00000000000cf6f0   apex com android runtime lib64 bionic libc so (  pthread start(void ) 36) (BuildId: 0328f365110c006f3b155558069c03b7)_x000D_
02 22 17:11:07 901 10176 26042 26042 F DEBUG   :        46 pc 00000000000720e8   apex com android runtime lib64 bionic libc so (  start thread 64) (BuildId: 0328f365110c006f3b155558069c03b7)_x000D_
</t>
  </si>
  <si>
    <t>mtotschnig-MyExpenses-768</t>
  </si>
  <si>
    <t>Crash when user enters first plan and grants calendar permission</t>
  </si>
  <si>
    <t>On a fresh install_x000D_
Open Templates and Plans_x000D_
Click on Floating action button_x000D_
Enter title and amount_x000D_
Set Plan to daily and grant Calender permission_x000D_
Click on Floating action button_x000D_
App crashes on some devices</t>
  </si>
  <si>
    <t>nextcloud-android-8067</t>
  </si>
  <si>
    <t>Repeated crashes (dev version)</t>
  </si>
  <si>
    <t xml:space="preserve">    Steps to reproduce_x000D_
1  Install  Nextcoud Dev  from F Droid (version 20210220)_x000D_
_x000D_
    Expected behaviour_x000D_
  The app continues to work in general _x000D_
_x000D_
    Actual behaviour_x000D_
  App keeps crashing and restarting  It s not possible to use the device since it keeps switching to the new Nextcloud instance after every crash _x000D_
  Slowly making your way to settings to force stop the app does not work: keeps crashing and relaunching _x000D_
_x000D_
At the end I uninstalled the Dev version and installed the regular version from F Droid (3 15 0)  which works as expected _x000D_
_x000D_
    Can you reproduce this problem on https:  try nextcloud com _x000D_
_x000D_
This URL on Android only shows the Nextcloud white logo on a blue background  Tapping the logo takes you to nextcloud com_x000D_
_x000D_
    Environment data_x000D_
Android version: 7 1 2_x000D_
_x000D_
Device model: LG h870_x000D_
_x000D_
Stock or customized system: LineageOS_x000D_
_x000D_
Nextcloud app version: 20210220_x000D_
_x000D_
_x000D_
    Logs_x000D_
I won t be able to get logs or replicate since it renders my device unusable for long until uninstalled  Hope it still helps </t>
  </si>
  <si>
    <t>TeamNewPipe-NewPipe-5710</t>
  </si>
  <si>
    <t>[Deleted]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</si>
  <si>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deleted  it was a issue on my end not a newpipe issue_x000D_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_x000D_
   Device model: _x000D_
</t>
  </si>
  <si>
    <t>TeamNewPipe-NewPipe-5709</t>
  </si>
  <si>
    <t>Comments not loading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</si>
  <si>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requested feed_x000D_
    Request:   Loading feed_x000D_
    Content Country:   GB_x000D_
    Content Language:   en GB_x000D_
    App Language:   en GB_x000D_
    Service:   none_x000D_
    Version:   0 20 10_x000D_
    OS:   Linux Android 7 1 1   25_x000D_
 details  summary  b Exceptions (19)  b   summary  p _x000D_
 details  summary  b Crash log 1  b   summary  p _x000D_
_x000D_
   _x000D_
org schabi newpipe local feed service FeedLoadService RequestException: 0:https:  www youtube com channel UCchUOUW eNmDfDqMS AiZew_x000D_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2  b   summary  p _x000D_
_x000D_
   _x000D_
org schabi newpipe local feed service FeedLoadService RequestException: 0:https:  www youtube com channel UCXuqSBlHAE6Xw yeJA0Tunw_x000D_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3  b   summary  p _x000D_
_x000D_
   _x000D_
org schabi newpipe local feed service FeedLoadService RequestException: 0:https:  www youtube com channel UCjr2bPAyPV7t35MvcgT3W8Q_x000D_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4  b   summary  p _x000D_
_x000D_
   _x000D_
org schabi newpipe local feed service FeedLoadService RequestException: 0:https:  www youtube com channel UCBJycsmduvYEL83R U4JriQ_x000D_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5  b   summary  p _x000D_
_x000D_
   _x000D_
org schabi newpipe local feed service FeedLoadService RequestException: 0:https:  www youtube com channel UCVQGtUcRjHTQLTTu 5s9 4Q_x000D_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6  b   summary  p _x000D_
_x000D_
   _x000D_
org schabi newpipe local feed service FeedLoadService RequestException: 0:https:  www youtube com channel UCMiJRAwDNSNzuYeN2uWa0pA_x000D_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7  b   summary  p _x000D_
_x000D_
   _x000D_
org schabi newpipe local feed service FeedLoadService RequestException: 0:https:  www youtube com channel UCs6KfncB4OV6Vug4o bzijg_x000D_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8  b   summary  p _x000D_
_x000D_
   _x000D_
org schabi newpipe local feed service FeedLoadService RequestException: 0:https:  www youtube com channel UCFNTq9XKHDNy 1 2lL0kqCg_x000D_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9  b   summary  p _x000D_
_x000D_
   _x000D_
org schabi newpipe local feed service FeedLoadService RequestException: 0:https:  www youtube com channel UCeeFfhMcJa1kjtfZAGskOCA_x000D_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10  b   summary  p _x000D_
_x000D_
   _x000D_
org schabi newpipe local feed service FeedLoadService RequestException: 0:https:  www youtube com channel UCFLFc8Lpbwt4jPtY1 Ai5yA_x000D_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11  b   summary  p _x000D_
_x000D_
   _x000D_
org schabi newpipe local feed service FeedLoadService RequestException: 0:https:  www youtube com channel UCB9 VH CNbbH4GfKu8qh63w_x000D_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t>
  </si>
  <si>
    <t>ZeusWPI-hydra-android-401</t>
  </si>
  <si>
    <t>Crash reporting crashes in separate process</t>
  </si>
  <si>
    <t xml:space="preserve">Because the Urgent fm stream is run in a separate process  and Firebase Crashlytics has a  crap initialisation method (https:  firebase googleblog com 2016 12 how does firebase initialize on android html)  it isn t initialised for non main processes  so it crashes </t>
  </si>
  <si>
    <t>TeamNewPipe-NewPipe-5708</t>
  </si>
  <si>
    <t>Suscriptions not loading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</si>
  <si>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(I mean it probably is related to  5707  but different error)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Be subscribed to any channel_x000D_
2  Load your suscriptions_x000D_
3  Find that you have an enourmous amount of videos not loaded_x000D_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Videos aren t loaded so suscriptions aren t refreshed  probably due to the same reason as  5707 _x000D_
_x000D_
    Expected behavior_x000D_
     Tell us what you expect to happen     _x000D_
_x000D_
Suscriptions to be updated and to see newly updated videos (ones after 8pm CET)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feed_x000D_
    Request:   Loading feed_x000D_
    Content Country:   ES_x000D_
    Content Language:   eu ES_x000D_
    App Language:   eu ES_x000D_
    Service:   none_x000D_
    Version:   0 20 10_x000D_
    OS:   Linux Android 9   28_x000D_
 details  summary  b Exceptions (72)  b   summary  p _x000D_
 details  summary  b Crash log 1  b   summary  p _x000D_
_x000D_
   _x000D_
org schabi newpipe local feed service FeedLoadService RequestException: 0:https:  www youtube com channel UCFLFc8Lpbwt4jPtY1 Ai5yA_x000D_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2  b   summary  p _x000D_
_x000D_
   _x000D_
org schabi newpipe local feed service FeedLoadService RequestException: 0:https:  www youtube com channel UCeeFfhMcJa1kjtfZAGskOCA_x000D_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3  b   summary  p _x000D_
_x000D_
   _x000D_
org schabi newpipe local feed service FeedLoadService RequestException: 0:https:  www youtube com channel UChFur NwVSbUozOcF F2kMg_x000D_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4  b   summary  p _x000D_
_x000D_
   _x000D_
org schabi newpipe local feed service FeedLoadService RequestException: 0:https:  www youtube com channel UC1sELGmy5jp5fQUugmuYlXQ_x000D_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5  b   summary  p _x000D_
_x000D_
   _x000D_
org schabi newpipe local feed service FeedLoadService RequestException: 0:https:  www youtube com channel UCR9Gcq0CMm6YgTzsDxAxjOQ_x000D_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6  b   summary  p _x000D_
_x000D_
   _x000D_
org schabi newpipe local feed service FeedLoadService RequestException: 0:https:  www youtube com channel UCXGgrKt94gR6lmN4aN3mYTg_x000D_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7  b   summary  p _x000D_
_x000D_
   _x000D_
org schabi newpipe local feed service FeedLoadService RequestException: 0:https:  www youtube com channel UCcIe  Hqzb3mAZyKEy1amDw_x000D_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8  b   summary  p _x000D_
_x000D_
   _x000D_
org schabi newpipe local feed service FeedLoadService RequestException: 0:https:  www youtube com channel UCbKWv2x9t6u8yZoB3KcPtnw_x000D_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9  b   summary  p _x000D_
_x000D_
   _x000D_
org schabi newpipe local feed service FeedLoadService RequestException: 0:https:  www youtube com channel UCFXc5nAao6554AIXlN9KgwQ_x000D_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10  b   summary  p _x000D_
_x000D_
   _x000D_
org schabi newpipe local feed service FeedLoadService RequestException: 0:https:  www youtube com channel UCJfJWct8jN1RpCuVWk3zHTA_x000D_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kt:220)_x000D_
	    11 more_x000D_
Caused by: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details  summary  b Crash log 11  b   summary  p _x000D_
_x000D_
   _x000D_
org schabi newpipe local feed service FeedLoadService RequestException: 0:https:  www youtube com channel UCdHIPSWf3kkwNg9y puaChA_x000D_
	at org schabi newpipe local feed service FeedLoadService startLoading 7 apply(FeedLoadService kt:226)_x000D_
	at org schabi newpipe local feed service FeedLoadService startLoading 7 apply(FeedLoadService kt:68)_x000D_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t>
  </si>
  <si>
    <t>TeamNewPipe-NewPipe-5707</t>
  </si>
  <si>
    <t>Crash when requesting a Channel/Feed/Subscriptions</t>
  </si>
  <si>
    <t xml:space="preserve"> h1 EDIT  h1 _x000D_
This is an issue with youtube not us: https:  support google com youtube thread 99787251_x000D_
_x000D_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1  Request any Channel_x000D_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Crash_x000D_
_x000D_
_x000D_
    Expected behavior_x000D_
     Tell us what you expect to happen     _x000D_
_x000D_
Channel opens_x000D_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channel_x000D_
    Request:   https:  www youtube com channel UCp96ZKaODsGQwWYCR5T3DeA_x000D_
    Content Country:   DE_x000D_
    Content Language:   de DE_x000D_
    App Language:   de DE_x000D_
    Service:   YouTube_x000D_
    Version:   0 20 10_x000D_
    OS:   Linux Android 11   30_x000D_
 details  summary  b Crash log   b   summary  p _x000D_
_x000D_
   _x000D_
org schabi newpipe extractor exceptions ParsingException: Could not get channel id_x000D_
	at org schabi newpipe extractor services youtube extractors YoutubeChannelExtractor getId(YoutubeChannelExtractor java:130)_x000D_
	at org schabi newpipe extractor channel ChannelInfo getInfo(ChannelInfo java:60)_x000D_
	at org schabi newpipe extractor channel ChannelInfo getInfo(ChannelInfo java:48)_x000D_
	at org schabi newpipe util ExtractorHelper lambda getChannelInfo 4(ExtractorHelper java:136)_x000D_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details _x000D_
 hr _x000D_
_x000D_
_x000D_
     Please fill this out when you do not provide a log generate by NewPipe    _x000D_
_x000D_
    Device info_x000D_
_x000D_
   Android version Custom ROM version:_x000D_
   Device model: One Plus 8 pro and Fire TV ( Same Bug)_x000D_
</t>
  </si>
  <si>
    <t>Anuken-Mindustry-4789</t>
  </si>
  <si>
    <t>Mechanism images problem</t>
  </si>
  <si>
    <t xml:space="preserve">  Platform  :  PC Windows _x000D_
_x000D_
  Build  : Steam Build 125 1 _x000D_
_x000D_
  Issue  :  When i done 1st stage i collected items for next one  after i travelled to the next zone all mechanisms (player drone too) just gone  but i was able to see their status   sometimes this bug gones after i join game multiple times  _x000D_
_x000D_
  Steps to reproduce  :  I did 1st stage  then moved to the next  all mechanism images gone _x000D_
_x000D_
  Link(s) to mod(s) used  :  https:  steamcommunity com sharedfiles filedetails  id 2406760691 _x000D_
_x000D_
  Save file  :  https:  steamcommunity com sharedfiles filedetails  id 2406760691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No crash reports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</si>
  <si>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SCCapstone-TabDab-97</t>
  </si>
  <si>
    <t>Fix settings menu bug</t>
  </si>
  <si>
    <t xml:space="preserve">Settings menu crashes shortly after opening </t>
  </si>
  <si>
    <t>TeamNewPipe-NewPipe-5705</t>
  </si>
  <si>
    <t>Immediate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</si>
  <si>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App crash  UI failure_x000D_
    Content Country:   GB_x000D_
    Content Language:   en GB_x000D_
    App Language:   en GB_x000D_
    Service:   none_x000D_
    Version:   0 20 10_x000D_
    OS:   Linux Android 7 1 1   25_x000D_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java:751)_x000D_
	at android os Handler dispatchMessage(Handler java:95)_x000D_
	at android os Looper loop(Looper java:154)_x000D_
	at android app ActivityThread main(ActivityThread java:6823)_x000D_
	at java lang reflect Method invoke(Native Method)_x000D_
	at com android internal os ZygoteInit MethodAndArgsCaller run(ZygoteInit java:1563)_x000D_
	at com android internal os ZygoteInit main(ZygoteInit java:1451)_x000D_
_x000D_
   _x000D_
  details _x000D_
 hr _x000D_
_x000D_
_x000D_
     Please fill this out when you do not provide a log generate by NewPipe    _x000D_
_x000D_
    Device info_x000D_
_x000D_
   Android version Custom ROM version: Nougat 7 1 1_x000D_
   Device model: Samwung Galaxy Tab A _x000D_
</t>
  </si>
  <si>
    <t>mintforpeople-robobo-hri-vision-38</t>
  </si>
  <si>
    <t>Fatal Error Related to Aruco Detection</t>
  </si>
  <si>
    <t xml:space="preserve">App crashes randomly and returns to main menu_x000D_
_x000D_
   2021 02 25 16:20:50 659 13281 13302   E AndroidRuntime: FATAL EXCEPTION: UnityMain_x000D_
    Process: com mytechia robobo app:robobo  PID: 13281_x000D_
    java lang Error:                                                                _x000D_
    Version  2019 3 15f1 (59ff3e03856d)   Build type  Release   Scripting Backend  il2cpp   CPU  arm64 v8a _x000D_
    Build fingerprint:  HUAWEI POT LX1EEA HWPOT H:9 HUAWEIPOT L21 169C431R2:user release keys _x000D_
    Revision:  0 _x000D_
    ABI:  arm64 _x000D_
    Timestamp: 2021 02 25 16:20:49 0100_x000D_
    pid: 13281  tid: 13535  name: pool 7 thread 1      com mytechia robobo app:robobo    _x000D_
    uid: 10232_x000D_
    signal 11 (SIGSEGV)  code 1 (SEGV MAPERR)  fault addr 0x7b21a00000_x000D_
        x0  00000000000001fe  x1  0000000000000002  x2  00000000ffffffff  x3  0000000000000001_x000D_
        x4  0000007b219ff000  x5  0000000000000008  x6  0000008f00000108  x7  0000008f00000107_x000D_
        x8  0000007b219fffe8  x9  00000000000001fd  x10 00000000000001fa  x11 0000007b219fffe8_x000D_
        x12 00000000000001fd  x13 0000000000000000  x14 0000000000000000  x15 0000000000000008_x000D_
        x16 0000007b2fd405e8  x17 0000007b2e7680a4  x18 0000007b25a0b488  x19 0000007b266597c8_x000D_
        x20 0000007b26659820  x21 0000007b2665b588  x22 0000000000000106  x23 0000007b2275f97a_x000D_
        x24 00000000000001e1  x25 0000007b2275fa81  x26 0000007b26659890  x27 fffffffffffffe1f_x000D_
        x28 000000000000008d  x29 0000007b266597b0_x000D_
        sp  0000007b26659770  lr  0000007b2ea19b3c  pc  0000007b2ea19cb8_x000D_
    _x000D_
    backtrace:_x000D_
           00 pc 0000000000694cb8   data app com mytechia robobo app nVpNF3y8v7zg3EpOI0nJqQ   base apk (BuildId: 1b7d8e234030cb638838becf4f24740621d401a9)_x000D_
           01 pc 0000000000695dbc   data app com mytechia robobo app nVpNF3y8v7zg3EpOI0nJqQ   base apk (cvBoundingRect 248) (BuildId: 1b7d8e234030cb638838becf4f24740621d401a9)_x000D_
           02 pc 000000000057b7b4   data app com mytechia robobo app nVpNF3y8v7zg3EpOI0nJqQ   base apk (cvFindNextContour 2152) (BuildId: 1b7d8e234030cb638838becf4f24740621d401a9)_x000D_
           03 pc 000000000057c8f0   data app com mytechia robobo app nVpNF3y8v7zg3EpOI0nJqQ   base apk (BuildId: 1b7d8e234030cb638838becf4f24740621d401a9)_x000D_
           04 pc 000000000057d8ac   data app com mytechia robobo app nVpNF3y8v7zg3EpOI0nJqQ   base apk (cv::findContours(cv:: InputArray const   cv:: OutputArray const   cv:: OutputArray const   int  int  cv::Point  int ) 984) (BuildId: 1b7d8e234030cb638838becf4f24740621d401a9)_x000D_
           05 pc 000000000057e2bc   data app com mytechia robobo app nVpNF3y8v7zg3EpOI0nJqQ   base apk (cv::findContours(cv:: InputArray const   cv:: OutputArray const   int  int  cv::Point  int ) 108) (BuildId: 1b7d8e234030cb638838becf4f24740621d401a9)_x000D_
           06 pc 0000000000e3fb88   data app com mytechia robobo app nVpNF3y8v7zg3EpOI0nJqQ   base apk (BuildId: 1b7d8e234030cb638838becf4f24740621d401a9)_x000D_
           07 pc 0000000000453f88   data app com mytechia robobo app nVpNF3y8v7zg3EpOI0nJqQ   base apk (cv::parallel for (cv::Range const   cv::ParallelLoopBody const   double) 208) (BuildId: 1b7d8e234030cb638838becf4f24740621d401a9)_x000D_
           08 pc 0000000000e30050   data app com mytechia robobo app nVpNF3y8v7zg3EpOI0nJqQ   base apk (cv::aruco::detectMarkers(cv:: InputArray const   cv::Ptr cv::aruco::Dictionary  const   cv:: OutputArray const   cv:: OutputArray const   cv::Ptr cv::aruco::DetectorParameters  const   cv:: OutputArray const   cv:: InputArray const   cv:: InputArray const ) 1828) (BuildId: 1b7d8e234030cb638838becf4f24740621d401a9)_x000D_
           09 pc 00000000002e4edc   data app com mytechia robobo app nVpNF3y8v7zg3EpOI0nJqQ   base apk (Java org opencv aruco Aruco detectMarkers 10 184) (BuildId: 1b7d8e234030cb638838becf4f24740621d401a9)_x000D_
           10 pc 00000000000567f8   data app com mytechia robobo app nVpNF3y8v7zg3EpOI0nJqQ   oat arm64 base odex_x000D_
    _x000D_
        at base 0x694cb8(Native Method)_x000D_
        at base cvBoundingRect(cvBoundingRect:248)_x000D_
        at base cvFindNextContour(cvFindNextContour:2152)_x000D_
        at base 0x57c8f0(Native Method)_x000D_
        at base cv::findContours(cv:: InputArray const   cv:: OutputArray const   cv:: OutputArray const   int  int  cv::Point  int )(findContours:984)_x000D_
2021 02 25 16:20:50 659 13281 13302   E AndroidRuntime:     at base cv::findContours(cv:: InputArray const   cv:: OutputArray const   int  int  cv::Point  int )(findContours:108)_x000D_
        at base 0xe3fb88(Native Method)_x000D_
        at base cv::parallel for (cv::Range const   cv::ParallelLoopBody const   double)(parallel for :208)_x000D_
        at base cv::aruco::detectMarkers(cv:: InputArray const   cv::Ptr cv::aruco::Dictionary  const   cv:: OutputArray const   cv:: OutputArray const   cv::Ptr cv::aruco::DetectorParameters  const   cv:: OutputArray const   cv:: InputArray const   cv:: InputArray const )(detectMarkers:1828)_x000D_
        at base Java org opencv aruco Aruco detectMarkers 10(Java org opencv aruco Aruco detectMarkers 10:184)_x000D_
        at base 0x567f8(Native Method)   </t>
  </si>
  <si>
    <t>jellyfin-jellyfin-androidtv-739</t>
  </si>
  <si>
    <t>Unable to play live TV on Shield TV</t>
  </si>
  <si>
    <t xml:space="preserve">Hi _x000D_
So this issue seems to be isolated to the Shield platform at the moment but I cannot get any live TV to play on it  I select a channel  it spins for a second then enters a loop of  player error will retry  endlessly until I can manage to force back to the menu or the app crashes  _x000D_
_x000D_
Testing it on browsers  iOS and even on a Firestick everything works great   but not on shield  _x000D_
_x000D_
Issue has been incredibly frustrating as liveTV was seemingly working fine as of a week ago and I have made no changes to settings  _x000D_
_x000D_
System (please complete the following information):_x000D_
_x000D_
OS: Host is Ubuntu 18 04_x000D_
Virtualization: Docker_x000D_
Clients: Shield TV  FireTV 4k_x000D_
Browser: Jellyfin app_x000D_
Jellyfin Version: 10 6 4_x000D_
Playback: Direct Play_x000D_
Installed Plugins: TVMaze  Anime  TMDB Box Sets  Fanart  Kodi  Open Subtitles_x000D_
Reverse Proxy: traefik_x000D_
Base URL: my own_x000D_
Networking: _x000D_
Storage: local_x000D_
_x000D_
_x000D_
Have tried doing a full and complete wipe to no avail  _x000D_
_x000D_
Running my jellyfin server on docker and have 10 6 4 deployed currently  </t>
  </si>
  <si>
    <t>grishka-Houseclub-163</t>
  </si>
  <si>
    <t>Bugs in android x86</t>
  </si>
  <si>
    <t xml:space="preserve">  When it runs on a tablet (android x86)   it just crashes while opening  _x000D_
_x000D_
  Steps to reproduce the behavior:  _x000D_
1  Open the app in Android x86 tablet (1920x1080)_x000D_
2  Enter in app_x000D_
3  Join any room_x000D_
4  App crashes and exits_x000D_
_x000D_
  Expected behavior  _x000D_
The bug is detected while joining any room  It just exits  but the account occurs in the participants  list of the room _x000D_
_x000D_
  Screenshots  _x000D_
There are no screenshots  but it just exits with an alert about _x000D_
_x000D_
  NOT SMARTPHONE (please complete the following information):  _x000D_
   Laptop Asus Vivobook: Ryzen 7 3700U with iGPU Vega 10  8gb RAM  1920x1080_x000D_
   OS: Android 9 x86 release_x000D_
   1 0 7 and previous versions_x000D_
_x000D_
App crashes while joining rooms _x000D_
</t>
  </si>
  <si>
    <t>TeamNewPipe-NewPipe-legacy-64</t>
  </si>
  <si>
    <t>Certain videos won't load at all.</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</si>
  <si>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up the app _x000D_
2  Find a faulty video _x000D_
3  Try to play it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Depending on the video  the video loads indefinitely _x000D_
_x000D_
The ones that i tried that failed to load were videos of NWA songs  Folsom Prison Blues  and gospel music compilations  although i am sure many other videos could possibly cause issues _x000D_
_x000D_
The ones i tried that loaded successfully were videos of Akbkuku and Druaga1  although  again  i am sure that there are many other videos that could work fine _x000D_
_x000D_
    Expected behavior_x000D_
I expect it to play without issue _x000D_
_x000D_
_x000D_
_x000D_
    Screenshots Screen recordings_x000D_
 https:  i imgur com 2cBvzlA png (Screenshot)_x000D_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4 1 1_x000D_
   Device model: ZTE Z992_x000D_
</t>
  </si>
  <si>
    <t>Anuken-Mindustry-4783</t>
  </si>
  <si>
    <t>Cant join local hosted games on mobile</t>
  </si>
  <si>
    <t xml:space="preserve">samsung galaxy s9 Android_x000D_
_x000D_
125 1_x000D_
_x000D_
I cant join local games my friends host  but they can join me when i do  they are on pc  this didnt occur before 125 1_x000D_
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</si>
  <si>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Anuken-Mindustry-4779</t>
  </si>
  <si>
    <t>Cultivator shallow water bonus</t>
  </si>
  <si>
    <t xml:space="preserve">  Platform  :  Android iOS Mac Windows Linux _x000D_
Android_x000D_
  Build  :  The build number under the title in the main menu  Required   LATEST  IS NOT A VERSION  I NEED THE EXACT BUILD NUMBER OF YOUR GAME  _x000D_
Build 125 1_x000D_
  Issue  :  Explain your issue in detail  _x000D_
When a cultivator is placed on shallow water with dark sand it gets a 10  bonus  Doesn t work with other shallow water types_x000D_
  Steps to reproduce  :  How you happened across the issue  and what exactly you did to make the bug happen  _x000D_
Place a cultivator on shallow water with dark sand _x000D_
  Link(s) to mod(s) used  :  The mod repositories or zip files that are related to the issue  if applicable  _x000D_
N A_x000D_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Mindustry save zip (https:  github com Anuken Mindustry files 6038525 Mindustry save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 crash but have them anyway_x000D_
 Mindustry crash logs txt (https:  github com Anuken Mindustry files 6038528 Mindustry crash logs txt)_x000D_
_x000D_
If more information is needed my discord is Willzile1 1191  E Mail is Willzile1 gmail com_x000D_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</si>
  <si>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inaturalist-iNaturalistAndroid-987</t>
  </si>
  <si>
    <t>TransactionTooLargeException in ObservationViewerActivity.downloadCommunityTaxon</t>
  </si>
  <si>
    <t xml:space="preserve">https:  console firebase google com u 2 project inaturalist ios crashlytics app android:org inaturalist android issues 6b67ec7e8444be5290a5c530a730ce06_x000D_
_x000D_
   _x000D_
Caused by android os TransactionTooLargeException: data parcel size 1217636 bytes_x000D_
       at android os BinderProxy transactNative(BinderProxy java)_x000D_
       at android os BinderProxy transact(BinderProxy java:763)_x000D_
       at android app IActivityManager Stub Proxy startService(IActivityManager java:5405)_x000D_
       at android app ContextImpl startServiceCommon(ContextImpl java:1524)_x000D_
       at android app ContextImpl startForegroundService(ContextImpl java:1490)_x000D_
       at android content ContextWrapper startForegroundService(ContextWrapper java:668)_x000D_
       at androidx core content ContextCompat startForegroundService(ContextCompat java:693)_x000D_
       at org inaturalist android ObservationViewerActivity downloadCommunityTaxon(ObservationViewerActivity java:2787)_x000D_
       at org inaturalist android ObservationViewerActivity access 4400(ObservationViewerActivity java:118)_x000D_
       at org inaturalist android ObservationViewerActivity ObservationReceiver 2 run(ObservationViewerActivity java:2663)_x000D_
       at java lang Thread run(Thread java:764)_x000D_
   _x000D_
_x000D_
I m guessing there s not much we can do about this aside from reducing response sizes  but putting this up in case there is </t>
  </si>
  <si>
    <t>react-native-share-react-native-share-972</t>
  </si>
  <si>
    <t>Share.open - callback only permits a single invocation</t>
  </si>
  <si>
    <t xml:space="preserve">    Steps to reproduce_x000D_
1   Share open(   ) _x000D_
2  Select an app_x000D_
3  Cancel the sharing process (e g   discard draft)_x000D_
_x000D_
    Expected behaviour_x000D_
No crash_x000D_
_x000D_
    Actual behaviour_x000D_
While debugging  the following error is reported:  Illegal callback invocation from native module  This callback type only permits a single invocation from native code  _x000D_
_x000D_
Looks like the failure callback is being called twice  In a release build  this will mean a full crash _x000D_
_x000D_
    Environment_x000D_
    React Native version  : 0 62 2_x000D_
    React Native platform   platform version  : iOS 14_x000D_
_x000D_
    react native share_x000D_
  Version  : 5 1 3_x000D_
_x000D_
    Link to repo (highly encouraged)_x000D_
https:  github com _x000D_
</t>
  </si>
  <si>
    <t>grishka-Houseclub-153</t>
  </si>
  <si>
    <t>Double click on "Leave room" app crash</t>
  </si>
  <si>
    <t xml:space="preserve">     IMPORTANT: please make sure that this issue is related to the app itself as opposed to the Clubhouse API or third party components  including the Agora voice SDK  Issues that aren t related to the app will be closed without further consideration  Do not remove this comment     _x000D_
_x000D_
  Describe the bug  _x000D_
if you quickly click the  Leave room  button a second time  the application will crash_x000D_
_x000D_
  To Reproduce  _x000D_
Steps to reproduce the behavior:_x000D_
1  enter the room_x000D_
2  Click on  Leave room _x000D_
3  Click on  Leave room _x000D_
_x000D_
  Smartphone (please complete the following information):  _x000D_
   Any_x000D_
</t>
  </si>
  <si>
    <t>grishka-Houseclub-152</t>
  </si>
  <si>
    <t xml:space="preserve">if you quickly click the  Leave room  button a second time  the application will crash _x000D_
_x000D_
private void onLeaveClick(View v) _x000D_
  v setOnClickListener(null)    should help _x000D_
  VoiceService getInstance() leaveChannel() _x000D_
  Nav finish(this) _x000D_
 </t>
  </si>
  <si>
    <t>PojavLauncherTeam-PojavLauncher-948</t>
  </si>
  <si>
    <t>[BUG] Failed to launch TLauncher modpack.</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</si>
  <si>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I have TLauncher in my laptop  and there s a modpack feature there  where you can put some mods in a different Minecraft version  The fact is that these TLauncher modpacks are not depended on anything  They work as a different version and it contains every needed folder inside the version folder  Whoever had TLauncher  will understand  So i tried to run one modpack  but it led to crash  as i wasn t expecting    Is something that i do wrong  or running this modpack is impossible for now _x000D_
_x000D_
  Add a log file if you want to see your bug fixed    _x000D_
 latestlog txt (https:  github com PojavLauncherTeam PojavLauncher files 6036472 latestlog txt)_x000D_
_x000D_
_x000D_
    To Reproduce:_x000D_
_x000D_
1  Start PojavLauncher_x000D_
2  Launch a modpack from TLauncher_x000D_
3  See that it crashes_x000D_
_x000D_
    Expected behavior:_x000D_
I expected it to work  as it s not something hard for Pojav to launch _x000D_
_x000D_
    Screenshots or videos:_x000D_
There are no screenshots  because i can t take a photo of a crash _x000D_
_x000D_
  Platform:  _x000D_
   Device Model  Xiaomi Pocophone F1 6 64 _x000D_
   CPU architecture  aarch64  _x000D_
   Android Version  10 _x000D_
   PojavLauncher Version  Latest Release    version 3 3 1 1 rel 20210206  _x000D_
_x000D_
_x000D_
 details   summary  b Additional context  b   summary _x000D_
 br _x000D_
 pre _x000D_
Add any other context about the problem here _x000D_
  pre _x000D_
  details _x000D_
</t>
  </si>
  <si>
    <t>commons-app-apps-android-commons-4276</t>
  </si>
  <si>
    <t xml:space="preserve">App Crashes on opening image after changing system wide theme in WikidataItemDetailsActivity </t>
  </si>
  <si>
    <t xml:space="preserve">  Summary:   _x000D_
_x000D_
On changing system wide theme in   WikidataItemDetailsActivity       CategoryDetailsActivity   and then clicking any image causes crash _x000D_
_x000D_
  Steps to reproduce:   _x000D_
_x000D_
  Open   WikidataItemDetailsActivity       CategoryDetailsActivity   _x000D_
  Change your system theme (Light    Dark   Dark    Light) _x000D_
  Click any image and the app will crash _x000D_
_x000D_
  System logs:  _x000D_
_x000D_
   _x000D_
2021 02 24 17:15:00 439 9821 9821 fr free nrw commons beta E AndroidRuntime: FATAL EXCEPTION: main_x000D_
    Process: fr free nrw commons beta  PID: 9821_x000D_
    kotlin KotlinNullPointerException_x000D_
        at fr free nrw commons explore media PageableMediaFragment pagedListAdapter 2 invoke(PageableMediaFragment kt:17)_x000D_
        at fr free nrw commons explore media PageableMediaFragment pagedListAdapter 2 invoke(PageableMediaFragment kt:14)_x000D_
        at kotlin SynchronizedLazyImpl getValue(LazyJVM kt:74)_x000D_
        at fr free nrw commons explore media PageableMediaFragment getPagedListAdapter(Unknown Source:2)_x000D_
        at fr free nrw commons explore media PageableMediaFragment getTotalMediaCount(PageableMediaFragment kt:59)_x000D_
        at fr free nrw commons explore depictions WikidataItemDetailsActivity getTotalMediaCount(WikidataItemDetailsActivity java:171)_x000D_
        at fr free nrw commons media MediaDetailPagerFragment MediaDetailAdapter getCount(MediaDetailPagerFragment java:415)_x000D_
        at androidx viewpager widget ViewPager setAdapter(ViewPager java:532)_x000D_
        at fr free nrw commons media MediaDetailPagerFragment onCreateView(MediaDetailPagerFragment java:125)_x000D_
        at androidx fragment app Fragment performCreateView(Fragment java:2698)_x000D_
        at androidx fragment app FragmentStateManager createView(FragmentStateManager java:310)_x000D_
        at androidx fragment app FragmentManager moveToState(FragmentManager java:1185)_x000D_
        at androidx fragment app FragmentManager moveToState(FragmentManager java:1354)_x000D_
        at androidx fragment app FragmentManager moveFragmentToExpectedState(FragmentManager java:1432)_x000D_
        at androidx fragment app FragmentManager moveToState(FragmentManager java:1495)_x000D_
        at androidx fragment app BackStackRecord executeOps(BackStackRecord java:447)_x000D_
        at androidx fragment app FragmentManager executeOps(FragmentManager java:2167)_x000D_
        at androidx fragment app FragmentManager executeOpsTogether(FragmentManager java:1990)_x000D_
        at androidx fragment app FragmentManager removeRedundantOperationsAndExecute(FragmentManager java:1945)_x000D_
        at androidx fragment app FragmentManager execPendingActions(FragmentManager java:1847)_x000D_
        at androidx fragment app FragmentManager executePendingTransactions(FragmentManager java:489)_x000D_
        at fr free nrw commons explore depictions WikidataItemDetailsActivity onMediaClicked(WikidataItemDetailsActivity java:133)_x000D_
        at fr free nrw commons explore media PageableMediaFragment pagedListAdapter 2 1 invoke(PageableMediaFragment kt:17)_x000D_
        at fr free nrw commons explore media PageableMediaFragment pagedListAdapter 2 1 invoke(PageableMediaFragment kt:14)_x000D_
        at fr free nrw commons explore media SearchImagesViewHolder bind 1 onClick(PagedMediaAdapter kt:37)_x000D_
        at android view View performClick(View java:7185)_x000D_
        at android view View performClickInternal(View java:7162)_x000D_
        at android view View access 3500(View java:819)_x000D_
        at android view View PerformClick run(View java:27684)_x000D_
        at android os Handler handleCallback(Handler java:883)_x000D_
        at android os Handler dispatchMessage(Handler java:100)_x000D_
        at android os Looper loop(Looper java:224)_x000D_
        at android app ActivityThread main(ActivityThread java:7590)_x000D_
        at java lang reflect Method invoke(Native Method)_x000D_
        at com android internal os RuntimeInit MethodAndArgsCaller run(RuntimeInit java:539)_x000D_
        at com android internal os ZygoteInit main(ZygoteInit java:950)_x000D_
_x000D_
   _x000D_
_x000D_
  Device and Android version:   _x000D_
Redmi Note 7S and Android 10 _x000D_
_x000D_
  Commons app version:   _x000D_
3 0 0 debug master d6dcd4390 _x000D_
_x000D_
  Would you like to work on the issue   _x000D_
yes</t>
  </si>
  <si>
    <t>TeamNewPipe-NewPipe-5700</t>
  </si>
  <si>
    <t>No UI feedback when skipping forward/backward on paused videos</t>
  </si>
  <si>
    <t xml:space="preserve">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Double tap on the right to skip forward on a video_x000D_
2  Don t work if it s paused_x000D_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It only skips forward in the video when you unpause it  While the video is paused you cant skip forward or backwards_x000D_
_x000D_
    Expected behavior_x000D_
     Tell us what you expect to happen     _x000D_
Should skip times regardless of the video being paused or not_x000D_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Here is a video of the bug_x000D_
https:  photos app goo gl AzcAZFHN9ugGBvtv5_x000D_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9_x000D_
   Device model: galaxy s8_x000D_
</t>
  </si>
  <si>
    <t>Anuken-Mindustry-4773</t>
  </si>
  <si>
    <t>No create units</t>
  </si>
  <si>
    <t xml:space="preserve">  Platform  :  Android 28
  Build  : release 125 1
  Issue  :  Explain your issue in detail  
Watch: https:  drive google com file d 1aNHu6rAGrlBwcmJGCZFTDzsqILV20 Xo view usp drivesdk
  Steps to reproduce  :  How you happened across the issue  and what exactly you did to make the bug happen  
Watch: https:  drive google com file d 1aNHu6rAGrlBwcmJGCZFTDzsqILV20 Xo view usp drivesdk
  Link(s) to mod(s) used  :         
  https:  drive google com file d 1aOgcjVT LY0lgGKxrKNrXwA7AX u2dE4 view usp drivesdk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</si>
  <si>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TeamNewPipe-NewPipe-5699</t>
  </si>
  <si>
    <t>[Bug] Volume gesture is not working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</si>
  <si>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I can t change the volume of my video by volume gesture in right side  Rather  only brightness gets changed no matter where I pull my finger _x000D_
_x000D_
    Actual behaviour_x000D_
     Tell us what happens with the steps given above     _x000D_
The volume should get changed on right side _x000D_
_x000D_
_x000D_
    Expected behavior_x000D_
     Tell us what you expect to happen     _x000D_
Brightness is changing on both sides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drive google com file d 1XWWKIzWqF5QNpc5die8JM jY Pe8Dy7n view usp sharing (https:  drive google com file d 1XWWKIzWqF5QNpc5die8JM jY Pe8Dy7n view usp sharing)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QP9A 190711 010_x000D_
   Device model: Xiaomi Redmi Note 8 Pro_x000D_
</t>
  </si>
  <si>
    <t>TeamNewPipe-NewPipe-5698</t>
  </si>
  <si>
    <t>Sometime crash &amp; Sometime Hang in my device</t>
  </si>
  <si>
    <t xml:space="preserve">when i m play music already download using repeat   background play sometime crash    hang please fix it
    Device info
   Android version Custom ROM version: V7 0
   Device model: Evercoss M50A Max
</t>
  </si>
  <si>
    <t>square-okhttp-6569</t>
  </si>
  <si>
    <t>Crash on Android 11</t>
  </si>
  <si>
    <t xml:space="preserve">We received reports about the following crash for our React Native app in our crash reporting tool:_x000D_
_x000D_
   _x000D_
java lang IllegalStateException_x000D_
Caused by java lang IllegalStateException: Expected Android API level 21  but was 30_x000D_
       at okhttp3 internal platform AndroidPlatform buildIfSupported(AndroidPlatform java:238)_x000D_
       at okhttp3 internal platform Platform findPlatform(Platform java:202)_x000D_
       at okhttp3 internal platform Platform  clinit (Platform java:79)_x000D_
       at okhttp3 internal platform Platform get(Platform java:85)_x000D_
       at okhttp3 OkHttpClient newSslSocketFactory(OkHttpClient java:263)_x000D_
       at okhttp3 OkHttpClient  init (OkHttpClient java:229)_x000D_
       at okhttp3 OkHttpClient Builder build(OkHttpClient java:1015)_x000D_
       at com facebook react devsupport DevServerHelper  init (DevServerHelper java:132)_x000D_
       at com facebook react devsupport DevSupportManagerBase  init (DevSupportManagerBase java:171)_x000D_
       at com facebook react devsupport DevSupportManagerImpl  init (DevSupportManagerImpl java:72)_x000D_
       at java lang reflect Constructor newInstance0(Constructor java)_x000D_
       at java lang reflect Constructor newInstance(Constructor java:343)_x000D_
       at com facebook react devsupport DevSupportManagerFactory create(DevSupportManagerFactory java:80)_x000D_
       at com facebook react ReactInstanceManager  init (ReactInstanceManager java:237)_x000D_
       at com facebook react ReactInstanceManagerBuilder build(ReactInstanceManagerBuilder java:280)_x000D_
       at com facebook react ReactNativeHost createReactInstanceManager(ReactNativeHost java:87)_x000D_
       at com facebook react ReactNativeHost getReactInstanceManager(ReactNativeHost java:39)_x000D_
       at com freyasavings MainApplication onCreate(MainApplication java:74)_x000D_
       at android app Instrumentation callApplicationOnCreate(Instrumentation java:1192)_x000D_
       at android app ActivityThread handleBindApplication(ActivityThread java:6712)_x000D_
       at android app ActivityThread access 1300(ActivityThread java:237)_x000D_
       at android app ActivityThread H handleMessage(ActivityThread java:1913)_x000D_
       at android os Handler dispatchMessage(Handler java:106)_x000D_
       at android os Looper loop(Looper java:223)_x000D_
       at android app ActivityThread main(ActivityThread java:7656)_x000D_
       at java lang reflect Method invoke(Method java)_x000D_
       at com android internal os RuntimeInit MethodAndArgsCaller run(RuntimeInit java:592)_x000D_
       at com android internal os ZygoteInit main(ZygoteInit java:947)_x000D_
   _x000D_
_x000D_
The check is performed here: https:  github com square okhttp blob master okhttp src main kotlin okhttp3 internal platform AndroidPlatform kt L154_x000D_
_x000D_
I suspect this is a bug because the function is stating that the expectation was not met when it was  Running on Android 11 </t>
  </si>
  <si>
    <t>TeamNewPipe-NewPipe-5695</t>
  </si>
  <si>
    <t>[Bug] Can't access timestamps from description but comments</t>
  </si>
  <si>
    <t>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 can t access my timestamps from description  However  I can do them so from comments  This needs to be fixed _x000D_
_x000D_
_x000D_
    Expected behavior_x000D_
     Tell us what you expect to happen     _x000D_
Timestamps from anywhere should be able to open the video at the certain moment  Those timestamps should stay underlined as well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https:  drive google com file d 1sE2Yu2iXf1ouERz8Vf391CqxHOnepHiG view usp sharing (https:  drive google com file d 1sE2Yu2iXf1ouERz8Vf391CqxHOnepHiG view usp sharing) _x000D_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QP1A 190711 020_x000D_
   Device model: Xiaomi Redmi Note 8 Pro</t>
  </si>
  <si>
    <t>libgdx-libgdx-6432</t>
  </si>
  <si>
    <t>Bullet FrustumCullingTest is broken (stack smashing detected)</t>
  </si>
  <si>
    <t xml:space="preserve">     Issue details_x000D_
Running Gdx test BulletTestCollection crash when running sub test FrustumCullingTest _x000D_
_x000D_
I dig in history a bit and found  5555 that might be related since it happened between 1 9 8 and 1 9 9  Not sure  i m not used to native compilation  maybe  PokeMMO and  NathanSweet have an idea about it _x000D_
_x000D_
It happens to me on Linux  i don t know if some have the issue on other platforms _x000D_
_x000D_
     Reproduction steps code_x000D_
Run BulletTestCollection and swipe the screen until FrustumCullingTest  Or directly access the sub test by changing  this array (https:  github com libgdx libgdx blob master tests gdx tests src com badlogic gdx tests BulletTestCollection java L38) with only FrustumCullingTest class in it _x000D_
_x000D_
     Version of LibGDX and or relevant dependencies_x000D_
i tried with several versions  it works with 1 9 8 and crash since 1 9 9_x000D_
_x000D_
     Stacktrace_x000D_
JVM crash with following error :      stack smashing detected    :  usr lib jvm java 8 openjdk amd64 bin java terminated _x000D_
_x000D_
     Please select the affected platforms_x000D_
      Android_x000D_
      iOS_x000D_
      HTML GWT_x000D_
      Windows_x000D_
   x  Linux_x000D_
      MacOS_x000D_
</t>
  </si>
  <si>
    <t>Anuken-Mindustry-4770</t>
  </si>
  <si>
    <t>Possible stroke tool inaccuracy</t>
  </si>
  <si>
    <t xml:space="preserve">  Platform  :  Windows _x000D_
_x000D_
  Build  :  125 1 _x000D_
_x000D_
  Issue  :  Not that much to explain here  while trying to draw a diagonal stroke the observation was made that if the stroke is angled 45 n 90 degrees and it is 2 tiles long it ll produce inaccurately placed tiles_x000D_
_x000D_
  Steps to reproduce  :  How you happened across the issue  and what exactly you did to make the bug happen  _x000D_
1) go to the map editor_x000D_
2) attempt drawing a diagonal stroke that is two tiles long_x000D_
3) see the results_x000D_
if they match up with the results in the video below then it ll be a successful reproduction_x000D_
_x000D_
https:  user images githubusercontent com 44333723 108910351 03d41e80 7626 11eb 82f9 f6ee1a86bfa6 mp4_x000D_
_x000D_
_x000D_
_x000D_
  Link(s) to mod(s) used  :  The mod repositories or zip files that are related to the issue  if applicable  _x000D_
Only possibly relevant mod: deltanedas ui lib  Highly doubtful about the mod being involved in this  though _x000D_
_x000D_
  Save file  :  Editor issue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Does not cause crashes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</si>
  <si>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ZogopZ-to-do-53</t>
  </si>
  <si>
    <t>Rework empty to-do text views.</t>
  </si>
  <si>
    <t xml:space="preserve">   x  The application is crashing when it is forced to reorder to do instances with empty clock views </t>
  </si>
  <si>
    <t>opensrp-opensrp-client-chw-1714</t>
  </si>
  <si>
    <t>QA results for the DRC production release candidate (v1.0.6 - 22 Feb)</t>
  </si>
  <si>
    <t xml:space="preserve">DRC production release candidate V1 0 6 (built 22 Feb)_x000D_
_x000D_
(All of the below was done while app set to French)_x000D_
_x000D_
   x  App crashes the first time you open Family Registration form  but not afterwards  worked on  qaziabubakar  _x000D_
   x  App crashes when you exit the ANC home visit page (only if you open ANC home visit from the ANC register list)  worked on  rkodev _x000D_
   x  PNC woman does not appear immediately in the PNC register list after filling out Pregnancy Outcome form  worked on  qaziabubakar _x000D_
   x  Birth certification not filled in when you re open the PNC home visit  worked on  qaziabubakar _x000D_
   x  Observed the ANC registration form getting partially filled in issue again  worked on  rkodev  _x000D_
   x  Obs   Illness is appearing before Td and Sp doses in the ANC home visit   it should sort to last in the list  worked on  rkodev  _x000D_
_x000D_
</t>
  </si>
  <si>
    <t>gluonhq-substrate-879</t>
  </si>
  <si>
    <t>Avoid unintentional linking of non-java specific libraries from the JDK lib path</t>
  </si>
  <si>
    <t>Recently  the JDK (11 x and 16 x) are bundled with an own version of libharfbuzz  _x000D_
Using the GraalVM SDK  libharfbuzz a from the jdk libs will be linked into the executable  while some of the JavaFX required libraries (pango  freetype  GTK    ) might require libharfbuzz so from the system path  This creates conflicts and crashes_x000D_
_x000D_
    Expected Behavior_x000D_
A single libharfbuzz to be linked loaded_x000D_
_x000D_
    Current Behavior_x000D_
https:  github com gluonhq client maven plugin issues 299_x000D_
_x000D_
    Steps to Reproduce_x000D_
See https:  github com gluonhq client maven plugin issues 299_x000D_
_x000D_
    Your Environment_x000D_
Linux only</t>
  </si>
  <si>
    <t>onaio-rdt-standard-813</t>
  </si>
  <si>
    <t>App crashing after logging in from field users created</t>
  </si>
  <si>
    <t xml:space="preserve">Logged in from arang lotim1 and kotaraja lotim2 users and app is crashing while syncing right after login </t>
  </si>
  <si>
    <t>PojavLauncherTeam-PojavLauncher-945</t>
  </si>
  <si>
    <t>[BUG] Crash, 1.13+ No crash log at all</t>
  </si>
  <si>
    <t xml:space="preserve">    _x000D_
Crashes when after an hour of gameplay  1 13  only_x000D_
   _x000D_
_x000D_
 details   summary  b Read before submit  b   summary _x000D_
 br _x000D_
  Make sure there was not duplicated issues  br _x000D_
  Make sure you have filled this issue template  or this will get rejected _x000D_
  details _x000D_
_x000D_
    Describe the bug_x000D_
When I play minecraft 1 13  (usually 1 16) I crash after an hour or less_x000D_
  Add a log file if you want to see your bug fixed    _x000D_
No log  the crash log won t appear _x000D_
The log file called  lastlog txt  is located under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1  Start PojavLauncher_x000D_
2  Launch versions 1 13 1 16_x000D_
3  Play for a few minutes _x000D_
4  Game crash  no log whatsoever_x000D_
     (your set of actions to reproduce the bug) _x000D_
_x000D_
    Expected behavior:_x000D_
I expected Minecraft to not crash  I ve tried to install the whole minecraft version  still no changes  still crashes_x000D_
_x000D_
    Screenshots or videos:_x000D_
No crash log  or anything_x000D_
_x000D_
  Platform:  _x000D_
   Device Model Vivo Y15_x000D_
   CPU architecture aarch64_x000D_
   Android Version 10_x000D_
   PojavLauncher Version version 3 3 1 1 rel 20210206 (really)_x000D_
_x000D_
_x000D_
 details   summary  b Additional context  b   summary _x000D_
 br _x000D_
 pre _x000D_
Add any other context about the problem here _x000D_
  pre _x000D_
  details _x000D_
</t>
  </si>
  <si>
    <t>TeamNewPipe-NewPipe-5682</t>
  </si>
  <si>
    <t>Network bug at the end of fetching subscription feed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</si>
  <si>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What s new _x000D_
2  Press on  Update feed _x000D_
3  Wait until the fetching s end_x000D_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big part of it gets refreshed _x000D_
but when it comes to the end of the subscription feed it says me  Network error   I m sure I don t have network error  because I ve tried multiple times  it is still buggy for me  And when I_x000D_
relaunch the app   the feed is refreshed  but it says  Updated 5 days ago  _x000D_
    Expected behavior_x000D_
     Tell us what you expect to happen     _x000D_
Refreshing the subscription feed and replacing  Updated 5 days ago  to Updated 1 min ago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I can t now  I ll try later_x000D_
_x000D_
_x000D_
    Logs_x000D_
     If your bug includes a crash (where you re shown the Error Report page with a bunch of info)  tap on  Copy formatted report  at the bottom and paste it here:    _x000D_
_x000D_
     That s right  here     _x000D_
_x000D_
It wasn t there_x000D_
_x000D_
     Please fill this out when you do not provide a log generate by NewPipe    _x000D_
_x000D_
    Device info_x000D_
_x000D_
   Android version Custom ROM version: Android 9_x000D_
   Device model: Samsung Galaxy S8_x000D_
</t>
  </si>
  <si>
    <t>UniRegensburg-unsere-app-fur-die-universitat-regensburg-bib-buddy-73</t>
  </si>
  <si>
    <t>Bug fix text editor</t>
  </si>
  <si>
    <t xml:space="preserve">    Description_x000D_
_x000D_
Closes  68  _x000D_
_x000D_
Some bugs related to the text editor have been fixed and some small adjustments were done as well _x000D_
_x000D_
1    Edited existing notes   were   saved as new notes   and their   already existing content was missing     this is fixed now by adjusting the bundle that is given from the NoteRecyclerViewAdapter to the TextNoteEditorFragment (BTW: for editing notes from the book views this needs to be done analogous) _x000D_
_x000D_
2  There was a bug whenever   applying and deapplying alignments     this is working fine now _x000D_
_x000D_
3    Switching between selected alignments   that should exclude each other is working fine now (highlight and select the icon view and unhighlight and deselect others meanwhile) _x000D_
_x000D_
4    Applying and deapplying bullets   caused the app to   crash     this is fixed as well _x000D_
_x000D_
5    Bottom navigation view was always layed above soft keyboard   (from SystemUI)  which took a lot of vertical space   to avoid that the way the navigation view is layed out has been changed  so the keyboard will simply overlap it _x000D_
_x000D_
6  Also   adjusted the cursor position   to match the applied text alignment whenever inserting a new line _x000D_
_x000D_
7    Besides: some small clean ups   mainly to RichTextEditor and TextNoteEditorFragment _x000D_
_x000D_
    Affects_x000D_
Mainly the Text Editor functionality  which is also affecting the BookNotesRecyclerView (because notes are created here and existing ones are editable  which needs the TextNoteEditor)  and therefore  SarahKurek should take a look  As some parts are also concern the UI  it might be interesting for  LuisMossburger as well _x000D_
_x000D_
    Notes for Reviewer_x000D_
_x000D_
Edit an existing note from the NotesFragment (overall view for the notes) since the functionality for the BookView is not adjusted yet _x000D_
_x000D_
Please review   comment approve </t>
  </si>
  <si>
    <t>TeamNewPipe-NewPipe-5660</t>
  </si>
  <si>
    <t>Snackbars queued when deleting downloads instead of flushing immediately</t>
  </si>
  <si>
    <t xml:space="preserve">    Checklist_x000D_
   x  I am using the latest version   x xx x      Check https:  github com TeamNewPipe NewPipe releases    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Download multiple videos audio files_x000D_
2  Go to download page_x000D_
3  Delete multiple videos quickly one after another_x000D_
_x000D_
    Actual behaviour_x000D_
Snackbars at the bottom of the UI keep queuing up  You need to wait for all of them to dismiss themselves for files to actually be deleted  If you close NewPipe before all snackbars are dismissed  your files will not be deleted and show up again next time you start NewPipe _x000D_
_x000D_
    Expected behavior_x000D_
Deleting a second  third etc  file should flush the handler queue and immediately delete the previously marked for deletion file and dismiss its snackbar _x000D_
_x000D_
    Screenshots Screen recordings_x000D_
_x000D_
See  this screen recording (https:  ix5 org files newpipe mp4)_x000D_
_x000D_
    Logs_x000D_
(This bug is not about crashes)_x000D_
_x000D_
    Device info_x000D_
_x000D_
   Android version Custom ROM version: Android 11_x000D_
   Device model: Any  e g  emulator_x000D_
_x000D_
   _x000D_
_x000D_
Now that this newbie template is filled out  let s get down to the actual issue _x000D_
_x000D_
Codepath:_x000D_
https:  github com TeamNewPipe NewPipe blob 1f77e00df41756185fdbe79e6c34e3b14736ce15 app src main java us shandian giga ui adapter MissionAdapter java L690_x000D_
https:  github com TeamNewPipe NewPipe blob 1f77e00df41756185fdbe79e6c34e3b14736ce15 app src main java us shandian giga ui common Deleter java L57 L62_x000D_
https:  github com TeamNewPipe NewPipe blob 1f77e00df41756185fdbe79e6c34e3b14736ce15 app src main java us shandian giga ui common Deleter java L71 L78_x000D_
This causes  next()  to be posted with a delay of 350ms (doc:  Handler postDelayed (https:  developer android com reference android os Handler postDelayed(java lang Runnable  20long)))_x000D_
_x000D_
https:  github com TeamNewPipe NewPipe blob 1f77e00df41756185fdbe79e6c34e3b14736ce15 app src main java us shandian giga ui common Deleter java L80 L91_x000D_
_x000D_
A message with  commit()  as runnable is then posted to the handler queue with a timeout of 5 seconds _x000D_
_x000D_
https:  github com TeamNewPipe NewPipe blob 1f77e00df41756185fdbe79e6c34e3b14736ce15 app src main java us shandian giga ui common Deleter java L93 L115_x000D_
_x000D_
Only  commit  then really hard deletes the file _x000D_
_x000D_
   _x000D_
_x000D_
    Possible solution_x000D_
_x000D_
My idea would be to flush the queue when running  append()  by calling  commit()  directly before inserting into  items  and cancelling all current callbacks via  removeCallbacks (https:  developer android com reference android os Handler removeCallbacks(java lang Runnable  20java lang Object))_x000D_
_x000D_
Tokens in some kind of form might be required _x000D_
_x000D_
Hopyfully some Android wizards more familiar with this codebase can chime in  I see  TiA4f8R  Isira Seneviratne touched this whole GigaGet imported component last </t>
  </si>
  <si>
    <t>matthewn4444-onscripter-plus-android-24</t>
  </si>
  <si>
    <t>Rose gun days playing error</t>
  </si>
  <si>
    <t xml:space="preserve">I keep on getting a error where vn rose gun days crashes at certain part of game  its just said playing error and goes back main app screen  And its in same spot of the game </t>
  </si>
  <si>
    <t>PojavLauncherTeam-PojavLauncher-932</t>
  </si>
  <si>
    <t>Crash while trying to run TLauncher modpack.</t>
  </si>
  <si>
    <t xml:space="preserve">I have TLauncher in my laptop  and there s a modpack feature there  where you can put some mods in a different Minecraft version  The fact is that these TLauncher modpacks are not depended on anything  They work as a different version and it contains every needed folder inside the version folder  Whoever had TLauncher  will understand  So i tried to run one modpack  but it led to crash  as i wasn t expecting    Is something that i do wrong  or running this modpack is impossible for now </t>
  </si>
  <si>
    <t>PojavLauncherTeam-PojavLauncher-930</t>
  </si>
  <si>
    <t>Controllable mod crash</t>
  </si>
  <si>
    <t xml:space="preserve">The controllable mod make it crash  is there a way to get controller support on this  _x000D_
</t>
  </si>
  <si>
    <t>Neamar-KISS-1687</t>
  </si>
  <si>
    <t>Complete app crash on starting search</t>
  </si>
  <si>
    <t xml:space="preserve">  Describe the bug  _x000D_
Whenever i bring up the keyboard to search apps  KISS crashes completely and my system starts another home launcher and prompts me to kill kiss as the app keeps restarting  This started with version 15 0  also on 15 3  I have to force kill it before i can continue using it  I kept back at 14 0 waiting for the next release after 15 0 but this still happens in 15 3 _x000D_
_x000D_
  To Reproduce  _x000D_
Steps to reproduce the crash:_x000D_
1  Gesture swipe up to bring keyboard _x000D_
2  Start typing _x000D_
3  Type in any letter but letter a (small or big) or any special symbol                       excluding accented letters and normal symbols like        _x000D_
4  App crashes _x000D_
5  If you typed in letter a  type another letter (or any nonspecial character  including another letter a)  _x000D_
6  App crashes  _x000D_
_x000D_
  Additional information  _x000D_
   App version: 15 3_x000D_
   Did the crash start happening with this version  No  it started woth 15 0_x000D_
   App installed via: (f droid  Play Store  debug APK): F Droid</t>
  </si>
  <si>
    <t>google-ExoPlayer-8612</t>
  </si>
  <si>
    <t>Sometimes play local mp4 file with unexpected runtime error</t>
  </si>
  <si>
    <t xml:space="preserve">Below is the logcat:_x000D_
   _x000D_
102 06 10:38:26 511 14670 16351 D CCodecConfig: c2::u32 coded pl profile   8192_x000D_
202 06 10:38:26 511 14670 16351 D CCodecConfig: c2::float coding drc attenuation factor value   1_x000D_
302 06 10:38:26 511 14670 16351 D CCodecConfig: c2::float coding drc boost factor value   1_x000D_
402 06 10:38:26 511 14670 16351 D CCodecConfig: c2::i32 coding drc compression mode value   3_x000D_
502 06 10:38:26 511 14670 16351 D CCodecConfig: c2::i32 coding drc effect type value   3_x000D_
602 06 10:38:26 511 14670 16351 D CCodecConfig: c2::float coding drc encoded level value   0 25_x000D_
702 06 10:38:26 511 14670 16351 D CCodecConfig: c2::float coding drc reference level value    16_x000D_
802 06 10:38:26 511 14670 16351 D CCodecConfig: c2::u32 input buffers max size value   8192_x000D_
902 06 10:38:26 511 14670 16351 D CCodecConfig: c2::u32 input delay value   0_x000D_
1002 06 10:38:26 511 14670 16351 D CCodecConfig: string input media type value    audio mp4a latm _x000D_
1102 06 10:38:26 511 14670 16351 D CCodecConfig: c2::u32 output delay value   2_x000D_
1202 06 10:38:26 511 14670 16351 D CCodecConfig: string output media type value    audio raw _x000D_
1302 06 10:38:26 511 14670 16351 D CCodecConfig: c2::u32 raw channel count value   1_x000D_
1402 06 10:38:26 511 14670 16351 D CCodecConfig: c2::u32 raw sample rate value   44100_x000D_
1502 06 10:38:26 511 14670 16351 D CCodecConfig:  _x000D_
1602 06 10:38:26 513 14670 16351 D CCodecConfig: config failed    CORRUPTED_x000D_
1702 06 10:38:26 513 14670 16351 D CCodecConfig: c2 config is Dict  _x000D_
1802 06 10:38:26 513 14670 16351 D CCodecConfig: c2::u32 coded aac packaging value   0_x000D_
1902 06 10:38:26 513 14670 16351 D CCodecConfig: c2::u32 coded bitrate value   64000_x000D_
2002 06 10:38:26 513 14670 16351 D CCodecConfig: c2::u32 coded pl level   0_x000D_
2102 06 10:38:26 513 14670 16351 D CCodecConfig: c2::u32 coded pl profile   8192_x000D_
2202 06 10:38:26 513 14670 16351 D CCodecConfig: c2::float coding drc attenuation factor value   1_x000D_
2302 06 10:38:26 513 14670 16351 D CCodecConfig: c2::float coding drc boost factor value   1_x000D_
2402 06 10:38:26 513 14670 16351 D CCodecConfig: c2::i32 coding drc compression mode value   3_x000D_
2502 06 10:38:26 513 14670 16351 D CCodecConfig: c2::i32 coding drc effect type value   3_x000D_
2602 06 10:38:26 513 14670 16351 D CCodecConfig: c2::float coding drc encoded level value   0 25_x000D_
2702 06 10:38:26 513 14670 16351 D CCodecConfig: c2::float coding drc reference level value    16_x000D_
2802 06 10:38:26 513 14670 16351 D CCodecConfig: c2::u32 input buffers max size value   8192_x000D_
2902 06 10:38:26 513 14670 16351 D CCodecConfig: c2::u32 input delay value   0_x000D_
3002 06 10:38:26 513 14670 16351 D CCodecConfig: string input media type value    audio mp4a latm _x000D_
3102 06 10:38:26 513 14670 16351 D CCodecConfig: c2::u32 output delay value   2_x000D_
3202 06 10:38:26 513 14670 16351 D CCodecConfig: string output media type value    audio raw _x000D_
3302 06 10:38:26 513 14670 16351 D CCodecConfig: c2::u32 raw channel count value   2_x000D_
3402 06 10:38:26 513 14670 16351 D CCodecConfig: c2::u32 raw sample rate value   44100_x000D_
3502 06 10:38:26 513 14670 16351 D CCodecConfig:  _x000D_
3602 06 10:38:26 513 14670 16351 W Codec2Client: query    param skipped: index   1107298332 _x000D_
3702 06 10:38:26 513 14670 16351 D CCodec : client requested max input size 810  which is smaller than what component recommended (8192)  overriding with component recommendation _x000D_
3802 06 10:38:26 513 14670 16351 W CCodec : This behavior is subject to change  It is recommended that app developers double check whether the requested max input size is in reasonable range _x000D_
3902 06 10:38:26 513 14670 16351 D CCodec : setup formats input: AMessage(what   0x00000000)    _x000D_
4002 06 10:38:26 513 14670 16351 D CCodec : int32 t channel count   2_x000D_
4102 06 10:38:26 513 14670 16351 D CCodec : int32 t level   0_x000D_
4202 06 10:38:26 513 14670 16351 D CCodec : int32 t max input size   8192_x000D_
4302 06 10:38:26 513 14670 16351 D CCodec : string mime    audio mp4a latm _x000D_
4402 06 10:38:26 513 14670 16351 D CCodec : int32 t profile   2_x000D_
4502 06 10:38:26 513 14670 16351 D CCodec : int32 t sample rate   44100_x000D_
4602 06 10:38:26 513 14670 16351 D CCodec :   and output: AMessage(what   0x00000000)    _x000D_
4702 06 10:38:26 513 14670 16351 D CCodec : int32 t channel count   2_x000D_
4802 06 10:38:26 513 14670 16351 D CCodec : string mime    audio raw _x000D_
4902 06 10:38:26 513 14670 16351 D CCodec : int32 t sample rate   44100_x000D_
5002 06 10:38:26 513 14670 16351 D CCodec :  _x000D_
5102 06 10:38:26 514 14670 16351 W Codec2Client: query    param skipped: index   1342179345 _x000D_
5202 06 10:38:26 514 14670 16351 W Codec2Client: query    param skipped: index   2415921170 _x000D_
5302 06 10:38:26 514 14670 16351 W Codec2Client: query    param skipped: index   1610614798 _x000D_
5402 06 10:38:26 515 14670 16351 D BufferPoolManager:   of cleaned connections: 2_x000D_
5502 06 10:38:26 515 14670 16351 D BufferPoolManager: create new connection 63008782811286_x000D_
5602 06 10:38:26 515 14670 16351 D CCodecBufferChannel:  c2 android aac decoder 112  Created input block pool with allocatorID 16    poolID 19   OK (0)_x000D_
5702 06 10:38:26 516 14670 16351 I CCodecBufferChannel:  c2 android aac decoder 112  Created output block pool with allocatorID 16    poolID 345   OK_x000D_
5802 06 10:38:26 517 14670 16351 D CCodecBufferChannel:  c2 android aac decoder 112  Configured output block pool ids 345    OK_x000D_
5902 06 10:38:26 518 14670 16351 D BufferPoolManager: client death recipient registered 63008782811287_x000D_
6002 06 10:38:26 518 14670 15435 D BufferPoolManager: register existing connection 63008782811286_x000D_
6102 06 10:38:26 524 14670 16338 I ACodec :  OMX hisi video decoder avc  got color aspects (R:2(Limited)  P:1(BT709 5)  M:1(BT709 5)  T:3(SMPTE170M)) err 0(NO ERROR)_x000D_
6202 06 10:38:26 525 14670 16338 I ACodec :  OMX hisi video decoder avc  got color aspects (R:2(Limited)  P:1(BT709 5)  M:1(BT709 5)  T:3(SMPTE170M)) err 0(NO ERROR)_x000D_
6302 06 10:38:26 525 14670 16338 I ACodec :  OMX hisi video decoder avc  using color aspects (R:2(Limited)  P:1(BT709 5)  M:1(BT709 5)  T:3(SMPTE170M)) and dataspace 0x104_x000D_
6402 06 10:38:26 525 14670 15435 D BufferPoolManager: register new connection 3562138389164_x000D_
6502 06 10:38:26 528 14670 14670 D LeakCanary: Watching instance of androidx fragment app FragmentManagerViewModel (androidx fragment app FragmentManagerViewModel received ViewModel onCleared() callback) with key 9ef0d206 69c8 4528 9d03 a011639152e2_x000D_
6602 06 10:38:26 528 14670 14670 D LeakCanary: Watching instance of com camera360 salad editor album AlbumSelectManagerViewModel (com camera360 salad editor album AlbumSelectManagerViewModel received ViewModel onCleared() callback) with key a1cd7d28 cf4a 4da5 a8da cece5af65af6_x000D_
6702 06 10:38:26 528 14670 14670 D LeakCanary: Watching instance of leakcanary internal ViewModelClearedWatcher (leakcanary internal ViewModelClearedWatcher received ViewModel onCleared() callback) with key ded75b98 25a3 4adf 9840 8a02f0e7dfcb_x000D_
6802 06 10:38:26 528 14670 14670 D LeakCanary: Watching instance of com camera360 salad editor album LoadAlbumMediasViewModel (com camera360 salad editor album LoadAlbumMediasViewModel received ViewModel onCleared() callback) with key 9af4b56c 9d72 4cee 9e73 c10c065e161a_x000D_
6902 06 10:38:26 529 14670 14670 D LeakCanary: Watching instance of androidx lifecycle ReportFragment (androidx lifecycle ReportFragment received Fragment onDestroy() callback) with key 6ddcb85d d017 41b0 b33c 1314e4de6541_x000D_
7002 06 10:38:26 529 14670 14670 D AlbumContainerActivity: onDestroy_x000D_
7102 06 10:38:26 529 14670 14670 D LeakCanary: Watching instance of com camera360 salad editor album AlbumContainerActivity (com camera360 salad editor album AlbumContainerActivity received Activity onDestroy() callback) with key a9aa427e b766 42f1 9f56 7d08cf975788_x000D_
7202 06 10:38:26 529 14670 14670 D CrashReport:     com camera360 salad editor album AlbumContainerActivity onDestroyed    _x000D_
7302 06 10:38:26 530 14670 14670 D GIO AppState: onActivityDestroyed com camera360 salad editor album AlbumContainerActivity e2d62f5_x000D_
7402 06 10:38:26 530 14670 14670 D GIO AutoAppState: onActivityDestroyed com camera360 salad editor album AlbumContainerActivity e2d62f5_x000D_
7502 06 10:38:26 531 14670 16338 I ACodec :  OMX hisi video decoder avc  got color aspects (R:2(Limited)  P:1(BT709 5)  M:1(BT709 5)  T:3(SMPTE170M)) err 0(NO ERROR)_x000D_
7602 06 10:38:26 531 14670 16338 I ACodec :  OMX hisi video decoder avc  got color aspects (R:2(Limited)  P:1(BT709 5)  M:1(BT709 5)  T:3(SMPTE170M)) err 0(NO ERROR)_x000D_
7702 06 10:38:26 531 14670 16338 I ACodec :  OMX hisi video decoder avc  using color aspects (R:2(Limited)  P:1(BT709 5)  M:1(BT709 5)  T:3(SMPTE170M)) and dataspace 0x104_x000D_
7802 06 10:38:26 531 14670 14670 D LeakCanary: Watching instance of androidx loader app LoaderManagerImpl LoaderViewModel (androidx loader app LoaderManagerImpl LoaderViewModel received ViewModel onCleared() callback) with key a5a36065 c239 4126 9424 83a7d09e53e8_x000D_
7902 06 10:38:26 531 14670 14670 D LeakCanary: Watching instance of leakcanary internal ViewModelClearedWatcher (leakcanary internal ViewModelClearedWatcher received ViewModel onCleared() callback) with key 90429ee1 911e 479f ae57 633ae62d58d6_x000D_
8002 06 10:38:26 531 14670 16337 D SurfaceUtils: connecting to surface 0x98d05808  reason connectToSurface_x000D_
8102 06 10:38:26 532 14670 16337 I MediaCodec:  OMX hisi video decoder avc  setting surface generation to 15022142_x000D_
8202 06 10:38:26 532 14670 16337 D SurfaceUtils: disconnecting from surface 0x98d05808  reason connectToSurface(reconnect)_x000D_
8302 06 10:38:26 532 14670 16337 D SurfaceUtils: connecting to surface 0x98d05808  reason connectToSurface(reconnect)_x000D_
8402 06 10:38:26 534 14670 16338 D SurfaceUtils: disconnecting from surface 0x98d05808  reason setNativeWindowSizeFormatAndUsage_x000D_
8502 06 10:38:26 534 14670 16338 D SurfaceUtils: connecting to surface 0x98d05808  reason setNativeWindowSizeFormatAndUsage_x000D_
8602 06 10:38:26 534 14670 16338 D SurfaceUtils: set up nativeWindow 0x98d05808 for 1088x1920  color 0x30d  rotation 0  usage 0x20002900_x000D_
8702 06 10:38:26 534 14670 16338 E BufferQueueProducer:  SurfaceTexture 0 14670 32 :139: setMaxDequeuedBufferCount: the requested maxDequeuedBuffercount ( 1) exceeds the current dequeued buffer count (0)_x000D_
8802 06 10:38:26 534 14670 16338 E Surface : IGraphicBufferProducer::setBufferCount(1) returned Invalid argument_x000D_
8902 06 10:38:26 534 14670 16338 E ACodec : native window set buffer count failed: Invalid argument (22)_x000D_
9002 06 10:38:26 536 14670 16333 E ExoPlayerImplInternal: Playback error_x000D_
9102 06 10:38:26 536 14670 16333 E ExoPlayerImplInternal: com google android exoplayer2 ExoPlaybackException: Unexpected runtime error_x000D_
9202 06 10:38:26 536 14670 16333 E ExoPlayerImplInternal: at com google android exoplayer2 ExoPlayerImplInternal handleMessage(ExoPlayerImplInternal java:564)_x000D_
9302 06 10:38:26 536 14670 16333 E ExoPlayerImplInternal: at android os Handler dispatchMessage(Handler java:103)_x000D_
9402 06 10:38:26 536 14670 16333 E ExoPlayerImplInternal: at android os Looper loop(Looper java:213)_x000D_
9502 06 10:38:26 536 14670 16333 E ExoPlayerImplInternal: at android os HandlerThread run(HandlerThread java:67)_x000D_
9602 06 10:38:26 536 14670 16333 E ExoPlayerImplInternal: Caused by: java lang IllegalArgumentException_x000D_
9702 06 10:38:26 536 14670 16333 E ExoPlayerImplInternal: at android media MediaCodec native setSurface(Native Method)_x000D_
9802 06 10:38:26 536 14670 16333 E ExoPlayerImplInternal: at android media MediaCodec setOutputSurface(MediaCodec java:2042)_x000D_
9902 06 10:38:26 536 14670 16333 E ExoPlayerImplInternal: at com google android exoplayer2 video MediaCodecVideoRenderer setOutputSurfaceV23(MediaCodecVideoRenderer java:1242)_x000D_
10002 06 10:38:26 536 14670 16333 E ExoPlayerImplInternal: at com google android exoplayer2 video MediaCodecVideoRenderer setSurface(MediaCodecVideoRenderer java:516)_x000D_
10102 06 10:38:26 536 14670 16333 E ExoPlayerImplInternal: at com google android exoplayer2 video MediaCodecVideoRenderer handleMessage(MediaCodecVideoRenderer java:478)_x000D_
10202 06 10:38:26 536 14670 16333 E ExoPlayerImplInternal: at com google android exoplayer2 ExoPlayerImplInternal deliverMessage(ExoPlayerImplInternal java:1402)_x000D_
10302 06 10:38:26 536 14670 16333 E ExoPlayerImplInternal: at com google android exoplayer2 ExoPlayerImplInternal sendMessageToTarget(ExoPlayerImplInternal java:1368)_x000D_
10402 06 10:38:26 536 14670 16333 E ExoPlayerImplInternal: at com google android exoplayer2 ExoPlayerImplInternal sendMessageInternal(ExoPlayerImplInternal java:1343)_x000D_
10502 06 10:38:26 536 14670 16333 E ExoPlayerImplInternal: at com google android exoplayer2 ExoPlayerImplInternal handleMessage(ExoPlayerImplInternal java:499)_x000D_
10602 06 10:38:26 536 14670 16333 E ExoPlayerImplInternal:     3 more_x000D_
10702 06 10:38:26 536 14670 16338 D SurfaceUtils: disconnecting from surface 0x98d05008  reason setNativeWindowSizeFormatAndUsage_x000D_
10802 06 10:38:26 538 14670 16338 D SurfaceUtils: connecting to surface 0x98d05008  reason setNativeWindowSizeFormatAndUsage_x000D_
10902 06 10:38:26 538 14670 14670 D LeakCanary: Watching instance of com bumptech glide manager SupportRequestManagerFragment (com bumptech glide manager SupportRequestManagerFragment received Fragment onDestroy() callback) with key 307643bb c631 437f ac50 5958e1202ebd_x000D_
11002 06 10:38:26 538 14670 16338 D SurfaceUtils: set up nativeWindow 0x98d05008 for 1088x1920  color 0x30d  rotation 0  usage 0x20002900_x000D_
11102 06 10:38:26 538 14670 16338 W ACodec :  OMX hisi video decoder avc  setting nBufferCountActual to 11 failed:  2147483648_x000D_
11202 06 10:38:26 542 14670 14670 D LeakCanary: Watching instance of androidx constraintlayout widget ConstraintLayout (com camera360 salad editor album MediaListFragment received Fragment onDestroyView() callback (references to its views should be cleared to prevent leaks)) with key 7393ef2f 3f31 4414 9d71 6095c28dd0bb_x000D_
11302 06 10:38:26 543 14670 14670 D LeakCanary: Watching instance of androidx constraintlayout widget ConstraintLayout (com camera360 salad editor album AlbumFragment received Fragment onDestroyView() callback (references to its views should be cleared to prevent leaks)) with key 825a87a9 0015 480a 92bf 06ef0f1a857d_x000D_
11402 06 10:38:26 543 14670 14670 D LeakCanary: Watching instance of androidx loader app LoaderManagerImpl LoaderViewModel (androidx loader app LoaderManagerImpl LoaderViewModel received ViewModel onCleared() callback) with key 0f6e7d6f a898 4bb0 95f7 563429741c80_x000D_
11502 06 10:38:26 543 14670 14670 D LeakCanary: Watching instance of leakcanary internal ViewModelClearedWatcher (leakcanary internal ViewModelClearedWatcher received ViewModel onCleared() callback) with key 229a49ab 96f7 48dc 86f5 54f8b88a263c_x000D_
11602 06 10:38:26 543 14670 14670 D LeakCanary: Watching instance of androidx loader app LoaderManagerImpl LoaderViewModel (androidx loader app LoaderManagerImpl LoaderViewModel received ViewModel onCleared() callback) with key 70655ec1 fa36 4d45 8faa 91ce02fcbb27_x000D_
11702 06 10:38:26 543 14670 14670 D LeakCanary: Watching instance of leakcanary internal ViewModelClearedWatcher (leakcanary internal ViewModelClearedWatcher received ViewModel onCleared() callback) with key f228d115 87dc 402d 817a 4c5f535c2e9f_x000D_
11802 06 10:38:26 543 14670 14670 D LeakCanary: Watching instance of androidx loader app LoaderManagerImpl LoaderViewModel (androidx loader app LoaderManagerImpl LoaderViewModel received ViewModel onCleared() callback) with key 49a4cf9a 8c3e 431c 8b6f 1a83ff8a86f0_x000D_
11902 06 10:38:26 543 14670 14670 D LeakCanary: Watching instance of leakcanary internal ViewModelClearedWatcher (leakcanary internal ViewModelClearedWatcher received ViewModel onCleared() callback) with key a5aa6f60 ba1d 4c27 b3aa 96e4310b67bb_x000D_
12002 06 10:38:26 544 14670 14670 D LeakCanary: Watching instance of com bumptech glide manager SupportRequestManagerFragment (com bumptech glide manager SupportRequestManagerFragment received Fragment onDestroy() callback) with key 2e6992f7 46c2 49df 9270 bf3d7c3eaf07_x000D_
12102 06 10:38:26 544 14670 14670 D LeakCanary: Watching instance of com camera360 salad editor album MediaListFragment (com camera360 salad editor album MediaListFragment received Fragment onDestroy() callback) with key 7332390d 9f6c 454d 864a 5127283d29e6_x000D_
12202 06 10:38:26 544 14670 14670 D LeakCanary: Watching instance of com camera360 salad editor album AlbumFragment (com camera360 salad editor album AlbumFragment received Fragment onDestroy() callback) with key 706b4280 5388 423d 86b4 f738f24638ec_x000D_
12302 06 10:38:26 545 14670 14670 D ActivityThread: Remove activity client record  r  ActivityRecord 7890616 token android os BinderProxy 9fbd283  com camera360 salad com camera360 salad editor album AlbumContainerActivity   token  android os BinderProxy 9fbd283_x000D_
12402 06 10:38:26 565 14670 16333 D BufferPoolAccessor: buffer invalidation added bp:2 1_x000D_
12502 06 10:38:26 565 14670 15458 D BufferPoolAccessor: buffer invalidation deleted bp:2_x000D_
12602 06 10:38:26 566 14670 16338 W ACodec : forcing OMX state to Idle when received shutdown in ExecutingState_x000D_
12702 06 10:38:26 597 14670 16337 D SurfaceUtils: disconnecting from surface 0x98d05008  reason disconnectFromSurface_x000D_
12802 06 10:38:26 603 14670 14670 W BundlePool:  create new bundle object _x000D_
12902 06 10:38:26 603 14670 14670 D frameEvent play: PLAYER EVENT ON STATUS CHANGE_x000D_
13002 06 10:38:26 603 14670 14670 E ExoMediaPlayer: Unexpected runtime error  causeMessage   null_x000D_
13102 06 10:38:26 603 14670 14670 W BundlePool:  create new bundle object _x000D_
13202 06 10:38:26 604 14670 14670 E frameEvent error: ERROR EVENT UNKNOWN Bundle  causeMessage null  errorMessage Unexpected runtime error  _x000D_
13302 06 10:38:26 604 14670 14670 E BaseVideoView: onError : code    88012  Message   Bundle  causeMessage null  errorMessage Unexpected runtime error  _x000D_
13402 06 10:38:26 604 14670 14670 D hsc :       code   88012 bundle  Bundle  causeMessage null  errorMessage Unexpected runtime error  _x000D_
13502 06 10:38:26 605 14670 14670 D CrashReport:  AsyncTaskHandler  Post a normal task: com tencent bugly crashreport crash c 1_x000D_
13602 06 10:38:26 605 14670 14770 D CrashReport: post a throwable false_x000D_
13702 06 10:38:26 605 14670 14770 E CrashReport: Java Catch Happen_x000D_
13802 06 10:38:26 606 14670 14670 D ExoMediaPlayer: onLoadingChanged : false  bufferPercentage   0_x000D_
13902 06 10:38:26 606 14670 14670 D ExoMediaPlayer: onPlayerStateChanged : playbackState   1_x000D_
14002 06 10:38:26 621 14670 14670 D GIO PageObserver: last callback time over three seconds  and force refresh page_x000D_
14102 06 10:38:26 644 14670 14805 W GIO HttpService: performRequest: code 200 url:https:  api growingio com v3 835c0c2f633e0d20 android cstm stm 1612579106437  error: null  response:_x000D_
14202 06 10:38:26 647 14670 14823 D mali winsys: EGLint new window surface(egl winsys display    void    EGLSurface  EGLConfig  egl winsys surface     EGLBoolean) returns 0x3000_x000D_
14302 06 10:38:26 652 14670 14823 D OpenGLRenderer: disableOutlineDraw is true_x000D_
   _x000D_
</t>
  </si>
  <si>
    <t>Anuken-Mindustry-4739</t>
  </si>
  <si>
    <t>A crash has occured</t>
  </si>
  <si>
    <t xml:space="preserve">  Platform  : Windows_x000D_
_x000D_
  Build  : 125 1_x000D_
_x000D_
  Issue  : When you start Mindustry  you see the loading screen and it closes instantly and sends an error message stating the following:  A crash has occurred  It has been saved to: (directory)_x000D_
IO: Error loading pixel map: insufficient memory   _x000D_
_x000D_
    (Crash) logs  :_x000D_
 crash report 02 20 2021 00 41 29 txt (https:  github com Anuken Mindustry files 6014104 crash report 02 20 2021 00 41 29 txt)_x000D_
_x000D_
_x000D_
Mindustry has crashed  How unfortunate _x000D_
Report this at https:  github com Anuken Mindustry issues new labels bug template bug report md_x000D_
_x000D_
Version: steam build 125 1_x000D_
OS: Windows 10 x32_x000D_
Java Version: 1 8 0 201 1 ojdkbuild_x000D_
Java Architecture: 32_x000D_
0 Mods_x000D_
_x000D_
arc util ArcRuntimeException: arc util ArcRuntimeException: Couldn t load dependencies of asset: sprites sprites png_x000D_
	at arc assets AssetManager handleTaskError(AssetManager java:670)_x000D_
	at arc assets AssetManager update(AssetManager java:442)_x000D_
	at arc assets AssetManager update(AssetManager java:465)_x000D_
	at mindustry ClientLauncher update(ClientLauncher java:138)_x000D_
	at arc backend sdl SdlApplication listen(SdlApplication java:160)_x000D_
	at arc backend sdl SdlApplication loop(SdlApplication java:148)_x000D_
	at arc backend sdl SdlApplication  init (SdlApplication java:44)_x000D_
	at mindustry desktop DesktopLauncher main(DesktopLauncher java:36)_x000D_
Caused by: arc util ArcRuntimeException: Couldn t load dependencies of asset: sprites sprites png_x000D_
	at arc assets AssetLoadingTask handleAsyncLoader(AssetLoadingTask java:105)_x000D_
	at arc assets AssetLoadingTask update(AssetLoadingTask java:74)_x000D_
	at arc assets AssetManager updateTask(AssetManager java:591)_x000D_
	at arc assets AssetManager update(AssetManager java:440)_x000D_
	    6 more_x000D_
Caused by: arc util ArcRuntimeException: arc util ArcRuntimeException: Couldn t load file: sprites sprites png_x000D_
	at arc util async AsyncResult get(AsyncResult java:34)_x000D_
	at arc assets AssetLoadingTask handleAsyncLoader(AssetLoadingTask java:103)_x000D_
	    9 more_x000D_
Caused by: arc util ArcRuntimeException: Couldn t load file: sprites sprites png_x000D_
	at arc graphics Pixmap  init (Pixmap java:93)_x000D_
	at arc graphics TextureData TextureDataFactory loadFromFile(TextureData java:96)_x000D_
	at arc assets loaders TextureLoader loadAsync(TextureLoader java:39)_x000D_
	at arc assets loaders TextureLoader loadAsync(TextureLoader java:18)_x000D_
	at arc assets AssetLoadingTask call(AssetLoadingTask java:53)_x000D_
	at arc assets AssetLoadingTask call(AssetLoadingTask java:17)_x000D_
	at java util concurrent FutureTask run(FutureTask java:266)_x000D_
	at java util concurrent ThreadPoolExecutor runWorker(ThreadPoolExecutor java:1149)_x000D_
	at java util concurrent ThreadPoolExecutor Worker run(ThreadPoolExecutor java:624)_x000D_
	at java lang Thread run(Thread java:748)_x000D_
Caused by: java io IOException: Error loading pixmap: Out of memory_x000D_
	at arc graphics Pixmap NativePixmap  init (Pixmap java:596)_x000D_
	at arc graphics Pixmap  init (Pixmap java:91)_x000D_
	    9 more_x000D_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</si>
  <si>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AOF-Dev-MCinaBox-960</t>
  </si>
  <si>
    <t>Minecraft can't boot at all</t>
  </si>
  <si>
    <t>Well it s a weird issue that happened to me i downloaded   installed the app used the runtime on version 0 1 4 p5 imported the runtime installed Minecraft 1 8 9 made a user          well nothing the app boots   i see the different control configuration but Minecraft doesn t show any sign of life   then crashes i tried to download the older versions of Minecraft   used the 2 different runtimes i redownload   i download all the way back to version 0 1 0 of the app   nothing it still have the same issue   i just didn t get the game to run   yes i download all different versions of Minecraft even older ones but no signs of hope_x000D_
_x000D_
Here s my phone configuration if there s a problem there   screen shot from cpu z:_x000D_
Model: Realme c2_x000D_
Os: Android version 9 pie_x000D_
Soc: 8 core mediatek helio p22 clocked at 2 00 Ghz_x000D_
Ram: 3 GB of LPDDr3 ram_x000D_
  Screenshot 2021 02 19 22 43 48 22 c42fd5307ad0c723935554bc80c21421 (https:  user images githubusercontent com 79337111 108561628 408ed580 7307 11eb 8617 050befa12f55 png)_x000D_
_x000D_
Well i hope u see maybe the code wasn t design for these cores or something</t>
  </si>
  <si>
    <t>PojavLauncherTeam-PojavLauncher-927</t>
  </si>
  <si>
    <t>[BUG]     -Dorg.lwjgl.opengl.libname=libgl4es_115.so  works only if auto Ram is active! if Auto Ram is disabled, when starting a version the game simply crashes</t>
  </si>
  <si>
    <t xml:space="preserve"> Dorg lwjgl opengl libname libgl4es 115 so 
 works only if auto Ram is active  if auto Ram is disabled  when starting a version the game simply crashes
    </t>
  </si>
  <si>
    <t>commons-app-apps-android-commons-4254</t>
  </si>
  <si>
    <t>App crashes on setting avatar when not logged in</t>
  </si>
  <si>
    <t xml:space="preserve">  Summary:   _x000D_
_x000D_
When tapping   Set as Avatar   from menu of   MediaDetailFragment   the app crashes if the user is not logged in _x000D_
_x000D_
  Steps to reproduce:   _x000D_
_x000D_
How can we reproduce the issue  _x000D_
  Logout from your account  _x000D_
  Go to explore tab  _x000D_
  Open any image  _x000D_
  Then tap  set as avatar  from menu  _x000D_
_x000D_
What did you expect the app to do  and what did you see instead _x000D_
Either the app must not show the option of setting avatar for the users not logged in _x000D_
  OR  _x000D_
A dialog box must be opened on clicking it asking the user for logging in to set that image as their avatar _x000D_
_x000D_
  System logs:  _x000D_
_x000D_
   _x000D_
2021 02 20 00:24:20 123 17742 17742 fr free nrw commons beta E AndroidRuntime: FATAL EXCEPTION: main_x000D_
    Process: fr free nrw commons beta  PID: 17742_x000D_
    java lang NullPointerException_x000D_
        at java util Objects requireNonNull(Objects java:203)_x000D_
        at fr free nrw commons media MediaDetailPagerFragment setAvatar(MediaDetailPagerFragment java:234)_x000D_
        at fr free nrw commons media MediaDetailPagerFragment onOptionsItemSelected(MediaDetailPagerFragment java:204)_x000D_
        at androidx fragment app Fragment performOptionsItemSelected(Fragment java:2830)_x000D_
        at androidx fragment app FragmentManager dispatchOptionsItemSelected(FragmentManager java:2709)_x000D_
_x000D_
   _x000D_
_x000D_
  Device and Android version:   _x000D_
Redmi Note 7S and Android 10 _x000D_
 _x000D_
  Commons app version:   _x000D_
3 0 0 debug master b8cdc5a53_x000D_
_x000D_
  Would you like to work on the issue   _x000D_
  Yes   </t>
  </si>
  <si>
    <t>TeamNewPipe-NewPipe-5642</t>
  </si>
  <si>
    <t>Unable to parse package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</si>
  <si>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Downloaded the most current version from GitHub and am unable to install  See link below_x000D_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youtu be z0xkMa5RKdI_x000D_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Galaxy S10 _x000D_
</t>
  </si>
  <si>
    <t>Anuken-Mindustry-4733</t>
  </si>
  <si>
    <t xml:space="preserve">EMFILE issue on iOS </t>
  </si>
  <si>
    <t xml:space="preserve">  Platform  :  Android iOS Mac Windows Linux _x000D_
iOS_x000D_
  Build  :  The build number under the title in the main menu  Required   LATEST  IS NOT A VERSION  I NEED THE EXACT BUILD NUMBER OF YOUR GAME   _x000D_
Build 125_x000D_
  Issue  :  Explain your issue in detail  _x000D_
Can t export anything from settings  crash reports  saves _x000D_
  Steps to reproduce  :  How you happened across the issue  and what exactly you did to make the bug happen  _x000D_
Settings   game data   export (anything)  this issue happens _x000D_
  EF0D8F0A E533 484B AFCD 2BD339757BA9 (https:  user images githubusercontent com 57323951 108515400 140e9580 72d6 11eb 98ab 8f23c7c29410 png)_x000D_
  DBD9B2B6 8A6C 4A1B 98F6 49E12BE474F3 (https:  user images githubusercontent com 57323951 108515408 1670ef80 72d6 11eb 8d37 a081d4a02c0e png)_x000D_
_x000D_
_x000D_
  Link(s) to mod(s) used  :  The mod repositories or zip files that are related to the issue  if applicable  _x000D_
None_x000D_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If you remove the line above without reading it properly and understanding what it means  I will reap your soul  Even if you re playing on someone s server  you can still save the game to a slot _x000D_
No need _x000D_
_x000D_
  (Crash) logs  :  Either crash reports from the crash folder  or the file you get when you go into Settings    Game Data    Export Crash logs  REQUIRED if you are reporting a crash  _x000D_
Doesn t matter_x000D_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</si>
  <si>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PojavLauncherTeam-PojavLauncher-926</t>
  </si>
  <si>
    <t>[BUG] Issue with hotbar and keybinds</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</si>
  <si>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bug_x000D_
If any slot of the hotbar is directly touched  any custom keybinds that trigger a mod s feature stop functioning  And to revert this  i found that the only way was to switch between at least 2 slots using my buttons for 1 9 quickly _x000D_
_x000D_
  Add a log file if you want to see your bug fixed    _x000D_
I tried attaching it using the media button but chrome kept crashes so if you could tell me another method of attaching it i ll do that _x000D_
_x000D_
_x000D_
    To Reproduce:_x000D_
Indicate steps to reproduce the buggy behavior:_x000D_
_x000D_
1  Start PojavLauncher_x000D_
2  Use a key that has a custom keybind  such as a button that inputs  z  being keybinded to zoom_x000D_
3  Press a slot of your hotbar_x000D_
4  Key doesn t work anymore until you quickly switch between two keys using 1 9 buttons_x000D_
_x000D_
    Expected behavior:_x000D_
I expected the key to continue working as normal after pressing a slot on the hotbar _x000D_
_x000D_
    Screenshots or videos:_x000D_
Wasn t sure if the video would really help since u can t see me actually pressing the buttons  but i ll send a video if needed _x000D_
_x000D_
  Platform:  _x000D_
   Device Model: Samsung Galaxy Note9_x000D_
   CPU architecture: aarch64_x000D_
   Android Version: 10_x000D_
   PojavLauncher Version: Build Android CI  2110_x000D_
_x000D_
_x000D_
 details   summary  b Additional context  b   summary _x000D_
 br _x000D_
 pre  I m using fabric 1 16 5 and the keys that were bugging out were y and z which were keybinded to a feature from tweakeroo _x000D_
  pre _x000D_
  details _x000D_
</t>
  </si>
  <si>
    <t>PojavLauncherTeam-PojavLauncher-925</t>
  </si>
  <si>
    <t>[BUG] impact 1.16+ Crash on mojang screen</t>
  </si>
  <si>
    <t xml:space="preserve">    _x000D_
impact crash_x000D_
   _x000D_
_x000D_
 details   summary  b Read before submit  b   summary _x000D_
 br _x000D_
  Make sure there was not duplicated issues  br _x000D_
  Make sure you have filled this issue template  or this will get rejected _x000D_
  details _x000D_
_x000D_
    Describe the bug_x000D_
It crashes on mojang screen_x000D_
_x000D_
  Add a log file if you want to see your bug fixed    _x000D_
_x000D_
The log file called  lastlog txt  is located under   games PojavLauncher  minecraft    _x000D_
You may need to activate an option in your file explorer to see hidden files and folders _x000D_
_x000D_
Do NOT paste the whole log text   Instead  add it as a file on this issue _x000D_
_x000D_
    To Reproduce:_x000D_
Indicate steps to reproduce the buggy behavior:_x000D_
_x000D_
1  Start PojavLauncher_x000D_
     (your set of actions to reproduce the bug) _x000D_
_x000D_
    Expected behavior:_x000D_
I expected it to work_x000D_
_x000D_
    Screenshots or videos:_x000D_
 hmmmmmmm no  _x000D_
_x000D_
  Platform:  _x000D_
   Device Model  idk RMX 2020 realme c3 _x000D_
   CPU architecture  aarch64  _x000D_
   Android Version  10 _x000D_
   PojavLauncher Version  latest actions that is v3 openjdk  _x000D_
_x000D_
_x000D_
 details   summary  b Additional context  b   summary _x000D_
 br _x000D_
 pre _x000D_
Add any other context about the problem here _x000D_
  pre _x000D_
  details _x000D_
</t>
  </si>
  <si>
    <t>TeamNewPipe-NewPipe-5638</t>
  </si>
  <si>
    <t>Crash when trying to play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</si>
  <si>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i use new version for this from f droid org_x000D_
_x000D_
     IF YOU DON T FILL IN THE TEMPLATE PROPERLY  YOUR ISSUE IS LIABLE TO BE CLOSED  If you feel tired lazy right now  open your issue some other time  We ll wait     _x000D_
_x000D_
_x000D_
     The comments between these brackets won t show up in the submitted issue (as you can see in the Preview)     _x000D_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Launch newpipe_x000D_
2  Search any video then try to watch_x000D_
3  Error with log_x000D_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Error appear with log check my comment for log is too long bro_x000D_
_x000D_
_x000D_
_x000D_
    Expected behavior_x000D_
     Tell us what you expect to happen     _x000D_
_x000D_
I can watch content_x000D_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That s right  here     _x000D_
_x000D_
_x000D_
_x000D_
     Please fill this out when you do not provide a log generate by NewPipe    _x000D_
_x000D_
    Device info_x000D_
_x000D_
   Android version Custom ROM version: stock rom Realme UI _x000D_
   Device model: Realme 5i_x000D_
</t>
  </si>
  <si>
    <t>TeamNewPipe-NewPipe-5634</t>
  </si>
  <si>
    <t>AOF-Dev-MCinaBox-956</t>
  </si>
  <si>
    <t>White Screen on Forge 1.16.4</t>
  </si>
  <si>
    <t xml:space="preserve">  Describe the bug  _x000D_
Minecraft Forge 1 16 4 doesn t load _x000D_
_x000D_
  To Reproduce  _x000D_
Steps to reproduce the behavior:_x000D_
1  Install 1 16 4_x000D_
2  Install Forge_x000D_
3  Launch the game_x000D_
4  See crash log after closing the frozen app_x000D_
_x000D_
  Expected behavior  _x000D_
The game should launch _x000D_
_x000D_
  Smartphone (please complete the following information):  _x000D_
   Device: Motorola Moto g  Power_x000D_
   OS: Android 10_x000D_
   App Version: v0 1 4p5_x000D_
   CPU architecture: arm64_x000D_
_x000D_
  Additional context  _x000D_
Crash log:_x000D_
   _x000D_
 18Feb2021 16:46:40 765   main INFO   cpw mods modlauncher Launcher MODLAUNCHER : ModLauncher running: args    width  1435    height  720    launchTarget  fmlclient    fml forgeVersion  35 1 37    fml mcVersion  1 16 4    fml forgeGroup  net minecraftforge    fml mcpVersion  20201102 104115 _x000D_
 18Feb2021 16:46:40 778   main INFO   cpw mods modlauncher Launcher MODLAUNCHER : ModLauncher 8 0 9 86 master 3cf110c starting: java version 1 8 0 internal by Oracle Corporation_x000D_
   </t>
  </si>
  <si>
    <t>UniRegensburg-unsere-app-fur-die-universitat-regensburg-bib-buddy-68</t>
  </si>
  <si>
    <t>Fix bugs related to the text note editor</t>
  </si>
  <si>
    <t xml:space="preserve">There are some small adjustments or bug fixes related to the text note editor and its features to do:_x000D_
_x000D_
1  Currently whenever typing in the text note editor (or basically when   System UI displays the keyboard  ) the   bottom navigation view is layed above it   and takes a lot of vertical space from the writing area   I suggest to avoid displaying the bottom navigation whenever the keyboard is shown   maybe by fetching the keyboard visibility and adjust visibility of the bottom navigation view to it in the MainActivity _x000D_
_x000D_
2    Editing notes   is causing to save the edited version   as new note item     adjust the way notes are saved _x000D_
_x000D_
3    Editing notes   is not fetching displaying the already existing text content _x000D_
_x000D_
4  There is a bug whenever   applying and deapplying bullets   that is causing the app to crash _x000D_
_x000D_
5  There is a bug whenever   applying and deapplying alignments   _x000D_
_x000D_
6    Switching between selected alignments   that exclude each other is not working correctly (highlight and select the icon view) _x000D_
</t>
  </si>
  <si>
    <t>commons-app-apps-android-commons-4244</t>
  </si>
  <si>
    <t>App crash in WikidataItemDetailsActivity on clicking any media</t>
  </si>
  <si>
    <t xml:space="preserve">  Summary:   _x000D_
_x000D_
On clicking any media in   WikidataItemDetailsActivity   the app crashes ( Point to note here is I am not talking about   CategoryDetailsActivity  )  A similar issue was fixed few days ago but was fixed in a wrong way _x000D_
_x000D_
  Steps to reproduce:   _x000D_
_x000D_
https:  user images githubusercontent com 65870389 108374564 1960d700 7227 11eb 9408 7c18d70b96ce mp4_x000D_
_x000D_
_x000D_
_x000D_
What did you expect the app to do  and what did you see instead _x000D_
The media must open in    MediaDetailsFragment    _x000D_
_x000D_
  System logs:  _x000D_
_x000D_
   _x000D_
2021 02 18 20:12:59 037 11542 11542 fr free nrw commons beta E AndroidRuntime: FATAL EXCEPTION: main_x000D_
    Process: fr free nrw commons beta  PID: 11542_x000D_
    java lang NullPointerException: Attempt to invoke virtual method  void androidx appcompat app ActionBar setDisplayHomeAsUpEnabled(boolean)  on a null object reference_x000D_
        at fr free nrw commons media MediaDetailPagerFragment onCreateView(MediaDetailPagerFragment java:103)_x000D_
        at androidx fragment app Fragment performCreateView(Fragment java:2698)_x000D_
        at androidx fragment app FragmentStateManager createView(FragmentStateManager java:310)_x000D_
        at androidx fragment app FragmentManager moveToState(FragmentManager java:1185)_x000D_
        at androidx fragment app FragmentManager moveToState(FragmentManager java:1354)_x000D_
        at androidx fragment app FragmentManager moveFragmentToExpectedState(FragmentManager java:1432)_x000D_
        at androidx fragment app FragmentManager moveToState(FragmentManager java:1495)_x000D_
        at androidx fragment app BackStackRecord executeOps(BackStackRecord java:447)_x000D_
        at androidx fragment app FragmentManager executeOps(FragmentManager java:2167)_x000D_
        at androidx fragment app FragmentManager executeOpsTogether(FragmentManager java:1990)_x000D_
        at androidx fragment app FragmentManager removeRedundantOperationsAndExecute(FragmentManager java:1945)_x000D_
        at androidx fragment app FragmentManager execPendingActions(FragmentManager java:1847)_x000D_
        at androidx fragment app FragmentManager executePendingTransactions(FragmentManager java:489)_x000D_
        at fr free nrw commons explore depictions WikidataItemDetailsActivity onMediaClicked(WikidataItemDetailsActivity java:133)_x000D_
        at fr free nrw commons explore media PageableMediaFragment pagedListAdapter 2 1 invoke(PageableMediaFragment kt:17)_x000D_
        at fr free nrw commons explore media PageableMediaFragment pagedListAdapter 2 1 invoke(PageableMediaFragment kt:14)_x000D_
        at fr free nrw commons explore media SearchImagesViewHolder bind 1 onClick(PagedMediaAdapter kt:37)_x000D_
        at android view View performClick(View java:7185)_x000D_
   _x000D_
_x000D_
  Device and Android version:   _x000D_
Redmi Note 7S (Android 10) _x000D_
_x000D_
  Commons app version:   _x000D_
3 0 0 debug master 850d9411a_x000D_
_x000D_
  Would you like to work on the issue   _x000D_
  Yes    I would like to work on this issue </t>
  </si>
  <si>
    <t>Anuken-Mindustry-4721</t>
  </si>
  <si>
    <t>Game closes at startup</t>
  </si>
  <si>
    <t xml:space="preserve">  Platform  : _x000D_
_x000D_
Windows 10_x000D_
_x000D_
  Build  : _x000D_
_x000D_
125_x000D_
_x000D_
  Issue  : _x000D_
_x000D_
The game closes at startup _x000D_
_x000D_
  Steps to reproduce  :_x000D_
_x000D_
Run the jar downloaded from the releases_x000D_
_x000D_
  Link(s) to mod(s) used  :_x000D_
_x000D_
no mods_x000D_
_x000D_
  Save file  :_x000D_
_x000D_
none_x000D_
_x000D_
  (Crash) logs  : _x000D_
_x000D_
there is no crash and no crash log  here is my last log_x000D_
 last log txt (https:  github com Anuken Mindustry files 6001502 last log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</si>
  <si>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Anuken-Mindustry-4720</t>
  </si>
  <si>
    <t>Server doesn't detect all client mods</t>
  </si>
  <si>
    <t xml:space="preserve">  Platform  : Windows 10_x000D_
_x000D_
  Build  : build 125_x000D_
_x000D_
  Issue  : See all crash logs_x000D_
_x000D_
  Steps to reproduce  : Unknown  just play my server and get random errors _x000D_
I tried logging to plugin source code that affects the actual server  but there was a random error  not a specific code _x000D_
_x000D_
  Link(s) to mod(s) used  : No mods using client_x000D_
_x000D_
  Save file  : Not need_x000D_
_x000D_
  (Crash) logs  : Here_x000D_
   _x000D_
java lang NullPointerException_x000D_
	at mindustry gen UnitEntity apply(UnitEntity java:823)_x000D_
	at mindustry gen UnitEntity update(UnitEntity java:1361)_x000D_
	at mindustry entities EntityGroup each(EntityGroup java:68)_x000D_
	at mindustry entities EntityGroup update(EntityGroup java:58)_x000D_
	at mindustry gen Groups update(Groups java:71)_x000D_
	at mindustry core Logic update(Logic java:411)_x000D_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java lang NullPointerException_x000D_
	at mindustry gen PayloadUnit update(PayloadUnit java:1893)_x000D_
	at mindustry entities EntityGroup each(EntityGroup java:68)_x000D_
	at mindustry entities EntityGroup update(EntityGroup java:58)_x000D_
	at mindustry gen Groups update(Groups java:71)_x000D_
	at mindustry core Logic update(Logic java:411)_x000D_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java lang NullPointerException: Cannot read field  id  because  unit type  is null_x000D_
	at mindustry game Teams updateTeamStats(Teams java:192)_x000D_
	at mindustry core Logic update(Logic java:375)_x000D_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java lang NullPointerException_x000D_
	at mindustry game Teams updateTeamStats(Teams java:192)_x000D_
	at mindustry core Logic update(Logic java:375)_x000D_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java lang NullPointerException_x000D_
	at mindustry world blocks payloads UnitPayload draw(UnitPayload java:85)_x000D_
	at mindustry type UnitType drawPayload(UnitType java:503)_x000D_
	at mindustry type UnitType draw(UnitType java:464)_x000D_
	at mindustry gen PayloadUnit draw(PayloadUnit java:733)_x000D_
	at mindustry entities EntityGroup lambda draw 0(EntityGroup java:84)_x000D_
	at mindustry entities EntityGroup each(EntityGroup java:68)_x000D_
	at mindustry entities EntityGroup draw(EntityGroup java:81)_x000D_
	at mindustry core Renderer draw(Renderer java:252)_x000D_
	at mindustry core Renderer update(Renderer java:100)_x000D_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java lang NullPointerException_x000D_
	at mindustry gen UnitEntityLegacyBeta update(UnitEntityLegacyBeta java:1311)_x000D_
	at mindustry entities EntityGroup each(EntityGroup java:68)_x000D_
	at mindustry entities EntityGroup update(EntityGroup java:58)_x000D_
	at mindustry gen Groups update(Groups java:71)_x000D_
	at mindustry core Logic update(Logic java:411)_x000D_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PhysicsProcess errors occur the most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</si>
  <si>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nextcloud-android-8009</t>
  </si>
  <si>
    <t>folder sharing to internal user causes crash</t>
  </si>
  <si>
    <t xml:space="preserve">    Steps to reproduce_x000D_
1  select file share icon for folder_x000D_
2  choose NC internal user to share with_x000D_
_x000D_
    Expected behaviour_x000D_
  folder is shared to selected user_x000D_
_x000D_
    Actual behaviour_x000D_
  NC Android app crashes:_x000D_
_x000D_
             CAUSE OF ERROR             _x000D_
_x000D_
java lang RuntimeException: Accessing result data after operation failed _x000D_
	at com owncloud android lib common operations RemoteOperationResult getData(RemoteOperationResult java:486)_x000D_
	at com owncloud android utils ErrorMessageAdapter getMessageForCreateShareOperations(ErrorMessageAdapter java:254)_x000D_
	at com owncloud android utils ErrorMessageAdapter getMessageForResultAndOperation(ErrorMessageAdapter java:143)_x000D_
	at com owncloud android utils ErrorMessageAdapter getErrorCauseMessage(ErrorMessageAdapter java:79)_x000D_
	at com owncloud android ui activity FileActivity onRemoteOperationFinish(FileActivity java:380)_x000D_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java:938)_x000D_
	at android os Handler dispatchMessage(Handler java:99)_x000D_
	at android os Looper loop(Looper java:246)_x000D_
	at android app ActivityThread main(ActivityThread java:8425)_x000D_
	at java lang reflect Method invoke(Native Method)_x000D_
	at com android internal os RuntimeInit MethodAndArgsCaller run(RuntimeInit java:596)_x000D_
	at com android internal os ZygoteInit main(ZygoteInit java:1130)_x000D_
_x000D_
             APP INFORMATION             _x000D_
ID: com nextcloud client_x000D_
Version: 30150090_x000D_
Build flavor: gplay_x000D_
_x000D_
             DEVICE INFORMATION             _x000D_
Brand: samsung_x000D_
Device: beyond2_x000D_
Model: SM G975F_x000D_
Id: RP1A 200720 012_x000D_
Product: beyond2lteeea_x000D_
_x000D_
             FIRMWARE             _x000D_
SDK: 30_x000D_
Release: 11_x000D_
Incremental: G975FXXU9EUA4_x000D_
</t>
  </si>
  <si>
    <t>SkyTubeTeam-SkyTube-934</t>
  </si>
  <si>
    <t>App crash while updating feed</t>
  </si>
  <si>
    <t xml:space="preserve">  Describe the bug  _x000D_
After opening skytube the feed automatically updates  After 5 or 6 channels of about 200 the app crashes _x000D_
_x000D_
  Setup:  _x000D_
   Android version: _x000D_
 10_x000D_
   Is Your device rooted _x000D_
 Yes_x000D_
   Do You use Tor or any VPN service with your device _x000D_
 No_x000D_
   App source _x000D_
 FDroid_x000D_
   App Version_x000D_
 v2 977_x000D_
   App Flavour _x000D_
 OSS_x000D_
</t>
  </si>
  <si>
    <t>ionic-team-capacitor-plugins-257</t>
  </si>
  <si>
    <t>Attempt to invoke virtual method 'int java.lang.Integer.intValue()' on a null object reference</t>
  </si>
  <si>
    <t xml:space="preserve">   Bug Report_x000D_
_x000D_
    Plugin(s)_x000D_
local notifications_x000D_
_x000D_
_x000D_
    Capacitor Version_x000D_
    _x000D_
Paste the output from the  npx cap doctor  command into the code block below  This will provide the versions of Capacitor packages and related dependencies _x000D_
   _x000D_
_x000D_
   _x000D_
PASTE OUTPUT HERE_x000D_
   _x000D_
_x000D_
    Platform(s)_x000D_
android_x000D_
_x000D_
_x000D_
    Current Behavior_x000D_
app crash with NullPointerException: Attempt to invoke virtual method  int java lang Integer intValue()  on a null object reference_x000D_
_x000D_
_x000D_
    Expected Behavior_x000D_
to not crash_x000D_
_x000D_
_x000D_
_x000D_
    Code Reproduction_x000D_
in the sample app tap the  SCHEDULE NOW  and app will crash with the mentioned message_x000D_
_x000D_
_x000D_
    Other Technical Details_x000D_
    _x000D_
Please provide the following information with your request and any other relevant technical details (versions of IDEs  local environment info  plugin information or links  etc) _x000D_
   _x000D_
_x000D_
_x000D_
_x000D_
    Additional Context_x000D_
    _x000D_
List any other information that is relevant to your issue  Stack traces  related issues  suggestions on how to fix  Stack Overflow links  forum links  etc _x000D_
   _x000D_
_x000D_
_x000D_
</t>
  </si>
  <si>
    <t>TeamNewPipe-NewPipe-5617</t>
  </si>
  <si>
    <t>[Bug] Description timestamps of video leads to youtube website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</si>
  <si>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newpipe_x000D_
2  Press on a video_x000D_
3  Check video description_x000D_
4  Click on the timestamp of the video_x000D_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Ir will go to the youtube app to the timestamped part of the video _x000D_
_x000D_
_x000D_
    Expected behavior_x000D_
     Tell us what you expect to happen     _x000D_
It would continue on the newpipe app and the video will start on the timestamp_x000D_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version Nougat _x000D_
   Device model: Samsung Galaxy Tab A _x000D_
</t>
  </si>
  <si>
    <t>TeamNewPipe-NewPipe-5616</t>
  </si>
  <si>
    <t>21% battery usage with no use and background activity restricted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</si>
  <si>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Install the client on Pixel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21  battery usage with no app use and background activity restricted _x000D_
_x000D_
_x000D_
    Expected behavior_x000D_
     Tell us what you expect to happen     _x000D_
No battery should be used because there s no background activity  and the app is not used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Screenshot 20210217 064330 (https:  user images githubusercontent com 3261985 108220677 db12cd00 70eb 11eb 9ba3 33a50a04f36f png)_x000D_
  Screenshot 20210217 064351 (https:  user images githubusercontent com 3261985 108220697 dea65400 70eb 11eb 9b2a d950a1629532 png)_x000D_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QP1A 191005 007 A3 (Pixel ROM Android 10)_x000D_
   Device model: Pixel_x000D_
</t>
  </si>
  <si>
    <t>TotalCross-totalcross-304</t>
  </si>
  <si>
    <t xml:space="preserve">Passing a null value to the MessageBox constructor instead of a ButtonCaption array causes </t>
  </si>
  <si>
    <t xml:space="preserve">   Describe the bug_x000D_
If a MessageBox is instantiated with a null value instead of buttoncaptions array  it causes a crash (null pointer exception)_x000D_
_x000D_
   Devices:_x000D_
Any_x000D_
   To Reproduce_x000D_
Just create a message box in the way described above  it should throw the exception_x000D_
   Screenshots or videos_x000D_
The exception points to this block of code_x000D_
  image (https:  user images githubusercontent com 29692098 108210142 ef65c280 7109 11eb 8a9e 3ac43bd75dfd png)_x000D_
_x000D_
</t>
  </si>
  <si>
    <t>getsentry-sentry-java-1266</t>
  </si>
  <si>
    <t>SentryEvent.threads that are crashed=true should not contain a stack trace if exception already has stack traces</t>
  </si>
  <si>
    <t xml:space="preserve">Found out because of https:  github com getsentry sentry pull 23890_x000D_
_x000D_
Thread s stack traces are snapshots  gotten at an arbitrary time  so it d be always better to keep only the exception s stack traces only if the flag crashed true which means  the thread s that captured that exception _x000D_
Wondering if inner exceptions could be built by multiple threads  so we d need to check that too _x000D_
_x000D_
This would require changes on MainEventProcessor and SentryThreadFactory _x000D_
_x000D_
Docs:_x000D_
https:  develop sentry dev sdk event payloads threads </t>
  </si>
  <si>
    <t>PojavLauncherTeam-PojavLauncher-911</t>
  </si>
  <si>
    <t>"signal 11 code 0x1caa5724 addr 0x2"lead to a crash.</t>
  </si>
  <si>
    <t xml:space="preserve">I think I find the reason of the unexpectedly crash which I commented it before(I am on latest build) Whenever the game crashes the last line in the latestlog txt is signal 11 code 0x1caa5724 addr 0x2  </t>
  </si>
  <si>
    <t>square-okhttp-6562</t>
  </si>
  <si>
    <t>Migrate to Github Actions for CI</t>
  </si>
  <si>
    <t xml:space="preserve">Might mean prioritising getting onto Github actions  Any preferred model projects to copy here as of mid feb _x000D_
_x000D_
   _x000D_
  Task :okhttp:test_x000D_
Unable to connect to the child process  Gradle Test Executor 36  _x000D_
It is likely that the child process have crashed   please find the stack trace in the build log _x000D_
This exception might occur when the build machine is extremely loaded _x000D_
The connection attempt hit a timeout after 120 0 seconds (last known process state: STARTED  running: true) _x000D_
org gradle process internal ExecException: Unable to connect to the child process  Gradle Test Executor 36  _x000D_
It is likely that the child process have crashed   please find the stack trace in the build log _x000D_
This exception might occur when the build machine is extremely loaded _x000D_
The connection attempt hit a timeout after 120 0 seconds (last known process state: STARTED  running: true) _x000D_
   _x000D_
_x000D_
and_x000D_
_x000D_
   _x000D_
  Task :okhttp tls:compileTestJava_x000D_
_x000D_
Too long with no output (exceeded 10m0s): context deadline exceeded_x000D_
   </t>
  </si>
  <si>
    <t>MrPeanutbutter434-PhoneFreedom-1</t>
  </si>
  <si>
    <t>Create activity/View on top of other apps</t>
  </si>
  <si>
    <t xml:space="preserve">When the user starts the timeout  we want an activity view to get created on top of other apps _x000D_
_x000D_
So when the user clicks the  start timeout  button  the  overlay activity  should get called from  onClick  callback_x000D_
_x000D_
One  approach (https:  stackoverflow com questions 18341922 android launching activity on top of other apps) to do this is by using  WindowManager _x000D_
    java_x000D_
public void overlayApproach2()  _x000D_
       WindowManager LayoutParams windowManagerParams   new WindowManager LayoutParams(WindowManager LayoutParams TYPE SYSTEM OVERLAY  _x000D_
                        WindowManager LayoutParams  FLAG WATCH OUTSIDE TOUCH  PixelFormat TRANSLUCENT) _x000D_
_x000D_
       WindowManager wm   (WindowManager) getSystemService(WINDOW SERVICE) _x000D_
_x000D_
       LayoutInflater inflater   (LayoutInflater) getSystemService(LAYOUT INFLATER SERVICE) _x000D_
       View myView   inflater inflate(R layout activity timeout screen  null) _x000D_
_x000D_
       wm addView(myView  windowManagerParams) _x000D_
 _x000D_
_x000D_
   _x000D_
_x000D_
_x000D_
However the app crashes on account of permission being denied with the following error_x000D_
   python3_x000D_
android view WindowManager BadTokenException: Unable to add window android view ViewRootImpl W 164bd51    permission denied for window type 2006_x000D_
        at android view ViewRootImpl setView(ViewRootImpl java:1026)_x000D_
        at android view WindowManagerGlobal addView(WindowManagerGlobal java:384)_x000D_
        at android view WindowManagerImpl addView(WindowManagerImpl java:101)_x000D_
        at com example phonefreedom MainActivity 1 overlayApproach2(MainActivity java:121)_x000D_
   _x000D_
_x000D_
_x000D_
The manifest contains the following permission_x000D_
   uses permission android:name  android permission SYSTEM ALERT WINDOW     _x000D_
_x000D_
Why then does the app crash and which permission is required  </t>
  </si>
  <si>
    <t>TeamNewPipe-NewPipe-5612</t>
  </si>
  <si>
    <t>video description not shown for any video</t>
  </si>
  <si>
    <t xml:space="preserve">since the 0 20 update on android tablet no video description is shown for any video I tried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open any video  click on the  v  symbol   _x000D_
_x000D_
    Actual behaviour_x000D_
only the  share  icon and the  open in browser  icon appears _x000D_
_x000D_
_x000D_
_x000D_
    Expected behavior_x000D_
video description schould be shown_x000D_
_x000D_
_x000D_
    Screenshots Screen recordings_x000D_
example: https:  m youtube com watch v QKdLP1cP3Dg_x000D_
_x000D_
Tablet newpipe:_x000D_
  grafik (https:  user images githubusercontent com 1601159 108177087 1076e500 7103 11eb 9cf6 8937a6f0b1c9 png)_x000D_
_x000D_
Tablet Browser:_x000D_
  grafik (https:  user images githubusercontent com 1601159 108177215 38664880 7103 11eb 950f aacc6e2ef8d1 png)_x000D_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8 0 0_x000D_
   Device model: huawei BAH2 W19_x000D_
</t>
  </si>
  <si>
    <t>inaturalist-iNaturalistAndroid-985</t>
  </si>
  <si>
    <t>IllegalArgumentException in ObservationProvider.query</t>
  </si>
  <si>
    <t xml:space="preserve">https:  console firebase google com u 2 project inaturalist ios crashlytics app android:org inaturalist android issues 052e6573f979d87460d349340a9635bb_x000D_
_x000D_
   _x000D_
Caused by java lang IllegalArgumentException: the bind value at index 1 is null_x000D_
       at android database sqlite SQLiteProgram bindString(SQLiteProgram java:183)_x000D_
       at android database sqlite SQLiteProgram bindAllArgsAsStrings(SQLiteProgram java:219)_x000D_
       at android database sqlite SQLiteDirectCursorDriver query(SQLiteDirectCursorDriver java:49)_x000D_
       at android database sqlite SQLiteDatabase rawQueryWithFactory(SQLiteDatabase java:2063)_x000D_
       at android database sqlite SQLiteQueryBuilder query(SQLiteQueryBuilder java:592)_x000D_
       at android database sqlite SQLiteQueryBuilder query(SQLiteQueryBuilder java:463)_x000D_
       at org inaturalist android ObservationProvider query(ObservationProvider java:262)_x000D_
       at android content ContentProvider query(ContentProvider java:1420)_x000D_
       at android content ContentProvider query(ContentProvider java:1516)_x000D_
       at android content ContentProvider Transport query(ContentProvider java:278)_x000D_
       at android content ContentResolver query(ContentResolver java:1186)_x000D_
   </t>
  </si>
  <si>
    <t>Anuken-Mindustry-4702</t>
  </si>
  <si>
    <t>Red is not red anymore</t>
  </si>
  <si>
    <t xml:space="preserve">  Platform  : Windows_x000D_
_x000D_
  Build  : 125_x000D_
_x000D_
  Issue  : Look at two screenshots for the same phrase into chat:   red Hello  from prior to 125 and in 125_x000D_
_x000D_
before 125 (example from v5)_x000D_
  image (https:  user images githubusercontent com 4199082 108115345 a7f81b80 70a2 11eb 913f 1f4078767c17 png)_x000D_
in 125_x000D_
  2021 02 16 22 00 08 Mindustry (https:  user images githubusercontent com 4199082 108115374 b6463780 70a2 11eb 9bb8 2eefc022aa76 png)_x000D_
_x000D_
Seems like color scheme has completely changed and red is not vibrant and I believe placing non true red instead of plain red is an issue _x000D_
_x000D_
  Steps to reproduce  : type   red Hello  into chat_x000D_
_x000D_
  Link(s) to mod(s) used  : no mods_x000D_
_x000D_
  Save file  : not needed_x000D_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</si>
  <si>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oliexdev-openScale-701</t>
  </si>
  <si>
    <t>Crash when opening openscale sync</t>
  </si>
  <si>
    <t xml:space="preserve">  Describe the bug  _x000D_
I opened the Openscale Sync app and got a message that it crashed and to report it _x000D_
_x000D_
_x000D_
  To Reproduce  _x000D_
Steps to reproduce the behavior:_x000D_
1  Go to the the phone s apps screen_x000D_
2  Click on openscale Sync_x000D_
3  See error_x000D_
_x000D_
_x000D_
  Expected behavior  _x000D_
Expected the application s Overview page_x000D_
_x000D_
  Debug log  _x000D_
_x000D_
Build version: 0 3 1 _x000D_
Build date: 1979 11 30 00:00:00 _x000D_
Current date: 2021 02 16 09:42:08 _x000D_
Device: Samsung SM G975U _x000D_
 _x000D_
Stack trace:  _x000D_
android app RemoteServiceException: Context startForegroundService() did not then call Service startForeground(): ServiceRecord caf6e71 u0 com health openscale sync  core service SyncService _x000D_
	at android app ActivityThread H handleMessage(ActivityThread java:2210)_x000D_
	at android os Handler dispatchMessage(Handler java:106)_x000D_
	at android os Looper loop(Looper java:246)_x000D_
	at android app ActivityThread main(ActivityThread java:8425)_x000D_
	at java lang reflect Method invoke(Native Method)_x000D_
	at com android internal os RuntimeInit MethodAndArgsCaller run(RuntimeInit java:596)_x000D_
	at com android internal os ZygoteInit main(ZygoteInit java:1130)_x000D_
</t>
  </si>
  <si>
    <t>opensrp-opensrp-client-path-zeir-62</t>
  </si>
  <si>
    <t>App Crashes when trying to change service location</t>
  </si>
  <si>
    <t xml:space="preserve">   x  Application crashed on more than one occasion when trying to change the service location to another zone  by clicking the facility name    when user tries to change or tap on the service location at the top of the register page  the app crashed  _x000D_
   x  The name of the service location was also not available on the app a good number of times  _x000D_
  image (https:  user images githubusercontent com 58034047 108096552 24363300 7092 11eb 8ffe 5e0a2002b746 png)_x000D_
</t>
  </si>
  <si>
    <t>MuntashirAkon-AppManager-286</t>
  </si>
  <si>
    <t>Crash log</t>
  </si>
  <si>
    <t xml:space="preserve">Am pre release crash log_x000D_
 Am pre release 2 5 23 crash txt (https:  github com MuntashirAkon AppManager files 5990235 Am pre release 2 5 23 crash txt)_x000D_
</t>
  </si>
  <si>
    <t>material-components-material-components-android-2073</t>
  </si>
  <si>
    <t>[TextInputLayout] custom style crashes with "The style on this component requires your app theme to be Theme.AppCompat (or a descendant)" error</t>
  </si>
  <si>
    <t xml:space="preserve">  Description:  _x000D_
 Defining a custom style for the  TextInputLayout   crashes the app during Fragment inflation with the following error:_x000D_
_x000D_
   _x000D_
android view InflateException: Binary XML file line  11 in com textinputlayout style crash:layout main fragment: Binary XML file line  11 in com textinputlayout style crash:layout main fragment: Error inflating class com google android material textfield TextInputLayout_x000D_
   _x000D_
_x000D_
I ve experienced this issue in a project I m working on and was able to reproduce the crash with a sample project (see  Source code  section)_x000D_
_x000D_
The sample project has just three components:_x000D_
_x000D_
   MainActivity _x000D_
   MainFragment _x000D_
   MainViewModel _x000D_
_x000D_
The fragment has the following simple layout_x000D_
_x000D_
   _x000D_
  xml version  1 0  encoding  utf 8   _x000D_
 androidx constraintlayout widget ConstraintLayout xmlns:android  http:  schemas android com apk res android _x000D_
    xmlns:app  http:  schemas android com apk res auto _x000D_
    xmlns:tools  http:  schemas android com tools _x000D_
    android:id    id main _x000D_
    android:layout width  match parent _x000D_
    android:layout height  match parent _x000D_
    tools:context   ui main MainFragment  _x000D_
_x000D_
     com google android material textfield TextInputLayout_x000D_
        android:id    id nickname til _x000D_
        android:layout width  0dp _x000D_
        android:layout height  wrap content _x000D_
        android:layout margin  24dp _x000D_
        android:hint  NickName _x000D_
        app:endIconMode  clear text _x000D_
        app:layout constraintBottom toBottomOf  parent _x000D_
        app:layout constraintEnd toEndOf  parent _x000D_
        app:layout constraintStart toStartOf  parent _x000D_
        app:layout constraintTop toTopOf  parent  _x000D_
_x000D_
         com google android material textfield TextInputEditText_x000D_
            android:id    id nickname text _x000D_
            android:layout width  match parent _x000D_
            android:layout height  wrap content _x000D_
            android:inputType  textPersonName    _x000D_
      com google android material textfield TextInputLayout _x000D_
  androidx constraintlayout widget ConstraintLayout _x000D_
   _x000D_
_x000D_
While the main  theme xml  is the following_x000D_
_x000D_
   _x000D_
 resources xmlns:tools  http:  schemas android com tools  _x000D_
         Base application theme     _x000D_
     style name  Theme TextInputStyleLayoutCrash  parent  Theme MaterialComponents DayNight NoActionBar  _x000D_
             Primary brand color     _x000D_
         item name  colorPrimary   color purple 500  item _x000D_
         item name  colorPrimaryVariant   color purple 700  item _x000D_
         item name  colorOnPrimary   color white  item _x000D_
             Secondary brand color     _x000D_
         item name  colorSecondary   color teal 200  item _x000D_
         item name  colorSecondaryVariant   color teal 700  item _x000D_
         item name  colorOnSecondary   color black  item _x000D_
             Status bar color     _x000D_
         item name  android:statusBarColor  tools:targetApi  l   attr colorPrimaryVariant  item _x000D_
             Customize your theme here     _x000D_
         item name  textInputStyle   style Widget App TextInputLayout  item _x000D_
      style _x000D_
_x000D_
     style name  Widget App TextInputLayout  parent  Widget MaterialComponents TextInputLayout FilledBox  _x000D_
         item name  materialThemeOverlay   style ThemeOverlay App TextInputLayout  item _x000D_
         item name  shapeAppearance   style ShapeAppearance App SmallComponent  item _x000D_
         item name  hintTextColor   attr colorPrimary  item _x000D_
      style _x000D_
_x000D_
     style name  ThemeOverlay App TextInputLayout  parent    _x000D_
         item name  colorPrimary   attr colorPrimary  item _x000D_
         item name  colorOnSurface   attr colorOnSurface  item _x000D_
         item name  colorError   color red 600  item _x000D_
         item name  boxBackgroundColor   color transparent  item _x000D_
         item name  editTextStyle   style Widget MaterialComponents TextInputEditText FilledBox_x000D_
          item _x000D_
      style _x000D_
_x000D_
     style name  ShapeAppearance App SmallComponent  parent  ShapeAppearance MaterialComponents SmallComponent  _x000D_
         item name  cornerFamily  rounded  item _x000D_
         item name  cornerSize  8dp  item _x000D_
      style _x000D_
  resources _x000D_
   _x000D_
_x000D_
  Expected behavior:   _x000D_
The Fragment should inflate correctly and display the  TextInputLayout  with the style set in the  themes xml _x000D_
_x000D_
  Source code:   _x000D_
Please find attached a minimal sample project that can reproduce the issue by just running it on a device along with a crashlog _x000D_
_x000D_
 TextInputLayoutStyleCrash zip (https:  github com material components material components android files 6001683 TextInputLayoutStyleCrash zip)_x000D_
_x000D_
 TextInputLayout style crash log update txt (https:  github com material components material components android files 6001684 TextInputLayout style crash log update txt)_x000D_
_x000D_
_x000D_
  Android API version:   _x000D_
_x000D_
 targetSdkVersion 30  _x000D_
_x000D_
  Material Library version:   _x000D_
 1 3 0 _x000D_
_x000D_
  Device:   _x000D_
Google Pixel XL running Android 10_x000D_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</si>
  <si>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TeamNewPipe-NewPipe-5608</t>
  </si>
  <si>
    <t>Video keeps pausing and unpausing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</si>
  <si>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NewPipe_x000D_
2  Start any video_x000D_
3  Video will freeze up for a second and then keep playing  but only for a few seconds before it pauses and un pauses again _x000D_
4  Swiping down on the video in portrait view (so that it goes to a minimized view in still in the app  the issue is still there  but now you can see the pause play icon switching from pause to play while it freezes _x000D_
5  Playback has no issues when the video is playing in the background or while the screen is off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After you open a video  the video will start to play and then immediately start to pause and un pause  When you go into the minimized version in the app  like if you were to search for another video while still watching one  you will see the pause play icon going back and forth as it glitches  There is no problem with the playback when the video is playing in the background  Sometimes the issue can be fixed by letting it play in the background for a while and then going back into the app  but other times it will just keep glitching in the app  _x000D_
_x000D_
    Expected behavior_x000D_
     Tell us what you expect to happen     _x000D_
 I expect the playback to be smooth whether I am in the app watching the video or in another app with the video playing in the background_x000D_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https:  mail google com mail u 0 ui 2 ik caf7a38b5a attid 0 1 permmsgid msg a:r4944840459388579644 th 177a775b8b8dad89 view att disp safe realattid 177a77310949594f6241_x000D_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Samsung Galaxy S21 5G_x000D_
</t>
  </si>
  <si>
    <t>TeamNewPipe-NewPipe-legacy-63</t>
  </si>
  <si>
    <t>UI crash in Setting &gt; Notifications</t>
  </si>
  <si>
    <t xml:space="preserve">Going to Settings   Notifications leads to a crash _x000D_
_x000D_
   Exception_x000D_
    User Action:   ui error_x000D_
    Request:   App crash  UI failure_x000D_
    Content Country:   DE_x000D_
    Content Language:   de DE_x000D_
    App Language:   de DE_x000D_
    Service:   none_x000D_
    Version:   0 20 8_x000D_
    OS:   Linux Android 11   30_x000D_
 details  summary  b Crash log   b   summary  p _x000D_
_x000D_
   _x000D_
android view InflateException: Binary XML file line  31: Error inflating class (not found)org schabi newpipe settings custom NotificationActionsPreference_x000D_
	at androidx preference PreferenceInflater createItemFromTag(PreferenceInflater java:287)_x000D_
	at androidx preference PreferenceInflater rInflate(PreferenceInflater java:344)_x000D_
	at androidx preference PreferenceInflater rInflate(PreferenceInflater java:346)_x000D_
	at androidx preference PreferenceInflater inflate(PreferenceInflater java:157)_x000D_
	at androidx preference PreferenceInflater inflate(PreferenceInflater java:109)_x000D_
	at androidx preference PreferenceManager inflateFromResource(PreferenceManager java:216)_x000D_
	at androidx preference PreferenceFragmentCompat addPreferencesFromResource(PreferenceFragmentCompat java:361)_x000D_
	at org schabi newpipelegacy settings NotificationSettingsFragment onCreatePreferences(NotificationSettingsFragment kt:10)_x000D_
	at androidx preference PreferenceFragmentCompat onCreate(PreferenceFragmentCompat java:160)_x000D_
	at org schabi newpipelegacy settings BasePreferenceFragment onCreate(BasePreferenceFragment java:24)_x000D_
	at androidx fragment app Fragment performCreate(Fragment java:2684)_x000D_
	at androidx fragment app FragmentStateManager create(FragmentStateManager java:280)_x000D_
	at androidx fragment app FragmentManager moveToState(FragmentManager java:1175)_x000D_
	at androidx fragment app FragmentTransition addToFirstInLastOut(FragmentTransition java:1255)_x000D_
	at androidx fragment app FragmentTransition calculateFragments(FragmentTransition java:1138)_x000D_
	at androidx fragment app FragmentTransition startTransitions(FragmentTransition java:136)_x000D_
	at androidx fragment app FragmentManager executeOpsTogether(FragmentManager java:1989)_x000D_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java:938)_x000D_
	at android os Handler dispatchMessage(Handler java:99)_x000D_
	at android os Looper loop(Looper java:236)_x000D_
	at android app ActivityThread main(ActivityThread java:7876)_x000D_
	at java lang reflect Method invoke(Native Method)_x000D_
	at com android internal os RuntimeInit MethodAndArgsCaller run(RuntimeInit java:656)_x000D_
	at com android internal os ZygoteInit main(ZygoteInit java:967)_x000D_
Caused by: java lang ClassNotFoundException: org schabi newpipe settings custom NotificationActionsPreference_x000D_
	at java lang Class classForName(Native Method)_x000D_
	at java lang Class forName(Class java:454)_x000D_
	at androidx preference PreferenceInflater createItem(PreferenceInflater java:214)_x000D_
	at androidx preference PreferenceInflater createItemFromTag(PreferenceInflater java:277)_x000D_
	    26 more_x000D_
Caused by: java lang ClassNotFoundException: org schabi newpipe settings custom NotificationActionsPreference_x000D_
	    30 more_x000D_
_x000D_
   _x000D_
  details _x000D_
 hr _x000D_
</t>
  </si>
  <si>
    <t>TeamNewPipe-NewPipe-5603</t>
  </si>
  <si>
    <t>Not downloading media when I enable the option to save to custom location using share option</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</si>
  <si>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20 10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Settings
2  Press on Download
3  Select Ask where to download option
4  Then try to download any media using the share option in youtube videos and select the location when popup appears 
     If you can t cause the bug to show up again reliably (and hence don t have a proper set of steps to give us)  please still try to give as many details as possible on how you think you encountered the bug     
    Actual behaviour
     Tell us what happens with the steps given above     
The option to select custom folder opens while trying to download a video but when I select a folder  the download does not start 
    Expected behavior
     Tell us what you expect to happen     
It is expected that when I try to download a video it will saved to a custom location that I set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If your bug includes a crash (where you re shown the Error Report page with a bunch of info)  tap on  Copy formatted report  at the bottom and paste it here:    
     That s right  here     
     Please fill this out when you do not provide a log generate by NewPipe    
Device info
   Android version: 10
   Device model: Samsung M11
</t>
  </si>
  <si>
    <t>aws-amplify-amplify-android-1174</t>
  </si>
  <si>
    <t>Getting exception - Failed to instantiate AWSMobileClient within 10 seconds and app crashes while trying to execute Amplify.configue() on application class</t>
  </si>
  <si>
    <t xml:space="preserve">_x000D_
_x000D_
 I am using Amplify CLI framework in my Android project to integrate Android with my AWS services( I am using Amazon Pinpoint) I have configured amplify in my machine using the amplify CLI and initated amplify usinsg CLI   amplify init command and have added the necessary plugins in my Android project as per the AWS doc  _x000D_
When I launch my app it is crashing at  Amplify configue() on application class with exception  _x000D_
_x000D_
The version of Amplify Android you re using   com amplifyframework:core:1 16 11_x000D_
The   code   you re using to call Amplify Android   _x000D_
   try  _x000D_
               Add these lines to add the AWSCognitoAuthPlugin and AWSPinpointAnalyticsPlugin plugins_x000D_
            Amplify addPlugin(new AWSCognitoAuthPlugin()) _x000D_
            Amplify addPlugin(new AWSPinpointAnalyticsPlugin(this)) _x000D_
            Amplify configure(getApplicationContext()) _x000D_
_x000D_
            Log i( MyAmplifyApp    Initialized Amplify ) _x000D_
          catch (AmplifyException error)  _x000D_
            Log e( MyAmplifyApp    Could not initialize Amplify   error) _x000D_
           _x000D_
_x000D_
 Complete exception below  _x000D_
 E MyAmplifyApp: Could not initialize Amplify_x000D_
    AuthException message Failed to instantiate AWSMobileClient within 10 seconds  cause null  recoverySuggestion Check network connectivity _x000D_
        at com amplifyframework auth cognito AWSCognitoAuthPlugin configure(AWSCognitoAuthPlugin java:246)_x000D_
        at com amplifyframework core category Category configure(Category java:88)_x000D_
        at com amplifyframework core Amplify configure(Amplify java:150)_x000D_
        at com amplifyframework core Amplify configure(Amplify java:120)_x000D_
        at com emishealth emismobile framework application Application onCreate(Application java:50)_x000D_
        at android app Instrumentation callApplicationOnCreate(Instrumentation java:1127)_x000D_
        at android app ActivityThread handleBindApplication(ActivityThread java:6097)_x000D_
        at android app ActivityThread  wrap1(Unknown Source:0)_x000D_
        at android app ActivityThread H handleMessage(ActivityThread java:1791)_x000D_
        at android os Handler dispatchMessage(Handler java:106)_x000D_
        at android os Looper loop(Looper java:164)_x000D_
        at android app ActivityThread main(ActivityThread java:7000)_x000D_
        at java lang reflect Method invoke(Native Method)_x000D_
        at com android internal os RuntimeInit MethodAndArgsCaller run(RuntimeInit java:441)_x000D_
        at com android internal os ZygoteInit main(ZygoteInit java:1408)_x000D_
_x000D_
Any relevant guides or documentation referencing   https:  docs amplify aws lib project setup create application q platform android n3 provision the backend with amplify cli_x000D_
_x000D_
_x000D_
_x000D_
</t>
  </si>
  <si>
    <t>MuntashirAkon-AppManager-284</t>
  </si>
  <si>
    <t>[ADB over TCP] Granting package permissions crashes (missing GRANT_RUNTIME_PERMISSIONS permission)</t>
  </si>
  <si>
    <t xml:space="preserve">  Describe the bug  _x000D_
In ADB over TCP mode   android permission IPermissionManager Stub Proxy grantRuntimePermission  is called when granting permissions despite a lack of  android permission GRANT RUNTIME PERMISSIONS   This crashes App Manager _x000D_
_x000D_
  To Reproduce  _x000D_
Steps to reproduce the behaviour:_x000D_
1  Ensure lack of the  android permission GRANT RUNTIME PERMISSIONS  permission _x000D_
2  Ensure App Manager is in ADB over TCP mode _x000D_
3  Open permissions tab for an app  like  MatLog (https:  github com pluscubed matlog) _x000D_
4  Flip the grant deny toggle for a permissions without a related app op permission  like  android permission READ LOGS  _x000D_
5  App Manager crashes _x000D_
_x000D_
  Expected behavior  _x000D_
Either:_x000D_
1  App Manager does not show toggles for permissions it can not grant deny without root   the  android permission GRANT RUNTIME PERMISSIONS  permission in a package s permission tab in ADB over TCP mode  as it would in no root mode _x000D_
    I would expect App Manager to be able to toggle the permission over ADB  but I would expect a lack of crashing more _x000D_
2  App Manager utilizes ADB to grant deny permissions in ADB over TCP mode _x000D_
    I would expect this behavior the most _x000D_
_x000D_
  Crash logs  _x000D_
   _x000D_
java lang SecurityException: grantRuntimePermission: Neither user 10360 nor current process has android permission GRANT RUNTIME PERMISSIONS _x000D_
    at android os Parcel createExceptionOrNull(Parcel java:2373)_x000D_
    at android os Parcel createException(Parcel java:2357)_x000D_
    at android os Parcel readException(Parcel java:2340)_x000D_
    at android os Parcel readException(Parcel java:2282)_x000D_
    at android permission IPermissionManager Stub Proxy grantRuntimePermission(IPermissionManager java:1351)_x000D_
    at io github muntashirakon AppManager servermanager PackageManagerCompat grantPermission(PackageManagerCompat java:108)_x000D_
    at io github muntashirakon AppManager details AppDetailsViewModel setPermission(AppDetailsViewModel java:378)_x000D_
    at io github muntashirakon AppManager details AppDetailsFragment AppDetailsRecyclerAdapter lambda null 22 AppDetailsFragment AppDetailsRecyclerAdapter(AppDetailsFragment java:1348)_x000D_
    at io github muntashirakon AppManager details    Lambda AppDetailsFragment AppDetailsRecyclerAdapter ebSZkn7bHyfqKqD18v0XtWPMWr4 run(Unknown Source:10)_x000D_
    at java lang Thread run(Thread java:923)_x000D_
 Caused by: android os RemoteException: Remote stack trace:_x000D_
 at android app ContextImpl enforce(ContextImpl java:2018)_x000D_
 at android app ContextImpl enforceCallingOrSelfPermission(ContextImpl java:2046)_x000D_
 at com android server pm permission PermissionManagerService grantRuntimePermissionInternal(PermissionManagerService java:1423)_x000D_
 at com android server pm permission PermissionManagerService grantRuntimePermission(PermissionManagerService java:1404)_x000D_
 at android permission IPermissionManager Stub onTransact(IPermissionManager java:648)_x000D_
_x000D_
_x000D_
Device Info:_x000D_
App version: 2 5 23 PRE_x000D_
App version code: 381_x000D_
Android build version: 7038034_x000D_
Android release version: 11_x000D_
Android SDK version: 30_x000D_
Android build ID: RQ1A 210205 004_x000D_
Device brand: google_x000D_
Device manufacturer: Google_x000D_
Device name: redfin_x000D_
Device model: Pixel 5_x000D_
Device product name: redfin_x000D_
Device hardware name: redfin_x000D_
ABIs:  arm64 v8a  armeabi v7a  armeabi _x000D_
ABIs (32bit):  armeabi v7a  armeabi _x000D_
ABIs (64bit):  arm64 v8a _x000D_
System language: en US_x000D_
In App Language: auto_x000D_
Mode: adb_x000D_
   _x000D_
_x000D_
  Device info  _x000D_
   Device: Google Pixel 5_x000D_
   OS Version: Android 11_x000D_
   App Manager Version: 2 5 23 PRE_x000D_
   Mode: ADB over TCP_x000D_
_x000D_
  Additional context  _x000D_
All root dependent (permission dependent) code should probably be gated by default  or at least refactored to behind interfaces that check for relevant permissions first and can leave a note to the user that they d need to grant that permission to continue that specific task  (Or have a general way to catch   friendlily handle these sort of permission exceptions )</t>
  </si>
  <si>
    <t>Anuken-Mindustry-4693</t>
  </si>
  <si>
    <t>game crashes when placing power nodes</t>
  </si>
  <si>
    <t xml:space="preserve">Version: bleeding edge build 20738   20740_x000D_
OS: Windows 10 x64_x000D_
Java Version: 1 8 0 281_x000D_
Java Architecture: 64_x000D_
0 Mods_x000D_
_x000D_
_x000D_
_x000D_
_x000D_
the game crashes when i try to place a power node that connects to some combustion generators_x000D_
_x000D_
this started happening while paying campaign  i set down some combustion generators and tried to connect them by placing small power node  and i have tested it and it is just the placing of power nodes that causes the crash_x000D_
_x000D_
  Save file  :  The (zipped) save file you were playing on when the bug happened _x000D_
_x000D_
 saves zip (https:  github com Anuken Mindustry files 5985935 saves zip)_x000D_
_x000D_
_x000D_
java lang IllegalStateException: Array is empty _x000D_
	at arc struct Seq peek(Seq java:703)_x000D_
	at mindustry input Placement calculateNodes(Placement java:103)_x000D_
	at mindustry world blocks power PowerNode changePlacementPath(PowerNode java:159)_x000D_
	at mindustry input InputHandler iterateLine(InputHandler java:1181)_x000D_
	at mindustry input InputHandler updateLine(InputHandler java:856)_x000D_
	at mindustry input InputHandler updateLine(InputHandler java:874)_x000D_
	at mindustry input DesktopInput pollInput(DesktopInput java:485)_x000D_
	at mindustry input DesktopInput update(DesktopInput java:263)_x000D_
	at mindustry core Control update(Control java:518)_x000D_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</si>
  <si>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Anuken-Mindustry-4692</t>
  </si>
  <si>
    <t>Changing GUI problem</t>
  </si>
  <si>
    <t xml:space="preserve">  Platform  :  Windows 10 _x000D_
_x000D_
  Build  :  124 1  _x000D_
_x000D_
  Issue  :  when i changed my gui to 75  and restarted  the mindustry app just dissapeared  i tried to open it  and the gui changed into normal (100 )  i tried it without mods  and its still the same there was no crash message _x000D_
_x000D_
_x000D_
  Steps to reproduce  :  open the settings and change the gui in any size _x000D_
_x000D_
  Link(s) to mod(s) used  :  Proggressed Materials Pixelcraft Chaos Arranity Missing Category Units Betamindy Mindhorition Braindustry The Better Turrets Dimension Shard Gold Mod  Diamond Ore Mod  Larger Cores Exotic Mod Gravasillo Mod Heavy Armaments Industries Infintodustry  V6 Invincible Cheat Vanilla Enhanced Sh t ss mod by Goober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</si>
  <si>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TeamNewPipe-NewPipe-5602</t>
  </si>
  <si>
    <t>"Most played" videos shows incorrect values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</si>
  <si>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Actual behaviour_x000D_
     Tell us what happens with the steps given above     _x000D_
The list of most played videos is very inaccurate _x000D_
I can t tell if it s a general problems with the history feature or just with the play counter _x000D_
The list shows videos I have played hundreds of times (according to my scrubbing list and my general idea) as 40 times _x000D_
It doesn t appear to go the other war around though so I assume it has to do with videos not being logged _x000D_
_x000D_
    Expected behavior_x000D_
     Tell us what you expect to happen     _x000D_
For every video I watch increment the view count_x000D_
_x000D_
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galaxy a31_x000D_
</t>
  </si>
  <si>
    <t>commons-app-apps-android-commons-4232</t>
  </si>
  <si>
    <t>App crashes on trying to upload a media from gallery.</t>
  </si>
  <si>
    <t xml:space="preserve">  Summary:   _x000D_
On selecting an item from the gallery for upload the app crashes unexpectedly _x000D_
_x000D_
  Steps to reproduce:   _x000D_
Try selecting a media from the gallery for upload from the floating action button _x000D_
_x000D_
What did you expect the app to do  and what did you see instead _x000D_
The app should not crash _x000D_
_x000D_
  System logs:  _x000D_
_x000D_
   _x000D_
2021 02 16 02:25:03 775 20600 20600 fr free nrw commons beta E ACRA: ACRA caught a NullPointerException for fr free nrw commons beta_x000D_
    java lang NullPointerException: Attempt to invoke virtual method  long java lang Long longValue()  on a null object reference_x000D_
        at fr free nrw commons filepicker UploadableFile getDateTimeFromExif(UploadableFile java:127)_x000D_
        at fr free nrw commons filepicker UploadableFile getFileCreatedDate(UploadableFile java:83)_x000D_
        at fr free nrw commons upload UploadModel createAndAddUploadItem(UploadModel java:95)_x000D_
        at fr free nrw commons upload UploadModel preProcessImage(UploadModel java:84)_x000D_
        at fr free nrw commons repository UploadRepository preProcessImage(UploadRepository java:184)_x000D_
        at fr free nrw commons upload mediaDetails UploadMediaPresenter receiveImage(UploadMediaPresenter java:83)_x000D_
        at fr free nrw commons upload mediaDetails UploadMediaDetailFragment init(UploadMediaDetailFragment java:128)_x000D_
        at fr free nrw commons upload mediaDetails UploadMediaDetailFragment onViewCreated(UploadMediaDetailFragment java:114)_x000D_
_x000D_
   _x000D_
_x000D_
  Device and Android version:   _x000D_
_x000D_
Nokia 6 1  android 10 stock _x000D_
 _x000D_
  Commons app version:   _x000D_
betaDebug  master_x000D_
_x000D_
  Would you like to work on the issue   _x000D_
Yes _x000D_
</t>
  </si>
  <si>
    <t>TeamNewPipe-NewPipe-5601</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</si>
  <si>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NewPipe_x000D_
2  Start any video_x000D_
3  Video will freeze up for a second and then keep playing  but only for a few seconds before it pauses and un pauses again _x000D_
4  Swiping down on the video in portrait view (so that it goes to a minimized view in still in the app  the issue is still there  but now you can see the pause play icon switching from pause to play while it freezes _x000D_
5  Playback has no issues when the video is playing in the background or while the screen is off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After you open a video  the video will start to play and then immediately start to pause and un pause  When you go into the minimized version in the app  like if you were to search for another video while still watching one  you will see the pause play icon going back and forth as it glitches  There is no problem with the playback when the video is playing in the background  Sometimes the issue can be fixed by letting it play in the background for a while and then going back into the app  but other times it will just keep glitching in the app      _x000D_
_x000D_
_x000D_
_x000D_
    Expected behavior_x000D_
     I expect the playback to be smooth whether I am in the app watching the video or in another app with the video playing in the background     _x000D_
_x000D_
_x000D_
_x000D_
    Screenshots Screen recordings_x000D_
     https:  mail google com mail u 0 ui 2 ik caf7a38b5a attid 0 1 permmsgid msg a:r4944840459388579644 th 177a775b8b8dad89 view att disp safe realattid 177a77310949594f6241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Samsung Galaxy S21 5G_x000D_
</t>
  </si>
  <si>
    <t>nextcloud-android-7990</t>
  </si>
  <si>
    <t xml:space="preserve">crash when sharing folder </t>
  </si>
  <si>
    <t xml:space="preserve">    Steps to reproduce_x000D_
1  I tried to share a newly created folder with another local user  there is nothing in the folder_x000D_
2  Crashes 100 _x000D_
3  _x000D_
_x000D_
    Expected behaviour_x000D_
  sharing of the folder_x000D_
_x000D_
    Actual behaviour_x000D_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 raspberry ubuntu 20 04 2 up to date  nextcloud as snap  data on zfs mirror 2 disks_x000D_
_x000D_
Reverse proxy: direct from router_x000D_
_x000D_
    Logs_x000D_
     Web server error log_x000D_
   _x000D_
Insert your webserver log here_x000D_
   _x000D_
_x000D_
     Nextcloud log (data nextcloud log)_x000D_
   _x000D_
             CAUSE OF ERROR             _x000D_
_x000D_
java lang RuntimeException: Accessing result data after operation failed _x000D_
	at com owncloud android lib common operations RemoteOperationResult getData(RemoteOperationResult java:486)_x000D_
	at com owncloud android utils ErrorMessageAdapter getMessageForCreateShareOperations(ErrorMessageAdapter java:254)_x000D_
	at com owncloud android utils ErrorMessageAdapter getMessageForResultAndOperation(ErrorMessageAdapter java:143)_x000D_
	at com owncloud android utils ErrorMessageAdapter getErrorCauseMessage(ErrorMessageAdapter java:79)_x000D_
	at com owncloud android ui activity FileActivity onRemoteOperationFinish(FileActivity java:380)_x000D_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java:938)_x000D_
	at android os Handler dispatchMessage(Handler java:99)_x000D_
	at android os Looper loop(Looper java:236)_x000D_
	at android app ActivityThread main(ActivityThread java:7876)_x000D_
	at java lang reflect Method invoke(Native Method)_x000D_
	at com android internal os RuntimeInit MethodAndArgsCaller run(RuntimeInit java:656)_x000D_
	at com android internal os ZygoteInit main(ZygoteInit java:967)_x000D_
_x000D_
             APP INFORMATION             _x000D_
ID: com nextcloud client_x000D_
Version: 30150090_x000D_
Build flavor: gplay_x000D_
_x000D_
             DEVICE INFORMATION             _x000D_
Brand: POCO_x000D_
Device: lmi_x000D_
Model: POCO F2 Pro_x000D_
Id: RKQ1 200826 002_x000D_
Product: lmi eea_x000D_
_x000D_
             FIRMWARE             _x000D_
SDK: 30_x000D_
Release: 11_x000D_
Incremental: V12 2 4 0 RJKEUXM_x000D_
_x000D_
   _x000D_
  NOTE:   Be super sure to remove sensitive data like passwords  note that everybody can look here  You can use the Issue Template application to prefill some of the required information: https:  apps nextcloud com apps issuetemplate_x000D_
</t>
  </si>
  <si>
    <t>TeamNewPipe-NewPipe-5599</t>
  </si>
  <si>
    <t>Play with Kodi button in Player always prompts to install Kore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</si>
  <si>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 that supports being played in Kodi_x000D_
2  Start playing the video_x000D_
3  Press on the  Play with Kodi  button in the Player_x000D_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The prompt  Install missing Kore app   appears  even though Kore is installed _x000D_
(Other  Play with Kodi  buttons work as intended)_x000D_
_x000D_
    Expected behavior_x000D_
     Tell us what you expect to happen     _x000D_
_x000D_
Kore should be opened as is the case when any other  Play with Kodi  button is pressed _x000D_
(I tested the buttons in video details and list context menu)_x000D_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11_x000D_
   Device model:_x000D_
</t>
  </si>
  <si>
    <t>nextcloud-android-7989</t>
  </si>
  <si>
    <t>app crashes while sharing folder</t>
  </si>
  <si>
    <t xml:space="preserve">    Steps to reproduce_x000D_
1  Enter app_x000D_
2  Share a folder with NC user_x000D_
_x000D_
    Expected behaviour_x000D_
  folder should be shared_x000D_
_x000D_
    Actual behaviour_x000D_
  app crashes while sharing with following error log_x000D_
_x000D_
 details  summary Error log   summary _x000D_
_x000D_
   _x000D_
         CAUSE OF ERROR         _x000D_
_x000D_
java lang RuntimeException: Accessing result data after operation failed _x000D_
 at com owncloud android lib common operations RemoteOperationResult getData(RemoteOperationResult java:486)_x000D_
 at com owncloud android utils ErrorMessageAdapter getMessageForCreateShareOperations(ErrorMessageAdapter java:254)_x000D_
 at com owncloud android utils ErrorMessageAdapter getMessageForResultAndOperation(ErrorMessageAdapter java:143)_x000D_
 at com owncloud android utils ErrorMessageAdapter getErrorCauseMessage(ErrorMessageAdapter java:79)_x000D_
 at com owncloud android ui activity FileActivity onRemoteOperationFinish(FileActivity java:380)_x000D_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java:789)_x000D_
 at android os Handler dispatchMessage(Handler java:98)_x000D_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_x000D_
         APP INFORMATION         _x000D_
ID: com nextcloud client_x000D_
Version: 30150090_x000D_
Build flavor: gplay_x000D_
_x000D_
         DEVICE INFORMATION         _x000D_
Brand: samsung_x000D_
Device: herolte_x000D_
Model: SM G930F_x000D_
Id: R16NW_x000D_
Product: heroltexx_x000D_
_x000D_
         FIRMWARE         _x000D_
SDK: 26_x000D_
Release: 8 0 0_x000D_
Incremental: G930FXXU8ETI2_x000D_
   _x000D_
  details </t>
  </si>
  <si>
    <t>Anuken-Mindustry-4685</t>
  </si>
  <si>
    <t>Units vanish</t>
  </si>
  <si>
    <t xml:space="preserve">  Platform  : Windows_x000D_
_x000D_
  Build  : 124 1_x000D_
_x000D_
  Issue  : units disappear_x000D_
_x000D_
  Steps to reproduce  : Someone else reported the issue after he (I guess)  made a bug in his logic:_x000D_
edited after close to remove abusable code_x000D_
_x000D_
  Link(s) to mod(s) used  : No mods_x000D_
_x000D_
  Save file  :_x000D_
_x000D_
_x000D_
 removed _x000D_
If you remove the line above without reading it properly and understanding what it means  I will reap your soul  Even if you re playing on someone s server  you can still save the game to a slot _x000D_
_x000D_
  (Crash) logs  : Neither the program or the involved units seem to have crashed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</si>
  <si>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nextcloud-android-7988</t>
  </si>
  <si>
    <t xml:space="preserve">App crashes on Start </t>
  </si>
  <si>
    <t xml:space="preserve">    Steps to reproduce_x000D_
1  Update from previous version to latest version from fdroid_x000D_
2  Enter serveradress and credentials_x000D_
3  Crash_x000D_
_x000D_
Next time it crashes immediately _x000D_
_x000D_
    Expected behaviour_x000D_
  no crash _x000D_
_x000D_
    Actual behaviour_x000D_
  crash_x000D_
_x000D_
    Can you reproduce this problem on https:  try nextcloud com _x000D_
No   didn t try because the previous version was working fine with the existing server setup_x000D_
_x000D_
    Environment data_x000D_
Android version:_x000D_
8 0_x000D_
Device model: _x000D_
Samsung S7 flat_x000D_
_x000D_
Stock or customized system:_x000D_
Stock_x000D_
Nextcloud app version:_x000D_
3 15 0_x000D_
Nextcloud server version:_x000D_
19 08_x000D_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</si>
  <si>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TeamNewPipe-NewPipe-5597</t>
  </si>
  <si>
    <t>Newpipe</t>
  </si>
  <si>
    <t>TeamNewPipe-NewPipe-5596</t>
  </si>
  <si>
    <t>Crash when reordering channel groups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</si>
  <si>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10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Create 2  channel groups_x000D_
2  Press on the reorder icon right of the  Channel groups  text_x000D_
3  Attempt to move any group_x000D_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app crashes _x000D_
_x000D_
_x000D_
    Expected behavior_x000D_
     Tell us what you expect to happen     _x000D_
The group is moved  the app doesn t crash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https:  user images githubusercontent com 12615679 107941019 c3bfcc80 6f91 11eb 99be d11103dd5584 mp4_x000D_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(working on getting a logcat)_x000D_
     That s right  here     _x000D_
_x000D_
_x000D_
_x000D_
     Please fill this out when you do not provide a log generate by NewPipe    _x000D_
_x000D_
    Device info_x000D_
_x000D_
   Android version Custom ROM version: Android 6 0 1  MIUI Global 10 2 2 0_x000D_
   Device model: Xiaomi Redmi 3S (land)_x000D_
</t>
  </si>
  <si>
    <t>PojavLauncherTeam-PojavLauncher-896</t>
  </si>
  <si>
    <t>When I play with 1 16 4 fabric mod  sodium  and when I enter the world the game a crashes</t>
  </si>
  <si>
    <t>nextcloud-android-7986</t>
  </si>
  <si>
    <t xml:space="preserve">App Crashed </t>
  </si>
  <si>
    <t xml:space="preserve">Attempting to upload a bug report taken on my custom build Android 10  Q  (Samsung Galaxy A10e) to NextCloudDev   nl nd tab digital (Zurich)   I landed in the talk directory  attempting to go up one level  was challenged for my pin ( which should have already happened)   I entered the correct pin then the  app crashed _x000D_
_x000D_
 Tryweirder_x000D_
aka  Timothy Bergstresser _x000D_
</t>
  </si>
  <si>
    <t>Anuken-Mindustry-4680</t>
  </si>
  <si>
    <t>Crawler got stuck on a wall</t>
  </si>
  <si>
    <t xml:space="preserve">  Platform  : Windows 10_x000D_
_x000D_
  Build  : 124 1 Steam_x000D_
_x000D_
  Issue  : I was playing Tar Fields as normal  and on wave 3  a crawler got stuck on a wall  unable to move to the thing it was targeting_x000D_
  image (https:  user images githubusercontent com 34169172 107908907 5752b800 6f14 11eb 908f c1cf67c27507 png)_x000D_
_x000D_
_x000D_
_x000D_
  Steps to reproduce  : Go to tar fields  place stuff in this formation_x000D_
  image (https:  user images githubusercontent com 34169172 107908948 72bdc300 6f14 11eb 8435 a79d40bac431 png)_x000D_
_x000D_
_x000D_
  Link(s) to mod(s) used  : No mods used_x000D_
_x000D_
  Save file  : _x000D_
 bruhcrawler zip (https:  github com Anuken Mindustry files 5979654 bruhcrawler zip)_x000D_
_x000D_
  (Crash) logs  :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</si>
  <si>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woesss-JL-Mod-22</t>
  </si>
  <si>
    <t>not rendered</t>
  </si>
  <si>
    <t xml:space="preserve">  Build version:  _x000D_
JL Mod 0 77 3 MC 0 98 5 _x000D_
  Game version:  _x000D_
1 1 0 (both of them with terjef)_x000D_
  Game resolution:  _x000D_
176 x 220 pxl_x000D_
  Device model:  _x000D_
REDMI NOTE 8 GINKGO_x000D_
  Android version:  _x000D_
9 0 PIE_x000D_
  Description of the issue:  _x000D_
Roller Bot 3D is not rendered correctly  there are 2 version game but only one _x000D_
of them wiill crashing in game when acess emulator menus on top right screen also freezing when playing  already trying fixing with micro3d comand but still didnt fixed the bug _x000D_
_x000D_
  Screenshot Rollerbot 176x220 (https:  user images githubusercontent com 35026289 107907147 763d6280 6f85 11eb 8111 2ebc3be6b605 png)_x000D_
 log rollerbot 176x220 txt (https:  github com woesss JL Mod files 5979573 log rollerbot 176x220 txt)_x000D_
_x000D_
download source seclub org</t>
  </si>
  <si>
    <t>cgeo-cgeo-10016</t>
  </si>
  <si>
    <t>Crash when trying to attach image</t>
  </si>
  <si>
    <t xml:space="preserve">Nightly users of 2021 02 14 NB report:_x000D_
_x000D_
It crashes when trying to attach image (tried the button and the menu) _x000D_
_x000D_
   _x000D_
02 15 00:08:12 264 31224 31224 E AndroidRuntime: FATAL EXCEPTION: main_x000D_
02 15 00:08:12 264 31224 31224 E AndroidRuntime: Process: cgeo geocaching  PID: 31224_x000D_
02 15 00:08:12 264 31224 31224 E AndroidRuntime: java util IllegalFormatConversionException: d    java lang String_x000D_
02 15 00:08:12 264 31224 31224 E AndroidRuntime: 	at java util Formatter FormatSpecifier failConversion(Formatter java:4403)_x000D_
02 15 00:08:12 264 31224 31224 E AndroidRuntime: 	at java util Formatter FormatSpecifier printInteger(Formatter java:2885)_x000D_
02 15 00:08:12 264 31224 31224 E AndroidRuntime: 	at java util Formatter FormatSpecifier print(Formatter java:2839)_x000D_
02 15 00:08:12 264 31224 31224 E AndroidRuntime: 	at java util Formatter format(Formatter java:2530)_x000D_
02 15 00:08:12 264 31224 31224 E AndroidRuntime: 	at java util Formatter format(Formatter java:2459)_x000D_
02 15 00:08:12 264 31224 31224 E AndroidRuntime: 	at java lang String format(String java:2911)_x000D_
02 15 00:08:12 264 31224 31224 E AndroidRuntime: 	at android content res Resources getString(Resources java:605)_x000D_
02 15 00:08:12 264 31224 31224 E AndroidRuntime: 	at androidx fragment app Fragment getString(Fragment java:873)_x000D_
02 15 00:08:12 264 31224 31224 E AndroidRuntime: 	at cgeo geocaching ui ImageListFragment ImageListAdapter getImageInfo(ImageListFragment java:214)_x000D_
02 15 00:08:12 264 31224 31224 E AndroidRuntime: 	at cgeo geocaching ui ImageListFragment ImageListAdapter fillViewHolder(ImageListFragment java:185)_x000D_
02 15 00:08:12 264 31224 31224 E AndroidRuntime: 	at cgeo geocaching ui ImageListFragment ImageListAdapter onBindViewHolder(ImageListFragment java:230)_x000D_
02 15 00:08:12 264 31224 31224 E AndroidRuntime: 	at cgeo geocaching ui ImageListFragment ImageListAdapter onBindViewHolder(ImageListFragment java:171)_x000D_
02 15 00:08:12 264 31224 31224 E AndroidRuntime: 	at androidx recyclerview widget RecyclerView Adapter onBindViewHolder(RecyclerView java:7065)_x000D_
02 15 00:08:12 264 31224 31224 E AndroidRuntime: 	at androidx recyclerview widget RecyclerView Adapter bindViewHolder(RecyclerView java:7107)_x000D_
02 15 00:08:12 264 31224 31224 E AndroidRuntime: 	at androidx recyclerview widget RecyclerView Recycler tryBindViewHolderByDeadline(RecyclerView java:6012)_x000D_
02 15 00:08:12 264 31224 31224 E AndroidRuntime: 	at androidx recyclerview widget RecyclerView Recycler tryGetViewHolderForPositionByDeadline(RecyclerView java:6279)_x000D_
02 15 00:08:12 264 31224 31224 E AndroidRuntime: 	at androidx recyclerview widget RecyclerView Recycler getViewForPosition(RecyclerView java:6118)_x000D_
02 15 00:08:12 264 31224 31224 E AndroidRuntime: 	at androidx recyclerview widget RecyclerView Recycler getViewForPosition(RecyclerView java:6114)_x000D_
02 15 00:08:12 264 31224 31224 E AndroidRuntime: 	at androidx recyclerview widget LinearLayoutManager LayoutState next(LinearLayoutManager java:2303)_x000D_
02 15 00:08:12 264 31224 31224 E AndroidRuntime: 	at androidx recyclerview widget LinearLayoutManager layoutChunk(LinearLayoutManager java:1627)_x000D_
02 15 00:08:12 264 31224 31224 E AndroidRuntime: 	at androidx recyclerview widget LinearLayoutManager fill(LinearLayoutManager java:1587)_x000D_
02 15 00:08:12 264 31224 31224 E AndroidRuntime: 	at androidx recyclerview widget LinearLayoutManager onLayoutChildren(LinearLayoutManager java:665)_x000D_
02 15 00:08:12 264 31224 31224 E AndroidRuntime: 	at androidx recyclerview widget RecyclerView dispatchLayoutStep2(RecyclerView java:4134)_x000D_
02 15 00:08:12 264 31224 31224 E AndroidRuntime: 	at androidx recyclerview widget RecyclerView onMeasure(RecyclerView java:3540)_x000D_
02 15 00:08:12 264 31224 31224 E AndroidRuntime: 	at android view View measure(View java:27128)_x000D_
02 15 00:08:12 264 31224 31224 E AndroidRuntime: 	at android widget RelativeLayout measureChildHorizontal(RelativeLayout java:735)_x000D_
02 15 00:08:12 264 31224 31224 E AndroidRuntime: 	at android widget RelativeLayout onMeasure(RelativeLayout java:481)_x000D_
02 15 00:08:12 264 31224 31224 E AndroidRuntime: 	at android view View measure(View java:27128)_x000D_
02 15 00:08:12 264 31224 31224 E AndroidRuntime: 	at android view ViewGroup measureChildWithMargins(ViewGroup java:7340)_x000D_
02 15 00:08:12 264 31224 31224 E AndroidRuntime: 	at android widget LinearLayout measureChildBeforeLayout(LinearLayout java:1552)_x000D_
02 15 00:08:12 264 31224 31224 E AndroidRuntime: 	at android widget LinearLayout measureVertical(LinearLayout java:842)_x000D_
02 15 00:08:12 264 31224 31224 E AndroidRuntime: 	at android widget LinearLayout onMeasure(LinearLayout java:721)_x000D_
02 15 00:08:12 264 31224 31224 E AndroidRuntime: 	at android view View measure(View java:27128)_x000D_
02 15 00:08:12 264 31224 31224 E AndroidRuntime: 	at android view ViewGroup measureChildWithMargins(ViewGroup java:7340)_x000D_
02 15 00:08:12 264 31224 31224 E AndroidRuntime: 	at android widget LinearLayout measureChildBeforeLayout(LinearLayout java:1552)_x000D_
02 15 00:08:12 264 31224 31224 E AndroidRuntime: 	at android widget LinearLayout measureVertical(LinearLayout java:842)_x000D_
02 15 00:08:12 264 31224 31224 E AndroidRuntime: 	at android widget LinearLayout onMeasure(LinearLayout java:721)_x000D_
02 15 00:08:12 264 31224 31224 E AndroidRuntime: 	at android view View measure(View java:27128)_x000D_
02 15 00:08:12 264 31224 31224 E AndroidRuntime: 	at android widget ScrollView measureChildWithMargins(ScrollView java:2362)_x000D_
02 15 00:08:12 264 31224 31224 E AndroidRuntime: 	at android widget FrameLayout onMeasure(FrameLayout java:194)_x000D_
02 15 00:08:12 264 31224 31224 E AndroidRuntime: 	at android widget ScrollView onMeasure(ScrollView java:701)_x000D_
02 15 00:08:12 264 31224 31224 E AndroidRuntime: 	at android view View measure(View java:27128)_x000D_
02 15 00:08:12 264 31224 31224 E AndroidRuntime: 	at android view ViewGroup measureChildWithMargins(ViewGroup java:7340)_x000D_
02 15 00:08:12 264 31224 31224 E AndroidRuntime: 	at android widget FrameLayout onMeasure(FrameLayout java:194)_x000D_
02 15 00:08:12 264 31224 31224 E AndroidRuntime: 	at androidx appcompat widget ContentFrameLayout onMeasure(ContentFrameLayout java:146)_x000D_
02 15 00:08:12 264 31224 31224 E AndroidRuntime: 	at android view View measure(View java:27128)_x000D_
02 15 00:08:12 264 31224 31224 E AndroidRuntime: 	at android view ViewGroup measureChildWithMargins(ViewGroup java:7340)_x000D_
02 15 00:08:12 264 31224 31224 E AndroidRuntime: 	at androidx appcompat widget ActionBarOverlayLayout onMeasure(ActionBarOverlayLayout java:490)_x000D_
02 15 00:08:12 264 31224 31224 E AndroidRuntime: 	at android view View measure(View java:27128)_x000D_
02 15 00:08:12 264 31224 31224 E AndroidRuntime: 	at android view ViewGroup measureChildWithMargins(ViewGroup java:7340)_x000D_
02 15 00:08:12 264 31224 31224 E AndroidRuntime: 	at android widget FrameLayout onMeasure(FrameLayout java:194)_x000D_
02 15 00:08:12 264 31224 31224 E AndroidRuntime: 	at android view View measure(View java:27128)_x000D_
02 15 00:08:12 264 31224 31224 E AndroidRuntime: 	at android view ViewGroup measureChildWithMargins(ViewGroup java:7340)_x000D_
02 15 00:08:12 264 31224 31224 E AndroidRuntime: 	at android widget LinearLayout measureChildBeforeLayout(LinearLayout java:1552)_x000D_
02 15 00:08:12 264 31224 31224 E AndroidRuntime: 	at android widget LinearLayout measureVertical(LinearLayout java:842)_x000D_
02 15 00:08:12 264 31224 31224 E AndroidRuntime: 	at android widget LinearLayout onMeasure(LinearLayout java:721)_x000D_
02 15 00:08:12 264 31224 31224 E AndroidRuntime: 	at android view View measure(View java:27128)_x000D_
02 15 00:08:12 264 31224 31224 E AndroidRuntime: 	at android view ViewGroup measureChildWithMargins(ViewGroup java:7340)_x000D_
02 15 00:08:12 264 31224 31224 E AndroidRuntime: 	at android widget FrameLayout onMeasure(FrameLayout java:194)_x000D_
02 15 00:08:12 264 31224 31224 E AndroidRuntime: 	at com android internal policy DecorView onMeasure(DecorView java:1147)_x000D_
02 15 00:08:12 264 31224 31224 E AndroidRuntime: 	at android view View measure(View java:27128)_x000D_
02 15 00:08:12 264 31224 31224 E AndroidRuntime: 	at android view ViewRootImpl performMeasure(ViewRootImpl java:4067)_x000D_
02 15 00:08:12 264 31224 31224 E AndroidRuntime: 	at android view ViewRootImpl measureHierarchy(ViewRootImpl java:2829)_x000D_
02 15 00:08:12 264 31224 31224 E AndroidRuntime: 	at android view ViewRootImpl performTraversals(ViewRootImpl java:3092)_x000D_
02 15 00:08:12 264 31224 31224 E AndroidRuntime: 	at android view ViewRootImpl doTraversal(ViewRootImpl java:2511)_x000D_
02 15 00:08:12 264 31224 31224 E AndroidRuntime: 	at android view ViewRootImpl TraversalRunnable run(ViewRootImpl java:9689)_x000D_
02 15 00:08:12 264 31224 31224 E AndroidRuntime: 	at android view Choreographer CallbackRecord run(Choreographer java:1010)_x000D_
02 15 00:08:12 264 31224 31224 E AndroidRuntime: 	at android view Choreographer doCallbacks(Choreographer java:809)_x000D_
02 15 00:08:12 264 31224 31224 E AndroidRuntime: 	at android view Choreographer doFrame(Choreographer java:744)_x000D_
02 15 00:08:12 264 31224 31224 E AndroidRuntime: 	at android view Choreographer FrameDisplayEventReceiver run(Choreographer java:995)_x000D_
02 15 00:08:12 264 31224 31224 E AndroidRuntime: 	at android os Handler handleCallback(Handler java:938)_x000D_
02 15 00:08:12 264 31224 31224 E AndroidRuntime: 	at android os Handler dispatchMessage(Handler java:99)_x000D_
02 15 00:08:12 264 31224 31224 E AndroidRuntime: 	at android os Looper loop(Looper java:246)_x000D_
02 15 00:08:12 264 31224 31224 E AndroidRuntime: 	at android app ActivityThread main(ActivityThread java:8419)_x000D_
02 15 00:08:12 264 31224 31224 E AndroidRuntime: 	at java lang reflect Method invoke(Native Method)_x000D_
02 15 00:08:12 264 31224 31224 E AndroidRuntime: 	at com android internal os RuntimeInit MethodAndArgsCaller run(RuntimeInit java:596)_x000D_
02 15 00:08:12 264 31224 31224 E AndroidRuntime: 	at com android internal os ZygoteInit main(ZygoteInit java:1130)_x000D_
   </t>
  </si>
  <si>
    <t>TeamNewPipe-NewPipe-5588</t>
  </si>
  <si>
    <t>(Minor bug) Snackbar error on certain long search terms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</si>
  <si>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Paste a long body of text into the search bar  In fact  paste the log I ve added below _x000D_
2  Wait for a second or two for the suggestion code to work _x000D_
_x000D_
This only happens for Youtube  and not the other services _x000D_
_x000D_
I haven t investigated this much  Could be because of special characters as well _x000D_
_x000D_
    Actual behaviour_x000D_
     Tell us what happens with the steps given above     _x000D_
_x000D_
Snackbar error _x000D_
_x000D_
    Expected behavior_x000D_
     Tell us what you expect to happen     _x000D_
_x000D_
No snackbar error _x000D_
_x000D_
    Logs_x000D_
     If your bug includes a crash (where you re shown the Error Report page with a bunch of info)  tap on  Copy formatted report  at the bottom and paste it here:    _x000D_
_x000D_
     That s right  here     _x000D_
_x000D_
   Exception_x000D_
    User Action:   get suggestions_x000D_
    Request:   _x000D_
    Content Country:   CH_x000D_
    Content Language:   en IN_x000D_
    App Language:   en IN_x000D_
    Service:   YouTube_x000D_
    Version:   0 20 9_x000D_
    OS:   Linux Android 10   29_x000D_
 details  summary  b Crash log   b   summary  p _x000D_
_x000D_
   _x000D_
org schabi newpipe extractor exceptions ParsingException: Could not parse json response_x000D_
	at org schabi newpipe extractor services youtube extractors YoutubeSuggestionExtractor suggestionList(YoutubeSuggestionExtractor java:72)_x000D_
	at org schabi newpipe util ExtractorHelper lambda suggestionsFor 2(ExtractorHelper java:118)_x000D_
	at org schabi newpipe util    Lambda ExtractorHelper kgV3vMftlbQH0zdv8hszrHLyMLU call(Unknown Source:4)_x000D_
	at io reactivex rxjava3 internal operators single SingleFromCallable subscribeActual(SingleFromCallable java:43)_x000D_
	at io reactivex rxjava3 core Single subscribe(Single java:4813)_x000D_
	at io reactivex rxjava3 internal operators single SingleOnErrorReturn subscribeActual(SingleOnErrorReturn java:38)_x000D_
	at io reactivex rxjava3 core Single subscribe(Single java:4813)_x000D_
	at io reactivex rxjava3 internal operators single SingleToObservable subscribeActual(SingleToObservable java:35)_x000D_
	at io reactivex rxjava3 core Observable subscribe(Observable java:13102)_x000D_
	at io reactivex rxjava3 internal operators observable ObservableMap subscribeActual(ObservableMap java:33)_x000D_
	at io reactivex rxjava3 core Observable subscribe(Observable java:13102)_x000D_
	at io reactivex rxjava3 internal operators observable ObservableZip ZipCoordinator subscribe(ObservableZip java:110)_x000D_
	at io reactivex rxjava3 internal operators observable ObservableZip subscribeActual(ObservableZip java:72)_x000D_
	at io reactivex rxjava3 core Observable subscribe(Observable java:13102)_x000D_
	at io reactivex rxjava3 internal operators observable ObservableMaterialize subscribeActual(ObservableMaterialize java:28)_x000D_
	at io reactivex rxjava3 core Observable subscribe(Observable java:13102)_x000D_
	at io reactivex rxjava3 internal operators observable ObservableSwitchMap SwitchMapObserver onNext(ObservableSwitchMap java:127)_x000D_
	at io reactivex rxjava3 internal operators observable ObservableFilter FilterObserver onNext(ObservableFilter java:52)_x000D_
	at io reactivex rxjava3 internal operators observable ObservableConcatMap ConcatMapDelayErrorObserver DelayErrorInnerObserver onNext(ObservableConcatMap java:498)_x000D_
	at io reactivex rxjava3 observers SerializedObserver onNext(SerializedObserver java:113)_x000D_
	at io reactivex rxjava3 internal operators observable ObservableDebounceTimed DebounceTimedObserver emit(ObservableDebounceTimed java:143)_x000D_
	at io reactivex rxjava3 internal operators observable ObservableDebounceTimed DebounceEmitter run(ObservableDebounceTimed java:168)_x000D_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com grack nanojson JsonParserException: Unexpected token  OCTYPE  on line 1  char 1_x000D_
	at com grack nanojson JsonTokener createParseException(Unknown Source:44)_x000D_
	at com grack nanojson JsonTokener createHelpfulException(Unknown Source:119)_x000D_
	at com grack nanojson JsonTokener advanceToToken(Unknown Source:95)_x000D_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YoutubeSuggestionExtractor suggestionList(YoutubeSuggestionExtractor java:62)_x000D_
	    28 more_x000D_
_x000D_
   _x000D_
  details _x000D_
 hr </t>
  </si>
  <si>
    <t>TeamNewPipe-NewPipe-5587</t>
  </si>
  <si>
    <t>UI Crash (minor bug) : Simultaneously open menus in Settings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</si>
  <si>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9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Settings _x000D_
2  Simultaneously open two or more menus  Back out to the main Settings menu _x000D_
3  Repeat until you get a crash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UI crash _x000D_
_x000D_
    Expected behavior_x000D_
     Tell us what you expect to happen     _x000D_
_x000D_
No UI crash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App crash  UI failure_x000D_
    Content Country:   CH_x000D_
    Content Language:   en IN_x000D_
    App Language:   en IN_x000D_
    Service:   none_x000D_
    Version:   0 20 9_x000D_
    OS:   Linux Android 10   29_x000D_
 details  summary  b Crash log   b   summary  p _x000D_
_x000D_
   _x000D_
java lang NullPointerException: Attempt to invoke interface method  int java util List size()  on a null object reference_x000D_
	at org schabi newpipe settings custom NotificationActionsPreference saveChanges(NotificationActionsPreference java:89)_x000D_
	at org schabi newpipe settings custom NotificationActionsPreference onDetached(NotificationActionsPreference java:60)_x000D_
	at androidx preference PreferenceGroup onDetached(PreferenceGroup java:467)_x000D_
	at androidx preference PreferenceGroup onDetached(PreferenceGroup java:467)_x000D_
	at androidx preference PreferenceFragmentCompat unbindPreferences(PreferenceFragmentCompat java:493)_x000D_
	at androidx preference PreferenceFragmentCompat onDestroyView(PreferenceFragmentCompat java:301)_x000D_
	at org schabi newpipe settings NotificationSettingsFragment onDestroyView(Unknown Source:0)_x000D_
	at androidx fragment app Fragment performDestroyView(Fragment java:2908)_x000D_
	at androidx fragment app FragmentManager destroyFragmentView(FragmentManager java:1344)_x000D_
	at androidx fragment app FragmentManager removeCancellationSignal(FragmentManager java:730)_x000D_
	at androidx fragment app FragmentManager 2 onComplete(FragmentManager java:370)_x000D_
	at androidx fragment app FragmentAnim 3 onAnimationEnd(FragmentAnim java:198)_x000D_
	at android animation Animator AnimatorListener onAnimationEnd(Animator java:554)_x000D_
	at android animation AnimatorSet endAnimation(AnimatorSet java:1301)_x000D_
	at android animation AnimatorSet doAnimationFrame(AnimatorSet java:1086)_x000D_
	at android animation AnimationHandler doAnimationFrame(AnimationHandler java:146)_x000D_
	at android animation AnimationHandler access 100(AnimationHandler java:37)_x000D_
	at android animation AnimationHandler 1 doFrame(AnimationHandler java:54)_x000D_
	at android view Choreographer CallbackRecord run(Choreographer java:965)_x000D_
	at android view Choreographer doCallbacks(Choreographer java:791)_x000D_
	at android view Choreographer doFrame(Choreographer java:722)_x000D_
	at android view Choreographer FrameDisplayEventReceiver run(Choreographer java:952)_x000D_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details _x000D_
 hr _x000D_
_x000D_
_x000D_
     Please fill this out when you do not provide a log generate by NewPipe    _x000D_
</t>
  </si>
  <si>
    <t>uscki-Wilson-Android-136</t>
  </si>
  <si>
    <t>[PULL REQUEST] Fix issue #131</t>
  </si>
  <si>
    <t xml:space="preserve"> sub This issue was originally a pull request from branch  fix smobo crash stateloss  to branch  development 
This pull request was originally created by  AJdeMooij on  Tuesday 02 October 2018 at 18:51:27  and later updated on Tuesday 02 October 2018 at 18:51:32  sub 
Ref issue  131
Fix is: Waar mogelijk  gebruik commitAllowingStateLoss in fragment transactions  In Smobo kan dit  omdat het ergste wat er gebeurt is dat de transaction niet wordt doorgevoerd als mensen heel snel smobo openen en weer sluiten en dat herhalen  which is better dan een crash 
</t>
  </si>
  <si>
    <t>uscki-Wilson-Android-50</t>
  </si>
  <si>
    <t>Smobo crasht regelmatig</t>
  </si>
  <si>
    <t xml:space="preserve"> sub This issue was originally created by  AJdeMooij on  Sunday 22 July 2018 at 11:02:46  and later updated on Monday 13 August 2018 at 19:55:09
This issue was originally assigned to  blackwolf12333  sub 
Smobo crasht bij mij best regelmatig:
private void setupMediaGrid()  
   java
    HorizontalGridView LayoutManager layoutManager   new LinearLayoutManager(context  LinearLayoutManager HORIZONTAL  false) 
    mediaGrid setLayoutManager(layoutManager) 
Nullpointer op mediaGrid in de laatste regel  Kan het zijn dat deze functie te vroeg wordt aangeroepen  waardoor shit nog niet echt werkt enzo 
</t>
  </si>
  <si>
    <t>uscki-Wilson-Android-18</t>
  </si>
  <si>
    <t>Crash bij terug gaan uit smoelenboek nadat de app uit geheugen wordt geladen</t>
  </si>
  <si>
    <t xml:space="preserve"> sub This issue was originally created by  tymees on  Thursday 16 March 2017 at 11:05:32   sub 
Als ik de app open na hem een tijdje niet te gebruiken  en er staat nog een smoelenboek profiel open  crasht de app als ik op terug druk 
Als ik zou moeten gokken zou ik zeggen dat het komt omdat back een deelnemerslijst is van een event  en die niet meer geladen is  
</t>
  </si>
  <si>
    <t>uscki-Wilson-Android-16</t>
  </si>
  <si>
    <t>Crash na inloggen met test account</t>
  </si>
  <si>
    <t xml:space="preserve"> sub This issue was originally created by  tymees on  Monday 27 February 2017 at 19:01:27   sub 
Ik wou even wat testen met Testy McTestacle  maar toen ik inlogde crashte de app  om weer op te starten met een inlog scherm 
</t>
  </si>
  <si>
    <t>deltachat-deltachat-android-1807</t>
  </si>
  <si>
    <t>Crashes on REDMI 6 and ZTE Red Magic</t>
  </si>
  <si>
    <t xml:space="preserve">From the gplay console we get crash reports with this stack trace (and some of the users left a 1 star review as a result) _x000D_
_x000D_
   _x000D_
java lang NullPointerException: _x000D_
  at org thoughtcrime securesms contacts ContactAccessor getAllSystemContactsAsString (ContactAccessor java:74)_x000D_
  at org thoughtcrime securesms ContactSelectionListFragment 3 run (ContactSelectionListFragment java:374)_x000D_
   _x000D_
_x000D_
  Screenshot from 2021 02 14 15 39 39 (https:  user images githubusercontent com 73579 107879730 ddeaa380 6eda 11eb 9529 10492d0f659d png)_x000D_
</t>
  </si>
  <si>
    <t>nextcloud-android-7983</t>
  </si>
  <si>
    <t xml:space="preserve">    Steps to reproduce_x000D_
1  Create a folder with a lot of data_x000D_
2  Remove this folder_x000D_
3  Create the same folder with another structure and a lot of data_x000D_
4  For example  pictures xy ALotOfFolders_x000D_
5  Remove xy  _x000D_
6  Create  pictures yz ALotOfFilders_x000D_
7  App crashes while loading pictures folders_x000D_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CAUSE OF ERROR             _x000D_
_x000D_
android database sqlite SQLiteReadOnlyDatabaseException: attempt to write a readonly database (code 1032)_x000D_
                                                                 _x000D_
Error Code : 1032 (SQLITE READONLY DBMOVED)_x000D_
Caused By : Database or Journal file have been removed _x000D_
	(attempt to write a readonly database (code 1032))_x000D_
                                                                 _x000D_
	at android database sqlite SQLiteConnection nativeExecuteForChangedRowCount(Native Method)_x000D_
	at android database sqlite SQLiteConnection executeForChangedRowCount(SQLiteConnection java:816)_x000D_
	at android database sqlite SQLiteSession executeForChangedRowCount(SQLiteSession java:754)_x000D_
	at android database sqlite SQLiteStatement executeUpdateDelete(SQLiteStatement java:64)_x000D_
	at android database sqlite SQLiteDatabase updateWithOnConflict(SQLiteDatabase java:1967)_x000D_
	at android database sqlite SQLiteDatabase update(SQLiteDatabase java:1913)_x000D_
	at com owncloud android providers FileContentProvider update(FileContentProvider java:645)_x000D_
	at com owncloud android providers FileContentProvider update(FileContentProvider java:629)_x000D_
	at android content ContentProvider Transport update(ContentProvider java:362)_x000D_
	at android content ContentResolver update(ContentResolver java:1413)_x000D_
	at com owncloud android datamodel FileDataStorageManager saveCapabilities(FileDataStorageManager java:1945)_x000D_
	at com owncloud android operations GetCapabilitiesOperation run(GetCapabilitiesOperation java:51)_x000D_
	at com owncloud android lib common operations RemoteOperation execute(RemoteOperation java:139)_x000D_
	at com owncloud android operations common SyncOperation execute(SyncOperation java:64)_x000D_
	at com owncloud android operations RefreshFolderOperation updateCapabilities(RefreshFolderOperation java:296)_x000D_
	at com owncloud android operations RefreshFolderOperation updateOCVersion(RefreshFolderOperation java:276)_x000D_
	at com owncloud android operations RefreshFolderOperation run(RefreshFolderOperation java:229)_x000D_
	at com owncloud android lib common operations RemoteOperation run(RemoteOperation java:360)_x000D_
	at java lang Thread run(Thread java:762)_x000D_
_x000D_
             APP INFORMATION             _x000D_
ID: com nextcloud client_x000D_
Version: 30150090_x000D_
Build flavor: gplay_x000D_
_x000D_
             DEVICE INFORMATION             _x000D_
Brand: samsung_x000D_
Device: zeroflte_x000D_
Model: SM G920F_x000D_
Id: NRD90M_x000D_
Product: zerofltexx_x000D_
_x000D_
             FIRMWARE             _x000D_
SDK: 24_x000D_
Release: 7 0_x000D_
Incremental: G920FXXS6ETI6_x000D_
_x000D_
_x000D_
</t>
  </si>
  <si>
    <t>PojavLauncherTeam-PojavLauncher-885</t>
  </si>
  <si>
    <t>[BUG] Forge crashes when loading into world</t>
  </si>
  <si>
    <t xml:space="preserve">
  Describe the bug  
Forge crashes when I load into a world 
  To Reproduce  
Steps to reproduce the behavior:
1  Start PojavLauncher
2  Launch forge 1 12 2
3  Load into a world
  Expected behavior  
I expected for the world to load like normal  except it crashed
  Platform:  
   Device Model  Huawei P30 Lite 
   CPU architecture  aarch64  
   Android Version  10 
 details   summary  b Additional context  b   summary 
 br 
 pre 
I did reinstall forge because of the same issue  still no effect 
  pre 
  details 
Log file:
https:  pastebin com DRQe1Jsa
</t>
  </si>
  <si>
    <t>PojavLauncherTeam-PojavLauncher-884</t>
  </si>
  <si>
    <t>[BUG] always crash when i installed modmenu on fabric</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</si>
  <si>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  _x000D_
A clear and concise description of what the bug is _x000D_
this is just the latestlog_x000D_
          beggining with launcher debug_x000D_
Info: LWJGL3 directory:  jsr305 jar  lwjgl glfw classes jar  lwjgl jemalloc jar  lwjgl openal jar  lwjgl opengl jar  lwjgl stb jar  lwjgl tinyfd jar  lwjgl jar  version _x000D_
Architecture: arm64 aarch64_x000D_
Info: Custom Java arguments:   Xms768m  Xmx768m _x000D_
Headless version detected  (20210206)_x000D_
          beginning of crash_x000D_
          beginning of main_x000D_
I jrelog  (24726): WARNING: linker:  data data net kdt pojavlaunch jre runtime lib aarch64 jli libjli so_x000D_
I jrelog  (24726): : unused DT entry: type 0xf arg 0x361_x000D_
I jrelog  (24726): WARNING: linker: _x000D_
I jrelog  (24726):  data data net kdt pojavlaunch jre runtime lib aarch64 jli libjli so: unsupported flags DT FLAGS 1 0x81_x000D_
I jrelog  (24726): dlopen  data user 0 net kdt pojavlaunch jre runtime lib aarch64 jli libjli so success_x000D_
I jrelog  (24726): dlopen  data user 0 net kdt pojavlaunch jre runtime lib aarch64 server libjvm so success_x000D_
I jrelog  (24726): WARNING: linker: _x000D_
I jrelog  (24726):  data data net kdt pojavlaunch jre runtime lib aarch64 libverify so: unused DT entry: type 0xf arg 0x450_x000D_
I jrelog  (24726): WARNING: linker:  data data net kdt pojavlaunch jre runtime lib aarch64 libverify so: unsupported flags DT FLAGS 1 _x000D_
I jrelog  (24726): 0x81_x000D_
I jrelog  (24726): dlopen  data user 0 net kdt pojavlaunch jre runtime lib aarch64 libverify so success_x000D_
I jrelog  (24726): WARNING: linker:  data data net kdt pojavlaunch jre runtime lib aarch64 libjava so_x000D_
I jrelog  (24726): : unused DT entry: type 0xf arg 0x33c0_x000D_
I jrelog  (24726): WARNING: linker:  data data net kdt pojavlaunch jre runtime lib aarch64 libjava so: unsupported flags DT FLAGS 1 _x000D_
I jrelog  (24726): 0x81_x000D_
I jrelog  (24726): dlopen  data user 0 net kdt pojavlaunch jre runtime lib aarch64 libjava so success_x000D_
I jrelog  (24726): WARNING: linker:  data data net kdt pojavlaunch jre runtime lib aarch64 libnet so: unused DT entry: type _x000D_
I jrelog  (24726): 0xf arg 0x13b8_x000D_
I jrelog  (24726): WARNING: linker: _x000D_
I jrelog  (24726):  data data net kdt pojavlaunch jre runtime lib aarch64 libnet so: unsupported flags DT FLAGS 1 0x81_x000D_
I jrelog  (24726): _x000D_
I jrelog  (24726): dlopen  data user 0 net kdt pojavlaunch jre runtime lib aarch64 libnet so success_x000D_
I jrelog  (24726): WARNING: linker:  data data net kdt pojavlaunch jre runtime lib aarch64 libnio so_x000D_
I jrelog  (24726): : unused DT entry: type 0xf arg 0x2196_x000D_
I jrelog  (24726): WARNING: linker:  data data net kdt pojavlaunch jre runtime lib aarch64 libnio so: unsupported flags DT FLAGS 1 _x000D_
I jrelog  (24726): 0x81_x000D_
I jrelog  (24726): dlopen  data user 0 net kdt pojavlaunch jre runtime lib aarch64 libnio so success_x000D_
I jrelog  (24726): WARNING: linker: _x000D_
I jrelog  (24726):  data data net kdt pojavlaunch jre runtime lib aarch64 libawt so: unused DT entry: type 0xf arg 0x6a46_x000D_
I jrelog  (24726): WARNING: linker:  data data net kdt pojavlaunch jre runtime lib aarch64 libawt so: unsupported flags DT FLAGS 1 _x000D_
I jrelog  (24726): 0x81_x000D_
I jrelog  (24726): dlopen  data user 0 net kdt pojavlaunch jre runtime lib aarch64 libawt so success_x000D_
I jrelog  (24726): WARNING: linker:  data data net kdt pojavlaunch jre runtime lib aarch64 libawt headless so_x000D_
I jrelog  (24726): : unused DT entry: type 0xf arg 0x4d9_x000D_
I jrelog  (24726): WARNING: linker:  data data net kdt pojavlaunch jre runtime lib aarch64 libawt headless so: unsupported flags DT FLAGS 1 _x000D_
I jrelog  (24726): 0x81_x000D_
I jrelog  (24726): dlopen  data user 0 net kdt pojavlaunch jre runtime lib aarch64 libawt headless so success_x000D_
I jrelog  (24726): dlopen  data user 0 net kdt pojavlaunch jre runtime lib aarch64 libfreetype so success_x000D_
I jrelog  (24726): WARNING: linker: _x000D_
I jrelog  (24726):  data data net kdt pojavlaunch jre runtime lib aarch64 libfontmanager so: unused DT entry: type _x000D_
I jrelog  (24726): 0xf arg 0xda0_x000D_
I jrelog  (24726): WARNING: linker:  data data net kdt pojavlaunch jre runtime lib aarch64 libfontmanager so: unsupported flags DT FLAGS 1 _x000D_
I jrelog  (24726): 0x81_x000D_
I jrelog  (24726): dlopen  data user 0 net kdt pojavlaunch jre runtime lib aarch64 libfontmanager so success_x000D_
I jrelog  (24726): WARNING: linker: _x000D_
I jrelog  (24726):  data data net kdt pojavlaunch jre runtime lib aarch64 libhprof so: unused DT entry: type 0xf arg 0x1d2_x000D_
I jrelog  (24726): WARNING: linker:  data data net kdt pojavlaunch jre runtime lib aarch64 libhprof so: unsupported flags DT FLAGS 1 _x000D_
I jrelog  (24726): 0x81_x000D_
I jrelog  (24726): dlopen  data user 0 net kdt pojavlaunch jre runtime lib aarch64 libhprof so success_x000D_
I jrelog  (24726): dlopen  data user 0 net kdt pojavlaunch jre runtime lib aarch64 libfontmanager so success_x000D_
I jrelog  (24726): WARNING: linker:  data data net kdt pojavlaunch jre runtime lib aarch64 libj2pcsc so: unused DT entry: type _x000D_
I jrelog  (24726): 0xf arg 0x2e6_x000D_
I jrelog  (24726): WARNING: linker:  data data net kdt pojavlaunch jre runtime lib aarch64 libj2pcsc so: unsupported flags DT FLAGS 1 _x000D_
I jrelog  (24726): 0x81_x000D_
I jrelog  (24726): dlopen  data user 0 net kdt pojavlaunch jre runtime lib aarch64 libj2pcsc so success_x000D_
I jrelog  (24726): WARNING: linker:  data data net kdt pojavlaunch jre runtime lib aarch64 libdt socket so_x000D_
I jrelog  (24726): : unused DT entry: type 0xf arg 0x1c1_x000D_
I jrelog  (24726): _x000D_
I jrelog  (24726): WARNING: linker:  data data net kdt pojavlaunch jre runtime lib aarch64 libdt socket so: unsupported flags DT FLAGS 1 _x000D_
I jrelog  (24726): 0x81_x000D_
I jrelog  (24726): dlopen  data user 0 net kdt pojavlaunch jre runtime lib aarch64 libdt socket so success_x000D_
I jrelog  (24726): WARNING: linker:  data data net kdt pojavlaunch jre runtime lib aarch64 liblcms so_x000D_
I jrelog  (24726): : unused DT entry: type 0xf arg 0x3f1_x000D_
I jrelog  (24726): WARNING: linker:  data data net kdt pojavlaunch jre runtime lib aarch64 liblcms so_x000D_
I jrelog  (24726): : unsupported flags DT FLAGS 1 0x81_x000D_
I jrelog  (24726): dlopen  data user 0 net kdt pojavlaunch jre runtime lib aarch64 liblcms so success_x000D_
I jrelog  (24726): dlopen  data user 0 net kdt pojavlaunch jre runtime lib aarch64 libverify so success_x000D_
I jrelog  (24726): WARNING: linker:  data data net kdt pojavlaunch jre runtime lib aarch64 libmanagement so: unused DT entry: type 0xf arg 0x16fe_x000D_
I jrelog  (24726): WARNING: linker:  data data net kdt pojavlaunch jre runtime lib aarch64 libmanagement so: unsupported flags DT FLAGS 1 0x81_x000D_
I jrelog  (24726): dlopen  data user 0 net kdt pojavlaunch jre runtime lib aarch64 libmanagement so success_x000D_
I jrelog  (24726): WARNING: linker:  data data net kdt pojavlaunch jre runtime lib aarch64 libjpeg so_x000D_
I jrelog  (24726): : unused DT entry: type 0xf arg 0x5e6_x000D_
I jrelog  (24726): WARNING: linker:  data data net kdt pojavlaunch jre runtime lib aarch64 libjpeg so: unsupported flags DT FLAGS 1 _x000D_
I jrelog  (24726): 0x81_x000D_
I jrelog  (24726): dlopen  data user 0 net kdt pojavlaunch jre runtime lib aarch64 libjpeg so success_x000D_
I jrelog  (24726): WARNING: linker:  data data net kdt pojavlaunch jre runtime lib aarch64 libmlib image so: unused DT entry: type _x000D_
I jrelog  (24726): 0xf arg 0x158_x000D_
I jrelog  (24726): WARNING: linker:  data data net kdt pojavlaunch jre runtime lib aarch64 libmlib image so: unsupported flags DT FLAGS 1 _x000D_
I jrelog  (24726): 0x81_x000D_
I jrelog  (24726): dlopen  data user 0 net kdt pojavlaunch jre runtime lib aarch64 libmlib image so success_x000D_
I jrelog  (24726): dlopen  data user 0 net kdt pojavlaunch jre runtime lib aarch64 libjsig so success_x000D_
I jrelog  (24726): WARNING: linker:  data data net kdt pojavlaunch jre runtime lib aarch64 libjsdt so: unused DT entry: type _x000D_
I jrelog  (24726): 0xf arg 0x139_x000D_
I jrelog  (24726): WARNING: linker:  data data net kdt pojavlaunch jre runtime lib aarch64 libjsdt so: unsupported flags DT FLAGS 1 _x000D_
I jrelog  (24726): 0x81_x000D_
I jrelog  (24726): dlopen  data user 0 net kdt pojavlaunch jre runtime lib aarch64 libjsdt so success_x000D_
I jrelog  (24726): dlopen  data user 0 net kdt pojavlaunch jre runtime lib aarch64 libawt headless so success_x000D_
I jrelog  (24726): WARNING: linker:  data data net kdt pojavlaunch jre runtime lib aarch64 libj2pkcs11 so: unused DT entry: type _x000D_
I jrelog  (24726): 0xf arg 0xf13_x000D_
I jrelog  (24726): WARNING: linker:  data data net kdt pojavlaunch jre runtime lib aarch64 libj2pkcs11 so: unsupported flags DT FLAGS 1 _x000D_
I jrelog  (24726): 0x81_x000D_
I jrelog  (24726): dlopen  data user 0 net kdt pojavlaunch jre runtime lib aarch64 libj2pkcs11 so success_x000D_
I jrelog  (24726): dlopen  data user 0 net kdt pojavlaunch jre runtime lib aarch64 libnet so success_x000D_
I jrelog  (24726): dlopen  data user 0 net kdt pojavlaunch jre runtime lib aarch64 libjava so success_x000D_
I jrelog  (24726): WARNING: linker:  data data net kdt pojavlaunch jre runtime lib aarch64 libjsound so: unused DT entry: type _x000D_
I jrelog  (24726): 0xf arg 0x119_x000D_
I jrelog  (24726): WARNING: linker:  data data net kdt pojavlaunch jre runtime lib aarch64 libjsound so: unsupported flags DT FLAGS 1 _x000D_
I jrelog  (24726): 0x81_x000D_
I jrelog  (24726): dlopen  data user 0 net kdt pojavlaunch jre runtime lib aarch64 libjsound so success_x000D_
I jrelog  (24726): dlopen  data user 0 net kdt pojavlaunch jre runtime lib aarch64 libsunec so success_x000D_
I jrelog  (24726): dlopen  data user 0 net kdt pojavlaunch jre runtime lib aarch64 libawt so success_x000D_
I jrelog  (24726): WARNING: linker:  data data net kdt pojavlaunch jre runtime lib aarch64 libj2gss so: unused DT entry: type 0xf arg 0x6c1_x000D_
I jrelog  (24726): WARNING: linker:  data data net kdt pojavlaunch jre runtime lib aarch64 libj2gss so: unsupported flags DT FLAGS 1 0x81_x000D_
I jrelog  (24726): dlopen  data user 0 net kdt pojavlaunch jre runtime lib aarch64 libj2gss so success_x000D_
I jrelog  (24726): WARNING: linker:  data data net kdt pojavlaunch jre runtime lib aarch64 libunpack so_x000D_
I jrelog  (24726): : unused DT entry: type 0xf arg 0x364_x000D_
I jrelog  (24726): WARNING: linker:  data data net kdt pojavlaunch jre runtime lib aarch64 libunpack so: unsupported flags DT FLAGS 1 _x000D_
I jrelog  (24726): 0x81_x000D_
I jrelog  (24726): dlopen  data user 0 net kdt pojavlaunch jre runtime lib aarch64 libunpack so success_x000D_
I jrelog  (24726): dlopen  data user 0 net kdt pojavlaunch jre runtime lib aarch64 libfreetype so success_x000D_
I jrelog  (24726): dlopen  data user 0 net kdt pojavlaunch jre runtime lib aarch64 libnpt so failed: dlopen failed: library  libtinyiconv so  not found_x000D_
I jrelog  (24726): WARNING: linker:  data data net kdt pojavlaunch jre runtime lib aarch64 libjava crw demo so_x000D_
I jrelog  (24726): : unused DT entry: type 0xf arg 0xe6_x000D_
I jrelog  (24726): WARNING: linker:  data data net kdt pojavlaunch jre runtime lib aarch64 libjava crw demo so: unsupported flags DT FLAGS 1 _x000D_
I jrelog  (24726): 0x81_x000D_
I jrelog  (24726): dlopen  data user 0 net kdt pojavlaunch jre runtime lib aarch64 libjava crw demo so success_x000D_
I jrelog  (24726): dlopen  data user 0 net kdt pojavlaunch jre runtime lib aarch64 libnio so success_x000D_
I jrelog  (24726): dlopen  data user 0 net kdt pojavlaunch jre runtime lib aarch64 libawt xawt so success_x000D_
I jrelog  (24726): WARNING: linker:  data data net kdt pojavlaunch jre runtime lib aarch64 libtinyiconv so: unused DT entry: type _x000D_
I jrelog  (24726): 0xf arg 0x23a_x000D_
I jrelog  (24726): WARNING: linker:  data data net kdt pojavlaunch jre runtime lib aarch64 libtinyiconv so: unsupported flags DT FLAGS 1 _x000D_
I jrelog  (24726): 0x81_x000D_
I jrelog  (24726): dlopen  data user 0 net kdt pojavlaunch jre runtime lib aarch64 libtinyiconv so success_x000D_
I jrelog  (24726): WARNING: linker:  data data net kdt pojavlaunch jre runtime lib aarch64 libzip so_x000D_
I jrelog  (24726): : unused DT entry: type 0xf arg 0x8ff_x000D_
I jrelog  (24726): WARNING: linker:  data data net kdt pojavlaunch jre runtime lib aarch64 libzip so: unsupported flags DT FLAGS 1 _x000D_
I jrelog  (24726): 0x81_x000D_
I jrelog  (24726): dlopen  data user 0 net kdt pojavlaunch jre runtime lib aarch64 libzip so success_x000D_
I jrelog  (24726): WARNING: linker:  data data net kdt pojavlaunch jre runtime lib aarch64 libjawt so: unused DT entry: type _x000D_
I jrelog  (24726): 0xf arg 0x77_x000D_
I jrelog  (24726): WARNING: linker:  data data net kdt pojavlaunch jre runtime lib aarch64 libjawt so: unsupported flags DT FLAGS 1 _x000D_
I jrelog  (24726): 0x81_x000D_
I jrelog  (24726): dlopen  data user 0 net kdt pojavlaunch jre runtime lib aarch64 libjawt so success_x000D_
I jrelog  (24726): WARNING: linker:  data data net kdt pojavlaunch jre runtime lib aarch64 libjaas unix so: unused DT entry: type _x000D_
I jrelog  (24726): 0xf arg 0x103_x000D_
I jrelog  (24726): WARNING: linker:  data data net kdt pojavlaunch jre runtime lib aarch64 libjaas unix so: unsupported flags DT FLAGS 1 _x000D_
I jrelog  (24726): 0x81_x000D_
I jrelog  (24726): dlopen  data user 0 net kdt pojavlaunch jre runtime lib aarch64 libjaas unix so success_x000D_
I jrelog  (24726): WARNING: linker:  data data net kdt pojavlaunch jre runtime lib aarch64 libsctp so: unused DT entry: type _x000D_
I jrelog  (24726): 0xf arg 0x6af_x000D_
I jrelog  (24726): WARNING: linker:  data data net kdt pojavlaunch jre runtime lib aarch64 libsctp so: unsupported flags DT FLAGS 1 _x000D_
I jrelog  (24726): 0x81_x000D_
I jrelog  (24726): dlopen  data user 0 net kdt pojavlaunch jre runtime lib aarch64 libsctp so success_x000D_
I jrelog  (24726): dlopen  data user 0 net kdt pojavlaunch jre runtime lib aarch64 server libjvm so success_x000D_
I jrelog  (24726): dlopen  data user 0 net kdt pojavlaunch jre runtime lib aarch64 jli libjli so success_x000D_
I jrelog  (24726): WARNING: linker:  data data net kdt pojavlaunch jre runtime lib aarch64 libjdwp so_x000D_
I jrelog  (24726): : unused DT entry: type 0xf arg 0x1c7_x000D_
I jrelog  (24726): WARNING: linker:  data data net kdt pojavlaunch jre runtime lib aarch64 libjdwp so: unsupported flags DT FLAGS 1 _x000D_
I jrelog  (24726): 0x81_x000D_
I jrelog  (24726): dlopen  data user 0 net kdt pojavlaunch jre runtime lib aarch64 libjdwp so success_x000D_
I jrelog  (24726): WARNING: linker:  data data net kdt pojavlaunch jre runtime lib aarch64 libinstrument so_x000D_
I jrelog  (24726): : unused DT entry: type 0xf arg 0x3ed_x000D_
I jrelog  (24726): _x000D_
I jrelog  (24726): WARNING: linker:  data data net kdt pojavlaunch jre runtime lib aarch64 libinstrument so: unsupported flags DT FLAGS 1 _x000D_
I jrelog  (24726): 0x81_x000D_
I jrelog  (24726): dlopen  data user 0 net kdt pojavlaunch jre runtime lib aarch64 libinstrument so success_x000D_
I jrelog  (24726): dlopen  data app net kdt pojavlaunch 2 lib arm64 libopenal so success_x000D_
I jrelog  (24726): dlopen  data app net kdt pojavlaunch 2 lib arm64 libgl04es so success_x000D_
I jrelog  (24726): Done processing args_x000D_
I jrelog  (24726): Found JLI lib_x000D_
I jrelog  (24726): Calling JLI Launch_x000D_
I jrelog  (24726): OpenJDK 64 Bit Server VM warning: _x000D_
I jrelog  (24726): No monotonic clock was available   timed services may be adversely affected if the time of day clock changes_x000D_
I jrelog  (24726): _x000D_
I jrelog  (24726):  11:16:00   main INFO : Loading for game Minecraft 1 16 5_x000D_
I jrelog  (24726):  11:16:03   main INFO :  FabricLoader  Loading 59 mods: fabric renderer api v1 0 4 1 ca58154a7d  fabric keybindings v0 0 2 1 ca58154a7d  fabricloader 0 11 1  fabric structure api v1 1 1 4 ca58154a7d  org aperlambda lambdajcommon 1 8 1  fabric containers v0 0 1 10 ca58154a7d  lithium 0 6 1  fabric dimensions v1 2 0 2 ca58154a7d  fabric object builder api v1 1 9 3 ca58154a7d  java 8  fabric game rule api v1 1 0 6 ca58154a7d  fabric api base 0 2 0 daa38b3d7d  fabric rendering data attachment v1 0 1 5 ca58154a_x000D_
I jrelog  (24726): 7d  lambdynlights 1 3 4 1 16  fabric textures v0 1 0 6 ca58154a7d  fabric rendering fluids v1 0 1 13 ca58154a7d  open2lan 0 0 3  modid 1 0 7 2  fabric blockrenderlayer v1 1 1 5 ca58154a7d  fabric lifecycle events v1 1 2 1 ca58154a7d  sodium 0 1 0  fabric renderer registries v1 2 2 1 ca58154a7d  fabric loot tables v1 1 0 2 ca58154a7d  fabric 0 30 0 1 16  netherite plus beta 1 9 1  fabric particles v1 0 2 4 ca58154a7d  fabric networking v0 0 3 2 ca58154a7d  fabric networking blockentity v0 0 2 8 ca58154a7d  _x000D_
I jrelog  (24726): minecraft 1 16 5  fabric screen handler api v1 1 1 1 ca58154a7d  modmenu 1 16 3  fabric command api v1 1 0 10 ca58154a7d  phosphor 0 7 0 build 10  fabric screen api v1 1 0 0 c045166c7d  fabric tool attribute api v1 1 2 6 ca58154a7d  fabric renderer indigo 0 4 4 ca58154a7d  fabric events interaction v0 0 4 2 ca58154a7d  fabric crash report info v1 0 1 3 ca58154a7d  fabric item api v1 1 2 1 ca58154a7d  fabric entity events v1 1 0 3 ca58154a7d  fabric rendering v0 1 1 2 ca58154a7d  fabric key binding api v1 1_x000D_
I jrelog  (24726):  0 2 ca58154a7d  fabric rendering v1 1 5 1 ca58154a7d  spruceui 2 0 4 1 16  baritone 1 6 3  fabric resource loader v0 0 4 2 ca58154a7d  fabric content registries v0 0 2 1 ca58154a7d  fabric tag extensions v0 1 1 1 ca58154a7d  fabric biome api v1 3 1 1 ca58154a7d  advanced runtime resource pack 0 2 6  fabric commands v0 0 2 2 ca58154a7d  fabric registry sync v0 0 7 4 ca58154a7d  fabric mining levels v0 0 1 3 ca58154a7d  fabric networking api v1 1 0 1 ca58154a7d  fabric events lifecycle v0 0 2 1 ca58154a7d  _x000D_
I jrelog  (24726): wurst v7 11 MC1 16 5  fabric item groups v0 0 2 3 ca58154a7d  fabric models v0 0 2 1 ca58154a7d  fabric object builders v0 0 7 2 ca58154a7d_x000D_
I jrelog  (24726):  11:16:03   main WARN : Mod  modid  (1 0 7 2) uses more dot separated version components than SemVer allows  support for this is currently not guaranteed _x000D_
I jrelog  (24726):  11:16:03   main WARN : Mod  netherite plus  (beta 1 9 1) does not respect SemVer   comparison support is limited _x000D_
I jrelog  (24726):  11:16:03   main WARN : Mod  wurst  (v7 11 MC1 16 5) does not respect SemVer   comparison support is limited _x000D_
I jrelog  (24726):  11:16:03   main INFO : SpongePowered MIXIN Subsystem Version 0 8 2 Source file: storage emulated 0 games PojavLauncher  minecraft libraries net fabricmc sponge mixin 0 8 2 build 24 sponge mixin 0 8 2 build 24 jar Service Knot Fabric Env CLIENT_x000D_
I jrelog  (24726):  11:16:05   main INFO : Loaded configuration file for Sodium (38 options available  0 user overrides)_x000D_
I jrelog  (24726):  11:16:05   main INFO : Sodium has been successfully discovered and initialized    your game is now faster _x000D_
I jrelog  (24726):  11:16:05   main INFO : Loaded configuration file for Lithium: 66 options available  0 override(s) found_x000D_
I jrelog  (24726):  11:16:07   main WARN :  Mixin target net minecraft class 3898 class 3208 is public in fabric networking api v1 mixins json:accessor EntityTrackerAccessor and should be specified in value_x000D_
I jrelog  (24726): Feb 14  2021 11:16:09 AM net devtech arrp ARRP onPreLaunch_x000D_
I jrelog  (24726): SEVERE: I used the json to destroy the json_x000D_
I jrelog  (24726):  11:16:39   main INFO : Environment: authHost  https:  authserver mojang com   accountsHost  https:  api mojang com   sessionHost  https:  sessionserver mojang com   servicesHost  https:  api minecraftservices com   name  PROD _x000D_
I jrelog  (24726):  11:16:40   main ERROR : Failed to verify authentication_x000D_
I jrelog  (24726): com mojang authlib exceptions AuthenticationUnavailableException: Cannot contact authentication server_x000D_
I jrelog  (24726): 	at com mojang authlib yggdrasil YggdrasilAuthenticationService makeRequest(YggdrasilAuthenticationService java:125)   authlib 2 1 28 jar:  _x000D_
I jrelog  (24726): 	at com mojang authlib yggdrasil YggdrasilSocialInteractionsService checkPrivileges(YggdrasilSocialInteractionsService java:94)   authlib 2 1 28 jar:  _x000D_
I jrelog  (24726): 	at com mojang authlib yggdrasil YggdrasilSocialInteractio_x000D_
I jrelog  (24726): nsService  init (YggdrasilSocialInteractionsService java:40)   authlib 2 1 28 jar:  _x000D_
I jrelog  (24726): 	at com mojang authlib yggdrasil YggdrasilAuthenticationService createSocialInteractionsService(YggdrasilAuthenticationService java:152)   authlib 2 1 28 jar:  _x000D_
I jrelog  (24726): 	at net minecraft class 310 method 31382(class 310 java:625)  intermediary fabric loader 0 11 1 1 16 5 jar:  _x000D_
I jrelog  (24726): 	at net minecraft class 310  init (class 310 java:409)  intermediary fabric loader 0 11 1 1 16 5 jar:  _x000D_
I jrelog  (24726): 	at net minecraft client main Main main(Main java:1_x000D_
I jrelog  (24726): 77)  intermediary fabric loader 0 11 1 1 16 5 jar:  _x000D_
I jrelog  (24726): 	at sun reflect NativeMethodAccessorImpl invoke0(Native Method)    :1 8 0 internal _x000D_
I jrelog  (24726): 	at sun reflect NativeMethodAccessorImpl invoke(NativeMethodAccessorImpl java:62)    :1 8 0 internal _x000D_
I jrelog  (24726): 	at sun reflect DelegatingMethodAccessorImpl invoke(DelegatingMethodAccessorImpl java:43)    :1 8 0 internal _x000D_
I jrelog  (24726): 	at java lang reflect Method invoke(Method java:498)    :1 8 0 internal _x000D_
I jrelog  (24726): 	at net fabricmc loader game MinecraftGameProvider launch(MinecraftGameProvider java:226)_x000D_
I jrelog  (24726):   fabric loader 0 11 1 jar:  _x000D_
I jrelog  (24726): 	at net fabricmc loader launch knot Knot init(Knot java:139)  fabric loader 0 11 1 jar:  _x000D_
I jrelog  (24726): 	at net fabricmc loader launch knot KnotClient main(KnotClient java:27)  fabric loader 0 11 1 jar:  _x000D_
I jrelog  (24726): Caused by: java net UnknownHostException: api minecraftservices com_x000D_
I jrelog  (24726): 	at java net AbstractPlainSocketImpl connect(AbstractPlainSocketImpl java:184)    :1 8 0 internal _x000D_
I jrelog  (24726): 	at java net SocksSocketImpl connect(SocksSocketImpl java:392)    :1 8 0 internal _x000D_
I jrelog  (24726): 	at java net Socket connect(Socket java:_x000D_
I jrelog  (24726): 607)    :1 8 0 internal _x000D_
I jrelog  (24726): 	at sun security ssl SSLSocketImpl connect(SSLSocketImpl java:284)    :1 8 0 internal _x000D_
I jrelog  (24726): 	at sun net NetworkClient doConnect(NetworkClient java:175)    :1 8 0 internal _x000D_
I jrelog  (24726): 	at sun net www http HttpClient openServer(HttpClient java:463)    :1 8 0 internal _x000D_
I jrelog  (24726): 	at sun net www http HttpClient openServer(HttpClient java:558)    :1 8 0 internal _x000D_
I jrelog  (24726): 	at sun net www protocol https HttpsClient  init (HttpsClient java:264)    :1 8 0 internal _x000D_
I jrelog  (24726): 	at sun net www protocol https HttpsClient New(HttpsClient _x000D_
I jrelog  (24726): java:367)    :1 8 0 internal _x000D_
I jrelog  (24726): 	at sun net www protocol https AbstractDelegateHttpsURLConnection getNewHttpClient(AbstractDelegateHttpsURLConnection java:191)    :1 8 0 internal _x000D_
I jrelog  (24726): 	at sun net www protocol http HttpURLConnection plainConnect0(HttpURLConnection java:1205)    :1 8 0 internal _x000D_
I jrelog  (24726): 	at sun net www protocol http HttpURLConnection plainConnect(HttpURLConnection java:1056)    :1 8 0 internal _x000D_
I jrelog  (24726): 	at sun net www protocol https AbstractDelegateHttpsURLConnection connect(AbstractDelegateHttpsURLConnection jav_x000D_
I jrelog  (24726): a:177)    :1 8 0 internal _x000D_
I jrelog  (24726): 	at sun net www protocol http HttpURLConnection getInputStream0(HttpURLConnection java:1570)    :1 8 0 internal _x000D_
I jrelog  (24726): 	at sun net www protocol http HttpURLConnection getInputStream(HttpURLConnection java:1498)    :1 8 0 internal _x000D_
I jrelog  (24726): 	at sun net www protocol https HttpsURLConnectionImpl getInputStream(HttpsURLConnectionImpl java:268)    :1 8 0 internal _x000D_
I jrelog  (24726): 	at com mojang authlib HttpAuthenticationService performGetRequest(HttpAuthenticationService java:140)   authlib 2 1 28 jar:  _x000D_
I jrelog  (24726): 	at com mo_x000D_
I jrelog  (24726): jang authlib yggdrasil YggdrasilAuthenticationService makeRequest(YggdrasilAuthenticationService java:104)   authlib 2 1 28 jar:  _x000D_
I jrelog  (24726): 	    13 more_x000D_
I jrelog  (24726):  11:16:40   main INFO : Setting user: Imade_x000D_
I jrelog  (24726):  11:16:41   main INFO :  Open To Lan  Initializing_x000D_
I jrelog  (24726):  11:16:41   main INFO :  STDOUT : XEnchant by MajickTek has been initialized _x000D_
I jrelog  (24726):  11:16:42   main INFO :  STDOUT : Starting Wurst Client   _x000D_
I jrelog  (24726):  11:16:46   main INFO :  STDERR :  LWJGL  Failed to load a library  Possible solutions:_x000D_
I jrelog  (24726): 	a) Add the directory that contains the shared library to  Djava library path or  Dorg lwjgl librarypath _x000D_
I jrelog  (24726): 	b) Add the JAR that contains the shared library to the classpath _x000D_
I jrelog  (24726):  11:16:46   main INFO :  STDERR :  LWJGL  Enable debug mode with  Dorg lwjgl util Debug true for better diagnostics _x000D_
I jrelog  (24726):  11:16:46   main INFO :  STDERR :  LWJGL  Enable the SharedLibraryLoader debug mode with  Dorg lwjgl util DebugLoader true for better diagnostics _x000D_
I jrelog  (24726): Feb 14  2021 11:16:47 AM net wurstclient analytics dmurph JGoogleAnalyticsTracker dispatchRequest_x000D_
I jrelog  (24726): SEVERE: Error making tracking request_x000D_
I jrelog  (24726): java net UnknownHostException: www google analytics com_x000D_
I jrelog  (24726): 	at java net AbstractPlainSocketImpl connect(AbstractPlainSocketImpl java:184)_x000D_
I jrelog  (24726): 	at java net SocksSocketImpl connect(SocksSocketImpl java:392)_x000D_
I jrelog  (24726): 	at java net Socket connect(Socket java:607)_x000D_
I jrelog  (24726): 	at java net Socket connect(Socket java:556)_x000D_
I jrelog  (24726): 	at sun net NetworkClient doConnect(NetworkClient java:180)_x000D_
I jrelog  (24726): 	at sun net www http HttpCl_x000D_
I jrelog  (24726): ient openServer(HttpClient java:463)_x000D_
I jrelog  (24726): 	at sun net www http HttpClient openServer(HttpClient java:558)_x000D_
I jrelog  (24726): 	at sun net www http HttpClient  init (HttpClient java:242)_x000D_
I jrelog  (24726): 	at sun net www http HttpClient New(HttpClient java:339)_x000D_
I jrelog  (24726): 	at sun net www http HttpClient New(HttpClient java:357)_x000D_
I jrelog  (24726): 	at sun net www protocol http HttpURLConnection getNewHttpClient(HttpURLConnection java:1226)_x000D_
I jrelog  (24726): 	at sun net www protocol http HttpURLConnection plainConnect0(HttpURLConnection java:1205)_x000D_
I jrelog  (24726): 	at sun net www protocol http HttpURLConnection pla_x000D_
I jrelog  (24726): inConnect(HttpURLConnection java:1056)_x000D_
I jrelog  (24726): 	at sun net www protocol http HttpURLConnection connect(HttpURLConnection java:990)_x000D_
I jrelog  (24726): 	at net wurstclient analytics dmurph JGoogleAnalyticsTracker dispatchRequest(JGoogleAnalyticsTracker java:541)_x000D_
I jrelog  (24726): 	at net wurstclient analytics dmurph JGoogleAnalyticsTracker access 100(JGoogleAnalyticsTracker java:82)_x000D_
I jrelog  (24726): 	at net wurstclient analytics dmurph JGoogleAnalyticsTracker 2 run(JGoogleAnalyticsTracker java:608)_x000D_
I jrelog  (24726):  11:16:48   main INFO :  LambDynLights  Initializing LambDynamicLights   _x000D_
I jrelog  (24726):  11:16:48   main INFO :  LambDynLights  Configuration loaded _x000D_
I jrelog  (24726):  11:16:52   main INFO :  Indigo  Different rendering plugin detected  not applying Indigo _x000D_
I jrelog  (24726):      Minecraft Crash Report     _x000D_
I jrelog  (24726):    You should try our sister game  Minceraft _x000D_
I jrelog  (24726): _x000D_
I jrelog  (24726): Time: 21 02 14 11:16_x000D_
I jrelog  (24726): Description: Initializing game_x000D_
I jrelog  (24726): _x000D_
I jrelog  (24726): java lang RuntimeException: Could not execute entrypoint stage  client  due to errors  provided by  modmenu  _x000D_
I jrelog  (24726): 	at net fabricmc loader entrypoint minecraft hooks EntrypointUtils invoke0(EntrypointUtils java:53)_x000D_
I jrelog  (24726): 	at net fabricmc loader entrypoint minecraft hooks EntrypointUtils invoke(EntrypointUtils java:36)_x000D_
I jrelog  (24726): 	at net fabricmc loader entrypoint minecraft hooks EntrypointClient s_x000D_
I jrelog  (24726): tart(EntrypointClient java:33)_x000D_
I jrelog  (24726): 	at net minecraft class 310  init (class 310 java:437)_x000D_
I jrelog  (24726): 	at net minecraft client main Main main(Main java:177)_x000D_
I jrelog  (24726): 	at sun reflect NativeMethodAccessorImpl invoke0(Native Method)_x000D_
I jrelog  (24726): 	at sun reflect NativeMethodAccessorImpl invoke(NativeMethodAccessorImpl java:62)_x000D_
I jrelog  (24726): 	at sun reflect DelegatingMethodAccessorImpl invoke(DelegatingMethodAccessorImpl java:43)_x000D_
I jrelog  (24726): 	at java lang reflect Method invoke(Method java:498)_x000D_
I jrelog  (24726): 	at net fabricmc loader game MinecraftGameProvider launch(MinecraftGameProvider j_x000D_
I jrelog  (24726): ava:226)_x000D_
I jrelog  (24726): 	at net fabricmc loader launch knot Knot init(Knot java:139)_x000D_
I jrelog  (24726): 	at net fabricmc loader launch knot KnotClient main(KnotClient java:27)_x000D_
I jrelog  (24726): Caused by: java lang NoClassDefFoundError: me shedaniel clothconfig2 api AbstractConfigListEntry_x000D_
I jrelog  (24726): 	at java lang Class forName0(Native Method)_x000D_
I jrelog  (24726): 	at java lang Class forName(Class java:348)_x000D_
I jrelog  (24726): 	at net fabricmc loader util DefaultLanguageAdapter create(DefaultLanguageAdapter java:45)_x000D_
I jrelog  (24726): 	at net fabricmc loader EntrypointStorage NewEntry create(EntrypointStorage java:112)_x000D_
I jrelog  (24726): 	at net_x000D_
I jrelog  (24726):  fabricmc loader EntrypointStorage NewEntry getOrCreate(EntrypointStorage java:99)_x000D_
I jrelog  (24726): 	at net fabricmc loader EntrypointStorage lambda getEntrypointContainers 1(EntrypointStorage java:184)_x000D_
I jrelog  (24726): 	at net fabricmc loader entrypoint EntrypointContainerImpl getEntrypoint(EntrypointContainerImpl java:37)_x000D_
I jrelog  (24726): 	at com terraformersmc modmenu ModMenu lambda onInitializeClient 2(ModMenu java:51)_x000D_
I jrelog  (24726): 	at java util ArrayList forEach(ArrayList java:1259)_x000D_
I jrelog  (24726): 	at com terraformersmc modmenu ModMenu onInitializeClient(ModMenu java:50)_x000D_
I jrelog  (24726): 	at net_x000D_
I jrelog  (24726):  fabricmc loader entrypoint minecraft hooks EntrypointUtils invoke0(EntrypointUtils java:50)_x000D_
I jrelog  (24726): 	    11 more_x000D_
I jrelog  (24726): Caused by: java lang ClassNotFoundException: me shedaniel clothconfig2 api AbstractConfigListEntry_x000D_
I jrelog  (24726): 	at java net URLClassLoader findClass(URLClassLoader java:382)_x000D_
I jrelog  (24726): 	at java lang ClassLoader loadClass(ClassLoader java:418)_x000D_
I jrelog  (24726): 	at sun misc Launcher AppClassLoader loadClass(Launcher java:352)_x000D_
I jrelog  (24726): 	at java lang ClassLoader loadClass(ClassLoader java:351)_x000D_
I jrelog  (24726): 	at net fabricmc loader launch knot KnotClassLoader loadClass_x000D_
I jrelog  (24726): (KnotClassLoader java:168)_x000D_
I jrelog  (24726): 	at java lang ClassLoader loadClass(ClassLoader java:351)_x000D_
I jrelog  (24726): 	    22 more_x000D_
I jrelog  (24726): _x000D_
I jrelog  (24726): _x000D_
I jrelog  (24726): A detailed walkthrough of the error  its code path and all known details is as follows:_x000D_
I jrelog  (24726):                                                                                        _x000D_
I jrelog  (24726): _x000D_
I jrelog  (24726):    Head   _x000D_
I jrelog  (24726): Thread: Render thread_x000D_
I jrelog  (24726): Stacktrace:_x000D_
I jrelog  (24726): 	at net fabricmc loader entrypoint minecraft hooks EntrypointUtils invoke0(EntrypointUtils java:53)_x000D_
I jrelog  (24726): 	at net fabricmc loader entrypoint minecraft hooks EntrypointUtils invoke(EntrypointUtils_x000D_
I jrelog  (24726):  java:36)_x000D_
I jrelog  (24726): 	at net fabricmc loader entrypoint minecraft hooks EntrypointClient start(EntrypointClient java:33)_x000D_
I jrelog  (24726): 	at net minecraft class 310  init (class 310 java:437)_x000D_
I jrelog  (24726): _x000D_
I jrelog  (24726):    Initialization   _x000D_
I jrelog  (24726): Details:_x000D_
I jrelog  (24726): Stacktrace:_x000D_
I jrelog  (24726): 	at net minecraft client main Main main(Main java:177)_x000D_
I jrelog  (24726): 	at sun reflect NativeMethodAccessorImpl invoke0(Native Method)_x000D_
I jrelog  (24726): 	at sun reflect NativeMethodAccessorImpl invoke(NativeMethodAccessorImpl java:62)_x000D_
I jrelog  (24726): 	at sun reflect DelegatingMethodAccessorImpl invoke(DelegatingMethodAccessorImpl java:43)_x000D_
I jrelog  (24726): 	at java lan_x000D_
I jrelog  (24726): g reflect Method invoke(Method java:498)_x000D_
I jrelog  (24726): 	at net fabricmc loader game MinecraftGameProvider launch(MinecraftGameProvider java:226)_x000D_
I jrelog  (24726): 	at net fabricmc loader launch knot Knot init(Knot java:139)_x000D_
I jrelog  (24726): 	at net fabricmc loader launch knot KnotClient main(KnotClient java:27)_x000D_
I jrelog  (24726): _x000D_
I jrelog  (24726):    System Details   _x000D_
I jrelog  (24726): Details:_x000D_
I jrelog  (24726): 	Minecraft Version: 1 16 5_x000D_
I jrelog  (24726): 	Minecraft Version ID: 1 16 5_x000D_
I jrelog  (24726): 	Operating System: Linux (aarch64) version Android 7 0_x000D_
I jrelog  (24726): 	Java Version: 1 8 0 internal  Oracle Corporation_x000D_
I jrelog  (24726): 	Java VM Version: OpenJDK 64 Bit Server VM (mixed mode_x000D_
I jrelog  (24726): )  Oracle Corporation_x000D_
I jrelog  (24726): 	Memory: 468974944 bytes (447 MB)   801112064 bytes (764 MB) up to 801112064 bytes (764 MB)_x000D_
I jrelog  (24726): 	CPUs: 8_x000D_
I jrelog  (24726): 	JVM Flags: 3 total   Xms768m  Xmx768m</t>
  </si>
  <si>
    <t>TeamNewPipe-NewPipe-5584</t>
  </si>
  <si>
    <t>Share button is missing</t>
  </si>
  <si>
    <t xml:space="preserve">    _x000D_
_x000D_
_x000D_
     IF YOU DON T FILL IN THE TEMPLATE PROPERLY  YOUR ISSUE IS LIABLE TO BE CLOSED  If you feel tired lazy right now  open your issue some other time  We ll wait     _x000D_
_x000D_
After searching a video and finally found what I ve been looking for I wanted to share my result with a friend  While checking Newpipe s icons i noticed  that the share button wasn t available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NewPipe_x000D_
2  Search something_x000D_
3  Open one result in list_x000D_
4  Try to share the video via reachibgoutfor the(missing) share button_x000D_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No share button available_x000D_
_x000D_
_x000D_
_x000D_
    Expected behavior_x000D_
Share button available  NewPipe allows me to share my finding_x000D_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10  Firmware RMX2170 11 A30_x000D_
   Device model:Realme 7 Pro_x000D_
</t>
  </si>
  <si>
    <t>TeamNewPipe-NewPipe-5582</t>
  </si>
  <si>
    <t>Swiping through search results too fast causes crash</t>
  </si>
  <si>
    <t xml:space="preserve">    
Oh no  a bug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search
2  Enter ambient music in search bar
3  Swipe down to to view all results a bug stating there was a problem should appear  
     If you can t cause the bug to show up again reliably (and hence don t have a proper set of steps to give us)  please still try to give as many details as possible on how you think you encountered the bug     
    Actual behaviour
     Tell us what happens with the steps given above     after I opened newpipe and inserted ambient music album I proceeded to do a search i would swip through my results slowly because if I went too fast the error showing a problem would show up 
    Expected behavior
     Tell us what you expect to happen     
I expected and got screen to continue my search normally in past after a few tries thee app would crash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Exception
    User Action:   searched
    Request:    ambient music album    pageUrl: https:  music youtube com youtubei v1 search ctoken ErgDEhNhbWJpZW50IG11c2ljIGFsYnVtGqADRWctS0FRd0lBQkFCR0FBZ0FDZ0FNQUJJc0FScUNoQUVFQVVRQXhBS0VBbUNBUXRpYmkxRlVuSnpjbDkzYTRJQkMwOVdZM1F6TkU1VmF6TlZnZ0VMUTBGNlRrUjRjelpKTFRDQ0FRczBhVTloYkVod1gyVkpZNElCQzJzeE1HTlZjM2xxUVcxQmdnRUxZMDFuWTBSWE1WSXlNVy1DQVFzNVpUTkdkRzFaZHpCV2E0SUJDelExU1Y5M09FZGlhRTFCZ2dFTFZFSXRZWEZyVjNJeGIwMkNBUXRKTkhoUE5XSnhaMWxDYTRJQkMwMDJhamh2YTFGc1VFbFpnZ0VMY0Zsbk5qTnBlRFF3VmxHQ0FRdHFVREpOUjBReGRUVnlZNElCQ3psbmNXSjRhM1ozVXpKamdnRUxURkJDTkZwNlNXSXhSM09DQVF0elNHOUVNWGh5WVZCdU9JSUJDMlpQVURNNVVWWkxlbFJWZ2dFTFNIUlVjRzlVZGw5blZFbUNBUXN4UlRKNU5qZ3pOR3RaVFlJQkMwNUVaVUk1ZWtsdlJWOXoY8erQLg 3D 3D continuation ErgDEhNhbWJpZW50IG11c2ljIGFsYnVtGqADRWctS0FRd0lBQkFCR0FBZ0FDZ0FNQUJJc0FScUNoQUVFQVVRQXhBS0VBbUNBUXRpYmkxRlVuSnpjbDkzYTRJQkMwOVdZM1F6TkU1VmF6TlZnZ0VMUTBGNlRrUjRjelpKTFRDQ0FRczBhVTloYkVod1gyVkpZNElCQzJzeE1HTlZjM2xxUVcxQmdnRUxZMDFuWTBSWE1WSXlNVy1DQVFzNVpUTkdkRzFaZHpCV2E0SUJDelExU1Y5M09FZGlhRTFCZ2dFTFZFSXRZWEZyVjNJeGIwMkNBUXRKTkhoUE5XSnhaMWxDYTRJQkMwMDJhamh2YTFGc1VFbFpnZ0VMY0Zsbk5qTnBlRFF3VmxHQ0FRdHFVREpOUjBReGRUVnlZNElCQ3psbmNXSjRhM1ozVXpKamdnRUxURkJDTkZwNlNXSXhSM09DQVF0elNHOUVNWGh5WVZCdU9JSUJDMlpQVURNNVVWWkxlbFJWZ2dFTFNIUlVjRzlVZGw5blZFbUNBUXN4UlRKNU5qZ3pOR3RaVFlJQkMwNUVaVUk1ZWtsdlJWOXoY8erQLg 3D 3D itct CAoQybcCIhMIkJuj7 Po7gIVUuXjBx01XQtK alt json key AIzaSyC9XL3ZjWddXya6X74dJoCTL WEYFDNX30  pageIds: null  pageCookies: null
    Content Country:   US
    Content Language:   en US
    App Language:   en US
    Service:   YouTube
    Version:   0 20 9
    OS:   Linux samsung starqltesq starqltesq:10 QP1A 190711 020 G960USQU8FTK2:user release keys 10   29
 details  summary  b Exceptions (2)  b   summary  p 
 details  summary  b Crash log 1  b   summary  p 
org schabi newpipe extractor utils Parser RegexException: failed to find pattern  (  d  (       d  ) ) inside of No views 
	at org schabi newpipe extractor utils Parser matchGroup(Parser java:74)
	at org schabi newpipe extractor utils Parser matchGroup(Parser java:61)
	at org schabi newpipe extractor utils Parser matchGroup1(Parser java:52)
	at org schabi newpipe extractor utils Utils mixedNumberWordToLong(Utils java:57)
	at org schabi newpipe extractor services youtube extractors YoutubeMusicSearchExtractor 1 getViewCount(YoutubeMusicSearchExtractor java:368)
	at org schabi newpipe extractor stream StreamInfoItemsCollector extract(StreamInfoItemsCollector java:74)
	at org schabi newpipe extractor search InfoItemsSearchCollector extract(InfoItemsSearchCollector java:84)
	at org schabi newpipe extractor search InfoItemsSearchCollector extract(InfoItemsSearchCollector java:50)
	at org schabi newpipe extractor InfoItemsCollector commit(InfoItemsCollector java:87)
	at org schabi newpipe extractor services youtube extractors YoutubeMusicSearchExtractor collectMusicStreamsFrom(YoutubeMusicSearchExtractor java:280)
	at org schabi newpipe extractor services youtube extractors YoutubeMusicSearchExtractor getPage(YoutubeMusicSearchExtractor java:253)
	at org schabi newpipe extractor search SearchInfo getMoreItems(SearchInfo java:72)
	at org schabi newpipe util ExtractorHelper lambda getMoreSearchItems 1(ExtractorHelper java:105)
	at org schabi newpipe util    Lambda ExtractorHelper QDGmAny51mckLqMMIqBR6dmjbco call(Unknown Source:10)
	at io reactivex rxjava3 internal operators single SingleFromCallable subscribeActual(SingleFromCallable java:43)
	at io reactivex rxjava3 core Single subscribe(Single java:4813)
	at io reactivex rxjava3 internal operators single SingleSubscribeOn SubscribeOnObserver run(SingleSubscribeOn java:89)
	at io reactivex rxjava3 core Scheduler DisposeTask run(Scheduler java:614)
	at io reactivex rxjava3 internal schedulers ScheduledRunnable run(ScheduledRunnable java:65)
	at io reactivex rxjava3 internal schedulers ScheduledRunnable call(ScheduledRunnable java:56)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java:919)
  details 
 details  summary  b Crash log 2  b   summary  p 
org schabi newpipe extractor utils Parser RegexException: failed to find pattern  (  d  (       d  ) ) inside of No views 
	at org schabi newpipe extractor utils Parser matchGroup(Parser java:74)
	at org schabi newpipe extractor utils Parser matchGroup(Parser java:61)
	at org schabi newpipe extractor utils Parser matchGroup1(Parser java:52)
	at org schabi newpipe extractor utils Utils mixedNumberWordToLong(Utils java:57)
	at org schabi newpipe extractor services youtube extractors YoutubeMusicSearchExtractor 1 getViewCount(YoutubeMusicSearchExtractor java:368)
	at org schabi newpipe extractor stream StreamInfoItemsCollector extract(StreamInfoItemsCollector java:74)
	at org schabi newpipe extractor search InfoItemsSearchCollector extract(InfoItemsSearchCollector java:84)
	at org schabi newpipe extractor search InfoItemsSearchCollector extract(InfoItemsSearchCollector java:50)
	at org schabi newpipe extractor InfoItemsCollector commit(InfoItemsCollector java:87)
	at org schabi newpipe extractor services youtube extractors YoutubeMusicSearchExtractor collectMusicStreamsFrom(YoutubeMusicSearchExtractor java:280)
	at org schabi newpipe extractor services youtube extractors YoutubeMusicSearchExtractor getPage(YoutubeMusicSearchExtractor java:253)
	at org schabi newpipe extractor search SearchInfo getMoreItems(SearchInfo java:72)
	at org schabi newpipe util ExtractorHelper lambda getMoreSearchItems 1(ExtractorHelper java:105)
	at org schabi newpipe util    Lambda ExtractorHelper QDGmAny51mckLqMMIqBR6dmjbco call(Unknown Source:10)
	at io reactivex rxjava3 internal operators single SingleFromCallable subscribeActual(SingleFromCallable java:43)
	at io reactivex rxjava3 core Single subscribe(Single java:4813)
	at io reactivex rxjava3 internal operators single SingleSubscribeOn SubscribeOnObserver run(SingleSubscribeOn java:89)
	at io reactivex rxjava3 core Scheduler DisposeTask run(Scheduler java:614)
	at io reactivex rxjava3 internal schedulers ScheduledRunnable run(ScheduledRunnable java:65)
	at io reactivex rxjava3 internal schedulers ScheduledRunnable call(ScheduledRunnable java:56)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java:919)
  details 
  p   details 
 hr 
     Please fill this out when you do not provide a log generate by NewPipe    
    Device info Samsung galaxy s9  
Android version 11 standard rom bersion
   Android version Custom ROM version:
   Device model:s9 
</t>
  </si>
  <si>
    <t>nextcloud-android-7980</t>
  </si>
  <si>
    <t>App crashes on qr code scan</t>
  </si>
  <si>
    <t xml:space="preserve">    Steps to reproduce
1  Open desktop then browse on settings user security
2  Scan qr code with app
3  App crashes
    Expected behaviour
  Tell us what should happen
Logging in after I scan qr code on desktop with dark theme of Nextcloud
    Actual behaviour
  Tell us what happens
App crashes
    Can you reproduce this problem on https:  try nextcloud com 
  Please create a test demo account and see if this still happens there 
  If yes  please open up a bug report
  If not  please verify server setup and ask for help on forum
    Environment data
Android version:
Oxygen os 10 3 8 android version 10
Device model: 
Oneplus 6t 
</t>
  </si>
  <si>
    <t>TeamNewPipe-NewPipe-5580</t>
  </si>
  <si>
    <t>Importing any subscribers from any file format not working in CalyxOS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</si>
  <si>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Attempt to import a subscription file of any type in CalyxOS_x000D_
   _x000D_
_x000D_
     If you can t cause the bug to show up again reliably (and hence don t have a proper set of steps to give us)  please still try to give as many details as possible on how you think you encountered the bug     _x000D_
_x000D_
I recently switched to CalyxOS then installed NewPipe as it s my go to alternative to the youtube frontend  I decided to download my subscription information from invidious and import it into NewPipe  however no matter which format I choose it refuses to import the data _x000D_
_x000D_
    Actual behaviour_x000D_
     Tell us what happens with the steps given above     _x000D_
1  If the format is from youtube takeout it will error out saying it couldn t import subscriptions _x000D_
2  If it s in youtube JSON format from invidious it will say it imported it but change nothing_x000D_
3  if file is in XML format (aka newpipe format exported from invidious) it will also say it can t import the subscriptions  _x000D_
_x000D_
_x000D_
    Expected behavior_x000D_
     Tell us what you expect to happen     _x000D_
When I import the file I expect it to go out and collect all the subscriptions I have in the file and add them to my feed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CalyxOS Sargo on Android Version 10_x000D_
   Device model: Pixel 3a_x000D_
</t>
  </si>
  <si>
    <t>TeamNewPipe-NewPipe-5578</t>
  </si>
  <si>
    <t>Interrupt playing music</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</si>
  <si>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The music Interrupt playing for a Short time   0 5sec if I : _x000D_
Play music and :_x000D_
1  change to another app   for ex  From Newspipe to Gmail or any other_x000D_
2 lock my phone with ON OFF button_x000D_
3 Unlock my phone with ON OFF Button_x000D_
4 Change back to Newspipe Ap from any other App_x000D_
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QSAS30 62 33 8_x000D_
   Device model: Motorola One Vision XT1970 3_x000D_
</t>
  </si>
  <si>
    <t>marsht21-Restaurant_Picker-4</t>
  </si>
  <si>
    <t>Search only works once</t>
  </si>
  <si>
    <t xml:space="preserve">The app crashes if you try to search for a new restaurant after one search has taken place  For the app to work  it has to be completely closed and reopened </t>
  </si>
  <si>
    <t>nextcloud-android-7974</t>
  </si>
  <si>
    <t xml:space="preserve">Share feature on android crashes </t>
  </si>
  <si>
    <t xml:space="preserve">    Steps to reproduce_x000D_
1  Open mobile app_x000D_
2  Press share button on a folder file_x000D_
3  Select account to share with_x000D_
_x000D_
    Expected behaviour_x000D_
  Share feature should work as it does on web_x000D_
_x000D_
    Actual behaviour_x000D_
  Share feature on android crashes_x000D_
_x000D_
    Can you reproduce this problem on https:  try nextcloud com _x000D_
Android app problem_x000D_
_x000D_
             CAUSE OF ERROR             _x000D_
_x000D_
java lang RuntimeException: Accessing result data after operation failed _x000D_
	at com owncloud android lib common operations RemoteOperationResult getData(RemoteOperationResult java:486)_x000D_
	at com owncloud android utils ErrorMessageAdapter getMessageForCreateShareOperations(ErrorMessageAdapter java:254)_x000D_
	at com owncloud android utils ErrorMessageAdapter getMessageForResultAndOperation(ErrorMessageAdapter java:143)_x000D_
	at com owncloud android utils ErrorMessageAdapter getErrorCauseMessage(ErrorMessageAdapter java:79)_x000D_
	at com owncloud android ui activity FileActivity onRemoteOperationFinish(FileActivity java:380)_x000D_
	at com owncloud android ui activity FileDisplayActivity onRemoteOperationFinish(FileDisplayActivity java:1704)_x000D_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java:873)_x000D_
	at android os Handler dispatchMessage(Handler java:99)_x000D_
	at android os Looper loop(Looper java:215)_x000D_
	at android app ActivityThread main(ActivityThread java:6939)_x000D_
	at java lang reflect Method invoke(Native Method)_x000D_
	at com android internal os RuntimeInit MethodAndArgsCaller run(RuntimeInit java:493)_x000D_
	at com android internal os ZygoteInit main(ZygoteInit java:870)_x000D_
_x000D_
             APP INFORMATION             _x000D_
ID: com nextcloud client_x000D_
Version: 30150090_x000D_
Build flavor: gplay_x000D_
_x000D_
             DEVICE INFORMATION             _x000D_
Brand: motorola_x000D_
Device: nash_x000D_
Model: Moto Z (2)_x000D_
Id: PPX29 159 24_x000D_
Product: nash_x000D_
_x000D_
             FIRMWARE             _x000D_
SDK: 28_x000D_
Release: 9_x000D_
Incremental: e78f1_x000D_
_x000D_
</t>
  </si>
  <si>
    <t>marsht21-Restaurant_Picker-1</t>
  </si>
  <si>
    <t>App crashes for some search terms</t>
  </si>
  <si>
    <t>The search works for certain words  like burger and pizza  but crashes on others (taco  buffet)</t>
  </si>
  <si>
    <t>canyie-pine-11</t>
  </si>
  <si>
    <t xml:space="preserve">Art threads suspension causes deadlock </t>
  </si>
  <si>
    <t xml:space="preserve">(This problem is also described in the README )_x000D_
Background:_x000D_
1  In the bridge jump trampoline  we modified some registers to save our own values  so we have to save the original values from these registers  we can t allocate memory (stack and heap) here  so we use pre allocated memory  but when multiple threads execute concurrently  because the memory is shared  its value may be erased by other threads  so we designed a spin lock  the thread executing here will block until it successfully acquires the lock _x000D_
2  In some cases  art needs to suspend the execution of all threads (such as GC)  When the thread executes to the checkpoint  it will be suspended  When all threads are suspended  the GC can begin _x000D_
_x000D_
Imagine this situation: _x000D_
1  Thread A and thread B acquire the lock at the same time  A acquires the lock and continues to execute  B blocks here until A releases the lock _x000D_
2  At this time  art needs to suspend all threads  When A executes to checkpoint  it is blocked  waiting for B to execute checkpoint _x000D_
3  A waits for B to execute the checkpoint and B waits for A to release the lock  They cannot continue to execute  and because other threads are also suspended  the runtime cannot continue to work _x000D_
_x000D_
We have three ways to solve it:_x000D_
1    When the thread fails to acquire the lock  explicitly check whether the thread needs to be suspended and actively enter the checkpoint    Tested and failed  the thread crashes at Thread::VerifyStack() _x000D_
2  Since the thread waiting for the lock has actually been suspended  we can hook certain system functions and make it ignore the thread  however  this method is hard to implement and may cause unknown problems _x000D_
3  Prevent the thread holding the lock from being suspended until it releases the lock  This can be achieved by hooking certain system functions _x000D_
_x000D_
We will try to solve the problem  and suggestions are welcome </t>
  </si>
  <si>
    <t>PojavLauncherTeam-PojavLauncher-872</t>
  </si>
  <si>
    <t>[BUG]Forge 1.12.2 crashes when trying to run it</t>
  </si>
  <si>
    <t xml:space="preserve">    _x000D_
If you don t fill in this template  this issue will be marked as invalid and closed _x000D_
   _x000D_
_x000D_
 details   summary  b Read before submit  b   summary _x000D_
 br _x000D_
  Make sure there was not duplicated issues  br _x000D_
  Make sure you have filled this issue template  or this will get rejected _x000D_
  details _x000D_
_x000D_
  Describe the bug  _x000D_
Forge 1 12 2 crashes on startup  I was using previous builds and it used to crash after a few seconds minutes into the game and thought the latest build would fix the constant crashes  but it made it worse  lol  _x000D_
I ve been trying to fix the crash myself by changing lwjgl3 files to previous versions  but to no avail unfortunately_x000D_
_x000D_
  To Reproduce  _x000D_
Steps to reproduce the behavior:_x000D_
1  Start PojavLauncher_x000D_
2  Start MC Forge 1 12 2 (doesn t matter if you use mods or not)_x000D_
3  Wait for it to load the Mojang logo  After a few seconds it crashes_x000D_
_x000D_
  Expected behavior  _x000D_
I expected it not to crash at all_x000D_
_x000D_
  Screenshots  _x000D_
I don t think screenshots would help xd_x000D_
  Platform:  _x000D_
   Device Model: Samsung S20 _x000D_
   CPU architecture: aarch64_x000D_
   Android Version: 11_x000D_
_x000D_
 details   summary  b Additional context  b   summary _x000D_
 br _x000D_
 pre _x000D_
     Minecraft Crash Report     _x000D_
   You should try our sister game  Minceraft _x000D_
_x000D_
Time: 2 13 21 7:23 AM_x000D_
Description: Initializing game_x000D_
_x000D_
java lang UnsatisfiedLinkError:  data user 0 net kdt pojavlaunch jre runtime lib aarch64 libfontmanager so: dlopen failed: cannot locate symbol   ZTVN10  cxxabiv120  si class type infoE  referenced by   data user 0 net kdt pojavlaunch jre runtime lib aarch64 libfontmanager so    _x000D_
	at java lang ClassLoader NativeLibrary load(Native Method)_x000D_
	at java lang ClassLoader loadLibrary0(ClassLoader java:1934)_x000D_
	at java lang ClassLoader loadLibrary(ClassLoader java:1838)_x000D_
	at java lang Runtime loadLibrary0(Runtime java:871)_x000D_
	at java lang System loadLibrary(System java:1124)_x000D_
	at sun font FontManagerNativeLibrary 1 run(FontManagerNativeLibrary java:61)_x000D_
	at java security AccessController doPrivileged(Native Method)_x000D_
	at sun font FontManagerNativeLibrary  clinit (FontManagerNativeLibrary java:32)_x000D_
	at sun font SunFontManager 1 run(SunFontManager java:346)_x000D_
	at java security AccessController doPrivileged(Native Method)_x000D_
	at sun font SunFontManager  clinit (SunFontManager java:342)_x000D_
	at java lang Class forName0(Native Method)_x000D_
	at java lang Class forName(Class java:348)_x000D_
	at net java openjdk cacio ctc FontManagerUtil 1 run(FontManagerUtil java:24)_x000D_
	at java security AccessController doPrivileged(Native Method)_x000D_
	at net java openjdk cacio ctc FontManagerUtil setFontManager(FontManagerUtil java:17)_x000D_
	at net java openjdk cacio ctc CTCGraphicsEnvironment  clinit (CTCGraphicsEnvironment java:31)_x000D_
	at java lang Class forName0(Native Method)_x000D_
	at java lang Class forName(Class java:264)_x000D_
	at java awt GraphicsEnvironment createGE(GraphicsEnvironment java:103)_x000D_
	at java awt GraphicsEnvironment getLocalGraphicsEnvironment(GraphicsEnvironment java:82)_x000D_
	at java awt image BufferedImage createGraphics(BufferedImage java:1181)_x000D_
	at net minecraftforge client model ModelLoader White load(ModelLoader java:901)_x000D_
	at net minecraft client renderer texture TextureMap loadTexture(TextureMap java:148)_x000D_
	at net minecraft client renderer texture TextureMap func 110571 b(TextureMap java:110)_x000D_
	at net minecraft client renderer texture TextureMap func 174943 a(TextureMap java:91)_x000D_
	at net minecraftforge client model ModelLoader func 177570 a(ModelLoader java:159)_x000D_
	at net minecraft client renderer block model ModelManager func 110549 a(ModelManager java:28)_x000D_
	at net minecraft client resources SimpleReloadableResourceManager func 110542 a(SimpleReloadableResourceManager java:121)_x000D_
	at net minecraft client Minecraft func 71384 a(Minecraft java:513)_x000D_
	at net minecraft client Minecraft func 99999 d(Minecraft java:378)_x000D_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Head   _x000D_
Thread: Client thread_x000D_
Stacktrace:_x000D_
	at java lang ClassLoader NativeLibrary load(Native Method)_x000D_
	at java lang ClassLoader loadLibrary0(ClassLoader java:1934)_x000D_
	at java lang ClassLoader loadLibrary(ClassLoader java:1838)_x000D_
	at java lang Runtime loadLibrary0(Runtime java:871)_x000D_
	at java lang System loadLibrary(System java:1124)_x000D_
	at sun font FontManagerNativeLibrary 1 run(FontManagerNativeLibrary java:61)_x000D_
	at java security AccessController doPrivileged(Native Method)_x000D_
	at sun font FontManagerNativeLibrary  clinit (FontManagerNativeLibrary java:32)_x000D_
	at sun font SunFontManager 1 run(SunFontManager java:346)_x000D_
	at java security AccessController doPrivileged(Native Method)_x000D_
	at sun font SunFontManager  clinit (SunFontManager java:342)_x000D_
	at java lang Class forName0(Native Method)_x000D_
	at java lang Class forName(Class java:348)_x000D_
	at net java openjdk cacio ctc FontManagerUtil 1 run(FontManagerUtil java:24)_x000D_
	at java security AccessController doPrivileged(Native Method)_x000D_
	at net java openjdk cacio ctc FontManagerUtil setFontManager(FontManagerUtil java:17)_x000D_
	at net java openjdk cacio ctc CTCGraphicsEnvironment  clinit (CTCGraphicsEnvironment java:31)_x000D_
	at java lang Class forName0(Native Method)_x000D_
	at java lang Class forName(Class java:264)_x000D_
	at java awt GraphicsEnvironment createGE(GraphicsEnvironment java:103)_x000D_
	at java awt GraphicsEnvironment getLocalGraphicsEnvironment(GraphicsEnvironment java:82)_x000D_
	at java awt image BufferedImage createGraphics(BufferedImage java:1181)_x000D_
	at net minecraftforge client model ModelLoader White load(ModelLoader java:901)_x000D_
	at net minecraft client renderer texture TextureMap loadTexture(TextureMap java:148)_x000D_
	at net minecraft client renderer texture TextureMap func 110571 b(TextureMap java:110)_x000D_
	at net minecraft client renderer texture TextureMap func 174943 a(TextureMap java:91)_x000D_
	at net minecraftforge client model ModelLoader func 177570 a(ModelLoader java:159)_x000D_
	at net minecraft client renderer block model ModelManager func 110549 a(ModelManager java:28)_x000D_
	at net minecraft client resources SimpleReloadableResourceManager func 110542 a(SimpleReloadableResourceManager java:121)_x000D_
	at net minecraft client Minecraft func 71384 a(Minecraft java:513)_x000D_
_x000D_
   Initialization   _x000D_
Details:_x000D_
Stacktrace:_x000D_
	at net minecraft client Minecraft func 99999 d(Minecraft java:378)_x000D_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System Details   _x000D_
Details:_x000D_
	Minecraft Version: 1 12 2_x000D_
	Operating System: Linux (aarch64) version Android 11_x000D_
	Java Version: 1 8 0 internal  Oracle Corporation_x000D_
	Java VM Version: OpenJDK 64 Bit Server VM (mixed mode)  Oracle Corporation_x000D_
	Memory: 1895569456 bytes (1807 MB)   2134114304 bytes (2035 MB) up to 2134114304 bytes (2035 MB)_x000D_
	JVM Flags: 26 total   Xmx2G  Xms2G  Xmn128m  XX: DisableExplicitGC  XX: UseConcMarkSweepGC  XX: UseParNewGC  XX: UseNUMA  XX: CMSParallelRemarkEnabled  XX:MaxTenuringThreshold 15  XX:MaxGCPauseMillis 30  XX:GCPauseIntervalMillis 150  XX: UseAdaptiveGCBoundary  XX: UseGCOverheadLimit  XX: UseBiasedLocking  XX:SurvivorRatio 8  XX:TargetSurvivorRatio 90  XX:MaxTenuringThreshold 15  XX: UseFastAccessorMethods  XX: UseCompressedOops  XX: OptimizeStringConcat  XX: AggressiveOpts  XX:ReservedCodeCacheSize 2048m  XX: UseCodeCacheFlushing  XX:SoftRefLRUPolicyMSPerMB 2000  XX:ParallelGCThreads 10  Xbootclasspath p: storage emulated 0 games PojavLauncher caciocavallo cacio androidnw 1 10 SNAPSHOT jar: storage emulated 0 games PojavLauncher caciocavallo cacio shared 1 10 SNAPSHOT jar_x000D_
	IntCache: cache: 0  tcache: 0  allocated: 0  tallocated: 0_x000D_
	FML: MCP 9 42 Powered by Forge 14 23 5 2854 4 mods loaded  4 mods active_x000D_
	States:  U    Unloaded  L    Loaded  C    Constructed  H    Pre initialized  I    Initialized  J    Post initialized  A    Available  D    Disabled  E    Errored_x000D_
_x000D_
	  State   ID          Version        Source                          Signature                                 _x000D_
	 :       :           :              :                               :                                          _x000D_
	  LCH     minecraft   1 12 2         minecraft jar                   None                                      _x000D_
	  LCH     mcp         9 42           minecraft jar                   None                                      _x000D_
	  LCH     FML         8 0 99 99      forge 1 12 2 14 23 5 2854 jar   e3c3d50c7c986df74c645c0ac54639741c90a557  _x000D_
	  LCH     forge       14 23 5 2854   forge 1 12 2 14 23 5 2854 jar   e3c3d50c7c986df74c645c0ac54639741c90a557  _x000D_
_x000D_
	Loaded coremods (and transformers): _x000D_
	Launched Version: 1 12 2_x000D_
	LWJGL: 3 2 3 SNAPSHOT_x000D_
	OpenGL: GL4ES wrapper GL version 2 1 gl4es wrapper 1 1 4  ptitSeb_x000D_
	GL Caps: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Yes_x000D_
	Is Modded: Definitely  Client brand changed to  fml forge _x000D_
	Type: Client (map client txt)_x000D_
	Resource Packs: _x000D_
	Current Language: English (US)_x000D_
	Profiler Position: N A (disabled)_x000D_
	CPU: 8x null_x000D_
  pre _x000D_
  details _x000D_
</t>
  </si>
  <si>
    <t>TeamNewPipe-NewPipe-5571</t>
  </si>
  <si>
    <t>Video Play issues</t>
  </si>
  <si>
    <t>TeamNewPipe-NewPipe-5568</t>
  </si>
  <si>
    <t>The Videos on the Channel Are Not Loading.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</si>
  <si>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</si>
  <si>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patzly-grocy-android-351</t>
  </si>
  <si>
    <t>[fixed] Crash on adding a date</t>
  </si>
  <si>
    <t>Hi  _x000D_
_x000D_
I have a crash with 2 0 0 alpha02  I just added an expiration date in the purchase part  _x000D_
_x000D_
   _x000D_
          beginning of crash_x000D_
02 12 14:33:27 115 24562 24562 E AndroidRuntime: FATAL EXCEPTION: main_x000D_
02 12 14:33:27 115 24562 24562 E AndroidRuntime: Process: xyz zedler patrick grocy  PID: 24562_x000D_
02 12 14:33:27 115 24562 24562 E AndroidRuntime: java lang NullPointerException: Attempt to invoke virtual method  java lang String java lang String trim()  on a null object reference_x000D_
02 12 14:33:27 115 24562 24562 E AndroidRuntime: 	at sun misc FloatingDecimal readJavaFormatString(FloatingDecimal java:1838)_x000D_
02 12 14:33:27 115 24562 24562 E AndroidRuntime: 	at sun misc FloatingDecimal parseDouble(FloatingDecimal java:110)_x000D_
02 12 14:33:27 115 24562 24562 E AndroidRuntime: 	at java lang Double parseDouble(Double java:538)_x000D_
02 12 14:33:27 115 24562 24562 E AndroidRuntime: 	at xyz zedler patrick grocy model y0 j(SourceFile:8)_x000D_
02 12 14:33:27 115 24562 24562 E AndroidRuntime: 	at xyz zedler patrick grocy l k4 c0(SourceFile:2)_x000D_
02 12 14:33:27 115 24562 24562 E AndroidRuntime: 	at xyz zedler patrick grocy fragment PurchaseFragment S1(SourceFile:10)_x000D_
02 12 14:33:27 115 24562 24562 E AndroidRuntime: 	at xyz zedler patrick grocy fragment PurchaseFragment q1(SourceFile:1)_x000D_
02 12 14:33:27 115 24562 24562 E AndroidRuntime: 	at xyz zedler patrick grocy fragment bottomSheetDialog d0 onDismiss(SourceFile:13)_x000D_
02 12 14:33:27 115 24562 24562 E AndroidRuntime: 	at androidx fragment app b Y0(SourceFile:8)_x000D_
02 12 14:33:27 115 24562 24562 E AndroidRuntime: 	at androidx fragment app b X0(SourceFile:1)_x000D_
02 12 14:33:27 115 24562 24562 E AndroidRuntime: 	at com google android material bottomsheet e X0(SourceFile:6)_x000D_
02 12 14:33:27 115 24562 24562 E AndroidRuntime: 	at xyz zedler patrick grocy fragment bottomSheetDialog c onClick(SourceFile:1)_x000D_
02 12 14:33:27 115 24562 24562 E AndroidRuntime: 	at android view View performClick(View java:7352)_x000D_
02 12 14:33:27 115 24562 24562 E AndroidRuntime: 	at android widget TextView performClick(TextView java:14230)_x000D_
02 12 14:33:27 115 24562 24562 E AndroidRuntime: 	at com google android material button MaterialButton performClick(SourceFile:2)_x000D_
02 12 14:33:27 115 24562 24562 E AndroidRuntime: 	at android view View performClickInternal(View java:7318)_x000D_
02 12 14:33:27 115 24562 24562 E AndroidRuntime: 	at android view View access 3200(View java:846)_x000D_
02 12 14:33:27 115 24562 24562 E AndroidRuntime: 	at android view View PerformClick run(View java:27800)_x000D_
02 12 14:33:27 115 24562 24562 E AndroidRuntime: 	at android os Handler handleCallback(Handler java:873)_x000D_
02 12 14:33:27 115 24562 24562 E AndroidRuntime: 	at android os Handler dispatchMessage(Handler java:99)_x000D_
02 12 14:33:27 115 24562 24562 E AndroidRuntime: 	at android os Looper loop(Looper java:214)_x000D_
02 12 14:33:27 115 24562 24562 E AndroidRuntime: 	at android app ActivityThread main(ActivityThread java:7050)_x000D_
02 12 14:33:27 115 24562 24562 E AndroidRuntime: 	at java lang reflect Method invoke(Native Method)_x000D_
02 12 14:33:27 115 24562 24562 E AndroidRuntime: 	at com android internal os RuntimeInit MethodAndArgsCaller run(RuntimeInit java:494)_x000D_
02 12 14:33:27 115 24562 24562 E AndroidRuntime: 	at com android internal os ZygoteInit main(ZygoteInit java:965)_x000D_
02 12 14:33:29 915 25529 25529 E r patrick groc: Not starting debugger since process cannot load the jdwp agent _x000D_
02 12 14:33:38 902 25529 25529 E ViewRootImpl: sendUserActionEvent() returned    _x000D_
_x000D_
Galaxy S8_x000D_
Android 9</t>
  </si>
  <si>
    <t>SkyTubeTeam-SkyTube-921</t>
  </si>
  <si>
    <t>2 "broken" channels cause the app to sudddenly close</t>
  </si>
  <si>
    <t xml:space="preserve">  Describe the bug  _x000D_
I have a list of about 150 channels I subscribed to  from Skytube  Some weeks ago  the app started to crash everytime I was refreshing the feed  I looked into the list with subscribed channels  and 2 of the channels were not loading the thumbnail of the channel  I tried to click on each of them and everytime i did that  the app was crashing  _x000D_
_x000D_
Unfortunately I don t know which are these 2 channels and I can t seem to be able to open the exported file (exported file skytube)_x000D_
_x000D_
  Is there anything I can do to make Skytube refresh the Feed without crashing   _x000D_
_x000D_
It would be useful to be able to delete the channels from the list of channels  or at least to export and import the list of channels in a txt format (so we can edit it) _x000D_
_x000D_
  Expected behavior  _x000D_
Refresh the the Feed without the app crashing _x000D_
_x000D_
  Screenshots  _x000D_
See the first 2 channels in the list (they don t have the thumbnail loaded and if clicked  the app crashes):_x000D_
  skytube bug (https:  user images githubusercontent com 51698041 107772189 94685000 6d44 11eb 9d73 8cea71f763e7 jpg)_x000D_
_x000D_
_x000D_
  Setup:  _x000D_
   Android version: 10 (LineageOS)_x000D_
   Is Your device rooted    No_x000D_
   Do You use Tor or any VPN service with your device    No_x000D_
   App source: FDroid_x000D_
   App Version: v2 977_x000D_
   App Flavour:  _x000D_
_x000D_
_x000D_
</t>
  </si>
  <si>
    <t>opensrp-opensrp-client-chw-1700</t>
  </si>
  <si>
    <t>Fixes for the DRC release candidate</t>
  </si>
  <si>
    <t xml:space="preserve">DRC release candidate QA results:_x000D_
_x000D_
   x  1  When you exit out of the Pregnancy Outcome form without saving  the user lands on the PNC register  when they should be landing on the woman s profile page from which they originally opened the form    worked on by    rkodev _x000D_
_x000D_
  2  Completed tasks disappear from the ANC home visit when you re open it to edit it  for e g  ANC card  Delivery kit (DRC only)  TT  SP  Obs   Illness tasks no longer appear  Is this related to editing LMP EDD  If so  we can try to turn off the setting    worked on by    qaziabubakar   rkodev     Moved to https:  github com OpenSRP opensrp client chw issues 1710  _x000D_
_x000D_
   x  3  App closes when you exit out of the ANC visit page without saving (doesn t crash  but just closes)  See ANC woman  Monica Bing   Open the ANC visit from the register list page  not the woman s profile page  worked on by  rkodev _x000D_
      4  App reverts to English once you submit a family registration form   worked on by    rkodev _x000D_
   x  5  Seems like the Obs   Illness task doesn t appear if you register a woman less than 13 weeks pregnant (I registered a woman as 8 weeks pregnant and the task doesn t appear)   worked on by    qaziabubakar    rkodev _x000D_
_x000D_
  6  A few child tasks disappear when you re open the child home visit to make edits (similar to what s happening during ANC home visit   is this related to the editing configuration we ve enabled )   worked on by    rkodev     Moved to https:  github com OpenSRP opensrp client chw issues 1710  _x000D_
_x000D_
   x  7  In the pregnancy outcome form  the live birth repeat group automation isn t working anymore  Instead of automatically creating the repeat groups  the user again has to check the checkmark    worked on by    qaziabubakar _x000D_
   x  8  PHYSICALLY CHALLENGED label below the child s name is not in French  See this issue: https:  github com OpenSRP opensrp client chw issues 1427  The key string for this was translated in Transifex  so  might just need to be pulled in    worked on by    qaziabubakar _x000D_
   x  9  Women up to date with their PNC health facility visits indicator label is still in English   See this issue: https:  github com OpenSRP opensrp client chw issues 1346 issuecomment 762617049  The translation is added in Transifex  so probably just needs to be pulled in    worked on by    qaziabubakar _x000D_
      10  https:  github com OpenSRP opensrp client chw issues 1682   worked on by    qaziabubakar _x000D_
   x  11  https:  github com OpenSRP opensrp client chw issues 1648   worked on by    rkodev </t>
  </si>
  <si>
    <t>TeamNewPipe-NewPipe-5560</t>
  </si>
  <si>
    <t>Background player resets and doesn't play content when disconnecting and reconnecting Bluetooth unless closed and opened again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</si>
  <si>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Play content on background mode on connected device (mostly happens in cars and home theaters) disconnect and connect again_x000D_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I have noticed that every time in any car I disconnect and connect to the phone bluetooth the background player  resets  (kind of like goes back to zero) and I m unable to play whatever content I had playing unless I close the background player and start it again_x000D_
_x000D_
This bug has gone back all the way from 0 17 3 (when I found out about newpipe) until now and it does it mostly on cars with Bluetooth and home theaters with Bluetooth as well _x000D_
Also device doesn t matter as my xperia 5 II pixel ii and galaxy s8 all did the same thing _x000D_
_x000D_
_x000D_
_x000D_
    Expected behavior_x000D_
It would be nice if somebody has a look into this bug that way whenever I disconnect and  reconnect to Bluetooth I can still play my content without  having to close and open again the background player_x000D_
Attached is a picture of the result of disconnecting and reconnecting again (pressing play doesn t do anything)_x000D_
  Screenshot 20210211 101835 (https:  user images githubusercontent com 78338675 107727487 71dd2500 6cb9 11eb 9f16 21f0703e188c png)_x000D_
_x000D_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the error doesn t generate any logs that I can see_x000D_
_x000D_
    Device info_x000D_
_x000D_
   Android version Custom ROM version:android 10 58 0 A 28 51_x000D_
   Device model:sony xperia 5 II XQ AS62_x000D_
</t>
  </si>
  <si>
    <t>Anuken-Mindustry-4659</t>
  </si>
  <si>
    <t>Some sprites are smaller than usual when researching technology in the tech tree</t>
  </si>
  <si>
    <t xml:space="preserve">  Platform  :  Android iOS Mac Windows Linux _x000D_
_x000D_
Windows_x000D_
_x000D_
  Build  :  The build number under the title in the main menu  Required   LATEST  IS NOT A VERSION  I NEED THE EXACT BUILD NUMBER OF YOUR GAME  _x000D_
_x000D_
124 1_x000D_
_x000D_
  Issue  :  Explain your issue in detail  _x000D_
_x000D_
When you unlock something new that you can research on the campaign  the sprite is smaller than usual (in some cases  have not found any pattern so far)  and is only fixed by a restart_x000D_
 img width  406  alt  Graphite  src  https:  user images githubusercontent com 57579569 107724469 8d403400 6ca9 11eb 8740 e2821b8fad0f PNG  _x000D_
 img width  787  alt  Scorch and Combustion  src  https:  user images githubusercontent com 57579569 107724474 8fa28e00 6ca9 11eb 85bb c42496030429 PNG  _x000D_
_x000D_
  Steps to reproduce  :  How you happened across the issue  and what exactly you did to make the bug happen  _x000D_
_x000D_
Create a new campaign save  play for a little until you research graphite scorch combustion generator (Only ones that were smaller for me)_x000D_
_x000D_
  Link(s) to mod(s) used  :  The mod repositories or zip files that are related to the issue  if applicable  _x000D_
_x000D_
DeltaNedas cliff_x000D_
DeltaNedas dev mode_x000D_
abomb4 dimension shard_x000D_
Eschatologue Heavy Armaments Industries_x000D_
younggam multi lib_x000D_
MEEPofFaith progressed materials_x000D_
genNAowl upgraded factories_x000D_
_x000D_
(However  since I thought this issue happened in the past  I doubt the issue is related to these mods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savefile zip (https:  github com Anuken Mindustry files 5969416 savefile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 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</si>
  <si>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Anuken-Mindustry-4657</t>
  </si>
  <si>
    <t>Invalid PowerModule.links after resize in Editor</t>
  </si>
  <si>
    <t xml:space="preserve">  Platform  :  Android iOS Mac Windows Linux _x000D_
_x000D_
  Build  :  The build number under the title in the main menu  Required   LATEST  IS NOT A VERSION  I NEED THE EXACT BUILD NUMBER OF YOUR GAME   124 1_x000D_
_x000D_
  Issue  :  Explain your issue in detail  _x000D_
   )V)9P G0FMYH  WVWQ T2P (https:  user images githubusercontent com 15688938 107662247 0dc05e00 6cc5 11eb 8d93 4ca7de1c6e84 png)_x000D_
There are not power factory  but infinite power (position 209 6 in following save)_x000D_
_x000D_
  Steps to reproduce  :  How you happened across the issue  and what exactly you did to make the bug happen  _x000D_
See position 209 6 in following save_x000D_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save zip (https:  github com Anuken Mindustry files 5966665 save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</si>
  <si>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PojavLauncherTeam-PojavLauncher-860</t>
  </si>
  <si>
    <t>Not opening</t>
  </si>
  <si>
    <t>When I open the app and run 1 7 10(actually it doesn t open any version) it just crashes and it doesn t even show the crash report in the menu _x000D_
What I think is that it s using a lot of ram and my mobile can t even run it what I suggest is to put an option where u can put custom ram so it won t crash any on any mobiles _x000D_
My mobile:Moto g5s 4 GB ram 32 GB rom</t>
  </si>
  <si>
    <t>sparkfabrik-sparkfabrik-react-native-idfa-aaid-5</t>
  </si>
  <si>
    <t>App crashes on Android</t>
  </si>
  <si>
    <t xml:space="preserve">Hi there  congrats on this lib it s been hard to find nowadays one that actually works _x000D_
_x000D_
 I ve followed the README instructions and on iOS it works  it successfully builds on Android but when I run the App it crashes  no errors are displayed  _x000D_
_x000D_
Please is there any additional configuration that is needed to run on Android  Is there any additional information that I can provide </t>
  </si>
  <si>
    <t>TeamNewPipe-NewPipe-5556</t>
  </si>
  <si>
    <t>Unrecoverable player error occurred</t>
  </si>
  <si>
    <t xml:space="preserve">    I apologize have searched not good enough:_x000D_
_x000D_
This is probably a duplicate of https:  github com TeamNewPipe NewPipe issues 5426  feel free to close this _x000D_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Since most of the  failing to play video  issues are very vague  no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Try to play any video  e g  from your  Subscriptions  or from the  Trending  page _x000D_
_x000D_
     If you can t cause the bug to show up again reliably (and hence don t have a proper set of steps to give us)  please still try to give as many details as possible on how you think you encountered the bug     _x000D_
_x000D_
    Actual behaviour_x000D_
     Tell us what happens with the steps given above     _x000D_
_x000D_
The bug became first present yesterday (2021 02 11) about 7:00pm  It never showed up before _x000D_
_x000D_
 Video detail screen  After clicking the first time (after opening the video detail screen) on the Thumbnail with the  play  sign  a toast with  Unrecoverable player error occurred  shows up  The second time the place where the video would play gets black with the activity indicator in busy state  (As it would be if you are not connected to the internet properly etc )_x000D_
_x000D_
  Playing the audio in the background is not a problem at all _x000D_
  Trying to play in a popup does also fail (as the video after the second try   black screen and activity indicator)_x000D_
_x000D_
  _x000D_
_x000D_
    This issue is present to all videos (I have tried yet) with no exception   _x000D_
_x000D_
_x000D_
    Expected behaviour_x000D_
     Tell us what you expect to happen     _x000D_
_x000D_
Videos should play properly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Will be there in a second _x000D_
_x000D_
    Logs_x000D_
     If your bug includes a crash (where you re shown the Error Report page with a bunch of info)  tap on  Copy formatted report  at the bottom and paste it here:    _x000D_
_x000D_
     That s right  here     _x000D_
_x000D_
I ll try to provide some logs if I have time to _x000D_
_x000D_
     Please fill this out when you do not provide a log generate by NewPipe    _x000D_
_x000D_
    Device info_x000D_
_x000D_
   Android version Custom ROM version:  e  version 0 14 p 2021012698470 dev FP2_x000D_
   Device model: Fairphone 2_x000D_
</t>
  </si>
  <si>
    <t>material-components-material-components-android-2059</t>
  </si>
  <si>
    <t>[Crash] No compoment related: Crash when calling getLocales() on API level &lt;= 19</t>
  </si>
  <si>
    <t xml:space="preserve">  Description:   _x000D_
In version 1 3 0 there is a bug that causes a fatal crash  that cannot be handled with try catch construction  _x000D_
Looks like the library inserts a new locale  that cannot be parsed on old API levels _x000D_
The stacktrace is attached _x000D_
 stacktrace txt (https:  github com material components material components android files 5966151 stacktrace txt)_x000D_
_x000D_
Also when running on newer API levels the code runs fine  but in comparison to version 1 2 1 there is a one new locale:_x000D_
              (https:  user images githubusercontent com 72796626 107651142 39752100 6c90 11eb 8209 e9cf088f4001 png)_x000D_
_x000D_
  Expected behavior:   No crashes   getLocales()  method simply returns an array of locales _x000D_
_x000D_
  Source code:   _x000D_
   _x000D_
_x000D_
public class MainActivity extends AppCompatActivity  _x000D_
_x000D_
     Override_x000D_
    protected void onCreate(Bundle savedInstanceState)  _x000D_
        super onCreate(savedInstanceState) _x000D_
        setContentView(R layout activity main) _x000D_
        getResources() getAssets() getLocales()        The crash happens here_x000D_
     _x000D_
 _x000D_
   _x000D_
_x000D_
  Android API version:     19_x000D_
_x000D_
  Material Library version:   1 3 0_x000D_
_x000D_
  Device:   Emulators with API levels 16 19_x000D_
_x000D_
</t>
  </si>
  <si>
    <t>AOF-Dev-MCinaBox-942</t>
  </si>
  <si>
    <t>Forge 1.12.2 keeps on crashing on 0.14p5</t>
  </si>
  <si>
    <t xml:space="preserve">  Describe the crash  
A clear and concise description of what the bug is 
  To Reproduce  
Steps to reproduce the crash:
1  Go to      
2  Click on       
3  Scroll down to       
4  See the crash
  Expected behavior  
A clear and concise description of what you expected to happen 
  Screenshots  
If applicable  add screenshots to help explain your problem 
  Smartphone (please complete the following information):  
   Device:  e g  Samsung Galaxy J6 
   OS:  e g  Android 8 1 
   App Version  e g  v0 1 3 
   CPU architecture  e g  arm64   
  Additional context  
Add any other context about the problem here 
</t>
  </si>
  <si>
    <t>square-okhttp-6559</t>
  </si>
  <si>
    <t>Attempt to invoke virtual method 'okhttp3.HttpUrl okhttp3.Request.url()' on a null object reference</t>
  </si>
  <si>
    <t>_x000D_
Okhttp is giving me  Attempt to invoke virtual method  okhttp3 HttpUrl okhttp3 Request url()  on a null object reference  error after upgrading from fabric to firebase crashlytics  Please find below changes _x000D_
_x000D_
Note: okhttp works fine without changes to firebase crashlytics  _x000D_
_x000D_
Android studio 4 1 _x000D_
Java 8 _x000D_
Android Gradle plugin 4 1 1_x000D_
Gradle Version 6 5 1_x000D_
okhttp     :  3 14 7 _x000D_
retrofit   :  2 4 0 _x000D_
glide      :  4 1 1 _x000D_
gson      :  2 8 5 _x000D_
_x000D_
In project   build gradle_x000D_
 dependencies  _x000D_
classpath  com android tools build:gradle:4 1 1 _x000D_
 classpath  com google gms:google services:4 3 4 _x000D_
 classpath  me tatarka:gradle retrolambda:3 7 0 _x000D_
 classpath  com google firebase:firebase plugins:1 1 1 _x000D_
classpath  com google firebase:perf plugin:1 3 1 _x000D_
classpath  com google firebase:firebase crashlytics gradle:2 4 1 _x000D_
 _x000D_
In app build gradle_x000D_
_x000D_
apply plugin:  com google gms google services _x000D_
apply plugin:  com google firebase crashlytics _x000D_
_x000D_
 implementation platform( com google firebase:firebase bom:26 4 0 )_x000D_
    implementation  com google firebase:firebase crashlytics _x000D_
    implementation  com google firebase:firebase analytics _x000D_
_x000D_
Please suggest me on fixing the issue</t>
  </si>
  <si>
    <t>nextcloud-android-7970</t>
  </si>
  <si>
    <t>Crash while sharing</t>
  </si>
  <si>
    <t xml:space="preserve">    Steps to reproduce_x000D_
1  Select a folder_x000D_
2 try to share the folder with another NC user _x000D_
3  _x000D_
_x000D_
    Expected behaviour_x000D_
  Tell us what should happen_x000D_
The folders should be shared _x000D_
    Actual behaviour_x000D_
Crash_x000D_
  Tell us what happens_x000D_
Just crashed_x000D_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_x000D_
some of the required information: https:  apps nextcloud com apps issuetemplate_x000D_
</t>
  </si>
  <si>
    <t>nextcloud-android-7969</t>
  </si>
  <si>
    <t>Crashing with BlobTooBig</t>
  </si>
  <si>
    <t xml:space="preserve">    Steps to reproduce_x000D_
Opening a fairly large folder with many files_x000D_
_x000D_
    Expected behaviour_x000D_
Folder loads_x000D_
_x000D_
    Actual behaviour_x000D_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CAUSE OF ERROR             _x000D_
_x000D_
android database sqlite SQLiteBlobTooBigException: Row too big to fit into CursorWindow requiredPos 3337  totalRows 1887_x000D_
	at android database sqlite SQLiteConnection nativeExecuteForCursorWindow(Native Method)_x000D_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java:342)_x000D_
	at android content ContentProviderOperation apply(ContentProviderOperation java:314)_x000D_
	at com owncloud android providers FileContentProvider applyBatch(FileContentProvider java:672)_x000D_
	at android content ContentProvider applyBatch(ContentProvider java:2179)_x000D_
	at android content ContentProvider Transport applyBatch(ContentProvider java:398)_x000D_
	at android content ContentProviderClient applyBatch(ContentProviderClient java:532)_x000D_
	at android content ContentProviderClient applyBatch(ContentProviderClient java:520)_x000D_
	at android content ContentResolver applyBatch(ContentResolver java:1915)_x000D_
	at com owncloud android datamodel FileDataStorageManager saveFolder(FileDataStorageManager java:438)_x000D_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java:919)_x000D_
_x000D_
             APP INFORMATION             _x000D_
ID: com nextcloud client_x000D_
Version: 30150090_x000D_
Build flavor: gplay_x000D_
_x000D_
             DEVICE INFORMATION             _x000D_
Brand: OnePlus_x000D_
Device: OnePlus7Pro_x000D_
Model: GM1913_x000D_
Id: QKQ1 190716 003_x000D_
Product: OnePlus7Pro EEA_x000D_
_x000D_
             FIRMWARE             _x000D_
SDK: 29_x000D_
Release: 10_x000D_
Incremental: 2011052232_x000D_
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</si>
  <si>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PojavLauncherTeam-PojavLauncher-847</t>
  </si>
  <si>
    <t>Minecraft (any version) crash after a few minutes.</t>
  </si>
  <si>
    <t xml:space="preserve">It crashes  any version I use  even fabric will crash  around 20 minutes into the game it will unexpectedly crash _x000D_
_x000D_
_x000D_
1  Start PojavLauncher_x000D_
2  Run a version (usually 1 16 5)_x000D_
3  Play for 20 minutes  _x000D_
4  crash _x000D_
  Expected behavior  _x000D_
I expected it to not crash  I tweaked a few things  got some advice from a expert  still not working though_x000D_
_x000D_
  Screenshots  _x000D_
_x000D_
  Platform:  _x000D_
   Device Model VivoY15_x000D_
   CPU architecture aarch64_x000D_
   Android Version 9_x000D_
_x000D_
 details   summary  b Additional context  b   summary _x000D_
 br _x000D_
 pre _x000D_
Add any other context about the problem here _x000D_
_x000D_
</t>
  </si>
  <si>
    <t>k9mail-k-9-5134</t>
  </si>
  <si>
    <t>Crash with version of feb 10: RuntimeException checkNotNullParameter</t>
  </si>
  <si>
    <t xml:space="preserve">Please search to check for an existing issue (including closed issues  for which the fix may not have yet been released) before opening a new issue: https:  github com k9mail k 9 issues q is 3Aissue_x000D_
_x000D_
If you are unsure whether or not you have found a bug please post to the support forum instead: https:  forum k9mail app_x000D_
_x000D_
  Describe the bug  _x000D_
Application does not start_x000D_
_x000D_
  To Reproduce  _x000D_
Steps to reproduce the behavior:_x000D_
1  Click on K9 Icon  application crashes_x000D_
_x000D_
  Expected behavior  _x000D_
Application starts_x000D_
_x000D_
  Screenshots  _x000D_
If applicable  add screenshots to help explain your problem _x000D_
_x000D_
  Environment (please complete the following information):  _x000D_
   K 9 Mail version: 5 728_x000D_
   Android version: 10_x000D_
   Device: Redmi Note 9S_x000D_
   Account type: all_x000D_
_x000D_
  Additional context  _x000D_
Runtime exception Unable to create application com fsck k9 app_x000D_
org koin core error InstanceCreationException : Could not create instance for Single  com kfsck k9 Preferences _x000D_
somewhere in com fsck k9 K9 getPreferences_x000D_
_x000D_
Caused by:_x000D_
java lang NullPointerException_x000D_
Parameter specified as non null is null: method kotlin jvm internal Instrincsics checkNotNullParameter  parameter authenticationType at com fsck k9 mail ServerSettings  init _x000D_
_x000D_
_x000D_
_x000D_
_x000D_
  Logs  _x000D_
_x000D_
adb logcat   findstr k9_x000D_
_x000D_
_x000D_
02 11 07:20:11 048  1793  4196 I ActivityTaskManager: START u0  act android intent action MAIN cat  android intent category LAUNCHER  flg 0x10200000 cmp com fsck k9  activity MessageList bnds  587 185  755 353  (has extras)  from uid 10086_x000D_
02 11 07:20:11 133  1793  1930 I ActivityManager: Start proc 18326:com fsck k9 u0a336 for activity  com fsck k9 com fsck k9 activity MessageList  caller com miui home_x000D_
02 11 07:20:11 249 18326 18326 E AndroidRuntime: Process: com fsck k9  PID: 18326_x000D_
02 11 07:20:11 249 18326 18326 E AndroidRuntime: java lang RuntimeException: Unable to create application com fsck k9 App: org koin core error InstanceCreationException: Could not create instance for  Single: com fsck k9 Preferences  _x000D_
02 11 07:20:11 249 18326 18326 E AndroidRuntime: Caused by: org koin core error InstanceCreationException: Could not create instance for  Single: com fsck k9 Preferences  _x000D_
02 11 07:20:11 249 18326 18326 E AndroidRuntime:        at com fsck k9 K9  special  inlined inject 1 invoke(DI kt:118)_x000D_
02 11 07:20:11 249 18326 18326 E AndroidRuntime:        at com fsck k9 K9 getPreferences(Unknown Source:2)_x000D_
02 11 07:20:11 249 18326 18326 E AndroidRuntime:        at com fsck k9 K9 init(K9 kt:322)_x000D_
02 11 07:20:11 249 18326 18326 E AndroidRuntime:        at com fsck k9 App onCreate(App kt:22)_x000D_
02 11 07:20:11 249 18326 18326 E AndroidRuntime:        at com fsck k9 mail ServerSettings  init (Unknown Source:12)_x000D_
02 11 07:20:11 249 18326 18326 E AndroidRuntime:        at com fsck k9 mail ServerSettings  init (ServerSettings kt:17)_x000D_
02 11 07:20:11 249 18326 18326 E AndroidRuntime:        at com fsck k9 mail ServerSettings  init (Unknown Source:18)_x000D_
02 11 07:20:11 249 18326 18326 E AndroidRuntime:        at com fsck k9 preferences migrations migration12 SmtpTransportUriDecoder decodeSmtpUri(SmtpTransportUriDecoder java:99)_x000D_
02 11 07:20:11 249 18326 18326 E AndroidRuntime:        at com fsck k9 preferences migrations StorageMigrationTo12 convertTransportUri(StorageMigrationTo12 kt:53)_x000D_
02 11 07:20:11 249 18326 18326 E AndroidRuntime:        at com fsck k9 preferences migrations StorageMigrationTo12 removeStoreAndTransportUri(StorageMigrationTo12 kt:29)_x000D_
02 11 07:20:11 249 18326 18326 E AndroidRuntime:        at com fsck k9 preferences migrations StorageMigrations upgradeDatabase(StorageMigrations kt:20)_x000D_
02 11 07:20:11 249 18326 18326 E AndroidRuntime:        at com fsck k9 preferences K9StoragePersister openDB(K9StoragePersister java:46)_x000D_
02 11 07:20:11 249 18326 18326 E AndroidRuntime:        at com fsck k9 preferences K9StoragePersister loadValues(K9StoragePersister java:145)_x000D_
02 11 07:20:11 249 18326 18326 E AndroidRuntime:        at com fsck k9 Preferences  init (Preferences java:79)_x000D_
02 11 07:20:11 249 18326 18326 E AndroidRuntime:        at com fsck k9 Preferences getPreferences(Preferences java:45)_x000D_
02 11 07:20:11 249 18326 18326 E AndroidRuntime:        at com fsck k9 KoinModuleKt mainModule 1 1 invoke(KoinModule kt:16)_x000D_
02 11 07:20:11 249 18326 18326 E AndroidRuntime:        at com fsck k9 KoinModuleKt mainModule 1 1 invoke(Unknown Source:4)_x000D_
02 11 07:20:11 254  1793  4196 W ActivityTaskManager:   Force finishing activity com fsck k9  activity MessageList_x000D_
02 11 07:20:11 300  1793  1839 I ActivityManager: Process com fsck k9 (pid 18326) has died: vis 99 TOP_x000D_
02 11 07:20:11 755  1793  1907 W ActivityTaskManager: Activity top resumed state loss timeout for ActivityRecord 34050e1 u0 com fsck k9  activity MessageList t 1 f _x000D_
02 11 07:32:07 563  1793  3174 I ActivityTaskManager: START u0  act android intent action MAIN cat  android intent category LAUNCHER  flg 0x10200000 cmp com fsck k9  activity MessageList bnds  586 184  754 352  (has extras)  from uid 10086_x000D_
02 11 07:32:07 649  1793  1930 I ActivityManager: Start proc 20726:com fsck k9 u0a336 for activity  com fsck k9 com fsck k9 activity MessageList  caller com miui home_x000D_
02 11 07:32:07 766 20726 20726 E AndroidRuntime: Process: com fsck k9  PID: 20726_x000D_
02 11 07:32:07 766 20726 20726 E AndroidRuntime: java lang RuntimeException: Unable to create application com fsck k9 App: org koin core error InstanceCreationException: Could not create instance for  Single: com fsck k9 Preferences  _x000D_
02 11 07:32:07 766 20726 20726 E AndroidRuntime: Caused by: org koin core error InstanceCreationException: Could not create instance for  Single: com fsck k9 Preferences  _x000D_
02 11 07:32:07 766 20726 20726 E AndroidRuntime:        at com fsck k9 K9  special  inlined inject 1 invoke(DI kt:118)_x000D_
02 11 07:32:07 766 20726 20726 E AndroidRuntime:        at com fsck k9 K9 getPreferences(Unknown Source:2)_x000D_
02 11 07:32:07 766 20726 20726 E AndroidRuntime:        at com fsck k9 K9 init(K9 kt:322)_x000D_
02 11 07:32:07 766 20726 20726 E AndroidRuntime:        at com fsck k9 App onCreate(App kt:22)_x000D_
02 11 07:32:07 766 20726 20726 E AndroidRuntime:        at com fsck k9 mail ServerSettings  init (Unknown Source:12)_x000D_
02 11 07:32:07 766 20726 20726 E AndroidRuntime:        at com fsck k9 mail ServerSettings  init (ServerSettings kt:17)_x000D_
02 11 07:32:07 766 20726 20726 E AndroidRuntime:        at com fsck k9 mail ServerSettings  init (Unknown Source:18)_x000D_
02 11 07:32:07 766 20726 20726 E AndroidRuntime:        at com fsck k9 preferences migrations migration12 SmtpTransportUriDecoder decodeSmtpUri(SmtpTransportUriDecoder java:99)_x000D_
02 11 07:32:07 766 20726 20726 E AndroidRuntime:        at com fsck k9 preferences migrations StorageMigrationTo12 convertTransportUri(StorageMigrationTo12 kt:53)_x000D_
02 11 07:32:07 766 20726 20726 E AndroidRuntime:        at com fsck k9 preferences migrations StorageMigrationTo12 removeStoreAndTransportUri(StorageMigrationTo12 kt:29)_x000D_
02 11 07:32:07 766 20726 20726 E AndroidRuntime:        at com fsck k9 preferences migrations StorageMigrations upgradeDatabase(StorageMigrations kt:20)_x000D_
02 11 07:32:07 766 20726 20726 E AndroidRuntime:        at com fsck k9 preferences K9StoragePersister openDB(K9StoragePersister java:46)_x000D_
02 11 07:32:07 766 20726 20726 E AndroidRuntime:        at com fsck k9 preferences K9StoragePersister loadValues(K9StoragePersister java:145)_x000D_
02 11 07:32:07 766 20726 20726 E AndroidRuntime:        at com fsck k9 Preferences  init (Preferences java:79)_x000D_
02 11 07:32:07 766 20726 20726 E AndroidRuntime:        at com fsck k9 Preferences getPreferences(Preferences java:45)_x000D_
02 11 07:32:07 766 20726 20726 E AndroidRuntime:        at com fsck k9 KoinModuleKt mainModule 1 1 invoke(KoinModule kt:16)_x000D_
02 11 07:32:07 766 20726 20726 E AndroidRuntime:        at com fsck k9 KoinModuleKt mainModule 1 1 invoke(Unknown Source:4)_x000D_
02 11 07:32:07 770  1793 15197 W ActivityTaskManager:   Force finishing activity com fsck k9  activity MessageList_x000D_
02 11 07:32:07 811  1793  4398 I ActivityManager: Process com fsck k9 (pid 20726) has died: vis 99 TOP_x000D_
02 11 07:32:08 272  1793  1907 W ActivityTaskManager: Activity top resumed state loss timeout for ActivityRecord 7afa451 u0 com fsck k9  activity MessageList t 1 f _x000D_
02 11 07:36:43 199  1793  2365 I ActivityTaskManager: START u0  act android intent action MAIN cat  android intent category LAUNCHER  flg 0x10200000 cmp com fsck k9  activity MessageList bnds  588 187  756 355  (has extras)  from uid 10086_x000D_
02 11 07:36:43 255  1793  1930 I ActivityManager: Start proc 21800:com fsck k9 u0a336 for activity  com fsck k9 com fsck k9 activity MessageList  caller com miui home_x000D_
02 11 07:36:43 387 21800 21800 E AndroidRuntime: Process: com fsck k9  PID: 21800_x000D_
02 11 07:36:43 387 21800 21800 E AndroidRuntime: java lang RuntimeException: Unable to create application com fsck k9 App: org koin core error InstanceCreationException: Could not create instance for  Single: com fsck k9 Preferences  _x000D_
02 11 07:36:43 387 21800 21800 E AndroidRuntime: Caused by: org koin core error InstanceCreationException: Could not create instance for  Single: com fsck k9 Preferences  _x000D_
02 11 07:36:43 387 21800 21800 E AndroidRuntime:        at com fsck k9 K9  special  inlined inject 1 invoke(DI kt:118)_x000D_
02 11 07:36:43 387 21800 21800 E AndroidRuntime:        at com fsck k9 K9 getPreferences(Unknown Source:2)_x000D_
02 11 07:36:43 387 21800 21800 E AndroidRuntime:        at com fsck k9 K9 init(K9 kt:322)_x000D_
02 11 07:36:43 387 21800 21800 E AndroidRuntime:        at com fsck k9 App onCreate(App kt:22)_x000D_
02 11 07:36:43 387 21800 21800 E AndroidRuntime:        at com fsck k9 mail ServerSettings  init (Unknown Source:12)_x000D_
02 11 07:36:43 387 21800 21800 E AndroidRuntime:        at com fsck k9 mail ServerSettings  init (ServerSettings kt:17)_x000D_
02 11 07:36:43 387 21800 21800 E AndroidRuntime:        at com fsck k9 mail ServerSettings  init (Unknown Source:18)_x000D_
02 11 07:36:43 387 21800 21800 E AndroidRuntime:        at com fsck k9 preferences migrations migration12 SmtpTransportUriDecoder decodeSmtpUri(SmtpTransportUriDecoder java:99)_x000D_
02 11 07:36:43 387 21800 21800 E AndroidRuntime:        at com fsck k9 preferences migrations StorageMigrationTo12 convertTransportUri(StorageMigrationTo12 kt:53)_x000D_
02 11 07:36:43 387 21800 21800 E AndroidRuntime:        at com fsck k9 preferences migrations StorageMigrationTo12 removeStoreAndTransportUri(StorageMigrationTo12 kt:29)_x000D_
02 11 07:36:43 387 21800 21800 E AndroidRuntime:        at com fsck k9 preferences migrations StorageMigrations upgradeDatabase(StorageMigrations kt:20)_x000D_
02 11 07:36:43 387 21800 21800 E AndroidRuntime:        at com fsck k9 preferences K9StoragePersister openDB(K9StoragePersister java:46)_x000D_
02 11 07:36:43 387 21800 21800 E AndroidRuntime:        at com fsck k9 preferences K9StoragePersister loadValues(K9StoragePersister java:145)_x000D_
02 11 07:36:43 387 21800 21800 E AndroidRuntime:        at com fsck k9 Preferences  init (Preferences java:79)_x000D_
02 11 07:36:43 387 21800 21800 E AndroidRuntime:        at com fsck k9 Preferences getPreferences(Preferences java:45)_x000D_
02 11 07:36:43 387 21800 21800 E AndroidRuntime:        at com fsck k9 KoinModuleKt mainModule 1 1 invoke(KoinModule kt:16)_x000D_
02 11 07:36:43 387 21800 21800 E AndroidRuntime:        at com fsck k9 KoinModuleKt mainModule 1 1 invoke(Unknown Source:4)_x000D_
02 11 07:36:43 392  1793  4196 W ActivityTaskManager:   Force finishing activity com fsck k9  activity MessageList_x000D_
02 11 07:36:43 431  1793  2365 I ActivityManager: Process com fsck k9 (pid 21800) has died: vis 99 TOP_x000D_
02 11 07:36:43 894  1793  1907 W ActivityTaskManager: Activity top resumed state loss timeout for ActivityRecord 5cf0f97 u0 com fsck k9  activity MessageList t 1 f _x000D_
_x000D_
_x000D_
_x000D_
adb logcat   findstr 21800_x000D_
_x000D_
_x000D_
02 11 07:36:43 255  1793  1930 I ActivityManager: Start proc 21800:com fsck k9 u0a336 for activity  com fsck k9 com fsck k9 activity MessageList  caller com miui home_x000D_
02 11 07:36:43 387 21800 21800 E AndroidRuntime: FATAL EXCEPTION: main_x000D_
02 11 07:36:43 387 21800 21800 E AndroidRuntime: Process: com fsck k9  PID: 21800_x000D_
02 11 07:36:43 387 21800 21800 E AndroidRuntime: java lang RuntimeException: Unable to create application com fsck k9 App: org koin core error InstanceCreationException: Could not create instance for  Single: com fsck k9 Preferences  _x000D_
02 11 07:36:43 387 21800 21800 E AndroidRuntime:        at android app ActivityThread handleBindApplication(ActivityThread java:6587)_x000D_
02 11 07:36:43 387 21800 21800 E AndroidRuntime:        at android app ActivityThread access 1400(ActivityThread java:224)_x000D_
02 11 07:36:43 387 21800 21800 E AndroidRuntime:        at android app ActivityThread H handleMessage(ActivityThread java:1887)_x000D_
02 11 07:36:43 387 21800 21800 E AndroidRuntime:        at android os Handler dispatchMessage(Handler java:107)_x000D_
02 11 07:36:43 387 21800 21800 E AndroidRuntime:        at android os Looper loop(Looper java:224)_x000D_
02 11 07:36:43 387 21800 21800 E AndroidRuntime:        at android app ActivityThread main(ActivityThread java:7562)_x000D_
02 11 07:36:43 387 21800 21800 E AndroidRuntime:        at java lang reflect Method invoke(Native Method)_x000D_
02 11 07:36:43 387 21800 21800 E AndroidRuntime:        at com android internal os RuntimeInit MethodAndArgsCaller run(RuntimeInit java:539)_x000D_
02 11 07:36:43 387 21800 21800 E AndroidRuntime:        at com android internal os ZygoteInit main(ZygoteInit java:950)_x000D_
02 11 07:36:43 387 21800 21800 E AndroidRuntime: Caused by: org koin core error InstanceCreationException: Could not create instance for  Single: com fsck k9 Preferences  _x000D_
02 11 07:36:43 387 21800 21800 E AndroidRuntime:        at org koin core instance InstanceFactory create(InstanceFactory kt:59)_x000D_
02 11 07:36:43 387 21800 21800 E AndroidRuntime:        at org koin core instance SingleInstanceFactory create(SingleInstanceFactory kt:40)_x000D_
02 11 07:36:43 387 21800 21800 E AndroidRuntime:        at org koin core instance SingleInstanceFactory get(SingleInstanceFactory kt:48)_x000D_
02 11 07:36:43 387 21800 21800 E AndroidRuntime:        at org koin core registry InstanceRegistry resolveInstance koin core(InstanceRegistry kt:87)_x000D_
02 11 07:36:43 387 21800 21800 E AndroidRuntime:        at org koin core scope Scope resolveInstance(Scope kt:214)_x000D_
02 11 07:36:43 387 21800 21800 E AndroidRuntime:        at org koin core scope Scope get(Scope kt:181)_x000D_
02 11 07:36:43 387 21800 21800 E AndroidRuntime:        at com fsck k9 K9  special  inlined inject 1 invoke(DI kt:118)_x000D_
02 11 07:36:43 387 21800 21800 E AndroidRuntime:        at kotlin SynchronizedLazyImpl getValue(LazyJVM kt:74)_x000D_
02 11 07:36:43 387 21800 21800 E AndroidRuntime:        at com fsck k9 K9 getPreferences(Unknown Source:2)_x000D_
02 11 07:36:43 387 21800 21800 E AndroidRuntime:        at com fsck k9 K9 init(K9 kt:322)_x000D_
02 11 07:36:43 387 21800 21800 E AndroidRuntime:        at com fsck k9 App onCreate(App kt:22)_x000D_
02 11 07:36:43 387 21800 21800 E AndroidRuntime:        at android app Instrumentation callApplicationOnCreate(Instrumentation java:1190)_x000D_
02 11 07:36:43 387 21800 21800 E AndroidRuntime:        at android app ActivityThread handleBindApplication(ActivityThread java:6582)_x000D_
02 11 07:36:43 387 21800 21800 E AndroidRuntime:            8 more_x000D_
  02 11 07:36:43 387 21800 21800 E AndroidRuntime: Caused by: java lang NullPointerException: Parameter specified as non null is null: method kotlin jvm internal Intrinsics checkNotNullParameter  parameter authenticationType  _x000D_
02 11 07:36:43 387 21800 21800 E AndroidRuntime:        at com fsck k9 mail ServerSettings  init (Unknown Source:12)_x000D_
02 11 07:36:43 387 21800 21800 E AndroidRuntime:        at com fsck k9 mail ServerSettings  init (ServerSettings kt:17)_x000D_
02 11 07:36:43 387 21800 21800 E AndroidRuntime:        at com fsck k9 mail ServerSettings  init (Unknown Source:18)_x000D_
02 11 07:36:43 387 21800 21800 E AndroidRuntime:        at com fsck k9 preferences migrations migration12 SmtpTransportUriDecoder decodeSmtpUri(SmtpTransportUriDecoder java:99)_x000D_
02 11 07:36:43 387 21800 21800 E AndroidRuntime:        at com fsck k9 preferences migrations StorageMigrationTo12 convertTransportUri(StorageMigrationTo12 kt:53)_x000D_
02 11 07:36:43 387 21800 21800 E AndroidRuntime:        at com fsck k9 preferences migrations StorageMigrationTo12 removeStoreAndTransportUri(StorageMigrationTo12 kt:29)_x000D_
02 11 07:36:43 387 21800 21800 E AndroidRuntime:        at com fsck k9 preferences migrations StorageMigrations upgradeDatabase(StorageMigrations kt:20)_x000D_
02 11 07:36:43 387 21800 21800 E AndroidRuntime:        at com fsck k9 preferences K9StoragePersister openDB(K9StoragePersister java:46)_x000D_
02 11 07:36:43 387 21800 21800 E AndroidRuntime:        at com fsck k9 preferences K9StoragePersister loadValues(K9StoragePersister java:145)_x000D_
02 11 07:36:43 387 21800 21800 E AndroidRuntime:        at com fsck k9 Preferences  init (Preferences java:79)_x000D_
02 11 07:36:43 387 21800 21800 E AndroidRuntime:        at com fsck k9 Preferences getPreferences(Preferences java:45)_x000D_
02 11 07:36:43 387 21800 21800 E AndroidRuntime:        at com fsck k9 KoinModuleKt mainModule 1 1 invoke(KoinModule kt:16)_x000D_
02 11 07:36:43 387 21800 21800 E AndroidRuntime:        at com fsck k9 KoinModuleKt mainModule 1 1 invoke(Unknown Source:4)_x000D_
02 11 07:36:43 387 21800 21800 E AndroidRuntime:        at org koin core instance InstanceFactory create(InstanceFactory kt:50)_x000D_
02 11 07:36:43 387 21800 21800 E AndroidRuntime:            20 more_x000D_
02 11 07:36:43 431  1793  2365 I ActivityManager: Process com fsck k9 (pid 21800) has died: vis 99 TOP_x000D_
</t>
  </si>
  <si>
    <t>inaturalist-iNaturalistAndroid-984</t>
  </si>
  <si>
    <t>CursorWindowAllocationException in INaturalistService.syncJson</t>
  </si>
  <si>
    <t xml:space="preserve">https:  console firebase google com u 2 project inaturalist ios crashlytics app android:org inaturalist android issues 495427f4afe26e6f1d6e9aa5d637077a_x000D_
https:  console firebase google com u 2 project inaturalist ios crashlytics app android:org inaturalist android issues c710ae493f6aa3de37d32d47c8a066a5_x000D_
_x000D_
Is it really possible to have 103 cursors open at once  _x000D_
_x000D_
   _x000D_
Fatal Exception: android database CursorWindowAllocationException: Cursor window allocation of 2048 kb failed    Open Cursors 103 (  cursors opened by this proc 103)_x000D_
       at android database CursorWindow  init (CursorWindow java:108)_x000D_
       at android database AbstractWindowedCursor clearOrCreateWindow(AbstractWindowedCursor java:198)_x000D_
       at android database sqlite SQLiteCursor clearOrCreateWindow(SQLiteCursor java:309)_x000D_
       at android database sqlite SQLiteCursor fillWindow(SQLiteCursor java:147)_x000D_
       at android database sqlite SQLiteCursor getCount(SQLiteCursor java:141)_x000D_
       at android content ContentResolver query(ContentResolver java:779)_x000D_
       at android content ContentResolver query(ContentResolver java:710)_x000D_
       at android content ContentResolver query(ContentResolver java:668)_x000D_
       at org inaturalist android INaturalistService syncJson(INaturalistService java:6505)_x000D_
       at org inaturalist android INaturalistService getUserObservations(INaturalistService java:5407)_x000D_
       at org inaturalist android INaturalistService onHandleIntentWorker(INaturalistService java:1930)_x000D_
       at org inaturalist android INaturalistService 1 run(INaturalistService java:644)_x000D_
       at java lang Thread run(Thread java:764)_x000D_
   </t>
  </si>
  <si>
    <t>TeamNewPipe-NewPipe-5552</t>
  </si>
  <si>
    <t>Certain videos cannot be played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</si>
  <si>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https:  www youtube com watch v BONSAFTiafY (The Darkness 2)_x000D_
2  Try to view it_x000D_
3  Encounter the bug_x000D_
_x000D_
_x000D_
    Additional notes_x000D_
_x000D_
I have attempted to play it in the main  pop up and background  all failed  Other videos from the same channel are still visible and functional during different searches (like The Darkness 1)_x000D_
_x000D_
_x000D_
_x000D_
    Actual behavior_x000D_
_x000D_
It just results in a sad face saying  Video not available  and  Content not available  where the channel icon should be  That being said  comments are still loading fine _x000D_
_x000D_
_x000D_
_x000D_
    Expected behavior_x000D_
It should load and play as per usual _x000D_
_x000D_
_x000D_
    Logs_x000D_
No crash  No log _x000D_
_x000D_
    Device info_x000D_
_x000D_
   Android version Custom ROM version: Android 4 4_x000D_
</t>
  </si>
  <si>
    <t>forrestguice-SuntimesWidget-482</t>
  </si>
  <si>
    <t>app crash when changing locales from SuntimesAlarms</t>
  </si>
  <si>
    <t xml:space="preserve">To reproduce:_x000D_
1) Open SuntimesAlarms _x000D_
2) Navigate  Overflow      Settings      Language Settings   _x000D_
3) Change the language to any other value _x000D_
4) Press  Back  twice to navigate back to SuntimesAlarms _x000D_
_x000D_
I see the app crash at this point  with an exception in the logcat  The app seems to work normally after reopening it _x000D_
_x000D_
   _x000D_
02 10 09:12:00 902 30946 30946 com forrestguice suntimeswidget D localeForLanguageTag: tag: en :: locale: en_x000D_
02 10 09:12:00 902 30946 30946 com forrestguice suntimeswidget I loadLocale: en_x000D_
02 10 09:12:00 912 30946 30946 com forrestguice suntimeswidget D DEBUG: initDefaults_x000D_
02 10 09:12:00 942 30946 30946 com forrestguice suntimeswidget D setSelectedRowID:  1_x000D_
02 10 09:12:00 942 30946 30946 com forrestguice suntimeswidget D DEBUG: reloadAdapter_x000D_
02 10 09:12:01 012 30946 30946 com forrestguice suntimeswidget E TextView: Saved cursor position 4 4 out of range for (restored) text _x000D_
02 10 09:12:01 022 30946 30946 com forrestguice suntimeswidget E TextView: Saved cursor position 4 4 out of range for (restored) text _x000D_
02 10 09:12:01 022 30946 30946 com forrestguice suntimeswidget E TextView: Saved cursor position 4 4 out of range for (restored) text _x000D_
02 10 09:12:01 172 30946 30946 com forrestguice suntimeswidget D DEBUG: onListLoaded: 3_x000D_
02 10 09:12:01 182 30946 30946 com forrestguice suntimeswidget D AndroidRuntime: Shutting down VM_x000D_
02 10 09:12:01 182 30946 30946 com forrestguice suntimeswidget W dalvikvm: threadid 1: thread exiting with uncaught exception (group 0x41b52d58)_x000D_
02 10 09:12:01 192 30946 30946 com forrestguice suntimeswidget E AndroidRuntime: FATAL EXCEPTION: main_x000D_
    Process: com forrestguice suntimeswidget  PID: 30946_x000D_
    java lang IndexOutOfBoundsException: setSpan (2     2) ends beyond length 0_x000D_
        at android text SpannableStringBuilder checkRange(SpannableStringBuilder java:1016)_x000D_
        at android text SpannableStringBuilder setSpan(SpannableStringBuilder java:592)_x000D_
        at android text SpannableStringBuilder setSpan(SpannableStringBuilder java:588)_x000D_
        at android text Selection setSelection(Selection java:76)_x000D_
        at android widget EditText setSelection(EditText java:87)_x000D_
        at android widget NumberPicker SetSelectionCommand run(NumberPicker java:2181)_x000D_
        at android os Handler handleCallback(Handler java:733)_x000D_
        at android os Handler dispatchMessage(Handler java:95)_x000D_
        at android os Looper loop(Looper java:136)_x000D_
        at android app ActivityThread main(ActivityThread java:5057)_x000D_
        at java lang reflect Method invokeNative(Native Method)_x000D_
        at java lang reflect Method invoke(Method java:515)_x000D_
        at com android internal os ZygoteInit MethodAndArgsCaller run(ZygoteInit java:786)_x000D_
        at com android internal os ZygoteInit main(ZygoteInit java:602)_x000D_
        at dalvik system NativeStart main(Native Method)_x000D_
02 10 09:12:01 192 1071 1372   W ActivityManager:   Force finishing activity com forrestguice suntimeswidget  alarmclock ui AlarmClockActivityLauncher_x000D_
   _x000D_
_x000D_
This is kind of a strange exception   I can t tell where its coming from _x000D_
_x000D_
I can t seem to reproduce it with emulator (api28)  but it happens reliably on my older device (api19)  Kind of a mystery  since there isn t a NumberPicker anywhere in the view hierarchy  </t>
  </si>
  <si>
    <t>PojavLauncherTeam-PojavLauncher-841</t>
  </si>
  <si>
    <t>[BUG] all versions of optifine have environment bugs and Crashes</t>
  </si>
  <si>
    <t xml:space="preserve">  Describe the bug  _x000D_
OptiFine all versions have bug environment black sky on 1 16 optifine and too bright white sky and crashes on 1 14 4_x000D_
_x000D_
_x000D_
  To Reproduce  _x000D_
Steps to reproduce the behavior:_x000D_
1  Start PojavLauncher  _x000D_
2 install optifine _x000D_
_x000D_
  Expected behavior  _x000D_
I expect it will never lag its not lagging but have a environment bug on all version of optifine and crashes_x000D_
  Screenshots  _x000D_
_x000D_
_x000D_
_x000D_
  Platform:  _x000D_
   Device Model  e g  MRD LX2 (MRD L22) _x000D_
   CPU architecture  e g  aarch32  _x000D_
   Android Version  e g  9 _x000D_
_x000D_
 details   summary  b Additional context  b   summary _x000D_
 br _x000D_
 pre _x000D_
Add any other context about the problem here _x000D_
  pre _x000D_
  details _x000D_
 latestlog txt (https:  github com PojavLauncherTeam PojavLauncher files 5959947 latestlog txt)_x000D_
</t>
  </si>
  <si>
    <t>material-components-material-components-android-2056</t>
  </si>
  <si>
    <t>[MaterialAlertDialog] The style on this component requires your app theme to be Theme.AppCompat</t>
  </si>
  <si>
    <t xml:space="preserve">  Description:   _x000D_
I m having random crashes when trying to create  MaterialAlertDialog  _x000D_
The message:  The style on this component requires your app theme to be Theme AppCompat _x000D_
This is happening in some devices while is not happening in others  for instance I have an A71 Android 10  and is ok  but Crashlytics reports too many so far all related to the same issue and there are also A71 reported in Crashlytics with the same issue _x000D_
I m setting a custom view into the Alert Dialog and in some instances I m creating the Builder from a static Utility class that I can use across the application _x000D_
_x000D_
The source code below is from one of the cases  but I still have many issues with other Alert Dialog related to the same  This is a major issue for me  because is the source of too many crashes and I literally can t reproduce with my devices  I m aware of the crashes only for user reports and crashlytics _x000D_
_x000D_
_x000D_
  Expected behavior:   _x000D_
The dialog should show without any issue _x000D_
_x000D_
  Source code:   _x000D_
   _x000D_
    public void showChoiceDialog()  _x000D_
        View randomGeneratorView   View inflate(this  R layout alert dialog random generator  null) _x000D_
        TextInputEditText presidentName   randomGeneratorView findViewById(R id random presidents picker name) _x000D_
        presidentName setText(Utilities getSharedPreferences(this) getString(SP CARD NAME  EMPTY STRING)) _x000D_
        NumberPicker presidentsPicker   randomGeneratorView findViewById(R id random presidents picker) _x000D_
        presidentsPicker setMinValue(1) _x000D_
        presidentsPicker setMaxValue(45) _x000D_
        presidentsPicker setValue(Utilities getSharedPreferences(this) getInt(RANDOM PICK  1)) _x000D_
        new MaterialAlertDialogBuilder(this  R style alert dialog material theme progress bar)_x000D_
                 setTitle(R string generate random presidents name)_x000D_
                 setView(randomGeneratorView)_x000D_
                 setPositiveButton(R string ok  (dialog  which)     _x000D_
                    presidents clear() _x000D_
                    int randomPick   presidentsPicker getValue() _x000D_
                    generateRandomCards(randomPick  presidentName getText()    null   EMPTY STRING : presidentName getText() toString() trim()) _x000D_
                    Utilities savePreferences(RANDOM PICK  randomPick  Utilities EDITOR IS INT  this) _x000D_
                 )_x000D_
                 setNegativeButton(R string cancel  (dialog  which)     _x000D_
                 )_x000D_
                 show() _x000D_
     _x000D_
   _x000D_
 R layout alert dialog random generator_x000D_
   _x000D_
  xml version  1 0  encoding  utf 8   _x000D_
 androidx constraintlayout widget ConstraintLayout xmlns:android  http:  schemas android com apk res android _x000D_
    xmlns:app  http:  schemas android com apk res auto _x000D_
    android:layout width  wrap content _x000D_
    android:layout height  wrap content _x000D_
    android:layout gravity  center _x000D_
    android:padding   dimen eight dip  _x000D_
_x000D_
     NumberPicker_x000D_
        android:id    id random president picker _x000D_
        android:layout width  wrap content _x000D_
        android:layout height  wrap content _x000D_
        android:theme   style presidents picker random _x000D_
        app:layout constraintBottom toTopOf    id random president picker name container _x000D_
        app:layout constraintLeft toLeftOf  parent _x000D_
        app:layout constraintRight toRightOf  parent _x000D_
        app:layout constraintTop toBottomOf    id random president picker name container    _x000D_
_x000D_
     com google android material textfield TextInputLayout_x000D_
        android:id    id random president picker name container _x000D_
        style   style edit text input layout _x000D_
        android:layout width   dimen one eighty dip _x000D_
        android:layout height  wrap content _x000D_
        android:layout marginTop   dimen eight dip _x000D_
        android:hint   string cards name _x000D_
        app:counterEnabled  true _x000D_
        app:counterMaxLength  10 _x000D_
        app:layout constraintBottom toBottomOf  parent _x000D_
        app:layout constraintLeft toLeftOf  parent _x000D_
        app:layout constraintRight toRightOf  parent _x000D_
        app:layout constraintTop toBottomOf    id random president picker  _x000D_
_x000D_
         com google android material textfield TextInputEditText_x000D_
            android:id    id random president picker name _x000D_
            android:layout width  match parent _x000D_
            android:layout height  wrap content _x000D_
            android:maxLength  10 _x000D_
            android:textColor   attr colorPrimarySurface _x000D_
            android:textSize   dimen sixteen sip    _x000D_
      com google android material textfield TextInputLayout _x000D_
  androidx constraintlayout widget ConstraintLayout _x000D_
   _x000D_
Theme_x000D_
   _x000D_
     style name  theme alpha  parent  Theme MaterialComponents Light NoActionBar  _x000D_
         item name  actionButtonStyle   style action button style  item _x000D_
         item name  actionModeCloseDrawable   drawable nav draw back  item _x000D_
         item name  actionModeStyle   style action mode  item _x000D_
         item name  android:includeFontPadding  false  item _x000D_
         item name  bottomSheetDialogTheme   style bottom sheet dialog theme  item _x000D_
         item name  card background color   color blue grey 900  item _x000D_
         item name  card text color   android:color white  item _x000D_
         item name  checkboxStyle   style checkbox theme  item _x000D_
         item name  fontFamily   font montserrat regular  item _x000D_
         item name  listPreferredItemHeightSmall   dimen forty eight dip  item _x000D_
         item name  materialAlertDialogTheme   style alert dialog material theme  item _x000D_
         item name  snackbarButtonStyle   style snack bar button  item _x000D_
         item name  snackbarStyle   style snack bar theme  item _x000D_
         item name  snackbarTextViewStyle   style snack bar text style  item _x000D_
         item name  spinnerStyle   style spinner style  item _x000D_
         item name  windowActionModeOverlay  true  item _x000D_
      style _x000D_
   _x000D_
Styles_x000D_
   _x000D_
    style name  alert dialog material theme  parent  ThemeOverlay MaterialComponents MaterialAlertDialog  _x000D_
         item name  android:textColor   attr colorPrimarySurface  item _x000D_
         item name  android:textColorPrimary   attr colorPrimarySurface  item _x000D_
         item name  android:windowMinWidthMajor   dimen window min width major  item _x000D_
         item name  android:windowMinWidthMinor   dimen window min width minor  item _x000D_
         item name  colorOnSurface   attr colorPrimarySurface  item _x000D_
         item name  colorPrimary   attr colorPrimarySurface  item _x000D_
         item name  colorSurface   attr colorPrimaryVariant  item _x000D_
         item name  shapeAppearanceOverlay   style alert dialog material shape appearance  item _x000D_
         item name  windowMinWidthMajor   dimen window min width major  item _x000D_
         item name  windowMinWidthMinor   dimen window min width minor  item _x000D_
      style _x000D_
_x000D_
     style name  numbers picker random  _x000D_
         item name  android:textColorPrimary   attr colorPrimarySurface  item _x000D_
         item name  android:textSize   dimen twenty sip  item _x000D_
         item name  colorControlNormal   attr colorAccent  item _x000D_
      style _x000D_
_x000D_
   _x000D_
Logcat from Crashlytics_x000D_
   _x000D_
Caused by java lang IllegalArgumentException: The style on this component requires your app theme to be Theme AppCompat (or a descendant) _x000D_
       at com google android material internal ThemeEnforcement checkTheme(ThemeEnforcement java:243)_x000D_
       at com google android material internal ThemeEnforcement checkAppCompatTheme(ThemeEnforcement java:213)_x000D_
       at com google android material internal ThemeEnforcement checkCompatibleTheme(ThemeEnforcement java:148)_x000D_
       at com google android material internal ThemeEnforcement obtainStyledAttributes(ThemeEnforcement java:76)_x000D_
       at com google android material dialog MaterialDialogs getDialogBackgroundInsets(MaterialDialogs java:60)_x000D_
       at com google android material dialog MaterialAlertDialogBuilder  init (MaterialAlertDialogBuilder java:117)_x000D_
       at com google android material dialog MaterialAlertDialogBuilder  init (MaterialAlertDialogBuilder java:103)_x000D_
       at com guanacodevs utilities Utilities customAlertDialog(Utilities java:411)_x000D_
       at com guanacodevs ubv activities ActivityHome resetGame(ActivityHome java:2117)_x000D_
       at java lang reflect Method invoke(Method java)_x000D_
       at androidx appcompat view SupportMenuInflater InflatedOnMenuItemClickListener onMenuItemClick(SupportMenuInflater java:267)_x000D_
       at androidx appcompat view menu MenuItemImpl invoke(MenuItemImpl java:154)_x000D_
       at androidx appcompat view menu MenuBuilder performItemAction(MenuBuilder java:985)_x000D_
       at androidx appcompat view menu MenuBuilder performItemAction(MenuBuilder java:975)_x000D_
       at androidx appcompat widget ActionMenuView invokeItem(ActionMenuView java:623)_x000D_
       at androidx appcompat view menu ActionMenuItemView onClick(ActionMenuItemView java:151)_x000D_
       at android view View performClick(View java:6659)_x000D_
       at android view View performClickInternal(View java:6631)_x000D_
       at android view View access 3100(View java:790)_x000D_
       at android view View PerformClick run(View java:26187)_x000D_
       at android os Handler handleCallback(Handler java:907)_x000D_
       at android os Handler dispatchMessage(Handler java:105)_x000D_
       at android os Looper loop(Looper java:216)_x000D_
       at android app ActivityThread main(ActivityThread java:7625)_x000D_
       at java lang reflect Method invoke(Method java)_x000D_
       at com android internal os RuntimeInit MethodAndArgsCaller run(RuntimeInit java:524)_x000D_
       at com android internal os ZygoteInit main(ZygoteInit java:987)_x000D_
   _x000D_
_x000D_
  Android API version:   _x000D_
8  9  10  11_x000D_
_x000D_
  Material Library version:  _x000D_
Material Android Library version you are using here 1 3 0_x000D_
_x000D_
  Device:   _x000D_
Too many to list_x000D_
</t>
  </si>
  <si>
    <t>material-components-material-components-android-2054</t>
  </si>
  <si>
    <t>Badges in BottomNavigation: IllegalArgumentException("badgeDrawable cannot be null");</t>
  </si>
  <si>
    <t xml:space="preserve">  Description:  _x000D_
_x000D_
So I am currently using badges on tabs on a bottom navigation view in my activity  Like so:_x000D_
_x000D_
 img width  372  alt  Screen Shot 2021 02 10 at 9 08 51 AM  src  https:  user images githubusercontent com 6536941 107520634 a351d580 6b7f 11eb 8151 ff4e6d7cb92a png  _x000D_
_x000D_
I occasionally get an  IllegalArgumentException  crash report in my Google Play Console  By reading the call stack you can trace the issue back to the  createParcelableBadgeStates()  function in  BadgeUtils java (https:  github com material components material components android blob master lib java com google android material badge BadgeUtils java) _x000D_
_x000D_
   java_x000D_
   _x000D_
     Given a map of int keys to   code BadgeDrawable BadgeDrawables   creates a parcelable map of_x000D_
     unique int keys to   code BadgeDrawable SavedState SavedStates   Useful for state restoration _x000D_
    _x000D_
      param badgeDrawables A   link SparseArray  that contains a map of int keys (e g  menuItemId)_x000D_
         to   code BadgeDrawable BadgeDrawables  _x000D_
      return A parcelable   link SparseArray  that contains a map of int keys (e g  menuItemId) to_x000D_
           code BadgeDrawable SavedState SavedStates  _x000D_
     _x000D_
   NonNull_x000D_
  public static ParcelableSparseArray createParcelableBadgeStates(_x000D_
       NonNull SparseArray BadgeDrawable  badgeDrawables)  _x000D_
    ParcelableSparseArray badgeStates   new ParcelableSparseArray() _x000D_
    for (int i   0  i   badgeDrawables size()  i  )  _x000D_
      int key   badgeDrawables keyAt(i) _x000D_
      BadgeDrawable badgeDrawable   badgeDrawables valueAt(i) _x000D_
      if (badgeDrawable    null)  _x000D_
        throw new IllegalArgumentException( badgeDrawable cannot be null )           This is the error that is being thrown_x000D_
       _x000D_
      badgeStates put(key  badgeDrawable getSavedState()) _x000D_
     _x000D_
    return badgeStates _x000D_
   _x000D_
   _x000D_
_x000D_
 I have not been able to replicate it myself  but I was curious to see if anyone else knew about had this issue because it does appear to be regularly occurring _x000D_
_x000D_
  Full CallStack:  _x000D_
_x000D_
   java lang IllegalArgumentException   _x000D_
com google android material badge BadgeUtils createParcelableBadgeStates_x000D_
_x000D_
   _x000D_
java lang IllegalArgumentException: _x000D_
  at com google android material badge BadgeUtils createParcelableBadgeStates (BadgeUtils java:136)_x000D_
  at com google android material bottomnavigation BottomNavigationPresenter onSaveInstanceState (BottomNavigationPresenter java:114)_x000D_
  at androidx appcompat view menu MenuBuilder dispatchSaveInstanceState (MenuBuilder java:332)_x000D_
  at androidx appcompat view menu MenuBuilder savePresenterStates (MenuBuilder java:365)_x000D_
  at com google android material bottomnavigation BottomNavigationView onSaveInstanceState (BottomNavigationView java:739)_x000D_
  at android view View dispatchSaveInstanceState (View java:18584)_x000D_
  at android view ViewGroup dispatchSaveInstanceState (ViewGroup java:3856)_x000D_
  at android view ViewGroup dispatchSaveInstanceState (ViewGroup java:3862)_x000D_
  at android view ViewGroup dispatchSaveInstanceState (ViewGroup java:3862)_x000D_
  at android view ViewGroup dispatchSaveInstanceState (ViewGroup java:3862)_x000D_
  at android view ViewGroup dispatchSaveInstanceState (ViewGroup java:3862)_x000D_
  at android view View saveHierarchyState (View java:18567)_x000D_
  at com android internal policy PhoneWindow saveHierarchyState (PhoneWindow java:2100)_x000D_
  at android app Activity onSaveInstanceState (Activity java:1717)_x000D_
  at androidx core app ComponentActivity onSaveInstanceState (ComponentActivity java:93)_x000D_
  at androidx activity ComponentActivity onSaveInstanceState (ComponentActivity java:169)_x000D_
  at androidx fragment app FragmentActivity onSaveInstanceState (FragmentActivity java:509)_x000D_
  at androidx appcompat app AppCompatActivity onSaveInstanceState (AppCompatActivity java:544)_x000D_
  at android app Activity performSaveInstanceState (Activity java:1644)_x000D_
  at android app Instrumentation callActivityOnSaveInstanceState (Instrumentation java:1443)_x000D_
  at android app ActivityThread callActivityOnSaveInstanceState (ActivityThread java:4926)_x000D_
  at android app ActivityThread callActivityOnStop (ActivityThread java:4274)_x000D_
  at android app ActivityThread performStopActivityInner (ActivityThread java:4238)_x000D_
  at android app ActivityThread handleStopActivity (ActivityThread java:4313)_x000D_
  at android app servertransaction StopActivityItem execute (StopActivityItem java:41)_x000D_
  at android app servertransaction TransactionExecutor executeLifecycleState (TransactionExecutor java:145)_x000D_
  at android app servertransaction TransactionExecutor execute (TransactionExecutor java:70)_x000D_
  at android app ActivityThread H handleMessage (ActivityThread java:1905)_x000D_
  at android os Handler dispatchMessage (Handler java:106)_x000D_
  at android os Looper loop (Looper java:193)_x000D_
  at android app ActivityThread main (ActivityThread java:6788)_x000D_
  at java lang reflect Method invoke (Native Method)_x000D_
  at com android internal os RuntimeInit MethodAndArgsCaller run (RuntimeInit java:493)_x000D_
  at com android internal os ZygoteInit main (ZygoteInit java:911)_x000D_
   _x000D_
_x000D_
  Android API version:   I have seen this error happen on devices running Android 9 all the way up to Android 11_x000D_
_x000D_
  Material Library version:    com google android material:material:1 2 1 _x000D_
_x000D_
  Devices thus far:   _x000D_
_x000D_
Google Pixel 4 XL_x000D_
Samsung Galaxy A11_x000D_
LGE Stylo 6_x000D_
TCT (Alcatel) Alcatel 3V_x000D_
_x000D_
Thanks _x000D_
</t>
  </si>
  <si>
    <t>AOF-Dev-MCinaBox-937</t>
  </si>
  <si>
    <t>Forge not working 1.12.2 0.14 p5</t>
  </si>
  <si>
    <t xml:space="preserve">So when I try to install forge everything is fine but when I run it  it crashes first it s white then turns black then the app completely crashes  It s 1 12 2 forge the recommended version _x000D_
_x000D_
  To Reproduce  _x000D_
Steps to reproduce the behavior:_x000D_
1  Go to Run 1 12 2 forge_x000D_
2  Click on it_x000D_
3  Wait_x000D_
4  Then you see a error_x000D_
_x000D_
  Expected behavior  _x000D_
I expected it to run _x000D_
_x000D_
  Screenshots  _x000D_
I cannot really take any that would help_x000D_
_x000D_
  Smartphone (please complete the following information):  _x000D_
   Device: Samsung Galaxy s9 plus_x000D_
   OS: Android 10_x000D_
   App Version 0 14 p5_x000D_
   CPU architecture arm64_x000D_
</t>
  </si>
  <si>
    <t>nextcloud-android-7964</t>
  </si>
  <si>
    <t>Nextcloud for Android keeps crashing when left running in background</t>
  </si>
  <si>
    <t xml:space="preserve">    Steps to reproduce_x000D_
1  Open file from Nextcloud  which launches an external app (in my case  a PDF file that opens in the app Xodo)  _x000D_
2  Work in the other app for a while  with the Nextcloud app open in the background  _x000D_
3  Switch back to Nextcloud  _x000D_
_x000D_
When reaching step 3 above  I get a message that Nextcloud has crashed  with the following information (this has happened multiple times in recent days  though not necessarily every time I use Nextcloud in this way):_x000D_
_x000D_
             CAUSE OF ERROR             _x000D_
_x000D_
java lang NullPointerException: Attempt to invoke virtual method  void com owncloud android ui fragment FileDetailActivitiesFragment markCommentsAsRead()  on a null object reference_x000D_
	at com owncloud android ui fragment FileDetailFragment 1 onPageScrolled(FileDetailFragment java:242)_x000D_
	at androidx viewpager widget ViewPager dispatchOnPageScrolled(ViewPager java:1930)_x000D_
	at androidx viewpager widget ViewPager onPageScrolled(ViewPager java:1904)_x000D_
	at androidx viewpager widget ViewPager pageScrolled(ViewPager java:1842)_x000D_
	at androidx viewpager widget ViewPager scrollToItem(ViewPager java:694)_x000D_
	at androidx viewpager widget ViewPager onLayout(ViewPager java:1786)_x000D_
	at android view View layout(View java:22498)_x000D_
	at android view ViewGroup layout(ViewGroup java:7188)_x000D_
	at android widget LinearLayout setChildFrame(LinearLayout java:1812)_x000D_
	at android widget LinearLayout layoutVertical(LinearLayout java:1656)_x000D_
	at android widget LinearLayout onLayout(LinearLayout java:1565)_x000D_
	at android view View layout(View java:22498)_x000D_
	at android view ViewGroup layout(ViewGroup java:7188)_x000D_
	at android widget FrameLayout layoutChildren(FrameLayout java:323)_x000D_
	at android widget FrameLayout onLayout(FrameLayout java:261)_x000D_
	at android view View layout(View java:22498)_x000D_
	at android view ViewGroup layout(ViewGroup java:7188)_x000D_
	at android widget LinearLayout setChildFrame(LinearLayout java:1812)_x000D_
	at android widget LinearLayout layoutHorizontal(LinearLayout java:1801)_x000D_
	at android widget LinearLayout onLayout(LinearLayout java:1567)_x000D_
	at android view View layout(View java:22498)_x000D_
	at android view ViewGroup layout(ViewGroup java:7188)_x000D_
	at com google android material appbar HeaderScrollingViewBehavior layoutChild(HeaderScrollingViewBehavior java:148)_x000D_
	at com google android material appbar ViewOffsetBehavior onLayoutChild(ViewOffsetBehavior java:43)_x000D_
	at com google android material appbar AppBarLayout ScrollingViewBehavior onLayoutChild(AppBarLayout java:1996)_x000D_
	at androidx coordinatorlayout widget CoordinatorLayout onLayout(CoordinatorLayout java:918)_x000D_
	at android view View layout(View java:22498)_x000D_
	at android view ViewGroup layout(ViewGroup java:7188)_x000D_
	at androidx drawerlayout widget DrawerLayout onLayout(DrawerLayout java:1231)_x000D_
	at android view View layout(View java:22498)_x000D_
	at android view ViewGroup layout(ViewGroup java:7188)_x000D_
	at android widget FrameLayout layoutChildren(FrameLayout java:323)_x000D_
	at android widget FrameLayout onLayout(FrameLayout java:261)_x000D_
	at android view View layout(View java:22498)_x000D_
	at android view ViewGroup layout(ViewGroup java:7188)_x000D_
	at android widget FrameLayout layoutChildren(FrameLayout java:323)_x000D_
	at android widget FrameLayout onLayout(FrameLayout java:261)_x000D_
	at android view View layout(View java:22498)_x000D_
	at android view ViewGroup layout(ViewGroup java:7188)_x000D_
	at android widget FrameLayout layoutChildren(FrameLayout java:323)_x000D_
	at android widget FrameLayout onLayout(FrameLayout java:261)_x000D_
	at android view View layout(View java:22498)_x000D_
	at android view ViewGroup layout(ViewGroup java:7188)_x000D_
	at android widget LinearLayout setChildFrame(LinearLayout java:1812)_x000D_
	at android widget LinearLayout layoutVertical(LinearLayout java:1656)_x000D_
	at android widget LinearLayout onLayout(LinearLayout java:1565)_x000D_
	at android view View layout(View java:22498)_x000D_
	at android view ViewGroup layout(ViewGroup java:7188)_x000D_
	at android widget FrameLayout layoutChildren(FrameLayout java:323)_x000D_
	at android widget FrameLayout onLayout(FrameLayout java:261)_x000D_
	at com android internal policy DecorView onLayout(DecorView java:1100)_x000D_
	at android view View layout(View java:22498)_x000D_
	at android view ViewGroup layout(ViewGroup java:7188)_x000D_
	at android view ViewRootImpl performLayout(ViewRootImpl java:3455)_x000D_
	at android view ViewRootImpl performTraversals(ViewRootImpl java:2915)_x000D_
	at android view ViewRootImpl doTraversal(ViewRootImpl java:1963)_x000D_
	at android view ViewRootImpl TraversalRunnable run(ViewRootImpl java:8719)_x000D_
	at android view Choreographer CallbackRecord run(Choreographer java:988)_x000D_
	at android view Choreographer doCallbacks(Choreographer java:765)_x000D_
	at android view Choreographer doFrame(Choreographer java:700)_x000D_
	at android view Choreographer FrameDisplayEventReceiver run(Choreographer java:967)_x000D_
	at android os Handler handleCallback(Handler java:873)_x000D_
	at android os Handler dispatchMessage(Handler java:99)_x000D_
	at android os Looper loop(Looper java:216)_x000D_
	at android app ActivityThread main(ActivityThread java:7266)_x000D_
	at java lang reflect Method invoke(Native Method)_x000D_
	at com android internal os RuntimeInit MethodAndArgsCaller run(RuntimeInit java:494)_x000D_
	at com android internal os ZygoteInit main(ZygoteInit java:975)_x000D_
_x000D_
             APP INFORMATION             _x000D_
ID: com nextcloud client_x000D_
Version: 30150090_x000D_
Build flavor: gplay_x000D_
_x000D_
             DEVICE INFORMATION             _x000D_
Brand: samsung_x000D_
Device: gts3llte_x000D_
Model: SM T825_x000D_
Id: PPR1 180610 011_x000D_
Product: gts3lltexx_x000D_
_x000D_
             FIRMWARE             _x000D_
SDK: 28_x000D_
Release: 9_x000D_
Incremental: T825XXU3CTD1_x000D_
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</si>
  <si>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TeamNewPipe-NewPipe-5550</t>
  </si>
  <si>
    <t>Channel not loading all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</si>
  <si>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and found a duplicate (closed) of this issue in the repo       Seriously  check  O O    _x000D_
   5548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Search for any term  and select a video _x000D_
2  Pause the video and tap on the name of the channel _x000D_
3  When on the channel s main page  scroll to the bottom _x000D_
4  Encounter the bug _x000D_
_x000D_
     If you can t cause the bug to show up again reliably (and hence don t have a proper set of steps to give us)  please still try to give as many details as possible on how you think you encountered the bug     _x000D_
_x000D_
_x000D_
_x000D_
    Actual behaviour_x000D_
_x000D_
It scrolls for 1  page  of videos  then stops loading the next set page of videos _x000D_
_x000D_
_x000D_
_x000D_
    Expected behavior_x000D_
_x000D_
It should be loading all the videos from the channel _x000D_
_x000D_
_x000D_
    Additional notes_x000D_
_x000D_
In a possibly (un)related issue  I was recently bombarded with captcha verification requests for 3 or 4 days  that issue resolved itself about 2 days ago  but seems to coincide with this bug appearing _x000D_
_x000D_
_x000D_
_x000D_
    Logs_x000D_
_x000D_
No crash  No log </t>
  </si>
  <si>
    <t>PojavLauncherTeam-PojavLauncher-839</t>
  </si>
  <si>
    <t>[BUG] Forge 1.12.2 crashing whilst loading</t>
  </si>
  <si>
    <t xml:space="preserve">  Describe the bug  
After 2 minutes forge crashes whilst loading 
  To Reproduce  
Steps to reproduce the behavior:
1  Start PojavLauncher
2  Start Forge 1 12 2
  Expected behavior  
I expected for the game to load as my computer normally would 
  Screenshots  
  Platform:  
   Device Model  Huawei P30 Lite 
   CPU architecture  aarch64  
   Android Version  10 
Full log:
          beggining with launcher debug Info: LWJGL3 directory:  jsr305 jar  lwjgl glfw classes jar  lwjgl jemalloc jar  lwjgl openal jar  lwjgl opengl jar  lwjgl stb jar  lwjgl tinyfd jar  lwjgl jar  version  Architecture: arm64 aarch64 Info: Custom Java arguments:   Xms768m  Xmx800m  Headless version detected  (20200412)           beginning of system           beginning of crash           beginning of main I jrelog (16448): Starting logging STDIO as jrelog:V I jrelog (16448): WARNING: linker: I jrelog (16448): Warning:   data data net kdt pojavlaunch jre runtime lib aarch64 jli libjli so  unused DT entry: DT RPATH (type 0xf I jrelog (16448): arg 0x361) (ignoring) I jrelog (16448): dlopen  data user 0 net kdt pojavlaunch jre runtime lib aarch64 jli libjli so success I jrelog (16448): WARNING: linker: Warning:   data data net kdt pojavlaunch jre runtime lib aarch64 jli libjli so  has unsupported flags DT FLAGS 1 0x81 (ignoring unsupported flags) I jrelog (16448): dlopen  data user 0 net kdt pojavlaunch jre runtime lib aarch64 server libjvm so success I jrelog (16448): WARNING: linker: I jrelog (16448): Warning:   I jrelog (16448):  data data net kdt pojavlaunch jre runtime lib aarch64 libverify so I jrelog (16448):   unused DT entry: I jrelog (16448): DT RPATH I jrelog (16448): (type I jrelog (16448): 0xf I jrelog (16448): arg I jrelog (16448): 0x450 I jrelog (16448): ) (ignoring) I jrelog (16448): I jrelog (16448): WARNING: linker: I jrelog (16448): Warning:   I jrelog (16448):  data data net kdt pojavlaunch jre runtime lib aarch64 libverify so I jrelog (16448):   has unsupported flags DT FLAGS 1  I jrelog (16448): 0x81 I jrelog (16448): (ignoring unsupported flags) I jrelog (16448): I jrelog (16448): dlopen  data user 0 net kdt pojavlaunch jre runtime lib aarch64 libverify so success I jrelog (16448): WARNING: linker: I jrelog (16448): Warning:   I jrelog (16448):  data data net kdt pojavlaunch jre runtime lib aarch64 libjava so I jrelog (16448):   unused DT entry: I jrelog (16448): DT RPATH I jrelog (16448): (type I jrelog (16448): 0xf I jrelog (16448): arg I jrelog (16448): 0x33c0 I jrelog (16448): ) (ignoring) I jrelog (16448): I jrelog (16448): WARNING: linker: I jrelog (16448): Warning:   I jrelog (16448):  data data net kdt pojavlaunch jre runtime lib aarch64 libjava so I jrelog (16448):   has unsupported flags DT FLAGS 1  I jrelog (16448): 0x81 I jrelog (16448): (ignoring unsupported flags) I jrelog (16448): I jrelog (16448): dlopen  data user 0 net kdt pojavlaunch jre runtime lib aarch64 libjava so success I jrelog (16448): WARNING: linker: I jrelog (16448): Warning:   I jrelog (16448):  data data net kdt pojavlaunch jre runtime lib aarch64 libnet so I jrelog (16448):   unused DT entry: I jrelog (16448): DT RPATH I jrelog (16448): (type I jrelog (16448): 0xf I jrelog (16448): arg I jrelog (16448): 0x13b8 I jrelog (16448): ) (ignoring) I jrelog (16448): I jrelog (16448): WARNING: linker: I jrelog (16448): Warning:   I jrelog (16448):  data data net kdt pojavlaunch jre runtime lib aarch64 libnet so I jrelog (16448):   has unsupported flags DT FLAGS 1  I jrelog (16448): 0x81 I jrelog (16448): (ignoring unsupported flags) I jrelog (16448): I jrelog (16448): dlopen  data user 0 net kdt pojavlaunch jre runtime lib aarch64 libnet so success I jrelog (16448): WARNING: linker: I jrelog (16448): Warning:   I jrelog (16448):  data data net kdt pojavlaunch jre runtime lib aarch64 libnio so I jrelog (16448):   unused DT entry: I jrelog (16448): DT RPATH I jrelog (16448): (type I jrelog (16448): 0xf I jrelog (16448): arg I jrelog (16448): 0x2196 I jrelog (16448): ) (ignoring) I jrelog (16448): I jrelog (16448): WARNING: linker: I jrelog (16448): Warning:   I jrelog (16448):  data data net kdt pojavlaunch jre runtime lib aarch64 libnio so I jrelog (16448):   has unsupported flags DT FLAGS 1  I jrelog (16448): 0x81 I jrelog (16448): (ignoring unsupported flags) I jrelog (16448): I jrelog (16448): dlopen  data user 0 net kdt pojavlaunch jre runtime lib aarch64 libnio so success I jrelog (16448): WARNING: linker: I jrelog (16448): Warning:   I jrelog (16448):  data data net kdt pojavlaunch jre runtime lib aarch64 libawt so I jrelog (16448):   unused DT entry: I jrelog (16448): DT RPATH I jrelog (16448): (type I jrelog (16448): 0xf I jrelog (16448): arg I jrelog (16448): 0x6a46 I jrelog (16448): ) (ignoring) I jrelog (16448): I jrelog (16448): WARNING: linker: I jrelog (16448): Warning:   I jrelog (16448):  data data net kdt pojavlaunch jre runtime lib aarch64 libawt so I jrelog (16448):   has unsupported flags DT FLAGS 1  I jrelog (16448): 0x81 I jrelog (16448): (ignoring unsupported flags) I jrelog (16448): I jrelog (16448): dlopen  data user 0 net kdt pojavlaunch jre runtime lib aarch64 libawt so success I jrelog (16448): WARNING: linker: I jrelog (16448): Warning:   I jrelog (16448):  data data net kdt pojavlaunch jre runtime lib aarch64 libawt headless so I jrelog (16448):   unused DT entry: I jrelog (16448): DT RPATH I jrelog (16448): (type I jrelog (16448): 0xf I jrelog (16448): arg I jrelog (16448): 0x4d9 I jrelog (16448): ) (ignoring) I jrelog (16448): I jrelog (16448): WARNING: linker: I jrelog (16448): Warning:   I jrelog (16448):  data data net kdt pojavlaunch jre runtime lib aarch64 libawt headless so I jrelog (16448):   has unsupported flags DT FLAGS 1  I jrelog (16448): 0x81 I jrelog (16448): (ignoring unsupported flags) I jrelog (16448): I jrelog (16448): dlopen  data user 0 net kdt pojavlaunch jre runtime lib aarch64 libawt headless so success I jrelog (16448): dlopen  data user 0 net kdt pojavlaunch jre runtime lib aarch64 libfreetype so success I jrelog (16448): WARNING: linker: I jrelog (16448): Warning:   I jrelog (16448):  data data net kdt pojavlaunch jre runtime lib aarch64 libfontmanager so I jrelog (16448):   unused DT entry: I jrelog (16448): DT RPATH I jrelog (16448): (type I jrelog (16448): 0xf I jrelog (16448): arg I jrelog (16448): 0xda0 I jrelog (16448): ) (ignoring) I jrelog (16448): I jrelog (16448): WARNING: linker: I jrelog (16448): Warning:   I jrelog (16448):  data data net kdt pojavlaunch jre runtime lib aarch64 libfontmanager so I jrelog (16448):   has unsupported flags DT FLAGS 1  I jrelog (16448): 0x81 I jrelog (16448): (ignoring unsupported flags) I jrelog (16448): I jrelog (16448): dlopen  data user 0 net kdt pojavlaunch jre runtime lib aarch64 libfontmanager so success I jrelog (16448): WARNING: linker: I jrelog (16448): Warning:   I jrelog (16448):  data data net kdt pojavlaunch jre runtime lib aarch64 libhprof so I jrelog (16448):   unused DT entry: I jrelog (16448): DT RPATH I jrelog (16448): (type I jrelog (16448): 0xf I jrelog (16448): arg I jrelog (16448): 0x1d2 I jrelog (16448): ) (ignoring) I jrelog (16448): I jrelog (16448): WARNING: linker: I jrelog (16448): Warning:   I jrelog (16448):  data data net kdt pojavlaunch jre runtime lib aarch64 libhprof so I jrelog (16448):   has unsupported flags DT FLAGS 1  I jrelog (16448): 0x81 I jrelog (16448): (ignoring unsupported flags) I jrelog (16448): I jrelog (16448): dlopen  data user 0 net kdt pojavlaunch jre runtime lib aarch64 libhprof so success I jrelog (16448): dlopen  data user 0 net kdt pojavlaunch jre runtime lib aarch64 libfontmanager so success I jrelog (16448): WARNING: linker: I jrelog (16448): Warning:   I jrelog (16448):  data data net kdt pojavlaunch jre runtime lib aarch64 libj2pcsc so I jrelog (16448):   unused DT entry: I jrelog (16448): DT RPATH I jrelog (16448): (type I jrelog (16448): 0xf I jrelog (16448): arg I jrelog (16448): 0x2e6 I jrelog (16448): ) (ignoring) I jrelog (16448): I jrelog (16448): WARNING: linker: I jrelog (16448): Warning:   I jrelog (16448):  data data net kdt pojavlaunch jre runtime lib aarch64 libj2pcsc so I jrelog (16448):   has unsupported flags DT FLAGS 1  I jrelog (16448): 0x81 I jrelog (16448): (ignoring unsupported flags) I jrelog (16448): I jrelog (16448): dlopen  data user 0 net kdt pojavlaunch jre runtime lib aarch64 libj2pcsc so success I jrelog (16448): WARNING: linker: I jrelog (16448): Warning:   I jrelog (16448):  data data net kdt pojavlaunch jre runtime lib aarch64 libdt socket so I jrelog (16448):   unused DT entry: I jrelog (16448): DT RPATH I jrelog (16448): (type I jrelog (16448): 0xf I jrelog (16448): arg I jrelog (16448): 0x1c1 I jrelog (16448): ) (ignoring) I jrelog (16448): I jrelog (16448): WARNING: linker: I jrelog (16448): Warning:   I jrelog (16448):  data data net kdt pojavlaunch jre runtime lib aarch64 libdt socket so I jrelog (16448):   has unsupported flags DT FLAGS 1  I jrelog (16448): 0x81 I jrelog (16448): (ignoring unsupported flags) I jrelog (16448): I jrelog (16448): dlopen  data user 0 net kdt pojavlaunch jre runtime lib aarch64 libdt socket so success I jrelog (16448): WARNING: linker: I jrelog (16448): Warning:   I jrelog (16448):  data data net kdt pojavlaunch jre runtime lib aarch64 liblcms so I jrelog (16448):   unused DT entry: I jrelog (16448): DT RPATH I jrelog (16448): (type I jrelog (16448): 0xf I jrelog (16448): arg I jrelog (16448): 0x3f1 I jrelog (16448): ) (ignoring) I jrelog (16448): I jrelog (16448): WARNING: linker: I jrelog (16448): Warning:   I jrelog (16448):  data data net kdt pojavlaunch jre runtime lib aarch64 liblcms so I jrelog (16448):   has unsupported flags DT FLAGS 1  I jrelog (16448): 0x81 I jrelog (16448): (ignoring unsupported flags) I jrelog (16448): I jrelog (16448): dlopen  data user 0 net kdt pojavlaunch jre runtime lib aarch64 liblcms so success I jrelog (16448): dlopen  data user 0 net kdt pojavlaunch jre runtime lib aarch64 libverify so success I jrelog (16448): WARNING: linker: I jrelog (16448): Warning:   I jrelog (16448):  data data net kdt pojavlaunch jre runtime lib aarch64 libmanagement so I jrelog (16448):   unused DT entry: I jrelog (16448): DT RPATH I jrelog (16448): (type I jrelog (16448): 0xf I jrelog (16448): arg I jrelog (16448): 0x16fe I jrelog (16448): ) (ignoring) I jrelog (16448): I jrelog (16448): WARNING: linker: I jrelog (16448): Warning:   I jrelog (16448):  data data net kdt pojavlaunch jre runtime lib aarch64 libmanagement so I jrelog (16448):   has unsupported flags DT FLAGS 1  I jrelog (16448): 0x81 I jrelog (16448): (ignoring unsupported flags) I jrelog (16448): I jrelog (16448): dlopen  data user 0 net kdt pojavlaunch jre runtime lib aarch64 libmanagement so success I jrelog (16448): WARNING: linker: I jrelog (16448): Warning:   I jrelog (16448):  data data net kdt pojavlaunch jre runtime lib aarch64 libjpeg so I jrelog (16448):   unused DT entry: I jrelog (16448): DT RPATH I jrelog (16448): (type I jrelog (16448): 0xf I jrelog (16448): arg I jrelog (16448): 0x5e6 I jrelog (16448): ) (ignoring) I jrelog (16448): I jrelog (16448): WARNING: linker: I jrelog (16448): Warning:   I jrelog (16448):  data data net kdt pojavlaunch jre runtime lib aarch64 libjpeg so I jrelog (16448):   has unsupported flags DT FLAGS 1  I jrelog (16448): 0x81 I jrelog (16448): (ignoring unsupported flags) I jrelog (16448): I jrelog (16448): dlopen  data user 0 net kdt pojavlaunch jre runtime lib aarch64 libjpeg so success I jrelog (16448): WARNING: linker: I jrelog (16448): Warning:   I jrelog (16448):  data data net kdt pojavlaunch jre runtime lib aarch64 libmlib image so I jrelog (16448):   unused DT entry: I jrelog (16448): DT RPATH I jrelog (16448): (type I jrelog (16448): 0xf I jrelog (16448): arg I jrelog (16448): 0x158 I jrelog (16448): ) (ignoring) I jrelog (16448): I jrelog (16448): WARNING: linker: I jrelog (16448): Warning:   I jrelog (16448):  data data net kdt pojavlaunch jre runtime lib aarch64 libmlib image so I jrelog (16448):   has unsupported flags DT FLAGS 1  I jrelog (16448): 0x81 I jrelog (16448): (ignoring unsupported flags) I jrelog (16448): I jrelog (16448): dlopen  data user 0 net kdt pojavlaunch jre runtime lib aarch64 libmlib image so success I jrelog (16448): dlopen  data user 0 net kdt pojavlaunch jre runtime lib aarch64 libjsig so success I jrelog (16448): WARNING: linker: I jrelog (16448): Warning:   I jrelog (16448):  data data net kdt pojavlaunch jre runtime lib aarch64 libjsdt so I jrelog (16448):   unused DT entry: I jrelog (16448): DT RPATH I jrelog (16448): (type I jrelog (16448): 0xf I jrelog (16448): arg I jrelog (16448): 0x139 I jrelog (16448): ) (ignoring) I jrelog (16448): I jrelog (16448): WARNING: linker: I jrelog (16448): Warning:   I jrelog (16448):  data data net kdt pojavlaunch jre runtime lib aarch64 libjsdt so I jrelog (16448):   has unsupported flags DT FLAGS 1  I jrelog (16448): 0x81 I jrelog (16448): (ignoring unsupported flags) I jrelog (16448): I jrelog (16448): dlopen  data user 0 net kdt pojavlaunch jre runtime lib aarch64 libjsdt so success I jrelog (16448): dlopen  data user 0 net kdt pojavlaunch jre runtime lib aarch64 libawt headless so success I jrelog (16448): WARNING: linker: I jrelog (16448): Warning:   I jrelog (16448):  data data net kdt pojavlaunch jre runtime lib aarch64 libj2pkcs11 so I jrelog (16448):   unused DT entry: I jrelog (16448): DT RPATH I jrelog (16448): (type I jrelog (16448): 0xf I jrelog (16448): arg I jrelog (16448): 0xf13 I jrelog (16448): ) (ignoring) I jrelog (16448): I jrelog (16448): WARNING: linker: I jrelog (16448): Warning:   I jrelog (16448):  data data net kdt pojavlaunch jre runtime lib aarch64 libj2pkcs11 so I jrelog (16448):   has unsupported flags DT FLAGS 1  I jrelog (16448): 0x81 I jrelog (16448): (ignoring unsupported flags) I jrelog (16448): I jrelog (16448): dlopen  data user 0 net kdt pojavlaunch jre runtime lib aarch64 libj2pkcs11 so success I jrelog (16448): dlopen  data user 0 net kdt pojavlaunch jre runtime lib aarch64 libnet so success I jrelog (16448): dlopen  data user 0 net kdt pojavlaunch jre runtime lib aarch64 libjava so success I jrelog (16448): WARNING: linker: I jrelog (16448): Warning:   I jrelog (16448):  data data net kdt pojavlaunch jre runtime lib aarch64 libjsound so I jrelog (16448):   unused DT entry: I jrelog (16448): DT RPATH I jrelog (16448): (type I jrelog (16448): 0xf I jrelog (16448): arg I jrelog (16448): 0x119 I jrelog (16448): ) (ignoring) I jrelog (16448): I jrelog (16448): WARNING: linker: I jrelog (16448): Warning:   I jrelog (16448):  data data net kdt pojavlaunch jre runtime lib aarch64 libjsound so I jrelog (16448):   has unsupported flags DT FLAGS 1  I jrelog (16448): 0x81 I jrelog (16448): (ignoring unsupported flags) I jrelog (16448): I jrelog (16448): dlopen  data user 0 net kdt pojavlaunch jre runtime lib aarch64 libjsound so success I jrelog (16448): dlopen  data user 0 net kdt pojavlaunch jre runtime lib aarch64 libsunec so success I jrelog (16448): dlopen  data user 0 net kdt pojavlaunch jre runtime lib aarch64 libawt so success I jrelog (16448): WARNING: linker: I jrelog (16448): Warning:   I jrelog (16448):  data data net kdt pojavlaunch jre runtime lib aarch64 libj2gss so I jrelog (16448):   unused DT entry: I jrelog (16448): DT RPATH I jrelog (16448): (type I jrelog (16448): 0xf I jrelog (16448): arg I jrelog (16448): 0x6c1 I jrelog (16448): ) (ignoring) I jrelog (16448): I jrelog (16448): WARNING: linker: I jrelog (16448): Warning:   I jrelog (16448):  data data net kdt pojavlaunch jre runtime lib aarch64 libj2gss so I jrelog (16448):   has unsupported flags DT FLAGS 1  I jrelog (16448): 0x81 I jrelog (16448): (ignoring unsupported flags) I jrelog (16448): I jrelog (16448): dlopen  data user 0 net kdt pojavlaunch jre runtime lib aarch64 libj2gss so success I jrelog (16448): WARNING: linker: I jrelog (16448): Warning:   I jrelog (16448):  data data net kdt pojavlaunch jre runtime lib aarch64 libunpack so I jrelog (16448):   unused DT entry: I jrelog (16448): DT RPATH I jrelog (16448): (type I jrelog (16448): 0xf I jrelog (16448): arg I jrelog (16448): 0x364 I jrelog (16448): ) (ignoring) I jrelog (16448): I jrelog (16448): WARNING: linker: I jrelog (16448): Warning:   I jrelog (16448):  data data net kdt pojavlaunch jre runtime lib aarch64 libunpack so I jrelog (16448):   has unsupported flags DT FLAGS 1  I jrelog (16448): 0x81 I jrelog (16448): (ignoring unsupported flags) I jrelog (16448): I jrelog (16448): dlopen  data user 0 net kdt pojavlaunch jre runtime lib aarch64 libunpack so success I jrelog (16448): dlopen  data user 0 net kdt pojavlaunch jre runtime lib aarch64 libfreetype so success I jrelog (16448): dlopen  data user 0 net kdt pojavlaunch jre runtime lib aarch64 libnpt so failed: dlopen failed: library  libtinyiconv so  not found I jrelog (16448): WARNING: linker: I jrelog (16448): Warning:   I jrelog (16448):  data data net kdt pojavlaunch jre runtime lib aarch64 libjava crw demo so I jrelog (16448):   unused DT entry: I jrelog (16448): DT RPATH I jrelog (16448): (type I jrelog (16448): 0xf I jrelog (16448): arg I jrelog (16448): 0xe6 I jrelog (16448): ) (ignoring) I jrelog (16448): I jrelog (16448): WARNING: linker: I jrelog (16448): Warning:   I jrelog (16448):  data data net kdt pojavlaunch jre runtime lib aarch64 libjava crw demo so I jrelog (16448):   has unsupported flags DT FLAGS 1  I jrelog (16448): 0x81 I jrelog (16448): (ignoring unsupported flags) I jrelog (16448): I jrelog (16448): dlopen  data user 0 net kdt pojavlaunch jre runtime lib aarch64 libjava crw demo so success I jrelog (16448): dlopen  data user 0 net kdt pojavlaunch jre runtime lib aarch64 libnio so success I jrelog (16448): dlopen  data user 0 net kdt pojavlaunch jre runtime lib aarch64 libawt xawt so success I jrelog (16448): WARNING: linker: I jrelog (16448): Warning:   I jrelog (16448):  data data net kdt pojavlaunch jre runtime lib aarch64 libtinyiconv so I jrelog (16448):   unused DT entry: I jrelog (16448): DT RPATH I jrelog (16448): (type I jrelog (16448): 0xf I jrelog (16448): arg I jrelog (16448): 0x23a I jrelog (16448): ) (ignoring) I jrelog (16448): I jrelog (16448): WARNING: linker: I jrelog (16448): Warning:   I jrelog (16448):  data data net kdt pojavlaunch jre runtime lib aarch64 libtinyiconv so I jrelog (16448):   has unsupported flags DT FLAGS 1  I jrelog (16448): 0x81 I jrelog (16448): (ignoring unsupported flags) I jrelog (16448): I jrelog (16448): dlopen  data user 0 net kdt pojavlaunch jre runtime lib aarch64 libtinyiconv so success I jrelog (16448): WARNING: linker: I jrelog (16448): Warning:   I jrelog (16448):  data data net kdt pojavlaunch jre runtime lib aarch64 libzip so I jrelog (16448):   unused DT entry: I jrelog (16448): DT RPATH I jrelog (16448): (type I jrelog (16448): 0xf I jrelog (16448): arg I jrelog (16448): 0x8ff I jrelog (16448): ) (ignoring) I jrelog (16448): I jrelog (16448): WARNING: linker: I jrelog (16448): Warning:   I jrelog (16448):  data data net kdt pojavlaunch jre runtime lib aarch64 libzip so I jrelog (16448):   has unsupported flags DT FLAGS 1  I jrelog (16448): 0x81 I jrelog (16448): (ignoring unsupported flags) I jrelog (16448): I jrelog (16448): dlopen  data user 0 net kdt pojavlaunch jre runtime lib aarch64 libzip so success I jrelog (16448): WARNING: linker: I jrelog (16448): Warning:   I jrelog (16448):  data data net kdt pojavlaunch jre runtime lib aarch64 libjawt so I jrelog (16448):   unused DT entry: I jrelog (16448): DT RPATH I jrelog (16448): (type I jrelog (16448): 0xf I jrelog (16448): arg I jrelog (16448): 0x77 I jrelog (16448): ) (ignoring) I jrelog (16448): I jrelog (16448): WARNING: linker: I jrelog (16448): Warning:   I jrelog (16448):  data data net kdt pojavlaunch jre runtime lib aarch64 libjawt so I jrelog (16448):   has unsupported flags DT FLAGS 1  I jrelog (16448): 0x81 I jrelog (16448): (ignoring unsupported flags) I jrelog (16448): I jrelog (16448): dlopen  data user 0 net kdt pojavlaunch jre runtime lib aarch64 libjawt so success I jrelog (16448): WARNING: linker: I jrelog (16448): Warning:   I jrelog (16448):  data data net kdt pojavlaunch jre runtime lib aarch64 libjaas unix so I jrelog (16448):   unused DT entry: I jrelog (16448): DT RPATH I jrelog (16448): (type I jrelog (16448): 0xf I jrelog (16448): arg I jrelog (16448): 0x103 I jrelog (16448): ) (ignoring) I jrelog (16448): I jrelog (16448): WARNING: linker: I jrelog (16448): Warning:   I jrelog (16448):  data data net kdt pojavlaunch jre runtime lib aarch64 libjaas unix so I jrelog (16448):   has unsupported flags DT FLAGS 1  I jrelog (16448): 0x81 I jrelog (16448): (ignoring unsupported flags) I jrelog (16448): I jrelog (16448): dlopen  data user 0 net kdt pojavlaunch jre runtime lib aarch64 libjaas unix so success I jrelog (16448): WARNING: linker: I jrelog (16448): Warning:   I jrelog (16448):  data data net kdt pojavlaunch jre runtime lib aarch64 libsctp so I jrelog (16448):   unused DT entry: I jrelog (16448): DT RPATH I jrelog (16448): (type I jrelog (16448): 0xf I jrelog (16448): arg I jrelog (16448): 0x6af I jrelog (16448): ) (ignoring) I jrelog (16448): I jrelog (16448): WARNING: linker: I jrelog (16448): Warning:   I jrelog (16448):  data data net kdt pojavlaunch jre runtime lib aarch64 libsctp so I jrelog (16448):   has unsupported flags DT FLAGS 1  I jrelog (16448): 0x81 I jrelog (16448): (ignoring unsupported flags) I jrelog (16448): I jrelog (16448): dlopen  data user 0 net kdt pojavlaunch jre runtime lib aarch64 libsctp so success I jrelog (16448): dlopen  data user 0 net kdt pojavlaunch jre runtime lib aarch64 server libjvm so success I jrelog (16448): dlopen  data user 0 net kdt pojavlaunch jre runtime lib aarch64 jli libjli so success I jrelog (16448): WARNING: linker: I jrelog (16448): Warning:   I jrelog (16448):  data data net kdt pojavlaunch jre runtime lib aarch64 libjdwp so I jrelog (16448):   unused DT entry: I jrelog (16448): DT RPATH I jrelog (16448): (type I jrelog (16448): 0xf I jrelog (16448): arg I jrelog (16448): 0x1c7 I jrelog (16448): ) (ignoring) I jrelog (16448): I jrelog (16448): WARNING: linker: I jrelog (16448): Warning:   I jrelog (16448):  data data net kdt pojavlaunch jre runtime lib aarch64 libjdwp so I jrelog (16448):   has unsupported flags DT FLAGS 1  I jrelog (16448): 0x81 I jrelog (16448): (ignoring unsupported flags) I jrelog (16448): I jrelog (16448): dlopen  data user 0 net kdt pojavlaunch jre runtime lib aarch64 libjdwp so success I jrelog (16448): WARNING: linker: I jrelog (16448): Warning:   I jrelog (16448):  data data net kdt pojavlaunch jre runtime lib aarch64 libinstrument so I jrelog (16448):   unused DT entry: I jrelog (16448): DT RPATH I jrelog (16448): (type I jrelog (16448): 0xf I jrelog (16448): arg I jrelog (16448): 0x3ed I jrelog (16448): ) (ignoring) I jrelog (16448): I jrelog (16448): WARNING: linker: I jrelog (16448): Warning:   I jrelog (16448):  data data net kdt pojavlaunch jre runtime lib aarch64 libinstrument so I jrelog (16448):   has unsupported flags DT FLAGS 1  I jrelog (16448): 0x81 I jrelog (16448): (ignoring unsupported flags) I jrelog (16448): I jrelog (16448): dlopen  data user 0 net kdt pojavlaunch jre runtime lib aarch64 libinstrument so success I jrelog (16448): dlopen  data app net kdt pojavlaunch doX06ekvT3 j0VUCVGt72A   lib arm64 libopenal so success I jrelog (16448): dlopen  data app net kdt pojavlaunch doX06ekvT3 j0VUCVGt72A   lib arm64 libgl04es so success I jrelog (16448): Done processing args I jrelog (16448): Found JLI lib I jrelog (16448): Calling JLI Launch I jrelog (16448): OpenJDK 64 Bit Server VM warning: I jrelog (16448): No monotonic clock was available   timed services may be adversely affected if the time of day clock changes I jrelog (16448): I jrelog (16448):  09:26:56   main INFO   LaunchWrapper : Loading tweak class name net minecraftforge fml common launcher FMLTweaker I jrelog (16448):  09:26:56   main INFO   LaunchWrapper : Using primary tweak class name net minecraftforge fml common launcher FMLTweaker I jrelog (16448):  09:26:56   main INFO   LaunchWrapper : Calling tweak class net minecraftforge fml common launcher FMLTweaker I jrelog (16448):  09:26:56   main INFO   FML : Forge Mod Loader version 14 23 5 2854 for Minecraft 1 12 2 loading I jrelog (16448):  09:26:56   main INFO   FML : Java is OpenJDK 64 Bit Server VM  version 1 8 0 internal  running on Linux:aarch64:Android 10  installed at  data user 0 net kdt pojavlaunch jre runtime I jrelog (16448):  09:26:56   main INFO   FML : Searching  storage emulated 0 games PojavLauncher  minecraft mods for mods I jrelog (16448):  09:26:56   main INFO   FML : Searching  storage emulated 0 games PojavLauncher  minecraft mods 1 12 2 for mods I jrelog (16448):  09:26:56   main WARN   FML : Found FMLCorePluginContainsFMLMod marker in OpenComputers MC1 12 2 1 7 5 192 jar  This is not recommended   Mods should be in a separate jar from the coremod  I jrelog (16448):  09:26:57   main WARN   FML : The coremod li cil oc common launch TransformerLoader does not have a MCVersion annotation  it may cause issues with this version of Minecraft I jrelog (16448):  09:26:57   main WARN   FML : The coremod TransformerLoader (li cil oc common launch TransformerLoader) is not signed  I jrelog (16448):  09:26:57   main WARN   FML : Found FMLCorePluginContainsFMLMod marker in rats 3 2 14 1 12 2 jar  This is not recommended   Mods should be in a separate jar from the coremod  I jrelog (16448):  09:26:57   main WARN   FML : The coremod ratscore (com github alexthe666 rats server asm RatsPlugin) is not signed  I jrelog (16448):  09:26:57   main INFO   LaunchWrapper : Loading tweak class name net minecraftforge fml common launcher FMLInjectionAndSortingTweaker I jrelog (16448):  09:26:57   main INFO   LaunchWrapper : Loading tweak class name net minecraftforge fml common launcher FMLDeobfTweaker I jrelog (16448):  09:26:57   main INFO   LaunchWrapper : Calling tweak class net minecraftforge fml common launcher FMLInjectionAndSortingTweaker I jrelog (16448):  09:26:57   main INFO   LaunchWrapper : Calling tweak class net minecraftforge fml common launcher FMLInjectionAndSortingTweaker I jrelog (16448):  09:26:57   main INFO   LaunchWrapper : Calling tweak class net minecraftforge fml relauncher CoreModManager FMLPluginWrapper I jrelog (16448):  09:27:01   main INFO   FML : Found valid fingerprint for Minecraft Forge  Certificate fingerprint e3c3d50c7c986df74c645c0ac54639741c90a557 I jrelog (16448):  09:27:02   main INFO   FML : Found valid fingerprint for Minecraft  Certificate fingerprint cd99959656f753dc28d863b46769f7f8fbaefcfc I jrelog (16448):  09:27:02   main INFO   LaunchWrapper : Calling tweak class net minecraftforge fml relauncher CoreModManager FMLPluginWrapper I jrelog (16448):  09:27:02   main INFO   LaunchWrapper : Calling tweak class net minecraftforge fml common launcher FMLDeobfTweaker I jrelog (16448):  09:27:03   main INFO   LaunchWrapper : Calling tweak class net minecraftforge fml relauncher CoreModManager FMLPluginWrapper I jrelog (16448):  09:27:03   main INFO   LaunchWrapper : Calling tweak class net minecraftforge fml relauncher CoreModManager FMLPluginWrapper I jrelog (16448):  09:27:04   main INFO   LaunchWrapper : Calling tweak class net minecraftforge fml relauncher CoreModManager FMLPluginWrapper I jrelog (16448):  09:27:04   main INFO   LaunchWrapper : Calling tweak class net minecraftforge fml relauncher CoreModManager FMLPluginWrapper I jrelog (16448):  09:27:04   main INFO   LaunchWrapper : Loading tweak class name net minecraftforge fml common launcher TerminalTweaker I jrelog (16448):  09:27:04   main INFO   LaunchWrapper : Calling tweak class net minecraftforge fml common launcher TerminalTweaker I jrelog (16448):  09:27:05   main INFO   LaunchWrapper : Launching wrapped minecraft  net minecraft client main Main  I jrelog (16448):  09:27:05   main INFO   MCEF : Now transforming bib  aka net minecraft client Minecraft (obfuscated: yes) I jrelog (16448):  09:27:05   main INFO   MCEF : shutdownMinecraftApplet() method found  transforming    I jrelog (16448):  09:27:05   main INFO   MCEF : Target section has been patched  I jrelog (16448):  09:27:06   main INFO   STDERR :  org lwjgl system Library:printError:493 :  LWJGL  Failed to load a library  Possible solutions: I jrelog (16448): 	a) Add the directory that contains the shared library to  Djava library path or  Dorg lwjgl librarypath  I jrelog (16448): 	b) Add the JAR that contains the shared library to the classpath  I jrelog (16448):  09:27:06   main INFO   STDERR :  org lwjgl system Library:printError:495 :  LWJGL  Enable debug mode with  Dorg lwjgl util Debug true for better diagnostics  I jrelog (16448):  09:27:06   main INFO   STDERR :  org lwjgl system Library:printError:497 :  LWJGL  Enable the SharedLibraryLoader debug mode with  Dorg lwjgl util DebugLoader true for better diagnostics  I jrelog (16448):  09:27:07   main INFO   OpenComputers : Successfully patched net minecraft entity EntityLiving recreateLeash  I jrelog (16448):  09:27:07   Client thread INFO   minecraft Minecraft : Setting user: emili I jrelog (16448):  09:27:16   Client thread WARN   minecraft GameSettings : Skipping bad option: lastServer: I jrelog (16448):  09:27:16   Client thread WARN   minecraft GameSettings : Skipping bad option: key key pickItem:key mouse middle I jrelog (16448):  09:27:16   Client thread WARN   minecraft GameSettings : Skipping bad option: key key playerlist:key keyboard tab I jrelog (16448):  09:27:16   Client thread WARN   minecraft GameSettings : Skipping bad option: key key advancements:key keyboard l I jrelog (16448):  09:27:16   Client thread WARN   minecraft GameSettings : Skipping bad option: key key hotbar 5:key keyboard 5 I jrelog (16448):  09:27:16   Client thread WARN   minecraft GameSettings : Skipping bad option: key key hotbar 6:key keyboard 6 I jrelog (16448):  09:27:16   Client thread WARN   minecraft GameSettings : Skipping bad option: key key hotbar 7:key keyboard 7 I jrelog (16448):  09:27:16   Client thread WARN   minecraft GameSettings : Skipping bad option: key key hotbar 8:key keyboard 8 I jrelog (16448):  09:27:16   Client thread WARN   minecraft GameSettings : Skipping bad option: key key hotbar 1:key keyboard 1 I jrelog (16448):  09:27:16   Client thread WARN   minecraft GameSettings : Skipping bad option: key key hotbar 2:key keyboard 2 I jrelog (16448):  09:27:16   Client thread WARN   minecraft GameSettings : Skipping bad option: key key hotbar 3:key keyboard 3 I jrelog (16448):  09:27:16   Client thread WARN   minecraft GameSettings : Skipping bad option: key key hotbar 4:key keyboard 4 I jrelog (16448):  09:27:16   Client thread WARN   minecraft GameSettings : Skipping bad option: key key sprint:key keyboard left control I jrelog (16448):  09:27:16   Client thread WARN   minecraft GameSettings : Skipping bad option: key key forward:key keyboard w I jrelog (16448):  09:27:16   Client thread WARN   minecraft GameSettings : Skipping bad option: key key drop:key keyboard q I jrelog (16448):  09:27:16   Client thread WARN   minecraft GameSettings : Skipping bad option: key key back:key keyboard s I jrelog (16448):  09:27:16   Client thread WARN   minecraft GameSettings : Skipping bad option: key key attack:key mouse left I jrelog (16448):  09:27:16   Client thread WARN   minecraft GameSettings : Skipping bad option: key key use:key mouse right I jrelog (16448):  09:27:16   Client thread WARN   minecraft GameSettings : Skipping bad option: key key saveToolbarActivator:key keyboard c I jrelog (16448):  09:27:16   Client thread WARN   minecraft GameSettings : Skipping bad option: key key smoothCamera:key keyboard unknown I jrelog (16448):  09:27:16   Client thread WARN   minecraft GameSettings : Skipping bad option: key key right:key keyboard d I jrelog (16448):  09:27:16   Client thread WARN   minecraft GameSettings : Skipping bad option: key key jump:key keyboard space I jrelog (16448):  09:27:16   Client thread WARN   minecraft GameSettings : Skipping bad option: key key sneak:key keyboard left shift I jrelog (16448):  09:27:16   Client thread WARN   minecraft GameSettings : Skipping bad option: key key spectatorOutlines:key keyboard unknown I jrelog (16448):  09:27:16   Client thread WARN   minecraft GameSettings : Skipping bad option: key key left:key keyboard a I jrelog (16448):  09:27:16   Client thread WARN   minecraft GameSettings : Skipping bad option: key key command:key keyboard slash I jrelog (16448):  09:27:16   Client thread WARN   minecraft GameSettings : Skipping bad option: key key screenshot:key keyboard</t>
  </si>
  <si>
    <t>TeamNewPipe-NewPipe-5549</t>
  </si>
  <si>
    <t>Couldn't request stream of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</si>
  <si>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this playlist: https:  www youtube com playlist list PLDOo6l ZOAJnVjkG196tkdNAB3NUVuoo1_x000D_
2  Press on  Play All  (starting with the first video  link in report ) or the first video itself _x000D_
   _x000D_
_x000D_
     If you can t cause the bug to show up again reliably (and hence don t have a proper set of steps to give us)  please still try to give as many details as possible on how you think you encountered the bug     _x000D_
_x000D_
_x000D_
    Expected behavior_x000D_
     Tell us what you expect to happen     _x000D_
_x000D_
The video should play _x000D_
_x000D_
_x000D_
_x000D_
     DON T POST SCREENSHOTS OF THE ERROR PAGE  Use the buttons given on the error page to paste the error as text in the Logs section below     _x000D_
_x000D_
    Logs_x000D_
     If your bug includes a crash (where you re shown the Error Report page with a bunch of info)  tap on  Copy formatted report  at the bottom and paste it here:    _x000D_
_x000D_
     That s right  here     _x000D_
   Exception_x000D_
    User Action:   requested stream_x000D_
    Request:   https:  www youtube com watch v KYdDUXyFocY_x000D_
    Content Country:   US_x000D_
    Content Language:   en US_x000D_
    App Language:   en US_x000D_
    Service:   YouTube_x000D_
    Version:   0 20 8_x000D_
    OS:   Linux Android 9   28_x000D_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java:127)_x000D_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_x000D_
_x000D_
_x000D_
_x000D_
     Please fill this out when you do not provide a log generate by NewPipe    _x000D_
_x000D_
    Device info_x000D_
_x000D_
   Android version Custom ROM version: 9_x000D_
   Device model: Xiaomi_x000D_
</t>
  </si>
  <si>
    <t>PojavLauncherTeam-PojavLauncher-838</t>
  </si>
  <si>
    <t>Game will crash when dealing huge information</t>
  </si>
  <si>
    <t xml:space="preserve">I think I find the cause of the unexpected crash in https:  github com PojavLauncherTeam PojavLauncher issues 697  When I enter a service in 1 7 10 the game crashes while it is loading terrain </t>
  </si>
  <si>
    <t>TeamNewPipe-NewPipe-5547</t>
  </si>
  <si>
    <t>Shuffling on big playlists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</si>
  <si>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(Any way to get a big playlist is valid  here I will use the  play all  function on a channel to generate a big playlist)_x000D_
_x000D_
Go to a channel_x000D_
Choose  Play all  or  Background  or equivalent_x000D_
Go the the played playlist (I cannot find function to do that other than clicking on the associated notification  No way to do that into the app   )_x000D_
Toggle the shuffle button on the bottom_x000D_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Only the element on the playlist showed is shuffled (so in my example the last 20 30ish videoes of the youtuber)  So it s impossible to really shuffle all his channel  hence it s impossible to fall into the first created videoes (as the playlist generates  it takes the last videoes  so even re shuffling with that does not get older videoes)_x000D_
_x000D_
    Expected behavior_x000D_
     Tell us what you expect to happen     _x000D_
_x000D_
The player should take all the elements of the playlist (here all the videoes of the channel) and shuffle that  so I will get other things than a mix of the last videoes_x000D_
_x000D_
Notice that YouTube have this behaviour with his playlists  it already generated a complete playlist  so it shuffle it and it s perfect  If it s a generated playlist like  next video  it takes from the algorthm anyway so it stays random_x000D_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Reproduce on all_x000D_
   Device model: Reproduce on all_x000D_
</t>
  </si>
  <si>
    <t>AOF-Dev-MCinaBox-934</t>
  </si>
  <si>
    <t>华为手机无法启动</t>
  </si>
  <si>
    <t xml:space="preserve">  Describe the crash  _x000D_
    Nova5Pro                        _x000D_
  To Reproduce  _x000D_
Steps to reproduce the crash:_x000D_
1         _x000D_
2          _x000D_
  Expected behavior  _x000D_
A clear and concise description of what you expected to happen _x000D_
_x000D_
  Screenshots  _x000D_
If applicable  add screenshots to help explain your problem _x000D_
_x000D_
  Smartphone (please complete the following info_x000D_
_x000D_
_x000D_
_x000D_
rmation):  _x000D_
   Device:  Huawei Nova5Pro _x000D_
   OS:  e g  Android 10 _x000D_
   App Version  e g  v0 1 4 p5 _x000D_
   CPU architecture  e g  arm64   _x000D_
_x000D_
  Additional context  _x000D_
Add any other context about the problem here _x000D_
</t>
  </si>
  <si>
    <t>patzly-grocy-android-343</t>
  </si>
  <si>
    <t xml:space="preserve">  [v2.0.0] Crash when consume/purchase is started in scan mode</t>
  </si>
  <si>
    <t xml:space="preserve">When scanning an item in scan mode  that exists in the database the app crashes _x000D_
Maybe related to  330  _x000D_
   _x000D_
02 09 16:50:48 524  1947  1947 E AndroidRuntime: FATAL EXCEPTION: main_x000D_
02 09 16:50:48 524  1947  1947 E AndroidRuntime: Process: xyz zedler patrick grocy  PID: 1947_x000D_
02 09 16:50:48 524  1947  1947 E AndroidRuntime: java lang NullPointerException: Attempt to invoke virtual method  java lang String java lang String trim()  on a null object reference_x000D_
02 09 16:50:48 524  1947  1947 E AndroidRuntime: 	at java lang FloatingDecimal readJavaFormatString(FloatingDecimal java:1068)_x000D_
02 09 16:50:48 524  1947  1947 E AndroidRuntime: 	at java lang Double parseDouble(Double java:547)_x000D_
02 09 16:50:48 524  1947  1947 E AndroidRuntime: 	at xyz zedler patrick grocy model y0 j(SourceFile:8)_x000D_
02 09 16:50:48 524  1947  1947 E AndroidRuntime: 	at xyz zedler patrick grocy l k4 b0(SourceFile:2)_x000D_
02 09 16:50:48 524  1947  1947 E AndroidRuntime: 	at xyz zedler patrick grocy fragment PurchaseFragment S1(SourceFile:10)_x000D_
02 09 16:50:48 524  1947  1947 E AndroidRuntime: 	at xyz zedler patrick grocy fragment PurchaseFragment X1(SourceFile:18)_x000D_
02 09 16:50:48 524  1947  1947 E AndroidRuntime: 	at xyz zedler patrick grocy fragment N2 a(SourceFile)_x000D_
02 09 16:50:48 524  1947  1947 E AndroidRuntime: 	at xyz zedler patrick grocy l y c(SourceFile:1)_x000D_
02 09 16:50:48 524  1947  1947 E AndroidRuntime: 	at xyz zedler patrick grocy l r4 n(SourceFile:2)_x000D_
02 09 16:50:48 524  1947  1947 E AndroidRuntime: 	at xyz zedler patrick grocy l j3 c(SourceFile)_x000D_
02 09 16:50:48 524  1947  1947 E AndroidRuntime: 	at androidx lifecycle LiveData b(SourceFile:6)_x000D_
02 09 16:50:48 524  1947  1947 E AndroidRuntime: 	at androidx lifecycle LiveData c(SourceFile:8)_x000D_
02 09 16:50:48 524  1947  1947 E AndroidRuntime: 	at androidx lifecycle LiveData m(SourceFile:4)_x000D_
02 09 16:50:48 524  1947  1947 E AndroidRuntime: 	at androidx lifecycle p m(SourceFile:1)_x000D_
02 09 16:50:48 524  1947  1947 E AndroidRuntime: 	at xyz zedler patrick grocy l r4 m(SourceFile:2)_x000D_
02 09 16:50:48 524  1947  1947 E AndroidRuntime: 	at xyz zedler patrick grocy l Y3 i(SourceFile:1)_x000D_
02 09 16:50:48 524  1947  1947 E AndroidRuntime: 	at xyz zedler patrick grocy l k4 S(SourceFile:63)_x000D_
02 09 16:50:48 524  1947  1947 E AndroidRuntime: 	at xyz zedler patrick grocy l m1 a(SourceFile)_x000D_
02 09 16:50:48 524  1947  1947 E AndroidRuntime: 	at xyz zedler patrick grocy h j a(SourceFile:5)_x000D_
02 09 16:50:48 524  1947  1947 E AndroidRuntime: 	at xyz zedler patrick grocy h a a(SourceFile)_x000D_
02 09 16:50:48 524  1947  1947 E AndroidRuntime: 	at xyz zedler patrick grocy m e a(SourceFile:3)_x000D_
02 09 16:50:48 524  1947  1947 E AndroidRuntime: 	at b a b w k e(SourceFile:5)_x000D_
02 09 16:50:48 524  1947  1947 E AndroidRuntime: 	at b a b g b run(SourceFile:5)_x000D_
02 09 16:50:48 524  1947  1947 E AndroidRuntime: 	at android os Handler handleCallback(Handler java:751)_x000D_
02 09 16:50:48 524  1947  1947 E AndroidRuntime: 	at android os Handler dispatchMessage(Handler java:95)_x000D_
02 09 16:50:48 524  1947  1947 E AndroidRuntime: 	at android os Looper loop(Looper java:154)_x000D_
02 09 16:50:48 524  1947  1947 E AndroidRuntime: 	at android app ActivityThread main(ActivityThread java:6186)_x000D_
02 09 16:50:48 524  1947  1947 E AndroidRuntime: 	at java lang reflect Method invoke(Native Method)_x000D_
02 09 16:50:48 524  1947  1947 E AndroidRuntime: 	at com android internal os ZygoteInit MethodAndArgsCaller run(ZygoteInit java:889)_x000D_
02 09 16:50:48 524  1947  1947 E AndroidRuntime: 	at com android internal os ZygoteInit main(ZygoteInit java:779)_x000D_
   </t>
  </si>
  <si>
    <t>Fitbit-bitgatt-42</t>
  </si>
  <si>
    <t>Do not require Timber.</t>
  </si>
  <si>
    <t xml:space="preserve">  Is your feature request related to a problem  Please describe   _x000D_
If an app adds  com github Fitbit:bitgatt  as a dependency but does NOT add timber it will crash as soon as  FitbitGatt  attempts to setup _x000D_
_x000D_
  Example build gradle:  _x000D_
   _x000D_
dependencies  _x000D_
    implementation  com github Fitbit:bitgatt:0 9 2 RC4 _x000D_
       No timber _x000D_
       _x000D_
 _x000D_
   _x000D_
_x000D_
  Example Crash:  _x000D_
   _x000D_
2021 02 08 23:10:56 813 18446 18446 com myapp demo debug E AndroidRuntime: FATAL EXCEPTION: main_x000D_
    Process: com myapp demo debug  PID: 18446_x000D_
    java lang NoClassDefFoundError: Failed resolution of: Ltimber log Timber _x000D_
        at com fitbit bluetooth fbgatt FitbitGatt setup(FitbitGatt java:161)_x000D_
        at com fitbit bluetooth fbgatt FitbitGatt getInstance(FitbitGatt java:146)_x000D_
           _x000D_
     Caused by: java lang ClassNotFoundException: Didn t find class  timber log Timber  on path: DexPathList  zip file   data app   buWpUy0wluCeKRNDidVUzA   com myapp demo debug Zm3 EyFVTFzsRcNbP PGQg   base apk   nativeLibraryDirectories   data app   buWpUy0wluCeKRNDidVUzA   com myapp demo debug Zm3 EyFVTFzsRcNbP PGQg   lib arm64   system lib64   system ext lib64  _x000D_
        at dalvik system BaseDexClassLoader findClass(BaseDexClassLoader java:207)_x000D_
        at java lang ClassLoader loadClass(ClassLoader java:379)_x000D_
        at java lang ClassLoader loadClass(ClassLoader java:312)_x000D_
        at com fitbit bluetooth fbgatt FitbitGatt setup(FitbitGatt java:161) _x000D_
        at com fitbit bluetooth fbgatt FitbitGatt getInstance(FitbitGatt java:146) _x000D_
           _x000D_
   _x000D_
_x000D_
  Describe the solution you d like  _x000D_
Timber is a great logging library but  if it isn t too much trouble  it would be nice to not REQUIRE all apps that use FitbitGatt_x000D_
to also use Timber _x000D_
_x000D_
  Describe alternatives you ve considered  _x000D_
N A_x000D_
_x000D_
  Additional context  _x000D_
N A_x000D_
</t>
  </si>
  <si>
    <t>patzly-grocy-android-331</t>
  </si>
  <si>
    <t>[v2.0.0][fixed] Refreshing Master data -&gt; Quantity Units Crash</t>
  </si>
  <si>
    <t xml:space="preserve">Refreshing the Quantity Units crashes the App_x000D_
_x000D_
   _x000D_
          beginning of main_x000D_
02 08 14:27:01 399  3097  3097 E r patrick groc: Not starting debugger since process cannot load the jdwp agent _x000D_
02 08 14:34:09 524  4529  4529 E r patrick groc: Not starting debugger since process cannot load the jdwp agent _x000D_
02 08 14:35:06 155  4529  4632 E libc    : Access denied finding property  vendor camera aux packagelist _x000D_
02 08 14:35:06 156  4529  4632 E libc    : Access denied finding property  vendor camera aux packagelist _x000D_
02 08 14:35:06 156  4529  4632 E libc    : Access denied finding property  vendor camera hal1 packagelist _x000D_
02 08 14:35:06 187  4529  4632 E libc    : Access denied finding property  vendor camera aux packagelist _x000D_
02 08 14:35:06 187  4529  4632 E libc    : Access denied finding property  vendor camera aux packagelist _x000D_
          beginning of crash_x000D_
02 08 14:36:13 936  4529  4840 E AndroidRuntime: FATAL EXCEPTION: AsyncTask  2_x000D_
02 08 14:36:13 936  4529  4840 E AndroidRuntime: Process: xyz zedler patrick grocy  PID: 4529_x000D_
02 08 14:36:13 936  4529  4840 E AndroidRuntime: java lang RuntimeException: An error occurred while executing doInBackground()_x000D_
02 08 14:36:13 936  4529  4840 E AndroidRuntime: 	at android os AsyncTask 4 done(AsyncTask java:399)_x000D_
02 08 14:36:13 936  4529  4840 E AndroidRuntime: 	at java util concurrent FutureTask finishCompletion(FutureTask java:383)_x000D_
02 08 14:36:13 936  4529  4840 E AndroidRuntime: 	at java util concurrent FutureTask setException(FutureTask java:252)_x000D_
02 08 14:36:13 936  4529  4840 E AndroidRuntime: 	at java util concurrent FutureTask run(FutureTask java:271)_x000D_
02 08 14:36:13 936  4529  4840 E AndroidRuntime: 	at android os AsyncTask SerialExecutor 1 run(AsyncTask java:289)_x000D_
02 08 14:36:13 936  4529  4840 E AndroidRuntime: 	at java util concurrent ThreadPoolExecutor runWorker(ThreadPoolExecutor java:1167)_x000D_
02 08 14:36:13 936  4529  4840 E AndroidRuntime: 	at java util concurrent ThreadPoolExecutor Worker run(ThreadPoolExecutor java:641)_x000D_
02 08 14:36:13 936  4529  4840 E AndroidRuntime: 	at java lang Thread run(Thread java:919)_x000D_
02 08 14:36:13 936  4529  4840 E AndroidRuntime: Caused by: java lang ClassCastException: xyz zedler patrick grocy model QuantityUnit cannot be cast to xyz zedler patrick grocy model Location_x000D_
02 08 14:36:13 936  4529  4840 E AndroidRuntime: 	at xyz zedler patrick grocy e b a d(SourceFile:1)_x000D_
02 08 14:36:13 936  4529  4840 E AndroidRuntime: 	at androidx room c e(SourceFile:3)_x000D_
02 08 14:36:13 936  4529  4840 E AndroidRuntime: 	at xyz zedler patrick grocy e b c(SourceFile:3)_x000D_
02 08 14:36:13 936  4529  4840 E AndroidRuntime: 	at xyz zedler patrick grocy i d e doInBackground(SourceFile:18)_x000D_
02 08 14:36:13 936  4529  4840 E AndroidRuntime: 	at android os AsyncTask 3 call(AsyncTask java:378)_x000D_
02 08 14:36:13 936  4529  4840 E AndroidRuntime: 	at java util concurrent FutureTask run(FutureTask java:266)_x000D_
02 08 14:36:13 936  4529  4840 E AndroidRuntime: 	    4 more_x000D_
02 08 14:36:18 655  4949  4949 E r patrick groc: Not starting debugger since process cannot load the jdwp agent _x000D_
02 08 14:36:23 528_x000D_
   _x000D_
_x000D_
Video:_x000D_
  ezgif 2 b8f0a4888d36 (https:  user images githubusercontent com 5581855 107286090 5950de80 6a1d 11eb 989e ee443e67f0e5 gif)_x000D_
_x000D_
</t>
  </si>
  <si>
    <t>nextcloud-android-7952</t>
  </si>
  <si>
    <t>Instant Upload photos not showing in media folder.</t>
  </si>
  <si>
    <t xml:space="preserve">EDIT: Wow this app is so f   ed up   Do you guys test this at all or just push and hope for the best _x000D_
I have the app now constantly crashing and showing 3x the documents but still no images in the app while they exist on the web _x000D_
I now have to find the 3 14 apk and install that  this is not usable at all _x000D_
_x000D_
_x000D_
    Steps to reproduce_x000D_
1  Install new android app_x000D_
2  Open app and navigate to Media_x000D_
3  Instant Upload photos are missing_x000D_
_x000D_
    Expected behaviour_x000D_
  I should see all my instant upload photos from my phone in the Android app Media section_x000D_
_x000D_
    Actual behaviour_x000D_
  I only see some random pictures which are not in the Instant Upload folder_x000D_
_x000D_
    Can you reproduce this problem on https:  try nextcloud com _x000D_
  Not applicable_x000D_
_x000D_
    Environment data_x000D_
Android version:_x000D_
  Android 10 (Lineage OS v 17 latest)_x000D_
_x000D_
Device model: _x000D_
  Pixel 3 XL_x000D_
_x000D_
Stock or customized system: _x000D_
  Stock Lineage OS_x000D_
_x000D_
Nextcloud app version: _x000D_
  3 15 0_x000D_
_x000D_
Nextcloud server version:_x000D_
  20 0 7 also tested on version 19 0 8_x000D_
_x000D_
Reverse proxy: _x000D_
  Nginx_x000D_
  didn t have issues prior to Adroid App update_x000D_
_x000D_
    Logs_x000D_
     Web server error log_x000D_
   _x000D_
https:  1drv ms t s AmJFMS  A33iqRjcVttxaZIQ8g6m e 3eSicu_x000D_
   _x000D_
_x000D_
     Nextcloud log (data nextcloud log)_x000D_
   _x000D_
https:  1drv ms t s AmJFMS  A33iqRfhPQxYEzVKdssA e 3YSsu5_x000D_
   _x000D_
  NOTE:   Be super sure to remove sensitive data like passwords  note that everybody can look here  You can use the Issue Template application to prefill some of the required information: https:  apps nextcloud com apps issuetemplate_x000D_
</t>
  </si>
  <si>
    <t>patzly-grocy-android-330</t>
  </si>
  <si>
    <t>[v2.0.0] alpha crash when selecting item to consume</t>
  </si>
  <si>
    <t xml:space="preserve">When selecting an item  or scanning one to consume it the app crashes _x000D_
_x000D_
   _x000D_
          beginning of main_x000D_
02 08 20:38:52 219  8458  8458 E r patrick groc: No package ID ff found for ID 0xffffffff _x000D_
02 08 20:39:01 885  8458  8458 E r patrick groc: No package ID ff found for ID 0xffffffff _x000D_
02 08 20:39:03 385  8458  8458 E r patrick groc: No package ID ff found for ID 0xffffffff _x000D_
02 08 20:39:06 803  8458  8458 E r patrick groc: No package ID ff found for ID 0xffffffff _x000D_
02 08 20:39:10 105  8458  8458 E r patrick groc: No package ID ff found for ID 0xffffffff _x000D_
02 08 20:39:52 360  8458  8458 E r patrick groc: No package ID ff found for ID 0xffffffff _x000D_
          beginning of crash_x000D_
02 08 20:39:57 593  8458  8458 E AndroidRuntime: FATAL EXCEPTION: main_x000D_
02 08 20:39:57 593  8458  8458 E AndroidRuntime: Process: xyz zedler patrick grocy  PID: 8458_x000D_
02 08 20:39:57 593  8458  8458 E AndroidRuntime: b b b v: java lang NumberFormatException: empty String_x000D_
02 08 20:39:57 593  8458  8458 E AndroidRuntime: 	at b b b z z o D b(SourceFile:4)_x000D_
02 08 20:39:57 593  8458  8458 E AndroidRuntime: 	at b b b z z i a(SourceFile:1)_x000D_
02 08 20:39:57 593  8458  8458 E AndroidRuntime: 	at b b b z z j a b(SourceFile:9)_x000D_
02 08 20:39:57 593  8458  8458 E AndroidRuntime: 	at b b b z z n b(SourceFile:1)_x000D_
02 08 20:39:57 593  8458  8458 E AndroidRuntime: 	at b b b z z b a b(SourceFile:6)_x000D_
02 08 20:39:57 593  8458  8458 E AndroidRuntime: 	at b b b i b(SourceFile:9)_x000D_
02 08 20:39:57 593  8458  8458 E AndroidRuntime: 	at b a a a a g(Unknown Source:5)_x000D_
02 08 20:39:57 593  8458  8458 E AndroidRuntime: 	at xyz zedler patrick grocy h k a(SourceFile:3)_x000D_
02 08 20:39:57 593  8458  8458 E AndroidRuntime: 	at xyz zedler patrick grocy h a a(Unknown Source:4)_x000D_
02 08 20:39:57 593  8458  8458 E AndroidRuntime: 	at xyz zedler patrick grocy m e a(SourceFile:3)_x000D_
02 08 20:39:57 593  8458  8458 E AndroidRuntime: 	at b a b w k e(SourceFile:5)_x000D_
02 08 20:39:57 593  8458  8458 E AndroidRuntime: 	at b a b g b run(SourceFile:5)_x000D_
02 08 20:39:57 593  8458  8458 E AndroidRuntime: 	at android os Handler handleCallback(Handler java:883)_x000D_
02 08 20:39:57 593  8458  8458 E AndroidRuntime: 	at android os Handler dispatchMessage(Handler java:100)_x000D_
02 08 20:39:57 593  8458  8458 E AndroidRuntime: 	at android os Looper loop(Looper java:214)_x000D_
02 08 20:39:57 593  8458  8458 E AndroidRuntime: 	at android app ActivityThread main(ActivityThread java:7711)_x000D_
02 08 20:39:57 593  8458  8458 E AndroidRuntime: 	at java lang reflect Method invoke(Native Method)_x000D_
02 08 20:39:57 593  8458  8458 E AndroidRuntime: 	at com android internal os RuntimeInit MethodAndArgsCaller run(RuntimeInit java:516)_x000D_
02 08 20:39:57 593  8458  8458 E AndroidRuntime: 	at com android internal os ZygoteInit main(ZygoteInit java:950)_x000D_
02 08 20:39:57 593  8458  8458 E AndroidRuntime: Caused by: java lang NumberFormatException: empty String_x000D_
02 08 20:39:57 593  8458  8458 E AndroidRuntime: 	at sun misc FloatingDecimal readJavaFormatString(FloatingDecimal java:1842)_x000D_
02 08 20:39:57 593  8458  8458 E AndroidRuntime: 	at sun misc FloatingDecimal parseDouble(FloatingDecimal java:110)_x000D_
02 08 20:39:57 593  8458  8458 E AndroidRuntime: 	at java lang Double parseDouble(Double java:538)_x000D_
02 08 20:39:57 593  8458  8458 E AndroidRuntime: 	at b b b B a G(SourceFile:16)_x000D_
02 08 20:39:57 593  8458  8458 E AndroidRuntime: 	at b b b z z o D b(SourceFile:3)_x000D_
02 08 20:39:57 593  8458  8458 E AndroidRuntime: 	    18 more_x000D_
02 08 20:40:00 342  8459  8459 E r patrick groc: Unknown bits set in runtime flags: 0x20000_x000D_
02 08 20:40:00 352  8459  8459 E r patrick groc: Not starting debugger since process cannot load the jdwp agent _x000D_
02 08 20:40:01 544  8459  8459 E r patrick groc: No package ID ff found for ID 0xffffffff _x000D_
02 08 20:40:03 975  8459  8459 E r patrick groc: No package ID ff found for ID 0xffffffff _x000D_
02 08 20:40:05 019  8459  8459 E r patrick groc: No package ID ff found for ID 0xffffffff _x000D_
          beginning of system_x000D_
02 08 20:40:33 583  8459  8459 E r patrick groc: No package ID ff found for ID 0xffffffff _x000D_
02 08 20:40:50 098  8459  8459 E r patrick groc: No package ID ff found for ID 0xffffffff _x000D_
02 08 20:40:54 342  8459  8459 E AndroidRuntime: FATAL EXCEPTION: main_x000D_
02 08 20:40:54 342  8459  8459 E AndroidRuntime: Process: xyz zedler patrick grocy  PID: 8459_x000D_
02 08 20:40:54 342  8459  8459 E AndroidRuntime: b b b v: java lang NumberFormatException: empty String_x000D_
02 08 20:40:54 342  8459  8459 E AndroidRuntime: 	at b b b z z o D b(SourceFile:4)_x000D_
02 08 20:40:54 342  8459  8459 E AndroidRuntime: 	at b b b z z i a(SourceFile:1)_x000D_
02 08 20:40:54 342  8459  8459 E AndroidRuntime: 	at b b b z z j a b(SourceFile:9)_x000D_
02 08 20:40:54 342  8459  8459 E AndroidRuntime: 	at b b b z z n b(SourceFile:1)_x000D_
02 08 20:40:54 342  8459  8459 E AndroidRuntime: 	at b b b z z b a b(SourceFile:6)_x000D_
02 08 20:40:54 342  8459  8459 E AndroidRuntime: 	at b b b i b(SourceFile:9)_x000D_
02 08 20:40:54 342  8459  8459 E AndroidRuntime: 	at b a a a a g(Unknown Source:5)_x000D_
02 08 20:40:54 342  8459  8459 E AndroidRuntime: 	at xyz zedler patrick grocy h k a(SourceFile:3)_x000D_
02 08 20:40:54 342  8459  8459 E AndroidRuntime: 	at xyz zedler patrick grocy h a a(Unknown Source:4)_x000D_
02 08 20:40:54 342  8459  8459 E AndroidRuntime: 	at xyz zedler patrick grocy m e a(SourceFile:3)_x000D_
02 08 20:40:54 342  8459  8459 E AndroidRuntime: 	at b a b w k e(SourceFile:5)_x000D_
02 08 20:40:54 342  8459  8459 E AndroidRuntime: 	at b a b g b run(SourceFile:5)_x000D_
02 08 20:40:54 342  8459  8459 E AndroidRuntime: 	at android os Handler handleCallback(Handler java:883)_x000D_
02 08 20:40:54 342  8459  8459 E AndroidRuntime: 	at android os Handler dispatchMessage(Handler java:100)_x000D_
02 08 20:40:54 342  8459  8459 E AndroidRuntime: 	at android os Looper loop(Looper java:214)_x000D_
02 08 20:40:54 342  8459  8459 E AndroidRuntime: 	at android app ActivityThread main(ActivityThread java:7711)_x000D_
02 08 20:40:54 342  8459  8459 E AndroidRuntime: 	at java lang reflect Method invoke(Native Method)_x000D_
02 08 20:40:54 342  8459  8459 E AndroidRuntime: 	at com android internal os RuntimeInit MethodAndArgsCaller run(RuntimeInit java:516)_x000D_
02 08 20:40:54 342  8459  8459 E AndroidRuntime: 	at com android internal os ZygoteInit main(ZygoteInit java:950)_x000D_
02 08 20:40:54 342  8459  8459 E AndroidRuntime: Caused by: java lang NumberFormatException: empty String_x000D_
02 08 20:40:54 342  8459  8459 E AndroidRuntime: 	at sun misc FloatingDecimal readJavaFormatString(FloatingDecimal java:1842)_x000D_
02 08 20:40:54 342  8459  8459 E AndroidRuntime: 	at sun misc FloatingDecimal parseDouble(FloatingDecimal java:110)_x000D_
02 08 20:40:54 342  8459  8459 E AndroidRuntime: 	at java lang Double parseDouble(Double java:538)_x000D_
02 08 20:40:54 342  8459  8459 E AndroidRuntime: 	at b b b B a G(SourceFile:16)_x000D_
02 08 20:40:54 342  8459  8459 E AndroidRuntime: 	at b b b z z o D b(SourceFile:3)_x000D_
02 08 20:40:54 342  8459  8459 E AndroidRuntime: 	    18 more_x000D_
02 08 20:40:58 063  8462  8462 E r patrick groc: Unknown bits set in runtime flags: 0x20000_x000D_
02 08 20:40:58 072  8462  8462 E r patrick groc: Not starting debugger since process cannot load the jdwp agent _x000D_
02 08 20:40:59 684  8462  8462 E r patrick groc: No package ID ff found for ID 0xffffffff _x000D_
02 08 20:41:04 759  8462  8462 E r patrick groc: No package ID ff found for ID 0xffffffff _x000D_
02 08 20:41:06 884  8462  8462 E r patrick groc: No package ID ff found for ID 0xffffffff _x000D_
02 08 20:41:07 963  8462  8462 E r patrick groc: No package ID ff found for ID 0xffffffff _x000D_
02 08 20:42:04 488  8462  8462 E r patrick groc: No package ID ff found for ID 0xffffffff _x000D_
02 08 20:42:12 965  8462  8462 E r patrick groc: No package ID ff found for ID 0xffffffff _x000D_
   </t>
  </si>
  <si>
    <t>cgeo-cgeo-9990</t>
  </si>
  <si>
    <t>[Nightly] Lots of crashes, caused by an invalid/free'd bitmap ...?</t>
  </si>
  <si>
    <t xml:space="preserve">  Describe the bug:  _x000D_
One of our caching devices experienced a massively increased count of crashes during the last days  Usually when entering a cache from a list or swiping from   Details   page to   Waypoints   or vice versa     but there was no obvious pattern _x000D_
_x000D_
To analyze I created an extended logfile after the next crash   and over the last few days there were 10( ) occurrences  of the following error:_x000D_
_x000D_
   _x000D_
Fatal signal 6 (SIGABRT)  code  1 (SI QUEUE) in tid 18866 (pool 102 thread)  pid 10812 (cgeo geocaching)_x000D_
                                                               _x000D_
Build fingerprint:  HUAWEI VOG L29EEA HWVOG:10 HUAWEIVOG L29 10 1 0 150C431:user release keys _x000D_
Revision:  0 _x000D_
ABI:  arm64 _x000D_
Timestamp: 2021 02 07 16:28:47 0100_x000D_
pid: 10812  tid: 18866  name: pool 102 thread      cgeo geocaching    _x000D_
uid: 10268_x000D_
signal 6 (SIGABRT)  code  1 (SI QUEUE)  fault addr         _x000D_
Abort message:  Error  cannot access an invalid free d bitmap here  _x000D_
    x0  0000000000000000  x1  00000000000049b2  x2  0000000000000006  x3  0000007de8bd6eb0_x000D_
    x4  0000000000000000  x5  0000000000000000  x6  0000000000000000  x7  7f7f7f7f7f7f7f7f_x000D_
    x8  00000000000000f0  x9  a6c1b0424784c625  x10 0000000000000001  x11 0000000000000000_x000D_
    x12 fffffff0fffffbdf  x13 0000000000000004  x14 0000000000000004  x15 0000174710d54614_x000D_
    x16 0000007f47020908  x17 0000007f470001b0  x18 0000007d7544e000  x19 0000000000002a3c_x000D_
    x20 00000000000049b2  x21 00000000ffffffff  x22 0000000014655f08  x23 0000000017509df0_x000D_
    x24 0000000000000001  x25 0000000014655ee8  x26 00000000000000ff  x27 0000000014655fc8_x000D_
    x28 0000000014ac0168  x29 0000007de8bd6f50_x000D_
    sp  0000007de8bd6e90  lr  0000007f46fb5040  pc  0000007f46fb506c_x000D_
_x000D_
backtrace:_x000D_
       00 pc 000000000006f06c   apex com android runtime lib64 bionic libc so (abort 160) (BuildId: 212095a5bb472f1fd33898cf4066bc50)_x000D_
       01 pc 0000000000009a68   system lib64 liblog so (  android log assert 324) (BuildId: e8c2a6dc92a69a92c3d0e06a16bacb40)_x000D_
       02 pc 0000000000184b98   system lib64 libandroid runtime so (android::bitmap::toBitmap(long) 44) (BuildId: eb73495ce5404b9e920a41ab9d6908ab)_x000D_
       03 pc 000000000012c238   system lib64 libandroid runtime so (android::CanvasJNI::drawBitmapMatrix( JNIEnv    jobject   long  long  long  long) 32) (BuildId: eb73495ce5404b9e920a41ab9d6908ab)_x000D_
       04 pc 00000000002d8660   system framework arm64 boot framework oat (art jni trampoline 176) (BuildId: c37366b39795ab7cbaf9d9518c3aae9c6fdc4e38)_x000D_
       05 pc 000000000215aef4   memfd: jit cache (deleted) (org mapsforge map android graphics AndroidCanvas drawBitmap 532)_x000D_
       06 pc 000000000216389c   memfd: jit cache (deleted) (org mapsforge core mapelements SymbolContainer draw 396)_x000D_
       07 pc 000000000200ad04   memfd: jit cache (deleted) (org mapsforge map layer renderer CanvasRasterer drawMapElements 372)_x000D_
       08 pc 00000000020997ac   memfd: jit cache (deleted) (org mapsforge map layer renderer DatabaseRenderer executeJob 2236)_x000D_
       09 pc 000000000201f684   memfd: jit cache (deleted) (org mapsforge map layer renderer MapWorkerPool MapWorker run 452)_x000D_
       10 pc 00000000003d8d08   system framework arm64 boot oat (java util concurrent ThreadPoolExecutor runWorker 984) (BuildId: e308fed25cd4dac1dca7a6d4b1211faeba7156a1)_x000D_
       11 pc 00000000003d5880   system framework arm64 boot oat (java util concurrent ThreadPoolExecutor Worker run 64) (BuildId: e308fed25cd4dac1dca7a6d4b1211faeba7156a1)_x000D_
       12 pc 0000000000217fc8   system framework arm64 boot oat (java lang Thread run 72) (BuildId: e308fed25cd4dac1dca7a6d4b1211faeba7156a1)_x000D_
       13 pc 0000000000143334   apex com android runtime lib64 libart so (art quick invoke stub 548) (BuildId: 696759073fd59cd48df4113ea4815c67)_x000D_
       14 pc 00000000001521a4   apex com android runtime lib64 libart so (art::ArtMethod::Invoke(art::Thread   unsigned int   unsigned int  art::JValue   char const ) 252) (BuildId: 696759073fd59cd48df4113ea4815c67)_x000D_
       15 pc 00000000004c8448   apex com android runtime lib64 libart so (art::(anonymous namespace)::InvokeWithArgArray(art::ScopedObjectAccessAlreadyRunnable const   art::ArtMethod   art::(anonymous namespace)::ArgArray   art::JValue   char const ) 104) (BuildId: 696759073fd59cd48df4113ea4815c67)_x000D_
       16 pc 00000000004c94dc   apex com android runtime lib64 libart so (art::InvokeVirtualOrInterfaceWithJValues(art::ScopedObjectAccessAlreadyRunnable const    jobject    jmethodID   jvalue const ) 416) (BuildId: 696759073fd59cd48df4113ea4815c67)_x000D_
       17 pc 00000000005094ac   apex com android runtime lib64 libart so (art::Thread::CreateCallback(void ) 1176) (BuildId: 696759073fd59cd48df4113ea4815c67)_x000D_
       18 pc 00000000000ce1b0   apex com android runtime lib64 bionic libc so (  pthread start(void ) 36) (BuildId: 212095a5bb472f1fd33898cf4066bc50)_x000D_
       19 pc 0000000000070ba8   apex com android runtime lib64 bionic libc so (  start thread 64) (BuildId: 212095a5bb472f1fd33898cf4066bc50)_x000D_
   _x000D_
_x000D_
After getting aware of that I closed c:geo  removed it from memory  renamed the folders    Android data cgeo geocaching cache   and       files   by adding a    DeleteMe   and since then it seems to behave better   at least there was no crash in the last ten minutes playing around with c:geo    _x000D_
_x000D_
  To Reproduce:  _x000D_
Just ask an easier question    )_x000D_
_x000D_
  Actual behavior state after performing these steps:  _x000D_
Crash _x000D_
_x000D_
  Expected behavior state after performing these steps:  _x000D_
If a (seemingly cached) bitmap or whatever is missing  c:geo should not crash  but instead either refresh the cached bitmap  or at least give a message  ideally with the name of the expected missing stuff _x000D_
_x000D_
  Version of c:geo used:  _x000D_
Any of the last three Nighlies _x000D_
_x000D_
  Is the problem reproducible:  _x000D_
Yes  kind of    )_x000D_
</t>
  </si>
  <si>
    <t>SkyTubeTeam-SkyTube-916</t>
  </si>
  <si>
    <t>App crash, while SkyTube loading a search history.</t>
  </si>
  <si>
    <t>I found a bugs _x000D_
How I want to search a film on SkyTube 2 977 (from F droid) on Alcatel Pixi 7 (Android 4 4 2) the app is chashing  while app loading a last search history and on films (movies) isn t sound (speakers on 100 ) _x000D_
And on Sony Xperia E dual (A 4 0 4) SkyTube 2 977 (from F droid) is crashing  while it loading a UI (user interface) and on older version chashing  while a loading films player _x000D_
But for example on Android 4 4 2 on other phone app works on 99  _x000D_
Please on quick fix this bug _x000D_
(Sorry for many mistakes)</t>
  </si>
  <si>
    <t>Anuken-Mindustry-4627</t>
  </si>
  <si>
    <t>启动错误</t>
  </si>
  <si>
    <t xml:space="preserve">Platform: Android_x000D_
_x000D_
Designation vivo Y70s _x000D_
Model V2002A _x000D_
vivo ROM Funtouch OS 10 _x000D_
Android version 10 _x000D_
Processors 2 0 GHz 880 octa core_x000D_
_x000D_
release build 124_x000D_
_x000D_
Issue: Re entering the game after importing a save or mod will flash But when I reinstall version 123 1 and repeat the above steps  it does not flash back _x000D_
_x000D_
Crash Log: I can t get the crash log because I have to erase the data to get into the game again _x000D_
</t>
  </si>
  <si>
    <t>Blankj-AndroidUtilCode-1456</t>
  </si>
  <si>
    <t>navigationbar 获取不够精确，很多手机都会判断错误，大佬，求解决</t>
  </si>
  <si>
    <t>Anuken-Mindustry-4621</t>
  </si>
  <si>
    <t>Errors when lanching v124 in China</t>
  </si>
  <si>
    <t xml:space="preserve">  Platform  :  Windows _x000D_
_x000D_
  Build  :  release build v124 _x000D_
_x000D_
  Issue  :  I was using CN commuity servers mod when I saw v124 updates However the game crashed when the loading is nearly compeleted Then I went back to v123 1 and disabled the mod Now I can enter the game but there is a error report every time I enter the game Maybe Anuke should a button to completly disable loading community servers when starting By the way using github in China is OK but so slow  _x000D_
_x000D_
  Steps to reproduce  :  Just launch v124(Crashes when there is Chinalist mod enabled) _x000D_
_x000D_
  Link(s) to mod(s) used  :  https:  github com driver1748 Chinalist _x000D_
_x000D_
  (Crash) logs  (WHEN THERE IS THE MOD AND THE GAME CRASHES):  Mindustry has crashed  How unfortunate _x000D_
Version: release build 124_x000D_
OS: Windows 7 x64_x000D_
Java Version: 1 8 0 271_x000D_
Java Architecture: 64_x000D_
7 Mods: chinalist:1 2  cliff:1 0 1  pictologic:1 5 7  rtfm:2 14 0  ui lib:2 16 4  new horizon:1 15  thc industry:0 4 7 200611 classic_x000D_
_x000D_
rhino EvaluatorException: Access to Java class  arc Net  is prohibited  (main js 2)_x000D_
	at rhino DefaultErrorReporter runtimeError(DefaultErrorReporter java:68)_x000D_
	at rhino Context reportRuntimeError(Context java:830)_x000D_
	at rhino Context reportRuntimeError(Context java:876)_x000D_
	at rhino Context reportRuntimeError1(Context java:844)_x000D_
	at rhino JavaMembers  init (JavaMembers java:24)_x000D_
	at rhino JavaMembers lookupClass(JavaMembers java:771)_x000D_
	at rhino NativeJavaObject initMembers(NativeJavaObject java:43)_x000D_
	at rhino NativeJavaObject  init (NativeJavaObject java:33)_x000D_
	at rhino NativeJavaObject  init (NativeJavaObject java:24)_x000D_
	at rhino WrapFactory wrapAsJavaObject(WrapFactory java:107)_x000D_
	at rhino WrapFactory wrap(WrapFactory java:66)_x000D_
	at rhino JavaMembers get(JavaMembers java:84)_x000D_
	at rhino NativeJavaClass get(NativeJavaClass java:69)_x000D_
	at rhino ScriptableObject getProperty(ScriptableObject java:2182)_x000D_
	at rhino ScriptRuntime getObjectProp(ScriptRuntime java:1458)_x000D_
	at rhino ScriptRuntime getObjectProp(ScriptRuntime java:1452)_x000D_
	at rhino gen main js 3  c anonymous 2(main js:2)_x000D_
	at rhino gen main js 3 call(main js)_x000D_
	at rhino ContextFactory doTopCall(ContextFactory java:346)_x000D_
	at rhino ScriptRuntime doTopCall(ScriptRuntime java:3303)_x000D_
	at rhino gen main js 3 call(main js)_x000D_
	at rhino ArrowFunction call(ArrowFunction java:33)_x000D_
	at rhino InterfaceAdapter invokeImpl(InterfaceAdapter java:141)_x000D_
	at rhino InterfaceAdapter lambda invoke 0(InterfaceAdapter java:92)_x000D_
	at rhino Context call(Context java:524)_x000D_
	at rhino ContextFactory call(ContextFactory java:446)_x000D_
	at rhino InterfaceAdapter invoke(InterfaceAdapter java:92)_x000D_
	at rhino jdk18 VMBridge jdk18 lambda newInterfaceProxy 0(VMBridge jdk18 java:100)_x000D_
	at com sun proxy  Proxy2 get(Unknown Source)_x000D_
	at arc Events lambda fire 2(Events java:30)_x000D_
	at arc struct Seq each(Seq java:200)_x000D_
	at arc Events fire(Events java:30)_x000D_
	at arc Events fire(Events java:25)_x000D_
	at mindustry ClientLauncher update(ClientLauncher java:146)_x000D_
	at arc backend sdl SdlApplication listen(SdlApplication java:158)_x000D_
	at arc backend sdl SdlApplication loop(SdlApplication java:146)_x000D_
	at arc backend sdl SdlApplication  init (SdlApplication java:43)_x000D_
	at mindustry desktop DesktopLauncher main(DesktopLauncher java:36) _x000D_
_x000D_
  (Crash) logs  (WHEN THERE IS   NOT   THE MOD AND THE GAME IS SUCCESSFULLY LAUNCHED):  I   GL  Version: OpenGL 4 6 0   NVIDIA Corporation   GeForce GTX 960 PCIe SSE2_x000D_
 I   GL  Max texture size: 16384_x000D_
 I   GL  Using OpenGL 2 context _x000D_
 I   JAVA  Version: 1 8 0 72_x000D_
 I  Loaded mod  pictologic  in 17 785065ms_x000D_
 I  Loaded mod  rtfm  in 2 643901ms_x000D_
 I  Loaded mod  cliff  in 0 794845ms_x000D_
 I  Loaded mod  ui lib  in 0 863264ms_x000D_
 I  Loaded mod  new horizon  in 15 72447ms_x000D_
 I  Loaded mod  THC Industry  in 0 954024ms_x000D_
 I  Loaded mod  ChinaList  in 0 758542ms_x000D_
 I  Time to initialize modded scripts: 891 7289_x000D_
 I  Total time to load: 6571_x000D_
 I  Fetching community servers at https:  raw githubusercontent com Anuken Mindustry master servers v6 json_x000D_
 E  java net UnknownHostException: raw githubusercontent com_x000D_
	at java net AbstractPlainSocketImpl connect(AbstractPlainSocketImpl java:184)_x000D_
	at java net PlainSocketImpl connect(PlainSocketImpl java:172)_x000D_
	at java net SocksSocketImpl connect(SocksSocketImpl java:392)_x000D_
	at java net Socket connect(Socket java:589)_x000D_
	at sun security ssl SSLSocketImpl connect(SSLSocketImpl java:668)_x000D_
	at sun net NetworkClient doConnect(NetworkClient java:175)_x000D_
	at sun net www http HttpClient openServer(HttpClient java:432)_x000D_
	at sun net www http HttpClient openServer(HttpClient java:527)_x000D_
	at sun net www protocol https HttpsClient  init (HttpsClient java:264)_x000D_
	at sun net www protocol https HttpsClient New(HttpsClient java:367)_x000D_
	at sun net www protocol https AbstractDelegateHttpsURLConnection getNewHttpClient(AbstractDelegateHttpsURLConnection java:191)_x000D_
	at sun net www protocol http HttpURLConnection plainConnect0(HttpURLConnection java:1105)_x000D_
	at sun net www protocol http HttpURLConnection plainConnect(HttpURLConnection java:999)_x000D_
	at sun net www protocol https AbstractDelegateHttpsURLConnection connect(AbstractDelegateHttpsURLConnection java:177)_x000D_
	at sun net www protocol https HttpsURLConnectionImpl connect(HttpsURLConnectionImpl java:153)_x000D_
	at arc util NetJavaImpl lambda http 0(NetJavaImpl java:86)_x000D_
	at arc util async AsyncExecutor lambda submit 2(AsyncExecutor java:31)_x000D_
	at java util concurrent FutureTask run(FutureTask java:266)_x000D_
	at java util concurrent ThreadPoolExecutor runWorker(ThreadPoolExecutor java:1142)_x000D_
	at java util concurrent ThreadPoolExecutor Worker run(ThreadPoolExecutor java:617)_x000D_
	at java lang Thread run(Thread java:745)_x000D_
_x000D_
 I  Time to generate menu: 124 77262_x000D_
 _x000D_
Crashes:_x000D_
  image (https:  user images githubusercontent com 62016462 107170663 eb47ef80 69fb 11eb 8cda 790b5bfd2d08 png)_x000D_
Enters:_x000D_
  image (https:  user images githubusercontent com 62016462 107170821 3e21a700 69fc 11eb 9da8 463cd03d3768 png)_x000D_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</si>
  <si>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Anuken-Mindustry-4620</t>
  </si>
  <si>
    <t>steam version crashing when opening mod folder</t>
  </si>
  <si>
    <t xml:space="preserve">  Platform  :  Android iOS Mac Windows Linux _x000D_
windows_x000D_
  Build  :  The build number under the title in the main menu  Required   LATEST  IS NOT A VERSION  I NEED THE EXACT BUILD NUMBER OF YOUR GAME  _x000D_
steam build 124_x000D_
  Issue  :  Explain your issue in detail  _x000D_
opening up my mod list on the steam version instantly crashes the game and gives me an error message _x000D_
  Steps to reproduce  :  How you happened across the issue  and what exactly you did to make the bug happen  _x000D_
i had many mods installed  some were outdated  none were malware  and none crashed the game by themselves_x000D_
  Link(s) to mod(s) used  :  The mod repositories or zip files that are related to the issue  if applicable  _x000D_
no mods were in use during crashes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this issue happens in the main menu  not ingame _x000D_
If you remove the line above without reading it properly and understanding what it means  I will reap your soul  Even if you re playing on someone s server  you can still save the game to a slot _x000D_
oh dear _x000D_
  (Crash) logs  :  Either crash reports from the crash folder  or the file you get when you go into Settings    Game Data    Export Crash logs  REQUIRED if you are reporting a crash  _x000D_
 crash report 02 07 2021 19 47 50 txt (https:  github com Anuken Mindustry files 5940798 crash report 02 07 2021 19 47 50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</si>
  <si>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Anuken-Mindustry-4617</t>
  </si>
  <si>
    <t>Core upgrade from server syncs only once, consequent upgrades cause desync</t>
  </si>
  <si>
    <t xml:space="preserve">  Platform  : Linux Windows_x000D_
_x000D_
  Build  : 123 1_x000D_
_x000D_
  Issue  : This is another stable desync issue I found   when you upgrade core from server it upgrades on client side only once  the first time  After that any upgrades are not being received by client (unless the client is the one making upgrade) _x000D_
Video demonstrating the issue:_x000D_
server: https:  youtu be i J3CpfNq28_x000D_
client: https:  youtu be 8W467wCZ4uY_x000D_
_x000D_
As usual    sync  always fixes that _x000D_
_x000D_
  Steps to reproduce  :_x000D_
1  Start attached map in PvP mode _x000D_
2  Upgrade the core from server side _x000D_
3  Observe client getting this update_x000D_
4  Upgrade another core from server side_x000D_
5  Observe client doesn t receive this update _x000D_
_x000D_
  Link(s) to mod(s) used  : no mods_x000D_
_x000D_
  Save file  : test map attached _x000D_
 test desync zip (https:  github com Anuken Mindustry files 5939338 test desync zip)_x000D_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</si>
  <si>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Anuken-Mindustry-4616</t>
  </si>
  <si>
    <t>Stable desync of unloaders of another teams</t>
  </si>
  <si>
    <t xml:space="preserve">  Platform  : Linux server_x000D_
_x000D_
  Build  : 123 1_x000D_
_x000D_
  Issue  : On ranked PvP there is a spectator mode that allows other players to spectate matches  This is being done via custom assigner and assigning non cored team to spectator players _x000D_
For that spectator team the issue appears quite often and leads to the states exampled below _x000D_
_x000D_
  unloader desync (https:  user images githubusercontent com 4199082 107150678 b5592b80 6967 11eb 97bd 04d1a0bc734c gif)_x000D_
_x000D_
  sync  always fixes the issue  temprarily  I m not that aware of internals  but it seems like client side reloads items available in cores and storages BUT doesn t transfer items between cores desipite the fact that server does  because once the amount of items at the point of   sync  is unloaded from the core  the issue appears again _x000D_
_x000D_
I made a local test with my phone on same network as my PC  Here is how it looks like on server side:_x000D_
  unloader desync local (https:  user images githubusercontent com 4199082 107149171 da49a080 695f 11eb 8c76 12d232d08b80 gif)_x000D_
And here is on the phone (client):_x000D_
  unloader desync local client (https:  user images githubusercontent com 4199082 107149744 129eae00 6963 11eb 8984 9e8c0dfc5bf6 gif)_x000D_
_x000D_
_x000D_
  Steps to reproduce  :_x000D_
1  start multiplayer game with attached map in PvP mode_x000D_
2  connect another client_x000D_
3  observe client can t see from the opposite team the items being output from the other core_x000D_
_x000D_
  Link(s) to mod(s) used  : no mods_x000D_
_x000D_
  Save file  : Map to reproduce  Start in PvP mode _x000D_
 test desync zip (https:  github com Anuken Mindustry files 5939145 test desync zip)_x000D_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</si>
  <si>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TeamNewPipe-NewPipe-5537</t>
  </si>
  <si>
    <t>Cause fatal failure in sudden random moments.</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</si>
  <si>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20 8      Check https:  github com TeamNewPipe NewPipe releases    
   X  I checked  but didn t find any duplicates (open OR closed) of this issue in the repo       Seriously  check  O O    
  There is one report that has similar log of mine  but the crash happens in different situation 
   X  I have read the contribution guidelines given at https:  github com TeamNewPipe NewPipe blob HEAD  github CONTRIBUTING md 
   X  This issue contains only one bug  I will open one issue for every bug report I want to file 
    Steps to reproduce the bug
I have no clue what so ever  I could not diagnose the problem by myself  
For that reason  I have no idea whatsoever to reproduce this bug again artificially  
    Actual behaviour
A  While playing random video  
B  In sudden moment  app itself causing fatal crashes 
    Expected behavior
     Tell us what you expect to happen     
It should play video normally  
    Logs
     If your bug includes a crash (where you re shown the Error Report page with a bunch of info)  tap on  Copy formatted report  at the bottom and paste it here:    
While playing video  it happens regularly  
   Exception
    User Action:   ui error
    Request:   App crash  UI failure
    Content Country:   US
    Content Language:   en US
    App Language:   en US
    Service:   none
    Version:   0 20 8
    OS:   Linux Android 10   29
 details  summary  b Crash log   b   summary  p 
java lang IllegalStateException: ViewHolder views must not be attached when created  Ensure that you are not passing  true  to the attachToRoot parameter of LayoutInflater inflate(     boolean attachToRoot)
	at androidx recyclerview widget RecyclerView Adapter createViewHolder(RecyclerView java:7080)
	at androidx recyclerview widget RecyclerView Recycler tryGetViewHolderForPositionByDeadline(RecyclerView java:6235)
	at androidx recyclerview widget GapWorker prefetchPositionWithDeadline(GapWorker java:288)
	at androidx recyclerview widget GapWorker flushTaskWithDeadline(GapWorker java:345)
	at androidx recyclerview widget GapWorker flushTasksWithDeadline(GapWorker java:361)
	at androidx recyclerview widget GapWorker prefetch(GapWorker java:368)
	at androidx recyclerview widget GapWorker run(GapWorker java:399)
	at android os Handler handleCallback(Handler java:883)
	at android os Handler dispatchMessage(Handler java:100)
	at android os Looper loop(Looper java:214)
	at android app ActivityThread main(ActivityThread java:7615)
	at java lang reflect Method invoke(Native Method)
	at com android internal os RuntimeInit MethodAndArgsCaller run(RuntimeInit java:492)
	at com android internal os ZygoteInit main(ZygoteInit java:964)
  details 
 hr 
    Device info
   Android version Custom ROM version: Android 10
   Device model: G710
</t>
  </si>
  <si>
    <t>Anuken-Mindustry-4611</t>
  </si>
  <si>
    <t>PhysicsProcess NPE</t>
  </si>
  <si>
    <t xml:space="preserve">  Platform  : Windows 10 (Linux server)_x000D_
_x000D_
  Build  : 123 1_x000D_
_x000D_
  Issue  : Crash client when playing kr server_x000D_
_x000D_
  Steps to reproduce  : Unknown  It s random and hard to debug reproduce _x000D_
This s presumed to be a server plugin problem  but I haven t found any reason why this s happening _x000D_
Not all players are crashed out  but about 60 90  of the server s people get this error at the same time _x000D_
_x000D_
  Link(s) to mod(s) used  : No mods but server using plugin_x000D_
_x000D_
  Save file  : Not required _x000D_
_x000D_
  (Crash) logs  _x000D_
   _x000D_
Mindustry has crashed  How unfortunate _x000D_
Report this at https:  github com Anuken Mindustry issues new labels bug template bug report md_x000D_
_x000D_
Version: steam build 123 1_x000D_
OS: Windows 10 x64_x000D_
Java Version: 1 8 0 72_x000D_
Java Architecture: 64_x000D_
0 Mods_x000D_
_x000D_
java lang NullPointerException_x000D_
	at mindustry async PhysicsProcess begin(PhysicsProcess java:60)_x000D_
	at mindustry async AsyncCore begin(AsyncCore java:47)_x000D_
	at mindustry ClientLauncher update(ClientLauncher java:151)_x000D_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https:  github com Anuken Mindustry blob master core src mindustry async PhysicsProcess java L60_x000D_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</si>
  <si>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Anuken-Mindustry-4605</t>
  </si>
  <si>
    <t>Leg pathfinding breaks if solid unbreakable is above space floor</t>
  </si>
  <si>
    <t xml:space="preserve">  Platform  : Any  I believe  Tested on windows linux server_x000D_
_x000D_
  Build  : 123 1_x000D_
_x000D_
  Issue  : If on the map you place space as the floor and then some solid unbreakable wall on top of that  Legs pathfinding gets crazy and tries to   swim in lava   cross the block  but can t succeed  This is demostrated on two following images:_x000D_
  2021 02 06 18 20 22 Mindustry (https:  user images githubusercontent com 4199082 107123893 fcccb280 68a8 11eb 8257 4c4dcb2fcc70 png)_x000D_
  2021 02 06 18 25 51 Mindustry (https:  user images githubusercontent com 4199082 107123894 00603980 68a9 11eb 92db 069b79a8b333 png)_x000D_
_x000D_
  Steps to reproduce  : Load map from attachment  launch in sandbox mode _x000D_
_x000D_
  Link(s) to mod(s) used  : No mods_x000D_
_x000D_
  Save file  : Not a save  but map  _x000D_
 legtest zip (https:  github com Anuken Mindustry files 5937197 legtest zip)_x000D_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</si>
  <si>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PojavLauncherTeam-PojavLauncher-817</t>
  </si>
  <si>
    <t>[BUG] How can i fix this</t>
  </si>
  <si>
    <t xml:space="preserve">  Describe the bug  _x000D_
A clear and concise description of what the bug is _x000D_
So I was gonna start 1 7 10 with this Samsung Galaxy J1  And I set the ram up to 198MB (Bc this phone has only 1GB of ram) then it crashed _x000D_
  Expected behavior  _x000D_
I expected that it will run minecraft _x000D_
_x000D_
  Screenshots  _x000D_
N A if needed _x000D_
  Platform:  _x000D_
   Device Model Samung Galaxy J1_x000D_
   CPU architecture aarch32 _x000D_
   Android Version 5 1 1 5 0 1_x000D_
_x000D_
 details   summary  b Additional context  b   summary _x000D_
 br _x000D_
 pre _x000D_
Here is the latest log txt _x000D_
_x000D_
          beggining with launcher debug_x000D_
Info: LWJGL3 directory:  jsr305 jar  lwjgl glfw classes jar  lwjgl jemalloc jar  lwjgl openal jar  lwjgl opengl jar  lwjgl stb jar  lwjgl tinyfd jar  lwjgl jar  version _x000D_
Architecture: arm aarch32_x000D_
Info: Custom Java arguments:   Xms100m  Xmx100m _x000D_
Headless version detected  (20140514)_x000D_
          beginning of system_x000D_
          beginning of main_x000D_
I jrelog  (29462): Starting logging STDIO as jrelog:V_x000D_
I jrelog  (29462): WARNING: linker: _x000D_
I jrelog  (29462): libjli so_x000D_
I jrelog  (29462): : unused DT entry: type _x000D_
I jrelog  (29462): 0x1d_x000D_
I jrelog  (29462):  arg _x000D_
I jrelog  (29462): 0x3a8_x000D_
I jrelog  (29462): WARNING: linker: Unsupported flags DT FLAGS 1 0x81_x000D_
I jrelog  (29462): dlopen  data data net kdt pojavlaunch jre runtime lib aarch32 jli libjli so success_x000D_
I jrelog  (29462): dlopen  data data net kdt pojavlaunch jre runtime lib aarch32 client libjvm so success_x000D_
I jrelog  (29462): WARNING: linker: _x000D_
I jrelog  (29462): libverify so_x000D_
I jrelog  (29462): : unused DT entry: type _x000D_
I jrelog  (29462): 0x1d_x000D_
I jrelog  (29462):  arg _x000D_
I jrelog  (29462): 0x478_x000D_
I jrelog  (29462): WARNING: linker: _x000D_
I jrelog  (29462): Unsupported flags DT FLAGS 1 _x000D_
I jrelog  (29462): 0x81_x000D_
I jrelog  (29462): WARNING: linker: _x000D_
I jrelog  (29462): libverify so_x000D_
I jrelog  (29462): : unused DT entry: type _x000D_
I jrelog  (29462): 0x6ffffffe_x000D_
I jrelog  (29462):  arg _x000D_
I jrelog  (29462): 0xba4_x000D_
I jrelog  (29462): WARNING: linker: _x000D_
I jrelog  (29462): libverify so_x000D_
I jrelog  (29462): : unused DT entry: type _x000D_
I jrelog  (29462): 0x6fffffff_x000D_
I jrelog  (29462):  arg _x000D_
I jrelog  (29462): 0x1_x000D_
I jrelog  (29462): dlopen  data data net kdt pojavlaunch jre runtime lib aarch32 libverify so success_x000D_
I jrelog  (29462): WARNING: linker: _x000D_
I jrelog  (29462): libjava so_x000D_
I jrelog  (29462): : unused DT entry: type _x000D_
I jrelog  (29462): 0x1d_x000D_
I jrelog  (29462):  arg _x000D_
I jrelog  (29462): 0x34ad_x000D_
I jrelog  (29462): WARNING: linker: _x000D_
I jrelog  (29462): Unsupported flags DT FLAGS 1 _x000D_
I jrelog  (29462): 0x81_x000D_
I jrelog  (29462): WARNING: linker: _x000D_
I jrelog  (29462): libjava so_x000D_
I jrelog  (29462): : unused DT entry: type _x000D_
I jrelog  (29462): 0x6ffffffe_x000D_
I jrelog  (29462):  arg _x000D_
I jrelog  (29462): 0x64fc_x000D_
I jrelog  (29462): WARNING: linker: _x000D_
I jrelog  (29462): libjava so_x000D_
I jrelog  (29462): : unused DT entry: type _x000D_
I jrelog  (29462): 0x6fffffff_x000D_
I jrelog  (29462):  arg _x000D_
I jrelog  (29462): 0x2_x000D_
I jrelog  (29462): dlopen  data data net kdt pojavlaunch jre runtime lib aarch32 libjava so success_x000D_
I jrelog  (29462): WARNING: linker: libnet so_x000D_
I jrelog  (29462): : unused DT entry: type 0x1d arg 0x13f9_x000D_
I jrelog  (29462): WARNING: linker: Unsupported flags DT FLAGS 1 _x000D_
I jrelog  (29462): 0x81_x000D_
I jrelog  (29462): WARNING: linker: libnet so_x000D_
I jrelog  (29462): : unused DT entry: type 0x6ffffffe_x000D_
I jrelog  (29462):  arg 0x2850_x000D_
I jrelog  (29462): WARNING: linker: libnet so_x000D_
I jrelog  (29462): : unused DT entry: type 0x6fffffff_x000D_
I jrelog  (29462):  arg 0x2_x000D_
I jrelog  (29462): dlopen  data data net kdt pojavlaunch jre runtime lib aarch32 libnet so success_x000D_
I jrelog  (29462): WARNING: linker: libnio so_x000D_
I jrelog  (29462): : unused DT entry: type 0x1d arg 0x2303_x000D_
I jrelog  (29462): WARNING: linker: Unsupported flags DT FLAGS 1 _x000D_
I jrelog  (29462): 0x81_x000D_
I jrelog  (29462): WARNING: linker: libnio so_x000D_
I jrelog  (29462): : unused DT entry: type 0x6ffffffe arg _x000D_
I jrelog  (29462): 0x43d8_x000D_
I jrelog  (29462): WARNING: linker: libnio so_x000D_
I jrelog  (29462): : unused DT entry: type 0x6fffffff_x000D_
I jrelog  (29462):  arg 0x2_x000D_
I jrelog  (29462): dlopen  data data net kdt pojavlaunch jre runtime lib aarch32 libnio so success_x000D_
I jrelog  (29462): WARNING: linker: _x000D_
I jrelog  (29462): libawt so_x000D_
I jrelog  (29462): : unused DT entry: type _x000D_
I jrelog  (29462): 0x1d_x000D_
I jrelog  (29462):  arg _x000D_
I jrelog  (29462): 0x732a_x000D_
I jrelog  (29462): WARNING: linker: Unsupported flags DT FLAGS 1 _x000D_
I jrelog  (29462): 0x81_x000D_
I jrelog  (29462): WARNING: linker: libawt so_x000D_
I jrelog  (29462): : unused DT entry: type 0x6ffffffe_x000D_
I jrelog  (29462):  arg 0xe4fc_x000D_
I jrelog  (29462): WARNING: linker: libawt so_x000D_
I jrelog  (29462): : unused DT entry: type 0x6fffffff_x000D_
I jrelog  (29462):  arg 0x1_x000D_
I jrelog  (29462): dlopen  data data net kdt pojavlaunch jre runtime lib aarch32 libawt so success_x000D_
I jrelog  (29462): WARNING: linker: _x000D_
I jrelog  (29462): libawt headless so_x000D_
I jrelog  (29462): : unused DT entry: type _x000D_
I jrelog  (29462): 0x1d_x000D_
I jrelog  (29462):  arg _x000D_
I jrelog  (29462): 0x52e_x000D_
I jrelog  (29462): WARNING: linker: _x000D_
I jrelog  (29462): Unsupported flags DT FLAGS 1 _x000D_
I jrelog  (29462): 0x81_x000D_
I jrelog  (29462): WARNING: linker: _x000D_
I jrelog  (29462): libawt headless so_x000D_
I jrelog  (29462): : unused DT entry: type _x000D_
I jrelog  (29462): 0x6ffffffe_x000D_
I jrelog  (29462):  arg _x000D_
I jrelog  (29462): 0xd04_x000D_
I jrelog  (29462): WARNING: linker: _x000D_
I jrelog  (29462): libawt headless so_x000D_
I jrelog  (29462): : unused DT entry: type _x000D_
I jrelog  (29462): 0x6fffffff arg 0x1_x000D_
I jrelog  (29462): dlopen  data data net kdt pojavlaunch jre runtime lib aarch32 libawt headless so success_x000D_
I jrelog  (29462): dlopen  data data net kdt pojavlaunch jre runtime lib aarch32 libfreetype so success_x000D_
I jrelog  (29462): WARNING: linker: _x000D_
I jrelog  (29462): libfontmanager so: unused DT entry: type _x000D_
I jrelog  (29462): 0x1d arg 0x1010_x000D_
I jrelog  (29462): WARNING: linker: Unsupported flags DT FLAGS 1 _x000D_
I jrelog  (29462): 0x81_x000D_
I jrelog  (29462): WARNING: linker: libfontmanager so_x000D_
I jrelog  (29462): : unused DT entry: type 0x6ffffffe_x000D_
I jrelog  (29462):  arg 0x2248_x000D_
I jrelog  (29462): WARNING: linker: libfontmanager so_x000D_
I jrelog  (29462): : unused DT entry: type 0x6fffffff_x000D_
I jrelog  (29462):  arg 0x2_x000D_
I jrelog  (29462): dlopen  data data net kdt pojavlaunch jre runtime lib aarch32 libfontmanager so success_x000D_
I jrelog  (29462): WARNING: linker: _x000D_
I jrelog  (29462): libhprof so_x000D_
I jrelog  (29462): : unused DT entry: type _x000D_
I jrelog  (29462): 0x1d_x000D_
I jrelog  (29462):  arg _x000D_
I jrelog  (29462): 0x27f_x000D_
I jrelog  (29462): WARNING: linker: _x000D_
I jrelog  (29462): Unsupported flags DT FLAGS 1 _x000D_
I jrelog  (29462): 0x81_x000D_
I jrelog  (29462): dlopen  data data net kdt pojavlaunch jre runtime lib aarch32 libhprof so success_x000D_
I jrelog  (29462): dlopen  data data net kdt pojavlaunch jre runtime lib aarch32 libfontmanager so success_x000D_
I jrelog  (29462): WARNING: linker: _x000D_
I jrelog  (29462): libj2pcsc so_x000D_
I jrelog  (29462): : unused DT entry: type _x000D_
I jrelog  (29462): 0x1d arg _x000D_
I jrelog  (29462): 0x30e_x000D_
I jrelog  (29462): WARNING: linker: _x000D_
I jrelog  (29462): Unsupported flags DT FLAGS 1 _x000D_
I jrelog  (29462): 0x81_x000D_
I jrelog  (29462): dlopen  data data net kdt pojavlaunch jre runtime lib aarch32 libj2pcsc so success_x000D_
I jrelog  (29462): WARNING: linker: _x000D_
I jrelog  (29462): libdt socket so_x000D_
I jrelog  (29462): : unused DT entry: type 0x1d_x000D_
I jrelog  (29462):  arg 0x1f5_x000D_
I jrelog  (29462): WARNING: linker: Unsupported flags DT FLAGS 1 _x000D_
I jrelog  (29462): 0x81_x000D_
I jrelog  (29462): dlopen  data data net kdt pojavlaunch jre runtime lib aarch32 libdt socket so success_x000D_
I jrelog  (29462): WARNING: linker: _x000D_
I jrelog  (29462): liblcms so_x000D_
I jrelog  (29462): : unused DT entry: type _x000D_
I jrelog  (29462): 0x1d_x000D_
I jrelog  (29462):  arg 0x5bb_x000D_
I jrelog  (29462): WARNING: linker: Unsupported flags DT FLAGS 1 _x000D_
I jrelog  (29462): 0x81_x000D_
I jrelog  (29462): WARNING: linker: liblcms so_x000D_
I jrelog  (29462): : unused DT entry: type 0x6ffffffe_x000D_
I jrelog  (29462):  arg 0x1174_x000D_
I jrelog  (29462): WARNING: linker: liblcms so_x000D_
I jrelog  (29462): : unused DT entry: type 0x6fffffff_x000D_
I jrelog  (29462):  arg 0x1_x000D_
I jrelog  (29462): dlopen  data data net kdt pojavlaunch jre runtime lib aarch32 liblcms so success_x000D_
I jrelog  (29462): dlopen  data data net kdt pojavlaunch jre runtime lib aarch32 libverify so success_x000D_
I jrelog  (29462): WARNING: linker: _x000D_
I jrelog  (29462): libmanagement so_x000D_
I jrelog  (29462): : unused DT entry: type _x000D_
I jrelog  (29462): 0x1d_x000D_
I jrelog  (29462):  arg _x000D_
I jrelog  (29462): 0x178c_x000D_
I jrelog  (29462): WARNING: linker: _x000D_
I jrelog  (29462): Unsupported flags DT FLAGS 1 _x000D_
I jrelog  (29462): 0x81_x000D_
I jrelog  (29462): WARNING: linker: libmanagement so_x000D_
I jrelog  (29462): : unused DT entry: type 0x6ffffffe arg _x000D_
I jrelog  (29462): 0x27cc_x000D_
I jrelog  (29462): WARNING: linker: libmanagement so_x000D_
I jrelog  (29462): : unused DT entry: type 0x6fffffff_x000D_
I jrelog  (29462):  arg 0x2_x000D_
I jrelog  (29462): dlopen  data data net kdt pojavlaunch jre runtime lib aarch32 libmanagement so success_x000D_
I jrelog  (29462): dlopen  data data net kdt pojavlaunch jre runtime lib aarch32 libjpeg so success_x000D_
I jrelog  (29462): WARNING: linker: _x000D_
I jrelog  (29462): libmlib image so_x000D_
I jrelog  (29462): : unused DT entry: type _x000D_
I jrelog  (29462): 0x1d_x000D_
I jrelog  (29462):  arg _x000D_
I jrelog  (29462): 0x1df_x000D_
I jrelog  (29462): WARNING: linker: _x000D_
I jrelog  (29462): Unsupported flags DT FLAGS 1 _x000D_
I jrelog  (29462): 0x81_x000D_
I jrelog  (29462): dlopen  data data net kdt pojavlaunch jre runtime lib aarch32 libmlib image so success_x000D_
I jrelog  (29462): dlopen  data data net kdt pojavlaunch jre runtime lib aarch32 libjsig so success_x000D_
I jrelog  (29462): WARNING: linker: _x000D_
I jrelog  (29462): libjsdt so_x000D_
I jrelog  (29462): : unused DT entry: type _x000D_
I jrelog  (29462): 0x1d_x000D_
I jrelog  (29462):  arg _x000D_
I jrelog  (29462): 0x161_x000D_
I jrelog  (29462): WARNING: linker: _x000D_
I jrelog  (29462): Unsupported flags DT FLAGS 1 _x000D_
I jrelog  (29462): 0x81_x000D_
I jrelog  (29462): dlopen  data data net kdt pojavlaunch jre runtime lib aarch32 libjsdt so success_x000D_
I jrelog  (29462): dlopen  data data net kdt pojavlaunch jre runtime lib aarch32 libawt headless so success_x000D_
I jrelog  (29462): WARNING: linker: libj2pkcs11 so_x000D_
I jrelog  (29462): : unused DT entry: type 0x1d arg 0xf42_x000D_
I jrelog  (29462): WARNING: linker: Unsupported flags DT FLAGS 1 _x000D_
I jrelog  (29462): 0x81_x000D_
I jrelog  (29462): dlopen  data data net kdt pojavlaunch jre runtime lib aarch32 libj2pkcs11 so success_x000D_
I jrelog  (29462): dlopen  data data net kdt pojavlaunch jre runtime lib aarch32 libnet so success_x000D_
I jrelog  (29462): dlopen  data data net kdt pojavlaunch jre runtime lib aarch32 libjava so success_x000D_
I jrelog  (29462): WARNING: linker: _x000D_
I jrelog  (29462): libjsound so_x000D_
I jrelog  (29462): : unused DT entry: type _x000D_
I jrelog  (29462): 0x1d_x000D_
I jrelog  (29462):  arg _x000D_
I jrelog  (29462): 0x141_x000D_
I jrelog  (29462): WARNING: linker: _x000D_
I jrelog  (29462): Unsupported flags DT FLAGS 1 _x000D_
I jrelog  (29462): 0x81_x000D_
I jrelog  (29462): dlopen  data data net kdt pojavlaunch jre runtime lib aarch32 libjsound so success_x000D_
I jrelog  (29462): dlopen  data data net kdt pojavlaunch jre runtime lib aarch32 libsunec so success_x000D_
I jrelog  (29462): dlopen  data data net kdt pojavlaunch jre runtime lib aarch32 libawt so success_x000D_
I jrelog  (29462): WARNING: linker: _x000D_
I jrelog  (29462): libj2gss so_x000D_
I jrelog  (29462): : unused DT entry: type _x000D_
I jrelog  (29462): 0x1d_x000D_
I jrelog  (29462):  arg _x000D_
I jrelog  (29462): 0x6e9_x000D_
I jrelog  (29462): WARNING: linker: _x000D_
I jrelog  (29462): Unsupported flags DT FLAGS 1 _x000D_
I jrelog  (29462): 0x81_x000D_
I jrelog  (29462): dlopen  data data net kdt pojavlaunch jre runtime lib aarch32 libj2gss so success_x000D_
I jrelog  (29462): WARNING: linker: libunpack so_x000D_
I jrelog  (29462): : unused DT entry: type 0x1d arg 0x400_x000D_
I jrelog  (29462): WARNING: linker: Unsupported flags DT FLAGS 1 _x000D_
I jrelog  (29462): 0x81_x000D_
I jrelog  (29462): WARNING: linker: libunpack so_x000D_
I jrelog  (29462): : unused DT entry: type 0x6ffffffe_x000D_
I jrelog  (29462):  arg 0xc8c_x000D_
I jrelog  (29462): WARNING: linker: libunpack so_x000D_
I jrelog  (29462): : unused DT entry: type 0x6fffffff_x000D_
I jrelog  (29462):  arg 0x2_x000D_
I jrelog  (29462): dlopen  data data net kdt pojavlaunch jre runtime lib aarch32 libunpack so success_x000D_
I jrelog  (29462): dlopen  data data net kdt pojavlaunch jre runtime lib aarch32 libfreetype so success_x000D_
I jrelog  (29462): WARNING: linker: _x000D_
I jrelog  (29462): libnpt so: unused DT entry: type 0x1d arg _x000D_
I jrelog  (29462): 0x102_x000D_
I jrelog  (29462): WARNING: linker: Unsupported flags DT FLAGS 1 _x000D_
I jrelog  (29462): 0x81_x000D_
I jrelog  (29462): WARNING: linker: libtinyiconv so_x000D_
I jrelog  (29462): : unused DT entry: type 0x1d arg _x000D_
I jrelog  (29462): 0x70a_x000D_
I jrelog  (29462): WARNING: linker: Unsupported flags DT FLAGS 1 _x000D_
I jrelog  (29462): 0x81_x000D_
I jrelog  (29462): dlopen  data data net kdt pojavlaunch jre runtime lib aarch32 libnpt so success_x000D_
I jrelog  (29462): WARNING: linker: libjava crw demo so_x000D_
I jrelog  (29462): : unused DT entry: type 0x1d arg _x000D_
I jrelog  (29462): 0x10e_x000D_
I jrelog  (29462): WARNING: linker: Unsupported flags DT FLAGS 1 _x000D_
I jrelog  (29462): 0x81_x000D_
I jrelog  (29462): dlopen  data data net kdt pojavlaunch jre runtime lib aarch32 libjava crw demo so success_x000D_
I jrelog  (29462): dlopen  data data net kdt pojavlaunch jre runtime lib aarch32 libnio so success_x000D_
I jrelog  (29462): WARNING: linker: libawt xawt so_x000D_
I jrelog  (29462): : unused DT entry: type 0x6ffffef5 arg _x000D_
I jrelog  (29462): 0x46bc_x000D_
I jrelog  (29462): WARNING: linker: libawt xawt so_x000D_
I jrelog  (29462): : unused DT entry: type 0x6ffffffe_x000D_
I jrelog  (29462):  arg 0x5c74_x000D_
I jrelog  (29462): WARNING: linker: libawt xawt so_x000D_
I jrelog  (29462): : unused DT entry: type 0x6fffffff_x000D_
I jrelog  (29462):  arg 0x2_x000D_
I jrelog  (29462): dlopen  data data net kdt pojavlaunch jre runtime lib aarch32 libawt xawt so success_x000D_
I jrelog  (29462): dlopen  data data net kdt pojavlaunch jre runtime lib aarch32 client libjvm so success_x000D_
I jrelog  (29462): dlopen  data data net kdt pojavlaunch jre runtime lib aarch32 libtinyiconv so success_x000D_
I jrelog  (29462): WARNING: linker: libzip so: unused DT entry: type _x000D_
I jrelog  (29462): 0x1d arg 0x99f_x000D_
I jrelog  (29462): WARNING: linker: Unsupported flags DT FLAGS 1 _x000D_
I jrelog  (29462): 0x81_x000D_
I jrelog  (29462): WARNING: linker: libzip so_x000D_
I jrelog  (29462): : unused DT entry: type 0x6ffffffe_x000D_
I jrelog  (29462):  arg 0x1640_x000D_
I jrelog  (29462): WARNING: linker: libzip so_x000D_
I jrelog  (29462): : unused DT entry: type 0x6fffffff_x000D_
I jrelog  (29462):  arg 0x2_x000D_
I jrelog  (29462): dlopen  data data net kdt pojavlaunch jre runtime lib aarch32 libzip so success_x000D_
I jrelog  (29462): WARNING: linker: libjawt so: unused DT entry: type _x000D_
I jrelog  (29462): 0x1d arg 0x9f_x000D_
I jrelog  (29462): WARNING: linker: Unsupported flags DT FLAGS 1 _x000D_
I jrelog  (29462): 0x81_x000D_
I jrelog  (29462): dlopen  data data net kdt pojavlaunch jre runtime lib aarch32 libjawt so success_x000D_
I jrelog  (29462): WARNING: linker: libjaas unix so_x000D_
I jrelog  (29462): : unused DT entry: type 0x1d arg _x000D_
I jrelog  (29462): 0xe1_x000D_
I jrelog  (29462): WARNING: linker: Unsupported flags DT FLAGS 1 _x000D_
I jrelog  (29462): 0x81_x000D_
I jrelog  (29462): dlopen  data data net kdt pojavlaunch jre runtime lib aarch32 libjaas unix so success_x000D_
I jrelog  (29462): WARNING: linker: libsctp so_x000D_
I jrelog  (29462): : unused DT entry: type 0x1d arg _x000D_
I jrelog  (29462): 0x6de_x000D_
I jrelog  (29462): WARNING: linker: Unsupported flags DT FLAGS 1 _x000D_
I jrelog  (29462): 0x81_x000D_
I jrelog  (29462): WARNING: linker: libsctp so_x000D_
I jrelog  (29462): : unused DT entry: type 0x6ffffffe_x000D_
I jrelog  (29462):  arg 0xf34_x000D_
I jrelog  (29462): WARNING: linker: libsctp so_x000D_
I jrelog  (29462): : unused DT entry: type 0x6fffffff_x000D_
I jrelog  (29462):  arg 0x3_x000D_
I jrelog  (29462): dlopen  data data net kdt pojavlaunch jre runtime lib aarch32 libsctp so success_x000D_
I jrelog  (29462): dlopen  data data net kdt pojavlaunch jre runtime lib aarch32 jli libjli so success_x000D_
I jrelog  (29462): WARNING: linker: libjdwp so: unused DT entry: type _x000D_
I jrelog  (29462): 0x1d arg 0x261_x000D_
I jrelog  (29462): WARNING: linker: Unsupported flags DT FLAGS 1 _x000D_
I jrelog  (29462): 0x81_x000D_
I jrelog  (29462): dlopen  data data net kdt pojavlaunch jre runtime lib aarch32 libjdwp so success_x000D_
I jrelog  (29462): WARNING: linker: libinstrument so_x000D_
I jrelog  (29462): : unused DT entry: type 0x1d arg _x000D_
I jrelog  (29462): 0x415_x000D_
I jrelog  (29462): WARNING: linker: Unsupported flags DT FLAGS 1 _x000D_
I jrelog  (29462): 0x81_x000D_
I jrelog  (29462): WARNING: linker: libinstrument so_x000D_
I jrelog  (29462): : unused DT entry: type 0x6ffffffe_x000D_
I jrelog  (29462):  arg 0xa34_x000D_
I jrelog  (29462): WARNING: linker: libinstrument so_x000D_
I jrelog  (29462): : unused DT entry: type 0x6fffffff_x000D_
I jrelog  (29462):  arg 0x1_x000D_
I jrelog  (29462): dlopen  data data net kdt pojavlaunch jre runtime lib aarch32 libinstrument so success_x000D_
I jrelog  (29462): WARNING: linker: libopenal so_x000D_
I jrelog  (29462): : unused DT entry: type 0x6ffffef5 arg _x000D_
I jrelog  (29462): 0x22398_x000D_
I jrelog  (29462): WARNING: linker: libopenal so_x000D_
I jrelog  (29462): : unused DT entry: type 0x6ffffffe_x000D_
I jrelog  (29462):  arg 0x2c370_x000D_
I jrelog  (29462): WARNING: linker: libopenal so_x000D_
I jrelog  (29462): : unused DT entry: type 0x6fffffff_x000D_
I jrelog  (29462):  arg 0x3_x000D_
I jrelog  (29462): dlopen  data app net kdt pojavlaunch 1 lib arm libopenal so success_x000D_
I jrelog  (29462): WARNING: linker: _x000D_
I jrelog  (29462): libgl04es so: unused DT entry: type 0x6ffffef5_x000D_
I jrelog  (29462):  arg 0xb498_x000D_
I jrelog  (29462): WARNING: linker: libgl04es so_x000D_
I jrelog  (29462): : unused DT entry: type 0x6ffffffe_x000D_
I jrelog  (29462):  arg 0x10da4_x000D_
I jrelog  (29462): WARNING: linker: libgl04es so_x000D_
I jrelog  (29462): : unused DT entry: type 0x6fffffff_x000D_
I jrelog  (29462):  arg 0x3_x000D_
I jrelog  (29462): dlopen  data app net kdt pojavlaunch 1 lib arm libgl04es so success_x000D_
I jrelog  (29462): Done processing args_x000D_
I jrelog  (29462): Found JLI lib_x000D_
I jrelog  (29462): Calling JLI Launch_x000D_
I jrelog  (29462): OpenJDK Client VM warning: _x000D_
I jrelog  (29462): No monotonic clock was available   timed services may be adversely affected if the time of day clock changes_x000D_
I jrelog  (29462): WARNING: linker: _x000D_
I jrelog  (29462): libwebviewchromium so_x000D_
I jrelog  (29462): : unused DT entry: type _x000D_
I jrelog  (29462): 0x6ffffef5_x000D_
I jrelog  (29462):  arg _x000D_
I jrelog  (29462): 0x7210_x000D_
I jrelog  (29462): WARNING: linker: _x000D_
I jrelog  (29462): libwebviewchromium so_x000D_
I jrelog  (29462): : unused DT entry: type _x000D_
I jrelog  (29462): 0x6ffffffe_x000D_
I jrelog  (29462):  arg _x000D_
I jrelog  (29462): 0x71b0_x000D_
I jrelog  (29462): WARNING: linker: _x000D_
I jrelog  (29462): libwebviewchromium so_x000D_
I jrelog  (29462): : unused DT entry: type _x000D_
I jrelog  (29462): 0x6fffffff_x000D_
I jrelog  (29462):  arg _x000D_
I jrelog  (29462): 0x3_x000D_
I jrelog  (29462):  0206 222556 250797:ERROR:elf dynamic array reader h(61)  tag not found_x000D_
I jrelog  (29462):  0206 222556 277103:ERROR:elf dynamic array reader h(61)  tag not found_x000D_
I jrelog  (29462):  0206 222556 280704:ERROR:elf dynamic array reader h(61)  tag not found_x000D_
I jrelog  (29462):  0206 222556 295902:ERROR:elf dynamic array reader h(61)  tag not found_x000D_
I jrelog  (29612): Starting logging STDIO as jrelog:V_x000D_
I jrelog  (29612): WARNING: linker: _x000D_
I jrelog  (29612): libjli so_x000D_
I jrelog  (29612): : unused DT entry: type _x000D_
I jrelog  (29612): 0x1d_x000D_
I jrelog  (29612):  arg _x000D_
I jrelog  (29612): 0x3a8_x000D_
I jrelog  (29612): WARNING: linker: _x000D_
I jrelog  (29612): Unsupported flags DT FLAGS 1 _x000D_
I jrelog  (29612): 0x81_x000D_
I jrelog  (29612): dlopen  data data net kdt pojavlaunch jre runtime lib aarch32 jli libjli so success_x000D_
I jrelog  (29612): dlopen  data data net kdt pojavlaunch jre runtime lib aarch32 client libjvm so success_x000D_
I jrelog  (29612): WARNING: linker: libverify so: unused DT entry: type _x000D_
I jrelog  (29612): 0x1d arg 0x478_x000D_
I jrelog  (29612): WARNING: linker: Unsupported flags DT FLAGS 1 _x000D_
I jrelog  (29612): 0x81_x000D_
I jrelog  (29612): WARNING: linker: libverify so_x000D_
I jrelog  (29612): : unused DT entry: type 0x6ffffffe_x000D_
I jrelog  (29612):  arg 0xba4_x000D_
I jrelog  (29612): WARNING: linker: libverify so_x000D_
I jrelog  (29612): : unused DT entry: type 0x6fffffff_x000D_
I jrelog  (29612):  arg 0x1_x000D_
I jrelog  (29612): dlopen  data data net kdt pojavlaunch jre runtime lib aarch32 libverify so success_x000D_
I jrelog  (29612): WARNING: linker: libjava so: unused DT entry: type _x000D_
I jrelog  (29612): 0x1d arg 0x34ad_x000D_
I jrelog  (29612): WARNING: linker: Unsupported flags DT FLAGS 1 _x000D_
I jrelog  (29612): 0x81_x000D_
I jrelog  (29612): WARNING: linker: libjava so_x000D_
I jrelog  (29612): : unused DT entry: type 0x6ffffffe arg _x000D_
I jrelog  (29612): 0x64fc_x000D_
I jrelog  (29612): WARNING: linker: libjava so_x000D_
I jrelog  (29612): : unused DT entry: type 0x6fffffff arg _x000D_
I jrelog  (29612): 0x2_x000D_
I jrelog  (29612): dlopen  data data net kdt pojavlaunch jre runtime lib aarch32 libjava so success_x000D_
I jrelog  (29612): WARNING: linker: libnet so: unused DT entry: type _x000D_
I jrelog  (29612): 0x1d arg 0x13f9_x000D_
I jrelog  (29612): WARNING: linker: Unsupported flags DT FLAGS 1 _x000D_
I jrelog  (29612): 0x81_x000D_
I jrelog  (29612): WARNING: linker: libnet so_x000D_
I jrelog  (29612): : unused DT entry: type 0x6ffffffe_x000D_
I jrelog  (29612):  arg 0x2850_x000D_
I jrelog  (29612): WARNING: linker: libnet so_x000D_
I jrelog  (29612): : unused DT entry: type 0x6fffffff_x000D_
I jrelog  (29612):  arg 0x2_x000D_
I jrelog  (29612): dlopen  data data net kdt pojavlaunch jre runtime lib aarch32 libnet so success_x000D_
I jrelog  (29612): WARNING: linker: libnio so: unused DT entry: type _x000D_
I jrelog  (29612): 0x1d arg 0x2303_x000D_
I jrelog  (29612): WARNING: linker: Unsupported flags DT FLAGS 1 _x000D_
I jrelog  (29612): 0x81_x000D_
I jrelog  (29612): WARNING: linker: libnio so: unused DT entry: type 0x6ffffffe arg 0x43d8_x000D_
I jrelog  (29612): WARNING: linker: libnio so: unused DT entry: type 0x6fffffff arg 0x2_x000D_
I jrelog  (29612): dlopen  data data net kdt pojavlaunch jre runtime lib aarch32 libnio so success_x000D_
I jrelog  (29612): WARNING: linker: _x000D_
I jrelog  (29612): libawt so: unused DT entry: type 0x1d arg 0x732a_x000D_
I jrelog  (29612): WARNING: linker: _x000D_
I jrelog  (29612): Unsupported flags DT FLAGS 1 _x000D_
I jrelog  (29612): 0x81_x000D_
I jrelog  (29612): WARNING: linker: _x000D_
I jrelog  (29612): libawt so_x000D_
I jrelog  (29612): : unused DT entry: type _x000D_
I jrelog  (29612): 0x6ffffffe_x000D_
I jrelog  (29612):  arg _x000D_
I jrelog  (29612): 0xe4fc_x000D_
I jrelog  (29612): WARNING: linker: _x000D_
I jrelog  (29612): libawt so_x000D_
I jrelog  (29612): : unused DT entry: type _x000D_
I jrelog  (29612): 0x6fffffff_x000D_
I jrelog  (29612):  arg _x000D_
I jrelog  (29612): 0x1_x000D_
I jrelog  (29612): dlopen  data data net kdt pojavlaunch jre runtime lib aarch32 libawt so success_x000D_
I jrelog  (29612): WARNING: linker: libawt headless so: unused DT entry: type _x000D_
I jrelog  (29612): 0x1d arg 0x52e_x000D_
I jrelog  (29612): WARNING: linker: Unsupported flags DT FLAGS 1 _x000D_
I jrelog  (29612): 0x81_x000D_
I jrelog  (29612): WARNING: linker: libawt headless so_x000D_
I jrelog  (29612): : unused DT entry: type 0x6ffffffe_x000D_
I jrelog  (29612):  arg 0xd04_x000D_
I jrelog  (29612): WARNING: linker: libawt headless so_x000D_
I jrelog  (29612): : unused DT entry: type 0x6fffffff_x000D_
I jrelog  (29612):  arg 0x1_x000D_
I jrelog  (29612): dlopen  data data net kdt pojavlaunch jre runtime lib aarch32 libawt headless so success_x000D_
I jrelog  (29612): dlopen  data data net kdt pojavlaunch jre runtime lib aarch32 libfreetype so success_x000D_
I jrelog  (29612): WARNING: linker: _x000D_
I jrelog  (29612): libfontmanager so_x000D_
I jrelog  (29612): : unused DT entry: type _x000D_
I jrelog  (29612): 0x1d_x000D_
I jrelog  (29612):  arg _x000D_
I jrelog  (29612): 0x1010_x000D_
I jrelog  (29612): WARNING: linker: _x000D_
I jrelog  (29612): Unsupported flags DT FLAGS 1 _x000D_
I jrelog  (29612): 0x81_x000D_
I jrelog  (29612): WARNING: linker: _x000D_
I jrelog  (29612): libfontmanager so_x000D_
I jrelog  (29612): : unused DT entry: type _x000D_
I jrelog  (29612): 0x6ffffffe_x000D_
I jrelog  (29612):  arg _x000D_
I jrelog  (29612): 0x2248_x000D_
I jrelog  (29612): WARNING: linker: libfontmanager so: unused DT entry: type _x000D_
I jrelog  (29612): 0x6fffffff arg 0x2_x000D_
I jrelog  (29612): dlopen  data data net kdt pojavlaunch jre runtime lib aarch32 libfontmanager so success_x000D_
I jrelog  (29612): WARNING: linker: _x000D_
I jrelog  (29612): libhprof so_x000D_
I jrelog  (29612): : unused DT entry: type _x000D_
I jrelog  (29612): 0x1d_x000D_
I jrelog  (29612):  arg _x000D_
I jrelog  (29612): 0x27f_x000D_
I jrelog  (29612): WARNING: linker: _x000D_
I jrelog  (29612): Unsupported flags DT FLAGS 1 _x000D_
I jrelog  (29612): 0x81_x000D_
I jrelog  (29612): dlopen  data data net kdt pojavlaunch jre runtime lib aarch32 libhprof so success_x000D_
I jrelog  (29612): dlopen  data data net kdt pojavlaunch jre runtime lib aarch32 libfontmanager so success_x000D_
I jrelog  (29612): WARNING: linker: _x000D_
I jrelog  (29612): libj2pcsc so_x000D_
I jrelog  (29612): : unused DT entry: type _x000D_
I jrelog  (29612): 0x1d_x000D_
I jrelog  (29612):  arg _x000D_
I jrelog  (29612): 0x30e_x000D_
I jrelog  (29612): WARNING: linker: _x000D_
I jrelog  (29612): Unsupported flags DT FLAGS 1 _x000D_
I jrelog  (29612): 0x81_x000D_
I jrelog  (29612): dlopen  data data net kdt pojavlaunch jre runtime lib aarch32 libj2pcsc so success_x000D_
I jrelog  (29612): WARNING: linker: _x000D_
I jrelog  (29612): libdt socket so_x000D_
I jrelog  (29612): : unused DT entry: type _x000D_
I jrelog  (29612): 0x1d_x000D_
I jrelog  (29612):  arg _x000D_
I jrelog  (29612): 0x1f5_x000D_
I jrelog  (29612): WARNING: linker: _x000D_
I jrelog  (29612): Unsupported flags DT FLAGS 1 _x000D_
I jrelog  (29612): 0x81_x000D_
I jrelog  (29612): dlopen  data data net kdt pojavlaunch jre runtime lib aarch32 libdt socket so success_x000D_
I jrelog  (29612): WARNING: linker: _x000D_
I jrelog  (29612): liblcms so_x000D_
I jrelog  (29612): : unused DT entry: type _x000D_
I jrelog  (29612): 0x1d_x000D_
I jrelog  (29612):  arg _x000D_
I jrelog  (29612): 0x5bb_x000D_
I jrelog  (29612): WARNING: linker: _x000D_
I jrelog  (29612): Unsupported flags DT FLAGS 1 _x000D_
I jrelog  (29612): 0x81_x000D_
I jrelog  (29612): WARNING: linker: _x000D_
I jrelog  (29612): liblcms so_x000D_
I jrelog  (29612): : unused DT entry: type _x000D_
I jrelog  (29612): 0x6ffffffe_x000D_
I jrelog  (29612):  arg _x000D_
I jrelog  (29612): 0x1174_x000D_
I jrelog  (29612): WARNING: linker: _x000D_
I jrelog  (29612): liblcms so_x000D_
I jrelog  (29612): : unused DT entry: type _x000D_
I jrelog  (29612): 0x6fffffff_x000D_
I jrelog  (29612):  arg _x000D_
I jrelog  (29612): 0x1_x000D_
I jrelog  (29612): dlopen  data data net kdt pojavlaunch jre runtime lib aarch32 liblcms so success_x000D_
I jrelog  (29612): dlopen  data data net kdt pojavlaunch jre runtime lib aarch32 libverify so success_x000D_
I jrelog  (29612): WARNING: linker: _x000D_
I jrelog  (29612): libmanagement so_x000D_
I jrelog  (29612): : unused DT entry: type _x000D_
I jrelog  (29612): 0x1d_x000D_
I jrelog  (29612):  arg _x000D_
I jrelog  (29612): 0x178c_x000D_
I jrelog  (29612): WARNING: linker: _x000D_
I jrelog  (29612): Unsupported flags DT FLAGS 1 _x000D_
I jrelog  (29612): 0x81_x000D_
I jrelog  (29612): WARNING: linker: _x000D_
I jrelog  (29612): libmanagement so_x000D_
I jrelog  (29612): : unused DT entry: type _x000D_
I jrelog  (29612): 0x6ffffffe_x000D_
I jrelog  (29612):  arg _x000D_
I jrelog  (29612): 0x27cc_x000D_
I jrelog  (29612): WARNING: linker: _x000D_
I jrelog  (29612): libmanagement so_x000D_
I jrelog  (29612): : unused DT entry: type _x000D_
I jrelog  (29612): 0x6fffffff_x000D_
I jrelog  (29612):  arg _x000D_
I jrelog  (29612): 0x2_x000D_
I jrelog  (29612): dlopen  data data net kdt pojavlaunch jre runtime lib aarch32 libmanagement so success_x000D_
I jrelog  (29612): dlopen  data data net kdt pojavlaunch jre runtime lib aarch32 libjpeg so success_x000D_
I jrelog  (29612): WARNING: linker: _x000D_
I jrelog  (29612): libmlib image so_x000D_
I jrelog  (29612): : unused DT entry: type _x000D_
I jrelog  (29612): 0x1d_x000D_
I jrelog  (29612):  arg _x000D_
I jrelog  (29612): 0x1df_x000D_
I jrelog  (29612): WARNING: linker: _x000D_
I jrelog  (29612): Unsupported flags DT FLAGS 1 _x000D_
I jrelog  (29612): 0x81_x000D_
I jrelog  (29612): dlopen  data data net kdt pojavlaunch jre runtime lib aarch32 libmlib image so success_x000D_
I jrelog  (29612): dlopen  data data net kdt pojavlaunch jre runtime lib aarch32 libjsig so success_x000D_
I jrelog  (29612): WARNING: linker: _x000D_
I jrelog  (29612): libjsdt so_x000D_
I jrelog  (29612): : unused DT entry: type _x000D_
I jrelog  (29612): 0x1d_x000D_
I jrelog  (29612):  arg _x000D_
I jrelog  (29612): 0x161_x000D_
I jrelog  (29612): WARNING: linker: _x000D_
I jrelog  (29612): Unsupported flags DT FLAGS 1 _x000D_
I jrelog  (29612): 0x81_x000D_
I jrelog  (29612): dlopen  data data net kdt pojavlaunch jre runtime lib aarch32 libjsdt so success_x000D_
I jrelog  (29612): dlopen  data data net kdt pojavlaunch jre runtime lib aarch32 libawt headless so success_x000D_
I jrelog  (29612): WARNING: linker: _x000D_
I jrelog  (29612): libj2pkcs11 so_x000D_
I jrelog  (29612): : unused DT entry: type _x000D_
I jrelog  (29612): 0x1d_x000D_
I jrelog  (29612):  arg _x000D_
I jrelog  (29612): 0xf42_x000D_
I jrelog  (29612): WARNING: linker: _x000D_
I jrelog  (29612): Unsupported flags DT FLAGS 1 _x000D_
I jrelog  (29612): 0x81_x000D_
I jrelog  (29612): dlopen  data data net kdt pojavlaunch jre runtime lib aarch32 libj2pkcs11 so success_x000D_
I jrelog  (29612): dlopen  data data net kdt pojavlaunch jre runtime lib aarch32 libnet so success_x000D_
I jrelog  (29612): dlopen  data data net kdt pojavlaunch jre runtime lib aarch32 libjava so success_x000D_
I jrelog  (29612): WARNING: linker: _x000D_
I jrelog  (29612): libjsound so_x000D_
I jrelog  (29612): : unused DT entry: type _x000D_
I jrelog  (29612): 0x1d_x000D_
I jrelog  (29612):  arg _x000D_
I jrelog  (29612): 0x141_x000D_
I jrelog  (29612): WARNING: linker: _x000D_
I jrelog  (29612): Unsupported flags DT FLAGS 1 _x000D_
I jrelog  (29612): 0x81_x000D_
I jrelog  (29612): dlopen  data data net kdt pojavlaunch jre runtime lib aarch32 libjsound so success_x000D_
I jrelog  (29612): dlopen  data data net kdt pojavlaunch jre runtime lib aarch32 libsunec so success_x000D_
I jrelog  (29612): dlopen  data data net kdt pojavlaunch jre runtime lib aarch32 libawt so success_x000D_
I jrelog  (29612): WARNING: linker: _x000D_
I jrelog  (29612): libj2gss so_x000D_
I jrelog  (29612): : unused DT entry: type _x000D_
I jrelog  (29612): 0x1d_x000D_
I jrelog  (29612):  arg _x000D_
I jrelog  (29612): 0x6e9_x000D_
I jrelog  (29612): WARNING: linker: _x000D_
I jrelog  (29612): Unsupported flags DT FLAGS 1 _x000D_
I jrelog  (29612): 0x81_x000D_
I jrelog  (29612): dlopen  data data net kdt pojavlaunch jre runtime lib aarch32 libj2gss so success_x000D_
I jrelog  (29612): WARNING: linker: _x000D_
I jrelog  (29612): libunpack so_x000D_
I jrelog  (29612): : unused DT entry: type _x000D_
I jrelog  (29612): 0x1d_x000D_
I jrelog  (29612):  arg _x000D_
I jrelog  (29612): 0x400_x000D_
I jrelog  (29612): WARNING: linker: _x000D_
I jrelog  (29612): Unsupported flags DT FLAGS 1 _x000D_
I jrelog  (29612): 0x81_x000D_
I jrelog  (29612): WARNING: linker: _x000D_
I jrelog  (29612): libunpack so_x000D_
I jrelog  (29612): : unused DT entry: type _x000D_
I jrelog  (29612): 0x6ffffffe_x000D_
I jrelog  (29612):  arg _x000D_
I jrelog  (29612): 0xc8c_x000D_
I jrelog  (29612): WARNING: linker: _x000D_
I jrelog  (29612): libunpack so_x000D_
I jrelog  (29612): : unused DT entry: type _x000D_
I jrelog  (29612): 0x6fffffff_x000D_
I jrelog  (29612):  arg _x000D_
I jrelog  (29612): 0x2_x000D_
I jrelog  (29612): dlopen  data data net kdt pojavlaunch jre runtime lib aarch32 libunpack so success_x000D_
I jrelog  (29612): dlopen  data data net kdt pojavlaunch jre runtime lib aarch32 libfreetype so success_x000D_
I jrelog  (29612): WARNING: linker: _x000D_
I jrelog  (29612): libnpt so_x000D_
I jrelog  (29612): : unused DT entry: type _x000D_
I jrelog  (29612): 0x1d_x000D_
I jrelog  (29612):  arg _x000D_
I jrelog  (29612): 0x102_x000D_
I jrelog  (29612): WARNING: linker: _x000D_
I jrelog  (29612): Unsupported flags DT FLAGS 1 _x000D_
I jrelog  (29612): 0x81_x000D_
I jrelog  (29612): WARNING: linker: _x000D_
I jrelog  (29612): libtinyiconv so_x000D_
I jrelog  (29612): : unused DT entry: type _x000D_
I jrelog  (29612): 0x1d_x000D_
I jrelog  (29612):  arg _x000D_
I jrelog  (29612): 0x70a_x000D_
I jrelog  (29612): WARNING: linker: _x000D_
I jrelog  (29612): Unsupported flags DT FLAGS 1 _x000D_
I jrelog  (29612): 0x81_x000D_
I jrelog  (29612): dlopen  data data net kdt pojavlaunch jre runtime lib aarch32 libnpt so success_x000D_
I jrelog  (29612): WARNING: linker: _x000D_
I jrelog  (29612): libjava crw demo so_x000D_
I jrelog  (29612): : unused DT entry: type _x000D_
I jrelog  (29612): 0x1d_x000D_
I jrelog  (29612):  arg _x000D_
I jrelog  (29612): 0x10e_x000D_
I jrelog  (29612): WARNING: linker: _x000D_
I jrelog  (29612): Unsupported flags DT FLAGS 1 _x000D_
I jrelog  (29612): 0x81_x000D_
I jrelog  (29612): dlopen  data data net kdt pojavlaunch jre runtime lib aarch32 libjava crw demo so success_x000D_
I jrelog  (29612): dlopen  data data net kdt pojavlaunch jre runtime lib aarch32 libnio so success_x000D_
I jrelog  (29612): WARNING: linker: _x000D_
I jrelog  (29612): libawt xawt so_x000D_
I jrelog  (29612): : unused DT entry: type _x000D_
I jrelog  (29612): 0x6ffffef5_x000D_
I jrelog  (29612):  arg _x000D_
I jrelog  (29612): 0x46bc_x000D_
I jrelog  (29612): WARNING: linker: _x000D_
I jrelog  (29612): libawt xawt so_x000D_
I jrelog  (29612): : unused DT entry: type _x000D_
I jrelog  (29612): 0x6ffffffe_x000D_
I jrelog  (29612):  arg _x000D_
I jrelog  (29612): 0x5c74_x000D_
I jrelog  (29612): WARNING: linker: _x000D_
I jrelog  (29612): libawt xawt so_x000D_
I jrelog  (29612): : unused DT entry: type _x000D_
I jrelog  (29612): 0x6fffffff_x000D_
I jrelog  (29612):  arg _x000D_
I jrelog  (29612): 0x2_x000D_
I jrelog  (29612): dlopen  data data net kdt pojavlaunch jre runtime lib aarch32 libawt xawt so success_x000D_
I jrelog  (29612): dlopen  data </t>
  </si>
  <si>
    <t>theaaron123-novara-media-reader-26</t>
  </si>
  <si>
    <t>Rotates to landscape but crashes on rotate back to horizontal</t>
  </si>
  <si>
    <t>pmackinney-LeptonBackgammon-9</t>
  </si>
  <si>
    <t xml:space="preserve">I ve been running version 8 on my Pixel 2 and have been able to play games  but it recently crashe and crashes whenever I start it  I forget what preceded the crash  Here is a trace:_x000D_
   _x000D_
2021 02 05 15:30:18 362 4550 7763   E AndroidRuntime: FATAL EXCEPTION: pool 5 thread 1_x000D_
    Process: net mackinney lepton  PID: 4550_x000D_
    java lang ArrayIndexOutOfBoundsException: length 2  index 3_x000D_
        at net mackinney lepton GameHelper parse(GameHelper java:280)_x000D_
        at net mackinney lepton TelnetHandler run(TelnetHandler java:90)_x000D_
        at java util concurrent ThreadPoolExecutor runWorker(ThreadPoolExecutor java:1167)_x000D_
        at java util concurrent ThreadPoolExecutor Worker run(ThreadPoolExecutor java:641)_x000D_
        at java lang Thread run(Thread java:923)_x000D_
   </t>
  </si>
  <si>
    <t>Anuken-Mindustry-4596</t>
  </si>
  <si>
    <t>core database flickering (repost)</t>
  </si>
  <si>
    <t xml:space="preserve">  Platform  :  Android iOS Mac Windows Linux  all pc (havent tested mobile)_x000D_
_x000D_
  Build  :  The build number under the title in the main menu  Required   LATEST  IS NOT A VERSION  I NEED THE EXACT BUILD NUMBER OF YOUR GAME  123 1_x000D_
_x000D_
  Issue  :  Explain your issue in detail   coredatabase flickers (can get really bad)_x000D_
_x000D_
  Steps to reproduce  :  How you happened across the issue  and what exactly you did to make the bug happen   open core database on the map  I think It has something do to with a lot of units on the map as i haven t reproduced it outside of unit spam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you said my zip was invalid so here s a link to the download that should 100  work https:  discord com channels 391020510269669376 393111111853146112 807385533448847421_x000D_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</si>
  <si>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material-components-material-components-android-2047</t>
  </si>
  <si>
    <t>[MaterialTextView] InflateViewException in creating custom dialog using MaterialAlertDialogBuilder.</t>
  </si>
  <si>
    <t xml:space="preserve">  Description:   Full description of issue here_x000D_
The app crashes whenever building a custom dialog using context that is not from appcompatActivity  I tried changing themes  removing theme completely but still crashes  Wanted to create my own custom dialog so i can call it from anywhere but still keeps on crashing during inflation  I am failing to understand what is missing _x000D_
_x000D_
_x000D_
Theme is_x000D_
_x000D_
 style name  TextView  parent  Widget MaterialComponents TextView  _x000D_
         item name  android:textColor   attr colorPrimary  item _x000D_
         item name  android:textAppearance   style TextAppearance MaterialComponents Subtitle1  item _x000D_
  style _x000D_
_x000D_
  xml version  1 0  encoding  utf 8   _x000D_
 androidx constraintlayout widget ConstraintLayout xmlns:android  http:  schemas android com apk res android _x000D_
    xmlns:app  http:  schemas android com apk res auto _x000D_
    xmlns:tools  http:  schemas android com tools _x000D_
    android:layout width  match parent _x000D_
    android:layout height  wrap content _x000D_
    android:padding  20dp  _x000D_
_x000D_
     ImageView_x000D_
        android:id    id custom dialog top icon _x000D_
        android:layout width  50dp _x000D_
        android:layout height  50dp _x000D_
        android:layout marginTop  10dp _x000D_
        android:src   drawable ic logo _x000D_
        app:layout constraintEnd toEndOf  parent _x000D_
        app:layout constraintStart toStartOf  parent _x000D_
        app:layout constraintTop toTopOf  parent    _x000D_
_x000D_
     com google android material textview MaterialTextView_x000D_
        android:id    id custom dialog text _x000D_
        android:layout width  wrap content _x000D_
        android:layout height  wrap content _x000D_
        android:layout marginTop  10dp _x000D_
        android:gravity  center _x000D_
        android:text   string sms verification waiting _x000D_
        style   style TextView Caption _x000D_
        app:layout constraintEnd toEndOf  parent _x000D_
        app:layout constraintStart toStartOf  parent _x000D_
        app:layout constraintTop toBottomOf   id custom dialog top icon    _x000D_
_x000D_
     ListView_x000D_
        android:id    id custom dialog items _x000D_
        android:layout width  match parent _x000D_
        android:layout height  wrap content _x000D_
        android:divider   null _x000D_
        android:paddingStart  40dp _x000D_
        android:paddingTop  10dp _x000D_
        android:paddingEnd  40dp _x000D_
        android:paddingBottom  10dp _x000D_
        android:textColor   attr colorPrimary _x000D_
        android:visibility  gone _x000D_
        app:layout constraintEnd toEndOf  parent _x000D_
        app:layout constraintStart toStartOf  parent _x000D_
        app:layout constraintTop toBottomOf   id custom dialog text    _x000D_
_x000D_
     com google android material button MaterialButton_x000D_
        android:id    id custom dialog positive button _x000D_
        style   style CAAlertDialog Button _x000D_
        android:text   string dialog grant _x000D_
        android:visibility  gone _x000D_
        app:layout constraintBottom toBottomOf  parent _x000D_
        app:layout constraintEnd toEndOf  parent _x000D_
        app:layout constraintTop toBottomOf   id custom dialog text _x000D_
        tools:visibility  visible    _x000D_
_x000D_
     com google android material button MaterialButton_x000D_
        android:id    id custom dialog negative button _x000D_
        style   style CAAlertDialog Button _x000D_
        android:layout marginEnd  10dp _x000D_
        android:text   string no _x000D_
        android:visibility  gone _x000D_
        app:layout constraintBottom toBottomOf   id custom dialog positive button _x000D_
        app:layout constraintEnd toStartOf   id custom dialog positive button _x000D_
        tools:visibility  visible    _x000D_
_x000D_
  androidx constraintlayout widget ConstraintLayout _x000D_
_x000D_
_x000D_
 E AndroidRuntime: FATAL EXCEPTION: main_x000D_
02 05 14:04:41 583 13761 13761 E AndroidRuntime: android view InflateException: Binary XML file line  9 in com a c:layout content alert: Binary XML file line  9 in com a c content alert: Error inflating class com google android material textview MaterialTextView_x000D_
02 05 14:04:41 583 13761 13761 E AndroidRuntime: Caused by: android view InflateException: Binary XML file line  9 in com a c:layout content alert: Error inflating class com google android material textview MaterialTextView_x000D_
02 05 14:04:41 583 13761 13761 E AndroidRuntime: Caused by: java lang reflect InvocationTargetException_x000D_
02 05 14:04:41 583 13761 13761 E AndroidRuntime:        at java lang reflect Constructor newInstance0(Native Method)_x000D_
02 05 14:04:41 583 13761 13761 E AndroidRuntime:        at java lang reflect Constructor newInstance(Constructor java:343)_x000D_
02 05 14:04:41 583 13761 13761 E AndroidRuntime:        at android view LayoutInflater createView(LayoutInflater java:852)_x000D_
02 05 14:04:41 583 13761 13761 E AndroidRuntime:        at android view LayoutInflater createViewFromTag(LayoutInflater java:1004)_x000D_
02 05 14:04:41 583 13761 13761 E AndroidRuntime:        at android view LayoutInflater createViewFromTag(LayoutInflater java:959)_x000D_
02 05 14:04:41 583 13761 13761 E AndroidRuntime:        at android view LayoutInflater rInflate(LayoutInflater java:1121)_x000D_
02 05 14:04:41 583 13761 13761 E AndroidRuntime:        at android view LayoutInflater rInflateChildren(LayoutInflater java:1082)_x000D_
02 05 14:04:41 583 13761 13761 E AndroidRuntime:        at android view LayoutInflater inflate(LayoutInflater java:680)_x000D_
02 05 14:04:41 583 13761 13761 E AndroidRuntime:        at android view LayoutInflater inflate(LayoutInflater java:532)_x000D_
02 05 14:04:41 583 13761 13761 E AndroidRuntime:        at com a ac a a a as  init (as kt:22)_x000D_
02 05 14:04:41 583 13761 13761 E AndroidRuntime:        at com a ac a a a aqzz(vda kt:15)_x000D_
02 05 14:04:41 583 13761 13761 E AndroidRuntime:        at com a ac a a a sas(bss kt:15)_x000D_
02 05 14:04:41 583 13761 13761 E AndroidRuntime:        at com a ac a a a ssav(a kt:386)_x000D_
02 05 14:04:41 583 13761 13761 E AndroidRuntime:        at com a ac a a a cav(a kt:168)_x000D_
02 05 14:04:41 583 13761 13761 E AndroidRuntime:        at com a ac a a a asav 1 a(a kt:43)_x000D_
02 05 14:04:41 583 13761 13761 E AndroidRuntime:        at android view View performClick(View java:7448)_x000D_
02 05 14:04:41 583 13761 13761 E AndroidRuntime:        at android view View performClickInternal(View java:7425)_x000D_
02 05 14:04:41 583 13761 13761 E AndroidRuntime:        at android view View access 3600(View java:810)_x000D_
02 05 14:04:41 583 13761 13761 E AndroidRuntime:        at android view View PerformClick run(View java:28305)_x000D_
02 05 14:04:41 583 13761 13761 E AndroidRuntime:        at android os Handler handleCallback(Handler java:938)_x000D_
02 05 14:04:41 583 13761 13761 E AndroidRuntime:        at android os Handler dispatchMessage(Handler java:99)_x000D_
02 05 14:04:41 583 13761 13761 E AndroidRuntime:        at android os Looper loop(Looper java:223)_x000D_
02 05 14:04:41 583 13761 13761 E AndroidRuntime:        at android app ActivityThread main(ActivityThread java:7660)_x000D_
02 05 14:04:41 583 13761 13761 E AndroidRuntime:        at java lang reflect Method invoke(Native Method)_x000D_
02 05 14:04:41 583 13761 13761 E AndroidRuntime:        at com android internal os RuntimeInit MethodAndArgsCaller run(RuntimeInit java:592)_x000D_
02 05 14:04:41 583 13761 13761 E AndroidRuntime:        at com android internal os ZygoteInit main(ZygoteInit java:947)_x000D_
02 05 14:04:41 583 13761 13761 E AndroidRuntime: Caused by: java lang UnsupportedOperationException: Failed to resolve attribute at index 5: TypedValue t 0x2 d 0x7f040144 a 8 _x000D_
02 05 14:04:41 583 13761 13761 E AndroidRuntime:        at android content res TypedArray getColorStateList(TypedArray java:597)_x000D_
02 05 14:04:41 583 13761 13761 E AndroidRuntime:        at android widget TextView readTextAppearance(TextView java:4006)_x000D_
02 05 14:04:41 583 13761 13761 E AndroidRuntime:        at android widget TextView  init (TextView java:1093)_x000D_
02 05 14:04:41 583 13761 13761 E AndroidRuntime:        at android widget TextView  init (TextView java:994)_x000D_
02 05 14:04:41 583 13761 13761 E AndroidRuntime:        at androidx appcompat widget AppCompatTextView  init (AppCompatTextView java:100)_x000D_
02 05 14:04:41 583 13761 13761 E AndroidRuntime:        at com google android material textview MaterialTextView  init (MaterialTextView java:93)_x000D_
02 05 14:04:41 583 13761 13761 E AndroidRuntime:        at com google android material textview MaterialTextView  init (MaterialTextView java:88)_x000D_
02 05 14:04:41 583 13761 13761 E AndroidRuntime:        at com google android material textview MaterialTextView  init (MaterialTextView java:83)_x000D_
02 05 14:04:41 583 13761 13761 E AndroidRuntime:            26 more_x000D_
_x000D_
API version 30_x000D_
_x000D_
  Material Library version:   Material Android Library version you are using here (e g   1 1 0 alpha07)_x000D_
Material Lib 1 3 0_x000D_
_x000D_
  Device:   Device on which the bug was encountered here_x000D_
Emulator_x000D_
</t>
  </si>
  <si>
    <t>AOF-Dev-MCinaBox-921</t>
  </si>
  <si>
    <t>Minecraft keeps ceashing</t>
  </si>
  <si>
    <t xml:space="preserve">Describe the crash_x000D_
I followed EACH and EVERY steps CAREFULLY_x000D_
_x000D_
To Reproduce_x000D_
Steps to reproduce the crash:_x000D_
_x000D_
Follow every steps_x000D_
Press start button_x000D_
Minecraft launches but in a few seconds it crashes_x000D_
Goes back to MCinaBox and repeat_x000D_
Expected behavior_x000D_
Be able to play with my friends and btw i used version 0 1 4 p 5 and runtime 64_x000D_
_x000D_
Screenshots_x000D_
If applicable  add screenshots to help explain your problem _x000D_
_x000D_
Smartphone (please complete the following information):_x000D_
_x000D_
Device: blu motorola_x000D_
OS: Android 8 0_x000D_
App Version version 0 1 4p5_x000D_
CPU architecture arm64_x000D_
Additional context_x000D_
Add any other context about the problem here _x000D_
</t>
  </si>
  <si>
    <t>k9mail-k-9-5121</t>
  </si>
  <si>
    <t>reply causes crash</t>
  </si>
  <si>
    <t xml:space="preserve">When I open a message  and click reply  the app crashes _x000D_
_x000D_
  To Reproduce  _x000D_
Steps to reproduce the behavior:_x000D_
1  Open app and switch to desired account_x000D_
2  Open an old read message_x000D_
3  Click reply icon and then  reply _x000D_
4  App closes crashes_x000D_
_x000D_
  Expected behavior  _x000D_
Expect a new message composition screen  that contains the original message as a reply _x000D_
_x000D_
  Screenshots  _x000D_
If applicable  add screenshots to help explain your problem _x000D_
_x000D_
  Environment (please complete the following information):  _x000D_
   K 9 Mail version: 5 726_x000D_
   Android version: 11_x000D_
   Device: Google Pixel 4_x000D_
   Account type: IMAP_x000D_
_x000D_
  Additional context  _x000D_
I am using Niagara launcher on Android  I am not sure if this may be causing the issue _x000D_
_x000D_
  Logs  _x000D_
Please take some time to  retrieve logs (https:  github com k9mail k 9 wiki LoggingErrors) and attach them here:_x000D_
 k9 log txt (https:  github com k9mail k 9 files 5934002 k9 log txt)_x000D_
_x000D_
</t>
  </si>
  <si>
    <t>PojavLauncherTeam-PojavLauncher-804</t>
  </si>
  <si>
    <t>I found that sun.awt.X11FontManager doesn't work on my device.</t>
  </si>
  <si>
    <t xml:space="preserve">I have added   Dcacio font fontmanager sun awt X11FontManager  to JVM arguments but if I start Minecraft impact it will still crash as the same before but if I run it in VMOS I can start it successfully But there is a problem in VMOS:https:  github com PojavLauncherTeam PojavLauncher issues 802_x000D_
Sorry to trouble you so much but I really want the problem to be fixed _x000D_
</t>
  </si>
  <si>
    <t>miguelpruivo-flutter_file_picker-606</t>
  </si>
  <si>
    <t>iOS app crashes on picking many videos - iPhone 5s</t>
  </si>
  <si>
    <t xml:space="preserve">  Describe the bug  _x000D_
iOS app crashes on picking many videos  (iPhone 5s only)_x000D_
  Platform  _x000D_
iOS_x000D_
  Platform OS version  _x000D_
iOS 12 5 1_x000D_
  How are you picking   _x000D_
   _x000D_
FilePickerResult paths _x000D_
    try  _x000D_
      paths   await FilePicker platform pickFiles(_x000D_
        type: isMedias   FileType media : FileType any _x000D_
        allowMultiple: true _x000D_
        withData: false _x000D_
      ) _x000D_
      on PlatformException catch (e)  _x000D_
      print( Unsupported operation    e toString()) _x000D_
      throw Exception() _x000D_
      catch (ex)  _x000D_
      print(ex) _x000D_
      throw Exception() _x000D_
     _x000D_
   _x000D_
  Details to reproduce the issue  _x000D_
Attempt to pick files from type media  When Photos opens  choose some videos   total size around 150mb  When the videos are selected  after you choose Select  a spinner shows and spins for around 3 minutes  then the app crashes  Available storage on the device is  1GB  The spinner shows every time for around 3 minutes  but the crash sometimes does not occur _x000D_
  Flutter Version details  _x000D_
    Flutter (Channel stable  1 22 0  on Mac OS X 10 15 7 19H114)_x000D_
  Flutter version 1 22 0_x000D_
  Dart version 2 10 0</t>
  </si>
  <si>
    <t>moneymanagerex-android-money-manager-ex-1408</t>
  </si>
  <si>
    <t>App crashes when trying to activate passcode</t>
  </si>
  <si>
    <t xml:space="preserve">  Describe the bug  _x000D_
When I click  Activate Passcode  the app refreshes  If I do it again the app crashes  I am using Poco X3  Android 10  App version: 2019 04 10 1000 beta_x000D_
_x000D_
Logcat_x000D_
_x000D_
          beginning of crash_x000D_
02 05 17:01:31 472 17120 17120 E AndroidRuntime: FATAL EXCEPTION: main_x000D_
02 05 17:01:31 472 17120 17120 E AndroidRuntime: Process: com money manager ex  PID: 17120_x000D_
02 05 17:01:31 472 17120 17120 E AndroidRuntime: java lang RuntimeException: Unable to start activity ComponentInfo com money manager ex com money manager ex PasscodeActivity : java security ProviderException: Keystore operation failed_x000D_
02 05 17:01:31 472 17120 17120 E AndroidRuntime: 	at android app ActivityThread performLaunchActivity(ActivityThread java:3271)_x000D_
02 05 17:01:31 472 17120 17120 E AndroidRuntime: 	at android app ActivityThread handleLaunchActivity(ActivityThread java:3410)_x000D_
02 05 17:01:31 472 17120 17120 E AndroidRuntime: 	at android app servertransaction LaunchActivityItem execute(LaunchActivityItem java:83)_x000D_
02 05 17:01:31 472 17120 17120 E AndroidRuntime: 	at android app servertransaction TransactionExecutor executeCallbacks(TransactionExecutor java:135)_x000D_
02 05 17:01:31 472 17120 17120 E AndroidRuntime: 	at android app servertransaction TransactionExecutor execute(TransactionExecutor java:95)_x000D_
02 05 17:01:31 472 17120 17120 E AndroidRuntime: 	at android app ActivityThread H handleMessage(ActivityThread java:2017)_x000D_
02 05 17:01:31 472 17120 17120 E AndroidRuntime: 	at android os Handler dispatchMessage(Handler java:107)_x000D_
02 05 17:01:31 472 17120 17120 E AndroidRuntime: 	at android os Looper loop(Looper java:214)_x000D_
02 05 17:01:31 472 17120 17120 E AndroidRuntime: 	at android app ActivityThread main(ActivityThread java:7398)_x000D_
02 05 17:01:31 472 17120 17120 E AndroidRuntime: 	at java lang reflect Method invoke(Native Method)_x000D_
02 05 17:01:31 472 17120 17120 E AndroidRuntime: 	at com android internal os RuntimeInit MethodAndArgsCaller run(RuntimeInit java:493)_x000D_
02 05 17:01:31 472 17120 17120 E AndroidRuntime: 	at com android internal os ZygoteInit main(ZygoteInit java:940)_x000D_
02 05 17:01:31 472 17120 17120 E AndroidRuntime: Caused by: java security ProviderException: Keystore operation failed_x000D_
02 05 17:01:31 472 17120 17120 E AndroidRuntime: 	at android security keystore AndroidKeyStoreKeyGeneratorSpi engineGenerateKey(AndroidKeyStoreKeyGeneratorSpi java:332)_x000D_
02 05 17:01:31 472 17120 17120 E AndroidRuntime: 	at javax crypto KeyGenerator generateKey(KeyGenerator java:612)_x000D_
02 05 17:01:31 472 17120 17120 E AndroidRuntime: 	at com money manager ex PasscodeActivity generateKey(PasscodeActivity java:272)_x000D_
02 05 17:01:31 472 17120 17120 E AndroidRuntime: 	at com money manager ex PasscodeActivity onCreate(PasscodeActivity java:188)_x000D_
02 05 17:01:31 472 17120 17120 E AndroidRuntime: 	at android app Activity performCreate(Activity java:7824)_x000D_
02 05 17:01:31 472 17120 17120 E AndroidRuntime: 	at android app Activity performCreate(Activity java:7813)_x000D_
02 05 17:01:31 472 17120 17120 E AndroidRuntime: 	at android app Instrumentation callActivityOnCreate(Instrumentation java:1307)_x000D_
02 05 17:01:31 472 17120 17120 E AndroidRuntime: 	at android app ActivityThread performLaunchActivity(ActivityThread java:3246)_x000D_
02 05 17:01:31 472 17120 17120 E AndroidRuntime: 	    11 more_x000D_
02 05 17:01:31 472 17120 17120 E AndroidRuntime: Caused by: android security KeyStoreException: User authentication required_x000D_
02 05 17:01:31 472 17120 17120 E AndroidRuntime: 	at android security KeyStore getKeyStoreException(KeyStore java:1275)_x000D_
02 05 17:01:31 472 17120 17120 E AndroidRuntime: 	    19 more_x000D_
02 05 17:01:36 400 15891 15891 E AndroidRuntime: FATAL EXCEPTION: main_x000D_
02 05 17:01:36 400 15891 15891 E AndroidRuntime: Process: com money manager ex  PID: 15891_x000D_
02 05 17:01:36 400 15891 15891 E AndroidRuntime: java lang RuntimeException: Unable to start activity ComponentInfo com money manager ex com money manager ex PasscodeActivity : java security ProviderException: Keystore operation failed_x000D_
02 05 17:01:36 400 15891 15891 E AndroidRuntime: 	at android app ActivityThread performLaunchActivity(ActivityThread java:3271)_x000D_
02 05 17:01:36 400 15891 15891 E AndroidRuntime: 	at android app ActivityThread handleLaunchActivity(ActivityThread java:3410)_x000D_
02 05 17:01:36 400 15891 15891 E AndroidRuntime: 	at android app servertransaction LaunchActivityItem execute(LaunchActivityItem java:83)_x000D_
02 05 17:01:36 400 15891 15891 E AndroidRuntime: 	at android app servertransaction TransactionExecutor executeCallbacks(TransactionExecutor java:135)_x000D_
02 05 17:01:36 400 15891 15891 E AndroidRuntime: 	at android app servertransaction TransactionExecutor execute(TransactionExecutor java:95)_x000D_
02 05 17:01:36 400 15891 15891 E AndroidRuntime: 	at android app ActivityThread H handleMessage(ActivityThread java:2017)_x000D_
02 05 17:01:36 400 15891 15891 E AndroidRuntime: 	at android os Handler dispatchMessage(Handler java:107)_x000D_
02 05 17:01:36 400 15891 15891 E AndroidRuntime: 	at android os Looper loop(Looper java:214)_x000D_
02 05 17:01:36 400 15891 15891 E AndroidRuntime: 	at android app ActivityThread main(ActivityThread java:7398)_x000D_
02 05 17:01:36 400 15891 15891 E AndroidRuntime: 	at java lang reflect Method invoke(Native Method)_x000D_
02 05 17:01:36 400 15891 15891 E AndroidRuntime: 	at com android internal os RuntimeInit MethodAndArgsCaller run(RuntimeInit java:493)_x000D_
02 05 17:01:36 400 15891 15891 E AndroidRuntime: 	at com android internal os ZygoteInit main(ZygoteInit java:940)_x000D_
02 05 17:01:36 400 15891 15891 E AndroidRuntime: Caused by: java security ProviderException: Keystore operation failed_x000D_
02 05 17:01:36 400 15891 15891 E AndroidRuntime: 	at android security keystore AndroidKeyStoreKeyGeneratorSpi engineGenerateKey(AndroidKeyStoreKeyGeneratorSpi java:332)_x000D_
02 05 17:01:36 400 15891 15891 E AndroidRuntime: 	at javax crypto KeyGenerator generateKey(KeyGenerator java:612)_x000D_
02 05 17:01:36 400 15891 15891 E AndroidRuntime: 	at com money manager ex PasscodeActivity generateKey(PasscodeActivity java:272)_x000D_
02 05 17:01:36 400 15891 15891 E AndroidRuntime: 	at com money manager ex PasscodeActivity onCreate(PasscodeActivity java:188)_x000D_
02 05 17:01:36 400 15891 15891 E AndroidRuntime: 	at android app Activity performCreate(Activity java:7824)_x000D_
02 05 17:01:36 400 15891 15891 E AndroidRuntime: 	at android app Activity performCreate(Activity java:7813)_x000D_
02 05 17:01:36 400 15891 15891 E AndroidRuntime: 	at android app Instrumentation callActivityOnCreate(Instrumentation java:1307)_x000D_
02 05 17:01:36 400 15891 15891 E AndroidRuntime: 	at android app ActivityThread performLaunchActivity(ActivityThread java:3246)_x000D_
02 05 17:01:36 400 15891 15891 E AndroidRuntime: 	    11 more_x000D_
02 05 17:01:36 400 15891 15891 E AndroidRuntime: Caused by: android security KeyStoreException: User authentication required_x000D_
02 05 17:01:36 400 15891 15891 E AndroidRuntime: 	at android security KeyStore getKeyStoreException(KeyStore java:1275)_x000D_
02 05 17:01:36 400 15891 15891 E AndroidRuntime: 	    19 more_x000D_
02 05 17:02:56 887 15895 15895 E AndroidRuntime: FATAL EXCEPTION: main_x000D_
02 05 17:02:56 887 15895 15895 E AndroidRuntime: Process: com money manager ex  PID: 15895_x000D_
02 05 17:02:56 887 15895 15895 E AndroidRuntime: java lang RuntimeException: Unable to start activity ComponentInfo com money manager ex com money manager ex PasscodeActivity : java security ProviderException: Keystore operation failed_x000D_
02 05 17:02:56 887 15895 15895 E AndroidRuntime: 	at android app ActivityThread performLaunchActivity(ActivityThread java:3271)_x000D_
02 05 17:02:56 887 15895 15895 E AndroidRuntime: 	at android app ActivityThread handleLaunchActivity(ActivityThread java:3410)_x000D_
02 05 17:02:56 887 15895 15895 E AndroidRuntime: 	at android app servertransaction LaunchActivityItem execute(LaunchActivityItem java:83)_x000D_
02 05 17:02:56 887 15895 15895 E AndroidRuntime: 	at android app servertransaction TransactionExecutor executeCallbacks(TransactionExecutor java:135)_x000D_
02 05 17:02:56 887 15895 15895 E AndroidRuntime: 	at android app servertransaction TransactionExecutor execute(TransactionExecutor java:95)_x000D_
02 05 17:02:56 887 15895 15895 E AndroidRuntime: 	at android app ActivityThread H handleMessage(ActivityThread java:2017)_x000D_
02 05 17:02:56 887 15895 15895 E AndroidRuntime: 	at android os Handler dispatchMessage(Handler java:107)_x000D_
02 05 17:02:56 887 15895 15895 E AndroidRuntime: 	at android os Looper loop(Looper java:214)_x000D_
02 05 17:02:56 887 15895 15895 E AndroidRuntime: 	at android app ActivityThread main(ActivityThread java:7398)_x000D_
02 05 17:02:56 887 15895 15895 E AndroidRuntime: 	at java lang reflect Method invoke(Native Method)_x000D_
02 05 17:02:56 887 15895 15895 E AndroidRuntime: 	at com android internal os RuntimeInit MethodAndArgsCaller run(RuntimeInit java:493)_x000D_
02 05 17:02:56 887 15895 15895 E AndroidRuntime: 	at com android internal os ZygoteInit main(ZygoteInit java:940)_x000D_
02 05 17:02:56 887 15895 15895 E AndroidRuntime: Caused by: java security ProviderException: Keystore operation failed_x000D_
02 05 17:02:56 887 15895 15895 E AndroidRuntime: 	at android security keystore AndroidKeyStoreKeyGeneratorSpi engineGenerateKey(AndroidKeyStoreKeyGeneratorSpi java:332)_x000D_
02 05 17:02:56 887 15895 15895 E AndroidRuntime: 	at javax crypto KeyGenerator generateKey(KeyGenerator java:612)_x000D_
02 05 17:02:56 887 15895 15895 E AndroidRuntime: 	at com money manager ex PasscodeActivity generateKey(PasscodeActivity java:272)_x000D_
02 05 17:02:56 887 15895 15895 E AndroidRuntime: 	at com money manager ex PasscodeActivity onCreate(PasscodeActivity java:188)_x000D_
02 05 17:02:56 887 15895 15895 E AndroidRuntime: 	at android app Activity performCreate(Activity java:7824)_x000D_
02 05 17:02:56 887 15895 15895 E AndroidRuntime: 	at android app Activity performCreate(Activity java:7813)_x000D_
02 05 17:02:56 887 15895 15895 E AndroidRuntime: 	at android app Instrumentation callActivityOnCreate(Instrumentation java:1307)_x000D_
02 05 17:02:56 887 15895 15895 E AndroidRuntime: 	at android app ActivityThread performLaunchActivity(ActivityThread java:3246)_x000D_
02 05 17:02:56 887 15895 15895 E AndroidRuntime: 	    11 more_x000D_
02 05 17:02:56 887 15895 15895 E AndroidRuntime: Caused by: android security KeyStoreException: User authentication required_x000D_
02 05 17:02:56 887 15895 15895 E AndroidRuntime: 	at android security KeyStore getKeyStoreException(KeyStore java:1275)_x000D_
02 05 17:02:56 887 15895 15895 E AndroidRuntime: 	    19 more_x000D_
02 05 17:03:00 289 24516 24516 E AndroidRuntime: FATAL EXCEPTION: main_x000D_
02 05 17:03:00 289 24516 24516 E AndroidRuntime: Process: com money manager ex  PID: 24516_x000D_
02 05 17:03:00 289 24516 24516 E AndroidRuntime: java lang RuntimeException: Unable to start activity ComponentInfo com money manager ex com money manager ex PasscodeActivity : java security ProviderException: Keystore operation failed_x000D_
02 05 17:03:00 289 24516 24516 E AndroidRuntime: 	at android app ActivityThread performLaunchActivity(ActivityThread java:3271)_x000D_
02 05 17:03:00 289 24516 24516 E AndroidRuntime: 	at android app ActivityThread handleLaunchActivity(ActivityThread java:3410)_x000D_
02 05 17:03:00 289 24516 24516 E AndroidRuntime: 	at android app servertransaction LaunchActivityItem execute(LaunchActivityItem java:83)_x000D_
02 05 17:03:00 289 24516 24516 E AndroidRuntime: 	at android app servertransaction TransactionExecutor executeCallbacks(TransactionExecutor java:135)_x000D_
02 05 17:03:00 289 24516 24516 E AndroidRuntime: 	at android app servertransaction TransactionExecutor execute(TransactionExecutor java:95)_x000D_
02 05 17:03:00 289 24516 24516 E AndroidRuntime: 	at android app ActivityThread H handleMessage(ActivityThread java:2017)_x000D_
02 05 17:03:00 289 24516 24516 E AndroidRuntime: 	at android os Handler dispatchMessage(Handler java:107)_x000D_
02 05 17:03:00 289 24516 24516 E AndroidRuntime: 	at android os Looper loop(Looper java:214)_x000D_
02 05 17:03:00 289 24516 24516 E AndroidRuntime: 	at android app ActivityThread main(ActivityThread java:7398)_x000D_
02 05 17:03:00 289 24516 24516 E AndroidRuntime: 	at java lang reflect Method invoke(Native Method)_x000D_
02 05 17:03:00 289 24516 24516 E AndroidRuntime: 	at com android internal os RuntimeInit MethodAndArgsCaller run(RuntimeInit java:493)_x000D_
02 05 17:03:00 289 24516 24516 E AndroidRuntime: 	at com android internal os ZygoteInit main(ZygoteInit java:940)_x000D_
02 05 17:03:00 289 24516 24516 E AndroidRuntime: Caused by: java security ProviderException: Keystore operation failed_x000D_
02 05 17:03:00 289 24516 24516 E AndroidRuntime: 	at android security keystore AndroidKeyStoreKeyGeneratorSpi engineGenerateKey(AndroidKeyStoreKeyGeneratorSpi java:332)_x000D_
02 05 17:03:00 289 24516 24516 E AndroidRuntime: 	at javax crypto KeyGenerator generateKey(KeyGenerator java:612)_x000D_
02 05 17:03:00 289 24516 24516 E AndroidRuntime: 	at com money manager ex PasscodeActivity generateKey(PasscodeActivity java:272)_x000D_
02 05 17:03:00 289 24516 24516 E AndroidRuntime: 	at com money manager ex PasscodeActivity onCreate(PasscodeActivity java:188)_x000D_
02 05 17:03:00 289 24516 24516 E AndroidRuntime: 	at android app Activity performCreate(Activity java:7824)_x000D_
02 05 17:03:00 289 24516 24516 E AndroidRuntime: 	at android app Activity performCreate(Activity java:7813)_x000D_
02 05 17:03:00 289 24516 24516 E AndroidRuntime: 	at android app Instrumentation callActivityOnCreate(Instrumentation java:1307)_x000D_
02 05 17:03:00 289 24516 24516 E AndroidRuntime: 	at android app ActivityThread performLaunchActivity(ActivityThread java:3246)_x000D_
02 05 17:03:00 289 24516 24516 E AndroidRuntime: 	    11 more_x000D_
02 05 17:03:00 289 24516 24516 E AndroidRuntime: Caused by: android security KeyStoreException: User authentication required_x000D_
02 05 17:03:00 289 24516 24516 E AndroidRuntime: 	at android security KeyStore getKeyStoreException(KeyStore java:1275)_x000D_
02 05 17:03:00 289 24516 24516 E AndroidRuntime: 	    19 more_x000D_
02 05 17:03:31 949 28171 28171 E AndroidRuntime: FATAL EXCEPTION: main_x000D_
02 05 17:03:31 949 28171 28171 E AndroidRuntime: Process: com money manager ex  PID: 28171_x000D_
02 05 17:03:31 949 28171 28171 E AndroidRuntime: java lang RuntimeException: Unable to start activity ComponentInfo com money manager ex com money manager ex PasscodeActivity : java security ProviderException: Keystore operation failed_x000D_
02 05 17:03:31 949 28171 28171 E AndroidRuntime: 	at android app ActivityThread performLaunchActivity(ActivityThread java:3271)_x000D_
02 05 17:03:31 949 28171 28171 E AndroidRuntime: 	at android app ActivityThread handleLaunchActivity(ActivityThread java:3410)_x000D_
02 05 17:03:31 949 28171 28171 E AndroidRuntime: 	at android app servertransaction LaunchActivityItem execute(LaunchActivityItem java:83)_x000D_
02 05 17:03:31 949 28171 28171 E AndroidRuntime: 	at android app servertransaction TransactionExecutor executeCallbacks(TransactionExecutor java:135)_x000D_
02 05 17:03:31 949 28171 28171 E AndroidRuntime: 	at android app servertransaction TransactionExecutor execute(TransactionExecutor java:95)_x000D_
02 05 17:03:31 949 28171 28171 E AndroidRuntime: 	at android app ActivityThread H handleMessage(ActivityThread java:2017)_x000D_
02 05 17:03:31 949 28171 28171 E AndroidRuntime: 	at android os Handler dispatchMessage(Handler java:107)_x000D_
02 05 17:03:31 949 28171 28171 E AndroidRuntime: 	at android os Looper loop(Looper java:214)_x000D_
02 05 17:03:31 949 28171 28171 E AndroidRuntime: 	at android app ActivityThread main(ActivityThread java:7398)_x000D_
02 05 17:03:31 949 28171 28171 E AndroidRuntime: 	at java lang reflect Method invoke(Native Method)_x000D_
02 05 17:03:31 949 28171 28171 E AndroidRuntime: 	at com android internal os RuntimeInit MethodAndArgsCaller run(RuntimeInit java:493)_x000D_
02 05 17:03:31 949 28171 28171 E AndroidRuntime: 	at com android internal os ZygoteInit main(ZygoteInit java:940)_x000D_
02 05 17:03:31 949 28171 28171 E AndroidRuntime: Caused by: java security ProviderException: Keystore operation failed_x000D_
02 05 17:03:31 949 28171 28171 E AndroidRuntime: 	at android security keystore AndroidKeyStoreKeyGeneratorSpi engineGenerateKey(AndroidKeyStoreKeyGeneratorSpi java:332)_x000D_
02 05 17:03:31 949 28171 28171 E AndroidRuntime: 	at javax crypto KeyGenerator generateKey(KeyGenerator java:612)_x000D_
02 05 17:03:31 949 28171 28171 E AndroidRuntime: 	at com money manager ex PasscodeActivity generateKey(PasscodeActivity java:272)_x000D_
02 05 17:03:31 949 28171 28171 E AndroidRuntime: 	at com money manager ex PasscodeActivity onCreate(PasscodeActivity java:188)_x000D_
02 05 17:03:31 949 28171 28171 E AndroidRuntime: 	at android app Activity performCreate(Activity java:7824)_x000D_
02 05 17:03:31 949 28171 28171 E AndroidRuntime: 	at android app Activity performCreate(Activity java:7813)_x000D_
02 05 17:03:31 949 28171 28171 E AndroidRuntime: 	at android app Instrumentation callActivityOnCreate(Instrumentation java:1307)_x000D_
02 05 17:03:31 949 28171 28171 E AndroidRuntime: 	at android app ActivityThread performLaunchActivity(ActivityThread java:3246)_x000D_
02 05 17:03:31 949 28171 28171 E AndroidRuntime: 	    11 more_x000D_
02 05 17:03:31 949 28171 28171 E AndroidRuntime: Caused by: android security KeyStoreException: User authentication required_x000D_
02 05 17:03:31 949 28171 28171 E AndroidRuntime: 	at android security KeyStore getKeyStoreException(KeyStore java:1275)_x000D_
02 05 17:03:31 949 28171 28171 E AndroidRuntime: 	    19 more_x000D_
          beginning of main_x000D_
02 05 20:17:55 850 31791 31791 D EventBus: No subscribers registered for event class com money manager ex home events AccountsTotalLoadedEvent_x000D_
02 05 20:17:55 850 31791 31791 D EventBus: No subscribers registered for event class org greenrobot eventbus NoSubscriberEvent_x000D_
02 05 20:17:55 854 31791 31791 V Database: QUERY (0ms)_x000D_
02 05 20:17:55 854 31791 31791 V Database:   sql: SELECT   FROM infotable v1 WHERE (INFONAME  )_x000D_
02 05 20:17:55 854 31791 31791 V Database:   args:  PASSCODEMOBILE _x000D_
02 05 20:17:55 854 31791 31791 V Database: QUERY (0ms)_x000D_
02 05 20:17:55 854 31791 31791 V Database:   sql: SELECT   FROM infotable v1 WHERE (INFONAME  )_x000D_
02 05 20:17:55 854 31791 31791 V Database:   args:  PASSCODEMOBILE _x000D_
02 05 20:17:55 859 31791 31791 V Database: QUERY (0ms)_x000D_
02 05 20:17:55 859 31791 31791 V Database:   sql: SELECT   FROM infotable v1 WHERE (INFONAME  )_x000D_
02 05 20:17:55 859 31791 31791 V Database:   args:  android:show open accounts _x000D_
02 05 20:17:55 859 31791 31791 V Database: QUERY (0ms)_x000D_
02 05 20:17:55 859 31791 31791 V Database:   sql: SELECT   FROM infotable v1 WHERE (INFONAME  )_x000D_
02 05 20:17:55 859 31791 31791 V Database:   args:  android:show open accounts _x000D_
02 05 20:17:55 860 31791 12469 V Database: QUERY (0ms)_x000D_
02 05 20:17:55 860 31791 12469 V Database:   sql: SELECT   FROM infotable v1 WHERE (INFONAME  )_x000D_
02 05 20:17:55 860 31791 12469 V Database:   args:  USERNAME _x000D_
02 05 20:17:55 860 31791 12469 V Database: QUERY (0ms)_x000D_
02 05 20:17:55 860 31791 12469 V Database:   sql: SELECT   FROM infotable v1 WHERE (INFONAME  )_x000D_
02 05 20:17:55 860 31791 12469 V Database:   args:  USERNAME _x000D_
02 05 20:17:55 861 31791 31791 V Database: QUERY (0ms)_x000D_
02 05 20:17:55 861 31791 31791 V Database:   sql: SELECT   FROM infotable v1 WHERE (INFONAME  )_x000D_
02 05 20:17:55 861 31791 31791 V Database:   args:  android:show fav accounts _x000D_
02 05 20:17:55 861 31791 31791 V Database: QUERY (0ms)_x000D_
02 05 20:17:55 861 31791 31791 V Database:   sql: SELECT   FROM infotable v1 WHERE (INFONAME  )_x000D_
02 05 20:17:55 861 31791 31791 V Database:   args:  android:show fav accounts _x000D_
02 05 20:17:55 867 31791 12758 V MmxContentProvider: Querying URI: content:  com money manager ex provider report income vs expenses_x000D_
02 05 20:17:55 867 31791 12758 V MmxContentProvider: Querying URI: content:  com money manager ex provider report income vs expenses_x000D_
02 05 20:17:55 871 31791 12757 V MmxContentProvider: Querying URI: content:  com money manager ex provider accountbills_x000D_
02 05 20:17:55 871 31791 12757 V MmxContentProvider: Querying URI: content:  com money manager ex provider accountbills_x000D_
02 05 20:17:55 879 31791 12758 V MmxContentProvider: Rows returned: 0_x000D_
02 05 20:17:55 880 31791 12758 V MmxContentProvider: Rows returned: 0_x000D_
02 05 20:17:55 883 31791 12757 V MmxContentProvider: Rows returned: 5_x000D_
02 05 20:17:55 885 31791 12757 V MmxContentProvider: Rows returned: 5_x000D_
02 05 20:17:55 907 31791 31791 V Database: QUERY (0ms)_x000D_
02 05 20:17:55 907 31791 31791 V Database:   sql: SELECT   FROM infotable v1 WHERE (INFONAME  )_x000D_
02 05 20:17:55 907 31791 31791 V Database:   args:  BASECURRENCYID _x000D_
02 05 20:17:55 907 31791 31791 V Database: QUERY (0ms)_x000D_
02 05 20:17:55 907 31791 31791 V Database:   sql: SELECT   FROM infotable v1 WHERE (INFONAME  )_x000D_
02 05 20:17:55 907 31791 31791 V Database:   args:  BASECURRENCYID _x000D_
02 05 20:17:55 908 31791 31791 V MmxContentProvider: Querying URI: content:  com money manager ex provider currencyformats_x000D_
02 05 20:17:55 909 31791 31791 V MmxContentProvider: Querying URI: content:  com money manager ex provider currencyformats_x000D_
02 05 20:17:55 911 31791 31791 V MmxContentProvider: Rows returned: 1_x000D_
02 05 20:17:55 911 31791 31791 V MmxContentProvider: Rows returned: 1_x000D_
02 05 20:17:58 735 31791 31791 W InputEventReceiver: Attempted to finish an input event but the input event receiver has already been disposed _x000D_
02 05 20:18:48 549 31791 31791 W ActivityThread: handleWindowVisibility: no activity for token android os BinderProxy c87c369_x000D_
02 05 20:18:51 029 31791 31791 W ActivityThread: handleWindowVisibility: no activity for token android os BinderProxy aacb96_x000D_
02 05 20:18:51 053 31791 31791 V Database: QUERY (0ms)_x000D_
02 05 20:18:51 053 31791 31791 V Database:   sql: SELECT   FROM infotable v1 WHERE (INFONAME  )_x000D_
02 05 20:18:51 053 31791 31791 V Database:   args:  PASSCODEMOBILE _x000D_
02 05 20:18:51 057 31791 31791 I chatty  : uid 10421(com money manager ex) identical 8 lines_x000D_
02 05 20:18:51 057 31791 31791 V Database: QUERY (0ms)_x000D_
02 05 20:18:51 057 31791 31791 V Database:   sql: SELECT   FROM infotable v1 WHERE (INFONAME  )_x000D_
02 05 20:18:51 057 31791 31791 V Database:   args:  PASSCODEMOBILE _x000D_
02 05 20:18:53 399 31791 31791 W ActivityThread: handleWindowVisibility: no activity for token android os BinderProxy 9b93e18_x000D_
02 05 20:18:53 426 31791 31791 V Database: QUERY (0ms)_x000D_
02 05 20:18:53 426 31791 31791 V Database:   sql: SELECT   FROM infotable v1 WHERE (INFONAME  )_x000D_
02 05 20:18:53 426 31791 31791 V Database:   args:  PASSCODEMOBILE _x000D_
02 05 20:18:53 428 31791 31791 V Database: QUERY (0ms)_x000D_
02 05 20:18:53 428 31791 31791 V Database:   sql: SELECT   FROM infotable v1 WHERE (INFONAME  )_x000D_
02 05 20:18:53 428 31791 31791 V Database:   args:  PASSCODEMOBILE _x000D_
02 05 20:18:54 272 31791 31791 W ActivityThread: handleWindowVisibility: no activity for token android os BinderProxy 4b253ec_x000D_
02 05 20:18:54 391 31791 31791 E KeyStore: generateKeyInternal failed on response 2_x000D_
02 05 20:18:54 393 31791 31791 D AndroidRuntime: Shutting down VM_x000D_
02 05 20:18:54 394 31791 31791 E AndroidRuntime: FATAL EXCEPTION: main_x000D_
02 05 20:18:54 394 31791 31791 E AndroidRuntime: Process: com money manager ex  PID: 31791_x000D_
02 05 20:18:54 394 31791 31791 E AndroidRuntime: java lang RuntimeException: Unable to start activity ComponentInfo com money manager ex com money manager ex PasscodeActivity : java security ProviderException: Keystore operation failed_x000D_
02 05 20:18:54 394 31791 31791 E AndroidRuntime: 	at android app ActivityThread performLaunchActivity(ActivityThread java:3271)_x000D_
02 05 20:18:54 394 31791 31791 E AndroidRuntime: 	at android app ActivityThread handleLaunchActivity(ActivityThread java:3410)_x000D_
02 05 20:18:54 394 31791 31791 E AndroidRuntime: 	at android app servertransaction LaunchActivityItem execute(LaunchActivityItem java:83)_x000D_
02 05 20:18:54 394 31791 31791 E AndroidRuntime: 	at android app servertransaction TransactionExecutor executeCallbacks(TransactionExecutor java:135)_x000D_
02 05 20:18:54 394 31791 31791 E AndroidRuntime: 	at android app servertransaction TransactionExecutor execute(TransactionExecutor java:95)_x000D_
02 05 20:18:54 394 31791 31791 E AndroidRuntime: 	at android app ActivityThread H handleMessage(ActivityThread java:2017)_x000D_
02 05 20:18:54 394 31791 31791 E AndroidRuntime: 	at android os Handler dispatchMessage(Handler java:107)_x000D_
02 05 20:18:54 394 31791 31791 E AndroidRuntime: 	at android os Looper loop(Looper java:214)_x000D_
02 05 20:18:54 394 31791 31791 E AndroidRuntime: 	at android app ActivityThread main(ActivityThread java:7398)_x000D_
02 05 20:18:54 394 31791 31791 E AndroidRuntime: 	at java lang reflect Method invoke(Native Method)_x000D_
02 05 20:18:54 394 31791 31791 E AndroidRuntime: 	at com android internal os RuntimeInit MethodAndArgsCaller run(RuntimeInit java:493)_x000D_
02 05 20:18:54 394 31791 31791 E AndroidRuntime: 	at com android internal os ZygoteInit main(ZygoteInit java:940)_x000D_
02 05 20:18:54 394 31791 31791 E AndroidRuntime: Caused by: java security ProviderException: Keystore operation failed_x000D_
02 05 20:18:54 394 31791 31791 E AndroidRuntime: 	at android security keystore AndroidKeyStoreKeyGeneratorSpi engineGenerateKey(AndroidKeyStoreKeyGeneratorSpi java:332)_x000D_
02 05 20:18:54 394 31791 31791 E AndroidRuntime: 	at javax crypto KeyGenerator generateKey(KeyGenerator java:612)_x000D_
02 05 20:18:54 394 31791 31791 E AndroidRuntime: 	at com money manager ex PasscodeActivity generateKey(PasscodeActivity java:272)_x000D_
02 05 20:18:54 394 31791 31791 E AndroidRuntime: 	at com money manager ex PasscodeActivity onCreate(PasscodeActivity java:188)_x000D_
02 05 20:18:54 394 31791 31791 E AndroidRuntime: 	at android app Activity performCreate(Activity java:7824)_x000D_
02 05 20:18:54 394 31791 31791 E AndroidRuntime: 	at android app Activity performCreate(Activity java:7813)_x000D_
02 05 20:18:54 394 31791 31791 E AndroidRuntime: 	at android app Instrumentation callActivityOnCreate(Instrumentation java:1307)_x000D_
02 05 20:18:54 394 31791 31791 E AndroidRuntime: 	at android app ActivityThread performLaunchActivity(ActivityThread java:3246)_x000D_
02 05 20:18:54 394 31791 31791 E AndroidRuntime: 	    11 more_x000D_
02 05 20:18:54 394 31791 31791 E AndroidRuntime: Caused by: android security KeyStoreException: User authentication required_x000D_
02 05 20:18:54 394 31791 31791 E AndroidRuntime: 	at android security KeyStore getKeyStoreException(KeyStore java:1275)_x000D_
02 05 20:18:54 394 31791 31791 E AndroidRuntime: 	    19 more_x000D_
02 05 20:18:54 453 31791 31791 I Process : Sending signal  PID: 31791 SIG: 9_x000D_
02 05 20:18:54 639 28885 28885 E oney manager e: Not starting debugger since process cannot load the jdwp agent _x000D_
02 05 20:18:54 650 28885 28885 I EdXposed: Start to install inline hooks_x000D_
02 05 20:18:54 650 28885 28885 I EdXposed: Using api level 29_x000D_
02 05 20:18:54 650 28885 28885 I EdXposed: Start to install Riru hook_x000D_
02 05 20:18:54 696 28885 28885 I EdXposed: Riru hooks installed_x000D_
02 05 20:18:54 712 28885 28885 I Dobby   :      DobbyHook  Initialize at 0x77ab0b59b8_x000D_
02 05 20:18:54 712 28885 28885 I Dobby   :                      FunctionInlineReplaceRouting Start                 _x000D_
02 05 20:18:54 712 28885 28885 I Dobby   :     Set trampoline target    0x77a3a65064_x000D_
02 05 20:18:54 712 28885 28885 I Dobby   :      assembler  Create fixed address at 0x77ab0b59b8_x000D_
02 05 20:18:54 712 28885 28885 I Dobby   :     Initialize assembler code buffer at 0x783025ce60_x000D_
02 05 20:18:54 712 28885 28885 I Dobby   :     Trampoline use  Adrp  Add  Br  combine_x000D_
02 05 20:18:54 712 28885 28885 I Dobby   :      trampoline  Generate trampoline buffer 0x77ab0b59b8    0x77a3a65064_x000D_
02 05 20:18:54 712 28885 28885 I Dobby   :     Initialize assembler code buffer at 0x783025ce60_x000D_
02 05 20:18:54 712 28885 28885 I Dobby   :      assembler  Finalize assembler at 0x78303e6000_x000D_
02 05 20:18:54 712 28885 28885 I Dobby   :      insn relocate  origin 0x77ab0b59b8   12_x000D_
02 05 20:18:54 712 28885 28885 I Dobby   :      insn relocate  relocated 0x78303e6000   28_x000D_
02 05 20:18:54 712 28885 28885 I Dobby   :      intercept routing  Active patch 0x77ab0b59b8_x000D_
02 05 20:18:54 712 28885 28885 I Dobby   :                      FunctionInlineReplaceRouting End                 _x000D_
02 05 20:18:54 712 28885 28885 I Dobby   :      DobbyHook  Initialize at 0x77ab0b4bf8_x000D_
02 05 20:18:54 712 28885 28885 I Dobby   :                      FunctionInlineReplaceRouting Start                 _x000D_
02 05 20:18:54 712 28885 28885 I Dobby   :     Set trampoline target    0x77a3a6506c_x000D_
02 05 20:18:54 712 28885 28885 I Dobby   :      assembler  Create fixed address at 0x77ab0b4bf8_x000D_
02 05 20:18:54 712 28885 28885 I Dobby   :     Initialize assembler code buffer at 0x779ab71ca0_x000D_
02 05 20:18:54 712 28885 28885 I Dobby   :     Trampoline use  Adrp  Add  Br  combine_x000D_
02 05 20:18:54 712 28885 28885 I Dobby   :      trampoline  Generate trampoline buffer 0x77ab0b4bf8    0x77a3a6506c_x000D_
02 05 20:18:54 712 28885 28885 I Dobby   :     Initialize assembler code buffer at 0x779ab71ca0_x000D_
02 05 20:18:54 712 28885 28885 I Dobby   :      assembler  Finalize assembler at 0x78303e6020_x000D_
02 05 20:18:54 712 28885 28885 I Dobby   :      insn relocate  origin 0x77ab0b4bf8   12_x000D_
02 05 20:18:54 712 28885 28885 I Dobby   :      insn relocate  relocated 0x78303e6020   28_x000D_
02 05 20:18:54 712 28885 28885 I Dobby   :      intercept routing  Active patch 0x77ab0b4bf8_x000D_
02 05 20:18:54 712 28885 28885 I Dobby   :                      FunctionInlineReplaceRouting End                 _x000D_
02 05 20:18:54 712 28885 28885 I Dobby   :      DobbyHook  Initialize at 0x77aaf6ab5c_x000D_
02 05 20:18:54 712 28885 28885 I Dobby   :                      FunctionInlineReplaceRouting Start                 _x000D_
02 05 20:18:54 712 28885 28885 I Dobby   :     Set trampoline target    0x77a3a65074_x000D_
02 05 20:18:54 712 28885 28885 I Dobby   :      assembler  Create fixed address at 0x77aaf6ab5c_x000D_
02 05 20:18:54 712 28885 28885 I Dobby   :     Initialize assembler code buffer at 0x779ab71e60_x000D_
02 05 20:18:54 712 28885 28885 I Dobby   :     Trampoline use  Adrp  Add  Br  combine_x000D_
02 05 20:18:54 712 28885 28885 I Dobby   :      trampoline  Generate trampoline buffer 0x77aaf6ab5c    0x77a3a65074_x000D_
02 05 20:18:54 712 28885 28885 I Dobby   :     Initialize assembler code buffer at 0x779ab71e60_x000D_
02 05 20:18:54 712 28885 28885 I Dobby   :      assembler  Finalize assembler at 0x78303e6040_x000D_
02 05 20:18:54 712 28885 28885 I Dobby   :      insn relocate  origin 0x77aaf6ab5c   12_x000D_
02 05 20:18:54 712 28885 28885 I Dobby   :      insn relocate  relocated 0x78303e6040   28_x000D_
02 05 20:18:54 712 28885 28885 I Dobby   :      intercept routing  Active patch 0x77aaf6ab5c_x000D_
02 05 20:18:54 712 28885 28885 I Dobby   :                      FunctionInlineReplaceRouting End                 _x000D_
02 05 20:18:54 712 28885 28885 I Dobby   :      DobbyHook  Initialize at 0x77aaf8f450_x000D_
02 05 20:18:54 712 28885 28885 I Dobby   :                      FunctionInlineReplaceRouting Start                 _x000D_
02 05 20:18:54 712 28885 28885 I Dobby   :     Set trampoline target    0x77a3a6511c_x000D_
02 05 20:18:54 712 28885 28885 I Dobby   :      assembler  Create fixed address at 0x77aaf8f450_x000D_
02 05 20:18:54 712 28885 28885 I Dobby   :     Initialize assembler code buffer at 0x779ab7d040_x000D_
02 05 20:18:54 712 28885 28885 I Dobby   :     Trampoline use  Adrp  Add  Br  combine_x000D_
02 05 20:18:54 712 28885 28885 I Dobby   :      trampoline  Generate trampoline buffer 0x77aaf8f450    0x77a3a6511c_x000D_
02 05 20:18:54 712 28885 28885 I Dobby   :     Initialize assembler code buffer at 0x779ab7d040_x000D_
02 05 20:18:54 712 28885 28885 I Dobby   :      assembler  Finalize assembler at 0x78303e6060_x000D_
02 05 20:18:54 712 28885 28885 I Dobby   :      insn relocate  origin 0x77aaf8f450   12_x000D_
02 05 20:18:54 712 28885 28885 I Dobby   :      insn relocate  relocated 0x78303e6060   28_x000D_
02 05 20:18:54 712 28885 28885 I Dobby   :      intercept routing  Active patch 0x77aaf8f450_x000D_
02 05 20:18:54 712 28885 28885 I Dobby   :                      FunctionInlineReplaceRouting End                 _x000D_
02 05 20:18:54 712 28885 28885 I Dobby   :      DobbyHook  Initialize at 0x77aaf8f2e0_x000D_
02 05 20:18:54 712 28885 28885 I Dobby   :                      FunctionInlineReplaceRouting Start                 _x000D_
02 05 20:18:54 712 28885 28885 I Dobby   :     Set trampoline target    0x77a3a652d4_x000D_
02 05 20:18:54 712 28885 28885 I Dobby   :      assembler  Create fixed address at 0x77aaf8f2e0_x000D_
02 05 20:18:54 712 28885 28885 I Dobby   :     Initialize assembler code buffer at 0x779ab7d220_x000D_
02 05 20:18:54 712 28885 28885 I Dobby   :     Trampoline use  Adrp  Add  Br  combine_x000D_
02 05 20:18:54 712 28885 28885 I Dobby   :      trampoline  Generate trampoline buffer 0x77aaf8f2e0    0x77a3a652d4_x000D_
02 05 20:18:54 712 28885 28885 I Dobby   :     Initialize assembler code buffer at 0x779ab7d220_x000D_
02 05 20:18:54 712 28885 28885 I Dobby   :      assembler  Finalize assembler at 0x78303e6080_x000D_
02 05 20:18:54 712 28885 28885 I Dobby   :      insn relocate  origin 0x77aaf8f2e0   12_x000D_
02 05 20:18:54 712 28885 28885 I Dobby   :      insn relocate  relocated 0x78303e6080   28_x000D_
02 05 20:18:54 712 28885 28885 I Dobby   :      intercept routing  Active</t>
  </si>
  <si>
    <t>canyie-pine-9</t>
  </si>
  <si>
    <t>Floating point parameter parsing error on arm64</t>
  </si>
  <si>
    <t xml:space="preserve">Floating point parameters are stored in floating point registers (d0 d7)  but when we try to fix it (07efc15)  a crash occurs after the bridge method returns:_x000D_
   _x000D_
2021 02 05 14:19:12 206 26052 26052   D Pine: Hooking static void top canyie pine examples MainActivity Seven seven(long int float double java lang Object java lang Object java lang Object java lang Object java lang Object float double) callback top canyie pine examples MainActivity 1 ebc4020_x000D_
2021 02 05 14:19:12 209 26052 26052   D Pine: Mapped new memory 0x7d5b857000 (size 4096)_x000D_
2021 02 05 14:19:12 209 26052 26052   D Pine: InstallReplacementTrampoline: origin 0x7d5c951198 origin entry 0x7cd9d67410 bridge jump 0x7d5b857000_x000D_
2021 02 05 14:19:12 209 26052 26052   I PineExample: Start invoke_x000D_
2021 02 05 14:19:12 210 26052 26052   I Pine: handleBridge: artMethod 0x7d5c951198 extras 0x7cd21cf380 sp 0x7fed416300_x000D_
2021 02 05 14:19:12 210 26052 26052   D Pine: handleCall for method static void top canyie pine examples MainActivity Seven seven(long int float double java lang Object java lang Object java lang Object java lang Object java lang Object float double)_x000D_
2021 02 05 14:19:12 210 26052 26052   I PineExample: Before:  1145141919810  735778922  3 1415  8119 983  null  java lang Object a713dd9  null  java lang Object a713dd9  null  233 3  666 666 _x000D_
2021 02 05 14:19:12 211 26052 26052   I PineExample: Seven: 1145141919810 735778922 3 1415 8119 983 null java lang Object a713dd9 null java lang Object a713dd9 null 233 3 666 666_x000D_
2021 02 05 14:19:12 211 26052 26052   I PineExample: After: null_x000D_
2021 02 05 14:19:12 299 26091 26091   E xcrash dumper: UTIL: ptrace error  addr:40490e30  errno:5_x000D_
2021 02 05 14:19:12 299 26091 26091   E xcrash dumper: UTIL: ptrace error  addr:43694ca8  errno:5_x000D_
2021 02 05 14:19:13 097 26052 26084   E PineExample: XCrash triggered: logPath  data user 0 top canyie pine examples files tombstones tombstone 00001612505952093065 1 0  top canyie pine examples native xcrash emergency null_x000D_
2021 02 05 14:19:13 099 26052 26052   A libc: Fatal signal 11 (SIGSEGV)  code 1 (SEGV MAPERR)  fault addr 0x40bfb7fba5e353f8 in tid 26052 (e pine examples)  pid 26052 (e pine examples)_x000D_
2021 02 05 14:19:13 135 26112 26112   I crash dump64: obtaining output fd from tombstoned  type: kDebuggerdTombstone_x000D_
2021 02 05 14:19:13 135 1145 1145   I  system bin tombstoned: received crash request for pid 26052_x000D_
2021 02 05 14:19:13 137 26112 26112   I crash dump64: performing dump of process 26052 (target tid   26052)_x000D_
2021 02 05 14:19:13 141 26112 26112   A DEBUG:                                                                _x000D_
2021 02 05 14:19:13 142 26112 26112   A DEBUG: Build fingerprint:  google blueline blueline:10 QQ3A 200605 001 6392402:user release keys _x000D_
2021 02 05 14:19:13 142 26112 26112   A DEBUG: Revision:  MP1 0 _x000D_
2021 02 05 14:19:13 142 26112 26112   A DEBUG: ABI:  arm64 _x000D_
2021 02 05 14:19:13 143 26112 26112   A DEBUG: Timestamp: 2021 02 05 14:19:13 0800_x000D_
2021 02 05 14:19:13 143 26112 26112   A DEBUG: pid: 26052  tid: 26052  name: e pine examples      top canyie pine examples    _x000D_
2021 02 05 14:19:13 143 26112 26112   A DEBUG: uid: 10333_x000D_
2021 02 05 14:19:13 143 26112 26112   A DEBUG: signal 11 (SIGSEGV)  code 1 (SEGV MAPERR)  fault addr 0x40bfb7fba5e353f8_x000D_
2021 02 05 14:19:13 143 26112 26112   A DEBUG:     x0  0000000000000000  x1  0000007d5c951198  x2  0000007cd21cf380  x3  0000007fed416300_x000D_
2021 02 05 14:19:13 143 26112 26112   A DEBUG:     x4  0000000040490e56  x5  40bfb7fba5e353f8  x6  0000000013344788  x7  0000000000000000_x000D_
2021 02 05 14:19:13 143 26112 26112   A DEBUG:     x8  9e37d9c003bf6cd8  x9  9e37d9c003bf6cd8  x10 0000000000000007  x11 0000000000000000_x000D_
2021 02 05 14:19:13 143 26112 26112   A DEBUG:     x12 ffffffffffffffff  x13 0000000000000001  x14 0000000000000006  x15 000000000000000d_x000D_
2021 02 05 14:19:13 143 26112 26112   A DEBUG:     x16 0000000000000000  x17 0000000000000085  x18 0000007d5ff18000  x19 0000000043694ccd_x000D_
2021 02 05 14:19:13 143 26112 26112   A DEBUG:     x20 4084d553f7ced917  x21 0000007d5ef87c00  x22 0000007fed4165b8  x23 0000007ccdcfd584_x000D_
2021 02 05 14:19:13 143 26112 26112   A DEBUG:     x24 0000000000000038  x25 0000007d5f276020  x26 0000007d5ef87cb0  x27 0000000000000002_x000D_
2021 02 05 14:19:13 143 26112 26112   A DEBUG:     x28 00000000701030d0  x29 0000000000000000_x000D_
2021 02 05 14:19:13 143 26112 26112   A DEBUG:     sp  0000007fed416370  lr  4000000000000000  pc  0000007cd9d5e5cc_x000D_
2021 02 05 14:19:13 144 26112 26112   A DEBUG: backtrace:_x000D_
2021 02 05 14:19:13 144 26112 26112   A DEBUG:        00 pc 00000000001365cc   apex com android runtime lib64 libart so (art quick invoke static stub 588) (BuildId: f9ff276075287a1d376fcd141f6042aa)_x000D_
2021 02 05 14:19:13 144 26112 26112   A DEBUG:        01 pc 4000000000000000   unknown _x000D_
   _x000D_
We notice the fault addr  0x40bfb7fba5e353f8  convert it to double as 8119 983  which is equal to an argument _x000D_
Don t know why  just revert this commit and wait for more information </t>
  </si>
  <si>
    <t>material-components-material-components-android-2038</t>
  </si>
  <si>
    <t xml:space="preserve">The style on this component requires your app theme to be Theme.AppCompat (or a descendant). </t>
  </si>
  <si>
    <t xml:space="preserve">  Description:  _x000D_
_x000D_
Crash in  inflate of com google android material bottomnavigation BottomNavigationView_x000D_
started to come on   SOME DEVICES only (only android 10)    _x000D_
there has no change in theme of application or activity _x000D_
_x000D_
  Expected behavior:  _x000D_
app should not crash _x000D_
_x000D_
  Source code:  _x000D_
         com google android material bottomnavigation BottomNavigationView_x000D_
                android:id    id navView _x000D_
                android:layout width  0dp _x000D_
                android:layout height  wrap content _x000D_
                app:elevation  8dp _x000D_
                  app:itemIconTint and itemTextColor colors are set  _x000D_
                app:labelVisibilityMode  labeled _x000D_
                app:layout constraintBottom toBottomOf  parent _x000D_
                app:layout constraintEnd toEndOf  parent _x000D_
                app:layout constraintStart toStartOf  parent    _x000D_
  themes defined :_x000D_
Theme MaterialComponents Light ( which    i use Theme AppCompat Light what i see on source code of material library)_x000D_
I am inflating xml containing BottomNavigationView using viewBinding and for sure using activity context  (Any way this crash is just coming for some devices  log on crashlytics)_x000D_
_x000D_
_x000D_
  Android API version:   _x000D_
Android 10 api 29_x000D_
_x000D_
  Material Library version:   1 2 0_x000D_
_x000D_
  Device:   _x000D_
Xiaomi  (86   )   samsung(10  ) and others ( real me   one plus)_x000D_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</si>
  <si>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aleksn41-corona_world_app-126</t>
  </si>
  <si>
    <t>When the user rapidly switches between map and another fragment the app crashes</t>
  </si>
  <si>
    <t xml:space="preserve">The app crashes when a user rapidly switches between a map fragment and another fragment (or between the both map fragments)  This has to do with the old fragment s running executor service threads not being able to tell that the fragment was killed  A possible solution is checking if there is a context object before executing a method or whatever </t>
  </si>
  <si>
    <t>Anuken-Mindustry-4585</t>
  </si>
  <si>
    <t>Mindustry stuck at loading than it not responding</t>
  </si>
  <si>
    <t xml:space="preserve">OS: Windows 7 Build 7601 (6 1 7601 24545) 32bit     Intel(R)Core(TM)i7 CPU M620  2 67Ghz    Support open gl 2 0_x000D_
                                                                       3 43 RAM                      _x000D_
_x000D_
CPU:total 4 (initial active 4) (2 cores per cpu  2 threads per core) family 6 model 37 stepping 2  cmov  cx8  fxsr  mmx  sse  sse2  sse3  ssse3  sse4 1  sse4 2  popcnt  aes  clmul  ht  tsc  tscinvbit_x000D_
_x000D_
Memory: 4k page  physical 3594068k(1224676k free)  swap 7186468k(4772064k free)_x000D_
_x000D_
vm info: OpenJDK Server VM (25 201 b09) for windows x86 JRE (1 8 0 201 1 ojdkbuild b09)  built on Jan 24 2019 11:41:11 by  Administrator  with MS VC   10 0 (VS2010)_x000D_
_x000D_
_x000D_
                                                                 _x000D_
When i Open the Mindustry  It will loading until almost finish than it not responding   when i quit the game it will appear Failed to write core dump  Minidumps are not enabled by default on client versions of Windows_x000D_
_x000D_
 i can open it twice times only  it just not loading than crash_x000D_
                                                                   _x000D_
 JRE version: OpenJDK Runtime Environment (8 0 201 b09) (build 1 8 0 201 1 ojdkbuild b09)_x000D_
Java VM: OpenJDK Server VM (25 201 b09 mixed mode windows x86 )_x000D_
 Problematic frame:_x000D_
 C   MSCTF dll 0x2c1fb _x000D_
_x000D_
 Failed to write core dump  Minidumps are not enabled by default on client versions of Windows_x000D_
_x000D_
 If you would like to submit a bug report  please visit:_x000D_
   http:  bugreport java com bugreport crash jsp_x000D_
 The crash happened outside the Java Virtual Machine in native code _x000D_
 See problematic frame for where to report the bug _x000D_
_x000D_
_x000D_
                 T H R E A D                 _x000D_
_x000D_
Current thread (0x01ff2400):  JavaThread  main    thread in native  id 7276  stack(0x00350000 0x00820000) _x000D_
_x000D_
siginfo: ExceptionCode 0xc0000005  reading address 0x65c52634_x000D_
_x000D_
Registers:_x000D_
EAX 0x0093fd80  EBX 0x45ee6170  ECX 0x65c5262c  EDX 0x00020000_x000D_
ESP 0x0081f1f8  EBP 0x0081f230  ESI 0x45ee6170  EDI 0x00000000_x000D_
EIP 0x760bc1fb  EFLAGS 0x00210202_x000D_
_x000D_
Top of Stack: (sp 0x0081f1f8)_x000D_
0x0081f1f8:   0093fd80 00000000 45ff5978 760b7006_x000D_
0x0081f208:   00000000 80000000 45ff5978 00000001_x000D_
0x0081f218:   00000000 00000000 00000000 00000000_x000D_
0x0081f228:   45e26580 00000000 0081f248 760a4ee4_x000D_
0x0081f238:   01ff2400 408ece98 01a5efc8 00000000_x000D_
0x0081f248:   0081f2e4 518b5ce3 00000000 07000000_x000D_
0x0081f258:   0081f25c 00000000 0093f360 518ba838_x000D_
0x0081f268:   0093f360 408ece98 518a3c40 0093f360 _x000D_
_x000D_
Instructions: (pc 0x760bc1fb)_x000D_
0x760bc1db:   ff 8b 08 50 ff 51 08 89 7e 0c e9 26 a8 ff ff 8b_x000D_
0x760bc1eb:   08 50 ff 51 08 89 7e 10 e9 23 a8 ff ff 8b 08 50_x000D_
0x760bc1fb:   ff 51 08 89 7e 04 e9 20 a8 ff ff 50 e8 55 4b 03_x000D_
0x760bc20b:   00 89 7e 2c e9 2b a8 ff ff ff 75 10 8b 49 04 ff _x000D_
_x000D_
_x000D_
Register to memory mapping:_x000D_
_x000D_
EAX 0x0093fd80 is an unknown value_x000D_
EBX 0x45ee6170 is an unknown value_x000D_
ECX 0x65c5262c is an unknown value_x000D_
EDX 0x00020000 is an unknown value_x000D_
ESP 0x0081f1f8 is pointing into the stack for thread: 0x01ff2400_x000D_
EBP 0x0081f230 is pointing into the stack for thread: 0x01ff2400_x000D_
ESI 0x45ee6170 is an unknown value_x000D_
EDI 0x00000000 is an unknown value_x000D_
_x000D_
_x000D_
Stack:  0x00350000 0x00820000    sp 0x0081f1f8   free space 4924k_x000D_
Native frames: (J compiled Java code  j interpreted  Vv VM code  C native code)_x000D_
C   MSCTF dll 0x2c1fb _x000D_
C   MSCTF dll 0x14ee4 _x000D_
C   sdl arc dll 0x75ce3 _x000D_
j  arc backend sdl SdlApplication cleanup()V 20_x000D_
j  arc backend sdl SdlApplication  init (Larc ApplicationListener Larc backend sdl SdlConfig )V 172_x000D_
j  mindustry desktop DesktopLauncher main( Ljava lang String )V 22_x000D_
v   StubRoutines::call stub_x000D_
V   jvm dll 0x161865 _x000D_
V   jvm dll 0x2316ee _x000D_
V   jvm dll 0x1618fe _x000D_
V   jvm dll 0xdb0a7 _x000D_
V   jvm dll 0xe3793 _x000D_
C   Mindustry exe 0x725b _x000D_
C   Mindustry exe 0x69db _x000D_
C   Mindustry exe 0x7380 _x000D_
C   Mindustry exe 0xcf46 _x000D_
C   Mindustry exe 0x203f _x000D_
C   Mindustry exe 0xcbfa _x000D_
C   Mindustry exe 0x10af5 _x000D_
C   kernel32 dll 0x4ef3c _x000D_
C   ntdll dll 0x6360c _x000D_
C   ntdll dll 0x635df _x000D_
C  0x00000000_x000D_
_x000D_
Java frames: (J compiled Java code  j interpreted  Vv VM code)_x000D_
j  arc backend sdl jni SDL SDL Quit()V 0_x000D_
j  arc backend sdl SdlApplication cleanup()V 20_x000D_
j  arc backend sdl SdlApplication  init (Larc ApplicationListener Larc backend sdl SdlConfig )V 172_x000D_
j  mindustry desktop DesktopLauncher main( Ljava lang String )V 22_x000D_
v   StubRoutines::call stub_x000D_
                                                                                               _x000D_
_x000D_
 Place an X (no spaces) between the brackets to confirm that you have read the line below    _x000D_
   X     I have upated to the latest release (https:  github com Anuken Mindustry releases) to make sure my issue has not been fixed   _x000D_
    X    I have searched the closed and open issues to make sure that this problem has not already been reported   _x000D_
</t>
  </si>
  <si>
    <t>deepjavalibrary-djl-596</t>
  </si>
  <si>
    <t>DJL Model View crashes on some Model Tabs.</t>
  </si>
  <si>
    <t xml:space="preserve">   Description_x000D_
When picking almost any model on the ModelView page and you click the Synset tab the model view page will crash  Refreshing the page is the only way to get the page back to a usable state  _x000D_
_x000D_
    Expected Behavior_x000D_
Expected behavior would be either not showing the tab at all or showing that the current attribute isn t being used _x000D_
_x000D_
   How to Reproduce _x000D_
(If you developed your own code  please provide a short script that reproduces the error  For existing examples  please provide link )_x000D_
_x000D_
    Steps to reproduce_x000D_
(Paste the commands you ran that produced the error )_x000D_
_x000D_
1  In your terminal go into the central folder( cd central  )  Then run gradle(    gradlew )  2 Go to http:  localhost:8080  in your web browser _x000D_
3 Click CV ACTION RECOGNITION_x000D_
_x000D_
4 Click inceptionv3 ucf101_x000D_
 img width  906  alt  image  src  https:  user images githubusercontent com 65963140 106832927 6fd6ee80 6647 11eb 8364 69723e8b6521 png  _x000D_
_x000D_
5 Then press the synset tab _x000D_
 img width  816  alt  image  src  https:  user images githubusercontent com 65963140 106832950 7ebda100 6647 11eb 899d 4f2c41cc3c5b png  _x000D_
_x000D_
_x000D_
Fix        Coming soon </t>
  </si>
  <si>
    <t>square-okhttp-6543</t>
  </si>
  <si>
    <t>javax.net.ssl.SSLException okio.OutputStreamSink.write</t>
  </si>
  <si>
    <t>Hi  _x000D_
I use okhttp in one of my apps to run about 2 requests at startup  I got a crash report from Google Play _x000D_
It seems like it s an internal exception that I can t catch  which is pretty bad  I wouldn t mind the request to fail so I wrap the request with try catch  but if I can t catch the exception  there s a problem _x000D_
_x000D_
I couldn t make much from the crash log  hopefully it s helpful for you _x000D_
_x000D_
The exception:_x000D_
   _x000D_
java lang RuntimeException: _x000D_
  at com android internal os RuntimeInit MethodAndArgsCaller run (RuntimeInit java:506)_x000D_
  at com android internal os ZygoteInit main (ZygoteInit java:1100)_x000D_
Caused by: java lang reflect InvocationTargetException: _x000D_
  at java lang reflect Method invoke (Method java)_x000D_
  at com android internal os RuntimeInit MethodAndArgsCaller run (RuntimeInit java:496)_x000D_
  at com android internal os ZygoteInit main (ZygoteInit java:1100)_x000D_
Caused by: javax net ssl SSLException: _x000D_
  at com android org conscrypt NativeCrypto SSL write (NativeCrypto java)_x000D_
  at com android org conscrypt NativeSsl write (NativeSsl java:426)_x000D_
  at com android org conscrypt ConscryptFileDescriptorSocket SSLOutputStream write (ConscryptFileDescriptorSocket java:660)_x000D_
  at okio OutputStreamSink write (OutputStreamSink java:2)_x000D_
  at okio AsyncTimeout sink 1 write (AsyncTimeout java:2)_x000D_
  at okio RealBufferedSink flush (RealBufferedSink java:2)_x000D_
  at okhttp3 internal http2 Http2Writer applyAndAckSettings (Http2Writer java:8)_x000D_
  at okhttp3 internal http2 Http2Connection ReaderRunnable applyAndAckSettings (Http2Connection java:17)_x000D_
  at okhttp3 internal http2 Http2Connection ReaderRunnable settings  inlined execute 1 runOnce (Http2Connection java:17)_x000D_
  at okhttp3 internal concurrent TaskRunner runTask (TaskRunner java:3)_x000D_
  at okhttp3 internal concurrent TaskRunner access runTask (TaskRunner java:3)_x000D_
  at okhttp3 internal concurrent TaskRunner runnable 1 run (TaskRunner java:7)_x000D_
  at java util concurrent ThreadPoolExecutor runWorker (ThreadPoolExecutor java:1167)_x000D_
  at java util concurrent ThreadPoolExecutor Worker run (ThreadPoolExecutor java:641)_x000D_
  at java lang Thread run (Thread java:919)_x000D_
   _x000D_
_x000D_
Thank you</t>
  </si>
  <si>
    <t>MuntashirAkon-AppManager-259</t>
  </si>
  <si>
    <t>Crash when uninstalling app</t>
  </si>
  <si>
    <t xml:space="preserve">Hey  there 
I have noticed some crashes  when uninstalling apps 
java lang IllegalArgumentException: Unknown component: ComponentInfo  app  com adcolony sdk AdColonyAdViewActivity 
    at android os Parcel createException(Parcel java:2075)
    at android os Parcel readException(Parcel java:2039)
    at android os Parcel readException(Parcel java:1987)
    at android content pm IPackageManager Stub Proxy getComponentEnabledSetting(IPackageManager java:7381)
    at android app ApplicationPackageManager getComponentEnabledSetting(ApplicationPackageManager java:2563)
    at io github muntashirakon AppManager details AppDetailsFragment isComponentDisabled(AppDetailsFragment java:563)
    at io github muntashirakon AppManager details AppDetailsFragment AppDetailsRecyclerAdapter getActivityView(AppDetailsFragment java:845)
    at io github muntashirakon AppManager details AppDetailsFragment AppDetailsRecyclerAdapter onBindViewHolder(AppDetailsFragment java:825)
    at io github muntashirakon AppManager details AppDetailsFragment AppDetailsRecyclerAdapter onBindViewHolder(AppDetailsFragment java:584)
    at androidx recyclerview widget RecyclerView Adapter onBindViewHolder(RecyclerView java:7065)
    at androidx recyclerview widget RecyclerView Adapter bindViewHolder(RecyclerView java:7107)
    at androidx recyclerview widget RecyclerView Recycler tryBindViewHolderByDeadline(RecyclerView java:6012)
    at androidx recyclerview widget RecyclerView Recycler tryGetViewHolderForPositionByDeadline(RecyclerView java:6279)
    at androidx recyclerview widget RecyclerView Recycler getViewForPosition(RecyclerView java:6118)
    at androidx recyclerview widget RecyclerView Recycler getViewForPosition(RecyclerView java:6114)
    at androidx recyclerview widget LinearLayoutManager LayoutState next(LinearLayoutManager java:2303)
    at androidx recyclerview widget LinearLayoutManager layoutChunk(LinearLayoutManager java:1627)
    at androidx recyclerview widget LinearLayoutManager fill(LinearLayoutManager java:1587)
    at androidx recyclerview widget LinearLayoutManager onLayoutChildren(LinearLayoutManager java:665)
    at androidx recyclerview widget RecyclerView dispatchLayoutStep2(RecyclerView java:4134)
    at androidx recyclerview widget RecyclerView dispatchLayout(RecyclerView java:3851)
    at androidx recyclerview widget RecyclerView onLayout(RecyclerView java:4404)
    at android view View layout(View java:22466)
    at android view ViewGroup layout(ViewGroup java:6304)
    at android widget FrameLayout layoutChildren(FrameLayout java:332)
    at android widget FrameLayout onLayout(FrameLayout java:270)
    at android view View layout(View java:22466)
    at android view ViewGroup layout(ViewGroup java:6304)
    at androidx appcompat widget LinearLayoutCompat setChildFrame(LinearLayoutCompat java:1655)
    at androidx appcompat widget LinearLayoutCompat layoutVertical(LinearLayoutCompat java:1509)
    at androidx appcompat widget LinearLayoutCompat onLayout(LinearLayoutCompat java:1417)
    at android view View layout(View java:22466)
    at android view ViewGroup layout(ViewGroup java:6304)
    at androidx swiperefreshlayout widget SwipeRefreshLayout onLayout(SwipeRefreshLayout java:688)
    at android view View layout(View java:22466)
    at android view ViewGroup layout(ViewGroup java:6304)
    at androidx viewpager widget ViewPager onLayout(ViewPager java:1775)
    at android view View layout(View java:22466)
    at android view ViewGroup layout(ViewGroup java:6304)
    at com google android material appbar HeaderScrollingViewBehavior layoutChild(HeaderScrollingViewBehavior java:148)
    at com google android material appbar ViewOffsetBehavior onLayoutChild(ViewOffsetBehavior java:43)
    at com google android material appbar AppBarLayout ScrollingViewBehavior onLayoutChild(AppBarLayout java:2003)
    at androidx coordinatorlayout widget CoordinatorLayout onLayout(CoordinatorLayout java:918)
    at android view View layout(View java:22466)
    at android view ViewGroup layout(ViewGroup java:6304)
    at android widget FrameLayout layoutChildren(FrameLayout java:332)
    at android widget FrameLayout onLayout(FrameLayout java:270)
    at android view View layout(View java:22466)
    at android view ViewGroup layout(ViewGroup java:6304)
    at android widget LinearLayout setChildFrame(LinearLayout java:1829)
    at android widget LinearLayout layoutVertical(LinearLayout java:1673)
    at android widget LinearLayout onLayout(LinearLayout java:1582)
    at android view View layout(View java:22466)
    at android view ViewGroup layout(ViewGroup java:6304)
    at android widget FrameLayout layoutChildren(FrameLayout java:332)
    at android widget FrameLayout onLayout(FrameLayout java:270)
    at android view View layout(View java:22466)
    at android view ViewGroup layout(ViewGroup java:6304)
    at android widget LinearLayout setChildFrame(LinearLayout java:1829)
    at android widget LinearLayout layoutVertical(LinearLayout java:1673)
    at android widget LinearLayout onLayout(LinearLayout java:1582)
    at android view View layout(View java:22466)
    at android view ViewGroup layout(ViewGroup java:6304)
    at android widget FrameLayout layoutChildren(FrameLayout java:332)
    at android widget FrameLayout onLayout(FrameLayout java:270)
    at com android internal policy DecorView onLayout(DecorView java:779)
    at android view View layout(View java:22466)
    at android view ViewGroup layout(ViewGroup java:6304)
    at android view ViewRootImpl performLayout(ViewRootImpl java:3157)
    at android view ViewRootImpl performTraversals(ViewRootImpl java:2614)
    at android view ViewRootImpl doTraversal(ViewRootImpl java:1745)
    at android view ViewRootImpl TraversalRunnable run(ViewRootImpl java:7768)
    at android view Choreographer CallbackRecord run(Choreographer java:967)
    at android view Choreographer doCallbacks(Choreographer java:791)
    at android view Choreographer doFrame(Choreographer java:726)
    at android view Choreographer FrameDisplayEventReceiver run(Choreographer java:952)
    at android os Handler handleCallback(Handler java:883)
    at android os Handler dispatchMessage(Handler java:100)
    at android os Looper loop(Looper java:214)
    at android app ActivityThread main(ActivityThread java:7356)
    at java lang reflect Method invoke(Native Method)
    at com android internal os RuntimeInit MethodAndArgsCaller run(RuntimeInit java:491)
    at com android internal os ZygoteInit main(ZygoteInit java:940)
 Caused by: android os RemoteException: Remote stack trace:
	at com android server pm Settings getComponentEnabledSettingLPr(Settings java:4263)
	at com android server pm PackageManagerService getComponentEnabledSetting(PackageManagerService java:21720)
	at android content pm IPackageManager Stub onTransact(IPackageManager java:3497)
	at com android server pm PackageManagerService onTransact(PackageManagerService java:4109)
	at android os Binder execTransactInternal(Binder java:1021)
Device Info:
App version: 2 5 22 PRE
App version code: 379
Android build version: a912fb9321
Android release version: 10
Android SDK version: 29
Android build ID: lineage cheryl userdebug 10 QQ3A 200805 001 a912fb9321
Device brand: razer
Device manufacturer: Razer
Device name: cheryl
Device model: Phone
Device product name: lineage cheryl
Device hardware name: qcom
ABIs:  arm64 v8a  armeabi v7a  armeabi 
ABIs (32bit):  armeabi v7a  armeabi 
ABIs (64bit):  arm64 v8a 
System language: en
In App Language: en
Mode: auto
Thanks 
 Sent from my Phone using  FastHub (https:  play google com store apps details id com fastaccess github) </t>
  </si>
  <si>
    <t>TeamNewPipe-NewPipe-5527</t>
  </si>
  <si>
    <t>Copy link to clipboard is missing in share option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</si>
  <si>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When you click the share button  the option to copy the link in clipboard is not there  In previous newpipe version it was there but not anymore  I have seen the option available on YouTube app  so it s not a problem on my end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Add to clipboard option isn t there _x000D_
_x000D_
    Expected behavior_x000D_
     Tell us what you expect to happen     _x000D_
The option to add link to clipboard should be available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Redmi 8_x000D_
</t>
  </si>
  <si>
    <t>PojavLauncherTeam-PojavLauncher-794</t>
  </si>
  <si>
    <t xml:space="preserve">[BUG] I can't get minecraft to work </t>
  </si>
  <si>
    <t xml:space="preserve">  Describe the bug  _x000D_
A clear and concise description of what the bug is _x000D_
I was gonna test the newest version (3 3 1 1)_x000D_
So i login to my account and downloaded the Minecraft version of (1 7 10) then started  But it crash and showed a popup _x000D_
  To Reproduce  _x000D_
Steps to reproduce the behavior:_x000D_
1  Start PojavLauncher_x000D_
2  Download the version (1 7 10)_x000D_
3  Wait it to downloads _x000D_
   _x000D_
_x000D_
  Expected behavior  _x000D_
I expected it will run Minecraft normally _x000D_
_x000D_
  Screenshots  _x000D_
N A Or soon if needed_x000D_
  Platform:  _x000D_
   Device Model: Samsung Galaxy J2 Pirme_x000D_
   CPU architecture: (aarch32)_x000D_
   Android version: (6 0 1)</t>
  </si>
  <si>
    <t>AOF-Dev-MCinaBox-912</t>
  </si>
  <si>
    <t>Minecraft keeps crashing</t>
  </si>
  <si>
    <t xml:space="preserve">Describe the crash_x000D_
I followed EACH and EVERY steps CAREFULLY_x000D_
_x000D_
To Reproduce_x000D_
Steps to reproduce the crash:_x000D_
_x000D_
Follow every steps_x000D_
Press start button_x000D_
Minecraft launches but in a few seconds it crashes_x000D_
Goes back to MCinaBox and repeat_x000D_
Expected behavior_x000D_
Be able to play with my friends and btw i used version 0 1 4 p 5 and runtime 64_x000D_
_x000D_
Screenshots_x000D_
If applicable  add screenshots to help explain your problem _x000D_
_x000D_
Smartphone (please complete the following information):_x000D_
_x000D_
Device: blu motorola_x000D_
OS: Android 8 0_x000D_
App Version version 0 1 4p5_x000D_
CPU architecture arm64_x000D_
Additional context_x000D_
Add any other context about the problem here </t>
  </si>
  <si>
    <t>AlphaWallet-alpha-wallet-android-1713</t>
  </si>
  <si>
    <t>Speed-up transaction either crashes app or the flow goes into loop</t>
  </si>
  <si>
    <t xml:space="preserve">The speed up transaction does not work as expected  _x000D_
_x000D_
The app crashed the first time I tried to open up speed up transactions _x000D_
_x000D_
The flow is also weird now  The speed up transaction goes on like this:_x000D_
1  Click pending transaction_x000D_
2  Click details button on top right_x000D_
3  Click  Speedup Txn  button_x000D_
4  Cick  settings  button at top right corner (Screen is has a dialogue box saying  Submit replacement txn )_x000D_
    Go backs back to Step 2 _x000D_
  OR  _x000D_
5  Click the blue dialogue box and app crashes_x000D_
_x000D_
_x000D_
  image (https:  user images githubusercontent com 61957841 106688148 ac8fef00 6621 11eb 9020 d22a4ecfcbdf png)_x000D_
_x000D_
Video:_x000D_
https:  drive google com file d 1S9oirBr APSRD1kwHcVDhCgE2LXRC3KT view usp drivesdk_x000D_
</t>
  </si>
  <si>
    <t>iamutkarshtiwari-Ananas-85</t>
  </si>
  <si>
    <t>Issue with filtering black photo</t>
  </si>
  <si>
    <t xml:space="preserve">App crashes while applying any filter to solid black image _x000D_
_x000D_
  Log:   _x000D_
Error: A libc: Fatal signal 11 (SIGSEGV)  code 1 (SEGV MAPERR)  fault addr 0x7e51cf4f44 in tid 10742 (RxComputationTh)  pid 10254 (udapper android)_x000D_
_x000D_
sample photo: https:  upload wikimedia org wikipedia commons thumb c cd Black flag svg 750px Black flag svg png_x000D_
_x000D_
</t>
  </si>
  <si>
    <t>Anuken-Mindustry-4500</t>
  </si>
  <si>
    <t>Bugged map editor</t>
  </si>
  <si>
    <t xml:space="preserve">  Platform  :  Android iOS Mac Windows Linux _x000D_
Windows_x000D_
_x000D_
  Build  :  The build number under the title in the main menu  Required   LATEST  IS NOT A VERSION  I NEED THE EXACT BUILD NUMBER OF YOUR GAME  _x000D_
123 1_x000D_
_x000D_
  Issue  :  Explain your issue in detail  _x000D_
   (https:  cdn discordapp com attachments 391020510269669378 806197920146784327 unknown png)_x000D_
Team marker broken:_x000D_
   (https:  cdn discordapp com attachments 391020510269669378 806198187504697424 unknown png)_x000D_
Size of the core looks 1x1 because i could place anything in it except in the middle (example with boulders):_x000D_
   (https:  cdn discordapp com attachments 391020510269669378 806198387959398410 unknown png)_x000D_
_x000D_
  Steps to reproduce  :  How you happened across the issue  and what exactly you did to make the bug happen  _x000D_
1  set editor size to 1x1 (possible with mod DeltaNedas cliff)_x000D_
2  place a core_x000D_
3  set map size to 5x5_x000D_
_x000D_
  Link(s) to mod(s) used  :  The mod repositories or zip files that are related to the issue  if applicable  _x000D_
DeltaNedas cliff v1 1 0_x000D_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not in game (editor)_x000D_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not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</si>
  <si>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morenoh149-react-native-contacts-590</t>
  </si>
  <si>
    <t>App crashing for android for react native contacts</t>
  </si>
  <si>
    <t xml:space="preserve"> i followed all the steps for android  according to the docs i had to add_x000D_
   _x000D_
 Override_x000D_
protected List ReactPackage  getPackages()  _x000D_
    return Arrays  ReactPackage asList(_x000D_
            new MainReactPackage() _x000D_
            new ReactNativeContacts())             add this _x000D_
   _x000D_
   _x000D_
But this gave an error while building that this  method does not override or implement a method from a supertype  i removed the  override keyword and the app is building but crashes on startup  I added the permission in manifest too  _x000D_
I have very little android background  Any help would be appreciated _x000D_
_x000D_
p s i also had to import _x000D_
import java util List _x000D_
import java util Arrays _x000D_
to make this work </t>
  </si>
  <si>
    <t>Anuken-Mindustry-4496</t>
  </si>
  <si>
    <t>Anane</t>
  </si>
  <si>
    <t xml:space="preserve">  Platform  :  Android iOS Mac Windows Linux 
  Build  :  The build number under the title in the main menu  Required   LATEST  IS NOT A VERSION  I NEED THE EXACT BUILD NUMBER OF YOUR GAME  
  Issue  :  Explain your issue in detail  
  Steps to reproduce  :  How you happened across the issue  and what exactly you did to make the bug happen  
  Link(s) to mod(s) used  :  The mod repositories or zip files that are related to the issue  if applicable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Place an X (no spaces) between the brackets to confirm that you have read the line below    
   x    I have updated to the latest release (https:  github com Anuken Mindustry releases) to make sure my issue has not been fixed   
        I have searched the closed and open issues to make sure that this problem has not already been reported   
</t>
  </si>
  <si>
    <t>Anuken-Mindustry-4495</t>
  </si>
  <si>
    <t>About to lose two days worth of progress</t>
  </si>
  <si>
    <t xml:space="preserve">  Platform  : Windows_x000D_
_x000D_
  Build  : 123 1_x000D_
_x000D_
  Issue  : Exported the game  tried to import to see if everything is ok since my recent luck with this game and says it can t  made another export  tried to import it  gives me an error _x000D_
_x000D_
  Steps to reproduce  :_x000D_
 1  export save1_x000D_
 2  import save1_x000D_
 3  problem happened  _x000D_
 4  4  export save 2_x000D_
 5  try to import save 2 _x000D_
 6  another problem happened_x000D_
_x000D_
  Link(s) to mod(s) used  : Hackustry by QmelZ https:  github com QmelZ Hackustry (was disabled)_x000D_
_x000D_
  Save file  : _x000D_
 progress zip (https:  github com Anuken Mindustry files 5907355 progress zip)   (Save number 1)  _x000D_
_x000D_
 progression zip (https:  github com Anuken Mindustry files 5907354 progression zip)    (Save number 2)  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</si>
  <si>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TeamNewPipe-NewPipe-5524</t>
  </si>
  <si>
    <t>back button causes videos to block</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</si>
  <si>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Play a video_x000D_
2  Go to suggested videos and play one of these videos_x000D_
3  Tap back( or go back) to previous video ( either with android gestures or back button in navigation bar)_x000D_
4  You will see that previous video doesn t load and doesn t play  To solve this you have to close the player and re open it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When you tap back from a video to a previous  previous video is stuck and doesn t play  _x000D_
_x000D_
_x000D_
_x000D_
    Expected behavior_x000D_
 Tapping back from a video to a previous one should make the previous video playable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OxygenOs_x000D_
   Device model: Oneplus 6t_x000D_
</t>
  </si>
  <si>
    <t>cgeo-cgeo-9937</t>
  </si>
  <si>
    <t>old backups can no longer be restored</t>
  </si>
  <si>
    <t xml:space="preserve">Due to  9902 old backups can no longer be restored  The reason is that these backups don t have the extentionsDB upgrade _x000D_
_x000D_
Therefore  it fails with  E SQLiteLog: (1) no such column: long3   No crash  it simply happens nothing  </t>
  </si>
  <si>
    <t>cgeo-cgeo-9936</t>
  </si>
  <si>
    <t>Crash on moving files when changing base dir</t>
  </si>
  <si>
    <t xml:space="preserve">  Describe the bug:  _x000D_
I tried to move the base dir via  settings   system  but after granting access to the folder  no progress dialog appeared  The granting access window was still visible  and I saw how the dirs where created  Then the screen turns black and an ANR popped up  Then c:geo crashed and the main activity was visible again   _x000D_
_x000D_
  Version of c:geo used:  _x000D_
  2021 02 01 58cd69b developer build_x000D_
  Android 10 (emulator)_x000D_
_x000D_
  Log:  _x000D_
   _x000D_
I ToolbarWidgetWrapper: Progress display unsupported_x000D_
D EGL emulation: eglMakeCurrent: 0xe42c2e00: ver 3 0 (tinfo 0xc46f9920)_x000D_
D EGL emulation: eglMakeCurrent: 0xe42c2e00: ver 3 0 (tinfo 0xc46f9920)_x000D_
D LeakCanary: Watching instance of androidx fragment app FragmentManagerViewModel (androidx fragment app FragmentManagerViewModel received ViewModel onCleared() callback) with key ada4e66b 2b77 40fb 8c4e b01bcdba0053_x000D_
D LeakCanary: Watching instance of leakcanary internal ViewModelClearedWatcher (leakcanary internal ViewModelClearedWatcher received ViewModel onCleared() callback) with key 21fec459 bfb4 4845 96ff f190559f1ea1_x000D_
D LeakCanary: Watching instance of androidx lifecycle ReportFragment (androidx lifecycle ReportFragment received Fragment onDestroy() callback) with key 17d376a8 8e08 4a03 826a c7c35f837dd4_x000D_
D LeakCanary: Watching instance of cgeo geocaching files SimpleDirChooser (cgeo geocaching files SimpleDirChooser received Activity onDestroy() callback) with key 0f31356c 0fa7 4073 a204 0fcbd18f9568_x000D_
D LeakCanary: Watching instance of com android internal policy DecorView (com android internal policy DecorView received View onDetachedFromWindow() callback) with key 5f819b70 d5fa 4ade a909 fb9544296be3_x000D_
D EGL emulation: eglMakeCurrent: 0xe42c2e00: ver 3 0 (tinfo 0xc46f9920)_x000D_
D LeakCanary: Watching instance of cgeo geocaching settings SettingsActivity (cgeo geocaching settings SettingsActivity received Activity onDestroy() callback) with key a0feae53 9fce 4430 a69a 364e44017d6b_x000D_
D LeakCanary: Watching instance of com android internal policy DecorView (com android internal policy DecorView received View onDetachedFromWindow() callback) with key fafd8a34 93bc 4bf2 b9b4 4c273382e4ff_x000D_
D EGL emulation: eglMakeCurrent: 0xe42c2e00: ver 3 0 (tinfo 0xc46f9920)_x000D_
D EGL emulation: eglMakeCurrent: 0xe42c2e00: ver 3 0 (tinfo 0xc46f9920)_x000D_
D EGL emulation: eglMakeCurrent: 0xe42c2e00: ver 3 0 (tinfo 0xc46f9920)_x000D_
I chatty: uid 10134(cgeo geocaching) RenderThread identical 21 lines_x000D_
D EGL emulation: eglMakeCurrent: 0xe42c2e00: ver 3 0 (tinfo 0xc46f9920)_x000D_
D EGL emulation: eglMakeCurrent: 0xe42c2e00: ver 3 0 (tinfo 0xc46f9920)_x000D_
D EGL emulation: eglMakeCurrent: 0xe42c2e00: ver 3 0 (tinfo 0xc46f9920)_x000D_
W ActivityThread: handleWindowVisibility: no activity for token android os BinderProxy d4c8808_x000D_
W cgeo:  main  No Google API key available _x000D_
W cgeo:  main  No Google API key available _x000D_
D EGL emulation: eglMakeCurrent: 0xe42c2e00: ver 3 0 (tinfo 0xc46f9920)_x000D_
D EGL emulation: eglMakeCurrent: 0xe42c2e00: ver 3 0 (tinfo 0xc46f9920)_x000D_
D LeakCanary: Watching instance of android widget PopupWindow PopupDecorView (android widget PopupWindow PopupDecorView received View onDetachedFromWindow() callback) with key e854f331 7e03 4c5c 98c0 ac9461281b65_x000D_
D EGL emulation: eglMakeCurrent: 0xe42c2e00: ver 3 0 (tinfo 0xc46f9920)_x000D_
I cgeo geocachin: Explicit concurrent copying GC freed 25094(1211KB) AllocSpace objects  3(60KB) LOS objects  49  free  4738KB 9477KB  paused 1 803ms total 94 119ms_x000D_
I cgeo geocachin: WaitForGcToComplete blocked NativeAlloc on HeapTrim for 88 945ms_x000D_
D LeakCanary: Found 2 objects retained  not dumping heap yet (app is visible     5 threshold)_x000D_
I cgeo geocachin: Explicit concurrent copying GC freed 12061(672KB) AllocSpace objects  3(60KB) LOS objects  49  free  4534KB 9069KB  paused 784us total 87 290ms_x000D_
I cgeo geocachin: Explicit concurrent copying GC freed 2194(177KB) AllocSpace objects  0(0B) LOS objects  49  free  4466KB 8932KB  paused 388us total 18 306ms_x000D_
D eglCodecCommon: allocate: Ask for block of size 0x8d0000_x000D_
    allocate: ioctl allocate returned offset 0x3fef34000 size 0x8d1000_x000D_
I cgeo geocachin: Explicit concurrent copying GC freed 8009(511KB) AllocSpace objects  1(20KB) LOS objects  49  free  4732KB 9465KB  paused 391us total 46 341ms_x000D_
I cgeo geocachin: Explicit concurrent copying GC freed 1501(175KB) AllocSpace objects  0(0B) LOS objects  49  free  4713KB 9427KB  paused 436us total 56 076ms_x000D_
I cgeo geocachin: Explicit concurrent copying GC freed 1435(162KB) AllocSpace objects  0(0B) LOS objects  49  free  4783KB 9567KB  paused 664us total 29 965ms_x000D_
D LeakCanary: Watching instance of com android internal policy DecorView (com android internal policy DecorView received View onDetachedFromWindow() callback) with key 9610b79b 1d15 4d73 92bf 9492de400d3a_x000D_
I cgeo geocachin: Explicit concurrent copying GC freed 1205(189KB) AllocSpace objects  0(0B) LOS objects  24  free  4804KB 6405KB  paused 750us total 23 296ms_x000D_
I cgeo geocachin: Explicit concurrent copying GC freed 6860(389KB) AllocSpace objects  0(0B) LOS objects  24  free  4510KB 6014KB  paused 965us total 32 402ms_x000D_
I cgeo geocachin: Explicit concurrent copying GC freed 471(121KB) AllocSpace objects  0(0B) LOS objects  24  free  4501KB 6002KB  paused 370us total 17 670ms_x000D_
I cgeo geocachin: Explicit concurrent copying GC freed 47(96KB) AllocSpace objects  0(0B) LOS objects  24  free  4501KB 6001KB  paused 806us total 31 391ms_x000D_
D LeakCanary: Removing 1 heap dumps_x000D_
I cgeo geocachin: hprof: heap dump   storage emulated 0 Download leakcanary cgeo geocaching 2021 02 01 11 36 18 757 hprof  starting   _x000D_
I cgeo geocachin: hprof: heap dump completed (19MB) in 2 098s objects 330748 objects with stack traces 0_x000D_
I cgeo geocachin: Thread 6 tid 14199 WaitingInMainSignalCatcherLoop Thread  0xdc220800 peer 0x13100348  Signal Catcher  : reacting to signal 3_x000D_
I cgeo geocachin: Wrote stack traces to tombstoned_x000D_
I Choreographer: Skipped 1747 frames   The application may be doing too much work on its main thread _x000D_
D LeakCanary: Analysis in progress  working on: PARSING HEAP DUMP_x000D_
W cgeo geocachin: Accessing hidden field Landroid app ActivityThread   mServices:Landroid util ArrayMap  (greylist  reflection  allowed)_x000D_
D LeakCanary: Watching instance of leakcanary internal HeapAnalyzerService (leakcanary internal HeapAnalyzerService received Service onDestroy() callback) with key 25ee0a24 2f82 491c 936e dc5dc15f1510_x000D_
D AndroidRuntime: Shutting down VM_x000D_
E AndroidRuntime: FATAL EXCEPTION: main_x000D_
    Process: cgeo geocaching  PID: 14188_x000D_
    android app RemoteServiceException: Context startForegroundService() did not then call Service startForeground(): ServiceRecord 6e5eb90 u0 cgeo geocaching leakcanary internal HeapAnalyzerService _x000D_
        at android app ActivityThread H handleMessage(ActivityThread java:1945)_x000D_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t>
  </si>
  <si>
    <t>AOF-Dev-MCinaBox-906</t>
  </si>
  <si>
    <t>how can i fix this</t>
  </si>
  <si>
    <t>WARNING: linker: Warning:   data data com aof mcinabox files runtime boat j2re image lib aarch64 libzip so  unused DT entry: DT RPATH (type 0xf arg 0x8fd) (ignoring)_x000D_
WARNING: linker: Warning:   data data com aof mcinabox files runtime boat j2re image lib aarch64 libzip so  has unsupported flags DT FLAGS 1 0x81 (ignoring unsupported flags)_x000D_
WARNING: linker: Warning:   data data com aof mcinabox files runtime boat j2re image lib aarch64 libmanagement so  unused DT entry: DT RPATH (type 0xf arg 0x167c) (ignoring)_x000D_
WARNING: linker: Warning:   data data com aof mcinabox files runtime boat j2re image lib aarch64 libmanagement so  has unsupported flags DT FLAGS 1 0x81 (ignoring unsupported flags)_x000D_
 08:55:09   Client thread INFO : Setting user: ZianDaReal_x000D_
 08:55:18   Client thread INFO : LWJGL Version: 2 9 3_x000D_
 08:55:18   Client thread ERROR : Couldn t set pixel format_x000D_
org lwjgl LWJGLException: Could not create EGL context_x000D_
	at org lwjgl opengl BoatContextImplementation nCreate(Native Method)   lwjgl jar:  _x000D_
	at org lwjgl opengl BoatContextImplementation create(BoatContextImplementation java:50)   lwjgl jar:  _x000D_
	at org lwjgl opengl ContextGL  init (ContextGL java:134)   lwjgl jar:  _x000D_
	at org lwjgl opengl Display create(Display java:852)   lwjgl jar:  _x000D_
	at org lwjgl opengl Display create(Display java:759)   lwjgl jar:  _x000D_
	at bib at(SourceFile:622)  1 12 2 jar:  _x000D_
	at bib aq(SourceFile:458)  1 12 2 jar:  _x000D_
	at bib a(SourceFile:404)  1 12 2 jar:  _x000D_
	at net minecraft client main Main main(SourceFile:123)  1 12 2 jar:  _x000D_
     Minecraft Crash Report     _x000D_
   Don t be sad  have a hug   3_x000D_
_x000D_
Time: 2 1 21 8:55 AM_x000D_
Description: Initializing game_x000D_
_x000D_
org lwjgl LWJGLException: Could not create EGL context_x000D_
	at org lwjgl opengl BoatContextImplementation nCreate(Native Method)_x000D_
	at org lwjgl opengl BoatContextImplementation create(BoatContextImplementation java:50)_x000D_
	at org lwjgl opengl ContextGL  init (ContextGL java:134)_x000D_
	at org lwjgl opengl Display create(Display java:852)_x000D_
	at org lwjgl opengl Display create(Display java:759)_x000D_
	at org lwjgl opengl Display create(Display java:741)_x000D_
	at bib at(SourceFile:635)_x000D_
	at bib aq(SourceFile:458)_x000D_
	at bib a(SourceFile:404)_x000D_
	at net minecraft client main Main main(SourceFile:123)_x000D_
_x000D_
_x000D_
A detailed walkthrough of the error  its code path and all known details is as follows:_x000D_
                                                                                       _x000D_
_x000D_
   Head   _x000D_
Thread: Client thread_x000D_
Stacktrace:_x000D_
	at org lwjgl opengl BoatContextImplementation nCreate(Native Method)_x000D_
	at org lwjgl opengl BoatContextImplementation create(BoatContextImplementation java:50)_x000D_
	at org lwjgl opengl ContextGL  init (ContextGL java:134)_x000D_
	at org lwjgl opengl Display create(Display java:852)_x000D_
	at org lwjgl opengl Display create(Display java:759)_x000D_
	at org lwjgl opengl Display create(Display java:741)_x000D_
	at bib at(SourceFile:635)_x000D_
	at bib aq(SourceFile:458)_x000D_
_x000D_
   Initialization   _x000D_
Details:_x000D_
Stacktrace:_x000D_
	at bib a(SourceFile:404)_x000D_
	at net minecraft client main Main main(SourceFile:123)_x000D_
_x000D_
   System Details   _x000D_
Details:_x000D_
	Minecraft Version: 1 12 2_x000D_
	Operating System: Linux (aarch64) version 4 9 117 _x000D_
	Java Version: 1 8 0 internal  Oracle Corporation_x000D_
	Java VM Version: OpenJDK 64 Bit Server VM (mixed mode)  Oracle Corporation_x000D_
	Memory: 115234032 bytes (109 MB)   201326592 bytes (192 MB) up to 239075328 bytes (228 MB)_x000D_
	JVM Flags: 2 total   Xmx256m  Xms128m_x000D_
	IntCache: cache: 0  tcache: 0  allocated: 0  tallocated: 0_x000D_
	Launched Version: MCinaBox 0 1 4 p5_x000D_
	LWJGL: 2 9 3_x000D_
	OpenGL:   ERROR   RuntimeException: No OpenGL context found in the current thread _x000D_
	GL Caps: _x000D_
	Using VBOs: Yes_x000D_
	Is Modded: Probably not  Jar signature remains and client brand is untouched _x000D_
	Type: Client (map client txt)_x000D_
	Resource Packs: _x000D_
	Current Language:   ERROR   NullPointerException: null_x000D_
	Profiler Position: N A (disabled)_x000D_
	CPU:  unknown _x000D_
      Game crashed  Crash report saved to:        storage emulated 0 MCinaBox gamedir crash reports crash 2021 02 01 08 55 19 client txt_x000D_
LIBGL: Initialising gl4es_x000D_
LIBGL: v1 1 2 built on Sep 26 2020 17:35:03_x000D_
LIBGL: Using GLES 2 0 backend_x000D_
LIBGL: loaded: libGLESv2 so_x000D_
LIBGL: loaded: libEGL so_x000D_
LIBGL: Using GLES 2 0 backend_x000D_
LIBGL: Hardware Full NPOT detected and used_x000D_
LIBGL: Extension GL EXT blend minmax detected and used_x000D_
LIBGL: FBO are in core  and so used_x000D_
LIBGL: PointSprite are in core  and so used_x000D_
LIBGL: CubeMap are in core  and so used_x000D_
LIBGL: BlendColor is in core  and so used_x000D_
LIBGL: Blend Substract is in core  and so used_x000D_
LIBGL: Blend Function and Equation Separation is in core  and so used_x000D_
LIBGL: Texture Mirrored Repeat is in core  and so used_x000D_
LIBGL: Extension GL OES mapbuffer detected_x000D_
LIBGL: Extension GL OES element index uint detected and used_x000D_
LIBGL: Extension GL OES packed depth stencil detected and used_x000D_
LIBGL: Extension GL OES depth24 detected and used_x000D_
LIBGL: Extension GL OES rgb8 rgba8 detected and used_x000D_
LIBGL: Extension GL EXT multi draw arrays detected_x000D_
LIBGL: Extension GL EXT texture format BGRA8888 detected and used_x000D_
LIBGL: Extension GL OES depth texture detected and used_x000D_
LIBGL: Extension GL OES texture stencil8 detected and used_x000D_
LIBGL: Extension GL EXT texture rg detected and used_x000D_
LIBGL: Extension GL OES texture float detected and used_x000D_
LIBGL: Extension GL OES texture half float detected and used_x000D_
LIBGL: Extension GL EXT color buffer float detected and used_x000D_
LIBGL: Extension GL EXT color buffer half float detected and used_x000D_
LIBGL: Extension GL OES fragment precision high detected and used_x000D_
LIBGL: Max vertex attrib: 16_x000D_
LIBGL: Extension GL OES standard derivatives detected and used_x000D_
LIBGL: Extension GL OES get program detected and used_x000D_
LIBGL: Number of supported Program Binary Format: 1_x000D_
LIBGL: Max texture size: 4096_x000D_
LIBGL: Max Varying Vector: 15_x000D_
LIBGL: Texture Units: 8(8)  Max lights: 8  Max planes: 6_x000D_
LIBGL: Extension GL EXT texture filter anisotropic detected and used_x000D_
LIBGL: Max Anisotropic filtering: 2_x000D_
LIBGL: Hardware vendor is Imagination Technologies_x000D_
LIBGL: ignore MipMap_x000D_
LIBGL: Targeting OpenGL 2 0_x000D_
LIBGL: Not trying to batch small subsequent glDrawXXXX_x000D_
LIBGL: try to use VBO_x000D_
LIBGL: FBO workaround for using binded texture enabled_x000D_
LIBGL: glX Will try to recycle EGL Surface_x000D_
LIBGL: Current folder is: _x000D_
_x000D_
_x000D_
when i start minecraft it crashes_x000D_
_x000D_
the version that im runing is 1 12 2 btw</t>
  </si>
  <si>
    <t>TeamNewPipe-NewPipe-5521</t>
  </si>
  <si>
    <t>Can't play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</si>
  <si>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 don t know why but when i try to play a video  the app returns me this error and i can t see the video  This happens with all the videos on YouTube_x000D_
_x000D_
   Exception_x000D_
    User Action:   requested stream_x000D_
    Request:   https:  www youtube com watch v c3RXyeEdKvo_x000D_
    Content Country:   IT_x000D_
    Content Language:   it_x000D_
    App Language:   it IT_x000D_
    Service:   YouTube_x000D_
    Version:   0 20 1_x000D_
    OS:   Linux Android 11   30_x000D_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details _x000D_
 hr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</si>
  <si>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Anuken-Mindustry-4491</t>
  </si>
  <si>
    <t>Anuken</t>
  </si>
  <si>
    <t xml:space="preserve">  Platform  :  Android iOS Mac Windows Linux 
  Build  :  The build number under the title in the main menu  Required   LATEST  IS NOT A VERSION  I NEED THE EXACT BUILD NUMBER OF YOUR GAME  
  Issue  :  Explain your issue in detail  
  Steps to reproduce  :  How you happened across the issue  and what exactly you did to make the bug happen  
  Link(s) to mod(s) used  :  The mod repositories or zip files that are related to the issue  if applicable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</si>
  <si>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nextcloud-android-7911</t>
  </si>
  <si>
    <t>Sporadic SQLiteBlobTooBigException on mobile</t>
  </si>
  <si>
    <t xml:space="preserve">    Steps to reproduce_x000D_
1  Delete large directory using mobile app_x000D_
2  Wait for job to complete (it crashed on me with a timed out error)_x000D_
3  Close app and try to re open_x000D_
_x000D_
    Expected behaviour_x000D_
_x000D_
App re opens correctly_x000D_
_x000D_
    Actual behaviour_x000D_
The server is able to delete the directory  but for some reason I m unable to re open the app  It keeps mentioning some large exception is causing problems_x000D_
_x000D_
    Can you reproduce this problem on https:  try nextcloud com _x000D_
  Please create a test demo account and see if this still happens there _x000D_
  If yes  please open up a bug report_x000D_
  If not  please verify server setup and ask for help on forum_x000D_
_x000D_
I can try  am I allowed to upload large amounts of data to the server to test these timeouts _x000D_
_x000D_
   _x000D_
             CAUSE OF ERROR             _x000D_
_x000D_
android database sqlite SQLiteBlobTooBigException: Row too big to fit into CursorWindow requiredPos 5181  totalRows 3240_x000D_
	at android database sqlite SQLiteConnection nativeExecuteForCursorWindow(Native Method)_x000D_
	at android database sqlite SQLiteConnection executeForCursorWindow(SQLiteConnection java:948)_x000D_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java:672)_x000D_
	at android content ContentProvider applyBatch(ContentProvider java:2117)_x000D_
	at android content ContentProvider Transport applyBatch(ContentProvider java:371)_x000D_
	at android content ContentProviderClient applyBatch(ContentProviderClient java:532)_x000D_
	at android content ContentProviderClient applyBatch(ContentProviderClient java:520)_x000D_
	at android content ContentResolver applyBatch(ContentResolver java:1878)_x000D_
	at com owncloud android datamodel FileDataStorageManager saveFolder(FileDataStorageManager java:438)_x000D_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java:919)_x000D_
_x000D_
             APP INFORMATION             _x000D_
ID: com nextcloud client_x000D_
Version: 30140390_x000D_
Build flavor: gplay_x000D_
_x000D_
             DEVICE INFORMATION             _x000D_
Brand: Sony_x000D_
Device: J9210_x000D_
Model: J9210_x000D_
Id: 55 1 A 12 28_x000D_
Product: J9210 EEA_x000D_
_x000D_
             FIRMWARE             _x000D_
SDK: 29_x000D_
Release: 10_x000D_
Incremental: 055001A012002800442216154_x000D_
   </t>
  </si>
  <si>
    <t>TeamNewPipe-NewPipe-5520</t>
  </si>
  <si>
    <t>Searching yields no results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</si>
  <si>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search _x000D_
_x000D_
     If you can t cause the bug to show up again reliably (and hence don t have a proper set of steps to give us)  please still try to give as many details as possible on how you think you encountered the bug     _x000D_
_x000D_
_x000D_
_x000D_
    Actual behaviour_x000D_
whenever I used to search bar nothing comes up  it just says no results regardless of what I look for  _x000D_
_x000D_
_x000D_
_x000D_
    Expected behavior_x000D_
 show what I am looking for in the search bar_x000D_
  Screenshot 20210201 005134 (https:  user images githubusercontent com 78338675 106420198 1f357a80 6428 11eb 9da7 68393aab86f5 png)_x000D_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build 58 0 A 28 51_x000D_
   Device model: sony xperia 5 II XQ AS62_x000D_
</t>
  </si>
  <si>
    <t>material-components-material-components-android-2021</t>
  </si>
  <si>
    <t>[transition] strictmode.LeakedClosableViolation on Android 11</t>
  </si>
  <si>
    <t xml:space="preserve">  Description:  _x000D_
 When Strict Mode   detectLeakedClosableObjects()  is enabled   when doing a shared element transition using the Material Transition library  it is observed that after a few trials it crashes on Android 11 devices_x000D_
_x000D_
  Expected behavior:   _x000D_
No crash even after doing the Shared Element Transition many times _x000D_
_x000D_
_x000D_
  Steps to reproduce:   _x000D_
This can be reproduced by adding _x000D_
_x000D_
 _x000D_
 StrictMode setThreadPolicy(StrictMode ThreadPolicy Builder()_x000D_
               detectAll()_x000D_
               penaltyLog()_x000D_
               build())_x000D_
 _x000D_
 _x000D_
StrictMode setVmPolicy(StrictMode VmPolicy Builder()_x000D_
               detectLeakedSqlLiteObjects()_x000D_
               detectLeakedClosableObjects()_x000D_
               penaltyLog()_x000D_
               penaltyDeath()_x000D_
               build())_x000D_
 _x000D_
_x000D_
to the DisneyApplication onCreate  for example in the  Disney Motions demonstration of the Material Transitions  (https:  github com skydoves DisneyMotions)_x000D_
_x000D_
And then after running the app  open and close a Disney card multiple times on an android 11 device until it crashes  We have been noticing a crash after about every 15 16 times _x000D_
_x000D_
  Stacktrace:  _x000D_
 _x000D_
D StrictMode: StrictMode policy violation: android os strictmode LeakedClosableViolation: A resource was acquired at attached stack trace but never released  See java io Closeable for information on avoiding resource leaks  Callsite: readFromParcel_x000D_
        at android os StrictMode AndroidCloseGuardReporter report(StrictMode java:1929)_x000D_
        at dalvik system CloseGuard warnIfOpen(CloseGuard java:305)_x000D_
        at android view SurfaceControl finalize(SurfaceControl java:1104)_x000D_
        at java lang Daemons FinalizerDaemon doFinalize(Daemons java:291)_x000D_
        at java lang Daemons FinalizerDaemon runInternal(Daemons java:278)_x000D_
        at java lang Daemons Daemon run(Daemons java:139)_x000D_
        at java lang Thread run(Thread java:923)_x000D_
 </t>
  </si>
  <si>
    <t>Anuken-Mindustry-4486</t>
  </si>
  <si>
    <t>coredatbase flikering</t>
  </si>
  <si>
    <t xml:space="preserve">  Platform  :  Android iOS Mac Windows Linux  any_x000D_
_x000D_
  Build  :  The build number under the title in the main menu  Required   LATEST  IS NOT A VERSION  I NEED THE EXACT BUILD NUMBER OF YOUR GAME  123 1_x000D_
_x000D_
  Issue  :  Explain your issue in detail   when you open core database near the frontline (top of map) it flickers _x000D_
  image (https:  user images githubusercontent com 73048252 106399632 bbcb2e80 63ce 11eb 9d9d c33e5641bc20 png)_x000D_
  image (https:  user images githubusercontent com 73048252 106399634 bcfc5b80 63ce 11eb 9c27 82ebb7ae9dac png)_x000D_
_x000D_
_x000D_
_x000D_
_x000D_
  Steps to reproduce  :  How you happened across the issue  and what exactly you did to make the bug happen   opening coredata base at the frontline defense (multiplayer) also may need corvus to fire  not sure_x000D_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bug msav zip (https:  github com Anuken Mindustry files 5900793 bug msav zip)_x000D_
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</si>
  <si>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NightscoutFoundation-xDrip-1630</t>
  </si>
  <si>
    <t>NewRelic Crash Reporting is buggy and causes frequent app restarts</t>
  </si>
  <si>
    <t xml:space="preserve">Commit c6c289d changed the crash reporting from Fabric to NewRelic  _x000D_
_x000D_
Unfortunately  this causes frequent app restarts on various devices and Android versions (see  1629 for instance)  increases battery consumption and produces the following error in the log:_x000D_
_x000D_
  image (https:  user images githubusercontent com 1370732 106398811 46368100 6415 11eb 9b62 2d35a277986d png)_x000D_
_x000D_
Logcat shows restart of the whole app and tries to recreate the database tables frequently  Rarely the following is logged:_x000D_
_x000D_
   _x000D_
2021 01 31 00:40:33 841 28471 28471 com eveningoutpost dexdrip I FirebaseInitProvider: FirebaseApp initialization successful_x000D_
2021 01 31 00:40:35 166 28471 28471 com eveningoutpost dexdrip E xdrip java: java lang NullPointerException: Attempt to invoke virtual method  void com newrelic agent android harvest HarvestTimer setPeriod(long)  on a null object reference_x000D_
2021 01 31 00:40:37 206 28471 28471 com eveningoutpost dexdrip E SQLiteLog: (1) duplicate column name: dg mgdl_x000D_
   </t>
  </si>
  <si>
    <t>Anuken-Mindustry-4483</t>
  </si>
  <si>
    <t>Generation filter choices not on screen</t>
  </si>
  <si>
    <t xml:space="preserve">  Platform  :  Android _x000D_
_x000D_
  Build  :  123 _x000D_
_x000D_
  Issue  :  The top filters in the Map Info   Generation   Add    menu can not be seen except for the bottom outline  and the filter list cannot be scrolled either  _x000D_
_x000D_
  Steps to reproduce  :  Just open that menu  _x000D_
_x000D_
  Link(s) to mod(s) used  :  No mods used  _x000D_
_x000D_
  Save file  :  Not an in game bug  _x000D_
_x000D_
  (Crash) logs  :  No crashes happened  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</si>
  <si>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Anuken-Mindustry-4482</t>
  </si>
  <si>
    <t>link with processors not overwrite</t>
  </si>
  <si>
    <t xml:space="preserve">  Platform  :   Windows  _x000D_
_x000D_
  Build  :   Steam build 123 1  _x000D_
_x000D_
  Issue  :  Explain your issue in detail  _x000D_
_x000D_
when you replace a gun that was connected via logic procesors and replace it it conserv it link name_x000D_
_x000D_
  Steps to reproduce  :  How you happened across the issue  and what exactly you did to make the bug happen  _x000D_
_x000D_
specters in a 8x8 formation_x000D_
conect every specter to a hyperprocesor_x000D_
replace the specters with meltdowns withouth deleting them first_x000D_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Bug map zip (https:  github com Anuken Mindustry files 5900306 Bug map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</si>
  <si>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mtotschnig-MyExpenses-744</t>
  </si>
  <si>
    <t>PlannerFragment crashes when stopped if open instances are selected</t>
  </si>
  <si>
    <t xml:space="preserve">On  Templates and Plans  screen select Planner from Menu _x000D_
Long tap on an open instance (which marks it as selected) _x000D_
Put app into background by navigating to other app _x000D_
MyExpenses crashes with _x000D_
   _x000D_
Fatal Exception: java lang RuntimeException: Parcelable encountered IOException writing serializable object (name   java util HashSet)_x000D_
       at android os Parcel writeSerializable(Parcel java:1786)_x000D_
       at android os Parcel writeValue(Parcel java:1734)_x000D_
       at android os Parcel writeArrayMapInternal(Parcel java:801)_x000D_
       at android os BaseBundle writeToParcelInner(BaseBundle java:1506)_x000D_
       at android os Bundle writeToParcel(Bundle java:1181)_x000D_
       at android os Parcel writeBundle(Parcel java:841)_x000D_
       at androidx fragment app FragmentState writeToParcel(FragmentState java:127)_x000D_
       at android os Parcel writeTypedObject(Parcel java:1588)_x000D_
       at android os Parcel writeTypedList(Parcel java:1321)_x000D_
       at android os Parcel writeTypedList(Parcel java:1306)_x000D_
       at androidx fragment app FragmentManagerState writeToParcel(FragmentManagerState java:51)_x000D_
       at android os Parcel writeParcelable(Parcel java:1755)_x000D_
       at android os Parcel writeValue(Parcel java:1661)_x000D_
       at android os Parcel writeArrayMapInternal(Parcel java:801)_x000D_
       at android os BaseBundle writeToParcelInner(BaseBundle java:1506)_x000D_
       at android os Bundle writeToParcel(Bundle java:1181)_x000D_
       at android os Parcel writeBundle(Parcel java:841)_x000D_
       at androidx fragment app FragmentState writeToParcel(FragmentState java:127)_x000D_
       at android os Parcel writeTypedObject(Parcel java:1588)_x000D_
       at android os Parcel writeTypedList(Parcel java:1321)_x000D_
       at android os Parcel writeTypedList(Parcel java:1306)_x000D_
       at androidx fragment app FragmentManagerState writeToParcel(FragmentManagerState java:51)_x000D_
       at android os Parcel writeParcelable(Parcel java:1755)_x000D_
       at android os Parcel writeValue(Parcel java:1661)_x000D_
       at android os Parcel writeArrayMapInternal(Parcel java:801)_x000D_
       at android os BaseBundle writeToParcelInner(BaseBundle java:1506)_x000D_
       at android os Bundle writeToParcel(Bundle java:1181)_x000D_
       at android app IActivityManager Stub Proxy activityStopped(IActivityManager java:5136)_x000D_
       at android app ActivityThread StopInfo run(ActivityThread java:4148)_x000D_
       at android os Handler handleCallback(Handler java:789)_x000D_
       at android os Handler dispatchMessage(Handler java:98)_x000D_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Caused by java io NotSerializableException: org totschnig myexpenses l n0 q_x000D_
       at java io ObjectOutputStream writeObject0(ObjectOutputStream java:1233)_x000D_
       at java io ObjectOutputStream writeObject(ObjectOutputStream java:347)_x000D_
       at java util HashSet writeObject(HashSet java:287)_x000D_
       at java lang reflect Method invoke(Method java)_x000D_
       at java io ObjectStreamClass invokeWriteObject(ObjectStreamClass java:977)_x000D_
       at java io ObjectOutputStream writeSerialData(ObjectOutputStream java:1545)_x000D_
       at java io ObjectOutputStream writeOrdinaryObject(ObjectOutputStream java:1481)_x000D_
       at java io ObjectOutputStream writeObject0(ObjectOutputStream java:1227)_x000D_
       at java io ObjectOutputStream writeObject(ObjectOutputStream java:347)_x000D_
       at android os Parcel writeSerializable(Parcel java:1781)_x000D_
       at android os Parcel writeValue(Parcel java:1734)_x000D_
       at android os Parcel writeArrayMapInternal(Parcel java:801)_x000D_
       at android os BaseBundle writeToParcelInner(BaseBundle java:1506)_x000D_
       at android os Bundle writeToParcel(Bundle java:1181)_x000D_
       at android os Parcel writeBundle(Parcel java:841)_x000D_
       at androidx fragment app FragmentState writeToParcel(FragmentState java:127)_x000D_
       at android os Parcel writeTypedObject(Parcel java:1588)_x000D_
       at android os Parcel writeTypedList(Parcel java:1321)_x000D_
       at android os Parcel writeTypedList(Parcel java:1306)_x000D_
       at androidx fragment app FragmentManagerState writeToParcel(FragmentManagerState java:51)_x000D_
       at android os Parcel writeParcelable(Parcel java:1755)_x000D_
       at android os Parcel writeValue(Parcel java:1661)_x000D_
       at android os Parcel writeArrayMapInternal(Parcel java:801)_x000D_
       at android os BaseBundle writeToParcelInner(BaseBundle java:1506)_x000D_
       at android os Bundle writeToParcel(Bundle java:1181)_x000D_
       at android os Parcel writeBundle(Parcel java:841)_x000D_
       at androidx fragment app FragmentState writeToParcel(FragmentState java:127)_x000D_
       at android os Parcel writeTypedObject(Parcel java:1588)_x000D_
       at android os Parcel writeTypedList(Parcel java:1321)_x000D_
       at android os Parcel writeTypedList(Parcel java:1306)_x000D_
       at androidx fragment app FragmentManagerState writeToParcel(FragmentManagerState java:51)_x000D_
       at android os Parcel writeParcelable(Parcel java:1755)_x000D_
       at android os Parcel writeValue(Parcel java:1661)_x000D_
       at android os Parcel writeArrayMapInternal(Parcel java:801)_x000D_
       at android os BaseBundle writeToParcelInner(BaseBundle java:1506)_x000D_
       at android os Bundle writeToParcel(Bundle java:1181)_x000D_
       at android app IActivityManager Stub Proxy activityStopped(IActivityManager java:5136)_x000D_
       at android app ActivityThread StopInfo run(ActivityThread java:4148)_x000D_
       at android os Handler handleCallback(Handler java:789)_x000D_
       at android os Handler dispatchMessage(Handler java:98)_x000D_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t>
  </si>
  <si>
    <t>AOF-Dev-MCinaBox-904</t>
  </si>
  <si>
    <t>Minecraft keeps on crashing</t>
  </si>
  <si>
    <t xml:space="preserve">  Describe the crash  _x000D_
I followed EACH and EVERY steps CAREFULLY _x000D_
_x000D_
  To Reproduce  _x000D_
Steps to reproduce the crash:_x000D_
1  Follow every steps_x000D_
2  Press start button_x000D_
3  Minecraft launches but in a few seconds it crashes_x000D_
4  Goes back to MCinaBox and repeat_x000D_
_x000D_
  Expected behavior  _x000D_
Be able to play with my friends and btw i used version 0 1 4 p 5 and runtime 64 _x000D_
_x000D_
  Screenshots  _x000D_
If applicable  add screenshots to help explain your problem _x000D_
_x000D_
  Smartphone (please complete the following information):  _x000D_
   Device: Samsung galaxy note 5_x000D_
   OS: Android 7 0_x000D_
   App Version version 0 1 4_x000D_
   CPU architecture arm64_x000D_
  Additional context  _x000D_
Add any other context about the problem here _x000D_
</t>
  </si>
  <si>
    <t>TeamNewPipe-NewPipe-5517</t>
  </si>
  <si>
    <t>Strange behaviour of "back" button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</si>
  <si>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Watch a video  from one of the available video lists  e g   What s new _x000D_
2  Press the android  Back  button_x000D_
_x000D_
    Actual behaviour_x000D_
_x000D_
Newpipe displays one of the videos that I ve already viewed (perhaps partially)  instead of the video list which I was coming from _x000D_
Generally  if I press  back  several times I get back to the expected list  but this seems to happen by accident  after displaying one or more  old  videos (the last of which remains loaded in the minimized player at the bottom of the screen) _x000D_
_x000D_
    Expected behavior_x000D_
_x000D_
Newpipe should display the video list where I was before viewing the first video  that s the expected behaviour of the  back  button: take me one step back  not to totally unrelated video(s) that I watched in the past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10_x000D_
   Device model: Samsung phone_x000D_
</t>
  </si>
  <si>
    <t>AOF-Dev-MCinaBox-901</t>
  </si>
  <si>
    <t>Game crashes in-middle of playing</t>
  </si>
  <si>
    <t>Game crashes closes everytime in middle of game while using offline account  I selected for the app to set my ram automatically for me (718 mb ram)_x000D_
_x000D_
  Device: Huawei Matepad T10_x000D_
   OS: Android 10_x000D_
   App Version v0 1 4 p5_x000D_
   CPU architecture: aarch64</t>
  </si>
  <si>
    <t>XBigTK13X-snowgloo-27</t>
  </si>
  <si>
    <t>Rebuilding the catalog should also rebuild playlists</t>
  </si>
  <si>
    <t xml:space="preserve">This error happened because a song was in the queue that was deleted from disc  Should add some error handling to queue and playlists so the whole things doesn t crash and die  Maybe remove IDs from playlists if they are missing  or some other way to show the song was deleted _x000D_
_x000D_
   _x000D_
1612061791762   2021 01 30 20:56:31   Util : An error occurred Attempt to read from field  java lang String_x000D_
com simplepathstudios snowgloo api model MusicFile Id  on a null object reference    java lang NullPointerException: Attempt to read from field  java lang String com simplepathstudios snowgloo api model MusicFile Id  on a null object reference at_x000D_
com simplepathstudios snowgloo api model MusicQueue add(MusicQueue java:34) at _x000D_
com simplepathstudios snowgloo api model MusicQueue add(MusicQueue java:30) at _x000D_
com simplepathstudios snowgloo viewmodel ObservableMusicQueue addItems(ObservableMusicQueue java:261) at _x000D_
com simplepathstudios snowgloo fragment PlaylistViewFragment 2 1 onClick(PlaylistViewFragment java:102) at _x000D_
com android internal app AlertController ButtonHandler handleMessage(AlertController java:191) at _x000D_
android os Handler dispatchMessage(Handler java:107) at android os Looper loop(Looper java:237) at _x000D_
android app ActivityThread main(ActivityThread java:8167) at java lang reflect Method invoke(Native Method) at _x000D_
com android internal os RuntimeInit MethodAndArgsCaller run(RuntimeInit java:496) at _x000D_
com android internal os ZygoteInit main(ZygoteInit java:1100) _x000D_
   </t>
  </si>
  <si>
    <t>cgeo-cgeo-9915</t>
  </si>
  <si>
    <t>Crash when opening live map</t>
  </si>
  <si>
    <t xml:space="preserve">  Describe the bug:  _x000D_
Don t know if it s already tracked somewhere  but this crash happened to me in the emulator  No Idea what causes this and after opening the live map again everything was fine   _x000D_
_x000D_
Version: Latest master (2021 01 30 1424046 developer build)_x000D_
_x000D_
   _x000D_
E AndroidRuntime: FATAL EXCEPTION: main_x000D_
    Process: cgeo geocaching  PID: 8277_x000D_
    java lang ClassCastException: java lang Boolean cannot be cast to java lang String_x000D_
        at android app SharedPreferencesImpl getString(SharedPreferencesImpl java:288)_x000D_
        at cgeo geocaching settings Settings getStringDirect(Settings java:311)_x000D_
        at cgeo geocaching settings Settings getString(Settings java:307)_x000D_
        at cgeo geocaching settings Settings getMapSource(Settings java:929)_x000D_
        at cgeo geocaching settings Settings getMapProvider(Settings java:600)_x000D_
        at cgeo geocaching maps DefaultMap getDefaultMapClass(DefaultMap java:19)_x000D_
        at cgeo geocaching maps DefaultMap getLiveMapIntent(DefaultMap java:27)_x000D_
        at cgeo geocaching MainActivity cgeoFindOnMap(MainActivity java:736)_x000D_
        at cgeo geocaching    Lambda JZP rTqVaK4wqIQ2XBHeLI Ss6c onClick(Unknown Source:2)_x000D_
        at android view View performClick(View java:7125)_x000D_
        at android view View performClickInternal(View java:7102)_x000D_
        at android view View access 3500(View java:801)_x000D_
        at android view View PerformClick run(View java:27336)_x000D_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_x000D_
</t>
  </si>
  <si>
    <t>TeamNewPipe-NewPipe-5510</t>
  </si>
  <si>
    <t xml:space="preserve">New install </t>
  </si>
  <si>
    <t xml:space="preserve">_x000D_
   Exception_x000D_
    User Action:   requested stream_x000D_
    Request:   https:  www youtube com watch v OwF7mWqoQg0_x000D_
    Content Country:   GB_x000D_
    Content Language:   en GB_x000D_
    App Language:   en GB_x000D_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</si>
  <si>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Anuken-Mindustry-4475</t>
  </si>
  <si>
    <t>Launching with custom core in campaign crashes the game.</t>
  </si>
  <si>
    <t xml:space="preserve">  Platform  :  Windows _x000D_
_x000D_
  Build  :  123 1_x000D_
_x000D_
  Issue  : When I am launching from any sector to a new sector with custom CORE the game crashes with below error _x000D_
What I can understand looking at the code  the code is scanning for the schema with that custom core but didn t find anything so it crashes  (Maybe I am wrong  : P)_x000D_
_x000D_
java lang IllegalStateException: Array is empty _x000D_
	at arc struct Seq first(Seq java:709)_x000D_
	at mindustry game Universe getLoadout(Universe java:137)_x000D_
	at mindustry ui dialogs LaunchLoadoutDialog show(LaunchLoadoutDialog java:107)_x000D_
	at mindustry ui dialogs PlanetDialog playSelected(PlanetDialog java:833)_x000D_
	at arc scene Element lambda clicked 2(Element java:893)_x000D_
	at arc scene Element 4 clicked(Element java:902)_x000D_
	at arc scene event ClickListener touchUp(ClickListener java:77)_x000D_
	at arc scene event InputListener handle(InputListener java:34)_x000D_
	at arc scene Scene touchUp(Scene java:360)_x000D_
	at arc input InputMultiplexer touchUp(InputMultiplexer java:137)_x000D_
	at arc input InputEventQueue drain(InputEventQueue java:71)_x000D_
	at arc backend sdl SdlInput update(SdlInput java:102)_x000D_
	at arc backend sdl SdlApplication loop(SdlApplication java:143)_x000D_
	at arc backend sdl SdlApplication  init (SdlApplication java:43)_x000D_
	at mindustry desktop DesktopLauncher main(DesktopLauncher java:36)_x000D_
_x000D_
PS: I have other mods also  I tried disabling all and enabling one by one and found the Larger core mods causes the issue _x000D_
_x000D_
  Steps to reproduce  : Launching from one sector to another with custom core _x000D_
_x000D_
  Link(s) to mod(s) used  :  https:  github com z0mbiesrock Larger Cores _x000D_
_x000D_
  Save file  :  _x000D_
 saves zip (https:  github com Anuken Mindustry files 5897810 saves zip)_x000D_
_x000D_
_x000D_
  (Crash) logs  : _x000D_
 crash report 01 30 2021 16 25 24 txt (https:  github com Anuken Mindustry files 5897812 crash report 01 30 2021 16 25 24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</si>
  <si>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TeamNewPipe-NewPipe-5507</t>
  </si>
  <si>
    <t>Clicking YouTube video TimeStamps on Video description and Comment Section shows different behaviour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</si>
  <si>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v0 20 9 RC4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any YouTube video_x000D_
2  Press on Time Stamp   video description_x000D_
3  Press Time Stamp   video comment  (if available)_x000D_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clicking TimeStamp on video description     opens Action Picker_x000D_
clicking TimeStamp on video comment     opens Popup player_x000D_
_x000D_
_x000D_
    Expected behavior_x000D_
     Tell us what you expect to happen     _x000D_
For now  I think it will be good to open Popup player in both cases _x000D_
Because some videos has long description and long comment list _x000D_
(i am telling it  because you( developers ) may have future plan to open timestamp in Main Player but i prefer a popup player_x000D_
for description timestamp also)_x000D_
_x000D_
Also  I like to mention that I know new version of NewPipe now support stream segments  5274 for description based timestamps  _x000D_
But I also prefer to click timestamps available at video description _x000D_
_x000D_
_x000D_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 01 30 10 14 32 (https:  user images githubusercontent com 50160188 106347675 9b28a900 62e8 11eb 9d6d def50ee01580 png)_x000D_
_x000D_
  Screenshot 2021 01 30 10 15 46 (https:  user images githubusercontent com 50160188 106347677 9e239980 62e8 11eb 9b8a 39e0c9c696c1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_x000D_
   Device model:_x000D_
</t>
  </si>
  <si>
    <t>nextcloud-android-7908</t>
  </si>
  <si>
    <t>Android client crash on no longer accessible folder</t>
  </si>
  <si>
    <t xml:space="preserve">    Steps to reproduce_x000D_
1  Directory on Nextcloud Server is no longer accessible _x000D_
2  Android client thinks it s still there and display the folder _x000D_
3  Updating leads to the crash_x000D_
_x000D_
    Expected behaviour_x000D_
  Upon update  the folder should disappear _x000D_
_x000D_
    Actual behaviour_x000D_
  Lovely backtrace_x000D_
_x000D_
    Can you reproduce this problem on https:  try nextcloud com _x000D_
  No_x000D_
_x000D_
    Environment data_x000D_
Android version: 10_x000D_
_x000D_
Device model: Huawei LYA 29 (Mate20Pro) _x000D_
_x000D_
Stock or customized system: Stock _x000D_
_x000D_
Nextcloud app version: 3 14 3_x000D_
_x000D_
Nextcloud server version: 20 0 5_x000D_
_x000D_
Reverse proxy: Nope_x000D_
_x000D_
    Logs_x000D_
_x000D_
             CAUSE OF ERROR             _x000D_
_x000D_
android database sqlite SQLiteBlobTooBigException: Row too big to fit into CursorWindow requiredPos 2803  totalRows 1864_x000D_
	at android database sqlite SQLiteConnection nativeExecuteForCursorWindow(Native Method)_x000D_
	at android database sqlite SQLiteConnection executeForCursorWindow(SQLiteConnection java:986)_x000D_
	at android database sqlite SQLiteSession executeForCursorWindow(SQLiteSession java:858)_x000D_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java:672)_x000D_
	at android content ContentProvider applyBatch(ContentProvider java:2147)_x000D_
	at android content ContentProvider Transport applyBatch(ContentProvider java:387)_x000D_
	at android content ContentProviderClient applyBatch(ContentProviderClient java:532)_x000D_
	at android content ContentProviderClient applyBatch(ContentProviderClient java:520)_x000D_
	at android content ContentResolver applyBatch(ContentResolver java:1894)_x000D_
	at com owncloud android datamodel FileDataStorageManager saveFolder(FileDataStorageManager java:438)_x000D_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java:929)_x000D_
_x000D_
             APP INFORMATION             _x000D_
ID: com nextcloud client_x000D_
Version: 30140390_x000D_
Build flavor: gplay_x000D_
_x000D_
             DEVICE INFORMATION             _x000D_
Brand: HUAWEI_x000D_
Device: HWLYA_x000D_
Model: LYA L29_x000D_
Id: HUAWEILYA L29_x000D_
Product: LYA L29_x000D_
_x000D_
             FIRMWARE             _x000D_
SDK: 29_x000D_
Release: 10_x000D_
Incremental: 10 1 0 289C432_x000D_
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</si>
  <si>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MuntashirAkon-AppManager-255</t>
  </si>
  <si>
    <t>Applying blocking rules fails once if app's component list changed</t>
  </si>
  <si>
    <t xml:space="preserve">  Describe the bug  _x000D_
Applying blocking rules fails on first attempt if component list changed after target app was updated and old blocking rules were applied prior to update _x000D_
_x000D_
  To Reproduce  _x000D_
1  Install old version of Apple Music (I tested with v3 3 0) _x000D_
2  Use  Block trackers  on the app _x000D_
3  Update Apple Music to latest version (v3 4 5) _x000D_
4  a) Use  Block trackers  again  OR b) Toggle blocking of a component _x000D_
5  a)  Could not block trackers  notification appears  OR b) AppManager crashes _x000D_
6  Try blocking again _x000D_
7  Rules apply successfully _x000D_
_x000D_
  Expected behavior  _x000D_
Applying rules succeeds on first attempt after component list changed _x000D_
_x000D_
  Screenshots  _x000D_
None _x000D_
_x000D_
  Crash logs  _x000D_
 Link (https:  del dog ghibinewec txt)_x000D_
_x000D_
  Device info  _x000D_
   Device: Xiaomi Redmi Note 8 Pro_x000D_
   OS Version: Android 11_x000D_
   App Manager Version: v2 5 23 DEBUG (380)_x000D_
   Mode: root_x000D_
_x000D_
  Additional context  _x000D_
This issue was happening constantly for affected apps and was partially fixed  Now it happens only once for every affected app _x000D_
</t>
  </si>
  <si>
    <t>Anuken-Mindustry-4468</t>
  </si>
  <si>
    <t xml:space="preserve">Mindustry crashes </t>
  </si>
  <si>
    <t xml:space="preserve">Platform: Windows Steam_x000D_
_x000D_
Build: Steam Build 123 1_x000D_
_x000D_
Issue: Mindustry crashes (CTD) when placing a schematic in sandbox mode while streaming the game through Discord  _x000D_
Additionally  tested using a slightly smaller schematic (instead of T4 the schematic makes T3 units) that also causes the game to crash _x000D_
_x000D_
Steps to reproduce: Reproduced multiple times using this schematic: https:  steamcommunity com sharedfiles filedetails  id 2377811298_x000D_
_x000D_
1  Open Mindustry_x000D_
2  Stream Mindustry through the Discord desktop application Build:  Stable 75395 (e4061ca)    The symbol that appears above the call disconnect button when in a voice chat channel (Res: 720p   Frame rate 30 s)_x000D_
2  Start a sandbox game   Only confirmed to crash on Fortress and Islands maps_x000D_
3  Place the blueprint above_x000D_
4  Observe the crash_x000D_
_x000D_
  Link(s) to mod(s) used  : None_x000D_
_x000D_
  Save file  : _x000D_
 Crash Save zip (https:  github com Anuken Mindustry files 5896070 Crash Save zip)_x000D_
_x000D_
  (Crash) logs  :  Either crash reports from the crash folder  or the file you get when you go into Settings    Game Data    Export Crash logs  REQUIRED if you are reporting a crash    _x000D_
_x000D_
No crash report found when attempting to export the logs nor was a designated  Crash  folder found in the  steamapps    common    Mindustry  file pathway _x000D_
_x000D_
  No Crash Report Found (https:  user images githubusercontent com 78232668 106321562 737f0580 6242 11eb 8b67 abb1378fb041 PNG)_x000D_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</si>
  <si>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Anuken-Mindustry-4466</t>
  </si>
  <si>
    <t xml:space="preserve">Unloader, Plastanium </t>
  </si>
  <si>
    <t xml:space="preserve">  Platform  :  Android iOS Mac Windows Linux _x000D_
Windows 10 x64 Version 2004_x000D_
  Build  :  The build number under the title in the main menu  Required   LATEST  IS NOT A VERSION  I NEED THE EXACT BUILD NUMBER OF YOUR GAME  _x000D_
Build 123 1_x000D_
_x000D_
  Issue  :  Explain your issue in detail  _x000D_
First saw in  IO multiplayer survival server  Then recreated in a Custom Game  _x000D_
Was making cryofluid using unloader plast conveyor combo  Used Overflow gate to split plastinium conveyor lanes  Split plast lanes did NOT unload into cryofluid makers if they were right NEXT to the overflow gate   _x000D_
_x000D_
  Steps to reproduce  :  How you happened across the issue  and what exactly you did to make the bug happen  _x000D_
See above in issue_x000D_
_x000D_
  Link(s) to mod(s) used  :  The mod repositories or zip files that are related to the issue  if applicable  _x000D_
NONE  Vanilla Mindustry_x000D_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(First time using Github reporting a bug  zipfile is stated to be in crash log area by client)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 crash  logs _x000D_
 BUG REPORT zip (https:  github com Anuken Mindustry files 5894747 BUG REPORT zip)_x000D_
_x000D_
EDITED: I believe it is a bug  because from what I have seen Anuke has directed Mindustry  this does not make sense _x000D_
TLDR  I aint no snek engineer but shit dont make no damn sense_x000D_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</si>
  <si>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TeamNewPipe-NewPipe-5506</t>
  </si>
  <si>
    <t xml:space="preserve">org.schabi.newpipe.extractor.exceptions.ExtractionException: Couldn't get audio streams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</si>
  <si>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Logs_x000D_
     If your bug includes a crash (where you re shown the Error Report page with a bunch of info)  tap on  Copy formatted report  at the bottom and paste it here:    _x000D_
   Exception_x000D_
    User Action:   requested stream_x000D_
    Request:   https:  www youtube com watch v DZCxxxxxxxxxx_x000D_
    Content Country:   IN_x000D_
    Content Language:   en IN_x000D_
    App Language:   en IN_x000D_
    Service:   YouTube_x000D_
    Version:   0 20 8_x000D_
    OS:   Linux Android 10   29_x000D_
 details  summary  b Crash log   b   summary  p _x000D_
_x000D_
   _x000D_
org schabi newpipe extractor exceptions ExtractionException: Couldn t get audio streams_x000D_
	at org schabi newpipe extractor stream StreamInfo extractStreams(StreamInfo java:140)_x000D_
	at org schabi newpipe extractor stream StreamInfo getInfo(StreamInfo java:72)_x000D_
	at org schabi newpipe extractor stream StreamInfo getInfo(StreamInfo java:64)_x000D_
	at org schabi newpipe util ExtractorHelper lambda getStreamInfo 3(ExtractorHelper java:127)_x000D_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exceptions ParsingException: Could not get audio streams_x000D_
	at org schabi newpipe extractor services youtube extractors YoutubeStreamExtractor getAudioStreams(YoutubeStreamExtractor java:524)_x000D_
	at org schabi newpipe extractor stream StreamInfo extractStreams(StreamInfo java:136)_x000D_
	    28 more_x000D_
Caused by: org schabi newpipe extractor services youtube extractors YoutubeStreamExtractor DeobfuscateException: Could not load deobfuscate function_x000D_
	at org schabi newpipe extractor services youtube extractors YoutubeStreamExtractor loadDeobfuscationCode(YoutubeStreamExtractor java:823)_x000D_
	at org schabi newpipe extractor services youtube extractors YoutubeStreamExtractor getDeobfuscationCode(YoutubeStreamExtractor java:849)_x000D_
	at org schabi newpipe extractor services youtube extractors YoutubeStreamExtractor deobfuscateSignature(YoutubeStreamExtractor java:855)_x000D_
	at org schabi newpipe extractor services youtube extractors YoutubeStreamExtractor getItags(YoutubeStreamExtractor java:964)_x000D_
	at org schabi newpipe extractor services youtube extractors YoutubeStreamExtractor getAudioStreams(YoutubeStreamExtractor java:515)_x000D_
	    29 more_x000D_
Caused by: java net SocketTimeoutException: failed to connect to youtube com 172 217 166 14 (port 443) from  10 34 142 214 (port 49071) after 10000ms_x000D_
	at libcore io IoBridge connectErrno(IoBridge java:191)_x000D_
	at libcore io IoBridge connect(IoBridge java:135)_x000D_
	at java net PlainSocketImpl socketConnect(PlainSocketImpl java:142)_x000D_
	at java net AbstractPlainSocketImpl doConnect(AbstractPlainSocketImpl java:390)_x000D_
	at java net AbstractPlainSocketImpl connectToAddress(AbstractPlainSocketImpl java:230)_x000D_
	at java net AbstractPlainSocketImpl connect(AbstractPlainSocketImpl java:212)_x000D_
	at java net SocksSocketImpl connect(SocksSocketImpl java:436)_x000D_
	at java net Socket connect(Socket java:621)_x000D_
	at okhttp3 internal platform AndroidPlatform connectSocket(AndroidPlatform java:73)_x000D_
	at okhttp3 internal connection RealConnection connectSocket(RealConnection java:247)_x000D_
	at okhttp3 internal connection RealConnection connect(RealConnection java:167)_x000D_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org schabi newpipe DownloaderImpl execute(DownloaderImpl java:263)_x000D_
	at org schabi newpipe extractor downloader Downloader get(Downloader java:70)_x000D_
	at org schabi newpipe extractor downloader Downloader get(Downloader java:42)_x000D_
	at org schabi newpipe extractor services youtube extractors YoutubeStreamExtractor loadDeobfuscationCode(YoutubeStreamExtractor java:803)_x000D_
	    33 more_x000D_
_x000D_
   _x000D_
  details _x000D_
 hr </t>
  </si>
  <si>
    <t>TotalCross-totalcross-291</t>
  </si>
  <si>
    <t xml:space="preserve">XML Causing crashes on different instances </t>
  </si>
  <si>
    <t xml:space="preserve">   Describe the bug_x000D_
An issue related to a change on XMLParse(using byte   instead of char  ) is causing crashes on some aplications_x000D_
_x000D_
_x000D_
   Devices:_x000D_
Please complete the following information:_x000D_
   System OS (name and version):Android 10_x000D_
   TotalCross Version: 7 0 1_x000D_
   TotalCross backend:VM_x000D_
   Architecture: ARM64_x000D_
   Device description: Motorola One Fusion_x000D_
 _x000D_
 _x000D_
   To Reproduce_x000D_
on TCSample go to XML  and ReadXML  click to read  and it should show the issue_x000D_
_x000D_
To reproduce using knowcode  just open any application using XML_x000D_
_x000D_
   Screenshots or videos_x000D_
_x000D_
  image (https:  user images githubusercontent com 29692098 106271613 8bd52d00 620e 11eb 8737 6538db835c32 png)_x000D_
Fail on compiling_x000D_
  image (https:  user images githubusercontent com 29692098 106271706 af987300 620e 11eb 9295 deef6c26bd19 png)_x000D_
Exception while using knowcodeXML_x000D_
  image (https:  user images githubusercontent com 29692098 106272172 63016780 620f 11eb 81e7 60b7d63d4c82 png)_x000D_
_x000D_
_x000D_
_x000D_
_x000D_
_x000D_
</t>
  </si>
  <si>
    <t>PojavLauncherTeam-PojavLauncher-751</t>
  </si>
  <si>
    <t>No X11 DISPLAY variable was set, but this program performed an operation which requires it.</t>
  </si>
  <si>
    <t xml:space="preserve">When I use Pojavlauncher to launch Mineceaft1 12 2impact modpack it will crash after appear the interface of  MoJang (it works well on 1 12 2 and forge1 12 2 but now I want to hack a serve and have to use 1 12 2impact)_x000D_
There is the crash report:_x000D_
_x000D_
     Minecraft Crash Report     _x000D_
   Hi  I m Minecraft  and I m a crashaholic _x000D_
_x000D_
Time: 1 28 21 4:13 PM_x000D_
Description: Initializing game_x000D_
_x000D_
java awt HeadlessException: _x000D_
No X11 DISPLAY variable was set  but this program performed an operation which requires it _x000D_
	at java awt GraphicsEnvironment checkHeadless(GraphicsEnvironment java:208)_x000D_
	at java awt Window  init (Window java:536)_x000D_
	at java awt Frame  init (Frame java:420)_x000D_
	at java awt Frame  init (Frame java:385)_x000D_
	at javax swing JFrame  init (JFrame java:189)_x000D_
	at net impactclient 1z  init (1z java:25)_x000D_
	at net impactclient 0rz  init (0rz java:49)_x000D_
	at net impactclient 99  init (99 java:208)_x000D_
	at net impactclient 3V 1(3V java:34)_x000D_
	at net impactclient 0ay 2(0ay java:69)_x000D_
	at net impactclient 4t 0(4t java:5)_x000D_
	at bib handler init zzl000(SourceFile:3114)_x000D_
	at bib aq(SourceFile:583)_x000D_
	at bib a(SourceFile:404)_x000D_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Head   _x000D_
Thread: Client thread_x000D_
Stacktrace:_x000D_
	at java awt GraphicsEnvironment checkHeadless(GraphicsEnvironment java:208)_x000D_
	at java awt Window  init (Window java:536)_x000D_
	at java awt Frame  init (Frame java:420)_x000D_
	at java awt Frame  init (Frame java:385)_x000D_
	at javax swing JFrame  init (JFrame java:189)_x000D_
	at net impactclient 1z  init (1z java:25)_x000D_
	at net impactclient 0rz  init (0rz java:49)_x000D_
	at net impactclient 99  init (99 java:208)_x000D_
	at net impactclient 3V 1(3V java:34)_x000D_
	at net impactclient 0ay 2(0ay java:69)_x000D_
	at net impactclient 4t 0(4t java:5)_x000D_
	at bib handler init zzl000(SourceFile:3114)_x000D_
	at bib aq(SourceFile:583)_x000D_
_x000D_
   Initialization   _x000D_
Details:_x000D_
Stacktrace:_x000D_
	at bib a(SourceFile:404)_x000D_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System Details   _x000D_
Details:_x000D_
	Minecraft Version: 1 12 2_x000D_
	Operating System: Linux (aarch64) version Android 9_x000D_
	Java Version: 1 8 0 internal  Oracle Corporation_x000D_
	Java VM Version: OpenJDK 64 Bit Server VM (mixed mode)  Oracle Corporation_x000D_
	Memory: 1941833016 bytes (1851 MB)   2193096704 bytes (2091 MB) up to 2193096704 bytes (2091 MB)_x000D_
	JVM Flags: 3 total   Xcheck:jni  Xms2182M  Xmx2182M_x000D_
	IntCache: cache: 0  tcache: 0  allocated: 0  tallocated: 0_x000D_
	Launched Version: 1 12 2_x000D_
	LWJGL: 3 2 3 SNAPSHOT_x000D_
	OpenGL: GL4ES wrapper GL version 2 1 gl4es wrapper 1 1 4  ptitSeb_x000D_
	GL Caps: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Yes_x000D_
	Is Modded: Very likely  Jar signature invalidated_x000D_
	Type: Client (map client txt)_x000D_
	Resource Packs: _x000D_
	Current Language: English (US)_x000D_
	Profiler Position: N A (disabled)_x000D_
	CPU: 8x null_x000D_
</t>
  </si>
  <si>
    <t>gluonhq-substrate-867</t>
  </si>
  <si>
    <t>[iOS] Application crashes when using a LaunchScreen storyboard</t>
  </si>
  <si>
    <t xml:space="preserve">I have tried to use a storyboard in a project  so as to replace the black startup screen in the iOS application with a splash image  The storyboard file    LaunchScreen storyboard    is placed under  src ios assets Base lproj   path and is defined for usage in Default Info plist as below:_x000D_
_x000D_
    _x000D_
 key UILaunchStoryboardName  key _x000D_
 string MyLaunchScreen  string _x000D_
 key UIMainStoryboardFile  key _x000D_
 string LaunchScreen  string _x000D_
   _x000D_
_x000D_
    Expected Behavior_x000D_
The app should start showing the LaunchScreen until the main JavaFX Application is loaded _x000D_
_x000D_
    Current Behavior_x000D_
The app crashes as it does not find LaunchScreen storyboard_x000D_
_x000D_
2021 01 27 19:59:50 534703 0200 watchdog client native 382:152972      Terminating app due to uncaught exception  NSInvalidArgumentException   reason:    Could not find a storyboard named  LaunchScreen  in bundle NSBundle   private var containers Bundle Applc   0x19e527328 0x19e8ea67c 0x19e9d1588 0x19e527060 0x19e9d1484 0x19e526ecc 0x19e398b04 0x19e39766c 0x19e39883c 0x19ed528ac 0x19e90b074 0x19fdf2850 0x19fe178e8 0x19fdfcfb4 0x19fe175a4 0x19a9bb184 0x19a963fd8 0x19fe3c4c8 0x19fe3c194 0x19fe3c6bc 0x19ac6b7c4 0x19ac6b71c 0x19ac6aeb4 0x19ac66000 0x19ac658a0 0x1a4bbd328 0x19ed56740 0x1044a8078 0x19aaf0360)_x000D_
_x000D_
    Steps to Reproduce_x000D_
  gradlew nativeBuild nativeRun_x000D_
_x000D_
    Your Environment_x000D_
MacOS X_x000D_
GraalVM 21 0_x000D_
Gradle Pluggins _x000D_
    id  org openjfx javafxplugin  version  0 0 9 _x000D_
        id  com gluonhq client gradle plugin  version  0 1 36 _x000D_
</t>
  </si>
  <si>
    <t>Anuken-Mindustry-4460</t>
  </si>
  <si>
    <t>Mindustry crashes while loading sounds</t>
  </si>
  <si>
    <t xml:space="preserve">  Platform  :  Mac _x000D_
_x000D_
  Build  :  123 1 _x000D_
_x000D_
_x000D_
_x000D_
  Issue  :  When starting Mindustry  it loads everything fine  then crashed while loading sounds _x000D_
_x000D_
_x000D_
_x000D_
  Steps to reproduce  : _x000D_
_x000D_
1  Start game with mods from Terminal (it says the file is damaged if I open it from Finder  I m using the  app file)_x000D_
2  Wait_x000D_
3  It crashes_x000D_
_x000D_
  Link(s) to mod(s) used  :  The mod repositories or zip files that are related to the issue  if applicable  _x000D_
 abomb4super cheat zip (https:  github com Anuken Mindustry files 5887733 abomb4super cheat zip)_x000D_
 AeronGrevaAeroMindustry zip (https:  github com Anuken Mindustry files 5887734 AeronGrevaAeroMindustry zip)_x000D_
 PetruCHIOruslead ind zip (https:  github com Anuken Mindustry files 5887777 PetruCHIOruslead ind zip)_x000D_
 pixaxeofpixieBraindustry Mod zip (https:  github com Anuken Mindustry files 5887778 pixaxeofpixieBraindustry Mod zip)_x000D_
 QmelZHackustry zip (https:  github com Anuken Mindustry files 5887779 QmelZHackustry zip)_x000D_
 Sh1penfirepixelcraft zip (https:  github com Anuken Mindustry files 5887780 Sh1penfirepixelcraft zip)_x000D_
 sharlotte mobileExampleMod zip (https:  github com Anuken Mindustry files 5887781 sharlotte mobileExampleMod zip)_x000D_
 sk7725Commands zip (https:  github com Anuken Mindustry files 5887782 sk7725Commands zip)_x000D_
 sk7725EXP lib zip (https:  github com Anuken Mindustry files 5887783 sk7725EXP lib zip)_x000D_
 sk7725Testers zip (https:  github com Anuken Mindustry files 5887784 sk7725Testers zip)_x000D_
 sk7725TimeControl zip (https:  github com Anuken Mindustry files 5887785 sk7725TimeControl zip)_x000D_
 Slava0135reVision zip (https:  github com Anuken Mindustry files 5887786 Slava0135reVision zip)_x000D_
 SMOLKEYSbundles zip (https:  github com Anuken Mindustry files 5887787 SMOLKEYSbundles zip)_x000D_
 tcookiemyeeter mod zip (https:  github com Anuken Mindustry files 5887788 tcookiemyeeter mod zip)_x000D_
 theangelurdAdditional Content zip (https:  github com Anuken Mindustry files 5887789 theangelurdAdditional Content zip)_x000D_
 TheSkyFatherMinerals zip (https:  github com Anuken Mindustry files 5887790 TheSkyFatherMinerals zip)_x000D_
 TheSlaylordGoldMod zip (https:  github com Anuken Mindustry files 5887791 TheSlaylordGoldMod zip)_x000D_
 Vanilla Upgraded zip (https:  github com Anuken Mindustry files 5887792 Vanilla Upgraded zip)_x000D_
 w1 BeyeKrl mindustry zip (https:  github com Anuken Mindustry files 5887793 w1 BeyeKrl mindustry zip)_x000D_
 xamionexOpore Mod zip (https:  github com Anuken Mindustry files 5887796 xamionexOpore Mod zip)_x000D_
 younggammulti lib zip (https:  github com Anuken Mindustry files 5887800 younggammulti lib zip)_x000D_
 ballgamer56VanillaExtended zip (https:  github com Anuken Mindustry files 5887802 ballgamer56VanillaExtended zip)_x000D_
  (Crash) logs  :  Either crash reports from the crash folder  or the file you get when you go into Settings    Game Data    Export Crash logs  REQUIRED if you are reporting a crash  _x000D_
 crash report 01 28 2021 08 42 11 txt (https:  github com Anuken Mindustry files 5887696 crash report 01 28 2021 08 42 11 txt)_x000D_
 last log txt (https:  github com Anuken Mindustry files 5887827 last log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</si>
  <si>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TeamNewPipe-NewPipe-legacy-61</t>
  </si>
  <si>
    <t xml:space="preserve">Trying to import a.json file from youtube subscription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</si>
  <si>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newpipe _x000D_
2  Press on  import _x000D_
3  See the error show up_x000D_
   _x000D_
_x000D_
     If you can t cause the bug to show up again reliably (and hence don t have a proper set of steps to give us)  please still try to give as many details as possible on how you think you encountered the bug     _x000D_
_x000D_
_x000D_
_x000D_
    I was trying to import my  json file for my youtube subscriptions  When I would click  import  I would get a message that no  zip file exists   Two times I received an error which I clicked on  share bug  and that lead me here  I apologize for not properly filling out this form  I am new  _x000D_
     Tell us what happens with the steps given above     _x000D_
_x000D_
_x000D_
_x000D_
    I expected the  json zip file to be imported and reflect my youtube subscriptions 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 CalyxOS 2 1 0_x000D_
   Device model: Pixel 4a_x000D_
</t>
  </si>
  <si>
    <t>ogarcia-opensudoku-107</t>
  </si>
  <si>
    <t>Unable to import puzzles</t>
  </si>
  <si>
    <t xml:space="preserve">I ve been generating sudoku  sdm files using the terminal program  sudoku  in Linux  which are then imported into Open Sudoku  Import has stopped working in the 3 6 0 version 
I get the following error:
 Unknown error occurred while importing puzzles  import was cancelled 
Open Sudoku doesn t crash 
 xml files from generating puzzles online import successfully 
Android version: 10 (3 different devices)
Opensudoku version 3 6 0 fron F droid
</t>
  </si>
  <si>
    <t>TeamNewPipe-NewPipe-5500</t>
  </si>
  <si>
    <t xml:space="preserve">Can't analyse the web site </t>
  </si>
  <si>
    <t xml:space="preserve">   Exception_x000D_
    User Action:   requested stream_x000D_
    Request:   https:  www youtube com watch v Ht6X9DMzS4g_x000D_
    Content Country:   FR_x000D_
    Content Language:   fr FR_x000D_
    App Language:   fr FR_x000D_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</si>
  <si>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microg-GmsCore-1380</t>
  </si>
  <si>
    <t>[microG 0.2.17.204714] frequent crash messages</t>
  </si>
  <si>
    <t xml:space="preserve">    Affected   app  _x000D_
Name: all_x000D_
Package id: all_x000D_
     You can find the package id in the URL of the Play Store page  e g  https:  play google com store apps details id com whatsapp    _x000D_
_x000D_
  Describe the bug  _x000D_
Several times a day  I get a crash message  It seems to happen more likely with RAM consuming apps acting _x000D_
 location permission   as described in  1376   is set _x000D_
_x000D_
  To Reproduce  _x000D_
Steps to reproduce the behavior:_x000D_
Cannot be reproduced reliably _x000D_
_x000D_
  Function  _x000D_
Function seems to be fine   no problems could be notified _x000D_
_x000D_
  System  _x000D_
Android Version: 7 1 2_x000D_
Custom ROM: LineageOS 14 1_x000D_
_x000D_
  microG  _x000D_
microG Core version: 0 2 17 204714 and 0 2 16 204713   never ever before_x000D_
microG Self Check results: All ticked   except SMS  which is not activated_x000D_
     Please note that any of the self check items not being ticked is a good indicator of microG being not properly set up  If something is not working  it might just be because of that     _x000D_
_x000D_
  Additional context  _x000D_
Phone is LG G3     1GB of RAM only    My guess is I could be a  short of RAM  problem  Shortage of RAM seems to become a growing problem these days with this phone </t>
  </si>
  <si>
    <t>PojavLauncherTeam-PojavLauncher-742</t>
  </si>
  <si>
    <t>[BUG] libjvm.so fails to load</t>
  </si>
  <si>
    <t xml:space="preserve">  Describe the bug  _x000D_
The  libjvm so  fails to load on Android 5 1  Maybe this is due to an incompatible ELF version  in which case you may want to mark this as just not supported _x000D_
_x000D_
  To Reproduce  _x000D_
Steps to reproduce the behavior:_x000D_
1  Compile from source_x000D_
2  Launch_x000D_
3  Launcher crashes while trying to start the game_x000D_
_x000D_
  Expected behavior  _x000D_
The JRE should run fine _x000D_
_x000D_
  Platform:  _x000D_
   Device Model: Yoga Tablet 1050F_x000D_
   CPU architecture: x86 64 (Android x86 uefi)_x000D_
   Android Version: 5 1_x000D_
_x000D_
See log below:_x000D_
 details   summary  b Additional context  b   summary _x000D_
 br _x000D_
 pre _x000D_
I jrelog: OpenJDK Server VM warning: _x000D_
    No monotonic clock was available   timed services may be adversely affected if the time of day clock changes_x000D_
I jrelog:  0128 000358 832424:ERROR:elf dynamic array reader h(61)  tag not found_x000D_
     0128 000358 898211:ERROR:elf dynamic array reader h(61)  tag not found_x000D_
A libc: Fatal signal 11 (SIGSEGV)  code 1  fault addr 0x0 in tid 14278 (Thread 3728)_x000D_
I KERNEL:   4046 199786  Thread 3728 14278 : segfault at 0 ip 00000000d20b640f sp 00000000d15c4ac0 error 6_x000D_
     in libjvm so d1905000 c24000 _x000D_
  pre _x000D_
  details _x000D_
</t>
  </si>
  <si>
    <t>mtotschnig-MyExpenses-741</t>
  </si>
  <si>
    <t>Crash when calling calendar permission from Onboarding or Settings</t>
  </si>
  <si>
    <t>Case 1: In Onboarding user selects Restore from cloud or Restore from local backup  When she clicks on the radio button deciding if plans should be restored  app crashes_x000D_
Case 2: In Settings (Advanced)    Planner    Planning calendar  App crashes if permission has not yet been granted</t>
  </si>
  <si>
    <t>ElderDrivers-EdXposed-813</t>
  </si>
  <si>
    <t>[BUG] crash when open turemoney wallet app(5.18.0).(android.content.res.Resources$NotFoundException: Drawable th.co.truemoney.wallet:drawable/logo_splash with resource ID #0x7f0803ae)</t>
  </si>
  <si>
    <t xml:space="preserve">    _x000D_
                                  Xposed     Magisk   _x000D_
If you encountered boot loop  please make sure you have disabled all unrelated Xposed and Magisk modules before submit an issue_x000D_
_x000D_
            _x000D_
In any case  the title should be in English_x000D_
   _x000D_
_x000D_
       What happened   _x000D_
crash when open turemoney wallet app(5 18 0) _x000D_
    _x000D_
           _x000D_
Such as bootloop  module not loaded  etc_x000D_
   _x000D_
_x000D_
  Xposed     Xposed Module List  _x000D_
_x000D_
_x000D_
  Magisk     Magisk Module List  _x000D_
Riru(Riru   Core) v21 3_x000D_
Riru EdXposed v0 4 6 2_x000D_
_x000D_
       Versions  _x000D_
_x000D_
Android:_x000D_
10_x000D_
_x000D_
Magisk:_x000D_
20 4(20400)_x000D_
_x000D_
Riru:_x000D_
v21 3_x000D_
_x000D_
EdXposed:_x000D_
v0 4 6 2_x000D_
_x000D_
       Related Logs  _x000D_
_x000D_
    _x000D_
               debug   EdXposed       _x000D_
Please capture log with debug version  otherwise it won t help us locating the issue_x000D_
   _x000D_
        2021 01 27 11:53:10 486 1948 2123   W WindowManager: Token 62db651 ActivityRecord 165ef78 u0 th co truemoney wallet  activity LoadingScreenActivity t1367   failed creating starting window_x000D_
    android content res Resources NotFoundException: Drawable th co truemoney wallet:drawable logo splash with resource ID  0x7f0803ae_x000D_
    Caused by: android content res Resources NotFoundException: File res drawable logo splash xml from drawable resource ID  0x7f0803ae_x000D_
        at android content res ResourcesImpl loadDrawableForCookie(ResourcesImpl java:876)_x000D_
        at android content res ResourcesImpl loadDrawable(ResourcesImpl java:659)_x000D_
        at android content res Resources getDrawableForDensity(Resources java:906)_x000D_
        at android content res XResources getDrawableForDensity(XResources java:871)_x000D_
        at android content res Resources getDrawable(Resources java:845)_x000D_
        at android content res XResources getDrawable(XResources java:793)_x000D_
        at android content Context getDrawable(Context java:687)_x000D_
        at com android server policy PhoneWindowManager addSplashScreen(PhoneWindowManager java:2386)_x000D_
        at com android server wm SplashScreenStartingData createStartingSurface(SplashScreenStartingData java:56)_x000D_
        at com android server wm AppWindowToken 1 run(AppWindowToken java:2227)_x000D_
        at android os Handler handleCallback(Handler java:883)_x000D_
        at android os Handler dispatchMessage(Handler java:100)_x000D_
        at android os Looper loop(Looper java:214)_x000D_
        at android os HandlerThread run(HandlerThread java:67)_x000D_
        at com android server ServiceThread run(ServiceThread java:44)_x000D_
     Caused by: android content res Resources NotFoundException: Resource ID  0x7f08048b_x000D_
        at android content res ResourcesImpl getValueForDensity(ResourcesImpl java:246)_x000D_
        at android content res Resources getValueForDensity(Resources java:1369)_x000D_
        at android graphics drawable BitmapDrawable updateStateFromTypedArray(BitmapDrawable java:819)_x000D_
        at android graphics drawable BitmapDrawable inflate(BitmapDrawable java:775)_x000D_
        at android graphics drawable DrawableInflater inflateFromXmlForDensity(DrawableInflater java:144)_x000D_
        at android graphics drawable Drawable createFromXmlInnerForDensity(Drawable java:1402)_x000D_
        at android graphics drawable Drawable createFromXmlInner(Drawable java:1391)_x000D_
        at android graphics drawable LayerDrawable inflateLayers(LayerDrawable java:284)_x000D_
        at android graphics drawable LayerDrawable inflate(LayerDrawable java:199)_x000D_
        at android graphics drawable DrawableInflater inflateFromXmlForDensity(DrawableInflater java:144)_x000D_
        at android graphics drawable Drawable createFromXmlInnerForDensity(Drawable java:1402)_x000D_
        at android graphics drawable Drawable createFromXmlForDensity(Drawable java:1361)_x000D_
        at android content res ResourcesImpl loadXmlDrawable(ResourcesImpl java:939)_x000D_
        at android content res ResourcesImpl loadDrawableForCookie(ResourcesImpl java:862)_x000D_
        at android content res ResourcesImpl loadDrawable(ResourcesImpl java:659) _x000D_
        at android content res Resources getDrawableForDensity(Resources java:906) _x000D_
        at android content res XResources getDrawableForDensity(XResources java:871) _x000D_
        at android content res Resources getDrawable(Resources java:845) _x000D_
        at android content res XResources getDrawable(XResources java:793) _x000D_
        at android content Context getDrawable(Context java:687) _x000D_
        at com android server policy PhoneWindowManager addSplashScreen(PhoneWindowManager java:2386) _x000D_
        at com android server wm SplashScreenStartingData createStartingSurface(SplashScreenStartingData java:56) _x000D_
        at com android server wm AppWindowToken 1 run(AppWindowToken java:2227) _x000D_
        at android os Handler handleCallback(Handler java:883) _x000D_
        at android os Handler dispatchMessage(Handler java:100) _x000D_
        at android os Looper loop(Looper java:214) _x000D_
        at android os HandlerThread run(HandlerThread java:67) _x000D_
        at com android server ServiceThread run(ServiceThread java:44) _x000D_
_x000D_
021 01 27 11:53:10 722 13243 13243   E AndroidRuntime: FATAL EXCEPTION: main_x000D_
    Process: th co truemoney wallet  PID: 13243_x000D_
    java lang RuntimeException: Unable to start activity ComponentInfo th co truemoney wallet th co truemoney wallet activity LoadingScreenActivity : android content res Resources NotFoundException: Drawable th co truemoney wallet:drawable logo splash with resource ID  0x7f0803ae_x000D_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Caused by: android content res Resources NotFoundException: Drawable th co truemoney wallet:drawable logo splash with resource ID  0x7f0803ae_x000D_
     Caused by: android content res Resources NotFoundException: File res drawable logo splash xml from drawable resource ID  0x7f0803ae_x000D_
        at android content res ResourcesImpl loadDrawableForCookie(ResourcesImpl java:876)_x000D_
        at android content res ResourcesImpl loadDrawable(ResourcesImpl java:659)_x000D_
        at android content res Resources loadDrawable(Resources java:916)_x000D_
        at android content res TypedArray getDrawableForDensity(TypedArray java:1006)_x000D_
        at android content res TypedArray getDrawable(TypedArray java:981)_x000D_
        at android content res XResources XTypedArray getDrawable(XResources java:1371)_x000D_
        at com android internal policy PhoneWindow generateLayout(PhoneWindow java:2549)_x000D_
        at com android internal policy PhoneWindow installDecor(PhoneWindow java:2694)_x000D_
        at com android internal policy PhoneWindow getDecorView(PhoneWindow java:2094)_x000D_
        at androidx appcompat app AppCompatDelegateImpl  (:575)_x000D_
        at androidx appcompat app AppCompatDelegateImpl  (:518)_x000D_
        at androidx appcompat app AppCompatDelegateImpl  (:466)_x000D_
        at androidx appcompat app AppCompatActivity setContentView(:140)_x000D_
        at th co truemoney wallet activity LoadingScreenActivity onCreate(Unknown Source:1100)_x000D_
        at android app Activity performCreate(Activity java:7825)_x000D_
        at android app Activity performCreate(Activity java:7814)_x000D_
        at android app Instrumentation callActivityOnCreate(Instrumentation java:1306)_x000D_
        at android app ActivityThread performLaunchActivity(ActivityThread java:3245)_x000D_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Caused by: android content res Resources NotFoundException: Resource ID  0x7f08048b_x000D_
        at android content res ResourcesImpl getValueForDensity(ResourcesImpl java:246)_x000D_
        at android content res Resources getValueForDensity(Resources java:1369)_x000D_
        at android graphics drawable BitmapDrawable updateStateFromTypedArray(BitmapDrawable java:819)_x000D_
        at android graphics drawable BitmapDrawable inflate(BitmapDrawable java:775)_x000D_
_x000D_
</t>
  </si>
  <si>
    <t>nextcloud-android-7899</t>
  </si>
  <si>
    <t>App crashes when unsharing a folder shared by other user.</t>
  </si>
  <si>
    <t xml:space="preserve">    Steps to reproduce
1  Share some folder being logged with USER1
2  Log to USER2 and tap  unshare  button  
    Expected behaviour
  1: Make different shared icon for external shares and disable  unshare  option  
  2: Or simply display a message saying you cannot unshare the item  
    Actual behaviour
  App crashes
</t>
  </si>
  <si>
    <t>inaturalist-iNaturalistAndroid-973</t>
  </si>
  <si>
    <t>NullPointerException in UserProfile.refreshViewType</t>
  </si>
  <si>
    <t xml:space="preserve">https:  console firebase google com u 2 project inaturalist ios crashlytics app android:org inaturalist android issues d38a80c2cd4d92278ec53eaef756b4fa_x000D_
_x000D_
   _x000D_
Caused by java lang NullPointerException: Attempt to invoke virtual method  boolean java lang String equals(java lang Object)  on a null object reference_x000D_
       at org inaturalist android UserProfile refreshViewType(UserProfile java:461)_x000D_
       at org inaturalist android UserProfile onCreate(UserProfile java:330)_x000D_
       at android app Activity performCreate(Activity java:7458)_x000D_
       at android app Activity performCreate(Activity java:7448)_x000D_
       at android app Instrumentation callActivityOnCreate(Instrumentation java:1286)_x000D_
       at android app ActivityThread performLaunchActivity(ActivityThread java:3409)_x000D_
       at android app ActivityThread handleLaunchActivity(ActivityThread java:3614)_x000D_
       at android app servertransaction LaunchActivityItem execute(LaunchActivityItem java:86)_x000D_
       at android app servertransaction TransactionExecutor executeCallbacks(TransactionExecutor java:108)_x000D_
       at android app servertransaction TransactionExecutor execute(TransactionExecutor java:68)_x000D_
       at android app ActivityThread H handleMessage(ActivityThread java:2199)_x000D_
       at android os Handler dispatchMessage(Handler java:112)_x000D_
       at android os Looper loop(Looper java:216)_x000D_
       at android app ActivityThread main(ActivityThread java:7625)_x000D_
       at java lang reflect Method invoke(Method java)_x000D_
       at com android internal os RuntimeInit MethodAndArgsCaller run(RuntimeInit java:524)_x000D_
       at com android internal os ZygoteInit main(ZygoteInit java:987)_x000D_
   </t>
  </si>
  <si>
    <t>inaturalist-iNaturalistAndroid-972</t>
  </si>
  <si>
    <t>NullPointerException in ExploreSearchFilters.place</t>
  </si>
  <si>
    <t xml:space="preserve">https:  console firebase google com u 2 project inaturalist ios crashlytics app android:org inaturalist android issues 1b3019231be871cb21ca21e1a68a54f4_x000D_
_x000D_
   _x000D_
Fatal Exception: java lang NullPointerException: Attempt to write to field  org json JSONObject org inaturalist android ExploreSearchFilters place  on a null object reference_x000D_
       at org inaturalist android ExploreSearchActivity 3 onClick(ExploreSearchActivity java:229)_x000D_
       at android view View performClick(View java:6659)_x000D_
       at android view View performClickInternal(View java:6631)_x000D_
       at android view View access 3100(View java:790)_x000D_
       at android view View PerformClick run(View java:26187)_x000D_
       at android os Handler handleCallback(Handler java:907)_x000D_
       at android os Handler dispatchMessage(Handler java:105)_x000D_
       at android os Looper loop(Looper java:216)_x000D_
       at android app ActivityThread main(ActivityThread java:7625)_x000D_
       at java lang reflect Method invoke(Method java)_x000D_
       at com android internal os RuntimeInit MethodAndArgsCaller run(RuntimeInit java:524)_x000D_
       at com android internal os ZygoteInit main(ZygoteInit java:987)_x000D_
   </t>
  </si>
  <si>
    <t>inaturalist-iNaturalistAndroid-971</t>
  </si>
  <si>
    <t>NullPointerException in TaxonSuggestionsActivity.getTaxonSuggestions</t>
  </si>
  <si>
    <t xml:space="preserve">https:  console firebase google com u 2 project inaturalist ios crashlytics app android:org inaturalist android issues e5b3de23412c7bbae9f07ffb068d48f2_x000D_
_x000D_
   _x000D_
Fatal Exception: java lang NullPointerException: Attempt to invoke virtual method  int java lang Integer intValue()  on a null object reference_x000D_
       at org inaturalist android TaxonSuggestionsActivity getTaxonSuggestions(TaxonSuggestionsActivity java:474)_x000D_
       at org inaturalist android TaxonSuggestionsActivity lambda showSuggestionSourceDialog 4(TaxonSuggestionsActivity java:367)_x000D_
       at org inaturalist android    Lambda TaxonSuggestionsActivity FhKoT9fyRa 4qiTIUeZtivq9U g onClick(  java:2)_x000D_
       at com android internal app AlertController ButtonHandler handleMessage(AlertController java:174)_x000D_
       at android os Handler dispatchMessage(Handler java:106)_x000D_
       at android os Looper loop(Looper java:223)_x000D_
       at android app ActivityThread main(ActivityThread java:7660)_x000D_
       at java lang reflect Method invoke(Method java)_x000D_
       at com android internal os RuntimeInit MethodAndArgsCaller run(RuntimeInit java:592)_x000D_
       at com android internal os ZygoteInit main(ZygoteInit java:947)_x000D_
   </t>
  </si>
  <si>
    <t>TeamNewPipe-NewPipe-5493</t>
  </si>
  <si>
    <t>Current time and video duration not displaying in background notification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</si>
  <si>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Play a video in background_x000D_
2  Swipe down to watch your notifications_x000D_
3  The current time and duration will be 00:00_x000D_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player will always show a time of 00:00  I think this is a regression because I didn t have this problem on previous versions  _x000D_
I m using a Xiaomi Mi 9T under Resurrection Remix 8 6 3 (Android 10) _x000D_
I m using the last New Pipe released version  which is 0 20 8  _x000D_
_x000D_
Thanks a lot for your works and for the project  3_x000D_
_x000D_
_x000D_
    Expected behavior_x000D_
     Tell us what you expect to happen     _x000D_
I would like the current time and the duration to be display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image (https:  user images githubusercontent com 26868498 105864618 69ff5e80 5ff2 11eb 80dd f820ad54ee5c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Resurrection Remix 8 6 3_x000D_
   Device model: Xiaomi Mi 9T (davinci)_x000D_
</t>
  </si>
  <si>
    <t>opensrp-opensrp-client-reveal-1224</t>
  </si>
  <si>
    <t>Enable Switch Campaign button</t>
  </si>
  <si>
    <t xml:space="preserve">Currently  when you hit the  switch campaign  button in the left menu  the app crashes  We need to enable the switch campaign button option to address this issue and ensure that the app is on par with other Reveal releases  </t>
  </si>
  <si>
    <t>PojavLauncherTeam-PojavLauncher-723</t>
  </si>
  <si>
    <t xml:space="preserve">[BUG] The game is crashing when I enter in a server </t>
  </si>
  <si>
    <t xml:space="preserve">  Describe the bug  _x000D_
The game crash when I try to enter in a server  like hypixel for example _x000D_
_x000D_
  To Reproduce  _x000D_
Steps to reproduce the behavior:_x000D_
1  Start PojavLauncher v3 3 1 1_x000D_
2  enter in 1 12 2 optifine G5 (I m using my original account)_x000D_
3  and I try to enter in hypixel  but the game crash _x000D_
   _x000D_
_x000D_
  Expected behavior  _x000D_
I expected that I can play in the server _x000D_
_x000D_
  Screenshots  _x000D_
_x000D_
  Platform:  _x000D_
   Device Model: Moto G6 play_x000D_
   CPU architecture: aarch32_x000D_
   Android Version: 9_x000D_
_x000D_
</t>
  </si>
  <si>
    <t>PojavLauncherTeam-PojavLauncher-721</t>
  </si>
  <si>
    <t>[BUG] Trying to launch a custom Minecraft version in Pojavlauncher causes a crash.</t>
  </si>
  <si>
    <t xml:space="preserve">  Describe the bug  _x000D_
When I tried to launch a custom version using Pojavlauncher  it resulted in a crash _x000D_
_x000D_
  To Reproduce  _x000D_
Steps to reproduce the behavior:_x000D_
1  Start PojavLauncher_x000D_
2  Select any custom version_x000D_
3  Launch it_x000D_
_x000D_
  Expected behavior  _x000D_
I expected the version to launch as usual _x000D_
_x000D_
  Screenshots  _x000D_
_x000D_
  Platform:  _x000D_
   Redmi Note 9 64GB (Non Rooted)_x000D_
   aarch64_x000D_
   Android 10_x000D_
_x000D_
 details   summary  b Additional context  b   summary _x000D_
 br _x000D_
 pre _x000D_
Add any other context about the problem here _x000D_
  pre _x000D_
  details _x000D_
 latestlog txt (https:  github com PojavLauncherTeam PojavLauncher files 5873223 latestlog txt)_x000D_
</t>
  </si>
  <si>
    <t>PojavLauncherTeam-PojavLauncher-720</t>
  </si>
  <si>
    <t>[BUG] Launcher not Launching</t>
  </si>
  <si>
    <t>I tried to launch Minecraft and it won t work  I tried everything and nothing is working  _x000D_
_x000D_
So first  I launched Minecraft (i used all versions including 1 8) and when I click play  it instantly exits the launcher  (not the whole app)_x000D_
I tried changing the JVM arg and see if anything happens but it is still crashing _x000D_
_x000D_
   Device Model  vivo Y53s 2 16 _x000D_
   CPU architecture  aarch32  _x000D_
   Android Version  6 0 1 _x000D_
_x000D_
I m also using the latest version of Pojav which is 3 3 1 1 rel 20210125</t>
  </si>
  <si>
    <t>aws-amplify-amplify-android-1132</t>
  </si>
  <si>
    <t>DataStore and API - Crashes when having unstable or intermittent Internet connection.</t>
  </si>
  <si>
    <t xml:space="preserve">  Short Description:   When using a low end device with a really poor Internet connection I sometimes have some crashes when using the API and DataStore categories _x000D_
_x000D_
  Version:   Datastore and API 1 6 9_x000D_
_x000D_
  Related code:  _x000D_
_x000D_
This is the first call in my App  just a simple query to the API:_x000D_
_x000D_
   kotlin_x000D_
Amplify API query(_x000D_
    ModelQuery list(MyModel::class java  MyModel CREATED AT contains(date)) _x000D_
      response    onResponse(response data toList())   _x000D_
    onFailure_x000D_
)_x000D_
   _x000D_
_x000D_
Then I call DataStore start:_x000D_
_x000D_
   kotlin_x000D_
Amplify DataStore start(_x000D_
      onSuccess()   _x000D_
      Amplify DataStore start(_x000D_
          onSuccess()   _x000D_
          failure    onFailure(failure)  _x000D_
    )  _x000D_
)_x000D_
    _x000D_
 onSuccess()  navigates to a new Activity _x000D_
_x000D_
After a successful response I call a query to the DataStore:_x000D_
_x000D_
   kotlin_x000D_
Amplify DataStore query(_x000D_
    MyModel::class java _x000D_
     Where matches(MyModel DATE eq(Utils getCurrentTemporalDate())) _x000D_
       onResponse()   _x000D_
       onFailure()  _x000D_
)_x000D_
   _x000D_
_x000D_
4  Here are some logs I got from Sentry and that I think could be related:_x000D_
_x000D_
https:  sentry io share issue e5b30629b5654f96806593bde3b23b3b _x000D_
https:  sentry io share issue 9feaa777a3a146a0938ccf34d88fb4f4 _x000D_
https:  sentry io share issue 82dded9be9e247d887229538cfebcbb5 _x000D_
https:  sentry io share issue 2642b63570924866b2a68c4bfd713d10 _x000D_
https:  sentry io share issue 605db6748b494cbfa786257ff29666a8 </t>
  </si>
  <si>
    <t>indomie858-app-A-87</t>
  </si>
  <si>
    <t>[Bug] Emulator Crash when tapping a location</t>
  </si>
  <si>
    <t>1  Open up directory_x000D_
2  Tap a location_x000D_
_x000D_
App crashes  Relevant error message: _x000D_
_x000D_
 java lang NullPointerException: Attempt to invoke virtual method  double android location Location getLatitude()  on a null object reference_x000D_
        at com example appa viewmodel PlaceViewModel setDistance(PlaceViewModel java:54)_x000D_
        at com example appa viewmodel PlaceViewModel setLocationAndDistance(PlaceViewModel java:65)_x000D_
        at com example appa ui navigationlist NavigationListActivity 1 onChanged(NavigationListActivity java:111)_x000D_
        at com example appa ui navigationlist NavigationListActivity 1 onChanged(NavigationListActivity java:99)</t>
  </si>
  <si>
    <t>k9mail-k-9-5106</t>
  </si>
  <si>
    <t>Import functionality is almost broken</t>
  </si>
  <si>
    <t xml:space="preserve">  Describe the bug  _x000D_
A clear and concise description of what the bug is _x000D_
_x000D_
  To Reproduce  _x000D_
Steps to reproduce the behavior:_x000D_
    1_x000D_
1  Export k9s settings on older App version _x000D_
2  Remove older App version _x000D_
3  Install build v5 727 _x000D_
4  Have firewall block App from internet _x000D_
5  Import all previously exported settings _x000D_
6  (Optional) Enable Internet access for App _x000D_
7  All Mail accounts have only an empty  Outbox  folder _x000D_
_x000D_
    2_x000D_
1  Export k9s settings on older App version _x000D_
2  Remove older App version _x000D_
3  Install build v5 727 _x000D_
4  Let App have internet access _x000D_
5  Import all previously exported settings _x000D_
6  Provide wrong password for any amount of mail accounts _x000D_
7  All Mail accounts  that were provided with a wrong password  have only an empty  Outbox  folder _x000D_
8  Remove faulty Mail account _x000D_
9  Re import this faulty mail account  only _x000D_
10  The empty  Outbox  folder is now the default folder on top of all folders _x000D_
11  Every time you change to this mail account  the  Outbox  folder will  always  be the first one opened on top _x000D_
12  There is no way to set the  Inbox  folder back to top _x000D_
_x000D_
This is only a summary of all the issues  There are more very similar issues  that I do not want to repeat here _x000D_
In short  the Import functionality is almost broken  if you just make 1 mistake  you have to uninstall and re install the whole application  This is no way to treat imports _x000D_
_x000D_
  Expected behavior  _x000D_
Importing works smoothly _x000D_
_x000D_
  Environment (please complete the following information):  _x000D_
   K 9 Mail version: v5 727_x000D_
   Android version: 11_x000D_
   Device: POCO X3_x000D_
   Account type: Generic IMAP_x000D_
_x000D_
  Additional context  _x000D_
The  stable  version always crashes  when I try to import settings  That s why I am using the newest  Pre Release  version _x000D_
_x000D_
  Logs  _x000D_
Please take some time to  retrieve logs (https:  github com k9mail k 9 wiki LoggingErrors) and attach them here:_x000D_
No  I will not uninstall and re install the App for the 7th time _x000D_
_x000D_
</t>
  </si>
  <si>
    <t>OpenLauncherTeam-openlauncher-645</t>
  </si>
  <si>
    <t>[Meta] Widget Issues - Cannot add certain widgets, crashes etc</t>
  </si>
  <si>
    <t>This is a meta issue for Widget related issues  Users tend to open issues and feature requests over and over again for Widgets without using search  Use this topic to talk about Widget issues  feature requests  crash logs      as well implementation and opening pull request _x000D_
_x000D_
Currently nobody is working on OpenLauncher Widgets code  so why   YOU   who reads this message  not steps up  :wink:</t>
  </si>
  <si>
    <t>TeamNewPipe-NewPipe-5489</t>
  </si>
  <si>
    <t>Brightness gesture default setting: please disable</t>
  </si>
  <si>
    <t xml:space="preserve">_x000D_
_x000D_
    Checklist_x000D_
_x000D_
   x  I am using the latest version  v0 20 8_x000D_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Too many phones due the other bugs listed in the issue tracker do not restore to proper original brightness_x000D_
2  Or users slide gesture and increase it by mistake   causing battery drain _x000D_
_x000D_
     If you can t cause the bug to show up again reliably (and hence don t have a proper set of steps to give us)  please still try to give as many details as possible on how you think you encountered the bug     _x000D_
_x000D_
_x000D_
_x000D_
    Actual behaviour_x000D_
_x000D_
_x000D_
Ideally everyone using phone knows to increase brightness by slider (from notification)  _x000D_
_x000D_
_x000D_
_x000D_
    Expected behavior_x000D_
_x000D_
Please change the default brightness gesture setting to OFF_x000D_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Lineage 17 1_x000D_
   Device model: Pixel 2L_x000D_
</t>
  </si>
  <si>
    <t>material-components-material-components-android-2005</t>
  </si>
  <si>
    <t>[CircularProgressIndicator] Error inflating class CircularProgressIndicator with API 19</t>
  </si>
  <si>
    <t xml:space="preserve">  Description:   Problem using themed CircularProgressIndicator with   API 19  _x000D_
_x000D_
  Expected behavior:   No crash_x000D_
_x000D_
  Source code:   _x000D_
_x000D_
Having the following main theme : _x000D_
   xml_x000D_
  xml version  1 0  encoding  utf 8   _x000D_
 resources _x000D_
_x000D_
         Base theme  all common styling here    _x000D_
     style name  Base IO  parent   style Theme MaterialComponents Light NoActionBar  _x000D_
               _x000D_
             item name  circularProgressIndicatorStyle   style Widget IO CircularProgressIndicator_x000D_
          item _x000D_
      style _x000D_
_x000D_
  resources _x000D_
   _x000D_
_x000D_
and this styles: _x000D_
   xml_x000D_
 resources _x000D_
     style name  Widget IO CircularProgressIndicator  parent  Widget MaterialComponents ProgressIndicator  _x000D_
         item name  materialThemeOverlay   style ThemeOverlay IO ProgressIndicator  item _x000D_
         item name  trackThickness  20dp  item _x000D_
      style _x000D_
_x000D_
     style name  ThemeOverlay IO ProgressIndicator  parent    _x000D_
         item name  colorPrimary   color watermelon  item _x000D_
      style _x000D_
  resources _x000D_
_x000D_
   _x000D_
_x000D_
I got the following crash:_x000D_
   _x000D_
Binary XML file line  46: Error inflating class com google android material progressindicator CircularProgressIndicator_x000D_
   _x000D_
_x000D_
Reason seems to be :  trackThickness _x000D_
_x000D_
  Android API version:   19_x000D_
_x000D_
  Material Library version:    1 3 0 rc01 _x000D_
_x000D_
  Device:   Simulator Pixel 2 API 19_x000D_
_x000D_
</t>
  </si>
  <si>
    <t>microg-GmsCore-1376</t>
  </si>
  <si>
    <t>microG settings crash without location permission</t>
  </si>
  <si>
    <t xml:space="preserve">  Describe the bug  _x000D_
microG settings crash without location permission with  LocalGsmNlpBackend (https:  f droid org packages org fitchfamily android gsmlocation ) installed _x000D_
_x000D_
  To Reproduce  _x000D_
Steps to reproduce the behavior:_x000D_
1  Install  LocalGsmNlpBackend (https:  f droid org packages org fitchfamily android gsmlocation )_x000D_
2  Go to microG settings_x000D_
3  Click on  Location modules _x000D_
4  Bang  (the app crashes)_x000D_
_x000D_
  Expected behavior  _x000D_
List of location modules appears_x000D_
_x000D_
  System  _x000D_
Android Version: 10_x000D_
Custom ROM: LineageOS 17 1_x000D_
_x000D_
  Workaround  _x000D_
1  Go to System settings   Applications  microG services   Permissions_x000D_
2  Enable Location permission_x000D_
</t>
  </si>
  <si>
    <t>Anuken-Mindustry-4436</t>
  </si>
  <si>
    <t>Getblock type does not return comparable type with stone-walls</t>
  </si>
  <si>
    <t xml:space="preserve">  Platform  :  Android iOS Mac Windows Linux _x000D_
_x000D_
  Build  : 123_x000D_
_x000D_
  Issue  : scanning a stone wall with getblock returns  stone wall as type  However this cannot be compared against the string   stone wall  In program without the quotes _x000D_
_x000D_
 edit  string is a bad way to phrase this  See 2nd comment _x000D_
_x000D_
  Steps to reproduce  : Nestor came up with it in the Mindustry discord  We both tested some logic that scanned a wall and compared it and printed the result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No  but issue isn t included in 123 1 bugfix list  _x000D_
   x     I have searched the closed and open issues to make sure that this problem has not already been reported   _x000D_
</t>
  </si>
  <si>
    <t>nextcloud-news-android-921</t>
  </si>
  <si>
    <t>Crash while touching picture of an item</t>
  </si>
  <si>
    <t xml:space="preserve">I found a crash while browsing though my feeds by touching a picture  the app froze and then crashed _x000D_
_x000D_
 img src  https:  user images githubusercontent com 5429298 105705095 fe44c500 5f0f 11eb 863a 96f0194a2b86 png  data canonical src  https:  user images githubusercontent com 5429298 105705095 fe44c500 5f0f 11eb 863a 96f0194a2b86 png  width  200  height  400    _x000D_
_x000D_
Steps:_x000D_
1  open feed_x000D_
2  touch image_x000D_
3     _x000D_
4  crash_x000D_
_x000D_
The image causing the crash is here: https:  stadt bremerhaven de wp content uploads 2021 01 ImageJoiner 2021 01 23 at 7 09 11 PM jpg_x000D_
_x000D_
I think this has a low priority becuase I imediatley tried this with other pictures of the same feed  no crash _x000D_
_x000D_
_x000D_
Via logcat I could grab this crash:_x000D_
_x000D_
   _x000D_
01 25 12:54:33 982 24486 24486 V Activity: mLastPackageName de luhmer owncloudnewsreader NewsDetailActivity_x000D_
01 25 12:54:34 026 24486 24486 I WebViewFactory: Loading com google android webview version 88 0 4324 93 (code 432409333)_x000D_
01 25 12:54:34 244 24486 24486 I cr LibraryLoader: Loaded native library version number  88 0 4324 93 _x000D_
01 25 12:54:34 256 24486 24486 I cr CachingUmaRecorder: Flushed 4 samples from 4 histograms _x000D_
01 25 12:54:34 745 24486 24486 D de luhmer owncloudnewsreader NewsDetailFragment: startLoadRssItemToWebViewTask() called_x000D_
01 25 12:54:34 749 24486 26387 V de luhmer owncloudnewsreader async tasks RssItemToHtmlTask: Selected Theme: darkTheme_x000D_
01 25 12:54:34 764 24486 24486 D de luhmer owncloudnewsreader NewsDetailFragment: startLoadRssItemToWebViewTask() called_x000D_
01 25 12:54:34 766 24486 26387 V de luhmer owncloudnewsreader async tasks RssItemToHtmlTask: Selected Theme: darkTheme_x000D_
01 25 12:54:34 773 24486 24486 D de luhmer owncloudnewsreader NewsDetailFragment: startLoadRssItemToWebViewTask() called_x000D_
01 25 12:54:34 775 24486 26387 V de luhmer owncloudnewsreader async tasks RssItemToHtmlTask: Selected Theme: darkTheme_x000D_
01 25 12:54:34 805 24486 24510 I OpenGLRenderer: Davey  duration 842ms  Flags 1  IntendedVsync 337712980495860  Vsync 337713013829192  OldestInputEvent 9223372036854775807  NewestInputEvent 0  HandleInputStart 337713018842890  AnimationStart 337713018874349  PerformTraversalsStart 337713018972161  DrawStart 337713807049504  SyncQueued 337713812283619  SyncStart 337713813816119  IssueDrawCommandsStart 337713814125129  SwapBuffers 337713822744244  FrameCompleted 337713824086848  DequeueBufferDuration 534000  QueueBufferDuration 828000  _x000D_
01 25 12:54:34 828 24486 24486 I Choreographer: Skipped 48 frames   The application may be doing too much work on its main thread _x000D_
01 25 12:54:34 831 24486 24510 I OpenGLRenderer: Davey  duration 819ms  Flags 0  IntendedVsync 337713030516553  Vsync 337713830516521  OldestInputEvent 9223372036854775807  NewestInputEvent 0  HandleInputStart 337713847153515  AnimationStart 337713847248463  PerformTraversalsStart 337713847385182  DrawStart 337713847445442  SyncQueued 337713847747265  SyncStart 337713848246171  IssueDrawCommandsStart 337713848436067  SwapBuffers 337713849977786  FrameCompleted 337713850681692  DequeueBufferDuration 173000  QueueBufferDuration 187000  _x000D_
01 25 12:54:34 851 24486 24486 V NewsDetailFragment: Using LAYER TYPE DEFAULT_x000D_
01 25 12:54:34 870 24486 27813 W cr media: Requires BLUETOOTH permission_x000D_
01 25 12:54:34 881 24486 24486 V NewsDetailFragment: Using LAYER TYPE DEFAULT_x000D_
01 25 12:54:34 903 24486 24486 V NewsDetailFragment: Using LAYER TYPE DEFAULT_x000D_
01 25 12:54:34 987 24486 24486 D de luhmer owncloudnewsreader PodcastFragment: onConnected() called_x000D_
01 25 12:54:34 989 24486 24486 V de luhmer owncloudnewsreader PodcastFragmentActivity: onEvent(CollapsePodcastView) called with: event    de luhmer owncloudnewsreader events podcast CollapsePodcastView 49842ae _x000D_
01 25 12:54:35 268 24486 24486 V Activity: onStop mLastPackageResume   false de luhmer owncloudnewsreader NewsReaderListActivity 93c9bb9_x000D_
01 25 12:54:37 483 24486 24486 D AndroidRuntime: Shutting down VM_x000D_
          beginning of crash_x000D_
01 25 12:54:37 488 24486 24486 E AndroidRuntime: FATAL EXCEPTION: main_x000D_
01 25 12:54:37 488 24486 24486 E AndroidRuntime: Process: de luhmer owncloudnewsreader  PID: 24486_x000D_
01 25 12:54:37 488 24486 24486 E AndroidRuntime: android os FileUriExposedException: file:   data user 0 de luhmer owncloudnewsreader cache uil images 4kife8krf7nf2sv0ip8qo42yf0 exposed beyond app through Intent getData()_x000D_
01 25 12:54:37 488 24486 24486 E AndroidRuntime: 	at android os StrictMode onFileUriExposed(StrictMode java:2083)_x000D_
01 25 12:54:37 488 24486 24486 E AndroidRuntime: 	at android net Uri checkFileUriExposed(Uri java:2388)_x000D_
01 25 12:54:37 488 24486 24486 E AndroidRuntime: 	at android content Intent prepareToLeaveProcess(Intent java:10825)_x000D_
01 25 12:54:37 488 24486 24486 E AndroidRuntime: 	at android content Intent prepareToLeaveProcess(Intent java:10777)_x000D_
01 25 12:54:37 488 24486 24486 E AndroidRuntime: 	at android app Instrumentation execStartActivity(Instrumentation java:1712)_x000D_
01 25 12:54:37 488 24486 24486 E AndroidRuntime: 	at android app Activity startActivityForResult(Activity java:5383)_x000D_
01 25 12:54:37 488 24486 24486 E AndroidRuntime: 	at androidx fragment app FragmentActivity startActivityForResult(SourceFile:6)_x000D_
01 25 12:54:37 488 24486 24486 E AndroidRuntime: 	at android app Activity startActivity(Activity java:5708)_x000D_
01 25 12:54:37 488 24486 24486 E AndroidRuntime: 	at androidx core content ContextCompat startActivity(SourceFile:2)_x000D_
01 25 12:54:37 488 24486 24486 E AndroidRuntime: 	at androidx browser customtabs CustomTabsIntent launchUrl(SourceFile:2)_x000D_
01 25 12:54:37 488 24486 24486 E AndroidRuntime: 	at de luhmer owncloudnewsreader NewsDetailFragment loadURL(SourceFile:17)_x000D_
01 25 12:54:37 488 24486 24486 E AndroidRuntime: 	at de luhmer owncloudnewsreader NewsDetailFragment 1 shouldOverrideUrlLoading(SourceFile:1)_x000D_
01 25 12:54:37 488 24486 24486 E AndroidRuntime: 	at android webkit WebViewClient shouldOverrideUrlLoading(WebViewClient java:83)_x000D_
01 25 12:54:37 488 24486 24486 E AndroidRuntime: 	at org chromium android webview AwContentsClientBridge shouldOverrideUrlLoading(chromium TrichromeWebViewGoogle aab stable 432409333:14)_x000D_
01 25 12:54:37 488 24486 24486 E AndroidRuntime: 	at android os MessageQueue nativePollOnce(Native Method)_x000D_
01 25 12:54:37 488 24486 24486 E AndroidRuntime: 	at android os MessageQueue next(MessageQueue java:336)_x000D_
01 25 12:54:37 488 24486 24486 E AndroidRuntime: 	at android os Looper loop(Looper java:174)_x000D_
01 25 12:54:37 488 24486 24486 E AndroidRuntime: 	at android app ActivityThread main(ActivityThread java:7397)_x000D_
01 25 12:54:37 488 24486 24486 E AndroidRuntime: 	at java lang reflect Method invoke(Native Method)_x000D_
01 25 12:54:37 488 24486 24486 E AndroidRuntime: 	at com android internal os RuntimeInit MethodAndArgsCaller run(RuntimeInit java:492)_x000D_
01 25 12:54:37 488 24486 24486 E AndroidRuntime: 	at com android internal os ZygoteInit main(ZygoteInit java:935)_x000D_
01 25 12:54:38 271 24486 24486 I Process : Sending signal  PID: 24486 SIG: 9_x000D_
   _x000D_
The entry from the db is:_x000D_
   _x000D_
                                                                                                                                                                                                                                                                                                                                                                                                                                                                                                                                                                                                                                                                                                                                                                                                                                                                                                                                                                                                                                                                                                                                                                                                                                                                                                                                                                                                                                                                                                                                                                                                                                                                                                                                                                                                                                                                                                                                                                                                                                                                                                                                                                                                                                                                                                                                                                                                                                                                                                                                                                                                                                                                                                                                                                                                                                                                                                                                                                                                                                                                                                                                                                                                                                                                                                                                                                                                                                                                                                                                                                                                                                                                                                                                                                                                                                                                                                                                                                                                                                                                                                                                                                                                                                                                                                                                                                                                                                                                                                                                                                                                                                                                                                                                                                                                                                                                                                                                                                                                                                                                                                                                                                                                                                                                                                                                                                                                                                                                                                                                                                                                                                                                                                                                                                                                                                                                                                                                                                                                                                                                                                            _x000D_
  id       guid hash                          fingerprint                        content hash                       rtl   search index                                                                                                                                                                                                                                                                                                                                                                                                                                                                                                                                                                                                                                                                                                                                                                                                                                                                                                                                                                                                                                                       guid                                      url                                                                     title                                                     author   pub date     body                                                                                                                                                                                                                                                                                                                                                                                                                                                                                                                                                                                                                                                                                                                                                                                                                                                                                                                                                                                                                                                               enclosure mime   enclosure link   feed id   status   last modified      updated date   unread   starred   media thumbnail   media description  _x000D_
                                                                                                                                                                                                                                                                                                                                                                                                                                                                                                                                                                                                                                                                                                                                                                                                                                                                                                                                                                                                                                                                                                                                                                                                                                                                                                                                                                                                                                                                                                                                                                                                                                                                                                                                                                                                                                                                                                                                                                                                                                                                                                                                                                                                                                                                                                                                                                                                                                                                                                                                                                                                                                                                                                                                                                                                                                                                                                                                                                                                                                                                                                                                                                                                                                                                                                                                                                                                                                                                                                                                                                                                                                                                                                                                                                                                                                                                                                                                                                                                                                                                                                                                                                                                                                                                                                                                                                                                                                                                                                                                                                                                                                                                                                                                                                                                                                                                                                                                                                                                                                                                                                                                                                                                                                                                                                                                                                                                                                                                                                                                                                                                                                                                                                                                                                                                                                                                                                                                                                                                                                                                                                            _x000D_
  132679   6d29dffa869d3441fdbe5d8a201f3c4a   7d026268e88876a1dc8339cf6bbe9591   871e13666e9c51267f9918e0621582c2     0   _x000D_
wir berichteten dar ber  dass man seitens mozilla plant  dem browser firefox eine neue optik zugutekommen zu lassen  das projekt l uft unter dem namen proton  auf der plattform reddit wird derzeit die erste sichtbare  nderung diskutiert  sie betrifft die tabs  jene  nderungen sind sichtbar  wenn man den browser in seiner nightly version nutzt  dazu  ber eingabe von about:config in der konfiguration den wert browser proton tabs enabled auf  true  umstellt und den browser neu startet _x000D_
viel dar ber muss man nicht schreiben  sie sind optisch prominenter  da gr  er (in unserem screenshot links)  ein aufregen ergibt daher keinen sinn  da das jetzige erscheinungsbild nicht final ist  zudem zeigt sich der firefox generell immer recht anpassungsfreudig  sodass nutzer sp ter bei nichtgefallen sicherlich den einen oder anderen tweak anwenden k nnen  spa fakt: sie sind unter proton auch kaum gr  er als die von chrome im standard  zudem nutzen sie die volle h he aus _x000D_
   zum beitrag firefox proton: erste design nderung betrifft die tabs_x000D_
_x000D_
   zum blog caschys blog_x000D_
_x000D_
_x000D_
_x000D_
_x000D_
_x000D_
_x000D_
      _x000D_
caschyfirefox proton: erste design nderung betrifft die tabshttp:  feedproxy google com  r stadt bremerhaven dqxm  3 zdxplw whb0    https:  stadt bremerhaven de  p 1030843   http:  feedproxy google com  r stadt bremerhaven dqXM  3 zdxPLw wHb0    Firefox Proton: Erste Design nderung betrifft die Tabs    caschy   1611426370    p  a target   blank  rel  noreferrer  href  https:  stadt bremerhaven de wp content uploads 2021 01 ImageJoiner 2021 01 23 at 7 09 11 PM jpg   img src  https:  stadt bremerhaven de wp content uploads 2021 01 ImageJoiner 2021 01 23 at 7 09 11 PM jpg  alt    width  1200  height  790      a   p _x000D_
 p  a target   blank  rel  noreferrer  href  https:  stadt bremerhaven de firefox proton mozilla arbeitet an neuem design fuer den browser   Wir berichteten dar ber  a   dass man seitens Mozilla plant  dem Browser Firefox eine neue Optik zugutekommen zu lassen  Das Projekt l uft unter dem Namen Proton  Auf der Plattform Reddit wird derzeit die erste sichtbare  nderung  a target   blank  rel  noreferrer  href  https:  www reddit com r firefox comments l2khm0 proton tabs land in firefox nightly enable with   diskutiert  a   Sie betrifft die Tabs  Jene  nderungen sind sichtbar  wenn man den Browser in seiner Nightly Version nutzt  dazu  ber Eingabe von about:config in der Konfiguration den Wert browser proton tabs enabled auf  true  umstellt und den Browser neu startet   p _x000D_
 p Viel dar ber muss man nicht schreiben  sie sind optisch prominenter  da gr  er (in unserem Screenshot links)  Ein Aufregen ergibt daher keinen Sinn  da das jetzige Erscheinungsbild nicht final ist  zudem zeigt sich der Firefox generell immer recht anpassungsfreudig  sodass Nutzer sp ter bei Nichtgefallen sicherlich den einen oder anderen Tweak anwenden k nnen  Spa fakt: Sie sind unter Proton auch kaum gr  er als die von Chrome im Standard  zudem nutzen sie die volle H he aus   p _x000D_
 p   gt  Zum Beitrag  a target   blank  rel  noreferrer  href  https:  stadt bremerhaven de firefox proton erste design aenderung betrifft die tabs   Firefox Proton: Erste Design nderung betrifft die Tabs  a _x000D_
  p  p _x000D_
  gt  Zum Blog  a target   blank  rel  noreferrer  href  https:  stadt bremerhaven de  Caschys Blog  a _x000D_
_x000D_
  p  p   p  center _x000D_
 iframe width  300  height  250  scrolling  no  marginwidth  0  style  border:none   frameborder  0    iframe _x000D_
  center _x000D_
_x000D_
 div _x000D_
 a target   blank  rel  noreferrer  href  http:  feeds feedburner com  ff stadt bremerhaven dqXM a zdxPLw wHb0:9Exbb1QxxIM:D7DqB2pKExk   img src  http:  feeds feedburner com  ff stadt bremerhaven dqXM i zdxPLw wHb0:9Exbb1QxxIM:D7DqB2pKExk  border  0  alt  dqXM i zdxPLw wHb0:9Exbb1QxxIM:D7DqB2pKExk      a   a target   blank  rel  noreferrer  href  http:  feeds feedburner com  ff stadt bremerhaven dqXM a zdxPLw wHb0:9Exbb1QxxIM:ACf c HutVc   img src  http:  feeds feedburner com  ff stadt bremerhaven dqXM d ACf c HutVc  border  0  alt  dqXM d ACf c HutVc      a   a target   blank  rel  noreferrer  href  http:  feeds feedburner com  ff stadt bremerhaven dqXM a zdxPLw wHb0:9Exbb1QxxIM:F7zBnMyn0Lo   img src  http:  feeds feedburner com  ff stadt bremerhaven dqXM i zdxPLw wHb0:9Exbb1QxxIM:F7zBnMyn0Lo  border  0  alt  dqXM i zdxPLw wHb0:9Exbb1QxxIM:F7zBnMyn0Lo      a   a target   blank  rel  noreferrer  href  http:  feeds feedburner com  ff stadt bremerhaven dqXM a zdxPLw wHb0:9Exbb1QxxIM:7Q72WNTAKBA   img src  http:  feeds feedburner com  ff stadt bremerhaven dqXM d 7Q72WNTAKBA  border  0  alt  dqXM d 7Q72WNTAKBA      a   a target   blank  rel  noreferrer  href  http:  feeds feedburner com  ff stadt bremerhaven dqXM a zdxPLw wHb0:9Exbb1QxxIM:V sGLiPBpWU   img src  http:  feeds feedburner com  ff stadt bremerhaven dqXM i zdxPLw wHb0:9Exbb1QxxIM:V sGLiPBpWU  border  0  alt  dqXM i zdxPLw wHb0:9Exbb1QxxIM:V sGLiPBpWU      a   a target   blank  rel  noreferrer  href  http:  feeds feedburner com  ff stadt bremerhaven dqXM a zdxPLw wHb0:9Exbb1QxxIM:gIN9vFwOqvQ   img src  http:  feeds feedburner com  ff stadt bremerhaven dqXM i zdxPLw wHb0:9Exbb1QxxIM:gIN9vFwOqvQ  border  0  alt  dqXM i zdxPLw wHb0:9Exbb1QxxIM:gIN9vFwOqvQ      a   a target   blank  rel  noreferrer  href  http:  feeds feedburner com  ff stadt bremerhaven dqXM a zdxPLw wHb0:9Exbb1QxxIM:yIl2AUoC8zA   img src  http:  feeds feedburner com  ff stadt bremerhaven dqXM d yIl2AUoC8zA  border  0  alt  dqXM d yIl2AUoC8zA      a _x000D_
  div  img src  http:  feeds feedburner com  r stadt bremerhaven dqXM  4 zdxPLw wHb0  height  1  width  1  alt         NULL             NULL                  99        0   1611576149069901           NULL        0         1   NULL              NULL               _x000D_
                                                                                                                                                                                                                                                                                                                                                                                                                                                                                                                                                                                                                                                                                                                                                                                                                                                                                                                                                                                                                                                                                                                                                                                                                                                                                                                                                                                                                                                                                                                                                                                                                                                                                                                                                                                                                                                                                                                                                                                                                                                                                                                                                                                                                                                                                                                                                                                                                                                                                                                                                                                                                                                                                                                                                                                                                                                                                                                                                                                                                                                                                                                                                                                                                                                                                                                                                                                                                                                                                                                                                                                                                                                                                                                                                                                                                                                                                                                                                                                                                                                                                                                                                                                                                                                                                                                                                                                                                                                                                                                                                                                                                                                                                                                                                                                                                                                                                                                                                                                                                                                                                                                                                                                                                                                                                                                                                                                                                                                                                                                                                                                                                                                                                                                                                                                                                                                                                </t>
  </si>
  <si>
    <t>Blankj-AndroidUtilCode-1438</t>
  </si>
  <si>
    <t>No ApiUtils of com.blankj.utilcode.util.ApiUtils in project ':app'.</t>
  </si>
  <si>
    <t xml:space="preserve">      Bug_x000D_
_x000D_
  4 1 1 beta AndroidStudio   4 2 0 beta03  gradle 6 7 1 bin     _x000D_
_x000D_
       _x000D_
_x000D_
       _x000D_
   java_x000D_
CrashUtils init() _x000D_
   _x000D_
   _x000D_
   _x000D_
put your code here_x000D_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_x000D_
_x000D_
                    _x000D_
_x000D_
_x000D_
              _x000D_
_x000D_
      AndroidUtilCode (https:  github com Blankj AndroidUtilCode) _x000D_
</t>
  </si>
  <si>
    <t>nextcloud-android-7893</t>
  </si>
  <si>
    <t>Nextcloud application keeps crashing on my One Plus 8 running Android 11</t>
  </si>
  <si>
    <t xml:space="preserve">Since the update to Android 11 the nextcloud application keeps crashing when beeing used (upload data download data viewing data) something like this never happened before the update to Android 11 or on other operating systems  Please fix this problem (the cause of the error is under this message)
             CAUSE OF ERROR             
android app RemoteServiceException: Context startForegroundService() did not then call Service startForeground(): ServiceRecord d927a9a u0 com nextcloud client  media PlayerService 
	at android app ActivityThread H handleMessage(ActivityThread java:2137)
	at android os Handler dispatchMessage(Handler java:106)
	at android os Looper loop(Looper java:233)
	at android app ActivityThread main(ActivityThread java:7959)
	at java lang reflect Method invoke(Native Method)
	at com android internal os RuntimeInit MethodAndArgsCaller run(RuntimeInit java:631)
	at com android internal os ZygoteInit main(ZygoteInit java:978)
             APP INFORMATION             
ID: com nextcloud client
Version: 30140090
Build flavor: gplay
             DEVICE INFORMATION             
Brand: OnePlus
Device: OnePlus8
Model: IN2013
Id: RP1A 201005 001
Product: OnePlus8 EEA
             FIRMWARE             
SDK: 30
Release: 11
Incremental: 2012102310
</t>
  </si>
  <si>
    <t>nextcloud-android-7891</t>
  </si>
  <si>
    <t>App crash during QR scan</t>
  </si>
  <si>
    <t xml:space="preserve">    Steps to reproduce_x000D_
1  Start app_x000D_
2  Choose  Login with QR code  _x000D_
3  Scan QR code_x000D_
_x000D_
    Expected behaviour_x000D_
  continue login_x000D_
_x000D_
    Actual behaviour_x000D_
  app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7 0_x000D_
_x000D_
Device model: Samsung Galaxy Tab S2 (SM T719)_x000D_
_x000D_
Stock or customized system: Stock_x000D_
_x000D_
Nextcloud app version: (latest F Droid version  just installed it)_x000D_
_x000D_
Nextcloud server version: Storage Share 19 0 3_x000D_
_x000D_
Reverse proxy: N A  managed instance_x000D_
_x000D_
    Logs_x000D_
     Web server error log_x000D_
N A_x000D_
_x000D_
     Nextcloud log (data nextcloud log)_x000D_
_x000D_
             CAUSE OF ERROR             _x000D_
_x000D_
java lang NullPointerException: Attempt to invoke virtual method  void android view View setVisibility(int)  on a null object reference_x000D_
	at com owncloud android authentication AuthenticatorActivity onAuthenticatorTaskCallback(AuthenticatorActivity java:1186)_x000D_
	at com owncloud android authentication AuthenticatorAsyncTask onPostExecute(AuthenticatorAsyncTask java:100)_x000D_
	at com owncloud android authentication AuthenticatorAsyncTask onPostExecute(AuthenticatorAsyncTask java:43)_x000D_
	at android os AsyncTask finish(AsyncTask java:660)_x000D_
	at android os AsyncTask  wrap1(AsyncTask java)_x000D_
	at android os AsyncTask InternalHandler handleMessage(AsyncTask java:677)_x000D_
	at android os Handler dispatchMessage(Handler java:102)_x000D_
	at android os Looper loop(Looper java:154)_x000D_
	at android app ActivityThread main(ActivityThread java:6780)_x000D_
	at java lang reflect Method invoke(Native Method)_x000D_
	at com android internal os ZygoteInit MethodAndArgsCaller run(ZygoteInit java:1500)_x000D_
	at com android internal os ZygoteInit main(ZygoteInit java:1390)_x000D_
_x000D_
             APP INFORMATION             _x000D_
ID: com nextcloud client_x000D_
Version: 30140190_x000D_
Build flavor: generic_x000D_
_x000D_
             DEVICE INFORMATION             _x000D_
Brand: samsung_x000D_
Device: gts28velte_x000D_
Model: SM T719_x000D_
Id: NRD90M_x000D_
Product: gts28veltexx_x000D_
_x000D_
             FIRMWARE             _x000D_
SDK: 24_x000D_
Release: 7 0_x000D_
Incremental: T719XXS2BTJ1_x000D_
</t>
  </si>
  <si>
    <t>AOF-Dev-MCinaBox-877</t>
  </si>
  <si>
    <t>When i press Select version and play it crashes mcinabox</t>
  </si>
  <si>
    <t xml:space="preserve">  Describe the crash  _x000D_
Well  read the   To Reproduce section   to know what the crash does_x000D_
_x000D_
  To Reproduce  _x000D_
Steps to reproduce the behavior:_x000D_
1  Go to: home menu in mcinabox_x000D_
2  Click on: select version and play_x000D_
3  See error_x000D_
_x000D_
  Expected behavior  _x000D_
I expected it to work the 6 5th time  but whenever i select  Select version and play  wheather its forge or vanilla  it brings me back to the mcinabox home menu and when i press again it crashes mcinabox saying  unfortunetly  mcinabox has stopped _x000D_
_x000D_
  Screenshots  _x000D_
(Screenshot unavailable)_x000D_
_x000D_
  Smartphone  _x000D_
   Device: Samsung J7 Prime_x000D_
   OS: Android 6 0 2_x000D_
   App Version 0 1 3_x000D_
   CPU architecture Armv8l_x000D_
</t>
  </si>
  <si>
    <t>PojavLauncherTeam-PojavLauncher-696</t>
  </si>
  <si>
    <t xml:space="preserve">[BUG]The game will crash when I use the computer </t>
  </si>
  <si>
    <t xml:space="preserve">          beggining with launcher debug_x000D_
Info: LWJGL3 directory:  lwjgl tinyfd jar  jsr305 jar  lwjgl jar  lwjgl glfw classes jar  lwjgl openal jar  version  lwjgl jemalloc jar  lwjgl stb jar  lwjgl opengl jar _x000D_
Architecture: arm64 aarch64_x000D_
Info: Custom Java arguments:   Xmx3072m  Xms3072m  Xmn768m  XX: DisableExplicitGC  XX: UseConcMarkSweepGC  XX: UseParNewGC  XX: UseNUMA  XX: CMSParallelRemarkEnabled  XX:MaxTenuringThreshold 15  XX:MaxGCPauseMillis 30  XX:GCPauseIntervalMillis 150  XX: UseAdaptiveGCBoundary  XX: UseGCOverheadLimit  XX: UseBiasedLocking  XX:SurvivorRatio 8  XX:TargetSurvivorRatio 90  XX:MaxTenuringThreshold 15  Dfml ignorePatchDiscrepancies true  Dfml ignoreInvalidMinecraftCertificates true  XX: UseFastAccessorMethods  XX: UseCompressedOops  XX: OptimizeStringConcat  XX: AggressiveOpts  XX:ReservedCodeCacheSize 2048m  XX: UseCodeCacheFlushing  XX:SoftRefLRUPolicyMSPerMB 10000  XX:ParallelGCThreads 10 _x000D_
Headless version detected  (19600101)_x000D_
          beginning of main_x000D_
I jrelog  ( 5332): WARNING: linker: Warning:   data data net kdt pojavlaunch jre runtime lib aarch64 jli libjli so  unused DT entry: DT RPATH (type 0xf arg 0x361) (ignoring)_x000D_
I jrelog  ( 5332): WARNING: linker: Warning:   data data net kdt pojavlaunch jre runtime lib aarch64 jli libjli so  has unsupported flags DT FLAGS 1 0x81 (ignoring unsupported flags)_x000D_
I jrelog  ( 5332): dlopen  data user 0 net kdt pojavlaunch jre runtime lib aarch64 jli libjli so success_x000D_
I jrelog  ( 5332): dlopen  data user 0 net kdt pojavlaunch jre runtime lib aarch64 server libjvm so success_x000D_
I jrelog  ( 5332): dlopen  data user 0 net kdt pojavlaunch jre runtime lib aarch64 libverify so success_x000D_
I jrelog  ( 5332): WARNING: linker: Warning:   data data net kdt pojavlaunch jre runtime lib aarch64 libverify so  unused DT entry: DT RPATH (type 0xf arg 0x450) (ignoring)_x000D_
I jrelog  ( 5332): WARNING: linker: Warning:   data data net kdt pojavlaunch jre runtime lib aarch64 libverify so  has unsupported flags DT FLAGS 1 0x81 (ignoring unsupported flags)_x000D_
I jrelog  ( 5332): dlopen  data user 0 net kdt pojavlaunch jre runtime lib aarch64 libjava so success_x000D_
I jrelog  ( 5332): WARNING: linker: Warning:   data data net kdt pojavlaunch jre runtime lib aarch64 libjava so  unused DT entry: DT RPATH (type 0xf arg 0x33c0) (ignoring)_x000D_
I jrelog  ( 5332): WARNING: linker: Warning:   data data net kdt pojavlaunch jre runtime lib aarch64 libjava so  has unsupported flags DT FLAGS 1 0x81 (ignoring unsupported flags)_x000D_
I jrelog  ( 5332): WARNING: linker: Warning:   data data net kdt pojavlaunch jre runtime lib aarch64 libnet so  unused DT entry: DT RPATH (type 0xf arg 0x13b8) (ignoring)_x000D_
I jrelog  ( 5332): WARNING: linker: Warning:   data data net kdt pojavlaunch jre runtime lib aarch64 libnet so  has unsupported flags DT FLAGS 1 0x81 (ignoring unsupported flags)_x000D_
I jrelog  ( 5332): dlopen  data user 0 net kdt pojavlaunch jre runtime lib aarch64 libnet so success_x000D_
I jrelog  ( 5332): dlopen  data user 0 net kdt pojavlaunch jre runtime lib aarch64 libnio so success_x000D_
I jrelog  ( 5332): WARNING: linker: Warning:   data data net kdt pojavlaunch jre runtime lib aarch64 libnio so  unused DT entry: DT RPATH (type 0xf arg 0x2196) (ignoring)_x000D_
I jrelog  ( 5332): WARNING: linker: Warning:   data data net kdt pojavlaunch jre runtime lib aarch64 libnio so  has unsupported flags DT FLAGS 1 0x81 (ignoring unsupported flags)_x000D_
I jrelog  ( 5332): WARNING: linker: Warning:   data data net kdt pojavlaunch jre runtime lib aarch64 libawt so  unused DT entry: DT RPATH (type 0xf arg 0x6a46) (ignoring)_x000D_
I jrelog  ( 5332): WARNING: linker: Warning:   data data net kdt pojavlaunch jre runtime lib aarch64 libawt so  has unsupported flags DT FLAGS 1 0x81 (ignoring unsupported flags)_x000D_
I jrelog  ( 5332): dlopen  data user 0 net kdt pojavlaunch jre runtime lib aarch64 libawt so success_x000D_
I jrelog  ( 5332): WARNING: linker: _x000D_
I jrelog  ( 5332): Warning:  _x000D_
I jrelog  ( 5332):  data data net kdt pojavlaunch jre runtime lib aarch64 libawt headless so_x000D_
I jrelog  ( 5332):   unused DT entry: _x000D_
I jrelog  ( 5332): DT RPATH_x000D_
I jrelog  ( 5332):  (type _x000D_
I jrelog  ( 5332): 0xf_x000D_
I jrelog  ( 5332):  arg _x000D_
I jrelog  ( 5332): 0x4d9_x000D_
I jrelog  ( 5332): ) (ignoring)_x000D_
I jrelog  ( 5332): _x000D_
I jrelog  ( 5332): WARNING: linker: _x000D_
I jrelog  ( 5332): Warning:  _x000D_
I jrelog  ( 5332):  data data net kdt pojavlaunch jre runtime lib aarch64 libawt headless so_x000D_
I jrelog  ( 5332):   has unsupported flags DT FLAGS 1 _x000D_
I jrelog  ( 5332): 0x81_x000D_
I jrelog  ( 5332):  (ignoring unsupported flags)_x000D_
I jrelog  ( 5332): _x000D_
I jrelog  ( 5332): dlopen  data user 0 net kdt pojavlaunch jre runtime lib aarch64 libawt headless so success_x000D_
I jrelog  ( 5332): dlopen  data user 0 net kdt pojavlaunch jre runtime lib aarch64 libfreetype so success_x000D_
I jrelog  ( 5332): WARNING: linker: Warning:   data data net kdt pojavlaunch jre runtime lib aarch64 libfontmanager so  unused DT entry: DT RPATH (type 0xf arg 0xda0) (ignoring)_x000D_
I jrelog  ( 5332): WARNING: linker: Warning:   data data net kdt pojavlaunch jre runtime lib aarch64 libfontmanager so  has unsupported flags DT FLAGS 1 0x81 (ignoring unsupported flags)_x000D_
I jrelog  ( 5332): dlopen  data user 0 net kdt pojavlaunch jre runtime lib aarch64 libfontmanager so success_x000D_
I jrelog  ( 5332): WARNING: linker: _x000D_
I jrelog  ( 5332): Warning:  _x000D_
I jrelog  ( 5332):  data data net kdt pojavlaunch jre runtime lib aarch64 libj2gss so_x000D_
I jrelog  ( 5332):   unused DT entry: _x000D_
I jrelog  ( 5332): DT RPATH_x000D_
I jrelog  ( 5332):  (type _x000D_
I jrelog  ( 5332): 0xf_x000D_
I jrelog  ( 5332):  arg _x000D_
I jrelog  ( 5332): 0x6c1_x000D_
I jrelog  ( 5332): ) (ignoring)_x000D_
I jrelog  ( 5332): _x000D_
I jrelog  ( 5332): WARNING: linker: _x000D_
I jrelog  ( 5332): Warning:  _x000D_
I jrelog  ( 5332):  data data net kdt pojavlaunch jre runtime lib aarch64 libj2gss so_x000D_
I jrelog  ( 5332):   has unsupported flags DT FLAGS 1 _x000D_
I jrelog  ( 5332): 0x81_x000D_
I jrelog  ( 5332):  (ignoring unsupported flags)_x000D_
I jrelog  ( 5332): _x000D_
I jrelog  ( 5332): dlopen  data user 0 net kdt pojavlaunch jre runtime lib aarch64 libj2gss so success_x000D_
I jrelog  ( 5332): dlopen  data user 0 net kdt pojavlaunch jre runtime lib aarch64 libfontmanager so success_x000D_
I jrelog  ( 5332): WARNING: linker: Warning:  _x000D_
I jrelog  ( 5332):  data data net kdt pojavlaunch jre runtime lib aarch64 libtinyiconv so  unused DT entry: DT RPATH (type 0xf arg 0x23a) (ignoring)_x000D_
I jrelog  ( 5332): WARNING: linker: Warning:   data data net kdt pojavlaunch jre runtime lib aarch64 libtinyiconv so  has unsupported flags DT FLAGS 1 0x81_x000D_
I jrelog  ( 5332):  (ignoring unsupported flags)_x000D_
I jrelog  ( 5332): dlopen  data user 0 net kdt pojavlaunch jre runtime lib aarch64 libtinyiconv so success_x000D_
I jrelog  ( 5332): dlopen  data user 0 net kdt pojavlaunch jre runtime lib aarch64 libawt xawt so success_x000D_
I jrelog  ( 5332): WARNING: linker: Warning:   data data net kdt pojavlaunch jre runtime lib aarch64 libnpt so  unused DT entry: DT RPATH (type 0xf arg 0xd5) (ignoring)_x000D_
I jrelog  ( 5332): WARNING: linker: Warning:   data data net kdt pojavlaunch jre runtime lib aarch64 libnpt so  has unsupported flags DT FLAGS 1 0x81 (ignoring unsupported flags)_x000D_
I jrelog  ( 5332): dlopen  data user 0 net kdt pojavlaunch jre runtime lib aarch64 libnpt so success_x000D_
I jrelog  ( 5332): WARNING: linker: Warning:   data data net kdt pojavlaunch jre runtime lib aarch64 libjava crw demo so  unused DT entry: DT RPATH (type 0xf arg 0xe6) (ignoring)_x000D_
I jrelog  ( 5332): WARNING: linker: Warning:   data data net kdt pojavlaunch jre runtime lib aarch64 libjava crw demo so  has unsupported flags DT FLAGS 1 0x81 (ignoring unsupported flags)_x000D_
I jrelog  ( 5332): dlopen  data user 0 net kdt pojavlaunch jre runtime lib aarch64 libjava crw demo so success_x000D_
I jrelog  ( 5332): dlopen  data user 0 net kdt pojavlaunch jre runtime lib aarch64 libjava so success_x000D_
I jrelog  ( 5332): WARNING: linker: Warning:   data data net kdt pojavlaunch jre runtime lib aarch64 libjsound so  unused DT entry: DT RPATH (type 0xf arg 0x119) (ignoring)_x000D_
I jrelog  ( 5332): WARNING: linker: Warning:   data data net kdt pojavlaunch jre runtime lib aarch64 libjsound so  has unsupported flags DT FLAGS 1 0x81 (ignoring unsupported flags)_x000D_
I jrelog  ( 5332): dlopen  data user 0 net kdt pojavlaunch jre runtime lib aarch64 libjsound so success_x000D_
I jrelog  ( 5332): dlopen  data user 0 net kdt pojavlaunch jre runtime lib aarch64 libsunec so success_x000D_
I jrelog  ( 5332): dlopen  data user 0 net kdt pojavlaunch jre runtime lib aarch64 libnet so success_x000D_
I jrelog  ( 5332): dlopen  data user 0 net kdt pojavlaunch jre runtime lib aarch64 libawt headless so success_x000D_
I jrelog  ( 5332): WARNING: linker: _x000D_
I jrelog  ( 5332): Warning:  _x000D_
I jrelog  ( 5332):  data data net kdt pojavlaunch jre runtime lib aarch64 libzip so_x000D_
I jrelog  ( 5332):   unused DT entry: _x000D_
I jrelog  ( 5332): DT RPATH_x000D_
I jrelog  ( 5332):  (type _x000D_
I jrelog  ( 5332): 0xf_x000D_
I jrelog  ( 5332):  arg _x000D_
I jrelog  ( 5332): 0x8ff_x000D_
I jrelog  ( 5332): ) (ignoring)_x000D_
I jrelog  ( 5332): _x000D_
I jrelog  ( 5332): WARNING: linker: _x000D_
I jrelog  ( 5332): Warning:  _x000D_
I jrelog  ( 5332):  data data net kdt pojavlaunch jre runtime lib aarch64 libzip so_x000D_
I jrelog  ( 5332):   has unsupported flags DT FLAGS 1 0x81 (ignoring unsupported flags)_x000D_
I jrelog  ( 5332): dlopen  data user 0 net kdt pojavlaunch jre runtime lib aarch64 libzip so success_x000D_
I jrelog  ( 5332): WARNING: linker: _x000D_
I jrelog  ( 5332): Warning:  _x000D_
I jrelog  ( 5332):  data data net kdt pojavlaunch jre runtime lib aarch64 libmlib image so_x000D_
I jrelog  ( 5332):   unused DT entry: _x000D_
I jrelog  ( 5332): DT RPATH_x000D_
I jrelog  ( 5332):  (type _x000D_
I jrelog  ( 5332): 0xf_x000D_
I jrelog  ( 5332):  arg _x000D_
I jrelog  ( 5332): 0x158_x000D_
I jrelog  ( 5332): ) (ignoring)_x000D_
I jrelog  ( 5332): _x000D_
I jrelog  ( 5332): WARNING: linker: _x000D_
I jrelog  ( 5332): Warning:  _x000D_
I jrelog  ( 5332):  data data net kdt pojavlaunch jre runtime lib aarch64 libmlib image so_x000D_
I jrelog  ( 5332):   has unsupported flags DT FLAGS 1 _x000D_
I jrelog  ( 5332): 0x81_x000D_
I jrelog  ( 5332):  (ignoring unsupported flags)_x000D_
I jrelog  ( 5332): _x000D_
I jrelog  ( 5332): dlopen  data user 0 net kdt pojavlaunch jre runtime lib aarch64 libmlib image so success_x000D_
I jrelog  ( 5332): WARNING: linker: _x000D_
I jrelog  ( 5332): Warning:  _x000D_
I jrelog  ( 5332):  data data net kdt pojavlaunch jre runtime lib aarch64 libjpeg so_x000D_
I jrelog  ( 5332):   unused DT entry: _x000D_
I jrelog  ( 5332): DT RPATH_x000D_
I jrelog  ( 5332):  (type _x000D_
I jrelog  ( 5332): 0xf_x000D_
I jrelog  ( 5332):  arg _x000D_
I jrelog  ( 5332): 0x5e6_x000D_
I jrelog  ( 5332): ) (ignoring)_x000D_
I jrelog  ( 5332): _x000D_
I jrelog  ( 5332): WARNING: linker: _x000D_
I jrelog  ( 5332): Warning:  _x000D_
I jrelog  ( 5332):  data data net kdt pojavlaunch jre runtime lib aarch64 libjpeg so_x000D_
I jrelog  ( 5332):   has unsupported flags DT FLAGS 1 _x000D_
I jrelog  ( 5332): 0x81_x000D_
I jrelog  ( 5332):  (ignoring unsupported flags)_x000D_
I jrelog  ( 5332): _x000D_
I jrelog  ( 5332): dlopen  data user 0 net kdt pojavlaunch jre runtime lib aarch64 libjpeg so success_x000D_
I jrelog  ( 5332): dlopen  data user 0 net kdt pojavlaunch jre runtime lib aarch64 jli libjli so success_x000D_
I jrelog  ( 5332): dlopen  data user 0 net kdt pojavlaunch jre runtime lib aarch64 libnio so success_x000D_
I jrelog  ( 5332): WARNING: linker: _x000D_
I jrelog  ( 5332): Warning:  _x000D_
I jrelog  ( 5332):  data data net kdt pojavlaunch jre runtime lib aarch64 libinstrument so_x000D_
I jrelog  ( 5332):   unused DT entry: _x000D_
I jrelog  ( 5332): DT RPATH_x000D_
I jrelog  ( 5332):  (type _x000D_
I jrelog  ( 5332): 0xf_x000D_
I jrelog  ( 5332):  arg _x000D_
I jrelog  ( 5332): 0x3ed_x000D_
I jrelog  ( 5332): ) (ignoring)_x000D_
I jrelog  ( 5332): _x000D_
I jrelog  ( 5332): WARNING: linker: _x000D_
I jrelog  ( 5332): Warning:  _x000D_
I jrelog  ( 5332):  data data net kdt pojavlaunch jre runtime lib aarch64 libinstrument so_x000D_
I jrelog  ( 5332):   has unsupported flags DT FLAGS 1 _x000D_
I jrelog  ( 5332): 0x81_x000D_
I jrelog  ( 5332):  (ignoring unsupported flags)_x000D_
I jrelog  ( 5332): _x000D_
I jrelog  ( 5332): dlopen  data user 0 net kdt pojavlaunch jre runtime lib aarch64 libinstrument so success_x000D_
I jrelog  ( 5332): WARNING: linker: _x000D_
I jrelog  ( 5332): Warning:  _x000D_
I jrelog  ( 5332):  data data net kdt pojavlaunch jre runtime lib aarch64 libdt socket so_x000D_
I jrelog  ( 5332):   unused DT entry: _x000D_
I jrelog  ( 5332): DT RPATH_x000D_
I jrelog  ( 5332):  (type _x000D_
I jrelog  ( 5332): 0xf_x000D_
I jrelog  ( 5332):  arg _x000D_
I jrelog  ( 5332): 0x1c1_x000D_
I jrelog  ( 5332): ) (ignoring)_x000D_
I jrelog  ( 5332): _x000D_
I jrelog  ( 5332): WARNING: linker: _x000D_
I jrelog  ( 5332): Warning:  _x000D_
I jrelog  ( 5332):  data data net kdt pojavlaunch jre runtime lib aarch64 libdt socket so_x000D_
I jrelog  ( 5332):   has unsupported flags DT FLAGS 1 _x000D_
I jrelog  ( 5332): 0x81_x000D_
I jrelog  ( 5332):  (ignoring unsupported flags)_x000D_
I jrelog  ( 5332): _x000D_
I jrelog  ( 5332): dlopen  data user 0 net kdt pojavlaunch jre runtime lib aarch64 libdt socket so success_x000D_
I jrelog  ( 5332): WARNING: linker: _x000D_
I jrelog  ( 5332): Warning:  _x000D_
I jrelog  ( 5332):  data data net kdt pojavlaunch jre runtime lib aarch64 libjaas unix so_x000D_
I jrelog  ( 5332):   unused DT entry: _x000D_
I jrelog  ( 5332): DT RPATH_x000D_
I jrelog  ( 5332):  (type _x000D_
I jrelog  ( 5332): 0xf_x000D_
I jrelog  ( 5332):  arg _x000D_
I jrelog  ( 5332): 0x103_x000D_
I jrelog  ( 5332): ) (ignoring)_x000D_
I jrelog  ( 5332): _x000D_
I jrelog  ( 5332): WARNING: linker: _x000D_
I jrelog  ( 5332): Warning:  _x000D_
I jrelog  ( 5332):  data data net kdt pojavlaunch jre runtime lib aarch64 libjaas unix so_x000D_
I jrelog  ( 5332):   has unsupported flags DT FLAGS 1 _x000D_
I jrelog  ( 5332): 0x81_x000D_
I jrelog  ( 5332):  (ignoring unsupported flags)_x000D_
I jrelog  ( 5332): _x000D_
I jrelog  ( 5332): dlopen  data user 0 net kdt pojavlaunch jre runtime lib aarch64 libjaas unix so success_x000D_
I jrelog  ( 5332): dlopen  data user 0 net kdt pojavlaunch jre runtime lib aarch64 libawt so success_x000D_
I jrelog  ( 5332): dlopen  data user 0 net kdt pojavlaunch jre runtime lib aarch64 server libjvm so success_x000D_
I jrelog  ( 5332): WARNING: linker: _x000D_
I jrelog  ( 5332): Warning:  _x000D_
I jrelog  ( 5332):  data data net kdt pojavlaunch jre runtime lib aarch64 libjsdt so_x000D_
I jrelog  ( 5332):   unused DT entry: _x000D_
I jrelog  ( 5332): DT RPATH_x000D_
I jrelog  ( 5332):  (type _x000D_
I jrelog  ( 5332): 0xf_x000D_
I jrelog  ( 5332):  arg _x000D_
I jrelog  ( 5332): 0x139_x000D_
I jrelog  ( 5332): ) (ignoring)_x000D_
I jrelog  ( 5332): _x000D_
I jrelog  ( 5332): WARNING: linker: _x000D_
I jrelog  ( 5332): Warning:  _x000D_
I jrelog  ( 5332):  data data net kdt pojavlaunch jre runtime lib aarch64 libjsdt so_x000D_
I jrelog  ( 5332):   has unsupported flags DT FLAGS 1 _x000D_
I jrelog  ( 5332): 0x81_x000D_
I jrelog  ( 5332):  (ignoring unsupported flags)_x000D_
I jrelog  ( 5332): _x000D_
I jrelog  ( 5332): dlopen  data user 0 net kdt pojavlaunch jre runtime lib aarch64 libjsdt so success_x000D_
I jrelog  ( 5332): dlopen  data user 0 net kdt pojavlaunch jre runtime lib aarch64 libj2pkcs11 so success_x000D_
I jrelog  ( 5332): WARNING: linker: Warning:   data data net kdt pojavlaunch jre runtime lib aarch64 libj2pkcs11 so  unused DT entry: DT RPATH (type 0xf arg 0xf13) (ignoring)_x000D_
I jrelog  ( 5332): WARNING: linker: Warning:   data data net kdt pojavlaunch jre runtime lib aarch64 libj2pkcs11 so  has unsupported flags DT FLAGS 1 0x81 (ignoring unsupported flags)_x000D_
I jrelog  ( 5332): dlopen  data user 0 net kdt pojavlaunch jre runtime lib aarch64 libjsig so success_x000D_
I jrelog  ( 5332): dlopen  data user 0 net kdt pojavlaunch jre runtime lib aarch64 libfreetype so success_x000D_
I jrelog  ( 5332): dlopen  data user 0 net kdt pojavlaunch jre runtime lib aarch64 libverify so success_x000D_
I jrelog  ( 5332): WARNING: linker: _x000D_
I jrelog  ( 5332): Warning:  _x000D_
I jrelog  ( 5332):  data data net kdt pojavlaunch jre runtime lib aarch64 libjdwp so_x000D_
I jrelog  ( 5332):   unused DT entry: _x000D_
I jrelog  ( 5332): DT RPATH_x000D_
I jrelog  ( 5332):  (type _x000D_
I jrelog  ( 5332): 0xf_x000D_
I jrelog  ( 5332):  arg _x000D_
I jrelog  ( 5332): 0x1c7_x000D_
I jrelog  ( 5332): ) (ignoring)_x000D_
I jrelog  ( 5332): _x000D_
I jrelog  ( 5332): WARNING: linker: _x000D_
I jrelog  ( 5332): Warning:  _x000D_
I jrelog  ( 5332):  data data net kdt pojavlaunch jre runtime lib aarch64 libjdwp so_x000D_
I jrelog  ( 5332):   has unsupported flags DT FLAGS 1 _x000D_
I jrelog  ( 5332): 0x81_x000D_
I jrelog  ( 5332):  (ignoring unsupported flags)_x000D_
I jrelog  ( 5332): _x000D_
I jrelog  ( 5332): dlopen  data user 0 net kdt pojavlaunch jre runtime lib aarch64 libjdwp so success_x000D_
I jrelog  ( 5332): WARNING: linker: _x000D_
I jrelog  ( 5332): Warning:  _x000D_
I jrelog  ( 5332):  data data net kdt pojavlaunch jre runtime lib aarch64 libmanagement so_x000D_
I jrelog  ( 5332):   unused DT entry: _x000D_
I jrelog  ( 5332): DT RPATH_x000D_
I jrelog  ( 5332):  (type _x000D_
I jrelog  ( 5332): 0xf_x000D_
I jrelog  ( 5332):  arg _x000D_
I jrelog  ( 5332): 0x16fe_x000D_
I jrelog  ( 5332): ) (ignoring)_x000D_
I jrelog  ( 5332): _x000D_
I jrelog  ( 5332): WARNING: linker: _x000D_
I jrelog  ( 5332): Warning:  _x000D_
I jrelog  ( 5332):  data data net kdt pojavlaunch jre runtime lib aarch64 libmanagement so_x000D_
I jrelog  ( 5332):   has unsupported flags DT FLAGS 1 _x000D_
I jrelog  ( 5332): 0x81_x000D_
I jrelog  ( 5332):  (ignoring unsupported flags)_x000D_
I jrelog  ( 5332): _x000D_
I jrelog  ( 5332): dlopen  data user 0 net kdt pojavlaunch jre runtime lib aarch64 libmanagement so success_x000D_
I jrelog  ( 5332): WARNING: linker: _x000D_
I jrelog  ( 5332): Warning:  _x000D_
I jrelog  ( 5332):  data data net kdt pojavlaunch jre runtime lib aarch64 libj2pcsc so_x000D_
I jrelog  ( 5332):   unused DT entry: _x000D_
I jrelog  ( 5332): DT RPATH_x000D_
I jrelog  ( 5332):  (type _x000D_
I jrelog  ( 5332): 0xf_x000D_
I jrelog  ( 5332):  arg _x000D_
I jrelog  ( 5332): 0x2e6_x000D_
I jrelog  ( 5332): ) (ignoring)_x000D_
I jrelog  ( 5332): _x000D_
I jrelog  ( 5332): WARNING: linker: _x000D_
I jrelog  ( 5332): Warning:  _x000D_
I jrelog  ( 5332):  data data net kdt pojavlaunch jre runtime lib aarch64 libj2pcsc so_x000D_
I jrelog  ( 5332):   has unsupported flags DT FLAGS 1 _x000D_
I jrelog  ( 5332): 0x81_x000D_
I jrelog  ( 5332):  (ignoring unsupported flags)_x000D_
I jrelog  ( 5332): _x000D_
I jrelog  ( 5332): dlopen  data user 0 net kdt pojavlaunch jre runtime lib aarch64 libj2pcsc so success_x000D_
I jrelog  ( 5332): WARNING: linker: _x000D_
I jrelog  ( 5332): Warning:  _x000D_
I jrelog  ( 5332):  data data net kdt pojavlaunch jre runtime lib aarch64 libjawt so_x000D_
I jrelog  ( 5332):   unused DT entry: _x000D_
I jrelog  ( 5332): DT RPATH_x000D_
I jrelog  ( 5332):  (type _x000D_
I jrelog  ( 5332): 0xf_x000D_
I jrelog  ( 5332):  arg _x000D_
I jrelog  ( 5332): 0x77_x000D_
I jrelog  ( 5332): ) (ignoring)_x000D_
I jrelog  ( 5332): _x000D_
I jrelog  ( 5332): WARNING: linker: _x000D_
I jrelog  ( 5332): Warning:  _x000D_
I jrelog  ( 5332):  data data net kdt pojavlaunch jre runtime lib aarch64 libjawt so_x000D_
I jrelog  ( 5332):   has unsupported flags DT FLAGS 1 _x000D_
I jrelog  ( 5332): 0x81_x000D_
I jrelog  ( 5332):  (ignoring unsupported flags)_x000D_
I jrelog  ( 5332): _x000D_
I jrelog  ( 5332): dlopen  data user 0 net kdt pojavlaunch jre runtime lib aarch64 libjawt so success_x000D_
I jrelog  ( 5332): WARNING: linker: Warning:   data data net kdt pojavlaunch jre runtime lib aarch64 liblcms so  unused DT entry: DT RPATH_x000D_
I jrelog  ( 5332):  (type 0xf arg 0x3f1) (ignoring)_x000D_
I jrelog  ( 5332): WARNING: linker: Warning:   data data net kdt pojavlaunch jre runtime lib aarch64 liblcms so  has unsupported flags DT FLAGS 1 0x81 (ignoring unsupported flags)_x000D_
I jrelog  ( 5332): _x000D_
I jrelog  ( 5332): dlopen  data user 0 net kdt pojavlaunch jre runtime lib aarch64 liblcms so success_x000D_
I jrelog  ( 5332): WARNING: linker: _x000D_
I jrelog  ( 5332): Warning:  _x000D_
I jrelog  ( 5332):  data data net kdt pojavlaunch jre runtime lib aarch64 libsctp so_x000D_
I jrelog  ( 5332):   unused DT entry: _x000D_
I jrelog  ( 5332): DT RPATH_x000D_
I jrelog  ( 5332):  (type _x000D_
I jrelog  ( 5332): 0xf_x000D_
I jrelog  ( 5332):  arg _x000D_
I jrelog  ( 5332): 0x6af_x000D_
I jrelog  ( 5332): ) (ignoring)_x000D_
I jrelog  ( 5332): _x000D_
I jrelog  ( 5332): WARNING: linker: _x000D_
I jrelog  ( 5332): Warning:  _x000D_
I jrelog  ( 5332):  data data net kdt pojavlaunch jre runtime lib aarch64 libsctp so_x000D_
I jrelog  ( 5332):   has unsupported flags DT FLAGS 1 _x000D_
I jrelog  ( 5332): 0x81_x000D_
I jrelog  ( 5332):  (ignoring unsupported flags)_x000D_
I jrelog  ( 5332): _x000D_
I jrelog  ( 5332): dlopen  data user 0 net kdt pojavlaunch jre runtime lib aarch64 libsctp so success_x000D_
I jrelog  ( 5332): WARNING: linker: Warning:   data data net kdt pojavlaunch jre runtime lib aarch64 libhprof so  unused DT entry: DT RPATH (type _x000D_
I jrelog  ( 5332): 0xf arg 0x1d2) (ignoring)_x000D_
I jrelog  ( 5332): WARNING: linker: Warning:   data data net kdt pojavlaunch jre runtime lib aarch64 libhprof so  has unsupported flags DT FLAGS 1 0x81 (ignoring unsupported flags)_x000D_
I jrelog  ( 5332): _x000D_
I jrelog  ( 5332): dlopen  data user 0 net kdt pojavlaunch jre runtime lib aarch64 libhprof so success_x000D_
I jrelog  ( 5332): WARNING: linker: Warning:   data data net kdt pojavlaunch jre runtime lib aarch64 libunpack so  unused DT entry: DT RPATH (type 0xf arg 0x364) (ignoring)_x000D_
I jrelog  ( 5332): WARNING: linker: Warning:   data data net kdt pojavlaunch jre runtime lib aarch64 libunpack so  has unsupported flags DT FLAGS 1 0x81 (ignoring unsupported flags)_x000D_
I jrelog  ( 5332): dlopen  data user 0 net kdt pojavlaunch jre runtime lib aarch64 libunpack so success_x000D_
I jrelog  ( 5332): dlopen  data app net kdt pojavlaunch 18smwCKT5IcUMBfnlLzQSQ   lib arm64 libopenal so success_x000D_
I jrelog  ( 5332): dlopen  data app net kdt pojavlaunch 18smwCKT5IcUMBfnlLzQSQ   lib arm64 libgl04es so success_x000D_
I jrelog  ( 5332): Done processing args_x000D_
I jrelog  ( 5332): Found JLI lib_x000D_
I jrelog  ( 5332): Calling JLI Launch_x000D_
I jrelog  ( 5332): OpenJDK 64 Bit Server VM warning: No monotonic clock was available   timed services may be adversely affected if the time of day clock changes_x000D_
I jrelog  ( 5332):  11:48:13   main INFO   LaunchWrapper : Loading tweak class name cpw mods fml common launcher FMLTweaker_x000D_
I jrelog  ( 5332):  11:48:14   main INFO   LaunchWrapper : Using primary tweak class name cpw mods fml common launcher FMLTweaker_x000D_
I jrelog  ( 5332):  11:48:14   main INFO   LaunchWrapper : Calling tweak class cpw mods fml common launcher FMLTweaker_x000D_
I jrelog  ( 5332):  11:48:14   main INFO   FML : Forge Mod Loader version 7 99 40 1614 for Minecraft 1 7 10 loading_x000D_
I jrelog  ( 5332):  11:48:14   main INFO   FML : Java is OpenJDK 64 Bit Server VM  version 1 8 0 internal  running on Linux:aarch64:Android 10  installed at  data user 0 net kdt pojavlaunch jre runtime_x000D_
I jrelog  ( 5332):  11:48:14   main INFO   LaunchWrapper : Loading tweak class name cpw mods fml common launcher FMLInjectionAndSortingTweaker_x000D_
I jrelog  ( 5332):  11:48:14   main INFO   LaunchWrapper : Loading tweak class name cpw mods fml common launcher FMLDeobfTweaker_x000D_
I jrelog  ( 5332):  11:48:14   main INFO   LaunchWrapper : Calling tweak class cpw mods fml common launcher FMLInjectionAndSortingTweaker_x000D_
I jrelog  ( 5332):  11:48:14   main INFO   LaunchWrapper : Calling tweak class cpw mods fml common launcher FMLInjectionAndSortingTweaker_x000D_
I jrelog  ( 5332):  11:48:14   main INFO   LaunchWrapper : Calling tweak class cpw mods fml relauncher CoreModManager FMLPluginWrapper_x000D_
I jrelog  ( 5332):  11:48:17   main INFO   FML : Found valid fingerprint for Minecraft Forge  Certificate fingerprint e3c3d50c7c986df74c645c0ac54639741c90a557_x000D_
I jrelog  ( 5332):  11:48:17   main INFO   FML : Found valid fingerprint for Minecraft  Certificate fingerprint cd99959656f753dc28d863b46769f7f8fbaefcfc_x000D_
I jrelog  ( 5332):  11:48:17   main INFO   LaunchWrapper : Calling tweak class cpw mods fml relauncher CoreModManager FMLPluginWrapper_x000D_
I jrelog  ( 5332):  11:48:17   main INFO   LaunchWrapper : Calling tweak class cpw mods fml common launcher FMLDeobfTweaker_x000D_
I jrelog  ( 5332):  11:48:19   main INFO   LaunchWrapper : Calling tweak class cpw mods fml relauncher CoreModManager FMLPluginWrapper_x000D_
I jrelog  ( 5332):  11:48:19   main INFO   FML : Java Version:  8  0 _x000D_
I jrelog  ( 5332):  11:48:19   main INFO   FML : Heap memory allocation: 3072000000_x000D_
I jrelog  ( 5332):  11:48:19   main INFO   FML : 40 Java arguments present:   XX: UseBiasedLocking   Dorg lwjgl opengl libname libgl04es so   XX:ParallelGCThreads 10   XX: CMSParallelRemarkEnabled   XX: UseConcMarkSweepGC   Dfml ignoreInvalidMinecraftCertificates true   Duser language zh   Dpojav path private account  data user 0 net kdt pojavlaunch accounts   XX: UseAdaptiveGCBoundary   XX: UseCompressedOops   Djava home  data user 0 net kdt pojavlaunch jre runtime   XX:GCPauseIntervalMillis 150   XX: DisableExplicitGC   XX_x000D_
I jrelog  ( 5332): :TargetSurvivorRatio 90   XX:SoftRefLRUPolicyMSPerMB 10000   XX:SurvivorRatio 8   Dfml earlyprogresswindow false   XX: OptimizeStringConcat   XX: AggressiveOpts   Duser home  storage emulated 0 games PojavLauncher   Dos version Android 10   XX: UseParNewGC   XX:MaxTenuringThreshold 15   XX:MaxGCPauseMillis 30   XX: UseCodeCacheFlushing   Dpojav path minecraft  storage emulated 0 games PojavLauncher  minecraft   Xmx3072m   Xmn768m   Dglfwstub windowHeight 1080   XX: UseNUMA   XX: UseFastAccessorMethods   Dg_x000D_
I jrelog  ( 5332): lfwstub windowWidth 2340   Dnet minecraft clientmodname PojavLauncher   XX:ReservedCodeCacheSize 2048m   Dos name Linux   Djava io tmpdir  data user 0 net kdt pojavlaunch cache   Xms3072m   Dfml ignorePatchDiscrepancies true   Dglfwstub initEgl false   XX: UseGCOverheadLimit _x000D_
I jrelog  ( 5332):  11:48:20   main INFO   Reika DragonAPI Libraries Java ReikaASMHelper : DragonAPI: Registered 151 ASM handlers  of which 149 are enabled _x000D_
I jrelog  ( 5332):  11:48:20   main INFO   LaunchWrapper : Calling tweak class cpw mods fml relauncher CoreModManager FMLPluginWrapper_x000D_
I jrelog  ( 5332):  11:48:20   main INFO   LaunchWrapper : Loading tweak class name cpw mods fml common launcher TerminalTweaker_x000D_
I jrelog  ( 5332):  11:48:20   main INFO   LaunchWrapper : Calling tweak class cpw mods fml common launcher TerminalTweaker_x000D_
I jrelog  ( 5332):  11:48:20   main INFO   LaunchWrapper : Launching wrapped minecraft  net minecraft client main Main _x000D_
I jrelog  ( 5332):  11:48:20   main INFO   FML : DRAGONAPI: OPTIFINE not detected _x000D_
I jrelog  ( 5332):  11:48:20   main INFO   FML : DRAGONAPI: LITELOADER not detected _x000D_
I jrelog  ( 5332):  11:48:20   main INFO   FML : DRAGONAPI: FASTCRAFT not detected _x000D_
I jrelog  ( 5332):  11:48:20   main INFO   FML : DRAGONAPI: VIVE not detected _x000D_
I jrelog  ( 5332):  11:48:20   main INFO   FML : DRAGONAPI: COLOREDLIGHTS not detected _x000D_
I jrelog  ( 5332):  11:48:20   main INFO   Reika DragonAPI Libraries Java ReikaASMHelper : DragonAPI: Running patcher MUSICTYPEEVENT  net minecraft client Minecraft bao _x000D_
I jrelog  ( 5332):  11:48:20   main INFO   Reika DragonAPI Libraries Java ReikaASMHelper : DragonAPI: Successfully applied MUSICTYPEEVENT  net minecraft client Minecraft bao  ASM handler _x000D_
I jrelog  ( 5332):  11:48:20   main INFO   Reika DragonAPI Libraries Java ReikaASMHelper : DragonAPI: Running patcher FRAMEBUFFERHOOK  net minecraft client Minecraft bao _x000D_
I jrelog  ( 5332):  11:48:20   main INFO   Reika DragonAPI Libraries Java ReikaASMHelper : DragonAPI: Successfully applied FRAMEBUFFERHOOK  net minecraft client Minecraft bao  ASM handler _x000D_
I jrelog  ( 5332):  11:48:20   main INFO   Reika DragonAPI Libraries Java ReikaASMHelper : DragonAPI: Running patcher PLAYERENTITYINVISIBILITYEVENT  net minecraft entity player EntityPlayer yz _x000D_
I jrelog  ( 5332):  11:48:20   main INFO   Reika DragonAPI Libraries Java ReikaASMHelper : DragonAPI: Successfully applied PLAYERENTITYINVISIBILITYEVENT  net minecraft entity player EntityPlayer yz  ASM handler _x000D_
I jrelog  ( 5332):  11:48:20   main INFO   Reika DragonAPI Libraries Java ReikaASMHelper : DragonAPI: Running patcher KEEPINVEVENT  net minecraft entity player EntityPlayer yz _x000D_
I jrelog  ( 5332):  11:48:20   main INFO   Reika DragonAPI Libraries Java ReikaASMHelper : DragonAPI: Successfully applied KEEPINVEVENT  net minecraft entity player EntityPlayer yz  ASM handler _x000D_
I jrelog  ( 5332):  11:48:20   main INFO   Reika DragonAPI Libraries Java ReikaASMHelper : DragonAPI: Running patcher TAMEDMOBBEDS  net minecraft entity player EntityPlayer yz _x000D_
I jrelog  ( 5332):  11:48:20   main INFO   Reika DragonAPI Libraries Java ReikaASMHelper : DragonAPI: Successfully applied TAMEDMOBBEDS  net minecraft entity player EntityPlayer yz  ASM handler _x000D_
I jrelog  ( 5332):  11:48:20   main INFO   Reika DragonAPI Libraries Java ReikaASMHelper : DragonAPI: Running patcher PLAYERRENDERPASS  net minecraft entity player EntityPlayer yz _x000D_
I jrelog  ( 5332):  11:48:20   main INFO   Reika DragonAPI Libraries Java ReikaASMHelper : DragonAPI: Successfully applied PLAYERRENDERPASS  net minecraft entity player EntityPlayer yz  ASM handler _x000D_
I jrelog  ( 5332):  11:48:20   main INFO   Reika DragonAPI Libraries Java ReikaASMHelper : DragonAPI: Running patcher GUIEVENT  net minecraft entity player EntityPlayer yz _x000D_
I jrelog  ( 5332):  11:48:20   main INFO   Reika DragonAPI Libraries Java ReikaASMHelper : DragonAPI: Successfully applied GUIEVENT  net minecraft entity player EntityPlayer yz  ASM handler _x000D_
I jrelog  ( 5332):  11:48:20   main INFO   Reika DragonAPI Libraries Java ReikaASMHelper : DragonAPI: Running patcher ENTITYDECREASEAIREVENT  net minecraft entity EntityLivingBase sv _x000D_
I jrelog  ( 5332):  11:48:20   main INFO   Reika DragonAPI Libraries Java ReikaASMHelper : DragonAPI: Successfully applied ENTITYDECREASEAIREVENT  net minecraft entity EntityLivingBase sv  ASM handler _x000D_
I jrelog  ( 5332):  11:48:21   main INFO   Reika DragonAPI Libraries Java ReikaASMHelper : DragonAPI: Running patcher PUSHENTITYOUT  net minecraft entity Entity sa _x000D_
I jrelog  ( 5332):  11:48:21   main INFO   Reika DragonAPI Libraries Java ReikaASMHelper : DragonAPI: Successfully applied PUSHENTITYOUT  net minecraft entity Entity sa  ASM handler _x000D_
I jrelog  ( 5332):  11:48:21   main INFO   Reika DragonAPI Libraries Java ReikaASMHelper : DragonAPI: Running patcher LAVAHANDLINGFIX  net minecraft entity Entity sa _x000D_
I jrelog  ( 5332):  11:48:21   main INFO   Reika DragonAPI Libraries Java ReikaASMHelper : DragonAPI: Successfully applied LAVAHANDLINGFIX  net minecraft entity Entity sa  ASM handler _x000D_
I jrelog  ( 5332):  11:48:21   main INFO   Reika DragonAPI Libraries Java ReikaASMHelper : DragonAPI: Running patcher BASICENTITYINVISIBILITYEVENT  net minecraft entity Entity sa _x000D_
I jrelog  ( 5332):  11:48:21   main INFO   Reika DragonAPI Libraries Java ReikaASMHelper : DragonAPI: Successfully applied BASICENTITYINVISIBILITYEVENT  net minecraft entity Entity sa  ASM handler _x000D_
I jrelog  ( 5332):  11:48:21   main INFO   Reika DragonAPI Libraries Java ReikaASMHelper : DragonAPI: Running patcher SETBLOCKLIGHT  net minecraft world World ahb _x000D_
I jrelog  ( 5332):  11:48:21   main INFO   Reika DragonAPI Libraries Java ReikaASMHelper : DragonAPI: Applied SETBLOCKLIGHT  net minecraft world World ahb  ASM handler 1 _x000D_
I jrelog  ( 5332):  11:48:21   main INFO   Reika DragonAPI Libraries Java ReikaASMHelper : DragonAPI: Applied SETBLOCKLIGHT  net minecraft world World ahb  ASM handler 2 _x000D_
I jrelog  ( 5332):  11:48:21   main INFO   Reika DragonAPI Libraries Java ReikaASMHelper : DragonAPI: Successfully applied SETBLOCKLIGHT  net minecraft world World ahb  ASM handler _x000D_
I jrelog  ( 5332):  11:48:21   main INFO   Reika DragonAPI Libraries Java ReikaASMHelper : DragonAPI: Running patcher ICECANCEL  net minecraft world World ahb _x000D_
I jrelog  ( 5332):  11:48:21   main INFO   Reika DragonAPI Libraries Java ReikaASMHelper : DragonAPI: Successfully applied ICECANCEL  net minecraft world World ahb  ASM handler _x000D_
I jrelog  ( 5332):  11:48:21   main INFO   Reika DragonAPI Libraries Java ReikaASMHelper : DragonAPI: Running patcher LIGHTVISUALBRIGHTNESS  net minecraft world World ahb _x000D_
I jrelog  ( 5332):  11:48:21   main INFO   Reika DragonAPI Libraries Java ReikaASMHelper : DragonAPI: Successfully applied LIGHTVISUALBRIGHTNESS  net minecraft world World ahb  ASM handler _x000D_
I jrelog  ( 5332):  11:48:21   main INFO   Reika DragonAPI Libraries Java ReikaASMHelper : DragonAPI: Running patcher STOPCHUNKLOADWORLD  net minecraft world World ahb _x000D_
I jrelog  ( 5332):  11:48:21   main INFO   Reika DragonAPI Libraries Java ReikaASMHelper : DragonAPI: Successfully applied STOPCHUNKLOADWORLD  net minecraft world World ahb  ASM handler _x000D_
I jrelog  ( 5332):  11:48:21   main INFO   Reika DragonAPI Libraries Java ReikaASMHelper : DragonAPI: Running patcher TILEUPDATE  net minecraft world World ahb _x000D_
I jrelog  ( 5332):  11:48:21   main INFO   Reika DragonAPI Libraries Java ReikaASMHelper : DragonAPI: Successfully applied TILEUPDATE  net minecraft world World ahb  ASM handler _x000D_
I jrelog  ( 5332):  11:48:21   main INFO   Reika DragonAPI Libraries Java ReikaASMHelper : DragonAPI: Running patcher MOBTARGETEVENT  net minecraft world World ahb _x000D_
I jrelog  ( 5332):  11:48:21   main INFO   Reika DragonAPI Libraries Java ReikaASMHelper : DragonAPI: Successfully applied MOBTARGETEVENT  net minecraft world World ahb  ASM handler _x000D_
I jrelog  ( 5332):  11:48:21   main INFO   Reika DragonAPI Libraries Java ReikaASMHelper : DragonAPI: Running patcher WEATHERSKYCOLORSTRENGTH  net minecraft world World ahb _x000D_
I jrelog  ( 5332):  11:48:21   main INFO   Reika </t>
  </si>
  <si>
    <t>TeamNewPipe-NewPipe-5486</t>
  </si>
  <si>
    <t>App crashed after watching a video in my playlist</t>
  </si>
  <si>
    <t xml:space="preserve">   Exception_x000D_
    User Action:   ui error_x000D_
    Request:   App crash  UI failure_x000D_
    Content Country:   IN_x000D_
    Content Language:   en IN_x000D_
    App Language:   en IN_x000D_
    Service:   none_x000D_
    Version:   0 20 8_x000D_
    OS:   Linux Nokia TA 1032 00WW NE1:9 PPR1 180610 011 00WW 5 180:user release keys 9   28_x000D_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java:873)_x000D_
	at android os Handler dispatchMessage(Handler java:99)_x000D_
	at android os Looper loop(Looper java:193)_x000D_
	at android app ActivityThread main(ActivityThread java:6702)_x000D_
	at java lang reflect Method invoke(Native Method)_x000D_
	at com android internal os RuntimeInit MethodAndArgsCaller run(RuntimeInit java:493)_x000D_
	at com android internal os ZygoteInit main(ZygoteInit java:911)_x000D_
_x000D_
   _x000D_
  details _x000D_
 hr _x000D_
</t>
  </si>
  <si>
    <t>PojavLauncherTeam-PojavLauncher-694</t>
  </si>
  <si>
    <t>[BUG] compatibility of newest game versions with mods</t>
  </si>
  <si>
    <t xml:space="preserve">  description  
some mods like Cyclic and PhysEX (1 16 X only) on version 1 16 4 cannot run  On version 1 12 2  for example  there s no such bug 
  Steps to reproduce  
Steps to reproduce the behavior:
1  Start PojavLauncher 1 16 4 with one of these mods: Cyclic or PhysEX 
2  Launch the game
3  Wait for crash 
  Expected behavior  
I expected the game to crash while loading 
  Screenshots  
PhysEX shows broken font and crashes 
  Screenshot 20210124 081251 net kdt pojavlaunch jpg (https:  user images githubusercontent com 77898934 105621744 f9064e00 5e1b 11eb 97d4 02165ff7c633 jpg)
Cyclic throws an error after loading
  Screenshot 20210123 185730 net kdt pojavlaunch jpg (https:  user images githubusercontent com 77898934 105621780 64502000 5e1c 11eb 9c77 412466b90ae5 jpg)
  Platform:  
   Device Model: Honor View 20
   CPU architecture: aarch64
   Android Version 10
P s  i ve used Google Translator  so the text may not be well formed  sorry </t>
  </si>
  <si>
    <t>TeamNewPipe-NewPipe-5485</t>
  </si>
  <si>
    <t>live, video not available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</si>
  <si>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When i want to open a live music or other thing in live (search live music) the video doesn t appear  i have just an image with video not available _x000D_
I have try to change the video and audio format but it s the same _x000D_
I think this problem appears after 0 20 6 around 2 month _x000D_
I have try with the 0 20 5 and its works _x000D_
_x000D_
     If you can t cause the bug to show up again reliably (and hence don t have a proper set of steps to give us)  please still try to give as many details as possible on how you think you encountered the bug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2021 01 22 17 00 22 020 org schabi newpipe (https:  user images githubusercontent com 77536807 105620146 fd217400 5df9 11eb 9485 09ecfe4d994d jpg)_x000D_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version:android 11 RKQ1 200826 002_x000D_
   Device model:M2002J9G xiaomi mi 10 lite 5G_x000D_
</t>
  </si>
  <si>
    <t>openboard-team-openboard-279</t>
  </si>
  <si>
    <t>Crashes due to having no code for numpad</t>
  </si>
  <si>
    <t>I have had a crash where the app crashed due to not having a number pad  I would advise to make a keyboard along with the original keyboard which had numbers and signs only  Because some apps will ask for that specific number pad  Some apps only request numbers and not letters  So this would be helpful_x000D_
:)</t>
  </si>
  <si>
    <t>nikita36078-J2ME-Loader-758</t>
  </si>
  <si>
    <t>Viber (2.2.017, 2.22.25) doesn't launch</t>
  </si>
  <si>
    <t xml:space="preserve">  Emulator version:  _x000D_
J2ME Loader 1 6 9_x000D_
_x000D_
  Game version:  _x000D_
Viber 2 2 017_x000D_
_x000D_
  Game resolution:  _x000D_
240x320_x000D_
_x000D_
  Device:  _x000D_
Huawei P20 Lite_x000D_
_x000D_
  Android version:  _x000D_
Android 9  EMUI 9 1 0_x000D_
  Description of the issue:  _x000D_
Viber doesn t open  crashes upon launch with error  quote:_x000D_
java lang ClassNotFoundException: Didn t find class  com nokia mid s40 io LocalMessageProtocolConnection  on path: DexPathList  dex file   storage emulated 0 J2ME Loader coverted Viber converted dex   nativeLibraryDirectories   system lib   product lib  _x000D_
_x000D_
</t>
  </si>
  <si>
    <t>Anuken-Mindustry-4422</t>
  </si>
  <si>
    <t>Double-check your JSON adapters</t>
  </si>
  <si>
    <t xml:space="preserve">  Platform  :  Android  affects all _x000D_
_x000D_
  Build  :  123 1 _x000D_
_x000D_
  Issue  :  JSON can crash the game in multiple ways  _x000D_
_x000D_
 My first discovery was that a PowerTurret can lack a shootType and the reader wont catch it until the turret fires  causing a crash  _x000D_
_x000D_
 Second was that when loading more than four colours into a ContinuousLaserBulletType  if you did not change the strokes array to compensate the reader again wouldn t catch it  causing an array index out of bounds crash when firing  _x000D_
_x000D_
 Third and most recent was that you could put  null  in any field and it would crash on startup  _x000D_
_x000D_
  Steps to reproduce  :  Replicate above  _x000D_
_x000D_
  Link(s) to mod(s) used  :  K103908 Exotic Mod used in testing but it is not specific to the mod  _x000D_
_x000D_
  Save file  :  ancient treasures  _x000D_
_x000D_
If you remove the line above without reading it properly and understanding what it means  I will reap your soul  Even if you re playing on someone s server  you can still save the game to a slot _x000D_
_x000D_
cmon wuss_x000D_
_x000D_
  (Crash) logs  :  This platform does not allow me to use the application I use for accessing crash logs  Ping me in discord for the most recent crash log  (yes  despite being android the system does not allow access to the app files via the default file managers) _x000D_
_x000D_
   _x000D_
_x000D_
 Place an X (no spaces) between the brackets to confirm that you have read the line below    _x000D_
   X    I have updated to the latest release (https:  github com Anuken Mindustry releases) to make sure my issue has not been fixed   _x000D_
   X    I have not searched the closed and open issues to make sure that this problem has not already been reported   _x000D_
_x000D_
After a couple minutes of further testing I found I could use my third party file manager but again  it isn t allowed to send sensitive files to this platform </t>
  </si>
  <si>
    <t>nextcloud-android-7887</t>
  </si>
  <si>
    <t>crash on "hidden" unwanted screen</t>
  </si>
  <si>
    <t xml:space="preserve">    Steps to reproduce_x000D_
1  Open NextCloud sync (without any account set)_x000D_
2  In the connection screen  press Android back button two times   the timing between both presses is hard  try to sync with the left to right sliding animation  pressing the back button for the second time near the end of the animation _x000D_
3  If successful  a white screen will appear  looking like this:_x000D_
  20210123 084627 (https:  user images githubusercontent com 151544 105579965 90ee3400 5d57 11eb 91a0 dfc53c9ffa38 jpg)_x000D_
_x000D_
4  In the above screen  if you press the   button  a crash occurs:_x000D_
   _x000D_
java lang NullPointerException: Attempt to invoke virtual method  com owncloud android lib resources status CapabilityBooleanType com owncloud android lib resources status OCCapability getRichDocuments()  on a null object reference_x000D_
	at com owncloud android ui fragment OCFileListBottomSheetDialog onCreate(OCFileListBottomSheetDialog java:128)_x000D_
	at android app Dialog dispatchOnCreate(Dialog java:494)_x000D_
	at android app Dialog show(Dialog java:342)_x000D_
	at com owncloud android ui fragment OCFileListFragment lambda registerFabListener 2 OCFileListFragment(OCFileListFragment java:442)_x000D_
	at com owncloud android ui fragment    Lambda OCFileListFragment aYkoWPoxzAOahKL5AVjT06NhcnM onClick(Unknown Source:4)_x000D_
	at android view View performClick(View java:6897)_x000D_
	at android view View PerformClick run(View java:26104)_x000D_
	at android os Handler handleCallback(Handler java:789)_x000D_
	at android os Handler dispatchMessage(Handler java:98)_x000D_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_x000D_
_x000D_
             APP INFORMATION             _x000D_
ID: com nextcloud client_x000D_
Version: 30140190_x000D_
Build flavor: generic_x000D_
_x000D_
             DEVICE INFORMATION             _x000D_
Brand: samsung_x000D_
Device: heroltebmc_x000D_
Model: SM G930W8_x000D_
Id: R16NW_x000D_
Product: heroltebmc_x000D_
_x000D_
             FIRMWARE             _x000D_
SDK: 26_x000D_
Release: 8 0 0_x000D_
Incremental: G930W8VLS7CTB2</t>
  </si>
  <si>
    <t>PojavLauncherTeam-PojavLauncher-685</t>
  </si>
  <si>
    <t>A strange bug</t>
  </si>
  <si>
    <t xml:space="preserve">_x000D_
When I m in a world  sometimes the software crashes unexpectedly and doesn t generate a crash report  and every minecraft version does </t>
  </si>
  <si>
    <t>chr15m-PdDroidParty-59</t>
  </si>
  <si>
    <t>Manifest needs android.permission.FOREGROUND_SERVICE</t>
  </si>
  <si>
    <t xml:space="preserve">PdDroidParty currently crashes on  Android10:_x000D_
 ActivityManager: Permission Denial: startForeground from pid 27093  uid 10296 requires android permission FOREGROUND SERVICE _x000D_
_x000D_
Apparently   apps that target Android 9 (API level 28) or higher and use foreground services must request the FOREGROUND SERVICE permission  (refer to: https:  stackoverflow com questions 52382710 permission denial startforeground requires android permission foreground servic) </t>
  </si>
  <si>
    <t>Anuken-Mindustry-4418</t>
  </si>
  <si>
    <t>Conveyors pathfinding doesn't place junctions if crossed by 1 tile</t>
  </si>
  <si>
    <t xml:space="preserve">  Platform  : Windows_x000D_
_x000D_
  Build  : 123 1_x000D_
_x000D_
  Issue  : Conveyors  pathfinding  mode is messing up if I cross the conveyor line by 1 tile  It doesn t if I cross it by 2 tiles though  This is very annoying  I know this worked the same way from the introduction of pathfinding mode  but I m tired finding out that this messes my conveyor plans over and over after 5 minutes _x000D_
_x000D_
  Steps to reproduce  : See gif:_x000D_
  conveyors (https:  user images githubusercontent com 4199082 105574285 285d8200 5d6c 11eb 8301 089ad9712520 gif)_x000D_
What I would expect is this configuration after dragging the cursor in similar fashion:_x000D_
  image (https:  user images githubusercontent com 4199082 105574403 031d4380 5d6d 11eb 8dc9 a42504a65319 png)_x000D_
  image (https:  user images githubusercontent com 4199082 105574414 129c8c80 5d6d 11eb 8bab eb9ecabd1424 png)_x000D_
_x000D_
_x000D_
  Link(s) to mod(s) used  : no mods_x000D_
_x000D_
  Save file  : I doubt any save needed for this 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I tried  but I m not sure if I tried hard enough _x000D_
</t>
  </si>
  <si>
    <t>Anuken-Mindustry-4416</t>
  </si>
  <si>
    <t>Crawlers don't explode next to core</t>
  </si>
  <si>
    <t xml:space="preserve">  Platform  : Windows Linux  not checked others_x000D_
_x000D_
  Build  : 123 1  broken since 123_x000D_
_x000D_
  Issue  : Crawlers don t explode despite standing next to the enemy target core  If I place a wall next to them  they do  but I don t think enemy core is unimportant building to be ignored by crawlers  They also used to explode until 123 build  so I believe something is broken here _x000D_
_x000D_
  Steps to reproduce  : Make enemy crawler factory  wait for them to reach your core _x000D_
_x000D_
  Link(s) to mod(s) used  : no mods_x000D_
_x000D_
  Save file  : _x000D_
  image (https:  user images githubusercontent com 4199082 105573343 820e7e00 5d65 11eb 899d ea5cff6a890a png)_x000D_
Not a save  but maps to reproduce  Just start them in sandbox mode _x000D_
 crawler1 zip (https:  github com Anuken Mindustry files 5859935 crawler1 zip)_x000D_
 crawler2 zip (https:  github com Anuken Mindustry files 5859936 crawler2 zip)_x000D_
_x000D_
If you remove the line above without reading it properly and understanding what it means  I will reap your soul  Even if you re playing on someone s server  you can still save the game to a slot    please don t  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</si>
  <si>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Anuken-Mindustry-4415</t>
  </si>
  <si>
    <t>Wave not spawning after frame-perfect(?) sector exit</t>
  </si>
  <si>
    <t xml:space="preserve">Mac Build 123 1_x000D_
_x000D_
_x000D_
A wave of enemies did not spawn _x000D_
_x000D_
As far as I remember  I left the sector very close to the frame that the wave was supposed to spawn or on the frame that it was supposed to spawn  The game was paused at that time  0 secs before next wave  enemies have not spawned yet  I then changed the unloaders so that they would unload silicon instead of a different resource (can t remember) which would be sent over to sector 24 via launch pads  The game has not been unpaused yet  I then came back to sector 24 to discover that wave 1 didn t spawn and that I had more time to build defences before I encounter the first enemies  I attached 2 game data save files  I could not find a way to get a  msav if you wanted it  As far as I am aware one is before  one is after  Hopefully  this helps  _x000D_
 Quicksave9 zip (https:  github com Anuken Mindustry files 5859789 Quicksave9 zip)_x000D_
 Quicksave10 zip (https:  github com Anuken Mindustry files 5859791 Quicksave10 zip)_x000D_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I am playing on the steam build so  as far as I am aware  yes _x000D_
   X    I have searched the closed and open issues to make sure that this problem has not already been reported   _x000D_
</t>
  </si>
  <si>
    <t>noi-techpark-it.bz.beacon.admin.android-48</t>
  </si>
  <si>
    <t>List view update crashes on Android 7.1.2</t>
  </si>
  <si>
    <t xml:space="preserve">On my phone (Open Plus X with Android 7 1 2) if I try to refresh the list of the beacon the app crashes </t>
  </si>
  <si>
    <t>PojavLauncherTeam-PojavLauncher-677</t>
  </si>
  <si>
    <t>Some bugs in old Minecraft versions</t>
  </si>
  <si>
    <t>All the Minecraft versions above 1 7 2 work well but the software will crash when I enter a world in 1 6 x Second 1 5 2 and below will keep the screen black on my device What s more the forge 1 6 x will also keep the screen black (I m sorry I didn t learn English well  I m not sure if there are any mistakes in my grammar)_x000D_
My device: Huawei nova3 aarch64_x000D_
Emui 9 1 0 Android9_x000D_
cpu:Krin970</t>
  </si>
  <si>
    <t>MuntashirAkon-AppManager-246</t>
  </si>
  <si>
    <t>Strange behavior when opening the app</t>
  </si>
  <si>
    <t xml:space="preserve">_x000D_
  Describe the bug  _x000D_
Basically the list of apps doesn t load  but if you minimize the AM and come back quickly or go back to the AM settings and go back to the list of apps it will load quickly _x000D_
_x000D_
Maybe the issue  223 similar to this  but this does not occur in  v2 5 21 PRE  or  v2 5 22 PRE  on my phone _x000D_
_x000D_
  To Reproduce  _x000D_
Steps to reproduce the behaviour:_x000D_
1  Open AM_x000D_
2  See error_x000D_
_x000D_
       Expected behavior  _x000D_
A clear and concise description of what you expected to happen     _x000D_
_x000D_
  Screenshots  _x000D_
_x000D_
    1 (https:  user images githubusercontent com 24703825 105479484 456a5600 5c83 11eb 87b5 51a660ed213b jpg)     2 (https:  user images githubusercontent com 24703825 105479497 48fddd00 5c83 11eb 9493 3ec82bae6e23 jpg)  _x000D_
  :   :   :   :  _x000D_
_x000D_
       Crash logs  _x000D_
If applicable  add crash logs to help us figure out the problem     _x000D_
_x000D_
  Device info  _x000D_
   Device: Redmi Note 4_x000D_
   OS Version: MIUI11 (Android 7 0)_x000D_
   App Manager Version: v2 5 23 DEBUG 786_x000D_
   Mode: no root_x000D_
_x000D_
       Additional context  _x000D_
Add any other context about the problem here     </t>
  </si>
  <si>
    <t>Anuken-Mindustry-4410</t>
  </si>
  <si>
    <t>Crash on server while using payload</t>
  </si>
  <si>
    <t xml:space="preserve">  Platform  :  Linux _x000D_
_x000D_
  Build  :  123 1 _x000D_
_x000D_
  Issue  :  Crash    _x000D_
_x000D_
  Steps to reproduce  :  Was playing on server  Some nerd was picking up stuff and for whatever reason my game crashed _x000D_
_x000D_
If you remove the line above without reading it properly and understanding what it means  I will reap your soul  Even if you re playing on someone s server  you can still save the game to a slot _x000D_
_x000D_
  (Crash) logs  : _x000D_
 crash report 01 22 2021 12 17 59 txt (https:  github com Anuken Mindustry files 5854754 crash report 01 22 2021 12 17 59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</si>
  <si>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twilio-video-quickstart-android-613</t>
  </si>
  <si>
    <t>crash when convert VideoFrame remote video to bitmap.</t>
  </si>
  <si>
    <t xml:space="preserve">    Description_x000D_
crash when convert VideoFrame remote video to bitmap _x000D_
    Steps to Reproduce_x000D_
_x000D_
1  Using google pixel 3xl as a local participant  Remote participant is Samsung note 8_x000D_
2  Make a call_x000D_
3  Crash when start convert VideoFrame remote to Bitmap_x000D_
_x000D_
     Code_x000D_
_x000D_
   java_x000D_
_x000D_
   class from https:  github com twilio video quickstart android blob master common src main java com twilio video examples common VideoFrameKtx kt_x000D_
fun toBitmap(videoFrame: VideoFrame) : Bitmap   _x000D_
    val i420Buffer   if (videoFrame buffer is VideoFrame TextureBuffer)  _x000D_
        val yuvConverter   YuvConverter()_x000D_
        val buffer   yuvConverter convert(videoFrame buffer as VideoFrame TextureBuffer)_x000D_
        yuvConverter release()_x000D_
        buffer_x000D_
      else  _x000D_
        videoFrame buffer toI420()_x000D_
     _x000D_
    val yuvImage   i420ToYuvImage(_x000D_
            i420Buffer _x000D_
            videoFrame buffer width _x000D_
            videoFrame buffer height_x000D_
    )_x000D_
    val stream   ByteArrayOutputStream()_x000D_
    val rect  _x000D_
            Rect(0  0  yuvImage width  yuvImage height)_x000D_
_x000D_
       Compress YuvImage to jpeg_x000D_
    yuvImage compressToJpeg(rect  100  stream)_x000D_
_x000D_
       Convert jpeg to Bitmap_x000D_
    val imageBytes   stream toByteArray()_x000D_
    var bitmap   if (Build VERSION SDK INT    Build VERSION CODES P)  _x000D_
        val buffer   ByteBuffer wrap(imageBytes)_x000D_
        val src  _x000D_
                ImageDecoder createSource(buffer)_x000D_
        try  _x000D_
            ImageDecoder decodeBitmap(src)_x000D_
          catch (e: IOException)  _x000D_
            e printStackTrace()_x000D_
            return null_x000D_
         _x000D_
      else  _x000D_
        BitmapFactory decodeByteArray(imageBytes  0  imageBytes size)_x000D_
     _x000D_
    val matrix   Matrix()_x000D_
_x000D_
       Apply any needed rotation_x000D_
    matrix postRotate(videoFrame rotation toFloat())_x000D_
    bitmap   Bitmap createBitmap(_x000D_
            bitmap    0  0  bitmap width  bitmap height  matrix  true_x000D_
    )_x000D_
    return bitmap_x000D_
 _x000D_
   _x000D_
_x000D_
     Expected Behavior_x000D_
crash when convert VideoFrame remote to Bitmap_x000D_
_x000D_
     Actual Behavior_x000D_
_x000D_
 What actually happens _x000D_
_x000D_
     Reproduces how Often_x000D_
_x000D_
 What percentage of the time does it reproduce  _x000D_
_x000D_
     Logs_x000D_
_x000D_
   _x000D_
W System err: java lang IllegalStateException: Framebuffer not complete  status: 0_x000D_
        at tvi webrtc GlTextureFrameBuffer setSize(GlTextureFrameBuffer java:86)_x000D_
        at tvi webrtc YuvConverter convert(YuvConverter java:176)_x000D_
        at com newbees streamer image service VideoFrameKtxKt toBitmap(VideoFrameKtx kt:24)_x000D_
        at com newbees streamer twilio VideoTextureViewRenderer i420FrameToBitmap(VideoTextureViewRenderer java:316)_x000D_
        at com newbees streamer twilio VideoTextureViewRenderer virtualBackground(VideoTextureViewRenderer java:241)_x000D_
        at com newbees streamer twilio VideoTextureViewRenderer createVirtualBackgroundBitmap(VideoTextureViewRenderer java:176)_x000D_
        at com newbees streamer twilio VideoTextureViewRenderer onFrame(VideoTextureViewRenderer java:145)_x000D_
E rtc:  _x000D_
   _x000D_
_x000D_
    Versions_x000D_
_x000D_
All relevant version information for issue _x000D_
_x000D_
     Video Android SDK_x000D_
_x000D_
6 1 0_x000D_
_x000D_
     Android API_x000D_
Android target API 29_x000D_
     Android Device_x000D_
SamSung note 8_x000D_
google pixel 3xl_x000D_
</t>
  </si>
  <si>
    <t>TeamNewPipe-NewPipe-legacy-60</t>
  </si>
  <si>
    <t>bug</t>
  </si>
  <si>
    <t>muxinc-mux-stats-sdk-exoplayer-79</t>
  </si>
  <si>
    <t>Fixed test crash on Android 11.</t>
  </si>
  <si>
    <t>Fixed crash on Android 11</t>
  </si>
  <si>
    <t>nextcloud-android-7881</t>
  </si>
  <si>
    <t>nextcloud android app crashes</t>
  </si>
  <si>
    <t xml:space="preserve">    Steps to reproduce_x000D_
1  Open nextcloud app on phone_x000D_
2  Open a subfolder_x000D_
3  _x000D_
_x000D_
    Expected behaviour_x000D_
  Tell us what should happen_x000D_
Display folder contents_x000D_
    Actual behaviour_x000D_
  Tell us what happens_x000D_
Waiting for several seconds before app crashes_x000D_
_x000D_
_x000D_
Output from crash_x000D_
             CAUSE OF ERROR             _x000D_
_x000D_
android database CursorIndexOutOfBoundsException: Index  1 requested  with a size of 6778_x000D_
	at android database AbstractCursor checkPosition(AbstractCursor java:515)_x000D_
	at android database AbstractWindowedCursor checkPosition(AbstractWindowedCursor java:138)_x000D_
	at android database AbstractWindowedCursor getLong(AbstractWindowedCursor java:76)_x000D_
	at com owncloud android providers FileContentProvider deleteDirectory(FileContentProvider java:179)_x000D_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java:672)_x000D_
	at android content ContentProvider applyBatch(ContentProvider java:2138)_x000D_
	at android content ContentProvider Transport applyBatch(ContentProvider java:371)_x000D_
	at android content ContentProviderClient applyBatch(ContentProviderClient java:532)_x000D_
	at android content ContentProviderClient applyBatch(ContentProviderClient java:520)_x000D_
	at android content ContentResolver applyBatch(ContentResolver java:1882)_x000D_
	at com owncloud android datamodel FileDataStorageManager saveFolder(FileDataStorageManager java:438)_x000D_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java:919)_x000D_
_x000D_
             APP INFORMATION             _x000D_
ID: com nextcloud client_x000D_
Version: 30140190_x000D_
Build flavor: gplay_x000D_
_x000D_
             DEVICE INFORMATION             _x000D_
Brand: samsung_x000D_
Device: d1_x000D_
Model: SM N970F_x000D_
Id: QP1A 190711 020_x000D_
Product: d1xx_x000D_
_x000D_
             FIRMWARE             _x000D_
SDK: 29_x000D_
Release: 10_x000D_
Incremental: N970FXXS6DTK8_x000D_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</si>
  <si>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aws-amplify-amplify-android-1119</t>
  </si>
  <si>
    <t>RxAmplify emits Exceptions on disposed (Single)Emitter</t>
  </si>
  <si>
    <t xml:space="preserve">  Problem:  _x000D_
If a call to e g   signUp()  in case of Auth fails with an Exception but the initial subscription already is disposed (user navigated to different screen  and view model gets cleared e g ) the app crashes _x000D_
_x000D_
   _x000D_
Fatal Exception: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UserNotConfirmedException message User not confirmed in the system   cause com amazonaws services cognitoidentityprovider model UserNotConfirmedException: User is not confirmed  (Service: AmazonCognitoIdentityProvider  Status Code: 400  Error Code: UserNotConfirmedException  Request ID: e3a710ce f1ee 4495 9b21 6f5a17aa0274)  recoverySuggestion Please confirm user first and then retry operation _x000D_
       at io reactivex rxjava3 plugins RxJavaPlugins onError(RxJavaPlugins java:367)_x000D_
       at io reactivex rxjava3 internal operators single SingleCreate Emitter onError(SingleCreate java:82)_x000D_
       at com amplifyframework rx    Lambda MfdYe3QTku1Dvo1tWmxZX q9rr4 accept(:4)_x000D_
       at com amplifyframework auth cognito AWSCognitoAuthPlugin 5 onError(AWSCognitoAuthPlugin java:372)_x000D_
          _x000D_
   _x000D_
_x000D_
  Reason:  _x000D_
RxBindings emits the Exception even if a cancellation has happened downstream _x000D_
_x000D_
  Possible solution:  _x000D_
Use  subscriber::tryOnError  instead of   subscriber::onError  _x000D_
_x000D_
If I m not mistaken  this should happen here:_x000D_
https:  github com aws amplify amplify android blob 23aa2b4cc75c1416373b7e4ce45c54d7c53a9060 rxbindings src main java com amplifyframework rx RxAdapters java L121_x000D_
_x000D_
 I would prefer this over adding library specific code into the global  RxJavaPlugins setErrorHandler       </t>
  </si>
  <si>
    <t>PojavLauncherTeam-PojavLauncher-666</t>
  </si>
  <si>
    <t xml:space="preserve">Latest Build doesn't work at all. </t>
  </si>
  <si>
    <t xml:space="preserve">Ever since  you added all of those new options and settings the game cant launch and fails to even get to the Mojang splash screen_x000D_
_x000D_
  To Reproduce  _x000D_
Steps to reproduce the behavior:_x000D_
1  Start PojavLauncher_x000D_
2 Launch any version of Minecraft_x000D_
3 wait 10 to 15 seconds _x000D_
4 Game fails to launch and crashes_x000D_
_x000D_
  Expected behavior  _x000D_
I expected the game to launch _x000D_
_x000D_
  Screenshots  _x000D_
_x000D_
  Platform:  _x000D_
   Device Model  Huawei Y7 2019 _x000D_
   CPU architecture  aarch64  _x000D_
   Android Version  MIUI android 8 1 0 _x000D_
_x000D_
 details   summary  b Additional context  b   summary _x000D_
 br _x000D_
 pre _x000D_
Add any other context about the problem here _x000D_
  pre _x000D_
  details _x000D_
</t>
  </si>
  <si>
    <t>TeamNewPipe-NewPipe-5470</t>
  </si>
  <si>
    <t>Enqueue UI app crash</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</si>
  <si>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x xx x      Check https:  github com TeamNewPipe NewPipe releases    
   x  I checked  but didn t find any duplicates (open OR closed) of this issue in the repo       Seriously  check  O O    
      I have read the contribution guidelines given at https:  github com TeamNewPipe NewPipe blob HEAD  github CONTRIBUTING md 
   x  This issue contains only one bug  I will open one issue for every bug report I want to file 
    Steps to reproduce the bug
(You should have auto play next video enabled)
1  Play in the background anything 
2  In the video recomendation section of the content that you are already playing long press any content to show the menu 
3  Wait that the content that you have already played has ended while the menu is still displayed 
4  When the next content is being played  press enqueue 
5  Crash
     If you can t cause the bug to show up again reliably (and hence don t have a proper set of steps to give us)  please still try to give as many details as possible on how you think you encountered the bug     
    Actual behaviour
     Tell us what happens with the steps given above     
The app crash and close  after a guru meditation windows shows up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Exception
    User Action:   ui error
    Request:   App crash  UI failure
    Content Country:   GB
    Content Language:   en GB
    App Language:   en GB
    Service:   none
    Version:   0 20 8
    OS:   Linux Android 10   29
 details  summary  b Crash log   b   summary  p 
java lang NullPointerException: Attempt to invoke virtual method  android content res Resources android content Context getResources()  on a null object reference
	at android widget Toast makeText(Toast java:315)
	at org schabi newpipe util NavigationHelper enqueueOnBackgroundPlayer(NavigationHelper java:198)
	at org schabi newpipe util NavigationHelper enqueueOnBackgroundPlayer(NavigationHelper java:191)
	at org schabi newpipe util StreamDialogEntry lambda static 0(StreamDialogEntry java:35)
	at org schabi newpipe util    Lambda StreamDialogEntry 62aigyTTdqr26LrXhhJwc oYHBk onClick(Unknown Source:0)
	at org schabi newpipe util StreamDialogEntry clickOn(StreamDialogEntry java:132)
	at org schabi newpipe fragments list BaseListFragment lambda showStreamDialog 1(BaseListFragment java:365)
	at org schabi newpipe fragments list BaseListFragment lambda showStreamDialog 1 BaseListFragment(Unknown Source:0)
	at org schabi newpipe fragments list    Lambda BaseListFragment PrX9 25MbpqEQd6DTy65QLAhdlQ onClick(Unknown Source:4)
	at com android internal app AlertController AlertParams 3 onItemClick(AlertController java:1222)
	at android widget AdapterView performItemClick(AdapterView java:330)
	at android widget AbsListView performItemClick(AbsListView java:1196)
	at android widget AbsListView PerformClick run(AbsListView java:3207)
	at android widget AbsListView 3 run(AbsListView java:4125)
	at android os Handler handleCallback(Handler java:883)
	at android os Handler dispatchMessage(Handler java:100)
	at android os Looper loop(Looper java:224)
	at android app ActivityThread main(ActivityThread java:7561)
	at java lang reflect Method invoke(Native Method)
	at com android internal os RuntimeInit MethodAndArgsCaller run(RuntimeInit java:539)
	at com android internal os ZygoteInit main(ZygoteInit java:995)
  details 
 hr 
     Please fill this out when you do not provide a log generate by NewPipe    
    Device info
   Android version Custom ROM version: MIUI 12 Android 10
   Device model: Xiaomi Note 9 (merlin)
</t>
  </si>
  <si>
    <t>nextcloud-android-7878</t>
  </si>
  <si>
    <t>Crash when pressing '+' button</t>
  </si>
  <si>
    <t xml:space="preserve">    Steps to reproduce_x000D_
1  Press floating     button on bottom right_x000D_
_x000D_
    Expected behaviour_x000D_
  crash_x000D_
_x000D_
    Actual behaviour_x000D_
  not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CAUSE OF ERROR             _x000D_
_x000D_
java lang IllegalStateException: The specified child already has a parent  You must call removeView() on the child s parent first _x000D_
	at android view ViewGroup addViewInner(ViewGroup java:5235)_x000D_
	at android view ViewGroup addView(ViewGroup java:5064)_x000D_
	at android view ViewGroup addView(ViewGroup java:5004)_x000D_
	at android view ViewGroup addView(ViewGroup java:4976)_x000D_
	at com owncloud android ui fragment OCFileListBottomSheetDialog onCreate(OCFileListBottomSheetDialog java:131)_x000D_
	at android app Dialog dispatchOnCreate(Dialog java:419)_x000D_
	at android app Dialog show(Dialog java:313)_x000D_
	at com owncloud android ui fragment OCFileListFragment lambda registerFabListener 2 OCFileListFragment(OCFileListFragment java:442)_x000D_
	at com owncloud android ui fragment    Lambda OCFileListFragment aYkoWPoxzAOahKL5AVjT06NhcnM onClick(Unknown Source:4)_x000D_
	at android view View performClick(View java:7448)_x000D_
	at android view View performClickInternal(View java:7425)_x000D_
	at android view View access 3600(View java:810)_x000D_
	at android view View PerformClick run(View java:28305)_x000D_
	at android os Handler handleCallback(Handler java:938)_x000D_
	at android os Handler dispatchMessage(Handler java:99)_x000D_
	at android os Looper loop(Looper java:223)_x000D_
	at android app ActivityThread main(ActivityThread java:7660)_x000D_
	at java lang reflect Method invoke(Native Method)_x000D_
	at com android internal os RuntimeInit MethodAndArgsCaller run(RuntimeInit java:592)_x000D_
	at com android internal os ZygoteInit main(ZygoteInit java:947)_x000D_
_x000D_
             APP INFORMATION             _x000D_
ID: com nextcloud client_x000D_
Version: 30140251_x000D_
Build flavor: generic_x000D_
_x000D_
             DEVICE INFORMATION             _x000D_
Brand: google_x000D_
Device: taimen_x000D_
Model: Pixel 2 XL_x000D_
Id: RQ1A 210105 003_x000D_
Product: taimen_x000D_
_x000D_
             FIRMWARE             _x000D_
SDK: 30_x000D_
Release: 11_x000D_
Incremental: eng dragon 20210118 192928_x000D_
_x000D_
   _x000D_
  NOTE:   Be super sure to remove sensitive data like passwords  note that everybody can look here  You can use the Issue Template application to prefill some of the required information: https:  apps nextcloud com apps issuetemplate_x000D_
</t>
  </si>
  <si>
    <t>gluonhq-substrate-863</t>
  </si>
  <si>
    <t>java.lang.UnsatisfiedLinkError on Android 11, Google Pixel 5</t>
  </si>
  <si>
    <t xml:space="preserve">      Provide a brief summary of the issue    _x000D_
_x000D_
    Expected Behavior_x000D_
1  Use the HelloFX example: https:  github com gluonhq gluon samples tree master HelloFX_x000D_
2  Build the Android apk _x000D_
3  Install the apk on Android 11  Google Pixel 5_x000D_
4  Run the app from the phone _x000D_
5  I should see the hello screen _x000D_
_x000D_
    Current Behavior_x000D_
The app crashes immediately on opening  _x000D_
_x000D_
    Steps to Reproduce_x000D_
As above_x000D_
_x000D_
    Your Environment_x000D_
Linux Mint 20 0 1 Cinnamon_x000D_
GraalVM 20 3 0 or GraalVM 21 0 0_x000D_
Java 11_x000D_
Tried to run the built apk on Android 11  Google Pixel 5 _x000D_
The crash does not occur on any other of my phones: one with Android 9  another with Android 10  I guess this is Android 11 thing _x000D_
_x000D_
I m attaching the logs from adb logcat:_x000D_
 error log (https:  github com gluonhq substrate files 5848303 error log)_x000D_
_x000D_
Here s the part I think can be relevant:_x000D_
   _x000D_
01 21 10:21:31 464 13725 13725 V GraalActivity: surfaceCreated for com gluonhq helloandroid MainActivity 1e4bb5c_x000D_
01 21 10:21:31 464 13725 13725 V GraalActivity: loading substrate library_x000D_
01 21 10:21:31 466 13725 13748 I AdrenoGLES 0: PFP: 0x016dd090  ME: 0x00000000_x000D_
01 21 10:21:31 484 13725 13725 D AndroidRuntime: Shutting down VM_x000D_
01 21 10:21:31 485 13725 13725 E AndroidRuntime: FATAL EXCEPTION: main_x000D_
01 21 10:21:31 485 13725 13725 E AndroidRuntime: Process: com gluonhq samples hellofx  PID: 13725_x000D_
01 21 10:21:31 485 13725 13725 E AndroidRuntime: java lang UnsatisfiedLinkError: dlopen failed: cannot locate symbol   ZdaPv  referenced by   data app   7HT8PGWQMDyPCgrWrMGWfg   com gluonhq samples hellofx SevcUux uY0FDDf8tD3tVA   lib arm64 libsubstrate so    _x000D_
01 21 10:21:31 485 13725 13725 E AndroidRuntime: 	at java lang Runtime loadLibrary0(Runtime java:1087)_x000D_
01 21 10:21:31 485 13725 13725 E AndroidRuntime: 	at java lang Runtime loadLibrary0(Runtime java:1008)_x000D_
01 21 10:21:31 485 13725 13725 E AndroidRuntime: 	at java lang System loadLibrary(System java:1664)_x000D_
01 21 10:21:31 485 13725 13725 E AndroidRuntime: 	at com gluonhq helloandroid MainActivity surfaceCreated(MainActivity java:104)_x000D_
01 21 10:21:31 485 13725 13725 E AndroidRuntime: 	at android view SurfaceView updateSurface(SurfaceView java:1153)_x000D_
01 21 10:21:31 485 13725 13725 E AndroidRuntime: 	at android view SurfaceView lambda new 0 SurfaceView(SurfaceView java:173)_x000D_
   </t>
  </si>
  <si>
    <t>ElderDrivers-EdXposed-809</t>
  </si>
  <si>
    <t>Chrome crashing a lot</t>
  </si>
  <si>
    <t xml:space="preserve">    _x000D_
                                  Xposed     Magisk   _x000D_
If you encountered boot loop  please make sure you have disabled all unrelated Xposed and Magisk modules before submit an issue_x000D_
_x000D_
            _x000D_
In any case  the title should be in English_x000D_
    Chrome crashing a lot_x000D_
_x000D_
       What happened   _x000D_
Google Chrome browser is crashing a lot  I have disabled chrome in edxposed manager s whitelist as well but it still continues to crash  I have given all the permissions to chrome  Google play services and even play store  _x000D_
    _x000D_
           _x000D_
Such as bootloop  module not loaded  etc_x000D_
   _x000D_
_x000D_
  Xposed     Xposed Module List  _x000D_
DisabledFlagSecure  CorePatch  GravityBox R  Greenify  Scoop  SudoHide  XInternalSD  XposedSMSCode _x000D_
_x000D_
  Magisk     Magisk Module List  _x000D_
Riru core  EdXposed 4672_x000D_
_x000D_
       Versions  _x000D_
_x000D_
Android: 11_x000D_
_x000D_
Magisk: 21401 canary_x000D_
_x000D_
Riru: 23 3_x000D_
_x000D_
EdXposed: master 4672_x000D_
_x000D_
       Related Logs  _x000D_
https:  del dog phybacowyp_x000D_
_x000D_
    _x000D_
               debug   EdXposed       _x000D_
Please capture log with debug version  otherwise it won t help us locating the issue_x000D_
    _x000D_
 EdXposed Verbose 20210121 133522 txt (https:  github com ElderDrivers EdXposed files 5847884 EdXposed Verbose 20210121 133522 txt)_x000D_
 EdXposed Modules 20210121 133503 txt (https:  github com ElderDrivers EdXposed files 5847885 EdXposed Modules 20210121 133503 txt)_x000D_
_x000D_
_x000D_
</t>
  </si>
  <si>
    <t>Anuken-Mindustry-4395</t>
  </si>
  <si>
    <t>unitHealthMultiplier didn`t take effect</t>
  </si>
  <si>
    <t xml:space="preserve">  Platform  :  All _x000D_
_x000D_
  Build  :  v123 _x000D_
_x000D_
  Issue  :  the unitHealthMultiplier in rules didn t take effect  _x000D_
_x000D_
  Steps to reproduce  :  search unitHealthMultiplier in the source code  it only displays in the edit dialog and translates files  _x000D_
_x000D_
  Link(s) to mod(s) used  :  no mods  _x000D_
_x000D_
  Save file  :  didn t need  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</si>
  <si>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commons-app-apps-android-commons-4196</t>
  </si>
  <si>
    <t>App crash in CategoryDetailsActivity when click on any media</t>
  </si>
  <si>
    <t xml:space="preserve">  Summary:   _x000D_
In the CategoryDetalis Activity click on any medai  (image or video) then App crash_x000D_
_x000D_
  Steps to reproduce:   _x000D_
See in ScreenShot_x000D_
_x000D_
What did you expect the app to do  and what did you see instead _x000D_
App not crash in the CategoryDetails Activity  on click on any medai (image video)_x000D_
_x000D_
   System logs:  _x000D_
_x000D_
 java lang NullPointerException: Attempt to invoke virtual method  void androidx appcompat app ActionBar setDisplayHomeAsUpEnabled(boolean)  on a null object reference_x000D_
        at fr free nrw commons media MediaDetailPagerFragment onCreateView(MediaDetailPagerFragment java:103)_x000D_
        at androidx fragment app Fragment performCreateView(Fragment java:2698)_x000D_
        at androidx fragment app FragmentStateManager createView(FragmentStateManager java:310)_x000D_
        at androidx fragment app FragmentManager moveToState(FragmentManager java:1185)_x000D_
        at androidx fragment app FragmentManager moveToState(FragmentManager java:1354)_x000D_
        at androidx fragment app FragmentManager moveFragmentToExpectedState(FragmentManager java:1432)_x000D_
        at androidx fragment app FragmentManager moveToState(FragmentManager java:1495)_x000D_
        at androidx fragment app BackStackRecord executeOps(BackStackRecord java:447)_x000D_
        at androidx fragment app FragmentManager executeOps(FragmentManager java:2167)_x000D_
        at androidx fragment app FragmentManager executeOpsTogether(FragmentManager java:1990)_x000D_
        at androidx fragment app FragmentManager removeRedundantOperationsAndExecute(FragmentManager java:1945)_x000D_
        at androidx fragment app FragmentManager execPendingActions(FragmentManager java:1847)_x000D_
        at androidx fragment app FragmentManager executePendingTransactions(FragmentManager java:489)_x000D_
        at fr free nrw commons category CategoryDetailsActivity onMediaClicked(CategoryDetailsActivity java:122)_x000D_
        at fr free nrw commons explore media PageableMediaFragment pagedListAdapter 2 1 invoke(PageableMediaFragment kt:17)_x000D_
        at fr free nrw commons explore media PageableMediaFragment pagedListAdapter 2 1 invoke(PageableMediaFragment kt:14)_x000D_
        at fr free nrw commons explore media SearchImagesViewHolder bind 1 onClick(PagedMediaAdapter kt:37)_x000D_
_x000D_
  Device and Android version:   _x000D_
 Android Device:Redmi y3_x000D_
_x000D_
  Commons app version:   _x000D_
 Latest Master_x000D_
_x000D_
  Screen shots:   _x000D_
_x000D_
https:  user images githubusercontent com 65972015 105280190 3033ef80 5bcf 11eb 9d00 ee29723dbe8b mp4_x000D_
_x000D_
_x000D_
  Would you like to work on the issue   _x000D_
YES_x000D_
Please let us know whether you want to fix the issue by yourself  If not  anyone can get the issue assigned to them _x000D_
YES</t>
  </si>
  <si>
    <t>Anuken-Mindustry-4393</t>
  </si>
  <si>
    <t>Power Reading Mismatch</t>
  </si>
  <si>
    <t xml:space="preserve">  Platform  :  Linux   Ubuntu 18 04 (sub revision unknown) _x000D_
_x000D_
  Build  :  Steam Build 123  _x000D_
_x000D_
  Issue  :  Explain your issue in detail  _x000D_
_x000D_
  Steps to reproduce  :  Build a processor with the following code and attach three messages and a power node with the following conditions:_x000D_
sensor in node1  powerNetIn_x000D_
sensor out node1  powerNetOut_x000D_
op sub result in out_x000D_
print result_x000D_
printflush message1_x000D_
print in_x000D_
printflush message2_x000D_
print out_x000D_
printflush message3_x000D_
 _x000D_
The power in and power out don t match properly to what is shown on the power node itself_x000D_
IF power is being fed into the network through a Diode _x000D_
_x000D_
At least  that s the best guess I have  If I bypass the diode  the nodes show the same value(s) as before  but the Messages show that the processor is now reading the correct values _x000D_
_x000D_
I have the setup in the map between Salt Flats and Tar Fields  and I was testing a processor based controller for an Impact Reactor  when I noticed that my power load measurement was continually showing as  4000 or so power when the nodes were showing a positive and none of my batteries were draining _x000D_
_x000D_
The impact reactor has two diodes feeding to from the reactor and its startup power reserve  but for the one in question I bridged them so that I could check if those were the source of the problem  I have several in testing  but the one in particular note was gutted so that it would continually run and is the top one with green walls around it (I forget if the save I uploaded has a third or not  because a different bug crashed my computer shortly afterward)  The lower reactor was my test bed where I noticed the issue  and the demonstration processor and messages are to its bottom right _x000D_
_x000D_
  Link(s) to mod(s) used  :  N A _x000D_
_x000D_
  Save file  :  Included  I think _x000D_
 odd power reading zip (https:  github com Anuken Mindustry files 5846793 odd power reading zip)_x000D_
 _x000D_
_x000D_
  (Crash) logs  :  Says  None Found   _x000D_
_x000D_
   _x000D_
_x000D_
 Place an X (no spaces) between the brackets to confirm that you have read the line below    _x000D_
    X    I have updated to the latest release (https:  github com Anuken Mindustry releases) to make sure my issue has not been fixed   _x000D_
(123 is the latest release  Since mine is Steam  I m not sure if it s the same  but hopefully )_x000D_
    X    I have searched the closed and open issues to make sure that this problem has not already been reported   _x000D_
(I did look  and didn t see anything  but it s possible my search terms weren t the same as something previously reported)_x000D_
</t>
  </si>
  <si>
    <t>react-native-camera-react-native-camera-3092</t>
  </si>
  <si>
    <t>3.40.0 Memory usage increasing and App get crashed when barcode scanner running</t>
  </si>
  <si>
    <t xml:space="preserve">  Screenshot 2021 01 21 at 09 29 23 (https:  user images githubusercontent com 5609203 105278994 a551f580 5bcc 11eb 811c 3174479325ad png)_x000D_
  Bug Report_x000D_
_x000D_
  To Do First  _x000D_
_x000D_
    Yes  Did you try latest release _x000D_
   No   Did you try master _x000D_
   Yes   Did you look for existing matching issues _x000D_
_x000D_
  Platforms  _x000D_
iOS_x000D_
_x000D_
  Versions  _x000D_
_x000D_
  iOS:14 3_x000D_
  react native camera: 3 40 0_x000D_
  react native :0 63 3_x000D_
  react: 16 13 1_x000D_
 react navigation: 4 4 3_x000D_
_x000D_
  Description Current Behaviour  _x000D_
_x000D_
keep barcode scanner camera on _x000D_
App memory usage was increasing and then app get crashed after few minutes _x000D_
_x000D_
_x000D_
   _x000D_
renderCamera   ()     _x000D_
    const   isFlashOn     this state _x000D_
    return (_x000D_
       RNCamera_x000D_
        ref  this setCameraRef _x000D_
        style  styles preview _x000D_
        type  RNCamera Constants Type back _x000D_
        autoFocus  RNCamera Constants AutoFocus on _x000D_
        flashMode  _x000D_
           this props isProductView    (isFlashOn    this props torchEnabled)_x000D_
              RNCamera Constants FlashMode torch_x000D_
            : RNCamera Constants FlashMode off_x000D_
         _x000D_
        androidCameraPermissionOptions  androidPermissionOptions _x000D_
        androidRecordAudioPermissionOptions  null _x000D_
        googleVisionBarcodeType  _x000D_
          RNCamera Constants GoogleVisionBarcodeDetection BarcodeType ALL_x000D_
         _x000D_
        onGoogleVisionBarcodesDetected  this handleGoogleVisionBarCode _x000D_
        googleVisionBarcodeMode  _x000D_
          RNCamera Constants GoogleVisionBarcodeDetection BarcodeMode ALTERNATE_x000D_
         _x000D_
        captureAudio  false _x000D_
        _x000D_
    ) _x000D_
    _x000D_
   _x000D_
_x000D_
_x000D_
I have attached memory usage graph in Xcode debug navigator_x000D_
_x000D_
Details_x000D_
The app BarCodeReader on iPhone quit unexpectedly _x000D_
Domain: IDEDebugSessionErrorDomain_x000D_
Code: 4_x000D_
Failure Reason: Message from debugger: Terminated due to memory issue_x000D_
_x000D_
System Information_x000D_
macOS Version 11 1 (Build 20C69)_x000D_
Xcode 12 3 (17715) (Build 12C33)_x000D_
Timestamp: 2021 01 21T09:30:37 05:30_x000D_
_x000D_
  Expected Behaviour  _x000D_
App should not crashed when barcode scanner is on_x000D_
_x000D_
  Steps to Reproduce  _x000D_
keep barcode scanner camera on for few minutes _x000D_
_x000D_
_x000D_
  Additionals  _x000D_
_x000D_
_x000D_
  Love react native camera  Please consider supporting our collective:   https:  opencollective com react native camera donate_x000D_
  Want this issue to be resolved faster  Please consider adding a bounty to it https:  issuehunt io repos 33218414_x000D_
_x000D_
  Screenshot 2021 01 21 at 09 29 23 (https:  user images githubusercontent com 5609203 105278931 82bfdc80 5bcc 11eb 84a0 4c083a091cb8 png)</t>
  </si>
  <si>
    <t>TotalCross-totalcross-279</t>
  </si>
  <si>
    <t>sdl: force usage of software renderer for linux arm</t>
  </si>
  <si>
    <t>Some devices crash when opengl is used  so for now _x000D_
we ll force the usage of the software renderer until we_x000D_
find a way to test for hardware accelerated graphics_x000D_
support without crashing _x000D_
_x000D_
probably fixes  259</t>
  </si>
  <si>
    <t>skrafft-react-native-jitsi-meet-244</t>
  </si>
  <si>
    <t>Jitsi crashes our app due to exclude group module</t>
  </si>
  <si>
    <t xml:space="preserve">RN0 63 1_x000D_
RN Jitsi meet : 2 1 1_x000D_
_x000D_
Here is the problem we could build the app for release by excluding this modules but the jitsi crashes our app  But if we remove the exclude jitsi will work but only for debug  Is there a work around here  _x000D_
_x000D_
      _x000D_
implementation(project( :react native jitsi meet ))  _x000D_
       exclude group:  com facebook react   module: react native svg _x000D_
       exclude group:  com facebook react   module: react native community async storage _x000D_
       exclude group:  com facebook react   module: react native google signin _x000D_
       exclude group:  com facebook react   module: react native vector icons _x000D_
    _x000D_
   </t>
  </si>
  <si>
    <t>Anuken-Mindustry-4387</t>
  </si>
  <si>
    <t>Broken campaign</t>
  </si>
  <si>
    <t xml:space="preserve">  Platform  : android_x000D_
_x000D_
  Build  : 122 1_x000D_
_x000D_
  Issue  : my campaign is broken for some reason_x000D_
_x000D_
  Steps to reproduce  : reseting your campaign safe file for alot of time_x000D_
_x000D_
  Link(s) to mod(s) used  : non_x000D_
_x000D_
  Save file  : idk how to send it_x000D_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</si>
  <si>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square-okhttp-6520</t>
  </si>
  <si>
    <t>java.lang.IllegalArgumentException: TlsVersion okhttp：3.9.1</t>
  </si>
  <si>
    <t xml:space="preserve">java lang IllegalArgumentException:_x000D_
at m j0 a (TlsVersion java:3)_x000D_
at m r a (Handshake java:4)_x000D_
at m k0 e c f (RealConnection java:20)_x000D_
at m k0 e c c (RealConnection java:22)_x000D_
at m k0 e g d (StreamAllocation java:108)_x000D_
at m k0 e g e (StreamAllocation java:1)_x000D_
at m k0 e a a (ConnectInterceptor java:11)_x000D_
at m k0 f f b (RealInterceptorChain java:11)_x000D_
at m k0 d b a (CacheInterceptor java:107)_x000D_
at m k0 f f b (RealInterceptorChain java:11)_x000D_
at m k0 f a a (BridgeInterceptor java:36)_x000D_
at m k0 f f b (RealInterceptorChain java:11)_x000D_
at m k0 f h a (RetryAndFollowUpInterceptor java:10)_x000D_
at m k0 f f b (RealInterceptorChain java:11)_x000D_
at m k0 f f a (RealInterceptorChain java:1)_x000D_
at m z b (RealCall java:23)_x000D_
at m z a a (RealCall java:1)_x000D_
at m k0 b run (NamedRunnable java:3)_x000D_
at java util concurrent ThreadPoolExecutor runWorker (ThreadPoolExecutor java:1162)_x000D_
at java util concurrent ThreadPoolExecutor Worker run (ThreadPoolExecutor java:636)_x000D_
at java lang Thread run (Thread java:764)_x000D_
_x000D_
_x000D_
Anyone get some ideas about this crash </t>
  </si>
  <si>
    <t>TotalCross-totalcross-275</t>
  </si>
  <si>
    <t>totalcross-launcher is "crashing" on a Yocto Dunfell build</t>
  </si>
  <si>
    <t xml:space="preserve">   Describe the bug_x000D_
After being able to complete a Yocto Build with meta totalcross (and its dependencies)  I ve also set to add into the image the following recipes:_x000D_
  totalcross launcher_x000D_
  totalcross vm core_x000D_
  totalcross vm_x000D_
_x000D_
After building the image and flashing it into the device  the load of the totalcross launcher is crashing with:_x000D_
   _x000D_
root apalis imx6: usr lib totalcross    totalcross launcher_x000D_
free(): invalid pointer_x000D_
Aborted_x000D_
   _x000D_
_x000D_
   Devices:_x000D_
    Yocto BSP 5 1 0 Dunfel from Toradex (https:  developer toradex com knowledge base board support package openembedded core 0 500) _x000D_
   TotalCross Version: 6 1 0_x000D_
   TotalCross backend: TotalCross Binary_x000D_
   Architecture: Arm32v7_x000D_
   Device description: Toradex Apalis iMX6DL_x000D_
 _x000D_
 _x000D_
   To Reproduce_x000D_
_x000D_
1  Setup a Toradex BSP 5 1 0 Yocto Build Environment_x000D_
2  Add meta totalcross and its dependencies to it_x000D_
3  Add totalcross launcher  totalcross vm core and totalcross vm to local conf file_x000D_
4  Build the tdx reference multimedia image for example _x000D_
5  Execute   totalcross launcher at  usr lib totalcross_x000D_
_x000D_
   Screenshots or videos_x000D_
  image (https:  user images githubusercontent com 825739 105104247 a54cdb00 5a90 11eb 8b26 df34b3519f45 png)_x000D_
_x000D_
</t>
  </si>
  <si>
    <t>stefan-niedermann-nextcloud-notes-1047</t>
  </si>
  <si>
    <t>Catch creation shortcuts when no account is configured yet</t>
  </si>
  <si>
    <t xml:space="preserve">When using the shortcut of the launcher  the create widget or the tile to create a new note  the app should check and handle a not yet configured state (e  g  no account has been imported yet) _x000D_
_x000D_
Currently it seems to crash with a NullPointer in some cases </t>
  </si>
  <si>
    <t>skrafft-react-native-jitsi-meet-243</t>
  </si>
  <si>
    <t>App crash with RN 0.63.0</t>
  </si>
  <si>
    <t xml:space="preserve">Hello People _x000D_
_x000D_
I have strictly followed the  Jitsi meet  library implementation tutorial in my React Native project and when I enter the screen it crashes _x000D_
_x000D_
Has anyone had the same problem  Do you think it is because I have more libraries _x000D_
_x000D_
LIBRARY INSTALLATION GUIDE (DONE)_x000D_
                              _x000D_
STEP ONE    DONE_x000D_
_x000D_
   _x000D_
project ext react    _x000D_
    entryFile:  index js  _x000D_
    bundleAssetName:  app bundle  _x000D_
 _x000D_
   _x000D_
    _x000D_
STEP TWO    DONE_x000D_
_x000D_
 android app src main java com xxx MainApplication java _x000D_
    _x000D_
STEP THREE    DONE_x000D_
    _x000D_
In  android build gradle   add the following code:_x000D_
_x000D_
STEP FOUR    DONE_x000D_
_x000D_
   _x000D_
 Override_x000D_
          protected String getJSMainModuleName()  _x000D_
              return  index  _x000D_
           _x000D_
_x000D_
           Override_x000D_
          protected  Nullable String getBundleAssetName()  _x000D_
              return  app bundle  _x000D_
             _x000D_
   _x000D_
_x000D_
                                 _x000D_
_x000D_
My depedencies:_x000D_
_x000D_
   _x000D_
 dependencies :  _x000D_
      react native community async storage :   1 11 0  _x000D_
      react native community masked view :  0 1 10  _x000D_
      react native community netinfo :   5 9 9  _x000D_
      react navigation bottom tabs :   5 11 1  _x000D_
      react navigation native :   5 1 5  _x000D_
     apisauce :  1 1 2  _x000D_
     i18n js :   3 0 11  _x000D_
     lodash throttle :  4 1 1  _x000D_
     mobx :   4 15 4  _x000D_
     mobx react lite :   1 4 1  _x000D_
     mobx state tree :   3 14 1  _x000D_
     ramda :  0 27 1  _x000D_
     react :  16 13 1  _x000D_
     react native :  0 63 0  _x000D_
     react native android keyboard adjust :   1 2 0  _x000D_
     react native ble manager :   7 4 1  _x000D_
     react native bluetooth status :   1 5 1  _x000D_
     react native camera kit :   10 0 0  _x000D_
     react native elements :   3 0 0 alpha 1  _x000D_
     react native gesture handler :   1 5 0  _x000D_
     react native jitsi meet :   2 1 1  _x000D_
     react native keychain :  6 1 1  _x000D_
     react native localize :   1 0 0  _x000D_
     react native safe area context :  0 7 3  _x000D_
     react native safe area view :  1 1 1  _x000D_
     react native screens :   2 10 1  _x000D_
     react native splash screen :  3 2 0  _x000D_
     react native vector icons :   7 1 0  _x000D_
     reactotron mst :   3 1 1  _x000D_
     reactotron react native :   5 0 0  _x000D_
     validate js :  0 13 1  _x000D_
     yarn :   1 22 10 _x000D_
    _x000D_
   _x000D_
_x000D_
My code (Example app)_x000D_
_x000D_
  Captura de pantalla 2021 01 19 a las 18 00 33 (https:  user images githubusercontent com 34231805 105067680 3b2c3a00 5a80 11eb 9b99 60ffb459cb72 png)_x000D_
_x000D_
Android studio ERROR:_x000D_
_x000D_
  Captura de pantalla 2021 01 19 a las 17 55 32 (https:  user images githubusercontent com 34231805 105066912 872aaf00 5a7f 11eb 96a1 6c1bc0b1eb56 png)_x000D_
</t>
  </si>
  <si>
    <t>listerily-ModdedBE-10</t>
  </si>
  <si>
    <t xml:space="preserve">Failed to load new dex on Android API 22 </t>
  </si>
  <si>
    <t xml:space="preserve">Failed to launch minecraft by loading AgentMainActivity dex _x000D_
A java class is defined to launch Minecraft  but when I call  startActivity   the app crashed and prints_x000D_
   _x000D_
    java lang RuntimeException: Unable to instantiate activity ComponentInfo net listerily moddedbe com mojang minecraftpe AgentMainActivity : java lang ClassNotFoundException: Didn t find class  com mojang minecraftpe AgentMainActivity  on path: DexPathList  zip file   data app net listerily moddedbe 2 base apk   nativeLibraryDirectories   data app net listerily moddedbe 2 lib x86   vendor lib   system lib  _x000D_
at android app ActivityThread performLaunchActivity(ActivityThread java:2236)_x000D_
        at android app ActivityThread handleLaunchActivity(ActivityThread java:2387)_x000D_
        at android app ActivityThread access 800(ActivityThread java:151)_x000D_
        at android app ActivityThread H handleMessage(ActivityThread java:1303)_x000D_
        at android os Handler dispatchMessage(Handler java:102)_x000D_
        at android os Looper loop(Looper java:135)_x000D_
        at android app ActivityThread main(ActivityThread java:5254)_x000D_
        at java lang reflect Method invoke(Native Method)_x000D_
        at java lang reflect Method invoke(Method java:372)_x000D_
        at com android internal os ZygoteInit MethodAndArgsCaller run(ZygoteInit java:903)_x000D_
        at com android internal os ZygoteInit main(ZygoteInit java:698)_x000D_
     Caused by: java lang ClassNotFoundException: Didn t find class  com mojang minecraftpe AgentMainActivity  on path: DexPathList  zip file   data app net listerily moddedbe 2 base apk   nativeLibraryDirectories   data app net listerily moddedbe 2 lib x86   vendor lib   system lib  _x000D_
        at dalvik system BaseDexClassLoader findClass(BaseDexClassLoader java:56)_x000D_
        at java lang ClassLoader loadClass(ClassLoader java:511)_x000D_
        at java lang ClassLoader loadClass(ClassLoader java:469)_x000D_
        at android app Instrumentation newActivity(Instrumentation java:1066)_x000D_
        at android app ActivityThread performLaunchActivity(ActivityThread java:2226)_x000D_
        at android app ActivityThread handleLaunchActivity(ActivityThread java:2387) _x000D_
        at android app ActivityThread access 800(ActivityThread java:151) _x000D_
        at android app ActivityThread H handleMessage(ActivityThread java:1303) _x000D_
        at android os Handler dispatchMessage(Handler java:102) _x000D_
        at android os Looper loop(Looper java:135) _x000D_
        at android app ActivityThread main(ActivityThread java:5254) _x000D_
        at java lang reflect Method invoke(Native Method) _x000D_
        at java lang reflect Method invoke(Method java:372) _x000D_
        at com android internal os ZygoteInit MethodAndArgsCaller run(ZygoteInit java:903) _x000D_
        at com android internal os ZygoteInit main(ZygoteInit java:698) _x000D_
    	Suppressed: java lang ClassNotFoundException: com mojang minecraftpe AgentMainActivity_x000D_
        at java lang Class classForName(Native Method)_x000D_
        at java lang BootClassLoader findClass(ClassLoader java:781)_x000D_
        at java lang BootClassLoader loadClass(ClassLoader java:841)_x000D_
        at java lang ClassLoader loadClass(ClassLoader java:504)_x000D_
        		    13 more_x000D_
     Caused by: java lang NoClassDefFoundError: Class not found using the boot class loader  no stack available_x000D_
   _x000D_
It seemed that dex files weren t added to class path successfully  Though they re loaded by DexClassLoader </t>
  </si>
  <si>
    <t>noi-techpark-it.bz.beacon.admin.android-39</t>
  </si>
  <si>
    <t>The app shows the beacons for a short time, then crashes and after that "no data found" is shown</t>
  </si>
  <si>
    <t xml:space="preserve">We tested version 0 5 1 and were able to see the full list of beacons and nearby beacons as well  Then after a restart or crash (Stefanos app crashed) no data was shown anymore  _x000D_
_x000D_
Before we also were able to do a trusted update  but only once   </t>
  </si>
  <si>
    <t>Anuken-Mindustry-4376</t>
  </si>
  <si>
    <t>OverFlow Gate Crashing the game.</t>
  </si>
  <si>
    <t xml:space="preserve">  Platform  :  Windows _x000D_
_x000D_
  Build  :  20541 _x000D_
_x000D_
  Issue  :  I was just placing overflow and sorters  a lot of them  while items were flowing through them  Suddenly  the game crashed with an error  _x000D_
_x000D_
  Steps to reproduce  I couldnt reproduce   _x000D_
_x000D_
  Link(s) to mod(s) used  :  None _x000D_
_x000D_
  Save file  :  The (zipped) sa_x000D_
_x000D_
 crash report 01 19 2021 10 01 50 txt (https:  github com Anuken Mindustry files 5834197 crash report 01 19 2021 10 01 50 txt)_x000D_
_x000D_
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</si>
  <si>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square-okhttp-6517</t>
  </si>
  <si>
    <t>java.lang.IllegalStateException invalid dictionary: prefix not unique</t>
  </si>
  <si>
    <t>sdk version:_x000D_
    implementation  com squareup retrofit2:retrofit:2 4 0 _x000D_
    implementation  com squareup retrofit2:converter gson:2 4 0 _x000D_
    implementation  com squareup retrofit2:adapter rxjava2:2 4 0 _x000D_
    implementation  com squareup okhttp3:logging interceptor:3 12 12 _x000D_
Android version:_x000D_
    Android 11_x000D_
Device:_x000D_
    OPPO vivo pixel   _x000D_
I m facing a issue that crash in Android 11 _x000D_
this is the crash log:_x000D_
_x000D_
Fatal Exception: java lang ExceptionInInitializerError_x000D_
       at okhttp3 internal http2 Hpack Writer writeByteString(Hpack java:552)_x000D_
       at okhttp3 internal http2 Hpack Writer writeHeaders(Hpack java:520)_x000D_
       at okhttp3 internal http2 Http2Writer headers(Http2Writer java:299)_x000D_
       at okhttp3 internal http2 Http2Writer synStream(Http2Writer java:126)_x000D_
       at okhttp3 internal http2 Http2Connection newStream(Http2Connection java:259)_x000D_
       at okhttp3 internal http2 Http2Connection newStream(Http2Connection java:231)_x000D_
       at okhttp3 internal http2 Http2Codec writeRequestHeaders(Http2Codec java:117)_x000D_
       at okhttp3 internal http CallServerInterceptor intercept(CallServerInterceptor java:50)_x000D_
       at okhttp3 internal http RealInterceptorChain proceed(RealInterceptorChain java:147)_x000D_
       at okhttp3 internal connection ConnectInterceptor intercept(ConnectInterceptor java:45)_x000D_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java:126)_x000D_
       at okhttp3 internal http RealInterceptorChain proceed(RealInterceptorChain java:147)_x000D_
       at okhttp3 internal http RealInterceptorChain proceed(RealInterceptorChain java:121)_x000D_
       at okhttp3 RealCall getResponseWithInterceptorChain(RealCall java:254)_x000D_
       at okhttp3 RealCall execute(RealCall java:92)_x000D_
       at com google firebase crashlytics internal network HttpRequest execute(HttpRequest java:129)_x000D_
       at com google firebase crashlytics internal settings network DefaultSettingsSpiCall invoke(DefaultSettingsSpiCall java:86)_x000D_
       at com google firebase crashlytics internal settings SettingsController 1 then(SettingsController java:200)_x000D_
       at com google firebase crashlytics internal settings SettingsController 1 then(SettingsController java:193)_x000D_
       at com google android gms tasks zzo run(zzo java:2)_x000D_
       at java util concurrent ThreadPoolExecutor runWorker(ThreadPoolExecutor java:1167)_x000D_
       at java util concurrent ThreadPoolExecutor Worker run(ThreadPoolExecutor java:641)_x000D_
       at com google firebase crashlytics internal common ExecutorUtils 1 1 onRun(ExecutorUtils java:64)_x000D_
       at com google firebase crashlytics internal common BackgroundPriorityRunnable run(BackgroundPriorityRunnable java:27)_x000D_
       at java lang Thread run(Thread java:923)_x000D_
_x000D_
Caused by java lang IllegalStateException: invalid dictionary: prefix not unique_x000D_
       at okhttp3 internal http2 Huffman addCode(Huffman java:180)_x000D_
       at okhttp3 internal http2 Huffman buildTree(Huffman java:168)_x000D_
       at okhttp3 internal http2 Huffman  init (Huffman java:88)_x000D_
       at okhttp3 internal http2 Huffman  clinit (Huffman java:79)_x000D_
       at okhttp3 internal http2 Hpack Writer writeByteString(Hpack java:552)_x000D_
       at okhttp3 internal http2 Hpack Writer writeHeaders(Hpack java:520)_x000D_
       at okhttp3 internal http2 Http2Writer headers(Http2Writer java:299)_x000D_
       at okhttp3 internal http2 Http2Writer synStream(Http2Writer java:126)_x000D_
       at okhttp3 internal http2 Http2Connection newStream(Http2Connection java:259)_x000D_
       at okhttp3 internal http2 Http2Connection newStream(Http2Connection java:231)_x000D_
       at okhttp3 internal http2 Http2Codec writeRequestHeaders(Http2Codec java:117)_x000D_
       at okhttp3 internal http CallServerInterceptor intercept(CallServerInterceptor java:50)_x000D_
       at okhttp3 internal http RealInterceptorChain proceed(RealInterceptorChain java:147)_x000D_
       at okhttp3 internal connection ConnectInterceptor intercept(ConnectInterceptor java:45)_x000D_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java:126)_x000D_
       at okhttp3 internal http RealInterceptorChain proceed(RealInterceptorChain java:147)_x000D_
       at okhttp3 internal http RealInterceptorChain proceed(RealInterceptorChain java:121)_x000D_
       at okhttp3 RealCall getResponseWithInterceptorChain(RealCall java:254)_x000D_
       at okhttp3 RealCall execute(RealCall java:92)_x000D_
       at com google firebase crashlytics internal network HttpRequest execute(HttpRequest java:129)_x000D_
       at com google firebase crashlytics internal settings network DefaultSettingsSpiCall invoke(DefaultSettingsSpiCall java:86)_x000D_
       at com google firebase crashlytics internal settings SettingsController 1 then(SettingsController java:200)_x000D_
       at com google firebase crashlytics internal settings SettingsController 1 then(SettingsController java:193)_x000D_
       at com google android gms tasks zzo run(zzo java:2)_x000D_
       at java util concurrent ThreadPoolExecutor runWorker(ThreadPoolExecutor java:1167)_x000D_
       at java util concurrent ThreadPoolExecutor Worker run(ThreadPoolExecutor java:641)_x000D_
       at com google firebase crashlytics internal common ExecutorUtils 1 1 onRun(ExecutorUtils java:64)_x000D_
       at com google firebase crashlytics internal common BackgroundPriorityRunnable run(BackgroundPriorityRunnable java:27)_x000D_
       at java lang Thread run(Thread java:923)_x000D_
_x000D_
and firebase sdk version if you need:_x000D_
       Import the Firebase BoM_x000D_
    implementation platform( com google firebase:firebase bom:26 1 0 )_x000D_
       When using the BoM  you don t specify versions in Firebase library dependencies_x000D_
    implementation  com google firebase:firebase analytics         firebase analytics_x000D_
    implementation  com google firebase:firebase messaging         firebase   _x000D_
    implementation  com google firebase:firebase crashlytics       firebase crashlytics_x000D_
    implementation  com google firebase:firebase perf              firebase performance_x000D_
_x000D_
  image (https:  user images githubusercontent com 13956257 104979336 fdf38800 5a3e 11eb 99f7 282d42fe7905 png)_x000D_
_x000D_
_x000D_
please help me clean this issue  thanks</t>
  </si>
  <si>
    <t>SkyTubeTeam-SkyTube-893</t>
  </si>
  <si>
    <t>playing video crash an app</t>
  </si>
  <si>
    <t xml:space="preserve">After push for any video for playing  app is crash  version 2 975 working_x000D_
perfect well  this bug only in 2 976 this tested on armv7l  armhf </t>
  </si>
  <si>
    <t>tchapgouv-tchap-android-legacy-696</t>
  </si>
  <si>
    <t>Crash NullPointerException: Attempt to invoke interface method 'void org.matrix.androidsdk.data.store.IMXStore.deleteRoom(java.lang.String)' on a null object reference</t>
  </si>
  <si>
    <t xml:space="preserve">                                  crash call stack                                  _x000D_
Tchap Build : 76_x000D_
Tchap Version : 1 1 0 a (G 30d4af277 2020 11 22 13:24:08  0100)_x000D_
SDK Version : 0 9 37 dev (184214f2e 2020 11 18 01:42:26  0100)_x000D_
Phone : BKL L09 (10 0 0 177C432 10 REL)_x000D_
Memory statuses _x000D_
usedSize   61 MB_x000D_
freeSize   7 MB_x000D_
totalSize   69 MB_x000D_
Thread: MXDataHandler  redacted   Activity:im vector activity VectorHomeActivity  Exception: java lang NullPointerException: Attempt to invoke interface method  void org matrix androidsdk data store IMXStore deleteRoom(java lang String)  on a null object reference_x000D_
        at org matrix androidsdk MXDataHandler manageResponse(MXDataHandler java:1461)_x000D_
        at org matrix androidsdk MXDataHandler access 000(MXDataHandler java:102)_x000D_
        at org matrix androidsdk MXDataHandler 5 run(MXDataHandler java:1203)_x000D_
        at android os Handler handleCallback(Handler java:888)_x000D_
        at android os Handler dispatchMessage(Handler java:100)_x000D_
        at android os Looper loop(Looper java:213)_x000D_
        at android os HandlerThread run(HandlerThread java:67)</t>
  </si>
  <si>
    <t>Anuken-Mindustry-4368</t>
  </si>
  <si>
    <t>meltdown thinks he has water when no power is supplied</t>
  </si>
  <si>
    <t xml:space="preserve">  Platform  :  Android iOS Mac Windows Linux _x000D_
windows_x000D_
_x000D_
  Build  :  The build number under the title in the main menu  Required   LATEST  IS NOT A VERSION  I NEED THE EXACT BUILD NUMBER OF YOUR GAME  _x000D_
122 1_x000D_
_x000D_
  Issue  :  Explain your issue in detail  _x000D_
a water icon appears when meltdown has no power_x000D_
  image (https:  user images githubusercontent com 49868160 104941441 5a10ca80 59b3 11eb 9203 c7c0e16d533b png)   image (https:  user images githubusercontent com 49868160 104941468 685ee680 59b3 11eb 8166 4531334b16f6 png)_x000D_
_x000D_
  Steps to reproduce  :  How you happened across the issue  and what exactly you did to make the bug happen  _x000D_
build a meltdown  supply cryofluid and connect   disconnect power and watch the water icon appear _x000D_
_x000D_
  Link(s) to mod(s) used  :  The mod repositories or zip files that are related to the issue  if applicable  _x000D_
no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meltdown zip (https:  github com Anuken Mindustry files 5831447 meltdown zip)_x000D_
zip includes game save and video_x000D_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</si>
  <si>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Anuken-Mindustry-4367</t>
  </si>
  <si>
    <t>bleeding edge update progress bar doesnt show up under 6 MB</t>
  </si>
  <si>
    <t xml:space="preserve">  Platform  :  Android iOS Mac Windows Linux _x000D_
windows_x000D_
_x000D_
  Build  :  The build number under the title in the main menu  Required   LATEST  IS NOT A VERSION  I NEED THE EXACT BUILD NUMBER OF YOUR GAME  _x000D_
be 20528_x000D_
_x000D_
  Issue  :  Explain your issue in detail  _x000D_
bleeding edge update progress bar doesnt show up under 6 MB_x000D_
_x000D_
  Steps to reproduce  :  How you happened across the issue  and what exactly you did to make the bug happen  _x000D_
update your bleeding edge mindustry and watch_x000D_
_x000D_
  Link(s) to mod(s) used  :  The mod repositories or zip files that are related to the issue  if applicable  _x000D_
no_x000D_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be update zip (https:  github com Anuken Mindustry files 5831257 be update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</si>
  <si>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GoogleCloudPlatform-fda-mystudies-2938</t>
  </si>
  <si>
    <t>[iOS] App crashes on clicking resource's push notification</t>
  </si>
  <si>
    <t xml:space="preserve">  Steps:  _x000D_
1  Login and enroll into any study_x000D_
2  Kill the app_x000D_
3  Add a resource from SB_x000D_
4  Publish updates_x000D_
5  Mobile app user receives the notification_x000D_
6  Click on the push notification_x000D_
7  Observe_x000D_
_x000D_
  Actual:   App crashes on clicking resource s push notification_x000D_
_x000D_
  Expected:   Should navigate to resources section post passcode</t>
  </si>
  <si>
    <t>Azure-azure-iot-sdk-java-1067</t>
  </si>
  <si>
    <t>Didn't find class "javax.net.ssl.SNIHostName" in SDK version iot-device-client-1.27.0</t>
  </si>
  <si>
    <t xml:space="preserve">  Context_x000D_
  Android 6 or below_x000D_
_x000D_
   Description of the issue_x000D_
I am facing this crash issue below Android 7 devices  This is already discussed in this thread _x000D_
_x000D_
https:  github com eclipse paho mqtt java issues 633_x000D_
_x000D_
Also  here there is a related issue _x000D_
_x000D_
https:  github com Azure azure iot sdk java issues 596_x000D_
_x000D_
Which version of   Paho MQTT   library is used in   iot device client 1 27 0    I am assuming if this is   1 2 2   or not  Which is the Azure IoT device client SDK that gives support for older devices also  I do not want to downgrade library if not mandatory because I have support for   Device Provisioning Service   in Device Client SDK  I am seeking for some help as we have lots of older devices for the service needs to be run on _x000D_
_x000D_
   Code sample exhibiting the issue_x000D_
    implementation ( com microsoft azure sdk iot:iot device client:1 27 0 )  _x000D_
        exclude module:  azure storage _x000D_
     _x000D_
    implementation ( com microsoft azure sdk iot provisioning:provisioning device client:1 8 4 )_x000D_
_x000D_
   Console log of the issue_x000D_
01 18 20:35:58 677 32111 32214 com test app E AndroidRuntime: FATAL EXCEPTION: MQTT Con: 8f86b15a ce8a 26b1 9748 f4dfd8754f72_x000D_
    Process: com test app  PID: 32111_x000D_
    java lang NoClassDefFoundError: Failed resolution of: Ljavax net ssl SNIHostName _x000D_
        at org eclipse paho client mqttv3 internal SSLNetworkModule start(SSLNetworkModule java:139)_x000D_
        at org eclipse paho client mqttv3 internal ClientComms ConnectBG run(ClientComms java:722)_x000D_
        at java lang Thread run(Thread java:818)_x000D_
     Caused by: java lang ClassNotFoundException: Didn t find class  javax net ssl SNIHostName  on path: DexPathList  zip file   data app com test app 1 base apk   nativeLibraryDirectories   data app com test app 1 lib arm   vendor lib   system lib  _x000D_
        at dalvik system BaseDexClassLoader findClass(BaseDexClassLoader java:56)_x000D_
        at java lang ClassLoader loadClass(ClassLoader java:511)_x000D_
        at java lang ClassLoader loadClass(ClassLoader java:469)_x000D_
        at org eclipse paho client mqttv3 internal SSLNetworkModule start(SSLNetworkModule java:139) _x000D_
        at org eclipse paho client mqttv3 internal ClientComms ConnectBG run(ClientComms java:722) _x000D_
        at java lang Thread run(Thread java:818) _x000D_
    	Suppressed: java lang ClassNotFoundException: javax net ssl SNIHostName_x000D_
        at java lang Class classForName(Native Method)_x000D_
        at java lang BootClassLoader findClass(ClassLoader java:781)_x000D_
        at java lang BootClassLoader loadClass(ClassLoader java:841)_x000D_
        at java lang ClassLoader loadClass(ClassLoader java:504)_x000D_
_x000D_
_x000D_
AB 9149712</t>
  </si>
  <si>
    <t>CTemplar-android-306</t>
  </si>
  <si>
    <t>App crashes when trying to exit while it's loading</t>
  </si>
  <si>
    <t xml:space="preserve">I have also experienced a similar issue on the Android mobile app on occasion  fyi  Generally occurs when in another tab  say  Sent  emails  then press back button which takes you to  Inbox   which shows as loading  If I hit the back button again while loading in an attempt to exit  I sometimes get an app crash _x000D_
_x000D_
Can open an issue in Android repo if you d like _x000D_
_x000D_
 Originally posted by  SecretestSquirrel in https:  github com CTemplar webclient issues 898 issuecomment 757512105 </t>
  </si>
  <si>
    <t>Anuken-Mindustry-4366</t>
  </si>
  <si>
    <t>distributor limited</t>
  </si>
  <si>
    <t xml:space="preserve">  Platform  :  Android iOS Mac Windows Linux _x000D_
windows_x000D_
_x000D_
  Build  :  The build number under the title in the main menu  Required   LATEST  IS NOT A VERSION  I NEED THE EXACT BUILD NUMBER OF YOUR GAME  _x000D_
release build 122 1_x000D_
_x000D_
  Issue  :  Explain your issue in detail  _x000D_
the distributor cant handle 4 overdriven titanium conveyors full of items_x000D_
_x000D_
  Steps to reproduce  :  How you happened across the issue  and what exactly you did to make the bug happen  _x000D_
build the schematic in the zip and watch_x000D_
_x000D_
  Link(s) to mod(s) used  :  The mod repositories or zip files that are related to the issue  if applicable  _x000D_
no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distributor zip (https:  github com Anuken Mindustry files 5830315 distributor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</si>
  <si>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PojavLauncherTeam-PojavLauncher-642</t>
  </si>
  <si>
    <t>[BUG]1.7.10 Shader Crash</t>
  </si>
  <si>
    <t>Shader works fine in the 1 12 2 version  but when i switch to 1 7 10 version it crash again  Using the V3 3 1 releases _x000D_
_x000D_
     Minecraft Crash Report     _x000D_
   Who set us up the TNT _x000D_
_x000D_
Time: 21 1 18 6:05AM_x000D_
Description: Unexpected error_x000D_
_x000D_
java lang NoSuchMethodError: org lwjgl opengl ARBVertexShader glVertexAttribPointerARB(IIZZILjava nio ShortBuffer )V_x000D_
	at shadersmod client ShadersTess preDrawArray(ShadersTess java:168)_x000D_
	at shadersmod client ShadersTess draw(ShadersTess java:109)_x000D_
	at net minecraft client renderer Tessellator func 78381 a(Tessellator java:169)_x000D_
	at shadersmod client Shaders drawHorizon(Shaders java:4862)_x000D_
	at shadersmod client Shaders preSkyList(Shaders java:4874)_x000D_
	at net minecraft client renderer RenderGlobal func 72714 a(RenderGlobal java:1731)_x000D_
	at net minecraft client renderer EntityRenderer func 78471 a(EntityRenderer java:1616)_x000D_
	at net minecraft client renderer EntityRenderer func 78480 b(EntityRenderer java:1392)_x000D_
	at net minecraft client Minecraft func 71411 J(Minecraft java:1001)_x000D_
	at net minecraft client Minecraft func 99999 d(Minecraft java:898)_x000D_
	at net minecraft client main Main main(SourceFile:148)_x000D_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Head   _x000D_
Stacktrace:_x000D_
	at shadersmod client ShadersTess preDrawArray(ShadersTess java:168)_x000D_
	at shadersmod client ShadersTess draw(ShadersTess java:109)_x000D_
	at net minecraft client renderer Tessellator func 78381 a(Tessellator java:169)_x000D_
	at shadersmod client Shaders drawHorizon(Shaders java:4862)_x000D_
	at shadersmod client Shaders preSkyList(Shaders java:4874)_x000D_
	at net minecraft client renderer RenderGlobal func 72714 a(RenderGlobal java:1731)_x000D_
	at net minecraft client renderer EntityRenderer func 78471 a(EntityRenderer java:1616)_x000D_
_x000D_
   Affected level   _x000D_
Details:_x000D_
	Level name: MpServer_x000D_
	All players: 1 total   EntityClientPlayerMP  ENDERMANYK  503  l  MpServer   x  30 64  y 78 62  z 47 60  _x000D_
	Chunk stats: MultiplayerChunkCache: 426  614_x000D_
	Level seed: 0_x000D_
	Level generator: ID 00   default  ver 1  Features enabled: false_x000D_
	Level generator options: _x000D_
	Level spawn location: World: (28 64 252)  Chunk: (at 12 4 12 in 1 15  contains blocks 16 0 240 to 31 255 255)  Region: (0 0  contains chunks 0 0 to 31 31  blocks 0 0 0 to 511 255 511)_x000D_
	Level time: 3536 game time  3536 day time_x000D_
	Level dimension: 0_x000D_
	Level storage version: 0x00000   Unknown _x000D_
	Level weather: Rain time: 0 (now: false)  thunder time: 0 (now: false)_x000D_
	Level game mode: Game mode: creative (ID 1)  Hardcore: false  Cheats: false_x000D_
	Forced entities: 120 total   EntitySkeleton  Skeleton  5134  l  MpServer   x  68 50  y 15 00  z 34 50   EntityZombie  Zombie  5136  l  MpServer   x  46 50  y 43 00  z 24 50   EntityEnderman  Enderman  5137  l  MpServer   x  89 59  y 58 00  z 7 53   EntityEnderman  Enderman  5138  l  MpServer   x  94 00  y 58 00  z 6 28   EntityPig  Pig  4115  l  MpServer   x  106 50  y 75 00  z 37 53   EntityEnderman  Enderman  5139  l  MpServer   x  91 50  y 58 00  z 4 50   EntityPig  Pig  4116  l  MpServer   x  106 50  y 75 00  z 36 09   EntityPig  Pig  4117  l  MpServer   x  106 50  y 75 00  z 34 78   EntityPig  Pig  4118  l  MpServer   x  107 50  y 76 00  z 38 50   EntityItem  item tile flower1 dandelion  4119  l  MpServer   x  56 38  y 72 13  z 44 34   EntityChicken  Chicken  4120  l  MpServer   x  73 50  y 74 00  z 38 50   EntityChicken  Chicken  4121  l  MpServer   x  76 50  y 75 00  z 39 50   EntityChicken  Chicken  4122  l  MpServer   x  75 50  y 75 00  z 38 50   EntityChicken  Chicken  4123  l  MpServer   x  79 50  y 75 00  z 39 50   EntityZombie  Zombie  5148  l  MpServer   x  64 50  y 15 00  z 36 50   EntityCow  Cow  3100  l  MpServer   x 31 31  y 65 00  z 105 53   EntityZombie  Zombie  5164  l  MpServer   x  90 69  y 36 00  z 109 63   EntityCreeper  Creeper  5172  l  MpServer   x  100 03  y 58 00  z 7 38   EntitySkeleton  Skeleton  5173  l  MpServer   x  59 50  y 24 00  z  7 50   EntityZombie  Zombie  5174  l  MpServer   x  93 03  y 36 00  z 107 53   EntityZombie  Zombie  5175  l  MpServer   x  82 50  y 36 00  z 110 50   EntityZombie  Zombie  5191  l  MpServer   x  92 50  y 58 00  z 11 50   EntityCreeper  Creeper  5192  l  MpServer   x  91 50  y 58 00  z 7 56   EntityCreeper  Creeper  5193  l  MpServer   x  89 50  y 58 00  z 8 50   EntityBat  Bat  5206  l  MpServer   x  35 56  y 43 71  z  3 35   EntityBat  Bat  5207  l  MpServer   x  69 45  y 24 74  z 23 42   EntityCow  Cow  3192  l  MpServer   x  4 50  y 64 00  z 115 50   EntityChicken  Chicken  4230  l  MpServer   x  26 50  y 76 00  z 62 50   EntityChicken  Chicken  4231  l  MpServer   x  26 50  y 77 00  z 61 50   EntityChicken  Chicken  4232  l  MpServer   x  26 50  y 77 00  z 61 50   EntityChicken  Chicken  4233  l  MpServer   x  20 24  y 70 00  z 63 38   EntityChicken  Chicken  4246  l  MpServer   x  61 53  y 77 00  z 70 31   EntityChicken  Chicken  4247  l  MpServer   x  75 47  y 77 00  z 62 50   EntityChicken  Chicken  4248  l  MpServer   x  68 53  y 76 00  z 67 63   EntityChicken  Chicken  4249  l  MpServer   x  70 50  y 75 00  z 66 50   EntitySkeleton  Skeleton  5285  l  MpServer   x  60 50  y 24 00  z  6 50   EntitySkeleton  Skeleton  5286  l  MpServer   x 34 50  y 34 00  z 69 50   EntityEnderman  Enderman  5287  l  MpServer   x  97 88  y 50 00  z  11 41   EntityCreeper  Creeper  5295  l  MpServer   x 6 00  y 19 00  z 120 59   EntityZombie  Zombie  5297  l  MpServer   x 9 50  y 18 00  z 123 50   EntitySkeleton  Skeleton  5306  l  MpServer   x 33 50  y 34 00  z 67 50   EntitySkeleton  Skeleton  5322  l  MpServer   x  24 50  y 56 00  z 30 91   EntityCreeper  Creeper  5323  l  MpServer   x  30 50  y 54 00  z 34 50   EntityChicken  Chicken  4300  l  MpServer   x  101 50  y 79 00  z 65 50   EntityChicken  Chicken  4301  l  MpServer   x  101 50  y 79 00  z 64 50   EntityChicken  Chicken  4302  l  MpServer   x  101 50  y 79 00  z 64 50   EntityChicken  Chicken  4303  l  MpServer   x  100 50  y 79 00  z 64 50   EntitySkeleton  Skeleton  5327  l  MpServer   x  28 50  y 54 00  z 35 50   EntitySkeleton  Skeleton  5328  l  MpServer   x  31 50  y 54 00  z 34 50   EntityCreeper  Creeper  5330  l  MpServer   x  34 50  y 57 00  z 5 50   EntitySkeleton  Skeleton  5334  l  MpServer   x  104 50  y 19 00  z  7 50   EntityCreeper  Creeper  5346  l  MpServer   x  37 50  y 23 00  z 22 50   EntitySkeleton  Skeleton  5349  l  MpServer   x  103 50  y 19 00  z  8 50   EntityCow  Cow  3311  l  MpServer   x  5 50  y 67 00  z 111 50   EntityCow  Cow  3312  l  MpServer   x  2 50  y 67 00  z 111 50   EntityCow  Cow  3313  l  MpServer   x  5 50  y 67 00  z 109 50   EntityBat  Bat  5434  l  MpServer   x  55 10  y 15 00  z  27 25   EntityBat  Bat  5435  l  MpServer   x  55 11  y 15 00  z  25 63   EntitySkeleton  Skeleton  5447  l  MpServer   x  37 50  y 23 00  z 23 50   EntityCreeper  Creeper  5448  l  MpServer   x  68 50  y 42 00  z 0 50   EntityBat  Bat  5455  l  MpServer   x 13 94  y 39 00  z 96 69   EntityBat  Bat  5456  l  MpServer   x 15 75  y 39 00  z 95 25   EntityBat  Bat  5459  l  MpServer   x  3 69  y 36 00  z 121 75   EntityChicken  Chicken  3438  l  MpServer   x  8 31  y 69 00  z 91 34   EntityChicken  Chicken  3439  l  MpServer   x  11 50  y 69 00  z 92 50   EntitySkeleton  Skeleton  5487  l  MpServer   x  57 50  y 20 00  z  30 50   EntityChicken  Chicken  3440  l  MpServer   x  8 56  y 69 00  z 89 59   EntityChicken  Chicken  3441  l  MpServer   x  13 50  y 69 00  z 90 50   EntitySpider  Spider  4481  l  MpServer   x  99 50  y 16 00  z 101 13   EntitySkeleton  Skeleton  4503  l  MpServer   x  62 50  y 23 00  z 127 50   EntitySkeleton  Skeleton  5527  l  MpServer   x  69 50  y 15 00  z 102 50   EntityEnderman  Enderman  5528  l  MpServer   x  3 50  y 53 00  z  8 50   EntitySkeleton  Skeleton  5532  l  MpServer   x  69 50  y 15 00  z 100 50   EntitySkeleton  Skeleton  5533  l  MpServer   x  68 50  y 15 00  z 100 50   EntityCreeper  Creeper  4514  l  MpServer   x  46 50  y 32 00  z 94 50   EntityBat  Bat  4543  l  MpServer   x  87 38  y 17 71  z 105 66   EntitySheep  Sheep  4544  l  MpServer   x 30 50  y 63 00  z 37 50   EntityZombie  Zombie  4547  l  MpServer   x  60 50  y 23 00  z 126 50   EntityChicken  Chicken  4619  l  MpServer   x  90 50  y 78 00  z 16 50   EntityChicken  Chicken  4620  l  MpServer   x  90 50  y 77 00  z 15 50   EntityChicken  Chicken  4621  l  MpServer   x  90 63  y 76 00  z 13 53   EntityChicken  Chicken  4622  l  MpServer   x  92 50  y 76 00  z 15 50   EntityZombie  Zombie  4643  l  MpServer   x  84 50  y 36 00  z 110 50   EntityZombie  Zombie  4644  l  MpServer   x  83 50  y 36 00  z 109 50   EntityZombie  Zombie  4645  l  MpServer   x  92 41  y 36 00  z 96 00   EntityZombie  Zombie  4653  l  MpServer   x  74 50  y 17 00  z 110 50   EntitySkeleton  Skeleton  4682  l  MpServer   x  64 50  y 48 00  z 56 50   EntityClientPlayerMP  ENDERMANYK  503  l  MpServer   x  30 64  y 78 62  z 47 60   EntitySquid  Squid  4747  l  MpServer   x  43 51  y 56 36  z 87 51   EntitySquid  Squid  4762  l  MpServer   x  33 72  y 62 47  z 82 88   EntitySquid  Squid  4763  l  MpServer   x  36 71  y 60 83  z 88 36   EntityZombie  Zombie  4791  l  MpServer   x  104 66  y 19 00  z 93 50   EntitySkeleton  Skeleton  4798  l  MpServer   x  96 97  y 17 00  z 95 50   EntityZombie  Zombie  4799  l  MpServer   x  95 44  y 15 00  z 103 44   EntityZombie  Zombie  4800  l  MpServer   x  107 50  y 19 00  z 95 50   EntitySpider  Spider  4846  l  MpServer   x  70 50  y 15 00  z 105 50   EntityCow  Cow  4859  l  MpServer   x 36 22  y 66 00  z 104 28   EntityCow  Cow  4860  l  MpServer   x 36 47  y 66 00  z 107 66   EntityPig  Pig  4861  l  MpServer   x 47 50  y 69 00  z 110 50   EntityPig  Pig  4862  l  MpServer   x 46 50  y 68 00  z 110 50   EntityCow  Cow  4863  l  MpServer   x 39 72  y 68 00  z 107 47   EntitySquid  Squid  4865  l  MpServer   x  33 14  y 58 25  z 87 10   EntitySkeleton  Skeleton  4876  l  MpServer   x  91 50  y 26 00  z 107 50   EntityCreeper  Creeper  4895  l  MpServer   x  109 50  y 58 00  z 34 50   EntitySquid  Squid  4909  l  MpServer   x  43 53  y 56 00  z 90 35   EntitySquid  Squid  4910  l  MpServer   x  42 53  y 56 00  z 95 23   EntitySquid  Squid  4911  l  MpServer   x  43 53  y 56 00  z 88 33   EntitySquid  Squid  4912  l  MpServer   x  41 10  y 56 00  z 91 08   EntitySheep  Sheep  4923  l  MpServer   x  92 78  y 73 00  z  9 50   EntitySheep  Sheep  4924  l  MpServer   x  91 19  y 73 00  z  9 50   EntitySheep  Sheep  4925  l  MpServer   x  95 22  y 72 00  z  12 50   EntitySheep  Sheep  4926  l  MpServer   x  96 53  y 73 00  z  12 50   EntityItem  item item seeds  4927  l  MpServer   x 3 16  y 64 13  z  5 16   EntityEnderman  Enderman  4967  l  MpServer   x  92 00  y 58 00  z 10 22   EntitySheep  Sheep  4981  l  MpServer   x  85 50  y 67 00  z  26 50   EntitySheep  Sheep  4982  l  MpServer   x  82 50  y 64 00  z  29 50   EntitySheep  Sheep  4983  l  MpServer   x  79 50  y 60 00  z  31 50   EntitySheep  Sheep  4984  l  MpServer   x  79 50  y 64 00  z  29 50   EntityPig  Pig  5110  l  MpServer   x 44 84  y 68 00  z 118 44   EntityPig  Pig  5111  l  MpServer   x 35 16  y 66 00  z 112 38  _x000D_
	Retry entities: 0 total    _x000D_
	Server brand: fml forge_x000D_
	Server type: Integrated singleplayer server_x000D_
Stacktrace:_x000D_
	at net minecraft client multiplayer WorldClient func 72914 a(WorldClient java:425)_x000D_
	at net minecraft client Minecraft func 71396 d(Minecraft java:2444)_x000D_
	at net minecraft client Minecraft func 99999 d(Minecraft java:927)_x000D_
	at net minecraft client main Main main(SourceFile:148)_x000D_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System Details   _x000D_
Details:_x000D_
	Minecraft Version: 1 7 10_x000D_
	Operating System: Linux (aarch64) version Android 10_x000D_
	Java Version: 1 8 0 internal  Oracle Corporation_x000D_
	Java VM Version: OpenJDK 64 Bit Server VM (mixed mode)  Oracle Corporation_x000D_
	Memory: 469280032 bytes (447 MB)   1107296256 bytes (1056 MB) up to 4294967296 bytes (4096 MB)_x000D_
	JVM Flags: 8 total   Xms1024m  Xmx4096m  XX: UseG1GC  XX: UnlockExperimentalVMOptions  XX:G1NewSizePercent 20  XX:G1ReservePercent 20  XX:MaxGCPauseMillis 50  XX:G1HeapRegionSize 32M_x000D_
	AABB Pool Size: 0 (0 bytes  0 MB) allocated  0 (0 bytes  0 MB) used_x000D_
	IntCache: cache: 0  tcache: 0  allocated: 13  tallocated: 95_x000D_
	FML: MCP v9 05 FML v7 10 99 99 Minecraft Forge 10 13 4 1558 Optifine OptiFine 1 7 10 HD U E7 3 mods loaded  3 mods active_x000D_
	States:  U    Unloaded  L    Loaded  C    Constructed  H    Pre initialized  I    Initialized  J    Post initialized  A    Available  D    Disabled  E    Errored_x000D_
	UCHIJAAAA	mcp 9 05   Minecraft Coder Pack  (minecraft jar) _x000D_
	UCHIJAAAA	FML 7 10 99 99   Forge Mod Loader  (forge 1 7 10 10 13 4 1558 1 7 10 jar) _x000D_
	UCHIJAAAA	Forge 10 13 4 1558   Minecraft Forge  (forge 1 7 10 10 13 4 1558 1 7 10 jar) _x000D_
	Launched Version: 1 7 10_x000D_
	LWJGL: 3 2 3 SNAPSHOT_x000D_
	OpenGL: GL4ES wrapper GL version 2 1 gl4es wrapper 1 1 4  ptitSeb_x000D_
	GL Caps: Using GL 1 3 multitexturing _x000D_
Using framebuffer objects because ARB framebuffer object is supported and separate blending is supported _x000D_
Anisotropic filtering is supported and maximum anisotropy is 16 _x000D_
Shaders are available because OpenGL 2 1 is supported _x000D_
_x000D_
	Is Modded: Definitely  Client brand changed to  fml forge _x000D_
	Type: Client (map client txt)_x000D_
	Resource Packs:  vanilla _x000D_
	Current Language: English (US)_x000D_
	Profiler Position: root gameRenderer level sky_x000D_
	Vec3 Pool Size: 0 (0 bytes  0 MB) allocated  0 (0 bytes  0 MB) used_x000D_
	Anisotropic Filtering: Off (1)</t>
  </si>
  <si>
    <t>PojavLauncherTeam-PojavLauncher-638</t>
  </si>
  <si>
    <t>[BUG] crash</t>
  </si>
  <si>
    <t xml:space="preserve">  Describe the bug  _x000D_
App crash when I try to load game  No crash log_x000D_
_x000D_
  To Reproduce  _x000D_
Steps to reproduce the behavior:_x000D_
1  Start Pojavlauncher_x000D_
2  Select the any version(I set it with 1 12 2)_x000D_
3  Try to run_x000D_
   _x000D_
_x000D_
  Expected behavior  _x000D_
I expected it run normally_x000D_
_x000D_
  Screenshots  _x000D_
  Screenshot 20210118 080530 (https:  user images githubusercontent com 39335760 104858622 01661100 5964 11eb 88d8 63ee27fe3fd0 png)_x000D_
English : App game has closed _x000D_
_x000D_
  Platform:  _x000D_
   Device Model : LG Q7_x000D_
   CPU architecture : 8x ARM Cortex A53   1 80 GHz_x000D_
   Android Version : 9 0_x000D_
_x000D_
 details   summary  b Additional context  b   summary _x000D_
 br _x000D_
 pre _x000D_
Add any other context about the problem here _x000D_
  pre _x000D_
  details _x000D_
</t>
  </si>
  <si>
    <t>Poing-Studios-godot-admob-android-44</t>
  </si>
  <si>
    <t>[BUG] Crashing on iOS Godot 3.2.2</t>
  </si>
  <si>
    <t xml:space="preserve">I tested the plugin on iOS in my iPhone 8 Plus with Godot 3 2 3 and the 3 2 3 template and is working  but Godot 3 2 3 has a huge bug with buttons delay and my game is unplayable_x000D_
_x000D_
So tried exporting my game with Godot 3 2 2 and works perfectly  but adding the plugin with the 3 2 2 template it is crashing with the next log _x000D_
   _x000D_
2021 01 17 16:47:42 033876 0300 frichen 501:26981  Godot Engine v3 2 2 stable custom build   https:  godotengine org_x000D_
2021 01 17 16:47:42 034215 0300 frichen 501:27193      Google  I ACS025031  AdMob App ID changed  Original  new: (nil)  ca app pub 9081047336041164 6080891688_x000D_
2021 01 17 16:47:42 034855 0300 frichen 501:27199      Google  I ACS023007  Analytics v 70100000 started_x000D_
2021 01 17 16:47:42 035029 0300 frichen 501:27199      Google  I ACS023008  To enable debug logging set the following application argument:  APMAnalyticsDebugEnabled (see http:  goo gl RfcP7r)_x000D_
2021 01 17 16:47:42 041920 0300 frichen 501:27194      Google  I ACS023171  Resetting App Measurement data_x000D_
2021 01 17 16:47:42 043417 0300 frichen 501:26981  OpenGL ES 3 0 Renderer: Apple A11 GPU_x000D_
2021 01 17 16:47:42 045867 0300 frichen 501:26981  fopen failed for data file: errno   2 (No such file or directory)_x000D_
2021 01 17 16:47:42 045929 0300 frichen 501:26981  Errors found  Invalidating cache   _x000D_
2021 01 17 16:47:42 054845 0300 frichen 501:27195      Google  I ACS023014  Failed to delete old database file  Error: Error Domain NSCocoaErrorDomain Code 4   google app measurement sql  couldn t be removed   UserInfo  NSUserStringVariant (_x000D_
    Remove_x000D_
)  NSFilePath  var mobile Containers Data Application ECD1206A 2FE3 4B36 94E8 8B91A28C0551 Library Application Support Google Measurement google app measurement sql  NSUnderlyingError 0x282394b10  Error Domain NSPOSIXErrorDomain Code 2  No such file or directory   _x000D_
2021 01 17 16:47:42 580870 0300 frichen 501:26981  _x000D_
2021 01 17 16:47:42 701920 0300 frichen 501:27195      Google  I ACS800023  No pending snapshot to activate  SDK name: app measurement_x000D_
2021 01 17 16:47:42 818680 0300 frichen 501:27198      Google  I ACS023012  Analytics collection enabled_x000D_
2021 01 17 16:47:42 870302 0300 frichen 501:26981  fopen failed for data file: errno   2 (No such file or directory)_x000D_
2021 01 17 16:47:42 870404 0300 frichen 501:26981  Errors found  Invalidating cache   _x000D_
2021 01 17 16:47:42 875134 0300 frichen 501:26981  fopen failed for data file: errno   2 (No such file or directory)_x000D_
2021 01 17 16:47:42 875183 0300 frichen 501:26981  Errors found  Invalidating cache   _x000D_
2021 01 17 16:47:43 131771 0300 frichen 501:26981      NSCFString containsObject: : unrecognized selector sent to instance 0x2838d4400_x000D_
2021 01 17 16:47:43 142919 0300 frichen 501:26981      Terminating app due to uncaught exception  NSInvalidArgumentException   reason:      NSCFString containsObject: : unrecognized selector sent to instance 0x2838d4400 _x000D_
    First throw call stack:_x000D_
(0x1970029d8 0x1ab36bb54 0x196f12bbc 0x19700501c 0x197006f8c 0x102e6afd8 0x102e6d5dc 0x105251528 0x105252e6c 0x102e6bfd0 0x10302b558 0x103e9798c 0x103133b70 0x19a1388e4 0x19a20ae04 0x196f5fb54 0x196f83420 0x196f82834 0x196f7c9f4 0x196f7bba0 0x1adcb9598 0x19986b3d8 0x199870958 0x102ffde80)_x000D_
libc  abi dylib: terminating with uncaught exception of type NSException_x000D_
    Terminating app due to uncaught exception  NSInvalidArgumentException   reason:      NSCFString containsObject: : unrecognized selector sent to instance 0x2838d4400 _x000D_
terminating with uncaught exception of type NSException_x000D_
(lldb) _x000D_
   </t>
  </si>
  <si>
    <t>PojavLauncherTeam-PojavLauncher-636</t>
  </si>
  <si>
    <t>Cannot enter forge 1 12 2 it just crash _x000D_
Launcher version:3 3 0_x000D_
Mobile:Samsung m21_x000D_
Android 10_x000D_
I think this can help this is the crash report _x000D_
_x000D_
     Minecraft Crash Report     _x000D_
   I bet Cylons wouldn t have this problem _x000D_
_x000D_
Time: 1 18 21 5:13 AM_x000D_
Description: Initializing game_x000D_
_x000D_
java lang NullPointerException: Initializing game_x000D_
	at org lwjgl opengl SharedDrawable  init (SharedDrawable java:50)_x000D_
	at net minecraftforge fml client SplashProgress start(SplashProgress java:229)_x000D_
	at net minecraftforge fml client FMLClientHandler beginMinecraftLoading(FMLClientHandler java:217)_x000D_
	at net minecraft client Minecraft func 71384 a(Minecraft java:467)_x000D_
	at net minecraft client Minecraft func 99999 d(Minecraft java:378)_x000D_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Head   _x000D_
Thread: Client thread_x000D_
Stacktrace:_x000D_
	at org lwjgl opengl SharedDrawable  init (SharedDrawable java:50)_x000D_
	at net minecraftforge fml client SplashProgress start(SplashProgress java:229)_x000D_
	at net minecraftforge fml client FMLClientHandler beginMinecraftLoading(FMLClientHandler java:217)_x000D_
	at net minecraft client Minecraft func 71384 a(Minecraft java:467)_x000D_
_x000D_
   Initialization   _x000D_
Details:_x000D_
Stacktrace:_x000D_
	at net minecraft client Minecraft func 99999 d(Minecraft java:378)_x000D_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System Details   _x000D_
Details:_x000D_
	Minecraft Version: 1 12 2_x000D_
	Operating System: Linux (aarch64) version Android 10_x000D_
	Java Version: 1 8 0 internal  Oracle Corporation_x000D_
	Java VM Version: OpenJDK 64 Bit Server VM (mixed mode)  Oracle Corporation_x000D_
	Memory: 248541168 bytes (237 MB)   402653184 bytes (384 MB) up to 805306368 bytes (768 MB)_x000D_
	JVM Flags: 8 total   Xms384m  Xmx768m  XX: UnlockExperimentalVMOptions  XX: UseG1GC  XX:G1NewSizePercent 20  XX:G1ReservePercent 20  XX:MaxGCPauseMillis 50  XX:G1HeapRegionSize 32M_x000D_
	IntCache: cache: 0  tcache: 0  allocated: 0  tallocated: 0_x000D_
	FML: _x000D_
	Loaded coremods (and transformers): _x000D_
	GL info:   Vendor:  ptitSeb  Version:  2 1 gl4es wrapper 1 1 4  Renderer:  GL4ES wrapper _x000D_
	Launched Version: 1 12 2_x000D_
	LWJGL: 3 2 3 SNAPSHOT_x000D_
	OpenGL: GL4ES wrapper GL version 2 1 gl4es wrapper 1 1 4  ptitSeb_x000D_
	GL Caps: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Yes_x000D_
	Is Modded: Definitely  Client brand changed to  fml forge _x000D_
	Type: Client (map client txt)_x000D_
	Resource Packs: _x000D_
	Current Language:   ERROR   NullPointerException: null_x000D_
	Profiler Position: N A (disabled)_x000D_
	CPU: 8x null</t>
  </si>
  <si>
    <t>TeamNewPipe-NewPipe-5442</t>
  </si>
  <si>
    <t>Prevent IllegalArgumentException when closing popup</t>
  </si>
  <si>
    <t xml:space="preserve">     Hey there  Thank you so much for improving NewPipe  and filling out the details  Having roughly the same layout helps everyone considerably :)   _x000D_
_x000D_
     What is it _x000D_
   x  Bugfix (user facing)_x000D_
      Feature (user facing)_x000D_
      Codebase improvement (dev facing)_x000D_
      Meta improvement to the project (dev facing)_x000D_
_x000D_
     Description of the changes in your PR_x000D_
_x000D_
This PR fixes a random crash when closing the popup player  I could reproduce it consistently on  dev  by closing the popup player via the  X  in the notification  but it also happens on  0 20 8  at random times _x000D_
_x000D_
     Fixes_x000D_
 details  summary  b Crash log  b   summary  p _x000D_
_x000D_
   _x000D_
java lang RuntimeException: Unable to stop service org schabi newpipe player MainPlayer 56760fc: java lang IllegalArgumentException: View android widget FrameLayout 759337c V E                0 0 1080 1965  not attached to window manager_x000D_
	at android app ActivityThread handleStopService(ActivityThread java:4136)_x000D_
	at android app ActivityThread access 1900(ActivityThread java:219)_x000D_
	at android app ActivityThread H handleMessage(ActivityThread java:1896)_x000D_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Caused by: java lang IllegalArgumentException: View android widget FrameLayout 759337c V E                0 0 1080 1965  not attached to window manager_x000D_
	at android view WindowManagerGlobal findViewLocked(WindowManagerGlobal java:517)_x000D_
	at android view WindowManagerGlobal removeView(WindowManagerGlobal java:426)_x000D_
	at android view WindowManagerImpl removeView(WindowManagerImpl java:121)_x000D_
	at org schabi newpipe player Player removePopupFromView(Player java:1358)_x000D_
	at org schabi newpipe player MainPlayer onDestroy(MainPlayer java:192)_x000D_
	at android app ActivityThread handleStopService(ActivityThread java:4116)_x000D_
	    8 more_x000D_
_x000D_
   _x000D_
  p   details _x000D_
_x000D_
     Due diligence_x000D_
   x  I read the  contribution guidelines (https:  github com TeamNewPipe NewPipe blob HEAD  github CONTRIBUTING md) _x000D_
</t>
  </si>
  <si>
    <t>nextcloud-android-7855</t>
  </si>
  <si>
    <t xml:space="preserve">    Steps to reproduce_x000D_
1   Opening the app_x000D_
2   Clicking the   button_x000D_
3   Crash_x000D_
_x000D_
    Expected behaviour_x000D_
  Tell us what should happen_x000D_
   i can add my files_x000D_
_x000D_
    Actual behaviour_x000D_
  Tell us what happens_x000D_
  it crash and tell me i should report it to github_x000D_
_x000D_
             CAUSE OF ERROR             _x000D_
_x000D_
java lang IllegalStateException: The specified child already has a parent  You must call removeView() on the child s parent first _x000D_
	at android view ViewGroup addViewInner(ViewGroup java:5264)_x000D_
	at android view ViewGroup addView(ViewGroup java:5085)_x000D_
	at android view ViewGroup addView(ViewGroup java:5025)_x000D_
	at android view ViewGroup addView(ViewGroup java:4998)_x000D_
	at com owncloud android ui fragment OCFileListBottomSheetDialog onCreate(OCFileListBottomSheetDialog java:131)_x000D_
	at android app Dialog dispatchOnCreate(Dialog java:550)_x000D_
	at android app Dialog show(Dialog java:391)_x000D_
	at com owncloud android ui fragment OCFileListFragment lambda registerFabListener 2 OCFileListFragment(OCFileListFragment java:442)_x000D_
	at com owncloud android ui fragment    Lambda OCFileListFragment aYkoWPoxzAOahKL5AVjT06NhcnM onClick(Unknown Source:4)_x000D_
	at android view View performClick(View java:7341)_x000D_
	at android view View performClickInternal(View java:7307)_x000D_
	at android view View access 3200(View java:846)_x000D_
	at android view View PerformClick run(View java:27790)_x000D_
	at android os Handler handleCallback(Handler java:873)_x000D_
	at android os Handler dispatchMessage(Handler java:99)_x000D_
	at android os Looper loop(Looper java:214)_x000D_
	at android app ActivityThread main(ActivityThread java:7097)_x000D_
	at java lang reflect Method invoke(Native Method)_x000D_
	at com android internal os RuntimeInit MethodAndArgsCaller run(RuntimeInit java:494)_x000D_
	at com android internal os ZygoteInit main(ZygoteInit java:975)_x000D_
_x000D_
             APP INFORMATION             _x000D_
ID: com nextcloud client_x000D_
Version: 30140251_x000D_
Build flavor: generic_x000D_
_x000D_
             DEVICE INFORMATION             _x000D_
Brand: samsung_x000D_
Device: j4primelte_x000D_
Model: SM J415F_x000D_
Id: PPR1 180610 011_x000D_
Product: j4primeltedx_x000D_
_x000D_
             FIRMWARE             _x000D_
SDK: 28_x000D_
Release: 9_x000D_
Incremental: J415FXXU2BSDL_x000D_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</si>
  <si>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TeamNewPipe-NewPipe-5436</t>
  </si>
  <si>
    <t>[dev] Crash when pressing back button in search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</si>
  <si>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dev at 098c954ef1c5df41b2fd0201804c4e536b6b6b0b_x000D_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search_x000D_
2  Press on the back arrow in the app bar_x000D_
3  get a crash_x000D_
_x000D_
    Related issues_x000D_
 5414_x000D_
 Isira Seneviratne Can you help _x000D_
_x000D_
    Logs_x000D_
   Exception_x000D_
    User Action:   ui error_x000D_
    Request:   App crash  UI failure_x000D_
    Content Country:   US_x000D_
    Content Language:   en US_x000D_
    App Language:   en US_x000D_
    Service:   none_x000D_
    Version:   0 20 8_x000D_
    OS:   Linux Android 11   30_x000D_
 details  summary  b Crash log   b   summary  p _x000D_
_x000D_
   _x000D_
java lang IllegalStateException: Fragment no longer exists for key f0: unique id 07596823 40d9 4d5f a1b9 866b4e9f4af3_x000D_
	at androidx fragment app FragmentManager getFragment(FragmentManager java:772)_x000D_
	at androidx fragment app FragmentStatePagerAdapterMenuWorkaround restoreState(FragmentStatePagerAdapterMenuWorkaround java:311)_x000D_
	at androidx viewpager widget ViewPager onRestoreInstanceState(ViewPager java:1461)_x000D_
	at android view View dispatchRestoreInstanceState(View java:20743)_x000D_
	at android view ViewGroup dispatchRestoreInstanceState(ViewGroup java:3986)_x000D_
	at android view ViewGroup dispatchRestoreInstanceState(ViewGroup java:3992)_x000D_
	at android view View restoreHierarchyState(View java:20721)_x000D_
	at androidx fragment app Fragment restoreViewState(Fragment java:573)_x000D_
	at androidx fragment app FragmentStateManager restoreViewState(FragmentStateManager java:356)_x000D_
	at androidx fragment app FragmentManager moveToState(FragmentManager java:1189)_x000D_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BackStackRecord executePopOps(BackStackRecord java:510)_x000D_
	at androidx fragment app FragmentManager executeOps(FragmentManager java:2166)_x000D_
	at androidx fragment app FragmentManager executeOpsTogether(FragmentManager java:1992)_x000D_
	at androidx fragment app FragmentManager removeRedundantOperationsAndExecute(FragmentManager java:1947)_x000D_
	at androidx fragment app FragmentManager popBackStackImmediate(FragmentManager java:658)_x000D_
	at androidx fragment app FragmentManager popBackStackImmediate(FragmentManager java:596)_x000D_
	at org schabi newpipe util NavigationHelper gotoMainFragment(NavigationHelper java:283)_x000D_
	at org schabi newpipe MainActivity onHomeButtonPressed(MainActivity java:646)_x000D_
	at org schabi newpipe MainActivity lambda updateDrawerNavigation 3 MainActivity(MainActivity java:738)_x000D_
	at org schabi newpipe    Lambda MainActivity x4OATthNilXVns6OoQlHV6SMv8w onClick(Unknown Source:2)_x000D_
	at android view View performClick(View java:7448)_x000D_
	at android view View performClickInternal(View java:7425)_x000D_
	at android view View access 3600(View java:810)_x000D_
	at android view View PerformClick run(View java:28305)_x000D_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_x000D_
  details _x000D_
 hr _x000D_
_x000D_
_x000D_
_x000D_
_x000D_
     Please fill this out when you do not provide a log generate by NewPipe    _x000D_
_x000D_
    Device info_x000D_
_x000D_
   Android version Custom ROM version: API 30_x000D_
   Device model: Pixel emulator_x000D_
</t>
  </si>
  <si>
    <t>Anuken-Mindustry-4351</t>
  </si>
  <si>
    <t>Doors cannot be toggled if attached to a door that will be built</t>
  </si>
  <si>
    <t xml:space="preserve">  Platform  : Windows_x000D_
_x000D_
  Build  :  The build number under the title in the main menu  Required   LATEST  IS NOT A VERSION  I NEED THE EXACT BUILD NUMBER OF YOUR GAME   122 1_x000D_
_x000D_
  Issue  :  Explain your issue in detail  _x000D_
When constructing a large amount of connected doors from a schematic or copy paste  it will force the doors into the state they were originally if you try to open close  until the blueprint is done building _x000D_
_x000D_
  Steps to reproduce  :  How you happened across the issue  and what exactly you did to make the bug happen  _x000D_
put down a lot of touching doors  using F copy and paste  when building  try to toggle the already built ones _x000D_
_x000D_
  Link(s) to mod(s) used  :  The mod repositories or zip files that are related to the issue  if applicable  _x000D_
N 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See the attached_x000D_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 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attach d zip (https:  github com Anuken Mindustry files 5825241 attach d zip)_x000D_
I m not sure if this is a bug  so apologies if it isn t </t>
  </si>
  <si>
    <t>TeamNewPipe-NewPipe-5427</t>
  </si>
  <si>
    <t>reCAPTCHA challenge</t>
  </si>
  <si>
    <t xml:space="preserve">_x000D_
  Screenshot 20210114 134109 NewPipe (https:  user images githubusercontent com 77541726 104816365 aeb41a00 57e8 11eb 9685 420b81855382 jpg)_x000D_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app click on any yt video and immediately the captcha challenge appears_x000D_
2  If the challenge instructions are followed  the main yt web homepage will appear inside newpipe app and the yt webpage is functional  _x000D_
3  ALL yt videos trigger this  whether trying to access from newpipe app   or   trying to access newpipe app FROM yt via  Share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see above_x000D_
_x000D_
_x000D_
    Expected behavior_x000D_
     Tell us what you expect to happen     _x000D_
Normal newpipe experience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attached_x000D_
_x000D_
     DON T POST SCREENSHOTS OF THE ERROR PAGE  Use the buttons given on the error page to paste the error as text in the Logs section below     _x000D_
No error report generated  App behaves as if this is normal _x000D_
_x000D_
_x000D_
    Logs_x000D_
     If your bug includes a crash (where you re shown the Error Report page with a bunch of info)  tap on  Copy formatted report  at the bottom and paste it here:    na_x000D_
_x000D_
     That s right  here     _x000D_
Na_x000D_
_x000D_
_x000D_
     Please fill this out when you do not provide a log generate by NewPipe    _x000D_
_x000D_
    Device info Android 10_x000D_
_x000D_
   Android version Custom ROM version: android 10_x000D_
   Device model:samsung a11_x000D_
</t>
  </si>
  <si>
    <t>MuntashirAkon-AppManager-232</t>
  </si>
  <si>
    <t>AM Crashes when backing up an app whose App Info page hasn't loaded yet</t>
  </si>
  <si>
    <t xml:space="preserve">Partially related:  135   224_x000D_
_x000D_
  Describe the bug  _x000D_
AM Crashes when backing up an app whose App Info page hasn t loaded yet _x000D_
_x000D_
  To Reproduce  _x000D_
Steps to reproduce the behaviour:_x000D_
1  Close AM (bug only happens on a cold start)_x000D_
2  Open AM and open an app s info page_x000D_
3  Close the info page quickly before it loads completely_x000D_
4  Try to back up that app_x000D_
5  AM Crashes_x000D_
_x000D_
  Expected behavior  _x000D_
AM should not crash_x000D_
_x000D_
  Crash logs  _x000D_
   _x000D_
java lang IllegalStateException: onGetLayoutInflater() cannot be executed until the Fragment is attached to the FragmentManager _x000D_
    at androidx fragment app Fragment getLayoutInflater(Fragment java:1658)_x000D_
    at androidx fragment app Fragment onGetLayoutInflater(Fragment java:1607)_x000D_
    at androidx fragment app Fragment performGetLayoutInflater(Fragment java:1639)_x000D_
    at androidx fragment app Fragment getLayoutInflater(Fragment java:1624)_x000D_
    at io github muntashirakon AppManager details info AppInfoFragment addToHorizontalLayout(AppInfoFragment java:1158)_x000D_
    at io github muntashirakon AppManager details info AppInfoFragment setHorizontalActions(AppInfoFragment java:601)_x000D_
    at io github muntashirakon AppManager details info AppInfoFragment lambda xWz9vTnm3z1QcBRHbhFt47G9O3M(Unknown Source:0)_x000D_
    at io github muntashirakon AppManager details info    Lambda AppInfoFragment xWz9vTnm3z1QcBRHbhFt47G9O3M run(Unknown Source:2)_x000D_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java:915)_x000D_
   _x000D_
_x000D_
  Device info  _x000D_
App version: 2 5 22 PRE_x000D_
Android release version: 10_x000D_
Android SDK version: 29_x000D_
Device brand: lge_x000D_
Device manufacturer: LGE_x000D_
Device name: lucye_x000D_
Device model: LG H870_x000D_
Device product name: lucye global com_x000D_
Device hardware name: qcom_x000D_
ABIs:  arm64 v8a  armeabi v7a  armeabi _x000D_
ABIs (32bit):  armeabi v7a  armeabi _x000D_
ABIs (64bit):  arm64 v8a _x000D_
System language: en US_x000D_
In App Language: auto_x000D_
Mode: root_x000D_
</t>
  </si>
  <si>
    <t>PojavLauncherTeam-PojavLauncher-619</t>
  </si>
  <si>
    <t>The software will crash when I launch 1.10.2forge and 1.12.2forge with the newest version in Actions</t>
  </si>
  <si>
    <t>The software will crash when I launch 1 10 2forge and 1 12 2forge with the newest version in Actions:https:  github com PojavLauncherTeam PojavLauncher actions runs 489551289_x000D_
there is the crash report:_x000D_
     Minecraft Crash Report     _x000D_
_x000D_
WARNING: coremods are present:_x000D_
  ValkyrienWarfareBase CoreMod (Valkyrien Warfare 0 9 pre 1 jar)_x000D_
Contact their authors BEFORE contacting forge_x000D_
_x000D_
   Don t be sad  have a hug   3_x000D_
_x000D_
Time: 21 1 16   7:53_x000D_
Description: Initializing game_x000D_
_x000D_
java lang InternalError: java lang reflect InvocationTargetException_x000D_
	at net java openjdk cacio ctc FontManagerUtil 1 run(FontManagerUtil java:36)_x000D_
	at java security AccessController doPrivileged(Native Method)_x000D_
	at net java openjdk cacio ctc FontManagerUtil setFontManager(FontManagerUtil java:17)_x000D_
	at net java openjdk cacio ctc CTCGraphicsEnvironment  clinit (CTCGraphicsEnvironment java:31)_x000D_
	at java lang Class forName0(Native Method)_x000D_
	at java lang Class forName(Class java:264)_x000D_
	at java awt GraphicsEnvironment createGE(GraphicsEnvironment java:103)_x000D_
	at java awt GraphicsEnvironment getLocalGraphicsEnvironment(GraphicsEnvironment java:82)_x000D_
	at java awt image BufferedImage createGraphics(BufferedImage java:1181)_x000D_
	at net optifine util TextureUtils scaleImage(TextureUtils java:514)_x000D_
	at net minecraft client renderer texture TextureMap getMissingImageData(TextureMap java:980)_x000D_
	at net minecraft client renderer texture TextureMap func 110569 e(TextureMap java:121)_x000D_
	at net minecraft client renderer texture TextureMap func 174943 a(TextureMap java:158)_x000D_
	at net minecraftforge client model ModelLoader func 177570 a(ModelLoader java:156)_x000D_
	at net minecraft client renderer block model ModelManager func 110549 a(ModelManager java:28)_x000D_
	at net minecraft client resources SimpleReloadableResourceManager func 110542 a(SimpleReloadableResourceManager java:122)_x000D_
	at net minecraft client Minecraft func 71384 a(Minecraft java:499)_x000D_
	at net minecraft client Minecraft func 99999 d(Minecraft java:351)_x000D_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Caused by: java lang reflect InvocationTargetException_x000D_
	at sun reflect NativeConstructorAccessorImpl newInstance0(Native Method)_x000D_
	at sun reflect NativeConstructorAccessorImpl newInstance(NativeConstructorAccessorImpl java:62)_x000D_
	at sun reflect DelegatingConstructorAccessorImpl newInstance(DelegatingConstructorAccessorImpl java:45)_x000D_
	at java lang reflect Constructor newInstance(Constructor java:423)_x000D_
	at net java openjdk cacio ctc FontManagerUtil 1 run(FontManagerUtil java:25)_x000D_
	    24 more_x000D_
Caused by: java lang ClassCastException: net java openjdk cacio ctc CTCFontManager cannot be cast to sun awt X11FontManager_x000D_
	at sun awt motif MFontConfiguration getFileNameFromComponentFontName(MFontConfiguration java:267)_x000D_
	at sun awt FontConfiguration get2DCompositeFontInfo(FontConfiguration java:1051)_x000D_
	at sun font SunFontManager initCompositeFonts(SunFontManager java:3557)_x000D_
	at sun font SunFontManager access 800(SunFontManager java:65)_x000D_
	at sun font SunFontManager 2 run(SunFontManager java:555)_x000D_
	at java security AccessController doPrivileged(Native Method)_x000D_
	at sun font SunFontManager  init (SunFontManager java:386)_x000D_
	at sun awt FcFontManager  init (FcFontManager java:35)_x000D_
	at net java openjdk cacio ctc CTCFontManager  init (CTCFontManager java:59)_x000D_
	    29 more_x000D_
_x000D_
_x000D_
A detailed walkthrough of the error  its code path and all known details is as follows:_x000D_
                                                                                       _x000D_
_x000D_
   Head   _x000D_
Thread: Client thread_x000D_
Stacktrace:_x000D_
	at net java openjdk cacio ctc FontManagerUtil 1 run(FontManagerUtil java:36)_x000D_
	at java security AccessController doPrivileged(Native Method)_x000D_
	at net java openjdk cacio ctc FontManagerUtil setFontManager(FontManagerUtil java:17)_x000D_
	at net java openjdk cacio ctc CTCGraphicsEnvironment  clinit (CTCGraphicsEnvironment java:31)_x000D_
	at java lang Class forName0(Native Method)_x000D_
	at java lang Class forName(Class java:264)_x000D_
	at java awt GraphicsEnvironment createGE(GraphicsEnvironment java:103)_x000D_
	at java awt GraphicsEnvironment getLocalGraphicsEnvironment(GraphicsEnvironment java:82)_x000D_
	at java awt image BufferedImage createGraphics(BufferedImage java:1181)_x000D_
	at net optifine util TextureUtils scaleImage(TextureUtils java:514)_x000D_
	at net minecraft client renderer texture TextureMap getMissingImageData(TextureMap java:980)_x000D_
	at net minecraft client renderer texture TextureMap func 110569 e(TextureMap java:121)_x000D_
	at net minecraft client renderer texture TextureMap func 174943 a(TextureMap java:158)_x000D_
	at net minecraftforge client model ModelLoader func 177570 a(ModelLoader java:156)_x000D_
	at net minecraft client renderer block model ModelManager func 110549 a(ModelManager java:28)_x000D_
	at net minecraft client resources SimpleReloadableResourceManager func 110542 a(SimpleReloadableResourceManager java:122)_x000D_
	at net minecraft client Minecraft func 71384 a(Minecraft java:499)_x000D_
_x000D_
   Initialization   _x000D_
Details:_x000D_
Stacktrace:_x000D_
	at net minecraft client Minecraft func 99999 d(Minecraft java:351)_x000D_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System Details   _x000D_
Details:_x000D_
	Minecraft Version: 1 10 2_x000D_
	Operating System: Linux (aarch64) version Android 9_x000D_
	Java Version: 1 8 0 internal  Oracle Corporation_x000D_
	Java VM Version: OpenJDK 64 Bit Server VM (mixed mode)  Oracle Corporation_x000D_
	Memory: 486539152 bytes (463 MB)   805306368 bytes (768 MB) up to 838860800 bytes (800 MB)_x000D_
	JVM Flags: 20 total   Xms768m  Xmx800m  XX: UseG1GC  XX: ParallelRefProcEnabled  XX:MaxGCPauseMillis 200  XX: UnlockExperimentalVMOptions  XX: AlwaysPreTouch  XX:G1NewSizePercent 30  XX:G1MaxNewSizePercent 40  XX:G1HeapRegionSize 8M  XX:G1ReservePercent 20  XX:G1HeapWastePercent 5  XX:G1MixedGCCountTarget 4  XX:InitiatingHeapOccupancyPercent 15  XX:G1MixedGCLiveThresholdPercent 90  XX:G1RSetUpdatingPauseTimePercent 5  XX:SurvivorRatio 32  XX: PerfDisableSharedMem  XX:MaxTenuringThreshold 1  Xbootclasspath a: storage emulated 0 games PojavLauncher  minecraft caciocavallo cacio androidnw 1 10 SNAPSHOT jar: storage emulated 0 games PojavLauncher  minecraft caciocavallo cacio shared 1 10 SNAPSHOT jar: storage emulated 0 games PojavLauncher  minecraft caciocavallo xml libs pack jar_x000D_
	IntCache: cache: 0  tcache: 0  allocated: 0  tallocated: 0_x000D_
	FML: MCP 9 32 Powered by Forge 12 18 3 2511 Optifine OptiFine 1 10 2 HD U H5 9 mods loaded  9 mods active_x000D_
	States:  U    Unloaded  L    Loaded  C    Constructed  H    Pre initialized  I    Initialized  J    Post initialized  A    Available  D    Disabled  E    Errored_x000D_
	UCH	mcp 9 19   Minecraft Coder Pack  (minecraft jar) _x000D_
	UCH	FML 8 0 99 99   Forge Mod Loader  (forge 1 10 2 12 18 3 2511 jar) _x000D_
	UCH	Forge 12 18 3 2511   Minecraft Forge  (forge 1 10 2 12 18 3 2511 jar) _x000D_
	UCH	flammpfeil slashblade mc1 10 2 r39   SlashBlade  (SlashBlade mc1 10 2 r39 jar) _x000D_
	UCH	valkyrienwarfare 0 9 alpha   Valkyrien Warfare  (Valkyrien Warfare 0 9 pre 1 jar) _x000D_
	UCH	cannons cannons   Cannons   (Valkyrien Warfare 0 9 pre 1 jar) _x000D_
	UCH	valkyrienwarfarecombat 0 9 alpha   Valkyrien Warfare Combat  (Valkyrien Warfare 0 9 pre 1 jar) _x000D_
	UCH	valkyrienwarfarecontrol 0 9 alpha   Valkyrien Warfare Control  (Valkyrien Warfare 0 9 pre 1 jar) _x000D_
	UCH	valkyrienwarfareworld 0 9 alpha   Valkyrien Warfare World  (Valkyrien Warfare 0 9 pre 1 jar) _x000D_
	Loaded coremods (and transformers): _x000D_
ValkyrienWarfareBase CoreMod (Valkyrien Warfare 0 9 pre 1 jar)_x000D_
  ValkyrienWarfareBase CoreMod ValkyrienWarfareTransformer_x000D_
	Launched Version: 1 10 2_x000D_
	LWJGL: 3 2 3 SNAPSHOT_x000D_
	OpenGL: GL4ES wrapper GL version 2 1 gl4es wrapper 1 1 4  ptitSeb_x000D_
	GL Caps: VboRegions not supported  missing: OpenGL 1 3  ARB copy buffer_x000D_
Using GL 1 3 multitexturing _x000D_
Using GL 1 3 texture combiners _x000D_
Using framebuffer objects because ARB framebuffer object is supported and separate blending is supported _x000D_
Shaders are available because OpenGL 2 1 is supported _x000D_
VBOs are available because OpenGL 1 5 is supported _x000D_
_x000D_
	Using VBOs: No_x000D_
	Is Modded: Definitely  Client brand changed to  fml forge _x000D_
	Type: Client (map client txt)_x000D_
	Resource Packs: _x000D_
	Current Language:      (  )_x000D_
	Profiler Position: N A (disabled)_x000D_
	CPU: 8x null_x000D_
	OptiFine Version: OptiFine 1 10 2 HD U H5_x000D_
	OptiFine Build: 20191204 143012_x000D_
	Render Distance Chunks: 2_x000D_
	Mipmaps: 0_x000D_
	Anisotropic Filtering: 1_x000D_
	Antialiasing: 0_x000D_
	Multitexture: false_x000D_
	Shaders: null_x000D_
	OpenGlVersion: 2 1 gl4es wrapper 1 1 4_x000D_
	OpenGlRenderer: GL4ES wrapper_x000D_
	OpenGlVendor: ptitSeb_x000D_
	CpuCount: 8</t>
  </si>
  <si>
    <t>TeamNewPipe-NewPipe-5426</t>
  </si>
  <si>
    <t>"Unrecoverable Player Error occurred" on almost every Youtube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</si>
  <si>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Almost every video on Youtube will yield the  Unrecoverable Player Error occurred  error message _x000D_
_x000D_
A (rare ) working video is https:  www youtube com watch v C u5WLJ9Yk4 ( Britney Spears      Baby One More Time (Official Video) )  a video yielding the error message is  for instance  https:  www youtube com watch v w8KQmps Sog ( Muse   Uprising  Official Video  )   and both videos apparently were uploaded around the year 2009 _x000D_
_x000D_
NewPipe appears to work well in all other aspects   except for actually playing video (see above) _x000D_
_x000D_
Steps: _x000D_
  Try to play the Muse video (https:  www youtube com watch v w8KQmps Sog ( Muse   Uprising  Official Video  ))_x000D_
_x000D_
     If you can t cause the bug to show up again reliably (and hence don t have a proper set of steps to give us)  please still try to give as many details as possible on how you think you encountered the bug     _x000D_
_x000D_
    Actual behaviour_x000D_
     Tell us what happens with the steps given above     _x000D_
  exp: plays video_x000D_
_x000D_
    Expected behavior_x000D_
     Tell us what you expect to happen     _x000D_
  act:  Unrecoverable Player Error occurred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 a_x000D_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n a_x000D_
_x000D_
_x000D_
     Please fill this out when you do not provide a log generate by NewPipe    _x000D_
_x000D_
    Device info_x000D_
_x000D_
   Android version Custom ROM version: Custom Android ROM  AICP https:  www aicp rom com  (Android Q  15 0    https:  dwnld aicp rom com device castor windy WEEKLY aicp castor windy q 15 0 WEEKLY 20210115 zip)_x000D_
   Device model: Sony Xperia Z2 Tablet WiFi (castor windy)    Qualcomm Snapdragon 801  32( ) bit_x000D_
_x000D_
</t>
  </si>
  <si>
    <t>PojavLauncherTeam-PojavLauncher-617</t>
  </si>
  <si>
    <t>When I launch 1.14.4 forge and 1.16.4 forge with the latest version in actions, the software will crash</t>
  </si>
  <si>
    <t>_x000D_
When I launch 1 14 4 forge and 1 16 4 forge with the latest version in actions:https:  github com PojavLauncherTeam PojavLauncher actions runs 489388095   the software will crash But I can launch 1 16 4forge and 1 14 4forge successfully with older version in actions _x000D_
there is the crash report:_x000D_
_x000D_
     Minecraft Crash Report     _x000D_
   Don t be sad  have a hug   3_x000D_
_x000D_
Time: 21 1 16   3:56_x000D_
Description: Unexpected error_x000D_
_x000D_
java lang Error: Could not find class: net java openjdk cacio ctc CTCGraphicsEnvironment_x000D_
	at java awt GraphicsEnvironment createGE(GraphicsEnvironment java:117)    :1 8 0 internal    _x000D_
	at java awt GraphicsEnvironment getLocalGraphicsEnvironment(GraphicsEnvironment java:82)    :1 8 0 internal    _x000D_
	at java awt image BufferedImage createGraphics(BufferedImage java:1181)    :1 8 0 internal    _x000D_
	at com mamiyaotaru voxelmap util ImageUtils createBufferedImageFromResourceLocation(ImageUtils java:103)   voxelmap:1 0   re:classloading _x000D_
	at com mamiyaotaru voxelmap util ImageUtils loadImage(ImageUtils java:315)   voxelmap:1 0   re:classloading _x000D_
	at com mamiyaotaru voxelmap Radar createImageFromTypeAndImages(Radar java:611)   voxelmap:1 0   re:classloading _x000D_
	at com mamiyaotaru voxelmap Radar createImageFromTypeAndResourceLocations(Radar java:581)   voxelmap:1 0   re:classloading _x000D_
	at com mamiyaotaru voxelmap Radar loadTexturePackIcons(Radar java:462)   voxelmap:1 0   re:classloading _x000D_
	at com mamiyaotaru voxelmap Radar onResourceManagerReload(Radar java:431)   voxelmap:1 0   re:classloading _x000D_
	at com mamiyaotaru voxelmap VoxelMap apply(VoxelMap java:162)   voxelmap:1 0   re:classloading _x000D_
	at com mamiyaotaru voxelmap VoxelMap lateInit(VoxelMap java:139)   voxelmap:1 0   re:classloading _x000D_
	at com mamiyaotaru voxelmap forgemod ClientProxy postInit(ClientProxy java:18)   voxelmap:1 0   re:classloading _x000D_
	at com mamiyaotaru voxelmap forgemod ForgeModVoxelMap 1 run(ForgeModVoxelMap java:68)   voxelmap:1 0   re:classloading _x000D_
	at net minecraft util concurrent ThreadTaskExecutor func 213166 h(ThreadTaskExecutor java:172)    :    re:classloading pl:accesstransformer:B xf:OptiFine:default _x000D_
	at net minecraft util concurrent RecursiveEventLoop func 213166 h(SourceFile:23)    :    re:classloading _x000D_
	at net minecraft util concurrent ThreadTaskExecutor func 213168 p(ThreadTaskExecutor java:134)    :    re:classloading pl:accesstransformer:B xf:OptiFine:default _x000D_
	at net minecraft util concurrent ThreadTaskExecutor func 213160 bf(ThreadTaskExecutor java:115)    :    re:classloading pl:accesstransformer:B xf:OptiFine:default _x000D_
	at net minecraft client Minecraft func 195542 b(Minecraft java:947)    :    re:classloading pl:accesstransformer:B pl:runtimedistcleaner:A _x000D_
	at net minecraft client Minecraft func 99999 d(Minecraft java:607)    :    re:classloading pl:accesstransformer:B pl:runtimedistcleaner:A _x000D_
	at net minecraft client main Main main(Main java:184)   1 16 4 jar:    re:classloading pl:runtimedistcleaner:A _x000D_
	at sun reflect NativeMethodAccessorImpl invoke0(Native Method)    :1 8 0 internal    _x000D_
	at sun reflect NativeMethodAccessorImpl invoke(NativeMethodAccessorImpl java:62)    :1 8 0 internal    _x000D_
	at sun reflect DelegatingMethodAccessorImpl invoke(DelegatingMethodAccessorImpl java:43)    :1 8 0 internal    _x000D_
	at java lang reflect Method invoke(Method java:498)    :1 8 0 internal    _x000D_
	at net minecraftforge fml loading FMLClientLaunchProvider lambda launchService 0(FMLClientLaunchProvider java:51)   forge 1 16 4 35 1 13 jar:35 1    _x000D_
	at cpw mods modlauncher LaunchServiceHandlerDecorator launch(LaunchServiceHandlerDecorator java:37)  modlauncher 8 0 6 jar:     _x000D_
	at cpw mods modlauncher LaunchServiceHandler launch(LaunchServiceHandler java:54)  modlauncher 8 0 6 jar:     _x000D_
	at cpw mods modlauncher LaunchServiceHandler launch(LaunchServiceHandler java:72)  modlauncher 8 0 6 jar:     _x000D_
	at cpw mods modlauncher Launcher run(Launcher java:82)  modlauncher 8 0 6 jar:     _x000D_
	at cpw mods modlauncher Launcher main(Launcher java:66)  modlauncher 8 0 6 jar:     _x000D_
_x000D_
_x000D_
A detailed walkthrough of the error  its code path and all known details is as follows:_x000D_
                                                                                       _x000D_
_x000D_
   System Details   _x000D_
Details:_x000D_
	Minecraft Version: 1 16 4_x000D_
	Minecraft Version ID: 1 16 4_x000D_
	Operating System: Linux (aarch64) version Android 9_x000D_
	Java Version: 1 8 0 internal  Oracle Corporation_x000D_
	Java VM Version: OpenJDK 64 Bit Server VM (mixed mode)  Oracle Corporation_x000D_
	Memory: 356636496 bytes (340 MB)   838860800 bytes (800 MB) up to 838860800 bytes (800 MB)_x000D_
	CPUs: 8_x000D_
	JVM Flags: 8 total   Xms768m  Xmx800m  XX: UnlockExperimentalVMOptions  XX: UseG1GC  XX:G1NewSizePercent 20  XX:G1ReservePercent 20  XX:MaxGCPauseMillis 50  XX:G1HeapRegionSize 32M_x000D_
	ModLauncher: 8 0 6 85 master 325de55_x000D_
	ModLauncher launch target: fmlclient_x000D_
	ModLauncher naming: srg_x000D_
	ModLauncher services: _x000D_
		 mixin 0 8 2 jar mixin PLUGINSERVICE _x000D_
		 eventbus 3 0 5 service jar eventbus PLUGINSERVICE _x000D_
		 forge 1 16 4 35 1 13 jar object holder definalize PLUGINSERVICE _x000D_
		 forge 1 16 4 35 1 13 jar runtime enum extender PLUGINSERVICE _x000D_
		 accesstransformers 2 2 0 shadowed jar accesstransformer PLUGINSERVICE _x000D_
		 forge 1 16 4 35 1 13 jar capability inject definalize PLUGINSERVICE _x000D_
		 forge 1 16 4 35 1 13 jar runtimedistcleaner PLUGINSERVICE _x000D_
		 mixin 0 8 2 jar mixin TRANSFORMATIONSERVICE _x000D_
		 OptiFine 1 16 4 HD U G5 jar OptiFine TRANSFORMATIONSERVICE _x000D_
		 forge 1 16 4 35 1 13 jar fml TRANSFORMATIONSERVICE _x000D_
	FML: 35 1_x000D_
	Forge: net minecraftforge:35 1 13_x000D_
	FML Language Providers: _x000D_
		javafml 35 1_x000D_
		minecraft 1_x000D_
	Mod List: _x000D_
		forge 1 16 4 35 1 13 client jar                    Minecraft                      minecraft                      1 16 4               ENQUEUE IM NOSIGNATURE_x000D_
		HotLib 1 16 2 0 0 1 jar                            HotLib                         hotlib                         0 0 1                ENQUEUE IM NOSIGNATURE_x000D_
		WatchDog AntiCheat 1 16 2 0 0 1 jar                WatchDog AntiCheat             watchdog                       0 0 1                ENQUEUE IM NOSIGNATURE_x000D_
		VoxelMap Mod 1 16 4 jar                            VoxelMap                       voxelmap                       1 10 14              ENQUEUE IM NOSIGNATURE_x000D_
		forge 1 16 4 35 1 13 universal jar                 Forge                          forge                          35 1 13              ENQUEUE IM 22:af:21:d8:19:82:7f:93:94:fe:2b:ac:b7:e4:41:57:68:39:87:b1:a7:5c:c6:44:f9:25:74:21:14:f5:0d:90_x000D_
		torohealth 1 16 4 forge 1 jar                      ToroHealth                     torohealth                     NONE                 ENQUEUE IM NOSIGNATURE_x000D_
		forgeautofish 1 0 5 1 16 3 jar                     AutoFish for Forge             forgeautofish                  1 0 5                ENQUEUE IM NOSIGNATURE_x000D_
	Crash Report UUID: 44323864 b7c5 45a2 abcd f5ba4348fb8e_x000D_
	Launched Version: 1 16 4_x000D_
	Backend library: LWJGL version 3 2 3 SNAPSHOT_x000D_
	Backend API: GL4ES wrapper GL version 2 1 gl4es wrapper 1 1 4  ptitSeb_x000D_
	GL Caps: Using framebuffer using ARB framebuffer object extension_x000D_
	Using VBOs: Yes_x000D_
	Is Modded: Definitely  Client brand changed to  forge _x000D_
	Type: Client (map client txt)_x000D_
	Graphics mode: fast_x000D_
	Resource Packs: vanilla  mod resources_x000D_
	Current Language: English (US)_x000D_
	CPU: 8x null_x000D_
	OptiFine Version: OptiFine 1 16 4 HD U G5_x000D_
	OptiFine Build: 20201106 171901_x000D_
	Render Distance Chunks: 2_x000D_
	Mipmaps: 0_x000D_
	Anisotropic Filtering: 1_x000D_
	Antialiasing: 0_x000D_
	Multitexture: false_x000D_
	Shaders: null_x000D_
	OpenGlVersion: 2 1 gl4es wrapper 1 1 4_x000D_
	OpenGlRenderer: GL4ES wrapper_x000D_
	OpenGlVendor: ptitSeb_x000D_
	CpuCount: 8</t>
  </si>
  <si>
    <t>Anuken-Mindustry-4339</t>
  </si>
  <si>
    <t>Sector Lost After Crash</t>
  </si>
  <si>
    <t xml:space="preserve">  Platform  :  Android _x000D_
_x000D_
  Build  :  122 1  _x000D_
_x000D_
  Issue  :  when going to a captured Sector  the game crashes and when you go back  you lost the sector  _x000D_
_x000D_
  Steps to reproduce  :  i really don t know how to reproduce this bug  _x000D_
_x000D_
  Link(s) to mod(s) used  :  _x000D_
deltanedas dev mode_x000D_
deltanedas ui lib_x000D_
Deltanedas pictologic_x000D_
(The rest are disabled)_x000D_
  _x000D_
_x000D_
  Save file  :  none  _x000D_
_x000D_
  (Crash) logs  :   crash 1610761211336 txt (https:  github com Anuken Mindustry files 5823681 crash 1610761211336 txt)_x000D_
_x000D_
It happened two times  this was with ground zero and the another was Biomass synthesis facility but i didn t find the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</si>
  <si>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TeamNewPipe-NewPipe-5423</t>
  </si>
  <si>
    <t>Videos on loading loop after tabbing back into app.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</si>
  <si>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Play any video for any limited amount of time _x000D_
2  Go into a phonecall or go to any other application for at least a minute _x000D_
3  Tab back into NewPipe_x000D_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video gets stuck on loading no matter how fast your internet speed may be  A workaround I found is to just close the video or app then reopen it _x000D_
_x000D_
    Expected behavior_x000D_
     Tell us what you expect to happen     _x000D_
I expected the video to resume once I had hit play again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Samsung GalaxyS10_x000D_
</t>
  </si>
  <si>
    <t>Anuken-Mindustry-4336</t>
  </si>
  <si>
    <t>Core Upgrades not working with build cost</t>
  </si>
  <si>
    <t xml:space="preserve">  Platform  : Windows_x000D_
_x000D_
  Build  :  The build number under the title in the main menu  Required  122 1_x000D_
_x000D_
  Issue  :  Explain your issue in detail  _x000D_
Core upgrades don t work with build cost _x000D_
_x000D_
  Steps to reproduce  :  How you happened across the issue  and what exactly you did to make the bug happen  _x000D_
Start any non infinite gamemode on a lower than 1 build cost (in the video attached I use 0 5)  attempt to upgrade to the largest core with the shown prices  If it says  requires core base   it is because you are not at the required level   the default _x000D_
TLDR: Build cost of the largest core upgrade isn t lowered with build cost_x000D_
_x000D_
  Link(s) to mod(s) used  :  The mod repositories or zip files that are related to the issue  if applicable  _x000D_
N 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See attached_x000D_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 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</si>
  <si>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AOF-Dev-MCinaBox-837</t>
  </si>
  <si>
    <t>1.7.10 FORGE crash on start</t>
  </si>
  <si>
    <t xml:space="preserve">  I created a small 1 7 10 modpack  _x000D_
_x000D_
I installed 1 7 10 and after it i installed 1 7 10 forge_x000D_
_x000D_
I tryed to launch forge with no mods  mcinabox crashed on start_x000D_
_x000D_
Later i launched with mods  it also crashes_x000D_
_x000D_
I tryed to install custom forge 1 7 10 jar files or modifyed the forge 1 7 10 json file  But it also crashes_x000D_
_x000D_
It dont leaves a log file  _x000D_
_x000D_
 MCinabox version: 0 1 4 p3 _x000D_
 My device: Samsung Galaxy TabA 2018 10 5  _x000D_
 RAM: 3GB _x000D_
 RAM given to mcinabox: 462MB (recommended) _x000D_
 Runtime: AARCH32 _x000D_
 Forge version: 1 7 10 10 13 4 1614 _x000D_
 CPU: Qualcomm Snapdragon 450 _x000D_
 Android version: 10 </t>
  </si>
  <si>
    <t>MCMrARM-revolution-irc-280</t>
  </si>
  <si>
    <t>App Launch manage manually</t>
  </si>
  <si>
    <t>It crashes 1 min after going to background and IRC will receive an exit message as  read error   In this case the topbar still has Revolution IRC and can be opened  Revolution doesn t realize the exit  but when I type and send message  no message appears  Even Re connection can not do it  it must disconnect and close the server and activate again _x000D_
_x000D_
Android 9 _x000D_
_x000D_
After I set Android system Apps App Launch to manually give more permission to Revolution the issue disappears but I guess some code is not perfect here</t>
  </si>
  <si>
    <t>Anuken-Mindustry-4335</t>
  </si>
  <si>
    <t>10 of each items on a roomba conveyor</t>
  </si>
  <si>
    <t xml:space="preserve">  Platform  :  Android iOS Mac Windows Linux _x000D_
windows_x000D_
_x000D_
  Build  :  The build number under the title in the main menu  Required   LATEST  IS NOT A VERSION  I NEED THE EXACT BUILD NUMBER OF YOUR GAME  _x000D_
release 122 1 and bleeding edge 20525 (worked in both versions)_x000D_
_x000D_
  Issue  :  Explain your issue in detail  _x000D_
you can put 10  of each  item on a roomba conveyor (for noobs: plastanium conveyor)_x000D_
_x000D_
  Steps to reproduce  :  How you happened across the issue  and what exactly you did to make the bug happen  _x000D_
watch attached video_x000D_
_x000D_
  Link(s) to mod(s) used  :  The mod repositories or zip files that are related to the issue  if applicable  _x000D_
no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video zip (https:  github com Anuken Mindustry files 5821957 video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</si>
  <si>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opensrp-opensrp-client-goldsmith-55</t>
  </si>
  <si>
    <t>Fix crash happening on task page when location changes</t>
  </si>
  <si>
    <t xml:space="preserve">1  Open the tasks page_x000D_
2  Go to the map_x000D_
3  Open the location emulation control for the emulator_x000D_
4  Change the location_x000D_
_x000D_
The app also crashes if the location changes while on the tasks page_x000D_
_x000D_
_x000D_
    Error while on the tasks page_x000D_
   _x000D_
2021 01 15 17:32:11 652 2731 2842 org smartregister goldsmith E AndroidRuntime: FATAL EXCEPTION: pool 5 thread 1_x000D_
    Process: org smartregister goldsmith  PID: 2731_x000D_
    java lang NullPointerException: Attempt to invoke virtual method  float android location Location distanceTo(android location Location)  on a null object reference_x000D_
        at org smartregister tasking interactor TaskRegisterFragmentInteractor lambda calculateDistanceFromUser 3 TaskRegisterFragmentInteractor(TaskRegisterFragmentInteractor java:372)_x000D_
        at org smartregister tasking interactor    Lambda TaskRegisterFragmentInteractor EKSjO6g TpDkJLoQ9jZlavB3fDc run(lambda)_x000D_
        at java util concurrent ThreadPoolExecutor runWorker(ThreadPoolExecutor java:1133)_x000D_
        at java util concurrent ThreadPoolExecutor Worker run(ThreadPoolExecutor java:607)_x000D_
        at java lang Thread run(Thread java:761)_x000D_
   _x000D_
_x000D_
    Error while on the map_x000D_
_x000D_
   _x000D_
at java lang Thread run(Thread java:761)_x000D_
2021 01 15 17:20:48 805 1921 1921 org smartregister goldsmith E AndroidRuntime: FATAL EXCEPTION: main_x000D_
    Process: org smartregister goldsmith  PID: 1921_x000D_
    java lang NullPointerException: Attempt to invoke virtual method  android content Context android content Context getApplicationContext()  on a null object reference_x000D_
        at org smartregister tasking presenter TaskRegisterFragmentPresenter onTasksFound(TaskRegisterFragmentPresenter java:223)_x000D_
        at org smartregister tasking interactor TaskRegisterFragmentInteractor lambda null 2 TaskRegisterFragmentInteractor(TaskRegisterFragmentInteractor java:383)_x000D_
        at org smartregister tasking interactor    Lambda TaskRegisterFragmentInteractor TvwbWejtI yvu63EZDj FoPAgnE run(lambda)_x000D_
        at android os Handler handleCallback(Handler java:751)_x000D_
        at android os Handler dispatchMessage(Handler java:95)_x000D_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t>
  </si>
  <si>
    <t>material-components-material-components-android-1987</t>
  </si>
  <si>
    <t>[MaterialAlertDialog] colorControlHighlight selector crash</t>
  </si>
  <si>
    <t xml:space="preserve">  Description:   Having a theme that extends MaterialComponents  and override   colorControlHighlight   with a color selector  for example:_x000D_
_x000D_
   _x000D_
 selector xmlns:android  http:  schemas android com apk res android  _x000D_
     item android:alpha  0 1  android:color   attr colorPrimary   _x000D_
  selector _x000D_
   _x000D_
_x000D_
Will crash any MaterialAlertDialog in some devices  The  temporary  fix is to use a color instead of a selector  This should not happen _x000D_
_x000D_
  StackTrace:  _x000D_
_x000D_
 Process: com xx xx debug  PID: 10397_x000D_
    android view InflateException: Binary XML file line  33: Binary XML file line  33: Error inflating class  unknown _x000D_
        at android view LayoutInflater inflate(LayoutInflater java:539)_x000D_
        at android view LayoutInflater inflate(LayoutInflater java:423)_x000D_
        at android view LayoutInflater inflate(LayoutInflater java:374)_x000D_
           _x000D_
       at android view View performClick(View java:5198) _x000D_
        at android view View PerformClick run(View java:21147) _x000D_
        at android os Handler handleCallback(Handler java:739) _x000D_
        at android os Handler dispatchMessage(Handler java:95)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Caused by: org xmlpull v1 XmlPullParserException: Binary XML file line  3:  item  tag requires a  drawable  attribute or child tag defining a drawable_x000D_
        at android graphics drawable StateListDrawable inflateChildElements(StateListDrawable java:182)_x000D_
        at android graphics drawable StateListDrawable inflate(StateListDrawable java:115)_x000D_
        at android graphics drawable Drawable createFromXmlInner(Drawable java:1215)_x000D_
        at android graphics drawable Drawable createFromXml(Drawable java:1124)_x000D_
_x000D_
  Expected behavior:   No crash should occur in certain devices_x000D_
_x000D_
  Android API version:   Min 22_x000D_
  Material Library version:   1 3 0 beta01_x000D_
_x000D_
  Device:   Emulator  Pixel XL API 22</t>
  </si>
  <si>
    <t>Anuken-Mindustry-4330</t>
  </si>
  <si>
    <t>Megas cannot heal unfinished buildings</t>
  </si>
  <si>
    <t xml:space="preserve">  Platform  :  Android iOS Mac Windows Linux _x000D_
Windows_x000D_
  Build  :  The build number under the title in the main menu  Required   LATEST  IS NOT A VERSION  I NEED THE EXACT BUILD NUMBER OF YOUR GAME  _x000D_
122_x000D_
  Issue  :  Explain your issue in detail  _x000D_
Megas do not heal in construction or not finisihed constructed buildings like menders  megas are somewhat like menders _x000D_
if you have a not finished and abit damaged building itll take away the megas attention_x000D_
  Steps to reproduce  :  How you happened across the issue  and what exactly you did to make the bug happen  _x000D_
simply enough i was testing my map and watching how the polys rebuild then i saw that it did not heal the building_x000D_
i started testing and yes if a enemy gets a hit on the building megas cannot heal unlike menders which are capable of doing that _x000D_
1 control a mega 2 build a building but dont finish it 3 get a unit to get a hit on the building 4 attempt to heal with the mega youre controlling  or any mega _x000D_
  Link(s) to mod(s) used  :  The mod repositories or zip files that are related to the issue  if applicable  _x000D_
unit factory mod was only used to check if the bug was real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i have no idea how to get a zip file from le game  but i can asure you it works on any game  just do the steps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</si>
  <si>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GoogleCloudPlatform-fda-mystudies-2853</t>
  </si>
  <si>
    <t>[SB] End date displaying null for one of the weekly activities in Study Builder and causing mobile apps to crash</t>
  </si>
  <si>
    <t>Steps: _x000D_
1  Enroll into closed study _x000D_
2  Navigate into the study activities screen and verify_x000D_
_x000D_
StudyID:   RenalStudy_x000D_
Studyname:  Treatment of Renal Stones_x000D_
_x000D_
App is getting crashed for above mentioned study</t>
  </si>
  <si>
    <t>TeamNewPipe-NewPipe-5416</t>
  </si>
  <si>
    <t>Video descriptions don't parse YouTube redirect (shortened) urls entirely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</si>
  <si>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 video with YouTube redirect URLs in the description that have been shortened by YouTube to obfuscate copy and pasting links  They do this to log outbound traffic clicks  _x000D_
2  Press on the hyperlink text that ends in an ellipses  Recognize that the link you arrived at is incomplete and the website doesn t load _x000D_
3  You can open the YouTube video in browser and click the link and you ll see the redirect link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For Example: https:  www youtube com watch v H97bzY8A9vI_x000D_
_x000D_
Go to the description and note that several urls are cut off with an ellipsis (   ) _x000D_
_x000D_
Click one such as this link from the description _x000D_
_x000D_
https:  www nytimes com 2021 01 13 us_x000D_
Note that the link is incomplete  _x000D_
_x000D_
_x000D_
    Expected behavior_x000D_
     Tell us what you expect to happen     _x000D_
_x000D_
On the website those links redirect through YouTube to log outbound traffic  _x000D_
It may look like this  but with a significantly longer  redir token that I have shortened for privacy and brevity   _x000D_
https:  www youtube com redirect redir token QUFFBEI3dw 3D 3D event video description v H97bzY8A9vI q https 3A 2F 2Fwww nytimes com 2F2021 2F01 2F13 2Fus 2Fpolitics 2Fairbnb reservations DC html_x000D_
_x000D_
In a perfect world  the app would parse links to remove the redirect link and bring it back to this  _x000D_
_x000D_
https:  www nytimes com 2021 01 13 us politics airbnb reservations DC html_x000D_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Android 6 0 1 _x000D_
   Device model:_x000D_
Kyocera Duraforce Pro</t>
  </si>
  <si>
    <t>gsantner-markor-1194</t>
  </si>
  <si>
    <t>Zim Wiki: File generator support for Android &lt; 7 / Java 6</t>
  </si>
  <si>
    <t xml:space="preserve">     General information_x000D_
_x000D_
    App version: 2 5 0 Google Play   _x000D_
    System: 6 0 1  Samsung J2 Prime (SM G532G DS)   _x000D_
_x000D_
     Description_x000D_
_x000D_
Trying to create a new file with these parameters caused Markor to crash while working on both SD Card and internal storage  with no file was created:_x000D_
_x000D_
   Template  set to  zim wiki empty txt  regardless value of  Type _x000D_
_x000D_
 br   _x000D_
_x000D_
Creating a new file with these parameters didn t trigger crash (done as expected on both storages):_x000D_
_x000D_
   Template  set to  zim wiki reference txt  regardless value of  Type _x000D_
  Any combination of  Type  and  Template  other than  zim wiki empty txt _x000D_
_x000D_
 br   _x000D_
_x000D_
     Log_x000D_
_x000D_
   _x000D_
java lang IllegalArgumentException: Unknown pattern character  X _x000D_
	at java text SimpleDateFormat validatePatternCharacter(SimpleDateFormat java:323)_x000D_
	at java text SimpleDateFormat validatePattern(SimpleDateFormat java:312)_x000D_
	at java text SimpleDateFormat  init (SimpleDateFormat java:365)_x000D_
	at net gsantner markor format zimwiki ZimWikiTextActions createZimWikiHeaderAndTitleContents(ZimWikiTextActions java:256)_x000D_
	at net gsantner markor ui NewFileDialog getTemplateContent(NewFileDialog java:272)_x000D_
	at net gsantner markor ui NewFileDialog lambda makeDialog 5 NewFileDialog(NewFileDialog java:173)_x000D_
	at net gsantner markor ui    Lambda NewFileDialog t3PMHk03JJI7YTx7crMP YDKaYs onClick(lambda)_x000D_
	at android support v7 app AlertController ButtonHandler handleMessage(AlertController java:167)_x000D_
	at android os Handler dispatchMessage(Handler java:102)_x000D_
	at android os Looper loop(Looper java:148)_x000D_
	at android app ActivityThread main(ActivityThread java:7406)_x000D_
	at java lang reflect Method invoke(Native Method)_x000D_
	at com android internal os ZygoteInit MethodAndArgsCaller run(ZygoteInit java:1230)_x000D_
	at com android internal os ZygoteInit main(ZygoteInit java:1120)_x000D_
   _x000D_
_x000D_
 br   _x000D_
_x000D_
I get it by applying try catch on  net gsantner markor ui NewFileDialog  line 171:_x000D_
_x000D_
   _x000D_
final byte   templateContents   getTemplateContent(templateSpinner  basedir  f getName()  encryptCheckbox isChecked()) _x000D_
   _x000D_
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blog 2018 03 19 android contribution guide html packageid net gsantner markor project markor web https:  github com gsantner markor logcat_x000D_
   _x000D_
</t>
  </si>
  <si>
    <t>Anuken-Mindustry-4328</t>
  </si>
  <si>
    <t>Liquid tank bug?</t>
  </si>
  <si>
    <t xml:space="preserve">  Platform  :  Android iOS Mac Windows Linux _x000D_
Android _x000D_
  Build  :  The build number under the title in the main menu  Required   LATEST  IS NOT A VERSION  I NEED THE EXACT BUILD NUMBER OF YOUR GAME  122 1_x000D_
_x000D_
  Issue  :  Explain your issue in detail  _x000D_
Liquid tank no dispense liquid fast in multiplayer_x000D_
  Steps to reproduce  :  How you happened across the issue  and what exactly you did to make the bug happen  make thor reacter see thor reacter cryo go down after liquid tank might be a multiplayer issue_x000D_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cant find butten to file thing  help might be a mobile issue for git will upload in comment if possible if not  my discord or something its  guncat trust me i readed it nvm i found it _x000D_
_x000D_
 bugwithliquidtank zip (https:  github com Anuken Mindustry files 5817650 bugwithliquidtank zip)_x000D_
_x000D_
 Anuken sorry_x000D_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</si>
  <si>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valkriaine-Factor_Launcher_Reboot-31</t>
  </si>
  <si>
    <t xml:space="preserve">App crashed on OnePlus 6T </t>
  </si>
  <si>
    <t xml:space="preserve">Oxygen OS 10 3 7 app crashed after welcome screen </t>
  </si>
  <si>
    <t>TeamNewPipe-NewPipe-5414</t>
  </si>
  <si>
    <t>[dev] App closes when trying to backpress from inner fragment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</si>
  <si>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dev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There are many ways to trigger this error  Here s an example:_x000D_
1  Open the search fragment_x000D_
2  Backpress   tap on the arrow icon to return to home_x000D_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The app closes with the below error _x000D_
_x000D_
    Expected behavior_x000D_
     Tell us what you expect to happen     _x000D_
_x000D_
No crash_x000D_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App crash  UI failure_x000D_
    Content Country:   DE_x000D_
    Content Language:   de DE_x000D_
    App Language:   de DE_x000D_
    Service:   none_x000D_
    Version:   0 20 8_x000D_
    OS:   Linux Android 8 1 0   27_x000D_
 details  summary  b Crash log   b   summary  p _x000D_
_x000D_
   _x000D_
java lang IllegalStateException: Fragment no longer exists for key f0: unique id 12e9a614 795b 4b2c bdc2 4964cc0b2345_x000D_
	at androidx fragment app FragmentManager getFragment(FragmentManager java:772)_x000D_
	at androidx fragment app FragmentStatePagerAdapterMenuWorkaround restoreState(FragmentStatePagerAdapterMenuWorkaround java:311)_x000D_
	at androidx viewpager widget ViewPager onRestoreInstanceState(ViewPager java:1461)_x000D_
	at android view View dispatchRestoreInstanceState(View java:17706)_x000D_
	at android view ViewGroup dispatchRestoreInstanceState(ViewGroup java:3745)_x000D_
	at android view ViewGroup dispatchRestoreInstanceState(ViewGroup java:3751)_x000D_
	at android view View restoreHierarchyState(View java:17684)_x000D_
	at androidx fragment app Fragment restoreViewState(Fragment java:573)_x000D_
	at androidx fragment app FragmentStateManager restoreViewState(FragmentStateManager java:356)_x000D_
	at androidx fragment app FragmentManager moveToState(FragmentManager java:1189)_x000D_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BackStackRecord executePopOps(BackStackRecord java:510)_x000D_
	at androidx fragment app FragmentManager executeOps(FragmentManager java:2166)_x000D_
	at androidx fragment app FragmentManager executeOpsTogether(FragmentManager java:1992)_x000D_
	at androidx fragment app FragmentManager removeRedundantOperationsAndExecute(FragmentManager java:1947)_x000D_
	at androidx fragment app FragmentManager popBackStackImmediate(FragmentManager java:658)_x000D_
	at androidx fragment app FragmentManager popBackStackImmediate(FragmentManager java:569)_x000D_
	at androidx fragment app FragmentManager handleOnBackPressed(FragmentManager java:541)_x000D_
	at androidx fragment app FragmentManager 1 handleOnBackPressed(FragmentManager java:350)_x000D_
	at androidx activity OnBackPressedDispatcher onBackPressed(OnBackPressedDispatcher java:192)_x000D_
	at androidx activity ComponentActivity onBackPressed(ComponentActivity java:314)_x000D_
	at org schabi newpipe MainActivity onBackPressed(MainActivity java:591)_x000D_
	at android app Activity onKeyUp(Activity java:2980)_x000D_
	at android view KeyEvent dispatch(KeyEvent java:2720)_x000D_
	at androidx core view KeyEventDispatcher activitySuperDispatchKeyEventPre28(KeyEventDispatcher java:137)_x000D_
	at androidx core view KeyEventDispatcher dispatchKeyEvent(KeyEventDispatcher java:87)_x000D_
	at androidx core app ComponentActivity dispatchKeyEvent(ComponentActivity java:140)_x000D_
	at androidx appcompat app AppCompatActivity dispatchKeyEvent(AppCompatActivity java:569)_x000D_
	at androidx appcompat view WindowCallbackWrapper dispatchKeyEvent(WindowCallbackWrapper java:59)_x000D_
	at androidx appcompat app AppCompatDelegateImpl AppCompatWindowCallback dispatchKeyEvent(AppCompatDelegateImpl java:3054)_x000D_
	at androidx appcompat view WindowCallbackWrapper dispatchKeyEvent(WindowCallbackWrapper java:59)_x000D_
	at com android internal policy DecorView dispatchKeyEvent(DecorView java:354)_x000D_
	at android view ViewRootImpl ViewPostImeInputStage processKeyEvent(ViewRootImpl java:4733)_x000D_
	at android view ViewRootImpl ViewPostImeInputStage onProcess(ViewRootImpl java:4605)_x000D_
	at android view ViewRootImpl InputStage deliver(ViewRootImpl java:4147)_x000D_
	at android view ViewRootImpl InputStage onDeliverToNext(ViewRootImpl java:4200)_x000D_
	at android view ViewRootImpl InputStage forward(ViewRootImpl java:4166)_x000D_
	at android view ViewRootImpl AsyncInputStage forward(ViewRootImpl java:4293)_x000D_
	at android view ViewRootImpl InputStage apply(ViewRootImpl java:4174)_x000D_
	at android view ViewRootImpl AsyncInputStage apply(ViewRootImpl java:4350)_x000D_
	at android view ViewRootImpl InputStage deliver(ViewRootImpl java:4147)_x000D_
	at android view ViewRootImpl InputStage onDeliverToNext(ViewRootImpl java:4200)_x000D_
	at android view ViewRootImpl InputStage forward(ViewRootImpl java:4166)_x000D_
	at android view ViewRootImpl InputStage apply(ViewRootImpl java:4174)_x000D_
	at android view ViewRootImpl InputStage deliver(ViewRootImpl java:4147)_x000D_
	at android view ViewRootImpl InputStage onDeliverToNext(ViewRootImpl java:4200)_x000D_
	at android view ViewRootImpl InputStage forward(ViewRootImpl java:4166)_x000D_
	at android view ViewRootImpl AsyncInputStage forward(ViewRootImpl java:4326)_x000D_
	at android view ViewRootImpl ImeInputStage onFinishedInputEvent(ViewRootImpl java:4487)_x000D_
	at android view inputmethod InputMethodManager PendingEvent run(InputMethodManager java:2435)_x000D_
	at android view inputmethod InputMethodManager invokeFinishedInputEventCallback(InputMethodManager java:1998)_x000D_
	at android view inputmethod InputMethodManager finishedInputEvent(InputMethodManager java:1989)_x000D_
	at android view inputmethod InputMethodManager ImeInputEventSender onInputEventFinished(InputMethodManager java:2412)_x000D_
	at android view InputEventSender dispatchInputEventFinished(InputEventSender java:141)_x000D_
	at android os MessageQueue nativePollOnce(Native Method)_x000D_
	at android os MessageQueue next(MessageQueue java:325)_x000D_
	at android os Looper loop(Looper java:142)_x000D_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_x000D_
   _x000D_
  details _x000D_
 hr _x000D_
_x000D_
     Please fill this out when you do not provide a log generate by NewPipe    _x000D_
_x000D_
    Device info_x000D_
_x000D_
   Android version Custom ROM version: Android 8 1 0   10 0_x000D_
   Device model: S4   S4 Mini_x000D_
</t>
  </si>
  <si>
    <t>nextcloud-android-7837</t>
  </si>
  <si>
    <t>Apo crashes when trying to delete files via multiple selection</t>
  </si>
  <si>
    <t xml:space="preserve">    Steps to reproduce_x000D_
1  Select more than one file  _x000D_
2  Select delete_x000D_
3  App crashes_x000D_
_x000D_
             CAUSE OF ERROR             _x000D_
_x000D_
java lang IllegalStateException: Couldn t read row 1091  col 3 from CursorWindow   Make sure the Cursor is initialized correctly before accessing data from it _x000D_
	at android database CursorWindow nativeGetString(Native Method)_x000D_
	at android database CursorWindow getString(CursorWindow java:469)_x000D_
	at android database AbstractWindowedCursor getString(AbstractWindowedCursor java:53)_x000D_
	at android database CursorWrapper getString(CursorWrapper java:141)_x000D_
	at com owncloud android datamodel FileDataStorageManager createFileInstance(FileDataStorageManager java:982)_x000D_
	at com owncloud android datamodel FileDataStorageManager getFolderContent(FileDataStorageManager java:909)_x000D_
	at com owncloud android datamodel FileDataStorageManager getFolderContent(FileDataStorageManager java:185)_x000D_
	at com owncloud android ui adapter OCFileListAdapter swapDirectory(OCFileListAdapter java:938)_x000D_
	at com owncloud android ui fragment OCFileListFragment listDirectory(OCFileListFragment java:1278)_x000D_
	at com owncloud android ui fragment OCFileListFragment listDirectory(OCFileListFragment java:1231)_x000D_
	at com owncloud android ui fragment OCFileListFragment listDirectory(OCFileListFragment java:1220)_x000D_
	at com owncloud android ui activity FileDisplayActivity updateListOfFilesFragment(FileDisplayActivity java:658)_x000D_
	at com owncloud android ui activity FileDisplayActivity onRemoveFileOperationFinish(FileDisplayActivity java:1756)_x000D_
	at com owncloud android ui activity FileDisplayActivity onRemoteOperationFinish(FileDisplayActivity java:1688)_x000D_
	at com owncloud android services OperationsService lambda dispatchResultToOperationListeners 0(OperationsService java:734)_x000D_
	at com owncloud android services    Lambda OperationsService KsB1LbjHjlEBSp0h7XO24czs OQ run(Unknown Source:6)_x000D_
	at android os Handler handleCallback(Handler java:883)_x000D_
	at android os Handler dispatchMessage(Handler java:100)_x000D_
	at android os Looper loop(Looper java:214)_x000D_
	at android app ActivityThread main(ActivityThread java:7397)_x000D_
	at java lang reflect Method invoke(Native Method)_x000D_
	at com android internal os RuntimeInit MethodAndArgsCaller run(RuntimeInit java:491)_x000D_
	at com android internal os ZygoteInit main(ZygoteInit java:935)_x000D_
_x000D_
             APP INFORMATION             _x000D_
ID: com nextcloud client_x000D_
Version: 30140190_x000D_
Build flavor: generic_x000D_
_x000D_
             DEVICE INFORMATION             _x000D_
Brand: SHIFT_x000D_
Device: axolotl_x000D_
Model: SHIFT6mq_x000D_
Id: QQ2A 200501 001 B3_x000D_
Product: axolotl_x000D_
_x000D_
             FIRMWARE             _x000D_
SDK: 29_x000D_
Release: 10_x000D_
Incremental: 20201111_x000D_
_x000D_
_x000D_
_x000D_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</si>
  <si>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MuntashirAkon-AppManager-224</t>
  </si>
  <si>
    <t>AM sometimes crashes when quickly opening and closing app details</t>
  </si>
  <si>
    <t xml:space="preserve">  Describe the bug  _x000D_
When quickly going into an app s details and immediately exiting  AM sometimes crashes _x000D_
_x000D_
  To Reproduce  _x000D_
Steps to reproduce the behaviour:_x000D_
1  Click on an app in AM_x000D_
2  Exit with the back button_x000D_
3  Click again_x000D_
4  Repeat until AM crashes_x000D_
_x000D_
  Expected behavior  _x000D_
AM should not crash _x000D_
_x000D_
  Crash logs  _x000D_
   _x000D_
java lang IllegalStateException: onGetLayoutInflater() cannot be executed until the Fragment is attached to the FragmentManager _x000D_
    at androidx fragment app Fragment getLayoutInflater(Fragment java:1658)_x000D_
    at androidx fragment app Fragment onGetLayoutInflater(Fragment java:1607)_x000D_
    at androidx fragment app Fragment performGetLayoutInflater(Fragment java:1639)_x000D_
    at androidx fragment app Fragment getLayoutInflater(Fragment java:1624)_x000D_
    at io github muntashirakon AppManager details AppInfoFragment addToHorizontalLayout(AppInfoFragment java:1094)_x000D_
    at io github muntashirakon AppManager details AppInfoFragment setHorizontalActions(AppInfoFragment java:549)_x000D_
    at io github muntashirakon AppManager details AppInfoFragment lambda wHiltEPNng0WjHzbhrZ6tjdf4 o(Unknown Source:0)_x000D_
    at io github muntashirakon AppManager details    Lambda AppInfoFragment wHiltEPNng0WjHzbhrZ6tjdf4 o run(Unknown Source:2)_x000D_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java:915)_x000D_
_x000D_
Device Info:_x000D_
App version: 2 5 21 PRE_x000D_
App version code: 377_x000D_
Android release version: 10_x000D_
Android SDK version: 29_x000D_
Device brand: lge_x000D_
Device manufacturer: LGE_x000D_
Device name: lucye_x000D_
Device model: LG H870_x000D_
Device product name: lucye global com_x000D_
Device hardware name: qcom_x000D_
ABIs:  arm64 v8a  armeabi v7a  armeabi _x000D_
ABIs (32bit):  armeabi v7a  armeabi _x000D_
ABIs (64bit):  arm64 v8a _x000D_
System language: en US_x000D_
In App Language: auto_x000D_
   _x000D_
_x000D_
Mode: root_x000D_
_x000D_
</t>
  </si>
  <si>
    <t>Anuken-Mindustry-4325</t>
  </si>
  <si>
    <t xml:space="preserve">Mass Driver pointing wrong direction / Foreshadow ray not rendering offscreen </t>
  </si>
  <si>
    <t xml:space="preserve">  Platform  : Windows_x000D_
_x000D_
  Build  :  The build number under the title in the main menu  Required   LATEST  IS NOT A VERSION  I NEED THE EXACT BUILD NUMBER OF YOUR GAME   122 1_x000D_
_x000D_
  Issue  :  Explain your issue in detail  _x000D_
2 issues: 1   mass driver pointing in the wrong direction when receiving items from multiple mass drivers _x000D_
2   foreshadow ray not rendering when you scroll out_x000D_
_x000D_
  Steps to reproduce  :  How you happened across the issue  and what exactly you did to make the bug happen  _x000D_
1   Play multiplayer sandbox  have another player place the mass drivers (issue visible for both players)_x000D_
2   place a foreshadow and scroll in  once it shoots  scroll your view out_x000D_
_x000D_
  Link(s) to mod(s) used  :  The mod repositories or zip files that are related to the issue  if applicable  _x000D_
N 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(see attached)_x000D_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 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attached zip (https:  github com Anuken Mindustry files 5814438 attached zip)</t>
  </si>
  <si>
    <t>Anuken-Mindustry-4323</t>
  </si>
  <si>
    <t xml:space="preserve">  Platform  : Windows_x000D_
_x000D_
  Build  : steam build 122 1_x000D_
_x000D_
  Issue  : Crash_x000D_
_x000D_
  Log  :_x000D_
Mindustry has crashed  How unfortunate _x000D_
Version: steam build 122 1_x000D_
OS: Windows 10 x64_x000D_
Java Version: 1 8 0 72_x000D_
Java Architecture: 64_x000D_
17 Mods: aeromindustry:1  braindustry:1 4 2  collos:  EC5EFF 1 2 1    gravillaso: 0 9 7r  heavy armaments:2 3  hori:2 3  opore mod:67  pixelcraft:0 9 6  powered by nature:2 0  revision:6 5  scrapless slag:2 00  time control:0 2  titanium drill 1 1:1 1  vf s frontiers:1 2  eax  :1 6 8 73  hypertech:2 82  intensify: white 2 201_x000D_
_x000D_
java lang ClassCastException: arc struct Seq cannot be cast to mindustry game Objectives Objective_x000D_
	at arc struct Seq find(Seq java:346)_x000D_
	at arc struct Seq contains(Seq java:276)_x000D_
	at mindustry core Control lambda new 12(Control java:139)_x000D_
	at arc Events lambda fire 2(Events java:30)_x000D_
	at arc struct Seq each(Seq java:200)_x000D_
	at arc Events fire(Events java:30)_x000D_
	at arc Events fire(Events java:25)_x000D_
	at mindustry ctype UnlockableContent unlock(UnlockableContent java:125)_x000D_
	at mindustry core Control checkAutoUnlocks(Control java:239)_x000D_
	at mindustry core Control lambda new 13(Control java:147)_x000D_
	at arc Events lambda fire 2(Events java:30)_x000D_
	at arc struct Seq each(Seq java:200)_x000D_
	at arc Events fire(Events java:30)_x000D_
	at arc Events fire(Events java:25)_x000D_
	at mindustry game Universe runTurn(Universe java:187)_x000D_
	at mindustry game Universe update(Universe java:70)_x000D_
	at mindustry core Logic update(Logic java:386)_x000D_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t>
  </si>
  <si>
    <t>inaturalist-iNaturalistAndroid-966</t>
  </si>
  <si>
    <t>SQLiteConstraintException in ObservationProvider.insert</t>
  </si>
  <si>
    <t xml:space="preserve">https:  console firebase google com u 2 project inaturalist ios crashlytics app android:org inaturalist android issues b5b40ed21e4be95a283042cc068ee885_x000D_
_x000D_
Good that this happened  I guess  but why did it happen _x000D_
_x000D_
   _x000D_
Fatal Exception: android database sqlite SQLiteConstraintException: UNIQUE constraint failed: observation photos  id (code 1555 SQLITE CONSTRAINT PRIMARYKEY 1555 )_x000D_
       at android database sqlite SQLiteConnection nativeExecuteForLastInsertedRowId(SQLiteConnection java)_x000D_
       at android database sqlite SQLiteConnection executeForLastInsertedRowId(SQLiteConnection java:995)_x000D_
       at android database sqlite SQLiteSession executeForLastInsertedRowId(SQLiteSession java:788)_x000D_
       at android database sqlite SQLiteStatement executeInsert(SQLiteStatement java:86)_x000D_
       at android database sqlite SQLiteDatabase insertWithOnConflict(SQLiteDatabase java:2021)_x000D_
       at android database sqlite SQLiteDatabase insertOrThrow(SQLiteDatabase java:1916)_x000D_
       at org inaturalist android ObservationProvider insert(ObservationProvider java:388)_x000D_
       at android content ContentProvider Transport insert(ContentProvider java:266)_x000D_
       at android content ContentResolver insert(ContentResolver java:1594)_x000D_
       at org inaturalist android ObservationSearchActivity saveObservationLocally(ObservationSearchActivity java:261)_x000D_
       at org inaturalist android ObservationSearchActivity onItemClick(ObservationSearchActivity java:234)_x000D_
   </t>
  </si>
  <si>
    <t>inaturalist-iNaturalistAndroid-965</t>
  </si>
  <si>
    <t>Fatal Exception in MissionDetails.onCameraChange</t>
  </si>
  <si>
    <t xml:space="preserve">https:  console firebase google com u 2 project inaturalist ios crashlytics app android:org inaturalist android issues 3372a0b3f1991d9b85fa38a328ee5f5d_x000D_
_x000D_
   _x000D_
Fatal Exception: com google maps api android lib6 common apiexception c: Error using newLatLngBounds(LatLngBounds  int): View size is too small after padding is applied _x000D_
       at com google maps api android lib6 common m b(m java)_x000D_
       at com google maps api android lib6 gmm6 api c r(c java:2)_x000D_
       at com google maps api android lib6 impl ab a(ab java)_x000D_
       at com google maps api android lib6 gmm6 api c z(c java:3)_x000D_
       at com google maps api android lib6 impl bm e(bm java:1)_x000D_
       at com google android gms maps internal i aX(i java:174)_x000D_
       at du onTransact(du java:4)_x000D_
       at android os Binder transact(Binder java:387)_x000D_
       at com google android gms internal maps zza zzb(zza java:20)_x000D_
       at com google android gms maps internal zzg moveCamera(zzg java:20)_x000D_
       at com google android gms maps GoogleMap moveCamera(GoogleMap java:13)_x000D_
       at org inaturalist android MissionDetails 6 onCameraChange(MissionDetails java:443)_x000D_
   </t>
  </si>
  <si>
    <t>inaturalist-iNaturalistAndroid-964</t>
  </si>
  <si>
    <t>NullPointerException in ObservationEditor.refreshMenuItems</t>
  </si>
  <si>
    <t xml:space="preserve">https:  console firebase google com u 2 project inaturalist ios crashlytics app android:org inaturalist android issues 4388d8c042b32602572ffdcb5a2b8a73_x000D_
_x000D_
   _x000D_
Fatal Exception: java lang NullPointerException: Attempt to invoke interface method  android view MenuItem android view Menu getItem(int)  on a null object reference_x000D_
       at org inaturalist android ObservationEditor refreshMenuItems(ObservationEditor java:307)_x000D_
       at org inaturalist android ObservationEditor setCurrentLocation(ObservationEditor java:2388)_x000D_
       at org inaturalist android ObservationEditor handleNewLocation(ObservationEditor java:2253)_x000D_
       at org inaturalist android ObservationEditor access 4000(ObservationEditor java:137)_x000D_
       at org inaturalist android ObservationEditor 31 onLocationChanged(ObservationEditor java:2229)_x000D_
       at android location LocationManager ListenerTransport  handleMessage(LocationManager java:285)_x000D_
       at android location LocationManager ListenerTransport  wrap0(LocationManager java)_x000D_
       at android location LocationManager ListenerTransport 1 handleMessage(LocationManager java:230)_x000D_
       at android os Handler dispatchMessage(Handler java:102)_x000D_
       at android os Looper loop(Looper java:148)_x000D_
   </t>
  </si>
  <si>
    <t>inaturalist-iNaturalistAndroid-963</t>
  </si>
  <si>
    <t>RuntimeException drawing large image</t>
  </si>
  <si>
    <t xml:space="preserve">https:  console firebase google com u 2 project inaturalist ios crashlytics app android:org inaturalist android issues 9570e28d8281577aa39f12fb8c3d4067_x000D_
_x000D_
Is there anything we can do about this or is this basically like an OOM _x000D_
_x000D_
   _x000D_
Fatal Exception: java lang RuntimeException: Canvas: trying to draw too large(256872448bytes) bitmap _x000D_
       at android graphics RecordingCanvas throwIfCannotDraw(RecordingCanvas java:281)_x000D_
       at android graphics BaseRecordingCanvas drawBitmap(BaseRecordingCanvas java:91)_x000D_
       at android graphics drawable BitmapDrawable draw(BitmapDrawable java:548)_x000D_
       at android widget ImageView onDraw(ImageView java:1434)_x000D_
       at android view View draw(View java:23191)_x000D_
       at android view View updateDisplayListIfDirty(View java:22066)_x000D_
       at android view View draw(View java:22921)_x000D_
       at android view ViewGroup drawChild(ViewGroup java:5230)_x000D_
       at android view ViewGroup dispatchDraw(ViewGroup java:4987)_x000D_
       at android view View draw(View java:23194)_x000D_
       at android view View updateDisplayListIfDirty(View java:22066)_x000D_
       at android view View draw(View java:22921)_x000D_
       at android view ViewGroup drawChild(ViewGroup java:5230)_x000D_
       at android view ViewGroup dispatchDraw(ViewGroup java:4987)_x000D_
       at android view View updateDisplayListIfDirty(View java:22052)_x000D_
       at android view View draw(View java:22921)_x000D_
       at android view ViewGroup drawChild(ViewGroup java:5230)_x000D_
       at android view ViewGroup dispatchDraw(ViewGroup java:4987)_x000D_
       at android view View draw(View java:23194)_x000D_
       at android widget ScrollView draw(ScrollView java:2880)_x000D_
       at android view View updateDisplayListIfDirty(View java:22066)_x000D_
       at android view View draw(View java:22921)_x000D_
       at android view ViewGroup drawChild(ViewGroup java:5230)_x000D_
       at android view ViewGroup dispatchDraw(ViewGroup java:4987)_x000D_
       at android view View updateDisplayListIfDirty(View java:22052)_x000D_
       at android view View draw(View java:22921)_x000D_
       at android view ViewGroup drawChild(ViewGroup java:5230)_x000D_
       at android view ViewGroup dispatchDraw(ViewGroup java:4987)_x000D_
       at android view View updateDisplayListIfDirty(View java:22052)_x000D_
       at android view View draw(View java:22921)_x000D_
       at android view ViewGroup drawChild(ViewGroup java:5230)_x000D_
       at android view ViewGroup dispatchDraw(ViewGroup java:4987)_x000D_
       at android view View updateDisplayListIfDirty(View java:22052)_x000D_
       at android view View draw(View java:22921)_x000D_
       at android view ViewGroup drawChild(ViewGroup java:5230)_x000D_
       at android view ViewGroup dispatchDraw(ViewGroup java:4987)_x000D_
       at android view View updateDisplayListIfDirty(View java:22052)_x000D_
       at android view View draw(View java:22921)_x000D_
       at android view ViewGroup drawChild(ViewGroup java:5230)_x000D_
       at android view ViewGroup dispatchDraw(ViewGroup java:4987)_x000D_
       at android view View draw(View java:23194)_x000D_
       at com android internal policy DecorView draw(DecorView java:1107)_x000D_
       at android view View updateDisplayListIfDirty(View java:22066)_x000D_
       at android view ThreadedRenderer updateViewTreeDisplayList(ThreadedRenderer java:588)_x000D_
       at android view ThreadedRenderer updateRootDisplayList(ThreadedRenderer java:594)_x000D_
       at android view ThreadedRenderer draw(ThreadedRenderer java:667)_x000D_
       at android view ViewRootImpl draw(ViewRootImpl java:4266)_x000D_
       at android view ViewRootImpl performDraw(ViewRootImpl java:4050)_x000D_
       at android view ViewRootImpl performTraversals(ViewRootImpl java:3323)_x000D_
       at android view ViewRootImpl doTraversal(ViewRootImpl java:2200)_x000D_
       at android view ViewRootImpl TraversalRunnable run(ViewRootImpl java:8963)_x000D_
       at android view Choreographer CallbackRecord run(Choreographer java:996)_x000D_
       at android view Choreographer doCallbacks(Choreographer java:794)_x000D_
       at android view Choreographer doFrame(Choreographer java:729)_x000D_
       at android view Choreographer FrameDisplayEventReceiver run(Choreographer java:981)_x000D_
       at android os Handler handleCallback(Handler java:883)_x000D_
       at android os Handler dispatchMessage(Handler java:100)_x000D_
       at android os Looper loop(Looper java:237)_x000D_
       at android app ActivityThread main(ActivityThread java:7807)_x000D_
       at java lang reflect Method invoke(Method java)_x000D_
       at com android internal os RuntimeInit MethodAndArgsCaller run(RuntimeInit java:493)_x000D_
       at com android internal os ZygoteInit main(ZygoteInit java:1047)_x000D_
   </t>
  </si>
  <si>
    <t>Anuken-Mindustry-4321</t>
  </si>
  <si>
    <t>Importing game data fails to replace save.</t>
  </si>
  <si>
    <t xml:space="preserve">  Platform  : Android_x000D_
_x000D_
  Build  : 122 1_x000D_
_x000D_
  Issue  : Maps load up with old saves  I think this may be related to  4202  but that one didn t have an easy reproduction case  and it may be a different root cause despite similar symptoms _x000D_
_x000D_
  Steps to reproduce  : I created an export of my campaign data  Once the export was created  I performed the following steps:_x000D_
 Clear campaign saves from menu_x000D_
 Import game data_x000D_
 (Mindustry exits)_x000D_
 Launch mindustry_x000D_
 Play campaign_x000D_
 Launch to an uncaptured sector_x000D_
 Clear campaign saves_x000D_
 Launch to windswept island_x000D_
(This gives the starting shard and drills )_x000D_
_x000D_
 Import game data_x000D_
(Mindustry exits )_x000D_
 Launch Mindustry_x000D_
 Play campaign_x000D_
 Go to Windswept Islands_x000D_
_x000D_
Observe that Windswept Islands is the save with the starting shard  not the save from within the campaign data _x000D_
_x000D_
  Link(s) to mod(s) used  : None_x000D_
_x000D_
  Save file  : _x000D_
 campaign zip (https:  github com Anuken Mindustry files 5811465 campaign zip)_x000D_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</si>
  <si>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TeamNewPipe-NewPipe-5406</t>
  </si>
  <si>
    <t>Video playback crashes with all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</si>
  <si>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Have not found this specific  ParsingError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Try to view any video _x000D_
_x000D_
     If you can t cause the bug to show up again reliably (and hence don t have a proper set of steps to give us)  please still try to give as many details as possible on how you think you encountered the bug     _x000D_
_x000D_
    Actual behaviour_x000D_
     Tell us what happens with the steps given above     _x000D_
_x000D_
Error reporting screen throws exception _x000D_
_x000D_
    Expected behavior_x000D_
     Tell us what you expect to happen     _x000D_
_x000D_
Video opens and playback starts _x000D_
_x000D_
    Logs_x000D_
     If your bug includes a crash (where you re shown the Error Report page with a bunch of info)  tap on  Copy formatted report  at the bottom and paste it here:    _x000D_
_x000D_
   Exception_x000D_
    User Action:   requested stream_x000D_
    Request:   https:  www youtube com watch v 085bnHmDEbA_x000D_
    Content Country:   DE_x000D_
    Content Language:   de DE_x000D_
    App Language:   de DE_x000D_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_x000D_
     Please fill this out when you do not provide a log generate by NewPipe    _x000D_
_x000D_
    Device info_x000D_
_x000D_
   Android version Custom ROM version: LineageOS 17 1_x000D_
   Device model: OnePlus 3T _x000D_
</t>
  </si>
  <si>
    <t>Anuken-Mindustry-4320</t>
  </si>
  <si>
    <t>extra/new planet crashes when I launch to a generated sector</t>
  </si>
  <si>
    <t xml:space="preserve">  Platform  :  Mac _x000D_
_x000D_
  Build  :  221 1 _x000D_
_x000D_
  Issue  :  it crashes whenever I try to launch to a modded planet  _x000D_
_x000D_
  Steps to reproduce  :  just launch to any map on the new planet that s not Last Stand _x000D_
_x000D_
  Link(s) to mod(s) used  :  https:  github com BlueWolf3682 Exotic Mod _x000D_
_x000D_
If you remove the line above without reading it properly and understanding what it means  I will reap your soul  Even if you re playing on someone s server  you can still save the game to a slot _x000D_
_x000D_
  (Crash) logs  :  Mindustry has crashed  How unfortunate _x000D_
Version: release build 122 1_x000D_
OS: Mac OS X x64_x000D_
Java Version: 1 8 0 222_x000D_
Java Architecture: 64_x000D_
4 Mods: braindustry:1 4 2  exotic mod:614 alpha  mindustry production:3 1  rtfm:2 14 6_x000D_
_x000D_
java lang NullPointerException_x000D_
	at mindustry world blocks environment Floor drawBase(Floor java:176)_x000D_
	at mindustry graphics FloorRenderer cacheChunkLayer(FloorRenderer java:212)_x000D_
	at mindustry graphics FloorRenderer cacheChunk(FloorRenderer java:183)_x000D_
	at mindustry graphics FloorRenderer clearTiles(FloorRenderer java:238)_x000D_
	at mindustry graphics FloorRenderer lambda new 0(FloorRenderer java:30)_x000D_
	at arc Events lambda fire 2(Events java:30)_x000D_
	at arc struct Seq each(Seq java:200)_x000D_
	at arc Events fire(Events java:30) _x000D_
	at arc Events fire(Events java:25)_x000D_
	at mindustry core World endMapLoad(World java:218)_x000D_
	at mindustry core World loadGenerator(World java:239)_x000D_
	at mindustry core World loadSector(World java:246)_x000D_
	at mindustry core Control lambda playSector 27(Control java:389)_x000D_
	at mindustry core UI lambda loadAnd 10(UI java:246)_x000D_
	at arc util Timer 1 run(Timer java:88)_x000D_
	at arc util TaskQueue run(TaskQueue java:17)_x000D_
	at arc backend sdl SdlApplication loop(SdlApplication java:148)_x000D_
	at arc backend sdl SdlApplication  init (SdlApplication java:43)_x000D_
	at mindustry desktop DesktopLauncher main(DesktopLauncher java:36)_x000D_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</si>
  <si>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PojavLauncherTeam-PojavLauncher-609</t>
  </si>
  <si>
    <t>[BUG]CRASH ISSUE</t>
  </si>
  <si>
    <t xml:space="preserve">Everytime I load some world(any world) for a minute like 5 to 10 minutes   The game crash_x000D_
_x000D_
Steps to reproduce the behavior:_x000D_
1  Start PojavLauncher_x000D_
2  Play_x000D_
3  Load some world_x000D_
4  Play for a couple minutes_x000D_
5  Crash_x000D_
_x000D_
  Platform:  _x000D_
   Device Model  Vivo y17 4 64 _x000D_
   CPU architecture  aarch64  _x000D_
   Android Version  9 _x000D_
_x000D_
          beggining with launcher debug_x000D_
Info: LWJGL3 directory:  lwjgl jemalloc jar  jsr305 jar  lwjgl opengl jar  lwjgl glfw classes jar  version  lwjgl jar  lwjgl openal jar  lwjgl tinyfd jar  lwjgl stb jar _x000D_
Architecture: arm64 aarch64_x000D_
Info: Custom Java arguments:   Xms750m  Xmx1G  XX: UseG1GC  XX: ParallelRefProcEnabled  XX:MaxGCPauseMillis 200  XX: UnlockExperimentalVMOptions  XX: AlwaysPreTouch  XX:G1NewSizePercent 30  XX:G1MaxNewSizePercent 40  XX:G1HeapRegionSize 8M  XX:G1ReservePercent 20  XX:G1HeapWastePercent 5  XX:G1MixedGCCountTarget 4  XX:InitiatingHeapOccupancyPercent 15  XX:G1MixedGCLiveThresholdPercent 90  XX:G1RSetUpdatingPauseTimePercent 5  XX:SurvivorRatio 32  XX: PerfDisableSharedMem  XX:MaxTenuringThreshold 1 _x000D_
          beginning of main_x000D_
I jrelog  (18526): WARNING: linker: _x000D_
I jrelog  (18526): Warning:  _x000D_
I jrelog  (18526):  data data net kdt pojavlaunch jre runtime lib aarch64 jli libjli so_x000D_
I jrelog  (18526):   unused DT entry: _x000D_
I jrelog  (18526): DT RPATH_x000D_
I jrelog  (18526):  (type _x000D_
I jrelog  (18526): 0xf_x000D_
I jrelog  (18526):  arg _x000D_
I jrelog  (18526): 0x361_x000D_
I jrelog  (18526): ) (ignoring)_x000D_
I jrelog  (18526): _x000D_
I jrelog  (18526): WARNING: linker: _x000D_
I jrelog  (18526): Warning:  _x000D_
I jrelog  (18526):  data data net kdt pojavlaunch jre runtime lib aarch64 jli libjli so_x000D_
I jrelog  (18526):   has unsupported flags DT FLAGS 1 _x000D_
I jrelog  (18526): 0x81_x000D_
I jrelog  (18526):  (ignoring unsupported flags)_x000D_
I jrelog  (18526): _x000D_
S LaunchJVM(18526): dlopen  data user 0 net kdt pojavlaunch jre runtime lib aarch64 jli libjli so success_x000D_
S LaunchJVM(18526): dlopen  data user 0 net kdt pojavlaunch jre runtime lib aarch64 server libjvm so success_x000D_
I jrelog  (18526): WARNING: linker: _x000D_
I jrelog  (18526): Warning:  _x000D_
I jrelog  (18526):  data data net kdt pojavlaunch jre runtime lib aarch64 libverify so_x000D_
I jrelog  (18526):   unused DT entry: _x000D_
I jrelog  (18526): DT RPATH_x000D_
I jrelog  (18526):  (type _x000D_
I jrelog  (18526): 0xf_x000D_
I jrelog  (18526):  arg _x000D_
I jrelog  (18526): 0x450_x000D_
I jrelog  (18526): ) (ignoring)_x000D_
I jrelog  (18526): _x000D_
I jrelog  (18526): WARNING: linker: _x000D_
I jrelog  (18526): Warning:  _x000D_
I jrelog  (18526):  data data net kdt pojavlaunch jre runtime lib aarch64 libverify so_x000D_
I jrelog  (18526):   has unsupported flags DT FLAGS 1 _x000D_
I jrelog  (18526): 0x81_x000D_
I jrelog  (18526):  (ignoring unsupported flags)_x000D_
I jrelog  (18526): _x000D_
S LaunchJVM(18526): dlopen  data user 0 net kdt pojavlaunch jre runtime lib aarch64 libverify so success_x000D_
I jrelog  (18526): WARNING: linker: _x000D_
I jrelog  (18526): Warning:  _x000D_
I jrelog  (18526):  data data net kdt pojavlaunch jre runtime lib aarch64 libjava so_x000D_
I jrelog  (18526):   unused DT entry: _x000D_
I jrelog  (18526): DT RPATH_x000D_
I jrelog  (18526):  (type _x000D_
I jrelog  (18526): 0xf_x000D_
I jrelog  (18526):  arg _x000D_
I jrelog  (18526): 0x33c0_x000D_
I jrelog  (18526): ) (ignoring)_x000D_
I jrelog  (18526): _x000D_
I jrelog  (18526): WARNING: linker: _x000D_
I jrelog  (18526): Warning:  _x000D_
read: unexpected EOF _x000D_
          beginning of main_x000D_
I jrelog  (18526): WARNING: linker: _x000D_
I jrelog  (18526): Warning:  _x000D_
I jrelog  (18526):  data data net kdt pojavlaunch jre runtime lib aarch64 libjsound so_x000D_
I jrelog  (18526):   unused DT entry: _x000D_
I jrelog  (18526): DT RPATH_x000D_
I jrelog  (18526):  (type _x000D_
I jrelog  (18526): 0xf_x000D_
I jrelog  (18526):  arg _x000D_
I jrelog  (18526): 0x119_x000D_
I jrelog  (18526): ) (ignoring)_x000D_
I jrelog  (18526): _x000D_
I jrelog  (18526): WARNING: linker: _x000D_
I jrelog  (18526): Warning:  _x000D_
I jrelog  (18526):  data data net kdt pojavlaunch jre runtime lib aarch64 libjsound so_x000D_
I jrelog  (18526):   has unsupported flags DT FLAGS 1 _x000D_
I jrelog  (18526): 0x81_x000D_
I jrelog  (18526):  (ignoring unsupported flags)_x000D_
I jrelog  (18526): _x000D_
S LaunchJVM(18526): dlopen  data user 0 net kdt pojavlaunch jre runtime lib aarch64 libjsound so success_x000D_
S LaunchJVM(18526): dlopen  data user 0 net kdt pojavlaunch jre runtime lib aarch64 libinstrument so failed: dlopen failed: library  libtinyiconv so  not found_x000D_
S LaunchJVM(18526): dlopen  data user 0 net kdt pojavlaunch jre runtime lib aarch64 libnpt so failed: dlopen failed: library  libtinyiconv so  not found_x000D_
S LaunchJVM(18526): dlopen  data user 0 net kdt pojavlaunch jre runtime lib aarch64 jli libjli so success_x000D_
S LaunchJVM(18526): dlopen  data user 0 net kdt pojavlaunch jre runtime lib aarch64 libjsig so success_x000D_
I jrelog  (18526): WARNING: linker: _x000D_
I jrelog  (18526): Warning:  _x000D_
I jrelog  (18526):  data data net kdt pojavlaunch jre runtime lib aarch64 libj2gss so_x000D_
I jrelog  (18526):   unused DT entry: _x000D_
I jrelog  (18526): DT RPATH_x000D_
I jrelog  (18526):  (type _x000D_
I jrelog  (18526): 0xf_x000D_
I jrelog  (18526):  arg _x000D_
I jrelog  (18526): 0x6c1_x000D_
I jrelog  (18526): ) (ignoring)_x000D_
I jrelog  (18526): _x000D_
I jrelog  (18526): WARNING: linker: _x000D_
I jrelog  (18526): Warning:  _x000D_
I jrelog  (18526):  data data net kdt pojavlaunch jre runtime lib aarch64 libj2gss so_x000D_
I jrelog  (18526):   has unsupported flags DT FLAGS 1 _x000D_
I jrelog  (18526): 0x81_x000D_
read: unexpected EOF _x000D_
          beginning of main_x000D_
S LaunchJVM(18526): dlopen  data app net kdt pojavlaunch sLBYd4aN2dL9saSMlFCNrg   lib arm64 libgl04es so success_x000D_
S LaunchJVM(18526): Done processing args_x000D_
S LaunchJVM(18526): Found JLI lib_x000D_
S LaunchJVM(18526): Calling JLI Launch_x000D_
I jrelog  (18526): OpenJDK 64 Bit Server VM warning: _x000D_
I jrelog  (18526): No monotonic clock was available   timed services may be adversely affected if the time of day clock changes_x000D_
I jrelog  (18526): _x000D_
read: unexpected EOF _x000D_
read: unexpected EOF _x000D_
read: unexpected EOF _x000D_
read: unexpected EOF _x000D_
read: unexpected EOF _x000D_
read: unexpected EOF _x000D_
read: unexpected EOF _x000D_
read: unexpected EOF _x000D_
read: unexpected EOF _x000D_
ERROR: Unable to get more log </t>
  </si>
  <si>
    <t>Anuken-Mindustry-4319</t>
  </si>
  <si>
    <t>visual core launching bug</t>
  </si>
  <si>
    <t xml:space="preserve">  Platform  :  Android iOS Mac Windows Linux _x000D_
windows_x000D_
_x000D_
  Build  :  The build number under the title in the main menu  Required   LATEST  IS NOT A VERSION  I NEED THE EXACT BUILD NUMBER OF YOUR GAME  _x000D_
122 1_x000D_
_x000D_
  Issue  :  Explain your issue in detail  _x000D_
the core that rotates in your screen when launching switches to the nearest core from the middle of your screen_x000D_
_x000D_
  Steps to reproduce  :  How you happened across the issue  and what exactly you did to make the bug happen  _x000D_
load the map  start in sandbox and press W and D_x000D_
_x000D_
  Link(s) to mod(s) used  :  The mod repositories or zip files that are related to the issue  if applicable  _x000D_
no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map  save and video (with nice mouse clicks) is in the zip_x000D_
 core bug zip (https:  github com Anuken Mindustry files 5809550 core bug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</si>
  <si>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PojavLauncherTeam-PojavLauncher-606</t>
  </si>
  <si>
    <t>[BUG]Keyboard</t>
  </si>
  <si>
    <t xml:space="preserve">  Describe the bug  _x000D_
Keyboard (gboard)not working properly in game_x000D_
_x000D_
  To Reproduce  _x000D_
Steps to reproduce the behavior:_x000D_
1  Start PojavLauncher_x000D_
   _x000D_
_x000D_
  Expected behavior  _x000D_
I expected    working _x000D_
_x000D_
  Screenshots  _x000D_
_x000D_
  Platform:  _x000D_
   Device Model  e g  n bia 5s 8 128 _x000D_
   CPU architecture  e g  aarch64  _x000D_
   Android Version  e g  10 _x000D_
_x000D_
 details   summary  b Additional context  b   summary _x000D_
 br _x000D_
 pre _x000D_
Add any other context about the problem here _x000D_
  pre when using Microsoft keyboard keyboard Works but game crash  sent email for dev  _x000D_
  details _x000D_
</t>
  </si>
  <si>
    <t>Anuken-Mindustry-4318</t>
  </si>
  <si>
    <t>Losing progress from repetitive save file corruption</t>
  </si>
  <si>
    <t xml:space="preserve">  Platform  : Windows_x000D_
_x000D_
  Build  : release build 122 1 64  bit_x000D_
_x000D_
  Issue  : Everytime I play the game  save and quit  then come back to the sector I was playing on  it says   An error has occurred save file corrupted or invalid   While this sounds normal  this is the third time it has happened_x000D_
_x000D_
  Steps to reproduce  : 1  open the game  2  Play it for a while  3  Save and quit   4  Return to sector _x000D_
_x000D_
  Link(s) to mod(s) used  : no mods used_x000D_
  Save file  : _x000D_
 save file zip (https:  github com Anuken Mindustry files 5808664 save file zip)_x000D_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</si>
  <si>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nextcloud-android-7816</t>
  </si>
  <si>
    <t>crash on api 21 when returning from file preview</t>
  </si>
  <si>
    <t xml:space="preserve">    Steps to reproduce_x000D_
1  run app on emulator api 21_x000D_
2  tap on some file to open preview or open settings from drawer_x000D_
3  press back_x000D_
_x000D_
    Expected behaviour_x000D_
  it shouldnot crash_x000D_
_x000D_
    Actual behaviour_x000D_
  it crashes_x000D_
_x000D_
I think it is caused by this _x000D_
https:  github com nextcloud android blob 782da9fdd00241a87d63f61804a8bbc573661f9e src main java com owncloud android ui activity ToolbarActivity java L162_x000D_
_x000D_
    Environment data_x000D_
Android version: google emulator API 21_x000D_
_x000D_
Stock or customized system: Stock_x000D_
_x000D_
Nextcloud app version: 782da9fdd00241a87d63f61804a8bbc573661f9e_x000D_
_x000D_
    Logs_x000D_
_x000D_
 details _x000D_
   summary JNI DETECTED ERROR IN APPLICATION: can t call void com google android material appbar AppBarLayout setElevation(float) on null object  summary _x000D_
_x000D_
   _x000D_
A art: art runtime check jni cc:65  JNI DETECTED ERROR IN APPLICATION: can t call void com google android material appbar AppBarLayout setElevation(float) on null object_x000D_
    art runtime check jni cc:65      in call to CallVoidMethodV_x000D_
    art runtime check jni cc:65      from void android animation PropertyValuesHolder nCallFloatMethod(java lang Object  long  float)_x000D_
    art runtime check jni cc:65   main  prio 5 tid 1 Runnable_x000D_
    art runtime check jni cc:65      group  main  sCount 0 dsCount 0 obj 0x751c6fa8 self 0x7fdbf2697000_x000D_
    art runtime check jni cc:65      sysTid 15531 nice 0 cgrp apps sched 0 0 handle 0x7fdbf59d36a0_x000D_
    art runtime check jni cc:65      state R schedstat ( 0 0 0 ) utm 74 stm 16 core 0 HZ 100_x000D_
    art runtime check jni cc:65      stack 0x7fff46069000 0x7fff4606b000 stackSize 8MB_x000D_
    art runtime check jni cc:65      held mutexes   mutator lock (shared held)_x000D_
    art runtime check jni cc:65    native:  00 pc 00006c19   system lib64 libbacktrace libc   so (UnwindCurrent::Unwind(unsigned long  ucontext ) 57)_x000D_
    art runtime check jni cc:65    native:  01 pc 0038aa50   system lib64 libart so (art::DumpNativeStack(std::  1::basic ostream char  std::  1::char traits char      int  char const   art::mirror::ArtMethod ) 96)_x000D_
    art runtime check jni cc:65    native:  02 pc 0035a617   system lib64 libart so (art::Thread::Dump(std::  1::basic ostream char  std::  1::char traits char    ) const 215)_x000D_
    art runtime check jni cc:65    native:  03 pc 0010e1c3   system lib64 libart so (art::JniAbort(char const   char const ) 947)_x000D_
    art runtime check jni cc:65    native:  04 pc 0010f13c   system lib64 libart so (art::JniAbortF(char const   char const      ) 220)_x000D_
    art runtime check jni cc:65    native:  05 pc 0011015e   system lib64 libart so (art::ScopedCheck::CheckVirtualMethod( jobject    jmethodID ) 430)_x000D_
    art runtime check jni cc:65    native:  06 pc 0011eeca   system lib64 libart so (art::CheckJNI::CallVoidMethodV( JNIEnv    jobject    jmethodID     va list tag ) 106)_x000D_
    art runtime check jni cc:65    native:  07 pc 000aad35   system lib64 libandroid runtime so ( JNIEnv::CallVoidMethod( jobject    jmethodID      ) 133)_x000D_
    art runtime check jni cc:65    native:  08 pc 0145a58a   data dalvik cache x86 64 system framework boot oat (Java android animation PropertyValuesHolder nCallFloatMethod  Ljava lang Object 2JF 226)_x000D_
    art runtime check jni cc:65    at android animation PropertyValuesHolder nCallFloatMethod(Native method)_x000D_
    art runtime check jni cc:65    at android animation PropertyValuesHolder access 400(PropertyValuesHolder java:38)_x000D_
    art runtime check jni cc:65    at android animation PropertyValuesHolder FloatPropertyValuesHolder setAnimatedValue(PropertyValuesHolder java:1296)_x000D_
    art runtime check jni cc:65    at android animation ObjectAnimator animateValue(ObjectAnimator java:952)_x000D_
    art runtime check jni cc:65    at android animation ValueAnimator animationFrame(ValueAnimator java:1207)_x000D_
    art runtime check jni cc:65    at android animation ValueAnimator doAnimationFrame(ValueAnimator java:1248)_x000D_
    art runtime check jni cc:65    at android animation ValueAnimator AnimationHandler doAnimationFrame(ValueAnimator java:659)_x000D_
    art runtime check jni cc:65    at android animation ValueAnimator AnimationHandler run(ValueAnimator java:682)_x000D_
    art runtime check jni cc:65    at android view Choreographer CallbackRecord run(Choreographer java:767)_x000D_
    art runtime check jni cc:65    at android view Choreographer doCallbacks(Choreographer java:580)_x000D_
    art runtime check jni cc:65    at android view Choreographer doFrame(Choreographer java:549)_x000D_
    art runtime check jni cc:65    at android view Choreographer FrameDisplayEventReceiver run(Choreographer java:753)_x000D_
    art runtime check jni cc:65    at android os Handler handleCallback(Handler java:739)_x000D_
    art runtime check jni cc:65    at android os Handler dispatchMessage(Handler java:95)_x000D_
    art runtime check jni cc:65    at android os Looper loop(Looper java:135)_x000D_
    art runtime check jni cc:65    at android app ActivityThread main(ActivityThread java:5221)_x000D_
    art runtime check jni cc:65    at java lang reflect Method invoke (Native method)_x000D_
    art runtime check jni cc:65    at java lang reflect Method invoke(Method java:372)_x000D_
    art runtime check jni cc:65    at com android internal os ZygoteInit MethodAndArgsCaller run(ZygoteInit java:899)_x000D_
    art runtime check jni cc:65    at com android internal os ZygoteInit main(ZygoteInit java:694)_x000D_
    art runtime check jni cc:65  _x000D_
A art: art runtime runtime cc:284  Runtime aborting   _x000D_
    art runtime runtime cc:284  Aborting thread:_x000D_
    art runtime runtime cc:284   main  prio 5 tid 1 Native_x000D_
    art runtime runtime cc:284      group    sCount 0 dsCount 0 obj 0x751c6fa8 self 0x7fdbf2697000_x000D_
    art runtime runtime cc:284      sysTid 15531 nice 0 cgrp apps sched 0 0 handle 0x7fdbf59d36a0_x000D_
    art runtime runtime cc:284      state R schedstat ( 0 0 0 ) utm 74 stm 16 core 0 HZ 100_x000D_
    art runtime runtime cc:284      stack 0x7fff46069000 0x7fff4606b000 stackSize 8MB_x000D_
    art runtime runtime cc:284      held mutexes   abort lock   mutator lock (shared held)_x000D_
    art runtime runtime cc:284    native:  00 pc 00006c19   system lib64 libbacktrace libc   so (UnwindCurrent::Unwind(unsigned long  ucontext ) 57)_x000D_
    art runtime runtime cc:284    native:  01 pc 0038aa50   system lib64 libart so (art::DumpNativeStack(std::  1::basic ostream char  std::  1::char traits char      int  char const   art::mirror::ArtMethod ) 96)_x000D_
    art runtime runtime cc:284    native:  02 pc 0035a617   system lib64 libart so (art::Thread::Dump(std::  1::basic ostream char  std::  1::char traits char    ) const 215)_x000D_
    art runtime runtime cc:284    native:  03 pc 00341121   system lib64 libart so (art::AbortState::DumpThread(std::  1::basic ostream char  std::  1::char traits char      art::Thread ) ( isra 139) 49)_x000D_
    art runtime runtime cc:284    native:  04 pc 003414ef   system lib64 libart so (art::AbortState::Dump(std::  1::basic ostream char  std::  1::char traits char    ) 559)_x000D_
    art runtime runtime cc:284    native:  05 pc 003416b6   system lib64 libart so (art::Runtime::Abort() 102)_x000D_
    art runtime runtime cc:284    native:  06 pc 000fc22c   system lib64 libart so (art::LogMessage:: LogMessage() 1564)_x000D_
    art runtime runtime cc:284    native:  07 pc 0010e663   system lib64 libart so (art::JniAbort(char const   char const ) 2131)_x000D_
    art runtime runtime cc:284    native:  08 pc 0010f13c   system lib64 libart so (art::JniAbortF(char const   char const      ) 220)_x000D_
    art runtime runtime cc:284    native:  09 pc 0011015e   system lib64 libart so (art::ScopedCheck::CheckVirtualMethod( jobject    jmethodID ) 430)_x000D_
    art runtime runtime cc:284    native:  10 pc 0011eeca   system lib64 libart so (art::CheckJNI::CallVoidMethodV( JNIEnv    jobject    jmethodID     va list tag ) 106)_x000D_
    art runtime runtime cc:284    native:  11 pc 000aad35   system lib64 libandroid runtime so ( JNIEnv::CallVoidMethod( jobject    jmethodID      ) 133)_x000D_
    art runtime runtime cc:284    native:  12 pc 0145a58a   data dalvik cache x86 64 system framework boot oat (Java android animation PropertyValuesHolder nCallFloatMethod  Ljava lang Object 2JF 226)_x000D_
    art runtime runtime cc:284    at android animation PropertyValuesHolder nCallFloatMethod(Native method)_x000D_
    art runtime runtime cc:284    at android animation PropertyValuesHolder access 400(PropertyValuesHolder java:38)_x000D_
    art runtime runtime cc:284    at android animation PropertyValuesHolder FloatPropertyValuesHolder setAnimatedValue(PropertyValuesHolder java:1296)_x000D_
    art runtime runtime cc:284    at android animation ObjectAnimator animateValue(ObjectAnimator java:952)_x000D_
    art runtime runtime cc:284    at android animation ValueAnimator animationFrame(ValueAnimator java:1207)_x000D_
    art runtime runtime cc:284    at android animation ValueAnimator doAnimationFrame(ValueAnimator java:1248)_x000D_
    art runtime runtime cc:284    at android animation ValueAnimator AnimationHandler doAnimationFrame(ValueAnimator java:659)_x000D_
    art runtime runtime cc:284    at android animation ValueAnimator AnimationHandler run(ValueAnimator java:682)_x000D_
    art runtime runtime cc:284    at android view Choreographer CallbackRecord run(Choreographer java:767)_x000D_
    art runtime runtime cc:284    at android view Choreographer doCallbacks(Choreographer java:580)_x000D_
    art runtime runtime cc:284    at android view Choreographer doFrame(Choreographer java:549)_x000D_
    art runtime runtime cc:284    at android view Choreographer FrameDisplayEventReceiver run(Choreographer java:753)_x000D_
    art runtime runtime cc:284    at android os Handler handleCallback(Handler java:739)_x000D_
    art runtime runtime cc:284    at android os Handler dispatchMessage(Handler java:95)_x000D_
    art runtime runtime cc:284    at android os Looper loop(Looper java:135)_x000D_
    art runtime runtime cc:284    at android app ActivityThread main(ActivityThread java:5221)_x000D_
    art runtime runtime cc:284    at java lang reflect Method invoke (Native method)_x000D_
    art runtime runtime cc:284    at java lang reflect Method invoke(Method java:372)_x000D_
    art runtime runtime cc:284    at com android internal os ZygoteInit MethodAndArgsCaller run(ZygoteInit java:899)_x000D_
    art runtime runtime cc:284    at com android internal os ZygoteInit main(ZygoteInit java:694)_x000D_
    art runtime runtime cc:284  Dumping all threads without appropriate locks held: thread list lock mutator lock_x000D_
    art runtime runtime cc:284  All threads:_x000D_
    art runtime runtime cc:284  DALVIK THREADS (36):_x000D_
    art runtime runtime cc:284   main  prio 5 tid 1 Native_x000D_
    art runtime runtime cc:284      group    sCount 0 dsCount 0 obj 0x751c6fa8 self 0x7fdbf2697000_x000D_
    art runtime runtime cc:284      sysTid 15531 nice 0 cgrp apps sched 0 0 handle 0x7fdbf59d36a0_x000D_
    art runtime runtime cc:284      state R schedstat ( 0 0 0 ) utm 74 stm 17 core 0 HZ 100_x000D_
    art runtime runtime cc:284      stack 0x7fff46069000 0x7fff4606b000 stackSize 8MB_x000D_
    art runtime runtime cc:284      held mutexes   abort lock _x000D_
    art runtime runtime cc:284    native:  00 pc 00006c19   system lib64 libbacktrace libc   so (UnwindCurrent::Unwind(unsigned long  ucontext ) 57)_x000D_
    art runtime runtime cc:284    native:  01 pc 0038aa50   system lib64 libart so (art::DumpNativeStack(std::  1::basic ostream char  std::  1::char traits char      int  char const   art::mirror::ArtMethod ) 96)_x000D_
    art runtime runtime cc:284    native:  02 pc 0035a617   system lib64 libart so (art::Thread::Dump(std::  1::basic ostream char  std::  1::char traits char    ) const 215)_x000D_
    art runtime runtime cc:284    native:  03 pc 00364f02   system lib64 libart so (art::ThreadList::DumpLocked(std::  1::basic ostream char  std::  1::char traits char    ) 450)_x000D_
    art runtime runtime cc:284    native:  04 pc 00341441   system lib64 libart so (art::AbortState::Dump(std::  1::basic ostream char  std::  1::char traits char    ) 385)_x000D_
    art runtime runtime cc:284    native:  05 pc 003416b6   system lib64 libart so (art::Runtime::Abort() 102)_x000D_
    art runtime runtime cc:284    native:  06 pc 000fc22c   system lib64 libart so (art::LogMessage:: LogMessage() 1564)_x000D_
    art runtime runtime cc:284    native:  07 pc 0010e663   system lib64 libart so (art::JniAbort(char const   char const ) 2131)_x000D_
    art runtime runtime cc:284    native:  08 pc 0010f13c   system lib64 libart so (art::JniAbortF(char const   char const      ) 220)_x000D_
    art runtime runtime cc:284    native:  09 pc 0011015e   system lib64 libart so (art::ScopedCheck::CheckVirtualMethod( jobject    jmethodID ) 430)_x000D_
    art runtime runtime cc:284    native:  10 pc 0011eeca   system lib64 libart so (art::CheckJNI::CallVoidMethodV( JNIEnv    jobject    jmethodID     va list tag ) 106)_x000D_
    art runtime runtime cc:284    native:  11 pc 000aad35   system lib64 libandroid runtime so ( JNIEnv::CallVoidMethod( jobject    jmethodID      ) 133)_x000D_
    art runtime runtime cc:284    native:  12 pc 0145a58a   data dalvik cache x86 64 system framework boot oat (Java android animation PropertyValuesHolder nCallFloatMethod  Ljava lang Object 2JF 226)_x000D_
    art runtime runtime cc:284    at android animation PropertyValuesHolder nCallFloatMethod(Native method)_x000D_
    art runtime runtime cc:284    at android animation PropertyValuesHolder access 400(PropertyValuesHolder java:38)_x000D_
    art runtime runtime cc:284    at android animation PropertyValuesHolder FloatPropertyValuesHolder setAnimatedValue(PropertyValuesHolder java:1296)_x000D_
    art runtime runtime cc:284    at android animation ObjectAnimator animateValue(ObjectAnimator java:952)_x000D_
    art runtime runtime cc:284    at android animation ValueAnimator animationFrame(ValueAnimator java:1207)_x000D_
    art runtime runtime cc:284    at android animation ValueAnimator doAnimationFrame(ValueAnimator java:1248)_x000D_
    art runtime runtime cc:284    at android animation ValueAnimator AnimationHandler doAnimationFrame(ValueAnimator java:659)_x000D_
    art runtime runtime cc:284    at android animation ValueAnimator AnimationHandler run(ValueAnimator java:682)_x000D_
    art runtime runtime cc:284    at android view Choreographer CallbackRecord run(Choreographer java:767)_x000D_
    art runtime runtime cc:284    at android view Choreographer doCallbacks(Choreographer java:580)_x000D_
    art runtime runtime cc:284    at android view Choreographer doFrame(Choreographer java:549)_x000D_
    art runtime runtime cc:284    at android view Choreographer FrameDisplayEventReceiver run(Choreographer java:753)_x000D_
    art runtime runtime cc:284    at android os Handler handleCallback(Handler java:739)_x000D_
    art runtime runtime cc:284    at android os Handler dispatchMessage(Handler java:95)_x000D_
    art runtime runtime cc:284    at android os Looper loop(Looper java:135)_x000D_
    art runtime runtime cc:284    at android app ActivityThread main(ActivityThread java:5221)_x000D_
    art runtime runtime cc:284    at java lang reflect Method invoke (Native method)_x000D_
    art runtime runtime cc:284    at java lang reflect Method invoke(Method java:372)_x000D_
    art runtime runtime cc:284    at com android internal os ZygoteInit MethodAndArgsCaller run(ZygoteInit java:899)_x000D_
    art runtime runtime cc:284    at com android internal os ZygoteInit main(ZygoteInit java:694)_x000D_
    art runtime runtime cc:284  _x000D_
A art: art runtime runtime cc:284   Heap thread pool worker thread 0  prio 5 tid 2 Native (still starting up)_x000D_
    art runtime runtime cc:284      group    sCount 0 dsCount 0 obj 0x0 self 0x7fdbece10800_x000D_
    art runtime runtime cc:284      sysTid 15535 nice 0 cgrp apps sched 0 0 handle 0x7fdbe9b8f600_x000D_
    art runtime runtime cc:284      state S schedstat ( 0 0 0 ) utm 0 stm 0 core 2 HZ 100_x000D_
    art runtime runtime cc:284      stack 0x7fdbf1c3c000 0x7fdbf1c3e000 stackSize 1020KB_x000D_
    art runtime runtime cc:284      held mutexes _x000D_
    art runtime runtime cc:284    kernel: futex wait queue me 0xde 0x12f_x000D_
    art runtime runtime cc:284    kernel: futex wait 0x113 0x23c_x000D_
    art runtime runtime cc:284    kernel: do futex 0xbd 0x8ab_x000D_
    art runtime runtime cc:284    kernel: SyS futex 0xb9 0x11f_x000D_
    art runtime runtime cc:284    kernel: system call fastpath 0x16 0x1b_x000D_
    art runtime runtime cc:284    native:  00 pc 00019a56   system lib64 libc so (syscall 22)_x000D_
    art runtime runtime cc:284    native:  01 pc 00101711   system lib64 libart so (art::ConditionVariable::Wait(art::Thread ) 113)_x000D_
    art runtime runtime cc:284    native:  02 pc 003689ac   system lib64 libart so (art::ThreadPool::GetTask(art::Thread ) 108)_x000D_
    art runtime runtime cc:284    native:  03 pc 00368912   system lib64 libart so (art::ThreadPoolWorker::Run() 82)_x000D_
    art runtime runtime cc:284    native:  04 pc 00369a91   system lib64 libart so (art::ThreadPoolWorker::Callback(void ) 65)_x000D_
    art runtime runtime cc:284    native:  05 pc 0002731e   system lib64 libc so (  pthread start(void ) 46)_x000D_
    art runtime runtime cc:284    native:  06 pc 0002339b   system lib64 libc so (  start thread 11)_x000D_
    art runtime runtime cc:284    native:  07 pc 00019885   system lib64 libc so (  bionic clone 53)_x000D_
    art runtime runtime cc:284    (no managed stack frames)_x000D_
    art runtime runtime cc:284  _x000D_
    art runtime runtime cc:284   Heap thread pool worker thread 1  prio 5 tid 3 Native (still starting up)_x000D_
    art runtime runtime cc:284      group    sCount 0 dsCount 0 obj 0x0 self 0x7fdbecb10800_x000D_
    art runtime runtime cc:284      sysTid 15536 nice 0 cgrp apps sched 0 0 handle 0x7fdbe9b8f900_x000D_
    art runtime runtime cc:284      state S schedstat ( 0 0 0 ) utm 0 stm 0 core 1 HZ 100_x000D_
    art runtime runtime cc:284      stack 0x7fdbf1b3c000 0x7fdbf1b3e000 stackSize 1020KB_x000D_
    art runtime runtime cc:284      held mutexes _x000D_
    art runtime runtime cc:284    kernel: futex wait queue me 0xde 0x12f_x000D_
    art runtime runtime cc:284    kernel: futex wait 0x113 0x23c_x000D_
    art runtime runtime cc:284    kernel: do futex 0xbd 0x8ab_x000D_
    art runtime runtime cc:284    kernel: SyS futex 0xb9 0x11f_x000D_
    art runtime runtime cc:284    kernel: system call fastpath 0x16 0x1b_x000D_
    art runtime runtime cc:284    native:  00 pc 00019a56   system lib64 libc so (syscall 22)_x000D_
    art runtime runtime cc:284    native:  01 pc 00101711   system lib64 libart so (art::ConditionVariable::Wait(art::Thread ) 113)_x000D_
    art runtime runtime cc:284    native:  02 pc 003689ac   system lib64 libart so (art::ThreadPool::GetTask(art::Thread ) 108)_x000D_
    art runtime runtime cc:284    native:  03 pc 00368912   system lib64 libart so (art::ThreadPoolWorker::Run() 82)_x000D_
    art runtime runtime cc:284    native:  04 pc 00369a91   system lib64 libart so (art::ThreadPoolWorker::Callback(void ) 65)_x000D_
    art runtime runtime cc:284    native:  05 pc 0002731e   system lib64 libc so (  pthread start(void ) 46)_x000D_
    art runtime runtime cc:284    native:  06 pc 0002339b   system lib64 libc so (  start thread 11)_x000D_
    art runtime runtime cc:284    native:  07 pc 00019885   system lib64 libc so (  bionic clone 53)_x000D_
    art runtime runtime cc:284    (no managed stack frames)_x000D_
    art runtime runtime cc:284  _x000D_
    art runtime runtime cc:284   Signal Catcher  prio 5 tid 4 WaitingInMainSignalCatcherLoop_x000D_
    art runtime runtime cc:284      group    sCount 0 dsCount 0 obj 0x12c00080 self 0x7fdbec710800_x000D_
    art runtime runtime cc:284      sysTid 15539 nice 0 cgrp apps sched 0 0 handle 0x7fdbe9b8fc00_x000D_
    art runtime runtime cc:284      state S schedstat ( 0 0 0 ) utm 0 stm 0 core 0 HZ 100_x000D_
    art runtime runtime cc:284      stack 0x7fdbf1a3e000 0x7fdbf1a40000 stackSize 1012KB_x000D_
    art runtime runtime cc:284      held mutexes _x000D_
    art runtime runtime cc:284    kernel: do sigtimedwait 0xe3 0x1b4_x000D_
    art runtime runtime cc:284    kernel: SyS rt sigtimedwait 0x82 0xb5_x000D_
    art runtime runtime cc:284    kernel: system call fastpath 0x16 0x1b_x000D_
    art runtime runtime cc:284    native:  00 pc 0007642a   system lib64 libc so (  rt sigtimedwait 10)_x000D_
    art runtime runtime cc:284    native:  01 pc 00029b78   system lib64 libc so (sigwait 40)_x000D_
    art runtime runtime cc:284    native:  02 pc 00348924   system lib64 libart so (art::SignalCatcher::WaitForSignal(art::Thread   art::SignalSet ) 116)_x000D_
    art runtime runtime cc:284    native:  03 pc 00349420   system lib64 libart so (art::SignalCatcher::Run(void ) 272)_x000D_
    art runtime runtime cc:284    native:  04 pc 0002731e   system lib64 libc so (  pthread start(void ) 46)_x000D_
    art runtime runtime cc:284    native:  05 pc 0002339b   system lib64 libc so (  start thread 11)_x000D_
    art runtime runtime cc:284    native:  06 pc 00019885   system lib64 libc so (  bionic clone 53)_x000D_
    art runtime runtime cc:284    (no managed stack frames)_x000D_
    art runtime runtime cc:284  _x000D_
    art runtime runtime cc:284   JDWP  prio 5 tid 5 WaitingInMainDebuggerLoop_x000D_
    art runtime runtime cc:284      group    sCount 0 dsCount 0 obj 0x12c0d080 self 0x7fdbec610800_x000D_
    art runtime runtime cc:284      sysTid 15541 nice 0 cgrp apps sched 0 0 handle 0x7fdbe9b8ff00_x000D_
    art runtime runtime cc:284      state S schedstat ( 0 0 0 ) utm 0 stm 0 core 2 HZ 100_x000D_
    art runtime runtime cc:284      stack 0x7fdbf1940000 0x7fdbf1942000 stackSize 1012KB_x000D_
    art runtime runtime cc:284      held mutexes _x000D_
    art runtime runtime cc:284    kernel: poll schedule timeout 0x56 0xae_x000D_
    art runtime runtime cc:284    kernel: do select 0x524 0x57a_x000D_
    art runtime runtime cc:284    kernel: core sys select 0x1be 0x2b2_x000D_
    art runtime runtime cc:284    kernel: SyS pselect6 0x122 0x1aa_x000D_
    art runtime runtime cc:284    kernel: system call fastpath 0x16 0x1b_x000D_
    art runtime runtime cc:284    native:  00 pc 0007604a   system lib64 libc so (  pselect6 10)_x000D_
    art runtime runtime cc:284    native:  01 pc 000264da   system lib64 libc so (select 122)_x000D_
    art runtime runtime cc:284    native:  02 pc 003ef145   system lib64 libart so (art::JDWP::JdwpAdbState::ProcessIncoming() 325)_x000D_
    art runtime runtime cc:284    native:  03 pc 00269c84   system lib64 libart so (art::JDWP::JdwpState::Run() 452)_x000D_
    art runtime runtime cc:284    native:  04 pc 0026b7d5   system lib64 libart so (art::JDWP::StartJdwpThread(void ) 21)_x000D_
    art runtime runtime cc:284    native:  05 pc 0002731e   system lib64 libc so (  pthread start(void ) 46)_x000D_
    art runtime runtime cc:284    native:  06 pc 0002339b   system lib64 libc so (  start thread 11)_x000D_
    art runtime runtime cc:284    native:  07 pc 00019885   system lib64 libc so (  bionic clone 53)_x000D_
    art runtime runtime cc:284    (no managed stack frames)_x000D_
    art runtime runtime cc:284  _x000D_
    art runtime runtime cc:284   FinalizerDaemon  prio 5 tid 6 Waiting_x000D_
    art runtime runtime cc:284      group    sCount 0 dsCount 0 obj 0x12c240e0 self 0x7fdbf26a4000_x000D_
    art runtime runtime cc:284      sysTid 15543 nice 0 cgrp apps sched 0 0 handle 0x7fdbe9b8c300_x000D_
    art runtime runtime cc:284      state S schedstat ( 0 0 0 ) utm 4 stm 0 core 2 HZ 100_x000D_
    art runtime runtime cc:284      stack 0x7fdbf1731000 0x7fdbf1733000 stackSize 1036KB_x000D_
    art runtime runtime cc:284      held mutexes _x000D_
    art runtime runtime cc:284    kernel: futex wait queue me 0xde 0x12f_x000D_
    art runtime runtime cc:284    kernel: futex wait 0x113 0x23c_x000D_
    art runtime runtime cc:284    kernel: do futex 0xbd 0x8ab_x000D_
    art runtime runtime cc:284    kernel: SyS futex 0xb9 0x11f_x000D_
    art runtime runtime cc:284    kernel: system call fastpath 0x16 0x1b_x000D_
    art runtime runtime cc:284    native:  00 pc 00019a56   system lib64 libc so (syscall 22)_x000D_
    art runtime runtime cc:284    native:  01 pc 00101711   system lib64 libart so (art::ConditionVariable::Wait(art::Thread ) 113)_x000D_
    art runtime runtime cc:284    native:  02 pc 002f9257   system lib64 libart so (art::Monitor::Wait(art::Thread   long  int  bool  art::ThreadState) 1287)_x000D_
    art runtime runtime cc:284    native:  03 pc 002f97a8   system lib64 libart so (art::Monitor::Wait(art::Thread   art::mirror::Object   long  int  bool  art::ThreadState) 184)_x000D_
    art runtime runtime cc:284    native:  04 pc 000008cd   data dalvik cache x86 64 system framework boot oat (Java java lang Object wait  JI 197)_x000D_
    art runtime runtime cc:284    at java lang Object wait (Native method)_x000D_
    art runtime runtime cc:284      waiting on  0x3f53ec67  (a java lang ref ReferenceQueue)_x000D_
    art runtime runtime cc:284    at java lang Object wait(Object java:422)_x000D_
    art runtime runtime cc:284    at java lang ref ReferenceQueue remove(ReferenceQueue java:101)_x000D_
    art runtime runtime cc:284      locked  0x3f53ec67  (a java lang ref ReferenceQueue)_x000D_
    art runtime runtime cc:284    at java lang ref ReferenceQueue remove(ReferenceQueue java:72)_x000D_
    art runtime runtime cc:284    at java lang Daemons FinalizerDaemon run(Daemons java:173)_x000D_
    art runtime runtime cc:284    at java lang Thread run(Thread java:818)_x000D_
    art runtime runtime cc:284  _x000D_
    art runtime runtime cc:284   HeapTrimmerDaemon  prio 5 tid 7 Waiting_x000D_
    art runtime runtime cc:284      group    sCount 0 dsCount 0 obj 0x12c241a0 self 0x7fdbf26a5000_x000D_
    art runtime runtime cc:284      sysTid 15545 nice 0 cgrp apps sched 0 0 handle 0x7fdbe9b8c900_x000D_
    art runtime runtime cc:284      state S schedstat ( 0 0 0 ) utm 0 stm 0 core 0 HZ 100_x000D_
    art runtime runtime cc:284      stack 0x7fdbf151d000 0x7fdbf151f000 stackSize 1036KB_x000D_
    art runtime runtime cc:284      held mutexes _x000D_
    art runtime runtime cc:284    kernel: futex wait queue me 0xde 0x12f_x000D_
    art runtime runtime cc:284    kernel: futex wait 0x113 0x23c_x000D_
    art runtime runtime cc:284    kernel: do futex 0xbd 0x8ab_x000D_
    art runtime runtime cc:284    kernel: SyS futex 0xb9 0x11f_x000D_
    art runtime runtime cc:284    kernel: system call fastpath 0x16 0x1b_x000D_
    art runtime runtime cc:284    native:  00 pc 00019a56   system lib64 libc so (syscall 22)_x000D_
    art runtime runtime cc:284    native:  01 pc 00101711   system lib64 libart so (art::ConditionVariable::Wait(art::Thread ) 113)_x000D_
    art runtime runtime cc:284    native:  02 pc 002f9257   system lib64 libart so (art::Monitor::Wait(art::Thread   long  int  bool  art::ThreadState) 1287)_x000D_
    art runtime runtime cc:284    native:  03 pc 002f97a8   system lib64 libart so (art::Monitor::Wait(art::Thread   art::mirror::Object   long  int  bool  art::ThreadState) 184)_x000D_
    art runtime runtime cc:284    native:  04 pc 000005bf   data dalvik cache x86 64 system framework boot oat (Java java lang Object wait   167)_x000D_
    art runtime runtime cc:284    at java lang Object wait (Native method)_x000D_
    art runtime runtime cc:284      waiting on  0x076d3a14  (a java lang Daemons HeapTrimmerDaemon)_x000D_
    art runtime runtime cc:284    at java lang Daemons HeapTrimmerDaemon run(Daemons java:310)_x000D_
    art runtime runtime cc:284      locked  0x076d3a14  (a java lang Daemons HeapTrimmerDaemon)_x000D_
    art runtime runtime cc:284    at java lang Thread run(Thread java:818)_x000D_
    art runtime runtime cc:284  _x000D_
    art runtime runtime cc:284   FinalizerWatchdogDaemon  prio 5 tid 8 Sleeping_x000D_
    art runtime runtime cc:284      group    sCount 0 dsCount 0 obj 0x12c24140 self 0x7fdbf26a4800_x000D_
    art runtime runtime cc:284      sysTid 15544 nice 0 cgrp apps sched 0 0 handle 0x7fdbe9b8c600_x000D_
    art runtime runtime cc:284      state S schedstat ( 0 0 0 ) utm 0 stm 0 core 2 HZ 100_x000D_
    art runtime runtime cc:284      stack 0x7fdbf162d000 0x7fdbf162f000 stackSize 1036KB_x000D_
    art runtime runtime cc:284      held mutexes _x000D_
    art runtime runtime cc:284    kernel: futex wait queue me 0xde 0x12f_x000D_
    art runtime runtime cc:284    kernel: futex wait 0x113 0x23c_x000D_
    art runtime runtime cc:284    kernel: do futex 0xbd 0x8ab_x000D_
    art runtime runtime cc:284    kernel: SyS futex 0xb9 0x11f_x000D_
    art runtime runtime cc:284    kernel: system call fastpath 0x16 0x1b_x000D_
    art runtime runtime cc:284    native:  00 pc 00019a58   system lib64 libc so (syscall 24)_x000D_
    art runtime runtime cc:284    native:  01 pc 000fff4f   system lib64 libart so (art::ConditionVariable::TimedWait(art::Thread   long  int) 271)_x000D_
    art runtime runtime cc:284    native:  02 pc 002f8f5c   system lib64 libart so (art::Monitor::Wait(art::Thread   long  int  bool  art::ThreadState) 524)_x000D_
    art runtime runtime cc:284    native:  03 pc 002f97a8   system lib64 libart so (art::Monitor::Wait(art::Thread   art::mirror::Object   long  int  bool  art::ThreadState) 184)_x000D_
    art runtime runtime cc:284    native:  04 pc 0009bc77   data dalvik cache x86 64 system framework boot oat (Java java lang Thread sleep  Ljava lang Object 2JI 223)_x000D_
    art runtime runtime cc:284    at java lang Thread sleep (Native method)_x000D_
    art runtime runtime cc:284      sleeping on  0x30ac02bd  (a java lang Object)_x000D_
    art runtime runtime cc:284    at java lang Thread sleep(Thread java:1031)_x000D_
    art runtime runtime cc:284      locked  0x30ac02bd  (a java lang Object)_x000D_
    art runtime runtime cc:284    at java lang Thread sleep(Thread java:985)_x000D_
    art runtime runtime cc:284    at java lang Daemons FinalizerWatchdogDaemon sleepFor(Daemons java:257)_x000D_
    art runtime runtime cc:284    at java lang Daemons FinalizerWatchdogDaemon waitForFinalization(Daemons java:268)_x000D_
    art runtime runtime cc:284    at java lang Daemons FinalizerWatchdogDaemon run(Daemons java:216)_x000D_
    art runtime runtime cc:284    at java lang Thread run(Thread java:818)_x000D_
A art: art runtime runtime cc:284  _x000D_
    art runtime runtime cc:284   GCDaemon  prio 5 tid 9 Waiting_x000D_
    art runtime runtime cc:284      group    sCount 0 dsCount 0 obj 0x12c24200 self 0x7fdbf26a5800_x000D_
    art runtime runtime cc:284      sysTid 15546 nice 0 cgrp apps sched 0 0 handle 0x7fdbe9b8cc00_x000D_
    art runtime runtime cc:284      state S schedstat ( 0 0 0 ) utm 20 stm 2 core 0 HZ 100_x000D_
    art runtime runtime cc:284      stack 0x7fdbf140b000 0x7fdbf140d000 stackSize 1036KB_x000D_
    art runtime runtime cc:284      held mutexes _x000D_
    art runtime runtime cc:284    kernel: futex wait queue me 0xde 0x12f_x000D_
    art runtime runtime cc:284    kernel: futex wait 0x113 0x23c_x000D_
    art runtime runtime cc:284    kernel: do futex 0xbd 0x8ab_x000D_
    art runtime runtime cc:284    kernel: SyS futex 0xb9 0x11f_x000D_
    art runtime runtime cc:284    kernel: system call fastpath 0x16 0x1b_x000D_
    art runtime runtime cc:284    native:  00 pc 00019a56   system lib64 libc so (syscall 22)_x000D_
    art runtime runtime cc:284    native:  01 pc 00101711   system lib64 libart so (art::ConditionVariable::Wait(art::Thread ) 113)_x000D_
    art runtime runtime cc:284    native:  02 pc 002f9257   system lib64 libart so (art::Monitor::Wait(art::Thread   long  int  bool  art::ThreadState) 1287)_x000D_
    art runtime runtime cc:284    native:  03 pc 002f97a8   system lib64 libart so (art::Monitor::Wait(art::Thread   art::mirror::Object   long  int  bool  art::ThreadState) 184)_x000D_
    art runtime runtime cc:284    native:  04 pc 000005bf   data dalvik cache x86 64 system framework boot oat (Java java lang Object wait   167)_x000D_
    art runtime runtime cc:284    at java lang Object wait (Native method)_x000D_
    art runtime runtime cc:284      waiting on  0x3d40f0b2  (a java lang Daemons GCDaemon)_x000D_
    art runtime runtime cc:284    at java lang Daemons GCDaemon run(Daemons java:341)_x000D_
    art runtime runtime cc:284      locked  0x3d40f0b2  (a java lang Daemons GCDaemon)_x000D_
    art runtime runtime cc:284    at java lang Thread run(Thread java:818)_x000D_
    art runtime runtime cc:284  _x000D_
    art runtime runtime cc:284   ReferenceQueueDaemon  prio 5 tid 10 Waiting_x000D_
    art runtime runtime cc:284      group    sCount 0 dsCount 0 obj 0x12c24080 self 0x7fdbf26a3800_x000D_
    art runtime runtime cc:284      sysTid 15542 nice 0 cgrp apps sched 0 0 handle 0x7fdbe9b90200_x000D_
    art runtime runtime cc:284      state S schedstat ( 0 0 0 ) utm 0 stm 0 core 1 HZ 100_x000D_
    art runtime runtime cc:284      stack 0x7fdbf1835000 0x7fdbf1837000 stackSize 1036KB_x000D_
    art runtime runtime cc:284      held mutexes _x000D_
    art runtime runtime cc:284    kernel: futex wait queue me 0xde 0x12f_x000D_
    art runtime runtime cc:284    kernel: futex wait 0x113 0x23c_x000D_
    art runtime runtime cc:284    kernel: do futex 0xbd 0x8ab_x000D_
    art runtime runtime cc:284    kernel: SyS futex 0xb9 0x11f_x000D_
    art runtime runtime cc:284    kernel: system call fastpath 0x16 0x1b_x000D_
    art runtime runtime cc:284    native:  00 pc 00019a56   system lib64 libc so (syscall 22)_x000D_
    art runtime runtime cc:284    native:  01 pc 00101711   system lib64 libart so (art::ConditionVariable::Wait(art::Thread ) 113)_x000D_
    art runtime runtime cc:284    native:  02 pc 002f9257   system lib64 libart so (art::Monitor::Wait(art::Thread   long  int  bool  art::ThreadState) 1287)_x000D_
    art runtime runtime cc:284    native:  03 pc 002f97a8   system lib64 libart so (art::Monitor::Wait(art::Thread   art::mirror::Object   long  int  bool  art::ThreadState) 184)_x000D_
    art runtime runtime cc:284    native:  04 pc 000005bf   data dalvik cache x86 64 system framework boot oat (Java java lang Object wait   167)_x000D_
    art runtime runtime cc:284  </t>
  </si>
  <si>
    <t>Anuken-Mindustry-4316</t>
  </si>
  <si>
    <t>Triangle Draw Issue: Negative Coordinates -&gt; Max Value</t>
  </si>
  <si>
    <t xml:space="preserve">  Platform  :_x000D_
_x000D_
iOS_x000D_
_x000D_
  Build  :  The build number under the title in the main menu  Required   LATEST  IS NOT A VERSION  I NEED THE EXACT BUILD NUMBER OF YOUR GAME  _x000D_
_x000D_
122 3_x000D_
_x000D_
  Issue  :  Explain your issue in detail  _x000D_
_x000D_
Triangle Draw Function errors corners to maximum value if a coordinate lies in the negative domain  resulting in broken functionality for some applications _x000D_
_x000D_
  Steps to reproduce  :  How you happened across the issue  and what exactly you did to make the bug happen  _x000D_
_x000D_
Using logic  draw a triangle with at least one coordinate inside the visible region and at least one with a negative value _x000D_
_x000D_
When the error occurs  you should observe the coordinate that is negative being looped to the highest value  making the triangle draw well off screen _x000D_
_x000D_
(The attached save contains a logic machine that demonstrates this  using the controls to rotate the image until a corner is offscreen or incr_x000D_
_x000D_
  Mods active  :_x000D_
_x000D_
No mods active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_x000D_
 save tmp zip (https:  github com Anuken Mindustry files 5804884 save tmp zip)_x000D_
_x000D_
First time uploading a zip to here so am unsure if it worked  as a backup I have included a schematic that can demonstrate this issue  since I have observed it on all my saves and on servers  Simply use the controls to rotate a corner off either the left or bottom (negative coordinates) and the issue will occur _x000D_
_x000D_
_x000D_
_x000D_
  (Crash) logs  :  Either crash reports from the crash folder  or the file you get when you go into Settings    Game Data    Export Crash logs  REQUIRED if you are reporting a crash  _x000D_
N 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</si>
  <si>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cgeo-cgeo-9789</t>
  </si>
  <si>
    <t>c:geo crashed when starting map</t>
  </si>
  <si>
    <t xml:space="preserve">Two mails on support today:_x000D_
  2021 01 10_x000D_
  Staring live map crashed c:geo_x000D_
  Invoking map navigation from cache details crash c:geo_x000D_
_x000D_
Delivered logfiles show:_x000D_
   _x000D_
          beginning of crash_x000D_
01 10 19:30:57 081  6115  6863 E AndroidRuntime: FATAL EXCEPTION: LayerManager_x000D_
01 10 19:30:57 081  6115  6863 E AndroidRuntime: Process: cgeo geocaching  PID: 6115_x000D_
01 10 19:30:57 081  6115  6863 E AndroidRuntime: java lang IllegalArgumentException: invalid tileX number on zoom level 32: 2147483647_x000D_
01 10 19:30:57 081  6115  6863 E AndroidRuntime: 	at org mapsforge core model Tile  init (Tile java:130)_x000D_
01 10 19:30:57 081  6115  6863 E AndroidRuntime: 	at org mapsforge map util LayerUtil getTilePositions(LayerUtil java:49)_x000D_
01 10 19:30:57 081  6115  6863 E AndroidRuntime: 	at org mapsforge map layer TileLayer draw(TileLayer java:72)_x000D_
01 10 19:30:57 081  6115  6863 E AndroidRuntime: 	at org mapsforge map layer LayerManager doWork(LayerManager java:95)_x000D_
01 10 19:30:57 081  6115  6863 E AndroidRuntime: 	at org mapsforge map util PausableThread run(PausableThread java:149)_x000D_
01 10 19:33:18 228 18529 18598 E AndroidRuntime: FATAL EXCEPTION: LayerManager_x000D_
01 10 19:33:18 228 18529 18598 E AndroidRuntime: Process: cgeo geocaching  PID: 18529_x000D_
01 10 19:33:18 228 18529 18598 E AndroidRuntime: java lang IllegalArgumentException: invalid tileX number on zoom level 32: 2147483647_x000D_
01 10 19:33:18 228 18529 18598 E AndroidRuntime: 	at org mapsforge core model Tile  init (Tile java:130)_x000D_
01 10 19:33:18 228 18529 18598 E AndroidRuntime: 	at org mapsforge map util LayerUtil getTilePositions(LayerUtil java:49)_x000D_
01 10 19:33:18 228 18529 18598 E AndroidRuntime: 	at org mapsforge map layer TileLayer draw(TileLayer java:72)_x000D_
01 10 19:33:18 228 18529 18598 E AndroidRuntime: 	at org mapsforge map layer LayerManager doWork(LayerManager java:95)_x000D_
01 10 19:33:18 228 18529 18598 E AndroidRuntime: 	at org mapsforge map util PausableThread run(PausableThread java:149)_x000D_
01 10 19:38:11 069 18665 19301 E AndroidRuntime: FATAL EXCEPTION: LayerManager_x000D_
01 10 19:38:11 069 18665 19301 E AndroidRuntime: Process: cgeo geocaching  PID: 18665_x000D_
01 10 19:38:11 069 18665 19301 E AndroidRuntime: java lang IllegalArgumentException: invalid tileX number on zoom level 32: 2147483647_x000D_
01 10 19:38:11 069 18665 19301 E AndroidRuntime: 	at org mapsforge core model Tile  init (Tile java:130)_x000D_
01 10 19:38:11 069 18665 19301 E AndroidRuntime: 	at org mapsforge map util LayerUtil getTilePositions(LayerUtil java:49)_x000D_
01 10 19:38:11 069 18665 19301 E AndroidRuntime: 	at org mapsforge map layer TileLayer draw(TileLayer java:72)_x000D_
01 10 19:38:11 069 18665 19301 E AndroidRuntime: 	at org mapsforge map layer LayerManager doWork(LayerManager java:95)_x000D_
01 10 19:38:11 069 18665 19301 E AndroidRuntime: 	at org mapsforge map util PausableThread run(PausableThread java:149)_x000D_
01 10 19:38:24 130 19337 19394 E AndroidRuntime: FATAL EXCEPTION: LayerManager_x000D_
01 10 19:38:24 130 19337 19394 E AndroidRuntime: Process: cgeo geocaching  PID: 19337_x000D_
01 10 19:38:24 130 19337 19394 E AndroidRuntime: java lang IllegalArgumentException: invalid tileX number on zoom level 32: 2147483647_x000D_
01 10 19:38:24 130 19337 19394 E AndroidRuntime: 	at org mapsforge core model Tile  init (Tile java:130)_x000D_
01 10 19:38:24 130 19337 19394 E AndroidRuntime: 	at org mapsforge map util LayerUtil getTilePositions(LayerUtil java:49)_x000D_
01 10 19:38:24 130 19337 19394 E AndroidRuntime: 	at org mapsforge map layer TileLayer draw(TileLayer java:72)_x000D_
01 10 19:38:24 130 19337 19394 E AndroidRuntime: 	at org mapsforge map layer LayerManager doWork(LayerManager java:95)_x000D_
01 10 19:38:24 130 19337 19394 E AndroidRuntime: 	at org mapsforge map util PausableThread run(PausableThread java:149)_x000D_
01 10 21:01:03 390 25112 25185 E AndroidRuntime: FATAL EXCEPTION: LayerManager_x000D_
01 10 21:01:03 390 25112 25185 E AndroidRuntime: Process: cgeo geocaching  PID: 25112_x000D_
01 10 21:01:03 390 25112 25185 E AndroidRuntime: java lang IllegalArgumentException: invalid tileX number on zoom level 32: 2147483647_x000D_
01 10 21:01:03 390 25112 25185 E AndroidRuntime: 	at org mapsforge core model Tile  init (Tile java:130)_x000D_
01 10 21:01:03 390 25112 25185 E AndroidRuntime: 	at org mapsforge map util LayerUtil getTilePositions(LayerUtil java:49)_x000D_
01 10 21:01:03 390 25112 25185 E AndroidRuntime: 	at org mapsforge map layer TileLayer draw(TileLayer java:72)_x000D_
01 10 21:01:03 390 25112 25185 E AndroidRuntime: 	at org mapsforge map layer LayerManager doWork(LayerManager java:95)_x000D_
01 10 21:01:03 390 25112 25185 E AndroidRuntime: 	at org mapsforge map util PausableThread run(PausableThread java:149)_x000D_
          beginning of main_x000D_
   _x000D_
_x000D_
One user confirmed  that the problem is gone if he changes the map to Google via c:geo Menu   Settings   Map _x000D_
I asked him  whether the problem occurs again once he reverts back to a OSM based map </t>
  </si>
  <si>
    <t>Ninjaman494-Hanji-Android-App-51</t>
  </si>
  <si>
    <t>Old favorites still exist on some users' phones</t>
  </si>
  <si>
    <t xml:space="preserve">The JSON format for favorites changed with 2 0  and any old 1 0 favorites were cleared when a user installed the 2 0 updated  However  it appears that some users still have old favorites on their phone  causing the app to crash with a serialization error _x000D_
_x000D_
 Bug Report (https:  console firebase google com u 0 project hanji bd63d crashlytics app android:com a494studios koreanconjugator issues 0185165be1ac11c3097e27afb14ffb9c time last seven days sessionEventKey 5FFC1F63003000016CED33623D2ACE22 1494883291151865622)_x000D_
_x000D_
We should also log shared preferences in Crashlytics reports to help use diagnose future issues </t>
  </si>
  <si>
    <t>Blankj-AndroidUtilCode-1424</t>
  </si>
  <si>
    <t>CrashUtils 部分崩溃收集不到吗</t>
  </si>
  <si>
    <t xml:space="preserve">      Bug_x000D_
_x000D_
 CrashUtils              APP        APP       _x000D_
                       _x000D_
_x000D_
  AndroidUtilCode     com blankj:utilcodex:1 30 5_x000D_
     Bug         TV _x000D_
      Android    Android 5 1 1_x000D_
_x000D_
       _x000D_
_x000D_
   java_x000D_
  CrashUtils init(new CrashUtils OnCrashListener()  _x000D_
             Override_x000D_
            public void onCrash(CrashUtils CrashInfo crashInfo)  _x000D_
                logger error(crashInfo toString()  crashInfo getThrowable()) _x000D_
                AppUtils relaunchApp(true) _x000D_
             _x000D_
         ) _x000D_
   _x000D_
_x000D_
       _x000D_
_x000D_
         </t>
  </si>
  <si>
    <t>MuntashirAkon-AppManager-223</t>
  </si>
  <si>
    <t>APP launch consumes very very long time or crash.</t>
  </si>
  <si>
    <t xml:space="preserve">  Device info  _x000D_
   Device: One Plus 7 Pro_x000D_
   OS Version: Android 9 H2OS _x000D_
   App Manager Version: v2 5 21 pre_x000D_
   Mode: root_x000D_
  _x000D_
  Additional context  _x000D_
APP launch consumes very very long time _x000D_
Most of the time ( 4 5) it will keep loading _x000D_
Few times  1 10  it will go to the main activety after 3s_x000D_
 or_x000D_
crash _x000D_
_x000D_
Almost no crashes during normal operation after loading _x000D_
</t>
  </si>
  <si>
    <t>AOF-Dev-MCinaBox-821</t>
  </si>
  <si>
    <t>Connection with servers</t>
  </si>
  <si>
    <t xml:space="preserve">I cant connect to servers using P30 pro  Just netty problem or  connection    and never connect  In single player  i cant move with standard mcpe Keys and if i install new from network i have crash if i click them  _x000D_
Android 10 _x000D_
</t>
  </si>
  <si>
    <t>TeamNewPipe-NewPipe-5394</t>
  </si>
  <si>
    <t>nextcloud-android-7812</t>
  </si>
  <si>
    <t>Opening video crashes Nextcloud App</t>
  </si>
  <si>
    <t xml:space="preserve">    Steps to reproduce_x000D_
Open video in nextcloud app_x000D_
_x000D_
    Expected behaviour_x000D_
Should play the video and not crash_x000D_
_x000D_
    Actual behaviour_x000D_
Crashes the nextcloud app_x000D_
_x000D_
             CAUSE OF ERROR             _x000D_
_x000D_
android app RemoteServiceException: Context startForegroundService() did not then call Service startForeground(): ServiceRecord 4354796 u0 com nextcloud client  media PlayerService _x000D_
	at android app ActivityThread H handleMessage(ActivityThread java:2039)_x000D_
	at android os Handler dispatchMessage(Handler java:107)_x000D_
	at android os Looper loop(Looper java:214)_x000D_
	at android app ActivityThread main(ActivityThread java:7697)_x000D_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30140090_x000D_
Build flavor: generic_x000D_
_x000D_
             DEVICE INFORMATION             _x000D_
Brand: OnePlus_x000D_
Device: OnePlus5T_x000D_
Model: ONEPLUS A5010_x000D_
Id: QKQ1 191014 012_x000D_
Product: OnePlus5T_x000D_
_x000D_
             FIRMWARE             _x000D_
SDK: 29_x000D_
Release: 10_x000D_
Incremental: 2010292059_x000D_
</t>
  </si>
  <si>
    <t>TeamNewPipe-NewPipe-5392</t>
  </si>
  <si>
    <t>Oooo</t>
  </si>
  <si>
    <t>cgeo-cgeo-9784</t>
  </si>
  <si>
    <t>Crash on startup on special device (Android car radio)</t>
  </si>
  <si>
    <t xml:space="preserve">From support mail  and an interesting topic (while a minor usecase):_x000D_
A user installed c:geo on this device: https:  www amazon de gp product B08D238V4P ref ask ql qh dp hza_x000D_
He reports  that it keeps crashing on startup _x000D_
_x000D_
I requested some more info:_x000D_
  Exact model name   model type_x000D_
  Whether he can transfer files from to the device_x000D_
_x000D_
Can someone tell me if we can retrieve a logfile (e g  via the method to configure logging via the dedicacted file)  I never used it and would need assistance _x000D_
</t>
  </si>
  <si>
    <t>PojavLauncherTeam-PojavLauncher-596</t>
  </si>
  <si>
    <t>Recently  everytime I load some world or any other world everything just fine    But after a minutes the game crash    This happen every single time I play and load to some world_x000D_
 _x000D_
Here the latestlog:_x000D_
          beggining with launcher debug_x000D_
Info: LWJGL3 directory:  lwjgl jemalloc jar  jsr305 jar  lwjgl opengl jar  lwjgl glfw classes jar  version  lwjgl jar  lwjgl openal jar  lwjgl tinyfd jar  lwjgl stb jar _x000D_
Architecture: arm64 aarch64_x000D_
Info: Custom Java arguments:   Xms512m  Xmx800m  XX: UseG1GC  XX: ParallelRefProcEnabled  XX:MaxGCPauseMillis 200  XX: UnlockExperimentalVMOptions  XX: AlwaysPreTouch  XX:G1NewSizePercent 30  XX:G1MaxNewSizePercent 40  XX:G1HeapRegionSize 8M  XX:G1ReservePercent 20  XX:G1HeapWastePercent 5  XX:G1MixedGCCountTarget 4  XX:InitiatingHeapOccupancyPercent 15  XX:G1MixedGCLiveThresholdPercent 90  XX:G1RSetUpdatingPauseTimePercent 5  XX:SurvivorRatio 32  XX: PerfDisableSharedMem  XX:MaxTenuringThreshold 1 _x000D_
          beginning of crash_x000D_
          beginning of main_x000D_
I jrelog  ( 5401): WARNING: linker: _x000D_
I jrelog  ( 5401): Warning:  _x000D_
I jrelog  ( 5401):  data data net kdt pojavlaunch jre runtime lib aarch64 jli libjli so_x000D_
I jrelog  ( 5401):   unused DT entry: _x000D_
I jrelog  ( 5401): DT RPATH_x000D_
I jrelog  ( 5401):  (type _x000D_
I jrelog  ( 5401): 0xf_x000D_
I jrelog  ( 5401):  arg _x000D_
I jrelog  ( 5401): 0x361_x000D_
I jrelog  ( 5401): ) (ignoring)_x000D_
I jrelog  ( 5401): _x000D_
I jrelog  ( 5401): WARNING: linker: _x000D_
I jrelog  ( 5401): Warning:  _x000D_
I jrelog  ( 5401):  data data net kdt pojavlaunch jre runtime lib aarch64 jli libjli so_x000D_
I jrelog  ( 5401):   has unsupported flags DT FLAGS 1 _x000D_
I jrelog  ( 5401): 0x81_x000D_
I jrelog  ( 5401):  (ignoring unsupported flags)_x000D_
I jrelog  ( 5401): _x000D_
S LaunchJVM( 5401): dlopen  data user 0 net kdt pojavlaunch jre runtime lib aarch64 jli libjli so success_x000D_
S LaunchJVM( 5401): dlopen  data user 0 net kdt pojavlaunch jre runtime lib aarch64 server libjvm so success_x000D_
I jrelog  ( 5401): WARNING: linker: _x000D_
I jrelog  ( 5401): Warning:  _x000D_
I jrelog  ( 5401):  data data net kdt pojavlaunch jre runtime lib aarch64 libverify so_x000D_
I jrelog  ( 5401):   unused DT entry: _x000D_
I jrelog  ( 5401): DT RPATH_x000D_
I jrelog  ( 5401):  (type _x000D_
I jrelog  ( 5401): 0xf_x000D_
I jrelog  ( 5401):  arg _x000D_
I jrelog  ( 5401): 0x450_x000D_
I jrelog  ( 5401): ) (ignoring)_x000D_
I jrelog  ( 5401): _x000D_
I jrelog  ( 5401): WARNING: linker: _x000D_
I jrelog  ( 5401): Warning:  _x000D_
I jrelog  ( 5401):  data data net kdt pojavlaunch jre runtime lib aarch64 libverify so_x000D_
I jrelog  ( 5401):   has unsupported flags DT FLAGS 1 _x000D_
I jrelog  ( 5401): 0x81_x000D_
I jrelog  ( 5401):  (ignoring unsupported flags)_x000D_
I jrelog  ( 5401): _x000D_
S LaunchJVM( 5401): dlopen  data user 0 net kdt pojavlaunch jre runtime lib aarch64 libverify so success_x000D_
I jrelog  ( 5401): WARNING: linker: _x000D_
I jrelog  ( 5401): Warning:  _x000D_
I jrelog  ( 5401):  data data net kdt pojavlaunch jre runtime lib aarch64 libjava so_x000D_
I jrelog  ( 5401):   unused DT entry: _x000D_
I jrelog  ( 5401): DT RPATH_x000D_
I jrelog  ( 5401):  (type _x000D_
I jrelog  ( 5401): 0xf_x000D_
I jrelog  ( 5401):  arg _x000D_
I jrelog  ( 5401): 0x33c0_x000D_
I jrelog  ( 5401): ) (ignoring)_x000D_
I jrelog  ( 5401): _x000D_
I jrelog  ( 5401): WARNING: linker: _x000D_
I jrelog  ( 5401): Warning:  _x000D_
I jrelog  ( 5401):  data data net kdt pojavlaunch jre runtime lib aarch64 libjava so_x000D_
I jrelog  ( 5401):   has unsupported flags DT FLAGS 1 _x000D_
I jrelog  ( 5401): 0x81_x000D_
I jrelog  ( 5401):  (ignoring unsupported flags)_x000D_
I jrelog  ( 5401): _x000D_
S LaunchJVM( 5401): dlopen  data user 0 net kdt pojavlaunch jre runtime lib aarch64 libjava so success_x000D_
read: unexpected EOF _x000D_
          beginning of system_x000D_
          beginning of crash_x000D_
          beginning of main_x000D_
I jrelog  ( 5401): WARNING: linker: _x000D_
I jrelog  ( 5401): Warning:  _x000D_
I jrelog  ( 5401):  data data net kdt pojavlaunch jre runtime lib aarch64 jli libjli so_x000D_
I jrelog  ( 5401):   unused DT entry: _x000D_
I jrelog  ( 5401): DT RPATH_x000D_
I jrelog  ( 5401):  (type _x000D_
I jrelog  ( 5401): 0xf_x000D_
I jrelog  ( 5401):  arg _x000D_
I jrelog  ( 5401): 0x361_x000D_
I jrelog  ( 5401): ) (ignoring)_x000D_
I jrelog  ( 5401): _x000D_
I jrelog  ( 5401): WARNING: linker: _x000D_
I jrelog  ( 5401): Warning:  _x000D_
I jrelog  ( 5401):  data data net kdt pojavlaunch jre runtime lib aarch64 jli libjli so_x000D_
I jrelog  ( 5401):   has unsupported flags DT FLAGS 1 _x000D_
I jrelog  ( 5401): 0x81_x000D_
I jrelog  ( 5401):  (ignoring unsupported flags)_x000D_
I jrelog  ( 5401): _x000D_
S LaunchJVM( 5401): dlopen  data user 0 net kdt pojavlaunch jre runtime lib aarch64 jli libjli so success_x000D_
S LaunchJVM( 5401): dlopen  data user 0 net kdt pojavlaunch jre runtime lib aarch64 server libjvm so success_x000D_
I jrelog  ( 5401): WARNING: linker: _x000D_
I jrelog  ( 5401): Warning:  _x000D_
I jrelog  ( 5401):  data data net kdt pojavlaunch jre runtime lib aarch64 libverify so_x000D_
I jrelog  ( 5401):   unused DT entry: _x000D_
I jrelog  ( 5401): DT RPATH_x000D_
I jrelog  ( 5401):  (type _x000D_
I jrelog  ( 5401): 0xf_x000D_
I jrelog  ( 5401):  arg _x000D_
I jrelog  ( 5401): 0x450_x000D_
I jrelog  ( 5401): ) (ignoring)_x000D_
I jrelog  ( 5401): _x000D_
I jrelog  ( 5401): WARNING: linker: _x000D_
I jrelog  ( 5401): Warning:  _x000D_
I jrelog  ( 5401):  data data net kdt pojavlaunch jre runtime lib aarch64 libverify so_x000D_
I jrelog  ( 5401):   has unsupported flags DT FLAGS 1 _x000D_
I jrelog  ( 5401): 0x81_x000D_
I jrelog  ( 5401):  (ignoring unsupported flags)_x000D_
I jrelog  ( 5401): _x000D_
S LaunchJVM( 5401): dlopen  data user 0 net kdt pojavlaunch jre runtime lib aarch64 libverify so success_x000D_
I jrelog  ( 5401): WARNING: linker: _x000D_
I jrelog  ( 5401): Warning:  _x000D_
I jrelog  ( 5401):  data data net kdt pojavlaunch jre runtime lib aarch64 libjava so_x000D_
I jrelog  ( 5401):   unused DT entry: _x000D_
I jrelog  ( 5401): DT RPATH_x000D_
I jrelog  ( 5401):  (type _x000D_
I jrelog  ( 5401): 0xf_x000D_
I jrelog  ( 5401):  arg _x000D_
I jrelog  ( 5401): 0x33c0_x000D_
I jrelog  ( 5401): ) (ignoring)_x000D_
I jrelog  ( 5401): _x000D_
I jrelog  ( 5401): WARNING: linker: _x000D_
I jrelog  ( 5401): Warning:  _x000D_
I jrelog  ( 5401):  data data net kdt pojavlaunch jre runtime lib aarch64 libjava so_x000D_
I jrelog  ( 5401):   has unsupported flags DT FLAGS 1 _x000D_
I jrelog  ( 5401): 0x81_x000D_
I jrelog  ( 5401):  (ignoring unsupported flags)_x000D_
I jrelog  ( 5401): _x000D_
S LaunchJVM( 5401): dlopen  data user 0 net kdt pojavlaunch jre runtime lib aarch64 libjava so success_x000D_
I jrelog  ( 5401): WARNING: linker: _x000D_
I jrelog  ( 5401): Warning:  _x000D_
I jrelog  ( 5401):  data data net kdt pojavlaunch jre runtime lib aarch64 libnet so_x000D_
I jrelog  ( 5401):   unused DT entry: _x000D_
I jrelog  ( 5401): DT RPATH_x000D_
I jrelog  ( 5401):  (type _x000D_
I jrelog  ( 5401): 0xf_x000D_
I jrelog  ( 5401):  arg _x000D_
I jrelog  ( 5401): 0x13b8_x000D_
I jrelog  ( 5401): ) (ignoring)_x000D_
I jrelog  ( 5401): _x000D_
I jrelog  ( 5401): WARNING: linker: _x000D_
I jrelog  ( 5401): Warning:  _x000D_
I jrelog  ( 5401):  data data net kdt pojavlaunch jre runtime lib aarch64 libnet so_x000D_
I jrelog  ( 5401):   has unsupported flags DT FLAGS 1 _x000D_
I jrelog  ( 5401): 0x81_x000D_
I jrelog  ( 5401):  (ignoring unsupported flags)_x000D_
I jrelog  ( 5401): _x000D_
S LaunchJVM( 5401): dlopen  data user 0 net kdt pojavlaunch jre runtime lib aarch64 libnet so success_x000D_
I jrelog  ( 5401): WARNING: linker: _x000D_
I jrelog  ( 5401): Warning:  _x000D_
I jrelog  ( 5401):  data data net kdt pojavlaunch jre runtime lib aarch64 libnio so_x000D_
I jrelog  ( 5401):   unused DT entry: _x000D_
I jrelog  ( 5401): DT RPATH_x000D_
I jrelog  ( 5401):  (type _x000D_
I jrelog  ( 5401): 0xf_x000D_
I jrelog  ( 5401):  arg _x000D_
I jrelog  ( 5401): 0x2196_x000D_
I jrelog  ( 5401): ) (ignoring)_x000D_
I jrelog  ( 5401): _x000D_
I jrelog  ( 5401): WARNING: linker: _x000D_
I jrelog  ( 5401): Warning:  _x000D_
I jrelog  ( 5401):  data data net kdt pojavlaunch jre runtime lib aarch64 libnio so_x000D_
I jrelog  ( 5401):   has unsupported flags DT FLAGS 1 _x000D_
I jrelog  ( 5401): 0x81_x000D_
I jrelog  ( 5401):  (ignoring unsupported flags)_x000D_
I jrelog  ( 5401): _x000D_
S LaunchJVM( 5401): dlopen  data user 0 net kdt pojavlaunch jre runtime lib aarch64 libnio so success_x000D_
I jrelog  ( 5401): WARNING: linker: _x000D_
I jrelog  ( 5401): Warning:  _x000D_
I jrelog  ( 5401):  data data net kdt pojavlaunch jre runtime lib aarch64 libawt so_x000D_
I jrelog  ( 5401):   unused DT entry: _x000D_
I jrelog  ( 5401): DT RPATH_x000D_
I jrelog  ( 5401):  (type _x000D_
I jrelog  ( 5401): 0xf_x000D_
I jrelog  ( 5401):  arg _x000D_
I jrelog  ( 5401): 0x6a46_x000D_
I jrelog  ( 5401): ) (ignoring)_x000D_
I jrelog  ( 5401): _x000D_
I jrelog  ( 5401): WARNING: linker: _x000D_
I jrelog  ( 5401): Warning:  _x000D_
I jrelog  ( 5401):  data data net kdt pojavlaunch jre runtime lib aarch64 libawt so_x000D_
I jrelog  ( 5401):   has unsupported flags DT FLAGS 1 _x000D_
I jrelog  ( 5401): 0x81_x000D_
I jrelog  ( 5401):  (ignoring unsupported flags)_x000D_
I jrelog  ( 5401): _x000D_
S LaunchJVM( 5401): dlopen  data user 0 net kdt pojavlaunch jre runtime lib aarch64 libawt so success_x000D_
I jrelog  ( 5401): WARNING: linker: _x000D_
I jrelog  ( 5401): Warning:  _x000D_
I jrelog  ( 5401):  data data net kdt pojavlaunch jre runtime lib aarch64 libawt headless so_x000D_
I jrelog  ( 5401):   unused DT entry: _x000D_
I jrelog  ( 5401): DT RPATH_x000D_
I jrelog  ( 5401):  (type _x000D_
I jrelog  ( 5401): 0xf_x000D_
I jrelog  ( 5401):  arg _x000D_
I jrelog  ( 5401): 0x4d9_x000D_
I jrelog  ( 5401): ) (ignoring)_x000D_
I jrelog  ( 5401): _x000D_
I jrelog  ( 5401): WARNING: linker: _x000D_
I jrelog  ( 5401): Warning:  _x000D_
I jrelog  ( 5401):  data data net kdt pojavlaunch jre runtime lib aarch64 libawt headless so_x000D_
I jrelog  ( 5401):   has unsupported flags DT FLAGS 1 _x000D_
I jrelog  ( 5401): 0x81_x000D_
I jrelog  ( 5401):  (ignoring unsupported flags)_x000D_
I jrelog  ( 5401): _x000D_
S LaunchJVM( 5401): dlopen  data user 0 net kdt pojavlaunch jre runtime lib aarch64 libawt headless so success_x000D_
S LaunchJVM( 5401): dlopen  data user 0 net kdt pojavlaunch jre runtime lib aarch64 libfreetype so success_x000D_
I jrelog  ( 5401): WARNING: linker: _x000D_
I jrelog  ( 5401): Warning:  _x000D_
I jrelog  ( 5401):  data data net kdt pojavlaunch jre runtime lib aarch64 libfontmanager so_x000D_
I jrelog  ( 5401):   unused DT entry: _x000D_
I jrelog  ( 5401): DT RPATH_x000D_
I jrelog  ( 5401):  (type _x000D_
I jrelog  ( 5401): 0xf_x000D_
I jrelog  ( 5401):  arg _x000D_
I jrelog  ( 5401): 0xda0_x000D_
I jrelog  ( 5401): ) (ignoring)_x000D_
I jrelog  ( 5401): _x000D_
I jrelog  ( 5401): WARNING: linker: _x000D_
I jrelog  ( 5401): Warning:  _x000D_
I jrelog  ( 5401):  data data net kdt pojavlaunch jre runtime lib aarch64 libfontmanager so_x000D_
I jrelog  ( 5401):   has unsupported flags DT FLAGS 1 _x000D_
I jrelog  ( 5401): 0x81_x000D_
I jrelog  ( 5401):  (ignoring unsupported flags)_x000D_
I jrelog  ( 5401): _x000D_
S LaunchJVM( 5401): dlopen  data user 0 net kdt pojavlaunch jre runtime lib aarch64 libfontmanager so success_x000D_
S LaunchJVM( 5401): dlopen  data app net kdt pojavlaunch d4vI5Cf3J2ytWpUn95Ndqg   lib arm64 libopenal so success_x000D_
S LaunchJVM( 5401): dlopen  data app net kdt pojavlaunch d4vI5Cf3J2ytWpUn95Ndqg   lib arm64 libgl04es so success_x000D_
S LaunchJVM( 5401): Done processing args_x000D_
S LaunchJVM( 5401): Found JLI lib_x000D_
S LaunchJVM( 5401): Calling JLI Launch_x000D_
I jrelog  ( 5401): OpenJDK 64 Bit Server VM warning: _x000D_
I jrelog  ( 5401): No monotonic clock was available   timed services may be adversely affected if the time of day clock changes_x000D_
I jrelog  ( 5401): _x000D_
read: unexpected EOF _x000D_
          beginning of system_x000D_
          beginning of crash_x000D_
          beginning of main_x000D_
I jrelog  ( 5401): WARNING: linker: _x000D_
I jrelog  ( 5401): Warning:  _x000D_
I jrelog  ( 5401):  data data net kdt pojavlaunch jre runtime lib aarch64 jli libjli so_x000D_
I jrelog  ( 5401):   unused DT entry: _x000D_
I jrelog  ( 5401): DT RPATH_x000D_
I jrelog  ( 5401):  (type _x000D_
I jrelog  ( 5401): 0xf_x000D_
I jrelog  ( 5401):  arg _x000D_
I jrelog  ( 5401): 0x361_x000D_
I jrelog  ( 5401): ) (ignoring)_x000D_
I jrelog  ( 5401): _x000D_
I jrelog  ( 5401): WARNING: linker: _x000D_
I jrelog  ( 5401): Warning:  _x000D_
I jrelog  ( 5401):  data data net kdt pojavlaunch jre runtime lib aarch64 jli libjli so_x000D_
I jrelog  ( 5401):   has unsupported flags DT FLAGS 1 _x000D_
I jrelog  ( 5401): 0x81_x000D_
I jrelog  ( 5401):  (ignoring unsupported flags)_x000D_
I jrelog  ( 5401): _x000D_
S LaunchJVM( 5401): dlopen  data user 0 net kdt pojavlaunch jre runtime lib aarch64 jli libjli so success_x000D_
S LaunchJVM( 5401): dlopen  data user 0 net kdt pojavlaunch jre runtime lib aarch64 server libjvm so success_x000D_
I jrelog  ( 5401): WARNING: linker: _x000D_
I jrelog  ( 5401): Warning:  _x000D_
I jrelog  ( 5401):  data data net kdt pojavlaunch jre runtime lib aarch64 libverify so_x000D_
I jrelog  ( 5401):   unused DT entry: _x000D_
I jrelog  ( 5401): DT RPATH_x000D_
I jrelog  ( 5401):  (type _x000D_
I jrelog  ( 5401): 0xf_x000D_
I jrelog  ( 5401):  arg _x000D_
I jrelog  ( 5401): 0x450_x000D_
I jrelog  ( 5401): ) (ignoring)_x000D_
I jrelog  ( 5401): _x000D_
I jrelog  ( 5401): WARNING: linker: _x000D_
I jrelog  ( 5401): Warning:  _x000D_
I jrelog  ( 5401):  data data net kdt pojavlaunch jre runtime lib aarch64 libverify so_x000D_
I jrelog  ( 5401):   has unsupported flags DT FLAGS 1 _x000D_
I jrelog  ( 5401): 0x81_x000D_
I jrelog  ( 5401):  (ignoring unsupported flags)_x000D_
I jrelog  ( 5401): _x000D_
S LaunchJVM( 5401): dlopen  data user 0 net kdt pojavlaunch jre runtime lib aarch64 libverify so success_x000D_
I jrelog  ( 5401): WARNING: linker: _x000D_
I jrelog  ( 5401): Warning:  _x000D_
I jrelog  ( 5401):  data data net kdt pojavlaunch jre runtime lib aarch64 libjava so_x000D_
I jrelog  ( 5401):   unused DT entry: _x000D_
I jrelog  ( 5401): DT RPATH_x000D_
I jrelog  ( 5401):  (type _x000D_
I jrelog  ( 5401): 0xf_x000D_
I jrelog  ( 5401):  arg _x000D_
I jrelog  ( 5401): 0x33c0_x000D_
I jrelog  ( 5401): ) (ignoring)_x000D_
I jrelog  ( 5401): _x000D_
I jrelog  ( 5401): WARNING: linker: _x000D_
I jrelog  ( 5401): Warning:  _x000D_
I jrelog  ( 5401):  data data net kdt pojavlaunch jre runtime lib aarch64 libjava so_x000D_
I jrelog  ( 5401):   has unsupported flags DT FLAGS 1 _x000D_
I jrelog  ( 5401): 0x81_x000D_
I jrelog  ( 5401):  (ignoring unsupported flags)_x000D_
I jrelog  ( 5401): _x000D_
S LaunchJVM( 5401): dlopen  data user 0 net kdt pojavlaunch jre runtime lib aarch64 libjava so success_x000D_
I jrelog  ( 5401): WARNING: linker: _x000D_
I jrelog  ( 5401): Warning:  _x000D_
I jrelog  ( 5401):  data data net kdt pojavlaunch jre runtime lib aarch64 libnet so_x000D_
I jrelog  ( 5401):   unused DT entry: _x000D_
I jrelog  ( 5401): DT RPATH_x000D_
I jrelog  ( 5401):  (type _x000D_
I jrelog  ( 5401): 0xf_x000D_
I jrelog  ( 5401):  arg _x000D_
I jrelog  ( 5401): 0x13b8_x000D_
I jrelog  ( 5401): ) (ignoring)_x000D_
I jrelog  ( 5401): _x000D_
I jrelog  ( 5401): WARNING: linker: _x000D_
I jrelog  ( 5401): Warning:  _x000D_
I jrelog  ( 5401):  data data net kdt pojavlaunch jre runtime lib aarch64 libnet so_x000D_
I jrelog  ( 5401):   has unsupported flags DT FLAGS 1 _x000D_
I jrelog  ( 5401): 0x81_x000D_
I jrelog  ( 5401):  (ignoring unsupported flags)_x000D_
I jrelog  ( 5401): _x000D_
S LaunchJVM( 5401): dlopen  data user 0 net kdt pojavlaunch jre runtime lib aarch64 libnet so success_x000D_
I jrelog  ( 5401): WARNING: linker: _x000D_
I jrelog  ( 5401): Warning:  _x000D_
I jrelog  ( 5401):  data data net kdt pojavlaunch jre runtime lib aarch64 libnio so_x000D_
I jrelog  ( 5401):   unused DT entry: _x000D_
I jrelog  ( 5401): DT RPATH_x000D_
I jrelog  ( 5401):  (type _x000D_
I jrelog  ( 5401): 0xf_x000D_
I jrelog  ( 5401):  arg _x000D_
I jrelog  ( 5401): 0x2196_x000D_
I jrelog  ( 5401): ) (ignoring)_x000D_
I jrelog  ( 5401): _x000D_
I jrelog  ( 5401): WARNING: linker: _x000D_
I jrelog  ( 5401): Warning:  _x000D_
I jrelog  ( 5401):  data data net kdt pojavlaunch jre runtime lib aarch64 libnio so_x000D_
I jrelog  ( 5401):   has unsupported flags DT FLAGS 1 _x000D_
I jrelog  ( 5401): 0x81_x000D_
I jrelog  ( 5401):  (ignoring unsupported flags)_x000D_
I jrelog  ( 5401): _x000D_
S LaunchJVM( 5401): dlopen  data user 0 net kdt pojavlaunch jre runtime lib aarch64 libnio so success_x000D_
I jrelog  ( 5401): WARNING: linker: _x000D_
I jrelog  ( 5401): Warning:  _x000D_
I jrelog  ( 5401):  data data net kdt pojavlaunch jre runtime lib aarch64 libawt so_x000D_
I jrelog  ( 5401):   unused DT entry: _x000D_
I jrelog  ( 5401): DT RPATH_x000D_
I jrelog  ( 5401):  (type _x000D_
I jrelog  ( 5401): 0xf_x000D_
I jrelog  ( 5401):  arg _x000D_
I jrelog  ( 5401): 0x6a46_x000D_
I jrelog  ( 5401): ) (ignoring)_x000D_
I jrelog  ( 5401): _x000D_
I jrelog  ( 5401): WARNING: linker: _x000D_
I jrelog  ( 5401): Warning:  _x000D_
I jrelog  ( 5401):  data data net kdt pojavlaunch jre runtime lib aarch64 libawt so_x000D_
I jrelog  ( 5401):   has unsupported flags DT FLAGS 1 _x000D_
I jrelog  ( 5401): 0x81_x000D_
I jrelog  ( 5401):  (ignoring unsupported flags)_x000D_
I jrelog  ( 5401): _x000D_
S LaunchJVM( 5401): dlopen  data user 0 net kdt pojavlaunch jre runtime lib aarch64 libawt so success_x000D_
I jrelog  ( 5401): WARNING: linker: _x000D_
I jrelog  ( 5401): Warning:  _x000D_
I jrelog  ( 5401):  data data net kdt pojavlaunch jre runtime lib aarch64 libawt headless so_x000D_
I jrelog  ( 5401):   unused DT entry: _x000D_
I jrelog  ( 5401): DT RPATH_x000D_
I jrelog  ( 5401):  (type _x000D_
I jrelog  ( 5401): 0xf_x000D_
I jrelog  ( 5401):  arg _x000D_
I jrelog  ( 5401): 0x4d9_x000D_
I jrelog  ( 5401): ) (ignoring)_x000D_
I jrelog  ( 5401): _x000D_
I jrelog  ( 5401): WARNING: linker: _x000D_
I jrelog  ( 5401): Warning:  _x000D_
I jrelog  ( 5401):  data data net kdt pojavlaunch jre runtime lib aarch64 libawt headless so_x000D_
I jrelog  ( 5401):   has unsupported flags DT FLAGS 1 _x000D_
I jrelog  ( 5401): 0x81_x000D_
I jrelog  ( 5401):  (ignoring unsupported flags)_x000D_
I jrelog  ( 5401): _x000D_
S LaunchJVM( 5401): dlopen  data user 0 net kdt pojavlaunch jre runtime lib aarch64 libawt headless so success_x000D_
S LaunchJVM( 5401): dlopen  data user 0 net kdt pojavlaunch jre runtime lib aarch64 libfreetype so success_x000D_
I jrelog  ( 5401): WARNING: linker: _x000D_
I jrelog  ( 5401): Warning:  _x000D_
I jrelog  ( 5401):  data data net kdt pojavlaunch jre runtime lib aarch64 libfontmanager so_x000D_
I jrelog  ( 5401):   unused DT entry: _x000D_
I jrelog  ( 5401): DT RPATH_x000D_
I jrelog  ( 5401):  (type _x000D_
I jrelog  ( 5401): 0xf_x000D_
I jrelog  ( 5401):  arg _x000D_
I jrelog  ( 5401): 0xda0_x000D_
I jrelog  ( 5401): ) (ignoring)_x000D_
I jrelog  ( 5401): _x000D_
I jrelog  ( 5401): WARNING: linker: _x000D_
I jrelog  ( 5401): Warning:  _x000D_
I jrelog  ( 5401):  data data net kdt pojavlaunch jre runtime lib aarch64 libfontmanager so_x000D_
I jrelog  ( 5401):   has unsupported flags DT FLAGS 1 _x000D_
I jrelog  ( 5401): 0x81_x000D_
I jrelog  ( 5401):  (ignoring unsupported flags)_x000D_
I jrelog  ( 5401): _x000D_
S LaunchJVM( 5401): dlopen  data user 0 net kdt pojavlaunch jre runtime lib aarch64 libfontmanager so success_x000D_
S LaunchJVM( 5401): dlopen  data app net kdt pojavlaunch d4vI5Cf3J2ytWpUn95Ndqg   lib arm64 libopenal so success_x000D_
S LaunchJVM( 5401): dlopen  data app net kdt pojavlaunch d4vI5Cf3J2ytWpUn95Ndqg   lib arm64 libgl04es so success_x000D_
S LaunchJVM( 5401): Done processing args_x000D_
S LaunchJVM( 5401): Found JLI lib_x000D_
S LaunchJVM( 5401): Calling JLI Launch_x000D_
I jrelog  ( 5401): OpenJDK 64 Bit Server VM warning: _x000D_
I jrelog  ( 5401): No monotonic clock was available   timed services may be adversely affected if the time of day clock changes_x000D_
I jrelog  ( 5401): _x000D_
I jrelog  ( 5401): WARNING: linker: _x000D_
I jrelog  ( 5401): Warning:  _x000D_
I jrelog  ( 5401):  data data net kdt pojavlaunch jre runtime lib aarch64 libzip so_x000D_
I jrelog  ( 5401):   unused DT entry: _x000D_
I jrelog  ( 5401): DT RPATH_x000D_
I jrelog  ( 5401):  (type _x000D_
I jrelog  ( 5401): 0xf_x000D_
I jrelog  ( 5401):  arg _x000D_
I jrelog  ( 5401): 0x8ff_x000D_
I jrelog  ( 5401): ) (ignoring)_x000D_
I jrelog  ( 5401): _x000D_
I jrelog  ( 5401): WARNING: linker: _x000D_
I jrelog  ( 5401): Warning:  _x000D_
I jrelog  ( 5401):  data data net kdt pojavlaunch jre runtime lib aarch64 libzip so_x000D_
I jrelog  ( 5401):   has unsupported flags DT FLAGS 1 _x000D_
I jrelog  ( 5401): 0x81_x000D_
I jrelog  ( 5401):  (ignoring unsupported flags)_x000D_
I jrelog  ( 5401): _x000D_
read: unexpected EOF _x000D_
          beginning of system_x000D_
          beginning of crash_x000D_
          beginning of main_x000D_
I jrelog  ( 5401): WARNING: linker: _x000D_
I jrelog  ( 5401): Warning:  _x000D_
I jrelog  ( 5401):  data data net kdt pojavlaunch jre runtime lib aarch64 jli libjli so_x000D_
I jrelog  ( 5401):   unused DT entry: _x000D_
I jrelog  ( 5401): DT RPATH_x000D_
I jrelog  ( 5401):  (type _x000D_
I jrelog  ( 5401): 0xf_x000D_
I jrelog  ( 5401):  arg _x000D_
I jrelog  ( 5401): 0x361_x000D_
I jrelog  ( 5401): ) (ignoring)_x000D_
I jrelog  ( 5401): _x000D_
I jrelog  ( 5401): WARNING: linker: _x000D_
I jrelog  ( 5401): Warning:  _x000D_
I jrelog  ( 5401):  data data net kdt pojavlaunch jre runtime lib aarch64 jli libjli so_x000D_
I jrelog  ( 5401):   has unsupported flags DT FLAGS 1 _x000D_
I jrelog  ( 5401): 0x81_x000D_
I jrelog  ( 5401):  (ignoring unsupported flags)_x000D_
I jrelog  ( 5401): _x000D_
S LaunchJVM( 5401): dlopen  data user 0 net kdt pojavlaunch jre runtime lib aarch64 jli libjli so success_x000D_
S LaunchJVM( 5401): dlopen  data user 0 net kdt pojavlaunch jre runtime lib aarch64 server libjvm so success_x000D_
I jrelog  ( 5401): WARNING: linker: _x000D_
I jrelog  ( 5401): Warning:  _x000D_
I jrelog  ( 5401):  data data net kdt pojavlaunch jre runtime lib aarch64 libverify so_x000D_
I jrelog  ( 5401):   unused DT entry: _x000D_
I jrelog  ( 5401): DT RPATH_x000D_
I jrelog  ( 5401):  (type _x000D_
I jrelog  ( 5401): 0xf_x000D_
I jrelog  ( 5401):  arg _x000D_
I jrelog  ( 5401): 0x450_x000D_
I jrelog  ( 5401): ) (ignoring)_x000D_
I jrelog  ( 5401): _x000D_
I jrelog  ( 5401): WARNING: linker: _x000D_
I jrelog  ( 5401): Warning:  _x000D_
I jrelog  ( 5401):  data data net kdt pojavlaunch jre runtime lib aarch64 libverify so_x000D_
I jrelog  ( 5401):   has unsupported flags DT FLAGS 1 _x000D_
I jrelog  ( 5401): 0x81_x000D_
I jrelog  ( 5401):  (ignoring unsupported flags)_x000D_
I jrelog  ( 5401): _x000D_
S LaunchJVM( 5401): dlopen  data user 0 net kdt pojavlaunch jre runtime lib aarch64 libverify so success_x000D_
I jrelog  ( 5401): WARNING: linker: _x000D_
I jrelog  ( 5401): Warning:  _x000D_
I jrelog  ( 5401):  data data net kdt pojavlaunch jre runtime lib aarch64 libjava so_x000D_
I jrelog  ( 5401):   unused DT entry: _x000D_
I jrelog  ( 5401): DT RPATH_x000D_
I jrelog  ( 5401):  (type _x000D_
I jrelog  ( 5401): 0xf_x000D_
I jrelog  ( 5401):  arg _x000D_
I jrelog  ( 5401): 0x33c0_x000D_
I jrelog  ( 5401): ) (ignoring)_x000D_
I jrelog  ( 5401): _x000D_
I jrelog  ( 5401): WARNING: linker: _x000D_
I jrelog  ( 5401): Warning:  _x000D_
I jrelog  ( 5401):  data data net kdt pojavlaunch jre runtime lib aarch64 libjava so_x000D_
I jrelog  ( 5401):   has unsupported flags DT FLAGS 1 _x000D_
I jrelog  ( 5401): 0x81_x000D_
I jrelog  ( 5401):  (ignoring unsupported flags)_x000D_
I jrelog  ( 5401): _x000D_
S LaunchJVM( 5401): dlopen  data user 0 net kdt pojavlaunch jre runtime lib aarch64 libjava so success_x000D_
I jrelog  ( 5401): WARNING: linker: _x000D_
I jrelog  ( 5401): Warning:  _x000D_
I jrelog  ( 5401):  data data net kdt pojavlaunch jre runtime lib aarch64 libnet so_x000D_
I jrelog  ( 5401):   unused DT entry: _x000D_
I jrelog  ( 5401): DT RPATH_x000D_
I jrelog  ( 5401):  (type _x000D_
I jrelog  ( 5401): 0xf_x000D_
I jrelog  ( 5401):  arg _x000D_
I jrelog  ( 5401): 0x13b8_x000D_
I jrelog  ( 5401): ) (ignoring)_x000D_
I jrelog  ( 5401): _x000D_
I jrelog  ( 5401): WARNING: linker: _x000D_
I jrelog  ( 5401): Warning:  _x000D_
I jrelog  ( 5401):  data data net kdt pojavlaunch jre runtime lib aarch64 libnet so_x000D_
I jrelog  ( 5401):   has unsupported flags DT FLAGS 1 _x000D_
I jrelog  ( 5401): 0x81_x000D_
I jrelog  ( 5401):  (ignoring unsupported flags)_x000D_
I jrelog  ( 5401): _x000D_
S LaunchJVM( 5401): dlopen  data user 0 net kdt pojavlaunch jre runtime lib aarch64 libnet so success_x000D_
I jrelog  ( 5401): WARNING: linker: _x000D_
I jrelog  ( 5401): Warning:  _x000D_
I jrelog  ( 5401):  data data net kdt pojavlaunch jre runtime lib aarch64 libnio so_x000D_
I jrelog  ( 5401):   unused DT entry: _x000D_
I jrelog  ( 5401): DT RPATH_x000D_
I jrelog  ( 5401):  (type _x000D_
I jrelog  ( 5401): 0xf_x000D_
I jrelog  ( 5401):  arg _x000D_
I jrelog  ( 5401): 0x2196_x000D_
I jrelog  ( 5401): ) (ignoring)_x000D_
I jrelog  ( 5401): _x000D_
I jrelog  ( 5401): WARNING: linker: _x000D_
I jrelog  ( 5401): Warning:  _x000D_
I jrelog  ( 5401):  data data net kdt pojavlaunch jre runtime lib aarch64 libnio so_x000D_
I jrelog  ( 5401):   has unsupported flags DT FLAGS 1 _x000D_
I jrelog  ( 5401): 0x81_x000D_
I jrelog  ( 5401):  (ignoring unsupported flags)_x000D_
I jrelog  ( 5401): _x000D_
S LaunchJVM( 5401): dlopen  data user 0 net kdt pojavlaunch jre runtime lib aarch64 libnio so success_x000D_
I jrelog  ( 5401): WARNING: linker: _x000D_
I jrelog  ( 5401): Warning:  _x000D_
I jrelog  ( 5401):  data data net kdt pojavlaunch jre runtime lib aarch64 libawt so_x000D_
I jrelog  ( 5401):   unused DT entry: _x000D_
I jrelog  ( 5401): DT RPATH_x000D_
I jrelog  ( 5401):  (type _x000D_
I jrelog  ( 5401): 0xf_x000D_
I jrelog  ( 5401):  arg _x000D_
I jrelog  ( 5401): 0x6a46_x000D_
I jrelog  ( 5401): ) (ignoring)_x000D_
I jrelog  ( 5401): _x000D_
I jrelog  ( 5401): WARNING: linker: _x000D_
I jrelog  ( 5401): Warning:  _x000D_
I jrelog  ( 5401):  data data net kdt pojavlaunch jre runtime lib aarch64 libawt so_x000D_
I jrelog  ( 5401):   has unsupported flags DT FLAGS 1 _x000D_
I jrelog  ( 5401): 0x81_x000D_
I jrelog  ( 5401):  (ignoring unsupported flags)_x000D_
I jrelog  ( 5401): _x000D_
S LaunchJVM( 5401): dlopen  data user 0 net kdt pojavlaunch jre runtime lib aarch64 libawt so success_x000D_
I jrelog  ( 5401): WARNING: linker: _x000D_
I jrelog  ( 5401): Warning:  _x000D_
I jrelog  ( 5401):  data data net kdt pojavlaunch jre runtime lib aarch64 libawt headless so_x000D_
I jrelog  ( 5401):   unused DT entry: _x000D_
I jrelog  ( 5401): DT RPATH_x000D_
I jrelog  ( 5401):  (type _x000D_
I jrelog  ( 5401): 0xf_x000D_
I jrelog  ( 5401):  arg _x000D_
I jrelog  ( 5401): 0x4d9_x000D_
I jrelog  ( 5401): ) (ignoring)_x000D_
I jrelog  ( 5401): _x000D_
I jrelog  ( 5401): WARNING: linker: _x000D_
I jrelog  ( 5401): Warning:  _x000D_
I jrelog  ( 5401):  data data net kdt pojavlaunch jre runtime lib aarch64 libawt headless so_x000D_
I jrelog  ( 5401):   has unsupported flags DT FLAGS 1 _x000D_
I jrelog  ( 5401): 0x81_x000D_
I jrelog  ( 5401):  (ignoring unsupported flags)_x000D_
I jrelog  ( 5401): _x000D_
S LaunchJVM( 5401): dlopen  data user 0 net kdt pojavlaunch jre runtime lib aarch64 libawt headless so success_x000D_
S LaunchJVM( 5401): dlopen  data user 0 net kdt pojavlaunch jre runtime lib aarch64 libfreetype so success_x000D_
I jrelog  ( 5401): WARNING: linker: _x000D_
I jrelog  ( 5401): Warning:  _x000D_
I jrelog  ( 5401):  data data net kdt pojavlaunch jre runtime lib aarch64 libfontmanager so_x000D_
I jrelog  ( 5401):   unused DT entry: _x000D_
I jrelog  ( 5401): DT RPATH_x000D_
I jrelog  ( 5401):  (type _x000D_
I jrelog  ( 5401): 0xf_x000D_
I jrelog  ( 5401):  arg _x000D_
I jrelog  ( 5401): 0xda0_x000D_
I jrelog  ( 5401): ) (ignoring)_x000D_
I jrelog  ( 5401): _x000D_
I jrelog  ( 5401): WARNING: linker: _x000D_
I jrelog  ( 5401): Warning:  _x000D_
I jrelog  ( 5401):  data data net kdt pojavlaunch jre runtime lib aarch64 libfontmanager so_x000D_
I jrelog  ( 5401):   has unsupported flags DT FLAGS 1 _x000D_
I jrelog  ( 5401): 0x81_x000D_
I jrelog  ( 5401):  (ignoring unsupported flags)_x000D_
I jrelog  ( 5401): _x000D_
S LaunchJVM( 5401): dlopen  data user 0 net kdt pojavlaunch jre runtime lib aarch64 libfontmanager so success_x000D_
S LaunchJVM( 5401): dlopen  data app net kdt pojavlaunch d4vI5Cf3J2ytWpUn95Ndqg   lib arm64 libopenal so success_x000D_
S LaunchJVM( 5401): dlopen  data app net kdt pojavlaunch d4vI5Cf3J2ytWpUn95Ndqg   lib arm64 libgl04es so success_x000D_
S LaunchJVM( 5401): Done processing args_x000D_
S LaunchJVM( 5401): Found JLI lib_x000D_
S LaunchJVM( 5401): Calling JLI Launch_x000D_
I jrelog  ( 5401): OpenJDK 64 Bit Server VM warning: _x000D_
I jrelog  ( 5401): No monotonic clock was available   timed services may be adversely affected if the time of day clock changes_x000D_
I jrelog  ( 5401): _x000D_
I jrelog  ( 5401): WARNING: linker: _x000D_
I jrelog  ( 5401): Warning:  _x000D_
I jrelog  ( 5401):  data data net kdt pojavlaunch jre runtime lib aarch64 libzip so_x000D_
I jrelog  ( 5401):   unused DT entry: _x000D_
I jrelog  ( 5401): DT RPATH_x000D_
I jrelog  ( 5401):  (type _x000D_
I jrelog  ( 5401): 0xf_x000D_
I jrelog  ( 5401):  arg _x000D_
I jrelog  ( 5401): 0x8ff_x000D_
I jrelog  ( 5401): ) (ignoring)_x000D_
I jrelog  ( 5401): _x000D_
I jrelog  ( 5401): WARNING: linker: _x000D_
I jrelog  ( 5401): Warning:  _x000D_
I jrelog  ( 5401):  data data net kdt pojavlaunch jre runtime lib aarch64 libzip so_x000D_
I jrelog  ( 5401):   has unsupported flags DT FLAGS 1 _x000D_
I jrelog  ( 5401): 0x81_x000D_
I jrelog  ( 5401):  (ignoring unsupported flags)_x000D_
I jrelog  ( 5401): _x000D_
read: unexpected EOF _x000D_
          beginning of system_x000D_
          beginning of crash_x000D_
          beginning of main_x000D_
I jrelog  ( 5401): WARNING: linker: _x000D_
I jrelog  ( 5401): Warning:  _x000D_
I jrelog  ( 5401):  data data net kdt pojavlaunch jre runtime lib aarch64 jli libjli so_x000D_
I jrelog  ( 5401):   unused DT entry: _x000D_
I jrelog  ( 5401): DT RPATH_x000D_
I jrelog  ( 5401):  (type _x000D_
I jrelog  ( 5401): 0xf_x000D_
I jrelog  ( 5401):  arg _x000D_
I jrelog  ( 5401): 0x361_x000D_
I jrelog  ( 5401): ) (ignoring)_x000D_
I jrelog  ( 5401): _x000D_
I jrelog  ( 5401): WARNING: linker: _x000D_
I jrelog  ( 5401): Warning:  _x000D_
I jrelog  ( 5401):  data data net kdt pojavlaunch jre runtime lib aarch64 jli libjli so_x000D_
I jrelog  ( 5401):   has unsupported flags DT FLAGS 1 _x000D_
I jrelog  ( 5401): 0x81_x000D_
I jrelog  ( 5401):  (ignoring unsupported flags)_x000D_
I jrelog  ( 5401): _x000D_
S LaunchJVM( 5401): dlopen  data user 0 net kdt pojavlaunch jre runtime lib aarch64 jli libjli so success_x000D_
S LaunchJVM( 5401): dlopen  data user 0 net kdt pojavlaunch jre runtime lib aarch64 server libjvm so success_x000D_
I jrelog  ( 5401): WARNING: linker: _x000D_
I jrelog  ( 5401): Warning:  _x000D_
I jrelog  ( 5401):  data data net kdt pojavlaunch jre runtime lib aarch64 libverify so_x000D_
I jrelog  ( 5401):   unused DT entry: _x000D_
I jrelog  ( 5401): DT RPATH_x000D_
I jrelog  ( 5401):  (type _x000D_
I jrelog  ( 5401): 0xf_x000D_
I jrelog  ( 5401):  arg _x000D_
I jrelog  ( 5401): 0x450_x000D_
I jrelog  ( 5401): ) (ignoring)_x000D_
I jrelog  ( 5401): _x000D_
I jrelog  ( 5401): WARNING: linker: _x000D_
I jrelog  ( 5401): Warning:  _x000D_
I jrelog  ( 5401):  data data net kdt pojavlaunch jre runtime lib aarch64 libverify so_x000D_
I jrelog  ( 5401):   has unsupported flags DT FLAGS 1 _x000D_
I jrelog  ( 5401): 0x81_x000D_
I jrelog  ( 5401):  (ignoring unsupported flags)_x000D_
I jrelog  ( 5401): _x000D_
S LaunchJVM( 5401): dlopen  data user 0 net kdt pojavlaunch jre runtime lib aarch64 libverify so success_x000D_
I jrelog  ( 5401): WARNING: linker: _x000D_
I jrelog  ( 5401): Warning:  _x000D_
I jrelog  ( 5401):  data data net kdt pojavlaunch jre runtime lib aarch64 libjava so_x000D_
I jrelog  ( 5401):   unused DT entry: _x000D_
I jrelog  ( 5401): DT RPATH_x000D_
I jrelog  ( 5401):  (type _x000D_
I jrelog  ( 5401): 0xf_x000D_
I jrelog  ( 5401):  arg _x000D_
I jrelog  ( 5401): 0x33c0_x000D_
I jrelog  ( 5401): ) (ignoring)_x000D_
I jrelog  ( 5401): _x000D_
I jrelog  ( 5401): WARNING: linker: _x000D_
I jrelog  ( 5401): Warning:  _x000D_
I jrelog  ( 5401):  data data net kdt pojavlaunch jre runtime lib aarch64 libjava so_x000D_
I jrelog  ( 5401):   has unsupported flags DT FLAGS 1 _x000D_
I jrelog  ( 5401): 0x81_x000D_
I jrelog  ( 5401):  (ignoring unsupported flags)_x000D_
I jrelog  ( 5401): _x000D_
S LaunchJVM( 5401): dlopen  data user 0 net kdt pojavlaunch jre runtime lib aarch64 libjava so success_x000D_
I jrelog  ( 5401): WARNING: linker: _x000D_
I jrelog  ( 5401): Warning:  _x000D_
I jrelog  ( 5401):  data data net kdt pojavlaunch jre runtime lib aarch64 libnet so_x000D_
I jrelog  ( 5401):   unused DT entry: _x000D_
I jrelog  ( 5401): DT RPATH_x000D_
I jrelog  ( 5401):  (type _x000D_
I jrelog  ( 5401): 0xf_x000D_
I jrelog  ( 5401):  arg _x000D_
I jrelog  ( 5401): 0x13b8_x000D_
I jrelog  ( 5401): ) (ignoring)_x000D_
I jrelog  ( 5401): _x000D_
I jrelog  ( 5401): WARNING: linker: _x000D_
I jrelog  ( 5401): Warning:  _x000D_
I jrelog  ( 5401):  data data net kdt pojavlaunch jre runtime lib aarch64 libnet so_x000D_
I jrelog  ( 5401):   has unsupported flags DT FLAGS 1 _x000D_
I jrelog  ( 5401): 0x81_x000D_
I jrelog  ( 5401):  (ignoring unsupported flags)_x000D_
I jrelog  ( 5401): _x000D_
S LaunchJVM( 5401): dlopen  data user 0 net kdt pojavlaunch jre runtime lib aarch64 libnet so success_x000D_
I jrelog  ( 5401): WARNING: linker: _x000D_
I jrelog  ( 5401): Warning:  _x000D_
I jrelog  ( 5401):  data data net kdt pojavlaunch jre runtime lib aarch64 libnio so_x000D_
I jrelog  ( 5401):   unused DT entry: _x000D_
I jrelog  ( 5401): DT RPATH_x000D_
I jrelog  ( 5401):  (type _x000D_
I jrelog  ( 5401): 0xf_x000D_
I jrelog  ( 5401):  arg _x000D_
I jrelog  ( 5401): 0x2196_x000D_
I jrelog  ( 5401): ) (ignoring)_x000D_
I jrelog  ( 5401): _x000D_
I jrelog  ( 5401): WARNING: linker: _x000D_
I jrelog  ( 5401): Warning:  _x000D_
I jrelog  ( 5401):  data data net kdt pojavlaunch jre runtime lib aarch64 libnio so_x000D_
I jrelog  ( 5401):   has unsupported flags DT FLAGS 1 _x000D_
I jrelog  ( 5401): 0x81_x000D_
I jrelog  ( 5401):  (ignoring unsupported flags)_x000D_
I jrelog  ( 5401): _x000D_
S LaunchJVM( 5401): dlopen  data user 0 net kdt pojavlaunch jre runtime lib aarch64 libnio so success_x000D_
I jrelog  ( 5401): WARNING: linker: _x000D_
I jrelog  ( 5401): Warning:  _x000D_
I jrelog  ( 5401):  data data net kdt pojavlaunch jre runtime lib aarch64 libawt so_x000D_
I jrelog  ( 5401):   unused DT entry: _x000D_
I jrelog  ( 5401): DT RPATH_x000D_
I jrelog  ( 5401):  (type _x000D_
I jrelog  ( 5401): 0xf_x000D_
I jrelog  ( 5401):  arg _x000D_
I jrelog  ( 5401): 0x6a46_x000D_
I jrelog  ( 5401): ) (ignoring)_x000D_
I jrelog  ( 5401): _x000D_
I jrelog  ( 5401): WARNING: linker: _x000D_
I jrelog  ( 5401): Warning:  _x000D_
I jrelog  ( 5401):  data data net kdt pojavlaunch jre runtime lib aarch64 libawt so_x000D_
I jrelog  ( 5401):   has unsupported flags DT FLAGS 1 _x000D_
I jrelog  ( 5401): 0x81_x000D_
I jrelog  ( 5401):  (ignoring unsupported flags)_x000D_
I jrelog  ( 5401): _x000D_
S LaunchJVM( 5401): dlopen  data user 0 net kdt pojavlaunch jre runtime lib aarch64 libawt so success_x000D_
I jrelog  ( 5401): WARNING: linker: _x000D_
I jrelog  ( 5401): Warning:  _x000D_
I jrelog  ( 5401):  data data net kdt pojavlaunch jre runtime lib aarch64 libawt headless so_x000D_
I jrelog  ( 5401):   unused DT entry: _x000D_
I jrelog  ( 5401): DT RPATH_x000D_
I jrelog  ( 5401):  (type _x000D_
I jrelog  ( 5401): 0xf_x000D_
I jrelog  ( 5401):  arg _x000D_
I jrelog  ( 5401): 0x4d9_x000D_
I jrelog  ( 5401): ) (ignoring)_x000D_
I jrelog  ( 5401): _x000D_
I jrelog  ( 5401): WARNING: linker: _x000D_
I jrelog  ( 5401): Warning:  _x000D_
I jrelog  ( 5401):  data data net kdt pojavlaunch jre runtime lib aarch64 libawt headless so_x000D_
I jrelog  ( 5401):   has unsupported flags DT FLAGS 1 _x000D_
I jrelog  ( 5401): 0x81_x000D_
I jrelog  ( 5401):  (ignoring unsupported flags)_x000D_
I jrelog  ( 5401): _x000D_
S LaunchJVM( 5401): dlopen  data user 0 net kdt pojavlaunch jre runtime lib aarch64 libawt headless so success_x000D_
S LaunchJVM( 5401): dlopen  data user 0 net kdt pojavlaunch jre runtime lib aarch64 libfreetype so success_x000D_
I jrelog  ( 5401): WARNING: linker: _x000D_
I jrelog  ( 5401): Warning:  _x000D_
I jrelog  ( 5401):  data data net kdt pojavlaunch jre</t>
  </si>
  <si>
    <t>material-components-material-components-android-1973</t>
  </si>
  <si>
    <t>[MaterialDatePicker] Crash on date choosing if MonthAdapter scrolled</t>
  </si>
  <si>
    <t xml:space="preserve">  Description:   There is a crash in landscape mode with a big font display size when select day from last row_x000D_
_x000D_
   _x000D_
    java lang NullPointerException: Attempt to invoke virtual method  void android widget TextView setEnabled(boolean)  on a null object reference_x000D_
        at com google android material datepicker MonthAdapter updateSelectedState(MonthAdapter java:164)_x000D_
        at com google android material datepicker MonthAdapter updateSelectedStateForDate(MonthAdapter java:157)_x000D_
        at com google android material datepicker MonthAdapter updateSelectedStates(MonthAdapter java:146)_x000D_
        at com google android material datepicker MonthsPagerAdapter onBindViewHolder(MonthsPagerAdapter java:114)_x000D_
        at com google android material datepicker MonthsPagerAdapter onBindViewHolder(MonthsPagerAdapter java:38)_x000D_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java:4134)_x000D_
        at androidx recyclerview widget RecyclerView onMeasure(RecyclerView java:3540)_x000D_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FrameLayout onMeasure(FrameLayout java:194)_x000D_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FrameLayout onMeasure(FrameLayout java:194)_x000D_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LinearLayout measureChildBeforeLayout(LinearLayout java:1552)_x000D_
        at android widget LinearLayout measureHorizontal(LinearLayout java:1204)_x000D_
        at android widget LinearLayout onMeasure(LinearLayout java:723)_x000D_
        at android view View measure(View java:25466)_x000D_
        at android view ViewGroup measureChildWithMargins(ViewGroup java:6957)_x000D_
        at android widget FrameLayout onMeasure(FrameLayout java:194)_x000D_
        at android view View measure(View java:25466)_x000D_
        at android view ViewGroup measureChildWithMargins(ViewGroup java:6957)_x000D_
        at android widget LinearLayout measureChildBeforeLayout(LinearLayout java:1552)_x000D_
   _x000D_
_x000D_
  Android API version:   30_x000D_
_x000D_
  Material Library version:   com google android material:material:1 3 0 beta01_x000D_
_x000D_
  Device:   Pixel 4_x000D_
_x000D_
https:  user images githubusercontent com 1927559 104194883 90d26800 542a 11eb 9de6 0d3b144b0c35 mp4_x000D_
_x000D_
_x000D_
</t>
  </si>
  <si>
    <t>SkyTubeTeam-SkyTube-885</t>
  </si>
  <si>
    <t>Crash on selecting video.</t>
  </si>
  <si>
    <t>SkyTube crashes on selecting certain videos:_x000D_
Error log:_x000D_
 01 11 12:58:29 903 20410 20410 D AndroidRuntime: Shutting down VM_x000D_
01 11 12:58:29 906 20410 20410 E AndroidRuntime: FATAL EXCEPTION: main_x000D_
01 11 12:58:29 906 20410 20410 E AndroidRuntime: Process: free rm skytube extra  PID: 20410_x000D_
01 11 12:58:29 906 20410 20410 E AndroidRuntime: java lang NumberFormatException: For input string:  2160p6 _x000D_
01 11 12:58:29 906 20410 20410 E AndroidRuntime:        at java lang Integer parseInt(Integer java:615)_x000D_
01 11 12:58:29 906 20410 20410 E AndroidRuntime:        at java lang Integer parseInt(Integer java:650)_x000D_
01 11 12:58:29 906 20410 20410 E AndroidRuntime:        at free rm skytube businessobjects YouTube VideoStream VideoResolution resolutionToVideoResolution(VideoResolution java:99)_x000D_
01 11 12:58:29 906 20410 20410 E AndroidRuntime:        at free rm skytube app StreamSelectionPolicy VideoStreamWithResolution  init (StreamSelectionPolicy java:164)_x000D_
01 11 12:58:29 906 20410 20410 E AndroidRuntime:        at free rm skytube app StreamSelectionPolicy pick(StreamSelectionPolicy java:127)_x000D_
01 11 12:58:29 906 20410 20410 E AndroidRuntime:        at free rm skytube app StreamSelectionPolicy pickVideo(StreamSelectionPolicy java:116)_x000D_
01 11 12:58:29 906 20410 20410 E AndroidRuntime:        at free rm skytube app StreamSelectionPolicy select(StreamSelectionPolicy java:51)_x000D_
01 11 12:58:29 906 20410 20410 E AndroidRuntime:        at free rm skytube gui fragments YouTubePlayerV2Fragment 2 onGetDesiredStream(YouTubePlayerV2Fragment java:466)_x000D_
01 11 12:58:29 906 20410 20410 E AndroidRuntime:        at free rm skytube businessobjects YouTube Tasks GetVideoStreamTask onPostExecute(GetVideoStreamTask java:67)_x000D_
01 11 12:58:29 906 20410 20410 E AndroidRuntime:        at free rm skytube businessobjects YouTube Tasks GetVideoStreamTask onPostExecute(GetVideoStreamTask java:35)_x000D_
01 11 12:58:29 906 20410 20410 E AndroidRuntime:        at android os AsyncTask finish(AsyncTask java:755)_x000D_
01 11 12:58:29 906 20410 20410 E AndroidRuntime:        at android os AsyncTask access 900(AsyncTask java:192)_x000D_
01 11 12:58:29 906 20410 20410 E AndroidRuntime:        at android os AsyncTask InternalHandler handleMessage(AsyncTask java:772)_x000D_
01 11 12:58:29 906 20410 20410 E AndroidRuntime:        at android os Handler dispatchMessage(Handler java:107)_x000D_
01 11 12:58:29 906 20410 20410 E AndroidRuntime:        at android os Looper loop(Looper java:214)_x000D_
01 11 12:58:29 906 20410 20410 E AndroidRuntime:        at android app ActivityThread main(ActivityThread java:7356)_x000D_
01 11 12:58:29 906 20410 20410 E AndroidRuntime:        at java lang reflect Method invoke(Native Method)_x000D_
01 11 12:58:29 906 20410 20410 E AndroidRuntime:        at com android internal os RuntimeInit MethodAndArgsCaller run(RuntimeInit java:491)_x000D_
01 11 12:58:29 906 20410 20410 E AndroidRuntime:        at com android internal os ZygoteInit main(ZygoteInit java:940)_x000D_
 _x000D_
_x000D_
Device: Xiaomi Redmi6A_x000D_
Android: 10_x000D_
LineageOS 17 1 20200727 UNOFFICIAL cactus_x000D_
No Google Apps installed_x000D_
SkyTube Version: 2 976 Extra (2021 01 05 21:46)_x000D_
_x000D_
Video Link to crash:_x000D_
https:  youtu be p6q54q2iam8</t>
  </si>
  <si>
    <t>NSU-FA20-CSE299-3-Group01-30</t>
  </si>
  <si>
    <t>Bug : Show student is not working</t>
  </si>
  <si>
    <t>while I select section then click submit button the app is crashing</t>
  </si>
  <si>
    <t>tchapgouv-tchap-android-legacy-694</t>
  </si>
  <si>
    <t>Crash: isTaskCorrupted failed on java.lang.IllegalArgumentException</t>
  </si>
  <si>
    <t xml:space="preserve">                                  crash call stack                                  _x000D_
Tchap Build : 76_x000D_
Tchap Version : 1 1 0 a (G 30d4af277 2020 11 22 13:24:08  0100)_x000D_
SDK Version : 0 9 37 dev (184214f2e 2020 11 18 01:42:26  0100)_x000D_
Phone : SM G930F (G930FXXU8ETI2 8 0 0 REL)_x000D_
Memory statuses _x000D_
usedSize   7 MB_x000D_
freeSize   3 MB_x000D_
totalSize   10 MB_x000D_
Thread: main  Exception: java lang RuntimeException: Unable to start activity ComponentInfo fr gouv tchap a im vector activity VectorHomeActivity : java lang IllegalArgumentException: Unable to find task ID 852_x000D_
        at android app ActivityThread performLaunchActivity(ActivityThread java:2957)_x000D_
        at android app ActivityThread handleLaunchActivity(ActivityThread java:3032)_x000D_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IllegalArgumentException: Unable to find task ID 852_x000D_
        at android os Parcel readException(Parcel java:1971)_x000D_
        at android os Parcel readException(Parcel java:1913)_x000D_
        at android app IAppTask Stub Proxy getTaskInfo(IAppTask java:151)_x000D_
        at android app ActivityManager AppTask getTaskInfo(ActivityManager java:5047)_x000D_
        at im vector VectorApp 2 isTaskCorrupted(VectorApp java:312)_x000D_
        at im vector VectorApp 2 onActivityCreated(VectorApp java:368)_x000D_
        at android app Application dispatchActivityCreated(Application java:221)_x000D_
        at android app Activity onCreate(Activity java:1067)_x000D_
        at androidx core app ComponentActivity onCreate(ComponentActivity java:81)_x000D_
        at androidx fragment app FragmentActivity onCreate(FragmentActivity java:335)_x000D_
        at androidx appcompat app AppCompatActivity onCreate(AppCompatActivity java:85)_x000D_
        at im vector activity VectorAppCompatActivity onCreate(VectorAppCompatActivity kt:92)_x000D_
        at android app Activity performCreate(Activity java:7183)_x000D_
        at android app Instrumentation callActivityOnCreate(Instrumentation java:1220)_x000D_
        at android app ActivityThread performLaunchActivity(ActivityThread java:2910)</t>
  </si>
  <si>
    <t>AOF-Dev-MCinaBox-820</t>
  </si>
  <si>
    <t>MCinaBox crash when touch fingerprint scanner</t>
  </si>
  <si>
    <t xml:space="preserve">_x000D_
Steps to reproduce the crash:_x000D_
1  Go to MCinaBox_x000D_
2  Click on Start the game_x000D_
2 1  Touch Fingerprint scanner_x000D_
3  See the crash_x000D_
_x000D_
  Smartphone (please complete the following information):  _x000D_
   Device: Xiaomi Redmi Note 8 Pro 6 64_x000D_
   OS: Android 11 (legion os)_x000D_
   App Version: 0 1 4 p4_x000D_
_x000D_
_x000D_
Log_x000D_
   _x000D_
01 11 12:22:28 691 E AndroidRuntime(20464): Process: com aof mcinabox  PID: 20464_x000D_
01 11 12:22:28 691 E AndroidRuntime(20464): 	at com aof mcinabox gamecontroller controller HardwareController sendKey(HardwareController java:65)_x000D_
01 11 12:22:28 691 E AndroidRuntime(20464): 	at com aof mcinabox gamecontroller input otg Keyboard sendKeyEvent(Keyboard java:65)_x000D_
01 11 12:22:28 691 E AndroidRuntime(20464): 	at com aof mcinabox gamecontroller input otg Keyboard onKey(Keyboard java:76)_x000D_
01 11 12:22:28 691 E AndroidRuntime(20464): 	at com aof mcinabox gamecontroller controller HardwareController dispatchKeyEvent(HardwareController java:118)_x000D_
01 11 12:22:28 695 W ActivityTaskManager(1073):   Force finishing activity com aof mcinabox  MainActivity_x000D_
01 11 12:22:28 738 W ActivityTaskManager(1073):   Force finishing activity com aof mcinabox cosine boat BoatActivity_x000D_
01 11 12:22:29 165 I ActivityManager(1073): Process com aof mcinabox (pid 20464) has died: prcp TOP _x000D_
01 11 12:22:29 174 I WindowManager(1073): WIN DEATH: Window ebc1b44 u0 com aof mcinabox cosine boat BoatActivity _x000D_
01 11 12:22:29 191 I WindowManager(1073): WIN DEATH: Window 3d472f6 u0 com aof mcinabox com aof mcinabox MainActivity _x000D_
01 11 12:22:29 324 W ActivityTaskManager(1073): Activity top resumed state loss timeout for ActivityRecord e537869 u0 com aof mcinabox cosine boat BoatActivity t 1 f  _x000D_
   </t>
  </si>
  <si>
    <t>Anuken-Mindustry-4306</t>
  </si>
  <si>
    <t>Random errors at online servers.</t>
  </si>
  <si>
    <t xml:space="preserve">  Platform  :  Android 6 0 _x000D_
_x000D_
  Build  :  122 1 _x000D_
_x000D_
  Issue  :  sometimes at random I get this error (attached image) does not usually appear much and the truth has only happened to me twice on the same public server (Alex turbo pvp)  _x000D_
_x000D_
  Steps to reproduce  : It just happens at any time  there are no steps xD  _x000D_
_x000D_
  Link(s) to mod(s) used  :  No mods were used  _x000D_
_x000D_
  Save file  :  The map doesn t matter  it happens anytime  _x000D_
_x000D_
If you remove the line above without reading it properly and understanding what it means  I will reap your soul  Even if you re playing on someone s server  you can still save the game to a slot _x000D_
_x000D_
  (Crash) logs  :  (Attached file)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Screenshot 2021 01 11 00 02 27 (https:  user images githubusercontent com 77257959 104146887 19112880 53ab 11eb 9b6d 7fc7d83dc7c9 png)_x000D_
  Screenshot 2021 01 11 00 19 48 (https:  user images githubusercontent com 77257959 104146933 35ad6080 53ab 11eb 8f2e 4ba82af1c107 png)_x000D_
  Screenshot 2021 01 11 00 19 48 (https:  user images githubusercontent com 77257959 104146969 4f4ea800 53ab 11eb 852f 9514777aa5ae png)_x000D_
 Mindustry crash logs txt (https:  github com Anuken Mindustry files 5793980 Mindustry crash logs txt)_x000D_
PD:sorry for having some things in the images in another language xD</t>
  </si>
  <si>
    <t>TeamNewPipe-NewPipe-5387</t>
  </si>
  <si>
    <t>PeerTube HLS transformed Videos do not play back</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</si>
  <si>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Add an PeerTube Instance where Videos are only published as HLS (eg mine tube koyax org)_x000D_
2  Try to play a Video from that PeerTube Instance _x000D_
3  PeerTube crash report opens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PeerTube gives a parsing error _x000D_
_x000D_
_x000D_
    Expected behavior_x000D_
     Tell us what you expect to happen     _x000D_
The Video plays back just fine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The setting in PeerTube to enable HLS _x000D_
  image (https:  user images githubusercontent com 22196236 104137354 ff9bbc80 5369 11eb 913b 9734218c77ab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details _x000D_
   summary Logs  summary _x000D_
   user action : requested stream   request : https:  tube koyax org videos watch a7267fff d542 49e5 b9d0 3ae5f83bd1d8   content language : en DE   content country : DE   app language : en DE   service : PeerTube   package : org schabi newpipe   version : 0 20 8   os : Linux Android 10   29   time : 2021 01 10 22:12   exceptions :  org schabi newpipe extractor stream StreamInfo StreamExtractException: Could not get any stream  See error variable to get further details  n tat org schabi newpipe extractor stream StreamInfo extractStreams(StreamInfo java:194) n tat org schabi newpipe extractor stream StreamInfo getInfo(StreamInfo java:72) n tat org schabi newpipe extractor stream StreamInfo getInfo(StreamInfo java:64) n tat org schabi newpipe util ExtractorHelper lambda getStreamInfo 3(ExtractorHelper java:127) n tat org schabi newpipe util    Lambda ExtractorHelper YTHJjScxCJNO1LTCqs3IKy35iyY call(Unknown Source:4) n tat io reactivex rxjava3 internal operators single SingleFromCallable subscribeActual(SingleFromCallable java:43) n tat io reactivex rxjava3 core Single subscribe(Single java:4813) n tat io reactivex rxjava3 internal operators single SingleDoOnSuccess subscribeActual(SingleDoOnSuccess java:35) n tat io reactivex rxjava3 core Single subscribe(Single java:4813) n tat io reactivex rxjava3 internal operators maybe MaybeFromSingle subscribeActual(MaybeFromSingle java:41) n tat io reactivex rxjava3 core Maybe subscribe(Maybe java:5330) n tat io reactivex rxjava3 internal operators maybe MaybeConcatArray ConcatMaybeObserver drain(MaybeConcatArray java:153) n tat io reactivex rxjava3 internal operators maybe MaybeConcatArray ConcatMaybeObserver request(MaybeConcatArray java:78) n tat io reactivex rxjava3 internal operators flowable FlowableElementAtMaybe ElementAtSubscriber onSubscribe(FlowableElementAtMaybe java:66) n tat io reactivex rxjava3 internal operators maybe MaybeConcatArray subscribeActual(MaybeConcatArray java:42) n tat io reactivex rxjava3 core Flowable subscribe(Flowable java:15753) n tat io reactivex rxjava3 internal operators flowable FlowableElementAtMaybe subscribeActual(FlowableElementAtMaybe java:36) n tat io reactivex rxjava3 core Maybe subscribe(Maybe java:5330) n tat io reactivex rxjava3 internal operators maybe MaybeToSingle subscribeActual(MaybeToSingle java:46) n tat io reactivex rxjava3 core Single subscribe(Single java:4813) n tat io reactivex rxjava3 internal operators single SingleSubscribeOn SubscribeOnObserver run(SingleSubscribeOn java:89) n tat io reactivex rxjava3 core Scheduler DisposeTask run(Scheduler java:614) n tat io reactivex rxjava3 internal schedulers ScheduledRunnable run(ScheduledRunnable java:65) n tat io reactivex rxjava3 internal schedulers ScheduledRunnable call(ScheduledRunnable java:56) n tat java util concurrent FutureTask run(FutureTask java:266) n tat java util concurrent ScheduledThreadPoolExecutor ScheduledFutureTask run(ScheduledThreadPoolExecutor java:301) n tat java util concurrent ThreadPoolExecutor runWorker(ThreadPoolExecutor java:1167) n tat java util concurrent ThreadPoolExecutor Worker run(ThreadPoolExecutor java:641) n tat java lang Thread run(Thread java:919) n    user comment :   _x000D_
  details _x000D_
_x000D_
_x000D_
_x000D_
     Please fill this out when you do not provide a log generate by NewPipe    _x000D_
_x000D_
    Device info_x000D_
_x000D_
   Android version Custom ROM version: Lineage4MicroG 17_x000D_
   Device model: Oneplus3t_x000D_
</t>
  </si>
  <si>
    <t>lizator-DragernesDal-23</t>
  </si>
  <si>
    <t>Error Fixing</t>
  </si>
  <si>
    <t xml:space="preserve">   x  Error when trying to open other tabs  when no character is selected_x000D_
      Error handeling  app should never crash when data is missing_x000D_
      Error when internet is shut off_x000D_
      Crash when trying to login as user that has been deleted from DB</t>
  </si>
  <si>
    <t>TeamNewPipe-NewPipe-5382</t>
  </si>
  <si>
    <t>Crashes switching back to App while in Video description</t>
  </si>
  <si>
    <t xml:space="preserve">    Checklist_x000D_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Watch  a href  https:  www youtube com watch v VN562bgJRZ4  this  a  video in NewPipe_x000D_
2  Open the video description  sroll down a bit_x000D_
3  Switch to your music streaming app_x000D_
4  Switch back to NewPipe_x000D_
_x000D_
I wasn t able to reliably reproduce the bug with other Videos  But with this specific Video it happened six times and one time NewPipe actually behaved as expected  I also got a Bug report only one of these seven tries  so in the other cases where the App just closed without any notice the issue might be something different _x000D_
_x000D_
_x000D_
_x000D_
_x000D_
    Actual behaviour_x000D_
App Immediately closes after switching back to it  playback stops and I m at my home screen  _x000D_
_x000D_
_x000D_
_x000D_
    Expected behavior_x000D_
Playback continues  I can go on reading the video description_x000D_
_x000D_
_x000D_
_x000D_
_x000D_
_x000D_
    Logs_x000D_
_x000D_
As I said I only got the error message once and this was still on 0 20 6 then I updated  The behaviour did not change on 0 20 8 but I never got an error notification there  this is why this log is from 0 20 6_x000D_
_x000D_
   Exception_x000D_
  User Action: ui error_x000D_
  Request: App crash  UI failure_x000D_
  Content Country: DE_x000D_
  Content Language: de DE_x000D_
  App Language: de DE_x000D_
  Service: none_x000D_
  Version: 0 20 6_x000D_
  OS: Linux Android 11   30_x000D_
 details  summary  b Crash log   b   summary  p _x000D_
_x000D_
_x000D_
java lang StringIndexOutOfBoundsException: length 9  index 10_x000D_
 at java lang String substring(String java:2060)_x000D_
 at java lang String subSequence(String java:2107)_x000D_
 at android widget TextView onProvideStructure(TextView java:11714)_x000D_
 at android view View onProvideAutofillStructure(View java:8781)_x000D_
 at android view View dispatchProvideStructure(View java:9992)_x000D_
 at android view View dispatchProvideAutofillStructure(View java:9985)_x000D_
 at android view ViewGroup dispatchProvideAutofillStructure(ViewGroup java:3674)_x000D_
 at android view ViewGroup dispatchProvideAutofillStructure(ViewGroup java:3674)_x000D_
 at android view ViewGroup dispatchProvideAutofillStructure(ViewGroup java:3674)_x000D_
 at android view ViewGroup dispatchProvideAutofillStructure(ViewGroup java:3674)_x000D_
 at android view ViewGroup dispatchProvideAutofillStructure(ViewGroup java:3674)_x000D_
 at android view ViewGroup dispatchProvideAutofillStructure(ViewGroup java:3674)_x000D_
 at android view ViewGroup dispatchProvideAutofillStructure(ViewGroup java:3674)_x000D_
 at android view ViewGroup dispatchProvideAutofillStructure(ViewGroup java:3674)_x000D_
 at android view ViewGroup dispatchProvideAutofillStructure(ViewGroup java:3674)_x000D_
 at android app assist AssistStructure WindowNode  init (AssistStructure java:528)_x000D_
 at android app assist AssistStructure  init (AssistStructure java:2205)_x000D_
 at android app ActivityThread handleRequestAssistContextExtras(ActivityThread java:3706)_x000D_
 at android app ActivityThread H handleMessage(ActivityThread java:2027)_x000D_
 at android os Handler dispatchMessage(Handler java:106)_x000D_
 at android os Looper loop(Looper java:223)_x000D_
 at android app ActivityThread main(ActivityThread java:7660)_x000D_
 at java lang reflect Method invoke(Native Method)_x000D_
 at com android internal os RuntimeInit MethodAndArgsCaller run(RuntimeInit java:592)_x000D_
 at com android internal os ZygoteInit main(ZygoteInit java:947)_x000D_
_x000D_
_x000D_
  details _x000D_
 hr </t>
  </si>
  <si>
    <t>nextcloud-android-7802</t>
  </si>
  <si>
    <t>Bug when clicking on a notification about duplicate file conflict..</t>
  </si>
  <si>
    <t xml:space="preserve">    Steps to reproduce
1  Sync files with duplicates
2  An notification will pop up saying  File upload conflict pick which version to keep of  file name 
3  THEN crash report appears
    Expected behaviour
  It would show two version of the file and  user should choose one
    Actual behaviour
  Crash report    
    Can you reproduce this problem on https:  try nextcloud com No
    Environment data
Android version:10
Device model: Samsung m11
Stock or customized system:
Nextcloud app version:3 14 1
Nextcloud server version:
Reverse proxy:
    Logs
     Nextcloud log (data nextcloud log)
             CAUSE OF ERROR             
java lang NullPointerException: Attempt to invoke virtual method  java lang String com owncloud android datamodel OCFile getRemotePath()  on a null object reference
	at com owncloud android ui activity ConflictsResolveActivity onStart(ConflictsResolveActivity java:187)
	at android app Instrumentation callActivityOnStart(Instrumentation java:1433)
	at android app Activity performStart(Activity java:7978)
	at android app ActivityThread handleStartActivity(ActivityThread java:3472)
	at android app servertransaction TransactionExecutor performLifecycleSequence(TransactionExecutor java:221)
	at android app servertransaction TransactionExecutor cycleToPath(TransactionExecutor java:201)
	at android app servertransaction TransactionExecutor executeLifecycleState(TransactionExecutor java:173)
	at android app servertransaction TransactionExecutor execute(TransactionExecutor java:97)
	at android app ActivityThread H handleMessage(ActivityThread java:2147)
	at android os Handler dispatchMessage(Handler java:107)
	at android os Looper loop(Looper java:237)
	at android app ActivityThread main(ActivityThread java:7814)
	at java lang reflect Method invoke(Native Method)
	at
</t>
  </si>
  <si>
    <t>ElderDrivers-EdXposed-798</t>
  </si>
  <si>
    <t>[BUG] EdXposed Framework is installed, but not active.</t>
  </si>
  <si>
    <t xml:space="preserve">    _x000D_
                                  Xposed     Magisk   _x000D_
If you encountered boot loop  please make sure you have disabled all unrelated Xposed and Magisk modules before submit an issue_x000D_
_x000D_
            _x000D_
In any case  the title should be in English_x000D_
   _x000D_
_x000D_
       What happened   _x000D_
EdXposed Framework is installed  but not active _x000D_
_x000D_
    _x000D_
           _x000D_
Such as bootloop  module not loaded  etc_x000D_
   _x000D_
_x000D_
  Xposed     Xposed Module List  _x000D_
_x000D_
_x000D_
  Magisk     Magisk Module List  _x000D_
_x000D_
_x000D_
       Versions  _x000D_
_x000D_
Android: 11_x000D_
_x000D_
Magisk: 6d88d8ad (21201)_x000D_
_x000D_
Riru: v23 1 (51)_x000D_
_x000D_
EdXposed: v0 5 1 4 4665 master (SandHook)_x000D_
_x000D_
       Related Logs  _x000D_
_x000D_
   _x000D_
          beginning of head_x000D_
EdXposed Log_x000D_
Powered by Log Catcher_x000D_
QQ support group: 855219808_x000D_
Telegram support group:  Code Of MeowCat_x000D_
Telegram channel:  EdXposed_x000D_
          beginning of information_x000D_
Manufacturer: Xiaomi_x000D_
Brand: Xiaomi_x000D_
Device: beryllium_x000D_
Product: beryllium_x000D_
Model: POCO F1_x000D_
Fingerprint: google redfin redfin:11 RQ1A 201205 010 6953398:user release keys_x000D_
ROM description: beryllium user 10 QKQ1 190828 002 V12 0 2 0 QEJMIXM release keys_x000D_
Architecture: arm64 v8a_x000D_
Android build: RQ1A 201205 010_x000D_
Android version: 11_x000D_
Android sdk: 30_x000D_
EdXposed version: v0 5 1 4 4655 master (SandHook)_x000D_
EdXposed api: 93_x000D_
Riru version: v23 1 (51)_x000D_
Riru api: 10_x000D_
Magisk: 6d88d8ad (21201)_x000D_
          beginning of main_x000D_
          beginning of system_x000D_
03 03 03:43:12 889   733   733 I EdXposed: onModuleLoaded: welcome to EdXposed _x000D_
03 03 03:43:12 890   733   733 I EdXposed: Got base config path:  data misc edxp 2ZzWB1oqJ355m7UW_x000D_
03 03 03:43:12 897   732   732 I EdXposed: onModuleLoaded: welcome to EdXposed _x000D_
03 03 03:43:12 899   732   732 I EdXposed: Got base config path:  data misc edxp 2ZzWB1oqJ355m7UW_x000D_
01 11 06:37:38 515   732   732 W EdXposed: installer not set  using default one org meowcat edxposed manager_x000D_
01 11 06:37:38 515   732   732 E EdXposed: filesystem error: in directory iterator::directory iterator(   ): No such file or directory   data misc edxp 2ZzWB1oqJ355m7UW 0 conf whitelist  _x000D_
01 11 06:37:38 515   732   732 E EdXposed: filesystem error: in directory iterator::directory iterator(   ): No such file or directory   data misc edxp 2ZzWB1oqJ355m7UW 0 conf blacklist  _x000D_
01 11 06:37:38 516   732   732 I EdXposed: base config path:  data misc edxp 2ZzWB1oqJ355m7UW 0_x000D_
01 11 06:37:38 516   732   732 I EdXposed:   using installer package name: org meowcat edxposed manager_x000D_
01 11 06:37:38 516   732   732 I EdXposed:   using whitelist: false_x000D_
01 11 06:37:38 516   732   732 I EdXposed:   deopt boot image: false_x000D_
01 11 06:37:38 516   732   732 I EdXposed:   no module log: false_x000D_
01 11 06:37:38 516   732   732 I EdXposed:   resources hook: false_x000D_
01 11 06:37:38 516   732   732 I EdXposed:   white list: _x000D_
01 11 06:37:38 516   732   732 I EdXposed:  _x000D_
01 11 06:37:38 516   732   732 I EdXposed:   black list: _x000D_
01 11 06:37:38 516   732   732 I EdXposed:  _x000D_
01 11 06:37:38 516   732   732 I EdXposed:   module list: _x000D_
01 11 06:37:38 516   732   732 I EdXposed:  _x000D_
01 11 06:37:38 516   732   732 D EdXposed: skip injecting into android because no module hooks it_x000D_
01 11 06:37:38 610  1471  1471 I EdXposed: Loaded  data misc edxp 2ZzWB1oqJ355m7UW framework edservice dex with size 362960_x000D_
01 11 06:37:38 615  1471  1471 W EdXposed: Installed EdXposed Service_x000D_
01 11 06:37:53 638   732   732 D EdXposed: using blacklist  com android systemui    true_x000D_
01 11 06:37:53 638   732   732 D EdXposed: skip injecting xposed into com android systemui because no module hooks it_x000D_
01 11 06:37:53 658   733   733 W EdXposed: installer not set  using default one org meowcat edxposed manager_x000D_
01 11 06:37:53 658   733   733 E EdXposed: filesystem error: in directory iterator::directory iterator(   ): No such file or directory   data misc edxp 2ZzWB1oqJ355m7UW 0 conf whitelist  _x000D_
01 11 06:37:53 658   733   733 E EdXposed: filesystem error: in directory iterator::directory iterator(   ): No such file or directory   data misc edxp 2ZzWB1oqJ355m7UW 0 conf blacklist  _x000D_
01 11 06:37:53 658   733   733 I EdXposed: base config path:  data misc edxp 2ZzWB1oqJ355m7UW 0_x000D_
01 11 06:37:53 658   733   733 I EdXposed:   using installer package name: org meowcat edxposed manager_x000D_
01 11 06:37:53 658   733   733 I EdXposed:   using whitelist: false_x000D_
01 11 06:37:53 658   733   733 I EdXposed:   deopt boot image: false_x000D_
01 11 06:37:53 658   733   733 I EdXposed:   no module log: false_x000D_
01 11 06:37:53 658   733   733 I EdXposed:   resources hook: false_x000D_
01 11 06:37:53 658   733   733 I EdXposed:   white list: _x000D_
01 11 06:37:53 658   733   733 I EdXposed:  _x000D_
01 11 06:37:53 658   733   733 I EdXposed:   black list: _x000D_
01 11 06:37:53 658   733   733 I EdXposed:  _x000D_
01 11 06:37:53 658   733   733 I EdXposed:   module list: _x000D_
01 11 06:37:53 658   733   733 I EdXposed:  _x000D_
01 11 06:37:53 658   733   733 D EdXposed: skip injecting into WebViewLoader armeabi v7a because it has no data dir_x000D_
01 11 06:37:53 672  2239  2239 D EdXposed: skipped com android systemui_x000D_
01 11 06:37:53 676   732   732 D EdXposed: skip injecting into WebViewLoader arm64 v8a because it has no data dir_x000D_
01 11 06:37:53 710  2280  2280 D EdXposed: skipped WebViewLoader arm64 v8a_x000D_
01 11 06:37:53 710  2256  2256 D EdXposed: skipped WebViewLoader armeabi v7a_x000D_
01 11 06:37:53 777   732   732 D EdXposed: using blacklist  com android networkstack    true_x000D_
01 11 06:37:53 777   732   732 D EdXposed: skip injecting xposed into com android networkstack because no module hooks it_x000D_
01 11 06:37:53 824   733   733 D EdXposed: skip injecting into webview zygote because it has no data dir_x000D_
01 11 06:37:53 831  2342  2342 D EdXposed: skipped com android networkstack process_x000D_
01 11 06:37:53 849   732   732 D EdXposed: using blacklist  com qualcomm qti uceShimService    true_x000D_
01 11 06:37:53 849   732   732 D EdXposed: skip injecting xposed into com qualcomm qti uceShimService because no module hooks it_x000D_
01 11 06:37:53 861  2363  2363 D EdXposed: skipped webview zygote_x000D_
01 11 06:37:53 893  2384  2384 D EdXposed: skipped  dataservices_x000D_
01 11 06:37:53 934   732   732 D EdXposed: using blacklist  com qualcomm qti telephonyservice    true_x000D_
01 11 06:37:53 934   732   732 D EdXposed: skip injecting xposed into com qualcomm qti telephonyservice because no module hooks it_x000D_
01 11 06:37:53 944  1471  1471 I EdXposed: registered package receiver_x000D_
01 11 06:37:53 961   732   732 D EdXposed: using blacklist  com android networkstack    true_x000D_
01 11 06:37:53 961   732   732 D EdXposed: skip injecting xposed into com android networkstack because no module hooks it_x000D_
01 11 06:37:53 997   732   732 D EdXposed: using blacklist  org codeaurora ims    true_x000D_
01 11 06:37:53 997   732   732 D EdXposed: skip injecting xposed into org codeaurora ims because no module hooks it_x000D_
01 11 06:37:53 999  2415  2415 D EdXposed: skipped com qualcomm qti telephonyservice_x000D_
01 11 06:37:54 010  2426  2426 D EdXposed: skipped com android networkstack process_x000D_
01 11 06:37:54 037   732   732 D EdXposed: using blacklist  com android se    true_x000D_
01 11 06:37:54 037   732   732 D EdXposed: skip injecting xposed into com android se because no module hooks it_x000D_
01 11 06:37:54 068  2457  2457 D EdXposed: skipped org codeaurora ims_x000D_
01 11 06:37:54 077   732   732 D EdXposed: using blacklist  com qualcomm qti cne    true_x000D_
01 11 06:37:54 077   732   732 D EdXposed: skip injecting xposed into com qualcomm qti cne because no module hooks it_x000D_
01 11 06:37:54 087  2479  2479 D EdXposed: skipped com android se_x000D_
01 11 06:37:54 102   732   732 D EdXposed: using blacklist  com android phone    true_x000D_
01 11 06:37:54 102   732   732 D EdXposed: skip injecting xposed into com android phone because no module hooks it_x000D_
01 11 06:37:54 135  2506  2506 D EdXposed: skipped  qtidataservices_x000D_
01 11 06:37:54 144  2202  2202 D EdXposed: using blacklist  com android settings    true_x000D_
01 11 06:37:54 144  2202  2202 D EdXposed: skip injecting xposed into com android settings because no module hooks it_x000D_
01 11 06:37:54 160   732   732 D EdXposed: using blacklist  android ext services    true_x000D_
01 11 06:37:54 160   732   732 D EdXposed: skip injecting xposed into android ext services because no module hooks it_x000D_
01 11 06:37:54 169  2202  2202 D EdXposed: skipped com android settings_x000D_
01 11 06:37:54 179  2525  2525 D EdXposed: skipped com android phone_x000D_
01 11 06:37:54 220  2570  2570 D EdXposed: skipped android ext services_x000D_
01 11 06:37:54 371   732   732 D EdXposed: using blacklist  com android launcher3    true_x000D_
01 11 06:37:54 371   732   732 D EdXposed: skip injecting xposed into com android launcher3 because no module hooks it_x000D_
01 11 06:37:54 411  2662  2662 D EdXposed: skipped com android launcher3_x000D_
01 11 06:37:55 356   732   732 D EdXposed: using blacklist  com android cellbroadcastreceiver module    true_x000D_
01 11 06:37:55 356   732   732 D EdXposed: skip injecting xposed into com android cellbroadcastreceiver module because no module hooks it_x000D_
01 11 06:37:55 399  2798  2798 D EdXposed: skipped com android cellbroadcastreceiver module_x000D_
01 11 06:37:55 684   732   732 D EdXposed: using blacklist  com google android gms    true_x000D_
01 11 06:37:55 684   732   732 D EdXposed: skip injecting xposed into com google android gms because no module hooks it_x000D_
01 11 06:37:55 723  2829  2829 D EdXposed: skipped com google android gms persistent_x000D_
01 11 06:37:56 177   732   732 D EdXposed: using blacklist  com google android dialer    true_x000D_
01 11 06:37:56 177   732   732 D EdXposed: skip injecting xposed into com google android dialer because no module hooks it_x000D_
01 11 06:37:56 222  2871  2871 D EdXposed: skipped com google android dialer_x000D_
01 11 06:37:56 392   732   732 D EdXposed: using blacklist  com android providers blockednumber    true_x000D_
01 11 06:37:56 392   732   732 D EdXposed: skip injecting xposed into com android providers blockednumber because no module hooks it_x000D_
01 11 06:37:56 430  2913  2913 D EdXposed: skipped android process acore_x000D_
01 11 06:37:57 335   732   732 D EdXposed: using blacklist  com android carrierdefaultapp    true_x000D_
01 11 06:37:57 335   732   732 D EdXposed: skip injecting xposed into com android carrierdefaultapp because no module hooks it_x000D_
01 11 06:37:57 364  2951  2951 D EdXposed: skipped com android carrierdefaultapp_x000D_
01 11 06:38:03 065   732   732 D EdXposed: using blacklist  com google android apps wellbeing    true_x000D_
01 11 06:38:03 065   732   732 D EdXposed: skip injecting xposed into com google android apps wellbeing because no module hooks it_x000D_
01 11 06:38:03 097  2985  2985 D EdXposed: skipped com google android apps wellbeing_x000D_
01 11 06:38:03 350   732   732 D EdXposed: using blacklist  com google android marvin talkback    true_x000D_
01 11 06:38:03 350   732   732 D EdXposed: skip injecting xposed into com google android marvin talkback because no module hooks it_x000D_
01 11 06:38:03 398  3049  3049 D EdXposed: skipped com google android marvin talkback_x000D_
01 11 06:38:03 488   732   732 D EdXposed: using blacklist  com google android deskclock    true_x000D_
01 11 06:38:03 488   732   732 D EdXposed: skip injecting xposed into com google android deskclock because no module hooks it_x000D_
01 11 06:38:03 538  3074  3074 D EdXposed: skipped com google android deskclock_x000D_
01 11 06:38:03 618   732   732 D EdXposed: using blacklist  com google android apps photos    true_x000D_
01 11 06:38:03 618   732   732 D EdXposed: skip injecting xposed into com google android apps photos because no module hooks it_x000D_
01 11 06:38:03 655   732   732 D EdXposed: using blacklist  com google android as    true_x000D_
01 11 06:38:03 655   732   732 D EdXposed: skip injecting xposed into com google android as because no module hooks it_x000D_
01 11 06:38:03 690  3098  3098 D EdXposed: skipped com google android apps photos_x000D_
01 11 06:38:03 711   732   732 D EdXposed: using blacklist  com google android googlequicksearchbox    true_x000D_
01 11 06:38:03 711   732   732 D EdXposed: skip injecting xposed into com google android googlequicksearchbox because no module hooks it_x000D_
01 11 06:38:03 739  3112  3112 D EdXposed: skipped com google android as_x000D_
01 11 06:38:03 775  3156  3156 D EdXposed: skipped com google android googlequicksearchbox:interactor_x000D_
01 11 06:38:03 889   732   732 D EdXposed: using blacklist  com android providers media module    true_x000D_
01 11 06:38:03 889   732   732 D EdXposed: skip injecting xposed into com android providers media module because no module hooks it_x000D_
01 11 06:38:03 946   732   732 D EdXposed: using blacklist  org lineageos pocketmode    true_x000D_
01 11 06:38:03 947   732   732 D EdXposed: skip injecting xposed into org lineageos pocketmode because no module hooks it_x000D_
01 11 06:38:03 950  3195  3195 D EdXposed: skipped com android providers media module_x000D_
01 11 06:38:04 005   732   732 D EdXposed: using blacklist  com motorola faceunlock    true_x000D_
01 11 06:38:04 006   732   732 D EdXposed: skip injecting xposed into com motorola faceunlock because no module hooks it_x000D_
01 11 06:38:04 017  3222  3222 D EdXposed: skipped org lineageos pocketmode_x000D_
01 11 06:38:04 041   732   732 D EdXposed: using blacklist  com android touch gestures    true_x000D_
01 11 06:38:04 041   732   732 D EdXposed: skip injecting xposed into com android touch gestures because no module hooks it_x000D_
01 11 06:38:04 056  3246  3246 D EdXposed: skipped com motorola faceunlock_x000D_
01 11 06:38:04 072   732   732 D EdXposed: using blacklist  com android service ims    true_x000D_
01 11 06:38:04 072   732   732 D EdXposed: skip injecting xposed into com android service ims because no module hooks it_x000D_
01 11 06:38:04 087  3263  3263 D EdXposed: skipped com android touch gestures_x000D_
01 11 06:38:04 103   732   732 D EdXposed: using blacklist  com tencent soter soterserver    true_x000D_
01 11 06:38:04 103   732   732 D EdXposed: skip injecting xposed into com tencent soter soterserver because no module hooks it_x000D_
01 11 06:38:04 147  3293  3293 D EdXposed: skipped com android ims rcsservice_x000D_
01 11 06:38:04 159   732   732 D EdXposed: using blacklist  org lineageos settings    true_x000D_
01 11 06:38:04 159   732   732 D EdXposed: skip injecting xposed into org lineageos settings because no module hooks it_x000D_
01 11 06:38:04 196  3307  3307 D EdXposed: skipped com tencent soter soterserver_x000D_
01 11 06:38:04 207  3328  3328 D EdXposed: skipped org lineageos settings_x000D_
01 11 06:38:04 213   732   732 D EdXposed: using blacklist  com custom ambient display    true_x000D_
01 11 06:38:04 213   732   732 D EdXposed: skip injecting xposed into com custom ambient display because no module hooks it_x000D_
01 11 06:38:04 258  3370  3370 D EdXposed: skipped com custom ambient display_x000D_
01 11 06:38:04 263   732   732 D EdXposed: using blacklist  com android keychain    true_x000D_
01 11 06:38:04 263   732   732 D EdXposed: skip injecting xposed into com android keychain because no module hooks it_x000D_
01 11 06:38:04 333   732   732 D EdXposed: using blacklist  com android smspush    true_x000D_
01 11 06:38:04 333   732   732 D EdXposed: skip injecting xposed into com android smspush because no module hooks it_x000D_
01 11 06:38:04 339  3397  3397 D EdXposed: skipped com android keychain_x000D_
01 11 06:38:04 366   732   732 D EdXposed: using blacklist  com android mtp    true_x000D_
01 11 06:38:04 366   732   732 D EdXposed: skip injecting xposed into com android mtp because no module hooks it_x000D_
01 11 06:38:04 384  3424  3424 D EdXposed: skipped com android smspush_x000D_
01 11 06:38:04 399   732   732 D EdXposed: using blacklist  com google android gsf    true_x000D_
01 11 06:38:04 399   732   732 D EdXposed: skip injecting xposed into com google android gsf because no module hooks it_x000D_
01 11 06:38:04 408  3447  3447 D EdXposed: skipped android process media_x000D_
01 11 06:38:04 438  3466  3466 D EdXposed: skipped com google process gservices_x000D_
01 11 06:38:04 439   732   732 D EdXposed: using blacklist  com google android gms    true_x000D_
01 11 06:38:04 439   732   732 D EdXposed: skip injecting xposed into com google android gms because no module hooks it_x000D_
01 11 06:38:04 482   732   732 D EdXposed: using blacklist  com android printspooler    true_x000D_
01 11 06:38:04 482   732   732 D EdXposed: skip injecting xposed into com android printspooler because no module hooks it_x000D_
01 11 06:38:04 517  3494  3494 D EdXposed: skipped com google android gms_x000D_
01 11 06:38:04 532  3508  3508 D EdXposed: skipped com android printspooler_x000D_
01 11 06:38:04 604   732   732 D EdXposed: using blacklist  com google android googlequicksearchbox    true_x000D_
01 11 06:38:04 604   732   732 D EdXposed: skip injecting xposed into com google android googlequicksearchbox because no module hooks it_x000D_
01 11 06:38:04 645   733   733 D EdXposed: using blacklist  com adguard android    true_x000D_
01 11 06:38:04 645   733   733 D EdXposed: skip injecting xposed into com adguard android because no module hooks it_x000D_
01 11 06:38:04 686  3550  3550 D EdXposed: skipped com google android googlequicksearchbox:search_x000D_
01 11 06:38:04 699  3565  3565 D EdXposed: skipped com adguard android_x000D_
01 11 06:38:04 860   732   732 D EdXposed: using blacklist  com google android gsf    true_x000D_
01 11 06:38:04 860   732   732 D EdXposed: skip injecting xposed into com google android gsf because no module hooks it_x000D_
01 11 06:38:04 928  3620  3620 D EdXposed: skipped com google process gapps_x000D_
01 11 06:38:05 619   732   732 D EdXposed: using blacklist  com qualcomm qcrilmsgtunnel    true_x000D_
01 11 06:38:05 619   732   732 D EdXposed: skip injecting xposed into com qualcomm qcrilmsgtunnel because no module hooks it_x000D_
01 11 06:38:05 670  3732  3732 D EdXposed: skipped com qualcomm qcrilmsgtunnel_x000D_
01 11 06:38:05 807   732   732 D EdXposed: using blacklist  org protonaosp deviceconfig    true_x000D_
01 11 06:38:05 807   732   732 D EdXposed: skip injecting xposed into org protonaosp deviceconfig because no module hooks it_x000D_
01 11 06:38:05 873  3779  3779 D EdXposed: skipped org protonaosp deviceconfig_x000D_
01 11 06:38:05 967   733   733 D EdXposed: using blacklist  com android vending    true_x000D_
01 11 06:38:05 967   733   733 D EdXposed: skip injecting xposed into com android vending because no module hooks it_x000D_
01 11 06:38:06 038  3810  3810 D EdXposed: skipped com android vending_x000D_
01 11 06:38:07 063   732   732 D EdXposed: using blacklist  com android localtransport    true_x000D_
01 11 06:38:07 063   732   732 D EdXposed: skip injecting xposed into com android localtransport because no module hooks it_x000D_
01 11 06:38:07 128  3949  3949 D EdXposed: skipped com android localtransport_x000D_
01 11 06:38:08 010   733   733 D EdXposed: using blacklist  com android vending    true_x000D_
01 11 06:38:08 010   733   733 D EdXposed: skip injecting xposed into com android vending because no module hooks it_x000D_
01 11 06:38:08 071  4083  4083 D EdXposed: skipped com android vending:download service_x000D_
01 11 06:38:08 288   732   732 D EdXposed: using blacklist  com android providers calendar    true_x000D_
01 11 06:38:08 288   732   732 D EdXposed: skip injecting xposed into com android providers calendar because no module hooks it_x000D_
01 11 06:38:08 333  4118  4118 D EdXposed: skipped com android providers calendar_x000D_
01 11 06:38:09 027   732   732 D EdXposed: using blacklist  com smartpack kernelmanager    true_x000D_
01 11 06:38:09 027   732   732 D EdXposed: skip injecting xposed into com smartpack kernelmanager because no module hooks it_x000D_
01 11 06:38:09 085  4193  4193 D EdXposed: skipped com smartpack kernelmanager_x000D_
01 11 06:38:09 236   733   733 D EdXposed: using blacklist  com android chrome    true_x000D_
01 11 06:38:09 236   733   733 D EdXposed: skip injecting xposed into com android chrome because no module hooks it_x000D_
01 11 06:38:09 299  4230  4230 D EdXposed: skipped com android chrome_x000D_
01 11 06:38:09 385   732   732 D EdXposed: using blacklist  com topjohnwu magisk    true_x000D_
01 11 06:38:09 385   732   732 D EdXposed: skip injecting xposed into com topjohnwu magisk because no module hooks it_x000D_
01 11 06:38:09 410   732   732 D EdXposed: using blacklist  com google android gms    true_x000D_
01 11 06:38:09 410   732   732 D EdXposed: skip injecting xposed into com google android gms because no module hooks it_x000D_
01 11 06:38:09 456  4275  4275 D EdXposed: skipped com google android gms unstable_x000D_
01 11 06:38:09 467  4269  4269 D EdXposed: skipped com topjohnwu magisk_x000D_
01 11 06:38:09 589   732   732 D EdXposed: using blacklist  com android connectivity metrics    true_x000D_
01 11 06:38:09 589   732   732 D EdXposed: skip injecting xposed into com android connectivity metrics because no module hooks it_x000D_
01 11 06:38:09 654  4322  4322 D EdXposed: skipped com android connectivity metrics_x000D_
01 11 06:38:09 714   732   732 D EdXposed: using blacklist  com android dynsystem    true_x000D_
01 11 06:38:09 714   732   732 D EdXposed: skip injecting xposed into com android dynsystem because no module hooks it_x000D_
01 11 06:38:09 758   732   732 D EdXposed: using blacklist  com google android apps messaging    true_x000D_
01 11 06:38:09 758   732   732 D EdXposed: skip injecting xposed into com google android apps messaging because no module hooks it_x000D_
01 11 06:38:09 783  4351  4351 D EdXposed: skipped com android dynsystem_x000D_
01 11 06:38:09 837  4366  4366 D EdXposed: skipped com google android apps messaging_x000D_
01 11 06:38:09 854   732   732 D EdXposed: using blacklist  com android hotwordenrollment okgoogle    true_x000D_
01 11 06:38:09 854   732   732 D EdXposed: skip injecting xposed into com android hotwordenrollment okgoogle because no module hooks it_x000D_
01 11 06:38:09 915  4396  4396 D EdXposed: skipped com android hotwordenrollment okgoogle_x000D_
01 11 06:38:09 982   732   732 D EdXposed: using blacklist  com android hotwordenrollment xgoogle    true_x000D_
01 11 06:38:09 982   732   732 D EdXposed: skip injecting xposed into com android hotwordenrollment xgoogle because no module hooks it_x000D_
01 11 06:38:10 028  4420  4420 D EdXposed: skipped com android hotwordenrollment xgoogle_x000D_
01 11 06:38:10 092   732   732 D EdXposed: using blacklist  com android managedprovisioning    true_x000D_
01 11 06:38:10 092   732   732 D EdXposed: skip injecting xposed into com android managedprovisioning because no module hooks it_x000D_
01 11 06:38:10 150  4448  4448 D EdXposed: skipped com android managedprovisioning_x000D_
01 11 06:38:10 258   732   732 D EdXposed: using blacklist  com android packageinstaller    true_x000D_
01 11 06:38:10 258   732   732 D EdXposed: skip injecting xposed into com android packageinstaller because no module hooks it_x000D_
01 11 06:38:10 296  4480  4480 D EdXposed: skipped com android packageinstaller_x000D_
01 11 06:38:10 352   732   732 D EdXposed: using blacklist  com android permissioncontroller    true_x000D_
01 11 06:38:10 352   732   732 D EdXposed: skip injecting xposed into com android permissioncontroller because no module hooks it_x000D_
01 11 06:38:10 398  4502  4502 D EdXposed: skipped com android permissioncontroller_x000D_
01 11 06:38:10 545   732   732 D EdXposed: using blacklist  com android settings    true_x000D_
01 11 06:38:10 545   732   732 D EdXposed: skip injecting xposed into com android settings because no module hooks it_x000D_
01 11 06:38:10 596  4529  4529 D EdXposed: skipped com android settings_x000D_
01 11 06:38:10 699   732   732 D EdXposed: using blacklist  com android shell    true_x000D_
01 11 06:38:10 699   732   732 D EdXposed: skip injecting xposed into com android shell because no module hooks it_x000D_
01 11 06:38:10 775  4553  4553 D EdXposed: skipped com android shell_x000D_
01 11 06:38:10 840   732   732 D EdXposed: using blacklist  com android traceur    true_x000D_
01 11 06:38:10 840   732   732 D EdXposed: skip injecting xposed into com android traceur because no module hooks it_x000D_
01 11 06:38:10 886  4576  4576 D EdXposed: skipped com android traceur_x000D_
01 11 06:38:11 088   732   732 D EdXposed: using blacklist  com google android inputmethod latin    true_x000D_
01 11 06:38:11 088   732   732 D EdXposed: skip injecting xposed into com google android inputmethod latin because no module hooks it_x000D_
01 11 06:38:11 150  4602  4602 D EdXposed: skipped com google android inputmethod latin_x000D_
01 11 06:38:11 166   732   732 D EdXposed: using blacklist  com google android apps messaging    true_x000D_
01 11 06:38:11 167   732   732 D EdXposed: skip injecting xposed into com google android apps messaging because no module hooks it_x000D_
01 11 06:38:11 231  4629  4629 D EdXposed: skipped com google android apps messaging:rcs_x000D_
01 11 06:38:12 138   732   732 D EdXposed: using blacklist  com google android apps photos    true_x000D_
01 11 06:38:12 138   732   732 D EdXposed: skip injecting xposed into com google android apps photos because no module hooks it_x000D_
01 11 06:38:12 215  4814  4814 D EdXposed: skipped com google android apps photos_x000D_
01 11 06:38:12 614   732   732 D EdXposed: using blacklist  com google android apps turbo    true_x000D_
01 11 06:38:12 614   732   732 D EdXposed: skip injecting xposed into com google android apps turbo because no module hooks it_x000D_
01 11 06:38:12 673  4887  4887 D EdXposed: skipped com google android apps turbo_x000D_
01 11 06:38:13 038  2203  2203 I EdXposed: Loaded  data misc edxp 2ZzWB1oqJ355m7UW framework edxp dex with size 510408_x000D_
01 11 06:38:13 080   732   732 D EdXposed: using blacklist  com google android apps turbo    true_x000D_
01 11 06:38:13 080   732   732 D EdXposed: skip injecting xposed into com google android apps turbo because no module hooks it_x000D_
01 11 06:38:13 122  4996  4996 D EdXposed: skipped com google android apps turbo:aab_x000D_
01 11 06:38:13 174  2203  2203 I EdXposed: Loaded  data misc edxp 2ZzWB1oqJ355m7UW framework eddalvikdx dex with size 894024_x000D_
01 11 06:38:13 188  2203  2203 I EdXposed: Loaded  data misc edxp 2ZzWB1oqJ355m7UW framework eddexmaker dex with size 79984_x000D_
01 11 06:38:13 205  2203  2203 I EdXposed: Start to install inline hooks_x000D_
01 11 06:38:13 205  2203  2203 I EdXposed: Using api level 30_x000D_
01 11 06:38:13 205  2203  2203 I EdXposed: Start to install Riru hook_x000D_
01 11 06:38:13 249  2203  2203 I EdXposed: Riru hooks installed_x000D_
01 11 06:38:13 273  2203  2203 D EdXposed:  ZN3art7Runtime9instance E   0x7a528b3390_x000D_
01 11 06:38:13 273  2203  2203 D EdXposed: art::runtime::Heap object: 0x7a528b2d20_x000D_
01 11 06:38:13 273  2203  2203 D EdXposed: art method hook setup  handle 0x7bd7f3ee00_x000D_
01 11 06:38:13 273  2203  2203 D EdXposed: Classlinker hook setup  handle 0x7bd7f3ee00_x000D_
01 11 06:38:13 273  2203  2203 D EdXposed: Classlinker object: 0x7a228b0ee0_x000D_
01 11 06:38:13 273  2203  2203 W EdXposed:  ZN3art11ClassLinker22FixupStaticTrampolinesENS 6ObjPtrINS 6mirror5ClassEEE not found_x000D_
01 11 06:38:13 274  2203  2203 I EdXposed: ART hooks installed_x000D_
01 11 06:38:13 281  2203  2203 I EdXposed: init to SDK 30_x000D_
01 11 06:38:13 286  2203  2203 D EdXposed: not using yahfa_x000D_
01 11 06:38:13 291  2203  2203 D EdXposed: Done prepare_x000D_
01 11 06:38:13 309  2203  2203 I EdXposed: HookMain: getArtMethod: 0x71925078_x000D_
01 11 06:38:13 310  2203  2203 D EdXposed: deoptimizing method: 0x71925078_x000D_
01 11 06:38:13 310  2203  2203 D EdXposed: SetEntryPointsToInterpreter start  thiz 0x7a228b0ee0  art method 0x71925078_x000D_
01 11 06:38:13 310  2203  2203 D EdXposed: method deoptimized: 0x71925078_x000D_
01 11 06:38:13 310  2203  2203 D EdXposed: startBootstrapHook starts: isSystem   false_x000D_
01 11 06:38:13 311  2203  2203 I EdXposed: HookMain: getArtMethod: 0x71ccd8b8_x000D_
01 11 06:38:13 311  2203  2203 I EdXposed: HookMain: getArtMethod: 0x71ccd8b8_x000D_
01 11 06:38:13 344   732   732 D EdXposed: using blacklist  com google android apps turbo    true_x000D_
01 11 06:38:13 344   732   732 D EdXposed: skip injecting xposed into com google android apps turbo because no module hooks it_x000D_
01 11 06:38:13 355  2203  2203 I EdXposed: HookMain: getArtMethod: 0x71925f60_x000D_
01 11 06:38:13 355  2203  2203 I EdXposed: HookMain: getArtMethod: 0x71925f60_x000D_
01 11 06:38:13 366  2203  2203 I EdXposed: Loading modules for org meowcat edxposed manager_x000D_
01 11 06:38:13 366  2203  2203 D EdXposed: module list: _x000D_
01 11 06:38:13 366  2203  2203 D EdXposed: injected xposed into org meowcat edxposed manager_x000D_
01 11 06:38:13 381  5058  5058 D EdXposed: skipped com google android apps turbo:ssb_x000D_
01 11 06:38:13 386  2203  2203 D EdXposed: ActivityThread handleBindApplication() starts: pkg android  prc android_x000D_
01 11 06:38:13 386  2203  2203 D EdXposed: processName org meowcat edxposed manager  packageName org meowcat edxposed manager  appDataDir  data user 0 org meowcat edxposed manager_x000D_
01 11 06:38:13 386  2203  2203 D EdXposed: LoadedApk  init  starts: pkg org meowcat edxposed manager  prc org meowcat edxposed manager_x000D_
01 11 06:38:13 386  2203  2203 D EdXposed: LoadedApk  init  ends:  data app   qiqXNvU24cuCYlc1zFy7PQ   org meowcat edxposed manager K0WOQrSEVNAdk619JdzEYg   base apk: pkg org meowcat edxposed manager  prc org meowcat edxposed manager_x000D_
01 11 06:38:13 388  2203  2203 D EdXposed: LoadedApk  init  has been loaded before  skip:  data app   qiqXNvU24cuCYlc1zFy7PQ   org meowcat edxposed manager K0WOQrSEVNAdk619JdzEYg   base apk: pkg org meowcat edxposed manager  prc org meowcat edxposed manager_x000D_
01 11 06:38:13 393  2203  2203 I EdXposed: HookMain: getArtMethod: 0x71926460_x000D_
01 11 06:38:13 393  2203  2203 I EdXposed: HookMain: getArtMethod: 0x71926460_x000D_
01 11 06:38:13 432  2203  2203 D EdXposed: LoadedApk getClassLoader starts: pkg org meowcat edxposed manager  prc org meowcat edxposed manager_x000D_
01 11 06:38:13 432  2203  2203 D EdXposed: LoadedApk getClassLoader ends:  data app   qiqXNvU24cuCYlc1zFy7PQ   org meowcat edxposed manager K0WOQrSEVNAdk619JdzEYg   base apk    dalvik system PathClassLoader DexPathList  zip file   data app   qiqXNvU24cuCYlc1zFy7PQ   org meowcat edxposed manager K0WOQrSEVNAdk619JdzEYg   base apk   nativeLibraryDirectories   data app   qiqXNvU24cuCYlc1zFy7PQ   org meowcat edxposed manager K0WOQrSEVNAdk619JdzEYg   lib arm64   system lib64   system system ext lib64   system product lib64   : pkg org meowcat edxposed manager  prc org meowcat edxposed manager_x000D_
01 11 06:38:13 437  2203  2203 D EdXposed: record pending: 0x12ed5bf0 (Lde robv android xposed installer XposedApp )_x000D_
01 11 06:38:13 437  2203  2203 I EdXposed: HookMain: getArtMethod: 0x7928c4e288_x000D_
01 11 06:38:13 437  2203  2203 I EdXposed: HookMain: getArtMethod: 0x7928c4e288_x000D_
01 11 06:38:13 448  2203  2203 I EdXposed: HookMain: getArtMethod: 0x7928c4e7c0_x000D_
01 11 06:38:13 448  2203  2203 I EdXposed: HookMain: getArtMethod: 0x7928c4e7c0_x000D_
01 11 06:38:13 457  2203  2203 I EdXposed: HookMain: getArtMethod: 0x7928c4eee0_x000D_
01 11 06:38:13 457  2203  2203 I EdXposed: HookMain: getArtMethod: 0x7928c4eee0_x000D_
01 11 06:38:13 468  2203  2203 I EdXposed: HookMain: getArtMethod: 0x7928c4f0d0_x000D_
01 11 06:38:13 468  2203  2203 I EdXposed: HookMain: getArtMethod: 0x7928c4f0d0_x000D_
01 11 06:38:13 481  2203  2203 I EdXposed: HookMain: getArtMethod: 0x7928c4f350_x000D_
01 11 06:38:13 481  2203  2203 D EdXposed: deoptimizing method: 0x7928c4f350_x000D_
01 11 06:38:13 481  2203  2203 D EdXposed: SetEntryPointsToInterpreter start  thiz 0x7a228b0ee0  art method 0x7928c4f350_x000D_
01 11 06:38:13 481  2203  2203 D EdXposed: method deoptimized: 0x7928c4f350_x000D_
01 11 06:38:13 502  2203  2203 D EdXposed: before reloadXposedProp   _x000D_
01 11 06:38:13 507  2203  2203 D EdXposed: reloadXposedProp done   _x000D_
01 11 06:38:13 595  2203  2203 D EdXposedManager: EdXposed is not active_x000D_
01 11 06:38:13 595  2203  2203 D EdXposedManager: EdXposed is not active_x000D_
01 11 06:38:13 596  2203  2203 D EdXposedManager: ApplicationList: Force add modules to list_x000D_
01 11 06:38:13 618   732   732 D EdXposed: using blacklist  com google android apps wallpaper    true_x000D_
01 11 06:38:13 618   732   732 D EdXposed: skip injecting xposed into com google android apps wallpaper because no module hooks it_x000D_
01 11 06:38:13 649  5117  5117 D EdXposed: skipped com google android apps wallpaper_x000D_
01 11 06:38:13 987  2203  2203 D EdXposedManager: EdXposed is not active_x000D_
01 11 06:38:15 086   732   732 D EdXposed: using blacklist  com google android apps work oobconfig    true_x000D_
01 11 06:38:15 086   732   732 D EdXposed: skip injecting xposed into com google android apps work oobconfig because no module hooks it_x000D_
01 11 06:38:15 142  5172  5172 D EdXposed: skipped com google android apps work oobconfig_x000D_
01 11 06:38:15 366   732   732 D EdXposed: using blacklist  com google android calendar    true_x000D_
01 11 06:38:15 366   732   732 D EdXposed: skip injecting xposed into com google android calendar because no module hooks it_x000D_
01 11 06:38:15 420  5196  5196 D EdXposed: skipped com google android calendar_x000D_
01 11 06:38:16 053   732   732 D EdXposed: using blacklist  com google android configupdater    true_x000D_
01 11 06:38:16 053   732   732 D EdXposed: skip injecting xposed into com google android configupdater because no module hooks it_x000D_
01 11 06:38:16 105  5265  5265 D EdXposed: skipped com google android configupdater_x000D_
01 11 06:38:16 226   732   732 D EdXposed: using blacklist  com google android contacts    true_x000D_
01 11 06:38:16 226   732   732 D EdXposed: skip injecting xposed into com google android contacts because no module hooks it_x000D_
01 11 06:38:16 285  5312  5312 D EdXposed: ski</t>
  </si>
  <si>
    <t>Anuken-Mindustry-4296</t>
  </si>
  <si>
    <t xml:space="preserve">  Platform  :  Windows _x000D_
_x000D_
  Build  :  122 1 _x000D_
_x000D_
  Issue  :  Unknown to the collapse of the system  mods unloaded (offline)  _x000D_
_x000D_
  Steps to reproduce  :  Play a game _x000D_
_x000D_
  Link(s) to mod(s) used  :  cheat:1 8 5  hacker tools:3 0 0 (offline mods) _x000D_
_x000D_
  Save file  :  nope _x000D_
_x000D_
  (Crash) logs  :  Either crash reports from the crash folder  or the file you get when you go into Settings    Game Data    Export Crash logs  REQUIRED if you are reporting a crash  _x000D_
 crash report 01 10 2021 00 02 07 txt (https:  github com Anuken Mindustry files 5791826 crash report 01 10 2021 00 02 07 txt)_x000D_
 last log txt (https:  github com Anuken Mindustry files 5791827 last log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</si>
  <si>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Anuken-Mindustry-4293</t>
  </si>
  <si>
    <t>A couple of logic issues when reloading the map.</t>
  </si>
  <si>
    <t xml:space="preserve">  Platform  :  Windows _x000D_
_x000D_
  Build  :  122 1 _x000D_
_x000D_
  Issue  :  When reloading the map disabled blocks enable themselves  processors forget blocks that were assigned to a variable via getlink and displays forget their image  _x000D_
_x000D_
  Steps to reproduce  :  I ve linked a map where I ve reproduced the issues  processors that reproduce this and message blocks with further detail are present there  _x000D_
_x000D_
  Link(s) to mod(s) used  :  None  _x000D_
_x000D_
  Save file  :   logic bugs zip (https:  github com Anuken Mindustry files 5791487 logic bugs zip) 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</si>
  <si>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PojavLauncherTeam-PojavLauncher-583</t>
  </si>
  <si>
    <t>[BUG]Could not install Forge</t>
  </si>
  <si>
    <t xml:space="preserve">  Describe the bug  _x000D_
Game exits with code 1 when installing Forge 1 15 2 31 2 47_x000D_
_x000D_
  To Reproduce  _x000D_
Steps to reproduce the behavior:_x000D_
1  Start PojavLauncher_x000D_
2  Install mod launcher_x000D_
_x000D_
  Expected behavior  _x000D_
I expected to install Forge successfully _x000D_
_x000D_
  Screenshots  _x000D_
_x000D_
  Platform:  _x000D_
   Device Model _x000D_
   CPU architecture  aarch64_x000D_
   Android Version 10_x000D_
_x000D_
 details   summary  b Additional context  b   summary _x000D_
 br _x000D_
 pre _x000D_
Here is the log:_x000D_
Detected Forge Installer 1 13 or above _x000D_
Launching JVM_x000D_
Info: Java arguments:   Dcacio managed screensize 2050x1080   cp   storage emulated 0 games PojavLauncher  minecraft config forge installer headless jar: storage emulated 0 Download Browser forge 1 15 2 31 2 47 installer 20210103 115010 jar  me xfl03 HeadlessInstaller    installClient    _x000D_
          beginning of crash_x000D_
          beginning of main_x000D_
S LaunchJVM(29913): dlopen  data user 0 net kdt pojavlaunch jre runtime lib aarch64 server libjvm so success_x000D_
I jrelog  (29913): WARNING: linker: Warning:   data data net kdt pojavlaunch jre runtime lib aarch64 libverify so  unused DT entry: DT RPATH (type 0xf arg 0x450) (ignoring)_x000D_
I jrelog  (29913): WARNING: linker: Warning:   data data net kdt pojavlaunch jre runtime lib aarch64 libverify so  has unsupported flags DT FLAGS 1 0x81 (ignoring unsupported flags)_x000D_
S LaunchJVM(29913): dlopen  data user 0 net kdt pojavlaunch jre runtime lib aarch64 libverify so success_x000D_
I jrelog  (29913): WARNING: linker: _x000D_
I jrelog  (29913): Warning:   data data net kdt pojavlaunch jre runtime lib aarch64 libjava so  unused DT entry: DT RPATH (type 0xf arg 0x33c0) (ignoring)_x000D_
I jrelog  (29913): WARNING: linker: Warning:   data data net kdt pojavlaunch jre runtime lib aarch64 libjava so  has unsupported flags DT FLAGS 1 0x81 (ignoring unsupported flags)_x000D_
S LaunchJVM(29913): dlopen  data user 0 net kdt pojavlaunch jre runtime lib aarch64 libjava so success_x000D_
I jrelog  (29913): WARNING: linker: _x000D_
I jrelog  (29913): Warning:   data data net kdt pojavlaunch jre runtime lib aarch64 libnet so  unused DT entry: DT RPATH (type 0xf arg 0x13b8) (ignoring)_x000D_
I jrelog  (29913): _x000D_
I jrelog  (29913): WARNING: linker: Warning:   data data net kdt pojavlaunch jre runtime lib aarch64 libnet so  has unsupported flags DT FLAGS 1 0x81 (ignoring unsupported flags)_x000D_
S LaunchJVM(29913): dlopen  data user 0 net kdt pojavlaunch jre runtime lib aarch64 libnet so success_x000D_
I jrelog  (29913): WARNING: linker: _x000D_
I jrelog  (29913): Warning:  _x000D_
I jrelog  (29913):  data data net kdt pojavlaunch jre runtime lib aarch64 libnio so_x000D_
I jrelog  (29913):   unused DT entry: _x000D_
I jrelog  (29913): DT RPATH_x000D_
I jrelog  (29913):  (type _x000D_
I jrelog  (29913): 0xf_x000D_
I jrelog  (29913):  arg _x000D_
I jrelog  (29913): 0x2196_x000D_
I jrelog  (29913): ) (ignoring)_x000D_
I jrelog  (29913): _x000D_
I jrelog  (29913): WARNING: linker: _x000D_
I jrelog  (29913): Warning:  _x000D_
I jrelog  (29913):  data data net kdt pojavlaunch jre runtime lib aarch64 libnio so_x000D_
I jrelog  (29913):   has unsupported flags DT FLAGS 1 _x000D_
I jrelog  (29913): 0x81_x000D_
I jrelog  (29913):  (ignoring unsupported flags)_x000D_
I jrelog  (29913): _x000D_
S LaunchJVM(29913): dlopen  data user 0 net kdt pojavlaunch jre runtime lib aarch64 libnio so success_x000D_
I jrelog  (29913): WARNING: linker: Warning:   data data net kdt pojavlaunch jre runtime lib aarch64 libawt so  unused DT entry: DT RPATH (type 0xf arg 0x6a46) (ignoring)_x000D_
I jrelog  (29913): WARNING: linker: Warning:   data data net kdt pojavlaunch jre runtime lib aarch64 libawt so  has unsupported flags DT FLAGS 1 0x81 (ignoring unsupported flags)_x000D_
S LaunchJVM(29913): dlopen  data user 0 net kdt pojavlaunch jre runtime lib aarch64 libawt so success_x000D_
I jrelog  (29913): WARNING: linker: _x000D_
I jrelog  (29913): Warning:   data data net kdt pojavlaunch jre runtime lib aarch64 libawt headless so  unused DT entry: DT RPATH (type 0xf arg 0x4d9) (ignoring)_x000D_
I jrelog  (29913): WARNING: linker: Warning:   data data net kdt pojavlaunch jre runtime lib aarch64 libawt headless so  has unsupported flags DT FLAGS 1 0x81 (ignoring unsupported flags)_x000D_
S LaunchJVM(29913): dlopen  data user 0 net kdt pojavlaunch jre runtime lib aarch64 libawt headless so success_x000D_
S LaunchJVM(29913): dlopen  data user 0 net kdt pojavlaunch jre runtime lib aarch64 libfreetype so success_x000D_
I jrelog  (29913): WARNING: linker: _x000D_
I jrelog  (29913): Warning:   data data net kdt pojavlaunch jre runtime lib aarch64 libfontmanager so  unused DT entry: DT RPATH (type 0xf arg 0xda0) (ignoring)_x000D_
I jrelog  (29913): WARNING: linker: Warning:   data data net kdt pojavlaunch jre runtime lib aarch64 libfontmanager so  has unsupported flags DT FLAGS 1 0x81 (ignoring unsupported flags)_x000D_
S LaunchJVM(29913): dlopen  data user 0 net kdt pojavlaunch jre runtime lib aarch64 libfontmanager so success_x000D_
S LaunchJVM(29913): dlopen  data app net kdt pojavlaunch H4YQXbwKggor2GqhBaZMLw   lib arm64 libopenal so success_x000D_
S LaunchJVM(29913): dlopen  data app net kdt pojavlaunch H4YQXbwKggor2GqhBaZMLw   lib arm64 libgl04es so success_x000D_
S LaunchJVM(29913): Done processing args_x000D_
S LaunchJVM(29913): Found JLI lib_x000D_
S LaunchJVM(29913): Calling JLI Launch_x000D_
I jrelog  (29913): OpenJDK 64 Bit Server VM warning: No monotonic clock was available   timed services may be adversely affected if the time of day clock changes_x000D_
I jrelog  (29913): _x000D_
I jrelog  (29913): WARNING: linker: _x000D_
I jrelog  (29913): Warning:  _x000D_
I jrelog  (29913):  data data net kdt pojavlaunch jre runtime lib aarch64 libzip so_x000D_
I jrelog  (29913):   unused DT entry: _x000D_
I jrelog  (29913): DT RPATH_x000D_
I jrelog  (29913):  (type _x000D_
I jrelog  (29913): 0xf_x000D_
I jrelog  (29913):  arg _x000D_
I jrelog  (29913): 0x8ff_x000D_
I jrelog  (29913): ) (ignoring)_x000D_
I jrelog  (29913): _x000D_
I jrelog  (29913): WARNING: linker: _x000D_
I jrelog  (29913): Warning:  _x000D_
I jrelog  (29913):  data data net kdt pojavlaunch jre runtime lib aarch64 libzip so_x000D_
I jrelog  (29913):   has unsupported flags DT FLAGS 1 _x000D_
I jrelog  (29913): 0x81_x000D_
I jrelog  (29913):  (ignoring unsupported flags)_x000D_
I jrelog  (29913): _x000D_
I jrelog  (29913): Exception in thread  main  _x000D_
I jrelog  (29913): joptsimple UnrecognizedOptionException: X is not a recognized option_x000D_
I jrelog  (29913): _x000D_
I jrelog  (29913): 	at joptsimple OptionException unrecognizedOption(OptionException java:108)_x000D_
I jrelog  (29913): _x000D_
I jrelog  (29913): 	at joptsimple OptionParser validateOptionCharacters(OptionParser java:633)_x000D_
I jrelog  (29913): _x000D_
I jrelog  (29913): 	at joptsimple OptionParser handleShortOptionCluster(OptionParser java:528)_x000D_
I jrelog  (29913): _x000D_
I jrelog  (29913): 	at joptsimple OptionParser handleShortOptionToken(OptionParser java:523)_x000D_
I jrelog  (29913): _x000D_
I jrelog  (29913): 	at joptsimple OptionParserState 2 handleArgument(OptionParserState java:59)_x000D_
I jrelog  (29913): _x000D_
I jrelog  (29913): 	at joptsimple OptionParser parse(OptionParser java:396)_x000D_
I jrelog  (29913): _x000D_
I jrelog  (29913): 	at me xfl03 HeadlessInstaller main(HeadlessInstaller java:50)_x000D_
I jrelog  (29913): _x000D_
Java Exit code: 1_x000D_
S LaunchJVM(29913): Going to free args_x000D_
S LaunchJVM(29913): Free done_x000D_
Install successful_x000D_
          beginning of system_x000D_
  pre _x000D_
  details _x000D_
</t>
  </si>
  <si>
    <t>Anuken-Mindustry-4291</t>
  </si>
  <si>
    <t>Unit "Mega" can't be used to heal buildings with a logic unit</t>
  </si>
  <si>
    <t xml:space="preserve">  Platform  :  Windows _x000D_
_x000D_
  Build  :  steam build 122 1 _x000D_
_x000D_
  Issue  :  The unit  Mega  won t heal shoot when controlled by a logic unit  _x000D_
  MindustryA (https:  user images githubusercontent com 22928478 104085811 865d7600 5252 11eb 916d 757500c8bde8 png)_x000D_
_x000D_
Used code:_x000D_
  Code (https:  user images githubusercontent com 22928478 104085741 0b945b00 5252 11eb 96ff 7212f732635e png)_x000D_
_x000D_
  Steps to reproduce  :  Use the code above to heal shoot on a tower with a logic unit (the unit type need to be changed to the corresponding unit type)  Other units shoot at the target  the  Mega  unit does not  _x000D_
_x000D_
  Nodes:  _x000D_
_x000D_
  The unit  Horizon  needs to fly over a target to shoot throw bomps  Example code (with a message field):_x000D_
   ubind  horizon_x000D_
ulocate building turret false  copper outx outy found building_x000D_
sensor unitX  unit  x_x000D_
op add pointA outx 2_x000D_
op sub pointB outx 2_x000D_
jump 7 greaterThan unitX pointB_x000D_
set movingToB false_x000D_
jump 13 equal movingToB true_x000D_
jump 13 greaterThanEq unitX pointA_x000D_
print  Move to A _x000D_
op add resultX unitX 2_x000D_
ucontrol move resultX outy 0 0 0_x000D_
jump 17 always_x000D_
print  Move to B _x000D_
set movingToB true_x000D_
op sub resultX unitX 2_x000D_
ucontrol move resultX outy 0 0 0_x000D_
ucontrol targetp building 1 0 0 0_x000D_
printflush message1_x000D_
   _x000D_
  The antumbra and the eclipse don t shoot either _x000D_
_x000D_
  Link(s) to mod(s) used  :  No mods used  _x000D_
_x000D_
  Save file  :    Map zip (https:  github com Anuken Mindustry files 5790278 Map zip)    bug test zip (https:  github com Anuken Mindustry files 5791346 bug test zip)_x000D_
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</si>
  <si>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nextcloud-android-7796</t>
  </si>
  <si>
    <t>Client Crash when clicking "+" button</t>
  </si>
  <si>
    <t xml:space="preserve">    Steps to reproduce_x000D_
1   Press the   Button let the application crashing every time_x000D_
_x000D_
Backend 20 4_x000D_
_x000D_
             CAUSE OF ERROR             _x000D_
_x000D_
java lang IllegalStateException: The specified child already has a parent  You must call removeView() on the child s parent first _x000D_
	at android view ViewGroup addViewInner(ViewGroup java:5260)_x000D_
	at android view ViewGroup addView(ViewGroup java:5089)_x000D_
	at android view ViewGroup addView(ViewGroup java:5029)_x000D_
	at android view ViewGroup addView(ViewGroup java:5001)_x000D_
	at com owncloud android ui fragment OCFileListBottomSheetDialog onCreate(OCFileListBottomSheetDialog java:131)_x000D_
	at android app Dialog dispatchOnCreate(Dialog java:419)_x000D_
	at android app Dialog show(Dialog java:313)_x000D_
	at com owncloud android ui fragment OCFileListFragment lambda registerFabListener 2 OCFileListFragment(OCFileListFragment java:442)_x000D_
	at com owncloud android ui fragment    Lambda OCFileListFragment aYkoWPoxzAOahKL5AVjT06NhcnM onClick(Unknown Source:4)_x000D_
	at android view View performClick(View java:7520)_x000D_
	at android view View performClickInternal(View java:7489)_x000D_
	at android view View access 3600(View java:826)_x000D_
	at android view View PerformClick run(View java:28555)_x000D_
	at android os Handler handleCallback(Handler java:938)_x000D_
	at android os Handler dispatchMessage(Handler java:99)_x000D_
	at android os Looper loop(Looper java:245)_x000D_
	at android app ActivityThread main(ActivityThread java:7953)_x000D_
	at java lang reflect Method invoke(Native Method)_x000D_
	at com android internal os RuntimeInit MethodAndArgsCaller run(RuntimeInit java:631)_x000D_
	at com android internal os ZygoteInit main(ZygoteInit java:978)_x000D_
_x000D_
             APP INFORMATION             _x000D_
ID: com nextcloud client_x000D_
Version: 30140251_x000D_
Build flavor: gplay_x000D_
_x000D_
             DEVICE INFORMATION             _x000D_
Brand: OnePlus_x000D_
Device: OnePlus8Pro_x000D_
Model: IN2023_x000D_
Id: RP1A 201005 001_x000D_
Product: OnePlus8Pro EEA_x000D_
_x000D_
             FIRMWARE             _x000D_
SDK: 30_x000D_
Release: 11_x000D_
Incremental: 2011190105_x000D_
</t>
  </si>
  <si>
    <t>ultrasonic-ultrasonic-371</t>
  </si>
  <si>
    <t>Crash when viewing by genres</t>
  </si>
  <si>
    <t xml:space="preserve">   Problem description_x000D_
_x000D_
The app crashes when trying to list the music by genres _x000D_
_x000D_
    Steps to reproduce_x000D_
_x000D_
Able to reproduce 100  times:_x000D_
_x000D_
1  Open the app_x000D_
2  Click on   Genres   under   Music  _x000D_
3  App crashes_x000D_
_x000D_
   System information_x000D_
_x000D_
     Ultrasonic version  :  2 17 2 _x000D_
     Android version  :  Android 8 1 0 _x000D_
     Device info  :  Xiami  Mi A2 _x000D_
_x000D_
   Additional notes_x000D_
_x000D_
Here is the  ultrasonic stacktrace txt  file that s being dumped on the phone when it crashes _x000D_
_x000D_
I am using Navidrome as the server  I can see the request coming in and it is returning a 200 _x000D_
_x000D_
 ultrasonic stacktrace txt : https:  paste sr ht blob 239a14c36c8bfa34f1f0df57b64dfc00b1ef274a_x000D_
_x000D_
Edit:_x000D_
_x000D_
Here is what Navidrome is sending:_x000D_
_x000D_
   json_x000D_
 _x000D_
   subsonic response :  _x000D_
     status :  ok  _x000D_
     version :  1 16 1  _x000D_
     type :  navidrome  _x000D_
     serverVersion :  0 39 0 (f2a8308)  _x000D_
     genres :  _x000D_
       genre :  _x000D_
         _x000D_
           value :   Empty   _x000D_
           songCount : 303 _x000D_
           albumCount : 63_x000D_
          _x000D_
         _x000D_
           value :  Alternative Rock  Pop Punk  J Rock  _x000D_
           songCount : 5 _x000D_
           albumCount : 1_x000D_
          _x000D_
          _x000D_
       _x000D_
     _x000D_
   _x000D_
 _x000D_
   _x000D_
</t>
  </si>
  <si>
    <t>PojavLauncherTeam-PojavLauncher-580</t>
  </si>
  <si>
    <t>[BUG] so basically every time i turn on i crash</t>
  </si>
  <si>
    <t xml:space="preserve">  Describe the bug  _x000D_
I keep crashing  i installed pojav  installed optifine  used the install optifine function and turned on the game  after that i get an error message _x000D_
_x000D_
  To Reproduce  _x000D_
Steps to reproduce the behavior:_x000D_
1  Start PojavLauncher_x000D_
2  Turn on optifine (install) on 1 16 4_x000D_
3  Press 1 16 4_x000D_
4  Just skip the loading when u can_x000D_
_x000D_
  Expected behavior  _x000D_
I expected it to turn on _x000D_
_x000D_
  Screenshots  _x000D_
_x000D_
_x000D_
  Platform:  _x000D_
   Device Model Redmi 7_x000D_
   CPU architecture aarch64_x000D_
   Android Version newest for now  i really have no idea_x000D_
_x000D_
 details   summary  b Additional context  b   summary _x000D_
 br _x000D_
 pre _x000D_
Add any other context about the problem here _x000D_
  pre _x000D_
  details _x000D_
</t>
  </si>
  <si>
    <t>nextcloud-android-7793</t>
  </si>
  <si>
    <t>IllegalStateException on upload</t>
  </si>
  <si>
    <t xml:space="preserve">    Steps to reproduce
1  Open the app
2  Tap the bottom right upload button
    Expected behaviour
  it should not crash
    Actual behaviour
  it crashed
Nextcloud server version: 20 0 4
    Logs
     Nextcloud log (data nextcloud log)
             CAUSE OF ERROR             
java lang IllegalStateException: The specified child already has a parent  You must call removeView() on the child s parent first 
	at android view ViewGroup addViewInner(ViewGroup java:5131)
	at android view ViewGroup addView(ViewGroup java:4960)
	at android view ViewGroup addView(ViewGroup java:4900)
	at android view ViewGroup addView(ViewGroup java:4873)
	at com owncloud android ui fragment OCFileListBottomSheetDialog onCreate(OCFileListBottomSheetDialog java:131)
	at android app Dialog dispatchOnCreate(Dialog java:421)
	at android app Dialog show(Dialog java:315)
	at com owncloud android ui fragment OCFileListFragment lambda registerFabListener 2 OCFileListFragment(OCFileListFragment java:442)
	at com owncloud android ui fragment    Lambda OCFileListFragment aYkoWPoxzAOahKL5AVjT06NhcnM onClick(Unknown Source:4)
	at android view View performClick(View java:7201)
	at android view View performClickInternal(View java:7170)
	at android view View access 3500(View java:806)
	at android view View PerformClick run(View java:27582)
	at android os Handler handleCallback(Handler java:883)
	at android os Handler dispatchMessage(Handler java:100)
	at android os Looper loop(Looper java:214)
	at android app ActivityThread main(ActivityThread java:7710)
	at java lang reflect Method invoke(Native Method)
	at com android internal os RuntimeInit MethodAndArgsCaller run(RuntimeInit java:516)
	at com android internal os ZygoteInit main(ZygoteInit java:950)
             APP INFORMATION             
ID: com nextcloud client
Version: 30140251
Build flavor: gplay
             DEVICE INFORMATION             
Brand: OnePlus
Device: OnePlus7T
Model: HD1905
Id: 
Product: OnePlus7T
             FIRMWARE             
SDK: 29
Release: 10
Incremental: 2011052234
   </t>
  </si>
  <si>
    <t>deepjavalibrary-djl-494</t>
  </si>
  <si>
    <t>Training crash with Seq2Seq model</t>
  </si>
  <si>
    <t xml:space="preserve">On windows I got an error code of 0xC0000374 and on linux I got an error message  corrupted double linked list   both seems memory problem  I do the training on CPU  The codes are like the following:_x000D_
   _x000D_
try(Model model   Model newInstance( time series )) _x000D_
   NDManager nd   model getNDManager() _x000D_
   NDArray inputs   nd create(new float     _x000D_
          1 0f 2 0f 3 0f 4 0f 5 0f 6 0f  _x000D_
          2 0f 3 0f 4 0f 5 0f 6 0f 7 0f  _x000D_
          3 0f 4 0f 5 0f 6 0f 7 0f 8 0f  _x000D_
          4 0f 5 0f 6 0f 7 0f 8 0f 9 0f  _x000D_
          5 0f 6 0f 7 0f 8 0f 9 0f 10 0f  _x000D_
          6 0f 7 0f 8 0f 9 0f 10 0f 11 0f  _x000D_
          7 0f 8 0f 9 0f 10 0f 11 0f 12 0f  _x000D_
          8 0f 9 0f 10 0f 11 0f 12 0f 13 0f  _x000D_
          9 0f 10 0f 11 0f 12 0f 13 0f 14 0f  _x000D_
          10 0f 11 0f 12 0f 13 0f 14 0f 15 0f _x000D_
    ) _x000D_
   Shape inputShape   inputs getShape() _x000D_
   long cnt   inputShape get(0) _x000D_
   long dur   inputShape get(1) _x000D_
   long predDur   2L _x000D_
   long trainDur   3L _x000D_
   long start   dur trainDur predDur 1 _x000D_
   NDArray encoderInputs   inputs get( :   start  :  (start trainDur)) reshape(new Shape(cnt trainDur 1L)) _x000D_
   NDArray decoderInputs   inputs get( :   (start trainDur)  :  (start trainDur predDur)) reshape(new Shape(cnt predDur 1L)) _x000D_
   int batchSize   1 _x000D_
   ArrayDataset trainingDataset   new ArrayDataset Builder()_x000D_
          setData(encoderInputs)_x000D_
          optLabels(decoderInputs)_x000D_
          setSampling(batchSize false)_x000D_
          build() _x000D_
   Encoder encoder   new SimpleTextEncoder(LSTM builder()_x000D_
          setNumStackedLayers(1)_x000D_
          setStateSize(2)_x000D_
          build()) _x000D_
   Decoder decoder   new SimpleTextDecoder(LSTM builder()_x000D_
          setNumStackedLayers(1)_x000D_
          setStateSize(2)_x000D_
          build() 1) _x000D_
   EncoderDecoder net   new EncoderDecoder(encoder decoder) _x000D_
   model setBlock(net) _x000D_
   Loss loss   Loss l1Loss() _x000D_
   Tracker tracker   Tracker fixed(0 001f) _x000D_
   Optimizer optimizer   Optimizer sgd() setLearningRateTracker(tracker) build() _x000D_
   TrainingListener   listeners   TrainingListener Defaults logging() _x000D_
   TrainingConfig config   new DefaultTrainingConfig(loss) optOptimizer(optimizer) addTrainingListeners(listeners) _x000D_
   int numEpochs   10 _x000D_
   try(Trainer trainer   model newTrainer(config)) _x000D_
      trainer initialize(encoderInputs getShape() decoderInputs getShape()) _x000D_
      for (int epoch   0  epoch   numEpochs  epoch  )  _x000D_
         EasyTrain fit(trainer numEpochs trainingDataset null) _x000D_
       _x000D_
    _x000D_
 _x000D_
   _x000D_
The lib versions are djl 0 9 0 and mxnet 1 7 0  and the crash point seems always on EasyTrain java line 83 collector backward(lossValue)  Why the backward fails and how to solve it then  Thanks </t>
  </si>
  <si>
    <t>nextcloud-android-7790</t>
  </si>
  <si>
    <t>Crash on some selection</t>
  </si>
  <si>
    <t xml:space="preserve">    Steps to reproduce_x000D_
1  click folder description_x000D_
2  long press to select title_x000D_
3  long press at the blank space after title_x000D_
_x000D_
https:  user images githubusercontent com 36528777 103870410 a122d400 5106 11eb 837d 415084cd1be1 mp4_x000D_
_x000D_
    Expected behaviour_x000D_
  don t crash_x000D_
_x000D_
    Actual behaviour_x000D_
  crash_x000D_
_x000D_
    Can you reproduce this problem on https:  try nextcloud com _x000D_
I believe the bug is client side_x000D_
_x000D_
    Environment data_x000D_
_x000D_
See log_x000D_
_x000D_
    Logs_x000D_
_x000D_
   _x000D_
             CAUSE OF ERROR             _x000D_
_x000D_
java lang IndexOutOfBoundsException: setSpan ( 1      1) starts before 0_x000D_
	at android text SpannableStringInternal checkRange(SpannableStringInternal java:442)_x000D_
	at android text SpannableStringInternal setSpan(SpannableStringInternal java:163)_x000D_
	at android text SpannableStringInternal setSpan(SpannableStringInternal java:152)_x000D_
	at android text SpannableString setSpan(SpannableString java:46)_x000D_
	at android text Selection setSelection(Selection java:76)_x000D_
	at android widget Editor SelectionModifierCursorController resetDragAcceleratorState(Editor java:5769)_x000D_
	at android widget Editor SelectionModifierCursorController onTouchEvent(Editor java:5620)_x000D_
	at android widget Editor onTouchEvent(Editor java:1408)_x000D_
	at android widget TextView onTouchEvent(TextView java:9916)_x000D_
	at android view View dispatchTouchEvent(View java:11788)_x000D_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android view ViewGroup dispatchTransformedTouchEvent(ViewGroup java:2974)_x000D_
	at android view ViewGroup dispatchTouchEvent(ViewGroup java:2661)_x000D_
	at com android internal policy DecorView superDispatchTouchEvent(DecorView java:549)_x000D_
	at com android internal policy PhoneWindow superDispatchTouchEvent(PhoneWindow java:1953)_x000D_
	at android app Activity dispatchTouchEvent(Activity java:3559)_x000D_
	at androidx appcompat view WindowCallbackWrapper dispatchTouchEvent(WindowCallbackWrapper java:69)_x000D_
	at androidx appcompat view WindowCallbackWrapper dispatchTouchEvent(WindowCallbackWrapper java:69)_x000D_
	at com android internal policy DecorView dispatchTouchEvent(DecorView java:502)_x000D_
	at android view View dispatchPointerEvent(View java:12027)_x000D_
	at android view ViewRootImpl ViewPostImeInputStage processPointerEvent(ViewRootImpl java:5304)_x000D_
	at android view ViewRootImpl ViewPostImeInputStage onProcess(ViewRootImpl java:5093)_x000D_
	at android view ViewRootImpl InputStage deliver(ViewRootImpl java:4588)_x000D_
	at android view ViewRootImpl InputStage onDeliverToNext(ViewRootImpl java:4641)_x000D_
	at android view ViewRootImpl InputStage forward(ViewRootImpl java:4607)_x000D_
	at android view ViewRootImpl AsyncInputStage forward(ViewRootImpl java:4734)_x000D_
	at android view ViewRootImpl InputStage apply(ViewRootImpl java:4615)_x000D_
	at android view ViewRootImpl AsyncInputStage apply(ViewRootImpl java:4791)_x000D_
	at android view ViewRootImpl InputStage deliver(ViewRootImpl java:4588)_x000D_
	at android view ViewRootImpl InputStage onDeliverToNext(ViewRootImpl java:4641)_x000D_
	at android view ViewRootImpl InputStage forward(ViewRootImpl java:4607)_x000D_
	at android view ViewRootImpl InputStage apply(ViewRootImpl java:4615)_x000D_
	at android view ViewRootImpl InputStage deliver(ViewRootImpl java:4588)_x000D_
	at android view ViewRootImpl deliverInputEvent(ViewRootImpl java:7195)_x000D_
	at android view ViewRootImpl doProcessInputEvents(ViewRootImpl java:7169)_x000D_
	at android view ViewRootImpl enqueueInputEvent(ViewRootImpl java:7130)_x000D_
	at android view ViewRootImpl WindowInputEventReceiver onInputEvent(ViewRootImpl java:7351)_x000D_
	at android view InputEventReceiver dispatchInputEvent(InputEventReceiver java:192)_x000D_
	at android os MessageQueue nativePollOnce(Native Method)_x000D_
	at android os MessageQueue next(MessageQueue java:379)_x000D_
	at android os Looper loop(Looper java:144)_x000D_
	at android app ActivityThread main(ActivityThread java:7529)_x000D_
	at java lang reflect Method invoke(Native Method)_x000D_
	at com android internal os Zygote MethodAndArgsCaller run(Zygote java:245)_x000D_
	at com android internal os ZygoteInit main(ZygoteInit java:921)_x000D_
_x000D_
             APP INFORMATION             _x000D_
ID: com nextcloud client_x000D_
Version: 30140190_x000D_
Build flavor: generic_x000D_
_x000D_
             DEVICE INFORMATION             _x000D_
Brand: honor_x000D_
Device: HWFRD_x000D_
Model: FRD AL10_x000D_
Id: HUAWEIFRD AL10_x000D_
Product: FRD AL10_x000D_
_x000D_
             FIRMWARE             _x000D_
SDK: 26_x000D_
Release: 8 0 0_x000D_
Incremental: 556(C00)_x000D_
   _x000D_
_x000D_
     Web server error log_x000D_
I believe the bug is client side_x000D_
_x000D_
     Nextcloud log (data nextcloud log)_x000D_
I believe the bug is client side_x000D_
_x000D_
    Additional comment_x000D_
_x000D_
This is a small bug that does not matter too much  But the less crashes  the better :)</t>
  </si>
  <si>
    <t>TeamNewPipe-NewPipe-5363</t>
  </si>
  <si>
    <t>webm 360p not showing up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</si>
  <si>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setting and choose default audio and video format as webm_x000D_
2 Watch any video which is in webm format_x000D_
3  see that every format except 360p is in webm format same goes for download_x000D_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360p should be available in webm format like all other resolutions_x000D_
_x000D_
_x000D_
    Expected behavior_x000D_
     Tell us what you expect to happen     _x000D_
360p isn t in webm format_x000D_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bug1 (https:  user images githubusercontent com 77095975 103867146 de7a6800 50ec 11eb 97db 68ff753bdfaa jpg)_x000D_
  bug2 (https:  user images githubusercontent com 77095975 103867173 eafec080 50ec 11eb 84d0 8607a1415ef0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7 based on miui 11 2_x000D_
   Device model: mido_x000D_
</t>
  </si>
  <si>
    <t>onaio-rdt-standard-671</t>
  </si>
  <si>
    <t>Sync issues: Sync process took longer time and crashed</t>
  </si>
  <si>
    <t xml:space="preserve">When the first time we installed the APK  it will sync and take a longer time  about 1   2 mins  Usually more than 1 mins  While this process happened  users will get confused and start clicking anything  trying to find out what s going on  And during the process (if the sync process has not been finished)  if we clicked another button  it will crash  Have sent videos to Wasim _x000D_
_x000D_
1st time install   log in   syncing   taking longer time  clicking shipping preparation or plus button   crashed_x000D_
_x000D_
Replicated on Samsung A50s Android 10  Redmi plus Android 8 1 0  and other phones  Will tell you other versions of the APK on the comments asap </t>
  </si>
  <si>
    <t>openboard-team-openboard-260</t>
  </si>
  <si>
    <t>Crash when using with TalkBack</t>
  </si>
  <si>
    <t xml:space="preserve">TalkBack is an Android accessibility service that provides spoken feedback for user s with limited or no sight  Currently openboard can appear on screen when TalkBack is enabled  but once a key is pressed openboard will crash _x000D_
_x000D_
When TalkBack is enabled  compatible keyboards typically will let users:_x000D_
_x000D_
  1  tap a key to have the key read aloud_x000D_
   2   double tap any where in the keyboard area to confirm the character selected in step 1 _x000D_
</t>
  </si>
  <si>
    <t>MuntashirAkon-AppManager-214</t>
  </si>
  <si>
    <t>Crash on start - Android-x86 (VirtualBox)</t>
  </si>
  <si>
    <t>AM crashes when trying to start app after installation _x000D_
_x000D_
java lang RuntimeException: Unable to start activity ComponentInfo io github muntashirakon AppManager io github muntashirakon AppManager main MainActivity : java lang RuntimeException: Cannot create an instance of class io github muntashirakon AppManager main MainViewModel_x000D_
    at android app ActivityThread performLaunchActivity(ActivityThread java:2913)_x000D_
    at android app ActivityThread handleLaunchActivity(ActivityThread java:3048)_x000D_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java:1808)_x000D_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java:518)_x000D_
    at com android internal os ZygoteInit main(ZygoteInit java:858)_x000D_
 Caused by: java lang RuntimeException: Cannot create an instance of class io github muntashirakon AppManager main MainViewModel_x000D_
   at androidx lifecycle ViewModelProvider AndroidViewModelFactory create(ViewModelProvider java:275)_x000D_
   at io github muntashirakon AppManager main MainActivity onCreate(MainActivity java:209)_x000D_
   at android app Activity performCreate(Activity java:7146)_x000D_
   at android app Activity performCreate(Activity java:7137)_x000D_
   at android app Instrumentation callActivityOnCreate(Instrumentation java:1271)_x000D_
   at android app ActivityThread performLaunchActivity(ActivityThread java:2893)_x000D_
   at android app ActivityThread handleLaunchActivity(ActivityThread java:3048)_x000D_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java:1808)_x000D_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java:518)_x000D_
   at com android internal os ZygoteInit main(ZygoteInit java:858)_x000D_
_x000D_
Device Info:_x000D_
App version: 2 5 21 PRE_x000D_
App version code: 377_x000D_
Android build version: eng lh 20200325 112926_x000D_
Android release version: 9_x000D_
Android SDK version: 28_x000D_
Android build ID: android x86 64 userdebug 9 PI eng lh 20200325 112926 test keys_x000D_
Device brand: Android x86_x000D_
Device manufacturer: innotek GmbH_x000D_
Device name: x86 64_x000D_
Device model: VirtualBox_x000D_
Device product name: android x86 64_x000D_
Device hardware name: android x86 64_x000D_
ABIs:  x86 64  x86  armeabi v7a  armeabi _x000D_
ABIs (32bit):  x86  armeabi v7a  armeabi _x000D_
ABIs (64bit):  x86 64 _x000D_
System language: en US_x000D_
In App Language: auto</t>
  </si>
  <si>
    <t>Anuken-Mindustry-4276</t>
  </si>
  <si>
    <t>Steam version display quality is low</t>
  </si>
  <si>
    <t xml:space="preserve">  Platform  :  Android iOS Mac Windows Linux _x000D_
_x000D_
windows 10_x000D_
_x000D_
  Build  :  The build number under the title in the main menu  Required   LATEST  IS NOT A VERSION  I NEED THE EXACT BUILD NUMBER OF YOUR GAME  _x000D_
_x000D_
steam 122 1_x000D_
_x000D_
  Issue  :  Explain your issue in detail  _x000D_
_x000D_
The steam build has a very low display quality  while release 122 1 has high quality _x000D_
_x000D_
  Steps to reproduce  :  How you happened across the issue  and what exactly you did to make the bug happen  _x000D_
_x000D_
1  launch the non steam jar  see the visual quality_x000D_
2  launch the steam version_x000D_
3  get absolutely irritated from the low quality and the blurry main menu_x000D_
_x000D_
here are screenshots taken from both versions_x000D_
  javaw e78D7FjjxQ (https:  user images githubusercontent com 59574967 103808318 d973d500 5068 11eb 909d 5c83e025b41f png)_x000D_
  Mindustry guFQJAbc3p (https:  user images githubusercontent com 59574967 103808333 ded11f80 5068 11eb 9ad9 8f8b9216180a png)_x000D_
_x000D_
_x000D_
  Link(s) to mod(s) used  :  The mod repositories or zip files that are related to the issue  if applicable  _x000D_
_x000D_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this is a clean install from steam_x000D_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this is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</si>
  <si>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Anuken-Mindustry-4274</t>
  </si>
  <si>
    <t>Black square appears over schematics</t>
  </si>
  <si>
    <t xml:space="preserve">  Platform  :  Android iOS Mac Windows Linux _x000D_
_x000D_
Android_x000D_
_x000D_
  Build  :  The build number under the title in the main menu  Required   LATEST  IS NOT A VERSION  I NEED THE EXACT BUILD NUMBER OF YOUR GAME  _x000D_
_x000D_
122 1_x000D_
_x000D_
  Issue  :  Explain your issue in detail  _x000D_
_x000D_
My schematics lose there texture some how and popup as a black box_x000D_
_x000D_
  Steps to reproduce  :  How you happened across the issue  and what exactly you did to make the bug happen  _x000D_
_x000D_
Just open you schematics idk how it is caused but its when the schematics menu is opened once or more_x000D_
_x000D_
  Link(s) to mod(s) used  :  The mod repositories or zip files that are related to the issue  if applicable  _x000D_
_x000D_
No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example of schematics going dark on mobile zip (https:  github com Anuken Mindustry files 5776817 example of schematics going dark on mobile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</si>
  <si>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TeamNewPipe-NewPipe-5357</t>
  </si>
  <si>
    <t>not loading video</t>
  </si>
  <si>
    <t>doublesymmetry-react-native-track-player-1096</t>
  </si>
  <si>
    <t xml:space="preserve">  Describe the bug  _x000D_
Sometimes everything works fine  but sometimes the app crashes with the following exception:_x000D_
_x000D_
E RNTrackPlayer: An error occurred while destroying the service_x000D_
    java lang IllegalArgumentException: Receiver not registered: com guichaguri trackplayer service MusicManager 1 836bd04_x000D_
        at android app LoadedApk forgetReceiverDispatcher(LoadedApk java:1489)_x000D_
        at android app ContextImpl unregisterReceiver(ContextImpl java:1708)_x000D_
        at android content ContextWrapper unregisterReceiver(ContextWrapper java:733)_x000D_
        at com guichaguri trackplayer service MusicManager destroy(MusicManager java:350)_x000D_
        at com guichaguri trackplayer service MusicService destroy(MusicService java:56)_x000D_
        at com guichaguri trackplayer service MusicBinder destroy(MusicBinder java:53)_x000D_
        at com guichaguri trackplayer module MusicModule destroy(MusicModule java:168)_x000D_
        at java lang reflect Method invoke(Native Method)_x000D_
        at com facebook react bridge JavaMethodWrapper invoke(JavaMethodWrapper java:372)_x000D_
        at com facebook react bridge JavaModuleWrapper invoke(JavaModuleWrapper java:158)_x000D_
        at com facebook react bridge queue NativeRunnable run(Native Method)_x000D_
        at android os Handler handleCallback(Handler java:938)_x000D_
        at android os Handler dispatchMessage(Handler java:99)_x000D_
        at com facebook react bridge queue MessageQueueThreadHandler dispatchMessage(MessageQueueThreadHandler java:29)_x000D_
        at android os Looper loop(Looper java:246)_x000D_
        at com facebook react bridge queue MessageQueueThreadImpl 4 run(MessageQueueThreadImpl java:232)_x000D_
        at java lang Thread run(Thread java:923)_x000D_
_x000D_
_x000D_
  To Reproduce  _x000D_
Project is setup following all instructions  Player works fine  but after hitting my start   stop button a couple of times (sometimes 2  sometimes 4 or 5) it crashes with an exception (see above) _x000D_
_x000D_
  Environment (please complete the following information):  _x000D_
10:19   react native info_x000D_
info_x000D_
  React Native Environment Info:_x000D_
    System:_x000D_
      OS: macOS 10 15 7_x000D_
      CPU: (8) x64 Intel(R) Core(TM) i7 4750HQ CPU   2 00GHz_x000D_
      Memory: 63 66 MB   8 00 GB_x000D_
      Shell: 3 2 57    bin bash_x000D_
    Binaries:_x000D_
      Node: 12 4 0    usr local bin node_x000D_
      Yarn: 1 22 4      yarn bin yarn_x000D_
      npm: 6 14 8    usr local bin npm_x000D_
      Watchman: 4 9 0    usr local bin watchman_x000D_
    SDKs:_x000D_
      iOS SDK:_x000D_
        Platforms: iOS 14 0  DriverKit 19 0  macOS 10 15  tvOS 14 0  watchOS 7 0_x000D_
      Android SDK:_x000D_
        API Levels: 23  25  26  27  28  29_x000D_
        Build Tools: 23 0 1  25 0 2  26 0 1  26 0 2  27 0 3  28 0 0  28 0 3  29 0 0  29 0 2_x000D_
        System Images: android 27   Google APIs Intel x86 Atom_x000D_
    IDEs:_x000D_
      Android Studio: 3 5 AI 191 8026 42 35 5977832_x000D_
      Xcode: 12 0 1 12A7300    usr bin xcodebuild_x000D_
    npmPackages:_x000D_
      react: 16 8 3    16 8 3_x000D_
      react native: 0 59 9    0 59 9_x000D_
    npmGlobalPackages:_x000D_
      create react native app: 1 0 0_x000D_
      react native cli: 2 0 1_x000D_
      react native create library: 3 1 2_x000D_
      react native git upgrade: 0 2 7_x000D_
      react native rename: 2 2 2_x000D_
_x000D_
What  react native track player  version are you using _x000D_
     react native track player :   1 2 3  _x000D_
_x000D_
Are you testing on a real device or in the simulator  Which OS version are you running _x000D_
Real Android device  Samsung Galaxy S20 _x000D_
_x000D_
  Code  _x000D_
  onPlayPress   ()     _x000D_
    const   status     this state_x000D_
_x000D_
    console log( onPlayPress   status)_x000D_
_x000D_
    if (status    Status Playing)  _x000D_
        currently playing  stop player_x000D_
      this setState(  status: Status Stopped  )_x000D_
      TrackPlayer stop()_x000D_
      TrackPlayer destroy()_x000D_
      console log( onPlayPress   Status Stopped)_x000D_
      else  _x000D_
        currently not playing  start player_x000D_
      TrackPlayer setupPlayer(  waitForBuffer: true  ) then(()     _x000D_
        console log( TrackPlayer initialized )_x000D_
          init remote controls_x000D_
        TrackPlayer updateOptions(playerOptions)_x000D_
        console log(playerOptions)_x000D_
          add url_x000D_
        const track   this createTrack(this props bitrateHigh)_x000D_
        TrackPlayer add(track) then(()     _x000D_
          console log( track added   track)_x000D_
            start playing_x000D_
          this setState(  status: Status Playing  )_x000D_
          TrackPlayer play()_x000D_
          console log( status   Status Playing)_x000D_
          this refresh()_x000D_
         )_x000D_
       )_x000D_
     _x000D_
   _x000D_
</t>
  </si>
  <si>
    <t>plazzy99-Heal-O-Chat-95</t>
  </si>
  <si>
    <t>CureActivity crashing</t>
  </si>
  <si>
    <t>Cure Activity is crashing when we click on the chat icon from the Cure Profile</t>
  </si>
  <si>
    <t>Anuken-Mindustry-4270</t>
  </si>
  <si>
    <t>File name in translation causing errors for windows users</t>
  </si>
  <si>
    <t xml:space="preserve">  Platform  :  Android iOS Mac Windows Linux _x000D_
Windows _x000D_
  Build  :  The build number under the title in the main menu  Required   LATEST  IS NOT A VERSION  I NEED THE EXACT BUILD NUMBER OF YOUR GAME  _x000D_
Doesn t really apply seeing as the issue is in the code  not in the game  The issue was introduced in  this (https:  github com Anuken Mindustry commit 8cdb4c083179fa54e7f5a01e586cee0b59367c71 diff d8773c70213f654582ab8b32702acd24af1970f5ac20beb4ff7f5bf20f9fdd8e) commit _x000D_
  Issue  :  Explain your issue in detail  _x000D_
The repo can t be cloned or pulled to windows computers currently as the foldername  https:  is impossible on windows _x000D_
Error:  fatal: cannot create directory at  fastlane metadata android in https: : Invalid argument _x000D_
  Steps to reproduce  :  How you happened across the issue  and what exactly you did to make the bug happen  _x000D_
1  Have a computer with windows on it _x000D_
2  Install git _x000D_
3  Try to clone the repo _x000D_
_x000D_
no mods_x000D_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If you remove the line above without reading it properly and understanding what it means  I will reap your soul  Even if you re playing on someone s server  you can still save the game to a slot _x000D_
nope  please don t reap my soul_x000D_
_x000D_
no crash_x000D_
_x000D_
   _x000D_
_x000D_
 Place an X (no spaces) between the brackets to confirm that you have read the line below    _x000D_
   it wasn t an issue then    I have updated to the latest release (https:  github com Anuken Mindustry releases) to make sure my issue has not been fixed   _x000D_
   X    I have searched the closed and open issues to make sure that this problem has not already been reported   _x000D_
</t>
  </si>
  <si>
    <t>microsoft-appcenter-sdk-android-1497</t>
  </si>
  <si>
    <t>Missing User ID for NDK reports</t>
  </si>
  <si>
    <t xml:space="preserve">    _x000D_
    Thanks for your interest in using the App Center SDK for Android _x000D_
    If your issue is not related to using our Android SDK but rather about the product experience like the portal or CI  please create an issue on https:  github com Microsoft appcenter instead _x000D_
   _x000D_
_x000D_
      Description  _x000D_
_x000D_
Please describe the issue you are facing using the SDK _x000D_
_x000D_
With  AppCenter setUserId(uuid)   Java crash reports are able to show User ID in the App Center console _x000D_
However  NDK crash reports show  N A  for User ID _x000D_
_x000D_
  image (https:  user images githubusercontent com 20527369 103708059 a516f080 4f64 11eb 8e52 fb1e2e19602c png)_x000D_
_x000D_
_x000D_
  image (https:  user images githubusercontent com 20527369 103708040 992b2e80 4f64 11eb 8861 7eca9009dd29 png)_x000D_
_x000D_
_x000D_
      Repro Steps  _x000D_
_x000D_
Please list the steps used to reproduce your issue _x000D_
_x000D_
1  Setup SDK as described here: https:  docs microsoft com en us appcenter sdk getting started android_x000D_
2  Setup Native crash as described here: https:  docs microsoft com en us appcenter sdk crashes android reporting ndk crashes_x000D_
_x000D_
_x000D_
      Details  _x000D_
_x000D_
1  Which SDK version are you using _x000D_
      e g  4 1 0_x000D_
2  Which OS version did you experience the issue on _x000D_
      e g  Android 7 1 1_x000D_
3  What device version did you see this error on   Were you using an emulator or a physical device _x000D_
      e g  Nexus 9 physical device_x000D_
4  What third party libraries are you using _x000D_
      Firebase_x000D_
_x000D_
5  Please enable verbose logging for your app using  AppCenter setLogLevel(Log VERBOSE)  before your call to  AppCenter start(   )  and include the logs here:_x000D_
_x000D_
 ndk crash log zip (https:  github com microsoft appcenter sdk android files 5773014 ndk crash log zip)</t>
  </si>
  <si>
    <t>Anuken-Mindustry-4267</t>
  </si>
  <si>
    <t>Game doesnt play any sounds</t>
  </si>
  <si>
    <t xml:space="preserve">  Platform  :  Android 
  Build  :  122 1 
  Issue  :  When I start up the game muted (no volume) and increase the volume later on   the game doesn t play music or any sound effects  it happens at in game and the start menu 
  Steps to reproduce  :  Start game at 0 volume   once it loads up  increase volume 
  Link(s) to mod(s) used  :  The mod repositories or zip files that are related to the issue  if applicable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remove the line above without reading it properly and understanding what it means  I will reap your soul  Even if you re playing on someone s server  you can still save the game to a slot 
  (Crash) logs  :  Either crash reports from the crash folder  or the file you get when you go into Settings    Game Data    Export Crash logs  REQUIRED if you are reporting a crash  
 Place an X (no spaces) between the brackets to confirm that you have read the line below    
        I have updated to the latest release (https:  github com Anuken Mindustry releases) to make sure my issue has not been fixed   
        I have searched the closed and open issues to make sure that this problem has not already been reported   
</t>
  </si>
  <si>
    <t>AOF-Dev-MCinaBox-797</t>
  </si>
  <si>
    <t>Help!</t>
  </si>
  <si>
    <t xml:space="preserve"> 19:16:36   Client thread INFO : Setting user: Adam_x000D_
 19:16:36   Client thread INFO : (Session ID is token:0:7efd721c 8bff 3293 bc66 235f2d0dbac1)_x000D_
 19:16:42   Client thread INFO : LWJGL Version: 2 9 3_x000D_
 19:16:43   Client thread ERROR : Couldn t set pixel format_x000D_
org lwjgl LWJGLException: Could not create EGL context_x000D_
	at org lwjgl opengl BoatContextImplementation nCreate(Native Method)   lwjgl jar:  _x000D_
	at org lwjgl opengl BoatContextImplementation create(BoatContextImplementation java:50)   lwjgl jar:  _x000D_
	at org lwjgl opengl ContextGL  init (ContextGL java:134)   lwjgl jar:  _x000D_
	at org lwjgl opengl Display create(Display java:852)   lwjgl jar:  _x000D_
	at org lwjgl opengl Display create(Display java:759)   lwjgl jar:  _x000D_
	at ave ap(SourceFile:521)  1 8 9 jar:  _x000D_
	at ave am(SourceFile:363)  1 8 9 jar:  _x000D_
	at ave a(SourceFile:310)  1 8 9 jar:  _x000D_
	at net minecraft client main Main main(SourceFile:124)  1 8 9 jar:  _x000D_
_x000D_
  To Reproduce  _x000D_
Steps to reproduce the crash:_x000D_
1  Go to  Home _x000D_
2  Click on  Play _x000D_
3  Wait for a second_x000D_
4  and crash_x000D_
_x000D_
   Device: Vivo y17_x000D_
   OS: Android 9_x000D_
   App Version: All version of 0 1 4</t>
  </si>
  <si>
    <t>Anuken-Mindustry-4266</t>
  </si>
  <si>
    <t>Resource gui</t>
  </si>
  <si>
    <t xml:space="preserve">  Platform  :  Android stylo 5_x000D_
_x000D_
  Build  : 122 1_x000D_
_x000D_
  Issue  : thorium shows on ruinous shores where there is none_x000D_
_x000D_
  Steps to reproduce  : open game  I guess I beat shores before v6 so maybe that had something  Idfk man_x000D_
_x000D_
  Link(s) to mod(s) used  : there s mods _x000D_
_x000D_
  Save file  : I don t know how to add an attachment  So reap my soul if you must  you won t get much_x000D_
_x000D_
  (Crash) logs  : crashed once like a week ago_x000D_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</si>
  <si>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nextcloud-android-7782</t>
  </si>
  <si>
    <t>App sometimes crashes when browsing menu items</t>
  </si>
  <si>
    <t xml:space="preserve">    Steps to reproduce_x000D_
When browsing the menu on mobile android device I sometimes get a crash  This happens mostly when I  open  Favoriten  menu item (after  Fotos  menu item)   Sometimes the    favorites are shown twice or three times    and   sometimes app crashes    It looks as if this is a performance problem (but server could not be the problem: i5 6 cores 16 GB RAM    for testing with only one user  ) and mobile device : Samsung Galaxy A51 (enough storage and performance I believe)  wireless connection is fast too (LTE or wlan n standard) _x000D_
_x000D_
Android version: 10_x000D_
_x000D_
Device model: Samsung Galaxy A51_x000D_
_x000D_
Stock or customized system:_x000D_
_x000D_
Nextcloud app version: latest_x000D_
_x000D_
Nextcloud server version: latest_x000D_
_x000D_
     log output on android device:_x000D_
             CAUSE OF ERROR             _x000D_
   java lang IndexOutOfBoundsException: Inconsistency detected  Invalid item position 5(offset:5) state:7    _x000D_
                                                     _x000D_
_x000D_
No suspicious entries in apache log    _x000D_
Nexloud log is really very  very long   _x000D_
_x000D_
Desktop clients  Nextcloud in Browser etc  works very well _x000D_
_x000D_
   I wonder why this could happen with such an advanced version of android       Thank you very much for your great work so far  but this should not happen in an advanced version  _x000D_
_x000D_
regards Joe</t>
  </si>
  <si>
    <t>TeamNewPipe-NewPipe-5354</t>
  </si>
  <si>
    <t>UI exception</t>
  </si>
  <si>
    <t xml:space="preserve">   Exception_x000D_
    User Action:   ui error_x000D_
    Request:   App crash  UI failure_x000D_
    Content Country:   IT_x000D_
    Content Language:   it IT_x000D_
    App Language:   it IT_x000D_
    Service:   none_x000D_
    Version:   0 20 8_x000D_
    OS:   Linux Android 10   29_x000D_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java:883)_x000D_
	at android os Handler dispatchMessage(Handler java:100)_x000D_
	at android os Looper loop(Looper java:214)_x000D_
	at android app ActivityThread main(ActivityThread java:7398)_x000D_
	at java lang reflect Method invoke(Native Method)_x000D_
	at com android internal os RuntimeInit MethodAndArgsCaller run(RuntimeInit java:493)_x000D_
	at com android internal os ZygoteInit main(ZygoteInit java:924)_x000D_
_x000D_
   _x000D_
  details _x000D_
 hr _x000D_
</t>
  </si>
  <si>
    <t>microg-GmsCore-1353</t>
  </si>
  <si>
    <t>Exposure Notifications active, but no IDs broadcasted or received</t>
  </si>
  <si>
    <t xml:space="preserve">  Describe the bug  _x000D_
Exposure Notifications are supposedly active  but no IDs are collected or broadcast _x000D_
_x000D_
  To Reproduce  _x000D_
Steps to reproduce the behavior:_x000D_
1  Open either CWA or CCTG to enable exposure notifications_x000D_
2  MicroG crashes once  but EN are enabled after _x000D_
3  MicroG appears to broadcast an ID  which it also collects _x000D_
4  After a while  no IDs have been collected and the  currently broadcasted ID  field is empty _x000D_
_x000D_
  Expected behavior  _x000D_
MicroG broadcasts IDs and collects them from other devices _x000D_
_x000D_
  Screenshots  _x000D_
Here s what I see after a while: _x000D_
  Screenshot 20210105 114244 microG Services Core 1 (https:  user images githubusercontent com 77000103 103638183 d97eb280 4f4c 11eb 9dab 8d1cfc7db769 png)_x000D_
_x000D_
The two collected IDs are from when I disabled and re enabled EN:_x000D_
  Screenshot 20210105 114238 microG Services Core 1 (https:  user images githubusercontent com 77000103 103638418 2cf10080 4f4d 11eb 8a4d e1caa6a4491e png)_x000D_
_x000D_
So  I disable EN ams open CCTG to reenable them  and MicroG crashes:_x000D_
  Screenshot 20210105 114306 Corona Tracing 1 (https:  user images githubusercontent com 77000103 103638547 5873eb00 4f4d 11eb 9928 18b432d24c5e png)_x000D_
_x000D_
I don t usually get this error  but it might be helpful: _x000D_
  Screenshot 20210105 114316 Corona Tracing 1 (https:  user images githubusercontent com 77000103 103638599 6d507e80 4f4d 11eb 92c4 d6af565e3336 png)_x000D_
  Screenshot 20210105 114351 Corona Tracing 1 (https:  user images githubusercontent com 77000103 103638607 72153280 4f4d 11eb 8177 cf95efd1cdd1 png)_x000D_
_x000D_
Despite the error  exposure notifications are now enabled again  and my device is broadcasting an ID: _x000D_
  Screenshot 20210105 114403 microG Services Core 1 1 (https:  user images githubusercontent com 77000103 103638715 940eb500 4f4d 11eb 94bb 6354feb14ac8 png)_x000D_
_x000D_
This time  it didn t collect any IDs  so the collected IDs are still the same as before  _x000D_
_x000D_
If anyone tells me how to  I can include logs as well _x000D_
_x000D_
  System  _x000D_
Android Version: 10_x000D_
Custom ROM: Carbon ROM 8 0_x000D_
Device: Xiaomi Redmi Note 7 (lavender)_x000D_
_x000D_
  Additional context  _x000D_
 UUID 0xFDF6 Scanner  from F Droid confirms that other devices are broadcasting IDs _x000D_
</t>
  </si>
  <si>
    <t>TeamNewPipe-NewPipe-5351</t>
  </si>
  <si>
    <t>Miniplayer maximize button not working out of the app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</si>
  <si>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Click on any video_x000D_
2  Open the popup player_x000D_
3  Go on another app  or you re home screen_x000D_
4  Try and click the fullscreen button to no success_x000D_
     If you can t cause the bug to show up again reliably (and hence don t have a proper set of steps to give us)  please still try to give as many details as possible on how you think you encountered the bug     _x000D_
_x000D_
_x000D_
_x000D_
    Actual behaviour_x000D_
Nothing happens  No fullscreen for you  my friend  _x000D_
     Tell us what happens with the steps given above     _x000D_
_x000D_
_x000D_
_x000D_
    Expected behavior_x000D_
I expect it to just open the regular player on NewPipe_x000D_
     Tell us what you expect to happen     _x000D_
_x000D_
_x000D_
_x000D_
    Screenshots Screen recordings_x000D_
 I tried but picking the video just adds a new line 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MIUI 11 0 3 0_x000D_
   Device model: Xiaomi Redmi 8 Global version_x000D_
</t>
  </si>
  <si>
    <t>aws-amplify-aws-sdk-android-2319</t>
  </si>
  <si>
    <t>AWSMobileClient internal thread occasionally throwing uncatchable UnknownHostException</t>
  </si>
  <si>
    <t xml:space="preserve">  Describe the bug  _x000D_
Occasionally  when coming out of standby my app crashes due to an uncaught exception (UnknownHostException) coming from an internal AWSMobileClient thread  Since the exception comes from an internal AWS thread  I don t have a way of catching it to avoid the crash  Here is the stack trace:_x000D_
   console_x000D_
Caused by java net UnknownHostException:_x000D_
com amazonaws http UrlHttpClient writeContentToConnection (UrlHttpClient java:162)_x000D_
com amazonaws http UrlHttpClient execute (UrlHttpClient java:75)_x000D_
com amazonaws http AmazonHttpClient executeHelper (AmazonHttpClient java:371)_x000D_
com amazonaws http AmazonHttpClient execute (AmazonHttpClient java:212)_x000D_
com amazonaws services cognitoidentityprovider AmazonCognitoIdentityProviderClient invoke (AmazonCognitoIdentityProviderClient java:6319)_x000D_
com amazonaws services cognitoidentityprovider AmazonCognitoIdentityProviderClient initiateAuth (AmazonCognitoIdentityProviderClient java:4283)_x000D_
com amazonaws mobileconnectors cognitoidentityprovider CognitoUser refreshSession (CognitoUser java:2378)_x000D_
com amazonaws mobileconnectors cognitoidentityprovider CognitoUser getCachedSession (CognitoUser java:976)_x000D_
com amazonaws mobileconnectors cognitoidentityprovider CognitoUser getSession (CognitoUser java:771)_x000D_
com amazonaws mobile client AWSMobileClient 11 run (AWSMobileClient java:1763)_x000D_
com amazonaws mobile client internal InternalCallback 1 run (InternalCallback java:101)_x000D_
java lang Thread run (Thread java:919)_x000D_
   _x000D_
  To Reproduce  _x000D_
Reproducing this issue is not easy  It happens about 1 out of every 10 20 phone wakes using the power button _x000D_
_x000D_
  Which AWS service(s) are affected   _x000D_
AWSMobileClient_x000D_
_x000D_
  Expected behavior  _x000D_
The app should not crash in the event of a failed AWSMobileClient operation _x000D_
_x000D_
  Environment Information (please complete the following information):  _x000D_
   AWS Android SDK Version: 2 20 0_x000D_
   Device: Samsung S10_x000D_
   Android Version: 10_x000D_
   Specific to simulators: No</t>
  </si>
  <si>
    <t>MuntashirAkon-AppManager-211</t>
  </si>
  <si>
    <t>App Info does not load</t>
  </si>
  <si>
    <t xml:space="preserve">  Describe the bug  _x000D_
The app information doesn t load  the  App Info  tab keeps loading endlessly _x000D_
Note 1: This only occurs in the  App Info  tab _x000D_
Note 2: The  App Info  tab loads without any problems in shared external apps _x000D_
_x000D_
  To Reproduce  _x000D_
Steps to reproduce the behaviour:_x000D_
1   Click on an app within AM_x000D_
2  See error_x000D_
_x000D_
       Expected behavior  _x000D_
A clear and concise description of what you expected to happen     _x000D_
_x000D_
  Screenshots  _x000D_
  AppInfo (https:  user images githubusercontent com 24703825 103525199 9d205900 4e5d 11eb 9f4d 213b40a28993 jpg)_x000D_
_x000D_
       Crash logs  _x000D_
If applicable  add crash logs to help us figure out the problem     _x000D_
_x000D_
  Device info  _x000D_
   Device: Redmi Note 4_x000D_
   OS Version: MIUI 11 (Android 7 0)_x000D_
   App Manager Version: v2 5 22 DEBUG 681_x000D_
   Mode: no root_x000D_
_x000D_
       Additional context  _x000D_
Add any other context about the problem here     _x000D_
</t>
  </si>
  <si>
    <t>mtotschnig-MyExpenses-721</t>
  </si>
  <si>
    <t>Crash when backing out from tag selection screen</t>
  </si>
  <si>
    <t>Long tap on transaction_x000D_
Select  Tag  from overflow menu_x000D_
Click on Back icon in action bar or device back button_x000D_
App crashes</t>
  </si>
  <si>
    <t>AOF-Dev-MCinaBox-785</t>
  </si>
  <si>
    <t>I can't open mcinabox control settings</t>
  </si>
  <si>
    <t xml:space="preserve">_x000D_
When I have launched Minecraft I have to click on wrench icon for control settings  but when I click on wrench icon Minecraft crashed _x000D_
But on my second device  it works perfectly_x000D_
  Smartphone (Nokia 2 3):  _x000D_
   Device:  Nokia 2 3 _x000D_
   OS:  Android 10 0 _x000D_
   App Version  v0 1 4 p4 </t>
  </si>
  <si>
    <t>TeamNewPipe-NewPipe-5342</t>
  </si>
  <si>
    <t>Snackbar error on opening video details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</si>
  <si>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 see the snackbar when I open video details for some videos  But nothing seems to be missing visually  Something to do with related videos _x000D_
_x000D_
     If you can t cause the bug to show up again reliably (and hence don t have a proper set of steps to give us)  please still try to give as many details as possible on how you think you encountered the bug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watch v vWbrCO1e6I8_x000D_
    Content Country:   CH_x000D_
    Content Language:   en IN_x000D_
    App Language:   en IN_x000D_
    Service:   YouTube_x000D_
    Version:   0 20 8_x000D_
    OS:   Linux Android 10   29_x000D_
 details  summary  b Crash log   b   summary  p _x000D_
_x000D_
   _x000D_
org schabi newpipe extractor exceptions ParsingException: Could not get name_x000D_
	at org schabi newpipe extractor services youtube extractors YoutubeStreamInfoItemExtractor getName(YoutubeStreamInfoItemExtractor java:101)_x000D_
	at org schabi newpipe extractor services youtube extractors YoutubeStreamInfoItemExtractor isAd(YoutubeStreamInfoItemExtractor java:84)_x000D_
	at org schabi newpipe extractor stream StreamInfoItemsCollector extract(StreamInfoItemsCollector java:39)_x000D_
	at org schabi newpipe extractor stream StreamInfoItemsCollector commit(StreamInfoItemsCollector java:94)_x000D_
	at org schabi newpipe extractor services youtube extractors YoutubeStreamExtractor getRelatedStreams(YoutubeStreamExtractor java:657)_x000D_
	at org schabi newpipe extractor utils ExtractorHelper getRelatedVideosOrLogError(ExtractorHelper java:32)_x000D_
	at org schabi newpipe extractor stream StreamInfo extractOptionalData(StreamInfo java:338)_x000D_
	at org schabi newpipe extractor stream StreamInfo getInfo(StreamInfo java:73)_x000D_
	at org schabi newpipe extractor stream StreamInfo getInfo(StreamInfo java:64)_x000D_
	at org schabi newpipe util ExtractorHelper lambda getStreamInfo 3(ExtractorHelper java:127)_x000D_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t>
  </si>
  <si>
    <t>TeamNewPipe-NewPipe-5341</t>
  </si>
  <si>
    <t>Full Screen gone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</si>
  <si>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This checklist is COMPULSORY  The first box has been checked for you to show you how it is done     
   x  I am using the latest version   0 20 8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Just play any video
     If you can t cause the bug to show up again reliably (and hence don t have a proper set of steps to give us)  please still try to give as many details as possible on how you think you encountered the bug     
    Actual behaviour
The button to toggle full screen is gone
    Screenshots Screen recordings
  Screenshot 20210103 114939 NewPi JPG (https:  user images githubusercontent com 50140643 103473070 7230f900 4dba 11eb 94ad f1b5317e7376 JPG)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A10 OneUi 2 5 Core
   Device model: Galaxy M21
</t>
  </si>
  <si>
    <t>nextcloud-android-7773</t>
  </si>
  <si>
    <t>I rashes while accessing large folder</t>
  </si>
  <si>
    <t xml:space="preserve">    Steps to reproduce_x000D_
1  Open folder that s 30  GB  _x000D_
2  App Crashes  _x000D_
_x000D_
    Expected behaviour_x000D_
  able to view and search files in folder  _x000D_
_x000D_
    Actual behaviour_x000D_
  app hangs then crashes  _x000D_
_x000D_
    Can you reproduce this problem on https:  try nextcloud com _x000D_
  unable to replicate due to data size  _x000D_
_x000D_
    Environment data_x000D_
   _x000D_
             CAUSE OF ERROR             _x000D_
_x000D_
android database sqlite SQLiteBlobTooBigException: Row too big to fit into CursorWindow requiredPos 2357  totalRows 824_x000D_
	at android database sqlite SQLiteConnection nativeExecuteForCursorWindow(Native Method)_x000D_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java:672)_x000D_
	at android content ContentProvider applyBatch(ContentProvider java:2117)_x000D_
	at android content ContentProvider Transport applyBatch(ContentProvider java:371)_x000D_
	at android content ContentProviderClient applyBatch(ContentProviderClient java:532)_x000D_
	at android content ContentProviderClient applyBatch(ContentProviderClient java:520)_x000D_
	at android content ContentResolver applyBatch(ContentResolver java:1875)_x000D_
	at com owncloud android datamodel FileDataStorageManager saveFolder(FileDataStorageManager java:438)_x000D_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java:919)_x000D_
_x000D_
             APP INFORMATION             _x000D_
ID: com nextcloud client_x000D_
Version: 30140190_x000D_
Build flavor: generic_x000D_
_x000D_
             DEVICE INFORMATION             _x000D_
Brand: google_x000D_
Device: crosshatch_x000D_
Model: Pixel 3 XL_x000D_
Id: QQ3A 200805 001_x000D_
Product: crosshatch_x000D_
_x000D_
             FIRMWARE             _x000D_
SDK: 29_x000D_
Release: 10_x000D_
Incremental: e2025c9091_x000D_
_x000D_
</t>
  </si>
  <si>
    <t>nwrkbiz-android-xserver-22</t>
  </si>
  <si>
    <t>clipRect (r, Region.Op.UNION) deprecated</t>
  </si>
  <si>
    <t xml:space="preserve">clipRect (r  Region Op UNION) is deprecated and leads to crash on Android 8  </t>
  </si>
  <si>
    <t>Anuken-Mindustry-4237</t>
  </si>
  <si>
    <t>Radar logic from[] gets reseted every time I edit it</t>
  </si>
  <si>
    <t xml:space="preserve">  Platform  :  Windows _x000D_
_x000D_
  Build  :  20466  _x000D_
_x000D_
  Issue  :  Whenever I enter the logic processor the radar logic gets reseted  _x000D_
_x000D_
  Steps to reproduce  :  Write anything other than turret1 in from exit and enter again it will have reset to turret1  it also happens in sandbox  _x000D_
_x000D_
  Link(s) to mod(s) used  :  None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_x000D_
_x000D_
_x000D_
 Bug file zip (https:  github com Anuken Mindustry files 5760948 Bug file zip)_x000D_
</t>
  </si>
  <si>
    <t>lexica-lexica-221</t>
  </si>
  <si>
    <t xml:space="preserve">Crash on opening </t>
  </si>
  <si>
    <t xml:space="preserve">All Lexica v2 pre release crash when I try to open the app  _x000D_
Lexica v1 1 0 (latest release) work properly  _x000D_
I m running Xiaomi No Note 10 Lite on Android 10 _x000D_
_x000D_
The error log: _x000D_
_x000D_
   _x000D_
java lang NullPointerException: Parameter specified as non null is null: method kotlin jvm internal Intrinsics checkNotNullParameter  parameter language_x000D_
	at com serwylo lexica db ResultRepository findHighScore(Unknown Source:7)_x000D_
	at com serwylo lexica MainMenuActivity lambda load 7 MainMenuActivity(MainMenuActivity java:126)_x000D_
	at com serwylo lexica    Lambda MainMenuActivity 034F0fTih04RzSV0E Hm0ZJa6G8 run(Unknown Source:2)_x000D_
	at android os AsyncTask SerialExecutor 1 run(AsyncTask java:289)_x000D_
	at java util concurrent ThreadPoolExecutor runWorker(ThreadPoolExecutor java:1167)_x000D_
	at java util concurrent ThreadPoolExecutor Worker run(ThreadPoolExecutor java:641)_x000D_
	at java lang Thread run(Thread java:919)_x000D_
   </t>
  </si>
  <si>
    <t>MuntashirAkon-AppManager-210</t>
  </si>
  <si>
    <t>Crash on opening profile page</t>
  </si>
  <si>
    <t xml:space="preserve">AM crashes on opening the profiles page after creating a profile 
Steps to reproduce:
  Create a profile in AM
  Open the profiles page later
  Crash
Stack trace:
java lang NullPointerException: Attempt to read from field  java lang String io github muntashirakon AppManager profiles ProfileMetaManager Profile comment  on a null object reference
    at io github muntashirakon AppManager profiles ProfileMetaManager getLocalisedSummaryOrComment(ProfileMetaManager java:273)
    at io github muntashirakon AppManager profiles ProfileManager getProfiles(ProfileManager java:53)
    at io github muntashirakon AppManager profiles ProfilesViewModel loadProfiles(ProfilesViewModel java:49)
    at io github muntashirakon AppManager profiles    Lambda o3tAF0V35Ip0P7A365H Un pThc run(Unknown Source:2)
    at java lang Thread run(Thread java:919)
Device Info:
App version: 2 5 21 PRE
App version code: 377
Android release version: 10
Android SDK version: 29
Device brand: lge
Device manufacturer: LGE
Device name: lucye
Device model: LG H870
Device product name: lucye global com
Device hardware name: qcom
ABIs:  arm64 v8a  armeabi v7a  armeabi 
ABIs (32bit):  armeabi v7a  armeabi 
ABIs (64bit):  arm64 v8a 
System language: en US
In App Language: auto
Possibly a null pointer when the profile description is empty </t>
  </si>
  <si>
    <t>Anuken-Mindustry-4229</t>
  </si>
  <si>
    <t>Spectre doesn't hit flying bosses</t>
  </si>
  <si>
    <t xml:space="preserve">  Platform  : Windows_x000D_
_x000D_
  Build  : 122 1_x000D_
_x000D_
  Issue  : Spectre turrets don t appear to be able to hit flying bosses  It shoots at them but either it does no damage to the boss or the projectile doesn t actually detect a hit on the boss _x000D_
_x000D_
  Steps to reproduce  : _x000D_
1  Play campaign (nuclear production complex is a good example)_x000D_
2  Build a spectre defensive line_x000D_
3  Get to flying boss wave_x000D_
_x000D_
Expected: Spectre is able to damage the boss _x000D_
Actual: Spectre shoots but doesn t appear to do any damage _x000D_
_x000D_
  Link(s) to mod(s) used  : No mods _x000D_
_x000D_
  Save file  : _x000D_
 sector serpulo 227 zip (https:  github com Anuken Mindustry files 5759922 sector serpulo 227 zip)_x000D_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</si>
  <si>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TeamNewPipe-NewPipe-5332</t>
  </si>
  <si>
    <t>stream is not reachable at all!</t>
  </si>
  <si>
    <t xml:space="preserve">_x000D_
  Screenshot 20210102 025201  01 (https:  user images githubusercontent com 74661086 103447822 8c2ce780 4ca5 11eb 81da 73bf690d7d89 jpg)_x000D_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This checklist is COMPULSORY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</si>
  <si>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nextcloud-android-7769</t>
  </si>
  <si>
    <t>App crashes upon accessing large folder</t>
  </si>
  <si>
    <t>Anuken-Mindustry-4217</t>
  </si>
  <si>
    <t xml:space="preserve">Can’t build </t>
  </si>
  <si>
    <t xml:space="preserve">  Platform  : iOS_x000D_
_x000D_
  Build  :  The build number under the title in the main menu  Required  122 2_x000D_
_x000D_
  Issue  : every time I go into a game I can not build or interact with the environment of the game _x000D_
_x000D_
  Steps to reproduce  :  How you happened across the issue: I think it was an update but I just loaded it up one day and it happened _x000D_
_x000D_
  Link(s) to mod(s) used  : none_x000D_
_x000D_
  Save file  :   https:  drive google com file d 1ioJR 8Y492Pm ULbn EvQayNVjRiSnHn view usp drivesdk (https:  drive google com file d 1ioJR 8Y492Pm ULbn EvQayNVjRiSnHn view usp drivesdk)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</si>
  <si>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Anuken-Mindustry-4214</t>
  </si>
  <si>
    <t>Parallax Does No Damage</t>
  </si>
  <si>
    <t xml:space="preserve">  Platform  :  Android iOS Mac Windows Linux _x000D_
Windows_x000D_
_x000D_
  Build  :  The build number under the title in the main menu  Required   LATEST  IS NOT A VERSION  I NEED THE EXACT BUILD NUMBER OF YOUR GAME  _x000D_
Steam build 122 1_x000D_
_x000D_
  Issue  :  Explain your issue in detail  _x000D_
I built five Parallaxes in Stained Mountains map of the campaign  They are supposed to do 18dps   5 that can easily kill enemy air units around wave 10  However  I saw the tractor beams of Parallaxes hit the enemy bombers but those enemy air units kept bombing me for minutes  After I built another Scatter around that place  the enemy bombers were shot down immediately   _x000D_
_x000D_
  Steps to reproduce  :  How you happened across the issue  and what exactly you did to make the bug happen  _x000D_
Build Parallaxes in the Stained Mountains map of the campaign and wait until wave 10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saves zip (https:  github com Anuken Mindustry files 5758994 saves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</si>
  <si>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google-ExoPlayer-8420</t>
  </si>
  <si>
    <t>no such column: title exception</t>
  </si>
  <si>
    <t xml:space="preserve">Firebase crashlytics  showing crashes on different users devices  however it is not reproducing during development _x000D_
_x000D_
Version:  com google android exoplayer:exoplayer core:2 12 0  _x000D_
_x000D_
  Exception:   _x000D_
   _x000D_
Caused by android database sqlite SQLiteException: no such column: title (code 1 SQLITE ERROR)_x000D_
       at android database sqlite SQLiteConnection nativeExecuteForCursorWindow(SQLiteConnection java)_x000D_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java:155)_x000D_
       at android database sqlite SQLiteCursor getCount(SQLiteCursor java:142)_x000D_
       at android database AbstractCursor moveToPosition(AbstractCursor java:232)_x000D_
       at android database AbstractCursor moveToNext(AbstractCursor java:287)_x000D_
       at com google android exoplayer2 offline DefaultDownloadIndex loadDownloadsFromVersion2(DefaultDownloadIndex java:360)_x000D_
       at com google android exoplayer2 offline DefaultDownloadIndex ensureInitialized(DefaultDownloadIndex java:289)_x000D_
       at com google android exoplayer2 offline DefaultDownloadIndex getDownload(DefaultDownloadIndex java:176)_x000D_
   </t>
  </si>
  <si>
    <t>ElderDrivers-EdXposed-783</t>
  </si>
  <si>
    <t>[BUG] Application crash on X86 devices</t>
  </si>
  <si>
    <t xml:space="preserve">    _x000D_
                                  Xposed     Magisk   _x000D_
If you encountered boot loop  please make sure you have disabled all unrelated Xposed and Magisk modules before submit an issue_x000D_
_x000D_
            _x000D_
In any case  the title should be in English_x000D_
   _x000D_
_x000D_
       What happened   _x000D_
_x000D_
    x86              _x000D_
               6 15 1 32     x86  _x000D_
_x000D_
    _x000D_
           _x000D_
Such as bootloop  module not loaded  etc_x000D_
   _x000D_
_x000D_
  Xposed     Xposed Module List  _x000D_
_x000D_
         (https:  github com yujincheng08 BiliRoaming)_x000D_
_x000D_
  Magisk     Magisk Module List  _x000D_
_x000D_
  Riru_x000D_
  EdXposed_x000D_
  Shizuku Starter_x000D_
_x000D_
       Versions  _x000D_
_x000D_
Android: 11 x86 64   AVD_x000D_
_x000D_
Magisk: 21 2 (21200)_x000D_
_x000D_
Riru: 23 1_x000D_
_x000D_
EdXposed: 4656 YAHFA_x000D_
_x000D_
       Related Logs  _x000D_
   _x000D_
01 01 19:40:34 441   646  1610 I ActivityTaskManager: START u0  act android intent action MAIN cat  android intent category LAUNCHER  flg 0x10200000 cmp tv danmaku bili  ui splash SplashActivity bnds  237 252  439 505   from uid 10139_x000D_
01 01 19:40:26 858  1276  1276 I chatty  : uid 10139(com google android apps nexuslauncher) identical 2 lines_x000D_
01 01 19:40:26 858  1276  1276 D RecentsOrientedState: current RecentsOrientedState:  this RecentsOrientedState 18e826f mOrientationHandler PortraitPagedViewHandler 6458b7c mDisplayRotation 0 mTouchRotation 0 mRecentsActivityRotation 0 isRecentsActivityRotationAllowed false mSystemRotation true mFlags 299 _x000D_
01 01 19:40:34 441   646   666 D EventSequenceValidator: inc AccIntentStartedEvents to 2_x000D_
01 01 19:40:34 443   646  1950 I system server: oneway function results will be dropped but finished with status OK and parcel size 4_x000D_
01 01 19:40:34 446   646   646 W ActivityManager: Unable to start service Intent   act android service appprediction AppPredictionService cmp com google android as com google android apps miphone aiai app AiAiPredictionService   U 0: not found_x000D_
01 01 19:40:34 446   646   646 W RemoteAppPredictionService: could not bind to Intent   act android service appprediction AppPredictionService cmp com google android as com google android apps miphone aiai app AiAiPredictionService   using flags 67108865_x000D_
01 01 19:40:34 447   646   666 D CompatibilityChangeReporter: Compat change id reported: 135634846  UID 10167  state: DISABLED_x000D_
01 01 19:40:34 447   646   673 D CompatibilityChangeReporter: Compat change id reported: 143937733  UID 10167  state: DISABLED_x000D_
01 01 19:40:34 443   646  1950 I chatty  : uid 1000(system) Binder:646 1C identical 1 line_x000D_
01 01 19:40:34 443   646  1950 I system server: oneway function results will be dropped but finished with status OK and parcel size 4_x000D_
01 01 19:40:34 461   406   438 D goldfish address space: allocate: Ask for block of size 0x7e9000_x000D_
01 01 19:40:34 461   406   438 D goldfish address space: allocate: ioctl allocate returned offset 0x3faaad000 size 0x7ea000_x000D_
01 01 19:40:34 491   377   377 D Zygote  : Forked child process 6437_x000D_
01 01 19:40:34 492   646   673 I ActivityManager: Start proc 6437:tv danmaku bili u0a167 for pre top activity  tv danmaku bili tv danmaku bili ui splash SplashActivity _x000D_
01 01 19:40:34 504  6437  6437 W tv danmaku bil: Unexpected CPU variant for X86 using defaults: x86 64_x000D_
01 01 19:40:34 510  6437  6437 E tv danmaku bil: Not starting debugger since process cannot load the jdwp agent _x000D_
01 01 19:40:34 514  6437  6437 I EdXposed: Start to install inline hooks_x000D_
01 01 19:40:34 514  6437  6437 I EdXposed: Using api level 30_x000D_
01 01 19:40:34 514  6437  6437 I EdXposed: Start to install Riru hook_x000D_
01 01 19:40:34 537  6437  6437 I EdXposed: Riru hooks installed_x000D_
01 01 19:40:34 548  6437  6437 I Dobby   :      DobbyHook  Initialize at 0xf0c32d80_x000D_
01 01 19:40:34 548  6437  6437 I Dobby   :                      FunctionInlineReplaceRouting Start                 _x000D_
01 01 19:40:34 548  6437  6437 I Dobby   :     Set trampoline target    0xe8583dc0_x000D_
01 01 19:40:34 548  6437  6437 I Dobby   :      assembler  Create fixed address at 0xf0c32d80_x000D_
01 01 19:40:34 548  6437  6437 I Dobby   :      trampoline  Generate trampoline buffer 0xf0c32d80    0xe8583dc0_x000D_
01 01 19:40:34 548  6437  6437 I Dobby   :      x86 insn reader  0xffd8a27c   1_x000D_
01 01 19:40:34 548  6437  6437 I Dobby   :      x86 insn  push_x000D_
01 01 19:40:34 548  6437  6437 I Dobby   :      x86 insn reader  0xffd8a27c   1_x000D_
01 01 19:40:34 548  6437  6437 I Dobby   :      x86 insn reader  0xffd8a27d   1_x000D_
01 01 19:40:34 548  6437  6437 I Dobby   :      x86 insn  mov_x000D_
01 01 19:40:34 548  6437  6437 I Dobby   :      x86 insn reader  0xffd8a27c   1_x000D_
01 01 19:40:34 548  6437  6437 I Dobby   :      x86 insn  push_x000D_
01 01 19:40:34 548  6437  6437 I Dobby   :      x86 insn reader  0xffd8a27c   1_x000D_
01 01 19:40:34 548  6437  6437 I Dobby   :      x86 insn  push_x000D_
01 01 19:40:34 548  6437  6437 I Dobby   :      assembler  Finalize assembler at 0xf6333000_x000D_
01 01 19:40:34 548  6437  6437 I Dobby   :      insn relocate  origin 0xf0c32d80   5_x000D_
01 01 19:40:34 548  6437  6437 I Dobby   :      insn relocate  relocated 0xf6333000   32_x000D_
01 01 19:40:34 548  6437  6437 I Dobby   :      intercept routing  Active patch 0xf0c32d80_x000D_
01 01 19:40:34 548  6437  6437 I Dobby   :                      FunctionInlineReplaceRouting End                 _x000D_
01 01 19:40:34 548  6437  6437 I Dobby   :      DobbyHook  Initialize at 0xf0c31980_x000D_
01 01 19:40:34 548  6437  6437 I Dobby   :                      FunctionInlineReplaceRouting Start                 _x000D_
01 01 19:40:34 548  6437  6437 I Dobby   :     Set trampoline target    0xe8583dd0_x000D_
01 01 19:40:34 548  6437  6437 I Dobby   :      assembler  Create fixed address at 0xf0c31980_x000D_
01 01 19:40:34 548  6437  6437 I Dobby   :      trampoline  Generate trampoline buffer 0xf0c31980    0xe8583dd0_x000D_
01 01 19:40:34 548  6437  6437 I Dobby   :      x86 insn reader  0xffd8a27c   1_x000D_
01 01 19:40:34 548  6437  6437 I Dobby   :      x86 insn  push_x000D_
01 01 19:40:34 548  6437  6437 I Dobby   :      x86 insn reader  0xffd8a27c   1_x000D_
01 01 19:40:34 548  6437  6437 I Dobby   :      x86 insn reader  0xffd8a27d   1_x000D_
01 01 19:40:34 548  6437  6437 I Dobby   :      x86 insn  mov_x000D_
01 01 19:40:34 548  6437  6437 I Dobby   :      x86 insn reader  0xffd8a27c   1_x000D_
01 01 19:40:34 548  6437  6437 I Dobby   :      x86 insn  push_x000D_
01 01 19:40:34 548  6437  6437 I Dobby   :      x86 insn reader  0xffd8a27c   1_x000D_
01 01 19:40:34 548  6437  6437 I Dobby   :      x86 insn  push_x000D_
01 01 19:40:34 548  6437  6437 I Dobby   :      assembler  Finalize assembler at 0xf6333020_x000D_
01 01 19:40:34 548  6437  6437 I Dobby   :      insn relocate  origin 0xf0c31980   5_x000D_
01 01 19:40:34 548  6437  6437 I Dobby   :      insn relocate  relocated 0xf6333020   32_x000D_
01 01 19:40:34 548  6437  6437 I Dobby   :      intercept routing  Active patch 0xf0c31980_x000D_
01 01 19:40:34 548  6437  6437 I Dobby   :                      FunctionInlineReplaceRouting End                 _x000D_
01 01 19:40:34 548  6437  6437 I Dobby   :      DobbyHook  Initialize at 0xf0aa7f30_x000D_
01 01 19:40:34 548  6437  6437 I Dobby   :                      FunctionInlineReplaceRouting Start                 _x000D_
01 01 19:40:34 548  6437  6437 I Dobby   :     Set trampoline target    0xe8583de0_x000D_
01 01 19:40:34 548  6437  6437 I Dobby   :      assembler  Create fixed address at 0xf0aa7f30_x000D_
01 01 19:40:34 548  6437  6437 I Dobby   :      trampoline  Generate trampoline buffer 0xf0aa7f30    0xe8583de0_x000D_
01 01 19:40:34 548  6437  6437 I Dobby   :      x86 insn reader  0xffd8a27c   1_x000D_
01 01 19:40:34 548  6437  6437 I Dobby   :      x86 insn  push_x000D_
01 01 19:40:34 548  6437  6437 I Dobby   :      x86 insn reader  0xffd8a27c   1_x000D_
01 01 19:40:34 548  6437  6437 I Dobby   :      x86 insn reader  0xffd8a27d   1_x000D_
01 01 19:40:34 548  6437  6437 I Dobby   :      x86 insn  mov_x000D_
01 01 19:40:34 548  6437  6437 I Dobby   :      x86 insn reader  0xffd8a27c   1_x000D_
01 01 19:40:34 548  6437  6437 I Dobby   :      x86 insn  push_x000D_
01 01 19:40:34 548  6437  6437 I Dobby   :      x86 insn reader  0xffd8a27c   1_x000D_
01 01 19:40:34 548  6437  6437 I Dobby   :      x86 insn  push_x000D_
01 01 19:40:34 548  6437  6437 I Dobby   :      assembler  Finalize assembler at 0xf6333040_x000D_
01 01 19:40:34 548  6437  6437 I Dobby   :      insn relocate  origin 0xf0aa7f30   5_x000D_
01 01 19:40:34 548  6437  6437 I Dobby   :      insn relocate  relocated 0xf6333040   32_x000D_
01 01 19:40:34 549  6437  6437 I Dobby   :      intercept routing  Active patch 0xf0aa7f30_x000D_
01 01 19:40:34 549  6437  6437 I Dobby   :                      FunctionInlineReplaceRouting End                 _x000D_
01 01 19:40:34 549  6437  6437 I Dobby   :      DobbyHook  Initialize at 0xf0ac3220_x000D_
01 01 19:40:34 549  6437  6437 I Dobby   :                      FunctionInlineReplaceRouting Start                 _x000D_
01 01 19:40:34 549  6437  6437 I Dobby   :     Set trampoline target    0xe8583e60_x000D_
01 01 19:40:34 549  6437  6437 I Dobby   :      assembler  Create fixed address at 0xf0ac3220_x000D_
01 01 19:40:34 549  6437  6437 I Dobby   :      trampoline  Generate trampoline buffer 0xf0ac3220    0xe8583e60_x000D_
01 01 19:40:34 549  6437  6437 I Dobby   :      x86 insn reader  0xffd8a1ec   1_x000D_
01 01 19:40:34 549  6437  6437 I Dobby   :      x86 insn  push_x000D_
01 01 19:40:34 549  6437  6437 I Dobby   :      x86 insn reader  0xffd8a1ec   1_x000D_
01 01 19:40:34 549  6437  6437 I Dobby   :      x86 insn reader  0xffd8a1ed   1_x000D_
01 01 19:40:34 549  6437  6437 I Dobby   :      x86 insn  mov_x000D_
01 01 19:40:34 549  6437  6437 I Dobby   :      x86 insn reader  0xffd8a1ec   1_x000D_
01 01 19:40:34 549  6437  6437 I Dobby   :      x86 insn  push_x000D_
01 01 19:40:34 549  6437  6437 I Dobby   :      x86 insn reader  0xffd8a1ec   1_x000D_
01 01 19:40:34 549  6437  6437 I Dobby   :      x86 insn  push_x000D_
01 01 19:40:34 549  6437  6437 I Dobby   :      assembler  Finalize assembler at 0xf6333060_x000D_
01 01 19:40:34 549  6437  6437 I Dobby   :      insn relocate  origin 0xf0ac3220   5_x000D_
01 01 19:40:34 549  6437  6437 I Dobby   :      insn relocate  relocated 0xf6333060   32_x000D_
01 01 19:40:34 549  6437  6437 I Dobby   :      intercept routing  Active patch 0xf0ac3220_x000D_
01 01 19:40:34 549  6437  6437 I Dobby   :                      FunctionInlineReplaceRouting End                 _x000D_
01 01 19:40:34 549  6437  6437 I Dobby   :      DobbyHook  Initialize at 0xf0ac22f0_x000D_
01 01 19:40:34 549  6437  6437 I Dobby   :                      FunctionInlineReplaceRouting Start                 _x000D_
01 01 19:40:34 549  6437  6437 I Dobby   :     Set trampoline target    0xe8583ed0_x000D_
01 01 19:40:34 549  6437  6437 I Dobby   :      assembler  Create fixed address at 0xf0ac22f0_x000D_
01 01 19:40:34 549  6437  6437 I Dobby   :      trampoline  Generate trampoline buffer 0xf0ac22f0    0xe8583ed0_x000D_
01 01 19:40:34 549  6437  6437 I Dobby   :      x86 insn reader  0xffd8a1ec   1_x000D_
01 01 19:40:34 549  6437  6437 I Dobby   :      x86 insn  push_x000D_
01 01 19:40:34 549  6437  6437 I Dobby   :      x86 insn reader  0xffd8a1ec   1_x000D_
01 01 19:40:34 549  6437  6437 I Dobby   :      x86 insn reader  0xffd8a1ed   1_x000D_
01 01 19:40:34 549  6437  6437 I Dobby   :      x86 insn  mov_x000D_
01 01 19:40:34 549  6437  6437 I Dobby   :      x86 insn reader  0xffd8a1ec   1_x000D_
01 01 19:40:34 550  6437  6437 I Dobby   :      x86 insn  push_x000D_
01 01 19:40:34 550  6437  6437 I Dobby   :      x86 insn reader  0xffd8a1ec   1_x000D_
01 01 19:40:34 550  6437  6437 I Dobby   :      x86 insn  push_x000D_
01 01 19:40:34 550  6437  6437 I Dobby   :      assembler  Finalize assembler at 0xf6333080_x000D_
01 01 19:40:34 550  6437  6437 I Dobby   :      insn relocate  origin 0xf0ac22f0   5_x000D_
01 01 19:40:34 550  6437  6437 I Dobby   :      insn relocate  relocated 0xf6333080   32_x000D_
01 01 19:40:34 551  6437  6437 I Dobby   :      intercept routing  Active patch 0xf0ac22f0_x000D_
01 01 19:40:34 551  6437  6437 I Dobby   :                      FunctionInlineReplaceRouting End                 _x000D_
01 01 19:40:34 551  6437  6437 I Dobby   :      DobbyHook  Initialize at 0xf0adc9d0_x000D_
01 01 19:40:34 551  6437  6437 I Dobby   :                      FunctionInlineReplaceRouting Start                 _x000D_
01 01 19:40:34 551  6437  6437 I Dobby   :     Set trampoline target    0xe8583fc0_x000D_
01 01 19:40:34 551  6437  6437 I Dobby   :      assembler  Create fixed address at 0xf0adc9d0_x000D_
01 01 19:40:34 551  6437  6437 I Dobby   :      trampoline  Generate trampoline buffer 0xf0adc9d0    0xe8583fc0_x000D_
01 01 19:40:34 551  6437  6437 I Dobby   :      x86 insn reader  0xffd8a1ec   1_x000D_
01 01 19:40:34 551  6437  6437 I Dobby   :      x86 insn  push_x000D_
01 01 19:40:34 551  6437  6437 I Dobby   :      x86 insn reader  0xffd8a1ec   1_x000D_
01 01 19:40:34 551  6437  6437 I Dobby   :      x86 insn reader  0xffd8a1ed   1_x000D_
01 01 19:40:34 551  6437  6437 I Dobby   :      x86 insn  mov_x000D_
01 01 19:40:34 551  6437  6437 I Dobby   :      x86 insn reader  0xffd8a1ec   1_x000D_
01 01 19:40:34 551  6437  6437 I Dobby   :      x86 insn  push_x000D_
01 01 19:40:34 551  6437  6437 I Dobby   :      x86 insn reader  0xffd8a1ec   1_x000D_
01 01 19:40:34 551  6437  6437 I Dobby   :      x86 insn  push_x000D_
01 01 19:40:34 551  6437  6437 I Dobby   :      assembler  Finalize assembler at 0xf63330a0_x000D_
01 01 19:40:34 551  6437  6437 I Dobby   :      insn relocate  origin 0xf0adc9d0   5_x000D_
01 01 19:40:34 551  6437  6437 I Dobby   :      insn relocate  relocated 0xf63330a0   32_x000D_
01 01 19:40:34 551  6437  6437 I Dobby   :      intercept routing  Active patch 0xf0adc9d0_x000D_
01 01 19:40:34 551  6437  6437 I Dobby   :                      FunctionInlineReplaceRouting End                 _x000D_
01 01 19:40:34 551  6437  6437 I Dobby   :      DobbyHook  Initialize at 0xf0e1db60_x000D_
01 01 19:40:34 551  6437  6437 I Dobby   :                      FunctionInlineReplaceRouting Start                 _x000D_
01 01 19:40:34 551  6437  6437 I Dobby   :     Set trampoline target    0xe8584010_x000D_
01 01 19:40:34 551  6437  6437 I Dobby   :      assembler  Create fixed address at 0xf0e1db60_x000D_
01 01 19:40:34 551  6437  6437 I Dobby   :      trampoline  Generate trampoline buffer 0xf0e1db60    0xe8584010_x000D_
01 01 19:40:34 551  6437  6437 I Dobby   :      x86 insn reader  0xffd8a24c   1_x000D_
01 01 19:40:34 551  6437  6437 I Dobby   :      x86 insn  push_x000D_
01 01 19:40:34 551  6437  6437 I Dobby   :      x86 insn reader  0xffd8a24c   1_x000D_
01 01 19:40:34 551  6437  6437 I Dobby   :      x86 insn reader  0xffd8a24d   1_x000D_
01 01 19:40:34 551  6437  6437 I Dobby   :      x86 insn  mov_x000D_
01 01 19:40:34 551  6437  6437 I Dobby   :      x86 insn reader  0xffd8a24c   1_x000D_
01 01 19:40:34 551  6437  6437 I Dobby   :      x86 insn  push_x000D_
01 01 19:40:34 551  6437  6437 I Dobby   :      x86 insn reader  0xffd8a24c   1_x000D_
01 01 19:40:34 551  6437  6437 I Dobby   :      x86 insn  push_x000D_
01 01 19:40:34 551  6437  6437 I Dobby   :      assembler  Finalize assembler at 0xf63330c0_x000D_
01 01 19:40:34 551  6437  6437 I Dobby   :      insn relocate  origin 0xf0e1db60   5_x000D_
01 01 19:40:34 551  6437  6437 I Dobby   :      insn relocate  relocated 0xf63330c0   32_x000D_
01 01 19:40:34 551  6437  6437 I Dobby   :      intercept routing  Active patch 0xf0e1db60_x000D_
01 01 19:40:34 551  6437  6437 I Dobby   :                      FunctionInlineReplaceRouting End                 _x000D_
01 01 19:40:34 551  6437  6437 I Dobby   :      DobbyHook  Initialize at 0xf0eb8b10_x000D_
01 01 19:40:34 551  6437  6437 I Dobby   :                      FunctionInlineReplaceRouting Start                 _x000D_
01 01 19:40:34 551  6437  6437 I Dobby   :     Set trampoline target    0xe85841f0_x000D_
01 01 19:40:34 551  6437  6437 I Dobby   :      assembler  Create fixed address at 0xf0eb8b10_x000D_
01 01 19:40:34 551  6437  6437 I Dobby   :      trampoline  Generate trampoline buffer 0xf0eb8b10    0xe85841f0_x000D_
01 01 19:40:34 551  6437  6437 I Dobby   :      x86 insn reader  0xffd8a27c   1_x000D_
01 01 19:40:34 551  6437  6437 I Dobby   :      x86 insn  push_x000D_
01 01 19:40:34 551  6437  6437 I Dobby   :      x86 insn reader  0xffd8a27c   1_x000D_
01 01 19:40:34 551  6437  6437 I Dobby   :      x86 insn reader  0xffd8a27d   1_x000D_
01 01 19:40:34 551  6437  6437 I Dobby   :      x86 insn  mov_x000D_
01 01 19:40:34 551  6437  6437 I Dobby   :      x86 insn reader  0xffd8a27c   1_x000D_
01 01 19:40:34 551  6437  6437 I Dobby   :      x86 insn  push_x000D_
01 01 19:40:34 551  6437  6437 I Dobby   :      x86 insn reader  0xffd8a27c   1_x000D_
01 01 19:40:34 551  6437  6437 I Dobby   :      x86 insn  push_x000D_
01 01 19:40:34 551  6437  6437 I Dobby   :      assembler  Finalize assembler at 0xf63330e0_x000D_
01 01 19:40:34 551  6437  6437 I Dobby   :      insn relocate  origin 0xf0eb8b10   5_x000D_
01 01 19:40:34 551  6437  6437 I Dobby   :      insn relocate  relocated 0xf63330e0   32_x000D_
01 01 19:40:34 551  6437  6437 I Dobby   :      intercept routing  Active patch 0xf0eb8b10_x000D_
01 01 19:40:34 551  6437  6437 I Dobby   :                      FunctionInlineReplaceRouting End                 _x000D_
01 01 19:40:34 551  6437  6437 I Dobby   :      DobbyHook  Initialize at 0xf0ca2c60_x000D_
01 01 19:40:34 551  6437  6437 I Dobby   :                      FunctionInlineReplaceRouting Start                 _x000D_
01 01 19:40:34 551  6437  6437 I Dobby   :     Set trampoline target    0xe8584200_x000D_
01 01 19:40:34 551  6437  6437 I Dobby   :      assembler  Create fixed address at 0xf0ca2c60_x000D_
01 01 19:40:34 551  6437  6437 I Dobby   :      trampoline  Generate trampoline buffer 0xf0ca2c60    0xe8584200_x000D_
01 01 19:40:34 551  6437  6437 I Dobby   :      x86 insn reader  0xffd8a27c   1_x000D_
01 01 19:40:34 551  6437  6437 I Dobby   :      x86 insn  push_x000D_
01 01 19:40:34 551  6437  6437 I Dobby   :      x86 insn reader  0xffd8a27c   1_x000D_
01 01 19:40:34 552  6437  6437 I Dobby   :      x86 insn reader  0xffd8a27d   1_x000D_
01 01 19:40:34 552  6437  6437 I Dobby   :      x86 insn  mov_x000D_
01 01 19:40:34 552  6437  6437 I Dobby   :      x86 insn reader  0xffd8a27c   1_x000D_
01 01 19:40:34 552  6437  6437 I Dobby   :      x86 insn  push_x000D_
01 01 19:40:34 552  6437  6437 I Dobby   :      x86 insn reader  0xffd8a27c   1_x000D_
01 01 19:40:34 552  6437  6437 I Dobby   :      x86 insn  push_x000D_
01 01 19:40:34 552  6437  6437 I Dobby   :      assembler  Finalize assembler at 0xf6333100_x000D_
01 01 19:40:34 552  6437  6437 I Dobby   :      insn relocate  origin 0xf0ca2c60   5_x000D_
01 01 19:40:34 552  6437  6437 I Dobby   :      insn relocate  relocated 0xf6333100   32_x000D_
01 01 19:40:34 552  6437  6437 I Dobby   :      intercept routing  Active patch 0xf0ca2c60_x000D_
01 01 19:40:34 552  6437  6437 I Dobby   :                      FunctionInlineReplaceRouting End                 _x000D_
01 01 19:40:34 552  6437  6437 I EdXposed: ART hooks installed_x000D_
01 01 19:40:34 579   646  1939 I system server: oneway function results will be dropped but finished with status OK and parcel size 4_x000D_
01 01 19:40:34 607  6437  6437 I EdXposed: Loading modules for tv danmaku bili_x000D_
01 01 19:40:34 607  6437  6437 I EdXposed Bridge: Loading modules from  data app   5VUNJf 4JEWY6SaultwZSw   me iacn biliroaming 13nnI5 BPDGCRlIOGzmyZg   base apk_x000D_
01 01 19:40:34 613  6437  6437 I EdXposed Bridge:   Loading class me iacn biliroaming XposedInit_x000D_
01 01 19:40:34 633   646  1939 W InputReader: Device virtio input multi touch 10 is associated with display ADISPLAY ID NONE _x000D_
01 01 19:40:34 633   646  1939 W InputReader: Device virtio input multi touch 4 is associated with display ADISPLAY ID NONE _x000D_
01 01 19:40:34 633   646  1939 W InputReader: Device virtio input multi touch 9 is associated with display ADISPLAY ID NONE _x000D_
01 01 19:40:34 633   646  1939 W InputReader: Device virtio input multi touch 6 is associated with display ADISPLAY ID NONE _x000D_
01 01 19:40:34 633   646  1939 W InputReader: Device virtio input multi touch 3 is associated with display ADISPLAY ID NONE _x000D_
01 01 19:40:34 633   646  1939 W InputReader: Device virtio input multi touch 11 is associated with display ADISPLAY ID NONE _x000D_
01 01 19:40:34 633   646  1939 W InputReader: Device virtio input multi touch 7 is associated with display ADISPLAY ID NONE _x000D_
01 01 19:40:34 633   646  1939 W InputReader: Device virtio input multi touch 5 is associated with display ADISPLAY ID NONE _x000D_
01 01 19:40:34 634   646  1939 W InputReader: Device virtio input multi touch 8 is associated with display ADISPLAY ID NONE _x000D_
01 01 19:40:34 634   646  1939 W InputReader: Device virtio input multi touch 2 is associated with display ADISPLAY ID NONE _x000D_
01 01 19:40:34 634   646  1939 W InputReader: Device virtio input multi touch 10 is associated with display ADISPLAY ID NONE _x000D_
01 01 19:40:34 634   646  1939 W InputReader: Device virtio input multi touch 4 is associated with display ADISPLAY ID NONE _x000D_
01 01 19:40:34 634   646  1939 W InputReader: Device virtio input multi touch 9 is associated with display ADISPLAY ID NONE _x000D_
01 01 19:40:34 634   646  1939 W InputReader: Device virtio input multi touch 6 is associated with display ADISPLAY ID NONE _x000D_
01 01 19:40:34 634   646  1939 W InputReader: Device virtio input multi touch 3 is associated with display ADISPLAY ID NONE _x000D_
01 01 19:40:34 634   646  1939 W InputReader: Device virtio input multi touch 11 is associated with display ADISPLAY ID NONE _x000D_
01 01 19:40:34 634   646  1939 W InputReader: Device virtio input multi touch 7 is associated with display ADISPLAY ID NONE _x000D_
01 01 19:40:34 634   646  1939 W InputReader: Device virtio input multi touch 5 is associated with display ADISPLAY ID NONE _x000D_
01 01 19:40:34 634   646  1939 W InputReader: Device virtio input multi touch 8 is associated with display ADISPLAY ID NONE _x000D_
01 01 19:40:34 634   646  1939 W InputReader: Device virtio input multi touch 2 is associated with display ADISPLAY ID NONE _x000D_
01 01 19:40:34 675   406   438 D goldfish address space: allocate: Ask for block of size 0x7e9000_x000D_
01 01 19:40:34 675   406   438 D goldfish address space: allocate: ioctl allocate returned offset 0x3fdb47000 size 0x7ea000_x000D_
01 01 19:40:34 690   407   500 W EmuHWC2 : validate: layer 64 CompositionType 1  fallback_x000D_
01 01 19:40:34 702   407   500 W EmuHWC2 : No layers  exit  buffer 0x7430313a0c40_x000D_
01 01 19:40:34 707   407   500 W EmuHWC2 : validate: layer 64 CompositionType 1  fallback_x000D_
01 01 19:40:34 708   407   500 W EmuHWC2 : No layers  exit  buffer 0x74303139fbf0_x000D_
01 01 19:40:34 724   407   500 W EmuHWC2 : validate: layer 64 CompositionType 1  fallback_x000D_
01 01 19:40:34 725   407   500 W EmuHWC2 : No layers  exit  buffer 0x7430313a0c40_x000D_
01 01 19:40:34 740   407   500 W EmuHWC2 : validate: layer 64 CompositionType 1  fallback_x000D_
01 01 19:40:34 741   407   500 W EmuHWC2 : No layers  exit  buffer 0x74303139fbf0_x000D_
01 01 19:40:34 757   407   500 W EmuHWC2 : validate: layer 64 CompositionType 1  fallback_x000D_
01 01 19:40:34 759   407   500 W EmuHWC2 : No layers  exit  buffer 0x7430313a0c40_x000D_
01 01 19:40:34 766  6437  6437 D ApplicationLoaders: Returning zygote cached class loader:  system framework android test base jar_x000D_
01 01 19:40:34 767  6437  6437 I tv danmaku bil: The ClassLoaderContext is a special shared library _x000D_
01 01 19:40:34 774   407   500 W EmuHWC2 : validate: layer 64 CompositionType 1  fallback_x000D_
01 01 19:40:34 775   407   500 W EmuHWC2 : No layers  exit  buffer 0x74303139fbf0_x000D_
01 01 19:40:34 790   407   500 W EmuHWC2 : validate: layer 64 CompositionType 1  fallback_x000D_
01 01 19:40:34 791   407   500 W EmuHWC2 : No layers  exit  buffer 0x7430313a0c40_x000D_
01 01 19:40:34 803  6437  6437 D NetworkSecurityConfig: Using Network Security Config from resource a2 debugBuild: false_x000D_
01 01 19:40:34 804  6437  6437 D NetworkSecurityConfig: Using Network Security Config from resource a2 debugBuild: false_x000D_
01 01 19:40:34 805  6437  6437 D Tinker TinkerLoader: tryLoad test test_x000D_
01 01 19:40:34 806  6437  6437 W Tinker TinkerLoader: tryLoadPatchFiles:patch dir not exist: data user 0 tv danmaku bili tinker_x000D_
01 01 19:40:34 807   407   500 W EmuHWC2 : validate: layer 64 CompositionType 1  fallback_x000D_
01 01 19:40:34 807  6437  6437 D Tinker DefaultAppLike: onBaseContextAttached:_x000D_
01 01 19:40:34 808   407   500 W EmuHWC2 : No layers  exit  buffer 0x74303139fbf0_x000D_
01 01 19:40:34 814  6437  6437 I MultiDex: VM with version 2 1 0 has multidex support_x000D_
01 01 19:40:34 814  6437  6437 I MultiDex: Installing application_x000D_
01 01 19:40:34 814  6437  6437 I MultiDex: VM has multidex support  MultiDex support library is disabled _x000D_
01 01 19:40:34 823   407   500 W EmuHWC2 : validate: layer 64 CompositionType 1  fallback_x000D_
01 01 19:40:34 826   407   500 W EmuHWC2 : No layers  exit  buffer 0x7430313a0c40_x000D_
01 01 19:40:34 838  6437  6437 E TinkerLoaderLibraryHelper: failed to get current patch version _x000D_
01 01 19:40:34 838  6437  6437 I HotfixManager: don not need to hook install native library_x000D_
01 01 19:40:34 840   407   500 W EmuHWC2 : validate: layer 64 CompositionType 1  fallback_x000D_
01 01 19:40:34 842   407   500 W EmuHWC2 : No layers  exit  buffer 0x74303139fbf0_x000D_
01 01 19:40:34 843  6437  6460 D SoLoader: init start_x000D_
01 01 19:40:34 843  6437  6460 D SoLoader: adding system library source:  vendor lib_x000D_
01 01 19:40:34 843  6437  6460 D SoLoader: adding system library source:  system lib_x000D_
01 01 19:40:34 844  6437  6460 D SoLoader: adding application source: com facebook soloader c root    data app   UZ0tQX2u4KkkAttLdVncsA   tv danmaku bili 8JfGU64XLkRGAjxqC7uqrw   lib x86 flags   0 _x000D_
01 01 19:40:34 844  6437  6460 D SoLoader: adding backup source from : com facebook soloader a root    data user 0 tv danmaku bili lib main flags   1 _x000D_
01 01 19:40:34 845  6437  6460 D SoLoader: Preparing SO source: com facebook soloader c root    system lib flags   2 _x000D_
01 01 19:40:34 845  6437  6460 D SoLoader: Preparing SO source: com facebook soloader c root    vendor lib flags   2 _x000D_
01 01 19:40:34 845  6437  6460 D SoLoader: Preparing SO source: com facebook soloader c root    data app   UZ0tQX2u4KkkAttLdVncsA   tv danmaku bili 8JfGU64XLkRGAjxqC7uqrw   lib x86 flags   0 _x000D_
01 01 19:40:34 845  6437  6460 D SoLoader: Preparing SO source: com facebook soloader a root    data user 0 tv danmaku bili lib main flags   1 _x000D_
01 01 19:40:34 846  6437  6460 I fb UnpackingSoSource: dso store is up to date:  data user 0 tv danmaku bili lib main_x000D_
01 01 19:40:34 846  6437  6460 D SoLoader: init finish: 4 SO sources prepared_x000D_
01 01 19:40:34 846  6437  6460 D SoLoader: init exiting_x000D_
01 01 19:40:34 852  6437  6437 I AGConnectProvider: AGConnectInitializeProvider onCreate_x000D_
01 01 19:40:34 853  6437  6437 I AGConnectInstance: AGConnectInstance initialize_x000D_
01 01 19:40:34 853  6437  6437 I ServiceRegistrarParser: getServices_x000D_
01 01 19:40:34 854  6437  6437 I ServiceRegistrarParser: services:0_x000D_
01 01 19:40:34 857   407   500 W EmuHWC2 : validate: layer 64 CompositionType 1  fallback_x000D_
01 01 19:40:34 858   407   500 W EmuHWC2 : No layers  exit  buffer 0x7430313a0c40_x000D_
01 01 19:40:34 873   407   500 W EmuHWC2 : validate: layer 64 CompositionType 1  fallback_x000D_
01 01 19:40:34 875   407   500 W EmuHWC2 : No layers  exit  buffer 0x74303139fbf0_x000D_
01 01 19:40:34 890   407   500 W EmuHWC2 : validate: layer 64 CompositionType 1  fallback_x000D_
01 01 19:40:34 892   407   500 W EmuHWC2 : No layers  exit  buffer 0x7430313a0c40_x000D_
01 01 19:40:34 900  6437  6437 D BiliRoaming: BiliBili process launched    _x000D_
01 01 19:40:34 900  6437  6437 D BiliRoaming: BiliRoaming version: 46e2bfcd7b(40) from  data app   5VUNJf 4JEWY6SaultwZSw   me iacn biliroaming 13nnI5 BPDGCRlIOGzmyZg   base apk_x000D_
01 01 19:40:34 901  6437  6437 D BiliRoaming: Bilibili version: tv danmaku bili 6 15 1(6151000) (64bit)_x000D_
01 01 19:40:34 901  6437  6437 D BiliRoaming: SDK: 11(30)  Phone: google sdk gphone x86 64_x000D_
01 01 19:40:34 901  6437  6437 D BiliRoaming: Config:   _x000D_
01 01 19:40:34 904  6437  6437 D BiliRoaming: Reading hook info:  data user 0 tv danmaku bili cache hookinfo dat_x000D_
01 01 19:40:34 907   407   500 W EmuHWC2 : validate: layer 64 CompositionType 1  fallback_x000D_
01 01 19:40:34 909   407   500 W EmuHWC2 : No layers  exit  buffer 0x74303139fbf0_x000D_
01 01 19:40:34 923   407   500 W EmuHWC2 : validate: layer 64 CompositionType 1  fallback_x000D_
01 01 19:40:34 925   407   500 W EmuHWC2 : No layers  exit  buffer 0x7430313a0c40_x000D_
01 01 19:40:34 931  6437  6437 D BiliRoaming:  field color array l  class download thread listener tv danmaku bili ui offline o  method fastjson parse parseObject  method like f  class share wrapper com bilibili lib sharewrapper h  method garb c  class notification builder androidx core app i d  method open drawer H  class drawer layout params androidx drawerlayout widget DrawerLayout e  class abs music service tv danmaku bili ui player notification AbsMusicService  field abs music service a  field request null  class theme name tv danmaku bili ui garb d  method skin list y9  class theme list click tv danmaku bili ui theme ThemeStoreActivity h  field video detail v  method check blue null  class report download thread tv danmaku bili ui offline api c  class check blue null  class bangumi params map com bilibili bangumi data page detail a b  field theme name a  class garb helper com bilibili lib ui garb a  class column helper com bilibili column helper l  field column color array l  method is drawer open A  method params to map a  class music notification helper tv danmaku bili ui player notification a  method share wrapper h  field color id a  method save skin m  class retrofit response retrofit2 l  class theme processor tv danmaku bili ui theme l  class section tv danmaku bili ui video section b  class setting router tv danmaku bili ui main2 mine e  methods set notification t  method media session token m  class drawer null  class theme id helper tv danmaku bili ui theme k  class fastjson com alibaba fastjson JSON  field download thread s  method close drawer e  methods theme reset b c  method add setting vs  method report download thread c  class theme helper tv danmaku bili ui theme i  method url null  method sign query g _x000D_
01 01 19:40:34 931  6437  6437 D BiliRoaming: Check hook info completed: needUpdate   false_x000D_
01 01 19:40:34 934  6437  6437 W tv danmaku bil: Unsupported class loader_x000D_
01 01 19:40:34 934  6437  6437 W tv danmaku bil: Unsupported class loader_x000D_
01 01 19:40:34 940   407   500 W EmuHWC2 : validate: layer 64 CompositionType 1  fallback_x000D_
01 01 19:40:34 941   407   500 W EmuHWC2 : No layers  exit  buffer 0x74303139fbf0_x000D_
01 01 19:40:34 942  6437  6437 D BiliRoaming: startHook: Json_x000D_
01 01 19:40:34 946  6437  6437 F libc    : Fatal signal 11 (SIGSEGV)  code 1 (SEGV MAPERR)  fault addr 0x6 in tid 6437 (tv danmaku bili)  pid 6437 (tv danmaku bili)_x000D_
01 01 19:40:34 957   407   500 W EmuHWC2 : validate: layer 64 CompositionType 1  fallback_x000D_
01 01 19:40:34 959   407   500 W EmuHWC2 : No layers  exit  buffer 0x7430313a0c40_x000D_
01 01 19:40:34 969  6482  6482 I crash dump32: obtaining output fd from tombstoned  type: kDebuggerdTombstone_x000D_
01 01 19:40:34 969   366   366 I tombstoned: received crash request for pid 6437_x000D_
01 01 19:40:34 969  6482  6482 I crash dump32: performing dump of process 6437 (target tid   6437)_x000D_
01 01 19:40:34 974   407   500 W EmuHWC2 : validate: layer 64 CompositionType 1  fallback_x000D_
01 01 19:40:34 974  6482  6482 F DEBUG   :                                                                _x000D_
01 01 19:40:34 974  6482  6482 F DEBUG   : Build fingerprint:  google sdk gphone x86 64 generic x86 64 arm64:11 RSR1 201013 001 6903271:user release keys _x000D_
01 01 19:40:34 974  6482  6482 F DEBUG   : Revision:  0 _x000D_
01 01 19:40:34 974  6482  6482 F DEBUG   : ABI:  x86 _x000D_
01 01 19:40:34 975  6482  6482 F DEBUG   : Timestamp: 2021 01 01 19:40:34 0800_x000D_
01 01 19:40:34 975  6482  6482 F DEBUG   : pid: 6437  tid: 6437  name: tv danmaku bili      tv danmaku bili    _x000D_
01 01 19:40:34 975  6482  6482 F DEBUG   : uid: 10167_x000D_
01 01 19:40:34 975  6482  6482 F DEBUG   : signal 11 (SIGSEGV)  code 1 (SEGV MAPERR)  fault addr 0x6_x000D_
01 01 19:40:34 975  6482  6482 F DEBUG   : Cause: null pointer dereference_x000D_
01 01 19:40:34 975  6482  6482 F DEBUG   :     eax e8b84610  ebx f10d877c  ecx 00000000  edx ffd889a8_x000D_
01 01 19:40:34 975  6482  6482 F DEBUG   :     edi 00000002  esi 12caece0_x000D_
01 01 19:40:34 975  6482  6482 F DEBUG   :     ebp ffd88918  esp ffd88840  eip f0fb719a_x000D_
01 01 19:40:34 975   407   500 W EmuHWC2 : No layers  exit  buffer 0x74303139fbf0_x000D_
01 01 19:40:34 991   407   500 W EmuHWC2 : validate: layer 64 CompositionType 1  fallback_x000D_
01 01 19:40:34 992   407   500 W EmuHWC2 : No layers  exit  buffer 0x7430313a0c40_x000D_
01 01 19:40:35 007   407   500 W EmuHWC2 : validate: layer 64 CompositionType 1  fallback_x000D_
01 01 19:40:35 009   407   500 W EmuHWC2 : No layers  exit  buffer 0x74303139fbf0_x000D_
01 01 19:40:35 023   407   500 W EmuHWC2 : validate: layer 64 CompositionType 1  fallback_x000D_
01 01 19:40:35 024   407   500 W EmuHWC2 : No layers  exit  buffer 0x7430313a0c40_x000D_
01 01 19:40:35 079  6482  6482 F DEBUG   : backtrace:_x000D_
01 01 19:40:35 079  6482  6482 F DEBUG   :        00 pc 006ea19a   apex com android art lib libart so libart so (offset 0x5ec000) (art::Thread::DecodeJObject( jobject ) const 234) (BuildId: 156cb2e56e404d5bfc9a15c0888c1868)_x000D_
01 01 19:40:35 079  6482  6482 F DEBUG   :        01 pc 0007e78c   anonymous:e850c000 _x000D_
01 01 19:40:35 079  6482  6482 F DEBUG   :        02 pc 0014a432   apex com android art lib</t>
  </si>
  <si>
    <t>TeamNewPipe-NewPipe-5328</t>
  </si>
  <si>
    <t>UI crashes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</si>
  <si>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I was on landscape mode watching a video then I minimized it in mini player and then started scrolling items in history page and then UI crash happened also the items were overlapping each other before crashing_x000D_
_x000D_
     If you can t cause the bug to show up again reliably (and hence don t have a proper set of steps to give us)  please still try to give as many details as possible on how you think you encountered the bug     _x000D_
_x000D_
  Logs_x000D_
     If your bug includes a crash (where you re shown the Error Report page with a bunch of info)  tap on  Copy formatted report  at the bottom and paste it here:    _x000D_
   Exception_x000D_
    User Action:   ui error_x000D_
    Request:   App crash  UI failure_x000D_
    Content Country:   IN_x000D_
    Content Language:   en IN_x000D_
    App Language:   en IN_x000D_
    Service:   none_x000D_
    Version:   0 20 8_x000D_
    OS:   Linux Android 10   29_x000D_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java:883)_x000D_
	at android os Handler dispatchMessage(Handler java:100)_x000D_
	at android os Looper loop(Looper java:237)_x000D_
	at android app ActivityThread main(ActivityThread java:7948)_x000D_
	at java lang reflect Method invoke(Native Method)_x000D_
	at com android internal os RuntimeInit MethodAndArgsCaller run(RuntimeInit java:493)_x000D_
	at com android internal os ZygoteInit main(ZygoteInit java:1075)_x000D_
_x000D_
   _x000D_
  details _x000D_
 hr _x000D_
_x000D_
This is not usual and it happened only once till now _x000D_
Device Type: Smart phone</t>
  </si>
  <si>
    <t>AOF-Dev-MCinaBox-779</t>
  </si>
  <si>
    <t>The forge crach</t>
  </si>
  <si>
    <t xml:space="preserve">  Describe the crash  _x000D_
When you install the forge it will crash _x000D_
_x000D_
  To Reproduce  _x000D_
Steps to reproduce the crash:_x000D_
1  Go to  settings _x000D_
2  Click on  forge installer _x000D_
3  See the crash</t>
  </si>
  <si>
    <t>TeamNewPipe-NewPipe-5326</t>
  </si>
  <si>
    <t>video without channel or description crashes newpipe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</si>
  <si>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x  I am using the latest version   0 20 8_x000D_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Attempt to watch this video: https:  www youtube com watch v 5MPmOQOJHiQ_x000D_
_x000D_
_x000D_
    Actual behaviour_x000D_
It crashes _x000D_
_x000D_
_x000D_
_x000D_
    Expected behavior_x000D_
It plays  This video doesn t have a description or channel on the website or YouTube app either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embed 5MPmOQOJHiQ  opened with popup player_x000D_
    Content Country:   US_x000D_
    Content Language:   en US_x000D_
    App Language:   en US_x000D_
    Service:   YouTube_x000D_
    Version:   0 20 8_x000D_
    OS:   Linux Android 10   29_x000D_
 details  summary  b Crash log   b   summary  p _x000D_
_x000D_
   _x000D_
org schabi newpipe extractor exceptions ParsingException: Could not find videoSecondaryInfoRenderer_x000D_
	at org schabi newpipe extractor services youtube extractors YoutubeStreamExtractor getVideoSecondaryInfoRenderer(YoutubeStreamExtractor java:914)_x000D_
	at org schabi newpipe extractor services youtube extractors YoutubeStreamExtractor getAgeLimit(YoutubeStreamExtractor java:246)_x000D_
	at org schabi newpipe extractor stream StreamInfo extractImportantData(StreamInfo java:106)_x000D_
	at org schabi newpipe extractor stream StreamInfo getInfo(StreamInfo java:71)_x000D_
	at org schabi newpipe extractor stream StreamInfo getInfo(StreamInfo java:64)_x000D_
	at org schabi newpipe util ExtractorHelper lambda getStreamInfo 3(ExtractorHelper java:127)_x000D_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SingleObserveOn subscribeActual(SingleObserveOn java:35)_x000D_
	at io reactivex rxjava3 core Single subscribe(Single java:4813)_x000D_
	at io reactivex rxjava3 core Single subscribe(Single java:4799)_x000D_
	at org schabi newpipe RouterActivity FetcherService handleChoice(RouterActivity java:644)_x000D_
	at org schabi newpipe RouterActivity FetcherService onHandleIntent(RouterActivity java:616)_x000D_
	at android app IntentService ServiceHandler handleMessage(IntentService java:78)_x000D_
	at android os Handler dispatchMessage(Handler java:107)_x000D_
	at android os Looper loop(Looper java:237)_x000D_
	at android os HandlerThread run(HandlerThread java:67)_x000D_
_x000D_
   _x000D_
  details _x000D_
 hr _x000D_
_x000D_
_x000D_
     Please fill this out when you do not provide a log generate by NewPipe    _x000D_
_x000D_
    Device info_x000D_
_x000D_
   Android version Custom ROM version: Android 10 (OneUI 2 0)_x000D_
   Device model: Samsung Galaxy Tab S5e</t>
  </si>
  <si>
    <t>ElderDrivers-EdXposed-781</t>
  </si>
  <si>
    <t>[BUG] Installed but not active on miui 12.5(xiaomi 10 pro)</t>
  </si>
  <si>
    <t xml:space="preserve">    _x000D_
                                  Xposed     Magisk   _x000D_
If you encountered boot loop  please make sure you have disabled all unrelated Xposed and Magisk modules before submit an issue_x000D_
_x000D_
            _x000D_
In any case  the title should be in English_x000D_
   _x000D_
_x000D_
       What happened   _x000D_
      _x000D_
    _x000D_
           _x000D_
Such as bootloop  module not loaded  etc_x000D_
   _x000D_
_x000D_
  Xposed     Xposed Module List  _x000D_
 _x000D_
_x000D_
  Magisk     Magisk Module List  _x000D_
riru_x000D_
riru storage isolation_x000D_
scene_x000D_
systemless hosts_x000D_
viper4android fx_x000D_
_x000D_
       Versions  _x000D_
_x000D_
Android: miui 12 5 android 11_x000D_
_x000D_
Magisk:21 2_x000D_
_x000D_
Riru:23 1_x000D_
_x000D_
EdXposed:v0 5 1 4 4655 sandhook debug_x000D_
_x000D_
       Related Logs  _x000D_
          beginning of head_x000D_
EdXposed Log_x000D_
Powered by Log Catcher_x000D_
QQ support group: 855219808_x000D_
Telegram support group:  Code Of MeowCat_x000D_
Telegram channel:  EdXposed_x000D_
          beginning of information_x000D_
Manufacturer: Xiaomi_x000D_
Brand: Xiaomi_x000D_
Device: cmi_x000D_
Product: cmi_x000D_
Model: Mi 10 Pro_x000D_
Fingerprint: Xiaomi cmi cmi:11 RKQ1 200826 002 20 12 29:user release keys_x000D_
ROM description: cmi user 11 RKQ1 200826 002 20 12 29 release keys_x000D_
Architecture: arm64 v8a_x000D_
Android build: RKQ1 200826 002_x000D_
Android version: 11_x000D_
Android sdk: 30_x000D_
EdXposed version: v0 5 1 4 4655 master (SandHook)_x000D_
EdXposed api: 93_x000D_
Riru version: v23 1 (51)_x000D_
Riru api: 10_x000D_
Magisk: 21 2 (21200)_x000D_
   _x000D_
          beginning of crash_x000D_
11 16 01:36:44 505   573   573 F libc    : Fatal signal 6 (SIGABRT)  code  1 (SI QUEUE) in tid 573 (init)  pid 573 (init)_x000D_
          beginning of main_x000D_
11 16 01:36:44 519   577   577 F DEBUG   :                                                                _x000D_
11 16 01:36:44 519   577   577 F DEBUG   : Build fingerprint:  Xiaomi cmi cmi:11 RKQ1 200826 002 20 12 29:user release keys _x000D_
11 16 01:36:44 519   577   577 F DEBUG   : Revision:  0 _x000D_
11 16 01:36:44 519   577   577 F DEBUG   : ABI:  arm64 _x000D_
11 16 01:36:44 522   577   577 F DEBUG   : Timestamp: 1970 11 16 01:36:44 0800_x000D_
11 16 01:36:44 522   577   577 F DEBUG   : pid: 573  tid: 573  name: init       system bin init    _x000D_
11 16 01:36:44 522   577   577 F DEBUG   : uid: 0_x000D_
11 16 01:36:44 522   577   577 F DEBUG   : signal 6 (SIGABRT)  code  1 (SI QUEUE)  fault addr         _x000D_
11 16 01:36:44 522   577   577 F DEBUG   : Abort message:  cannot setexeccon( u:r:vendor qti testscripts:s0 ) for exec 4 ( vendor bin sh  vendor bin init qti usb debug sh): Invalid argument _x000D_
11 16 01:36:44 522   577   577 F DEBUG   :     x0  0000000000000000  x1  000000000000023d  x2  0000000000000006  x3  0000007fd2054780_x000D_
11 16 01:36:44 522   577   577 F DEBUG   :     x4  0000000000000000  x5  0000000000000000  x6  0000000000000000  x7  000000000000000a_x000D_
11 16 01:36:44 522   577   577 F DEBUG   :     x8  00000000000000f0  x9  3674e0628da5a9dc  x10 0000000000000000  x11 ffffffc0ffffffdf_x000D_
11 16 01:36:44 522   577   577 F DEBUG   :     x12 0000000000000001  x13 2f2068732f6e6962  x14 0000007fafc64be2  x15 12071f0a00000000_x000D_
11 16 01:36:44 522   577   577 F DEBUG   :     x16 0000007fafc60948  x17 0000007fafc3f390  x18 0000007fb015a000  x19 000000000000023d_x000D_
11 16 01:36:44 522   577   577 F DEBUG   :     x20 000000000000023d  x21 00000000ffffffff  x22 0000007fb0019000  x23 0000007fb0019000_x000D_
11 16 01:36:44 522   577   577 F DEBUG   :     x24 b400007f2e6a2000  x25 0000007fb0019000  x26 0000000000000000  x27 0000007fd2054e70_x000D_
11 16 01:36:44 522   577   577 F DEBUG   :     x28 0000007fafbf6fac  x29 0000007fd2054800_x000D_
11 16 01:36:44 522   577   577 F DEBUG   :     lr  0000007fafbf2aa0  sp  0000007fd2054760  pc  0000007fafbf2acc  pst 0000000000001000_x000D_
11 16 01:36:44 526   577   577 F DEBUG   : backtrace:_x000D_
11 16 01:36:44 526   577   577 F DEBUG   :        00 pc 0000000000089acc   system lib64 bootstrap libc so (abort 164) (BuildId: a790cdbd8e44ea8a90802da343cb82ce)_x000D_
11 16 01:36:44 526   577   577 F DEBUG   :        01 pc 0000000000011db0   system lib64 libbase so (android::base::DefaultAborter(char const ) 12) (BuildId: 7f81cc97d60164bfae3b52a2cd822f20)_x000D_
11 16 01:36:44 526   577   577 F DEBUG   :        02 pc 0000000000013978   system lib64 libbase so (android::base::SetAborter(std::  1::function void (char const )   )::  3::  invoke(char const ) 76) (BuildId: 7f81cc97d60164bfae3b52a2cd822f20)_x000D_
11 16 01:36:44 526   577   577 F DEBUG   :        03 pc 0000000000012fa4   system lib64 libbase so (android::base::LogMessage:: LogMessage() 320) (BuildId: 7f81cc97d60164bfae3b52a2cd822f20)_x000D_
11 16 01:36:44 526   577   577 F DEBUG   :        04 pc 0000000000066074   system bin init (android::init::Service::SetProcessAttributesAndCaps() 712) (BuildId: c970d78e59081bb04d7b989ba1acd9f5)_x000D_
11 16 01:36:44 526   577   577 F DEBUG   :        05 pc 0000000000068c34   system bin init (android::init::Service::Start() 7808) (BuildId: c970d78e59081bb04d7b989ba1acd9f5)_x000D_
11 16 01:36:44 526   577   577 F DEBUG   :        06 pc 0000000000066a0c   system bin init (android::init::Service::ExecStart() 104) (BuildId: c970d78e59081bb04d7b989ba1acd9f5)_x000D_
11 16 01:36:44 526   577   577 F DEBUG   :        07 pc 0000000000052cf4   system bin init (android::init::do exec(android::init::BuiltinArguments const ) 588) (BuildId: c970d78e59081bb04d7b989ba1acd9f5)_x000D_
11 16 01:36:44 526   577   577 F DEBUG   :        08 pc 00000000000407fc   system bin init (android::init::RunBuiltinFunction(std::  1::function android::base::expected void  android::base::ResultError  (android::init::BuiltinArguments const )  const   std::  1::vector std::  1::basic string char  std::  1::char traits char   std::  1::allocator char     std::  1::allocator std::  1::basic string char  std::  1::char traits char   std::  1::allocator char        const   std::  1::basic string char  std::  1::char traits char   std::  1::allocator char    const ) 480) (BuildId: c970d78e59081bb04d7b989ba1acd9f5)_x000D_
11 16 01:36:44 526   577   577 F DEBUG   :        09 pc 00000000000409ac   system bin init (android::init::Command::InvokeFunc(android::init::Subcontext ) const 284) (BuildId: c970d78e59081bb04d7b989ba1acd9f5)_x000D_
11 16 01:36:44 526   577   577 F DEBUG   :        10 pc 00000000000413f8   system bin init (android::init::Action::ExecuteCommand(android::init::Command const ) const 76) (BuildId: c970d78e59081bb04d7b989ba1acd9f5)_x000D_
11 16 01:36:44 526   577   577 F DEBUG   :        11 pc 00000000000412f4   system bin init (android::init::Action::ExecuteOneCommand(unsigned long) const 332) (BuildId: c970d78e59081bb04d7b989ba1acd9f5)_x000D_
11 16 01:36:44 526   577   577 F DEBUG   :        12 pc 000000000007073c   system bin init (android::init::ActionManager::ExecuteOneCommand() 184) (BuildId: c970d78e59081bb04d7b989ba1acd9f5)_x000D_
11 16 01:36:44 526   577   577 F DEBUG   :        13 pc 0000000000086370   system bin init (android::init::SecondStageMain(int  char  ) 8188) (BuildId: c970d78e59081bb04d7b989ba1acd9f5)_x000D_
11 16 01:36:44 526   577   577 F DEBUG   :        14 pc 000000000002f178   system bin init (main 292) (BuildId: c970d78e59081bb04d7b989ba1acd9f5)_x000D_
11 16 01:36:44 526   577   577 F DEBUG   :        15 pc 000000000008506c   system lib64 bootstrap libc so (  libc init 108) (BuildId: a790cdbd8e44ea8a90802da343cb82ce)_x000D_
          beginning of system_x000D_
12 31 21:57:58 397  1649  1649 F DEBUG   :                                                                _x000D_
12 31 21:57:58 397  1649  1649 F DEBUG   : Build fingerprint:  Xiaomi cmi cmi:11 RKQ1 200826 002 20 12 29:user release keys _x000D_
12 31 21:57:58 397  1649  1649 F DEBUG   : Revision:  0 _x000D_
12 31 21:57:58 397  1649  1649 F DEBUG   : ABI:  arm64 _x000D_
12 31 21:57:58 397  1649  1649 F DEBUG   : Timestamp: 2020 12 31 21:57:58 0800_x000D_
12 31 21:57:58 397  1649  1649 F DEBUG   : pid: 1598  tid: 1598  name: init       system bin init    _x000D_
12 31 21:57:58 397  1649  1649 F DEBUG   : uid: 0_x000D_
12 31 21:57:58 397  1649  1649 F DEBUG   : signal 6 (SIGABRT)  code  1 (SI QUEUE)  fault addr         _x000D_
12 31 21:57:58 397  1649  1649 F DEBUG   : Abort message:  cannot setexeccon( u:r:poweroffm64:s0 ) for poweroffm64: Invalid argument _x000D_
12 31 21:57:58 397  1649  1649 F DEBUG   :     x0  0000000000000000  x1  000000000000063e  x2  0000000000000006  x3  0000007fd2054b10_x000D_
12 31 21:57:58 397  1649  1649 F DEBUG   :     x4  0000000000000000  x5  0000000000000000  x6  0000000000000000  x7  000000000000000a_x000D_
12 31 21:57:58 397  1649  1649 F DEBUG   :     x8  00000000000000f0  x9  3674e0628da5a9dc  x10 0000000000000000  x11 ffffffc0ffffffdf_x000D_
12 31 21:57:58 397  1649  1649 F DEBUG   :     x12 0000000000000001  x13 64696c61766e4920  x14 0000007fafc64be2  x15 ffffffffffffffff_x000D_
12 31 21:57:58 397  1649  1649 F DEBUG   :     x16 0000007fafc60948  x17 0000007fafc3f390  x18 0000007fb015a000  x19 000000000000063e_x000D_
12 31 21:57:58 397  1649  1649 F DEBUG   :     x20 000000000000063e  x21 00000000ffffffff  x22 0000007fb0019000  x23 0000007fb0019000_x000D_
12 31 21:57:58 397  1649  1649 F DEBUG   :     x24 b400007f2e67ec00  x25 000000556c3ad3b8  x26 0000000000000000  x27 0000007fd2055020_x000D_
12 31 21:57:58 397  1649  1649 F DEBUG   :     x28 0000007fafbf6fac  x29 0000007fd2054b90_x000D_
12 31 21:57:58 397  1649  1649 F DEBUG   :     lr  0000007fafbf2aa0  sp  0000007fd2054af0  pc  0000007fafbf2acc  pst 0000000000001000_x000D_
12 31 21:57:58 399  1649  1649 F DEBUG   : backtrace:_x000D_
12 31 21:57:58 399  1649  1649 F DEBUG   :     NOTE: Function names and BuildId information is missing for some frames due_x000D_
12 31 21:57:58 399  1649  1649 F DEBUG   :     NOTE: to unreadable libraries  For unwinds of apps  only shared libraries_x000D_
12 31 21:57:58 399  1649  1649 F DEBUG   :     NOTE: found under the lib  directory are readable _x000D_
12 31 21:57:58 399  1649  1649 F DEBUG   :        00 pc 0000000000089acc   system lib64 bootstrap libc so (abort 164) (BuildId: a790cdbd8e44ea8a90802da343cb82ce)_x000D_
12 31 21:57:58 399  1649  1649 F DEBUG   :        01 pc 0000000000011db0   system lib64 libbase so (android::base::DefaultAborter(char const ) 12) (BuildId: 7f81cc97d60164bfae3b52a2cd822f20)_x000D_
12 31 21:57:58 399  1649  1649 F DEBUG   :        02 pc 0000000000013978   system lib64 libbase so (android::base::SetAborter(std::  1::function void (char const )   )::  3::  invoke(char const ) 76) (BuildId: 7f81cc97d60164bfae3b52a2cd822f20)_x000D_
12 31 21:57:58 399  1649  1649 F DEBUG   :        03 pc 0000000000012fa4   system lib64 libbase so (android::base::LogMessage:: LogMessage() 320) (BuildId: 7f81cc97d60164bfae3b52a2cd822f20)_x000D_
12 31 21:57:58 399  1649  1649 F DEBUG   :        04 pc 0000000000066074   _x000D_
12 31 21:57:58 399  1649  1649 F DEBUG   :        05 pc 0000000000068c34   _x000D_
12 31 21:57:58 399  1649  1649 F DEBUG   :        06 pc 00000000000517b4   _x000D_
12 31 21:57:58 399  1649  1649 F DEBUG   :        07 pc 00000000000407fc   _x000D_
12 31 21:57:58 399  1649  1649 F DEBUG   :        08 pc 000000000004091c   _x000D_
12 31 21:57:58 399  1649  1649 F DEBUG   :        09 pc 00000000000413f8   _x000D_
12 31 21:57:58 399  1649  1649 F DEBUG   :        10 pc 00000000000412f4   _x000D_
12 31 21:57:58 399  1649  1649 F DEBUG   :        11 pc 000000000007073c   _x000D_
12 31 21:57:58 399  1649  1649 F DEBUG   :        12 pc 0000000000086370   _x000D_
12 31 21:57:58 399  1649  1649 F DEBUG   :        13 pc 000000000002f178   _x000D_
12 31 21:57:58 399  1649  1649 F DEBUG   :        14 pc 000000000008506c   system lib64 bootstrap libc so (  libc init 108) (BuildId: a790cdbd8e44ea8a90802da343cb82ce)_x000D_
12 31 21:57:58 672   848   848 F dex2oat64: compiler driver cc:1142  Failed to resolve class Lcom android i18n phonenumbers NumberParseException _x000D_
12 31 21:57:58 695   848   848 F dex2oat64: runtime cc:655  Runtime aborting   _x000D_
12 31 21:57:58 695   848   848 F dex2oat64: runtime cc:655  All threads:_x000D_
12 31 21:57:58 695   848   848 F dex2oat64: runtime cc:655  DALVIK THREADS (8):_x000D_
12 31 21:57:58 695   848   848 F dex2oat64: runtime cc:655   main  prio 10 tid 1 Runnable (still starting up)_x000D_
12 31 21:57:58 695   848   848 F dex2oat64: runtime cc:655      group    sCount 0 dsCount 0 flags 0 obj 0x0 self 0xb40000733beb5000_x000D_
12 31 21:57:58 695   848   848 F dex2oat64: runtime cc:655      sysTid 848 nice  20 cgrp default sched 0 0 handle 0x73bf1784f8_x000D_
12 31 21:57:58 695   848   848 F dex2oat64: runtime cc:655      state R schedstat ( 3041000995 72299322 729 ) utm 275 stm 29 core 4 HZ 100_x000D_
12 31 21:57:58 695   848   848 F dex2oat64: runtime cc:655      stack 0x7fd77b1000 0x7fd77b3000 stackSize 8192KB_x000D_
12 31 21:57:58 695   848   848 F dex2oat64: runtime cc:655      held mutexes   abort lock   mutator lock (shared held)_x000D_
12 31 21:57:58 695   848   848 F dex2oat64: runtime cc:655    native:  00 pc 000000000049da9c   apex com android art lib64 libart so (art::DumpNativeStack(std::  1::basic ostream char  std::  1::char traits char      int  BacktraceMap   char const   art::ArtMethod   void   bool) 140)_x000D_
12 31 21:57:58 695   848   848 F dex2oat64: runtime cc:655    native:  01 pc 00000000005aabd8   apex com android art lib64 libart so (art::Thread::DumpStack(std::  1::basic ostream char  std::  1::char traits char      bool  BacktraceMap   bool) const 376)_x000D_
12 31 21:57:58 695   848   848 F dex2oat64: runtime cc:655    native:  02 pc 00000000005c7d10   apex com android art lib64 libart so (art::DumpCheckpoint::Run(art::Thread ) 924)_x000D_
12 31 21:57:58 695   848   848 F dex2oat64: runtime cc:655    native:  03 pc 00000000005c1c50   apex com android art lib64 libart so (art::ThreadList::RunCheckpoint(art::Closure   art::Closure ) 528)_x000D_
12 31 21:57:58 695   848   848 F dex2oat64: runtime cc:655    native:  04 pc 00000000005c0c10   apex com android art lib64 libart so (art::ThreadList::Dump(std::  1::basic ostream char  std::  1::char traits char      bool) 1396)_x000D_
12 31 21:57:58 695   848   848 F dex2oat64: runtime cc:655    native:  05 pc 000000000055baa4   apex com android art lib64 libart so (art::Runtime::Abort(char const ) 1864)_x000D_
12 31 21:57:58 695   848   848 F dex2oat64: runtime cc:655    native:  06 pc 0000000000013978   system lib64 libbase so (android::base::SetAborter(std::  1::function void (char const )   )::  3::  invoke(char const ) 76)_x000D_
12 31 21:57:58 695   848   848 F dex2oat64: runtime cc:655    native:  07 pc 0000000000012fa4   system lib64 libbase so (android::base::LogMessage:: LogMessage() 320)_x000D_
12 31 21:57:58 695   848   848 F dex2oat64: runtime cc:655    native:  08 pc 000000000008cf90   apex com android art bin dex2oat64 (art::CompilerDriver::PreCompile( jobject   std::  1::vector art::DexFile const   std::  1::allocator art::DexFile const     const   art::TimingLogger   art::HashSet std::  1::basic string char  std::  1::char traits char   std::  1::allocator char     art::DefaultEmptyFn std::  1::basic string char  std::  1::char traits char   std::  1::allocator char       art::DataHash  art::DefaultStringEquals  std::  1::allocator std::  1::basic string char  std::  1::char traits char   std::  1::allocator char          art::VerificationResults ) 3480)_x000D_
12 31 21:57:58 695   848   848 F dex2oat64: runtime cc:655    native:  09 pc 00000000000826e8   apex com android art bin dex2oat64 (art::Dex2Oat::CompileDexFiles(std::  1::vector art::DexFile const   std::  1::allocator art::DexFile const     const ) 648)_x000D_
12 31 21:57:58 695   848   848 F dex2oat64: runtime cc:655    native:  10 pc 000000000007e064   apex com android art bin dex2oat64 (art::Dex2Oat::Compile() 508)_x000D_
12 31 21:57:58 695   848   848 F dex2oat64: runtime cc:655    native:  11 pc 000000000006492c   apex com android art bin dex2oat64 (art::Dex2oat(int  char  ) 1988)_x000D_
12 31 21:57:58 695   848   848 F dex2oat64: runtime cc:655    native:  12 pc 0000000000064160   apex com android art bin dex2oat64 (main 8)_x000D_
12 31 21:57:58 695   848   848 F dex2oat64: runtime cc:655    native:  13 pc 000000000008506c   apex com android runtime lib64 bionic libc so (  libc init 108)_x000D_
12 31 21:57:58 695   848   848 F dex2oat64: runtime cc:655    (no managed stack frames)_x000D_
12 31 21:57:58 695   848   848 F dex2oat64: runtime cc:655  _x000D_
12 31 21:57:58 695   848   848 F dex2oat64: runtime cc:655   Compiler driver thread pool worker thread 0  prio 10 tid 2 Native (still starting up)_x000D_
12 31 21:57:58 695   848   848 F dex2oat64: runtime cc:655      group    sCount 1 dsCount 0 flags 1 obj 0x0 self 0xb400007328800000_x000D_
12 31 21:57:58 695   848   848 F dex2oat64: runtime cc:655      sysTid 1695 nice  20 cgrp default sched 0 0 handle 0x732a4eed00_x000D_
12 31 21:57:58 695   848   848 F dex2oat64: runtime cc:655      state S schedstat ( 326094 19227396 1 ) utm 0 stm 0 core 3 HZ 100_x000D_
12 31 21:57:58 695   848   848 F dex2oat64: runtime cc:655      stack 0x732a3ee000 0x732a3f0000 stackSize 1027KB_x000D_
12 31 21:57:58 695   848   848 F dex2oat64: runtime cc:655      held mutexes _x000D_
12 31 21:57:58 695   848   848 F dex2oat64: runtime cc:655    native:  00 pc 0000000000086b4c   apex com android runtime lib64 bionic libc so (syscall 28)_x000D_
12 31 21:57:58 695   848   848 F dex2oat64: runtime cc:655    native:  01 pc 00000000001af92c   apex com android art lib64 libart so (art::ConditionVariable::WaitHoldingLocks(art::Thread ) 148)_x000D_
12 31 21:57:58 695   848   848 F dex2oat64: runtime cc:655    native:  02 pc 00000000005c9a38   apex com android art lib64 libart so (art::ThreadPool::GetTask(art::Thread ) 120)_x000D_
12 31 21:57:58 695   848   848 F dex2oat64: runtime cc:655    native:  03 pc 00000000005c8c9c   apex com android art lib64 libart so (art::ThreadPoolWorker::Run() 80)_x000D_
12 31 21:57:58 695   848   848 F dex2oat64: runtime cc:655    native:  04 pc 00000000005c87ac   apex com android art lib64 libart so (art::ThreadPoolWorker::Callback(void ) 192)_x000D_
12 31 21:57:58 695   848   848 F dex2oat64: runtime cc:655    native:  05 pc 00000000000eb868   apex com android runtime lib64 bionic libc so (  pthread start(void ) 64)_x000D_
12 31 21:57:58 695   848   848 F dex2oat64: runtime cc:655    native:  06 pc 000000000008ba88   apex com android runtime lib64 bionic libc so (  start thread 64)_x000D_
12 31 21:57:58 695   848   848 F dex2oat64: runtime cc:655    (no managed stack frames)_x000D_
12 31 21:57:58 695   848   848 F dex2oat64: runtime cc:655  _x000D_
12 31 21:57:58 695   848   848 F dex2oat64: runtime cc:655   Compiler driver thread pool worker thread 1  prio 10 tid 3 Native (still starting up)_x000D_
12 31 21:57:58 695   848   848 F dex2oat64: runtime cc:655      group    sCount 1 dsCount 0 flags 1 obj 0x0 self 0xb40000733beba400_x000D_
12 31 21:57:58 695   848   848 F dex2oat64: runtime cc:655      sysTid 1696 nice  20 cgrp default sched 0 0 handle 0x732a3e7d00_x000D_
12 31 21:57:58 695   848   848 F dex2oat64: runtime cc:655      state S schedstat ( 145521 19522240 1 ) utm 0 stm 0 core 3 HZ 100_x000D_
12 31 21:57:58 695   848   848 F dex2oat64: runtime cc:655      stack 0x732a2e7000 0x732a2e9000 stackSize 1027KB_x000D_
12 31 21:57:58 695   848   848 F dex2oat64: runtime cc:655      held mutexes _x000D_
12 31 21:57:58 695   848   848 F dex2oat64: runtime cc:655    native:  00 pc 0000000000086b4c   apex com android runtime lib64 bionic libc so (syscall 28)_x000D_
12 31 21:57:58 695   848   848 F dex2oat64: runtime cc:655    native:  01 pc 00000000001af92c   apex com android art lib64 libart so (art::ConditionVariable::WaitHoldingLocks(art::Thread ) 148)_x000D_
12 31 21:57:58 695   848   848 F dex2oat64: runtime cc:655    native:  02 pc 00000000005c9a38   apex com android art lib64 libart so (art::ThreadPool::GetTask(art::Thread ) 120)_x000D_
12 31 21:57:58 695   848   848 F dex2oat64: runtime cc:655    native:  03 pc 00000000005c8c9c   apex com android art lib64 libart so (art::ThreadPoolWorker::Run() 80)_x000D_
12 31 21:57:58 695   848   848 F dex2oat64: runtime cc:655    native:  04 pc 00000000005c87ac   apex com android art lib64 libart so (art::ThreadPoolWorker::Callback(void ) 192)_x000D_
12 31 21:57:58 695   848   848 F dex2oat64: runtime cc:655    native:  05 pc 00000000000eb868   apex com android runtime lib64 bionic libc so (  pthread start(void ) 64)_x000D_
12 31 21:57:58 695   848   848 F dex2oat64: runtime cc:655    native:  06 pc 000000000008ba88   apex com android runtime lib64 bionic libc so (  start thread 64)_x000D_
12 31 21:57:58 695   848   848 F dex2oat64: runtime cc:655    (no managed stack frames)_x000D_
12 31 21:57:58 695   848   848 F dex2oat64: runtime cc:655  _x000D_
12 31 21:57:58 695   848   848 F dex2oat64: runtime cc:655   Compiler driver thread pool worker thread 2  prio 10 tid 4 Native (still starting up)_x000D_
12 31 21:57:58 695   848   848 F dex2oat64: runtime cc:655      group    sCount 1 dsCount 0 flags 1 obj 0x0 self 0xb400007328811800_x000D_
12 31 21:57:58 695   848   848 F dex2oat64: runtime cc:655      sysTid 1697 nice  20 cgrp default sched 0 0 handle 0x732a2e0d00_x000D_
12 31 21:57:58 695   848   848 F dex2oat64: runtime cc:655      state S schedstat ( 149740 19639480 1 ) utm 0 stm 0 core 3 HZ 100_x000D_
12 31 21:57:58 695   848   848 F dex2oat64: runtime cc:655      stack 0x732a1e0000 0x732a1e2000 stackSize 1027KB_x000D_
12 31 21:57:58 695   848   848 F dex2oat64: runtime cc:655      held mutexes _x000D_
12 31 21:57:58 695   848   848 F dex2oat64: runtime cc:655    native:  00 pc 0000000000086b4c   apex com android runtime lib64 bionic libc so (syscall 28)_x000D_
12 31 21:57:58 695   848   848 F dex2oat64: runtime cc:655    native:  01 pc 00000000001af92c   apex com android art lib64 libart so (art::ConditionVariable::WaitHoldingLocks(art::Thread ) 148)_x000D_
12 31 21:57:58 695   848   848 F dex2oat64: runtime cc:655    native:  02 pc 00000000005c9a38   apex com android art lib64 libart so (art::ThreadPool::GetTask(art::Thread ) 120)_x000D_
12 31 21:57:58 695   848   848 F dex2oat64: runtime cc:655    native:  03 pc 00000000005c8c9c   apex com android art lib64 libart so (art::ThreadPoolWorker::Run() 80)_x000D_
12 31 21:57:58 695   848   848 F dex2oat64: runtime cc:655    native:  04 pc 00000000005c87ac   apex com android art lib64 libart so (art::ThreadPoolWorker::Callback(void ) 192)_x000D_
12 31 21:57:58 695   848   848 F dex2oat64: runtime cc:655    native:  05 pc 00000000000eb868   apex com android runtime lib64 bionic libc so (  pthread start(void ) 64)_x000D_
12 31 21:57:58 695   848   848 F dex2oat64: runtime cc:655    native:  06 pc 000000000008ba88   apex com android runtime lib64 bionic libc so (  start thread 64)_x000D_
12 31 21:57:58 695   848   848 F dex2oat64: runtime cc:655    (no managed stack frames)_x000D_
12 31 21:57:58 695   848   848 F dex2oat64: runtime cc:655  _x000D_
12 31 21:57:58 695   848   848 F dex2oat64: runtime cc:655   Compiler driver thread pool worker thread 3  prio 10 tid 5 Native (still starting up)_x000D_
12 31 21:57:58 695   848   848 F dex2oat64: runtime cc:655      group    sCount 1 dsCount 0 flags 1 obj 0x0 self 0xb400007336bc7c00_x000D_
12 31 21:57:58 695   848   848 F dex2oat64: runtime cc:655      sysTid 1698 nice  20 cgrp default sched 0 0 handle 0x732a1d9d00_x000D_
12 31 21:57:58 695   848   848 F dex2oat64: runtime cc:655      state S schedstat ( 126823 19765625 1 ) utm 0 stm 0 core 3 HZ 100_x000D_
12 31 21:57:58 695   848   848 F dex2oat64: runtime cc:655      stack 0x732a0d9000 0x732a0db000 stackSize 1027KB_x000D_
12 31 21:57:58 695   848   848 F dex2oat64: runtime cc:655      held mutexes _x000D_
12 31 21:57:58 695   848   848 F dex2oat64: runtime cc:655    native:  00 pc 0000000000086b4c   apex com android runtime lib64 bionic libc so (syscall 28)_x000D_
12 31 21:57:58 695   848   848 F dex2oat64: runtime cc:655    native:  01 pc 00000000001af92c   apex com android art lib64 libart so (art::ConditionVariable::WaitHoldingLocks(art::Thread ) 148)_x000D_
12 31 21:57:58 695   848   848 F dex2oat64: runtime cc:655    native:  02 pc 00000000005c9a38   apex com android art lib64 libart so (art::ThreadPool::GetTask(art::Thread ) 120)_x000D_
12 31 21:57:58 695   848   848 F dex2oat64: runtime cc:655    native:  03 pc 00000000005c8c9c   apex com android art lib64 libart so (art::ThreadPoolWorker::Run() 80)_x000D_
12 31 21:57:58 695   848   848 F dex2oat64: runtime cc:655    native:  04 pc 00000000005c87ac   apex com android art lib64 libart so (art::ThreadPoolWorker::Callback(void ) 192)_x000D_
12 31 21:57:58 695   848   848 F dex2oat64: runtime cc:655    native:  05 pc 00000000000eb868   apex com android runtime lib64 bionic libc so (  pthread start(void ) 64)_x000D_
12 31 21:57:58 695   848   848 F dex2oat64: runtime cc:655    native:  06 pc 000000000008ba88   apex com android runtime lib64 bionic libc so (  start thread 64)_x000D_
12 31 21:57:58 695   848   848 F dex2oat64: runtime cc:655    (no managed stack frames)_x000D_
12 31 21:57:58 695   848   848 F dex2oat64: runtime cc:655  _x000D_
12 31 21:57:58 695   848   848 F dex2oat64: runtime cc:655   Compiler driver thread pool worker thread 4  prio 10 tid 6 Native (still starting up)_x000D_
12 31 21:57:58 695   848   848 F dex2oat64: runtime cc:655      group    sCount 1 dsCount 0 flags 1 obj 0x0 self 0xb40000732882e000_x000D_
12 31 21:57:58 695   848   848 F dex2oat64: runtime cc:655      sysTid 1699 nice  20 cgrp default sched 0 0 handle 0x732a0d2d00_x000D_
12 31 21:57:58 695   848   848 F dex2oat64: runtime cc:655      state S schedstat ( 130312 19867239 1 ) utm 0 stm 0 core 3 HZ 100_x000D_
12 31 21:57:58 695   848   848 F dex2oat64: runtime cc:655      stack 0x7329fd2000 0x7329fd4000 stackSize 1027KB_x000D_
12 31 21:57:58 695   848   848 F dex2oat64: runtime cc:655      held mutexes _x000D_
12 31 21:57:58 695   848   848 F dex2oat64: runtime cc:655    native:  00 pc 0000000000086b4c   apex com android runtime lib64 bionic libc so (syscall 28)_x000D_
12 31 21:57:58 695   848   848 F dex2oat64: runtime cc:655    native:  01 pc 00000000001af92c   apex com android art lib64 libart so (art::ConditionVariable::WaitHoldingLocks(art::Thread ) 148)_x000D_
12 31 21:57:58 695   848   848 F dex2oat64: runtime cc:655    native:  02 pc 00000000005c9a38   apex com android art lib64 libart so (art::ThreadPool::GetTask(art::Thread ) 120)_x000D_
12 31 21:57:58 695   848   848 F dex2oat64: runtime cc:655    native:  03 pc 00000000005c8c9c   apex com android art lib64 libart so (art::ThreadPoolWorker::Run() 80)_x000D_
12 31 21:57:58 695   848   848 F dex2oat64: runtime cc:655    native:  04 pc 00000000005c87ac   apex com android art lib64 libart so (art::ThreadPoolWorker::Callback(void ) 192)_x000D_
12 31 21:57:58 695   848   848 F dex2oat64: runtime cc:655    native:  05 pc 00000000000eb868   apex com android runtime lib64 bionic libc so (  pthread start(void ) 64)_x000D_
12 31 21:57:58 695   848   848 F dex2oat64: runtime cc:655    native:  06 pc 000000000008ba88   apex com android runtime lib64 bionic libc so (  start thread 64)_x000D_
12 31 21:57:58 695   848   848 F dex2oat64: runtime cc:655    (no managed stack frames)_x000D_
12 31 21:57:58 695   848   848 F dex2oat64: runtime cc:655  _x000D_
12 31 21:57:58 695   848   848 F dex2oat64: runtime cc:655   Compiler driver thread pool worker thread 5  prio 10 tid 7 Native (still starting up)_x000D_
12 31 21:57:58 695   848   848 F dex2oat64: runtime cc:655      group    sCount 1 dsCount 0 flags 1 obj 0x0 self 0xb400007336bde400_x000D_
12 31 21:57:58 695   848   848 F dex2oat64: runtime cc:655      sysTid 1700 nice  20 cgrp default sched 0 0 handle 0x7329fcbd00_x000D_
12 31 21:57:58 695   848   848 F dex2oat64: runtime cc:655      state S schedstat ( 123490 19975990 1 ) utm 0 stm 0 core 3 HZ 100_x000D_
12 31 21:57:58 695   848   848 F dex2oat64: runtime cc:655      stack 0x7329ecb000 0x7329ecd000 stackSize 1027KB_x000D_
12 31 21:57:58 695   848   848 F dex2oat64: runtime cc:655      held mutexes _x000D_
12 31 21:57:58 695   848   848 F dex2oat64: runtime cc:655    native:  00 pc 0000000000086b4c   apex com android runtime lib64 bionic libc so (syscall 28)_x000D_
12 31 21:57:58 695   848   848 F dex2oat64: runtime cc:655    native:  01 pc 00000000001af92c   apex com android art lib64 libart so (art::ConditionVariable::WaitHoldingLocks(art::Thread ) 148)_x000D_
12 31 21:57:58 695   848   848 F dex2oat64: runtime cc:655    native:  02 pc 00000000005c9a38   apex com android art lib64 libart so (art::ThreadPool::GetTask(art::Thread ) 120)_x000D_
12 31 21:57:58 695   848   848 F dex2oat64: runtime cc:655    native:  03 pc 00000000005c8c9c   apex com android art lib64 libart so (art::ThreadPoolWorker::Run() 80)_x000D_
12 31 21:57:58 695   848   848 F dex2oat64: runtime cc:655    native:  04 pc 00000000005c87ac   apex com android art lib64 libart so (art::ThreadPoolWorker::Callback(void ) 192)_x000D_
12 31 21:57:58 695   848   848 F dex2oat64: runtime cc:655    native:  05 pc 00000000000eb868   apex com android runtime lib64 bionic libc so (  pthread start(void ) 64)_x000D_
12 31 21:57:58 695   848   848 F dex2oat64: runtime cc:655    native:  06 pc 000000000008ba88   apex com android runtime lib64 bionic libc so (  start thread 64)_x000D_
12 31 21:57:58 695   848   848 F dex2oat64: runtime cc:655    (no managed stack frames)_x000D_
12 31 21:57:58 695   848   848 F dex2oat64: runtime cc:655  _x000D_
12 31 21:57:58 695   848   848 F dex2oat64: runtime cc:655   Compiler driver thread pool worker thread 6  prio 10 tid 8 Native (still starting up)_x000D_
12 31 21:57:58 695   848   848 F dex2oat64: runtime cc:655      group    sCount 1 dsCount 0 flags 1 obj 0x0 self 0xb40000732883f800_x000D_
12 31 21:57:58 695   848   848 F dex2oat64: runtime cc:655      sysTid 1701 nice  20 cgrp default sched 0 0 handle 0x7329ec4d00_x000D_
12 31 21:57:58 695   848   848 F dex2oat64: runtime cc:655      state S schedstat ( 135208 20068750 1 ) utm 0 stm 0 core 3 HZ 100_x000D_
12 31 21:57:58 695   848   848 F dex2oat64: runtime cc:655      stack 0x7329dc4000 0x7329dc6000 stackSize 1027KB_x000D_
12 31 21:57:58 695   848   848 F dex2oat64: runtime cc:655      held mutexes _x000D_
12 31 21:57:58 695   848   848 F dex2oat64: runtime cc:655    native:  00 pc 0000000000086b4c   apex com android runtime lib64 bionic libc so (syscall 28)_x000D_
12 31 21:57:58 695   848   848 F dex2oat64: runtime cc:655    native:  01 pc 00000000001af92c   apex com android art lib64 libart so (art::ConditionVariable::WaitHoldingLocks(art::Thread ) 148)_x000D_
12 31 21:57:58 695   848   848 F dex2oat64: runtime cc:655    native:  02 pc 00000000005c9a38   apex com android art lib64 libart so (art::ThreadPool::GetTask(art::Thread ) 120)_x000D_
12 31 21:57:58 695   848   848 F dex2oat64: runtime cc:655    native:  03 pc 00000000005c8c9c   apex com android art lib64 libart so (art::ThreadPoolWorker::Run() 80)_x000D_
12 31 21:57:58 695   848   848 F dex2oat64: runtime cc:655    native:  04 pc 00000000005c87ac   apex com android art lib64 libart so (art::ThreadPoolWorker::Callback(void ) 192)_x000D_
12 31 21:57:58 695   848   848 F dex2oat64: runtime cc:655    native:  05 pc 00000000000eb868   apex com android runtime lib64 bionic libc so (  pthread start(void ) 64)_x000D_
12 31 21:57:58 695   848   848 F dex2oat64: runtime cc:655    native:  06 pc 000000000008ba88   apex com android runtime lib64 bionic libc so (  start thread 64)_x000D_
12 31 21:57:58 695   848   848 F dex2oat64: runtime cc:655    (no managed stack frames)_x000D_
12 31 21:57:58 695   848   848 F dex2oat64: runtime cc:655  _x000D_
12 31 21:57:58 695   848   848 F dex2oat64: runtime cc:655  Aborting thread:_x000D_
12 31 21:57:58 695   848   848 F dex2oat64: runtime cc:655   main  prio 10 tid 1 Runnable (still starting up)_x000D_
12 31 21:57:58 695   848   848 F dex2oat64: runtime cc:655      group    sCount 0 dsCount 0 flags 0 obj 0x0 self 0xb40000733beb5000_x000D_
12 31 21:57:58 695   848   848 F dex2oat64: runtime cc:655      sysTid 848 nice  20 cgrp default sched 0 0 handle 0x73bf1784f8_x000D_
12 31 21:57:58 695   848   848 F dex2oat64: runtime cc:655      state R schedstat ( 3051690526 72638750 756 ) utm 275 stm 29 core 4 HZ 100_x000D_
12 31 21:57:58 695   848   848 F dex2oat64: runtime cc:655      stack 0x7fd77b1000 0x7fd77b3000 stackSize 8192KB_x000D_
12 31 21:57:58 695   848   848 F dex2oat64: runtime cc:655      held mutexes   abort lock   mutator lock (shared held)_x000D_
12 31 21:57:58 695   848   848 F dex2oat64: runtime cc:655    native:  00 pc 000000000049da9c   apex com android art lib64 libart so (art::DumpNativeStack(std::  1::basic ostream char  std::  1::char traits char      int  BacktraceMap   char const   art::ArtMethod   void   bool) 140)_x000D_
12 31 21:57:58 695   848   848 F dex2oat64: runtime cc:655    native:  01 pc 00000000005aabd8   apex com android art lib64 libart so (art::Thread::DumpStack(std::  1::basic ostream char  std::  1::char traits char      bool  BacktraceMap   bool) const 376)_x000D_
12 31 21:57:58 695   848   848 F dex2oat64: runtime cc:655    native:  02 pc 0000000000570308   apex com android art lib64 libart so (art::AbortState::DumpThread(std::  1::basic ostream char  std::  1::char traits char      art::Thread ) const 60)_x000D_
12 31 21:57:58 695   848   848 F dex2oat64: runtime cc:655    native:  03 pc 000000000055bcc4   apex com android art lib64 libart so (art::Runtime::Abort(char const ) 2408)_x000D_
12 31 21:57:58 695   848   848 F dex2oat64: runtime cc:655    native:  04 pc 0000000000013978   system lib64 libbase so (android::base::SetAborter(std::  1::function void (char const )   )::  3::  invoke(char const ) 76)_x000D_
12 31 21:57:58 695   848   848 F dex2oat64: runtime cc:655    native:  05 pc 0000000000012fa4   system lib64 libbase so (android::base::LogMessage:: LogMessage() 320)_x000D_
12 31 21:57:58 695   848   848 F dex2oat64: runtime cc:655    native:  06 pc 000000000008cf90   apex com </t>
  </si>
  <si>
    <t>commons-app-apps-android-commons-4143</t>
  </si>
  <si>
    <t>click on skip button in Peer Review after orientation change then app is crashed</t>
  </si>
  <si>
    <t xml:space="preserve">  Summary:   _x000D_
_x000D_
  issue :  when  click on skip button in Peer Review after  orientation change  then app is crashed   _x000D_
_x000D_
  Step to Reproduce the issue  _x000D_
_x000D_
1  Open the Peer Review Activity _x000D_
2  change the orientation of screen _x000D_
3  click on the button  skip this image _x000D_
4  then App crash_x000D_
_x000D_
  Screenshot for first issue   _x000D_
_x000D_
  20210103 102548 (https:  user images githubusercontent com 65972015 103472142 d4d0c780 4daf 11eb 802f 8846e991d8e4 gif)_x000D_
  System logs:  _x000D_
2020 12 31 18:14:01 518 26369 26369 fr free nrw commons beta E ACRA: ACRA caught a NullPointerException for fr free nrw commons beta_x000D_
    java lang NullPointerException: Attempt to invoke virtual method  void android widget Button setEnabled(boolean)  on a null object reference  _x000D_
        at fr free nrw commons review ReviewImageFragment disableButtons(ReviewImageFragment java:199)_x000D_
        at fr free nrw commons review ReviewPagerAdapter disableButtons(ReviewPagerAdapter java:51)_x000D_
        at fr free nrw commons review ReviewActivity lambda onCreate 0 ReviewActivity(ReviewActivity java:116)_x000D_
        at fr free nrw commons review    Lambda ReviewActivity  LATUATvQAPhlK652ow3LysvMck onClick(Unknown Source:2)_x000D_
        at android view View performClick(View java:6608)_x000D_
        at android view View performClickInternal(View java:6585)_x000D_
        at android view View access 3100(View java:785)_x000D_
        at android view View PerformClick run(View java:25919)_x000D_
        at android os Handler handleCallback(Handler java:873)_x000D_
        at android os Handler dispatchMessage(Handler java:99)_x000D_
        at android os Looper loop(Looper java:201)_x000D_
        at android app ActivityThread main(ActivityThread java:6810)_x000D_
        at java lang reflect Method invoke(Native Method)_x000D_
        at com android internal os RuntimeInit MethodAndArgsCaller run(RuntimeInit java:547)_x000D_
        at com android internal os ZygoteInit main(ZygoteInit java:873)_x000D_
_x000D_
_x000D_
  Device and Android version:   _x000D_
Android Device:Redmi y3 _x000D_
API :29_x000D_
_x000D_
  Commons app version:   _x000D_
2 13 1 or current master branch _x000D_
  _x000D_
  Would you like to work on the issue   _x000D_
YES_x000D_
_x000D_
Please let us know whether you want to fix the issue by yourself  If not  anyone can get the issue assigned to them _x000D_
Yes</t>
  </si>
  <si>
    <t>Anuken-Mindustry-4193</t>
  </si>
  <si>
    <t>Game crashes and closes while or after loading and steam says it is still running.</t>
  </si>
  <si>
    <t xml:space="preserve">  Platform  :  Windows (Steam) _x000D_
_x000D_
  Build  :  6 0 Build 122 1  _x000D_
_x000D_
  Issue  :  Game crashes just after launch  Game crashed while loading the moment it went trough full screen  I bought and played the game trough steam for about 40 minutes  I was in the first level when the game suddenly crashed after 40 minutes of play  I tried various fixes and got the game to go into title screen and it immediately crashed  I think it has something to do with full screen play  I have a weird problem where steam says the game is still active and pressing stop through steam doesn t do anything  I can resolve this by restarting my pc  but the moment the game crashes again it gives the same error  The game doesn t show up in my task manager either and I think it isn t running like steams says it is  _x000D_
_x000D_
  Steps to reproduce  :  Every time I start the game it crashes and steam shows it s still active and can t close it  It crashed on full screen  I then disabled steam full screen community and it crashes at the title screen now  _x000D_
_x000D_
  Link(s) to mod(s) used  :  None  _x000D_
_x000D_
  Save file  :  sector serpulo 15 zip (https:  github com Anuken Mindustry files 5757195 sector serpulo 15 zip)_x000D_
_x000D_
_x000D_
_x000D_
  (Crash) logs  :  last log txt (https:  github com Anuken Mindustry files 5757197 last log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</si>
  <si>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google-ExoPlayer-8419</t>
  </si>
  <si>
    <t>Fatal Crash in DownloadManager.java</t>
  </si>
  <si>
    <t xml:space="preserve">We are facing a crash captured in crashlytics _x000D_
We are not sure about the steps to replicate this _x000D_
Are there any steps to tackle these crashes  are they fixed in any upcoming exoplayer release _x000D_
Exoplayer version: 2 11 8_x000D_
_x000D_
Logs:_x000D_
   _x000D_
Fatal Exception: java lang IllegalStateException_x000D_
at com google android exoplayer2 util Assertions checkState(Assertions java:81)_x000D_
at com google android exoplayer2 offline DownloadManager InternalHandler putDownloadWithState(DownloadManager java:1159)_x000D_
at com google android exoplayer2 offline DownloadManager InternalHandler onRemoveTaskStopped(DownloadManager java:1117)_x000D_
at com google android exoplayer2 offline DownloadManager InternalHandler onTaskStopped(DownloadManager java:1078)_x000D_
at com google android exoplayer2 offline DownloadManager InternalHandler handleMessage(DownloadManager java:728)_x000D_
at android os Handler dispatchMessage(Handler java:110)_x000D_
at android os Looper loop(Looper java:203)_x000D_
at android os HandlerThread run(HandlerThread java:61)_x000D_
   </t>
  </si>
  <si>
    <t>devgianlu-PretendYoureXyzzyAndroid-84</t>
  </si>
  <si>
    <t>CrCast Deck Recovery Crash</t>
  </si>
  <si>
    <t xml:space="preserve">When attempting to recover a deck from Cardcast the app goes to white or black screen and then crashes _x000D_
_x000D_
I do not have a Cardcast account  If that is a requirement then it should display an error message instead of trying to perform the action without credentials _x000D_
_x000D_
Also  on the deck recovery popup it should be clarified what you need to put into the box: deck code </t>
  </si>
  <si>
    <t>TeamNewPipe-NewPipe-5321</t>
  </si>
  <si>
    <t>No thumbnails/previews shown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</si>
  <si>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(open the app and got to news trends)_x000D_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No thumbnails previews are shown  In some cases only the background color is shown  in others a default symbol is shown _x000D_
_x000D_
_x000D_
    Expected behavior_x000D_
     Tell us what you expect to happen     _x000D_
The thumbnails should be shown or an error message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IMG 20201231 102935 (https:  user images githubusercontent com 33571916 103404829 e5cdce80 4b4c 11eb 949f 6e732f350d04 png)_x000D_
  IMG 20201231 102824 (https:  user images githubusercontent com 33571916 103404830 e6666500 4b4c 11eb 8ea2 1d78a9e65980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_x000D_
No crash _x000D_
_x000D_
_x000D_
_x000D_
     Please fill this out when you do not provide a log generate by NewPipe    _x000D_
_x000D_
    Device info_x000D_
_x000D_
   Android version Custom ROM: 6 0 (API 23)_x000D_
   Device model: DlG L21HN (Honor 6C)</t>
  </si>
  <si>
    <t>MCMrARM-revolution-irc-273</t>
  </si>
  <si>
    <t>Version 0.5.3 crashes when upgrade from version 0.5.2</t>
  </si>
  <si>
    <t xml:space="preserve">After clean install it works  but crashes again after trying to restore data from the previous version </t>
  </si>
  <si>
    <t>amplitude-Amplitude-Android-259</t>
  </si>
  <si>
    <t>issue crash on kitkat 4.4</t>
  </si>
  <si>
    <t xml:space="preserve">      Please fill out the template to the best of your ability    _x000D_
_x000D_
   Expected Behavior_x000D_
      What should have happened     _x000D_
not crash and work normally like others sdk_x000D_
_x000D_
   Current Behavior_x000D_
      What went wrong     _x000D_
i got crash report from google console vitals here is the stacktrace_x000D_
java lang ExceptionInInitializerError: _x000D_
  at okhttp3 internal platform Platform Companion findAndroidPlatform (Platform java:219)_x000D_
  at okhttp3 internal platform Platform Companion findPlatform (Platform java:212)_x000D_
  at okhttp3 internal platform Platform Companion access findPlatform (Platform java:169)_x000D_
  at okhttp3 internal platform Platform  clinit  (Platform java:170)_x000D_
  at okhttp3 OkHttpClient  init  (OkHttpClient java:237)_x000D_
  at okhttp3 OkHttpClient  init  (OkHttpClient java:222)_x000D_
  at com amplitude api AmplitudeClient 1 run (AmplitudeClient java:266)_x000D_
  at android os Handler handleCallback (Handler java:733)_x000D_
  at android os Handler dispatchMessage (Handler java:95)_x000D_
  at android os Looper loop (Looper java:146)_x000D_
  at android os HandlerThread run (HandlerThread java:61)_x000D_
Caused by: java lang IllegalStateException: _x000D_
  at okhttp3 internal platform AndroidPlatform  clinit  (AndroidPlatform java:153)_x000D_
  at okhttp3 internal platform Platform Companion findAndroidPlatform (Platform java:219)_x000D_
  at okhttp3 internal platform Platform Companion findPlatform (Platform java:212)_x000D_
  at okhttp3 internal platform Platform Companion access findPlatform (Platform java:169)_x000D_
  at okhttp3 internal platform Platform  clinit  (Platform java:170)_x000D_
  at okhttp3 OkHttpClient  init  (OkHttpClient java:237)_x000D_
  at okhttp3 OkHttpClient  init  (OkHttpClient java:222)_x000D_
  at com amplitude api AmplitudeClient 1 run (AmplitudeClient java:266)_x000D_
  at android os Handler handleCallback (Handler java:733)_x000D_
  at android os Handler dispatchMessage (Handler java:95)_x000D_
  at android os Looper loop (Looper java:146)_x000D_
  at android os HandlerThread run (HandlerThread java:61)_x000D_
_x000D_
   Possible Solutionu_x000D_
      (Not obligatory) Suggest a fix reason    _x000D_
I have no idea why this error happens because on SDK above 19 it works normally _x000D_
_x000D_
   Steps to Reproduce_x000D_
      Please provide a clear sequence of steps to reproduce this bug     _x000D_
      Include code and images  if relevant    _x000D_
1 _x000D_
2 _x000D_
3 _x000D_
4 _x000D_
_x000D_
   Environment_x000D_
  SDK Version: 10 0 02_x000D_
  Android API Level: SDK 19 kitkat_x000D_
  Device: All device with SDK 19_x000D_
</t>
  </si>
  <si>
    <t>techie66-EngineDataLogger---Dashboard-1</t>
  </si>
  <si>
    <t>Crashes on startup</t>
  </si>
  <si>
    <t xml:space="preserve">When first installed  app crashes due to lack of permissions before asking for permissions </t>
  </si>
  <si>
    <t>Anuken-Mindustry-4190</t>
  </si>
  <si>
    <t>Flying units jitter around the main ship</t>
  </si>
  <si>
    <t xml:space="preserve">  Platform  : Android_x000D_
_x000D_
  Build  : bleeding edge 20453_x000D_
_x000D_
  Issue  : When playing on a map in campaign mode and double tapping your own ship to make units follow you  the units become  jiggly  _x000D_
_x000D_
  Steps to reproduce  : See attached save for the   Windswept Islands    I tried reproducing this on a custom game but for whatever reason I can not get more than 3 Poly units to follow my ship  The effect that is present on Windswept Islands is still there  but very subtle  Move your ship around a bit if the effect does not become visible _x000D_
  Produce   four or more   flying units of the same type  I used Horizon and Poly units to test  I am not sure about other units _x000D_
  Double tap your ship to get the 4 units to follow you in a formation_x000D_
  The effect will be visible  I am not sure how I can accurately describe that  but it is some variant of jittering and twitching  which is quite annoying _x000D_
_x000D_
Also  probably an unrelated issue  the spawned enemies in the wave in the save (no rhyme intended) do not move  I can open a separate issue for this if needed _x000D_
_x000D_
  Link(s) to mod(s) used  :  _x000D_
_x000D_
  Save file  :  save zip (https:  github com Anuken Mindustry files 5756013 save zip)_x000D_
I am not sure how I can only include the save for Windswept Islands instead of everything  but I prefer to not have my soul reaped for sharing an incomplete save _x000D_
_x000D_
I tested loading the save and it will be necessary to double tap the ship because the units  detached  from the ship after save and quit _x000D_
_x000D_
  (Crash) logs  : not a crash_x000D_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</si>
  <si>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MCMrARM-revolution-irc-272</t>
  </si>
  <si>
    <t>0.5.3 crashes on LOS17.1</t>
  </si>
  <si>
    <t xml:space="preserve">Hi_x000D_
Update 0 5 3 crashes with_x000D_
_x000D_
12 31 00:07:25 426 E LoadedApk(1317): java lang ClassNotFoundException: Didn t find class  androidx core app CoreComponentFactory  on path: DexPathList    nativeLibraryDirectories   data app io mrarm irc V 3xZQ ia 8HN0MtHdkyYQ   lib arm64   system lib64   product lib64  </t>
  </si>
  <si>
    <t>TeamNewPipe-NewPipe-5318</t>
  </si>
  <si>
    <t>Video and Android Studio Emulator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</si>
  <si>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application launches perfectly   but everytime I click on a video to play the whole process stops  _x000D_
The Android Studio emulator goes away (I m using the default emulator that it already has Pixel 3a API 30 x86)_x000D_
At first I thought it was Android Studio s issue but it happens everytime   Furthermore   I launch other apps and this has never_x000D_
happened before _x000D_
_x000D_
    Expected behavior_x000D_
     Tell us what you expect to happen     _x000D_
Click a video and it should play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https:  www dropbox com s 4xz180gn5w3p5gk 20201230 224149 mp4 dl 0 (url)_x000D_
          Android Studio is EXTREMELY slow so please show some understanding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Launched inside Android Studio_x000D_
   Device model: studio64 exe _x000D_
</t>
  </si>
  <si>
    <t>SubhamTyagi-Last-Launcher-110</t>
  </si>
  <si>
    <t xml:space="preserve">The application crashes periodically  Today crashed when I had logcat connected  the error is:_x000D_
_x000D_
 2020 12 30 23:10:18 337 24966 24966   E AndroidRuntime: FATAL EXCEPTION: main_x000D_
    Process: io github subhamtyagi lastlauncher  PID: 24966_x000D_
    java util ConcurrentModificationException_x000D_
        at java util ArrayList Itr next(ArrayList java:860)_x000D_
        at io github subhamtyagi lastlauncher LauncherActivity b onPostExecute(:3)_x000D_
        at android os AsyncTask finish(AsyncTask java:755)_x000D_
        at android os AsyncTask access 900(AsyncTask java:192)_x000D_
        at android os AsyncTask InternalHandler handleMessage(AsyncTask java:772)_x000D_
        at android os Handler dispatchMessage(Handler java:107)_x000D_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 _x000D_
_x000D_
App  version: 0 15 from f droid_x000D_
Android: 10_x000D_
Phone: Xiaomi Mi A3 </t>
  </si>
  <si>
    <t>AOF-Dev-MCinaBox-773</t>
  </si>
  <si>
    <t xml:space="preserve">Game crashes. </t>
  </si>
  <si>
    <t>I install everything correctly  there are no warnings in the upper right corner  _x000D_
_x000D_
The error is thrown by this method  _x000D_
1  Launching the game  _x000D_
2  Pressing the wrench  _x000D_
3  Crash  _x000D_
_x000D_
A menu with a choice of controls and so on should have come out  but alas  it did not come out _x000D_
_x000D_
There will be no screenshots  since this is a crash  and it cannot be screened _x000D_
_x000D_
   Device: Poco x3_x000D_
   OS: Android 10_x000D_
    App version: 0 1 4 p4</t>
  </si>
  <si>
    <t>Anuken-Mindustry-4185</t>
  </si>
  <si>
    <t>Resources for Planet Map Launch missing?!</t>
  </si>
  <si>
    <t xml:space="preserve">  Platform  :  Windows _x000D_
_x000D_
  Build  :  steam build 122 1 _x000D_
_x000D_
  Issue  :  I want to launch from 162 to 158 on Campaign  In the top of the screen  I have about 7k titanium  but upon launch  I can only bring about 762  (This is closer to the amount I have in zone 13 that is in between the two ) _x000D_
_x000D_
  Steps to reproduce  :  Occurs also after restarting the game  or even the computer  _x000D_
_x000D_
  Link(s) to mod(s) used  :  Does not seem to relate to mods  I had the problem before using any mods  _x000D_
_x000D_
  Save file  :  The (zipped) save file you were playing on when the bug happened  THIS IS REQUIRED FOR ANY ISSUE _x000D_
 mindustry launch missing resources zip (https:  github com Anuken Mindustry files 5754690 mindustry launch missing resources zip)_x000D_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(I let steam do this  )_x000D_
   X    I have searched the closed and open issues to make sure that this problem has not already been reported   _x000D_
  might be 4182 related  but this report has a savefile_x000D_
</t>
  </si>
  <si>
    <t>Anuken-Mindustry-4183</t>
  </si>
  <si>
    <t>UI bug due to iOS notch</t>
  </si>
  <si>
    <t xml:space="preserve">  Platform  :  iOS14 1 iPhoneXS Max _x000D_
_x000D_
  Build  : 122_x000D_
_x000D_
  Issue  : _x000D_
When the iPhone is turned sideways during gameplay  the notch hides part of the UI  It may be a bug that occurs on the entire iPhone with a notch I will attach an image for easy understanding _x000D_
I m sorry  my English is not good _x000D_
_x000D_
I checked  iOS UI inside screen notch  3719   but it still has a bug _x000D_
_x000D_
  Confirmation of build number_x000D_
  1 (https:  user images githubusercontent com 13061659 103353163 6eb41e00 4aeb 11eb 890a faa05ede8e5b jpg)_x000D_
  The right side of the UI is hidden by a notch _x000D_
  2 (https:  user images githubusercontent com 13061659 103353170 7378d200 4aeb 11eb 9cc4 10487f529a9c jpg)_x000D_
  The left side of the UI is hidden by a notch _x000D_
  3 (https:  user images githubusercontent com 13061659 103353171 74a9ff00 4aeb 11eb 869d 9997a3e6f068 jpg)_x000D_
_x000D_
_x000D_
  Steps to reproduce  : _x000D_
1  Launch the game_x000D_
2  Select a campaign_x000D_
3  Enter one of the maps_x000D_
4  Part of the UI is hidden when the iPhone is turned sideways_x000D_
_x000D_
  Link(s) to mod(s) used  : _x000D_
I m not using mods _x000D_
_x000D_
  Save file  : _x000D_
Currently  it is not due to save data  so I think it is not necessary  but I will attach it if necessary _x000D_
_x000D_
  (Crash) logs  : _x000D_
Will not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</si>
  <si>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Azure-azure-iot-sdk-java-1035</t>
  </si>
  <si>
    <t>Crashing while reconnecting, MqttAsyncClient is null</t>
  </si>
  <si>
    <t xml:space="preserve">  Context_x000D_
_x000D_
  Android 10_x000D_
  Azure IoT SDK Version  1 28 0 _x000D_
_x000D_
   Description of the issue_x000D_
Application is crashing while reconnecting in the latest SDK  This happens in SDK and almost frequent sometimes  I cannot remember any user initiated call that can cause this issue  I will be highly glad to have some insight regarding this _x000D_
_x000D_
   Console log of the issue_x000D_
2020 12 30 17:47:57 086 18113 18652 com test iothub E AndroidRuntime: FATAL EXCEPTION: azure iot sdk ReconnectionTask:91126a52 8c8c 4ce3 9cc7 1f7e0ee9d01a_x000D_
    Process: com test iothub  PID: 18113_x000D_
    java lang NullPointerException: Attempt to invoke virtual method  boolean org eclipse paho client mqttv3 MqttAsyncClient isConnected()  on a null object reference_x000D_
        at com microsoft azure sdk iot device transport mqtt Mqtt subscribe(Mqtt java:282)_x000D_
        at com microsoft azure sdk iot device transport mqtt MqttMessaging start(MqttMessaging java:62)_x000D_
        at com microsoft azure sdk iot device transport mqtt MqttIotHubConnection open(MqttIotHubConnection java:201)_x000D_
        at com microsoft azure sdk iot device transport IotHubTransport openConnection(IotHubTransport java:785)_x000D_
        at com microsoft azure sdk iot device transport IotHubTransport singleReconnectAttempt(IotHubTransport java:916)_x000D_
        at com microsoft azure sdk iot device transport IotHubTransport reconnect(IotHubTransport java:865)_x000D_
        at com microsoft azure sdk iot device transport IotHubTransport handleDisconnection(IotHubTransport java:820)_x000D_
        at com microsoft azure sdk iot device transport IotHubTransport onConnectionLost(IotHubTransport java:253)_x000D_
        at com microsoft azure sdk iot device transport ReconnectionNotifier 1 run(ReconnectionNotifier java:21)_x000D_
        at java lang Thread run(Thread java:919)_x000D_
</t>
  </si>
  <si>
    <t>commons-app-apps-android-commons-4142</t>
  </si>
  <si>
    <t>Attempting to open Bookmarks crashes app</t>
  </si>
  <si>
    <t xml:space="preserve">  Summary:   _x000D_
_x000D_
Attempting to open Bookmarks crashes app_x000D_
_x000D_
  Steps to reproduce:   _x000D_
_x000D_
 Open sidebar menu_x000D_
 Click  Bookmarks _x000D_
 Crash_x000D_
_x000D_
This may or may not be relevant  but I do not believe that I have any bookmarks  _x000D_
_x000D_
  System logs:  _x000D_
 Log txt (https:  github com commons app apps android commons files 5753754 bookmarkerror txt)_x000D_
_x000D_
  Device and Android version:   _x000D_
API level: 30_x000D_
Android version: 11_x000D_
Device manufacturer: Google_x000D_
Device model: Pixel 4a_x000D_
Device: sunfish_x000D_
Network type: wifi_x000D_
_x000D_
I am running the stock OS from the manufacturer _x000D_
 _x000D_
  Commons app version:   _x000D_
_x000D_
2 13 2 757c7b008_x000D_
_x000D_
  Would you like to work on the issue   _x000D_
_x000D_
No _x000D_
</t>
  </si>
  <si>
    <t>square-okhttp-6494</t>
  </si>
  <si>
    <t>Expected URL scheme 'http' or 'https' but no colon was found okhttp3.HttpUrl$Builder.parse</t>
  </si>
  <si>
    <t xml:space="preserve">Hi  The crush happens during making request via okhttp3  I checked correctness of url  which is used to make request  We couldn t reproduce current bug  But  some users continue crashing  _x000D_
Also  I notice from stacktrace that the crash happens when url is got from cache _x000D_
okhttp3 HttpUrl Builder parse (HttpUrl java:1333)_x000D_
okhttp3 HttpUrl get (HttpUrl java:916)_x000D_
okhttp3 Request Builder url (Request java:165)_x000D_
okhttp3 Cache Entry response (Cache java:706)_x000D_
okhttp3 Cache get (Cache java:214)_x000D_
okhttp3 Cache 1 get (Cache java:145)_x000D_
    _x000D_
</t>
  </si>
  <si>
    <t>mindustry-antigrief-mindustry-client-22</t>
  </si>
  <si>
    <t>Screen froze while loading into a server with "logic" displaying in the screen</t>
  </si>
  <si>
    <t xml:space="preserve">  Platform  : Windows_x000D_
_x000D_
  Build  : release build 122  client version: 5 0 3  release: 45_x000D_
_x000D_
  Issue  : whenever joining a server  if there is a logic in the screen at the beginning  the window froze _x000D_
_x000D_
  Steps to reproduce  : simply join a server that has some logic around the core  I ve cross checked with the original Anuke built jar  it worked fine_x000D_
_x000D_
  Link(s) to mod(s) used  : n 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(i was using the jar desktop release file  unsure which file is required)_x000D_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</si>
  <si>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Anuken-Mindustry-4176</t>
  </si>
  <si>
    <t>Crash-Report, can someone help?</t>
  </si>
  <si>
    <t xml:space="preserve">Mindustry has crashed  How unfortunate _x000D_
Report this at https:  github com Anuken Mindustry issues new labels bug template bug report md_x000D_
_x000D_
Version: release build 121 4_x000D_
OS: Windows 10 x64_x000D_
Java Version: 1 8 0 72_x000D_
Java Architecture: 64_x000D_
0 Mods_x000D_
_x000D_
mindustry net ValidateException: Player cannot configure a tile _x000D_
	at mindustry input InputHandler tileConfig(InputHandler java:307)_x000D_
	at mindustry gen Call tileConfig(Call java:1315)_x000D_
	at mindustry gen Building configure(Building java:1456)_x000D_
	at mindustry core Control lambda playSector 27(Control java:354)_x000D_
	at mindustry core UI lambda loadAnd 10(UI java:246)_x000D_
	at arc util Timer 1 run(Timer java:88)_x000D_
	at arc util TaskQueue run(TaskQueue java:17)_x000D_
	at arc backend sdl SdlApplication loop(SdlApplication java:148)_x000D_
	at arc backend sdl SdlApplication  init (SdlApplication java:43)_x000D_
	at mindustry desktop DesktopLauncher main(DesktopLauncher java:36)_x000D_
</t>
  </si>
  <si>
    <t>Anuken-Mindustry-4174</t>
  </si>
  <si>
    <t>Logic cell writes to cell incorrect.</t>
  </si>
  <si>
    <t xml:space="preserve">  Platform  :  Android iOS Mac Windows Linux _x000D_
Windows 10_x000D_
  Build  :  The build number under the title in the main menu  Required   LATEST  IS NOT A VERSION  I NEED THE EXACT BUILD NUMBER OF YOUR GAME  _x000D_
Steam 122_x000D_
  Issue  : _x000D_
While shooting and moving recording the coordinates of the player ship into a cell  The data in the logic cell is corrupted _x000D_
_x000D_
  Steps to reproduce  : _x000D_
1  Load the savegame  _x000D_
2  Click the logic button to switch recording to standby  _x000D_
3  Start shooting and keep shooting ( and move if need more coordinates ) to record coordinates_x000D_
4  Stop shooting ( release mousebutton ) Not moving gives 2 pairs and shows the bug  Moving gives more and shows the pattern better_x000D_
5  Check the message boxes   The left one lists the contents of the cell1 in pairs  the other messagebox show a printout of the x y pairs collected and written to the cell by the right microprocessor_x000D_
6 See that the outputs dont match  See the corrupted data in the cell  _x000D_
_x000D_
  Link(s) to mod(s) used  :  The mod repositories or zip files that are related to the issue  if applicable  _x000D_
all mods disabled_x000D_
  Save file  : _x000D_
 CellWriteIssue zip (https:  github com Anuken Mindustry files 5752245 CellWriteIssue zip)_x000D_
_x000D_
  (Crash) logs  : no crash_x000D_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</si>
  <si>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aws-amplify-amplify-android-1090</t>
  </si>
  <si>
    <t>NPE on CustomTabsManagerActivity.onResume</t>
  </si>
  <si>
    <t xml:space="preserve">  Describe the bug  _x000D_
_x000D_
We are trying to setup AWS web sign in for the Cavaliers official Android app   signInWithWebUI  works fine  When we try to logout  we get the logout success callback but then it crashes _x000D_
_x000D_
  To Reproduce  _x000D_
When we try to  signOut  after  signInWithWebUI _x000D_
_x000D_
   java_x000D_
Amplify Auth signOut(_x000D_
    ()    Log d(TAG   Auth: log out successfully ) _x000D_
    error    Log e(TAG   Auth: log out    error toString())_x000D_
) _x000D_
   _x000D_
_x000D_
  Environment Information (please complete the following information):  _x000D_
   Amplify Android version: 2 19 3_x000D_
   Devices: Sansung Galaxy Note 10  Pixel 2_x000D_
   Android Version: Android 10_x000D_
   Specific to simulators: No_x000D_
_x000D_
  Additional context  _x000D_
Stack trace:_x000D_
   _x000D_
2020 12 29 15:18:32 018 26833 26833 com detroitlabs cavaliers E AndroidRuntime: FATAL EXCEPTION: main_x000D_
    Process: com detroitlabs cavaliers  PID: 26833_x000D_
    java lang RuntimeException: Unable to resume activity  com detroitlabs cavaliers com amazonaws mobileconnectors cognitoauth activities CustomTabsManagerActivity : java lang NullPointerException: Attempt to invoke virtual method  boolean android content Intent migrateExtraStreamToClipData()  on a null object reference_x000D_
        at android app ActivityThread performResumeActivity(ActivityThread java:4657)_x000D_
        at android app ActivityThread handleResumeActivity(ActivityThread java:4690)_x000D_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java:2267)_x000D_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Caused by: java lang NullPointerException: Attempt to invoke virtual method  boolean android content Intent migrateExtraStreamToClipData()  on a null object reference_x000D_
        at android app Instrumentation execStartActivity(Instrumentation java:1713)_x000D_
        at android app Activity startActivityForResult(Activity java:5258)_x000D_
        at android app Activity startActivityForResult(Activity java:5203)_x000D_
        at android app Activity startActivity(Activity java:5587)_x000D_
        at android app Activity startActivity(Activity java:5555)_x000D_
        at com amazonaws mobileconnectors cognitoauth activities CustomTabsManagerActivity onResume(CustomTabsManagerActivity java:68)_x000D_
        at android app Instrumentation callActivityOnResume(Instrumentation java:1454)_x000D_
        at android app Activity performResume(Activity java:8111)_x000D_
        at android app ActivityThread performResumeActivity(ActivityThread java:4647)_x000D_
        at android app ActivityThread handleResumeActivity(ActivityThread java:4690) _x000D_
        at android app servertransaction ResumeActivityItem execute(ResumeActivityItem java:52) _x000D_
        at android app servertransaction TransactionExecutor executeLifecycleState(TransactionExecutor java:176) _x000D_
        at android app servertransaction TransactionExecutor execute(TransactionExecutor java:97) _x000D_
        at android app ActivityThread H handleMessage(ActivityThread java:2267) _x000D_
        at android os Handler dispatchMessage(Handler java:107) _x000D_
        at android os Looper loop(Looper java:237) _x000D_
        at android app ActivityThread main(ActivityThread java:8167) _x000D_
        at java lang reflect Method invoke(Native Method) _x000D_
        at com android internal os RuntimeInit MethodAndArgsCaller run(RuntimeInit java:496) _x000D_
        at com android internal os ZygoteInit main(ZygoteInit java:1100)    _x000D_
   </t>
  </si>
  <si>
    <t>Anuken-Mindustry-4172</t>
  </si>
  <si>
    <t>server list bug</t>
  </si>
  <si>
    <t xml:space="preserve">  Platform  :  Android iOS Mac Windows Linux _x000D_
windows_x000D_
  Build  :  The build number under the title in the main menu  Required   LATEST  IS NOT A VERSION  I NEED THE EXACT BUILD NUMBER OF YOUR GAME  _x000D_
122_x000D_
  Issue  :  Explain your issue in detail  _x000D_
  image (https:  user images githubusercontent com 72604018 103308369 984d4680 4a12 11eb 8a1d 503fc9f3bb5f png)_x000D_
  image (https:  user images githubusercontent com 72604018 103308661 3e994c00 4a13 11eb 801b 2af6fb066b38 png)_x000D_
_x000D_
same server shows many times_x000D_
  Steps to reproduce  :  How you happened across the issue  and what exactly you did to make the bug happen  _x000D_
i clicked this button and no thing else _x000D_
  image (https:  user images githubusercontent com 72604018 103308773 8a4bf580 4a13 11eb 9d42 ac2ab3b1b850 png)_x000D_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</si>
  <si>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nextcloud-android-7750</t>
  </si>
  <si>
    <t>Nextcloud app for Android crashes after reinstalling during startup.</t>
  </si>
  <si>
    <t xml:space="preserve">    Steps to reproduce
1  Deinstall Nextcloud
2  Install Nextcloud 
3  Start Nextcloud
    Expected behaviour
  Nextcloud should start
    Actual behaviour
  Nextcloud crashes
    Can you reproduce this problem on https:  try nextcloud com 
  Please create a test demo account and see if this still happens there 
  If yes  please open up a bug report
  If not  please verify server setup and ask for help on forum
    Environment data
Android version:
Device model: 
Stock or customized system:
Nextcloud app version:
Nextcloud server version:
Reverse proxy:
    Logs
     Web server error log
Insert your webserver log here
     Nextcloud log (data nextcloud log)
Insert your Nextcloud log here
  NOTE:   Be super sure to remove sensitive data like passwords  note that everybody can look here  You can use the Issue Template application to prefill some of the required information: https:  apps nextcloud com apps issuetemplate
</t>
  </si>
  <si>
    <t>TeamNewPipe-NewPipe-5308</t>
  </si>
  <si>
    <t>app crashes on error report via github</t>
  </si>
  <si>
    <t xml:space="preserve">    Checklist_x000D_
_x000D_
   x  I am using the latest version   0 20 8_x000D_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raise any error (in my case it was  5306 )  so that you get an error page_x000D_
2  click the  report on github  button at the bottom_x000D_
3  confirm the privacy popup with  Accept _x000D_
_x000D_
_x000D_
    Actual behaviour_x000D_
The app crashes (see screen recording below) _x000D_
_x000D_
_x000D_
_x000D_
    Expected behavior_x000D_
I don t know exacly  but maybe a browser window opening   _x000D_
_x000D_
_x000D_
_x000D_
    Screenshots Screen recordings_x000D_
_x000D_
_x000D_
https:  user images githubusercontent com 59893632 103280051 af1e7980 49cf 11eb 91c1 4e883aee7eda mp4_x000D_
_x000D_
_x000D_
_x000D_
_x000D_
    Logs_x000D_
_x000D_
   Exception_x000D_
    User Action:   ui error_x000D_
    Request:   App crash  UI failure_x000D_
    Content Country:   DE_x000D_
    Content Language:   de DE_x000D_
    App Language:   en_x000D_
    Service:   none_x000D_
    Version:   0 20 8_x000D_
    OS:   Linux Android 7 0   24_x000D_
 details  summary  b Crash log   b   summary  p _x000D_
_x000D_
   _x000D_
android content ActivityNotFoundException: No Activity found to handle Intent   act android intent action VIEW dat https:  github com     flg 0x10000000 pkg com huawei android internal app  _x000D_
	at android app Instrumentation checkStartActivityResult(Instrumentation java:1854)_x000D_
	at android app Instrumentation execStartActivity(Instrumentation java:1544)_x000D_
	at android app Activity startActivityForResult(Activity java:4391)_x000D_
	at androidx fragment app FragmentActivity startActivityForResult(FragmentActivity java:675)_x000D_
	at android app Activity startActivityForResult(Activity java:4335)_x000D_
	at androidx fragment app FragmentActivity startActivityForResult(FragmentActivity java:662)_x000D_
	at android app Activity startActivity(Activity java:4702)_x000D_
	at android app Activity startActivity(Activity java:4670)_x000D_
	at org schabi newpipe util ShareUtils openUrlInBrowser(ShareUtils java:39)_x000D_
	at org schabi newpipe report ErrorActivity lambda openPrivacyPolicyDialog 6(ErrorActivity java:279)_x000D_
	at org schabi newpipe report ErrorActivity lambda openPrivacyPolicyDialog 6 ErrorActivity(ErrorActivity java)_x000D_
	at org schabi newpipe report    Lambda ErrorActivity zOFMu5zpmIgbungN7tR4m3YS3ps onClick(lambda)_x000D_
	at com android internal app AlertController ButtonHandler handleMessage(AlertController java:166)_x000D_
	at android os Handler dispatchMessage(Handler java:105)_x000D_
	at android os Looper loop(Looper java:156)_x000D_
	at android app ActivityThread main(ActivityThread java:6523)_x000D_
	at java lang reflect Method invoke(Native Method)_x000D_
	at com android internal os ZygoteInit MethodAndArgsCaller run(ZygoteInit java:942)_x000D_
	at com android internal os ZygoteInit main(ZygoteInit java:832)_x000D_
_x000D_
   _x000D_
  details _x000D_
 hr _x000D_
_x000D_
    Device Model_x000D_
Huawei P9 lite (HWVNS L31)_x000D_
_x000D_
 edit: device model information added </t>
  </si>
  <si>
    <t>microg-GmsCore-1347</t>
  </si>
  <si>
    <t>Exposure database cleared</t>
  </si>
  <si>
    <t xml:space="preserve">The exposure notification database was cleared _x000D_
_x000D_
  To Reproduce  _x000D_
No idea if this is reproducible but it seemed to warrant a report _x000D_
I looked at my phone first thing this morning to see a warning from the swiss covid app that collection had been deactivated _x000D_
Clicked on reactivate and from the corona warn companion app I can see only today s data and some from yesterday _x000D_
Yesterday evening companion app was showing last two weeks  I checked the database file size and it had clearly been reset _x000D_
I have gone back through the logs hunting for something that might help but I don t really know what I am looking for and at what time _x000D_
Since the database shows entries from yesterday I assume I am looking  for an error last night  Using logcat  b crash doesn t show anything after 3 00 yesterday morning so probably not that _x000D_
Anyway I am not really concerned about the crash more that something could cause the database to be reset like this  _x000D_
_x000D_
  Expected behavior  _x000D_
Database should never be cleared like this_x000D_
_x000D_
  Screenshots  _x000D_
If applicable  add screenshots to help explain your problem _x000D_
_x000D_
  System  _x000D_
Android Version: 7 1 2_x000D_
Custom ROM: LineageOS 14 1 _x000D_
_x000D_
  Additional context  _x000D_
Microg 2 15 204713_x000D_
</t>
  </si>
  <si>
    <t>Anuken-Mindustry-4162</t>
  </si>
  <si>
    <t>[Modding]Painful drill ore indication sprite</t>
  </si>
  <si>
    <t xml:space="preserve">_x000D_
  Screenshot 20201229 011602 (https:  user images githubusercontent com 61173114 103270501 4f938000 4975 11eb 8635 7f65b2092a75 png)_x000D_
  Platform  :  current Android  issue is on all  _x000D_
_x000D_
  Build  :  stable 122 _x000D_
_x000D_
  Issue  :  Drill mining item indicators are only set for 2  3  and 4 size drills  They display as an oh no on any other size  and they may not be able to override with a custom sprite like turret bases  _x000D_
_x000D_
  Steps to reproduce  : _x000D_
 Load up K103908 Exotic Mod  _x000D_
 place the giant 7x7 drill _x000D_
 profit _x000D_
_x000D_
  Link(s) to mod(s) used  :  see above  _x000D_
_x000D_
  Save file  :  happens on all clients that can load the mod  _x000D_
_x000D_
If you remove the line above without reading it properly and understanding what it means  I will reap your soul  Even if you re playing on someone s server  you can still save the game to a slot _x000D_
_x000D_
  (Crash) logs  :  no crashes  _x000D_
_x000D_
  Possible fixes  :_x000D_
 1  make drill item indicator not display if there isnt any set sprite  like unit weapons  _x000D_
 2  add custom item indicator overrides like those on turret bases  _x000D_
_x000D_
   _x000D_
_x000D_
 Place an X (no spaces) between the brackets to confirm that you have read the line below    _x000D_
   X    I think I have updated to the latest release (https:  github com Anuken Mindustry releases) to make sure my issue has not been fixed   _x000D_
   X    I have not searched the closed and open issues to make sure that this problem has not already been reported   _x000D_
_x000D_
Screenshot edited in </t>
  </si>
  <si>
    <t>Blankj-AndroidUtilCode-1412</t>
  </si>
  <si>
    <t>PhoneUtils.dial() URI parse problem</t>
  </si>
  <si>
    <t xml:space="preserve">Hello there  The dial() function cannot handle USSD codes properly and this is due to the hash   character not being encoded in the URI string that gets passed to the Dialer intent  So whenever you dial for example  123  it calls  123 instead of dialing the USSD code  123    It strips out the hash (pound sign) at the end due to not encoding it _x000D_
_x000D_
_x000D_
_x000D_
This fault is present since the first version until Utilcode v1 30 0 and it happens in most devices (personally tested on SAMSUNG and OnePlus) _x000D_
_x000D_
Just to make clear this is not a bug that crashes anything  its just a mistake in the code _x000D_
_x000D_
_x000D_
This is your code:_x000D_
   _x000D_
public static Intent getCallIntent(final String phoneNumber)  _x000D_
        Intent intent   new Intent( android intent action CALL   Uri parse( tel:    phoneNumber)) _x000D_
        return getIntent(intent  true) _x000D_
 _x000D_
   _x000D_
_x000D_
And this is how it should be done:_x000D_
   _x000D_
public static Intent getCallIntent(final String phoneNumber)  _x000D_
    String finalUriString      _x000D_
    for(char c : phoneNumber toCharArray())  _x000D_
        if(c       )_x000D_
            finalUriString    Uri encode(   ) _x000D_
        else_x000D_
            finalUriString    c _x000D_
     _x000D_
        Intent intent   new Intent( android intent action CALL   Uri parse( tel:    finalUriString)) _x000D_
        return getIntent(intent  true) _x000D_
 _x000D_
   _x000D_
_x000D_
_x000D_
_x000D_
Once again thanks for this great library  and good luck </t>
  </si>
  <si>
    <t>Anuken-Mindustry-4159</t>
  </si>
  <si>
    <t>Sector 103 scrap pile</t>
  </si>
  <si>
    <t xml:space="preserve">  Platform  :  Android iOS Mac Windows Linux _x000D_
_x000D_
  Build  :  The build number under the title in the main menu  Required   LATEST  IS NOT A VERSION  I NEED THE EXACT BUILD NUMBER OF YOUR GAME  _x000D_
122 build_x000D_
  Issue  :  Explain your issue in detail     scrap in water_x000D_
  Screenshot 2020 12 28 19 41 14 (https:  user images githubusercontent com 76461235 103254856 acc70b80 494c 11eb 98c9 0e1e2fd4f7a0 png)_x000D_
_x000D_
  Steps to reproduce  :  How you happened across the issue  and what exactly you did to make the bug happen   go to sector 103 in the campaign_x000D_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cant save a campaign save file without sending data just saves the entire campaign_x000D_
_x000D_
If you remove the line above without reading it properly and understanding what it means  I will reap your soul  Even if you re playing on someone s server  you can still save the game to a slot   Anuke no bad anuke  Anuke it is illegal to reap someones soul_x000D_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</si>
  <si>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Anuken-Mindustry-4158</t>
  </si>
  <si>
    <t>UnitCreateEvent is being fired twice when non-t1 unit is being produced</t>
  </si>
  <si>
    <t xml:space="preserve">  Platform  :  Linux server _x000D_
_x000D_
  Build  : commit a21cc32b (122 build)_x000D_
_x000D_
  Issue  : for https:  deranked ddns net match recordings I use  UnitCreateEvent  to detect new unit being made as well as for statistics viewable by spectators  All actions are being recorded by events provided ( some additional ones) _x000D_
_x000D_
I noticed that t2 units that are being made spawn with 2 exact same events  except the first of them has (x  y)   (0  0) _x000D_
2 creation events for same unitId is definetely not expected from my point of view _x000D_
An example of such match can be found here: https:  deranked ddns net match 29232 if you click  Load build order :_x000D_
  notice player on the right builds  one and only  reconstructor at 06:28 061_x000D_
  same player has 2 pulsars recorded as being  made  at 07:33 974 within 4 seconds timespan  which is not possible for sure_x000D_
_x000D_
Recording of translated  UnitCreateEvent  from this exact match can be found here: https:  pastebin com S6rHpCW8 (pulsar s unitType   6)_x000D_
_x000D_
  Steps to reproduce  : add simple listener for  UnitCreateEvent  which output results  create t2 unit from factory   reconstructor  observe results_x000D_
_x000D_
  Link(s) to mod(s) used  : no mods  but I use my server plugin  I have messed with code a little bit  but I m pretty sure this is the part which I haven t touched (unit spawnings) _x000D_
_x000D_
  Save file  : I don t think this is applicable 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https:  github com Anuken Mindustry search q UnitCreateEvent type issues_x000D_
</t>
  </si>
  <si>
    <t>material-components-material-components-android-1955</t>
  </si>
  <si>
    <t>[MaterialTimePicker] Error Inflating MaterialTimePicker, missing layout_height attribute</t>
  </si>
  <si>
    <t xml:space="preserve">  Description:   With the latest update to 1 3 0 beta01  my app crashes when trying to show the MaterialTimePicker dialog  Here is the stack trace of the crash:_x000D_
   _x000D_
Caused by: android view InflateException: Binary XML file line  46 in  my app id :layout material timepicker dialog: Error inflating class com google android material timepicker TimePickerView_x000D_
    Caused by: java lang reflect InvocationTargetException_x000D_
        at java lang reflect Constructor newInstance0(Native Method)_x000D_
        at java lang reflect Constructor newInstance(Constructor java:343)_x000D_
        at android view LayoutInflater createView(LayoutInflater java:852)_x000D_
        at android view LayoutInflater createViewFromTag(LayoutInflater java:1004)_x000D_
        at android view LayoutInflater createViewFromTag(LayoutInflater java:959)_x000D_
        at android view LayoutInflater rInflate(LayoutInflater java:1121)_x000D_
        at android view LayoutInflater rInflateChildren(LayoutInflater java:1082)_x000D_
        at android view LayoutInflater inflate(LayoutInflater java:680)_x000D_
        at android view LayoutInflater inflate(LayoutInflater java:532)_x000D_
        at android view LayoutInflater inflate(LayoutInflater java:479)_x000D_
        at com google android material timepicker MaterialTimePicker onCreateView(MaterialTimePicker java:205)_x000D_
        at androidx fragment app Fragment performCreateView(Fragment java:2698)_x000D_
        at androidx fragment app FragmentStateManager createView(FragmentStateManager java:320)_x000D_
        at androidx fragment app FragmentManager moveToState(FragmentManager java:1187)_x000D_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BackStackRecord executeOps(BackStackRecord java:447)_x000D_
        at androidx fragment app FragmentManager executeOps(FragmentManager java:2169)_x000D_
        at androidx fragment app FragmentManager executeOpsTogether(FragmentManager java:1992)_x000D_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android view InflateException: Binary XML file line  27 in  my app id :layout material timepicker: Binary XML file line  35: You must supply a layout height attribute _x000D_
     Caused by: java lang UnsupportedOperationException: Binary XML file line  35: You must supply a layout height attribute _x000D_
        at android content res TypedArray getLayoutDimension(TypedArray java:830)_x000D_
        at android view ViewGroup LayoutParams setBaseAttributes(ViewGroup java:8232)_x000D_
        at android view ViewGroup MarginLayoutParams  init (ViewGroup java:8429)_x000D_
        at android widget LinearLayout LayoutParams  init (LinearLayout java:2023)_x000D_
        at android widget LinearLayout generateLayoutParams(LinearLayout java:1917)_x000D_
        at android widget LinearLayout generateLayoutParams(LinearLayout java:89)_x000D_
        at android view LayoutInflater rInflate(LayoutInflater java:1123)_x000D_
        at android view LayoutInflater rInflateChildren(LayoutInflater java:1082)_x000D_
        at android view LayoutInflater parseInclude(LayoutInflater java:1261)_x000D_
        at android view LayoutInflater rInflate(LayoutInflater java:1117)_x000D_
        at android view LayoutInflater inflate(LayoutInflater java:654)_x000D_
2020 12 28 15:22:07 350 1705 1705  my app id  E AndroidRuntime:     at android view LayoutInflater inflate(LayoutInflater java:532)_x000D_
        at android view LayoutInflater inflate(LayoutInflater java:479)_x000D_
        at com google android material timepicker TimePickerView  init (TimePickerView java:100)_x000D_
        at com google android material timepicker TimePickerView  init (TimePickerView java:95)_x000D_
        at java lang reflect Constructor newInstance0(Native Method)_x000D_
        at java lang reflect Constructor newInstance(Constructor java:343)_x000D_
        at android view LayoutInflater createView(LayoutInflater java:852)_x000D_
        at android view LayoutInflater createViewFromTag(LayoutInflater java:1004)_x000D_
        at android view LayoutInflater createViewFromTag(LayoutInflater java:959)_x000D_
        at android view LayoutInflater rInflate(LayoutInflater java:1121)_x000D_
        at android view LayoutInflater rInflateChildren(LayoutInflater java:1082)_x000D_
        at android view LayoutInflater inflate(LayoutInflater java:680)_x000D_
        at android view LayoutInflater inflate(LayoutInflater java:532)_x000D_
        at android view LayoutInflater inflate(LayoutInflater java:479)_x000D_
        at com google android material timepicker MaterialTimePicker onCreateView(MaterialTimePicker java:205)_x000D_
        at androidx fragment app Fragment performCreateView(Fragment java:2698)_x000D_
        at androidx fragment app FragmentStateManager createView(FragmentStateManager java:320)_x000D_
        at androidx fragment app FragmentManager moveToState(FragmentManager java:1187)_x000D_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BackStackRecord executeOps(BackStackRecord java:447)_x000D_
        at androidx fragment app FragmentManager executeOps(FragmentManager java:2169)_x000D_
        at androidx fragment app FragmentManager executeOpsTogether(FragmentManager java:1992)_x000D_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I don t define the time picker in a layout file at all in my app  only programmatically  The crash seems to be coming from the library s  xml layout file from what I can see in the trace _x000D_
_x000D_
  Expected behavior:   No crash when executing the dialog show(   ) method _x000D_
_x000D_
  Source code:   _x000D_
   _x000D_
private lateinit var materialTimePicker: MaterialTimePicker_x000D_
   _x000D_
_x000D_
materialTimePicker   MaterialTimePicker Builder()_x000D_
                 setTitleText(title)_x000D_
                 setHour(jodaLocalTime hourOfDay)_x000D_
                 setMinute(jodaLocalTime minuteOfHour)_x000D_
                 setTimeFormat(TimeFormat CLOCK 12H)_x000D_
                 build()_x000D_
_x000D_
   Show the material time picker_x000D_
materialTimePicker show(requireActivity() supportFragmentManager  materialTimePicker toString())_x000D_
   _x000D_
  Android API version:   Android 11 (30)_x000D_
_x000D_
  Material Library version:   1 3 0 beta01_x000D_
_x000D_
  Device:   Pixel 3XL_x000D_
</t>
  </si>
  <si>
    <t>Anuken-Mindustry-4156</t>
  </si>
  <si>
    <t>gradle compiling error</t>
  </si>
  <si>
    <t xml:space="preserve">  Platform  : Linux aarch64      so it s arm based_x000D_
_x000D_
  Build  : 122_x000D_
_x000D_
  Issue  : i cannot compile the game specificaly i cannot run the graldew core:compileJava_x000D_
_x000D_
  Steps to reproduce  : i was trying to port he game to my new laptop which runs arm but ran into this problem _x000D_
_x000D_
step 1  use a rock64 pro_x000D_
step 2 git clone the build_x000D_
step 3 run   gradlew desktop:dist_x000D_
_x000D_
  Link and mods : NON base game_x000D_
_x000D_
  (Crash) logs  : there is not generated any crash log but i will submit what is the output_x000D_
_x000D_
No Android SDK found  Skipping Android module _x000D_
_x000D_
  Configure project :_x000D_
Compiling with build:  custom build _x000D_
_x000D_
  Configure project :desktop_x000D_
Scheduling sprite packing _x000D_
_x000D_
  Task :annotations:clearCache_x000D_
  Task :annotations:compileJava_x000D_
  Task :annotations:processResources_x000D_
  Task :annotations:classes_x000D_
  Task :annotations:jar_x000D_
  Task :core:clearCache_x000D_
  Task :core:preGen UP TO DATE_x000D_
  Task :core:compileJava FAILED_x000D_
_x000D_
FAILURE: Build failed with an exception _x000D_
_x000D_
  What went wrong:_x000D_
Execution failed for task  :core:compileJava  _x000D_
  Could not self attach to current VM using external process_x000D_
_x000D_
  Try:_x000D_
Run with   info or   debug option to get more log output  Run with   scan to get full insights _x000D_
_x000D_
  Exception is:_x000D_
org gradle api tasks TaskExecutionException: Execution failed for task  :core:compileJava  _x000D_
        at org gradle api internal tasks execution ExecuteActionsTaskExecuter lambda executeIfValid 1(ExecuteActionsTaskExecuter java:208)_x000D_
        at org gradle internal Try Failure ifSuccessfulOrElse(Try java:263)_x000D_
        at org gradle api internal tasks execution ExecuteActionsTaskExecuter executeIfValid(ExecuteActionsTaskExecuter java:206)_x000D_
        at org gradle api internal tasks execution ExecuteActionsTaskExecuter execute(ExecuteActionsTaskExecuter java:187)_x000D_
        at org gradle api internal tasks execution CleanupStaleOutputsExecuter execute(CleanupStaleOutputsExecuter java:114)_x000D_
        at org gradle api internal tasks execution FinalizePropertiesTaskExecuter execute(FinalizePropertiesTaskExecuter java:46)_x000D_
        at org gradle api internal tasks execution ResolveTaskExecutionModeExecuter execute(ResolveTaskExecutionModeExecuter java:62)_x000D_
        at org gradle api internal tasks execution SkipTaskWithNoActionsExecuter execute(SkipTaskWithNoActionsExecuter java:57)_x000D_
        at org gradle api internal tasks execution SkipOnlyIfTaskExecuter execute(SkipOnlyIfTaskExecuter java:56)_x000D_
        at org gradle api internal tasks execution CatchExceptionTaskExecuter execute(CatchExceptionTaskExecuter java:36)_x000D_
        at org gradle api internal tasks execution EventFiringTaskExecuter 1 executeTask(EventFiringTaskExecuter java:77)_x000D_
        at org gradle api internal tasks execution EventFiringTaskExecuter 1 call(EventFiringTaskExecuter java:55)_x000D_
        at org gradle api internal tasks execution EventFiringTaskExecuter 1 call(EventFiringTaskExecuter java:52)_x000D_
        at org gradle internal operations DefaultBuildOperationExecutor CallableBuildOperationWorker execute(DefaultBuildOperationExecutor java:409)_x000D_
        at org gradle internal operations DefaultBuildOperationExecutor CallableBuildOperationWorker execute(DefaultBuildOperationExecutor java:399)_x000D_
        at org gradle internal operations DefaultBuildOperationExecutor 1 execute(DefaultBuildOperationExecutor java:157)_x000D_
        at org gradle internal operations DefaultBuildOperationExecutor execute(DefaultBuildOperationExecutor java:242)_x000D_
        at org gradle internal operations DefaultBuildOperationExecutor execute(DefaultBuildOperationExecutor java:150)_x000D_
        at org gradle internal operations DefaultBuildOperationExecutor call(DefaultBuildOperationExecutor java:94)_x000D_
        at org gradle internal operations DelegatingBuildOperationExecutor call(DelegatingBuildOperationExecutor java:36)_x000D_
        at org gradle api internal tasks execution EventFiringTaskExecuter execute(EventFiringTaskExecuter java:52)_x000D_
        at org gradle execution plan LocalTaskNodeExecutor execute(LocalTaskNodeExecutor java:41)_x000D_
        at org gradle execution taskgraph DefaultTaskExecutionGraph InvokeNodeExecutorsAction execute(DefaultTaskExecutionGraph java:372)_x000D_
        at org gradle execution taskgraph DefaultTaskExecutionGraph InvokeNodeExecutorsAction execute(DefaultTaskExecutionGraph java:359)_x000D_
        at org gradle execution taskgraph DefaultTaskExecutionGraph BuildOperationAwareExecutionAction execute(DefaultTaskExecutionGraph java:352)_x000D_
        at org gradle execution taskgraph DefaultTaskExecutionGraph BuildOperationAwareExecutionAction execute(DefaultTaskExecutionGraph java:338)_x000D_
        at org gradle execution plan DefaultPlanExecutor ExecutorWorker lambda run 0(DefaultPlanExecutor java:127)_x000D_
        at org gradle execution plan DefaultPlanExecutor ExecutorWorker execute(DefaultPlanExecutor java:191)_x000D_
        at org gradle execution plan DefaultPlanExecutor ExecutorWorker executeNextNode(DefaultPlanExecutor java:182)_x000D_
        at org gradle execution plan DefaultPlanExecutor ExecutorWorker run(DefaultPlanExecutor java:124)_x000D_
        at org gradle internal concurrent ExecutorPolicy CatchAndRecordFailures onExecute(ExecutorPolicy java:64)_x000D_
        at org gradle internal concurrent ManagedExecutorImpl 1 run(ManagedExecutorImpl java:48)_x000D_
        at org gradle internal concurrent ThreadFactoryImpl ManagedThreadRunnable run(ThreadFactoryImpl java:56)_x000D_
Caused by: java lang IllegalStateException: Could not self attach to current VM using external process_x000D_
        at net bytebuddy agent ByteBuddyAgent installExternal(ByteBuddyAgent java:675)_x000D_
        at net bytebuddy agent ByteBuddyAgent install(ByteBuddyAgent java:606)_x000D_
        at net bytebuddy agent ByteBuddyAgent install(ByteBuddyAgent java:586)_x000D_
        at net bytebuddy agent ByteBuddyAgent install(ByteBuddyAgent java:538)_x000D_
        at net bytebuddy agent ByteBuddyAgent install(ByteBuddyAgent java:515)_x000D_
        at com github bsideup jabel JabelCompilerPlugin init(JabelCompilerPlugin java:79)_x000D_
        at jdk compiler com sun tools javac api BasicJavacTask initPlugin(BasicJavacTask java:254)_x000D_
        at jdk compiler com sun tools javac api BasicJavacTask initPlugins(BasicJavacTask java:241)_x000D_
        at jdk compiler com sun tools javac api JavacTaskImpl prepareCompiler(JavacTaskImpl java:199)_x000D_
        at jdk compiler com sun tools javac api JavacTaskImpl lambda doCall 0(JavacTaskImpl java:101)_x000D_
        at jdk compiler com sun tools javac api JavacTaskImpl handleExceptions(JavacTaskImpl java:147)_x000D_
        at jdk compiler com sun tools javac api JavacTaskImpl doCall(JavacTaskImpl java:100)_x000D_
        at jdk compiler com sun tools javac api JavacTaskImpl call(JavacTaskImpl java:94)_x000D_
        at org gradle internal compiler java IncrementalCompileTask call(IncrementalCompileTask java:74)_x000D_
        at org gradle api internal tasks compile AnnotationProcessingCompileTask call(AnnotationProcessingCompileTask java:94)_x000D_
        at org gradle api internal tasks compile ResourceCleaningCompilationTask call(ResourceCleaningCompilationTask java:57)_x000D_
        at org gradle api internal tasks compile JdkJavaCompiler execute(JdkJavaCompiler java:55)_x000D_
        at org gradle api internal tasks compile JdkJavaCompiler execute(JdkJavaCompiler java:40)_x000D_
        at org gradle api internal tasks compile daemon AbstractDaemonCompiler CompilerWorkAction execute(AbstractDaemonCompiler java:135)_x000D_
        at org gradle workers internal DefaultWorkerServer execute(DefaultWorkerServer java:63)_x000D_
        at org gradle workers internal AbstractClassLoaderWorker 1 create(AbstractClassLoaderWorker java:49)_x000D_
        at org gradle workers internal AbstractClassLoaderWorker 1 create(AbstractClassLoaderWorker java:43)_x000D_
        at org gradle internal classloader ClassLoaderUtils executeInClassloader(ClassLoaderUtils java:97)_x000D_
        at org gradle workers internal AbstractClassLoaderWorker executeInClassLoader(AbstractClassLoaderWorker java:43)_x000D_
        at org gradle workers internal FlatClassLoaderWorker run(FlatClassLoaderWorker java:32)_x000D_
        at org gradle workers internal FlatClassLoaderWorker run(FlatClassLoaderWorker java:22)_x000D_
        at org gradle workers internal WorkerDaemonServer run(WorkerDaemonServer java:85)_x000D_
        at org gradle workers internal WorkerDaemonServer run(WorkerDaemonServer java:55)_x000D_
        at org gradle process internal worker request WorkerAction 1 call(WorkerAction java:138)_x000D_
        at org gradle process internal worker child WorkerLogEventListener withWorkerLoggingProtocol(WorkerLogEventListener java:41)_x000D_
        at org gradle process internal worker request WorkerAction run(WorkerAction java:135)_x000D_
        at java base jdk internal reflect NativeMethodAccessorImpl invoke0(Native Method)_x000D_
        at java base jdk internal reflect NativeMethodAccessorImpl invoke(NativeMethodAccessorImpl java:62)_x000D_
        at java base jdk internal reflect DelegatingMethodAccessorImpl invoke(DelegatingMethodAccessorImpl java:43)_x000D_
        at org gradle internal dispatch ReflectionDispatch dispatch(ReflectionDispatch java:36)_x000D_
        at org gradle internal dispatch ReflectionDispatch dispatch(ReflectionDispatch java:24)_x000D_
_x000D_
Deprecated Gradle features were used in this build  making it incompatible with Gradle 7 0 _x000D_
Use    warning mode all  to show the individual deprecation warnings _x000D_
See https:  docs gradle org 6 6 userguide command line interface html sec:command line warnings_x000D_
6 actionable tasks: 6 executed_x000D_
        at org gradle internal remote internal hub MessageHubBackedObjectConnection DispatchWrapper dispatch(MessageHubBackedObjectConnection java:182)_x000D_
        at org gradle internal remote internal hub MessageHubBackedObjectConnection DispatchWrapper dispatch(MessageHubBackedObjectConnection java:164)_x000D_
        at org gradle internal remote internal hub MessageHub Handler run(MessageHub java:414)_x000D_
        at org gradle internal concurrent ExecutorPolicy CatchAndRecordFailures onExecute(ExecutorPolicy java:64)_x000D_
        at org gradle internal concurrent ManagedExecutorImpl 1 run(ManagedExecutorImpl java:48)_x000D_
        at org gradle internal concurrent ThreadFactoryImpl ManagedThreadRunnable run(ThreadFactoryImpl java:56)_x000D_
_x000D_
_x000D_
  Get more help at https:  help gradle org_x000D_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_x000D_
have a wonderfull day i wish you a good christmas too and a happy newyear</t>
  </si>
  <si>
    <t>MuntashirAkon-AppManager-204</t>
  </si>
  <si>
    <t>`IndexOutOfBoundsException` in Receiver-View</t>
  </si>
  <si>
    <t xml:space="preserve">  Describe the bug  _x000D_
Selecting  Receivers  or  App Ops  on any app crashes the application _x000D_
It seems to be an  IndexOutOfBoundsException _x000D_
_x000D_
  To Reproduce  _x000D_
Steps to reproduce the behaviour:_x000D_
1  Go to any app_x000D_
2  Click on  Receivers  or  App Ops _x000D_
3  Crash_x000D_
_x000D_
  Expected behavior  _x000D_
Show receivers or app ops _x000D_
_x000D_
  Crash logs  _x000D_
 details _x000D_
 summary Log  summary _x000D_
_x000D_
   java_x000D_
java lang ExceptionInInitializerError_x000D_
    at io github muntashirakon AppManager details AppDetailsViewModel loadAppOps(AppDetailsViewModel java:897)_x000D_
    at io github muntashirakon AppManager details AppDetailsViewModel lambda l0EWUQ8pwSEwIOu4g2r5od7Q6Ks(Unknown Source:0)_x000D_
    at io github muntashirakon AppManager details    Lambda AppDetailsViewModel l0EWUQ8pwSEwIOu4g2r5od7Q6Ks run(Unknown Source:2)_x000D_
    at java lang Thread run(Thread java:923)_x000D_
 Caused by: java lang ArrayIndexOutOfBoundsException: length 100  index 100_x000D_
   at io github muntashirakon AppManager appops AppOpsManager  clinit (AppOpsManager java:1286)_x000D_
   at io github muntashirakon AppManager details AppDetailsViewModel loadAppOps(AppDetailsViewModel java:897)_x000D_
   at io github muntashirakon AppManager details AppDetailsViewModel lambda l0EWUQ8pwSEwIOu4g2r5od7Q6Ks(Unknown Source:0)_x000D_
   at io github muntashirakon AppManager details    Lambda AppDetailsViewModel l0EWUQ8pwSEwIOu4g2r5od7Q6Ks run(Unknown Source:2)_x000D_
   at java lang Thread run(Thread java:923)_x000D_
_x000D_
Device Info:_x000D_
App version: 2 5 19 PRE_x000D_
App version code: 373_x000D_
Android build version: eng rayste 20201220 113432_x000D_
Android release version: 11_x000D_
Android SDK version: 30_x000D_
Android build ID: RQ1A 201205 008_x000D_
Device brand: Xiaomi_x000D_
Device manufacturer: Xiaomi_x000D_
Device name: cepheus_x000D_
Device model: Mi 9_x000D_
Device product name: lineage cepheus_x000D_
Device hardware name: qcom_x000D_
ABIs:  arm64 v8a  armeabi v7a  armeabi _x000D_
ABIs (32bit):  armeabi v7a  armeabi _x000D_
ABIs (64bit):  arm64 v8a _x000D_
System language: en GB_x000D_
In App Language: auto_x000D_
   _x000D_
  details _x000D_
_x000D_
  Device info  _x000D_
   Device: Xiaomi Mi 9_x000D_
   OS Version: CrDroid 7 (Android 11)_x000D_
   App Manager Version: 2 5 19 PRE _x000D_
   Mode: root (Magisk)_x000D_
_x000D_
  Additional context  _x000D_
Happenes on the stable and prerelease on F Droid_x000D_
</t>
  </si>
  <si>
    <t>neosensory-neosensory-sdk-for-android-java-7</t>
  </si>
  <si>
    <t>I tried to run the example code, but nothing happens after connecting to my buzz</t>
  </si>
  <si>
    <t xml:space="preserve">I have tried the code and used version 1 0 1 from jitpack in my implementations  However  when trying to go beyond the connection phase of my buzz  nothing happens  The log cats do show that it is connected to my buzz but the other buttons and text view does not become visible  trying to force them only made the app crash  Here are my logs _x000D_
   _x000D_
_x000D_
2020 12 28 17:13:45 377 9379 9379   I  neosensorytes: Late enabling  Xcheck:jni_x000D_
2020 12 28 17:13:45 437 9379 9379   W  neosensorytes: miui dex2oat: DeoptimizeBootImage: patch entry points of methods in boot image to interpreter bridge_x000D_
2020 12 28 17:13:45 587 9379 9379 com example neosensorytest W  neosensorytes: miui dex2oat: oat file of  data app com example neosensorytest Iw2UkO 1c UjNMqkgCE0IA   base apk is not exists_x000D_
2020 12 28 17:13:45 684 9379 9379 com example neosensorytest W  neosensorytes: miui dex2oat:  data app com example neosensorytest Iw2UkO 1c UjNMqkgCE0IA   base apk: Fall back to running out of the original dex file _x000D_
2020 12 28 17:13:45 696 9379 9379 com example neosensorytest I Perf: Connecting to perf service _x000D_
2020 12 28 17:13:45 783 9379 9379 com example neosensorytest W  neosensorytes: Accessing hidden method Landroid graphics drawable Drawable   getOpticalInsets()Landroid graphics Insets  (light greylist  linking)_x000D_
2020 12 28 17:13:45 783 9379 9379 com example neosensorytest W  neosensorytes: Accessing hidden field Landroid graphics Insets   left:I (light greylist  linking)_x000D_
2020 12 28 17:13:45 783 9379 9379 com example neosensorytest W  neosensorytes: Accessing hidden field Landroid graphics Insets   right:I (light greylist  linking)_x000D_
2020 12 28 17:13:45 783 9379 9379 com example neosensorytest W  neosensorytes: Accessing hidden field Landroid graphics Insets   top:I (light greylist  linking)_x000D_
2020 12 28 17:13:45 783 9379 9379 com example neosensorytest W  neosensorytes: Accessing hidden field Landroid graphics Insets   bottom:I (light greylist  linking)_x000D_
2020 12 28 17:13:45 859 9379 9379 com example neosensorytest W  neosensorytes: Accessing hidden field Landroid view WindowInsets   CONSUMED:Landroid view WindowInsets  (light greylist  reflection)_x000D_
2020 12 28 17:13:45 878 9379 9379 com example neosensorytest W  neosensorytes: Accessing hidden method Landroid view View   getAccessibilityDelegate()Landroid view View AccessibilityDelegate  (light greylist  linking)_x000D_
2020 12 28 17:13:45 978 9379 9379 com example neosensorytest W  neosensorytes: Accessing hidden method Landroid view View   computeFitSystemWindows(Landroid graphics Rect Landroid graphics Rect )Z (light greylist  reflection)_x000D_
2020 12 28 17:13:45 982 9379 9379 com example neosensorytest W  neosensorytes: Accessing hidden method Landroid view ViewGroup   makeOptionalFitsSystemWindows()V (light greylist  reflection)_x000D_
2020 12 28 17:13:46 223 9379 9379 com example neosensorytest W  neosensorytes: Accessing hidden method Landroid graphics Insets   of(IIII)Landroid graphics Insets  (light greylist  linking)_x000D_
2020 12 28 17:13:46 261 9379 9436 com example neosensorytest I Adreno: QUALCOMM build                   : 89f10b9  I3d0e3ac366_x000D_
    Build Date                       : 12 25 18_x000D_
    OpenGL ES Shader Compiler Version: EV031 25 14 03_x000D_
    Local Branch                     : _x000D_
    Remote Branch                    : _x000D_
    Remote Branch                    : _x000D_
    Reconstruct Branch               : _x000D_
2020 12 28 17:13:46 261 9379 9436 com example neosensorytest I Adreno: Build Config                     : S P 6 0 9 AArch64_x000D_
2020 12 28 17:13:46 264 9379 9436 com example neosensorytest I Adreno: PFP: 0x016ee177  ME: 0x00000000_x000D_
2020 12 28 17:13:46 270 9379 9436 com example neosensorytest I ConfigStore: android::hardware::configstore::V1 0::ISurfaceFlingerConfigs::hasWideColorDisplay retrieved: 0_x000D_
2020 12 28 17:13:46 270 9379 9436 com example neosensorytest I ConfigStore: android::hardware::configstore::V1 0::ISurfaceFlingerConfigs::hasHDRDisplay retrieved: 0_x000D_
2020 12 28 17:13:46 270 9379 9436 com example neosensorytest I OpenGLRenderer: Initialized EGL  version 1 4_x000D_
2020 12 28 17:13:46 270 9379 9436 com example neosensorytest D OpenGLRenderer: Swap behavior 2_x000D_
2020 12 28 17:13:46 382 9379 9436 com example neosensorytest E LB: fail to open file: No such file or directory_x000D_
2020 12 28 17:13:47 915 9379 9379 com example neosensorytest D BluetoothAdapter: isLeEnabled(): ON_x000D_
2020 12 28 17:13:47 918 9379 9422 com example neosensorytest D BluetoothLeScanner: onScannerRegistered()   status 0 scannerId 11 mScannerId 0_x000D_
2020 12 28 17:13:47 972 9379 9379 com example neosensorytest I NeosensoryBlessed: Found peripheral  BuzzD67BD76E5945 _x000D_
2020 12 28 17:13:47 973 9379 9379 com example neosensorytest D BluetoothAdapter: isLeEnabled(): ON_x000D_
2020 12 28 17:13:48 084 9379 9379 com example neosensorytest D BluetoothGatt: connect()   device: D6:7B:D7:6E:59:45  auto: false_x000D_
2020 12 28 17:13:48 084 9379 9379 com example neosensorytest D BluetoothGatt: registerApp()_x000D_
2020 12 28 17:13:48 084 9379 9379 com example neosensorytest D BluetoothGatt: registerApp()   UUID 622ccf59 74cd 48f9 abd2 84d54bca77a3_x000D_
2020 12 28 17:13:48 088 9379 9422 com example neosensorytest D BluetoothGatt: onClientRegistered()   status 0 clientIf 11_x000D_
2020 12 28 17:13:48 971 9379 9422 com example neosensorytest D BluetoothGatt: onClientConnectionState()   status 0 clientIf 11 device D6:7B:D7:6E:59:45_x000D_
2020 12 28 17:13:48 992 9379 9379 com example neosensorytest D BluetoothGatt: discoverServices()   device: D6:7B:D7:6E:59:45_x000D_
2020 12 28 17:13:49 004 9379 9422 com example neosensorytest D BluetoothGatt: onSearchComplete()   Device D6:7B:D7:6E:59:45 Status 0_x000D_
2020 12 28 17:13:49 009 9379 9379 com example neosensorytest I NeosensoryBlessed: connected to  BuzzD67BD76E5945 _x000D_
2020 12 28 17:13:49 013 9379 9379 com example neosensorytest I NeosensoryBlessed: SUCCESS: CLI ready to accept commands_x000D_
2020 12 28 17:13:49 013 9379 9379 com example neosensorytest D BluetoothGatt: setCharacteristicNotification()   uuid: 6e400003 b5a3 f393 e0a9 e50e24dcca9e enable: true_x000D_
2020 12 28 17:13:53 717 9379 9427 com example neosensorytest I  neosensorytes: ProcessProfilingInfo new methods 1544 is saved saved to disk 1 resolve classes delay 8000_x000D_
2020 12 28 17:14:18 963 9379 9422 com example neosensorytest D BluetoothGatt: onClientConnectionState()   status 22 clientIf 11 device D6:7B:D7:6E:59:45_x000D_
2020 12 28 17:14:18 966 9379 9422 com example neosensorytest D BluetoothGatt: close()_x000D_
2020 12 28 17:14:18 967 9379 9422 com example neosensorytest D BluetoothGatt: unregisterApp()   mClientIf 11_x000D_
_x000D_
   </t>
  </si>
  <si>
    <t>ElderDrivers-EdXposed-773</t>
  </si>
  <si>
    <t>[BUG] Installed, but not active</t>
  </si>
  <si>
    <t xml:space="preserve">Possibly the same as Issue  756  but my logs look different so I opened a new Issue to keep things clear_x000D_
_x000D_
  What happened   _x000D_
Installing for the first time on new device (Galaxy A7 Tablet)  I always get the yellow banner saying    EdXposed Framework is installed  but not active     Then if I load modules they don t work (tried GravityBox  says  system framework not responding )_x000D_
_x000D_
  Xposed Module List  _x000D_
None yet  Just tried GravityBox _x000D_
_x000D_
  Magisk Module List  _x000D_
Riru v23 1_x000D_
Riru Edxposed v 0 5 1 3 4646 debug_x000D_
_x000D_
  Versions  _x000D_
_x000D_
Android: 10_x000D_
_x000D_
Magisk: 20 4 _x000D_
_x000D_
Riru: 23 1_x000D_
_x000D_
EdXposed: 0 5 1 3_x000D_
_x000D_
  Related Logs  _x000D_
_x000D_
   _x000D_
          beginning of head_x000D_
EdXposed Log_x000D_
Powered by Log Catcher_x000D_
QQ support group: 855219808_x000D_
Telegram support group:  Code Of MeowCat_x000D_
Telegram channel:  EdXposed_x000D_
          beginning of information_x000D_
Manufacturer: samsung_x000D_
Brand: samsung_x000D_
Device: gta4lwifi_x000D_
Product: gta4lwifi_x000D_
Model: SM T500_x000D_
Fingerprint: samsung gta4lwifieea gta4lwifi:10 QP1A 190711 020 T500XXS2ATL1:user release keys_x000D_
ROM description: gta4lwifixx user 10 QP1A 190711 020 T500XXS2ATL1 release keys_x000D_
Architecture: arm64 v8a_x000D_
Android build: QP1A 190711 020_x000D_
Android version: 10_x000D_
Android sdk: 29_x000D_
EdXposed version: v0 5 1 3 4646 master (SandHook)_x000D_
EdXposed api: 93_x000D_
Riru version: v23 1 (51)_x000D_
Riru api: 10_x000D_
Magisk: 20 4 (20400)_x000D_
          beginning of main_x000D_
          beginning of system_x000D_
05 17 06:13:47 882   736   736 F art apex: Device is not fsverity enabled _x000D_
12 28 09:34:49 569   745   745 I EdXposed: onModuleLoaded: welcome to EdXposed _x000D_
12 28 09:34:49 571   745   745 I EdXposed: Got base config path:  data misc edxp c3iVDHnOYSV2gZ9B_x000D_
12 28 09:34:49 585   746   746 I EdXposed: onModuleLoaded: welcome to EdXposed _x000D_
12 28 09:34:49 588   746   746 I EdXposed: Got base config path:  data misc edxp c3iVDHnOYSV2gZ9B_x000D_
12 28 09:34:51 400   745   745 W EdXposed: installer not set  using default one org meowcat edxposed manager_x000D_
12 28 09:34:51 400   745   745 E EdXposed: Cannot access path  data misc edxp c3iVDHnOYSV2gZ9B 0 conf modules list_x000D_
12 28 09:34:51 400   745   745 I EdXposed: base config path:  data misc edxp c3iVDHnOYSV2gZ9B 0_x000D_
12 28 09:34:51 400   745   745 I EdXposed:   using installer package name: org meowcat edxposed manager_x000D_
12 28 09:34:51 400   745   745 I EdXposed:   using whitelist: false_x000D_
12 28 09:34:51 400   745   745 I EdXposed:   deopt boot image: false_x000D_
12 28 09:34:51 400   745   745 I EdXposed:   no module log: false_x000D_
12 28 09:34:51 400   745   745 I EdXposed:   resources hook: false_x000D_
12 28 09:34:51 402   745   745 I EdXposed:   white list: _x000D_
12 28 09:34:51 402   745   745 I EdXposed:  _x000D_
12 28 09:34:51 402   745   745 I EdXposed:   black list: _x000D_
12 28 09:34:51 402   745   745 I EdXposed:  _x000D_
12 28 09:34:51 402   745   745 I EdXposed:   module list: _x000D_
12 28 09:34:51 402   745   745 I EdXposed:  _x000D_
12 28 09:34:51 402   745   745 D EdXposed: skip injecting into android because no module hooks it_x000D_
12 28 09:34:51 605  1449  1449 I EdXposed: Loaded  data misc edxp c3iVDHnOYSV2gZ9B framework edservice dex with size 362848_x000D_
12 28 09:34:51 626  1449  1449 W EdXposed: Installed EdXposed Service_x000D_
12 28 09:34:59 936   745   745 D EdXposed: using blacklist  com android phone    true_x000D_
12 28 09:34:59 936   745   745 D EdXposed: skip injecting xposed into com android phone because no module hooks it_x000D_
12 28 09:34:59 968  2111  2111 D EdXposed: skipped com android phone_x000D_
12 28 09:35:00 396   745   745 D EdXposed: using blacklist  com android systemui    true_x000D_
12 28 09:35:00 396   745   745 D EdXposed: skip injecting xposed into com android systemui because no module hooks it_x000D_
12 28 09:35:00 429  2149  2149 D EdXposed: skipped com android systemui_x000D_
12 28 09:35:00 524   746   746 W EdXposed: installer not set  using default one org meowcat edxposed manager_x000D_
12 28 09:35:00 524   746   746 E EdXposed: Cannot access path  data misc edxp c3iVDHnOYSV2gZ9B 0 conf modules list_x000D_
12 28 09:35:00 524   746   746 I EdXposed: base config path:  data misc edxp c3iVDHnOYSV2gZ9B 0_x000D_
12 28 09:35:00 524   746   746 I EdXposed:   using installer package name: org meowcat edxposed manager_x000D_
12 28 09:35:00 524   746   746 I EdXposed:   using whitelist: false_x000D_
12 28 09:35:00 524   746   746 I EdXposed:   deopt boot image: false_x000D_
12 28 09:35:00 524   746   746 I EdXposed:   no module log: false_x000D_
12 28 09:35:00 524   746   746 I EdXposed:   resources hook: false_x000D_
12 28 09:35:00 525   746   746 I EdXposed:   white list: _x000D_
12 28 09:35:00 525   746   746 I EdXposed:  _x000D_
12 28 09:35:00 525   746   746 I EdXposed:   black list: _x000D_
12 28 09:35:00 525   746   746 I EdXposed:  _x000D_
12 28 09:35:00 525   746   746 I EdXposed:   module list: _x000D_
12 28 09:35:00 525   746   746 I EdXposed:  _x000D_
12 28 09:35:00 525   746   746 D EdXposed: skip injecting into WebViewLoader armeabi v7a because it has no data dir_x000D_
12 28 09:35:00 566   745   745 D EdXposed: skip injecting into WebViewLoader arm64 v8a because it has no data dir_x000D_
12 28 09:35:00 572  2179  2179 D EdXposed: skipped WebViewLoader armeabi v7a_x000D_
12 28 09:35:00 586   745   745 D EdXposed: using blacklist  com samsung android themecenter    true_x000D_
12 28 09:35:00 586   745   745 D EdXposed: skip injecting xposed into com samsung android themecenter because no module hooks it_x000D_
12 28 09:35:00 620  2200  2200 D EdXposed: skipped WebViewLoader arm64 v8a_x000D_
12 28 09:35:00 659  2219  2219 D EdXposed: skipped com samsung android themecenter_x000D_
12 28 09:35:00 774   746   746 D EdXposed: skip injecting into webview zygote because it has no data dir_x000D_
12 28 09:35:00 787   745   745 D EdXposed: using blacklist  com google android gms    true_x000D_
12 28 09:35:00 788   745   745 D EdXposed: skip injecting xposed into com google android gms because no module hooks it_x000D_
12 28 09:35:00 811  2275  2275 D EdXposed: skipped webview zygote_x000D_
12 28 09:35:00 835  2282  2282 D EdXposed: skipped com google android gms persistent_x000D_
12 28 09:35:00 881   745   745 D EdXposed: using blacklist  com sec android emergencymode service    true_x000D_
12 28 09:35:00 882   745   745 D EdXposed: skip injecting xposed into com sec android emergencymode service because no module hooks it_x000D_
12 28 09:35:00 954   745   745 D EdXposed: using blacklist  com google android permissioncontroller    true_x000D_
12 28 09:35:00 954   745   745 D EdXposed: skip injecting xposed into com google android permissioncontroller because no module hooks it_x000D_
12 28 09:35:00 978  2313  2313 D EdXposed: skipped com sec android emergencymode service_x000D_
12 28 09:35:01 013  2327  2327 D EdXposed: skipped com google android permissioncontroller_x000D_
12 28 09:35:01 159   745   745 D EdXposed: using blacklist  com sec android provider emergencymode    true_x000D_
12 28 09:35:01 159   745   745 D EdXposed: skip injecting xposed into com sec android provider emergencymode because no module hooks it_x000D_
12 28 09:35:01 206  2380  2380 D EdXposed: skipped com sec android provider emergencymode_x000D_
12 28 09:35:01 244   745   745 D EdXposed: using blacklist  com samsung android providers carrier    true_x000D_
12 28 09:35:01 244   745   745 D EdXposed: skip injecting xposed into com samsung android providers carrier because no module hooks it_x000D_
12 28 09:35:01 285  2403  2403 D EdXposed: skipped com samsung android providers carrier_x000D_
12 28 09:35:01 317   745   745 D EdXposed: using blacklist  vendor qti hardware cacert server    true_x000D_
12 28 09:35:01 317   745   745 D EdXposed: skip injecting xposed into vendor qti hardware cacert server because no module hooks it_x000D_
12 28 09:35:01 357  2429  2429 D EdXposed: skipped  qtidataservices_x000D_
12 28 09:35:01 529   745   745 D EdXposed: using blacklist  com sec sve    true_x000D_
12 28 09:35:01 529   745   745 D EdXposed: skip injecting xposed into com sec sve because no module hooks it_x000D_
12 28 09:35:01 583  2464  2464 D EdXposed: skipped com sec sve_x000D_
12 28 09:35:01 584   745   745 D EdXposed: using blacklist  com sec imsservice    true_x000D_
12 28 09:35:01 584   745   745 D EdXposed: skip injecting xposed into com sec imsservice because no module hooks it_x000D_
12 28 09:35:01 604  1449  1449 I EdXposed: registered package receiver_x000D_
12 28 09:35:01 627   745   745 D EdXposed: using blacklist  com android se    true_x000D_
12 28 09:35:01 627   745   745 D EdXposed: skip injecting xposed into com android se because no module hooks it_x000D_
12 28 09:35:01 663  2485  2485 D EdXposed: skipped com sec imsservice_x000D_
12 28 09:35:01 706  2499  2499 D EdXposed: skipped com android se_x000D_
12 28 09:35:01 715   745   745 D EdXposed: using blacklist  com android settings    true_x000D_
12 28 09:35:01 716   745   745 D EdXposed: skip injecting xposed into com android settings because no module hooks it_x000D_
12 28 09:35:01 789  2536  2536 D EdXposed: skipped com android settings_x000D_
12 28 09:35:01 930   745   745 D EdXposed: using blacklist  com sec android app launcher    true_x000D_
12 28 09:35:01 930   745   745 D EdXposed: skip injecting xposed into com sec android app launcher because no module hooks it_x000D_
12 28 09:35:02 011  2587  2587 D EdXposed: skipped com sec android app launcher_x000D_
12 28 09:35:02 040   745   745 D EdXposed: using blacklist  com google android gms    true_x000D_
12 28 09:35:02 040   745   745 D EdXposed: skip injecting xposed into com google android gms because no module hooks it_x000D_
12 28 09:35:02 108  2614  2614 D EdXposed: skipped com google android gms_x000D_
12 28 09:35:02 478   745   745 D EdXposed: using blacklist  com google android ext services    true_x000D_
12 28 09:35:02 479   745   745 D EdXposed: skip injecting xposed into com google android ext services because no module hooks it_x000D_
12 28 09:35:02 537  2698  2698 D EdXposed: skipped com google android ext services_x000D_
12 28 09:35:02 805   745   745 D EdXposed: using blacklist  com samsung android app clockpack    true_x000D_
12 28 09:35:02 805   745   745 D EdXposed: skip injecting xposed into com samsung android app clockpack because no module hooks it_x000D_
12 28 09:35:02 851  2744  2744 D EdXposed: skipped com samsung android app clockpack:provider_x000D_
12 28 09:35:05 230   745   745 D EdXposed: using blacklist  com android bluetooth    true_x000D_
12 28 09:35:05 230   745   745 D EdXposed: skip injecting xposed into com android bluetooth because no module hooks it_x000D_
12 28 09:35:05 299  2839  2839 D EdXposed: skipped com android bluetooth_x000D_
12 28 09:35:05 387   745   745 D EdXposed: using blacklist  com samsung android app telephonyui    true_x000D_
12 28 09:35:05 387   745   745 D EdXposed: skip injecting xposed into com samsung android app telephonyui because no module hooks it_x000D_
12 28 09:35:05 465  2910  2910 D EdXposed: skipped com samsung android app telephonyui_x000D_
12 28 09:35:05 637   745   745 D EdXposed: using blacklist  com android settings    true_x000D_
12 28 09:35:05 637   745   745 D EdXposed: skip injecting xposed into com android settings because no module hooks it_x000D_
12 28 09:35:05 694  2964  2964 D EdXposed: skipped com android settings:QuickSettingsTile_x000D_
12 28 09:35:05 768   745   745 D EdXposed: using blacklist  com samsung android mdecservice    true_x000D_
12 28 09:35:05 768   745   745 D EdXposed: skip injecting xposed into com samsung android mdecservice because no module hooks it_x000D_
12 28 09:35:05 832  3006  3006 D EdXposed: skipped com samsung android mdecservice:QuickSettingsTile_x000D_
12 28 09:35:06 006   745   745 D EdXposed: using blacklist  com samsung android mdecservice    true_x000D_
12 28 09:35:06 006   745   745 D EdXposed: skip injecting xposed into com samsung android mdecservice because no module hooks it_x000D_
12 28 09:35:06 075  3060  3060 D EdXposed: skipped com samsung android mdecservice_x000D_
12 28 09:35:06 300   745   745 D EdXposed: using blacklist  com samsung accessibility    true_x000D_
12 28 09:35:06 300   745   745 D EdXposed: skip injecting xposed into com samsung accessibility because no module hooks it_x000D_
12 28 09:35:06 360  3090  3090 D EdXposed: skipped com samsung accessibility_x000D_
12 28 09:35:06 579   745   745 D EdXposed: using blacklist  com google android googlequicksearchbox    true_x000D_
12 28 09:35:06 579   745   745 D EdXposed: skip injecting xposed into com google android googlequicksearchbox because no module hooks it_x000D_
12 28 09:35:06 622  3135  3135 D EdXposed: skipped com google android googlequicksearchbox:interactor_x000D_
12 28 09:35:06 808   745   745 D EdXposed: using blacklist  com qualcomm qti services systemhelper    true_x000D_
12 28 09:35:06 808   745   745 D EdXposed: skip injecting xposed into com qualcomm qti services systemhelper because no module hooks it_x000D_
12 28 09:35:06 849   745   745 D EdXposed: using blacklist  com wt wtsarmanager    true_x000D_
12 28 09:35:06 849   745   745 D EdXposed: skip injecting xposed into com wt wtsarmanager because no module hooks it_x000D_
12 28 09:35:06 919  3164  3164 D EdXposed: skipped com qualcomm qti services systemhelper:systemhelper service_x000D_
12 28 09:35:06 929   745   745 D EdXposed: using blacklist  com sec android diagmonagent    true_x000D_
12 28 09:35:06 929   745   745 D EdXposed: skip injecting xposed into com sec android diagmonagent because no module hooks it_x000D_
12 28 09:35:06 958  3189  3189 D EdXposed: skipped com wt wtsarmanager_x000D_
12 28 09:35:06 973  3235  3235 D EdXposed: skipped com sec android diagmonagent_x000D_
12 28 09:35:07 052   745   745 D EdXposed: using blacklist  com sec android sdhms    true_x000D_
12 28 09:35:07 052   745   745 D EdXposed: skip injecting xposed into com sec android sdhms because no module hooks it_x000D_
12 28 09:35:07 088   745   745 D EdXposed: using blacklist  com qualcomm qti services secureui    true_x000D_
12 28 09:35:07 088   745   745 D EdXposed: skip injecting xposed into com qualcomm qti services secureui because no module hooks it_x000D_
12 28 09:35:07 106  3270  3270 D EdXposed: skipped com sec android sdhms_x000D_
12 28 09:35:07 126  3287  3287 D EdXposed: skipped com qualcomm qti services secureui:sui service_x000D_
12 28 09:35:07 152   745   745 D EdXposed: using blacklist  com sec android app soundalive    true_x000D_
12 28 09:35:07 152   745   745 D EdXposed: skip injecting xposed into com sec android app soundalive because no module hooks it_x000D_
12 28 09:35:07 174   745   745 D EdXposed: using blacklist  com google android gsf    true_x000D_
12 28 09:35:07 174   745   745 D EdXposed: skip injecting xposed into com google android gsf because no module hooks it_x000D_
12 28 09:35:07 224   745   745 D EdXposed: using blacklist  com samsung android lool    true_x000D_
12 28 09:35:07 224   745   745 D EdXposed: skip injecting xposed into com samsung android lool because no module hooks it_x000D_
12 28 09:35:07 226  3317  3317 D EdXposed: skipped com sec android app soundalive_x000D_
12 28 09:35:07 250   745   745 D EdXposed: using blacklist  com samsung android smartmirroring    true_x000D_
12 28 09:35:07 250   745   745 D EdXposed: skip injecting xposed into com samsung android smartmirroring because no module hooks it_x000D_
12 28 09:35:07 250  3326  3326 D EdXposed: skipped com google process gservices_x000D_
12 28 09:35:07 285   745   745 D EdXposed: using blacklist  com teslacoilsw launcher    true_x000D_
12 28 09:35:07 285   745   745 D EdXposed: skip injecting xposed into com teslacoilsw launcher because no module hooks it_x000D_
12 28 09:35:07 302  3349  3349 D EdXposed: skipped com samsung android lool_x000D_
12 28 09:35:07 344  3401  3401 D EdXposed: skipped com teslacoilsw launcher_x000D_
12 28 09:35:07 359   745   745 D EdXposed: using blacklist  com samsung android sm policy    true_x000D_
12 28 09:35:07 359   745   745 D EdXposed: skip injecting xposed into com samsung android sm policy because no module hooks it_x000D_
12 28 09:35:07 361  3376  3376 D EdXposed: skipped com samsung android smartmirroring_x000D_
12 28 09:35:07 427   745   745 D EdXposed: using blacklist  com samsung android app sharelive    true_x000D_
12 28 09:35:07 427   745   745 D EdXposed: skip injecting xposed into com samsung android app sharelive because no module hooks it_x000D_
12 28 09:35:07 441  3436  3436 D EdXposed: skipped com samsung android sm policy_x000D_
12 28 09:35:07 465   745   745 D EdXposed: using blacklist  com sec android app camera    true_x000D_
12 28 09:35:07 465   745   745 D EdXposed: skip injecting xposed into com sec android app camera because no module hooks it_x000D_
12 28 09:35:07 511  3460  3460 D EdXposed: skipped com samsung android app sharelive_x000D_
12 28 09:35:07 597  3483  3483 D EdXposed: skipped com sec android app camera_x000D_
12 28 09:35:07 608   745   745 D EdXposed: using blacklist  com samsung android forest    true_x000D_
12 28 09:35:07 608   745   745 D EdXposed: skip injecting xposed into com samsung android forest because no module hooks it_x000D_
12 28 09:35:08 763  3528  3528 D EdXposed: skipped com samsung android forest_x000D_
12 28 09:35:08 780   745   745 D EdXposed: using blacklist  com google android apps photos    true_x000D_
12 28 09:35:08 781   745   745 D EdXposed: skip injecting xposed into com google android apps photos because no module hooks it_x000D_
12 28 09:35:08 850  3578  3578 D EdXposed: skipped com google android apps photos_x000D_
12 28 09:35:08 894   745   745 D EdXposed: using blacklist  com samsung android kidsinstaller    true_x000D_
12 28 09:35:08 894   745   745 D EdXposed: skip injecting xposed into com samsung android kidsinstaller because no module hooks it_x000D_
12 28 09:35:08 953   745   745 D EdXposed: using blacklist  com sec android daemonapp    true_x000D_
12 28 09:35:08 954   745   745 D EdXposed: skip injecting xposed into com sec android daemonapp because no module hooks it_x000D_
12 28 09:35:08 954  3606  3606 D EdXposed: skipped com samsung android kidsinstaller_x000D_
12 28 09:35:09 052   745   745 D EdXposed: using blacklist  com amaze filemanager    true_x000D_
12 28 09:35:09 052   745   745 D EdXposed: skip injecting xposed into com amaze filemanager because no module hooks it_x000D_
12 28 09:35:09 069  3642  3642 D EdXposed: skipped com sec android daemonapp_x000D_
12 28 09:35:09 175   745   745 D EdXposed: using blacklist  com android providers calendar    true_x000D_
12 28 09:35:09 175   745   745 D EdXposed: skip injecting xposed into com android providers calendar because no module hooks it_x000D_
12 28 09:35:09 188  3681  3681 D EdXposed: skipped com amaze filemanager_x000D_
12 28 09:35:09 258  3707  3707 D EdXposed: skipped com android providers calendar_x000D_
12 28 09:35:09 443   745   745 D EdXposed: using blacklist  com samsung android dynamiclock    true_x000D_
12 28 09:35:09 443   745   745 D EdXposed: skip injecting xposed into com samsung android dynamiclock because no module hooks it_x000D_
12 28 09:35:09 531  3771  3771 D EdXposed: skipped com samsung android dynamiclock_x000D_
12 28 09:35:09 745   745   745 D EdXposed: using blacklist  com android localtransport    true_x000D_
12 28 09:35:09 745   745   745 D EdXposed: skip injecting xposed into com android localtransport because no module hooks it_x000D_
12 28 09:35:09 841  3813  3813 D EdXposed: skipped com android localtransport_x000D_
12 28 09:35:10 272   745   745 D EdXposed: using blacklist  com google android googlequicksearchbox    true_x000D_
12 28 09:35:10 272   745   745 D EdXposed: skip injecting xposed into com google android googlequicksearchbox because no module hooks it_x000D_
12 28 09:35:10 332   745   745 D EdXposed: using blacklist  com android printspooler    true_x000D_
12 28 09:35:10 332   745   745 D EdXposed: skip injecting xposed into com android printspooler because no module hooks it_x000D_
12 28 09:35:10 347  3908  3908 D EdXposed: skipped com google android googlequicksearchbox:search_x000D_
12 28 09:35:10 357   745   745 D EdXposed: using blacklist  com samsung android lool    true_x000D_
12 28 09:35:10 357   745   745 D EdXposed: skip injecting xposed into com samsung android lool because no module hooks it_x000D_
12 28 09:35:10 408  3922  3922 D EdXposed: skipped com android printspooler_x000D_
12 28 09:35:10 434   745   745 D EdXposed: using blacklist  com google android projection gearhead    true_x000D_
12 28 09:35:10 434   745   745 D EdXposed: skip injecting xposed into com google android projection gearhead because no module hooks it_x000D_
12 28 09:35:10 477  3946  3946 D EdXposed: skipped com samsung android sm provider_x000D_
12 28 09:35:10 504  3967  3967 D EdXposed: skipped com google android projection gearhead:shared_x000D_
12 28 09:35:10 857   745   745 D EdXposed: using blacklist  com google android inputmethod latin    true_x000D_
12 28 09:35:10 857   745   745 D EdXposed: skip injecting xposed into com google android inputmethod latin because no module hooks it_x000D_
12 28 09:35:10 942  4014  4014 D EdXposed: skipped com google android inputmethod latin_x000D_
12 28 09:35:11 650   745   745 D EdXposed: using blacklist  com samsung android app telephonyui    true_x000D_
12 28 09:35:11 650   745   745 D EdXposed: skip injecting xposed into com samsung android app telephonyui because no module hooks it_x000D_
12 28 09:35:11 725  4114  4114 D EdXposed: skipped com samsung android app telephonyui_x000D_
12 28 09:35:11 752   745   745 D EdXposed: using blacklist  com android keychain    true_x000D_
12 28 09:35:11 752   745   745 D EdXposed: skip injecting xposed into com android keychain because no module hooks it_x000D_
12 28 09:35:11 829  4145  4145 D EdXposed: skipped com android keychain_x000D_
12 28 09:35:11 977   745   745 D EdXposed: using blacklist  com samsung android game gos    true_x000D_
12 28 09:35:11 977   745   745 D EdXposed: skip injecting xposed into com samsung android game gos because no module hooks it_x000D_
12 28 09:35:12 086  4191  4191 D EdXposed: skipped com samsung android game gos_x000D_
12 28 09:35:12 346   745   745 D EdXposed: using blacklist  com topjohnwu magisk    true_x000D_
12 28 09:35:12 346   745   745 D EdXposed: skip injecting xposed into com topjohnwu magisk because no module hooks it_x000D_
12 28 09:35:12 422   745   745 D EdXposed: using blacklist  com samsung android calendar    true_x000D_
12 28 09:35:12 422   745   745 D EdXposed: skip injecting xposed into com samsung android calendar because no module hooks it_x000D_
12 28 09:35:12 427  4260  4260 D EdXposed: skipped com topjohnwu magisk_x000D_
12 28 09:35:12 496   745   745 D EdXposed: using blacklist  com google android gsf    true_x000D_
12 28 09:35:12 496   745   745 D EdXposed: skip injecting xposed into com google android gsf because no module hooks it_x000D_
12 28 09:35:12 503  4281  4281 D EdXposed: skipped com samsung android calendar_x000D_
12 28 09:35:12 624  4314  4314 D EdXposed: skipped com google process gapps_x000D_
12 28 09:35:13 176   745   745 D EdXposed: using blacklist  com android providers calendar    true_x000D_
12 28 09:35:13 177   745   745 D EdXposed: skip injecting xposed into com android providers calendar because no module hooks it_x000D_
12 28 09:35:13 236  4436  4436 D EdXposed: skipped com android providers calendar_x000D_
12 28 09:35:13 282   745   745 D EdXposed: using blacklist  com sec timezone    true_x000D_
12 28 09:35:13 282   745   745 D EdXposed: skip injecting xposed into com sec timezone because no module hooks it_x000D_
12 28 09:35:13 359  4474  4474 D EdXposed: skipped com sec timezone_x000D_
12 28 09:35:13 415   745   745 D EdXposed: using blacklist  com samsung android cidmanager    true_x000D_
12 28 09:35:13 415   745   745 D EdXposed: skip injecting xposed into com samsung android cidmanager because no module hooks it_x000D_
12 28 09:35:13 475   745   745 D EdXposed: using blacklist  com sec android daemonapp    true_x000D_
12 28 09:35:13 475   745   745 D EdXposed: skip injecting xposed into com sec android daemonapp because no module hooks it_x000D_
12 28 09:35:13 513  4522  4522 D EdXposed: skipped com samsung android cidmanager_x000D_
12 28 09:35:13 575  4550  4550 D EdXposed: skipped com sec android daemonapp_x000D_
12 28 09:35:13 782   745   745 D EdXposed: using blacklist  com samsung android fmm    true_x000D_
12 28 09:35:13 782   745   745 D EdXposed: skip injecting xposed into com samsung android fmm because no module hooks it_x000D_
12 28 09:35:13 837  4616  4616 D EdXposed: skipped com samsung android fmm_x000D_
12 28 09:35:14 406   745   745 D EdXposed: using blacklist  com samsung android knox containercore    true_x000D_
12 28 09:35:14 406   745   745 D EdXposed: skip injecting xposed into com samsung android knox containercore because no module hooks it_x000D_
12 28 09:35:14 481  4720  4720 D EdXposed: skipped com samsung android knox containercore_x000D_
12 28 09:35:14 533   745   745 D EdXposed: using blacklist  com android providers userdictionary    true_x000D_
12 28 09:35:14 533   745   745 D EdXposed: skip injecting xposed into com android providers userdictionary because no module hooks it_x000D_
12 28 09:35:14 636  4754  4754 D EdXposed: skipped android process acore_x000D_
12 28 09:35:14 761   745   745 D EdXposed: using blacklist  net dinglisch android taskerm    true_x000D_
12 28 09:35:14 761   745   745 D EdXposed: skip injecting xposed into net dinglisch android taskerm because no module hooks it_x000D_
12 28 09:35:14 848  4799  4799 D EdXposed: skipped net dinglisch android taskerm_x000D_
12 28 09:35:14 964   745   745 D EdXposed: using blacklist  com samsung android messaging    true_x000D_
12 28 09:35:14 964   745   745 D EdXposed: skip injecting xposed into com samsung android messaging because no module hooks it_x000D_
12 28 09:35:15 054  4832  4832 D EdXposed: skipped com samsung android messaging_x000D_
12 28 09:35:16 339   745   745 D EdXposed: using blacklist  com sec android app clockpackage    true_x000D_
12 28 09:35:16 339   745   745 D EdXposed: skip injecting xposed into com sec android app clockpackage because no module hooks it_x000D_
12 28 09:35:16 371  4997  4997 D EdXposed: skipped com sec android app clockpackage_x000D_
12 28 09:35:16 885   745   745 D EdXposed: using blacklist  com sec spp push    true_x000D_
12 28 09:35:16 885   745   745 D EdXposed: skip injecting xposed into com sec spp push because no module hooks it_x000D_
12 28 09:35:16 917  5054  5054 D EdXposed: skipped com sec spp push_x000D_
12 28 09:35:17 148   745   745 D EdXposed: using blacklist  com ceco q gravitybox    true_x000D_
12 28 09:35:17 148   745   745 D EdXposed: skip injecting xposed into com ceco q gravitybox because no module hooks it_x000D_
12 28 09:35:17 179  5092  5092 D EdXposed: skipped com ceco q gravitybox_x000D_
12 28 09:35:17 290   745   745 D EdXposed: using blacklist  com android providers downloads    true_x000D_
12 28 09:35:17 290   745   745 D EdXposed: skip injecting xposed into com android providers downloads because no module hooks it_x000D_
12 28 09:35:17 317  5125  5125 D EdXposed: skipped android process media_x000D_
12 28 09:35:17 699   746   746 D EdXposed: using blacklist  com microsoft skydrive    true_x000D_
12 28 09:35:17 700   746   746 D EdXposed: skip injecting xposed into com microsoft skydrive because no module hooks it_x000D_
12 28 09:35:17 851  5154  5154 D EdXposed: skipped com microsoft skydrive_x000D_
12 28 09:35:20 176   745   745 I EdXposed: Loaded  data misc edxp c3iVDHnOYSV2gZ9B framework edxp dex with size 509948_x000D_
12 28 09:35:20 372   745   745 I EdXposed: Loaded  data misc edxp c3iVDHnOYSV2gZ9B framework eddalvikdx dex with size 894024_x000D_
12 28 09:35:20 391   745   745 I EdXposed: Loaded  data misc edxp c3iVDHnOYSV2gZ9B framework eddexmaker dex with size 79332_x000D_
12 28 09:35:20 433  5250  5250 I EdXposed: Start to install inline hooks_x000D_
12 28 09:35:20 433  5250  5250 I EdXposed: Using api level 29_x000D_
12 28 09:35:20 433  5250  5250 I EdXposed: Start to install Riru hook_x000D_
12 28 09:35:20 627  5250  5250 I EdXposed: Riru hooks installed_x000D_
12 28 09:35:20 666  5250  5250 D EdXposed:  ZN3art7Runtime9instance E   0x75fe072600_x000D_
12 28 09:35:20 666  5250  5250 D EdXposed: art::runtime::Heap object: 0x75fe072c00_x000D_
12 28 09:35:20 666  5250  5250 D EdXposed: art method hook setup  handle 0x75fe3cae60_x000D_
12 28 09:35:20 666  5250  5250 D EdXposed: Classlinker hook setup  handle 0x75fe3cae60_x000D_
12 28 09:35:20 666  5250  5250 D EdXposed: Classlinker object: 0x75fe112440_x000D_
12 28 09:35:20 667  5250  5250 I EdXposed: ART hooks installed_x000D_
12 28 09:35:20 690  5250  5250 I EdXposed: init to SDK 29_x000D_
12 28 09:35:20 700  5250  5250 D EdXposed: not using yahfa_x000D_
12 28 09:35:20 706  5250  5250 D EdXposed: Done prepare_x000D_
12 28 09:35:20 740  5250  5250 I EdXposed: HookMain: getArtMethod: 0x70e00410_x000D_
12 28 09:35:20 740  5250  5250 D EdXposed: deoptimizing method: 0x70e00410_x000D_
12 28 09:35:20 740  5250  5250 D EdXposed: SetEntryPointsToInterpreter start  thiz 0x75fe112440  art method 0x70e00410_x000D_
12 28 09:35:20 740  5250  5250 D EdXposed: method deoptimized: 0x70e00410_x000D_
12 28 09:35:20 741  5250  5250 D EdXposed: startBootstrapHook starts: isSystem   false_x000D_
12 28 09:35:20 743  5250  5250 I EdXposed: HookMain: getArtMethod: 0x70e86a58_x000D_
12 28 09:35:20 743  5250  5250 I EdXposed: HookMain: getArtMethod: 0x70e86a58_x000D_
12 28 09:35:20 760   745   745 D EdXposed: using blacklist  com samsung cmh    true_x000D_
12 28 09:35:20 761   745   745 D EdXposed: skip injecting xposed into com samsung cmh because no module hooks it_x000D_
12 28 09:35:20 801  5276  5276 D EdXposed: skipped com samsung cmh:CMH_x000D_
12 28 09:35:20 835  5250  5250 I EdXposed: HookMain: getArtMethod: 0x70c89a20_x000D_
12 28 09:35:20 835  5250  5250 I EdXposed: HookMain: getArtMethod: 0x70c89a20_x000D_
12 28 09:35:20 852  5250  5250 I EdXposed: Loading modules for org meowcat edxposed manager_x000D_
12 28 09:35:20 852  5250  5250 D EdXposed: module list: _x000D_
12 28 09:35:20 852  5250  5250 D EdXposed: injected xposed into org meowcat edxposed manager_x000D_
12 28 09:35:20 877  5250  5250 D EdXposed: ActivityThread handleBindApplication() starts: pkg android  prc android_x000D_
12 28 09:35:20 877  5250  5250 D EdXposed: processName org meowcat edxposed manager  packageName org meowcat edxposed manager  appDataDir  data user 0 org meowcat edxposed manager_x000D_
12 28 09:35:20 877  5250  5250 D EdXposed: LoadedApk  init  starts: pkg org meowcat edxposed manager  prc org meowcat edxposed manager_x000D_
12 28 09:35:20 878  5250  5250 D EdXposed: LoadedApk  init  ends:  data app org meowcat edxposed manager  6 p482ljkrMDHVgXKpyvQ   base apk: pkg org meowcat edxposed manager  prc org meowcat edxposed manager_x000D_
12 28 09:35:20 883  5250  5250 D EdXposed: LoadedApk  init  has been loaded before  skip:  data app org meowcat edxposed manager  6 p482ljkrMDHVgXKpyvQ   base apk: pkg org meowcat edxposed manager  prc org meowcat edxposed manager_x000D_
12 28 09:35:20 893  5250  5250 I EdXposed: HookMain: getArtMethod: 0x70c89ef8_x000D_
12 28 09:35:20 893  5250  5250 I EdXposed: HookMain: getArtMethod: 0x70c89ef8_x000D_
12 28 09:35:20 933  5250  5250 D EdXposed: LoadedApk getClassLoader starts: pkg org meowcat edxposed manager  prc org meowcat edxposed manager_x000D_
12 28 09:35:20 933  5250  5250 D EdXposed: LoadedApk getClassLoader ends:  data app org meowcat edxposed manager  6 p482ljkrMDHVgXKpyvQ   base apk    dalvik system PathClassLoader DexPathList  zip file   data app org meowcat edxposed manager  6 p482ljkrMDHVgXKpyvQ   base apk   nativeLibraryDirectories   data app org meowcat edxposed manager  6 p482ljkrMDHVgXKpyvQ   lib arm64   system lib64   product lib64   : pkg org meowcat edxposed manager  prc org meowcat edxposed manager_x000D_
12 28 09:35:20 935  5250  5250 D EdXposed: record pending: 0x9e886560 (Lde robv android xposed installer XposedApp )_x000D_
12 28 09:35:20 935  5250  5250 I EdXposed: HookMain: getArtMethod: 0x9e95f410_x000D_
12 28 09:35:20 935  5250  5250 I EdXposed: HookMain: getArtMethod: 0x9e95f410_x000D_
12 28 09:35:20 947  5250  5250 I EdXposed: HookMain: getArtMethod: 0x9e971ba8_x000D_
12 28 09:35:20 947  5250  5250 I EdXposed: HookMain: getArtMethod: 0x9e971ba8_x000D_
12 28 09:35:20 958  5250  5250 I EdXposed: HookMain: getArtMethod: 0x9e983b98_x000D_
12 28 09:35:20 958  5250  5250 I EdXposed: HookMain: getArtMethod: 0x9e983b98_x000D_
12 28 09:35:20 972  5250  5250 I EdXposed: HookMain: getArtMethod: 0x9e964270_x000D_
12 28 09:35:20 972  5250  5250 I EdXposed: HookMain: getArtMethod: 0x9e964270_x000D_
12 28 09:35:20 984  5250  5250 D EdXposed: Pending hook for 0x9e886560 (Lde robv android xposed installer XposedApp )_x000D_
12 28 09:35:20 985  5250  5250 I EdXposed: HookMain: getArtMethod: 0x9e95f398_x000D_
12 28 09:35:20 985  5250  5250 I EdXposed: HookMain: getArtMethod: 0x9e95f398_x000D_
12 28 09:35:20 998  5250  5250 I EdXposed: HookMain: getArtMethod: 0x9e9644f0_x000D_
12 28 09:35:20 998  5250  5250 D EdXposed: deoptimizing method: 0x9e9644f0_x000D_
12 28 09:35:20 998  5250  5250 D EdXposed: SetEntryPointsToInterpreter start  thiz 0x75fe112440  art method 0x9e9644f0_x000D_
12 28 09:35:20 998  5250  5250 D EdXposed: method deoptimized: 0x9e9644f0_x000D_
12 28 09:35:21 023  5250  5250 D EdXposed: before reloadXposedProp   _x000D_
12 28 09:35:21 035  5250  5250 D EdXposed: reloadXposedProp done   _x000D_
12 28 09:35:21 045  5250  5250 I EdXposedManager: EdXposedManager   45700   4 5 7_x000D_
12 28 09:35:21 143  5250  5250 D EdXposedManager: EdXposed is not active_x000D_
12 28 09:35:21 144  5250  5250 D EdXposedManager: EdXposed is not active_x000D_
12 28 09:35:21 145  5250  5250 D EdXposedManager: ApplicationList: Force add modules to list_x000D_
12 28 09:35:21 355   745   745 D EdXposed: using blacklist  com sec android app DataCreate    true_x000D_
12 28 09:35:21 355   745   745 D EdXposed: skip injecting xposed into com sec android app DataCreate because no module hooks it_x000D_
12 28 09:35:21 474  5353  5353 D EdXposed: skipped com android phone_x000D_
12 28 09:35:21 550  5250  5250 D EdXposedManager: EdXposed is not active_x000D_
12 28 09:35:21 669   745   745 D EdXposed: using blacklist  com sec android gallery3d    true_x000D_
12 28 09:35:21 669   745   </t>
  </si>
  <si>
    <t>Anuken-Mindustry-4151</t>
  </si>
  <si>
    <t>crash: bigInteger would overflow supported range</t>
  </si>
  <si>
    <t xml:space="preserve">  Platform  : Windows 10_x000D_
_x000D_
  Build  : 122_x000D_
_x000D_
  Issue  : _x000D_
  image (https:  user images githubusercontent com 45698812 103207123 62914c00 48b2 11eb 9dbe c88387c4ab89 png)_x000D_
_x000D_
game crashed while I was messing with logic_x000D_
_x000D_
_x000D_
  Steps to reproduce  : Honestly not sure  I exited out of a processor and then the game crashed_x000D_
_x000D_
  Link(s) to mod(s) used  : RFTM   Logic Debugger_x000D_
_x000D_
  Save file  :  sandbox h zip (https:  github com Anuken Mindustry files 5746776 sandbox h zip)_x000D_
_x000D_
_x000D_
_x000D_
If you remove the line above without reading it properly and understanding what it means  I will reap your soul  Even if you re playing on someone s server  you can still save the game to a slot _x000D_
_x000D_
  (Crash) logs  :   crash report 12 28 2020 01 54 37 txt (https:  github com Anuken Mindustry files 5746782 crash report 12 28 2020 01 54 37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</si>
  <si>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crowdin-react-native-sdk-15</t>
  </si>
  <si>
    <t>I can't get the translation of ’id‘ and ’he‘</t>
  </si>
  <si>
    <t xml:space="preserve">  Describe the bug  _x000D_
My app support 33 languages  I tested them all again  but I use the  id    he  as languageCode can t take the two language Code translation  other language is normal  before they can lead to program crashes  you in version 0 13 fixes the bug  but now when I call Crowdin  GetResourcesByLocale method  waiting for more than ten seconds callback has not been performed  whether is because  I think you have no for this fetch from increasing the timeout mechanism Please test and solve this problem as soon as possible  Thank you_x000D_
_x000D_
  To Reproduce  _x000D_
Steps to reproduce the behavior:_x000D_
1  Call the Crowdin  GetResourcesByLocale with parameter id or he_x000D_
2  Observe if the callback is executed_x000D_
_x000D_
  Expected behavior  _x000D_
To get the translation_x000D_
_x000D_
_x000D_
  Environment (please complete the following information):  _x000D_
   Android_x000D_
   React Native 0 62 2_x000D_
   Crowdin React Native SDK 0 13_x000D_
_x000D_
  Smartphone Simulator Emulator (please complete the following information):  _x000D_
   Oneplus A5000</t>
  </si>
  <si>
    <t>Anuken-Mindustry-4145</t>
  </si>
  <si>
    <t>ship exploration</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</si>
  <si>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</si>
  <si>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TeamNewPipe-NewPipe-5293</t>
  </si>
  <si>
    <t>Error with audio lounge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</si>
  <si>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8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Open https:  streaming media ccc de rc3 ambientlounge in newpipe_x000D_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infinite loading_x000D_
   snackbar showing up_x000D_
   when you click on report  the crash reporter crashes:_x000D_
   Exception_x000D_
    User Action:   ui error_x000D_
    Request:   App crash  UI failure_x000D_
    Content Country:   FR_x000D_
    Content Language:   fr FR_x000D_
    App Language:   fr FR_x000D_
    Service:   none_x000D_
    Version:   0 20 8_x000D_
    OS:   Linux Android 9   28_x000D_
 details  summary  b Crash log   b   summary  p _x000D_
_x000D_
   _x000D_
java lang NullPointerException: Attempt to invoke virtual method  void java lang Throwable printStackTrace(java io PrintWriter)  on a null object reference_x000D_
	at org schabi newpipe report ErrorActivity getStackTrace(ErrorActivity java:164)_x000D_
	at org schabi newpipe report ErrorActivity elToSl(ErrorActivity java:172)_x000D_
	at org schabi newpipe report ErrorActivity startErrorActivity(ErrorActivity java:114)_x000D_
	at org schabi newpipe report ErrorActivity lambda reportError 0(ErrorActivity java:102)_x000D_
	at org schabi newpipe report    Lambda ErrorActivity HI3F3TjOpAv degtFRP9Y1N7 5o onClick(Unknown Source:8)_x000D_
	at com google android material snackbar Snackbar 1 onClick(Snackbar java:307)_x000D_
	at android view View performClick(View java:6597)_x000D_
	at android view View performClickInternal(View java:6574)_x000D_
	at android view View access 3100(View java:778)_x000D_
	at android view View PerformClick run(View java:25906)_x000D_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_x000D_
   _x000D_
  details _x000D_
 hr _x000D_
_x000D_
_x000D_
    Expected behavior_x000D_
     Tell us what you expect to happen     _x000D_
It plays fine _x000D_
_x000D_
btw  it s a audio only livestream  it should be detected as such by NewPipeExtractor  It s not the case because there is not the same layout as soundcloud one with audio only _x000D_
_x000D_
     Please fill this out when you do not provide a log generate by NewPipe    _x000D_
_x000D_
    Device info_x000D_
_x000D_
   Android version Custom ROM version: 9_x000D_
   Device model: pocophone F1_x000D_
</t>
  </si>
  <si>
    <t>k9mail-k-9-5081</t>
  </si>
  <si>
    <t>certain messages reliably crash k9</t>
  </si>
  <si>
    <t xml:space="preserve">The message I am attaching here reliably crashes k9 (playstore latest 5 600 on Blackberyy Priv Android 6 0 1  IMAP postbox)_x000D_
crash report also sent via app crash dialog _x000D_
Older messages from the same sender also managed this before _x000D_
It s just a regular newsletter from a guy who plays live piano to silent movies  so nothing except my email address needs to be treated confidential _x000D_
</t>
  </si>
  <si>
    <t>osudroid-osu-droid-64</t>
  </si>
  <si>
    <t>Crash when back from mod menu if no song is selceted</t>
  </si>
  <si>
    <t xml:space="preserve">If there are not  songs selected when back from mod menu  DifficultyReCalculator throws a NullPointerException and crash _x000D_
_x000D_
Found by: Badplayer101  _x000D_
Video: https:  youtu be s8MiAw5Kwyc  _x000D_
_x000D_
StackTrace as below:_x000D_
   _x000D_
2020 12 27 22:40:28 929 32133 6029 ru nsu ccfit zuev osuplus debug E AndroidRuntime: FATAL EXCEPTION: Thread 19_x000D_
    Process: ru nsu ccfit zuev osuplus debug  PID: 32133_x000D_
    java lang NullPointerException: Attempt to invoke virtual method  float ru nsu ccfit zuev osu TrackInfo getCircleSize()  on a null object reference_x000D_
        at ru nsu ccfit zuev osu helper DifficultyReCalculator getCS(DifficultyReCalculator java:388)_x000D_
        at ru nsu ccfit zuev osu helper DifficultyReCalculator getCS(DifficultyReCalculator java:407)_x000D_
        at ru nsu ccfit zuev osu menu ModMenu 2 1 run(ModMenu java:174)_x000D_
   _x000D_
</t>
  </si>
  <si>
    <t>Anuken-Mindustry-4140</t>
  </si>
  <si>
    <t>Game crashes on opening ItemSource config.</t>
  </si>
  <si>
    <t xml:space="preserve">  Platform  : Windows_x000D_
_x000D_
  Build  : steam build 122_x000D_
_x000D_
  Issue  : Happened while playing a custom sandbox game  Every time I start such a game and attempt to use the Item Source block  as soon as I click on the block to configure it  the game crashes with the following error:_x000D_
  A crash has occurred  It has been saved in:_x000D_
  C: Users perri 000 AppData Roaming Mindustry crashes crash report 12 27 2020 06 02 44 txt_x000D_
  Null Pointer_x000D_
_x000D_
  Steps to reproduce  : Start a custom sandbox game  place an Item Source  Click the Item Source  Crash _x000D_
This started happening after attempting several tests on a mod in an effort to figure out how to make the game show icons for custom items and liquids in the configuration of a custom block  Methods attempted included  ItemSelection buildTable(   )  and  myLiquid icon(Cicon size)   as well as  myLiquid emoji()    myItem icon  and  myItem emoji  were also tried _x000D_
I have uploaded the zip files for the two mods involved  The file block being tested was  liquid tanking depot js  in the packaging mod _x000D_
_x000D_
  Link(s) to mod(s) used  : _x000D_
 Gasoline Mod zip (https:  github com Anuken Mindustry files 5744535 Gasoline Mod zip)_x000D_
 Packaging Mod zip (https:  github com Anuken Mindustry files 5744536 Packaging Mod zip)_x000D_
_x000D_
_x000D_
_x000D_
  Save file  : Unable to upload a save file  The game crashes before it can be saved _x000D_
_x000D_
If you remove the line above without reading it properly and understanding what it means  I will reap your soul  Even if you re playing on someone s server  you can still save the game to a slot _x000D_
_x000D_
  (Crash) logs  : _x000D_
 crash report 12 27 2020 06 02 44 txt (https:  github com Anuken Mindustry files 5744539 crash report 12 27 2020 06 02 44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</si>
  <si>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microg-GmsCore-1343</t>
  </si>
  <si>
    <t>crash in backrgound + exposure checks seem to not complete anymore</t>
  </si>
  <si>
    <t xml:space="preserve">Maybe related to  1339 or  1338 _x000D_
_x000D_
I got no exposure updates since yesterday evening 8pm  And now I got a microG crash in the background _x000D_
_x000D_
Before yesterday the exposures were checked multiple times a day  I didn t change anything since then :thinking: _x000D_
_x000D_
   _x000D_
12 27 12:36:34 620 30873 30873 E AndroidRuntime: Process: com google android gms:persistent  PID: 30873_x000D_
12 27 12:36:34 620 30873 30873 E AndroidRuntime: android os DeadObjectException: Transaction failed on small parcel  remote process probably died_x000D_
12 27 12:36:34 620 30873 30873 E AndroidRuntime: 	at android os BinderProxy transactNative(Native Method)_x000D_
12 27 12:36:34 620 30873 30873 E AndroidRuntime: 	at android os BinderProxy transact(Binder java:766)_x000D_
12 27 12:36:34 620 30873 30873 E AndroidRuntime: 	at com google android gms nearby exposurenotification internal IDiagnosisKeyFileSupplier Stub Proxy isAvailable(IDiagnosisKeyFileSupplier java:168)_x000D_
12 27 12:36:34 620 30873 30873 E AndroidRuntime: 	at org microg gms nearby exposurenotification ExposureNotificationServiceImpl provideDiagnosisKeys 1 1 invokeSuspend(ExposureNotificationServiceImpl kt:292)_x000D_
12 27 12:36:34 620 30873 30873 E AndroidRuntime: 	at org microg gms nearby exposurenotification ExposureNotificationServiceImpl provideDiagnosisKeys 1 1 invoke(Unknown Source:10)_x000D_
12 27 12:36:34 620 30873 30873 E AndroidRuntime: 	at org microg gms nearby exposurenotification ExposureDatabase Companion with 2 invokeSuspend(ExposureDatabase kt:1035)_x000D_
12 27 12:36:34 620 30873 30873 E AndroidRuntime: 	at kotlin coroutines jvm internal BaseContinuationImpl resumeWith(ContinuationImpl kt:33)_x000D_
12 27 12:36:34 620 30873 30873 E AndroidRuntime: 	at kotlinx coroutines DispatchedTask run(DispatchedTask kt:56)_x000D_
12 27 12:36:34 620 30873 30873 E AndroidRuntime: 	at kotlinx coroutines scheduling CoroutineScheduler runSafely(CoroutineScheduler kt:571)_x000D_
12 27 12:36:34 620 30873 30873 E AndroidRuntime: 	at kotlinx coroutines scheduling CoroutineScheduler Worker executeTask(CoroutineScheduler kt:738)_x000D_
12 27 12:36:34 620 30873 30873 E AndroidRuntime: 	at kotlinx coroutines scheduling CoroutineScheduler Worker runWorker(CoroutineScheduler kt:678)_x000D_
12 27 12:36:34 620 30873 30873 E AndroidRuntime: 	at kotlinx coroutines scheduling CoroutineScheduler Worker run(CoroutineScheduler kt:665)_x000D_
   </t>
  </si>
  <si>
    <t>akaecliptic-Cinephile-5</t>
  </si>
  <si>
    <t>Explore screen crashing</t>
  </si>
  <si>
    <t xml:space="preserve">As of now(2020 12 27) Explore screen crashes when opened </t>
  </si>
  <si>
    <t>TeamNewPipe-NewPipe-legacy-56</t>
  </si>
  <si>
    <t>A display issue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</si>
  <si>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y  I am using the latest version   x xx x      Check https:  github com TeamNewPipe NewPipe releases    _x000D_
   y  I checked  but didn t find any duplicates (open OR closed) of this issue in the repo       Seriously  check  O O    _x000D_
   y  I have read the contribution guidelines given at https:  github com TeamNewPipe NewPipe blob HEAD  github CONTRIBUTING md _x000D_
   y  This issue contains only one bug  I will open one issue for every bug report I want to file _x000D_
_x000D_
    Steps to reproduce the bug_x000D_
    _x000D_
1  Go to      _x000D_
2  Press on       _x000D_
3  Swipe down to       _x000D_
   _x000D_
1  Go to first page_x000D_
2  See the bug_x000D_
_x000D_
_x000D_
     If you can t cause the bug to show up again reliably (and hence don t have a proper set of steps to give us)  please still try to give as many details as possible on how you think you encountered the bug     _x000D_
Dear developer _x000D_
In the process of using  I found a bug in layout   display  As shown in the figure  in the first page  the text in the red box overlap with each other  This may be an adaptation problem  I suspect it is because   display and font size   are set to large (mainly due to   display size  ) _x000D_
Because of some problems with my eyesight  I often use the largest font and display _x000D_
  297165ECE247F4EDC808C49B7E0633F7 (https:  user images githubusercontent com 18572115 103166639 1ec12700 485f 11eb 8b4a f550f2a36e7f png)_x000D_
App version is 0 20 2  my mobile phone is Google nexus 6  screen resolution setting is 1920  1080     font size and display size are the largest           Android system is 8 0 _x000D_
The above is a description of the problem  The overall experience of the software is good  You can see that the design is very attentive  Thank you very much for the efforts of the developers all the time  I hope to receive a reply _x000D_
Thank you _x000D_
 img width  443  alt  bug newpipelegacy  src  https:  user images githubusercontent com 18572115 103166603 bb36f980 485e 11eb 9616 aee1ec3131b7 png  _x000D_
_x000D_
_x000D_
_x000D_
_x000D_
    Actual behaviour_x000D_
     Tell us what happens with the steps given above     _x000D_
use the largest    font    and    display    _x000D_
_x000D_
_x000D_
_x000D_
    Expected behavior_x000D_
     Tell us what you expect to happen     _x000D_
Hope to solve the problem of overlap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img width  443  alt  bug newpipelegacy  src  https:  user images githubusercontent com 18572115 103166613 db66b880 485e 11eb 979f 51cf23837e8b png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8 0_x000D_
   Device model: Google nexus 6_x000D_
</t>
  </si>
  <si>
    <t>TeamNewPipe-NewPipe-5289</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</si>
  <si>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first page_x000D_
2  See the bug_x000D_
   _x000D_
1  Go to first page_x000D_
2  See the bug_x000D_
_x000D_
     If you can t cause the bug to show up again reliably (and hence don t have a proper set of steps to give us)  please still try to give as many details as possible on how you think you encountered the bug     _x000D_
_x000D_
Dear developer _x000D_
In the process of using  I found a bug in layout   display  As shown in the figure  in the first page  the text in the red box overlap with each other  This may be an adaptation problem  I suspect it is because   display and font size   are set to large (mainly due to   display size  ) _x000D_
Because of some problems with my eyesight  I often use the largest font and display _x000D_
  297165ECE247F4EDC808C49B7E0633F7 (https:  user images githubusercontent com 18572115 103166637 136dfb80 485f 11eb 84a2 f2663285b222 png)_x000D_
App version is 0 20 1  my mobile phone is Google nexus 6  screen resolution setting is 1920  1080     font size and display size are the largest           Android system is 8 0 _x000D_
The above is a description of the problem  The overall experience of the software is good  You can see that the design is very attentive  Thank you very much for the efforts of the developers all the time  I hope to receive a reply _x000D_
Thank you _x000D_
 img width  445  alt  bug newpipe 955  src  https:  user images githubusercontent com 18572115 103166563 42d03880 485e 11eb 9eaf 4866b33398fb png  _x000D_
_x000D_
    Actual behaviour_x000D_
     Tell us what happens with the steps given above     _x000D_
use the largest    font    and    display    _x000D_
_x000D_
_x000D_
    Expected behavior_x000D_
     Tell us what you expect to happen     _x000D_
Hope to solve the problem of overlap_x000D_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img width  445  alt  bug newpipe 955  src  https:  user images githubusercontent com 18572115 103166568 58456280 485e 11eb 826e fadd4bb26909 png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8 0_x000D_
   Device model: Google nexus 6_x000D_
</t>
  </si>
  <si>
    <t>TeamNewPipe-NewPipe-5287</t>
  </si>
  <si>
    <t>FixIt</t>
  </si>
  <si>
    <t xml:space="preserve">   Exception_x000D_
    User Action:   ui error_x000D_
    Request:   App crash  UI failure_x000D_
    Content Country:   US_x000D_
    Content Language:   en US_x000D_
    App Language:   en US_x000D_
    Service:   none_x000D_
    Version:   0 9 4_x000D_
    OS:   Linux Nokia CaptainAmerica 00WW CAP sprout:10 QKQ1 200114 002 00WW 1 29A:user release keys 10   29_x000D_
 details  summary  b Crash log   b   summary  p _x000D_
_x000D_
   _x000D_
java lang ArrayIndexOutOfBoundsException: length 4  index 4_x000D_
	at androidx preference ListPreference getEntry(ListPreference java:213)_x000D_
	at androidx preference ListPreference getSummary(ListPreference java:164)_x000D_
	at androidx preference Preference onBindViewHolder(Preference java:510)_x000D_
	at androidx preference PreferenceGroupAdapter onBindViewHolder(PreferenceGroupAdapter java:418)_x000D_
	at androidx preference PreferenceGroupAdapter onBindViewHolder(PreferenceGroupAdapter java:47)_x000D_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java:22484)_x000D_
	at android view ViewGroup layout(ViewGroup java:6304)_x000D_
	at android widget FrameLayout layoutChildren(FrameLayout java:332)_x000D_
	at android widget FrameLayout onLayout(FrameLayout java:270)_x000D_
	at android view View layout(View java:22484)_x000D_
	at android view ViewGroup layout(ViewGroup java:6304)_x000D_
	at android widget LinearLayout setChildFrame(LinearLayout java:1829)_x000D_
	at android widget LinearLayout layoutVertical(LinearLayout java:1673)_x000D_
	at android widget LinearLayout onLayout(LinearLayout java:1582)_x000D_
	at android view View layout(View java:22484)_x000D_
	at android view ViewGroup layout(ViewGroup java:6304)_x000D_
	at android widget FrameLayout layoutChildren(FrameLayout java:332)_x000D_
	at android widget FrameLayout onLayout(FrameLayout java:270)_x000D_
	at android view View layout(View java:22484)_x000D_
	at android view ViewGroup layout(ViewGroup java:6304)_x000D_
	at android widget RelativeLayout onLayout(RelativeLayout java:1103)_x000D_
	at android view View layout(View java:22484)_x000D_
	at android view ViewGroup layout(ViewGroup java:6304)_x000D_
	at android widget FrameLayout layoutChildren(FrameLayout java:332)_x000D_
	at android widget FrameLayout onLayout(FrameLayout java:270)_x000D_
	at android view View layout(View java:22484)_x000D_
	at android view ViewGroup layout(ViewGroup java:6304)_x000D_
	at android widget LinearLayout setChildFrame(LinearLayout java:1829)_x000D_
	at android widget LinearLayout layoutVertical(LinearLayout java:1673)_x000D_
	at android widget LinearLayout onLayout(LinearLayout java:1582)_x000D_
	at android view View layout(View java:22484)_x000D_
	at android view ViewGroup layout(ViewGroup java:6304)_x000D_
	at android widget FrameLayout layoutChildren(FrameLayout java:332)_x000D_
	at android widget FrameLayout onLayout(FrameLayout java:270)_x000D_
	at android view View layout(View java:22484)_x000D_
	at android view ViewGroup layout(ViewGroup java:6304)_x000D_
	at android widget LinearLayout setChildFrame(LinearLayout java:1829)_x000D_
	at android widget LinearLayout layoutVertical(LinearLayout java:1673)_x000D_
	at android widget LinearLayout onLayout(LinearLayout java:1582)_x000D_
	at android view View layout(View java:22484)_x000D_
	at android view ViewGroup layout(ViewGroup java:6304)_x000D_
	at android widget FrameLayout layoutChildren(FrameLayout java:332)_x000D_
	at android widget FrameLayout onLayout(FrameLayout java:270)_x000D_
	at com android internal policy DecorView onLayout(DecorView java:779)_x000D_
	at android view View layout(View java:22484)_x000D_
	at android view ViewGroup layout(ViewGroup java:6304)_x000D_
	at android view ViewRootImpl performLayout(ViewRootImpl java:3158)_x000D_
	at android view ViewRootImpl performTraversals(ViewRootImpl java:2615)_x000D_
	at android view ViewRootImpl doTraversal(ViewRootImpl java:1746)_x000D_
	at android view ViewRootImpl TraversalRunnable run(ViewRootImpl java:7775)_x000D_
	at android view Choreographer CallbackRecord run(Choreographer java:1030)_x000D_
	at android view Choreographer doCallbacks(Choreographer java:853)_x000D_
	at android view Choreographer doFrame(Choreographer java:788)_x000D_
	at android view Choreographer FrameDisplayEventReceiver run(Choreographer java:1015)_x000D_
	at android os Handler handleCallback(Handler java:883)_x000D_
	at android os Handler dispatchMessage(Handler java:100)_x000D_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java:935)_x000D_
_x000D_
   _x000D_
  details _x000D_
 hr _x000D_
_x000D_
_x000D_
_x000D_
_x000D_
_x000D_
_x000D_
_x000D_
_x000D_
_x000D_
_x000D_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</si>
  <si>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nextcloud-android-7739</t>
  </si>
  <si>
    <t>Problem in auto upload</t>
  </si>
  <si>
    <t xml:space="preserve">When i click some folder autoupload and config it to upload in mobile data also 
But still it is searching for non meteric wifi  What can i do  In beta version works well but not even working 2 mins and it crashef
    Environment data
Android version:
Device model: a30
Stock or customized system: android 10
Nextcloud app version:
Nextcloud server version:
Reverse proxy:
    Logs
     Web server error log
Insert your webserver log here
     Nextcloud log (data nextcloud log)
Insert your Nextcloud log here
  NOTE:   Be super sure to remove sensitive data like passwords  note that everybody can look here  You can use the Issue Template application to prefill some of the required information: https:  apps nextcloud com apps issuetemplate
</t>
  </si>
  <si>
    <t>PojavLauncherTeam-PojavLauncher-542</t>
  </si>
  <si>
    <t>Can't install forge 1.12.2</t>
  </si>
  <si>
    <t xml:space="preserve">  Describe the bug  _x000D_
_x000D_
While installing forge 1 12 2  it crashed back to the main screen  it even couldn t load_x000D_
  To Reproduce  _x000D_
Steps to reproduce the behavior:_x000D_
1  Start PojavLauncher_x000D_
2  Install mod installer_x000D_
3  switches to the output log  and it doesn t load anything_x000D_
4  After that it switches to main screen_x000D_
5  Now it has 1 12 2 forge  but if you try to play it crashs_x000D_
  Expected behavior  _x000D_
I expected you will fix out this_x000D_
_x000D_
  Screenshots  _x000D_
_x000D_
  Platform:  _x000D_
   Device Model  e g  Mi 7 _x000D_
   CPU architecture  e g  aarch64  _x000D_
   Android Version  e g  9 _x000D_
_x000D_
  Screenshot 2020 12 27 02 44 55 712 net kdt pojavlaunch (https:  user images githubusercontent com 76635178 103161992 cf5a0700 481c 11eb 9d1c 83ffa971388e jpg)_x000D_
_x000D_
</t>
  </si>
  <si>
    <t>nextcloud-android-7734</t>
  </si>
  <si>
    <t xml:space="preserve">    Steps to reproduce_x000D_
1  App has been crashings randomly_x000D_
Sometimes when you open app other times when app is in use_x000D_
_x000D_
_x000D_
    Expected behaviour_x000D_
  Tell us what should happen_x000D_
App should work normally_x000D_
_x000D_
    Actual behaviour_x000D_
  Tell us what happens_x000D_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10 3 7_x000D_
_x000D_
_x000D_
Device model: _x000D_
OnePlus 6t_x000D_
_x000D_
Stock or customized system:_x000D_
Stock with unlocked bootliader_x000D_
_x000D_
Nextcloud app version:_x000D_
3 14 1_x000D_
Nextcloud server version:_x000D_
20  0 4_x000D_
Reverse proxy:_x000D_
_x000D_
    Logs_x000D_
     Web server error log_x000D_
   _x000D_
Insert your webserver log here_x000D_
   _x000D_
_x000D_
     Nextcloud log (data nextcloud log)_x000D_
   _x000D_
             CAUSE OF ERROR             _x000D_
_x000D_
android database sqlite SQLiteBlobTooBigException: Row too big to fit into CursorWindow requiredPos 2950  totalRows 552_x000D_
	at android database sqlite SQLiteConnection nativeExecuteForCursorWindow(Native Method)_x000D_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java:342)_x000D_
	at android content ContentProviderOperation apply(ContentProviderOperation java:314)_x000D_
	at com owncloud android providers FileContentProvider applyBatch(FileContentProvider java:672)_x000D_
	at android content ContentProvider applyBatch(ContentProvider java:2179)_x000D_
	at android content ContentProvider Transport applyBatch(ContentProvider java:398)_x000D_
	at android content ContentProviderClient applyBatch(ContentProviderClient java:532)_x000D_
	at android content ContentProviderClient applyBatch(ContentProviderClient java:520)_x000D_
	at android content ContentResolver applyBatch(ContentResolver java:1915)_x000D_
	at com owncloud android datamodel FileDataStorageManager saveFolder(FileDataStorageManager java:438)_x000D_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java:919)_x000D_
_x000D_
             APP INFORMATION             _x000D_
ID: com nextcloud client_x000D_
Version: 30140190_x000D_
Build flavor: gplay_x000D_
_x000D_
             DEVICE INFORMATION             _x000D_
Brand: OnePlus_x000D_
Device: OnePlus6T_x000D_
Model: ONEPLUS A6013_x000D_
Id: QKQ1 190716 003_x000D_
Product: OnePlus6T_x000D_
_x000D_
             FIRMWARE             _x000D_
SDK: 29_x000D_
Release: 10_x000D_
Incremental: 2011161919_x000D_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</si>
  <si>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Anuken-Mindustry-4130</t>
  </si>
  <si>
    <t>Maces can get burned while it should be immune from it said from the source code.</t>
  </si>
  <si>
    <t xml:space="preserve">  Platform  :  Android iOS Mac Windows Linux _x000D_
Android_x000D_
_x000D_
  Build  :  The build number under the title in the main menu  Required   LATEST  IS NOT A VERSION  I NEED THE EXACT BUILD NUMBER OF YOUR GAME  _x000D_
 release build 122 _x000D_
_x000D_
  Issue  :  Explain your issue in detail  _x000D_
Maces can be set on fire while it should be immune from it said in the source code _x000D_
_x000D_
  Steps to reproduce  :  How you happened across the issue  and what exactly you did to make the bug happen  _x000D_
Make a mace  then make it step on a slag tile or be targeted by a slag wave to get burned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MaceBug zip (https:  github com Anuken Mindustry files 5743071 MaceBug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</si>
  <si>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srivatsamarichi-pip-kotlin-16</t>
  </si>
  <si>
    <t>movie_pauseAndResume</t>
  </si>
  <si>
    <t xml:space="preserve">    Motorola Moto X4 (8 0 0)_x000D_
_x000D_
  Instruments failedINSTRUMENTATION RESULT: shortMsg Process crashed _x000D_
  INSTRUMENTATION CODE: 0_x000D_
_x000D_
    Device Information_x000D_
_x000D_
  2020 12 26 17 35 00 (https:  user images githubusercontent com 13433045 103151071 b57ade80 47a0 11eb 9b28 5c65f9c00caf png)_x000D_
</t>
  </si>
  <si>
    <t>srivatsamarichi-pip-kotlin-15</t>
  </si>
  <si>
    <t>movie_playingOnPip</t>
  </si>
  <si>
    <t xml:space="preserve">    Motorola Moto G6 (8 0 0)_x000D_
_x000D_
  Instruments failedINSTRUMENTATION RESULT: shortMsg Process crashed _x000D_
  INSTRUMENTATION CODE: 0_x000D_
_x000D_
    Device Information_x000D_
_x000D_
  2020 12 26 17 31 35 (https:  user images githubusercontent com 13433045 103151032 47361c00 47a0 11eb 8ec3 44465951f293 png)_x000D_
_x000D_
</t>
  </si>
  <si>
    <t>Anuken-Mindustry-4124</t>
  </si>
  <si>
    <t>Rebuilding a processer does not restore the script</t>
  </si>
  <si>
    <t xml:space="preserve">  Platform  :  Android iOS Mac Windows Linux _x000D_
Windows 10_x000D_
  Build  :  The build number under the title in the main menu  Required   LATEST  IS NOT A VERSION  I NEED THE EXACT BUILD NUMBER OF YOUR GAME  _x000D_
Steam 122_x000D_
  Issue  :  Explain your issue in detail  _x000D_
A processer with a script   after destroyed and rebuild by ( poly ) forgets his script  _x000D_
_x000D_
  Steps to reproduce  :  How you happened across the issue  and what exactly you did to make the bug happen  _x000D_
1  Microprocessor with a script _x000D_
2  Have it destroyed_x000D_
3  Rebuild automatically with a poly_x000D_
4  Check logic_x000D_
  Link(s) to mod(s) used  :  The mod repositories or zip files that are related to the issue  if applicable  _x000D_
all mods disabled_x000D_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LogicMissingBug zip (https:  github com Anuken Mindustry files 5742473 LogicMissingBug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 crashs_x000D_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</si>
  <si>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libgdx-libgdx-6331</t>
  </si>
  <si>
    <t>Cast to Buffer</t>
  </si>
  <si>
    <t>If you compile you android app with a jdk greater than 8 and try to run it on an android device with API level lower than 29 (from my experience) the app crashes  The methods position  limit  flip and clear from buffer subtypes are the problem _x000D_
_x000D_
Detailed description is here:_x000D_
https:  stackoverflow com a 58435689 7912520_x000D_
_x000D_
I just applied the suggested fix _x000D_
_x000D_
 PokeMMO found an issue on the google issue tracker  but they seem no to care  https:  issuetracker google com issues 123015428</t>
  </si>
  <si>
    <t>commons-app-apps-android-commons-4129</t>
  </si>
  <si>
    <t>App Crashes on logging out</t>
  </si>
  <si>
    <t xml:space="preserve">  Summary:   _x000D_
App crashes when trying to log out _x000D_
_x000D_
  Steps to reproduce:   _x000D_
Go to More tab on Bottom Navigation Bar _x000D_
click on log out then select yes on alert dialog _x000D_
_x000D_
What did you expect the app to do  and what did you see instead _x000D_
User should  log out and login screen should appear  but app crashes instead _x000D_
_x000D_
  System logs:  _x000D_
_x000D_
Add logcat files here (if possible) _x000D_
_x000D_
2020 12 25 22:37:05 305 23964 23964 fr free nrw commons beta E AndroidRuntime: FATAL EXCEPTION: main_x000D_
    Process: fr free nrw commons beta  PID: 23964_x000D_
    kotlin KotlinNullPointerException_x000D_
        at fr free nrw commons contributions ContributionBoundaryCallback fetchContributions(ContributionBoundaryCallback kt:54)_x000D_
        at fr free nrw commons contributions ContributionBoundaryCallback onZeroItemsLoaded(ContributionBoundaryCallback kt:30)_x000D_
        at androidx paging PagedList 1 run(PagedList java:476)_x000D_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2020 12 25 22:37:05 305 23964 23964 fr free nrw commons beta E ACRA: ACRA caught a KotlinNullPointerException for fr free nrw commons beta_x000D_
    kotlin KotlinNullPointerException_x000D_
        at fr free nrw commons contributions ContributionBoundaryCallback fetchContributions(ContributionBoundaryCallback kt:54)_x000D_
        at fr free nrw commons contributions ContributionBoundaryCallback onZeroItemsLoaded(ContributionBoundaryCallback kt:30)_x000D_
        at androidx paging PagedList 1 run(PagedList java:476)_x000D_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Device and Android version:   _x000D_
Device: Motorola One Fusion   Android 10_x000D_
 _x000D_
  Commons app version:   _x000D_
2 13 1 debug_x000D_
Branch: Master  Build Variant: betaDebug_x000D_
_x000D_
  Would you like to work on the issue   _x000D_
 Yes</t>
  </si>
  <si>
    <t>Anuken-Mindustry-4120</t>
  </si>
  <si>
    <t>Steam Achievement issue: Attack maps in Campaign not counting for Conqueror Achievement</t>
  </si>
  <si>
    <t xml:space="preserve">  Platform  : Windows Steam version_x000D_
_x000D_
  Build  : Steam Build 122_x000D_
_x000D_
  Issue  :  Attack maps in Campaign not counting for Conqueror Achievement  When completing an attack map  the Conqueror Achievement does not increment  making it impossible to achieve this achievement _x000D_
_x000D_
  Steps to reproduce  : Defeat an Attack map in the Campaign  such as sector 68  expected outcome  is that the Achievement progress will increase by one  However value does not increase _x000D_
_x000D_
  Link(s) to mod(s) used  : None _x000D_
_x000D_
  Save file  :   Steam Achievement Save bug Sector 68 saves zip (https:  github com Anuken Mindustry files 5742163 Steam Achievement Save bug Sector 68 saves zip)_x000D_
_x000D_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_x000D_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</si>
  <si>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MarquisLP-World-Scribe-60</t>
  </si>
  <si>
    <t>App crashes when the user cancels Dropbox authentication</t>
  </si>
  <si>
    <t xml:space="preserve">   Environment_x000D_
_x000D_
    App version:   1 7 0_x000D_
    Android version:   Any_x000D_
    Devices affected:   Any_x000D_
_x000D_
   Steps to Reproduce_x000D_
_x000D_
  In  ArticleListActivity   open the overflow menu and select  Backup to Dropbox _x000D_
  Once the Dropbox pop up finishes loading  press the Android  Back  button to close the pop up_x000D_
_x000D_
  Expected Result:   the app returns to the  ArticleListActivity  _x000D_
_x000D_
  Actual Result:   the app crashes and the user is brought to the device s home screen without any error message _x000D_
_x000D_
   Notes_x000D_
_x000D_
The fix is probably to add a null check in  ArticleListActivity storeDropboxCredentials() (https:  github com MarquisLP World Scribe blob ec7bd26ba647631c9247bfddc4913312fc1f327b app src main java com averi worldscribe activities ArticleListActivity java L215)  as  Dropbox Auth getDbxCredential()  will return a null credentials object if the user did not authenticate </t>
  </si>
  <si>
    <t>MuntashirAkon-AppManager-203</t>
  </si>
  <si>
    <t>Crash when trying to edit and create shortcuts from uninstalled apps</t>
  </si>
  <si>
    <t xml:space="preserve">
  Describe the bug  
The app crashes when trying to create a shortcut from some app you used  Open with App Manager   This occurs in both the latest stable version and the debug version 
  To Reproduce  
Steps to reproduce the behaviour:
1  Go to  any uninstalled app 
2  Click on  Open with App Manager 
3  Go to  Activities  tab
4  Click on  any clickable activity 
5  Click on  Edit Shortcut 
6  Click on  Create Shortcut 
7  See error
Note: The crash does not occur with all activities 
  Crash logs  
java lang StringIndexOutOfBoundsException: length 0  regionStart 0  regionLength  1
    at java lang String substring(String java:1931)
    at io github muntashirakon AppManager details LauncherIconCreator createLauncherIcon(LauncherIconCreator java:71)
    at io github muntashirakon AppManager details EditShortcutDialogFragment lambda onCreateDialog 2 EditShortcutDialogFragment(EditShortcutDialogFragment java:141)
    at io github muntashirakon AppManager details    Lambda EditShortcutDialogFragment lzUAlfvRU O9vW9vBXxAeWDuXZk onClick(lambda)
    at androidx appcompat app AlertController ButtonHandler handleMessage(AlertController java:167)
    at android os Handler dispatchMessage(Handler java:102)
    at android os Looper loop(Looper java:165)
    at android app ActivityThread main(ActivityThread java:6375)
    at java lang reflect Method invoke(Native Method)
    at com android internal os ZygoteInit MethodAndArgsCaller run(ZygoteInit java:912)
    at com android internal os ZygoteInit main(ZygoteInit java:802)
Device Info:
App version: 2 5 21 DEBUG
App version code: 376
Android build version: V11 0 2 0 NCFMIXM
Android release version: 7 0
Android SDK version: 24
Android build ID: AL1512 mido build 20191107001817
Device brand: xiaomi
Device manufacturer: Xiaomi
Device name: mido
Device model: Redmi Note 4
Device product name: mido
Device hardware name: qcom
ABIs:  arm64 v8a  armeabi v7a  armeabi 
ABIs (32bit):  armeabi v7a  armeabi 
ABIs (64bit):  arm64 v8a 
System language: pt BR
In App Language: auto
  Device info  
   Device: Redmi Note 4
   OS Version: MIUI 11 (Android 7 0)
   App Manager Version: v2 5 21 DEBUG 646 (v2 5 20 too)
   Mode: no root
</t>
  </si>
  <si>
    <t>ElderDrivers-EdXposed-770</t>
  </si>
  <si>
    <t>[BUG] crashing when trying to hook "nativeLoad" method</t>
  </si>
  <si>
    <t xml:space="preserve">       What happened   _x000D_
_x000D_
crashing when trying to hook  nativeLoad  method_x000D_
_x000D_
_x000D_
  Xposed     Xposed Module List  _x000D_
_x000D_
pseudo code_x000D_
   kotlin_x000D_
Runtime::class java hookAfterMethod( nativeLoad   String::class java  ClassLoader::class java)   _x000D_
  do nothing_x000D_
 _x000D_
   _x000D_
_x000D_
  Magisk     Magisk Module List  _x000D_
_x000D_
Riru_x000D_
Riru   EdXposed_x000D_
Riru   Enhanced mode for Storage Isolation_x000D_
Riru   IFW Enhance_x000D_
_x000D_
_x000D_
       Versions  _x000D_
_x000D_
Android: 9_x000D_
_x000D_
Magisk: 21 1_x000D_
_x000D_
Riru: 23 1_x000D_
_x000D_
EdXposed: 4653 sandhook_x000D_
_x000D_
       Related Logs  _x000D_
_x000D_
   _x000D_
          beginning of information_x000D_
Architecture: arm64 v8a_x000D_
Android version: 9_x000D_
Android sdk: 28_x000D_
EdXposed version: v0 5 1 3 4653 master (SandHook)_x000D_
EdXposed api: 93_x000D_
Riru version: v23 1 (51)_x000D_
Riru api: 10_x000D_
Magisk: 21 1 (21100)_x000D_
          beginning of crash_x000D_
12 25 21:34:35 545  9194  9194 D EdXposed: LoadedApk  init  starts: pkg games wfs anothereden  prc games wfs anothereden_x000D_
12 25 21:34:35 545  9194  9194 D EdXposed: LoadedApk  init  ends:  data app com android webview 1OPG2JvSz6xzHmpBuPS31Q   base apk: pkg games wfs anothereden  prc games wfs anothereden_x000D_
12 25 21:34:35 566  9194  9194 D EdXposed: LoadedApk getClassLoader starts: pkg games wfs anothereden  prc games wfs anothereden_x000D_
12 25 21:34:35 566  9194  9194 D EdXposed: LoadedApk getClassLoader ends:  data app com android webview 1OPG2JvSz6xzHmpBuPS31Q   base apk    dalvik system PathClassLoader DexPathList  zip file   data app com android webview 1OPG2JvSz6xzHmpBuPS31Q   base apk   nativeLibraryDirectories   data app com android webview 1OPG2JvSz6xzHmpBuPS31Q   lib arm64   data app com android webview 1OPG2JvSz6xzHmpBuPS31Q   base apk  lib arm64 v8a   system lib64   system vendor lib64   : pkg games wfs anothereden  prc games wfs anothereden_x000D_
12 25 21:34:35 661  9194  9194 F webviewchromium plat support: Unable to find class  com android webview chromium DrawGLFunctor _x000D_
12 25 21:34:35 663  9194  9194 F libc    : Fatal signal 6 (SIGABRT)  code  6 (SI TKILL) in tid 9194 (wfs anothereden)  pid 9194 (wfs anothereden)_x000D_
12 25 21:34:35 773  9281  9281 F DEBUG   :                                                                _x000D_
12 25 21:34:35 773  9281  9281 F DEBUG   : Build fingerprint:  xx _x000D_
12 25 21:34:35 773  9281  9281 F DEBUG   : Revision:  0 _x000D_
12 25 21:34:35 773  9281  9281 F DEBUG   : ABI:  arm64 _x000D_
12 25 21:34:35 773  9281  9281 F DEBUG   : pid: 9194  tid: 9194  name: wfs anothereden      games wfs anothereden    _x000D_
12 25 21:34:35 773  9281  9281 F DEBUG   : signal 6 (SIGABRT)  code  6 (SI TKILL)  fault addr         _x000D_
12 25 21:34:35 773  9281  9281 F DEBUG   : Abort message:  Unable to find class  com android webview chromium DrawGLFunctor  _x000D_
12 25 21:34:35 773  9281  9281 F DEBUG   :     x0  0000000000000000  x1  00000000000023ea  x2  0000000000000006  x3  0000000000000008_x000D_
12 25 21:34:35 773  9281  9281 F DEBUG   :     x4  fefefeff73716e6f  x5  fefefeff73716e6f  x6  fefefeff73716e6f  x7  7f7f7f7f7f7f7f7f_x000D_
12 25 21:34:35 773  9281  9281 F DEBUG   :     x8  0000000000000083  x9  053e9798120c86a2  x10 0000000000000000  x11 fffffffc7ffffbdf_x000D_
12 25 21:34:35 773  9281  9281 F DEBUG   :     x12 0000000000000001  x13 ffffffffffffffff  x14 ffffffffff000000  x15 ffffffffffffffff_x000D_
12 25 21:34:35 773  9281  9281 F DEBUG   :     x16 00000072cfcb12b0  x17 00000072cfbd29d8  x18 0000000000000010  x19 00000000000023ea_x000D_
12 25 21:34:35 773  9281  9281 F DEBUG   :     x20 00000000000023ea  x21 000000724e0c8e00  x22 00000072d3f035e0  x23 0000007ff15d606c_x000D_
12 25 21:34:35 773  9281  9281 F DEBUG   :     x24 000000724950a740  x25 0000000000000089  x26 000000724719ae00  x27 000000724e014c00_x000D_
12 25 21:34:35 773  9281  9281 F DEBUG   :     x28 000000724e0e8460  x29 0000007ff15d5920_x000D_
12 25 21:34:35 773  9281  9281 F DEBUG   :     sp  0000007ff15d58e0  lr  00000072cfbc400c  pc  00000072cfbc4034_x000D_
12 25 21:34:36 222  9281  9281 F DEBUG   : _x000D_
12 25 21:34:36 222  9281  9281 F DEBUG   : backtrace:_x000D_
12 25 21:34:36 222  9281  9281 F DEBUG   :      00 pc 0000000000022034   system lib64 libc so (abort 116)_x000D_
12 25 21:34:36 222  9281  9281 F DEBUG   :      01 pc 0000000000008644   system lib64 liblog so (  android log assert 296)_x000D_
12 25 21:34:36 222  9281  9281 F DEBUG   :      02 pc 00000000000014b8   system lib64 libwebviewchromium plat support so (android::RegisterDrawGLFunctor( JNIEnv ) 128)_x000D_
12 25 21:34:36 222  9281  9281 F DEBUG   :      03 pc 000000000000177c   system lib64 libwebviewchromium plat support so (JNI OnLoad 60)_x000D_
12 25 21:34:36 222  9281  9281 F DEBUG   :      04 pc 00000000002e9244   system lib64 libart so (offset 0x20d000) (art::JavaVMExt::LoadNativeLibrary( JNIEnv   std::  1::basic string char  std::  1::char traits char   std::  1::allocator char   const    jobject   std::  1::basic string char  std::  1::char traits char   std::  1::allocator char   ) 3192)_x000D_
12 25 21:34:36 222  9281  9281 F DEBUG   :      05 pc 0000000000004038   system lib64 libopenjdkjvm so (JVM NativeLoad 412)_x000D_
12 25 21:34:36 222  9281  9281 F DEBUG   :      06 pc 0000000000114bc8   system framework arm64 boot core oj oat (offset 0x114000) (java lang Runtime nativeLoad  DEDUPED  200)_x000D_
12 25 21:34:36 222  9281  9281 F DEBUG   :      07 pc 000000000055604c   system lib64 libart so (offset 0x3e5000) (art quick invoke static stub 604)_x000D_
12 25 21:34:36 222  9281  9281 F DEBUG   :      08 pc 00000000000cf8e8   system lib64 libart so (art::ArtMethod::Invoke(art::Thread   unsigned int   unsigned int  art::JValue   char const ) 232)_x000D_
12 25 21:34:36 222  9281  9281 F DEBUG   :      09 pc 000000000045d04c   system lib64 libart so (offset 0x3e5000) (art::(anonymous namespace)::InvokeWithArgArray(art::ScopedObjectAccessAlreadyRunnable const   art::ArtMethod   art::(anonymous namespace)::ArgArray   art::JValue   char const ) 104)_x000D_
12 25 21:34:36 222  9281  9281 F DEBUG   :      10 pc 000000000045eaa0   system lib64 libart so (offset 0x3e5000) (art::InvokeMethod(art::ScopedObjectAccessAlreadyRunnable const    jobject    jobject    jobject   unsigned long) 1440)_x000D_
12 25 21:34:36 222  9281  9281 F DEBUG   :      11 pc 00000000003ee9e0   system lib64 libart so (offset 0x375000) (art::Method invoke( JNIEnv    jobject    jobject    jobjectArray ) 52)_x000D_
12 25 21:34:36 223  9281  9281 F DEBUG   :      12 pc 000000000011e6d4   system framework arm64 boot core oj oat (offset 0x114000) (java lang Class getDeclaredMethodInternal  DEDUPED  180)_x000D_
12 25 21:34:36 223  9281  9281 F DEBUG   :      13 pc 0000000000555d88   system lib64 libart so (offset 0x3e5000) (art quick invoke stub 584)_x000D_
12 25 21:34:36 223  9281  9281 F DEBUG   :      14 pc 00000000000cf8c8   system lib64 libart so (art::ArtMethod::Invoke(art::Thread   unsigned int   unsigned int  art::JValue   char const ) 200)_x000D_
12 25 21:34:36 223  9281  9281 F DEBUG   :      15 pc 000000000027fac0   system lib64 libart so (offset 0x20d000) (art::interpreter::ArtInterpreterToCompiledCodeBridge(art::Thread   art::ArtMethod   art::ShadowFrame   unsigned short  art::JValue ) 344)_x000D_
12 25 21:34:36 223  9281  9281 F DEBUG   :      16 pc 0000000000279ac8   system lib64 libart so (offset 0x20d000) (bool art::interpreter::DoCall false  false (art::ArtMethod   art::Thread   art::ShadowFrame   art::Instruction const   unsigned short  art::JValue ) 968)_x000D_
12 25 21:34:36 223  9281  9281 F DEBUG   :      17 pc 0000000000524e0c   system lib64 libart so (offset 0x3e5000) (MterpInvokeVirtual 588)_x000D_
12 25 21:34:36 223  9281  9281 F DEBUG   :      18 pc 0000000000548414   system lib64 libart so (offset 0x3e5000) (ExecuteMterpImpl 14228)_x000D_
12 25 21:34:36 223  9281  9281 F DEBUG   :      19 pc 000000000001c804   dev ashmem dalvik DEX data (deleted) (com swift sandhook SandHook callOriginMethod 52)_x000D_
12 25 21:34:36 223  9281  9281 F DEBUG   :      20 pc 00000000002537cc   system lib64 libart so (offset 0x20d000) ( ZN3art11interpreterL7ExecuteEPNS 6ThreadERKNS 20CodeItemDataAccessorERNS 11ShadowFrameENS 6JValueEb llvm 1430790321 488)_x000D_
12 25 21:34:36 223  9281  9281 F DEBUG   :      21 pc 00000000002592c0   system lib64 libart so (offset 0x20d000) (art::interpreter::ArtInterpreterToInterpreterBridge(art::Thread   art::CodeItemDataAccessor const   art::ShadowFrame   art::JValue ) 216)_x000D_
12 25 21:34:36 223  9281  9281 F DEBUG   :      22 pc 0000000000279aac   system lib64 libart so (offset 0x20d000) (bool art::interpreter::DoCall false  false (art::ArtMethod   art::Thread   art::ShadowFrame   art::Instruction const   unsigned short  art::JValue ) 940)_x000D_
12 25 21:34:36 223  9281  9281 F DEBUG   :      23 pc 0000000000526310   system lib64 libart so (offset 0x3e5000) (MterpInvokeStatic 204)_x000D_
12 25 21:34:36 223  9281  9281 F DEBUG   :      24 pc 0000000000548594   system lib64 libart so (offset 0x3e5000) (ExecuteMterpImpl 14612)_x000D_
12 25 21:34:36 223  9281  9281 F DEBUG   :      25 pc 000000000001c8be   dev ashmem dalvik DEX data (deleted) (com swift sandhook SandHook callOriginMethod 2)_x000D_
12 25 21:34:36 223  9281  9281 F DEBUG   :      26 pc 00000000002537cc   system lib64 libart so (offset 0x20d000) ( ZN3art11interpreterL7ExecuteEPNS 6ThreadERKNS 20CodeItemDataAccessorERNS 11ShadowFrameENS 6JValueEb llvm 1430790321 488)_x000D_
12 25 21:34:36 223  9281  9281 F DEBUG   :      27 pc 00000000002592c0   system lib64 libart so (offset 0x20d000) (art::interpreter::ArtInterpreterToInterpreterBridge(art::Thread   art::CodeItemDataAccessor const   art::ShadowFrame   art::JValue ) 216)_x000D_
12 25 21:34:36 223  9281  9281 F DEBUG   :      28 pc 0000000000279aac   system lib64 libart so (offset 0x20d000) (bool art::interpreter::DoCall false  false (art::ArtMethod   art::Thread   art::ShadowFrame   art::Instruction const   unsigned short  art::JValue ) 940)_x000D_
12 25 21:34:36 223  9281  9281 F DEBUG   :      29 pc 0000000000526310   system lib64 libart so (offset 0x3e5000) (MterpInvokeStatic 204)_x000D_
12 25 21:34:36 223  9281  9281 F DEBUG   :      30 pc 0000000000548594   system lib64 libart so (offset 0x3e5000) (ExecuteMterpImpl 14612)_x000D_
12 25 21:34:36 223  9281  9281 F DEBUG   :      31 pc 0000000000021b18   dev ashmem dalvik DEX data (deleted) (com swift sandhook xposedcompat hookstub HookStubManager hookBridge 300)_x000D_
12 25 21:34:36 223  9281  9281 F DEBUG   :      32 pc 00000000002537cc   system lib64 libart so (offset 0x20d000) ( ZN3art11interpreterL7ExecuteEPNS 6ThreadERKNS 20CodeItemDataAccessorERNS 11ShadowFrameENS 6JValueEb llvm 1430790321 488)_x000D_
12 25 21:34:36 223  9281  9281 F DEBUG   :      33 pc 00000000002592c0   system lib64 libart so (offset 0x20d000) (art::interpreter::ArtInterpreterToInterpreterBridge(art::Thread   art::CodeItemDataAccessor const   art::ShadowFrame   art::JValue ) 216)_x000D_
12 25 21:34:36 223  9281  9281 F DEBUG   :      34 pc 0000000000279aac   system lib64 libart so (offset 0x20d000) (bool art::interpreter::DoCall false  false (art::ArtMethod   art::Thread   art::ShadowFrame   art::Instruction const   unsigned short  art::JValue ) 940)_x000D_
12 25 21:34:36 223  9281  9281 F DEBUG   :      35 pc 0000000000526310   system lib64 libart so (offset 0x3e5000) (MterpInvokeStatic 204)_x000D_
12 25 21:34:36 223  9281  9281 F DEBUG   :      36 pc 0000000000548594   system lib64 libart so (offset 0x3e5000) (ExecuteMterpImpl 14612)_x000D_
12 25 21:34:36 223  9281  9281 F DEBUG   :      37 pc 0000000000026e28   dev ashmem dalvik DEX data (deleted) (com swift sandhook xposedcompat hookstub MethodHookerStubs64 stub hook 1 28)_x000D_
12 25 21:34:36 223  9281  9281 F DEBUG   :      38 pc 00000000002537cc   system lib64 libart so (offset 0x20d000) ( ZN3art11interpreterL7ExecuteEPNS 6ThreadERKNS 20CodeItemDataAccessorERNS 11ShadowFrameENS 6JValueEb llvm 1430790321 488)_x000D_
12 25 21:34:36 223  9281  9281 F DEBUG   :      39 pc 00000000005156a0   system lib64 libart so (offset 0x3e5000) (artQuickToInterpreterBridge 1020)_x000D_
12 25 21:34:36 223  9281  9281 F DEBUG   :      40 pc 000000000055eefc   system lib64 libart so (offset 0x3e5000) (art quick to interpreter bridge 92)_x000D_
12 25 21:34:36 223  9281  9281 F DEBUG   :      41 pc 0000000000184f7c   system framework arm64 boot core oj oat (offset 0x114000) (java lang Runtime loadLibrary0 188)_x000D_
12 25 21:34:36 223  9281  9281 F DEBUG   :      42 pc 000000000018aa20   system framework arm64 boot core oj oat (offset 0x114000) (java lang System loadLibrary 96)_x000D_
12 25 21:34:36 223  9281  9281 F DEBUG   :      43 pc 00000000001c1970   data app com android webview 1OPG2JvSz6xzHmpBuPS31Q   oat arm64 base odex (offset 0xef000) (com android webview chromium WebViewChromiumFactoryProvider f 3504)_x000D_
12 25 21:34:36 223  9281  9281 F DEBUG   :      44 pc 00000000001bfd18   data app com android webview 1OPG2JvSz6xzHmpBuPS31Q   oat arm64 base odex (offset 0xef000) (com android webview chromium WebViewChromiumFactoryProvider  init  472)_x000D_
12 25 21:34:36 223  9281  9281 F DEBUG   :      45 pc 0000000000334390   data app com android webview 1OPG2JvSz6xzHmpBuPS31Q   oat arm64 base odex (offset 0xef000) (com android webview chromium WebViewChromiumFactoryProviderForO  init   DEDUPED  48)_x000D_
12 25 21:34:36 223  9281  9281 F DEBUG   :      46 pc 0000000000334544   data app com android webview 1OPG2JvSz6xzHmpBuPS31Q   oat arm64 base odex (offset 0xef000) (com android webview chromium WebViewChromiumFactoryProviderForP create 84)_x000D_
12 25 21:34:36 223  9281  9281 F DEBUG   :      47 pc 000000000055604c   system lib64 libart so (offset 0x3e5000) (art quick invoke static stub 604)_x000D_
12 25 21:34:36 223  9281  9281 F DEBUG   :      48 pc 00000000000cf8e8   system lib64 libart so (art::ArtMethod::Invoke(art::Thread   unsigned int   unsigned int  art::JValue   char const ) 232)_x000D_
12 25 21:34:36 223  9281  9281 F DEBUG   :      49 pc 000000000045d04c   system lib64 libart so (offset 0x3e5000) (art::(anonymous namespace)::InvokeWithArgArray(art::ScopedObjectAccessAlreadyRunnable const   art::ArtMethod   art::(anonymous namespace)::ArgArray   art::JValue   char const ) 104)_x000D_
12 25 21:34:36 223  9281  9281 F DEBUG   :      50 pc 000000000045eaa0   system lib64 libart so (offset 0x3e5000) (art::InvokeMethod(art::ScopedObjectAccessAlreadyRunnable const    jobject    jobject    jobject   unsigned long) 1440)_x000D_
12 25 21:34:36 223  9281  9281 F DEBUG   :      51 pc 00000000003ee9e0   system lib64 libart so (offset 0x375000) (art::Method invoke( JNIEnv    jobject    jobject    jobjectArray ) 52)_x000D_
12 25 21:34:36 223  9281  9281 F DEBUG   :      52 pc 000000000011e6d4   system framework arm64 boot core oj oat (offset 0x114000) (java lang Class getDeclaredMethodInternal  DEDUPED  180)_x000D_
12 25 21:34:36 223  9281  9281 F DEBUG   :      53 pc 0000000000bafc18   system framework arm64 boot framework oat (offset 0x3d1000) (android webkit WebViewFactory getProvider 936)_x000D_
12 25 21:34:36 223  9281  9281 F DEBUG   :      54 pc 0000000000ded0e8   system framework arm64 boot framework oat (offset 0x3d1000) (android webkit WebView setOverScrollMode 104)_x000D_
12 25 21:34:36 223  9281  9281 F DEBUG   :      55 pc 0000000000c6897c   system framework arm64 boot framework oat (offset 0x3d1000) (android view View  init  572)_x000D_
12 25 21:34:36 223  9281  9281 F DEBUG   :      56 pc 0000000000c68da4   system framework arm64 boot framework oat (offset 0x3d1000) (android view View  init  116)_x000D_
12 25 21:34:36 223  9281  9281 F DEBUG   :      57 pc 0000000000d34318   system framework arm64 boot framework oat (offset 0x3d1000) (android view ViewGroup  init  72)_x000D_
12 25 21:34:36 223  9281  9281 F DEBUG   :      58 pc 0000000000dea75c   system framework arm64 boot framework oat (offset 0x3d1000) (android webkit WebView  init  76)_x000D_
12 25 21:34:36 223  9281  9281 F DEBUG   :      59 pc 0000000000dea638   system framework arm64 boot framework oat (offset 0x3d1000) (android webkit WebView  init  72)_x000D_
12 25 21:34:36 223  9281  9281 F DEBUG   :      60 pc 0000000001da0a9c   data app games wfs anothereden dkILE6vxLbL8X1VWpAHGvQ   oat arm64 base odex (offset 0x5e3000) (net wrightflyer toybox AppActivity onCreate 652)_x000D_
12 25 21:34:36 223  9281  9281 F DEBUG   :      61 pc 0000000000a74c5c   system framework arm64 boot framework oat (offset 0x3d1000) (android app Activity performCreate 172)_x000D_
12 25 21:34:36 223  9281  9281 F DEBUG   :      62 pc 0000000000764b10   system framework arm64 boot framework oat (offset 0x3d1000) (android app Instrumentation callActivityOnCreate 80)_x000D_
12 25 21:34:36 223  9281  9281 F DEBUG   :      63 pc 00000000008853c0   system framework arm64 boot framework oat (offset 0x3d1000) (android app ActivityThread performLaunchActivity 2112)_x000D_
12 25 21:34:36 223  9281  9281 F DEBUG   :      64 pc 000000000088ae88   system framework arm64 boot framework oat (offset 0x3d1000) (android app ActivityThread handleLaunchActivity 424)_x000D_
12 25 21:34:36 223  9281  9281 F DEBUG   :      65 pc 0000000000a7e2b4   system framework arm64 boot framework oat (offset 0x3d1000) (android app servertransaction LaunchActivityItem execute 372)_x000D_
12 25 21:34:36 223  9281  9281 F DEBUG   :      66 pc 00000000007839f4   system framework arm64 boot framework oat (offset 0x3d1000) (android app servertransaction TransactionExecutor executeCallbacks 708)_x000D_
12 25 21:34:36 223  9281  9281 F DEBUG   :      67 pc 00000000007836b8   system framework arm64 boot framework oat (offset 0x3d1000) (android app servertransaction TransactionExecutor execute 280)_x000D_
12 25 21:34:36 223  9281  9281 F DEBUG   :      68 pc 00000000008776b4   system framework arm64 boot framework oat (offset 0x3d1000) (android app ActivityThread H handleMessage 308)_x000D_
12 25 21:34:36 223  9281  9281 F DEBUG   :      69 pc 0000000000ab2644   system framework arm64 boot framework oat (offset 0x3d1000) (android os Handler dispatchMessage 180)_x000D_
12 25 21:34:36 223  9281  9281 F DEBUG   :      70 pc 0000000000ab5818   system framework arm64 boot framework oat (offset 0x3d1000) (android os Looper loop 1560)_x000D_
12 25 21:34:36 223  9281  9281 F DEBUG   :      71 pc 00000000008841f8   system framework arm64 boot framework oat (offset 0x3d1000) (android app ActivityThread main 664)_x000D_
12 25 21:34:36 223  9281  9281 F DEBUG   :      72 pc 000000000055604c   system lib64 libart so (offset 0x3e5000) (art quick invoke static stub 604)_x000D_
12 25 21:34:36 223  9281  9281 F DEBUG   :      73 pc 00000000000cf8e8   system lib64 libart so (art::ArtMethod::Invoke(art::Thread   unsigned int   unsigned int  art::JValue   char const ) 232)_x000D_
12 25 21:34:36 223  9281  9281 F DEBUG   :      74 pc 000000000045d04c   system lib64 libart so (offset 0x3e5000) (art::(anonymous namespace)::InvokeWithArgArray(art::ScopedObjectAccessAlreadyRunnable const   art::ArtMethod   art::(anonymous namespace)::ArgArray   art::JValue   char const ) 104)_x000D_
12 25 21:34:36 223  9281  9281 F DEBUG   :      75 pc 000000000045eaa0   system lib64 libart so (offset 0x3e5000) (art::InvokeMethod(art::ScopedObjectAccessAlreadyRunnable const    jobject    jobject    jobject   unsigned long) 1440)_x000D_
12 25 21:34:36 223  9281  9281 F DEBUG   :      76 pc 00000000003ee9e0   system lib64 libart so (offset 0x375000) (art::Method invoke( JNIEnv    jobject    jobject    jobjectArray ) 52)_x000D_
12 25 21:34:36 223  9281  9281 F DEBUG   :      77 pc 000000000011e6d4   system framework arm64 boot core oj oat (offset 0x114000) (java lang Class getDeclaredMethodInternal  DEDUPED  180)_x000D_
12 25 21:34:36 223  9281  9281 F DEBUG   :      78 pc 0000000000bed618   system framework arm64 boot framework oat (offset 0x3d1000) (com android internal os RuntimeInit MethodAndArgsCaller run 136)_x000D_
12 25 21:34:36 223  9281  9281 F DEBUG   :      79 pc 0000000000bf4800   system framework arm64 boot framework oat (offset 0x3d1000) (com android internal os ZygoteInit main 3088)_x000D_
12 25 21:34:36 223  9281  9281 F DEBUG   :      80 pc 000000000055604c   system lib64 libart so (offset 0x3e5000) (art quick invoke static stub 604)_x000D_
12 25 21:34:36 224  9281  9281 F DEBUG   :      81 pc 00000000000cf8e8   system lib64 libart so (art::ArtMethod::Invoke(art::Thread   unsigned int   unsigned int  art::JValue   char const ) 232)_x000D_
12 25 21:34:36 224  9281  9281 F DEBUG   :      82 pc 000000000045d04c   system lib64 libart so (offset 0x3e5000) (art::(anonymous namespace)::InvokeWithArgArray(art::ScopedObjectAccessAlreadyRunnable const   art::ArtMethod   art::(anonymous namespace)::ArgArray   art::JValue   char const ) 104)_x000D_
12 25 21:34:36 224  9281  9281 F DEBUG   :      83 pc 000000000045ccac   system lib64 libart so (offset 0x3e5000) (art::InvokeWithVarArgs(art::ScopedObjectAccessAlreadyRunnable const    jobject    jmethodID   std::  va list) 424)_x000D_
12 25 21:34:36 224  9281  9281 F DEBUG   :      84 pc 000000000036236c   system lib64 libart so (offset 0x20d000) (art::JNI::CallStaticVoidMethodV( JNIEnv    jclass    jmethodID   std::  va list) 652)_x000D_
12 25 21:34:36 224  9281  9281 F DEBUG   :      85 pc 00000000000b179c   system lib64 libandroid runtime so ( JNIEnv::CallStaticVoidMethod( jclass    jmethodID      ) 116)_x000D_
12 25 21:34:36 224  9281  9281 F DEBUG   :      86 pc 00000000000b41c0   system lib64 libandroid runtime so (android::AndroidRuntime::start(char const   android::Vector android::String8  const   bool) 752)_x000D_
12 25 21:34:36 224  9281  9281 F DEBUG   :      87 pc 000000000000251c   system bin app process64 (main 2000)_x000D_
12 25 21:34:36 224  9281  9281 F DEBUG   :      88 pc 00000000000ca47c   system lib64 libc so (  libc init 88)_x000D_
_x000D_
   _x000D_
_x000D_
the application which be hooked will also load other native lib  but only crash on loading   data app com android webview 1OPG2JvSz6xzHmpBuPS31Q   lib arm64 libwebviewchromium so _x000D_
_x000D_
_x000D_
_x000D_
i also tried use these code in bilibili  here is the log_x000D_
   _x000D_
12 25 22:23:42 053  1422  1422 D EdXposed: using whitelist  com bilibili app in    true_x000D_
12 25 22:23:42 144 23734 23734 I EdXposed: Start to install inline hooks_x000D_
12 25 22:23:42 144 23734 23734 I EdXposed: Using api level 28_x000D_
12 25 22:23:42 144 23734 23734 I EdXposed: Start to install Riru hook_x000D_
12 25 22:23:42 257 23734 23734 I EdXposed: Riru hooks installed_x000D_
12 25 22:23:42 258 23734 23734 D EdXposed:  ZN3art7Runtime9instance E   0x724e04b700_x000D_
12 25 22:23:42 258 23734 23734 D EdXposed: art::runtime::Heap object: 0x724e0b7600_x000D_
12 25 22:23:42 258 23734 23734 D EdXposed: art method hook setup  handle 0x67d9830644a980c7_x000D_
12 25 22:23:42 258 23734 23734 D EdXposed: Classlinker hook setup  handle 0x67d9830644a980c7_x000D_
12 25 22:23:42 258 23734 23734 D EdXposed: Classlinker object: 0x724e0c8f40_x000D_
12 25 22:23:42 260 23734 23734 I EdXposed: ART hooks installed_x000D_
12 25 22:23:42 294 23734 23734 I EdXposed: init to SDK 28_x000D_
12 25 22:23:42 312 23734 23734 D EdXposed: not using yahfa_x000D_
12 25 22:23:42 317 23734 23734 D EdXposed: Done prepare_x000D_
12 25 22:23:42 367 23734 23734 I EdXposed: HookMain: getArtMethod: 0x70b58e98_x000D_
12 25 22:23:42 367 23734 23734 D EdXposed: deoptimizing method: 0x70b58e98_x000D_
12 25 22:23:42 367 23734 23734 D EdXposed: SetEntryPointsToInterpreter start  thiz 0x724e0c8f40  art method 0x70b58e98_x000D_
12 25 22:23:42 368 23734 23734 D EdXposed: method deoptimized: 0x70b58e98_x000D_
12 25 22:23:42 369 23734 23734 D EdXposed: startBootstrapHook starts: isSystem   false_x000D_
12 25 22:23:42 372 23734 23734 I EdXposed: HookMain: getArtMethod: 0x70d222e0_x000D_
12 25 22:23:42 372 23734 23734 I EdXposed: HookMain: getArtMethod: 0x70d222e0_x000D_
12 25 22:23:42 403 23734 23734 I EdXposed: HookMain: getArtMethod: 0x70cc31b8_x000D_
12 25 22:23:42 403 23734 23734 I EdXposed: HookMain: getArtMethod: 0x70cc31b8_x000D_
12 25 22:23:42 412 23734 23734 I EdXposed: Loading modules for com bilibili app in_x000D_
12 25 22:23:42 412 23734 23734 D EdXposed: module list:  data app com example aaa bp0kYzbIHK VW7IMWwxpiA   base apk_x000D_
12 25 22:23:42 413 23734 23734 I EdXposed Bridge: Loading modules from  data app com example aaa bp0kYzbIHK VW7IMWwxpiA   base apk_x000D_
12 25 22:23:42 422 23734 23734 I EdXposed Bridge:   Loading class com example aaa XposedInit_x000D_
12 25 22:23:42 433 23734 23734 D EdXposed: injected xposed into com bilibili app in_x000D_
12 25 22:23:42 476 23734 23734 D EdXposed: ActivityThread handleBindApplication() starts: pkg android  prc android_x000D_
12 25 22:23:42 476 23734 23734 D EdXposed: processName com bilibili app in  packageName com bilibili app in  appDataDir  data user 0 com bilibili app in_x000D_
12 25 22:23:42 477 23734 23734 D EdXposed: LoadedApk  init  starts: pkg com bilibili app in  prc com bilibili app in_x000D_
12 25 22:23:42 477 23734 23734 D EdXposed: LoadedApk  init  ends:  data app com bilibili app in Osu9wehOg6 B49R0QY1MyQ   base apk: pkg com bilibili app in  prc com bilibili app in_x000D_
12 25 22:23:42 482 23734 23734 D EdXposed: LoadedApk  init  has been loaded before  skip:  data app com bilibili app in Osu9wehOg6 B49R0QY1MyQ   base apk: pkg com bilibili app in  prc com bilibili app in_x000D_
12 25 22:23:42 681 23734 23734 I EdXposed: HookMain: getArtMethod: 0x70cc35a0_x000D_
12 25 22:23:42 681 23734 23734 I EdXposed: HookMain: getArtMethod: 0x70cc35a0_x000D_
12 25 22:23:42 728 23734 23734 D EdXposed: LoadedApk getClassLoader starts: pkg com bilibili app in  prc com bilibili app in_x000D_
12 25 22:23:42 728 23734 23734 D EdXposed: LoadedApk getClassLoader ends:  data app com bilibili app in Osu9wehOg6 B49R0QY1MyQ   base apk    dalvik system PathClassLoader DexPathList  zip file   system framework org apache http legacy boot jar   zip file   data app com bilibili app in Osu9wehOg6 B49R0QY1MyQ   base apk   nativeLibraryDirectories   data app com bilibili app in Osu9wehOg6 B49R0QY1MyQ   lib arm64   data app com bilibili app in Osu9wehOg6 B49R0QY1MyQ   base apk  lib arm64 v8a   system lib64   system vendor lib64   : pkg com bilibili app in  prc com bilibili app in_x000D_
12 25 22:23:42 730 23734 23734 I EdXposed: HookMain: getArtMethod: 0x700a7730_x000D_
12 25 22:23:42 730 23734 23734 I EdXposed: HookMain: getArtMethod: 0x700a7730_x000D_
12 25 22:23:42 849 23734 23734 E EdXposed Bridge: java lang NoClassDefFoundError: Class not found using the boot class loader  no stack trace available_x000D_
12 25 22:23:42 850 23734 23734 E EdXposed Bridge: java lang NoClassDefFoundError: Class not found using the boot class loader  no stack trace available_x000D_
   </t>
  </si>
  <si>
    <t>Anuken-Mindustry-4118</t>
  </si>
  <si>
    <t>121.2 &gt; 122</t>
  </si>
  <si>
    <t xml:space="preserve">  Platform  :  Android iOS Mac Windows Linux _x000D_
_x000D_
windows_x000D_
_x000D_
  Build  :  The build number under the title in the main menu  Required   LATEST  IS NOT A VERSION  I NEED THE EXACT BUILD NUMBER OF YOUR GAME  _x000D_
_x000D_
122_x000D_
_x000D_
  Issue  :  Explain your issue in detail  _x000D_
_x000D_
i can not use a mod which requires minimum 121 2 on 122_x000D_
  image (https:  user images githubusercontent com 59574967 103136650 35d30e00 46d3 11eb 909a 0d32a78c0213 png)_x000D_
_x000D_
_x000D_
  Steps to reproduce  :  How you happened across the issue  and what exactly you did to make the bug happen  _x000D_
_x000D_
1  download build 122 jar from releases_x000D_
2  open the game_x000D_
3  import the given example mod_x000D_
4  let the game restart_x000D_
5  see that the mod got disabled and you cant use it_x000D_
6  doubt your math knowledge_x000D_
_x000D_
  Link(s) to mod(s) used  :  The mod repositories or zip files that are related to the issue  if applicable  _x000D_
_x000D_
https:  github com tcookiem yeeter mod_x000D_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it happens in the menu_x000D_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</si>
  <si>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Anuken-Mindustry-4117</t>
  </si>
  <si>
    <t>item cost multiplier not applying</t>
  </si>
  <si>
    <t xml:space="preserve">  Platform  :   Windows _x000D_
_x000D_
  Build  :  121 3 _x000D_
_x000D_
  Issue  :  I made an hard map where i set the build cost multiplier to 3 0 and although the cost display in game was 3x i could still build the blocks at the normal cost  _x000D_
_x000D_
  Steps to reproduce  :  I entered the game and tried to build some graphite drills at the cost of 30 graphite and i had 40  despite that i managed to build 12 drills  _x000D_
_x000D_
  Link(s) to mod(s) used  :  Vanilla  _x000D_
_x000D_
  Save file  :  _x000D_
 bug zip (https:  github com Anuken Mindustry files 5742054 bug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_x000D_
_x000D_
   X    I have updated to the latest release (https:  github com Anuken Mindustry releases) to make sure my issue has not been fixed   _x000D_
        I have searched the closed and open issues to make sure that this problem has not already been reported   _x000D_
</t>
  </si>
  <si>
    <t>Poing-Studios-godot-admob-android-30</t>
  </si>
  <si>
    <t>[BUG] Game crashing after enabling AdMob</t>
  </si>
  <si>
    <t xml:space="preserve">  Describe the bug  _x000D_
Game crashing after enabling AdMob_x000D_
_x000D_
  To Reproduce  _x000D_
Steps to reproduce the behavior:_x000D_
1) Use Godot v3 2 4 beta4_x000D_
2) Run project on device_x000D_
_x000D_
  Expected behavior  _x000D_
Game starts with no crashes_x000D_
_x000D_
  Screenshots  _x000D_
  image (https:  user images githubusercontent com 42573485 103135164 77f65280 46c7 11eb 998c 1e392465b33c png)_x000D_
_x000D_
_x000D_
  Smartphone (please complete the following information):  _x000D_
  image (https:  user images githubusercontent com 42573485 103135172 85134180 46c7 11eb 8d04 276a7e4e1a24 png)_x000D_
</t>
  </si>
  <si>
    <t>TeamNewPipe-NewPipe-5272</t>
  </si>
  <si>
    <t>Takes time for transitions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</si>
  <si>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It takes time for transition For example if I am switching for a popup view the sound will get stopped and it will take some time to come in a popup view _x000D_
_x000D_
_x000D_
    Expected behavior_x000D_
     Tell us what you expect to happen     I want the transitions to be smooth as well as fast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version:4 4 4 KitKat_x000D_
   Device model:Samsung Galaxy Grand Prime_x000D_
</t>
  </si>
  <si>
    <t>TeamNewPipe-NewPipe-legacy-55</t>
  </si>
  <si>
    <t>0.20.5 not yet in /releases or F-Droid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</si>
  <si>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1  Go to F Droid s NewPipe Legacy page _x000D_
_x000D_
_x000D_
    Actual behaviour_x000D_
     Tell us what happens with the steps given above     _x000D_
Version 0 20 2 is still the most recent release _x000D_
_x000D_
_x000D_
    Expected behavior_x000D_
     Tell us what you expect to happen     _x000D_
Version 0 20 5 expected to be seen as the latest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4 1 2_x000D_
   Device model: LG Optimus L3 II (E430)_x000D_
</t>
  </si>
  <si>
    <t>Anuken-Mindustry-4114</t>
  </si>
  <si>
    <t>Lost sound after call</t>
  </si>
  <si>
    <t xml:space="preserve">  Platform  : Android  HUAWEI Y6 Prime 2018 
  Build  :  122 
  Issue  :  No sounds music after call  
  Steps to reproduce  :  Play and get income call  answer the call and back to game  When you will continue you will notice there is no sound and music in game  After this I m just restarting the game and all is ok  
  Link(s) to mod(s) used  :  No 
  Save file  :  Everywhere 
  (Crash) logs  :  No crashes  
   X    I have updated to the latest release (https:  github com Anuken Mindustry releases) to make sure my issue has not been fixed   
   X    I have searched the closed and open issues to make sure that this problem has not already been reported   </t>
  </si>
  <si>
    <t>codingforceLM-IronDolphinMusicPlayer-18</t>
  </si>
  <si>
    <t>Fix exception causing app to crash wehen the screen is rotated</t>
  </si>
  <si>
    <t>when the screen is rotated the app crashes</t>
  </si>
  <si>
    <t>Anuken-Mindustry-4107</t>
  </si>
  <si>
    <t>Save error</t>
  </si>
  <si>
    <t xml:space="preserve">_x000D_
  Screenshot 20201224 144857 (https:  user images githubusercontent com 73030706 103095706 7b230d00 45f9 11eb 9e2b 71c716de23b3 png)_x000D_
_x000D_
_x000D_
  Platform  :  Android iOS Mac Windows Linux  android_x000D_
_x000D_
  Build  :  The build number under the title in the main menu  Required   LATEST  IS NOT A VERSION  I NEED THE EXACT BUILD NUMBER OF YOUR GAME   build is 122  V6 (in beta program as well) _x000D_
_x000D_
  Issue  :  Explain your issue in detail   I completed the map and went to the pause menu and hit save and quit  Game then took me back to the main screen and then an error came up (in screenshot above)  When it first happened I thought it was a one off thing (was on the last campaign map for the electromagnetic railgun) but when I cleared this sector and then saved and quit I got the same error with the same code about some dictionary  _x000D_
_x000D_
  Steps to reproduce  :  How you happened across the issue  and what exactly you did to make the bug happen   cleared a sector (seems to happen on any) either by surviving a set amount of waves or destroying the core cores  Go to pause menu and hit save and quit and error should pop up saying it can t be saved  _x000D_
_x000D_
  Link(s) to mod(s) used  :  The mod repositories or zip files that are related to the issue  if applicable  _x000D_
_x000D_
https:  github com QmelZ Hackustry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storage emulated 0 Android data io anuke mindustry files saves sector serpulo 69 msav_x000D_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None since game was still running after bug was found and didn t boot me to home screen of my device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</si>
  <si>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TeamNewPipe-NewPipe-5265</t>
  </si>
  <si>
    <t>Crash on vanced app this is the crash report.ort</t>
  </si>
  <si>
    <t xml:space="preserve">   Exception_x000D_
    User Action:   ui error_x000D_
    Request:   App crash  UI failure_x000D_
    Content Country:   US_x000D_
    Content Language:   en US_x000D_
    App Language:   en_x000D_
    Service:   none_x000D_
    Version:   0 9 4_x000D_
    OS:   Linux motorola ginna t ginna:10 QPG30 82 105 80737:user release keys 10   29_x000D_
 details  summary  b Crash log   b   summary  p _x000D_
_x000D_
   _x000D_
java lang ArrayIndexOutOfBoundsException: length 4  index 4_x000D_
	at androidx preference ListPreference getEntry(ListPreference java:213)_x000D_
	at androidx preference ListPreference getSummary(ListPreference java:164)_x000D_
	at androidx preference Preference onBindViewHolder(Preference java:510)_x000D_
	at androidx preference PreferenceGroupAdapter onBindViewHolder(PreferenceGroupAdapter java:418)_x000D_
	at androidx preference PreferenceGroupAdapter onBindViewHolder(PreferenceGroupAdapter java:47)_x000D_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java:883)_x000D_
	at android os Handler dispatchMessage(Handler java:100)_x000D_
	at android os Looper loop(Looper java:241)_x000D_
	at android app ActivityThread main(ActivityThread java:7604)_x000D_
	at java lang reflect Method invoke(Native Method)_x000D_
	at com android internal os RuntimeInit MethodAndArgsCaller run(RuntimeInit java:492)_x000D_
	at com android internal os ZygoteInit main(ZygoteInit java:941)_x000D_
_x000D_
   _x000D_
  details _x000D_
 hr _x000D_
</t>
  </si>
  <si>
    <t>Anuken-Mindustry-4103</t>
  </si>
  <si>
    <t>The Disabling of Flying of a unit in servers</t>
  </si>
  <si>
    <t xml:space="preserve">  Platform  :  Windows _x000D_
_x000D_
  Build  :  v122 _x000D_
_x000D_
  Issue  :  When i got hit by a spectre while flying as gamma  my health regen and when it got lower than 0 and instantly regen  my flying ability got disabled  When i synced  it was fixed  _x000D_
_x000D_
  Steps to reproduce  :  Be gamma  get hit by a spectre and escape just after your health drops to 0 _x000D_
_x000D_
  Link(s) to mod(s) used  :  None_x000D_
_x000D_
  Save file  :  _x000D_
_x000D_
 _x000D_
_x000D_
_x000D_
_x000D_
If you remove the line above without reading it properly and understanding what it means  I will reap your soul  Even if you re playing on someone s server  you can still save the game to a slot 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X_x000D_
 save zip (https:  github com Anuken Mindustry files 5739450 save zip)_x000D_
_x000D_
https:  user images githubusercontent com 62565267 103086664 3c3f8800 45f6 11eb 8dcf 8ed4cba5839a mp4_x000D_
_x000D_
_x000D_
    I have searched the closed and open issues to make sure that this problem has not already been reported   _x000D_
</t>
  </si>
  <si>
    <t>Blankj-AndroidUtilCode-1407</t>
  </si>
  <si>
    <t>android.renderscript.RSIllegalArgumentException:Bitmap has an unsupported format for this operation</t>
  </si>
  <si>
    <t xml:space="preserve">      Bug_x000D_
         _x000D_
  AndroidUtilCode     utilcode:1 29 0 _x000D_
     Bug          BG2 W09_x000D_
      Android    Android 6 0_x000D_
_x000D_
       _x000D_
_x000D_
       _x000D_
   java_x000D_
Bitmap bitmap   ImageUtils renderScriptBlur(resource  20f  true) _x000D_
   _x000D_
   _x000D_
   _x000D_
put your code here_x000D_
   _x000D_
_x000D_
       _x000D_
_x000D_
       _x000D_
   _x000D_
_x000D_
android renderscript Allocation validateBitmapFormat(Allocation java:562)_x000D_
  _x000D_
2 android renderscript Allocation copyTo(Allocation java:1386)_x000D_
3 com blankj utilcode util m a(SourceFile:1275)_x000D_
_x000D_
_x000D_
   _x000D_
_x000D_
   _x000D_
put the stack of crash here_x000D_
   _x000D_
_x000D_
     _x000D_
  image (https:  user images githubusercontent com 13110756 103083599 bfbda100 4617 11eb 8a52 f2c17fb91c08 png)_x000D_
  image (https:  user images githubusercontent com 13110756 103083622 ce0bbd00 4617 11eb 824d 69fa2baecebf png)_x000D_
_x000D_
</t>
  </si>
  <si>
    <t>NightscoutFoundation-xDrip-1572</t>
  </si>
  <si>
    <t>Crash on sensor start</t>
  </si>
  <si>
    <t xml:space="preserve">OnePlus 7pro_x000D_
Android 10_x000D_
Latest 3 nightly s _x000D_
_x000D_
App crashes on sensor start  perfectly repeatable on every type of sensor input Oop2 or not doesn t seem to matter  Erasing app memory clears the problem  _x000D_
</t>
  </si>
  <si>
    <t>TeamNewPipe-NewPipe-5264</t>
  </si>
  <si>
    <t>Crash during Video Resolution change in Samsung Dex</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</si>
  <si>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NewPipe on the external screen in Samsung Dex_x000D_
2  Start playing a video on the external screen_x000D_
3  Select a new video resolution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App crashes with an error message  _x000D_
_x000D_
_x000D_
    Expected behavior_x000D_
     Tell us what you expect to happen     _x000D_
I would like the video to continue to play in the new resolution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App crash  UI failure_x000D_
    Content Country:   US_x000D_
    Content Language:   en_x000D_
    App Language:   en US_x000D_
    Service:   none_x000D_
    Version:   0 20 6_x000D_
    OS:   Linux samsung d2qsq d2q:10 QP1A 190711 020 N975USQU4DTH7:user release keys 10   29_x000D_
 details  summary  b Crash log   b   summary  p _x000D_
_x000D_
   _x000D_
android view WindowManager BadTokenException: Unable to add window    token android view ViewRootImpl W beb8ea6 is not valid  is your activity running _x000D_
	at android view ViewRootImpl setView(ViewRootImpl java:1150)_x000D_
	at android view WindowManagerGlobal addView(WindowManagerGlobal java:471)_x000D_
	at android view WindowManagerImpl addView(WindowManagerImpl java:95)_x000D_
	at android widget PopupWindow invokePopup(PopupWindow java:1621)_x000D_
	at android widget PopupWindow showAsDropDown(PopupWindow java:1456)_x000D_
	at android widget ListPopupWindow show(ListPopupWindow java:762)_x000D_
	at com android internal view menu StandardMenuPopup tryShow(StandardMenuPopup java:239)_x000D_
	at com android internal view menu StandardMenuPopup show(StandardMenuPopup java:274)_x000D_
	at com android internal view menu MenuPopupHelper showPopup(MenuPopupHelper java:288)_x000D_
	at com android internal view menu MenuPopupHelper tryShow(MenuPopupHelper java:180)_x000D_
	at com android internal view menu MenuPopupHelper show(MenuPopupHelper java:144)_x000D_
	at android widget PopupMenu show(PopupMenu java:230)_x000D_
	at org schabi newpipe player VideoPlayer onQualitySelectorClicked(VideoPlayer java:759)_x000D_
	at org schabi newpipe player VideoPlayer onClick(VideoPlayer java:693)_x000D_
	at org schabi newpipe player VideoPlayerImpl onClick(VideoPlayerImpl java:767)_x000D_
	at android view View performClick(View java:7862)_x000D_
	at android widget TextView performClick(TextView java:15004)_x000D_
	at android view View performClickInternal(View java:7831)_x000D_
	at android view View access 3600(View java:879)_x000D_
	at android view View PerformClick run(View java:29359)_x000D_
	at android os Handler handleCallback(Handler java:883)_x000D_
	at android os Handler dispatchMessage(Handler java:100)_x000D_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_x000D_
  details _x000D_
 hr _x000D_
</t>
  </si>
  <si>
    <t>TeamNewPipe-NewPipe-5261</t>
  </si>
  <si>
    <t>Song 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</si>
  <si>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</si>
  <si>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Anuken-Mindustry-4094</t>
  </si>
  <si>
    <t>Where are my copper drills?</t>
  </si>
  <si>
    <t xml:space="preserve">  Platform  :  Android iOS Mac Windows Linux _x000D_
Android_x000D_
_x000D_
  Build  :  The build number under the title in the main menu  Required   LATEST  IS NOT A VERSION  I NEED THE EXACT BUILD NUMBER OF YOUR GAME  _x000D_
121 4_x000D_
_x000D_
  Issue  :  Explain your issue in detail  _x000D_
I launched to sector 124 and i got a core without copper drills_x000D_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Screenshot 20201223 211501 Mindustry (https:  user images githubusercontent com 49868160 103034069 5761b780 4564 11eb 8135 e96e93363097 jpg)_x000D_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</si>
  <si>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wallabag-android-app-1125</t>
  </si>
  <si>
    <t>App crashes when using quote character " in search</t>
  </si>
  <si>
    <t xml:space="preserve">  Issue details_x000D_
_x000D_
    Duplicate _x000D_
Have you searched the issues of this repository if your issue is already known  yes_x000D_
_x000D_
    Actual behaviour_x000D_
  When I input the character   into the search box  the app crashes (it closes  and if I try a second time I get the Android toast  wallabag s arr te automatiquement )_x000D_
_x000D_
    Expected behaviour_x000D_
  no crash  either   is ignored or it is used to search a whole phrase instead of individual words like in some search engine (that s what I wanted but I would have understood if it was just ignored)_x000D_
_x000D_
  Steps to reproduce the issue_x000D_
1  tap the search icon_x000D_
2  input   into the box_x000D_
3  _x000D_
_x000D_
  Environment details_x000D_
    wallabag app version  : 2 4 2 (228)_x000D_
    wallabag app installation source   (e g  Gplay  F Droid  manual): F Droid_x000D_
    Android OS version  : 9_x000D_
    Android ROM   (e g  stock  LineageOS  SlimRom  ): stock Samsung (One UI 1 1)_x000D_
    Android hardware  : Samsung Galaxy Tab S5e_x000D_
    wallabag server version  : wallabag it_x000D_
    Do you have Two Factor Authentication enabled   : no_x000D_
_x000D_
_x000D_
  Logs_x000D_
   wallabag server_x000D_
Please paste relevant wallabag server logs here (from file   wallabag  var logs prod log ):_x000D_
n a_x000D_
_x000D_
   Web server_x000D_
Please paste relevant web server logs (e g  from nginx  Apache   ) here:_x000D_
n a_x000D_
  NOTE:   Be super sure to remove sensitive data like passwords  note that everybody can look here _x000D_
_x000D_
_x000D_
  Your experience with wallabag Android app_x000D_
Have you had any luck using wallabag Android app before  (Sometimes we get tired of reading bug reports all day and a lil  positive end note does wonders)_x000D_
Yes  I love it  The recent improvement in search performance was much appreciated _x000D_
</t>
  </si>
  <si>
    <t>Anuken-Mindustry-4092</t>
  </si>
  <si>
    <t>Repeatable "Player cannot configure a tile" multiplayer crash reentering sector after defeat in campaign</t>
  </si>
  <si>
    <t xml:space="preserve">  Platform  : Windows_x000D_
_x000D_
  Build  : steam build 121 4_x000D_
_x000D_
  Issue  : Crash:  mindustry net ValidateException: Player cannot configure a tile   (full log trace below)_x000D_
_x000D_
  Steps to reproduce  :_x000D_
_x000D_
1  (From the attached campaign save)_x000D_
2  Go to Sector 124 (a resource pooling launch sector  it s right near the starting location) _x000D_
3  Open for multiplayer    I cannot reproduce this in singleplayer    I was playing with a friend  and this  was  repeatable upon relaunching and rejoining  I ll find out later if getting it to load save again OK in singleplayer has fixed multiplayer _x000D_
4  Launch for Overgrowth  which at this point in the campaign has  just  been lost to the boss at wave 30  (Argh  it heals so  fast  )_x000D_
5  Crash _x000D_
_x000D_
  Link(s) to mod(s) used  : No mods  This campaign save  was  migrated from v5  if that matters _x000D_
_x000D_
  Save file  : I believe these are the right files for the campaign save:  saves zip (https:  github com Anuken Mindustry files 5736318 saves zip)_x000D_
_x000D_
  (Crash) logs  : From the original crash  and the retry:_x000D_
_x000D_
   crash report 12 23 2020 03 21 57 txt (https:  github com Anuken Mindustry files 5736321 crash report 12 23 2020 03 21 57 txt)_x000D_
   crash report 12 23 2020 03 20 14 txt (https:  github com Anuken Mindustry files 5736322 crash report 12 23 2020 03 20 14 txt)_x000D_
_x000D_
(They re both the same stack trace  eyeballing it )_x000D_
_x000D_
Random hypothesis: I think my buddy was controlling a unit at the time we lost  Could it be trying to reattach them on load to a unit that s now dead _x000D_
_x000D_
   _x000D_
_x000D_
 Place an X (no spaces) between the brackets to confirm that you have read the line below    _x000D_
        I have updated to the latest release (https:  github com Anuken Mindustry releases) to make sure my issue has not been fixed   _x000D_
    Can t  I don t have Java installed  and it doesn t look like you have a beta branch on Steam or anything _x000D_
   X    I have searched the closed and open issues to make sure that this problem has not already been reported   _x000D_
    Closest I can find is  2222  which was closed as being caused by mods  I ve never used mods </t>
  </si>
  <si>
    <t>microg-GmsCore-1335</t>
  </si>
  <si>
    <t>Rosetta Stone crash to startup</t>
  </si>
  <si>
    <t xml:space="preserve">I have same bug like here: https:  github com microg GmsCore issues 1108 but no one fixed this yet _x000D_
_x000D_
Rosetta Stone appears to crash repeatedly during its startup screen  flashing a white screen every second or two and restarting the startup animation _x000D_
_x000D_
Huawei phone _x000D_
_x000D_
 mar v in </t>
  </si>
  <si>
    <t>MuntashirAkon-AppManager-201</t>
  </si>
  <si>
    <t>Crash when clicking in certain options in the "App Ops" tab</t>
  </si>
  <si>
    <t xml:space="preserve">
  Describe the bug  
Clicking the  Deny dangerous app  ops and    Set custom app op    options causes crashes 
  To Reproduce  
Steps to reproduce the behaviour:
1  Go to  App Ops  tab in any app
2  Click on  Deny dangerous app ops  or    Set custom app op   
3  See error
  Crash logs  
  In  Deny dangerous app ops   :
java lang RuntimeException: Couldn t connect to appOpsService locally
    at io github muntashirakon AppManager appops AppOpsService  init (AppOpsService java:45)
    at io github muntashirakon AppManager details AppDetailsViewModel ignoreDangerousAppOps(AppDetailsViewModel java:452)
    at io github muntashirakon AppManager details AppDetailsFragment lambda onOptionsItemSelected 14 AppDetailsFragment(AppDetailsFragment java:363)
    at io github muntashirakon AppManager details    Lambda AppDetailsFragment qrZbw68KsLdlAVvjaxI4dQch348 run(lambda)
    at java lang Thread run(Thread java:760)
Device Info:
App version: 2 5 21 DEBUG
App version code: 376
Android build version: V11 0 2 0 NCFMIXM
Android release version: 7 0
Android SDK version: 24
Android build ID: AL1512 mido build 20191107001817
Device brand: xiaomi
Device manufacturer: Xiaomi
Device name: mido
Device model: Redmi Note 4
Device product name: mido
Device hardware name: qcom
ABIs:  arm64 v8a  armeabi v7a  armeabi 
ABIs (32bit):  armeabi v7a  armeabi 
ABIs (64bit):  arm64 v8a 
System language: pt BR
In App Language: auto
  In  Set custom app op   :
java lang ArrayIndexOutOfBoundsException: length 32  index 32
    at io github muntashirakon AppManager appops AppOpsManager opToName(AppOpsManager java:1482)
    at io github muntashirakon AppManager details AppDetailsFragment getAppOpNames(AppDetailsFragment java:561)
    at io github muntashirakon AppManager details AppDetailsFragment onOptionsItemSelected(AppDetailsFragment java:378)
    at androidx fragment app Fragment performOptionsItemSelected(Fragment java:3094)
    at androidx fragment app FragmentManager dispatchOptionsItemSelected(FragmentManager java:3207)
    at androidx fragment app FragmentController dispatchOptionsItemSelected(FragmentController java:416)
    at androidx fragment app FragmentActivity onMenuItemSelected(FragmentActivity java:346)
    at androidx appcompat app AppCompatActivity onMenuItemSelected(AppCompatActivity java:264)
    at androidx appcompat view WindowCallbackWrapper onMenuItemSelected(WindowCallbackWrapper java:109)
    at androidx appcompat view WindowCallbackWrapper onMenuItemSelected(WindowCallbackWrapper java:109)
    at androidx appcompat app ToolbarActionBar 2 onMenuItemClick(ToolbarActionBar java:65)
    at androidx appcompat widget Toolbar 1 onMenuItemClick(Toolbar java:207)
    at androidx appcompat widget ActionMenuView MenuBuilderCallback onMenuItemSelected(ActionMenuView java:779)
    at androidx appcompat view menu MenuBuilder dispatchMenuItemSelected(MenuBuilder java:834)
    at androidx appcompat view menu MenuItemImpl invoke(MenuItemImpl java:158)
    at androidx appcompat view menu MenuBuilder performItemAction(MenuBuilder java:985)
    at androidx appcompat view menu MenuPopup onItemClick(MenuPopup java:128)
    at android widget AdapterView performItemClick(AdapterView java:310)
    at android widget AbsListView performItemClick(AbsListView java:1161)
    at android widget AbsListView PerformClick run(AbsListView java:3142)
    at android widget AbsListView 3 run(AbsListView java:4057)
    at android os Handler handleCallback(Handler java:754)
    at android os Handler dispatchMessage(Handler java:95)
    at android os Looper loop(Looper java:165)
    at android app ActivityThread main(ActivityThread java:6375)
    at java lang reflect Method invoke(Native Method)
    at com android internal os ZygoteInit MethodAndArgsCaller run(ZygoteInit java:912)
    at com android internal os ZygoteInit main(ZygoteInit java:802)
Device Info:
App version: 2 5 21 DEBUG
App version code: 376
Android build version: V11 0 2 0 NCFMIXM
Android release version: 7 0
Android SDK version: 24
Android build ID: AL1512 mido build 20191107001817
Device brand: xiaomi
Device manufacturer: Xiaomi
Device name: mido
Device model: Redmi Note 4
Device product name: mido
Device hardware name: qcom
ABIs:  arm64 v8a  armeabi v7a  armeabi 
ABIs (32bit):  armeabi v7a  armeabi 
ABIs (64bit):  arm64 v8a 
System language: pt BR
In App Language: auto
  Device info  
   Device: Redmi Note 4
   OS Version: MIUI 11 (Android 7 0)
   App Manager Version: v2 5 21 DEBUG 627  628
   Mode: no root
</t>
  </si>
  <si>
    <t>TeamNewPipe-NewPipe-5256</t>
  </si>
  <si>
    <t>No NewPipe logo on Fire TV Stick</t>
  </si>
  <si>
    <t xml:space="preserve">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side load the apk to amazon fire tv stick (2020)_x000D_
     FireOS 7 2 2 8_x000D_
     Starteseitenversion 6300180 1_x000D_
_x000D_
    Actual behaviour_x000D_
   It appears in the installed apps menu but without a logo_x000D_
_x000D_
_x000D_
_x000D_
    Expected behavior_x000D_
   the app should have the newpipe logo_x000D_
_x000D_
following this guide: https:  www aftvnews com how to fix missing or broken icons for sideloaded apps on amazon fire tv  fixes the issue _x000D_
_x000D_
    Screenshots Screen recordings_x000D_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Fire TV Stick (2020)_x000D_
     FireOS 7 2 2 8_x000D_
     Starteseitenversion 6300180 1_x000D_
_x000D_
_x000D_
</t>
  </si>
  <si>
    <t>AOF-Dev-MCinaBox-757</t>
  </si>
  <si>
    <t>CRASH</t>
  </si>
  <si>
    <t xml:space="preserve">  Describe the crash  _x000D_
A clear and concise description of what the bug is _x000D_
_x000D_
  To Reproduce  _x000D_
Steps to reproduce the crash:_x000D_
1  Go to      _x000D_
2  Click on       _x000D_
3  Scroll down to       _x000D_
4  See the crash_x000D_
_x000D_
  Expected behavior  _x000D_
A clear and concise description of what you expected to happen _x000D_
_x000D_
  Screenshots  _x000D_
If applicable  add screenshots to help explain your problem _x000D_
_x000D_
  Smartphone (please complete the following information):  _x000D_
   Device:  e g  Xiaomi Resmi 6A_x000D_
_x000D_
https:  user images githubusercontent com 76165040 102974561 56636280 4531 11eb 908b b4b0b2ce1016 mp4_x000D_
_x000D_
 _x000D_
   OS:  e g  Android 11 _x000D_
   App Version  e g  v0 1 4p4 _x000D_
_x000D_
  Additional context  _x000D_
Add any other context about the problem here _x000D_
</t>
  </si>
  <si>
    <t>ElderDrivers-EdXposed-756</t>
  </si>
  <si>
    <t>[BUG] EdXposed Framework is installed, but not active</t>
  </si>
  <si>
    <t xml:space="preserve">    
                                  Xposed     Magisk   
If you encountered boot loop  please make sure you have disabled all unrelated Xposed and Magisk modules before submit an issue
In any case  the title should be in English
       What happened   
EdXposed Framework is installed  but not active  Please check the logs for details 
Such as bootloop  module not loaded  etc
  Xposed     Xposed Module List  
  EdXposed Manager
  Magisk     Magisk Module List  
  Riru
  EdXposed (Sandhook)
  Systemless Hosts
  Energized
  Swift Installer Module
  F Droid Privileged
       Versions  
Android: 10 (Oxygen OS 10 3 7   OnePlus 7 Pro)
Magisk: 20 4
Riru: 23 1
EdXposed: 0 5 1 3 4646 (Sandhook)
       Related Logs  
               debug   EdXposed       
Please capture log with debug version  otherwise it won t help us locating the issue
          beginning of head
EdXposed Log
Powered by Log Catcher
QQ support group: 855219808
Telegram support group:  Code Of MeowCat
Telegram channel:  EdXposed
          beginning of information
Manufacturer: OnePlus
Brand: OnePlus
Device: OnePlus7Pro
Product: OnePlus7Pro
Model: GM1911
Fingerprint: OnePlus OnePlus7Pro OnePlus7Pro:10 QKQ1 190716 003 2011052232:user release keys
ROM description: OnePlus7Pro user 10 QKQ1 190716 003 2011052232 release keys
Architecture: arm64 v8a
Android build: QKQ1 190716 003
Android version: 10
Android sdk: 29
EdXposed version: v0 5 1 3 4646 master (SandHook)
EdXposed api: 93
Riru version: v23 1 (51)
Riru api: 10
Magisk: 20 4 (20400)
          beginning of main
          beginning of system
01 06 16:29:06 832   801   801 F art apex: Device is not fsverity enabled 
12 23 11:52:10 025   810   810 I EdXposed: onModuleLoaded: welcome to EdXposed 
12 23 11:52:10 026   810   810 I EdXposed: Got base config path:  data misc edxp B3NLbWJHpfAT4Hj3
12 23 11:52:10 193   811   811 I EdXposed: onModuleLoaded: welcome to EdXposed 
12 23 11:52:10 196   811   811 I EdXposed: Got base config path:  data misc edxp B3NLbWJHpfAT4Hj3
12 23 11:52:12 052   810   810 W EdXposed: installer not set  using default one org meowcat edxposed manager
12 23 11:52:12 052   810   810 E EdXposed: filesystem error: in directory iterator::directory iterator(   ): No such file or directory   data misc edxp B3NLbWJHpfAT4Hj3 0 conf whitelist  
12 23 11:52:12 053   810   810 E EdXposed: filesystem error: in directory iterator::directory iterator(   ): No such file or directory   data misc edxp B3NLbWJHpfAT4Hj3 0 conf blacklist  
12 23 11:52:12 053   810   810 E EdXposed: Cannot access path  data misc edxp B3NLbWJHpfAT4Hj3 0 conf modules list
12 23 11:52:12 053   810   810 I EdXposed: base config path:  data misc edxp B3NLbWJHpfAT4Hj3 0
12 23 11:52:12 053   810   810 I EdXposed:   using installer package name: org meowcat edxposed manager
12 23 11:52:12 053   810   810 I EdXposed:   using whitelist: false
12 23 11:52:12 053   810   810 I EdXposed:   deopt boot image: false
12 23 11:52:12 053   810   810 I EdXposed:   no module log: false
12 23 11:52:12 053   810   810 I EdXposed:   resources hook: false
12 23 11:52:12 053   810   810 I EdXposed:   white list: 
12 23 11:52:12 053   810   810 I EdXposed:  
12 23 11:52:12 053   810   810 I EdXposed:   black list: 
12 23 11:52:12 053   810   810 I EdXposed:  
12 23 11:52:12 053   810   810 I EdXposed:   module list: 
12 23 11:52:12 053   810   810 I EdXposed:  
12 23 11:52:12 119  1614  1614 I EdXposed: Loaded  data misc edxp B3NLbWJHpfAT4Hj3 framework edservice dex with size 53392
12 23 11:52:12 121  1614  1614 W EdXposed: Installed EdXposed Service
12 23 11:52:15 248   811   811 W EdXposed: installer not set  using default one org meowcat edxposed manager
12 23 11:52:15 248   811   811 E EdXposed: filesystem error: in directory iterator::directory iterator(   ): No such file or directory   data misc edxp B3NLbWJHpfAT4Hj3 0 conf whitelist  
12 23 11:52:15 248   811   811 E EdXposed: filesystem error: in directory iterator::directory iterator(   ): No such file or directory   data misc edxp B3NLbWJHpfAT4Hj3 0 conf blacklist  
12 23 11:52:15 248   811   811 E EdXposed: Cannot access path  data misc edxp B3NLbWJHpfAT4Hj3 0 conf modules list
12 23 11:52:15 248   811   811 I EdXposed: base config path:  data misc edxp B3NLbWJHpfAT4Hj3 0
12 23 11:52:15 248   811   811 I EdXposed:   using installer package name: org meowcat edxposed manager
12 23 11:52:15 248   811   811 I EdXposed:   using whitelist: false
12 23 11:52:15 248   811   811 I EdXposed:   deopt boot image: false
12 23 11:52:15 248   811   811 I EdXposed:   no module log: false
12 23 11:52:15 248   811   811 I EdXposed:   resources hook: false
12 23 11:52:15 248   811   811 I EdXposed:   white list: 
12 23 11:52:15 248   811   811 I EdXposed:  
12 23 11:52:15 248   811   811 I EdXposed:   black list: 
12 23 11:52:15 248   811   811 I EdXposed:  
12 23 11:52:15 248   811   811 I EdXposed:   module list: 
12 23 11:52:15 248   811   811 I EdXposed:  
12 23 11:52:16 310  1614  1614 I EdXposed: registered package receiver
          beginning of crash
12 23 11:52:23 779  3789  3789 F libc    : Fatal signal 6 (SIGABRT)  code  1 (SI QUEUE) in tid 3789 (init)  pid 3789 (init)
12 23 11:52:23 821  3817  3817 F crash dump64: crash dump cpp:460  failed to attach to thread 3789: Permission denied
12 23 11:52:23 823  3789  3789 F libc    : crash dump helper failed to exec
12 23 11:53:28 443   810   810 I EdXposed: Loaded  data misc edxp B3NLbWJHpfAT4Hj3 framework edxp dex with size 287348
12 23 11:53:28 461   810   810 I EdXposed: Loaded  data misc edxp B3NLbWJHpfAT4Hj3 framework eddalvikdx dex with size 766268
12 23 11:53:28 468   810   810 I EdXposed: Loaded  data misc edxp B3NLbWJHpfAT4Hj3 framework eddexmaker dex with size 64416
12 23 11:53:28 542  9832  9832 I EdXposed: Start to install inline hooks
12 23 11:53:28 542  9832  9832 I EdXposed: Using api level 29
12 23 11:53:28 542  9832  9832 I EdXposed: Start to install Riru hook
12 23 11:53:28 853  9832  9832 I EdXposed: Riru hooks installed
12 23 11:53:28 893  9832  9832 I EdXposed: ART hooks installed
12 23 11:53:29 051  9832  9832 I EdXposed: Loading modules for org meowcat edxposed manager
12 23 11:53:29 282  9832  9832 D EdXposedManager: EdXposed is not active
12 23 11:53:29 283  9832  9832 D EdXposedManager: ApplicationList: Force add modules to list
12 23 11:53:29 594  9832  9832 D EdXposedManager: EdXposed is not active
12 23 11:53:58 632  9832  9832 D EdXposedManager: EdXposed is not active
12 23 11:54:01 273  9832  9832 D EdXposedManager: EdXposed is not active
12 23 11:54:01 275  9832  9832 I EdXposedManager: ModuleUtil    updating modules list
12 23 11:54:01 275  9832  9832 D EdXposedManager: EdXposed is not active
12 23 11:54:26 679   811   811 W EdXposed: installer not set  using default one org meowcat edxposed manager
12 23 11:54:26 682   811   811 E EdXposed: filesystem error: in directory iterator::directory iterator(   ): No such file or directory   data misc edxp B3NLbWJHpfAT4Hj3 0 conf whitelist  
12 23 11:54:26 682   811   811 E EdXposed: filesystem error: in directory iterator::directory iterator(   ): No such file or directory   data misc edxp B3NLbWJHpfAT4Hj3 0 conf blacklist  
12 23 11:54:26 683   811   811 I EdXposed: base config path:  data misc edxp B3NLbWJHpfAT4Hj3 0
12 23 11:54:26 683   811   811 I EdXposed:   using installer package name: org meowcat edxposed manager
12 23 11:54:26 683   811   811 I EdXposed:   using whitelist: false
12 23 11:54:26 683   811   811 I EdXposed:   deopt boot image: false
12 23 11:54:26 683   811   811 I EdXposed:   no module log: false
12 23 11:54:26 683   811   811 I EdXposed:   resources hook: false
12 23 11:54:26 683   811   811 I EdXposed:   white list: 
12 23 11:54:26 683   811   811 I EdXposed:  
12 23 11:54:26 683   811   811 I EdXposed:   black list: 
12 23 11:54:26 683   811   811 I EdXposed:  
12 23 11:54:26 683   811   811 I EdXposed:   module list: 
12 23 11:54:26 683   811   811 I EdXposed:  
12 23 11:55:15 520   810   810 E EdXposed: filesystem error: in directory iterator::directory iterator(   ): No such file or directory   data misc edxp B3NLbWJHpfAT4Hj3 0 conf whitelist  
12 23 11:55:15 520   810   810 E EdXposed: filesystem error: in directory iterator::directory iterator(   ): No such file or directory   data misc edxp B3NLbWJHpfAT4Hj3 0 conf blacklist  
12 23 11:55:15 521   810   810 I EdXposed: base config path:  data misc edxp B3NLbWJHpfAT4Hj3 0
12 23 11:55:15 521   810   810 I EdXposed:   using installer package name: org meowcat edxposed manager
12 23 11:55:15 521   810   810 I EdXposed:   using whitelist: false
12 23 11:55:15 521   810   810 I EdXposed:   deopt boot image: false
12 23 11:55:15 521   810   810 I EdXposed:   no module log: false
12 23 11:55:15 521   810   810 I EdXposed:   resources hook: false
12 23 11:55:15 521   810   810 I EdXposed:   white list: 
12 23 11:55:15 521   810   810 I EdXposed:  
12 23 11:55:15 521   810   810 I EdXposed:   black list: 
12 23 11:55:15 521   810   810 I EdXposed:  
12 23 11:55:15 521   810   810 I EdXposed:   module list: 
12 23 11:55:15 521   810   810 I EdXposed:  
</t>
  </si>
  <si>
    <t>ElderDrivers-EdXposed-755</t>
  </si>
  <si>
    <t>[BUG] edxposed framework installed but not actiavted on oneplus8 A11 Magisk 21.1</t>
  </si>
  <si>
    <t xml:space="preserve">  Seems this is a status check issue  because most of the modules is working properly  _x000D_
_x000D_
  Xposed     Xposed Module List  _x000D_
_x000D_
None_x000D_
_x000D_
  Magisk     Magisk Module List  _x000D_
_x000D_
Riru 23 1_x000D_
Riru Location Report Enabler 10 0_x000D_
Riru EdXposed 0 5 1 3 4646 (neither sandhook nor yafha works)_x000D_
_x000D_
       Versions  _x000D_
_x000D_
Android: 11_x000D_
_x000D_
Magisk: 21 1_x000D_
_x000D_
Riru: 23_x000D_
_x000D_
EdXposed:0 5 1 3 4646 _x000D_
_x000D_
       Related Logs  _x000D_
_x000D_
          beginning of head_x000D_
EdXposed Log_x000D_
Powered by Log Catcher_x000D_
QQ support group: 855219808_x000D_
Telegram support group:  Code Of MeowCat_x000D_
Telegram channel:  EdXposed_x000D_
          beginning of information_x000D_
Manufacturer: OnePlus_x000D_
Brand: OnePlus_x000D_
Device: OnePlus8_x000D_
Product: OnePlus8_x000D_
Model: IN2010_x000D_
Fingerprint: OnePlus OnePlus8 OnePlus8:11 RP1A 201005 001 2011190255:user release keys_x000D_
ROM description: OnePlus8 user 11   release keys_x000D_
Architecture: arm64 v8a_x000D_
Android build: RP1A 201005 001_x000D_
Android version: 11_x000D_
Android sdk: 30_x000D_
EdXposed version: v0 5 1 3 4646 master (SandHook)_x000D_
EdXposed api: 93_x000D_
Riru version: v23 1 (51)_x000D_
Riru api: 10_x000D_
Magisk: 21 1 (21100)_x000D_
          beginning of main_x000D_
          beginning of system_x000D_
12 23 13:13:03 908   875   875 I EdXposed: onModuleLoaded: welcome to EdXposed _x000D_
12 23 13:13:03 908   874   874 I EdXposed: onModuleLoaded: welcome to EdXposed _x000D_
12 23 13:13:03 909   874   874 I EdXposed: Got base config path:  data misc edxp X0cijxxMnjnAI2Qr_x000D_
12 23 13:13:03 909   875   875 I EdXposed: Got base config path:  data misc edxp X0cijxxMnjnAI2Qr_x000D_
12 23 13:13:05 885   874   874 W EdXposed: installer not set  using default one org meowcat edxposed manager_x000D_
12 23 13:13:05 886   874   874 E EdXposed: filesystem error: in directory iterator::directory iterator(   ): No such file or directory   data misc edxp X0cijxxMnjnAI2Qr 0 conf whitelist  _x000D_
12 23 13:13:05 886   874   874 E EdXposed: filesystem error: in directory iterator::directory iterator(   ): No such file or directory   data misc edxp X0cijxxMnjnAI2Qr 0 conf blacklist  _x000D_
12 23 13:13:05 886   874   874 E EdXposed: Cannot access path  data misc edxp X0cijxxMnjnAI2Qr 0 conf modules list_x000D_
12 23 13:13:05 886   874   874 I EdXposed: base config path:  data misc edxp X0cijxxMnjnAI2Qr 0_x000D_
12 23 13:13:05 886   874   874 I EdXposed:   using installer package name: org meowcat edxposed manager_x000D_
12 23 13:13:05 886   874   874 I EdXposed:   using whitelist: false_x000D_
12 23 13:13:05 886   874   874 I EdXposed:   deopt boot image: false_x000D_
12 23 13:13:05 886   874   874 I EdXposed:   no module log: false_x000D_
12 23 13:13:05 886   874   874 I EdXposed:   resources hook: false_x000D_
12 23 13:13:05 886   874   874 I EdXposed:   white list: _x000D_
12 23 13:13:05 886   874   874 I EdXposed:  _x000D_
12 23 13:13:05 886   874   874 I EdXposed:   black list: _x000D_
12 23 13:13:05 886   874   874 I EdXposed:  _x000D_
12 23 13:13:05 886   874   874 I EdXposed:   module list: _x000D_
12 23 13:13:05 886   874   874 I EdXposed:  _x000D_
12 23 13:13:05 886   874   874 D EdXposed: skip injecting into android because no module hooks it_x000D_
12 23 13:13:05 974  1747  1747 I EdXposed: Loaded  data misc edxp X0cijxxMnjnAI2Qr framework edservice dex with size 362848_x000D_
12 23 13:13:05 978  1747  1747 W EdXposed: Installed EdXposed Service_x000D_
12 23 13:13:09 356   874   874 D EdXposed: using blacklist  com oneplus coreservice    true_x000D_
12 23 13:13:09 356   874   874 D EdXposed: skip injecting xposed into com oneplus coreservice because no module hooks it_x000D_
12 23 13:13:09 370  2521  2521 D EdXposed: skipped com oneplus coreservice_x000D_
12 23 13:13:09 411   874   874 D EdXposed: using blacklist  com oneplus config    true_x000D_
12 23 13:13:09 411   874   874 D EdXposed: skip injecting xposed into com oneplus config because no module hooks it_x000D_
12 23 13:13:09 431  2562  2562 D EdXposed: skipped com oneplus config_x000D_
12 23 13:13:09 503   874   874 D EdXposed: using blacklist  com android bluetooth    true_x000D_
12 23 13:13:09 503   874   874 D EdXposed: skip injecting xposed into com android bluetooth because no module hooks it_x000D_
12 23 13:13:09 517  2595  2595 D EdXposed: skipped com android bluetooth_x000D_
12 23 13:13:09 562   874   874 D EdXposed: using blacklist  com android systemui    true_x000D_
12 23 13:13:09 562   874   874 D EdXposed: skip injecting xposed into com android systemui because no module hooks it_x000D_
12 23 13:13:09 591  2620  2620 D EdXposed: skipped com android systemui_x000D_
12 23 13:13:09 704   875   875 W EdXposed: installer not set  using default one org meowcat edxposed manager_x000D_
12 23 13:13:09 704   875   875 E EdXposed: filesystem error: in directory iterator::directory iterator(   ): No such file or directory   data misc edxp X0cijxxMnjnAI2Qr 0 conf whitelist  _x000D_
12 23 13:13:09 704   875   875 E EdXposed: filesystem error: in directory iterator::directory iterator(   ): No such file or directory   data misc edxp X0cijxxMnjnAI2Qr 0 conf blacklist  _x000D_
12 23 13:13:09 704   875   875 E EdXposed: Cannot access path  data misc edxp X0cijxxMnjnAI2Qr 0 conf modules list_x000D_
12 23 13:13:09 704   875   875 I EdXposed: base config path:  data misc edxp X0cijxxMnjnAI2Qr 0_x000D_
12 23 13:13:09 704   875   875 I EdXposed:   using installer package name: org meowcat edxposed manager_x000D_
12 23 13:13:09 704   875   875 I EdXposed:   using whitelist: false_x000D_
12 23 13:13:09 704   875   875 I EdXposed:   deopt boot image: false_x000D_
12 23 13:13:09 704   875   875 I EdXposed:   no module log: false_x000D_
12 23 13:13:09 704   875   875 I EdXposed:   resources hook: false_x000D_
12 23 13:13:09 705   875   875 I EdXposed:   white list: _x000D_
12 23 13:13:09 705   875   875 I EdXposed:  _x000D_
12 23 13:13:09 705   875   875 I EdXposed:   black list: _x000D_
12 23 13:13:09 705   875   875 I EdXposed:  _x000D_
12 23 13:13:09 705   875   875 I EdXposed:   module list: _x000D_
12 23 13:13:09 705   875   875 I EdXposed:  _x000D_
12 23 13:13:09 705   875   875 D EdXposed: skip injecting into WebViewLoader armeabi v7a because it has no data dir_x000D_
12 23 13:13:09 716   874   874 D EdXposed: skip injecting into WebViewLoader arm64 v8a because it has no data dir_x000D_
12 23 13:13:09 745  2690  2690 D EdXposed: skipped WebViewLoader armeabi v7a_x000D_
12 23 13:13:09 748  2714  2714 D EdXposed: skipped WebViewLoader arm64 v8a_x000D_
12 23 13:13:09 841   875   875 D EdXposed: skip injecting into webview zygote because it has no data dir_x000D_
12 23 13:13:09 871  2797  2797 D EdXposed: skipped webview zygote_x000D_
12 23 13:13:09 916   874   874 D EdXposed: using blacklist  com oneplus wallpaper    true_x000D_
12 23 13:13:09 916   874   874 D EdXposed: skip injecting xposed into com oneplus wallpaper because no module hooks it_x000D_
12 23 13:13:09 994  2835  2835 D EdXposed: skipped com oneplus wallpaper_x000D_
12 23 13:13:10 157   874   874 D EdXposed: using blacklist  net oneplus launcher    true_x000D_
12 23 13:13:10 157   874   874 D EdXposed: skip injecting xposed into net oneplus launcher because no module hooks it_x000D_
12 23 13:13:10 196   874   874 D EdXposed: using blacklist  com qualcomm qcrilmsgtunnel    true_x000D_
12 23 13:13:10 196   874   874 D EdXposed: skip injecting xposed into com qualcomm qcrilmsgtunnel because no module hooks it_x000D_
12 23 13:13:10 212  2973  2973 D EdXposed: skipped net oneplus launcher_x000D_
12 23 13:13:10 258  2993  2993 D EdXposed: skipped com qualcomm qcrilmsgtunnel_x000D_
12 23 13:13:10 529   874   874 D EdXposed: using blacklist  com google android networkstack    true_x000D_
12 23 13:13:10 529   874   874 D EdXposed: skip injecting xposed into com google android networkstack because no module hooks it_x000D_
12 23 13:13:10 572  3093  3093 D EdXposed: skipped com android networkstack process_x000D_
12 23 13:13:10 572   874   874 D EdXposed: using blacklist  com google android networkstack    true_x000D_
12 23 13:13:10 572   874   874 D EdXposed: skip injecting xposed into com google android networkstack because no module hooks it_x000D_
12 23 13:13:10 617  3108  3108 D EdXposed: skipped com android networkstack process_x000D_
12 23 13:13:10 658   874   874 D EdXposed: using blacklist  com qualcomm qti uceShimService    true_x000D_
12 23 13:13:10 658   874   874 D EdXposed: skip injecting xposed into com qualcomm qti uceShimService because no module hooks it_x000D_
12 23 13:13:10 692  3151  3151 D EdXposed: skipped  dataservices_x000D_
12 23 13:13:10 693   874   874 D EdXposed: using blacklist  vendor qti hardware cacert server    true_x000D_
12 23 13:13:10 694   874   874 D EdXposed: skip injecting xposed into vendor qti hardware cacert server because no module hooks it_x000D_
12 23 13:13:10 716   874   874 D EdXposed: using blacklist  com qualcomm qti telephonyservice    true_x000D_
12 23 13:13:10 716   874   874 D EdXposed: skip injecting xposed into com qualcomm qti telephonyservice because no module hooks it_x000D_
12 23 13:13:10 735  3177  3177 D EdXposed: skipped  qtidataservices_x000D_
12 23 13:13:10 747   874   874 D EdXposed: using blacklist  com qualcomm qtil aptxals    true_x000D_
12 23 13:13:10 747   874   874 D EdXposed: skip injecting xposed into com qualcomm qtil aptxals because no module hooks it_x000D_
12 23 13:13:10 765  3195  3195 D EdXposed: skipped com qualcomm qti telephonyservice_x000D_
12 23 13:13:10 779   874   874 D EdXposed: using blacklist  org codeaurora ims    true_x000D_
12 23 13:13:10 779   874   874 D EdXposed: skip injecting xposed into org codeaurora ims because no module hooks it_x000D_
12 23 13:13:10 806  3233  3233 D EdXposed: skipped org codeaurora ims_x000D_
12 23 13:13:10 821  3215  3215 D EdXposed: skipped com qualcomm qtil aptxals_x000D_
12 23 13:13:10 850   874   874 D EdXposed: using blacklist  com android se    true_x000D_
12 23 13:13:10 850   874   874 D EdXposed: skip injecting xposed into com android se because no module hooks it_x000D_
12 23 13:13:10 878   874   874 D EdXposed: using blacklist  com qualcomm qti devicestatisticsservice    true_x000D_
12 23 13:13:10 878   874   874 D EdXposed: skip injecting xposed into com qualcomm qti devicestatisticsservice because no module hooks it_x000D_
12 23 13:13:10 896  1747  1747 I EdXposed: registered package receiver_x000D_
12 23 13:13:10 907   874   874 D EdXposed: using blacklist  com oneplus orm    true_x000D_
12 23 13:13:10 907   874   874 D EdXposed: skip injecting xposed into com oneplus orm because no module hooks it_x000D_
12 23 13:13:10 909  3276  3276 D EdXposed: skipped com android se_x000D_
12 23 13:13:10 920   874   874 D EdXposed: using blacklist  com qualcomm qti cne    true_x000D_
12 23 13:13:10 920   874   874 D EdXposed: skip injecting xposed into com qualcomm qti cne because no module hooks it_x000D_
12 23 13:13:10 933  3285  3285 D EdXposed: skipped com qualcomm qti devicestatisticsservice_x000D_
12 23 13:13:10 949   874   874 D EdXposed: using blacklist  com android phone    true_x000D_
12 23 13:13:10 949   874   874 D EdXposed: skip injecting xposed into com android phone because no module hooks it_x000D_
12 23 13:13:10 964  3314  3314 D EdXposed: skipped com oneplus orm_x000D_
12 23 13:13:10 974  2483  2483 D EdXposed: using blacklist  com android settings    true_x000D_
12 23 13:13:10 974  2483  2483 D EdXposed: skip injecting xposed into com android settings because no module hooks it_x000D_
12 23 13:13:10 983  3325  3325 D EdXposed: skipped  qtidataservices_x000D_
12 23 13:13:10 992  2483  2483 D EdXposed: skipped com android settings_x000D_
12 23 13:13:11 018  3349  3349 D EdXposed: skipped com android phone_x000D_
12 23 13:13:11 076   874   874 D EdXposed: using blacklist  com google android ext services    true_x000D_
12 23 13:13:11 076   874   874 D EdXposed: skip injecting xposed into com google android ext services because no module hooks it_x000D_
          beginning of perf_x000D_
12 23 13:13:11 134  3424  3424 D EdXposed: skipped com google android ext services_x000D_
12 23 13:13:11 431   874   874 D EdXposed: using blacklist  net oneplus launcher    true_x000D_
12 23 13:13:11 431   874   874 D EdXposed: skip injecting xposed into net oneplus launcher because no module hooks it_x000D_
12 23 13:13:11 465  3513  3513 D EdXposed: skipped net oneplus launcher_x000D_
12 23 13:13:12 025   874   874 D EdXposed: using blacklist  vendor qti iwlan    true_x000D_
12 23 13:13:12 025   874   874 D EdXposed: skip injecting xposed into vendor qti iwlan because no module hooks it_x000D_
12 23 13:13:12 080  3627  3627 D EdXposed: skipped  qtidataservices_x000D_
12 23 13:13:12 624   874   874 D EdXposed: using blacklist  com google android cellbroadcastreceiver    true_x000D_
12 23 13:13:12 624   874   874 D EdXposed: skip injecting xposed into com google android cellbroadcastreceiver because no module hooks it_x000D_
12 23 13:13:12 649  3679  3679 D EdXposed: skipped com google android cellbroadcastreceiver_x000D_
12 23 13:13:12 814   874   874 D EdXposed: using blacklist  com google android gms    true_x000D_
12 23 13:13:12 814   874   874 D EdXposed: skip injecting xposed into com google android gms because no module hooks it_x000D_
12 23 13:13:12 875  3730  3730 D EdXposed: skipped com google android gms persistent_x000D_
12 23 13:13:13 022   874   874 D EdXposed: using blacklist  com oneplus twspods    true_x000D_
12 23 13:13:13 023   874   874 D EdXposed: skip injecting xposed into com oneplus twspods because no module hooks it_x000D_
12 23 13:13:13 072   874   874 D EdXposed: using blacklist  com android providers blockednumber    true_x000D_
12 23 13:13:13 072   874   874 D EdXposed: skip injecting xposed into com android providers blockednumber because no module hooks it_x000D_
12 23 13:13:13 080  3784  3784 D EdXposed: skipped com oneplus twspods_x000D_
12 23 13:13:13 114  3800  3800 D EdXposed: skipped android process acore_x000D_
12 23 13:13:13 368   874   874 D EdXposed: using blacklist  com google android permissioncontroller    true_x000D_
12 23 13:13:13 368   874   874 D EdXposed: skip injecting xposed into com google android permissioncontroller because no module hooks it_x000D_
12 23 13:13:13 388  3851  3851 D EdXposed: skipped com google android permissioncontroller_x000D_
12 23 13:13:14 450   874   874 D EdXposed: using blacklist  com android carrierdefaultapp    true_x000D_
12 23 13:13:14 450   874   874 D EdXposed: skip injecting xposed into com android carrierdefaultapp because no module hooks it_x000D_
12 23 13:13:14 472  3920  3920 D EdXposed: skipped com android carrierdefaultapp_x000D_
12 23 13:13:15 564   874   874 D EdXposed: using blacklist  net oneplus launcher    true_x000D_
12 23 13:13:15 564   874   874 D EdXposed: skip injecting xposed into net oneplus launcher because no module hooks it_x000D_
12 23 13:13:15 578  3943  3943 D EdXposed: skipped net oneplus launcher_x000D_
12 23 13:13:16 153   874   874 D EdXposed: using blacklist  net oneplus launcher    true_x000D_
12 23 13:13:16 153   874   874 D EdXposed: skip injecting xposed into net oneplus launcher because no module hooks it_x000D_
12 23 13:13:16 168  3966  3966 D EdXposed: skipped net oneplus launcher_x000D_
12 23 13:13:17 214   874   874 D EdXposed: using blacklist  net oneplus launcher    true_x000D_
12 23 13:13:17 214   874   874 D EdXposed: skip injecting xposed into net oneplus launcher because no module hooks it_x000D_
12 23 13:13:17 227  3991  3991 D EdXposed: skipped net oneplus launcher_x000D_
12 23 13:13:17 731   874   874 D EdXposed: using blacklist  com google android apps wellbeing    true_x000D_
12 23 13:13:17 731   874   874 D EdXposed: skip injecting xposed into com google android apps wellbeing because no module hooks it_x000D_
            beginning of crash  _x000D_
12 23 13:13:17 762  4052  4052 F libc    : Fatal signal 6 (SIGABRT)  code  1 (SI QUEUE) in tid 4052 (init)  pid 4052 (init)_x000D_
12 23 13:13:17 772  4034  4034 D EdXposed: skipped com google android apps wellbeing_x000D_
12 23 13:13:17 780  4061  4061 F crash dump64: crash dump cpp:474  failed to attach to thread 4052: Permission denied_x000D_
12 23 13:13:17 781  4052  4052 F libc    : crash dump helper failed to exec_x000D_
12 23 13:13:18 294   874   874 D EdXposed: using blacklist  com google android gms    true_x000D_
12 23 13:13:18 294   874   874 D EdXposed: skip injecting xposed into com google android gms because no module hooks it_x000D_
12 23 13:13:18 358   874   874 D EdXposed: using blacklist  com qualcomm qti poweroffalarm    true_x000D_
12 23 13:13:18 358   874   874 D EdXposed: skip injecting xposed into com qualcomm qti poweroffalarm because no module hooks it_x000D_
12 23 13:13:18 361  4259  4259 D EdXposed: skipped com google android gms_x000D_
12 23 13:13:18 398  4303  4303 D EdXposed: skipped com qualcomm qti poweroffalarm_x000D_
12 23 13:13:18 467   874   874 D EdXposed: using blacklist  com google android marvin talkback    true_x000D_
12 23 13:13:18 467   874   874 D EdXposed: skip injecting xposed into com google android marvin talkback because no module hooks it_x000D_
12 23 13:13:18 490  4360  4360 D EdXposed: skipped com google android marvin talkback_x000D_
12 23 13:13:18 579   874   874 D EdXposed: using blacklist  com oneplus deskclock    true_x000D_
12 23 13:13:18 579   874   874 D EdXposed: skip injecting xposed into com oneplus deskclock because no module hooks it_x000D_
12 23 13:13:18 602  4409  4409 D EdXposed: skipped com oneplus deskclock_x000D_
12 23 13:13:18 751   874   874 D EdXposed: using blacklist  com qualcomm location    true_x000D_
12 23 13:13:18 751   874   874 D EdXposed: skip injecting xposed into com qualcomm location because no module hooks it_x000D_
12 23 13:13:18 774  4436  4436 D EdXposed: skipped com qualcomm location_x000D_
12 23 13:13:18 881   874   874 D EdXposed: using blacklist  com qualcomm qti performancemode    true_x000D_
12 23 13:13:18 881   874   874 D EdXposed: skip injecting xposed into com qualcomm qti performancemode because no module hooks it_x000D_
12 23 13:13:18 902  4463  4463 D EdXposed: skipped com qualcomm qti performancemode_x000D_
12 23 13:13:20 845   874   874 D EdXposed: using blacklist  com google android as    true_x000D_
12 23 13:13:20 845   874   874 D EdXposed: skip injecting xposed into com google android as because no module hooks it_x000D_
12 23 13:13:20 882   874   874 D EdXposed: using blacklist  com oneplus faceunlock    true_x000D_
12 23 13:13:20 882   874   874 D EdXposed: skip injecting xposed into com oneplus faceunlock because no module hooks it_x000D_
12 23 13:13:20 899  4531  4531 D EdXposed: skipped com google android as_x000D_
12 23 13:13:20 917  4559  4559 D EdXposed: skipped com oneplus faceunlock_x000D_
12 23 13:13:20 999   874   874 D EdXposed: using blacklist  com google android googlequicksearchbox    true_x000D_
12 23 13:13:20 999   874   874 D EdXposed: skip injecting xposed into com google android googlequicksearchbox because no module hooks it_x000D_
12 23 13:13:21 036  4586  4586 D EdXposed: skipped com google android googlequicksearchbox:interactor_x000D_
12 23 13:13:21 038   874   874 D EdXposed: using blacklist  com google android providers media module    true_x000D_
12 23 13:13:21 038   874   874 D EdXposed: skip injecting xposed into com google android providers media module because no module hooks it_x000D_
12 23 13:13:21 078  4620  4620 D EdXposed: skipped com google android providers media module_x000D_
12 23 13:13:21 090   874   874 D EdXposed: using blacklist  com google android inputmethod latin    true_x000D_
12 23 13:13:21 090   874   874 D EdXposed: skip injecting xposed into com google android inputmethod latin because no module hooks it_x000D_
12 23 13:13:21 122  4646  4646 D EdXposed: skipped com google android inputmethod latin_x000D_
12 23 13:13:21 168   874   874 D EdXposed: using blacklist  net oneplus odm provider    true_x000D_
12 23 13:13:21 169   874   874 D EdXposed: skip injecting xposed into net oneplus odm provider because no module hooks it_x000D_
12 23 13:13:21 210   874   874 D EdXposed: using blacklist  com dolby daxservice    true_x000D_
12 23 13:13:21 210   874   874 D EdXposed: skip injecting xposed into com dolby daxservice because no module hooks it_x000D_
12 23 13:13:21 234  4688  4688 D EdXposed: skipped net oneplus odm provider_x000D_
12 23 13:13:21 243   874   874 D EdXposed: using blacklist  com android nfc    true_x000D_
12 23 13:13:21 243   874   874 D EdXposed: skip injecting xposed into com android nfc because no module hooks it_x000D_
12 23 13:13:21 279  4700  4700 D EdXposed: skipped com dolby daxservice_x000D_
12 23 13:13:21 288   874   874 D EdXposed: using blacklist  com qualcomm qti services systemhelper    true_x000D_
12 23 13:13:21 288   874   874 D EdXposed: skip injecting xposed into com qualcomm qti services systemhelper because no module hooks it_x000D_
12 23 13:13:21 302  4734  4734 D EdXposed: skipped com android nfc_x000D_
12 23 13:13:21 308  4755  4755 D EdXposed: skipped com qualcomm qti services systemhelper:systemhelper service_x000D_
12 23 13:13:21 527   874   874 D EdXposed: using blacklist  com oneplus    true_x000D_
12 23 13:13:21 527   874   874 D EdXposed: skip injecting xposed into com oneplus because no module hooks it_x000D_
12 23 13:13:21 541   874   874 D EdXposed: using blacklist  com oneplus sound tuner    true_x000D_
12 23 13:13:21 541   874   874 D EdXposed: skip injecting xposed into com oneplus sound tuner because no module hooks it_x000D_
12 23 13:13:21 563  4816  4816 D EdXposed: skipped com oneplus_x000D_
12 23 13:13:21 570   874   874 D EdXposed: using blacklist  com qualcomm qti workloadclassifier    true_x000D_
12 23 13:13:21 570   874   874 D EdXposed: skip injecting xposed into com qualcomm qti workloadclassifier because no module hooks it_x000D_
12 23 13:13:21 586  4822  4822 D EdXposed: skipped com oneplus sound tuner_x000D_
12 23 13:13:21 599   874   874 D EdXposed: using blacklist  com oneplus opbugreportlite    true_x000D_
12 23 13:13:21 599   874   874 D EdXposed: skip injecting xposed into com oneplus opbugreportlite because no module hooks it_x000D_
12 23 13:13:21 601  4849  4849 D EdXposed: skipped com qualcomm qti workloadclassifier_x000D_
12 23 13:13:21 632   874   874 D EdXposed: using blacklist  com google android gsf    true_x000D_
12 23 13:13:21 632   874   874 D EdXposed: skip injecting xposed into com google android gsf because no module hooks it_x000D_
12 23 13:13:21 637  4888  4888 D EdXposed: skipped com oneplus opbugreportlite_x000D_
12 23 13:13:21 678   874   874 D EdXposed: using blacklist  net oneplus launcher    true_x000D_
12 23 13:13:21 678   874   874 D EdXposed: skip injecting xposed into net oneplus launcher because no module hooks it_x000D_
12 23 13:13:21 706   874   874 D EdXposed: using blacklist  com oneplus brickmode    true_x000D_
12 23 13:13:21 706   874   874 D EdXposed: skip injecting xposed into com oneplus brickmode because no module hooks it_x000D_
12 23 13:13:21 728  4942  4942 D EdXposed: skipped net oneplus launcher_x000D_
12 23 13:13:21 737   874   874 D EdXposed: using blacklist  com oneplus screenrecord    true_x000D_
12 23 13:13:21 737   874   874 D EdXposed: skip injecting xposed into com oneplus screenrecord because no module hooks it_x000D_
12 23 13:13:21 751  4923  4923 D EdXposed: skipped com google process gservices_x000D_
12 23 13:13:21 755  4959  4959 D EdXposed: skipped com oneplus brickmode_x000D_
12 23 13:13:21 774  4984  4984 D EdXposed: skipped com oneplus screenrecord_x000D_
12 23 13:13:21 810   874   874 D EdXposed: using blacklist  com android keychain    true_x000D_
12 23 13:13:21 810   874   874 D EdXposed: skip injecting xposed into com android keychain because no module hooks it_x000D_
12 23 13:13:21 855   874   874 D EdXposed: using blacklist  com twitter android    true_x000D_
12 23 13:13:21 855   874   874 D EdXposed: skip injecting xposed into com twitter android because no module hooks it_x000D_
12 23 13:13:21 858  5029  5029 D EdXposed: skipped com android keychain_x000D_
12 23 13:13:21 892   874   874 D EdXposed: using blacklist  com android printspooler    true_x000D_
12 23 13:13:21 892   874   874 D EdXposed: skip injecting xposed into com android printspooler because no module hooks it_x000D_
12 23 13:13:21 903  5047  5047 D EdXposed: skipped com twitter android_x000D_
12 23 13:13:21 935   874   874 D EdXposed: using blacklist  com google android projection gearhead    true_x000D_
12 23 13:13:21 935   874   874 D EdXposed: skip injecting xposed into com google android projection gearhead because no module hooks it_x000D_
12 23 13:13:21 959  5090  5090 D EdXposed: skipped com android printspooler_x000D_
12 23 13:13:21 976  5105  5105 D EdXposed: skipped com google android projection gearhead:shared_x000D_
12 23 13:13:22 225   874   874 D EdXposed: using blacklist  com google android play games    true_x000D_
12 23 13:13:22 225   874   874 D EdXposed: skip injecting xposed into com google android play games because no module hooks it_x000D_
12 23 13:13:22 281  5208  5208 D EdXposed: skipped com google android play games_x000D_
12 23 13:13:22 305   874   874 D EdXposed: using blacklist  com google android googlequicksearchbox    true_x000D_
12 23 13:13:22 305   874   874 D EdXposed: skip injecting xposed into com google android googlequicksearchbox because no module hooks it_x000D_
12 23 13:13:22 357  5256  5256 D EdXposed: skipped com google android googlequicksearchbox:search_x000D_
12 23 13:13:22 496   874   874 D EdXposed: using blacklist  net oneplus weather    true_x000D_
12 23 13:13:22 496   874   874 D EdXposed: skip injecting xposed into net oneplus weather because no module hooks it_x000D_
12 23 13:13:22 546  5341  5341 D EdXposed: skipped net oneplus weather_x000D_
12 23 13:13:22 767   874   874 D EdXposed: using blacklist  com oneplus account    true_x000D_
12 23 13:13:22 767   874   874 D EdXposed: skip injecting xposed into com oneplus account because no module hooks it_x000D_
12 23 13:13:22 829  5485  5485 D EdXposed: skipped com oneplus account_x000D_
12 23 13:13:22 955   874   874 D EdXposed: using blacklist  com google android gsf    true_x000D_
12 23 13:13:22 955   874   874 D EdXposed: skip injecting xposed into com google android gsf because no module hooks it_x000D_
12 23 13:13:23 069  5589  5589 D EdXposed: skipped com google process gapps_x000D_
12 23 13:13:23 100   874   874 D EdXposed: using blacklist  com android hotwordenrollment okgoogle    true_x000D_
12 23 13:13:23 100   874   874 D EdXposed: skip injecting xposed into com android hotwordenrollment okgoogle because no module hooks it_x000D_
12 23 13:13:23 134  5653  5653 D EdXposed: skipped com android hotwordenrollment okgoogle_x000D_
12 23 13:13:23 396   874   874 D EdXposed: using blacklist  com android settings intelligence    true_x000D_
12 23 13:13:23 396   874   874 D EdXposed: skip injecting xposed into com android settings intelligence because no module hooks it_x000D_
12 23 13:13:23 535   874   874 D EdXposed: using blacklist  com google android projection gearhead    true_x000D_
12 23 13:13:23 535   874   874 D EdXposed: skip injecting xposed into com google android projection gearhead because no module hooks it_x000D_
12 23 13:13:23 565  5735  5735 D EdXposed: skipped com android settings intelligence_x000D_
12 23 13:13:23 645  5782  5782 D EdXposed: skipped com google android projection gearhead:car_x000D_
12 23 13:13:23 689   874   874 D EdXposed: using blacklist  net oneplus provider appcategoryprovider    true_x000D_
12 23 13:13:23 689   874   874 D EdXposed: skip injecting xposed into net oneplus provider appcategoryprovider because no module hooks it_x000D_
12 23 13:13:23 742   874   874 D EdXposed: using blacklist  com oneplus carrierlocation    true_x000D_
12 23 13:13:23 742   874   874 D EdXposed: skip injecting xposed into com oneplus carrierlocation because no module hooks it_x000D_
12 23 13:13:23 752  5830  5830 D EdXposed: skipped net oneplus provider appcategoryprovider_x000D_
12 23 13:13:23 761   874   874 D EdXposed: using blacklist  com android emergency    true_x000D_
12 23 13:13:23 761   874   874 D EdXposed: skip injecting xposed into com android emergency because no module hooks it_x000D_
12 23 13:13:23 775  5843  5843 D EdXposed: skipped com oneplus carrierlocation_x000D_
12 23 13:13:23 826  5864  5864 D EdXposed: skipped com android emergency_x000D_
12 23 13:13:24 162   874   874 D EdXposed: using blacklist  com android localtransport    true_x000D_
12 23 13:13:24 162   874   874 D EdXposed: skip injecting xposed into com android localtransport because no module hooks it_x000D_
12 23 13:13:24 268   875   875 D EdXposed: using blacklist  com android vending    true_x000D_
12 23 13:13:24 268   875   875 D EdXposed: skip injecting xposed into com android vending because no module hooks it_x000D_
12 23 13:13:24 270  5944  5944 D EdXposed: skipped com android localtransport_x000D_
12 23 13:13:24 314  5978  5978 D EdXposed: skipped com android vending_x000D_
12 23 13:13:25 035   874   874 D EdXposed: using blacklist  com google android partnersetup    true_x000D_
12 23 13:13:25 035   874   874 D EdXposed: skip injecting xposed into com google android partnersetup because no module hooks it_x000D_
12 23 13:13:25 106  6165  6165 D EdXposed: skipped com google android partnersetup_x000D_
12 23 13:13:25 245   874   874 D EdXposed: using blacklist  com oneplus mms    true_x000D_
12 23 13:13:25 245   874   874 D EdXposed: skip injecting xposed into com oneplus mms because no module hooks it_x000D_
12 23 13:13:25 280   875   875 D EdXposed: using blacklist  com android vending    true_x000D_
12 23 13:13:25 280   875   875 D EdXposed: skip injecting xposed into com android vending because no module hooks it_x000D_
12 23 13:13:25 308  6231  6231 D EdXposed: skipped com oneplus mms_x000D_
12 23 13:13:25 316  6240  6240 D EdXposed: skipped com android vending:download service_x000D_
12 23 13:13:25 562   874   874 D EdXposed: using blacklist  com oneplus security    true_x000D_
12 23 13:13:25 562   874   874 D EdXposed: skip injecting xposed into com oneplus security because no module hooks it_x000D_
12 23 13:13:25 580  6317  6317 D EdXposed: skipped com oneplus security_x000D_
12 23 13:13:25 730   874   874 D EdXposed: using blacklist  com oneplus simcontacts    true_x000D_
12 23 13:13:25 730   874   874 D EdXposed: skip injecting xposed into com oneplus simcontacts because no module hooks it_x000D_
12 23 13:13:25 754  6358  6358 D EdXposed: skipped com oneplus simcontacts_x000D_
12 23 13:13:25 837   874   874 D EdXposed: using blacklist  net oneplus push    true_x000D_
12 23 13:13:25 837   874   874 D EdXposed: skip injecting xposed into net oneplus push because no module hooks it_x000D_
12 23 13:13:25 855  6384  6384 D EdXposed: skipped net oneplus push_x000D_
12 23 13:13:26 104   874   874 D EdXposed: using blacklist  net oneplus widget    true_x000D_
12 23 13:13:26 104   874   874 D EdXposed: skip injecting xposed into net oneplus widget because no module hooks it_x000D_
12 23 13:13:26 127  6420  6420 D EdXposed: skipped net oneplus widget_x000D_
12 23 13:13:26 225   874   874 D EdXposed: using blacklist  com android providers downloads    true_x000D_
12 23 13:13:26 225   874   874 D EdXposed: skip injecting xposed into com android providers downloads because no module hooks it_x000D_
12 23 13:13:26 261  6446  6446 D EdXposed: skipped android process media_x000D_
12 23 13:13:26 500   874   874 D EdXposed: using blacklist  com android carrierconfig    true_x000D_
12 23 13:13:26 500   874   874 D EdXposed: skip injecting xposed into com android carrierconfig because no module hooks it_x000D_
12 23 13:13:26 529  6481  6481 D EdXposed: skipped com android carrierconfig_x000D_
12 23 13:13:26 582   874   874 D EdXposed: using blacklist  com qualcomm qti uim    true_x000D_
12 23 13:13:26 582   874   874 D EdXposed: skip injecting xposed into com qualcomm qti uim because no module hooks it_x000D_
12 23 13:13:26 617  6508  6508 D EdXposed: skipped com qualcomm qti uim_x000D_
12 23 13:13:26 699   874   874 D EdXposed: using blacklist  com android traceur    true_x000D_
12 23 13:13:26 699   874   874 D EdXposed: skip injecting xposed into com android traceur because no module hooks it_x000D_
12 23 13:13:26 718  6532  6532 D EdXposed: skipped com android traceur_x000D_
12 23 13:13:26 817   874   874 D EdXposed: using blacklist  com google android gms    true_x000D_
12 23 13:13:26 817   874   874 D EdXposed: skip injecting xposed into com google android gms because no module hooks it_x000D_
12 23 13:13:26 858  6556  6556 D EdXposed: skipped com google android gms ui_x000D_
12 23 13:13:27 250   874   874 D EdXposed: using blacklist  com android providers calendar    true_x000D_
12 23 13:13:27 250   874   874 D EdXposed: skip injecting xposed into com android providers calendar because no module hooks it_x000D_
12 23 13:13:27 269   875   875 D EdXposed: using blacklist  com android chrome    true_x000D_
12 23 13:13:27 269   875   875 D EdXposed: skip injecting xposed into com android chrome because no module hooks it_x000D_
12 23 13:13:27 342  6618  6618 D EdXposed: skipped com android providers calendar_x000D_
12 23 13:13:27 354  6627  6627 D EdXposed: skipped com android chrome_x000D_
12 23 13:13:27 734   874   874 D EdXposed: using blacklist  com google android projection gearhead    true_x000D_
12 23 13:13:27 734   874   874 D EdXposed: skip injecting xposed into com google android projection gearhead because no module hooks it_x000D_
12 23 13:13:27 758  6703  6703 D EdXposed: skipped com google android projection gearhead:projection_x000D_
12 23 13:13:27 899   874   874 D EdXposed: using blacklist  com oneplus aod    true_x000D_
12 23 13:13:27 899   874   874 D EdXposed: skip injecting xposed into com oneplus aod because no module hooks it_x000D_
12 23 13:13:27 925  6739  6739 D EdXposed: skipped com oneplus aod_x000D_
12 23 13:13:28 296  2487  2487 I EdXposed: Loaded  data misc edxp X0cijxxMnjnAI2Qr framework edxp dex with size 509948_x000D_
12 23 13:13:28 300   874   874 D EdXposed: using blacklist  com oneplus contacts    true_x000D_
12 23 13:13:28 300   874   874 D EdXposed: skip injecting xposed into com oneplus contacts because no module hooks it_x000D_
12 23 13:13:28 356  6825  6825 D EdXposed: skipped com oneplus contacts_x000D_
12 23 13:13:28 371   874   874 D EdXposed: using blacklist  com google android gms    true_x000D_
12 23 13:13:28 371   874   874 D EdXposed: skip injecting xposed into com google android gms because no module hooks it_x000D_
12 23 13:13:28 378  </t>
  </si>
  <si>
    <t>TeamNewPipe-NewPipe-5255</t>
  </si>
  <si>
    <t>Duplicated videos in a playlist don't load after the 1st one.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</si>
  <si>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1  Go to any playlist with a duplicated video that plays after the original _x000D_
2  Press on the background play option or play all _x000D_
3  Wait until the original video is done or fast forward  then comes the infinite buffering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After the og video  the duplicate will be stuck buffering in timelessness _x000D_
_x000D_
_x000D_
    Expected behavior_x000D_
     Tell us what you expect to happen     _x000D_
The duplicate video loads as normal without an issue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Because of this issue  I had to switch to the pre unified 0 19 8 version which loaded the playlist as normal but buffered a little after some time and then went back to playing the expected video  I have no idea at all what s causing this issue in the newer builds but it s most probably youtube s doing  I do hope you at least try to fix this because there s no other ad free app I can listen to my long playlists on _x000D_
 _x000D_
Thank you _x000D_
_x000D_
_x000D_
     Please fill this out when you do not provide a log generate by NewPipe    _x000D_
_x000D_
    Device info_x000D_
_x000D_
   Android version Custom ROM version: 9_x000D_
   Device model: Samsung J5 (2017 Build)_x000D_
</t>
  </si>
  <si>
    <t>PojavLauncherTeam-PojavLauncher-530</t>
  </si>
  <si>
    <t>[BUG] pixelmon reforged and pixelmon gens crashes</t>
  </si>
  <si>
    <t xml:space="preserve">  Describe the bug  _x000D_
Ok so let s start I either put reforged or generations in mods folder 1 12 2 forge I asked the devs of reforged they said u the devs need to look the issue they say is the way they handle cursor input on there end crashes here s what gens does it goes to menu load into world or server crash hope it can be fixed the error is nosuchmethoderror_x000D_
_x000D_
  To Reproduce  _x000D_
Steps to reproduce the behavior:_x000D_
1  Have pixelmon generations or reforged in mods_x000D_
2  Start pojav launcher_x000D_
3  Launch forge 1 12 2_x000D_
4  Wait for mojang logo reforged load into world or server generations_x000D_
5  Automatic crash after black screen with no controls_x000D_
_x000D_
   _x000D_
_x000D_
  Expected behavior  _x000D_
I expected that the menu would load and no crash from the mod since biomes o plenty optifine don t cause any probs _x000D_
_x000D_
  Screenshots  _x000D_
I don t have any but willing to post more if u need it_x000D_
_x000D_
  Platform:  _x000D_
   Device Model moto g power_x000D_
   CPU architecture aarch 64_x000D_
   Android Version 10_x000D_
</t>
  </si>
  <si>
    <t>Anuken-Mindustry-4082</t>
  </si>
  <si>
    <t>Can't relaunch into Planetary Launch Terminal after losing it</t>
  </si>
  <si>
    <t xml:space="preserve">  Platform  :  Windows 10 x64 _x000D_
_x000D_
  Build  :  steam build 121 4 _x000D_
_x000D_
  Issue  :  Can t relaunch into Planetary Launch Terminal after losing it _x000D_
_x000D_
  Steps to reproduce  :  lose Planetary Launch Terminal offscreen  when you go to retake it  first time crash  when trying again  it worked but did not give the option to choose core type  defaults to smallest core _x000D_
_x000D_
  Link(s) to mod(s) used  :  No Mods _x000D_
_x000D_
  Save file  :  saves zip (https:  github com Anuken Mindustry files 5732648 saves zip)_x000D_
_x000D_
  (Crash) logs  :  crash report 12 22 2020 19 24 29 zip (https:  github com Anuken Mindustry files 5732651 crash report 12 22 2020 19 24 29 zip)_x000D_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</si>
  <si>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commons-app-apps-android-commons-4123</t>
  </si>
  <si>
    <t>Abnormal Behavior on theme change.</t>
  </si>
  <si>
    <t xml:space="preserve">  Summary:   _x000D_
_x000D_
On Changing the theme the app behaves abnormally _x000D_
_x000D_
Instances:_x000D_
Change the theme while on the nearby fragment  after getting back to the app we see that we are taken to contributions fragment while the bottom tab still points to the nearby fragment _x000D_
_x000D_
Change the theme while on favourites explore  the app crashes on returning _x000D_
_x000D_
What did you expect the app to do  and what did you see instead _x000D_
The app should just return to its previous state without any crashes or unexpected behaviour _x000D_
_x000D_
  Device and Android version:   _x000D_
_x000D_
Present master on Nokia 6 1  android 10 _x000D_
 _x000D_
  Commons app version:   _x000D_
_x000D_
Master  betaDebug _x000D_
_x000D_
  Would you like to work on the issue   _x000D_
Yes _x000D_
_x000D_
An extension of issue  3352_x000D_
</t>
  </si>
  <si>
    <t>k9mail-k-9-5077</t>
  </si>
  <si>
    <t>Crash due to Parcelable problem</t>
  </si>
  <si>
    <t xml:space="preserve">Crash when restoring AccountSetupBasics instance state_x000D_
_x000D_
Steps to reproduce the behavior:_x000D_
1  In developer options: enable don t keep activities  to easily reproduce the bug_x000D_
2  Go to AccountSetupBasics activity_x000D_
3  Click home button to quit the app_x000D_
4  Use recent app to go back to K9_x000D_
5  The app crash_x000D_
_x000D_
  Environment (please complete the following information):  _x000D_
   K 9 Mail version:  5 725 _x000D_
   Android version:  10 _x000D_
   Device:  Tablet ordissimo celia _x000D_
_x000D_
I suspect the parcelable part in FoldableLinearLayout_x000D_
_x000D_
  Logs  _x000D_
2020 12 22 15:11:54 427 15426 15426 com fsck k9 debug E AndroidRuntime: FATAL EXCEPTION: main_x000D_
    Process: com fsck k9 debug  PID: 15426_x000D_
    java lang RuntimeException: Parcel android os Parcel 3b63efa: Unmarshalling unknown type code 2131362261 at offset 1852_x000D_
        at android os Parcel readValue(Parcel java:2945)_x000D_
        at android os Parcel readSparseArrayInternal(Parcel java:3329)_x000D_
        at android os Parcel readSparseArray(Parcel java:2484)_x000D_
        at android os Parcel readValue(Parcel java:2923)_x000D_
        at android os Parcel readArrayMapInternal(Parcel java:3246)_x000D_
        at android os BaseBundle initializeFromParcelLocked(BaseBundle java:292)_x000D_
        at android os BaseBundle unparcel(BaseBundle java:236)_x000D_
        at android os Bundle getSparseParcelableArray(Bundle java:1029)_x000D_
        at com android internal policy PhoneWindow restoreHierarchyState(PhoneWindow java:2156)_x000D_
        at android app Activity onRestoreInstanceState(Activity java:1590)_x000D_
        at com fsck k9 activity setup AccountSetupBasics onRestoreInstanceState(AccountSetupBasics java:119)_x000D_
        at android app Activity performRestoreInstanceState(Activity java:1545)_x000D_
        at android app Instrumentation callActivityOnRestoreInstanceState(Instrumentation java:1353)_x000D_
_x000D_
</t>
  </si>
  <si>
    <t>Technical-Hackers-Health-Log-35</t>
  </si>
  <si>
    <t>App Crash Issue</t>
  </si>
  <si>
    <t xml:space="preserve">  Describe the bug  _x000D_
In the LoginActivity if the user press  LOGIN  Button without entering anything in  Enter Hospital ID  EditText  app crashes _x000D_
_x000D_
  To Reproduce  _x000D_
Steps to reproduce the behavior:_x000D_
1  Fresh Install the app _x000D_
2  Press  LOGIN  Button  without entering anything in Hospital ID_x000D_
3  App Crashes (Bug needs to be fixed)_x000D_
_x000D_
  Expected behavior  _x000D_
It should prompt either an error message or a Toast needs to be displayed _x000D_
_x000D_
I can fix this issue _x000D_
</t>
  </si>
  <si>
    <t>gcacace-android-signaturepad-163</t>
  </si>
  <si>
    <t>App crashing due to IllegalAccessError</t>
  </si>
  <si>
    <t xml:space="preserve">  Note  : The following crash is happening only when the app is downloaded from play store  If I generate a debug or release build (with proguard enabled disabled) from my Android IDE  it works fine _x000D_
Seen this crash so far in Android 9 and 10 _x000D_
_x000D_
I have implemented the OnSignedListener in a fragment  When I start signing  the app crashes with the following stack trace:_x000D_
_x000D_
Fatal Exception: java lang IllegalAccessError: Illegal class access:  com github gcacace signaturepad views SignaturePad  attempting to access  com yulu ops yuzenapp newYuzen ui prive customerInfoPager customerSignature d  (declaration of  com github gcacace signaturepad views SignaturePad  appears in base apk)_x000D_
       at com github gcacace signaturepad views SignaturePad onTouchEvent(SignaturePad java:214)_x000D_
       at android view View dispatchTouchEvent(View java:14376)_x000D_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android view ViewGroup dispatchTransformedTouchEvent(ViewGroup java:3863)_x000D_
       at android view ViewGroup dispatchTouchEvent(ViewGroup java:3492)_x000D_
       at com android internal policy DecorView superDispatchTouchEvent(DecorView java:733)_x000D_
       at com android internal policy PhoneWindow superDispatchTouchEvent(PhoneWindow java:1922)_x000D_
       at android app Activity dispatchTouchEvent(Activity java:4051)_x000D_
       at androidx appcompat view WindowCallbackWrapper dispatchTouchEvent(WindowCallbackWrapper java:69)_x000D_
       at com android internal policy DecorView dispatchTouchEvent(DecorView java:691)_x000D_
       at android view View dispatchPointerEvent(View java:14644)_x000D_
       at android view ViewRootImpl ViewPostImeInputStage processPointerEvent(ViewRootImpl java:6526)_x000D_
       at android view ViewRootImpl ViewPostImeInputStage onProcess(ViewRootImpl java:6313)_x000D_
       at android view ViewRootImpl InputStage deliver(ViewRootImpl java:5751)_x000D_
       at android view ViewRootImpl InputStage onDeliverToNext(ViewRootImpl java:5804)_x000D_
       at android view ViewRootImpl InputStage forward(ViewRootImpl java:5770)_x000D_
       at android view ViewRootImpl AsyncInputStage forward(ViewRootImpl java:5926)_x000D_
       at android view ViewRootImpl InputStage apply(ViewRootImpl java:5778)_x000D_
       at android view ViewRootImpl AsyncInputStage apply(ViewRootImpl java:5983)_x000D_
       at android view ViewRootImpl InputStage deliver(ViewRootImpl java:5751)_x000D_
       at android view ViewRootImpl InputStage onDeliverToNext(ViewRootImpl java:5804)_x000D_
       at android view ViewRootImpl InputStage forward(ViewRootImpl java:5770)_x000D_
       at android view ViewRootImpl InputStage apply(ViewRootImpl java:5778)_x000D_
       at android view ViewRootImpl InputStage deliver(ViewRootImpl java:5751)_x000D_
       at android view ViewRootImpl deliverInputEvent(ViewRootImpl java:8910)_x000D_
       at android view ViewRootImpl doProcessInputEvents(ViewRootImpl java:8771)_x000D_
       at android view ViewRootImpl enqueueInputEvent(ViewRootImpl java:8724)_x000D_
       at android view ViewRootImpl WindowInputEventReceiver onInputEvent(ViewRootImpl java:9046)_x000D_
       at android view InputEventReceiver dispatchInputEvent(InputEventReceiver java:194)_x000D_
       at android os MessageQueue nativePollOnce(MessageQueue java)_x000D_
       at android os MessageQueue next(MessageQueue java:336)_x000D_
       at android os Looper loop(Looper java:197)_x000D_
       at android app ActivityThread main(ActivityThread java:7948)_x000D_
       at java lang reflect Method invoke(Method java)_x000D_
       at com android internal os RuntimeInit MethodAndArgsCaller run(RuntimeInit java:493)_x000D_
       at com android internal os ZygoteInit main(ZygoteInit java:1075)</t>
  </si>
  <si>
    <t>opensrp-opensrp-client-goldsmith-47</t>
  </si>
  <si>
    <t xml:space="preserve">App crashes with you click on "My Tasks" view </t>
  </si>
  <si>
    <t xml:space="preserve">Right now  when you click on  my tasks  in the main menu  the app crashes and you get a message saying  Goldsmith has stopped   Here is the workflow I followed: _x000D_
_x000D_
Registered a new family _x000D_
Recorded a pregnancy _x000D_
Within the ANC register  recorded a birth _x000D_
Saw the woman successfully added to the PNC register _x000D_
Went to the main menu and hit  my tasks  _x000D_
App crashed _x000D_
Signed back into the app and waited for the sync complete message _x000D_
Went to the  my task  view_x000D_
App crashed _x000D_
_x000D_
</t>
  </si>
  <si>
    <t>ElderDrivers-EdXposed-747</t>
  </si>
  <si>
    <t>[BUG] anywebview not working after update to 4641</t>
  </si>
  <si>
    <t xml:space="preserve">       What happened   _x000D_
_x000D_
anywebview not working after update to 4641_x000D_
_x000D_
  Xposed     Xposed Module List  _x000D_
_x000D_
anywebview_x000D_
_x000D_
  Magisk     Magisk Module List  _x000D_
_x000D_
Riru_x000D_
Riru   EdXposed_x000D_
Riru   Enhanced mode for Storage Isolation_x000D_
Riru   IFW Enhance_x000D_
_x000D_
       Versions  _x000D_
_x000D_
Android: 9_x000D_
_x000D_
Magisk: 21 1_x000D_
_x000D_
Riru: 23 1_x000D_
_x000D_
EdXposed: 4641 4646_x000D_
_x000D_
       Related Logs  _x000D_
_x000D_
   _x000D_
          beginning of head_x000D_
EdXposed Log_x000D_
Powered by Log Catcher_x000D_
QQ support group: 855219808_x000D_
Telegram support group:  Code Of MeowCat_x000D_
Telegram channel:  EdXposed_x000D_
          beginning of information_x000D_
Architecture: arm64 v8a_x000D_
Android version: 9_x000D_
Android sdk: 28_x000D_
EdXposed version: v0 5 1 3 4646 master (SandHook)_x000D_
EdXposed api: 93_x000D_
Riru version: v23 1 (51)_x000D_
Riru api: 10_x000D_
Magisk: 21 1 (21100)_x000D_
          beginning of main_x000D_
          beginning of system_x000D_
          beginning of crash_x000D_
12 22 04:19:48 526  1473  1522 F libc    : Fatal signal 11 (SIGSEGV)  code 1 (SEGV MAPERR)  fault addr 0x178 in tid 1522 (HwBinder:1473 1)  pid 1473 (usbeng)_x000D_
12 22 04:19:49 112  1421  1421 I EdXposed: onModuleLoaded: welcome to EdXposed _x000D_
12 22 04:19:49 113  1421  1421 I EdXposed: Got base config path:  data misc edxp G2uDzWip3XrapTHB_x000D_
12 22 04:19:49 235  1420  1420 I EdXposed: onModuleLoaded: welcome to EdXposed _x000D_
12 22 04:19:49 236  1420  1420 I EdXposed: Got base config path:  data misc edxp G2uDzWip3XrapTHB_x000D_
12 22 04:19:50 545  1420  1420 W EdXposed: installer not set  using default one org meowcat edxposed manager_x000D_
12 22 04:19:50 548  1420  1420 I EdXposed: scope of com thinkdifferent anywebview is:_x000D_
12 22 04:19:50 548  1420  1420 I EdXposed: com thinkdifferent anywebview_x000D_
12 22 04:19:50 548  1420  1420 I EdXposed:   android_x000D_
12 22 04:19:50 548  1420  1420 I EdXposed:   _x000D_
12 22 04:19:50 548  1420  1420 I EdXposed: base config path:  data misc edxp G2uDzWip3XrapTHB 0_x000D_
12 22 04:19:50 548  1420  1420 I EdXposed:   using installer package name: org meowcat edxposed manager_x000D_
12 22 04:19:50 548  1420  1420 I EdXposed:   using whitelist: true_x000D_
12 22 04:19:50 548  1420  1420 I EdXposed:   deopt boot image: false_x000D_
12 22 04:19:50 548  1420  1420 I EdXposed:   no module log: false_x000D_
12 22 04:19:50 548  1420  1420 I EdXposed:   resources hook: false_x000D_
12 22 04:19:50 548  1420  1420 I EdXposed:   white list: _x000D_
12 22 04:19:50 548  1420  1420 I EdXposed:  android_x000D_
12 22 04:19:50 548  1420  1420 I EdXposed: org meowcat edxposed manager_x000D_
12 22 04:19:50 548  1420  1420 I EdXposed:   black list: _x000D_
12 22 04:19:50 548  1420  1420 I EdXposed:  _x000D_
12 22 04:19:50 548  1420  1420 I EdXposed:   module list: _x000D_
12 22 04:19:50 548  1420  1420 I EdXposed:  com thinkdifferent anywebview_x000D_
12 22 04:19:50 642  1420  1420 I EdXposed: Loaded  data misc edxp G2uDzWip3XrapTHB framework edxp dex with size 509948_x000D_
12 22 04:19:50 808  1420  1420 I EdXposed: Loaded  data misc edxp G2uDzWip3XrapTHB framework eddalvikdx dex with size 894024_x000D_
12 22 04:19:50 826  1420  1420 I EdXposed: Loaded  data misc edxp G2uDzWip3XrapTHB framework eddexmaker dex with size 79332_x000D_
12 22 04:19:50 871  2059  2059 I EdXposed: Start to install inline hooks_x000D_
12 22 04:19:50 871  2059  2059 I EdXposed: Using api level 28_x000D_
12 22 04:19:50 871  2059  2059 I EdXposed: Start to install Riru hook_x000D_
12 22 04:19:50 906  2059  2059 I EdXposed: Riru hooks installed_x000D_
12 22 04:19:50 907  2059  2059 D EdXposed:  ZN3art7Runtime9instance E   0x7265e4b700_x000D_
12 22 04:19:50 907  2059  2059 D EdXposed: art::runtime::Heap object: 0x7265eb7600_x000D_
12 22 04:19:50 907  2059  2059 D EdXposed: art method hook setup  handle 0x46ad68dd638f1cbd_x000D_
12 22 04:19:50 907  2059  2059 D EdXposed: Classlinker hook setup  handle 0x46ad68dd638f1cbd_x000D_
12 22 04:19:50 907  2059  2059 D EdXposed: Classlinker object: 0x7265ec8f40_x000D_
12 22 04:19:50 908  2059  2059 I EdXposed: ART hooks installed_x000D_
12 22 04:19:50 941  2059  2059 I EdXposed: init to SDK 28_x000D_
12 22 04:19:50 958  2059  2059 D EdXposed: not using yahfa_x000D_
12 22 04:19:51 023  2059  2059 I EdXposed: HookMain: getArtMethod: 0x70b58e98_x000D_
12 22 04:19:51 023  2059  2059 D EdXposed: deoptimizing method: 0x70b58e98_x000D_
12 22 04:19:51 023  2059  2059 D EdXposed: SetEntryPointsToInterpreter start  thiz 0x7265ec8f40  art method 0x70b58e98_x000D_
12 22 04:19:51 024  2059  2059 D EdXposed: method deoptimized: 0x70b58e98_x000D_
12 22 04:19:51 024  2059  2059 D EdXposed: startBootstrapHook starts: isSystem   true_x000D_
12 22 04:19:51 028  2059  2059 I EdXposed: HookMain: getArtMethod: 0x70d22ad8_x000D_
12 22 04:19:51 028  2059  2059 I EdXposed: HookMain: getArtMethod: 0x70d22ad8_x000D_
12 22 04:19:51 058  2059  2059 I EdXposed: HookMain: getArtMethod: 0x70d222e0_x000D_
12 22 04:19:51 058  2059  2059 I EdXposed: HookMain: getArtMethod: 0x70d222e0_x000D_
12 22 04:19:51 059  2059  2059 I EdXposed: HookMain: getArtMethod: 0x70cc31b8_x000D_
12 22 04:19:51 059  2059  2059 I EdXposed: HookMain: getArtMethod: 0x70cc31b8_x000D_
12 22 04:19:51 207  2059  2059 I EdXposed: Loading modules for system server_x000D_
12 22 04:19:51 207  2059  2059 D EdXposed: module list:  data app com thinkdifferent anywebview ewbvu9BjrMsUowNF8wF4GQ   base apk_x000D_
12 22 04:19:51 207  2059  2059 I EdXposed Bridge: Loading modules from  data app com thinkdifferent anywebview ewbvu9BjrMsUowNF8wF4GQ   base apk_x000D_
12 22 04:19:51 214  2059  2059 I EdXposed Bridge:   Loading class com thinkdifferent anywebview AnyWebView_x000D_
12 22 04:19:51 288  2059  2059 I EdXposed: Loaded  data misc edxp G2uDzWip3XrapTHB framework edservice dex with size 362848_x000D_
12 22 04:19:51 296  2059  2059 W EdXposed: Installed EdXposed Service_x000D_
12 22 04:19:51 526  2059  2059 D EdXposed: ActivityThread systemMain() starts: pkg android  prc android_x000D_
12 22 04:19:51 526  2059  2059 I EdXposed: HookMain: getArtMethod: 0x7261693680_x000D_
12 22 04:19:51 527  2059  2059 I EdXposed: HookMain: getArtMethod: 0x7261693680_x000D_
12 22 04:19:51 533  2059  2059 D EdXposed: SystemServer startBootstrapServices() starts_x000D_
12 22 04:19:51 534  2059  2059 I EdXposed: HookMain: getArtMethod: 0x726137d6a8_x000D_
12 22 04:19:51 534  2059  2059 I EdXposed: HookMain: getArtMethod: 0x726137d6a8_x000D_
12 22 04:19:51 536  2059  2059 D EdXposed: record pending: 0x1309fbf0 (Lcom android server webkit WebViewUpdater )_x000D_
12 22 04:20:02 757  2059  2059 D EdXposed: LoadedApk  init  starts: pkg android  prc android_x000D_
12 22 04:20:02 757  2059  2059 D EdXposed: LoadedApk  init  ends:  system priv app SettingsProvider SettingsProvider apk: pkg android  prc android_x000D_
12 22 04:20:02 763  2059  2059 I EdXposed: HookMain: getArtMethod: 0x70cc35a0_x000D_
12 22 04:20:02 763  2059  2059 I EdXposed: HookMain: getArtMethod: 0x70cc35a0_x000D_
12 22 04:20:02 781  2059  2059 D EdXposed: LoadedApk getClassLoader starts: pkg android  prc android_x000D_
12 22 04:20:02 781  2059  2059 D EdXposed: LoadedApk getClassLoader ends:  system priv app SettingsProvider SettingsProvider apk    dalvik system PathClassLoader DexPathList  zip file   system framework com sonyericsson idd impl jar   zip file   system framework com google protobuf 2 3 0 jar   zip file   system priv app SettingsProvider SettingsProvider apk   nativeLibraryDirectories   system priv app SettingsProvider lib arm64   system priv app SettingsProvider SettingsProvider apk  lib arm64 v8a   system lib64   system vendor lib64   system lib64   system vendor lib64   : pkg android  prc android_x000D_
12 22 04:20:05 406  2059  2059 D EdXposed: LoadedApk  init  starts: pkg android  prc android_x000D_
12 22 04:20:05 406  2059  2059 D EdXposed: LoadedApk  init  ends:  system priv app Settings Settings apk: pkg android  prc android_x000D_
12 22 04:20:05 406  2059  2059 D EdXposed: LoadedApk  init  mIncludeCode    false:  system priv app Settings Settings apk: pkg android  prc android_x000D_
12 22 04:20:05 544  2059  2059 I EdXposed: registered package receiver_x000D_
12 22 04:20:06 042  2059  2059 D EdXposed: LoadedApk  init  starts: pkg android  prc android_x000D_
12 22 04:20:06 042  2059  2059 D EdXposed: LoadedApk  init  ends:  system priv app Telecom Telecom apk: pkg android  prc android_x000D_
12 22 04:20:06 062  2059  2059 D EdXposed: LoadedApk getClassLoader starts: pkg android  prc android_x000D_
12 22 04:20:06 062  2059  2059 D EdXposed: LoadedApk getClassLoader ends:  system priv app Telecom Telecom apk    dalvik system PathClassLoader DexPathList  zip file   system framework somc ext telephony jar   zip file   system framework com sonymobile home resourceprovider jar   zip file   system priv app Telecom Telecom apk   nativeLibraryDirectories   system priv app Telecom lib arm64   system priv app Telecom Telecom apk  lib arm64 v8a   system lib64   system vendor lib64   system lib64   system vendor lib64   : pkg android  prc android_x000D_
12 22 04:20:06 203  2059  2059 D EdXposed: LoadedApk  init  starts: pkg android  prc android_x000D_
12 22 04:20:06 203  2059  2059 D EdXposed: LoadedApk  init  ends:  system priv app FusedLocation FusedLocation apk: pkg android  prc android_x000D_
12 22 04:20:06 215  2059  2059 D EdXposed: LoadedApk getClassLoader starts: pkg android  prc android_x000D_
12 22 04:20:06 216  2059  2059 D EdXposed: LoadedApk getClassLoader ends:  system priv app FusedLocation FusedLocation apk    dalvik system PathClassLoader DexPathList  zip file   system framework com android location provider jar   zip file   system priv app FusedLocation FusedLocation apk   nativeLibraryDirectories   system priv app FusedLocation lib arm64   system priv app FusedLocation FusedLocation apk  lib arm64 v8a   system lib64   system vendor lib64   system lib64   system vendor lib64   : pkg android  prc android_x000D_
12 22 04:20:06 225  2059  2059 D EdXposed: LoadedApk  init  starts: pkg android  prc android_x000D_
12 22 04:20:06 225  2059  2059 D EdXposed: LoadedApk  init  ends:  system framework framework res apk: pkg android  prc android_x000D_
12 22 04:20:06 225  2059  2059 D EdXposed: LoadedApk  init  is android  skip:  system framework framework res apk: pkg android  prc android_x000D_
12 22 04:20:09 366  2059  2172 D EdXposed: LoadedApk  init  starts: pkg android  prc android_x000D_
12 22 04:20:09 366  2059  2172 D EdXposed: LoadedApk  init  ends:  data app com google android gms lOzaPFVubM2kMdOLb Bmmg   base apk: pkg android  prc android_x000D_
12 22 04:20:09 366  2059  2172 D EdXposed: LoadedApk  init  mIncludeCode    false:  data app com google android gms lOzaPFVubM2kMdOLb Bmmg   base apk: pkg android  prc android_x000D_
12 22 04:20:09 413  2059  2172 D EdXposed: LoadedApk  init  starts: pkg android  prc android_x000D_
12 22 04:20:09 414  2059  2172 D EdXposed: LoadedApk  init  ends:  system priv app Contacts Contacts apk: pkg android  prc android_x000D_
12 22 04:20:09 417  2059  2172 D EdXposed: LoadedApk  init  mIncludeCode    false:  system priv app Contacts Contacts apk: pkg android  prc android_x000D_
12 22 04:20:10 469  2059  2059 D EdXposed: LoadedApk getClassLoader starts: pkg android  prc android_x000D_
12 22 04:20:11 195  2059  2059 D EdXposed: LoadedApk  init  starts: pkg android  prc android_x000D_
12 22 04:20:11 195  2059  2059 D EdXposed: LoadedApk  init  ends:  system priv app com qualcomm location com qualcomm location apk: pkg android  prc android_x000D_
12 22 04:20:11 223  2059  2059 D EdXposed: LoadedApk getClassLoader starts: pkg android  prc android_x000D_
12 22 04:20:11 223  2059  2059 D EdXposed: LoadedApk getClassLoader ends:  system priv app com qualcomm location com qualcomm location apk    dalvik system PathClassLoader DexPathList  zip file   system framework org apache http legacy boot jar   zip file   system framework com android location provider jar   zip file   system framework izat xt srv jar   zip file   system framework services jar   zip file   system priv app com qualcomm location com qualcomm location apk   nativeLibraryDirectories   system priv app com qualcomm location lib arm64   system fake libs64   system priv app com qualcomm location com qualcomm location apk  lib arm64 v8a   system lib64   system vendor lib64   system lib64   system vendor lib64   : pkg android  prc android_x000D_
12 22 04:20:17 066  2059  3343 D EdXposed: LoadedApk  init  starts: pkg android  prc android_x000D_
12 22 04:20:17 066  2059  3343 D EdXposed: LoadedApk  init  ends:  data app org meowcat edxposed manager 7hloHQby2Y9eUgcm0l7xgw   base apk: pkg android  prc android_x000D_
12 22 04:20:17 066  2059  3343 D EdXposed: LoadedApk  init  mIncludeCode    false:  data app org meowcat edxposed manager 7hloHQby2Y9eUgcm0l7xgw   base apk: pkg android  prc android_x000D_
12 22 04:20:17 412  5414  5414 I EdXposed: Start to install inline hooks_x000D_
12 22 04:20:17 412  5414  5414 I EdXposed: Using api level 28_x000D_
12 22 04:20:17 412  5414  5414 I EdXposed: Start to install Riru hook_x000D_
12 22 04:20:17 477  5414  5414 I EdXposed: Riru hooks installed_x000D_
12 22 04:20:17 478  5414  5414 D EdXposed:  ZN3art7Runtime9instance E   0x7265e4b700_x000D_
12 22 04:20:17 478  5414  5414 D EdXposed: art::runtime::Heap object: 0x7265eb7600_x000D_
12 22 04:20:17 478  5414  5414 D EdXposed: art method hook setup  handle 0x46ad68dd638f1cbd_x000D_
12 22 04:20:17 479  5414  5414 D EdXposed: Classlinker hook setup  handle 0x46ad68dd638f1cbd_x000D_
12 22 04:20:17 479  5414  5414 D EdXposed: Classlinker object: 0x7265ec8f40_x000D_
12 22 04:20:17 480  5414  5414 I EdXposed: ART hooks installed_x000D_
12 22 04:20:17 528  5414  5414 I EdXposed: init to SDK 28_x000D_
12 22 04:20:17 556  5414  5414 D EdXposed: not using yahfa_x000D_
12 22 04:20:17 558  5414  5414 D EdXposed: Done prepare_x000D_
12 22 04:20:17 638  5414  5414 I EdXposed: HookMain: getArtMethod: 0x70b58e98_x000D_
12 22 04:20:17 638  5414  5414 D EdXposed: deoptimizing method: 0x70b58e98_x000D_
12 22 04:20:17 638  5414  5414 D EdXposed: SetEntryPointsToInterpreter start  thiz 0x7265ec8f40  art method 0x70b58e98_x000D_
12 22 04:20:17 638  5414  5414 D EdXposed: method deoptimized: 0x70b58e98_x000D_
12 22 04:20:17 638  5414  5414 D EdXposed: startBootstrapHook starts: isSystem   false_x000D_
12 22 04:20:17 643  5414  5414 I EdXposed: HookMain: getArtMethod: 0x70d222e0_x000D_
12 22 04:20:17 644  5414  5414 I EdXposed: HookMain: getArtMethod: 0x70d222e0_x000D_
12 22 04:20:17 689  5414  5414 I EdXposed: HookMain: getArtMethod: 0x70cc31b8_x000D_
12 22 04:20:17 689  5414  5414 I EdXposed: HookMain: getArtMethod: 0x70cc31b8_x000D_
12 22 04:20:17 836  5414  5414 I EdXposed: Loading modules for org meowcat edxposed manager_x000D_
12 22 04:20:17 836  5414  5414 D EdXposed: module list: _x000D_
12 22 04:20:17 837  5414  5414 D EdXposed: injected xposed into org meowcat edxposed manager_x000D_
12 22 04:20:17 873  5414  5414 D EdXposed: ActivityThread handleBindApplication() starts: pkg android  prc android_x000D_
12 22 04:20:17 874  5414  5414 D EdXposed: processName org meowcat edxposed manager  packageName org meowcat edxposed manager  appDataDir  data user 0 org meowcat edxposed manager_x000D_
12 22 04:20:17 874  5414  5414 D EdXposed: LoadedApk  init  starts: pkg org meowcat edxposed manager  prc org meowcat edxposed manager_x000D_
12 22 04:20:17 874  5414  5414 D EdXposed: LoadedApk  init  ends:  data app org meowcat edxposed manager 7hloHQby2Y9eUgcm0l7xgw   base apk: pkg org meowcat edxposed manager  prc org meowcat edxposed manager_x000D_
12 22 04:20:17 886  5414  5414 D EdXposed: LoadedApk  init  has been loaded before  skip:  data app org meowcat edxposed manager 7hloHQby2Y9eUgcm0l7xgw   base apk: pkg org meowcat edxposed manager  prc org meowcat edxposed manager_x000D_
12 22 04:20:17 953  5414  5414 I EdXposed: HookMain: getArtMethod: 0x70cc35a0_x000D_
12 22 04:20:17 953  5414  5414 I EdXposed: HookMain: getArtMethod: 0x70cc35a0_x000D_
12 22 04:20:17 992  5414  5414 D EdXposed: LoadedApk getClassLoader starts: pkg org meowcat edxposed manager  prc org meowcat edxposed manager_x000D_
12 22 04:20:17 992  5414  5414 D EdXposed: LoadedApk getClassLoader ends:  data app org meowcat edxposed manager 7hloHQby2Y9eUgcm0l7xgw   base apk    dalvik system PathClassLoader DexPathList  zip file   system framework org apache http legacy boot jar   zip file   data app org meowcat edxposed manager 7hloHQby2Y9eUgcm0l7xgw   base apk   nativeLibraryDirectories   data app org meowcat edxposed manager 7hloHQby2Y9eUgcm0l7xgw   lib arm64   system lib64   system vendor lib64   : pkg org meowcat edxposed manager  prc org meowcat edxposed manager_x000D_
12 22 04:20:18 000  5414  5414 D EdXposed: record pending: 0x12c64200 (Lde robv android xposed installer XposedApp )_x000D_
12 22 04:20:18 001  5414  5414 I EdXposed: HookMain: getArtMethod: 0x7261e11288_x000D_
12 22 04:20:18 001  5414  5414 I EdXposed: HookMain: getArtMethod: 0x7261e11288_x000D_
12 22 04:20:18 008  5414  5414 I EdXposed: HookMain: getArtMethod: 0x7261e11798_x000D_
12 22 04:20:18 008  5414  5414 I EdXposed: HookMain: getArtMethod: 0x7261e11798_x000D_
12 22 04:20:18 013  5414  5414 I EdXposed: HookMain: getArtMethod: 0x7261e11c88_x000D_
12 22 04:20:18 013  5414  5414 I EdXposed: HookMain: getArtMethod: 0x7261e11c88_x000D_
12 22 04:20:18 022  5414  5414 I EdXposed: HookMain: getArtMethod: 0x7261e11e78_x000D_
12 22 04:20:18 022  5414  5414 I EdXposed: HookMain: getArtMethod: 0x7261e11e78_x000D_
12 22 04:20:18 029  5414  5414 D EdXposed: Pending hook for 0x12c64200 (Lde robv android xposed installer XposedApp )_x000D_
12 22 04:20:18 029  5414  5414 I EdXposed: HookMain: getArtMethod: 0x7261e11210_x000D_
12 22 04:20:18 029  5414  5414 I EdXposed: HookMain: getArtMethod: 0x7261e11210_x000D_
12 22 04:20:18 030  5414  5414 I EdXposed: HookMain: getArtMethod: 0x7261e12120_x000D_
12 22 04:20:18 030  5414  5414 D EdXposed: deoptimizing method: 0x7261e12120_x000D_
12 22 04:20:18 030  5414  5414 D EdXposed: SetEntryPointsToInterpreter start  thiz 0x7265ec8f40  art method 0x7261e12120_x000D_
12 22 04:20:18 030  5414  5414 D EdXposed: method deoptimized: 0x7261e12120_x000D_
12 22 04:20:18 071  5414  5414 D EdXposed: before reloadXposedProp   _x000D_
12 22 04:20:18 087  5414  5414 D EdXposed: reloadXposedProp done   _x000D_
12 22 04:20:18 791  5414  5414 I EdXposedManager: ModuleUtil    updating modules list_x000D_
12 22 04:20:19 147  1420  1420 W EdXposed: installer not set  using default one org meowcat edxposed manager_x000D_
12 22 04:20:19 148  1420  1420 I EdXposed: scope of com thinkdifferent anywebview is:_x000D_
12 22 04:20:19 148  1420  1420 I EdXposed: com thinkdifferent anywebview_x000D_
12 22 04:20:19 148  1420  1420 I EdXposed:   android_x000D_
12 22 04:20:19 148  1420  1420 I EdXposed:   _x000D_
12 22 04:20:19 148  1420  1420 I EdXposed: base config path:  data misc edxp G2uDzWip3XrapTHB 0_x000D_
12 22 04:20:19 148  1420  1420 I EdXposed:   using installer package name: org meowcat edxposed manager_x000D_
12 22 04:20:19 148  1420  1420 I EdXposed:   using whitelist: true_x000D_
12 22 04:20:19 148  1420  1420 I EdXposed:   deopt boot image: false_x000D_
12 22 04:20:19 148  1420  1420 I EdXposed:   no module log: false_x000D_
12 22 04:20:19 148  1420  1420 I EdXposed:   resources hook: false_x000D_
12 22 04:20:19 148  1420  1420 I EdXposed:   white list: _x000D_
12 22 04:20:19 148  1420  1420 I EdXposed:  android_x000D_
12 22 04:20:19 148  1420  1420 I EdXposed: org meowcat edxposed manager_x000D_
12 22 04:20:19 148  1420  1420 I EdXposed:   black list: _x000D_
12 22 04:20:19 148  1420  1420 I EdXposed:  _x000D_
12 22 04:20:19 148  1420  1420 I EdXposed:   module list: _x000D_
12 22 04:20:19 148  1420  1420 I EdXposed:  com thinkdifferent anywebview_x000D_
12 22 04:20:19 920  1421  1421 W EdXposed: installer not set  using default one org meowcat edxposed manager_x000D_
12 22 04:20:19 922  1421  1421 I EdXposed: scope of com thinkdifferent anywebview is:_x000D_
12 22 04:20:19 922  1421  1421 I EdXposed: com thinkdifferent anywebview_x000D_
12 22 04:20:19 922  1421  1421 I EdXposed:   android_x000D_
12 22 04:20:19 922  1421  1421 I EdXposed:   _x000D_
12 22 04:20:19 922  1421  1421 I EdXposed: base config path:  data misc edxp G2uDzWip3XrapTHB 0_x000D_
12 22 04:20:19 922  1421  1421 I EdXposed:   using installer package name: org meowcat edxposed manager_x000D_
12 22 04:20:19 922  1421  1421 I EdXposed:   using whitelist: true_x000D_
12 22 04:20:19 922  1421  1421 I EdXposed:   deopt boot image: false_x000D_
12 22 04:20:19 922  1421  1421 I EdXposed:   no module log: false_x000D_
12 22 04:20:19 922  1421  1421 I EdXposed:   resources hook: false_x000D_
12 22 04:20:19 922  1421  1421 I EdXposed:   white list: _x000D_
12 22 04:20:19 922  1421  1421 I EdXposed:  android_x000D_
12 22 04:20:19 922  1421  1421 I EdXposed: org meowcat edxposed manager_x000D_
12 22 04:20:19 922  1421  1421 I EdXposed:   black list: _x000D_
12 22 04:20:19 922  1421  1421 I EdXposed:  _x000D_
12 22 04:20:19 922  1421  1421 I EdXposed:   module list: _x000D_
12 22 04:20:19 922  1421  1421 I EdXposed:  com thinkdifferent anywebview_x000D_
_x000D_
   </t>
  </si>
  <si>
    <t>Anuken-Mindustry-4067</t>
  </si>
  <si>
    <t>sapping lasers aren't sticky</t>
  </si>
  <si>
    <t xml:space="preserve">  Platform  :  Android iOS Mac Windows Linux  windows 64 bit_x000D_
_x000D_
  Build  :  The build number under the title in the main menu  Required   LATEST  IS NOT A VERSION  I NEED THE EXACT BUILD NUMBER OF YOUR GAME   121 4_x000D_
_x000D_
  Issue  :  Explain your issue in detail  _x000D_
sapper beams can seperate from the unit that fires them when the unit is moving _x000D_
_x000D_
  Steps to reproduce  :  How you happened across the issue  and what exactly you did to make the bug happen  _x000D_
1  control spiroct_x000D_
2   UnitTypes spiroct speed 10  (happens at all speeds just more speed   more noticable)_x000D_
3  ram into space tiles    shadow_x000D_
4  beams will seperate_x000D_
_x000D_
  Link(s) to mod(s) used  :  The mod repositories or zip files that are related to the issue  if applicable  _x000D_
n 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sapper beams zip (https:  github com Anuken Mindustry files 5726212 sapper beams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</si>
  <si>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wiglenet-wigle-wifi-wardriving-457</t>
  </si>
  <si>
    <t>[FIX] hopefully fixing #379</t>
  </si>
  <si>
    <t xml:space="preserve">Tested in android 10  11  Seems to prevent crash on connect disconnect from car </t>
  </si>
  <si>
    <t>tchapgouv-tchap-android-legacy-693</t>
  </si>
  <si>
    <t>Crash: NullPointerException: Attempt to invoke virtual method 'java.lang.CharSequence androidx.appcompat.widget.SearchView.getQuery()'</t>
  </si>
  <si>
    <t>User feedback:  d s que j ouvre une conversation  l application se ferme  _x000D_
_x000D_
                                  crash call stack                                  _x000D_
Tchap Build : 76_x000D_
Tchap Version : 1 1 0 a (G 30d4af277 2020 11 22 13:24:08  0100)_x000D_
SDK Version : 0 9 37 dev (184214f2e 2020 11 18 01:42:26  0100)_x000D_
Memory statuses _x000D_
usedSize   8 MB_x000D_
freeSize   8 MB_x000D_
totalSize   16 MB_x000D_
Thread: main  Activity:im vector activity VectorRoomActivity  Exception: java lang NullPointerException: Attempt to invoke virtual method  java lang CharSequence androidx appcompat widget SearchView getQuery()  on a null object reference_x000D_
        at im vector activity VectorHomeActivity 14 run(VectorHomeActivity java:1304)_x000D_
        at android os Handler handleCallback(Handler java:873)_x000D_
        at android os Handler dispatchMessage(Handler java:99)_x000D_
        at android os Looper loop(Looper java:214)_x000D_
        at android app ActivityThread main(ActivityThread java:7050)_x000D_
        at java lang reflect Method invoke(Native Method)_x000D_
        at com android internal os RuntimeInit MethodAndArgsCaller run(RuntimeInit java:494)_x000D_
        at com android internal os ZygoteInit main(ZygoteInit java:965)</t>
  </si>
  <si>
    <t>material-components-material-components-android-1946</t>
  </si>
  <si>
    <t>[MaterialDatePicker] Switching mode causes crash</t>
  </si>
  <si>
    <t xml:space="preserve">  Description:  _x000D_
Following workflow only crashes on my API 30 emulator:_x000D_
1  Opened MaterialDatePicker_x000D_
2  Switched to Text Mode_x000D_
3  Switched to Calendar Mode_x000D_
4  Half of Calendar not visible and click on any date causes crash_x000D_
_x000D_
 details _x000D_
   summary Stack Trace  summary _x000D_
_x000D_
   _x000D_
java lang NullPointerException: Attempt to invoke virtual method  void android widget TextView setEnabled(boolean)  on a null object reference_x000D_
        at com google android material datepicker MonthAdapter updateSelectedState(MonthAdapter java:164)_x000D_
        at com google android material datepicker MonthAdapter updateSelectedStateForDate(MonthAdapter java:157)_x000D_
        at com google android material datepicker MonthAdapter updateSelectedStates(MonthAdapter java:140)_x000D_
        at com google android material datepicker MonthsPagerAdapter onBindViewHolder(MonthsPagerAdapter java:114)_x000D_
        at com google android material datepicker MonthsPagerAdapter onBindViewHolder(MonthsPagerAdapter java:38)_x000D_
        at androidx recyclerview widget RecyclerView Adapter onBindViewHolder(RecyclerView java:7228)_x000D_
        at androidx recyclerview widget RecyclerView Adapter bindViewHolder(RecyclerView java:7308)_x000D_
        at androidx recyclerview widget RecyclerView Recycler tryBindViewHolderByDeadline(RecyclerView java:6175)_x000D_
        at androidx recyclerview widget RecyclerView Recycler tryGetViewHolderForPositionByDeadline(RecyclerView java:6441)_x000D_
        at androidx recyclerview widget RecyclerView Recycler getViewForPosition(RecyclerView java:6281)_x000D_
        at androidx recyclerview widget RecyclerView Recycler getViewForPosition(RecyclerView java:6277)_x000D_
        at androidx recyclerview widget LinearLayoutManager LayoutState next(LinearLayoutManager java:2330)_x000D_
        at androidx recyclerview widget LinearLayoutManager layoutChunk(LinearLayoutManager java:1631)_x000D_
        at androidx recyclerview widget LinearLayoutManager fill(LinearLayoutManager java:1591)_x000D_
        at androidx recyclerview widget LinearLayoutManager onLayoutChildren(LinearLayoutManager java:668)_x000D_
        at androidx recyclerview widget RecyclerView dispatchLayoutStep2(RecyclerView java:4277)_x000D_
        at androidx recyclerview widget RecyclerView onMeasure(RecyclerView java:3654)_x000D_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FrameLayout onMeasure(FrameLayout java:194)_x000D_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FrameLayout onMeasure(FrameLayout java:194)_x000D_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FrameLayout onMeasure(FrameLayout java:194)_x000D_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FrameLayout onMeasure(FrameLayout java:194)_x000D_
        at com android internal policy DecorView onMeasure(DecorView java:747)_x000D_
        at android view View measure(View java:25466)_x000D_
        at android view ViewRootImpl performMeasure(ViewRootImpl java:3397)_x000D_
        at android view ViewRootImpl measureHierarchy(ViewRootImpl java:2201)_x000D_
        at android view ViewRootImpl performTraversals(ViewRootImpl java:2486)_x000D_
        at android view ViewRootImpl doTraversal(ViewRootImpl java:1952)_x000D_
        at android view ViewRootImpl TraversalRunnable run(ViewRootImpl java:8171)_x000D_
        at android view Choreographer CallbackRecord run(Choreographer java:972)_x000D_
        at android view Choreographer doCallbacks(Choreographer java:796)_x000D_
        at android view Choreographer doFrame(Choreographer java:731)_x000D_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_x000D_
  details _x000D_
_x000D_
 img src  https:  user images githubusercontent com 9077206 102795631 5cc8d180 43ad 11eb 9147 6f2c5486df33 gif  alt  Issue  width  320  height  569  _x000D_
_x000D_
  Expected behavior:   The full calendar is still visible after switching modes _x000D_
_x000D_
  Android API version:   30_x000D_
_x000D_
  Material Library version:   1 3 0 beta01_x000D_
_x000D_
  Device:   Nexus 6 Emulator</t>
  </si>
  <si>
    <t>Anuken-Mindustry-4064</t>
  </si>
  <si>
    <t>logic schematic + vault label bug</t>
  </si>
  <si>
    <t xml:space="preserve">  Platform  : Windows_x000D_
_x000D_
  Build  : 121 4 steam_x000D_
_x000D_
  Issue  :  Vault switches between Vault2 and Vault3 rather than labeled and unlabeled in CPU logic selection_x000D_
  recording (https:  user images githubusercontent com 1988797 102793053 90ccd400 4366 11eb 99d7 62a71962746f gif)_x000D_
_x000D_
  Steps to reproduce  :_x000D_
_x000D_
Placed a schematic (attached) of a CPU that must have had some things selected near the core  the CPU is the only thing in the schematic  The CPU selected a bunch of misc conveyors and vaults and a nucleus  One of the vaults is not de selectable  it just switches between vault 2 and 3 when you click it _x000D_
_x000D_
After re loading the game after grabbing the save the vault was labeled  Vault1  and could be deselected as normal  I am able to reproduce by deleting the logic processor and re placing it from the schematic in the same spot  bottom right vault is labeled  vault3  but when clicked changes to vault2 _x000D_
_x000D_
 core item throttle zip (https:  github com Anuken Mindustry files 5725098 core item throttle zip)_x000D_
_x000D_
  Link(s) to mod(s) used  : None_x000D_
  Save file  :  sector serpulo 131 zip (https:  github com Anuken Mindustry files 5725085 sector serpulo 131 zip)_x000D_
_x000D_
_x000D_
  (Crash) logs  : N A no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</si>
  <si>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PojavLauncherTeam-PojavLauncher-527</t>
  </si>
  <si>
    <t>[BUG] Latest build will download broken files</t>
  </si>
  <si>
    <t xml:space="preserve">  Describe the bug  _x000D_
1 16 4 with fabric will crash after launched_x000D_
_x000D_
  To Reproduce  _x000D_
Steps to reproduce the behavior:_x000D_
1  Start PojavLauncher_x000D_
2  Install 1 16 4_x000D_
3  Use Mod Installer in menu to install fabric 0 6 1 51_x000D_
4  Launch the game_x000D_
_x000D_
  Expected behavior  _x000D_
I expected 1 16 4 works fine with fabric_x000D_
_x000D_
  latestlog txt  _x000D_
   _x000D_
          beggining with launcher debug_x000D_
Info: LWJGL3 directory:  ClassWrapper jar  jsr305 jar  lwjgl glfw classes jar  lwjgl jemalloc jar  lwjgl openal jar  lwjgl opengl jar  lwjgl stb jar  lwjgl tinyfd jar  lwjgl jar  version _x000D_
Architecture: arm64 aarch64_x000D_
Info: Custom Java arguments:   Xms768m  Xmx800m  XX: UnlockExperimentalVMOptions  XX: UseG1GC  XX:G1NewSizePercent 20  XX:G1ReservePercent 20  XX:MaxGCPauseMillis 50  XX:G1HeapRegionSize 32M _x000D_
          beginning of system_x000D_
          beginning of main_x000D_
S jrelog  (20819): WARNING: linker: _x000D_
S jrelog  (20819): Warning:  _x000D_
S jrelog  (20819):  data data net kdt pojavlaunch jre runtime lib aarch64 jli libjli so_x000D_
S jrelog  (20819):   unused DT entry: _x000D_
S jrelog  (20819): DT RPATH_x000D_
S jrelog  (20819):  (type _x000D_
S jrelog  (20819): 0xf_x000D_
S jrelog  (20819):  arg _x000D_
S jrelog  (20819): 0x361_x000D_
S jrelog  (20819): ) (ignoring)_x000D_
S jrelog  (20819): _x000D_
S jrelog  (20819): WARNING: linker: _x000D_
S jrelog  (20819): Warning:  _x000D_
S jrelog  (20819):  data data net kdt pojavlaunch jre runtime lib aarch64 jli libjli so_x000D_
S jrelog  (20819):   has unsupported flags DT FLAGS 1 _x000D_
S jrelog  (20819): 0x81_x000D_
S jrelog  (20819):  (ignoring unsupported flags)_x000D_
S jrelog  (20819): _x000D_
S LaunchJVM(20819): dlopen  data user 0 net kdt pojavlaunch jre runtime lib aarch64 jli libjli so success_x000D_
S LaunchJVM(20819): dlopen  data user 0 net kdt pojavlaunch jre runtime lib aarch64 server libjvm so success_x000D_
S jrelog  (20819): WARNING: linker: _x000D_
S jrelog  (20819): Warning:  _x000D_
S jrelog  (20819):  data data net kdt pojavlaunch jre runtime lib aarch64 libverify so_x000D_
S jrelog  (20819):   unused DT entry: _x000D_
S jrelog  (20819): DT RPATH_x000D_
S jrelog  (20819):  (type _x000D_
S jrelog  (20819): 0xf_x000D_
S jrelog  (20819):  arg _x000D_
S jrelog  (20819): 0x450_x000D_
S jrelog  (20819): ) (ignoring)_x000D_
S jrelog  (20819): _x000D_
S jrelog  (20819): WARNING: linker: _x000D_
S jrelog  (20819): Warning:  _x000D_
S jrelog  (20819):  data data net kdt pojavlaunch jre runtime lib aarch64 libverify so_x000D_
S jrelog  (20819):   has unsupported flags DT FLAGS 1 _x000D_
S jrelog  (20819): 0x81_x000D_
S jrelog  (20819):  (ignoring unsupported flags)_x000D_
S jrelog  (20819): _x000D_
S LaunchJVM(20819): dlopen  data user 0 net kdt pojavlaunch jre runtime lib aarch64 libverify so success_x000D_
S jrelog  (20819): WARNING: linker: _x000D_
S jrelog  (20819): Warning:  _x000D_
S jrelog  (20819):  data data net kdt pojavlaunch jre runtime lib aarch64 libjava so_x000D_
S jrelog  (20819):   unused DT entry: _x000D_
S jrelog  (20819): DT RPATH_x000D_
S jrelog  (20819):  (type _x000D_
S jrelog  (20819): 0xf_x000D_
S jrelog  (20819):  arg _x000D_
S jrelog  (20819): 0x33c0_x000D_
S jrelog  (20819): ) (ignoring)_x000D_
S jrelog  (20819): _x000D_
S jrelog  (20819): WARNING: linker: _x000D_
S jrelog  (20819): Warning:  _x000D_
S jrelog  (20819):  data data net kdt pojavlaunch jre runtime lib aarch64 libjava so_x000D_
S jrelog  (20819):   has unsupported flags DT FLAGS 1 _x000D_
S jrelog  (20819): 0x81_x000D_
S jrelog  (20819):  (ignoring unsupported flags)_x000D_
S jrelog  (20819): _x000D_
S LaunchJVM(20819): dlopen  data user 0 net kdt pojavlaunch jre runtime lib aarch64 libjava so success_x000D_
S jrelog  (20819): WARNING: linker: _x000D_
S jrelog  (20819): Warning:  _x000D_
S jrelog  (20819):  data data net kdt pojavlaunch jre runtime lib aarch64 libnet so_x000D_
S jrelog  (20819):   unused DT entry: _x000D_
S jrelog  (20819): DT RPATH_x000D_
S jrelog  (20819):  (type _x000D_
S jrelog  (20819): 0xf_x000D_
S jrelog  (20819):  arg _x000D_
S jrelog  (20819): 0x13b8_x000D_
S jrelog  (20819): ) (ignoring)_x000D_
S jrelog  (20819): _x000D_
S jrelog  (20819): WARNING: linker: _x000D_
S jrelog  (20819): Warning:   data data net kdt pojavlaunch jre runtime lib aarch64 libnet so  has unsupported flags DT FLAGS 1 0x81 (ignoring unsupported flags)_x000D_
S LaunchJVM(20819): dlopen  data user 0 net kdt pojavlaunch jre runtime lib aarch64 libnet so success_x000D_
S jrelog  (20819): WARNING: linker: _x000D_
S jrelog  (20819): Warning:  _x000D_
S jrelog  (20819):  data data net kdt pojavlaunch jre runtime lib aarch64 libnio so_x000D_
S jrelog  (20819):   unused DT entry: _x000D_
S jrelog  (20819): DT RPATH_x000D_
S jrelog  (20819):  (type _x000D_
S jrelog  (20819): 0xf_x000D_
S jrelog  (20819):  arg _x000D_
S jrelog  (20819): 0x2196_x000D_
S jrelog  (20819): ) (ignoring)_x000D_
S jrelog  (20819): _x000D_
S jrelog  (20819): WARNING: linker: _x000D_
S jrelog  (20819): Warning:  _x000D_
S jrelog  (20819):  data data net kdt pojavlaunch jre runtime lib aarch64 libnio so_x000D_
S jrelog  (20819):   has unsupported flags DT FLAGS 1 _x000D_
S jrelog  (20819): 0x81_x000D_
S jrelog  (20819):  (ignoring unsupported flags)_x000D_
S jrelog  (20819): _x000D_
S LaunchJVM(20819): dlopen  data user 0 net kdt pojavlaunch jre runtime lib aarch64 libnio so success_x000D_
S jrelog  (20819): WARNING: linker: _x000D_
S jrelog  (20819): Warning:  _x000D_
S jrelog  (20819):  data data net kdt pojavlaunch jre runtime lib aarch64 libawt so_x000D_
S jrelog  (20819):   unused DT entry: _x000D_
S jrelog  (20819): DT RPATH_x000D_
S jrelog  (20819):  (type _x000D_
S jrelog  (20819): 0xf_x000D_
S jrelog  (20819):  arg _x000D_
S jrelog  (20819): 0x6a46_x000D_
S jrelog  (20819): ) (ignoring)_x000D_
S jrelog  (20819): _x000D_
S jrelog  (20819): WARNING: linker: _x000D_
S jrelog  (20819): Warning:  _x000D_
S jrelog  (20819):  data data net kdt pojavlaunch jre runtime lib aarch64 libawt so_x000D_
S jrelog  (20819):   has unsupported flags DT FLAGS 1 _x000D_
S jrelog  (20819): 0x81_x000D_
S jrelog  (20819):  (ignoring unsupported flags)_x000D_
S jrelog  (20819): _x000D_
S LaunchJVM(20819): dlopen  data user 0 net kdt pojavlaunch jre runtime lib aarch64 libawt so success_x000D_
S jrelog  (20819): WARNING: linker: _x000D_
S jrelog  (20819): Warning:  _x000D_
S jrelog  (20819):  data data net kdt pojavlaunch jre runtime lib aarch64 libawt headless so_x000D_
S jrelog  (20819):   unused DT entry: _x000D_
S jrelog  (20819): DT RPATH_x000D_
S jrelog  (20819):  (type _x000D_
S jrelog  (20819): 0xf_x000D_
S jrelog  (20819):  arg _x000D_
S jrelog  (20819): 0x4d9_x000D_
S jrelog  (20819): ) (ignoring)_x000D_
S jrelog  (20819): _x000D_
S jrelog  (20819): WARNING: linker: _x000D_
S jrelog  (20819): Warning:  _x000D_
S jrelog  (20819):  data data net kdt pojavlaunch jre runtime lib aarch64 libawt headless so_x000D_
S jrelog  (20819):   has unsupported flags DT FLAGS 1 _x000D_
S jrelog  (20819): 0x81_x000D_
S jrelog  (20819):  (ignoring unsupported flags)_x000D_
S jrelog  (20819): _x000D_
S LaunchJVM(20819): dlopen  data user 0 net kdt pojavlaunch jre runtime lib aarch64 libawt headless so success_x000D_
S LaunchJVM(20819): dlopen  data user 0 net kdt pojavlaunch jre runtime lib aarch64 libfreetype so success_x000D_
S jrelog  (20819): WARNING: linker: _x000D_
S jrelog  (20819): Warning:  _x000D_
S jrelog  (20819):  data data net kdt pojavlaunch jre runtime lib aarch64 libfontmanager so_x000D_
S jrelog  (20819):   unused DT entry: _x000D_
S jrelog  (20819): DT RPATH_x000D_
S jrelog  (20819):  (type _x000D_
S jrelog  (20819): 0xf_x000D_
S jrelog  (20819):  arg _x000D_
S jrelog  (20819): 0xda0_x000D_
S jrelog  (20819): ) (ignoring)_x000D_
S jrelog  (20819): _x000D_
S jrelog  (20819): WARNING: linker: _x000D_
S jrelog  (20819): Warning:  _x000D_
S jrelog  (20819):  data data net kdt pojavlaunch jre runtime lib aarch64 libfontmanager so_x000D_
S jrelog  (20819):   has unsupported flags DT FLAGS 1 _x000D_
S jrelog  (20819): 0x81_x000D_
S jrelog  (20819):  (ignoring unsupported flags)_x000D_
S jrelog  (20819): _x000D_
S LaunchJVM(20819): dlopen  data user 0 net kdt pojavlaunch jre runtime lib aarch64 libfontmanager so success_x000D_
S LaunchJVM(20819): dlopen  data app net kdt pojavlaunch yLm0adxqZD6FNS tq9KQNg   lib arm64 libopenal so success_x000D_
S LaunchJVM(20819): dlopen  data app net kdt pojavlaunch yLm0adxqZD6FNS tq9KQNg   lib arm64 libgl04es so success_x000D_
S LaunchJVM(20819): Done processing args_x000D_
S LaunchJVM(20819): Found JLI lib_x000D_
S LaunchJVM(20819): Calling JLI Launch_x000D_
S jrelog  (20819): OpenJDK 64 Bit Server VM warning: _x000D_
S jrelog  (20819): No monotonic clock was available   timed services may be adversely affected if the time of day clock changes_x000D_
S jrelog  (20819): _x000D_
S jrelog  (20819): WARNING: linker: _x000D_
S jrelog  (20819): Warning:  _x000D_
S jrelog  (20819):  data data net kdt pojavlaunch jre runtime lib aarch64 libzip so_x000D_
S jrelog  (20819):   unused DT entry: _x000D_
S jrelog  (20819): DT RPATH_x000D_
S jrelog  (20819):  (type _x000D_
S jrelog  (20819): 0xf_x000D_
S jrelog  (20819):  arg _x000D_
S jrelog  (20819): 0x8ff_x000D_
S jrelog  (20819): ) (ignoring)_x000D_
S jrelog  (20819): _x000D_
S jrelog  (20819): WARNING: linker: _x000D_
S jrelog  (20819): Warning:  _x000D_
S jrelog  (20819):  data data net kdt pojavlaunch jre runtime lib aarch64 libzip so_x000D_
S jrelog  (20819):   has unsupported flags DT FLAGS 1 _x000D_
S jrelog  (20819): 0x81_x000D_
S jrelog  (20819):  (ignoring unsupported flags)_x000D_
S jrelog  (20819): _x000D_
S jrelog  (20819): Error: Could not find or load main class net fabricmc loader launch knot KnotClient_x000D_
S jrelog  (20819): _x000D_
S jrelog  (20819):  ERROR:mailbox manager sync cc(57)  eglCreateSyncKHR failed_x000D_
   _x000D_
_x000D_
  Platform:  _x000D_
   Device Model: Huawei Mate30_x000D_
   CPU architecture: aarch64_x000D_
   Android Version: 10_x000D_
   Pojav Version: latest build in  Actions </t>
  </si>
  <si>
    <t>Anuken-Mindustry-4062</t>
  </si>
  <si>
    <t>Blocks that makes liquids from items and liquids voids liquid if there is no space for the cycle's output in the production block</t>
  </si>
  <si>
    <t xml:space="preserve">  Platform  : Android   Linux   Windows_x000D_
_x000D_
  Build  : 121 4_x000D_
_x000D_
  Issue  : Title_x000D_
_x000D_
  Steps to reproduce  : _x000D_
See Image comparison _x000D_
_x000D_
  Screenshot 20201221 194533 io anuke mindustry (https:  user images githubusercontent com 45280919 102781242 4e40e100 43d2 11eb 9026 46b6e7b8164f jpg)_x000D_
  Screenshot 20201221 194529 io anuke mindustry (https:  user images githubusercontent com 45280919 102781252 54cf5880 43d2 11eb 9b1a 2c3890a2da2f jpg)_x000D_
  Screenshot 20201221 194525 io anuke mindustry (https:  user images githubusercontent com 45280919 102781259 5731b280 43d2 11eb 9c3a 9f60e1cc996a jpg)_x000D_
_x000D_
_x000D_
  Link(s) to mod(s) used  : N A_x000D_
_x000D_
  Save file  : Easily Reproducable_x000D_
_x000D_
 test sand zip (https:  github com Anuken Mindustry files 5724553 test sand zip)_x000D_
_x000D_
  (Crash) logs  : Not a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</si>
  <si>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cgeo-WhereYouGo-244</t>
  </si>
  <si>
    <t>Crash - Tried to call nil</t>
  </si>
  <si>
    <t xml:space="preserve">Reported on support mail:_x000D_
_x000D_
Bug report for you   This is the most ambitious and maybe one of the more sophisticated wherigo cartridges I ve come across  Naturally  that means it s also prone to crashes and other malfunctions _x000D_
_x000D_
Coree Clamber_x000D_
https:  coord info GC1KHW3_x000D_
_x000D_
https:  www wherigo com cartridge details aspx CGUID 0b8e7940 7a39 408f 83a1 411f3d948d96_x000D_
_x000D_
I have a couple screen shots with crash reports (I ll forward them if you think you really need them)  but for the time being I ll leave it with you to have a poke around  You should have no trouble finding the source of the errors  not least of which is a reliance on altitude _x000D_
_x000D_
For what it s worth  this particular wherigo involves a long hike in some pretty hairy places  I ran the cartridge using a GPS emulator in the hope of extracting the 14 waypoints (for safety sake) but because my phone does not handle altitude it was no help  Still  I think this one might be worth your time to strengthen your already solid program _x000D_
  Screenshot 2020 11 23 12 26 04 (https:  user images githubusercontent com 949669 102770860 1cedf400 4385 11eb 89c7 cde43f127b42 png)_x000D_
</t>
  </si>
  <si>
    <t>Blankj-AndroidUtilCode-1404</t>
  </si>
  <si>
    <t>Kolbrezev92</t>
  </si>
  <si>
    <t xml:space="preserve">   Describe the bug
A clear and concise description of what the bug is 
  The version of AndroidUtilCode:      e g  utilcode:1 16 3 or utilcodex:1 16 3    
  The device:      e g  Nexus 5X    
  The version of device:      API 27    
   The code of bug
     e g  
   java
CrashUtils init() 
put your code here
   The stack of crash
     e g  
Caused by: java lang NullPointerException: u should init first
   at com blankj utilcode util Utils getApp(Utils java:98)
   at com blankj utilcode util CrashUtils  clinit (CrashUtils java:55)
   at com blankj utilcode util CrashUtils init(CrashUtils java:168) 
   at com blankj androidutilcode UtilsApp initCrash(UtilsApp java:71) 
   at com blankj androidutilcode UtilsApp onCreate(UtilsApp java:33) 
put the stack of crash here
   Screenshots
If applicable  add screenshots to help explain your problem 
   Please delete the current line and the following 
Thank you for supporting  AndroidUtilCode (https:  github com Blankj AndroidUtilCode) 
</t>
  </si>
  <si>
    <t>TeamNewPipe-NewPipe-5242</t>
  </si>
  <si>
    <t>Some thumbnails won't load until clicked 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</si>
  <si>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on the What s New feed_x000D_
2  Find a video with no thumbnail shown_x000D_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A video thumbnail doesn t show _x000D_
_x000D_
_x000D_
    Expected behavior_x000D_
     Tell us what you expect to happen     _x000D_
A video thumbnail  should  show_x000D_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IMG 20201221 100830 (https:  user images githubusercontent com 71007160 102765432 83b6e180 4374 11eb 8f20 03ff3876ab8b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None are shown _x000D_
     That s right  here     _x000D_
_x000D_
_x000D_
_x000D_
     Please fill this out when you do not provide a log generate by NewPipe    _x000D_
_x000D_
    Device info_x000D_
_x000D_
   Android version Custom ROM version: Android 10 MIUI 11_x000D_
   Device model: Redmi 8_x000D_
</t>
  </si>
  <si>
    <t>TeamNewPipe-NewPipe-5241</t>
  </si>
  <si>
    <t>Some videos don't load or have views.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</si>
  <si>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Wait until there is a video in your feed that shows 0 views _x000D_
2  Click it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It says content unavailable_x000D_
_x000D_
_x000D_
    Expected behavior_x000D_
     Tell us what you expect to happen     _x000D_
Being able to watch the video_x000D_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Example wouldn t upload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No logs were shown _x000D_
     That s right  here     _x000D_
_x000D_
_x000D_
_x000D_
     Please fill this out when you do not provide a log generate by NewPipe    _x000D_
_x000D_
    Device info_x000D_
_x000D_
   Android version Custom ROM version: Android 10 MIUI 11_x000D_
   Device model: Redmi 8_x000D_
</t>
  </si>
  <si>
    <t>Anuken-Mindustry-4058</t>
  </si>
  <si>
    <t>mindustry crash</t>
  </si>
  <si>
    <t xml:space="preserve">  Platform  : Windows_x000D_
_x000D_
  Build  : 121 4_x000D_
_x000D_
  Issue  : crashed_x000D_
_x000D_
  Steps to reproduce  : I doing custom game  import schematic  then close the game using X (close windows program)_x000D_
_x000D_
  Link(s) to mod(s) used  : no mod_x000D_
_x000D_
  Save file  :  21 dec mindustry zip (https:  github com Anuken Mindustry files 5722966 21 dec mindustry zip)_x000D_
_x000D_
_x000D_
If you remove the line above without reading it properly and understanding what it means  I will reap your soul  Even if you re playing on someone s server  you can still save the game to a slot _x000D_
_x000D_
  (Crash) logs  : _x000D_
 crash report 12 21 2020 14 38 02 txt (https:  github com Anuken Mindustry files 5722965 crash report 12 21 2020 14 38 02 txt)_x000D_
  mindustry (https:  user images githubusercontent com 72583750 102752297 ecfe1b00 439b 11eb 9ef1 7905c057b8bc png)_x000D_
_x000D_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</si>
  <si>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PojavLauncherTeam-PojavLauncher-523</t>
  </si>
  <si>
    <t>[BUG] Crashing when trying to launch minecraft in general</t>
  </si>
  <si>
    <t xml:space="preserve">  Describe the bug  
So i launch minecraft and it crashes with a JavaIOE Exception 
  To Reproduce  
Steps to reproduce the behavior:
1  Start PojavLauncher
2  launch 1 16 4
3  crash
  Expected behavior  
I expected minecraft to start normally
  Screenshots  
  Screenshot 20201220 150505 png (https:  user images githubusercontent com 45613796 102726613 0ab47d00 42d5 11eb 85a0 74a4a8646eeb png)
  Platform:  
   Device Model: ASUS Zenfone V
   CPU architecture: aarch64 (for some reason its running aarch32(i used boats runtime)
   Android Version: Android 8 (oreo)
for some reason Android doesnt want me to attach a file so i really cant upload a crash log  i think i can try to upload it using it via my laptop
</t>
  </si>
  <si>
    <t>nextcloud-android-7704</t>
  </si>
  <si>
    <t>Appcrash on open</t>
  </si>
  <si>
    <t xml:space="preserve">Don t know what caused the app crash  but it keeps crashing on ever load _x000D_
Worked fine for a while  than did some file changes in the web and now I m stuck with this error _x000D_
_x000D_
   _x000D_
Insert your Nextcloud log here_x000D_
             CAUSE OF ERROR             _x000D_
_x000D_
android database CursorIndexOutOfBoundsException: Index  1 requested  with a size of 3583_x000D_
	at android database AbstractCursor checkPosition(Unknown Source:21)_x000D_
	at android database AbstractWindowedCursor checkPosition(Unknown Source:0)_x000D_
	at android database AbstractWindowedCursor getLong(Unknown Source:0)_x000D_
	at com owncloud android providers FileContentProvider deleteDirectory(FileContentProvider java:179)_x000D_
	at com owncloud android providers FileContentProvider delete(FileContentProvider java:134)_x000D_
	at com owncloud android providers FileContentProvider delete(FileContentProvider java:114)_x000D_
	at android content ContentProviderOperation apply(Unknown Source:73)_x000D_
	at com owncloud android providers FileContentProvider applyBatch(FileContentProvider java:672)_x000D_
	at android content ContentProvider Transport applyBatch(Unknown Source:111)_x000D_
	at android content ContentProviderClient applyBatch(Unknown Source:13)_x000D_
	at android content ContentResolver applyBatch(Unknown Source:44)_x000D_
	at com owncloud android datamodel FileDataStorageManager saveFolder(FileDataStorageManager java:438)_x000D_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java:764)_x000D_
_x000D_
             APP INFORMATION             _x000D_
ID: com nextcloud client_x000D_
Version: 30140190_x000D_
Build flavor: gplay_x000D_
_x000D_
             DEVICE INFORMATION             _x000D_
Brand: samsung_x000D_
Device: dreamlte_x000D_
Model: SM G950F_x000D_
Id: R16NW_x000D_
Product: dreamltexx_x000D_
_x000D_
             FIRMWARE             _x000D_
SDK: 26_x000D_
Release: 8 0 0_x000D_
Incremental: G950FXXU4CRL3_x000D_
   </t>
  </si>
  <si>
    <t>microg-GmsCore-1327</t>
  </si>
  <si>
    <t>Upgrade 16.0 to 17.1 results in bootloop to recovery</t>
  </si>
  <si>
    <t xml:space="preserve">Hello everyone _x000D_
I ve been reading this GitHub for some time now  but never had problems with MicroG  So  first off  THANK YOU to the developers for doing a great job  But now I m stuck for the first time and could use some advice from experienced users  I m not sure if this belongs here  So please move this issue if it doesn t or point me in the right direction for this issue  I also asked on XDA  but the reply didn t help so far _x000D_
_x000D_
Until yesterday I used LOS for MicroG 16 0 with the lastest build (lineage 16 0 20200928) on my Samsung Galaxy S5 (klte) without major problems  Then I finally wanted to move on to 17 1  Unfortunately  there is no official documentation on how to do so  The homepage only speaks about upgrading from 15 1 to 16 0 (https:  lineage microg org )  I searched around the internet and found an issue (https:  github com microg GmsCore issues 1172) that suggested  dirty flashing would work  Also  that s basically what the MicroG homepage says for upgrading from 15 1 to 16 0  Well  it didn t work for me  LOS is loading to the turquoise loading symbol (moving dots)  stays there for some time and reboots back into recovery  Rebooting the system from recovery ends the same way  Here is what I did:_x000D_
_x000D_
a)_x000D_
 	Upgrading TWRP to latest version (3 4 0 0)_x000D_
 	Flashing latest LOS for MicroG (lineage 17 1 20201205) without wiping cache dalvik_x000D_
 	rebooting system_x000D_
  	resulted in boot loop to recovery (as described above)_x000D_
_x000D_
b)_x000D_
  	in TWRP wiped cache   dalvik cache_x000D_
  	rebooting system_x000D_
 	resulted in boot loop to recovery (as described above)_x000D_
_x000D_
c)_x000D_
  	decided to restore phone to 16 0 with factory reset und restore of full backup from TWRP_x000D_
  	resulted in Odin Fastboot bootloop  not able to properly boot to 16 0_x000D_
_x000D_
d)_x000D_
  	decided to try 17 1 again and in TWRP flashed migration zip first  then latest LOS for MicroG (lineage 17 1 20201205) with wiping cache dalvik afterwards_x000D_
  	rebooting system_x000D_
  	resulted in boot loop to recovery (as described above)_x000D_
_x000D_
e)_x000D_
  	hooked up phone to adb_x000D_
  	flashed latest LOS for MicroG (lineage 17 1 20201205) with adb sideload_x000D_
  	wiping cache dalvik afterwards_x000D_
  	rebooting system_x000D_
  	resulted in boot loop to recovery (as described above)_x000D_
  	copied the recovery log from inside TWRP and attached it (see below)_x000D_
_x000D_
_x000D_
What am I doing wrong  What is the right way to upgrade from 16 0 to 17 1  So  I would need help either to:_x000D_
_x000D_
  	finally upgrade from 16 0 to 17 1 without losing my apps and data or_x000D_
  	restore my phone to 16 0 without losing my apps and data _x000D_
_x000D_
Can anyone of you help me doing so  The phone is my daily driver and I need it usable asap  Thank you _x000D_
_x000D_
          recovery log                                          _x000D_
_x000D_
  bionic open tzdata: couldn t find any tzdata when looking for localtime _x000D_
  bionic open tzdata: couldn t find any tzdata when looking for GMT _x000D_
  bionic open tzdata: couldn t find any tzdata when looking for posixrules _x000D_
Starting TWRP 3 4 0 0 13b07f8d on Wed Jan  1 01:11:23 2014_x000D_
 (pid 214)_x000D_
I:   product model:  SM G900F _x000D_
I:   using device id:  SM G900F _x000D_
TW NO REBOOT BOOTLOADER :  true_x000D_
RECOVERY SDCARD ON DATA :  true_x000D_
I:Lun file   sys devices msm dwc3 f9200000 dwc3 gadget lun0 file _x000D_
TW HAS DOWNLOAD MODE :  true_x000D_
TW INCLUDE CRYPTO :  true_x000D_
I:TW BRIGHTNESS PATH :   sys devices mdp 0 qcom mdss fb primary 191 leds lcd backlight brightness_x000D_
I:Specified brightness file   sys devices mdp 0 qcom mdss fb primary 191 leds lcd backlight brightness  not found _x000D_
I:Found brightness file at   sys devices virtual lcd panel panel brightness _x000D_
I:TWFunc::Set Brightness: Setting brightness control to 162_x000D_
I:LANG: en_x000D_
Starting the UI   _x000D_
setting DRM FORMAT RGBX8888 and GGL PIXEL FORMAT RGBX 8888_x000D_
cannot find open a drm device: No such file or directory_x000D_
fb0 reports (possibly inaccurate):_x000D_
  vi bits per pixel   32_x000D_
  vi red offset      24    length     8_x000D_
  vi green offset    16    length     8_x000D_
  vi blue offset      8    length     8_x000D_
setting GGL PIXEL FORMAT RGBX 8888_x000D_
double buffered_x000D_
framebuffer: 0 (1080 x 1920)_x000D_
Using fbdev graphics _x000D_
I:TWFunc::Set Brightness: Setting brightness control to 162_x000D_
I:Loading package: splash ( twres splash xml)_x000D_
I:Load XML directly_x000D_
I:PageManager::LoadFileToBuffer loading filename:   twres splash xml  directly_x000D_
I:Checking resolution   _x000D_
I:Loading resources   _x000D_
I:Loading variables   _x000D_
I:Loading mouse cursor   _x000D_
I:Loading pages   _x000D_
I:Loading page splash_x000D_
I:Switching packages (splash)_x000D_
   Linking mtab_x000D_
   Processing  etc recovery fstab for SAR detection_x000D_
I:Reading  etc recovery fstab_x000D_
I:Done processing fstab files_x000D_
I:SAR DETECT: SAR System detected_x000D_
   Processing  etc recovery fstab_x000D_
I:Reading  etc recovery fstab_x000D_
I:Processing   modem _x000D_
I:Created   modem  folder _x000D_
I:Processing   firmware _x000D_
I:Created   firmware  folder _x000D_
I:Processing   boot _x000D_
I:Processing   recovery _x000D_
I:Processing   system _x000D_
I:Created   system root  folder _x000D_
I:Processing   data _x000D_
I:Processing   cache _x000D_
I:Processing   efs _x000D_
I:Created   efs  folder _x000D_
I:Processing   modemst1 _x000D_
I:Processing   modemst2 _x000D_
I:Processing   external sd _x000D_
I:Created   external sd  folder _x000D_
I:Processing   usbstorage _x000D_
I:Created   usbstorage  folder _x000D_
I:Processing   misc _x000D_
I:Done processing fstab files_x000D_
I:Setting up   data  as data media emulated storage _x000D_
I:Created   sdcard  folder _x000D_
I:mount  o bind   data media    sdcard  process ended with RC 0_x000D_
I:mount  o bind   data media 0    sdcard  process ended with RC 0_x000D_
I:Trying wrapped key _x000D_
I:Unable to decrypt device_x000D_
I:Setting up   data  as data media emulated storage _x000D_
I:mount  o bind   data media 0    sdcard  process ended with RC 0_x000D_
I:Backup folder set to   data media 0 TWRP BACKUPS SM G900F _x000D_
I:Settings storage is   data media 0 _x000D_
I:Decrypt adopted storage starting_x000D_
I:PageManager::LoadFileToBuffer loading filename:   data system storage xml  directly_x000D_
I:successfully loaded storage xml_x000D_
Alternate GPT is invalid  using primary GPT _x000D_
I:type:  193d1ea4b3ca11e4b07510604b889dcf _x000D_
I:part:  6242243da92c4d8cbdfaec5bf34df90b _x000D_
I:Adopted GUID  6242243da92c4d8cbdfaec5bf34df90b _x000D_
I:android expand found_x000D_
I:Detected adopted storage  disabling USB mass storage mode_x000D_
I:key file is   data misc vold expand 6242243da92c4d8cbdfaec5bf34df90b key   block device   dev block mmcblk1p2 _x000D_
E:Cannot remove dm crypt device_x000D_
I:Enabling support for allow discards in dmcrypt _x000D_
I:Creating crypto dev  6242243da92c4d8cbdfaec5bf34df90b   cipher aes cbc essiv:sha256  keysize 16  real dev  dev block mmcblk1p2  len 127847611904  params  1 allow discards _x000D_
I:target type   crypt_x000D_
I:real blk name    dev block mmcblk1p2  extra params   1 allow discards_x000D_
I:adopted storage new block device:   dev block dm 0 _x000D_
I:Can t probe device  dev block mmcblk1_x000D_
I:Unable to mount   external sd _x000D_
I:Actual block device:   dev block mmcblk1   current file system:  vfat _x000D_
I:Setting up   external sd  as data media emulated storage _x000D_
I:Data backup size is 101887MB  free: 21181MB _x000D_
I:Data backup size is 91MB  free: 21181MB _x000D_
I:storage name from storage xml is  SD Karte von SanDisk _x000D_
I:Internal storage is found on adopted storage  SD Karte von SanDisk _x000D_
I:Changing   sdcard  to point to   external sd media 0 _x000D_
I:Data backup size is 91MB  free: 21181MB _x000D_
I:mount  o bind   external sd media 0    sdcard  process ended with RC 0_x000D_
Updating partition details   _x000D_
I:Data backup size is 8709MB  free: 2514MB _x000D_
I:Data backup size is 91MB  free: 21181MB _x000D_
I:Unable to mount   usbstorage _x000D_
I:Actual block device:     current file system:  vfat _x000D_
   done_x000D_
 external sd    dev block dm 0   Size: 121922MB Used: 91MB Free: 21181MB Backup Size: 91MB_x000D_
   Flags: Can Be Mounted Can Be Wiped Can Be Backed Up Wipe During Factory Reset Wipe Available in GUI Is SubPartition Removable IsPresent Is Encrypted Is Decrypted Has Data Media Can Encrypt Backup Use Userdata Encryption Is Storage Is Adopted Storage _x000D_
   SubPartition Of:  data_x000D_
   Symlink Path:  external sd media 0_x000D_
   Symlink Mount Point:  sdcard_x000D_
   Primary Block Device:  dev block mmcblk1p1_x000D_
   Alternate Block Device:  dev block mmcblk1_x000D_
   Decrypted Block Device:  dev block dm 0_x000D_
   Display Name: SD Karte von SanDisk_x000D_
   Storage Name: SD Karte von SanDisk_x000D_
   Backup Path:  external sd_x000D_
   Backup Name: external sd_x000D_
   Backup Display Name: SD Karte von SanDisk_x000D_
   Storage Path:  external sd media 0_x000D_
   Current File System: f2fs_x000D_
   Fstab File System: vfat_x000D_
   Backup Method: files_x000D_
   MTP Storage ID: 65538_x000D_
_x000D_
Updating partition details   _x000D_
I:Data backup size is 8709MB  free: 2514MB _x000D_
I:Data backup size is 91MB  free: 21181MB _x000D_
I:Unable to mount   usbstorage _x000D_
I:Actual block device:     current file system:  vfat _x000D_
   done_x000D_
I:Unmounting main partitions   _x000D_
_x000D_
_x000D_
Partition Logs:_x000D_
 modem    dev block mmcblk0p2   Size: 63MB Used: 52MB Free: 11MB Backup Size: 52MB_x000D_
   Flags: Can Be Mounted Can Be Wiped Can Be Backed Up Has SubPartition IsPresent _x000D_
   Primary Block Device:  dev block mmcblk0p2_x000D_
   Alternate Block Device:  dev block platform msm sdcc 1 by name mdm_x000D_
   Display Name: Modem_x000D_
   Storage Name: Modem_x000D_
   Backup Path:  modem_x000D_
   Backup Name: modem_x000D_
   Backup Display Name: Modem_x000D_
   Storage Path:  modem_x000D_
   Current File System: vfat_x000D_
   Fstab File System: vfat_x000D_
   Backup Method: files_x000D_
_x000D_
 firmware    dev block mmcblk0p1   Size: 76MB Used: 8MB Free: 68MB Backup Size: 8MB_x000D_
   Flags: Can Be Mounted Can Be Wiped Can Be Backed Up Is SubPartition IsPresent Mount To Decrypt Mount Read Only _x000D_
   SubPartition Of:  modem_x000D_
   Primary Block Device:  dev block mmcblk0p1_x000D_
   Display Name: firmware_x000D_
   Storage Name: firmware_x000D_
   Backup Path:  firmware_x000D_
   Backup Name: firmware_x000D_
   Backup Display Name: firmware_x000D_
   Storage Path:  firmware_x000D_
   Current File System: vfat_x000D_
   Fstab File System: vfat_x000D_
   Backup Method: files_x000D_
   Mount Flags: 0  Mount Options: context u:object r:firmware file:s0_x000D_
_x000D_
 boot    dev block mmcblk0p15   Size: 13MB_x000D_
   Flags: Can Be Backed Up IsPresent Can Flash Img _x000D_
   Primary Block Device:  dev block mmcblk0p15_x000D_
   Display Name: Boot_x000D_
   Storage Name: boot_x000D_
   Backup Path:  boot_x000D_
   Backup Name: boot_x000D_
   Backup Display Name: Boot_x000D_
   Storage Path:  boot_x000D_
   Current File System: emmc_x000D_
   Fstab File System: emmc_x000D_
   Backup Method: dd_x000D_
_x000D_
 recovery    dev block mmcblk0p16   Size: 15MB_x000D_
   Flags: Can Be Backed Up IsPresent Can Flash Img _x000D_
   Primary Block Device:  dev block mmcblk0p16_x000D_
   Display Name: Recovery_x000D_
   Storage Name: recovery_x000D_
   Backup Path:  recovery_x000D_
   Backup Name: recovery_x000D_
   Backup Display Name: Recovery_x000D_
   Storage Path:  recovery_x000D_
   Current File System: emmc_x000D_
   Fstab File System: emmc_x000D_
   Backup Method: dd_x000D_
_x000D_
 system root    dev block mmcblk0p23   Size: 2260MB Used: 1110MB Free: 1150MB Backup Size: 1110MB_x000D_
   Flags: Can Be Mounted Can Be Wiped Can Be Backed Up Wipe Available in GUI IsPresent Can Flash Img Mount Read Only _x000D_
   Primary Block Device:  dev block mmcblk0p23_x000D_
   Display Name: System_x000D_
   Storage Name: System_x000D_
   Backup Path:  system root_x000D_
   Backup Name: system_x000D_
   Backup Display Name: System_x000D_
   Storage Path:  system root_x000D_
   Current File System: ext4_x000D_
   Fstab File System: ext4_x000D_
   Backup Method: files_x000D_
_x000D_
 data    dev block mmcblk0p26   Size: 11936MB Used: 8709MB Free: 2514MB Backup Size: 8709MB_x000D_
   Flags: Can Be Mounted Can Be Wiped Can Be Backed Up Wipe During Factory Reset Wipe Available in GUI Has SubPartition IsPresent Can Be Encrypted Has Data Media Can Encrypt Backup Use Userdata Encryption Is Storage Is Settings Storage _x000D_
   Symlink Path:  data media 0_x000D_
   Primary Block Device:  dev block mmcblk0p26_x000D_
   Crypto Key Location: footer_x000D_
   Length:  16384_x000D_
   Display Name: Data_x000D_
   Storage Name: Internal Storage_x000D_
   Backup Path:  data_x000D_
   Backup Name: data_x000D_
   Backup Display Name: Data_x000D_
   Storage Path:  data media 0_x000D_
   Current File System: ext4_x000D_
   Fstab File System: ext4_x000D_
   Backup Method: files_x000D_
   MTP Storage ID: 65537_x000D_
_x000D_
 cache    dev block mmcblk0p24   Size: 196MB Used: 4MB Free: 192MB Backup Size: 4MB_x000D_
   Flags: Can Be Mounted Can Be Wiped Can Be Backed Up Wipe During Factory Reset Wipe Available in GUI IsPresent _x000D_
   Primary Block Device:  dev block mmcblk0p24_x000D_
   Display Name: Cache_x000D_
   Storage Name: Cache_x000D_
   Backup Path:  cache_x000D_
   Backup Name: cache_x000D_
   Backup Display Name: Cache_x000D_
   Storage Path:  cache_x000D_
   Current File System: ext4_x000D_
   Fstab File System: ext4_x000D_
   Backup Method: files_x000D_
_x000D_
 efs    dev block mmcblk0p12   Size: 13MB Used: 4MB Free: 9MB Backup Size: 4MB_x000D_
   Flags: Can Be Mounted Can Be Wiped Can Be Backed Up Has SubPartition IsPresent _x000D_
   Primary Block Device:  dev block mmcblk0p12_x000D_
   Display Name: EFS_x000D_
   Storage Name: EFS_x000D_
   Backup Path:  efs_x000D_
   Backup Name: efs_x000D_
   Backup Display Name: EFS_x000D_
   Storage Path:  efs_x000D_
   Current File System: ext4_x000D_
   Fstab File System: ext4_x000D_
   Backup Method: files_x000D_
_x000D_
 modemst1    dev block mmcblk0p13   Size: 3MB_x000D_
   Flags: Can Be Backed Up Is SubPartition IsPresent _x000D_
   SubPartition Of:  efs_x000D_
   Primary Block Device:  dev block mmcblk0p13_x000D_
   Display Name: modemst1_x000D_
   Storage Name: modemst1_x000D_
   Backup Path:  modemst1_x000D_
   Backup Name: modemst1_x000D_
   Backup Display Name: modemst1_x000D_
   Storage Path:  modemst1_x000D_
   Current File System: emmc_x000D_
   Fstab File System: emmc_x000D_
   Backup Method: dd_x000D_
_x000D_
 modemst2    dev block mmcblk0p14   Size: 3MB_x000D_
   Flags: Can Be Backed Up Is SubPartition IsPresent _x000D_
   SubPartition Of:  efs_x000D_
   Primary Block Device:  dev block mmcblk0p14_x000D_
   Display Name: modemst2_x000D_
   Storage Name: modemst2_x000D_
   Backup Path:  modemst2_x000D_
   Backup Name: modemst2_x000D_
   Backup Display Name: modemst2_x000D_
   Storage Path:  modemst2_x000D_
   Current File System: emmc_x000D_
   Fstab File System: emmc_x000D_
   Backup Method: dd_x000D_
_x000D_
 external sd    dev block dm 0   Size: 121922MB Used: 91MB Free: 21181MB Backup Size: 91MB_x000D_
   Flags: Can Be Mounted Can Be Wiped Can Be Backed Up Wipe During Factory Reset Wipe Available in GUI Is SubPartition Removable IsPresent Is Encrypted Is Decrypted Has Data Media Can Encrypt Backup Use Userdata Encryption Is Storage Is Adopted Storage _x000D_
   SubPartition Of:  data_x000D_
   Symlink Path:  external sd media 0_x000D_
   Symlink Mount Point:  sdcard_x000D_
   Primary Block Device:  dev block mmcblk1p1_x000D_
   Alternate Block Device:  dev block mmcblk1_x000D_
   Decrypted Block Device:  dev block dm 0_x000D_
   Display Name: SD Karte von SanDisk_x000D_
   Storage Name: SD Karte von SanDisk_x000D_
   Backup Path:  external sd_x000D_
   Backup Name: external sd_x000D_
   Backup Display Name: SD Karte von SanDisk_x000D_
   Storage Path:  external sd media 0_x000D_
   Current File System: f2fs_x000D_
   Fstab File System: vfat_x000D_
   Backup Method: files_x000D_
   MTP Storage ID: 65538_x000D_
_x000D_
 usbstorage      Size: 0MB Used: 0MB Free: 0MB Backup Size: 0MB_x000D_
   Flags: Can Be Mounted Can Be Wiped Wipe Available in GUI Removable Is Storage _x000D_
   Primary Block Device:  dev block sda1_x000D_
   Alternate Block Device:  dev block sda_x000D_
   Display Name: USB Storage_x000D_
   Storage Name: USB Storage_x000D_
   Backup Path:  usbstorage_x000D_
   Backup Name: usbstorage_x000D_
   Backup Display Name: USB Storage_x000D_
   Storage Path:  usbstorage_x000D_
   Current File System: vfat_x000D_
   Fstab File System: vfat_x000D_
   Backup Method: files_x000D_
   MTP Storage ID: 65539_x000D_
_x000D_
 misc    dev block mmcblk0p17   Size: 13MB_x000D_
   Flags: IsPresent _x000D_
   Primary Block Device:  dev block mmcblk0p17_x000D_
   Display Name: misc_x000D_
   Storage Name: misc_x000D_
   Backup Path:  misc_x000D_
   Backup Name: misc_x000D_
   Backup Display Name: misc_x000D_
   Storage Path:  misc_x000D_
   Current File System: emmc_x000D_
   Fstab File System: emmc_x000D_
   Backup Method: dd_x000D_
_x000D_
I:Loading package: TWRP ( data media 0 TWRP theme ui zip)_x000D_
I:Loading zip theme_x000D_
I:Loading package: TWRP ( twres ui xml)_x000D_
I:Load XML directly_x000D_
I:PageManager::LoadFileToBuffer loading filename:   twres languages uk xml  directly_x000D_
I:PageManager::LoadFileToBuffer loading filename:   twres languages tr xml  directly_x000D_
I:PageManager::LoadFileToBuffer loading filename:   twres languages sv xml  directly_x000D_
I:PageManager::LoadFileToBuffer loading filename:   twres languages sl xml  directly_x000D_
I:PageManager::LoadFileToBuffer loading filename:   twres languages sk xml  directly_x000D_
I:PageManager::LoadFileToBuffer loading filename:   twres languages ru xml  directly_x000D_
I:PageManager::LoadFileToBuffer loading filename:   twres languages pt PT xml  directly_x000D_
I:PageManager::LoadFileToBuffer loading filename:   twres languages pt BR xml  directly_x000D_
I:PageManager::LoadFileToBuffer loading filename:   twres languages pl xml  directly_x000D_
I:PageManager::LoadFileToBuffer loading filename:   twres languages nl xml  directly_x000D_
I:PageManager::LoadFileToBuffer loading filename:   twres languages it xml  directly_x000D_
I:PageManager::LoadFileToBuffer loading filename:   twres languages hu xml  directly_x000D_
I:PageManager::LoadFileToBuffer loading filename:   twres languages fr xml  directly_x000D_
I:PageManager::LoadFileToBuffer loading filename:   twres languages es xml  directly_x000D_
I:PageManager::LoadFileToBuffer loading filename:   twres languages en xml  directly_x000D_
I:PageManager::LoadFileToBuffer loading filename:   twres languages el xml  directly_x000D_
I:PageManager::LoadFileToBuffer loading filename:   twres languages de xml  directly_x000D_
I:PageManager::LoadFileToBuffer loading filename:   twres languages cz xml  directly_x000D_
I:PageManager::LoadFileToBuffer loading filename:   twres languages en xml  directly_x000D_
parsing languageFile_x000D_
parsing languageFile done_x000D_
I:PageManager::LoadFileToBuffer loading filename:   twres ui xml  directly_x000D_
I:Checking resolution   _x000D_
I:Loading resources   _x000D_
I:Failed to load image from indeterminate013  error  1_x000D_
I:Loading variables   _x000D_
I:Loading mouse cursor   _x000D_
I:Loading pages   _x000D_
I:Including file:  twres portrait xml   _x000D_
I:PageManager::LoadFileToBuffer loading filename:   twres portrait xml  directly_x000D_
I:Loading resources   _x000D_
I:Loading variables   _x000D_
I:Loading mouse cursor   _x000D_
I:Loading pages   _x000D_
I:Loading page main_x000D_
I:Loading page main2_x000D_
I:Loading page install_x000D_
I:Loading page flash confirm_x000D_
I:Loading page flash zip_x000D_
I:Loading page flash done_x000D_
I:Loading page flash sleep and reboot_x000D_
I:Loading page flashimage confirm_x000D_
I:Loading page clear vars_x000D_
I:Loading page reboot system routine_x000D_
I:Loading page confirm action_x000D_
I:Loading page action page_x000D_
I:Loading page singleaction page_x000D_
I:Loading page action complete_x000D_
I:Loading page filecheck_x000D_
I:Loading page rebootcheck_x000D_
I:Loading page appcheck_x000D_
I:Loading page wipe_x000D_
I:Loading page advancedwipe_x000D_
I:Loading page formatdata_x000D_
I:Loading page formatdata confirm_x000D_
I:Loading page checkpartitionlist_x000D_
I:Loading page partitionoptions_x000D_
I:Loading page refreshfilesystem_x000D_
I:Loading page selectfilesystem_x000D_
I:Loading page backup_x000D_
I:Loading page backup options_x000D_
I:Loading page backupname1_x000D_
I:Loading page backupname2_x000D_
I:Loading page backupencryption_x000D_
I:Loading page backupencryption2_x000D_
I:Loading page checkbackuppassword_x000D_
I:Loading page backup run_x000D_
I:Loading page restore_x000D_
I:Unable to open   data media 0 TWRP BACKUPS SM G900F _x000D_
I:Loading page restore read_x000D_
I:Loading page restore decrypt_x000D_
I:Loading page try restore decrypt_x000D_
I:Loading page restore select_x000D_
I:Loading page renamebackup_x000D_
I:Loading page restore run_x000D_
I:Loading page mount_x000D_
I:Loading page usb mount_x000D_
I:Loading page usb umount_x000D_
I:Loading page system readonly check_x000D_
I:Loading page reboot_x000D_
I:Loading page rebootapp_x000D_
I:Loading page system readonly_x000D_
I:Loading page settings_x000D_
I:Loading page settings timezone_x000D_
I:Loading page settings screen_x000D_
I:Loading page settings vibration_x000D_
I:Loading page settings language_x000D_
I:Loading page copylog_x000D_
I:Loading page advanced_x000D_
I:Loading page partsdcardsel_x000D_
I:Loading page partsdcardcheck_x000D_
I:Loading page partsdcard_x000D_
I:Loading page htcdumlock_x000D_
I:Loading page repackselect_x000D_
I:Loading page repackconfirm_x000D_
I:Loading page lock_x000D_
I:Loading page filemanagerlist_x000D_
I:Loading page filemanageroptions_x000D_
I:Loading page choosedestinationfolder_x000D_
I:Loading page filemanagerrenamefile_x000D_
I:Loading page filemanagerrenamefolder_x000D_
I:Loading page filemanagerchmod_x000D_
I:Loading page filemanagerconfirm_x000D_
I:Loading page filemanageraction_x000D_
I:Loading page decrypt_x000D_
I:Loading page decrypt pattern_x000D_
I:Loading page trydecrypt_x000D_
I:Loading page terminalcommand_x000D_
I:Loading page sideload_x000D_
I:Loading page fixcontexts_x000D_
I:Loading page slideout_x000D_
I:Loading page select storage_x000D_
I:Loading page select language_x000D_
I:Loading page decrypt users_x000D_
I:Set page:  clear vars _x000D_
I:Set page:  main2 _x000D_
I:Switching packages (TWRP)_x000D_
Boot command: boot recovery_x000D_
Got arguments from boot message_x000D_
Startup Commands:     prompt and wipe data     reason RescueParty RescueParty_x000D_
    locale de DE _x000D_
ro sf lcd density 480_x000D_
ro com google clientidbase android google_x000D_
ro com android wifi watchlist GoogleGuest_x000D_
ro url legal http:  www google com intl  s mobile android basic phone legal html_x000D_
ro boot emmc true_x000D_
ro boot sec atd tty  dev ttyHSL0_x000D_
ro boot baseband msm_x000D_
ro boot hardware qcom_x000D_
ro boot revision 14_x000D_
ro boot serialno 98cb9775_x000D_
ro boot bootdevice msm sdcc 1_x000D_
ro boot bootloader G900FXXU1CPDF_x000D_
ro boot debug level 0x4f4c_x000D_
ro boot warranty bit 1_x000D_
ro boot boot recovery 1_x000D_
ro boot emmc checksum 3_x000D_
ro boot nvdata backup 0_x000D_
ro boot cp debug level 0x55FF_x000D_
ro omni device klte_x000D_
ro omni version 6 0 1 20200904 klte HOMEMADE_x000D_
ro twrp sar true_x000D_
ro twrp boot 1_x000D_
ro twrp version 3 4 0 0_x000D_
ro wifi channels _x000D_
ro allow mock location 1_x000D_
ro board platform msm8974_x000D_
ro build id MOB31K_x000D_
ro build date Fri Sep  4 22:55:33 UTC 2020_x000D_
ro build date utc 0_x000D_
ro build host bfd035c5964a_x000D_
ro build tags test keys_x000D_
ro build type eng_x000D_
ro build user jenkins_x000D_
ro build flavor omni klte eng_x000D_
ro build display id omni klte eng 6 0 1 MOB31K 1 test keys_x000D_
ro build version sdk 23_x000D_
ro build version base os _x000D_
ro build version release 6 0 1_x000D_
ro build version codename REL_x000D_
ro build version incremental 1_x000D_
ro build version preview sdk _x000D_
ro build version all codenames REL_x000D_
ro build version security patch 2016 11 05_x000D_
ro build characteristics default_x000D_
ro kernel android checkjni 1_x000D_
ro secure 0_x000D_
ro product cpu abi armeabi v7a_x000D_
ro product cpu abi2 armeabi_x000D_
ro product cpu abilist armeabi v7a armeabi_x000D_
ro product cpu abilist32 armeabi v7a armeabi_x000D_
ro product cpu abilist64 _x000D_
ro product name kltexx_x000D_
ro product board MSM8974_x000D_
ro product brand samsung_x000D_
ro product model SM G900F_x000D_
ro product device klte_x000D_
ro product manufacturer samsung_x000D_
ro baseband msm_x000D_
ro bootmode unknown_x000D_
ro hardware qcom_x000D_
ro qualcomm bt hci transport smd_x000D_
ro revision 14_x000D_
ro serialno 98cb9775_x000D_
ro bootimage build date Fri Sep 4 22:56:04 UTC 2020_x000D_
ro bootimage build date utc 1599260164_x000D_
ro bootimage build fingerprint samsung omni klte klte:6 0 1 MOB31K 1:eng test keys_x000D_
ro bootloader G900FXXU1CPDF_x000D_
ro debuggable 1_x000D_
ro modversion OmniROM 6 0 1 20200904 klte HOMEMADE_x000D_
ro setupwizard enterprise mode 1_x000D_
ro lcd brightness 162_x000D_
ro lcd min brightness 0_x000D_
dev pm dyn samplingrate 1_x000D_
fbe data wrappedkey true_x000D_
net bt name Android_x000D_
net change net bt name_x000D_
sys usb config mtp adb_x000D_
init svc adbd stopping_x000D_
init svc ueventd running_x000D_
init svc recovery running_x000D_
init svc set permissive stopped_x000D_
twrp crash counter 0_x000D_
twrp action complete 0_x000D_
debug sf hw 1_x000D_
debug egl hw 1_x000D_
debug atrace tags enableflags 0_x000D_
debug mdpcomp logs 0_x000D_
debug mdpcomp fallback false_x000D_
debug mdpcomp idletime 100_x000D_
debug composition type gpu_x000D_
dalvik vm isa arm variant krait_x000D_
dalvik vm isa arm features default_x000D_
dalvik vm usejit true_x000D_
dalvik vm lockprof threshold 500_x000D_
dalvik vm dex2oat filter verify at runtime_x000D_
dalvik vm stack trace file  data anr traces txt_x000D_
dalvik vm image dex2oat filter verify at runtime_x000D_
persist hwc mdpcomp enable true_x000D_
persist sys usb config mtp adb_x000D_
persist sys dalvik vm lib 2 libart_x000D_
persist sys root access 1_x000D_
persist fuse sdcard true_x000D_
service adb root 1_x000D_
_x000D_
Renaming regular  file contexts     file contexts bak_x000D_
Moving  prebuilt file contexts     file contexts_x000D_
SELinux contexts loaded from  file contexts_x000D_
Full SELinux support is present _x000D_
tw get context got selinux context: u:object r:media rw data file:s0_x000D_
I:Got default contexts and file mode for storage files _x000D_
I:TWFunc::Fixup Time: Pre fix date and time: 2014 01 01  01 12 11_x000D_
I:TWFunc::Fixup Time: Setting time offset from file  sys class rtc rtc0 since epoch_x000D_
I:TWFunc::Fixup Time: will attempt to use the ats files now _x000D_
I:TWFunc::Fixup Time: Setting time offset from file  data time ats 2  offset 1569397457119_x000D_
I:TWFunc::Fixup Time: Date and time corrected: 2019 09 25  08 56 27_x000D_
I:Copied file  cache recovery log gz to  cache recovery last log gz_x000D_
I:Attempt to load settings from settings file   _x000D_
I:InfoManager loading from   data media 0 TWRP  twrps  _x000D_
I:Backup folder set to   external sd media 0 TWRP BACKUPS SM G900F _x000D_
I:Copied file  etc recovery fstab to  cache recovery recovery fstab_x000D_
I:Version number saved to   cache recovery  version _x000D_
I:Unable to mount   usbstorage _x000D_
I:Actual block device:     current file system:  vfat _x000D_
  bionic open tzdata: couldn t find any tzdata when looking for CET 1CEST M3 5 0 M10 5 0 _x000D_
  bionic open tzdata: couldn t find any tzdata when looking for posixrules _x000D_
I:TWFunc::Set Brightness: Setting brightness control to 102_x000D_
I:PageManager::LoadFileToBuffer loading filename:   twres languages en xml  directly_x000D_
parsing languageFile_x000D_
parsing languageFile done_x000D_
I:Translating partition display names_x000D_
I:Backup folder set to   external sd media 0 TWRP BACKUPS SM G900F _x000D_
I:Starting MTP_x000D_
I: MTP  Starting MTP_x000D_
I:sending message to add 65537   data media 0   Internal Storage _x000D_
I:Message sent  add storage ID: 65537   data media 0 _x000D_
I:sending message to add 65538   external sd media 0   SD Karte von SanDisk   Adopted Storage _x000D_
I:Message sent  add storage ID: 65538   external sd media 0 _x000D_
MTP Enabled_x000D_
I:Check Lifetime Writes result:  113 _x000D_
I:Switching packages (TWRP)_x000D_
I:Starting Adb Backup FIFO_x000D_
I:Set page:  main _x000D_
I:Set page:  clear vars _x000D_
I:Set page:  main2 _x000D_
I: MTP  Using   dev mtp usb  for MTP device _x000D_
I: MTP  created new mtpserver object_x000D_
I: MTP  MtpServer::run fd: 20_x000D_
I: MTP  mtppipe add storage 65537   data media 0 _x000D_
I: MTP  MtpStorage id: 65537 path:  data media 0_x000D_
I: MTP  mtppipe add storage 65538   external sd media 0 _x000D_
I: MTP  MtpStorage id: 65538 path:  external sd media 0_x000D_
I:TWFunc::Set Brightness: Setting brightness control to 5_x000D_
I:TWFunc::Set Brightness: Setting brightness control to 0_x000D_
I:TWFunc::Set Brightness: Setting brightness control to 102_x000D_
I:Set overlay:   _x000D_
I:Set page:  advanced _x000D_
I:Set page:  copylog _x000D_
I:Set page:  action page _x000D_
I:operation start:  Copy Log </t>
  </si>
  <si>
    <t>abdelazizak2012-andriod-6</t>
  </si>
  <si>
    <t>Fields in Angeboterstellen checken</t>
  </si>
  <si>
    <t>The app crashes when the fields in angebot are empty</t>
  </si>
  <si>
    <t>TeamNewPipe-NewPipe-5234</t>
  </si>
  <si>
    <t>Streamingfailure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</si>
  <si>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</si>
  <si>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ankidroid-Anki-Android-7918</t>
  </si>
  <si>
    <t>Crash after "Check database"</t>
  </si>
  <si>
    <t xml:space="preserve">   Reproduction Steps_x000D_
1  Install AnkiDroid_x000D_
2  Select  Check database _x000D_
3  Select  OK _x000D_
_x000D_
   Actual Result_x000D_
Crashed _x000D_
_x000D_
   Debug Info_x000D_
AnkiDroid Version   2 15alpha17_x000D_
_x000D_
Android Version   9_x000D_
_x000D_
ACRA UUID   741efefa e3a5 4eef a2e8 e5032cead758_x000D_
_x000D_
Scheduler   std_x000D_
_x000D_
Crash Reports Enabled   true_x000D_
_x000D_
_x000D_
_x000D_
Happened both on my  Honor  phone and the emulator  Pixel 3 API 28  _x000D_
_x000D_
   Demo_x000D_
  ankidroid crash (https:  user images githubusercontent com 43040147 102708364 929e8500 42dd 11eb 9d8d 049ff5012abe gif)_x000D_
_x000D_
</t>
  </si>
  <si>
    <t>Anuken-Mindustry-4050</t>
  </si>
  <si>
    <t xml:space="preserve">Game sounds die randomly </t>
  </si>
  <si>
    <t xml:space="preserve">  Platform  :  Android iOS Mac Windows Linux _x000D_
_x000D_
Android_x000D_
_x000D_
  Build  :  The build number under the title in the main menu  Required   LATEST  IS NOT A VERSION  I NEED THE EXACT BUILD NUMBER OF YOUR GAME  _x000D_
_x000D_
121 4_x000D_
_x000D_
  Issue  :  Explain your issue in detail  _x000D_
_x000D_
Game sounds die randomly_x000D_
_x000D_
  Steps to reproduce  :  How you happened across the issue  and what exactly you did to make the bug happen  _x000D_
_x000D_
It happens when you first enter any sector i have no idea when it happens aka random_x000D_
_x000D_
  Link(s) to mod(s) used  :  The mod repositories or zip files that are related to the issue  if applicable  _x000D_
_x000D_
0 mods used_x000D_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_x000D_
 saves zip (https:  github com Anuken Mindustry files 5720417 saves zip)_x000D_
_x000D_
_x000D_
_x000D_
If you remove the line above without reading it properly and understanding what it means  I will reap your soul  Even if you re playing on someone s server  you can still save the game to a slot _x000D_
_x000D_
  (Crash) logs  :  Either crash reports from _x000D_
the crash folder  or the file you get when you go into Settings    Game Data    Export Crash logs  REQUIRED if you are reporting a crash  _x000D_
_x000D_
No crashs_x000D_
_x000D_
   _x000D_
_x000D_
 Place an X (no spaces) between the brackets to confirm that you have read the line below    _x000D_
   x    I have updated to the latest release (https:  github com Anuken Mindustry releases) to  sure my issue has not been fixed   _x000D_
   x    I have searched the closed and open issues to make sure that this problem has not already been reported   _x000D_
</t>
  </si>
  <si>
    <t>AOF-Dev-MCinaBox-753</t>
  </si>
  <si>
    <t>Game crashed weird error message.</t>
  </si>
  <si>
    <t xml:space="preserve">  Describe the crash  _x000D_
A clear and concise description of what the bug is _x000D_
_x000D_
  To Reproduce  _x000D_
Steps to reproduce the crash:_x000D_
1  I download the app_x000D_
2   Download a random version 1 0   1 16 4 whatever version you want_x000D_
3   I install the latest runtime_x000D_
4   And then my game crashes_x000D_
_x000D_
  Expected behavior  _x000D_
I expected minecraft to open so i would be able to play _x000D_
_x000D_
  Screenshots  _x000D_
  image (https:  user images githubusercontent com 42172606 102701619 70ffb800 4261 11eb 83e2 4933a108bcdc png)_x000D_
_x000D_
_x000D_
  Smartphone (please complete the following information):  _x000D_
   Device: Xiaomi Redmi Note 5_x000D_
   OS: Android 9 PKQ1 180904 001_x000D_
   App Version v0 1 4 p4_x000D_
_x000D_
  Additional context  _x000D_
The same thing happened to my friend so it s not my fault _x000D_
</t>
  </si>
  <si>
    <t>AOF-Dev-MCinaBox-750</t>
  </si>
  <si>
    <t xml:space="preserve">  Describe the bug  _x000D_
When i load 1 16 4 on my phone it crashes at  checking options txt or something like that and brings me either to the menu or kicks me out the apl_x000D_
_x000D_
  To Reproduce  _x000D_
Steps to reproduce the behavior:_x000D_
1  Load 1 16 4_x000D_
2  Use public directory_x000D_
3  System 32 or whatever the thing is_x000D_
4  Click start game in the home page_x000D_
_x000D_
  Expected behavior  _x000D_
Should begin to load and then just pause go back to home or kick you out_x000D_
_x000D_
  Screenshots  _x000D_
If applicable  add screenshots to help explain your problem _x000D_
_x000D_
  Smartphone (please complete the following information):  _x000D_
   Device: Honor L10_x000D_
   OS: IDK_x000D_
   App Version the newest one_x000D_
_x000D_
  Additional context  _x000D_
_x000D_
</t>
  </si>
  <si>
    <t>Anuken-Mindustry-4044</t>
  </si>
  <si>
    <t>Minke status field ability with Mono tree.</t>
  </si>
  <si>
    <t xml:space="preserve">  Platform  :_x000D_
 Windows_x000D_
_x000D_
  Build  :_x000D_
 Release build 121_x000D_
_x000D_
  Issue  :_x000D_
 This is a small little bug i found  The Minke  tier 2 naval unit  has a passive ability that increases the attack speed of nearby units for a period of time right  Well in the case of the Mono type of flier unit  they do gain said attack speed bonus but they will attack less times than they would normally do so without said buff  I tested this both with Poly and Mega and both seem to face this issue  though i have not tried any other units to see if they are affected _x000D_
_x000D_
  Steps to reproduce  :_x000D_
 I was in Windspeed Islands  seeing as i can t completely wall of the enemy or make them go into a choke point  i decided to make navals unit so they could intercept the enemy naval units  furthermore i saw that the Minke made nearby units glow  saw it had an ability in its database  ask some people what it did and tested how if it works with Poly and Mega _x000D_
_x000D_
  Link(s) to mod(s) used  :_x000D_
 No mods have been used _x000D_
_x000D_
  Save file  :_x000D_
 Version 122 save 12 19 2020 zip (https:  github com Anuken Mindustry files 5719883 Version 122 save 12 19 2020 zip)_x000D_
_x000D_
_x000D_
If you remove the line above without reading it properly and understanding what it means  I will reap your soul  Even if you re playing on someone s server  you can still save the game to a slot _x000D_
_x000D_
  (Crash) logs  :_x000D_
 No crash happen during gameplay  runs with no issue whatsoever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</si>
  <si>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TeamNewPipe-NewPipe-5222</t>
  </si>
  <si>
    <t>Crash report UI isn't showing for UI crashes in debug builds the first time you open it or after a force-stop</t>
  </si>
  <si>
    <t xml:space="preserve">    Checklist_x000D_
_x000D_
   x  I am using the latest version   debug build based on recent dev branch_x000D_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Install or force stop a debug build _x000D_
2  Do something that make NewPipe crash with an UI error (use the crash button provided in  5672) _x000D_
3  Observe app s comportment _x000D_
_x000D_
    Actual behaviour_x000D_
_x000D_
The first time NewPipe crash  no Crash UI is shown  App just crash _x000D_
_x000D_
    Expected behavior_x000D_
_x000D_
Crash UI is shown everytime NewPipe crash _x000D_
_x000D_
_x000D_
    Screenshots Screen recordings (when bug  3925 was present and happened on my device  same behavoir on a recent build based on dev branch)_x000D_
_x000D_
https:  user images githubusercontent com 74829229 102692293 b8128c80 4212 11eb 8ef4 8c37e83e5e34 mp4_x000D_
_x000D_
    Logs (same behavoir on a recent build based on dev branch  from Android s logcat)_x000D_
_x000D_
First that the app crashed:_x000D_
_x000D_
   _x000D_
          beginning of crash_x000D_
03 20 19:44:52 037 15219 15219 E AndroidRuntime: FATAL EXCEPTION: main_x000D_
03 20 19:44:52 037 15219 15219 E AndroidRuntime: Process: org schabi newpipe debug shareimprovements  PID: 15219_x000D_
03 20 19:44:52 037 15219 15219 E AndroidRuntime: java lang RuntimeException_x000D_
03 20 19:44:52 037 15219 15219 E AndroidRuntime: 	at org schabi newpipe settings DebugSettingsFragment lambda onCreate 1(DebugSettingsFragment java:31)_x000D_
03 20 19:44:52 037 15219 15219 E AndroidRuntime: 	at org schabi newpipe settings    Lambda DebugSettingsFragment fkJ92 RI mUwtmo 9cigCdvXZa4 onPreferenceClick(Unknown Source:0)_x000D_
03 20 19:44:52 037 15219 15219 E AndroidRuntime: 	at androidx preference Preference performClick(Preference java:1184)_x000D_
03 20 19:44:52 037 15219 15219 E AndroidRuntime: 	at androidx preference Preference performClick(Preference java:1166)_x000D_
03 20 19:44:52 037 15219 15219 E AndroidRuntime: 	at androidx preference Preference 1 onClick(Preference java:181)_x000D_
03 20 19:44:52 037 15219 15219 E AndroidRuntime: 	at android view View performClick(View java:7192)_x000D_
03 20 19:44:52 037 15219 15219 E AndroidRuntime: 	at android view View performClickInternal(View java:7166)_x000D_
03 20 19:44:52 037 15219 15219 E AndroidRuntime: 	at android view View access 3500(View java:824)_x000D_
03 20 19:44:52 037 15219 15219 E AndroidRuntime: 	at android view View PerformClick run(View java:27592)_x000D_
03 20 19:44:52 037 15219 15219 E AndroidRuntime: 	at android os Handler handleCallback(Handler java:888)_x000D_
03 20 19:44:52 037 15219 15219 E AndroidRuntime: 	at android os Handler dispatchMessage(Handler java:100)_x000D_
03 20 19:44:52 037 15219 15219 E AndroidRuntime: 	at android os Looper loop(Looper java:213)_x000D_
03 20 19:44:52 037 15219 15219 E AndroidRuntime: 	at android app ActivityThread main(ActivityThread java:8178)_x000D_
03 20 19:44:52 037 15219 15219 E AndroidRuntime: 	at java lang reflect Method invoke(Native Method)_x000D_
03 20 19:44:52 037 15219 15219 E AndroidRuntime: 	at com android internal os RuntimeInit MethodAndArgsCaller run(RuntimeInit java:513)_x000D_
03 20 19:44:52 037 15219 15219 E AndroidRuntime: 	at com android internal os ZygoteInit main(ZygoteInit java:1101)_x000D_
03 20 19:44:52 038 15219 15219 E ACRA    : ACRA caught a RuntimeException for org schabi newpipe debug shareimprovements_x000D_
03 20 19:44:52 038 15219 15219 E ACRA    : java lang RuntimeException_x000D_
03 20 19:44:52 038 15219 15219 E ACRA    : 	at org schabi newpipe settings DebugSettingsFragment lambda onCreate 1(DebugSettingsFragment java:31)_x000D_
03 20 19:44:52 038 15219 15219 E ACRA    : 	at org schabi newpipe settings    Lambda DebugSettingsFragment fkJ92 RI mUwtmo 9cigCdvXZa4 onPreferenceClick(Unknown Source:0)_x000D_
03 20 19:44:52 038 15219 15219 E ACRA    : 	at androidx preference Preference performClick(Preference java:1184)_x000D_
03 20 19:44:52 038 15219 15219 E ACRA    : 	at androidx preference Preference performClick(Preference java:1166)_x000D_
03 20 19:44:52 038 15219 15219 E ACRA    : 	at androidx preference Preference 1 onClick(Preference java:181)_x000D_
03 20 19:44:52 038 15219 15219 E ACRA    : 	at android view View performClick(View java:7192)_x000D_
03 20 19:44:52 038 15219 15219 E ACRA    : 	at android view View performClickInternal(View java:7166)_x000D_
03 20 19:44:52 038 15219 15219 E ACRA    : 	at android view View access 3500(View java:824)_x000D_
03 20 19:44:52 038 15219 15219 E ACRA    : 	at android view View PerformClick run(View java:27592)_x000D_
03 20 19:44:52 038 15219 15219 E ACRA    : 	at android os Handler handleCallback(Handler java:888)_x000D_
03 20 19:44:52 038 15219 15219 E ACRA    : 	at android os Handler dispatchMessage(Handler java:100)_x000D_
03 20 19:44:52 038 15219 15219 E ACRA    : 	at android os Looper loop(Looper java:213)_x000D_
03 20 19:44:52 038 15219 15219 E ACRA    : 	at android app ActivityThread main(ActivityThread java:8178)_x000D_
03 20 19:44:52 038 15219 15219 E ACRA    : 	at java lang reflect Method invoke(Native Method)_x000D_
03 20 19:44:52 038 15219 15219 E ACRA    : 	at com android internal os RuntimeInit MethodAndArgsCaller run(RuntimeInit java:513)_x000D_
03 20 19:44:52 038 15219 15219 E ACRA    : 	at com android internal os ZygoteInit main(ZygoteInit java:1101)_x000D_
03 20 19:44:52 039  1159 15325 I QarthDisFileCreator: pattern not match_x000D_
03 20 19:44:52 052  1159  1424 D ZrHung AppEyeTransparentWindow: handleMessage CHECK TRANS WINDOW ERROR MSG_x000D_
03 20 19:44:52 070   445   445 E SELinux : avc:  denied    find   for service meminfo pid 15338 uid 10257 scontext u:r:untrusted app:s0:c1 c257 c512 c768 tcontext u:object r:meminfo service:s0 tclass service manager permissive 0_x000D_
03 20 19:44:52 081  1159  3525 V ActivityTaskManager: positionChild stackId 0 to top _x000D_
03 20 19:44:52 128  1159  8940 V ActivityManager: startProcess: name org schabi newpipe debug shareimprovements:acra app null knownToBeDead true thread null pid  1_x000D_
03 20 19:44:52 133 15219 15219 I Process : Sending signal  PID: 15219 SIG: 9_x000D_
03 20 19:44:52 141   568   568 D Zygote  : Forked child process 15342_x000D_
03 20 19:44:52 143  1159  1432 I ActivityManager: Start proc 15342:org schabi newpipe debug shareimprovements:acra u0a257 for service  org schabi newpipe debug shareimprovements org acra sender JobSenderService _x000D_
03 20 19:44:52 143  1159  1933 E ProcessInfoCollector: getProcessInfo: failed to find this proc _x000D_
03 20 19:44:52 147 15342 15342 I provements:acr: Late enabling  Xcheck:jni_x000D_
03 20 19:44:52 171  1159  1639 W InputDispatcher: channel  53bfa40 org schabi newpipe debug shareimprovements org schabi newpipe settings SettingsActivity (server)    Consumer closed input channel or an error occurred   events 0x9_x000D_
03 20 19:44:52 171  1159  1639 E InputDispatcher: channel  53bfa40 org schabi newpipe debug shareimprovements org schabi newpipe settings SettingsActivity (server)    Channel is unrecoverably broken and will be disposed _x000D_
03 20 19:44:52 171  1159  1639 I WindowManager: WINDOW DIED Window 53bfa40 u0 org schabi newpipe debug shareimprovements org schabi newpipe settings SettingsActivity _x000D_
03 20 19:44:52 171  1159  1639 V WindowManager: removeIfPossible: Window 53bfa40 u0 org schabi newpipe debug shareimprovements org schabi newpipe settings SettingsActivity  callers com android server wm WindowState removeIfPossible:2260 com android server wm InputManagerCallback notifyInputChannelBroken:60 com android server input InputManagerService notifyInputChannelBroken:1881  bottom of call stack   bottom of call stack  _x000D_
03 20 19:44:52 171  1159  1639 W InputDispatcher: Attempted to unregister already unregistered input channel  53bfa40 org schabi newpipe debug shareimprovements org schabi newpipe settings SettingsActivity (server) _x000D_
03 20 19:44:52 172  1159  1639 V WindowManager: Not removing Window 53bfa40 u0 org schabi newpipe debug shareimprovements org schabi newpipe settings SettingsActivity EXITING  due to exit animation _x000D_
03 20 19:44:52 177  1159  1639 W InputDispatcher: channel  f3f9e8f org schabi newpipe debug shareimprovements org schabi newpipe MainActivity (server)    Consumer closed input channel or an error occurred   events 0x9_x000D_
03 20 19:44:52 177  1159  1639 E InputDispatcher: channel  f3f9e8f org schabi newpipe debug shareimprovements org schabi newpipe MainActivity (server)    Channel is unrecoverably broken and will be disposed _x000D_
03 20 19:44:52 177 15342 15342 E provements:acr: Unknown bits set in runtime flags: 0x8000_x000D_
03 20 19:44:52 179 15342 15342 I provements:acr: Reinit property: dalvik vm checkjni  false_x000D_
03 20 19:44:52 180  1159  1639 I WindowManager: WINDOW DIED Window f3f9e8f u0 org schabi newpipe debug shareimprovements org schabi newpipe MainActivity _x000D_
03 20 19:44:52 180  1159  1639 V WindowManager: removeIfPossible: Window f3f9e8f u0 org schabi newpipe debug shareimprovements org schabi newpipe MainActivity  callers com android server wm WindowState removeIfPossible:2260 com android server wm InputManagerCallback notifyInputChannelBroken:60 com android server input InputManagerService notifyInputChannelBroken:1881  bottom of call stack   bottom of call stack  _x000D_
03 20 19:44:52 180  1159  1639 W InputDispatcher: Attempted to unregister already unregistered input channel  f3f9e8f org schabi newpipe debug shareimprovements org schabi newpipe MainActivity (server) _x000D_
03 20 19:44:52 180  1159  1639 V WindowManager: postWindowRemoveCleanupLocked: Window f3f9e8f u0 org schabi newpipe debug shareimprovements org schabi newpipe MainActivity _x000D_
03 20 19:44:52 181  1159  1639 V WindowManager: Removing Window f3f9e8f u0 org schabi newpipe debug shareimprovements org schabi newpipe MainActivity  from AppWindowToken 8e902c3 token Token ed9be72 ActivityRecord 9a3db27 u0 org schabi newpipe debug shareimprovements org schabi newpipe MainActivity t16   _x000D_
03 20 19:44:52 187   568   568 I Zygote  : Process 15219 exited due to signal 9 (Killed)_x000D_
03 20 19:44:52 188  1159  2184 I ActivityManager: Process org schabi newpipe debug shareimprovements (pid 15219) has died: fore TOP _x000D_
03 20 19:44:52 188  1159  8783 I WindowManager: WIN DEATH: Window 53bfa40 u0 org schabi newpipe debug shareimprovements org schabi newpipe settings SettingsActivity EXITING _x000D_
03 20 19:44:52 188  1159  2184 D ActivityManager: cleanUpApplicationRecord app: ProcessRecord 39a176c 15219:org schabi newpipe debug shareimprovements u0a257   app bad: false  restarting: false  allowRestart: true_x000D_
03 20 19:44:52 189  1159  8783 V WindowManager: removeIfPossible: Window 53bfa40 u0 org schabi newpipe debug shareimprovements org schabi newpipe settings SettingsActivity EXITING  callers com android server wm WindowState access 300:262 com android server wm WindowState DeathRecipient binderDied:2927 android os BinderProxy sendDeathNotice:636  bottom of call stack   bottom of call stack  _x000D_
03 20 19:44:52 189  1159  8783 V WindowManager: Not removing Window 53bfa40 u0 org schabi newpipe debug shareimprovements org schabi newpipe settings SettingsActivity EXITING  due to exit animation _x000D_
03 20 19:44:52 189  1159  1433 I libprocessgroup: Successfully killed process cgroup uid 10257 pid 15219 in 0ms_x000D_
03 20 19:44:52 191  1159 10493 E InputDispatcher: Window handle Window 53bfa40 u0 org schabi newpipe debug shareimprovements org schabi newpipe settings SettingsActivity  has no registered input channel_x000D_
03 20 19:44:52 198  1159  2184 V WindowManager: Exit animation finished in Window 53bfa40 u0 org schabi newpipe debug shareimprovements org schabi newpipe settings SettingsActivity EXITING : remove true_x000D_
03 20 19:44:52 198  1159  2184 E WindowManager: win Window 53bfa40 u0 org schabi newpipe debug shareimprovements org schabi newpipe settings SettingsActivity EXITING  destroySurfaces: appStopped false win mWindowRemovalAllowed true win mRemoveOnExit true_x000D_
03 20 19:44:52 199  1159  2184 V WindowManager: postWindowRemoveCleanupLocked: Window 53bfa40 u0 org schabi newpipe debug shareimprovements org schabi newpipe settings SettingsActivity _x000D_
03 20 19:44:52 199  1159  2184 V WindowManager: Removing Window 53bfa40 u0 org schabi newpipe debug shareimprovements org schabi newpipe settings SettingsActivity  from AppWindowToken 9d174e6 token Token 9fe741 ActivityRecord cf8e28 u0 org schabi newpipe debug shareimprovements org schabi newpipe settings SettingsActivity t16   _x000D_
03 20 19:44:52 202 15342 15342 E libc    : Access denied finding property  runtime mmitest isrunning _x000D_
03 20 19:44:52 195 15342 15342 W re initialized : type 1400 audit(0 0:13714): avc: denied   read   for pid 15342 name  u:object r:mmi prop:s0  dev  tmpfs  ino 15348 scontext u:r:untrusted app:s0:c1 c257 c512 c768 tcontext u:object r:mmi prop:s0 tclass file permissive 0_x000D_
03 20 19:44:52 202  1159  2184 V WindowManager: removeAppToken: AppWindowToken 9d174e6 token Token 9fe741 ActivityRecord cf8e28 u0 org schabi newpipe debug shareimprovements org schabi newpipe settings SettingsActivity t16    delayed true Callers com android server wm DisplayContent removeAppToken:1204 com android server wm ActivityRecord removeWindowContainer:1298 com android server wm ActivityStack removeActivityFromHistoryLocked:4927 com android server wm ActivityStack removeHistoryRecordsForAppLocked:5346 _x000D_
03 20 19:44:52 203  1159  2184 V WindowManager: removeAppToken: AppWindowToken 8e902c3 token Token ed9be72 ActivityRecord 9a3db27 u0 org schabi newpipe debug shareimprovements org schabi newpipe MainActivity t16    delayed true Callers com android server wm DisplayContent removeAppToken:1204 com android server wm ActivityRecord removeWindowContainer:1298 com android server wm ActivityStack removeActivityFromHistoryLocked:4927 com android server wm ActivityStack removeHistoryRecordsForAppLocked:5346 _x000D_
   _x000D_
_x000D_
Second time that the app crashed:_x000D_
_x000D_
   _x000D_
Wil post log later_x000D_
   _x000D_
_x000D_
    Device info_x000D_
_x000D_
   Android version Custom ROM version: Android 10   EMUI 10 0 0_x000D_
   Device model: Honor 9X</t>
  </si>
  <si>
    <t>TeamNewPipe-NewPipe-5220</t>
  </si>
  <si>
    <t>Playlist queue functions incorrectly, only plays 1st video then permanently buffering of the video is duplicate.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</si>
  <si>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playlist that has a duplicate after the original video _x000D_
2  Play it in background or with play all feature _x000D_
3  Wait until the 1st video is over or fast forward to the duplicated video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Next queued video will fail to load and will be stuck on a buffering hourglass symbol _x000D_
_x000D_
_x000D_
    Expected behavior_x000D_
     Tell us what you expect to happen     _x000D_
The duplicate video will play as it normally should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 created this account solely for this bug since I ve realised it s been here since around the 0 20 2 build  Please be patient if I don t understand anything as I m not the brightest when it comes down to coding and coding terminology  I also did try checking for duplicate problems but the closest ones didn t list the problem that I have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9_x000D_
   Device model: Samsung J5 (2017)_x000D_
</t>
  </si>
  <si>
    <t>chalalala-OnlineMusicPlayer-13</t>
  </si>
  <si>
    <t>[NowPlayingBar] Can't resume playing after pause</t>
  </si>
  <si>
    <t xml:space="preserve">After pausing the music  when clicked the play button for resuming  the app crashed  _x000D_
This is the logcat :(_x000D_
  image (https:  user images githubusercontent com 49138712 102685394 d4aec480 4212 11eb 9485 ec2c4a62ce2a png)_x000D_
</t>
  </si>
  <si>
    <t>opentok-opentok-react-native-462</t>
  </si>
  <si>
    <t>Android crash - Error while updating property 'streamId' of a view managed by OTSubscriberViewManager</t>
  </si>
  <si>
    <t xml:space="preserve">  Screenshot 2020 12 19 13 57 21 00 5db42c1825fa5eb6b46927e4464f44b6 (https:  user images githubusercontent com 31440793 102684948 ebe5b600 4202 11eb 83c5 16a7e966627b jpg)_x000D_
_x000D_
I m facing this crash randomly when a user who shares screen leaves meeting   Any idea why is it happening _x000D_
_x000D_
</t>
  </si>
  <si>
    <t>canyie-pine-5</t>
  </si>
  <si>
    <t>hook ConnectivityService的构造函数时，调用原方法崩溃</t>
  </si>
  <si>
    <t xml:space="preserve">   Google Pixel 3_x000D_
   Android 10_x000D_
   _x000D_
2020 12 19 11:21:09 254 1426 1426   I Pine: handleBridge: artMethod 0x9f1f0d90 extras 0x72c9dcb980 sp 0x7fe020bf90_x000D_
2020 12 19 11:21:09 254 1426 1426   D Pine: handleCall for method public com android server ConnectivityService(android content Context android os INetworkManagementService android net INetworkStatsService android net INetworkPolicyManager)_x000D_
2020 12 19 11:21:09 254 1426 1426   I Pine: handleBridge: artMethod 0x9f1f0db8 extras 0x72c9dcb9c0 sp 0x7fe020a8f0_x000D_
2020 12 19 11:21:09 255 1426 1426   D Pine: handleCall for method protected com android server ConnectivityService(android content Context android os INetworkManagementService android net INetworkStatsService android net INetworkPolicyManager android net IDnsResolver android net metrics IpConnectivityLog android net INetd)_x000D_
    _x000D_
              beginning of crash_x000D_
2020 12 19 11:21:09 255 1426 1426   A libc: Fatal signal 11 (SIGSEGV)  code 1 (SEGV MAPERR)  fault addr 0xe020ac94 in tid 1426 (system server)  pid 1426 (system server)_x000D_
2020 12 19 11:21:09 339 2033 2033   A DEBUG:                                                                _x000D_
2020 12 19 11:21:09 339 2033 2033   A DEBUG: Build fingerprint:  google blueline blueline:10 QQ3A 200605 001 6392402:user release keys _x000D_
2020 12 19 11:21:09 339 2033 2033   A DEBUG: Revision:  MP1 0 _x000D_
2020 12 19 11:21:09 339 2033 2033   A DEBUG: ABI:  arm64 _x000D_
2020 12 19 11:21:09 339 2033 2033   A DEBUG: Timestamp: 2020 12 19 11:21:09 0800_x000D_
2020 12 19 11:21:09 339 2033 2033   A DEBUG: pid: 1426  tid: 1426  name: system server      system server    _x000D_
2020 12 19 11:21:09 339 2033 2033   A DEBUG: uid: 1000_x000D_
2020 12 19 11:21:09 339 2033 2033   A DEBUG: signal 11 (SIGSEGV)  code 1 (SEGV MAPERR)  fault addr 0xe020ac94_x000D_
2020 12 19 11:21:09 339 2033 2033   A DEBUG:     x0  000000009ef89100  x1  0000000071578fd0  x2  0000000014991af8  x3  000000723d05fe80_x000D_
2020 12 19 11:21:09 339 2033 2033   A DEBUG:     x4  00000072c9cfcc00  x5  00000000000004bb  x6  00000000149927f0  x7  0000000000000028_x000D_
2020 12 19 11:21:09 339 2033 2033   A DEBUG:     x8  00000000e020ac90  x9  0000000000000001  x10 0000000000000000  x11 00000072448df7c2_x000D_
2020 12 19 11:21:09 339 2033 2033   A DEBUG:     x12 0000007fe0209e9c  x13 0000007fe0209e88  x14 0000000000000002  x15 0000000000000022_x000D_
2020 12 19 11:21:09 339 2033 2033   A DEBUG:     x16 0000007fe0209ec8  x17 000000723d1302b0  x18 00000072caf94000  x19 0000000000000006_x000D_
2020 12 19 11:21:09 339 2033 2033   A DEBUG:     x20 000000723d05fe80  x21 0000001400000000  x22 0000007fe0209bf0  x23 0000000000000007_x000D_
2020 12 19 11:21:09 339 2033 2033   A DEBUG:     x24 0000000000000002  x25 000000009f04dd48  x26 0000000000000541  x27 00000072c9dad000_x000D_
2020 12 19 11:21:09 339 2033 2033   A DEBUG:     x28 0000007fe0209bfc  x29 0000007fe0209b60_x000D_
2020 12 19 11:21:09 339 2033 2033   A DEBUG:     sp  0000007fe0209a50  lr  0000007244cbdb20  pc  0000007244cbfe44_x000D_
2020 12 19 11:21:09 697 2033 2033   A DEBUG: backtrace:_x000D_
2020 12 19 11:21:09 698 2033 2033   A DEBUG:        00 pc 00000000004ace44   apex com android runtime lib64 libart so libart so (offset 0x453000) (art::(anonymous namespace)::ArgArray::BuildArgArrayFromObjectArray(art::ObjPtr art::mirror::Object   art::ObjPtr art::mirror::ObjectArray art::mirror::Object    art::ArtMethod   art::Thread ) 464) (BuildId: f9ff276075287a1d376fcd141f6042aa)_x000D_
2020 12 19 11:21:09 698 2033 2033   A DEBUG:        01 pc 00000000004aab1c   apex com android runtime lib64 libart so libart so (offset 0x453000) (art::InvokeMethod(art::ScopedObjectAccessAlreadyRunnable const    jobject    jobject    jobject   unsigned long) 1448) (BuildId: f9ff276075287a1d376fcd141f6042aa)_x000D_
2020 12 19 11:21:09 698 2033 2033   A DEBUG:        02 pc 000000000043744c   apex com android runtime lib64 libart so libart so (offset 0x291000) (art::Method invoke( JNIEnv    jobject    jobject    jobjectArray ) 52) (BuildId: f9ff276075287a1d376fcd141f6042aa)_x000D_
2020 12 19 11:21:09 698 2033 2033   A DEBUG:        03 pc 00000000000c2c34   system framework arm64 boot oat (art jni trampoline 180) (BuildId: 3ac9ca66a99f96bfe2251d3af092afd975a96ddd)_x000D_
2020 12 19 11:21:09 698 2033 2033   A DEBUG:        04 pc 0000000002003628   memfd: jit cache (deleted) (top canyie pine Pine callBackupMethod 136)_x000D_
2020 12 19 11:21:09 698 2033 2033   A DEBUG:        05 pc 0000000002006eb8   memfd: jit cache (deleted) (top canyie pine Pine CallFrame invokeOriginalMethod 120)_x000D_
2020 12 19 11:21:09 698 2033 2033   A DEBUG:        06 pc 0000000002002da0   memfd: jit cache (deleted) (top canyie pine Pine handleCall 896)_x000D_
2020 12 19 11:21:09 698 2033 2033   A DEBUG:        07 pc 00000000020026b8   memfd: jit cache (deleted) (top canyie pine entry Arm64Entry handleBridge 1640)_x000D_
2020 12 19 11:21:09 698 2033 2033   A DEBUG:        08 pc 00000000001365b8   apex com android runtime lib64 libart so (art quick invoke static stub 568) (BuildId: f9ff276075287a1d376fcd141f6042aa)_x000D_
2020 12 19 11:21:09 698 2033 2033   A DEBUG:        09 pc 000000000014508c   apex com android runtime lib64 libart so (art::ArtMethod::Invoke(art::Thread   unsigned int   unsigned int  art::JValue   char const ) 276) (BuildId: f9ff276075287a1d376fcd141f6042aa)_x000D_
2020 12 19 11:21:09 698 2033 2033   A DEBUG:        10 pc 00000000002df0d4   apex com android runtime lib64 libart so libart so (offset 0x291000) (art::interpreter::ArtInterpreterToCompiledCodeBridge(art::Thread   art::ArtMethod   art::ShadowFrame   unsigned short  art::JValue ) 384) (BuildId: f9ff276075287a1d376fcd141f6042aa)_x000D_
2020 12 19 11:21:09 698 2033 2033   A DEBUG:        11 pc 00000000002db448   apex com android runtime lib64 libart so libart so (offset 0x291000) (bool art::interpreter::DoCall true  false (art::ArtMethod   art::Thread   art::ShadowFrame   art::Instruction const   unsigned short  art::JValue ) 656) (BuildId: f9ff276075287a1d376fcd141f6042aa)_x000D_
2020 12 19 11:21:09 698 2033 2033   A DEBUG:        12 pc 000000000059d25c   apex com android runtime lib64 libart so libart so (offset 0x453000) (MterpInvokeStaticRange 236) (BuildId: f9ff276075287a1d376fcd141f6042aa)_x000D_
2020 12 19 11:21:09 698 2033 2033   A DEBUG:        13 pc 0000000000130c94   apex com android runtime lib64 libart so (mterp op invoke static range 20) (BuildId: f9ff276075287a1d376fcd141f6042aa)_x000D_
2020 12 19 11:21:09 698 2033 2033   A DEBUG:        14 pc 000000000004418c   anon:dalvik classes dex extracted in memory from  system framework dreamland jar  (top canyie pine entry Arm64Entry voidBridge)_x000D_
2020 12 19 11:21:09 698 2033 2033   A DEBUG:        15 pc 00000000002afd20   apex com android runtime lib64 libart so libart so (offset 0x291000) ( ZN3art11interpreterL7ExecuteEPNS 6ThreadERKNS 20CodeItemDataAccessorERNS 11ShadowFrameENS 6JValueEbb llvm 1271440803783865717 240) (BuildId: f9ff276075287a1d376fcd141f6042aa)_x000D_
2020 12 19 11:21:09 698 2033 2033   A DEBUG:        16 pc 0000000000588e8c   apex com android runtime lib64 libart so libart so (offset 0x453000) (artQuickToInterpreterBridge 1012) (BuildId: f9ff276075287a1d376fcd141f6042aa)_x000D_
2020 12 19 11:21:09 698 2033 2033   A DEBUG:        17 pc 000000000013f468   apex com android runtime lib64 libart so (art quick to interpreter bridge 88) (BuildId: f9ff276075287a1d376fcd141f6042aa)_x000D_
2020 12 19 11:21:09 698 2033 2033   A DEBUG:        18 pc 0000000000136334   apex com android runtime lib64 libart so (art quick invoke stub 548) (BuildId: f9ff276075287a1d376fcd141f6042aa)_x000D_
2020 12 19 11:21:09 698 2033 2033   A DEBUG:        19 pc 000000000014506c   apex com android runtime lib64 libart so (art::ArtMethod::Invoke(art::Thread   unsigned int   unsigned int  art::JValue   char const ) 244) (BuildId: f9ff276075287a1d376fcd141f6042aa)_x000D_
2020 12 19 11:21:09 698 2033 2033   A DEBUG:        20 pc 00000000002df0d4   apex com android runtime lib64 libart so libart so (offset 0x291000) (art::interpreter::ArtInterpreterToCompiledCodeBridge(art::Thread   art::ArtMethod   art::ShadowFrame   unsigned short  art::JValue ) 384) (BuildId: f9ff276075287a1d376fcd141f6042aa)_x000D_
2020 12 19 11:21:09 698 2033 2033   A DEBUG:        21 pc 00000000002db448   apex com android runtime lib64 libart so libart so (offset 0x291000) (bool art::interpreter::DoCall true  false (art::ArtMethod   art::Thread   art::ShadowFrame   art::Instruction const   unsigned short  art::JValue ) 656) (BuildId: f9ff276075287a1d376fcd141f6042aa)_x000D_
2020 12 19 11:21:09 698 2033 2033   A DEBUG:        22 pc 000000000059cbfc   apex com android runtime lib64 libart so libart so (offset 0x453000) (MterpInvokeDirectRange 256) (BuildId: f9ff276075287a1d376fcd141f6042aa)_x000D_
2020 12 19 11:21:09 698 2033 2033   A DEBUG:        23 pc 0000000000130c14   apex com android runtime lib64 libart so (mterp op invoke direct range 20) (BuildId: f9ff276075287a1d376fcd141f6042aa)_x000D_
2020 12 19 11:21:09 698 2033 2033   A DEBUG:        24 pc 00000000001e4116   system framework services jar (com android server ConnectivityService  init  38)_x000D_
2020 12 19 11:21:09 698 2033 2033   A DEBUG:        25 pc 00000000002afd20   apex com android runtime lib64 libart so libart so (offset 0x291000) ( ZN3art11interpreterL7ExecuteEPNS 6ThreadERKNS 20CodeItemDataAccessorERNS 11ShadowFrameENS 6JValueEbb llvm 1271440803783865717 240) (BuildId: f9ff276075287a1d376fcd141f6042aa)_x000D_
2020 12 19 11:21:09 698 2033 2033   A DEBUG:        26 pc 0000000000588e8c   apex com android runtime lib64 libart so libart so (offset 0x453000) (artQuickToInterpreterBridge 1012) (BuildId: f9ff276075287a1d376fcd141f6042aa)_x000D_
2020 12 19 11:21:09 698 2033 2033   A DEBUG:        27 pc 000000000013f468   apex com android runtime lib64 libart so (art quick to interpreter bridge 88) (BuildId: f9ff276075287a1d376fcd141f6042aa)_x000D_
2020 12 19 11:21:09 698 2033 2033   A DEBUG:        28 pc 0000000000136334   apex com android runtime lib64 libart so (art quick invoke stub 548) (BuildId: f9ff276075287a1d376fcd141f6042aa)_x000D_
2020 12 19 11:21:09 698 2033 2033   A DEBUG:        29 pc 000000000014506c   apex com android runtime lib64 libart so (art::ArtMethod::Invoke(art::Thread   unsigned int   unsigned int  art::JValue   char const ) 244) (BuildId: f9ff276075287a1d376fcd141f6042aa)_x000D_
2020 12 19 11:21:09 698 2033 2033   A DEBUG:        30 pc 00000000004a9110   apex com android runtime lib64 libart so libart so (offset 0x453000) (art::(anonymous namespace)::InvokeWithArgArray(art::ScopedObjectAccessAlreadyRunnable const   art::ArtMethod   art::(anonymous namespace)::ArgArray   art::JValue   char const ) 104) (BuildId: f9ff276075287a1d376fcd141f6042aa)_x000D_
2020 12 19 11:21:09 698 2033 2033   A DEBUG:        31 pc 00000000004aab38   apex com android runtime lib64 libart so libart so (offset 0x453000) (art::InvokeMethod(art::ScopedObjectAccessAlreadyRunnable const    jobject    jobject    jobject   unsigned long) 1476) (BuildId: f9ff276075287a1d376fcd141f6042aa)_x000D_
2020 12 19 11:21:09 698 2033 2033   A DEBUG:        32 pc 000000000043744c   apex com android runtime lib64 libart so libart so (offset 0x291000) (art::Method invoke( JNIEnv    jobject    jobject    jobjectArray ) 52) (BuildId: f9ff276075287a1d376fcd141f6042aa)_x000D_
2020 12 19 11:21:09 698 2033 2033   A DEBUG:        33 pc 00000000000c2c34   system framework arm64 boot oat (art jni trampoline 180) (BuildId: 3ac9ca66a99f96bfe2251d3af092afd975a96ddd)_x000D_
2020 12 19 11:21:09 698 2033 2033   A DEBUG:        34 pc 0000000002003628   memfd: jit cache (deleted) (top canyie pine Pine callBackupMethod 136)_x000D_
2020 12 19 11:21:09 698 2033 2033   A DEBUG:        35 pc 0000000002006eb8   memfd: jit cache (deleted) (top canyie pine Pine CallFrame invokeOriginalMethod 120)_x000D_
2020 12 19 11:21:09 698 2033 2033   A DEBUG:        36 pc 0000000002002da0   memfd: jit cache (deleted) (top canyie pine Pine handleCall 896)_x000D_
2020 12 19 11:21:09 698 2033 2033   A DEBUG:        37 pc 00000000020026b8   memfd: jit cache (deleted) (top canyie pine entry Arm64Entry handleBridge 1640)_x000D_
2020 12 19 11:21:09 698 2033 2033   A DEBUG:        38 pc 00000000001365b8   apex com android runtime lib64 libart so (art quick invoke static stub 568) (BuildId: f9ff276075287a1d376fcd141f6042aa)_x000D_
2020 12 19 11:21:09 698 2033 2033   A DEBUG:        39 pc 000000000014508c   apex com android runtime lib64 libart so (art::ArtMethod::Invoke(art::Thread   unsigned int   unsigned int  art::JValue   char const ) 276) (BuildId: f9ff276075287a1d376fcd141f6042aa)_x000D_
2020 12 19 11:21:09 698 2033 2033   A DEBUG:        40 pc 00000000002df0d4   apex com android runtime lib64 libart so libart so (offset 0x291000) (art::interpreter::ArtInterpreterToCompiledCodeBridge(art::Thread   art::ArtMethod   art::ShadowFrame   unsigned short  art::JValue ) 384) (BuildId: f9ff276075287a1d376fcd141f6042aa)_x000D_
2020 12 19 11:21:09 698 2033 2033   A DEBUG:        41 pc 00000000002db448   apex com android runtime lib64 libart so libart so (offset 0x291000) (bool art::interpreter::DoCall true  false (art::ArtMethod   art::Thread   art::ShadowFrame   art::Instruction const   unsigned short  art::JValue ) 656) (BuildId: f9ff276075287a1d376fcd141f6042aa)_x000D_
2020 12 19 11:21:09 698 2033 2033   A DEBUG:        42 pc 000000000059d25c   apex com android runtime lib64 libart so libart so (offset 0x453000) (MterpInvokeStaticRange 236) (BuildId: f9ff276075287a1d376fcd141f6042aa)_x000D_
2020 12 19 11:21:09 698 2033 2033   A DEBUG:        43 pc 0000000000130c94   apex com android runtime lib64 libart so (mterp op invoke static range 20) (BuildId: f9ff276075287a1d376fcd141f6042aa)_x000D_
2020 12 19 11:21:09 698 2033 2033   A DEBUG:        44 pc 000000000004418c   anon:dalvik classes dex extracted in memory from  system framework dreamland jar  (top canyie pine entry Arm64Entry voidBridge)_x000D_
2020 12 19 11:21:09 698 2033 2033   A DEBUG:        45 pc 00000000002afd20   apex com android runtime lib64 libart so libart so (offset 0x291000) ( ZN3art11interpreterL7ExecuteEPNS 6ThreadERKNS 20CodeItemDataAccessorERNS 11ShadowFrameENS 6JValueEbb llvm 1271440803783865717 240) (BuildId: f9ff276075287a1d376fcd141f6042aa)_x000D_
2020 12 19 11:21:09 698 2033 2033   A DEBUG:        46 pc 0000000000588e8c   apex com android runtime lib64 libart so libart so (offset 0x453000) (artQuickToInterpreterBridge 1012) (BuildId: f9ff276075287a1d376fcd141f6042aa)_x000D_
2020 12 19 11:21:09 698 2033 2033   A DEBUG:        47 pc 000000000013f468   apex com android runtime lib64 libart so (art quick to interpreter bridge 88) (BuildId: f9ff276075287a1d376fcd141f6042aa)_x000D_
2020 12 19 11:21:09 698 2033 2033   A DEBUG:        48 pc 00000000012c5764   system framework oat arm64 services odex (com android server SystemServer startOtherServices 11812) (BuildId: 12c9f25ee4b5377745dd569037b649d657a4f017)_x000D_
2020 12 19 11:21:09 698 2033 2033   A DEBUG:        49 pc 00000000012bf21c   system framework oat arm64 services odex (com android server SystemServer run 2652) (BuildId: 12c9f25ee4b5377745dd569037b649d657a4f017)_x000D_
2020 12 19 11:21:09 698 2033 2033   A DEBUG:        50 pc 00000000012be334   system framework oat arm64 services odex (com android server SystemServer main 100) (BuildId: 12c9f25ee4b5377745dd569037b649d657a4f017)_x000D_
2020 12 19 11:21:09 698 2033 2033   A DEBUG:        51 pc 00000000001365b8   apex com android runtime lib64 libart so (art quick invoke static stub 568) (BuildId: f9ff276075287a1d376fcd141f6042aa)_x000D_
2020 12 19 11:21:09 698 2033 2033   A DEBUG:        52 pc 000000000014508c   apex com android runtime lib64 libart so (art::ArtMethod::Invoke(art::Thread   unsigned int   unsigned int  art::JValue   char const ) 276) (BuildId: f9ff276075287a1d376fcd141f6042aa)_x000D_
2020 12 19 11:21:09 698 2033 2033   A DEBUG:        53 pc 00000000004a9110   apex com android runtime lib64 libart so libart so (offset 0x453000) (art::(anonymous namespace)::InvokeWithArgArray(art::ScopedObjectAccessAlreadyRunnable const   art::ArtMethod   art::(anonymous namespace)::ArgArray   art::JValue   char const ) 104) (BuildId: f9ff276075287a1d376fcd141f6042aa)_x000D_
2020 12 19 11:21:09 698 2033 2033   A DEBUG:        54 pc 00000000004aab38   apex com android runtime lib64 libart so libart so (offset 0x453000) (art::InvokeMethod(art::ScopedObjectAccessAlreadyRunnable const    jobject    jobject    jobject   unsigned long) 1476) (BuildId: f9ff276075287a1d376fcd141f6042aa)_x000D_
2020 12 19 11:21:09 698 2033 2033   A DEBUG:        55 pc 000000000043744c   apex com android runtime lib64 libart so libart so (offset 0x291000) (art::Method invoke( JNIEnv    jobject    jobject    jobjectArray ) 52) (BuildId: f9ff276075287a1d376fcd141f6042aa)_x000D_
2020 12 19 11:21:09 698 2033 2033   A DEBUG:        56 pc 00000000000c2c34   system framework arm64 boot oat (art jni trampoline 180) (BuildId: 3ac9ca66a99f96bfe2251d3af092afd975a96ddd)_x000D_
2020 12 19 11:21:09 698 2033 2033   A DEBUG:        57 pc 00000000009a9828   system framework arm64 boot framework oat (com android internal os RuntimeInit MethodAndArgsCaller run 136) (BuildId: 8dd360e7ac2513f6c21e6f05c4163646b3e394be)_x000D_
2020 12 19 11:21:09 698 2033 2033   A DEBUG:        58 pc 00000000009b135c   system framework arm64 boot framework oat (com android internal os ZygoteInit main 1916) (BuildId: 8dd360e7ac2513f6c21e6f05c4163646b3e394be)_x000D_
2020 12 19 11:21:09 698 2033 2033   A DEBUG:        59 pc 00000000001365b8   apex com android runtime lib64 libart so (art quick invoke static stub 568) (BuildId: f9ff276075287a1d376fcd141f6042aa)_x000D_
2020 12 19 11:21:09 698 2033 2033   A DEBUG:        60 pc 000000000014508c   apex com android runtime lib64 libart so (art::ArtMethod::Invoke(art::Thread   unsigned int   unsigned int  art::JValue   char const ) 276) (BuildId: f9ff276075287a1d376fcd141f6042aa)_x000D_
2020 12 19 11:21:09 698 2033 2033   A DEBUG:        61 pc 00000000004a9110   apex com android runtime lib64 libart so libart so (offset 0x453000) (art::(anonymous namespace)::InvokeWithArgArray(art::ScopedObjectAccessAlreadyRunnable const   art::ArtMethod   art::(anonymous namespace)::ArgArray   art::JValue   char const ) 104) (BuildId: f9ff276075287a1d376fcd141f6042aa)_x000D_
2020 12 19 11:21:09 698 2033 2033   A DEBUG:        62 pc 00000000004a8d7c   apex com android runtime lib64 libart so libart so (offset 0x453000) (art::InvokeWithVarArgs(art::ScopedObjectAccessAlreadyRunnable const    jobject    jmethodID   std::  va list) 408) (BuildId: f9ff276075287a1d376fcd141f6042aa)_x000D_
2020 12 19 11:21:09 698 2033 2033   A DEBUG:        63 pc 00000000003b6160   apex com android runtime lib64 libart so libart so (offset 0x291000) (art::JNI::CallStaticVoidMethodV( JNIEnv    jclass    jmethodID   std::  va list) 628) (BuildId: f9ff276075287a1d376fcd141f6042aa)_x000D_
2020 12 19 11:21:09 698 2033 2033   A DEBUG:        64 pc 00000000000be560   system lib64 libandroid runtime so ( JNIEnv::CallStaticVoidMethod( jclass    jmethodID      ) 116) (BuildId: a4deef8d84f80b74d5707e20f76e8091)_x000D_
2020 12 19 11:21:09 698 2033 2033   A DEBUG:        65 pc 00000000000c1434   system lib64 libandroid runtime so (android::AndroidRuntime::start(char const   android::Vector android::String8  const   bool) 780) (BuildId: a4deef8d84f80b74d5707e20f76e8091)_x000D_
2020 12 19 11:21:09 698 2033 2033   A DEBUG:        66 pc 00000000000034e0   system bin app process64 (main 1168) (BuildId: e7b904a71a1cdf25c7a6206f850cf378)_x000D_
2020 12 19 11:21:09 698 2033 2033   A DEBUG:        67 pc 000000000007d780   apex com android runtime lib64 bionic libc so (  libc init 108) (BuildId: 8de865099c99977483c8947f9b7937e9)_x000D_
   </t>
  </si>
  <si>
    <t>barbeau-gpstest-463</t>
  </si>
  <si>
    <t>Share menu crashes app on Android 4.4</t>
  </si>
  <si>
    <t xml:space="preserve">  Describe the bug  _x000D_
_x000D_
Three dots menu   Share opens a dialogue that GPSTest has crashed_x000D_
_x000D_
  To Reproduce  _x000D_
Steps to reproduce the behavior:_x000D_
1  Start GPSTest_x000D_
2  Wait for a fix_x000D_
3  Try to share the infos for the developer_x000D_
4  See the crash dialogue_x000D_
_x000D_
  Expected behavior  _x000D_
_x000D_
I see some window where I can upload device data  as on the newer Android_x000D_
_x000D_
  Observed behavior  _x000D_
_x000D_
Crash_x000D_
_x000D_
  App  Device and Android version:   _x000D_
_x000D_
There s no Help About  but I just updated this in F Droid to latest _x000D_
_x000D_
Android 4 4 (LiquidSmooth 3 2)  HTC Desire  bravo   MicroG</t>
  </si>
  <si>
    <t>Anuken-Mindustry-4033</t>
  </si>
  <si>
    <t>Crash during playing</t>
  </si>
  <si>
    <t xml:space="preserve">  Platform  : Mac_x000D_
_x000D_
  Build  : 8d435906577366511d8518ccbda5830bc2519df8_x000D_
_x000D_
  Issue  : Was playing on Impact 0078 in the campaign  Was a bit after wave 15  Had just beefed up my defense around the core and was laying out some more Titanium conveyors  After I pressed  E  to start building  I was unceremoniously cast out of the game  with the following stacktrace:_x000D_
_x000D_
java lang NullPointerException: Cannot read field  health  because  tile build  is null_x000D_
        at mindustry entities Damage lambda tileDamage 14(Damage java:395)_x000D_
        at arc util TaskQueue run(TaskQueue java:17)_x000D_
        at arc backend sdl SdlApplication loop(SdlApplication java:148)_x000D_
        at arc backend sdl SdlApplication  init (SdlApplication java:43)_x000D_
        at mindustry desktop DesktopLauncher main(DesktopLauncher java:36)_x000D_
_x000D_
I can reliably receive this stack trace by restarting the game and entering the same sector _x000D_
_x000D_
  Steps to reproduce  : open save file  wait 10 seconds  game will crash _x000D_
_x000D_
  Link(s) to mod(s) used  : None_x000D_
_x000D_
  Save file  :  sector serpulo 227 msav zip (https:  github com Anuken Mindustry files 5718292 sector serpulo 227 msav zip)_x000D_
_x000D_
  (Crash) logs  : _x000D_
_x000D_
   _x000D_
last log:_x000D_
 I   GL  Version: OpenGL 2 1 0   ATI Technologies Inc    AMD Radeon Pro 580 OpenGL Engine_x000D_
 I   GL  Max texture size: 16384_x000D_
 I   GL  Using OpenGL 2 context _x000D_
 I   JAVA  Version: 14 0 2_x000D_
 I  Total time to load: 2704_x000D_
 I  Fetching community servers at https:  raw githubusercontent com Anuken Mindustry master servers v6 json_x000D_
 I  Time to generate menu: 54 51668_x000D_
 I  Fetched 14 community servers 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</si>
  <si>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opensrp-opensrp-client-goldsmith-46</t>
  </si>
  <si>
    <t>Pregnancy outcome from the ANC register is failing</t>
  </si>
  <si>
    <t>First error_x000D_
   _x000D_
2020 12 18 20:58:16 539 11948 12113 org smartregister goldsmith E EventClientRepository: Error saving client   birthdateApprox :false  deathdateApprox :false  firstName : roddy   gender : Male   lastName :    middleName :    relationships :    addresses :    attributes :    baseEntityId : 4caf2d81 33e8 493a 92c0 7350a9c3414d   identifiers :    clientApplicationVersion :2  clientDatabaseVersion :5  dateCreated : 2020 12 18T20:58:16 512Z   type : Client  _x000D_
    java lang NullPointerException: Attempt to invoke virtual method  java lang String org smartregister domain ClientRelationship getBaseEntityId()  on a null object reference_x000D_
        at org smartregister repository ClientRelationshipRepository saveRelationship(ClientRelationshipRepository java:57)_x000D_
        at org smartregister repository EventClientRepository addorUpdateClient(EventClientRepository java:1869)_x000D_
        at org smartregister repository EventClientRepository addorUpdateClient(EventClientRepository java:1813)_x000D_
        at org smartregister sync helper ECSyncHelper addClient(ECSyncHelper java:126)_x000D_
        at org smartregister view interactor BaseConfigurableRegisterActivityInteractor saveRegistration(BaseConfigurableRegisterActivityInteractor java:186)_x000D_
        at org smartregister view interactor BaseConfigurableRegisterActivityInteractor access 000(BaseConfigurableRegisterActivityInteractor java:42)_x000D_
        at org smartregister view interactor BaseConfigurableRegisterActivityInteractor 2 run(BaseConfigurableRegisterActivityInteractor java:93)_x000D_
        at java util concurrent ThreadPoolExecutor runWorker(ThreadPoolExecutor java:1167)_x000D_
        at java util concurrent ThreadPoolExecutor Worker run(ThreadPoolExecutor java:641)_x000D_
        at java lang Thread run(Thread java:764)_x000D_
2020 12 18 20:58:16 540 11948 12113 org smartregister goldsmith E EventClientRepository: Error saving client   birthdateApprox :false  deathdateApprox :false  firstName : roddy   gender : Male   lastName :    middleName :    relationships :    addresses :    attributes :    baseEntityId : 4caf2d81 33e8 493a 92c0 7350a9c3414d   identifiers :    clientApplicationVersion :2  clientDatabaseVersion :5  dateCreated : 2020 12 18T20:58:16 512Z   type : Client  _x000D_
    java lang NullPointerException: Attempt to invoke virtual method  java lang String org smartregister domain ClientRelationship getBaseEntityId()  on a null object reference_x000D_
        at org smartregister repository ClientRelationshipRepository saveRelationship(ClientRelationshipRepository java:57)_x000D_
        at org smartregister repository EventClientRepository addorUpdateClient(EventClientRepository java:1869)_x000D_
        at org smartregister repository EventClientRepository addorUpdateClient(EventClientRepository java:1813)_x000D_
        at org smartregister sync helper ECSyncHelper addClient(ECSyncHelper java:126)_x000D_
        at org smartregister view interactor BaseConfigurableRegisterActivityInteractor saveRegistration(BaseConfigurableRegisterActivityInteractor java:186)_x000D_
        at org smartregister view interactor BaseConfigurableRegisterActivityInteractor access 000(BaseConfigurableRegisterActivityInteractor java:42)_x000D_
        at org smartregister view interactor BaseConfigurableRegisterActivityInteractor 2 run(BaseConfigurableRegisterActivityInteractor java:93)_x000D_
        at java util concurrent ThreadPoolExecutor runWorker(ThreadPoolExecutor java:1167)_x000D_
        at java util concurrent ThreadPoolExecutor Worker run(ThreadPoolExecutor java:641)_x000D_
        at java lang Thread run(Thread java:764)_x000D_
   _x000D_
_x000D_
Second and   FATAL   error_x000D_
   _x000D_
2020 12 18 20:58:16 666 11948 12076 org smartregister goldsmith E ClientConverter: error conveting client org smartregister domain Client 92ff098 birthdate  null  birthdateApprox false clientType  null  deathdate  null  deathdateApprox false firstName roddy gender Male lastName  locationId  null  middleName  relationships    teamId  null  addresses    attributes    baseEntityId 4caf2d81 33e8 493a 92c0 7350a9c3414d contactPoints  null  identifiers    photos  null  clientApplicationVersion 2 clientDatabaseVersion 5 creator  null  dateCreated 2020 12 18T23:58:16 512 03:00 dateEdited  null  dateVoided  null  editor  null  serverVersion 0 voidReason  null  voided  null  voider  null  conflicts  null  id  null  revision  null  type Client _x000D_
    java lang IllegalStateException: Trimmed String value length: 0 is less than minimum required length: 1_x000D_
        at com ibm fhir model util ValidationSupport checkString(ValidationSupport java:101)_x000D_
        at com ibm fhir model type String  init (String java:29)_x000D_
        at com ibm fhir model type String Builder build(String java:197)_x000D_
        at com ibm fhir model type String of(String java:54)_x000D_
        at org smartregister converters ClientConverter convertClientToPatientResource(ClientConverter java:43)_x000D_
        at org smartregister sync ClientProcessorForJava lambda processPlanEvaluation 0(ClientProcessorForJava java:132)_x000D_
        at org smartregister sync    Lambda ClientProcessorForJava HxXhSIaNrH6PbuEPRvK3VC04xEM run(Unknown Source:2)_x000D_
        at java util concurrent ThreadPoolExecutor runWorker(ThreadPoolExecutor java:1167)_x000D_
        at java util concurrent ThreadPoolExecutor Worker run(ThreadPoolExecutor java:641)_x000D_
        at java lang Thread run(Thread java:764)_x000D_
2020 12 18 20:58:16 667 11948 12076 org smartregister goldsmith E AndroidRuntime: FATAL EXCEPTION: pool 35 thread 1_x000D_
    Process: org smartregister goldsmith  PID: 11948_x000D_
    java lang IllegalStateException: Repeating element:  contained  does not permit null elements_x000D_
        at com ibm fhir model util ValidationSupport requireNonNull(ValidationSupport java:342)_x000D_
        at com ibm fhir model resource DomainResource  init (DomainResource java:72)_x000D_
        at com ibm fhir model resource QuestionnaireResponse  init (QuestionnaireResponse java:96)_x000D_
        at com ibm fhir model resource QuestionnaireResponse  init (QuestionnaireResponse java:60)_x000D_
        at com ibm fhir model resource QuestionnaireResponse Builder build(QuestionnaireResponse java:818)_x000D_
        at org smartregister sync ClientProcessorForJava lambda processPlanEvaluation 0(ClientProcessorForJava java:132)_x000D_
        at org smartregister sync    Lambda ClientProcessorForJava HxXhSIaNrH6PbuEPRvK3VC04xEM run(Unknown Source:2)_x000D_
        at java util concurrent ThreadPoolExecutor runWorker(ThreadPoolExecutor java:1167)_x000D_
        at java util concurrent ThreadPoolExecutor Worker run(ThreadPoolExecutor java:641)_x000D_
        at java lang Thread run(Thread java:764)_x000D_
   _x000D_
_x000D_
   How to replicate_x000D_
_x000D_
1  Register a woman family member_x000D_
2  Register them in the ANC register through the family member profile_x000D_
3  Go to the ANC register_x000D_
4  Select the woman and register a   pregnancy outcome   through the ANC member profile_x000D_
5  Fill in details and submit   The app crashes and kicks you to the login page_x000D_
_x000D_
 The result client JSON in the  client  table has an empty  relationships  object   does not have the  identifiers  object</t>
  </si>
  <si>
    <t>gsantner-markor-1162</t>
  </si>
  <si>
    <t>Bugfix for search / replace</t>
  </si>
  <si>
    <t xml:space="preserve">This fixes a crash when search   replace is launched while some text is selected </t>
  </si>
  <si>
    <t>commons-app-apps-android-commons-4116</t>
  </si>
  <si>
    <t>Crash when tapping on "Nearby item" card in Contributions</t>
  </si>
  <si>
    <t xml:space="preserve">  Summary:   _x000D_
_x000D_
Tapping on the Nearby item card in Contributions crashes the app _x000D_
_x000D_
  Steps to reproduce:   _x000D_
_x000D_
Make sure your GPS is on and you have location permissions enabled for the app  When the card at the top of Contributions screen appears  tap it _x000D_
_x000D_
  System logs:  _x000D_
_x000D_
STACK TRACE java lang NullPointerException: Attempt to invoke virtual method  android content res Resources androidx fragment app FragmentActivity getResources()  on a null object reference_x000D_
	at fr free nrw commons nearby fragments NearbyParentFragment centerMapToPlace(NearbyParentFragment java:655)_x000D_
	at fr free nrw commons contributions MainActivity centerMapToPlace(MainActivity java:296)_x000D_
	at fr free nrw commons nearby NearbyNotificationCardView lambda setActionListeners 0 NearbyNotificationCardView(NearbyNotificationCardView java:86)_x000D_
	at fr free nrw commons nearby    Lambda NearbyNotificationCardView VOPNkXLFp2 oU8vL3IdOKygUkxo onClick(Unknown Source:4)_x000D_
	at android view View performClick(View java:7862)_x000D_
	at android view View performClickInternal(View java:7831)_x000D_
	at android view View access 3600(View java:879)_x000D_
	at android view View PerformClick run(View java:29359)_x000D_
	at android os Handler handleCallback(Handler java:883)_x000D_
	at android os Handler dispatchMessage(Handler java:100)_x000D_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_x000D_
  Device and Android version:   _x000D_
_x000D_
Samsung Galaxy S20FE  Android 10_x000D_
_x000D_
  Commons app version:   _x000D_
_x000D_
ProdRelease  e454cfd98fe7537a9b95960031aa46edaf7a50ab_x000D_
_x000D_
  Would you like to work on the issue   _x000D_
_x000D_
No_x000D_
</t>
  </si>
  <si>
    <t>material-components-material-components-android-1936</t>
  </si>
  <si>
    <t>[BaseTransientBottomBar] why must  style on this component requires your app theme to be AppCompat ?</t>
  </si>
  <si>
    <t xml:space="preserve">if   style on this component is not   AppCompat   style but component also works  only some experience problem if  my style not extends  AppCompat   style  your code will throw exception and crash our app  actully i don t check style also work for my app  so why must check sytle and if not will throw exception crash our App  </t>
  </si>
  <si>
    <t>ElderDrivers-EdXposed-740</t>
  </si>
  <si>
    <t>[BUG] YAHFA crashes at ArtMethod::GetOatQuickMethodHeader</t>
  </si>
  <si>
    <t>It is a rare bug but it might crash  here (https:  cs android com android platform superproject   master:art runtime art method cc l 592 bpv 0 bpt 1)</t>
  </si>
  <si>
    <t>nwrkbiz-android-xserver-6</t>
  </si>
  <si>
    <t>FLTK Programs cause APP to crash</t>
  </si>
  <si>
    <t xml:space="preserve">FLTK Programs cause APP to crash when buttons are clicked </t>
  </si>
  <si>
    <t>TeamNewPipe-NewPipe-5211</t>
  </si>
  <si>
    <t>Phone crashing when trying to play any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</si>
  <si>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 _x000D_
2  Press  on play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phone goes to lock screen and keeps turning the screen on and off  until eventually the UI crashes and i have to reboot the phone_x000D_
_x000D_
_x000D_
    Expected behavior_x000D_
     Tell us what you expect to happen     _x000D_
I expect the video to play normally_x000D_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Unable to provide it as i don t have another phone or camera to record_x000D_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Xiaomi MI A2_x000D_
</t>
  </si>
  <si>
    <t>Anuken-Mindustry-4021</t>
  </si>
  <si>
    <t>Hang on Image when updating</t>
  </si>
  <si>
    <t xml:space="preserve">  Platform  :  Android iOS Mac Windows Linux  Windows_x000D_
_x000D_
  Build  :  The build number under the title in the main menu  Required   LATEST  IS NOT A VERSION  I NEED THE EXACT BUILD NUMBER OF YOUR GAME  _x000D_
_x000D_
started in some BE build  cant find which because after the first load it stops  but does affect all prior builds _x000D_
_x000D_
  Issue  :  Explain your issue in detail   WHen first installing a new build  the age hangs when loading on Image  No crash is filed  Java entirely hangs with no log afterward _x000D_
_x000D_
  Steps to reproduce  :  How you happened across the issue  and what exactly you did to make the bug happen   LOad a new build of industry  and watch it hang _x000D_
_x000D_
  Link(s) to mod(s) used  :  The mod repositories or zip files that are related to the issue  if applicable  _x000D_
Happened before I messed with mods  so none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Umm  not applicable  also   no stealing my soul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Not a crash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I have reported this issue before without much detail  this is my second atempt</t>
  </si>
  <si>
    <t>PojavLauncherTeam-PojavLauncher-509</t>
  </si>
  <si>
    <t>[BUG] 1.16.3 crashes without any error log</t>
  </si>
  <si>
    <t>When trying to run 1 16 3 (i havent tried any other versions) in Pojav Launcher 3 2 it runs but then freezes for a second then crashes without any error log _x000D_
_x000D_
Is this normal or is this a bug  _x000D_
_x000D_
Device:_x000D_
Huawei Y6   MRD LX2_x000D_
RAM: 2GB</t>
  </si>
  <si>
    <t>MuntashirAkon-AppManager-194</t>
  </si>
  <si>
    <t>Crash on permissions tabs on Android 11</t>
  </si>
  <si>
    <t xml:space="preserve">  Describe the bug  _x000D_
On AM 2 5 20 on Android 11  AM crashes every time I try to access the App Ops  Uses Permissions  or Permissions tabs  It happened sporadically on AM 2 5 17 on Android 11  and did not happen on Android 10  I do not have root but have granted AM all relevant permissions  including All Files Access  Happens with or without adb _x000D_
_x000D_
  To Reproduce  _x000D_
Steps to reproduce the behaviour:_x000D_
1  Go to any app details  including AM itself_x000D_
2  Click on App Ops  Uses Permissions  or Permissions_x000D_
3  AM immediately crashes every time_x000D_
_x000D_
  Expected behavior  _x000D_
Tab loads correctly  or shows error message or empty tab without crash _x000D_
_x000D_
  Crash logs  _x000D_
  Running without adb mode:  _x000D_
12 17 15:52:31 150 19592 20123 E AndroidRuntime: FATAL EXCEPTION: Thread 142_x000D_
12 17 15:52:31 150 19592 20123 E AndroidRuntime: Process: io github muntashirakon AppManager  PID: 19592_x000D_
12 17 15:52:31 150 19592 20123 E AndroidRuntime: java lang ExceptionInInitializerError_x000D_
12 17 15:52:31 150 19592 20123 E AndroidRuntime:        at io github muntashirakon AppManager appops AppOpsManager permissionToOpCode(AppOpsManager java:1502)_x000D_
12 17 15:52:31 150 19592 20123 E AndroidRuntime:        at io github muntashirakon AppManager details AppDetailsViewModel loadUsesPermissions(AppDetailsViewModel java:1007)_x000D_
12 17 15:52:31 150 19592 20123 E AndroidRuntime:        at io github muntashirakon AppManager details AppDetailsViewModel lambda rcK05b73qPcOD8WauhT GpajWOk(Unknown Source:0)_x000D_
12 17 15:52:31 150 19592 20123 E AndroidRuntime:        at io github muntashirakon AppManager details    Lambda AppDetailsViewModel rcK05b73qPcOD8WauhT GpajWOk run(Unknown Source:2)_x000D_
12 17 15:52:31 150 19592 20123 E AndroidRuntime:        at java lang Thread run(Thread java:923)_x000D_
12 17 15:52:31 150 19592 20123 E AndroidRuntime: Caused by: java lang ArrayIndexOutOfBoundsException: length 100  index 100_x000D_
12 17 15:52:31 150 19592 20123 E AndroidRuntime:        at io github muntashirakon AppManager appops AppOpsManager  clinit (AppOpsManager java:1410)_x000D_
_x000D_
  Running in adb mode:  _x000D_
12 17 16:03:10 176 20105 21323 E AndroidRuntime: FATAL EXCEPTION: Thread 99_x000D_
12 17 16:03:10 176 20105 21323 E AndroidRuntime: Process: io github muntashirakon AppManager  PID: 20105_x000D_
12 17 16:03:10 176 20105 21323 E AndroidRuntime: java lang ExceptionInInitializerError_x000D_
12 17 16:03:10 176 20105 21323 E AndroidRuntime:        at io github muntashirakon AppManager appops AppOpsManager permissionToOpCode(AppOpsManager java:1502)_x000D_
12 17 16:03:10 176 20105 21323 E AndroidRuntime:        at io github muntashirakon AppManager details AppDetailsViewModel loadUsesPermissions(AppDetailsViewModel java:1007)_x000D_
12 17 16:03:10 176 20105 21323 E AndroidRuntime:        at io github muntashirakon AppManager details AppDetailsViewModel lambda rcK05b73qPcOD8WauhT GpajWOk(Unknown Source:0)_x000D_
12 17 16:03:10 176 20105 21323 E AndroidRuntime:        at io github muntashirakon AppManager details    Lambda AppDetailsViewModel rcK05b73qPcOD8WauhT GpajWOk run(Unknown Source:2)_x000D_
12 17 16:03:10 176 20105 21323 E AndroidRuntime:        at java lang Thread run(Thread java:923)_x000D_
12 17 16:03:10 176 20105 21323 E AndroidRuntime: Caused by: java lang ArrayIndexOutOfBoundsException: length 100  index 100_x000D_
12 17 16:03:10 176 20105 21323 E AndroidRuntime:        at io github muntashirakon AppManager appops AppOpsManager  clinit (AppOpsManager java:1410)_x000D_
_x000D_
_x000D_
  Device info  _x000D_
   Device: Galaxy S10  USA Unlocked_x000D_
   OS Version: Android 11 with One UI 3 (beta)_x000D_
   App Manager Version: 2 5 20_x000D_
   Mode: No root  adb and non adb crash logs above_x000D_
_x000D_
  Additional context  _x000D_
I ve tried clearing app cache and data  restarting phone  etc _x000D_
</t>
  </si>
  <si>
    <t>square-okhttp-6480</t>
  </si>
  <si>
    <t>Interceptor throws IOException: UnknownHostException when I turn internet off</t>
  </si>
  <si>
    <t>Hello _x000D_
_x000D_
With a new version of okhttp(4 9 0  not sure if it was in lower versions) I started to see in firebase and google analytics reports about UnknownHostException _x000D_
I tried to repro this crash and found that it is happening when the internet is off or very low quality _x000D_
I don t wanna see this crash in my crash analytics _x000D_
_x000D_
Is it any way to handle it in  override fun intercept  (I can catch this error there before it goes to Real funs) _x000D_
_x000D_
Here is one of the log from Firebase:_x000D_
Caused by android system GaiException: android getaddrinfo failed: EAI NODATA (No address associated with hostname)_x000D_
       at libcore io Linux android getaddrinfo(Linux java)_x000D_
       at libcore io ForwardingOs android getaddrinfo(ForwardingOs java:74)_x000D_
       at libcore io BlockGuardOs android getaddrinfo(BlockGuardOs java:200)_x000D_
       at libcore io ForwardingOs android getaddrinfo(ForwardingOs java:74)_x000D_
       at java net Inet6AddressImpl lookupHostByName(Inet6AddressImpl java:135)_x000D_
       at java net Inet6AddressImpl lookupAllHostAddr(Inet6AddressImpl java:103)_x000D_
       at java net InetAddress getAllByName(InetAddress java:1152)_x000D_
       at okhttp3 Dns Companion DnsSystem lookup(Dns kt:49)_x000D_
       at okhttp3 internal connection RouteSelector resetNextInetSocketAddress(RouteSelector kt:164)_x000D_
       at okhttp3 internal connection RouteSelector nextProxy(RouteSelector kt:129)_x000D_
       at okhttp3 internal connection RouteSelector next(RouteSelector kt:71)_x000D_
       at okhttp3 internal connection ExchangeFinder findConnection(ExchangeFinder kt:205)_x000D_
       at okhttp3 internal connection ExchangeFinder findHealthyConnection(ExchangeFinder kt:106)_x000D_
       at okhttp3 internal connection ExchangeFinder find(ExchangeFinder kt:74)_x000D_
       at okhttp3 internal connection RealCall initExchange okhttp(RealCall kt:255)_x000D_
       at okhttp3 internal connection ConnectInterceptor intercept(ConnectInterceptor kt:32)_x000D_
       at okhttp3 internal http RealInterceptorChain proceed(RealInterceptorChain kt:109)_x000D_
       at okhttp3 internal cache CacheInterceptor intercept(CacheInterceptor kt:95)_x000D_
       at okhttp3 internal http RealInterceptorChain proceed(RealInterceptorChain kt:109)_x000D_
       at okhttp3 internal http BridgeInterceptor intercept(BridgeInterceptor kt:83)_x000D_
       at okhttp3 internal http RealInterceptorChain proceed(RealInterceptorChain kt:109)_x000D_
       at okhttp3 internal http RetryAndFollowUpInterceptor intercept(RetryAndFollowUpInterceptor kt:76)_x000D_
       at okhttp3 internal http RealInterceptorChain proceed(RealInterceptorChain kt:109)_x000D_
       at com slipstream accuradio framework intercertors ApiInterceptor intercept(ApiInterceptor kt:23)_x000D_
       at okhttp3 internal http RealInterceptorChain proceed(RealInterceptorChain kt:109)_x000D_
       at okhttp3 internal connection RealCall getResponseWithInterceptorChain okhttp(RealCall kt:201)_x000D_
       at okhttp3 internal connection RealCall AsyncCall run(RealCall kt:517)_x000D_
       at java util concurrent ThreadPoolExecutor runWorker(ThreadPoolExecutor java:1167)_x000D_
       at java util concurrent ThreadPoolExecutor Worker run(ThreadPoolExecutor java:641)_x000D_
       at java lang Thread run(Thread java:919)_x000D_
_x000D_
_x000D_
Thank you</t>
  </si>
  <si>
    <t>inverse-inc-packetfence-android-agent-11</t>
  </si>
  <si>
    <t>Fix view for qui and changeDebugStatus</t>
  </si>
  <si>
    <t xml:space="preserve">ReAdd view in quit and changeDebugStatus function _x000D_
If not the app is crashing if you click on one of this button </t>
  </si>
  <si>
    <t>Anuken-Mindustry-4020</t>
  </si>
  <si>
    <t>mobile users can shoot and build</t>
  </si>
  <si>
    <t xml:space="preserve">  Platform  : mobile_x000D_
_x000D_
  Build  :  The build number under the title in the main menu  Required   LATEST  IS NOT A VERSION  I NEED THE EXACT BUILD NUMBER OF YOUR GAME   yes_x000D_
_x000D_
  Issue  :  Explain your issue in detail  _x000D_
when a mobile player is building  autoshoot can still have them shoot at things  it may only occur when they are unable to build but still have the build beams _x000D_
_x000D_
  Steps to reproduce  :  How you happened across the issue  and what exactly you did to make the bug happen  _x000D_
1  join multiplayer game (i joined from pc)_x000D_
2  mobile player build thing_x000D_
3  mobile player also shoots things_x000D_
4  crime_x000D_
_x000D_
  Link(s) to mod(s) used  :  The mod repositories or zip files that are related to the issue  if applicable  _x000D_
no_x000D_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no_x000D_
_x000D_
If you remove the line above without reading it properly and understanding what it means  I will reap your soul  Even if you re playing on someone s server  you can still save the game to a slot _x000D_
uWu_x000D_
_x000D_
  (Crash) logs  :  Either crash reports from the crash folder  or the file you get when you go into Settings    Game Data    Export Crash logs  REQUIRED if you are reporting a crash  _x000D_
no_x000D_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</si>
  <si>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valkriaine-Factor_Launcher_Reboot-3</t>
  </si>
  <si>
    <t>Crash when returning from other apps in landscape mode</t>
  </si>
  <si>
    <t xml:space="preserve">there is a small chance that the app may crash when returning from other apps in landscape mode </t>
  </si>
  <si>
    <t>microg-GmsCore-1321</t>
  </si>
  <si>
    <t>Mapbox native library cache is not always cleared automatically</t>
  </si>
  <si>
    <t xml:space="preserve">When using mapbox in multi architecture environments  we copy the mapbox native library into the cache directory of the application using it  The corresponding cache entry is not always automatically cleared when upgrading microG  This can lead to crashes and misbehavior if the native library does not match the expected mapbox implementation </t>
  </si>
  <si>
    <t>Anuken-Mindustry-4013</t>
  </si>
  <si>
    <t>hs_err_pid.log overrides crash</t>
  </si>
  <si>
    <t xml:space="preserve">  Platform  :  Windows10 _x000D_
_x000D_
  Build  :  121 4 _x000D_
_x000D_
  Issue  :  When I exit mindustry for any reason(includes crashes  pressing exit button)  It leaves hs err pid nums  log in it s directory  And it overrides crash log  Crash logs are cut off from 12 10 (cannot specify window s build) when I migrated v121 to v121 2 _x000D_
       270 (https:  user images githubusercontent com 61054554 102477087 3ea65d00 409f 11eb 8841 8a4c9d8decd2 png)_x000D_
       271 (https:  user images githubusercontent com 61054554 102477088 40702080 409f 11eb 99f4 550b5113a299 png)_x000D_
       272 (https:  user images githubusercontent com 61054554 102477091 41a14d80 409f 11eb 9e61 c3670d969fab png)_x000D_
_x000D_
   _x000D_
 _x000D_
  A fatal error has been detected by the Java Runtime Environment:_x000D_
 _x000D_
   EXCEPTION ACCESS VIOLATION (0xc0000005) at pc 0x00007fff12b34592  pid 25884  tid 13600_x000D_
 _x000D_
  JRE version: Java(TM) SE Runtime Environment (15 0 1 9) (build 15 0 1 9 18)_x000D_
  Java VM: Java HotSpot(TM) 64 Bit Server VM (15 0 1 9 18  mixed mode  sharing  tiered  compressed oops  g1 gc  windows amd64)_x000D_
  Problematic frame:_x000D_
  C   MSCTF dll 0x74592 _x000D_
 _x000D_
  No core dump will be written  Minidumps are not enabled by default on client versions of Windows_x000D_
 _x000D_
  If you would like to submit a bug report  please visit:_x000D_
    https:  bugreport java com bugreport crash jsp_x000D_
  The crash happened outside the Java Virtual Machine in native code _x000D_
  See problematic frame for where to report the bug _x000D_
 _x000D_
   _x000D_
_x000D_
_x000D_
_x000D_
_x000D_
  Steps to reproduce  :  I just used jar from release  I ve heard you can t reproduce in windows VM  _x000D_
_x000D_
  Link(s) to mod(s) used  :  mod that can occur crashes  or vanilla can create hs err pid log with just exiting _x000D_
_x000D_
  Save file  :  h _x000D_
_x000D_
If you remove the line above without reading it properly and understanding what it means  I will reap your soul  Even if you re playing on someone s server  you can still save the game to a slot _x000D_
_x000D_
  (Crash) logs  :  recent hs err pid _x000D_
 hs err pid25884 log (https:  github com Anuken Mindustry files 5708722 hs err pid25884 log)_x000D_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</si>
  <si>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Anuken-Mindustry-4010</t>
  </si>
  <si>
    <t>[BUG] (121.4) The game freezes when trying to upgrade Conveyor track in a specific situation</t>
  </si>
  <si>
    <t xml:space="preserve">  Platform  : Windows_x000D_
_x000D_
  Build  : steam build 121 4_x000D_
_x000D_
  Issue  : I tried to upgrade my Conveyor belt track to Titanium and the game froze  After some time I got the java lang OutOfMemoryError: Java heap space error _x000D_
_x000D_
I can reproduce this every time in my game save  I tried to create the same crash as a minimal example in a blank sandbox game  but failed  so I have no idea what the exact cause of this is  If you load up my attached Campaign save  hopefully you should be able the reproduce the crash _x000D_
_x000D_
Probably an edge case in some algorithm  so nothing serious if I m the first to encounter this _x000D_
_x000D_
  Steps to reproduce  : See the following GIF or the instructions after the GIF  I have tried over 5 times and reproduced it 100  of the time by going through the following steps  _x000D_
_x000D_
  mindustry crash (https:  user images githubusercontent com 32312262 102420084 8d9db500 4001 11eb 9275 f0c0fdbf520f gif)_x000D_
_x000D_
0  Open the campaign and go to Fungal Wastes _x000D_
1  Select a Titanium Conveyor for building _x000D_
2  Put the mouse over the Titanium Conveyor near your ship that is already built _x000D_
3  Press and hold down Control _x000D_
4  Press and hold down Left Mouse Button _x000D_
5  Move your mouse cursor one square to the right in an attempt to upgrade your Conveyor track to Titanium _x000D_
6  The game freezes _x000D_
7  While the game is frozen  the memory usage of the game grows until the game crashes (java lang OutOfMemoryError: Java heap space) with the attached Crash Log _x000D_
_x000D_
  Link(s) to mod(s) used  : None _x000D_
_x000D_
  Save file  :  saves zip (https:  github com Anuken Mindustry files 5706077 saves zip)_x000D_
_x000D_
  (Crash) logs  :  crash report 12 16 2020 22 03 39 txt (https:  github com Anuken Mindustry files 5706083 crash report 12 16 2020 22 03 39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</si>
  <si>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TeamNewPipe-NewPipe-5198</t>
  </si>
  <si>
    <t>Database export to removable storage fails on Android 10</t>
  </si>
  <si>
    <t xml:space="preserve">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the settings  content  export database_x000D_
2  Select a folder in the removable storage_x000D_
3  Press OK_x000D_
4  Crash_x000D_
_x000D_
    Actual behaviour_x000D_
A screen with an exception shows _x000D_
_x000D_
    Expected behavior_x000D_
A database is exported  This worked OK on my Android 4  6  and 7 devices  but on Android 10 it crashes (no permission) _x000D_
_x000D_
    Logs_x000D_
   Exception_x000D_
    User Action:   ui error_x000D_
    Request:   _x000D_
    Content Country:   US_x000D_
    Content Language:   en_x000D_
    App Language:   en US_x000D_
    Service:   none_x000D_
    Version:   0 20 6_x000D_
    OS:   Linux samsung a50eea a50:10 QP1A 190711 020 A505FNXXU4BTC9:user release keys 10   29_x000D_
 details  summary  b Crash log   b   summary  p _x000D_
_x000D_
   _x000D_
java io FileNotFoundException:  storage A34D 12E4 tmp internalsd NewPipeData 20201216 222951 zip: open failed: EACCES (Permission denied)_x000D_
	at libcore io IoBridge open(IoBridge java:496)_x000D_
	at java io FileOutputStream  init (FileOutputStream java:235)_x000D_
	at java io FileOutputStream  init (FileOutputStream java:125)_x000D_
	at org schabi newpipe settings ContentSettingsFragment exportDatabase(ContentSettingsFragment java:215)_x000D_
	at org schabi newpipe settings ContentSettingsFragment onActivityResult(ContentSettingsFragment java:197)_x000D_
	at androidx fragment app FragmentActivity onActivityResult(FragmentActivity java:170)_x000D_
	at android app Activity dispatchActivityResult(Activity java:8292)_x000D_
	at android app ActivityThread deliverResults(ActivityThread java:5090)_x000D_
	at android app ActivityThread handleSendResult(ActivityThread java:5138)_x000D_
	at android app servertransaction ActivityResultItem execute(ActivityResultItem java:51)_x000D_
	at android app servertransaction TransactionExecutor executeCallbacks(TransactionExecutor java:135)_x000D_
	at android app servertransaction TransactionExecutor execute(TransactionExecutor java:95)_x000D_
	at android app ActivityThread H handleMessage(ActivityThread java:2147)_x000D_
	at android os Handler dispatchMessage(Handler java:107)_x000D_
	at android os Looper loop(Looper java:237)_x000D_
	at android app ActivityThread main(ActivityThread java:7814)_x000D_
	at java lang reflect Method invoke(Native Method)_x000D_
	at com android internal os RuntimeInit MethodAndArgsCaller run(RuntimeInit java:493)_x000D_
	at com android internal os ZygoteInit main(ZygoteInit java:1075)_x000D_
Caused by: android system ErrnoException: open failed: EACCES (Permission denied)_x000D_
	at libcore io Linux open(Native Method)_x000D_
	at libcore io ForwardingOs open(ForwardingOs java:167)_x000D_
	at libcore io BlockGuardOs open(BlockGuardOs java:252)_x000D_
	at libcore io ForwardingOs open(ForwardingOs java:167)_x000D_
	at android app ActivityThread AndroidOs open(ActivityThread java:7691)_x000D_
	at libcore io IoBridge open(IoBridge java:482)_x000D_
	    18 more_x000D_
_x000D_
   _x000D_
  details _x000D_
 hr _x000D_
_x000D_
_x000D_
     Please fill this out when you do not provide a log generate by NewPipe    _x000D_
_x000D_
    Device info_x000D_
_x000D_
   Android version: 10 (Stock ROM  rooted)_x000D_
   Device model: Samsung A50_x000D_
</t>
  </si>
  <si>
    <t>Anuken-Mindustry-4008</t>
  </si>
  <si>
    <t>Mindustry leaves multiple empty files in /tmp after quitting</t>
  </si>
  <si>
    <t xml:space="preserve">  Platform  :  Linux _x000D_
_x000D_
  Build  :  121 4 _x000D_
_x000D_
  Issue  :  On every run Mindustry leaves a lot of empty files in the   tmp  directory _x000D_
_x000D_
  Steps to reproduce  :  I found lots of empty files in my   tmp  directory  Creation times and filenames pointed to Mindustry  I first encountered this with build 120 1  I have just updated to build 121 4 and can recreate the issue step by step  It is enough to just start up the game and quit it from the main menu to make the files appear  See this session log (it starts with removing all files matching   tmp  mind   after closing the game new files have been created) _x000D_
_x000D_
   shell_x000D_
mitch derpy:  Cryptbox Mindustry  rm  tmp  mind_x000D_
mitch derpy:  Cryptbox Mindustry  java  jar Mindustry jar _x000D_
 I  Initialized Discord rich presence _x000D_
 I   Audio  Initialized SoLoud 202002 using MiniAudio at 44100hz   128 samples   2 channels_x000D_
 I   GL  Version: OpenGL 3 0 0   Intel Open Source Technology Center   Mesa DRI Intel(R) HD Graphics 610 (Kaby Lake GT1) _x000D_
 I   GL  Max texture size: 16384_x000D_
 I   GL  Using OpenGL 2 context _x000D_
 I   JAVA  Version: 11 0 9 1_x000D_
 I  Total time to load: 11028_x000D_
 I  Fetching community servers at https:  raw githubusercontent com Anuken Mindustry master servers v6 json_x000D_
 I  Time to generate menu: 278 755_x000D_
 I  Fetched 14 community servers _x000D_
mitch derpy:  Cryptbox Mindustry  ls  lh  tmp  mind_x000D_
 rw r  r   1 mitch mitch 0 Dez 16 20:53  tmp boss1  3841172 mp39617760798442405198mind_x000D_
 rw r  r   1 mitch mitch 0 Dez 16 20:53  tmp boss2  3669809 mp314234121743737720725mind_x000D_
 rw r  r   1 mitch mitch 0 Dez 16 20:53  tmp editor  1941421 mp38687231477504873971mind_x000D_
 rw r  r   1 mitch mitch 0 Dez 16 20:53  tmp game1  1388221 mp311858361874625882782mind_x000D_
 rw r  r   1 mitch mitch 0 Dez 16 20:53  tmp game2  1383130 mp313132550600919665763mind_x000D_
 rw r  r   1 mitch mitch 0 Dez 16 20:53  tmp game3  2319178 mp37640725019743403059mind_x000D_
 rw r  r   1 mitch mitch 0 Dez 16 20:53  tmp game4  3010169 mp34127783362801189551mind_x000D_
 rw r  r   1 mitch mitch 0 Dez 16 20:53  tmp game5  2371302 mp34342945720401322523mind_x000D_
 rw r  r   1 mitch mitch 0 Dez 16 20:53  tmp game6  2036565 mp317984518487211592690mind_x000D_
 rw r  r   1 mitch mitch 0 Dez 16 20:53  tmp game7  2320652 mp31608235005490991642mind_x000D_
 rw r  r   1 mitch mitch 0 Dez 16 20:53  tmp game8  3327083 mp3311247886601235645mind_x000D_
 rw r  r   1 mitch mitch 0 Dez 16 20:53  tmp game9  3601368 mp39476537169253745597mind_x000D_
 rw r  r   1 mitch mitch 0 Dez 16 20:53  tmp land  200958 mp35810919551700533536mind_x000D_
 rw r  r   1 mitch mitch 0 Dez 16 20:53  tmp launch  1410980 mp390384278804789346mind_x000D_
 rw r  r   1 mitch mitch 0 Dez 16 20:53  tmp menu  1230825 mp32248486828172565887mind_x000D_
mitch derpy:  Cryptbox Mindustry  _x000D_
   _x000D_
_x000D_
  Link(s) to mod(s) used  :  none _x000D_
_x000D_
  Save file  :  As this happens already when I directly quit without starting a game  I hope no save game is needed   ) _x000D_
_x000D_
  (Crash) logs  :  No crash  full stdout stderr is given above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</si>
  <si>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Anuken-Mindustry-4005</t>
  </si>
  <si>
    <t xml:space="preserve">Game says that you were votekicked, even if you are not. </t>
  </si>
  <si>
    <t xml:space="preserve">  Platform  :  Android iOS Mac Windows Linux _x000D_
_x000D_
Android 10_x000D_
_x000D_
  Build  :  The build number under the title in the main menu  Required   LATEST  IS NOT A VERSION  I NEED THE EXACT BUILD NUMBER OF YOUR GAME  _x000D_
_x000D_
Release 121 4_x000D_
_x000D_
  Issue  :  Explain your issue in detail  _x000D_
_x000D_
The message  You have been kicked from the game recently  Wait before reconnecting again  appears it usually appears if you were votekicked from the server  It appears even if you haven t joined the server in the past hour  _x000D_
_x000D_
  Steps to reproduce  :  How you happened across the issue  and what exactly you did to make the bug happen  _x000D_
_x000D_
1  Enable any mod (used sk7725 Testers in my case) _x000D_
2  Join any server  The game will say that your mod is incompatible with the server  _x000D_
3  Turn off the mod  _x000D_
4  The game will say that you need to exit to reload mods  press  OK   _x000D_
5  Return to the game_x000D_
6  Join the server you joined in step 2 _x000D_
_x000D_
To remove the message and join the server  you need to close the app  _x000D_
_x000D_
  Link(s) to mod(s) used  :  The mod repositories or zip files that are related to the issue  if applicable  _x000D_
_x000D_
sk7725 Testers (works with every other mod  incompatible with the server)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N A_x000D_
_x000D_
  (Crash) logs  :  Either crash reports from the crash folder  or the file you get when you go into Settings    Game Data    Export Crash logs  REQUIRED if you are reporting a crash  _x000D_
_x000D_
No crash logs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</si>
  <si>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PojavLauncherTeam-PojavLauncher-505</t>
  </si>
  <si>
    <t xml:space="preserve">I have problem in running the game after installing the version 1 16 4 a grey screen and after sometime game crashes _x000D_
Mobile : samsung m21_x000D_
Android version : 10_x000D_
  Screenshot 20201216 195816 PojavLauncher (Minecraft Java Edition for Android) (https:  user images githubusercontent com 76113942 102363144 266d0a00 3fdb 11eb 9943 7ca23ed5d553 jpg)_x000D_
_x000D_
_x000D_
 details   summary  b Additional context  b   summary _x000D_
 br _x000D_
 pre _x000D_
Add any other context about the problem here _x000D_
  pre _x000D_
  details _x000D_
</t>
  </si>
  <si>
    <t>TeamNewPipe-NewPipe-5191</t>
  </si>
  <si>
    <t>Bug: Filtering for YouTube Music items shows 'No results'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</si>
  <si>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Search for any artist with auto generated videos for their songs_x000D_
2  Tap the 3 dots and choose any option under  YouTube Music  (e g Albums  Songs)_x000D_
_x000D_
    Actual behaviour_x000D_
     Tell us what happens with the steps given above     _x000D_
_x000D_
I get a  No results  error  and an option to report a bug _x000D_
_x000D_
    Expected behavior_x000D_
     Tell us what you expect to happen     _x000D_
_x000D_
The albums songs music videos of the artist are listed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searched_x000D_
    Request:   master boot record_x000D_
    Content Country:   US_x000D_
    Content Language:   en US_x000D_
    App Language:   en US_x000D_
    Service:   YouTube_x000D_
    Version:   0 20 6_x000D_
    OS:   Linux Android 10   29_x000D_
 details  summary  b Exceptions (20)  b   summary  p _x000D_
 details  summary  b Crash log 1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2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3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4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5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6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7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8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9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10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11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Lambda ExtractorHelper qyxpuXgomWa cbONQns pd7zxm0 call(Unknown Source:8)_x000D_
        at io reactivex rxjava3 internal operators single SingleFromCallable subscribeActual(SingleFromCallable java:43)_x000D_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details  summary  b Crash log 12  b   summary  p _x000D_
_x000D_
   _x000D_
org schabi newpipe extractor exceptions ParsingException: Could not get url_x000D_
        at org schabi newpipe extractor services youtube extractors YoutubeMusicSearchExtractor 3 getUrl(YoutubeMusicSearchExtractor java:451)_x000D_
        at org schabi newpipe extractor playlist PlaylistInfoItemsCollector extract(PlaylistInfoItemsCollector java:17)_x000D_
        at org schabi newpipe extractor search InfoItemsSearchCollector extract(InfoItemsSearchCollector java:88)_x000D_
        at org schabi newpipe extractor search InfoItemsSearchCollector extract(InfoItemsSearchCollector java:50)_x000D_
        at org schabi newpipe extractor InfoItemsCollector commit(InfoItemsCollector java:87)_x000D_
        at org schabi newpipe extractor services youtube extractors YoutubeMusicSearchExtractor collectMusicStreamsFrom(YoutubeMusicSearchExtractor java:420)_x000D_
        at org schabi newpipe extractor services youtube extractors YoutubeMusicSearchExtractor getInitialPage(YoutubeMusicSearchExtractor java:179)_x000D_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java:82)_x000D_
        at org schabi newpipe util  </t>
  </si>
  <si>
    <t>hzi-braunschweig-SORMAS-Project-3805</t>
  </si>
  <si>
    <t>Auditor Test crashes during GitHub Actions</t>
  </si>
  <si>
    <t xml:space="preserve">   _x000D_
Error:  Failures: _x000D_
Error:    AuditorTest testDetectAnnotationChangesFast:289 _x000D_
Expected: a value less than  1000000L _x000D_
     but:  1551807L  was greater than  1000000L _x000D_
   _x000D_
_x000D_
Suggested approach_x000D_
_x000D_
   x  Increase expected number to prevent the crash for new PRs_x000D_
   x  Investigate why timings are different when running on the GitHub servers</t>
  </si>
  <si>
    <t>PojavLauncherTeam-PojavLauncher-501</t>
  </si>
  <si>
    <t>The custom keyboard menu is very unstable</t>
  </si>
  <si>
    <t xml:space="preserve">Will show me error on custom keyboard config area and then crash _x000D_
_x000D_
  To Reproduce  _x000D_
Steps to reproduce the behavior:_x000D_
1  Start PojavLauncher_x000D_
2  Login with offline_x000D_
3  Press setting for keyboard _x000D_
4  Press button _x000D_
5  Crash_x000D_
_x000D_
  Expected behavior  _x000D_
I expected for it to show the edit  delete menu_x000D_
_x000D_
  Platform:  _x000D_
   Device Model huawei p30lite aka mar lx3a_x000D_
   CPU architecture aarch64_x000D_
   Android Version 10 android Q_x000D_
_x000D_
</t>
  </si>
  <si>
    <t>Anuken-Mindustry-3995</t>
  </si>
  <si>
    <t>Platform: Android. Build: 121.3. Issue: I have put 9 coal in a launchpad that sents recourses from sector 173 to sector 35. I now receice 9 coal in sector 35 a minute whit no other sectors supplying coal to any core from all the sectors I have captured.</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</si>
  <si>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</si>
  <si>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Anuken-Mindustry-3994</t>
  </si>
  <si>
    <t>the thing about passive zone winning</t>
  </si>
  <si>
    <t xml:space="preserve">  Platform  :Windows_x000D_
_x000D_
  Build  : steam build 121 4_x000D_
_x000D_
  Issue  : so i was in the stained mountains and did pretty well  then suddently the guardian came  having only removed half it s health and it having reached my core  i pretty much lost so i launched most of my resources to another map to set up a base there  the preview showed  0 2 waves will be defeated   and yet after some time on the new (side) map i got the notification about how the zone was captured  I do not know how the calculations work  but for one i wouldn t have defeated the guardian wave that apparently wasn t even considered in the calculations  but i also should not have  captured2 it after it was bombing my core with artilery and me being on another map  while it even shows none will be won_x000D_
_x000D_
  Steps to reproduce  : pretty much play the map with lots of defenses  including heavy anti air everywhere and some support units built(the tier after miner  as in ugrade)  get trough each wave with ease  get crushed by the guardian but before the core dies go to another location  possibly make a backup save in one of which it shows that you will win and then you actually play it to see if it wins against the guardian  using not enough defences to actually defeat it but for the game to still show that you will _x000D_
_x000D_
  Link(s) to mod(s) used  : none  purely vanilla_x000D_
_x000D_
  Save file  :  for some reason i have a zip file but it just tells me  we don t support that file type  even if this is all i can do with 7zip and it shows the zip file icon_x000D_
_x000D_
_x000D_
If you remove the line above without reading it properly and understanding what it means  I will reap your soul  Even if you re playing on someone s server  you can still save the game to a slot _x000D_
_x000D_
  (Crash) logs  : none  it s a bug not a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</si>
  <si>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Anuken-Mindustry-3993</t>
  </si>
  <si>
    <t>**Platform** Android. **Build** 121.3 *issue* I put 9 coal into a launchpad that launches from sector 173 to sector 35. Now do I receive 9 coal every 20 seconds in that core. No other sector launch coal. (Checked multiple times)</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</si>
  <si>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</si>
  <si>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TeamNewPipe-NewPipe-5188</t>
  </si>
  <si>
    <t>App plays no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</si>
  <si>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No video could be played with this app on Oneplus 5 Android Q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Instead of playing any video  the app produces an error report posted below_x000D_
_x000D_
_x000D_
    Expected behavior_x000D_
     Tell us what you expect to happen     _x000D_
_x000D_
Video to start playing_x000D_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Q_x000D_
   Device model: Oneplus 5_x000D_
</t>
  </si>
  <si>
    <t>TeamNewPipe-NewPipe-5187</t>
  </si>
  <si>
    <t>Fix crash when no default browser is set and improve share dialogs (on some devices)</t>
  </si>
  <si>
    <t xml:space="preserve">     What is it _x000D_
   x  Bugfix (user facing)_x000D_
   x  Feature (user facing)_x000D_
      Codebase improvement (dev facing)_x000D_
      Meta improvement to the project (dev facing)_x000D_
_x000D_
     Description of the changes in your PR_x000D_
_x000D_
     General description of the changes_x000D_
This PR improves sharing content to other apps with the following changes:_x000D_
_x000D_
  fix crash when no browser is set on some devices (NewPipe thinks that the system app chooser is a browser because its package ID isn t  android  due to some OEM s system customizations)_x000D_
  try to use Android s system share sheet instead of OEM s share sheet (this last is used as a fallback if this first was removed) for:_x000D_
    share content in clipboard (playlists  videos  tracks  channels and bug reports)_x000D_
    open content in browser (playlists  videos  tracks  channels  report on GitHub in bug reports options and comments  install a player prompts) where there is no default app_x000D_
    open a video stream   an audio stream in a external player where there is no default app_x000D_
  fix double toast  Copied to clipboard  shown when copying formatted report in crash report activity_x000D_
_x000D_
     Code changes_x000D_
  catch ActivityNotFoundException when opening an URL or a file if it s a chooser_x000D_
  add openFileInApp method in ShareUtils to be able to open streams in external app   downloads in default app or in the app chooser_x000D_
  edit getDefaultAppPackageName method of ShareUtils to be able to return default app for opening downloads  streams  or URLs_x000D_
  use ShareUtils openFileInApp for downloads   playing streams in external player_x000D_
  use ShareUtils shareUrl for sharing crash report from ErrorActivity to other apps and for sharing a stream in the play queue_x000D_
  use ShareUtils openUrlInBrowser when tap  Install  button from install VLC and install Kore dialogs_x000D_
  use an ACTION CHOOSER intent and putting as an extra intent the ACTION SEND intent to share downloads_x000D_
  add a string open with in English and French which is used for Android s system chooser title_x000D_
  add   edit comments and change JavaDocs for remembering that  android  package isn t returned when no default app on some devices_x000D_
  also indent checkstyle suppressions xml file_x000D_
_x000D_
Here is the difference between the original code and my changes (my device is an Honor 9X  running EMUI 10):_x000D_
_x000D_
  Before this PR   After this PR  _x000D_
                                  _x000D_
    Share panel before (https:  user images githubusercontent com 74829229 101394986 97b90880 38c9 11eb 8b8a 894cbd40c008 jpg)                   Share panel after (https:  user images githubusercontent com 74829229 101395044 abfd0580 38c9 11eb 9278 33e83394728f jpg)               _x000D_
  Share panel before this PR                 Share panel after this PR               _x000D_
    Open in browser before (https:  user images githubusercontent com 74829229 101395107 c6cf7a00 38c9 11eb 83cf 1c3a49ac2a97 jpg)                   Open in browser after (https:  user images githubusercontent com 74829229 101395145 d353d280 38c9 11eb 976f 1fec6e4f3a9f jpg)               _x000D_
  Open in browser before this PR                Open in browser after this PR               _x000D_
    Open a download before (https:  user images githubusercontent com 74829229 103011613 83684300 453a 11eb 8740 37cce5631c87 jpg)                 Open a download after (https:  user images githubusercontent com 74829229 103011381 1e145200 453a 11eb 9cf3 fe1b54abaaac jpg)               _x000D_
  Open a download when no default app set before this PR                Open a download when no default app set after this PR               _x000D_
_x000D_
     What I changed to do this_x000D_
The trick to do this is to use an ACTION CHOOSER intent and put the share intent (ACTION SEND) or the view intent (ACTION VIEW) as an extra intent _x000D_
Note also if Android s system chooser (in the intent ACTION CHOOSER) has been directly modified by the OEM  this PR will not change it _x000D_
_x000D_
     A few note about UX_x000D_
With my changes  we can t choose which app to always open an intent but only choose for once (if there isn t a default app) _x000D_
_x000D_
     Fixes the following issue(s)_x000D_
Fixes  3925_x000D_
_x000D_
     APK testing_x000D_
 NewPipe share improvements debug apk zip (https:  github com TeamNewPipe NewPipe files 5810811 NewPipe share improvements debug apk zip) (based on 92a87a5ed2e259ab36eaa5d95703ecdca7f61c08)_x000D_
_x000D_
     Due diligence_x000D_
   x  I read the  contribution guidelines (https:  github com TeamNewPipe NewPipe blob HEAD  github CONTRIBUTING md) _x000D_
_x000D_
  Important note: I am not an Android   Java developer   so please be indulgent with me </t>
  </si>
  <si>
    <t>Anuken-Mindustry-3988</t>
  </si>
  <si>
    <t>Flares and Horizons Using Zenith AI</t>
  </si>
  <si>
    <t xml:space="preserve">  Platform  : Windows_x000D_
_x000D_
  Build  : steam build 121 3_x000D_
_x000D_
  Issue  : Flares and Horizons use Zenith AI when attacking  I first noticed it on campaign  but I was able to reproduce it easily on sandbox  Normal Flare and Horizon AI dictates that they should swoop down on enemies and deal damage  but they are standing back and firing like Zeniths do  This is weird wrong for flares (see  3050) and does not work for Horizons (since they are bombers) _x000D_
_x000D_
  image (https:  user images githubusercontent com 57609258 102261263 a8234180 3ece 11eb 9f22 7772891aa6dd png) _x000D_
_x000D_
  Steps to reproduce  : _x000D_
_x000D_
1  Encounter an enemy Horizon or Flare _x000D_
2   They will stay away from your buildings and try to shoot at them _x000D_
_x000D_
Using my provided map  the first wave is only flares and horizons  and you can observe this behavior _x000D_
_x000D_
  Link(s) to mod(s) used  : I was using deltanedas cliffs and deltanedas rtfm  but I don t they they cause this bug _x000D_
_x000D_
  Save file  : _x000D_
_x000D_
https:  drive google com file d 1NJs RFMBMlfc4xjMMvjz1chX23xztJh3 view usp sharing_x000D_
_x000D_
This is not the save file but it is the map file that I tested on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I searched  Horizon  and did not find any issues like what I describe except  3050 (which was not a bug anyways) _x000D_
</t>
  </si>
  <si>
    <t>barbeau-gpstest-459</t>
  </si>
  <si>
    <t>Crash in Accuracy mode</t>
  </si>
  <si>
    <t xml:space="preserve">When I start the accuracy mode everything seems to be OK so far but after a while  mostly between 15 and 40 seconds GPStest crashes  The time until crash differs from time to time  I ve no clue where it depends on _x000D_
_x000D_
My phone is a Fairphone 3 with Android 10 _x000D_
</t>
  </si>
  <si>
    <t>SirPryderi-open-hosts-editor-2</t>
  </si>
  <si>
    <t>Crash on backup</t>
  </si>
  <si>
    <t xml:space="preserve">User reported a crash when using the backup function _x000D_
_x000D_
Here s the stack trace:_x000D_
_x000D_
   _x000D_
java lang RuntimeException: Failure delivering result ResultInfo who  android:requestPermissions:  request 0  result  1  data Intent   act android content pm action REQUEST PERMISSIONS (has extras)    to activity  me vittorio io openhostseditor me vittorio io openhostseditor activities MainActivity : java lang RuntimeException: Could not create file directory _x000D_
    at android app ActivityThread deliverResults(ActivityThread java:4965)_x000D_
    at android app ActivityThread handleSendResult(ActivityThread java:5006)_x000D_
    at android app servertransaction ActivityResultItem execute(ActivityResultItem java:51)_x000D_
    at android app servertransaction TransactionExecutor executeCallbacks(TransactionExecutor java:135)_x000D_
    at android app servertransaction TransactionExecutor execute(TransactionExecutor java:95)_x000D_
    at android app ActivityThread H handleMessage(ActivityThread java:2068)_x000D_
    at android os Handler dispatchMessage(Handler java:107)_x000D_
    at android os Looper loop(Looper java:224)_x000D_
    at android app ActivityThread main(ActivityThread java:7551)_x000D_
    at java lang reflect Method invoke(Native Method)_x000D_
    at com android internal os RuntimeInit MethodAndArgsCaller run(RuntimeInit java:539)_x000D_
    at com android internal os ZygoteInit main(ZygoteInit java:995)_x000D_
Caused by: java lang RuntimeException: Could not create file directory _x000D_
    at me vittorio io openhostseditor model HostsManager getBackupStorageDirectory(HostsManager java:209)_x000D_
    at me vittorio io openhostseditor model HostsManager saveBackup(HostsManager java:183)_x000D_
    at me vittorio io openhostseditor activities MainActivity onRequestPermissionsResult(MainActivity java:273)_x000D_
    at android app Activity dispatchRequestPermissionsResult(Activity java:8408)_x000D_
    at android app Activity dispatchActivityResult(Activity java:8253)_x000D_
    at android app ActivityThread deliverResults(ActivityThread java:4958)_x000D_
        11 more_x000D_
   </t>
  </si>
  <si>
    <t>TotalCross-totalcross-230</t>
  </si>
  <si>
    <t>Android not running after building from bugfix/xml-encoding branch</t>
  </si>
  <si>
    <t xml:space="preserve">   Android not running after building from bugfix xml encoding_x000D_
Android crashes when trying to launch the application _x000D_
_x000D_
   Describe the bug_x000D_
When trying to open an app using a build from the bugfix xml encoding branch(which does not change the  android build  so it should work the same way the master branch does) the android app crashes after launching it _x000D_
_x000D_
   To Reproduce_x000D_
1  Build the vm on the master branch _x000D_
2  Build an application using this branch _x000D_
3  Try running the application _x000D_
_x000D_
   Expected behavior_x000D_
The application to launch normally _x000D_
_x000D_
   Screenshots or videos_x000D_
  Screenshot 1 (https:  user images githubusercontent com 26353566 102219633 7dc98800 3ebe 11eb 83b1 67abd3572c2e png)_x000D_
_x000D_
_x000D_
   Devices:_x000D_
Please complete the following information:_x000D_
   Device: Motorola Z3 Play_x000D_
   OS: Android_x000D_
   OS Version: 9_x000D_
   TotalCross Version: bugfix xml encoding branch_x000D_
</t>
  </si>
  <si>
    <t>TeamNewPipe-NewPipe-5177</t>
  </si>
  <si>
    <t>Almost every action causes "Sorry, something went wrong. REPORT" to pop up.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</si>
  <si>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Click on literally any youtube video_x000D_
2  Press the play  pause  or full screen button_x000D_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The  Sorry  something went wrong  REPORT  error pops up every time  even though the action completes successfully  _x000D_
_x000D_
_x000D_
_x000D_
    Expected behavior_x000D_
Nothing pops up and the action completes successfully _x000D_
_x000D_
_x000D_
    What I would recommend_x000D_
If this cannot be fixed at least add an option to disable these popups entirely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Exception_x000D_
    User Action:   requested feed_x000D_
    Request:   Loading feed_x000D_
    Content Country:   US_x000D_
    Content Language:   en US_x000D_
    App Language:   en US_x000D_
    Service:   none_x000D_
    Version:   0 20 6_x000D_
    OS:   Linux Android 8 1 0   27_x000D_
 details  summary  b Crash log   b   summary  p _x000D_
_x000D_
   _x000D_
org schabi newpipe local feed service FeedLoadService RequestException: 0:https:  www youtube com channel UCRacuoCHhh2HFs4jOmrfe Q_x000D_
	at org schabi newpipe local feed service FeedLoadService startLoading 7 apply(FeedLoadService kt:224)_x000D_
	at org schabi newpipe local feed service FeedLoadService startLoading 7 apply(FeedLoadService kt:66)_x000D_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Caused by: java lang RuntimeException: org schabi newpipe extractor exceptions ContentNotAvailableException: Got error:  This channel does not exist  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kt:218)_x000D_
	    11 more_x000D_
Caused by: org schabi newpipe extractor exceptions ContentNotAvailableException: Got error:  This channel does not exist  _x000D_
	at org schabi newpipe extractor services youtube YoutubeParsingHelper defaultAlertsCheck(YoutubeParsingHelper java:548)_x000D_
	at org schabi newpipe extractor services youtube extractors YoutubeChannelExtractor onFetchPage(YoutubeChannelExtractor java:108)_x000D_
	at org schabi newpipe extractor Extractor fetchPage(Extractor java:56)_x000D_
	at org schabi newpipe extractor channel ChannelInfo getInfo(ChannelInfo java:47)_x000D_
	at org schabi newpipe util ExtractorHelper lambda getChannelInfo 4(ExtractorHelper java:125)_x000D_
	at org schabi newpipe util    Lambda ExtractorHelper BOLWstv98dC8pFAG uir5gPXYwY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hr _x000D_
_x000D_
_x000D_
_x000D_
     Please fill this out when you do not provide a log generate by NewPipe    _x000D_
_x000D_
    Device info_x000D_
_x000D_
   Android version Custom ROM version:_x000D_
   Device model:_x000D_
</t>
  </si>
  <si>
    <t>nextcloud-android-7669</t>
  </si>
  <si>
    <t>File sharing by Android API crashes on Huawei</t>
  </si>
  <si>
    <t xml:space="preserve">    Steps to reproduce_x000D_
1  Open the share menu of a file (not folder)_x000D_
2  Tap a sharing method provided by Android_x000D_
_x000D_
    Expected behaviour_x000D_
  The Android sharing method should open_x000D_
_x000D_
    Actual behaviour_x000D_
  Nextcloud crashes and shows error log_x000D_
_x000D_
    Environment data_x000D_
Android version: 10_x000D_
_x000D_
Device model: Huawei MAR_x000D_
_x000D_
Stock or customized system: Stock  EMUI 10_x000D_
_x000D_
Nextcloud app version: 3 14 1 F Droid_x000D_
_x000D_
Nextcloud server version: 20 0 2_x000D_
_x000D_
Reverse proxy: Port forwarding only_x000D_
_x000D_
    Logs_x000D_
     Android app log_x000D_
   _x000D_
             CAUSE OF ERROR             _x000D_
_x000D_
android content ActivityNotFoundException: No Activity found to handle Intent   act com huawei intent action hwCHOOSER (has extras)  _x000D_
	at android app Instrumentation checkStartActivityResult(Instrumentation java:2113)_x000D_
	at android app Instrumentation execStartActivity(Instrumentation java:1739)_x000D_
	at android app Activity startActivityForResult(Activity java:5363)_x000D_
	at androidx fragment app FragmentActivity startActivityForResult(FragmentActivity java:675)_x000D_
	at android app Activity startActivityForResult(Activity java:5304)_x000D_
	at androidx fragment app FragmentActivity startActivityForResult(FragmentActivity java:662)_x000D_
	at android app Activity startActivity(Activity java:5734)_x000D_
	at android app Activity startActivity(Activity java:5702)_x000D_
	at com owncloud android ui helpers FileOperationsHelper sendCachedImage(FileOperationsHelper java:737)_x000D_
	at com owncloud android ui dialog SendShareDialog lambda setupSendButtonClickListener 4 SendShareDialog(SendShareDialog java:225)_x000D_
	at com owncloud android ui dialog    Lambda SendShareDialog Sv9AeldJVMwZR3LIfTLmDNSgX2U onClick(Unknown Source:4)_x000D_
	at com owncloud android ui adapter SendButtonAdapter ViewHolder onClick(SendButtonAdapter java:85)_x000D_
	at android view View performClick(View java:7192)_x000D_
	at android view View performClickInternal(View java:7166)_x000D_
	at android view View access 3500(View java:824)_x000D_
	at android view View PerformClick run(View java:27592)_x000D_
	at android os Handler handleCallback(Handler java:888)_x000D_
	at android os Handler dispatchMessage(Handler java:100)_x000D_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_x000D_
             APP INFORMATION             _x000D_
ID: com nextcloud client_x000D_
Version: 30140190_x000D_
Build flavor: generic_x000D_
_x000D_
             DEVICE INFORMATION             _x000D_
Brand: HUAWEI_x000D_
Device: HWMAR_x000D_
Model: MAR AL00_x000D_
Id: HUAWEIMAR AL00_x000D_
Product: MAR AL00_x000D_
_x000D_
             FIRMWARE             _x000D_
SDK: 29_x000D_
Release: 10_x000D_
Incremental: 10 0 0 161C00_x000D_
   _x000D_
_x000D_
    Note_x000D_
Is Huawei just messing up with the Android intent API  Because I can share on another AOSP device without issue </t>
  </si>
  <si>
    <t>MAC10SOFTINC-TinyURL-11</t>
  </si>
  <si>
    <t>App Breaks in Android 11</t>
  </si>
  <si>
    <t>Due to change of SSL Sockets in https:  developer android com about versions 11 non sdk 11_x000D_
_x000D_
   _x000D_
Lcom android org conscrypt OpenSSLSocketImpl   setUseSessionTickets(Z)V     Use android net ssl SSLSockets setUseSessionTickets _x000D_
   _x000D_
_x000D_
OkHttp was breaking which is a dependency of retrofit  Upgrading to OkHttp 4 x fixes the problem  So Upgrading retrofit should fix this issue _x000D_
_x000D_
   _x000D_
              beginning of crash_x000D_
2020 12 15 02:27:21 500 18039 18039 com geekofia tinyurl E AndroidRuntime: FATAL EXCEPTION: main_x000D_
    Process: com geekofia tinyurl  PID: 18039_x000D_
    java lang ExceptionInInitializerError_x000D_
        at okhttp3 internal platform Platform get(Platform java:85)_x000D_
        at okhttp3 OkHttpClient newSslSocketFactory(OkHttpClient java:263)_x000D_
        at okhttp3 OkHttpClient  init (OkHttpClient java:229)_x000D_
        at okhttp3 OkHttpClient  init (OkHttpClient java:202)_x000D_
        at com geekofia tinyurl fragments HomeFragment  init (HomeFragment java:53)_x000D_
        at com geekofia tinyurl activities MainActivity onCreate(MainActivity java:37)_x000D_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java:3422)_x000D_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java:7657)_x000D_
        at java lang reflect Method invoke(Native Method)_x000D_
        at com android internal os RuntimeInit MethodAndArgsCaller run(RuntimeInit java:594)_x000D_
        at com android internal os ZygoteInit main(ZygoteInit java:947)_x000D_
     Caused by: java lang IllegalStateException: Expected Android API level 21  but was 30_x000D_
        at okhttp3 internal platform AndroidPlatform buildIfSupported(AndroidPlatform java:238)_x000D_
        at okhttp3 internal platform Platform findPlatform(Platform java:202)_x000D_
        at okhttp3 internal platform Platform  clinit (Platform java:79)_x000D_
        at okhttp3 internal platform Platform get(Platform java:85) _x000D_
        at okhttp3 OkHttpClient newSslSocketFactory(OkHttpClient java:263) _x000D_
        at okhttp3 OkHttpClient  init (OkHttpClient java:229) _x000D_
        at okhttp3 OkHttpClient  init (OkHttpClient java:202) _x000D_
        at com geekofia tinyurl fragments HomeFragment  init (HomeFragment java:53) _x000D_
        at com geekofia tinyurl activities MainActivity onCreate(MainActivity java:37) _x000D_
        at android app Activity performCreate(Activity java:8000) _x000D_
        at android app Activity performCreate(Activity java:7984) _x000D_
        at android app Instrumentation callActivityOnCreate(Instrumentation java:1309) _x000D_
        at android app ActivityThread performLaunchActivity(ActivityThread java:3422) _x000D_
        at android app ActivityThread handleLaunchActivity(ActivityThread java:3601) _x000D_
        at android app servertransaction LaunchActivityItem execute(LaunchActivityItem java:85) _x000D_
        at android app servertransaction TransactionExecutor executeCallbacks(TransactionExecutor java:135) _x000D_
        at android app servertransaction TransactionExecutor execute(TransactionExecutor java:95) _x000D_
        at android app ActivityThread H handleMessage(ActivityThread java:2066) _x000D_
        at android os Handler dispatchMessage(Handler java:106) _x000D_
        at android os Looper loop(Looper java:223) _x000D_
        at android app ActivityThread main(ActivityThread java:7657) _x000D_
        at java lang reflect Method invoke(Native Method) _x000D_
        at com android internal os RuntimeInit MethodAndArgsCaller run(RuntimeInit java:594) _x000D_
        at com android internal os ZygoteInit main(ZygoteInit java:947) _x000D_
_x000D_
   _x000D_
_x000D_
Bug reported by  IanPalmer</t>
  </si>
  <si>
    <t>inaturalist-iNaturalistAndroid-949</t>
  </si>
  <si>
    <t>NullPointerException in LocationChooserActivity.updateLocationBasedOnMap</t>
  </si>
  <si>
    <t xml:space="preserve">https:  console firebase google com u 2 project inaturalist ios crashlytics app android:org inaturalist android issues 1d447636be2ba6e61d4ecf3f3d2af1fa_x000D_
_x000D_
   _x000D_
Fatal Exception: java lang NullPointerException: Attempt to invoke virtual method  com google android gms maps Projection com google android gms maps GoogleMap getProjection()  on a null object reference_x000D_
       at org inaturalist android LocationChooserActivity updateLocationBasedOnMap(LocationChooserActivity java:722)_x000D_
       at org inaturalist android LocationChooserActivity onOptionsItemSelected(LocationChooserActivity java:750)_x000D_
       at android app Activity onMenuItemSelected(Activity java:4290)_x000D_
       at androidx fragment app FragmentActivity onMenuItemSelected(FragmentActivity java:384)_x000D_
       at androidx appcompat app AppCompatActivity onMenuItemSelected(AppCompatActivity java:219)_x000D_
       at androidx appcompat view WindowCallbackWrapper onMenuItemSelected(WindowCallbackWrapper java:109)_x000D_
       at androidx appcompat app AppCompatDelegateImpl onMenuItemSelected(AppCompatDelegateImpl java:1030)_x000D_
       at androidx appcompat view menu MenuBuilder dispatchMenuItemSelected(MenuBuilder java:840)_x000D_
       at androidx appcompat view menu MenuItemImpl invoke(MenuItemImpl java:158)_x000D_
       at androidx appcompat view menu MenuBuilder performItemAction(MenuBuilder java:991)_x000D_
       at androidx appcompat view menu MenuBuilder performItemAction(MenuBuilder java:981)_x000D_
   </t>
  </si>
  <si>
    <t>inaturalist-iNaturalistAndroid-948</t>
  </si>
  <si>
    <t>radius is negative in ActivityHelper.addCircle</t>
  </si>
  <si>
    <t xml:space="preserve">https:  console firebase google com u 2 project inaturalist ios crashlytics app android:org inaturalist android issues 9395ea013c64ea45fc4ea031b4c9c0d5_x000D_
_x000D_
   _x000D_
Fatal Exception: java lang IllegalArgumentException: radius is negative_x000D_
       at com google maps api android lib6 common m g(m java)_x000D_
       at com google maps api android lib6 impl ao  init (ao java:3)_x000D_
       at com google maps api android lib6 impl bm z(bm java:1)_x000D_
       at com google android gms maps internal i aX(i java:102)_x000D_
       at ds onTransact(ds java:4)_x000D_
       at android os Binder transact(Binder java:921)_x000D_
       at com google android gms internal maps zza zza(zza java:10)_x000D_
       at com google android gms maps internal zzg addCircle(zzg java:174)_x000D_
       at com google android gms maps GoogleMap addCircle(GoogleMap java:45)_x000D_
       at org inaturalist android ActivityHelper addCircle(ActivityHelper java:357)_x000D_
       at org inaturalist android ActivityHelper addMapPosition(ActivityHelper java:413)_x000D_
       at org inaturalist android ActivityHelper addMapPosition(ActivityHelper java:374)_x000D_
       at org inaturalist android ActivityHelper addMapPosition(ActivityHelper java:370)_x000D_
       at org inaturalist android ObservationViewerActivity setupMap(ObservationViewerActivity java:1479)_x000D_
       at org inaturalist android ObservationViewerActivity access 900(ObservationViewerActivity java:118)_x000D_
       at org inaturalist android ObservationViewerActivity ObservationReceiver onReceive(ObservationViewerActivity java:2690)_x000D_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java:107)_x000D_
       at android os Looper loop(Looper java:213)_x000D_
       at android app ActivityThread main(ActivityThread java:8178)_x000D_
       at java lang reflect Method invoke(Method java)_x000D_
       at com android internal os RuntimeInit MethodAndArgsCaller run(RuntimeInit java:513)_x000D_
       at com android internal os ZygoteInit main(ZygoteInit java:1101)_x000D_
   </t>
  </si>
  <si>
    <t>TeamNewPipe-NewPipe-5175</t>
  </si>
  <si>
    <t>Peertube instance crash when play video</t>
  </si>
  <si>
    <t xml:space="preserve">_x000D_
    Steps to reproduce the bug_x000D_
1  Go to  peerlab tab_x000D_
2  add https:  diode zone_x000D_
3  Try to play a video_x000D_
_x000D_
_x000D_
    Actual behaviour_x000D_
Video crash when loading a video on that instance and on framatube it plays good_x000D_
_x000D_
    Expected behavior_x000D_
     Tell us what you expect to happen     _x000D_
Videos to play like in framatube instance_x000D_
_x000D_
_x000D_
_x000D_
    Logs_x000D_
If your bug includes a crash (where you re shown the Error Report page with a bunch of info)  tap on  Copy formatted report  at the bottom and paste it here: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java:117)_x000D_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_x000D_
    Device info_x000D_
_x000D_
   Android version Custom ROM version: Android 10 _x000D_
   Device model: Samsung S7_x000D_
</t>
  </si>
  <si>
    <t>Anuken-Mindustry-3981</t>
  </si>
  <si>
    <t>The build menu goes wide</t>
  </si>
  <si>
    <t xml:space="preserve">  Platform  :  Android iOS Mac Windows Linux _x000D_
_x000D_
windows 10_x000D_
_x000D_
  Build  :  The build number under the title in the main menu  Required   LATEST  IS NOT A VERSION  I NEED THE EXACT BUILD NUMBER OF YOUR GAME  _x000D_
_x000D_
121 2_x000D_
_x000D_
  Issue  :  Explain your issue in detail  _x000D_
_x000D_
the build menu breaks when block consumes a lot of items_x000D_
_x000D_
  Steps to reproduce  :  How you happened across the issue  and what exactly you did to make the bug happen  _x000D_
_x000D_
1  make mod_x000D_
2  make new block_x000D_
3  make it consume a lot of items_x000D_
4  hover over it_x000D_
5  report this absolutely gamebreaking bug_x000D_
  javaw 6uKil9Uslp (https:  user images githubusercontent com 59574967 102141499 f5bd9100 3e71 11eb 9032 73c188ef436b png)_x000D_
_x000D_
_x000D_
  Link(s) to mod(s) used  :  The mod repositories or zip files that are related to the issue  if applicable  _x000D_
_x000D_
here is an example mod: _x000D_
 h zip (https:  github com Anuken Mindustry files 5691890 h zip)_x000D_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(do i really have to put this  it s an ui bug and not something related to the save)_x000D_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no crashes_x000D_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</si>
  <si>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Anuken-Mindustry-3979</t>
  </si>
  <si>
    <t>poly buildn't</t>
  </si>
  <si>
    <t xml:space="preserve">  Platform  :  Android iOS Mac Windows Linux _x000D_
smart fridge_x000D_
(android)_x000D_
  Build  :  The build number under the title in the main menu  Required   LATEST  IS NOT A VERSION  I NEED THE EXACT BUILD NUMBER OF YOUR GAME   121 2_x000D_
_x000D_
  Issue  :  Explain your issue in detail  _x000D_
Poly is not building a block when it s bound to a logic processor that tells it to build there _x000D_
I only have 1 (one) poly _x000D_
  Steps to reproduce  :  How you happened across the issue  and what exactly you did to make the bug happen   I placed a logic schematic that simply builds a conveyor in a specific location  the location was completely unblocked  maybe I m just bad at logic ok_x000D_
the logic i made was_x000D_
ubind  poly_x000D_
ucontrol build 136 34  conveyor 1 0_x000D_
  no mods  _x000D_
_x000D_
  Save file  :    The (zipped) save file you were playing on when the bug happened  THIS IS REQUIRED FOR ANY ISSUE HAPPENING IN GAME OR IN MULTIPLAYER  REGARDLESS OF WHETHER YOU THINK IT HAPPENS EVERYWHERE  DO NOT DELETE OR OMIT THIS LINE UNLESS YOU ARE SURE _x000D_
 bug report zip (https:  github com Anuken Mindustry files 5690971 bug report zip)_x000D_
I made the logic on Ancient Caldera_x000D_
_x000D_
_x000D_
If you remove the line above without reading it properly and understanding what it means  I will force you to eat a roomba  Even if you re a gamer like Karma999 is you still have to eat a roomba whole _x000D_
_x000D_
  (Crash) logs  :  Either the logs from a crash or logs you re supposed to crash into_x000D_
_x000D_
   _x000D_
_x000D_
 Place an X (no spaces) between the brackets to confirm that you have read the line below    _x000D_
   X    I have updated to the latest release (https:  github com Anuken Mindustry releases) to make sure my issue has not been fixed   _x000D_
   X    I have NOT searched the closed and open issues to make sure that this problem has not already been reported   _x000D_
</t>
  </si>
  <si>
    <t>MuntashirAkon-AppManager-189</t>
  </si>
  <si>
    <t>Crash when exiting the "Deny app ops" menu while the purple progress bar is still visible</t>
  </si>
  <si>
    <t xml:space="preserve">I have noticed that there is still a crash when exiting the  Deny app ops  menu while the app is compiling the list of affected apps (also with a purple progress bar) _x000D_
_x000D_
To reproduce:_x000D_
_x000D_
1) Have the app run in ADB mode_x000D_
2) Menu   1 Click Ops   Deny app ops   _x000D_
3) Enter a value like 63 and click  search _x000D_
4) Now press back while the purple progress bar is visible _x000D_
5) Now you will return back to the app list _x000D_
6) Wait a little bit and AppManager will crash _x000D_
_x000D_
Debug Build: 2 5 20 DEBUG 578_x000D_
Crash Log from my Pixel 3a: https:  pastebin com sN4tqnMh_x000D_
LogCat: https:  pastebin com RiVnrfEb_x000D_
_x000D_
 Originally posted by  k9janer in https:  github com MuntashirAkon AppManager issues 135 issuecomment 744596473 </t>
  </si>
  <si>
    <t>Anuken-Mindustry-3976</t>
  </si>
  <si>
    <t>Sprites of research items smaller than usual</t>
  </si>
  <si>
    <t xml:space="preserve">  Platform  :  Android iOS Mac Windows Linux _x000D_
_x000D_
Windows_x000D_
_x000D_
  Build  :  The build number under the title in the main menu  Required   LATEST  IS NOT A VERSION  I NEED THE EXACT BUILD NUMBER OF YOUR GAME  _x000D_
_x000D_
121 2_x000D_
_x000D_
  Issue  :  Explain your issue in detail  _x000D_
_x000D_
When you unlock something new that you can research on the campaign  the sprite is smaller than usual  and is only fixed by a restart_x000D_
_x000D_
  Steps to reproduce  :  How you happened across the issue  and what exactly you did to make the bug happen  _x000D_
_x000D_
Open up a campaign  research something and observe the sprite of any new researchable blocks units_x000D_
_x000D_
EDIT: It appears to only work with units_x000D_
_x000D_
  Link(s) to mod(s) used  :  The mod repositories or zip files that are related to the issue  if applicable  _x000D_
_x000D_
N 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savefile zip (https:  github com Anuken Mindustry files 5689485 savefile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 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</si>
  <si>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square-okhttp-6473</t>
  </si>
  <si>
    <t>java.lang.ExceptionInInitializerError</t>
  </si>
  <si>
    <t>version okhttp    4 8 1 _x000D_
version retrofit    2 9 0 _x000D_
Device: samsung Galaxy S10_x000D_
android version: 10 0_x000D_
_x000D_
When attempting to run the app in Android 10  the app immediately crashes with the following exception:_x000D_
_x000D_
Fatal Exception: java lang ExceptionInInitializerError_x000D_
okhttp3 HttpUrl Builder parse okhttp (HttpUrl kt:1239)_x000D_
okhttp3 HttpUrl Companion get (HttpUrl kt:1633)_x000D_
okhttp3 HttpUrl Companion parse (HttpUrl kt:1642)_x000D_
okhttp3 HttpUrl parse (Unknown Source:2)_x000D_
com android papershiftstempeluhr di modules ApiModule  clinit  (ApiModule java:56)_x000D_
com android papershiftstempeluhr common ClockApp createAppComponent (ClockApp kt:74)_x000D_
com android papershiftstempeluhr common ClockApp onCreate (ClockApp kt:49)_x000D_
android app Instrumentation callApplicationOnCreate (Instrumentation java:1190)_x000D_
android app ActivityThread handleMakeApplication (ActivityThread java:7184)_x000D_
android app ActivityThread handleBindApplication (ActivityThread java:7134)_x000D_
android app ActivityThread access 1600 (ActivityThread java:274)_x000D_
android app ActivityThread H handleMessage (ActivityThread java:2102)_x000D_
android os Handler dispatchMessage (Handler java:107)_x000D_
android os Looper loop (Looper java:237)_x000D_
android app ActivityThread main (ActivityThread java:8167)_x000D_
java lang reflect Method invoke (Method java)_x000D_
com android internal os RuntimeInit MethodAndArgsCaller run (RuntimeInit java:496)_x000D_
com android internal os ZygoteInit main (ZygoteInit java:1100)_x000D_
okio Buffer readInt (Buffer kt:1150)_x000D_
okio Options Companion of (Options kt:77)_x000D_
okhttp3 internal Util  clinit  (Util kt:72)_x000D_
okhttp3 HttpUrl Builder parse okhttp (HttpUrl kt:1239)_x000D_
okhttp3 HttpUrl Companion get (HttpUrl kt:1633)_x000D_
okhttp3 HttpUrl Companion parse (HttpUrl kt:1642)_x000D_
okhttp3 HttpUrl parse (Unknown Source:2)_x000D_
com android papershiftstempeluhr di modules ApiModule  clinit  (ApiModule java:56)_x000D_
com android papershiftstempeluhr common ClockApp createAppComponent (ClockApp kt:74)_x000D_
com android papershiftstempeluhr common ClockApp onCreate (ClockApp kt:49)_x000D_
android app Instrumentation callApplicationOnCreate (Instrumentation java:1190)_x000D_
android app ActivityThread handleMakeApplication (ActivityThread java:7184)_x000D_
android app ActivityThread handleBindApplication (ActivityThread java:7134)_x000D_
android app ActivityThread access 1600 (ActivityThread java:274)_x000D_
android app ActivityThread H handleMessage (ActivityThread java:2102)_x000D_
android os Handler dispatchMessage (Handler java:107)_x000D_
android os Looper loop (Looper java:237)_x000D_
android app ActivityThread main (ActivityThread java:8167)_x000D_
java lang reflect Method invoke (Method java)_x000D_
com android internal os RuntimeInit MethodAndArgsCaller run (RuntimeInit java:496)_x000D_
com android internal os ZygoteInit main (ZygoteInit java:1100)</t>
  </si>
  <si>
    <t>TeamNewPipe-NewPipe-5170</t>
  </si>
  <si>
    <t>Comment Error Still there in the new one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</si>
  <si>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Exception_x000D_
    User Action:   requested feed_x000D_
    Request:   Loading feed_x000D_
    Content Country:   GB_x000D_
    Content Language:   en GB_x000D_
    App Language:   en GB_x000D_
    Service:   none_x000D_
    Version:   0 20 6_x000D_
    OS:   Linux Android 7 1 1   25_x000D_
 details  summary  b Crash log   b   summary  p _x000D_
_x000D_
   _x000D_
org schabi newpipe local feed service FeedLoadService RequestException: 0:https:  www youtube com channel UCs6KfncB4OV6Vug4o bzijg_x000D_
	at org schabi newpipe local feed service FeedLoadService startLoading 7 apply(FeedLoadService kt:224)_x000D_
	at org schabi newpipe local feed service FeedLoadService startLoading 7 apply(FeedLoadService kt:66)_x000D_
	at io reactivex rxjava3 internal operators parallel ParallelMap ParallelMapSubscriber onNext(ParallelMap java:114)_x000D_
	at io reactivex rxjava3 internal operators parallel ParallelFilter ParallelFilterSubscriber tryOnNext(ParallelFilter java:130)_x000D_
	at io reactivex rxjava3 internal operators parallel ParallelRunOn RunOnConditionalSubscriber run(ParallelRunOn java:397)_x000D_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java lang RuntimeException: org schabi newpipe extractor exceptions ParsingException: Could not get channel id_x000D_
	at io reactivex rxjava3 internal util ExceptionHelper wrapOrThrow(ExceptionHelper java:46)_x000D_
	at io reactivex rxjava3 internal observers BlockingMultiObserver blockingGet(BlockingMultiObserver java:94)_x000D_
	at io reactivex rxjava3 core Single blockingGet(Single java:3645)_x000D_
	at org schabi newpipe local feed service FeedLoadService startLoading 7 apply(FeedLoadService kt:218)_x000D_
	    11 more_x000D_
Caused by: org schabi newpipe extractor exceptions ParsingException: Could not get channel id_x000D_
	at org schabi newpipe extractor services youtube extractors YoutubeChannelExtractor getId(YoutubeChannelExtractor java:132)_x000D_
	at org schabi newpipe extractor channel ChannelInfo getInfo(ChannelInfo java:60)_x000D_
	at org schabi newpipe extractor channel ChannelInfo getInfo(ChannelInfo java:48)_x000D_
	at org schabi newpipe util ExtractorHelper lambda getChannelInfo 4(ExtractorHelper java:125)_x000D_
	at org schabi newpipe util    Lambda ExtractorHelper BOLWstv98dC8pFAG uir5gPXYwY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core Single blockingGet(Single java:3644)_x000D_
	    12 more_x000D_
_x000D_
   _x000D_
  details _x000D_
 hr _x000D_
_x000D_
</t>
  </si>
  <si>
    <t>TeamNewPipe-NewPipe-5169</t>
  </si>
  <si>
    <t>Strange behavior after deleting all (partially) watched videos in playlists</t>
  </si>
  <si>
    <t xml:space="preserve">    Checklist_x000D_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Create a playlist with some (partially) watched videos and not watched ones _x000D_
2  Open the options menu on the top and choose  Yes and partially watched videos  (third option)_x000D_
_x000D_
3a  Start to play one video _x000D_
3b  Open the options menu and choose  Yes  (first option)_x000D_
 _x000D_
    Actual behaviour_x000D_
     Tell us what happens with the steps given above     _x000D_
_x000D_
After 3a: The video is removed from the list immediately and all items are updating very often _x000D_
After 3b: The old items are appearing again (even if the optiion says  it can t be undone xD)_x000D_
_x000D_
    Expected behavior_x000D_
     Tell us what you expect to happen     _x000D_
_x000D_
3a: The video should not disappear deleted from list _x000D_
3b: The videos shouldn t re appear again (in this case there shouldn t be any difference after third option action)_x000D_
_x000D_
    Screenshots Screen recordings_x000D_
 img src  https:  user images githubusercontent com 6626210 102079391 e6582c80 3e0c 11eb 8e53 d3d1a17051d3 gif  width  350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(LineageOS 17 1)_x000D_
   Device model: S4_x000D_
_x000D_
     PS:_x000D_
I ve already looked into it a little bit and one reason could be that the remove action doesn t delete items from the database and _x000D_
which is the reason for 3b (after deleting only references instead of the actual items from the database  another loading from the table will load the old list) _x000D_
_x000D_
You can assign me to this issue   opusforlife2   but I can already tell that there might be some structure changes </t>
  </si>
  <si>
    <t>dimagi-commcare-android-2420</t>
  </si>
  <si>
    <t>Bug Fix: XpathException in End of Form linking crashes CommCare</t>
  </si>
  <si>
    <t xml:space="preserve">In case End of form stack ops fails due to an Xpath error   it crashes the app today  _x000D_
Eg   _x000D_
    _x000D_
Caused by: org javarosa xpath XPathException: Cannot evaluate the reference   true  in the current evaluation context  No default instance has been declared _x000D_
        at org javarosa xpath expr XPathPathExpr evalRaw(XPathPathExpr java:210)_x000D_
        at org javarosa xpath expr XPathPathExpr evalRaw(XPathPathExpr java:41)_x000D_
        at org javarosa xpath expr XPathExpression eval(XPathExpression java:45)_x000D_
        at org javarosa xpath expr XPathExpression eval(XPathExpression java:24)_x000D_
        at org commcare suite model StackOperation isOperationTriggered(StackOperation java:83)_x000D_
        at org commcare session CommCareSession createFrame(CommCareSession java:671)_x000D_
        at org commcare session CommCareSession processStackOp(CommCareSession java:652)_x000D_
        at org commcare session CommCareSession executeStackOperations(CommCareSession java:634)_x000D_
        at org commcare session CommCareSession finishExecuteAndPop(CommCareSession java:791)_x000D_
        at org commcare models AndroidSessionWrapper terminateSession(AndroidSessionWrapper java:338)_x000D_
        at org commcare activities HomeScreenBaseActivity processReturnFromFormEntry(HomeScreenBaseActivity java:844)_x000D_
        at org commcare activities HomeScreenBaseActivity onActivityResultSessionSafe(HomeScreenBaseActivity java:593)_x000D_
        at org commcare activities SessionAwareHelper onActivityResultHelper(SessionAwareHelper java:49)_x000D_
        at org commcare activities SessionAwareCommCareActivity onActivityResult(SessionAwareCommCareActivity java:39)_x000D_
    </t>
  </si>
  <si>
    <t>Anuken-Mindustry-3975</t>
  </si>
  <si>
    <t>Game crashed</t>
  </si>
  <si>
    <t xml:space="preserve">  Platform  :  Android iOS Mac Windows Linux _x000D_
Mac_x000D_
  Build  :  The build number under the title in the main menu  Required   LATEST  IS NOT A VERSION  I NEED THE EXACT BUILD NUMBER OF YOUR GAME  _x000D_
121 2_x000D_
  Issue  :  Explain your issue in detail  _x000D_
My game crashed  apparently while loading a dialog_x000D_
 Steps to reproduce  :  How you happened across the issue  and what exactly you did to make the bug happen  _x000D_
Apparently  I came across this issue while Mindustry was at mindustry ui dialogs PlanetDialog playSelected(PlanetDialog java:800)_x000D_
  Link(s) to mod(s) used  :  The mod repositories or zip files that are related to the issue  if applicable  _x000D_
3 Mods: dev mode:2 3 1  rtfm:2 12 2  ui lib:2 16 4_x000D_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save zip (https:  github com Anuken Mindustry files 5687944 save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crash report 12 14 2020 16 57 29 txt (https:  github com Anuken Mindustry files 5687930 crash report 12 14 2020 16 57 29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</si>
  <si>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TeamNewPipe-NewPipe-5168</t>
  </si>
  <si>
    <t>Newpipe 0.20.6 Wifi switches off on Standby Lineageos 17.1</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</si>
  <si>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I Play Music with Newpipe and Switch it to Background Mode_x000D_
2  Disable the Display  _x000D_
3  It works for a while and then Music stopps playing _x000D_
4  It restarts after i re enabling the Display and klick on the Sandbox in the middle of the Display _x000D_
5  At the same time i click on the Sandbox Wifi re connects _x000D_
_x000D_
     If you can t cause the bug to show up again reliably (and hence don t have a proper set of steps to give us)  please still try to give as many details as possible on how you think you encountered the bug     _x000D_
_x000D_
_x000D_
_x000D_
    Actual behaviour_x000D_
I have issues with Wifi disconnects with Newpipe 0 20 6 and Lineageos 17 1 20201213 nightly klte on my Samsung Galaxy S5 KLTE SM G900F _x000D_
_x000D_
I think it s a problem with Wifi Standby  _x000D_
_x000D_
I don t know it s a Newpipe or a Lineageos issue    _x000D_
_x000D_
_x000D_
    Expected behavior_x000D_
No disconnects if Newpipe is in Background Mode and Display is off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Lineageos 17 1 (2020 12 13) Build: lineage klte userdebug 10 QQ3A  200805 001 25275b4a08_x000D_
   Device model: Galaxy S5 SM G900F_x000D_
</t>
  </si>
  <si>
    <t>Anuken-Mindustry-3972</t>
  </si>
  <si>
    <t>Crash on selecting launch pad location</t>
  </si>
  <si>
    <t xml:space="preserve">  Platform  :  Windows _x000D_
_x000D_
  Build  :  121 2 _x000D_
_x000D_
  Issue  :  When selecting the destination for a launch pad  if another pad has been set  opening the selection screen will display as if the previously selected location is selected  so clicking the Set Destination button should select it  but instead crashes the game  For example  I was on Tar Fields  and set one of three launch pads to send materials to Overgrowth  I then selected another launch pad  and when opening the selection screen it  the sector to target was Overgrowth  When I clicked the set destination button  the game crashed  _x000D_
_x000D_
  Steps to reproduce  :  Open the select sector UI of a launch pad  and select any sector  Open the UI again  and click the select sector button again  without first clicking a sector  and the game will crash _x000D_
_x000D_
  Link(s) to mod(s) used  :  N A _x000D_
_x000D_
  Save file  : _x000D_
 MindustrySaveBackup4 zip (https:  github com Anuken Mindustry files 5686296 MindustrySaveBackup4 zip)_x000D_
_x000D_
_x000D_
  (Crash) logs  : _x000D_
 crash report 12 14 2020 14 19 41 txt (https:  github com Anuken Mindustry files 5686292 crash report 12 14 2020 14 19 41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</si>
  <si>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TeamNewPipe-NewPipe-5166</t>
  </si>
  <si>
    <t>Playing any video causes app failure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</si>
  <si>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any video_x000D_
2  Get error report_x000D_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Try to open video  it takes a second  then app errors out_x000D_
_x000D_
_x000D_
    Expected behavior_x000D_
     Tell us what you expect to happen     _x000D_
Videos played fine on previous version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requested stream_x000D_
    Request:   https:  www youtube com watch v lZLE6zB uuI_x000D_
    Content Country:   US_x000D_
    Content Language:   en US_x000D_
    App Language:   en US_x000D_
    Service:   YouTube_x000D_
    Version:   0 20 1_x000D_
    OS:   Linux samsung y2quew y2q:10 QP1A 190711 020 G986U1UEU1BTIF:user release keys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That s right  here     _x000D_
_x000D_
_x000D_
_x000D_
     Please fill this out when you do not provide a log generate by NewPipe    _x000D_
_x000D_
    Device info_x000D_
_x000D_
   Android version Custom ROM version: Android 10   OneUI 2 5_x000D_
   Device model: G986U1 (Galaxy S20  5G)_x000D_
</t>
  </si>
  <si>
    <t>Anuken-Mindustry-3969</t>
  </si>
  <si>
    <t>units that can boost under command will glitch out when landing on wall</t>
  </si>
  <si>
    <t xml:space="preserve">  Platform  :  Android iOS Mac Windows Linux _x000D_
_x000D_
i use epic linucks_x000D_
_x000D_
  Build  :  The build number under the title in the main menu  Required   LATEST  IS NOT A VERSION  I NEED THE EXACT BUILD NUMBER OF YOUR GAME   _x000D_
_x000D_
121 2_x000D_
_x000D_
  Issue  :  Explain your issue in detail  _x000D_
_x000D_
the quasar (pretty sure it works with anything that can boost) starts trying to land on the wall and teleporting up  looks pretty wacky _x000D_
 video (https:  drive google com file d 14EgczfYhK2jLiFnK97IRamlFk6UiKoba view usp sharing)_x000D_
_x000D_
  Steps to reproduce  :  How you happened across the issue  and what exactly you did to make the bug happen  _x000D_
_x000D_
1  take control of many quasar_x000D_
2  press G_x000D_
3  fly on wall and land_x000D_
_x000D_
  Link(s) to mod(s) used  :  The mod repositories or zip files that are related to the issue  if applicable   _x000D_
not applicable_x000D_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not applicable_x000D_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not applicable_x000D_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</si>
  <si>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nextcloud-android-7658</t>
  </si>
  <si>
    <t>android client crash</t>
  </si>
  <si>
    <t xml:space="preserve">    Steps to reproduce_x000D_
1  Clicking on a file marked with a red icon_x000D_
2  _x000D_
3  _x000D_
_x000D_
    Expected behaviour_x000D_
  Tell us what should happen_x000D_
Should download the file_x000D_
_x000D_
    Actual behaviour_x000D_
  Tell us what happens_x000D_
Client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CAUSE OF ERROR             _x000D_
_x000D_
java lang RuntimeException: Unable to start service com nextcloud client media PlayerService ab09c62 with Intent   act PLAY cmp com nextcloud client  media PlayerService (has extras)  : java io FileNotFoundException:  storage emulated 0 Android media com nextcloud client nextcloud ocrampal cloud splindex com: open failed: EISDIR (Is a directory)_x000D_
	at android app ActivityThread handleServiceArgs(ActivityThread java:4166)_x000D_
	at android app ActivityThread access 1900(ActivityThread java:224)_x000D_
	at android app ActivityThread H handleMessage(ActivityThread java:1919)_x000D_
	at android os Handler dispatchMessage(Handler java:107)_x000D_
	at android os Looper loop(Looper java:224)_x000D_
	at android app ActivityThread main(ActivityThread java:7562)_x000D_
	at java lang reflect Method invoke(Native Method)_x000D_
	at com android internal os RuntimeInit MethodAndArgsCaller run(RuntimeInit java:539)_x000D_
	at com android internal os ZygoteInit main(ZygoteInit java:950)_x000D_
Caused by: java io FileNotFoundException:  storage emulated 0 Android media com nextcloud client nextcloud ocrampal cloud splindex com: open failed: EISDIR (Is a directory)_x000D_
	at libcore io IoBridge open(IoBridge java:496)_x000D_
	at java io FileInputStream  init (FileInputStream java:159)_x000D_
	at android media MediaPlayer setDataSource(MediaPlayer java:1235)_x000D_
	at android media MediaPlayer setDataSource(MediaPlayer java:1213)_x000D_
	at android media MediaPlayer setDataSource(MediaPlayer java:1178)_x000D_
	at com nextcloud client media Player delegate 1 onPrepare(Player kt:113)_x000D_
	at com nextcloud client media PlayerStateMachine 11 invoke(PlayerStateMachine kt:157)_x000D_
	at com nextcloud client media PlayerStateMachine 11 invoke(PlayerStateMachine kt:69)_x000D_
	at com nextcloud client media PlayerStateMachine sam com github oxo42 stateless4j delegates Action 0 doIt(Unknown Source:2)_x000D_
	at com github oxo42 stateless4j StateConfiguration 6 doIt(StateConfiguration java:284)_x000D_
	at com github oxo42 stateless4j StateConfiguration 6 doIt(StateConfiguration java:281)_x000D_
	at com github oxo42 stateless4j StateConfiguration 7 doIt(StateConfiguration java:300)_x000D_
	at com github oxo42 stateless4j StateConfiguration 7 doIt(StateConfiguration java:297)_x000D_
	at com github oxo42 stateless4j StateRepresentation executeEntryActions(StateRepresentation java:122)_x000D_
	at com github oxo42 stateless4j StateRepresentation enter(StateRepresentation java:101)_x000D_
	at com github oxo42 stateless4j StateMachine publicFire(StateMachine java:225)_x000D_
	at com github oxo42 stateless4j StateMachine fire(StateMachine java:145)_x000D_
	at com nextcloud client media PlayerStateMachine immediateTransition(PlayerStateMachine kt:191)_x000D_
	at com nextcloud client media PlayerStateMachine access immediateTransition(PlayerStateMachine kt:69)_x000D_
	at com nextcloud client media PlayerStateMachine 7 invoke(PlayerStateMachine kt:146)_x000D_
	at com nextcloud client media PlayerStateMachine 7 invoke(PlayerStateMachine kt:69)_x000D_
	at com nextcloud client media PlayerStateMachine sam com github oxo42 stateless4j delegates Action 0 doIt(Unknown Source:2)_x000D_
	at com github oxo42 stateless4j StateConfiguration 6 doIt(StateConfiguration java:284)_x000D_
	at com github oxo42 stateless4j StateConfiguration 6 doIt(StateConfiguration java:281)_x000D_
	at com github oxo42 stateless4j StateConfiguration 7 doIt(StateConfiguration java:300)_x000D_
	at com github oxo42 stateless4j StateConfiguration 7 doIt(StateConfiguration java:297)_x000D_
	at com github oxo42 stateless4j StateRepresentation executeEntryActions(StateRepresentation java:122)_x000D_
	at com github oxo42 stateless4j StateRepresentation enter(StateRepresentation java:101)_x000D_
	at com github oxo42 stateless4j StateMachine publicFire(StateMachine java:225)_x000D_
	at com github oxo42 stateless4j StateMachine fire(StateMachine java:145)_x000D_
	at com nextcloud client media PlayerStateMachine post(PlayerStateMachine kt:224)_x000D_
	at com nextcloud client media Player play(Player kt:187)_x000D_
	at com nextcloud client media PlayerService onActionPlay(PlayerService kt:145)_x000D_
	at com nextcloud client media PlayerService onStartCommand(PlayerService kt:123)_x000D_
	at android app ActivityThread handleServiceArgs(ActivityThread java:4145)_x000D_
	    8 more_x000D_
Caused by: android system ErrnoException: open failed: EISDIR (Is a directory)_x000D_
	at libcore io IoBridge open(IoBridge java:486)_x000D_
	    42 more_x000D_
_x000D_
             APP INFORMATION             _x000D_
ID: com nextcloud client_x000D_
Version: 30140190_x000D_
Build flavor: gplay_x000D_
_x000D_
             DEVICE INFORMATION             _x000D_
Brand: Xiaomi_x000D_
Device: nitrogen_x000D_
Model: MI MAX 3_x000D_
Id: QKQ1 190910 002_x000D_
Product: nitrogen_x000D_
_x000D_
             FIRMWARE             _x000D_
SDK: 29_x000D_
Release: 10_x000D_
Incremental: V12 0 1 0 QEDMIXM_x000D_
_x000D_
  NOTE:   Be super sure to remove sensitive data like passwords  note that everybody can look here  You can use the Issue Template application to prefill some of the required information: https:  apps nextcloud com apps issuetemplate_x000D_
</t>
  </si>
  <si>
    <t>PojavLauncherTeam-PojavLauncher-489</t>
  </si>
  <si>
    <t xml:space="preserve">[BUG]forge1.14.4+ Initiating crash </t>
  </si>
  <si>
    <t xml:space="preserve">          beggining with launcher debug_x000D_
Info: LWJGL3 directory:  lwjgl jemalloc jar  lwjgl opengl jar  lwjgl jar  lwjgl glfw classes jar z  lwjgl glfw classes jar  lwjgl tinyfd jar  lwjgl openal jar  version  lwjgl stb jar  jsr305 jar _x000D_
Architecture: arm64 aarch64_x000D_
Info: Custom Java arguments:   Xms512m  Xmx2048m  XX: UnlockExperimentalVMOptions  XX: UseG1GC  XX:G1NewSizePercent 20  XX:G1ReservePercent 20  XX:MaxGCPauseMillis 50  XX:G1HeapRegionSize 32M _x000D_
          beginning of crash_x000D_
          beginning of main_x000D_
S jrelog  (10163): WARNING: linker: _x000D_
S jrelog  (10163): Warning:  _x000D_
S jrelog  (10163):  data data net kdt pojavlaunch jre runtime lib aarch64 jli libjli so_x000D_
S jrelog  (10163):   unused DT entry: _x000D_
S jrelog  (10163): DT RPATH_x000D_
S jrelog  (10163):  (type _x000D_
S jrelog  (10163): 0xf_x000D_
S jrelog  (10163):  arg _x000D_
S jrelog  (10163): 0x361_x000D_
S jrelog  (10163): ) (ignoring)_x000D_
S jrelog  (10163): _x000D_
S jrelog  (10163): WARNING: linker: _x000D_
S jrelog  (10163): Warning:  _x000D_
S jrelog  (10163):  data data net kdt pojavlaunch jre runtime lib aarch64 jli libjli so_x000D_
S jrelog  (10163):   has unsupported flags DT FLAGS 1 _x000D_
S jrelog  (10163): 0x81_x000D_
S jrelog  (10163):  (ignoring unsupported flags)_x000D_
S jrelog  (10163): _x000D_
S LaunchJVM(10163): dlopen  data data net kdt pojavlaunch jre runtime lib aarch64 jli libjli so success_x000D_
S LaunchJVM(10163): dlopen  data data net kdt pojavlaunch jre runtime lib aarch64 server libjvm so success_x000D_
S jrelog  (10163): WARNING: linker: _x000D_
S jrelog  (10163): Warning:  _x000D_
S jrelog  (10163):  data data net kdt pojavlaunch jre runtime lib aarch64 libverify so_x000D_
S jrelog  (10163):   unused DT entry: _x000D_
S jrelog  (10163): DT RPATH_x000D_
S jrelog  (10163):  (type _x000D_
S jrelog  (10163): 0xf_x000D_
S jrelog  (10163):  arg _x000D_
S jrelog  (10163): 0x450_x000D_
S jrelog  (10163): ) (ignoring)_x000D_
S jrelog  (10163): _x000D_
S jrelog  (10163): WARNING: linker: _x000D_
S jrelog  (10163): Warning:  _x000D_
S jrelog  (10163):  data data net kdt pojavlaunch jre runtime lib aarch64 libverify so_x000D_
S jrelog  (10163):   has unsupported flags DT FLAGS 1 _x000D_
S jrelog  (10163): 0x81_x000D_
S jrelog  (10163):  (ignoring unsupported flags)_x000D_
S jrelog  (10163): _x000D_
S LaunchJVM(10163): dlopen  data data net kdt pojavlaunch jre runtime lib aarch64 libverify so success_x000D_
S jrelog  (10163): WARNING: linker: _x000D_
S jrelog  (10163): Warning:  _x000D_
S jrelog  (10163):  data data net kdt pojavlaunch jre runtime lib aarch64 libjava so_x000D_
S jrelog  (10163):   unused DT entry: _x000D_
S jrelog  (10163): DT RPATH_x000D_
S jrelog  (10163):  (type _x000D_
S jrelog  (10163): 0xf_x000D_
S jrelog  (10163):  arg _x000D_
S jrelog  (10163): 0x33c0_x000D_
S jrelog  (10163): ) (ignoring)_x000D_
S jrelog  (10163): _x000D_
S jrelog  (10163): WARNING: linker: _x000D_
S jrelog  (10163): Warning:  _x000D_
S jrelog  (10163):  data data net kdt pojavlaunch jre runtime lib aarch64 libjava so_x000D_
S jrelog  (10163):   has unsupported flags DT FLAGS 1 _x000D_
S jrelog  (10163): 0x81_x000D_
S jrelog  (10163):  (ignoring unsupported flags)_x000D_
S jrelog  (10163): _x000D_
S LaunchJVM(10163): dlopen  data data net kdt pojavlaunch jre runtime lib aarch64 libjava so success_x000D_
S jrelog  (10163): WARNING: linker: _x000D_
S jrelog  (10163): Warning:  _x000D_
S jrelog  (10163):  data data net kdt pojavlaunch jre runtime lib aarch64 libnet so_x000D_
S jrelog  (10163):   unused DT entry: _x000D_
S jrelog  (10163): DT RPATH_x000D_
S jrelog  (10163):  (type _x000D_
S jrelog  (10163): 0xf_x000D_
S jrelog  (10163):  arg _x000D_
S jrelog  (10163): 0x13b8_x000D_
S jrelog  (10163): ) (ignoring)_x000D_
S jrelog  (10163): _x000D_
S jrelog  (10163): WARNING: linker: _x000D_
S jrelog  (10163): Warning:  _x000D_
S jrelog  (10163):  data data net kdt pojavlaunch jre runtime lib aarch64 libnet so_x000D_
S jrelog  (10163):   has unsupported flags DT FLAGS 1 _x000D_
S jrelog  (10163): 0x81_x000D_
S jrelog  (10163):  (ignoring unsupported flags)_x000D_
S jrelog  (10163): _x000D_
S LaunchJVM(10163): dlopen  data data net kdt pojavlaunch jre runtime lib aarch64 libnet so success_x000D_
S jrelog  (10163): WARNING: linker: _x000D_
S jrelog  (10163): Warning:  _x000D_
S jrelog  (10163):  data data net kdt pojavlaunch jre runtime lib aarch64 libnio so_x000D_
S jrelog  (10163):   unused DT entry: _x000D_
S jrelog  (10163): DT RPATH_x000D_
S jrelog  (10163):  (type _x000D_
S jrelog  (10163): 0xf_x000D_
S jrelog  (10163):  arg _x000D_
S jrelog  (10163): 0x2196_x000D_
S jrelog  (10163): ) (ignoring)_x000D_
S jrelog  (10163): _x000D_
S jrelog  (10163): WARNING: linker: Warning:   data data net kdt pojavlaunch jre runtime lib aarch64 libnio so  has unsupported flags DT FLAGS 1 _x000D_
S jrelog  (10163): 0x81 (ignoring unsupported flags)_x000D_
S LaunchJVM(10163): dlopen  data data net kdt pojavlaunch jre runtime lib aarch64 libnio so success_x000D_
S jrelog  (10163): WARNING: linker: Warning:   data data net kdt pojavlaunch jre runtime lib aarch64 libawt so  unused DT entry: _x000D_
S jrelog  (10163): DT RPATH (type 0xf arg 0x6a46) (ignoring)_x000D_
S jrelog  (10163): WARNING: linker: Warning:   data data net kdt pojavlaunch jre runtime lib aarch64 libawt so  has unsupported flags DT FLAGS 1 0x81_x000D_
S jrelog  (10163):  (ignoring unsupported flags)_x000D_
S LaunchJVM(10163): dlopen  data data net kdt pojavlaunch jre runtime lib aarch64 libawt so success_x000D_
S jrelog  (10163): WARNING: linker: Warning:   data data net kdt pojavlaunch jre runtime lib aarch64 libawt headless so  unused DT entry: _x000D_
S jrelog  (10163): DT RPATH (type 0xf arg 0x4d9) (ignoring)_x000D_
S jrelog  (10163): WARNING: linker: _x000D_
S jrelog  (10163): Warning:   data data net kdt pojavlaunch jre runtime lib aarch64 libawt headless so  has unsupported flags DT FLAGS 1 0x81_x000D_
S jrelog  (10163):  (ignoring unsupported flags)_x000D_
S LaunchJVM(10163): dlopen  data data net kdt pojavlaunch jre runtime lib aarch64 libawt headless so success_x000D_
S LaunchJVM(10163): dlopen  data data net kdt pojavlaunch jre runtime lib aarch64 libfreetype so success_x000D_
S jrelog  (10163): WARNING: linker: Warning:   data data net kdt pojavlaunch jre runtime lib aarch64 libfontmanager so  unused DT entry: _x000D_
S jrelog  (10163): DT RPATH (type 0xf arg 0xda0) (ignoring)_x000D_
S jrelog  (10163): WARNING: linker: Warning:   data data net kdt pojavlaunch jre runtime lib aarch64 libfontmanager so  has unsupported flags DT FLAGS 1 _x000D_
S jrelog  (10163): 0x81 (ignoring unsupported flags)_x000D_
S LaunchJVM(10163): dlopen  data data net kdt pojavlaunch jre runtime lib aarch64 libfontmanager so success_x000D_
S LaunchJVM(10163): dlopen  data app net kdt pojavlaunch PPQgwFj2W6A9PmLas8CuWg   lib arm64 libopenal so success_x000D_
S LaunchJVM(10163): dlopen  data app net kdt pojavlaunch PPQgwFj2W6A9PmLas8CuWg   lib arm64 libgl04es so success_x000D_
S LaunchJVM(10163): Done processing args_x000D_
S LaunchJVM(10163): Found JLI lib_x000D_
S LaunchJVM(10163): Calling JLI Launch_x000D_
S jrelog  (10163): OpenJDK 64 Bit Server VM warning: No monotonic clock was available   timed services may be adversely affected if the time of day clock changes_x000D_
S jrelog  (10163): WARNING: linker: _x000D_
S jrelog  (10163): Warning:  _x000D_
S jrelog  (10163):  data data net kdt pojavlaunch jre runtime lib aarch64 libzip so_x000D_
S jrelog  (10163):   unused DT entry: _x000D_
S jrelog  (10163): DT RPATH_x000D_
S jrelog  (10163):  (type _x000D_
S jrelog  (10163): 0xf_x000D_
S jrelog  (10163):  arg _x000D_
S jrelog  (10163): 0x8ff_x000D_
S jrelog  (10163): ) (ignoring)_x000D_
S jrelog  (10163): _x000D_
S jrelog  (10163): WARNING: linker: _x000D_
S jrelog  (10163): Warning:  _x000D_
S jrelog  (10163):  data data net kdt pojavlaunch jre runtime lib aarch64 libzip so_x000D_
S jrelog  (10163):   has unsupported flags DT FLAGS 1 _x000D_
S jrelog  (10163): 0x81_x000D_
S jrelog  (10163):  (ignoring unsupported flags)_x000D_
S jrelog  (10163): _x000D_
S jrelog  (10163): WARNING: linker: Warning:   data data net kdt pojavlaunch jre runtime lib aarch64 libmanagement so_x000D_
S jrelog  (10163):   unused DT entry: DT RPATH (type 0xf arg 0x16fe) (ignoring)_x000D_
S jrelog  (10163): WARNING: linker: Warning:   data data net kdt pojavlaunch jre runtime lib aarch64 libmanagement so  has unsupported flags DT FLAGS 1 0x81_x000D_
S jrelog  (10163):  (ignoring unsupported flags)_x000D_
S jrelog  (10163): 2020 12 13 12:38:31 930 main WARN Advanced terminal features are not available in this environment_x000D_
S jrelog  (10163): _x000D_
S jrelog  (10163):   32m 12:38:32   main INFO   cp mo mo Launcher MODLAUNCHER : ModLauncher running: args    username  ttt    version  1 15 2    gameDir   storage emulated 0 games  minecraft    assetsDir   storage emulated 0 games  minecraft assets    assetIndex  1 15    uuid  00000000 0000 0000 0000 000000000000    accessToken              userType  mojang    versionType  release    launchTarget  fmlclient    fml forgeVersion  31 2 47    fml mcVersion  1 15 2    fml forgeGroup  net minecraftforge    fml mcpV_x000D_
S jrelog  (10163): ersion  20200515 085601    fullscreen _x000D_
S jrelog  (10163):   m_x000D_
S jrelog  (10163):   32m 12:38:32   main INFO   cp mo mo Launcher MODLAUNCHER : ModLauncher 5 1 2 70 master 2845bb9 starting: java version 1 8 0 internal by Oracle Corporation_x000D_
S jrelog  (10163):   m_x000D_
S jrelog  (10163):   32m 12:38:33   main INFO   op OptiFineTransformationService  : OptiFineTransformationService onLoad_x000D_
S jrelog  (10163):   m_x000D_
S jrelog  (10163):   32m 12:38:33   main INFO   op OptiFineTransformationService  : OptiFine ZIP file:  storage emulated 0 games  minecraft mods  mccome com OptiFine 1 15 2 HD U G1 pre30 fbecfe14 jar_x000D_
S jrelog  (10163):   m_x000D_
S jrelog  (10163):   32m 12:38:33   main INFO   ne mi fm lo FixSSL CORE : Added Lets Encrypt root certificates as additional trust_x000D_
S jrelog  (10163):   m_x000D_
S jrelog  (10163):   32m 12:38:33   main INFO   mixin  : SpongePowered MIXIN Subsystem Version 0 8 2 Source file: storage emulated 0 games  minecraft libraries org spongepowered mixin 0 8 2 mixin 0 8 2 jar Service ModLauncher Env CLIENT_x000D_
S jrelog  (10163):   m_x000D_
S jrelog  (10163):   32m 12:38:33   main INFO   op OptiFineTransformationService  : OptiFineTransformationService initialize_x000D_
S jrelog  (10163):   m_x000D_
S jrelog  (10163):   1 31m 12:38:33   main FATAL   ne mi fm lo FMLCommonLaunchHandler CORE : Failed to find Minecraft resource version 1 15 2 20200515 085601 at  storage emulated 0 games  minecraft libraries net minecraftforge forge 1 15 2 31 2 47 forge 1 15 2 31 2 47 client jar_x000D_
S jrelog  (10163):   m_x000D_
S jrelog  (10163): Exception in thread  main  _x000D_
S jrelog  (10163):   32m 12:38:33   main INFO   STDERR  :  java lang ThreadGroup:uncaughtException:1052 : java lang RuntimeException: Missing minecraft resource _x000D_
S jrelog  (10163):   m_x000D_
S jrelog  (10163):   32m 12:38:33   main INFO   STDERR  :  java lang ThreadGroup:uncaughtException:1052 : 	at net minecraftforge fml loading FMLCommonLaunchHandler lambda validatePaths 4(FMLCommonLaunchHandler java:124)_x000D_
S jrelog  (10163):   m_x000D_
S jrelog  (10163):   32m 12:38:33   main INFO   STDERR  :  java lang ThreadGroup:uncaughtException:1052 : 	at java util Spliterators ArraySpliterator forEachRemaining(Spliterators java:948)_x000D_
S jrelog  (10163):   m_x000D_
S jrelog  (10163):   32m 12:38:33   main INFO   STDERR  :  java lang ThreadGroup:uncaughtException:1052 : 	at java util stream ReferencePipeline Head forEach(ReferencePipeline java:647)_x000D_
S jrelog  (10163):   m_x000D_
S jrelog  (10163):   32m 12:38:33   main INFO   STDERR  :  java lang ThreadGroup:uncaughtException:1052 : 	at net minecraftforge fml loading FMLCommonLaunchHandler validatePaths(FMLCommonLaunchHandler java:121)_x000D_
S jrelog  (10163):   m_x000D_
S jrelog  (10163):   32m 12:38:33   main INFO   STDERR  :  java lang ThreadGroup:uncaughtException:1052 : 	at net minecraftforge fml loading FMLLoader setupLaunchHandler(FMLLoader java:199)_x000D_
S jrelog  (10163):   m_x000D_
S jrelog  (10163):   32m 12:38:33   main INFO   STDERR  :  java lang ThreadGroup:uncaughtException:1052 : 	at net minecraftforge fml loading FMLServiceProvider initialize(FMLServiceProvider java:94)_x000D_
S jrelog  (10163):   m_x000D_
S jrelog  (10163):   32m 12:38:33   main INFO   STDERR  :  java lang ThreadGroup:uncaughtException:1052 : 	at cpw mods modlauncher TransformationServiceDecorator onInitialize(TransformationServiceDecorator java:68)_x000D_
S jrelog  (10163):   m_x000D_
S jrelog  (10163):   32m 12:38:33   main INFO   STDERR  :  java lang ThreadGroup:uncaughtException:1052 : 	at cpw mods modlauncher TransformationServicesHandler lambda initialiseTransformationServices 7(TransformationServicesHandler java:107)_x000D_
S jrelog  (10163):   m_x000D_
S jrelog  (10163):   32m 12:38:34   main INFO   STDERR  :  java lang ThreadGroup:uncaughtException:1052 : 	at java util HashMap Values forEach(HashMap java:981)_x000D_
S jrelog  (10163):   m_x000D_
S jrelog  (10163):   32m 12:38:34   main INFO   STDERR  :  java lang ThreadGroup:uncaughtException:1052 : 	at cpw mods modlauncher TransformationServicesHandler initialiseTransformationServices(TransformationServicesHandler java:107)_x000D_
S jrelog  (10163):   m_x000D_
S jrelog  (10163):   32m 12:38:34   main INFO   STDERR  :  java lang ThreadGroup:uncaughtException:1052 : 	at cpw mods modlauncher TransformationServicesHandler initializeTransformationServices(TransformationServicesHandler java:59)_x000D_
S jrelog  (10163):   m_x000D_
S jrelog  (10163):   32m 12:38:34   main INFO   STDERR  :  java lang ThreadGroup:uncaughtException:1052 : 	at cpw mods modlauncher Launcher run(Launcher java:75)_x000D_
S jrelog  (10163):   m_x000D_
S jrelog  (10163):   32m 12:38:34   main INFO   STDERR  :  java lang ThreadGroup:uncaughtException:1052 : 	at cpw mods modlauncher Launcher main(Launcher java:65)_x000D_
S jrelog  (10163):   m_x000D_
Java Exit code: 1_x000D_
S LaunchJVM(10163): Going to free args_x000D_
S LaunchJVM(10163): Free done_x000D_
</t>
  </si>
  <si>
    <t>microg-GmsCore-1309</t>
  </si>
  <si>
    <t>Exposure Notifications cannot round a NaN value</t>
  </si>
  <si>
    <t xml:space="preserve">  Describe the bug   To Reproduce  _x000D_
Yesterday I installed  Radar COVID 1 1 0  ( Play Store (https:  play google com store apps details id es gob radarcovid)   GitHub project (https:  github com RadarCOVID radar covid android)) and activated Exposure Notifications in microG  _x000D_
_x000D_
I don t know if I ll be able to reproduce the crash again  but after waking up today and unlocking the phone  a crash dialog appeared _x000D_
_x000D_
  System  _x000D_
Device: OnePlus 5T (ONEPLUS A5010  dumpling)_x000D_
Android Version: 11_x000D_
Custom ROM: MSM Xtended XR v2 0_x000D_
microG version: 0 2 14 204215_x000D_
_x000D_
  Additional context  _x000D_
_x000D_
I think these are the relevant logs  I ve saved the complete logs from  adb logcat  d   logcat log   in case anything else is needed _x000D_
_x000D_
   _x000D_
12 13 11:21:14 586  4098  4098 E AndroidRuntime: FATAL EXCEPTION: main_x000D_
12 13 11:21:14 586  4098  4098 E AndroidRuntime: Process: com google android gms  PID: 4098_x000D_
12 13 11:21:14 586  4098  4098 E AndroidRuntime: java lang IllegalArgumentException: Cannot round NaN value _x000D_
12 13 11:21:14 586  4098  4098 E AndroidRuntime: 	at kotlin math MathKt  MathJVMKt roundToInt(MathJVM kt:602)_x000D_
12 13 11:21:14 586  4098  4098 E AndroidRuntime: 	at org microg gms nearby exposurenotification ExposureNotificationServiceImpl provideDiagnosisKeys 1 1 invokeSuspend(ExposureNotificationServiceImpl kt:284)_x000D_
12 13 11:21:14 586  4098  4098 E AndroidRuntime: 	at org microg gms nearby exposurenotification ExposureNotificationServiceImpl provideDiagnosisKeys 1 1 invoke(Unknown Source:10)_x000D_
12 13 11:21:14 586  4098  4098 E AndroidRuntime: 	at org microg gms nearby exposurenotification ExposureDatabase Companion with 2 invokeSuspend(ExposureDatabase kt:917)_x000D_
12 13 11:21:14 586  4098  4098 E AndroidRuntime: 	at kotlin coroutines jvm internal BaseContinuationImpl resumeWith(ContinuationImpl kt:33)_x000D_
12 13 11:21:14 586  4098  4098 E AndroidRuntime: 	at kotlinx coroutines DispatchedTask run(DispatchedTask kt:56)_x000D_
12 13 11:21:14 586  4098  4098 E AndroidRuntime: 	at kotlinx coroutines scheduling CoroutineScheduler runSafely(CoroutineScheduler kt:571)_x000D_
12 13 11:21:14 586  4098  4098 E AndroidRuntime: 	at kotlinx coroutines scheduling CoroutineScheduler Worker executeTask(CoroutineScheduler kt:738)_x000D_
12 13 11:21:14 586  4098  4098 E AndroidRuntime: 	at kotlinx coroutines scheduling CoroutineScheduler Worker runWorker(CoroutineScheduler kt:678)_x000D_
12 13 11:21:14 586  4098  4098 E AndroidRuntime: 	at kotlinx coroutines scheduling CoroutineScheduler Worker run(CoroutineScheduler kt:665)_x000D_
   </t>
  </si>
  <si>
    <t>Anuken-Mindustry-3952</t>
  </si>
  <si>
    <t>(Reopen)Crash does not occur.</t>
  </si>
  <si>
    <t xml:space="preserve"> Reopened because enough info has been gathered to tell this is an issue related to your update  and I don t know how to  reopen  issues under the same number _x000D_
  Platform  :  Windows _x000D_
_x000D_
  Build  :  Steam 121 2  Release 121 2  Release 121 1 _x000D_
_x000D_
  Issue  :  Encountering a crash of any kind  the game just exits without a crash log  window  or log  _x000D_
1  This became an issue in 121 1  121 and before(even the BEs before that) crash fine _x000D_
2  This is not a steam client problem  the jar provided by github(releases) and the itch io  as well as the steam version all show this issue(121 1 or higher)  and the steam 121 and release 121 all crash normally _x000D_
3  A quick search tells me this may be a windows 10 problem  is your VM windows 10  Also my windows did not update overnight  either _x000D_
_x000D_
  Steps to reproduce  : _x000D_
After thorough testing  it seems as any crash will do:_x000D_
   _x000D_
Events run(Trigger update  ()     _x000D_
    aaaaaaa _x000D_
 ) _x000D_
   _x000D_
_x000D_
  Link(s) to mod(s) used  :  Even the console will do  DeltaNedas dev mode activates the console  but I know you have ways of activating the console yourself anyways  _x000D_
_x000D_
  Save file  :  Can be reproduced in the main menu  _x000D_
_x000D_
If you remove the line above without reading it properly and understanding what it means  I will reap your soul  Even if you re playing on someone s server  you can still save the game to a slot _x000D_
_x000D_
  (Crash) logs  :  Here is the full version of that thing  I don t care about my personal info  if this gets fixed for good  _x000D_
   _x000D_
 _x000D_
  A fatal error has been detected by the Java Runtime Environment:_x000D_
 _x000D_
   EXCEPTION ACCESS VIOLATION (0xc0000005) at pc 0x00007ffc1bf74da2  pid 11788  tid 7972_x000D_
 _x000D_
  JRE version: OpenJDK Runtime Environment (8 0 72 b15) (build 1 8 0 72 b15)_x000D_
  Java VM: OpenJDK 64 Bit Server VM (25 72 b15 mixed mode windows amd64 compressed oops)_x000D_
  Problematic frame:_x000D_
  C   MSCTF dll 0x64da2 _x000D_
 _x000D_
  Failed to write core dump  Minidumps are not enabled by default on client versions of Windows_x000D_
 _x000D_
  If you would like to submit a bug report  please visit:_x000D_
    http:  www azulsystems com support _x000D_
  The crash happened outside the Java Virtual Machine in native code _x000D_
  See problematic frame for where to report the bug _x000D_
 _x000D_
_x000D_
                 T H R E A D                 _x000D_
_x000D_
Current thread (0x0000000004210800):  JavaThread  main    thread in native  id 7972  stack(0x0000000000400000 0x00000000008d0000) _x000D_
_x000D_
siginfo: ExceptionCode 0xc0000005  reading address 0x00007ffbd1ba4f40_x000D_
_x000D_
Registers:_x000D_
RAX 0x00007ffbd1ba4f30  RBX 0x000000001f5e8b90  RCX 0x00000000217adfe0  RDX 0x0000000000000000_x000D_
RSP 0x00000000008cf0e0  RBP 0x00000000008cf4d8  RSI 0x0000000000000000  RDI 0x000000001f73a400_x000D_
R8  0x0000000000000002  R9  0x0000000000000001  R10 0x0000000000000000  R11 0x00000000008cf050_x000D_
R12 0x00000000000003ff  R13 0x0000000019a80168  R14 0x0000000000000000  R15 0x0000000000000000_x000D_
RIP 0x00007ffc1bf74da2  EFLAGS 0x0000000000210202_x000D_
_x000D_
Top of Stack: (sp 0x00000000008cf0e0)_x000D_
0x00000000008cf0e0:   0000000000000002 000000001f5e8b90_x000D_
0x00000000008cf0f0:   00000000ffffffff 00007ffc1bf24e2c_x000D_
0x00000000008cf100:   000000001f5e8b90 00007ffc1bf74fe2_x000D_
0x00000000008cf110:   0000000000000000 000000001f73a400_x000D_
0x00000000008cf120:   0000000000000080 0000000000000000_x000D_
0x00000000008cf130:   0000000000000000 00007ffc1bf773f7_x000D_
0x00000000008cf140:   000000001f73a400 0000000019a80168_x000D_
0x00000000008cf150:   0000000000000000 000000001f73a400_x000D_
0x00000000008cf160:   000000001f73a400 00007ffc1bf5c73c_x000D_
0x00000000008cf170:   000000001f5e8b90 00000000008cf4d8_x000D_
0x00000000008cf180:   0000000000000001 000000001f73a400_x000D_
0x00000000008cf190:   000000001f73a400 00007ffc1bf31c78_x000D_
0x00000000008cf1a0:   0000000062d88f40 00000000008cf4d8_x000D_
0x00000000008cf1b0:   0000000000000001 0000000000000001_x000D_
0x00000000008cf1c0:   0000000004000101 0000000000000001_x000D_
0x00000000008cf1d0:   0000000100000001 0000000100000000 _x000D_
_x000D_
Instructions: (pc 0x00007ffc1bf74da2)_x000D_
0x00007ffc1bf74d82:   74 12 48 8b 01 48 8b 40 10 ff 15 7f 92 07 00 48_x000D_
0x00007ffc1bf74d92:   83 63 48 00 48 8b 4b 18 48 85 c9 74 12 48 8b 01_x000D_
0x00007ffc1bf74da2:   48 8b 40 10 ff 15 64 92 07 00 48 83 63 18 00 48_x000D_
0x00007ffc1bf74db2:   8b 8b 90 00 00 00 48 85 c9 74 0d e8 aa 6c 01 00 _x000D_
_x000D_
_x000D_
Register to memory mapping:_x000D_
_x000D_
RAX 0x00007ffbd1ba4f30 is an unknown value_x000D_
RBX 0x000000001f5e8b90 is an unknown value_x000D_
RCX 0x00000000217adfe0 is an unknown value_x000D_
RDX 0x0000000000000000 is an unknown value_x000D_
RSP 0x00000000008cf0e0 is pointing into the stack for thread: 0x0000000004210800_x000D_
RBP 0x00000000008cf4d8 is pointing into the stack for thread: 0x0000000004210800_x000D_
RSI 0x0000000000000000 is an unknown value_x000D_
RDI 0x000000001f73a400 is an unknown value_x000D_
R8  0x0000000000000002 is an unknown value_x000D_
R9  0x0000000000000001 is an unknown value_x000D_
R10 0x0000000000000000 is an unknown value_x000D_
R11 0x00000000008cf050 is pointing into the stack for thread: 0x0000000004210800_x000D_
R12 0x00000000000003ff is an unknown value_x000D_
R13  method   0x0000000019a80170   SDL Quit   ()V  in  arc backend sdl jni SDL _x000D_
R14 0x0000000000000000 is an unknown value_x000D_
R15 0x0000000000000000 is an unknown value_x000D_
_x000D_
_x000D_
Stack:  0x0000000000400000 0x00000000008d0000    sp 0x00000000008cf0e0   free space 4924k_x000D_
Native frames: (J compiled Java code  j interpreted  Vv VM code  C native code)_x000D_
C   MSCTF dll 0x64da2 _x000D_
C   MSCTF dll 0x64fe2 _x000D_
C   MSCTF dll 0x673f7 _x000D_
C   MSCTF dll 0x4c73c _x000D_
C   MSCTF dll 0x21c78 _x000D_
C   MSCTF dll 0x13a75 _x000D_
C   sdl arc64 dll 0x9344a _x000D_
C   sdl arc64 dll 0x97e95 _x000D_
C   sdl arc64 dll 0x64a49 _x000D_
C   sdl arc64 dll 0xa2183 _x000D_
C  0x0000000004325b74_x000D_
_x000D_
Java frames: (J compiled Java code  j interpreted  Vv VM code)_x000D_
j  arc backend sdl jni SDL SDL Quit()V 0_x000D_
j  arc backend sdl SdlApplication cleanup()V 20_x000D_
j  arc backend sdl SdlApplication  init (Larc ApplicationListener Larc backend sdl SdlConfig )V 172_x000D_
j  mindustry desktop DesktopLauncher main( Ljava lang String )V 22_x000D_
v   StubRoutines::call stub_x000D_
_x000D_
                 P R O C E S S                 _x000D_
_x000D_
Java Threads: (    current thread )_x000D_
  0x000000006e508000 JavaThread  AsyncLogic Thread  daemon   thread blocked  id 15696  stack(0x000000007a2e0000 0x000000007a7b0000) _x000D_
  0x000000006f953800 JavaThread  AsynchExecutor Thread  daemon   thread blocked  id 19148  stack(0x000000001f0c0000 0x000000001f590000) _x000D_
  0x000000006f952800 JavaThread  Thread 5  daemon   thread blocked  id 18884  stack(0x0000000002610000 0x0000000002ae0000) _x000D_
  0x000000006f6c9000 JavaThread  AsynchExecutor Thread  daemon   thread blocked  id 11440  stack(0x0000000187890000 0x0000000187d60000) _x000D_
  0x000000001d585000 JavaThread  Service Thread  daemon   thread blocked  id 12732  stack(0x000000001d920000 0x000000001ddf0000) _x000D_
  0x0000000019df9800 JavaThread  C1 CompilerThread2  daemon   thread blocked  id 18032  stack(0x000000001d050000 0x000000001d520000) _x000D_
  0x0000000019df3000 JavaThread  C2 CompilerThread1  daemon   thread blocked  id 18912  stack(0x000000001cb80000 0x000000001d050000) _x000D_
  0x0000000019df0800 JavaThread  C2 CompilerThread0  daemon   thread blocked  id 15956  stack(0x000000001c6b0000 0x000000001cb80000) _x000D_
  0x0000000019dee800 JavaThread  Attach Listener  daemon   thread blocked  id 6704  stack(0x000000001c1e0000 0x000000001c6b0000) _x000D_
  0x0000000019da4000 JavaThread  Signal Dispatcher  daemon   thread blocked  id 7500  stack(0x000000001bd10000 0x000000001c1e0000) _x000D_
  0x00000000042f6800 JavaThread  Finalizer  daemon   thread blocked  id 5552  stack(0x000000001b7b0000 0x000000001bc80000) _x000D_
  0x0000000019d6b000 JavaThread  Reference Handler  daemon   thread blocked  id 15628  stack(0x000000001b2e0000 0x000000001b7b0000) _x000D_
  0x0000000004210800 JavaThread  main    thread in native  id 7972  stack(0x0000000000400000 0x00000000008d0000) _x000D_
_x000D_
Other Threads:_x000D_
  0x0000000019d65000 VMThread  stack: 0x000000001ae10000 0x000000001b2e0000   id 16080 _x000D_
  0x000000001d586000 WatcherThread  stack: 0x000000001ddf0000 0x000000001e2c0000   id 964 _x000D_
_x000D_
VM state:not at safepoint (normal execution)_x000D_
_x000D_
VM Mutex Monitor currently owned by a thread: None_x000D_
_x000D_
Heap:_x000D_
 PSYoungGen      total 77824K  used 26741K  0x00000000d5c00000  0x00000000dc680000  0x0000000100000000)_x000D_
  eden space 61952K  17  used  0x00000000d5c00000 0x00000000d66d5f58 0x00000000d9880000)_x000D_
  from space 15872K  98  used  0x00000000db700000 0x00000000dc647710 0x00000000dc680000)_x000D_
  to   space 18432K  0  used  0x00000000da280000 0x00000000da280000 0x00000000db480000)_x000D_
 ParOldGen       total 134144K  used 30550K  0x0000000081400000  0x0000000089700000  0x00000000d5c00000)_x000D_
  object space 134144K  22  used  0x0000000081400000 0x00000000831d59a8 0x0000000089700000)_x000D_
 Metaspace       used 36724K  capacity 40836K  committed 40920K  reserved 1083392K_x000D_
  class space    used 5110K  capacity 6083K  committed 6144K  reserved 1048576K_x000D_
_x000D_
Card table byte map:  0x00000000136d0000 0x0000000013ad0000  byte map base: 0x00000000132c6000_x000D_
_x000D_
Marking Bits: (ParMarkBitMap ) 0x0000000075329c30_x000D_
 Begin Bits:  0x00000000150c0000  0x0000000017070000)_x000D_
 End Bits:    0x0000000017070000  0x0000000019020000)_x000D_
_x000D_
Polling page: 0x0000000003e30000_x000D_
_x000D_
CodeCache: size 245760Kb used 17433Kb max used 17445Kb free 228326Kb_x000D_
 bounds  0x0000000004310000  0x0000000005430000  0x0000000013310000 _x000D_
 total blobs 5345 nmethods 4622 adapters 636_x000D_
 compilation: enabled_x000D_
_x000D_
Compilation events (10 events):_x000D_
Event: 85 925 Thread 0x0000000019df9800 nmethod 5492 0x0000000005414a90 code  0x0000000005414be0  0x0000000005414d30 _x000D_
Event: 85 926 Thread 0x0000000019df9800 5493       1       arc assets RefCountedContainer::getRefCount (5 bytes)_x000D_
Event: 85 926 Thread 0x0000000019df9800 nmethod 5493 0x00000000054147d0 code  0x0000000005414920  0x0000000005414a30 _x000D_
Event: 85 926 Thread 0x0000000019df9800 5494       3       arc struct ObjectMap::remove (174 bytes)_x000D_
Event: 85 927 Thread 0x0000000019df9800 nmethod 5494 0x00000000054108d0 code  0x0000000005410b20  0x0000000005411b08 _x000D_
Event: 85 932 Thread 0x0000000019df3000 nmethod 5489  0x0000000005428390 code  0x0000000005428560  0x0000000005429018 _x000D_
Event: 85 934 Thread 0x0000000019df9800 5495       1       arc graphics gl FileTextureData::isManaged (2 bytes)_x000D_
Event: 85 934 Thread 0x0000000019df9800 nmethod 5495 0x0000000005414510 code  0x0000000005414660  0x0000000005414770 _x000D_
Event: 85 942 Thread 0x0000000019df9800 5496       3       arc graphics Gl::deleteTexture (41 bytes)_x000D_
Event: 85 943 Thread 0x0000000019df9800 nmethod 5496 0x0000000005413ed0 code  0x0000000005414060  0x0000000005414388 _x000D_
_x000D_
GC Heap History (10 events):_x000D_
Event: 9 758 GC heap before_x000D_
 Heap before GC invocations 6 (full 1):_x000D_
 PSYoungGen      total 38400K  used 38392K  0x00000000d5c00000  0x00000000d9380000  0x0000000100000000)_x000D_
  eden space 33280K  100  used  0x00000000d5c00000 0x00000000d7c80000 0x00000000d7c80000)_x000D_
  from space 5120K  99  used  0x00000000d8180000 0x00000000d867e2f0 0x00000000d8680000)_x000D_
  to   space 5120K  0  used  0x00000000d7c80000 0x00000000d7c80000 0x00000000d8180000)_x000D_
 ParOldGen       total 73216K  used 15196K  0x0000000081400000  0x0000000085b80000  0x00000000d5c00000)_x000D_
  object space 73216K  20  used  0x0000000081400000 0x00000000822d7398 0x0000000085b80000)_x000D_
 Metaspace       used 28245K  capacity 30034K  committed 30208K  reserved 1075200K_x000D_
  class space    used 3962K  capacity 4503K  committed 4608K  reserved 1048576K_x000D_
Event: 9 775 GC heap after_x000D_
Heap after GC invocations 6 (full 1):_x000D_
 PSYoungGen      total 38400K  used 5104K  0x00000000d5c00000  0x00000000da100000  0x0000000100000000)_x000D_
  eden space 33280K  0  used  0x00000000d5c00000 0x00000000d5c00000 0x00000000d7c80000)_x000D_
  from space 5120K  99  used  0x00000000d7c80000 0x00000000d817c040 0x00000000d8180000)_x000D_
  to   space 10240K  0  used  0x00000000d9700000 0x00000000d9700000 0x00000000da100000)_x000D_
 ParOldGen       total 73216K  used 17004K  0x0000000081400000  0x0000000085b80000  0x00000000d5c00000)_x000D_
  object space 73216K  23  used  0x0000000081400000 0x000000008249b198 0x0000000085b80000)_x000D_
 Metaspace       used 28245K  capacity 30034K  committed 30208K  reserved 1075200K_x000D_
  class space    used 3962K  capacity 4503K  committed 4608K  reserved 1048576K_x000D_
 _x000D_
Event: 11 494 GC heap before_x000D_
 Heap before GC invocations 7 (full 1):_x000D_
 PSYoungGen      total 38400K  used 38384K  0x00000000d5c00000  0x00000000da100000  0x0000000100000000)_x000D_
  eden space 33280K  100  used  0x00000000d5c00000 0x00000000d7c80000 0x00000000d7c80000)_x000D_
  from space 5120K  99  used  0x00000000d7c80000 0x00000000d817c040 0x00000000d8180000)_x000D_
  to   space 10240K  0  used  0x00000000d9700000 0x00000000d9700000 0x00000000da100000)_x000D_
 ParOldGen       total 73216K  used 17004K  0x0000000081400000  0x0000000085b80000  0x00000000d5c00000)_x000D_
  object space 73216K  23  used  0x0000000081400000 0x000000008249b198 0x0000000085b80000)_x000D_
 Metaspace       used 28704K  capacity 30580K  committed 30848K  reserved 1075200K_x000D_
  class space    used 4038K  capacity 4622K  committed 4736K  reserved 1048576K_x000D_
Event: 11 504 GC heap after_x000D_
Heap after GC invocations 7 (full 1):_x000D_
 PSYoungGen      total 58368K  used 8581K  0x00000000d5c00000  0x00000000da000000  0x0000000100000000)_x000D_
  eden space 49152K  0  used  0x00000000d5c00000 0x00000000d5c00000 0x00000000d8c00000)_x000D_
  from space 9216K  93  used  0x00000000d9700000 0x00000000d9f61740 0x00000000da000000)_x000D_
  to   space 10240K  0  used  0x00000000d8c00000 0x00000000d8c00000 0x00000000d9600000)_x000D_
 ParOldGen       total 73216K  used 17012K  0x0000000081400000  0x0000000085b80000  0x00000000d5c00000)_x000D_
  object space 73216K  23  used  0x0000000081400000 0x000000008249d198 0x0000000085b80000)_x000D_
 Metaspace       used 28704K  capacity 30580K  committed 30848K  reserved 1075200K_x000D_
  class space    used 4038K  capacity 4622K  committed 4736K  reserved 1048576K_x000D_
 _x000D_
Event: 13 155 GC heap before_x000D_
 Heap before GC invocations 8 (full 1):_x000D_
 PSYoungGen      total 58368K  used 53891K  0x00000000d5c00000  0x00000000da000000  0x0000000100000000)_x000D_
  eden space 49152K  92  used  0x00000000d5c00000 0x00000000d883f7e8 0x00000000d8c00000)_x000D_
  from space 9216K  93  used  0x00000000d9700000 0x00000000d9f61740 0x00000000da000000)_x000D_
  to   space 10240K  0  used  0x00000000d8c00000 0x00000000d8c00000 0x00000000d9600000)_x000D_
 ParOldGen       total 73216K  used 17012K  0x0000000081400000  0x0000000085b80000  0x00000000d5c00000)_x000D_
  object space 73216K  23  used  0x0000000081400000 0x000000008249d198 0x0000000085b80000)_x000D_
 Metaspace       used 32670K  capacity 35210K  committed 35416K  reserved 1079296K_x000D_
  class space    used 4542K  capacity 5225K  committed 5248K  reserved 1048576K_x000D_
Event: 13 187 GC heap after_x000D_
Heap after GC invocations 8 (full 1):_x000D_
 PSYoungGen      total 59392K  used 10218K  0x00000000d5c00000  0x00000000dc780000  0x0000000100000000)_x000D_
  eden space 49152K  0  used  0x00000000d5c00000 0x00000000d5c00000 0x00000000d8c00000)_x000D_
  from space 10240K  99  used  0x00000000d8c00000 0x00000000d95fa930 0x00000000d9600000)_x000D_
  to   space 16896K  0  used  0x00000000db700000 0x00000000db700000 0x00000000dc780000)_x000D_
 ParOldGen       total 73216K  used 28734K  0x0000000081400000  0x0000000085b80000  0x00000000d5c00000)_x000D_
  object space 73216K  39  used  0x0000000081400000 0x000000008300f980 0x0000000085b80000)_x000D_
 Metaspace       used 32670K  capacity 35210K  committed 35416K  reserved 1079296K_x000D_
  class space    used 4542K  capacity 5225K  committed 5248K  reserved 1048576K_x000D_
 _x000D_
Event: 13 187 GC heap before_x000D_
 Heap before GC invocations 9 (full 2):_x000D_
 PSYoungGen      total 59392K  used 10218K  0x00000000d5c00000  0x00000000dc780000  0x0000000100000000)_x000D_
  eden space 49152K  0  used  0x00000000d5c00000 0x00000000d5c00000 0x00000000d8c00000)_x000D_
  from space 10240K  99  used  0x00000000d8c00000 0x00000000d95fa930 0x00000000d9600000)_x000D_
  to   space 16896K  0  used  0x00000000db700000 0x00000000db700000 0x00000000dc780000)_x000D_
 ParOldGen       total 73216K  used 28734K  0x0000000081400000  0x0000000085b80000  0x00000000d5c00000)_x000D_
  object space 73216K  39  used  0x0000000081400000 0x000000008300f980 0x0000000085b80000)_x000D_
 Metaspace       used 32670K  capacity 35210K  committed 35416K  reserved 1079296K_x000D_
  class space    used 4542K  capacity 5225K  committed 5248K  reserved 1048576K_x000D_
Event: 13 396 GC heap after_x000D_
Heap after GC invocations 9 (full 2):_x000D_
 PSYoungGen      total 59392K  used 0K  0x00000000d5c00000  0x00000000dc780000  0x0000000100000000)_x000D_
  eden space 49152K  0  used  0x00000000d5c00000 0x00000000d5c00000 0x00000000d8c00000)_x000D_
  from space 10240K  0  used  0x00000000d8c00000 0x00000000d8c00000 0x00000000d9600000)_x000D_
  to   space 16896K  0  used  0x00000000db700000 0x00000000db700000 0x00000000dc780000)_x000D_
 ParOldGen       total 134144K  used 30542K  0x0000000081400000  0x0000000089700000  0x00000000d5c00000)_x000D_
  object space 134144K  22  used  0x0000000081400000 0x00000000831d39a8 0x0000000089700000)_x000D_
 Metaspace       used 32649K  capacity 35180K  committed 35416K  reserved 1079296K_x000D_
  class space    used 4537K  capacity 5219K  committed 5248K  reserved 1048576K_x000D_
 _x000D_
Event: 83 300 GC heap before_x000D_
 Heap before GC invocations 10 (full 2):_x000D_
 PSYoungGen      total 59392K  used 49152K  0x00000000d5c00000  0x00000000dc780000  0x0000000100000000)_x000D_
  eden space 49152K  100  used  0x00000000d5c00000 0x00000000d8c00000 0x00000000d8c00000)_x000D_
  from space 10240K  0  used  0x00000000d8c00000 0x00000000d8c00000 0x00000000d9600000)_x000D_
  to   space 16896K  0  used  0x00000000db700000 0x00000000db700000 0x00000000dc780000)_x000D_
 ParOldGen       total 134144K  used 30542K  0x0000000081400000  0x0000000089700000  0x00000000d5c00000)_x000D_
  object space 134144K  22  used  0x0000000081400000 0x00000000831d39a8 0x0000000089700000)_x000D_
 Metaspace       used 36039K  capacity 39848K  committed 40024K  reserved 1083392K_x000D_
  class space    used 5047K  capacity 5962K  committed 6016K  reserved 1048576K_x000D_
Event: 83 316 GC heap after_x000D_
Heap after GC invocations 10 (full 2):_x000D_
 PSYoungGen      total 77824K  used 15645K  0x00000000d5c00000  0x00000000dc680000  0x0000000100000000)_x000D_
  eden space 61952K  0  used  0x00000000d5c00000 0x00000000d5c00000 0x00000000d9880000)_x000D_
  from space 15872K  98  used  0x00000000db700000 0x00000000dc647710 0x00000000dc680000)_x000D_
  to   space 18432K  0  used  0x00000000da280000 0x00000000da280000 0x00000000db480000)_x000D_
 ParOldGen       total 134144K  used 30550K  0x0000000081400000  0x0000000089700000  0x00000000d5c00000)_x000D_
  object space 134144K  22  used  0x0000000081400000 0x00000000831d59a8 0x0000000089700000)_x000D_
 Metaspace       used 36039K  capacity 39848K  committed 40024K  reserved 1083392K_x000D_
  class space    used 5047K  capacity 5962K  committed 6016K  reserved 1048576K_x000D_
 _x000D_
_x000D_
Deoptimization events (10 events):_x000D_
Event: 85 849 Thread 0x0000000004210800 Uncommon trap: reason unstable if action reinterpret pc 0x00000000046d1aa4 method java util HashMap getNode(ILjava lang Object )Ljava util HashMap Node    84_x000D_
Event: 85 849 Thread 0x0000000004210800 Uncommon trap: reason unstable if action reinterpret pc 0x00000000046ce2d0 method java util HashMap getNode(ILjava lang Object )Ljava util HashMap Node    84_x000D_
Event: 85 849 Thread 0x0000000004210800 Uncommon trap: reason unstable if action reinterpret pc 0x00000000050d54c8 method java util HashMap resize() Ljava util HashMap Node    206_x000D_
Event: 85 871 Thread 0x0000000004210800 Uncommon trap: reason unstable if action reinterpret pc 0x0000000004856a7c method arc struct Seq SeqIterable iterator()Ljava util Iterator    7_x000D_
Event: 85 885 Thread 0x0000000004210800 Uncommon trap: reason bimorphic action maybe recompile pc 0x00000000046ebfb4 method java util regex Matcher getTextLength()I   4_x000D_
Event: 85 885 Thread 0x0000000004210800 Uncommon trap: reason bimorphic action maybe recompile pc 0x00000000046ebfb4 method java util regex Matcher getTextLength()I   4_x000D_
Event: 85 885 Thread 0x0000000004210800 Uncommon trap: reason bimorphic action maybe recompile pc 0x00000000046ebfb4 method java util regex Matcher getTextLength()I   4_x000D_
Event: 85 885 Thread 0x0000000004210800 Uncommon trap: reason bimorphic action maybe recompile pc 0x00000000046ebfb4 method java util regex Matcher getTextLength()I   4_x000D_
Event: 85 885 Thread 0x0000000004210800 Uncommon trap: reason bimorphic action maybe recompile pc 0x0000000004f62cb0 method java util regex Matcher getTextLength()I   4_x000D_
Event: 85 924 Thread 0x0000000004210800 Uncommon trap: reason class check action maybe recompile pc 0x0000000004534198 method arc struct ObjectSet contains(Ljava lang Object )Z   47_x000D_
_x000D_
Internal exceptions (10 events):_x000D_
Event: 83 234 Thread 0x0000000004210800 Exception  a  java lang ArrayIndexOutOfBoundsException   (0x00000000d85c0328) thrown at  C: jenkins workspace zulu8 silver build win64 zulu src hotspot src share vm runtime sharedRuntime cpp  line 605 _x000D_
Event: 83 706 Thread 0x0000000004210800 Exception  a  java lang IncompatibleClassChangeError : Found class java lang Object  but interface was expected  (0x00000000d5f53758) thrown at  C: jenkins workspace zulu8 silver build win64 zulu src hotspot src share vm interpreter linkResolver cpp  line      _x000D_
Event: 83 711 Thread 0x0000000004210800 Exception  a  java lang IncompatibleClassChangeError : Found class java lang Object  but interface was expected  (0x00000000d5f5c9f8) thrown at  C: jenkins workspace zulu8 silver build win64 zulu src hotspot src share vm interpreter linkResolver cpp  line yU    _x000D_
Event: 83 770 Thread 0x0000000004210800 Implicit null exception at 0x00000000051fbaa7 to 0x00000000051fc111_x000D_
Event: 83 770 Thread 0x0000000004210800 Implicit null exception at 0x0000000005186d0f to 0x00000000051870e5_x000D_
Event: 83 771 Thread 0x0000000004210800 Implicit null exception at 0x0000000005230c3a to 0x0000000005232121_x000D_
Event: 83 771 Thread 0x0000000004210800 Implicit null exception at 0x0000000004ad7745 to 0x0000000004ad7bad_x000D_
Event: 85 924 Thread 0x0000000004210800 Exception  a  java io IOException   (0x00000000d65d4618) thrown at  C: jenkins workspace zulu8 silver build win64 zulu src hotspot src share vm prims jni cpp  line 709 _x000D_
Event: 85 924 Thread 0x0000000004210800 Exception  a  java io IOException   (0x00000000d65d48f8) thrown at  C: jenkins workspace zulu8 silver build win64 zulu src hotspot src share vm prims jni cpp  line 709 _x000D_
Event: 85 924 Thread 0x0000000004210800 Exception  a  java io IOException   (0x00000000d65d4ba8) thrown at  C: jenkins workspace zulu8 silver build win64 zulu src hotspot src share vm prims jni cpp  line 709 _x000D_
_x000D_
Events (10 events):_x000D_
Event: 85 932 loading class arc func Cons2_x000D_
Event: 85 932 loading class arc func Cons2 done_x000D_
Event: 85 933 Executing VM operation: RevokeBias_x000D_
Event: 85 933 Executing VM operation: RevokeBias done_x000D_
Event: 85 933 Thread 0x000000006eea5800 Thread exited: 0x000000006eea5800_x000D_
Event: 85 934 loading class arc struct LongMap Values_x000D_
Event: 85 934 loading class arc struct LongMap Values done_x000D_
Event: 85 935 loading class arc struct LongMap MapIterator_x000D_
Event: 85 935 loading class arc struct LongMap MapIterator done_x000D_
Event: 85 941 Thread 0x000000001e5be000 Thread exited: 0x000000001e5be000_x000D_
_x000D_
_x000D_
Dynamic libraries:_x000D_
0x0000000140000000   0x000000014005d000    C: Program Files (x86) Steam steamapps common Mindustry Mindustry exe_x000D_
0x00007ffc1c310000   0x00007ffc1c506000    C: WINDOWS SYSTEM32 ntdll dll_x000D_
0x00007ffc1a900000   0x00007ffc1a9bd000    C: WINDOWS System32 KERNEL32 DLL_x000D_
0x00007ffc1a0a0000   0x00007ffc1a369000    C: WINDOWS System32 KERNELBASE dll_x000D_
0x00007ffbf9450000   0x00007ffbf9635000    C: Program Files (x86) Steam gameoverlayrenderer64 dll_x000D_
0x00007ffc1a3f0000   0x00007ffc1a590000    C: WINDOWS System32 USER32 dll_x000D_
0x00007ffc19c50000   0x00007ffc19c72000    C: WINDOWS System32 win32u dll_x000D_
0x00007ffc1bee0000   0x00007ffc1bf0a000    C: WINDOWS System32 GDI32 dll_x000D_
0x00007ffc19f90000   0x00007ffc1a099000    C: WINDOWS System32 gdi32full dll_x000D_
0x00007ffc19b00000   0x00007ffc19b9d000    C: WINDOWS System32 msvcp win dll_x000D_
0x00007ffc19e90000   0x00007ffc19f90000    C: WINDOWS System32 ucrtbase dll_x000D_
0x00007ffc1add0000   0x00007ffc1ae7c000    C: WINDOWS System32 ADVAPI32 dll_x000D_
0x00007ffc1a790000   0x00007ffc1a82e000    C: WINDOWS System32 msvcrt dll_x000D_
0x00007ffc1acb0000   0x00007ffc1ad4c000    C: WINDOWS System32 sechost dll_x000D_
0x00007ffc1a9c0000   0x00007ffc1aaeb000    C: WINDOWS System32 RPCRT4 dll_x000D_
0x00007ffc1a590000   0x00007ffc1a6ba000    C: WINDOWS System32 ole32 dll_x000D_
0x00007ffc1ae80000   0x00007ffc1b1d6000    C: WINDOWS System32 combase dll_x000D_
0x00007ffc1beb0000   0x00007ffc1bee0000    C: WINDOWS System32 IMM32 dll_x000D_
0x00007ffc1a830000   0x00007ffc1a838000    C: WINDOWS System32 PSAPI DLL_x000D_
0x00007ffc0e940000   0x00007ffc0e967000    C: WINDOWS SYSTEM32 WINMM dll_x000D_
0x0000000074b70000   0x00000000753a4000    C: Program Files (x86) Steam steamapps common Mindustry jre bin server jvm dll_x000D_
0x00007ffc13aa0000   0x00007ffc13aa9000    C: WINDOWS SYSTEM32 WSOCK32 dll_x000D_
0x00007ffc1ad60000   0x00007ffc1adcb000    C: WINDOWS System32 WS2 32 dll_x000D_
0x00007ffc0f7d0000   0x00007ffc0f7da000    C: WINDOWS SYSTEM32 VERSION dll_x000D_
0x0000000075e40000   0x0000000075f12000    C: Program Files (x86) Steam steamapps common Mindustry MSVCR100 dll_x000D_
0x00007ffc120b0000   0x00007ffc120bf000    C: Program Files (x86) Steam steamapps common Mindustry jre bin verify dll_x000D_
0x00007ffc11810000   0x00007ffc11839000    C: Program Files (x86) Steam steamapps common Mindustry jre bin java dll_x000D_
0x00007ffc0eab0000   0x00007ffc0eac6000    C: Program Files (x86) Steam steamapps common Mindustry jre bin zip dll_x000D_
0x00007ffc1b6b0000   0x00007ffc1bdf2000    C: WINDOWS System32 SHELL32 dll_x000D_
0x00007ffc17b60000   0x00007ffc182f5000    C: WINDOWS SYSTEM32 windows storage dll_x000D_
0x00007ffc194c0000   0x00007ffc194ec000    C: WINDOWS SYSTEM32 Wldp dll_x000D_
0x00007ffc1c200000   0x00007ffc1c2ae000    C: WINDOWS System32 SHCORE dll_x000D_
0x00007ffc1c030000   0x00007ffc1c085000    C: WINDOWS System32 shlwapi dll_x000D_
0x00007ffc19980000   0x00007ffc199a6000    C: WINDOWS SYSTEM32 profapi dll_x000D_
0x00007ffc19410000   0x00007ffc19428000    C: WINDOWS SYSTEM32 CRYPTSP dll_x000D_
0x00007ffc18b60000   0x00007ffc18b94000    C: WINDOWS system32 rsaenh dll_x000D_
0x000000001eba0000   0x000000001ebc7000    C: WINDOWS System32 bcrypt dll_x000D_
0x00007ffc19900000   0x00007ffc1992e000    C: WINDOWS SYSTEM32 USERENV dll_x000D_
0x00007ffc19c80000   0x00007ffc19d00000    C: WINDOWS System32 bcryptprimitives dll_x000D_
0x00007ffc19430000   0x00007ffc1943c000    C: WINDOWS SYSTEM32 CRYPTBASE dll_x000D_
0x00007ffc09df0000   0x00007ffc09e0a000    C: Program Files (x86) Steam steamapps common Mindustry jre bin net dll_x000D_
0x00007ffc19240000   0x00007ffc192aa000    C: WINDOWS system32 mswsock dll_x000D_
0x00007ffc18ee0000   0x00007ffc18f1b000    C: WINDOWS SYSTEM32 IPHLPAPI DLL_x000D_
0x00007ffc1ad50000   0x00007ffc1ad58000    C: WINDOWS System32 NSI dll_x000D_
0x00007ffc11250000   0x00007ffc11267000    C: WINDOWS SYSTEM32 dhcpcsvc6 DLL_x000D_
0x00007ffc116a0000   0x00007ffc116bd000    C: WINDOWS SYSTEM32 dhcpcsvc DLL_x000D_
0x00007ffc18f30000   0x00007ffc18ffb000    C: WINDOWS SYSTEM32 DNSAPI dll_x000D_
0x00007ffc09dd0000   0x00007ffc09de1000    C: Program Files (x86) Steam steamapps common Mindustry jre bin nio dll_x000D_
0x00007ffc098f0000   0x00007ffc09932000    C: Users starw AppData Local Temp jna 109799703 jna2684382709796806872 dll_x000D_
0x00007ffc09850000   0x00007ffc098ec000    C: Users starw AppData Local Temp jna 109799703 jna2433861253144360805 dll_x000D_
0x00007ffc18330000   0x00007ffc18342000    C: WINDOWS SYSTEM32 kernel appcore dll_x000D_
0x00007ffc097b0000   0x00007ffc097fb000    C: Users starw AppData Local Temp steamworks4j 1 0 Anuken steam api64 dll_x000D_
0x00007ffc09650000   0x00007ffc09697000    C: Users starw AppData Local Temp steamworks4j 1 0 Anuken steamworks4j64 dll_x000D_
0x00007ffc1a6c0000   0x00007ffc1a78d000    C: WINDOWS System32 OLEAUT32 dll_x000D_
0x00007ffc1b240000   0x00007ffc1b6a7000    C: WINDOWS System32 SETUPAPI dll_x000D_
0x00007ffc19a50000   0x00007ffc19a9e000    C: WINDOWS System32 cfgmgr32 dll_x000D_
0x0000000065b80000   0x0000000065c55000    C: Users starw AppData Local Temp arc 18d849d9 arc64 dll_x000D_
0x00007ffbfc550000   0x00007ffbfc664000    C: Users starw AppData Local Temp arc da5eb935 OpenAL32 dll_x000D_
0x0000000075c60000   0x0000000075e31000    C: Users starw AppData Local Temp arc 1f5a8a88 sdl arc64 dll_x000D_
0x00007ffbf8da0000   0x00007ffbf8ec5000    C: WINDOWS SYSTEM32 OPENGL32 dll_x000D_
0x00007ffbf8990000   0x00007ffbf89bc000    C: WINDOWS SYSTEM32 GLU32 dll_x000D_
0x00007ffc17320000   0x00007ffc173be000    C: WINDOWS system32 uxtheme dll_x000D_
0x00007ffc1bf10000   0x00007ffc1c026000    C: WINDOWS System32 MSCTF dll_x000D_
0x00007ffc1be00000   0x00007ffc1bea9000    C: WINDOWS System32 clbcatq dll_x000D_
0x00007ffbe1a20000   0x00007ffbe2568000    C: WINDOWS SYSTEM32 ig75icd64 dll_x000D_
0x00007ffc04a50000   0x00007ffc05490000    C: WINDOWS SYSTEM32 igdusc64 dll_x000D_
0x00007ffc12340000   0x00007ffc12354000    C: WINDOWS SYSTEM32 WTSAPI32 dll_x000D_
0x00007ffc17600000   0x00007ffc1762f000    C: WINDOWS SYSTEM32 dwmapi dll_x000D_
0x00007ffc04970000   0x00007ffc049ab000    C: WINDOWS SYSTEM32 dxcore dll_x000D_
0x00007ffc19050000   0x00007ffc1909b000    C: WINDOWS SYSTEM32 powrprof dll_x000D_
0x00007ffc18ec0000   0x00007ffc18ed2000    C: WINDOWS SYSTEM32 UMPDC dll_x000D_
0x00007ffc17a60000   0x00007ffc17b57000    C: WINDOWS SYSTEM32 PROPSYS dll_x000D_
0x00007ffc10d00000   0x00007ffc10d66000    C: WINDOWS SYSTEM32 OLEACC dll_x000D_
0x00007ffc08260000   0x00007ffc0835d000    C: WINDOWS SYSTEM32 textinputframework dll_x000D_
0x00007ffc16840000   0x00007ffc16b9e000    C: WINDOWS SYSTEM32 CoreUIComponents dll_x000D_
0x00007ffc16f20000   0x00007ffc17012000    C: WINDOWS SYSTEM32 CoreMessaging dll_x000D_
0x00007ffc18790000   0x00007ffc187c3000    C: WINDOWS SYSTEM32 ntmarta dll_x000D_
0x00007ffc15860000   0x00007ffc159b6000    C: WINDOWS SYSTEM32 wintypes dll_x000D_
0x00007ffbd1a90000   0x00007ffbd1ad0000    C: Windows System32 IME IMEKR imkrapi dll_x000D_
0x00007ffc153b0000   0x00007ffc15450000    C: WINDOWS SYSTEM32 policymanager dll_x000D_
0x00007ffc18c00000   0x00007ffc18c8a000    C: WINDOWS SYSTEM32 msvcp110 win dll_x000D_
0x00007ffbd1a50000   0x00007ffbd1a8e000    C: Windows System32 IME shared imjkapi dll_x000D_
0x00007ffc12c70000   0x00007ffc12cf5000    C: WINDOWS System32 MMDevApi dll_x000D_
0x00007ffc19800000   0x00007ffc1982c000    C: WINDOWS System32 DEVOBJ dll_x000D_
0x00007ffc12e10000   0x00007ffc12f94000    C: WINDOWS SYSTEM32 AUDIOSES DLL_x000D_
0x00007ffc183a0000   0x00007ffc18493000    C: WINDOWS SYSTEM32 dxgi dll_x000D_
0x00007ffc163e0000   0x00007ffc16644000    C: WINDOWS SYSTEM32 d3d11 dll_x000D_
0x00007ffc17400000   0x00007ffc17414000    C: WINDOWS SYSTEM32 resourcepolicyclient dll_x000D_
0x00007ffc148f0000   0x00007ffc1499e000    C: WINDOWS SYSTEM32 mscms dll_x000D_
0x00007ffc14880000   0x00007ffc14891000    C: WINDOWS SYSTEM32 ColorAdapterClient dll_x000D_
0x00007ffc08900000   0x00007ffc08943000    C: WINDOWS SYSTEM32 icm32 dll_x000D_
0x0000000070080000   0x000000007012f000    C: Users starw AppData Local Temp arc a14be13f arc freetype64 dll_x000D_
0x00007ffc09820000   0x00007ffc09844000    C: Program Files (x86) Steam steamapps common Mindustry jre bin sunec dll_x000D_
0x00007ffc0e850000   0x00007ffc0e85a000    C: Windows System32 rasadhlp dll_x000D_
0x00007ffc0ed00000   0x00007ffc0ed7f000    C: WINDOWS System32 fwpuclnt dll_x000D_
0x00007ffc11420000   0x00007ffc11604000    C: WINDOWS SYSTEM32 dbghelp dll_x000D_
_x000D_
VM Arguments:_x000D_
java command:  unknown _x000D_
java class path (initial):  not set _x000D_
Launcher Type: generic_x000D_
_x000D_
Environment Variables:_x000D_
JAVA HOME C: Program Files AdoptOpenJDK jdk 14 0 2 12 hotspot _x000D_
PATH C: Program Files (x86) Steam C: Program Files AdoptOpenJDK jdk 14 0 2 12 hotspot bin C: Users starw AppData Roaming npm C: Program Files nodejs   SystemRoot  system32  SystemRoot   SystemRoot  System32 Wbem  SYSTEMROOT  System32 WindowsPowerShell v1 0   SYSTEMROOT  System32 OpenSSH  C: Users starw AppData Local Microsoft WindowsApps C: Users starw AppData Local Programs Microsoft VS Code bin C: Users starw AppData Local atom bin C: Users starw AppData Local GitHubDesktop bin C: Users starw AppData Roaming npm  USERPROFILE  AppData Local Microsoft WindowsApps _x000D_
USERNAME sunny_x000D_
OS Windows NT_x000D_
PROCESSOR IDENTIFIER Intel64 Family 6 Model 69 Stepping 1  GenuineIntel_x000D_
_x000D_
_x000D_
_x000D_
                 S Y S T E M                 _x000D_
_x000D_
OS: Windows 10 0   64 bit Build 19041 (10 0 19041 662)_x000D_
_x000D_
CPU:total 4 (2 cores per cpu  2 threads per core) family 6 model 69 stepping 1  cmov  cx8  fxsr  mmx  sse  sse2  sse3  ssse3  sse4 1  sse4 2  popcnt  avx  avx2  aes  clmul  erms  lzcnt  ht  tsc  tscinvbit  bmi1  bmi2_x000D_
_x000D_
Memory: 4k page  physical 8301416k(2643228k free)  swap 17214312k(10478804k free)_x000D_
_x000D_
vm info: OpenJDK 64 Bit Server VM (25 72 b15) for windows amd64 JRE (1 8 0 72 b15)  built on Jan 28 2016 11:10:06 by  tester  with MS VC   10 0 (VS2010)_x000D_
_x000D_
time: Sat Dec 12 07:34:35 2020_x000D_
elapsed time: 86 seconds (0d 0h 1m 26s)_x000D_
   _x000D_
_x000D_
   _x000D_
_x000D_
 Place an X (no spaces) between the brackets to confirm that you have read the line below    _x000D_
   x    I have updated to the latest release (https:  github com Anuken Mindustry releases) to make sure my issue has not been fixe</t>
  </si>
  <si>
    <t>SkyTubeTeam-SkyTube-852</t>
  </si>
  <si>
    <t>Crash while opening and presenting feed</t>
  </si>
  <si>
    <t xml:space="preserve">Today my feed updated as it does  and Skytube crashed  I reopened it  and the twirly displays while it is updating the feed  After some time some videos are displayed and then immediately it crashes again  Every subsequent attempt at opening the program continues to result in the same crash  I m running version 2 975 (2020 10 31 19:15) on a Lenovo Yoga Book running Android 7 1 1 </t>
  </si>
  <si>
    <t>ElderDrivers-EdXposed-727</t>
  </si>
  <si>
    <t>[BUG] Google camera 8.x crashes upon opening</t>
  </si>
  <si>
    <t xml:space="preserve">    _x000D_
                                 _x000D_
If you encountered boot loop  please make sure you have disabled all modules before submit an issue _x000D_
   _x000D_
_x000D_
       What happened   _x000D_
After Nov 17th app update to Google camera v 8 1 the app will crash upon opening of Edxposed is enabled  _x000D_
_x000D_
           _x000D_
_x000D_
  Xposed     Xposed Module List  _x000D_
Fingerface_x000D_
Edge Sense_x000D_
_x000D_
  Magisk     Magisk Module List  _x000D_
Busybox_x000D_
Riru v23_x000D_
Riru edXposed v 0 5 1 0 4603_x000D_
Systemless host_x000D_
Substratum lite overlay helper_x000D_
Volte f r pixel 4 4xl_x000D_
_x000D_
  EdXposed Riru   Version of EdXposed and Riru  _x000D_
_x000D_
EdXposed: 0 5 1 0 4603 _x000D_
_x000D_
Riru: 23_x000D_
_x000D_
       Related Logs  _x000D_
_x000D_
https:  pastebin com pa9tJ4Em_x000D_
_x000D_
              debug EdXposed      _x000D_
Please capture log with debug version  otherwise it won t help us locating the issue _x000D_
</t>
  </si>
  <si>
    <t>Anuken-Mindustry-3946</t>
  </si>
  <si>
    <t>The resource count does not get updated in realtime on the research tree screen.</t>
  </si>
  <si>
    <t xml:space="preserve">  Platform  : Windows_x000D_
_x000D_
  Build  : Steam build 121 2_x000D_
_x000D_
  Issue  : The resource count table does not get updated on the research screen  It literally freezes with the amount of resources that was effective at the moment of entering the screen  Similarly  the tooltips on particular researches keep thinking that these amounts are still ever effective _x000D_
_x000D_
So for example if you have 1 5k silicon when entering the screen and spend it all on something  the count is going to drop to 0 and never change  forcing you to exit and enter the research screen again to take into account the amount that might have accumulated in the seconds since the last research  You must do this each time to make the system update the effective amount of stored resources _x000D_
_x000D_
It would have been very nice if these values were updated in realtime _x000D_
_x000D_
Though this issue seems so obvious  I did not find any mention of an existing case among the closed ones _x000D_
_x000D_
  Steps to reproduce  : Play the game  open the research tree screen  observe the behavior_x000D_
_x000D_
  Link(s) to mod(s) used  : None_x000D_
_x000D_
  Save file  : not related_x000D_
_x000D_
  (Crash) logs  :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</si>
  <si>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Anuken-Mindustry-3944</t>
  </si>
  <si>
    <t>When playing multiplayer campaign, client-side research doesn't use resources</t>
  </si>
  <si>
    <t xml:space="preserve">  Platform  :  Android iOS Mac Windows Linux _x000D_
_x000D_
Windows_x000D_
_x000D_
  Build  :  The build number under the title in the main menu  Required   LATEST  IS NOT A VERSION  I NEED THE EXACT BUILD NUMBER OF YOUR GAME  _x000D_
_x000D_
121 2_x000D_
_x000D_
  Issue  :  Explain your issue in detail  _x000D_
_x000D_
If you are playing multiplayer campaign with another player  when you research something  it spends the resources  but exiting and reopening the menu will show that the resources were never spent  but research progress is made_x000D_
_x000D_
  Steps to reproduce  :  How you happened across the issue  and what exactly you did to make the bug happen  _x000D_
_x000D_
Host a multiplayer campaign game on a device  connect to the game with another device  and research something  It will show resources being spent  and progress being made  but reopening the menu will restore the resources  but not revert the progress_x000D_
_x000D_
  Link(s) to mod(s) used  :  The mod repositories or zip files that are related to the issue  if applicable  _x000D_
_x000D_
N 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savefile zip (https:  github com Anuken Mindustry files 5683586 savefile zip)_x000D_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N 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</si>
  <si>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TeamNewPipe-NewPipe-5162</t>
  </si>
  <si>
    <t>New Pipe 0.20.6  crash android system 10</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</si>
  <si>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1  start the background player with a bookmarked playlist  i used bt headphones_x000D_
2  after few minute the android crashed_x000D_
3  android 10 start in recovery mode_x000D_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QKQ1 190910 002 V11 0 17 0 QDIMIXM_x000D_
   Device model: Xio Mi A2_x000D_
</t>
  </si>
  <si>
    <t>Anuken-Mindustry-3940</t>
  </si>
  <si>
    <t>Unable to launch mod sector</t>
  </si>
  <si>
    <t xml:space="preserve">  Platform  : Windows_x000D_
_x000D_
  Build  : v120 (not works on 121 2 too)_x000D_
_x000D_
  Issue  :_x000D_
When trying to launch on a modified planet  the game crashes _x000D_
_x000D_
  Steps to reproduce  :_x000D_
1  Create a mod planet _x000D_
2  Try to launch to any planet sector _x000D_
_x000D_
  Links to mods used  :_x000D_
 SolarSystem 1 0 Desktop zip (https:  github com Anuken Mindustry files 5683297 SolarSystem 1 0 Desktop zip)_x000D_
_x000D_
_x000D_
  Crash logs  :_x000D_
 crash report txt (https:  github com Anuken Mindustry files 5683276 crash report 12 12 2020 17 44 25 txt)_x000D_
   _x000D_
arc util serialization SerializationException: Serialization trace:_x000D_
   sector_x000D_
sector (mindustry game Rules)_x000D_
	at arc util serialization Json readFields(Json java:911)_x000D_
	at arc util serialization Json readValue(Json java:1086)_x000D_
	at arc util serialization Json readValue(Json java:987)_x000D_
	at arc util serialization Json fromJson(Json java:828)_x000D_
	at mindustry io JsonIO read(JsonIO java:60)_x000D_
	at mindustry io SaveVersion getMeta(SaveVersion java:42)_x000D_
	at mindustry io SaveIO getMeta(SaveIO java:91)_x000D_
	at mindustry io SaveIO getMeta(SaveIO java:82)_x000D_
	at mindustry game Saves SaveSlot save(Saves java:202)_x000D_
	at mindustry game Saves saveSector(Saves java:131)_x000D_
	at mindustry core Control lambda playSector 27(Control java:394)_x000D_
	at mindustry core UI lambda loadAnd 10(UI java:240)_x000D_
	at arc util Timer 1 run(Timer java:88)_x000D_
	at arc util TaskQueue run(TaskQueue java:17)_x000D_
	at arc backend sdl SdlApplication loop(SdlApplication java:148)_x000D_
	at arc backend sdl SdlApplication  init (SdlApplication java:43)_x000D_
	at mindustry desktop DesktopLauncher main(DesktopLauncher java:36)_x000D_
Caused by: java lang NullPointerException_x000D_
	at mindustry io JsonIO 2 read(JsonIO java:87)_x000D_
	at mindustry io JsonIO 2 read(JsonIO java:78)_x000D_
	at arc util serialization Json readValue(Json java:1093)_x000D_
	at arc util serialization Json readFields(Json java:904)_x000D_
	    16 more_x000D_
   _x000D_
_x000D_
   _x000D_
_x000D_
   X  I have updated to the latest release to make sure my issue has not been fixed _x000D_
   X  I have searched the closed and open issues to make sure that this problem has not already been reported _x000D_
</t>
  </si>
  <si>
    <t>Anuken-Mindustry-3938</t>
  </si>
  <si>
    <t>mindustry error</t>
  </si>
  <si>
    <t xml:space="preserve">_x000D_
Mindustry has crashed  How unfortunate _x000D_
Report this at https:  github com Anuken Mindustry issues new labels bug template bug report md_x000D_
_x000D_
Version: steam build 121 2_x000D_
OS: Windows 10 x64_x000D_
Java Version: 1 8 0 72_x000D_
Java Architecture: 64_x000D_
0 Mods_x000D_
_x000D_
java lang IllegalArgumentException: Failed to compile shader: Fragment shader(s) failed to link   vertex shader(s) linked  _x000D_
 _x000D_
	at arc graphics gl Shader  init (Shader java:129)_x000D_
	at arc graphics gl Shader  init (Shader java:134)_x000D_
	at mindustry graphics Shaders LoadShader  init (Shaders java:257)_x000D_
	at mindustry graphics Shaders SurfaceShader  init (Shaders java:231)_x000D_
	at mindustry graphics Shaders init(Shaders java:43)_x000D_
	at mindustry core Renderer  init (Renderer java:45)_x000D_
	at mindustry ClientLauncher setup(ClientLauncher java:98)_x000D_
	at mindustry ClientLauncher init(ClientLauncher java:173)_x000D_
	at arc backend sdl SdlApplication listen(SdlApplication java:158)_x000D_
	at arc backend sdl SdlApplication loop(SdlApplication java:117)_x000D_
	at arc backend sdl SdlApplication  init (SdlApplication java:43)_x000D_
	at mindustry desktop DesktopLauncher main(DesktopLauncher java:36)_x000D_
_x000D_
_x000D_
_x000D_
_x000D_
_x000D_
_x000D_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</si>
  <si>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schaefer30038-easy-meal-prep-8</t>
  </si>
  <si>
    <t>Freezing/Crashing</t>
  </si>
  <si>
    <t>_x000D_
a  Summary: application can stop_x000D_
b  Description: The application will stop with a message or_x000D_
will shutdown without one  Happens when a user_x000D_
presses a button after logging out and pressing back _x000D_
c  Severity: Major_x000D_
d  Comments: If the crash causes a user to lose state  it_x000D_
can become a problem for a number of reasons  If they do not lose state _x000D_
the issue is minor  as restarting the application should still be an option _x000D_
Detaching the back button after logout or checking for logged in status_x000D_
would solve this issue _x000D_
e  Log: The Logcat output is shown below</t>
  </si>
  <si>
    <t>Anuken-Mindustry-3932</t>
  </si>
  <si>
    <t>Liquid Turrets crash at  if ammoTypes: doesn't include water:</t>
  </si>
  <si>
    <t xml:space="preserve">  Platform  :  Android iOS Mac Windows Linux _x000D_
_x000D_
  Build  : release build 121 2_x000D_
_x000D_
  Issue  :  if you are modding and make a liquid turret using json  but do NOT have water: in your ammo types  it crashes the game when that turret gets one of the  acceptable  liquids  with null pointer exception:_x000D_
java lang NullPointerException_x000D_
	at mindustry world blocks defense turrets LiquidTurret LiquidTurretBuild acceptLiquid(LiquidTurret java:150)_x000D_
_x000D_
adding water works as a workaround for this issue _x000D_
  Steps to reproduce  : _x000D_
open save game provided with mod provided_x000D_
turn on the liquid source to the crystal flare crash (the one with the bad   ) to slag oil cryo enrichedslag_x000D_
crash to desktop_x000D_
_x000D_
_x000D_
  Link(s) to mod(s) used  :  The mod repositories or zip files that are related to the issue  if applicable  _x000D_
 crystals zip (https:  github com Anuken Mindustry files 5682469 crystals zip)_x000D_
_x000D_
  Save file  : _x000D_
_x000D_
 crashme zip (https:  github com Anuken Mindustry files 5682467 crashme zip)_x000D_
_x000D_
  (Crash) logs  : _x000D_
_x000D_
 crash report 12 11 2020 20 06 50 txt (https:  github com Anuken Mindustry files 5682429 crash report 12 11 2020 20 06 50 txt)_x000D_
one with JUST crystals mod enabled_x000D_
 crash report 12 11 2020 21 08 28 txt (https:  github com Anuken Mindustry files 5682472 crash report 12 11 2020 21 08 28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</si>
  <si>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TeamNewPipe-NewPipe-legacy-54</t>
  </si>
  <si>
    <t>With some playlists, it doesn't advance to the next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</si>
  <si>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NewPipe Legacy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I have this playlist bookmarked https:  www youtube com playlist list PLFTcWm5cJeAh7raw0shnQGHQ5OxemdEIT_x000D_
  In any video from the playlist  i choose to play it in background  _x000D_
  It takes some time  but it plays normally until it ends _x000D_
  It should be reproducing the next video in playlist but   _x000D_
_x000D_
    Actual behaviour_x000D_
     Tell us what happens with the steps given above     _x000D_
_x000D_
      It doesn t play  It keeps loading indefinitely _x000D_
  In fact  you can play any other video  They don t load _x000D_
  You need to exit and swip out Newpipe Legacy and enter again to play any other video _x000D_
_x000D_
    Expected behavior_x000D_
     Tell us what you expect to happen     _x000D_
_x000D_
  When a video ends in a playlist  it should be playing the next one in the playlist _x000D_
  In fact  with a new created playlist with three short videos (not a one searched and bookmarked)  it pass from the next one like normal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Logs_x000D_
     If your bug includes a crash (where you re shown the Error Report page with a bunch of info)  tap on  Copy formatted report  at the bottom and paste it here:    _x000D_
_x000D_
     That s right  here     _x000D_
_x000D_
This is the log from Newpipe in aLogCat  during the bug with the mentioned playlist:_x000D_
 alogcat 2020 12 11 21 32 18 0100 Bug txt (https:  github com TeamNewPipe NewPipe legacy files 5681970 alogcat 2020 12 11 21 32 18 2B0100 Bug txt)_x000D_
_x000D_
Also  this is the log when using that short playlist which doesn t do that problem:_x000D_
 alogcat 2020 12 11 21 17 51 0100 noBug txt (https:  github com TeamNewPipe NewPipe legacy files 5681971 alogcat 2020 12 11 21 17 51 2B0100 noBug txt)_x000D_
_x000D_
     Please fill this out when you do not provide a log generate by NewPipe    _x000D_
_x000D_
    Device info_x000D_
_x000D_
   Android version Custom ROM version: 4 1 1 JB Ver1 3 5 20130322 065719_x000D_
   Device model: Arnova 10d G3 (WonderMedia WM8850 mid)_x000D_
</t>
  </si>
  <si>
    <t>TeamNewPipe-NewPipe-5155</t>
  </si>
  <si>
    <t>Issue while copying text in description of a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</si>
  <si>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_x000D_
_x000D_
     If you can t cause the bug to show up again reliably (and hence don t have a proper set of steps to give us)  please still try to give as many details as possible on how you think you encountered the bug     _x000D_
_x000D_
1  Open any youtube video_x000D_
2  Click on video title it opens description box _x000D_
3  Select any text for copying  Don t click on copy or select all  After selection of text just click anywhere inside description box(red box in screenshot attached) app crashes  If I click on copy or select all no crash is happening _x000D_
_x000D_
    Actual behaviour_x000D_
     Tell us what happens with the steps given above     _x000D_
NewPipe crashes abruptly _x000D_
_x000D_
_x000D_
    Expected behavior_x000D_
     Tell us what you expect to happen     _x000D_
App shouldn t crash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newpipe (https:  user images githubusercontent com 46630255 101954193 ac770280 3c21 11eb 82be 15976ed0b73c png)_x000D_
_x000D_
GIF explaining my issue_x000D_
_x000D_
  Description Issue (https:  user images githubusercontent com 46630255 101964938 0afbab00 3c39 11eb 809e bc9b073bdef2 gif)_x000D_
_x000D_
_x000D_
    Logs_x000D_
_x000D_
I didn t got  FATAL EXCEPTION: main  for Newpipe app but got  IndexOutOfBoundsException  for Newpipe app _x000D_
_x000D_
   _x000D_
04 06 20:51:28 700 22726 22726 E ACRA    : ACRA caught a IndexOutOfBoundsException for org schabi newpipe_x000D_
04 06 20:51:28 700 22726 22726 E ACRA    : java lang IndexOutOfBoundsException: setSpan ( 1      1) starts before 0_x000D_
04 06 20:51:28 700 22726 22726 E ACRA    : 	at android text SpannableStringInternal checkRange(SpannableStringInternal java:358)_x000D_
04 06 20:51:28 700 22726 22726 E ACRA    : 	at android text SpannableStringInternal setSpan(SpannableStringInternal java:79)_x000D_
04 06 20:51:28 700 22726 22726 E ACRA    : 	at android text SpannableString setSpan(SpannableString java:46)_x000D_
04 06 20:51:28 700 22726 22726 E ACRA    : 	at android text Selection setSelection(Selection java:78)_x000D_
04 06 20:51:28 700 22726 22726 E ACRA    : 	at android widget Editor SelectionStartHandleView updateSelection(Editor java:4968)_x000D_
04 06 20:51:28 700 22726 22726 E ACRA    : 	at android widget Editor HandleView positionAtCursorOffset(Editor java:4491)_x000D_
04 06 20:51:28 700 22726 22726 E ACRA    : 	at android widget Editor HandleView updatePosition(Editor java:4514)_x000D_
04 06 20:51:28 700 22726 22726 E ACRA    : 	at android widget Editor PositionListener onPreDraw(Editor java:2477)_x000D_
04 06 20:51:28 700 22726 22726 E ACRA    : 	at android view ViewTreeObserver dispatchOnPreDraw(ViewTreeObserver java:944)_x000D_
04 06 20:51:28 700 22726 22726 E ACRA    : 	at android view ViewRootImpl performTraversals(ViewRootImpl java:2092)_x000D_
04 06 20:51:28 700 22726 22726 E ACRA    : 	at android view ViewRootImpl doTraversal(ViewRootImpl java:1144)_x000D_
04 06 20:51:28 700 22726 22726 E ACRA    : 	at android view ViewRootImpl TraversalRunnable run(ViewRootImpl java:6102)_x000D_
04 06 20:51:28 700 22726 22726 E ACRA    : 	at android view Choreographer CallbackRecord run(Choreographer java:860)_x000D_
04 06 20:51:28 700 22726 22726 E ACRA    : 	at android view Choreographer doCallbacks(Choreographer java:672)_x000D_
04 06 20:51:28 700 22726 22726 E ACRA    : 	at android view Choreographer doFrame(Choreographer java:608)_x000D_
04 06 20:51:28 700 22726 22726 E ACRA    : 	at android view Choreographer FrameDisplayEventReceiver run(Choreographer java:846)_x000D_
04 06 20:51:28 700 22726 22726 E ACRA    : 	at android os Handler handleCallback(Handler java:742)_x000D_
04 06 20:51:28 700 22726 22726 E ACRA    : 	at android os Handler dispatchMessage(Handler java:95)_x000D_
04 06 20:51:28 700 22726 22726 E ACRA    : 	at android os Looper loop(Looper java:157)_x000D_
04 06 20:51:28 700 22726 22726 E ACRA    : 	at android app ActivityThread main(ActivityThread java:5603)_x000D_
04 06 20:51:28 700 22726 22726 E ACRA    : 	at java lang reflect Method invoke(Native Method)_x000D_
04 06 20:51:28 700 22726 22726 E ACRA    : 	at com android internal os ZygoteInit MethodAndArgsCaller run(ZygoteInit java:774)_x000D_
04 06 20:51:28 700 22726 22726 E ACRA    : 	at com android internal os ZygoteInit main(ZygoteInit java:652)_x000D_
   _x000D_
_x000D_
I also got following entry after many lines below ACRA exception_x000D_
_x000D_
 04 06 20:51:42 979 12269 12381 D PowerKeeper Event: notifyAMProcDied pacakageName: org schabi newpipe  pid:24917 _x000D_
_x000D_
    Device info_x000D_
_x000D_
   Android version: 6 0 1_x000D_
   Device model: Redmi Note 3_x000D_
</t>
  </si>
  <si>
    <t>TeamNewPipe-NewPipe-5150</t>
  </si>
  <si>
    <t>NewPipe lists a stack trace when loading a video (OmniROM 4.4.4)</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</si>
  <si>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the app_x000D_
2  Load any video_x000D_
3  Guru Meditation and a stack trace shows up  but the video isn t loaded_x000D_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A Java stacktrace is shown  The error message  Couldn t analyze the website  shows up instead of the video _x000D_
_x000D_
_x000D_
_x000D_
    Expected behavior_x000D_
     Tell us what you expect to happen     _x000D_
I expected to see the video I want to watch instead of this error message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This happens at every video I try to load  I m using OmniROM 4 4 4 on a Nexus 7 (2012) _x000D_
   Exception_x000D_
    User Action:   requested stream_x000D_
    Request:   https:  www youtube com watch v  ROlNh4wUtA_x000D_
    Content Country:   AT_x000D_
    Content Language:   de AT_x000D_
    App Language:   de AT_x000D_
    Service:   YouTube_x000D_
    Version:   0 20 1_x000D_
    OS:   Linux Android 4 4 4   19_x000D_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call(lambda)_x000D_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access 201(ScheduledThreadPoolExecutor java:152)_x000D_
	at java util concurrent ScheduledThreadPoolExecutor ScheduledFutureTask run(ScheduledThreadPoolExecutor java:265)_x000D_
	at java util concurrent ThreadPoolExecutor runWorker(ThreadPoolExecutor java:1112)_x000D_
	at java util concurrent ThreadPoolExecutor Worker run(ThreadPoolExecutor java:587)_x000D_
	at java lang Thread run(Thread java:841)_x000D_
_x000D_
   _x000D_
  details _x000D_
 hr _x000D_
_x000D_
_x000D_
     Please fill this out when you do not provide a log generate by NewPipe    _x000D_
_x000D_
    Device info_x000D_
_x000D_
   Android version Custom ROM version: OmniROM 4 4 4 FINAL_x000D_
   Device model: Nexus 7 (tilapia)_x000D_
</t>
  </si>
  <si>
    <t>square-okhttp-6467</t>
  </si>
  <si>
    <t>Fatal Exception: java.io.IOException: failed to rename...</t>
  </si>
  <si>
    <t>Hello _x000D_
_x000D_
We are still seeing this crash on version 4 9 0 _x000D_
_x000D_
   _x000D_
Fatal Exception: java io IOException: failed to rename  data user 0 OURAPP cache 57ad8dd5e5e0a9c6b5f4b00d66f8e3c6 0 tmp to  data user 0 OURAPP cache 57ad8dd5e5e0a9c6b5f4b00d66f8e3c6 0_x000D_
       at okhttp3 internal io FileSystem Companion SystemFileSystem rename(FileSystem java:90)_x000D_
       at okhttp3 internal cache DiskLruCache completeEdit okhttp(DiskLruCache java:532)_x000D_
       at okhttp3 internal cache DiskLruCache Editor commit(DiskLruCache java:901)_x000D_
       at okhttp3 Cache RealCacheRequest 1 close(Cache java:406)_x000D_
       at okio internal RealBufferedSinkKt commonClose(RealBufferedSinkKt java:203)_x000D_
       at okio RealBufferedSink close(RealBufferedSink java:286)_x000D_
       at okhttp3 internal cache CacheInterceptor cacheWritingResponse cacheWritingSource 1 read(CacheInterceptor java:190)_x000D_
       at okio internal RealBufferedSourceKt commonRead(RealBufferedSourceKt java:39)_x000D_
       at okio RealBufferedSource read(RealBufferedSource java:189)_x000D_
       at okio internal RealBufferedSourceKt commonExhausted(RealBufferedSourceKt java:49)_x000D_
       at okio RealBufferedSource exhausted(RealBufferedSource java:197)_x000D_
       at okio GzipSource read(GzipSource java:88)_x000D_
       at okio internal RealBufferedSourceKt commonRead(RealBufferedSourceKt java:39)_x000D_
       at okio RealBufferedSource read(RealBufferedSource java:189)_x000D_
       at okio ForwardingSource read(ForwardingSource java:29)_x000D_
       at retrofit2 OkHttpCall ExceptionCatchingResponseBody 1 read(OkHttpCall java:288)_x000D_
       at okio RealBufferedSource inputStream 1 read(RealBufferedSource java:158)_x000D_
       at sun nio cs StreamDecoder readBytes(StreamDecoder java:288)_x000D_
       at sun nio cs StreamDecoder implRead(StreamDecoder java:351)_x000D_
       at sun nio cs StreamDecoder read(StreamDecoder java:180)_x000D_
       at java io InputStreamReader read(InputStreamReader java:184)_x000D_
       at okhttp3 ResponseBody BomAwareReader read(ResponseBody java:211)_x000D_
       at com google gson stream JsonReader fillBuffer(JsonReader java:1295)_x000D_
       at com google gson stream JsonReader nextNonWhitespace(JsonReader java:1333)_x000D_
       at com google gson stream JsonReader doPeek(JsonReader java:538)_x000D_
       at com google gson stream JsonReader peek(JsonReader java:425)_x000D_
       at retrofit2 converter gson GsonResponseBodyConverter convert(GsonResponseBodyConverter java:40)_x000D_
       at retrofit2 converter gson GsonResponseBodyConverter convert(GsonResponseBodyConverter java:27)_x000D_
       at retrofit2 OkHttpCall parseResponse(OkHttpCall java:225)_x000D_
       at retrofit2 OkHttpCall 1 onResponse(OkHttpCall java:121)_x000D_
       at okhttp3 internal connection RealCall AsyncCall run(RealCall java:519)_x000D_
       at java util concurrent ThreadPoolExecutor runWorker(ThreadPoolExecutor java:1167)_x000D_
       at java util concurrent ThreadPoolExecutor Worker run(ThreadPoolExecutor java:641)_x000D_
       at java lang Thread run(Thread java:764)_x000D_
   _x000D_
_x000D_
Any help is greatly appreciated _x000D_
_x000D_
Olivier</t>
  </si>
  <si>
    <t>inverse-inc-packetfence-android-agent-9</t>
  </si>
  <si>
    <t>Catch if cacert empty and api&gt;=29 for peap</t>
  </si>
  <si>
    <t xml:space="preserve">Currently the app is crashing if cacert is null and api  29_x000D_
This commit fix this </t>
  </si>
  <si>
    <t>twilio-video-quickstart-android-595</t>
  </si>
  <si>
    <t>Crash upon starting a call</t>
  </si>
  <si>
    <t xml:space="preserve">    Description_x000D_
_x000D_
Crash upon starting a video call_x000D_
_x000D_
    Steps to Reproduce_x000D_
_x000D_
1  Use Pixel 2 Device API 29_x000D_
2  Initiate a video call_x000D_
3  Do not even start the call  it happens in a few seconds_x000D_
_x000D_
_x000D_
     Reproduces how Often_x000D_
_x000D_
It happens on certain devices always  On other devices  it never happens _x000D_
_x000D_
     Logs_x000D_
_x000D_
   _x000D_
2020 12 11 17:39:03 946 1800 2448   E GnssHAL GnssInterface: gnssSvStatusCb: a: input svInfo flags is 8_x000D_
2020 12 11 17:39:03 947 1800 2448   E GnssHAL GnssInterface: gnssSvStatusCb: b: input svInfo flags is 8_x000D_
2020 12 11 17:39:03 998 19889 21254 com medici practitioner dev I tvi webrtc Logging: WebRtcAudioTrack: stopPlayout_x000D_
2020 12 11 17:39:03 998 19889 21254 com medici practitioner dev I tvi webrtc Logging: WebRtcAudioTrack: underrun count: 0_x000D_
2020 12 11 17:39:03 998 19889 21254 com medici practitioner dev I tvi webrtc Logging: WebRtcAudioTrack: stopThread_x000D_
2020 12 11 17:39:03 998 19889 21254 com medici practitioner dev I tvi webrtc Logging: WebRtcAudioTrack: Stopping the AudioTrackThread   _x000D_
2020 12 11 17:39:04 002 19889 21394 com medici practitioner dev I tvi webrtc Logging: WebRtcAudioTrack: Calling AudioTrack stop   _x000D_
2020 12 11 17:39:04 002 19889 21394 com medici practitioner dev D AudioTrack: stop(43): called with 10584 frames delivered_x000D_
2020 12 11 17:39:04 003 19889 21394 com medici practitioner dev I tvi webrtc Logging: WebRtcAudioTrack: AudioTrack stop is done _x000D_
2020 12 11 17:39:04 006 19889 21254 com medici practitioner dev I tvi webrtc Logging: WebRtcAudioTrack: AudioTrackThread has now been stopped _x000D_
2020 12 11 17:39:04 006 19889 21254 com medici practitioner dev I tvi webrtc Logging: WebRtcAudioTrack: releaseAudioResources_x000D_
2020 12 11 17:39:04 012 19889 21254 com medici practitioner dev I tvi webrtc Logging: WebRtcAudioTrack: initPlayout(sampleRate 44100  channels 1  bufferSizeFactor 1 0)_x000D_
2020 12 11 17:39:04 012 19889 21254 com medici practitioner dev I tvi webrtc Logging: WebRtcAudioTrack: byteBuffer capacity: 882_x000D_
2020 12 11 17:39:04 014 19889 21254 com medici practitioner dev I tvi webrtc Logging: WebRtcAudioTrack: minBufferSizeInBytes: 4232_x000D_
2020 12 11 17:39:04 014 19889 21254 com medici practitioner dev I tvi webrtc Logging: WebRtcAudioTrack: createAudioTrackOnLollipopOrHigher_x000D_
2020 12 11 17:39:04 016 19889 21254 com medici practitioner dev I tvi webrtc Logging: WebRtcAudioTrack: nativeOutputSampleRate: 44100_x000D_
2020 12 11 17:39:04 019 1814 1990   D AudioFlinger: Client defaulted notificationFrames to 1058 for frameCount 2116_x000D_
2020 12 11 17:39:04 020 1814 1990   D AF::TrackHandle: OpPlayAudio: track:83 usage:2 not muted_x000D_
2020 12 11 17:39:04 026 19889 21254 com medici practitioner dev I tvi webrtc Logging: WebRtcAudioTrack: AudioTrack: session ID: 289  channels: 1  sample rate: 44100  max gain: 1 0_x000D_
2020 12 11 17:39:04 026 19889 21254 com medici practitioner dev I tvi webrtc Logging: WebRtcAudioTrack: AudioTrack: buffer size in frames: 2116_x000D_
2020 12 11 17:39:04 026 19889 21254 com medici practitioner dev I tvi webrtc Logging: WebRtcAudioTrack: AudioTrack: buffer capacity in frames: 2116_x000D_
2020 12 11 17:39:04 026 19889 21254 com medici practitioner dev I tvi webrtc Logging: WebRtcAudioTrack: startPlayout_x000D_
2020 12 11 17:39:04 027 19889 21254 com medici practitioner dev I tvi webrtc Logging: WebRtcAudioTrack: stopPlayout_x000D_
2020 12 11 17:39:04 027 19889 21254 com medici practitioner dev I tvi webrtc Logging: WebRtcAudioTrack: underrun count: 0_x000D_
2020 12 11 17:39:04 027 19889 21254 com medici practitioner dev I tvi webrtc Logging: WebRtcAudioTrack: stopThread_x000D_
2020 12 11 17:39:04 027 19889 21254 com medici practitioner dev I tvi webrtc Logging: WebRtcAudioTrack: Stopping the AudioTrackThread   _x000D_
2020 12 11 17:39:04 029 19889 21396 com medici practitioner dev I tvi webrtc Logging: WebRtcAudioTrack: AudioTrackThread  name AudioTrackJavaThread  id 838 _x000D_
2020 12 11 17:39:04 029 19889 21396 com medici practitioner dev I tvi webrtc Logging: WebRtcAudioTrack: Calling AudioTrack stop   _x000D_
2020 12 11 17:39:04 029 19889 21396 com medici practitioner dev D AudioTrack: stop(44): called with 0 frames delivered_x000D_
2020 12 11 17:39:04 030 19889 21396 com medici practitioner dev I tvi webrtc Logging: WebRtcAudioTrack: AudioTrack stop is done _x000D_
2020 12 11 17:39:04 030 19889 21254 com medici practitioner dev I tvi webrtc Logging: WebRtcAudioTrack: AudioTrackThread has now been stopped _x000D_
2020 12 11 17:39:04 030 19889 21254 com medici practitioner dev I tvi webrtc Logging: WebRtcAudioTrack: releaseAudioResources_x000D_
2020 12 11 17:39:04 034 19889 21254 com medici practitioner dev I tvi webrtc Logging: WebRtcAudioTrack: initPlayout(sampleRate 44100  channels 1  bufferSizeFactor 1 0)_x000D_
2020 12 11 17:39:04 034 19889 21254 com medici practitioner dev I tvi webrtc Logging: WebRtcAudioTrack: byteBuffer capacity: 882_x000D_
2020 12 11 17:39:04 034 19889 21254 com medici practitioner dev I tvi webrtc Logging: WebRtcAudioTrack: minBufferSizeInBytes: 4232_x000D_
2020 12 11 17:39:04 034 19889 21254 com medici practitioner dev I tvi webrtc Logging: WebRtcAudioTrack: createAudioTrackOnLollipopOrHigher_x000D_
2020 12 11 17:39:04 035 19889 21254 com medici practitioner dev I tvi webrtc Logging: WebRtcAudioTrack: nativeOutputSampleRate: 44100_x000D_
2020 12 11 17:39:04 039 1814 1814   D AudioFlinger: Client defaulted notificationFrames to 1058 for frameCount 2116_x000D_
2020 12 11 17:39:04 040 1814 1814   D AF::TrackHandle: OpPlayAudio: track:84 usage:2 not muted_x000D_
2020 12 11 17:39:04 044 19889 21254 com medici practitioner dev I tvi webrtc Logging: WebRtcAudioTrack: AudioTrack: session ID: 297  channels: 1  sample rate: 44100  max gain: 1 0_x000D_
2020 12 11 17:39:04 044 19889 21254 com medici practitioner dev I tvi webrtc Logging: WebRtcAudioTrack: AudioTrack: buffer size in frames: 2116_x000D_
2020 12 11 17:39:04 044 19889 21254 com medici practitioner dev I tvi webrtc Logging: WebRtcAudioTrack: AudioTrack: buffer capacity in frames: 2116_x000D_
2020 12 11 17:39:04 045 19889 21254 com medici practitioner dev I tvi webrtc Logging: WebRtcAudioTrack: startPlayout_x000D_
2020 12 11 17:39:04 049 19889 21398 com medici practitioner dev I tvi webrtc Logging: WebRtcAudioTrack: AudioTrackThread  name AudioTrackJavaThread  id 840 _x000D_
2020 12 11 17:39:04 151 19889 21254 com medici practitioner dev I tvi webrtc Logging: WebRtcAudioRecord: initRecording(sampleRate 44100  channels 1)_x000D_
2020 12 11 17:39:04 151 19889 21254 com medici practitioner dev I tvi webrtc Logging: WebRtcAudioRecord: byteBuffer capacity: 882_x000D_
2020 12 11 17:39:04 151 19889 21254 com medici practitioner dev I tvi webrtc Logging: WebRtcAudioRecord: AudioRecord getMinBufferSize: 2688_x000D_
2020 12 11 17:39:04 151 19889 21254 com medici practitioner dev I tvi webrtc Logging: WebRtcAudioRecord: bufferSizeInBytes: 5376_x000D_
2020 12 11 17:39:04 169 1814 1814   W ServiceManager: Permission failure: android permission CAPTURE AUDIO OUTPUT from uid 10136 pid 19889_x000D_
2020 12 11 17:39:04 169 1814 1814   D PermissionCache: checking android permission CAPTURE AUDIO OUTPUT for uid 10136    denied (2826 us)_x000D_
2020 12 11 17:39:04 176 1814 1814   W ServiceManager: Permission failure: android permission CAPTURE AUDIO HOTWORD from uid 10136 pid 19889_x000D_
2020 12 11 17:39:04 176 1814 1814   D PermissionCache: checking android permission CAPTURE AUDIO HOTWORD for uid 10136    denied (814 us)_x000D_
2020 12 11 17:39:04 185 1814 21412   I AudioFlinger: AudioFlinger s thread 0xe4a29ac0 tid 21412 ready to run_x000D_
2020 12 11 17:39:04 193 19889 21254 com medici practitioner dev I tvi webrtc Logging: WebRtcAudioEffects: enable(audioSession 305)_x000D_
2020 12 11 17:39:04 193 19889 21254 com medici practitioner dev I tvi webrtc Logging: WebRtcAudioRecord: AudioRecord: session ID: 305  channels: 1  sample rate: 44100_x000D_
2020 12 11 17:39:04 193 19889 21254 com medici practitioner dev I tvi webrtc Logging: WebRtcAudioRecord: AudioRecord: buffer size in frames: 2688_x000D_
2020 12 11 17:39:04 197 19889 21254 com medici practitioner dev I tvi webrtc Logging: WebRtcAudioRecord: startRecording_x000D_
2020 12 11 17:39:04 223 19889 21413 com medici practitioner dev I tvi webrtc Logging: WebRtcAudioRecord: AudioRecordThread  name AudioRecordJavaThread  id 842 _x000D_
2020 12 11 17:39:04 562 1782 21371   E ResolverController: No valid NAT64 prefix (101   unspecified  0)_x000D_
2020 12 11 17:39:04 607 21417 21417   W cmd: Can t find service car service_x000D_
2020 12 11 17:39:04 948 1800 2448   E GnssHAL GnssInterface: gnssSvStatusCb: a: input svInfo flags is 8_x000D_
2020 12 11 17:39:04 949 1800 2448   E GnssHAL GnssInterface: gnssSvStatusCb: b: input svInfo flags is 8_x000D_
    _x000D_
              beginning of crash_x000D_
2020 12 11 17:39:05 452 19889 21253 com medici practitioner dev A libc:  buildbot src googleplex android ndk release r20 external libcxx       external libcxxabi src abort message cpp:73: abort message: assertion  terminating with uncaught exception of type std::out of range: map::at:  key not found  failed_x000D_
2020 12 11 17:39:05 452 19889 21253 com medici practitioner dev A libc: Fatal signal 6 (SIGABRT)  code  1 (SI QUEUE) in tid 21253 (MediaFactoryImp)  pid 19889 (ractitioner dev)_x000D_
2020 12 11 17:39:05 598 21425 21425   W cmd: Can t find service car service_x000D_
2020 12 11 17:39:05 616 21422 21422   I crash dump32: obtaining output fd from tombstoned  type: kDebuggerdTombstone_x000D_
2020 12 11 17:39:05 622 1888 1888   I  system bin tombstoned: received crash request for pid 21253_x000D_
2020 12 11 17:39:05 623 21422 21422   I crash dump32: performing dump of process 19889 (target tid   21253)_x000D_
2020 12 11 17:39:05 663 21422 21422   A DEBUG:                                                                _x000D_
2020 12 11 17:39:05 664 21422 21422   A DEBUG: Build fingerprint:  google sdk gphone x86 generic x86:10 QSR1 190920 001 5891938:user release keys _x000D_
2020 12 11 17:39:05 664 21422 21422   A DEBUG: Revision:  0 _x000D_
2020 12 11 17:39:05 664 21422 21422   A DEBUG: ABI:  x86 _x000D_
2020 12 11 17:39:05 664 21422 21422   A DEBUG: Timestamp: 2020 12 11 17:39:05 0300_x000D_
2020 12 11 17:39:05 664 21422 21422   A DEBUG: pid: 19889  tid: 21253  name: MediaFactoryImp      com medici practitioner dev    _x000D_
2020 12 11 17:39:05 664 21422 21422   A DEBUG: uid: 10136_x000D_
2020 12 11 17:39:05 664 21422 21422   A DEBUG: signal 6 (SIGABRT)  code  1 (SI QUEUE)  fault addr         _x000D_
2020 12 11 17:39:05 664 21422 21422   A DEBUG: Abort message:   buildbot src googleplex android ndk release r20 external libcxx       external libcxxabi src abort message cpp:73: abort message: assertion  terminating with uncaught exception of type std::out of range: map::at:  key not found  failed _x000D_
2020 12 11 17:39:05 664 21422 21422   A DEBUG:     eax 00000000  ebx 00004db1  ecx 00005305  edx 00000006_x000D_
2020 12 11 17:39:05 664 21422 21422   A DEBUG:     edi f05c533e  esi beadd800_x000D_
2020 12 11 17:39:05 664 21422 21422   A DEBUG:     ebp f2845ad0  esp beadd7a8  eip f2845ad9_x000D_
2020 12 11 17:39:05 841 19889 21260 com medici practitioner dev I tvi webrtc Logging: CameraStatistics: Camera fps: 26 _x000D_
2020 12 11 17:39:05 915 19889 19940 com medici practitioner dev I TransportRuntime CctTransportBackend: Status Code: 200_x000D_
2020 12 11 17:39:05 917 19889 19940 com medici practitioner dev I TransportRuntime CctTransportBackend: Content Type: application json  charset UTF 8_x000D_
2020 12 11 17:39:05 920 21422 21422   A DEBUG: backtrace:_x000D_
2020 12 11 17:39:05 920 21422 21422   A DEBUG:        00 pc 00000ad9   vdso  (  kernel vsyscall 9)_x000D_
2020 12 11 17:39:05 920 21422 21422   A DEBUG:        01 pc 00092328   apex com android runtime lib bionic libc so (syscall 40) (BuildId: 76290498408016ad14f4b98c3ab6c65c)_x000D_
2020 12 11 17:39:05 920 21422 21422   A DEBUG:        02 pc 000ad651   apex com android runtime lib bionic libc so (abort 193) (BuildId: 76290498408016ad14f4b98c3ab6c65c)_x000D_
2020 12 11 17:39:05 920 21422 21422   A DEBUG:        03 pc 000adb88   apex com android runtime lib bionic libc so (  assert2 56) (BuildId: 76290498408016ad14f4b98c3ab6c65c)_x000D_
2020 12 11 17:39:05 920 21422 21422   A DEBUG:        04 pc 00b4b974   data app com medici practitioner dev C6VDXAA1Bx2 rNUc3ORPlQ   lib x86 libtwilio video android so so (BuildId: 6bb42213a69840a33d417903499c2d620cd65112)_x000D_
2020 12 11 17:39:05 920 19889 19940 com medici practitioner dev I TransportRuntime CctTransportBackend: Content Encoding: gzip_x000D_
2020 12 11 17:39:05 920 21422 21422   A DEBUG:        05 pc 00b4bade   data app com medici practitioner dev C6VDXAA1Bx2 rNUc3ORPlQ   lib x86 libtwilio video android so so (BuildId: 6bb42213a69840a33d417903499c2d620cd65112)_x000D_
2020 12 11 17:39:05 920 21422 21422   A DEBUG:        06 pc 00b48259   data app com medici practitioner dev C6VDXAA1Bx2 rNUc3ORPlQ   lib x86 libtwilio video android so so (BuildId: 6bb42213a69840a33d417903499c2d620cd65112)_x000D_
2020 12 11 17:39:05 920 21422 21422   A DEBUG:        07 pc 00b4778e   data app com medici practitioner dev C6VDXAA1Bx2 rNUc3ORPlQ   lib x86 libtwilio video android so so (BuildId: 6bb42213a69840a33d417903499c2d620cd65112)_x000D_
2020 12 11 17:39:05 920 21422 21422   A DEBUG:        08 pc 00b476e3   data app com medici practitioner dev C6VDXAA1Bx2 rNUc3ORPlQ   lib x86 libtwilio video android so so (  cxa throw 115) (BuildId: 6bb42213a69840a33d417903499c2d620cd65112)_x000D_
2020 12 11 17:39:05 920 21422 21422   A DEBUG:        09 pc 00491aaa   data app com medici practitioner dev C6VDXAA1Bx2 rNUc3ORPlQ   lib x86 libtwilio video android so so (BuildId: 6bb42213a69840a33d417903499c2d620cd65112)_x000D_
2020 12 11 17:39:05 920 21422 21422   A DEBUG:        10 pc 004915af   data app com medici practitioner dev C6VDXAA1Bx2 rNUc3ORPlQ   lib x86 libtwilio video android so so (BuildId: 6bb42213a69840a33d417903499c2d620cd65112)_x000D_
2020 12 11 17:39:05 920 21422 21422   A DEBUG:        11 pc 00490eb1   data app com medici practitioner dev C6VDXAA1Bx2 rNUc3ORPlQ   lib x86 libtwilio video android so so (BuildId: 6bb42213a69840a33d417903499c2d620cd65112)_x000D_
2020 12 11 17:39:05 920 21422 21422   A DEBUG:        12 pc 006f16af   data app com medici practitioner dev C6VDXAA1Bx2 rNUc3ORPlQ   lib x86 libtwilio video android so so (BuildId: 6bb42213a69840a33d417903499c2d620cd65112)_x000D_
2020 12 11 17:39:05 954 1800 2448   E GnssHAL GnssInterface: gnssSvStatusCb: a: input svInfo flags is 8_x000D_
2020 12 11 17:39:05 954 1800 2448   E GnssHAL GnssInterface: gnssSvStatusCb: b: input svInfo flags is 8_x000D_
2020 12 11 17:39:06 612 21433 21433   W cmd: Can t find service car service_x000D_
2020 12 11 17:39:06 957 1800 2448   E GnssHAL GnssInterface: gnssSvStatusCb: a: input svInfo flags is 8_x000D_
2020 12 11 17:39:06 958 1800 2448   E GnssHAL GnssInterface: gnssSvStatusCb: b: input svInfo flags is 8_x000D_
2020 12 11 17:39:07 290 1888 1888   E  system bin tombstoned: Tombstone written to:  data tombstones tombstone 03_x000D_
    _x000D_
              beginning of system_x000D_
2020 12 11 17:39:07 292 2036 21436   W ActivityTaskManager:   Force finishing activity com medici practitioner dev md medici medici call CallActivity_x000D_
2020 12 11 17:39:07 297 2036 2071   I BootReceiver: Copying  data tombstones tombstone 03 to DropBox (SYSTEM TOMBSTONE)_x000D_
2020 12 11 17:39:07 297 2036 2071   I DropBoxManagerService: add tag SYSTEM TOMBSTONE isTagEnabled true flags 0x2_x000D_
2020 12 11 17:39:07 301 2036 21437   I DropBoxManagerService: add tag data app native crash isTagEnabled true flags 0x2_x000D_
2020 12 11 17:39:07 317 2036 2065   W BroadcastQueue: Background execution not allowed: receiving Intent   act android intent action DROPBOX ENTRY ADDED flg 0x10 (has extras)   to com google android gms  stats service DropBoxEntryAddedReceiver_x000D_
2020 12 11 17:39:07 317 2036 2065   W BroadcastQueue: Background execution not allowed: receiving Intent   act android intent action DROPBOX ENTRY ADDED flg 0x10 (has extras)   to com google android gms  chimera GmsIntentOperationService PersistentTrustedReceiver_x000D_
2020 12 11 17:39:07 325 2036 2065   W BroadcastQueue: Background execution not allowed: receiving Intent   act android intent action DROPBOX ENTRY ADDED flg 0x10 (has extras)   to com google android gms  stats service DropBoxEntryAddedReceiver_x000D_
2020 12 11 17:39:07 325 2036 2065   W BroadcastQueue: Background execution not allowed: receiving Intent   act android intent action DROPBOX ENTRY ADDED flg 0x10 (has extras)   to com google android gms  chimera GmsIntentOperationService PersistentTrustedReceiver_x000D_
2020 12 11 17:39:07 341 19889 19996 com medici practitioner dev V Adjust: Foreground timer suspended with 11 8 seconds left_x000D_
2020 12 11 17:39:07 341 19889 19996 com medici practitioner dev V Adjust: Subsession end_x000D_
2020 12 11 17:39:07 344 2036 3762   W InputReader: Device has associated  but no associated display id _x000D_
2020 12 11 17:39:07 344 2036 3762   I chatty: uid 1000(system) Binder:2036 13 identical 8 lines_x000D_
2020 12 11 17:39:07 344 2036 3762   W InputReader: Device has associated  but no associated display id _x000D_
2020 12 11 17:39:07 344 19889 19996 com medici practitioner dev D Adjust: Wrote Activity state: ec:0 sc:1 ssc:2 sl:172 8 ts:169 3 la:11:12:13 uuid:90317c91 3bf6 4e3b a280 e3c918bdba0b_x000D_
2020 12 11 17:39:07 355 19889 20816 com medici practitioner dev V FA: Recording user engagement  ms: 11758_x000D_
2020 12 11 17:39:07 357 19889 19889 com medici practitioner dev W ActivityThread: handleWindowVisibility: no activity for token android os BinderProxy 99f478f_x000D_
2020 12 11 17:39:07 363 19889 20816 com medici practitioner dev V FA: Connecting to remote service_x000D_
2020 12 11 17:39:07 380 19889 20816 com medici practitioner dev V FA: Activity paused  time: 1636732_x000D_
2020 12 11 17:39:07 466 2036 5421   D WificondControl: Scan result ready event_x000D_
2020 12 11 17:39:07 486 2036 2132   W InputDispatcher: channel  b24d5b0 com medici practitioner dev md medici medici call CallActivity (server)    Consumer closed input channel or an error occurred   events 0x9_x000D_
2020 12 11 17:39:07 487 2036 2132   E InputDispatcher: channel  b24d5b0 com medici practitioner dev md medici medici call CallActivity (server)    Channel is unrecoverably broken and will be disposed _x000D_
2020 12 11 17:39:07 488 2036 2132   W InputDispatcher: channel  1f869aa com medici practitioner dev md medici medici main MainActivity (server)    Consumer closed input channel or an error occurred   events 0x9_x000D_
2020 12 11 17:39:07 488 2036 2132   E InputDispatcher: channel  1f869aa com medici practitioner dev md medici medici main MainActivity (server)    Channel is unrecoverably broken and will be disposed _x000D_
2020 12 11 17:39:07 497 2036 5422   I WindowManager: WIN DEATH: Window b24d5b0 u0 com medici practitioner dev md medici medici call CallActivity _x000D_
2020 12 11 17:39:07 497 2036 5422   W InputDispatcher: Attempted to unregister already unregistered input channel  b24d5b0 com medici practitioner dev md medici medici call CallActivity (server) _x000D_
2020 12 11 17:39:07 497 2036 11143   I MediaFocusControl: AudioFocus  removeFocusStackEntryOnDeath(): removing entry for android os BinderProxy bc2e460_x000D_
2020 12 11 17:39:07 497 2036 11143   W AS AudioService: setMode() client died_x000D_
2020 12 11 17:39:07 500 1783 1783   I Zygote: Process 19889 exited due to signal 6 (Aborted)_x000D_
2020 12 11 17:39:07 504 2036 5422   I WindowManager: WIN DEATH: Window 1f869aa u0 com medici practitioner dev md medici medici main MainActivity _x000D_
2020 12 11 17:39:07 504 2036 5422   W InputDispatcher: Attempted to unregister already unregistered input channel  1f869aa com medici practitioner dev md medici medici main MainActivity (server) _x000D_
2020 12 11 17:39:07 508 1791 1862   W EmulatedCamera FakeCamera3: flush: Not implemented  ignored_x000D_
2020 12 11 17:39:07 510 2036 3212   I ActivityManager: Process com medici practitioner dev (pid 19889) has died: fore TOP _x000D_
2020 12 11 17:39:07 517 2036 2067   I libprocessgroup: Successfully killed process cgroup uid 10136 pid 19889 in 0ms_x000D_
2020 12 11 17:39:07 524 1847 21264   E Camera3 OutputStream: getBufferLockedCommon: Stream 0: Can t dequeue next output buffer: Broken pipe ( 32)_x000D_
2020 12 11 17:39:07 530 1847 14801   E Surface: queueBuffer: error queuing buffer to SurfaceTexture   32_x000D_
2020 12 11 17:39:07 530 1847 14801   E Camera3 OutputStream: returnBufferCheckedLocked: Stream 0: Error queueing buffer to native window: Broken pipe ( 32)_x000D_
   _x000D_
_x000D_
_x000D_
     Video Android SDK_x000D_
_x000D_
6 0 0_x000D_
_x000D_
     Android API_x000D_
_x000D_
API 29_x000D_
_x000D_
     Android Device_x000D_
_x000D_
Pixel 2 Emulator_x000D_
_x000D_
     Note_x000D_
It works on previous version of the library  ( 5 x y )</t>
  </si>
  <si>
    <t>TeamNewPipe-NewPipe-5148</t>
  </si>
  <si>
    <t xml:space="preserve">Show improved error panel instead of annoying snackbar or crashing </t>
  </si>
  <si>
    <t xml:space="preserve">     What is it _x000D_
   x  Bugfix (user facing)_x000D_
      Feature (user facing)_x000D_
   x  Codebase improvement (dev facing)_x000D_
      Meta improvement to the project (dev facing)_x000D_
_x000D_
     Description of the changes in your PR_x000D_
This PR improves the error panel that currently is only shown when there are network problems:_x000D_
  When ANY error occours  if there are not already some items in the view  always show the error panel  otherwise show the snackbar _x000D_
  Extractor errors now don t crash the app but instead show up in the error panel for the corresponding fragment _x000D_
  The retry button is always shown except for  ContentNotSupportedException s and  ContentNotAvailableException s  like before _x000D_
  Add a dynamic button to the error panel that acts as a  Report  button for everything except  ReCaptchaException s  where instead a  Solve  button is shown _x000D_
_x000D_
I also refactored many things related to error reporting  in particular:_x000D_
  Move everything inside  error  subpackage _x000D_
  Add  ErrorPanelHelper  class to handle the error panel _x000D_
  Use  ErrorInfo  to store ALL of the information about an error that is needed to perform a report  so that functions can just take an  ErrorInfo  instead of having to do multiple overloads  This reduced and simplified much the code _x000D_
  Remove multiple overloadable functions about errors in  BaseStateFragment  and instead make only one  that handles the error panel by itself  _x000D_
  Remove  returnActivity  for  ErrorActivity : it was only used in  SettingsFragment s (set to  SettingsActivity   but without it everything just works as intended) and in  RouterActivity  (set to  MainActivity : when something failed while resolving a shared link  the error activity shows up  but now when the user presses back he is just brought to what he was doing before sharing the link to NewPipe  which is expected  instead of unexpectedly going to NewPipe s  MainActivity )  Also remove  ActivityCommunicator   now unneded as it was only needed to pass returnActivity around    This solves the  lost backstack  issue   when the error activity opens  so that the user can report something and then continue browsing without losing anything   opusforlife2 : D_x000D_
_x000D_
Other relevant changes:_x000D_
  Fix list fragments not being scrollable when the recycler view is hidden  causing problems in  VideoDetailFragment   Now  instead of hiding  alpha is just set to  0 0f  _x000D_
  Fix  EmptyFragment  not being scrollable inside  VideoDetailFragment  _x000D_
  Restore error state in  onResume   i e  after a fragment was paused _x000D_
  Fix  SearchFragment   onResume  behaviour  that was accidentally showing suggestion and meta info panels from the previous search for a brief moment even though it was asked to load something else _x000D_
  Some random code refactorings here and there _x000D_
_x000D_
 table  tr  td  img src  https:  user images githubusercontent com 36421898 103319469 4f0cef00 4a32 11eb 9413 b13413ef4173 png  width  200px      td  td  img src  https:  user images githubusercontent com 36421898 103319495 5f24ce80 4a32 11eb 99be da906889b3d5 png  width  200px      td  td  img src  https:  user images githubusercontent com 36421898 103319636 c6428300 4a32 11eb 9e75 d18740265708 png  width  200px      td  td  img src  https:  user images githubusercontent com 36421898 103319856 9647af80 4a33 11eb 960c 929a75f3381f png  width  200px      td   tr  tr  td   td  td   td  td colspan  2  Here there are two errors showing up  but that s expected and I don t think it should be changed   td   tr   table _x000D_
_x000D_
     TODO_x000D_
   x  Add screenshots to this PR_x000D_
   x  Fix tests_x000D_
   x  Fix comments tab with visible error panel not scrolling in video detail fragment _x000D_
   x  Fix search fragment error panel not being restored after resume_x000D_
   x  Test thoroughly  sub (I tested on my Fairphone with  e   Android 10  These changes should be device independent)  sub _x000D_
_x000D_
     Fixes the following issue(s)_x000D_
Fixes  4026_x000D_
Closes  5359 (becomes not relevant)_x000D_
_x000D_
     APK testing _x000D_
Do you like this behaviour  instead of the old one where the app crashed clearing activity stack and with annoying snackbars preventing access to comments _x000D_
This apk throws random errors every once in a while on network requests  to make testing simpler:  app debug zip (https:  github com TeamNewPipe NewPipe files 5823020 app debug zip)_x000D_
_x000D_
     Due diligence_x000D_
   x  I read the  contribution guidelines (https:  github com TeamNewPipe NewPipe blob HEAD  github CONTRIBUTING md) _x000D_
</t>
  </si>
  <si>
    <t>Rapsssito-react-native-tcp-socket-89</t>
  </si>
  <si>
    <t>Handle  connection refused error</t>
  </si>
  <si>
    <t xml:space="preserve">   Description_x000D_
_x000D_
Hello  I m trying to handle a  connection refused  error  if I try to connect to a server that doesn t exist  my app crash _x000D_
_x000D_
   Steps to reproduce_x000D_
_x000D_
_x000D_
Code:_x000D_
   _x000D_
try_x000D_
 _x000D_
    var client   net createConnection(  port: 49500  host:  255 0 0 0  timeout:1000  )_x000D_
 _x000D_
catch (error)_x000D_
 _x000D_
    console log(error)_x000D_
 _x000D_
   _x000D_
_x000D_
OR_x000D_
_x000D_
   _x000D_
 var client   net createConnection(  port: 49500  host:  255 0 0 0  timeout:1000  )_x000D_
  then(val   _x000D_
 _x000D_
    console log( connected )_x000D_
            _x000D_
) catch(error     _x000D_
    console log(error)_x000D_
 )_x000D_
   _x000D_
_x000D_
   Current behavior_x000D_
The app crash when the client can not connect to the server _x000D_
_x000D_
   Expected behavior_x000D_
The try catch block should handle the error_x000D_
_x000D_
_x000D_
_x000D_
   Relevant information_x000D_
                     _x000D_
                     _x000D_
  react native   0 63 3    _x000D_
  react native tcp socket    4 5 4   _x000D_
</t>
  </si>
  <si>
    <t>Anuken-Mindustry-3922</t>
  </si>
  <si>
    <t>Mindustry does not crash AT ALL</t>
  </si>
  <si>
    <t xml:space="preserve">  Platform  :  Windows _x000D_
_x000D_
  Build  :  Steam 121 2 _x000D_
_x000D_
  Issue  :  When encountered with an issue what would normally make mindustry crash with an  oh no  popup window and crash log txt file now just closes mindustry  as if you ran Core app exit()  This is a serious problem because you cannot fix stuff if you have no idea what is wrong  Crash logs are empty  export logs is also empty(no crashes found)  and last log txt is also void of errors  _x000D_
This is likely the actual description of what happened in  3919  but worse  I m leaving  3919 open because Draw draw is weird anyways _x000D_
_x000D_
  Steps to reproduce  : _x000D_
   _x000D_
configTapped() _x000D_
      bbebeb _x000D_
        if( this consValid()     this inRange(Vars player)) return false _x000D_
        this configure(null) _x000D_
        Sounds click at(this) _x000D_
        return false _x000D_
      _x000D_
   _x000D_
This should crash because bbebeb is not defined _x000D_
Also there is one more example in  3919 _x000D_
_x000D_
  Link(s) to mod(s) used  :  unrelated  tested in multiple mods that to deliberately cause crashes  _x000D_
_x000D_
  Save file  :  unrelated  _x000D_
_x000D_
If you remove the line above without reading it properly and understanding what it means  I will reap your soul  Even if you re playing on someone s server  you can still save the game to a slot _x000D_
_x000D_
  (Crash) logs  :  PLEASE GIVE ME ONE I AM BEGGING YOU PLEASE _x000D_
I found something weird in the Steam s directory instead:  hs err pid13952 log _x000D_
   _x000D_
 _x000D_
  A fatal error has been detected by the Java Runtime Environment:_x000D_
 _x000D_
   EXCEPTION ACCESS VIOLATION (0xc0000005) at pc 0x00007ffc1bf74da2  pid 13952  tid 3244_x000D_
 _x000D_
  JRE version: OpenJDK Runtime Environment (8 0 72 b15) (build 1 8 0 72 b15)_x000D_
  Java VM: OpenJDK 64 Bit Server VM (25 72 b15 mixed mode windows amd64 compressed oops)_x000D_
  Problematic frame:_x000D_
  C   MSCTF dll 0x64da2 _x000D_
 _x000D_
  Failed to write core dump  Minidumps are not enabled by default on client versions of Windows_x000D_
 _x000D_
  If you would like to submit a bug report  please visit:_x000D_
    http:  www azulsystems com support _x000D_
  The crash happened outside the Java Virtual Machine in native code _x000D_
  See problematic frame for where to report the bug _x000D_
 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</si>
  <si>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gurrhack-ForkFront-Android-4</t>
  </si>
  <si>
    <t>Update for Android 11</t>
  </si>
  <si>
    <t xml:space="preserve">The  installation  procedure doesn t work on Android 11 causing the game to crash on startup </t>
  </si>
  <si>
    <t>MuntashirAkon-AppManager-185</t>
  </si>
  <si>
    <t>Crash when trying to open the App Details of any app</t>
  </si>
  <si>
    <t xml:space="preserve">
  Describe the bug  
AM crashes when I try to open the App Details of any app 
  To Reproduce  
Steps to reproduce the behaviour:
1  Click on  any app within the AM 
2  See error
  Crash logs  
java lang NoSuchMethodError: No virtual method toPath()Ljava nio file Path  in class Ljava io File  or its super classes (declaration of  java io File  appears in  system framework core oj jar)
    at org apache commons compress archivers zip ZipFile  init (ZipFile java:256)
    at org apache commons compress archivers zip ZipFile  init (ZipFile java:225)
    at org apache commons compress archivers zip ZipFile  init (ZipFile java:208)
    at org apache commons compress archivers zip ZipFile  init (ZipFile java:169)
    at io github muntashirakon AppManager apk ApkUtils getManifestFromApk(ApkUtils java:124)
    at io github muntashirakon AppManager apk ApkFile  init (ApkFile java:349)
    at io github muntashirakon AppManager apk ApkFile createInstance(ApkFile java:116)
    at io github muntashirakon AppManager details AppDetailsViewModel setPackage(AppDetailsViewModel java:154)
    at io github muntashirakon AppManager details AppDetailsActivity lambda onCreate 5 AppDetailsActivity(AppDetailsActivity java:117)
    at io github muntashirakon AppManager details    Lambda AppDetailsActivity AFaz09Og1VPxdJ3mjVrPnDz4lJU run(lambda)
    at java lang Thread run(Thread java:760)
Device Info:
App version: 2 5 20 DEBUG
App version code: 374
Android build version: V11 0 2 0 NCFMIXM
Android release version: 7 0
Android SDK version: 24
Android build ID: AL1512 mido build 20191107001817
Device brand: xiaomi
Device manufacturer: Xiaomi
Device name: mido
Device model: Redmi Note 4
Device product name: mido
Device hardware name: qcom
ABIs:  arm64 v8a  armeabi v7a  armeabi 
ABIs (32bit):  armeabi v7a  armeabi 
ABIs (64bit):  arm64 v8a 
System language: pt BR
In App Language: auto
  Device info  
   Device: Redmi Note 4
   OS Version: Miui 11   Android 7 0
   App Manager Version: v2 5 20 DEBUG 557
   Mode: no root</t>
  </si>
  <si>
    <t>Anuken-Mindustry-3919</t>
  </si>
  <si>
    <t>Sudden Draw.draw crash</t>
  </si>
  <si>
    <t xml:space="preserve">  Platform  :  Windows _x000D_
_x000D_
  Build  :  Steam 121 2 _x000D_
_x000D_
  Issue  :  The code below  in a  Draw Tester (which eval()s the text within its own draw()) crashes the game with NO CRASH LOGS  No crash files dating to Dec 11  the export logs says that there is none  and last log txt is empty(it just says saved on exit)  and also the game just closes  as if you did a Core app exit()  with no crash popup or anything  However  removing the commented out code(the try  catch in the Draw draw) makes everything run fine  with no errors reported in F8  which means that in theory the error is never catch()ed  which should mean that I don t need the try  catch  but the game grashes without it  _x000D_
_x000D_
  Steps to reproduce  : _x000D_
   _x000D_
var time   Time time   300 _x000D_
var progress   time   300 _x000D_
_x000D_
var heat   1 1 _x000D_
Draw color(Pal darkMetal) _x000D_
Lines stroke(2   heat) _x000D_
Fill poly(this x  this y  4  10   heat) _x000D_
Draw reset() _x000D_
var region   UnitTypes dagger icon(Cicon full) _x000D_
var from   UnitTypes alpha icon(Cicon full) _x000D_
_x000D_
Draw color(0  0  0  0 4   progress) _x000D_
Draw rect( circle shadow   this x  this y  region width   3  region width   3) _x000D_
Draw color() _x000D_
Draw draw(Layer blockOver  ()     _x000D_
  try     THE COMMENTED LINES MENTIONED EARLIER STARTS HERE_x000D_
  Drawf construct(this x  this y  region  0  progress  1  time) _x000D_
  Lines stroke(2   heat  Pal accentBack) _x000D_
  var pos   Mathf sin(time  6  8) _x000D_
  Lines lineAngleCenter(this x   pos  this y  90  16   Math abs(pos)   2) _x000D_
  Draw color() _x000D_
   _x000D_
  catch(err) _x000D_
    print(err) _x000D_
   _x000D_
 ) _x000D_
_x000D_
Lines stroke(2   heat) _x000D_
_x000D_
Draw color(Pal accentBack) _x000D_
Lines poly(this x  this y  4  8   heat) _x000D_
Draw reset() _x000D_
   _x000D_
_x000D_
  Link(s) to mod(s) used  :  sk7725 tester for the draw tester  _x000D_
_x000D_
  Save file  :  Insta crash  graphics is the h here _x000D_
_x000D_
If you remove the line above without reading it properly and understanding what it means  I will reap your soul  Even if you re playing on someone s server  you can still save the game to a slot _x000D_
_x000D_
  (Crash) logs  :  REQUIRED if you are reporting a crash  THERE IS NONE  FOR SOME REASON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</si>
  <si>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Anuken-Mindustry-3918</t>
  </si>
  <si>
    <t>procedurally generated sectors can have ground enemy spawn points in deep water, killing all or most of them</t>
  </si>
  <si>
    <t xml:space="preserve">  Platform  :  Windows _x000D_
_x000D_
  Build  :  steam build 121 2 _x000D_
_x000D_
  Issue  :  sectors produced by procedural generation can have the enemy spawn point in deep water  resulting in most or all ground based enemies dying each wave   _x000D_
_x000D_
  Steps to reproduce  :  not really applicable  based purely upon the procedural generation system  _x000D_
_x000D_
  Link(s) to mod(s) used  :  none _x000D_
_x000D_
  Save file  :   mindustrysave zip (https:  github com Anuken Mindustry files 5677213 mindustrysave zip) issue can be found on sector 220  _x000D_
_x000D_
  (Crash) logs  :  issue does not result in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</si>
  <si>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Anuken-Mindustry-3917</t>
  </si>
  <si>
    <t>Unit construction effect in factories / constructors and reconstructors visually updates slower over building uptime</t>
  </si>
  <si>
    <t xml:space="preserve">  Platform  :  iOS (experienced on iPad) _x000D_
_x000D_
  Build  :  121 _x000D_
_x000D_
  Issue  :  A little background so you know exactly what I m talking about: On unit factories and reconstructors  there are two effects that happen when they are in use: There is a vertical line that sweeps left and right and there is a yellow bar that covers the contained unit that always starts on the unit s left side and sweeps rightward (or a different direction globally if the building isn t facing north) until it disappears off the unit s model  It cycles in this manner going left to right and completes  1 cycle per second  With every unit the building processes  that second effect becomes jittery and less temporally smooth  It doesn t sweep left to right slower as it seems to do so at the same speed behind the scenes but it seems to update slower  sweeping in an increasingly jagged way  Reloading the sector save file seems to reset the effect  making it smooth on all buildings but it does become jagged again if the save is left open and the buildings are used  This effect seems to be independent to each unit building  a newly built factory reconstructor will start smooth while other buildings remain where they were  _x000D_
_x000D_
  Steps to reproduce  :  1  Open Mindustry for mobile  2  Start a game  3  Watch a single unit factory or reconstructor work for a while  It doesn t have to be working continuously but   5 minutes of factory reconstructor uptime without switching sectors  exiting app  saving   exiting game etc is recommended to make sure the effect should be noticeable by that point  (optional 4  Exit app  open save file  or sector and reopen same save  The effect will be reset  it will look gone but after minutes of uptime  the effect will become noticeable again ) _x000D_
_x000D_
  Link(s) to mod(s) used  :  (No active mods) _x000D_
_x000D_
  Save file  :  save Endurance Dec 10 8:40 msav zip (https:  github com Anuken Mindustry files 5677134 save Endurance Dec 10 8 40 msav zip)_x000D_
_x000D_
If you remove the line above without reading it properly and understanding what it means  I will reap your soul  Even if you re playing on someone s server  you can still save the game to a slot _x000D_
 Noted  I went to lengths to get this save from my tablet but I did get it I think _x000D_
_x000D_
  (Crash) logs  :  This isn t a crash bug so I won t put anything here  except I just did now  didn t I _x000D_
_x000D_
   _x000D_
_x000D_
 Place an X (no spaces) between the brackets to confirm that you have read the line below    _x000D_
   X    I have updated to the latest release (https:  github com Anuken Mindustry releases) to make sure my issue has not been fixed   _x000D_
 Well  the latest version available in the app store (because it s mobile) _x000D_
   X    I have searched the closed and open issues to make sure that this problem has not already been reported   _x000D_
 I only saw one issue so unless there is somewhere else people formally report bugs  I can say that _x000D_
</t>
  </si>
  <si>
    <t>TeamNewPipe-NewPipe-5141</t>
  </si>
  <si>
    <t>v0.20.6 not suggested in custom F-Droid repo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</si>
  <si>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6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F Droid with the NewPipe custom repository enabled_x000D_
2  Find Newpipe  and look at the versions list_x000D_
3  Notice that the v0 20 6 release is not marked as suggested_x000D_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latest version isn t marked as suggested  which means that the F Droid app doesn t give you an update notification  and doesn t auto update _x000D_
_x000D_
_x000D_
    Expected behavior_x000D_
     Tell us what you expect to happen     _x000D_
The latest version should show as suggested  so that automatic updates work properly _x000D_
_x000D_
_x000D_
         Screenshots Screen recordings    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    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Official LineageOS 16   Android 9_x000D_
   Device model: Huawei P20 lite_x000D_
</t>
  </si>
  <si>
    <t>twilio-video-quickstart-android-592</t>
  </si>
  <si>
    <t>exampleCustomVideoSink - IndexOutOfBoundsException with Camera2Capturer</t>
  </si>
  <si>
    <t xml:space="preserve">     Check the following before filing an issue    _x000D_
  Before filing an issue please check that the issue is not already addressed by the following:_x000D_
      Video Guides (https:  www twilio com docs api video)_x000D_
      Github Issues (https:  github com twilio video quickstart android issues)_x000D_
      Changelog (https:  www twilio com docs api video changelogs android)_x000D_
_x000D_
  Please ensure that you are not sharing any_x000D_
 Personally Identifiable Information(PII) (https:  www twilio com docs glossary what is personally identifiable information pii)_x000D_
or sensitive account information (API keys  credentials  etc ) when reporting an issue _x000D_
_x000D_
    Description_x000D_
_x000D_
The custom video sink example  exampleCustomVideoSink  utilizes the  Camera1Enumerator  to find a camera ID for use with a  CameraCapturer   When attempting to capture the Bitmap for a snapshot  the frame buffer  VideoFrame Buffer  is determined to be a  VideoFrame I420Buffer   If the user swaps out the  Camera1Enumerator  and  CameraCapturer  with a  Camera2Enumerator  and  Camera2Capturer   the frame buffer is determined to be a  VideoFrame TextureBuffer   However  during the conversion process  an  IndexOutOfBoundException  is thrown in the  fastI420ToYuvImage  function  It appears that the  yuvPlanes 0  get  function is getting an index in the loop that is out of its bounds  My guess is something to do with the rotation _x000D_
_x000D_
   _x000D_
for (row in 0 until height)  _x000D_
        for (col in 0 until width)  _x000D_
            bytes i      yuvPlanes 0  get(col   row   yuvStrides 0 )_x000D_
         _x000D_
     _x000D_
   _x000D_
_x000D_
    Steps to Reproduce_x000D_
_x000D_
1  Swap  Camera1Enumerator  for  Camera2Enumerator  when determining the  frontCameraId _x000D_
2  Change  CameraCapturer  to  Camera2Capturer  when creating the  localVideoTrack _x000D_
3  Run the app_x000D_
4  Tap the video to produce a screenshot_x000D_
5  The  IndexOutOfBoundsException  is thrown_x000D_
_x000D_
     Code_x000D_
_x000D_
   kotlin_x000D_
   Code that help reproduce the issue_x000D_
private val frontCameraId by lazy  _x000D_
        val camera2Enumerator   Camera2Enumerator()_x000D_
        val cameraId   camera2Enumerator deviceNames find   camera2Enumerator isFrontFacing(it)  _x000D_
        requireNotNull(cameraId)_x000D_
     _x000D_
private val localVideoTrack by lazy  _x000D_
       LocalVideoTrack create(_x000D_
           this  true  Camera2Capturer(_x000D_
               this _x000D_
               frontCameraId  null_x000D_
            )_x000D_
        )_x000D_
     _x000D_
   _x000D_
_x000D_
     Expected Behavior_x000D_
_x000D_
The conversion process from should produce a  YuvImage  correctly in the process of generating the snapshot_x000D_
_x000D_
     Actual Behavior_x000D_
_x000D_
The app crashes with an  IndexOutOfBoundsException  as a  System err _x000D_
_x000D_
     Reproduces how Often_x000D_
_x000D_
100 _x000D_
_x000D_
     Logs_x000D_
_x000D_
   _x000D_
   Log output when issue occurs_x000D_
W System err: java lang IndexOutOfBoundsException: index 307200 out of bounds (limit 307200)_x000D_
        at java nio Buffer checkIndex(Buffer java:556)_x000D_
        at java nio DirectByteBuffer get(DirectByteBuffer java:224)_x000D_
        at com twilio video examples common VideoFrameKtxKt fastI420ToYuvImage(VideoFrameKtx kt:151)_x000D_
        at com twilio video examples common VideoFrameKtxKt i420ToYuvImage(VideoFrameKtx kt:112)_x000D_
        at com twilio video examples common VideoFrameKtxKt captureBitmapFromTexture(VideoFrameKtx kt:75)_x000D_
        at com twilio video examples common VideoFrameKtxKt captureBitmap(VideoFrameKtx kt:27)_x000D_
        at com twilio video examples common VideoFrameKtxKt toBitmap(VideoFrameKtx kt:23)_x000D_
        at com twilio video examples customvideosink SnapshotVideoSink onFrame(SnapshotVideoSink kt:24)_x000D_
        at tvi webrtc NativeAndroidVideoTrackSource nativeOnFrameCaptured(Native Method)_x000D_
        at tvi webrtc NativeAndroidVideoTrackSource onFrameCaptured(NativeAndroidVideoTrackSource java:58)_x000D_
        at tvi webrtc VideoSource 1 onFrameCaptured(VideoSource java:73)_x000D_
        at tvi webrtc CameraCapturer 2 onFrameCaptured(CameraCapturer java:167)_x000D_
W System err:     at tvi webrtc Camera2Session CaptureSessionCallback lambda onConfigured 0 Camera2Session CaptureSessionCallback(Camera2Session java:186)_x000D_
        at tvi webrtc    Lambda Camera2Session CaptureSessionCallback avOpmBlgtFuwVDip8hBflrg29nE onFrame(Unknown Source:2)_x000D_
        at tvi webrtc SurfaceTextureHelper tryDeliverTextureFrame(SurfaceTextureHelper java:369)_x000D_
        at tvi webrtc SurfaceTextureHelper lambda new 0 SurfaceTextureHelper(SurfaceTextureHelper java:203)_x000D_
        at tvi webrtc    Lambda SurfaceTextureHelper EKW8Jd6axgVjWfpHIgbbTEnvOGQ onFrameAvailable(Unknown Source:2)_x000D_
        at android graphics SurfaceTexture 1 handleMessage(SurfaceTexture java:211)_x000D_
        at android os Handler dispatchMessage(Handler java:107)_x000D_
        at android os Looper loop(Looper java:214)_x000D_
        at android os HandlerThread run(HandlerThread java:67)_x000D_
E rtc:  _x000D_
      Fatal error in: gen sdk android generated base jni                      src sdk android src jni jni generator helper h  line 94_x000D_
      last system error: 0_x000D_
      Check failed:  env  ExceptionCheck()_x000D_
      _x000D_
A libc: Fatal signal 6 (SIGABRT)  code  1 (SI QUEUE) in tid 1042 (CaptureThread)  pid 753 ( customrenderer)_x000D_
   _x000D_
_x000D_
    Versions_x000D_
_x000D_
All relevant version information for issue _x000D_
_x000D_
     Video Android SDK_x000D_
_x000D_
6 0 0_x000D_
_x000D_
     Android API_x000D_
_x000D_
30_x000D_
_x000D_
     Android Device_x000D_
_x000D_
Pixel 3a_x000D_
</t>
  </si>
  <si>
    <t>lazoft-oPlay-18</t>
  </si>
  <si>
    <t>Major Ambigous Issue: Under observation</t>
  </si>
  <si>
    <t>A bug has been found that crashes the app for some specific file in specific API (reportedly  API 29 )  Please follow instructions on  commit 129  if you face errors  Also IF YOU FACE THE ERROR  must notify  o julfikar   Do not change anything (because we need to know what situation can recreate the bug)</t>
  </si>
  <si>
    <t>Anuken-Mindustry-3909</t>
  </si>
  <si>
    <t>Random Serialization Exception On Startup</t>
  </si>
  <si>
    <t xml:space="preserve">  Platform  : Windows_x000D_
_x000D_
  Build  : 121 1 (Has been happening with each build for months at this point)_x000D_
_x000D_
  Issue  : Every time I start my game (whether it be on steam or through a file from github) this same exception is logged  it doesn t crash the game but its pretty annoying _x000D_
_x000D_
  Steps to reproduce  : I open the game_x000D_
_x000D_
  Save file  : This happens before the menu even loads_x000D_
_x000D_
  (Crash) logs  : Well there s no crash but this is logged to the console    (https:  xenon is ne at UlJd3l png) (RTFM is disabled)_x000D_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</si>
  <si>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getodk-collect-4294</t>
  </si>
  <si>
    <t>Crash when trying to record when another app already is</t>
  </si>
  <si>
    <t xml:space="preserve">     Software and hardware versions _x000D_
 master _x000D_
_x000D_
     Problem description_x000D_
_x000D_
The app crashes when starting a recording (using the internal recorder) if another app is already using the mic _x000D_
_x000D_
     Steps to reproduce the problem_x000D_
_x000D_
1  Start recording using another audio recorder app_x000D_
2  Switch to Collect and open a form that an audio question (that has  quality  set to use the internal recorder )_x000D_
3  Tap  Record sound _x000D_
_x000D_
     Expected behavior_x000D_
_x000D_
Recording should fail to start but the app should not crash  Ideally the user would see an error message telling them they are already using the mic somewhere else _x000D_
_x000D_
     Other information _x000D_
_x000D_
Stacktrace:_x000D_
_x000D_
   _x000D_
Caused by: java lang IllegalStateException_x000D_
        at android media MediaRecorder start(Native Method)_x000D_
        at org odk collect audiorecorder mediarecorder MediaRecorderRecordingResource start(MediaRecorderRecordingResource kt:20)_x000D_
        at org odk collect audiorecorder recorder RecordingResourceRecorder start(RecordingResourceRecorder kt:39)_x000D_
        at org odk collect audiorecorder recording internal AudioRecorderService startRecording(AudioRecorderService kt:77)_x000D_
        at org odk collect audiorecorder recording internal AudioRecorderService onStartCommand(AudioRecorderService kt:43)_x000D_
   _x000D_
</t>
  </si>
  <si>
    <t>TeamNewPipe-NewPipe-5138</t>
  </si>
  <si>
    <t>Many videos will not stream</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</si>
  <si>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video link _x000D_
2  Press on  video player or background play button _x000D_
3  Swipe down to  error report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Click on the video  info shows properly  but the little notification that says  Sorry  something went wrong  shows up below  though everything looks fine  Once engaged  the video content will not load in background player or visual player  In some instances  the content will play  but more often than not  nothing happens (video won t work)  Instead  there s that infinite little hourglass _x000D_
_x000D_
_x000D_
    Expected behavior_x000D_
     Tell us what you expect to happen     _x000D_
The content should load and stream as usual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Screenshot 20201210 073839 NewPipe (https:  user images githubusercontent com 71480987 101786071 bcc09d80 3aba 11eb 8e65 8a26da4cb877 jpg)_x000D_
_x000D_
_x000D_
  Screenshot 20201210 073408 Chrome (https:  user images githubusercontent com 71480987 101785753 5dfb2400 3aba 11eb 887f 320d06e75e76 jpg)_x000D_
_x000D_
  Screenshot 20201210 073500 NewPipe (https:  user images githubusercontent com 71480987 101785796 6c494000 3aba 11eb 80dc ed8740e3624b jpg)_x000D_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requested comments_x000D_
    Request:   https:  m youtube com watch v pQlX3jgAbvc_x000D_
    Content Country:   CA_x000D_
    Content Language:   en CA_x000D_
    App Language:   en CA_x000D_
    Service:   YouTube_x000D_
    Version:   0 20 5_x000D_
    OS:   Linux Android 10   29_x000D_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java:156)_x000D_
	at org schabi newpipe util    Lambda ExtractorHelper 60N  UL7E5eaxFaFO1bZZmnfwM8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com grack nanojson JsonParserException: Unexpected character:   on line 1  char 1_x000D_
	at com grack nanojson JsonTokener createParseException(Unknown Source:44)_x000D_
	at com grack nanojson JsonTokener advanceToToken(Unknown Source:118)_x000D_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YoutubeCommentsExtractor getPage(YoutubeCommentsExtractor java:95)_x000D_
	    30 more_x000D_
_x000D_
   _x000D_
  details _x000D_
 hr _x000D_
_x000D_
_x000D_
_x000D_
     Please fill this out when you do not provide a log generate by NewPipe    _x000D_
_x000D_
    Device Info_x000D_
_x000D_
   Android version Custom ROM version: Android 10_x000D_
   Device model: Samsung Galaxy A51_x000D_
</t>
  </si>
  <si>
    <t>TeamNewPipe-NewPipe-5137</t>
  </si>
  <si>
    <t>Video loding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</si>
  <si>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requested comments_x000D_
    Request:   https:  m youtube com watch v F0b8b ykPQk_x000D_
    Content Country:   IN_x000D_
    Content Language:   en IN_x000D_
    App Language:   en IN_x000D_
    Service:   YouTube_x000D_
    Version:   0 20 1_x000D_
    OS:   Linux Android 10   29_x000D_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java:155)_x000D_
	at org schabi newpipe util    Lambda ExtractorHelper Xyj84g1UeNZqX9LVYNvWZsdT kI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com grack nanojson JsonParserException: Unexpected character:   on line 1  char 1_x000D_
	at com grack nanojson JsonTokener createParseException(Unknown Source:44)_x000D_
	at com grack nanojson JsonTokener advanceToToken(Unknown Source:118)_x000D_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YoutubeCommentsExtractor getPage(YoutubeCommentsExtractor java:95)_x000D_
	    30 more_x000D_
_x000D_
   _x000D_
  details _x000D_
 hr _x000D_
_x000D_
_x000D_
     That s right  here     _x000D_
_x000D_
_x000D_
_x000D_
     Please fill this out when you do not provide a log generate by NewPipe    _x000D_
_x000D_
    Device info_x000D_
_x000D_
   Android version Custom ROM version:_x000D_
   Device model:_x000D_
</t>
  </si>
  <si>
    <t>BugBattle-Android-SDK-4</t>
  </si>
  <si>
    <t>java.lang.IllegalStateException: Only fullscreen activities can request orientation</t>
  </si>
  <si>
    <t xml:space="preserve">Hi _x000D_
We are getting an error for Android 8 0 users when we trigger the bug battle ui  Here is the crash log : _x000D_
_x000D_
 Fatal Exception: java lang RuntimeException: Unable to start activity ComponentInfo com ozan android debug bugbattle io bugbattle view ImageEditor : java lang IllegalStateException: Only fullscreen activities can request orientation_x000D_
       at android app ActivityThread performLaunchActivity(ActivityThread java:2858)_x000D_
       at android app ActivityThread handleLaunchActivity(ActivityThread java:2933)_x000D_
       at android app ActivityThread  wrap11()_x000D_
       at android app ActivityThread H handleMessage(ActivityThread java:1612)_x000D_
       at android os Handler dispatchMessage(Handler java:105)_x000D_
       at android os Looper loop(Looper java:164)_x000D_
       at android app ActivityThread main(ActivityThread java:6710)_x000D_
       at java lang reflect Method invoke(Method java)_x000D_
       at com android internal os Zygote MethodAndArgsCaller run(Zygote java:240)_x000D_
       at com android internal os ZygoteInit main(ZygoteInit java:770) </t>
  </si>
  <si>
    <t>Anuken-Mindustry-3903</t>
  </si>
  <si>
    <t>Stuttering</t>
  </si>
  <si>
    <t xml:space="preserve">Android
121 2
There a stuttering for unknown reasons and its always right after the sector is captured and you get surge up
I placed an impact and made a surge defense and then it started stuttering it doesn t always happen but i crash sometimes cuz of it
0 mods used
I can t access campaign save files and i can t post a file into an issue so i may have to send my mindustry data
If you remove the line above without reading it properly and understanding what it means  I will reap your soul  Even if you re playing on someone s server  you can still save the game to a slot 
I didn t crash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</si>
  <si>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Anuken-Mindustry-3899</t>
  </si>
  <si>
    <t>Unloader will slow down or stop pulling 1 or 2 items from vault.</t>
  </si>
  <si>
    <t xml:space="preserve">  Platform  : Windows_x000D_
_x000D_
  Build  : 120 121 2_x000D_
_x000D_
  Issue  : The issue I m having is I m using 2 Unspecified item unloaders to pull from one vault to one pyratite for the 3 resources that it needs  Doing this works fine for a bit and doesn t always mess up but sometimes it will stop pulling one of said resources from the vault and or slow down pulling 1 or 2 resources  In the image my top left impact reactor is shut down because of this issue _x000D_
 img width  371  alt  mindustry2  src  https:  user images githubusercontent com 75761168 101702292 336f8380 3a46 11eb 977f 2240c29c74df png  _x000D_
_x000D_
_x000D_
  Steps to reproduce  : Place 2 Unspecified item unloaders on the vault then place 1 pryatite mixer right in front of the 2 unloaders on vault _x000D_
 img width  715  alt  mindustry1  src  https:  user images githubusercontent com 75761168 101702194 04591200 3a46 11eb 8cbf 7442f620d4fb png  _x000D_
_x000D_
_x000D_
  Link(s) to mod(s) used  : This issue happens with mods and without_x000D_
_x000D_
  Save file  : _x000D_
 unloaderbug zip (https:  github com Anuken Mindustry files 5669325 unloaderbug zip)_x000D_
_x000D_
_x000D_
  (Crash) logs  : no crashes_x000D_
_x000D_
  Extra  : The images used in this report were taken from linked saved file  The only way I have found to keep it from stopping or slowing down the items is to place another unloader on the vault right next to one of the other 2 unloaders but this only works for a bit then it goes back to not working properly _x000D_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</si>
  <si>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TeamNewPipe-NewPipe-5135</t>
  </si>
  <si>
    <t>Newpipe won't play videos generated by topics.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</si>
  <si>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Newpipe won t open play videos when the uploader is a topic _x000D_
_x000D_
For example:_x000D_
https:  www youtube com watch v XE8IPZETSVg_x000D_
https:  www youtube com watch v UMGcL7mig4E_x000D_
_x000D_
Search for video with url  open video from playlist or share from Youtube app into Newpipe _x000D_
_x000D_
Tried playing as video and audio (mpeg 4  m4a   webm) and switching between main  popup and background _x000D_
_x000D_
Feature still worked 6th December _x000D_
_x000D_
    Actual behaviour_x000D_
     Tell us what happens with the steps given above     _x000D_
_x000D_
When video detail page is opened  an error message pops up  When trying to play the video it will hang on a black screen  popup or with an hourglass in the notification bar _x000D_
_x000D_
    Expected behavior_x000D_
     Tell us what you expect to happen     _x000D_
_x000D_
Video should play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comments_x000D_
    Request:   https:  m youtube com watch v XE8IPZETSVg_x000D_
    Content Country:   GB_x000D_
    Content Language:   en GB_x000D_
    App Language:   en GB_x000D_
    Service:   YouTube_x000D_
    Version:   0 20 5_x000D_
    OS:   Linux Android 10   29_x000D_
 details  summary  b Crash log   b   summary  p _x000D_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java:156)_x000D_
at org schabi newpipe util    Lambda ExtractorHelper 60N  UL7E5eaxFaFO1bZZmnfwM8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com grack nanojson JsonParserException: Unexpected character:   on line 1  char 1_x000D_
at com grack nanojson JsonTokener createParseException(Unknown Source:44)_x000D_
at com grack nanojson JsonTokener advanceToToken(Unknown Source:118)_x000D_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YoutubeCommentsExtractor getPage(YoutubeCommentsExtractor java:95)_x000D_
    30 more_x000D_
_x000D_
_x000D_
   _x000D_
  details _x000D_
 hr _x000D_
_x000D_
_x000D_
_x000D_
     Please fill this out when you do not provide a log generate by NewPipe    _x000D_
_x000D_
    Device info_x000D_
_x000D_
   Android version Custom ROM version: Android 10 (5 November 2020 Security Patch)_x000D_
   Device model: Fairphone 3_x000D_
</t>
  </si>
  <si>
    <t>Anuken-Mindustry-3896</t>
  </si>
  <si>
    <t>Crash when select launchpad dest same map w/o click on any sectors</t>
  </si>
  <si>
    <t xml:space="preserve">  Platform  : Windows 7 x64_x000D_
_x000D_
  Build  : 121 2 (steam)_x000D_
_x000D_
  Issue  : Game crashes_x000D_
_x000D_
  Steps to reproduce  : When accidentally click select instantly after click launchpad dist selection  I e Click dist select over launchpad    click select w o click to other sectors onto world map _x000D_
_x000D_
  Save file  :  mindustry campaign saves zip (https:  github com Anuken Mindustry files 5668378 mindustry campaign saves zip) (tested at extraction outpost)_x000D_
_x000D_
  (Crash) logs  :_x000D_
   _x000D_
Version: steam build 121 2_x000D_
OS: Windows 7 x64_x000D_
Java Version: 1 8 0 72_x000D_
Java Architecture: 64_x000D_
0 Mods_x000D_
_x000D_
java lang NullPointerException_x000D_
	at mindustry ui dialogs PlanetDialog playSelected(PlanetDialog java:800)_x000D_
	at mindustry ui dialogs PlanetDialog lambda updateSelected 32(PlanetDialog java:770)_x000D_
	at arc scene Element lambda clicked 2(Element java:893)_x000D_
	at arc scene Element 4 clicked(Element java:902)_x000D_
	at arc scene event ClickListener touchUp(ClickListener java:77)_x000D_
	at arc scene event InputListener handle(InputListener java:34)_x000D_
	at arc scene Scene touchUp(Scene java:357)_x000D_
	at arc input InputMultiplexer touchUp(InputMultiplexer java:137)_x000D_
	at arc input InputEventQueue drain(InputEventQueue java:71)_x000D_
	at arc backend sdl SdlInput update(SdlInput java:102)_x000D_
	at arc backend sdl SdlApplication loop(SdlApplication java:143)_x000D_
	at arc backend sdl SdlApplication  init (SdlApplication java:43)_x000D_
	at mindustry desktop DesktopLauncher main(DesktopLauncher java:36)_x000D_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</si>
  <si>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Anuken-Mindustry-3895</t>
  </si>
  <si>
    <t>Client research not unlocked for host</t>
  </si>
  <si>
    <t xml:space="preserve">  Platform  :  Android iOS Mac Windows Linux _x000D_
Windows_x000D_
_x000D_
  Build  :  The build number under the title in the main menu  Required   LATEST  IS NOT A VERSION  I NEED THE EXACT BUILD NUMBER OF YOUR GAME  _x000D_
121_x000D_
_x000D_
  Issue  :  Explain your issue in detail  _x000D_
When a client connected to my multiplayer game completed a research it both used the resources from my host map and did not give the host the research  It was necessary to complete the research again as the host to unlock the technology _x000D_
_x000D_
  Steps to reproduce  :  How you happened across the issue  and what exactly you did to make the bug happen  _x000D_
Client completes research while connected to multiplayer host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asdfasdfasdf zip (https:  github com Anuken Mindustry files 5668262 asdfasdfasdf zip)_x000D_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Have not tested in 121 2 since that was just released_x000D_
   X    I have searched the closed and open issues to make sure that this problem has not already been reported   _x000D_
</t>
  </si>
  <si>
    <t>Anuken-Mindustry-3892</t>
  </si>
  <si>
    <t>new Issue</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</si>
  <si>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Hellos_x000D_
Windows _x000D_
build 121_x000D_
Ive got two issues one is that if I wanted to change my controlls for putting down troops and small blocks to Y the controlls got changed to Z_x000D_
The other one is thatI cant pick up small Blocks or troops (if I controlled the Mega)_x000D_
I hope this is gonna help _x000D_
</t>
  </si>
  <si>
    <t>Anuken-Mindustry-3891</t>
  </si>
  <si>
    <t>Windows</t>
  </si>
  <si>
    <t>Anuken-Mindustry-3890</t>
  </si>
  <si>
    <t xml:space="preserve">Double click issue: Campaign </t>
  </si>
  <si>
    <t xml:space="preserve">  Platform  :  Windows 10 64bits _x000D_
_x000D_
  Build  :  121 1 Steam _x000D_
_x000D_
  Issue  : the game crashes and displays an error window_x000D_
_x000D_
  Steps to reproduce  : Double clicking around the campaign planet but clicking twice on the planet will not do anything special _x000D_
_x000D_
  Save File  :  Save File zip (https:  github com Anuken Mindustry files 5667951 Save File zip)_x000D_
_x000D_
  (Crash) logs  :  crash report 12 09 2020 15 15 20 txt (https:  github com Anuken Mindustry files 5667890 crash report 12 09 2020 15 15 20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</si>
  <si>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Horizontal-org-Tella-Android-57</t>
  </si>
  <si>
    <t>Fix file path Android Q problem</t>
  </si>
  <si>
    <t>Link : https:  console firebase google com u 0 project tella a8c5e crashlytics app android:org hzontal tella issues 1c1baafab263661d54acc841bad66356 time last twenty four hours sessionEventKey 5FCFDDA1030000011F0487519ABEA6DA 1482426120716802968</t>
  </si>
  <si>
    <t>mybigday-react-native-external-display-211</t>
  </si>
  <si>
    <t>[Android] - Crashes when any accessiblity is used</t>
  </si>
  <si>
    <t xml:space="preserve">I am using RN 0 61_x000D_
_x000D_
When the most basic view is used with any accessibility service enabled on the Android device  the app crashes  with the following stack trace:_x000D_
_x000D_
   _x000D_
2020 12 09 11:32:55 375 15655 15655 com petrooutlet supersonic E AndroidRuntime: FATAL EXCEPTION: main_x000D_
    Process: com petrooutlet supersonic  PID: 15655_x000D_
    java lang IllegalArgumentException: parameter must be a descendant of this view_x000D_
        at android view ViewGroup offsetRectBetweenParentAndChild(ViewGroup java:5459)_x000D_
        at android view ViewGroup offsetDescendantRectToMyCoords(ViewGroup java:5388)_x000D_
        at android view ViewGroup ViewLocationHolder init(ViewGroup java:7885)_x000D_
        at android view ViewGroup ViewLocationHolder obtain(ViewGroup java:7819)_x000D_
        at android view ViewGroup ChildListForAccessibility init(ViewGroup java:7754)_x000D_
        at android view ViewGroup ChildListForAccessibility obtain(ViewGroup java:7722)_x000D_
        at android view ViewGroup addChildrenForAccessibility(ViewGroup java:1978)_x000D_
        at android view ViewGroup addChildrenForAccessibility(ViewGroup java:1987)_x000D_
        at android view ViewGroup addChildrenForAccessibility(ViewGroup java:1987)_x000D_
        at android view ViewGroup onInitializeAccessibilityNodeInfoInternal(ViewGroup java:3076)_x000D_
        at android view View onInitializeAccessibilityNodeInfo(View java:6609)_x000D_
        at android view View createAccessibilityNodeInfoInternal(View java:6568)_x000D_
        at android view View createAccessibilityNodeInfo(View java:6553)_x000D_
        at android view accessibility AccessibilityRecord setSource(AccessibilityRecord java:145)_x000D_
        at android view accessibility AccessibilityRecord setSource(AccessibilityRecord java:119)_x000D_
        at android view View onInitializeAccessibilityEventInternal(View java:6505)_x000D_
        at android view View onInitializeAccessibilityEvent(View java:6493)_x000D_
        at android view View sendAccessibilityEventUncheckedInternal(View java:6358)_x000D_
        at android view View sendAccessibilityEventUnchecked(View java:6343)_x000D_
        at android view ViewRootImpl SendWindowContentChangedAccessibilityEvent run(ViewRootImpl java:7479)_x000D_
        at android os Handler handleCallback(Handler java:755)_x000D_
        at android os Handler dispatchMessage(Handler java:95)_x000D_
        at android os Looper loop(Looper java:154)_x000D_
        at android app ActivityThread main(ActivityThread java:6141)_x000D_
        at java lang reflect Method invoke(Native Method)_x000D_
        at com android internal os ZygoteInit MethodAndArgsCaller run(ZygoteInit java:912)_x000D_
        at com android internal os ZygoteInit main(ZygoteInit java:802)_x000D_
   _x000D_
_x000D_
The basic version being used for testing:_x000D_
_x000D_
EXPO SDK 39  Bare Workflow_x000D_
_x000D_
   javascript_x000D_
import React from  react _x000D_
import   View  StyleSheet  Text   from  react native _x000D_
import ExternalDisplay   _x000D_
  useExternalDisplay _x000D_
  from  react native external display _x000D_
_x000D_
const CustomerFacingDisplay   ()     _x000D_
  const screens   useExternalDisplay()_x000D_
_x000D_
  return (_x000D_
     ExternalDisplay_x000D_
      mainScreenStyle    flex: 1   _x000D_
      fallbackInMainScreen  true _x000D_
      screen  Object keys(screens) 0  _x000D_
     _x000D_
       View style    backgroundColor:  brown   flex: 1  flexDirection:  row     _x000D_
         Text Hello   Text _x000D_
        View _x000D_
      ExternalDisplay _x000D_
  )_x000D_
 _x000D_
_x000D_
export default CustomerFacingDisplay_x000D_
   _x000D_
</t>
  </si>
  <si>
    <t>Anuken-Mindustry-3888</t>
  </si>
  <si>
    <t>Airlift Achievement Unobtainable (Steam)</t>
  </si>
  <si>
    <t xml:space="preserve">  Platform  :  Android iOS Mac Windows Linux  Windows_x000D_
_x000D_
  Build  :  The build number under the title in the main menu  Required   LATEST  IS NOT A VERSION  I NEED THE EXACT BUILD NUMBER OF YOUR GAME   121_x000D_
_x000D_
  Issue  :  Explain your issue in detail   Airlift is unobtainable in Steam_x000D_
_x000D_
  Steps to reproduce  :  How you happened across the issue  and what exactly you did to make the bug happen  _x000D_
1) Build an Oct and an other T5 unit (here  Corvus) _x000D_
  1127400 20201209173044 1 (https:  user images githubusercontent com 62336673 101652924 ded10600 3a4f 11eb 827f 350f76f55d22 png)_x000D_
2) Take a T5 unit by Oct _x000D_
  1127400 20201209173207 1 (https:  user images githubusercontent com 62336673 101652974 ed1f2200 3a4f 11eb 8232 cbb9e4b6c751 png)_x000D_
3) Realise that you haven t got the Airlift achievement in your profile _x000D_
  Screenshot 20201209 184731 (https:  user images githubusercontent com 62336673 101653030 f9a37a80 3a4f 11eb 9386 0716e33fe517 jpg)_x000D_
_x000D_
  Link(s) to mod(s) used  :  The mod repositories or zip files that are related to the issue  if applicable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sector serpulo 69 zip (https:  github com Anuken Mindustry files 5667064 sector serpulo 69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None_x000D_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</si>
  <si>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Anuken-Mindustry-3887</t>
  </si>
  <si>
    <t>oof [FIXED]</t>
  </si>
  <si>
    <t xml:space="preserve">  Platform  :  Windows _x000D_
_x000D_
  Build  :  121 _x000D_
_x000D_
  Issue  :  if you finish opening mindustry  it crashes _x000D_
_x000D_
  Steps to reproduce  :  download every mod from https:  github com topics mindustry mod v6 and put them onto mindustry and bam _x000D_
_x000D_
  Link(s) to mod(s) used  :  _x000D_
too many  but every mod in https:  github com topics mindustry mod v6_x000D_
 _x000D_
_x000D_
  Save file  :  none  came when finished loading _x000D_
_x000D_
If you remove the line above without reading it properly and understanding what it means  I will reap your soul  Even if you re playing on someone s server  you can still save the game to a slot _x000D_
_x000D_
  (Crash) logs  :  _x000D_
 crash report 12 09 2020 19 50 02 txt (https:  github com Anuken Mindustry files 5667035 crash report 12 09 2020 19 50 02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X  finally i found the correct crash report</t>
  </si>
  <si>
    <t>Anuken-Mindustry-3884</t>
  </si>
  <si>
    <t>crash report</t>
  </si>
  <si>
    <t xml:space="preserve">  Platform  : windows 7_x000D_
_x000D_
  Build  :  The build number under the title in the main menu  _x000D_
 itch io build 121_x000D_
_x000D_
  Issue  :  Explain your issue in detail   crash_x000D_
_x000D_
  Steps to reproduce  : i don t know sorry_x000D_
_x000D_
  Link(s) to mod(s) used  :  no mods_x000D_
_x000D_
  Save file  :  The (zipped) save file you were playing on when the bug happened  uhh i didn t saved it sorry _x000D_
  (Crash) logs  : _x000D_
 crash report 12 09 2020 15 06 34 txt (https:  github com Anuken Mindustry files 5666476 crash report 12 09 2020 15 06 34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</si>
  <si>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AOF-Dev-MCinaBox-729</t>
  </si>
  <si>
    <t>Forge crashes on version 1.10</t>
  </si>
  <si>
    <t xml:space="preserve">I think I ve reported this properly _x000D_
I finally got version 1 10 forge to install  I went into MCinaBox  Minecraft config and changed the splash propertie to false  When I try to launche 1 10 forge it starts with a black screen and re spring back to the launcher  Note that normal Minecraft works fine every time _x000D_
_x000D_
I expected it to work okay with crashes every now and then but no just a constantly crashes_x000D_
_x000D_
I have a Samsung galaxy s8_x000D_
_x000D_
Since I ve installed forge version 1 10 I can not install any other version of forge like 1 12 2 i have no idea why_x000D_
_x000D_
 Click here for log (https:  gofile io d P7Jcv9) _x000D_
</t>
  </si>
  <si>
    <t>Anuken-Mindustry-3883</t>
  </si>
  <si>
    <t>oof</t>
  </si>
  <si>
    <t xml:space="preserve">  Platform  :  Windows _x000D_
_x000D_
  Build  :  121 _x000D_
_x000D_
  Issue  :  if you finish opening mindustry  it crashes _x000D_
_x000D_
  Steps to reproduce  :  download every mod from https:  github com topics mindustry mod v6 and put them onto mindustry and bam _x000D_
_x000D_
  Link(s) to mod(s) used  :  _x000D_
too many  but every mod in https:  github com topics mindustry mod v6_x000D_
 _x000D_
_x000D_
  Save file  :  none  came when finished loading _x000D_
_x000D_
If you remove the line above without reading it properly and understanding what it means  I will reap your soul  Even if you re playing on someone s server  you can still save the game to a slot _x000D_
_x000D_
  (Crash) logs  :  _x000D_
 crash report 11 03 2020 09 45 40 txt (https:  github com Anuken Mindustry files 5666037 crash report 11 03 2020 09 45 40 txt)_x000D_
 _x000D_
_x000D_
   _x000D_
_x000D_
 Place an X (no spaces) between the brackets to confirm that you have read the line below    _x000D_
   X    I have updated to the latest release (https:  github com Anuken Mindustry releases) to make sure my issue has not been fixed    (crash logs say its 111 for some lmfaoing reason)_x000D_
   X    I have searched the closed and open issues to make sure that this problem has not already been reported   _x000D_
</t>
  </si>
  <si>
    <t>lowtraxx-TSVNC-3</t>
  </si>
  <si>
    <t>Crash when scrolling while holding a key.</t>
  </si>
  <si>
    <t>Client may crash if a key is pressed while scrolling _x000D_
To reproduce open Browser and try to zoom in and out with Strg   Scroll</t>
  </si>
  <si>
    <t>getodk-collect-4287</t>
  </si>
  <si>
    <t>Collect crashes when use pause and stop button at the same time in the middle of recording</t>
  </si>
  <si>
    <t xml:space="preserve">_x000D_
     Software and hardware versions _x000D_
Collect v1 29 x  Android v all  device used   _x000D_
_x000D_
     Problem description_x000D_
Collect is crashing when trying to click on pause and stop button in the same time  however  it is not easy to reproduce as error message display most often than crash  _x000D_
  ezgif com video to gif (46) (https:  user images githubusercontent com 33342488 101625742 29388f80 3a1c 11eb 9b46 c036fb5b42a4 gif)_x000D_
_x000D_
_x000D_
     Steps to reproduce the problem_x000D_
1  Start recording using an internal recorder _x000D_
2  Tap fast on pause and stop button_x000D_
It might not be visible in all tries _x000D_
_x000D_
     Expected behavior_x000D_
  Collect should not crash_x000D_
  Using pause and stop buttons at once should be blocked_x000D_
_x000D_
     Other information _x000D_
stacktrace of the crash:_x000D_
 2020 12 09 11:30:10 012 19931 19931 org odk collect android E AndroidRuntime: FATAL EXCEPTION: main_x000D_
    Process: org odk collect android  PID: 19931_x000D_
    java lang RuntimeException: Unable to start service org odk collect audiorecorder recording internal AudioRecorderService 1d67199 with Intent   act STOP cmp org odk collect android org odk collect audiorecorder recording internal AudioRecorderService  : java lang NullPointerException_x000D_
        at android app ActivityThread handleServiceArgs(ActivityThread java:3722)_x000D_
        at android app ActivityThread access 1700(ActivityThread java:200)_x000D_
        at android app ActivityThread H handleMessage(ActivityThread java:1704)_x000D_
        at android os Handler dispatchMessage(Handler java:106)_x000D_
        at android os Looper loop(Looper java:201)_x000D_
        at android app ActivityThread main(ActivityThread java:6810)_x000D_
        at java lang reflect Method invoke(Native Method)_x000D_
        at com android internal os RuntimeInit MethodAndArgsCaller run(RuntimeInit java:547)_x000D_
        at com android internal os ZygoteInit main(ZygoteInit java:873)_x000D_
     Caused by: java lang NullPointerException_x000D_
        at org odk collect audiorecorder recorder RecordingResourceRecorder stop(RecordingResourceRecorder kt:53)_x000D_
        at org odk collect audiorecorder recording internal AudioRecorderService stopRecording(AudioRecorderService kt:99)_x000D_
        at org odk collect audiorecorder recording internal AudioRecorderService onStartCommand(AudioRecorderService kt:62)_x000D_
        at android app ActivityThread handleServiceArgs(ActivityThread java:3700)_x000D_
        at android app ActivityThread access 1700(ActivityThread java:200) _x000D_
        at android app ActivityThread H handleMessage(ActivityThread java:1704) _x000D_
        at android os Handler dispatchMessage(Handler java:106) _x000D_
        at android os Looper loop(Looper java:201) _x000D_
        at android app ActivityThread main(ActivityThread java:6810) _x000D_
        at java lang reflect Method invoke(Native Method) _x000D_
        at com android internal os RuntimeInit MethodAndArgsCaller run(RuntimeInit java:547) _x000D_
        at com android internal os ZygoteInit main(ZygoteInit java:873) _x000D_
2020 12 09 11:30:10 342 2031 2124   E InputDispatcher: channel  8595c0f org odk collect android org odk collect android activities FormEntryActivity (server)    Channel is unrecoverably broken and will be disposed _x000D_
2020 12 09 11:30:10 343 2031 2124   E InputDispatcher: channel  a3bec56 org odk collect android org odk collect android activities MainMenuActivity (server)    Channel is unrecoverably broken and will be disposed _x000D_
2020 12 09 11:30:10 428 2031 4289   E ActivityTrigger: activityResumeTrigger: not whiteListedorg odk collect android org odk collect android activities MainMenuActivity 4017_x000D_
2020 12 09 11:30:10 430 541 572   E ANDR PERF MPCTL: Invalid profile no  0  total profiles 0 only_x000D_
2020 12 09 11:30:10 613 20740 20740 org odk collect android E collect androi: Dex checksum does not match for dex:  system framework com google android maps jar Expected: 3079070930  actual: 1845989642_x000D_
 _x000D_
</t>
  </si>
  <si>
    <t>Anuken-Mindustry-3878</t>
  </si>
  <si>
    <t>Crash when playing multiplayer</t>
  </si>
  <si>
    <t xml:space="preserve">  Platform  : Windows_x000D_
_x000D_
  Build  : release build 121_x000D_
_x000D_
  Issue  : The game crashed in server io_x000D_
_x000D_
  Steps to reproduce  : The game crashed when playing multiplayer in server io  idk what happen_x000D_
_x000D_
  Link(s) to mod(s) used  : None mods are active_x000D_
_x000D_
  Save file  : the game crashed_x000D_
_x000D_
_x000D_
If you remove the line above without reading it properly and understanding what it means  I will reap your soul  Even if you re playing on someone s server  you can still save the game to a slot _x000D_
_x000D_
  (Crash) logs  : _x000D_
 crash report 12 09 2020 12 14 48 txt (https:  github com Anuken Mindustry files 5663645 crash report 12 09 2020 12 14 48 txt)_x000D_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</si>
  <si>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Anuken-Mindustry-3876</t>
  </si>
  <si>
    <t>Mod translation has problem on the official Android release by DEFAULT</t>
  </si>
  <si>
    <t xml:space="preserve">  Platform  :  Android _x000D_
_x000D_
  Build  :  release build 121 _x000D_
_x000D_
  Issue  : _x000D_
By default (Clean installation of game)  information of mod contents is displayed in English instead of the system language (I m sure translation files in  mod bundle  exist and are valid)_x000D_
When I switch the game display language to another language and then switch back  the mod content will be displayed correctly _x000D_
This problem not produced on Windows  Android beta version or Android custom builds _x000D_
_x000D_
  Steps to reproduce  :_x000D_
1  Prepare an Android system and set its language to non English_x000D_
2  Prepare a mod that contains valid translation files in  bundle   (contains English and Android system language in the step 2)_x000D_
3  Install Mindustry from itch io or Google Play_x000D_
4  Start game  install the mod from step 2_x000D_
5  (problem) Check the information of the Mod content in game  it will be displayed in English instead of the system language  It should be displayed in system language _x000D_
6  Set the game display language to another one and then switch back  the mod content will be displayed in the correct language_x000D_
_x000D_
  Link(s) to mod(s) used  : _x000D_
  https:  github com abomb4 dimension shard_x000D_
  https:  github com abomb4 super cheat_x000D_
_x000D_
  Save file  :  No save file need _x000D_
_x000D_
  (Crash) logs  :  Not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</si>
  <si>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Anuken-Mindustry-3874</t>
  </si>
  <si>
    <t>Mods are unable to add hints</t>
  </si>
  <si>
    <t xml:space="preserve">  Platform  :  Windows _x000D_
_x000D_
  Build  :  Steam 121 _x000D_
_x000D_
  Issue  :  NullPointerError when I try to add a custom Hint  using the JavaAdapter  new or extend() to create my own hint and sticking it in the HintsFragment  _x000D_
_x000D_
  Steps to reproduce  : _x000D_
I tested all inside functions(no matter how weird they may seem  its part of a library so the code is valid)  Also tested with them just returning true or false  no luck either _x000D_
   _x000D_
var ahint   new HintsFragment Hint(    tried extend() too  both crashes the same way_x000D_
  name() _x000D_
    return  activeskilltest1  _x000D_
    _x000D_
  text() _x000D_
    return  Vars mobile     hint activeskill text  :   hint activeskill text mobile  _x000D_
    _x000D_
  order() _x000D_
    return 0 _x000D_
    _x000D_
  valid() _x000D_
    return true _x000D_
    _x000D_
  complete() _x000D_
    return false _x000D_
      return Vars player unit() useSkills    Vars player unit() getCool(0)   0   tmp_x000D_
    _x000D_
  show() _x000D_
    return true _x000D_
      return Vars player unit() type abilities find(a    typeof a isActiveSkill     function )    null _x000D_
   _x000D_
 ) _x000D_
Vars ui hints hints add(ahint) _x000D_
   _x000D_
_x000D_
  Link(s) to mod(s) used  :  I used sk7725 Testers to run the js above  you can just use the console too  _x000D_
_x000D_
  Save file  :  codewise  insta crash issue _x000D_
_x000D_
If you remove the line above without reading it properly and understanding what it means  I will reap your soul  Even if you re playing on someone s server  you can still save the game to a slot _x000D_
_x000D_
  (Crash) logs  : _x000D_
   _x000D_
Mindustry has crashed  How unfortunate _x000D_
Version: steam build 121_x000D_
OS: Windows 10 x64_x000D_
Java Version: 1 8 0 72_x000D_
Java Architecture: 64_x000D_
6 Mods: pictologic:1 5 3  testers:0 25  time control:0 2  ui lib:2 16 6  unity:0 3  commandblocks:0 8289  accent Beta 12  _x000D_
_x000D_
java lang NullPointerException_x000D_
	at arc struct Seq find(Seq java:346)_x000D_
	at mindustry ui fragments HintsFragment lambda build 2(HintsFragment java:52)_x000D_
	at arc scene Element act(Element java:79)_x000D_
	at arc scene Group act(Group java:37)_x000D_
	at arc scene Group act(Group java:41)_x000D_
	at arc scene Group act(Group java:41)_x000D_
	at arc scene Scene act(Scene java:185)_x000D_
	at arc scene Scene act(Scene java:133)_x000D_
	at mindustry core UI update(UI java:140)_x000D_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</si>
  <si>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Anuken-Mindustry-3872</t>
  </si>
  <si>
    <t>Mods that add Base Parts are not being registered (and modded Boulder blocks *are* generating on Serpulo)</t>
  </si>
  <si>
    <t xml:space="preserve">  Platform  :  Android iOS Mac   Windows   Linux _x000D_
_x000D_
  Build  : Steam 121_x000D_
_x000D_
  Issue  : _x000D_
 A 2 in 1 issue:  _x000D_
A mod I am making has base part schematics  but the game does not register them  I tried looking in the source code for a connection  but nothing _x000D_
_x000D_
On the other hand  centain environmental blocks I added in the mod also generate in sectors _x000D_
  20201208153329 1 (https:  user images githubusercontent com 19158169 101538269 d3f07580 396a 11eb 8ab4 a08884124b4e jpg)_x000D_
_x000D_
_x000D_
_x000D_
_x000D_
  Steps to reproduce  : https:  github com z0mbiesrock Diamond Ore tree 6 0 baseparts_x000D_
_x000D_
  Link(s) to mod(s) used  : https:  github com z0mbiesrock Diamond Ore tree 6 0_x000D_
_x000D_
  Save file  :_x000D_
For the base parts issue  idk  But for the modded Boulder blocks:_x000D_
 sector serpulo 173 zip (https:  github com Anuken Mindustry files 5661784 sector serpulo 173 zip)_x000D_
 zip of sector 173  freshly generated_x000D_
_x000D_
If you remove the line above without reading it properly and understanding what it means  I will reap your soul  Even if you re playing on someone s server  you can still save the game to a slot _x000D_
_x000D_
  (Crash) logs  : no crashes_x000D_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</si>
  <si>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Anuken-Mindustry-3868</t>
  </si>
  <si>
    <t>asdf</t>
  </si>
  <si>
    <t xml:space="preserve">Mindustry has crashed  How unfortunate _x000D_
Report this at https:  github com Anuken Mindustry issues new labels bug template bug report md_x000D_
_x000D_
Version: beta build 111_x000D_
OS: Windows 10 x64_x000D_
Java Version: 1 8 0 72_x000D_
Java Architecture: 64_x000D_
0 Mods_x000D_
_x000D_
java lang NullPointerException_x000D_
	at mindustry async PhysicsProcess begin(PhysicsProcess java:60)_x000D_
	at mindustry async AsyncCore begin(AsyncCore java:47)_x000D_
	at mindustry ClientLauncher update(ClientLauncher java:149)_x000D_
	at arc backend sdl SdlApplication listen(SdlApplication java:170)_x000D_
	at arc backend sdl SdlApplication loop(SdlApplication java:158)_x000D_
	at arc backend sdl SdlApplication  init (SdlApplication java:52)_x000D_
	at mindustry desktop DesktopLauncher main(DesktopLauncher java:36)_x000D_
</t>
  </si>
  <si>
    <t>Anuken-Mindustry-3864</t>
  </si>
  <si>
    <t>Fungal Pass</t>
  </si>
  <si>
    <t xml:space="preserve">  Platform  :  Android _x000D_
_x000D_
  Build  : 121_x000D_
_x000D_
  Issue  : So I had captured fungal pass  and was attacking the enemy base next to it  Whilst I was in the process of attacking the enemy base  I lost fungal pass to that exact same enemy base that I was currently attacking  If it s a feature  sorry _x000D_
_x000D_
  Steps to reproduce  : Capture fungal pass in campaign  defend yourself in the tile right between it and overgrowth for as long as possible  Eventually lose fungal pass _x000D_
  Link(s) to mod(s) used  : https:  github com K103908 Exotic Mod_x000D_
_x000D_
  Save file  : I can give you a save file from before me going in to capture fungal pass  but because Infinitodustry prevented the game from loading  I lost most of my progress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</si>
  <si>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dimagi-commcare-android-2417</t>
  </si>
  <si>
    <t>Operate on hintText view only when it's non null</t>
  </si>
  <si>
    <t xml:space="preserve">StackTrace: _x000D_
   _x000D_
java lang NullPointerException: Attempt to invoke virtual method  void org commcare views ShrinkingTextView setVisibility(int)  on a null object reference_x000D_
    at org commcare views widgets QuestionWidget hideHintText(QuestionWidget java:678)_x000D_
    at org commcare views QuestionsView  init (QuestionsView java:133)_x000D_
    at org commcare activities FormEntryActivityUIController createView(FormEntryActivityUIController java:353)_x000D_
    at org commcare activities FormEntryActivityUIController showNextView(FormEntryActivityUIController java:444)_x000D_
    at org commcare activities FormEntryActivityUIController showNextView(FormEntryActivityUIController java:387)_x000D_
    at org commcare activities FormEntryActivityUIController lambda setupUI 0 FormEntryActivityUIController(FormEntryActivityUIController java:112)_x000D_
    at org commcare activities    Lambda FormEntryActivityUIController dnpmuqxhXm7dnwgMxFbWNnARv1g onClick(Unknown Source:2)_x000D_
    at android view View performClick(View java:7184)_x000D_
    at android view View performClickInternal(View java:7161)_x000D_
    at android view View access 3500(View java:818)_x000D_
    at android view View PerformClick run(View java:27683)_x000D_
    at android os Handler handleCallback(Handler java:883)_x000D_
    at android os Handler dispatchMessage(Handler java:100)_x000D_
    at android os Looper loop(Looper java:224)_x000D_
    at android app ActivityThread main(ActivityThread java:7562)_x000D_
    at java lang reflect Method invoke(Native Method)_x000D_
    at com android internal os RuntimeInit MethodAndArgsCaller run(RuntimeInit java:539)_x000D_
    at com android internal os ZygoteInit main(ZygoteInit java:950)_x000D_
   _x000D_
Fixes a bug where an empty hint texts inside a question list will cause commcare to crash  _x000D_
</t>
  </si>
  <si>
    <t>react-native-share-react-native-share-922</t>
  </si>
  <si>
    <t>Exception: Cannot read property 'FACEBOOK' of undefined</t>
  </si>
  <si>
    <t xml:space="preserve">    Steps to reproduce_x000D_
1  npm install   save react native share_x000D_
2  import Share from  react native share _x000D_
3  app crashes_x000D_
_x000D_
    Expected behaviour_x000D_
Supposed to work_x000D_
_x000D_
    Actual behaviour_x000D_
App crashes on load_x000D_
_x000D_
    Environment_x000D_
    React Native version  : 0 63 2_x000D_
    React Native platform   platform version  : Android 10 0_x000D_
_x000D_
    react native share_x000D_
  Version  : 4 1 0_x000D_
_x000D_
    Link to repo (highly encouraged)_x000D_
https:  github com _x000D_
_x000D_
The error looks like RNShare is not available in NativeModules  _x000D_
I tried manual linking but no success  Moreover  0 60 is supposed to autolink_x000D_
Could somebody point me in the right direction _x000D_
  Screenshot from 2020 12 08 18 36 15 (https:  user images githubusercontent com 64183225 101487712 8f71d380 3984 11eb 9eaf bb2108739592 png)_x000D_
_x000D_
Similar closed issue:_x000D_
https:  github com react native share react native share issues 360 issue 357098240</t>
  </si>
  <si>
    <t>Technical-Hackers-Health-Log-17</t>
  </si>
  <si>
    <t>Fix add new patient's DOB bug</t>
  </si>
  <si>
    <t xml:space="preserve">App crashes if user enters DOB manually while adding new patient  _x000D_
I would like to work on this  </t>
  </si>
  <si>
    <t>Blankj-AndroidUtilCode-1389</t>
  </si>
  <si>
    <t>ToastUtils  在5.0 Android  小米 redmi note2 上不会显示</t>
  </si>
  <si>
    <t>Anuken-Mindustry-3852</t>
  </si>
  <si>
    <t>Server crash</t>
  </si>
  <si>
    <t xml:space="preserve">  Platform  :  Linux _x000D_
_x000D_
  Build  :  121 _x000D_
_x000D_
  Issue  :  Server sandbox crash _x000D_
_x000D_
  Save file  :  I dont have _x000D_
_x000D_
If you remove the line above without reading it properly and understanding what it means  I will reap your soul  Even if you re playing on someone s server  you can still save the game to a slot _x000D_
_x000D_
  (Crash) logs  :  Mindustry has crashed  How unfortunate _x000D_
Version: release build 121 (Server)_x000D_
OS: Linux x64_x000D_
Java Version: 11 0 9 1_x000D_
Java Architecture: 64_x000D_
2 Mods: jseval:1 1  plplugin:1_x000D_
_x000D_
java lang NullPointerException_x000D_
	at plplugin AdminModule lambda new 12(AdminModule java:98)_x000D_
	at arc struct ObjectMap each(ObjectMap java:104)_x000D_
	at plplugin AdminModule lambda new 13(AdminModule java:95)_x000D_
	at arc Events lambda fire 2(Events java:30)_x000D_
	at arc struct Seq each(Seq java:200)_x000D_
	at arc Events fire(Events java:30)_x000D_
	at arc Events fire(Events java:25)_x000D_
	at mindustry gen Player unit(Player java:617)_x000D_
	at mindustry gen Player clearUnit(Player java:403)_x000D_
	at mindustry gen Player remove(Player java:428)_x000D_
	at mindustry core NetServer onDisconnect(NetServer java:530)_x000D_
	at mindustry core NetServer lambda new 3(NetServer java:91)_x000D_
	at mindustry net Net handleServerReceived(Net java:278)_x000D_
	at mindustry net ArcNetProvider 2 lambda disconnected 1(ArcNetProvider java:105)_x000D_
	at arc util TaskQueue run(TaskQueue java:17)_x000D_
	at arc backend headless HeadlessApplication mainLoop(HeadlessApplication java:83)_x000D_
	at arc backend headless HeadlessApplication 1 run(HeadlessApplication java:54)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</si>
  <si>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Anuken-Mindustry-3851</t>
  </si>
  <si>
    <t xml:space="preserve">  Platform  :  Linux _x000D_
_x000D_
  Build  :  121  _x000D_
_x000D_
  Issue  :  Server sandbox crash _x000D_
_x000D_
_x000D_
  Save file  :  I dont have _x000D_
_x000D_
If you remove the line above without reading it properly and understanding what it means  I will reap your soul  Even if you re playing on someone s server  you can still save the game to a slot _x000D_
_x000D_
  (Crash) logs  :  Mindustry has crashed  How unfortunate _x000D_
Version: release build 121 (Server)_x000D_
OS: Linux x64_x000D_
Java Version: 11 0 9 1_x000D_
Java Architecture: 64_x000D_
2 Mods: jseval:1 1  plplugin:1_x000D_
_x000D_
java lang ArrayIndexOutOfBoundsException: Index 0 out of bounds for length 0_x000D_
	at mindustry ai types LogicAI updateMovement(LogicAI java:107)_x000D_
	at mindustry entities units AIController updateUnit(AIController java:45)_x000D_
	at mindustry gen AmmoDistributePayloadUnit update(AmmoDistributePayloadUnit java:1176)_x000D_
	at mindustry entities EntityGroup each(EntityGroup java:68)_x000D_
	at mindustry entities EntityGroup update(EntityGroup java:58)_x000D_
	at mindustry gen Groups update(Groups java:71)_x000D_
	at mindustry core Logic update(Logic java:411)_x000D_
	at arc backend headless HeadlessApplication mainLoop(HeadlessApplication java:89)_x000D_
	at arc backend headless HeadlessApplication 1 run(HeadlessApplication java:54)_x000D_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</si>
  <si>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inaturalist-iNaturalistAndroid-942</t>
  </si>
  <si>
    <t xml:space="preserve">https:  console firebase google com u 2 project inaturalist ios crashlytics app android:org inaturalist android issues 6e45dcac225007b8e8e3a6822fc0e0fa_x000D_
_x000D_
Relatively novel  but also restricted to one user  Is this some third party thing by Facebook  or are they trying to import a photo from Facebook _x000D_
_x000D_
   _x000D_
Fatal Exception: java lang SecurityException: Permission Denial: opening provider com facebook secure fileprovider SecureFileProvider from ProcessRecord 24f6aca 28203:org inaturalist android u0a426  (pid 28203  uid 10426) that is not exported from UID 10210_x000D_
       at android os Parcel createException(Parcel java:2088)_x000D_
       at android os Parcel readException(Parcel java:2056)_x000D_
       at android os Parcel readException(Parcel java:2004)_x000D_
       at android app IActivityManager Stub Proxy getContentProvider(IActivityManager java:6031)_x000D_
       at android app ActivityThread acquireProvider(ActivityThread java:7342)_x000D_
       at android app ContextImpl ApplicationContentResolver acquireUnstableProvider(ContextImpl java:2895)_x000D_
       at android content ContentResolver acquireUnstableProvider(ContentResolver java:2124)_x000D_
       at android content ContentResolver openTypedAssetFileDescriptor(ContentResolver java:1678)_x000D_
       at android content ContentResolver openAssetFileDescriptor(ContentResolver java:1510)_x000D_
       at android content ContentResolver openInputStream(ContentResolver java:1194)_x000D_
       at org inaturalist android ImageUtils resizeImage(ImageUtils java:360)_x000D_
       at org inaturalist android ObservationEditor createObservationPhotoForPhoto(ObservationEditor java:3102)_x000D_
       at org inaturalist android ObservationEditor access 5000(ObservationEditor java:130)_x000D_
       at org inaturalist android ObservationEditor 42 run(ObservationEditor java:2974)_x000D_
       at java lang Thread run(Thread java:919)_x000D_
   </t>
  </si>
  <si>
    <t>google-ExoPlayer-8323</t>
  </si>
  <si>
    <t>Crash: NPE in HlsChunkSource.onPlaylistError</t>
  </si>
  <si>
    <t xml:space="preserve">I m seeing small amount of crashes with callstack:_x000D_
   _x000D_
Fatal Exception: java lang NullPointerException: Attempt to invoke virtual method  boolean android net Uri equals(java lang Object)  on a null object reference_x000D_
       at com google android exoplayer2 source hls HlsChunkSource onPlaylistError(HlsChunkSource java:406)_x000D_
       at com google android exoplayer2 source hls HlsSampleStreamWrapper onPlaylistError(HlsSampleStreamWrapper java:536)_x000D_
       at com google android exoplayer2 source hls HlsMediaPeriod onPlaylistError(HlsMediaPeriod java:455)_x000D_
       at com google android exoplayer2 source hls playlist DefaultHlsPlaylistTracker notifyPlaylistError(DefaultHlsPlaylistTracker java:387)_x000D_
       at com google android exoplayer2 source hls playlist DefaultHlsPlaylistTracker access 800(DefaultHlsPlaylistTracker java:46)_x000D_
       at com google android exoplayer2 source hls playlist DefaultHlsPlaylistTracker MediaPlaylistBundle onLoadError(DefaultHlsPlaylistTracker java:600)_x000D_
       at com google android exoplayer2 source hls playlist DefaultHlsPlaylistTracker MediaPlaylistBundle onLoadError(DefaultHlsPlaylistTracker java:462)_x000D_
       at com google android exoplayer2 upstream Loader LoadTask handleMessage(Loader java:492)_x000D_
       at android os Handler dispatchMessage(Handler java:102)_x000D_
       at android os Looper loop(Looper java:154)_x000D_
       at android os HandlerThread run(HandlerThread java:61)_x000D_
   _x000D_
_x000D_
It does not look like issue with stream itself  since all the time when this crash happens stream is being played quite a long time:_x000D_
   _x000D_
12:54:30 GMT 0300 main D  EventLogger: timeline  eventTime 5 49  mediaPos 6 01  window 0  period 0  periodCount 1  windowCount 1  reason SOURCE UPDATE_x000D_
12:54:30 GMT 0300 main D  EventLogger:   period    _x000D_
12:54:30 GMT 0300 main D  EventLogger:   window  24 02  true  true _x000D_
12:54:30 GMT 0300 main D  EventLogger:  _x000D_
12:54:31 GMT 0300 main D  EventLogger: videoEnabled  eventTime 6 72  mediaPos 6 01  window 0  period 0 _x000D_
12:54:31 GMT 0300 main D  EventLogger: audioEnabled  eventTime 6 73  mediaPos 6 01  window 0  period 0 _x000D_
12:54:31 GMT 0300 main D  EventLogger: tracks  eventTime 6 73  mediaPos 6 01  window 0  period 0_x000D_
12:54:31 GMT 0300 main D  EventLogger:   MediaCodecVideoRenderer  _x000D_
12:54:31 GMT 0300 main D  EventLogger:     Group:0  adaptive supported N A  _x000D_
12:54:31 GMT 0300 main D  EventLogger:        X  Track:0  id 0  mimeType video avc  bitrate 6310000  codecs avc1 4D402A  res 1920x1080  fps 59 94  supported YES_x000D_
12:54:31 GMT 0300 main D  EventLogger:      _x000D_
12:54:31 GMT 0300 main D  EventLogger:     Metadata  _x000D_
12:54:31 GMT 0300 main D  EventLogger:       HlsTrackMetadataEntry_x000D_
12:54:31 GMT 0300 main D  EventLogger:      _x000D_
12:54:31 GMT 0300 main D  EventLogger:    _x000D_
12:54:31 GMT 0300 main D  EventLogger:   MediaCodecAudioRenderer  _x000D_
12:54:31 GMT 0300 main D  EventLogger:     Group:0  adaptive supported N A  _x000D_
12:54:31 GMT 0300 main D  EventLogger:        X  Track:0  id 1 15  mimeType audio mp4a latm  codecs mp4a 40 2  channels 2  sample rate 24000  language en  supported YES_x000D_
12:54:31 GMT 0300 main D  EventLogger:      _x000D_
12:54:31 GMT 0300 main D  EventLogger:    _x000D_
12:54:31 GMT 0300 main D  EventLogger:   FfmpegAudioRenderer   _x000D_
12:54:31 GMT 0300 main D  EventLogger:   TextRenderer  _x000D_
12:54:31 GMT 0300 main D  EventLogger:     Group:0  adaptive supported N A  _x000D_
12:54:31 GMT 0300 main D  EventLogger:           Track:0  id 1 8219  mimeType application cea 608  supported YES_x000D_
12:54:31 GMT 0300 main D  EventLogger:      _x000D_
12:54:31 GMT 0300 main D  EventLogger:     Group:1  adaptive supported N A  _x000D_
12:54:31 GMT 0300 main D  EventLogger:           Track:0  id subs:und t1  mimeType text vtt  language und  label und t1  supported YES_x000D_
12:54:31 GMT 0300 main D  EventLogger:      _x000D_
12:54:31 GMT 0300 main D  EventLogger:     Group:2  adaptive supported N A  _x000D_
12:54:31 GMT 0300 main D  EventLogger:           Track:0  id subs:und t2  mimeType text vtt  language und  label und t2  supported YES_x000D_
12:54:31 GMT 0300 main D  EventLogger:      _x000D_
12:54:31 GMT 0300 main D  EventLogger:     Group:3  adaptive supported N A  _x000D_
12:54:31 GMT 0300 main D  EventLogger:           Track:0  id subs:und t3  mimeType text vtt  language und  label und t3  supported YES_x000D_
12:54:31 GMT 0300 main D  EventLogger:      _x000D_
12:54:31 GMT 0300 main D  EventLogger:     Group:4  adaptive supported N A  _x000D_
12:54:31 GMT 0300 main D  EventLogger:           Track:0  id subs:und t4  mimeType text vtt  language und  label und t4  supported YES_x000D_
12:54:31 GMT 0300 main D  EventLogger:      _x000D_
12:54:31 GMT 0300 main D  EventLogger:    _x000D_
12:54:31 GMT 0300 main D  EventLogger:   MetadataRenderer  _x000D_
12:54:31 GMT 0300 main D  EventLogger:     Group:0  adaptive supported N A  _x000D_
12:54:31 GMT 0300 main D  EventLogger:        X  Track:0  id null  mimeType application id3  supported YES_x000D_
12:54:31 GMT 0300 main D  EventLogger:      _x000D_
12:54:31 GMT 0300 main D  EventLogger:    _x000D_
12:54:31 GMT 0300 main D  EventLogger:   CameraMotionRenderer   _x000D_
12:54:31 GMT 0300 main D  EventLogger:  _x000D_
12:54:31 GMT 0300 main D  EventLogger: downstreamFormat  eventTime 6 80  mediaPos 6 01  window 0  period 0  id 0  mimeType null  bitrate 6310000  codecs avc1 4d002a mp4a 40 2  res 1920x1080  fps 59 94 _x000D_
12:54:31 GMT 0300 main D  EventLogger: videoDecoderInitialized  eventTime 6 88  mediaPos 6 01  window 0  period 0  OMX MTK VIDEO DECODER AVC _x000D_
12:54:31 GMT 0300 main D  EventLogger: videoInputFormat  eventTime 6 88  mediaPos 6 01  window 0  period 0  id 0  mimeType video avc  bitrate 6310000  codecs avc1 4D402A  res 1920x1080  fps 59 94 _x000D_
12:54:31 GMT 0300 main D  EventLogger: audioDecoderInitialized  eventTime 6 94  mediaPos 6 01  window 0  period 0  OMX google aac decoder _x000D_
12:54:31 GMT 0300 main D  EventLogger: audioInputFormat  eventTime 6 94  mediaPos 6 01  window 0  period 0  id 1 15  mimeType audio mp4a latm  codecs mp4a 40 2  channels 2  sample rate 24000  language en _x000D_
12:54:31 GMT 0300 main D  EventLogger: tracks  eventTime 6 97  mediaPos 6 01  window 0  period 0_x000D_
12:54:31 GMT 0300 main D  EventLogger:   MediaCodecVideoRenderer  _x000D_
12:54:31 GMT 0300 main D  EventLogger:     Group:0  adaptive supported N A  _x000D_
12:54:31 GMT 0300 main D  EventLogger:        X  Track:0  id 0  mimeType video avc  bitrate 6310000  codecs avc1 4D402A  res 1920x1080  fps 59 94  supported YES_x000D_
12:54:31 GMT 0300 main D  EventLogger:      _x000D_
12:54:31 GMT 0300 main D  EventLogger:     Metadata  _x000D_
12:54:31 GMT 0300 main D  EventLogger:       HlsTrackMetadataEntry_x000D_
12:54:31 GMT 0300 main D  EventLogger:      _x000D_
12:54:31 GMT 0300 main D  EventLogger:    _x000D_
12:54:31 GMT 0300 main D  EventLogger:   MediaCodecAudioRenderer  _x000D_
12:54:31 GMT 0300 main D  EventLogger:     Group:0  adaptive supported N A  _x000D_
12:54:31 GMT 0300 main D  EventLogger:        X  Track:0  id 1 15  mimeType audio mp4a latm  codecs mp4a 40 2  channels 2  sample rate 24000  language en  supported YES_x000D_
12:54:31 GMT 0300 main D  EventLogger:      _x000D_
12:54:31 GMT 0300 main D  EventLogger:    _x000D_
12:54:31 GMT 0300 main D  EventLogger:   FfmpegAudioRenderer   _x000D_
12:54:31 GMT 0300 main D  EventLogger:   TextRenderer  _x000D_
12:54:31 GMT 0300 main D  EventLogger:     Group:0  adaptive supported N A  _x000D_
12:54:31 GMT 0300 main D  EventLogger:        X  Track:0  id 1 8219  mimeType application cea 608  supported YES_x000D_
12:54:31 GMT 0300 main D  EventLogger:      _x000D_
12:54:31 GMT 0300 main D  EventLogger:     Group:1  adaptive supported N A  _x000D_
12:54:31 GMT 0300 main D  EventLogger:           Track:0  id subs:und t1  mimeType text vtt  language und  label und t1  supported YES_x000D_
12:54:31 GMT 0300 main D  EventLogger:      _x000D_
12:54:31 GMT 0300 main D  EventLogger:     Group:2  adaptive supported N A  _x000D_
12:54:31 GMT 0300 main D  EventLogger:           Track:0  id subs:und t2  mimeType text vtt  language und  label und t2  supported YES_x000D_
12:54:31 GMT 0300 main D  EventLogger:      _x000D_
12:54:31 GMT 0300 main D  EventLogger:     Group:3  adaptive supported N A  _x000D_
12:54:31 GMT 0300 main D  EventLogger:           Track:0  id subs:und t3  mimeType text vtt  language und  label und t3  supported YES_x000D_
12:54:31 GMT 0300 main D  EventLogger:      _x000D_
12:54:31 GMT 0300 main D  EventLogger:     Group:4  adaptive supported N A  _x000D_
12:54:31 GMT 0300 main D  EventLogger:           Track:0  id subs:und t4  mimeType text vtt  language und  label und t4  supported YES_x000D_
12:54:31 GMT 0300 main D  EventLogger:      _x000D_
12:54:31 GMT 0300 main D  EventLogger:    _x000D_
12:54:31 GMT 0300 main D  EventLogger:   MetadataRenderer  _x000D_
12:54:31 GMT 0300 main D  EventLogger:     Group:0  adaptive supported N A  _x000D_
12:54:31 GMT 0300 main D  EventLogger:        X  Track:0  id null  mimeType application id3  supported YES_x000D_
12:54:31 GMT 0300 main D  EventLogger:      _x000D_
12:54:31 GMT 0300 main D  EventLogger:    _x000D_
12:54:31 GMT 0300 main D  EventLogger:   CameraMotionRenderer   _x000D_
12:54:31 GMT 0300 main D  EventLogger:  _x000D_
12:54:31 GMT 0300 main D  EventLogger: audioSessionId  eventTime 7 03  mediaPos 6 01  window 0  period 0  105 _x000D_
12:54:31 GMT 0300 main D  EventLogger: videoSize  eventTime 7 11  mediaPos 6 01  window 0  period 0  1920  1080 _x000D_
12:54:31 GMT 0300 main D  EventLogger: renderedFirstFrame  eventTime 7 18  mediaPos 6 01  window 0  period 0  Surface(name null)  0x4a09d55 _x000D_
12:54:31 GMT 0300 main D  EventLogger: state  eventTime 7 18  mediaPos 6 05  window 0  period 0  READY _x000D_
12:54:31 GMT 0300 main D  EventLogger: isPlaying  eventTime 7 19  mediaPos 6 05  window 0  period 0  true _x000D_
12:54:31 GMT 0300 main D  EventLogger: volume  eventTime 7 20  mediaPos 6 05  window 0  period 0  0 0 _x000D_
12:54:31 GMT 0300 main D  EventLogger: volume  eventTime 7 32  mediaPos 6 15  window 0  period 0  1 0 _x000D_
12:54:37 GMT 0300 main D  EventLogger: timeline  eventTime 12 87  mediaPos  0 30  window 0  period 0  periodCount 1  windowCount 1  reason SOURCE UPDATE_x000D_
12:54:37 GMT 0300 main D  EventLogger:   period    _x000D_
12:54:37 GMT 0300 main D  EventLogger:   window  24 46  true  true _x000D_
12:54:37 GMT 0300 main D  EventLogger:  _x000D_
12:54:44 GMT 0300 main D  EventLogger: timeline  eventTime 20 11  mediaPos 0 94  window 0  period 0  periodCount 1  windowCount 1  reason SOURCE UPDATE_x000D_
12:54:44 GMT 0300 main D  EventLogger:   period    _x000D_
12:54:44 GMT 0300 main D  EventLogger:   window  24 02  true  true _x000D_
12:54:44 GMT 0300 main D  EventLogger:  _x000D_
12:54:51 GMT 0300 main D  EventLogger: timeline  eventTime 27 35  mediaPos 2 18  window 0  period 0  periodCount 1  windowCount 1  reason SOURCE UPDATE_x000D_
12:54:51 GMT 0300 main D  EventLogger:   period    _x000D_
12:54:51 GMT 0300 main D  EventLogger:   window  24 02  true  true _x000D_
12:54:51 GMT 0300 main D  EventLogger:  _x000D_
12:54:59 GMT 0300 main D  EventLogger: timeline  eventTime 34 57  mediaPos 3 41  window 0  period 0  periodCount 1  windowCount 1  reason SOURCE UPDATE_x000D_
12:54:59 GMT 0300 main D  EventLogger:   period    _x000D_
12:54:59 GMT 0300 main D  EventLogger:   window  24 02  true  true _x000D_
12:54:59 GMT 0300 main D  EventLogger:  _x000D_
   _x000D_
12:57:45 GMT 0300 main D  EventLogger: timeline  eventTime 201 05  mediaPos 1 89  window 0  period 0  periodCount 1  windowCount 1  reason SOURCE UPDATE_x000D_
12:57:45 GMT 0300 main D  EventLogger:   period    _x000D_
12:57:45 GMT 0300 main D  EventLogger:   window  23 89  true  true _x000D_
12:57:45 GMT 0300 main D  EventLogger:  _x000D_
   _x000D_
13:01:36 GMT 0300 main D  EventLogger: timeline  eventTime 432 24  mediaPos 2 08  window 0  period 0  periodCount 1  windowCount 1  reason SOURCE UPDATE_x000D_
13:01:36 GMT 0300 main D  EventLogger:   period    _x000D_
13:01:36 GMT 0300 main D  EventLogger:   window  24 02  true  true _x000D_
13:01:36 GMT 0300 main D  EventLogger:  _x000D_
   _x000D_
13:05:28 GMT 0300 main D  EventLogger: timeline  eventTime 663 81  mediaPos  0 35  window 0  period 0  periodCount 1  windowCount 1  reason SOURCE UPDATE_x000D_
13:05:28 GMT 0300 main D  EventLogger:   period    _x000D_
13:05:28 GMT 0300 main D  EventLogger:   window  24 02  true  true _x000D_
13:05:28 GMT 0300 main D  EventLogger:  _x000D_
13:05:35 GMT 0300 main D  EventLogger: timeline  eventTime 671 04  mediaPos 0 88  window 0  period 0  periodCount 1  windowCount 1  reason SOURCE UPDATE_x000D_
13:05:35 GMT 0300 main D  EventLogger:   period    _x000D_
13:05:35 GMT 0300 main D  EventLogger:   window  24 02  true  true _x000D_
13:05:35 GMT 0300 main D  EventLogger:  _x000D_
13:05:52 GMT 0300 r:Playback E  UncaughtExceptionHandler: Uncaught exception java lang NullPointerException: Attempt to invoke virtual method  boolean android net Uri equals(java lang Object)  on a null object reference 	at d e a b x1 t0 o e(HlsMediaPeriod java:4) 	at d e a b x1 t0 u c a(DefaultHlsPlaylistTracker java:2) 	at d e a b x1 t0 u c a p(DefaultHlsPlaylistTracker java:14) 	at com google android exoplayer2 upstream Loader d handleMessage(Loader java:21) 	at android os Handler dispatchMessage(Handler java:102) 	at android os Looper loop(Looper java:154) 	at android os HandlerThread run(HandlerThread java:61)_x000D_
   _x000D_
_x000D_
I do not have exact steps or stream itself  According to logs it happens out of the blue _x000D_
It looks like some race condition and _x000D_
_x000D_
_x000D_
  ExoPlayer: 2 12 1_x000D_
  Android version: 7 8 9_x000D_
  Android devices: Amazon AFTMM  Xiaomi Mi TV Stick_x000D_
</t>
  </si>
  <si>
    <t>Anuken-Mindustry-3850</t>
  </si>
  <si>
    <t>Units being killed when dropped by an Oct</t>
  </si>
  <si>
    <t xml:space="preserve">  Platform  : Windows_x000D_
_x000D_
  Build  : Release 121_x000D_
  Issue  : When picking up t4 or t5 units with an Oct  once picked up  they die instantly when dropped  causing the loss of them _x000D_
_x000D_
  Steps to reproduce  : Pick a Toxopid or a Scepter with a Oct  drop them and they ll die _x000D_
  Link(s) to mod(s) used  : N A_x000D_
  Save file  :  file at https:  we tl t uAfp6kUM4S_x000D_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i screenshotted but i can t find the screenshot bruh _x000D_
 _x000D_
_x000D_
</t>
  </si>
  <si>
    <t>Anuken-Mindustry-3849</t>
  </si>
  <si>
    <t>Junction storage</t>
  </si>
  <si>
    <t xml:space="preserve">  Platform  :  Android iOS Mac Windows Linux _x000D_
Android_x000D_
  Build  :  The build number under the title in the main menu  Required   LATEST  IS NOT A VERSION  I NEED THE EXACT BUILD NUMBER OF YOUR GAME  _x000D_
122_x000D_
  Issue  :  Explain your issue in detail  _x000D_
Junctions do not have a consistant storage amount based on an experiment i did_x000D_
  Steps to reproduce  :  How you happened across the issue  and what exactly you did to make the bug happen  _x000D_
I set up 2 different storage schemes_x000D_
1 ) Junction junction junction_x000D_
2 ) Router junction router_x000D_
The first one gives 36 storage and 36 divided by 3 is 12_x000D_
The second one only gives 22 when it should give 26_x000D_
(26   2)   2 is 12_x000D_
(22   2)   2 is 10_x000D_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Idk how to do a save but i have the map i was doing_x000D_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</si>
  <si>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Anuken-Mindustry-3848</t>
  </si>
  <si>
    <t>Logic processor string compare is broken</t>
  </si>
  <si>
    <t xml:space="preserve">  Platform  : Windows 10 x64_x000D_
_x000D_
  Build  : Steam build 121_x000D_
_x000D_
  Issue  : Logic processor comparisons don t compare strings properly (I believe you re using      and      in the code  and Strings should use   equals ) _x000D_
_x000D_
  Steps to reproduce  : _x000D_
_x000D_
I was using logic processors to try to make lancers shoot where I m shooting  I also have a message block attached for debugging  so I tried to check the type of the link  and see if the link is a lancer (turns out it s unnecessary because messages will just ignore the  shoot  command  but the bug is still there)  The issue is that  if typ not  lancer   always returns true  even when the message output clearly says  lancer   _x000D_
_x000D_
To see this in game  create a logic processor and connect it to a lancer and a message box  then use this script:_x000D_
   _x000D_
radar player any any distance  this 1 ply_x000D_
sensor ax ply  shootX_x000D_
sensor ay ply  shootY_x000D_
sensor shooting ply  shooting_x000D_
set i 0_x000D_
getlink lnk i_x000D_
sensor typ lnk  type_x000D_
print typ_x000D_
printflush message1_x000D_
jump 11 notEqual typ  lancer _x000D_
control shoot lnk ax ay shooting 0_x000D_
op add i i 1_x000D_
jump 5 lessThan i  links_x000D_
   _x000D_
_x000D_
  Link(s) to mod(s) used  : No mods_x000D_
_x000D_
  Save file  :  saves zip (https:  github com Anuken Mindustry files 5654771 saves zip)_x000D_
_x000D_
  (Crash) logs  :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</si>
  <si>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commons-app-apps-android-commons-4086</t>
  </si>
  <si>
    <t>Crash when tapping on the nearbyNotification in Contributions activity</t>
  </si>
  <si>
    <t xml:space="preserve">  Summary:   _x000D_
In new UI when click on the nearbyNotification content  app crash_x000D_
  Steps to reproduce:   _x000D_
  Go to Contributions _x000D_
click on the nearbyNotification   _x000D_
_x000D_
_x000D_
  Screenshot 2020 12 08 10 12 53 464 fr free nrw commons beta (https:  user images githubusercontent com 65972015 101441408 084e3c80 393f 11eb 97f8 94d60929eac5 jpg)_x000D_
_x000D_
  System logs:  _x000D_
_x000D_
Add logcat files here (if possible) _x000D_
2020 12 07 21:44:02 773 20043 20043 fr free nrw commons beta E SwipableCardView: 0_x000D_
2020 12 07 21:44:02 802 20043 20043 fr free nrw commons beta E SwipableCardView: 1_x000D_
2020 12 07 21:44:02 873 20043 20043 fr free nrw commons beta E AndroidRuntime: FATAL EXCEPTION: main_x000D_
      Process: fr free nrw commons beta  PID: 20043_x000D_
    java lang NullPointerException: Attempt to invoke virtual method  android content res Resources androidx fragment app FragmentActivity getResources()  on a null object reference_x000D_
        at fr free nrw commons nearby fragments NearbyParentFragment centerMapToPlace(NearbyParentFragment java:655)_x000D_
        at fr free nrw commons contributions MainActivity centerMapToPlace(MainActivity java:305)_x000D_
        at fr free nrw commons nearby NearbyNotificationCardView lambda setActionListeners 0 NearbyNotificationCardView(NearbyNotificationCardView java:86)_x000D_
        at fr free nrw commons nearby    Lambda NearbyNotificationCardView VOPNkXLFp2 oU8vL3IdOKygUkxo onClick(Unknown Source:4)  _x000D_
        at android view View performClick(View java:6608)_x000D_
        at android view View performClickInternal(View java:6585)_x000D_
        at android view View access 3100(View java:785)_x000D_
        at android view View PerformClick run(View java:25919)_x000D_
        at android os Handler handleCallback(Handler java:873)_x000D_
        at android os Handler dispatchMessage(Handler java:99)_x000D_
        at android os Looper loop(Looper java:201)_x000D_
        at android app ActivityThread main(ActivityThread java:6810)_x000D_
        at java lang reflect Method invoke(Native Method)_x000D_
        at com android internal os RuntimeInit MethodAndArgsCaller run(RuntimeInit java:547)_x000D_
        at com android internal os ZygoteInit main(ZygoteInit java:873)_x000D_
  Device and Android version:  _x000D_
Android device:Redmi y3 _x000D_
API:29_x000D_
_x000D_
  Commons app version:   _x000D_
2 13 1 debug_x000D_
_x000D_
  Would you like to work on the issue   _x000D_
YES_x000D_
Please let us know whether you want to fix the issue by yourself  If not  anyone can get the issue assigned to them _x000D_
i fixes</t>
  </si>
  <si>
    <t>TeamNewPipe-NewPipe-5125</t>
  </si>
  <si>
    <t>Shuffle function does not work properly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</si>
  <si>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Searching for  a bhajan a day    getting a playlist with around 700 videos   play in background  As I want to play in shuffled way I got to notification panel   press the notification   app is opening with waiting list   I press the shuffle function_x000D_
_x000D_
_x000D_
    Actual behaviour_x000D_
     Tell us what happens with the steps given above     _x000D_
So if I press the shuffle button  it only mixes the last 100 songs  no earlier songs are showing up at the beginning of the shuffled list  Even if I press the shuffle button again and again_x000D_
  Screenshot 20201207 164012 org schabi newpipe (https:  user images githubusercontent com 17983167 101373429 35eaa580 38ad 11eb 9e72 6bd3922b4ae8 jpg)_x000D_
  it shows only the last 100 songs in a shuffled way _x000D_
_x000D_
_x000D_
    Expected behavior_x000D_
     Tell us what you expect to happen     _x000D_
I would like to have a real mix from all 700 Songs being played  when a I press the shuffle button_x000D_
And I would like to have a shuffle button in the notification panel  not only the repeat button option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EMUI 10 1_x000D_
   Device model: Huawei Mate 20 Pro_x000D_
</t>
  </si>
  <si>
    <t>gsantner-markor-1149</t>
  </si>
  <si>
    <t>View/Edit-Mode switch changes cursor position</t>
  </si>
  <si>
    <t xml:space="preserve">     General information_x000D_
_x000D_
    App version:2 4 0_x000D_
    System: _x000D_
_x000D_
     Description_x000D_
_x000D_
After going back from View Mode to Edit  Markor goes to the beginning of the text and not to the same text section that was being worked on in Edit mode _x000D_
_x000D_
     How to reproduce_x000D_
1  open some long text file in edit mode  go to the middle_x000D_
2  switch to view mode_x000D_
3  you re now at the beginning of the text_x000D_
4  switch back to edit mode_x000D_
5  you re back at the section that you were editing_x000D_
_x000D_
     Log_x000D_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blog 2018 03 19 android contribution guide html packageid net gsantner markor project markor web https:  github com gsantner markor logcat_x000D_
   _x000D_
</t>
  </si>
  <si>
    <t>TeamNewPipe-NewPipe-5122</t>
  </si>
  <si>
    <t>NewPipe starts by itself</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</si>
  <si>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(official repository)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NewPipe closed without being in background_x000D_
2  Notification appears see picture_x000D_
3  Volume starts changing by itself_x000D_
   _x000D_
_x000D_
1  NewPipe closed without being in background (all recent apps cleared)_x000D_
2  Notification appears  see picture_x000D_
3  Volume starts changing by itself_x000D_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NewPipe is closed (not in background or recent tab switcher screen)  after some time notification app control widget (see picture) shows up triggered by itself  This notification also shows up when the phone screen is locked  Following this  all of the sudden system s volume appear and (by itself) changes volume level _x000D_
_x000D_
Not sure if this is related to new updates after 0 20 1 (before that everything was fine) or to headphone jack (because those are the only things that changed) _x000D_
_x000D_
_x000D_
    Expected behavior_x000D_
     Tell us what you expect to happen     _x000D_
_x000D_
Closed NewPipe not starting up by itself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newpipe (https:  user images githubusercontent com 74458162 101359727 77625d00 387b 11eb 92b1 92e44db5b476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It s very random  hard to know what causes it and when _x000D_
     Please fill this out when you do not provide a log generate by NewPipe    _x000D_
_x000D_
    Device info_x000D_
_x000D_
   Android version Custom ROM version:10_x000D_
   Device model:_x000D_
</t>
  </si>
  <si>
    <t>TeamNewPipe-NewPipe-5121</t>
  </si>
  <si>
    <t>Different caption styles don't work.</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</si>
  <si>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There are some videos on YouTube where different caption styles are used  But Newpipe can t encode them _x000D_
I have chosen this link to show the the problem_x000D_
https:  m youtube com watch v XDLcRfzIpa0_x000D_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There are various colors or fonts in different caption styles but they don t appear in Newpipe _x000D_
Moreover the captions produced by newpipe on default covers the screen and the subtitles repeat and it s hard to read them _x000D_
_x000D_
    Expected behavior_x000D_
     Tell us what you expect to happen     _x000D_
The different caption should be the same as seen on YouTube  The different characteristics such as fonts or colors should be produced in newpipe _x000D_
Also the subtitles shouldn t repeat _x000D_
_x000D_
_x000D_
Moreover  I would like to request newpipe to have advanced subtitles customization settings where various minor things can be interchanged  Again using custom subtitles from url or srt file is also a good feature  The newpipe cc settings is pretty minimalistic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I will give two screenshots where the first one is the actual behavior and the second one is the expected behavior from the link I mentioned _x000D_
_x000D_
_x000D_
  Screenshot 2020 12 07 18 11 58 023 org schabi newpipe (https:  user images githubusercontent com 68889858 101350517 47d24580 38b9 11eb 8a7b 035085af65de jpg)_x000D_
_x000D_
_x000D_
  Screenshot 2020 12 07 18 11 23 064 com duckduckgo mobile android (https:  user images githubusercontent com 68889858 101350523 4acd3600 38b9 11eb 8858 ecf05f59f740 jpg)_x000D_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version:Android 10_x000D_
 Device model: Redmi Note 8_x000D_
</t>
  </si>
  <si>
    <t>Anuken-Mindustry-3839</t>
  </si>
  <si>
    <t>Inconsistant block sizes reported as an issue with loading a mod, leading to a crash.</t>
  </si>
  <si>
    <t xml:space="preserve">  Platform  : Windows 10_x000D_
  Build  : Steam 121  and Release 121 from github (current latest)_x000D_
_x000D_
_x000D_
  Issue  : added a logic display with a size of 21 and was greeted by this error_x000D_
  image (https:  user images githubusercontent com 495512 101346966 438a3600 3881 11eb 9cff 429e5e71da0f png)_x000D_
so I reduced the size to 16  and then upon placing it  I got a crash with this error message_x000D_
  image (https:  user images githubusercontent com 495512 101347068 66b4e580 3881 11eb 8e10 db4e742b31f0 png)_x000D_
reduced again to 14 and it worked_x000D_
_x000D_
  Steps to reproduce  : have a block size above 16  load  see the content error warning  change the size to 16  get the crash upon placing the object_x000D_
_x000D_
  Link(s) to mod(s) used  : https:  github com LottieVixen bigger display_x000D_
_x000D_
  Save file  :  33 zip (https:  github com Anuken Mindustry files 5652519 33 zip)_x000D_
_x000D_
  (Crash) log  : _x000D_
   log_x000D_
Mindustry has crashed  How unfortunate _x000D_
Version: steam build 121_x000D_
OS: Windows 10 x64_x000D_
Java Version: 1 8 0 72_x000D_
Java Architecture: 64_x000D_
36 Mods: 1 tile drills:0 0 1  2xconveyors:0 2  advancecontent:1 9 2 Final Major Update  anuke logic:1 7 0  bigger display:0 0 1  dev mode:2 3 2  hackustry:3 3 zip  heavy armaments:2 0  larger cores:1 0  ldb:1 1 0  pictologic:1 5 3  pixelcraft:0 9 2  revision:5 2  test:0 1  ui lib:2 16 4  vanilla upgraded: white 3 0   orange production  white mod:3 6 8  copper and lead to coal:1 01  copper generator:1  extended unit arsenal:1  hypertech:2 82  mechanical warfare:1 6 2  minified machinery:1  real life mindustry mod:1 5  the teleport:0 1  uranium mod:1 5  xelos pixel texturepack:0 3 5   white lead industri pink es:1 4  braindustry:1 4  cheat power:1  cumdustry:0 0 1  hackforall:0 1  routorio:2 35 4  rtfm:2 13 3  t4 processor:1 0  testmod:1 1 1_x000D_
_x000D_
java lang RuntimeException: Block size must be between 0 and 14_x000D_
	at mindustry world Edges getInsideEdges(Edges java:81)_x000D_
	at mindustry world Build contactsShallows(Build java:183)_x000D_
	at mindustry world Build validPlace(Build java:128)_x000D_
	at mindustry world Build validPlace(Build java:101)_x000D_
	at mindustry input InputHandler validPlace(InputHandler java:1105)_x000D_
	at mindustry input InputHandler validPlace(InputHandler java:1093)_x000D_
	at mindustry input InputHandler drawRequest(InputHandler java:766)_x000D_
	at mindustry input DesktopInput drawBottom(DesktopInput java:162)_x000D_
	at mindustry graphics OverlayRenderer drawBottom(OverlayRenderer java:34)_x000D_
	at arc graphics g2d SortedSpriteBatch flushRequests(SortedSpriteBatch java:117)_x000D_
	at arc graphics g2d SortedSpriteBatch flush(SortedSpriteBatch java:97)_x000D_
	at arc graphics g2d Draw flush(Draw java:356)_x000D_
	at mindustry core Renderer draw(Renderer java:261)_x000D_
	at mindustry core Renderer update(Renderer java:92)_x000D_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</si>
  <si>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the3deers-android-3D-model-viewer-159</t>
  </si>
  <si>
    <t>ModelSurfaceView not usable in layout xmls</t>
  </si>
  <si>
    <t xml:space="preserve">Due to a missing constructor or init function and according attributes  ModelSurfaceView currently cannot be added to a layout XML  The layoutinflator cannot construct it and will crash _x000D_
_x000D_
Suggestion: Add code to make the inflator happy  (Loading of scene can still be done in code)_x000D_
_x000D_
As a bonus  make sure view binding works with the view </t>
  </si>
  <si>
    <t>Blankj-AndroidUtilCode-1388</t>
  </si>
  <si>
    <t>LogUtils.w crash</t>
  </si>
  <si>
    <t xml:space="preserve">      Bug_x000D_
_x000D_
  LogUtils w crash     Environment getExternalStorageStated     _x000D_
  image (https:  user images githubusercontent com 15245246 101343367 ddbc9f00 38be 11eb 8356 9106208d580e png)_x000D_
_x000D_
_x000D_
  image (https:  user images githubusercontent com 15245246 101342999 4d7e5a00 38be 11eb 9fa1 f88d0e526613 png)_x000D_
_x000D_
  AndroidUtilCode     utilcodex 1 29 0_x000D_
_x000D_
       _x000D_
_x000D_
   _x000D_
Disposable disposable   refreshClubList()_x000D_
                     subscribe(Functions emptyConsumer()  throwable    LogUtils w(TextUtils isEmpty(throwable getLocalizedMessage())    refreshClubList exception  : throwable getLocalizedMessage())) _x000D_
   _x000D_
_x000D_
       _x000D_
_x000D_
  image (https:  user images githubusercontent com 15245246 101343240 ac43d380 38be 11eb 9605 87b3117ea16d png)_x000D_
</t>
  </si>
  <si>
    <t>Anuken-Mindustry-3835</t>
  </si>
  <si>
    <t>Power node visual bug</t>
  </si>
  <si>
    <t xml:space="preserve">  Platform  :  Windows _x000D_
_x000D_
  Build  :  121 _x000D_
_x000D_
  Issue  :  The issue is about those orange lines (idk how they are called)_x000D_
  image (https:  user images githubusercontent com 56732705 101324507 ab815200 386a 11eb 9206 970d17491f76 png)_x000D_
 that disappear after you double click the  node  _x000D_
_x000D_
  Steps to reproduce  :  _x000D_
1  Hover on a node:_x000D_
  image (https:  user images githubusercontent com 56732705 101324967 4c700d00 386b 11eb 830a bdb9e06fb9dc png)_x000D_
2  Double click on the node (when you dont have a mouse on the node the power display resets)_x000D_
  image (https:  user images githubusercontent com 56732705 101325252 bbe5fc80 386b 11eb 88b2 8797d2ad5470 png)_x000D_
3  Hover off the node:_x000D_
  image (https:  user images githubusercontent com 56732705 101325686 7544d200 386c 11eb 98cb 020ac3bdeac2 png)_x000D_
4  Hover on the node and double click it:_x000D_
  image (https:  user images githubusercontent com 56732705 101325759 94436400 386c 11eb 9bf6 d1d9e7c76b53 png)_x000D_
_x000D_
The orange bar doesnt display:_x000D_
  image (https:  user images githubusercontent com 56732705 101325868 bd63f480 386c 11eb 88ab c015faad5074 png)_x000D_
_x000D_
I saw the issue posted earlier but the user didnt give much info about it _x000D_
_x000D_
  Link(s) to mod(s) used  :  None _x000D_
_x000D_
  Save file  :   saves zip (https:  github com Anuken Mindustry files 5651354 saves zip) _x000D_
_x000D_
If you remove the line above without reading it properly and understanding what it means  I will reap your soul  Even if you re playing on someone s server  you can still save the game to a slot _x000D_
_x000D_
  (Crash) logs  :  Issue not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</si>
  <si>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Anuken-Mindustry-3834</t>
  </si>
  <si>
    <t>Interplanetary crash</t>
  </si>
  <si>
    <t xml:space="preserve">Windows 10_x000D_
_x000D_
  Build  :  The build number under the title in the main menu  Required   LATEST  IS NOT A VERSION  I NEED THE EXACT BUILD NUMBER OF YOUR GAME  _x000D_
_x000D_
Steam build 121_x000D_
_x000D_
  Issue  : After completing the Interplanetary accelerator on any captured zone game will crash_x000D_
 crash report 12 06 2020 23 19 38 txt (https:  github com Anuken Mindustry files 5651058 crash report 12 06 2020 23 19 38 txt)_x000D_
_x000D_
_x000D_
  Steps to reproduce  :  How you happened across the issue  and what exactly you did to make the bug happen  _x000D_
  Save file  :     saves zip (https:  github com Anuken Mindustry files 5651085 saves zip)_x000D_
_x000D_
If you remove the line above without reading it properly and understanding what it means  I will reap your soul  Even if you re playing on someone s server  you can still save the game to a slot _x000D_
_x000D_
  mods  _x000D_
 MEEPofFaithprogressed materials zip (https:  github com Anuken Mindustry files 5651067 MEEPofFaithprogressed materials zip)_x000D_
 MesokrixVanilla Upgraded zip (https:  github com Anuken Mindustry files 5651069 MesokrixVanilla Upgraded zip)_x000D_
 SMIPE444Infinity Cheat zip (https:  github com Anuken Mindustry files 5651070 SMIPE444Infinity Cheat zip)_x000D_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</si>
  <si>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commons-app-apps-android-commons-4081</t>
  </si>
  <si>
    <t>App is crash when Backbutton is pressed</t>
  </si>
  <si>
    <t xml:space="preserve">  Summary:   _x000D_
_x000D_
App is crash when we are at Contributions Favorities page and then backButton is pressed_x000D_
_x000D_
  Steps to reproduce:   _x000D_
  Go to contributions Favorities_x000D_
  Backbutton pressed_x000D_
What did you expect the app to do  and what did you see instead _x000D_
App does not crash we backbutton pressed_x000D_
_x000D_
  Device and Android version:   _x000D_
Android Device :Redmi_x000D_
API :29_x000D_
  LogCat  _x000D_
2020 12 07 11:56:58 628 8131 8131 fr free nrw commons beta E ACRA: ACRA caught a NullPointerException for fr free nrw commons beta_x000D_
      java lang NullPointerException: Attempt to invoke virtual method  boolean fr free nrw commons media MediaDetailPagerFragment isVisible()  on a null object reference_x000D_
        at fr free nrw commons contributions ContributionsFragment backButtonClicked(ContributionsFragment java:610)_x000D_
        at fr free nrw commons contributions MainActivity onBackPressed(MainActivity java:241)  _x000D_
        at android app Activity onKeyUp(Activity java:3147)_x000D_
        at android view KeyEvent dispatch(KeyEvent java:2733)_x000D_
        at android app Activity dispatchKeyEvent(Activity java:3430)_x000D_
        at androidx core app ComponentActivity superDispatchKeyEvent(ComponentActivity java:122)_x000D_
        at androidx core view KeyEventDispatcher dispatchKeyEvent(KeyEventDispatcher java:84)_x000D_
        at androidx core app ComponentActivity dispatchKeyEvent(ComponentActivity java:140)_x000D_
        at androidx appcompat app AppCompatActivity dispatchKeyEvent(AppCompatActivity java:558)_x000D_
        at androidx appcompat view WindowCallbackWrapper dispatchKeyEvent(WindowCallbackWrapper java:59)_x000D_
        _x000D_
  Commons app version:   _x000D_
2 13 1 debug master b24ed1cf6_x000D_
  Screen shots:   _x000D_
  20201207 115241 1 (https:  user images githubusercontent com 65972015 101316787 2ce4de80 3883 11eb 8c57 10118133c1a1 gif)_x000D_
_x000D_
  Would you like to work on the issue   _x000D_
YES_x000D_
Please let us know whether you want to fix the issue by yourself  If not  anyone can get the issue assigned to them _x000D_
YES</t>
  </si>
  <si>
    <t>CelesteHackmann-JustWrite-18</t>
  </si>
  <si>
    <t>Fix End Sprint Button</t>
  </si>
  <si>
    <t>Right now the end sprint button results in a crash if the user decides to end the sprint early  Fix this bug before moving forward by checking what the result for this activity would be</t>
  </si>
  <si>
    <t>Anuken-Mindustry-3831</t>
  </si>
  <si>
    <t>Crash when Importing Data</t>
  </si>
  <si>
    <t xml:space="preserve">  Platform  : Mac and iOS_x000D_
_x000D_
  Build  : 121_x000D_
_x000D_
  Issue  : Loading  game data  from a previous build instantly crashes app _x000D_
_x000D_
  Steps to reproduce  : Settings    Game Data    Import Data    game data zip    CRASH_x000D_
This was happening pre 6 x_x000D_
 crashdata txt (https:  github com Anuken Mindustry files 5650014 crashdata txt)_x000D_
 gamedata zip (https:  github com Anuken Mindustry files 5650016 gamedata zip)_x000D_
_x000D_
  Link(s) to mod(s) used  : N A_x000D_
_x000D_
  Save file  : See attached_x000D_
_x000D_
  (Crash) logs  : See attached_x000D_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</si>
  <si>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TeamNewPipe-NewPipe-5118</t>
  </si>
  <si>
    <t>Not all streams are available for download</t>
  </si>
  <si>
    <t xml:space="preserve">While youtube dl shows three 4k and 1080 streams  NewPipe shows only one for each resolution _x000D_
_x000D_
 youtube dl  F: https:  www youtube com watch v LXb3EKWsInQ :_x000D_
   _x000D_
303          webm       1920x1080  1080p60 5018k   vp9  60fps  video only  134 10MiB_x000D_
299          mp4        1920x1080  1080p60 5794k   avc1 64002a  60fps  video only  163 70MiB_x000D_
335          webm       1920x1080  1080p60 HDR 6920k   vp9 2  60fps  video only  252 07MiB_x000D_
   _x000D_
   _x000D_
401          mp4        3840x2160  2160p60 HDR 18167k   av01 0 13M 10 0 110 09 16 09 0  60fps  video only  460 07MiB_x000D_
315          webm       3840x2160  2160p60 26568k   vp9  60fps  video only  956 39MiB_x000D_
337          webm       3840x2160  2160p60 HDR 30646k   vp9 2  60fps  video only  1 05GiB_x000D_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Press download_x000D_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Only some formats are shown _x000D_
_x000D_
    Expected behavior_x000D_
     Tell us what you expect to happen     _x000D_
_x000D_
All available formats must be shown_x000D_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image (https:  user images githubusercontent com 14617699 101299370 0737e500 3843 11eb 9ad5 0987267fa86e png)_x000D_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lngos_x000D_
   Device model: op3t_x000D_
</t>
  </si>
  <si>
    <t>TeamNewPipe-NewPipe-5117</t>
  </si>
  <si>
    <t>NewPipe does not crash in Opera Classic, but it does not play video either.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</si>
  <si>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In Opera Classic (12 10 ADR 1502251211) browser open google search  find youtube   video and open the link_x000D_
2  In the popup NewPipe window  click  Video player  and select  just once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You get the  Network error  error in a small popup and the video does not play _x000D_
_x000D_
    Expected behavior_x000D_
     Tell us what you expect to happen     _x000D_
_x000D_
Opening an external video player  On android 4 2 2 and NewPipeLegacy 0 20 2 everything works without errors_x000D_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2020 12 07 08 55 59 02 (https:  user images githubusercontent com 12525093 101297627 9c53d180 3875 11eb 9650 27b7349828e2 jpg)_x000D_
  2020 12 07 08 57 27 01 (https:  user images githubusercontent com 12525093 101297637 a8d82a00 3875 11eb 95e5 183acaf023dc jpg)_x000D_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5 1_x000D_
   Device model: Highscreen Boost III Pro</t>
  </si>
  <si>
    <t>cgeo-cgeo-9509</t>
  </si>
  <si>
    <t>[Nightly] Crash when adding WP from clipboard</t>
  </si>
  <si>
    <t xml:space="preserve">  Describe the bug:  _x000D_
Created a parking WP in a cache yesterday  Tried to copy it via clipboard to another cache today    crash _x000D_
Cross checked afterwards with a reference point    same result _x000D_
_x000D_
  To Reproduce:  _x000D_
1  Create a WP in any cache_x000D_
2  Copy WP to clipboard_x000D_
3  Go to another cache and insert WP from clipboard_x000D_
_x000D_
  Actual behavior state after performing these steps:  _x000D_
c:geo crashes and re starts in main screen _x000D_
_x000D_
  Expected behavior state after performing these steps:  _x000D_
Guess what       )_x000D_
_x000D_
  Version of c:geo used:  _x000D_
2020 12 06 NB b5f906d_x000D_
_x000D_
  Is the problem reproducible:  _x000D_
Yes   at least most of the times   )_x000D_
Before filing the BR  I first checked the scenario described above with latest Nightly   and most surprisingly it worked _x000D_
Ok  I thought  has been corrected  Fine  So I did the same with the WP  I  really  wanted to copy        crash   : _x000D_
So it may possibly take some attempts to reproduce     see  logcat txt (https:  github com cgeo cgeo files 5649729 logcat 2020 12 06 23 50 txt) for details _x000D_
_x000D_
  System information:  _x000D_
   _x000D_
    System information    _x000D_
Device: VOG L29 (VOG L29EEA  HUAWEI)_x000D_
Android version: 10_x000D_
Android build: VOG L29 10 1 0 150(C431E19R2P5)_x000D_
c:geo version: 2020 12 06 NB b5f906d_x000D_
Google Play services: disabled   20 45 16 (120400 344294571)_x000D_
Low power mode: inactive_x000D_
Compass capabilities: yes_x000D_
Rotation vector sensor: present_x000D_
Orientation sensor: present_x000D_
Magnetometer   Accelerometer sensor: present_x000D_
Direction sensor used: rotation vector_x000D_
Hide caches: own found archived_x000D_
Hide waypoints:  _x000D_
HW acceleration: enabled (default state)_x000D_
System language: en DE_x000D_
System date format: dd MM y_x000D_
Debug mode active: no_x000D_
System internal c:geo dir:  data user 0 cgeo geocaching (71 2 GB free) internal_x000D_
User storage c:geo dir:  storage emulated 0 cgeo (71 1 GB free) external non removable_x000D_
Geocache data:  storage emulated 0 Android data cgeo geocaching files GeocacheData (71 1 GB free) external non removable_x000D_
Database:  data user 0 cgeo geocaching databases data (315 6 MB) on system internal storage_x000D_
Last backup: 5 Dec  02:42_x000D_
GPX import path:  storage emulated 0 Download_x000D_
GPX export path:  storage emulated 0 Download_x000D_
Offline maps path:  storage 0123 4567 Locus mapsVector_x000D_
Map render theme path:  storage 0123 4567 Locus mapsVector  themes Elevate4 Elements xml_x000D_
Live map mode: true_x000D_
Global filter: display all caches_x000D_
Fine location permission: granted_x000D_
Write external storage permission: granted_x000D_
Geocaching sites enabled:_x000D_
   geocaching com: Logged in (Login OK)   PREMIUM_x000D_
   extremcaching com: Logged in (Login OK)_x000D_
Geocaching com date format: dd MMM yy_x000D_
Installed c:geo plugins: contacts_x000D_
BRouter connection available: true_x000D_
    End of system information    _x000D_
   </t>
  </si>
  <si>
    <t>cgeo-cgeo-9508</t>
  </si>
  <si>
    <t>Crash on starting navigation</t>
  </si>
  <si>
    <t xml:space="preserve">While debugging for  9463 I ve stumbled upon another crash:_x000D_
_x000D_
   _x000D_
2020 12 06 19:39:04 706 12267 12267 cgeo geocaching E AndroidRuntime: FATAL EXCEPTION: main_x000D_
    Process: cgeo geocaching  PID: 12267_x000D_
    java lang NumberFormatException: For input string:  cgeo geocaching maps google v2 GoogleMapProvider GoogleMapSource _x000D_
        at java lang Integer parseInt(Integer java:615)_x000D_
        at java lang Integer parseInt(Integer java:650)_x000D_
        at cgeo geocaching settings Settings getConvertedMapId(Settings java:983)_x000D_
        at cgeo geocaching settings Settings getMapSource(Settings java:960)_x000D_
        at cgeo geocaching settings Settings getMapProvider(Settings java:587)_x000D_
        at cgeo geocaching apps navi InternalMap navigate(InternalMap java:46)_x000D_
        at cgeo geocaching apps navi NavigationSelectionActionProvider lambda onPrepareSubMenu 0(NavigationSelectionActionProvider java:45)_x000D_
        at cgeo geocaching apps navi NavigationSelectionActionProvider lambda onPrepareSubMenu 0 NavigationSelectionActionProvider(Unknown Source:0)_x000D_
        at cgeo geocaching apps navi    Lambda NavigationSelectionActionProvider l2m28m9JSRNOj6T5Evk69 6mABk onMenuItemClick(Unknown Source:4)_x000D_
        at androidx appcompat view menu MenuItemImpl invoke(MenuItemImpl java:154)_x000D_
        at androidx appcompat view menu MenuBuilder performItemAction(MenuBuilder java:985)_x000D_
        at androidx appcompat view menu MenuPopup onItemClick(MenuPopup java:128)_x000D_
        at android widget AdapterView performItemClick(AdapterView java:330)_x000D_
        at android widget AbsListView performItemClick(AbsListView java:1190)_x000D_
        at android widget AbsListView PerformClick run(AbsListView java:3198)_x000D_
        at android widget AbsListView 3 run(AbsListView java:4116)_x000D_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_x000D_
Steps to reproduce:_x000D_
  open a cache from cache list_x000D_
  select  navigate    map  from action bar_x000D_
  c:geo crashes and returns to cache list_x000D_
</t>
  </si>
  <si>
    <t>TeamNewPipe-NewPipe-5115</t>
  </si>
  <si>
    <t>Can't connect to some PeerTubes instances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</si>
  <si>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The only related issue I found was closed  5114 and it was suggested that I open a new issue   because of different android versions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Go to Settings   Content   PeerTube instances_x000D_
2  Click on the link https:  joinpeertube org instances instances list_x000D_
3  Try to add instances from this list _x000D_
For example tube 4aem com_x000D_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Some will inexplicably return  Could not validate instance _x000D_
This one in particular tube 4aem com is the only instance I could find that follows over 1000 other instances  Possibly a clue  _x000D_
_x000D_
    Expected behavior_x000D_
     Tell us what you expect to happen     _x000D_
_x000D_
Instance is added to newpipe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pie (v9)_x000D_
   Device model: pixel 2_x000D_
</t>
  </si>
  <si>
    <t>TeamNewPipe-NewPipe-5114</t>
  </si>
  <si>
    <t>peertube live stream - could not parse website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</si>
  <si>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https:  live canard tube videos watch 5e7b916e c5b5 4996 a970 cf106967fe32_x000D_
2  Press on       _x000D_
3  Swipe down to       _x000D_
   _x000D_
https:  live canard tube videos watch 5e7b916e c5b5 4996 a970 cf106967fe32_x000D_
     If you can t cause the bug to show up again reliably (and hence don t have a proper set of steps to give us)  please still try to give as many details as possible on how you think you encountered the bug     _x000D_
this is a live stream on peertube which is running as i post this bug report  it is working on the browser and even on tubelab peertube app but newpipe says could not parse website_x000D_
_x000D_
_x000D_
_x000D_
    Actual behaviour_x000D_
     Tell us what happens with the steps given above     _x000D_
_x000D_
error  could not parse website_x000D_
_x000D_
    Expected behavior_x000D_
     Tell us what you expect to happen     _x000D_
livestream should load_x000D_
  Screenshot 20201206 234515 (https:  user images githubusercontent com 39449563 101288548 36d3f680 381d 11eb 933d 5cc417214693 png)_x000D_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requested stream_x000D_
    Request:   https:  live canard tube videos watch 5e7b916e c5b5 4996 a970 cf106967fe32_x000D_
    Content Country:   PK_x000D_
    Content Language:   en US_x000D_
    App Language:   en US_x000D_
    Service:   PeerTube_x000D_
    Version:   0 20 5_x000D_
    OS:   Linux Android 8 0 0   26_x000D_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java:117)_x000D_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_x000D_
   _x000D_
  details _x000D_
 hr _x000D_
_x000D_
_x000D_
_x000D_
     Please fill this out when you do not provide a log generate by NewPipe    _x000D_
_x000D_
    Device info_x000D_
_x000D_
   Android version Custom ROM version:_x000D_
   Device model:_x000D_
</t>
  </si>
  <si>
    <t>TeamNewPipe-NewPipe-5110</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</si>
  <si>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 video _x000D_
2  Go in the comment section _x000D_
3  You will notice that comments are not showing up  _x000D_
_x000D_
     If you can t cause the bug to show up again reliably (and hence don t have a proper set of steps to give us)  please still try to give as many details as possible on how you think you encountered the bug     _x000D_
_x000D_
_x000D_
_x000D_
    Actual behaviour_x000D_
Comments are not showing up anymore even with the  show comments  option enabled _x000D_
_x000D_
_x000D_
_x000D_
    Expected behavior_x000D_
Comments should be visible with the  show comments  option enabled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OxygenOs 10 3 7_x000D_
   Device model: Oneplus 6T_x000D_
</t>
  </si>
  <si>
    <t>Anuken-Mindustry-3820</t>
  </si>
  <si>
    <t>Green Stripes</t>
  </si>
  <si>
    <t xml:space="preserve">  Platform  : Windows 10 64 Bit_x000D_
_x000D_
  Build  : Build20247 _x000D_
_x000D_
  Issue  : The complete game is green or _x000D_
_x000D_
with light green stripes _x000D_
_x000D_
  Steps to reproduce  :  The bug occurred while loading the game  The game did not crash _x000D_
_x000D_
  Link(s) to mod(s) used  : No mods installed or used _x000D_
  Save file  :  Game progress zip (https:  github com Anuken Mindustry files 5648947 Game progress zip)_x000D_
_x000D_
_x000D_
If you remove the line above without reading it properly and understanding what it means  I will reap your soul  Even if you re playing on someone s server  you can still save the game to a slot    I m understanding  _x000D_
_x000D_
  (Crash) logs  : It s not a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t>
  </si>
  <si>
    <t>Anuken-Mindustry-3819</t>
  </si>
  <si>
    <t>Multiplayer Problem</t>
  </si>
  <si>
    <t xml:space="preserve">  Platform  :  Windows _x000D_
_x000D_
  Build  :  steam build 120 5 and also 121 _x000D_
_x000D_
  Issue  :  My friend and I played together by Steam invite before 6 0 update  But after the update  my friend can t invite me  And when I invite him and he accept it  nothing happens  I think my friend s Mindustry client is not the Steam version  because he doesn t have some settings in Settings Game Player Limit and Public Game Visibility  He bought and play Mindustry in Steam  and he can find  steam build 120 5  below his Mindustry Logo  How can we solve this problem  _x000D_
_x000D_
  Steps to reproduce  :  I downloaded free version of Mindustry  and I found that it doesn t have some settings in Settings Game Player Limit and Public Game Visibility  Also I and my friend uninstall the game and reinstall the game  I updated to 121 and nothing changed  _x000D_
_x000D_
  Link(s) to mod(s) used  :  I don t use mods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</si>
  <si>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Anuken-Mindustry-3816</t>
  </si>
  <si>
    <t>**Platform** android*120.4*this*what*happen*i*was*on*a*sector*and*i*was*going*to*the*sector*that*has*a*name*and*this*happens*to*all*of*them*except*not*the*has*number*and*my*gmae*crashed*and*i*lost*everything*in*the*sector*that*i*was*in.</t>
  </si>
  <si>
    <t xml:space="preserve">Sew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yes    I have updated to the latest release (https:  github com Anuken Mindustry releases) to make sure my issue has not been fixed   _x000D_
    yes    I have searched the closed and open issues to make sure that this problem has not already been reported   _x000D_
</t>
  </si>
  <si>
    <t>ElderDrivers-EdXposed-711</t>
  </si>
  <si>
    <t>[BUG] Camera app issue</t>
  </si>
  <si>
    <t xml:space="preserve">       What happened   _x000D_
Camera app crashes when edxposed is installed_x000D_
_x000D_
           _x000D_
_x000D_
  Xposed     Xposed Module List  _x000D_
_x000D_
Jasi Patcher (disabled)_x000D_
_x000D_
  Magisk     Magisk Module List  _x000D_
_x000D_
Riru Core_x000D_
EdXposed YAHFA_x000D_
_x000D_
  EdXposed Riru   Versions of EdXposed and Riru  _x000D_
_x000D_
EdXposed: v0 5 0 6 4586 master (YAHFA)_x000D_
_x000D_
Riru: Riru v23 0 (50  API v10) is in use _x000D_
_x000D_
    Logcat Logcat  _x000D_
_x000D_
               log       It can help us to locate issue  must use our logcat module_x000D_
</t>
  </si>
  <si>
    <t>cgeo-cgeo-9500</t>
  </si>
  <si>
    <t>[Nightly] Crash on change of routing strategy</t>
  </si>
  <si>
    <t xml:space="preserve">  Describe the bug:  _x000D_
While route to a cache was active  I wanted to change routing strategy from  car  to  walk   using the new quick settings   immediate crash of cgeo was the result  In fact I currently can not change the routing strategy anymore _x000D_
_x000D_
  To Reproduce:  _x000D_
1  Route to any cache_x000D_
2  Tap new settings icon_x000D_
3  Change routing from car to walk_x000D_
4  Tap outside of quick settings popup_x000D_
_x000D_
  Actual behavior state after performing these steps:  _x000D_
cgeo crashes and restarts_x000D_
_x000D_
  Expected behavior state after performing these steps:  _x000D_
Change of routing strategy  recalculation and display of new route_x000D_
_x000D_
  Version of c:geo used:  _x000D_
2020 12 06 NB b5f906d_x000D_
_x000D_
  Is the problem reproducible:  _x000D_
Yes_x000D_
_x000D_
  System information:  _x000D_
   _x000D_
    System information    _x000D_
Device: VOG L29 (VOG L29EEA  HUAWEI)_x000D_
Android version: 10_x000D_
Android build: VOG L29 10 1 0 150(C431E19R2P5)_x000D_
c:geo version: 2020 12 06 NB b5f906d_x000D_
Google Play services: disabled   20 45 16 (120400 344294571)_x000D_
Low power mode: inactive_x000D_
Compass capabilities: yes_x000D_
Rotation vector sensor: present_x000D_
Orientation sensor: present_x000D_
Magnetometer   Accelerometer sensor: present_x000D_
Direction sensor used: rotation vector_x000D_
Hide caches: own found archived_x000D_
Hide waypoints:  _x000D_
HW acceleration: enabled (default state)_x000D_
System language: en DE_x000D_
System date format: dd MM y_x000D_
Debug mode active: no_x000D_
System internal c:geo dir:  data user 0 cgeo geocaching (69 0 GB free) internal_x000D_
User storage c:geo dir:  storage emulated 0 cgeo (69 0 GB free) external non removable_x000D_
Geocache data:  storage emulated 0 Android data cgeo geocaching files GeocacheData (69 0 GB free) external non removable_x000D_
Database:  data user 0 cgeo geocaching databases data (315 5 MB) on system internal storage_x000D_
Last backup: 6 Dec  03:10_x000D_
GPX import path:  storage emulated 0 Download_x000D_
GPX export path:  storage emulated 0 Download_x000D_
Offline maps path:  storage 0123 4567 Locus mapsVector_x000D_
Map render theme path:  storage 0123 4567 Locus mapsVector  themes Elevate4 Elements xml_x000D_
Live map mode: true_x000D_
Global filter: display all caches_x000D_
Fine location permission: granted_x000D_
Write external storage permission: granted_x000D_
Geocaching sites enabled:_x000D_
   geocaching com: Logged in (Login OK)   PREMIUM_x000D_
   extremcaching com: Logged in (Login OK)_x000D_
Geocaching com date format: dd MMM yy_x000D_
Installed c:geo plugins: contacts_x000D_
BRouter connection available: true_x000D_
    End of system information    _x000D_
   _x000D_
_x000D_
</t>
  </si>
  <si>
    <t>Anuken-Mindustry-3814</t>
  </si>
  <si>
    <t>Alpha's, Beta's, and Gamma's damage stat incorrect</t>
  </si>
  <si>
    <t xml:space="preserve">  Platform  :  Android iOS Mac Windows Linux _x000D_
Windows_x000D_
_x000D_
  Build  :  The build number under the title in the main menu  Required   LATEST  IS NOT A VERSION  I NEED THE EXACT BUILD NUMBER OF YOUR GAME  _x000D_
120 2_x000D_
_x000D_
  Issue  :  Explain your issue in detail  _x000D_
In the core database it says Alpha  Beta  and Gamma s weapons do 11 damage  but upon further testing this appears to be incorrect  They do much much less damage  It should only take 5 shots to knock out a regular conveyor but upon testing it took over 70 shots just for a single conveyor and it still didn t break  Testing with other mechs and the damage stat seems accurate  but it s way off for regular player ships  I even checked to make sure the player damage multiplier in the map rules was 1x and it was _x000D_
_x000D_
This is either intentional and it s a bug in the core database displaying incorrect information  or the database is correct and the players are outputting too little damage  This is frustrating because this whole time I thought player ships were mildly useful in combat but they are completely useless in practice _x000D_
_x000D_
  Steps to reproduce  :  How you happened across the issue  and what exactly you did to make the bug happen  _x000D_
During PVP I noticed I couldn t destroy any opponents conveyors  Conveyors are the weakest block in the game  It says players do 11 damage so I knew something was off  Setup a custom map with some enemy blocks strewn about and counted how many shots it takes to destroy each block  If you do the math it does not add up for what the core database says Alpha  Beta  Gamma ships do  It says they do 11 damage each but it should say they do more like 1 damage each or whatever it actually is _x000D_
_x000D_
  Link(s) to mod(s) used  :  The mod repositories or zip files that are related to the issue  if applicable  _x000D_
NA_x000D_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NA_x000D_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</si>
  <si>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Anuken-Mindustry-3813</t>
  </si>
  <si>
    <t>microprocessors cause DC during hosted games with steam</t>
  </si>
  <si>
    <t xml:space="preserve">  Platform  : Windows_x000D_
_x000D_
  Build  : 102 5_x000D_
_x000D_
  Issue  :  when pasting a blueprint that contains a microprocessor as a player it causes a Network IO error  when you do It as the host it causes everyone to DC  I think that this is happening due to packet size limits and firewalls  This is because when you paste in a processor with few lines of code it works fine  but ones full of code do(ie  for an image )  although I could be wrong _x000D_
_x000D_
  Steps to reproduce  : Simply host or join a multiplayer server through steam and place a blueprint using a microprocessor full of code_x000D_
_x000D_
  Link(s) to mod(s) used  : No mods used_x000D_
_x000D_
_x000D_
_x000D_
  Save file  :  bug report zip (https:  github com Anuken Mindustry files 5648107 bug report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</si>
  <si>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Anuken-Mindustry-3812</t>
  </si>
  <si>
    <t>Core storage reset</t>
  </si>
  <si>
    <t xml:space="preserve">  Platform  : Windows_x000D_
_x000D_
  Build  : Steam build 120 4_x000D_
_x000D_
  Issue  : My core resources reset to 1k_x000D_
_x000D_
  Steps to reproduce  : place a vault or container next to a full core  start deconstructing the vault container and start reconstructing it before it breaks _x000D_
_x000D_
  Link(s) to mod(s) used  : I have no mods installed or enabled_x000D_
_x000D_
  Save file  :  saves zip (https:  github com Anuken Mindustry files 5648068 saves zip)_x000D_
_x000D_
  (Crash) logs  :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</si>
  <si>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Anuken-Mindustry-3810</t>
  </si>
  <si>
    <t>Generation of Terrain Broken</t>
  </si>
  <si>
    <t xml:space="preserve">  Platform  : Windows_x000D_
_x000D_
  Build  : steam build 120 4_x000D_
_x000D_
  Issue  : Generation of terrain is broken in many ways when it is put into the  Generation  rules _x000D_
_x000D_
Here is the preview of what the game SHOULD generate  (In the Editor  Menu Map Info Generation)_x000D_
  image (https:  user images githubusercontent com 57609258 101265814 c1760200 3706 11eb 8fd4 c0fbb7664509 png)_x000D_
vs what is actually generated  (Minimap in game)_x000D_
  image (https:  user images githubusercontent com 57609258 101265831 ea969280 3706 11eb 8aff ab2881e03916 png)_x000D_
_x000D_
Here is another example_x000D_
  image (https:  user images githubusercontent com 57609258 101265855 3b0df000 3707 11eb 88b8 123bd821ee93 png)_x000D_
  image (https:  user images githubusercontent com 57609258 101265869 5973eb80 3707 11eb 89a0 91677147fbb6 png)_x000D_
_x000D_
There is also lots of weird artifacting  and functions such as  mirror  and  path to spawn  do not work properly _x000D_
_x000D_
  image (https:  user images githubusercontent com 57609258 101265883 714b6f80 3707 11eb 9960 de12caa5cf35 png)_x000D_
  image (https:  user images githubusercontent com 57609258 101265914 cedfbc00 3707 11eb 86f9 f47bbb0eb52c png)_x000D_
 Core can get buried despite the  path to spawn  function coming after the  generation  function  which should guarantee the core is clear  _x000D_
  image (https:  user images githubusercontent com 57609258 101265927 0189b480 3708 11eb 9646 fac7bd7af1da png)_x000D_
  image (https:  user images githubusercontent com 57609258 101265943 22520a00 3708 11eb 8509 bbb16784408a png)_x000D_
 Abnormal right angles  _x000D_
_x000D_
  Steps to reproduce  : _x000D_
1  Make any world _x000D_
2  Use the  Terrain  tool inside of Menu Map Info Generation _x000D_
3  Go to Play Custom Game and select the world _x000D_
4  Start a game in any mode (I tested PvP  Survival  and Sandbox) _x000D_
5  All of the issues I mentioned above will be present _x000D_
_x000D_
  Link(s) to mod(s) used  : I didn t use any mods while doing this  but I had deltanedas rtfm and deltanedas cliff enabled  I disabled cliff to see if that was the cause of this bug(s) and the bug(s) persisted _x000D_
_x000D_
  Save file  :_x000D_
The first pair of screenshots are from this file _x000D_
https:  drive google com file d 1mvSt4rsf7vOSoLRXzcOYAfnsa2u0   A view usp sharing_x000D_
The second pair of screenshots are from this file _x000D_
https:  drive google com file d 1pVdHSnXhONdJ MlWAWFDFnNex6MkWINu view usp sharing_x000D_
The rest of the screenshots come from one of those two _x000D_
_x000D_
Those aren t the saves  they are the maps I made (exported from the menu in the editor)  but every time you generate a map based on those it bugs in the same or similar way  Let me know if you need me to upload my exact saves _x000D_
 _x000D_
  (Crash) logs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I searched for  terrain  and  generation  separately and read all the issues with those two keywords _x000D_
</t>
  </si>
  <si>
    <t>Anuken-Mindustry-3808</t>
  </si>
  <si>
    <t>Crash in Fungal Pass MacOS 120.4</t>
  </si>
  <si>
    <t xml:space="preserve">  Platform  : MacOS 10 15 7 Catalina_x000D_
_x000D_
  Build  : 120 4_x000D_
_x000D_
  Issue  : I was building a router I think in Fungal Pass and I got the crash_x000D_
 Archive4 zip (https:  github com Anuken Mindustry files 5647846 Archive4 zip)_x000D_
_x000D_
_x000D_
  Steps to reproduce  : Now when I open Fungal Pass it crashes every time now_x000D_
_x000D_
  Link(s) to mod(s) used  : none_x000D_
_x000D_
  Save file  : _x000D_
_x000D_
These four files all had the latest date and time:_x000D_
sector serpulo 20 msav_x000D_
sector serpulo 21 msav_x000D_
sector serpulo 23 msav_x000D_
sector serpulo 213 msav_x000D_
_x000D_
_x000D_
If you remove the line above without reading it properly and understanding what it means  I will reap your soul  Even if you re playing on someone s server  you can still save the game to a slot _x000D_
_x000D_
  (Crash) logs  : _x000D_
_x000D_
Mindustry has crashed  How unfortunate _x000D_
Report this at https:  github com Anuken Mindustry issues new labels bug template bug report md_x000D_
_x000D_
Version: release build 120 4_x000D_
OS: Mac OS X x64_x000D_
Java Version: 1 8 0 222_x000D_
Java Architecture: 64_x000D_
0 Mods_x000D_
_x000D_
java lang NullPointerException_x000D_
	at mindustry core Logic updateWeather(Logic java:252)_x000D_
	at mindustry core Logic update(Logic java:336)_x000D_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crash report 12 05 2020 15 33 56 txt (https:  github com Anuken Mindustry files 5647847 crash report 12 05 2020 15 33 56 txt)_x000D_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</si>
  <si>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TeamNewPipe-NewPipe-5104</t>
  </si>
  <si>
    <t>Cannot open any movie on NewPipe</t>
  </si>
  <si>
    <t xml:space="preserve">   Exception_x000D_
    User Action:   requested stream_x000D_
    Request:   https:  www youtube com watch v Z1joZnJQeiM_x000D_
    Content Country:   DE_x000D_
    Content Language:   de DE_x000D_
    App Language:   de DE_x000D_
    Service:   YouTube_x000D_
    Version:   0 20 1_x000D_
    OS:   Linux Android 6 0 1   23_x000D_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call(lambda)_x000D_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access 201(ScheduledThreadPoolExecutor java:154)_x000D_
	at java util concurrent ScheduledThreadPoolExecutor ScheduledFutureTask run(ScheduledThreadPoolExecutor java:269)_x000D_
	at java util concurrent ThreadPoolExecutor runWorker(ThreadPoolExecutor java:1113)_x000D_
	at java util concurrent ThreadPoolExecutor Worker run(ThreadPoolExecutor java:588)_x000D_
	at java lang Thread run(Thread java:818)_x000D_
_x000D_
   _x000D_
  details _x000D_
 hr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</si>
  <si>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Anuken-Mindustry-3807</t>
  </si>
  <si>
    <t>Mouse cursor disappears when near ship</t>
  </si>
  <si>
    <t xml:space="preserve">  Platform  : Windows_x000D_
_x000D_
  Build  : Steam build 120 4_x000D_
_x000D_
  Issue  : Playing on 2560x1440 (desktop resolution) borderless fullscreen mode  with UI scaling set to 150   When I move my mouse cursor near my ship  the cursor disappears  The same happens on non borderless fullscreen  When playing in windowed mode  the cursor changes when near my ship to a much bigger and different cursor (that looks big and pixellated) _x000D_
_x000D_
  Steps to reproduce  : Play in fullscreen mode  started the campaign  immediately saw the issue _x000D_
_x000D_
  Link(s) to mod(s) used  : None_x000D_
_x000D_
  Save file  :  sector serpulo 15 zip (https:  github com Anuken Mindustry files 5647729 sector serpulo 15 zip)_x000D_
_x000D_
  (Crash) logs  : N A Game does not crash_x000D_
_x000D_
   x    I have updated to the latest release (https:  github com Anuken Mindustry releases) to make sure my issue has not been fixed   _x000D_
   x    I have searched the closed and open issues to make sure that this problem has not already been reported    I have tried to search issues for cursor related issues but can t immediately see anything similar _x000D_
</t>
  </si>
  <si>
    <t>TeamNewPipe-NewPipe-5103</t>
  </si>
  <si>
    <t>"Sorry, something went wrong. REPORT"</t>
  </si>
  <si>
    <t xml:space="preserve">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Press the play button on any video_x000D_
    _x000D_
1  Press the play button on any video_x000D_
_x000D_
_x000D_
    Actual behaviour_x000D_
     Tell us what happens with the steps given above     _x000D_
 Sorry  something went wrong  REPORT  is overlayed on screen at bottom _x000D_
This is apparently a comment bug  I had checked to SHOW comments and was getting them  or so I thought  After unchecking the box for comments and then rechecking it and reopening ap  comments have effectively ceased to exist _x000D_
The REPORT button does nothing as ap does not crash  Everything works but the ability to show  or not  comments  I was getting comments  but now I see this is most likely the actual  something s wrong     message  In any case this message should be in notifications and not in my face as an overlay blocking normal controls _x000D_
_x000D_
_x000D_
    Expected behavior_x000D_
     Tell us what you expect to happen     _x000D_
I read the comments as they are half the content utube offers  Newpipe s ability to load comments is broken _x000D_
_x000D_
_x000D_
_x000D_
_x000D_
    Device info_x000D_
_x000D_
   Android version Custom ROM version:_x000D_
Android9   lineage 16 0 20201107 UNOFFICIAL microG signed oneplus3_x000D_
   Device model: Oneplus 3T global  rooted  fakestore etc _x000D_
</t>
  </si>
  <si>
    <t>Anuken-Mindustry-3805</t>
  </si>
  <si>
    <t>After opening and closing the Logic interface a unit binding is destroyed</t>
  </si>
  <si>
    <t xml:space="preserve">  Platform  :  Linux _x000D_
_x000D_
  Build  :  120 4 _x000D_
_x000D_
  Issue  :  Full explanation is in the old issue (https:  github com Anuken Mindustry issues 3796 issue 757668823)_x000D_
_x000D_
  Steps to reproduce  :_x000D_
1  Place a processor_x000D_
2  Build a unit_x000D_
3  Write some code into the processor that would bind the unit and allow you to see the unit s status clearly  for example:_x000D_
 ubind  mono_x000D_
ucontrol approach  thisx  thisy 5_x000D_
jump 1 always _x000D_
4  Close the processor s interface_x000D_
5  Observe the unit being bound and following written instructions_x000D_
6  Reopen the processor s interface and close it again without changing anything in the code_x000D_
7  Observe how the unit now will stop responding to the processor leaving it in a hanging loop state  according to the unit s tooltip  it has lost it s binding some seconds after closing the interface_x000D_
_x000D_
  Link(s) to mod(s) used  : DeltaNedas rtfm  DeltaNedas ui lib_x000D_
_x000D_
  Save file  :  Link (https:  files catbox moe zpoyb9 zip)_x000D_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</si>
  <si>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Anuken-Mindustry-3803</t>
  </si>
  <si>
    <t>Not seeing players</t>
  </si>
  <si>
    <t xml:space="preserve">  Platform  :  Mac_x000D_
_x000D_
  Build  :  V6 mac OS stable_x000D_
_x000D_
  Issue  :  When joining a game on Mac OS  multiplayer  I cannot see players  or Look at them in Player tab  only use of communication is Chat_x000D_
_x000D_
  Steps to reproduce  :  Joining a Multiplayer game on Mac OS_x000D_
_x000D_
  Link(s) to mod(s) used  :  The mod repositories or zip files that are related to the issue  if applicable  _x000D_
_x000D_
  Save file  :  Cant get File  Mac OS is way to secure_x000D_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</si>
  <si>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Anuken-Mindustry-3802</t>
  </si>
  <si>
    <t>Invisible window bug</t>
  </si>
  <si>
    <t xml:space="preserve">  Platform  :  Android iOS Mac Windows Linux _x000D_
Windows_x000D_
  Build  :  The build number under the title in the main menu  Required   LATEST  IS NOT A VERSION  I NEED THE EXACT BUILD NUMBER OF YOUR GAME  _x000D_
120 4_x000D_
  Issue  :  Explain your issue in detail  _x000D_
Sometimes when you launch the game it does not appear  You will have to kill the process to make it go away _x000D_
  Steps to reproduce  :  How you happened across the issue  and what exactly you did to make the bug happen  _x000D_
Launch the game _x000D_
  Link(s) to mod(s) used  :  The mod repositories or zip files that are related to the issue  if applicable  _x000D_
N A_x000D_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N A_x000D_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 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</si>
  <si>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Anuken-Mindustry-3798</t>
  </si>
  <si>
    <t>Dropdown UI for Sensor in logic too small</t>
  </si>
  <si>
    <t xml:space="preserve">  Platform  :  Windows _x000D_
_x000D_
  Build  :  120 4 _x000D_
_x000D_
  Issue  :  When in the UI for editing logic  if the dropdown for the second input is opened for a  Sensor   and the player switches to the third tab (the variables tab that contains  totalItems    firstItem  etc)  the dropdown does not increase in height to reveal more options until the dropdown is closed and re opened  causing it to be difficult to select options  _x000D_
 Small: _x000D_
  image (https:  user images githubusercontent com 40489906 101243908 5e608b80 3757 11eb 8166 f5bb008bccc0 png)_x000D_
 Large:  _x000D_
  image (https:  user images githubusercontent com 40489906 101243928 7d5f1d80 3757 11eb 9dea 237e36007205 png)_x000D_
 Large first tab:  _x000D_
  image (https:  user images githubusercontent com 40489906 101243944 923bb100 3757 11eb 8e28 2a3d8b6b2016 png)_x000D_
_x000D_
  Steps to reproduce  :  Open the logic editor in a microprocessor  add a  Sensor  block  click the second input  then click the third tab of the dropdown  Close the dropdown  and reopen it  and it will scale its height to the correct size  If one of the first two tabs is opened  the dropdown will remain large  _x000D_
_x000D_
  Link(s) to mod(s) used  :  N A _x000D_
_x000D_
  Save file  :   MindustrySaveBackup3 zip (https:  github com Anuken Mindustry files 5647085 MindustrySaveBackup3 zip) I was playing in Campaign in Sector 36 at the time of occurrence _x000D_
_x000D_
If you remove the line above without reading it properly and understanding what it means  I will reap your soul  Even if you re playing on someone s server  you can still save the game to a slot _x000D_
_x000D_
  (Crash) logs  :  N A The game did not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</si>
  <si>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Anuken-Mindustry-3797</t>
  </si>
  <si>
    <t>Crash on MacOS Big Sur (Intel CPU)</t>
  </si>
  <si>
    <t xml:space="preserve">  Platform  : MacOS Big Sur v11 0 1 (Intel based CPU)_x000D_
_x000D_
  Build  : Mindustry 6 0 Build 120 4_x000D_
Java version: _x000D_
   _x000D_
java 11 0 1 2018 10 16 LTS_x000D_
Java(TM) SE Runtime Environment 18 9 (build 11 0 1 13 LTS)_x000D_
Java HotSpot(TM) 64 Bit Server VM 18 9 (build 11 0 1 13 LTS  mixed mode)_x000D_
   _x000D_
_x000D_
  Issue  : When starting the game  it instantly crashes_x000D_
_x000D_
Note: The last version I played Mindustry was Build 104 10  so I already had a Mindustry data folder  Removing it didn t solve the issue _x000D_
_x000D_
  Steps to reproduce  : _x000D_
  Download Mindustry from the GitHub release page_x000D_
  Double click on it_x000D_
  Authorize app in System Preferences  under Privacy_x000D_
  Reopen the app_x000D_
  It launches and then crashes immediately afterward_x000D_
_x000D_
  Link(s) to mod(s) used  : No mods used_x000D_
_x000D_
  Save file  : Not applicable_x000D_
_x000D_
  Crash logs  :  Java Crash log (https:  hasteb in robowiya rb)_x000D_
_x000D_
   _x000D_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</si>
  <si>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TeamNewPipe-NewPipe-5100</t>
  </si>
  <si>
    <t xml:space="preserve">I get a really stupid message at the bottom of the newpipe window when trying to play pretty much any video at all  _x000D_
 Sorry  something went wrong  REPORT   is overlayed on top of the window at the bottom  PLEASE REMOVE THIS OBNOXIOUSLY IRRITATING MESSAGE FROM THE CODE  Everything works fine  Autoplay is disabled  Autoupdate is enabled  The  REPORT  button does nothing  Whatever the hell is triggering it  please STOP already  It interferes with being able to close a video  I don t need a useless error message and there are no problems to begin with  Please remove that error message and allow your user base to get on with their lives _x000D_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Press the play button to watch a video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Error message pops up at the bottom of window and I have to wait for it to go away which interferes with the actual working button commands _x000D_
_x000D_
_x000D_
    Expected behavior_x000D_
     Tell us what you expect to happen     _x000D_
I don t expect useless  something went wrong     messages when in fact NOTHING S WRONG _x000D_
The problem is almost random  Not sure if the feeds themselves are the issue  I suspect  but whatever it is  PLEASE GET RID OF THAT STUPID MESSAGE_x000D_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imgpile com images ue7rIh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Android9   lineage 16 0 20201107 UNOFFICIAL microG signed oneplus3_x000D_
   Device model: oneplus 3t global unlocked  rooted  no google bs (fakestore etc)_x000D_
</t>
  </si>
  <si>
    <t>cgeo-WhereYouGo-243</t>
  </si>
  <si>
    <t xml:space="preserve">Unstoppable loop of crashes </t>
  </si>
  <si>
    <t xml:space="preserve">  Describe the bug:  
It is already some days ago  so unfortunately I don t know any more if how it was reproducible  But I had to reinstall WhereYouGo completely to get out of this crashing loop    
  Version of WhereYouGo used:  
2020 08 21
FATAL EXCEPTION: MapWorker
Process: menion android whereyougo  PID: 24777
java lang IllegalArgumentException: invalid longitude:  180 00000000000003
	at org mapsforge core model CoordinatesUtil validateLongitude(CoordinatesUtil java:133)
	at org mapsforge core model GeoPoint  init (GeoPoint java:85)
	at org mapsforge map reader MapDatabase decodeWayNodesSingleDelta(MapDatabase java:388)
	at org mapsforge map reader MapDatabase processWayDataBlock(MapDatabase java:686)
	at org mapsforge map reader MapDatabase processWays(MapDatabase java:790)
	at org mapsforge map reader MapDatabase processBlock(MapDatabase java:458)
	at org mapsforge map reader MapDatabase processBlocks(MapDatabase java:547)
	at org mapsforge map reader MapDatabase readMapData(MapDatabase java:326)
	at org mapsforge android maps mapgenerator databaserenderer DatabaseRenderer executeJob(DatabaseRenderer java:199)
	at org mapsforge android maps mapgenerator MapWorker doWork(MapWorker java:99)
	at org mapsforge android maps PausableThread run(PausableThread java:141) 
</t>
  </si>
  <si>
    <t>cgeo-cgeo-9493</t>
  </si>
  <si>
    <t xml:space="preserve">Live Map crashes </t>
  </si>
  <si>
    <t xml:space="preserve">  Describe the bug:  _x000D_
Today the OSM live map crashed about 5 times with following exception  I would guess this is a regression as I never noticed it before    _x000D_
_x000D_
   _x000D_
FATAL EXCEPTION: main_x000D_
Process: cgeo geocaching  PID: 12120_x000D_
java lang IllegalStateException: layer already assigned_x000D_
	at org mapsforge map layer Layer assign(Layer java:172)_x000D_
	at org mapsforge map layer Layers add(Layers java:88)_x000D_
	at org mapsforge map layer Layers add(Layers java:73)_x000D_
	at cgeo geocaching maps mapsforge v6 caches AbstractCachesOverlay switchCircles(AbstractCachesOverlay java:127)_x000D_
	at cgeo geocaching maps mapsforge v6 caches CachesBundle switchCircles(CachesBundle java:281)_x000D_
	at cgeo geocaching maps mapsforge v6 NewMap onMapSettingsPopupFinished(NewMap java:456)_x000D_
	at cgeo geocaching maps mapsforge v6 NewMap lambda J0MyIITAKy7vcf9Q7vCS5j2YtgE(Unknown Source:0)_x000D_
	at cgeo geocaching maps mapsforge v6    Lambda NewMap J0MyIITAKy7vcf9Q7vCS5j2YtgE run(Unknown Source:2)_x000D_
	at cgeo geocaching maps MapSettingsUtils lambda showSettingsPopup 0(MapSettingsUtils java:78)_x000D_
	at cgeo geocaching maps    Lambda MapSettingsUtils JTmmRsB8m0fRgBuoWfuoJawB4ZA onDismiss(Unknown Source:8)_x000D_
	at android app Dialog ListenersHandler handleMessage(Dialog java:1575)_x000D_
	at android os Handler dispatchMessage(Handler java:107)_x000D_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_x000D_
</t>
  </si>
  <si>
    <t>Anuken-Mindustry-3782</t>
  </si>
  <si>
    <t>UUID duplication</t>
  </si>
  <si>
    <t xml:space="preserve">  Platform  : Windows_x000D_
_x000D_
  Build  : 120 3_x000D_
_x000D_
  Issue  : I got a ban on a server and the evidence provided was someone else  but according to mods the UUID matches  IDK if the specific ID being released publicly can be abused in some way  but if I needed I can provide it _x000D_
_x000D_
  Steps to reproduce  : It s just what my UUID is_x000D_
_x000D_
  Link(s) to mod(s) used  : Not applicable_x000D_
_x000D_
  Save file  : Not applicable_x000D_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</si>
  <si>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TeamNewPipe-NewPipe-5099</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</si>
  <si>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_x000D_
   Exception_x000D_
    User Action:   requested comments_x000D_
    Request:   https:  m youtube com watch v ogpENAw28fw_x000D_
    Content Country:   GB_x000D_
    Content Language:   en GB_x000D_
    App Language:   en GB_x000D_
    Service:   YouTube_x000D_
    Version:   0 20 5_x000D_
    OS:   Linux Android 7 1 1   25_x000D_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java:156)_x000D_
	at org schabi newpipe util    Lambda ExtractorHelper 60N  UL7E5eaxFaFO1bZZmnfwM8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java:762)_x000D_
Caused by: com grack nanojson JsonParserException: Unexpected character:   on line 1  char 1_x000D_
	at com grack nanojson JsonTokener createParseException(Unknown Source)_x000D_
	at com grack nanojson JsonTokener advanceToToken(Unknown Source)_x000D_
	at com grack nanojson JsonParser advanceToken(Unknown Source)_x000D_
	at com grack nanojson JsonParser parse(Unknown Source)_x000D_
	at com grack nanojson JsonParser JsonParserContext from(Unknown Source)_x000D_
	at org schabi newpipe extractor services youtube extractors YoutubeCommentsExtractor getPage(YoutubeCommentsExtractor java:95)_x000D_
	    30 more_x000D_
_x000D_
   _x000D_
  details _x000D_
 hr _x000D_
</t>
  </si>
  <si>
    <t>Anuken-Mindustry-3778</t>
  </si>
  <si>
    <t>Unable to Passively Export Stockpiled Resources</t>
  </si>
  <si>
    <t xml:space="preserve">  Platform  : Windows_x000D_
_x000D_
  Build  : Steam 120 3_x000D_
_x000D_
  Issue  : Sectors that aren t currently being focused on will not continue to export any resources that they aren t producing  even if they have a stockpile to export from _x000D_
_x000D_
  Steps to reproduce  : Have sector A use the launch pad to send a resource to sector B  In sector B  have only an unloader from the core and a launch pad to sector C (and power)  If you watch sector B you ll see the resources being launched  and will be able to go use them in sector C  However if you go to the planet map and check info  Sector B will show nothing for current exports  Also  if you focus on sector C no resources will trickle in   they only get launched while focus is actually on sector B _x000D_
_x000D_
  Link(s) to mod(s) used  : No mods_x000D_
_x000D_
  Save file  :  saves zip (https:  github com Anuken Mindustry files 5645207 saves zip)_x000D_
_x000D_
_x000D_
  (Crash) logs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</si>
  <si>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Anuken-Mindustry-3774</t>
  </si>
  <si>
    <t>Game crash</t>
  </si>
  <si>
    <t xml:space="preserve">Android_x000D_
Game Crashes_x000D_
_x000D_
By logging in on v6_x000D_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</si>
  <si>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TeamNewPipe-NewPipe-5097</t>
  </si>
  <si>
    <t>Minimize on switch option doesn't work with peertube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</si>
  <si>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The first box has been checked for you to show you how it is done     
   x  I am using the latest version   0 20 5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1  Go to audio settings
2  Set minimize on switch to background playback (audio only)
3  Launch a PeerTube video
4  Press home button  The video will play audio only  as expected
5  Go back to NewPipe  
     If you can t cause the bug to show up again reliably (and hence don t have a proper set of steps to give us)  please still try to give as many details as possible on how you think you encountered the bug     
    Actual behaviour
     Tell us what happens with the steps given above     
Unable to read this stream 
    Expected behavior
     Tell us what you expect to happen     
The video plays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Android 9
   Device model: pocophone f1
It maybe be because PeerTube doesn t offer audio only streams  therefore newpipe doesn t offer audio only button 
</t>
  </si>
  <si>
    <t>TeamNewPipe-NewPipe-5096</t>
  </si>
  <si>
    <t>Overlapping fonts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</si>
  <si>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Use the largest font size in Android setting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Texts are overlapped _x000D_
_x000D_
_x000D_
_x000D_
    Expected behavior_x000D_
     Tell us what you expect to happen     _x000D_
Everything works correctly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20201204 202824 (https:  user images githubusercontent com 42930110 101170643 55958a00 3671 11eb 9be2 5aae35d2ae19 png)_x000D_
_x000D_
     DON T POST SCREENSHOTS OF THE ERROR PAGE  Use the buttons given on the error page to paste the error as text in the Logs section below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Stock ROM _x000D_
   Device model: Nokia 8 1_x000D_
</t>
  </si>
  <si>
    <t>Ninjaman494-Hanji-Android-App-46</t>
  </si>
  <si>
    <t>Intermittent crashes caused by stopped activities trying to open a dialog</t>
  </si>
  <si>
    <t>After closing an activity (pressing back  closing app  etc )  a fragment on this closed activity may try to open  which causes an Illegal State Exception  The most common scenario is when a user search comes up empty and they close the app before the dialog displays  _x000D_
_x000D_
All dialogs in the app should first check if they re allowed to open before opening  This could be handled by a custom  open  method _x000D_
_x000D_
  Reports:  _x000D_
   No Results Dialog (https:  console firebase google com u 0 project hanji bd63d crashlytics app android:com a494studios koreanconjugator issues 3c73e0e48d1dd9ead138dcca7345b266 time last seven days sessionEventKey 5FC8C32700ED00012B04C5414921322E 1480428057758466855)_x000D_
_x000D_
   Add Favorite Dialog (https:  console firebase google com u 0 project hanji bd63d crashlytics app android:com a494studios koreanconjugator issues 2dcb884582f4165db9db088118eb9f03 time last seven days sessionEventKey 5FCA101D021800013B2E320231C23349 1480792558435715805)_x000D_
_x000D_
   Possibly caused by this (https:  console firebase google com u 0 project hanji bd63d crashlytics app android:com a494studios koreanconjugator issues e1e5ca6a0040ec2fba73d15923b64da4 time last seven days sessionEventKey 5FC95135004C00016F4F8F1B29524C00 1480582909612634911)</t>
  </si>
  <si>
    <t>Ninjaman494-Hanji-Android-App-45</t>
  </si>
  <si>
    <t>Having Determiner Past as a favorite causes crashes on adjectives</t>
  </si>
  <si>
    <t>Determiner Past is a conjugation that s only available for verbs  If a user has Determiner Past favorited  this will cause a null pointer exception when viewing adjectives because the conjugation doesn t exist _x000D_
_x000D_
 Crashlytics report (https:  console firebase google com u 0 project hanji bd63d crashlytics app android:com a494studios koreanconjugator issues 4af87fa2bd93969309445580c0228f67 time last seven days sessionEventKey 5FC940D502C80001520DBAF38D0F2633 1480564865768461716)</t>
  </si>
  <si>
    <t>AOF-Dev-MCinaBox-723</t>
  </si>
  <si>
    <t>MCinaBox v0.1.4-p4在进入服务器时或者创建地图时产生MOD报错</t>
  </si>
  <si>
    <t xml:space="preserve">_x000D_
 crash 2020 12 04 11 11 10 client txt (https:  github com AOF Dev MCinaBox files 5642370 crash 2020 12 04 11 11 10 client txt)_x000D_
  Describe the crash  _x000D_
A clear and concise description of what the bug is _x000D_
_x000D_
  To Reproduce  _x000D_
Steps to reproduce the crash:_x000D_
1    MOD antiqueatlas 1 12 2 4 5 1 jar _x000D_
2               MOD    _x000D_
3  See the crash_x000D_
_x000D_
  Expected behavior  _x000D_
A clear and concise description of what you expected to happen _x000D_
_x000D_
  Screenshots  _x000D_
If applicable  add screenshots to help explain your problem _x000D_
_x000D_
  Smartphone (please complete the following information):  _x000D_
   Device:    mix2 _x000D_
   OS:    9 _x000D_
   App Version  miui 12 0 1 0 _x000D_
_x000D_
  Additional context  _x000D_
Add any other context about the problem here _x000D_
Description: Unexpected error_x000D_
_x000D_
java lang UnsatisfiedLinkError:  data data com aof mcinabox files runtime boat j2re image lib aarch64 libfontmanager so: dlopen failed: library  libfreetype so 6  not found_x000D_
    at java lang ClassLoader NativeLibrary load(Native Method)_x000D_
    at java lang ClassLoader loadLibrary0(ClassLoader java:1934)_x000D_
    at java lang ClassLoader loadLibrary(ClassLoader java:1838)_x000D_
    at java lang Runtime loadLibrary0(Runtime java:871)_x000D_
    at java lang System loadLibrary(System java:1124)_x000D_
    at sun font FontManagerNativeLibrary 1 run(FontManagerNativeLibrary java:61)_x000D_
    at java security AccessController doPrivileged(Native Method)_x000D_
    at sun font FontManagerNativeLibrary  clinit (FontManagerNativeLibrary java:32)_x000D_
    at sun font SunFontManager 1 run(SunFontManager java:339)_x000D_
    at java security AccessController doPrivileged(Native Method)_x000D_
    at sun font SunFontManager  clinit (SunFontManager java:335)_x000D_
    at sun font FontDesignMetrics getMetrics(FontDesignMetrics java:264)_x000D_
    at sun swing SwingUtilities2 getFontMetrics(SwingUtilities2 java:1125)_x000D_
    at javax swing JComponent getFontMetrics(JComponent java:1626)_x000D_
    at javax swing plaf basic BasicLabelUI getPreferredSize(BasicLabelUI java:245)_x000D_
    at javax swing JComponent getPreferredSize(JComponent java:1662)_x000D_
    at javax swing plaf basic BasicListUI updateLayoutState(BasicListUI java:1363)_x000D_
    at javax swing plaf basic BasicListUI maybeUpdateLayoutState(BasicListUI java:1311)_x000D_
    at javax swing plaf basic BasicListUI Handler valueChanged(BasicListUI java:2623)_x000D_
    at javax swing DefaultListSelectionModel fireValueChanged(DefaultListSelectionModel java:184)_x000D_
    at javax swing DefaultListSelectionModel fireValueChanged(DefaultListSelectionModel java:164)_x000D_
    at javax swing DefaultListSelectionModel fireValueChanged(DefaultListSelectionModel java:211)_x000D_
    at javax swing DefaultListSelectionModel changeSelection(DefaultListSelectionModel java:405)_x000D_
    at javax swing DefaultListSelectionModel changeSelection(DefaultListSelectionModel java:415)_x000D_
    at javax swing DefaultListSelectionModel setSelectionInterval(DefaultListSelectionModel java:459)_x000D_
    at javax swing JList setSelectedIndex(JList java:2216)_x000D_
    at javax swing plaf basic BasicComboPopup setListSelection(BasicComboPopup java:1186)_x000D_
    at javax swing plaf basic BasicComboPopup access 300(BasicComboPopup java:65)_x000D_
    at javax swing plaf basic BasicComboPopup Handler itemStateChanged(BasicComboPopup java:1015)_x000D_
    at javax swing JComboBox fireItemStateChanged(JComboBox java:1223)_x000D_
    at javax swing JComboBox selectedItemChanged(JComboBox java:1280)_x000D_
    at javax swing JComboBox contentsChanged(JComboBox java:1330)_x000D_
    at javax swing AbstractListModel fireContentsChanged(AbstractListModel java:118)_x000D_
    at javax swing plaf metal MetalFileChooserUI FilterComboBoxModel propertyChange(MetalFileChooserUI java:1073)_x000D_
    at java beans PropertyChangeSupport fire(PropertyChangeSupport java:335)_x000D_
    at java beans PropertyChangeSupport firePropertyChange(PropertyChangeSupport java:327)_x000D_
    at java beans PropertyChangeSupport firePropertyChange(PropertyChangeSupport java:263)_x000D_
    at java awt Component firePropertyChange(Component java:8434)_x000D_
    at javax swing JFileChooser setFileFilter(JFileChooser java:1473)_x000D_
    at javax swing JFileChooser addChoosableFileFilter(JFileChooser java:1151)_x000D_
    at javax swing JFileChooser updateUI(JFileChooser java:1839)_x000D_
    at javax swing JFileChooser setup(JFileChooser java:371)_x000D_
    at javax swing JFileChooser  init (JFileChooser java:343)_x000D_
    at javax swing JFileChooser  init (JFileChooser java:296)_x000D_
    at hunternif mc atlas util ExportImageUtil  clinit (ExportImageUtil java:38)_x000D_
    at hunternif mc atlas client gui ExportProgressOverlay draw(ExportProgressOverlay java:29)_x000D_
    at net minecraftforge fml common eventhandler ASMEventHandler 721 ExportProgressOverlay draw Post invoke( dynamic)_x000D_
    at net minecraftforge fml common eventhandler ASMEventHandler invoke(ASMEventHandler java:90)_x000D_
    at net minecraftforge fml common eventhandler EventBus post(EventBus java:182)_x000D_
    at net minecraftforge client GuiIngameForge post(GuiIngameForge java:911)_x000D_
    at net minecraftforge client GuiIngameForge renderGameOverlay(GuiIngameForge java:207)_x000D_
    at net minecraft client renderer EntityRenderer updateCameraAndRender(EntityRenderer java:1098)_x000D_
    at net minecraft client Minecraft runGameLoop(Minecraft java:1119)_x000D_
    at net minecraft client Minecraft run(Minecraft java:3942)_x000D_
    at net minecraft client main Main main(SourceFile:123)_x000D_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Affected level   _x000D_
  Level name: MpServer_x000D_
  All players: 1 total   EntityPlayerSP  xlxyvergil  502  l  MpServer   x 8 50  y 65 00  z 8 50  _x000D_
  Chunk stats: MultiplayerChunkCache: 0  0_x000D_
  Level seed: 0_x000D_
  Level generator: ID 00   default  ver 1  Features enabled: false_x000D_
_x000D_
  Level generator options: _x000D_
  Level spawn location: World: (8 64 8)  Chunk: (at 8 4 8 in 0 0  contains blocks 0 0 0 to 15 255 15)  Region: (0 0  contains chunks 0 0 to 31 31  blocks 0 0 0 to 511 255 511)_x000D_
  Level time: 0 game time  0 day time_x000D_
  Level dimension: 0_x000D_
  Level storage version: 0x00000   Unknown _x000D_
  Level weather: Rain time: 0 (now: false)  thunder time: 0 (now: false)_x000D_
  Level game mode: Game mode: creative (ID 1)  Hardcore: false  Cheats: false_x000D_
  Forced entities: 1 total   EntityPlayerSP  xlxyvergil  502  l  MpServer   x 8 50  y 65 00  z 8 50  _x000D_
  Retry entities: 0 total    _x000D_
  Server brand: fml forge_x000D_
  Server type: Integrated singleplayer server_x000D_
_x000D_
_x000D_
 Uploading crash 2020 12 04 11 11 10 client txt  ()_x000D_
</t>
  </si>
  <si>
    <t>nextcloud-android-7600</t>
  </si>
  <si>
    <t>App crashes while synchronization</t>
  </si>
  <si>
    <t xml:space="preserve">    Steps to reproduce_x000D_
1  Change some folders in the server _x000D_
2  Try to sync on the phone _x000D_
_x000D_
    Expected behaviour_x000D_
  The changes of the server should now be synchronized on the phone _x000D_
_x000D_
    Actual behaviour_x000D_
  The old state of any folders or Files is shown in the app and while trying to synchronize the app crashes _x000D_
_x000D_
    Logs_x000D_
_x000D_
             CAUSE OF ERROR             _x000D_
_x000D_
android database sqlite SQLiteBlobTooBigException: Row too big to fit into CursorWindow requiredPos 2989  totalRows 7_x000D_
	at android database sqlite SQLiteConnection nativeExecuteForCursorWindow(Native Method)_x000D_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java:672)_x000D_
	at android content ContentProvider applyBatch(ContentProvider java:2117)_x000D_
	at android content ContentProvider Transport applyBatch(ContentProvider java:371)_x000D_
	at android content ContentProviderClient applyBatch(ContentProviderClient java:532)_x000D_
	at android content ContentProviderClient applyBatch(ContentProviderClient java:520)_x000D_
	at android content ContentResolver applyBatch(ContentResolver java:1878)_x000D_
	at com owncloud android datamodel FileDataStorageManager saveFolder(FileDataStorageManager java:436)_x000D_
	at com owncloud android operations RefreshFolderOperation synchronizeData(RefreshFolderOperation java:519)_x000D_
	at com owncloud android operations RefreshFolderOperation fetchAndSyncRemoteFolder(RefreshFolderOperation java:401)_x000D_
	at com owncloud android operations RefreshFolderOperation run(RefreshFolderOperation java:237)_x000D_
	at com owncloud android lib common operations RemoteOperation run(RemoteOperation java:360)_x000D_
	at java lang Thread run(Thread java:919)_x000D_
_x000D_
             APP INFORMATION             _x000D_
ID: com nextcloud client_x000D_
Version: 30140090_x000D_
Build flavor: generic_x000D_
_x000D_
             DEVICE INFORMATION             _x000D_
Brand: xiaomi_x000D_
Device: daisy sprout_x000D_
Model: Mi A2 Lite_x000D_
Id: QKQ1 191002 002_x000D_
Product: daisy_x000D_
_x000D_
             FIRMWARE             _x000D_
SDK: 29_x000D_
Release: 10_x000D_
Incremental: V11 0 12 0 QDLMIXM_x000D_
</t>
  </si>
  <si>
    <t>Anuken-Mindustry-3771</t>
  </si>
  <si>
    <t>Green stripes on the screen</t>
  </si>
  <si>
    <t xml:space="preserve">  Platform  :  Windows _x000D_
_x000D_
  Build  :  6 0 build 120 3 _x000D_
_x000D_
  Issue  :  When I launch the game  green stripes appear all over the screen (linked a screen from the game)  I already tried to update my graphic pilot but the bug to come from the game itself _x000D_
_x000D_
  Steps to reproduce  :  I just launched the game  _x000D_
_x000D_
  Link(s) to mod(s) used  :  No mods  _x000D_
_x000D_
  (Crash) logs  :  Not a crash so no crash log  _x000D_
_x000D_
   _x000D_
_x000D_
   X    I have updated to the latest release (https:  github com Anuken Mindustry releases) to make sure my issue has not been fixed   _x000D_
   X    I have searched the closed and open issues to make sure that this problem has not already been reported   _x000D_
_x000D_
  image 2020 12 04 114244 (https:  user images githubusercontent com 75478144 101154286 d333a880 3625 11eb 928d 32c658e54e40 png)_x000D_
_x000D_
</t>
  </si>
  <si>
    <t>Anuken-Mindustry-3770</t>
  </si>
  <si>
    <t>Random black stuff appearing in editor</t>
  </si>
  <si>
    <t xml:space="preserve">  Platform  :  Android iOS Mac Windows Linux _x000D_
Android_x000D_
  Build  :  The build number under the title in the main menu  Required   LATEST  IS NOT A VERSION  I NEED THE EXACT BUILD NUMBER OF YOUR GAME  _x000D_
120 3_x000D_
  Issue  :  Explain your issue in detail  _x000D_
A random black stuff appear in editor when placing a core then pressing undo_x000D_
  Steps to reproduce  :  How you happened across the issue  and what exactly you did to make the bug happen  _x000D_
  Screenshot 2020 12 04 17 59 22 04 (https:  user images githubusercontent com 73068966 101150608 7226c780 365b 11eb 84e2 083d532d3b8b jpg)_x000D_
It happens when you place any core block then pressing undo button it only happens if you place the core between blocks and in empty space_x000D_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</si>
  <si>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Anuken-Mindustry-3769</t>
  </si>
  <si>
    <t>Enemy land Guardians units cause stuck any other land units on enemy base</t>
  </si>
  <si>
    <t xml:space="preserve">  Platform  :  Windows 10 x64 _x000D_
_x000D_
  Build  :  20210_x000D_
_x000D_
  Issue  : Enemy land Guardians units cause stuck any other land units on enemy base_x000D_
_x000D_
  Steps to reproduce  : _x000D_
1  starting sector 69 _x000D_
2  play until Guardian appears_x000D_
3  see how High tier unit stuck in enemy wall preventing any other ground units to move _x000D_
pro: enjoy only avia units_x000D_
contra: on waves 60  there are more 300  units waiting on enemy bases_x000D_
  Link(s) to mod(s) used  :     _x000D_
_x000D_
  Save file  : _x000D_
 saves settingsMindustry zip (https:  github com Anuken Mindustry files 5641874 saves 2BsettingsMindustry zip)_x000D_
_x000D_
They stopped on yellow rectangle_x000D_
  screenshot 69 (https:  user images githubusercontent com 738857 101149140 92d92800 362f 11eb 92e8 2f8cf7f82008 png)_x000D_
_x000D_
_x000D_
_x000D_
  (Crash) logs  :  Either crash reports from the crash folder  or the file you get when you go into Settings    Game Data    Export Crash logs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</si>
  <si>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Anuken-Mindustry-3763</t>
  </si>
  <si>
    <t>Sorter and overflow class transportation blocks still practically instantly move items.</t>
  </si>
  <si>
    <t xml:space="preserve">  Platform  :  Android iOS Mac Windows Linux _x000D_
Mac_x000D_
  Build  :  The build number under the title in the main menu  Required   LATEST  IS NOT A VERSION  I NEED THE EXACT BUILD NUMBER OF YOUR GAME  _x000D_
120 3_x000D_
  Issue  :  Explain your issue in detail  _x000D_
Sorters and overflows practically instantly sort items_x000D_
  Steps to reproduce  :  How you happened across the issue  and what exactly you did to make the bug happen  _x000D_
1  Go to sandbox and put anything through a sorter overflow class transportation block_x000D_
_x000D_
  Link(s) to mod(s) used  :  The mod repositories or zip files that are related to the issue  if applicable  _x000D_
No_x000D_
  Save file  :  The (zipped) save file you were playing on when the bug happened  THIS IS REQUIRED FOR ANY ISSUE HAPPENING IN GAME OR IN MULTIPLAYER  REGARDLESS OF WHETHER YOU THINK IT HAPPENS EVERYWHERE _x000D_
I am 100  sure that other people have this glitch  Just look at your own game if you don t believe me_x000D_
If you remove the line above without reading it properly and understanding what it means  I will reap your soul  Even if you re playing on someone s server  you can still save the game to a slot _x000D_
_x000D_
  (Crash) logs  :  Either crash reports from the crash folder  or the file you get when you go into Settings    Game Data    Export Crash logs  REQUIRED if you are reporting a crash  _x000D_
N 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Search terms: Sorter  Sorter instant  Overflow instant</t>
  </si>
  <si>
    <t>Anuken-Mindustry-3761</t>
  </si>
  <si>
    <t xml:space="preserve">Fix the constant test failures for pr's in Mindustry </t>
  </si>
  <si>
    <t xml:space="preserve">  Platform  :  Android iOS Mac Windows Linux _x000D_
Mac_x000D_
  Build  :  The build number under the title in the main menu  Required   LATEST  IS NOT A VERSION  I NEED THE EXACT BUILD NUMBER OF YOUR GAME  _x000D_
Unrelated_x000D_
  Issue  :  Explain your issue in detail  _x000D_
No matter what  the compilation test will always report a failure_x000D_
  Steps to reproduce  :  How you happened across the issue  and what exactly you did to make the bug happen  _x000D_
1  Make a pull request (preferably one written correctly)_x000D_
2  Wait a few minutes for the tests to complete_x000D_
3  The test will fail_x000D_
_x000D_
  Link(s) to mod(s) used  :  The mod repositories or zip files that are related to the issue  if applicable  _x000D_
_x000D_
Uhh  none_x000D_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Doesn t happen in game or multiplayer_x000D_
_x000D_
If you remove the line above without reading it properly and understanding what it means  I will cut or gather your soul  Even if you re playing on someone s server  you can still save the game to a slot _x000D_
_x000D_
Uhh ok_x000D_
_x000D_
  (Crash) logs  :  Either crash reports from the crash folder  or the file you get when you go into Settings    Game Data    Export Crash logs  REQUIRED if you are reporting a crash  _x000D_
_x000D_
n 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</si>
  <si>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Anuken-Mindustry-3760</t>
  </si>
  <si>
    <t>Cannot Create T5 Units in Campaign</t>
  </si>
  <si>
    <t xml:space="preserve">  Platform  :  Windows _x000D_
_x000D_
  Build  : 120 3_x000D_
  Issue  : When producing T4 units in the exponential reconstructor in the campaign  the finished units are only moved onto an empty tile  Placing a payload conveyor  router or tetrative reconstructor will cause the unit to get stuck and no new units will be produced  Removing the conveyor causes the unit to exit normally  As a consequence it is impossible to create T5 units _x000D_
_x000D_
  Steps to reproduce  : Create a unit in the exponential reconstructor in the campaign and place a payload conveyor adjacent to the output  Such a setup is found in sector 148 in the save  _x000D_
_x000D_
  Link(s) to mod(s) used  : No mods were used _x000D_
_x000D_
  Save file  :  saves zip (https:  github com Anuken Mindustry files 5640360 saves zip)_x000D_
_x000D_
  (Crash) logs  : The game does not crash from this issue _x000D_
_x000D_
  T4 no exit (https:  user images githubusercontent com 47387922 101117168 bdeb5980 35e6 11eb 8453 1321c58a3d0c png)_x000D_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</si>
  <si>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TeamNewPipe-NewPipe-5094</t>
  </si>
  <si>
    <t>Comments won't load on some YouTube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</si>
  <si>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When I open a video sometimes the comments won t load_x000D_
_x000D_
_x000D_
_x000D_
    Expected behavior_x000D_
     Tell us what you expect to happen     _x000D_
I expected the comments to load like normal_x000D_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requested comments_x000D_
    Request:   https:  m youtube com watch v iC 88hOdX5I_x000D_
    Content Country:   US_x000D_
    Content Language:   en US_x000D_
    App Language:   en US_x000D_
    Service:   YouTube_x000D_
    Version:   0 20 5_x000D_
    OS:   Linux NHG47K 7 1 2   25_x000D_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java:156)_x000D_
	at org schabi newpipe util    Lambda ExtractorHelper 60N  UL7E5eaxFaFO1bZZmnfwM8 call(lambda)_x000D_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Caused by: com grack nanojson JsonParserException: Unexpected character:   on line 1  char 1_x000D_
	at com grack nanojson JsonTokener createParseException(Unknown Source)_x000D_
	at com grack nanojson JsonTokener advanceToToken(Unknown Source)_x000D_
	at com grack nanojson JsonParser advanceToken(Unknown Source)_x000D_
	at com grack nanojson JsonParser parse(Unknown Source)_x000D_
	at com grack nanojson JsonParser JsonParserContext from(Unknown Source)_x000D_
	at org schabi newpipe extractor services youtube extractors YoutubeCommentsExtractor getPage(YoutubeCommentsExtractor java:95)_x000D_
	    30 more_x000D_
_x000D_
   _x000D_
  details _x000D_
 hr _x000D_
_x000D_
_x000D_
     That s right  here     _x000D_
_x000D_
_x000D_
_x000D_
     Please fill this out when you do not provide a log generate by NewPipe    _x000D_
_x000D_
    Device info_x000D_
_x000D_
   Android version ROM version: Fire os 6 3 1 5_x000D_
   Device model: Amazon fire tablet 8 (2018)_x000D_
  Screenshot 20201203 202044 (https:  user images githubusercontent com 75455018 101109528 1a2d8980 35a5 11eb 8e0c 8ffc85e14b20 png)_x000D_
_x000D_
</t>
  </si>
  <si>
    <t>Anuken-Mindustry-3758</t>
  </si>
  <si>
    <t>Android - mods not found after restart</t>
  </si>
  <si>
    <t xml:space="preserve">  Platform  :  Android _x000D_
_x000D_
  Build  : 120 3_x000D_
_x000D_
  Issue  : Mods disappear from the list when restarting after load  and error message appears when attempting to load again (mods are V6 compatible)_x000D_
_x000D_
  Steps to reproduce  : After importing mods eg example mod whether via GitHub or zip file_x000D_
_x000D_
  Link(s) to mod(s) used  :example mod  vanilla enhanced_x000D_
_x000D_
If you remove the line above without reading it properly and understanding what it means  I will reap your soul  Even if you re playing on someone s server  you can still save the game to a slot  Please don t reap my soul :  )_x000D_
_x000D_
  (Crash) logs  : Nothing has crashed really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This may have been reported already but I can t find it on the closed active in GitHub  Sorry if it already has _x000D_
</t>
  </si>
  <si>
    <t>Anuken-Mindustry-3756</t>
  </si>
  <si>
    <t xml:space="preserve">Crash Occurred with Steam Generator and Reconstruction </t>
  </si>
  <si>
    <t xml:space="preserve">  Platform  :Windows 10 x64_x000D_
_x000D_
  Build  : steam build 120 3_x000D_
_x000D_
  Issue  :  Crash occurred_x000D_
_x000D_
  Steps to reproduce  :  By putting blast into the steam generator you are able to get the generator down to a sliver of health  when at a sliver quickly destroy and rebuild (pausing the destroy)  Then  with reconstruction drones around  click on the generator to rebuild  The generator will be rebuilt and destroyed at the same time  which I believe crashes the game  _x000D_
_x000D_
 Another way is to just let the steam generator keep exploding and being rebuilt  eventually the game will crash for  I believe  the same reason above  _x000D_
_x000D_
 https:  imgur com a o1xkSXI (https:  imgur com a o1xkSXI)_x000D_
_x000D_
_x000D_
  Save file  :   Link to Google Drive folder with both Crash Logs and Save data (https:  drive google com drive folders 1liEAhk2IsZRITX9A123ObYcJZQhpJvgT usp sharing) _x000D_
_x000D_
  (Crash) logs  :   Link to Google Drive folder with both Crash Logs and Save data (https:  drive google com drive folders 1liEAhk2IsZRITX9A123ObYcJZQhpJvgT usp sharing)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</si>
  <si>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Anuken-Mindustry-3754</t>
  </si>
  <si>
    <t>More waves with no enemy bases</t>
  </si>
  <si>
    <t xml:space="preserve">  Platform  :  Windows _x000D_
_x000D_
  Build  :  Version 120 _x000D_
_x000D_
  Issue  :  you just get 20 more waves in a sector without an enemy base nearby when you leave and come back  _x000D_
_x000D_
  Steps to reproduce  :  go into campaign and hop into a sector without an enemy base  for me  it s sector 175  and leave and come back  and you ll get 20 more waves  _x000D_
_x000D_
  Link(s) to mod(s) used  :  never used any mods _x000D_
_x000D_
  Save file  : _x000D_
 lol mehgame zip (https:  github com Anuken Mindustry files 5638597 lol mehgame zip)_x000D_
  _x000D_
_x000D_
If you remove the line above without reading it properly and understanding what it means  I will reap your soul  Even if you re playing on someone s server  you can still save the game to a slot _x000D_
_x000D_
  (Crash) logs  :  no crashes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</si>
  <si>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Anuken-Mindustry-3752</t>
  </si>
  <si>
    <t>discord stream + dragged sorters = game crash</t>
  </si>
  <si>
    <t xml:space="preserve">  Platform  : Windows_x000D_
_x000D_
  Build  : 120 3_x000D_
_x000D_
  Issue  : game instantly crashes when I place sorters set to anything in a line while streaming the game on discord _x000D_
_x000D_
  Steps to reproduce  : start streaming the game on discord then place a row of sorters set to anything_x000D_
_x000D_
  Save file  : _x000D_
 save zip (https:  github com Anuken Mindustry files 5638265 save zip)_x000D_
_x000D_
_x000D_
If you remove the line above without reading it properly and understanding what it means  I will reap your soul  Even if you re playing on someone s server  you can still save the game to a slot _x000D_
_x000D_
  (Crash) logs  : it says  no crash logs found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
  </si>
  <si>
    <t>Anuken-Mindustry-3750</t>
  </si>
  <si>
    <t>Game went black - Not solved by previous issue closure</t>
  </si>
  <si>
    <t xml:space="preserve">  Platform  :  Android iOS Mac Windows Linux _x000D_
Android_x000D_
_x000D_
  Build  :  The build number under the title in the main menu  Required   LATEST  IS NOT A VERSION  I NEED THE EXACT BUILD NUMBER OF YOUR GAME  _x000D_
release build 120 3_x000D_
_x000D_
  Issue  :  Explain your issue in detail  _x000D_
While playing Ruinous Shores  the screen zoomed out until everything was black  but the UI was present  This also affected Frozen Forest  which didn t even zoom  it just loaded in like that  All other areas are still normal  I tried exporting my game data  resetting the game data  then importing the data back in  but the issue persisted  Resetting the game data and starting a new game does not have this issue  it seems to only be with my save file  I ve also tried reinstalling the game and clearing the data in the app settings but the issue persisted when I reimported my game data _x000D_
_x000D_
  Steps to reproduce  :  How you happened across the issue  and what exactly you did to make the bug happen  _x000D_
I was playing Ruinous Shores  just finished wave 3 and this happened  Not sure if this is reproducible  but I can provide my game data as I m sure the issue will be present when the data is imported _x000D_
_x000D_
  Link(s) to mod(s) used  :  The mod repositories or zip files that are related to the issue  if applicable  _x000D_
No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x0hUppaDusHU zip (https:  github com Anuken Mindustry files 5633790 x0hUppaDusHU zip)_x000D_
  bEHM3OC7KHKU (https:  user images githubusercontent com 16456386 100967280 c2e8d400 3526 11eb 84d4 dc6beaeb8348 png)_x000D_
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N 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</si>
  <si>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Anuken-Mindustry-3749</t>
  </si>
  <si>
    <t>UI is covered on iPhone XR</t>
  </si>
  <si>
    <t>Platform: iOS_x000D_
_x000D_
Build: idk  newest version from AppStore  6 0 _x000D_
_x000D_
Issue: UI is covered by rounded corners and notch _x000D_
_x000D_
Steps to reproduce: Just run an app on iPhone X and up   _x000D_
_x000D_
Link(s) to mod(s) used: No mods used _x000D_
_x000D_
Save file: Not needed _x000D_
_x000D_
(Crash) logs: Game does not crash</t>
  </si>
  <si>
    <t>Anuken-Mindustry-3748</t>
  </si>
  <si>
    <t>UI not visible on iPhone XR</t>
  </si>
  <si>
    <t xml:space="preserve">  Platform  :  iOS _x000D_
_x000D_
  Build  :  idk  newest version from AppStore  6 0  _x000D_
_x000D_
  Issue  :  UI is covered by rounded corners and notch  _x000D_
_x000D_
  Steps to reproduce  :  Just run an app on iPhone X and up    _x000D_
_x000D_
  Link(s) to mod(s) used  :  No mods used  _x000D_
_x000D_
  Save file  :  Not needed  _x000D_
_x000D_
  (Crash) logs  :  Game does not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</si>
  <si>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Anuken-Mindustry-3746</t>
  </si>
  <si>
    <t>Kaviaki. Crash</t>
  </si>
  <si>
    <t xml:space="preserve">  Platform  :  Android _x000D_
_x000D_
  Build  :  6 official 120 3 _x000D_
_x000D_
  Issue  :  I cant enter to a map of the campain  the games crashes _x000D_
_x000D_
  Steps to reproduce    I cant remember how I did it  but I just playing the campain like everyone does _x000D_
_x000D_
  Link(s) to mod(s) used  :  0 _x000D_
_x000D_
  Save file  :  I cant  my crash happens in the campain  in Overgrowth _x000D_
_x000D_
  (Crash) logs  :  Mindustry has crashed  How unfortunate _x000D_
Report this at https:  github com Anuken Mindustry issues new labels bug template bug report md_x000D_
_x000D_
Version: release build 120_x000D_
OS: Linux x32_x000D_
Java Version: 0_x000D_
Java Architecture: null_x000D_
0 Mods_x000D_
_x000D_
  NullPointer:  Attempt to invoke virtual method  int mindustry world modules ItemModule get(mindustry type Item)  on a null object reference _x000D_
Building acceptItem: 1245_x000D_
Conveyor ConveyorBuild pass: 258_x000D_
Conveyor ConveyorBuild updateTile: 235_x000D_
Building update: 1092_x000D_
   Lambda YLG6AvmE6BBi QxdrWn0CEMuwAo get: 2_x000D_
EntityGroup each: 68_x000D_
EntityGroup update: 58_x000D_
Groups update: 71_x000D_
Logic update: 359_x000D_
ApplicationCore update: 36_x000D_
ClientLauncher update: 153_x000D_
AndroidGraphics onDrawFrame: 424_x000D_
GLSurfaceView GLThread guardedRun: 1581_x000D_
GLSurfaceView GLThread run: 1280 _x000D_
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</si>
  <si>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Anuken-Mindustry-3745</t>
  </si>
  <si>
    <t>I have android sistem and the Game version is release build 120.3 and I have a problem with the game specifically with the music does not sound anything any of the sounds I do not know why?</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</si>
  <si>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</si>
  <si>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Anuken-Mindustry-3744</t>
  </si>
  <si>
    <t>Floating window's crash</t>
  </si>
  <si>
    <t xml:space="preserve">  Platform  :  Android 10 0  MIUI 12 0 5 0 
  Build  :  release build 120 3 
  Issue  :  The game crashes when I put it in a floating window 
  Steps to reproduce  :  I opened the game  Then I went to the apps menu  Then I tried to display it as a floating window  but the game ended  But with split screen everything is fine 
  Link(s) to mod(s) used  :  Original from Google Play 
  Save file  :  The game also crashes when I try to output a file with an crash logs  If this item is about the map in the game  then this problem is in any part of the game 
  Crash report  :  The game also crashes  But I can to send Xiaomi crashtext  
Floating window:
java lang IllegalStateException: Frame buffer couldn t be constructed: missing attachment
	at arc graphics gl GLFrameBuffer build(GLFrameBuffer java:288)
	at arc graphics gl GLFrameBuffer invalidateAllFrameBuffers(GLFrameBuffer java:97)
	at arc backend android AndroidGraphics onSurfaceCreated(AndroidGraphics java:264)
	at android opengl GLSurfaceView GLThread guardedRun(GLSurfaceView java:1549)
	at android opengl GLSurfaceView GLThread run(GLSurfaceView java:1280)
When I try to output crashlog:
arc util ArcRuntimeException: Error writing file:  document raw: storage emulated 0 Download       MindustryCrashAnotherTest (absolute)
	at arc files Fi writeString(Fi java:509)
	at arc files Fi writeString(Fi java:493)
	at arc files Fi writeString(Fi java:483)
	at mindustry ui dialogs SettingsMenuDialog lambda new 18 SettingsMenuDialog(SettingsMenuDialog java:218)
	at mindustry ui dialogs    Lambda SettingsMenuDialog Gw15vJpr91Jzft koLIAZbEaHKs get(Unknown Source:4)
	at mindustry android AndroidLauncher 1 lambda showFileChooser 1 AndroidLauncher 1(AndroidLauncher java:98)
	at mindustry android    Lambda AndroidLauncher 1 T2t6Y7IKnmu8jovOUC46AWtJxeI run(Unknown Source:6)
	at arc backend android AndroidGraphics onDrawFrame(AndroidGraphics java:414)
	at android opengl GLSurfaceView GLThread guardedRun(GLSurfaceView java:1581)
	at android opengl GLSurfaceView GLThread run(GLSurfaceView java:1280)
Caused by: arc util ArcRuntimeException: Error writing file:  document raw: storage emulated 0 Download       MindustryCrashAnotherTest (absolute)
	at arc files Fi writer(Fi java:469)
	at arc files Fi writeString(Fi java:506)
	    9 more
Caused by: java io FileNotFoundException:  document raw: storage emulated 0 Download       MindustryCrashAnotherTest: open failed: ENOENT (No such file or directory)
	at libcore io IoBridge open(IoBridge java:496)
	at java io FileOutputStream  init (FileOutputStream java:235)
	at arc files Fi writer(Fi java:461)
	    10 more
Caused by: android system ErrnoException: open failed: ENOENT (No such file or directory)
	at libcore io Linux open(Native Method)
	at libcore io ForwardingOs open(ForwardingOs java:167)
	at libcore io BlockGuardOs open(BlockGuardOs java:252)
	at libcore io ForwardingOs open(ForwardingOs java:167)
	at android app ActivityThread AndroidOs open(ActivityThread java:7448)
	at libcore io IoBridge open(IoBridge java:482)
	    12 more
 Place an X (no spaces) between the brackets to confirm that you have read the line below    
   X    I have updated to the latest release (https:  github com Anuken Mindustry releases) to make sure my issue has not been fixed   
   X    I have searched the closed and open issues to make sure that this problem has not already been reported   
</t>
  </si>
  <si>
    <t>Anuken-Mindustry-3743</t>
  </si>
  <si>
    <t>gradlew desktop:run</t>
  </si>
  <si>
    <t xml:space="preserve">  Platform  :  Android iOS Mac Windows Linux 
  Build  :  The build number under the title in the main menu  Required   LATEST  IS NOT A VERSION  I NEED THE EXACT BUILD NUMBER OF YOUR GAME  
  Issue  :  Explain your issue in detail  
  Steps to reproduce  :  How you happened across the issue  and what exactly you did to make the bug happen  
  Link(s) to mod(s) used  :  The mod repositories or zip files that are related to the issue  if applicable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If you remove the line above without reading it properly and understanding what it means  I will reap your soul  Even if you re playing on someone s server  you can still save the game to a slot 
  Crash report  :  The contents of relevant crash report files  REQUIRED if you are reporting a crash  
 Place an X (no spaces) between the brackets to confirm that you have read the line below    
        I have updated to the latest release (https:  github com Anuken Mindustry releases) to make sure my issue has not been fixed   
        I have searched the closed and open issues to make sure that this problem has not already been reported   
</t>
  </si>
  <si>
    <t>Anuken-Mindustry-3742</t>
  </si>
  <si>
    <t>My chash</t>
  </si>
  <si>
    <t xml:space="preserve"> Mindustry has crashed  How unfortunate _x000D_
Report this at https:  github com Anuken Mindustry issues new labels bug template bug report md_x000D_
_x000D_
Version: release build 120_x000D_
OS: Linux x32_x000D_
Java Version: 0_x000D_
Java Architecture: null_x000D_
0 Mods_x000D_
_x000D_
  NullPointer:  Attempt to invoke virtual method  int mindustry world modules ItemModule get(mindustry type Item)  on a null object reference _x000D_
Building acceptItem: 1245_x000D_
Conveyor ConveyorBuild pass: 258_x000D_
Conveyor ConveyorBuild updateTile: 235_x000D_
Building update: 1092_x000D_
   Lambda YLG6AvmE6BBi QxdrWn0CEMuwAo get: 2_x000D_
EntityGroup each: 68_x000D_
EntityGroup update: 58_x000D_
Groups update: 71_x000D_
Logic update: 359_x000D_
ApplicationCore update: 36_x000D_
ClientLauncher update: 153_x000D_
AndroidGraphics onDrawFrame: 424_x000D_
GLSurfaceView GLThread guardedRun: 1581_x000D_
GLSurfaceView GLThread run: 1280</t>
  </si>
  <si>
    <t>Anuken-Mindustry-3741</t>
  </si>
  <si>
    <t>Error kicked my out of a server</t>
  </si>
  <si>
    <t xml:space="preserve">_x000D_
  Screenshot 20201203 153131 Mindustry (https:  user images githubusercontent com 49868160 101041637 c1e29180 357c 11eb 8c7b 7ea5beb92131 jpg)_x000D_
  Platform  :  Android iOS Mac Windows Linux _x000D_
Android_x000D_
  Build  :  The build number under the title in the main menu  Required   LATEST  IS NOT A VERSION  I NEED THE EXACT BUILD NUMBER OF YOUR GAME  _x000D_
120_x000D_
  Issue  :  Explain your issue in detail  _x000D_
Got an error see screenshot_x000D_
  Steps to reproduce  :  How you happened across the issue  and what exactly you did to make the bug happen  _x000D_
Was at random don t know how to reproduce_x000D_
  Link(s) to mod(s) used  :  The mod repositories or zip files that are related to the issue  if applicable  _x000D_
No mods_x000D_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Don t know how to upload a file on mobile github_x000D_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How do I get crash report_x000D_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</si>
  <si>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Anuken-Mindustry-3739</t>
  </si>
  <si>
    <t>Coal on Plastanium Conveyor use Copper texture</t>
  </si>
  <si>
    <t xml:space="preserve">  Platform  : Windows_x000D_
_x000D_
  Build  : Steam build 120 3_x000D_
  Issue  : Coal on Plastanium Conveyor using Copper texture_x000D_
_x000D_
  Steps to reproduce  : Place Coal on Plastanium Conveyor_x000D_
_x000D_
  Link(s) to mod(s) used  : No mods_x000D_
_x000D_
  Save file  : _x000D_
 Coal in Copper zip (https:  github com Anuken Mindustry files 5636081 Coal in Copper zip) _x000D_
_x000D_
  Crash report  :  The contents of relevant crash report files  REQUIRED if you are reporting a crash  _x000D_
  Screenshot   _x000D_
  Coal in copper (https:  user images githubusercontent com 75429002 101019860 a4162c00 357e 11eb 90fa 1e9949cb682c PNG)_x000D_
  Coal in Copper1 (https:  user images githubusercontent com 75429002 101019876 a8dae000 357e 11eb 95a9 ae2cbc82b3b6 PNG)_x000D_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</si>
  <si>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tradle-react-native-udp-147</t>
  </si>
  <si>
    <t>Crash: Attempt to invoke virtual method 'void java.net.DatagramSocket.setReuseAddress(boolean)' on a null object reference</t>
  </si>
  <si>
    <t xml:space="preserve">   Description_x000D_
App crashes if creating socket object is not successful (object equals to null)  This issue is basically a copy of  119 as  Rapsssito asked to create a new one _x000D_
_x000D_
   Error_x000D_
   java_x000D_
com tradle react UdpSocketClient bind_x000D_
UdpSocketClient java  line 83_x000D_
java lang NullPointerException: Attempt to invoke virtual method  void java net DatagramSocket setReuseAddress(boolean)  on a null object reference_x000D_
   _x000D_
_x000D_
   Stack traces_x000D_
   java_x000D_
com tradle react UdpSocketClient bind UdpSocketClient java:83_x000D_
com tradle react UdpSockets 2 run UdpSockets java:118_x000D_
java lang Thread run Thread java:919_x000D_
java util concurrent ThreadPoolExecutor runWorker ThreadPoolExecutor java:1167_x000D_
java util concurrent ThreadPoolExecutor Worker run ThreadPoolExecutor java:641_x000D_
java lang Thread run Thread java:919_x000D_
   _x000D_
_x000D_
   Steps to reproduce_x000D_
Probably  you need to create and close sockets on and on  It is really hard to reproduce quickly  _x000D_
_x000D_
   Current behavior_x000D_
App crashes on some devices with multiple Android versions  Sometimes the error is  Attempt to invoke virtual method  void java net DatagramSocket send(java net DatagramPacket)  on a null object reference  but the reason seems to be the same _x000D_
_x000D_
   Expected behavior_x000D_
App does not crash  The solution proposed by  rimzici is to surround the code responsible for crashing with a try catch block (see the code in his fork: https:  github com telldus react native udp blob master android src main java com tradle react UdpSocketClient java L83 L91)  However  maybe a better idea would be a simple null checking  _x000D_
_x000D_
   Relevant information_x000D_
                     _x000D_
                     _x000D_
  react native   0 63 4    _x000D_
  react native udp    4 0 4 (but happens on earlier versions  too)    _x000D_
_x000D_
   Occurred on_x000D_
                     _x000D_
                     _x000D_
  Device   OS    _x000D_
  Galaxy S7    Android 8    _x000D_
  Galaxy S9    Android 10    _x000D_
  Galaxy S9     Android 10   _x000D_
  Galaxy S10     Android 10   </t>
  </si>
  <si>
    <t>Anuken-Mindustry-3738</t>
  </si>
  <si>
    <t>Display on iOS iPhone X</t>
  </si>
  <si>
    <t xml:space="preserve">  Platform  : iOS  Android iOS Mac Windows Linux _x000D_
_x000D_
  Build  : 120_x000D_
 The build number under the title in the main menu  Required   LATEST  IS NOT A VERSION  I NEED THE EXACT BUILD NUMBER OF YOUR GAME  _x000D_
_x000D_
  Issue  :  Explain your issue in detail  _x000D_
_x000D_
The display is slightly higher than the real size of the screen    can t access to all buttons top left of the screen   we don t see hours and battery charge anymore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</si>
  <si>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stefan-niedermann-nextcloud-notes-995</t>
  </si>
  <si>
    <t xml:space="preserve">    _x000D_
Guidelines for submitting issues:_x000D_
_x000D_
  Bug reports which do not fill the complete issue template will be closed _x000D_
  Please have a look at our  FAQ (https:  github com stefan niedermann nextcloud notes blob master FAQ md)_x000D_
  Please search the existing issues first  it s likely that your issue was already reported or even fixed _x000D_
  This repository is  only  for issues within the Nextcloud Notes Android app_x000D_
   _x000D_
Please use    GitHub reactions (https:  blog github com 2016 03 10 add reactions to pull requests issues and comments )     to show that you are affected by the same issue  Please don t comment if you have no relevant information to add _x000D_
_x000D_
  Describe the bug  _x000D_
     A clear and concise description of what the bug is     _x000D_
inside a Markdown dokument I select all and App crashed_x000D_
_x000D_
_x000D_
  To Reproduce  _x000D_
Steps to reproduce the behavior:_x000D_
_x000D_
  Select all _x000D_
  Cut_x000D_
  Hit Space_x000D_
_x000D_
_x000D_
  Expected behavior  _x000D_
     A clear and concise description of what you expected to happen     _x000D_
No Crash_x000D_
please Lock at stacktrace_x000D_
_x000D_
_x000D_
  Screenshots  _x000D_
     If applicable  add screenshots to help explain your problem     _x000D_
_x000D_
_x000D_
  Smartphone (please complete the following information):  _x000D_
   Nextcloud Notes Version (android app):  30140090_x000D_
   F Droid or Play Store: F_x000D_
   Android Version: 10_x000D_
   Device: potter_x000D_
_x000D_
_x000D_
  Server  _x000D_
   Nextcloud version: 20 0 2_x000D_
   Nextcloud Notes version (server app): _x000D_
_x000D_
  Stacktrace  _x000D_
   _x000D_
App Version: 2 17 1_x000D_
App Version Code: 2017001_x000D_
App Flavor: fdroid_x000D_
_x000D_
Files App Version Code: 30140090_x000D_
_x000D_
   _x000D_
_x000D_
OS Version: 3 18 120 perf Arrow(2048)_x000D_
OS API Level: 29_x000D_
Device: potter_x000D_
Manufacturer: motorola_x000D_
Model (and Product): Moto G5 Plus (XT1685) (Moto G5 Plus)_x000D_
_x000D_
   _x000D_
_x000D_
java lang IndexOutOfBoundsException: charAt: 0    length 0_x000D_
	at android text SpannableStringBuilder charAt(SpannableStringBuilder java:124)_x000D_
	at android text CharSequenceCharacterIterator current(CharSequenceCharacterIterator java:58)_x000D_
	at android text CharSequenceCharacterIterator first(CharSequenceCharacterIterator java:44)_x000D_
	at android icu text RuleBasedBreakIterator CISetIndex32(RuleBasedBreakIterator java:1046)_x000D_
	at android icu text RuleBasedBreakIterator isBoundary(RuleBasedBreakIterator java:500)_x000D_
	at android text method WordIterator isBoundary(WordIterator java:101)_x000D_
	at android widget Editor SelectionHandleView positionAtCursorOffset(Editor java:5562)_x000D_
	at android widget Editor HandleView invalidate(Editor java:4610)_x000D_
	at android widget Editor SelectionModifierCursorController invalidateHandles(Editor java:6254)_x000D_
	at android widget Editor invalidateHandlesAndActionMode(Editor java:2007)_x000D_
	at android widget TextView spanChange(TextView java:10732)_x000D_
	at android widget TextView ChangeWatcher onSpanRemoved(TextView java:13457)_x000D_
	at android text SpannableStringBuilder sendSpanRemoved(SpannableStringBuilder java:1296)_x000D_
	at android text SpannableStringBuilder removeSpan(SpannableStringBuilder java:501)_x000D_
	at android text SpannableStringBuilder removeSpan(SpannableStringBuilder java:801)_x000D_
	at android text SpannableStringBuilder removeSpan(SpannableStringBuilder java:789)_x000D_
	at com yydcdut markdown utils SyntaxUtils removeSpans(SyntaxUtils java:294)_x000D_
	at com yydcdut markdown live HeaderLive format(HeaderLive java:90)_x000D_
	at com yydcdut markdown live HeaderLive onTextChanged(HeaderLive java:63)_x000D_
	at com yydcdut markdown live LivePrepare onTextChanged(LivePrepare java:81)_x000D_
	at com yydcdut markdown MarkdownEditText onTextChanged4Controller(MarkdownEditText java:252)_x000D_
	at com yydcdut markdown MarkdownEditText access 700(MarkdownEditText java:44)_x000D_
	at com yydcdut markdown MarkdownEditText EditTextWatcher onTextChanged(MarkdownEditText java:176)_x000D_
	at android widget TextView sendOnTextChanged(TextView java:10550)_x000D_
	at android widget TextView handleTextChanged(TextView java:10657)_x000D_
	at android widget TextView ChangeWatcher onTextChanged(TextView java:13418)_x000D_
	at android text SpannableStringBuilder sendTextChanged(SpannableStringBuilder java:1267)_x000D_
	at android text SpannableStringBuilder replace(SpannableStringBuilder java:576)_x000D_
	at android text SpannableStringBuilder delete(SpannableStringBuilder java:230)_x000D_
	at android text SpannableStringBuilder delete(SpannableStringBuilder java:37)_x000D_
	at android text method BaseKeyListener deleteSelection(BaseKeyListener java:433)_x000D_
	at android text method BaseKeyListener backspaceOrForwardDelete(BaseKeyListener java:328)_x000D_
	at android text method BaseKeyListener backspace(BaseKeyListener java:71)_x000D_
	at android text method BaseKeyListener onKeyDown(BaseKeyListener java:479)_x000D_
	at android text method QwertyKeyListener onKeyDown(QwertyKeyListener java:362)_x000D_
	at android text method TextKeyListener onKeyDown(TextKeyListener java:141)_x000D_
	at android widget TextView doKeyDown(TextView java:8445)_x000D_
	at android widget TextView onKeyDown(TextView java:8202)_x000D_
	at android view KeyEvent dispatch(KeyEvent java:2801)_x000D_
	at android view View dispatchKeyEvent(View java:13890)_x000D_
	at android view ViewGroup dispatchKeyEvent(ViewGroup java:1922)_x000D_
	at android widget ScrollView dispatchKeyEvent(ScrollView java:491)_x000D_
	at android view ViewGroup dispatchKeyEvent(ViewGroup java:1922)_x000D_
	at android view ViewGroup dispatchKeyEvent(ViewGroup java:1922)_x000D_
	at android view ViewGroup dispatchKeyEvent(ViewGroup java:1922)_x000D_
	at android view ViewGroup dispatchKeyEvent(ViewGroup java:1922)_x000D_
	at android view ViewGroup dispatchKeyEvent(ViewGroup java:1922)_x000D_
	at android view ViewGroup dispatchKeyEvent(ViewGroup java:1922)_x000D_
	at android view ViewGroup dispatchKeyEvent(ViewGroup java:1922)_x000D_
	at android view ViewGroup dispatchKeyEvent(ViewGroup java:1922)_x000D_
	at com android internal policy DecorView superDispatchKeyEvent(DecorView java:453)_x000D_
	at com android internal policy PhoneWindow superDispatchKeyEvent(PhoneWindow java:1840)_x000D_
	at android app Activity dispatchKeyEvent(Activity java:3971)_x000D_
	at androidx core app ComponentActivity superDispatchKeyEvent(ComponentActivity java:122)_x000D_
	at androidx core view KeyEventDispatcher dispatchKeyEvent(KeyEventDispatcher java:84)_x000D_
	at androidx core app ComponentActivity dispatchKeyEvent(ComponentActivity java:140)_x000D_
	at androidx appcompat app AppCompatActivity dispatchKeyEvent(AppCompatActivity java:569)_x000D_
	at androidx appcompat view WindowCallbackWrapper dispatchKeyEvent(WindowCallbackWrapper java:59)_x000D_
	at androidx appcompat app AppCompatDelegateImpl AppCompatWindowCallback dispatchKeyEvent(AppCompatDelegateImpl java:3054)_x000D_
	at androidx appcompat view WindowCallbackWrapper dispatchKeyEvent(WindowCallbackWrapper java:59)_x000D_
	at com android internal policy DecorView dispatchKeyEvent(DecorView java:367)_x000D_
	at android view ViewRootImpl ViewPostImeInputStage processKeyEvent(ViewRootImpl java:5583)_x000D_
	at android view ViewRootImpl ViewPostImeInputStage onProcess(ViewRootImpl java:5451)_x000D_
	at android view ViewRootImpl InputStage deliver(ViewRootImpl java:4958)_x000D_
	at android view ViewRootImpl InputStage onDeliverToNext(ViewRootImpl java:5011)_x000D_
	at android view ViewRootImpl InputStage forward(ViewRootImpl java:4977)_x000D_
	at android view ViewRootImpl AsyncInputStage forward(ViewRootImpl java:5117)_x000D_
	at android view ViewRootImpl InputStage apply(ViewRootImpl java:4985)_x000D_
	at android view ViewRootImpl AsyncInputStage apply(ViewRootImpl java:5174)_x000D_
	at android view ViewRootImpl InputStage deliver(ViewRootImpl java:4958)_x000D_
	at android view ViewRootImpl InputStage onDeliverToNext(ViewRootImpl java:5011)_x000D_
	at android view ViewRootImpl InputStage forward(ViewRootImpl java:4977)_x000D_
	at android view ViewRootImpl InputStage apply(ViewRootImpl java:4985)_x000D_
	at android view ViewRootImpl InputStage deliver(ViewRootImpl java:4958)_x000D_
	at android view ViewRootImpl deliverInputEvent(ViewRootImpl java:7683)_x000D_
	at android view ViewRootImpl doProcessInputEvents(ViewRootImpl java:7652)_x000D_
	at android view ViewRootImpl enqueueInputEvent(ViewRootImpl java:7613)_x000D_
	at android view ViewRootImpl ViewRootHandler handleMessage(ViewRootImpl java:4728)_x000D_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java:493)_x000D_
	at com android internal os ZygoteInit main(ZygoteInit java:940)_x000D_
_x000D_
   _x000D_
_x000D_
_x000D_
</t>
  </si>
  <si>
    <t>TeamNewPipe-NewPipe-5089</t>
  </si>
  <si>
    <t>Startloop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</si>
  <si>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Starting the Newpipe in a regular way_x000D_
2  Something weird_x000D_
   _x000D_
_x000D_
     If you can t cause the bug to show up again reliably (and hence don t have a proper set of steps to give us)  please still try to give as many details as possible on how you think you encountered the bug     _x000D_
_x000D_
_x000D_
_x000D_
    Actual behavior_x000D_
     Tell us what happens with the steps given above     _x000D_
_x000D_
Seems like it entered a loop and cannot get out of it  nothing helps except pressing Home button  I experienced this multiple times _x000D_
It was shot on NewPipe 0 20 4  but I bet it exists on 0 20 5 as well  it s just a matter of time when I reproduce it on 0 20 5 _x000D_
_x000D_
    Expected behavior_x000D_
     Tell us what you expect to happen     _x000D_
_x000D_
Normal start_x000D_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ezgif com gif maker (https:  user images githubusercontent com 6388034 100984523 7ff12580 3553 11eb 9958 bdbe80b6e125 gif)_x000D_
_x000D_
 Full video (https:  streamable com 3tbsf5)_x000D_
_x000D_
     Please fill this out when you do not provide a log generate by NewPipe    _x000D_
_x000D_
    Device info_x000D_
_x000D_
   Android version Custom ROM version: Android 9_x000D_
   Device model: Kyocera E6910_x000D_
</t>
  </si>
  <si>
    <t>TeamNewPipe-NewPipe-5088</t>
  </si>
  <si>
    <t>Could not parse json data for comments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</si>
  <si>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trying to scroll comments_x000D_
2  crash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Crashing_x000D_
_x000D_
_x000D_
    Expected behavior_x000D_
     Tell us what you expect to happen     _x000D_
Comments should be fetched_x000D_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Incident 1  _x000D_
   Exception_x000D_
    User Action:   requested comments_x000D_
    Request:   https:  m youtube com watch v 8pgAZMEv uU_x000D_
    Content Language:   en US_x000D_
    Service:   YouTube_x000D_
    Version:   0 20 5_x000D_
    OS:   Linux Android 9   28_x000D_
_x000D_
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java:156)_x000D_
	at org schabi newpipe util    Lambda ExtractorHelper 60N  UL7E5eaxFaFO1bZZmnfwM8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com grack nanojson JsonParserException: Unexpected character:   on line 1  char 1_x000D_
	at com grack nanojson JsonTokener createParseException(Unknown Source:44)_x000D_
	at com grack nanojson JsonTokener advanceToToken(Unknown Source:118)_x000D_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YoutubeCommentsExtractor getPage(YoutubeCommentsExtractor java:95)_x000D_
	    30 more_x000D_
_x000D_
   _x000D_
  p   details _x000D_
 hr _x000D_
_x000D_
  Incident 2  _x000D_
_x000D_
   Exception_x000D_
    User Action:   requested comments_x000D_
    Request:   https:  m youtube com watch v 1ACWvx9FDEo_x000D_
    Content Language:   en US_x000D_
    Service:   YouTube_x000D_
    Version:   0 20 5_x000D_
    OS:   Linux Android 9   28_x000D_
_x000D_
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java:156)_x000D_
	at org schabi newpipe util    Lambda ExtractorHelper 60N  UL7E5eaxFaFO1bZZmnfwM8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com grack nanojson JsonParserException: Unexpected character:   on line 1  char 1_x000D_
	at com grack nanojson JsonTokener createParseException(Unknown Source:44)_x000D_
	at com grack nanojson JsonTokener advanceToToken(Unknown Source:118)_x000D_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YoutubeCommentsExtractor getPage(YoutubeCommentsExtractor java:95)_x000D_
	    30 more_x000D_
_x000D_
   _x000D_
_x000D_
_x000D_
     Please fill this out when you do not provide a log generate by NewPipe    _x000D_
_x000D_
    Device info_x000D_
_x000D_
   Android version Custom ROM version: Android 9_x000D_
   Device model: Kyocera E6910_x000D_
</t>
  </si>
  <si>
    <t>TeamNewPipe-NewPipe-5087</t>
  </si>
  <si>
    <t>App crash, UI failure when searching and playing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</si>
  <si>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search_x000D_
2  Press on video_x000D_
3  Bang  It crashed_x000D_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Nothing unusual  trying to play the video from search_x000D_
_x000D_
_x000D_
    Expected behavior_x000D_
     Tell us what you expect to happen     _x000D_
Normal playing_x000D_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App crash  UI failure_x000D_
    Content Language:   en US_x000D_
    Service:   none_x000D_
    Version:   0 20 5_x000D_
    OS:   Linux Android 9   28_x000D_
_x000D_
_x000D_
 details  summary  b Crash log  b   summary  p _x000D_
_x000D_
   _x000D_
java lang NullPointerException: Attempt to invoke virtual method  char java lang String charAt(int)  on a null object reference_x000D_
	at j  util DesugarGregorianCalendar from(:1)_x000D_
	at org schabi newpipe util Localization relativeTime(Localization java:317)_x000D_
	at org schabi newpipe info list holder StreamInfoItemHolder getFormattedRelativeUploadDate(StreamInfoItemHolder java:98)_x000D_
	at org schabi newpipe info list holder StreamInfoItemHolder getStreamInfoDetailLine(StreamInfoItemHolder java:83)_x000D_
	at org schabi newpipe info list holder StreamInfoItemHolder updateFromItem(StreamInfoItemHolder java:65)_x000D_
	at org schabi newpipe info list InfoListAdapter onBindViewHolder(InfoListAdapter java:337)_x000D_
	at org schabi newpipe info list InfoListAdapter onBindViewHolder(InfoListAdapter java:360)_x000D_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java:20694)_x000D_
	at android view ViewGroup layout(ViewGroup java:6208)_x000D_
	at android widget RelativeLayout onLayout(RelativeLayout java:1083)_x000D_
	at android view View layout(View java:20694)_x000D_
	at android view ViewGroup layout(ViewGroup java:6208)_x000D_
	at androidx viewpager widget ViewPager onLayout(ViewPager java:1775)_x000D_
	at android view View layout(View java:20694)_x000D_
	at android view ViewGroup layout(ViewGroup java:6208)_x000D_
	at android widget RelativeLayout onLayout(RelativeLayout java:1083)_x000D_
	at android view View layout(View java:20694)_x000D_
	at android view ViewGroup layout(ViewGroup java:6208)_x000D_
	at android widget FrameLayout layoutChildren(FrameLayout java:323)_x000D_
	at android widget FrameLayout onLayout(FrameLayout java:261)_x000D_
	at android view View layout(View java:20694)_x000D_
	at android view ViewGroup layout(ViewGroup java:6208)_x000D_
	at androidx coordinatorlayout widget CoordinatorLayout layoutChild(CoordinatorLayout java:1213)_x000D_
	at androidx coordinatorlayout widget CoordinatorLayout onLayoutChild(CoordinatorLayout java:899)_x000D_
	at androidx coordinatorlayout widget CoordinatorLayout onLayout(CoordinatorLayout java:919)_x000D_
	at android view View layout(View java:20694)_x000D_
	at android view ViewGroup layout(ViewGroup java:6208)_x000D_
	at androidx drawerlayout widget DrawerLayout onLayout(DrawerLayout java:1231)_x000D_
	at android view View layout(View java:20694)_x000D_
	at android view ViewGroup layout(ViewGroup java:6208)_x000D_
	at android widget FrameLayout layoutChildren(FrameLayout java:323)_x000D_
	at android widget FrameLayout onLayout(FrameLayout java:261)_x000D_
	at android view View layout(View java:20694)_x000D_
	at android view ViewGroup layout(ViewGroup java:6208)_x000D_
	at android widget LinearLayout setChildFrame(LinearLayout java:1812)_x000D_
	at android widget LinearLayout layoutVertical(LinearLayout java:1656)_x000D_
	at android widget LinearLayout onLayout(LinearLayout java:1565)_x000D_
	at android view View layout(View java:20694)_x000D_
	at android view ViewGroup layout(ViewGroup java:6208)_x000D_
	at android widget FrameLayout layoutChildren(FrameLayout java:323)_x000D_
	at android widget FrameLayout onLayout(FrameLayout java:261)_x000D_
	at android view View layout(View java:20694)_x000D_
	at android view ViewGroup layout(ViewGroup java:6208)_x000D_
	at android widget LinearLayout setChildFrame(LinearLayout java:1812)_x000D_
	at android widget LinearLayout layoutVertical(LinearLayout java:1656)_x000D_
	at android widget LinearLayout onLayout(LinearLayout java:1565)_x000D_
	at android view View layout(View java:20694)_x000D_
	at android view ViewGroup layout(ViewGroup java:6208)_x000D_
	at android widget FrameLayout layoutChildren(FrameLayout java:323)_x000D_
	at android widget FrameLayout onLayout(FrameLayout java:261)_x000D_
	at com android internal policy DecorView onLayout(DecorView java:871)_x000D_
	at android view View layout(View java:20694)_x000D_
	at android view ViewGroup layout(ViewGroup java:6208)_x000D_
	at android view ViewRootImpl performLayout(ViewRootImpl java:2821)_x000D_
	at android view ViewRootImpl performTraversals(ViewRootImpl java:2348)_x000D_
	at android view ViewRootImpl doTraversal(ViewRootImpl java:1488)_x000D_
	at android view ViewRootImpl TraversalRunnable run(ViewRootImpl java:7260)_x000D_
	at android view Choreographer CallbackRecord run(Choreographer java:1004)_x000D_
	at android view Choreographer doCallbacks(Choreographer java:816)_x000D_
	at android view Choreographer doFrame(Choreographer java:751)_x000D_
	at android view Choreographer FrameDisplayEventReceiver run(Choreographer java:990)_x000D_
	at android os Handler handleCallback(Handler java:873)_x000D_
	at android os Handler dispatchMessage(Handler java:99)_x000D_
	at android os Looper loop(Looper java:193)_x000D_
	at android app ActivityThread main(ActivityThread java:6831)_x000D_
	at java lang reflect Method invoke(Native Method)_x000D_
	at com android internal os RuntimeInit MethodAndArgsCaller run(RuntimeInit java:493)_x000D_
	at com android internal os ZygoteInit main(ZygoteInit java:858)_x000D_
_x000D_
   _x000D_
  p   details _x000D_
 hr _x000D_
_x000D_
There are similar bugs I found ( 4546 (https:  github com TeamNewPipe NewPipe issues 4546))  however I didn t use background playing  so I created a new bug _x000D_
_x000D_
     Please fill this out when you do not provide a log generate by NewPipe    _x000D_
_x000D_
    Device info_x000D_
_x000D_
   Android version Custom ROM version: Android 9_x000D_
   Device model: Kyocera E6910_x000D_
</t>
  </si>
  <si>
    <t>Anuken-Mindustry-3733</t>
  </si>
  <si>
    <t>Game went black</t>
  </si>
  <si>
    <t>Anuken-Mindustry-3731</t>
  </si>
  <si>
    <t xml:space="preserve">User Interface </t>
  </si>
  <si>
    <t xml:space="preserve">  Platform  : iOS_x000D_
_x000D_
  Build  : 120_x000D_
_x000D_
  Issue  : The interface for mindustry doesn t take the notch for x models into account  and clips off the screen on the edges  _x000D_
_x000D_
  Steps to reproduce  : Boot up the game normally _x000D_
_x000D_
  Link(s) to mod(s) used  : None_x000D_
_x000D_
  Save file  : Happens everywhere  including main screen_x000D_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</si>
  <si>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Anuken-Mindustry-3730</t>
  </si>
  <si>
    <t>Core Database/Block Info discrepancies b120</t>
  </si>
  <si>
    <t xml:space="preserve">  Platform  : Android_x000D_
_x000D_
  Build  : 120_x000D_
_x000D_
  Issue  : Core database shows certain blocks  liquid consumption 0 1 less per second than they actually are_x000D_
_x000D_
  Steps to reproduce  : Check core database block info_x000D_
_x000D_
  Link(s) to mod(s) used  : N 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Does not a save  as you can access the database without starting to play _x000D_
_x000D_
  Crash report  :  The contents of relevant crash report files  REQUIRED if you are reporting a crash  _x000D_
_x000D_
N 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</si>
  <si>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aws-amplify-amplify-android-1022</t>
  </si>
  <si>
    <t>[Flutter support] Turning network off in a datastore app crashes it.</t>
  </si>
  <si>
    <t xml:space="preserve">When a flutter datastore app loses network connection  it crashes with the errors in the attached logs_x000D_
  network on    off txt (https:  github com aws amplify amplify android files 5633220 network on   off txt)_x000D_
_x000D_
At the time the network was turned off  the mutation queue was empty _x000D_
_x000D_
Starting the app in a no network state causes these errors and bringing network back doesn t start the subscriptions _x000D_
 network off txt (https:  github com aws amplify amplify android files 5633224 network off txt)_x000D_
</t>
  </si>
  <si>
    <t>nextcloud-android-7590</t>
  </si>
  <si>
    <t>Video stream playback crash</t>
  </si>
  <si>
    <t xml:space="preserve">    Steps to reproduce_x000D_
1  open Video inside the App for streaming (not downloaded)_x000D_
_x000D_
    Expected behaviour_x000D_
  the Video should stream_x000D_
_x000D_
    Actual behaviour_x000D_
  option 1  Video streams for a few seconds then the screen turns fully black and the APP crashes _x000D_
   Option 2  Video streams if you tap the screen it turns black  it took a few seconds than the Video starts again and the the APP crashes _x000D_
_x000D_
    Can you reproduce this problem on https:  try nextcloud com  _x000D_
    Yes  i connected the test server via app password  Same result _x000D_
_x000D_
Reinstallation and  or storage space and cache  clean didn t help _x000D_
_x000D_
    Logs_x000D_
     Web server error log_x000D_
   _x000D_
not an server related issue_x000D_
   _x000D_
_x000D_
     Nextcloud log (data nextcloud log)_x000D_
   _x000D_
             CAUSE OF ERROR             _x000D_
_x000D_
android app RemoteServiceException: Context startForegroundService() did not then call Service startForeground(): ServiceRecord 854ae8d u0 com nextcloud client  media PlayerService _x000D_
	at android app ActivityThread H handleMessage(ActivityThread java:1945)_x000D_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APP INFORMATION             _x000D_
ID: com nextcloud client_x000D_
Version: 30140090_x000D_
Build flavor: generic_x000D_
_x000D_
same happens with the 3 13 1 RC2 Version_x000D_
_x000D_
             DEVICE INFORMATION             _x000D_
Brand: samsung_x000D_
Device: starlte_x000D_
Model: SM G960F_x000D_
Id: XX_x000D_
Product: starltexx_x000D_
_x000D_
same happens with another Samsung device _x000D_
_x000D_
             FIRMWARE             _x000D_
SDK: 29_x000D_
Release: 10_x000D_
Incremental: XX</t>
  </si>
  <si>
    <t>TeamNewPipe-NewPipe-5076</t>
  </si>
  <si>
    <t>Newpipe crashes after running in the background for a while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</si>
  <si>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 video playlist in the background to listen to_x000D_
2  Open another app_x000D_
3  After 5  minutes NewPipe crashes_x000D_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NewPipe crashes and gives a crash report when opened_x000D_
_x000D_
_x000D_
    Expected behavior_x000D_
     Tell us what you expect to happen     _x000D_
The video playlist continues in the background without interference_x000D_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App crash  UI failure_x000D_
    Content Country:   GB_x000D_
    Content Language:   en GB_x000D_
    App Language:   en_x000D_
    Service:   none_x000D_
    Version:   0 20 5_x000D_
    OS:   Linux Android 10   29_x000D_
 details  summary  b Crash log   b   summary  p _x000D_
_x000D_
   _x000D_
java lang NullPointerException: Attempt to invoke virtual method  char java lang String charAt(int)  on a null object reference_x000D_
	at j  util DesugarGregorianCalendar from(:1)_x000D_
	at org schabi newpipe util Localization relativeTime(Localization java:317)_x000D_
	at org schabi newpipe info list holder StreamInfoItemHolder getFormattedRelativeUploadDate(StreamInfoItemHolder java:98)_x000D_
	at org schabi newpipe info list holder StreamInfoItemHolder getStreamInfoDetailLine(StreamInfoItemHolder java:83)_x000D_
	at org schabi newpipe info list holder StreamInfoItemHolder updateFromItem(StreamInfoItemHolder java:65)_x000D_
	at org schabi newpipe info list InfoListAdapter onBindViewHolder(InfoListAdapter java:337)_x000D_
	at org schabi newpipe info list InfoListAdapter onBindViewHolder(InfoListAdapter java:360)_x000D_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java:23753)_x000D_
	at android view ViewGroup layout(ViewGroup java:7277)_x000D_
	at android widget RelativeLayout onLayout(RelativeLayout java:1103)_x000D_
	at android view View layout(View java:23753)_x000D_
	at android view ViewGroup layout(ViewGroup java:7277)_x000D_
	at androidx viewpager widget ViewPager onLayout(ViewPager java:1775)_x000D_
	at android view View layout(View java:23753)_x000D_
	at android view ViewGroup layout(ViewGroup java:7277)_x000D_
	at com google android material appbar HeaderScrollingViewBehavior layoutChild(HeaderScrollingViewBehavior java:148)_x000D_
	at com google android material appbar ViewOffsetBehavior onLayoutChild(ViewOffsetBehavior java:43)_x000D_
	at androidx coordinatorlayout widget CoordinatorLayout onLayout(CoordinatorLayout java:918)_x000D_
	at android view View layout(View java:23753)_x000D_
	at android view ViewGroup layout(ViewGroup java:7277)_x000D_
	at android widget FrameLayout layoutChildren(FrameLayout java:332)_x000D_
	at android widget FrameLayout onLayout(FrameLayout java:270)_x000D_
	at android view View layout(View java:23753)_x000D_
	at android view ViewGroup layout(ViewGroup java:7277)_x000D_
	at android widget FrameLayout layoutChildren(FrameLayout java:332)_x000D_
	at android widget FrameLayout onLayout(FrameLayout java:270)_x000D_
	at android view View layout(View java:23753)_x000D_
	at android view ViewGroup layout(ViewGroup java:7277)_x000D_
	at androidx coordinatorlayout widget CoordinatorLayout layoutChild(CoordinatorLayout java:1213)_x000D_
	at androidx coordinatorlayout widget CoordinatorLayout onLayoutChild(CoordinatorLayout java:899)_x000D_
	at com google android material bottomsheet BottomSheetBehavior onLayoutChild(BottomSheetBehavior java:414)_x000D_
	at androidx coordinatorlayout widget CoordinatorLayout onLayout(CoordinatorLayout java:918)_x000D_
	at android view View layout(View java:23753)_x000D_
	at android view ViewGroup layout(ViewGroup java:7277)_x000D_
	at androidx drawerlayout widget DrawerLayout onLayout(DrawerLayout java:1231)_x000D_
	at android view View layout(View java:23753)_x000D_
	at android view ViewGroup layout(ViewGroup java:7277)_x000D_
	at android widget FrameLayout layoutChildren(FrameLayout java:332)_x000D_
	at android widget FrameLayout onLayout(FrameLayout java:270)_x000D_
	at android view View layout(View java:23753)_x000D_
	at android view ViewGroup layout(ViewGroup java:7277)_x000D_
	at android widget LinearLayout setChildFrame(LinearLayout java:1829)_x000D_
	at android widget LinearLayout layoutVertical(LinearLayout java:1673)_x000D_
	at android widget LinearLayout onLayout(LinearLayout java:1582)_x000D_
	at android view View layout(View java:23753)_x000D_
	at android view ViewGroup layout(ViewGroup java:7277)_x000D_
	at android widget FrameLayout layoutChildren(FrameLayout java:332)_x000D_
	at android widget FrameLayout onLayout(FrameLayout java:270)_x000D_
	at android view View layout(View java:23753)_x000D_
	at android view ViewGroup layout(ViewGroup java:7277)_x000D_
	at android widget LinearLayout setChildFrame(LinearLayout java:1829)_x000D_
	at android widget LinearLayout layoutVertical(LinearLayout java:1673)_x000D_
	at android widget LinearLayout onLayout(LinearLayout java:1582)_x000D_
	at android view View layout(View java:23753)_x000D_
	at android view ViewGroup layout(ViewGroup java:7277)_x000D_
	at android widget FrameLayout layoutChildren(FrameLayout java:332)_x000D_
	at android widget FrameLayout onLayout(FrameLayout java:270)_x000D_
	at com android internal policy DecorView onLayout(DecorView java:1065)_x000D_
	at android view View layout(View java:23753)_x000D_
	at android view ViewGroup layout(ViewGroup java:7277)_x000D_
	at android view ViewRootImpl performLayout(ViewRootImpl java:3683)_x000D_
	at android view ViewRootImpl performTraversals(ViewRootImpl java:3143)_x000D_
	at android view ViewRootImpl doTraversal(ViewRootImpl java:2204)_x000D_
	at android view ViewRootImpl TraversalRunnable run(ViewRootImpl java:9069)_x000D_
	at android view Choreographer CallbackRecord run(Choreographer java:999)_x000D_
	at android view Choreographer doCallbacks(Choreographer java:797)_x000D_
	at android view Choreographer doFrame(Choreographer java:732)_x000D_
	at android view Choreographer FrameDisplayEventReceiver run(Choreographer java:984)_x000D_
	at android os Handler handleCallback(Handler java:883)_x000D_
	at android os Handler dispatchMessage(Handler java:100)_x000D_
	at android os Looper loop(Looper java:237)_x000D_
	at android app ActivityThread main(ActivityThread java:8107)_x000D_
	at java lang reflect Method invoke(Native Method)_x000D_
	at com android internal os RuntimeInit MethodAndArgsCaller run(RuntimeInit java:496)_x000D_
	at com android internal os ZygoteInit main(ZygoteInit java:1100)_x000D_
_x000D_
   _x000D_
  details _x000D_
 hr _x000D_
_x000D_
_x000D_
     Please fill this out when you do not provide a log generate by NewPipe    _x000D_
_x000D_
    Device info_x000D_
_x000D_
   Android version Custom ROM version: Android 10_x000D_
   Device model: Galaxy Tab A_x000D_
</t>
  </si>
  <si>
    <t>nextcloud-android-7589</t>
  </si>
  <si>
    <t>App crasches When working on external share (local folder)</t>
  </si>
  <si>
    <t xml:space="preserve">    Steps to reproduce_x000D_
1  Working with files on external share_x000D_
2  _x000D_
3  _x000D_
_x000D_
    Expected behaviour_x000D_
  not crashing_x000D_
_x000D_
    Actual behaviour_x000D_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CAUSE OF ERROR             _x000D_
_x000D_
android app RemoteServiceException: Context startForegroundService() did not then call Service startForeground(): ServiceRecord 70f3880 u0 com nextcloud client  media PlayerService _x000D_
	at android app ActivityThread H handleMessage(ActivityThread java:2191)_x000D_
	at android os Handler dispatchMessage(Handler java:107)_x000D_
	at android os Looper loop(Looper java:237)_x000D_
	at android app ActivityThread main(ActivityThread java:8125)_x000D_
	at java lang reflect Method invoke(Native Method)_x000D_
	at com android internal os RuntimeInit MethodAndArgsCaller run(RuntimeInit java:496)_x000D_
	at com android internal os ZygoteInit main(ZygoteInit java:1100)_x000D_
_x000D_
             APP INFORMATION             _x000D_
ID: com nextcloud client_x000D_
Version: 30140090_x000D_
Build flavor: gplay_x000D_
_x000D_
             DEVICE INFORMATION             _x000D_
Brand: samsung_x000D_
Device: starlte_x000D_
Model: SM G960F_x000D_
Id: QP1A 190711 020_x000D_
Product: starltexx_x000D_
_x000D_
             FIRMWARE             _x000D_
SDK: 29_x000D_
Release: 10_x000D_
Incremental: G960FXXSBETH2_x000D_
_x000D_
   _x000D_
  NOTE:   Be super sure to remove sensitive data like passwords  note that everybody can look here  You can use the Issue Template application to prefill some of the required information: https:  apps nextcloud com apps issuetemplate_x000D_
</t>
  </si>
  <si>
    <t>cgeo-cgeo-9488</t>
  </si>
  <si>
    <t>New crashes in current release 2020.11.22</t>
  </si>
  <si>
    <t xml:space="preserve">According to Play Console we still have a (relatively) high number of crashes in our current release  I ve filtered out those marked as  new in 2020 11 22 release  and having at least five occurrences  I ll put them into a single issue for now to get an overview and to see which ones are connected   may be split up later  if needed _x000D_
_x000D_
There are four database related crashes  and five others:_x000D_
_x000D_
   Database related_x000D_
_x000D_
This includes https:  github com cgeo cgeo issues 9087 issuecomment 736494312_x000D_
_x000D_
   _x000D_
java lang RuntimeException: _x000D_
  at android app ActivityThread handleBindApplication (ActivityThread java:5589)_x000D_
  at android app ActivityThread  wrap2 (ActivityThread java)_x000D_
  at android app ActivityThread H handleMessage (ActivityThread java:1625)_x000D_
  at android os Handler dispatchMessage (Handler java:110)_x000D_
  at android os Looper loop (Looper java:203)_x000D_
  at android app ActivityThread main (ActivityThread java:6339)_x000D_
  at java lang reflect Method invoke (Native Method)_x000D_
  at com android internal os ZygoteInit MethodAndArgsCaller run (ZygoteInit java:1084)_x000D_
  at com android internal os ZygoteInit main (ZygoteInit java:945)_x000D_
Caused by: java lang RuntimeException: _x000D_
  at cgeo geocaching storage DataStore init (DataStore java:661)_x000D_
  at cgeo geocaching storage DataStore getLists (DataStore java:3527)_x000D_
  at cgeo geocaching CgeoApplication onCreate (CgeoApplication java:55)_x000D_
  at android app Instrumentation callApplicationOnCreate (Instrumentation java:1046)_x000D_
  at android app ActivityThread handleBindApplication (ActivityThread java:5586)_x000D_
Caused by: android database sqlite SQLiteException: _x000D_
  at android database sqlite SQLiteConnection nativeOpen (Native Method)_x000D_
  at android database sqlite SQLiteConnection open (SQLiteConnection java:214)_x000D_
  at android database sqlite SQLiteConnection open (SQLiteConnection java:198)_x000D_
  at android database sqlite SQLiteConnectionPool openConnectionLocked (SQLiteConnectionPool java:463)_x000D_
  at android database sqlite SQLiteConnectionPool open (SQLiteConnectionPool java:185)_x000D_
  at android database sqlite SQLiteConnectionPool open (SQLiteConnectionPool java:177)_x000D_
  at android database sqlite SQLiteDatabase openInner (SQLiteDatabase java:843)_x000D_
  at android database sqlite SQLiteDatabase open (SQLiteDatabase java:828)_x000D_
  at android database sqlite SQLiteDatabase openDatabase (SQLiteDatabase java:721)_x000D_
  at android app ContextImpl openOrCreateDatabase (ContextImpl java:664)_x000D_
  at android content ContextWrapper openOrCreateDatabase (ContextWrapper java:289)_x000D_
  at android content ContextWrapper openOrCreateDatabase (ContextWrapper java:289)_x000D_
  at android database sqlite SQLiteOpenHelper getDatabaseLocked (SQLiteOpenHelper java:223)_x000D_
  at android database sqlite SQLiteOpenHelper getWritableDatabase (SQLiteOpenHelper java:163)_x000D_
  at cgeo geocaching storage DataStore init (DataStore java:654)_x000D_
   _x000D_
_x000D_
   _x000D_
_x000D_
   _x000D_
java lang RuntimeException: _x000D_
  at android app ActivityThread handleBindApplication (ActivityThread java:6484)_x000D_
  at android app ActivityThread access 1300 (ActivityThread java:220)_x000D_
  at android app ActivityThread H handleMessage (ActivityThread java:1860)_x000D_
  at android os Handler dispatchMessage (Handler java:107)_x000D_
  at android os Looper loop (Looper java:214)_x000D_
  at android app ActivityThread main (ActivityThread java:7397)_x000D_
  at java lang reflect Method invoke (Native Method)_x000D_
  at com android internal os RuntimeInit MethodAndArgsCaller run (RuntimeInit java:492)_x000D_
  at com android internal os ZygoteInit main (ZygoteInit java:935)_x000D_
Caused by: java lang RuntimeException: _x000D_
  at cgeo geocaching storage DataStore init (DataStore java:661)_x000D_
  at cgeo geocaching storage DataStore getLists (DataStore java:3527)_x000D_
  at cgeo geocaching CgeoApplication onCreate (CgeoApplication java:55)_x000D_
  at android app Instrumentation callApplicationOnCreate (Instrumentation java:1190)_x000D_
  at android app ActivityThread handleBindApplication (ActivityThread java:6479)_x000D_
Caused by: android database sqlite SQLiteCantOpenDatabaseException: _x000D_
  at android database sqlite SQLiteConnection nativeOpen (Native Method)_x000D_
  at android database sqlite SQLiteConnection open (SQLiteConnection java:215)_x000D_
  at android database sqlite SQLiteConnection open (SQLiteConnection java:197)_x000D_
  at android database sqlite SQLiteConnectionPool openConnectionLocked (SQLiteConnectionPool java:505)_x000D_
  at android database sqlite SQLiteConnectionPool open (SQLiteConnectionPool java:206)_x000D_
  at android database sqlite SQLiteConnectionPool open (SQLiteConnectionPool java:198)_x000D_
  at android database sqlite SQLiteDatabase openInner (SQLiteDatabase java:915)_x000D_
  at android database sqlite SQLiteDatabase open (SQLiteDatabase java:895)_x000D_
  at android database sqlite SQLiteDatabase openDatabase (SQLiteDatabase java:759)_x000D_
  at android database sqlite SQLiteDatabase openDatabase (SQLiteDatabase java:748)_x000D_
  at android database sqlite SQLiteOpenHelper getDatabaseLocked (SQLiteOpenHelper java:374)_x000D_
  at android database sqlite SQLiteOpenHelper getWritableDatabase (SQLiteOpenHelper java:317)_x000D_
  at cgeo geocaching storage DataStore init (DataStore java:654)_x000D_
   _x000D_
_x000D_
   _x000D_
_x000D_
   _x000D_
java lang RuntimeException: _x000D_
  at android app ActivityThread handleBindApplication (ActivityThread java:5845)_x000D_
  at android app ActivityThread  wrap1 (Unknown Source)_x000D_
  at android app ActivityThread H handleMessage (ActivityThread java:1668)_x000D_
  at android os Handler dispatchMessage (Handler java:105)_x000D_
  at android os Looper loop (Looper java:164)_x000D_
  at android app ActivityThread main (ActivityThread java:6610)_x000D_
  at java lang reflect Method invoke (Native Method)_x000D_
  at com android internal os Zygote MethodAndArgsCaller run (Zygote java:240)_x000D_
  at com android internal os ZygoteInit main (ZygoteInit java:767)_x000D_
Caused by: java lang RuntimeException: _x000D_
  at cgeo geocaching storage DataStore init (DataStore java:661)_x000D_
  at cgeo geocaching storage DataStore getLists (DataStore java:3527)_x000D_
  at cgeo geocaching CgeoApplication onCreate (CgeoApplication java:55)_x000D_
  at android app Instrumentation callApplicationOnCreate (Instrumentation java:1124)_x000D_
  at android app ActivityThread handleBindApplication (ActivityThread java:5842)_x000D_
Caused by: android database sqlite SQLiteCantOpenDatabaseException: _x000D_
  at android database sqlite SQLiteConnection nativeOpen (Native Method)_x000D_
  at android database sqlite SQLiteConnection open (SQLiteConnection java:211)_x000D_
  at android database sqlite SQLiteConnection open (SQLiteConnection java:195)_x000D_
  at android database sqlite SQLiteConnectionPool openConnectionLocked (SQLiteConnectionPool java:463)_x000D_
  at android database sqlite SQLiteConnectionPool open (SQLiteConnectionPool java:185)_x000D_
  at android database sqlite SQLiteConnectionPool open (SQLiteConnectionPool java:177)_x000D_
  at android database sqlite SQLiteDatabase openInner (SQLiteDatabase java:808)_x000D_
  at android database sqlite SQLiteDatabase open (SQLiteDatabase java:793)_x000D_
  at android database sqlite SQLiteDatabase openDatabase (SQLiteDatabase java:696)_x000D_
  at android app ContextImpl openOrCreateDatabase (ContextImpl java:725)_x000D_
  at android content ContextWrapper openOrCreateDatabase (ContextWrapper java:299)_x000D_
  at android content ContextWrapper openOrCreateDatabase (ContextWrapper java:299)_x000D_
  at android database sqlite SQLiteOpenHelper getDatabaseLocked (SQLiteOpenHelper java:254)_x000D_
  at android database sqlite SQLiteOpenHelper getWritableDatabase (SQLiteOpenHelper java:194)_x000D_
  at cgeo geocaching storage DataStore init (DataStore java:654)_x000D_
   _x000D_
_x000D_
   _x000D_
_x000D_
   _x000D_
java lang RuntimeException: _x000D_
  at android app ActivityThread handleBindApplication (ActivityThread java:5907)_x000D_
  at android app ActivityThread access 1200 (ActivityThread java:206)_x000D_
  at android app ActivityThread H handleMessage (ActivityThread java:1678)_x000D_
  at android os Handler dispatchMessage (Handler java:106)_x000D_
  at android os Looper loop (Looper java:193)_x000D_
  at android app ActivityThread main (ActivityThread java:6702)_x000D_
  at java lang reflect Method invoke (Native Method)_x000D_
  at com android internal os RuntimeInit MethodAndArgsCaller run (RuntimeInit java:493)_x000D_
  at com android internal os ZygoteInit main (ZygoteInit java:911)_x000D_
Caused by: java lang RuntimeException: _x000D_
  at cgeo geocaching storage DataStore init (DataStore java:661)_x000D_
  at cgeo geocaching storage DataStore getLists (DataStore java:3527)_x000D_
  at cgeo geocaching CgeoApplication onCreate (CgeoApplication java:55)_x000D_
  at android app Instrumentation callApplicationOnCreate (Instrumentation java:1154)_x000D_
  at android app ActivityThread handleBindApplication (ActivityThread java:5902)_x000D_
Caused by: android database sqlite SQLiteException: _x000D_
  at android database sqlite SQLiteConnection nativeOpen (Native Method)_x000D_
  at android database sqlite SQLiteConnection open (SQLiteConnection java:211)_x000D_
  at android database sqlite SQLiteConnection open (SQLiteConnection java:195)_x000D_
  at android database sqlite SQLiteConnectionPool openConnectionLocked (SQLiteConnectionPool java:503)_x000D_
  at android database sqlite SQLiteConnectionPool open (SQLiteConnectionPool java:204)_x000D_
  at android database sqlite SQLiteConnectionPool open (SQLiteConnectionPool java:196)_x000D_
  at android database sqlite SQLiteDatabase openInner (SQLiteDatabase java:880)_x000D_
  at android database sqlite SQLiteDatabase open (SQLiteDatabase java:865)_x000D_
  at android database sqlite SQLiteDatabase openDatabase (SQLiteDatabase java:739)_x000D_
  at android database sqlite SQLiteDatabase openDatabase (SQLiteDatabase java:729)_x000D_
  at android database sqlite SQLiteOpenHelper getDatabaseLocked (SQLiteOpenHelper java:355)_x000D_
  at android database sqlite SQLiteOpenHelper getWritableDatabase (SQLiteOpenHelper java:298)_x000D_
  at cgeo geocaching storage DataStore init (DataStore java:654)_x000D_
   _x000D_
_x000D_
_x000D_
   Other_x000D_
_x000D_
   _x000D_
java lang IllegalArgumentException: _x000D_
  at cgeo geocaching permission PermissionHandler askAgainFor (PermissionHandler java:100)_x000D_
  at cgeo geocaching MainActivity lambda onRequestPermissionsResult 2 (MainActivity java:361)_x000D_
  at cgeo geocaching    Lambda MainActivity dFvLzvNnGW3tu05mIqgaAM5ZJhQ onClick (Unknown Source:6)_x000D_
  at com android internal app AlertController ButtonHandler handleMessage (AlertController java:177)_x000D_
  at android os Handler dispatchMessage (Handler java:107)_x000D_
  at android os Looper loop (Looper java:213)_x000D_
  at android app ActivityThread main (ActivityThread java:8178)_x000D_
  at java lang reflect Method invoke (Native Method)_x000D_
  at com android internal os RuntimeInit MethodAndArgsCaller run (RuntimeInit java:513)_x000D_
  at com android internal os ZygoteInit main (ZygoteInit java:1101)_x000D_
   _x000D_
_x000D_
   _x000D_
_x000D_
   _x000D_
java lang NullPointerException: _x000D_
  at cgeo geocaching activity AbstractViewPagerActivity reinitializePage (AbstractViewPagerActivity java:270)_x000D_
  at cgeo geocaching CacheDetailActivity setNewPersonalNote (CacheDetailActivity java:2650)_x000D_
  at cgeo geocaching CacheDetailActivity onFinishEditNoteDialog (CacheDetailActivity java:2578)_x000D_
  at cgeo geocaching ui EditNoteDialog lambda onCreateDialog 1 (EditNoteDialog java:91)_x000D_
  at cgeo geocaching ui EditNoteDialog lambda onCreateDialog 1 EditNoteDialog (Unknown Source)_x000D_
  at cgeo geocaching ui    Lambda EditNoteDialog 21Wqj5hcRhEKvTHNPBOthYPs7Cw onClick (Unknown Source:4)_x000D_
  at android view View performClick (View java:7869)_x000D_
  at android view View performClickInternal (View java:7838)_x000D_
  at android view View access 3600 (View java:886)_x000D_
  at android view View PerformClick run (View java:29362)_x000D_
  at android os Handler handleCallback (Handler java:883)_x000D_
  at android os Handler dispatchMessage (Handler java:100)_x000D_
  at android os Looper loop (Looper java:237)_x000D_
  at android app ActivityThread main (ActivityThread java:8154)_x000D_
  at java lang reflect Method invoke (Native Method)_x000D_
  at com android internal os RuntimeInit MethodAndArgsCaller run (RuntimeInit java:496)_x000D_
  at com android internal os ZygoteInit main (ZygoteInit java:1100)_x000D_
   _x000D_
_x000D_
   _x000D_
_x000D_
   _x000D_
java lang NullPointerException: _x000D_
  at cgeo geocaching connector oc OkapiClient uploadPersonalNotes (OkapiClient java:421)_x000D_
  at cgeo geocaching connector oc OCApiLiveConnector uploadPersonalNote (OCApiLiveConnector java:208)_x000D_
  at cgeo geocaching CacheDetailActivity DescriptionViewCreator lambda uploadPersonalNote 6 (CacheDetailActivity java:1705)_x000D_
  at cgeo geocaching CacheDetailActivity DescriptionViewCreator lambda uploadPersonalNote 6 CacheDetailActivity DescriptionViewCreator (Unknown Source)_x000D_
  at cgeo geocaching    Lambda CacheDetailActivity DescriptionViewCreator Yj37lkBP28CDX2Xby9BH9xZ7gvE run (Unknown Source:4)_x000D_
  at io reactivex rxjava3 internal schedulers ScheduledDirectTask call (ScheduledDirectTask java:41)_x000D_
  at io reactivex rxjava3 internal schedulers ScheduledDirectTask call (ScheduledDirectTask java:28)_x000D_
  at java util concurrent FutureTask run (FutureTask java:266)_x000D_
  at java util concurrent ThreadPoolExecutor runWorker (ThreadPoolExecutor java:1167)_x000D_
  at java util concurrent ThreadPoolExecutor Worker run (ThreadPoolExecutor java:641)_x000D_
  at java lang Thread run (Thread java:919)_x000D_
   _x000D_
_x000D_
   _x000D_
_x000D_
   _x000D_
java lang NullPointerException: _x000D_
  at cgeo geocaching sensors Sensors setupDirectionObservable (Sensors java:113)_x000D_
  at cgeo geocaching settings SettingsActivity lambda initForceOrientationSensorPreference 21 (SettingsActivity java:539)_x000D_
  at cgeo geocaching settings    Lambda SettingsActivity 3HAr3ffMuFiAjvyyhCv7tZIE0RY onPreferenceChange (Unknown Source)_x000D_
  at android preference Preference callChangeListener (Preference java:1140)_x000D_
  at android preference TwoStatePreference onClick (TwoStatePreference java:73)_x000D_
  at android preference Preference performClick (Preference java:1196)_x000D_
  at android preference PreferenceScreen onItemClick (PreferenceScreen java:268)_x000D_
  at android widget AdapterView performItemClick (AdapterView java:330)_x000D_
  at android widget AbsListView performItemClick (AbsListView java:1262)_x000D_
  at android widget AbsListView PerformClick run (AbsListView java:3309)_x000D_
  at android widget AbsListView 3 run (AbsListView java:4294)_x000D_
  at android os Handler handleCallback (Handler java:900)_x000D_
  at android os Handler dispatchMessage (Handler java:103)_x000D_
  at android os Looper loop (Looper java:219)_x000D_
  at android app ActivityThread main (ActivityThread java:8347)_x000D_
  at java lang reflect Method invoke (Native Method)_x000D_
  at com android internal os RuntimeInit MethodAndArgsCaller run (RuntimeInit java:513)_x000D_
  at com android internal os ZygoteInit main (ZygoteInit java:1055)_x000D_
   _x000D_
_x000D_
   _x000D_
_x000D_
   _x000D_
java lang RuntimeException: _x000D_
  at android os AsyncTask 3 done (AsyncTask java:304)_x000D_
  at java util concurrent FutureTask finishCompletion (FutureTask java:355)_x000D_
  at java util concurrent FutureTask setException (FutureTask java:222)_x000D_
  at java util concurrent FutureTask run (FutureTask java:242)_x000D_
  at android os AsyncTask SerialExecutor 1 run (AsyncTask java:231)_x000D_
  at java util concurrent ThreadPoolExecutor runWorker (ThreadPoolExecutor java:1112)_x000D_
  at java util concurrent ThreadPoolExecutor Worker run (ThreadPoolExecutor java:587)_x000D_
  at java lang Thread run (Thread java:818)_x000D_
Caused by: java lang IllegalArgumentException: _x000D_
  at android content ContentResolver delete (ContentResolver java:1295)_x000D_
  at cgeo geocaching settings ReceiveMapFileActivity CopyTask doInBackgroundInternal (ReceiveMapFileActivity java:165)_x000D_
  at cgeo geocaching settings ReceiveMapFileActivity CopyTask doInBackgroundInternal (ReceiveMapFileActivity java:117)_x000D_
  at cgeo geocaching utils AbstractAsyncTaskWithProgress doInBackground (AbstractAsyncTaskWithProgress java:134)_x000D_
  at android os AsyncTask 2 call (AsyncTask java:292)_x000D_
  at java util concurrent FutureTask run (FutureTask java:237)_x000D_
   _x000D_
_x000D_
</t>
  </si>
  <si>
    <t>opensrp-opensrp-client-chw-1605</t>
  </si>
  <si>
    <t>App closing after submitting ANC visit</t>
  </si>
  <si>
    <t xml:space="preserve">Latest DRC production release shared (v1 0 2   build date 2 Dec 2020)_x000D_
_x000D_
Steps to replicate:_x000D_
  Locate an ANC woman with a due home visit_x000D_
  Complete and save the home visit_x000D_
  The app closes and you re returned to the device home screen  I don t think the app crashes though  because you don t have to log in again </t>
  </si>
  <si>
    <t>AOF-Dev-MCinaBox-719</t>
  </si>
  <si>
    <t>Crash MCinaBox 1.4.0-p4</t>
  </si>
  <si>
    <t xml:space="preserve">  Describe the bug  _x000D_
the game crashes after pressing the wrench  I have a phone Xiaomi Redmi Note 9_x000D_
_x000D_
  To Reproduce  _x000D_
Steps to reproduce the behavior:_x000D_
1  Go to   Minecraft _x000D_
2  Click on  Wrench _x000D_
3  Scroll down to          I didn t understand because I don t know English _x000D_
4  Game crashed  again and again _x000D_
_x000D_
  Expected behavior  _x000D_
I expected the game to start without problems _x000D_
_x000D_
  Screenshots  _x000D_
If applicable  add screenshots to help explain your problem _x000D_
_x000D_
Smartphone_x000D_
   Device:  Xiaomi Redmi Note 9 _x000D_
   OS:  Android 10QP1A 190711 020 _x000D_
   App Version  v0 1 4 p4 _x000D_
_x000D_
  Additional context  _x000D_
when you press the Wrench  the game and the application completely crashes _x000D_
_x000D_
I think it has to do with the graphics of my phone  Mali G52 MC2_x000D_
_x000D_
maybe a processor  MediaTek Helio G85 (MT6769Z)</t>
  </si>
  <si>
    <t>TeamNewPipe-NewPipe-5075</t>
  </si>
  <si>
    <t>Crash when openining NewPipe from notification bar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</si>
  <si>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I don t know how to reproduce  But it was after a delay  I tried to open NewPipe by clicking on the notification in the notification bar _x000D_
_x000D_
_x000D_
    Actual behaviour_x000D_
     Tell us what happens with the steps given above     _x000D_
_x000D_
NewPipe crashes _x000D_
_x000D_
    Expected behavior_x000D_
     Tell us what you expect to happen     _x000D_
_x000D_
NewPipe opens the main screen or the playlist screen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ui error_x000D_
    Request:   App crash  UI failure_x000D_
    Content Country:   FR_x000D_
    Content Language:   fr_x000D_
    App Language:   fr FR_x000D_
    Service:   none_x000D_
    Version:   0 20 5_x000D_
    OS:   Linux Android 10   29_x000D_
 details  summary  b Crash log   b   summary  p _x000D_
_x000D_
   _x000D_
java lang NullPointerException: Attempt to invoke virtual method  char java lang String charAt(int)  on a null object reference_x000D_
	at j  util DesugarGregorianCalendar from(:1)_x000D_
	at org schabi newpipe util Localization relativeTime(Localization java:317)_x000D_
	at org schabi newpipe info list holder StreamInfoItemHolder getFormattedRelativeUploadDate(StreamInfoItemHolder java:98)_x000D_
	at org schabi newpipe info list holder StreamInfoItemHolder getStreamInfoDetailLine(StreamInfoItemHolder java:83)_x000D_
	at org schabi newpipe info list holder StreamInfoItemHolder updateFromItem(StreamInfoItemHolder java:65)_x000D_
	at org schabi newpipe info list InfoListAdapter onBindViewHolder(InfoListAdapter java:337)_x000D_
	at org schabi newpipe info list InfoListAdapter onBindViewHolder(InfoListAdapter java:360)_x000D_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java:22466)_x000D_
	at android view ViewGroup layout(ViewGroup java:6304)_x000D_
	at android widget RelativeLayout onLayout(RelativeLayout java:1103)_x000D_
	at android view View layout(View java:22466)_x000D_
	at android view ViewGroup layout(ViewGroup java:6304)_x000D_
	at androidx viewpager widget ViewPager onLayout(ViewPager java:1775)_x000D_
	at android view View layout(View java:22466)_x000D_
	at android view ViewGroup layout(ViewGroup java:6304)_x000D_
	at android widget RelativeLayout onLayout(RelativeLayout java:1103)_x000D_
	at android view View layout(View java:22466)_x000D_
	at android view ViewGroup layout(ViewGroup java:6304)_x000D_
	at android widget FrameLayout layoutChildren(FrameLayout java:332)_x000D_
	at android widget FrameLayout onLayout(FrameLayout java:270)_x000D_
	at android view View layout(View java:22466)_x000D_
	at android view ViewGroup layout(ViewGroup java:6304)_x000D_
	at androidx coordinatorlayout widget CoordinatorLayout layoutChild(CoordinatorLayout java:1213)_x000D_
	at androidx coordinatorlayout widget CoordinatorLayout onLayoutChild(CoordinatorLayout java:899)_x000D_
	at androidx coordinatorlayout widget CoordinatorLayout onLayout(CoordinatorLayout java:919)_x000D_
	at android view View layout(View java:22466)_x000D_
	at android view ViewGroup layout(ViewGroup java:6304)_x000D_
	at androidx drawerlayout widget DrawerLayout onLayout(DrawerLayout java:1231)_x000D_
	at android view View layout(View java:22466)_x000D_
	at android view ViewGroup layout(ViewGroup java:6304)_x000D_
	at android widget FrameLayout layoutChildren(FrameLayout java:332)_x000D_
	at android widget FrameLayout onLayout(FrameLayout java:270)_x000D_
	at android view View layout(View java:22466)_x000D_
	at android view ViewGroup layout(ViewGroup java:6304)_x000D_
	at android widget LinearLayout setChildFrame(LinearLayout java:1829)_x000D_
	at android widget LinearLayout layoutVertical(LinearLayout java:1673)_x000D_
	at android widget LinearLayout onLayout(LinearLayout java:1582)_x000D_
	at android view View layout(View java:22466)_x000D_
	at android view ViewGroup layout(ViewGroup java:6304)_x000D_
	at android widget FrameLayout layoutChildren(FrameLayout java:332)_x000D_
	at android widget FrameLayout onLayout(FrameLayout java:270)_x000D_
	at android view View layout(View java:22466)_x000D_
	at android view ViewGroup layout(ViewGroup java:6304)_x000D_
	at android widget LinearLayout setChildFrame(LinearLayout java:1829)_x000D_
	at android widget LinearLayout layoutVertical(LinearLayout java:1673)_x000D_
	at android widget LinearLayout onLayout(LinearLayout java:1582)_x000D_
	at android view View layout(View java:22466)_x000D_
	at android view ViewGroup layout(ViewGroup java:6304)_x000D_
	at android widget FrameLayout layoutChildren(FrameLayout java:332)_x000D_
	at android widget FrameLayout onLayout(FrameLayout java:270)_x000D_
	at com android internal policy DecorView onLayout(DecorView java:779)_x000D_
	at android view View layout(View java:22466)_x000D_
	at android view ViewGroup layout(ViewGroup java:6304)_x000D_
	at android view ViewRootImpl performLayout(ViewRootImpl java:3157)_x000D_
	at android view ViewRootImpl performTraversals(ViewRootImpl java:2614)_x000D_
	at android view ViewRootImpl doTraversal(ViewRootImpl java:1745)_x000D_
	at android view ViewRootImpl TraversalRunnable run(ViewRootImpl java:7768)_x000D_
	at android view Choreographer CallbackRecord run(Choreographer java:967)_x000D_
	at android view Choreographer doCallbacks(Choreographer java:791)_x000D_
	at android view Choreographer doFrame(Choreographer java:726)_x000D_
	at android view Choreographer FrameDisplayEventReceiver run(Choreographer java:952)_x000D_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details _x000D_
 hr _x000D_
_x000D_
_x000D_
_x000D_
     Please fill this out when you do not provide a log generate by NewPipe    _x000D_
_x000D_
    Device info_x000D_
_x000D_
   Android version Custom ROM version: Android 10   LineageOS 17 1_x000D_
   Device model: Samsung Galaxy S5   klte_x000D_
</t>
  </si>
  <si>
    <t>ModdingFox-OpenFuraffinityClient-86</t>
  </si>
  <si>
    <t>Deleted submissions cause crash</t>
  </si>
  <si>
    <t xml:space="preserve">Found that when opening favorites management fragment that deleted submissions cause a crash  This is due to the post link being missing </t>
  </si>
  <si>
    <t>Anuken-Mindustry-3723</t>
  </si>
  <si>
    <t>Mindustry crashes while starting up</t>
  </si>
  <si>
    <t xml:space="preserve">  Platform  :  Windows 10 32 bit _x000D_
_x000D_
  Build  :  The build number under the title in the main menu  Required   LATEST  IS NOT A VERSION  I NEED THE EXACT BUILD NUMBER OF YOUR GAME  _x000D_
Version: steam build 120 2_x000D_
_x000D_
  Issue  :  Explain your issue in detail  _x000D_
Cant start up game  game closes when its loading V6  previous version i had no problems at all _x000D_
  Steps to reproduce  :  How you happened across the issue  and what exactly you did to make the bug happen  _x000D_
Starting up game  it loads till i get error message  V6  btw_x000D_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crash report 12 02 2020 17 55 07 txt (https:  github com Anuken Mindustry files 5630840 crash report 12 02 2020 17 55 07 txt)_x000D_
_x000D_
Mindustry has crashed  How unfortunate _x000D_
Report this at https:  github com Anuken Mindustry issues new labels bug template bug report md_x000D_
_x000D_
Version: steam build 120 2_x000D_
OS: Windows 10 x32_x000D_
Java Version: 1 8 0 201 1 ojdkbuild_x000D_
Java Architecture: 32_x000D_
0 Mods_x000D_
_x000D_
arc util ArcRuntimeException: Couldn t load file: sprites sprites png_x000D_
	at arc graphics Pixmap  init (Pixmap java:93)_x000D_
	at arc graphics gl FileTextureData prepare(FileTextureData java:44)_x000D_
	at arc graphics TextureData getPixmap(TextureData java:46)_x000D_
	at arc graphics g2d TextureAtlas lambda getPixmap 1(TextureAtlas java:161)_x000D_
	at arc struct ObjectMap get(ObjectMap java:316)_x000D_
	at arc graphics g2d TextureAtlas getPixmap(TextureAtlas java:161)_x000D_
	at arc graphics g2d TextureAtlas getPixmap(TextureAtlas java:156)_x000D_
	at mindustry game Schematics lambda new 2(Schematics java:75)_x000D_
	at arc Events lambda fire 2(Events java:30)_x000D_
	at arc struct Seq each(Seq java:200)_x000D_
	at arc Events fire(Events java:30)_x000D_
	at arc Events fire(Events java:25)_x000D_
	at mindustry ClientLauncher update(ClientLauncher java:146)_x000D_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Caused by: java io IOException: Error loading pixmap: Corrupt JPEG_x000D_
	at arc graphics Pixmap NativePixmap  init (Pixmap java:596)_x000D_
	at arc graphics Pixmap  init (Pixmap java:91)_x000D_
	    16 more_x000D_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</si>
  <si>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nextcloud-android-7582</t>
  </si>
  <si>
    <t>Error when play remote video</t>
  </si>
  <si>
    <t xml:space="preserve">    Steps to reproduce_x000D_
1  Bitrate 50Mb s_x000D_
_x000D_
_x000D_
    Expected behaviour_x000D_
  Tell us what should happen_x000D_
_x000D_
    Actual behaviour_x000D_
App random crashes when play high bitrate video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CAUSE OF ERROR             _x000D_
_x000D_
android app RemoteServiceException: Context startForegroundService() did not then call Service startForeground(): ServiceRecord 28cd151 u0 com nextcloud client  media PlayerService _x000D_
	at android app ActivityThread H handleMessage(ActivityThread java:2188)_x000D_
	at android os Handler dispatchMessage(Handler java:107)_x000D_
	at android os Looper loop(Looper java:237)_x000D_
	at android app ActivityThread main(ActivityThread java:8154)_x000D_
	at java lang reflect Method invoke(Native Method)_x000D_
	at com android internal os RuntimeInit MethodAndArgsCaller run(RuntimeInit java:496)_x000D_
	at com android internal os ZygoteInit main(ZygoteInit java:1100)_x000D_
_x000D_
             APP INFORMATION             _x000D_
ID: com nextcloud client_x000D_
Version: 30140090_x000D_
Build flavor: gplay_x000D_
_x000D_
             DEVICE INFORMATION             _x000D_
Brand: samsung_x000D_
Device: y2s_x000D_
Model: SM G986B_x000D_
Id: QP1A 190711 020_x000D_
Product: y2sxeea_x000D_
_x000D_
             FIRMWARE             _x000D_
SDK: 29_x000D_
Release: 10_x000D_
Incremental: G986BXXS4BTHH_x000D_
</t>
  </si>
  <si>
    <t>microg-GmsCore-1296</t>
  </si>
  <si>
    <t>Crash when running 'Self-Check'</t>
  </si>
  <si>
    <t xml:space="preserve">  Describe the bug  _x000D_
When I run microG Settings and try to do the Self Check the app crashes _x000D_
_x000D_
  To Reproduce  _x000D_
Steps to reproduce the behavior:_x000D_
1  Installed crDroid and MinMicroG Standard_x000D_
2  Open microG settings_x000D_
3  Tap on Self Check_x000D_
_x000D_
  Expected behavior  _x000D_
No crash_x000D_
_x000D_
  System  _x000D_
Android Version: 11_x000D_
Custom ROM: crDroid 7_x000D_
_x000D_
  Additional context  _x000D_
microG version 0 2 14 204215_x000D_
</t>
  </si>
  <si>
    <t>Anuken-Mindustry-3704</t>
  </si>
  <si>
    <t>Game Crashes Randomly</t>
  </si>
  <si>
    <t xml:space="preserve">  Platform  :  Windows _x000D_
_x000D_
  Build  :  Release Build 120 _x000D_
_x000D_
  Issue  : Crash when open some game mode  like campaign or custom _x000D_
_x000D_
  Steps to reproduce  : Sometimes when I click on campaign and choose where I want to go and click  Launch  the game crashes  Can happen in custom mode too  not that often _x000D_
_x000D_
  Link(s) to mod(s) used  : No mods  fresh install _x000D_
_x000D_
  Save file  : No saves when crash _x000D_
_x000D_
  Crash report  : A hs pid error (one appears when I close normally for some reason) _x000D_
 hs err pid7596 log (https:  github com Anuken Mindustry files 5624794 hs err pid7596 log)_x000D_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_x000D_
 Edit: Explained with more details </t>
  </si>
  <si>
    <t>nextcloud-android-7577</t>
  </si>
  <si>
    <t>Gplay app crash: webm browse</t>
  </si>
  <si>
    <t xml:space="preserve">    Steps to reproduce_x000D_
1  Try to browse webm files in the app  swiping left and right_x000D_
2  Get a few webms  then crash with the report at the bottom of this issue_x000D_
_x000D_
    Expected behaviour_x000D_
  no crash_x000D_
_x000D_
    Actual behaviour_x000D_
  crash_x000D_
 this app was recently updated  before  I didn t have any problems with the same files  Server version same between upgrades _x000D_
_x000D_
    Environment data_x000D_
See the log at the end_x000D_
_x000D_
             CAUSE OF ERROR             _x000D_
_x000D_
android app RemoteServiceException: Context startForegroundService() did not then call Service startForeground(): ServiceRecord d3b044b u0 com nextcloud client  media PlayerService _x000D_
	at android app ActivityThread H handleMessage(ActivityThread java:1906)_x000D_
	at android os Handler dispatchMessage(Handler java:106)_x000D_
	at android os Looper loop(Looper java:193)_x000D_
	at android app ActivityThread main(ActivityThread java:6936)_x000D_
	at java lang reflect Method invoke(Native Method)_x000D_
	at com android internal os RuntimeInit MethodAndArgsCaller run(RuntimeInit java:493)_x000D_
	at com android internal os ZygoteInit main(ZygoteInit java:870)_x000D_
_x000D_
             APP INFORMATION             _x000D_
ID: com nextcloud client_x000D_
Version: 30140090_x000D_
Build flavor: gplay_x000D_
_x000D_
             DEVICE INFORMATION             _x000D_
Brand: motorola_x000D_
Device: messi_x000D_
Model: moto z3_x000D_
Id: PDXS29 84 51 11 5_x000D_
Product: messi verizon_x000D_
_x000D_
             FIRMWARE             _x000D_
SDK: 28_x000D_
Release: 9_x000D_
Incremental: c69ad_x000D_
</t>
  </si>
  <si>
    <t>Anuken-Mindustry-3703</t>
  </si>
  <si>
    <t>Importing zip mods doesn't work</t>
  </si>
  <si>
    <t xml:space="preserve">  Platform  :  Android iOS Mac Windows Linux _x000D_
_x000D_
Android_x000D_
_x000D_
  Build  :  The build number under the title in the main menu  Required   LATEST  IS NOT A VERSION  I NEED THE EXACT BUILD NUMBER OF YOUR GAME  _x000D_
_x000D_
build 120_x000D_
_x000D_
  Issue  :  Explain your issue in detail  _x000D_
_x000D_
Pressing  import file  and selecting a zip file  then restarting the game to reload removes the mod _x000D_
Importing from github works _x000D_
_x000D_
  Steps to reproduce  :  How you happened across the issue  and what exactly you did to make the bug happen  _x000D_
_x000D_
1  get a zip mod_x000D_
2  open mindustry_x000D_
3  press mods_x000D_
4  press import_x000D_
5  press import file_x000D_
6  locate and select the zip_x000D_
7  see that the mod is imported_x000D_
8  press back_x000D_
9  say  ok  to the  game will quit to reload mods  dialog_x000D_
10  open the game_x000D_
11  open the mods menu_x000D_
12  see that the mod is nowhere to be seen_x000D_
13  look at the mods folder and see nothing there_x000D_
_x000D_
  Link(s) to mod(s) used  :  The mod repositories or zip files that are related to the issue  if applicable  _x000D_
_x000D_
any mod will do the same thing  i tried with a couple of mods_x000D_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happens on a fresh save_x000D_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_x000D_
no crashes happening_x000D_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</si>
  <si>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Anuken-Mindustry-3702</t>
  </si>
  <si>
    <t xml:space="preserve">  Platform  :  Win 10 x64 _x000D_
_x000D_
  Build  :  120  _x000D_
_x000D_
  Issue  :  I wanted to trace a player _x000D_
_x000D_
  Steps to reproduce  :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report  :  _x000D_
Mindustry has crashed  How unfortunate _x000D_
Version: steam build 120_x000D_
OS: Windows 10 x64_x000D_
Java Version: 1 8 0 72_x000D_
Java Architecture: 64_x000D_
18 Mods: dev mode:2 3 1  rtfm:2 10 4                       :1  boss constructors:0 1  cheat block:1  cobalt mod:1 0  example mod:1  hacker tools:2 0 0  multi lib:1 4 7  opore mod:63  shadow mod:1 09 4  stalloblast:3 1  steam power:1 6  xelos pixel texturepack:0 2 2  xzimur noisetech:4 b 104 10  diamond ore:  9cb6f4 2 0 2    goldmod:2 0 alpha b4  routorio:2 34 5_x000D_
_x000D_
java lang NullPointerException_x000D_
	at mindustry core NetServer adminRequest(NetServer java:709)_x000D_
	at mindustry gen Call adminRequest(Call java:34)_x000D_
	at mindustry ui fragments PlayerListFragment lambda rebuild 20(PlayerListFragment java:144)_x000D_
	at arc scene Element lambda clicked 2(Element java:902)_x000D_
	at arc scene Element 4 clicked(Element java:911)_x000D_
	at arc scene event ClickListener touchUp(ClickListener java:77)_x000D_
	at arc scene event InputListener handle(InputListener java:34)_x000D_
	at arc scene Scene touchUp(Scene java:342)_x000D_
	at arc input InputMultiplexer touchUp(InputMultiplexer java:137)_x000D_
	at arc input InputEventQueue drain(InputEventQueue java:71)_x000D_
	at arc backend sdl SdlInput update(SdlInput java:102)_x000D_
	at arc backend sdl SdlApplication loop(SdlApplication java:143)_x000D_
	at arc backend sdl SdlApplication  init (SdlApplication java:43)_x000D_
	at mindustry desktop DesktopLauncher main(DesktopLauncher java:36)_x000D_
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</si>
  <si>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Anuken-Mindustry-3695</t>
  </si>
  <si>
    <t>Crash while loading</t>
  </si>
  <si>
    <t xml:space="preserve">  Platform  : Windows 32bit_x000D_
_x000D_
  Build  : release build 120_x000D_
_x000D_
  Issue  : Every time i try to start the game i get a  out of memory  crash message_x000D_
_x000D_
  Steps to reproduce  : i just start the game  i don t have a lot of ram  2 9gb available in total used mostly by the windows malware program that i can t turn off  it might have to do with it  but when i tried the alpha version 1 time i got it working and when it loaded at first it just worked fine_x000D_
_x000D_
  Link(s) to mod(s) used  : none_x000D_
_x000D_
_x000D_
  Crash report  : Version: release build 120_x000D_
OS: Windows 10 x32_x000D_
Java Version: 1 8 0 201 1 ojdkbuild_x000D_
Java Architecture: 32_x000D_
0 Mods_x000D_
_x000D_
arc util ArcRuntimeException: arc util ArcRuntimeException: Couldn t load dependencies of asset: sprites sprites png_x000D_
	at arc assets AssetManager handleTaskError(AssetManager java:670)_x000D_
	at arc assets AssetManager update(AssetManager java:442)_x000D_
	at arc assets AssetManager update(AssetManager java:465)_x000D_
	at mindustry ClientLauncher update(ClientLauncher java:137)_x000D_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Caused by: arc util ArcRuntimeException: Couldn t load dependencies of asset: sprites sprites png_x000D_
	at arc assets AssetLoadingTask handleAsyncLoader(AssetLoadingTask java:105)_x000D_
	at arc assets AssetLoadingTask update(AssetLoadingTask java:74)_x000D_
	at arc assets AssetManager updateTask(AssetManager java:591)_x000D_
	at arc assets AssetManager update(AssetManager java:440)_x000D_
	    6 more_x000D_
Caused by: arc util ArcRuntimeException: arc util ArcRuntimeException: Couldn t load file: sprites sprites png_x000D_
	at arc util async AsyncResult get(AsyncResult java:34)_x000D_
	at arc assets AssetLoadingTask handleAsyncLoader(AssetLoadingTask java:103)_x000D_
	    9 more_x000D_
Caused by: arc util ArcRuntimeException: Couldn t load file: sprites sprites png_x000D_
	at arc graphics Pixmap  init (Pixmap java:93)_x000D_
	at arc graphics TextureData Factory loadFromFile(TextureData java:96)_x000D_
	at arc assets loaders TextureLoader loadAsync(TextureLoader java:38)_x000D_
	at arc assets loaders TextureLoader loadAsync(TextureLoader java:17)_x000D_
	at arc assets AssetLoadingTask call(AssetLoadingTask java:53)_x000D_
	at arc assets AssetLoadingTask call(AssetLoadingTask java:17)_x000D_
	at java util concurrent FutureTask run(FutureTask java:266)_x000D_
	at java util concurrent ThreadPoolExecutor runWorker(ThreadPoolExecutor java:1149)_x000D_
	at java util concurrent ThreadPoolExecutor Worker run(ThreadPoolExecutor java:624)_x000D_
	at java lang Thread run(Thread java:748)_x000D_
Caused by: java io IOException: Error loading pixmap: Out of memory_x000D_
	at arc graphics Pixmap NativePixmap  init (Pixmap java:596)_x000D_
	at arc graphics Pixmap  init (Pixmap java:91)_x000D_
	    9 more_x000D_
 crash report 12 01 2020 16 33 07 txt (https:  github com Anuken Mindustry files 5623769 crash report 12 01 2020 16 33 07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</si>
  <si>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Anuken-Mindustry-3694</t>
  </si>
  <si>
    <t>LAUNCH PADS NOT LAUNCHING BETWEEN SECTORS AS I PLAY</t>
  </si>
  <si>
    <t xml:space="preserve">_x000D_
  Platform  :  Android iOS Mac Windows Linux  Android_x000D_
_x000D_
  Build  :  The build number under the title in the main menu  Required   LATEST  IS NOT A VERSION  I NEED THE EXACT BUILD NUMBER OF YOUR GAME   Build 120_x000D_
_x000D_
  Issue  :  Explain your issue in detail  The resources are not launching between sectors using launchpads even when playing on a sector _x000D_
_x000D_
  Steps to reproduce  :  How you happened across the issue  and what exactly you did to make the bug happen   I have this sector 101 that has a plane logo  this sector is modded with hackustry back in beta days but it is turned off while I am playing when I encountered this bug since I used it once  while the other sectors are completely clean  Lately  I updated my game to build 120 and started a new sector to capture  What I always do as I capture a sector is  I start the sector   I go to the sector 101   I click the launch pad the select the sector destination   I go back to that sector destination and wait for resources to go to core and fill it  so I can jumpstart my progress  But it didn t go as I expected  because before I updated to 120  it is working fine  but it is now stopped working and I assume it is a bug of the new update  The bugged sector is 153  near planetary launch terminal _x000D_
_x000D_
  Link(s) to mod(s) used  :  The mod repositories or zip files that are related to the issue  if applicable   https:  github com QmelZ Hackustry_x000D_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DEC 1 2020 zip (https:  github com Anuken Mindustry files 5623683 DEC 1 2020 zip)_x000D_
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</si>
  <si>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Anuken-Mindustry-3693</t>
  </si>
  <si>
    <t>windows 7 Previously v5 was running, but v6 is not running...</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</si>
  <si>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</si>
  <si>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Anuken-Mindustry-3690</t>
  </si>
  <si>
    <t xml:space="preserve">Borderless setting misalignment </t>
  </si>
  <si>
    <t xml:space="preserve">  Platform  : Windows_x000D_
_x000D_
  Build  : 120_x000D_
_x000D_
  Issue  : Borderless setting isn t properly aligned compared to fullscreen _x000D_
Fullscreen: https:  i imgur com OcI0uMN png_x000D_
Borderless: https:  i imgur com ndQg2Yr png_x000D_
_x000D_
  Steps to reproduce  : Compare borderless setting to fullscreen _x000D_
_x000D_
  Link(s) to mod(s) used  : None _x000D_
_x000D_
  Save file  : It s a setting from main menu so no save _x000D_
_x000D_
  Crash report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</si>
  <si>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TeamNewPipe-NewPipe-5055</t>
  </si>
  <si>
    <t>Importing database with a random zip file crashes NewPipe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</si>
  <si>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Re install NewPipe or Clear Data from android settings_x000D_
2  Go to Settings    Content    Import database_x000D_
3  Select any random zip file (Not NewPipe exported database)_x000D_
4  Agree when asked to override your current setup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NewPipe crashes _x000D_
_x000D_
    Expected behavior_x000D_
     Tell us what you expect to happen     _x000D_
_x000D_
Not crash and preferably show a toast saying  Invalid NewPipe Database 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App crash  UI failure_x000D_
    Content Country:   GB_x000D_
    Content Language:   en GB_x000D_
    App Language:   en GB_x000D_
    Service:   none_x000D_
    Version:   0 20 5_x000D_
    OS:   Linux Android 6 0 1   23_x000D_
 details  summary  b Crash log   b   summary  p _x000D_
_x000D_
   _x000D_
java lang NullPointerException: Attempt to invoke virtual method  char java lang String charAt(int)  on a null object reference_x000D_
	at j  util DesugarGregorianCalendar from(:1)_x000D_
	at org schabi newpipe util Localization relativeTime(Localization java:317)_x000D_
	at org schabi newpipe info list holder StreamInfoItemHolder getFormattedRelativeUploadDate(StreamInfoItemHolder java:98)_x000D_
	at org schabi newpipe info list holder StreamInfoItemHolder getStreamInfoDetailLine(StreamInfoItemHolder java:83)_x000D_
	at org schabi newpipe info list holder StreamInfoItemHolder updateFromItem(StreamInfoItemHolder java:65)_x000D_
	at org schabi newpipe info list InfoListAdapter onBindViewHolder(InfoListAdapter java:337)_x000D_
	at org schabi newpipe info list InfoListAdapter onBindViewHolder(InfoListAdapter java:360)_x000D_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java:18010)_x000D_
	at android view ViewGroup layout(ViewGroup java:5817)_x000D_
	at android widget RelativeLayout onLayout(RelativeLayout java:1080)_x000D_
	at android view View layout(View java:18010)_x000D_
	at android view ViewGroup layout(ViewGroup java:5817)_x000D_
	at androidx viewpager widget ViewPager onLayout(ViewPager java:1775)_x000D_
	at android view View layout(View java:18010)_x000D_
	at android view ViewGroup layout(ViewGroup java:5817)_x000D_
	at android widget RelativeLayout onLayout(RelativeLayout java:1080)_x000D_
	at android view View layout(View java:18010)_x000D_
	at android view ViewGroup layout(ViewGroup java:5817)_x000D_
	at android widget FrameLayout layoutChildren(FrameLayout java:344)_x000D_
	at android widget FrameLayout onLayout(FrameLayout java:281)_x000D_
	at android view View layout(View java:18010)_x000D_
	at android view ViewGroup layout(ViewGroup java:5817)_x000D_
	at androidx coordinatorlayout widget CoordinatorLayout layoutChild(CoordinatorLayout java:1213)_x000D_
	at androidx coordinatorlayout widget CoordinatorLayout onLayoutChild(CoordinatorLayout java:899)_x000D_
	at androidx coordinatorlayout widget CoordinatorLayout onLayout(CoordinatorLayout java:919)_x000D_
	at android view View layout(View java:18010)_x000D_
	at android view ViewGroup layout(ViewGroup java:5817)_x000D_
	at androidx drawerlayout widget DrawerLayout onLayout(DrawerLayout java:1231)_x000D_
	at android view View layout(View java:18010)_x000D_
	at android view ViewGroup layout(ViewGroup java:5817)_x000D_
	at android widget FrameLayout layoutChildren(FrameLayout java:344)_x000D_
	at android widget FrameLayout onLayout(FrameLayout java:281)_x000D_
	at android view View layout(View java:18010)_x000D_
	at android view ViewGroup layout(ViewGroup java:5817)_x000D_
	at android widget LinearLayout setChildFrame(LinearLayout java:1742)_x000D_
	at android widget LinearLayout layoutVertical(LinearLayout java:1585)_x000D_
	at android widget LinearLayout onLayout(LinearLayout java:1494)_x000D_
	at android view View layout(View java:18010)_x000D_
	at android view ViewGroup layout(ViewGroup java:5817)_x000D_
	at android widget FrameLayout layoutChildren(FrameLayout java:344)_x000D_
	at android widget FrameLayout onLayout(FrameLayout java:281)_x000D_
	at android view View layout(View java:18010)_x000D_
	at android view ViewGroup layout(ViewGroup java:5817)_x000D_
	at android widget LinearLayout setChildFrame(LinearLayout java:1742)_x000D_
	at android widget LinearLayout layoutVertical(LinearLayout java:1585)_x000D_
	at android widget LinearLayout onLayout(LinearLayout java:1494)_x000D_
	at android view View layout(View java:18010)_x000D_
	at android view ViewGroup layout(ViewGroup java:5817)_x000D_
	at android widget FrameLayout layoutChildren(FrameLayout java:344)_x000D_
	at android widget FrameLayout onLayout(FrameLayout java:281)_x000D_
	at com android internal policy PhoneWindow DecorView onLayout(PhoneWindow java:3175)_x000D_
	at android view View layout(View java:18010)_x000D_
	at android view ViewGroup layout(ViewGroup java:5817)_x000D_
	at android view ViewRootImpl performLayout(ViewRootImpl java:2776)_x000D_
	at android view ViewRootImpl performTraversals(ViewRootImpl java:2477)_x000D_
	at android view ViewRootImpl doTraversal(ViewRootImpl java:1544)_x000D_
	at android view ViewRootImpl TraversalRunnable run(ViewRootImpl java:7607)_x000D_
	at android view Choreographer CallbackRecord run(Choreographer java:911)_x000D_
	at android view Choreographer doCallbacks(Choreographer java:686)_x000D_
	at android view Choreographer doFrame(Choreographer java:622)_x000D_
	at android view Choreographer FrameDisplayEventReceiver run(Choreographer java:897)_x000D_
	at android os Handler handleCallback(Handler java:739)_x000D_
	at android os Handler dispatchMessage(Handler java:95)_x000D_
	at android os Looper loop(Looper java:148)_x000D_
	at android app ActivityThread main(ActivityThread java:7402)_x000D_
	at java lang reflect Method invoke(Native Method)_x000D_
	at com android internal os ZygoteInit MethodAndArgsCaller run(ZygoteInit java:1230)_x000D_
	at com android internal os ZygoteInit main(ZygoteInit java:1120)_x000D_
_x000D_
   _x000D_
  details _x000D_
 hr _x000D_
_x000D_
_x000D_
     Please fill this out when you do not provide a log generate by NewPipe    _x000D_
_x000D_
    Device info_x000D_
_x000D_
   Android version Custom ROM version: Android 6 0 1_x000D_
   Device model: Samsung SM G550FY_x000D_
_x000D_
    Additional Context_x000D_
_x000D_
This happened when accidentally selecting a random zip file instead of NewPipe database zip _x000D_
_x000D_
I further tried selecting other file types  but NewPipe handled it with a toast  No valid ZIP file  _x000D_
</t>
  </si>
  <si>
    <t>nextcloud-android-7573</t>
  </si>
  <si>
    <t>Crash when attempting to play movie</t>
  </si>
  <si>
    <t xml:space="preserve">    Steps to reproduce_x000D_
1  Opened video file_x000D_
2  _x000D_
3  _x000D_
_x000D_
    Expected behaviour_x000D_
  video played_x000D_
_x000D_
    Actual behaviour_x000D_
  crash:_x000D_
_x000D_
             CAUSE OF ERROR             _x000D_
_x000D_
android app RemoteServiceException: Context startForegroundService() did not then call Service startForeground(): ServiceRecord 7fcb03a u0 com nextcloud client  media PlayerService _x000D_
	at android app ActivityThread H handleMessage(ActivityThread java:2038)_x000D_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30140090_x000D_
Build flavor: gplay_x000D_
_x000D_
             DEVICE INFORMATION             _x000D_
Brand: OnePlus_x000D_
Device: OnePlus6TSingle_x000D_
Model: ONEPLUS A6013_x000D_
Id: QKQ1 190716 003_x000D_
Product: OnePlus6TSingle_x000D_
_x000D_
             FIRMWARE             _x000D_
SDK: 29_x000D_
Release: 10_x000D_
Incremental: 2009292145_x000D_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</si>
  <si>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TeamNewPipe-NewPipe-5054</t>
  </si>
  <si>
    <t>Crash (error) attempting to play videos from specific peertube instances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</si>
  <si>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5      Check https:  github com TeamNewPipe NewPipe releases    _x000D_
   x  I checked  but didn t find any duplicates (open OR closed) of this issue in the repo       Seriously  check  O O     I searched for  peertube  in both open and closed issues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Go to Settings   Content   PeerTube instances_x000D_
2   Try to add  diode zone_x000D_
3  Browse recently added videos (for example) in diode zone and try to play any video such as https:  diode zone videos watch 25e90ea7 a0cc 47c3 b59a c1e2a096bbe8_x000D_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Error : could not parse website_x000D_
_x000D_
_x000D_
    Expected behavior_x000D_
     Tell us what you expect to happen     _x000D_
Video info loads and video starts playing_x000D_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diode zone videos watch 25e90ea7 a0cc 47c3 b59a c1e2a096bbe8_x000D_
    Content Country:   GB_x000D_
    Content Language:   en GB_x000D_
    App Language:   en_x000D_
    Service:   PeerTube_x000D_
    Version:   0 20 5_x000D_
    OS:   Linux Android 9   28_x000D_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java:117)_x000D_
	at org schabi newpipe util    Lambda ExtractorHelper YTHJjScxCJNO1LTCqs3IKy35iyY call(Unknown Source:4)_x000D_
	at io reactivex rxjava3 internal operators single SingleFromCallable subscribeActual(SingleFromCallable java:43)_x000D_
	at io reactivex rxjava3 core Single subscribe(Single java:4813)_x000D_
	at io reactivex rxjava3 internal operators single SingleDoOnSuccess subscribeActual(SingleDoOnSuccess java:35)_x000D_
	at io reactivex rxjava3 core Single subscribe(Single java:4813)_x000D_
	at io reactivex rxjava3 internal operators maybe MaybeFromSingle subscribeActual(MaybeFromSingle java:41)_x000D_
	at io reactivex rxjava3 core Maybe subscribe(Maybe java:5330)_x000D_
	at io reactivex rxjava3 internal operators maybe MaybeConcatArray ConcatMaybeObserver drain(MaybeConcatArray java:153)_x000D_
	at io reactivex rxjava3 internal operators maybe MaybeConcatArray ConcatMaybeObserver request(MaybeConcatArray java:78)_x000D_
	at io reactivex rxjava3 internal operators flowable FlowableElementAtMaybe ElementAtSubscriber onSubscribe(FlowableElementAtMaybe java:66)_x000D_
	at io reactivex rxjava3 internal operators maybe MaybeConcatArray subscribeActual(MaybeConcatArray java:42)_x000D_
	at io reactivex rxjava3 core Flowable subscribe(Flowable java:15753)_x000D_
	at io reactivex rxjava3 internal operators flowable FlowableElementAtMaybe subscribeActual(FlowableElementAtMaybe java:36)_x000D_
	at io reactivex rxjava3 core Maybe subscribe(Maybe java:5330)_x000D_
	at io reactivex rxjava3 internal operators maybe MaybeToSingle subscribeActual(MaybeToSingle java:46)_x000D_
	at io reactivex rxjava3 core Single subscribe(Single java:4813)_x000D_
	at io reactivex rxjava3 internal operators single SingleSubscribeOn SubscribeOnObserver run(SingleSubscribeOn java:89)_x000D_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_x000D_
_x000D_
     Please fill this out when you do not provide a log generate by NewPipe    _x000D_
_x000D_
    Device info_x000D_
_x000D_
   Android version Custom ROM version: android version 9_x000D_
   Device model: pixel 2_x000D_
</t>
  </si>
  <si>
    <t>ElderDrivers-EdXposed-700</t>
  </si>
  <si>
    <t>[BUG] 0.5.0.6_4586 模块无效</t>
  </si>
  <si>
    <t xml:space="preserve">       What happened   _x000D_
     _x000D_
Riru      log    _x000D_
Riru v23 0 (47  API v10) is in use _x000D_
Hide is disabled _x000D_
_x000D_
Native methods:_x000D_
nativeForkAndSpecialize: ok_x000D_
nativeSpecializeAppProcess: ok_x000D_
nativeForkSystemServer: ok_x000D_
_x000D_
Loaded modules:_x000D_
6671:  v0 5 0 6 4586 master  (4586)  api v9  support hide_x000D_
ifw enhance: v5 (5)  api v9  support hide_x000D_
storage redirect: v23 1 (51)  api v10  support hide_x000D_
_x000D_
File contents:_x000D_
 data adb riru dev random: SF042dF_x000D_
 dev riru SF042dF api: 10_x000D_
 dev riru SF042dF hide: false_x000D_
 dev riru SF042dF version: 47_x000D_
 dev riru SF042dF version name: v23 0_x000D_
nativeForkAndSpecialize: true_x000D_
(II II  IILjava lang String IILjava lang String  I IZLjava lang String Ljava lang String )I_x000D_
nativeSpecializeAppProcess: true_x000D_
(II II  IILjava lang String IILjava lang String ZLjava lang String Ljava lang String )V_x000D_
nativeForkSystemServer: true_x000D_
(II IIII  IJJ)I_x000D_
 dev riru SF042dF modules 6671 version name:  v0 5 0 6 4586 master _x000D_
 dev riru SF042dF modules 6671 version: 4586_x000D_
 dev riru SF042dF modules 6671 api: 9_x000D_
 dev riru SF042dF modules 6671 hide: true_x000D_
 dev riru SF042dF modules ifw enhance version name: v5_x000D_
 dev riru SF042dF modules ifw enhance version: 5_x000D_
 dev riru SF042dF modules ifw enhance api: 9_x000D_
 dev riru SF042dF modules ifw enhance hide: true_x000D_
 dev riru SF042dF modules storage redirect version name: v23 1_x000D_
 dev riru SF042dF modules storage redirect version: 51_x000D_
 dev riru SF042dF modules storage redirect api: 10_x000D_
 dev riru SF042dF modules storage redirect hide: true_x000D_
_x000D_
   Samsung Galaxy Note 10 plus (SM N9750)_x000D_
   Android 10 (One UI 2 5)_x000D_
_x000D_
_x000D_
  Xposed     Xposed Module List  _x000D_
_x000D_
EdXposedManager_x000D_
GravityBox Q _x000D_
GodMode_x000D_
_x000D_
_x000D_
  Magisk     Magisk Module List  _x000D_
Magisk 21 1_x000D_
Bluetooth Library Patcher v2 2_x000D_
Busybox for Android NDK 1 31 1_x000D_
Debloater(Terminal Emulator) v17 3 3_x000D_
MagiskHide Props Config v5 3 6 v109_x000D_
Riru v23 0_x000D_
Riru Edxposed v0 5 0 6 4586 master (YAHFA)_x000D_
Riru Enchanced mode for Storage Isolation v23 1 _x000D_
Riru IFW Enhance v5_x000D_
Systemless Hosts 1 0_x000D_
_x000D_
  EdXposed Riru   Versions of EdXposed and Riru  _x000D_
_x000D_
EdXposed:_x000D_
v0 5 0 6 4586 master (YAHFA)_x000D_
_x000D_
Riru:_x000D_
Riru v23 0(47  API v10)_x000D_
    Logcat Logcat  _x000D_
_x000D_
          beginning of head_x000D_
EdXposed Log_x000D_
Powered by Log Catcher_x000D_
QQ support group: 855219808_x000D_
Telegram support group:  Code Of MeowCat_x000D_
Telegram channel:  EdXposed_x000D_
          beginning of information_x000D_
Manufacturer: samsung_x000D_
Brand: samsung_x000D_
Device: d2q_x000D_
Product: d2q_x000D_
Model: SM N9750_x000D_
Fingerprint: samsung d2qzh d2q:10 QP1A 190711 020 N9750ZSU3DTK1:user release keys_x000D_
ROM description: d2qzh user 10 QP1A 190711 020 N9750ZSU3DTK1 release keys_x000D_
Architecture: arm64 v8a_x000D_
Android build: QP1A 190711 020_x000D_
Android version: 10_x000D_
Android sdk: 29_x000D_
EdXposed version: v0 5 0 6 4586 master (YAHFA)_x000D_
EdXposed api: 91 0_x000D_
Riru version:  ()_x000D_
Riru api: 10_x000D_
Magisk: 21 1 (21100)_x000D_
          beginning of main_x000D_
          beginning of system_x000D_
12 01 16:32:44 371   927   927 I EdXposed: onModuleLoaded: welcome to EdXposed _x000D_
12 01 16:32:44 371   927   927 I EdXposed: Start to install inline hooks_x000D_
12 01 16:32:44 371   927   927 I EdXposed: Using api level 29_x000D_
12 01 16:32:44 371   927   927 I EdXposed: Start to install Riru hook_x000D_
12 01 16:32:44 387   927   927 I EdXposed: Riru hooks installed_x000D_
12 01 16:32:44 393   928   928 I EdXposed: onModuleLoaded: welcome to EdXposed _x000D_
12 01 16:32:44 393   928   928 I EdXposed: Start to install inline hooks_x000D_
12 01 16:32:44 393   928   928 I EdXposed: Using api level 29_x000D_
12 01 16:32:44 393   928   928 I EdXposed: Start to install Riru hook_x000D_
12 01 16:32:44 398   927   927 I EdXposed: updating config data paths from 0 to 0   _x000D_
12 01 16:32:44 399   927   927 E EdXposed: filesystem error: in posix stat: failed to determine attributes for the specified path: Permission denied   data user de 0 org meowcat edxposed manager _x000D_
12 01 16:32:44 399   927   927 E EdXposed: no supported installer app found  using default: org meowcat edxposed manager_x000D_
12 01 16:32:44 399   927   927 E EdXposed: filesystem error: in posix stat: failed to determine attributes for the specified path: Permission denied   data user de 0 org meowcat edxposed manager conf dynamicmodules _x000D_
12 01 16:32:44 399   927   927 E EdXposed: filesystem error: in posix stat: failed to determine attributes for the specified path: Permission denied   data user de 0 org meowcat edxposed manager conf blackwhitelist _x000D_
12 01 16:32:44 399   927   927 E EdXposed: filesystem error: in posix stat: failed to determine attributes for the specified path: Permission denied   data user de 0 org meowcat edxposed manager conf deoptbootimage _x000D_
12 01 16:32:44 399   927   927 E EdXposed: filesystem error: in posix stat: failed to determine attributes for the specified path: Permission denied   data user de 0 org meowcat edxposed manager conf enable resources _x000D_
12 01 16:32:44 400   927   927 E EdXposed: filesystem error: in posix stat: failed to determine attributes for the specified path: Permission denied   data user de 0 org meowcat edxposed manager conf disable modules log _x000D_
12 01 16:32:44 400   927   927 E EdXposed: filesystem error: in posix stat: failed to determine attributes for the specified path: Permission denied   data user de 0 org meowcat edxposed manager conf disable hidden api bypass _x000D_
12 01 16:32:44 400   927   927 E EdXposed: filesystem error: in posix stat: failed to determine attributes for the specified path: Permission denied   data user de 0 org meowcat edxposed manager conf modules list _x000D_
12 01 16:32:44 400   927   927 E EdXposed: Cannot access path  data user de 0 org meowcat edxposed manager conf modules list_x000D_
12 01 16:32:44 400   927   927 E EdXposed: filesystem error: in posix stat: failed to determine attributes for the specified path: Permission denied   data user de 0 org meowcat edxposed manager conf usewhitelist _x000D_
12 01 16:32:44 400   927   927 I EdXposed: data path prefix:  data user de 0_x000D_
12 01 16:32:44 400   927   927 I EdXposed:   application list mode: false_x000D_
12 01 16:32:44 400   927   927 I EdXposed:     using whitelist: false_x000D_
12 01 16:32:44 400   927   927 I EdXposed:   dynamic modules mode: false_x000D_
12 01 16:32:44 400   927   927 I EdXposed:   resources hook: false_x000D_
12 01 16:32:44 400   927   927 I EdXposed:   deopt boot image: false_x000D_
12 01 16:32:44 400   927   927 I EdXposed:   no module log: false_x000D_
12 01 16:32:44 400   927   927 I EdXposed:   hidden api bypass: true_x000D_
12 01 16:32:44 401   927   927 I EdXposed: ART hooks installed_x000D_
12 01 16:32:44 406   928   928 I EdXposed: Riru hooks installed_x000D_
12 01 16:32:44 421   928   928 I EdXposed: updating config data paths from 0 to 0   _x000D_
12 01 16:32:44 421   928   928 E EdXposed: filesystem error: in posix stat: failed to determine attributes for the specified path: Permission denied   data user de 0 org meowcat edxposed manager _x000D_
12 01 16:32:44 421   928   928 E EdXposed: no supported installer app found  using default: org meowcat edxposed manager_x000D_
12 01 16:32:44 421   928   928 E EdXposed: filesystem error: in posix stat: failed to determine attributes for the specified path: Permission denied   data user de 0 org meowcat edxposed manager conf dynamicmodules _x000D_
12 01 16:32:44 421   928   928 E EdXposed: filesystem error: in posix stat: failed to determine attributes for the specified path: Permission denied   data user de 0 org meowcat edxposed manager conf blackwhitelist _x000D_
12 01 16:32:44 421   928   928 E EdXposed: filesystem error: in posix stat: failed to determine attributes for the specified path: Permission denied   data user de 0 org meowcat edxposed manager conf deoptbootimage _x000D_
12 01 16:32:44 421   928   928 E EdXposed: filesystem error: in posix stat: failed to determine attributes for the specified path: Permission denied   data user de 0 org meowcat edxposed manager conf enable resources _x000D_
12 01 16:32:44 421   928   928 E EdXposed: filesystem error: in posix stat: failed to determine attributes for the specified path: Permission denied   data user de 0 org meowcat edxposed manager conf disable modules log _x000D_
12 01 16:32:44 421   928   928 E EdXposed: filesystem error: in posix stat: failed to determine attributes for the specified path: Permission denied   data user de 0 org meowcat edxposed manager conf disable hidden api bypass _x000D_
12 01 16:32:44 421   928   928 E EdXposed: filesystem error: in posix stat: failed to determine attributes for the specified path: Permission denied   data user de 0 org meowcat edxposed manager conf modules list _x000D_
12 01 16:32:44 421   928   928 E EdXposed: Cannot access path  data user de 0 org meowcat edxposed manager conf modules list_x000D_
12 01 16:32:44 421   928   928 E EdXposed: filesystem error: in posix stat: failed to determine attributes for the specified path: Permission denied   data user de 0 org meowcat edxposed manager conf usewhitelist _x000D_
12 01 16:32:44 421   928   928 I EdXposed: data path prefix:  data user de 0_x000D_
12 01 16:32:44 421   928   928 I EdXposed:   application list mode: false_x000D_
12 01 16:32:44 421   928   928 I EdXposed:     using whitelist: false_x000D_
12 01 16:32:44 421   928   928 I EdXposed:   dynamic modules mode: false_x000D_
12 01 16:32:44 421   928   928 I EdXposed:   resources hook: false_x000D_
12 01 16:32:44 421   928   928 I EdXposed:   deopt boot image: false_x000D_
12 01 16:32:44 421   928   928 I EdXposed:   no module log: false_x000D_
12 01 16:32:44 421   928   928 I EdXposed:   hidden api bypass: true_x000D_
12 01 16:32:44 422   928   928 I EdXposed: ART hooks installed_x000D_
12 01 16:32:45 908   927   927 E EdXposed: filesystem error: in posix stat: failed to determine attributes for the specified path: Permission denied   data user de 0 org meowcat edxposed manager conf modules list _x000D_
12 01 16:32:45 908   927   927 E EdXposed: Cannot access path  data user de 0 org meowcat edxposed manager conf modules list_x000D_
12 01 16:32:54 557   927   927 E EdXposed: filesystem error: in posix stat: failed to determine attributes for the specified path: Permission denied   data user de 0 org meowcat edxposed manager conf modules list _x000D_
12 01 16:32:54 557   927   927 E EdXposed: Cannot access path  data user de 0 org meowcat edxposed manager conf modules list_x000D_
12 01 16:32:54 793   927   927 E EdXposed: filesystem error: in posix stat: failed to determine attributes for the specified path: Permission denied   data user de 0 org meowcat edxposed manager conf modules list _x000D_
12 01 16:32:54 793   927   927 E EdXposed: Cannot access path  data user de 0 org meowcat edxposed manager conf modules list_x000D_
12 01 16:32:54 934   927   927 E EdXposed: filesystem error: in posix stat: failed to determine attributes for the specified path: Permission denied   data user de 0 org meowcat edxposed manager conf modules list _x000D_
12 01 16:32:54 934   927   927 E EdXposed: Cannot access path  data user de 0 org meowcat edxposed manager conf modules list_x000D_
12 01 16:32:55 128   928   928 E EdXposed: filesystem error: in posix stat: failed to determine attributes for the specified path: Permission denied   data user de 0 org meowcat edxposed manager conf modules list _x000D_
12 01 16:32:55 128   928   928 E EdXposed: Cannot access path  data user de 0 org meowcat edxposed manager conf modules list_x000D_
12 01 16:32:55 128   928   928 W EdXposed: skip injecting into  because it has no data dir_x000D_
12 01 16:32:55 185   927   927 E EdXposed: filesystem error: in posix stat: failed to determine attributes for the specified path: Permission denied   data user de 0 org meowcat edxposed manager conf modules list _x000D_
12 01 16:32:55 185   927   927 E EdXposed: Cannot access path  data user de 0 org meowcat edxposed manager conf modules list_x000D_
12 01 16:32:55 185   927   927 W EdXposed: skip injecting into  because it has no data dir_x000D_
12 01 16:32:55 212   927   927 E EdXposed: filesystem error: in posix stat: failed to determine attributes for the specified path: Permission denied   data user de 0 org meowcat edxposed manager conf modules list _x000D_
12 01 16:32:55 212   927   927 E EdXposed: Cannot access path  data user de 0 org meowcat edxposed manager conf modules list_x000D_
12 01 16:32:55 313   928   928 E EdXposed: filesystem error: in posix stat: failed to determine attributes for the specified path: Permission denied   data user de 0 org meowcat edxposed manager conf modules list _x000D_
12 01 16:32:55 313   928   928 E EdXposed: Cannot access path  data user de 0 org meowcat edxposed manager conf modules list_x000D_
12 01 16:32:55 313   928   928 W EdXposed: skip injecting into  because it has no data dir_x000D_
12 01 16:32:55 556   927   927 E EdXposed: filesystem error: in posix stat: failed to determine attributes for the specified path: Permission denied   data user de 0 org meowcat edxposed manager conf modules list _x000D_
12 01 16:32:55 556   927   927 E EdXposed: Cannot access path  data user de 0 org meowcat edxposed manager conf modules list_x000D_
12 01 16:32:55 668   927   927 E EdXposed: filesystem error: in posix stat: failed to determine attributes for the specified path: Permission denied   data user de 0 org meowcat edxposed manager conf modules list _x000D_
12 01 16:32:55 668   927   927 E EdXposed: Cannot access path  data user de 0 org meowcat edxposed manager conf modules list_x000D_
12 01 16:32:55 893   927   927 E EdXposed: filesystem error: in posix stat: failed to determine attributes for the specified path: Permission denied   data user de 0 org meowcat edxposed manager conf modules list _x000D_
12 01 16:32:55 893   927   927 E EdXposed: Cannot access path  data user de 0 org meowcat edxposed manager conf modules list_x000D_
12 01 16:32:56 022   927   927 E EdXposed: filesystem error: in posix stat: failed to determine attributes for the specified path: Permission denied   data user de 0 org meowcat edxposed manager conf modules list _x000D_
12 01 16:32:56 023   927   927 E EdXposed: Cannot access path  data user de 0 org meowcat edxposed manager conf modules list_x000D_
12 01 16:32:56 039   927   927 E EdXposed: filesystem error: in posix stat: failed to determine attributes for the specified path: Permission denied   data user de 0 org meowcat edxposed manager conf modules list _x000D_
12 01 16:32:56 039   927   927 E EdXposed: Cannot access path  data user de 0 org meowcat edxposed manager conf modules list_x000D_
12 01 16:32:56 069   927   927 E EdXposed: filesystem error: in posix stat: failed to determine attributes for the specified path: Permission denied   data user de 0 org meowcat edxposed manager conf modules list _x000D_
12 01 16:32:56 069   927   927 E EdXposed: Cannot access path  data user de 0 org meowcat edxposed manager conf modules list_x000D_
12 01 16:32:56 098   927   927 E EdXposed: filesystem error: in posix stat: failed to determine attributes for the specified path: Permission denied   data user de 0 org meowcat edxposed manager conf modules list _x000D_
12 01 16:32:56 098   927   927 E EdXposed: Cannot access path  data user de 0 org meowcat edxposed manager conf modules list_x000D_
12 01 16:32:56 230   927   927 E EdXposed: filesystem error: in posix stat: failed to determine attributes for the specified path: Permission denied   data user de 0 org meowcat edxposed manager conf modules list _x000D_
12 01 16:32:56 230   927   927 E EdXposed: Cannot access path  data user de 0 org meowcat edxposed manager conf modules list_x000D_
12 01 16:32:56 244   927   927 E EdXposed: filesystem error: in posix stat: failed to determine attributes for the specified path: Permission denied   data user de 0 org meowcat edxposed manager conf modules list _x000D_
12 01 16:32:56 244   927   927 E EdXposed: Cannot access path  data user de 0 org meowcat edxposed manager conf modules list_x000D_
12 01 16:32:56 258   927   927 E EdXposed: filesystem error: in posix stat: failed to determine attributes for the specified path: Permission denied   data user de 0 org meowcat edxposed manager conf modules list _x000D_
12 01 16:32:56 258   927   927 E EdXposed: Cannot access path  data user de 0 org meowcat edxposed manager conf modules list_x000D_
12 01 16:32:56 279   927   927 E EdXposed: filesystem error: in posix stat: failed to determine attributes for the specified path: Permission denied   data user de 0 org meowcat edxposed manager conf modules list _x000D_
12 01 16:32:56 279   927   927 E EdXposed: Cannot access path  data user de 0 org meowcat edxposed manager conf modules list_x000D_
12 01 16:32:56 302  2266  2266 E EdXposed: filesystem error: in posix stat: failed to determine attributes for the specified path: Permission denied   data user de 0 org meowcat edxposed manager conf modules list _x000D_
12 01 16:32:56 302  2266  2266 E EdXposed: Cannot access path  data user de 0 org meowcat edxposed manager conf modules list_x000D_
12 01 16:32:56 323   927   927 E EdXposed: filesystem error: in posix stat: failed to determine attributes for the specified path: Permission denied   data user de 0 org meowcat edxposed manager conf modules list _x000D_
12 01 16:32:56 323   927   927 E EdXposed: Cannot access path  data user de 0 org meowcat edxposed manager conf modules list_x000D_
12 01 16:32:56 613   927   927 E EdXposed: filesystem error: in posix stat: failed to determine attributes for the specified path: Permission denied   data user de 0 org meowcat edxposed manager conf modules list _x000D_
12 01 16:32:56 613   927   927 E EdXposed: Cannot access path  data user de 0 org meowcat edxposed manager conf modules list_x000D_
12 01 16:32:56 755   927   927 E EdXposed: filesystem error: in posix stat: failed to determine attributes for the specified path: Permission denied   data user de 0 org meowcat edxposed manager conf modules list _x000D_
12 01 16:32:56 755   927   927 E EdXposed: Cannot access path  data user de 0 org meowcat edxposed manager conf modules list_x000D_
12 01 16:32:56 768   927   927 E EdXposed: filesystem error: in posix stat: failed to determine attributes for the specified path: Permission denied   data user de 0 org meowcat edxposed manager conf modules list _x000D_
12 01 16:32:56 768   927   927 E EdXposed: Cannot access path  data user de 0 org meowcat edxposed manager conf modules list_x000D_
12 01 16:32:57 781   927   927 E EdXposed: filesystem error: in posix stat: failed to determine attributes for the specified path: Permission denied   data user de 0 org meowcat edxposed manager conf modules list _x000D_
12 01 16:32:57 781   927   927 E EdXposed: Cannot access path  data user de 0 org meowcat edxposed manager conf modules list_x000D_
12 01 16:32:57 925   927   927 E EdXposed: filesystem error: in posix stat: failed to determine attributes for the specified path: Permission denied   data user de 0 org meowcat edxposed manager conf modules list _x000D_
12 01 16:32:57 925   927   927 E EdXposed: Cannot access path  data user de 0 org meowcat edxposed manager conf modules list_x000D_
12 01 16:32:58 176   927   927 E EdXposed: filesystem error: in posix stat: failed to determine attributes for the specified path: Permission denied   data user de 0 org meowcat edxposed manager conf modules list _x000D_
12 01 16:32:58 176   927   927 E EdXposed: Cannot access path  data user de 0 org meowcat edxposed manager conf modules list_x000D_
12 01 16:32:58 397   927   927 E EdXposed: filesystem error: in posix stat: failed to determine attributes for the specified path: Permission denied   data user de 0 org meowcat edxposed manager conf modules list _x000D_
12 01 16:32:58 397   927   927 E EdXposed: Cannot access path  data user de 0 org meowcat edxposed manager conf modules list_x000D_
12 01 16:32:59 100   927   927 E EdXposed: filesystem error: in posix stat: failed to determine attributes for the specified path: Permission denied   data user de 0 org meowcat edxposed manager conf modules list _x000D_
12 01 16:32:59 100   927   927 E EdXposed: Cannot access path  data user de 0 org meowcat edxposed manager conf modules list_x000D_
12 01 16:32:59 170   927   927 E EdXposed: filesystem error: in posix stat: failed to determine attributes for the specified path: Permission denied   data user de 0 org meowcat edxposed manager conf modules list _x000D_
12 01 16:32:59 171   927   927 E EdXposed: Cannot access path  data user de 0 org meowcat edxposed manager conf modules list_x000D_
12 01 16:32:59 335   927   927 E EdXposed: filesystem error: in posix stat: failed to determine attributes for the specified path: Permission denied   data user de 0 org meowcat edxposed manager conf modules list _x000D_
12 01 16:32:59 335   927   927 E EdXposed: Cannot access path  data user de 0 org meowcat edxposed manager conf modules list_x000D_
12 01 16:33:00 932   927   927 E EdXposed: filesystem error: in posix stat: failed to determine attributes for the specified path: Permission denied   data user de 0 org meowcat edxposed manager conf modules list _x000D_
12 01 16:33:00 932   927   927 E EdXposed: Cannot access path  data user de 0 org meowcat edxposed manager conf modules list_x000D_
12 01 16:33:00 957   927   927 E EdXposed: filesystem error: in posix stat: failed to determine attributes for the specified path: Permission denied   data user de 0 org meowcat edxposed manager conf modules list _x000D_
12 01 16:33:00 957   927   927 E EdXposed: Cannot access path  data user de 0 org meowcat edxposed manager conf modules list_x000D_
12 01 16:33:01 525   927   927 E EdXposed: filesystem error: in posix stat: failed to determine attributes for the specified path: Permission denied   data user de 0 org meowcat edxposed manager conf modules list _x000D_
12 01 16:33:01 526   927   927 E EdXposed: Cannot access path  data user de 0 org meowcat edxposed manager conf modules list_x000D_
12 01 16:33:02 216   927   927 E EdXposed: filesystem error: in posix stat: failed to determine attributes for the specified path: Permission denied   data user de 0 org meowcat edxposed manager conf modules list _x000D_
12 01 16:33:02 216   927   927 E EdXposed: Cannot access path  data user de 0 org meowcat edxposed manager conf modules list_x000D_
12 01 16:33:02 444   927   927 E EdXposed: filesystem error: in posix stat: failed to determine attributes for the specified path: Permission denied   data user de 0 org meowcat edxposed manager conf modules list _x000D_
12 01 16:33:02 444   927   927 E EdXposed: Cannot access path  data user de 0 org meowcat edxposed manager conf modules list_x000D_
12 01 16:33:02 466   927   927 E EdXposed: filesystem error: in posix stat: failed to determine attributes for the specified path: Permission denied   data user de 0 org meowcat edxposed manager conf modules list _x000D_
12 01 16:33:02 466   927   927 E EdXposed: Cannot access path  data user de 0 org meowcat edxposed manager conf modules list_x000D_
12 01 16:33:02 998   927   927 E EdXposed: filesystem error: in posix stat: failed to determine attributes for the specified path: Permission denied   data user de 0 org meowcat edxposed manager conf modules list _x000D_
12 01 16:33:02 998   927   927 E EdXposed: Cannot access path  data user de 0 org meowcat edxposed manager conf modules list_x000D_
12 01 16:33:03 291   927   927 E EdXposed: filesystem error: in posix stat: failed to determine attributes for the specified path: Permission denied   data user de 0 org meowcat edxposed manager conf modules list _x000D_
12 01 16:33:03 291   927   927 E EdXposed: Cannot access path  data user de 0 org meowcat edxposed manager conf modules list_x000D_
12 01 16:33:03 539   927   927 E EdXposed: filesystem error: in posix stat: failed to determine attributes for the specified path: Permission denied   data user de 0 org meowcat edxposed manager conf modules list _x000D_
12 01 16:33:03 539   927   927 E EdXposed: Cannot access path  data user de 0 org meowcat edxposed manager conf modules list_x000D_
12 01 16:33:03 993   927   927 E EdXposed: filesystem error: in posix stat: failed to determine attributes for the specified path: Permission denied   data user de 0 org meowcat edxposed manager conf modules list _x000D_
12 01 16:33:03 993   927   927 E EdXposed: Cannot access path  data user de 0 org meowcat edxposed manager conf modules list_x000D_
12 01 16:33:04 238   927   927 E EdXposed: filesystem error: in posix stat: failed to determine attributes for the specified path: Permission denied   data user de 0 org meowcat edxposed manager conf modules list _x000D_
12 01 16:33:04 238   927   927 E EdXposed: Cannot access path  data user de 0 org meowcat edxposed manager conf modules list_x000D_
12 01 16:33:04 477   927   927 E EdXposed: filesystem error: in posix stat: failed to determine attributes for the specified path: Permission denied   data user de 0 org meowcat edxposed manager conf modules list _x000D_
12 01 16:33:04 477   927   927 E EdXposed: Cannot access path  data user de 0 org meowcat edxposed manager conf modules list_x000D_
12 01 16:33:04 774   927   927 E EdXposed: filesystem error: in posix stat: failed to determine attributes for the specified path: Permission denied   data user de 0 org meowcat edxposed manager conf modules list _x000D_
12 01 16:33:04 774   927   927 E EdXposed: Cannot access path  data user de 0 org meowcat edxposed manager conf modules list_x000D_
12 01 16:33:05 012   928   928 E EdXposed: filesystem error: in posix stat: failed to determine attributes for the specified path: Permission denied   data user de 0 org meowcat edxposed manager conf modules list _x000D_
12 01 16:33:05 012   928   928 E EdXposed: Cannot access path  data user de 0 org meowcat edxposed manager conf modules list_x000D_
12 01 16:33:05 892   927   927 E EdXposed: filesystem error: in posix stat: failed to determine attributes for the specified path: Permission denied   data user de 0 org meowcat edxposed manager conf modules list _x000D_
12 01 16:33:05 892   927   927 E EdXposed: Cannot access path  data user de 0 org meowcat edxposed manager conf modules list_x000D_
12 01 16:33:24 486   927   927 E EdXposed: filesystem error: in posix stat: failed to determine attributes for the specified path: Permission denied   data user de 0 org meowcat edxposed manager conf modules list _x000D_
12 01 16:33:24 486   927   927 E EdXposed: Cannot access path  data user de 0 org meowcat edxposed manager conf modules list_x000D_
12 01 16:33:28 778   927   927 E EdXposed: filesystem error: in posix stat: failed to determine attributes for the specified path: Permission denied   data user de 0 org meowcat edxposed manager conf modules list _x000D_
12 01 16:33:28 778   927   927 E EdXposed: Cannot access path  data user de 0 org meowcat edxposed manager conf modules list_x000D_
12 01 16:33:28 885   927   927 E EdXposed: filesystem error: in posix stat: failed to determine attributes for the specified path: Permission denied   data user de 0 org meowcat edxposed manager conf modules list _x000D_
12 01 16:33:28 886   927   927 E EdXposed: Cannot access path  data user de 0 org meowcat edxposed manager conf modules list_x000D_
12 01 16:33:28 990   927   927 E EdXposed: filesystem error: in posix stat: failed to determine attributes for the specified path: Permission denied   data user de 0 org meowcat edxposed manager conf modules list _x000D_
12 01 16:33:28 990   927   927 E EdXposed: Cannot access path  data user de 0 org meowcat edxposed manager conf modules list_x000D_
12 01 16:33:29 069   927   927 E EdXposed: filesystem error: in posix stat: failed to determine attributes for the specified path: Permission denied   data user de 0 org meowcat edxposed manager conf modules list _x000D_
12 01 16:33:29 069   927   927 E EdXposed: Cannot access path  data user de 0 org meowcat edxposed manager conf modules list_x000D_
12 01 16:33:29 147   927   927 E EdXposed: filesystem error: in posix stat: failed to determine attributes for the specified path: Permission denied   data user de 0 org meowcat edxposed manager conf modules list _x000D_
12 01 16:33:29 147   927   927 E EdXposed: Cannot access path  data user de 0 org meowcat edxposed manager conf modules list_x000D_
12 01 16:33:29 219   927   927 E EdXposed: filesystem error: in posix stat: failed to determine attributes for the specified path: Permission denied   data user de 0 org meowcat edxposed manager conf modules list _x000D_
12 01 16:33:29 219   927   927 E EdXposed: Cannot access path  data user de 0 org meowcat edxposed manager conf modules list_x000D_
12 01 16:33:29 281   927   927 E EdXposed: filesystem error: in posix stat: failed to determine attributes for the specified path: Permission denied   data user de 0 org meowcat edxposed manager conf modules list _x000D_
12 01 16:33:29 281   927   927 E EdXposed: Cannot access path  data user de 0 org meowcat edxposed manager conf modules list_x000D_
12 01 16:33:29 316   927   927 E EdXposed: filesystem error: in posix stat: failed to determine attributes for the specified path: Permission denied   data user de 0 org meowcat edxposed manager conf modules list _x000D_
12 01 16:33:29 316   927   927 E EdXposed: Cannot access path  data user de 0 org meowcat edxposed manager conf modules list_x000D_
12 01 16:33:29 334   927   927 E EdXposed: filesystem error: in posix stat: failed to determine attributes for the specified path: Permission denied   data user de 0 org meowcat edxposed manager conf modules list _x000D_
12 01 16:33:29 334   927   927 E EdXposed: Cannot access path  data user de 0 org meowcat edxposed manager conf modules list_x000D_
12 01 16:33:29 358   927   927 E EdXposed: filesystem error: in posix stat: failed to determine attributes for the specified path: Permission denied   data user de 0 org meowcat edxposed manager conf modules list _x000D_
12 01 16:33:29 358   927   927 E EdXposed: Cannot access path  data user de 0 org meowcat edxposed manager conf modules list_x000D_
12 01 16:33:29 388   927   927 E EdXposed: filesystem error: in posix stat: failed to determine attributes for the specified path: Permission denied   data user de 0 org meowcat edxposed manager conf modules list _x000D_
12 01 16:33:29 388   927   927 E EdXposed: Cannot access path  data user de 0 org meowcat edxposed manager conf modules list_x000D_
12 01 16:33:29 412   927   927 E EdXposed: filesystem error: in posix stat: failed to determine attributes for the specified path: Permission denied   data user de 0 org meowcat edxposed manager conf modules list _x000D_
12 01 16:33:29 412   927   927 E EdXposed: Cannot access path  data user de 0 org meowcat edxposed manager conf modules list_x000D_
12 01 16:33:29 461  2267  2267 E EdXposed: filesystem error: in posix stat: failed to determine attributes for the specified path: Permission denied   data user de 0 org meowcat edxposed manager conf modules list _x000D_
12 01 16:33:29 461  2267  2267 E EdXposed: Cannot access path  data user de 0 org meowcat edxposed manager conf modules list_x000D_
12 01 16:33:29 497   927   927 E EdXposed: filesystem error: in posix stat: failed to determine attributes for the specified path: Permission denied   data user de 0 org meowcat edxposed manager conf modules list _x000D_
12 01 16:33:29 498   927   927 E EdXposed: Cannot access path  data user de 0 org meowcat edxposed manager conf modules list_x000D_
12 01 16:33:29 540   927   927 E EdXposed: filesystem error: in posix stat: failed to determine attributes for the specified path: Permission denied   data user de 0 org meowcat edxposed manager conf modules list _x000D_
12 01 16:33:29 540   927   927 E EdXposed: Cannot access path  data user de 0 org meowcat edxposed manager conf modules list_x000D_
12 01 16:33:29 558   927   927 E EdXposed: filesystem error: in posix stat: failed to determine attributes for the specified path: Permission denied   data user de 0 org meowcat edxposed manager conf modules list _x000D_
12 01 16:33:29 558   927   927 E EdXposed: Cannot access path  data user de 0 org meowcat edxposed manager conf modules list_x000D_
12 01 16:33:29 570   927   927 E EdXposed: filesystem error: in posix stat: failed to determine attributes for the specified path: Permission denied   data user de 0 org meowcat edxposed manager conf modules list _x000D_
12 01 16:33:29 570   927   927 E EdXposed: Cannot access path  data user de 0 org meowcat edxposed manager conf modules list_x000D_
12 01 16:33:29 606   927   927 E EdXposed: filesystem error: in posix stat: failed to determine attributes for the specified path: Permission denied   data user de 0 org meowcat edxposed manager conf modules list _x000D_
12 01 16:33:29 606   927   927 E EdXposed: Cannot access path  data user de 0 org meowcat edxposed manager conf modules list_x000D_
12 01 16:33:29 627   927   927 E EdXposed: filesystem error: in posix stat: failed to determine attributes for the specified path: Permission denied   data user de 0 org meowcat edxposed manager conf modules list _x000D_
12 01 16:33:29 628   927   927 E EdXposed: Cannot access path  data user de 0 org meowcat edxposed manager conf modules list_x000D_
12 01 16:33:29 641   927   927 E EdXposed: filesystem error: in posix stat: failed to determine attributes for the specified path: Permission denied   data user de 0 org meowcat edxposed manager conf modules list _x000D_
12 01 16:33:29 641   927   927 E EdXposed: Cannot access path  data user de 0 org meowcat edxposed manager conf modules list_x000D_
12 01 16:33:29 672   928   928 E EdXposed: filesystem error: in posix stat: failed to determine attributes for the specified path: Permission denied   data user de 0 org meowcat edxposed manager conf modules list _x000D_
12 01 16:33:29 672   928</t>
  </si>
  <si>
    <t>TeamNewPipe-NewPipe-5050</t>
  </si>
  <si>
    <t>Livestream disappears from feed on start playing</t>
  </si>
  <si>
    <t xml:space="preserve">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a feed with livestream_x000D_
2  Start livestream playing in background_x000D_
_x000D_
     If you can t cause the bug to show up again reliably (and hence don t have a proper set of steps to give us)  please still try to give as many details as possible on how you think you encountered the bug     _x000D_
_x000D_
_x000D_
_x000D_
    Actual behaviour_x000D_
Livestream disappears from feed when start playing_x000D_
_x000D_
_x000D_
_x000D_
    Expected behavior_x000D_
It should not disappear_x000D_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output480 (https:  user images githubusercontent com 4147135 100700524 7767e600 33bf 11eb 8fdd 06ae2495db49 gif)_x000D_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8 0_x000D_
   Device model: Any_x000D_
</t>
  </si>
  <si>
    <t>Blankj-AndroidUtilCode-1380</t>
  </si>
  <si>
    <t>ImageUtils的各种图片保存功能，都会把图片旋转90度，这个问题很棘手，请尽快解决。</t>
  </si>
  <si>
    <t xml:space="preserve">      Bug_x000D_
_x000D_
       Bug _x000D_
_x000D_
ImageUtils                 90                _x000D_
_x000D_
  AndroidUtilCode             utilcode:1 16 3   utilcodex:1 16 3                     _x000D_
     Bug               Nexus 5X       6X_x000D_
      Android            API 27     API 28_x000D_
_x000D_
       _x000D_
_x000D_
       _x000D_
   java_x000D_
CrashUtils init() _x000D_
   _x000D_
   _x000D_
   _x000D_
put your code here_x000D_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_x000D_
_x000D_
                    _x000D_
_x000D_
_x000D_
              _x000D_
_x000D_
      AndroidUtilCode (https:  github com Blankj AndroidUtilCode) _x000D_
</t>
  </si>
  <si>
    <t>adamhh-450Group8-143</t>
  </si>
  <si>
    <t>Chat: App crashes if interact with a "non-existed" connection</t>
  </si>
  <si>
    <t xml:space="preserve">When a user is removed from a chat room  the information of the room will be updated (E g: who s currently in the room)  However  due to the slow response from server  it might take a bit of time till an application shows a correct information  _x000D_
_x000D_
When that non existed user is chosen (since the application hasn t been updated)  the app will crash </t>
  </si>
  <si>
    <t>Anuken-Mindustry-3678</t>
  </si>
  <si>
    <t>2 Mindustrys running</t>
  </si>
  <si>
    <t xml:space="preserve">  Platform  :  Android iOS Mac Windows Linux _x000D_
Windows_x000D_
_x000D_
  Build  :  The build number under the title in the main menu  Required   LATEST  IS NOT A VERSION  I NEED THE EXACT BUILD NUMBER OF YOUR GAME  _x000D_
It happened when updating 20111    20141 and 20141    20148_x000D_
_x000D_
  Issue  :  Explain your issue in detail  _x000D_
Updating to the latest build causes the old Mindustry build to freeze and launch the new build  So I have 2 running Mindustrys  but the old one never closes itself  If you exit the game its window disappears but it still runs in the background  Waited 10 minutes and the old Mindustry never closed itself  This started happening recently within the last few days  I tested this with older builds and this does not occur  only in recent builds _x000D_
_x000D_
  Steps to reproduce  :  How you happened across the issue  and what exactly you did to make the bug happen  _x000D_
Update Mindustry  When it finishes updating it will freeze  You cannot even click the cancel button  Next  press ctrl   alt   delete then open your task manager and you ll see 2 Mindustrys open  but only 1 window open  Click on that window and you ll see it s the new Mindustry  The old Mindustry window disappeared but the application is still running strong in the background consuming ram and cpu  The old Mindustry will not close unless you end task it in the task manager _x000D_
_x000D_
  Link(s) to mod(s) used  :  The mod repositories or zip files that are related to the issue  if applicable  _x000D_
NA_x000D_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NA_x000D_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The game never crashed and no crash reports were generated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</si>
  <si>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popcorn-official-popcorn-android-725</t>
  </si>
  <si>
    <t>Google TV: PT crashes when using Google Assistant</t>
  </si>
  <si>
    <t xml:space="preserve">   Describe the bug_x000D_
Popcorn Time crashes when trying to use Google Assistant to search _x000D_
_x000D_
   To Reproduce_x000D_
Steps to reproduce the behavior:_x000D_
1  Go to search in PT on Chromecast with Google TV device_x000D_
2  Click on the input textbox_x000D_
3  Press and hold for Google Assistant button on your remote to enter text by speech_x000D_
4  Google Assistant is writing on the input textbox correctly but few seconds later it crashes and restarts_x000D_
_x000D_
   Expected behavior_x000D_
Show search list_x000D_
_x000D_
   Screenshots_x000D_
If applicable  add screenshots to help explain your problem _x000D_
_x000D_
   Smartphone (please complete the following information):_x000D_
   Device: Chromecast with Google TV_x000D_
   OS: Android TV (Google TV)_x000D_
   Browser  e g  stock browser  safari  N A_x000D_
   Version  e g  22  181 dev_x000D_
_x000D_
   Additional context_x000D_
Add any other context about the problem here _x000D_
</t>
  </si>
  <si>
    <t>popcorn-official-popcorn-android-724</t>
  </si>
  <si>
    <t xml:space="preserve">   Describe the bug_x000D_
Popcorn Time crashes when trying to use Google Assistant to search _x000D_
_x000D_
   To Reproduce_x000D_
Steps to reproduce the behavior:_x000D_
1  Go to search in PT on Chromecast with Google TV device_x000D_
2  Click on the input textbox_x000D_
3  Press and hold for Google Assistant button on your remote to enter text by speech_x000D_
4  Google Assistant is writing on the input textbox correctly but few seconds later it crashes and restarts_x000D_
_x000D_
_x000D_
   Expected behavior_x000D_
Show search list_x000D_
_x000D_
   Device_x000D_
   Device: Chromecast with Google TV_x000D_
   OS: Android TV_x000D_
   Browser N A_x000D_
   Version: 181 dev_x000D_
</t>
  </si>
  <si>
    <t>TeamNewPipe-NewPipe-5048</t>
  </si>
  <si>
    <t>Stream smoothness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</si>
  <si>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_x000D_
I am currently using newpipe version 0 20 4  I am using android 7 tablet _x000D_
My issue is not actually an issue  Just a small problem_x000D_
I would like for you to smoothen the streaming service  Newpipe streaming is not live  It will always be behind the original stream  When red line is dragged to live  it jerks and goes back  You could fix the red indication animations on streams But main problem  it stops after some interval of time (No my wifi isnt the problem  I had seen streams before)  It would be fantastic if you could smoothen the streaming service _x000D_
I went and opened a streaming service and this problem occured  Sadly Id have any logs  Hope to fix this in coming versions</t>
  </si>
  <si>
    <t>aws-amplify-amplify-android-1010</t>
  </si>
  <si>
    <t>Unable to acquire orchestrator lock. Transition currently in progress.</t>
  </si>
  <si>
    <t xml:space="preserve">While creating M:N relationships  I get an error:_x000D_
  Unable to acquire orchestrator lock  Transition currently in progress _x000D_
_x000D_
 jamesonwilliams suggested a  work around  to require a DataStore   READY  event to be set before relationship creation  We agreed the work around shouldn t be necessary _x000D_
_x000D_
When I run this code:_x000D_
_x000D_
   java_x000D_
Content content   Content builder()_x000D_
     body( Hello from Android13 )_x000D_
      build() _x000D_
_x000D_
Tag tag   Tag builder()_x000D_
     label( Test 123123 12313 )_x000D_
     build() _x000D_
_x000D_
ContentTag contentTag   ContentTag builder()_x000D_
     content(content)_x000D_
     tag(tag)_x000D_
     build() _x000D_
_x000D_
Amplify DataStore save(content _x000D_
    savedPost     _x000D_
        Log i( MyAmplifyApp    Content saved  ) _x000D_
        Amplify DataStore save(tag _x000D_
            savedEditor     _x000D_
                Log i( MyAmplifyApp    Tag saved  ) _x000D_
                Amplify DataStore save(contentTag _x000D_
                    saved    Log i( MyAmplifyApp    ContentTag saved  ) _x000D_
                    failure    Log e( MyAmplifyApp    ContentTag not saved    failure)_x000D_
                ) _x000D_
              _x000D_
            failure    Log e( MyAmplifyApp    Tag not saved    failure)_x000D_
        ) _x000D_
      _x000D_
    failure    Log e( MyAmplifyApp    Content not saved    failure)_x000D_
) _x000D_
   _x000D_
I get this crash:_x000D_
_x000D_
   console_x000D_
2020 11 30 11:18:15 800 15077 15118 com example relationshipjava I MyAmplifyApp: Content saved _x000D_
2020 11 30 11:18:17 820 15077 15120 com example relationshipjava E MyAmplifyApp: Tag not saved _x000D_
    DataStoreException message Unable to acquire orchestrator lock  Transition currently in progress   cause null  recoverySuggestion Retry your request _x000D_
        at com amplifyframework datastore syncengine Orchestrator start(Orchestrator java:195)_x000D_
        at com amplifyframework datastore AWSDataStorePlugin lambda start 9 AWSDataStorePlugin(AWSDataStorePlugin java:259)_x000D_
        at com amplifyframework datastore    Lambda AWSDataStorePlugin FPjeqf ENbST6bEgtzMenBBWB54 call(Unknown Source:6)_x000D_
        at com amplifyframework datastore    Lambda TpN5VBwI7X4qLhZPz2Xh RciFYY run(Unknown Source:2)_x000D_
        at io reactivex rxjava3 internal observers CallbackCompletableObserver onComplete(CallbackCompletableObserver java:53)_x000D_
        at io reactivex rxjava3 internal operators completable CompletableSubscribeOn SubscribeOnObserver onComplete(CompletableSubscribeOn java:79)_x000D_
        at io reactivex rxjava3 internal operators completable CompletableTimeout TimeOutObserver onComplete(CompletableTimeout java:87)_x000D_
        at io reactivex rxjava3 internal operators completable CompletableCreate Emitter onComplete(CompletableCreate java:65)_x000D_
        at com amplifyframework datastore AWSDataStorePlugin lambda waitForInitialization 7 AWSDataStorePlugin(AWSDataStorePlugin java:241)_x000D_
        at com amplifyframework datastore    Lambda AWSDataStorePlugin F7opBt57ZUb5PGbudjZ5clNE1H8 subscribe(Unknown Source:2)_x000D_
        at io reactivex rxjava3 internal operators completable CompletableCreate subscribeActual(CompletableCreate java:40)_x000D_
        at io reactivex rxjava3 core Completable subscribe(Completable java:2850)_x000D_
        at io reactivex rxjava3 internal operators completable CompletableTimeout subscribeActual(CompletableTimeout java:53)_x000D_
        at io reactivex rxjava3 core Completable subscribe(Completable java:2850)_x000D_
        at io reactivex rxjava3 internal operators completable CompletableSubscribeOn SubscribeOnObserver run(CompletableSubscribeOn java:64)_x000D_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t>
  </si>
  <si>
    <t>Anuken-Mindustry-3663</t>
  </si>
  <si>
    <t>Bleeding edge crash on update</t>
  </si>
  <si>
    <t xml:space="preserve">  Platform  :  Android iOS Mac Windows Linux  Windows _x000D_
_x000D_
  Build  :  The build number under the title in the main menu  Required   LATEST  IS NOT A VERSION  I NEED THE EXACT BUILD NUMBER OF YOUR GAME   Every BE build to date _x000D_
_x000D_
  Issue  :  Explain your issue in detail  _x000D_
Every time I update Bleeding Edge  I have to deal with Mindustry crashing  I have to reopen it again to make it work  The old tab eventually gets the  Mindustry is not responding  from windows  and I close it _x000D_
_x000D_
  Steps to reproduce  :  How you happened across the issue  and what exactly you did to make the bug happen  _x000D_
Update BE on my device _x000D_
  Link(s) to mod(s) used  :  The mod repositories or zip files that are related to the issue  if applicable  _x000D_
_x000D_
  Save file  :  The (zipped) save file you were playing on when the bug happened  THIS IS REQUIRED FOR ANY ISSUE HAPPENING IN GAME OR IN MULTIPLAYER  REGARDLESS OF WHETHER YOU THINK IT HAPPENS EVERYWHERE  DO NOT DELETE OR OMIT THIS LINE UNLESS YOU ARE SURE THAT THE ISSUE DOES NOT HAPPEN IN GAME  _x000D_
Not a bug while playing _x000D_
If you remove the line above without reading it properly and understanding what it means  I will reap your soul  Even if you re playing on someone s server  you can still save the game to a slot _x000D_
_x000D_
  Crash report  :  The contents of relevant crash report files  REQUIRED if you are reporting a crash  _x000D_
It didn t output a crash report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</si>
  <si>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proyecto26-react-native-inappbrowser-218</t>
  </si>
  <si>
    <t>Getting Crash while opening "Http://www.google.com"</t>
  </si>
  <si>
    <t xml:space="preserve">    Make sure to check the demo app(s) for sample usage _x000D_
Checked the demo app  its crashing_x000D_
    Make sure to check the existing issues in this repository _x000D_
_x000D_
    If the demo apps cannot help and there is no issue for your problem  tell us about it_x000D_
Please  ensure your title is less than 63 characters long and starts with a capital_x000D_
letter _x000D_
_x000D_
    Which platform(s) does your issue occur on _x000D_
  iOS Android Both _x000D_
  iOS Android versions _x000D_
  emulator or device  What type of device _x000D_
_x000D_
Getting crash on Android device only_x000D_
_x000D_
    Please  provide the following version numbers that your issue occurs with:_x000D_
_x000D_
  CLI: (run  react native   version  to fetch it)_x000D_
  Plugin(s): (look for the version numbers in the  package json  file of your_x000D_
project and paste your dependencies and devDependencies here)_x000D_
_x000D_
    Please  tell us how to recreate the issue in as much detail as possible  _x000D_
Describe the steps to reproduce it _x000D_
_x000D_
Download the demo app  open url  Http:  www google com _x000D_
_x000D_
    Is there any code involved  _x000D_
   provide a code example to recreate the problem _x000D_
   (EVEN BETTER) provide a  zip with application or refer to a repository with application where the problem is reproducible _x000D_
</t>
  </si>
  <si>
    <t>TeamNewPipe-NewPipe-5042</t>
  </si>
  <si>
    <t>I can't Open a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</si>
  <si>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Exception_x000D_
    User Action:   requested stream_x000D_
    Request:   https:  www youtube com watch v voIQIr5F3M4_x000D_
    Content Country:   PT_x000D_
    Content Language:   pt PT_x000D_
    App Language:   pt PT_x000D_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t>
  </si>
  <si>
    <t>cgeo-cgeo-9463</t>
  </si>
  <si>
    <t xml:space="preserve">crash when adding current position WP to not offline stored caches </t>
  </si>
  <si>
    <t xml:space="preserve">  Describe the bug:  _x000D_
crash when adding current position as WP to an not saved geocache_x000D_
_x000D_
  To Reproduce:  _x000D_
1  Search for GC40N20 or other GC number (w or w o waypoints)_x000D_
2  Swipe left to WP page_x000D_
3  Click on Add current position_x000D_
_x000D_
  Actual behavior state after performing these steps:  _x000D_
c:geo closes_x000D_
_x000D_
  Expected behavior state after performing these steps:  _x000D_
WP with current postion is created_x000D_
_x000D_
  Version of c:geo used:  _x000D_
2020 11 30 NB 5108dbf_x000D_
_x000D_
  Is the problem reproducible:  _x000D_
Yes_x000D_
_x000D_
  Additional context:  _x000D_
If cache is stored  no crash  but WP is created _x000D_
Logfile sent to support</t>
  </si>
  <si>
    <t>TeamNewPipe-NewPipe-5040</t>
  </si>
  <si>
    <t>endless loop trying to report for something get wrong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</si>
  <si>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Ttry to reproduce   5039_x000D_
2  Press Report_x000D_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endless loop_x000D_
_x000D_
_x000D_
    Expected behavior_x000D_
     Tell us what you expect to happen     _x000D_
no error_x000D_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ScreenRecord 2020 11 30 08 36 52 (https:  user images githubusercontent com 14617699 100572800 6cda1d80 32e7 11eb 9add ba915e1eec60 gif)_x000D_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</si>
  <si>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TeamNewPipe-NewPipe-5039</t>
  </si>
  <si>
    <t>wrong back action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</si>
  <si>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0  Make some search  or open a playlist_x000D_
1  Open some video_x000D_
2  Start playback_x000D_
2  Press back (page will be collapsed  playback will continue  the screen requested on the step 0 will be shown)_x000D_
3  Open another video (playback will be stopped)_x000D_
4  Press back_x000D_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video page from step 1 will be shown_x000D_
_x000D_
_x000D_
    Expected behavior_x000D_
     Tell us what you expect to happen     _x000D_
The screen requested on the step 0 must be shown_x000D_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ScreenRecord 2020 11 30 08 24 33 (https:  user images githubusercontent com 14617699 100572099 bde91200 32e5 11eb 9349 77cca4f55552 gif)_x000D_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</si>
  <si>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TeamNewPipe-NewPipe-5038</t>
  </si>
  <si>
    <t>Checksum can be `Copied to Clipboard` for removed file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</si>
  <si>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Download something_x000D_
2  Remove file with file manager_x000D_
3  Open Downloads    Checksum    SHA 1_x000D_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Copied to Clipboard _x000D_
_x000D_
_x000D_
    Expected behavior_x000D_
     Tell us what you expect to happen     _x000D_
 No such file or directory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</si>
  <si>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TeamNewPipe-NewPipe-5037</t>
  </si>
  <si>
    <t>Playlist are not shown on youtube's user profiel</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</si>
  <si>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Open https:  www youtube com user beardyman playlists_x000D_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Not playlists are shown_x000D_
_x000D_
_x000D_
    Expected behavior_x000D_
     Tell us what you expect to happen     _x000D_
Playlists are shown_x000D_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image (https:  user images githubusercontent com 14617699 100569523 60ea5d80 32df 11eb 8e19 dc4cf1079e7c png)_x000D_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</si>
  <si>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nextcloud-android-7562</t>
  </si>
  <si>
    <t>Android app crashed</t>
  </si>
  <si>
    <t xml:space="preserve">             CAUSE OF ERROR             _x000D_
_x000D_
android app RemoteServiceException: Context startForegroundService() did not then call Service startForeground(): ServiceRecord 12cd725 u0 com nextcloud client  media PlayerService _x000D_
	at android app ActivityThread H handleMessage(ActivityThread java:2005)_x000D_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APP INFORMATION             _x000D_
ID: com nextcloud client_x000D_
Version: 30140090_x000D_
Build flavor: gplay_x000D_
_x000D_
             DEVICE INFORMATION             _x000D_
Brand: google_x000D_
Device: sargo_x000D_
Model: Pixel 3a_x000D_
Id: RP1A 201105 002_x000D_
Product: sargo_x000D_
_x000D_
             FIRMWARE             _x000D_
SDK: 30_x000D_
Release: 11_x000D_
Incremental: 6869500_x000D_
_x000D_
_x000D_
_x000D_
    Steps to reproduce_x000D_
1  Select 7 pictures_x000D_
2  Delete them_x000D_
3  Error   _x000D_
_x000D_
    Expected behaviour_x000D_
  The app shouldn t crash_x000D_
_x000D_
    Actual behaviour_x000D_
  see above error_x000D_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current_x000D_
_x000D_
Device model: pixel 3a_x000D_
_x000D_
Stock or customized system: stock_x000D_
_x000D_
Nextcloud app version: current_x000D_
_x000D_
Nextcloud server version: current_x000D_
_x000D_
Reverse proxy: nope_x000D_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</si>
  <si>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TeamNewPipe-NewPipe-5036</t>
  </si>
  <si>
    <t>export also saves settings</t>
  </si>
  <si>
    <t xml:space="preserve">Every time I use export I afraid if app settings will not be saved  Please update note for the export action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settings_x000D_
2  Read Export database comment_x000D_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Export history  subscriptions and playlists _x000D_
_x000D_
_x000D_
_x000D_
    Expected behavior_x000D_
     Tell us what you expect to happen     _x000D_
 Export history  subscriptions  playlists and settings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image (https:  user images githubusercontent com 14617699 100562436 d00a8680 32cc 11eb 8668 300a5a0a32fa png)_x000D_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LineageOS 17 1_x000D_
   Device model: OP3T_x000D_
</t>
  </si>
  <si>
    <t>nextcloud-android-7561</t>
  </si>
  <si>
    <t>Nextcloud android app keeps crashing</t>
  </si>
  <si>
    <t xml:space="preserve">    Steps to reproduce
  I was reading a md file 
    Expected behaviour
  The app should not have crashed and closed 
    Actual behaviour
  The app crashed  closed  and an error message appeared 
             CAUSE OF ERROR             
android app RemoteServiceException: Context startForegroundService() did not then call Service startForeground(): ServiceRecord 3e59ebc u0 com nextcloud client  media PlayerService 
	at android app ActivityThread H handleMessage(ActivityThread java:2188)
	at android os Handler dispatchMessage(Handler java:107)
	at android os Looper loop(Looper java:237)
	at android app ActivityThread main(ActivityThread java:8167)
	at java lang reflect Method invoke(Native Method)
	at com android internal os RuntimeInit MethodAndArgsCaller run(RuntimeInit java:496)
	at com android internal os ZygoteInit main(ZygoteInit java:1100)
             APP INFORMATION             
ID: com nextcloud client
Version: 30140090
Build flavor: gplay
             DEVICE INFORMATION             
Brand: samsung
Device: r7
Model: SM N770F
Id: QP1A 190711 020
Product: r7nsxx
             FIRMWARE             
SDK: 29
Release: 10
Incremental: N770FXXS6CTJ4
    </t>
  </si>
  <si>
    <t>Anuken-Mindustry-3659</t>
  </si>
  <si>
    <t>sector exportation bug</t>
  </si>
  <si>
    <t xml:space="preserve">  Platform  :  Windows (probably all) _x000D_
_x000D_
  Build  :  BE 20141 _x000D_
_x000D_
  Issue  :  I have many bases producing specific resources and sending them to my main base  last versions launch pad exportation just disappear sometimes  when I go to the sector the exportation magically reappears without even needing time to calculate _x000D_
_x000D_
  Steps to reproduce  :  enter a sector  export to some other sector  go to that other sector and wait about 3 minutes and look at the exportation of the first sector _x000D_
_x000D_
  Link(s) to mod(s) used  :  none _x000D_
_x000D_
  Save file  :   tar fields zip (https:  github com Anuken Mindustry files 5613329 tar fields zip) tar fields where I produce plastanium but also happens on all my sectors _x000D_
_x000D_
If you remove the line above without reading it properly and understanding what it means  I will reap your soul  Even if you re playing on someone s server  you can still save the game to a slot _x000D_
_x000D_
  Crash report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</si>
  <si>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nextcloud-android-7559</t>
  </si>
  <si>
    <t>random crash</t>
  </si>
  <si>
    <t xml:space="preserve">The app has crashed twice  The first time I was deleting a file to the trashcan  the second time I was renaming a file  This crash report is from the renaming attempt _x000D_
_x000D_
     Nextcloud log (data nextcloud log)_x000D_
   _x000D_
Insert your Nextcloud log here_x000D_
_x000D_
             CAUSE OF ERROR             _x000D_
_x000D_
android app RemoteServiceException: Context startForegroundService() did not then call Service startForeground(): ServiceRecord de7b617 u0 com nextcloud client  media PlayerService _x000D_
	at android app ActivityThread H handleMessage(ActivityThread java:1945)_x000D_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APP INFORMATION             _x000D_
ID: com nextcloud client_x000D_
Version: 30140090_x000D_
Build flavor: generic_x000D_
_x000D_
             DEVICE INFORMATION             _x000D_
Brand: google_x000D_
Device: coral_x000D_
Model: Pixel 4 XL_x000D_
Id: QQ3A 200805 001_x000D_
Product: coral_x000D_
OS: Lineage w o gapps   w o microG_x000D_
_x000D_
             FIRMWARE             _x000D_
SDK: 29_x000D_
Release: 10_x000D_
Incremental: 0371fe5e87_x000D_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</si>
  <si>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nextcloud-android-7557</t>
  </si>
  <si>
    <t xml:space="preserve">App Crash  There is no resized image. Download the full picture? </t>
  </si>
  <si>
    <t xml:space="preserve">    Steps to reproduce_x000D_
1  Open app  go to JPG or PNG photo _x000D_
2  The application informs  There is no resized image  Download the full picture   _x000D_
3  Click Yes  switch to next photo _x000D_
4  Again click Yes     app crash_x000D_
_x000D_
_x000D_
    Expected behaviour_x000D_
  Tell us what should happen_x000D_
_x000D_
The application should download the photo from the server and view it (preview) _x000D_
_x000D_
_x000D_
    Actual behaviour_x000D_
  Tell us what happens_x000D_
_x000D_
App crash_x000D_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I can t  it only happens in the mobile app _x000D_
_x000D_
_x000D_
    Environment data_x000D_
Android version:_x000D_
_x000D_
10 0 0 182_x000D_
_x000D_
_x000D_
Device model: _x000D_
_x000D_
Huawei p20 pro _x000D_
_x000D_
_x000D_
Stock or customized system:_x000D_
_x000D_
Emui 10 0 0_x000D_
_x000D_
_x000D_
Nextcloud app version:_x000D_
_x000D_
Latest beta  3 14 1 RC2_x000D_
_x000D_
_x000D_
Nextcloud server version:_x000D_
_x000D_
20 0 2_x000D_
_x000D_
_x000D_
Reverse proxy:_x000D_
_x000D_
No_x000D_
_x000D_
_x000D_
    Logs_x000D_
     Web server error log_x000D_
_x000D_
There are no logs from the server _x000D_
_x000D_
_x000D_
Insert your webserver log here_x000D_
_x000D_
There are no logs from the server _x000D_
_x000D_
_x000D_
     Nextcloud log (data nextcloud log)_x000D_
_x000D_
Not applicable   no logs _x000D_
_x000D_
_x000D_
Insert your Nextcloud log here_x000D_
_x000D_
             CAUSE OF ERROR             _x000D_
_x000D_
java lang IllegalStateException: Fragment PreviewImageFragment 99ba563  (8eda94e2 9550 45df 8165 99df6bebec08)  not attached to a context _x000D_
	at androidx fragment app Fragment requireContext(Fragment java:805)_x000D_
	at androidx fragment app Fragment getResources(Fragment java:869)_x000D_
	at com owncloud android ui preview PreviewImageFragment lambda setErrorPreviewMessage 2 PreviewImageFragment(PreviewImageFragment java:744)_x000D_
	at com owncloud android ui preview    Lambda PreviewImageFragment lYlNRKiEmwgldJH0g5sQ  uYXY4 onClick(Unknown Source:2)_x000D_
	at com google android material snackbar Snackbar 1 onClick(Snackbar java:307)_x000D_
	at android view View performClick(View java:7192)_x000D_
	at com google android material button MaterialButton performClick(MaterialButton java:992)_x000D_
	at android view View performClickInternal(View java:7166)_x000D_
	at android view View access 3500(View java:824)_x000D_
	at android view View PerformClick run(View java:27592)_x000D_
	at android os Handler handleCallback(Handler java:888)_x000D_
	at android os Handler dispatchMessage(Handler java:100)_x000D_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_x000D_
             APP INFORMATION             _x000D_
ID: com nextcloud client_x000D_
Version: 30140152_x000D_
Build flavor: gplay_x000D_
_x000D_
             DEVICE INFORMATION             _x000D_
Brand: HUAWEI_x000D_
Device: HWCLT_x000D_
Model: CLT L29_x000D_
Id: HUAWEICLT L29_x000D_
Product: CLT L29_x000D_
_x000D_
             FIRMWARE             _x000D_
SDK: 29_x000D_
Release: 10_x000D_
Incremental: 10 0 0 171C432</t>
  </si>
  <si>
    <t>zixpo-candybar-sample-19</t>
  </si>
  <si>
    <t xml:space="preserve">Non fatal crash on Android 11:_x000D_
_x000D_
Icon Pack Name : CandyBar Sample_x000D_
Manufacturer : Google_x000D_
Model : Pixel 3_x000D_
Product : blueline_x000D_
Screen Resolution : 1080 x 2013 pixels_x000D_
Android Version : 11_x000D_
App Version : 1 0_x000D_
CandyBar Version : 3 8 1_x000D_
Crash Time : 2020 11 29 15:05:33
   _x000D_
Class Name : java lang RuntimeException_x000D_
Caused By : java lang RuntimeException: Unable to start activity ComponentInfo com candybar sample com candybar sample activities MainActivity : java lang IllegalStateException: Not allowed to start service Intent   cmp com candybar sample candybar lib services CandyBarService  : app is in background uid UidRecord d3020dc u0a420 TPSL idle procs:1 seq(0 0 0) _x000D_
_x000D_
android app ActivityThread performLaunchActivity(ActivityThread java:3449)_x000D_
android app ActivityThread handleLaunchActivity(ActivityThread java:3601)_x000D_
android app servertransaction LaunchActivityItem execute(LaunchActivityItem java:85)_x000D_
android app servertransaction TransactionExecutor executeCallbacks(TransactionExecutor java:135)_x000D_
android app servertransaction TransactionExecutor execute(TransactionExecutor java:95)_x000D_
android app ActivityThread H handleMessage(ActivityThread java:2066)_x000D_
android os Handler dispatchMessage(Handler java:106)_x000D_
android os Looper loop(Looper java:223)_x000D_
android app ActivityThread main(ActivityThread java:7656)_x000D_
java lang reflect Method invoke(Native Method)_x000D_
com android internal os RuntimeInit MethodAndArgsCaller run(RuntimeInit java:592)_x000D_
com android internal os ZygoteInit main(ZygoteInit java:947)
   </t>
  </si>
  <si>
    <t>cgeo-cgeo-9459</t>
  </si>
  <si>
    <t>NPE in InitializeMap</t>
  </si>
  <si>
    <t xml:space="preserve">Reported as new with version 2020 11 22 _x000D_
50 crashes for 44 users so far _x000D_
_x000D_
   _x000D_
java lang NullPointerException: _x000D_
  at cgeo geocaching maps CGeoMap initializeMap (CGeoMap java:509)_x000D_
  at cgeo geocaching maps CGeoMap lambda onCreate 0 (CGeoMap java:594)_x000D_
  at cgeo geocaching maps CGeoMap lambda onCreate 0 CGeoMap (Unknown Source)_x000D_
  at cgeo geocaching maps    Lambda CGeoMap zl57jPj4 ITP0U28Eu5lu7jK4RQ mapReady (Unknown Source:4)_x000D_
  at cgeo geocaching maps google v2 GoogleMapView onMapReady (GoogleMapView java:164)_x000D_
  at com google android gms maps zzac zza (Unknown Source:2)_x000D_
  at com google android gms maps internal zzaq dispatchTransaction (Unknown Source:12)_x000D_
  at com google android gms internal maps zzb onTransact (Unknown Source:12)_x000D_
  at android os Binder transact (Binder java:1043)_x000D_
  at dm aY (com google android gms dynamite mapsdynamite 204217097 20 42 17 (150400 0):2)_x000D_
  at com google maps api android lib6 impl bi run (com google android gms dynamite mapsdynamite 204217097 20 42 17 (150400 0):1)_x000D_
  at android os Handler handleCallback (Handler java:938)_x000D_
  at android os Handler dispatchMessage (Handler java:99)_x000D_
  at android os Looper loop (Looper java:223)_x000D_
  at android app ActivityThread main (ActivityThread java:7656)_x000D_
  at java lang reflect Method invoke (Native Method)_x000D_
  at com android internal os RuntimeInit MethodAndArgsCaller run (RuntimeInit java:592)_x000D_
  at com android internal os ZygoteInit main (ZygoteInit java:947)_x000D_
   </t>
  </si>
  <si>
    <t>nextcloud-android-7553</t>
  </si>
  <si>
    <t>Android App crash</t>
  </si>
  <si>
    <t xml:space="preserve">    Steps to reproduce_x000D_
1  Connect to fresh server_x000D_
2  Play around with the default files of new user_x000D_
3  _x000D_
_x000D_
    Expected behaviour_x000D_
No crash_x000D_
_x000D_
    Actual behaviour_x000D_
         CAUSE OF ERROR         _x000D_
_x000D_
android app RemoteServiceException: Context startForegroundService() did not then call Service startForeground(): ServiceRecord 8da324c u0 com nextcloud client  media PlayerService _x000D_
	at android app ActivityThread H handleMessage(ActivityThread java:2038)_x000D_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30140090_x000D_
Build flavor: gplay_x000D_
_x000D_
         DEVICE INFORMATION         _x000D_
Brand: OnePlus_x000D_
Device: OnePlus6_x000D_
Model: ONEPLUS A6003_x000D_
Id: QKQ1 190716 003_x000D_
Product: OnePlus6_x000D_
_x000D_
         FIRMWARE         _x000D_
SDK: 29_x000D_
Release: 10_x000D_
Incremental: 2010042216</t>
  </si>
  <si>
    <t>nextcloud-android-7551</t>
  </si>
  <si>
    <t>Repeated crashes Android App</t>
  </si>
  <si>
    <t xml:space="preserve">    Steps to reproduce_x000D_
1  Opening sofortupload folder (when an upload is in progress)_x000D_
2  _x000D_
3  _x000D_
_x000D_
    Expected behaviour_x000D_
Thumbs shown_x000D_
_x000D_
    Actual behaviour_x000D_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CAUSE OF ERROR             _x000D_
_x000D_
android app RemoteServiceException: Context startForegroundService() did not then call Service startForeground(): ServiceRecord 23a4728 u0 com nextcloud client  media PlayerService _x000D_
	at android app ActivityThread H handleMessage(ActivityThread java:2188)_x000D_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APP INFORMATION             _x000D_
ID: com nextcloud client_x000D_
Version: 30140090_x000D_
Build flavor: gplay_x000D_
_x000D_
             DEVICE INFORMATION             _x000D_
Brand: samsung_x000D_
Device: gts6lwifi_x000D_
Model: SM T860_x000D_
Id: QP1A 190711 020_x000D_
Product: gts6lwifieea_x000D_
_x000D_
             FIRMWARE             _x000D_
SDK: 29_x000D_
Release: 10_x000D_
Incremental: T860XXU3BTK2_x000D_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</si>
  <si>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TeamNewPipe-NewPipe-5035</t>
  </si>
  <si>
    <t>Crash on scroll to top in local lists after rotation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</si>
  <si>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and 0 20 5 (dev) (because of the  ErrorActivity  bug in latest version)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0  Add many items to your history or create a local playlist with many item and enable auto rotation _x000D_
1  Within history or playlist details start a video in main player and wait until it plays _x000D_
2  Minimize the player and scroll down until the header isn t visible anymore _x000D_
3  Rotate your device _x000D_
4  Scroll to the top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After the rotation the header item is stuck to the top below one video item  After scrolling up to the top the app crashes with the below exception _x000D_
_x000D_
    Expected behavior_x000D_
     Tell us what you expect to happen     _x000D_
_x000D_
The header item shouldn t be stuck to the top after rotation _x000D_
_x000D_
    Logs_x000D_
     If your bug includes a crash (where you re shown the Error Report page with a bunch of info)  tap on  Copy formatted report  at the bottom and paste it here:    _x000D_
_x000D_
     That s right  here     _x000D_
_x000D_
 details _x000D_
   summary Exception  summary _x000D_
  _x000D_
   Exception_x000D_
    User Action:   ui error_x000D_
    Request:   App crash  UI failure_x000D_
    Content Country:   DE_x000D_
    Content Language:   de DE_x000D_
    App Language:   de DE_x000D_
    Service:   none_x000D_
    Version:   0 20 5_x000D_
    OS:   Linux Android 10   29_x000D_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details _x000D_
 hr _x000D_
  _x000D_
  details _x000D_
_x000D_
     Please fill this out when you do not provide a log generate by NewPipe    _x000D_
_x000D_
    Device info_x000D_
_x000D_
   Android version Custom ROM version: LineageOS 17 1   Android 10_x000D_
   Device model: S4_x000D_
</t>
  </si>
  <si>
    <t>nextcloud-android-7548</t>
  </si>
  <si>
    <t>Crash after opening folder with pics</t>
  </si>
  <si>
    <t xml:space="preserve">    Steps to reproduce_x000D_
1  Open folder with pics_x000D_
2  Change sorting  e g  oldest to newest or similar_x000D_
_x000D_
    Expected behaviour_x000D_
  new view or sorting is visible_x000D_
_x000D_
    Actual behaviour_x000D_
  crash_x000D_
_x000D_
    Can you reproduce this problem on https:  try nextcloud com _x000D_
_x000D_
    Environment data_x000D_
             CAUSE OF ERROR             _x000D_
_x000D_
java lang IndexOutOfBoundsException: Inconsistency detected  Invalid item position 33(offset:33) state:44 com owncloud android ui EmptyRecyclerView 7c1552a VFED               0 0 1080 2168  7f09021d app:id list root   adapter:com owncloud android ui adapter OCFileListAdapter 2f3abec  layout:androidx recyclerview widget GridLayoutManager 4aa4bb5  context:com owncloud android ui activity FileDisplayActivity e45af41_x000D_
	at androidx recyclerview widget RecyclerView Recycler tryGetViewHolderForPositionByDeadline(RecyclerView java:6183)_x000D_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java:883)_x000D_
	at android os Handler dispatchMessage(Handler java:100)_x000D_
	at android os Looper loop(Looper java:224)_x000D_
	at android app ActivityThread main(ActivityThread java:7562)_x000D_
	at java lang reflect Method invoke(Native Method)_x000D_
	at com android internal os RuntimeInit MethodAndArgsCaller run(RuntimeInit java:539)_x000D_
	at com android internal os ZygoteInit main(ZygoteInit java:950)_x000D_
_x000D_
             APP INFORMATION             _x000D_
ID: com nextcloud client_x000D_
Version: 30140090_x000D_
Build flavor: gplay_x000D_
_x000D_
             DEVICE INFORMATION             _x000D_
Brand: Redmi_x000D_
Device: joyeuse_x000D_
Model: Redmi Note 9 Pro_x000D_
Id: QKQ1 191215 002_x000D_
Product: joyeuse global_x000D_
_x000D_
             FIRMWARE             _x000D_
SDK: 29_x000D_
Release: 10_x000D_
Incremental: V12 0 1 0 QJZMIXM_x000D_
_x000D_
_x000D_
    Logs_x000D_
Not available</t>
  </si>
  <si>
    <t>microg-UnifiedNlp-201</t>
  </si>
  <si>
    <t>UnifiedNlp backend crash</t>
  </si>
  <si>
    <t>Hi _x000D_
_x000D_
  Describe the bug  _x000D_
_x000D_
When opening the  microg parameters  app  I get a notification about the nlp backend having crashed (Apple used here  but I can reproduce with other backends as well) _x000D_
_x000D_
  To Reproduce  _x000D_
Steps to reproduce the behavior:_x000D_
1  Go to  microg parameters  app_x000D_
2  Get the notification about crashing app_x000D_
_x000D_
Adb logcat output is provided below _x000D_
_x000D_
  Expected behavior  _x000D_
 _x000D_
_x000D_
  Screenshots  _x000D_
  (I can provide if useful)_x000D_
_x000D_
  System  _x000D_
Android Version:  e g  10  8 1_x000D_
Custom ROM:  e g  LineageOS 17 1  I m using custom Lineage 15 1 ROM from https:  forum xda developers com lg g6 development rom unofficial lineageos 16 0 lg g6 _x000D_
_x000D_
  Additional context  _x000D_
_x000D_
  I used NanoDroid patcher to enable signature spoofing (precisely https:  github com Nanolx NanoDroid blob master doc DeodexServices md vdex and https:  downloads nanolx org NanoDroid Stable NanoDroid patcher 23 0 1 20201029 zip)  I get the same situation if I use XPosed for signature spoofing _x000D_
_x000D_
  My ROM does not provide any GAPPS and none were installed (  clean flash  so no leftovers)_x000D_
_x000D_
  All self checks are fine in microg parameters app _x000D_
_x000D_
  microG services core (v0 2 14 204215) and microG services framework proxy (v0 1 0) were installed through the microG F Droid repo (as normal apps)  Apple UnifiedNlp Backend (v1 2 3) is installed through the official F Droid repo (as normal apps) _x000D_
_x000D_
  ADB Logcat:_x000D_
   _x000D_
11 29 13:21:37 686  3626  3626 D ULocClient: ref: org microg nlp ui BackendListFragment onResume(BackendListFragment kt:48)_x000D_
11 29 13:21:37 686  3626  3626 D ULocClient: updateBinding   current: true  refs: 2  reqs: 0  avail: true_x000D_
11 29 13:21:37 688  3626  3626 D ULocClient: ref get: org microg nlp client UnifiedLocationClient getLocationBackends(UnifiedLocationClient kt:363)_x000D_
11 29 13:21:37 691  3626  3626 D ULocClient: unref: org microg nlp client UnifiedLocationClient getLocationBackends(UnifiedLocationClient kt:368)_x000D_
11 29 13:21:37 691  3626  3626 D ULocClient: updateBinding   current: true  refs: 2  reqs: 0  avail: true_x000D_
11 29 13:21:37 696  3626  3626 D ULocClient: ref get: org microg nlp client UnifiedLocationClient getGeocoderBackends(UnifiedLocationClient kt:384)_x000D_
11 29 13:21:37 697  3626  3626 D ULocClient: unref: org microg nlp client UnifiedLocationClient getGeocoderBackends(UnifiedLocationClient kt:389)_x000D_
11 29 13:21:37 697  3626  3626 D ULocClient: updateBinding   current: true  refs: 2  reqs: 0  avail: true_x000D_
11 29 13:21:37 708  3626  3626 D ULocClient: unref: org microg nlp ui BackendDetailsFragment onPause(BackendDetailsFragment kt:99)_x000D_
11 29 13:21:37 708  3626  3626 D ULocClient: updateBinding   current: true  refs: 1  reqs: 0  avail: true_x000D_
11 29 13:21:38 350   930  1596 D AudioService: Stream muted  skip playback_x000D_
11 29 13:21:38 416  3626  3626 D ULocClient: unref: org microg nlp ui BackendListFragment onPause(BackendListFragment kt:54)_x000D_
11 29 13:21:38 416  3626  3626 D ULocClient: updateBinding   current: true  refs: 0  reqs: 0  avail: true_x000D_
11 29 13:21:38 445  3389  3389 D ULocService: onDestroy_x000D_
11 29 13:21:38 454  3389  3772 D UnifiedLocation: Calling close_x000D_
11 29 13:21:38 456  4597  4624 D AppleNlpBackendService: onClose_x000D_
11 29 13:21:38 461  3389  3773 D UnifiedLocation: Unbinding from: Intent   act org microg nlp LOCATION BACKEND pkg org microg nlp backend apple cmp org microg nlp backend apple  BackendService  _x000D_
11 29 13:21:38 390   930  1223 D AutofillManagerService: onBackKeyPressed()_x000D_
11 29 13:21:38 463  3389  3389 E ActivityThread: Service org microg nlp service UnifiedLocationServiceEntryPoint has leaked ServiceConnection org microg nlp service LocationBackendHelper 45d922 that was originally bound here_x000D_
11 29 13:21:38 463  3389  3389 E ActivityThread: android app ServiceConnectionLeaked: Service org microg nlp service UnifiedLocationServiceEntryPoint has leaked ServiceConnection org microg nlp service LocationBackendHelper 45d922 that was originally bound here_x000D_
11 29 13:21:38 463  3389  3389 E ActivityThread: 	at android app LoadedApk ServiceDispatcher  init (LoadedApk java:1532)_x000D_
11 29 13:21:38 463  3389  3389 E ActivityThread: 	at android app LoadedApk getServiceDispatcher(LoadedApk java:1424)_x000D_
11 29 13:21:38 463  3389  3389 E ActivityThread: 	at android app ContextImpl bindServiceCommon(ContextImpl java:1605)_x000D_
11 29 13:21:38 463  3389  3389 E ActivityThread: 	at android app ContextImpl bindService(ContextImpl java:1557)_x000D_
11 29 13:21:38 463  3389  3389 E ActivityThread: 	at android content ContextWrapper bindService(ContextWrapper java:684)_x000D_
11 29 13:21:38 463  3389  3389 E ActivityThread: 	at org microg nlp service AbstractBackendHelper bind(AbstractBackendHelper kt:76)_x000D_
11 29 13:21:38 463  3389  3389 E ActivityThread: 	at org microg nlp service LocationFuser bind(LocationFuser kt:55)_x000D_
11 29 13:21:38 463  3389  3389 E ActivityThread: 	at org microg nlp service UnifiedLocationServiceRoot reset(UnifiedLocationServiceRoot kt:219)_x000D_
11 29 13:21:38 463  3389  3389 E ActivityThread: 	at org microg nlp service UnifiedLocationServiceRoot 1 invokeSuspend(UnifiedLocationServiceRoot kt:44)_x000D_
11 29 13:21:38 463  3389  3389 E ActivityThread: 	at kotlin coroutines jvm internal BaseContinuationImpl resumeWith(ContinuationImpl kt:33)_x000D_
11 29 13:21:38 463  3389  3389 E ActivityThread: 	at kotlinx coroutines DispatchedTask run(DispatchedTask kt:56)_x000D_
11 29 13:21:38 463  3389  3389 E ActivityThread: 	at kotlinx coroutines scheduling CoroutineScheduler runSafely(CoroutineScheduler kt:571)_x000D_
11 29 13:21:38 463  3389  3389 E ActivityThread: 	at kotlinx coroutines scheduling CoroutineScheduler Worker executeTask(CoroutineScheduler kt:738)_x000D_
11 29 13:21:38 463  3389  3389 E ActivityThread: 	at kotlinx coroutines scheduling CoroutineScheduler Worker runWorker(CoroutineScheduler kt:678)_x000D_
11 29 13:21:38 463  3389  3389 E ActivityThread: 	at kotlinx coroutines scheduling CoroutineScheduler Worker run(CoroutineScheduler kt:665)_x000D_
11 29 13:21:38 476  3389  3389 E ActivityThread: Service org microg nlp service UnifiedLocationServiceEntryPoint has leaked ServiceConnection org microg nlp service GeocodeBackendHelper 831ffb3 that was originally bound here_x000D_
11 29 13:21:38 476  3389  3389 E ActivityThread: android app ServiceConnectionLeaked: Service org microg nlp service UnifiedLocationServiceEntryPoint has leaked ServiceConnection org microg nlp service GeocodeBackendHelper 831ffb3 that was originally bound here_x000D_
11 29 13:21:38 476  3389  3389 E ActivityThread: 	at android app LoadedApk ServiceDispatcher  init (LoadedApk java:1532)_x000D_
11 29 13:21:38 476  3389  3389 E ActivityThread: 	at android app LoadedApk getServiceDispatcher(LoadedApk java:1424)_x000D_
11 29 13:21:38 476  3389  3389 E ActivityThread: 	at android app ContextImpl bindServiceCommon(ContextImpl java:1605)_x000D_
11 29 13:21:38 476  3389  3389 E ActivityThread: 	at android app ContextImpl bindService(ContextImpl java:1557)_x000D_
11 29 13:21:38 476  3389  3389 E ActivityThread: 	at android content ContextWrapper bindService(ContextWrapper java:684)_x000D_
11 29 13:21:38 476  3389  3389 E ActivityThread: 	at org microg nlp service AbstractBackendHelper bind(AbstractBackendHelper kt:76)_x000D_
11 29 13:21:38 476  3389  3389 E ActivityThread: 	at org microg nlp service GeocodeFuser bind(GeocodeFuser kt:35)_x000D_
11 29 13:21:38 476  3389  3389 E ActivityThread: 	at org microg nlp service UnifiedLocationServiceRoot reset(UnifiedLocationServiceRoot kt:221)_x000D_
11 29 13:21:38 476  3389  3389 E ActivityThread: 	at org microg nlp service UnifiedLocationServiceRoot 1 invokeSuspend(UnifiedLocationServiceRoot kt:44)_x000D_
11 29 13:21:38 476  3389  3389 E ActivityThread: 	at kotlin coroutines jvm internal BaseContinuationImpl resumeWith(ContinuationImpl kt:33)_x000D_
11 29 13:21:38 476  3389  3389 E ActivityThread: 	at kotlinx coroutines DispatchedTask run(DispatchedTask kt:56)_x000D_
11 29 13:21:38 476  3389  3389 E ActivityThread: 	at kotlinx coroutines scheduling CoroutineScheduler runSafely(CoroutineScheduler kt:571)_x000D_
11 29 13:21:38 476  3389  3389 E ActivityThread: 	at kotlinx coroutines scheduling CoroutineScheduler Worker executeTask(CoroutineScheduler kt:738)_x000D_
11 29 13:21:38 476  3389  3389 E ActivityThread: 	at kotlinx coroutines scheduling CoroutineScheduler Worker runWorker(CoroutineScheduler kt:678)_x000D_
11 29 13:21:38 476  3389  3389 E ActivityThread: 	at kotlinx coroutines scheduling CoroutineScheduler Worker run(CoroutineScheduler kt:665)_x000D_
11 29 13:21:38 480   930  1936 I ActivityManager: Killing 3949:it niedermann owncloud notes u0a102 (adj 906): empty  17_x000D_
11 29 13:21:38 481   930  1225 W zygote64: kill( 3949  9) failed: No such process_x000D_
11 29 13:21:38 494  3389  3773 W UnifiedLocation: _x000D_
11 29 13:21:38 494  3389  3773 W UnifiedLocation: java lang IllegalArgumentException: Service not registered: org microg nlp service LocationBackendHelper 45d922_x000D_
11 29 13:21:38 494  3389  3773 W UnifiedLocation: 	at android app LoadedApk forgetServiceDispatcher(LoadedApk java:1484)_x000D_
11 29 13:21:38 494  3389  3773 W UnifiedLocation: 	at android app ContextImpl unbindService(ContextImpl java:1638)_x000D_
11 29 13:21:38 494  3389  3773 W UnifiedLocation: 	at android content ContextWrapper unbindService(ContextWrapper java:703)_x000D_
11 29 13:21:38 494  3389  3773 W UnifiedLocation: 	at org microg nlp service AbstractBackendHelper unbind(AbstractBackendHelper kt:54)_x000D_
11 29 13:21:38 494  3389  3773 W UnifiedLocation: 	at org microg nlp service AbstractBackendHelper unbind 1 invokeSuspend(Unknown Source:11)_x000D_
11 29 13:21:38 494  3389  3773 W UnifiedLocation: 	at kotlin coroutines jvm internal BaseContinuationImpl resumeWith(ContinuationImpl kt:33)_x000D_
11 29 13:21:38 494  3389  3773 W UnifiedLocation: 	at kotlinx coroutines DispatchedTask run(DispatchedTask kt:56)_x000D_
11 29 13:21:38 494  3389  3773 W UnifiedLocation: 	at kotlinx coroutines scheduling CoroutineScheduler runSafely(CoroutineScheduler kt:571)_x000D_
11 29 13:21:38 494  3389  3773 W UnifiedLocation: 	at kotlinx coroutines scheduling CoroutineScheduler Worker executeTask(CoroutineScheduler kt:738)_x000D_
11 29 13:21:38 494  3389  3773 W UnifiedLocation: 	at kotlinx coroutines scheduling CoroutineScheduler Worker runWorker(CoroutineScheduler kt:678)_x000D_
11 29 13:21:38 494  3389  3773 W UnifiedLocation: 	at kotlinx coroutines scheduling CoroutineScheduler Worker run(CoroutineScheduler kt:665)_x000D_
11 29 13:21:38 497   930  1936 I ActivityManager: Killing 4059:org mozilla fennec fdroid:tab0 u0a96 (adj 906): empty  17_x000D_
11 29 13:21:38 497  3389  3773 D UnifiedGeocoder: Unbinding from: Intent   act org microg nlp GEOCODER BACKEND pkg org microg nlp backend nominatim cmp org microg nlp backend nominatim  BackendService  _x000D_
11 29 13:21:38 502  3389  3773 W UnifiedGeocoder: _x000D_
11 29 13:21:38 502  3389  3773 W UnifiedGeocoder: java lang IllegalArgumentException: Service not registered: org microg nlp service GeocodeBackendHelper 831ffb3_x000D_
11 29 13:21:38 502  3389  3773 W UnifiedGeocoder: 	at android app LoadedApk forgetServiceDispatcher(LoadedApk java:1484)_x000D_
11 29 13:21:38 502  3389  3773 W UnifiedGeocoder: 	at android app ContextImpl unbindService(ContextImpl java:1638)_x000D_
11 29 13:21:38 502  3389  3773 W UnifiedGeocoder: 	at android content ContextWrapper unbindService(ContextWrapper java:703)_x000D_
11 29 13:21:38 502  3389  3773 W UnifiedGeocoder: 	at org microg nlp service AbstractBackendHelper unbind(AbstractBackendHelper kt:54)_x000D_
11 29 13:21:38 502  3389  3773 W UnifiedGeocoder: 	at org microg nlp service AbstractBackendHelper unbind 1 invokeSuspend(Unknown Source:11)_x000D_
11 29 13:21:38 502  3389  3773 W UnifiedGeocoder: 	at kotlin coroutines jvm internal BaseContinuationImpl resumeWith(ContinuationImpl kt:33)_x000D_
11 29 13:21:38 502  3389  3773 W UnifiedGeocoder: 	at kotlinx coroutines DispatchedTask run(DispatchedTask kt:56)_x000D_
11 29 13:21:38 502  3389  3773 W UnifiedGeocoder: 	at kotlinx coroutines scheduling CoroutineScheduler runSafely(CoroutineScheduler kt:571)_x000D_
11 29 13:21:38 502  3389  3773 W UnifiedGeocoder: 	at kotlinx coroutines scheduling CoroutineScheduler Worker executeTask(CoroutineScheduler kt:738)_x000D_
11 29 13:21:38 502  3389  3773 W UnifiedGeocoder: 	at kotlinx coroutines scheduling CoroutineScheduler Worker runWorker(CoroutineScheduler kt:678)_x000D_
11 29 13:21:38 502  3389  3773 W UnifiedGeocoder: 	at kotlinx coroutines scheduling CoroutineScheduler Worker run(CoroutineScheduler kt:665)_x000D_
11 29 13:21:38 525   930  1225 W zygote64: kill( 3949  9) failed: No such process_x000D_
11 29 13:21:38 525   930  1225 I zygote64: Successfully killed process cgroup uid 10102 pid 3949 in 45ms_x000D_
11 29 13:21:38 526   930  1225 W zygote64: kill( 4059  9) failed: No such process_x000D_
11 29 13:21:38 526   930  1225 I zygote64: Successfully killed process cgroup uid 10096 pid 4059 in 0ms_x000D_
11 29 13:21:38 532   930  1971 W ActivityManager: Scheduling restart of crashed service org mozilla fennec fdroid org mozilla gecko process GeckoChildProcessServices tab0 in 1000ms_x000D_
11 29 13:21:38 599  3626  3626 D ULocClient: ref get: org microg nlp client UnifiedLocationClient getLocationBackends(UnifiedLocationClient kt:363)_x000D_
11 29 13:21:38 601  3626  3626 D ULocClient: updateBinding   current: false  refs: 1  reqs: 0  avail: true_x000D_
11 29 13:21:38 606  3626  3626 D ULocClient: Binding to Intent   act org microg nlp service UnifiedLocationService pkg com google android gms  _x000D_
11 29 13:21:38 622  3389  3389 D ULocService: onCreate_x000D_
11 29 13:21:38 623  3389  3389 D ULocService: onBind: Intent   act org microg nlp service UnifiedLocationService pkg com google android gms  _x000D_
11 29 13:21:38 627  3389  3773 D UnifiedLocation: Backend: org microg nlp backend ichnaea org microg nlp backend ichnaea BackendService 6ad8bcb1300536d2157d144f6b77cb09551048bd78aaf91522c4ab12ec2c526d_x000D_
11 29 13:21:38 628  3389  3773 D UnifiedLocation: Backend: org microg nlp backend apple org microg nlp backend apple BackendService c9d100a7d07775163d0131afdda1c6b01bdeb9b1e39ddad8a3d9ed72fb266319_x000D_
11 29 13:21:38 629  3389  3773 D UnifiedLocation: Binding to: Intent   act org microg nlp LOCATION BACKEND pkg org microg nlp backend ichnaea cmp org microg nlp backend ichnaea  BackendService   sig: 6ad8bcb1300536d2157d144f6b77cb09551048bd78aaf91522c4ab12ec2c526d_x000D_
11 29 13:21:38 630  3389  3773 W UnifiedLocation: Target signature does not match selected package (6ad8bcb1300536d2157d144f6b77cb09551048bd78aaf91522c4ab12ec2c526d    null)  Aborting _x000D_
11 29 13:21:38 630  3389  3773 D UnifiedLocation: Binding to: Intent   act org microg nlp LOCATION BACKEND pkg org microg nlp backend apple cmp org microg nlp backend apple  BackendService   sig: c9d100a7d07775163d0131afdda1c6b01bdeb9b1e39ddad8a3d9ed72fb266319_x000D_
11 29 13:21:38 632  3626  3626 D ULocClient: Connected to ComponentInfo com google android gms org microg nlp service UnifiedLocationServiceEntryPoint _x000D_
11 29 13:21:38 638  3626  3782 D ULocClient: Registering location callback_x000D_
11 29 13:21:38 653  3389  3389 D UnifiedLocation: Bound to: ComponentInfo org microg nlp backend apple org microg nlp backend apple BackendService _x000D_
11 29 13:21:38 655  3389  3772 D UnifiedLocation: Calling open_x000D_
11 29 13:21:38 655  3389  3773 D UnifiedGeocoder: Binding to: Intent   act org microg nlp GEOCODER BACKEND pkg org microg nlp backend nominatim cmp org microg nlp backend nominatim  BackendService   sig: 44226aa6b4ff69627283a28348976371558f039561f776208da08c294286d5d2_x000D_
11 29 13:21:38 658  4597  4624 D AppleNlpBackendService: onOpen_x000D_
11 29 13:21:38 668  3389  3402 D ULocService: registerLocationCallback com google android gms _x000D_
11 29 13:21:38 669  3626  3782 D ULocClient: Registered location callback_x000D_
11 29 13:21:38 669  3626  3782 D ULocClient: Disable automatic updates_x000D_
11 29 13:21:38 670  3389  3402 D ULocService: setUpdateInterval com google android gms  interval: 0_x000D_
11 29 13:21:38 670  3389  3402 D ULocService: Disable location updates_x000D_
11 29 13:21:38 670  3626  3782 D ULocClient: Resuming 1 continuations_x000D_
11 29 13:21:38 671  3626  3626 D ULocClient: unref: org microg nlp client UnifiedLocationClient getLocationBackends(UnifiedLocationClient kt:368)_x000D_
11 29 13:21:38 671  3626  3626 D ULocClient: updateBinding   current: true  refs: 0  reqs: 0  avail: true_x000D_
11 29 13:21:38 675  3389  3389 D ULocService: onDestroy_x000D_
11 29 13:21:38 677  3389  3389 E ActivityThread: Service org microg nlp service UnifiedLocationServiceEntryPoint has leaked ServiceConnection org microg nlp service LocationBackendHelper 7432334 that was originally bound here_x000D_
11 29 13:21:38 677  3389  3389 E ActivityThread: android app ServiceConnectionLeaked: Service org microg nlp service UnifiedLocationServiceEntryPoint has leaked ServiceConnection org microg nlp service LocationBackendHelper 7432334 that was originally bound here_x000D_
11 29 13:21:38 677  3389  3389 E ActivityThread: 	at android app LoadedApk ServiceDispatcher  init (LoadedApk java:1532)_x000D_
11 29 13:21:38 677  3389  3389 E ActivityThread: 	at android app LoadedApk getServiceDispatcher(LoadedApk java:1424)_x000D_
11 29 13:21:38 677  3389  3389 E ActivityThread: 	at android app ContextImpl bindServiceCommon(ContextImpl java:1605)_x000D_
11 29 13:21:38 677  3389  3389 E ActivityThread: 	at android app ContextImpl bindService(ContextImpl java:1557)_x000D_
11 29 13:21:38 677  3389  3389 E ActivityThread: 	at android content ContextWrapper bindService(ContextWrapper java:684)_x000D_
11 29 13:21:38 677  3389  3389 E ActivityThread: 	at org microg nlp service AbstractBackendHelper bind(AbstractBackendHelper kt:76)_x000D_
11 29 13:21:38 677  3389  3389 E ActivityThread: 	at org microg nlp service LocationFuser bind(LocationFuser kt:55)_x000D_
11 29 13:21:38 677  3389  3389 E ActivityThread: 	at org microg nlp service UnifiedLocationServiceRoot reset(UnifiedLocationServiceRoot kt:219)_x000D_
11 29 13:21:38 677  3389  3389 E ActivityThread: 	at org microg nlp service UnifiedLocationServiceRoot 1 invokeSuspend(UnifiedLocationServiceRoot kt:44)_x000D_
11 29 13:21:38 677  3389  3389 E ActivityThread: 	at kotlin coroutines jvm internal BaseContinuationImpl resumeWith(ContinuationImpl kt:33)_x000D_
11 29 13:21:38 677  3389  3389 E ActivityThread: 	at kotlinx coroutines DispatchedTask run(DispatchedTask kt:56)_x000D_
11 29 13:21:38 677  3389  3389 E ActivityThread: 	at kotlinx coroutines scheduling CoroutineScheduler runSafely(CoroutineScheduler kt:571)_x000D_
11 29 13:21:38 677  3389  3389 E ActivityThread: 	at kotlinx coroutines scheduling CoroutineScheduler Worker executeTask(CoroutineScheduler kt:738)_x000D_
11 29 13:21:38 677  3389  3389 E ActivityThread: 	at kotlinx coroutines scheduling CoroutineScheduler Worker runWorker(CoroutineScheduler kt:678)_x000D_
11 29 13:21:38 677  3389  3389 E ActivityThread: 	at kotlinx coroutines scheduling CoroutineScheduler Worker run(CoroutineScheduler kt:665)_x000D_
11 29 13:21:38 678  3389  3772 D UnifiedLocation: Calling close_x000D_
11 29 13:21:38 678  3626  3626 D ULocClient: ref get: org microg nlp client UnifiedLocationClient getGeocoderBackends(UnifiedLocationClient kt:384)_x000D_
11 29 13:21:38 679  3626  3626 D ULocClient: updateBinding   current: false  refs: 1  reqs: 0  avail: true_x000D_
11 29 13:21:38 680  4597  4624 D AppleNlpBackendService: onClose_x000D_
11 29 13:21:38 682  3626  3626 D ULocClient: Binding to Intent   act org microg nlp service UnifiedLocationService pkg com google android gms  _x000D_
11 29 13:21:38 688  3389  3389 E ActivityThread: Service org microg nlp service UnifiedLocationServiceEntryPoint has leaked ServiceConnection org microg nlp service GeocodeBackendHelper a88055d that was originally bound here_x000D_
11 29 13:21:38 688  3389  3389 E ActivityThread: android app ServiceConnectionLeaked: Service org microg nlp service UnifiedLocationServiceEntryPoint has leaked ServiceConnection org microg nlp service GeocodeBackendHelper a88055d that was originally bound here_x000D_
11 29 13:21:38 688  3389  3389 E ActivityThread: 	at android app LoadedApk ServiceDispatcher  init (LoadedApk java:1532)_x000D_
11 29 13:21:38 688  3389  3389 E ActivityThread: 	at android app LoadedApk getServiceDispatcher(LoadedApk java:1424)_x000D_
11 29 13:21:38 688  3389  3389 E ActivityThread: 	at android app ContextImpl bindServiceCommon(ContextImpl java:1605)_x000D_
11 29 13:21:38 688  3389  3389 E ActivityThread: 	at android app ContextImpl bindService(ContextImpl java:1557)_x000D_
11 29 13:21:38 688  3389  3389 E ActivityThread: 	at android content ContextWrapper bindService(ContextWrapper java:684)_x000D_
11 29 13:21:38 688  3389  3389 E ActivityThread: 	at org microg nlp service AbstractBackendHelper bind(AbstractBackendHelper kt:76)_x000D_
11 29 13:21:38 688  3389  3389 E ActivityThread: 	at org microg nlp service GeocodeFuser bind(GeocodeFuser kt:35)_x000D_
11 29 13:21:38 688  3389  3389 E ActivityThread: 	at org microg nlp service UnifiedLocationServiceRoot reset(UnifiedLocationServiceRoot kt:221)_x000D_
11 29 13:21:38 688  3389  3389 E ActivityThread: 	at org microg nlp service UnifiedLocationServiceRoot 1 invokeSuspend(UnifiedLocationServiceRoot kt:44)_x000D_
11 29 13:21:38 688  3389  3389 E ActivityThread: 	at kotlin coroutines jvm internal BaseContinuationImpl resumeWith(ContinuationImpl kt:33)_x000D_
11 29 13:21:38 688  3389  3389 E ActivityThread: 	at kotlinx coroutines DispatchedTask run(DispatchedTask kt:56)_x000D_
11 29 13:21:38 688  3389  3389 E ActivityThread: 	at kotlinx coroutines scheduling CoroutineScheduler runSafely(CoroutineScheduler kt:571)_x000D_
11 29 13:21:38 688  3389  3389 E ActivityThread: 	at kotlinx coroutines scheduling CoroutineScheduler Worker executeTask(CoroutineScheduler kt:738)_x000D_
11 29 13:21:38 688  3389  3389 E ActivityThread: 	at kotlinx coroutines scheduling CoroutineScheduler Worker runWorker(CoroutineScheduler kt:678)_x000D_
11 29 13:21:38 688  3389  3389 E ActivityThread: 	at kotlinx coroutines scheduling CoroutineScheduler Worker run(CoroutineScheduler kt:665)_x000D_
11 29 13:21:38 702  3389  3389 D ULocService: onCreate_x000D_
11 29 13:21:38 702  3389  3389 D ULocService: onBind: Intent   act org microg nlp service UnifiedLocationService pkg com google android gms  _x000D_
11 29 13:21:38 704  3389  3773 D UnifiedLocation: Backend: org microg nlp backend ichnaea org microg nlp backend ichnaea BackendService 6ad8bcb1300536d2157d144f6b77cb09551048bd78aaf91522c4ab12ec2c526d_x000D_
11 29 13:21:38 705  3626  3626 D ULocClient: Connected to ComponentInfo com google android gms org microg nlp service UnifiedLocationServiceEntryPoint _x000D_
11 29 13:21:38 705  3389  3773 D UnifiedLocation: Backend: org microg nlp backend apple org microg nlp backend apple BackendService c9d100a7d07775163d0131afdda1c6b01bdeb9b1e39ddad8a3d9ed72fb266319_x000D_
11 29 13:21:38 705  3389  3773 D UnifiedLocation: Binding to: Intent   act org microg nlp LOCATION BACKEND pkg org microg nlp backend ichnaea cmp org microg nlp backend ichnaea  BackendService   sig: 6ad8bcb1300536d2157d144f6b77cb09551048bd78aaf91522c4ab12ec2c526d_x000D_
11 29 13:21:38 706  3626  3782 D ULocClient: Registering location callback_x000D_
11 29 13:21:38 706  4597  4597 D AppleNlpBackendService: onClose_x000D_
11 29 13:21:38 706  3389  3773 W UnifiedLocation: Target signature does not match selected package (6ad8bcb1300536d2157d144f6b77cb09551048bd78aaf91522c4ab12ec2c526d    null)  Aborting _x000D_
11 29 13:21:38 706  3389  3773 D UnifiedLocation: Binding to: Intent   act org microg nlp LOCATION BACKEND pkg org microg nlp backend apple cmp org microg nlp backend apple  BackendService   sig: c9d100a7d07775163d0131afdda1c6b01bdeb9b1e39ddad8a3d9ed72fb266319_x000D_
11 29 13:21:38 706  4597  4597 D AndroidRuntime: Shutting down VM_x000D_
11 29 13:21:38 707  4597  4597 E AndroidRuntime: FATAL EXCEPTION: main_x000D_
11 29 13:21:38 707  4597  4597 E AndroidRuntime: Process: org microg nlp backend apple  PID: 4597_x000D_
11 29 13:21:38 707  4597  4597 E AndroidRuntime: java lang RuntimeException: Unable to unbind to service org microg nlp backend apple BackendService cd07c8f with Intent   act org microg nlp LOCATION BACKEND pkg org microg nlp backend apple cmp org microg nlp backend apple  BackendService  : java lang IllegalStateException: Do not call onClose if not opened before_x000D_
11 29 13:21:38 707  4597  4597 E AndroidRuntime: 	at android app ActivityThread handleUnbindService(ActivityThread java:3408)_x000D_
11 29 13:21:38 707  4597  4597 E AndroidRuntime: 	at android app ActivityThread  wrap27(Unknown Source:0)_x000D_
11 29 13:21:38 707  4597  4597 E AndroidRuntime: 	at android app ActivityThread H handleMessage(ActivityThread java:1687)_x000D_
11 29 13:21:38 707  4597  4597 E AndroidRuntime: 	at android os Handler dispatchMessage(Handler java:106)_x000D_
11 29 13:21:38 707  4597  4597 E AndroidRuntime: 	at android os Looper loop(Looper java:164)_x000D_
11 29 13:21:38 707  4597  4597 E AndroidRuntime: 	at android app ActivityThread main(ActivityThread java:6494)_x000D_
11 29 13:21:38 707  4597  4597 E AndroidRuntime: 	at java lang reflect Method invoke(Native Method)_x000D_
11 29 13:21:38 707  4597  4597 E AndroidRuntime: 	at com android internal os RuntimeInit MethodAndArgsCaller run(RuntimeInit java:438)_x000D_
11 29 13:21:38 707  4597  4597 E AndroidRuntime: 	at com android internal os ZygoteInit main(ZygoteInit java:807)_x000D_
11 29 13:21:38 707  4597  4597 E AndroidRuntime: Caused by: java lang IllegalStateException: Do not call onClose if not opened before_x000D_
11 29 13:21:38 707  4597  4597 E AndroidRuntime: 	at org microg nlp api AbstractBackendHelper onClose(AbstractBackendHelper java:47)_x000D_
11 29 13:21:38 707  4597  4597 E AndroidRuntime: 	at org microg nlp api WiFiBackendHelper onClose(WiFiBackendHelper java:95)_x000D_
11 29 13:21:38 707  4597  4597 E AndroidRuntime: 	at org microg nlp api HelperLocationBackendService onClose(HelperLocationBackendService java:64)_x000D_
11 29 13:21:38 707  4597  4597 E AndroidRuntime: 	at org microg nlp backend apple BackendService onClose(BackendService java:149)_x000D_
11 29 13:21:38 707  4597  4597 E AndroidRuntime: 	at org microg nlp api LocationBackendService disconnect(LocationBackendService java:80)_x000D_
11 29 13:21:38 707  4597  4597 E AndroidRuntime: 	at org microg nlp api AbstractBackendService onUnbind(AbstractBackendService java:58)_x000D_
11 29 13:21:38 707  4597  4597 E AndroidRuntime: 	at android app ActivityThread handleUnbindService(ActivityThread java:3394)_x000D_
11 29 13:21:38 707  4597  4597 E AndroidRuntime: 	    8 more_x000D_
11 29 13:21:38 708  3389  3772 D UnifiedLocation: Unbinding from: Intent   act org microg nlp LOCATION BACKEND pkg org microg nlp backend apple cmp org microg nlp backend apple  BackendService  _x000D_
11 29 13:21:38 709  3389  3772 W UnifiedLocation: _x000D_
11 29 13:21:38 709  3389  3772 W UnifiedLocation: java lang IllegalArgumentException: Service not registered: org microg nlp service LocationBackendHelper 7432334_x000D_
11 29 13:21:38 709  3389  3772 W UnifiedLocation: 	at android app LoadedApk forgetServiceDispatcher(LoadedApk java:1484)_x000D_
11 29 13:21:38 709  3389  3772 W UnifiedLocation: 	at android app ContextImpl unbindService(ContextImpl java:1638)_x000D_
11 29 13:21:38 709  3389  3772 W UnifiedLocation: 	at android content ContextWrapper unbindService(ContextWrapper java:703)_x000D_
11 29 13:21:38 709  3389  3772 W UnifiedLocation: 	at org microg nlp service AbstractBackendHelper unbind(AbstractBackendHelper kt:54)_x000D_
11 29 13:21:38 709  3389  3772 W UnifiedLocation: 	at org microg nlp service AbstractBackendHelper unbind 1 invokeSuspend(Unknown Source:11)_x000D_
11 29 13:21:38 709  3389  3772 W UnifiedLocation: 	at kotlin coroutines jvm internal BaseContinuationImpl resumeWith(ContinuationImpl kt:33)_x000D_
11 29 13:21:38 709  3389  3772 W UnifiedLocation: 	at kotlinx coroutines DispatchedTask run(DispatchedTask kt:56)_x000D_
11 29 13:21:38 709  3389  3772 W UnifiedLocation: 	at kotlinx coroutines scheduling CoroutineScheduler runSafely(CoroutineScheduler kt:571)_x000D_
11 29 13:21:38 709  3389  3772 W UnifiedLocation: 	at kotlinx coroutines scheduling CoroutineScheduler Worker executeTask(CoroutineScheduler kt:738)_x000D_
11 29 13:21:38 709  3389  3772 W UnifiedLocation: 	at kotlinx coroutines scheduling CoroutineScheduler Worker runWorker(CoroutineScheduler kt:678)_x000D_
11 29 13:21:38 709  3389  3772 W UnifiedLocation: 	at kotlinx coroutines scheduling CoroutineScheduler Worker run(CoroutineScheduler kt:665)_x000D_
11 29 13:21:38 722  3389  3773 D UnifiedGeocoder: Binding to: Intent   act org microg nlp GEOCODER BACKEND pkg org microg nlp backend nominatim cmp org microg nlp backend nominatim  BackendService   sig: 44226aa6b4ff69627283a28348976371558f039561f776208da08c294286d5d2_x000D_
11 29 13:21:38 723  4597  4597 I Process : Sending signal  PID: 4597 SIG: 9_x000D_
11 29 13:21:38 747   930  1936 I ActivityManager: Process org microg nlp backend apple (pid 4597) has died: fore BFGS_x000D_
11 29 13:21:38 747   930  1936 W ActivityManager: Scheduling restart of crashed service org microg nlp backend apple  BackendService in 1000ms_x000D_
11 29 13:21:38 748   930  1225 W zygote64: kill( 4597  9) failed: No such process_x000D_
11 29 13:21:38 749  3389  3402 D ULocService: registerLocationCallback com google android gms _x000D_
11 29 13:21:38 750  3626  3782 D ULocClient: Registered location callback_x000D_
11 29 13:21:38 750  3626  3782 D ULocClient: Disable automatic updates_x000D_
11 29 13:21:38 752  3389  3402 D ULocService: setUpdateInterval com google android gms  interval: 0_x000D_
11 29 13:21:38 752  3389  3402 D ULocService: Disable location updates_x000D_
11 29 13:21:38 752  3626  3782 D ULocClient: Resuming 1 continuations_x000D_
11 29 13:21:38 754  3626  3626 D ULocClient: unref: org microg nlp client UnifiedLocationClient getGeocoderBackends(UnifiedLocationClient kt:389)_x000D_
11 29 13:21:38 754  3626  3626 D ULocClient: updateBinding   current: true  refs: 0  reqs: 0  avail: true_x000D_
11 29 13:21:38 766  3389  3389 D ULocService: onDestroy_x000D_
11 29 13:21:38 768  3389  3389 E ActivityThread: Service org microg nlp service UnifiedLocationServiceEntryPoint has leaked ServiceConnection org microg nlp service LocationBackendHelper 13061e that was originally bound here_x000D_
11 29 13:21:38 768  3389  3389 E ActivityThread: android app ServiceConnectionLeaked: Service org microg nlp service UnifiedLocationServiceEntryPoint has leaked ServiceConnection org microg nlp service LocationBackendHelper 13061e that was originally bound here_x000D_
11 29 13:21:38 768  3389  3389 E ActivityThread: 	at android app LoadedApk ServiceDispatcher  init (LoadedApk java:1532)_x000D_
11 29 13:21:38 768  3389  3389 E ActivityThread: 	at android app LoadedApk getServiceDispatcher(LoadedApk java:1424)_x000D_
11 29 13:21:38 768  3389  3389 E ActivityThread: 	at android app ContextImpl bindServiceCommon(ContextImpl java:1605)_x000D_
11 29 13:21:38 768  3389  3389 E ActivityThread: 	at android app ContextImpl bindService(ContextImpl java:1557)_x000D_
11 29 13:21:38 768  3389  3389 E ActivityThread: 	at android content ContextWrapper bindService(ContextWrapper java:684)_x000D_
11 29 13:21:38 768  3389  3389 E ActivityThread: 	at org microg nlp service AbstractBackendHelper bind(AbstractBackendHelper kt:76)_x000D_
11 29 13:21:38 768  3389  3389 E ActivityThread: 	at org microg nlp service LocationFuser bind(LocationFuser kt:55)_x000D_
11 29 13:21:38 768  3389  3389 E ActivityThread: 	at org microg nlp service UnifiedLocationServiceRoot reset(UnifiedLocationServiceRoot kt:219)_x000D_
11 29 13:21:38 768  3389  3389 E ActivityThread: 	at org microg nlp service UnifiedLocationServiceRoot 1 invokeSuspend(UnifiedLocationServiceRoot kt:44)_x000D_
11 29 13:21:38 768  3389  3389 E ActivityThread: 	at kotlin coroutines jvm internal BaseContinuationImpl resumeWith(ContinuationImpl kt:33)_x000D_
11 29 13:21:38 768  3389  3389 E ActivityThread: 	at kotlinx coroutines DispatchedTask run(DispatchedTask kt:56)_x000D_
11 29 13:21:38 768  3389  3389 E ActivityThread: 	at kotlinx coroutines scheduling CoroutineScheduler runSafely(CoroutineScheduler kt:571)_x000D_
11 29 13:21:38 768  3389  3389 E ActivityThread: 	at kotlinx coroutines scheduling CoroutineScheduler Worker executeTask(CoroutineScheduler kt:738)_x000D_
11 29 13:21:38 768  3389  3389 E ActivityThread: 	at kotlinx coroutines scheduling CoroutineScheduler Worker runWorker(CoroutineScheduler kt:678)_x000D_
11 29 13:21:38 768  3389  3389 E ActivityThread: 	at kotlinx coroutines scheduling CoroutineScheduler Worker run(CoroutineScheduler kt:665)_x000D_
11 29 13:21:38 784  3389  3389 E ActivityThread: Service org microg nlp service UnifiedLocationServiceEntryPoint has leaked ServiceConnection org microg nlp service GeocodeBackendHelper 853a4cc that was originally bound here_x000D_
11 29 13:21:38 784  3389  3389 E ActivityThread: android app ServiceConnectionLeaked: Service org microg nlp service UnifiedLocationServiceEntryPoint has leaked ServiceConnection org microg nlp service GeocodeBackendHelper 853a4cc that was originally bound here_x000D_
11 29 13:21:38 784  3389  3389 E ActivityThread: 	at android app LoadedApk ServiceDispatcher  init (LoadedApk java:1532)_x000D_
11 29 13:21:38 784  3389  3389 E ActivityThread: 	at android app LoadedApk getServiceDispatcher(LoadedApk java:1424)_x000D_
11 29 13:21:38 784  3389  3389 E ActivityThread: 	at android app ContextImpl bindServiceCommon(ContextImpl java:1605)_x000D_
11 29 13:21:38 784  3389  3389 E ActivityThread: 	at android app ContextImpl bindService(C</t>
  </si>
  <si>
    <t>nextcloud-android-7546</t>
  </si>
  <si>
    <t>Crash watching video</t>
  </si>
  <si>
    <t xml:space="preserve">    Steps to reproduce_x000D_
When I want to watch video in neextcloud app it crash everytime _x000D_
I tested that on 3 differend phones and it always crash with the same error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CAUSE OF ERROR              android app RemoteServiceException: Context startForegroundService() did not then call Service startForeground(): ServiceRecord adc3f8a u0 com nextcloud client  media PlayerService  at android app ActivityThread H handleMessage(ActivityThread java:2400) at android os Handler dispatchMessage(Handler java:110) at android os Looper loop(Looper java:219) at android app ActivityThread main(ActivityThread java:8347) at java lang reflect Method invoke(Native Method) at com android internal os RuntimeInit MethodAndArgsCaller run(RuntimeInit java:513) at com android internal os ZygoteInit main(ZygoteInit java:1055)              APP INFORMATION              ID: com nextcloud client Version: 30140090 Build flavor: gplay              DEVICE INFORMATION              Brand: HUAWEI Device: HWVOG Model: VOG L29 Id: HUAWEIVOG L29 Product: VOG L29EEA              FIRMWARE              SDK: 29 Release: 10 Incremental: 10 1 0 150C431 _x000D_
   _x000D_
  NOTE:   Be super sure to remove sensitive data like passwords  note that everybody can look here  You can use the Issue Template application to prefill some of the required information: https:  apps nextcloud com apps issuetemplate_x000D_
</t>
  </si>
  <si>
    <t>nextcloud-android-7545</t>
  </si>
  <si>
    <t>Crash after local deletion</t>
  </si>
  <si>
    <t xml:space="preserve">    Steps to reproduce
0  Have files and folders synced to device
1  Goto files on device
2  Delete folders just local
3  Wait some seconds
4  Go back to mainview files
5  Crash
    Expected behaviour
  Tell us what should happen
  no crash
    Actual behaviour
  The files get deleted anyway
             CAUSE OF ERROR             
android app RemoteServiceException: Context startForegroundService() did not then call Service startForeground(): ServiceRecord 2ec0380 u0 com nextcloud client  media PlayerService 
	at android app ActivityThread H handleMessage(ActivityThread java:1946)
	at android os Handler dispatchMessage(Handler java:107)
	at android os Looper loop(Looper java:214)
	at android app ActivityThread main(ActivityThread java:7397)
	at java lang reflect Method invoke(Native Method)
	at com android internal os RuntimeInit MethodAndArgsCaller run(RuntimeInit java:492)
	at com android internal os ZygoteInit main(ZygoteInit java:935)
             APP INFORMATION             
ID: com nextcloud client
Version: 30140090
Build flavor: generic
             DEVICE INFORMATION             
Brand: Nokia
Device: DDV sprout
Model: Nokia 7 2
Id: QKQ1 191014 001
Product: Daredevil 00EEA
             FIRMWARE             
SDK: 29
Release: 10
Incremental: 00WW 2 340 SP04
</t>
  </si>
  <si>
    <t>nextcloud-android-7544</t>
  </si>
  <si>
    <t xml:space="preserve">Upload </t>
  </si>
  <si>
    <t xml:space="preserve">    Actual behaviour_x000D_
  App crashes in opening file_x000D_
_x000D_
_x000D_
    Environment data_x000D_
             APP INFORMATION             _x000D_
ID: com nextcloud client_x000D_
Version: 30140090_x000D_
Build flavor: gplay_x000D_
_x000D_
             DEVICE INFORMATION             _x000D_
Brand: Xiaomi_x000D_
Device: cepheus_x000D_
Model: MI 9_x000D_
Id: QKQ1 190825 002_x000D_
Product: cepheus eea_x000D_
_x000D_
             FIRMWARE             _x000D_
SDK: 29_x000D_
Release: 10_x000D_
Incremental: V11 0 9 0 QFAEUXM_x000D_
 _x000D_
    Logs_x000D_
     Web server error log_x000D_
   _x000D_
Insert your webserver log here_x000D_
   _x000D_
_x000D_
     Nextcloud log (data nextcloud log)_x000D_
   _x000D_
             CAUSE OF ERROR             _x000D_
_x000D_
android app RemoteServiceException: Context startForegroundService() did not then call Service startForeground(): ServiceRecord a81643e u0 com nextcloud client  media PlayerService _x000D_
	at android app ActivityThread H handleMessage(ActivityThread java:1969)_x000D_
	at android os Handler dispatchMessage(Handler java:107)_x000D_
	at android os Looper loop(Looper java:224)_x000D_
	at android app ActivityThread main(ActivityThread java:7520)_x000D_
	at java lang reflect Method invoke(Native Method)_x000D_
	at com android internal os RuntimeInit MethodAndArgsCaller run(RuntimeInit java:539)_x000D_
	at com android internal os ZygoteInit main(ZygoteInit java:950)_x000D_
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</si>
  <si>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nextcloud-android-7543</t>
  </si>
  <si>
    <t>AutoUpload error</t>
  </si>
  <si>
    <t xml:space="preserve">    Steps to reproduce
1  Have folder of photos to upload
2  Add that folder with photos to AutoUpload with custom filder to upload to
3  Wait until it crashes
    Bug happens if you turn that feature off and then on again
    Expected behaviour
  it should just upload photos
    Actual behaviour
  app crashes after some period of time
    Can you reproduce this problem on https:  try nextcloud com 
  Yes  I can reproduce in either mine and that server
    Environment data
Android version:
10
Device model: 
Xiaomi mi 9 se
Stock or customized system:
Stock
Nextcloud app version:
3 14
Nextcloud server version:
19
Reverse proxy:
No
Brand: Xiaomi
Device: grus
Model: Mi 9 SE
Id: QKQ1 190828 002
Product: grus
SDK: 29
Release: 10
Incremental: V12 0 2 0 QFBMIXM
ID: com nextcloud client
Version: 30140090
Build flavor: gplay
    Logs
     Web server error log
android app RemoteServiceException: Context startForegroundService() did not then call Service startForeground(): ServiceRecord 7e87992 u0 com nextcloud client  media PlayerService 
	at android app ActivityThread H handleMessage(ActivityThread java:1973)
	at android os Handler dispatchMessage(Handler java:107)
	at android os Looper loop(Looper java:224)
	at android app ActivityThread main(ActivityThread java:7562)
	at java lang reflect Method invoke(Native Method)
	at com android internal os RuntimeInit MethodAndArgsCaller run(RuntimeInit java:539)
	at com android internal os ZygoteInit main(ZygoteInit java:950)
    </t>
  </si>
  <si>
    <t>nextcloud-android-7542</t>
  </si>
  <si>
    <t xml:space="preserve">*********** CAUSE OF ERROR ************
android.app.RemoteServiceException: Context.startForegroundService() did not then call Service.startForeground(): ServiceRecord{cbe76aa u0 com.nextcloud.client/.media.PlayerService}
	at android.app.ActivityThread$H.handleMessage(ActivityThread.java:1787)
	at android.os.Handler.dispatchMessage(Handler.java:106)
	at android.os.Looper.loop(Looper.java:201)
	at android.app.ActivityThread.main(ActivityThread.java:6820)
	at java.lang.reflect.Method.invoke(Native Method)
	at com.android.internal.os.RuntimeInit$MethodAndArgsCaller.run(RuntimeInit.java:547)
	at com.android.internal.os.ZygoteInit.main(ZygoteInit.java:922)
************ APP INFORMATION ************
ID: com.nextcloud.client
Version: 30140090
Build flavor: gplay
************ DEVICE INFORMATION ************
Brand: xiaomi
Device: cactus
Model: Redmi 6A
Id: PPR1.180610.011
Product: cactus
************ FIRMWARE ************
SDK: 28
Release: 9
Incremental: V11.0.9.0.PCBMIXM
</t>
  </si>
  <si>
    <t xml:space="preserve">    Steps to reproduce
1  Open app and delete item from cloud
2  Multiple attempt to open and close directory
3  App crash
    Expected behaviour
  Tell us what should happen
    Actual behaviour
  Tell us what happens
    Can you reproduce this problem on https:  try nextcloud com 
  Please create a test demo account and see if this still happens there 
  If yes  please open up a bug report
  If not  please verify server setup and ask for help on forum
    Environment data
Android version:
Device model: xiomi 6q
Stock or customized system:
Nextcloud app version:
Nextcloud server version:
Reverse proxy:
    Logs
     Web server error log
Insert your webserver log here
     Nextcloud log (data nextcloud log)
Insert your Nextcloud log here
  NOTE:   Be super sure to remove sensitive data like passwords  note that everybody can look here  You can use the Issue Template application to prefill some of the required information: https:  apps nextcloud com apps issuetemplate
</t>
  </si>
  <si>
    <t>tanersener-react-native-ffmpeg-216</t>
  </si>
  <si>
    <t>Could not invoke RNFFmpegModule.enableLogEvents</t>
  </si>
  <si>
    <t xml:space="preserve">  Description  _x000D_
I have duplicate one of my last project with same gradle config  It s work fine on first project but in new project debug build work fine but when i create release build  it s crash on start _x000D_
I have tried clear gradle cache   rebuild project again   again _x000D_
I try ffmpeg test app config but no luck _x000D_
_x000D_
  Current behavior  _x000D_
it s crash on start with   Could not invoke RNFFmpegModule enableLogEvents  _x000D_
_x000D_
  Logs  _x000D_
Sentry log: _x000D_
java lang UnsatisfiedLinkError: Bad JNI version returned from JNI OnLoad in   data app com klips rTIQnrMMoKHGLsmtJV7jtQ   base apk  lib arm64 v8a libmobileffmpeg so : 0_x000D_
    at java lang Runtime loadLibrary0(Runtime java:1071)_x000D_
    at java lang Runtime loadLibrary0(Runtime java:1007)_x000D_
    at java lang System loadLibrary(System java:1667)_x000D_
    at com arthenica mobileffmpeg Config  clinit _x000D_
    at com arthenica mobileffmpeg Config c_x000D_
    at com arthenica reactnative RNFFmpegModule enableLogEvents_x000D_
    at java lang reflect Method invoke(Method java)_x000D_
    at com facebook react bridge JavaMethodWrapper invoke_x000D_
    at com facebook react bridge JavaModuleWrapper invoke_x000D_
    at com facebook react bridge queue NativeRunnable run_x000D_
    at android os Handler handleCallback(Handler java:914)_x000D_
    at android os Handler dispatchMessage(Handler java:100)_x000D_
    at com facebook react bridge queue MessageQueueThreadHandler dispatchMessage_x000D_
    at android os Looper loop(Looper java:224)_x000D_
    at com facebook react bridge queue MessageQueueThreadImpl 4 run_x000D_
    at java lang Thread run(Thread java:919)_x000D_
_x000D_
java lang reflect InvocationTargetException: null_x000D_
    at java lang reflect Method invoke(Method java)_x000D_
    at com facebook react bridge JavaMethodWrapper invoke_x000D_
    at com facebook react bridge JavaModuleWrapper invoke_x000D_
    at com facebook react bridge queue NativeRunnable run_x000D_
    at android os Handler handleCallback(Handler java:914)_x000D_
    at android os Handler dispatchMessage(Handler java:100)_x000D_
    at com facebook react bridge queue MessageQueueThreadHandler dispatchMessage_x000D_
    at android os Looper loop(Looper java:224)_x000D_
    at com facebook react bridge queue MessageQueueThreadImpl 4 run_x000D_
    at java lang Thread run(Thread java:919)_x000D_
_x000D_
java lang RuntimeException: Could not invoke RNFFmpegModule enableLogEvents_x000D_
    at com facebook react bridge JavaMethodWrapper invoke_x000D_
    at com facebook react bridge JavaModuleWrapper invoke_x000D_
    at com facebook react bridge queue NativeRunnable run_x000D_
    at android os Handler handleCallback(Handler java:914)_x000D_
    at android os Handler dispatchMessage(Handler java:100)_x000D_
    at com facebook react bridge queue MessageQueueThreadHandler dispatchMessage_x000D_
    at android os Looper loop(Looper java:224)_x000D_
    at com facebook react bridge queue MessageQueueThreadImpl 4 run_x000D_
    at java lang Thread run(Thread java:919)_x000D_
_x000D_
_x000D_
  Environment  _x000D_
   react native:  0 63 2 _x000D_
   react native ffmpeg:   0 5 0 _x000D_
   gradle:  6 7 _x000D_
   ndkVersion:  21 3 6528147 _x000D_
   buildToolsVersion:  29 0 2 _x000D_
   minSdkVersion:  24 _x000D_
   compileSdkVersion:  29 _x000D_
   targetSdkVersion:  29 _x000D_
_x000D_
</t>
  </si>
  <si>
    <t>Anuken-Mindustry-3645</t>
  </si>
  <si>
    <t>Client Crashing when placing conveyor at edge of map</t>
  </si>
  <si>
    <t xml:space="preserve">  Platform  : Linux_x000D_
_x000D_
  Build  : 118_x000D_
_x000D_
  Issue  : Title_x000D_
_x000D_
  Steps to reproduce  : Try to place block in dark end of map areas_x000D_
_x000D_
  Crash report  :_x000D_
   _x000D_
Mindustry has crashed  How unfortunate _x000D_
Version: beta build 118 (client version 3 0 2  Nov  19)_x000D_
OS: Linux x64_x000D_
Java Version: 14 0 2_x000D_
Java Architecture: 64_x000D_
 E  java lang NullPointerException_x000D_
	at mindustry world modules ItemModule read(ItemModule java:341)_x000D_
	at mindustry gen Building readBase(Building java:938)_x000D_
	at mindustry gen Building readAll(Building java:581)_x000D_
	at mindustry core NetClient blockSnapshot(NetClient java:462)_x000D_
	at mindustry gen RemoteReadClient readPacket(RemoteReadClient java:42)_x000D_
	at mindustry core NetClient lambda new 4(NetClient java:130)_x000D_
	at mindustry net Net handleClientReceived(Net java:258)_x000D_
	at mindustry net ArcNetProvider 1 lambda received 2(ArcNetProvider java:62)_x000D_
	at arc util TaskQueue run(TaskQueue java:17)_x000D_
	at arc backend sdl SdlApplication loop(SdlApplication java:148)_x000D_
	at arc backend sdl SdlApplication  init (SdlApplication java:43)_x000D_
	at mindustry desktop DesktopLauncher main(DesktopLauncher java:36)_x000D_
_x000D_
 W  Missing entity at sand:air:air 201 28  entity null:derelict  Skipping block snapshot _x000D_
 E  java lang NullPointerException_x000D_
	at mindustry world modules ItemModule read(ItemModule java:341)_x000D_
	at mindustry gen Building readBase(Building java:938)_x000D_
	at mindustry gen Building readAll(Building java:581)_x000D_
	at mindustry core NetClient blockSnapshot(NetClient java:462)_x000D_
	at mindustry gen RemoteReadClient readPacket(RemoteReadClient java:42)_x000D_
	at mindustry core NetClient lambda new 4(NetClient java:130)_x000D_
	at mindustry net Net handleClientReceived(Net java:258)_x000D_
	at mindustry net ArcNetProvider 1 lambda received 2(ArcNetProvider java:62)_x000D_
	at arc util TaskQueue run(TaskQueue java:17)_x000D_
	at arc backend sdl SdlApplication loop(SdlApplication java:148)_x000D_
	at arc backend sdl SdlApplication  init (SdlApplication java:43)_x000D_
	at mindustry desktop DesktopLauncher main(DesktopLauncher java:36)_x000D_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</si>
  <si>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TeamNewPipe-NewPipe-5023</t>
  </si>
  <si>
    <t>Could not play the stream when playing from history</t>
  </si>
  <si>
    <t xml:space="preserve">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History _x000D_
2  Tap on video_x000D_
3  The error received_x000D_
_x000D_
     If you can t cause the bug to show up again reliably (and hence don t have a proper set of steps to give us)  please still try to give as many details as possible on how you think you encountered the bug     _x000D_
_x000D_
I found  this similar bug (https:  github com TeamNewPipe NewPipe issues 4571) but it is related to pausing the video  and I haven t done pause  it throwed from the video start at History  The same error is thrown when trying to play it via search or subscriptions   this video (https:  www youtube com watch v UjWamsdYSMk) was successfully played yesterday but suddenly broken today _x000D_
_x000D_
    Actual behavior_x000D_
     Tell us what happens with the steps given above     _x000D_
The below error is received_x000D_
_x000D_
_x000D_
    Expected behavior_x000D_
     Tell us what you expect to happen     _x000D_
The stream should be played_x000D_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photo 2020 11 28 18 21 36 (https:  user images githubusercontent com 6388034 100520493 ceb54e80 3152 11eb 9b40 39005c1a6a5f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Logs from the Logcat  are here (https:  pastebin com KkHA0f71)  I didn t find anything relevant to this error_x000D_
     That s right  here     _x000D_
_x000D_
_x000D_
_x000D_
     Please fill this out when you do not provide a log generate by NewPipe    _x000D_
_x000D_
    Device info_x000D_
_x000D_
   Android version Custom ROM version: Android 10  MIUI12_x000D_
   Device model: Redmi Note 8_x000D_
</t>
  </si>
  <si>
    <t>Anuken-Mindustry-3644</t>
  </si>
  <si>
    <t>Null pointer crash</t>
  </si>
  <si>
    <t xml:space="preserve">  Platform  : Windows_x000D_
_x000D_
  Build  : 20116_x000D_
_x000D_
  Issue  : Crashed after placing a block_x000D_
_x000D_
  Steps to reproduce  : The sceptre was destroying a mender due to area splash  which then I proceeded to replace continuously until I got a null pointer_x000D_
_x000D_
  Crash report  : _x000D_
Mindustry has crashed  How unfortunate _x000D_
Version: bleeding edge build 20116_x000D_
OS: Windows 10 x64_x000D_
Java Version: 1 8 0 252_x000D_
Java Architecture: 64_x000D_
3 Mods: cliff:1 1 0  dev mode:2 3 0  example mod:2 0_x000D_
_x000D_
java lang NullPointerException_x000D_
	at mindustry world Block lambda setBars 11(Block java:368)_x000D_
	at mindustry ui Bar  init (Bar java:32)_x000D_
	at mindustry world Block lambda setBars 12(Block java:367)_x000D_
	at mindustry gen Building displayBars(Building java:1038)_x000D_
	at mindustry gen Building lambda display 8(Building java:1322)_x000D_
	at arc scene ui layout Table table(Table java:244)_x000D_
	at mindustry gen Building display(Building java:1320)_x000D_
	at mindustry ui fragments PlacementFragment lambda build 20(PlacementFragment java:352)_x000D_
	at arc scene ui layout Cell lambda update 0(Cell java:159)_x000D_
	at arc scene Element act(Element java:79)_x000D_
	at arc scene Group act(Group java:37)_x000D_
	at arc scene Group act(Group java:41)_x000D_
	at arc scene Group act(Group java:41)_x000D_
	at arc scene Group act(Group java:41)_x000D_
	at arc scene Group act(Group java:41)_x000D_
	at arc scene Group act(Group java:41)_x000D_
	at arc scene Scene act(Scene java:170)_x000D_
	at arc scene Scene act(Scene java:121)_x000D_
	at mindustry core UI update(UI java:134)_x000D_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</si>
  <si>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TeamNewPipe-NewPipe-5022</t>
  </si>
  <si>
    <t>2nd video in playlist does not play if they are the same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</si>
  <si>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Create a playlist_x000D_
2  Put 2 of the same video in the playlist_x000D_
3  Click play_x000D_
_x000D_
     If you can t cause the bug to show up again reliably (and hence don t have a proper set of steps to give us)  please still try to give as many details as possible on how you think you encountered the bug     _x000D_
_x000D_
_x000D_
_x000D_
    Actual behaviour_x000D_
The video does not play after the 1st video_x000D_
_x000D_
_x000D_
_x000D_
    Expected behavior_x000D_
The video should play after the 1st video_x000D_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Samsung Note 20_x000D_
_x000D_
</t>
  </si>
  <si>
    <t>Anuken-Mindustry-3637</t>
  </si>
  <si>
    <t>118 build shows as custom build</t>
  </si>
  <si>
    <t xml:space="preserve">  Platform  :  Windows _x000D_
_x000D_
  Build  :  118  but shows custom build _x000D_
_x000D_
  Issue  :  When i download newest release  it showas me it is custom build  happens after doownloading again _x000D_
_x000D_
  Steps to reproduce  :  Download minustry  run _x000D_
_x000D_
  Link(s) to mod(s) used  :  none _x000D_
_x000D_
  Save file  :  none _x000D_
_x000D_
  Crash report  :  The contents of relevant crash report files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X_x000D_
_x000D_
    I have searched the closed and open issues to make sure that this problem has not already been reported   _x000D_
</t>
  </si>
  <si>
    <t>TeamNewPipe-NewPipe-5021</t>
  </si>
  <si>
    <t>No music downloading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</si>
  <si>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</si>
  <si>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Anuken-Mindustry-3634</t>
  </si>
  <si>
    <t>Not all the enemy's structures changing into neutral</t>
  </si>
  <si>
    <t xml:space="preserve">  Platform  : Windows 10_x000D_
_x000D_
  Build  : beta build 118_x000D_
_x000D_
  Issue  : Yeah  me again  _x000D_
                When I finally found Salt Flats is back again  I captured it in 10 minutes with 15 horizons ( maybe you can change the _x000D_
difficulty to  medium  )_x000D_
                That is not the main issue  Just after the enemy s core exploded  I wanted to relax and closed the game  In just a few minutes I reloaded the game and went to Salt Flats  Some of the Duos  Scatters  conveyors  etc  were still enemy s  not changing into neutral  This made it difficult to clean up the sector _x000D_
_x000D_
  Steps to reproduce  : Destroy the enemy base and close the game at once  Then you can do it _x000D_
  Link(s) to mod(s) used  : No mods _x000D_
_x000D_
  Save file  : Here it is _x000D_
 simply just named sectors and enemy bases near them zip (https:  github com Anuken Mindustry files 5610050 simply just named sectors and enemy bases near them zip)_x000D_
_x000D_
_x000D_
  Crash report  : There was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to the issue  if applicable  _x000D_
</t>
  </si>
  <si>
    <t>Anuken-Mindustry-3630</t>
  </si>
  <si>
    <t>Tech Tree Intersection</t>
  </si>
  <si>
    <t xml:space="preserve">  Platform  :  Android iOS Mac Windows Linux _x000D_
Android_x000D_
_x000D_
  Build  :  The build number under the title in the main menu  Required   LATEST  IS NOT A VERSION  I NEED THE EXACT BUILD NUMBER OF YOUR GAME  _x000D_
Beta 117 1_x000D_
_x000D_
  Issue  :  Explain your issue in detail  _x000D_
In the tech tree  there is an intersection  This is at the top left of the laser drill with a locked item blocking the line of the rotary pump _x000D_
_x000D_
  Steps to reproduce  :  How you happened across the issue  and what exactly you did to make the bug happen  _x000D_
I was playing campaign on Biomass Synthesis Factory  when I noticed that there was_x000D_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mysave zip (https:  github com Anuken Mindustry files 5609703 mysave zip)_x000D_
_x000D_
_x000D_
  Crash report  :  The contents of relevant crash report files  REQUIRED if you are reporting a crash  _x000D_
None_x000D_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</si>
  <si>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TeamNewPipe-NewPipe-5017</t>
  </si>
  <si>
    <t>Infinite loop of crashes on start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</si>
  <si>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Might be the same as  4998  but I didn t press the back button _x000D_
   x  I have read the contribution guidelines  I m reporting a crash here because it looks like a problem with the crash reporter _x000D_
   x  This issue contains only one bug  I will open one issue for every bug report I want to file _x000D_
_x000D_
    Steps to reproduce the bug_x000D_
    _x000D_
1  Go to      _x000D_
2  Press on       _x000D_
3  Swipe down to       _x000D_
   _x000D_
1  Start NewPipe from the launcher icon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splash screen pops for a fraction of a second  disappears  appears again  etc  The most frustrating thing that I could stop this only via  adb shell am force stop org schabi newpipe  _x000D_
_x000D_
_x000D_
    Expected behavior_x000D_
     Tell us what you expect to happen     _x000D_
The main activity should be displayed _x000D_
_x000D_
_x000D_
    Logs_x000D_
     If your bug includes a crash (where you re shown the Error Report page with a bunch of info)  tap on  Copy formatted report  at the bottom and paste it here:    _x000D_
_x000D_
     That s right  here     _x000D_
_x000D_
   _x000D_
11 27 19:25:10 511  3658  3729 I ActivityManager: Start proc 31715:org schabi newpipe u0a157 for activity  org schabi newpipe org schabi newpipe report ErrorActivity _x000D_
11 27 19:25:10 564  3170  3170 D QTI PowerHAL: notify prm interaction_x000D_
11 27 19:25:10 570 31715 31715 I MultiDex: VM with version 2 1 0 has multidex support_x000D_
11 27 19:25:10 570 31715 31715 I MultiDex: Installing application_x000D_
11 27 19:25:10 570 31715 31715 I MultiDex: VM has multidex support  MultiDex support library is disabled _x000D_
11 27 19:25:10 574 31715 31715 I ACRA    : ACRA is enabled for org schabi newpipe  initializing   _x000D_
11 27 19:25:10 622 31715 31715 D NetworkSecurityConfig: No Network Security Config specified  using platform default_x000D_
11 27 19:25:10 630 31715 31715 W  schabi newpip: Accessing hidden field Ljava util Collections SynchronizedCollection   mutex:Ljava lang Object  (greylist max o  reflection  denied)_x000D_
11 27 19:25:10 630 31715 31715 W  schabi newpip: Accessing hidden method Ljava util Collections SynchronizedSet    init (Ljava util Set Ljava lang Object )V (greylist max o  reflection  denied)_x000D_
11 27 19:25:10 630 31715 31715 W  schabi newpip: Accessing hidden method Ljava util Collections SynchronizedCollection    init (Ljava util Collection Ljava lang Object )V (greylist max o  reflection  denied)_x000D_
11 27 19:25:10 729  3339 31743 E ResolverController: No valid NAT64 prefix (100   unspecified  0)_x000D_
11 27 19:25:10 778 31715 31715 D AndroidRuntime: Shutting down VM_x000D_
11 27 19:25:10 778 31715 31715 E AndroidRuntime: FATAL EXCEPTION: main_x000D_
11 27 19:25:10 778 31715 31715 E AndroidRuntime: Process: org schabi newpipe  PID: 31715_x000D_
11 27 19:25:10 778 31715 31715 E AndroidRuntime: java lang IllegalAccessError: Method  void org schabi newpipe report ErrorInfo  init (org schabi newpipe report UserAction  java lang String  java lang String  int)  is inaccessible to class  org schabi newpipe report ErrorInfo Creator  (declaration of  org schabi newpipe report ErrorInfo Creator  appears in base apk)_x000D_
11 27 19:25:10 778 31715 31715 E AndroidRuntime: 	at org schabi newpipe report ErrorInfo Creator createFromParcel(Unknown Source:39)_x000D_
11 27 19:25:10 778 31715 31715 E AndroidRuntime: 	at android os Parcel readParcelable(Parcel java:2973)_x000D_
11 27 19:25:10 778 31715 31715 E AndroidRuntime: 	at android os Parcel readValue(Parcel java:2866)_x000D_
11 27 19:25:10 778 31715 31715 E AndroidRuntime: 	at android os Parcel readArrayMapInternal(Parcel java:3244)_x000D_
11 27 19:25:10 778 31715 31715 E AndroidRuntime: 	at android os BaseBundle initializeFromParcelLocked(BaseBundle java:292)_x000D_
11 27 19:25:10 778 31715 31715 E AndroidRuntime: 	at android os BaseBundle unparcel(BaseBundle java:236)_x000D_
11 27 19:25:10 778 31715 31715 E AndroidRuntime: 	at android os Bundle getParcelable(Bundle java:951)_x000D_
11 27 19:25:10 778 31715 31715 E AndroidRuntime: 	at android content Intent getParcelableExtra(Intent java:7931)_x000D_
11 27 19:25:10 778 31715 31715 E AndroidRuntime: 	at org schabi newpipe report ErrorActivity onCreate(ErrorActivity java:209)_x000D_
11 27 19:25:10 778 31715 31715 E AndroidRuntime: 	at android app Activity performCreate(Activity java:7825)_x000D_
11 27 19:25:10 778 31715 31715 E AndroidRuntime: 	at android app Activity performCreate(Activity java:7814)_x000D_
11 27 19:25:10 778 31715 31715 E AndroidRuntime: 	at android app Instrumentation callActivityOnCreate(Instrumentation java:1306)_x000D_
11 27 19:25:10 778 31715 31715 E AndroidRuntime: 	at android app ActivityThread performLaunchActivity(ActivityThread java:3245)_x000D_
11 27 19:25:10 778 31715 31715 E AndroidRuntime: 	at android app ActivityThread handleLaunchActivity(ActivityThread java:3409)_x000D_
11 27 19:25:10 778 31715 31715 E AndroidRuntime: 	at android app servertransaction LaunchActivityItem execute(LaunchActivityItem java:83)_x000D_
11 27 19:25:10 778 31715 31715 E AndroidRuntime: 	at android app servertransaction TransactionExecutor executeCallbacks(TransactionExecutor java:135)_x000D_
11 27 19:25:10 778 31715 31715 E AndroidRuntime: 	at android app servertransaction TransactionExecutor execute(TransactionExecutor java:95)_x000D_
11 27 19:25:10 778 31715 31715 E AndroidRuntime: 	at android app ActivityThread H handleMessage(ActivityThread java:2016)_x000D_
11 27 19:25:10 778 31715 31715 E AndroidRuntime: 	at android os Handler dispatchMessage(Handler java:107)_x000D_
11 27 19:25:10 778 31715 31715 E AndroidRuntime: 	at android os Looper loop(Looper java:214)_x000D_
11 27 19:25:10 778 31715 31715 E AndroidRuntime: 	at android app ActivityThread main(ActivityThread java:7356)_x000D_
11 27 19:25:10 778 31715 31715 E AndroidRuntime: 	at java lang reflect Method invoke(Native Method)_x000D_
11 27 19:25:10 778 31715 31715 E AndroidRuntime: 	at com android internal os RuntimeInit MethodAndArgsCaller run(RuntimeInit java:492)_x000D_
11 27 19:25:10 778 31715 31715 E AndroidRuntime: 	at com android internal os ZygoteInit main(ZygoteInit java:930)_x000D_
11 27 19:25:10 778 31715 31715 E ACRA    : ACRA caught a IllegalAccessError for org schabi newpipe_x000D_
11 27 19:25:10 778 31715 31715 E ACRA    : java lang IllegalAccessError: Method  void org schabi newpipe report ErrorInfo  init (org schabi newpipe report UserAction  java lang String  java lang String  int)  is inaccessible to class  org schabi newpipe report ErrorInfo Creator  (declaration of  org schabi newpipe report ErrorInfo Creator  appears in base apk)_x000D_
11 27 19:25:10 778 31715 31715 E ACRA    : 	at org schabi newpipe report ErrorInfo Creator createFromParcel(Unknown Source:39)_x000D_
11 27 19:25:10 778 31715 31715 E ACRA    : 	at android os Parcel readParcelable(Parcel java:2973)_x000D_
11 27 19:25:10 778 31715 31715 E ACRA    : 	at android os Parcel readValue(Parcel java:2866)_x000D_
11 27 19:25:10 778 31715 31715 E ACRA    : 	at android os Parcel readArrayMapInternal(Parcel java:3244)_x000D_
11 27 19:25:10 778 31715 31715 E ACRA    : 	at android os BaseBundle initializeFromParcelLocked(BaseBundle java:292)_x000D_
11 27 19:25:10 778 31715 31715 E ACRA    : 	at android os BaseBundle unparcel(BaseBundle java:236)_x000D_
11 27 19:25:10 778 31715 31715 E ACRA    : 	at android os Bundle getParcelable(Bundle java:951)_x000D_
11 27 19:25:10 778 31715 31715 E ACRA    : 	at android content Intent getParcelableExtra(Intent java:7931)_x000D_
11 27 19:25:10 778 31715 31715 E ACRA    : 	at org schabi newpipe report ErrorActivity onCreate(ErrorActivity java:209)_x000D_
11 27 19:25:10 778 31715 31715 E ACRA    : 	at android app Activity performCreate(Activity java:7825)_x000D_
11 27 19:25:10 778 31715 31715 E ACRA    : 	at android app Activity performCreate(Activity java:7814)_x000D_
11 27 19:25:10 778 31715 31715 E ACRA    : 	at android app Instrumentation callActivityOnCreate(Instrumentation java:1306)_x000D_
11 27 19:25:10 778 31715 31715 E ACRA    : 	at android app ActivityThread performLaunchActivity(ActivityThread java:3245)_x000D_
11 27 19:25:10 778 31715 31715 E ACRA    : 	at android app ActivityThread handleLaunchActivity(ActivityThread java:3409)_x000D_
11 27 19:25:10 778 31715 31715 E ACRA    : 	at android app servertransaction LaunchActivityItem execute(LaunchActivityItem java:83)_x000D_
11 27 19:25:10 778 31715 31715 E ACRA    : 	at android app servertransaction TransactionExecutor executeCallbacks(TransactionExecutor java:135)_x000D_
11 27 19:25:10 778 31715 31715 E ACRA    : 	at android app servertransaction TransactionExecutor execute(TransactionExecutor java:95)_x000D_
11 27 19:25:10 778 31715 31715 E ACRA    : 	at android app ActivityThread H handleMessage(ActivityThread java:2016)_x000D_
11 27 19:25:10 778 31715 31715 E ACRA    : 	at android os Handler dispatchMessage(Handler java:107)_x000D_
11 27 19:25:10 778 31715 31715 E ACRA    : 	at android os Looper loop(Looper java:214)_x000D_
11 27 19:25:10 778 31715 31715 E ACRA    : 	at android app ActivityThread main(ActivityThread java:7356)_x000D_
11 27 19:25:10 778 31715 31715 E ACRA    : 	at java lang reflect Method invoke(Native Method)_x000D_
11 27 19:25:10 778 31715 31715 E ACRA    : 	at com android internal os RuntimeInit MethodAndArgsCaller run(RuntimeInit java:492)_x000D_
11 27 19:25:10 778 31715 31715 E ACRA    : 	at com android internal os ZygoteInit main(ZygoteInit java:930)_x000D_
11 27 19:25:10 838 31715 31715 I Process : Sending signal  PID: 31715 SIG: 9_x000D_
11 27 19:25:10 843  6503 31765 I ACRA    : Sending report  data user 0 org schabi newpipe app ACRA approved 2020 11 27T19:25:10 787 03:00 stacktrace_x000D_
   _x000D_
_x000D_
     Please fill this out when you do not provide a log generate by NewPipe    _x000D_
_x000D_
    Device info_x000D_
_x000D_
   Android version Custom ROM version: AOSP 10 _x000D_
   Device model: LG H930DS _x000D_
</t>
  </si>
  <si>
    <t>Anuken-Mindustry-3627</t>
  </si>
  <si>
    <t>Game Crashes On Update</t>
  </si>
  <si>
    <t xml:space="preserve">  Platform  :  Windows _x000D_
_x000D_
  Build  :  20017 _x000D_
_x000D_
  Issue  :  When attempting to update from version 20017 the game crashed after the restart and will no longer work  _x000D_
_x000D_
  Steps to reproduce  :  Update any version to the bleeding edge version  then wait until it restarts  It will crash during the loading stage and will render that copy of the game unusable  _x000D_
_x000D_
  Link(s) to mod(s) used  :  None _x000D_
_x000D_
  Save file  :  Not ingame _x000D_
_x000D_
  Crash report  :  There were no crash reports  just the windows  not responding  indefinitely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</si>
  <si>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MuntashirAkon-AppManager-167</t>
  </si>
  <si>
    <t>App Manager displays only seven apps instead of all of them</t>
  </si>
  <si>
    <t xml:space="preserve">  Describe the bug  _x000D_
_x000D_
First  App Manager shows tremendous potential  and I want to thank you for your efforts _x000D_
_x000D_
I see this problem on only one (so far) of three (so far) devices _x000D_
_x000D_
The first time I started App Manager  it appeared to work normally (displaying all of the apps on the device)  I changed a few of the settings (Night theme  Root mode)  The second (and subsequent) time(s) I started App Manager  it displayed only seven apps (no I do not have any filters checked)  The apps displayed seem to have no pattern  I don t want to mention them all here for privacy reasons  but they include Calendar Storage  Mobile Network Configuration  and OpenVPN for Android  The others consist of a shopping app  a torrent app  a media app  and a messaging app  I have tried the obvious possible solution of clearing data and cache  but that had no effect  I still see just a tiny percentage of the apps _x000D_
_x000D_
  To Reproduce  _x000D_
_x000D_
No idea  I only observe this on one machine  and doubt I could make this happen anywhere else _x000D_
_x000D_
  Expected behavior  _x000D_
_x000D_
I expect to see all of the apps  not just a handful  :)_x000D_
_x000D_
  Screenshots  _x000D_
_x000D_
I don t want to post these publicly (again for privacy reasons)  but could send them directly if you believe they would help find the source of the problem (I don t know that they would   a screenshot would just show a short list of apps) _x000D_
_x000D_
  Crash logs  _x000D_
_x000D_
The program did crash a couple of times before starting the second time  I don t know if that has any connection with this problem or not  I didn t save any logs then (not really sure how to do that for this program)  but I could attempt to obtain them if given some guidance _x000D_
_x000D_
  Device info  _x000D_
_x000D_
   Device: Samsung Galaxy Tab 2_x000D_
   OS Version: LineageOS 13 0 20180211 NIGHTLY espressowifi_x000D_
   App Manager Version: 2 5 17 (368)_x000D_
   Mode: root</t>
  </si>
  <si>
    <t>TeamNewPipe-NewPipe-5016</t>
  </si>
  <si>
    <t>Unexpected pauses when switching player type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</si>
  <si>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Start some video in NewPipe_x000D_
2  Minimize NewPipe by pressing home or opening Android recent applications drawer_x000D_
3  Enter NewPipe again_x000D_
_x000D_
    Actual behaviour_x000D_
     Tell us what happens with the steps given above     _x000D_
_x000D_
When I minimize the app  the audio stops playing for like 100 600ms and then resumes  It s pretty annoying _x000D_
When I reenter the app  the same thing happens _x000D_
_x000D_
    Expected behavior_x000D_
     Tell us what you expect to happen     _x000D_
_x000D_
No pauses in the audio are expected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Recording on youtube (https:  youtu be Y0ihnKFnIRk)_x000D_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latest Android 10_x000D_
   Device model: Asus ZenFone 5Z_x000D_
</t>
  </si>
  <si>
    <t>google-ExoPlayer-8290</t>
  </si>
  <si>
    <t>Random crashes in IMA</t>
  </si>
  <si>
    <t xml:space="preserve">    Issue description_x000D_
Could you please take a look at these logs  These are crashes from Firebase  we do not have any context but hopefully you will found some issue to fix _x000D_
_x000D_
    Reproduction steps_x000D_
Unknown_x000D_
_x000D_
    Link to test content_x000D_
Unknown_x000D_
_x000D_
    A full bug report captured from the device_x000D_
  Crash 1  _x000D_
   _x000D_
Fatal Exception: java lang IllegalArgumentException_x000D_
       at com google android exoplayer2 util Assertions checkArgument(Assertions java:39)_x000D_
       at com google android exoplayer2 source ads AdPlaybackState AdGroup withAdState(AdPlaybackState java:165)_x000D_
       at com google android exoplayer2 source ads AdPlaybackState withSkippedAd(AdPlaybackState java:402)_x000D_
       at com google android exoplayer2 ext ima ImaAdsLoader ComponentListener stopAd(ImaAdsLoader java:1615)_x000D_
       at com google ads interactivemedia v3 internal akp a(akp java:16)_x000D_
       at com google ads interactivemedia v3 internal akl a(akl java:167)_x000D_
       at com google ads interactivemedia v3 internal akl a(akl java:159)_x000D_
       at com google ads interactivemedia v3 internal ako b(ako java:20)_x000D_
       at com google ads interactivemedia v3 internal akm shouldOverrideUrlLoading(akm java:6)_x000D_
       at android webkit WebViewClient shouldOverrideUrlLoading(WebViewClient java:77)_x000D_
       at org chromium android webview AwContentsClientBridge shouldOverrideUrlLoading(AwContentsClientBridge java:16)_x000D_
       at android os MessageQueue nativePollOnce(MessageQueue java)_x000D_
       at android os MessageQueue next(MessageQueue java:325)_x000D_
       at android os Looper loop(Looper java:142)_x000D_
       at android app ActivityThread main(ActivityThread java:6548)_x000D_
       at java lang reflect Method invoke(Method java)_x000D_
       at com android internal os RuntimeInit MethodAndArgsCaller run(RuntimeInit java:438)_x000D_
       at com android internal os ZygoteInit main(ZygoteInit java:864)_x000D_
   _x000D_
_x000D_
  Crash 2  _x000D_
   _x000D_
Fatal Exception: java lang NullPointerException: throw with null exception_x000D_
       at com google android exoplayer2 util Assertions checkNotNull(Assertions java:147)_x000D_
       at com google android exoplayer2 ext ima ImaAdsLoader handlePlayerStateChanged(ImaAdsLoader java:1031)_x000D_
       at com google android exoplayer2 ext ima ImaAdsLoader onPlayerStateChanged(ImaAdsLoader java:803)_x000D_
       at com google android exoplayer2 ExoPlayerImpl PlaybackInfoUpdate lambda run 5(ExoPlayerImpl java:828)_x000D_
       at com google android exoplayer2    Lambda ExoPlayerImpl PlaybackInfoUpdate AYkTJomZb3BnUDA59u8cvRVoKcM invokeListener(  java:2)_x000D_
       at com google android exoplayer2 BasePlayer ListenerHolder invoke(BasePlayer java:182)_x000D_
       at com google android exoplayer2 ExoPlayerImpl invokeAll(ExoPlayerImpl java:845)_x000D_
       at com google android exoplayer2 ExoPlayerImpl access 000(ExoPlayerImpl java:43)_x000D_
       at com google android exoplayer2 ExoPlayerImpl PlaybackInfoUpdate run(ExoPlayerImpl java:826)_x000D_
       at com google android exoplayer2 ExoPlayerImpl notifyListeners(ExoPlayerImpl java:736)_x000D_
       at com google android exoplayer2 ExoPlayerImpl updatePlaybackInfo(ExoPlayerImpl java:710)_x000D_
       at com google android exoplayer2 ExoPlayerImpl handlePlaybackInfo(ExoPlayerImpl java:652)_x000D_
       at com google android exoplayer2 ExoPlayerImpl handleEvent(ExoPlayerImpl java:595)_x000D_
       at com google android exoplayer2 ExoPlayerImpl 1 handleMessage(ExoPlayerImpl java:127)_x000D_
       at android os Handler dispatchMessage(Handler java:112)_x000D_
       at android os Looper loop(Looper java:216)_x000D_
       at android app ActivityThread main(ActivityThread java:7625)_x000D_
       at java lang reflect Method invoke(Method java)_x000D_
       at com android internal os RuntimeInit MethodAndArgsCaller run(RuntimeInit java:524)_x000D_
       at com android internal os ZygoteInit main(ZygoteInit java:987)_x000D_
   _x000D_
_x000D_
    Version of ExoPlayer being used_x000D_
2 11 8_x000D_
_x000D_
    Device(s) and version(s) of Android being used_x000D_
Device and OS independent_x000D_
</t>
  </si>
  <si>
    <t>chr15m-PdDroidParty-52</t>
  </si>
  <si>
    <t>reduce accepted filetypes</t>
  </si>
  <si>
    <t>As of lately  I haven t used PdDroidParty much  but there s an issue I find so annoying that I actually uninstalled it:_x000D_
_x000D_
 Once it is installed  it registers for  all  files  _x000D_
_x000D_
Whenever I try to open a PDF  my phone asks if I want to open it with  PdDroidParty  _x000D_
Whenever I try to open a   org  file  my phone asks if I want to open it with  PdDroidParty  _x000D_
Whenever I try to open a   gpx  file  my phone asks if I want to open it with  PdDroidParty  _x000D_
   _x000D_
_x000D_
Of course  PdDroidParty has no clue what to do with these files  so it will just crash with an error:_x000D_
  File Format not Supported  or bad file_x000D_
_x000D_
this is on  Fairphone Open 19 11 2   which is based on  Android 7 1 2  _x000D_
_x000D_
PS: PdDroidParty is not alone  there s other applications  that behave similar  but PdDroidParty is the app where I care most   )</t>
  </si>
  <si>
    <t>nextcloud-android-7520</t>
  </si>
  <si>
    <t>When I play a video in mp4 format, the app crashes directly</t>
  </si>
  <si>
    <t xml:space="preserve">    Steps to reproduce
1  The app crashes after playing the video
2  
3  
    Expected behaviour
  The video plays normally
    Actual behaviour
  app crashes directly
    Can you reproduce this problem on https:  try nextcloud com 
  Please create a test demo account and see if this still happens there 
  If yes  please open up a bug report
  If not  please verify server setup and ask for help on forum
    Environment data
Android version:9
Device model: 
Stock or customized system:
Nextcloud app version:3 14 0
Nextcloud server version:20 0 2
Reverse proxy:Nginx
    Logs
     Web server error log
Insert your webserver log here
     Nextcloud log (data nextcloud log)
             CAUSE OF ERROR             
android app RemoteServiceException: Context startForegroundService() did not then call Service startForeground(): ServiceRecord 265e553 u0 com nextcloud client  media PlayerService 
	at android app ActivityThread H handleMessage(Unknown Source:342)
	at android os Handler dispatchMessage(Unknown Source:21)
	at android os Looper loop(Unknown Source:210)
	at android app ActivityThread main(Unknown Source:107)
	at java lang reflect Method invoke(Native Method)
	at com android internal os RuntimeInit MethodAndArgsCaller run(Unknown Source:11)
	at com android internal os ZygoteInit main(Unknown Source:281)
             APP INFORMATION             
ID: com nextcloud client
Version: 30140090
Build flavor: gplay
             DEVICE INFORMATION             
Brand: Xiaomi
Device: sagit
Model: MI 6
Id: PKQ1 190118 001
Product: sagit
             FIRMWARE             
SDK: 28
Release: 9
Incremental: V11 0 5 0 PCACNXM
  NOTE:   Be super sure to remove sensitive data like passwords  note that everybody can look here  You can use the Issue Template application to prefill some of the required information: https:  apps nextcloud com apps issuetemplate
</t>
  </si>
  <si>
    <t>Anuken-Mindustry-3623</t>
  </si>
  <si>
    <t>Pixmap errors.</t>
  </si>
  <si>
    <t xml:space="preserve">  Platform  : Windows_x000D_
_x000D_
  Build  :  The build number under the title in the main menu  Required   LATEST  IS NOT A VERSION  I NEED THE EXACT BUILD NUMBER OF YOUR GAME   Build 115 1_x000D_
_x000D_
  Issue  :  Explain your issue in detail   Out of memory and corrupted jpeg _x000D_
  Steps to reproduce  :  How you happened across the issue  and what exactly you did to make the bug happen   Open up mindustry and wait in loading  (for both crashes)_x000D_
_x000D_
  Link(s) to mod(s) used  :  The mod repositories or zip files that are related to the issue  if applicable  _x000D_
Vanilla mindustry (github version)_x000D_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Happens during loading_x000D_
_x000D_
  Crash report  :  The contents of relevant crash report files  REQUIRED if you are reporting a crash  _x000D_
Out of memory:  crash report 11 27 2020 16 14 36 txt (https:  github com Anuken Mindustry files 5606723 crash report 11 27 2020 16 14 36 txt) Corrupted jpeg _x000D_
 crash report 11 27 2020 20 47 30 txt (https:  github com Anuken Mindustry files 5607903 crash report 11 27 2020 20 47 30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</si>
  <si>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Anuken-Mindustry-3621</t>
  </si>
  <si>
    <t>Editor Bug</t>
  </si>
  <si>
    <t xml:space="preserve">  Platform  :  Android iOS Mac Windows Linux _x000D_
Windows_x000D_
_x000D_
  Build  :  The build number under the title in the main menu  Required   LATEST  IS NOT A VERSION  I NEED THE EXACT BUILD NUMBER OF YOUR GAME  _x000D_
V6 Builds 20096 to 20102_x000D_
_x000D_
  Issue  :  Explain your issue in detail  _x000D_
In the editor  the pencil defaults to a radius of 2 tiles but it s stuck at that setting  All other tools besides the pencil work fine _x000D_
_x000D_
  Steps to reproduce  :  How you happened across the issue  and what exactly you did to make the bug happen  _x000D_
Open the editor  and right away you ll notice it s stuck at 2 tiles  No matter what you move the slider to or how many times you switch tools the pencil is stuck at a radius of 2 tiles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Happens only in the editor _x000D_
_x000D_
  Crash report  :  The contents of relevant crash report files  REQUIRED if you are reporting a crash  _x000D_
No crashes reported  just a bug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</si>
  <si>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BrooklynWelsh-CS452_Weather_App-16</t>
  </si>
  <si>
    <t>Pull down refresh crashes on main activity if user got there from a search</t>
  </si>
  <si>
    <t xml:space="preserve">If a user is on CurrentWeatherActivity  but they are looking at the current weather for a searched for city  as opposed to their physical location  the app crashes back to the search result screen </t>
  </si>
  <si>
    <t>AOF-Dev-MCinaBox-707</t>
  </si>
  <si>
    <t>Evgeni</t>
  </si>
  <si>
    <t xml:space="preserve">   Describe the crash  _x000D_
A clear and concise description of what the bug is                                       _x000D_
_x000D_
  To Reproduce  _x000D_
Steps to reproduce the crash:_x000D_
1  Go to      _x000D_
2  Click on       _x000D_
3  Scroll down to       _x000D_
4  See the crash_x000D_
_x000D_
  Expected behavior  _x000D_
A clear and concise description of what you expected to happen _x000D_
_x000D_
  Screenshots  _x000D_
If applicable  add screenshots to help explain your problem _x000D_
_x000D_
  Smartphone (please complete the following information):  _x000D_
   Device: Xiaomi Redmi 6_x000D_
   OS:  e g  Android 9 0 _x000D_
   App Version _x000D_
_x000D_
  Additional context  _x000D_
Add any other context about the problem here _x000D_
</t>
  </si>
  <si>
    <t>TeamNewPipe-NewPipe-5014</t>
  </si>
  <si>
    <t xml:space="preserve">Background music loop continues </t>
  </si>
  <si>
    <t xml:space="preserve">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https:  www youtube com watch v 2XK01SeRqmA t 687 _x000D_
2  Press on  play   then  pause _x000D_
_x000D_
     If you can t cause the bug to show up again reliably (and hence don t have a proper set of steps to give us)  please still try to give as many details as possible on how you think you encountered the bug     _x000D_
_x000D_
_x000D_
_x000D_
    Actual behaviour_x000D_
The background music continues while pausing the clip_x000D_
_x000D_
_x000D_
_x000D_
    Expected behavior_x000D_
Stop everything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None_x000D_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10  kernel 4 14_x000D_
   Device model: galaxy 71_x000D_
</t>
  </si>
  <si>
    <t>gsantner-markor-1137</t>
  </si>
  <si>
    <t>Activity rotation: Changes view/edit mode</t>
  </si>
  <si>
    <t xml:space="preserve">     General information_x000D_
_x000D_
    App version:2 4 0   _x000D_
    System:9   _x000D_
_x000D_
     Description_x000D_
_x000D_
Hi Markor _x000D_
_x000D_
When you change phone position while you re in a  view mode   app automatically switches to edit mode _x000D_
_x000D_
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blog 2018 03 19 android contribution guide html packageid net gsantner markor project markor web https:  github com gsantner markor logcat_x000D_
   _x000D_
</t>
  </si>
  <si>
    <t>nextcloud-android-7514</t>
  </si>
  <si>
    <t xml:space="preserve">************ CAUSE OF ERROR ************
android.app.RemoteServiceException: Context.startForegroundService() did not then call Service.startForeground(): ServiceRecord{3379860 u0 com.nextcloud.client/.media.PlayerService}
	at android.app.ActivityThread$H.handleMessage(ActivityThread.java:2188)
	at android.os.Handler.dispatchMessage(Handler.java:107)
	at android.os.Looper.loop(Looper.java:237)
	at android.app.ActivityThread.main(ActivityThread.java:8167)
	at java.lang.reflect.Method.invoke(Native Method)
	at com.android.internal.os.RuntimeInit$MethodAndArgsCaller.run(RuntimeInit.java:496)
	at com.android.internal.os.ZygoteInit.main(ZygoteInit.java:1100)
************ APP INFORMATION ************
ID: com.nextcloud.client
Version: 30140090
Build flavor: gplay
************ DEVICE INFORMATION ************
Brand: samsung
Device: starlte
Model: SM-G960F
Id: 
Product: starltexx
************ FIRMWARE ************
SDK: 29
Release: 10
Incremental: G960FXXUCFTK1
</t>
  </si>
  <si>
    <t xml:space="preserve">
    Actual behaviour
  App crashed when trying to delete a file from external storage  Report ING error in case it s useful 
</t>
  </si>
  <si>
    <t>microg-GmsCore-1285</t>
  </si>
  <si>
    <t>Pebble watch app crashes with 0.2.14.204215</t>
  </si>
  <si>
    <t xml:space="preserve">  Affected app  _x000D_
Name: Pebble_x000D_
Package id: com getpebble android basalt_x000D_
_x000D_
  Describe the bug  _x000D_
As soon as I update to v0 2 14 204215 via F droid repository  the Pebble watch app starts continuously crashing  Reverting to 0 2 13 0915 fixes it _x000D_
_x000D_
  To Reproduce  _x000D_
Steps to reproduce the behavior:_x000D_
1  Update GmsCore to v0 2 14 204215_x000D_
2  Pebble watch app starts crashing (no need to launch manually  app runs continuously)_x000D_
_x000D_
  Expected behavior  _x000D_
No crashing_x000D_
_x000D_
  Screenshots  _x000D_
_x000D_
  System  _x000D_
Android Version: 7 1 2_x000D_
Custom ROM: LineageOS 14 1_x000D_
_x000D_
  microG  _x000D_
microG Core version: 0 2 14 204215_x000D_
microG Self Check results:  All ticked_x000D_
_x000D_
  Additional context  _x000D_
Reverting to v0 2 13 0915 fixes problem immediately  I have a logcat filtered for string  pebble   let me know if you would like a different filtered log _x000D_
</t>
  </si>
  <si>
    <t>Anuken-Mindustry-3614</t>
  </si>
  <si>
    <t>Client crashed, and liquid source block is somehow involved</t>
  </si>
  <si>
    <t xml:space="preserve">  Platform  :  Windows _x000D_
_x000D_
  Build  : v5 104 10_x000D_
_x000D_
  Issue  :   I was just playing mutiplayer game  and suddenly crash  First time it happened 1 2 weeks ago  next time few days ago  I do not play daily  but it looks repeatable enough  I lost crash report of first crash  but crash report of second one pretty much match (top of stack trace looks the same) _x000D_
As far as I remember server didn t update anything between crashes _x000D_
As far as I can remember it was different maps where crash happened _x000D_
Liquid sources that caused crash belong to AI enemy (a ton of sources in fact)  ordinary human players do not have access to them  so it doesn t sound like player action caused crash _x000D_
_x000D_
If it can help  server I played is mindustry ru:9992 (attack mode)_x000D_
_x000D_
  Steps to reproduce  : Just play map with liquid source  and if you (un)lucky catch crash _x000D_
_x000D_
  Link(s) to mod(s) used  : None_x000D_
_x000D_
  Save file  : None  Multiplayer game _x000D_
_x000D_
  Crash report  : Attached  crash report 11 24 2020 23 19 49 txt (https:  github com Anuken Mindustry files 5603865 crash report 11 24 2020 23 19 49 txt)_x000D_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</si>
  <si>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Anuken-Mindustry-3607</t>
  </si>
  <si>
    <t>Meltdown power use issue</t>
  </si>
  <si>
    <t xml:space="preserve">  Platform  : Windows 7_x000D_
_x000D_
  Build  : 20089_x000D_
_x000D_
  Issue  : The 7 player controlled meltdowns make bugs in power grid  Sometimes  power minus comes with a delay  sometimes it wont happen at all  Sometimes they take power even when cooling down  I have a logic proccessor asigned to them  so they fire where I fire _x000D_
_x000D_
  Steps to reproduce  : Try to do these (on given save file)_x000D_
 Just shoot by holding down mouse until power is depleted  Something might happen_x000D_
 Turn them sharply_x000D_
 Rapid clicking_x000D_
 Try doing it when commanding some units (I had them assigned during testing)_x000D_
 Replace cryo with water and see if they do the same_x000D_
 Overdrive them (youll have to launch plast from impact 0078 though  as nuclear has none)_x000D_
 Just mess around until something happens with power  You have a large power node so you can track it here _x000D_
_x000D_
  Note:   I got these results:_x000D_
 Power use coming with a delay_x000D_
 Power use not coming at all_x000D_
 Power use lasting longer_x000D_
_x000D_
_x000D_
  Link(s) to mod(s) used  : DeltaNedas Developer Mode (I had it on all the time  for needs of sound bugs testing  none occured after the conveyor thing  so mp3 files seem to be better)_x000D_
_x000D_
  Save file  : _x000D_
 Meltdown power bug (land in Nuclear Complex) zip (https:  github com Anuken Mindustry files 5601431 Meltdown power bug land in Nuclear Complex zip)_x000D_
_x000D_
_x000D_
  Crash report  : Not a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</si>
  <si>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google-ExoPlayer-8283</t>
  </si>
  <si>
    <t>Rare failed assertions</t>
  </si>
  <si>
    <t xml:space="preserve">     REQUIRED  Issue description_x000D_
I m getting some errors reported to crashlytics due failing assertions _x000D_
Here are 3 different issues  I can move them to separate issues if it makes sense and if any work will be made for them_x000D_
_x000D_
     DefaultAudioSink getEncodingAndChannelConfigForPassthrough_x000D_
   _x000D_
Non fatal Exception: java lang NullPointerException_x000D_
       at java util Objects requireNonNull(Objects java:203)_x000D_
       at com google android exoplayer2 util Assertions checkNotNull(Assertions java:147)_x000D_
       at com google android exoplayer2 audio DefaultAudioSink getEncodingAndChannelConfigForPassthrough(DefaultAudioSink java:1434)_x000D_
       at com google android exoplayer2 audio DefaultAudioSink isPassthroughPlaybackSupported(DefaultAudioSink java:1412)_x000D_
       at com google android exoplayer2 audio DefaultAudioSink getFormatSupport(DefaultAudioSink java:474)_x000D_
       at com google android exoplayer2 audio DefaultAudioSink supportsFormat(DefaultAudioSink java:450)_x000D_
       at com google android exoplayer2 audio MediaCodecAudioRenderer shouldUseBypass(MediaCodecAudioRenderer java:305)_x000D_
       at com google android exoplayer2 mediacodec MediaCodecRenderer maybeInitCodecOrBypass(MediaCodecRenderer java:560)_x000D_
       at com google android exoplayer2 mediacodec MediaCodecRenderer bypassRender(MediaCodecRenderer java:2173)_x000D_
       at com google android exoplayer2 mediacodec MediaCodecRenderer render(MediaCodecRenderer java:852)_x000D_
       at com google android exoplayer2 ExoPlayerImplInternal doSomeWork(ExoPlayerImplInternal java:892)_x000D_
       at com google android exoplayer2 ExoPlayerImplInternal handleMessage(ExoPlayerImplInternal java:467)_x000D_
       at android os Handler dispatchMessage(Handler java:102)_x000D_
       at android os Looper loop(Looper java:193)_x000D_
       at android os HandlerThread run(HandlerThread java:65)_x000D_
   _x000D_
   _x000D_
EventLogger: videoEnabled  eventTime 1677 70  mediaPos 0 00  window 0  period 0 _x000D_
EventLogger: audioEnabled  eventTime 1677 70  mediaPos 0 00  window 0  period 0 _x000D_
EventLogger: tracks  eventTime 1677 70  mediaPos 0 00  window 0  period 0_x000D_
EventLogger:   MediaCodecVideoRenderer  _x000D_
EventLogger:     Group:0  adaptive supported N A  _x000D_
EventLogger:        X  Track:0  id 1 256  mimeType video avc  codecs avc1 64002A  res 1920x1080  supported YES_x000D_
EventLogger:      _x000D_
EventLogger:    _x000D_
EventLogger:   MediaCodecAudioRenderer  _x000D_
EventLogger:     Group:0  adaptive supported N A  _x000D_
EventLogger:        X  Track:0  id 1 257  mimeType audio ac3  channels 2  sample rate 44100  language en  supported YES_x000D_
EventLogger:      _x000D_
EventLogger:    _x000D_
EventLogger:   FfmpegAudioRenderer   _x000D_
EventLogger:   TextRenderer   _x000D_
EventLogger:   MetadataRenderer   _x000D_
EventLogger:   CameraMotionRenderer   _x000D_
EventLogger:  _x000D_
EventLogger: downstreamFormat  eventTime 1677 71  mediaPos 0 00  window 0  period 0  id 1 256  mimeType video avc  codecs avc1 64002A  res 1920x1080 _x000D_
EventLogger: videoDecoderInitialized  eventTime 1677 74  mediaPos 0 00  window 0  period 0  OMX Nvidia h264 decode _x000D_
EventLogger: videoInputFormat  eventTime 1677 74  mediaPos 0 00  window 0  period 0  id 1 256  mimeType video avc  codecs avc1 64002A  res 1920x1080 _x000D_
EventLogger: downstreamFormat  eventTime 1677 74  mediaPos 0 00  window 0  period 0  id 1 257  mimeType audio ac3  channels 2  sample rate 44100  language en _x000D_
EventLogger: audioInputFormat  eventTime 1677 74  mediaPos 0 00  window 0  period 0  id 1 257  mimeType audio ac3  channels 2  sample rate 44100  language en _x000D_
EventLogger: audioSessionId  eventTime 1677 76  mediaPos 0 00  window 0  period 0  393 _x000D_
EventLogger: audioInputFormat  eventTime 1677 76  mediaPos 0 00  window 0  period 0  id 1 257  mimeType null  channels 4  language en _x000D_
EventLogger: videoDisabled  eventTime 1677 78  mediaPos 0 00  window 0  period 0 _x000D_
EventLogger: audioDisabled  eventTime 1677 78  mediaPos 0 00  window 0  period 0 _x000D_
   _x000D_
_x000D_
     REQUIRED  Reproduction steps_x000D_
Callstacks are from automatic error reports and I can not reproduce them locally_x000D_
_x000D_
     REQUIRED  Link to test content_x000D_
Errors are from automatic error reports and I do not own media_x000D_
_x000D_
     REQUIRED  A full bug report captured from the device_x000D_
n a_x000D_
_x000D_
     REQUIRED  Version of ExoPlayer being used_x000D_
r2 12 1_x000D_
_x000D_
     REQUIRED  Device(s) and version(s) of Android being used_x000D_
BRAVIA 4K GB ATV3  Xiaomi MiBox S  NVidia Shield TV_x000D_
</t>
  </si>
  <si>
    <t>Anuken-Mindustry-3606</t>
  </si>
  <si>
    <t>Able to research sector specific research before capturing it</t>
  </si>
  <si>
    <t xml:space="preserve">  Platform  :  Android iOS Mac Windows Linux _x000D_
_x000D_
Windows_x000D_
_x000D_
  Build  :  The build number under the title in the main menu  Required   LATEST  IS NOT A VERSION  I NEED THE EXACT BUILD NUMBER OF YOUR GAME  _x000D_
_x000D_
117 1_x000D_
_x000D_
  Issue  :  Explain your issue in detail  _x000D_
_x000D_
On Overgrowth  for example  you can launch there  and instantly research the multiplicative reconstructor  without ever having to actually take over the base_x000D_
_x000D_
  Steps to reproduce  :  How you happened across the issue  and what exactly you did to make the bug happen  _x000D_
_x000D_
Launch to an attack sector  research the technologies there  and you don t need to capture the base_x000D_
_x000D_
  Link(s) to mod(s) used  :  The mod repositories or zip files that are related to the issue  if applicable  _x000D_
_x000D_
N A_x000D_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Unneccesary  can be replicated on any save_x000D_
_x000D_
  Crash report  :  The contents of relevant crash report files  REQUIRED if you are reporting a crash  _x000D_
_x000D_
N 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</si>
  <si>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tradle-react-native-udp-144</t>
  </si>
  <si>
    <t>Crash: java.lang.RuntimeException: MulticastLock under-locked react-native-udp</t>
  </si>
  <si>
    <t xml:space="preserve">   Description_x000D_
App sometimes crashes after going to background (Android)_x000D_
_x000D_
   Error_x000D_
   java_x000D_
com tradle react UdpSockets 6 doInBackgroundGuarded_x000D_
java lang RuntimeException: MulticastLock under locked react native udp_x000D_
   _x000D_
_x000D_
   Stack traces_x000D_
   java_x000D_
android net wifi WifiManager MulticastLock release WifiManager java:4268_x000D_
com tradle react UdpSockets 6 doInBackgroundGuarded UdpSockets java:273_x000D_
com tradle react UdpSockets 6 doInBackgroundGuarded UdpSockets java:263_x000D_
com facebook react bridge GuardedAsyncTask doInBackground GuardedAsyncTask java:36_x000D_
com facebook react bridge GuardedAsyncTask doInBackground GuardedAsyncTask java:20_x000D_
android os AsyncTask 3 call AsyncTask java:378_x000D_
java util concurrent FutureTask run FutureTask java:266_x000D_
java util concurrent ThreadPoolExecutor runWorker ThreadPoolExecutor java:1167_x000D_
java util concurrent ThreadPoolExecutor Worker run ThreadPoolExecutor java:641_x000D_
java lang Thread run Thread java:919_x000D_
   _x000D_
_x000D_
   Steps to reproduce_x000D_
Hard to say  It happens very rarely and it seems that you need to go to background at the right moment _x000D_
_x000D_
   Expected behavior_x000D_
No crash  perhaps _x000D_
_x000D_
   Relevant information_x000D_
                     _x000D_
                     _x000D_
  react native   0 62 1    _x000D_
  react native udp    4 0 3 (but happens on earlier versions  too)    _x000D_
_x000D_
   Occurred on_x000D_
                     _x000D_
                     _x000D_
  Device   OS    _x000D_
  Xperia XZ2    Android 10 0   _x000D_
  LG K4    Android 6 0 1    </t>
  </si>
  <si>
    <t>tradle-react-native-udp-143</t>
  </si>
  <si>
    <t>Crash: Task android.os.AsyncTask rejected from java.util.concurrent.ThreadPoolExecutor</t>
  </si>
  <si>
    <t xml:space="preserve">   Description_x000D_
App crashes after going to background  closing socket  going to foreground and open socket again (Android)_x000D_
_x000D_
   Error_x000D_
   java_x000D_
com tradle react UdpSockets close_x000D_
UdpSockets java  line 285_x000D_
java util concurrent RejectedExecutionException: Task android os AsyncTask 3 fd47a96 rejected from java util concurrent ThreadPoolExecutor d61617 Running  pool size   9  active threads   9  queued tasks   128  completed tasks   513 _x000D_
   _x000D_
_x000D_
   Stack traces_x000D_
   java_x000D_
java util concurrent ThreadPoolExecutor AbortPolicy rejectedExecution ThreadPoolExecutor java:2014_x000D_
java util concurrent ThreadPoolExecutor reject ThreadPoolExecutor java:794_x000D_
java util concurrent ThreadPoolExecutor execute ThreadPoolExecutor java:1340_x000D_
android os AsyncTask executeOnExecutor AsyncTask java:607_x000D_
com tradle react UdpSockets close UdpSockets java:285_x000D_
java lang reflect Method invoke Method java_x000D_
com facebook react bridge JavaMethodWrapper invoke JavaMethodWrapper java:372_x000D_
com facebook react bridge JavaModuleWrapper invoke JavaModuleWrapper java:151_x000D_
com facebook react bridge queue NativeRunnable run NativeRunnable java_x000D_
android os Handler handleCallback Handler java:739_x000D_
com facebook react bridge queue MessageQueueThreadHandler dispatchMessage MessageQueueThreadHandler java:27_x000D_
android os Looper loop Looper java:158_x000D_
com facebook react bridge queue MessageQueueThreadImpl 4 run MessageQueueThreadImpl java:226_x000D_
java lang Thread run Thread java:818_x000D_
   _x000D_
_x000D_
   Steps to reproduce_x000D_
Steps to reproduce the behavior:_x000D_
1  Open a socket  setBroadcast(true)  addMembership( 239 255 255 250 )_x000D_
2  Go to background and close socket (by detecting AppState change)_x000D_
3  Go to foreground and open socket again_x000D_
4  Wait _x000D_
_x000D_
Code:_x000D_
   js_x000D_
  this udpSocket   createSocket(  type:  udp4   reuseAddr: true  )_x000D_
  this udpSocket on( message   this onUdp bind(this))_x000D_
  this udpSocket on( error   this onUDPError bind(this))_x000D_
  this udpSocket on( listening   this onUDPListening bind(this))_x000D_
  this udpSocket bind(7979)_x000D_
_x000D_
  private onUDPListening(err)  _x000D_
    if (err)  _x000D_
      log error( Error when listening on UDP discovering socket:   err)_x000D_
      return_x000D_
     _x000D_
_x000D_
    if (this udpSocket)  _x000D_
      log debug( Setting multicast for socket:   this udpSocket)_x000D_
      this udpSocket setBroadcast(true)_x000D_
      this udpSocket addMembership(MULTICAST GROUP)_x000D_
      else  _x000D_
      log debug( Error when setting multicast for socket  Socket is null )_x000D_
     _x000D_
   _x000D_
_x000D_
  private onUDPError(err)  _x000D_
    log error( Error on UDP discovering socket:   err)_x000D_
   _x000D_
_x000D_
   _x000D_
   AppState change detection logic_x000D_
   _x000D_
   Current behavior_x000D_
App crashes on some devices with multiple Android versions  Sometimes the error is not in  com tradle react UdpSockets didReceiveData  but  com tradle react UdpSockets close     It s not 100  reproducible   _x000D_
_x000D_
Sometimes we can see in the logs  no client found with id x  (which is related to  118)_x000D_
_x000D_
   Expected behavior_x000D_
App does not crash   event if there is an error  it should be passed in  error  callback somehow _x000D_
_x000D_
   Relevant information_x000D_
                     _x000D_
                     _x000D_
  react native   0 62 1    _x000D_
  react native udp    4 0 3 (but happens on earlier versions  too)    _x000D_
_x000D_
   Occurred on_x000D_
                     _x000D_
                     _x000D_
  Device   OS    _x000D_
  Honor 6x    Android 7 0    _x000D_
  Galaxy J5(2016)    Android 6 0 1    _x000D_
  Xperia Z5 Compact    Android 7 1 2   _x000D_
  P20 lite    Android 9   </t>
  </si>
  <si>
    <t>nextcloud-android-7498</t>
  </si>
  <si>
    <t>Crashed Report</t>
  </si>
  <si>
    <t xml:space="preserve">My Nextcloudpi is running on Raspberry pi 4 2GB  _x000D_
Whenever I try to play download stream upload vide  the app has been crashed  _x000D_
_x000D_
I tried on iOS 14  It works smoothly  _x000D_
_x000D_
     Nextcloud log_x000D_
             CAUSE OF ERROR             _x000D_
   _x000D_
android app RemoteServiceException: Context startForegroundService() did not then call Service startForeground(): ServiceRecord afec9a7 u0 com nextcloud client  media PlayerService _x000D_
	at android app ActivityThread H handleMessage(ActivityThread java:1946)_x000D_
	at android os Handler dispatchMessage(Handler java:107)_x000D_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java:935)_x000D_
   _x000D_
             APP INFORMATION             _x000D_
ID: com nextcloud client_x000D_
Version: 30140090_x000D_
Build flavor: gplay_x000D_
_x000D_
             DEVICE INFORMATION             _x000D_
Brand: Xiaomi_x000D_
Device: laurel sprout_x000D_
Model: Mi A3_x000D_
Id:        _x000D_
Product: laurel sprout_x000D_
_x000D_
             FIRMWARE             _x000D_
SDK: 29_x000D_
Release: 10_x000D_
Incremental: V11 0 19 0 QFQMIXM_x000D_
</t>
  </si>
  <si>
    <t>Anuken-Mindustry-3599</t>
  </si>
  <si>
    <t>X Worked on android/Windows, Simply duplicating the tutorial loot (Some1 goes into a game with configure loadout all full, opens to LAN, Other player joins, they launch as soon as possible, they get 4k loot (The person who joined gained free loot in seconds)) All build numbers that have LAN tutorial X</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</si>
  <si>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</si>
  <si>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opensrp-opensrp-client-chw-1584</t>
  </si>
  <si>
    <t>[bug - all wcaro flavors] Supervisor app crashes immediately after successful p2p sync</t>
  </si>
  <si>
    <t xml:space="preserve">Client is reporting that the p2p sync completes successfully  but the supervisor app crashes (logs her out) as soon as the sync completes _x000D_
_x000D_
She recorded a video of what happens  which you can view here: https:  drive google com file d 1f 82P CWjmgsZlksC5KxVRcVHdV2kq6J view_x000D_
_x000D_
The CHW account she was using was  relais1  and the supervisor account was  pcac1  _x000D_
_x000D_
_x000D_
_x000D_
</t>
  </si>
  <si>
    <t>Anuken-Mindustry-3597</t>
  </si>
  <si>
    <t>"New Content Unlocked" appears every time you become a Beta</t>
  </si>
  <si>
    <t xml:space="preserve">  Platform  :  Android iOS Mac Windows Linux _x000D_
_x000D_
Windows  with an android phone hosting the game_x000D_
_x000D_
  Build  :  The build number under the title in the main menu  Required   LATEST  IS NOT A VERSION  I NEED THE EXACT BUILD NUMBER OF YOUR GAME  _x000D_
_x000D_
117 1 Beta_x000D_
_x000D_
  Issue  :  Explain your issue in detail  _x000D_
_x000D_
Whenever you go into the core  by pressing V as a unit  or Ctrl   clicking the core  you see the  New Content Unlocked   even if you already have unlocked it_x000D_
_x000D_
  Steps to reproduce  :  How you happened across the issue  and what exactly you did to make the bug happen  _x000D_
_x000D_
Host a game on a mobile android phone  get to a sector with a Foundation core  join the game with a Windows computer  and go into the core  New Content Unlocked should appear every time you go into the core_x000D_
_x000D_
  Link(s) to mod(s) used  :  The mod repositories or zip files that are related to the issue  if applicable  _x000D_
_x000D_
No mods  vanilla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Unneccesary  because this issue can be replicated on any save file  not any specific ones_x000D_
_x000D_
  Crash report  :  The contents of relevant crash report files  REQUIRED if you are reporting a crash  _x000D_
_x000D_
N A_x000D_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</si>
  <si>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nextcloud-android-7494</t>
  </si>
  <si>
    <t xml:space="preserve">Deleted a pdf file on my android phone. </t>
  </si>
  <si>
    <t xml:space="preserve">    Steps to reproduce_x000D_
I chose to delete the file on the handset and on the server  Immediately it crashed (report enclosed below)  On the phone  the file had been deleted  I synchronised the directory and noticed that they was still no pdf file  so I presume it had been deleted on the server too  Therefore  it seems that the crash occurred after the entire delete process (handset and server) _x000D_
2  _x000D_
3  _x000D_
             CAUSE OF ERROR             _x000D_
_x000D_
android app RemoteServiceException: Context startForegroundService() did not then call Service startForeground(): ServiceRecord 15ea877 u0 com nextcloud client  media PlayerService _x000D_
	at android app ActivityThread H handleMessage(ActivityThread java:2313)_x000D_
	at android os Handler dispatchMessage(Handler java:107)_x000D_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_x000D_
             APP INFORMATION             _x000D_
ID: com nextcloud client_x000D_
Version: 30140151_x000D_
Build flavor: gplay_x000D_
_x000D_
             DEVICE INFORMATION             _x000D_
Brand: HONOR_x000D_
Device: HWBKL_x000D_
Model: BKL L09_x000D_
Id: HUAWEIBKL L09S_x000D_
Product: BKL L09_x000D_
_x000D_
             FIRMWARE             _x000D_
SDK: 29_x000D_
Release: 10_x000D_
Incremental: 10 0 0 177C432_x000D_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</si>
  <si>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Anuken-Mindustry-3593</t>
  </si>
  <si>
    <t>Проблема со сохранениями й</t>
  </si>
  <si>
    <t xml:space="preserve">  Platform  :  Android _x000D_
_x000D_
  Build  :  117  _x000D_
_x000D_
  Issue  :                                                                    _x000D_
_x000D_
  Steps to reproduce  :                                                                                                                                                                                                                                                          _x000D_
                                                                                                          _x000D_
_x000D_
  Link(s) to mod(s) used  :  The mod repositories or zip files that are related to the issue  if applicable  _x000D_
_x000D_
  Save file  :  https:  yadi sk d XKYmfSyapnzsMA   _x000D_
_x000D_
  Crash report  :  The contents of relevant crash report files  REQUIRED if you are reporting a crash  _x000D_
                                 :_x000D_
denis ponomorew gmail com_x000D_
   _x000D_
_x000D_
 Place an X (no spaces) between the brackets to confirm that you have read the line below    _x000D_
   x     I have updated to the latest release (https:  github com Anuken Mindustry releases) to make sure my issue has not been fixed   _x000D_
        I have searched the closed and open issues to make sure that this problem has not already been reported   _x000D_
</t>
  </si>
  <si>
    <t>ElderDrivers-EdXposed-662</t>
  </si>
  <si>
    <t>[BUG] 0.5.0.6_4576 sandhook not working</t>
  </si>
  <si>
    <t xml:space="preserve">  8 miui12     android10_x000D_
_x000D_
riru 22 0_x000D_
_x000D_
magisk 21 1_x000D_
_x000D_
edxposed 4576 sandhook_x000D_
_x000D_
    Logcat Logcat  _x000D_
_x000D_
          beginning of head_x000D_
EdXposed Log_x000D_
Powered by Log Catcher_x000D_
QQ support group: 855219808_x000D_
Telegram support group:  Code Of MeowCat_x000D_
Telegram channel:  EdXposed_x000D_
          beginning of information_x000D_
Manufacturer: Xiaomi_x000D_
Brand: Xiaomi_x000D_
Device: equuleus_x000D_
Product: equuleus_x000D_
Model: MI 8 UD_x000D_
Fingerprint: Xiaomi equuleus equuleus:10 QKQ1 190828 002 20 9 4:user release keys_x000D_
ROM description: equuleus user 10 QKQ1 190828 002 20 9 4 release keys_x000D_
Architecture: arm64 v8a_x000D_
Android build: QKQ1 190828 002_x000D_
Android version: 10_x000D_
Android sdk: 29_x000D_
EdXposed version: v0 5 0 6 4576 android r (SandHook)_x000D_
EdXposed api: 91 0_x000D_
Riru version:  ()_x000D_
Riru api: _x000D_
Magisk: 21 1 (21100)_x000D_
          beginning of main_x000D_
          beginning of system_x000D_
03 03 16:47:02 549   773   773 I EdXposed: onModuleLoaded: welcome to EdXposed _x000D_
03 03 16:47:02 549   773   773 I EdXposed: Start to install inline hooks_x000D_
03 03 16:47:02 549   773   773 I EdXposed: Using api level 29_x000D_
03 03 16:47:02 549   773   773 I EdXposed: Start to install Riru hook_x000D_
03 03 16:47:02 568   773   773 I EdXposed: Riru hooks installed_x000D_
03 03 16:47:02 583   773   773 I EdXposed: updating config data paths from 0 to 0   _x000D_
03 03 16:47:02 583   773   773 I EdXposed: using installer org meowcat edxposed manager_x000D_
03 03 16:47:02 588   773   773 I EdXposed: data path prefix:  data user de 0_x000D_
03 03 16:47:02 588   773   773 I EdXposed:   application list mode: true_x000D_
03 03 16:47:02 588   773   773 I EdXposed:     using whitelist: true_x000D_
03 03 16:47:02 588   773   773 I EdXposed:   dynamic modules mode: false_x000D_
03 03 16:47:02 588   773   773 I EdXposed:   resources hook: false_x000D_
03 03 16:47:02 588   773   773 I EdXposed:   deopt boot image: false_x000D_
03 03 16:47:02 588   773   773 I EdXposed:   no module log: false_x000D_
03 03 16:47:02 588   773   773 I EdXposed:   hidden api bypass: false_x000D_
03 03 16:47:02 589   773   773 I EdXposed:   whitelist: com omarea vtools_x000D_
03 03 16:47:02 589   773   773 I EdXposed:   whitelist: top fols aapp xp eternalprocess_x000D_
03 03 16:47:02 589   773   773 I EdXposed:   whitelist: com miui securitycenter_x000D_
03 03 16:47:02 589   773   773 I EdXposed:   whitelist: com viewblocker jrsen_x000D_
03 03 16:47:02 589   773   773 I EdXposed:   whitelist: com jy tj install_x000D_
03 03 16:47:02 589   773   773 I EdXposed:   whitelist: mapp rm_x000D_
03 03 16:47:02 589   773   773 I EdXposed:   whitelist: dummy anon jpytest_x000D_
03 03 16:47:02 589   773   773 I EdXposed:   whitelist: android_x000D_
03 03 16:47:02 589   773   773 I EdXposed:   whitelist: dummy anon xposedrhino_x000D_
03 03 16:47:02 589   773   773 I EdXposed:   whitelist: com mhook dialog beta_x000D_
03 03 16:47:02 589   773   773 I EdXposed:   whitelist: ru bluecat android xposed mods appsettings_x000D_
03 03 16:47:02 589   773   773 I EdXposed:   whitelist: org meowcat edxposed manager_x000D_
03 03 16:47:02 589   773   773 I EdXposed:   whitelist: dummy anon mmi_x000D_
03 03 16:47:02 589   773   773 I EdXposed:   whitelist: com android thememanager_x000D_
03 03 16:47:02 589   773   773 I EdXposed:   whitelist: com android settings_x000D_
03 03 16:47:02 589   773   773 I EdXposed:   whitelist: com jozein xedgepro_x000D_
03 03 16:47:02 589   773   773 I EdXposed:   whitelist: com netease cloudmusic_x000D_
03 03 16:47:02 589   773   773 I EdXposed:   whitelist: com raincat unblockneteasemusic_x000D_
03 03 16:47:02 589   773   773 I EdXposed:   whitelist: ru DZllcILj jKnYitpWP_x000D_
03 03 16:47:02 589   773   773 I EdXposed:   whitelist: com evbadroid wicap_x000D_
03 03 16:47:02 589   773   773 I EdXposed:   whitelist: com miui packageinstaller_x000D_
03 03 16:47:02 589   773   773 I EdXposed:   whitelist: com mhook dialog_x000D_
03 03 16:47:02 589   773   773 I EdXposed:   whitelist: liubaoyua customtext_x000D_
03 03 16:47:02 589   773   773 I EdXposed:   whitelist: com js nowakelock_x000D_
03 03 16:47:02 592   773   773 I EdXposed: ART hooks installed_x000D_
03 03 16:47:02 711   774   774 I EdXposed: onModuleLoaded: welcome to EdXposed _x000D_
03 03 16:47:02 711   774   774 I EdXposed: Start to install inline hooks_x000D_
03 03 16:47:02 711   774   774 I EdXposed: Using api level 29_x000D_
03 03 16:47:02 711   774   774 I EdXposed: Start to install Riru hook_x000D_
03 03 16:47:02 730   774   774 I EdXposed: Riru hooks installed_x000D_
03 03 16:47:02 752   774   774 I EdXposed: updating config data paths from 0 to 0   _x000D_
03 03 16:47:02 752   774   774 I EdXposed: using installer org meowcat edxposed manager_x000D_
03 03 16:47:02 753   774   774 I EdXposed: data path prefix:  data user de 0_x000D_
03 03 16:47:02 753   774   774 I EdXposed:   application list mode: true_x000D_
03 03 16:47:02 753   774   774 I EdXposed:     using whitelist: true_x000D_
03 03 16:47:02 753   774   774 I EdXposed:   dynamic modules mode: false_x000D_
03 03 16:47:02 753   774   774 I EdXposed:   resources hook: false_x000D_
03 03 16:47:02 753   774   774 I EdXposed:   deopt boot image: false_x000D_
03 03 16:47:02 753   774   774 I EdXposed:   no module log: false_x000D_
03 03 16:47:02 753   774   774 I EdXposed:   hidden api bypass: false_x000D_
03 03 16:47:02 753   774   774 I EdXposed:   whitelist: com omarea vtools_x000D_
03 03 16:47:02 753   774   774 I EdXposed:   whitelist: top fols aapp xp eternalprocess_x000D_
03 03 16:47:02 753   774   774 I EdXposed:   whitelist: com miui securitycenter_x000D_
03 03 16:47:02 753   774   774 I EdXposed:   whitelist: com viewblocker jrsen_x000D_
03 03 16:47:02 753   774   774 I EdXposed:   whitelist: com jy tj install_x000D_
03 03 16:47:02 753   774   774 I EdXposed:   whitelist: mapp rm_x000D_
03 03 16:47:02 753   774   774 I EdXposed:   whitelist: dummy anon jpytest_x000D_
03 03 16:47:02 753   774   774 I EdXposed:   whitelist: android_x000D_
03 03 16:47:02 753   774   774 I EdXposed:   whitelist: dummy anon xposedrhino_x000D_
03 03 16:47:02 753   774   774 I EdXposed:   whitelist: com mhook dialog beta_x000D_
03 03 16:47:02 753   774   774 I EdXposed:   whitelist: ru bluecat android xposed mods appsettings_x000D_
03 03 16:47:02 753   774   774 I EdXposed:   whitelist: org meowcat edxposed manager_x000D_
03 03 16:47:02 753   774   774 I EdXposed:   whitelist: dummy anon mmi_x000D_
03 03 16:47:02 753   774   774 I EdXposed:   whitelist: com android thememanager_x000D_
03 03 16:47:02 753   774   774 I EdXposed:   whitelist: com android settings_x000D_
03 03 16:47:02 753   774   774 I EdXposed:   whitelist: com jozein xedgepro_x000D_
03 03 16:47:02 753   774   774 I EdXposed:   whitelist: com netease cloudmusic_x000D_
03 03 16:47:02 753   774   774 I EdXposed:   whitelist: com raincat unblockneteasemusic_x000D_
03 03 16:47:02 753   774   774 I EdXposed:   whitelist: ru DZllcILj jKnYitpWP_x000D_
03 03 16:47:02 753   774   774 I EdXposed:   whitelist: com evbadroid wicap_x000D_
03 03 16:47:02 753   774   774 I EdXposed:   whitelist: com miui packageinstaller_x000D_
03 03 16:47:02 753   774   774 I EdXposed:   whitelist: com mhook dialog_x000D_
03 03 16:47:02 753   774   774 I EdXposed:   whitelist: liubaoyua customtext_x000D_
03 03 16:47:02 753   774   774 I EdXposed:   whitelist: com js nowakelock_x000D_
03 03 16:47:02 754   774   774 I EdXposed: ART hooks installed_x000D_
11 25 22:10:22 941  2034  2034 E EdXposed: dlopen( system lib64 libad7b653f959bc so) failed: dlopen failed: library   system lib64 libad7b653f959bc so  not found_x000D_
11 25 22:10:22 990  2034  2034 E EdXposed: error during Xposed initialization_x000D_
11 25 22:10:22 990  2034  2034 E EdXposed: java lang UnsatisfiedLinkError: No implementation found for boolean com swift sandhook SandHook initNative(int  boolean) (tried Java com swift sandhook SandHook initNative and Java com swift sandhook SandHook initNative  IZ)_x000D_
11 25 22:10:22 990  2034  2034 E EdXposed: 	at com swift sandhook SandHook initNative(Native Method)_x000D_
11 25 22:10:22 990  2034  2034 E EdXposed: 	at com swift sandhook SandHook init(SandHook java:57)_x000D_
11 25 22:10:22 990  2034  2034 E EdXposed: 	at com swift sandhook SandHook  clinit (SandHook java:50)_x000D_
11 25 22:10:22 990  2034  2034 E EdXposed: 	at com swift sandhook SandHook hook(Unknown Source:0)_x000D_
11 25 22:10:22 990  2034  2034 E EdXposed: 	at com swift sandhook xposedcompat methodgen HookerDexMakerNew start(HookerDexMakerNew java:163)_x000D_
11 25 22:10:22 990  2034  2034 E EdXposed: 	at com swift sandhook xposedcompat methodgen SandHookXposedBridge hookMethod(SandHookXposedBridge java:87)_x000D_
11 25 22:10:22 990  2034  2034 E EdXposed: 	at com swift sandhook xposedcompat XposedCompat hookMethod(XposedCompat java:68)_x000D_
11 25 22:10:22 990  2034  2034 E EdXposed: 	at com elderdrivers riru edxp sandhook config SandHookProvider hookMethod(SandHookProvider java:29)_x000D_
11 25 22:10:22 990  2034  2034 E EdXposed: 	at de robv android xposed XposedBridge hookMethodNative(XposedBridge java:464)_x000D_
11 25 22:10:22 990  2034  2034 E EdXposed: 	at de robv android xposed XposedBridge hookMethod(XposedBridge java:241)_x000D_
11 25 22:10:22 990  2034  2034 E EdXposed: 	at de robv android xposed XposedHelpers findAndHookMethod(XposedHelpers java:187)_x000D_
11 25 22:10:22 990  2034  2034 E EdXposed: 	at de robv android xposed XposedHelpers findAndHookMethod(XposedHelpers java:260)_x000D_
11 25 22:10:22 990  2034  2034 E EdXposed: 	at com elderdrivers riru edxp proxy BaseRouter startBootstrapHook(BaseRouter java:86)_x000D_
11 25 22:10:22 990  2034  2034 E EdXposed: 	at com elderdrivers riru edxp sandhook core SandHookRouter startBootstrapHook(SandHookRouter java:35)_x000D_
11 25 22:10:22 990  2034  2034 E EdXposed: 	at com elderdrivers riru edxp proxy BaseRouter installBootstrapHooks(BaseRouter java:52)_x000D_
11 25 22:10:22 990  2034  2034 E EdXposed: 	at com elderdrivers riru edxp proxy NormalProxy forkSystemServerPost(NormalProxy java:48)_x000D_
11 25 22:10:22 990  2034  2034 E EdXposed: 	at com elderdrivers riru edxp core Main forkSystemServerPost(Main java:58)_x000D_
11 25 22:10:22 990  2034  2034 E EdXposed: 	at com android internal os Zygote nativeForkSystemServer(Native Method)_x000D_
11 25 22:10:22 990  2034  2034 E EdXposed: 	at com android internal os Zygote forkSystemServer(Zygote java:346)_x000D_
11 25 22:10:22 990  2034  2034 E EdXposed: 	at com android internal os ZygoteInit forkSystemServer(ZygoteInit java:797)_x000D_
11 25 22:10:22 990  2034  2034 E EdXposed: 	at com android internal os ZygoteInit main(ZygoteInit java:926)_x000D_
11 25 22:10:22 990  2034  2034 I EdXposed Bridge: Loading modules from  data app top fols aapp xp eternalprocess ilDLXqr2ucNaSmaLc3ll5A   base apk_x000D_
11 25 22:10:23 008  2034  2034 I EdXposed Bridge:   Loading class top fols aapp xp eternalprocess Hook_x000D_
11 25 22:10:23 014  2034  2034 I EdXposed Bridge: Loading modules from  data app com raincat unblockneteasemusic  ONQprLIqz2XK 1uUXShpA   base apk_x000D_
11 25 22:10:23 028  2034  2034 I EdXposed Bridge:   Loading class com raincat unblockneteasemusic MainHook_x000D_
11 25 22:10:23 029  2034  2034 I EdXposed Bridge: Loading modules from  data app com mhook dialog beta ljhqZQ UA8cWC4sBouhw9A   base apk_x000D_
11 25 22:10:23 050  2034  2034 I EdXposed Bridge:   Loading class com mhook dialog Module_x000D_
11 25 22:10:23 056  2034  2034 I EdXposed Bridge: Loading modules from  data app dummy anon mmi P RlwoRXLHLI5kHwxYg2Og   base apk_x000D_
11 25 22:10:23 067  2034  2034 I EdXposed Bridge:   Loading class i E_x000D_
11 25 22:10:23 076  2034  2034 E EdXposed Bridge:     Failed to load class i E_x000D_
11 25 22:10:23 076  2034  2034 E EdXposed Bridge: java lang NoClassDefFoundError: com swift sandhook SandHook_x000D_
11 25 22:10:23 076  2034  2034 E EdXposed Bridge: 	at com swift sandhook SandHook hook(Unknown Source:0)_x000D_
11 25 22:10:23 076  2034  2034 E EdXposed Bridge: 	at com swift sandhook xposedcompat methodgen HookerDexMakerNew start(HookerDexMakerNew java:163)_x000D_
11 25 22:10:23 076  2034  2034 E EdXposed Bridge: 	at com swift sandhook xposedcompat methodgen SandHookXposedBridge hookMethod(SandHookXposedBridge java:87)_x000D_
11 25 22:10:23 076  2034  2034 E EdXposed Bridge: 	at com swift sandhook xposedcompat XposedCompat hookMethod(XposedCompat java:68)_x000D_
11 25 22:10:23 076  2034  2034 E EdXposed Bridge: 	at com elderdrivers riru edxp sandhook config SandHookProvider hookMethod(SandHookProvider java:29)_x000D_
11 25 22:10:23 076  2034  2034 E EdXposed Bridge: 	at de robv android xposed XposedBridge hookMethodNative(XposedBridge java:464)_x000D_
11 25 22:10:23 076  2034  2034 E EdXposed Bridge: 	at de robv android xposed XposedBridge hookMethod(XposedBridge java:241)_x000D_
11 25 22:10:23 076  2034  2034 E EdXposed Bridge: 	at de robv android xposed XposedHelpers findAndHookMethod(XposedHelpers java:187)_x000D_
11 25 22:10:23 076  2034  2034 E EdXposed Bridge: 	at de robv android xposed XposedHelpers findAndHookMethod(XposedHelpers java:260)_x000D_
11 25 22:10:23 076  2034  2034 E EdXposed Bridge: 	at dummy anon mmi xposed modules XSignatureVerify isEqualHook(XSignatureVerify java:31)_x000D_
11 25 22:10:23 076  2034  2034 E EdXposed Bridge: 	at dummy anon mmi xposed modules XSignatureVerify hookZygote(XSignatureVerify java:25)_x000D_
11 25 22:10:23 076  2034  2034 E EdXposed Bridge: 	at dummy anon mmi base XBase startHookZygote(XBase java:59)_x000D_
11 25 22:10:23 076  2034  2034 E EdXposed Bridge: 	at dummy anon mmi xposed XModulesManager hookZygote(XModulesManager java:47)_x000D_
11 25 22:10:23 076  2034  2034 E EdXposed Bridge: 	at i E initZygote(E java:14)_x000D_
11 25 22:10:23 076  2034  2034 E EdXposed Bridge: 	at de robv android xposed XposedInit loadModule(XposedInit java:465)_x000D_
11 25 22:10:23 076  2034  2034 E EdXposed Bridge: 	at de robv android xposed XposedInit loadModules(XposedInit java:334)_x000D_
11 25 22:10:23 076  2034  2034 E EdXposed Bridge: 	at com elderdrivers riru edxp proxy BaseRouter loadModulesSafely(BaseRouter java:62)_x000D_
11 25 22:10:23 076  2034  2034 E EdXposed Bridge: 	at com elderdrivers riru edxp proxy NormalProxy forkPostCommon(NormalProxy java:60)_x000D_
11 25 22:10:23 076  2034  2034 E EdXposed Bridge: 	at com elderdrivers riru edxp proxy NormalProxy forkSystemServerPost(NormalProxy java:50)_x000D_
11 25 22:10:23 076  2034  2034 E EdXposed Bridge: 	at com elderdrivers riru edxp core Main forkSystemServerPost(Main java:58)_x000D_
11 25 22:10:23 076  2034  2034 E EdXposed Bridge: 	at com android internal os Zygote nativeForkSystemServer(Native Method)_x000D_
11 25 22:10:23 076  2034  2034 E EdXposed Bridge: 	at com android internal os Zygote forkSystemServer(Zygote java:346)_x000D_
11 25 22:10:23 076  2034  2034 E EdXposed Bridge: 	at com android internal os ZygoteInit forkSystemServer(ZygoteInit java:797)_x000D_
11 25 22:10:23 076  2034  2034 E EdXposed Bridge: 	at com android internal os ZygoteInit main(ZygoteInit java:926)_x000D_
11 25 22:10:23 076  2034  2034 E EdXposed Bridge: Caused by: java lang UnsatisfiedLinkError: No implementation found for boolean com swift sandhook SandHook initNative(int  boolean) (tried Java com swift sandhook SandHook initNative and Java com swift sandhook SandHook initNative  IZ)_x000D_
11 25 22:10:23 076  2034  2034 E EdXposed Bridge: 	at com swift sandhook SandHook initNative(Native Method)_x000D_
11 25 22:10:23 076  2034  2034 E EdXposed Bridge: 	at com swift sandhook SandHook init(SandHook java:57)_x000D_
11 25 22:10:23 076  2034  2034 E EdXposed Bridge: 	at com swift sandhook SandHook  clinit (SandHook java:50)_x000D_
11 25 22:10:23 076  2034  2034 E EdXposed Bridge: 	at com swift sandhook SandHook hook(Unknown Source:0)_x000D_
11 25 22:10:23 076  2034  2034 E EdXposed Bridge: 	at com swift sandhook xposedcompat methodgen HookerDexMakerNew start(HookerDexMakerNew java:163)_x000D_
11 25 22:10:23 076  2034  2034 E EdXposed Bridge: 	at com swift sandhook xposedcompat methodgen SandHookXposedBridge hookMethod(SandHookXposedBridge java:87)_x000D_
11 25 22:10:23 076  2034  2034 E EdXposed Bridge: 	at com swift sandhook xposedcompat XposedCompat hookMethod(XposedCompat java:68)_x000D_
11 25 22:10:23 076  2034  2034 E EdXposed Bridge: 	at com elderdrivers riru edxp sandhook config SandHookProvider hookMethod(SandHookProvider java:29)_x000D_
11 25 22:10:23 076  2034  2034 E EdXposed Bridge: 	at de robv android xposed XposedBridge hookMethodNative(XposedBridge java:464)_x000D_
11 25 22:10:23 076  2034  2034 E EdXposed Bridge: 	at de robv android xposed XposedBridge hookMethod(XposedBridge java:241)_x000D_
11 25 22:10:23 076  2034  2034 E EdXposed Bridge: 	at de robv android xposed XposedHelpers findAndHookMethod(XposedHelpers java:187)_x000D_
11 25 22:10:23 076  2034  2034 E EdXposed Bridge: 	at de robv android xposed XposedHelpers findAndHookMethod(XposedHelpers java:260)_x000D_
11 25 22:10:23 076  2034  2034 E EdXposed Bridge: 	at com elderdrivers riru edxp proxy BaseRouter startBootstrapHook(BaseRouter java:86)_x000D_
11 25 22:10:23 076  2034  2034 E EdXposed Bridge: 	at com elderdrivers riru edxp sandhook core SandHookRouter startBootstrapHook(SandHookRouter java:35)_x000D_
11 25 22:10:23 076  2034  2034 E EdXposed Bridge: 	at com elderdrivers riru edxp proxy BaseRouter installBootstrapHooks(BaseRouter java:52)_x000D_
11 25 22:10:23 076  2034  2034 E EdXposed Bridge: 	at com elderdrivers riru edxp proxy NormalProxy forkSystemServerPost(NormalProxy java:48)_x000D_
11 25 22:10:23 076  2034  2034 E EdXposed Bridge: 	    5 more_x000D_
11 25 22:10:23 076  2034  2034 I EdXposed Bridge: Loading modules from  data app com jozein xedgepro nNSM6VQW6zGB4NKOJw0SYA   base apk_x000D_
11 25 22:10:23 095  2034  2034 I EdXposed Bridge:   Loading class com jozein xedgepro xposed HookMain_x000D_
11 25 22:10:23 101  2034  2034 I EdXposed Bridge:  XEdgePro  Cannot load settings _x000D_
11 25 22:10:23 106  2034  2034 I EdXposed Bridge:  XEdgePro  java lang NoClassDefFoundError: com swift sandhook SandHook_x000D_
11 25 22:10:23 115  2034  2034 I EdXposed Bridge:  XEdgePro  java lang NoClassDefFoundError: com swift sandhook SandHook_x000D_
11 25 22:10:23 118  2034  2034 I EdXposed Bridge:  XEdgePro  java lang NoClassDefFoundError: com swift sandhook SandHook_x000D_
11 25 22:10:29 432   773   773 W EdXposed: skip injecting xposed into com android systemui because it s whitelisted blacklisted_x000D_
11 25 22:10:29 523   773   773 W EdXposed: skip injecting xposed into com android bluetooth because it s whitelisted blacklisted_x000D_
11 25 22:10:29 651   774   774 W EdXposed: skip injecting into  because it has no data dir_x000D_
11 25 22:10:29 694   773   773 W EdXposed: skip injecting into  because it has no data dir_x000D_
11 25 22:10:29 965   773   773 W EdXposed: skip injecting xposed into com qualcomm qti uceShimService because it s whitelisted blacklisted_x000D_
11 25 22:10:30 000   774   774 W EdXposed: skip injecting into  because it has no data dir_x000D_
11 25 22:10:30 026  2678  2678 E EdXposed: dlopen( system lib64 libad7b653f959bc so) failed: dlopen failed: library   system lib64 libad7b653f959bc so  not found_x000D_
11 25 22:10:30 077  2678  2678 E EdXposed: error during Xposed initialization_x000D_
11 25 22:10:30 077  2678  2678 E EdXposed: java lang UnsatisfiedLinkError: No implementation found for boolean com swift sandhook SandHook initNative(int  boolean) (tried Java com swift sandhook SandHook initNative and Java com swift sandhook SandHook initNative  IZ)_x000D_
11 25 22:10:30 077  2678  2678 E EdXposed: 	at com swift sandhook SandHook initNative(Native Method)_x000D_
11 25 22:10:30 077  2678  2678 E EdXposed: 	at com swift sandhook SandHook init(SandHook java:57)_x000D_
11 25 22:10:30 077  2678  2678 E EdXposed: 	at com swift sandhook SandHook  clinit (SandHook java:50)_x000D_
11 25 22:10:30 077  2678  2678 E EdXposed: 	at com swift sandhook SandHook hook(Unknown Source:0)_x000D_
11 25 22:10:30 077  2678  2678 E EdXposed: 	at com swift sandhook xposedcompat methodgen HookerDexMakerNew start(HookerDexMakerNew java:163)_x000D_
11 25 22:10:30 077  2678  2678 E EdXposed: 	at com swift sandhook xposedcompat methodgen SandHookXposedBridge hookMethod(SandHookXposedBridge java:87)_x000D_
11 25 22:10:30 077  2678  2678 E EdXposed: 	at com swift sandhook xposedcompat XposedCompat hookMethod(XposedCompat java:68)_x000D_
11 25 22:10:30 077  2678  2678 E EdXposed: 	at com elderdrivers riru edxp sandhook config SandHookProvider hookMethod(SandHookProvider java:29)_x000D_
11 25 22:10:30 077  2678  2678 E EdXposed: 	at de robv android xposed XposedBridge hookMethodNative(XposedBridge java:464)_x000D_
11 25 22:10:30 077  2678  2678 E EdXposed: 	at de robv android xposed XposedBridge hookMethod(XposedBridge java:241)_x000D_
11 25 22:10:30 077  2678  2678 E EdXposed: 	at de robv android xposed XposedHelpers findAndHookMethod(XposedHelpers java:187)_x000D_
11 25 22:10:30 077  2678  2678 E EdXposed: 	at de robv android xposed XposedHelpers findAndHookMethod(XposedHelpers java:260)_x000D_
11 25 22:10:30 077  2678  2678 E EdXposed: 	at com elderdrivers riru edxp proxy BaseRouter startBootstrapHook(BaseRouter java:89)_x000D_
11 25 22:10:30 077  2678  2678 E EdXposed: 	at com elderdrivers riru edxp sandhook core SandHookRouter startBootstrapHook(SandHookRouter java:35)_x000D_
11 25 22:10:30 077  2678  2678 E EdXposed: 	at com elderdrivers riru edxp proxy BaseRouter installBootstrapHooks(BaseRouter java:52)_x000D_
11 25 22:10:30 077  2678  2678 E EdXposed: 	at com elderdrivers riru edxp proxy NormalProxy forkAndSpecializePost(NormalProxy java:30)_x000D_
11 25 22:10:30 077  2678  2678 E EdXposed: 	at com elderdrivers riru edxp core Main forkAndSpecializePost(Main java:43)_x000D_
11 25 22:10:30 077  2678  2678 E EdXposed: 	at com android internal os Zygote nativeForkAndSpecialize(Native Method)_x000D_
11 25 22:10:30 077  2678  2678 E EdXposed: 	at com android internal os Zygote forkAndSpecialize(Zygote java:241)_x000D_
11 25 22:10:30 077  2678  2678 E EdXposed: 	at com android internal os ZygoteConnection processOneCommand(ZygoteConnection java:267)_x000D_
11 25 22:10:30 077  2678  2678 E EdXposed: 	at com android internal os ZygoteServer runSelectLoop(ZygoteServer java:456)_x000D_
11 25 22:10:30 077  2678  2678 E EdXposed: 	at com android internal os ZygoteInit main(ZygoteInit java:940)_x000D_
11 25 22:10:30 078  2678  2678 I EdXposed Bridge: Loading modules from  data app top fols aapp xp eternalprocess ilDLXqr2ucNaSmaLc3ll5A   base apk_x000D_
11 25 22:10:30 082  2678  2678 I EdXposed Bridge:   Loading class top fols aapp xp eternalprocess Hook_x000D_
11 25 22:10:30 084  2678  2678 I EdXposed Bridge: Loading modules from  data app com raincat unblockneteasemusic  ONQprLIqz2XK 1uUXShpA   base apk_x000D_
11 25 22:10:30 090  2678  2678 I EdXposed Bridge:   Loading class com raincat unblockneteasemusic MainHook_x000D_
11 25 22:10:30 090  2678  2678 I EdXposed Bridge: Loading modules from  data app com mhook dialog beta ljhqZQ UA8cWC4sBouhw9A   base apk_x000D_
11 25 22:10:30 096  2678  2678 I EdXposed Bridge:   Loading class com mhook dialog Module_x000D_
11 25 22:10:30 100  2678  2678 I EdXposed Bridge: Loading modules from  data app dummy anon mmi P RlwoRXLHLI5kHwxYg2Og   base apk_x000D_
11 25 22:10:30 104  2678  2678 I EdXposed Bridge:   Loading class i E_x000D_
11 25 22:10:30 117  2678  2678 E EdXposed Bridge:     Failed to load class i E_x000D_
11 25 22:10:30 117  2678  2678 E EdXposed Bridge: java lang NoClassDefFoundError: com swift sandhook SandHook_x000D_
11 25 22:10:30 117  2678  2678 E EdXposed Bridge: 	at com swift sandhook SandHook hook(Unknown Source:0)_x000D_
11 25 22:10:30 117  2678  2678 E EdXposed Bridge: 	at com swift sandhook xposedcompat methodgen HookerDexMakerNew start(HookerDexMakerNew java:163)_x000D_
11 25 22:10:30 117  2678  2678 E EdXposed Bridge: 	at com swift sandhook xposedcompat methodgen SandHookXposedBridge hookMethod(SandHookXposedBridge java:87)_x000D_
11 25 22:10:30 117  2678  2678 E EdXposed Bridge: 	at com swift sandhook xposedcompat XposedCompat hookMethod(XposedCompat java:68)_x000D_
11 25 22:10:30 117  2678  2678 E EdXposed Bridge: 	at com elderdrivers riru edxp sandhook config SandHookProvider hookMethod(SandHookProvider java:29)_x000D_
11 25 22:10:30 117  2678  2678 E EdXposed Bridge: 	at de robv android xposed XposedBridge hookMethodNative(XposedBridge java:464)_x000D_
11 25 22:10:30 117  2678  2678 E EdXposed Bridge: 	at de robv android xposed XposedBridge hookMethod(XposedBridge java:241)_x000D_
11 25 22:10:30 117  2678  2678 E EdXposed Bridge: 	at de robv android xposed XposedHelpers findAndHookMethod(XposedHelpers java:187)_x000D_
11 25 22:10:30 117  2678  2678 E EdXposed Bridge: 	at de robv android xposed XposedHelpers findAndHookMethod(XposedHelpers java:260)_x000D_
11 25 22:10:30 117  2678  2678 E EdXposed Bridge: 	at dummy anon mmi xposed modules XSignatureVerify isEqualHook(XSignatureVerify java:31)_x000D_
11 25 22:10:30 117  2678  2678 E EdXposed Bridge: 	at dummy anon mmi xposed modules XSignatureVerify hookZygote(XSignatureVerify java:25)_x000D_
11 25 22:10:30 117  2678  2678 E EdXposed Bridge: 	at dummy anon mmi base XBase startHookZygote(XBase java:59)_x000D_
11 25 22:10:30 117  2678  2678 E EdXposed Bridge: 	at dummy anon mmi xposed XModulesManager hookZygote(XModulesManager java:47)_x000D_
11 25 22:10:30 117  2678  2678 E EdXposed Bridge: 	at i E initZygote(E java:14)_x000D_
11 25 22:10:30 117  2678  2678 E EdXposed Bridge: 	at de robv android xposed XposedInit loadModule(XposedInit java:465)_x000D_
11 25 22:10:30 117  2678  2678 E EdXposed Bridge: 	at de robv android xposed XposedInit loadModules(XposedInit java:334)_x000D_
11 25 22:10:30 117  2678  2678 E EdXposed Bridge: 	at com elderdrivers riru edxp proxy BaseRouter loadModulesSafely(BaseRouter java:62)_x000D_
11 25 22:10:30 117  2678  2678 E EdXposed Bridge: 	at com elderdrivers riru edxp proxy NormalProxy forkPostCommon(NormalProxy java:60)_x000D_
11 25 22:10:30 117  2678  2678 E EdXposed Bridge: 	at com elderdrivers riru edxp proxy NormalProxy forkAndSpecializePost(NormalProxy java:32)_x000D_
11 25 22:10:30 117  2678  2678 E EdXposed Bridge: 	at com elderdrivers riru edxp core Main forkAndSpecializePost(Main java:43)_x000D_
11 25 22:10:30 117  2678  2678 E EdXposed Bridge: 	at com android internal os Zygote nativeForkAndSpecialize(Native Method)_x000D_
11 25 22:10:30 117  2678  2678 E EdXposed Bridge: 	at com android internal os Zygote forkAndSpecialize(Zygote java:241)_x000D_
11 25 22:10:30 117  2678  2678 E EdXposed Bridge: 	at com android internal os ZygoteConnection processOneCommand(ZygoteConnection java:267)_x000D_
11 25 22:10:30 117  2678  2678 E EdXposed Bridge: 	at com android internal os ZygoteServer runSelectLoop(ZygoteServer java:456)_x000D_
11 25 22:10:30 117  2678  2678 E EdXposed Bridge: 	at com android internal os ZygoteInit main(ZygoteInit java:940)_x000D_
11 25 22:10:30 117  2678  2678 E EdXposed Bridge: Caused by: java lang UnsatisfiedLinkError: No implementation found for boolean com swift sandhook SandHook initNative(int  boolean) (tried Java com swift sandhook SandHook initNative and Java com swift sandhook SandHook initNative  IZ)_x000D_
11 25 22:10:30 117  2678  2678 E EdXposed Bridge: 	at com swift sandhook SandHook initNative(Native Method)_x000D_
11 25 22:10:30 117  2678  2678 E EdXposed Bridge: 	at com swift sandhook SandHook init(SandHook java:57)_x000D_
11 25 22:10:30 117  2678  2678 E EdXposed Bridge: 	at com swift sandhook SandHook  clinit (SandHook java:50)_x000D_
11 25 22:10:30 117  2678  2678 E EdXposed Bridge: 	at com swift sandhook SandHook hook(Unknown Source:0)_x000D_
11 25 22:10:30 117  2678  2678 E EdXposed Bridge: 	at com swift sandhook xposedcompat methodgen HookerDexMakerNew start(HookerDexMakerNew java:163)_x000D_
11 25 22:10:30 117  2678  2678 E EdXposed Bridge: 	at com swift sandhook xposedcompat methodgen SandHookXposedBridge hookMethod(SandHookXposedBridge java:87)_x000D_
11 25 22:10:30 117  2678  2678 E EdXposed Bridge: 	at com swift sandhook xposedcompat XposedCompat hookMethod(XposedCompat java:68)_x000D_
11 25 22:10:30 117  2678  2678 E EdXposed Bridge: 	at com elderdrivers riru edxp sandhook config SandHookProvider hookMethod(SandHookProvider java:29)_x000D_
11 25 22:10:30 117  2678  2678 E EdXposed Bridge: 	at de robv android xposed XposedBridge hookMethodNative(XposedBridge java:464)_x000D_
11 25 22:10:30 117  2678  2678 E EdXposed Bridge: 	at de robv android xposed XposedBridge hookMethod(XposedBridge java:241)_x000D_
11 25 22:10:30 117  2678  2678 E EdXposed Bridge: 	at de robv android xposed XposedHelpers findAndHookMethod(XposedHelpers java:187)_x000D_
11 25 22:10:30 117  2678  2678 E EdXposed Bridge: 	at de robv android xposed XposedHelpers findAndHookMethod(XposedHelpers java:260)_x000D_
11 25 22:10:30 117  2678  2678 E EdXposed Bridge: 	at com elderdrivers riru edxp proxy BaseRouter startBootstrapHook(BaseRouter java:89)_x000D_
11 25 22:10:30 117  2678  2678 E EdXposed Bridge: 	at com elderdrivers riru edxp sandhook core SandHookRouter startBootstrapHook(SandHookRouter java:35)_x000D_
11 25 22:10:30 117  2678  2678 E EdXposed Bridge: 	at com elderdrivers riru edxp proxy BaseRouter installBootstrapHooks(BaseRouter java:52)_x000D_
11 25 22:10:30 117  2678  2678 E EdXposed Bridge: 	at com elderdrivers riru edxp proxy NormalProxy forkAndSpecializePost(NormalProxy java:30)_x000D_
11 25 22:10:30 117  2678  2678 E EdXposed Bridge: 	    6 more_x000D_
11 25 22:10:30 118  2678  2678 I EdXposed Bridge: Loading modules from  data app com jozein xedgepro nNSM6VQW6zGB4NKOJw0SYA   base apk_x000D_
11 25 22:10:30 122  2678  2678 I EdXposed Bridge:   Loading class com jozein xedgepro xposed HookMain_x000D_
11 25 22:10:30 145  2678  2678 I EdXposed Bridge:  XEdgePro  java lang NoClassDefFoundError: com swift sandhook SandHook_x000D_
11 25 22:10:30 152  2678  2678 I EdXposed Bridge:  XEdgePro  java lang NoClassDefFoundError: com swift sandhook SandHook_x000D_
11 25 22:10:30 159  2678  2678 I EdXposed Bridge:  XEdgePro  java lang NoClassDefFoundError: com swift sandhook SandHook_x000D_
11 25 22:10:30 164   773   773 W EdXposed: skip injecting xposed into vendor qti hardware cacert server because it s whitelisted blacklisted_x000D_
11 25 22:10:30 209   773   773 W EdXposed: skip injecting xposed into com qualcomm qti telephonyservice because it s whitelisted blacklisted_x000D_
11 25 22:10:30 262   773   773 W EdXposed: skip injecting xposed into com qualcomm qcrilmsgtunnel because it s whitelisted blacklisted_x000D_
11 25 22:10:30 303   773   773 W EdXposed: skip injecting xposed into com android phone because it s whitelisted blacklisted_x000D_
11 25 22:10:30 352   773   773 W EdXposed: skip injecting xposed into com miui home because it s whitelisted blacklisted_x000D_
11 25 22:10:30 394   774   774 W EdXposed: skip injecting xposed into com miui weather2 because it s whitelisted blacklisted_x000D_
11 25 22:10:32 259   773   773 W EdXposed: skip injecting xposed into android ext services because it s whitelisted blacklisted_x000D_
11 25 22:10:33 186  3275  3275 E EdXposed: dlopen( system lib64 libad7b653f959bc so) failed: dlopen failed: library   system lib64 libad7b653f959bc so  not found_x000D_
11 25 22:10:33 194   773   773 W EdXposed: skip injecting xposed into com android providers blockednumber because it s whitelisted blacklisted_x000D_
11 25 22:10:33 242  3275  3275 E EdXposed: error during Xposed initialization_x000D_
11 25 22:10:33 242  3275  3275 E EdXposed: java lang UnsatisfiedLinkError: No implementation found for boolean com swift sandhook SandHook initNative(int  boolean) (tried Java com swift sandhook SandHook initNative and Java com swift sandhook SandHook initNative  IZ)_x000D_
11 25 22:10:33 242  3275  3275 E EdXposed: 	at com swift sandhook SandHook initNative(Native Method)_x000D_
11 25 22:10:33 242  3275  3275 E EdXposed: 	at com swift sandhook SandHook init(SandHook java:57)_x000D_
11 25 22:10:33 242  3275  3275 E EdXposed: 	at com swift sandhook SandHook  clinit (SandHook java:50)_x000D_
11 25 22:10:33 242  3275  3275 E EdXposed: 	at com swift sandhook SandHook hook(Unknown Source:0)_x000D_
11 25 22:10:33 242  3275  3275 E EdXposed: 	at com swift sandhook xposedcompat methodgen HookerDexMakerNew start(HookerDexMakerNew java:163)_x000D_
11 25 22:10:33 242  3275  3275 E EdXposed: 	at com swift sandhook xposedcompat methodgen SandHookXposedBridge hookMethod(SandHookXposedBridge java:87)_x000D_
11 25 22:10:33 242  3275  3275 E EdXposed: 	at com swift sandhook xposedcompat XposedCompat hookMethod(XposedCompat java:68)_x000D_
11 25 22:10:33 242  3275  3275 E EdXposed: 	at com elderdrivers riru edxp sandhook config SandHookProvider hookMethod(SandHookProvider java:29)_x000D_
11 25 22:10:33 242  3275  3275 E EdXposed: 	at de robv android xposed XposedBridge hookMethodNative(XposedBridge java:464)_x000D_
11 25 22:10:33 242  3275  3275 E EdXposed: 	at de robv android xposed XposedBridge hookMethod(XposedBridge java:241)_x000D_
11 25 22:10:33 242  3275  3275 E EdXposed: 	at de robv android xposed XposedHelpers findAndHookMethod(XposedHelpers java:187)_x000D_
11 25 22:10:33 242  3275  3275 E EdXposed: 	at de robv android xposed XposedHelpers findAndHookMethod(XposedHelpers java:260)_x000D_
11 25 22:10:33 242  3275  3275 E EdXposed: 	at com elderdrivers riru edxp proxy BaseRouter startBootstrapHook(BaseRouter java:89)_x000D_
11 25 22:10:33 242  3275  3275 E EdXposed: 	at com elderdrivers riru edxp sandhook core SandHookRouter startBootstrapHook(SandHookRouter java:35)_x000D_
11 25 22:10:33 242  3275  3275 E EdXposed: 	at com elderdrivers riru edxp proxy BaseRouter installBootstrapHooks(BaseRouter java:52)_x000D_
11 25 22:10:33 242  3275  3275 E EdXposed: 	at com elderdrivers riru edxp proxy NormalProxy forkAndSpecializePost(NormalProxy java:30)_x000D_
11 25 22:10:33 242  3275  3275 E EdXposed: 	at com elderdrivers riru edxp core Main forkAndSpecializePost(Main java:43)_x000D_
11 25 22:10:33 242  3275  3275 E EdXposed: 	at com android internal os Zygote nativeForkAndSpecialize(Native Method)_x000D_
11 25 22:10:33 242  3275  3275 E EdXposed: 	at com android internal os Zygote forkAndSpecialize(Zygote java:241)_x000D_
11 25 22:10:3</t>
  </si>
  <si>
    <t>Anuken-Mindustry-3590</t>
  </si>
  <si>
    <t>Sector Reset (iOS)</t>
  </si>
  <si>
    <t xml:space="preserve">  Platform  : iOS_x000D_
_x000D_
  Build  : Beta Build 117_x000D_
_x000D_
  Issue  : Suddenly  the FPS of a sector would turn very very bad  and then mindustry will crash  After it is rebooted  the sector which was affected would have its data deleted  (Everything built and all resources in it  waves done and capturing will also be deleted )_x000D_
_x000D_
  Steps to reproduce  : I was in Ground Zero upgrading production there  I am not quite sure what caused it  but it happened after I started scrap dissembling  sending the resource into a recently upgraded Nucleus Core  Turned some resource into Phase Phabric _x000D_
_x000D_
  Link(s) to mod(s) used  : N A _x000D_
_x000D_
  Save file  : I am not sure how to retrieve this information  I apologise _x000D_
_x000D_
  Crash report  : crash 1606314787388 txt_x000D_
_x000D_
Mindustry has crashed  How unfortunate _x000D_
Report this at https:  github com Anuken Mindustry issues new labels bug template bug report md_x000D_
_x000D_
Version: beta build 117_x000D_
OS: iOS x32_x000D_
Java Version: 0_x000D_
Java Architecture: null_x000D_
0 Mods_x000D_
_x000D_
  Runtime:  arc util ArcRuntimeException: Error copying source file:  private var mobile Library Mobile Documents com apple CloudDocs Mindustry mindustry data export saves sector serpulo 20 msav (absolute)_x000D_
To destination:  var mobile Containers Data Application 65017CC9 5390 469E AD31 153D554930B1 Documents sector serpulo 20 msav (absolute) _x000D_
IOSGraphics runProtected: 256_x000D_
IOSGraphics update: 235_x000D_
IOSGraphics IOSGraphicsDelegate update: 570_x000D_
IOSGraphics IOSGraphicsDelegate  cb glkViewControllerUpdate :  1_x000D_
UIApplication main:  2_x000D_
UIApplication main: 446_x000D_
IOSLauncher main: 254_x000D_
  ArcRuntime:  Error copying source file:  private var mobile Library Mobile Documents com apple CloudDocs Mindustry mindustry data export saves sector serpulo 20 msav (absolute)_x000D_
To destination:  var mobile Containers Data Application 65017CC9 5390 469E AD31 153D554930B1 Documents sector serpulo 20 msav (absolute) _x000D_
Fi copyFile: 112_x000D_
Fi copyTo: 829_x000D_
IOSLauncher lambda openURL 5: 222_x000D_
IOSLauncher  Lambda 3 run:  1_x000D_
IOSApplication processRunnables: 241_x000D_
IOSGraphics  Lambda 2 run:  1_x000D_
IOSGraphics runProtected: 246_x000D_
IOSGraphics update: 235_x000D_
IOSGraphics IOSGraphicsDelegate update: 570_x000D_
IOSGraphics IOSGraphicsDelegate  cb glkViewControllerUpdate :  1_x000D_
UIApplication main:  2_x000D_
UIApplication main: 446_x000D_
IOSLauncher main: 254_x000D_
  ArcRuntime:  Error reading file:  private var mobile Library Mobile Documents com apple CloudDocs Mindustry mindustry data export saves sector serpulo 20 msav (absolute) _x000D_
Fi read: 206_x000D_
Fi copyFile: 110_x000D_
Fi copyTo: 829_x000D_
IOSLauncher lambda openURL 5: 222_x000D_
IOSLauncher  Lambda 3 run:  1_x000D_
IOSApplication processRunnables: 241_x000D_
IOSGraphics  Lambda 2 run:  1_x000D_
IOSGraphics runProtected: 246_x000D_
IOSGraphics update: 235_x000D_
IOSGraphics IOSGraphicsDelegate update: 570_x000D_
IOSGraphics IOSGraphicsDelegate  cb glkViewControllerUpdate :  1_x000D_
UIApplication main:  2_x000D_
UIApplication main: 446_x000D_
IOSLauncher main: 254_x000D_
  FileNotFound:   private var mobile Library Mobile Documents com apple CloudDocs Mindustry mindustry data export saves sector serpulo 20 msav: open failed: EPERM (Operation not permitted) _x000D_
IoBridge open: 409_x000D_
FileInputStream  init : 78_x000D_
Fi read: 203_x000D_
Fi copyFile: 110_x000D_
Fi copyTo: 829_x000D_
IOSLauncher lambda openURL 5: 222_x000D_
IOSLauncher  Lambda 3 run:  1_x000D_
IOSApplication processRunnables: 241_x000D_
IOSGraphics  Lambda 2 run:  1_x000D_
IOSGraphics runProtected: 246_x000D_
IOSGraphics update: 235_x000D_
IOSGraphics IOSGraphicsDelegate update: 570_x000D_
IOSGraphics IOSGraphicsDelegate  cb glkViewControllerUpdate :  1_x000D_
UIApplication main:  2_x000D_
UIApplication main: 446_x000D_
IOSLauncher main: 254_x000D_
  Errno:  open failed: EPERM (Operation not permitted) _x000D_
Posix open:  2_x000D_
BlockGuardOs open: 110_x000D_
IoBridge open: 393_x000D_
FileInputStream  init : 78_x000D_
Fi read: 203_x000D_
Fi copyFile: 110_x000D_
Fi copyTo: 829_x000D_
IOSLauncher lambda openURL 5: 222_x000D_
IOSLauncher  Lambda 3 run:  1_x000D_
IOSApplication processRunnables: 241_x000D_
IOSGraphics  Lambda 2 run:  1_x000D_
IOSGraphics runProtected: 246_x000D_
IOSGraphics update: 235_x000D_
IOSGraphics IOSGraphicsDelegate update: 570_x000D_
IOSGraphics IOSGraphicsDelegate  cb glkViewControllerUpdate :  1_x000D_
UIApplication main:  2_x000D_
UIApplication main: 446_x000D_
IOSLauncher main: 254_x000D_
_x000D_
_x000D_
last log:_x000D_
 I   GL  Version: GLES 2 0 0   Apple Inc    Apple A11 GPU_x000D_
 I   GL  Max texture size: 4096_x000D_
 I   GL  Using OpenGL 2 context _x000D_
 I   JAVA  Version: 0_x000D_
 W  Shader shaders screenspace vert   shaders mud frag:_x000D_
Fragment shader:_x000D_
WARNING: 0:27: Overflow in implicit constant conversion  minimum range for lowp float is ( 2 2)_x000D_
_x000D_
 W  Shader shaders screenspace vert   shaders tar frag:_x000D_
Fragment shader:_x000D_
WARNING: 0:27: Overflow in implicit constant conversion  minimum range for lowp float is ( 2 2)_x000D_
_x000D_
 W  Shader shaders screenspace vert   shaders slag frag:_x000D_
Fragment shader:_x000D_
WARNING: 0:30: Overflow in implicit constant conversion  minimum range for lowp float is ( 2 2)_x000D_
_x000D_
 I   IOSApplication  resumed_x000D_
 I  Total time to load: 1852_x000D_
 I  Time to generate menu: 15 9285_x000D_
 I  Fetched 5 global servers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</si>
  <si>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Anuken-Mindustry-3589</t>
  </si>
  <si>
    <t>SectorPreset on modded planets goes h</t>
  </si>
  <si>
    <t xml:space="preserve">  Platform  :  Windows 10 64 bit _x000D_
_x000D_
  Build  :  v117 _x000D_
_x000D_
  Issue  :_x000D_
Title says all  When you try to launch into a  SectorPreset  in a modded  Planet   the game crashes _x000D_
_x000D_
  Steps to reproduce  :_x000D_
1  Make a mod with this script:_x000D_
       js_x000D_
      main js_x000D_
_x000D_
    const planet   new JavaAdapter(Planet       planet   Planets sun  3  1) _x000D_
    planet meshLoader   ()    new HexMesh(planet  6) _x000D_
    planet generator   new SerpuloPlanetGenerator() _x000D_
    planet atmosphereColor   Color valueOf( f69420 ) _x000D_
    planet startSector   30 _x000D_
_x000D_
    const sector   new SectorPreset( sector   planet  30) _x000D_
    sector alwaysUnlocked   true _x000D_
    sector captureWave   15 _x000D_
       _x000D_
2  Run  Mindustry jar  _x000D_
3  Go to   Campaign   _x000D_
4  Go to the newly created  planet   and launch to the only unlocked sector there _x000D_
5    Experience pain   _x000D_
_x000D_
  Link(s) to mod(s) used  :  Every mod  nevertheless _x000D_
_x000D_
  Save file  :    _x000D_
_x000D_
  Crash report  :_x000D_
   css_x000D_
Mindustry has crashed  How unfortunate _x000D_
Version: beta build 117_x000D_
OS: Windows 10 x64_x000D_
Java Version: 15 0 1_x000D_
Java Architecture: 64_x000D_
1 Mods: mod:6 9_x000D_
_x000D_
arc util serialization SerializationException: Serialization trace:_x000D_
   sector_x000D_
sector (mindustry game Rules)_x000D_
	at arc util serialization Json readFields(Json java:911)_x000D_
	at arc util serialization Json readValue(Json java:1086)_x000D_
	at arc util serialization Json readValue(Json java:987)_x000D_
	at arc util serialization Json fromJson(Json java:828)_x000D_
	at mindustry io JsonIO read(JsonIO java:60)_x000D_
	at mindustry io SaveVersion getMeta(SaveVersion java:42)_x000D_
	at mindustry io SaveIO getMeta(SaveIO java:91)_x000D_
	at mindustry io SaveIO getMeta(SaveIO java:82)_x000D_
	at mindustry game Saves SaveSlot save(Saves java:202)_x000D_
	at mindustry game Saves saveSector(Saves java:131)_x000D_
	at mindustry core Control lambda playSector 27(Control java:375)_x000D_
	at mindustry core UI lambda loadAnd 10(UI java:240)_x000D_
	at arc util Timer 1 run(Timer java:88)_x000D_
	at arc util TaskQueue run(TaskQueue java:17)_x000D_
	at arc backend sdl SdlApplication loop(SdlApplication java:148)_x000D_
	at arc backend sdl SdlApplication  init (SdlApplication java:43)_x000D_
	at mindustry desktop DesktopLauncher main(DesktopLauncher java:36)_x000D_
Caused by: java lang NullPointerException: Cannot read field  sectors  because the return value of  mindustry core ContentLoader getByName(mindustry ctype ContentType  String)  is null_x000D_
	at mindustry io JsonIO 2 read(JsonIO java:87)_x000D_
	at mindustry io JsonIO 2 read(JsonIO java:78)_x000D_
	at arc util serialization Json readValue(Json java:1093)_x000D_
	at arc util serialization Json readFields(Json java:904)_x000D_
	    16 more_x000D_
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</si>
  <si>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Anuken-Mindustry-3588</t>
  </si>
  <si>
    <t>Sector Reset</t>
  </si>
  <si>
    <t>avluis-Hentoid-700</t>
  </si>
  <si>
    <t>App Crashing on Queue Screen</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</si>
  <si>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If an issue does not have the following template filled out  it will be closed without discussion _x000D_
   _x000D_
_x000D_
     What version of Hentoid you re running  for example: 1 2 0r3   1 2 1r1   1 2 1r2_x000D_
It s essentially the version number from the About Screen    _x000D_
  1 13 0 (299)  :_x000D_
_x000D_
     What devices you managed to get the issue to come up on  For example:_x000D_
fails on Galaxy S4 GT I9500 4 4 2  works fine on Nexus 6P 5 1 and Genymotion Nexus 5 5 0 1    _x000D_
  Infinix Smart 4  :_x000D_
_x000D_
     Share the details of your issue in prose  detailing actual and expected behavior     _x000D_
  App crashed when redownloading errors download from queue screen  Wether it by touching download button from individual book or touching redownload all from top right menu  The error downloads did moved to queue when restarting the app thought  And sometimes crash when opening queue menu after leaving the app in the background for a while  :_x000D_
_x000D_
     What is the error message that you got in the log     _x000D_
  Sorry I don t have access to PC  :_x000D_
_x000D_
     Bonus points if you attach a relevant screenshot or a screen recording        _x000D_
  Screenshot 20201125 195408 (https:  user images githubusercontent com 48570369 100231432 926ace00 2f59 11eb 9d65 ce407288efa4 png)_x000D_
_x000D_
_x000D_
 AVnetWS admin team</t>
  </si>
  <si>
    <t>Anuken-Mindustry-3587</t>
  </si>
  <si>
    <t>Freezing</t>
  </si>
  <si>
    <t xml:space="preserve">  Platform  :  Android _x000D_
_x000D_
  Build  :  117 _x000D_
_x000D_
  Issue  :  When trying to build in nuclear complex the game freezes and then automatically closes  This is not an issue in other sectors   _x000D_
_x000D_
  Steps to reproduce  :  Loading to nuclear complex takes very long if it loads   when it loads it runs ok  it you do not attempt to build any structures  _x000D_
_x000D_
  Link(s) to mod(s) used  :  no mods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x_x000D_
 data mindustry zip (https:  github com Anuken Mindustry files 5596594 data mindustry zip)_x000D_
 data mindustry zip (https:  github com Anuken Mindustry files 5596598 data mindustry zip)_x000D_
_x000D_
_x000D_
    I have updated to the latest release (https:  github com Anuken Mindustry releases) to make sure my issue has not been fixed   _x000D_
   x     I have searched the closed and open issues to make sure that this problem has not already been reported   _x000D_
_x000D_
</t>
  </si>
  <si>
    <t>Anuken-Mindustry-3586</t>
  </si>
  <si>
    <t>stopped a SoloudSound: null crashes without report</t>
  </si>
  <si>
    <t xml:space="preserve">  Platform  : Android 9_x000D_
_x000D_
  Build  : 20059_x000D_
_x000D_
  Issue  :_x000D_
 loadSound( pew )  returns  SoloudSound: null _x000D_
When stopped  mindustry crashes   without creating a crash report   _x000D_
If print debugging didnt work it would be much harder to find out the cause of the crash _x000D_
_x000D_
  Issue 2  :_x000D_
Sounds cannot be loaded post load time _x000D_
 Sounds pew  exists  but  loadSound( pew )  is natively null _x000D_
_x000D_
  Steps to reproduce  :_x000D_
1   loadSound( pew ) stop()  _x000D_
2  Crashes  check crashes folder (empty) _x000D_
_x000D_
  Crash report  :  that s the problem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</si>
  <si>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Anuken-Mindustry-3581</t>
  </si>
  <si>
    <t>Mindustry crash on beta 116</t>
  </si>
  <si>
    <t xml:space="preserve">  Platform  : Windows_x000D_
_x000D_
  Build  : 116_x000D_
_x000D_
  Issue  : Mindustry crashed while I was playing onto the  best survival server   I wasn t doing anything special when it crashed  Reported as suggested in the file _x000D_
_x000D_
  Steps to reproduce  : None_x000D_
_x000D_
  Link(s) to mod(s) used  : No mods used_x000D_
_x000D_
  Save file  : No save file  as I was playing on a remote server _x000D_
_x000D_
  Crash report  :  crash report 11 24 2020 19 13 47 txt (https:  github com Anuken Mindustry files 5595664 crash report 11 24 2020 19 13 47 txt)_x000D_
_x000D_
   _x000D_
_x000D_
 Place an X (no spaces) between the brackets to confirm that you have read the line below    _x000D_
        I have updated to the latest release (https:  github com Anuken Mindustry releases) to make sure my issue has not been fixed   _x000D_
        I have searched the closed and open issues to make sure that this problem has not already been reported   _x000D_
</t>
  </si>
  <si>
    <t>Anuken-Mindustry-3576</t>
  </si>
  <si>
    <t>Sector damage system counts scatter damage towards ground units</t>
  </si>
  <si>
    <t xml:space="preserve">  Platform  : Android_x000D_
_x000D_
  Build  : 117_x000D_
_x000D_
  Issue  : Scatters counted as both anti air and anti ground turret by the sector damage system  It could possible count ripples as anti air  don t know haven t tested those _x000D_
_x000D_
  Steps to reproduce  : _x000D_
1  Enter ground zero or any similar difficulty sector under attack(with ground enemies) _x000D_
2  Deconstruct all the turrets_x000D_
3  Build some scatters and put lead in them _x000D_
4  Check how much waves a sector will survive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</si>
  <si>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TeamNewPipe-NewPipe-5004</t>
  </si>
  <si>
    <t>Learning playlist "views" mislabeled as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</si>
  <si>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Open this playlist: https:  www youtube com playlist list PLjEaoINr3zgEL9UjPTLWQhLFAK7wVaRMR_x000D_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playlist  info bar  shows that it has 291 955 videos _x000D_
_x000D_
_x000D_
    Expected behavior_x000D_
     Tell us what you expect to happen     _x000D_
The playlist  info bar  should be showing that it has 291 955 views (or 10 videos)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image (https:  user images githubusercontent com 51880998 100190390 27e36f00 2f14 11eb 9361 d07a40b1a3fd png)_x000D_
_x000D_
_x000D_
    Logs_x000D_
     If your bug includes a crash (where you re shown the Error Report page with a bunch of info)  tap on  Copy formatted report  at the bottom and paste it here:    _x000D_
_x000D_
     That s right  here     _x000D_
N A_x000D_
_x000D_
_x000D_
     Please fill this out when you do not provide a log generate by NewPipe    _x000D_
_x000D_
    Device info_x000D_
_x000D_
   Android version Custom ROM version: Android 9 EMUI 9 1_x000D_
   Device model: Honor Play_x000D_
_x000D_
    Additional Notes_x000D_
This seems to be only happening with  learning playlists  _x000D_
The comma placement has nothing wrong with it  it is just following the Indian Numbering System </t>
  </si>
  <si>
    <t>stefan-niedermann-nextcloud-notes-994</t>
  </si>
  <si>
    <t>App crashed when i opened my shopping list</t>
  </si>
  <si>
    <t xml:space="preserve">    _x000D_
Guidelines for submitting issues:_x000D_
_x000D_
  Bug reports which do not fill the complete issue template will be closed _x000D_
  Please have a look at our  FAQ (https:  github com stefan niedermann nextcloud notes blob master FAQ md)_x000D_
  Please search the existing issues first  it s likely that your issue was already reported or even fixed _x000D_
  This repository is  only  for issues within the Nextcloud Notes Android app_x000D_
   _x000D_
Please use    GitHub reactions (https:  blog github com 2016 03 10 add reactions to pull requests issues and comments )     to show that you are affected by the same issue  Please don t comment if you have no relevant information to add _x000D_
_x000D_
  Describe the bug  _x000D_
     A clear and concise description of what the bug is     _x000D_
_x000D_
When i opened my shopping list note (a document with some headings  checkboxed lists  and a bunch of emojis)  the app crashed _x000D_
_x000D_
  To Reproduce  _x000D_
_x000D_
I cannot willfully reproduce the issue  It happens  sometimes  _x000D_
_x000D_
  Expected behavior  _x000D_
_x000D_
The app should have opened my note _x000D_
_x000D_
_x000D_
  Screenshots  _x000D_
_x000D_
N A_x000D_
_x000D_
  Smartphone (please complete the following information):  _x000D_
   Nextcloud Notes Version (android app): 2 17 1_x000D_
   F Droid or Play Store: F Hroid_x000D_
   Android Version: 10_x000D_
   Device: Huawei P20 Pro_x000D_
_x000D_
_x000D_
  Server  _x000D_
   Nextcloud version: 19  0 5_x000D_
   Nextcloud Notes version (server app): 3 6 4_x000D_
_x000D_
  Stacktrace  _x000D_
_x000D_
   _x000D_
App Version: 2 17 1_x000D_
App Version Code: 2017001_x000D_
App Flavor: fdroid_x000D_
_x000D_
Files App Version Code: 30130190_x000D_
_x000D_
   _x000D_
_x000D_
OS Version: 4 14 116(10 0 0 171C432)_x000D_
OS API Level: 29_x000D_
Device: HWCLT_x000D_
Manufacturer: HUAWEI_x000D_
Model (and Product): CLT L29 (CLT L29)_x000D_
_x000D_
   _x000D_
_x000D_
java lang ArrayIndexOutOfBoundsException: length 244  index  1_x000D_
	at java util ArrayList get(ArrayList java:439)_x000D_
	at it niedermann owncloud notes main items ItemAdapter getItem(ItemAdapter java:202)_x000D_
	at it niedermann owncloud notes main MainActivity onNoteClick(MainActivity java:867)_x000D_
	at it niedermann owncloud notes main items NoteViewHolder lambda bind 0 NoteViewHolder(NoteViewHolder java:53)_x000D_
	at it niedermann owncloud notes main items    Lambda NoteViewHolder USpBz4 HPjUNfVR HTVpNrLSa0I onClick(Unknown Source:2)_x000D_
	at android view View performClick(View java:7192)_x000D_
	at android view View performClickInternal(View java:7166)_x000D_
	at android view View access 3500(View java:824)_x000D_
	at android view View PerformClick run(View java:27592)_x000D_
	at android os Handler handleCallback(Handler java:888)_x000D_
	at android os Handler dispatchMessage(Handler java:100)_x000D_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t>
  </si>
  <si>
    <t>Anuken-Mindustry-3575</t>
  </si>
  <si>
    <t>bug the fps drops drastically when it rains and you select any object to build (beta 117)</t>
  </si>
  <si>
    <t>square-okhttp-6448</t>
  </si>
  <si>
    <t>When I use Okhttp 4.9.0 and open minifyEnabled will crash</t>
  </si>
  <si>
    <t xml:space="preserve">I recently integrated Okhttp in my project when I  implementation( com squareup okhttp3:okhttp:4 9 0 )    my project will crash:_x000D_
  lateinit property timeLineLayout has not been initialized_x000D_
_x000D_
This is very strange  I just implementation okhttp  it has not been initialized with code if I use debug build or  minifyEnabled false  it is normal if I use Okhttp 4 8 1 or last it is normal 4 9 0 and 4 10 0 RC1 will crash _x000D_
_x000D_
This  TimeLineLayout  is my custom view  I created it in an Activity and held its reference in a Kotlin Object through lateinit It should have nothing to do with Okhttp I believe the way I use it is correct and it has been running normally for several months _x000D_
_x000D_
I think it s more like proguard s problem I tried to reproduce this problem in a new project  but I m sorry I failed _x000D_
_x000D_
I really want to provide a lot of information  but I have no clue sorry I will use 4 8 1 it is normal _x000D_
_x000D_
I think I should tell you about it  Maybe you know why If you don t know what this means  you can close this issue </t>
  </si>
  <si>
    <t>Anuken-Mindustry-3574</t>
  </si>
  <si>
    <t>Issue : phantom distroyed biuildings prevent placing new ones on top of them.</t>
  </si>
  <si>
    <t xml:space="preserve">  Platform  :  Android iOS Mac Windows Linux  _x000D_
windows android_x000D_
_x000D_
  Build  :  The build number under the title in the main menu  Required   LATEST  IS NOT A VERSION  I NEED THE EXACT BUILD NUMBER OF YOUR GAME   _x000D_
steam build  117 also seems to happen on beta for the phone as well_x000D_
_x000D_
  Issue  :  Explain your issue in detail   _x000D_
it appears that at times when things are blown up it will leave a phantom image of the destroyed building but it prevents me from building onto blown up buildings  unless I delete the phantom building first it happens sometimes _x000D_
_x000D_
  Steps to reproduce  :  How you happened across the issue  and what exactly you did to make the bug happen  _x000D_
blown up a building and try to place on the phantom buildings  _x000D_
_x000D_
  Link(s) to mod(s) used  :  The mod repositories or zip files that are related to the issue  if applicable  _x000D_
no mods used_x000D_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not a crash_x000D_
   _x000D_
_x000D_
 Place an X (no spaces) between the brackets to confirm that you have read the line below    _x000D_
    X    I have updated to the latest release (https:  github com Anuken Mindustry releases) to make sure my issue has not been fixed   _x000D_
    X_x000D_
 test zip (https:  github com Anuken Mindustry files 5594357 test zip)_x000D_
    I have searched the closed and open issues to make sure that this problem has not already been reported   _x000D_
</t>
  </si>
  <si>
    <t>inaturalist-iNaturalistAndroid-940</t>
  </si>
  <si>
    <t xml:space="preserve">https:  console firebase google com u 2 project inaturalist ios crashlytics app android:org inaturalist android issues 9f708d0859d6a4b9deb1258907e3e701_x000D_
_x000D_
   _x000D_
Fatal Exception: java lang NullPointerException: Attempt to invoke virtual method  boolean java lang String equals(java lang Object)  on a null object reference_x000D_
       at android provider DocumentsContract isDocumentsProvider(DocumentsContract java:885)_x000D_
       at android provider DocumentsContract isDocumentUri(DocumentsContract java:844)_x000D_
       at org inaturalist android FileUtils getPath(FileUtils java:239)_x000D_
       at org inaturalist android ObservationEditor createObservationPhotoForPhoto(ObservationEditor java:3081)_x000D_
       at org inaturalist android ObservationEditor access 5000(ObservationEditor java:130)_x000D_
       at org inaturalist android ObservationEditor 42 run(ObservationEditor java:2974)_x000D_
       at java lang Thread run(Thread java:762)_x000D_
   </t>
  </si>
  <si>
    <t>Anuken-Mindustry-3573</t>
  </si>
  <si>
    <t>Mono Miner Drones do not mine while not in sector</t>
  </si>
  <si>
    <t xml:space="preserve">  Platform  :  Android iOS Mac Windows Linux _x000D_
Windows_x000D_
  Build  :  The build number under the title in the main menu  Required   LATEST  IS NOT A VERSION  I NEED THE EXACT BUILD NUMBER OF YOUR GAME  _x000D_
Beta 116_x000D_
  Issue  :  Explain your issue in detail  _x000D_
Mono miner drones (First tier green colored air unit) do not mine resources unless you are in the same sector  I assume this is because the resources produced by them is not included in the passive generation calculations _x000D_
  Steps to reproduce  :  How you happened across the issue  and what exactly you did to make the bug happen  _x000D_
Go into a sector in the campaign  make an air factory  and produce a mono drone  Then go to another sector  and no resources will be produced by the miner drone  This is most noticeable if you do not have any conveyors inputting resources_x000D_
  Link(s) to mod(s) used  :  The mod repositories or zip files that are related to the issue  if applicable  _x000D_
N A_x000D_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This can be replicated with any save file  so this step is unneccesary_x000D_
  Crash report  :  The contents of relevant crash report files  REQUIRED if you are reporting a crash  _x000D_
N A_x000D_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</si>
  <si>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nextcloud-android-7477</t>
  </si>
  <si>
    <t>App crash when deleting files</t>
  </si>
  <si>
    <t xml:space="preserve">    Steps to reproduce_x000D_
1  Select  60 files in the folder (not all) _x000D_
2  From the menu in the upper right corner  click delete _x000D_
3  Wait a few seconds for files to be deleted _x000D_
4  App crash in  3 5sec_x000D_
_x000D_
I tried to repeat the error  the application every time it is crashed when you try to delete files  delete the same files and upload them again from pc app or www working without probl m  and then again removing from the phone brings the same results  app crash_x000D_
_x000D_
_x000D_
  Edit: The application closes when you try to delete more than 2 files  at 1 file there is no problem  at 2 or more the application dies_x000D_
Sorry for my English  this is not my language   _x000D_
_x000D_
_x000D_
_x000D_
    Expected behaviour_x000D_
  Tell us what should happen_x000D_
_x000D_
The application turns off after deleting several files _x000D_
_x000D_
    Actual behaviour_x000D_
  Tell us what happens_x000D_
_x000D_
App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No   This is in app on mobile_x000D_
_x000D_
Device model: Huawei p20 pro _x000D_
_x000D_
Stock or customized system: emui 10 0 0_x000D_
_x000D_
Nextcloud server version: 20 0 2_x000D_
_x000D_
Reverse proxy: no_x000D_
_x000D_
    Logs_x000D_
     Web server error log_x000D_
   _x000D_
Insert your webserver log here_x000D_
   _x000D_
_x000D_
     Nextcloud log (data nextcloud log)_x000D_
  _x000D_
_x000D_
There are no server errors _x000D_
_x000D_
_x000D_
Insert your Nextcloud log here_x000D_
   _x000D_
_x000D_
_x000D_
_x000D_
             CAUSE OF ERROR             _x000D_
_x000D_
android app RemoteServiceException: Context startForegroundService() did not then call Service startForeground(): ServiceRecord f0e0d44 u0 com nextcloud client  media PlayerService _x000D_
	at android app ActivityThread H handleMessage(ActivityThread java:2313)_x000D_
	at android os Handler dispatchMessage(Handler java:107)_x000D_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_x000D_
             APP INFORMATION             _x000D_
ID: com nextcloud client_x000D_
Version: 30140090_x000D_
Build flavor: gplay_x000D_
_x000D_
             DEVICE INFORMATION             _x000D_
Brand: HUAWEI_x000D_
Device: HWCLT_x000D_
Model: CLT L29_x000D_
Id: HUAWEICLT L29_x000D_
Product: CLT L29_x000D_
_x000D_
             FIRMWARE             _x000D_
SDK: 29_x000D_
Release: 10_x000D_
Incremental: 10 0 0 171C432_x000D_
_x000D_
</t>
  </si>
  <si>
    <t>nextcloud-android-7476</t>
  </si>
  <si>
    <t>Crash after delete of file</t>
  </si>
  <si>
    <t xml:space="preserve">    Steps to reproduce_x000D_
1  Simply delete all files in a folder  one by one_x000D_
_x000D_
    Expected behaviour_x000D_
  empty folder is visible_x000D_
_x000D_
    Actual behaviour_x000D_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CAUSE OF ERROR             _x000D_
_x000D_
android app RemoteServiceException: Context startForegroundService() did not then call Service startForeground(): ServiceRecord e53e795 u0 com nextcloud client  media PlayerService _x000D_
	at android app ActivityThread H handleMessage(ActivityThread java:1969)_x000D_
	at android os Handler dispatchMessage(Handler java:107)_x000D_
	at android os Looper loop(Looper java:224)_x000D_
	at android app ActivityThread main(ActivityThread java:7520)_x000D_
	at java lang reflect Method invoke(Native Method)_x000D_
	at com android internal os RuntimeInit MethodAndArgsCaller run(RuntimeInit java:539)_x000D_
	at com android internal os ZygoteInit main(ZygoteInit java:950)_x000D_
_x000D_
             APP INFORMATION             _x000D_
ID: com nextcloud client_x000D_
Version: 30140090_x000D_
Build flavor: gplay_x000D_
_x000D_
             DEVICE INFORMATION             _x000D_
Brand: Redmi_x000D_
Device: joyeuse_x000D_
Model: Redmi Note 9 Pro_x000D_
Id: QKQ1 191215 002_x000D_
Product: joyeuse global_x000D_
_x000D_
             FIRMWARE             _x000D_
SDK: 29_x000D_
Release: 10_x000D_
Incremental: V11 0 7 0 QJZMIXM_x000D_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</si>
  <si>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TeamNewPipe-NewPipe-4998</t>
  </si>
  <si>
    <t>Newpipe launching over and over and over when pressing the back button twice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</si>
  <si>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Open Newpipe app on my phone  _x000D_
2  double tap the back button once or twice  I expect it to close  _x000D_
3  Newpipe Opens again over and over  I will attach a video showing the bug_x000D_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When taping the back button once or twice  newpipe reloads over and over till the home button is pressed_x000D_
_x000D_
_x000D_
_x000D_
    Expected behavior_x000D_
I expect it to close  like on previous versions_x000D_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Stock Rom android 9  rooted with magisk _x000D_
   Device model: Moto G7 Power_x000D_
</t>
  </si>
  <si>
    <t>nextcloud-android-7470</t>
  </si>
  <si>
    <t>Crash with 3.14.1 RC1</t>
  </si>
  <si>
    <t xml:space="preserve">Looks like crash from https:  github com nextcloud android issues 6905 is not fixed completely _x000D_
_x000D_
Error log:_x000D_
                        CAUSE OF ERROR                       _x000D_
android app RemoteServiceException: Context startForegroundService() did not then call Service startForeground(): ServiceRecord 668249d u0 com nextcloud client  media PlayerService _x000D_
	at android app ActivityThread H handleMessage(ActivityThread java:2038)_x000D_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30140151_x000D_
Build flavor: gplay_x000D_
_x000D_
                       DEVICE INFORMATION                       _x000D_
Brand: OnePlus_x000D_
Device: OnePlus6_x000D_
Model: ONEPLUS A6003_x000D_
Id: QKQ1 190716 003_x000D_
Product: OnePlus6_x000D_
_x000D_
                       FIRMWARE                       _x000D_
SDK: 29_x000D_
Release: 10_x000D_
Incremental: 2010042216 _x000D_
</t>
  </si>
  <si>
    <t>ElderDrivers-EdXposed-654</t>
  </si>
  <si>
    <t>[BUG] User changes on reboot</t>
  </si>
  <si>
    <t xml:space="preserve">       What happened   _x000D_
After a random reboot  (the reboot does not always trigger this)  the device will act as if it has not been setup before (shows the android is starting prompt followed by the setup wizard)  _x000D_
_x000D_
  Xposed     Xposed Module List  _x000D_
NONE   Eliminating the fact it could have been a module_x000D_
_x000D_
  Magisk     Magisk Module List  _x000D_
Riru   Core_x000D_
Magisk EdXposed_x000D_
_x000D_
  EdXposed Riru   Versions of EdXposed and Riru  _x000D_
_x000D_
EdXposed:  0 4 6 4 (4563) (Sandhook)_x000D_
_x000D_
Riru: 21 3_x000D_
_x000D_
    Logcat Logcat  _x000D_
Hard to get a logcat because it happens during a reboot  I however did get a logcat AFTER the user changes and all the apps force close _x000D_
_x000D_
In the logcat  you can see all the crashes from facebook (me trying to open it after it reboots) and they are all the same:_x000D_
 11 23 14:33:40 950 14391 14391 E AndroidRuntime: java lang RuntimeException: Unable to instantiate application com facebook lite ClientApplicationSplittedShell: java lang IllegalArgumentException: Optimized data directory  data user 0 com facebook lite dex is not owned by the current user  Shared storage cannot protect your application from code injection attacks  _x000D_
_x000D_
I do know each app is installed with its own unique userId  So something is changing this after the reboot  _x000D_
_x000D_
 facebook txt (https:  github com ElderDrivers EdXposed files 5590689 facebook txt)_x000D_
</t>
  </si>
  <si>
    <t>NordicSemiconductor-Android-DFU-Library-279</t>
  </si>
  <si>
    <t>Invalid channel for service notification</t>
  </si>
  <si>
    <t xml:space="preserve">_x000D_
_x000D_
  DFU Bootloader version (please complete the following information):  _x000D_
   SDK version:  e g  SDK 15 3 _x000D_
   Bonding used:  yes _x000D_
   Library version:  e g  1 11 0 _x000D_
_x000D_
  Device information (please complete the following information):  _x000D_
   Device:  e g  Samsung S10 _x000D_
   OS:  e g  Android 9 _x000D_
_x000D_
  Describe the bug  _x000D_
When starting the dfu process  the app crashes with:_x000D_
_x000D_
 2020 11 24 13:50:14 558 15623 15623       dev E saa parking de:  qarth debug:   get PatchStore::createDisableExceptionQarthFile method fail _x000D_
2020 11 24 13:50:14 564 15623 15623       dev E AndroidRuntime: FATAL EXCEPTION: main_x000D_
    Process:       dev  PID: 15623_x000D_
    android app RemoteServiceException: Bad notification for startForeground: java lang RuntimeException: invalid channel for service notification: Notification(channel dfu pri  1 contentView null vibrate null sound null defaults 0x0 flags 0x42 color 0xff888888 vis PRIVATE)_x000D_
        at android app ActivityThread H handleMessage(ActivityThread java:2126)_x000D_
        at android os Handler dispatchMessage(Handler java:112)_x000D_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 _x000D_
_x000D_
I m starting the process like so:_x000D_
_x000D_
  val fwFile   File(context getExternalFilesDir(null) toString()   File separator toString()    fw zip )_x000D_
        Log d( DFUTEST   scheduleDFU with     fwFile absolutePath         fwFile absolutePath)_x000D_
_x000D_
        val starter   deviceComm getConnectedDevice()  address  let  _x000D_
            DfuServiceInitiator(it)_x000D_
                 setDeviceName(deviceComm getConnectedDevice()  name)_x000D_
                 setKeepBond(true)    keep bond after dfu_x000D_
                 setForceDfu(true)_x000D_
                 setNumberOfRetries(3)_x000D_
                 setPacketsReceiptNotificationsEnabled(true)_x000D_
                 setDisableNotification(false)    no foreground notification_x000D_
                 setForeground(true)_x000D_
                 setPrepareDataObjectDelay(400L)_x000D_
         _x000D_
_x000D_
        starter   setZip(fwFile toUri()  fwFile absolutePath)_x000D_
        Log d( DFUTEST   starter created )_x000D_
_x000D_
        dfuServiceController   starter   start(context  DfuService::class java)_x000D_
        Log d( DFUTEST   controller initiated )_x000D_
_x000D_
        DfuServiceListenerHelper registerProgressListener(context  dfuProgressListener)_x000D_
        Log d( DFUTEST   listener registred ) _x000D_
_x000D_
_x000D_
I can see in the DfuBaseService class that the notification channel is set to  dfu  and the id to 283  so I assume this is something that s out of my hands and a problem in the library itself _x000D_
</t>
  </si>
  <si>
    <t>Anuken-Mindustry-3565</t>
  </si>
  <si>
    <t>Scheme replacement causing h</t>
  </si>
  <si>
    <t xml:space="preserve">  Platform  : Android_x000D_
_x000D_
  Build  : 116_x000D_
_x000D_
  Issue  : You can place any core scheme in campaign by replacing it_x000D_
_x000D_
  Steps to reproduce  : _x000D_
 Place a core in sandbox custom game_x000D_
 Make it a scheme_x000D_
 Go to campaign to check if it appears there_x000D_
 Go back to sandbox_x000D_
 Place anything near the core_x000D_
 replace the scheme before with this_x000D_
 You can launch anything with core_x000D_
_x000D_
  Save file  : _x000D_
 Kek zip (https:  github com Anuken Mindustry files 5589865 Kek zip)_x000D_
_x000D_
_x000D_
  Crash report  :  The contents of relevant crash report files  REQUIRED if you are reporting a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</si>
  <si>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nextcloud-android-7468</t>
  </si>
  <si>
    <t xml:space="preserve">app crashes when trying to open the video file </t>
  </si>
  <si>
    <t xml:space="preserve">    Steps to reproduce_x000D_
1  Android app  brows to mobile video auto upload folder on NC server _x000D_
2  Click on one of the videos _x000D_
3  Network indicator showing data usage and eventually in few seconds app closes itself with leaving me with this error message I have copied below _x000D_
_x000D_
    Expected behaviour_x000D_
I don t really have success watching videos via Android NC app  but I thought I will try again  Not sure if somehow the new android firmware was upgraded just recently on my phone  _x000D_
_x000D_
    Actual behaviour_x000D_
  app crashes when trying to open the video from server side  _x000D_
_x000D_
             CAUSE OF ERROR             _x000D_
_x000D_
android app RemoteServiceException: Context startForegroundService() did not then call Service startForeground(): ServiceRecord 53265dd u0 com nextcloud client  media PlayerService _x000D_
	at android app ActivityThread H handleMessage(ActivityThread java:2039)_x000D_
	at android os Handler dispatchMessage(Handler java:107)_x000D_
	at android os Looper loop(Looper java:214)_x000D_
	at android app ActivityThread main(ActivityThread java:7697)_x000D_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30140090_x000D_
Build flavor: gplay_x000D_
_x000D_
             DEVICE INFORMATION             _x000D_
Brand: OnePlus_x000D_
Device: OnePlus5T_x000D_
Model: ONEPLUS A5010_x000D_
Id: QKQ1 191014 012_x000D_
Product: OnePlus5T_x000D_
_x000D_
             FIRMWARE             _x000D_
SDK: 29_x000D_
Release: 10_x000D_
Incremental: 2010292059_x000D_
</t>
  </si>
  <si>
    <t>TeamNewPipe-NewPipe-4989</t>
  </si>
  <si>
    <t>Comment section is not loading frequently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</si>
  <si>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</si>
  <si>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TeamNewPipe-NewPipe-4988</t>
  </si>
  <si>
    <t>Crash from show Stream</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</si>
  <si>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Exception_x000D_
    User Action:   requested stream_x000D_
    Request:   https:  www youtube com watch v B6 iQvaIjXw_x000D_
    Content Country:   CH_x000D_
    Content Language:   de CH_x000D_
    App Language:   de CH_x000D_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t>
  </si>
  <si>
    <t>nextcloud-android-7466</t>
  </si>
  <si>
    <t>Delete local copy on S9</t>
  </si>
  <si>
    <t xml:space="preserve">    Steps to reproduce_x000D_
1   Upload a Video file with 1 3gb size_x000D_
2  Download with mobile App to smart device _x000D_
3  Delete file local only_x000D_
_x000D_
    Expected behaviour_x000D_
  Tell us what should happen_x000D_
Dont crash _x000D_
    Actual behaviour_x000D_
  Tell us what happens_x000D_
Crashes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</si>
  <si>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nextcloud-android-7463</t>
  </si>
  <si>
    <t>Crash when switching profiles</t>
  </si>
  <si>
    <t>Hi _x000D_
_x000D_
I have two profiles in Nextcloud app:_x000D_
1) main one with regular files in VPN net (use it for a long time already)_x000D_
2) new one empty  no any folders and it faces internet   Added this one yesterday _x000D_
_x000D_
Reproduced the crash several times following these steps:_x000D_
1) Switch to new profile_x000D_
2) Upload a single photo to new profile_x000D_
3) Switch back to main one  swipe to update_x000D_
4) Again switch to new one  swipe to update_x000D_
5) Delete the photo_x000D_
6) Switch to main_x000D_
7) Crash a second later_x000D_
_x000D_
_x000D_
             CAUSE OF ERROR             _x000D_
_x000D_
android app RemoteServiceException: Context startForegroundService() did not then call Service startForeground(): ServiceRecord 906bde8 u0 com nextcloud client  media PlayerService _x000D_
	at android app ActivityThread H handleMessage(ActivityThread java:1945)_x000D_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APP INFORMATION             _x000D_
ID: com nextcloud client_x000D_
Version: 30140090_x000D_
Build flavor: gplay_x000D_
_x000D_
             DEVICE INFORMATION             _x000D_
Brand: OnePlus_x000D_
Device: OnePlus3T_x000D_
Model: ONEPLUS A3003_x000D_
Id: QQ3A 200805 001_x000D_
Product: lineage oneplus3_x000D_
_x000D_
             FIRMWARE             _x000D_
SDK: 29_x000D_
Release: 10_x000D_
Incremental: c5322916be</t>
  </si>
  <si>
    <t>mjaun-android-anuto-187</t>
  </si>
  <si>
    <t>Incresing crashes as levels progress</t>
  </si>
  <si>
    <t>Starting right at level 1  Anuto has been unstable when loading saved games   It will crash about 50  of the time when loading  though that can be reduced by first restarting the game then reloading _x000D_
_x000D_
Starting at about level 75  crashed begin to happen with normal playing and loading the game is painful   Even restarting first and then loading the game crashes about 75  of the time _x000D_
_x000D_
Starting with level 100  clicking  next wave  crashes the game about 25  of the time  increasing to 100  at level 106   I am now at the point where the game will not even open because it is trying to load a game that is causing a crash _x000D_
_x000D_
Hardware is Samsung Galaxy S5  Android 6 0 1</t>
  </si>
  <si>
    <t>Anuken-Mindustry-3560</t>
  </si>
  <si>
    <t>Units with SapBulletType as a fragBullet for a weapon's bulletType randomly go to brazil when attacking</t>
  </si>
  <si>
    <t xml:space="preserve">  Platform  :  Android iOS Mac Windows Linux _x000D_
_x000D_
  Build  :  The build number under the title in the main menu  Required   LATEST  IS NOT A VERSION  I NEED THE EXACT BUILD NUMBER OF YOUR GAME  _x000D_
_x000D_
  Issue  : While testing my mod  I noticed that the Scyllas are dying even though their artillery bullets frag into SapBulletType bullets  They usually steal health when units are hit by the sapping frags  but sometimes the Scyllas actually lose health or even outright die _x000D_
_x000D_
  Steps to reproduce  : Make a unit that fires a bullet that frags into SapBulletType bullets  unit sometimes goes to brazil_x000D_
_x000D_
  Link(s) to mod(s) used  : https:  github com z0mbiesrock Diamond Ore tree 6 0_x000D_
_x000D_
  Save file  : _x000D_
 7 zip (https:  github com Anuken Mindustry files 5586918 7 zip)_x000D_
this save sets up the issue _x000D_
_x000D_
  Crash report  : no crash_x000D_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</si>
  <si>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Anuken-Mindustry-3559</t>
  </si>
  <si>
    <t>buggy pathfinding when controlling a group of ground/naval units (intended?)</t>
  </si>
  <si>
    <t xml:space="preserve">  Platform  :  Any _x000D_
_x000D_
  Build  :  20048 _x000D_
_x000D_
  Issue  :  ground and naval units following a player get easily stuck in walls  they simply try to walk in the same direction  if this is intended  should be implemented some pathfinding because this is certainly annoying _x000D_
_x000D_
 demonstration in Overgrowth _x000D_
  image (https:  user images githubusercontent com 62845905 100028742 5a834f80 2dce 11eb 922d 7fadaf74dd4f png)_x000D_
_x000D_
_x000D_
  Steps to reproduce  :  press   G   to control a bunch of ground units and pass through some obstacles _x000D_
_x000D_
  Link(s) to mod(s) used  :  none _x000D_
_x000D_
  Save file  :   testing map (https:  github com Anuken Mindustry files 5586595 path zip) _x000D_
_x000D_
  Crash report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</si>
  <si>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TeamNewPipe-NewPipe-4986</t>
  </si>
  <si>
    <t>Inconsistent background player behaviour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</si>
  <si>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Ensure the  minimise to background player on task switch  is enabled in the settings_x000D_
2  Pick any video and start the playback by tapping on the thumbnail (main player)_x000D_
3  Press the home button to minimise the application and cause the player to switch into background mode_x000D_
4  Open Android s running applications menu (usually the UI button right to the home button)_x000D_
5  Swipe the NewPipe window away_x000D_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NewPipe ceases to continue the background playback and notification disappears from the notification area _x000D_
_x000D_
_x000D_
    Expected behavior_x000D_
     Tell us what you expect to happen     _x000D_
Background playback continues  This is consistent with what happens if the user selects background playback explicitly in the second step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8 1 0 Oreo_x000D_
   Device model: Asus X00TD_x000D_
</t>
  </si>
  <si>
    <t>aws-amplify-amplify-android-984</t>
  </si>
  <si>
    <t>Error events in DataStore.observe cause an app crash</t>
  </si>
  <si>
    <t xml:space="preserve">When there is an error calling the datastore APIs  the local storage subscription ends with the message  Storage adapter subscription ended in error   Any subsequent error crashes the app _x000D_
_x000D_
To reproduce: _x000D_
  Subscribe to local storage using one of the  observe(   )  APIs _x000D_
  Call any DataStore API which results in an  expected  error  such as deleting a non existent ID  or saving a model instance where the predicate condition is not met _x000D_
  Check the logs  which will show:_x000D_
   console_x000D_
W amplify:aws datastore: Storage adapter subscription ended in error_x000D_
    DataStoreException message Wanted to delete one row  but deleted 0 rows   cause null  recoverySuggestion This is likely a bug  Please report to AWS  _x000D_
        at com amplifyframework datastore storage sqlite SQLiteStorageAdapter lambda delete 6 SQLiteStorageAdapter(SQLiteStorageAdapter java:512)_x000D_
        at com amplifyframework datastore storage sqlite    Lambda SQLiteStorageAdapter  T5npQOSQr5NW7t4G06wJJ3nXGM run(Unknown Source:12)_x000D_
        at java util concurrent Executors RunnableAdapter call(Executors java:462)_x000D_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java:919)_x000D_
E amplify:flutter:datastore: Delete operation failed _x000D_
    DataStoreException message Wanted to delete one row  but deleted 0 rows   cause null  recoverySuggestion This is likely a bug  Please report to AWS  _x000D_
        at com amplifyframework datastore storage sqlite SQLiteStorageAdapter lambda delete 6 SQLiteStorageAdapter(SQLiteStorageAdapter java:512)_x000D_
        at com amplifyframework datastore storage sqlite    Lambda SQLiteStorageAdapter  T5npQOSQr5NW7t4G06wJJ3nXGM run(Unknown Source:12)_x000D_
        at java util concurrent Executors RunnableAdapter call(Executors java:462)_x000D_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java:919)_x000D_
   _x000D_
  Repeat the same operation  again   which will result in a crash:_x000D_
   console_x000D_
W System err: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DataStoreException message Wanted to delete one row  but deleted 0 rows   cause null  recoverySuggestion This is likely a bug  Please report to AWS  _x000D_
        at io reactivex rxjava3 plugins RxJavaPlugins onError(RxJavaPlugins java:367)_x000D_
        at io reactivex rxjava3 subjects SerializedSubject onError(SerializedSubject java:111)_x000D_
        at com amplifyframework datastore storage sqlite SQLiteStorageAdapter lambda delete 6 SQLiteStorageAdapter(SQLiteStorageAdapter java:533)_x000D_
        at com amplifyframework datastore storage sqlite    Lambda SQLiteStorageAdapter  T5npQOSQr5NW7t4G06wJJ3nXGM run(Unknown Source:12)_x000D_
        at java util concurrent Executors RunnableAdapter call(Executors java:462)_x000D_
        at java util concurrent FutureTask run(FutureTask java:266)_x000D_
        at java util concurrent ThreadPoolExecutor runWorker(ThreadPoolExecutor java:1167)_x000D_
        at java util concurrent ThreadPoolExecutor Worker run(ThreadPoolExecutor java:641)_x000D_
W System err:     at java lang Thread run(Thread java:919)_x000D_
    Caused by: DataStoreException message Wanted to delete one row  but deleted 0 rows   cause null  recoverySuggestion This is likely a bug  Please report to AWS  _x000D_
        at com amplifyframework datastore storage sqlite SQLiteStorageAdapter lambda delete 6 SQLiteStorageAdapter(SQLiteStorageAdapter java:512)_x000D_
    	    6 more_x000D_
E AndroidRuntime: FATAL EXCEPTION: pool 7 thread 1_x000D_
    Process: com amazonaws amplify amplify datastore example  PID: 10078_x000D_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DataStoreException message Wanted to delete one row  but deleted 0 rows   cause null  recoverySuggestion This is likely a bug  Please report to AWS  _x000D_
        at io reactivex rxjava3 plugins RxJavaPlugins onError(RxJavaPlugins java:367)_x000D_
        at io reactivex rxjava3 subjects SerializedSubject onError(SerializedSubject java:111)_x000D_
        at com amplifyframework datastore storage sqlite SQLiteStorageAdapter lambda delete 6 SQLiteStorageAdapter(SQLiteStorageAdapter java:533)_x000D_
        at com amplifyframework datastore storage sqlite    Lambda SQLiteStorageAdapter  T5npQOSQr5NW7t4G06wJJ3nXGM run(Unknown Source:12)_x000D_
        at java util concurrent Executors RunnableAdapter call(Executors java:462)_x000D_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java:919)_x000D_
     Caused by: DataStoreException message Wanted to delete one row  but deleted 0 rows   cause null  recoverySuggestion This is likely a bug  Please report to AWS  _x000D_
        at com amplifyframework datastore storage sqlite SQLiteStorageAdapter lambda delete 6 SQLiteStorageAdapter(SQLiteStorageAdapter java:512)_x000D_
        at com amplifyframework datastore storage sqlite    Lambda SQLiteStorageAdapter  T5npQOSQr5NW7t4G06wJJ3nXGM run(Unknown Source:12) _x000D_
        at java util concurrent Executors RunnableAdapter call(Executors java:462)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java:919) _x000D_
   </t>
  </si>
  <si>
    <t>Anuken-Mindustry-3557</t>
  </si>
  <si>
    <t>launch pads still launching when disabled</t>
  </si>
  <si>
    <t xml:space="preserve">  Platform  :  Any _x000D_
_x000D_
  Build  :  20045 _x000D_
_x000D_
  Issue  :  launch pads still launching even if they are disabled by processors  this may be caused by the time to update the sector production and exporting _x000D_
_x000D_
  Steps to reproduce  :  capture a sector in campaign  make a launch pad  put some resources  launch  wait the production exportation update  disable the launch pad  quit  when back they launch and show the animation _x000D_
_x000D_
  Link(s) to mod(s) used  :  none _x000D_
_x000D_
  Save file  :   sector serpulo 192 zip (https:  github com Anuken Mindustry files 5585182 sector serpulo 192 zip) _x000D_
_x000D_
  Crash report  :  no crash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</si>
  <si>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Anuken-Mindustry-3555</t>
  </si>
  <si>
    <t>Wave survive estimates being easier than real</t>
  </si>
  <si>
    <t xml:space="preserve">  Platform  : Any_x000D_
_x000D_
  Build  : Any build that has wave survival estimates  In my case  its 2045_x000D_
_x000D_
  Issue  : So  wave surviving estimate is unrealistic  I landed in inpact 0078  Thats a hard sector  I ran out of graphite  so I went to extraction outpoust to send some  I saw 30  wave surviving  All i built was a large thorium wall wall  with fuses behind it  I had 0 menders or any other turret  I saved progress at the estimate  and played from it  without doing anything  I lasted for 12 waves only  So  that is too easy  I can see someone easily pass all waves  by only periodic repairs and a fuse wall  Land there and see it for yourself_x000D_
 Survival estimate issue (see Impact 0078) zip (https:  github com Anuken Mindustry files 5584981 Survival estimate issue see Impact 0078 zip)_x000D_
_x000D_
_x000D_
  Steps to reproduce  : See survival estimates  I suppose it has something with fuses  maybe rating them as too OP  I dont know  You dont have to do anything really  but build fuses  My save also might be broken _x000D_
_x000D_
  Link(s) to mod(s) used  : _x000D_
_x000D_
  Save file  : Its up there_x000D_
_x000D_
  Crash report  : Not a crash_x000D_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</si>
  <si>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TeamNewPipe-NewPipe-4980</t>
  </si>
  <si>
    <t>Reporting causes NewPipe to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</si>
  <si>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Go to any video where the comments fail to load _x000D_
(Or repeatedly switch videos quickly  you ll certainly get a video where comments don t load)_x000D_
2  A little pop up says  Sorry  something went wrong   b Report  b   _x000D_
3  Clicking Report causes the app to crash _x000D_
_x000D_
Could reproduce almost 70  of the time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NewPipe crashes without any crash report and goes into a loop of showing the splash screen and crashing _x000D_
_x000D_
    Expected behavior_x000D_
     Tell us what you expect to happen     _x000D_
_x000D_
I haven t actually used that report button before encountering this issue _x000D_
Expected behaviour: I guess app shouldn t crash_x000D_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Screenshot 20201123 190704 (https:  user images githubusercontent com 65857597 99980103 dd57da80 2dcd 11eb 934e f567fb9518fb png)_x000D_
This report button at bottom right _x000D_
_x000D_
Video in the screenshot: _x000D_
https:  www youtube com watch v 5GSeWdjyr1c_x000D_
    Logs_x000D_
     If your bug includes a crash (where you re shown the Error Report page with a bunch of info)  tap on  Copy formatted report  at the bottom and paste it here:    _x000D_
_x000D_
     That s right  here     _x000D_
_x000D_
 details _x000D_
 summary _x000D_
 b Logcat  b _x000D_
  summary _x000D_
 p _x000D_
_x000D_
   _x000D_
11 23 19:03:42 791 I Timeline(32688): Timeline: Activity launch request id:org schabi newpipe time:325274613_x000D_
11 23 19:03:42 801 E Parcel  (2906): Class not found when unmarshalling: org schabi newpipe report ErrorInfo_x000D_
11 23 19:03:42 801 E Parcel  (2906): java lang ClassNotFoundException: org schabi newpipe report ErrorInfo_x000D_
11 23 19:03:42 801 E Parcel  (2906): Caused by: java lang ClassNotFoundException: org schabi newpipe report ErrorInfo_x000D_
11 23 19:03:42 811 V WindowManager(2906): addAppToken: AppWindowToken 24ddbd7 token Token e5cbf56 ActivityRecord 3d91571 u0 org schabi newpipe  report ErrorActivity t1710    to stack 1 task 1710 at 1_x000D_
11 23 19:03:42 841 D GameManagerService(2906): NotifyRunnable  pkg: org schabi newpipe  type: 4  isMinimized: false  isTunableApp: false_x000D_
11 23 19:03:42 846 V MARsPolicyManager(2906): updatePackagesScore PackageInfo name    org schabi newpipe_x000D_
11 23 19:03:42 966 E ACRA    (32688): ACRA caught a IllegalAccessError for org schabi newpipe_x000D_
11 23 19:03:42 966 E ACRA    (32688): java lang IllegalAccessError: Method  void org schabi newpipe report ErrorInfo  init (org schabi newpipe report UserAction  java lang String  java lang String  int)  is inaccessible to class  org schabi newpipe report ErrorInfo Creator  (declaration of  org schabi newpipe report ErrorInfo Creator  appears in  data app org schabi newpipe 1 base apk)_x000D_
11 23 19:03:42 966 E ACRA    (32688): 	at org schabi newpipe report ErrorInfo Creator createFromParcel(Unknown Source)_x000D_
11 23 19:03:42 966 E ACRA    (32688): 	at org schabi newpipe report ErrorActivity onCreate(ErrorActivity java:209)_x000D_
11 23 19:03:43 401 I WindowManager(2906): Screenshot max retries 4 of Token e5cbf56 ActivityRecord 3d91571 u0 org schabi newpipe  report ErrorActivity t1710 f   appWin Window ef41a93 u0 d0 p32688 org schabi newpipe org schabi newpipe MainActivity  drawState 4_x000D_
11 23 19:03:43 586 I WindowState(2906): WIN DEATH: Window ef41a93 u0 d0 p32688 org schabi newpipe org schabi newpipe MainActivity _x000D_
11 23 19:03:43 586 I ActivityManager(2906): Process org schabi newpipe (pid 32688)(adj 0) has died(109 242)_x000D_
11 23 19:03:43 591 D ActivityManager(2906): removeProcessNameLocked mProcessNames remove pid 32688  hash 23487259  name org schabi newpipe_x000D_
11 23 19:03:43 861 D PackageManager(2906): getComponentMetadataForIconTray : org schabi newpipe MainActivity does not exist in mServices_x000D_
11 23 19:03:43 861 D PackageManager(2906): getComponentMetadataForIconTray : org schabi newpipe MainActivity does not exist in mProviders_x000D_
11 23 19:03:43 861 D PackageManager(2906): getComponentMetadataForIconTray : org schabi newpipe MainActivity does not exist in mReceivers_x000D_
11 23 19:03:43 866 I ApplicationPackageManager(3274): load org schabi newpipe  bg 96 96  dr 96 96_x000D_
11 23 19:03:44 476 D MountService(2906): getExternalStorageMountMode : final mountMode 3  uid : 10753  packageName : org schabi newpipe_x000D_
11 23 19:03:44 491 I ActivityManager(2906): Start proc 333:org schabi newpipe:acra u0a753 for service org schabi newpipe org acra sender JobSenderService_x000D_
11 23 19:03:44 491 W SELinux (333): SELinux: seapp context lookup: seinfo default  level s0:c512 c768  pkgname org schabi newpipe:acra _x000D_
11 23 19:03:44 551 W System  (333): ClassLoader referenced unknown path:  data app org schabi newpipe 1 lib arm_x000D_
11 23 19:03:45 006 I ACRA    (333): Sending report  data user 0 org schabi newpipe app ACRA approved 2020 11 23T19:03:43 036 05:30 stacktrace_x000D_
11 23 19:03:45 016 I Timeline(333): Timeline: Activity launch request id:org schabi newpipe time:325276839_x000D_
11 23 19:03:45 021 E Parcel  (2906): Class not found when unmarshalling: org schabi newpipe report ErrorInfo_x000D_
11 23 19:03:45 021 E Parcel  (2906): java lang ClassNotFoundException: org schabi newpipe report ErrorInfo_x000D_
11 23 19:03:45 021 E Parcel  (2906): Caused by: java lang ClassNotFoundException: org schabi newpipe report ErrorInfo_x000D_
11 23 19:03:45 026 I ActivityManager(2906): isWidgetUsingPkg : org schabi newpipe no widget is using _x000D_
11 23 19:03:45 031 V WindowManager(2906): addAppToken: AppWindowToken ae768c7 token Token c1aa06 ActivityRecord 2493ce1 u0 org schabi newpipe  report ErrorActivity t1711    to stack 1 task 1711 at 0_x000D_
11 23 19:03:45 041 D MountService(2906): getExternalStorageMountMode : final mountMode 3  uid : 10753  packageName : org schabi newpipe_x000D_
11 23 19:03:45 056 W SELinux (355): SELinux: seapp context lookup: seinfo default  level s0:c512 c768  pkgname org schabi newpipe _x000D_
11 23 19:03:45 061 I ActivityManager(2906): Start proc 355:org schabi newpipe u0a753 for activity org schabi newpipe  report ErrorActivity_x000D_
11 23 19:03:45 076 V WindowStateAnimator(2906): Finishing drawing window Window dee9bd5 u0 d0 p2906 Starting org schabi newpipe : mDrawState DRAW PENDING_x000D_
11 23 19:03:45 101 D ActivityManager(2906):  Launching org schabi newpipe  updated priority_x000D_
11 23 19:03:45 111 D GameManagerService(2906): NotifyRunnable  pkg: org schabi newpipe  type: 4  isMinimized: false  isTunableApp: false_x000D_
11 23 19:03:45 126 V MARsPolicyManager(2906): updatePackagesScore PackageInfo name    org schabi newpipe_x000D_
11 23 19:03:45 131 D GameManagerService(2906): identifyGamePackage  org schabi newpipe_x000D_
11 23 19:03:45 131 D StatusBarManagerService(2906): manageDisableList userId 0 what 0x0 pkg Window dee9bd5 u0 d0 p2906 Starting org schabi newpipe _x000D_
11 23 19:03:45 131 D GameManagerService(2906): identifyGamePackage  org schabi newpipe_x000D_
11 23 19:03:45 131 D GameManagerService(2906): identifyGamePackage  org schabi newpipe_x000D_
11 23 19:03:45 146 W System  (355): ClassLoader referenced unknown path:  data app org schabi newpipe 1 lib arm_x000D_
11 23 19:03:45 226 I ACRA    (355): ACRA is enabled for org schabi newpipe  initializing   _x000D_
11 23 19:03:45 896 E ACRA    (355): ACRA caught a IllegalAccessError for org schabi newpipe_x000D_
11 23 19:03:45 896 E ACRA    (355): java lang IllegalAccessError: Method  void org schabi newpipe report ErrorInfo  init (org schabi newpipe report UserAction  java lang String  java lang String  int)  is inaccessible to class  org schabi newpipe report ErrorInfo Creator  (declaration of  org schabi newpipe report ErrorInfo Creator  appears in  data app org schabi newpipe 1 base apk)_x000D_
11 23 19:03:45 896 E ACRA    (355): 	at org schabi newpipe report ErrorInfo Creator createFromParcel(Unknown Source)_x000D_
11 23 19:03:45 896 E ACRA    (355): 	at org schabi newpipe report ErrorActivity onCreate(ErrorActivity java:209)_x000D_
11 23 19:03:46 306 I WindowManager(2906): Screenshot max retries 4 of Token c1aa06 ActivityRecord 2493ce1 u0 org schabi newpipe  report ErrorActivity t1711 f   appWin Window dee9bd5 u0 d0 p2906 Starting org schabi newpipe  drawState 4_x000D_
11 23 19:03:46 321 D PackageManager(2906): getComponentMetadataForIconTray : org schabi newpipe report ErrorActivity does not exist in mServices_x000D_
11 23 19:03:46 321 D PackageManager(2906): getComponentMetadataForIconTray : org schabi newpipe report ErrorActivity does not exist in mProviders_x000D_
11 23 19:03:46 321 D PackageManager(2906): getComponentMetadataForIconTray : org schabi newpipe report ErrorActivity does not exist in mReceivers_x000D_
11 23 19:03:46 321 I ApplicationPackageManager(3274): load org schabi newpipe  bg 96 96  dr 96 96_x000D_
11 23 19:03:46 446 I ActivityManager(2906): Process org schabi newpipe (pid 355)(adj 0) has died(96 242)_x000D_
11 23 19:03:46 446 D ActivityManager(2906): removeProcessNameLocked mProcessNames remove pid 355  hash 231829482  name org schabi newpipe_x000D_
11 23 19:03:47 421 I ACRA    (333): Sending report  data user 0 org schabi newpipe app ACRA approved 2020 11 23T19:03:45 939 05:30 stacktrace_x000D_
11 23 19:03:47 431 I Timeline(333): Timeline: Activity launch request id:org schabi newpipe time:325279252_x000D_
11 23 19:03:47 436 E Parcel  (2906): Class not found when unmarshalling: org schabi newpipe report ErrorInfo_x000D_
11 23 19:03:47 436 E Parcel  (2906): java lang ClassNotFoundException: org schabi newpipe report ErrorInfo_x000D_
11 23 19:03:47 436 E Parcel  (2906): Caused by: java lang ClassNotFoundException: org schabi newpipe report ErrorInfo_x000D_
11 23 19:03:47 436 I ActivityManager(2906): isWidgetUsingPkg : org schabi newpipe no widget is using _x000D_
11 23 19:03:47 446 V WindowManager(2906): addAppToken: AppWindowToken 14f2445 token Token 2d94cbc ActivityRecord 17f80af u0 org schabi newpipe  report ErrorActivity t1712    to stack 1 task 1712 at 0_x000D_
11 23 19:03:47 456 D MountService(2906): getExternalStorageMountMode : final mountMode 3  uid : 10753  packageName : org schabi newpipe_x000D_
11 23 19:03:47 471 I ActivityManager(2906): Start proc 404:org schabi newpipe u0a753 for activity org schabi newpipe  report ErrorActivity_x000D_
11 23 19:03:47 476 W SELinux (404): SELinux: seapp context lookup: seinfo default  level s0:c512 c768  pkgname org schabi newpipe _x000D_
11 23 19:03:47 491 V WindowStateAnimator(2906): Finishing drawing window Window 37a96fd u0 d0 p2906 Starting org schabi newpipe : mDrawState DRAW PENDING_x000D_
11 23 19:03:47 511 D ActivityManager(2906):  Launching org schabi newpipe  updated priority_x000D_
11 23 19:03:47 521 D GameManagerService(2906): NotifyRunnable  pkg: org schabi newpipe  type: 4  isMinimized: false  isTunableApp: false_x000D_
11 23 19:03:47 531 V MARsPolicyManager(2906): updatePackagesScore PackageInfo name    org schabi newpipe_x000D_
11 23 19:03:47 531 D StatusBarManagerService(2906): manageDisableList userId 0 what 0x0 pkg Window 37a96fd u0 d0 p2906 Starting org schabi newpipe _x000D_
11 23 19:03:47 551 W System  (404): ClassLoader referenced unknown path:  data app org schabi newpipe 1 lib arm_x000D_
11 23 19:03:47 621 I ACRA    (404): ACRA is enabled for org schabi newpipe  initializing   _x000D_
11 23 19:03:48 306 E ACRA    (404): ACRA caught a IllegalAccessError for org schabi newpipe_x000D_
11 23 19:03:48 306 E ACRA    (404): java lang IllegalAccessError: Method  void org schabi newpipe report ErrorInfo  init (org schabi newpipe report UserAction  java lang String  java lang String  int)  is inaccessible to class  org schabi newpipe report ErrorInfo Creator  (declaration of  org schabi newpipe report ErrorInfo Creator  appears in  data app org schabi newpipe 1 base apk)_x000D_
11 23 19:03:48 306 E ACRA    (404): 	at org schabi newpipe report ErrorInfo Creator createFromParcel(Unknown Source)_x000D_
11 23 19:03:48 306 E ACRA    (404): 	at org schabi newpipe report ErrorActivity onCreate(ErrorActivity java:209)_x000D_
11 23 19:03:48 691 I WindowManager(2906): Screenshot max retries 4 of Token 2d94cbc ActivityRecord 17f80af u0 org schabi newpipe  report ErrorActivity t1712 f   appWin Window 37a96fd u0 d0 p2906 Starting org schabi newpipe  drawState 4_x000D_
11 23 19:03:48 711 D PackageManager(2906): getComponentMetadataForIconTray : org schabi newpipe report ErrorActivity does not exist in mServices_x000D_
11 23 19:03:48 711 D PackageManager(2906): getComponentMetadataForIconTray : org schabi newpipe report ErrorActivity does not exist in mProviders_x000D_
11 23 19:03:48 711 D PackageManager(2906): getComponentMetadataForIconTray : org schabi newpipe report ErrorActivity does not exist in mReceivers_x000D_
11 23 19:03:48 716 I ApplicationPackageManager(3274): load org schabi newpipe  bg 96 96  dr 96 96_x000D_
11 23 19:03:48 821 I ActivityManager(2906): Process org schabi newpipe (pid 404)(adj 1) has died(94 242)_x000D_
11 23 19:03:48 821 D ActivityManager(2906): removeProcessNameLocked mProcessNames remove pid 404  hash 165777394  name org schabi newpipe_x000D_
11 23 19:03:49 816 I ACRA    (333): Sending report  data user 0 org schabi newpipe app ACRA approved 2020 11 23T19:03:48 338 05:30 stacktrace_x000D_
11 23 19:03:49 826 I Timeline(333): Timeline: Activity launch request id:org schabi newpipe time:325281646_x000D_
11 23 19:03:49 831 E Parcel  (2906): Class not found when unmarshalling: org schabi newpipe report ErrorInfo_x000D_
11 23 19:03:49 831 E Parcel  (2906): java lang ClassNotFoundException: org schabi newpipe report ErrorInfo_x000D_
11 23 19:03:49 831 E Parcel  (2906): Caused by: java lang ClassNotFoundException: org schabi newpipe report ErrorInfo_x000D_
11 23 19:03:49 831 I ActivityManager(2906): isWidgetUsingPkg : org schabi newpipe no widget is using _x000D_
   _x000D_
  p _x000D_
  details _x000D_
_x000D_
     Please fill this out when you do not provide a log generate by NewPipe    _x000D_
_x000D_
    Device info_x000D_
_x000D_
   Android version Custom ROM version: Android 6 0 1_x000D_
   Device model: _x000D_
Samsung SM G550FY_x000D_
</t>
  </si>
  <si>
    <t>AOF-Dev-MCinaBox-699</t>
  </si>
  <si>
    <t>Cannot connect to server using its domain name</t>
  </si>
  <si>
    <t xml:space="preserve">  Describe the bug  _x000D_
It seems that MCinaBox cannot connect to a server using its domain name  Since some servers using DDNS or etc do not support direct IP connection(especially in China)  solutions mentioned in other issues WON T WORK _x000D_
_x000D_
  To Reproduce  _x000D_
Steps to reproduce the behavior:_x000D_
1  Launch the game _x000D_
2  Choose the multiplayer mode _x000D_
3  Add any server using its domain name rather than its IP _x000D_
4  Click connect to the server and wait to see the  io netty channel ConnectTimeoutException: connection timed out  error _x000D_
_x000D_
  Expected behavior  _x000D_
Server s motd message being displayed in the servers list and normal connection to the server _x000D_
_x000D_
  Screenshots  _x000D_
  Screenshot 20201123 211659 com aof mcinabox (https:  user images githubusercontent com 18241776 99969920 172cdf00 2dd6 11eb 9879 4c3e15d6b1ed jpg)_x000D_
  Screenshot 20201123 211735 com aof mcinabox (https:  user images githubusercontent com 18241776 99969943 1dbb5680 2dd6 11eb 8b88 590666db4937 jpg)_x000D_
_x000D_
  Smartphone (please complete the following information):  _x000D_
   Device: tested on Huawei Mate 30 and Huawei Nova youth_x000D_
   OS: Android 10_x000D_
   App Version: v0 1 3  v0 1 4 p4(arm32  because arm64 version will crash on my device if it starts)_x000D_
   Game Version: 1 16 1  1 16 4_x000D_
_x000D_
  Additional context  _x000D_
I ve tried connecting to servers in Java Edition on my Windows laptop and it succeeded  thus the problem is not related to the server  Besides  my target server has dynamic ips  as the ping result changes every time  so plz stop answering direct IP solutions </t>
  </si>
  <si>
    <t>Anuken-Mindustry-3546</t>
  </si>
  <si>
    <t>Mindustry causes driver stop responding</t>
  </si>
  <si>
    <t xml:space="preserve">  Platform  : Windows 7_x000D_
_x000D_
  Build  : Beta Build 115_x000D_
_x000D_
  Issue  : At startup  the game causes 100  CPU usage and display driver stops responding  then game will end blank  (black white screen)  _x000D_
_x000D_
  Steps to reproduce  : _x000D_
_x000D_
1  Open mindustry _x000D_
2  Exit (if works normal)_x000D_
3  Open mindustry again_x000D_
_x000D_
(I tested it and happened randomly)_x000D_
_x000D_
  Crash report  :  crashlog txt (https:  github com Anuken Mindustry files 5583314 crashlog txt)_x000D_
_x000D_
_x000D_
  mindustry4 (https:  user images githubusercontent com 72583750 99969018 7a197880 2dcc 11eb 908c e1be1c561391 png)_x000D_
_x000D_
_x000D_
   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</si>
  <si>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ThatCakeID-os-thm-android-43</t>
  </si>
  <si>
    <t>Deleting an used theme will crash the app</t>
  </si>
  <si>
    <t>Deleting an used theme without deleting the folder would make the app crash  Both in os thm android and os thm sketchware (because basically they re same)</t>
  </si>
  <si>
    <t>HBiSoft-HBRecorder-44</t>
  </si>
  <si>
    <t>RuntimeException: Unable to stop service com.hbisoft.hbrecorder.ScreenRecordService</t>
  </si>
  <si>
    <t xml:space="preserve">ScreenRecorderService crashed in production environment  Hope this crash can be avoided with a simple NULL check  I d appreciate any help  _x000D_
_x000D_
  Describe the bug  _x000D_
ScreenRecorderService within the HBRecorder crashed on  hbRecorder stopScreenRecording()  _x000D_
_x000D_
  Log  _x000D_
   _x000D_
uncaughtException:_x000D_
Unable to stop service com hbisoft hbrecorder ScreenRecordService bf716e7: java lang NullPointerException: Attempt to invoke virtual method  void android media projection MediaProjection stop()  on a null object reference_x000D_
_x000D_
StackTrace:_x000D_
java lang RuntimeException: Unable to stop service com hbisoft hbrecorder ScreenRecordService bf716e7: java lang NullPointerException: Attempt to invoke virtual method  void android media projection MediaProjection stop()  on a null object reference_x000D_
_x000D_
StackTraceDetails:_x000D_
java lang RuntimeException: Unable to stop service com hbisoft hbrecorder ScreenRecordService bf716e7: java lang NullPointerException: Attempt to invoke virtual method  void android media projection MediaProjection stop()  on a null object reference_x000D_
        at android app ActivityThread handleStopService(ActivityThread java:4583)_x000D_
        at android app ActivityThread access 2100(ActivityThread java:274)_x000D_
        at android app ActivityThread H handleMessage(ActivityThread java:2139)_x000D_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Caused by: java lang NullPointerException: Attempt to invoke virtual method  void android media projection MediaProjection stop()  on a null object reference_x000D_
        at com hbisoft hbrecorder ScreenRecordService f(SourceFile:7)_x000D_
        at com hbisoft hbrecorder ScreenRecordService onDestroy(SourceFile:2)_x000D_
        at android app ActivityThread handleStopService(ActivityThread java:4563)_x000D_
_x000D_
   _x000D_
  Can it be reproduced in demo app  _x000D_
This crash is reported in production environment _x000D_
_x000D_
  HBRecorder version  _x000D_
HBRecorder:0 1 14_x000D_
_x000D_
  Device information  _x000D_
Samsung SM A715F_x000D_
SDK version 29_x000D_
_x000D_
</t>
  </si>
  <si>
    <t>nextcloud-android-7449</t>
  </si>
  <si>
    <t>Vertical mode to landscape mode and backwards end up with a crash</t>
  </si>
  <si>
    <t xml:space="preserve">    Steps to reproduce_x000D_
1  Open specific folder with several files in vertical mode_x000D_
2  Switch to landscape mode and delete a file_x000D_
3  Switch to vertical mode_x000D_
_x000D_
    Expected behaviour_x000D_
  vertical mode showing the content of the specific folder_x000D_
_x000D_
    Actual behaviour_x000D_
  crash log showed up_x000D_
_x000D_
    Environment data_x000D_
Android version: 11_x000D_
Stock or customized system: Stock_x000D_
_x000D_
    Logs_x000D_
     Web server error log_x000D_
   _x000D_
             CAUSE OF ERROR             _x000D_
_x000D_
android app RemoteServiceException: Context startForegroundService() did not then call Service startForeground(): ServiceRecord 91ad985 u0 com nextcloud client  media PlayerService _x000D_
	at android app ActivityThread H handleMessage(ActivityThread java:2005)_x000D_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APP INFORMATION             _x000D_
ID: com nextcloud client_x000D_
Version: 30140090_x000D_
Build flavor: gplay_x000D_
_x000D_
             DEVICE INFORMATION             _x000D_
Brand: google_x000D_
Device: blueline_x000D_
Model: Pixel 3_x000D_
Id: RP1A 201105 002_x000D_
Product: blueline_x000D_
_x000D_
             FIRMWARE             _x000D_
SDK: 30_x000D_
Release: 11_x000D_
Incremental: 6869500_x000D_
_x000D_
   </t>
  </si>
  <si>
    <t>Anuken-Mindustry-3537</t>
  </si>
  <si>
    <t xml:space="preserve">Windows_x000D_
The latest version 6 0_x000D_
Loads up to   Map  and crashes with an error  Low memory </t>
  </si>
  <si>
    <t>Anuken-Mindustry-3536</t>
  </si>
  <si>
    <t>Null pointer</t>
  </si>
  <si>
    <t>_x000D_
 crash report 11 23 2020 09 57 14 txt (https:  github com Anuken Mindustry files 5580955 crash report 11 23 2020 09 57 14 txt)_x000D_
I got this crash 2 time while playing on server</t>
  </si>
  <si>
    <t>ElderDrivers-EdXposed-643</t>
  </si>
  <si>
    <t>[BUG] 4568 crash webview make miui stuck at bootanimation</t>
  </si>
  <si>
    <t xml:space="preserve">Android 10 MiUI 12 stable_x000D_
_x000D_
updated to riru 22 and edxposed 4568_x000D_
_x000D_
Stuck at bootanimation _x000D_
normal after disable edxposed _x000D_
Key log to the issue_x000D_
_x000D_
 _x000D_
11 23 10:21:36 224  4883  4883 F crash dump32: crash dump cpp:479  failed to attach to thread 4428  already traced by 756 (magiskd)_x000D_
11 23 10:21:36 225  1415  1415 I  system bin tombstoned: received crash request for pid 4428_x000D_
11 23 10:21:36 226  1415  1415 W  system bin tombstoned: crash socket received short read of length 0 (expected 12)_x000D_
11 23 10:21:36 228  4428  4428 F libc    : crash dump helper failed to exec_x000D_
11 23 10:21:36 228   937  2326 I LocSvc ApiV02:      globalRespCb line 196 QMI LOC SET ENGINE LOCK REQ V02_x000D_
11 23 10:21:36 229   937  1118 I LocSvc api v02:      locClientSendReq line 2325 QMI LOC SET ENGINE LOCK REQ V02_x000D_
11 23 10:21:36 240   937  2326 I LocSvc ApiV02:      globalRespCb line 196 QMI LOC SET ENGINE LOCK REQ V02_x000D_
11 23 10:21:36 249  4525  4565 W LocationProviderProxy: Odd  no component found for service com android location service v3 NetworkLocationProvider_x000D_
11 23 10:21:36 251  4525  4585 E ZygoteProcess: IO Exception while communicating with Zygote   java io EOFException_x000D_
11 23 10:21:36 251  4764  4881 D AdapterProperties: Name is:       Redmi K30_x000D_
11 23 10:21:36 251  4525  4585 E ZygoteProcess: Starting VM process through Zygote failed_x000D_
11 23 10:21:36 251  4525  4585 E ActivityManager: Failure starting process WebViewLoader armeabi v7a_x000D_
11 23 10:21:36 251  4525  4585 E ActivityManager: java lang RuntimeException: Starting VM process through Zygote failed_x000D_
11 23 10:21:36 251  4525  4585 E ActivityManager: 	at android os ZygoteProcess start(ZygoteProcess java:340)_x000D_
11 23 10:21:36 251  4525  4585 E ActivityManager: 	at android os Process start(Process java:534)_x000D_
11 23 10:21:36 251  4525  4585 E ActivityManager: 	at com android server am ProcessList startProcess(ProcessList java:1838)_x000D_
11 23 10:21:36 251  4525  4585 E ActivityManager: 	at com android server am ProcessList lambda startProcessLocked 0 ProcessList(ProcessList java:1683)_x000D_
11 23 10:21:36 251  4525  4585 E ActivityManager: 	at com android server am    Lambda ProcessList vtq7LF5jIHO4t5NE03c8g7BT7Jc run(Unknown Source:20)_x000D_
11 23 10:21:36 251  4525  4585 E ActivityManager: 	at android os Handler handleCallback(Handler java:914)_x000D_
11 23 10:21:36 251  4525  4585 E ActivityManager: 	at android os Handler dispatchMessage(Handler java:100)_x000D_
11 23 10:21:36 251  4525  4585 E ActivityManager: 	at android os Looper loop(Looper java:224)_x000D_
11 23 10:21:36 251  4525  4585 E ActivityManager: 	at android os HandlerThread run(HandlerThread java:67)_x000D_
11 23 10:21:36 251  4525  4585 E ActivityManager: 	at com android server ServiceThread run(ServiceThread java:45)_x000D_
11 23 10:21:36 251  4525  4585 E ActivityManager: Caused by: android os ZygoteStartFailedEx: java io EOFException_x000D_
11 23 10:21:36 251  4525  4585 E ActivityManager: 	at android os ZygoteProcess attemptZygoteSendArgsAndGetResult(ZygoteProcess java:447)_x000D_
11 23 10:21:36 251  4525  4585 E ActivityManager: 	at android os ZygoteProcess zygoteSendArgsAndGetResult(ZygoteProcess java:419)_x000D_
11 23 10:21:36 251  4525  4585 E ActivityManager: 	at android os ZygoteProcess startViaZygote(ZygoteProcess java:635)_x000D_
11 23 10:21:36 251  4525  4585 E ActivityManager: 	at android os ZygoteProcess start(ZygoteProcess java:333)_x000D_
11 23 10:21:36 251  4525  4585 E ActivityManager: 	    9 more_x000D_
11 23 10:21:36 251  4525  4585 E ActivityManager: Caused by: java io EOFException_x000D_
11 23 10:21:36 251  4525  4585 E ActivityManager: 	at java io DataInputStream readFully(DataInputStream java:200)_x000D_
11 23 10:21:36 251  4525  4585 E ActivityManager: 	at java io DataInputStream readInt(DataInputStream java:389)_x000D_
11 23 10:21:36 251  4525  4585 E ActivityManager: 	at android os ZygoteProcess attemptZygoteSendArgsAndGetResult(ZygoteProcess java:435)_x000D_
11 23 10:21:36 251  4525  4585 E ActivityManager: 	    12 more_x000D_
11 23 10:21:36 251  4525  4585 I ActivityManager: Force stopping android appid 1037 user 0: start failure_x000D_
11 23 10:21:36 251  4525  4565 W LocationProviderProxy: Odd  no component found for service com android location service FusedLocationProvider_x000D_
11 23 10:21:36 252  4525  4565 W GeocoderProxy: Odd  no component found for service com android location service GeocodeProvider_x000D_
11 23 10:21:36 253   697   697 E apexd   : Native process  zygote secondary  is crashing  Attempting a revert_x000D_
11 23 10:21:36 253  4525  4585 I ActivityManager: Killing 0:WebViewLoader arm64 v8a 1037 (adj  10000): stop android: start failure_x000D_
11 23 10:21:36 253   697   697 E apexd   : Rollback failed : Rollback requested  when there are no active sessions _x000D_
11 23 10:21:36 255  4431  4471 I OMXClient: IOmx service obtained_x000D_
11 23 10:21:36 255  1270  1498 I OMXMaster: makeComponentInstance(OMX qcom video decoder avc) in android hardwar process_x000D_
11 23 10:21:36 260   719   756 D Magisk  : proc monitor: nothing to monitor  wait for signal_x000D_
11 23 10:21:36 266  1270  1498 E         : Service not available yet_x000D_
11 23 10:21:36 267  1270  1498 D PlatformConfig: getInstance: Enter_x000D_
11 23 10:21:36 267  1270  1498 D PlatformConfig: getConfigStoreBool: vpp enable false  returning false _x000D_
11 23 10:21:36 270  1270  1498 D PlatformConfig: getInstance: Enter_x000D_
11 23 10:21:36 270  1270  1498 D PlatformConfig: getInt32 Config name: vidc dec log in value: 0_x000D_
11 23 10:21:36 270  1270  1498 D PlatformConfig: getInstance: Enter_x000D_
11 23 10:21:36 270  1270  1498 D PlatformConfig: getInt32 Config name: vidc dec log out value: 0_x000D_
11 23 10:21:36 270  1270  1498 D PlatformConfig: getInstance: Enter_x000D_
11 23 10:21:36 270  1270  1498 D PlatformConfig: getInt32 Config name: vidc dec sec prefetch size internal value: 31457280_x000D_
11 23 10:21:36 270  1270  1498 D PlatformConfig: getInstance: Enter_x000D_
11 23 10:21:36 270  1270  1498 D PlatformConfig: getInt32 Config name: vidc dec sec prefetch size output value: 3276800_x000D_
11 23 10:21:36 270  1270  1498 D PlatformConfig: getInstance: Enter_x000D_
11 23 10:21:36 270  1270  1498 D PlatformConfig: getInt32 Config name: vidc dec arb mode override value: 7_x000D_
11 23 10:21:36 270  1270  1498 D PlatformConfig: getInstance: Enter_x000D_
11 23 10:21:36 270  1270  1498 D PlatformConfig: getInt32: Returning default_x000D_
11 23 10:21:36 271  1270  1498 I OMX VDEC 1080P: component init: OMX qcom video decoder avc : fd 8_x000D_
11 23 10:21:36 271  1270  1498 E OMX VDEC 1080P: Unsupported output color format for c2d (2141391876)_x000D_
11 23 10:21:36 271  1270  1498 E OMX VDEC 1080P: Setting color format failed_x000D_
11 23 10:21:36 274  1270  1498 D PlatformConfig: getInstance: Enter_x000D_
11 23 10:21:36 274  1270  1498 D PlatformConfig: getInt32: Returning default_x000D_
11 23 10:21:36 274  1270  1498 D PlatformConfig: getInstance: Enter_x000D_
11 23 10:21:36 274  1270  1498 D PlatformConfig: getInt32: Returning default_x000D_
11 23 10:21:36 275  1270  1498 I OMX VDEC 1080P: omx vdec::component init() success : fd 8_x000D_
11 23 10:21:36 277  1270  1498 E OMX VDEC 1080P: Extension: OMX google android index storeANWBufferInMetadata not implemented_x000D_
11 23 10:21:36 277  1270  1498 E OMX VDEC 1080P: Extension: OMX google android index configureVideoTunnelMode not implemented_x000D_
11 23 10:21:36 277  1270  1498 E OMX VDEC 1080P: Extension: OMX google android index useAndroidNativeBuffer is supported_x000D_
11 23 10:21:36 277  1270  1498 E OMXNodeInstance: getParameter(0xf0341a84:qcom decoder avc    (0x7f000044)) ERROR: UnsupportedSetting(0x80001019)_x000D_
11 23 10:21:36 277  1270  1498 E OMXNodeInstance: getParameter(0xf0341a84:qcom decoder avc    (0x7f000044)) ERROR: UnsupportedSetting(0x80001019)_x000D_
11 23 10:21:36 277  1270  1498 E OMX VDEC 1080P: Extension: OMX google android index configureVideoTunnelMode not implemented_x000D_
11 23 10:21:36 277  1270  1498 E OMXNodeInstance: getExtensionIndex(0xf0341a84:qcom decoder avc  OMX google android index configureVideoTunnelMode) ERROR: NotImplemented(0x80001006)_x000D_
11 23 10:21:36 277  4431  4471 D MediaCodecInfo: detail feature tunneled playback wasn t present to remove_x000D_
11 23 10:21:36 278  1270  1498 E OMX VDEC 1080P: set parameter: Error: 0x80001019  setting param 0x7f00005d_x000D_
11 23 10:21:36 278  1270  1498 E OMXNodeInstance: setParameter(0xf0341a84:qcom decoder avc  OMX google android index allocateNativeHandle(0x7f00005d): Output:1 en 0) ERROR: UnsupportedSetting(0x80001019)_x000D_
11 23 10:21:36 278  1270  1498 E OMX VDEC 1080P: Extension: OMX google android index storeANWBufferInMetadata not implemented_x000D_
11 23 10:21:36 278  1270  1498 I OMX VDEC 1080P: omx vdec::component deinit() complete_x000D_
11 23 10:21:36 281  1270  1498 I OMX VDEC 1080P: Exit OMX vdec Destructor: fd 8_x000D_
11 23 10:21:36 317  1050  1050 I lowmemorykiller: lmkd data connection dropped_x000D_
11 23 10:21:36 317  1050  1050 I lowmemorykiller: closing lmkd data connection_x000D_
11 23 10:21:36 318   938  1351 E Dpps    : PostLightSensorValue():155 Sensor error reported ret  19_x000D_
11 23 10:21:36 318   937   937 E GnssHal GnssGeofencing: serviceDied  service died  cookie: 0  who: 0x77584768a0_x000D_
11 23 10:21:36 318   937   937 E LocSvc GnssInterface: serviceDied  service died  cookie: 0  who: 0x7758476660_x000D_
11 23 10:21:36 318   937   937 I LocSvc GnssInterface:      cleanup line 306 _x000D_
11 23 10:21:36 318   937   937 E LocSvc GnssBatchingInterface: serviceDied  service died  cookie: 0  who: 0x7758476920_x000D_
11 23 10:21:36 318   937   937 E LocSvc APIClientBase: locAPIStopSession:495  session  1 is not exist _x000D_
11 23 10:21:36 318   937  1115 D PerMgrLib: GPS unvoting for modem_x000D_
11 23 10:21:36 318   937   937 E LocSvc APIClientBase: locAPIStopSession:495  session  1 is not exist _x000D_
11 23 10:21:36 318  1038  1074 D PerMgrSrv: GPS removing vote for modem_x000D_
11 23 10:21:36 318  1038  1074 D PerMgrSrv: modem num voters is 5_x000D_
11 23 10:21:36 318   937  1118 I LocSvc api v02:      locClientSendReq line 2325 QMI LOC SET ENGINE LOCK REQ V02_x000D_
11 23 10:21:36 318   938  2603 I Dpps    : AlsDisable():240 Sensor Manager dead _x000D_
11 23 10:21:36 318   974   974 D DisplayFeature Hal: the service that register callback to displayfeature is died _x000D_
11 23 10:21:36 320  4431  4471 E ACodec  : No packages for calling UID_x000D_
11 23 10:21:36 320   538   538 I ServiceManager: service  overlay  died_x000D_
11 23 10:21:36 320   538   538 I ServiceManager: service  sensor privacy  died_x000D_
11 23 10:21:36 320   538   538 I ServiceManager: service  battery  died_x000D_
11 23 10:21:36 320   538   538 I ServiceManager: service  batteryproperties  died_x000D_
11 23 10:21:36 320   538   538 I ServiceManager: service  usagestats  died_x000D_
11 23 10:21:36 320   538   538 I ServiceManager: service  webviewupdate  died_x000D_
11 23 10:21:36 320   538   538 I ServiceManager: service  binder calls stats  died_x000D_
11 23 10:21:36 320   538   538 I ServiceManager: service  looper stats  died_x000D_
11 23 10:21:36 320   538   538 I ServiceManager: service  rollback  died_x000D_
11 23 10:21:36 320   538   538 I ServiceManager: service  bugreport  died_x000D_
11 23 10:21:36 320   538   538 I ServiceManager: service  sec key att app id provider  died_x000D_
11 23 10:21:36 320   538   538 I ServiceManager: service  scheduling policy  died_x000D_
11 23 10:21:36 320   538   538 I ServiceManager: service  telephony registry  died_x000D_
11 23 10:21:36 320   538   538 I ServiceManager: service  account  died_x000D_
11 23 10:21:36 320   538   538 I ServiceManager: service  content  died_x000D_
11 23 10:21:36 320   538   538 I ServiceManager: service  settings  died_x000D_
11 23 10:21:36 320   538   538 I ServiceManager: service  device config  died_x000D_
11 23 10:21:36 320   538   538 I ServiceManager: service  dropbox  died_x000D_
11 23 10:21:36 320   538   538 I ServiceManager: service  external vibrator service  died_x000D_
11 23 10:21:36 320   538   538 I ServiceManager: service  vibrator  died_x000D_
11 23 10:21:36 320   538   538 I ServiceManager: service  dynamic system  died_x000D_
11 23 10:21:36 320   538   538 I ServiceManager: service  consumer ir  died_x000D_
11 23 10:21:36 320   538   538 I ServiceManager: service  bsgamepad  died_x000D_
11 23 10:21:36 320   538   538 I ServiceManager: service  alarm  died_x000D_
11 23 10:21:36 320   538   538 I ServiceManager: service  inputflinger  died_x000D_
11 23 10:21:36 320   538   538 I ServiceManager: service  input  died_x000D_
11 23 10:21:36 320   538   538 I ServiceManager: service  window  died_x000D_
11 23 10:21:36 320   538   538 I ServiceManager: service  mount  died_x000D_
11 23 10:21:36 320   538   538 I ServiceManager: service  network watchlist  died_x000D_
11 23 10:21:36 320   538   538 I ServiceManager: service  pinner  died_x000D_
11 23 10:21:36 320   538   538 I ServiceManager: service  input method  died_x000D_
11 23 10:21:36 320   538   538 I ServiceManager: service  accessibility  died_x000D_
11 23 10:21:36 320   538   538 I ServiceManager: service  storagestats  died_x000D_
11 23 10:21:36 320   538   538 I ServiceManager: service  uimode  died_x000D_
11 23 10:21:36 320   538   538 I ServiceManager: service  lock settings  died_x000D_
11 23 10:21:36 320   538   538 I ServiceManager: service  testharness  died_x000D_
11 23 10:21:36 320   538   538 I ServiceManager: service  oem lock  died_x000D_
11 23 10:21:36 320   538   538 I ServiceManager: service  deviceidle  died_x000D_
11 23 10:21:36 320   538   538 I ServiceManager: service  device policy  died_x000D_
11 23 10:21:36 320   538   538 I ServiceManager: service  persistent data block  died_x000D_
11 23 10:21:36 320   538   538 I ServiceManager: service  statusbar  died_x000D_
11 23 10:21:36 320   538   538 I ServiceManager: service  app prediction  died_x000D_
11 23 10:21:36 320   538   538 I ServiceManager: service  content suggestions  died_x000D_
11 23 10:21:36 321   538   538 I ServiceManager: service  network management  died_x000D_
11 23 10:21:36 321   538   538 I ServiceManager: service  ipsec  died_x000D_
11 23 10:21:36 321   538   538 I ServiceManager: service  textservices  died_x000D_
11 23 10:21:36 321   538   538 I ServiceManager: service  textclassification  died_x000D_
11 23 10:21:36 321   538   538 I ServiceManager: service  network score  died_x000D_
11 23 10:21:36 321   538   538 I ServiceManager: service  netstats  died_x000D_
11 23 10:21:36 321   538   538 I ServiceManager: service  netpolicy  died_x000D_
11 23 10:21:36 321   538   538 I ServiceManager: service  wifi  died_x000D_
11 23 10:21:36 321   538   538 I ServiceManager: service  wifiaware  died_x000D_
11 23 10:21:36 321   538   538 I ServiceManager: service  wifirtt  died_x000D_
11 23 10:21:36 321   538   538 I ServiceManager: service  wifiscanner  died_x000D_
11 23 10:21:36 321   538   538 I ServiceManager: service  wifip2p  died_x000D_
11 23 10:21:36 321   538   538 I ServiceManager: service  ethernet  died_x000D_
11 23 10:21:36 321   538   538 I ServiceManager: service  connectivity  died_x000D_
11 23 10:21:36 321   538   538 I ServiceManager: service  servicediscovery  died_x000D_
11 23 10:21:36 321   538   538 I ServiceManager: service  system update  died_x000D_
11 23 10:21:36 321   538   538 I ServiceManager: service  updatelock  died_x000D_
11 23 10:21:36 321   538   538 I ServiceManager: service  notification  died_x000D_
11 23 10:21:36 321   538   538 I ServiceManager: service  devicestoragemonitor  died_x000D_
11 23 10:21:36 321   538   538 I ServiceManager: service  location  died_x000D_
11 23 10:21:36 321   538   538 I ServiceManager: service  country detector  died_x000D_
11 23 10:21:36 321   538   538 I ServiceManager: service  time detector  died_x000D_
11 23 10:21:36 321   538   538 I ServiceManager: service  search  died_x000D_
11 23 10:21:36 321   538   538 I ServiceManager: service  wallpaper  died_x000D_
11 23 10:21:36 321   538   538 I ServiceManager: service  DockObserver  died_x000D_
11 23 10:21:36 321   538   538 I ServiceManager: service  audio  died_x000D_
11 23 10:21:36 321   538   538 I ServiceManager: service  midi  died_x000D_
11 23 10:21:36 321   538   538 I ServiceManager: service  adb  died_x000D_
11 23 10:21:36 321   538   538 I ServiceManager: service  usb  died_x000D_
11 23 10:21:36 321   538   538 I ServiceManager: service  serial  died_x000D_
11 23 10:21:36 321   538   538 I ServiceManager: service  hardware properties  died_x000D_
11 23 10:21:36 321   538   538 I ServiceManager: service  color display  died_x000D_
11 23 10:21:36 321   538   538 I ServiceManager: service  jobscheduler  died_x000D_
11 23 10:21:36 321   538   538 I ServiceManager: service  trust  died_x000D_
11 23 10:21:36 321   538   538 I ServiceManager: service  soundtrigger  died_x000D_
11 23 10:21:36 321   538   538 I ServiceManager: service  security  died_x000D_
11 23 10:21:36 321   538   538 I ServiceManager: service  MiuiInit  died_x000D_
11 23 10:21:36 321  4429  4888 W AudioFlinger: power manager service died    _x000D_
11 23 10:21:36 321   538   538 I ServiceManager: service  MiuiBackup  died_x000D_
11 23 10:21:36 321   538   538 I ServiceManager: service  locationpolicy  died_x000D_
11 23 10:21:36 321   538   538 I ServiceManager: service  perfshielder  died_x000D_
11 23 10:21:36 321   538   538 I ServiceManager: service  ProcessManager  died_x000D_
11 23 10:21:36 321  4429  4888 W AudioFlinger: power manager service died    _x000D_
11 23 10:21:36 321   538   538 I ServiceManager: service  whetstone activity  died_x000D_
11 23 10:21:36 321   538   538 I ServiceManager: service  backup  died_x000D_
11 23 10:21:36 321   538   538 I ServiceManager: service  appwidget  died_x000D_
11 23 10:21:36 321   538   538 I ServiceManager: service  role  died_x000D_
11 23 10:21:36 321  4429  4888 W AudioFlinger: power manager service died    _x000D_
11 23 10:21:36 321   538   538 I ServiceManager: service  voiceinteraction  died_x000D_
11 23 10:21:36 321   538   538 I ServiceManager: service  diskstats  died_x000D_
11 23 10:21:36 321  4429  4888 W AudioFlinger: power manager service died    _x000D_
11 23 10:21:36 321   538   538 I ServiceManager: service  runtime  died_x000D_
11 23 10:21:36 321   538   538 I ServiceManager: service  network time update service  died_x000D_
11 23 10:21:36 321   538   538 I ServiceManager: service  dreams  died_x000D_
11 23 10:21:36 321   538   538 I ServiceManager: service  graphicsstats  died_x000D_
11 23 10:21:36 321   538   538 I ServiceManager: service  print  died_x000D_
11 23 10:21:36 321   538   538 I ServiceManager: service  companiondevice  died_x000D_
11 23 10:21:36 321   538   538 I ServiceManager: service  restrictions  died_x000D_
11 23 10:21:36 321   538   538 I ServiceManager: service  media session  died_x000D_
11 23 10:21:36 321   538   538 I ServiceManager: service  media resource monitor  died_x000D_
11 23 10:21:36 321   538   538 I ServiceManager: service  media router  died_x000D_
11 23 10:21:36 321   538   538 I ServiceManager: service  fingerprint  died_x000D_
11 23 10:21:36 321   538   538 I ServiceManager: service  biometric  died_x000D_
11 23 10:21:36 321   538   538 I ServiceManager: service  shortcut  died_x000D_
11 23 10:21:36 321   538   538 I ServiceManager: service  launcherapps  died_x000D_
11 23 10:21:36 321   538   538 I ServiceManager: service  crossprofileapps  died_x000D_
11 23 10:21:36 321   538   538 I ServiceManager: service  media projection  died_x000D_
11 23 10:21:36 321   538   538 I ServiceManager: service  slice  died_x000D_
11 23 10:21:36 321   538   538 I ServiceManager: service  media camera proxy  died_x000D_
11 23 10:21:36 321   538   538 I ServiceManager: service  statscompanion  died_x000D_
11 23 10:21:36 321   538   538 I ServiceManager: service  incidentcompanion  died_x000D_
11 23 10:21:36 321   538   538 I ServiceManager: service  imms  died_x000D_
11 23 10:21:36 321   538   538 I ServiceManager: service  clipboard  died_x000D_
11 23 10:21:36 321   538   538 I ServiceManager: service  app binding  died_x000D_
11 23 10:21:36 321   538   538 I ServiceManager: service  autofill  died_x000D_
11 23 10:21:36 321  4431  4471 I OMXClient: IOmx service obtained_x000D_
11 23 10:21:36 321   538   538 I ServiceManager: service  connmetrics  died_x000D_
11 23 10:21:36 321   538   538 I ServiceManager: service  netd listener  died_x000D_
11 23 10:21:36 321   538   538 I ServiceManager: service  bluetooth manager  died_x000D_
11 23 10:21:36 321   538   538 I ServiceManager: service  contexthub  died_x000D_
11 23 10:21:36 321   538   538 I ServiceManager: service  display  died_x000D_
11 23 10:21:36 321   538   538 I ServiceManager: service  dbinfo  died_x000D_
11 23 10:21:36 321   538   538 I ServiceManager: service  cpuinfo  died_x000D_
11 23 10:21:36 321   538   538 I ServiceManager: service  permission  died_x000D_
11 23 10:21:36 321   538   538 I ServiceManager: service  processinfo  died_x000D_
11 23 10:21:36 321   538   538 I ServiceManager: service  package  died_x000D_
11 23 10:21:36 321   538   538 I ServiceManager: service  package native  died_x000D_
11 23 10:21:36 321   538   538 I ServiceManager: service  otadexopt  died_x000D_
11 23 10:21:36 321   538   538 I ServiceManager: service  user  died_x000D_
11 23 10:21:36 321   538   538 I ServiceManager: service  sensorservice  died_x000D_
11 23 10:21:36 321   538   538 I ServiceManager: service  device identifiers  died_x000D_
11 23 10:21:36 321   538   538 I ServiceManager: service  uri grants  died_x000D_
11 23 10:21:36 321   538   538 I ServiceManager: service  activity task  died_x000D_
11 23 10:21:36 321  1270  1498 I OMXMaster: makeComponentInstance(OMX google h264 decoder) in android hardwar process_x000D_
11 23 10:21:36 321   538   538 I ServiceManager: service  activity  died_x000D_
11 23 10:21:36 321   538   538 I ServiceManager: service  procstats  died_x000D_
11 23 10:21:36 321   538   538 I ServiceManager: service  batterystats  died_x000D_
11 23 10:21:36 321   538   538 I ServiceManager: service  meminfo  died_x000D_
11 23 10:21:36 321   538   538 I ServiceManager: service  gfxinfo  died_x000D_
11 23 10:21:36 321   538   538 I ServiceManager: service  appops  died_x000D_
11 23 10:21:36 321   538   538 I ServiceManager: service  power  died_x000D_
11 23 10:21:36 321   538   538 I ServiceManager: service  thermalservice  died_x000D_
11 23 10:21:36 321   538   538 I ServiceManager: service  recovery  died_x000D_
11 23 10:21:36 322  1263  2613 W statsd  : statscompanion service died_x000D_
11 23 10:21:36 322  1263  2613 W statsd  : Reset statsd upon system server restarts _x000D_
 </t>
  </si>
  <si>
    <t>ElderDrivers-EdXposed-642</t>
  </si>
  <si>
    <t>[BUG] 0.5.0.6_4568导致相机崩溃</t>
  </si>
  <si>
    <t xml:space="preserve">       What happened   _x000D_
                                 _x000D_
_x000D_
  Xposed     Xposed Module List  _x000D_
wexposed            3000           2 4        _x000D_
  Magisk     Magisk Module List  _x000D_
Pixel3 Volte Enabler RiruV22 0 Riru location report enabler systemless hosts_x000D_
  EdXposed Riru   Versions of EdXposed and Riru  _x000D_
EdXposed: YAHFA 0 5 0 6 4568 _x000D_
Riru:22 0_x000D_
_x000D_
    Logcat Logcat  _x000D_
          beginning of head_x000D_
EdXposed Log_x000D_
Powered by Log Catcher_x000D_
QQ support group: 855219808_x000D_
Telegram support group:  Code Of MeowCat_x000D_
Telegram channel:  EdXposed_x000D_
          beginning of information_x000D_
Manufacturer: Google_x000D_
Brand: google_x000D_
Device: blueline_x000D_
Product: blueline_x000D_
Model: Pixel 3_x000D_
Fingerprint: google blueline blueline:11 RP1A 201105 002 6869500:user release keys_x000D_
ROM description: blueline user 11 RP1A 201105 002 6869500 release keys_x000D_
Architecture: arm64 v8a_x000D_
Android build: RP1A 201105 002_x000D_
Android version: 11_x000D_
Android sdk: 30_x000D_
EdXposed version: v0 5 0 6 4568 android r (YAHFA)_x000D_
EdXposed api: 91 0_x000D_
Riru version:  ()_x000D_
Riru api: _x000D_
Magisk: 21 1 (21100)_x000D_
          beginning of main_x000D_
          beginning of system_x000D_
11 23 13:56:37 323   990   990 I EdXposed: onModuleLoaded: welcome to EdXposed _x000D_
11 23 13:56:37 323   990   990 I EdXposed: Start to install inline hooks_x000D_
11 23 13:56:37 323   990   990 I EdXposed: Using api level 30_x000D_
11 23 13:56:37 323   990   990 I EdXposed: Start to install Riru hook_x000D_
11 23 13:56:37 349   990   990 I EdXposed: Riru hooks installed_x000D_
11 23 13:56:37 377   990   990 I EdXposed: using installer org meowcat edxposed manager_x000D_
11 23 13:56:37 378   990   990 I EdXposed: data path prefix:  data user de 0 _x000D_
11 23 13:56:37 378   990   990 I EdXposed:   application list mode: false_x000D_
11 23 13:56:37 378   990   990 I EdXposed:     using whitelist: false_x000D_
11 23 13:56:37 378   990   990 I EdXposed:   dynamic modules mode: false_x000D_
11 23 13:56:37 378   990   990 I EdXposed:   resources hook: false_x000D_
11 23 13:56:37 378   990   990 I EdXposed:   deopt boot image: false_x000D_
11 23 13:56:37 378   990   990 I EdXposed:   no module log: false_x000D_
11 23 13:56:37 378   990   990 I EdXposed:   hidden api bypass: true_x000D_
11 23 13:56:37 378   990   990 I EdXposed: ART hooks installed_x000D_
11 23 13:56:37 479   991   991 I EdXposed: onModuleLoaded: welcome to EdXposed _x000D_
11 23 13:56:37 479   991   991 I EdXposed: Start to install inline hooks_x000D_
11 23 13:56:37 479   991   991 I EdXposed: Using api level 30_x000D_
11 23 13:56:37 479   991   991 I EdXposed: Start to install Riru hook_x000D_
11 23 13:56:37 506   991   991 I EdXposed: Riru hooks installed_x000D_
11 23 13:56:37 541   991   991 I EdXposed: using installer org meowcat edxposed manager_x000D_
11 23 13:56:37 541   991   991 I EdXposed: data path prefix:  data user de 0 _x000D_
11 23 13:56:37 541   991   991 I EdXposed:   application list mode: false_x000D_
11 23 13:56:37 541   991   991 I EdXposed:     using whitelist: false_x000D_
11 23 13:56:37 541   991   991 I EdXposed:   dynamic modules mode: false_x000D_
11 23 13:56:37 541   991   991 I EdXposed:   resources hook: false_x000D_
11 23 13:56:37 541   991   991 I EdXposed:   deopt boot image: false_x000D_
11 23 13:56:37 541   991   991 I EdXposed:   no module log: false_x000D_
11 23 13:56:37 541   991   991 I EdXposed:   hidden api bypass: true_x000D_
11 23 13:56:37 542   991   991 I EdXposed: ART hooks installed_x000D_
11 23 13:56:39 037   990   990 I EdXposed Bridge: Loading modules from  data app   HiHvtv840BseRQSyOf3l2g   com fkzhang wechatxposed CupScQoFdrRWIIe iZvNHw   base apk_x000D_
11 23 13:56:39 096   990   990 I EdXposed Bridge:   Loading class com fkzhang wechatxposed XposedInit_x000D_
11 23 13:56:39 097   990   990 I EdXposed Bridge: Loading modules from  data app   ruwChD91m8nlNl1WtQWvNw   org meowcat edxposed manager uRWNWG Sse9vDnloeaw1HA   base apk_x000D_
11 23 13:56:39 323   990   990 I EdXposed Bridge:   Loading class org meowcat edxposed manager xposed Enhancement_x000D_
11 23 13:56:43 554   991   991 W EdXposed: skip injecting into WebViewLoader armeabi v7a because it s isolated_x000D_
11 23 13:56:43 554   991   991 W EdXposed: skip injecting xposed into WebViewLoader armeabi v7a because it s whitelisted blacklisted_x000D_
11 23 13:56:43 583   990   990 W EdXposed: skip injecting into WebViewLoader arm64 v8a because it s isolated_x000D_
11 23 13:56:43 583   990   990 W EdXposed: skip injecting xposed into WebViewLoader arm64 v8a because it s whitelisted blacklisted_x000D_
11 23 13:56:43 810   991   991 W EdXposed: skip injecting into webview zygote because it s a child zygote_x000D_
11 23 13:56:43 810   991   991 W EdXposed: skip injecting xposed into webview zygote because it s whitelisted blacklisted_x000D_
11 23 13:56:49 857   991   991 I EdXposed Bridge: Loading modules from  data app   HiHvtv840BseRQSyOf3l2g   com fkzhang wechatxposed CupScQoFdrRWIIe iZvNHw   base apk_x000D_
11 23 13:56:49 944   991   991 I EdXposed Bridge:   Loading class com fkzhang wechatxposed XposedInit_x000D_
11 23 13:56:49 945   991   991 I EdXposed Bridge: Loading modules from  data app   ruwChD91m8nlNl1WtQWvNw   org meowcat edxposed manager uRWNWG Sse9vDnloeaw1HA   base apk_x000D_
11 23 13:56:50 181   991   991 I EdXposed Bridge:   Loading class org meowcat edxposed manager xposed Enhancement_x000D_
11 23 13:56:54 091  3939  3939 I EdXposed Bridge: com tencent mm loading com fkzhang wechatxposed_x000D_
11 23 13:56:57 132  3939  3939 I EdXposed Bridge: com fkzhang wechatxposed  WechatXposed (2 17 77): wechat version 7 0 17(1701)_x000D_
11 23 13:56:58 477  3939  4945 I EdXposed Bridge: feature loaded: base 125_x000D_
11 23 13:57:00 438  5613  5613 D EdXposedManager: EdXposed is not active_x000D_
11 23 13:57:00 438  5613  5613 D EdXposedManager: EdXposed is not active_x000D_
11 23 13:57:00 439  5613  5613 D EdXposedManager: ApplicationList: Force add modules to list_x000D_
11 23 13:57:00 842  5613  5613 D EdXposedManager: EdXposed is not active_x000D_
11 23 13:57:01 766  3939  5291 I EdXposed Bridge:  X   2 17 2 14 (b17)(4 75) p_x000D_
11 23 13:57:03 886  3939  5291 I EdXposed Bridge: Wechat: 7 0 17 1701  64bit   PLAY  (0x27001141) 4cbfc691 _x000D_
          beginning of crash_x000D_
11 23 13:57:26 114  3939  5291 I EdXposed Bridge: failed to connect to www3 dataprajna net 122 226 77 174 (port 9180) from  192 168 1 181 (port 40026) after 5000ms_x000D_
11 23 13:58:48 063  5613  5701 I EdXposedManager: RepoLoader    Downloaded https:  dl xda xposed info repo full xml gz with status 2 (error:    https:  dl xda xposed info repo full xml gz   : Software caused connection abort)  size 1146627 bytes_x000D_
11 23 14:00:02 490  3939  4945 I EdXposed Bridge: load transcoder 4_x000D_
11 23 14:00:08 598  5613  5613 D EdXposedManager: EdXposed is not active_x000D_
11 23 14:00:20 390  5613  5766 D EdXposedManager: ApplicationList    generateCheckedList: generate done_x000D_
11 23 14:00:23 991  5613  5613 D EdXposedManager: EdXposed is not active_x000D_
11 23 14:00:23 993  5613  5613 I EdXposedManager: ModuleUtil    updating modules list_x000D_
11 23 14:00:23 993  5613  5613 D EdXposedManager: EdXposed is not active_x000D_
11 23 14:01:40 243   990   990 E EdXposed: can t parse  data system_x000D_
11 23 14:01:40 243   990   990 W EdXposed: skip injecting xposed into android:ui because it s whitelisted blacklisted_x000D_
_x000D_
_x000D_
               log       It can help us to locate issue  must use our logcat module_x000D_
</t>
  </si>
  <si>
    <t>TeamNewPipe-NewPipe-4972</t>
  </si>
  <si>
    <t>Thumbnails flicker after swiping to "What's New" tab</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</si>
  <si>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4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_x000D_
1  Enable  what s new  tab_x000D_
2  Add some other tabs to allow swiping between them_x000D_
3  Swipe to a tab other than  what s new _x000D_
4  Swipe back to  what s new  tab_x000D_
_x000D_
     If you can t cause the bug to show up again reliably (and hence don t have a proper set of steps to give us)  please still try to give as many details as possible on how you think you encountered the bug     _x000D_
_x000D_
_x000D_
_x000D_
     Actual behaviour (https:  github com TeamNewPipe NewPipe pull 4893)_x000D_
     Tell us what happens with the steps given above     _x000D_
_x000D_
All thumbnails in the what s new tab flicker off on (or refresh) as soon as the swipe animation finishes_x000D_
_x000D_
    Expected behavior_x000D_
     Tell us what you expect to happen     _x000D_
_x000D_
Thumbnails are not refreshed since no refresh action is performed by swiping horizontally between tabs_x000D_
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9_x000D_
   Device model: Pixel 2_x000D_
</t>
  </si>
  <si>
    <t>Anuken-Mindustry-3534</t>
  </si>
  <si>
    <t>crash with cyclone and phase wall</t>
  </si>
  <si>
    <t xml:space="preserve">OS: Windows 10 x64_x000D_
_x000D_
Version: beta build 115_x000D_
_x000D_
Game crashes when cyclone is shooting phase wall and cyclone breaks from phase wall when builder units try to rebuild cyclone_x000D_
 crash report 11 22 2020 23 59 19 txt (https:  github com Anuken Mindustry files 5580099 crash report 11 22 2020 23 59 19 txt)_x000D_
_x000D_
 Place an X (no spaces) between the brackets to confirm that you have read the line below    _x000D_
   x    I have updated to the latest release (https:  github com Anuken Mindustry releases) to make sure my issue has not been fixed   _x000D_
   x    I have searched the closed and open issues to make sure that this problem has not already been reported   _x000D_
</t>
  </si>
  <si>
    <t>Anuken-Mindustry-3533</t>
  </si>
  <si>
    <t>OS: Windows 10 x64 Version: beta build 115</t>
  </si>
  <si>
    <t>TeamNewPipe-NewPipe-4968</t>
  </si>
  <si>
    <t>Importing Youtube Subscriptions doesn't work</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</si>
  <si>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(the latest on F Droid  not my fault if there are newer in other places)      Check https:  github com TeamNewPipe NewPipe releases    _x000D_
   x  I checked  but didn t find any duplicates (open OR closed) of this issue in the repo (i did check  i hope i didnt skip any)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the second tab that has  Subscriptions  _x000D_
2  Press on Youtube under  Import From  _x000D_
3  Go to the URL  and you ll see it sends to channel list _x000D_
_x000D_
     If you can t cause the bug to show up again reliably (and hence don t have a proper set of steps to give us)  please still try to give as many details as possible on how you think you encountered the bug     _x000D_
_x000D_
_x000D_
    Actual behaviour_x000D_
After clicking on the link it sends to Channel list that your account has instead of downloading the file _x000D_
_x000D_
_x000D_
    Expected behavior_x000D_
I hope this is fixable  if it s from Youtube s end then that s unfortunate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No screenshots  everything is obvious _x000D_
_x000D_
_x000D_
    Logs_x000D_
     If your bug includes a crash (where you re shown the Error Report page with a bunch of info)  tap on  Copy formatted report  at the bottom and paste it here:    _x000D_
_x000D_
     That s right  here     _x000D_
No logs _x000D_
_x000D_
_x000D_
     Please fill this out when you do not provide a log generate by NewPipe    _x000D_
_x000D_
    Device info_x000D_
_x000D_
   Android version Custom ROM version: LineageOS 14 1   Android 7 1 2_x000D_
   Device model: GT P5210   Galaxy Tab 3 10 1_x000D_
_x000D_
</t>
  </si>
  <si>
    <t>cgeo-cgeo-9430</t>
  </si>
  <si>
    <t xml:space="preserve">
  Describe the bug:  
A clear and concise summarized description of what the bug is 
cheo immediately crashes when opening the live map view 
  To Reproduce:  
Steps to reproduce the behavior:
1  Start cgeo
2  Open Live Map
  Actual behavior state after performing these steps:  
Describe the actual issue problem behavior in detail 
After Update to 2020 11 22:
1  Message: Google Maps not available (that s right because no Google Services installed)
2  Message: Switch to OpenStreetMap (okay)
3  c:geo crashes
  Expected behavior state after performing these steps:  
Describe what you expected to happen instead 
Show Live Map   
  Version of c:geo used:  
You will find the c:geo version in c:geo Menu    About c:geo
2020 11 22
  Is the problem reproducible:  
Yes
  Screenshots:  
You may attach screenshots if applicable and helpful to explain your problem
  System information:  
Attach system information here if available (see c:geo Menu    About c:geo    Swipe right to System)
Keep the apostrophe at beginning and end to have it properly formatted
    System information    
Device: SM G900F (klte  samsung)
Android version: 10
Android build: lineage klte userdebug 10 QQ3A 200805 001 26df6ccfc3
c:geo version: 2020 11 22
Google Play services: unavailable
Low power mode: inactive
Compass capabilities: yes
Rotation vector sensor: present
Orientation sensor: present
Magnetometer   Accelerometer sensor: present
Direction sensor used: rotation vector
Hide caches: own found disabled archived
Hide waypoints: visited
HW acceleration: enabled (default state)
System language: de DE
System date format: dd MM yy
Debug mode active: no
System internal c:geo dir:  data user 0 cgeo geocaching (5 0 GB free) internal
User storage c:geo dir:  storage emulated 0 cgeo (5 0 GB free) external non removable
Geocache data:  storage emulated 0 Android data cgeo geocaching files GeocacheData (5 0 GB free) external non removable
Database:  data user 0 cgeo geocaching databases data (102 3 MB) on system internal storage
GPX import path:  storage emulated 0 cgeo gpx
GPX export path:  storage emulated 0 cgeo gpx
Offline maps path:  storage 2103 2227 cgeo maps
Map render theme path: 
Live map mode: true
Global filter: display all caches
Fine location permission: granted
Write external storage permission: granted
Geocaching sites enabled:
   geocaching com: Logged in (Anmeldung OK)   BASIC
Geocaching com date format: yyyy MM dd
Installed c:geo plugins:  none
BRouter connection available: false
    End of system information    
  Additional context:  
e g  Reference to other issues  projects  sources  etc 
  I deleted all offline maps and downloaded them again from within c:geo  but that didn t help 
  Then I copied this one map to  storage emulated 0 cgeo maps  and set this as offline map folder  This also didn t work  c:geo stll crashes when opening live map 
</t>
  </si>
  <si>
    <t>Anuken-Mindustry-3529</t>
  </si>
  <si>
    <t>Campaign sector progress deleted</t>
  </si>
  <si>
    <t xml:space="preserve">  Platform  :  Linux _x000D_
Ubuntu 18 04_x000D_
_x000D_
  Build  :  The build number under the title in the main menu  Required   LATEST  IS NOT A VERSION  I NEED THE EXACT BUILD NUMBER OF YOUR GAME  _x000D_
alpha build 1 5_x000D_
_x000D_
  Issue  :  Explain your issue in detail  _x000D_
I played in a sector bottom left of Ground Zero and captured it  At some point (I don t remember exactly when) the  Saving     text appeared at the bottom of the screen and stayed there  After afking for a while and unlocking some of the tech tree I clicked  save and quit  to leave the game  and after I come back it was as if I had never visited that sector before  Ground Zero still looked the same  and my tech tree progress was still there but that sector appeared locked _x000D_
_x000D_
_x000D_
  Steps to reproduce  :  How you happened across the issue  and what exactly you did to make the bug happen  _x000D_
Play sector_x000D_
If  saving     text appears on bottom screen and doesn t leave _x000D_
 Save and quit _x000D_
progress in that sector is deleted but tech tree is still kept_x000D_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broken zip (https:  github com Anuken Mindustry files 5579759 broken zip)_x000D_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</si>
  <si>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TeamNewPipe-NewPipe-4963</t>
  </si>
  <si>
    <t>Android 4.4.4 : no video in the app or in fullscreen ; floating player okay, sound okay</t>
  </si>
  <si>
    <t xml:space="preserve">    Checklist_x000D_
     The first box has been checked for you to show you how it is done     _x000D_
_x000D_
   x  I am using the latest version   0 20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Install NewPipe 0 20 3_x000D_
2  Start any video_x000D_
_x000D_
    Actual behaviour_x000D_
3  No video is displayed in the app  Sound is fine though  On picture controls (pause  skip in timeline) are fine too _x000D_
4  Switch to fullscreen : still no video_x000D_
5  Switch to floating player : video is here  _x000D_
_x000D_
    Expected behavior_x000D_
Video is displayed in the app and in fullscreen _x000D_
_x000D_
    Screenshots Screen recording_x000D_
Imagine a black screen : )_x000D_
_x000D_
    Logs_x000D_
No crash  no log_x000D_
_x000D_
    Device info_x000D_
_x000D_
   Android version Custom ROM version: Android 4 4 4   CyanogenMod 11_x000D_
   Device model: Acer Iconia Tab A210_x000D_
_x000D_
Yep  I know this is ancient hardware  I haven t found any more recent ROM (AFAIK it s because Tegra support has been dropped starting with Android 5)  but I d love to use this old tablet as a video player  as it s got a rather big screen and pretty powerful speakers  : )</t>
  </si>
  <si>
    <t>Anuken-Mindustry-3525</t>
  </si>
  <si>
    <t>Plastanium conveyors bug</t>
  </si>
  <si>
    <t xml:space="preserve">Platform: Windows_x000D_
_x000D_
Build: 115_x000D_
_x000D_
Issue: Half of resources in a batch on plast conveyors can t pass through sorters_x000D_
_x000D_
Steps to reproduce: Place vault  sorters  plast conveyors like on screenshot and some input things _x000D_
  image (https:  user images githubusercontent com 60311526 99906098 19b00b80 2ce6 11eb 9537 0de3b2369feb png)_x000D_
_x000D_
Link(s) to mod(s) used: no mods_x000D_
_x000D_
Save file:_x000D_
 save zip (https:  github com Anuken Mindustry files 5579617 save zip)_x000D_
_x000D_
Crash report: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</si>
  <si>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Anuken-Mindustry-3523</t>
  </si>
  <si>
    <t>Blocked enemy ground unit paths</t>
  </si>
  <si>
    <t xml:space="preserve">  Platform  :  Android iOS Mac Windows Linux _x000D_
Windows 64 bit_x000D_
_x000D_
  Build  :  The build number under the title in the main menu  Required   LATEST  IS NOT A VERSION  I NEED THE EXACT BUILD NUMBER OF YOUR GAME  _x000D_
Beta 115_x000D_
_x000D_
  Issue  :  Explain your issue in detail  _x000D_
In the enemy base adjacent to Frozen Forest  the enemy ground units can t make their way to my base  so crowd right beside the enemy cores  I got to the point where there was over 1 000 enemies all just waiting beside the enemy cores  They do this because the AI builds in such a way that their paths end up completely blocked  This has happened a couple times _x000D_
_x000D_
  Steps to reproduce  :  How you happened across the issue  and what exactly you did to make the bug happen  _x000D_
Simply go into the enemy base sector adjacent to Frozen Forest (Sector 214)  then wait  You ll eventually see that the ground enemies don t come towards the core because their paths are blocked _x000D_
_x000D_
  Link(s) to mod(s) used  :  The mod repositories or zip files that are related to the issue  if applicable  _x000D_
No mods used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Mindustry Save zip (https:  github com Anuken Mindustry files 5579499 Mindustry Save zip)_x000D_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</si>
  <si>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nextcloud-android-7438</t>
  </si>
  <si>
    <t>App photos crash</t>
  </si>
  <si>
    <t xml:space="preserve">Hi guys  Thanks for the amazing work  _x000D_
_x000D_
I am facing two problems _x000D_
1  The app is loading only 39 photos for some reason and whenever I refresh asking for more it get stuck loading  _x000D_
2  The app crashes always when I navigate files  At first I thought it was because I don t have GMS (I have HMS) but then I tried it on my tablet with GMS and the same happens  _x000D_
_x000D_
Nextcloud is sitting on a raspberry pi 4_x000D_
_x000D_
             CAUSE OF ERROR             _x000D_
_x000D_
android app RemoteServiceException: Context startForegroundService() did not then call Service startForeground(): ServiceRecord d4d22c3 u0 com nextcloud client  media PlayerService _x000D_
	at android app ActivityThread H handleMessage(ActivityThread java:2400)_x000D_
	at android os Handler dispatchMessage(Handler java:110)_x000D_
	at android os Looper loop(Looper java:219)_x000D_
	at android app ActivityThread main(ActivityThread java:8349)_x000D_
	at java lang reflect Method invoke(Native Method)_x000D_
	at com android internal os RuntimeInit MethodAndArgsCaller run(RuntimeInit java:513)_x000D_
	at com android internal os ZygoteInit main(ZygoteInit java:1055)_x000D_
_x000D_
             APP INFORMATION             _x000D_
ID: com nextcloud client_x000D_
Version: 30140090_x000D_
Build flavor: gplay_x000D_
_x000D_
             DEVICE INFORMATION             _x000D_
Brand: HUAWEI_x000D_
Device: HWLIO_x000D_
Model: LIO L29_x000D_
Id: HUAWEILIO L29_x000D_
Product: LIO L29_x000D_
_x000D_
             FIRMWARE             _x000D_
SDK: 29_x000D_
Release: 10_x000D_
Incremental: 10 1 0 270C432_x000D_
</t>
  </si>
  <si>
    <t>nextcloud-android-7436</t>
  </si>
  <si>
    <t xml:space="preserve">App crash when open autoupload screen </t>
  </si>
  <si>
    <t xml:space="preserve">    Steps to reproduce_x000D_
1  I set up that remote auto upload photosw will be kept by conflicts_x000D_
2  I restarted my phone (xiaomi mi 9t pro)  because the app still asking me if I want to keep a image local or remote _x000D_
3  After restarting I started the app and try to open autoupload then the app crashed_x000D_
_x000D_
    Expected behaviour_x000D_
  Tell us what should happen_x000D_
_x000D_
    Actual behaviour_x000D_
  I expected that the autoupload screen to load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10 QKQ1 190825 002_x000D_
Device model: _x000D_
MI 9t Pro _x000D_
Stock or customized system:_x000D_
MIUI 12 0 3 0 (QFKEUXM) _x000D_
Nextcloud app version:_x000D_
3 14 0_x000D_
Nextcloud server version:_x000D_
15 0 5 3_x000D_
Reverse proxy:_x000D_
_x000D_
    Logs_x000D_
     Web server error log_x000D_
   _x000D_
Insert your webserver log here_x000D_
   _x000D_
_x000D_
     Nextcloud log (data nextcloud log)_x000D_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</si>
  <si>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nextcloud-android-7435</t>
  </si>
  <si>
    <t>crash when opening small mp4 movie</t>
  </si>
  <si>
    <t xml:space="preserve">    Steps to reproduce_x000D_
1  Add attached video file to shared nextcloud folder_x000D_
2  Open the video in nextcloud app_x000D_
3  _x000D_
_x000D_
_x000D_
_x000D_
    Expected behaviour_x000D_
  video should be played_x000D_
_x000D_
_x000D_
    Actual behaviour_x000D_
  app crashes_x000D_
  other video players can actually play the downloaded video file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see log_x000D_
_x000D_
Device model: _x000D_
_x000D_
Stock or customized system:_x000D_
_x000D_
Nextcloud app version:_x000D_
_x000D_
Nextcloud server version: _x000D_
_x000D_
Reverse proxy:_x000D_
_x000D_
    Logs_x000D_
     Web server error log_x000D_
   _x000D_
Insert your webserver log here_x000D_
   _x000D_
_x000D_
     Nextcloud log (data nextcloud log)_x000D_
   _x000D_
Insert your Nextcloud log here_x000D_
             CAUSE OF ERROR             _x000D_
_x000D_
android app RemoteServiceException: Context startForegroundService() did not then call Service startForeground()_x000D_
	at android app ActivityThread H handleMessage(ActivityThread java:1821)_x000D_
	at android os Handler dispatchMessage(Handler java:106)_x000D_
	at android os Looper loop(Looper java:164)_x000D_
	at android app ActivityThread main(ActivityThread java:6626)_x000D_
	at java lang reflect Method invoke(Native Method)_x000D_
	at com android internal os RuntimeInit MethodAndArgsCaller run(RuntimeInit java:438)_x000D_
	at com android internal os ZygoteInit main(ZygoteInit java:811)_x000D_
_x000D_
             APP INFORMATION             _x000D_
ID: com nextcloud client_x000D_
Version: 30140090_x000D_
Build flavor: gplay_x000D_
_x000D_
             DEVICE INFORMATION             _x000D_
Brand: motorola_x000D_
Device: potter n_x000D_
Model: Moto G (5) Plus_x000D_
Id: OPS28 85 17 6 2_x000D_
Product: potter n_x000D_
_x000D_
             FIRMWARE             _x000D_
SDK: 27_x000D_
Release: 8 1 0_x000D_
Incremental: 77e7_x000D_
_x000D_
   _x000D_
  NOTE:   Be super sure to remove sensitive data like passwords  note that everybody can look here  You can use the Issue Template application to prefill some of the required information: https:  apps nextcloud com apps issuetemplate_x000D_
</t>
  </si>
  <si>
    <t>Anuken-Mindustry-3521</t>
  </si>
  <si>
    <t>interplanetary accelerator item bar.</t>
  </si>
  <si>
    <t xml:space="preserve">  Platform  :  Android iOS Mac Windows Linux _x000D_
windows 10 64 bit_x000D_
_x000D_
  Build  :  The build number under the title in the main menu  Required   LATEST  IS NOT A VERSION  I NEED THE EXACT BUILD NUMBER OF YOUR GAME  _x000D_
beta 115_x000D_
_x000D_
  Issue  :  Explain your issue in detail  _x000D_
the item fill bar will reach the end long before it is full of material_x000D_
_x000D_
  Steps to reproduce  :  How you happened across the issue  and what exactly you did to make the bug happen  _x000D_
1  make an accelerator_x000D_
2  fill it up_x000D_
3  bar reaches end before its full_x000D_
_x000D_
  Link(s) to mod(s) used  :  The mod repositories or zip files that are related to the issue  if applicable  _x000D_
n a_x000D_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graphical issue so here are some photos_x000D_
  image (https:  user images githubusercontent com 54417042 99897033 f47ab900 2c63 11eb 82d9 2df5c5e98976 png)_x000D_
  image (https:  user images githubusercontent com 54417042 99897043 0a887980 2c64 11eb 9761 b410ea226e3b png)_x000D_
_x000D_
_x000D_
  Crash report  :  The contents of relevant crash report files  REQUIRED if you are reporting a crash  _x000D_
n a_x000D_
   _x000D_
_x000D_
 Place an X (no spaces) between the brackets to confirm that you have read the line below    _x000D_
   X    I have    nt   searched the closed and open issues to make sure that this problem has not already been reported   _x000D_
_x000D_
I would presume this happens with modded things that store large amounts of items aswell </t>
  </si>
  <si>
    <t>TeamNewPipe-NewPipe-4959</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</si>
  <si>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The first box has been checked for you to show you how it is done     
   x  I am using the latest version   x xx x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Open app
2  Crash
     If you can t cause the bug to show up again reliably (and hence don t have a proper set of steps to give us)  please still try to give as many details as possible on how you think you encountered the bug     
    Actual behaviour
The app crashes as soon as opening it  or even when I haven t opened it  it crashes in the backround  and the stacktrace screen comes up 
    Expected behavior
The app shouldn t crash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Exception
    User Action:   ui error
    Request:   App crash  UI failure
    Content Country:  IN
    Content Language:   en
    App Language:   en GB
    Service:   none
    Version:   0 20 3
    OS:   Linux realme RMX2061
 details  summary  b Crash log   b   summary  p 
io reactivex exceptions OnErrorNotImplementedException: The exception was not handled due to missing onError handler in the subscribe() method call  Further reading: https:  github com ReactiveX RxJava wiki Error Handling   java lang NullPointerException: Callable returned null
	at io reactivex internal functions Functions OnErrorMissingConsumer accept(Functions java:704)
	at io reactivex internal functions Functions OnErrorMissingConsumer accept(Functions java:701)
	at io reactivex internal observers LambdaObserver onError(LambdaObserver java:77)
	at io reactivex internal operators observable ObservableObserveOn ObserveOnObserver checkTerminated(ObservableObserveOn java:281)
	at io reactivex internal operators observable ObservableObserveOn ObserveOnObserver drainNormal(ObservableObserveOn java:172)
	at io reactivex internal operators observable ObservableObserveOn ObserveOnObserver run(ObservableObserveOn java:255)
	at io reactivex android schedulers HandlerScheduler ScheduledRunnable run(HandlerScheduler java:124)
	at android os Handler handleCallback(Handler java:883)
	at android os Handler dispatchMessage(Handler java:100)
	at android os Looper loop(Looper java:228)
	at android app ActivityThread main(ActivityThread java:7826)
	at java lang reflect Method invoke(Native Method)
	at com android internal os RuntimeInit MethodAndArgsCaller run(RuntimeInit java:492)
	at com android internal os ZygoteInit main(ZygoteInit java:981)
Caused by: java lang NullPointerException: Callable returned null
	at java util Objects requireNonNull(Objects java:228)
	at io reactivex internal functions ObjectHelper requireNonNull(ObjectHelper java:39)
	at io reactivex internal operators observable ObservableFromCallable subscribeActual(ObservableFromCallable java:43)
	at io reactivex Observable subscribe(Observable java:12284)
	at io reactivex internal operators observable ObservableSubscribeOn SubscribeTask run(ObservableSubscribeOn java:96)
	at io reactivex Scheduler DisposeTask run(Scheduler java:578)
	at io reactivex internal schedulers ScheduledRunnable run(ScheduledRunnable java:66)
	at io reactivex internal schedulers ScheduledRunnable call(ScheduledRunnable java:57)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java:919)
  details 
 hr 
</t>
  </si>
  <si>
    <t>TeamNewPipe-NewPipe-4957</t>
  </si>
  <si>
    <t>DesugarGregorianCalendar crash? Huh?</t>
  </si>
  <si>
    <t xml:space="preserve">Latest stable on an old tablet running Android 4 4_x000D_
_x000D_
When switching BACK to the app it crashes_x000D_
_x000D_
  user action : ui error   request : App crash  UI failure   content language : en   content country : GB   app language : en US   service : none   package : org schabi newpipe   version : 0 20 3   os : Linux Android 4 4 4   19   time : 2020 11 21 22:28   exceptions :  java lang NullPointerException n tat j  util DesugarGregorianCalendar from(:1) n tat org schabi newpipe extractor localization DateWrapper date(DateWrapper java:51) n tat org schabi newpipe info list holder StreamInfoItemHolder getFormattedRelativeUploadDate(StreamInfoItemHolder java:98) n tat org schabi newpipe info list holder StreamInfoItemHolder getStreamInfoDetailLine(StreamInfoItemHolder java:83) n tat org schabi newpipe info list holder StreamInfoItemHolder updateFromItem(StreamInfoItemHolder java:65) n tat org schabi newpipe info list InfoListAdapter onBindViewHolder(InfoListAdapter java:337) n tat org schabi newpipe info list InfoListAdapter onBindViewHolder(InfoListAdapter java:360) n tat androidx recyclerview widget RecyclerView Adapter bindViewHolder(RecyclerView java:7107) n tat androidx recyclerview widget RecyclerView Recycler tryBindViewHolderByDeadline(RecyclerView java:6012) n tat androidx recyclerview widget RecyclerView Recycler tryGetViewHolderForPositionByDeadline(RecyclerView java:6279) n tat androidx recyclerview widget RecyclerView Recycler getViewForPosition(RecyclerView java:6118) n tat androidx recyclerview widget RecyclerView Recycler getViewForPosition(RecyclerView java:6114) n tat androidx recyclerview widget LinearLayoutManager LayoutState next(LinearLayoutManager java:2303) n tat androidx recyclerview widget LinearLayoutManager layoutChunk(LinearLayoutManager java:1627) n tat androidx recyclerview widget LinearLayoutManager fill(LinearLayoutManager java:1587) n tat androidx recyclerview widget LinearLayoutManager onLayoutChildren(LinearLayoutManager java:665) n tat androidx recyclerview widget RecyclerView dispatchLayoutStep2(RecyclerView java:4134) n tat androidx recyclerview widget RecyclerView dispatchLayout(RecyclerView java:3851) n tat androidx recyclerview widget RecyclerView onLayout(RecyclerView java:4404) n tat android view View layout(View java:14834) n tat android view ViewGroup layout(ViewGroup java:4631) n tat android widget RelativeLayout onLayout(RelativeLayout java:1055) n tat android view View layout(View java:14834) n tat android view ViewGroup layout(ViewGroup java:4631) n tat android widget FrameLayout layoutChildren(FrameLayout java:453) n tat android widget FrameLayout onLayout(FrameLayout java:388) n tat android view View layout(View java:14834) n tat android view ViewGroup layout(ViewGroup java:4631) n tat android widget LinearLayout setChildFrame(LinearLayout java:1671) n tat android widget LinearLayout layoutHorizontal(LinearLayout java:1660) n tat android widget LinearLayout onLayout(LinearLayout java:1436) n tat android view View layout(View java:14834) n tat android view ViewGroup layout(ViewGroup java:4631) n tat android widget FrameLayout layoutChildren(FrameLayout java:453) n tat android widget FrameLayout onLayout(FrameLayout java:388) n tat android view View layout(View java:14834) n tat android view ViewGroup layout(ViewGroup java:4631) n tat android widget FrameLayout layoutChildren(FrameLayout java:453) n tat android widget FrameLayout onLayout(FrameLayout java:388) n tat android view View layout(View java:14834) n tat android view ViewGroup layout(ViewGroup java:4631) n tat androidx coordinatorlayout widget CoordinatorLayout layoutChild(CoordinatorLayout java:1213) n tat androidx coordinatorlayout widget CoordinatorLayout onLayoutChild(CoordinatorLayout java:899) n tat com google android material bottomsheet BottomSheetBehavior onLayoutChild(BottomSheetBehavior java:380) n tat androidx coordinatorlayout widget CoordinatorLayout onLayout(CoordinatorLayout java:918) n tat android view View layout(View java:14834) n tat android view ViewGroup layout(ViewGroup java:4631) n tat androidx drawerlayout widget DrawerLayout onLayout(DrawerLayout java:1231) n tat android view View layout(View java:14834) n tat android view ViewGroup layout(ViewGroup java:4631) n tat android widget FrameLayout layoutChildren(FrameLayout java:453) n tat android widget FrameLayout onLayout(FrameLayout java:388) n tat android view View layout(View java:14834) n tat android view ViewGroup layout(ViewGroup java:4631) n tat android widget LinearLayout setChildFrame(LinearLayout java:1671) n tat android widget LinearLayout layoutVertical(LinearLayout java:1525) n tat android widget LinearLayout onLayout(LinearLayout java:1434) n tat android view View layout(View java:14834) n tat android view ViewGroup layout(ViewGroup java:4631) n tat android widget FrameLayout layoutChildren(FrameLayout java:453) n tat android widget FrameLayout onLayout(FrameLayout java:388) n tat android view View layout(View java:14834) n tat android view ViewGroup layout(ViewGroup java:4631) n tat android widget LinearLayout setChildFrame(LinearLayout java:1671) n tat android widget LinearLayout layoutVertical(LinearLayout java:1525) n tat android widget LinearLayout onLayout(LinearLayout java:1434) n tat android view View layout(View java:14834) n tat android view ViewGroup layout(ViewGroup java:4631) n tat android widget FrameLayout layoutChildren(FrameLayout java:453) n tat android widget FrameLayout onLayout(FrameLayout java:388) n tat android view View layout(View java:14834) n tat android view ViewGroup layout(ViewGroup java:4631) n tat android view ViewRootImpl performLayout(ViewRootImpl java:1983) n tat android view ViewRootImpl performTraversals(ViewRootImpl java:1740) n tat android view ViewRootImpl doTraversal(ViewRootImpl java:996) n tat android view ViewRootImpl TraversalRunnable run(ViewRootImpl java:5600) n tat android view Choreographer CallbackRecord run(Choreographer java:761) n tat android view Choreographer doCallbacks(Choreographer java:574) n tat android view Choreographer doFrame(Choreographer java:544) n tat android view Choreographer FrameDisplayEventReceiver run(Choreographer java:747) n tat android os Handler handleCallback(Handler java:733) n tat android os Handler dispatchMessage(Handler java:95) n tat android os Looper loop(Looper java:136) n tat android app ActivityThread main(ActivityThread java:5133) n tat java lang reflect Method invokeNative(Native Method) n tat java lang reflect Method invoke(Method java:515) n tat com android internal os ZygoteInit MethodAndArgsCaller run(ZygoteInit java:786) n tat com android internal os ZygoteInit main(ZygoteInit java:602) n tat dalvik system NativeStart main(Native Method) n    user comment :   </t>
  </si>
  <si>
    <t>TeamNewPipe-NewPipe-4955</t>
  </si>
  <si>
    <t>Parse error when clicking on videos of subscribed channels</t>
  </si>
  <si>
    <t xml:space="preserve">_x000D_
     The comments between these brackets won t show up in the submitted issue (as you can see in the Preview)     _x000D_
_x000D_
    Checklist_x000D_
     The first box has been checked for you to show you how it is done     _x000D_
_x000D_
   x  I am using the latest version   0 20 1 droid version_x000D_
    Steps to reproduce the bug_x000D_
    _x000D_
1  Go to      _x000D_
2  Press on       _x000D_
3  Swipe down to       _x000D_
   _x000D_
Click subscribed channels tab_x000D_
Click a video_x000D_
Video page loads_x000D_
Video loads but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An exception happened  Parse error_x000D_
See logs_x000D_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requested stream_x000D_
    Request:   https:  www youtube com watch v b3NxrZOu CE_x000D_
    Content Country:   GB_x000D_
    Content Language:   en_x000D_
    App Language:   de DE_x000D_
    Service:   YouTube_x000D_
    Version:   0 20 1_x000D_
    OS:   Linux motorola deen deen sprout:10 QPK30 54 22 6add:user release keys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That s right  here     _x000D_
_x000D_
_x000D_
_x000D_
     Please fill this out when you do not provide a log generate by NewPipe    _x000D_
_x000D_
    Device info_x000D_
_x000D_
   Android version Custom ROM version:_x000D_
   Device model:_x000D_
</t>
  </si>
  <si>
    <t>Anuken-Mindustry-3520</t>
  </si>
  <si>
    <t xml:space="preserve">Platform: Windows_x000D_
_x000D_
Build: 115_x000D_
_x000D_
Issue: I m played on server and game crashed  Before this i tried to contorol arkyid many times but always back to the own ship _x000D_
_x000D_
No mods used_x000D_
_x000D_
Save file: _x000D_
 save zip (https:  github com Anuken Mindustry files 5578310 save zip)_x000D_
_x000D_
Crash report:_x000D_
 crash report 11 21 2020 22 46 06 txt (https:  github com Anuken Mindustry files 5578291 crash report 11 21 2020 22 46 06 txt)_x000D_
_x000D_
_x000D_
   _x000D_
_x000D_
 Place an X (no spaces) between the brackets to confirm that you have read the line below  _x000D_
   x    I have searched the closed and open issues to make sure that this problem has not already been reported   _x000D_
</t>
  </si>
  <si>
    <t>Anuken-Mindustry-3519</t>
  </si>
  <si>
    <t>Game crashes when starting</t>
  </si>
  <si>
    <t xml:space="preserve">  Platform  :  Windows _x000D_
_x000D_
  Build  :  beta build 115 _x000D_
_x000D_
  Issue  :  When I accept the  Game under Development  notice  the game crashes  When i dont click on  Ok  but press  Esc  the game crashes as soon as i press  play   _x000D_
_x000D_
  Steps to reproduce  :  Starting again after saving and quitting (maybe with alt F4 but i dont know) _x000D_
  Save file  :  _x000D_
 mindustrydat zip (https:  github com Anuken Mindustry files 5578281 mindustrydat zip)_x000D_
 _x000D_
_x000D_
  Crash report  :  _x000D_
 hs err pid17924 log (https:  github com Anuken Mindustry files 5578283 hs err pid17924 log)_x000D_
 _x000D_
_x000D_
   _x000D_
_x000D_
 Place an X (no spaces) between the brackets to confirm that you have read the line below    _x000D_
   X    I have searched the closed and open issues to make sure that this problem has not already been reported   _x000D_
</t>
  </si>
  <si>
    <t>Anuken-Mindustry-3518</t>
  </si>
  <si>
    <t>Long item requirements of a block break the build menu</t>
  </si>
  <si>
    <t xml:space="preserve">  Platform  :  Android iOS Mac Windows Linux _x000D_
linux_x000D_
  Build  :  The build number under the title in the main menu  Required   LATEST  IS NOT A VERSION  I NEED THE EXACT BUILD NUMBER OF YOUR GAME  _x000D_
beta 115_x000D_
  Issue  :  Explain your issue in detail  _x000D_
 3422 but it happens with the item requirements of a block_x000D_
  Steps to reproduce  :  How you happened across the issue  and what exactly you did to make the bug happen  _x000D_
1  put down a block which needs huge amounts of more than 3 items (interplanetary accelerator as a vanilla example)_x000D_
2  hover over it_x000D_
3  see how it seperates the build menu_x000D_
  21 11 1 (https:  user images githubusercontent com 59574967 99884822 f9c70c00 2c41 11eb 9dc0 aecef2e40d82 png)_x000D_
_x000D_
  Link(s) to mod(s) used  :  The mod repositories or zip files that are related to the issue  if applicable  _x000D_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i dont think this is needed_x000D_
_x000D_
  Crash report  :  The contents of relevant crash report files  REQUIRED if you are reporting a crash  _x000D_
_x000D_
no crashes_x000D_
_x000D_
   _x000D_
_x000D_
 Place an X (no spaces) between the brackets to confirm that you have read the line below    _x000D_
   X    I have searched the closed and open issues to make sure that this problem has not already been reported   _x000D_
</t>
  </si>
  <si>
    <t>Anuken-Mindustry-3514</t>
  </si>
  <si>
    <t>Bullets moving too fast to actually hit anything</t>
  </si>
  <si>
    <t xml:space="preserve">  Platform  : Windows_x000D_
_x000D_
  Build  : Steam 115_x000D_
_x000D_
  Issue  : Bullets that travel really fast  such as Omura s railgun bullets  tend to  skip over  smaller units blocks  passing through them without dealing damage  A single Toxopid could be completely safe from the fast projectiles even if targeted _x000D_
_x000D_
  Steps to reproduce  : As I was defending Planetary Launch Terminal after capturing it  I noticed that the Omuras I built aren t hitting units they were firing at  even smaller units like Spirocts were completely unaffected by the bullets  This eventually led to me losing the sector to the Guardian Toxopid that spawned in  as the Omuras constantly whiffed against it as the bullets flew  through  the Guardian as if  hopping over  it  The Toxopid proceeded to crawl past my defenses and made it all the way to my core _x000D_
_x000D_
  Link(s) to mod(s) used  : None apply_x000D_
_x000D_
  Save file  : _x000D_
 saves zip (https:  github com Anuken Mindustry files 5577958 saves zip)_x000D_
_x000D_
_x000D_
  Crash report  : No crash_x000D_
_x000D_
   _x000D_
_x000D_
 Place an X (no spaces) between the brackets to confirm that you have read the line below    _x000D_
   X    I have searched the closed and open issues to make sure that this problem has not already been reported   _x000D_
</t>
  </si>
  <si>
    <t>oliexdev-openScale-653</t>
  </si>
  <si>
    <t>Crash when selecting chart datapoint, then disable corresponding metric (V2.3.2)</t>
  </si>
  <si>
    <t xml:space="preserve">  Describe the bug  _x000D_
Crash when selecting chart datapoint  then disable corresponding metric_x000D_
_x000D_
  To Reproduce  _x000D_
Steps to reproduce the behavior:_x000D_
1  Go to Overview (home) tab_x000D_
2  Click on chart datapoint (e g  Water or Basal Metabolic Rate  some metrics don t crash)_x000D_
3  Click on metric icon with same color_x000D_
4  See error_x000D_
_x000D_
Reproduced with  latest dev version (https:  github com oliexdev openScale releases tag travis dev build): 2 3 2 F Droid_x000D_
_x000D_
  Expected behavior  _x000D_
Metric and datapoints are removed_x000D_
_x000D_
  Additional context  _x000D_
Needs at least a measurement_x000D_
_x000D_
  Debug log  _x000D_
(Nothing significant in debug log)_x000D_
_x000D_
Saved in clipboard:_x000D_
   _x000D_
Build version: 2 3 2 _x000D_
Build date: 1981 01 01 01:01:02 _x000D_
Current date: 2020 11 21 15:31:20 _x000D_
Device: Sony G8141 _x000D_
OS version: Android 9 (SDK 28) _x000D_
Stack trace:  _x000D_
java lang NullPointerException: Attempt to read from null array_x000D_
	at com health openscale gui measurement ChartMarkerView refreshContent(ChartMarkerView java:51)_x000D_
	at com github mikephil charting charts Chart drawMarkers(Chart java:741)_x000D_
	at com github mikephil charting charts BarLineChartBase onDraw(BarLineChartBase java:285)_x000D_
	at android view View draw(View java:20226)_x000D_
	at android view View updateDisplayListIfDirty(View java:19101)_x000D_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ViewGroup recreateChildDisplayList(ViewGroup java:4317)_x000D_
	at android view ViewGroup dispatchGetDisplayList(ViewGroup java:4290)_x000D_
	at android view View updateDisplayListIfDirty(View java:19061)_x000D_
	at android view ThreadedRenderer updateViewTreeDisplayList(ThreadedRenderer java:686)_x000D_
	at android view ThreadedRenderer updateRootDisplayList(ThreadedRenderer java:692)_x000D_
	at android view ThreadedRenderer draw(ThreadedRenderer java:801)_x000D_
	at android view ViewRootImpl draw(ViewRootImpl java:3332)_x000D_
	at android view ViewRootImpl performDraw(ViewRootImpl java:3129)_x000D_
	at android view ViewRootImpl performTraversals(ViewRootImpl java:2498)_x000D_
	at android view ViewRootImpl doTraversal(ViewRootImpl java:1473)_x000D_
	at android view ViewRootImpl TraversalRunnable run(ViewRootImpl java:7215)_x000D_
	at android view Choreographer CallbackRecord run(Choreographer java:1004)_x000D_
	at android view Choreographer doCallbacks(Choreographer java:816)_x000D_
	at android view Choreographer doFrame(Choreographer java:751)_x000D_
	at android view Choreographer FrameDisplayEventReceiver run(Choreographer java:990)_x000D_
	at android os Handler handleCallback(Handler java:873)_x000D_
	at android os Handler dispatchMessage(Handler java:99)_x000D_
	at android os Looper loop(Looper java:280)_x000D_
	at android app ActivityThread main(ActivityThread java:6706)_x000D_
	at java lang reflect Method invoke(Native Method)_x000D_
	at com android internal os RuntimeInit MethodAndArgsCaller run(RuntimeInit java:493)_x000D_
	at com android internal os ZygoteInit main(ZygoteInit java:858)_x000D_
   </t>
  </si>
  <si>
    <t>nextcloud-android-7425</t>
  </si>
  <si>
    <t>Just posting crash output on my Tablet Samsung Galaxy Note 12.1</t>
  </si>
  <si>
    <t xml:space="preserve">    Steps to reproduce_x000D_
1  Start Tablet_x000D_
2  _x000D_
3  _x000D_
_x000D_
    Expected behaviour_x000D_
  Nextcloud should start _x000D_
_x000D_
    Actual behaviour_x000D_
  Nextcloud crashes saying  Nextcloud angehalten _x000D_
_x000D_
    Can you reproduce this problem on https:  try nextcloud com _x000D_
  Please create a test demo account and see if this still happens there _x000D_
  If yes  please open up a bug report_x000D_
  If not  please verify server setup and ask for help on forum_x000D_
_x000D_
Sorry  but this is to much_x000D_
_x000D_
    Environment data_x000D_
Android version: 5 0 _x000D_
_x000D_
Device model: SM P900_x000D_
_x000D_
Stock or customized system: Stock_x000D_
_x000D_
Nextcloud app version: 3 13 1_x000D_
_x000D_
Nextcloud server version:     (connecting to bwsyncandshare kit edu )_x000D_
_x000D_
Reverse proxy: No_x000D_
_x000D_
    Logs_x000D_
     Web server error log_x000D_
_x000D_
N A_x000D_
   _x000D_
_x000D_
     Nextcloud log (data nextcloud log)_x000D_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java:1112)_x000D_
	at java util concurrent ThreadPoolExecutor Worker run(ThreadPoolExecutor java:587)_x000D_
	at com google android gms common util concurrent zza run(Unknown Source)_x000D_
	at java lang Thread run(Thread java:818)_x000D_
Caused by: java lang ClassNotFoundException: Didn t find class  com google firebase analytics connector AnalyticsConnector  on path: DexPathList  zip file   data app com nextcloud client 1 base apk   nativeLibraryDirectories   data app com nextcloud client 1 lib arm   vendor lib   system lib  _x000D_
	at dalvik system BaseDexClassLoader findClass(BaseDexClassLoader java:56)_x000D_
	at java lang ClassLoader loadClass(ClassLoader java:511)_x000D_
	at java lang ClassLoader loadClass(ClassLoader java:469)_x000D_
	    8 more_x000D_
	Suppressed: java lang ClassNotFoundException: com google firebase analytics connector AnalyticsConnector_x000D_
		at java lang Class classForName(Native Method)_x000D_
		at java lang BootClassLoader findClass(ClassLoader java:781)_x000D_
		at java lang BootClassLoader loadClass(ClassLoader java:841)_x000D_
		at java lang ClassLoader loadClass(ClassLoader java:504)_x000D_
		    9 more_x000D_
	Caused by: java lang NoClassDefFoundError: Class not found using the boot class loader  no stack available_x000D_
_x000D_
             APP INFORMATION             _x000D_
ID: com nextcloud client_x000D_
Version: 30130190_x000D_
Build flavor: gplay_x000D_
_x000D_
             DEVICE INFORMATION             _x000D_
Brand: samsung_x000D_
Device: v1awifi_x000D_
Model: SM P900_x000D_
Id: LRX22G_x000D_
Product: v1awifixx_x000D_
_x000D_
             FIRMWARE             _x000D_
SDK: 21_x000D_
Release: 5 0 2_x000D_
Incremental: P900XXS0BPL2_x000D_
_x000D_
   _x000D_
  NOTE:   Be super sure to remove sensitive data like passwords  note that everybody can look here  You can use the Issue Template application to prefill some of the required information: https:  apps nextcloud com apps issuetemplate_x000D_
</t>
  </si>
  <si>
    <t>Anuken-Mindustry-3509</t>
  </si>
  <si>
    <t xml:space="preserve">  Platform  : Android_x000D_
_x000D_
  Build  : 115_x000D_
_x000D_
  Issue  : when I put pipelines sometimes message blocks are put fix this bug please_x000D_
_x000D_
  Steps to reproduce  :I just build titans conveyor_x000D_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</si>
  <si>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TeamNewPipe-NewPipe-4949</t>
  </si>
  <si>
    <t>Playing videos forces device standby.</t>
  </si>
  <si>
    <t xml:space="preserve">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a video (only certain videos cause this  couldn t figure out what they have in common)_x000D_
2  Press on play_x000D_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screen shuts off  Standby mode  Audio keeps playing in the background _x000D_
Keeps shutting off every time you start your screen  You have a tiny time frame to remove NewPipe from running apps or it will shut off again until you were able to remove the app from running apps _x000D_
_x000D_
_x000D_
    Expected behavior_x000D_
     Tell us what you expect to happen     _x000D_
Watch video_x000D_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model:_x000D_
Xperia XZ2</t>
  </si>
  <si>
    <t>TeamNewPipe-NewPipe-4948</t>
  </si>
  <si>
    <t>Fix crash on startup when there is no internet connection</t>
  </si>
  <si>
    <t xml:space="preserve">     Hey there  Thank you so much for improving NewPipe  and filling out the details  Having roughly the same layout helps everyone considerably :)   _x000D_
_x000D_
     What is it _x000D_
   x  Bugfix (user facing)_x000D_
      Feature (user facing)_x000D_
      Codebase improvement (dev facing)_x000D_
      Meta improvement to the project (dev facing)_x000D_
_x000D_
     Description of the changes in your PR_x000D_
The crash was caused by an  Observable  s  Callable  returning  null  when fetching the latest available app version without internet connection  but RxJava s  Observable s do not accept  null  results  So I used a  Maybe  instead  and removed a  null  check inside the subscriber since nullity is already taken care of by the  Maybe   I also did some refactoring in the  CheckForNewAppVersion  file _x000D_
_x000D_
A further crash was caused by the  onError()  interface not being implemented  That produced a crash instead of handling the connectivity error _x000D_
_x000D_
     Fixes the following issue(s)_x000D_
Fixes  4920_x000D_
_x000D_
     APK testing _x000D_
 app debug zip (https:  github com TeamNewPipe NewPipe files 5577476 app debug zip)_x000D_
_x000D_
     Due diligence_x000D_
   x  I read the  contribution guidelines (https:  github com TeamNewPipe NewPipe blob HEAD  github CONTRIBUTING md) </t>
  </si>
  <si>
    <t>nextcloud-android-7419</t>
  </si>
  <si>
    <t>Browsing files on Pixel 4 XL</t>
  </si>
  <si>
    <t xml:space="preserve">    Steps to reproduce_x000D_
1  Open next cloud app_x000D_
2  Go through photos videos_x000D_
3  Watch the app craah_x000D_
_x000D_
    Expected behaviour_x000D_
  Tell us what should happen_x000D_
Be able to view files without the app crashing_x000D_
    Actual behaviour_x000D_
  Tell us what happens_x000D_
App crashes_x000D_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CAUSE OF ERROR             _x000D_
_x000D_
android app RemoteServiceException: Context startForegroundService() did not then call Service startForeground(): ServiceRecord b23634f u0 com nextcloud client  media PlayerService _x000D_
	at android app ActivityThread H handleMessage(ActivityThread java:2005)_x000D_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APP INFORMATION             _x000D_
ID: com nextcloud client_x000D_
Version: 30140090_x000D_
Build flavor: gplay_x000D_
_x000D_
             DEVICE INFORMATION             _x000D_
Brand: google_x000D_
Device: coral_x000D_
Model: Pixel 4 XL_x000D_
Id: RP1A 201105 002_x000D_
Product: coral_x000D_
_x000D_
             FIRMWARE             _x000D_
SDK: 30_x000D_
Release: 11_x000D_
Incremental: 6869500_x000D_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</si>
  <si>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Anuken-Mindustry-3501</t>
  </si>
  <si>
    <t>Joining a multiplayer campaign game messes up your personal campaign progress</t>
  </si>
  <si>
    <t xml:space="preserve">  Platform  :  Android iOS Mac Windows Linux  widnows 10 64 bit_x000D_
_x000D_
  Build  :  The build number under the title in the main menu  Required   LATEST  IS NOT A VERSION  I NEED THE EXACT BUILD NUMBER OF YOUR GAME  _x000D_
beta 115_x000D_
_x000D_
  Issue  :  Explain your issue in detail  _x000D_
when joining a multiplayer camapgin game then going back to your personal one  the global items stick around from the multiplayer _x000D_
_x000D_
  Steps to reproduce  :  How you happened across the issue  and what exactly you did to make the bug happen  _x000D_
1  join multiplayer campaign game_x000D_
2  do stuff_x000D_
3  leave_x000D_
4  go to your own campaign_x000D_
5  you now have items that you didnt make _x000D_
_x000D_
  Link(s) to mod(s) used  :  The mod repositories or zip files that are related to the issue  if applicable  _x000D_
n a_x000D_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(holdup its like 500 mb and taking forever to upload i will add when its uploaded)_x000D_
_x000D_
  Crash report  :  The contents of relevant crash report files  REQUIRED if you are reporting a crash  _x000D_
n a_x000D_
   _x000D_
_x000D_
 Place an X (no spaces) between the brackets to confirm that you have read the line below    _x000D_
   X    I have searched the closed and open issues to make sure that this problem has not already been reported   _x000D_
</t>
  </si>
  <si>
    <t>nextcloud-android-7414</t>
  </si>
  <si>
    <t>App crashes when playing a video</t>
  </si>
  <si>
    <t xml:space="preserve">    Steps to reproduce_x000D_
1  Play a video within the app_x000D_
_x000D_
    Expected behaviour_x000D_
Video plays  _x000D_
_x000D_
    Actual behaviour_x000D_
Video plays for a few seconds and then crashes the app with the following message _x000D_
_x000D_
             CAUSE OF ERROR             _x000D_
_x000D_
android app RemoteServiceException: Context startForegroundService() did not then call Service startForeground(): ServiceRecord 3590964 u0 com nextcloud client  media PlayerService _x000D_
	at android app ActivityThread H handleMessage(ActivityThread java:2050)_x000D_
	at android os Handler dispatchMessage(Handler java:109)_x000D_
	at android os Looper loop(Looper java:207)_x000D_
	at android app ActivityThread main(ActivityThread java:7470)_x000D_
	at java lang reflect Method invoke(Native Method)_x000D_
	at com android internal os RuntimeInit MethodAndArgsCaller run(RuntimeInit java:524)_x000D_
	at com android internal os ZygoteInit main(ZygoteInit java:958)_x000D_
_x000D_
             APP INFORMATION             _x000D_
ID: com nextcloud client_x000D_
Version: 30140090_x000D_
Build flavor: gplay_x000D_
_x000D_
             DEVICE INFORMATION             _x000D_
Brand: HUAWEI_x000D_
Device: HWBLA_x000D_
Model: BLA A09_x000D_
Id: HUAWEIBLA A09_x000D_
Product: BLA A09_x000D_
_x000D_
             FIRMWARE             _x000D_
SDK: 28_x000D_
Release: 9_x000D_
Incremental: 277C567R1_x000D_
_x000D_
    Environment data_x000D_
Android version: 9_x000D_
_x000D_
Nextcloud app version: 3 14 0</t>
  </si>
  <si>
    <t>TeamNewPipe-NewPipe-4940</t>
  </si>
  <si>
    <t>Endless buffering on duplicate videos in queue</t>
  </si>
  <si>
    <t xml:space="preserve">    Checklist
   x  I am using the latest version   0 21 1 (But this bug happens at least since the v0 20 4)
   x  I checked  but didn t find any duplicates (open OR closed) of this issue in the repo 
   x  I have read the contribution guidelines given at https:  github com TeamNewPipe NewPipe blob HEAD  github CONTRIBUTING md 
   x  This issue contains only one bug  I will open one issue for every bug report I want to file 
    Steps to reproduce the bug
1  Play a video in background that is duplicated in a playlist (the duplicate has to come right after the video) and the bug will occur when the duplicate plays 
    Actual behaviour
The video basically gets on an endless buffering and never starts playing or moves on to the next playlist video (unless you do it manually) 
    Expected behavior
The video  whether duplicate or not should play normally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MIUI 11 (Android 7 0)
   Device model: Redmi Note 4
</t>
  </si>
  <si>
    <t>Anuken-Mindustry-3497</t>
  </si>
  <si>
    <t>unit does not use modded constructor when loading save</t>
  </si>
  <si>
    <t xml:space="preserve">  Platform  : Android 9_x000D_
_x000D_
  Build  : 11414_x000D_
_x000D_
  Issue  :_x000D_
For some reason  unit warp  (function defined in constructor) is undefined when loading a save _x000D_
When an ability is updated it has a stroke and uses a vanilla entity class  causing it to crash _x000D_
_x000D_
  Steps to reproduce  :_x000D_
1  install mod_x000D_
2  load save_x000D_
3  crash_x000D_
_x000D_
  Link(s) to mod(s) used  : deltanedas anuke logic_x000D_
Script is at   scripts units messenger js   _x000D_
 warp  is clearly defined  but the constructor doesnt appear to be used _x000D_
_x000D_
  Save file  :  sector serpulo 75 msav txt (https:  github com Anuken Mindustry files 5575990 sector serpulo 75 msav txt)_x000D_
_x000D_
  Crash report  : _x000D_
 crash 1605904758887 txt (https:  github com Anuken Mindustry files 5575994 crash 1605904758887 txt)_x000D_
_x000D_
   _x000D_
_x000D_
 Place an X (no spaces) between the brackets to confirm that you have read the line below    _x000D_
   X    I have searched the closed and open issues to make sure that this problem has not already been reported   _x000D_
</t>
  </si>
  <si>
    <t>TeamNewPipe-NewPipe-4936</t>
  </si>
  <si>
    <t>Switching orientation from landscape to portrait exits fullscreen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</si>
  <si>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Open a video s info screen_x000D_
2  Start playing the video_x000D_
3  Make the video fullscreen_x000D_
4  Switch orientation from landscape to portrait_x000D_
5  Switch orientation back to landscape_x000D_
_x000D_
    Actual behaviour_x000D_
     Tell us what happens with the steps given above     _x000D_
_x000D_
The player exits fullscreen and we re now in the info screen in landscape _x000D_
_x000D_
    Expected behavior_x000D_
     Tell us what you expect to happen     _x000D_
_x000D_
The player should stay in fullscreen or at least go fullscreen again when rotating back to landscape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Homebrewed LOS17 1_x000D_
   Device model: cheeseburger_x000D_
_x000D_
(I set my system to 600DPI but the same happens at 480)</t>
  </si>
  <si>
    <t>ElderDrivers-EdXposed-639</t>
  </si>
  <si>
    <t>[BUG] null pointer dereference on LineageOS 16</t>
  </si>
  <si>
    <t xml:space="preserve">       What happened   _x000D_
_x000D_
Zygote64 crashed on system startup (bootloops)_x000D_
_x000D_
  Xposed     Xposed Module List  _x000D_
_x000D_
None (first boot)_x000D_
_x000D_
  Magisk     Magisk Module List  _x000D_
_x000D_
ADB For android NDK_x000D_
Busybox for android ndk_x000D_
Nano for android ndk_x000D_
_x000D_
  EdXposed Riru   Versions of EdXposed and Riru  _x000D_
_x000D_
EdXposed:v0 4 6 4_x000D_
_x000D_
Riru:21 3_x000D_
_x000D_
    Logcat Logcat  _x000D_
   _x000D_
_x000D_
11 20 20:58:36 920  1758  1758 V Riru    : jniRegisterNativeMethods android media MediaCrypto_x000D_
11 20 20:58:36 920  1758  1758 V Riru    : jniRegisterNativeMethods android media MediaDrm_x000D_
11 20 20:58:36 920  1758  1758 V Riru    : jniRegisterNativeMethods android media MediaDescrambler_x000D_
11 20 20:58:36 920  1758  1758 V Riru    : jniRegisterNativeMethods android media MediaHTTPConnection_x000D_
11 20 20:58:36 926  1758  1758 V Riru    : jniRegisterNativeMethods android media SoundPool_x000D_
11 20 20:58:37 005  1758  1758 I Zygote  :    preloaded 6535 classes in 226ms _x000D_
11 20 20:58:37 005  1758  1758 I zygote64: VMRuntime preloadDexCaches starting_x000D_
11 20 20:58:37 029  1758  1758 I zygote64: VMRuntime preloadDexCaches strings total 292956 before 12127 after 12127_x000D_
11 20 20:58:37 029  1758  1758 I zygote64: VMRuntime preloadDexCaches types total 31502 before 7854 after 7855_x000D_
11 20 20:58:37 029  1758  1758 I zygote64: VMRuntime preloadDexCaches fields total 141613 before 9160 after 9160_x000D_
11 20 20:58:37 029  1758  1758 I zygote64: VMRuntime preloadDexCaches methods total 249231 before 12811 after 12811_x000D_
11 20 20:58:37 029  1758  1758 I zygote64: VMRuntime preloadDexCaches finished_x000D_
11 20 20:58:37 069  1796  1796 W zipro   : Error opening archive  product overlay init: Invalid file_x000D_
11 20 20:58:37 069  1796  1796 W idmap   : parse apk: failed to open zip  product overlay init_x000D_
11 20 20:58:37 078  1758  1758 I Zygote  : Preloading resources   _x000D_
11 20 20:58:37 082  1758  1758 W Resources: Preloaded drawable resource  0x1080265 (android:drawable dialog background material) that varies with configuration  _x000D_
11 20 20:58:37 090  1758  1758 I Zygote  :    preloaded 64 resources in 12ms _x000D_
11 20 20:58:37 093  1758  1758 I Zygote  :    preloaded 41 resources in 2ms _x000D_
11 20 20:58:37 109  1758  1758 D libEGL  : loaded  vendor lib64 egl libGLES mali so_x000D_
11 20 20:58:37 121  1758  1758 I Zygote  : Preloading shared libraries   _x000D_
11 20 20:58:37 124  1758  1758 I Zygote  : Uninstalled ICU cache reference pinning   _x000D_
11 20 20:58:37 125  1758  1758 I Zygote  : Installed AndroidKeyStoreProvider in 0ms _x000D_
11 20 20:58:37 129  1758  1758 I Zygote  : Warmed up JCA providers in 5ms _x000D_
11 20 20:58:37 129  1758  1758 D Zygote  : end preload_x000D_
11 20 20:58:37 146  1758  1758 I zygote64: Explicit concurrent copying GC freed 42580(2MB) AllocSpace objects  1(20KB) LOS objects  72  free  2MB 8MB  paused 34us total 16 546ms_x000D_
11 20 20:58:37 165  1758  1758 I zygote64: Explicit concurrent copying GC freed 1680(97KB) AllocSpace objects  0(0B) LOS objects  73  free  2MB 8MB  paused 21us total 13 361ms_x000D_
11 20 20:58:37 359  1758  1758 I zygote64: The ClassLoaderContext is a special shared library _x000D_
11 20 20:58:37 361  1758  1758 I chatty  : uid 0(root) main identical 1 line_x000D_
11 20 20:58:37 363  1758  1758 I zygote64: The ClassLoaderContext is a special shared library _x000D_
11 20 20:58:37 378  1758  1758 W SandHook Native: JNI Loaded_x000D_
11 20 20:58:37 405  1758  1758 F libc    : Fatal signal 11 (SIGSEGV)  code 1 (SEGV MAPERR)  fault addr 0x0 in tid 1758 (main)  pid 1758 (main)_x000D_
11 20 20:58:37 448  1799  1799 I crash dump64: obtaining output fd from tombstoned  type: kDebuggerdTombstone_x000D_
11 20 20:58:37 449  1518  1518 I  system bin tombstoned: received crash request for pid 1758_x000D_
11 20 20:58:37 451  1799  1799 I crash dump64: performing dump of process 1758 (target tid   1758)_x000D_
11 20 20:58:37 460  1799  1799 F DEBUG   :                                                                _x000D_
11 20 20:58:37 460  1799  1799 F DEBUG   : LineageOS Version:  16 0 20200804 UNOFFICIAL treble _x000D_
11 20 20:58:37 460  1799  1799 F DEBUG   : Build fingerprint:  HUAWEI BLA L29 HWBLA:8 0 0 HUAWEIBLA L29S 137(C432):user release keys _x000D_
11 20 20:58:37 460  1799  1799 F DEBUG   : Revision:  0 _x000D_
11 20 20:58:37 460  1799  1799 F DEBUG   : ABI:  arm64 _x000D_
11 20 20:58:37 460  1799  1799 F DEBUG   : pid: 1758  tid: 1758  name: main      zygote64    _x000D_
11 20 20:58:37 460  1799  1799 F DEBUG   : signal 11 (SIGSEGV)  code 1 (SEGV MAPERR)  fault addr 0x0_x000D_
11 20 20:58:37 460  1799  1799 F DEBUG   : Cause: null pointer dereference_x000D_
11 20 20:58:37 460  1799  1799 F DEBUG   :     x0  0000000070f7b338  x1  0000007fda49d8f8  x2  0000007fda49d8f8  x3  0000007480e14c00_x000D_
11 20 20:58:37 460  1799  1799 F DEBUG   :     x4  0000007fda49dd30  x5  000000747a6b2486  x6  0000008000000000  x7  6e624b23ff3a7164_x000D_
11 20 20:58:37 460  1799  1799 F DEBUG   :     x8  0000000000000000  x9  0000000000000000  x10 0000000000430000  x11 0000000000000000_x000D_
11 20 20:58:37 460  1799  1799 F DEBUG   :     x12 0000007480b85d30  x13 0000007480b85d84  x14 0000007480b85de4  x15 0000000000000000_x000D_
11 20 20:58:37 460  1799  1799 F DEBUG   :     x16 0000007fda49d8f8  x17 0000000000000000  x18 0000000012c00098  x19 0000000070f7b338_x000D_
11 20 20:58:37 460  1799  1799 F DEBUG   :     x20 00000075069905e0  x21 0000007481336000  x22 0000007fda49db90  x23 000000747a6b2486_x000D_
11 20 20:58:37 460  1799  1799 F DEBUG   :     x24 0000000000000004  x25 00000075069905e0  x26 0000007480e14ca0  x27 0000000000000001_x000D_
11 20 20:58:37 460  1799  1799 F DEBUG   :     x28 0000000000000001  x29 0000007fda49d8d0_x000D_
11 20 20:58:37 460  1799  1799 F DEBUG   :     sp  0000007fda49d8a0  lr  00000074812a3064  pc  00000074812a30c8_x000D_
11 20 20:58:37 461  1799  1799 F DEBUG   : _x000D_
11 20 20:58:37 461  1799  1799 F DEBUG   : backtrace:_x000D_
11 20 20:58:37 461  1799  1799 F DEBUG   :      00 pc 00000000000460c8   system lib64 libriru f3a7 so_x000D_
11 20 20:58:37 461  1799  1799 F DEBUG   :      01 pc 0000000000003cec   data dalvik cache arm64 system framework 0c7177dd jar classes dex (offset 0x3000)_x000D_
11 20 20:58:37 529  1799  1799 E crash dump64: unable to connect to activity manager: Connection refused_x000D_
11 20 20:58:37 531  1518  1518 E  system bin tombstoned: Tombstone written to:  data tombstones tombstone 32_x000D_
_x000D_
   _x000D_
_x000D_
Both sandhook and yahfa produces the same error</t>
  </si>
  <si>
    <t>Anuken-Mindustry-3495</t>
  </si>
  <si>
    <t>Data export crash</t>
  </si>
  <si>
    <t xml:space="preserve">Platform: Android 9_x000D_
_x000D_
Build: beta 114_x000D_
_x000D_
Issue: Game crashes when i try to export save crash log data (file r w permission is given to app)_x000D_
_x000D_
No mods used_x000D_
_x000D_
Crash report: I cant export crash data aswell_x000D_
_x000D_
   _x000D_
_x000D_
 Place an X (no spaces) between the brackets to confirm that you have read the line below    _x000D_
   x    I have searched the closed and open issues to make sure that this problem has not already been reported   _x000D_
</t>
  </si>
  <si>
    <t>nextcloud-android-7406</t>
  </si>
  <si>
    <t xml:space="preserve">Crash during video playback streaming </t>
  </si>
  <si>
    <t xml:space="preserve">    Steps to reproduce_x000D_
1  Play video and touch or rotate screen_x000D_
2  Attempt to use  stream with     option in menu before playing video_x000D_
3  _x000D_
_x000D_
    Expected behaviour_x000D_
  Tell us what should happen_x000D_
_x000D_
Should play video and not crash_x000D_
_x000D_
    Actual behaviour_x000D_
  Tell us what happens_x000D_
Black screen or crash screen with debug log see below:_x000D_
             CAUSE OF ERROR             _x000D_
_x000D_
android app RemoteServiceException: Context startForegroundService() did not then call Service startForeground(): ServiceRecord 1f5c3a8 u0 com nextcloud client  media PlayerService _x000D_
	at android app ActivityThread H handleMessage(ActivityThread java:1855)_x000D_
	at android os Handler dispatchMessage(Handler java:106)_x000D_
	at android os Looper loop(Looper java:214)_x000D_
	at android app ActivityThread main(ActivityThread java:6986)_x000D_
	at java lang reflect Method invoke(Native Method)_x000D_
	at com android internal os RuntimeInit MethodAndArgsCaller run(RuntimeInit java:493)_x000D_
	at com android internal os ZygoteInit main(ZygoteInit java:1445)_x000D_
_x000D_
             APP INFORMATION             _x000D_
ID: com nextcloud client_x000D_
Version: 30140090_x000D_
Build flavor: gplay_x000D_
_x000D_
             DEVICE INFORMATION             _x000D_
Brand: samsung_x000D_
Device: starqltesq_x000D_
Model: SM G960U_x000D_
Id: PPR1 180610 011_x000D_
Product: starqltesq_x000D_
_x000D_
             FIRMWARE             _x000D_
SDK: 28_x000D_
Release: 9_x000D_
Incremental: G960USQS7CSI5_x000D_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</si>
  <si>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Anuken-Mindustry-3493</t>
  </si>
  <si>
    <t>Parallax + battery = Broken</t>
  </si>
  <si>
    <t xml:space="preserve">  Platform  :  Android iOS Mac Windows Linux  windows 10 64 bit_x000D_
_x000D_
  Build  :  The build number under the title in the main menu  Required   LATEST  IS NOT A VERSION  I NEED THE EXACT BUILD NUMBER OF YOUR GAME  _x000D_
bleeding edge 11414_x000D_
_x000D_
  Issue  :  Explain your issue in detail  _x000D_
parallax   battery   no_x000D_
_x000D_
  Steps to reproduce  :  How you happened across the issue  and what exactly you did to make the bug happen  _x000D_
have a parallax with some batteries in the net  it wont work _x000D_
_x000D_
https:  youtu be FUlF7ri0t3Q_x000D_
_x000D_
_x000D_
  Link(s) to mod(s) used  :  The mod repositories or zip files that are related to the issue  if applicable  _x000D_
n a_x000D_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in this save file I ve used dev mode to have you be a crux gamma _x000D_
_x000D_
 Parallax   Broken zip (https:  github com Anuken Mindustry files 5575226 Parallax Broken zip)_x000D_
_x000D_
_x000D_
  Crash report  :  The contents of relevant crash report files  REQUIRED if you are reporting a crash  _x000D_
n a_x000D_
   _x000D_
_x000D_
 Place an X (no spaces) between the brackets to confirm that you have read the line below    _x000D_
   X    I have not seen this issue be reported before   _x000D_
</t>
  </si>
  <si>
    <t>nextcloud-android-7402</t>
  </si>
  <si>
    <t xml:space="preserve">    Steps to reproduce_x000D_
1  Play MP4 file_x000D_
2  _x000D_
3  _x000D_
_x000D_
    Expected behaviour_x000D_
  video should play without crash_x000D_
_x000D_
    Actual behaviour_x000D_
  video play started and then crashed_x000D_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CAUSE OF ERROR             _x000D_
_x000D_
android app RemoteServiceException: Context startForegroundService() did not then call Service startForeground(): ServiceRecord 7233173 u0 com nextcloud client  media PlayerService _x000D_
	at android app ActivityThread H handleMessage(ActivityThread java:2188)_x000D_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APP INFORMATION             _x000D_
ID: com nextcloud client_x000D_
Version: 30140090_x000D_
Build flavor: gplay_x000D_
_x000D_
             DEVICE INFORMATION             _x000D_
Brand: samsung_x000D_
Device: a71xq_x000D_
Model: SM A716U_x000D_
Id: QP1A 190711 020_x000D_
Product: a71xqsq_x000D_
_x000D_
             FIRMWARE             _x000D_
SDK: 29_x000D_
Release: 10_x000D_
Incremental: A716USQU2BTJ3_x000D_
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</si>
  <si>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Anuken-Mindustry-3492</t>
  </si>
  <si>
    <t>Payload conveyors carrying scepters</t>
  </si>
  <si>
    <t xml:space="preserve">  Platform  :  Android iOS Mac Windows Linux _x000D_
_x000D_
Linux and Android_x000D_
_x000D_
  Build  :  The build number under the title in the main menu  Required   LATEST  IS NOT A VERSION  I NEED THE EXACT BUILD NUMBER OF YOUR GAME  _x000D_
_x000D_
Beta 115_x000D_
_x000D_
  Issue  :  Explain your issue in detail  _x000D_
_x000D_
Payload conveyors can carry scepters  (Only happens with scepters  no other t4 units )_x000D_
_x000D_
  Steps to reproduce  :  How you happened across the issue  and what exactly you did to make the bug happen  _x000D_
_x000D_
1  Construct a scepter_x000D_
2  While constructing  put a payload conveyor on the output part of the exponential reconstructor_x000D_
3  See the payload conveyor carrying the scepter_x000D_
  16 11 1 (https:  user images githubusercontent com 59574967 99812379 7204d300 2b57 11eb 9c17 b35f57e10cb6 png)_x000D_
_x000D_
_x000D_
  Link(s) to mod(s) used  :  The mod repositories or zip files that are related to the issue  if applicable  _x000D_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Used a clean save  reproduced the bug after a data reset  I don t think this is needed _x000D_
_x000D_
  Crash report  :  The contents of relevant crash report files  REQUIRED if you are reporting a crash  _x000D_
_x000D_
No crashes_x000D_
_x000D_
   _x000D_
_x000D_
 Place an X (no spaces) between the brackets to confirm that you have read the line below    _x000D_
   X    I have searched the closed and open issues to make sure that this problem has not already been reported   </t>
  </si>
  <si>
    <t>ankidroid-Anki-Android-7734</t>
  </si>
  <si>
    <t>ANR in unknown circumstances</t>
  </si>
  <si>
    <t xml:space="preserve">_x000D_
This is a vague report  apologies in advance  Our crash count is so low now though  that the top 2 ANRs are now the most likely cause for the app to fail for people  So here is the first one _x000D_
_x000D_
It appears to be a  waiting for connection  deadlock  in a single thread  with three different stacks (at least) evident _x000D_
_x000D_
What s causing it  Not exactly sure and it may be 1   reasons _x000D_
What could solve it  Not exactly sure  we haven t pursued ANRs before _x000D_
_x000D_
The stacks seem pretty similar  these are the ones coming out of DeckPicker ANRs_x000D_
_x000D_
Here are the stacks that show up in the hung thread reports:_x000D_
_x000D_
   _x000D_
  at sun misc Unsafe park (Unsafe java)_x000D_
  at java util concurrent locks LockSupport parkNanos (LockSupport java:230)_x000D_
  at io requery android database sqlite SQLiteConnectionPool waitForConnection (SQLiteConnectionPool java:672)_x000D_
  at io requery android database sqlite SQLiteConnectionPool acquireConnection (SQLiteConnectionPool java:352)_x000D_
  at io requery android database sqlite SQLiteSession acquireConnection (SQLiteSession java:906)_x000D_
  at io requery android database sqlite SQLiteSession prepare (SQLiteSession java:596)_x000D_
  at io requery android database sqlite SQLiteProgram  init  (SQLiteProgram java:60)_x000D_
  at io requery android database sqlite SQLiteQuery  init  (SQLiteQuery java:41)_x000D_
  at io requery android database sqlite SQLiteDirectCursorDriver query (SQLiteDirectCursorDriver java:44)_x000D_
  at io requery android database sqlite SQLiteDatabase rawQueryWithFactory (SQLiteDatabase java:1460)_x000D_
  at io requery android database sqlite SQLiteDatabase query (SQLiteDatabase java:1329)_x000D_
  at com ichi2 utils DatabaseChangeDecorator query (DatabaseChangeDecorator java:171)_x000D_
  at com ichi2 libanki DB query (DB java:171)_x000D_
  at com ichi2 libanki sched Sched eta (Sched java:1294)_x000D_
  at com ichi2 libanki sched SchedV2 eta (SchedV2 java:2819)_x000D_
  at com ichi2 anki widgets DeckAdapter getEta (DeckAdapter java:354)_x000D_
  at com ichi2 anki DeckPicker   renderPage (DeckPicker java:2480)_x000D_
  at com ichi2 anki DeckPicker UpdateDeckListListener actualOnPostExecute (DeckPicker java:2396)_x000D_
  at com ichi2 anki DeckPicker UpdateDeckListListener actualOnPostExecute (DeckPicker java:2367)_x000D_
  at com ichi2 async TaskListenerWithContext onPostExecute (TaskListenerWithContext java:50)_x000D_
  at com ichi2 async CollectionTask onPostExecute (CollectionTask java:523)_x000D_
  at com ichi2 async CollectionTask onPostExecute (CollectionTask java:93)_x000D_
  at android os AsyncTask finish (AsyncTask java:771)_x000D_
  at android os AsyncTask access 900 (AsyncTask java:199)_x000D_
  at android os AsyncTask InternalHandler handleMessage (AsyncTask java:788)_x000D_
  at android os Handler dispatchMessage (Handler java:106)_x000D_
  at android os Looper loop (Looper java:223)_x000D_
  at android app ActivityThread main (ActivityThread java:7656)_x000D_
  at java lang reflect Method invoke (Method java)_x000D_
  at com android internal os RuntimeInit MethodAndArgsCaller run (RuntimeInit java:592)_x000D_
  at com android internal os ZygoteInit main (ZygoteInit java:947)_x000D_
   _x000D_
_x000D_
_x000D_
   _x000D_
  at sun misc Unsafe park (Unsafe java)_x000D_
  at java util concurrent locks LockSupport parkNanos (LockSupport java:230)_x000D_
  at io requery android database sqlite SQLiteConnectionPool waitForConnection (SQLiteConnectionPool java:672)_x000D_
  at io requery android database sqlite SQLiteConnectionPool acquireConnection (SQLiteConnectionPool java:352)_x000D_
  at io requery android database sqlite SQLiteSession acquireConnection (SQLiteSession java:906)_x000D_
  at io requery android database sqlite SQLiteSession prepare (SQLiteSession java:596)_x000D_
  at io requery android database sqlite SQLiteProgram  init  (SQLiteProgram java:60)_x000D_
  at io requery android database sqlite SQLiteQuery  init  (SQLiteQuery java:41)_x000D_
  at io requery android database sqlite SQLiteDirectCursorDriver query (SQLiteDirectCursorDriver java:44)_x000D_
  at io requery android database sqlite SQLiteDatabase rawQueryWithFactory (SQLiteDatabase java:1460)_x000D_
  at io requery android database sqlite SQLiteDatabase query (SQLiteDatabase java:1329)_x000D_
  at com ichi2 utils DatabaseChangeDecorator query (DatabaseChangeDecorator java:169)_x000D_
  at com ichi2 libanki DB queryScalar (DB java:181)_x000D_
  at com ichi2 anki widgets DeckAdapter processNodes (DeckAdapter java:283)_x000D_
  at com ichi2 anki widgets DeckAdapter buildDeckList (DeckAdapter java:166)_x000D_
  at com ichi2 anki DeckPicker   renderPage (DeckPicker java:2421)_x000D_
  at com ichi2 anki DeckPicker UpdateDeckListListener actualOnPostExecute (DeckPicker java:2347)_x000D_
  at com ichi2 anki DeckPicker UpdateDeckListListener actualOnPostExecute (DeckPicker java:2318)_x000D_
  at com ichi2 async TaskListenerWithContext onPostExecute (TaskListenerWithContext java:50)_x000D_
  at com ichi2 async CollectionTask onPostExecute (CollectionTask java:499)_x000D_
  at com ichi2 async CollectionTask onPostExecute (CollectionTask java:91)_x000D_
  at android os AsyncTask finish (AsyncTask java:771)_x000D_
  at android os AsyncTask access 900 (AsyncTask java:199)_x000D_
  at android os AsyncTask InternalHandler handleMessage (AsyncTask java:788)_x000D_
  at android os Handler dispatchMessage (Handler java:106)_x000D_
  at android os Looper loop (Looper java:223)_x000D_
  at android app ActivityThread main (ActivityThread java:7656)_x000D_
  at java lang reflect Method invoke (Method java)_x000D_
  at com android internal os RuntimeInit MethodAndArgsCaller run (RuntimeInit java:592)_x000D_
  at com android internal os ZygoteInit main (ZygoteInit java:947)_x000D_
   _x000D_
_x000D_
   _x000D_
  at sun misc Unsafe park (Unsafe java)_x000D_
  at java util concurrent locks LockSupport parkNanos (LockSupport java:230)_x000D_
  at io requery android database sqlite SQLiteConnectionPool waitForConnection (SQLiteConnectionPool java:672)_x000D_
  at io requery android database sqlite SQLiteConnectionPool acquireConnection (SQLiteConnectionPool java:352)_x000D_
  at io requery android database sqlite SQLiteSession acquireConnection (SQLiteSession java:906)_x000D_
  at io requery android database sqlite SQLiteSession prepare (SQLiteSession java:596)_x000D_
  at io requery android database sqlite SQLiteProgram  init  (SQLiteProgram java:60)_x000D_
  at io requery android database sqlite SQLiteQuery  init  (SQLiteQuery java:41)_x000D_
  at io requery android database sqlite SQLiteDirectCursorDriver query (SQLiteDirectCursorDriver java:44)_x000D_
  at io requery android database sqlite SQLiteDatabase rawQueryWithFactory (SQLiteDatabase java:1460)_x000D_
  at io requery android database sqlite SQLiteDatabase query (SQLiteDatabase java:1329)_x000D_
  at com ichi2 utils DatabaseChangeDecorator query (DatabaseChangeDecorator java:171)_x000D_
  at com ichi2 libanki DB queryScalar (DB java:184)_x000D_
  at com ichi2 libanki sched Sched haveBuried (Sched java:1125)_x000D_
  at com ichi2 libanki sched Sched haveBuried (Sched java:1244)_x000D_
  at com ichi2 anki dialogs DeckPickerContextMenu getListIds (DeckPickerContextMenu java:134)_x000D_
  at com ichi2 anki dialogs DeckPickerContextMenu onCreateDialog (DeckPickerContextMenu java:85)_x000D_
  at androidx fragment app DialogFragment onGetLayoutInflater (DialogFragment java:419)_x000D_
  at androidx fragment app Fragment performGetLayoutInflater (Fragment java:1484)_x000D_
  at androidx fragment app FragmentStateManager createView (FragmentStateManager java:320)_x000D_
  at androidx fragment app FragmentManager moveToState (FragmentManager java:1187)_x000D_
  at androidx fragment app FragmentManager moveToState (FragmentManager java:1356)_x000D_
  at androidx fragment app FragmentManager moveFragmentToExpectedState (FragmentManager java:1434)_x000D_
  at androidx fragment app FragmentManager moveToState (FragmentManager java:1497)_x000D_
  at androidx fragment app BackStackRecord executeOps (BackStackRecord java:447)_x000D_
  at androidx fragment app FragmentManager executeOps (FragmentManager java:2169)_x000D_
  at androidx fragment app FragmentManager executeOpsTogether (FragmentManager java:1992)_x000D_
  at androidx fragment app FragmentManager removeRedundantOperationsAndExecute (FragmentManager java:1947)_x000D_
  at androidx fragment app FragmentManager execPendingActions (FragmentManager java:1849)_x000D_
  at androidx fragment app FragmentManager executePendingTransactions (FragmentManager java:489)_x000D_
  at com ichi2 anki AnkiActivity showDialogFragment (AnkiActivity java:427)_x000D_
  at com ichi2 anki AnkiActivity showDialogFragment (AnkiActivity java:411)_x000D_
  at com ichi2 anki DeckPicker 1 onLongClick (DeckPicker java:305)_x000D_
  at android view View performLongClickInternal (View java:7528)_x000D_
  at android view View performLongClick (View java:7486)_x000D_
  at android view View performLongClick (View java:7504)_x000D_
  at android view View CheckForLongPress run (View java:28263)_x000D_
  at android os Handler handleCallback (Handler java:938)_x000D_
  at android os Handler dispatchMessage (Handler java:99)_x000D_
  at android os Looper loop (Looper java:223)_x000D_
  at android app ActivityThread main (ActivityThread java:7660)_x000D_
  at java lang reflect Method invoke (Method java)_x000D_
  at com android internal os RuntimeInit MethodAndArgsCaller run (RuntimeInit java:592)_x000D_
  at com android internal os ZygoteInit main (ZygoteInit java:947)_x000D_
   _x000D_
_x000D_
   _x000D_
  at sun misc Unsafe park (Unsafe java)_x000D_
  at java util concurrent locks LockSupport parkNanos (LockSupport java:230)_x000D_
  at io requery android database sqlite SQLiteConnectionPool waitForConnection (SQLiteConnectionPool java:672)_x000D_
  at io requery android database sqlite SQLiteConnectionPool acquireConnection (SQLiteConnectionPool java:352)_x000D_
  at io requery android database sqlite SQLiteSession acquireConnection (SQLiteSession java:906)_x000D_
  at io requery android database sqlite SQLiteSession prepare (SQLiteSession java:596)_x000D_
  at io requery android database sqlite SQLiteProgram  init  (SQLiteProgram java:60)_x000D_
  at io requery android database sqlite SQLiteQuery  init  (SQLiteQuery java:41)_x000D_
  at io requery android database sqlite SQLiteDirectCursorDriver query (SQLiteDirectCursorDriver java:44)_x000D_
  at io requery android database sqlite SQLiteDatabase rawQueryWithFactory (SQLiteDatabase java:1460)_x000D_
  at io requery android database sqlite SQLiteDatabase query (SQLiteDatabase java:1329)_x000D_
  at com ichi2 utils DatabaseChangeDecorator query (DatabaseChangeDecorator java:169)_x000D_
  at com ichi2 libanki DB queryScalar (DB java:181)_x000D_
  at com ichi2 libanki sched SchedV2 haveBuriedSiblings (SchedV2 java:2288)_x000D_
  at com ichi2 libanki sched SchedV2 haveBuried (SchedV2 java:2806)_x000D_
  at com ichi2 anki dialogs DeckPickerContextMenu getListIds (DeckPickerContextMenu java:113)_x000D_
  at com ichi2 anki dialogs DeckPickerContextMenu onCreateDialog (DeckPickerContextMenu java:66)_x000D_
  at androidx fragment app DialogFragment onGetLayoutInflater (DialogFragment java:380)_x000D_
  at androidx fragment app Fragment performGetLayoutInflater (Fragment java:1412)_x000D_
  at androidx fragment app FragmentManagerImpl moveToState (FragmentManagerImpl java:881)_x000D_
  at androidx fragment app FragmentManagerImpl moveFragmentToExpectedState (FragmentManagerImpl java:1238)_x000D_
  at androidx fragment app FragmentManagerImpl moveToState (FragmentManagerImpl java:1303)_x000D_
  at androidx fragment app BackStackRecord executeOps (BackStackRecord java:439)_x000D_
  at androidx fragment app FragmentManagerImpl executeOps (FragmentManagerImpl java:2079)_x000D_
  at androidx fragment app FragmentManagerImpl executeOpsTogether (FragmentManagerImpl java:1869)_x000D_
  at androidx fragment app FragmentManagerImpl removeRedundantOperationsAndExecute (FragmentManagerImpl java:1824)_x000D_
  at androidx fragment app FragmentManagerImpl execPendingActions (FragmentManagerImpl java:1727)_x000D_
  at androidx fragment app FragmentManagerImpl executePendingTransactions (FragmentManagerImpl java:183)_x000D_
  at com ichi2 anki AnkiActivity showDialogFragment (AnkiActivity java:413)_x000D_
  at com ichi2 anki AnkiActivity showDialogFragment (AnkiActivity java:397)_x000D_
  at com ichi2 anki DeckPicker 3 onLongClick (DeckPicker java:299)_x000D_
  at android view View performLongClickInternal (View java:7528)_x000D_
  at android view View performLongClick (View java:7486)_x000D_
  at android view View performLongClick (View java:7504)_x000D_
  at android view View CheckForLongPress run (View java:28263)_x000D_
  at android os Handler handleCallback (Handler java:938)_x000D_
  at android os Handler dispatchMessage (Handler java:99)_x000D_
  at android os Looper loop (Looper java:223)_x000D_
  at android app ActivityThread main (ActivityThread java:7656)_x000D_
  at java lang reflect Method invoke (Method java)_x000D_
  at com android internal os RuntimeInit MethodAndArgsCaller run (RuntimeInit java:592)_x000D_
  at com android internal os ZygoteInit main (ZygoteInit java:947)_x000D_
   _x000D_
_x000D_
   _x000D_
  at sun misc Unsafe park (Unsafe java)_x000D_
  at java util concurrent locks LockSupport parkNanos (LockSupport java:230)_x000D_
  at io requery android database sqlite SQLiteConnectionPool waitForConnection (SQLiteConnectionPool java:672)_x000D_
  at io requery android database sqlite SQLiteConnectionPool acquireConnection (SQLiteConnectionPool java:352)_x000D_
  at io requery android database sqlite SQLiteSession acquireConnection (SQLiteSession java:906)_x000D_
  at io requery android database sqlite SQLiteSession prepare (SQLiteSession java:596)_x000D_
  at io requery android database sqlite SQLiteProgram  init  (SQLiteProgram java:60)_x000D_
  at io requery android database sqlite SQLiteQuery  init  (SQLiteQuery java:41)_x000D_
  at io requery android database sqlite SQLiteDirectCursorDriver query (SQLiteDirectCursorDriver java:44)_x000D_
  at io requery android database sqlite SQLiteDatabase rawQueryWithFactory (SQLiteDatabase java:1460)_x000D_
  at io requery android database sqlite SQLiteDatabase query (SQLiteDatabase java:1329)_x000D_
  at com ichi2 utils DatabaseChangeDecorator query (DatabaseChangeDecorator java:171)_x000D_
  at com ichi2 libanki DB queryScalar (DB java:184)_x000D_
  at com ichi2 libanki Collection cardCount (Collection java:1022)_x000D_
  at com ichi2 anki DeckPicker   renderPage (DeckPicker java:2483)_x000D_
  at com ichi2 anki DeckPicker UpdateDeckListListener actualOnPostExecute (DeckPicker java:2396)_x000D_
  at com ichi2 anki DeckPicker UpdateDeckListListener actualOnPostExecute (DeckPicker java:2367)_x000D_
  at com ichi2 async TaskListenerWithContext onPostExecute (TaskListenerWithContext java:50)_x000D_
  at com ichi2 async CollectionTask onPostExecute (CollectionTask java:523)_x000D_
  at com ichi2 async CollectionTask onPostExecute (CollectionTask java:93)_x000D_
  at android os AsyncTask finish (AsyncTask java:771)_x000D_
  at android os AsyncTask access 900 (AsyncTask java:199)_x000D_
  at android os AsyncTask InternalHandler handleMessage (AsyncTask java:788)_x000D_
  at android os Handler dispatchMessage (Handler java:106)_x000D_
  at android os Looper loop (Looper java:223)_x000D_
  at android app ActivityThread main (ActivityThread java:7656)_x000D_
  at java lang reflect Method invoke (Method java)_x000D_
  at com android internal os RuntimeInit MethodAndArgsCaller run (RuntimeInit java:592)_x000D_
  at com android internal os ZygoteInit main (ZygoteInit java:947)_x000D_
   </t>
  </si>
  <si>
    <t>TeamNewPipe-NewPipe-4933</t>
  </si>
  <si>
    <t>Unable to play any videos</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</si>
  <si>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The first box has been checked for you to show you how it is done     
   x  I am using the latest version   0 20 1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Attempt to play any video
    Actual behaviour
     Tell us what happens with the steps given above     
Error page with error  could not parse website 
    Expected behavior
     Tell us what you expect to happen     
Video plays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org schabi newpipe extractor exceptions ParsingException: YouTube did not provide player config even after three attempts
	at org schabi newpipe extractor services youtube extractors YoutubeStreamExtractor onFetchPage(YoutubeStreamExtractor java:664)
	at org schabi newpipe extractor Extractor fetchPage(Extractor java:56)
	at org schabi newpipe extractor stream StreamInfo getInfo(StreamInfo java:68)
	at org schabi newpipe extractor stream StreamInfo getInfo(StreamInfo java:64)
	at org schabi newpipe util ExtractorHelper lambda getStreamInfo 3(ExtractorHelper java:116)
	at org schabi newpipe util    Lambda ExtractorHelper 5fJcha6Sq5APJBLdG6osaJby mc call(Unknown Source:4)
	at io reactivex internal operators single SingleFromCallable subscribeActual(SingleFromCallable java:44)
	at io reactivex Single subscribe(Single java:3666)
	at io reactivex internal operators single SingleDoOnSuccess subscribeActual(SingleDoOnSuccess java:35)
	at io reactivex Single subscribe(Single java:3666)
	at io reactivex internal operators maybe MaybeFromSingle subscribeActual(MaybeFromSingle java:41)
	at io reactivex Maybe subscribe(Maybe java:4290)
	at io reactivex internal operators maybe MaybeConcatArray ConcatMaybeObserver drain(MaybeConcatArray java:153)
	at io reactivex internal operators maybe MaybeConcatArray ConcatMaybeObserver request(MaybeConcatArray java:78)
	at io reactivex internal operators flowable FlowableElementAtMaybe ElementAtSubscriber onSubscribe(FlowableElementAtMaybe java:66)
	at io reactivex internal operators maybe MaybeConcatArray subscribeActual(MaybeConcatArray java:42)
	at io reactivex Flowable subscribe(Flowable java:14935)
	at io reactivex internal operators flowable FlowableElementAtMaybe subscribeActual(FlowableElementAtMaybe java:36)
	at io reactivex Maybe subscribe(Maybe java:4290)
	at io reactivex internal operators maybe MaybeToSingle subscribeActual(MaybeToSingle java:46)
	at io reactivex Single subscribe(Single java:3666)
	at io reactivex internal operators single SingleSubscribeOn SubscribeOnObserver run(SingleSubscribeOn java:89)
	at io reactivex Scheduler DisposeTask run(Scheduler java:578)
	at io reactivex internal schedulers ScheduledRunnable run(ScheduledRunnable java:66)
	at io reactivex internal schedulers ScheduledRunnable call(ScheduledRunnable java:57)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java:919)
     Please fill this out when you do not provide a log generate by NewPipe    
    Device info
   Android version Custom ROM version: Linux Android 10   29
   Device model: LG V30 ThinQ
</t>
  </si>
  <si>
    <t>JuanSeBestia-react-native-wifi-reborn-142</t>
  </si>
  <si>
    <t>Broken dependencies</t>
  </si>
  <si>
    <t xml:space="preserve">Environments_x000D_
   react :  16 13 1  _x000D_
   react native :  0 63 3  _x000D_
   react native wifi reborn :   4 3 3  _x000D_
_x000D_
Description_x000D_
  When I call connectToProtectedSSID()  app was crashed with error that elvis class not found _x000D_
_x000D_
And I manually add the dependency to react native wifi reborn_x000D_
  implementation  com thanosfisherman elvis:elvis:3 0 _x000D_
_x000D_
after that  it work correctly </t>
  </si>
  <si>
    <t>Anuken-Mindustry-3479</t>
  </si>
  <si>
    <t>fix the recognition of waves you are in when you enter a sector under attack.</t>
  </si>
  <si>
    <t xml:space="preserve">  Platform  :  Android iOS Mac Windows Linux _x000D_
Windows 10_x000D_
  Build  :  The build number under the title in the main menu  Required   LATEST  IS NOT A VERSION  I NEED THE EXACT BUILD NUMBER OF YOUR GAME  _x000D_
steam build 115_x000D_
  Issue  :  Explain your issue in detail  _x000D_
Basically I entered the low sector at tack in round 137 140 and at that moment this bug was made in the game  something that would not have to happen but it happened  and half a laugh because you are in round 140 140 and the boss comes out in 142 in a few words it is as if it were something similar to real life XD _x000D_
_x000D_
  Sin t tulo (https:  user images githubusercontent com 74759015 99768631 dc7c2b80 2ae3 11eb 8190 43bb47d7b9d3 png)_x000D_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</si>
  <si>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zoontek-react-native-localize-123</t>
  </si>
  <si>
    <t>Receiver not registered: com.zoontek.rnlocalize.RNLocalizeModule</t>
  </si>
  <si>
    <t xml:space="preserve">  Bug report_x000D_
_x000D_
   Summary_x000D_
_x000D_
After updating to the newest version of the library (2 0 0) we started getting crashes in production _x000D_
_x000D_
   _x000D_
Fatal Exception: java lang RuntimeException: Unable to destroy activity  com XXX com XXX MainActivity : java lang IllegalArgumentException: Receiver not registered: com zoontek rnlocalize RNLocalizeModule a 6268bf1_x000D_
       at android app ActivityThread performDestroyActivity(ActivityThread java:4952)_x000D_
       at android app ActivityThread handleDestroyActivity(ActivityThread java:4981)_x000D_
       at android app servertransaction DestroyActivityItem execute(DestroyActivityItem java:44)_x000D_
       at android app servertransaction TransactionExecutor executeLifecycleState(TransactionExecutor java:176)_x000D_
       at android app servertransaction TransactionExecutor execute(TransactionExecutor java:97)_x000D_
       at android app ActivityThread H handleMessage(ActivityThread java:2021)_x000D_
       at android os Handler dispatchMessage(Handler java:107)_x000D_
       at android os Looper loop(Looper java:359)_x000D_
       at android app ActivityThread main(ActivityThread java:7407)_x000D_
       at java lang reflect Method invoke(Method java)_x000D_
       at com android internal os RuntimeInit MethodAndArgsCaller run(RuntimeInit java:492)_x000D_
       at com android internal os ZygoteInit main(ZygoteInit java:935)_x000D_
   _x000D_
_x000D_
   Environment info_x000D_
_x000D_
 react native info  output:_x000D_
_x000D_
   bash_x000D_
System:_x000D_
    OS: macOS 10 15 6_x000D_
    CPU: (8) x64 Intel(R) Core(TM) i7 8559U CPU   2 70GHz_x000D_
    Memory: 26 96 MB   16 00 GB_x000D_
    Shell: 3 2 57    bin bash_x000D_
  Binaries:_x000D_
    Node: 12 15 0      nvm versions node v12 15 0 bin node_x000D_
    Yarn: 1 22 5    usr local bin yarn_x000D_
    npm: 6 13 4      nvm versions node v12 15 0 bin npm_x000D_
    Watchman: Not Found_x000D_
  Managers:_x000D_
    CocoaPods: 1 10 0    usr local bin pod_x000D_
  SDKs:_x000D_
    iOS SDK:_x000D_
      Platforms: iOS 14 1  DriverKit 19 0  macOS 10 15  tvOS 14 0  watchOS 7 0_x000D_
    Android SDK:_x000D_
      API Levels: 28  29  30_x000D_
      Build Tools: 28 0 3  29 0 2  30 0 2_x000D_
      System Images: android 27   Google Play Intel x86 Atom  android 28   Intel x86 Atom 64  android 28   Google Play Intel x86 Atom  android 30   Google APIs Intel x86 Atom  android 30   Google Play Intel x86 Atom  android 30   Google Play Intel x86 Atom 64_x000D_
      Android NDK: Not Found_x000D_
  IDEs:_x000D_
    Android Studio: 4 0 AI 193 6911 18 40 6626763_x000D_
    Xcode: 12 1 12A7403    usr bin xcodebuild_x000D_
  Languages:_x000D_
    Java: 14 0 2    usr bin javac_x000D_
    Python: 2 7 16    usr bin python_x000D_
  npmPackages:_x000D_
     react native community cli: Not Found_x000D_
    react: 16 13 1    16 13 1_x000D_
    react native: 0 63 3    0 63 3_x000D_
    react native macos: Not Found_x000D_
  npmGlobalPackages:_x000D_
     react native : Not Found_x000D_
   _x000D_
_x000D_
Library version: 2 0 0_x000D_
_x000D_
   Steps to reproduce_x000D_
_x000D_
To my regret  I can t provide the steps to reproduce the issue  _x000D_
_x000D_
Some extra info from Crashlytics:_x000D_
1) The app is 100  time is in the background  but I m not sure whether that means that the app crashes when the user tries to close it  or that the app crashes when the app is in the background_x000D_
2) The issue  for now  has been seen on Android 9   10 </t>
  </si>
  <si>
    <t>AOF-Dev-MCinaBox-695</t>
  </si>
  <si>
    <t>On 1.13.2 Crashes when on launch</t>
  </si>
  <si>
    <t xml:space="preserve">  Describe the crash  _x000D_
I open up Minecraft 1 13 2 then after a few seconds after loading it crashes _x000D_
_x000D_
  To Reproduce  _x000D_
Steps to reproduce the crash:_x000D_
1  Go to home_x000D_
2  Click on select version (with 1 13 2 selected)_x000D_
3  Wait_x000D_
4  See the crash_x000D_
_x000D_
  Expected behavior  _x000D_
It worked for 1 7 10_x000D_
  Screenshots  _x000D_
I don t have any screenshots  but I have a recording_x000D_
https:  youtu be BaA7K0wmZrg_x000D_
_x000D_
  Smartphone (please complete the following information):  _x000D_
   Device: Lenovo C330 Chromebook_x000D_
   OS: Chromeos with android subsystem: Android 9 (32 bit)_x000D_
   App Version 0 1 4 p4 arm32</t>
  </si>
  <si>
    <t>AriaLyy-Aria-805</t>
  </si>
  <si>
    <t>类转换异常</t>
  </si>
  <si>
    <t xml:space="preserve">                              _x000D_
_x000D_
2020 11 20 11:37:18 280 29946 2199 com kk so I UTaskQueue:      key  sdcard base apk_x000D_
2020 11 20 11:37:18 287 29946 2199 com kk so D BaseCachePool:    base apk         _x000D_
2020 11 20 11:37:18 289 29946 2199 com kk so D StartCmd:             3_x000D_
2020 11 20 11:37:18 289 29946 2199 com kk so I UTaskQueue:      key  sdcard base apk_x000D_
2020 11 20 11:37:18 289 29946 2199 com kk so I UTaskQueue:      key  sdcard base apk_x000D_
2020 11 20 11:37:18 289 29946 2199 com kk so D UploadExecutePool:    base apk         _x000D_
    _x000D_
              beginning of crash_x000D_
2020 11 20 11:37:18 319 29946 2200 com kk so E AndroidRuntime: FATAL EXCEPTION: Thread 20_x000D_
    Process: com kk so  PID: 29946_x000D_
    java lang ClassCastException: com arialyy aria orm DelegateFind cannot be cast to com arialyy aria orm DelegateUpdate_x000D_
        at com arialyy aria orm DelegateWrapper insertData(DelegateWrapper java:181)_x000D_
        at com arialyy aria orm DbEntity insert(DbEntity java:293)_x000D_
        at com arialyy aria orm DbEntity save(DbEntity java:267)_x000D_
        at com arialyy aria core common RecordHandler saveRecord(RecordHandler java:183)_x000D_
        at com arialyy aria core common RecordHandler getRecord(RecordHandler java:96)_x000D_
        at com arialyy aria http upload HttpULoader handleTask(HttpULoader java:59)_x000D_
        at com arialyy aria core loader AbsNormalLoader startFlow(AbsNormalLoader java:133)_x000D_
        at com arialyy aria core loader AbsNormalLoader run(AbsNormalLoader java:115)_x000D_
        at java lang Thread run(Thread java:764)_x000D_
_x000D_
_x000D_
_x000D_
</t>
  </si>
  <si>
    <t>fennifith-Alarmio-143</t>
  </si>
  <si>
    <t>Alarm times retain a hidden timezone</t>
  </si>
  <si>
    <t xml:space="preserve">    _x000D_
Please verify that there are no duplicate issues before creating one  and check that you are using the latest version of the app _x000D_
For crash reports and other bugs and errors  please use the template below to add your device info so that I can find the cause more easily _x000D_
For the angels that are contributing   building the app yourself  please read CONTRIBUTING md (in   github) before reporting any issues as there are certain instructions you must follow to compile a working version of the app _x000D_
   _x000D_
_x000D_
Alarms seem to retain the timezone they are created in  and no longer correspond to local time once the timezone has changed  The timezone is not visible in the UI  but can be deduced from the offset in the  X hours Y minutes from now  text when the alarm is enabled _x000D_
_x000D_
   Device Info_x000D_
_x000D_
  Brand:  OnePlus _x000D_
  Model name:  3T _x000D_
  Android version:  LineageOS 17 1   Android 10 _x000D_
_x000D_
   Steps to Reproduce_x000D_
_x000D_
  Create an alarm_x000D_
  Enable the alarm_x000D_
  Observe that the  X hours Y minutes from now  text shows the correct offset between the current time and the alarm time_x000D_
  Change timezones_x000D_
  Enable the same alarm_x000D_
  Observe that the  X hours Y Minutes from now  text has an offset of the difference between the original and the current timezone_x000D_
</t>
  </si>
  <si>
    <t>bytedance-AabResGuard-41</t>
  </si>
  <si>
    <t xml:space="preserve">[CRASH]whiteList添加了"*.R.string.google_app_id"之后app启动就会crash </t>
  </si>
  <si>
    <t xml:space="preserve">whiteList      R string google app id       release      crash    OK_x000D_
     _x000D_
aabResGuard  _x000D_
    whiteList             _x000D_
                     R string google app id  _x000D_
     _x000D_
    obfuscatedBundleFileName    duplicated app aab                    aab    _x000D_
    mergeDuplicatedRes   true              _x000D_
    enableFilterFiles   false            _x000D_
    filterList              _x000D_
                        arm64 v8a    _x000D_
                      META INF   _x000D_
     _x000D_
    enableFilterStrings   false        _x000D_
    unusedStringPath   file( unused txt ) toPath()                mapping     _x000D_
      languageWhiteList     en    zh        en en xx zh zh xx         _x000D_
 </t>
  </si>
  <si>
    <t>nextcloud-android-7386</t>
  </si>
  <si>
    <t>App crashes when playing a mp4 video</t>
  </si>
  <si>
    <t xml:space="preserve">    Steps to reproduce_x000D_
1  Upload mp4 video_x000D_
2  Attempt to play same video from the same android device it was uploaded with  but within nextcloud _x000D_
_x000D_
    Expected behaviour_x000D_
  Video should play like the other mp4 videos  If the video was not uploaded by the same device it s being attempted to be played on  all is well  _x000D_
_x000D_
    Actual behaviour_x000D_
  app crashes  _x000D_
_x000D_
    Can you reproduce this problem on https:  try nextcloud com _x000D_
  According to the report  it s a bug in the app_x000D_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CAUSE OF ERROR             _x000D_
_x000D_
android app RemoteServiceException: Context startForegroundService() did not then call Service startForeground(): ServiceRecord 4beb168 u0 com nextcloud client  media PlayerService _x000D_
	at android app ActivityThread H handleMessage(ActivityThread java:2068)_x000D_
	at android os Handler dispatchMessage(Handler java:107)_x000D_
	at android os Looper loop(Looper java:237)_x000D_
	at android app ActivityThread main(ActivityThread java:7814)_x000D_
	at java lang reflect Method invoke(Native Method)_x000D_
	at com android internal os RuntimeInit MethodAndArgsCaller run(RuntimeInit java:493)_x000D_
	at com android internal os ZygoteInit main(ZygoteInit java:1075)_x000D_
_x000D_
             APP INFORMATION             _x000D_
ID: com nextcloud client_x000D_
Version: 30140090_x000D_
Build flavor: gplay_x000D_
_x000D_
             DEVICE INFORMATION             _x000D_
Brand: samsung_x000D_
Device: a50_x000D_
Model: SM A505G_x000D_
Id: QP1A 190711 020_x000D_
Product: a50ub_x000D_
_x000D_
             FIRMWARE             _x000D_
SDK: 29_x000D_
Release: 10_x000D_
Incremental: A505GUBS5BTJ4_x000D_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t>
  </si>
  <si>
    <t>GeyserMC-GeyserAndroid-13</t>
  </si>
  <si>
    <t>Config crash</t>
  </si>
  <si>
    <t xml:space="preserve">  Describe the bug  _x000D_
The app crashes if you change the port in the config _x000D_
_x000D_
  To Reproduce  _x000D_
1  Go to Geyser_x000D_
2  Click on CONFIG_x000D_
3  Select Port_x000D_
4  Delete the default 25565 via the delete button (do not select all and delete)_x000D_
_x000D_
  Expected behavior  _x000D_
No crash :)_x000D_
_x000D_
  Screenshots   Videos  _x000D_
 GB1 zip (https:  github com rtm516 GeyserAndroid files 5568774 GB1 zip)_x000D_
_x000D_
  Android OS Version  _x000D_
8 0 0 and 7 1 2_x000D_
_x000D_
  Android App Version  _x000D_
1 2 2      App Revision: 521b8d49b0e43e0e22a30adc9070a0919da58be8_x000D_
_x000D_
  Geyser Version  _x000D_
Geyser Version 1 2 0 SNAPSHOT (git master 4297215) (Java: 1 16 4  Bedrock: 1 16 100 60)</t>
  </si>
  <si>
    <t>TeamNewPipe-NewPipe-4926</t>
  </si>
  <si>
    <t>Volume gesture not working everywhere in fullscreen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</si>
  <si>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Change video player settings to only have volume gesture enabled (i e  disable the brightness gesture)_x000D_
2  Open any video in fullscreen mode_x000D_
3  Try and change the volume by moving finger up and down on the left side on the screen_x000D_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Nothing happens  If you instead try the same gesture on the right side of the screen  it works as expected _x000D_
_x000D_
_x000D_
    Expected behavior_x000D_
     Tell us what you expect to happen     _x000D_
The volume gesture should work across the entire screen  This used to work on previous verisions  but doesn t anymore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Sorry for the low resolution  I tried to get a small gif (since GitHub doesn t support any video formats)  I think you can still clearly see the problem though _x000D_
_x000D_
  screen 20201119 183505 (https:  user images githubusercontent com 20151081 99703154 0f4c0280 2a97 11eb 80d7 4a99df111614 gif)_x000D_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11_x000D_
   Device model: Google Pixel 3a_x000D_
</t>
  </si>
  <si>
    <t>TeamNewPipe-NewPipe-4924</t>
  </si>
  <si>
    <t>Long channel names move service name off the 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</si>
  <si>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Bookmark  the playlist example (https:  www youtube com playlist list FLoXvuW2IhFawuNyk4yL3EkQ)_x000D_
2  Go to  Bookmarked Playlists _x000D_
3  See the service name off the screen_x000D_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Long channel names move service name off the screen _x000D_
_x000D_
    Expected behavior_x000D_
     Tell us what you expect to happen     _x000D_
_x000D_
Service name should stay on the screen even with long channel name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1 (https:  user images githubusercontent com 14265316 99696227 85546780 2a9f 11eb 9d92 86eea6109054 png)_x000D_
_x000D_
I propose to move service name to another string  something like this:_x000D_
_x000D_
  2 (https:  user images githubusercontent com 14265316 99696254 8e453900 2a9f 11eb 9863 b391906057b9 png)_x000D_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10_x000D_
</t>
  </si>
  <si>
    <t>nextcloud-android-7379</t>
  </si>
  <si>
    <t xml:space="preserve">Sorry  I cannot give steps to reproduce  Nextcloud on my android (Sony Xperia xz premium  android 9) keeps crashing  or rather needs to be force closed _x000D_
_x000D_
I have a background process that is uploading the contents of my sd card (128GB  mainly audio and photos) _x000D_
_x000D_
Much of the time  there is a notification of a file uploading  but the   never changes  It could be 48   it could be 100  _x000D_
_x000D_
Rebooting seems to help but only a few files will complete before getting stuck again  _x000D_
_x000D_
It finally offered a bug report to post  so here it is:_x000D_
_x000D_
             CAUSE OF ERROR             _x000D_
_x000D_
android app RemoteServiceException: Context startForegroundService() did not then call Service startForeground(): ServiceRecord 9bc3342 u0 com nextcloud client com owncloud android files services FileUploader _x000D_
	at android app ActivityThread H handleMessage(ActivityThread java:1743)_x000D_
	at android os Handler dispatchMessage(Handler java:106)_x000D_
	at android os Looper loop(Looper java:280)_x000D_
	at android app ActivityThread main(ActivityThread java:6706)_x000D_
	at java lang reflect Method invoke(Native Method)_x000D_
	at com android internal os RuntimeInit MethodAndArgsCaller run(RuntimeInit java:493)_x000D_
	at com android internal os ZygoteInit main(ZygoteInit java:858)_x000D_
_x000D_
             APP INFORMATION             _x000D_
ID: com nextcloud client_x000D_
Version: 30130190_x000D_
Build flavor: gplay_x000D_
_x000D_
             DEVICE INFORMATION             _x000D_
Brand: Sony_x000D_
Device: G8141_x000D_
Model: G8141_x000D_
Id: 47 2 A 10 107_x000D_
Product: G8141_x000D_
_x000D_
             FIRMWARE             _x000D_
SDK: 28_x000D_
Release: 9_x000D_
Incremental: 172320177_x000D_
_x000D_
</t>
  </si>
  <si>
    <t>TeamNewPipe-NewPipe-4920</t>
  </si>
  <si>
    <t>App crashes when launched without internet</t>
  </si>
  <si>
    <t xml:space="preserve">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Close NewPipe (if open)_x000D_
2  Remove the app from Recents_x000D_
3  Disconnect the device from the internet_x000D_
4  Launch NewPipe_x000D_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App crashes _x000D_
(Unfortunately  NewPipe has stopped )_x000D_
_x000D_
    Expected behavior_x000D_
     Tell us what you expect to happen     _x000D_
_x000D_
In the previous release (v0 20 2)  the app would open without internet _x000D_
_x000D_
    Screen recording_x000D_
_x000D_
  final 4920 (https:  user images githubusercontent com 65857597 99670912 45898200 2a97 11eb 94dc 8aa6190c8676 gif)_x000D_
_x000D_
    Device info_x000D_
_x000D_
   Android version Custom ROM version: Android 6 0 1_x000D_
   Device model: Samsung SM G550FY_x000D_
_x000D_
_x000D_
I could reproduce this on 2 devices </t>
  </si>
  <si>
    <t>HamedTaherpour-ht-epub-reader-android-2</t>
  </si>
  <si>
    <t>Problem with some epub files</t>
  </si>
  <si>
    <t xml:space="preserve">The file gets downloaded but when I open it it just shows Error (that means no sublist too)  the sample you provided works properly  When the link is not a valid epub app gets crash _x000D_
_x000D_
 HamedTaherpour </t>
  </si>
  <si>
    <t>ankidroid-Anki-Android-7721</t>
  </si>
  <si>
    <t>Reset Password Crash: Open URL in MX Player</t>
  </si>
  <si>
    <t>https:  couchdb ankidroid org acralyzer  design acralyzer index html  report details d6a58a56 683a 44fb b764 421e1c3e7d0f_x000D_
_x000D_
   _x000D_
java lang SecurityException: Permission Denial: starting Intent   act android intent action VIEW dat http:  ankiweb net     flg 0x10000 cmp com mxtech videoplayer ad com mxtech videoplayer ActivityWebBrowser   from ProcessRecord d14351dd0 30129:com ichi2 anki u0a214  (pid 30129  uid 10214) not exported from uid 10256_x000D_
at android os Parcel createException(Parcel java:1966)_x000D_
at android os Parcel readException(Parcel java:1934)_x000D_
at android os Parcel readException(Parcel java:1884)_x000D_
at android app IActivityManager Stub Proxy startActivity(IActivityManager java:3604)_x000D_
at android app Instrumentation execStartActivity(Instrumentation java:1669)_x000D_
at android app Activity startActivityForResult(Activity java:4688)_x000D_
at androidx fragment app FragmentActivity startActivityForResult(FragmentActivity java:6)_x000D_
at android app Activity startActivityForResult(Activity java:4646)_x000D_
at androidx fragment app FragmentActivity startActivityForResult(FragmentActivity java:3)_x000D_
at com ichi2 anki AnkiActivity startActivityForResult(AnkiActivity java:1)_x000D_
at android app Activity startActivity(Activity java:5007)_x000D_
at android app Activity startActivity(Activity java:4975)_x000D_
at com ichi2 anki AnkiActivity startActivityWithoutAnimation(AnkiActivity java:2)_x000D_
at com ichi2 anki MyAccount resetPassword(MyAccount java:4)_x000D_
at com ichi2 anki MyAccount e(MyAccount java:1)_x000D_
at com ichi2 anki d4 onClick(Unknown Source:2)_x000D_
at android view View performClick(View java:7333)_x000D_
at android widget TextView performClick(TextView java:14160)_x000D_
at android view View performClickInternal(View java:7299)_x000D_
at android view View access 3200(View java:846)_x000D_
at android view View PerformClick run(View java:27772)_x000D_
at android os Handler handleCallback(Handler java:873)_x000D_
at android os Handler dispatchMessage(Handler java:99)_x000D_
at android os Looper loop(Looper java:214)_x000D_
at android app ActivityThread main(ActivityThread java:6981)_x000D_
at java lang reflect Method invoke(Native Method)_x000D_
at com android internal os RuntimeInit MethodAndArgsCaller run(RuntimeInit java:493)_x000D_
at com android internal os ZygoteInit main(ZygoteInit java:1445)_x000D_
Caused by: android os RemoteException: Remote stack trace:_x000D_
at com android server am ActivityStackSupervisor checkStartAnyActivityPermission(ActivityStackSupervisor java:2128)_x000D_
at com android server am ActivityStarter startActivity(ActivityStarter java:889)_x000D_
at com android server am ActivityStarter startActivity(ActivityStarter java:659)_x000D_
at com android server am ActivityStarter startActivityMayWait(ActivityStarter java:1503)_x000D_
at com android server am ActivityStarter execute(ActivityStarter java:601)_x000D_
                                                                 _x000D_
   _x000D_
_x000D_
https:  stackoverflow com questions 57223127 securityexception crash opening link in external browser when mx player is inst</t>
  </si>
  <si>
    <t>material-components-material-components-android-1885</t>
  </si>
  <si>
    <t>[Snackbar/BaseTransientBottomBar] NPE in shouldAnimate</t>
  </si>
  <si>
    <t xml:space="preserve">  Description:   We are seeing a growing number of crashes due to:_x000D_
Fatal Exception: java lang NullPointerException: Attempt to invoke virtual method  java util List android view accessibility AccessibilityManager getEnabledAccessibilityServiceList(int)  on a null object reference_x000D_
_x000D_
which happen at_x000D_
_x000D_
 com google android material snackbar BaseTransientBottomBar shouldAnimate(BaseTransientBottomBar java:1060)_x000D_
_x000D_
_x000D_
  Source code:   _x000D_
        Snackbar make(_x000D_
                    view _x000D_
                    getString(R string oops something went wrong) _x000D_
                    Snackbar LENGTH SHORT_x000D_
                ) show()_x000D_
_x000D_
  Android API version:   9 and 10_x000D_
  Material Library version:   1 2 0_x000D_
_x000D_
  Device:   Device on which the bug was encountered here_x000D_
HUAWEI P30 lite_x000D_
P20_x000D_
P20 Pro_x000D_
Galaxy S8_x000D_
Galaxy S8 _x000D_
etc</t>
  </si>
  <si>
    <t>gsantner-markor-1130</t>
  </si>
  <si>
    <t>Prevent onSelectionChanged from triggering a bug with larger files</t>
  </si>
  <si>
    <t>The fundamental issue in https:  github com gsantner markor issues 1128 appears to be that the  onSelectionChange  code in the  TextView  base class calls some accessibility service  The  whole text of the document  is passed to this service through an intent  The whole document can exceed the intent size limit  causing a crash which sometimes propagates back to markor _x000D_
_x000D_
Blocking the call prevents this</t>
  </si>
  <si>
    <t>Anuken-Mindustry-3457</t>
  </si>
  <si>
    <t>Load proving too much for older GPUs</t>
  </si>
  <si>
    <t xml:space="preserve">  Platform  :  Anything old _x000D_
_x000D_
  Build  :  105  (current 114 2) _x000D_
_x000D_
  Issue  :  Mindustry relies quite heavily on GPU  and I have so far experienced multiple issues  crashes  etc  related to the 6 0 load on GPUs  _x000D_
_x000D_
  Steps to reproduce  :  Try to play large  heavily developed maps load mods on an older device     DO NOT ATTEMPT THIS ON YOUR SNAZZY NEW DEVICES  AS THIS ONLY APPLIES TO OLDER CHEAPER LOWER QUALITY DEVICES    (shows more on iOS due to the painfully weak GPUs in them)_x000D_
_x000D_
  Testing Device(s)  :  Apple iPod Touch 6  Samsung Galaxy Tab 4 7 0 _x000D_
_x000D_
  Link(s) to mod(s) used  :  how do I link all the 6 0 mods in existence again     Optional  and an important thing to test  _x000D_
_x000D_
  Save file  :  null _x000D_
_x000D_
  Crash report  :  The crashes leave no logs  _x000D_
_x000D_
  Possible fix  :  Make Mindustry visually render in chunks or only in the range of the players  view but make the entire map handled (invisibly) by the CPU  Or optimize graphics for the game  though both these options may be impossible to implement  _x000D_
  come to think of it  the first option would make fire less laggy   _x000D_
_x000D_
   _x000D_
_x000D_
 Place an X (no spaces) between the brackets to confirm that you have read the line below    _x000D_
   X    I have not really searched the closed and open issues to make sure that this problem has not already been reported  but I have made previous issues like this one that did not fix this issue   _x000D_
</t>
  </si>
  <si>
    <t>Anuken-Mindustry-3455</t>
  </si>
  <si>
    <t>V5 mod scripts completely broken in V6</t>
  </si>
  <si>
    <t xml:space="preserve">  Platform  : Windows 10_x000D_
_x000D_
  Build  : Steam 114 2_x000D_
_x000D_
  Issue  : I have been trying to translate the V5 scripting to V6  but it seems that it s impossible to fix   _x000D_
_x000D_
rhino EcmaError: TypeError: Cannot call method  get  of undefined (multimelter 31)_x000D_
	at rhino ScriptRuntime constructError(ScriptRuntime java:3955)_x000D_
	at rhino ScriptRuntime constructError(ScriptRuntime java:3935)_x000D_
	at rhino ScriptRuntime typeError(ScriptRuntime java:3964)_x000D_
	at rhino ScriptRuntime typeError2(ScriptRuntime java:3980)_x000D_
	at rhino ScriptRuntime undefCallError(ScriptRuntime java:3994)_x000D_
	at rhino ScriptRuntime getPropFunctionAndThisHelper(ScriptRuntime java:2339)_x000D_
	at rhino ScriptRuntime getPropFunctionAndThis(ScriptRuntime java:2333)_x000D_
	at rhino gen multimelter 11  c anonymous 1(multimelter:31)_x000D_
	at rhino gen multimelter 11 call(multimelter)_x000D_
	at rhino ContextFactory doTopCall(ContextFactory java:346)_x000D_
	at rhino ScriptRuntime doTopCall(ScriptRuntime java:3303)_x000D_
	at rhino gen multimelter 11 call(multimelter)_x000D_
	at rhino JavaAdapter doCall(JavaAdapter java:572)_x000D_
	at rhino JavaAdapter callMethod(JavaAdapter java:554)_x000D_
	at adapter14 drawBase( adapter )_x000D_
	at mindustry graphics BlockRenderer drawBlocks(BlockRenderer java:263)_x000D_
	at mindustry core Renderer draw(Renderer java:256)_x000D_
	at mindustry core Renderer update(Renderer java:92)_x000D_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_x000D_
_x000D_
  Steps to reproduce  :  How you happened across the issue  and what exactly you did to make the bug happen  _x000D_
_x000D_
  Link(s) to mod(s) used  : https:  github com z0mbiesrock Diamond Ore tree 6 0_x000D_
_x000D_
  Save file  : not applicable_x000D_
_x000D_
  Crash report  :_x000D_
 crash report 11 18 2020 18 17 19 txt (https:  github com Anuken Mindustry files 5563304 crash report 11 18 2020 18 17 19 txt)_x000D_
_x000D_
_x000D_
   _x000D_
_x000D_
 Place an X (no spaces) between the brackets to confirm that you have read the line below    _x000D_
   X    I have searched the closed and open issues to make sure that this problem has not already been reported   _x000D_
</t>
  </si>
  <si>
    <t>Anuken-Mindustry-3453</t>
  </si>
  <si>
    <t>crash upon opening campaign</t>
  </si>
  <si>
    <t xml:space="preserve">  Platform  : Android 9_x000D_
_x000D_
  Build  : 11346_x000D_
_x000D_
  Issue  _x000D_
Crash upon opening planet dialog _x000D_
Probably caused by routorio s icon _x000D_
I think error should be caught  print  Unknown icon  s for sector  d  and reset it _x000D_
_x000D_
  Steps to reproduce  :_x000D_
1  Open campaign_x000D_
2  crash_x000D_
_x000D_
  Link(s) to mod(s) used  : deltanedas routorio_x000D_
_x000D_
  Save file  : confidential_x000D_
_x000D_
  Crash report  : _x000D_
 crash 1605740536585 txt (https:  github com Anuken Mindustry files 5563281 crash 1605740536585 txt)_x000D_
_x000D_
_x000D_
   _x000D_
_x000D_
 Place an X (no spaces) between the brackets to confirm that you have read the line below    _x000D_
   X    I have searched the closed and open issues to make sure that this problem has not already been reported   _x000D_
</t>
  </si>
  <si>
    <t>wmcmahan-react-native-calendar-events-332</t>
  </si>
  <si>
    <t>Android findEventById crashes when searching for a UUID</t>
  </si>
  <si>
    <t xml:space="preserve">     Describe your issue in detail     _x000D_
_x000D_
    Environment_x000D_
_x000D_
NodeJs v10 14 0_x000D_
React Native (Android and iOS)_x000D_
_x000D_
     Required  Run  react native info  in your terminal and paste its contents here     _x000D_
_x000D_
    Steps to Reproduce_x000D_
System:_x000D_
    OS: macOS Mojave 10 14 6_x000D_
    CPU: (8) x64 Intel(R) Core(TM) i5 8279U CPU   2 40GHz_x000D_
    Memory: 265 70 MB   8 00 GB_x000D_
    Shell: 3 2 57    bin bash_x000D_
  Binaries:_x000D_
    Node: 10 14 0      nvm versions node v10 14 0 bin node_x000D_
    Yarn: 1 22 10    usr local bin yarn_x000D_
    npm: 6 4 1      nvm versions node v10 14 0 bin npm_x000D_
    Watchman: 4 9 0    usr local bin watchman_x000D_
  SDKs:_x000D_
    iOS SDK:_x000D_
      Platforms: iOS 13 2  DriverKit 19 0  macOS 10 15  tvOS 13 2  watchOS 6 1_x000D_
    Android SDK:_x000D_
      API Levels: 23  28  29_x000D_
      Build Tools: 28 0 2  28 0 3  29 0 1  29 0 2  29 0 3_x000D_
      System Images: android 28   Intel x86 Atom 64  android 29   Google APIs Intel x86 Atom_x000D_
  IDEs:_x000D_
    Android Studio: 4 0 AI 193 6911 18 40 6626763_x000D_
    Xcode: 11 3 1 11C504    usr bin xcodebuild_x000D_
  npmPackages:_x000D_
    react: 16 9 0    16 9 0 _x000D_
    react native: 0 61 4    0 61 4_x000D_
_x000D_
    Expected Behavior_x000D_
_x000D_
Calling findEventById() with a UUID on an Android platform should throw an error allowing for the error to be caught_x000D_
_x000D_
     Describe what is expected to happen     _x000D_
 _x000D_
    Actual Behavior_x000D_
_x000D_
Calling findEventById() with a UUID on an Android platform crashes the app with no exceptions given (even within a try catch block)_x000D_
_x000D_
    Observations Conclusion_x000D_
I saved calendar IDs for both Android and iOS platforms under the same User table  The findEventById function should work interchangeably on both iOS and Android platforms regardless of what ID format the function is given  Saving an event on both platforms produce different event ID s for their respective native calendars but searching a UUID (which is what iOS uses) on an Android platform causes the app to crash with no exception thrown  On the other hand  searching a 3 digit string (which is what Android uses) on an iOS device works and will catch errors without any issue _x000D_
_x000D_
Here is the code I had to use to get around this:_x000D_
_x000D_
   Add ID to update the user s calendar event   _x000D_
           Only find numbered events for android or else the app will crash   _x000D_
        if (Platform OS      android )  _x000D_
          if ( isNaN(savedEventId))  _x000D_
            foundEvent   await RNCalendar findEventById(savedEventId) catch(()    console log( Event   savedEventId  not found ))_x000D_
           _x000D_
         _x000D_
           If platform is iOS  search any ID   _x000D_
        else  _x000D_
          foundEvent   await RNCalendar findEventById(savedEventId) catch(()    console log( Event   savedEventId  not found ))_x000D_
         _x000D_
_x000D_
  Apologize for messy code formatting  </t>
  </si>
  <si>
    <t>TeamNewPipe-NewPipe-4916</t>
  </si>
  <si>
    <t>CAPTCHA loads m.youtube.com</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</si>
  <si>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Happens randomly and now it s frequent enough for me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CAPTCHA either opens a blank page (already an issue for)  Or it opens m youtube com homepage  Clicking  done  reopens the popup  either blank or again with m youtube com_x000D_
_x000D_
_x000D_
    Expected behavior_x000D_
     Tell us what you expect to happen     _x000D_
The CAPTCHA doesn t appear at all like before  Or now  when it literally appears on every single video  it would just appear  and let me solve it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20201118 224758 NewPipe (https:  user images githubusercontent com 26146502 99594332 57194e00 29f3 11eb 83e6 f0ee82ac4ada jpg)_x000D_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10 API 29_x000D_
   Device model: Samsung Galaxy A70_x000D_
</t>
  </si>
  <si>
    <t>TeamNewPipe-NewPipe-4915</t>
  </si>
  <si>
    <t>Error receiving broadcast Intent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</si>
  <si>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3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Opened a stream vida trending  Happens randomly _x000D_
_x000D_
     If you can t cause the bug to show up again reliably (and hence don t have a proper set of steps to give us)  please still try to give as many details as possible on how you think you encountered the bug     _x000D_
_x000D_
_x000D_
    Logs_x000D_
     If your bug includes a crash (where you re shown the Error Report page with a bunch of info)  tap on  Copy formatted report  at the bottom and paste it here:    _x000D_
_x000D_
_x000D_
_x000D_
   Exception_x000D_
    User Action:   ui error_x000D_
    Request:   App crash  UI failure_x000D_
    Content Country:   DE_x000D_
    Content Language:   de DE_x000D_
    App Language:   de DE_x000D_
    Service:   none_x000D_
    Version:   0 20 3_x000D_
    OS:   Linux Android 9   28_x000D_
 details  summary  b Crash log   b   summary  p _x000D_
_x000D_
   _x000D_
java lang RuntimeException: Error receiving broadcast Intent   act org schabi newpipe VideoDetailFragment ACTION PLAYER STARTED flg 0x10   in org schabi newpipe fragments detail VideoDetailFragment 4 30efbb5_x000D_
	at android app LoadedApk ReceiverDispatcher Args lambda getRunnable 0(LoadedApk java:1401)_x000D_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Caused by: java lang IllegalStateException: Not allowed to start service Intent   cmp org schabi newpipe  player MainPlayer  : app is in background uid UidRecord b18ec90 u0a131 LAST bg: 51m30s800ms idle change:idle procs:1 seq(57 57 57) _x000D_
	at android app ContextImpl startServiceCommon(ContextImpl java:1577)_x000D_
	at android app ContextImpl startService(ContextImpl java:1532)_x000D_
	at android content ContextWrapper startService(ContextWrapper java:664)_x000D_
	at org schabi newpipe player helper PlayerHolder startService(PlayerHolder java:88)_x000D_
	at org schabi newpipe fragments detail VideoDetailFragment 4 onReceive(VideoDetailFragment java:1360)_x000D_
	at android app LoadedApk ReceiverDispatcher Args lambda getRunnable 0(LoadedApk java:1391)_x000D_
	    8 more_x000D_
_x000D_
   _x000D_
  details _x000D_
 hr _x000D_
_x000D_
_x000D_
_x000D_
     Please fill this out when you do not provide a log generate by NewPipe    _x000D_
_x000D_
    Device info_x000D_
_x000D_
   Android version Custom ROM version:  e  OS (0 12  2020102981459)   Android 9</t>
  </si>
  <si>
    <t>Anuken-Mindustry-3452</t>
  </si>
  <si>
    <t xml:space="preserve">  Platform  :  Windows _x000D_
_x000D_
  Build  :  114 1  _x000D_
_x000D_
  Issue  :  l build salvo  _x000D_
_x000D_
  Steps to reproduce  :  I do not know  _x000D_
_x000D_
  Link(s) to mod(s) used  :  No  _x000D_
_x000D_
  Save file  :    _x000D_
_x000D_
  Crash report  :  Mindustry has crashed  How unfortunate _x000D_
Report this at https:  github com Anuken Mindustry issues new labels bug template bug report md_x000D_
_x000D_
Version: beta build 114 1_x000D_
OS: Windows 10 x64_x000D_
Java Version: 1 8 0 72_x000D_
Java Architecture: 64_x000D_
0 Mods_x000D_
_x000D_
java lang NullPointerException_x000D_
    at mindustry world Block lambda setBars 5(Block java:358)_x000D_
    at mindustry ui Bar lambda new 0(Bar java:34)_x000D_
    at arc scene Element act(Element java:79)_x000D_
    at arc scene Group act(Group java:41)_x000D_
    at arc scene Group act(Group java:41)_x000D_
    at arc scene Group act(Group java:41)_x000D_
    at arc scene Group act(Group java:41)_x000D_
    at arc scene Group act(Group java:41)_x000D_
    at arc scene Group act(Group java:41)_x000D_
    at arc scene Group act(Group java:41)_x000D_
    at arc scene Scene act(Scene java:170)_x000D_
    at arc scene Scene act(Scene java:121)_x000D_
    at mindustry core UI update(UI java:133)_x000D_
    at arc ApplicationCore update(ApplicationCore java:36)_x000D_
    at mindustry ClientLauncher update(ClientLauncher java:153)_x000D_
    at arc backend sdl SdlApplication listen(SdlApplication java:158)_x000D_
    at arc backend sdl SdlApplication loop(SdlApplication java:146)_x000D_
    at arc backend sdl SdlApplication  init (SdlApplication java:43)_x000D_
    at mindustry desktop DesktopLauncher main(DesktopLauncher java:36)_x000D_
 crash report 11 18 2020 19 18 47 txt (https:  github com Anuken Mindustry files 5562454 crash report 11 18 2020 19 18 47 txt)_x000D_
 _x000D_
_x000D_
   _x000D_
_x000D_
 Place an X (no spaces) between the brackets to confirm that you have read the line below    _x000D_
   X    I have searched the closed and open issues to make sure that this problem has not already been reported   _x000D_
</t>
  </si>
  <si>
    <t>Anuken-Mindustry-3450</t>
  </si>
  <si>
    <t>Notification bar covers ui at top of screen</t>
  </si>
  <si>
    <t xml:space="preserve">  Platform  : Android_x000D_
_x000D_
  Build  : 104 6_x000D_
  Issue  : notification bar persists at the top of the screen covering the user interface _x000D_
_x000D_
  Steps to reproduce  : any notification causes this to happen  If the notification bar appears it just doesn t go away  I don t really have to do anything to make it happen_x000D_
_x000D_
  Link(s) to mod(s) used  :  The mod repositories or zip files that are related to the issue  if applicable  _x000D_
_x000D_
  Save file  : happens on the main menu before have starts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</si>
  <si>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Anuken-Mindustry-3449</t>
  </si>
  <si>
    <t>poly formation build crash</t>
  </si>
  <si>
    <t xml:space="preserve">  Platform  :  ubuntu _x000D_
_x000D_
  Build  :  11362 _x000D_
_x000D_
  Issue  :  server has crashed 3 times in a row with this same error: _x000D_
_x000D_
  Steps to reproduce  :  opened up the nydus bleeding edge server _x000D_
_x000D_
  Link(s) to mod(s) used  :  mods folder empty _x000D_
_x000D_
  Save file  :  autosavebe msav zip (https:  github com Anuken Mindustry files 5561863 autosavebe msav zip)_x000D_
_x000D_
_x000D_
  Crash report  : _x000D_
_x000D_
   _x000D_
	at mindustry gen UnitEntityLegacyPoly addBuild(UnitEntityLegacyPoly java:1455)_x000D_
	at mindustry gen UnitEntityLegacyPoly addBuild(UnitEntityLegacyPoly java:1439)_x000D_
	at mindustry ai types FormationAI updateUnit(FormationAI java:82)_x000D_
	at mindustry gen UnitEntityLegacyPoly update(UnitEntityLegacyPoly java:1118)_x000D_
	at mindustry entities EntityGroup each(EntityGroup java:67)_x000D_
	at mindustry entities EntityGroup update(EntityGroup java:57)_x000D_
	at mindustry gen Groups update(Groups java:67)_x000D_
	at mindustry core Logic update(Logic java:350)_x000D_
	at arc backend headless HeadlessApplication mainLoop(HeadlessApplication java:89)_x000D_
	at arc backend headless HeadlessApplication 1 run(HeadlessApplication java:54)_x000D_
   _x000D_
_x000D_
   _x000D_
_x000D_
 Place an X (no spaces) between the brackets to confirm that you have read the line below    _x000D_
   x    I have nuzzled the closed and open issues to make sure that this problem has not already been reported   _x000D_
</t>
  </si>
  <si>
    <t>nextcloud-android-7362</t>
  </si>
  <si>
    <t>SqlLite blob too big exception when browsing external storage</t>
  </si>
  <si>
    <t xml:space="preserve">    Steps to reproduce_x000D_
1  Setup a server and create a user account_x000D_
2  Add external storage with some  230GB folder_x000D_
3  From the phone  login and browse the external storage _x000D_
4  While loading  the app crashes with an SqlLite blob too big exception _x000D_
_x000D_
    Expected behaviour_x000D_
  While it may take longer to load  the app should not crash _x000D_
_x000D_
    Actual behaviour_x000D_
  The app crashes with an SqlLite blob too big exception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10_x000D_
_x000D_
Device model: Honor 10_x000D_
_x000D_
Stock or customized system: EMUI 10 (stock)_x000D_
_x000D_
Nextcloud app version:_x000D_
_x000D_
Nextcloud server version:_x000D_
_x000D_
Reverse proxy:_x000D_
_x000D_
    Logs_x000D_
             CAUSE OF ERROR             _x000D_
_x000D_
android database sqlite SQLiteBlobTooBigException: Row too big to fit into CursorWindow requiredPos 3157  totalRows 907_x000D_
	at android database sqlite SQLiteConnection nativeExecuteForCursorWindow(Native Method)_x000D_
	at android database sqlite SQLiteConnection executeForCursorWindow(SQLiteConnection java:988)_x000D_
	at android database sqlite SQLiteSession executeForCursorWindow(SQLiteSession java:858)_x000D_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java:672)_x000D_
	at android content ContentProvider applyBatch(ContentProvider java:2147)_x000D_
	at android content ContentProvider Transport applyBatch(ContentProvider java:387)_x000D_
	at android content ContentProviderClient applyBatch(ContentProviderClient java:532)_x000D_
	at android content ContentProviderClient applyBatch(ContentProviderClient java:520)_x000D_
	at android content ContentResolver applyBatch(ContentResolver java:1894)_x000D_
	at com owncloud android datamodel FileDataStorageManager saveFolder(FileDataStorageManager java:435)_x000D_
	at com owncloud android operations RefreshFolderOperation synchronizeData(RefreshFolderOperation java:490)_x000D_
	at com owncloud android operations RefreshFolderOperation fetchAndSyncRemoteFolder(RefreshFolderOperation java:372)_x000D_
	at com owncloud android operations RefreshFolderOperation run(RefreshFolderOperation java:231)_x000D_
	at com owncloud android lib common operations RemoteOperation run(RemoteOperation java:360)_x000D_
	at java lang Thread run(Thread java:929)_x000D_
_x000D_
             APP INFORMATION             _x000D_
ID: com nextcloud client_x000D_
Version: 30130190_x000D_
Build flavor: gplay_x000D_
_x000D_
             DEVICE INFORMATION             _x000D_
Brand: HONOR_x000D_
Device: HWCOL_x000D_
Model: COL L29_x000D_
Id: HUAWEICOL L29_x000D_
Product: COL L29_x000D_
_x000D_
             FIRMWARE             _x000D_
SDK: 29_x000D_
Release: 10_x000D_
Incremental: 10 0 0 177C432_x000D_
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</si>
  <si>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TeamNewPipe-NewPipe-4914</t>
  </si>
  <si>
    <t>Navigation bar is not visible due to lack of contrast</t>
  </si>
  <si>
    <t xml:space="preserve">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Open Newpipe_x000D_
2  Navigation buttons are white and lack contrast_x000D_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The navigation bar on other apps has a proper contrast  Newpipe s navigation bar lacks contrast and appear white _x000D_
_x000D_
Please see this screenshot and look at the navigation bar at the bottom:_x000D_
_x000D_
  1F9E518A 52CB 4AF0 A6BF F87E36A16C44 (https:  user images githubusercontent com 17707852 99550102 5925e180 29e0 11eb 88ff 35cb2c0d5d14 jpeg)_x000D_
_x000D_
_x000D_
    Expected behavior_x000D_
     Tell us what you expect to happen     _x000D_
_x000D_
Proper contrast like so (please see the navigation bar below)_x000D_
_x000D_
  1F32526B 6652 4950 88AB 5338455C037C (https:  user images githubusercontent com 17707852 99550030 457a7b00 29e0 11eb 9078 afa93d512704 jpeg)_x000D_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Already attached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Probably not needed  UI issue _x000D_
_x000D_
     Please fill this out when you do not provide a log generate by NewPipe    _x000D_
_x000D_
    Device info_x000D_
_x000D_
   Android version Custom ROM version: 10 (Oxygen OS)_x000D_
   Device model: OnePlus 7T_x000D_
</t>
  </si>
  <si>
    <t>Anuken-Mindustry-3447</t>
  </si>
  <si>
    <t>Velas burning themselves</t>
  </si>
  <si>
    <t xml:space="preserve">  Platform  :  Android iOS Mac Windows Linux _x000D_
_x000D_
Happens on Linux  Windows and Android_x000D_
_x000D_
  Build  :  The build number under the title in the main menu  Required   LATEST  IS NOT A VERSION  I NEED THE EXACT BUILD NUMBER OF YOUR GAME  _x000D_
_x000D_
114 2_x000D_
_x000D_
  Issue  :  Explain your issue in detail  _x000D_
_x000D_
Vela firing and its laser beam damaging any enemy building will burn the vela _x000D_
_x000D_
  Steps to reproduce  :  How you happened across the issue  and what exactly you did to make the bug happen  _x000D_
_x000D_
1  Make a vela_x000D_
2  Take control of the vela_x000D_
3  Attack an enemy building_x000D_
4  See that not only the enemy buildings are burning  but the vela too _x000D_
_x000D_
  Link(s) to mod(s) used  :  The mod repositories or zip files that are related to the issue  if applicable  _x000D_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vela burn zip (https:  github com Anuken Mindustry files 5560314 vela burn zip) (this is from one of the devices used for testing)_x000D_
_x000D_
_x000D_
  Crash report  :  The contents of relevant crash report files  REQUIRED if you are reporting a crash  _x000D_
_x000D_
not a crash_x000D_
_x000D_
   _x000D_
_x000D_
 Place an X (no spaces) between the brackets to confirm that you have read the line below    _x000D_
   x    I have searched the closed and open issues to make sure that this problem has not already been reported   _x000D_
</t>
  </si>
  <si>
    <t>AOF-Dev-MCinaBox-693</t>
  </si>
  <si>
    <t>On launch it crashes</t>
  </si>
  <si>
    <t xml:space="preserve">  Describe the crash  _x000D_
My phone just closes the application_x000D_
_x000D_
  To Reproduce  _x000D_
Steps to reproduce the crash:_x000D_
1  Go to play_x000D_
2  Click on play button_x000D_
3 thats it_x000D_
4  See the crash_x000D_
_x000D_
  Expected behavior  _x000D_
It needs to start_x000D_
_x000D_
  Screenshots  _x000D_
No_x000D_
_x000D_
  Smartphone (please complete the following information):  _x000D_
   Device: Oppo A91_x000D_
   OS: Android 8 1_x000D_
   App Version pre 0 4_x000D_
_x000D_
  Additional context  _x000D_
None_x000D_
</t>
  </si>
  <si>
    <t>gsantner-markor-1128</t>
  </si>
  <si>
    <t>Accessibility crash at big files</t>
  </si>
  <si>
    <t xml:space="preserve">I am seeing repeated crashes when editing a relatively large markdown file ( 1600 lines   12000 words   60000 characters ) _x000D_
_x000D_
I see the following trace  But I am unsure what   where the underlying cause is_x000D_
_x000D_
   _x000D_
E View: hasTransientState decremented below 0: unmatched pair of setHasTransientState calls_x000D_
E JavaBinder:     FAILED BINDER TRANSACTION      (parcel size   93208)_x000D_
E AccessibilityManager: Error during sending EventType: TYPE VIEW TEXT SELECTION CHANGED  EventTime: 434232397  PackageName: net gsantner markor test  MovementGranularity: 0  Action: 0  ContentChangeTypes:     WindowChangeTypes:      ClassName: android widget EditText  Text: _x000D_
  ENTIRE CONTENTS OF THE DOCUMENT _x000D_
ContentDescription: null  ItemCount: 61944  CurrentItemIndex:  1  Enabled: true  Password: false  Checked: false  FullScreen: false  Scrollable: false  BeforeText: null  FromIndex: 61835  ToIndex: 61835  ScrollX: 0  ScrollY: 0  MaxScrollX: 0  MaxScrollY: 0  ScrollDeltaX:  1  ScrollDeltaY:  1  AddedCount:  1  RemovedCount:  1  ParcelableData: null    recordCount: 0 _x000D_
    android os DeadObjectException: Transaction failed on small parcel  remote process probably died_x000D_
        at android os BinderProxy transactNative(Native Method)_x000D_
        at android os BinderProxy transact(BinderProxy java:540)_x000D_
        at android view accessibility IAccessibilityManager Stub Proxy sendAccessibilityEvent(IAccessibilityManager java:580)_x000D_
        at android view accessibility AccessibilityManager sendAccessibilityEvent(AccessibilityManager java:606)_x000D_
        at android view ViewRootImpl requestSendAccessibilityEvent(ViewRootImpl java:8618)_x000D_
        at android view ViewGroup requestSendAccessibilityEvent(ViewGroup java:1094)_x000D_
        at android view ViewGroup requestSendAccessibilityEvent(ViewGroup java:1094)_x000D_
        at android view ViewGroup requestSendAccessibilityEvent(ViewGroup java:1094)_x000D_
        at android view ViewGroup requestSendAccessibilityEvent(ViewGroup java:1094)_x000D_
        at android view ViewGroup requestSendAccessibilityEvent(ViewGroup java:1094)_x000D_
E AccessibilityManager:     at android view ViewGroup requestSendAccessibilityEvent(ViewGroup java:1094)_x000D_
        at android view ViewGroup requestSendAccessibilityEvent(ViewGroup java:1094)_x000D_
        at android view ViewGroup requestSendAccessibilityEvent(ViewGroup java:1094)_x000D_
        at android view ViewGroup requestSendAccessibilityEvent(ViewGroup java:1094)_x000D_
        at android view View requestParentSendAccessibilityEvent(View java:8333)_x000D_
        at android view View sendAccessibilityEventUncheckedInternal(View java:8326)_x000D_
        at android view View sendAccessibilityEventUnchecked(View java:8297)_x000D_
        at android widget TextView sendAccessibilityEventUnchecked(TextView java:12217)_x000D_
        at android view View sendAccessibilityEventInternal(View java:8274)_x000D_
        at android widget TextView sendAccessibilityEventInternal(TextView java:12206)_x000D_
        at android view View sendAccessibilityEvent(View java:8238)_x000D_
        at android widget TextView onSelectionChanged(TextView java:10488)_x000D_
        at net gsantner markor ui hleditor HighlightingEditor onSelectionChanged(HighlightingEditor java:279)_x000D_
        at android widget TextView spanChange(TextView java:10744)_x000D_
        at android widget TextView ChangeWatcher onSpanChanged(TextView java:13593)_x000D_
        at android text SpannableStringBuilder sendSpanChanged(SpannableStringBuilder java:1307)_x000D_
        at android text SpannableStringBuilder sendToSpanWatchers(SpannableStringBuilder java:651)_x000D_
        at android text SpannableStringBuilder replace(SpannableStringBuilder java:580)_x000D_
        at android text SpannableStringBuilder replace(SpannableStringBuilder java:507)_x000D_
        at android text SpannableStringBuilder replace(SpannableStringBuilder java:37)_x000D_
        at android view inputmethod BaseInputConnection replaceText(BaseInputConnection java:861)_x000D_
        at android view inputmethod BaseInputConnection commitText(BaseInputConnection java:197)_x000D_
        at com android internal widget EditableInputConnection commitText(EditableInputConnection java:177)_x000D_
        at com android internal view IInputConnectionWrapper executeMessage(IInputConnectionWrapper java:345)_x000D_
        at com android internal view IInputConnectionWrapper MyHandler handleMessage(IInputConnectionWrapper java:93)_x000D_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E JavaBinder:     FAILED BINDER TRANSACTION      (parcel size   93340)_x000D_
D AndroidRuntime: Shutting down VM_x000D_
E AndroidRuntime: FATAL EXCEPTION: main_x000D_
    Process: net gsantner markor test  PID: 6911_x000D_
    DeadSystemException: The system died  earlier logs will point to the root cause_x000D_
I Process: Sending signal  PID: 6911 SIG: 9_x000D_
   </t>
  </si>
  <si>
    <t>Anuken-Mindustry-3442</t>
  </si>
  <si>
    <t>Salt Flats not capturing immediately when enemy core destroyed.</t>
  </si>
  <si>
    <t xml:space="preserve">  Platform  :  Android iOS Mac Windows Linux _x000D_
Windows_x000D_
_x000D_
  Build  :  The build number under the title in the main menu  Required   LATEST  IS NOT A VERSION  I NEED THE EXACT BUILD NUMBER OF YOUR GAME  _x000D_
Beta built 114_x000D_
_x000D_
  Issue  :  Explain your issue in detail  _x000D_
Even though I destroyed the only core I could find  it continues as if the core was still there  Both the enemies and main enemy unit respawned at the location of the destroyed core  However  immediately after going back into the sector after getting my core destroyed  it said  Sector Captured  _x000D_
_x000D_
  Steps to reproduce  :  How you happened across the issue  and what exactly you did to make the bug happen  _x000D_
I simply went to the core with 3 Zeniths  and destroyed it _x000D_
_x000D_
  Link(s) to mod(s) used  :  The mod repositories or zip files that are related to the issue  if applicable  _x000D_
No mods used _x000D_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Mindustry Save zip (https:  github com Anuken Mindustry files 5557281 Mindustry Save zip)_x000D_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</si>
  <si>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FTCLib-FTCLib-127</t>
  </si>
  <si>
    <t>MotorEx Velocity RunMode Crashes FTC Robot Controller Activity</t>
  </si>
  <si>
    <t xml:space="preserve">  Describe the bug  _x000D_
In testing earlier  I tried using velocity control with   set()  for the  MotorEx   It instantly crashes the controller activity  The error it produces in the logcat is that the packets were not returned from the motor (timeout after 250 ms)  Doing   setVelocity()  works fine  which is what the   set()  in VelocityControl calls _x000D_
_x000D_
  To Reproduce  _x000D_
Steps to reproduce the behavior:_x000D_
   java_x000D_
 TeleOp(name  MotorEx testing )_x000D_
public class MotorExTest extends LinearOpMode  _x000D_
_x000D_
    private MotorEx test _x000D_
_x000D_
     Override_x000D_
    public void runOpMode() throws InterruptedException  _x000D_
        test   new MotorEx(hardwareMap   test ) _x000D_
        test setRunMode(Motor RunMode VelocityControl) _x000D_
        waitForStart() _x000D_
        while (opModeIsActive())  _x000D_
            if (gamepad1 a)  _x000D_
                test set(1) _x000D_
             _x000D_
            else test stopMotor() _x000D_
         _x000D_
        test stopMotor() _x000D_
     _x000D_
_x000D_
 _x000D_
   _x000D_
Also  with the default velocity control on  Motor   doing  stopMotor() seemed to instead just reverse the direction  I don t know if that is an actual bug yet  Might be something to look into </t>
  </si>
  <si>
    <t>Anuken-Mindustry-3440</t>
  </si>
  <si>
    <t>Grey Team on Attack Sector Makes It Unbeatable</t>
  </si>
  <si>
    <t xml:space="preserve">  Platform  : Windows Steam_x000D_
_x000D_
  Build  : 114 1_x000D_
_x000D_
  Issue  : After steam updated the game to version 114 1  I continued the campaign and attempted a takeover of sector 75  As I began fighting building my way toward the enemy core  I noticed that My turrets would not shoot at the enemy structures automatically except for the one that got rebuilt by the AI  Then I realized that only the rebuilt structures were on the red team  All starting enemy structures were on the grey team  and I could capture them by starting to deconstruct them and then canceling the deconstruction and rebuilding them  I then realized that even the enemy core was a grey team core  I was not able to capture it like the rest when I tried  so I simply blew it up with an Antumbra I had built _x000D_
_x000D_
Problem: There were no enemy cores left to destroy  and the sector was not captured  since I had not destroyed any red core  Waves kept coming indefinitely _x000D_
_x000D_
  Mods Used  : Only one  I have uploaded the zip file with this report  since I have not uploaded the version I was using anywhere yet  It is a mod that I developed myself called Scrapless Slag  It is unlikely to have anything to do with this issue though _x000D_
 ScraplessSlag zip (https:  github com Anuken Mindustry files 5556221 ScraplessSlag zip)_x000D_
_x000D_
_x000D_
  Save file  : I am unsure where and how campaign games are saved  I m guessing  in  C: Program Files (x86) Steam steamapps common Mindustry saves saves   and I m guessing that the relevant save file is the one titled sector serpulo 75 msav  Here it is:_x000D_
 sector serpulo 75 zip (https:  github com Anuken Mindustry files 5556252 sector serpulo 75 zip)_x000D_
_x000D_
  Crash report  : No crash was caused _x000D_
_x000D_
   _x000D_
_x000D_
 Place an X (no spaces) between the brackets to confirm that you have read the line below    _x000D_
   X    I have searched the closed and open issues to make sure that this problem has not already been reported   _x000D_
_x000D_
Searching returns no results  and nothing comes up when I go to the issues tab under Anuken Mindustry  I assume I am doing something wrong  but I can t figure out what  I am reporting this anyway _x000D_
</t>
  </si>
  <si>
    <t>TeamNewPipe-NewPipe-4909</t>
  </si>
  <si>
    <t>CAPTCHA wouldn't load</t>
  </si>
  <si>
    <t xml:space="preserve">  Checklist_x000D_
     The first box has been checked for you to show you how it is done     _x000D_
_x000D_
   x  I am using the latest version   0 20 2 (tested on 0 20 3RC5 too)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For months I haven t seen any CAPTCHAs  but suddenly today I had three  and the fourth one just wouldn t load _x000D_
1  Replicate  my settings (https:  we tl t bpJlEmhwyQ)  (I ll later go and try to isolate what one messes this up)_x000D_
2  Have a CAPTCHA come up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As I said  first three loaded just fine  until this fourth one  now it shows just a blank page  _x000D_
  Screenshot 20201117 201416 NewPipe (https:  user images githubusercontent com 26146502 99444942 2830a880 291d 11eb 85ba fef6a7721026 jpg)_x000D_
After downloading the RC5 for 0 20 3 and using it OOTB (stock settings) the CAPTCHA page in fact loaded just fine (on some random video) _x000D_
  Screenshot 20201117 200432 NewPipe (https:  user images githubusercontent com 26146502 99445061 57471a00 291d 11eb 910b f8cc3452a5c3 jpg)_x000D_
_x000D_
_x000D_
_x000D_
_x000D_
    Expected behavior_x000D_
     Tell us what you expect to happen     _x000D_
I don t know why until today  I had zero of them come up  But I expect that it would go like the previous three  Load a CAPTCHA  I d make it and go on watching my vids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In text_x000D_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10  API 29_x000D_
   Device model: Samsung Galaxy A70_x000D_
</t>
  </si>
  <si>
    <t>TeamNewPipe-NewPipe-4907</t>
  </si>
  <si>
    <t xml:space="preserve">Opening a video gives error! </t>
  </si>
  <si>
    <t xml:space="preserve">     IF YOU DON T FILL IN THE TEMPLATE PROPERLY  YOUR ISSUE IS LIABLE TO BE CLOSED  If you feel tired lazy right now  open your issue some other time  We ll wait     
     The comments between these brackets won t show up in the submitted issue (as you can see in the Preview)     
    Checklist
     The first box has been checked for you to show you how it is done     
   x  I am using the latest version   x xx x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the home page 
2  Search a video
3  Click on it to play
1  Go to      
2  Press on       
3  Swipe down to       
     If you can t cause the bug to show up again reliably (and hence don t have a proper set of steps to give us)  please still try to give as many details as possible on how you think you encountered the bug     
    Actual behaviour
     Tell us what happens with the steps given above     
The video should be played
    Expected behavior
     Tell us what you expect to happen     
Error exception is displayed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That s right  here     
   Exception
    User Action:   requested comments
    Request:   https:  m youtube com watch v R7WQxoAr4QA
    Content Country:   US
    Content Language:   en US
    App Language:   en US
    Service:   YouTube
    Version:   0 20 2
    OS:   Linux Android 10   29
 details  summary  b Crash log   b   summary  p 
org schabi newpipe extractor exceptions ParsingException: Could not parse json data for comments
	at org schabi newpipe extractor services youtube extractors YoutubeCommentsExtractor getPage(YoutubeCommentsExtractor java:97)
	at org schabi newpipe extractor services youtube extractors YoutubeCommentsExtractor getInitialPage(YoutubeCommentsExtractor java:52)
	at org schabi newpipe extractor utils ExtractorHelper getItemsPageOrLogError(ExtractorHelper java:19)
	at org schabi newpipe extractor comments CommentsInfo getInfo(CommentsInfo java:40)
	at org schabi newpipe extractor comments CommentsInfo getInfo(CommentsInfo java:25)
	at org schabi newpipe util ExtractorHelper lambda getCommentsInfo 7(ExtractorHelper java:155)
	at org schabi newpipe util    Lambda ExtractorHelper Xyj84g1UeNZqX9LVYNvWZsdT kI call(Unknown Source:4)
	at io reactivex internal operators single SingleFromCallable subscribeActual(SingleFromCallable java:44)
	at io reactivex Single subscribe(Single java:3666)
	at io reactivex internal operators single SingleDoOnSuccess subscribeActual(SingleDoOnSuccess java:35)
	at io reactivex Single subscribe(Single java:3666)
	at io reactivex internal operators maybe MaybeFromSingle subscribeActual(MaybeFromSingle java:41)
	at io reactivex Maybe subscribe(Maybe java:4290)
	at io reactivex internal operators maybe MaybeConcatArray ConcatMaybeObserver drain(MaybeConcatArray java:153)
	at io reactivex internal operators maybe MaybeConcatArray ConcatMaybeObserver request(MaybeConcatArray java:78)
	at io reactivex internal operators flowable FlowableElementAtMaybe ElementAtSubscriber onSubscribe(FlowableElementAtMaybe java:66)
	at io reactivex internal operators maybe MaybeConcatArray subscribeActual(MaybeConcatArray java:42)
	at io reactivex Flowable subscribe(Flowable java:14935)
	at io reactivex internal operators flowable FlowableElementAtMaybe subscribeActual(FlowableElementAtMaybe java:36)
	at io reactivex Maybe subscribe(Maybe java:4290)
	at io reactivex internal operators maybe MaybeToSingle subscribeActual(MaybeToSingle java:46)
	at io reactivex Single subscribe(Single java:3666)
	at io reactivex internal operators single SingleSubscribeOn SubscribeOnObserver run(SingleSubscribeOn java:89)
	at io reactivex Scheduler DisposeTask run(Scheduler java:578)
	at io reactivex internal schedulers ScheduledRunnable run(ScheduledRunnable java:66)
	at io reactivex internal schedulers ScheduledRunnable call(ScheduledRunnable java:57)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java:919)
Caused by: com grack nanojson JsonParserException: Unexpected character:   on line 1  char 1
	at com grack nanojson JsonTokener createParseException(Unknown Source:44)
	at com grack nanojson JsonTokener advanceToToken(Unknown Source:118)
	at com grack nanojson JsonParser advanceToken(Unknown Source:12)
	at com grack nanojson JsonParser parse(Unknown Source:1)
	at com grack nanojson JsonParser JsonParserContext from(Unknown Source:19)
	at org schabi newpipe extractor services youtube extractors YoutubeCommentsExtractor getPage(YoutubeCommentsExtractor java:95)
	    30 more
  details 
 hr 
     Please fill this out when you do not provide a log generate by NewPipe    
    Device info
   Android version Custom ROM version: Oxygen OS 10 3 6 (Based on Android 10)
   Device model: OnePlus 7
</t>
  </si>
  <si>
    <t>AOF-Dev-MCinaBox-690</t>
  </si>
  <si>
    <t>My game crashes when world loading is at 30%</t>
  </si>
  <si>
    <t xml:space="preserve">  Describe the crash  _x000D_
When I open a world or make a new world it crashes around 30 40 _x000D_
_x000D_
  To Reproduce  _x000D_
Steps to reproduce the crash:_x000D_
1  Go to singleplayer_x000D_
2  Click on make a new world_x000D_
3  Wait for it to finish to 30 40 _x000D_
4  See the crash_x000D_
_x000D_
  Expected behavior  _x000D_
I expected it to finish making the world with no problems_x000D_
_x000D_
  Screenshots  _x000D_
  Screenshot 2020 11 17 at 9 57 49 AM (https:  user images githubusercontent com 34662114 99407090 b163c300 28bc 11eb 9b85 adcc570403eb png)_x000D_
  Screenshot 2020 11 17 at 10 06 33 AM (https:  user images githubusercontent com 34662114 99407114 baed2b00 28bc 11eb 9e39 76507d967739 png)_x000D_
_x000D_
  Device Info  _x000D_
   Device: Lenovo C330 Chromebook _x000D_
   OS: Chrome OS: Version 86 0 4240 183 (32 bit) Android Subsystem: Version Android 9_x000D_
   App Version v0 1 4 p4 arm32_x000D_
_x000D_
  Additional context  _x000D_
This is on the latest release of Minecraft_x000D_
</t>
  </si>
  <si>
    <t>material-components-material-components-android-1877</t>
  </si>
  <si>
    <t>Material Android Components are crashing in debug mode</t>
  </si>
  <si>
    <t xml:space="preserve">  Description:   I didn t make any changes to my code _x000D_
_x000D_
This issue is reproducing for both 4 1 1 and  4 4 0 Gradle versions_x000D_
_x000D_
App crashing in debug mode but working fine in Release mode _x000D_
_x000D_
I tried reinstalling the android studio Nothing helps me _x000D_
_x000D_
  Android API version:   Android API version Android 11 (30 )_x000D_
_x000D_
  Material Library version:   com google android material:material:1 2 1_x000D_
_x000D_
  Device:   Pixel 3a_x000D_
_x000D_
_x000D_
</t>
  </si>
  <si>
    <t>Anuken-Mindustry-3434</t>
  </si>
  <si>
    <t>Bug with opening content, and bug with the core</t>
  </si>
  <si>
    <t xml:space="preserve">  Platform  : Windows_x000D_
_x000D_
  Build  : Beta build 114 1_x000D_
_x000D_
  Issue  : I played in sandbox mode on the map  My game was just downloaded and I didn t have any saves  In sandbox mode  I extracted resources  And as soon as I got the coal  I saw the message  New content unlocked    After that  I opened Tech Tree  and I had coal open  I don t think it should have opened while playing in sandbox mode  And when I launched the map in sandbox mode  initially my core was half broken_x000D_
_x000D_
  Steps to reproduce  : I just downloaded the game and launched the map in survival and sandbox mode  In the nucleus core  when I go to the map  the core doesn t have about 40  health  To unlock content  I just got any resource that I would like to open (for example  coal)_x000D_
_x000D_
  Link(s) to mod(s) used  :   Link(s) to mod(s) used  :  The mod repositories or zip files that are related to the issue  if applicable  _x000D_
_x000D_
  Save file  :  mysave zip (https:  github com Anuken Mindustry files 5553115 mysave zip)_x000D_
_x000D_
_x000D_
  Crash report  : The game didn t crash_x000D_
_x000D_
   _x000D_
_x000D_
 Place an X (no spaces) between the brackets to confirm that you have read the line below    _x000D_
   x  I have searched the closed and open issues to make sure that this problem has not already been reported _x000D_
</t>
  </si>
  <si>
    <t>Anuken-Mindustry-3432</t>
  </si>
  <si>
    <t>Weird things are happening in campaign</t>
  </si>
  <si>
    <t xml:space="preserve">  Platform  :  Android _x000D_
_x000D_
  Build  : 114 1_x000D_
_x000D_
  Issue  : I was playing sector 202(enemy base)  Then I paused the game and saw that a bunch of enemy buildings and all enemy units were destroyed for no reason  I left to the main menu and entered the sector again and it just captured itself  while enemy core is not destroyed _x000D_
_x000D_
  Steps to reproduce  : I don t know how exactly this happened  I was just building some stuff when the issue occurred _x000D_
_x000D_
  Link(s) to mod(s) used  :  The mod repositories or zip files that are related to the issue  if applicable  _x000D_
_x000D_
  Save file  : _x000D_
 Cmpb zip (https:  github com Anuken Mindustry files 5552932 Cmpb zip)_x000D_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</si>
  <si>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Anuken-Mindustry-3429</t>
  </si>
  <si>
    <t>Dupe bug</t>
  </si>
  <si>
    <t xml:space="preserve">  Platform  :  Windows _x000D_
_x000D_
  Build  :  114 1 _x000D_
_x000D_
  Issue  :  If you are on campaigan  you can spend items without losing them on tech tree  _x000D_
_x000D_
  Steps to reproduce  :  Only very unconciuous people can do this  if you spent a item and quickly go to a different area on the planet  the items will be 0 when spent but if you check tech tree again the materials are back  _x000D_
_x000D_
  Link(s) to mod(s) used  :  None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i dont know what is the zipped folder  but it happens on campaigan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</si>
  <si>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Anuken-Mindustry-3424</t>
  </si>
  <si>
    <t>Bug thing</t>
  </si>
  <si>
    <t xml:space="preserve">  Platform  : Android_x000D_
_x000D_
  Build  : 114_x000D_
_x000D_
  Issue  : I stopped the time_x000D_
_x000D_
  Steps to reproduce  : Almost captured Ruinous Shores when importing my save and when i skipped on wave 30 30 timer got stuck in 1:59_x000D_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I can t because when i tried to update my save the game crashed_x000D_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</si>
  <si>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Anuken-Mindustry-3422</t>
  </si>
  <si>
    <t>Long unit names break the build menu</t>
  </si>
  <si>
    <t xml:space="preserve">  Platform  :  Android iOS Mac Windows Linux _x000D_
linux_x000D_
_x000D_
  Build  :  The build number under the title in the main menu  Required   LATEST  IS NOT A VERSION  I NEED THE EXACT BUILD NUMBER OF YOUR GAME  _x000D_
113 2_x000D_
_x000D_
  Issue  :  Explain your issue in detail  _x000D_
Long unit names in unit factories break the building menu _x000D_
_x000D_
  Steps to reproduce  :  How you happened across the issue  and what exactly you did to make the bug happen  _x000D_
1  use a bundle  to rename an unit_x000D_
2  make the new name long_x000D_
3  put down an unit factory  and select the unit with the long name _x000D_
4  put your cursor over the factory building_x000D_
5  look at the build menu_x000D_
  1 3 3 (https:  user images githubusercontent com 59574967 99315503 cc5e1500 2873 11eb 824f 32c1b62bb428 png)_x000D_
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not sure which one is needed  so i am uploading both_x000D_
 save file msav zip (https:  github com Anuken Mindustry files 5550097 save file msav zip)_x000D_
 game data zip (https:  github com Anuken Mindustry files 5550098 game data zip)_x000D_
_x000D_
  Crash report  :  The contents of relevant crash report files  REQUIRED if you are reporting a crash  _x000D_
no crashes _x000D_
   _x000D_
_x000D_
 Place an X (no spaces) between the brackets to confirm that you have read the line below    _x000D_
   X    I have searched the closed and open issues to make sure that this problem has not already been reported   _x000D_
</t>
  </si>
  <si>
    <t>TotalCross-totalcross-202</t>
  </si>
  <si>
    <t>Packaged binaries crashes on startup in some of Linux distros</t>
  </si>
  <si>
    <t xml:space="preserve">   Issue Title_x000D_
Packaged binaries crashes on startup in some of Linux distros _x000D_
_x000D_
   Describe the bug_x000D_
On some of Linux disteros the output binaries of Totalcross project carshes immediatly on binary (App) startup then report segmentation fault  As initial debugs  It looks like be happen on SDL initialization phase  _x000D_
_x000D_
   To Reproduce_x000D_
The easies way to meet the issue is running the TotalCross app on some Fedora version like 31  32 (maybe other Redhat distros too) but It apeared on some custom embedded linuxes (yocto builds) with x11 display server too   _x000D_
_x000D_
Steps to reproduce the error: _x000D_
_x000D_
1  Go to   PROJECT DIR _x000D_
2  Run    mvn package   _x000D_
3  Go to the produced binary directory     cd target install linux   _x000D_
4  run        APP NAME    _x000D_
_x000D_
   Expected behavior_x000D_
No crashes at all   :))_x000D_
_x000D_
   Screenshots or videos_x000D_
If applicable  add some screenshots and or videos to help to explain your problem _x000D_
_x000D_
   Devices:_x000D_
   Device: PC  IMX6_x000D_
   OS: Fedora(Redhat distros)  Yocto_x000D_
   OS Version: Fedora 32 31  Yocto Sumo(2 5)_x000D_
   TotalCross Version: 6 1 1_x000D_
_x000D_
   Additional context_x000D_
Add any other context about the problem here _x000D_
</t>
  </si>
  <si>
    <t>google-ExoPlayer-8230</t>
  </si>
  <si>
    <t>Custom audio processor getting incorrect channel count with (baked audio?) adaptive HLS that has mono and stereo audio</t>
  </si>
  <si>
    <t xml:space="preserve">     REQUIRED  Issue description_x000D_
I have created a few audio processors (a pan  and one that allows me to pipe samples out to an external entity)   On playing an HLS stream that has a mixture of mono and stereo audio think the  onConfigure  method is not being called when the adaptive track selection changes the audio stream   I am seeing  inputAudioFormat channelCount  reporting that there are 2 channels of audio  but never comes through as 1 channel when  I think  the track selector is dropping it down _x000D_
_x000D_
I have tested this with a local MP4 video with a single mono audio stream and I get a single channel reported in the  channelCount  variable _x000D_
_x000D_
Some additional information on the stream   It looks like there is no audio stream defined in the manifest  but rather the audio is baked into the track segments   With the lower bitrates have the mono audio baked in (tracks 0  1 and 2)  whilst the higher ones appear to have stereo audio baked in _x000D_
_x000D_
Off the back of the above information  I have tested selecting the lower resolution bitrate video tracks on their own and indeed see a  chanelCount  of 1 coming through _x000D_
_x000D_
I tested the stream in the ExoPlayer demo and get a assert stop crash when I try to select an individual track   The demo does report the selectable audio as both stereo and mono _x000D_
_x000D_
If indeed there is an issue  I am not convinced it is manifesting itself with negative effect in the demo and  regular  use cases   I am piping out the audio samples to be played externally (via Unity) and the result of the incorrect channel count is (I think) double samples being pumped to my output buffer   which is leading to half speed pitched down playback _x000D_
_x000D_
_x000D_
     REQUIRED  Reproduction steps_x000D_
  Create an audio processor and insert it into the processing chain_x000D_
  Use adaptive track selection_x000D_
  Play back the following stream:  http:  sample vodobox net skate phantom flex 4k skate phantom flex 4k m3u8 (http:  sample vodobox net skate phantom flex 4k skate phantom flex 4k m3u8)_x000D_
  Logging out of the custom AudioProcessors  onConfigure  function will show that the  inputAudioFormat channelCount  is 2_x000D_
_x000D_
_x000D_
     REQUIRED  Link to test content_x000D_
 http:  sample vodobox net skate phantom flex 4k skate phantom flex 4k m3u8 (http:  sample vodobox net skate phantom flex 4k skate phantom flex 4k m3u8)_x000D_
_x000D_
_x000D_
     REQUIRED  A full bug report captured from the device_x000D_
 bugreport NRD90M 2020 11 16 13 16 53 zip (https:  github com google ExoPlayer files 5546449 bugreport NRD90M 2020 11 16 13 16 53 zip)_x000D_
_x000D_
_x000D_
     REQUIRED  Version of ExoPlayer being used_x000D_
2 12 1_x000D_
_x000D_
_x000D_
     REQUIRED  Device(s) and version(s) of Android being used_x000D_
  Nexus 7 (2nd generation)_x000D_
  NVidia Shield Tablet_x000D_
_x000D_
</t>
  </si>
  <si>
    <t>WrichikBasu-ShakeAlarmClock-20</t>
  </si>
  <si>
    <t>StringIndexOutOfBoundsException in Activity_RingtonePicker</t>
  </si>
  <si>
    <t xml:space="preserve">This crash report was received from Google Play _x000D_
_x000D_
Device: Samsung Galaxy A8 (2018)_x000D_
Android version: 9 (SDK 28)_x000D_
_x000D_
   java_x000D_
java lang RuntimeException: _x000D_
  at android app ActivityThread deliverResults (ActivityThread java:4617)_x000D_
  at android app ActivityThread handleSendResult (ActivityThread java:4659)_x000D_
  at android app servertransaction ActivityResultItem execute (ActivityResultItem java:49)_x000D_
  at android app servertransaction TransactionExecutor executeCallbacks (TransactionExecutor java:108)_x000D_
  at android app servertransaction TransactionExecutor execute (TransactionExecutor java:68)_x000D_
  at android app ActivityThread H handleMessage (ActivityThread java:1955)_x000D_
  at android os Handler dispatchMessage (Handler java:106)_x000D_
  at android os Looper loop (Looper java:214)_x000D_
  at android app ActivityThread main (ActivityThread java:7078)_x000D_
  at java lang reflect Method invoke (Method java)_x000D_
  at com android internal os RuntimeInit MethodAndArgsCaller run (RuntimeInit java:494)_x000D_
  at com android internal os ZygoteInit main (ZygoteInit java:964)_x000D_
Caused by: java lang StringIndexOutOfBoundsException: _x000D_
  at java lang String substring (String java:2036)_x000D_
  at in basulabs shakealarmclock Activity RingtonePicker onActivityResult (Activity RingtonePicker java:100)_x000D_
  at android app Activity dispatchActivityResult (Activity java:7759)_x000D_
  at android app ActivityThread deliverResults (ActivityThread java:4610)_x000D_
  at android app ActivityThread handleSendResult (ActivityThread java:4659)_x000D_
  at android app servertransaction ActivityResultItem execute (ActivityResultItem java:49)_x000D_
  at android app servertransaction TransactionExecutor executeCallbacks (TransactionExecutor java:108)_x000D_
  at android app servertransaction TransactionExecutor execute (TransactionExecutor java:68)_x000D_
  at android app ActivityThread H handleMessage (ActivityThread java:1955)_x000D_
  at android os Handler dispatchMessage (Handler java:106)_x000D_
  at android os Looper loop (Looper java:214)_x000D_
  at android app ActivityThread main (ActivityThread java:7078)_x000D_
  at java lang reflect Method invoke (Method java)_x000D_
  at com android internal os RuntimeInit MethodAndArgsCaller run (RuntimeInit java:494)_x000D_
  at com android internal os ZygoteInit main (ZygoteInit java:964)_x000D_
   _x000D_
_x000D_
The exception  seems  to be thrown from the following statement:_x000D_
_x000D_
   java_x000D_
String fileNameWithoutExt   fileNameWithExt substring(0  fileNameWithExt indexOf(   )) _x000D_
   _x000D_
_x000D_
A file is being chosen by the user that does not have an extension </t>
  </si>
  <si>
    <t>amplitude-Amplitude-Android-256</t>
  </si>
  <si>
    <t>com.amplitude.api.ConfigManager.refresh: ArrayIndexOutOfBoundsException</t>
  </si>
  <si>
    <t xml:space="preserve">We ve noticed a new trending crash in production:_x000D_
   _x000D_
java lang ArrayIndexOutOfBoundsException: length 8192  index 8192_x000D_
        at com android okhttp okio Buffer writeUtf8(Buffer java:818)_x000D_
        at com android okhttp okio Buffer writeUtf8(Buffer java:793)_x000D_
        at com android okhttp okio RealBufferedSink writeUtf8(RealBufferedSink java:59)_x000D_
        at com android okhttp internal http Http1xStream writeRequest(Http1xStream java:167)_x000D_
        at com android okhttp internal http Http1xStream writeRequestHeaders(Http1xStream java:123)_x000D_
        at com android okhttp internal http HttpEngine readResponse(HttpEngine java:617)_x000D_
        at com android okhttp internal huc HttpURLConnectionImpl execute(HttpURLConnectionImpl java:482)_x000D_
        at com android okhttp internal huc HttpURLConnectionImpl getResponse(HttpURLConnectionImpl java:418)_x000D_
        at com android okhttp internal huc HttpURLConnectionImpl getResponseCode(HttpURLConnectionImpl java:549)_x000D_
        at com android okhttp internal huc DelegatingHttpsURLConnection getResponseCode(DelegatingHttpsURLConnection java:105)_x000D_
        at com android okhttp internal huc HttpsURLConnectionImpl getResponseCode(HttpsURLConnectionImpl java:26)_x000D_
        at com amplitude api ConfigManager refresh(ConfigManager:32)_x000D_
        at com amplitude api AmplitudeClient 6 run(AmplitudeClient:1375)_x000D_
        at android os Handler handleCallback(Handler java:873)_x000D_
        at android os Handler dispatchMessage(Handler java:99)_x000D_
        at android os Looper loop(Looper java:193)_x000D_
        at android os HandlerThread run(HandlerThread java:65)_x000D_
   _x000D_
_x000D_
   Possible Solution_x000D_
Handle such exceptions in  com amplitude api ConfigManager::refresh  method to prevent a crash of a host app _x000D_
_x000D_
The current implementation doesn t catch such exceptions:_x000D_
   java_x000D_
    public void refresh(RefreshListener listener)  _x000D_
        try  _x000D_
               _x000D_
          catch (MalformedURLException e)  _x000D_
_x000D_
          catch (IOException e)  _x000D_
_x000D_
          catch (JSONException e)  _x000D_
_x000D_
         _x000D_
_x000D_
        listener onFinished() _x000D_
     _x000D_
   _x000D_
_x000D_
   Environment_x000D_
  SDK Version: 2 29 1_x000D_
  Android API Level: Multiple versions: 7 0  8 0  8 1 0  9_x000D_
  Device: Multiple vendors including Xiaomi  Oppo  Huawei  Motorola  Vivo_x000D_
</t>
  </si>
  <si>
    <t>Anuken-Mindustry-3417</t>
  </si>
  <si>
    <t>Already finished sector is getting "under attack"</t>
  </si>
  <si>
    <t xml:space="preserve">  Platform  :  ArchLinux _x000D_
_x000D_
  Build  :  v6 beta build 112 _x000D_
_x000D_
  Issue  :  Already  finished  sector with destroyed enemy base became under attack after I was doodling in it _x000D_
_x000D_
  Steps to reproduce  :_x000D_
  Start sector 101 (Salt Flats)_x000D_
  Win the sector by destroying enemy base_x000D_
  Wait_x000D_
      After some time  I got a  pop up  like message saying that  Salt Flats  sector (my current sector) is under attack  When I re joined Salt Flats  it was indeed under attack from future airplane waves  spawn from where the enemy base was_x000D_
_x000D_
  Link(s) to mod(s) used  :  None _x000D_
_x000D_
  Save file  :  attached  _x000D_
 sector serpulo 101 zip (https:  github com Anuken Mindustry files 5544910 sector serpulo 101 zip)_x000D_
_x000D_
  Crash report  :  Not a crash _x000D_
_x000D_
   _x000D_
_x000D_
   X    I have searched the closed and open issues to make sure that this problem has not already been reported   _x000D_
</t>
  </si>
  <si>
    <t>TeamNewPipe-NewPipe-4899</t>
  </si>
  <si>
    <t>Not all download selection from video and audio is shown.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</si>
  <si>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https:  www youtube com channel UCW6nm LXhzk457g3SSNLKRw_x000D_
_x000D_
2  After live video finished  try to download It only shows few dowload selection from video and  audio I had to wait long hours or another day to get all download selection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Only few download selection from video and audio is shown _x000D_
_x000D_
_x000D_
    Expected behavior_x000D_
     Tell us what you expect to happen     _x000D_
_x000D_
All  download selection from video and audio suppose to be shown_x000D_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Video:_x000D_
_x000D_
  video1 (https:  user images githubusercontent com 70645835 99216958 fec23080 27e7 11eb 9a0b c49b2216123d jpg)_x000D_
_x000D_
  video2 (https:  user images githubusercontent com 70645835 99217241 ac354400 27e8 11eb 8b09 fd534983d05a jpg)_x000D_
_x000D_
_x000D_
Audio:_x000D_
_x000D_
  audio1 (https:  user images githubusercontent com 70645835 99217026 274a2a80 27e8 11eb 86a7 2147cadc5b8d jpg)_x000D_
_x000D_
  audio2 (https:  user images githubusercontent com 70645835 99217042 316c2900 27e8 11eb 90d9 99a1d5c3de1f jpg)_x000D_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version:8 1 0_x000D_
   Device model:SM A260G_x000D_
</t>
  </si>
  <si>
    <t>TeamNewPipe-NewPipe-4894</t>
  </si>
  <si>
    <t>The export of the subscription to youtube does not work</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</si>
  <si>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_x000D_
I click on the link under Menu   Subscriptions   Import   Youtube  log into the browser and the download does not start  I only see the subscriptions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8 1 0_x000D_
   Device model: bq Aquaris V_x000D_
</t>
  </si>
  <si>
    <t>Anuken-Mindustry-3410</t>
  </si>
  <si>
    <t>Strong Unit Bug</t>
  </si>
  <si>
    <t xml:space="preserve">  Platform  :  Windows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</si>
  <si>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Anuken-Mindustry-3405</t>
  </si>
  <si>
    <t>On sector 195 the player treats the friendly units as enemies?</t>
  </si>
  <si>
    <t xml:space="preserve">  Platform  :  Android _x000D_
_x000D_
  Build  :  113 2 _x000D_
_x000D_
  Issue  :  In sector 195  there (near the landing area) are some laser drills  fuse turrets  some titanium conveyor belts  and a large solar panel  they look like friendly buildings (no red triangles in the corners) yet the player starts to shoot them when i get nearby  Also i could pick up titanium from the drills and use a nearby large power connector  I later tried if turrets (duo) also shoot them and yes they did _x000D_
_x000D_
  Steps to reproduce  :  I went to sector 195 _x000D_
_x000D_
  Link(s) to mod(s) used  :  No mods used _x000D_
_x000D_
  Save file  :  _x000D_
 weird sector 195 bug save zip (https:  github com Anuken Mindustry files 5542319 weird sector 195 bug save zip)_x000D_
 _x000D_
_x000D_
  Crash report  :  It didn t crash the game  it was just an inconvenience _x000D_
_x000D_
  _x000D_
_x000D_
   X    I have searched the closed and open issues to make sure that this problem has not already been reported   _x000D_
</t>
  </si>
  <si>
    <t>jellyfin-jellyfin-androidtv-629</t>
  </si>
  <si>
    <t>Video player crashes when using Emerald theme</t>
  </si>
  <si>
    <t xml:space="preserve">  Describe the bug  _x000D_
The app crashes when trying to play video with the Emerald theme_x000D_
_x000D_
  To Reproduce  _x000D_
     Steps to reproduce the behavior:    _x000D_
1  Set theme to Emerald_x000D_
2  Try to play a video_x000D_
3  See error_x000D_
_x000D_
  Expected behavior  _x000D_
The app should not crash _x000D_
_x000D_
  Logs  _x000D_
   _x000D_
Process: org jellyfin androidtv debug  PID: 4024_x000D_
    android content res Resources NotFoundException: Resource ID  0x0_x000D_
        at android content res ResourcesImpl getValue(ResourcesImpl java:237)_x000D_
        at android content res Resources getColor(Resources java:982)_x000D_
        at android content res Resources getColor(Resources java:958)_x000D_
        at androidx leanback widget PlaybackTransportRowPresenter getDefaultProgressColor(PlaybackTransportRowPresenter java:669)_x000D_
        at androidx leanback widget PlaybackTransportRowPresenter initRow(PlaybackTransportRowPresenter java:697)_x000D_
        at androidx leanback widget PlaybackTransportRowPresenter createRowViewHolder(PlaybackTransportRowPresenter java:689)_x000D_
        at org jellyfin androidtv ui playback overlay CustomPlaybackTransportControlGlue 2 createRowViewHolder(CustomPlaybackTransportControlGlue java:116)_x000D_
        at androidx leanback widget RowPresenter onCreateViewHolder(RowPresenter java:326)_x000D_
        at androidx leanback widget ItemBridgeAdapter onCreateViewHolder(ItemBridgeAdapter java:363)_x000D_
        at androidx recyclerview widget RecyclerView Adapter createViewHolder(RecyclerView java:7078)_x000D_
        at androidx recyclerview widget RecyclerView Recycler tryGetViewHolderForPositionByDeadline(RecyclerView java:6235)_x000D_
        at androidx recyclerview widget RecyclerView Recycler getViewForPosition(RecyclerView java:6118)_x000D_
        at androidx recyclerview widget RecyclerView Recycler getViewForPosition(RecyclerView java:6114)_x000D_
        at androidx leanback widget GridLayoutManager getViewForPosition(GridLayoutManager java:1109)_x000D_
        at androidx leanback widget GridLayoutManager 2 createItem(GridLayoutManager java:1632)_x000D_
        at androidx leanback widget SingleRow appendVisibleItems(SingleRow java:113)_x000D_
        at androidx leanback widget Grid appendOneColumnVisibleItems(Grid java:389)_x000D_
        at androidx leanback widget GridLayoutManager appendOneColumnVisibleItems(GridLayoutManager java:1856)_x000D_
        at androidx leanback widget GridLayoutManager onLayoutChildren(GridLayoutManager java:2286)_x000D_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LinearLayout setChildFrame(LinearLayout java:1821)_x000D_
        at android widget LinearLayout layoutVertical(LinearLayout java:1665)_x000D_
        at android widget LinearLayout onLayout(LinearLayout java:1574)_x000D_
        at android view View layout(View java:21822)_x000D_
        at android view ViewGroup layout(ViewGroup java:6236)_x000D_
        at android widget FrameLayout layoutChildren(FrameLayout java:329)_x000D_
        at android widget FrameLayout onLayout(FrameLayout java:267)_x000D_
        at com android internal policy DecorView onLayout(DecorView java:761)_x000D_
        at android view View layout(View java:21822)_x000D_
2020 11 14 16:59:59 012 4024 4024 org jellyfin androidtv debug E AndroidRuntime:     at android view ViewGroup layout(ViewGroup java:6236)_x000D_
        at android view ViewRootImpl performLayout(ViewRootImpl java:3067)_x000D_
        at android view ViewRootImpl performTraversals(ViewRootImpl java:2581)_x000D_
        at android view ViewRootImpl doTraversal(ViewRootImpl java:1704)_x000D_
        at android view ViewRootImpl TraversalRunnable run(ViewRootImpl java:7516)_x000D_
        at android view Choreographer CallbackRecord run(Choreographer java:981)_x000D_
        at android view Choreographer doCallbacks(Choreographer java:791)_x000D_
        at android view Choreographer doFrame(Choreographer java:726)_x000D_
        at android view Choreographer FrameDisplayEventReceiver run(Choreographer java:966)_x000D_
        at android os Handler handleCallback(Handler java:873)_x000D_
        at android os Handler dispatchMessage(Handler java:99)_x000D_
        at android os Looper loop(Looper java:209)_x000D_
        at android app ActivityThread main(ActivityThread java:7021)_x000D_
        at java lang reflect Method invoke(Native Method)_x000D_
        at com android internal os RuntimeInit MethodAndArgsCaller run(RuntimeInit java:486)_x000D_
        at com android internal os ZygoteInit main(ZygoteInit java:872)_x000D_
2020 11 14 16:59:59 013 4024 4024 org jellyfin androidtv debug E ACRA: ACRA caught a NotFoundException for org jellyfin androidtv debug_x000D_
    android content res Resources NotFoundException: Resource ID  0x0_x000D_
        at android content res ResourcesImpl getValue(ResourcesImpl java:237)_x000D_
        at android content res Resources getColor(Resources java:982)_x000D_
        at android content res Resources getColor(Resources java:958)_x000D_
        at androidx leanback widget PlaybackTransportRowPresenter getDefaultProgressColor(PlaybackTransportRowPresenter java:669)_x000D_
        at androidx leanback widget PlaybackTransportRowPresenter initRow(PlaybackTransportRowPresenter java:697)_x000D_
        at androidx leanback widget PlaybackTransportRowPresenter createRowViewHolder(PlaybackTransportRowPresenter java:689)_x000D_
        at org jellyfin androidtv ui playback overlay CustomPlaybackTransportControlGlue 2 createRowViewHolder(CustomPlaybackTransportControlGlue java:116)_x000D_
        at androidx leanback widget RowPresenter onCreateViewHolder(RowPresenter java:326)_x000D_
        at androidx leanback widget ItemBridgeAdapter onCreateViewHolder(ItemBridgeAdapter java:363)_x000D_
        at androidx recyclerview widget RecyclerView Adapter createViewHolder(RecyclerView java:7078)_x000D_
        at androidx recyclerview widget RecyclerView Recycler tryGetViewHolderForPositionByDeadline(RecyclerView java:6235)_x000D_
        at androidx recyclerview widget RecyclerView Recycler getViewForPosition(RecyclerView java:6118)_x000D_
        at androidx recyclerview widget RecyclerView Recycler getViewForPosition(RecyclerView java:6114)_x000D_
        at androidx leanback widget GridLayoutManager getViewForPosition(GridLayoutManager java:1109)_x000D_
        at androidx leanback widget GridLayoutManager 2 createItem(GridLayoutManager java:1632)_x000D_
        at androidx leanback widget SingleRow appendVisibleItems(SingleRow java:113)_x000D_
        at androidx leanback widget Grid appendOneColumnVisibleItems(Grid java:389)_x000D_
        at androidx leanback widget GridLayoutManager appendOneColumnVisibleItems(GridLayoutManager java:1856)_x000D_
        at androidx leanback widget GridLayoutManager onLayoutChildren(GridLayoutManager java:2286)_x000D_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FrameLayout layoutChildren(FrameLayout java:329)_x000D_
        at android widget FrameLayout onLayout(FrameLayout java:267)_x000D_
        at android view View layout(View java:21822)_x000D_
        at android view ViewGroup layout(ViewGroup java:6236)_x000D_
        at android widget LinearLayout setChildFrame(LinearLayout java:1821)_x000D_
        at android widget LinearLayout layoutVertical(LinearLayout java:1665)_x000D_
        at android widget LinearLayout onLayout(LinearLayout java:1574)_x000D_
        at android view View layout(View java:21822)_x000D_
        at android view ViewGroup layout(ViewGroup java:6236)_x000D_
        at android widget FrameLayout layoutChildren(FrameLayout java:329)_x000D_
        at android widget FrameLayout onLayout(FrameLayout java:267)_x000D_
        at com android internal policy DecorView onLayout(DecorView java:761)_x000D_
        at android view View layout(View java:21822)_x000D_
2020 11 14 16:59:59 013 4024 4024 org jellyfin androidtv debug E ACRA:     at android view ViewGroup layout(ViewGroup java:6236)_x000D_
        at android view ViewRootImpl performLayout(ViewRootImpl java:3067)_x000D_
        at android view ViewRootImpl performTraversals(ViewRootImpl java:2581)_x000D_
        at android view ViewRootImpl doTraversal(ViewRootImpl java:1704)_x000D_
        at android view ViewRootImpl TraversalRunnable run(ViewRootImpl java:7516)_x000D_
        at android view Choreographer CallbackRecord run(Choreographer java:981)_x000D_
        at android view Choreographer doCallbacks(Choreographer java:791)_x000D_
        at android view Choreographer doFrame(Choreographer java:726)_x000D_
        at android view Choreographer FrameDisplayEventReceiver run(Choreographer java:966)_x000D_
        at android os Handler handleCallback(Handler java:873)_x000D_
        at android os Handler dispatchMessage(Handler java:99)_x000D_
        at android os Looper loop(Looper java:209)_x000D_
        at android app ActivityThread main(ActivityThread java:7021)_x000D_
        at java lang reflect Method invoke(Native Method)_x000D_
        at com android internal os RuntimeInit MethodAndArgsCaller run(RuntimeInit java:486)_x000D_
        at com android internal os ZygoteInit main(ZygoteInit java:872)_x000D_
   _x000D_
_x000D_
  System (please complete the following information):  _x000D_
   Android TV or Fire TV version: Android TV API Q in Emulator_x000D_
   Device manufacturer: Google_x000D_
   Device model: Google_x000D_
   Jellyfin server version: 1 33 7_x000D_
_x000D_
  Additional context  _x000D_
I m not sure why this happens yet  Thanks to  MrChip53 for finding this issue _x000D_
</t>
  </si>
  <si>
    <t>Anuken-Mindustry-3400</t>
  </si>
  <si>
    <t>#3398 but with the template.</t>
  </si>
  <si>
    <t>ask  Shiningdark0930 if more specific info is needed_x000D_
_x000D_
  Platform  :  Android iOS Mac Windows Linux  n a_x000D_
_x000D_
  Build  :  The build number under the title in the main menu  Required   LATEST  IS NOT A VERSION  I NEED THE EXACT BUILD NUMBER OF YOUR GAME   beta 113 2 (presumably)_x000D_
_x000D_
  Issue  :  Explain your issue in detail  _x000D_
when launching with a loadout the resource in the sector your launching from don t get consumed _x000D_
_x000D_
  Steps to reproduce  :  How you happened across the issue  and what exactly you did to make the bug happen  _x000D_
1  launch_x000D_
2  resources arent used_x000D_
3  profit_x000D_
_x000D_
  Link(s) to mod(s) used  :  The mod repositories or zip files that are related to the issue  if applicable  _x000D_
n a_x000D_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n a_x000D_
_x000D_
  Crash report  :  The contents of relevant crash report files  REQUIRED if you are reporting a crash  _x000D_
n a_x000D_
   _x000D_
_x000D_
 Place an X (no spaces) between the brackets to confirm that you have read the line below    _x000D_
   X    I have searched the closed and open issues to make sure that this problem has not already been reported   _x000D_
 3398</t>
  </si>
  <si>
    <t>Anuken-Mindustry-3399</t>
  </si>
  <si>
    <t>Microsoft VisualC++ Runtime "Assertion Failed!"</t>
  </si>
  <si>
    <t xml:space="preserve">  Platform  : Windows_x000D_
_x000D_
  Build  : 11286_x000D_
_x000D_
  Issue  : Was editing a map when suddenly my game crashed with this error _x000D_
  image (https:  user images githubusercontent com 72096570 99158871 c6f6a400 2694 11eb 97c6 542f68f2ccdb png)_x000D_
Now the game refuses to open regardless of which of the recent BE builds i use _x000D_
_x000D_
  Steps to reproduce  :_x000D_
_x000D_
1  Was editing a map (file below)_x000D_
2  Game crashed suddenly_x000D_
3  Gives error every time I try to relaunch_x000D_
_x000D_
  Link(s) to mod(s) used  : None_x000D_
_x000D_
  Save file  : _x000D_
 map 25 zip (https:  github com Anuken Mindustry files 5541570 map 25 zip)_x000D_
No save file  but i think i was editing this map (I think)_x000D_
_x000D_
_x000D_
_x000D_
  Crash report  :  The contents of relevant crash report files  REQUIRED if you are reporting a crash  _x000D_
No crash report was produced  looked in the crash report folder  Pressing any of the options did not produce a crash report _x000D_
   Update: I didn t know debugging it would send a log outside of the file  here it is    _x000D_
 hs err pid52800 log (https:  github com Anuken Mindustry files 5541590 hs err pid52800 log)_x000D_
_x000D_
   _x000D_
_x000D_
 Place an X (no spaces) between the brackets to confirm that you have read the line below    _x000D_
   X    I have searched the closed and open issues to make sure that this problem has not already been reported   _x000D_
</t>
  </si>
  <si>
    <t>matthewnbrown-EverSpinner-8</t>
  </si>
  <si>
    <t>Crash when opening synonym cache editor with no cache generated</t>
  </si>
  <si>
    <t xml:space="preserve">To reproduce:_x000D_
_x000D_
Clear app data_x000D_
Open app_x000D_
Press  Cache  button_x000D_
App crashes_x000D_
_x000D_
This goes away after generating a synonym </t>
  </si>
  <si>
    <t>Anuken-Mindustry-3392</t>
  </si>
  <si>
    <t xml:space="preserve">Keyboard WASD moving dont work on mobile </t>
  </si>
  <si>
    <t xml:space="preserve">  Platform  :  Android _x000D_
_x000D_
  Build  :  BETA 113 2 v6 _x000D_
_x000D_
  Issue  :  I connected keyboard to mobile and set controls on keyboard mouse  but when i entered server game the WASD moving dont work  but the chat typing with number block choosing work fine  All buttons set up are defaul  _x000D_
_x000D_
  Steps to reproduce  :  Connect keyboard to mobile with wired mouse to mobile and set controls to keyboard mouse and enter game  _x000D_
_x000D_
  Link(s) to mod(s) used  :  no mods used _x000D_
_x000D_
  Save file  :   mindustry1132 zip (https:  github com Anuken Mindustry files 5540662 mindustry1132 zip) _x000D_
_x000D_
  Crash report  :  No crashes happened  _x000D_
_x000D_
   _x000D_
_x000D_
 Place an X (no spaces) between the brackets to confirm that you have read the line below    _x000D_
  X    I have searched the closed and open issues to make sure that this problem has not already been reported   _x000D_
</t>
  </si>
  <si>
    <t>Anuken-Mindustry-3391</t>
  </si>
  <si>
    <t>Falling units are rendered behind the "darkness" that appears on wall tiles.</t>
  </si>
  <si>
    <t xml:space="preserve">  Platform  :  Android iOS Mac Windows Linux  windows 10 64 bit_x000D_
_x000D_
  Build  :  The build number under the title in the main menu  Required   LATEST  IS NOT A VERSION  I NEED THE EXACT BUILD NUMBER OF YOUR GAME   beta 113 2_x000D_
_x000D_
  Issue  :  Explain your issue in detail  _x000D_
falling unit sprites get drawn below the black wall void_x000D_
_x000D_
  Steps to reproduce  :  How you happened across the issue  and what exactly you did to make the bug happen  _x000D_
1  have unit fall whilst above the  void _x000D_
_x000D_
  Link(s) to mod(s) used  :  The mod repositories or zip files that are related to the issue  if applicable  _x000D_
n a_x000D_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graphical issue so heres a photo that shows the unit (you can see its smoke but not the actual unit) _x000D_
  image (https:  user images githubusercontent com 54417042 99144444 ef9a8180 2633 11eb 97f8 d9c338a6fdd5 png)_x000D_
_x000D_
_x000D_
_x000D_
  Crash report  :  The contents of relevant crash report files  REQUIRED if you are reporting a crash  _x000D_
not a crash_x000D_
_x000D_
   _x000D_
_x000D_
 Place an X (no spaces) between the brackets to confirm that you have read the line below    _x000D_
   X    I have searched the closed and open issues to make sure that this problem has not already been reported   _x000D_
</t>
  </si>
  <si>
    <t>stefan-niedermann-nextcloud-notes-988</t>
  </si>
  <si>
    <t>Crash when adding and removing favorite</t>
  </si>
  <si>
    <t xml:space="preserve">    
Guidelines for submitting issues:
  Bug reports which do not fill the complete issue template will be closed 
  Please have a look at our  FAQ (https:  github com stefan niedermann nextcloud notes blob master FAQ md)
  Please search the existing issues first  it s likely that your issue was already reported or even fixed 
  This repository is  only  for issues within the Nextcloud Notes Android app
Please use    GitHub reactions (https:  blog github com 2016 03 10 add reactions to pull requests issues and comments )     to show that you are affected by the same issue  Please don t comment if you have no relevant information to add 
  Describe the bug  
The app crashes  additionally there is a rendering bug when the favorite was added  could be related 
  To Reproduce  
Steps to reproduce the behavior:
In the main notes list  mark a note as favorite and remove it again by tapping the star icon
  Expected behavior  
     A clear and concise description of what you expected to happen     
It just works :wink:
  Screenshots  
     If applicable  add screenshots to help explain your problem     
  Smartphone (please complete the following information):  
   Nextcloud Notes Version (android app): 2 17 1
   F Droid or Play Store: 
   Android Version: 11
   Device: Pixel 3a
  Server  
   Nextcloud version: 
   Nextcloud Notes version (server app): 
  Stacktrace  
App Version: 2 17 1
App Version Code: 2017001
App Flavor: play
Files App Version Code: 30140052
OS Version: 4 9 223 g90fdcf28fd1c ab6846391(6869500)
OS API Level: 30
Device: sargo
Manufacturer: Google
Model (and Product): Pixel 3a (sargo)
java lang ArrayIndexOutOfBoundsException: length 163  index  1
	at java util ArrayList get(ArrayList java:439)
	at it niedermann owncloud notes main items ItemAdapter getItem(ItemAdapter java:202)
	at it niedermann owncloud notes main MainActivity onNoteFavoriteClick(MainActivity java:876)
	at it niedermann owncloud notes main items NoteViewHolder lambda bindFavorite 2 NoteViewHolder(NoteViewHolder java:109)
	at it niedermann owncloud notes main items    Lambda NoteViewHolder rNxJqnoOB N2wbk5ji9ov7z7Aec onClick(Unknown Source:2)
	at android view View performClick(View java:7448)
	at android view View performClickInternal(View java:7425)
	at android view View access 3600(View java:810)
	at android view View PerformClick run(View java:28305)
	at android os Handler handleCallback(Handler java:938)
	at android os Handler dispatchMessage(Handler java:99)
	at android os Looper loop(Looper java:223)
	at android app ActivityThread main(ActivityThread java:7656)
	at java lang reflect Method invoke(Native Method)
	at com android internal os RuntimeInit MethodAndArgsCaller run(RuntimeInit java:592)
	at com android internal os ZygoteInit main(ZygoteInit java:947)
</t>
  </si>
  <si>
    <t>Anuken-Mindustry-3389</t>
  </si>
  <si>
    <t>Multiple unknown crashes</t>
  </si>
  <si>
    <t xml:space="preserve">  Platform  :  iOS _x000D_
_x000D_
  Build  :  beta 113 2 _x000D_
_x000D_
  Issue  :  Game crashes unexpectedly quite often  I am entirely unsure as to why  whether its due to continuing issues with my GPU or its a legitimate crash  _x000D_
_x000D_
  Steps to reproduce  :  I don t know  it seems to be with larger maps but it has happened on smaller maps  _x000D_
_x000D_
  Link(s) to mod(s) used  :  null _x000D_
_x000D_
  Save file  :  null _x000D_
_x000D_
  Crash report  :   These are all the crash logs on my iPod  Unsure what applies as  relevant   _x000D_
 logs txt (https:  github com Anuken Mindustry files 5540268 logs txt)_x000D_
_x000D_
   _x000D_
_x000D_
 Place an X (no spaces) between the brackets to confirm that you have read the line below    _x000D_
   X    I might ve searched the closed and open issues to make sure that this problem has not already been reported   _x000D_
</t>
  </si>
  <si>
    <t>Anuken-Mindustry-3385</t>
  </si>
  <si>
    <t>Crash game build 11259</t>
  </si>
  <si>
    <t xml:space="preserve">Hello  I play with a mobile arrangement  I have such a problem that with Build 11259 I have a crash game  but on the leading Build I have never had such mistakes  please try to do something  I just open the pretend is loading and after a few seconds the game just closes _x000D_
I m from Russia so I use a translator to write this message  </t>
  </si>
  <si>
    <t>inaturalist-iNaturalistAndroid-936</t>
  </si>
  <si>
    <t>NullPointerException in UserDetailsReceiver.onReceive</t>
  </si>
  <si>
    <t xml:space="preserve">https:  console firebase google com u 2 project inaturalist ios crashlytics app android:org inaturalist android issues 8ed07bf2fc1d1085caa2fb1444aab052_x000D_
_x000D_
   _x000D_
Fatal Exception: java lang NullPointerException: Attempt to invoke virtual method  void androidx swiperefreshlayout widget SwipeRefreshLayout setRefreshing(boolean)  on a null object reference_x000D_
       at org inaturalist android ObservationListActivity UserDetailsReceiver onReceive(ObservationListActivity java:1804)_x000D_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java:106)_x000D_
       at android os Looper loop(Looper java:280)_x000D_
       at android app ActivityThread main(ActivityThread java:6706)_x000D_
       at java lang reflect Method invoke(Method java)_x000D_
       at com android internal os RuntimeInit MethodAndArgsCaller run(RuntimeInit java:493)_x000D_
       at com android internal os ZygoteInit main(ZygoteInit java:858)_x000D_
   </t>
  </si>
  <si>
    <t>inaturalist-iNaturalistAndroid-935</t>
  </si>
  <si>
    <t>SQLException in ObservationProvider.insert</t>
  </si>
  <si>
    <t xml:space="preserve">https:  console firebase google com u 2 project inaturalist ios crashlytics app android:org inaturalist android issues 7035b165d8098532fca60ad50983b888_x000D_
_x000D_
Kind of vague  I know_x000D_
_x000D_
   _x000D_
Fatal Exception: android database SQLException: Failed to insert row into content:  org inaturalist android observation photo observation photos_x000D_
       at org inaturalist android ObservationProvider insert(ObservationProvider java:395)_x000D_
       at android content ContentProvider insert(ContentProvider java:1673)_x000D_
       at android content ContentProvider Transport insert(ContentProvider java:336)_x000D_
       at android content ContentResolver insert(ContentResolver java:2149)_x000D_
       at android content ContentResolver insert(ContentResolver java:2111)_x000D_
       at org inaturalist android ObservationSearchActivity saveObservationLocally(ObservationSearchActivity java:261)_x000D_
       at org inaturalist android ObservationSearchActivity onItemClick(ObservationSearchActivity java:234)_x000D_
       at android widget AdapterView performItemClick(AdapterView java:330)_x000D_
       at android widget AbsListView performItemClick(AbsListView java:1187)_x000D_
       at android widget AbsListView PerformClick run(AbsListView java:3179)_x000D_
       at android widget AbsListView 3 run(AbsListView java:4097)_x000D_
   </t>
  </si>
  <si>
    <t>Anuken-Mindustry-3380</t>
  </si>
  <si>
    <t>Zooming doesnt work on the tech tree when opened from the planet menu.</t>
  </si>
  <si>
    <t xml:space="preserve">  Platform  :  Android iOS Mac Windows Linux  windows 10 64 bit_x000D_
_x000D_
  Build  :  The build number under the title in the main menu  Required   LATEST  IS NOT A VERSION  I NEED THE EXACT BUILD NUMBER OF YOUR GAME   beta 113 2_x000D_
_x000D_
  Issue  :  Explain your issue in detail  _x000D_
when opening the research menu on the world map you  zooming in or out zooms the planet not the menu _x000D_
_x000D_
  Steps to reproduce  :  How you happened across the issue  and what exactly you did to make the bug happen  _x000D_
1  open planet map_x000D_
2  open research menu_x000D_
3  try to zoom_x000D_
4  planet zooms instead _x000D_
_x000D_
  Link(s) to mod(s) used  :  The mod repositories or zip files that are related to the issue  if applicable  _x000D_
N A_x000D_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happens in menu _x000D_
_x000D_
  Crash report  :  The contents of relevant crash report files  REQUIRED if you are reporting a crash  _x000D_
not a crash_x000D_
_x000D_
   _x000D_
_x000D_
 Place an X (no spaces) between the brackets to confirm that you have read the line below    _x000D_
   X    I have searched the closed and open issues to make sure that this problem has not already been reported   _x000D_
</t>
  </si>
  <si>
    <t>Anuken-Mindustry-3378</t>
  </si>
  <si>
    <t>AI base units crash when killed</t>
  </si>
  <si>
    <t xml:space="preserve">  Platform  : Windows_x000D_
_x000D_
  Build  : 6 0  113 2 Beta_x000D_
_x000D_
  Issue  : Although Player base units  alpha beta gamma  don t crash  like fall down and damage areas around them  upon death  AI on Attack maps do _x000D_
_x000D_
  Steps to reproduce  : I came across this while playing an online attack map  and you just need to kill a base AI unit to recreate this _x000D_
_x000D_
  Link(s) to mod(s) used  : none _x000D_
_x000D_
  Save file  : Unneeded  This bug occurs in every Attack map _x000D_
_x000D_
  Crash report  : none _x000D_
_x000D_
   _x000D_
_x000D_
   x    I have searched the closed and open issues to make sure that this problem has not already been reported   _x000D_
</t>
  </si>
  <si>
    <t>TeamNewPipe-NewPipe-4878</t>
  </si>
  <si>
    <t xml:space="preserve">Enqueuing a song stops the current song. </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</si>
  <si>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Start one video in background  _x000D_
2  Now Enqueue another video to background  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Video enqueued successfully  But current video stops and remain stuck on loading  Just for fact Its not a network issue  _x000D_
_x000D_
    Expected behaviour_x000D_
     Tell us what you expect to happen     _x000D_
Video should enqueue successfully and should not interfere with any other video and with its playback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No Logs_x000D_
_x000D_
     That s right  here     _x000D_
_x000D_
_x000D_
_x000D_
     Please fill this out when you do not provide a log generate by NewPipe    _x000D_
_x000D_
    Device info_x000D_
_x000D_
   Android version Custom ROM version: Android 7 0   MIUI 11 0 2_x000D_
   Device model: Xiaomi Redmi Note 4 (codename: mido)_x000D_
</t>
  </si>
  <si>
    <t>microsoft-appcenter-sdk-android-1477</t>
  </si>
  <si>
    <t>Getting NullPointerException when calling Distribute.goToUnknownAppsSettings</t>
  </si>
  <si>
    <t xml:space="preserve">    _x000D_
    Thanks for your interest in using the App Center SDK for Android _x000D_
    If your issue is not related to using our Android SDK but rather about the product experience like the portal or CI  please create an issue on https:  github com Microsoft appcenter instead _x000D_
   _x000D_
_x000D_
      Description  _x000D_
_x000D_
We are getting few crash reports with the following stack trace:_x000D_
   _x000D_
java lang NullPointerException: Attempt to invoke virtual method  java lang String android app Activity getPackageName()  on a null object reference_x000D_
    at com microsoft appcenter distribute Distribute goToUnknownAppsSettings(Distribute java:1653)_x000D_
    at com microsoft appcenter distribute Distribute access 1000(Distribute java:112)_x000D_
    at com microsoft appcenter distribute Distribute 11 onClick(Distribute java:1601)_x000D_
    at com android internal app AlertController ButtonHandler handleMessage(AlertController java:172)_x000D_
    at android os Handler dispatchMessage(Handler java:106)_x000D_
    at android os Looper loop(Looper java:193)_x000D_
    at android app ActivityThread main(ActivityThread java:6740)_x000D_
    at java lang reflect Method invoke(Method java)_x000D_
    at com android internal os RuntimeInit MethodAndArgsCaller run(RuntimeInit java:493)_x000D_
    at com android internal os ZygoteInit main(ZygoteInit java:858)_x000D_
   _x000D_
_x000D_
Maybe a try catch block would prevent this _x000D_
_x000D_
      Repro Steps  _x000D_
_x000D_
Unclear _x000D_
But likely to happen when the user wants to go to the settings to allow installs from Unknown sources _x000D_
_x000D_
      Details  _x000D_
_x000D_
1  Which SDK version are you using _x000D_
      3 3 0_x000D_
2  Which OS version did you experience the issue on _x000D_
      e g  Android 9_x000D_
3  What device version did you see this error on   Were you using an emulator or a physical device _x000D_
      Amazon Fire Tablet_x000D_
4  What third party libraries are you using _x000D_
      N A_x000D_
5  Please enable verbose logging for your app using  AppCenter setLogLevel(Log VERBOSE)  before your call to  AppCenter start(   )  and include the logs here:_x000D_
	  N A</t>
  </si>
  <si>
    <t>nextcloud-android-7317</t>
  </si>
  <si>
    <t>Crash when file is above certain size, and its encrypted with E2E.</t>
  </si>
  <si>
    <t xml:space="preserve">    Steps to reproduce_x000D_
1  Upload files to E2E folder_x000D_
2  Download file above  100MB via Andorid app_x000D_
3  App crashes_x000D_
_x000D_
    Expected behaviour_x000D_
  File should decrypt and run_x000D_
_x000D_
    Actual behaviour_x000D_
  File is downloading well  until it reaches 100   then app crashes  This error does not occur with smaller files _x000D_
Tested with few files:_x000D_
_x000D_
Folder 1 (encrypted with e2e):_x000D_
67 MB   ok_x000D_
53 MB   ok_x000D_
151 MB   crash_x000D_
204 MB   crash_x000D_
_x000D_
Folder 2 (encrypted with e2e):_x000D_
108 MB   ok_x000D_
97 MB   ok_x000D_
151 MB (same file as in folder 1)   crash_x000D_
_x000D_
Folder 3 (not encrypted)_x000D_
193 MB   ok_x000D_
_x000D_
_x000D_
Everything is up to date  This error occures only for bigger files that are e2e encrypted _x000D_
_x000D_
    Environment data_x000D_
Android version: 9_x000D_
_x000D_
Device model: LG G6_x000D_
_x000D_
Stock or customized system: Stock_x000D_
_x000D_
Nextcloud app version: 3 13 1_x000D_
_x000D_
Nextcloud server version: 20 0 1_x000D_
_x000D_
Reverse proxy:_x000D_
_x000D_
    Logs_x000D_
     Web server error log_x000D_
   _x000D_
No errors occured_x000D_
   _x000D_
_x000D_
     Nextcloud log (data nextcloud log)_x000D_
   _x000D_
No errors occured_x000D_
   _x000D_
_x000D_
     Android crash log_x000D_
   _x000D_
             CAUSE OF ERROR             _x000D_
_x000D_
java lang NullPointerException: Attempt to invoke virtual method  boolean com owncloud android lib common operations RemoteOperationResult isCancelled()  on a null object reference_x000D_
	at com owncloud android files services FileDownloader notifyDownloadResult(FileDownloader java:609)_x000D_
	at com owncloud android files services FileDownloader downloadFile(FileDownloader java:478)_x000D_
	at com owncloud android files services FileDownloader access 500(FileDownloader java:81)_x000D_
	at com owncloud android files services FileDownloader ServiceHandler handleMessage(FileDownloader java:415)_x000D_
	at android os Handler dispatchMessage(Handler java:106)_x000D_
	at android os Looper loop(Looper java:205)_x000D_
	at android os HandlerThread run(HandlerThread java:65)_x000D_
_x000D_
             APP INFORMATION             _x000D_
ID: com nextcloud client_x000D_
Version: 30130190_x000D_
Build flavor: gplay_x000D_
_x000D_
             DEVICE INFORMATION             _x000D_
Brand: lge_x000D_
Device: lucye_x000D_
Model: LG H870_x000D_
Id: PKQ1 190522 001_x000D_
Product: lucye global com_x000D_
_x000D_
             FIRMWARE             _x000D_
SDK: 28_x000D_
Release: 9_x000D_
Incremental: 1930916292597_x000D_
_x000D_
   _x000D_
_x000D_
</t>
  </si>
  <si>
    <t>TeamNewPipe-NewPipe-4875</t>
  </si>
  <si>
    <t>Could not parse website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</si>
  <si>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 from youtube com source  _x000D_
2  Press on  Play  _x000D_
3  Crashes before  show info  or  play  occurs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Tap any video to play and Error Report screen shows  I have tried every combination of the settings without success  Cleared Cache from settings  Cleared cache from android os  app info   Tried clean install of Newpipe without any config from previous installs  _x000D_
_x000D_
_x000D_
    Expected behavior_x000D_
     Tell us what you expect to happen     _x000D_
Video to play or even the  show info  page of the selected video to load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_x000D_
_x000D_
    Logs_x000D_
     If your bug includes a crash (where you re shown the Error Report page with a bunch of info)  tap on  Copy formatted report  at the bottom and paste it here:    _x000D_
   Exception_x000D_
    User Action:   requested stream_x000D_
    Request:   https:  www youtube com watch v RUQl6YcMalg_x000D_
    Content Country:   US_x000D_
    Content Language:   en US_x000D_
    App Language:   en US_x000D_
    Service:   YouTube_x000D_
    Version:   0 20 1_x000D_
    OS:   Linux samsung heroqltetmo heroqltetmo:8 0 0 R16NW G930TUVU4CRI2:user release keys 8 0 0   26_x000D_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_x000D_
   _x000D_
  details _x000D_
 hr _x000D_
     That s right  here     _x000D_
_x000D_
   Exception_x000D_
    User Action:   requested stream_x000D_
    Request:   https:  www youtube com watch v RUQl6YcMalg_x000D_
    Content Country:   US_x000D_
    Content Language:   en US_x000D_
    App Language:   en US_x000D_
    Service:   YouTube_x000D_
    Version:   0 20 1_x000D_
    OS:   Linux samsung heroqltetmo heroqltetmo:8 0 0 R16NW G930TUVU4CRI2:user release keys 8 0 0   26_x000D_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_x000D_
   _x000D_
  details _x000D_
 hr _x000D_
_x000D_
     Please fill this out when you do not provide a log generate by NewPipe    _x000D_
_x000D_
    Device info_x000D_
_x000D_
   Android version Custom ROM version: _x000D_
Android 8 0 0   Samsung Experience version 9 0_x000D_
   Device model: _x000D_
Samsung Galaxy S7 SM G930T_x000D_
</t>
  </si>
  <si>
    <t>Azure-azure-iot-sdk-java-991</t>
  </si>
  <si>
    <t>NullPointerException when closing connection - ClientState.quiesce</t>
  </si>
  <si>
    <t>_x000D_
Several crash reports on Crashlytics  I think you have all information needed here _x000D_
_x000D_
_x000D_
  Context_x000D_
_x000D_
Android (several versions)_x000D_
com microsoft azure sdk iot:iot device client:1 25 0_x000D_
_x000D_
   Description of the issue_x000D_
We are getting some crash reports in Crashlytics _x000D_
_x000D_
   Code sample exhibiting the issue_x000D_
In some scenarios  or closing the app we close conection:_x000D_
_x000D_
    public void destroy()  _x000D_
        removeCallbacksAndMessages(null) _x000D_
        try  _x000D_
            deviceClientRegistration closeNow() _x000D_
          catch (Exception e)  _x000D_
            Log e(TAG   Exception closing Device Client   e) _x000D_
         _x000D_
_x000D_
     _x000D_
_x000D_
_x000D_
   Console log of the issue_x000D_
Crash Stack Trace_x000D_
_x000D_
Fatal Exception: java lang NullPointerException: Attempt to invoke virtual method  void java util Vector clear()  on a null object reference_x000D_
       at org eclipse paho client mqttv3 internal ClientState quiesce(ClientState java:1356)_x000D_
       at org eclipse paho client mqttv3 internal ClientComms DisconnectBG run(ClientComms java:775)_x000D_
       at java lang Thread run(Thread java:784)_x000D_
_x000D_
_x000D_
_x000D_
AB 8799730</t>
  </si>
  <si>
    <t>SkyTubeTeam-SkyTube-833</t>
  </si>
  <si>
    <t>Crashes after pressing "arrow back" a lot of times and does not start</t>
  </si>
  <si>
    <t xml:space="preserve">The context: I decided to migrate from newpipe to skytube app  I looked for a way to migrate the subscription list from one app to another and didn t find anything (that s an issue on itself  but not this one)  Then I decided to subscribe to all my favourite channels manually _x000D_
_x000D_
To do that I searched the channel name  pressed the       button and selected  Subscribe  in the menu  And repeated this for every one of my subscriptions  After this I wanted to see my feed  but when I pressed the  back  arrow on top of my screen I returned to the previous search page  And the preivous  And so on  I quickly pressed this  arrow  button a lot of times and the app has crashed   Not a big deal  I thought and started the app again  but    it didn t start  It didn t start even after I cleared the cache and force stopped the app in the app info dialogue  If I clear the app data  I ll have to subscribe to all these channels again  There goes my migration from NewPipe  I guess I ll have to tolerate it s issues for a while more    sorry for my frustration </t>
  </si>
  <si>
    <t>TeamNewPipe-NewPipe-4874</t>
  </si>
  <si>
    <t>Crash while deleting a video from a 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</si>
  <si>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I m not sure it can be reproduced   It happened when deleting a video from a list   After restarting NewPipe I ve been able to delete this video and others _x000D_
_x000D_
    Actual behaviour_x000D_
     Tell us what happens with the steps given above     _x000D_
_x000D_
The app creashed_x000D_
_x000D_
    Expected behavior_x000D_
     Tell us what you expect to happen     _x000D_
_x000D_
The video should be deleted from the list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Exception_x000D_
  User Action: ui error_x000D_
  Request: App crash  UI failure_x000D_
  Content Country: GB_x000D_
  Content Language: en_x000D_
  App Language: en US_x000D_
  Service: none_x000D_
  Version: 0 20 2_x000D_
  OS: Linux Android 9   28_x000D_
 details  summary  b Crash log   b   summary  p _x000D_
_x000D_
_x000D_
java lang ArrayIndexOutOfBoundsException: length 115  index  1_x000D_
 at java util ArrayList remove(ArrayList java:506)_x000D_
 at org schabi newpipe local LocalItemListAdapter removeItem(LocalItemListAdapter java:128)_x000D_
 at org schabi newpipe local playlist LocalPlaylistFragment deleteItem(LocalPlaylistFragment java:620)_x000D_
 at org schabi newpipe local playlist LocalPlaylistFragment lambda showStreamItemDialog 19 LocalPlaylistFragment(LocalPlaylistFragment java:790)_x000D_
 at org schabi newpipe local playlist    Lambda LocalPlaylistFragment 90syoQLDH9fDdmrHKGkSeGndyvo onClick(Unknown Source:4)_x000D_
 at org schabi newpipe util StreamDialogEntry clickOn(StreamDialogEntry java:105)_x000D_
 at org schabi newpipe local playlist LocalPlaylistFragment lambda showStreamItemDialog 20 LocalPlaylistFragment(LocalPlaylistFragment java:793)_x000D_
 at org schabi newpipe local playlist    Lambda LocalPlaylistFragment XkVgE8RSZjjT9Ft0r7B 0GYSTrk onClick(Unknown Source:4)_x000D_
 at com android internal app AlertController AlertParams 3 onItemClick(AlertController java:1169)_x000D_
 at android widget AdapterView performItemClick(AdapterView java:318)_x000D_
 at android widget AbsListView performItemClick(AbsListView java:1159)_x000D_
 at android widget AbsListView PerformClick run(AbsListView java:3136)_x000D_
 at android widget AbsListView 3 run(AbsListView java:4052)_x000D_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_x000D_
_x000D_
  details _x000D_
 hr _x000D_
_x000D_
     Please fill this out when you do not provide a log generate by NewPipe    _x000D_
_x000D_
    Device info_x000D_
_x000D_
   Android version Custom ROM version: LineageOS 9_x000D_
   Device model: X00TD_x000D_
</t>
  </si>
  <si>
    <t>Anuken-Mindustry-3375</t>
  </si>
  <si>
    <t>Old damaged buildings are not recognized as being damaged upon launching a new core to an area</t>
  </si>
  <si>
    <t xml:space="preserve">  Platform  : Android but likely the same on other platforms_x000D_
_x000D_
  Build  : Beta 113 2_x000D_
_x000D_
  Issue  : Old damaged buildings are not recognized as damaged upon launching a new core to an area_x000D_
_x000D_
  Steps to reproduce  : I lost Sector 221  launched a new core there  got to the point where I had Polys and set up some logic so that I could tell them to repair damaged buildings  They repaired some buildings  but didn t try to repair the buildings that were the remains of my base from before I lost the sector  I manually controlled some of them and tried healing some of the buildings  and it worked no problem    In the save file I have left most of the old buildings unrepaired    Can t upload save file_x000D_
_x000D_
  Link(s) to mod(s) used  : N A  non modded_x000D_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Rip the zipped file s too big_x000D_
And I can t upload to google drive from this old kindle  Great _x000D_
_x000D_
  Crash report  :  The contents of relevant crash report files  REQUIRED if you are reporting a crash   N A_x000D_
_x000D_
   _x000D_
_x000D_
 Place an X (no spaces) between the brackets to confirm that you have read the line below    _x000D_
   X    I have searched the closed and open issues to make sure that this problem has not already been reported   _x000D_
_x000D_
</t>
  </si>
  <si>
    <t>TeamNewPipe-NewPipe-4873</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</si>
  <si>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Search and search video _x000D_
2  Press on the video to enter_x000D_
3  i got the error log (see below) always_x000D_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requested stream_x000D_
    Request:   https:  www youtube com watch v nS DLy8yt9s_x000D_
    Content Country:   US_x000D_
    Content Language:   en US_x000D_
    App Language:   en US_x000D_
    Service:   YouTube_x000D_
    Version:   0 20 1_x000D_
    OS:   Linux Android 7 1 1   25_x000D_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call(lambda)_x000D_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_x000D_
   _x000D_
  details _x000D_
 hr _x000D_
_x000D_
_x000D_
_x000D_
     Please fill this out when you do not provide a log generate by NewPipe    _x000D_
_x000D_
    Device info_x000D_
_x000D_
   Android version Custom ROM version: 7 1_x000D_
   Device model: MOTO E4 _x000D_
</t>
  </si>
  <si>
    <t>opensrp-opensrp-client-chw-1536</t>
  </si>
  <si>
    <t>App closes when you exit out of the PNC home visit after viewing PNC woman danger signs</t>
  </si>
  <si>
    <t xml:space="preserve">DRC flavor  pointing to wcaro stage_x000D_
V1 0 0  build date 11 Nov_x000D_
_x000D_
Steps to replicate:_x000D_
_x000D_
  Find a PNC woman s record with a PNC home visit due and open the PNC home visit_x000D_
  Open the mother danger signs task and click on the info icon to view the danger sign images_x000D_
  Scroll down the images and click OK at the bottom _x000D_
  Exit the task and then exit the PNC home visit_x000D_
  When you tap to confirm closing the PNC home visit  the app closes  It doesn t crash  but it closes and you land on the device home screen and you have to log back in to the app _x000D_
_x000D_
I did not test this in other flavors to see if it s also an issue there </t>
  </si>
  <si>
    <t>Anuken-Mindustry-3370</t>
  </si>
  <si>
    <t>Critical bug</t>
  </si>
  <si>
    <t xml:space="preserve">  Platform  :  Android 
  Build  :  11234 
  Issue  :  Game crashes when it open 
  Steps to reproduce  :  Just open 
  Link(s) to mod(s) used  :  No mods 
</t>
  </si>
  <si>
    <t>Anuken-Mindustry-3369</t>
  </si>
  <si>
    <t>Latest version of Mindustry for Android doesn't open</t>
  </si>
  <si>
    <t xml:space="preserve">  Platform  : Android_x000D_
_x000D_
  Build  : 11234_x000D_
_x000D_
  Issue  : Should be quite self explanatory  I will post the crash report right below _x000D_
_x000D_
  Steps to reproduce  : Open Mindustry BE 11234 in an android phone  Mine is Xiaomi Note 9 _x000D_
_x000D_
  Link(s) to mod(s) used  : I should have routorio downloaded  but not active _x000D_
_x000D_
 IN GAME  _x000D_
_x000D_
  Crash report  :  The contents of relevant crash report files  REQUIRED if you are reporting a crash  _x000D_
  Screenshot 2020 11 12 19 45 11 870 com miui bugreport (https:  user images githubusercontent com 69767174 98976498 18315700 2520 11eb 8b21 2aa6a33a7629 jpg)_x000D_
  Screenshot 2020 11 12 19 45 14 578 com miui bugreport (https:  user images githubusercontent com 69767174 98976505 19fb1a80 2520 11eb 9a07 46f88e425832 jpg)_x000D_
_x000D_
   _x000D_
_x000D_
 Place an X (no spaces) between the brackets to confirm that you have read the line below    _x000D_
   x    I have searched the closed and open issues to make sure that this problem has not already been reported   _x000D_
</t>
  </si>
  <si>
    <t>Anuken-Mindustry-3366</t>
  </si>
  <si>
    <t>Very loud sound</t>
  </si>
  <si>
    <t xml:space="preserve">  Platform  :  Android iOS Mac Windows Linux _x000D_
Windows_x000D_
_x000D_
  Build  :  The build number under the title in the main menu  Required   LATEST  IS NOT A VERSION  I NEED THE EXACT BUILD NUMBER OF YOUR GAME  _x000D_
113 2_x000D_
_x000D_
  Issue  :  Explain your issue in detail  _x000D_
When a lot of block explosion sounds are played at once  they aren t limited  and stack together into a very loud sound_x000D_
_x000D_
  Steps to reproduce  :  How you happened across the issue  and what exactly you did to make the bug happen  _x000D_
Shoot a bunch of conveyors on multiplayer with toxopid   the sounds will all occur at the same time and stack together  Does not happen in pre 113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</si>
  <si>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Anuken-Mindustry-3364</t>
  </si>
  <si>
    <t>Mindustry cannot export anything</t>
  </si>
  <si>
    <t xml:space="preserve">  Platform  :  Android iOS Mac Windows Linux _x000D_
Mac_x000D_
  Build  :  The build number under the title in the main menu  Required   LATEST  IS NOT A VERSION  I NEED THE EXACT BUILD NUMBER OF YOUR GAME  _x000D_
113 2_x000D_
  Issue  :  Explain your issue in detail  _x000D_
Mindustry is unable to find my Desktop folder  I made Mindustry go back several folders  but when I try to go back  after I get to the specific user folder  Mindustry is unable to find anything in that folder  even though there are tons of folders in it _x000D_
What it looks like_x000D_
 img width  1429  alt  Screen Shot 2020 11 12 at 6 28 39 PM  src  https:  user images githubusercontent com 73286691 98931026 69d5e380 2518 11eb 8363 46dc0dc0acc3 png  _x000D_
What is actually in the folder (sensitive parts cropped out)_x000D_
 img width  618  alt  Screen Shot 2020 11 12 at 6 30 12 PM  src  https:  user images githubusercontent com 73286691 98930979 5e82b800 2518 11eb 8ab2 604cbe13b631 png  _x000D_
  Steps to reproduce  :  How you happened across the issue  and what exactly you did to make the bug happen  _x000D_
Mentioned above_x000D_
  Link(s) to mod(s) used  :  The mod repositories or zip files that are related to the issue  if applicable  _x000D_
None used_x000D_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The problem is that I can t export anything  so   _x000D_
  Crash report  :  The contents of relevant crash report files  REQUIRED if you are reporting a crash  _x000D_
Nope_x000D_
   _x000D_
_x000D_
 Place an X (no spaces) between the brackets to confirm that you have read the line below    _x000D_
   X    I have searched the closed and open issues to make sure that this problem has not already been reported   _x000D_
</t>
  </si>
  <si>
    <t>AOF-Dev-MCinaBox-670</t>
  </si>
  <si>
    <t>PLEASE HELP</t>
  </si>
  <si>
    <t xml:space="preserve">i need help plzzz_x000D_
i installed the latest apk and i have aarch64 (my phone is compatible with 64 bit)_x000D_
_x000D_
just press play after installing the runtime and 1 12 2 version and it crashed_x000D_
_x000D_
   Device:  infinix hot 8 _x000D_
   OS:  Android 9 _x000D_
   App Version  e g  v0 1 4 pe 4 _x000D_
_x000D_
i want to play with my friends plz help_x000D_
</t>
  </si>
  <si>
    <t>Anuken-Mindustry-3358</t>
  </si>
  <si>
    <t>#2977 persists</t>
  </si>
  <si>
    <t xml:space="preserve">  Platform  :  Android iOS Mac Windows Linux  windows 10 64 bit_x000D_
_x000D_
  Build  :  The build number under the title in the main menu  Required   LATEST  IS NOT A VERSION  I NEED THE EXACT BUILD NUMBER OF YOUR GAME   beta 113 2_x000D_
_x000D_
  Issue  :  Explain your issue in detail  _x000D_
 2977_x000D_
_x000D_
  Steps to reproduce  :  How you happened across the issue  and what exactly you did to make the bug happen  _x000D_
 2977_x000D_
_x000D_
  Link(s) to mod(s) used  :  The mod repositories or zip files that are related to the issue  if applicable  _x000D_
N A_x000D_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happens across saves _x000D_
_x000D_
  Crash report  :  The contents of relevant crash report files  REQUIRED if you are reporting a crash  _x000D_
not a crash_x000D_
_x000D_
   _x000D_
_x000D_
 Place an X (no spaces) between the brackets to confirm that you have read the line below    _x000D_
   X    I have searched the closed and open issues to make sure that this problem has not already been reported   _x000D_
it has but it persists</t>
  </si>
  <si>
    <t>TeamNewPipe-NewPipe-4865</t>
  </si>
  <si>
    <t>Could not analyze website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</si>
  <si>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Play any video_x000D_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Cant play any Video  nor update my feed _x000D_
_x000D_
    Expected behavior_x000D_
     Tell us what you expect to happen     _x000D_
Plays the video_x000D_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watch v 828N AKmKow_x000D_
    Content Country:   DE_x000D_
    Content Language:   de DE_x000D_
    App Language:   de DE_x000D_
    Service:   YouTube_x000D_
    Version:   0 20 2_x000D_
    OS:   Linux Android 10   29_x000D_
 details  summary  b Crash log   b   summary  p _x000D_
_x000D_
   _x000D_
org schabi newpipe extractor exceptions ParsingException: Could not parse yt player response_x000D_
	at org schabi newpipe extractor services youtube extractors YoutubeStreamExtractor getPlayerResponse(YoutubeStreamExtractor java:735)_x000D_
	at org schabi newpipe extractor services youtube extractors YoutubeStreamExtractor onFetchPage(YoutubeStreamExtractor java:679)_x000D_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java lang NullPointerException: Attempt to invoke virtual method  int java lang String length()  on a null object reference_x000D_
	at java io StringReader  init (StringReader java:50)_x000D_
	at com grack nanojson JsonParser JsonParserContext from(Unknown Source:6)_x000D_
	at org schabi newpipe extractor services youtube extractors YoutubeStreamExtractor getPlayerResponse(YoutubeStreamExtractor java:733)_x000D_
	    30 more_x000D_
_x000D_
   _x000D_
  details _x000D_
 hr _x000D_
_x000D_
_x000D_
     Please fill this out when you do not provide a log generate by NewPipe    _x000D_
_x000D_
    Device info_x000D_
_x000D_
   Android version Custom ROM version:_x000D_
   Device model:_x000D_
</t>
  </si>
  <si>
    <t>TeamNewPipe-NewPipe-4864</t>
  </si>
  <si>
    <t>Constant "could not parse" issue.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</si>
  <si>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View any video on 720p60fps_x000D_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Video is unable to play and a  could not parse website  error appears constantly _x000D_
_x000D_
    Expected behavior_x000D_
     Tell us what you expect to happen     _x000D_
Video to play as normal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Exception_x000D_
    User Action:   requested stream_x000D_
    Request:   https:  www youtube com watch v GyAGvXUCAJg_x000D_
    Content Country:   US_x000D_
    Content Language:   en_x000D_
    App Language:   en US_x000D_
    Service:   YouTube_x000D_
    Version:   0 20 2_x000D_
    OS:   Linux samsung beyond1qltesq beyond1q:10 QP1A 190711 020 G973USQU4ETH7:user release keys 10   29_x000D_
 details  summary  b Crash log   b   summary  p _x000D_
_x000D_
   _x000D_
org schabi newpipe extractor exceptions ParsingException: Could not get name_x000D_
	at org schabi newpipe extractor services youtube extractors YoutubeStreamExtractor getName(YoutubeStreamExtractor java:135)_x000D_
	at org schabi newpipe extractor stream StreamInfo extractImportantData(StreamInfo java:105)_x000D_
	at org schabi newpipe extractor stream StreamInfo getInfo(StreamInfo java:71)_x000D_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_x000D_
_x000D_
     Please fill this out when you do not provide a log generate by NewPipe    _x000D_
_x000D_
    Device info_x000D_
_x000D_
   Android version Custom ROM version: Android 10_x000D_
   Device model: Galaxy S10_x000D_
</t>
  </si>
  <si>
    <t>Anuken-Mindustry-3356</t>
  </si>
  <si>
    <t>desktop:run SUCCESSFUL fail on RPi (32bit Linux)</t>
  </si>
  <si>
    <t xml:space="preserve">  Platform  :  Linux _x000D_
_x000D_
  Build  :  repository   Nov  7 15:35  _x000D_
_x000D_
  Issue  :  last block function in build gradle is missing desktop:packrLinux32   is this related  _x000D_
 arc util ArcRuntimeException: Couldn t load shared library  libarcarm so  for target: Linux  32 bit _x000D_
_x000D_
  Steps to reproduce  :  Install AdoptOpenJDK from their repo  under Linux RPM DEB instructions (see link)  then use desktop:run option (see 1st line below) _x000D_
https:  adoptopenjdk net installation html_x000D_
_x000D_
  Crash report  :  The contents of relevant crash report files  REQUIRED if you are reporting a crash  _x000D_
_x000D_
   _x000D_
pi raspberrypi:  Desktop Apps Mindustry     gradlew desktop:run_x000D_
Downloading https:  services gradle org distributions gradle 6 6 bin zip_x000D_
                                                                                                 _x000D_
_x000D_
Welcome to Gradle 6 6 _x000D_
_x000D_
Here are the highlights of this release:_x000D_
   Experimental build configuration caching_x000D_
   Built in conventions for handling credentials_x000D_
   Java compilation supports   release flag_x000D_
_x000D_
For more details see https:  docs gradle org 6 6 release notes html_x000D_
_x000D_
Starting a Gradle Daemon (subsequent builds will be faster)_x000D_
No Android SDK found  Skipping Android module _x000D_
_x000D_
  Configure project :_x000D_
Compiling with build:  custom build _x000D_
_x000D_
  Task :annotations:compileJava_x000D_
  Task :annotations:processResources_x000D_
  Task :annotations:classes_x000D_
  Task :annotations:jar_x000D_
  Task :core:preGen UP TO DATE_x000D_
  Task :core:compileJava_x000D_
Note: Some input files use unchecked or unsafe operations _x000D_
Note: Recompile with  Xlint:unchecked for details _x000D_
_x000D_
  Task :core:processResources NO SOURCE_x000D_
  Task :core:classes_x000D_
  Task :core:jar_x000D_
  Task :desktop:compileJava_x000D_
  Task :desktop:processResources NO SOURCE_x000D_
  Task :desktop:classes_x000D_
_x000D_
  Task :desktop:run_x000D_
arc util ArcRuntimeException: Couldn t load shared library  libarcarm so  for target: Linux  32 bit_x000D_
	at arc util SharedLibraryLoader load(SharedLibraryLoader java:85)_x000D_
	at arc util ArcNativesLoader load(ArcNativesLoader java:15)_x000D_
	at arc backend sdl SdlApplication init(SdlApplication java:77)_x000D_
	at arc backend sdl SdlApplication  init (SdlApplication java:29)_x000D_
	at mindustry desktop DesktopLauncher main(DesktopLauncher java:36)_x000D_
Caused by: arc util ArcRuntimeException: Unable to read file for extraction: libarcarm so_x000D_
	at arc util SharedLibraryLoader readFile(SharedLibraryLoader java:93)_x000D_
	at arc util SharedLibraryLoader loadFile(SharedLibraryLoader java:253)_x000D_
	at arc util SharedLibraryLoader load(SharedLibraryLoader java:81)_x000D_
	    4 more_x000D_
_x000D_
Deprecated Gradle features were used in this build  making it incompatible with Gradle 7 0 _x000D_
Use    warning mode all  to show the individual deprecation warnings _x000D_
See https:  docs gradle org 6 6 userguide command line interface html sec:command line warnings_x000D_
_x000D_
BUILD SUCCESSFUL in 9m 19s_x000D_
7 actionable tasks: 7 executed_x000D_
   _x000D_
_x000D_
 Place an X (no spaces) between the brackets to confirm that you have read the line below    _x000D_
   X    I have searched the closed and open issues to make sure that this problem has not already been reported   _x000D_
</t>
  </si>
  <si>
    <t>TeamNewPipe-NewPipe-4862</t>
  </si>
  <si>
    <t>notification must be clearable in the paused state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</si>
  <si>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Pause playback_x000D_
2  Try to clear the notification_x000D_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Notification is permanent when playback is paused _x000D_
_x000D_
_x000D_
_x000D_
    Expected behavior_x000D_
     Tell us what you expect to happen     _x000D_
Clearable notification when playback is paused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LineageOS 17 1_x000D_
   Device model: OP3T_x000D_
</t>
  </si>
  <si>
    <t>Anuken-Mindustry-3348</t>
  </si>
  <si>
    <t>All music does not play</t>
  </si>
  <si>
    <t xml:space="preserve">  Platform  :  Android iOS Mac Windows Linux _x000D_
Windows_x000D_
_x000D_
  Build  :  The build number under the title in the main menu  Required   LATEST  IS NOT A VERSION  I NEED THE EXACT BUILD NUMBER OF YOUR GAME  _x000D_
113_x000D_
_x000D_
  Issue  :  Explain your issue in detail  _x000D_
No music  not even menu music plays   even after checking all settings  then unpacking and launching the game from a new folder  Clearing game data didn t help either  All other sounds play _x000D_
_x000D_
  Steps to reproduce  :  How you happened across the issue  and what exactly you did to make the bug happen  _x000D_
Updating to b113   seems like the issue does not happen for other players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</si>
  <si>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Anuken-Mindustry-3347</t>
  </si>
  <si>
    <t>Community servers bug</t>
  </si>
  <si>
    <t xml:space="preserve">  Platform  :  Android iOS Mac Windows Linux _x000D_
Windows  unknown if may happen on other_x000D_
_x000D_
  Build  :  The build number under the title in the main menu  Required   LATEST  IS NOT A VERSION  I NEED THE EXACT BUILD NUMBER OF YOUR GAME  _x000D_
112 1_x000D_
_x000D_
  Issue  :  Explain your issue in detail  _x000D_
No community servers are appearing _x000D_
_x000D_
  Steps to reproduce  :  How you happened across the issue  and what exactly you did to make the bug happen  _x000D_
I just launched the game and it happened  not sure why _x000D_
_x000D_
  Link(s) to mod(s) used  :  The mod repositories or zip files that are related to the issue  if applicable  _x000D_
N A_x000D_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N A_x000D_
  Crash report  :  The contents of relevant crash report files  REQUIRED if you are reporting a crash  _x000D_
N A_x000D_
_x000D_
   _x000D_
_x000D_
 Place an X (no spaces) between the brackets to confirm that you have read the line below    _x000D_
   x    I have searched the closed and open issues to make sure that this problem has not already been reported   _x000D_
</t>
  </si>
  <si>
    <t>Anuken-Mindustry-3346</t>
  </si>
  <si>
    <t>Music playing</t>
  </si>
  <si>
    <t xml:space="preserve">  Platform  :  Android 9 _x000D_
_x000D_
  Build  :  beta build 113 _x000D_
_x000D_
  Issue  :  Is this mindustry s bug  or android 9 s _x000D_
That music from mindastry play when im writing to discord  _x000D_
_x000D_
  Steps to reproduce  :  Start mindustry and go to another program  _x000D_
_x000D_
  Link(s) to mod(s) used  :  Nothing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</si>
  <si>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nextcloud-android-7301</t>
  </si>
  <si>
    <t>Continued crashed</t>
  </si>
  <si>
    <t xml:space="preserve">    Steps to reproduce_x000D_
1  Just use it_x000D_
2  _x000D_
3  _x000D_
_x000D_
    Expected behaviour_x000D_
  Should not crash_x000D_
_x000D_
    Actual behaviour_x000D_
  Crashes every few seconds_x000D_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CAUSE OF ERROR             _x000D_
_x000D_
android app RemoteServiceException: Context startForegroundService() did not then call Service startForeground(): ServiceRecord f3637c2 u0 com nextcloud client  media PlayerService _x000D_
	at android app ActivityThread H handleMessage(ActivityThread java:2188)_x000D_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APP INFORMATION             _x000D_
ID: com nextcloud client_x000D_
Version: 30140052_x000D_
Build flavor: gplay_x000D_
_x000D_
             DEVICE INFORMATION             _x000D_
Brand: samsung_x000D_
Device: crownlte_x000D_
Model: SM N960F_x000D_
Id: QP1A 190711 020_x000D_
Product: crownltexx_x000D_
_x000D_
             FIRMWARE             _x000D_
SDK: 29_x000D_
Release: 10_x000D_
Incremental: N960FXXU6FTJ5_x000D_
_x000D_
   _x000D_
  NOTE:   Be super sure to remove sensitive data like passwords  note that everybody can look here  You can use the Issue Template application to prefill some of the required information: https:  apps nextcloud com apps issuetemplate_x000D_
</t>
  </si>
  <si>
    <t>TeamNewPipe-NewPipe-4860</t>
  </si>
  <si>
    <t>Failed to parse YouTube comments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</si>
  <si>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The results are inconsistent  re running the application resolves specific cases but otherwise they persist in affected videos _x000D_
_x000D_
  Search for video_x000D_
  Tap video_x000D_
   Something went wrong  footnote_x000D_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Footnote appears  no comments_x000D_
_x000D_
    Expected behavior_x000D_
     Tell us what you expect to happen     _x000D_
_x000D_
No footnote  comments appear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Exception_x000D_
    User Action:   requested comments_x000D_
    Request:   https:  m youtube com watch v WFw2Ij1t2PU_x000D_
    Content Country:   US_x000D_
    Content Language:   en US_x000D_
    App Language:   en US_x000D_
    Service:   YouTube_x000D_
    Version:   0 20 2_x000D_
    OS:   Linux samsung j7topltemtr j7topltemtr:9 PPR1 180610 011 J737T1UVU7BTA2:user release keys 9   28_x000D_
 details  summary  b Crash log   b   summary  p _x000D_
_x000D_
   _x000D_
org schabi newpipe extractor exceptions ParsingException: Could not parse json data for comments_x000D_
	at org schabi newpipe extractor services youtube extractors YoutubeCommentsExtractor getPage(YoutubeCommentsExtractor java:97)_x000D_
	at org schabi newpipe extractor services youtube extractors YoutubeCommentsExtractor getInitialPage(YoutubeCommentsExtractor java:52)_x000D_
	at org schabi newpipe extractor utils ExtractorHelper getItemsPageOrLogError(ExtractorHelper java:19)_x000D_
	at org schabi newpipe extractor comments CommentsInfo getInfo(CommentsInfo java:40)_x000D_
	at org schabi newpipe extractor comments CommentsInfo getInfo(CommentsInfo java:25)_x000D_
	at org schabi newpipe util ExtractorHelper lambda getCommentsInfo 7(ExtractorHelper java:155)_x000D_
	at org schabi newpipe util    Lambda ExtractorHelper Xyj84g1UeNZqX9LVYNvWZsdT kI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com grack nanojson JsonParserException: Unexpected character:   on line 1  char 1_x000D_
	at com grack nanojson JsonTokener createParseException(Unknown Source:44)_x000D_
	at com grack nanojson JsonTokener advanceToToken(Unknown Source:118)_x000D_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YoutubeCommentsExtractor getPage(YoutubeCommentsExtractor java:95)_x000D_
	    30 more_x000D_
_x000D_
   _x000D_
  details _x000D_
 hr _x000D_
_x000D_
_x000D_
_x000D_
_x000D_
     Please fill this out when you do not provide a log generate by NewPipe    _x000D_
_x000D_
    Device info_x000D_
_x000D_
   Android version Custom ROM version: 9 (stock)_x000D_
   Device model: SM J737T1_x000D_
</t>
  </si>
  <si>
    <t>Anuken-Mindustry-3341</t>
  </si>
  <si>
    <t>Certain units with opposable weapons face what their shooting even if they have no reason to.</t>
  </si>
  <si>
    <t xml:space="preserve">  Platform  :  Android iOS Mac Windows Linux  windows 10 64 bit_x000D_
_x000D_
  Build  :  The build number under the title in the main menu  Required   LATEST  IS NOT A VERSION  I NEED THE EXACT BUILD NUMBER OF YOUR GAME   beta 112_x000D_
_x000D_
  Issue  :  Explain your issue in detail  _x000D_
certain units  notably the zenith  rotate the body of the craft to shoot their fully opposable weapons  helping to slow you down  3340_x000D_
_x000D_
  Steps to reproduce  :  How you happened across the issue  and what exactly you did to make the bug happen  _x000D_
1  control zenith_x000D_
2  shoot_x000D_
3  you rotate _x000D_
_x000D_
  Link(s) to mod(s) used  :  The mod repositories or zip files that are related to the issue  if applicable  _x000D_
nop_x000D_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nah im lazy_x000D_
_x000D_
  Crash report  :  The contents of relevant crash report files  REQUIRED if you are reporting a crash  _x000D_
nop_x000D_
_x000D_
   _x000D_
_x000D_
 Place an X (no spaces) between the brackets to confirm that you have read the line below    _x000D_
   X    I have searched the closed and open issues to make sure that this problem has not already been reported   _x000D_
</t>
  </si>
  <si>
    <t>Anuken-Mindustry-3340</t>
  </si>
  <si>
    <t>Player Controlled unit slow down when not moving forwards, commanded / logic controlled units do not</t>
  </si>
  <si>
    <t xml:space="preserve">  Platform  :  Android iOS Mac Windows Linux  windows 10 64 bit_x000D_
_x000D_
  Build  :  The build number under the title in the main menu  Required   LATEST  IS NOT A VERSION  I NEED THE EXACT BUILD NUMBER OF YOUR GAME  _x000D_
beta 112_x000D_
(has been a thing for a while now)_x000D_
_x000D_
  Issue  :  Explain your issue in detail  _x000D_
whilst controlling a unit you will be slowed down when not moving directly forward  but other means of controlling units do not see this same downfall _x000D_
_x000D_
  Steps to reproduce  :  How you happened across the issue  and what exactly you did to make the bug happen  _x000D_
1  control unit (works in core mech too)_x000D_
2  shoot so you don t move directly forward_x000D_
3  your now slower than if you had logic commanding to do this_x000D_
_x000D_
  Link(s) to mod(s) used  :  The mod repositories or zip files that are related to the issue  if applicable  _x000D_
happens without mods_x000D_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nah_x000D_
_x000D_
  Crash report  :  The contents of relevant crash report files  REQUIRED if you are reporting a crash  _x000D_
nop_x000D_
   _x000D_
_x000D_
 Place an X (no spaces) between the brackets to confirm that you have read the line below    _x000D_
   X    I have searched the closed and open issues to make sure that this problem has not already been reported   </t>
  </si>
  <si>
    <t>Anuken-Mindustry-3338</t>
  </si>
  <si>
    <t>When starting Mindustry, I always have the tutorial shown</t>
  </si>
  <si>
    <t xml:space="preserve">  Platform  :  Android iOS Mac Windows Linux _x000D_
Platform : Windows_x000D_
_x000D_
  Build  :  The build number under the title in the main menu  Required   LATEST  IS NOT A VERSION  I NEED THE EXACT BUILD NUMBER OF YOUR GAME  _x000D_
Build: Strangely enough  I never have the build number shown as I always get the tutorial started _x000D_
The  MANIFEST MF  file doesn t contains the version_x000D_
_x000D_
Hopefully  I ve found at project root a  version properties  file which contains a version string:_x000D_
_x000D_
   _x000D_
 Thu Apr 02 10:45:54 EDT 2020_x000D_
modifier release_x000D_
androidBuildCode 29644_x000D_
type official_x000D_
number 5_x000D_
build 104 10_x000D_
   _x000D_
_x000D_
  Issue  :  Explain your issue in detail  _x000D_
_x000D_
Each time I start the mindustry  even if I have completed the tutorial  the tutorial screen shows up and I have to achieve the tutorial to start playing _x000D_
_x000D_
  Steps to reproduce  :  How you happened across the issue  and what exactly you did to make the bug happen  _x000D_
Nothing particular to do  as bug is systematic _x000D_
_x000D_
  Link(s) to mod(s) used  :  The mod repositories or zip files that are related to the issue  if applicable  _x000D_
No mod was used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Doesn t happen in game_x000D_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_x000D_
Maybe the problem was already reported  I don t know  i ve searched issues with  windows save   but didn t found anything meaningful  Please don t hesitate to close that issue if bug is in fact a known feature </t>
  </si>
  <si>
    <t>nextcloud-android-7297</t>
  </si>
  <si>
    <t>Login loop and crash</t>
  </si>
  <si>
    <t xml:space="preserve">    Steps to reproduce_x000D_
1  launch app_x000D_
2  enter server address_x000D_
3  _x000D_
_x000D_
    Expected behaviour_x000D_
  should connect to server _x000D_
    Actual behaviour_x000D_
  crashes after 1 2 try_x000D_
    Can you reproduce this problem on https:  try nextcloud com _x000D_
  yes_x000D_
_x000D_
    Environment data_x000D_
Android version: 7 1 2_x000D_
_x000D_
Device model: Meizu M2 mini_x000D_
_x000D_
Stock or customized system: Lineage OS 14 1 fresh install_x000D_
_x000D_
Nextcloud app version: 3 13 1 from F Droid  same result with Dev version 20201107_x000D_
_x000D_
Nextcloud server version: _x000D_
_x000D_
Reverse proxy:_x000D_
_x000D_
    Logs_x000D_
     Web server error log_x000D_
   _x000D_
Insert your webserver log here_x000D_
   _x000D_
_x000D_
     Nextcloud log (data nextcloud log)_x000D_
   _x000D_
11 11 15:05:50 959   521  1470 I ActivityManager: Start proc 1943:com nextcloud client u0a65 for broadcast com nextcloud client com owncloud android files BootupBroadcastReceiver_x000D_
11 11 15:05:51 202  1943  1943 I MultiDex: VM with version 2 1 0 has multidex support_x000D_
11 11 15:05:51 202  1943  1943 I MultiDex: Installing application_x000D_
11 11 15:05:51 202  1943  1943 I MultiDex: VM has multidex support  MultiDex support library is disabled _x000D_
11 11 15:05:51 639  1943  1943 V NativeCrypto: Registering org conscrypt NativeCrypto s 286 native methods   _x000D_
11 11 15:05:51 662  1943  1943 I MainApp : Using Conscrypt 2 4 0 for TLS_x000D_
11 11 15:05:51 676  1943  1943 D NetworkSecurityConfig: Using Network Security Config from resource network security config debugBuild: false_x000D_
11 11 15:05:51 684  1943  1943 I MainApp : Enabled protocols:  TLSv1  TLSv1 1  TLSv1 2  TLSv1 3   _x000D_
11 11 15:05:51 684  1943  1943 I MainApp : Enabled ciphers:  TLS AES 128 GCM SHA256  TLS AES 256 GCM SHA384  TLS CHACHA20 POLY1305 SHA256  TLS ECDHE ECDSA WITH AES 128 GCM SHA256  TLS ECDHE ECDSA WITH AES 256 GCM SHA384  TLS ECDHE ECDSA WITH CHACHA20 POLY1305 SHA256  TLS ECDHE RSA WITH AES 128 GCM SHA256  TLS ECDHE RSA WITH AES 256 GCM SHA384  TLS ECDHE RSA WITH CHACHA20 POLY1305 SHA256  TLS ECDHE ECDSA WITH AES 128 CBC SHA  TLS ECDHE ECDSA WITH AES 256 CBC SHA  TLS ECDHE RSA WITH AES 128 CBC SHA  TLS ECDHE RSA WITH AES 256 CBC SHA  TLS RSA WITH AES 128 GCM SHA256  TLS RSA WITH AES 256 GCM SHA384  TLS RSA WITH AES 128 CBC SHA  TLS RSA WITH AES 256 CBC SHA  TLS EMPTY RENEGOTIATION INFO SCSV   _x000D_
11 11 15:05:51 702  1943  1943 I MainApp : Started 0 migrations_x000D_
11 11 15:05:51 717  1943  1943 E DisplayUtils: Failed to use reflection to enable proper vector scaling_x000D_
11 11 15:05:51 740  1943  1973 D skia    :      fAsset  read(8192) returned 0_x000D_
11 11 15:05:51 740  1943  1973 D skia    :     SkAndroidCodec::NewFromStream returned null_x000D_
11 11 15:05:51 742  1943  1973 D skia    :      fAsset  read(8192) returned 0_x000D_
11 11 15:05:51 742  1943  1973 D skia    :     SkAndroidCodec::NewFromStream returned null_x000D_
11 11 15:05:51 742  1943  1973 D ThumbnailsCacheManager: thumbnail cache dir:  data user 0 com nextcloud client cache thumbnailCache_x000D_
11 11 15:05:51 757  1943  1943 D UploadsStorageManager: QUERY: (status     OR last result  9 OR last result  13 OR last result  11 OR last result  14 ) AND last result   16 ROWID:  1_x000D_
11 11 15:05:51 803  1943  1943 V UploadsStorageManager: getUploads() got 0 rows from page 0  0 rows total so far  last ID  1_x000D_
11 11 15:05:51 803  1943  1943 V UploadsStorageManager: getUploads() returning 0 (0) rows after reading 1 pages_x000D_
11 11 15:05:51 824  1943  1943 D UploadsStorageManager: QUERY: (status     OR last result  9 OR last result  13 OR last result  11 OR last result  14 ) AND last result   16 ROWID:  1_x000D_
11 11 15:05:51 831  1943  1943 V UploadsStorageManager: getUploads() got 0 rows from page 0  0 rows total so far  last ID  1_x000D_
11 11 15:05:51 832  1943  1943 V UploadsStorageManager: getUploads() returning 0 (0) rows after reading 1 pages_x000D_
11 11 15:05:51 849  1943  1943 D UploadsStorageManager: QUERY: (status     OR last result  9 OR last result  13 OR last result  11 OR last result  14 ) AND last result   16 ROWID:  1_x000D_
11 11 15:05:51 858  1943  1943 V UploadsStorageManager: getUploads() got 0 rows from page 0  0 rows total so far  last ID  1_x000D_
11 11 15:05:51 858  1943  1943 V UploadsStorageManager: getUploads() returning 0 (0) rows after reading 1 pages_x000D_
11 11 15:05:51 864  1943  1943 D UploadsStorageManager: QUERY: (status     OR last result  9 OR last result  13 OR last result  11 OR last result  14 ) AND last result   16 ROWID:  1_x000D_
11 11 15:05:51 870  1943  1943 V UploadsStorageManager: getUploads() got 0 rows from page 0  0 rows total so far  last ID  1_x000D_
11 11 15:05:51 870  1943  1943 V UploadsStorageManager: getUploads() returning 0 (0) rows after reading 1 pages_x000D_
11 11 15:05:51 873  1943  1943 D UploadsStorageManager: QUERY: (status     OR last result  9 OR last result  13 OR last result  11 OR last result  14 ) AND last result   16 ROWID:  1_x000D_
11 11 15:05:51 884  1943  1943 V UploadsStorageManager: getUploads() got 0 rows from page 0  0 rows total so far  last ID  1_x000D_
11 11 15:05:51 885  1943  1943 V UploadsStorageManager: getUploads() returning 0 (0) rows after reading 1 pages_x000D_
11 11 15:05:51 887  1943  1943 D UploadsStorageManager: QUERY: (status     OR last result  9 OR last result  13 OR last result  11 OR last result  14 ) AND last result   16 ROWID:  1_x000D_
11 11 15:05:51 896  1943  1943 V UploadsStorageManager: getUploads() got 0 rows from page 0  0 rows total so far  last ID  1_x000D_
11 11 15:05:51 897  1943  1943 V UploadsStorageManager: getUploads() returning 0 (0) rows after reading 1 pages_x000D_
11 11 15:05:52 146  1943  1985 D UploadsStorageManager: QUERY: (status     OR last result  9 OR last result  13 OR last result  11 OR last result  14 ) AND last result   16 ROWID:  1_x000D_
11 11 15:05:52 159  1943  1985 V UploadsStorageManager: getUploads() got 0 rows from page 0  0 rows total so far  last ID  1_x000D_
11 11 15:05:52 160  1943  1985 V UploadsStorageManager: getUploads() returning 0 (0) rows after reading 1 pages_x000D_
11 11 15:05:52 237  1943  1964 I WM WorkerWrapper: Worker result SUCCESS for Work   id 9f74bd8d 9ffb 46df 9002 374f9e0b32a4  tags   timestamp:1605103551822  name:periodic files sync     com nextcloud client jobs FilesSyncWork    _x000D_
11 11 15:05:52 277  1943  1984 V ArbitraryDataProvider: Updating arbitrary data with cloud id: global key: media folders value:   imageMediaFolders :    videoMediaFolders :   _x000D_
11 11 15:05:52 309  1943  1964 I WM WorkerWrapper: Worker result SUCCESS for Work   id 1ee1a6a3 8ee5 476a bc0a cf36d8dd490e  tags   timestamp:1605103551815  name:immediate media folder detection     com nextcloud client jobs MediaFoldersDetectionWork    _x000D_
11 11 15:06:06 461  1943  1943 D UploadsStorageManager: QUERY: (status     OR last result  9 OR last result  13 OR last result  11 OR last result  14 ) AND last result   16 ROWID:  1_x000D_
11 11 15:06:06 479  1943  1943 V UploadsStorageManager: getUploads() got 0 rows from page 0  0 rows total so far  last ID  1_x000D_
11 11 15:06:06 480  1943  1943 V UploadsStorageManager: getUploads() returning 0 (0) rows after reading 1 pages_x000D_
11 11 15:06:06 485  1943  1943 D UploadsStorageManager: QUERY: (status     OR last result  9 OR last result  13 OR last result  11 OR last result  14 ) AND last result   16 ROWID:  1_x000D_
11 11 15:06:06 504  1943  1943 V UploadsStorageManager: getUploads() got 0 rows from page 0  0 rows total so far  last ID  1_x000D_
11 11 15:06:06 504  1943  1943 V UploadsStorageManager: getUploads() returning 0 (0) rows after reading 1 pages_x000D_
11 11 15:06:28 141  1943  1943 D UploadsStorageManager: QUERY: (status     OR last result  9 OR last result  13 OR last result  11 OR last result  14 ) AND last result   16 ROWID:  1_x000D_
11 11 15:06:28 181  1943  1943 V UploadsStorageManager: getUploads() got 0 rows from page 0  0 rows total so far  last ID  1_x000D_
11 11 15:06:28 182  1943  1943 V UploadsStorageManager: getUploads() returning 0 (0) rows after reading 1 pages_x000D_
11 11 15:06:28 182  1943  1943 D UploadsStorageManager: QUERY: (status     OR last result  9 OR last result  13 OR last result  11 OR last result  14 ) AND last result   16 ROWID:  1_x000D_
11 11 15:06:28 196  1943  1943 V UploadsStorageManager: getUploads() got 0 rows from page 0  0 rows total so far  last ID  1_x000D_
11 11 15:06:28 196  1943  1943 V UploadsStorageManager: getUploads() returning 0 (0) rows after reading 1 pages_x000D_
11 11 15:06:29 805  1943  1943 D UploadsStorageManager: QUERY: (status     OR last result  9 OR last result  13 OR last result  11 OR last result  14 ) AND last result   16 ROWID:  1_x000D_
11 11 15:06:29 849  1943  1943 V UploadsStorageManager: getUploads() got 0 rows from page 0  0 rows total so far  last ID  1_x000D_
11 11 15:06:29 849  1943  1943 V UploadsStorageManager: getUploads() returning 0 (0) rows after reading 1 pages_x000D_
11 11 15:06:29 849  1943  1943 D UploadsStorageManager: QUERY: (status     OR last result  9 OR last result  13 OR last result  11 OR last result  14 ) AND last result   16 ROWID:  1_x000D_
11 11 15:06:29 876  1943  1943 V UploadsStorageManager: getUploads() got 0 rows from page 0  0 rows total so far  last ID  1_x000D_
11 11 15:06:29 876  1943  1943 V UploadsStorageManager: getUploads() returning 0 (0) rows after reading 1 pages_x000D_
11 11 15:07:01 275  1943  1943 V FileDisplayActivity: onCreate() start_x000D_
11 11 15:07:01 288  1943  1943 W art     : Before Android 4 1  method android graphics PorterDuffColorFilter androidx vectordrawable graphics drawable VectorDrawableCompat updateTintFilter(android graphics PorterDuffColorFilter  android content res ColorStateList  android graphics PorterDuff Mode) would have incorrectly overridden the package private method in android graphics drawable Drawable_x000D_
11 11 15:07:01 291  1943  1943 D FileDisplayActivity: onCreate(Bundle) starting_x000D_
11 11 15:07:01 378  1943  1943 I art     : Rejecting re init on previously failed class java lang Class androidx core view ViewCompat 2 : java lang NoClassDefFoundError: Failed resolution of: Landroid view View OnUnhandledKeyEventListener _x000D_
11 11 15:07:01 378  1943  1943 I art     :   at void androidx core view ViewCompat setImportantForAccessibility(android view View  int) (ViewCompat java:1118)_x000D_
11 11 15:07:01 378  1943  1943 I art     :   at void androidx drawerlayout widget DrawerLayout  init (android content Context  android util AttributeSet  int) (DrawerLayout java:336)_x000D_
11 11 15:07:01 378  1943  1943 I art     :   at void androidx drawerlayout widget DrawerLayout  init (android content Context  android util AttributeSet) (DrawerLayout java:310)_x000D_
11 11 15:07:01 378  1943  1943 I art     :   at java lang Object java lang reflect Constructor newInstance0 (java lang Object  ) (Constructor java: 2)_x000D_
11 11 15:07:01 378  1943  1943 I art     :   at java lang Object java lang reflect Constructor newInstance(java lang Object  ) (Constructor java:430)_x000D_
11 11 15:07:01 378  1943  1943 I art     :   at android view View android view LayoutInflater createView(java lang String  java lang String  android util AttributeSet) (LayoutInflater java:645)_x000D_
11 11 15:07:01 378  1943  1943 I art     :   at android view View android view LayoutInflater createViewFromTag(android view View  java lang String  android content Context  android util AttributeSet  boolean) (LayoutInflater java:787)_x000D_
11 11 15:07:01 378  1943  1943 I art     :   at android view View android view LayoutInflater createViewFromTag(android view View  java lang String  android content Context  android util AttributeSet) (LayoutInflater java:727)_x000D_
11 11 15:07:01 378  1943  1943 I art     :   at android view View android view LayoutInflater inflate(org xmlpull v1 XmlPullParser  android view ViewGroup  boolean) (LayoutInflater java:495)_x000D_
11 11 15:07:01 378  1943  1943 I art     :   at android view View android view LayoutInflater inflate(int  android view ViewGroup  boolean) (LayoutInflater java:426)_x000D_
11 11 15:07:01 378  1943  1943 I art     :   at com owncloud android databinding FilesBinding com owncloud android databinding FilesBinding inflate(android view LayoutInflater  android view ViewGroup  boolean) (FilesBinding java:63)_x000D_
11 11 15:07:01 378  1943  1943 I art     :   at com owncloud android databinding FilesBinding com owncloud android databinding FilesBinding inflate(android view LayoutInflater) (FilesBinding java:57)_x000D_
11 11 15:07:01 378  1943  1943 I art     :   at void com owncloud android ui activity FileDisplayActivity onCreate(android os Bundle) (FileDisplayActivity java:252)_x000D_
11 11 15:07:01 378  1943  1943 I art     :   at void android app Activity performCreate(android os Bundle) (Activity java:6684)_x000D_
11 11 15:07:01 378  1943  1943 I art     :   at void android app Instrumentation callActivityOnCreate(android app Activity  android os Bundle) (Instrumentation java:1119)_x000D_
11 11 15:07:01 378  1943  1943 I art     :   at android app Activity android app ActivityThread performLaunchActivity(android app ActivityThread ActivityClientRecord  android content Intent) (ActivityThread java:2637)_x000D_
11 11 15:07:01 378  1943  1943 I art     :   at void android app ActivityThread handleLaunchActivity(android app ActivityThread ActivityClientRecord  android content Intent  java lang String) (ActivityThread java:2751)_x000D_
11 11 15:07:01 378  1943  1943 I art     :   at void android app ActivityThread  wrap12(android app ActivityThread  android app ActivityThread ActivityClientRecord  android content Intent  java lang String) (ActivityThread java: 1)_x000D_
11 11 15:07:01 378  1943  1943 I art     :   at void android app ActivityThread H handleMessage(android os Message) (ActivityThread java:1496)_x000D_
11 11 15:07:01 378  1943  1943 I art     :   at void android os Handler dispatchMessage(android os Message) (Handler java:102)_x000D_
11 11 15:07:01 378  1943  1943 I art     :   at void android os Looper loop() (Looper java:154)_x000D_
11 11 15:07:01 378  1943  1943 I art     :   at void android app ActivityThread main(java lang String  ) (ActivityThread java:6186)_x000D_
11 11 15:07:01 378  1943  1943 I art     :   at java lang Object java lang reflect Method invoke (java lang Object  java lang Object  ) (Method java: 2)_x000D_
11 11 15:07:01 378  1943  1943 I art     :   at void com android internal os ZygoteInit MethodAndArgsCaller run() (ZygoteInit java:889)_x000D_
11 11 15:07:01 378  1943  1943 I art     :   at void com android internal os ZygoteInit main(java lang String  ) (ZygoteInit java:779)_x000D_
11 11 15:07:01 378  1943  1943 I art     : Caused by: java lang ClassNotFoundException: Didn t find class  android view View OnUnhandledKeyEventListener  on path: DexPathList  zip file   data app com nextcloud client 1 base apk   nativeLibraryDirectories   data app com nextcloud client 1 lib arm64   data app com nextcloud client 1 base apk  lib arm64 v8a   system lib64   vendor lib64  _x000D_
11 11 15:07:01 378  1943  1943 I art     :   at java lang Class dalvik system BaseDexClassLoader findClass(java lang String) (BaseDexClassLoader java:56)_x000D_
11 11 15:07:01 378  1943  1943 I art     :   at java lang Class java lang ClassLoader loadClass(java lang String  boolean) (ClassLoader java:380)_x000D_
11 11 15:07:01 378  1943  1943 I art     :   at java lang Class java lang ClassLoader loadClass(java lang String) (ClassLoader java:312)_x000D_
11 11 15:07:01 378  1943  1943 I art     :   at void androidx core view ViewCompat setImportantForAccessibility(android view View  int) (ViewCompat java:1118)_x000D_
11 11 15:07:01 378  1943  1943 I art     :   at void androidx drawerlayout widget DrawerLayout  init (android content Context  android util AttributeSet  int) (DrawerLayout java:336)_x000D_
11 11 15:07:01 378  1943  1943 I art     :   at void androidx drawerlayout widget DrawerLayout  init (android content Context  android util AttributeSet) (DrawerLayout java:310)_x000D_
11 11 15:07:01 378  1943  1943 I art     :   at java lang Object java lang reflect Constructor newInstance0 (java lang Object  ) (Constructor java: 2)_x000D_
11 11 15:07:01 378  1943  1943 I art     :   at java lang Object java lang reflect Constructor newInstance(java lang Object  ) (Constructor java:430)_x000D_
11 11 15:07:01 378  1943  1943 I art     :   at android view View android view LayoutInflater createView(java lang String  java lang String  android util AttributeSet) (LayoutInflater java:645)_x000D_
11 11 15:07:01 378  1943  1943 I art     :   at android view View android view LayoutInflater createViewFromTag(android view View  java lang String  android content Context  android util AttributeSet  boolean) (LayoutInflater java:787)_x000D_
11 11 15:07:01 378  1943  1943 I art     :   at android view View android view LayoutInflater createViewFromTag(android view View  java lang String  android content Context  android util AttributeSet) (LayoutInflater java:727)_x000D_
11 11 15:07:01 378  1943  1943 I art     :   at android view View android view LayoutInflater inflate(org xmlpull v1 XmlPullParser  android view ViewGroup  boolean) (LayoutInflater java:495)_x000D_
11 11 15:07:01 378  1943  1943 I art     :   at android view View android view LayoutInflater inflate(int  android view ViewGroup  boolean) (LayoutInflater java:426)_x000D_
11 11 15:07:01 378  1943  1943 I art     :   at com owncloud android databinding FilesBinding com owncloud android databinding FilesBinding inflate(android view LayoutInflater  android view ViewGroup  boolean) (FilesBinding java:63)_x000D_
11 11 15:07:01 378  1943  1943 I art     :   at com owncloud android databinding FilesBinding com owncloud android databinding FilesBinding inflate(android view LayoutInflater) (FilesBinding java:57)_x000D_
11 11 15:07:01 378  1943  1943 I art     :   at void com owncloud android ui activity FileDisplayActivity onCreate(android os Bundle) (FileDisplayActivity java:252)_x000D_
11 11 15:07:01 378  1943  1943 I art     :   at void android app Activity performCreate(android os Bundle) (Activity java:6684)_x000D_
11 11 15:07:01 379  1943  1943 I art     :   at void android app Instrumentation callActivityOnCreate(android app Activity  android os Bundle) (Instrumentation java:1119)_x000D_
11 11 15:07:01 379  1943  1943 I art     :   at android app Activity android app ActivityThread performLaunchActivity(android app ActivityThread ActivityClientRecord  android content Intent) (ActivityThread java:2637)_x000D_
11 11 15:07:01 379  1943  1943 I art     :   at void android app ActivityThread handleLaunchActivity(android app ActivityThread ActivityClientRecord  android content Intent  java lang String) (ActivityThread java:2751)_x000D_
11 11 15:07:01 379  1943  1943 I art     :   at void android app ActivityThread  wrap12(android app ActivityThread  android app ActivityThread ActivityClientRecord  android content Intent  java lang String) (ActivityThread java: 1)_x000D_
11 11 15:07:01 379  1943  1943 I art     :   at void android app ActivityThread H handleMessage(android os Message) (ActivityThread java:1496)_x000D_
11 11 15:07:01 379  1943  1943 I art     :   at void android os Handler dispatchMessage(android os Message) (Handler java:102)_x000D_
11 11 15:07:01 379  1943  1943 I art     :   at void android os Looper loop() (Looper java:154)_x000D_
11 11 15:07:01 379  1943  1943 I art     :   at void android app ActivityThread main(java lang String  ) (ActivityThread java:6186)_x000D_
11 11 15:07:01 379  1943  1943 I art     :   at java lang Object java lang reflect Method invoke (java lang Object  java lang Object  ) (Method java: 2)_x000D_
11 11 15:07:01 379  1943  1943 I art     :   at void com android internal os ZygoteInit MethodAndArgsCaller run() (ZygoteInit java:889)_x000D_
11 11 15:07:01 379  1943  1943 I art     :   at void com android internal os ZygoteInit main(java lang String  ) (ZygoteInit java:779)_x000D_
11 11 15:07:01 379  1943  1943 I art     : _x000D_
11 11 15:07:01 532  1943  1943 W art     : Before Android 4 1  method int androidx appcompat widget DropDownListView lookForSelectablePosition(int  boolean) would have incorrectly overridden the package private method in android widget ListView_x000D_
11 11 15:07:01 724  1943  1943 D FileDisplayActivity: onStart() starting_x000D_
11 11 15:07:01 742  1943  2157 D ExternalLinks: links disabled_x000D_
11 11 15:07:01 743  1943  1943 E FileDisplayActivity: Access to unexisting list of files fragment  _x000D_
11 11 15:07:01 745  1943  1943 V FileDisplayActivity: onResume() start_x000D_
11 11 15:07:01 747  1943  1943 V NFC     : this device does not have NFC support_x000D_
11 11 15:07:01 749  1943  1943 D FileDisplayActivity: onResume() starting_x000D_
11 11 15:07:01 752  1943  1943 I OCFileListFragment: onAttach_x000D_
11 11 15:07:01 753  1943  1943 I OCFileListFragment: onCreateView() start_x000D_
11 11 15:07:01 753  1943  1943 D ExtendedListFragment: onCreateView_x000D_
11 11 15:07:01 784  1943  1943 E DrawerActivity: Drawer layout not ready to add drawer listener_x000D_
11 11 15:07:01 788  1943  1943 I OCFileListFragment: onCreateView() end_x000D_
11 11 15:07:01 789  1943  1943 I OCFileListFragment: onActivityCreated() start_x000D_
11 11 15:07:01 805  1943  1943 W DrawerActivity: setDrawerMenuItemChecked has been called with invalid menu item ID_x000D_
11 11 15:07:01 819  1943  1943 W DrawerActivity: setDrawerMenuItemChecked has been called with invalid menu item ID_x000D_
11 11 15:07:01 822  1943  1943 V FileDisplayActivity: onResume() end_x000D_
11 11 15:07:01 840  1943  1943 D OperationsService: Creating service_x000D_
11 11 15:07:01 841  1943  1955 I AccountAuthenticator: Adding account with type nextcloud and auth token null_x000D_
11 11 15:07:01 843  1943  1955 I AccountAuthenticator: Adding account with type nextcloud and auth token null_x000D_
11 11 15:07:01 843  1943  1943 D FileDownloader: Creating service_x000D_
11 11 15:07:01 845  1943  1943 D skia    :      fAsset  read(8192) returned 0_x000D_
11 11 15:07:01 845  1943  1943 D skia    :     SkAndroidCodec::NewFromStream returned null_x000D_
11 11 15:07:01 856  1943  1943 D FileUploader: Creating service_x000D_
11 11 15:07:01 857  1943  1943 D skia    :      fAsset  read(8192) returned 0_x000D_
11 11 15:07:01 857  1943  1943 D skia    :     SkAndroidCodec::NewFromStream returned null_x000D_
11 11 15:07:01 859  1943  1943 V UploadsStorageManager: Updating state of any killed upload_x000D_
11 11 15:07:01 861  1943  1943 V UploadsStorageManager: No upload was killed_x000D_
11 11 15:07:01 912  1943  2160 E GED     : Failed to get GED Log Buf  err(0)_x000D_
11 11 15:07:01 913  1943  2160 I OpenGLRenderer: Initialized EGL  version 1 4_x000D_
11 11 15:07:01 913  1943  2160 D OpenGLRenderer: Swap behavior 1_x000D_
11 11 15:07:01 913  1943  2160 D MALI    : eglCreateContext:206:  MALI  eglCreateContext display 0x7f85dab2c0  share context 0x0 here _x000D_
11 11 15:07:01 926  1943  2160 D MALI    : gles context new:248: Create GLES ctx 0x7f7140c248 successfully_x000D_
11 11 15:07:01 926  1943  2160 D MALI    : eglCreateContext:543:  MALI  eglCreateContext end  Created context 0x7f72be0940 here _x000D_
11 11 15:07:01 931  1943  2160 D mali winsys: new window surface returns 0x3000_x000D_
11 11 15:07:01 963  1943  1948 I art     : Do partial code cache collection  code 24KB  data 30KB_x000D_
11 11 15:07:01 963  1943  1948 I art     : After code cache collection  code 21KB  data 29KB_x000D_
11 11 15:07:01 964  1943  1948 I art     : Increasing code cache capacity to 128KB_x000D_
11 11 15:07:02 028  1943  1943 D FileActivity: Operations service connected_x000D_
11 11 15:07:02 029  1943  1943 V FileDisplayActivity: onPause() start_x000D_
11 11 15:07:02 031  1943  1943 D FileDisplayActivity: onPause() ending_x000D_
11 11 15:07:02 032  1943  1943 V FileDisplayActivity: onPause() end_x000D_
11 11 15:07:02 041  1943  1943 D FileDisplayActivity: Download service connected_x000D_
11 11 15:07:02 041  1943  1943 D FileDisplayActivity: Upload service connected_x000D_
11 11 15:07:02 100  1943  2160 W MALI    : glDrawArrays:714:  MALI  glDrawArrays takes more than 5ms here  Total elapse time(us): 5646_x000D_
11 11 15:07:02 177  1943  1943 V OCFileListFragment: Kept the options menu default structure_x000D_
11 11 15:07:02 188  1943  1943 D AuthenticatorActivity: onCreate(Bundle) starting_x000D_
11 11 15:07:02 202  1943  1943 W System  : ClassLoader referenced unknown path:  system app webview lib arm64_x000D_
11 11 15:07:02 204  1943  1943 D ApplicationLoaders: ignored Vulkan layer search path  system app webview lib arm64: system app webview webview apk  lib arm64 v8a: system lib64: vendor lib64 for namespace 0x7f93fca0f0_x000D_
11 11 15:07:02 207  1943  1943 I WebViewFactory: Loading com android webview version 60 0 3112 78 (code 1)_x000D_
11 11 15:07:02 266  1943  1943 I cr LibraryLoader: Time to load native libraries: 3 ms (timestamps 5718 5721)_x000D_
11 11 15:07:02 276  1943  1943 I chromium:  INFO:library loader hooks cc(144)  Chromium logging enabled: level   0  default verbosity   0_x000D_
11 11 15:07:02 277  1943  1943 I cr LibraryLoader: Expected native library version number  60 0 3112 78   actual native library version number  60 0 3112 78 _x000D_
11 11 15:07:02 322  1943  1943 D AuthenticatorActivity: onStart() starting_x000D_
11 11 15:07:02 324  1943  1943 D AuthenticatorActivity: onNewIntent()_x000D_
11 11 15:07:02 327  1943  1943 D AuthenticatorActivity: onResume() starting_x000D_
11 11 15:07:02 346  1943  1943 D AuthenticatorActivity: onPause() ending_x000D_
11 11 15:07:02 358  1943  1943 D FirstRunActivity: onCreate(Bundle) starting_x000D_
11 11 15:07:02 400  1943  1943 D FirstRunActivity: onStart() starting_x000D_
11 11 15:07:02 405  1943  1943 D FirstRunActivity: onResume() starting_x000D_
11 11 15:07:02 449  1943  1948 I art     : Do partial code cache collection  code 60KB  data 61KB_x000D_
11 11 15:07:02 450  1943  1948 I art     : After code cache collection  code 53KB  data 57KB_x000D_
11 11 15:07:02 450  1943  1948 I art     : Increasing code cache capacity to 256KB_x000D_
11 11 15:07:02 476  1943  2160 D mali winsys: new window surface returns 0x3000_x000D_
11 11 15:07:03 004  1943  1943 D AuthenticatorActivity: onSaveInstanceState(Bundle) starting_x000D_
11 11 15:07:03 006  1943  1943 D AuthenticatorActivity: onStop() ending_x000D_
11 11 15:07:03 008  1943  1943 V FileDisplayActivity: onSaveInstanceState() start_x000D_
11 11 15:07:03 020  1943  1943 D FileDisplayActivity: onSaveInstanceState(Bundle) starting_x000D_
11 11 15:07:03 027  1943  1943 D ExtendedListFragment: onSaveInstanceState()_x000D_
11 11 15:07:03 029  1943  1943 V FileDisplayActivity: onSaveInstanceState() end_x000D_
11 11 15:07:03 029  1943  1943 D FileDisplayActivity: onStop() ending_x000D_
11 11 15:07:03 525  1943  1943 D FirstRunActivity: onPause() ending_x000D_
11 11 15:07:03 535  1943  1943 D AuthenticatorActivity: onStart() starting_x000D_
11 11 15:07:03 537  1943  1943 D AuthenticatorActivity: onResume() starting_x000D_
11 11 15:07:03 578  1943  2160 D mali winsys: new window surface returns 0x3000_x000D_
11 11 15:07:03 594  1943  2160 W MALI    : glDrawArrays:714:  MALI  glDrawArrays takes more than 5ms here  Total elapse time(us): 5878_x000D_
11 11 15:07:03 668  1943  2160 D OpenGLRenderer: endAllActiveAnimators on 0x7f70620000 (RippleDrawable) with handle 0x7f7062a100_x000D_
11 11 15:07:03 898  1943  1943 D FirstRunActivity: onStop() ending_x000D_
11 11 15:07:03 905  1943  1943 D FirstRunActivity: onDestroy() ending_x000D_
11 11 15:07:23 344  1943  1943 W IInputConnectionWrapper: endBatchEdit on inactive InputConnection_x000D_
11 11 15:07:23 355  1943  1943 D OperationsService: Starting command with id 1_x000D_
11 11 15:07:23 367   521   549 I memtrack graphic: graphic memtrack get memory match 4:      ion mm heap 1943  2211840   6 ffffffc042e71200 ffffffc05526b900 _x000D_
11 11 15:07:23 367   521   549 I memtrack graphic:  : 1943 1943 2211840 6 368640_x000D_
11 11 15:07:23 367   521   549 I memtrack graphic: graphic memtrack get memory match 4:      ion mm heap 1943  3686400   2 ffffffc042f40040 ffffffc05c97ae00 _x000D_
11 11 15:07:23 367   521   549 I memtrack graphic:  : 1943 1943 3686400 2 2211840_x000D_
11 11 15:07:23 367   521   549 I memtrack graphic: graphic memtrack get memory match 4:      ion mm heap 1943  3686400   3 ffffffc042f40700 ffffffc05ecda800 _x000D_
11 11 15:07:23 367   521   549 I memtrack graphic:  : 1943 1943 3686400 3 3440640_x000D_
11 11 15:07:23 367   521   549 I memtrack graphic: graphic memtrack get memory match 4:      ion mm heap 1943  3686400   2 ffffffc043dbaf80 ffffffc05f6c4e00 _x000D_
11 11 15:07:23 367   521   549 I memtrack graphic:  : 1943 1943 3686400 2 5283840_x000D_
11 11 15:07:23 407  1943  2161 D NetworkUtils: Searching known servers store at  data user 0 com nextcloud client files knownServers bks_x000D_
11 11 15:07:23 426  1943  2161 D OwnCloudClient  0: Creating OwnCloudClient_x000D_
11 11 15:07:23 427  1943  2161 D AccountUtils: Restoring cookies for null_x000D_
11 11 15:07:23 442  1943  2161 D OwnCloudClient  0: REQUEST GET  status php_x000D_
11 11 15:07:23 445  1943  2161 D AdvancedSslSocketFactory: Creating SSL Socket with remote acloud zaclys com:443  local null:0  params: org apache commons httpclient params HttpConnectionParams 26d3f52_x000D_
11 11 15:07:23 446  1943  2161 D AdvancedSslSocketFactory:      with connection timeout 50000 and socket timeout 50000_x000D_
11 11 15:07:24 691  1943  2161 I ServerNameIndicator: SSLSocket implementation: org conscrypt Java8FileDescriptorSocket_x000D_
11 11 15:07:24 699  1943  2161 I ServerNameIndicator: SNI done  hostname: acloud zaclys com_x000D_
11 11 15:07:25 039  1943  2161 F libc    : Fatal signal 6 (SIGABRT)  code  6 in tid 2161 (Operations thre)_x000D_
11 11 15:07:25 042   202   202 W         : debuggerd: handling request: pid 1943 uid 10065 gid 10065 tid 2161_x000D_
11 11 15:07:25 128  2204  2204 F DEBUG   : pid: 1943  tid: 2161  name: Operations thre      com nextcloud client    _x000D_
11 11 15:07:25 524   202   202 W         : debuggerd: resuming target 1943_x000D_
11 11 15:07:25 692   521  1109 I ActivityManager: Process com nextcloud client (pid 1943) has died_x000D_
11 11 15:07:25 692   521  1109 D ActivityManager: cleanUpApplicationRecord    1943_x000D_
11 11 15:07:25 737   261   261 I Zygote  : Process 1943 exited due to signal (6)_x000D_
_x000D_
</t>
  </si>
  <si>
    <t>TeamNewPipe-NewPipe-4857</t>
  </si>
  <si>
    <t>Doesn'tload all videos from a given playlist.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</si>
  <si>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Constant bug  Reinstalling  clearing cache using the legacy version did not make a difference _x000D_
    _x000D_
1  I search for a playlist (usually of 300  videos of music) _x000D_
2  Opening the playlist i only find 99 videos at most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No matter how i scroll in the app  restart it  clear its cache it refuses to load more than 99 of the videos in a give n playlist _x000D_
_x000D_
_x000D_
    Expected behavior_x000D_
     Tell us what you expect to happen     _x000D_
I expect it to load all the videos in the playlist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8 0 0 Samsung experience 9 0_x000D_
   Device model: SM A520F_x000D_
</t>
  </si>
  <si>
    <t>nextcloud-android-7293</t>
  </si>
  <si>
    <t>App Crash on PDF document open</t>
  </si>
  <si>
    <t xml:space="preserve">When i try to open a PDF from the Documents folder the App crashes  _x000D_
The issue is reproducible to 100  _x000D_
_x000D_
             CAUSE OF ERROR             _x000D_
_x000D_
java lang NullPointerException: Attempt to invoke virtual method  void androidx swiperefreshlayout widget SwipeRefreshLayout setVisibility(int)  on a null object reference_x000D_
	at com owncloud android ui fragment FileDetailActivitiesFragment populateList(FileDetailActivitiesFragment java:418)_x000D_
	at com owncloud android ui fragment FileDetailActivitiesFragment lambda null 3 FileDetailActivitiesFragment(FileDetailActivitiesFragment java:370)_x000D_
	at com owncloud android ui fragment    Lambda FileDetailActivitiesFragment ZzLUj33qKg0e1Ki8Vd5bki8I6B4 run(Unknown Source:6)_x000D_
	at android os Handler handleCallback(Handler java:883)_x000D_
	at android os Handler dispatchMessage(Handler java:100)_x000D_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APP INFORMATION             _x000D_
ID: com nextcloud client_x000D_
Version: 30140051_x000D_
Build flavor: gplay_x000D_
_x000D_
             DEVICE INFORMATION             _x000D_
Brand: samsung_x000D_
Device: star2lte_x000D_
Model: SM G965F_x000D_
Id: QP1A 190711 020_x000D_
Product: star2ltexx_x000D_
_x000D_
             FIRMWARE             _x000D_
SDK: 29_x000D_
Release: 10_x000D_
Incremental: G965FXXSCFTJ3_x000D_
</t>
  </si>
  <si>
    <t>stefan-niedermann-nextcloud-notes-985</t>
  </si>
  <si>
    <t>App crashes on tapping empty entry in checklist</t>
  </si>
  <si>
    <t xml:space="preserve">    _x000D_
Guidelines for submitting issues:_x000D_
_x000D_
  Bug reports which do not fill the complete issue template will be closed _x000D_
  Please have a look at our  FAQ (https:  github com stefan niedermann nextcloud notes blob master FAQ md)_x000D_
  Please search the existing issues first  it s likely that your issue was already reported or even fixed _x000D_
  This repository is  only  for issues within the Nextcloud Notes Android app_x000D_
   _x000D_
Please use    GitHub reactions (https:  blog github com 2016 03 10 add reactions to pull requests issues and comments )     to show that you are affected by the same issue  Please don t comment if you have no relevant information to add _x000D_
_x000D_
  Describe the bug  _x000D_
     A clear and concise description of what the bug is     _x000D_
_x000D_
The app crashes whenever you create an empty entry in a checklist and tap on it from markdown view _x000D_
_x000D_
  To Reproduce  _x000D_
Steps to reproduce the behavior:_x000D_
1  Create a new note with:_x000D_
   _x000D_
List:_x000D_
      thing 1_x000D_
      thing 2_x000D_
     _x000D_
   _x000D_
2  Click on the eye icon to open in markdown view_x000D_
3  Tap around the bottom of  thing 2 _x000D_
_x000D_
  Expected behavior  _x000D_
     A clear and concise description of what you expected to happen     _x000D_
_x000D_
The app doesn t crash  Fixing this would either mean rendering the empty entry or removing it before rendering to remove the crash  The app doesn t crash when the extra         isn t there _x000D_
_x000D_
  Smartphone (please complete the following information):  _x000D_
   Nextcloud Notes Version (android app): v2 17 1_x000D_
   F Droid or Play Store: F Droid_x000D_
   Android Version: 9 (LineageOS 16 0)_x000D_
   Device: OnePlus 3_x000D_
_x000D_
_x000D_
  Server  _x000D_
   Nextcloud version: 19 0 3_x000D_
   Nextcloud Notes version (server app): 3 6 4_x000D_
_x000D_
  Stacktrace  _x000D_
_x000D_
   _x000D_
App Version: 2 17 1_x000D_
App Version Code: 2017001_x000D_
App Flavor: fdroid_x000D_
_x000D_
Files App Version Code: 30130190_x000D_
_x000D_
   _x000D_
_x000D_
OS Version: 3 18 120 lineageos g682d339(8ed3bd4da7)_x000D_
OS API Level: 28_x000D_
Device: OnePlus3_x000D_
Manufacturer: OnePlus_x000D_
Model (and Product): ONEPLUS A3000 (lineage oneplus3)_x000D_
_x000D_
   _x000D_
_x000D_
java lang StringIndexOutOfBoundsException_x000D_
 at android text SpannableStringBuilder  init (SpannableStringBuilder java:61)_x000D_
 at android text SpannableStringBuilder subSequence(SpannableStringBuilder java:1194)_x000D_
 at com yydcdut markdown utils TextHelper formatTodoLine(TextHelper java:208)_x000D_
 at com yydcdut markdown syntax text TodoSyntax onTodoClicked(TodoSyntax java:93)_x000D_
 at com yydcdut markdown utils SyntaxUtils 1 onClick(SyntaxUtils java:266)_x000D_
 at android text method LinkMovementMethod onTouchEvent(LinkMovementMethod java:231)_x000D_
 at android widget TextView onTouchEvent(TextView java:10106)_x000D_
 at android view View dispatchTouchEvent(View java:12513)_x000D_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com android internal policy DecorView superDispatchTouchEvent(DecorView java:440)_x000D_
 at com android internal policy PhoneWindow superDispatchTouchEvent(PhoneWindow java:1830)_x000D_
 at android app Activity dispatchTouchEvent(Activity java:3401)_x000D_
 at androidx appcompat view WindowCallbackWrapper dispatchTouchEvent(WindowCallbackWrapper java:69)_x000D_
 at androidx appcompat view WindowCallbackWrapper dispatchTouchEvent(WindowCallbackWrapper java:69)_x000D_
 at com android internal policy DecorView dispatchTouchEvent(DecorView java:398)_x000D_
 at android view View dispatchPointerEvent(View java:12752)_x000D_
 at android view ViewRootImpl ViewPostImeInputStage processPointerEvent(ViewRootImpl java:5113)_x000D_
 at android view ViewRootImpl ViewPostImeInputStage onProcess(ViewRootImpl java:4916)_x000D_
 at android view ViewRootImpl InputStage deliver(ViewRootImpl java:4433)_x000D_
 at android view ViewRootImpl InputStage onDeliverToNext(ViewRootImpl java:4486)_x000D_
 at android view ViewRootImpl InputStage forward(ViewRootImpl java:4452)_x000D_
 at android view ViewRootImpl AsyncInputStage forward(ViewRootImpl java:4592)_x000D_
 at android view ViewRootImpl InputStage apply(ViewRootImpl java:4460)_x000D_
 at android view ViewRootImpl AsyncInputStage apply(ViewRootImpl java:4649)_x000D_
 at android view ViewRootImpl InputStage deliver(ViewRootImpl java:4433)_x000D_
 at android view ViewRootImpl InputStage onDeliverToNext(ViewRootImpl java:4486)_x000D_
 at android view ViewRootImpl InputStage forward(ViewRootImpl java:4452)_x000D_
 at android view ViewRootImpl InputStage apply(ViewRootImpl java:4460)_x000D_
 at android view ViewRootImpl InputStage deliver(ViewRootImpl java:4433)_x000D_
 at android view ViewRootImpl deliverInputEvent(ViewRootImpl java:7099)_x000D_
 at android view ViewRootImpl doProcessInputEvents(ViewRootImpl java:7068)_x000D_
 at android view ViewRootImpl enqueueInputEvent(ViewRootImpl java:7029)_x000D_
 at android view ViewRootImpl WindowInputEventReceiver onInputEvent(ViewRootImpl java:7202)_x000D_
 at android view InputEventReceiver dispatchInputEvent(InputEventReceiver java:186)_x000D_
 at android os MessageQueue nativePollOnce(Native Method)_x000D_
 at android os MessageQueue next(MessageQueue java:326)_x000D_
 at android os Looper loop(Looper java:160)_x000D_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_x000D_
   _x000D_
   </t>
  </si>
  <si>
    <t>OpenSageTV-sagetv-miniclient-97</t>
  </si>
  <si>
    <t>Error connecting to server when using fixed Transcoding/Streaming</t>
  </si>
  <si>
    <t xml:space="preserve">Repro script from NYPlayer:_x000D_
_x000D_
1  On your FireTV clear all the data and cache for the application_x000D_
2  Start the Client go to settings and click on Streaming mode  FIXED_x000D_
3  Connect do not do anything else that will cause a crash_x000D_
_x000D_
Most likely there is a call to one of the properties that does not have a default </t>
  </si>
  <si>
    <t>nextcloud-android-7291</t>
  </si>
  <si>
    <t>Android app keeps crashing suddenly</t>
  </si>
  <si>
    <t xml:space="preserve">    Steps to reproduce_x000D_
1   Open photo_x000D_
2  Open video_x000D_
3  Open ebook_x000D_
_x000D_
    Expected behaviour_x000D_
  opens media_x000D_
_x000D_
    Actual behaviour_x000D_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9_x000D_
Device model: _x000D_
Samsung s10_x000D_
Stock or customized system:_x000D_
Stock_x000D_
Nextcloud app version:_x000D_
Beta_x000D_
Nextcloud server version:_x000D_
20 0 1_x000D_
Reverse proxy:_x000D_
Nginx_x000D_
    Logs_x000D_
     Web server error log_x000D_
     Nextcloud log (data nextcloud log)_x000D_
   _x000D_
Insert your Nextcloud log here_x000D_
             CAUSE OF ERROR             _x000D_
_x000D_
android app RemoteServiceException: Context startForegroundService() did not then call Service startForeground(): ServiceRecord e5261f4 u0 com nextcloud client  media PlayerService _x000D_
	at android app ActivityThread H handleMessage(ActivityThread java:2188)_x000D_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APP INFORMATION             _x000D_
ID: com nextcloud client_x000D_
Version: 30140051_x000D_
Build flavor: gplay_x000D_
_x000D_
             DEVICE INFORMATION             _x000D_
Brand: samsung_x000D_
Device: beyond1_x000D_
Model: SM G973F_x000D_
Id: QP1A 190711 020_x000D_
Product: beyond1lteeea_x000D_
_x000D_
             FIRMWARE             _x000D_
SDK: 29_x000D_
Release: 10_x000D_
Incremental: G973FXXU8DTH7_x000D_
_x000D_
  NOTE:   Be super sure to remove sensitive data like passwords  note that everybody can look here  You can use the Issue Template application to prefill some of the required information: https:  apps nextcloud com apps issuetemplate_x000D_
</t>
  </si>
  <si>
    <t>TotalCross-totalcross-197</t>
  </si>
  <si>
    <t>The simulator crashes after setting a resolution above a threshold</t>
  </si>
  <si>
    <t xml:space="preserve">   Issue Title_x000D_
The simulator crashes at some resolutions above a threshold_x000D_
_x000D_
   Describe the bug_x000D_
When setting the simulator resolution to 1203x653 it crashes  but when its 1202x652 it runs fine_x000D_
_x000D_
   To Reproduce_x000D_
download TCSample and set the TCSampleApplication java like this_x000D_
_x000D_
   _x000D_
package totalcross sample _x000D_
_x000D_
import totalcross TotalCrossApplication _x000D_
import totalcross sample main TCSample _x000D_
_x000D_
public class TCSampleApplication  _x000D_
	public static void main(String   args)  _x000D_
	    TotalCrossApplication run(_x000D_
	        TCSample class    r     PLACE YOUR KEY     scr   1203x653 ) _x000D_
	   _x000D_
 _x000D_
   _x000D_
_x000D_
   Expected behavior_x000D_
The simulator should at any resolution without any issue_x000D_
_x000D_
   Screenshots or videos_x000D_
the screen_x000D_
  image (https:  user images githubusercontent com 29692098 98712362 f8a1ff00 2364 11eb 8f86 f4b9f1b60ac4 png)_x000D_
the exception that it s thrown_x000D_
  image (https:  user images githubusercontent com 29692098 98712504 271fda00 2365 11eb 84a7 f7671b99c8b2 png)_x000D_
_x000D_
   Devices:_x000D_
Please complete the following information:_x000D_
  Device: Simulator_x000D_
  OS:Windows_x000D_
  JDK:Zulu OpenJDK11_x000D_
   Additional information_x000D_
Related to the issue  185 _x000D_
Using the last commit of Totalcross SDK and TCSample_x000D_
Tcsample: https:  github com TotalCross tc sample</t>
  </si>
  <si>
    <t>Anuken-Mindustry-3327</t>
  </si>
  <si>
    <t>Save File Mixing</t>
  </si>
  <si>
    <t xml:space="preserve">  Platform  :  Android iOS Mac Windows Linux  windows 10 64 bit_x000D_
_x000D_
  Build  :  The build number under the title in the main menu  Required   LATEST  IS NOT A VERSION  I NEED THE EXACT BUILD NUMBER OF YOUR GAME  _x000D_
beta 112_x000D_
_x000D_
  Issue  :  Explain your issue in detail  _x000D_
when wiping the campaign research and saves data  following some steps can cause your new fresh save to mix into your old save that has more progress_x000D_
_x000D_
  Steps to reproduce  :  How you happened across the issue  and what exactly you did to make the bug happen  _x000D_
1  have capped a large amount of sectors (https:  drive google com file d 13qM gAwEU5 zkZ2f T gL4MExucKb  P view usp sharing)_x000D_
2  export game data (note that this may be unrellated)_x000D_
3  use both of these buttons _x000D_
  image (https:  user images githubusercontent com 54417042 98696183 7b18c780 2341 11eb 8760 e3f8910e250a png)_x000D_
4  start fresh_x000D_
5  capture a sector or two_x000D_
6  save and exit_x000D_
6  load back in to find an odd mix of both you old and new saves (https:  drive google com file d 12e2PlcXfBf8OfIKJ7JdQfhI3M9ydleuP view usp sharing)_x000D_
_x000D_
_x000D_
  Link(s) to mod(s) used  :  The mod repositories or zip files that are related to the issue  if applicable  _x000D_
happens without mods_x000D_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save files included above _x000D_
_x000D_
  Crash report  :  The contents of relevant crash report files  REQUIRED if you are reporting a crash  _x000D_
not a crash _x000D_
   _x000D_
_x000D_
 Place an X (no spaces) between the brackets to confirm that you have read the line below    _x000D_
   X    I have searched the closed and open issues to make sure that this problem has not already been reported   </t>
  </si>
  <si>
    <t>AOF-Dev-MCinaBox-665</t>
  </si>
  <si>
    <t>Cannot run version newer than 1.12 (so far)</t>
  </si>
  <si>
    <t xml:space="preserve">  Describe the bug  _x000D_
See title_x000D_
_x000D_
  To Reproduce  _x000D_
1  Download any past MC version after 1 12_x000D_
2  After a long load  CTL (crash to launcher)_x000D_
_x000D_
  Expected behavior  _x000D_
Game runs_x000D_
_x000D_
  Smartphone (please complete the following information):  _x000D_
   Device: S20 FE 5G_x000D_
   OS: Android 10_x000D_
   App Version: v0 1 4 p4_x000D_
_x000D_
  Additional context:  _x000D_
  Haven t checked debug log yet but I think this is 99  related to the new MC launch animation  i e  new Mojang loading logo  The animation part requires some specific OpenGL extension that OpenGLES cannot handle switftly the emulation not handled correctly  hence the crash   _x000D_
_x000D_
This should be because of library loading capability issue</t>
  </si>
  <si>
    <t>nextcloud-android-7288</t>
  </si>
  <si>
    <t>Nextcloud Android App Crash when trying to download and open PDF file</t>
  </si>
  <si>
    <t xml:space="preserve">    Steps to reproduce_x000D_
1  Open Folder with PDF File_x000D_
2  Click on PDF File once_x000D_
3  App crashes_x000D_
_x000D_
    Expected behaviour_x000D_
  Open PDF File with PDF Viewer_x000D_
_x000D_
    Actual behaviour_x000D_
  App crashes_x000D_
_x000D_
    Can you reproduce this problem on https:  try nextcloud com _x000D_
No  as it s an error within the Android App_x000D_
_x000D_
    Environment data_x000D_
Android version: 10_x000D_
_x000D_
Device model: Huawei SNE LX1_x000D_
_x000D_
Stock or customized system: Stock_x000D_
_x000D_
Nextcloud app version: 3 14 0 RC1_x000D_
_x000D_
Nextcloud server version:  _x000D_
_x000D_
Reverse proxy:  _x000D_
_x000D_
    Logs_x000D_
     Web server error log_x000D_
   _x000D_
 _x000D_
   _x000D_
_x000D_
     Nextcloud log (data nextcloud log)_x000D_
   _x000D_
             CAUSE OF ERROR             _x000D_
_x000D_
java lang NullPointerException: Attempt to invoke virtual method  void androidx swiperefreshlayout widget SwipeRefreshLayout setVisibility(int)  on a null object reference_x000D_
	at com owncloud android ui fragment FileDetailActivitiesFragment populateList(FileDetailActivitiesFragment java:415)_x000D_
	at com owncloud android ui fragment FileDetailActivitiesFragment lambda null 3 FileDetailActivitiesFragment(FileDetailActivitiesFragment java:370)_x000D_
	at com owncloud android ui fragment    Lambda FileDetailActivitiesFragment ZzLUj33qKg0e1Ki8Vd5bki8I6B4 run(Unknown Source:6)_x000D_
	at android os Handler handleCallback(Handler java:888)_x000D_
	at android os Handler dispatchMessage(Handler java:100)_x000D_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_x000D_
             APP INFORMATION             _x000D_
ID: com nextcloud client_x000D_
Version: 30140051_x000D_
Build flavor: gplay_x000D_
_x000D_
             DEVICE INFORMATION             _x000D_
Brand: HUAWEI_x000D_
Device: HWSNE_x000D_
Model: SNE LX1_x000D_
Id: HUAWEISNE L21_x000D_
Product: SNE LX1_x000D_
_x000D_
             FIRMWARE             _x000D_
SDK: 29_x000D_
Release: 10_x000D_
Incremental: 10 0 0 245C432_x000D_
_x000D_
   </t>
  </si>
  <si>
    <t>Anuken-Mindustry-3325</t>
  </si>
  <si>
    <t>Sector 174 exits my mindustry</t>
  </si>
  <si>
    <t xml:space="preserve">Android_x000D_
_x000D_
V6 112 1_x000D_
_x000D_
So I was messing around with Ground Zero and moving to the next one to collect my resource and update the building (next sector is 174  lower right of Ground Zero) and when it loads it just froze and immediately exit by itself_x000D_
_x000D_
I don t know what happened I just haven t check that map for a long time  and it just like that_x000D_
_x000D_
The mods are doing just fine in other sectors_x000D_
But here it is : _x000D_
_x000D_
  Braindustry by Pixaxeofpixie_x000D_
_x000D_
  Gold Mod by TheSlaylord_x000D_
_x000D_
  Larger cores by z0mbiesrock_x000D_
_x000D_
  Heavy Armaments industries by Eschatalounge (if I spell that correctly)_x000D_
_x000D_
  Vanilla enhanced by HolyHades_x000D_
_x000D_
  Progressed Materials by MeepOfFaith_x000D_
_x000D_
_x000D_
 crash 1604997526477 txt (https:  github com Anuken Mindustry files 5516002 crash 1604997526477 txt)_x000D_
_x000D_
  save file too big    The (zipped) save file you were playing on when the bug happened  THIS IS REQUIRED FOR ANY ISSUE HAPPENING IN GAME  REGARDLESS  OF WHETHER YOU THINK IT HAPPENS EVERYWHERE  DO NOT DELETE OR OMIT THIS LINE UNLESS YOU ARE SURE THAT THE ISSUE DOES NOT HAPPEN IN GAME  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</si>
  <si>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Anuken-Mindustry-3324</t>
  </si>
  <si>
    <t>Upon Further Review I Have come to the conclusion that #3220 should be locked until you unlock launchpads</t>
  </si>
  <si>
    <t xml:space="preserve">  Platform  :  Android iOS Mac Windows Linux  windows 10 64 bit_x000D_
_x000D_
  Build  :  The build number under the title in the main menu  Required   LATEST  IS NOT A VERSION  I NEED THE EXACT BUILD NUMBER OF YOUR GAME  _x000D_
beta 112_x000D_
_x000D_
  Issue  :  Explain your issue in detail  _x000D_
you can launch to any sector without penalty to find a perfect farming location  before you have launchpads  which is kind of op and eliminates the need to properly explore prior to getting launchpad _x000D_
 universal launching  should be locked behind either  launchpads or  higher tier cores  possibly both _x000D_
_x000D_
  Steps to reproduce  :  How you happened across the issue  and what exactly you did to make the bug happen  _x000D_
1  start fresh save_x000D_
2  capture ground zero_x000D_
3  find a good farming sector_x000D_
4  research everything_x000D_
5  you just were bored because you didn t have to play the game the way it was meant to be enjoyed _x000D_
_x000D_
  Link(s) to mod(s) used  :  The mod repositories or zip files that are related to the issue  if applicable  _x000D_
uwu png_x000D_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nah its ok_x000D_
_x000D_
  Crash report  :  The contents of relevant crash report files  REQUIRED if you are reporting a crash  _x000D_
not a crash_x000D_
_x000D_
   _x000D_
_x000D_
 Place an X (no spaces) between the brackets to confirm that you have read the line below    _x000D_
   X    I have searched the closed and open issues to make sure that this problem has not already been reported   _x000D_
well sort of</t>
  </si>
  <si>
    <t>TeamNewPipe-NewPipe-4850</t>
  </si>
  <si>
    <t>Download of Youtube subscriptions no longer possible with "in-app" method.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</si>
  <si>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v0 20 2      Check https:  github com TeamNewPipe NewPipe releases    _x000D_
   x  I checked  but didn t find any duplicates (open OR closed) of this issue in the repo       Seriously  check  O O     ( 4810 has been closed due to reporting fuck up)_x000D_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Channel groups tab_x000D_
2  Expand  Subscriptions _x000D_
3  Under  Import from  click on Youtube_x000D_
4  Click on the provided URL_x000D_
_x000D_
     If you can t cause the bug to show up again reliably (and hence don t have a proper set of steps to give us)  please still try to give as many details as possible on how you think you encountered the bug     _x000D_
_x000D_
    Actual behaviour_x000D_
     Tell us what happens with the steps given above     _x000D_
The URL is being redirected to https:  m youtube com feed channels  No file is being downloaded _x000D_
_x000D_
    Expected behavior_x000D_
     Tell us what you expect to happen     _x000D_
https:  www youtube com subscription manager action takeout 1 is supposed to generate a downloadable file _x000D_
_x000D_
    Attempts to analyse and fix_x000D_
1  Force the desktop page in Android chrome  in case the m  transition is to blame    No fix _x000D_
2  Navigate to the URL with desktop Chrome    No fix _x000D_
3  Navigate to the URL with desktop Firefox    No fix _x000D_
4  Ignore the redirection with curl    No fix _x000D_
5  Append  action takeout 1 to the redirected URL    No fix _x000D_
6  Could not find a method to get the feed from the site manually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No relevant screenshot available _x000D_
_x000D_
    Logs_x000D_
     If your bug includes a crash (where you re shown the Error Report page with a bunch of info)  tap on  Copy formatted report  at the bottom and paste it here:    _x000D_
_x000D_
     That s right  here     _x000D_
_x000D_
No log has been generated _x000D_
_x000D_
     Please fill this out when you do not provide a log generate by NewPipe    _x000D_
_x000D_
    Device info_x000D_
_x000D_
   Android version Custom ROM version: 8 0 0 stock_x000D_
   Device model: RNE L22_x000D_
</t>
  </si>
  <si>
    <t>TeamNewPipe-NewPipe-4849</t>
  </si>
  <si>
    <t>"Content unavailable" for videos available in the browser.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</si>
  <si>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Go to https:  m youtube com watch v 9WfZuNceFDM on your browser  not on NewPipe _x000D_
1  Share page to NewPipe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I get the error  Content unavailable  _x000D_
_x000D_
Same error happens if posting the URL on the search box of NewPipe _x000D_
_x000D_
And the video won t be found by the title using NewPipe search _x000D_
_x000D_
    Expected behavior_x000D_
     Tell us what you expect to happen     _x000D_
_x000D_
The video should be found and played on NewPipe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_x000D_
   Device model: _x000D_
</t>
  </si>
  <si>
    <t>nextcloud-android-7275</t>
  </si>
  <si>
    <t>Opening PDF crashes Nextcloud-Android-App</t>
  </si>
  <si>
    <t xml:space="preserve">    Steps to reproduce_x000D_
1  Open a PDF for the first time on your mobile_x000D_
2  The App will crash_x000D_
3  Try it again  it will open   cause now it has the green arrow (synchronized)_x000D_
_x000D_
    Expected behaviour_x000D_
Usually the PDF should open directly_x000D_
_x000D_
    Actual behaviour_x000D_
Android Nextcloud App crashes    _x000D_
_x000D_
    Environment data_x000D_
Android version: 10_x000D_
_x000D_
Device model: Note 10 _x000D_
_x000D_
Stock or customized system: Stock   rooted_x000D_
_x000D_
Nextcloud app version: 3 14 0 RC1_x000D_
_x000D_
Nextcloud server version: 19 0 3_x000D_
_x000D_
Reverse proxy: NGINX</t>
  </si>
  <si>
    <t>Anuken-Mindustry-3317</t>
  </si>
  <si>
    <t>"</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</si>
  <si>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</si>
  <si>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Anuken-Mindustry-3313</t>
  </si>
  <si>
    <t>Unable to compile.</t>
  </si>
  <si>
    <t xml:space="preserve">  Platform  : Windows 10  OpenJDK version  14 0 2  _x000D_
_x000D_
  Build  :  112 1 _x000D_
_x000D_
  Issue  : Executing  desktop:dist  fails with error  use   enable preview to enable pattern matching in instanceof  _x000D_
_x000D_
  Steps to reproduce  :_x000D_
1  Run  desktop:dist  task _x000D_
2  See the crash log _x000D_
_x000D_
  Link(s) to mod(s) used  : None _x000D_
_x000D_
  Save file  : Not need _x000D_
_x000D_
  Crash report  :_x000D_
   _x000D_
  Task :desktop:compileJava_x000D_
mindustry desktop steam SStats java:108: warning: as of release 10   var  is a restricted type name and cannot be used for type declarations or as the element type of an array_x000D_
                        for(var v : sec info production values()) _x000D_
                                 _x000D_
D: Mindustry desktop src mindustry desktop steam SStats java:184: error: pattern matching in instanceof is a preview feature and is disabled by default _x000D_
            if(e unit instanceof BlockUnitc block    block tile() block    Blocks router) _x000D_
                                             _x000D_
  (use   enable preview to enable pattern matching in instanceof)_x000D_
1 error_x000D_
1 warning_x000D_
   _x000D_
_x000D_
   _x000D_
   X    I have searched the closed and open issues to make sure that this problem has not already been reported   _x000D_
_x000D_
  P S: Please don t tell me  Works for me    </t>
  </si>
  <si>
    <t>Anuken-Mindustry-3311</t>
  </si>
  <si>
    <t>Sound bug (update)</t>
  </si>
  <si>
    <t xml:space="preserve">  Platform  : Windows_x000D_
_x000D_
  Build  : 11122 11141  in 11144 it is fixed  _x000D_
  Issue  : Sound just starts randomly clicking  It happened on servers  and it was already reported  It has something to do with ambient  if i set ambient to 0  it will stop  On the given save file  it is on 20   I was sorounded by miner drones at the time  There were tons of conveyors as well  It happened 3 times in a row  at the sector that is already selected  _x000D_
_x000D_
  Steps to reproduce  : It has something to do with ambient sound  It may not happen every time  but I got it 3 times in a row first time  After a reload  it stopped  After I reloaded it again  it started clicking harder  and it was beeping as well  I tried reinstalling the file  but nothing happens  _x000D_
_x000D_
  Note:   You might have to reload it multiple times to get it right  My speaker is just fine  it happened to other people as well  Its a quite inconsistent bug  but very annoying _x000D_
_x000D_
  Link(s) to mod(s) used  : Nope_x000D_
_x000D_
  Save file  :_x000D_
 Sound bug file zip (https:  github com Anuken Mindustry files 5510046 Sound bug file zip)_x000D_
_x000D_
_x000D_
  Crash report  : Not a crash_x000D_
_x000D_
   _x000D_
_x000D_
 Place an X (no spaces) between the brackets to confirm that you have read the line below    _x000D_
   X    I have searched the closed and open issues to make sure that this problem has not already been reported   _x000D_
 Well I did report it once before  but I had less data then _x000D_
</t>
  </si>
  <si>
    <t>Anuken-Mindustry-3310</t>
  </si>
  <si>
    <t>Megas attacking enemy while command center is set to rally</t>
  </si>
  <si>
    <t xml:space="preserve">  Platform  :  Android iOS Mac Windows Linux _x000D_
_x000D_
  Build  : BE 11141_x000D_
_x000D_
  Issue  : Megas are attacking enemy structures while the closest command center is set to rally _x000D_
_x000D_
  Steps to reproduce  : _x000D_
AKA how to get megas triggered _x000D_
1  Have the command center closest to a mega set to rally _x000D_
2  Build have few megas _x000D_
3  Build an allied block in range of enemy turrets  Build it close enough to some enemy blocks so that enemy blocks are within mega s range  Just build it really close to the enemy base _x000D_
4  The allied block gets damaged  which means the megas step in and shoot to repair it _x000D_
5  Once the allied block s health is back at 100   there s nothing else for megas to repair _x000D_
6  Megas start attacking enemy blocks  which makes sense  Keep the allied block defended at all costs _x000D_
7  Repeat 4 6 for a while  They are useful behaviors and seem to be intended _x000D_
8  Once the allied block is at 100  health and nothing is attacking it anymore  megas keep attacking stuff around them  Which contradicts with the command centers and makes no sense  They are not made for attack  They are meant to defend your base and they don t attack by default unless the enemy is in one mega s range  The player should be able to get them to retreat whenever he wants (to deliberately save them from getting killed) _x000D_
_x000D_
I know they don t gather around rally points by default  I can see where that comes from  but at least give them a place to retreat  Repair points  The core  Nearby friendly turrets  Heck  even the nearest rally point works and makes most sense  provided they only retreat after they ve finished repairing everything and attacking all the enemies which are damaging blocks and then after retreat they stay alert for new blocks that get damaged _x000D_
_x000D_
  Link(s) to mod(s) used  : None_x000D_
_x000D_
  Save file  : _x000D_
 Attack Megas zip (https:  github com Anuken Mindustry files 5509767 Attack Megas zip)_x000D_
_x000D_
  image (https:  user images githubusercontent com 70975516 98538465 7695d580 2293 11eb 813f b2971c506b44 png)_x000D_
_x000D_
  Crash report  : Not a crash_x000D_
_x000D_
   _x000D_
_x000D_
 Place an X (no spaces) between the brackets to confirm that you have read the line below    _x000D_
   x    I have searched the closed and open issues to make sure that this problem has not already been reported   _x000D_
</t>
  </si>
  <si>
    <t>Blankj-AndroidUtilCode-1365</t>
  </si>
  <si>
    <t>isEmulator 判断错误</t>
  </si>
  <si>
    <t xml:space="preserve">      Bug_x000D_
_x000D_
Android 11  _x000D_
  image (https:  user images githubusercontent com 13394690 98530926 896fd080 22ba 11eb 8926 1eb032a05284 png)_x000D_
_x000D_
_x000D_
  AndroidUtilCode     1 30 0_x000D_
     Bug          10_x000D_
      Android    30_x000D_
_x000D_
       _x000D_
_x000D_
       _x000D_
   java_x000D_
CrashUtils init() _x000D_
   _x000D_
   _x000D_
   _x000D_
put your code here_x000D_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_x000D_
_x000D_
                    _x000D_
_x000D_
_x000D_
              _x000D_
_x000D_
      AndroidUtilCode (https:  github com Blankj AndroidUtilCode) _x000D_
</t>
  </si>
  <si>
    <t>TeamNewPipe-NewPipe-4846</t>
  </si>
  <si>
    <t>Guru meditation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</si>
  <si>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New pipe  _x000D_
2  Search for a video or playlist or album_x000D_
3  Select it  and click on play (or play all for a playlist or mobile) _x000D_
4  Error message  guru meditation error  with following stacktrace:_x000D_
   Exception_x000D_
    User Action:   requested stream_x000D_
    Request:   https:  www youtube com watch v T5z4a AgUUI_x000D_
    Content Country:   FR_x000D_
    Content Language:   fr FR_x000D_
    App Language:   fr FR_x000D_
    Service:   YouTube_x000D_
    Version:   0 20 1_x000D_
    OS:   Linux Android 9   28_x000D_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Video   playlist is not played  error message above is obtained  _x000D_
_x000D_
_x000D_
    Expected behavior_x000D_
     Tell us what you expect to happen     _x000D_
Video or playlist should be played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Exception_x000D_
    User Action:   requested stream_x000D_
    Request:   https:  www youtube com watch v T5z4a AgUUI_x000D_
    Content Country:   FR_x000D_
    Content Language:   fr FR_x000D_
    App Language:   fr FR_x000D_
    Service:   YouTube_x000D_
    Version:   0 20 1_x000D_
    OS:   Linux Android 9   28_x000D_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9_x000D_
   Device model: Sony Xperia 2_x000D_
</t>
  </si>
  <si>
    <t>PojavLauncherTeam-PojavLauncher-389</t>
  </si>
  <si>
    <t xml:space="preserve">launcher crashes after starting up in tablet [BUG] </t>
  </si>
  <si>
    <t xml:space="preserve">  Describe the bug  _x000D_
it crashes after start up i think it has to do with my android version_x000D_
installed it correctly works well on my phone no crash log or event log given after crash_x000D_
_x000D_
  To Reproduce  _x000D_
Steps to reproduce the behavior:_x000D_
1  Start PojavLauncher on a device with android version 7 1 1_x000D_
2  set up the launcher_x000D_
3  download a version doesnt matter which one _x000D_
4  start game_x000D_
   _x000D_
_x000D_
  Expected behavior  _x000D_
I expected no problems but it only gives problems with any crash log or event log_x000D_
_x000D_
  Screenshots  _x000D_
dont have any right now_x000D_
  Platform:  _x000D_
   Device Model samsung tab A_x000D_
   CPU architecture  aarch32_x000D_
   Android Version 7 1 1_x000D_
_x000D_
maybe be a better crash log system would be nice _x000D_
_x000D_
with kind regards Bruce Kikkert_x000D_
</t>
  </si>
  <si>
    <t>mh--corona-warn-companion-android-88</t>
  </si>
  <si>
    <t>Crash immediately after opening</t>
  </si>
  <si>
    <t xml:space="preserve">First of all  thank you very much for this app  it was several times very helpfull  :beers: _x000D_
_x000D_
   Describe the bug_x000D_
After opening the App a second time it crashes immeadiately  _x000D_
If I clear the App s data  i can open it and use all functions  a second time wont work _x000D_
_x000D_
   Expected behaviour_x000D_
The app shouldn t crash _x000D_
_x000D_
   Steps to reproduce the issue_x000D_
1  Install the App_x000D_
2  Open   use it_x000D_
3  Close the app completly_x000D_
4  Reopen it    Crash_x000D_
5  Delete App data_x000D_
6  Go to step 2_x000D_
_x000D_
   Technical Details_x000D_
    Device_x000D_
  Motorola Moto G7 Play_x000D_
  LineageOS 17 1  based on Android 10 _x000D_
  SU: Magisk 20 4 with Magisk Manager 8_x000D_
    CrashLog_x000D_
I get a nullpointer exception in line 337 in the Source Class  org osmdroid config DefaultConfiguratonProvider  _x000D_
This leads to a runtime exception: Unable to start activity  ComponentInfo MainActivity  _x000D_
_x000D_
_x000D_
</t>
  </si>
  <si>
    <t>Anuken-Mindustry-3296</t>
  </si>
  <si>
    <t>Sound bugging on server</t>
  </si>
  <si>
    <t xml:space="preserve">  Platform  : Windows  and Android_x000D_
_x000D_
  Build  : 11122_x000D_
_x000D_
  Issue  : On serpulo testing server  or Surrealment server  sound started scratching like ckckckckck for no apparent reason  It didnt happen just for me  it was for everyone on server  It happened this day before  and now again  There is no such an issue in campaign  or custom maps  _x000D_
_x000D_
  Steps to reproduce  : Play on Procedual testing server  or Surrealment and you ll hear it sooner or later  There is no clear reason why it happened  but I assume its bescause many players build conveyors at same time  gliching out sound  After about 2 minutes  it stopped  It happens on Surrealment as well  but I am not sure  It might happen in LAN games  it is still untested _x000D_
_x000D_
  Link(s) to mod(s) used  : No mods  but someone on server might have a plugin causing that  Many troling systems exist these days  No same players were present  except for me _x000D_
_x000D_
  Save file  : It happens to everyone on the server  two times in a row  It has nothing to do with save files  And I cant literally strap 15 save files to it  for every player on server _x000D_
_x000D_
  Additional note:   It fades slightly when paused  like all other sounds  Might have somethning to do with multiple ambient sounds playing at same time _x000D_
_x000D_
  Crash report  : Not a crash_x000D_
_x000D_
   _x000D_
_x000D_
 Place an X (no spaces) between the brackets to confirm that you have read the line below    _x000D_
   X    I have searched the closed and open issues to make sure that this problem has not already been reported   _x000D_
</t>
  </si>
  <si>
    <t>Anuken-Mindustry-3295</t>
  </si>
  <si>
    <t>omniMovement with non-navals</t>
  </si>
  <si>
    <t xml:space="preserve">  Platform  :  Android iOS Mac Windows Linux _x000D_
All_x000D_
_x000D_
  Build  :  The build number under the title in the main menu  Required   LATEST  IS NOT A VERSION  I NEED THE EXACT BUILD NUMBER OF YOUR GAME  _x000D_
112_x000D_
_x000D_
  Issue  :  Explain your issue in detail  _x000D_
Non naval units with omniMovement set to false can t rotate when player controlled  but the AI can still use omnidirectional movement _x000D_
_x000D_
  Steps to reproduce  :  How you happened across the issue  and what exactly you did to make the bug happen  _x000D_
Set the omniMovement of flare to false  then try controlling it  then place a rally command center and observe the flare brake without rotating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</si>
  <si>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patzly-grocy-android-226</t>
  </si>
  <si>
    <t>Crash on missing location id</t>
  </si>
  <si>
    <t xml:space="preserve">I had an entry with a missing location id which caused the app to crash when switching to the shopping list _x000D_
_x000D_
The entry was maybe because I started using Grocy with FEATURE FLAG STOCK LOCATION TRACKING   false _x000D_
_x000D_
   _x000D_
2020 11 08 17:01:51 177 11357 11357 xyz zedler patrick grocy E AndroidRuntime: FATAL EXCEPTION: main_x000D_
    Process: xyz zedler patrick grocy  PID: 11357_x000D_
    com google gson JsonSyntaxException: java lang NumberFormatException: empty String_x000D_
        at com google gson internal bind TypeAdapters 7 read(TypeAdapters java:228)_x000D_
        at com google gson internal bind TypeAdapters 7 read(TypeAdapters java:218)_x000D_
        at com google gson internal bind ReflectiveTypeAdapterFactory 1 read(ReflectiveTypeAdapterFactory java:131)_x000D_
        at com google gson internal bind ReflectiveTypeAdapterFactory Adapter read(ReflectiveTypeAdapterFactory java:222)_x000D_
        at com google gson internal bind TypeAdapterRuntimeTypeWrapper read(TypeAdapterRuntimeTypeWrapper java:41)_x000D_
        at com google gson internal bind CollectionTypeAdapterFactory Adapter read(CollectionTypeAdapterFactory java:82)_x000D_
        at com google gson internal bind CollectionTypeAdapterFactory Adapter read(CollectionTypeAdapterFactory java:61)_x000D_
        at com google gson Gson fromJson(Gson java:932)_x000D_
        at com google gson Gson fromJson(Gson java:897)_x000D_
        at com google gson Gson fromJson(Gson java:846)_x000D_
        at xyz zedler patrick grocy helper DownloadHelper 5 lambda perform 0 DownloadHelper 5(DownloadHelper java:374)_x000D_
        at xyz zedler patrick grocy helper    Lambda DownloadHelper 5 PjtjleWtyl IyBegSN4O4r86kwE onResponse(Unknown Source:6)_x000D_
        at xyz zedler patrick grocy helper    Lambda XnYDIG4u4E0BrfpzQwW5FDAILpg onResponse(Unknown Source:4)_x000D_
        at com android volley toolbox StringRequest deliverResponse(StringRequest java:82)_x000D_
        at com android volley toolbox StringRequest deliverResponse(StringRequest java:29)_x000D_
        at com android volley ExecutorDelivery ResponseDeliveryRunnable run(ExecutorDelivery java:102)_x000D_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NumberFormatException: empty String_x000D_
        at sun misc FloatingDecimal readJavaFormatString(FloatingDecimal java:1842)_x000D_
        at sun misc FloatingDecimal parseDouble(FloatingDecimal java:110)_x000D_
        at java lang Double parseDouble(Double java:538)_x000D_
        at com google gson stream JsonReader nextInt(JsonReader java:1202)_x000D_
        at com google gson internal bind TypeAdapters 7 read(TypeAdapters java:226)_x000D_
        at com google gson internal bind TypeAdapters 7 read(TypeAdapters java:218) _x000D_
        at com google gson internal bind ReflectiveTypeAdapterFactory 1 read(ReflectiveTypeAdapterFactory java:131) _x000D_
        at com google gson internal bind ReflectiveTypeAdapterFactory Adapter read(ReflectiveTypeAdapterFactory java:222) _x000D_
        at com google gson internal bind TypeAdapterRuntimeTypeWrapper read(TypeAdapterRuntimeTypeWrapper java:41) _x000D_
        at com google gson internal bind CollectionTypeAdapterFactory Adapter read(CollectionTypeAdapterFactory java:82) _x000D_
        at com google gson internal bind CollectionTypeAdapterFactory Adapter read(CollectionTypeAdapterFactory java:61) _x000D_
        at com google gson Gson fromJson(Gson java:932) _x000D_
        at com google gson Gson fromJson(Gson java:897) _x000D_
        at com google gson Gson fromJson(Gson java:846) _x000D_
        at xyz zedler patrick grocy helper DownloadHelper 5 lambda perform 0 DownloadHelper 5(DownloadHelper java:374) _x000D_
        at xyz zedler patrick grocy helper    Lambda DownloadHelper 5 PjtjleWtyl IyBegSN4O4r86kwE onResponse(Unknown Source:6) _x000D_
        at xyz zedler patrick grocy helper    Lambda XnYDIG4u4E0BrfpzQwW5FDAILpg onResponse(Unknown Source:4) _x000D_
        at com android volley toolbox StringRequest deliverResponse(StringRequest java:82) _x000D_
        at com android volley toolbox StringRequest deliverResponse(StringRequest java:29) _x000D_
        at com android volley ExecutorDelivery ResponseDeliveryRunnable run(ExecutorDelivery java:102) _x000D_
        at android os Handler handleCallback(Handler java:938) _x000D_
        at android os Handler dispatchMessage(Handler java:99) _x000D_
        at android os Looper loop(Looper java:223) _x000D_
        at android app ActivityThread main(ActivityThread java:7656) _x000D_
        at java lang reflect Method invoke(Native Method) _x000D_
        at com android internal os RuntimeInit MethodAndArgsCaller run(RuntimeInit java:592) _x000D_
        at com android internal os ZygoteInit main(ZygoteInit java:947) _x000D_
   </t>
  </si>
  <si>
    <t>TeamNewPipe-NewPipe-4842</t>
  </si>
  <si>
    <t>Android TV - Next video starts as a black screen.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</si>
  <si>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Watch a video on Android TV_x000D_
2  Next video starts as a black screen  No video but voice _x000D_
3  See the picture in the attachment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Next video starts as a black screen  No video but voice _x000D_
_x000D_
    Expected behavior_x000D_
     Tell us what you expect to happen     _x000D_
_x000D_
Next video should start normally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IMG 20201108 120033 (https:  user images githubusercontent com 46603635 98468252 b9e83980 21ea 11eb 93ce 0b18eb38d4b2 jpg)_x000D_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TV 8 0_x000D_
   Device model: Philips PUS550112 55  Android TV_x000D_
</t>
  </si>
  <si>
    <t>TeamNewPipe-NewPipe-4841</t>
  </si>
  <si>
    <t>Android TV - Video does not start as full screen automatically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</si>
  <si>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Watch a video on Android TV_x000D_
2  It is not started as a full screen automatically_x000D_
3  See the picture in the attachment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Video does not start as a fullscreen_x000D_
_x000D_
    Expected behavior_x000D_
     Tell us what you expect to happen     _x000D_
_x000D_
Video should start as a fullscreen_x000D_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IMG 20201108 120033 (https:  user images githubusercontent com 46603635 98468252 b9e83980 21ea 11eb 93ce 0b18eb38d4b2 jpg)_x000D_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TV 8 0_x000D_
   Device model: Philips PUS550112 55  Android TV_x000D_
</t>
  </si>
  <si>
    <t>nextcloud-android-7257</t>
  </si>
  <si>
    <t>App 3.14.0RC1 crashes at try to delete files</t>
  </si>
  <si>
    <t xml:space="preserve">Hi _x000D_
if I try to delete files in App  I get an full crash of the app _x000D_
_x000D_
   _x000D_
                       CAUSE OF ERROR                       _x000D_
_x000D_
android app RemoteServiceException: Context startForegroundService() did not then call Service startForeground(): ServiceRecord 6040a68 u0 com nextcloud client  media PlayerService _x000D_
_x000D_
	at android app ActivityThread H handleMessage(ActivityThread java:2038)_x000D_
_x000D_
	at android os Handler dispatchMessage(Handler java:107)_x000D_
_x000D_
	at android os Looper loop(Looper java:214)_x000D_
_x000D_
	at android app ActivityThread main(ActivityThread java:7682)_x000D_
_x000D_
	at java lang reflect Method invoke(Native Method)_x000D_
_x000D_
	at com android internal os RuntimeInit MethodAndArgsCaller run(RuntimeInit java:516)_x000D_
_x000D_
	at com android internal os ZygoteInit main(ZygoteInit java:950)_x000D_
_x000D_
                       APP INFORMATION                       _x000D_
_x000D_
ID: com nextcloud client_x000D_
_x000D_
Version: 30140051_x000D_
_x000D_
Build flavor: gplay_x000D_
_x000D_
                       DEVICE INFORMATION                       _x000D_
_x000D_
Brand: OnePlus_x000D_
_x000D_
Device: OnePlus6_x000D_
_x000D_
Model: ONEPLUS A6003_x000D_
_x000D_
Id: QKQ1 190716 003_x000D_
_x000D_
Product: OnePlus6_x000D_
_x000D_
                       FIRMWARE                       _x000D_
_x000D_
SDK: 29_x000D_
_x000D_
Release: 10_x000D_
_x000D_
Incremental: 2010042216_x000D_
   </t>
  </si>
  <si>
    <t>Anuken-Mindustry-3293</t>
  </si>
  <si>
    <t>corebot is out of ink</t>
  </si>
  <si>
    <t xml:space="preserve">  Platform  :  discord _x000D_
_x000D_
  Build  :    _x000D_
_x000D_
  Issue  :  corebot isn t responding to any commands _x000D_
_x000D_
  Steps to reproduce  :  try to warn rulebreakers _x000D_
_x000D_
  Link(s) to mod(s) used  :  myself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_x000D_
  trying to grab  Anuken s attention here since he hasn t visibly been seen on discord for a while _x000D_
</t>
  </si>
  <si>
    <t>TeamNewPipe-NewPipe-4839</t>
  </si>
  <si>
    <t>Can not open any youtube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</si>
  <si>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Exception_x000D_
    User Action:   requested stream_x000D_
    Request:   https:  www youtube com watch v KfUY ClK1Po_x000D_
    Content Country:   US_x000D_
    Content Language:   en US_x000D_
    App Language:   en US_x000D_
    Service:   YouTube_x000D_
    Version:   0 20 1_x000D_
    OS:   Linux Android 9   28_x000D_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</si>
  <si>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OpenTracksApp-OpenTracks-506</t>
  </si>
  <si>
    <t>NPE in import</t>
  </si>
  <si>
    <t xml:space="preserve">Reported via Google Play crash reporting _x000D_
_x000D_
   _x000D_
java lang NullPointerException: _x000D_
  at de dennisguse opentracks io file importer ImportActivity getTotalDone (ImportActivity java:133)_x000D_
  at de dennisguse opentracks io file importer ImportActivity onBackPressed (ImportActivity java:113)_x000D_
  at android app Activity onKeyUp (Activity java:3686)_x000D_
  at android view KeyEvent dispatch (KeyEvent java:3578)_x000D_
  at android app Activity dispatchKeyEvent (Activity java:4003)_x000D_
  at androidx core app ComponentActivity superDispatchKeyEvent (ComponentActivity java:122)_x000D_
  at androidx core view KeyEventDispatcher dispatchKeyEvent (KeyEventDispatcher java:84)_x000D_
  at androidx core app ComponentActivity dispatchKeyEvent (ComponentActivity java:140)_x000D_
  at com android internal policy DecorView dispatchKeyEvent (DecorView java:624)_x000D_
  at android view ViewRootImpl ViewPostImeInputStage processKeyEvent (ViewRootImpl java:6492)_x000D_
  at android view ViewRootImpl ViewPostImeInputStage onProcess (ViewRootImpl java:6356)_x000D_
  at android view ViewRootImpl InputStage deliver (ViewRootImpl java:5796)_x000D_
  at android view ViewRootImpl InputStage onDeliverToNext (ViewRootImpl java:5849)_x000D_
  at android view ViewRootImpl InputStage forward (ViewRootImpl java:5815)_x000D_
  at android view ViewRootImpl AsyncInputStage forward (ViewRootImpl java:5971)_x000D_
  at android view ViewRootImpl InputStage apply (ViewRootImpl java:5823)_x000D_
  at android view ViewRootImpl AsyncInputStage apply (ViewRootImpl java:6028)_x000D_
  at android view ViewRootImpl InputStage deliver (ViewRootImpl java:5796)_x000D_
  at android view ViewRootImpl InputStage onDeliverToNext (ViewRootImpl java:5849)_x000D_
  at android view ViewRootImpl InputStage forward (ViewRootImpl java:5815)_x000D_
  at android view ViewRootImpl InputStage apply (ViewRootImpl java:5823)_x000D_
  at android view ViewRootImpl InputStage deliver (ViewRootImpl java:5796)_x000D_
  at android view ViewRootImpl InputStage onDeliverToNext (ViewRootImpl java:5849)_x000D_
  at android view ViewRootImpl InputStage forward (ViewRootImpl java:5815)_x000D_
  at android view ViewRootImpl AsyncInputStage forward (ViewRootImpl java:6004)_x000D_
  at android view ViewRootImpl ImeInputStage onFinishedInputEvent (ViewRootImpl java:6173)_x000D_
  at android view inputmethod InputMethodManager PendingEvent run (InputMethodManager java:3826)_x000D_
  at android view inputmethod InputMethodManager invokeFinishedInputEventCallback (InputMethodManager java:3308)_x000D_
  at android view inputmethod InputMethodManager finishedInputEvent (InputMethodManager java:3299)_x000D_
  at android view inputmethod InputMethodManager ImeInputEventSender onInputEventFinished (InputMethodManager java:3803)_x000D_
  at android view InputEventSender dispatchInputEventFinished (InputEventSender java:143)_x000D_
  at android os MessageQueue nativePollOnce (Native Method)_x000D_
  at android os MessageQueue next (MessageQueue java:336)_x000D_
  at android os Looper loop (Looper java:197)_x000D_
  at android app ActivityThread main (ActivityThread java:8167)_x000D_
  at java lang reflect Method invoke (Native Method)_x000D_
  at com android internal os RuntimeInit MethodAndArgsCaller run (RuntimeInit java:496)_x000D_
  at com android internal os ZygoteInit main (ZygoteInit java:1100)_x000D_
   </t>
  </si>
  <si>
    <t>google-ExoPlayer-8182</t>
  </si>
  <si>
    <t>NoClassDefFoundError Mp4Extractor in Android 5.X and 6.X versions</t>
  </si>
  <si>
    <t xml:space="preserve">     REQUIRED  Issue description_x000D_
Trying to prepare a media file causes a NoClassDefFoundError fatal crash on (seemingly all) Android 5 X and Android 6 X devices _x000D_
I m able to reproduce that crash with an Android 6 0 emulator  but not on 7 0   as expected _x000D_
Min api is 21  target API level is 29 _x000D_
_x000D_
     REQUIRED  A full bug report captured from the device_x000D_
 E LoadTask: Unexpected error loading stream_x000D_
      java lang NoClassDefFoundError: com google android exoplayer2 extractor mp4    Lambda Mp4Extractor IP  bKEryH3151zsYMHu9R1OlAQ_x000D_
        at com google android exoplayer2 extractor mp4 Mp4Extractor processMoovAtom(Mp4Extractor java:418)_x000D_
        at com google android exoplayer2 extractor mp4 Mp4Extractor processAtomEnded(Mp4Extractor java:381)_x000D_
        at com google android exoplayer2 extractor mp4 Mp4Extractor readAtomPayload(Mp4Extractor java:372)_x000D_
        at com google android exoplayer2 extractor mp4 Mp4Extractor read(Mp4Extractor java:195)_x000D_
        at com google android exoplayer2 source BundledExtractorsAdapter read(BundledExtractorsAdapter java:127)_x000D_
        at com google android exoplayer2 source ProgressiveMediaPeriod ExtractingLoadable load(ProgressiveMediaPeriod java:1046)_x000D_
        at com google android exoplayer2 upstream Loader LoadTask run(Loader java:415)_x000D_
        at java util concurrent ThreadPoolExecutor runWorker(ThreadPoolExecutor java:1113)_x000D_
        at java util concurrent ThreadPoolExecutor Worker run(ThreadPoolExecutor java:588)_x000D_
        at java lang Thread run(Thread java:818) _x000D_
     REQUIRED  Version of ExoPlayer being used_x000D_
version: 2 12 1_x000D_
_x000D_
     REQUIRED  Device(s) and version(s) of Android being used_x000D_
Android 5 X  Android 6 X devices_x000D_
</t>
  </si>
  <si>
    <t>patzly-grocy-android-224</t>
  </si>
  <si>
    <t>Failed to edit product</t>
  </si>
  <si>
    <t xml:space="preserve">  App version  : 1 9 0_x000D_
_x000D_
On the application  when I go to basic data  products  I select a product and click on modify  the application crashes _x000D_
Here are the logs :_x000D_
   _x000D_
         beginning of system_x000D_
          beginning of crash_x000D_
11 07 19:26:13 036 25738 25738 E AndroidRuntime: FATAL EXCEPTION: main_x000D_
11 07 19:26:13 036 25738 25738 E AndroidRuntime: Process: xyz zedler patrick grocy  PID: 25738_x000D_
11 07 19:26:13 036 25738 25738 E AndroidRuntime: java lang NumberFormatException: For input string:   _x000D_
11 07 19:26:13 036 25738 25738 E AndroidRuntime: 	at java lang Integer parseInt(Integer java:627)_x000D_
11 07 19:26:13 036 25738 25738 E AndroidRuntime: 	at java lang Integer parseInt(Integer java:650)_x000D_
11 07 19:26:13 036 25738 25738 E AndroidRuntime: 	at d a a a h h8 g2(SourceFile:7)_x000D_
11 07 19:26:13 036 25738 25738 E AndroidRuntime: 	at d a a a h h8 u1(Unknown Source:0)_x000D_
11 07 19:26:13 036 25738 25738 E AndroidRuntime: 	at d a a a h L1 a(Unknown Source:2)_x000D_
11 07 19:26:13 036 25738 25738 E AndroidRuntime: 	at d a a a i T u d(SourceFile:3)_x000D_
11 07 19:26:13 036 25738 25738 E AndroidRuntime: 	at d a a a i C a(Unknown Source:2)_x000D_
11 07 19:26:13 036 25738 25738 E AndroidRuntime: 	at d a a a i b0 b(SourceFile:5)_x000D_
11 07 19:26:13 036 25738 25738 E AndroidRuntime: 	at d a a a i r a(Unknown Source:6)_x000D_
11 07 19:26:13 036 25738 25738 E AndroidRuntime: 	at d a a a i M a(Unknown Source:4)_x000D_
11 07 19:26:13 036 25738 25738 E AndroidRuntime: 	at b a b w k e(SourceFile:5)_x000D_
11 07 19:26:13 036 25738 25738 E AndroidRuntime: 	at b a b g b run(SourceFile:5)_x000D_
11 07 19:26:13 036 25738 25738 E AndroidRuntime: 	at android os Handler handleCallback(Handler java:883)_x000D_
11 07 19:26:13 036 25738 25738 E AndroidRuntime: 	at android os Handler dispatchMessage(Handler java:100)_x000D_
11 07 19:26:13 036 25738 25738 E AndroidRuntime: 	at android os Looper loop(Looper java:214)_x000D_
11 07 19:26:13 036 25738 25738 E AndroidRuntime: 	at android app ActivityThread main(ActivityThread java:7697)_x000D_
11 07 19:26:13 036 25738 25738 E AndroidRuntime: 	at java lang reflect Method invoke(Native Method)_x000D_
11 07 19:26:13 036 25738 25738 E AndroidRuntime: 	at com android internal os RuntimeInit MethodAndArgsCaller run(RuntimeInit java:516)_x000D_
11 07 19:26:13 036 25738 25738 E AndroidRuntime: 	at com android internal os ZygoteInit main(ZygoteInit java:950)_x000D_
   _x000D_
</t>
  </si>
  <si>
    <t>TeamNewPipe-NewPipe-4832</t>
  </si>
  <si>
    <t>11Oxygen</t>
  </si>
  <si>
    <t xml:space="preserve">   Exception_x000D_
    User Action:   ui error_x000D_
    Request:   App crash  UI failure_x000D_
    Content Country:   RU_x000D_
    Content Language:   ru_x000D_
    App Language:   ru_x000D_
    Service:   none_x000D_
    Version:   0 9 4_x000D_
    OS:   Linux Android 11   30_x000D_
 details  summary  b Crash log   b   summary  p _x000D_
_x000D_
   _x000D_
java lang ArrayIndexOutOfBoundsException: length 4  index 4_x000D_
	at androidx preference ListPreference getEntry(ListPreference java:213)_x000D_
	at androidx preference ListPreference getSummary(ListPreference java:164)_x000D_
	at androidx preference Preference onBindViewHolder(Preference java:510)_x000D_
	at androidx preference PreferenceGroupAdapter onBindViewHolder(PreferenceGroupAdapter java:418)_x000D_
	at androidx preference PreferenceGroupAdapter onBindViewHolder(PreferenceGroupAdapter java:47)_x000D_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java:938)_x000D_
	at android os Handler dispatchMessage(Handler java:99)_x000D_
	at android os Looper loop(Looper java:245)_x000D_
	at android app ActivityThread main(ActivityThread java:7953)_x000D_
	at java lang reflect Method invoke(Native Method)_x000D_
	at com android internal os RuntimeInit MethodAndArgsCaller run(RuntimeInit java:631)_x000D_
	at com android internal os ZygoteInit main(ZygoteInit java:971)_x000D_
_x000D_
   _x000D_
  details _x000D_
 hr </t>
  </si>
  <si>
    <t>Anuken-Mindustry-3285</t>
  </si>
  <si>
    <t>Game crashes on launch, fails to create the crash log.</t>
  </si>
  <si>
    <t xml:space="preserve">  Platform  : Linux_x000D_
_x000D_
  Build  : 11107_x000D_
_x000D_
  Issue  : When I attempt to launch the game  it fails before it can do anything with graphics _x000D_
_x000D_
  Steps to reproduce  : 1)  java  jar client be 11107 jar _x000D_
2) It crashes  and fails to create a crash log  _x000D_
_x000D_
  Link(s) to mod(s) used  : None_x000D_
_x000D_
  Game Output  :_x000D_
   _x000D_
 I  Initialized Discord rich presence _x000D_
arc util ArcRuntimeException: Couldn t load shared library  libarc64 so  for target: Linux  64 bit_x000D_
        at arc util SharedLibraryLoader load(SharedLibraryLoader java:85)_x000D_
        at arc util ArcNativesLoader load(ArcNativesLoader java:15)_x000D_
        at arc backend sdl SdlApplication init(SdlApplication java:77)_x000D_
        at arc backend sdl SdlApplication  init (SdlApplication java:29)_x000D_
        at mindustry desktop DesktopLauncher main(DesktopLauncher java:36)_x000D_
Caused by: arc util ArcRuntimeException: java lang UnsatisfiedLinkError:  tmp arc 4f109bb7 libarc64 so:  lib x86 64 linux gnu libm so 6: version  GLIBC 2 29  not found (required by  tmp arc 4f109bb7 libarc64 so)_x000D_
        at arc util SharedLibraryLoader loadFile(SharedLibraryLoader java:288)_x000D_
        at arc util SharedLibraryLoader load(SharedLibraryLoader java:81)_x000D_
            4 more_x000D_
Caused by: java lang UnsatisfiedLinkError:  tmp arc 4f109bb7 libarc64 so:  lib x86 64 linux gnu libm so 6: version  GLIBC 2 29  not found (required by  tmp arc 4f109bb7 libarc64 so)_x000D_
        at java base java lang ClassLoader NativeLibrary load0(Native Method)_x000D_
        at java base java lang ClassLoader NativeLibrary load(ClassLoader java:2442)_x000D_
        at java base java lang ClassLoader NativeLibrary loadLibrary(ClassLoader java:2498)_x000D_
        at java base java lang ClassLoader loadLibrary0(ClassLoader java:2694)_x000D_
        at java base java lang ClassLoader loadLibrary(ClassLoader java:2627)_x000D_
        at java base java lang Runtime load0(Runtime java:768)_x000D_
        at java base java lang System load(System java:1837)_x000D_
        at arc util SharedLibraryLoader loadFile(SharedLibraryLoader java:294)_x000D_
        at arc util SharedLibraryLoader loadFile(SharedLibraryLoader java:260)_x000D_
            5 more_x000D_
 E  Failed to save local crash report : java lang NullPointerException_x000D_
        at mindustry net CrashSender createReport(CrashSender java:29)_x000D_
        at mindustry net CrashSender send(CrashSender java:87)_x000D_
        at mindustry desktop DesktopLauncher handleCrash(DesktopLauncher java:185)_x000D_
        at mindustry desktop DesktopLauncher main(DesktopLauncher java:45)_x000D_
_x000D_
 I  Sending crash report _x000D_
java net ConnectException: Connection refused (Connection refused)_x000D_
        at java base java net PlainSocketImpl socketConnect(Native Method)_x000D_
        at java base java net AbstractPlainSocketImpl doConnect(AbstractPlainSocketImpl java:399)_x000D_
        at java base java net AbstractPlainSocketImpl connectToAddress(AbstractPlainSocketImpl java:242)_x000D_
        at java base java net AbstractPlainSocketImpl connect(AbstractPlainSocketImpl java:224)_x000D_
        at java base java net Socket connect(Socket java:609)_x000D_
        at java base sun net NetworkClient doConnect(NetworkClient java:177)_x000D_
        at java base sun net www http HttpClient openServer(HttpClient java:474)_x000D_
        at java base sun net www http HttpClient openServer(HttpClient java:569)_x000D_
        at java base sun net www http HttpClient  init (HttpClient java:242)_x000D_
        at java base sun net www http HttpClient New(HttpClient java:341)_x000D_
        at java base sun net www http HttpClient New(HttpClient java:362)_x000D_
        at java base sun net www protocol http HttpURLConnection getNewHttpClient(HttpURLConnection java:1253)_x000D_
        at java base sun net www protocol http HttpURLConnection plainConnect0(HttpURLConnection java:1187)_x000D_
        at java base sun net www protocol http HttpURLConnection plainConnect(HttpURLConnection java:1081)_x000D_
        at java base sun net www protocol http HttpURLConnection connect(HttpURLConnection java:1015)_x000D_
        at java base sun net www protocol http HttpURLConnection getOutputStream0(HttpURLConnection java:1367)_x000D_
        at java base sun net www protocol http HttpURLConnection getOutputStream(HttpURLConnection java:1342)_x000D_
        at arc util NetJavaImpl lambda http 0(NetJavaImpl java:67)_x000D_
        at arc util async AsyncExecutor lambda submit 2(AsyncExecutor java:31)_x000D_
        at java base java util concurrent FutureTask run(FutureTask java:264)_x000D_
        at java base java util concurrent ThreadPoolExecutor runWorker(ThreadPoolExecutor java:1128)_x000D_
        at java base java util concurrent ThreadPoolExecutor Worker run(ThreadPoolExecutor java:628)_x000D_
        at java base java lang Thread run(Thread java:834)_x000D_
    _x000D_
   Note  : Yes  It does look like missing libs on my part  but trust me  I updated everything on my pc and still got the same error _x000D_
_x000D_
 Place an X (no spaces) between the brackets to confirm that you have read the line below    _x000D_
   X    I have searched the closed and open issues to make sure that this problem has not already been reported   </t>
  </si>
  <si>
    <t>TeamNewPipe-NewPipe-4831</t>
  </si>
  <si>
    <t>Couldnt Analyze Website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</si>
  <si>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Open the app  search for a video_x000D_
2  Press on        the video  it starts loading then error that newpipe couldnt parse website_x000D_
3  Swipe down to        then reported the bug_x000D_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after clicking on the video  it starts loading  comments dont show up and then it crashes with the error message that it couldnt parse the website_x000D_
_x000D_
_x000D_
    Expected behavior_x000D_
     Tell us what you expect to happen     _x000D_
_x000D_
normally it should just play the video and load the comments_x000D_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20201107 124253 NewPipe (https:  user images githubusercontent com 71037199 98440097 da36cc00 20f6 11eb 8a80 ef4685603f6a jpg)_x000D_
  Screenshot 20201107 124247 NewPipe (https:  user images githubusercontent com 71037199 98440098 dacf6280 20f6 11eb 86d4 70730118f97a jpg)_x000D_
  Screenshot 20201107 124411 NewPipe (https:  user images githubusercontent com 71037199 98440112 fcc8e500 20f6 11eb 89b4 1405b5e17ac5 jpg)_x000D_
  Screenshot 20201107 124409 NewPipe (https:  user images githubusercontent com 71037199 98440115 fdfa1200 20f6 11eb 8971 5b398a769bc8 jpg)_x000D_
_x000D_
_x000D_
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watch v 7i8ARjIeM2k_x000D_
    Content Country:   US_x000D_
    Content Language:   en_x000D_
    App Language:   de DE_x000D_
    Service:   YouTube_x000D_
    Version:   0 20 1_x000D_
    OS:   Linux samsung dreamltexx dreamlte:9 PPR1 180610 011 G950FXXU9DTF1:user release keys 9   28_x000D_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_x000D_
_x000D_
_x000D_
     Please fill this out when you do not provide a log generate by NewPipe    _x000D_
_x000D_
    Device info_x000D_
_x000D_
   Android version Custom ROM version:_x000D_
   Device model:_x000D_
</t>
  </si>
  <si>
    <t>nextcloud-android-7253</t>
  </si>
  <si>
    <t>PDF downlowd error</t>
  </si>
  <si>
    <t xml:space="preserve">    Steps to reproduce_x000D_
1  Click on a pdf_x000D_
2  On some files the Error occoures_x000D_
3  _x000D_
_x000D_
    Expected behaviour_x000D_
  PDF should open _x000D_
_x000D_
    Actual behaviour_x000D_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CAUSE OF ERROR             _x000D_
_x000D_
java lang NullPointerException: Attempt to invoke virtual method  void androidx swiperefreshlayout widget SwipeRefreshLayout setVisibility(int)  on a null object reference_x000D_
	at com owncloud android ui fragment FileDetailActivitiesFragment populateList(FileDetailActivitiesFragment java:415)_x000D_
	at com owncloud android ui fragment FileDetailActivitiesFragment lambda null 3 FileDetailActivitiesFragment(FileDetailActivitiesFragment java:370)_x000D_
	at com owncloud android ui fragment    Lambda FileDetailActivitiesFragment ZzLUj33qKg0e1Ki8Vd5bki8I6B4 run(Unknown Source:6)_x000D_
	at android os Handler handleCallback(Handler java:883)_x000D_
	at android os Handler dispatchMessage(Handler java:100)_x000D_
	at android os Looper loop(Looper java:214)_x000D_
	at android app ActivityThread main(ActivityThread java:7710)_x000D_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30140051_x000D_
Build flavor: gplay_x000D_
_x000D_
             DEVICE INFORMATION             _x000D_
Brand: OnePlus_x000D_
Device: OnePlus7T_x000D_
Model: HD1903_x000D_
Id: QKQ1 190716 003_x000D_
Product: OnePlus7T EEA_x000D_
_x000D_
             FIRMWARE             _x000D_
SDK: 29_x000D_
Release: 10_x000D_
Incremental: 2010111725_x000D_
</t>
  </si>
  <si>
    <t>onaio-rdt-standard-614</t>
  </si>
  <si>
    <t>Crash after scanning - Bahasa Apps V1.7 (Built on Nov 7)</t>
  </si>
  <si>
    <t xml:space="preserve">My apps running on Samsung A50s keeps stopping after successfully scanned it _x000D_
_x000D_
Hamburger menu   Delivery Preparation   Scan barcode sample   Status: Ok and will be like this  When I tried the same on the patient form  the crash doesn t happen _x000D_
_x000D_
  WhatsApp Image 2020 11 07 at 10 56 57 AM (1) (https:  user images githubusercontent com 73918009 98433247 e5d6c280 20f7 11eb 8955 9fb0b47129ee jpeg)_x000D_
</t>
  </si>
  <si>
    <t>Anuken-Mindustry-3283</t>
  </si>
  <si>
    <t>Oh No</t>
  </si>
  <si>
    <t xml:space="preserve">  Platform  :  Android iOS Mac Windows Linux  windows 10 64 bit_x000D_
_x000D_
  Build  :  The build number under the title in the main menu  Required   LATEST  IS NOT A VERSION  I NEED THE EXACT BUILD NUMBER OF YOUR GAME   beta 112_x000D_
_x000D_
  Issue  :  Explain your issue in detail  _x000D_
crash on launch_x000D_
_x000D_
  Steps to reproduce  :  How you happened across the issue  and what exactly you did to make the bug happen  _x000D_
1  launch game_x000D_
2  oh no_x000D_
_x000D_
  Link(s) to mod(s) used  :  The mod repositories or zip files that are related to the issue  if applicable  _x000D_
crash log has a list_x000D_
_x000D_
  Crash report  :  The contents of relevant crash report files  REQUIRED if you are reporting a crash  _x000D_
_x000D_
 crash report 11 06 2020 20 37 14 txt (https:  github com Anuken Mindustry files 5504120 crash report 11 06 2020 20 37 14 txt)_x000D_
_x000D_
   _x000D_
_x000D_
 Place an X (no spaces) between the brackets to confirm that you have read the line below    _x000D_
   X    I have searched the closed and open issues to make sure that this problem has not already been reported   _x000D_
</t>
  </si>
  <si>
    <t>TeamNewPipe-NewPipe-4830</t>
  </si>
  <si>
    <t>crash (possibly on playlist scroll)</t>
  </si>
  <si>
    <t xml:space="preserve">I don t know how to reproduce this  _x000D_
_x000D_
   Exception_x000D_
    User Action:   ui error_x000D_
    Request:   App crash  UI failure_x000D_
    Content Country:   GB_x000D_
    Content Language:   en_x000D_
    App Language:   en US_x000D_
    Service:   none_x000D_
    Version:   0 20 2_x000D_
    OS:   Linux Android 10   29_x000D_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details _x000D_
 hr </t>
  </si>
  <si>
    <t>TeamNewPipe-NewPipe-4829</t>
  </si>
  <si>
    <t xml:space="preserve">Error al leer la página web </t>
  </si>
  <si>
    <t>TeamNewPipe-NewPipe-legacy-53</t>
  </si>
  <si>
    <t>nextcloud-android-7248</t>
  </si>
  <si>
    <t>More gracefully handle full device condition</t>
  </si>
  <si>
    <t xml:space="preserve">    Steps to reproduce_x000D_
1  Fill a phone with crap_x000D_
2  Use Nextcloud_x000D_
3  _x000D_
_x000D_
    Expected behaviour_x000D_
  generate a nice error message and not crash_x000D_
_x000D_
    Actual behaviour_x000D_
  See below  which was offered at crash time:_x000D_
   _x000D_
             CAUSE OF ERROR             _x000D_
_x000D_
java lang RuntimeException: Unable to create application com owncloud android MainApp: android database sqlite SQLiteDiskIOException: disk I O error (code 4874 SQLITE IOERR SHMSIZE)_x000D_
at android app ActivityThread handleBindApplication(ActivityThread java:6145)_x000D_
at android app ActivityThread access 1200(ActivityThread java:213)_x000D_
at android app ActivityThread H handleMessage(ActivityThread java:1816)_x000D_
at android os Handler dispatchMessage(Handler java:106)_x000D_
at android os Looper loop(Looper java:215)_x000D_
at android app ActivityThread main(ActivityThread java:6952)_x000D_
at java lang reflect Method invoke(Native Method)_x000D_
at com android internal os RuntimeInit MethodAndArgsCaller run(RuntimeInit java:493)_x000D_
at com android internal os ZygoteInit main(ZygoteInit java:870)_x000D_
Caused by: android database sqlite SQLiteDiskIOException: disk I O error (code 4874 SQLITE IOERR SHMSIZE)_x000D_
at android database sqlite SQLiteConnection nativeExecuteForLong(Native Method)_x000D_
at android database sqlite SQLiteConnection executeForLong(SQLiteConnection java:612)_x000D_
at android database sqlite SQLiteSession executeForLong(SQLiteSession java:652)_x000D_
at android database sqlite SQLiteStatement simpleQueryForLong(SQLiteStatement java:107)_x000D_
at android database DatabaseUtils longForQuery(DatabaseUtils java:842)_x000D_
at android database DatabaseUtils longForQuery(DatabaseUtils java:830)_x000D_
at android database sqlite SQLiteDatabase getVersion(SQLiteDatabase java:956)_x000D_
at android database sqlite SQLiteOpenHelper getDatabaseLocked(SQLiteOpenHelper java:371)_x000D_
at android database sqlite SQLiteOpenHelper getReadableDatabase(SQLiteOpenHelper java:322)_x000D_
at com owncloud android providers FileContentProvider query(FileContentProvider java:472)_x000D_
at android content ContentProvider query(ContentProvider java:1057)_x000D_
at android content ContentProvider query(ContentProvider java:1149)_x000D_
at android content ContentProvider Transport query(ContentProvider java:241)_x000D_
at android content ContentResolver query(ContentResolver java:802)_x000D_
at android content ContentResolver query(ContentResolver java:752)_x000D_
at android content ContentResolver query(ContentResolver java:710)_x000D_
at com owncloud android datamodel UploadsStorageManager getUploads(UploadsStorageManager java:289)_x000D_
at com owncloud android datamodel UploadsStorageManager getFailedUploads(UploadsStorageManager java:368)_x000D_
at com owncloud android utils FilesSyncHelper restartJobsIfNeeded(FilesSyncHelper java:201)_x000D_
at com owncloud android MainApp initSyncOperations(MainApp java:497)_x000D_
at com owncloud android MainApp onCreate(MainApp java:314)_x000D_
at android app Instrumentation callApplicationOnCreate(Instrumentation java:1176)_x000D_
at android app ActivityThread handleBindApplication(ActivityThread java:6140)_x000D_
    8 more_x000D_
_x000D_
             APP INFORMATION             _x000D_
ID: com nextcloud client_x000D_
Version: 30110090_x000D_
Build flavor: generic_x000D_
_x000D_
             DEVICE INFORMATION             _x000D_
Brand: motorola_x000D_
Device: surfna_x000D_
Model: moto e6_x000D_
Id: PCB29 73 109 6 3 6_x000D_
Product: surfna t_x000D_
_x000D_
             FIRMWARE             _x000D_
SDK: 28_x000D_
Release: 9_x000D_
Incremental: e3dff_x000D_
   _x000D_
_x000D_
_x000D_
    Environment data_x000D_
Android version: 9_x000D_
_x000D_
Device model: moto e6_x000D_
_x000D_
Stock or customized system: stock_x000D_
_x000D_
Nextcloud app version: 30110090_x000D_
_x000D_
Nextcloud server version: 18 0 10_x000D_
_x000D_
Reverse proxy:  _x000D_
_x000D_
    Logs_x000D_
     Web server error log_x000D_
   _x000D_
 n a _x000D_
   _x000D_
_x000D_
     Nextcloud log (data nextcloud log)_x000D_
   _x000D_
 n a _x000D_
   _x000D_
_x000D_
</t>
  </si>
  <si>
    <t>commons-app-apps-android-commons-4020</t>
  </si>
  <si>
    <t>Crash when switching from light to dark mode and vice versa</t>
  </si>
  <si>
    <t xml:space="preserve">  Summary:   _x000D_
_x000D_
App crashes when switching from light to dark mode_x000D_
_x000D_
  Steps to reproduce:   _x000D_
_x000D_
Settings   Dark Mode (or Light Mode if you are already in dark mode)_x000D_
_x000D_
  Device and Android version:   _x000D_
_x000D_
Samsung Galaxy S20FE  Android 10_x000D_
_x000D_
  Logs:  _x000D_
_x000D_
   _x000D_
STACK TRACE java lang IllegalArgumentException: Service not registered: fr free nrw commons contributions ContributionsFragment 1 1374e2b_x000D_
	at android app LoadedApk forgetServiceDispatcher(LoadedApk java:1870)_x000D_
	at android app ContextImpl unbindService(ContextImpl java:1848)_x000D_
	at android content ContextWrapper unbindService(ContextWrapper java:755)_x000D_
	at fr free nrw commons contributions ContributionsFragment onDestroy(ContributionsFragment java:477)_x000D_
	at androidx fragment app Fragment performDestroy(Fragment java:2927)_x000D_
	at androidx fragment app FragmentStateManager destroy(FragmentStateManager java:482)_x000D_
	at androidx fragment app FragmentManager moveToState(FragmentManager java:1294)_x000D_
	at androidx fragment app FragmentManager moveToState(FragmentManager java:1354)_x000D_
	at androidx fragment app FragmentManager moveFragmentToExpectedState(FragmentManager java:1432)_x000D_
	at androidx fragment app BackStackRecord executeOps(BackStackRecord java:442)_x000D_
	at androidx fragment app FragmentManager executeOps(FragmentManager java:2167)_x000D_
	at androidx fragment app FragmentManager executeOpsTogether(FragmentManager java:1990)_x000D_
	at androidx fragment app FragmentManager removeRedundantOperationsAndExecute(FragmentManager java:1945)_x000D_
	at androidx fragment app FragmentManager execPendingActions(FragmentManager java:1847)_x000D_
	at androidx fragment app FragmentManager dispatchStateChange(FragmentManager java:2621)_x000D_
	at androidx fragment app FragmentManager dispatchActivityCreated(FragmentManager java:2569)_x000D_
	at androidx fragment app FragmentController dispatchActivityCreated(FragmentController java:247)_x000D_
	at androidx fragment app FragmentActivity onStart(FragmentActivity java:541)_x000D_
	at androidx appcompat app AppCompatActivity onStart(AppCompatActivity java:201)_x000D_
	at android app Instrumentation callActivityOnStart(Instrumentation java:1433)_x000D_
	at android app Activity performStart(Activity java:7986)_x000D_
	at android app ActivityThread handleStartActivity(ActivityThread java:3677)_x000D_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ClientTransactionHandler executeTransaction(ClientTransactionHandler java:62)_x000D_
	at android app ActivityThread handleRelaunchActivityLocally(ActivityThread java:5761)_x000D_
	at android app ActivityThread access 3700(ActivityThread java:274)_x000D_
	at android app ActivityThread H handleMessage(ActivityThread java:2277)_x000D_
	at android os Handler dispatchMessage(Handler java:107)_x000D_
	at android os Looper loop(Looper java:237)_x000D_
	at android app ActivityThread main(ActivityThread java:8167)_x000D_
	at java lang reflect Method invoke(Native Method)_x000D_
	at com android internal os RuntimeInit MethodAndArgsCaller run(RuntimeInit java:496)_x000D_
	at com android internal os ZygoteInit main(ZygoteInit java:1100)_x000D_
   _x000D_
 _x000D_
  Commons app version:   _x000D_
_x000D_
master_x000D_
_x000D_
_x000D_
</t>
  </si>
  <si>
    <t>TeamNewPipe-NewPipe-4818</t>
  </si>
  <si>
    <t>Age restricted videos can't be watched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</si>
  <si>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 age restricted video Example :https:  www youtube com watch v Baj7T3MvdpE _x000D_
2  Press on  nothing _x000D_
3  Swipe down to  nothing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Although viewing age restricted content is allowed in the settings  restricted videos won t start  Instead there is the notification  that the video is not available  _x000D_
_x000D_
_x000D_
    Expected behavior_x000D_
     Tell us what you expect to happen     _x000D_
Video should start like any other video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https:  s12 directupload net images 201106 qapf4d9s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   Evolution X 4 7_x000D_
   Device model: ONEPLUS 2 A2003_x000D_
</t>
  </si>
  <si>
    <t>AOF-Dev-MCinaBox-647</t>
  </si>
  <si>
    <t>Game crashed when clicking on the wrench button</t>
  </si>
  <si>
    <t xml:space="preserve">  Describe the crash  _x000D_
Im using version 0 1 4 P4 x64 version and when im in game and i click the wrench button my game will just crash_x000D_
_x000D_
  To Reproduce  _x000D_
Steps to reproduce the crash:_x000D_
1  Click start_x000D_
2  Click the wrench_x000D_
3  See the crash_x000D_
_x000D_
  Expected behavior  _x000D_
idk_x000D_
open it settings _x000D_
_x000D_
  Screenshots  _x000D_
no screenshot because my game will just crash lol_x000D_
_x000D_
  Smartphone (please complete the following information):  _x000D_
   Device: OPPO  F7_x000D_
   OS: Android 10_x000D_
   App Version v0 1 4 p4 x64_x000D_
_x000D_
  Additional context  _x000D_
Please help_x000D_
thanks</t>
  </si>
  <si>
    <t>Landry333-Big-Owl-138</t>
  </si>
  <si>
    <t>BUG-138: Monitoring group page can't query more than 10 users</t>
  </si>
  <si>
    <t xml:space="preserve">    Related Issue(s): _x000D_
 55_x000D_
_x000D_
    Relevant File(s):_x000D_
MonitoringGroupPageActivity java_x000D_
_x000D_
    Describe the bug:_x000D_
In MonitoringGroupPageActivity  our query uses the WhereIn function  thus can only return up to 10 entries  Our only executes this query once  so if the group has more than 10 entries  then the other entries won t show up  and the app crashes _x000D_
_x000D_
    To Reproduce:_x000D_
Steps to reproduce the behavior:_x000D_
1  Login into an account with 10 or more people in the account s group_x000D_
2  Click on the Monitoring Group button_x000D_
_x000D_
    Expected behavior_x000D_
A list of people should be displayed and the app shouldn t crash _x000D_
_x000D_
    Screenshots:_x000D_
  unknown (https:  user images githubusercontent com 23643192 105439218 71a9b680 5c32 11eb 9ea8 bbcdf63d36c6 png)_x000D_
_x000D_
https:  user images githubusercontent com 23643192 105439226 753d3d80 5c32 11eb 8674 c70dd32e3d45 mp4</t>
  </si>
  <si>
    <t>TeamNewPipe-NewPipe-4809</t>
  </si>
  <si>
    <t>can't load videos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</si>
  <si>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Reproduce bug _x000D_
_x000D_
Open up the app_x000D_
Press search_x000D_
Insert hyperlink and press enter_x000D_
Click on found video_x000D_
Error_x000D_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Exception_x000D_
    User Action:   requested stream_x000D_
    Request:   https:  www youtube com watch v cNU3zC Zl5s_x000D_
    Content Country:   HU_x000D_
    Content Language:   hu HU_x000D_
    App Language:   hu HU_x000D_
    Service:   YouTube_x000D_
    Version:   0 20 1_x000D_
    OS:   Linux Android 9   28_x000D_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9_x000D_
   Device model: oneplus 3 _x000D_
</t>
  </si>
  <si>
    <t>shrimalaya-Android-Seerem-Supervisor-App-16</t>
  </si>
  <si>
    <t>Not able to get RecyclerView to work on SiteInfoActivity</t>
  </si>
  <si>
    <t>Error is because of the Async tasks not finishing before calling displayData() _x000D_
_x000D_
Async tasks   onComplete() method in getAllData and getUserData()_x000D_
_x000D_
1  Launch the app    type  TEST1   in logcat _x000D_
(you will see that the data is being correctly filtered and fetched)_x000D_
_x000D_
2  However  when you try to populate the recyclerView  the app will crash (because the mDocs list is empty before the async tasks are finished)</t>
  </si>
  <si>
    <t>Anuken-Mindustry-3272</t>
  </si>
  <si>
    <t>Meltdowns can set EVERYTHING in front of them on fire</t>
  </si>
  <si>
    <t xml:space="preserve">  Platform  :  Android iOS Mac Windows Linux _x000D_
Most likely all of them _x000D_
  Build  :  The build number under the title in the main menu  Required   LATEST  IS NOT A VERSION  I NEED THE EXACT BUILD NUMBER OF YOUR GAME  _x000D_
Bleeding edge  Possibly works in build 112 _x000D_
  Issue  :  Explain your issue in detail  _x000D_
Meltdowns now have the ability to burn things in front of them  This applies to EVERYTHING  even cores _x000D_
This opens up worse griefing opportunities than exploding because waves aren t fast enough to stop it  Only tsunamis can stop the fire fast enough  and even then if low build times factor in  the core may be doomed _x000D_
  Steps to reproduce  :  How you happened across the issue  and what exactly you did to make the bug happen  _x000D_
1  Place meltdown by the core _x000D_
_x000D_
2  Give power  and water cryo _x000D_
_x000D_
3  Fire at the core  The core will set alight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I m not on the PC with mindustry  so I can t access a save of it _x000D_
  Crash report  :  The contents of relevant crash report files  REQUIRED if you are reporting a crash  _x000D_
none _x000D_
   _x000D_
_x000D_
 Place an X (no spaces) between the brackets to confirm that you have read the line below    _x000D_
   x    I have searched the closed and open issues to make sure that this problem has not already been reported   _x000D_
First of all  maybe this could be a thing IF the meltdown isn t cooled  So you can use them without coolant  but you would have to deal with fire </t>
  </si>
  <si>
    <t>hzi-braunschweig-SORMAS-Project-3399</t>
  </si>
  <si>
    <t xml:space="preserve">org.json.JSONObject Dependency injection Linkage error for Keycloak enabled environments </t>
  </si>
  <si>
    <t xml:space="preserve">    _x000D_
If you ve never submitted an issue to the SORMAS repository before or this is your first time using this template  please read the Contributing guidelines (accessible in the right sidebar) for an explanation about the information we d like you to provide _x000D_
   _x000D_
    Bug Description_x000D_
_x000D_
After the introduction of the  com jayway jsonpath  dependency causes the KeycloakService to crash when loading the  net minidev json  library because it tries to load org json JSONObject and results in a conflict _x000D_
_x000D_
   _x000D_
Caused by: java lang LinkageError: loader constraint violation: loader org glassfish javaee full deployment EarClassLoader  6bb6c608 wants to load class net minidev json JSONObject  A different class with the same name was previously loaded by org apache felix framework BundleWiringImpl BundleClassLoader_x000D_
   _x000D_
_x000D_
    Steps to Reproduce_x000D_
1  Start the latest 1 51 0 SNAPSHOT version in a dockerized environment with Keycloak enabled as a Authorization Provider_x000D_
2  Create a new user with the admin_x000D_
_x000D_
_x000D_
    Additional Information_x000D_
Suggested solution: _x000D_
Since KeycloakService is the only place where  net minidev json  is used  replace it with JSONPath since it also simplifies the code there </t>
  </si>
  <si>
    <t>Anuken-Mindustry-3270</t>
  </si>
  <si>
    <t>Game Crash</t>
  </si>
  <si>
    <t xml:space="preserve">  Platform  :  Windows 7 x32 _x000D_
_x000D_
  Build  :  beta 112 1 _x000D_
_x000D_
  Issue  :  Game crashed in loading screen  _x000D_
_x000D_
  Steps to reproduce  :  Game crashed in loading screen  _x000D_
_x000D_
  Link(s) to mod(s) used  :  None  _x000D_
_x000D_
  Save file  :   mindustry saveFIles zip (https:  github com Anuken Mindustry files 5492834 mindustry saveFIles zip) _x000D_
_x000D_
  Crash report  :   crash report 11 05 2020 14 18 42 txt (https:  github com Anuken Mindustry files 5492792 crash report 11 05 2020 14 18 42 txt)_x000D_
  _x000D_
_x000D_
   _x000D_
_x000D_
 Place an X (no spaces) between the brackets to confirm that you have read the line below    _x000D_
   X    I have searched the closed and open issues to make sure that this problem has not already been reported   _x000D_
</t>
  </si>
  <si>
    <t>Anuken-Mindustry-3264</t>
  </si>
  <si>
    <t>Power node connections dont get saved when launching</t>
  </si>
  <si>
    <t xml:space="preserve">  Platform  :  Android iOS Mac Windows Linux  windows 10 64 bit_x000D_
_x000D_
  Build  :  The build number under the title in the main menu  Required   LATEST  IS NOT A VERSION  I NEED THE EXACT BUILD NUMBER OF YOUR GAME   beta 112_x000D_
_x000D_
  Issue  :  Explain your issue in detail  _x000D_
when launching with certain core loadouts power nodes that are part of the loadout dont save all some of their connections_x000D_
_x000D_
  Steps to reproduce  :  How you happened across the issue  and what exactly you did to make the bug happen  _x000D_
1  launch with this schematic _x000D_
  image (https:  user images githubusercontent com 54417042 98122399 89b53980 1e7e 11eb 812b dc027b6820be png)_x000D_
2  observe some of the nodes fail to connect the same as they do in the preview image _x000D_
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https:  drive google com file d 1RcWkp9fB anM0vm 3GfFad6 XIx1HlXG view usp sharing_x000D_
(this is a game data file from  export game data )_x000D_
_x000D_
  Crash report  :  The contents of relevant crash report files  REQUIRED if you are reporting a crash  _x000D_
not a crash_x000D_
_x000D_
   _x000D_
_x000D_
 Place an X (no spaces) between the brackets to confirm that you have read the line below    _x000D_
   X    I have searched the closed and open issues to make sure that this problem has not already been reported   _x000D_
</t>
  </si>
  <si>
    <t>Anuken-Mindustry-3263</t>
  </si>
  <si>
    <t>Can launch with sandbox blocks</t>
  </si>
  <si>
    <t xml:space="preserve">  Platform  :  Android iOS Mac Windows Linux  windows 10 64 bit_x000D_
_x000D_
  Build  :  The build number under the title in the main menu  Required   LATEST  IS NOT A VERSION  I NEED THE EXACT BUILD NUMBER OF YOUR GAME   beta 112_x000D_
_x000D_
  Issue  :  Explain your issue in detail  _x000D_
launching a loadout that includes inf sources crashes the game but upon returning to the sector it will have the inf sources around your core _x000D_
_x000D_
  Steps to reproduce  :  How you happened across the issue  and what exactly you did to make the bug happen  _x000D_
1  have launch schem with inf sources_x000D_
2  attempt to launch with it_x000D_
3  game crash_x000D_
4  go back to where you attempted to launch to_x000D_
5  item sources now in your campaign map_x000D_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https:  drive google com file d 1RcWkp9fB anM0vm 3GfFad6 XIx1HlXG view usp sharing_x000D_
_x000D_
  Crash report  :  The contents of relevant crash report files  REQUIRED if you are reporting a crash  _x000D_
no crash report generated_x000D_
_x000D_
   _x000D_
_x000D_
 Place an X (no spaces) between the brackets to confirm that you have read the line below    _x000D_
   X    I have searched the closed and open issues to make sure that this problem has not already been reported   _x000D_
</t>
  </si>
  <si>
    <t>AOF-Dev-MCinaBox-636</t>
  </si>
  <si>
    <t>Kenapa setiap saya ingin menggunakan mods lebih dari 3 Minecraft nya tidak bisa di buka setiap ku buka selalu crash tolong di perbaiki ya developer</t>
  </si>
  <si>
    <t xml:space="preserve">  Describe the crash  _x000D_
A clear and concise description of what the bug is _x000D_
_x000D_
  To Reproduce  _x000D_
Steps to reproduce the crash:_x000D_
1  Go to      _x000D_
2  Click on       _x000D_
3  Scroll down to       _x000D_
4  See the crash_x000D_
_x000D_
  Expected behavior  _x000D_
A clear and concise description of what you expected to happen _x000D_
_x000D_
  Screenshots  _x000D_
If applicable  add screenshots to help explain your problem _x000D_
_x000D_
  Smartphone (please complete the following information):  _x000D_
   Device:  e g  Samsung Galaxy J6 _x000D_
   OS:  e g  Android 8 1 _x000D_
   App Version  e g  v0 1 3 _x000D_
_x000D_
  Additional context  _x000D_
Add any other context about the problem here _x000D_
</t>
  </si>
  <si>
    <t>tchapgouv-tchap-android-legacy-670</t>
  </si>
  <si>
    <t>Crash: on new favorite message</t>
  </si>
  <si>
    <t>La fonction message favoris (appui long favoris) fait planter l appli (red marrage)_x000D_
_x000D_
                                  crash call stack                                  _x000D_
Tchap Build : 72_x000D_
Tchap Version : 1 0 47 a (G 6af1bf8a4 2020 10 07 22:59:56  0200)_x000D_
SDK Version : 0 9 37 dev (3d3c42c5 2020 09 22 12:52:20  0200)_x000D_
Phone : SNE LX1 (10 0 0 245C432 10 REL)_x000D_
Memory statuses _x000D_
usedSize   9 MB_x000D_
freeSize   9 MB_x000D_
totalSize   19 MB_x000D_
Thread: main  Activity:im vector activity VectorRoomActivity  Exception: java lang NullPointerException: Attempt to invoke interface method  java lang Object java util Map get(java lang Object)  on a null object reference_x000D_
        at org matrix androidsdk data RoomAccountData eventContent(RoomAccountData java:189)_x000D_
        at org matrix androidsdk data Room tagEvent(Room java:2090)_x000D_
        at im vector fragments VectorMessageListFragment 15 run(VectorMessageListFragment java:791)_x000D_
        at android app Activity runOnUiThread(Activity java:7178)_x000D_
        at im vector fragments VectorMessageListFragment onEventAction(VectorMessageListFragment java:776)_x000D_
        at im vector adapters VectorMessagesAdapter 9 onMenuItemClick(VectorMessagesAdapter java:2714)_x000D_
        at android widget PopupMenu 1 onMenuItemSelected(PopupMenu java:108)_x000D_
        at com android internal view menu MenuBuilder dispatchMenuItemSelected(MenuBuilder java:787)_x000D_
        at com android internal view menu MenuItemImpl invoke(MenuItemImpl java:164)_x000D_
        at com android internal view menu MenuBuilder performItemAction(MenuBuilder java:934)_x000D_
        at com android internal view menu MenuBuilder performItemAction(MenuBuilder java:924)_x000D_
        at com android internal view menu MenuPopup onItemClick(MenuPopup java:129)_x000D_
        at android widget AdapterView performItemClick(AdapterView java:330)_x000D_
        at android widget AbsListView performItemClick(AbsListView java:1259)_x000D_
        at android widget AbsListView PerformClick run(AbsListView java:3306)_x000D_
        at android widget AbsListView 3 run(AbsListView java:4296)_x000D_
        at android os Handler handleCallback(Handler java:888)_x000D_
        at android os Handler dispatchMessage(Handler java:100)_x000D_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t>
  </si>
  <si>
    <t>tchapgouv-tchap-android-legacy-669</t>
  </si>
  <si>
    <t>Crash: Activity:im.vector.activity.VectorHomeActivity, Exception: java.lang.NullPointerException (java.util.Map.put)</t>
  </si>
  <si>
    <t xml:space="preserve">                                  crash call stack                                  _x000D_
Tchap Build : 72_x000D_
Tchap Version : 1 0 47 a (G 6af1bf8a4 2020 10 07 22:59:56  0200)_x000D_
SDK Version : 0 9 37 dev (3d3c42c5 2020 09 22 12:52:20  0200)_x000D_
Phone : ONEPLUS A6013 (2010042216 10 REL)_x000D_
Memory statuses _x000D_
usedSize   11 MB_x000D_
freeSize   8 MB_x000D_
totalSize   20 MB_x000D_
Thread: MXDataHandler redacted :agent tchap gouv fr  Activity:im vector activity VectorHomeActivity  Exception: java lang NullPointerException: Attempt to invoke interface method  java lang Object java util Map put(java lang Object  java lang Object)  on a null object reference_x000D_
        at org matrix androidsdk data RoomAccountData handleEvent(RoomAccountData java:84)_x000D_
        at org matrix androidsdk data Room handleRoomAccountDataEvents(Room java:1959)_x000D_
        at org matrix androidsdk data Room handleJoinedRoomSync(Room java:338)_x000D_
        at org matrix androidsdk MXDataHandler manageResponse(MXDataHandler java:1455)_x000D_
        at org matrix androidsdk MXDataHandler access 000(MXDataHandler java:102)_x000D_
        at org matrix androidsdk MXDataHandler 7 run(MXDataHandler java:1209)_x000D_
        at android os Handler handleCallback(Handler java:883)_x000D_
        at android os Handler dispatchMessage(Handler java:100)_x000D_
        at android os Looper loop(Looper java:214)_x000D_
        at android os HandlerThread run(HandlerThread java:67)</t>
  </si>
  <si>
    <t>tchapgouv-tchap-android-legacy-668</t>
  </si>
  <si>
    <t>Crash: Activity:im.vector.activity.VectorHomeActivity, Exception: java.lang.NullPointerException</t>
  </si>
  <si>
    <t>Tchap crashed when the user sent a message_x000D_
_x000D_
                                  crash call stack                                  _x000D_
Tchap Build : 68_x000D_
Tchap Version : 1 0 44 a (F 2fa40458e 2020 06 25 20:19:18  0200)_x000D_
SDK Version : 0 9 36 dev (2fa40458e 2020 06 25 20:19:18  0200)_x000D_
Phone : Xperia X (AOSP) (eng 24082020 20200930 165215 6 0 1 REL)_x000D_
Memory statuses _x000D_
usedSize   100 MB_x000D_
freeSize   2 MB_x000D_
totalSize   102 MB_x000D_
Thread: main  Activity:im vector activity VectorHomeActivity  Exception: java lang NullPointerException: Attempt to invoke virtual method  void im vector view NotificationAreaView render(im vector view NotificationAreaView State)  on a null object reference_x000D_
        at im vector activity VectorRoomActivity refreshNotificationsArea(VectorRoomActivity java:2708)_x000D_
        at im vector activity VectorRoomActivity access 000(VectorRoomActivity java:142)_x000D_
        at im vector activity VectorRoomActivity 17 onSendAnyway(VectorRoomActivity java:1396)_x000D_
        at im vector activity CommonActivityUtils 17 onDone(CommonActivityUtils java:1393)_x000D_
        at im vector activity CommonActivityUtils 17 onSuccess(CommonActivityUtils java:1399)_x000D_
        at im vector activity CommonActivityUtils 17 onSuccess(CommonActivityUtils java:1389)_x000D_
        at org matrix androidsdk crypto internal MXCryptoImpl 9 1 run(MXCryptoImpl java:866)_x000D_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java:722)_x000D_
        at com android internal os ZygoteInit main(ZygoteInit java:612)</t>
  </si>
  <si>
    <t>tchapgouv-tchap-android-legacy-667</t>
  </si>
  <si>
    <t>Crash: Activity:im.vector.activity.VectorRoomActivity, Exception: java.lang.IllegalStateException:</t>
  </si>
  <si>
    <t xml:space="preserve">                                  crash call stack                                  _x000D_
Tchap Build : 72_x000D_
Tchap Version : 1 0 47 a (G 6af1bf8a4 2020 10 07 22:59:56  0200)_x000D_
SDK Version : 0 9 37 dev (3d3c42c5 2020 09 22 12:52:20  0200)_x000D_
Phone : SM J600FN (J600FNXXS9CTI2 10 REL)_x000D_
Memory statuses _x000D_
usedSize   14 MB_x000D_
freeSize   0 MB_x000D_
totalSize   15 MB_x000D_
Thread: main  Activity:im vector activity VectorRoomActivity  Exception: java lang IllegalStateException: Activity top position already set to onTop true_x000D_
        at android app ActivityThread handleTopResumedActivityChanged(ActivityThread java:4730)_x000D_
        at android app servertransaction TopResumedActivityChangeItem execute(TopResumedActivityChangeItem java:39)_x000D_
        at android app servertransaction TransactionExecutor executeCallbacks(TransactionExecutor java:135)_x000D_
        at android app servertransaction TransactionExecutor execute(TransactionExecutor java:95)_x000D_
        at android app ActivityThread H handleMessage(ActivityThread java:2216)_x000D_
        at android os Handler dispatchMessage(Handler java:107)_x000D_
        at android os Looper loop(Looper java:237)_x000D_
        at android app ActivityThread main(ActivityThread java:7948)_x000D_
        at java lang reflect Method invoke(Native Method)_x000D_
        at com android internal os RuntimeInit MethodAndArgsCaller run(RuntimeInit java:493)_x000D_
        at com android internal os ZygoteInit main(ZygoteInit java:1075)</t>
  </si>
  <si>
    <t>TeamNewPipe-NewPipe-4797</t>
  </si>
  <si>
    <t>Showing guru meditation</t>
  </si>
  <si>
    <t>k9mail-k-9-5041</t>
  </si>
  <si>
    <t>Crash when opening any message from a one particular sender</t>
  </si>
  <si>
    <t xml:space="preserve">Whenever I open a message from Discover (the credit card company)  K9 immediately crashes with the  K 9 mail has stopped  message  This just started happening  it was working fine a couple weeks ago  All messages from other senders open correctly  I ve attached a log from the time between launching K9 and right after the crash  and one of the messages that cause this to happen  Thanks for your help _x000D_
_x000D_
  Expected behavior_x000D_
_x000D_
The message displays normally _x000D_
_x000D_
  Actual behavior_x000D_
_x000D_
K9 crashes immediately everytime a message from this sender is opened _x000D_
_x000D_
  Environment_x000D_
_x000D_
Device:  Samsung Galaxy Tab S 8 4 (SM T700)_x000D_
Android version:  7 1 2_x000D_
K9 version name:  5 600_x000D_
K9 version code:  26000 _x000D_
Account type:  IMAP_x000D_
_x000D_
 k9 log (https:  github com k9mail k 9 files 5485804 k9 log)_x000D_
 message zip (https:  github com k9mail k 9 files 5485807 message zip)_x000D_
</t>
  </si>
  <si>
    <t>KnightShade07-TIcTacToe-13</t>
  </si>
  <si>
    <t>Issue#8-CrashOnStartup</t>
  </si>
  <si>
    <t>The TicTacToe game crashes on startup because my code is looking for buttons that are named btn 1  btn 2  etc  when my button names are  squareOne  SquareTwo  etc  Change the button names back to their original names  and the issue should resolve itself</t>
  </si>
  <si>
    <t>onaio-rdt-standard-606</t>
  </si>
  <si>
    <t>Crash - After OneScan barcode scan</t>
  </si>
  <si>
    <t xml:space="preserve">My app crashed twice after reading the temperature sensor on the RDT (both triggered and not triggered) on the test model Samsung J7 using the most up to date OneScan and Covid App freshly installed _x000D_
_x000D_
This was replicated twice _x000D_
_x000D_
Covid patient 2    RDT    Scan Barcode    Scanned Alltest barcode  Status showed okay (Continue)    Displayed message says  RDT Open Reader has stopped  </t>
  </si>
  <si>
    <t>nextcloud-android-7225</t>
  </si>
  <si>
    <t>No login possible.</t>
  </si>
  <si>
    <t xml:space="preserve">    Steps to reproduce_x000D_
No matter how you try to log in  all possibilities fail _x000D_
Normal password_x000D_
App Token_x000D_
QR Code_x000D_
_x000D_
    Expected behaviour_x000D_
I would really appreciate it if the app did what it should _x000D_
_x000D_
    Actual behaviour_x000D_
The app shoots itself in the head  (crash after login attempt)_x000D_
_x000D_
    Can you reproduce this problem on https:  try nextcloud com _x000D_
It says Server not found _x000D_
_x000D_
    Environment data_x000D_
Android version: 8 1 0_x000D_
_x000D_
Device model: OnePlus 5_x000D_
_x000D_
Stock or customized system: Custom AOKP_x000D_
_x000D_
Nextcloud app version: _x000D_
I tried the following: 3 14 0 RC1   3 13 1 from F Droid and gplay release 30140051_x000D_
_x000D_
Nextcloud server version: 20 0 1_x000D_
_x000D_
    Logs_x000D_
_x000D_
     Nextcloud log (data nextcloud log)_x000D_
   _x000D_
  reqId : XXXXXXXXXXX   level :3  time : 2020 11 03T21:59:12 00:00   remoteAddr : XXXXXX   user : XXXXXXX   app : PHP   method : GET   url :  index php settings user   message :  Exception : Error   Message : Undefined offset: 3 at  homepages 20 d757790702 htdocs NextCloud lib private legacy OC Helper php 548   Code :0  Trace :   file :  homepages 20 XXXXXXX2 htdocs NextCloud lib private legacy OC Helper php   line :548  function : onError   class : OC  Log  ErrorHandler   type : ::   args : 8  Undefined offset: 3    homepages 20 XXXXXXXXX2 htdocs NextCloud lib private legacy OC Helper php  548   path :     rootInfo :    class   : OC  Files  FileInfo    includeExtStorage :false  used :16608273  quota :5368709120  mount :    class   : OC  Files  Mount  MountPoint    storage :  cache :null  scanner :    class   : OC  Files  Cache  Scanner    watcher :null  propagator :null  updater :null    class   : OCA  Files Trashbin  Storage    sourceStorage :  cache :null  scanner :    class   : OC  Files  Cache  Scanner    watcher :null  propagator :null  updater :null    class   : OCA  Files Trashbin  Storage    free :5352100847  total :5368709120  relative :0 31  ownerId : XXXXXXXXX   ownerDisplayName : XXXXXXXXX   owner :    class   : OC  User  User        file :  homepages 20 XXXXXXXXXXX2 htdocs NextCloud apps settings lib Settings Personal PersonalInfo php   line :108  function : getStorageInfo   class : OC Helper   type : ::   args :         file :  homepages 20 XXXXXXXXXXXXXXX htdocs NextCloud apps settings lib Controller CommonSettingsTrait php   line :141  function : getForm   class : OCA  Settings  Settings  Personal  PersonalInfo   type :      args :      file :  homepages 20 XXXXXXX htdocs NextCloud apps settings lib Controller PersonalSettingsController php   line :77  function : formatSettings   class : OCA  Settings  Controller  PersonalSettingsController   type :      args :   10 :     class   : OCA  Settings  Settings  Personal  PersonalInfo     1000 :     class   : OCA  Settings  Settings  Personal  ServerDevNotice         file :  homepages 20 XXXXXXXXX2 htdocs NextCloud apps settings lib Controller CommonSettingsTrait php   line :152  function : getSettings   class : OCA  Settings  Controller  PersonalSettingsController   type :      args :  personal info      file :  homepages 20 XXXXXXXXXXX htdocs NextCloud apps settings lib Controller PersonalSettingsController php   line :68  function : getIndexResponse   class : OCA  Settings  Controller  PersonalSettingsController   type :      args :  personal   personal info      file :  homepages 20 XXXXXXXXXXXX2 htdocs NextCloud lib private AppFramework Http Dispatcher php   line :169  function : index   class : OCA  Settings  Controller  PersonalSettingsController   type :      args :  personal info      file :  homepages 20 XXXXXXXXXX2 htdocs NextCloud lib private AppFramework Http Dispatcher php   line :100  function : executeController   class : OC  AppFramework  Http  Dispatcher   type :      args :     class   : OCA  Settings  Controller  PersonalSettingsController    index      file :  homepages 20 XXXXXXXXXX2 htdocs NextCloud lib private AppFramework App php   line :152  function : dispatch   class : OC  AppFramework  Http  Dispatcher   type :      args :     class   : OCA  Settings  Controller  PersonalSettingsController    index      file :  homepages 20 XXXXXXXXX htdocs NextCloud lib private Route Router php   line :308  function : main   class : OC  AppFramework  App   type : ::   args :  OCA  Settings  Controller  PersonalSettingsController   index      class   : OC  AppFramework  DependencyInjection  DIContainer     section : personal info   action :null   route : settings PersonalSettings index       file :  homepages XXXXXXX2 htdocs NextCloud lib base php   line :1009  function : match   class : OC  Route  Router   type :      args :   settings user      file :  homepages 20 XXXXXXXX2 htdocs NextCloud index php   line :37  function : handleRequest   class : OC   type : ::   args :      File :  homepages 20 XXXXXXXXXX2 htdocs NextCloud lib private Log ErrorHandler php   Line :91  CustomMessage :       userAgent : Mozilla 5 0 (X11  Linux x86 64  rv:56 0) Gecko 20100101 Firefox 56 0 Waterfox 56 3   version : 20 0 1 1  _x000D_
  reqId : XXXXXXXX   level :2  time : 2020 11 03T22:08:59 00:00   remoteAddr : XXXXXX   user :      app : core   method : GET   url :  index php apps calendar    message : Renewing session token failed   userAgent : Mozilla 5 0 (Android 8 1 0  Mobile  rv:68 0) Gecko 68 0 Firefox 68 0   version : 20 0 1 1  _x000D_
   _x000D_
_x000D_
Here is some more information:_x000D_
_x000D_
   _x000D_
             CAUSE OF ERROR             _x000D_
_x000D_
java lang NullPointerException: Attempt to invoke virtual method  void android view View setVisibility(int)  on a null object reference_x000D_
 at com owncloud android authentication AuthenticatorActivity onAuthenticatorTaskCallback(AuthenticatorActivity java:1186)_x000D_
 at com owncloud android authentication AuthenticatorAsyncTask onPostExecute(AuthenticatorAsyncTask java:100)_x000D_
 at com owncloud android authentication AuthenticatorAsyncTask onPostExecute(AuthenticatorAsyncTask java:43)_x000D_
 at android os AsyncTask finish(AsyncTask java:695)_x000D_
 at android os AsyncTask  wrap1(Unknown Source:0)_x000D_
 at android os AsyncTask InternalHandler handleMessage(AsyncTask java:712)_x000D_
 at android os Handler dispatchMessage(Handler java:106)_x000D_
 at android os Looper loop(Looper java:164)_x000D_
 at android app ActivityThread main(ActivityThread java:6499)_x000D_
 at java lang reflect Method invoke(Native Method)_x000D_
 at com android internal os RuntimeInit MethodAndArgsCaller run(RuntimeInit java:440)_x000D_
 at com android internal os ZygoteInit main(ZygoteInit java:807)_x000D_
_x000D_
             APP INFORMATION             _x000D_
ID: com nextcloud client_x000D_
Version: 30140051_x000D_
Build flavor: gplay_x000D_
_x000D_
             DEVICE INFORMATION             _x000D_
Brand: OnePlus_x000D_
Device: OnePlus5_x000D_
Model: ONEPLUS A5000_x000D_
Product: OnePlus5_x000D_
_x000D_
             FIRMWARE             _x000D_
SDK: 27_x000D_
Release: 8 1 0_x000D_
   </t>
  </si>
  <si>
    <t>inaturalist-iNaturalistAndroid-933</t>
  </si>
  <si>
    <t>BadTokenException in MentionsAutoComplete$UserSearchReceiver.onReceive</t>
  </si>
  <si>
    <t xml:space="preserve">https:  console firebase google com u 2 project inaturalist ios crashlytics app android:org inaturalist android issues 4c32273e820945ec25945592c741836f_x000D_
_x000D_
   _x000D_
Fatal Exception: android view WindowManager BadTokenException: Unable to add window    token null is not valid  is your activity running _x000D_
       at android view ViewRootImpl setView(ViewRootImpl java:965)_x000D_
       at android view WindowManagerGlobal addView(WindowManagerGlobal java:387)_x000D_
       at android view WindowManagerImpl addView(WindowManagerImpl java:96)_x000D_
       at android widget PopupWindow originalInvokePopup(PopupWindow java:1590)_x000D_
       at android widget PopupWindow invokePopup(PopupWindow java:1575)_x000D_
       at android widget PopupWindow showAsDropDown(PopupWindow java:1426)_x000D_
       at android widget PopupWindow showAsDropDown(PopupWindow java:1382)_x000D_
       at org inaturalist android MentionsAutoComplete refreshViewState(MentionsAutoComplete java:312)_x000D_
       at org inaturalist android MentionsAutoComplete access 400(MentionsAutoComplete java:41)_x000D_
       at org inaturalist android MentionsAutoComplete UserSearchReceiver onReceive(MentionsAutoComplete java:280)_x000D_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java:107)_x000D_
   </t>
  </si>
  <si>
    <t>inaturalist-iNaturalistAndroid-932</t>
  </si>
  <si>
    <t>NullPointerException in ObservationEditor.importPhotoMetadata</t>
  </si>
  <si>
    <t xml:space="preserve">https:  console firebase google com u 2 project inaturalist ios crashlytics app android:org inaturalist android issues 7d63e28ff37b4c2a9d85a2e3a6b0a6df_x000D_
_x000D_
Seems to be new in 1 20 26 (457)_x000D_
_x000D_
   _x000D_
Fatal Exception: java lang NullPointerException: Attempt to invoke virtual method  java lang String java lang String trim()  on a null object reference_x000D_
       at org inaturalist android ObservationEditor importPhotoMetadata(ObservationEditor java:3256)_x000D_
       at org inaturalist android ObservationEditor importPhotoMetadata(ObservationEditor java:3127)_x000D_
       at org inaturalist android ObservationEditor access 5100(ObservationEditor java:130)_x000D_
       at org inaturalist android ObservationEditor 42 1 run(ObservationEditor java:2993)_x000D_
       at android os Handler handleCallback(Handler java:883)_x000D_
       at android os Handler dispatchMessage(Handler java:100)_x000D_
       at android os Looper loop(Looper java:237)_x000D_
       at android app ActivityThread main(ActivityThread java:7948)_x000D_
       at java lang reflect Method invoke(Method java)_x000D_
       at com android internal os RuntimeInit MethodAndArgsCaller run(RuntimeInit java:493)_x000D_
       at com android internal os ZygoteInit main(ZygoteInit java:1075)_x000D_
   </t>
  </si>
  <si>
    <t>hzi-braunschweig-SORMAS-Project-3375</t>
  </si>
  <si>
    <t>Android app cannot be accessed and it force closes</t>
  </si>
  <si>
    <t xml:space="preserve">    _x000D_
If you ve never submitted an issue to the SORMAS repository before or this is your first time using this template  please read the Contributing guidelines (accessible in the right sidebar) for an explanation about the information we d like you to provide _x000D_
   _x000D_
    Bug Description_x000D_
Downloading the available update on an Existing app or downloading the new app and installing it also force closes _x000D_
 _x000D_
    Steps to Reproduce_x000D_
1  Download the latest available version of Sormas app from (test sormas netzlink com downloads release)_x000D_
2  Install the app and try connecting to the server (test sormas netzlink com) as Surveillance officer_x000D_
_x000D_
    Expected Behavior_x000D_
The app should accept the login credentials and should be accesisble _x000D_
It should not force close and throw an error _x000D_
_x000D_
    Screenshots_x000D_
  App force closes (https:  user images githubusercontent com 62763628 98016805 b6297100 1dfe 11eb 875e 8740e9d6a90a png)_x000D_
_x000D_
    System Details_x000D_
  Device: All android devices (tested on Nokia 7 Plus and Samsung S 10)_x000D_
  SORMAS version: 1 51 0 snapshot_x000D_
  Android version Browser: Android version 10_x000D_
  Server URL: test sormas netzlink com sormas rest _x000D_
  User Role: SurvOff_x000D_
_x000D_
    Additional Information_x000D_
Adb logs attached _x000D_
 sormascrash txt (https:  github com hzi braunschweig SORMAS Project files 5482833 sormascrash txt)_x000D_
 sormascrash take2 txt (https:  github com hzi braunschweig SORMAS Project files 5482836 sormascrash take2 txt)_x000D_
_x000D_
</t>
  </si>
  <si>
    <t>Anuken-Mindustry-3258</t>
  </si>
  <si>
    <t>Game crash and les fps</t>
  </si>
  <si>
    <t xml:space="preserve">  Platform  : Android_x000D_
_x000D_
  Build  : Bleeding Edge 11032_x000D_
_x000D_
  Issue  : I have less fps  Game crashes when i want to start custom game  _x000D_
_x000D_
  Steps to reproduce  : Start custom game_x000D_
_x000D_
  Crash report  : _x000D_
 I   GL  Version: GLES 3 2 0   Qualcomm   Adreno (TM) 505_x000D_
 I   GL  Max texture size: 16384_x000D_
 I   GL  Using OpenGL 2 context _x000D_
 I   JAVA  Version: 0_x000D_
 I  Loaded mod  dev mode  in 24 989376ms_x000D_
 I  Loaded mod  ui lib  in 8 514375ms_x000D_
 I  Total time to load: 6561_x000D_
 I  Time to generate menu: 443 65753_x000D_
 I  Fetched 6 global servers _x000D_
 I   AndroidGraphics  paused_x000D_
 I   AndroidGraphics  Managed meshes app:    _x000D_
 I   AndroidGraphics  Managed textures app:    _x000D_
 I   AndroidGraphics  Managed cubemap app:    _x000D_
 I   AndroidGraphics  Managed shaders app:    _x000D_
 I   AndroidGraphics  Managed buffers app:    _x000D_
 I   AndroidGraphics  destroyed_x000D_
 I   AndroidGraphics  OGL renderer: Adreno (TM) 505_x000D_
 I   AndroidGraphics  OGL vendor: Qualcomm_x000D_
 I   AndroidGraphics  OGL version: OpenGL ES 3 2 V 415 0 (GIT 004e992  Ibb60c3fdb8  1575049228) (Date:11 29 19)_x000D_
 I   AndroidGraphics  OGL extensions: GL OES EGL image GL OES EGL image external GL OES EGL sync GL OES vertex half float GL OES framebuffer object GL OES rgb8 rgba8 GL OES compressed ETC1 RGB8 texture GL AMD compressed ATC texture GL KHR texture compression astc ldr GL KHR texture compression astc hdr GL OES texture compression astc GL OES texture npot GL EXT texture filter anisotropic GL EXT texture format BGRA8888 GL EXT read format bgra GL OES texture 3D GL EXT color buffer float GL EXT color buffer half float GL QCOM alpha test GL OES depth24 GL OES packed depth stencil GL OES depth texture GL OES depth texture cube map GL EXT sRGB GL OES texture float GL OES texture float linear GL OES texture half float GL OES texture half float linear GL EXT texture type 2 10 10 10 REV GL EXT texture sRGB decode GL EXT texture format sRGB override GL OES element index uint GL EXT copy image GL EXT geometry shader GL EXT tessellation shader GL OES texture stencil8 GL EXT shader io blocks GL OES shader image atomic GL OES sample variables GL EXT texture border clamp GL EXT EGL image external wrap modes GL EXT multisampled render to texture GL EXT multisampled render to texture2 GL OES shader multisample interpolation GL EXT texture cube map array GL EXT draw buffers indexed GL EXT gpu shader5 GL EXT robustness GL EXT texture buffer GL EXT shader framebuffer fetch GL ARM shader framebuffer fetch depth stencil GL OES texture storage multisample 2d array GL OES sample shading GL OES get program binary GL EXT debug label GL KHR blend equation advanced GL KHR blend equation advanced coherent GL QCOM tiled rendering GL ANDROID extension pack es31a GL EXT primitive bounding box GL OES standard derivatives GL OES vertex array object GL EXT disjoint timer query GL KHR debug GL EXT YUV target GL EXT sRGB write control GL EXT texture norm16 GL EXT discard framebuffer GL OES surfaceless context GL OVR multiview GL OVR multiview2 GL EXT texture sRGB R8 GL KHR no error GL EXT debug marker GL OES EGL image external essl3 GL OVR multiview multisampled render to texture GL EXT buffer storage GL EXT external buffer GL EXT blit framebuffer params GL EXT clip cull distance GL EXT protected textures GL EXT shader non constant global initializers GL QCOM texture foveated GL QCOM shader framebuffer fetch noncoherent GL QCOM shader framebuffer fetch rate GL EXT memory object GL EXT memory object fd GL EXT EGL image array GL NV shader noperspective interpolation GL KHR robust buffer access behavior GL EXT EGL image storage GL EXT blend func extended GL EXT clip control GL OES texture view GL EXT fragment invocation density GL QCOM YUV texture gather _x000D_
 I   AndroidGraphics  framebuffer: (5  6  5  0)_x000D_
 I   AndroidGraphics  depthbuffer: (24)_x000D_
 I   AndroidGraphics  stencilbuffer: (8)_x000D_
 I   AndroidGraphics  samples: (0)_x000D_
 I   AndroidGraphics  coverage sampling: (false)_x000D_
 I   AndroidGraphics  Managed meshes app:    _x000D_
 I   AndroidGraphics  Managed textures app:    _x000D_
 I   AndroidGraphics  Managed cubemap app:    _x000D_
 I   AndroidGraphics  Managed shaders app:    _x000D_
 I   AndroidGraphics  Managed buffers app:    _x000D_
 I   GL  Version: GLES 3 2 0   Qualcomm   Adreno (TM) 505_x000D_
 I   GL  Max texture size: 16384_x000D_
 I   GL  Using OpenGL 2 context _x000D_
 I   JAVA  Version: 0_x000D_
 I  Total time to load: 4645_x000D_
 I  Time to generate menu: 116 27062_x000D_
 I  Fetched 6 global servers _x000D_
   _x000D_
_x000D_
 Place an X (no spaces) between the brackets to confirm that you have read the line below    _x000D_
    X     I have searched the closed and open issues to make sure that this problem has not already been reported   _x000D_
</t>
  </si>
  <si>
    <t>Anuken-Mindustry-3257</t>
  </si>
  <si>
    <t>Game crash and less fps</t>
  </si>
  <si>
    <t xml:space="preserve">  Platform  : Android_x000D_
_x000D_
  Build  : Bleeding Edge 11032_x000D_
_x000D_
  Issue  : I have less fps  Game crashing when i want to start custom game  _x000D_
_x000D_
  Steps to reproduce  : Start custom game on android  _x000D_
_x000D_
   _x000D_
_x000D_
 Place an X (no spaces) between the brackets to confirm that you have read the line below    _x000D_
    X     I have searched the closed and open issues to make sure that this problem has not already been reported   _x000D_
</t>
  </si>
  <si>
    <t>Anuken-Mindustry-3256</t>
  </si>
  <si>
    <t>Anuke please remove the animation and effects settings and also remove that last setting that is red it is making the game crash</t>
  </si>
  <si>
    <t>nextcloud-android-7219</t>
  </si>
  <si>
    <t>Null reference while downloading a file</t>
  </si>
  <si>
    <t xml:space="preserve">    Steps to reproduce_x000D_
0  Use a self hosted server _x000D_
1  Trying to download a PDF (or  org  or  epub) file by clicking on it from android app _x000D_
_x000D_
    Expected behaviour_x000D_
  It should get downloaded and auto opened in my editor of choice _x000D_
_x000D_
    Actual behaviour_x000D_
  In about a second (or less  or sometimes more) after the download starts  the app crashes with the error _x000D_
  Happens on both my phone and tablet  _x000D_
  Seems to affect all the externally opened files  Small files sometimes succeed to get downloaded and opened (epub files)  but then the app crashes right after the epub viewer is opened _x000D_
_x000D_
    Can you reproduce this problem on https:  try nextcloud com _x000D_
  Please create a test demo account and see if this still happens there _x000D_
  If yes  please open up a bug report_x000D_
  If not  please verify server setup and ask for help on forum_x000D_
_x000D_
    Logs_x000D_
     Web server error log_x000D_
_x000D_
   _x000D_
             CAUSE OF ERROR             _x000D_
_x000D_
java lang NullPointerException: Attempt to invoke virtual method  void android view View setVisibility(int)  on a null object reference_x000D_
	at com owncloud android ui fragment FileDetailActivitiesFragment populateList(FileDetailActivitiesFragment java:418)_x000D_
	at com owncloud android ui fragment FileDetailActivitiesFragment lambda null 3 FileDetailActivitiesFragment(FileDetailActivitiesFragment java:370)_x000D_
	at com owncloud android ui fragment    Lambda FileDetailActivitiesFragment ZzLUj33qKg0e1Ki8Vd5bki8I6B4 run(Unknown Source:6)_x000D_
	at android os Handler handleCallback(Handler java:794)_x000D_
	at android os Handler dispatchMessage(Handler java:99)_x000D_
	at android os Looper loop(Looper java:173)_x000D_
	at android app ActivityThread main(ActivityThread java:6651)_x000D_
	at java lang reflect Method invoke(Native Method)_x000D_
	at com android internal os RuntimeInit MethodAndArgsCaller run(RuntimeInit java:547)_x000D_
	at com android internal os ZygoteInit main(ZygoteInit java:822)_x000D_
_x000D_
             APP INFORMATION             _x000D_
ID: com nextcloud client_x000D_
Version: 30140051_x000D_
Build flavor: gplay_x000D_
_x000D_
             DEVICE INFORMATION             _x000D_
Brand: Xiaomi_x000D_
Device: clover_x000D_
Model: MI PAD 4 PLUS_x000D_
Id: OPM1 171019 019_x000D_
Product: clover_x000D_
_x000D_
             FIRMWARE             _x000D_
SDK: 27_x000D_
Release: 8 1 0_x000D_
Incremental: V10 3 2 0 ODJCNXM_x000D_
   _x000D_
_x000D_
     Nextcloud log (data nextcloud log)_x000D_
   _x000D_
Insert your Nextcloud log here_x000D_
   _x000D_
</t>
  </si>
  <si>
    <t>nextcloud-android-7218</t>
  </si>
  <si>
    <t>app ANR after upload over 1500 number of picture</t>
  </si>
  <si>
    <t xml:space="preserve">    Steps to reproduce_x000D_
 if the number of photos is large (over 1500 number )  crash will appear after setting the auto upload mobile phone album_x000D_
_x000D_
    Expected behaviour_x000D_
  T if the number of photos is large (over 1500 number )  crash will appear after setting the auto upload mobile phone album_x000D_
_x000D_
    Actual behaviour_x000D_
   if the number of photos is large (over 1500 number )  crash will appear after setting the auto upload mobile phone album_x000D_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andriod 9 0_x000D_
Device model: _x000D_
huawei honor p20_x000D_
Stock or customized system:_x000D_
_x000D_
Nextcloud app version:_x000D_
3 13 1_x000D_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</si>
  <si>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TeamNewPipe-NewPipe-4785</t>
  </si>
  <si>
    <t>Auto-queue button color issue for color blind people</t>
  </si>
  <si>
    <t xml:space="preserve">_x000D_
     The comments between these brackets won t show up in the submitted issue (as you can see in the Preview)     _x000D_
I have poor eyesight and quite a bit of color blindness  Newpipe is fine for me  except the auto queue button color when it is on is hard to differentiate from when it is off  A deeper blue would be best  That s it  this is not the biggest problem in the world but it s annoying for me  _x000D_
    Checklist_x000D_
     The first box has been checked for you to show you how it is done     _x000D_
_x000D_
   x  I am using the latest version   0 20 2      Check https:  github com TeamNewPipe NewPipe releases    _x000D_
   x   I checked  but didn t find any What about if you synchronised the clocks with a mechanical connection  such as a rod of metal that rotated and synchronised he clocks  Would not the clocks be exactly synchronised at a distance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  look at the auto queue slider _x000D_
2  Press on  the slider to turn it off and on  _x000D_
3  Look at the color_x000D_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the color changes from Blue to White but it s so hard for me to tell the difference I had to use a magnifying glass to look at the colors  _x000D_
_x000D_
_x000D_
_x000D_
    Expected behavior_x000D_
     Tell us what you expect to happen      I would like the blue to be much deeper  The blue on my Google keyboard on my Android device for the carriage return would be perfect  There is no error so I m not going to post a screenshot of the error page  I think everyone understands what I m talking about but I can post a screenshot if it really is necessary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10_x000D_
   Device model: Samsung galaxy tab S6_x000D_
</t>
  </si>
  <si>
    <t>Anuken-Mindustry-3250</t>
  </si>
  <si>
    <t>Core Launch Loadouts dont overwrite buildings that survived</t>
  </si>
  <si>
    <t xml:space="preserve">  Platform  :  Android iOS Mac Windows Linux  windows 10 64 bit_x000D_
_x000D_
  Build  :  The build number under the title in the main menu  Required   LATEST  IS NOT A VERSION  I NEED THE EXACT BUILD NUMBER OF YOUR GAME   beta 112_x000D_
_x000D_
  Issue  :  Explain your issue in detail  _x000D_
launching with a core to a previously lost sector doesnt overwrite blocks in the way of your loadout (likely due to the checks preventing terrain replacment)_x000D_
_x000D_
  Steps to reproduce  :  How you happened across the issue  and what exactly you did to make the bug happen  _x000D_
1  go to sector_x000D_
2  build stuff near core_x000D_
3  lose sector_x000D_
4  launch to sector with a loudout_x000D_
5  buildings in the way dont get overwritten_x000D_
_x000D_
  Link(s) to mod(s) used  :  The mod repositories or zip files that are related to the issue  if applicable  _x000D_
non_x000D_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nah its ok_x000D_
_x000D_
  Crash report  :  The contents of relevant crash report files  REQUIRED if you are reporting a crash  _x000D_
not a crash_x000D_
_x000D_
   _x000D_
_x000D_
 Place an X (no spaces) between the brackets to confirm that you have read the line below    _x000D_
   X    I have searched the closed and open issues to make sure that this problem has not already been reported   _x000D_
</t>
  </si>
  <si>
    <t>TeamNewPipe-NewPipe-4782</t>
  </si>
  <si>
    <t>Non-informative error "Could not import subscription" for Import previously exported subscriptions backup</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</si>
  <si>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IF YOU DON T FILL IN THE TEMPLATE PROPERLY  YOUR ISSUE IS LIABLE TO BE CLOSED  If you feel tired lazy right now  open your issue some other time  We ll wait     
     The comments between these brackets won t show up in the submitted issue (as you can see in the Preview)     
    Checklist
     The first box has been checked for you to show you how it is done     
   x  I am using the latest version   0 20 1(F Droid)      Check https:  github com TeamNewPipe NewPipe releases    
   x  I checked  but didn t find any duplicates (open OR closed)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Subscriptions
2  Press: Import from    previous export
3  Select json file
4  Getting error that does not say anything about cause of the failure
     If you can t cause the bug to show up again reliably (and hence don t have a proper set of steps to give us)  please still try to give as many details as possible on how you think you encountered the bug     
    Actual behaviour
     Tell us what happens with the steps given above     
Getting error that does not say anything about cause of the failure
    Expected behavior
     Tell us what you expect to happen     
Getting descriptive error that hints how to solve situation   Direction to logs where more info can be found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Screenshot 20201103 021236 NewPipe 1 png (https:  user images githubusercontent com 383295 97936079 c0099080 1d7a 11eb 9bbf 252782a158b4 png)
    Logs
     If your bug includes a crash (where you re shown the Error Report page with a bunch of info)  tap on  Copy formatted report  at the bottom and paste it here:    
     That s right  here     
     Please fill this out when you do not provide a log generate by NewPipe    
No error log available 
    Device info
   Android version Custom ROM version: LineageOS  16 0
   Device model: OnePlus7
</t>
  </si>
  <si>
    <t>paulin-family-bank-app-34</t>
  </si>
  <si>
    <t>DASHBOARD: Entering no info on create account crashes app</t>
  </si>
  <si>
    <t xml:space="preserve">    User Story_x000D_
As a user when I click create account and click create on the dialog  the app crashes_x000D_
_x000D_
    Context   Additional Information_x000D_
Need to handle null value_x000D_
_x000D_
    Acceptance Criteria_x000D_
        App does not crash when submitting no information_x000D_
     _x000D_
     _x000D_
</t>
  </si>
  <si>
    <t>deltachat-deltachat-android-1704</t>
  </si>
  <si>
    <t>forward might end activity</t>
  </si>
  <si>
    <t xml:space="preserve">forward to saved messages sometimes removes all activities and closes app _x000D_
_x000D_
the app is not crashing or so  just the activity is ended _x000D_
_x000D_
i could reproduce that currently only on my android 4 4 testphone </t>
  </si>
  <si>
    <t>Anuken-Mindustry-3248</t>
  </si>
  <si>
    <t>Black Water</t>
  </si>
  <si>
    <t xml:space="preserve">  Platform  :  Android iOS Mac Windows Linux  Windows 10_x000D_
_x000D_
  Build  :  The build number under the title in the main menu  Required   LATEST  IS NOT A VERSION  I NEED THE EXACT BUILD NUMBER OF YOUR GAME   Beta build 111  the latest build currently _x000D_
_x000D_
  Issue  :  Explain your issue in detail   This water is black  _x000D_
  image (https:  user images githubusercontent com 68676339 97930392 41403380 1d39 11eb 964c ef67f14191c2 png)_x000D_
_x000D_
_x000D_
  Steps to reproduce  :  How you happened across the issue  and what exactly you did to make the bug happen   Literally just play the map _x000D_
_x000D_
  Link(s) to mod(s) used  :  The mod repositories or zip files that are related to the issue  if applicable   No mods_x000D_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Map file_x000D_
 Cores zip (https:  github com Anuken Mindustry files 5478590 Cores zip)_x000D_
_x000D_
_x000D_
  Crash report  :  The contents of relevant crash report files  REQUIRED if you are reporting a crash   Game behaves normally otherwise without crashing_x000D_
_x000D_
   _x000D_
_x000D_
 Place an X (no spaces) between the brackets to confirm that you have read the line below    _x000D_
   X    I have searched the closed and open issues to make sure that this problem has not already been reported   _x000D_
</t>
  </si>
  <si>
    <t>CleverTap-clevertap-cordova-75</t>
  </si>
  <si>
    <t>Native Display Implementation Ionic 4</t>
  </si>
  <si>
    <t xml:space="preserve">Hi guys  I m trying to implement Native Display on Ionic 4 Project  I added an event listener on app component ts  then add into a custom banner component the call of getAllDisplayUnits  everything works fine if the user applies for native display campaign however if the user doesn t apply app just crash with the following error  java lang NullPointerException: Attempt to invoke virtual method  int java util ArrayList size()  on a null object reference  _x000D_
_x000D_
Also event listener never is fired _x000D_
_x000D_
I would like to know if I m doing something wrong with Native Display implementation _x000D_
_x000D_
   _x000D_
      app component ts_x000D_
    document addEventListener( onCleverTapDisplayUnitsLoaded   (event: any)     _x000D_
      console log( onCleverTapDisplayUnitsLoaded ) _x000D_
      console log(event units) _x000D_
      console log(event) _x000D_
       false) _x000D_
   _x000D_
_x000D_
   _x000D_
   my  custom banner component_x000D_
this clevertap getAllDisplayUnits()_x000D_
     then((units)     _x000D_
      console log( displayUnits   units) _x000D_
     ) catch((e)     _x000D_
      console log( error   e) _x000D_
     ) _x000D_
   _x000D_
_x000D_
   _x000D_
2020 11 02 17:37:43 680 28673 28989 com xxxx xxx xxxx E AndroidRuntime: FATAL EXCEPTION: pool 22 thread 3_x000D_
    Process: com xxx xxxx xxxxxxxx  PID: 28673_x000D_
    java lang NullPointerException: Attempt to invoke virtual method  int java util ArrayList size()  on a null object reference_x000D_
        at com clevertap cordova CleverTapPlugin displayUnitListToJSONArray(CleverTapPlugin java:2683)_x000D_
        at com clevertap cordova CleverTapPlugin access 900(CleverTapPlugin java:57)_x000D_
        at com clevertap cordova CleverTapPlugin 88 run(CleverTapPlugin java:1950)_x000D_
        at java util concurrent ThreadPoolExecutor processTask(ThreadPoolExecutor java:1187)_x000D_
        at java util concurrent ThreadPoolExecutor runWorker(ThreadPoolExecutor java:1152)_x000D_
        at java util concurrent ThreadPoolExecutor Worker run(ThreadPoolExecutor java:641)_x000D_
        at java lang Thread run(Thread java:929)_x000D_
   _x000D_
</t>
  </si>
  <si>
    <t>muxinc-mux-stats-sdk-exoplayer-56</t>
  </si>
  <si>
    <t>Added null pointer check to fix the possible nullpointer crash.</t>
  </si>
  <si>
    <t>Fix for this crash: https:  github com muxinc mux stats sdk exoplayer issues 55</t>
  </si>
  <si>
    <t>patzly-grocy-android-214</t>
  </si>
  <si>
    <t>Product view loses data on rotation</t>
  </si>
  <si>
    <t xml:space="preserve">  App version:   1 9 0_x000D_
_x000D_
When you trigger a screen rotation while in the  Product  screen (tested by adding a new product)  any data entered so far is gone:  screencap mp4 (https:  cables five ey es aeqC2zv8PnLbQJ0bRSLL screencap mp4)_x000D_
_x000D_
On rotating back (not seen in the screencapture)  the app crashes  I have a logcat of the crash  there are no error logs produced on the first rotation:  logcat (https:  cables five ey es aeqC2zv8PnLbQJ0bRSLL logcat txt)_x000D_
_x000D_
If I should provide any more info  please let me know :)</t>
  </si>
  <si>
    <t>Anuken-Mindustry-3244</t>
  </si>
  <si>
    <t>When controlling a weapon you have an aneurysm</t>
  </si>
  <si>
    <t xml:space="preserve">  Platform  :  Android iOS Mac Windows Linux _x000D_
Android_x000D_
  Build  :  The build number under the title in the main menu  Required   LATEST  IS NOT A VERSION  I NEED THE EXACT BUILD NUMBER OF YOUR GAME  _x000D_
Build  111 _x000D_
_x000D_
  Issue  :  Explain your issue in detail  _x000D_
When I hop into a weapon by double tapping it shakes around weirdly  Oddly it fixes once I shoot with it _x000D_
_x000D_
  Steps to reproduce  :  How you happened across the issue  and what exactly you did to make the bug happen  _x000D_
Fly to a weapon  double tap it  it ll shake as if having an aneurysm _x000D_
_x000D_
  Link(s) to mod(s) used  :  The mod repositories or zip files that are related to the issue  if applicable  _x000D_
No mods_x000D_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https:  drive google com file d 1iUH0AfXMqK4HU6GFCNSbDSmd12UMrxRe view usp sharing_x000D_
_x000D_
  Crash report  :  The contents of relevant crash report files  REQUIRED if you are reporting a crash  _x000D_
No Crash_x000D_
_x000D_
 Place an X (no spaces) between the brackets to confirm that you have read the line below    _x000D_
   X    I have searched the closed and open issues to make sure that this problem has not already been reported   _x000D_
</t>
  </si>
  <si>
    <t>TeamNewPipe-NewPipe-4769</t>
  </si>
  <si>
    <t>UI error in version 0.20.2 when adding content (playlist icon) to the UI</t>
  </si>
  <si>
    <t xml:space="preserve">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New pipe settings _x000D_
2  Press on  content     Content of the main page    Plus Icon_x000D_
3  Select  playlist site _x000D_
4  The following error appears_x000D_
_x000D_
    Actual behaviour_x000D_
   Exception_x000D_
    User Action:   ui error_x000D_
    Request:   _x000D_
    Content Country:   US_x000D_
    Content Language:   en EN_x000D_
    App Language:   en EN_x000D_
    Service:   none_x000D_
    Version:   0 20 2_x000D_
    OS:   Linux Android 5 1 1   22_x000D_
 details  summary  b Crash log   b   summary  p _x000D_
_x000D_
   _x000D_
java lang IllegalStateException: The current thread must have a looper _x000D_
	at android view Choreographer 1 initialValue(Choreographer java:98)_x000D_
	at android view Choreographer 1 initialValue(Choreographer java:93)_x000D_
	at java lang ThreadLocal Values getAfterMiss(ThreadLocal java:460)_x000D_
	at java lang ThreadLocal get(ThreadLocal java:65)_x000D_
	at android view Choreographer getInstance(Choreographer java:200)_x000D_
	at android animation ValueAnimator AnimationHandler  init (ValueAnimator java:656)_x000D_
	at android animation ValueAnimator AnimationHandler  init (ValueAnimator java:631)_x000D_
	at android animation ValueAnimator getOrCreateAnimationHandler(ValueAnimator java:1453)_x000D_
	at android animation ValueAnimator end(ValueAnimator java:1079)_x000D_
	at android graphics drawable AnimatedVectorDrawable stop(AnimatedVectorDrawable java:459)_x000D_
	at android widget ProgressBar stopAnimation(ProgressBar java:1508)_x000D_
	at android widget ProgressBar onVisibilityChanged(ProgressBar java:1568)_x000D_
	at android view View dispatchVisibilityChanged(View java:9009)_x000D_
	at android view View setFlags(View java:10099)_x000D_
	at android view View setVisibility(View java:6962)_x000D_
	at android widget ProgressBar setVisibility(ProgressBar java:1548)_x000D_
	at org schabi newpipe settings SelectPlaylistFragment displayPlaylists(SelectPlaylistFragment java:143)_x000D_
	at org schabi newpipe settings SelectPlaylistFragment lambda OKidrRDkz4wytGdEytcZ56EPSTU(SelectPlaylistFragment java)_x000D_
	at org schabi newpipe settings    Lambda SelectPlaylistFragment OKidrRDkz4wytGdEytcZ56EPSTU accept(lambda)_x000D_
	at io reactivex internal subscribers LambdaSubscriber onNext(LambdaSubscriber java:65)_x000D_
	at io reactivex internal operators flowable FlowableCombineLatest CombineLatestCoordinator drainAsync(FlowableCombineLatest java:374)_x000D_
	at io reactivex internal operators flowable FlowableCombineLatest CombineLatestCoordinator drain(FlowableCombineLatest java:406)_x000D_
	at io reactivex internal operators flowable FlowableCombineLatest CombineLatestCoordinator innerValue(FlowableCombineLatest java:250)_x000D_
	at io reactivex internal operators flowable FlowableCombineLatest CombineLatestInnerSubscriber onNext(FlowableCombineLatest java:521)_x000D_
	at io reactivex internal operators flowable FlowableSubscribeOn SubscribeOnSubscriber onNext(FlowableSubscribeOn java:97)_x000D_
	at io reactivex internal operators flowable FlowableFlatMapMaybe FlatMapMaybeSubscriber innerSuccess(FlowableFlatMapMaybe java:175)_x000D_
	at io reactivex internal operators flowable FlowableFlatMapMaybe FlatMapMaybeSubscriber InnerObserver onSuccess(FlowableFlatMapMaybe java:397)_x000D_
	at io reactivex internal operators maybe MaybeFromCallable subscribeActual(MaybeFromCallable java:61)_x000D_
	at io reactivex Maybe subscribe(Maybe java:4290)_x000D_
	at io reactivex internal operators flowable FlowableFlatMapMaybe FlatMapMaybeSubscriber onNext(FlowableFlatMapMaybe java:132)_x000D_
	at io reactivex internal operators flowable FlowableObserveOn ObserveOnSubscriber runAsync(FlowableObserveOn java:407)_x000D_
	at io reactivex internal operators flowable FlowableObserveOn BaseObserveOnSubscriber run(FlowableObserveOn java:176)_x000D_
	at io reactivex internal schedulers ExecutorScheduler ExecutorWorker BooleanRunnable run(ExecutorScheduler java:288)_x000D_
	at io reactivex internal schedulers ExecutorScheduler ExecutorWorker run(ExecutorScheduler java:253)_x000D_
	at java util concurrent ThreadPoolExecutor runWorker(ThreadPoolExecutor java:1112)_x000D_
	at java util concurrent ThreadPoolExecutor Worker run(ThreadPoolExecutor java:587)_x000D_
	at java lang Thread run(Thread java:818)_x000D_
_x000D_
   _x000D_
  details _x000D_
 hr _x000D_
_x000D_
_x000D_
    Expected behavior_x000D_
Usually a playlist icon is added to the interface_x000D_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See above_x000D_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see above native Amazon OS with PlayStore F Droid_x000D_
   Device model: Amazon FireHD 10 2017</t>
  </si>
  <si>
    <t>nextcloud-android-7208</t>
  </si>
  <si>
    <t>Crash opening PDF file</t>
  </si>
  <si>
    <t xml:space="preserve">    Steps to reproduce_x000D_
1  Tap pdf file to open (not downloaded )_x000D_
2  Download of PDF starts_x000D_
3  Nextcloud crashes while opening PDF file (this does not happen if the PDF file was downloaded manually before   )_x000D_
_x000D_
    Expected behaviour_x000D_
  PDF file should open in external viewer app (xodo in my case)_x000D_
_x000D_
    Actual behaviour_x000D_
  Nextcloud crashes_x000D_
_x000D_
    Logs_x000D_
             CAUSE OF ERROR             _x000D_
_x000D_
java lang NullPointerException: Attempt to invoke virtual method  void androidx swiperefreshlayout widget SwipeRefreshLayout setVisibility(int)  on a null object reference_x000D_
	at com owncloud android ui fragment FileDetailActivitiesFragment populateList(FileDetailActivitiesFragment java:418)_x000D_
	at com owncloud android ui fragment FileDetailActivitiesFragment lambda null 3 FileDetailActivitiesFragment(FileDetailActivitiesFragment java:370)_x000D_
	at com owncloud android ui fragment    Lambda FileDetailActivitiesFragment ZzLUj33qKg0e1Ki8Vd5bki8I6B4 run(Unknown Source:6)_x000D_
	at android os Handler handleCallback(Handler java:900)_x000D_
	at android os Handler dispatchMessage(Handler java:103)_x000D_
	at android os Looper loop(Looper java:219)_x000D_
	at android app ActivityThread main(ActivityThread java:8347)_x000D_
	at java lang reflect Method invoke(Native Method)_x000D_
	at com android internal os RuntimeInit MethodAndArgsCaller run(RuntimeInit java:513)_x000D_
	at com android internal os ZygoteInit main(ZygoteInit java:1055)_x000D_
_x000D_
             APP INFORMATION             _x000D_
ID: com nextcloud client_x000D_
Version: 30140051_x000D_
Build flavor: gplay_x000D_
_x000D_
             DEVICE INFORMATION             _x000D_
Brand: HUAWEI_x000D_
Device: HWLYA_x000D_
Model: LYA L29_x000D_
Id: HUAWEILYA L29_x000D_
Product: LYA L29_x000D_
_x000D_
             FIRMWARE             _x000D_
SDK: 29_x000D_
Release: 10_x000D_
Incremental: 10 1 0 289C432_x000D_
</t>
  </si>
  <si>
    <t>forrestguice-SuntimesWidget-443</t>
  </si>
  <si>
    <t>app crash when editing or copying from "Manage Places"</t>
  </si>
  <si>
    <t xml:space="preserve">Suntimes  v0 13 2 _x000D_
The app crashes when trying to edit or copy places from the  Manage Places  screen (when units are set to  metric ) _x000D_
_x000D_
To reproduce:_x000D_
1) Settings    General    Units of Length    change to Metric_x000D_
2) Settings    Places    Manage Places_x000D_
3) Select a place  click  Edit  or  Copy  from action menu_x000D_
   The  app crashes  _x000D_
_x000D_
Logcat:_x000D_
_x000D_
   _x000D_
E AndroidRuntime: FATAL EXCEPTION: main_x000D_
    Process: com forrestguice suntimeswidget  PID: 5728_x000D_
    java lang IllegalArgumentException: Bad class: class java lang String_x000D_
        at java text NumberFormat format(NumberFormat java:304)_x000D_
        at java text DecimalFormat format(DecimalFormat java:702)_x000D_
        at java text Format format(Format java:93)_x000D_
        at com forrestguice suntimeswidget getfix PlacesEditFragment updateAltitudeField(PlacesEditFragment java:386)_x000D_
        at com forrestguice suntimeswidget getfix PlacesEditFragment updateViews(PlacesEditFragment java:368)_x000D_
        at com forrestguice suntimeswidget getfix PlacesEditFragment setPlace(PlacesEditFragment java:138)_x000D_
        at com forrestguice suntimeswidget getfix PlacesEditFragment onCreateView(PlacesEditFragment java:171)_x000D_
        at android support v4 app Fragment performCreateView(Fragment java:2248)_x000D_
   _x000D_
_x000D_
</t>
  </si>
  <si>
    <t>Anuken-Mindustry-3240</t>
  </si>
  <si>
    <t>East (Right) Side map crash issue</t>
  </si>
  <si>
    <t xml:space="preserve">  Platform  :  iOS  but it has only 1GB RAM _x000D_
_x000D_
  Build  :  beta 111 _x000D_
_x000D_
  Issue  :  Every time i panned my camera over to the east (right) side of any larger map the game would unexpectedly freeze and crash  _x000D_
_x000D_
  Steps to reproduce:    Load a larger map and pan your camera to the east side  My exact two encountered issues were with Sector 175 and Debris Field  _x000D_
_x000D_
  Link(s) to mod(s) used  :  no _x000D_
_x000D_
  Save file  :  not sure how one exports saves on iOS  _x000D_
_x000D_
  Crash report  :  no (iOS 12 4 8 doesnt do that last time i checked) _x000D_
_x000D_
   _x000D_
_x000D_
 Place an X (no spaces) between the brackets to confirm that you have read the line below    _x000D_
   X    I have searched the closed and open issues to make sure that this problem has not already been reported  Of course  it wouldn t because nobody knows how to use iOS TestFlight   _x000D_
</t>
  </si>
  <si>
    <t>TeamNewPipe-NewPipe-4761</t>
  </si>
  <si>
    <t>Could not parse website when loading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</si>
  <si>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watch v xWnQ2sF1 5M_x000D_
    Content Country:   IE_x000D_
    Content Language:   en IE_x000D_
    App Language:   en IE_x000D_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Please fill this out when you do not provide a log generate by NewPipe    _x000D_
_x000D_
    Device info_x000D_
_x000D_
   Android version Custom ROM version: 10_x000D_
   Device model: samsung galaxy FE20_x000D_
</t>
  </si>
  <si>
    <t>Anuken-Mindustry-3238</t>
  </si>
  <si>
    <t>Segment says "H"</t>
  </si>
  <si>
    <t xml:space="preserve">  Platform  : Windows 10_x000D_
_x000D_
  Build  : Steam Build 111_x000D_
_x000D_
  Issue  : java lang ClassCastException: mindustry world blocks ConstructBlock ConstructBuild cannot be cast to mindustry world blocks defense turrets PointDefenseTurret PointDefenseBuild_x000D_
Wave 24 of Sector 250  Reign destroys a Segment mid fire causing a crash _x000D_
_x000D_
  Steps to reproduce  : _x000D_
  20201101174150 1 (https:  user images githubusercontent com 19158169 97817331 a9bfdf80 1c69 11eb 9b2d 3502489b01af jpg)_x000D_
_x000D_
_x000D_
  Link(s) to mod(s) used  : None related to issue  _x000D_
_x000D_
  Save file  :  saves zip (https:  github com Anuken Mindustry files 5471888 saves zip)_x000D_
_x000D_
  Crash report  : _x000D_
 crash report 11 01 2020 17 35 20 txt (https:  github com Anuken Mindustry files 5471890 crash report 11 01 2020 17 35 20 txt)_x000D_
_x000D_
   _x000D_
_x000D_
 Place an X (no spaces) between the brackets to confirm that you have read the line below    _x000D_
   x    I have searched the closed and open issues to make sure that this problem has not already been reported   _x000D_
_x000D_
</t>
  </si>
  <si>
    <t>TeamNewPipe-NewPipe-4760</t>
  </si>
  <si>
    <t xml:space="preserve">Error when trying to play any video. </t>
  </si>
  <si>
    <t xml:space="preserve">I got this error when trying to play a video  Background or foreground doesn t matter it crashes with both _x000D_
_x000D_
   Exception_x000D_
    User Action:   ui error_x000D_
    Request:   App crash  UI failure_x000D_
    Content Country:   GB_x000D_
    Content Language:   en_x000D_
    App Language:   fr FR_x000D_
    Service:   none_x000D_
    Version:   0 20 1_x000D_
    OS:   Linux Android 11   30_x000D_
 details  summary  b Crash log   b   summary  p _x000D_
_x000D_
   _x000D_
java lang NullPointerException: Attempt to invoke virtual method  long org schabi newpipe player playqueue PlayQueueItem getRecoveryPosition()  on a null object reference_x000D_
	at org schabi newpipe fragments detail VideoDetailFragment updateProgressInfo(VideoDetailFragment java:1660)_x000D_
	at org schabi newpipe fragments detail VideoDetailFragment handleResult(VideoDetailFragment java:1538)_x000D_
	at org schabi newpipe fragments detail VideoDetailFragment prepareAndHandleInfo(VideoDetailFragment java:898)_x000D_
	at org schabi newpipe fragments detail VideoDetailFragment lambda prepareAndHandleInfoIfNeededAfterDelay 2 VideoDetailFragment(VideoDetailFragment java:882)_x000D_
	at org schabi newpipe fragments detail    Lambda VideoDetailFragment  RFesK110zEyxLwyqqz87oayaZg run(Unknown Source:6)_x000D_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_x000D_
  details _x000D_
 hr _x000D_
</t>
  </si>
  <si>
    <t>nextcloud-android-7199</t>
  </si>
  <si>
    <t>App crash after opening account selector</t>
  </si>
  <si>
    <t xml:space="preserve">As a side note: The currently selected profile points to an unreachable offline server _x000D_
_x000D_
    Steps to reproduce_x000D_
1  Open account selector_x000D_
2  Wait a second_x000D_
3  _x000D_
_x000D_
    Expected behaviour_x000D_
  you should be able to select another account _x000D_
_x000D_
    Actual behaviour_x000D_
  app crashes_x000D_
_x000D_
    Environment data_x000D_
Android version: 11_x000D_
_x000D_
Device model: Oneplus 8_x000D_
_x000D_
Stock or customized system: Stock_x000D_
_x000D_
Nextcloud app version: 3 14 0 RC1_x000D_
_x000D_
Nextcloud server version: 20 0 1_x000D_
_x000D_
Reverse proxy: yes_x000D_
_x000D_
   _x000D_
             CAUSE OF ERROR             _x000D_
_x000D_
java lang RuntimeException: An error occurred while executing doInBackground()_x000D_
	at android os AsyncTask 4 done(AsyncTask java:415)_x000D_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java:305)_x000D_
	at java util concurrent ThreadPoolExecutor runWorker(ThreadPoolExecutor java:1167)_x000D_
	at java util concurrent ThreadPoolExecutor Worker run(ThreadPoolExecutor java:641)_x000D_
	at java lang Thread run(Thread java:923)_x000D_
Caused by: java lang NullPointerException: Attempt to invoke virtual method  java lang Object java util ArrayList get(int)  on a null object reference_x000D_
	at com owncloud android lib common operations RemoteOperationResult getSingleData(RemoteOperationResult java:489)_x000D_
	at com owncloud android ui asynctasks RetrieveStatusAsyncTask doInBackground(RetrieveStatusAsyncTask java:56)_x000D_
	at com owncloud android ui asynctasks RetrieveStatusAsyncTask doInBackground(RetrieveStatusAsyncTask java:37)_x000D_
	at android os AsyncTask 3 call(AsyncTask java:394)_x000D_
	at java util concurrent FutureTask run(FutureTask java:266)_x000D_
	    4 more_x000D_
_x000D_
             APP INFORMATION             _x000D_
ID: com nextcloud client_x000D_
Version: 30140051_x000D_
Build flavor: gplay_x000D_
_x000D_
             DEVICE INFORMATION             _x000D_
Brand: OnePlus_x000D_
Device: OnePlus8_x000D_
Model: IN2013_x000D_
Id: RP1A 201005 001_x000D_
Product: OnePlus8 EEA_x000D_
_x000D_
             FIRMWARE             _x000D_
SDK: 30_x000D_
Release: 11_x000D_
Incremental: 2009301800_x000D_
_x000D_
   _x000D_
  NOTE:   Be super sure to remove sensitive data like passwords  note that everybody can look here  You can use the Issue Template application to prefill some of the required information: https:  apps nextcloud com apps issuetemplate_x000D_
</t>
  </si>
  <si>
    <t>Anuken-Mindustry-3235</t>
  </si>
  <si>
    <t xml:space="preserve">Game stopping after trying to add a command into a processor </t>
  </si>
  <si>
    <t xml:space="preserve">  Platform  : iOS_x000D_
_x000D_
  Build  : 111 2_x000D_
_x000D_
  Issue  : After tapping the  add  button in a processor the game stops _x000D_
_x000D_
  Steps to reproduce  : _x000D_
1  Place and open a processor_x000D_
2  Tap the  add  button _x000D_
_x000D_
A video of the process: https:  youtu be o7A SWVf4Ng_x000D_
_x000D_
  Link(s) to mod(s) used  : N A_x000D_
_x000D_
  Save file  : _x000D_
 mindustry data export zip (https:  github com Anuken Mindustry files 5471606 mindustry data export zip)_x000D_
_x000D_
_x000D_
  Crash report  : For some reason there isn t any crash reports _x000D_
_x000D_
   _x000D_
_x000D_
 Place an X (no spaces) between the brackets to confirm that you have read the line below    _x000D_
   X    I have searched the closed and open issues to make sure that this problem has not already been reported   _x000D_
</t>
  </si>
  <si>
    <t>TeamNewPipe-NewPipe-4758</t>
  </si>
  <si>
    <t>Could not parse shortened YouTube URL (from share button in official app)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</si>
  <si>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Open official YouTube app_x000D_
2  Press share on any video on feed_x000D_
3  Open with NewPipe_x000D_
4  Attempt playback in popup player (for example)_x000D_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App crashes_x000D_
_x000D_
    Expected behavior_x000D_
     Tell us what you expect to happen     _x000D_
_x000D_
Start video playback_x000D_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youtu be VaO7MmghoqA  opened with popup player_x000D_
    Content Country:   GB_x000D_
    Content Language:   en GB_x000D_
    App Language:   en GB_x000D_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SingleObserveOn subscribeActual(SingleObserveOn java:35)_x000D_
	at io reactivex Single subscribe(Single java:3666)_x000D_
	at io reactivex Single subscribe(Single java:3652)_x000D_
	at org schabi newpipe RouterActivity FetcherService handleChoice(RouterActivity java:703)_x000D_
	at org schabi newpipe RouterActivity FetcherService onHandleIntent(RouterActivity java:675)_x000D_
	at android app IntentService ServiceHandler handleMessage(IntentService java:78)_x000D_
	at android os Handler dispatchMessage(Handler java:107)_x000D_
	at android os Looper loop(Looper java:214)_x000D_
	at android os HandlerThread run(HandlerThread java:67)_x000D_
_x000D_
   _x000D_
  details _x000D_
 hr _x000D_
</t>
  </si>
  <si>
    <t>MuntashirAkon-AppManager-140</t>
  </si>
  <si>
    <t>App list is not complete</t>
  </si>
  <si>
    <t xml:space="preserve">  Describe the bug  _x000D_
On the main menu (where the installed apps are listed) there are certain apps that I can t find _x000D_
One such app is the Reddit client named Boost (com rubenmayayo reddit) _x000D_
_x000D_
  To Reproduce  _x000D_
Steps to reproduce the behaviour:_x000D_
_x000D_
0  Install the Boost app_x000D_
1  Open App Manager_x000D_
2  Scroll to the apps that start with the letter B  or search for Boost_x000D_
3  The mentioned app is not there_x000D_
_x000D_
  Expected behavior  _x000D_
The app should be listed there_x000D_
_x000D_
  Screenshots  _x000D_
Please click on the images to enlarge them_x000D_
_x000D_
Settings app info page of Boost   Boost not found by App Manager   Boost not found by Skit   Boost found by Titanium Backup   Boost s about page_x000D_
:                                     : :                                        : :                           : :                                         : :                       :_x000D_
  photo 2020 11 01 16 34 46 (https:  user images githubusercontent com 9215491 97807377 a83de980 1c60 11eb 9124 e0d15982d69e jpg)     photo 2020 11 01 16 35 13 (https:  user images githubusercontent com 9215491 97807431 fbb03780 1c60 11eb 9d3a 4c7dea4f6232 jpg)     photo 2020 11 01 16 35 01 (https:  user images githubusercontent com 9215491 97807387 b7bd3280 1c60 11eb 9b3a 1d582d7e745e jpg)     photo 2020 11 01 16 35 17 (https:  user images githubusercontent com 9215491 97807492 82651480 1c61 11eb 8b09 19bc4c40d3ac jpg)     photo 2020 11 01 16 35 21 (https:  user images githubusercontent com 9215491 97807520 9b6dc580 1c61 11eb 80f3 d92a8d26fad1 jpg)_x000D_
_x000D_
_x000D_
_x000D_
_x000D_
  Crash logs  _x000D_
There weren t any  but previously I had  2 versions earlier  When I tried changing the theme to dark or battery mode  after I reopened the app it was crashing  It had found a limited list of apps  and it crashed with an exception signaling that the Pacakge Manager service died  which I haven t seen earlier _x000D_
I m a new user  and I came on that version  so whatever was it  it might haven t been introduced on that version _x000D_
_x000D_
  Device info  _x000D_
   Device: Xiaomi Redmi 3S_x000D_
   OS Version: MIUI 8_x000D_
   App Manager Version: 25 5 17 (368)_x000D_
   Mode: no root_x000D_
_x000D_
  Additional context  _x000D_
As you can see in the screenshots  there are other app managers too that won t list Boost  but it varies  Like  there are one named MyAPK (com andatsoft myapk fwa)  which sees it  but Skit doesn t_x000D_
_x000D_
Also  keep up the good work  I like your app manager very much  and the new Scanner feature is very good  I like it _x000D_
Did you think about making that part to be a library  Earlier I was thinking about making an app  that either works as an Xposed module  or by modifying the apks  that would disable libraries (mostly tracking ones) or straight out remove them  or at least part of them  but I haven t gotten to making it  mostly because I haven t known of a way to identify libraries</t>
  </si>
  <si>
    <t>OpenTracksApp-OpenTracks-491</t>
  </si>
  <si>
    <t>Crash when trying to export all</t>
  </si>
  <si>
    <t xml:space="preserve">  Describe the bug  _x000D_
When I try to export all of my tracks the application crashes _x000D_
_x000D_
  To Reproduce  _x000D_
1  Tap the ellipses in the top right_x000D_
2  Tap settings_x000D_
3  Tap  Export all _x000D_
4  Browse to the desired destination and then tap the  Use this folder  button_x000D_
5  The application crashes _x000D_
_x000D_
  Technical information  _x000D_
   Pixel 3 XL_x000D_
   Android 11_x000D_
   OpenTracks v3 11 1 a42bd432e installed from F Droid _x000D_
</t>
  </si>
  <si>
    <t>nextcloud-android-7196</t>
  </si>
  <si>
    <t>3.14.0 RC1 can not upload anything (and is generally just broken)</t>
  </si>
  <si>
    <t xml:space="preserve">    In short_x000D_
Since updating the Android app to 3 14 0 RC1 (and server to 20 0 1 earlier)  I can not upload anything with the app  Desktop client still syncs just fine _x000D_
_x000D_
    Steps to reproduce_x000D_
Try to upload a file (either manually or by taking a photo for auto upload)_x000D_
_x000D_
    Expected behaviour_x000D_
File should get uploaded_x000D_
_x000D_
    Actual behaviour_x000D_
There s a notification about  File upload conflict   Selecting the notification results in   Error creating conflict dialog (https:  github com nextcloud android issues 5755 issuecomment 695328151)   Going to uploads view and selecting  Resolve conflict  for a file just results in  Sync conflict  please resolve manually  _x000D_
_x000D_
    Can you reproduce this problem on https:  try nextcloud com _x000D_
Trying to add an account in the app  causes the app to crash (https:  github com nextcloud android issues 7199) _x000D_
_x000D_
    Environment data_x000D_
Android version: 10_x000D_
Device model: Samsung Galaxy A9 (2018)_x000D_
Stock or customized system: stock_x000D_
Nextcloud app version: 3 14 0 RC1 (from Beta channel)_x000D_
Nextcloud server version: 20 0 1_x000D_
Reverse proxy: no_x000D_
_x000D_
    Logs_x000D_
     Web server error log_x000D_
Nothing NC related_x000D_
_x000D_
     Nextcloud log (data nextcloud log)_x000D_
Nothing related to the uploads  just_x000D_
_x000D_
   fread(): read of 8192 bytes failed with errno 21 Is a directory (https:  github com nextcloud server issues 21578)_x000D_
   Undefined offset: 3 (https:  github com nextcloud server issues 23595)_x000D_
</t>
  </si>
  <si>
    <t>cgeo-cgeo-9327</t>
  </si>
  <si>
    <t>NPE after some map source changes (attribution related?)</t>
  </si>
  <si>
    <t xml:space="preserve">While playing around with 2020 11 01 NB I changed between Google  OSM and offline map several times _x000D_
After going back from Google to OSM offline map the app finally crashed:_x000D_
_x000D_
   _x000D_
          beginning of crash_x000D_
11 01 11:52:25 559  5984  5984 E AndroidRuntime: FATAL EXCEPTION: main_x000D_
11 01 11:52:25 559  5984  5984 E AndroidRuntime: Process: cgeo geocaching  PID: 5984_x000D_
11 01 11:52:25 559  5984  5984 E AndroidRuntime: java lang NullPointerException: Attempt to invoke virtual method  java lang Class java lang Object getClass()  on a null object reference_x000D_
11 01 11:52:25 559  5984  5984 E AndroidRuntime: 	at cgeo geocaching maps mapsforge MapsforgeMapProvider OfflineMapSource setMapAttributionTo(MapsforgeMapProvider java:196)_x000D_
11 01 11:52:25 559  5984  5984 E AndroidRuntime: 	at cgeo geocaching maps CGeoMap changeMapSource(CGeoMap java:1115)_x000D_
11 01 11:52:25 559  5984  5984 E AndroidRuntime: 	at cgeo geocaching maps CGeoMap onOptionsItemSelected(CGeoMap java:899)_x000D_
11 01 11:52:25 559  5984  5984 E AndroidRuntime: 	at cgeo geocaching maps google v2 GoogleMapActivity onOptionsItemSelected(GoogleMapActivity java:86)_x000D_
11 01 11:52:25 559  5984  5984 E AndroidRuntime: 	at android app Activity onMenuItemSelected(Activity java:4182)_x000D_
11 01 11:52:25 559  5984  5984 E AndroidRuntime: 	at com android internal policy PhoneWindow onMenuItemSelected(PhoneWindow java:1358)_x000D_
11 01 11:52:25 559  5984  5984 E AndroidRuntime: 	at com android internal view menu MenuBuilder dispatchMenuItemSelected(MenuBuilder java:787)_x000D_
11 01 11:52:25 559  5984  5984 E AndroidRuntime: 	at com android internal view menu SubMenuBuilder dispatchMenuItemSelected(SubMenuBuilder java:85)_x000D_
11 01 11:52:25 559  5984  5984 E AndroidRuntime: 	at com android internal view menu MenuItemImpl invoke(MenuItemImpl java:157)_x000D_
11 01 11:52:25 559  5984  5984 E AndroidRuntime: 	at com android internal view menu MenuBuilder performItemAction(MenuBuilder java:934)_x000D_
11 01 11:52:25 559  5984  5984 E AndroidRuntime: 	at com android internal view menu MenuBuilder performItemAction(MenuBuilder java:924)_x000D_
11 01 11:52:25 559  5984  5984 E AndroidRuntime: 	at com android internal view menu MenuPopup onItemClick(MenuPopup java:128)_x000D_
11 01 11:52:25 559  5984  5984 E AndroidRuntime: 	at android widget AdapterView performItemClick(AdapterView java:374)_x000D_
11 01 11:52:25 559  5984  5984 E AndroidRuntime: 	at android widget AbsListView performItemClick(AbsListView java:1736)_x000D_
11 01 11:52:25 559  5984  5984 E AndroidRuntime: 	at android widget AbsListView PerformClick run(AbsListView java:4207)_x000D_
11 01 11:52:25 559  5984  5984 E AndroidRuntime: 	at android widget AbsListView 7 run(AbsListView java:6692)_x000D_
11 01 11:52:25 559  5984  5984 E AndroidRuntime: 	at android os Handler handleCallback(Handler java:883)_x000D_
11 01 11:52:25 559  5984  5984 E AndroidRuntime: 	at android os Handler dispatchMessage(Handler java:100)_x000D_
11 01 11:52:25 559  5984  5984 E AndroidRuntime: 	at android os Looper loop(Looper java:237)_x000D_
11 01 11:52:25 559  5984  5984 E AndroidRuntime: 	at android app ActivityThread main(ActivityThread java:8154)_x000D_
11 01 11:52:25 559  5984  5984 E AndroidRuntime: 	at java lang reflect Method invoke(Native Method)_x000D_
11 01 11:52:25 559  5984  5984 E AndroidRuntime: 	at com android internal os RuntimeInit MethodAndArgsCaller run(RuntimeInit java:496)_x000D_
11 01 11:52:25 559  5984  5984 E AndroidRuntime: 	at com android internal os ZygoteInit main(ZygoteInit java:1100)_x000D_
   </t>
  </si>
  <si>
    <t>nextcloud-android-7193</t>
  </si>
  <si>
    <t>Crash on video playback</t>
  </si>
  <si>
    <t xml:space="preserve">    Steps to reproduce_x000D_
1  Upload new MP4 on Windows client_x000D_
2  select new folders and MP4 file on Android App_x000D_
3  play the video _x000D_
4  After Playback of 5 seconds_x000D_
5   click in video _x000D_
6  the app crashes _x000D_
_x000D_
_x000D_
    Error log of Android app_x000D_
_x000D_
             CAUSE OF ERROR             _x000D_
_x000D_
android app RemoteServiceException: Context startForegroundService() did not then call Service startForeground(): ServiceRecord b3ba260 u0 com nextcloud android beta com nextcloud client media PlayerService _x000D_
	at android app ActivityThread H handleMessage(ActivityThread java:1946)_x000D_
	at android os Handler dispatchMessage(Handler java:107)_x000D_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java:935)_x000D_
_x000D_
             APP INFORMATION             _x000D_
ID: com nextcloud android beta_x000D_
Version: 20201014_x000D_
Build flavor: versionDev_x000D_
_x000D_
             DEVICE INFORMATION             _x000D_
Brand: Nokia_x000D_
Device: B2N sprout_x000D_
Model: Nokia 7 plus_x000D_
Id: QKQ1 190828 002_x000D_
Product: Onyx 00WW_x000D_
_x000D_
             FIRMWARE             _x000D_
SDK: 29_x000D_
Release: 10_x000D_
Incremental: 00WW 4 15H_x000D_
_x000D_
_x000D_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</si>
  <si>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TeamNewPipe-NewPipe-4750</t>
  </si>
  <si>
    <t>ReCAPTCHA challenge but there is no Captcha</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</si>
  <si>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When opening a video   it redirects to the ReCAPTCHA Challenge but no captcha is shown there   It s just a blank white page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any video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20201101 155811 NewPipe (https:  user images githubusercontent com 57090191 97800018 c6551b00 1c5b 11eb 9085 65e3a75a88b8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9_x000D_
   Device model: SM G950F_x000D_
</t>
  </si>
  <si>
    <t>Anuken-Mindustry-3224</t>
  </si>
  <si>
    <t>bug is a grifer in multiplayer beta6.0</t>
  </si>
  <si>
    <t xml:space="preserve">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_x000D_
griefers enter the game make a random nickname enter the server and blow up the core with a thorium reactor_x000D_
a way out of this situation: information about the last interaction with it should also remain in the bridge knveers and sorters  also when someone destroys any block  we will see who has demolished the block  hovering over it with the cursor</t>
  </si>
  <si>
    <t>Anuken-Mindustry-3223</t>
  </si>
  <si>
    <t>cvg</t>
  </si>
  <si>
    <t>Berjin-track-and-trigger-1</t>
  </si>
  <si>
    <t>App crashes on pressing back button</t>
  </si>
  <si>
    <t>When canceling the Google or Facebook sign in by pressing the back button  the app is crashing</t>
  </si>
  <si>
    <t>AOF-Dev-MCinaBox-628</t>
  </si>
  <si>
    <t>The keyboard opening doesn't work</t>
  </si>
  <si>
    <t xml:space="preserve">  Describe the bug  _x000D_
_x000D_
I don t have a keyboard in the latest version of 0 1 4 p4  When I press into the top right corner  The program crashes or doesn t open the phone s keyboard  Other versions work with the opening of the keyboard phone  </t>
  </si>
  <si>
    <t>Anuken-Mindustry-3222</t>
  </si>
  <si>
    <t>Core Launch loadout can delete terrain blocks</t>
  </si>
  <si>
    <t xml:space="preserve">  Platform  :  Android iOS Mac Windows Linux  windows 10 64 bit_x000D_
_x000D_
  Build  :  The build number under the title in the main menu  Required   LATEST  IS NOT A VERSION  I NEED THE EXACT BUILD NUMBER OF YOUR GAME   beta 111_x000D_
_x000D_
  Issue  :  Explain your issue in detail  _x000D_
when launching with a loadout it can delete terrain blocks_x000D_
_x000D_
  Steps to reproduce  :  How you happened across the issue  and what exactly you did to make the bug happen  _x000D_
1  launch to sector with terrain near core with a bigger loadout (image shows sector 258)_x000D_
2  terrain   gone_x000D_
3  shadow land  stay_x000D_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sorry am noob idk how to export a campain map_x000D_
  image (https:  user images githubusercontent com 54417042 97797763 aedf4900 1bed 11eb 9d74 4010f33be502 png)_x000D_
_x000D_
_x000D_
  Crash report  :  The contents of relevant crash report files  REQUIRED if you are reporting a crash  _x000D_
not a crash_x000D_
   _x000D_
_x000D_
 Place an X (no spaces) between the brackets to confirm that you have read the line below    _x000D_
   X    I have searched the closed and open issues to make sure that this problem has not already been reported   _x000D_
</t>
  </si>
  <si>
    <t>Anuken-Mindustry-3220</t>
  </si>
  <si>
    <t>When launching from a sector it forces you to launch from the nearest nearby sector</t>
  </si>
  <si>
    <t xml:space="preserve">  Platform  :  Android iOS Mac Windows Linux  windows 10 64 bit_x000D_
_x000D_
  Build  :  The build number under the title in the main menu  Required   LATEST  IS NOT A VERSION  I NEED THE EXACT BUILD NUMBER OF YOUR GAME   be build 10967_x000D_
_x000D_
  Issue  :  Explain your issue in detail  _x000D_
when launching from a random sector to a different sector it forces you to launch from an adjacent sector_x000D_
_x000D_
  Steps to reproduce  :  How you happened across the issue  and what exactly you did to make the bug happen  _x000D_
1  attempt to launch from sector to non adjacent sector_x000D_
2  it makes you launch from adjacent sector_x000D_
_x000D_
  Link(s) to mod(s) used  :  The mod repositories or zip files that are related to the issue  if applicable  _x000D_
no mods_x000D_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non save file specific_x000D_
_x000D_
  Crash report  :  The contents of relevant crash report files  REQUIRED if you are reporting a crash  _x000D_
not a crash_x000D_
_x000D_
   _x000D_
_x000D_
 Place an X (no spaces) between the brackets to confirm that you have read the line below    _x000D_
   X    I have searched the closed and open issues to make sure that this problem has not already been reported   _x000D_
</t>
  </si>
  <si>
    <t>TeamNewPipe-NewPipe-4746</t>
  </si>
  <si>
    <t>App/UI crash when skipping while the video is paused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</si>
  <si>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Beginning playing any video _x000D_
2  PAUSE THE VIDEO  _x000D_
2  Attempt to skip through the playback using the double tap gestures _x000D_
3  App freezes for a second and shows a App UI crash log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App UI Crash if the video is paused and you try to skip forward or back _x000D_
_x000D_
    Expected behavior_x000D_
Skip through video playback using double tap gestures while paused_x000D_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Exception_x000D_
    User Action:   ui error_x000D_
    Request:   App crash  UI failure_x000D_
    Content Country:   US_x000D_
    Content Language:   en US_x000D_
    App Language:   en US_x000D_
    Service:   none_x000D_
    Version:   0 20 2_x000D_
    OS:   Linux Android 10   29_x000D_
 details  summary  b Crash log   b   summary  p _x000D_
_x000D_
   _x000D_
java lang NullPointerException: Attempt to read from field  java util ArrayList androidx core app NotificationCompat Builder mActions  on a null object reference_x000D_
	at org schabi newpipe player NotificationUtil shouldUpdateBufferingSlot(NotificationUtil java:151)_x000D_
	at org schabi newpipe player VideoPlayerImpl onBuffering(VideoPlayerImpl java:1121)_x000D_
	at org schabi newpipe player BasePlayer changeState(BasePlayer java:583)_x000D_
	at org schabi newpipe player VideoPlayerImpl changeState(VideoPlayerImpl java:1102)_x000D_
	at org schabi newpipe player BasePlayer onPlayerStateChanged(BasePlayer java:798)_x000D_
	at com google android exoplayer2 ExoPlayerImpl PlaybackInfoUpdate lambda run 5 ExoPlayerImpl PlaybackInfoUpdate(ExoPlayerImpl java:828)_x000D_
	at com google android exoplayer2    Lambda ExoPlayerImpl PlaybackInfoUpdate AYkTJomZb3BnUDA59u8cvRVoKcM invokeListener(Unknown Source:2)_x000D_
	at com google android exoplayer2 BasePlayer ListenerHolder invoke(BasePlayer java:182)_x000D_
	at com google android exoplayer2 ExoPlayerImpl invokeAll(ExoPlayerImpl java:845)_x000D_
	at com google android exoplayer2 ExoPlayerImpl access 000(ExoPlayerImpl java:43)_x000D_
	at com google android exoplayer2 ExoPlayerImpl PlaybackInfoUpdate run(ExoPlayerImpl java:826)_x000D_
	at com google android exoplayer2 ExoPlayerImpl notifyListeners(ExoPlayerImpl java:736)_x000D_
	at com google android exoplayer2 ExoPlayerImpl updatePlaybackInfo(ExoPlayerImpl java:710)_x000D_
	at com google android exoplayer2 ExoPlayerImpl handlePlaybackInfo(ExoPlayerImpl java:652)_x000D_
	at com google android exoplayer2 ExoPlayerImpl handleEvent(ExoPlayerImpl java:595)_x000D_
	at com google android exoplayer2 ExoPlayerImpl 1 handleMessage(ExoPlayerImpl java:127)_x000D_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java:493)_x000D_
	at com android internal os ZygoteInit main(ZygoteInit java:925)_x000D_
_x000D_
   _x000D_
  details _x000D_
 hr _x000D_
_x000D_
_x000D_
_x000D_
_x000D_
     Please fill this out when you do not provide a log generate by NewPipe    _x000D_
_x000D_
    Device info_x000D_
_x000D_
   Android version Custom ROM version: Android 10 ASOiP 10 Quiche RMX1931 20200812_x000D_
   Device model: Realme X2 Pro RMX 1931_x000D_
</t>
  </si>
  <si>
    <t>TeamNewPipe-NewPipe-4744</t>
  </si>
  <si>
    <t>Youtube videos do not play</t>
  </si>
  <si>
    <t>Not sure if I should post it here  But there was a github link in the app _x000D_
_x000D_
EDIT: The legacy APP works fine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Idk  I installed from fdroid and YouTube videos won t play  Media CCC for example works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YouTube video do not play _x000D_
_x000D_
_x000D_
    Expected behavior_x000D_
     Tell us what you expect to happen     _x000D_
YouTube videos should play_x000D_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watch v ZsRcypd48PY_x000D_
    Content Country:   DE_x000D_
    Content Language:   de DE_x000D_
    App Language:   de DE_x000D_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Please fill this out when you do not provide a log generate by NewPipe    _x000D_
_x000D_
    Device info_x000D_
_x000D_
   Android version Custom ROM version: lineage sofiar userdebug 10 QQ3A 200805 001 eng asinet 20200917 220232 test keys_x000D_
   Device model: Moto G8 Power_x000D_
  The device is rooted</t>
  </si>
  <si>
    <t>Anuken-Mindustry-3216</t>
  </si>
  <si>
    <t xml:space="preserve">  Platform  :  Android iOS Mac Windows Linux  alalI think  but I was using android at the time so idk_x000D_
_x000D_
  Build  :  The build number under the title in the main menu  Required   LATEST  IS NOT A VERSION  I NEED THE EXACT BUILD NUMBER OF YOUR GAME   111_x000D_
_x000D_
  Issue  :  Explain your issue in detail   sili disapewring_x000D_
_x000D_
  Steps to reproduce  :  How you happened across the issue  and what exactly you did to make the bug happen   made t3 support_x000D_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its on a server called chaotic neutral anyways idk where to put but here is a video of it happening https:  youtu be iQyPI7OGY7s_x000D_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</si>
  <si>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k9mail-k-9-5035</t>
  </si>
  <si>
    <t>App crashes when sending new mail from shared inbox</t>
  </si>
  <si>
    <t xml:space="preserve">  Describe the bug  _x000D_
When trying to write a new mail from the shared inbox view the app crashes  _x000D_
_x000D_
  To Reproduce  _x000D_
Steps to reproduce the behavior:_x000D_
1  Go to shared inbox _x000D_
2  Click on write new email_x000D_
3  See error_x000D_
_x000D_
  Expected behavior  _x000D_
The app should not crash but open the mail editor _x000D_
_x000D_
  Screenshots  _x000D_
N A_x000D_
_x000D_
  Environment (please complete the following information):  _x000D_
   K 9 Mail version: 5 723_x000D_
   Android version: 10_x000D_
   Device: Huawei P30 Pro_x000D_
   Account type: IMAP_x000D_
_x000D_
  Additional context  _x000D_
N A_x000D_
_x000D_
  Logs  _x000D_
N A_x000D_
</t>
  </si>
  <si>
    <t>inaturalist-iNaturalistAndroid-930</t>
  </si>
  <si>
    <t>NullPointerException in INaturalistService.onHandleIntentWorker</t>
  </si>
  <si>
    <t xml:space="preserve">https:  console firebase google com u 2 project inaturalist ios crashlytics app android:org inaturalist android issues 8092bdb656db4c247b5a2a108f44205b_x000D_
_x000D_
   _x000D_
Fatal Exception: java lang NullPointerException: Attempt to read from field  java lang Object android util Pair first  on a null object reference_x000D_
       at org inaturalist android INaturalistService onHandleIntentWorker(INaturalistService java:1854)_x000D_
       at org inaturalist android INaturalistService 1 run(INaturalistService java:639)_x000D_
       at java lang Thread run(Thread java:929)_x000D_
   </t>
  </si>
  <si>
    <t>inaturalist-iNaturalistAndroid-929</t>
  </si>
  <si>
    <t>NullPointerException in INaturalistApp.listFilesRecursively</t>
  </si>
  <si>
    <t xml:space="preserve">https:  console firebase google com u 2 project inaturalist ios crashlytics app android:org inaturalist android issues aec4d483091d2dbbb636f95f0df2d955_x000D_
_x000D_
   _x000D_
Fatal Exception: java lang NullPointerException: Attempt to invoke virtual method  java io File   java io File listFiles()  on a null object reference_x000D_
       at org inaturalist android INaturalistApp listFilesRecursively(INaturalistApp java:311)_x000D_
       at org inaturalist android INaturalistApp access 000(INaturalistApp java:91)_x000D_
       at org inaturalist android INaturalistApp 2 run(INaturalistApp java:256)_x000D_
       at java lang Thread run(Thread java:764)_x000D_
   </t>
  </si>
  <si>
    <t>Anuken-Mindustry-3212</t>
  </si>
  <si>
    <t>No spawn point on built-in Archipielago map?</t>
  </si>
  <si>
    <t>Anuken-Mindustry-3208</t>
  </si>
  <si>
    <t>Crash when you controll an arc</t>
  </si>
  <si>
    <t xml:space="preserve">  Platform  : Android but happens everywhere including servers_x000D_
_x000D_
  Build  : 10947_x000D_
_x000D_
  Issue  : When you controll an arc and shoot it  the game crashes  If you do that on a server  every player on the server will crash _x000D_
_x000D_
  Steps to reproduce  : _x000D_
  Build an arc and a power source_x000D_
  Control it_x000D_
  Shoot_x000D_
_x000D_
  Link(s) to mod(s) used  : N A_x000D_
_x000D_
  Save file  : Happens everywhere but theres an example: _x000D_
 example msav txt (https:  github com Anuken Mindustry files 5469400 example msav txt)_x000D_
_x000D_
_x000D_
_x000D_
_x000D_
  Crash report  : _x000D_
 crash 1604160993564 txt (https:  github com Anuken Mindustry files 5469401 crash 1604160993564 txt)_x000D_
_x000D_
_x000D_
   _x000D_
_x000D_
 Place an X (no spaces) between the brackets to confirm that you have read the line below    _x000D_
   X    I have searched the closed and open issues to make sure that this problem has not already been reported   _x000D_
</t>
  </si>
  <si>
    <t>Anuken-Mindustry-3206</t>
  </si>
  <si>
    <t>Can only play Glacier or Veins in Sandbox mode</t>
  </si>
  <si>
    <t xml:space="preserve">  Platform  : Linux_x000D_
_x000D_
  Build  : v111_x000D_
_x000D_
  Issue  : These maps are usually for PvP  but don t show any icons on the Custom Game screen and can only be started in Sandbox mode _x000D_
_x000D_
  image (https:  user images githubusercontent com 71895 97780962 efa07900 1b7f 11eb 9413 e30916ab48d0 png)_x000D_
_x000D_
  Steps to reproduce  : Play    Custom Game    Glacier  Expect to be able to select Gamemode: PvP_x000D_
_x000D_
  Link(s) to mod(s) used  : No mods_x000D_
_x000D_
  Save file  : None needed  reproducible from Clear Game Data_x000D_
_x000D_
  Crash report  : No crash_x000D_
_x000D_
   _x000D_
_x000D_
 Place an X (no spaces) between the brackets to confirm that you have read the line below    _x000D_
   X    I have searched the closed and open issues to make sure that this problem has not already been reported   _x000D_
</t>
  </si>
  <si>
    <t>Anuken-Mindustry-3205</t>
  </si>
  <si>
    <t>Graphite and Titanium are easily confused unless zoomed in</t>
  </si>
  <si>
    <t xml:space="preserve">  Platform  : Linux_x000D_
_x000D_
  Build  : v111_x000D_
_x000D_
  Issue  : Graphite and Titanium are different shapes  but approximately the same colour  and when you have a full 10 s conveyor of each  the shape is harder to distinguish  Also happens to a lesser extent with titanium lead  but lead s at least a darker shade _x000D_
_x000D_
  Steps to reproduce  : Have a mess of fast conveyors each individually isolated to a single item type  then zoom out to a more overview like level and start building a new mine  accidentally connect it to a conveyor of the other type and notice the conveyor is no longer a uniform item stream _x000D_
_x000D_
I don t think we get confused with any other combination of items  and it s at least partially mitigated now that the Core acts as an incinerator at max capacity  rather than blocking everything _x000D_
_x000D_
  Link(s) to mod(s) used  : No mods_x000D_
_x000D_
  Save file  : https:  github com Anuken Mindustry files 5469101 campaign zip_x000D_
_x000D_
  Crash report  : No crash_x000D_
_x000D_
   _x000D_
_x000D_
 Place an X (no spaces) between the brackets to confirm that you have read the line below    _x000D_
   X    I have searched the closed and open issues to make sure that this problem has not already been reported   _x000D_
</t>
  </si>
  <si>
    <t>Anuken-Mindustry-3204</t>
  </si>
  <si>
    <t>Client and server Crashing constantly: 10942/-41</t>
  </si>
  <si>
    <t xml:space="preserve">  Platform  : Any  it seems like_x000D_
_x000D_
  Build  : 10942  41_x000D_
_x000D_
  Issue  : Client and server are crashing all the time  resulting in massive rollbacks _x000D_
_x000D_
 crash report 10 31 2020 14 26 10 txt (https:  github com Anuken Mindustry files 5469153 crash report 10 31 2020 14 26 10 txt)_x000D_
_x000D_
   _x000D_
_x000D_
 Place an X (no spaces) between the brackets to confirm that you have read the line below    _x000D_
   x    I have searched the closed and open issues to make sure that this problem has not already been reported   _x000D_
</t>
  </si>
  <si>
    <t>Anuken-Mindustry-3203</t>
  </si>
  <si>
    <t>Multiplayer campaign issues</t>
  </si>
  <si>
    <t xml:space="preserve">  Platform  : Linux_x000D_
_x000D_
  Build  : v111_x000D_
_x000D_
  Issue  : (feel free to tell me to open separate reports)_x000D_
_x000D_
1  Because clients cannot research on their own  they re also unable to access the Core Database_x000D_
2   Clients can t use the Host s new research if it needs a new  tab  in the bottom right _x000D_
3  At the end of a sector  the Clients  wave counter doesn t disappear like the Host s does_x000D_
4  This could be intentional  but when Launching to a new sector the resources spent are not transferred  making the beginning  very  slow going as you have to wait for every little bit of copper to build the copper mines _x000D_
5  When the Host launches to the next map a) it doesn t automatically Host b) the Clients don t automatically try to reconnect_x000D_
6  On clients  when left click dragging to build  sometimes  the dragging effect is ignored i e  it doesn t show the ghost buildings which still held down and only builds one  This is not due to an accidental middle click and  never  happens with conveyors  just buildings _x000D_
_x000D_
  Steps to reproduce  :_x000D_
_x000D_
1  Client    Research     Only the host can research items     ok  Expect a Core Database button and ideally a read only view of the research tree _x000D_
2  Host    Research    Copper Wall  Expect a wall section to appear without disconnecting reconnecting after the notification_x000D_
3  Survive wave 10_x000D_
4  Launch to Frozen Forest    Click on core  observe  10 items  Expect c  1000 copper_x000D_
5  Planet Map    new sector    Launch    Launch  Expect the clients to automatically join the new map_x000D_
6  Cannot reliably replicate  sorry_x000D_
_x000D_
  Link(s) to mod(s) used  : No mods_x000D_
_x000D_
  Save file  :  campaign zip (https:  github com Anuken Mindustry files 5469101 campaign zip)_x000D_
_x000D_
  Crash report  : No crash_x000D_
_x000D_
   _x000D_
_x000D_
 Place an X (no spaces) between the brackets to confirm that you have read the line below    _x000D_
   X    I have searched the closed and open issues to make sure that this problem has not already been reported   _x000D_
</t>
  </si>
  <si>
    <t>TeamNewPipe-NewPipe-4738</t>
  </si>
  <si>
    <t>Crash on rewind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</si>
  <si>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Start playing a video (full screen)  What I usually do is  Start playing in a pop up    maximise (don t know if this is relevant)  _x000D_
_x000D_
2  Double tap to rewind_x000D_
_x000D_
It doesn t happen every time  It s intermittent  But it happens often enough that I get it every day  multiple times a day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Crash  _x000D_
_x000D_
    Expected behavior_x000D_
     Tell us what you expect to happen     _x000D_
_x000D_
Rewind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Exception_x000D_
    User Action:   ui error_x000D_
    Request:   App crash  UI failure_x000D_
    Content Country:   GB_x000D_
    Content Language:   en_x000D_
    App Language:   en GB_x000D_
    Service:   none_x000D_
    Version:   0 20 2_x000D_
    OS:   Linux motorola ali n ali n:9 PPS29 55 37 7 445ae:user release keys 9   28_x000D_
 details  summary  b Crash log   b   summary  p _x000D_
_x000D_
   _x000D_
java lang NullPointerException: Attempt to read from field  java util ArrayList androidx core app NotificationCompat Builder mActions  on a null object reference_x000D_
    at org schabi newpipe player NotificationUtil shouldUpdateBufferingSlot(NotificationUtil java:151)_x000D_
    at org schabi newpipe player VideoPlayerImpl onBuffering(VideoPlayerImpl java:1121)_x000D_
    at org schabi newpipe player BasePlayer changeState(BasePlayer java:583)_x000D_
    at org schabi newpipe player VideoPlayerImpl changeState(VideoPlayerImpl java:1102)_x000D_
    at org schabi newpipe player BasePlayer onPlayerStateChanged(BasePlayer java:798)_x000D_
    at com google android exoplayer2 ExoPlayerImpl PlaybackInfoUpdate lambda run 5 ExoPlayerImpl PlaybackInfoUpdate(ExoPlayerImpl java:828)_x000D_
    at com google android exoplayer2    Lambda ExoPlayerImpl PlaybackInfoUpdate AYkTJomZb3BnUDA59u8cvRVoKcM invokeListener(Unknown Source:2)_x000D_
    at com google android exoplayer2 BasePlayer ListenerHolder invoke(BasePlayer java:182)_x000D_
    at com google android exoplayer2 ExoPlayerImpl invokeAll(ExoPlayerImpl java:845)_x000D_
    at com google android exoplayer2 ExoPlayerImpl access 000(ExoPlayerImpl java:43)_x000D_
    at com google android exoplayer2 ExoPlayerImpl PlaybackInfoUpdate run(ExoPlayerImpl java:826)_x000D_
    at com google android exoplayer2 ExoPlayerImpl notifyListeners(ExoPlayerImpl java:736)_x000D_
    at com google android exoplayer2 ExoPlayerImpl updatePlaybackInfo(ExoPlayerImpl java:710)_x000D_
    at com google android exoplayer2 ExoPlayerImpl handlePlaybackInfo(ExoPlayerImpl java:652)_x000D_
    at com google android exoplayer2 ExoPlayerImpl handleEvent(ExoPlayerImpl java:595)_x000D_
    at com google android exoplayer2 ExoPlayerImpl 1 handleMessage(ExoPlayerImpl java:127)_x000D_
    at android os Handler dispatchMessage(Handler java:106)_x000D_
    at android os Looper loop(Looper java:193)_x000D_
    at android app ActivityThread main(ActivityThread java:6923)_x000D_
    at java lang reflect Method invoke(Native Method)_x000D_
    at com android internal os RuntimeInit MethodAndArgsCaller run(RuntimeInit java:493)_x000D_
    at com android internal os ZygoteInit main(ZygoteInit java:870)_x000D_
_x000D_
   _x000D_
  details _x000D_
 hr _x000D_
_x000D_
_x000D_
</t>
  </si>
  <si>
    <t>AOF-Dev-MCinaBox-622</t>
  </si>
  <si>
    <t>I have 2 problems.</t>
  </si>
  <si>
    <t xml:space="preserve">  Describe the bug  _x000D_
Two problems:_x000D_
1 Why did I change the download source and refresh the game download list and crash _x000D_
2 My settings are OK  but starting the game will cause the launcher to crash _x000D_
(special setting: game directory is  private directory )_x000D_
_x000D_
My program crashed _x000D_
Mobile phone: Redmi Note 5 Plus_x000D_
System: stable version of MIUI 11 0 3_x000D_
_x000D_
  To Reproduce  _x000D_
Steps to reproduce the behavior:_x000D_
Problem 1:_x000D_
1  Enter the starter settings and change the download source_x000D_
2  Enter the game download page (at this time  it has been loaded once before changing the download source)  and click refresh_x000D_
3  then    And it broke down   _x000D_
_x000D_
Problem 2:_x000D_
Start the game directly  and then crash when starting after checking _x000D_
_x000D_
</t>
  </si>
  <si>
    <t>Anuken-Mindustry-3200</t>
  </si>
  <si>
    <t>Routers moved with Mega are controlled weirdly</t>
  </si>
  <si>
    <t xml:space="preserve">  Platform  :  Windows 7 _x000D_
_x000D_
  Build  :  111  _x000D_
_x000D_
  Issue  :  When moving routers using mega and trying to control them camera and control preview are fixed at their old positions  Re loading the map fixes it until they are moved again  _x000D_
_x000D_
  Steps to reproduce  :  Control mega  pick up a router  drop it elsewhere  try to control the router _x000D_
_x000D_
  Link(s) to mod(s) used  :  No mods  _x000D_
_x000D_
  Save file  :  mindustrySave zip (https:  github com Anuken Mindustry files 5468802 mindustrySave zip)_x000D_
_x000D_
  Crash report  :  No crash  _x000D_
_x000D_
   _x000D_
_x000D_
 Place an X (no spaces) between the brackets to confirm that you have read the line below    _x000D_
   X     I have searched the closed and open issues to make sure that this problem has not already been reported   _x000D_
_x000D_
  Control preview (https:  user images githubusercontent com 52933466 97775253 4dc56000 1b70 11eb 983b 6657920dd8ac png)</t>
  </si>
  <si>
    <t>Anuken-Mindustry-3199</t>
  </si>
  <si>
    <t>Crash Report in an unexplored sector (Different Crash Report from the already reported one)</t>
  </si>
  <si>
    <t xml:space="preserve">  Platform  :  Windows 7 _x000D_
_x000D_
  Build  :  10931 _x000D_
_x000D_
  Issue  :  Entering Sector 64 will crash the game  This affected my resources in other sectors  _x000D_
_x000D_
  Steps to reproduce  : _x000D_
 1  Go to Campaign_x000D_
2  Launch my core to Sector 64 _x000D_
3     _x000D_
4  Crash    Not stonks _x000D_
_x000D_
  Link(s) to mod(s) used  :  N A _x000D_
_x000D_
  Save file  :  N A  it s a campaign sector _x000D_
_x000D_
  Crash report  : _x000D_
 crash report 10 31 2020 15 50 30 txt (https:  github com Anuken Mindustry files 5468743 crash report 10 31 2020 15 50 30 txt)_x000D_
_x000D_
   X    I have searched the closed and open issues to make sure that this problem has not already been reported   _x000D_
</t>
  </si>
  <si>
    <t>Anuken-Mindustry-3198</t>
  </si>
  <si>
    <t>Call.label being glitchy on a server</t>
  </si>
  <si>
    <t xml:space="preserve">  Platform  :  Android iOS Mac Windows Linux _x000D_
Windows_x000D_
_x000D_
  Build  :  The build number under the title in the main menu  Required   LATEST  IS NOT A VERSION  I NEED THE EXACT BUILD NUMBER OF YOUR GAME  _x000D_
111_x000D_
_x000D_
  Issue  :  Explain your issue in detail  _x000D_
When Call label is done on a server  whatever was the label appears in the center of your screen for 1 frame _x000D_
_x000D_
  Steps to reproduce  :  How you happened across the issue  and what exactly you did to make the bug happen  _x000D_
Using Call label on  pl  other players did indeed confirm this happening_x000D_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</si>
  <si>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Anuken-Mindustry-3197</t>
  </si>
  <si>
    <t>player stuck in the duo</t>
  </si>
  <si>
    <t xml:space="preserve">  Platform  :  Android _x000D_
_x000D_
  Build  :  v6 _x000D_
_x000D_
  Issue  :  After my baby clicking on some objects  i stuck in a duo  Just look at the screenshot _x000D_
_x000D_
  Steps to reproduce  :  My baby did it so i don t know why  What i do know is that he was fast  triple clicking on my duo _x000D_
_x000D_
  Link(s) to mod(s) used  :  None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mindustry stuck in duo  zip (https:  github com Anuken Mindustry files 5468654 mindustry stuck in duo zip)_x000D_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</si>
  <si>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oliexdev-openWorkout-17</t>
  </si>
  <si>
    <t>App crashed after deleting custom exercise images.</t>
  </si>
  <si>
    <t xml:space="preserve">Possible bug with the app handling of images _x000D_
I created a custom workout and added some exercises with custom images _x000D_
I was expecting that open workout made a backup of such images in some internal data folder  so I moved the images from my phone into the recycle bin using the gallery app _x000D_
After that trying to open my custom workout causes the application to crash _x000D_
Trying to restore the images into the original folder didn t solve the issue _x000D_
_x000D_
Here is a log of the crash:_x000D_
_x000D_
 Build version: 1 2 _x000D_
Build date: 1979 11 30 01:00:00 _x000D_
Current date: 2020 10 31 08:17:16 _x000D_
Device: Motorola moto g(8) power _x000D_
 _x000D_
Stack trace:  _x000D_
java lang SecurityException: Permission Denial: opening provider com android providers media MediaDocumentsProvider from ProcessRecord cd4ab38 27687:com health openworkout u0a225  (pid 27687  uid 10225) requires that you obtain access using ACTION OPEN DOCUMENT or related APIs_x000D_
	at android os Parcel createException(Parcel java:2071)_x000D_
	at android os Parcel readException(Parcel java:2039)_x000D_
	at android os Parcel readException(Parcel java:1987)_x000D_
	at android app IActivityManager Stub Proxy getContentProvider(IActivityManager java:5226)_x000D_
	at android app ActivityThread acquireProvider(ActivityThread java:6802)_x000D_
	at android app ContextImpl ApplicationContentResolver acquireUnstableProvider(ContextImpl java:2748)_x000D_
	at android content ContentResolver acquireUnstableProvider(ContentResolver java:2117)_x000D_
	at android content ContentResolver openTypedAssetFileDescriptor(ContentResolver java:1671)_x000D_
	at android content ContentResolver openAssetFileDescriptor(ContentResolver java:1503)_x000D_
	at android content ContentResolver openAssetFileDescriptor(ContentResolver java:1420)_x000D_
	at android graphics ImageDecoder ContentResolverSource createImageDecoder(ImageDecoder java:277)_x000D_
	at android graphics ImageDecoder decodeDrawableImpl(ImageDecoder java:1743)_x000D_
	at android graphics ImageDecoder decodeDrawable(ImageDecoder java:1736)_x000D_
	at android widget ImageView getDrawableFromUri(ImageView java:1022)_x000D_
	at android widget ImageView resolveUri(ImageView java:991)_x000D_
	at android widget ImageView setImageURI(ImageView java:568)_x000D_
	at b b q n setImageURI(Unknown Source:0)_x000D_
	at d c a b f n a(:1)_x000D_
	at androidx recyclerview widget RecyclerView t a(:98)_x000D_
	at androidx recyclerview widget LinearLayoutManager c a(:5)_x000D_
	at androidx recyclerview widget LinearLayoutManager a(Unknown Source:0)_x000D_
	at androidx recyclerview widget LinearLayoutManager a(:6)_x000D_
	at androidx recyclerview widget LinearLayoutManager c(:22)_x000D_
	at androidx recyclerview widget RecyclerView f(Unknown Source:38)_x000D_
	at androidx recyclerview widget RecyclerView d(:6)_x000D_
	at androidx recyclerview widget RecyclerView onLayout(Unknown Source:5)_x000D_
	at android view View layout(View java:21973)_x000D_
	at android view ViewGroup layout(ViewGroup java:6263)_x000D_
	at androidx constraintlayout widget ConstraintLayout onLayout(Unknown Source:70)_x000D_
	at android view View layout(View java:21973)_x000D_
	at android view ViewGroup layout(ViewGroup java:6263)_x000D_
	at android widget FrameLayout layoutChildren(FrameLayout java:332)_x000D_
	at android widget FrameLayout onLayout(FrameLayout java:270)_x000D_
	at android view View layout(View java:21973)_x000D_
	at android view ViewGroup layout(ViewGroup java:6263)_x000D_
	at androidx constraintlayout widget ConstraintLayout onLayout(Unknown Source:70)_x000D_
	at android view View layout(View java:21973)_x000D_
	at android view ViewGroup layout(ViewGroup java:6263)_x000D_
	at d b a a m f b(:6)_x000D_
	at d b a a m g a(Unknown Source:0)_x000D_
	at androidx coordinatorlayout widget CoordinatorLayout onLayout(:2)_x000D_
	at android view View layout(View java:21973)_x000D_
	at android view ViewGroup layout(ViewGroup java:6263)_x000D_
	at androidx drawerlayout widget DrawerLayout onLayout(Unknown Source:57)_x000D_
	at android view View layout(View java:21973)_x000D_
	at android view ViewGroup layout(ViewGroup java:6263)_x000D_
	at android widget FrameLayout layoutChildren(FrameLayout java:332)_x000D_
	at android widget FrameLayout onLayout(FrameLayout java:270)_x000D_
	at android view View layout(View java:21973)_x000D_
	at android view ViewGroup layout(ViewGroup java:6263)_x000D_
	at android widget LinearLayout setChildFrame(LinearLayout java:1829)_x000D_
	at android widget LinearLayout layoutVertical(LinearLayout java:1673)_x000D_
	at android widget LinearLayout onLayout(LinearLayout java:1582)_x000D_
	at android view View layout(View java:21973)_x000D_
	at android view ViewGroup layout(ViewGroup java:6263)_x000D_
	at android widget FrameLayout layoutChildren(FrameLayout java:332)_x000D_
	at android widget FrameLayout onLayout(FrameLayout java:270)_x000D_
	at android view View layout(View java:21973)_x000D_
	at android view ViewGroup layout(ViewGroup java:6263)_x000D_
	at android widget LinearLayout setChildFrame(LinearLayout java:1829)_x000D_
	at android widget LinearLayout layoutVertical(LinearLayout java:1673)_x000D_
	at android widget LinearLayout onLayout(LinearLayout java:1582)_x000D_
	at android view View layout(View java:21973)_x000D_
	at android view ViewGroup layout(ViewGroup java:6263)_x000D_
	at android widget FrameLayout layoutChildren(FrameLayout java:332)_x000D_
	at android widget FrameLayout onLayout(FrameLayout java:270)_x000D_
	at com android internal policy DecorView onLayout(DecorView java:799)_x000D_
	at android view View layout(View java:21973)_x000D_
	at android view ViewGroup layout(ViewGroup java:6263)_x000D_
	at android view ViewRootImpl performLayout(ViewRootImpl java:3108)_x000D_
	at android view ViewRootImpl performTraversals(ViewRootImpl java:2618)_x000D_
	at android view ViewRootImpl doTraversal(ViewRootImpl java:1749)_x000D_
	at android view ViewRootImpl TraversalRunnable run(ViewRootImpl java:7692)_x000D_
	at android view Choreographer CallbackRecord run(Choreographer java:966)_x000D_
	at android view Choreographer doCallbacks(Choreographer java:790)_x000D_
	at android view Choreographer doFrame(Choreographer java:725)_x000D_
	at android view Choreographer FrameDisplayEventReceiver run(Choreographer java:951)_x000D_
	at android os Handler handleCallback(Handler java:883)_x000D_
	at android os Handler dispatchMessage(Handler java:100)_x000D_
	at android os Looper loop(Looper java:241)_x000D_
	at android app ActivityThread main(ActivityThread java:7604)_x000D_
	at java lang reflect Method invoke(Native Method)_x000D_
	at com android internal os RuntimeInit MethodAndArgsCaller run(RuntimeInit java:492)_x000D_
	at com android internal os ZygoteInit main(ZygoteInit java:941)_x000D_
Caused by: android os RemoteException: Remote stack trace:_x000D_
	at com android server am ActivityManagerService getContentProviderImpl(ActivityManagerService java:7210)_x000D_
	at com android server am ActivityManagerService getContentProvider(ActivityManagerService java:7639)_x000D_
	at android app IActivityManager Stub onTransact(IActivityManager java:2169)_x000D_
	at com android server am ActivityManagerService onTransact(ActivityManagerService java:3007)_x000D_
	at android os Binder execTransactInternal(Binder java:1036)_x000D_
_x000D_
 </t>
  </si>
  <si>
    <t>Anuken-Mindustry-3196</t>
  </si>
  <si>
    <t xml:space="preserve">  Platform  :  Android iOS Mac Windows Linux _x000D_
_x000D_
  Build  :  The build number under the title in the main menu  Required   LATEST  IS NOT A VERSION  I NEED THE EXACT BUILD NUMBER OF YOUR GAME   bleeding edge 10931_x000D_
_x000D_
  Issue  :  Explain your issue in detail  _x000D_
game crashed when going into a sector_x000D_
_x000D_
  Steps to reproduce  :  How you happened across the issue  and what exactly you did to make the bug happen  _x000D_
1  go to sector  farming base  (pentagon north of ground 0)_x000D_
2  no_x000D_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https:  drive google com file d 1 lKMgvD78dAQMg2VFUg8ZoLUGZZnd2 m view usp sharing_x000D_
_x000D_
_x000D_
_x000D_
  Crash report  :  The contents of relevant crash report files  REQUIRED if you are reporting a crash  _x000D_
 crash report 10 31 2020 01 53 30 txt (https:  github com Anuken Mindustry files 5468587 crash report 10 31 2020 01 53 30 txt)_x000D_
_x000D_
   _x000D_
_x000D_
 Place an X (no spaces) between the brackets to confirm that you have read the line below    _x000D_
   X    I have searched the closed and open issues to make sure that this problem has not already been reported   _x000D_
</t>
  </si>
  <si>
    <t>aws-amplify-amplify-android-944</t>
  </si>
  <si>
    <t>[DataStore] CursorWindowAllocationException crash for large datasets</t>
  </si>
  <si>
    <t xml:space="preserve">Hey guys  I have some issues and usage questions:_x000D_
_x000D_
What I am doing is just calling   the first query method on the DataStore of a single model    and at that moment Amplify starts to   sync download all the data from all the models    _x000D_
_x000D_
  Issue description:  _x000D_
_x000D_
The problem I noticed is that when the amount of data in the DynamoDB started to increase  the first synchronization started to fail  _x000D_
_x000D_
We have two main models  Location and Activities  Each location has  N  activities and they will be assigned to each user on a daily basis  _x000D_
_x000D_
We made some calculations and found that each user will have approximately 1350 activities assigned per month within 150 different locations  We want to previously populate the database with locations and activities for a full month for each user  So each month will have 1500 rows in total  With this amount of data  I found the following issues just in the first sync:_x000D_
_x000D_
 First sync: When the user logs in for the first time and I perform the first query  after that everything seems to work fine  _x000D_
_x000D_
 First query: _x000D_
_x000D_
   _x000D_
fun getTaskList(_x000D_
        onResponse: (value: List Ubicacion )    Unit _x000D_
        onFailure: (value: DataStoreException)    Unit_x000D_
    )  _x000D_
        Amplify DataStore query(Ubicacion::class java _x000D_
            Where matches(Ubicacion FECHA eq(Utils getCurrentDateString())) _x000D_
              matches   _x000D_
                Log i(_x000D_
                     TaskDataStore  _x000D_
                     Obtained today s   Utils getCurrentDateString()  task list:  matches _x000D_
                )_x000D_
                onResponse(matches asSequence() toList())_x000D_
              _x000D_
              onFailure(it)  _x000D_
        )_x000D_
  _x000D_
   _x000D_
  Issues:  _x000D_
_x000D_
1   In low range smartphones (Samsung Galaxy A8  A10   LGE LM K410)  I found this issue:_x000D_
_x000D_
      CursorWindowAllocationException_x000D_
      Cursor window allocation of 2097152 bytes failed    Open Cursors 442 (  cursors opened by this proc 442)_x000D_
_x000D_
      More information in: https:  sentry io share issue 78f9af09c61b4a6e925035f6819ae6cd _x000D_
_x000D_
2   In mid range smartphones  sometimes I have a  TimeOutException  like in this issue:  563_x000D_
_x000D_
  Expected result:  _x000D_
_x000D_
Amplify only syncs download the locations and activities of this single day  for this user  So the app doesn t have memory issues  OR Amplify syncs downloads by small chunks of data _x000D_
_x000D_
  Current result  _x000D_
_x000D_
Amplify syncs downloads all the information previously registered information and in low mid range smartphones the application crashes  even though I only queried today s locations _x000D_
_x000D_
  Usage question:  _x000D_
_x000D_
Is there a way to implement this with the current version of the API or this would be something like a new feature </t>
  </si>
  <si>
    <t>nextcloud-android-7187</t>
  </si>
  <si>
    <t>Crash when viewing folder with some videos</t>
  </si>
  <si>
    <t xml:space="preserve">I am writing this quickly on my phone  some information is missing for right now  I ll edit with more info later _x000D_
_x000D_
    Steps to reproduce_x000D_
I unfortunately cannot provide exact instructions to reproduce  It seems to happen when quickly opening folders that have not been cached yet  I got the error multiple times by just randomly clicking around  but was never to get it to crash again when opening the same folder afterwards  _x000D_
_x000D_
    Expected behaviour_x000D_
  Tell us what should happen_x000D_
_x000D_
    Actual behaviour_x000D_
Crash  see below_x000D_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11_x000D_
_x000D_
Device model: Pixel 3a_x000D_
_x000D_
Stock or customized system: stock_x000D_
_x000D_
Nextcloud app version: 3 14 0 RC 1_x000D_
_x000D_
Nextcloud server version: 20 something_x000D_
_x000D_
Reverse proxy: nginx_x000D_
_x000D_
    Logs_x000D_
     Web server error log_x000D_
   _x000D_
Insert your webserver log here_x000D_
   _x000D_
_x000D_
     Nextcloud log (data nextcloud log)_x000D_
   _x000D_
             CAUSE OF ERROR             _x000D_
_x000D_
android app RemoteServiceException: Context startForegroundService() did not then call Service startForeground(): ServiceRecord 19c7d0 u0 com nextcloud client  media PlayerService _x000D_
	at android app ActivityThread H handleMessage(ActivityThread java:2005)_x000D_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APP INFORMATION             _x000D_
ID: com nextcloud client_x000D_
Version: 30140051_x000D_
Build flavor: gplay_x000D_
_x000D_
             DEVICE INFORMATION             _x000D_
Brand: google_x000D_
Device: sargo_x000D_
Model: Pixel 3a_x000D_
Id: RP1A 201005 004_x000D_
Product: sargo_x000D_
_x000D_
             FIRMWARE             _x000D_
SDK: 30_x000D_
Release: 11_x000D_
Incremental: 6782484_x000D_
   _x000D_
  NOTE:   Be super sure to remove sensitive data like passwords  note that everybody can look here  You can use the Issue Template application to prefill some of the required information: https:  apps nextcloud com apps issuetemplate_x000D_
</t>
  </si>
  <si>
    <t>nextcloud-android-7185</t>
  </si>
  <si>
    <t>Crash on Samsung s10+</t>
  </si>
  <si>
    <t xml:space="preserve">
    Steps to reproduce
1  I cannot reproduce this  it crashed just sometimes
             CAUSE OF ERROR             
android app RemoteServiceException: Context startForegroundService() did not then call Service startForeground(): ServiceRecord aa52e82 u0 com nextcloud android beta com nextcloud client media PlayerService 
	at android app ActivityThread H handleMessage(ActivityThread java:2188)
	at android os Handler dispatchMessage(Handler java:107)
	at android os Looper loop(Looper java:237)
	at android app ActivityThread main(ActivityThread java:8167)
	at java lang reflect Method invoke(Native Method)
	at com android internal os RuntimeInit MethodAndArgsCaller run(RuntimeInit java:496)
	at com android internal os ZygoteInit main(ZygoteInit java:1100)
             APP INFORMATION             
ID: com nextcloud android beta
Version: 20201001
Build flavor: versionDev
             DEVICE INFORMATION             
Brand: samsung
Device: beyond2
Model: SM G975F
Id: QP1A 190711 020
Product: beyond2lteeea
             FIRMWARE             
SDK: 29
Release: 10
Incremental: G975FXXU8DTH7
</t>
  </si>
  <si>
    <t>TeamNewPipe-NewPipe-4731</t>
  </si>
  <si>
    <t>Videos doesnt load</t>
  </si>
  <si>
    <t>nextcloud-android-7184</t>
  </si>
  <si>
    <t>crash when granting acces on Samsung S7</t>
  </si>
  <si>
    <t xml:space="preserve">    Steps to reproduce_x000D_
1  Frech install Nextcloud in Samsung s7_x000D_
2  Login with Username and Password _x000D_
3  Press  grant access _x000D_
_x000D_
    Actual behaviour_x000D_
  crash:_x000D_
_x000D_
             CAUSE OF ERROR             _x000D_
_x000D_
java lang NullPointerException: Attempt to invoke virtual method _x000D_
  com owncloud android lib resources status CapabilityBooleanType com owncloud android lib resources status OCCapability getRichDocuments()  on a null object reference_x000D_
	at com owncloud android ui fragment OCFileListBottomSheetDialog onCreate(OCFileListBottomSheetDialog java:128)_x000D_
	at android app Dialog dispatchOnCreate(Dialog java:494)_x000D_
	at android app Dialog show(Dialog java:342)_x000D_
	at com owncloud android ui fragment OCFileListFragment lambda registerFabListener 2 OCFileListFragment(OCFileListFragment java:442)_x000D_
	at com owncloud android ui fragment    Lambda OCFileListFragment aYkoWPoxzAOahKL5AVjT06NhcnM onClick(Unknown Source:4)_x000D_
	at android view View performClick(View java:6897)_x000D_
	at android view View PerformClick run(View java:26104)_x000D_
	at android os Handler handleCallback(Handler java:789)_x000D_
	at android os Handler dispatchMessage(Handler java:98)_x000D_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_x000D_
             APP INFORMATION             _x000D_
ID: com nextcloud android beta_x000D_
Version: 20201022_x000D_
Build flavor: versionDev_x000D_
_x000D_
             DEVICE INFORMATION             _x000D_
Brand: samsung_x000D_
Device: herolte_x000D_
Model: SM G930F_x000D_
Id: R16NW_x000D_
Product: heroltexx_x000D_
_x000D_
             FIRMWARE             _x000D_
SDK: 26_x000D_
Release: 8 0 0_x000D_
Incremental: G930FXXU8ETF2_x000D_
</t>
  </si>
  <si>
    <t>TeamNewPipe-NewPipe-4730</t>
  </si>
  <si>
    <t>Fails to open a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</si>
  <si>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v0 20 2_x000D_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the first listed video_x000D_
2  Press on Play button_x000D_
3  App fails to play  logcat says_x000D_
   _x000D_
   _x000D_
  image (https:  user images githubusercontent com 2119348 97747662 4fcce780 1aba 11eb 9d07 d516e904ce7b png)_x000D_
_x000D_
_x000D_
    Actual behavior_x000D_
App fails to play the video_x000D_
_x000D_
_x000D_
    Expected behavior_x000D_
App plays the video_x000D_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5 0_x000D_
   Device model: MANTA TV_x000D_
</t>
  </si>
  <si>
    <t>TeamNewPipe-NewPipe-4729</t>
  </si>
  <si>
    <t>No playback at all with version 0.20.0</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</si>
  <si>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</si>
  <si>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Anuken-Mindustry-3193</t>
  </si>
  <si>
    <t>logical operation “not” return a wrong number</t>
  </si>
  <si>
    <t xml:space="preserve">  Platform  :  Android _x000D_
_x000D_
  Build  :  beta build 111 _x000D_
_x000D_
  Issue  :  i wrote these following code in a microprocessor and built a message block linked to the microprocessor:_x000D_
_x000D_
set a 1_x000D_
op not b a b_x000D_
print b_x000D_
printflush message1_x000D_
_x000D_
and i got a negative two printed on the message1 block_x000D_
 if i change  set a 1  to  set a 0   i got a negative one _x000D_
 _x000D_
_x000D_
  Steps to reproduce  :  follow the steps i wrote above  the bug occurs _x000D_
_x000D_
  Link(s) to mod(s) used  :  i didn t install any mod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i m not sure about this section   if i need to upload the zip file  how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</si>
  <si>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SkyTubeTeam-SkyTube-827</t>
  </si>
  <si>
    <t>Crash when updating youtube channels</t>
  </si>
  <si>
    <t xml:space="preserve">I have a crash of the application when updating the youtube channels _x000D_
_x000D_
Don t have this problem with previous version _x000D_
_x000D_
Do you have a path to the log file </t>
  </si>
  <si>
    <t>Anuken-Mindustry-3189</t>
  </si>
  <si>
    <t>Negative amount of resource in the campaign</t>
  </si>
  <si>
    <t xml:space="preserve">  Platform  : Android_x000D_
_x000D_
  Build  : 10903_x000D_
_x000D_
  Issue  : I launched to the sector 227 with some plast in loadout  I built some unloaders next to core and conveyors to transport plastanium  Then i went to another sector and been here for 1 minute  I went back to the 227 and noticed that I ve got negative amount of plastanium (look at the building tab) _x000D_
  IMG 20201030 125553 592 (https:  user images githubusercontent com 69920617 97680957 f14f3b80 1ab0 11eb 85eb 08da81ce5461 jpg)_x000D_
_x000D_
_x000D_
  Steps to reproduce  : _x000D_
1  Launch to sector N _x000D_
2  Build some unloaders to create a negative resource flow _x000D_
3  Go to another sector and wait a while _x000D_
4  Go back to sector N_x000D_
_x000D_
  No mods used     _x000D_
_x000D_
  Save file  :  sector serpulo 227 msav txt (https:  github com Anuken Mindustry files 5464097 sector serpulo 227 msav txt)_x000D_
_x000D_
_x000D_
  No crash happened  _x000D_
_x000D_
   _x000D_
   X    I have searched the closed and open issues to make sure that this problem has not already been reported   _x000D_
</t>
  </si>
  <si>
    <t>microg-FakeStore-24</t>
  </si>
  <si>
    <t>Incompatible with OneDrive 6.16? - how to downgrade</t>
  </si>
  <si>
    <t>Hi _x000D_
_x000D_
I ve  accidently  upgraded on LOS 17 1 MicroG from 0 0 2 to 0 1 0   all working fine but previously installed Microsoft OneDrive app is now crashing instantly after start   I wanted to test with 0 0 2 again  but can t downgrade with F Droid ( Error  25: The new package has an older version code than the currently installed package)_x000D_
_x000D_
Is there any hint available how to downgrade FakeStore back to 0 0 2   thank you very much _x000D_
_x000D_
(and keep on the good work   )</t>
  </si>
  <si>
    <t>AOF-Dev-MCinaBox-618</t>
  </si>
  <si>
    <t>Crash forge</t>
  </si>
  <si>
    <t xml:space="preserve">  Describe the crash  _x000D_
This crash happens all the time _x000D_
1 7 10 if i put in three mods crash_x000D_
1 12 2 forge crash  it has shutting down internal server_x000D_
Sometimes it doesn t it just freezing and then crash_x000D_
The only playable ones are 1 8 9 below_x000D_
Pls make  A playable 1 12 2 in the 0 1 4 full release in the future_x000D_
Pls fix this crash idk how to fix crash_x000D_
   Device:  redmi note 7 _x000D_
   OS:  e g  Android 10 _x000D_
   App Version  e g  v0 1 3 and 0 1 4 _x000D_
</t>
  </si>
  <si>
    <t>oatmael-Sneezy-24</t>
  </si>
  <si>
    <t>App crashing after login on fresh install</t>
  </si>
  <si>
    <t xml:space="preserve">When the app is freshly installed  I will log in and the login toast message will show up  But then it will instantly crash showing the error below _x000D_
The crash will not occur when logging out and logging in straight away _x000D_
Or when logging out  closing the app  and logging in _x000D_
_x000D_
  image (https:  user images githubusercontent com 61568703 97661019 22d10280 1ac3 11eb 97da e9e325cbbbae png)_x000D_
</t>
  </si>
  <si>
    <t>TeamNewPipe-NewPipe-4714</t>
  </si>
  <si>
    <t>V20 keeps crashing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</si>
  <si>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1_x000D_
  Screenshot 2020 10 30 09 01 58 772 org schabi newpipe (https:  user images githubusercontent com 73680651 97657572 3adb5e80 1a90 11eb 9245 6b49b7cc0a0c jpg)newpipe could not parse the website_x000D_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App keeps on showing the error   newpipe could not parse the website_x000D_
_x000D_
    Expected behavior_x000D_
     Tell us what you expect to happen     _x000D_
_x000D_
Should show YouTube video_x000D_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 10 30 09 01 58 772 org schabi newpipe (https:  user images githubusercontent com 73680651 97657724 960d5100 1a90 11eb 976b de646b30b50e jpg)_x000D_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Exception_x000D_
    User Action:   requested stream_x000D_
    Request:   https:  www youtube com watch v l8E JSBQ6M0_x000D_
    Content Country:   US_x000D_
    Content Language:   en US_x000D_
    App Language:   en US_x000D_
    Service:   YouTube_x000D_
    Version:   0 20 1_x000D_
    OS:   Linux Android 9   28_x000D_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_x000D_
_x000D_
     That s right  here     _x000D_
_x000D_
_x000D_
_x000D_
     Please fill this out when you do not provide a log generate by NewPipe    _x000D_
_x000D_
    Device info_x000D_
_x000D_
   Android version Custom ROM version:_x000D_
   Device model:_x000D_
</t>
  </si>
  <si>
    <t>TeamNewPipe-NewPipe-4712</t>
  </si>
  <si>
    <t>Player: app does not show bottom bar player after exiting NewPipe with active background player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</si>
  <si>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 song in background_x000D_
2  Exit NewPipe with back button_x000D_
3  Open back NewPipe_x000D_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When reopen NewPipe  while the background player is active  NewPipe does not show the bottom player bar to indicate active playing  _x000D_
_x000D_
_x000D_
    Expected behavior_x000D_
     Tell us what you expect to happen     _x000D_
When reopen NewPipe with a background player active  the NewPipe app should show the bottom player bar like how it is before the app was closed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Screenshot 20201030 030829 (https:  user images githubusercontent com 17796518 97621751 4e6dd180 1a5e 11eb 8dfd dc41570009ae jpg)_x000D_
_x000D_
_x000D_
_x000D_
    Logs_x000D_
     If your bug includes a crash (where you re shown the Error Report page with a bunch of info)  tap on  Copy formatted report  at the bottom and paste it here:    _x000D_
_x000D_
     That s right  here     _x000D_
 none _x000D_
_x000D_
_x000D_
     Please fill this out when you do not provide a log generate by NewPipe    _x000D_
_x000D_
    Device info_x000D_
_x000D_
   Android version Custom ROM version: 9 Havoc 2 8_x000D_
   Device model: SM N910G_x000D_
</t>
  </si>
  <si>
    <t>TeamNewPipe-NewPipe-4711</t>
  </si>
  <si>
    <t>The items and symbols of settings list in Arabic version should be aligned to the right.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</si>
  <si>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Change the system language to Arabic  run the application and then:_x000D_
1  Go to          _x000D_
2  Press on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items and symbols are aligned to left  but we are reading Arabic from right to left _x000D_
_x000D_
_x000D_
    Expected behavior_x000D_
     Tell us what you expect to happen     _x000D_
The items and symbols in Arabic should be aligned to the right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image (https:  user images githubusercontent com 27960593 97617821 ed76d700 1a26 11eb 9fe5 224aa03f24c8 png)_x000D_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Please fill this out when you do not provide a log generate by NewPipe    _x000D_
_x000D_
    Device info_x000D_
_x000D_
   Android version Custom ROM version: Android 11_x000D_
   Device model: All android devices_x000D_
</t>
  </si>
  <si>
    <t>TeamNewPipe-NewPipe-4707</t>
  </si>
  <si>
    <t>APP closes without error message</t>
  </si>
  <si>
    <t xml:space="preserve">  Checklist_x000D_
_x000D_
   x  I am using the latest version   0 20 2_x000D_
   x  I checked  but didn t find any duplicates (open OR closed) of this issue in the repo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 chosen Video _x000D_
2  After approx  01:30 the APP closes immediately without any error message _x000D_
_x000D_
_x000D_
    Actual behaviour_x000D_
     Tell us what happens with the steps given above     _x000D_
_x000D_
1  Open APP again and start same Video  it plays Form 01:30 until 03:15  then APP closes again _x000D_
2  Open APP again and start same video  it starts to play again from 01:30 until 03:15 and APP closes again _x000D_
_x000D_
    Expected behavior_x000D_
     Tell us what you expect to happen     _x000D_
Video should play until it finished and APP should be open to use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Android 5_x000D_
   Device model: FireTV Box Model 2017_x000D_
</t>
  </si>
  <si>
    <t>Anuken-Mindustry-3183</t>
  </si>
  <si>
    <t>ADD MORE MIND FOR DRONES</t>
  </si>
  <si>
    <t xml:space="preserve">  Platform  :  Android iOS Mac Windows Linux _x000D_
_x000D_
  Issue  :  When boss crash everything  drones just chill on enemy spawn  _x000D_
_x000D_
  Steps to reproduce  :  Every time  they are always very stupid  _x000D_
_x000D_
  Link(s) to mod(s) used  :  No use  </t>
  </si>
  <si>
    <t>TeamNewPipe-NewPipe-legacy-51</t>
  </si>
  <si>
    <t>Error report: could not parse website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</si>
  <si>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 video searched or recommended _x000D_
2  Press on  the video to play it and bug occurs _x000D_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video does not play and I get an error message saying that it could not parse the website _x000D_
_x000D_
    Expected behavior_x000D_
     Tell us what you expect to happen     _x000D_
The video to start playing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Exception_x000D_
    User Action:   requested stream_x000D_
    Request:   https:  www youtube com watch v 9qCjTJ3184k_x000D_
    Content Country:   NL_x000D_
    Content Language:   en NL_x000D_
    App Language:   en NL_x000D_
    Service:   YouTube_x000D_
    Version:   0 20 1_x000D_
    OS:   Linux Android 11   30_x000D_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newpipelegacy util ExtractorHelper lambda getStreamInfo 3(ExtractorHelper java:116)_x000D_
	at org schabi newpipelegacy util    Lambda ExtractorHelper i hFeJnSJwqTaktlkxwfnGBKECA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details _x000D_
 hr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Graphene OS_x000D_
   Device model: Pixel 2_x000D_
</t>
  </si>
  <si>
    <t>Anuken-Mindustry-3179</t>
  </si>
  <si>
    <t>Cannot select custom core schematic in launch menu</t>
  </si>
  <si>
    <t xml:space="preserve">  Platform  : Windows_x000D_
_x000D_
  Build  :  The build number under the title in the main menu  Required   LATEST  IS NOT A VERSION  I NEED THE EXACT BUILD NUMBER OF YOUR GAME   Steam 111_x000D_
_x000D_
  Issue  :  Explain your issue in detail   Cannot select a custom core schematic in launch menu_x000D_
_x000D_
  Steps to reproduce  :  How you happened across the issue  and what exactly you did to make the bug happen  _x000D_
1) Save any schematic with the core _x000D_
2) Try to launch to a vacant sector _x000D_
3) When clicking on your own schematic  nothing happens _x000D_
  1127400 20201029114948 1 (https:  user images githubusercontent com 62336673 97546439 7f59f200 19dd 11eb 934a a38b7ae6c6e9 png)_x000D_
_x000D_
_x000D_
  Link(s) to mod(s) used  :  The mod repositories or zip files that are related to the issue  if applicable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none_x000D_
_x000D_
  Crash report  :  The contents of relevant crash report files  REQUIRED if you are reporting a crash   none_x000D_
_x000D_
   _x000D_
_x000D_
 Place an X (no spaces) between the brackets to confirm that you have read the line below    _x000D_
   x    I have searched the closed and open issues to make sure that this problem has not already been reported   _x000D_
</t>
  </si>
  <si>
    <t>Anuken-Mindustry-3176</t>
  </si>
  <si>
    <t>Region #170: Guardian coming too late</t>
  </si>
  <si>
    <t xml:space="preserve">  Platform  : Android_x000D_
_x000D_
  Build  : beta build 111_x000D_
_x000D_
  Issue  : In hex 170  the game warned me that  The Guardian  is coming in 10 rounds  but there are only eight rounds left (total: 40)_x000D_
_x000D_
  Steps to reproduce  : Play campaign until you ve come to hex  170 for the second time  advance to level 32  see warning box pop up   Also when there is 5 rounds before the Guardian arrives  and 2 rounds   I m now at round 40  and thinking  whew  I m glad I finished before the Guardian got here   _x000D_
_x000D_
  Link(s) to mod(s) used  : none_x000D_
_x000D_
  Save file  : I have no idea how to find a save file for a campaign level on android _x000D_
_x000D_
  Crash report  : no crash_x000D_
_x000D_
   _x000D_
_x000D_
 Place an X (no spaces) between the brackets to confirm that you have read the line below    _x000D_
   x    I have searched the closed and open issues to make sure that this problem has not already been reported   _x000D_
</t>
  </si>
  <si>
    <t>Anuken-Mindustry-3173</t>
  </si>
  <si>
    <t>Infinite Resource from unloading Core bug 6.0</t>
  </si>
  <si>
    <t xml:space="preserve">Platform: Windows_x000D_
_x000D_
Build: Steam Build 111_x000D_
_x000D_
Issue: If you take materials out of your core (with an unloader) and put them back in the subtraction doesnt impact your income score but the income does _x000D_
_x000D_
Steps to reproduce: discovered because i noticed i was running out of resources while playing on a map but while i was playing on another map they were increasing rapidly _x000D_
Reproduced specifically with an everything (unspecified) unloader that i was sorting out only the materials i needed for drone production and sending the rest back into my core   _x000D_
Ive used it to get my income to all materials to over 1k min with a bunch of unloaders just pulling and dumping back into my base with an overdrive projector to increase the conveyor speeds_x000D_
_x000D_
Link(s) to mod(s) used: Vanilla (no mods)_x000D_
_x000D_
Save file: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Not a crash causing issue_x000D_
   _x000D_
_x000D_
 Place an X (no spaces) between the brackets to confirm that you have read the line below    _x000D_
   X    I have searched the closed and open issues to make sure that this problem has not already been reported   _x000D_
 saves zip (https:  github com Anuken Mindustry files 5455929 saves zip)_x000D_
</t>
  </si>
  <si>
    <t>TeamNewPipe-NewPipe-4699</t>
  </si>
  <si>
    <t>Not playing any youtube video</t>
  </si>
  <si>
    <t xml:space="preserve">       Exception_x000D_
    User Action:   requested stream_x000D_
    Request:   https:  www youtube com watch v yUYT9s oPNc_x000D_
    Content Country:   GB_x000D_
    Content Language:   en GB_x000D_
    App Language:   en GB_x000D_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</si>
  <si>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TeamNewPipe-NewPipe-4698</t>
  </si>
  <si>
    <t xml:space="preserve">extraction exception </t>
  </si>
  <si>
    <t xml:space="preserve">_x000D_
   Exception_x000D_
    User Action:   requested stream_x000D_
    Request:   https:  www youtube com watch v ISxL 3GSKVA app desktop  opened with video player_x000D_
    Content Country:   GB_x000D_
    Content Language:   en GB_x000D_
    App Language:   en_x000D_
    Service:   YouTube_x000D_
    Version:   0 20 1_x000D_
    OS:   Linux Android 8 1 0   27_x000D_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SingleObserveOn subscribeActual(SingleObserveOn java:35)_x000D_
	at io reactivex Single subscribe(Single java:3666)_x000D_
	at io reactivex Single subscribe(Single java:3652)_x000D_
	at org schabi newpipe RouterActivity FetcherService handleChoice(RouterActivity java:703)_x000D_
	at org schabi newpipe RouterActivity FetcherService onHandleIntent(RouterActivity java:675)_x000D_
	at android app IntentService ServiceHandler handleMessage(IntentService java:76)_x000D_
	at android os Handler dispatchMessage(Handler java:109)_x000D_
	at android os Looper loop(Looper java:166)_x000D_
	at android os HandlerThread run(HandlerThread java:65)_x000D_
_x000D_
   _x000D_
  details _x000D_
 hr _x000D_
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</si>
  <si>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indomie858-app-A-53</t>
  </si>
  <si>
    <t>Directory Button (possible bug)</t>
  </si>
  <si>
    <t>The app crashes when you keep trying to run the navigation through the directory button each time while the GPS is OFF</t>
  </si>
  <si>
    <t>Anuken-Mindustry-3171</t>
  </si>
  <si>
    <t>When you try to shoot as a router, it crashes</t>
  </si>
  <si>
    <t xml:space="preserve">  Platform  :  Android
  Build  : 111
  Issue  : When you try to shoot as a router  it crashes
  Steps to reproduce  : posses router and hold on screen
 Place an X (no spaces) between the brackets to confirm that you have read the line below    
   X    I have searched the closed and open issues to make sure that this problem has not already been reported   
</t>
  </si>
  <si>
    <t>MuntashirAkon-AppManager-135</t>
  </si>
  <si>
    <t>Crash exiting AppInfo while the purple progress bar is still visible</t>
  </si>
  <si>
    <t xml:space="preserve">  Describe the bug  _x000D_
AppManager crashes when exiting AppInfo while the new progress bar above the app icon is visible _x000D_
_x000D_
  To Reproduce  _x000D_
_x000D_
1  Click on an App in the list of packages _x000D_
2  Immediately press back while the purple progress bar is still displayed _x000D_
3  You will land back in the list of packages but then AppManager will crash_x000D_
_x000D_
The crash also occurs if the progress bar is displayed during a different activity  such as disabling an app _x000D_
_x000D_
  Expected behavior  _x000D_
AppManager should not crash _x000D_
_x000D_
  Screenshots  _x000D_
 _x000D_
_x000D_
  Crash logs  _x000D_
https:  pastebin com tW1iGPwR_x000D_
_x000D_
_x000D_
  Device info  _x000D_
   Device: FireTV 4K Stick_x000D_
   OS Version: FireOS 6 2 7 3 (Android 7 1 2)_x000D_
   App Manager Version: v2 5 17_x000D_
   Mode: adb stock_x000D_
_x000D_
  Additional context  _x000D_
Affected versions: 2 5 17 and 2 5 16_x000D_
Not affected: 2 5 13_x000D_
_x000D_
I encountered this bug on my FireTV 4K Stick  The bug could be exclusive to this device and its limited broken( ) Android base in which case this bug would be irrelevant _x000D_
_x000D_
However it s also possible that this bug could happen on any slow device  I wasn t able to reproduce this bug on a Pixel 3a or a Fire HD 10 tablet since these devices are much faster and it looks like the progress bar disappears before it registers the back press _x000D_
_x000D_
Maybe someone could try this on an older  slower device _x000D_
On Fire TV 4K the progress bar is visible for up to 2 seconds and so the chances to run into this crash are pretty high </t>
  </si>
  <si>
    <t>aws-amplify-amplify-android-940</t>
  </si>
  <si>
    <t>The app crashes if the session is expired</t>
  </si>
  <si>
    <t xml:space="preserve">If I re run my app when the session is expired  then it will crash with this exception:_x000D_
_x000D_
   console_x000D_
10 28 17:16:39 555 19214 19274 com sensodix E AndroidRuntime: FATAL EXCEPTION: RxCachedThreadScheduler 12_x000D_
    Process: com sensodix  PID: 19214_x000D_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AmplifyException  message Error during subscription   cause AmplifyException  message Failed to set owner field on AppSyncGraphQLRequest  cause AmplifyException  message No cached session   cause null  recoverySuggestion Sorry  we don t have a suggested fix for this error yet    recoverySuggestion See attached exception for details    recoverySuggestion Evaluate details  _x000D_
        at io reactivex rxjava3 plugins RxJavaPlugins onError(RxJavaPlugins java:367)_x000D_
        at io reactivex rxjava3 internal util AtomicThrowable tryAddThrowableOrReport(AtomicThrowable java:52)_x000D_
        at io reactivex rxjava3 internal operators observable ObservableFlatMap InnerObserver onError(ObservableFlatMap java:531)_x000D_
        at io reactivex rxjava3 internal observers BasicFuseableObserver onError(BasicFuseableObserver java:100)_x000D_
        at io reactivex rxjava3 internal observers BasicFuseableObserver onError(BasicFuseableObserver java:100)_x000D_
        at io reactivex rxjava3 internal operators observable ObservableObserveOn ObserveOnObserver checkTerminated(ObservableObserveOn java:281)_x000D_
        at io reactivex rxjava3 internal operators observable ObservableObserveOn ObserveOnObserver drainNormal(ObservableObserveOn java:172)_x000D_
        at io reactivex rxjava3 internal operators observable ObservableObserveOn ObserveOnObserver run(ObservableObserveOn java:255)_x000D_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access 201(ScheduledThreadPoolExecutor java:152)_x000D_
        at java util concurrent ScheduledThreadPoolExecutor ScheduledFutureTask run(ScheduledThreadPoolExecutor java:265)_x000D_
        at java util concurrent ThreadPoolExecutor runWorker(ThreadPoolExecutor java:1112)_x000D_
        at java util concurrent ThreadPoolExecutor Worker run(ThreadPoolExecutor java:587)_x000D_
        at java lang Thread run(Thread java:818)_x000D_
     Caused by: AmplifyException  message Error during subscription   cause AmplifyException  message Failed to set owner field on AppSyncGraphQLRequest  cause AmplifyException  message No cached session   cause null  recoverySuggestion Sorry  we don t have a suggested fix for this error yet    recoverySuggestion See attached exception for details    recoverySuggestion Evaluate details  _x000D_
        at com amplifyframework datastore appsync AppSyncClient lambda subscription 3(AppSyncClient java:293)_x000D_
        at com amplifyframework datastore appsync    Lambda AppSyncClient 797ziDK0io qXODzROLOA77stS8 accept(lambda)_x000D_
        at com amplifyframework api aws AWSApiPlugin subscribe(AWSApiPlugin java:330)_x000D_
        at com amplifyframework api aws AWSApiPlugin subscribe(AWSApiPlugin java:256)_x000D_
        at com amplifyframework api ApiCategory subscribe(ApiCategory java:91)_x000D_
        at com amplifyframework datastore appsync AppSyncClient subscription(AppSyncClient java:297)_x000D_
        at com amplifyframework datastore appsync AppSyncClient onDelete(AppSyncClient java:257)_x000D_
        at com amplifyframework datastore syncengine    Lambda Y4uh3PGUZ7Avc6pRNmu PNUwgj0 subscribe(lambda)_x000D_
        at com amplifyframework datastore syncengine SubscriptionProcessor lambda subscriptionObservable 4(SubscriptionProcessor java:154)_x000D_
        at com amplifyframework datastore syncengine    Lambda SubscriptionProcessor k 4BvGN9UFN5PeWpyJ0vqdxfED0 subscribe(lambda)_x000D_
        at io reactivex rxjava3 internal operators observable ObservableCreate subscribeActual(ObservableCreate java:40)_x000D_
        at io reactivex rxjava3 core Observable subscribe(Observable java:13099)_x000D_
        at io reactivex rxjava3 internal operators observable ObservableDoOnEach subscribeActual(ObservableDoOnEach java:42)_x000D_
    	at i_x000D_
10 28 17:16:39 584 19214 19282 com sensodix E amplify:aws datastore: Error encountered in the DataStore _x000D_
    AmplifyException  message Initial cloud sync failed   cause AmplifyException  message Failure performing sync query to AppSync   cause AmplifyException  message Could not retrieve the response body from the returned JSON  cause java io IOException: Failed to retrieve Cognito User Pools token   recoverySuggestion Sorry  we don t have a suggested fix for this error yet    recoverySuggestion Sorry  we don t have a suggested fix for this error yet    recoverySuggestion Check your internet connection  _x000D_
        at com amplifyframework datastore syncengine SyncProcessor lambda createHydrationTask 8 SyncProcessor(SyncProcessor java:161)_x000D_
        at com amplifyframework datastore syncengine    Lambda SyncProcessor eNapScXzQIwwUKSlU33h6S411rE accept(lambda)_x000D_
        at io reactivex rxjava3 internal operators completable CompletablePeek CompletableObserverImplementation onError(CompletablePeek java:88)_x000D_
        at io reactivex rxjava3 internal operators single SingleFlatMapCompletable FlatMapCompletableObserver onError(SingleFlatMapCompletable java:97)_x000D_
        at io reactivex rxjava3 internal operators single SingleFlatMap SingleFlatMapCallback FlatMapSingleObserver onError(SingleFlatMap java:117)_x000D_
        at io reactivex rxjava3 internal operators completable CompletableToSingle ToSingle onError(CompletableToSingle java:73)_x000D_
        at io reactivex rxjava3 internal util AtomicThrowable tryTerminateConsumer(AtomicThrowable java:156)_x000D_
        at io reactivex rxjava3 internal operators flowable FlowableFlatMapCompletableCompletable FlatMapCompletableMainSubscriber onError(FlowableFlatMapCompletableCompletable java:149)_x000D_
        at io reactivex rxjava3 internal operators flowable FlowableTake TakeSubscriber onError(FlowableTake java:86)_x000D_
        at io reactivex rxjava3 internal operators flowable FlowableFlattenIterable FlattenIterableSubscriber checkTerminated(FlowableFlattenIterable java:406)_x000D_
        at io reactivex rxjava3 internal operators flowable FlowableFlattenIterable FlattenIterableSubscriber drain(FlowableFlattenIterable java:266)_x000D_
        at io reactivex rxjava3 internal operators flowable FlowableFlattenIterable FlattenIterableSubscriber onError(FlowableFlattenIterable java:192)_x000D_
        at io reactivex rxjava3 internal operators flowable FlowableDoOnEach DoOnEachSubscriber onError(FlowableDoOnEach java:111)_x000D_
        at io reactivex rxjava3 internal util AtomicThrowable tryTerminateConsumer(AtomicThrowable java:94)_x000D_
        at io reactivex rxjava3 internal util HalfSerializer onError(HalfSerializer java:67)_x000D_
        at io reactivex rxjava3 internal operators flowable FlowableConcatMap ConcatMapImmediate innerError(FlowableConcatMap java:210)_x000D_
        at io reactivex rxjava3 internal operators flowable FlowableConcatMap ConcatMapInner onError(FlowableConcatMap java:571)_x000D_
        at io reactivex rxjava3 internal operators single SingleToFlowable SingleToFlowableObserver onError(SingleToFlowable java:67)_x000D_
        at io reactivex rxjava3 internal operators single SingleCreate Emitter tryOnError(SingleCreate java:95)_x000D_
        at io reactivex rxjava3 internal operators single SingleCreate Emitter onError(SingleCreate java:81)_x000D_
        at com amplifyframework datastore syncengine    Lambda H2kP2N9w3X0gYQg1QzSwv0s9uXc accept(lambda)_x000D_
        at com amplifyframework datastore appsync AppSyncClient lambda sync 1(AppSyncClient java:98)_x000D_
        at com amplifyframework datastore appsync    Lambda AppSyncClient 7jOsUMJbab5VI0cCjZ1sP3zQNIU accept(lambda)_x000D_
        at com amplifyframework api aws AppSyncGraphQLOperation OkHttpCallback onFailure(AppSyncGraphQLOperation java:150)_x000D_
        at okhttp3 internal connection RealCall AsyncCall run(RealCall kt:525)_x000D_
        at java util concurrent ThreadPoolExecutor runWorker(ThreadPoolExecutor java:1112)_x000D_
        at java util concurrent ThreadPoolExecutor Worker run(ThreadPoolExecutor java:587)_x000D_
        at java lang Thread run(Thread java:818)_x000D_
     Caused by: AmplifyException  message Failure performing sync query to AppSync   cause AmplifyException  message Could not retrieve the response body from the returned JSON  cause java io IOException: Failed to retrieve Cognito User Pools token   recoverySuggestion Sorry  we don t have a suggest_x000D_
10 28 17:16:39 585 19214 19256 com sensodix E amplify:aws datastore: Failure encountered while attempting to start API sync _x000D_
    AmplifyException  message Initial sync during DataStore initialization failed   cause java lang RuntimeException: AmplifyException  message Failure performing sync query to AppSync   cause AmplifyException  message Could not retrieve the response body from the returned JSON  cause java io IOException: Failed to retrieve Cognito User Pools token   recoverySuggestion Sorry  we don t have a suggested fix for this error yet    recoverySuggestion Sorry  we don t have a suggested fix for this error yet    recoverySuggestion There is a possibility that there is a bug if this error persists  Please take a look at _x000D_
    https:  github com aws amplify amplify android issues to see if there are any existing issues that _x000D_
    match your scenario  and file an issue with the details of the bug if there isn t  _x000D_
        at com amplifyframework datastore syncengine Orchestrator lambda startApiSync 5 Orchestrator(Orchestrator java:339)_x000D_
        at com amplifyframework datastore syncengine    Lambda Orchestrator rjUnFHw05Ya1BmLVsvsFxTHNSLM subscribe(lambda)_x000D_
        at io reactivex rxjava3 internal operators completable CompletableCreate subscribeActual(CompletableCreate java:40)_x000D_
        at io reactivex rxjava3 core Completable subscribe(Completable java:2850)_x000D_
        at io reactivex rxjava3 internal operators completable CompletablePeek subscribeActual(CompletablePeek java:51)_x000D_
        at io reactivex rxjava3 core Completable subscribe(Completable java:2850)_x000D_
        at io reactivex rxjava3 internal operators completable CompletableOnErrorComplete subscribeActual(CompletableOnErrorComplete java:35)_x000D_
        at io reactivex rxjava3 core Completable subscribe(Completable java:2850)_x000D_
        at io reactivex rxjava3 internal operators completable CompletablePeek subscribeActual(CompletablePeek java:51)_x000D_
        at io reactivex rxjava3 core Completable subscribe(Completable java:2850)_x000D_
        at io reactivex rxjava3 internal operators completable CompletablePeek subscribeActual(CompletablePeek java:51)_x000D_
        at io reactivex rxjava3 core Completable subscribe(Completable java:2850)_x000D_
        at io reactivex rxjava3 internal operators completable CompletablePeek subscribeActual(CompletablePeek java:51)_x000D_
        at io reactivex rxjava3 core Completable subscribe(Completable java:2850)_x000D_
        at io reactivex rxjava3 internal operators completable CompletablePeek subscribeActual(CompletablePeek java:51)_x000D_
        at io reactivex rxjava3 core Completable subscribe(Completable java:2850)_x000D_
        at io reactivex rxjava3 internal operators completable CompletableDoFinally subscribeActual(CompletableDoFinally java:43)_x000D_
        at io reactivex rxjava3 core Completable subscribe(Completable java:2850)_x000D_
        at io reactivex rxjava3 internal operators completable CompletableSubscribeOn SubscribeOnObserver run(CompletableSubscribeOn java:64)_x000D_
        at io reactivex rxjava3 internal schedulers ScheduledDirectTask call(ScheduledDirectTask java:41)_x000D_
        at io reactivex rxjava3 internal schedulers ScheduledDirectTask call(ScheduledDirectTask java:28)_x000D_
        at java util concurrent FutureTask run(FutureTask java:237)_x000D_
        at java util concurrent ScheduledThreadPoolExecutor ScheduledFutureTask access 201(ScheduledThreadPoolExecutor java:152)_x000D_
        at java util concurrent ScheduledThreadPoolExecutor ScheduledFutureTask run(ScheduledThreadPoolExecutor java:265)_x000D_
        at java util concurrent ThreadPoolExecutor runWorker(ThreadPoolExecutor java:1112)_x000D_
        at java util concurrent ThreadPoolExecutor Worker run(ThreadPoolExecutor java:587)_x000D_
        at java lang Thread run(Thread java:818)_x000D_
     Caused by: java lang RuntimeException: AmplifyException  message Failure performing sync query to AppSync   cause AmplifyException  message Could not retrieve the response body from the returned JSON  cause java io IOException: Failed to retrieve Cognito User Pools token   recoverySuggestion Sorry  we don t have a suggested fix for this error yet    recoverySuggestion Sorry  we don t have a suggested fix for this error yet  _x000D_
        at io reactivex rxjava3 internal util ExceptionHelper wrapOrThrow(ExceptionHelper java:46)_x000D_
    	at io reactivex rxjava3 internal observers BlockingMultiObserve_x000D_
10 28 17:16:40 418 2410 2410 com google android googlequicksearchbox E ConcurrentUtils: Queue length for executor GrecoExecutor with 1 threads is now 233  Perhaps some tasks are too long  or the pool is too small _x000D_
10 28 17:16:49 147 2410 2410 com google android googlequicksearchbox E ConcurrentUtils: Queue length for executor GrecoExecutor with 1 threads is now 234  Perhaps some tasks are too long  or the pool is too small _x000D_
10 28 17:16:49 489 19288 19288   E memtrack: Couldn t load memtrack module (No such file or directory)_x000D_
10 28 17:16:49 489 19288 19288   E android os Debug: failed to load memtrack module:  2_x000D_
   _x000D_
_x000D_
I m using version 1 4 1 of Amplify _x000D_
_x000D_
This issue looks related to https:  github com aws amplify amplify android issues 803 _x000D_
_x000D_
Is there a way to get around this </t>
  </si>
  <si>
    <t>TeamNewPipe-NewPipe-4688</t>
  </si>
  <si>
    <t>Can't analyze site New pipe v0.20.1</t>
  </si>
  <si>
    <t xml:space="preserve">
     IF YOU DON T FILL IN THE TEMPLATE PROPERLY  YOUR ISSUE IS LIABLE TO BE CLOSED  If you feel tired lazy right now  open your issue some other time  We ll wait     
     The comments between these brackets won t show up in the submitted issue (as you can see in the Preview)     
    Checklist
     The first box has been checked for you to show you how it is done     
   x  I am using the latest version   0 20 1      Check https:  github com TeamNewPipe NewPipe releases    
      I checked  but didn t find any duplicates (open OR closed)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Actual behaviour
     Tell us what happens with the steps given above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DON T POST SCREENSHOTS OF THE ERROR PAGE  Use the buttons given on the error page to paste the error as text in the Logs section below     
    Logs
     If your bug includes a crash (where you re shown the Error Report page with a bunch of info)  tap on  Copy formatted report  at the bottom and paste it here:    
   Exception
    User Action:   requested stream
    Request:   https:  www youtube com watch v n zVQh G4E0
    Content Country:   UA
    Content Language:   uk
    App Language:   uk UA
    Service:   YouTube
    Version:   0 20 1
    OS:   Linux Android 9   28
 details  summary  b Crash log   b   summary  p 
org schabi newpipe extractor exceptions ParsingException: YouTube did not provide player config even after three attempts
	at org schabi newpipe extractor services youtube extractors YoutubeStreamExtractor onFetchPage(YoutubeStreamExtractor java:664)
	at org schabi newpipe extractor Extractor fetchPage(Extractor java:56)
	at org schabi newpipe extractor stream StreamInfo getInfo(StreamInfo java:68)
	at org schabi newpipe extractor stream StreamInfo getInfo(StreamInfo java:64)
	at org schabi newpipe util ExtractorHelper lambda getStreamInfo 3(ExtractorHelper java:116)
	at org schabi newpipe util    Lambda ExtractorHelper 5fJcha6Sq5APJBLdG6osaJby mc call(Unknown Source:4)
	at io reactivex internal operators single SingleFromCallable subscribeActual(SingleFromCallable java:44)
	at io reactivex Single subscribe(Single java:3666)
	at io reactivex internal operators single SingleDoOnSuccess subscribeActual(SingleDoOnSuccess java:35)
	at io reactivex Single subscribe(Single java:3666)
	at io reactivex internal operators maybe MaybeFromSingle subscribeActual(MaybeFromSingle java:41)
	at io reactivex Maybe subscribe(Maybe java:4290)
	at io reactivex internal operators maybe MaybeConcatArray ConcatMaybeObserver drain(MaybeConcatArray java:153)
	at io reactivex internal operators maybe MaybeConcatArray ConcatMaybeObserver request(MaybeConcatArray java:78)
	at io reactivex internal operators flowable FlowableElementAtMaybe ElementAtSubscriber onSubscribe(FlowableElementAtMaybe java:66)
	at io reactivex internal operators maybe MaybeConcatArray subscribeActual(MaybeConcatArray java:42)
	at io reactivex Flowable subscribe(Flowable java:14935)
	at io reactivex internal operators flowable FlowableElementAtMaybe subscribeActual(FlowableElementAtMaybe java:36)
	at io reactivex Maybe subscribe(Maybe java:4290)
	at io reactivex internal operators maybe MaybeToSingle subscribeActual(MaybeToSingle java:46)
	at io reactivex Single subscribe(Single java:3666)
	at io reactivex internal operators single SingleSubscribeOn SubscribeOnObserver run(SingleSubscribeOn java:89)
	at io reactivex Scheduler DisposeTask run(Scheduler java:578)
	at io reactivex internal schedulers ScheduledRunnable run(ScheduledRunnable java:66)
	at io reactivex internal schedulers ScheduledRunnable call(ScheduledRunnable java:57)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java:764)
  details 
 hr 
     That s right  here     
     Please fill this out when you do not provide a log generate by NewPipe    
    Device info
   Android 9  miui 11:
   Xiaomi redmi 6:
</t>
  </si>
  <si>
    <t>Anuken-Mindustry-3169</t>
  </si>
  <si>
    <t>Sector instantly lost after checking another Sector</t>
  </si>
  <si>
    <t xml:space="preserve">  Platform  :  Android _x000D_
_x000D_
  Build  :  Build 111 _x000D_
_x000D_
  Issue  :  Went from Sector 222 to Frozen Forest  only for Sector 222 to be lost instantaneously  Never has happened before with any of my other sectors  _x000D_
_x000D_
  Steps to reproduce  :  I don t know how to reproduce  nor how it was caused  I only know that I placed some Scorches  Large Copper Walls  and Menders and supplied power near the drop area  _x000D_
_x000D_
  Link(s) to mod(s) used  :  No mods were used  _x000D_
_x000D_
  Save file  :  https:  www dropbox com s w8ifh7a5mgzw7t4 sector serpulo 222 msav zip dl 0 _x000D_
_x000D_
  Crash report  :  Not a crash  _x000D_
_x000D_
   _x000D_
_x000D_
 Place an X (no spaces) between the brackets to confirm that you have read the line below    _x000D_
   X     I have searched the closed and open issues to make sure that this problem has not already been reported   _x000D_
</t>
  </si>
  <si>
    <t>TeamNewPipe-NewPipe-4684</t>
  </si>
  <si>
    <t>Exception: "YouTube did not provide player config even after three attempts"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</si>
  <si>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the application_x000D_
2  Click on any video_x000D_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Exception reported_x000D_
_x000D_
_x000D_
    Expected behavior_x000D_
     Tell us what you expect to happen     _x000D_
Video should play_x000D_
_x000D_
    Logs_x000D_
     If your bug includes a crash (where you re shown the Error Report page with a bunch of info)  tap on  Copy formatted report  at the bottom and paste it here:    _x000D_
_x000D_
     That s right  here     _x000D_
_x000D_
   log_x000D_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call(lambda)_x000D_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run(ScheduledThreadPoolExecutor java:269)_x000D_
    at java util concurrent ThreadPoolExecutor runWorker(ThreadPoolExecutor java:1113)_x000D_
    at java util concurrent ThreadPoolExecutor Worker run(ThreadPoolExecutor java:588)_x000D_
    at java lang Thread run(Thread java:818)_x000D_
   _x000D_
_x000D_
     Please fill this out when you do not provide a log generate by NewPipe    _x000D_
_x000D_
    Device info_x000D_
_x000D_
   Android version Custom ROM version: 6 0 1 _x000D_
   Device model: Motorola G3 2015 (osprey)_x000D_
</t>
  </si>
  <si>
    <t>TeamNewPipe-NewPipe-4682</t>
  </si>
  <si>
    <t>Freshly installed 0.20.2 is no more usable on a TV box</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</si>
  <si>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Install LazyIPTV _x000D_
2  Download create a playlist with YouTube links _x000D_
3  Open the playlist and open some link in NewPipe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I can t set NewPipe up to open the videos in fullscreen player by default anymore _x000D_
_x000D_
_x000D_
    Expected behavior_x000D_
     Tell us what you expect to happen     _x000D_
Before the recent YouTube breakage  I had NewPipe set up to open and play YouTube links in fullscreen when opened from LazyIPTV  I don t remember how already   Maybe  I opened it in the popup player  enabled the mouse emulation  hit the fullscreen button  and NewPipe remembered that and didn t open the tiny player anymore _x000D_
_x000D_
Because of the breakage  I did lots of temporary things: made the settings backup from 0 20 1  wiped the application data several times  then uninstalled NewPipe and installed NewPipe polish (which already had this issue)  then I uninstalled NewPipe polish and installed NewPipe 0 20 2  But even after importing the old settings  I can t restore the old behaviour anymore _x000D_
_x000D_
I presume this is related to the Unified UI thing  This would be strange though  as the status quo persisted even with the 0 20 1 build from F Droid (did it have this feature enabled already ) I also can t test the behaviour with old versions  as they don t work with YouTube anymore :(_x000D_
_x000D_
 (Huh  why do I end every paragraph with   anymore   )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7_x000D_
   Device model: x96 mini_x000D_
</t>
  </si>
  <si>
    <t>TeamNewPipe-NewPipe-4681</t>
  </si>
  <si>
    <t>Unable to view age restricted content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</si>
  <si>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t>
  </si>
  <si>
    <t>TeamNewPipe-NewPipe-4679</t>
  </si>
  <si>
    <t>All Versions of the New Player 0.20.xxxx Freezes Screen On Fullscreen Mode</t>
  </si>
  <si>
    <t xml:space="preserve">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2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Find a video_x000D_
Play the video_x000D_
Video plays normally like expected without issues_x000D_
Tilt the phone sideways to get fullscreen   or just press the fullscreen button_x000D_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Screen Freezes with the latest frame still on the screen   audio mostly keeps playing (somtimes cuts off after a while )_x000D_
Screen is unresponsive hardware buttons or tapping on anywhere don t seem to work_x000D_
Only solution is to turn off the phone and turn it back on again_x000D_
_x000D_
_x000D_
    Expected behavior_x000D_
     Tell us what you expect to happen     _x000D_
_x000D_
Fullscreen videoplayback like normal_x000D_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unable to take a screenshot phone screen becomes unresponsive_x000D_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unable to get a crash log phone screen unresponsive_x000D_
_x000D_
     Please fill this out when you do not provide a log generate by NewPipe    _x000D_
_x000D_
    Device info_x000D_
_x000D_
   Android version Custom ROM version: 7 1 2_x000D_
   Device model: Asus Zenfone ZE551ML  Z00A_x000D_
</t>
  </si>
  <si>
    <t>commons-app-apps-android-commons-3997</t>
  </si>
  <si>
    <t>SecurityException: Permission Denial: startForeground requires android.permission.FOREGROUND_SERVICE</t>
  </si>
  <si>
    <t xml:space="preserve">Maybe a missing permission _x000D_
With the latest master  this crash happens anytime I try to upload an image (via either gallery or camera  from either home or nearby) _x000D_
Happens even after uninstalling and reinstalling the app _x000D_
I ACRA d a bunch yesterday  Logcat:_x000D_
   _x000D_
10 28 20:43:04 837  6022  6022 D AndroidRuntime: Shutting down VM_x000D_
10 28 20:43:04 838  6022  6022 E AndroidRuntime: FATAL EXCEPTION: main_x000D_
10 28 20:43:04 838  6022  6022 E AndroidRuntime: Process: fr free nrw commons  PID: 6022_x000D_
10 28 20:43:04 838  6022  6022 E AndroidRuntime: java lang RuntimeException: Unable to start service fr free nrw commons upload UploadService 2b26a5 with Intent   act fr free nrw commons upload upload cmp fr free nrw commons  upload UploadService  : java lang SecurityException: Permission Denial: startForeground from pid 6022  uid 10380 requires android permission FOREGROUND SERVICE_x000D_
10 28 20:43:04 838  6022  6022 E AndroidRuntime: 	at android app ActivityThread handleServiceArgs(ActivityThread java:3903)_x000D_
10 28 20:43:04 838  6022  6022 E AndroidRuntime: 	at android app ActivityThread access 1700(ActivityThread java:236)_x000D_
10 28 20:43:04 838  6022  6022 E AndroidRuntime: 	at android app ActivityThread H handleMessage(ActivityThread java:1815)_x000D_
10 28 20:43:04 838  6022  6022 E AndroidRuntime: 	at android os Handler dispatchMessage(Handler java:106)_x000D_
10 28 20:43:04 838  6022  6022 E AndroidRuntime: 	at android os Looper loop(Looper java:214)_x000D_
10 28 20:43:04 838  6022  6022 E AndroidRuntime: 	at android app ActivityThread main(ActivityThread java:7032)_x000D_
10 28 20:43:04 838  6022  6022 E AndroidRuntime: 	at java lang reflect Method invoke(Native Method)_x000D_
10 28 20:43:04 838  6022  6022 E AndroidRuntime: 	at com android internal os RuntimeInit MethodAndArgsCaller run(RuntimeInit java:494)_x000D_
10 28 20:43:04 838  6022  6022 E AndroidRuntime: 	at com android internal os ZygoteInit main(ZygoteInit java:965)_x000D_
10 28 20:43:04 838  6022  6022 E AndroidRuntime: Caused by: java lang SecurityException: Permission Denial: startForeground from pid 6022  uid 10380 requires android permission FOREGROUND SERVICE_x000D_
10 28 20:43:04 838  6022  6022 E AndroidRuntime: 	at android os Parcel createException(Parcel java:1966)_x000D_
10 28 20:43:04 838  6022  6022 E AndroidRuntime: 	at android os Parcel readException(Parcel java:1934)_x000D_
10 28 20:43:04 838  6022  6022 E AndroidRuntime: 	at android os Parcel readException(Parcel java:1884)_x000D_
10 28 20:43:04 838  6022  6022 E AndroidRuntime: 	at android app IActivityManager Stub Proxy setServiceForeground(IActivityManager java:5043)_x000D_
10 28 20:43:04 838  6022  6022 E AndroidRuntime: 	at android app Service startForeground(Service java:695)_x000D_
10 28 20:43:04 838  6022  6022 E AndroidRuntime: 	at fr free nrw commons upload UploadService onStartCommand(UploadService java:227)_x000D_
10 28 20:43:04 838  6022  6022 E AndroidRuntime: 	at android app ActivityThread handleServiceArgs(ActivityThread java:3884)_x000D_
10 28 20:43:04 838  6022  6022 E AndroidRuntime: 	    8 more_x000D_
10 28 20:43:04 838  6022  6022 E AndroidRuntime: Caused by: android os RemoteException: Remote stack trace:_x000D_
10 28 20:43:04 838  6022  6022 E AndroidRuntime: 	at com android server am ActivityManagerService enforcePermission(ActivityManagerService java:12150)_x000D_
10 28 20:43:04 838  6022  6022 E AndroidRuntime: 	at com android server am ActiveServices setServiceForegroundInnerLocked(ActiveServices java:1289)_x000D_
10 28 20:43:04 838  6022  6022 E AndroidRuntime: 	at com android server am ActiveServices setServiceForegroundLocked(ActiveServices java:969)_x000D_
10 28 20:43:04 838  6022  6022 E AndroidRuntime: 	at com android server am ActivityManagerService setServiceForeground(ActivityManagerService java:24824)_x000D_
10 28 20:43:04 838  6022  6022 E AndroidRuntime: 	at android app IActivityManager Stub onTransact setServiceForeground (IActivityManager java:11378)_x000D_
10 28 20:43:04 838  6022  6022 E AndroidRuntime: _x000D_
10 28 20:43:04 838  6022  6022 E ACRA    : ACRA caught a RuntimeException for fr free nrw commons_x000D_
10 28 20:43:04 838  6022  6022 E ACRA    : java lang RuntimeException: Unable to start service fr free nrw commons upload UploadService 2b26a5 with Intent   act fr free nrw commons upload upload cmp fr free nrw commons  upload UploadService  : java lang SecurityException: Permission Denial: startForeground from pid 6022  uid 10380 requires android permission FOREGROUND SERVICE_x000D_
10 28 20:43:04 838  6022  6022 E ACRA    : 	at android app ActivityThread handleServiceArgs(ActivityThread java:3903)_x000D_
10 28 20:43:04 838  6022  6022 E ACRA    : 	at android app ActivityThread access 1700(ActivityThread java:236)_x000D_
10 28 20:43:04 838  6022  6022 E ACRA    : 	at android app ActivityThread H handleMessage(ActivityThread java:1815)_x000D_
10 28 20:43:04 838  6022  6022 E ACRA    : 	at android os Handler dispatchMessage(Handler java:106)_x000D_
10 28 20:43:04 838  6022  6022 E ACRA    : 	at android os Looper loop(Looper java:214)_x000D_
10 28 20:43:04 838  6022  6022 E ACRA    : 	at android app ActivityThread main(ActivityThread java:7032)_x000D_
10 28 20:43:04 838  6022  6022 E ACRA    : 	at java lang reflect Method invoke(Native Method)_x000D_
10 28 20:43:04 838  6022  6022 E ACRA    : 	at com android internal os RuntimeInit MethodAndArgsCaller run(RuntimeInit java:494)_x000D_
10 28 20:43:04 838  6022  6022 E ACRA    : 	at com android internal os ZygoteInit main(ZygoteInit java:965)_x000D_
10 28 20:43:04 838  6022  6022 E ACRA    : Caused by: java lang SecurityException: Permission Denial: startForeground from pid 6022  uid 10380 requires android permission FOREGROUND SERVICE_x000D_
10 28 20:43:04 838  6022  6022 E ACRA    : 	at android os Parcel createException(Parcel java:1966)_x000D_
10 28 20:43:04 838  6022  6022 E ACRA    : 	at android os Parcel readException(Parcel java:1934)_x000D_
10 28 20:43:04 838  6022  6022 E ACRA    : 	at android os Parcel readException(Parcel java:1884)_x000D_
10 28 20:43:04 838  6022  6022 E ACRA    : 	at android app IActivityManager Stub Proxy setServiceForeground(IActivityManager java:5043)_x000D_
10 28 20:43:04 838  6022  6022 E ACRA    : 	at android app Service startForeground(Service java:695)_x000D_
10 28 20:43:04 838  6022  6022 E ACRA    : 	at fr free nrw commons upload UploadService onStartCommand(UploadService java:227)_x000D_
10 28 20:43:04 838  6022  6022 E ACRA    : 	at android app ActivityThread handleServiceArgs(ActivityThread java:3884)_x000D_
10 28 20:43:04 838  6022  6022 E ACRA    : 	    8 more_x000D_
10 28 20:43:04 838  6022  6022 E ACRA    : Caused by: android os RemoteException: Remote stack trace:_x000D_
10 28 20:43:04 838  6022  6022 E ACRA    : 	at com android server am ActivityManagerService enforcePermission(ActivityManagerService java:12150)_x000D_
10 28 20:43:04 838  6022  6022 E ACRA    : 	at com android server am ActiveServices setServiceForegroundInnerLocked(ActiveServices java:1289)_x000D_
10 28 20:43:04 838  6022  6022 E ACRA    : 	at com android server am ActiveServices setServiceForegroundLocked(ActiveServices java:969)_x000D_
10 28 20:43:04 838  6022  6022 E ACRA    : 	at com android server am ActivityManagerService setServiceForeground(ActivityManagerService java:24824)_x000D_
10 28 20:43:04 838  6022  6022 E ACRA    : 	at android app IActivityManager Stub onTransact setServiceForeground (IActivityManager java:11378)_x000D_
10 28 20:43:04 838  6022  6022 E ACRA    : _x000D_
10 28 20:43:04 869  6022  6022 I Process : Sending signal  PID: 6022 SIG: 9_x000D_
10 28 20:43:04 970  5120  5120 I Zygote  : Process 6022 exited due to signal (9)_x000D_
10 28 20:43:04 971  5613  5660 I libprocessgroup: Successfully killed process cgroup uid 10380 pid 6022 in 5ms_x000D_
   </t>
  </si>
  <si>
    <t>Anuken-Mindustry-3166</t>
  </si>
  <si>
    <t>Weirdness with armor and health-modifying status effects</t>
  </si>
  <si>
    <t xml:space="preserve">  Platform  :  Android iOS Mac Windows Linux _x000D_
All_x000D_
_x000D_
  Build  :  The build number under the title in the main menu  Required   LATEST  IS NOT A VERSION  I NEED THE EXACT BUILD NUMBER OF YOUR GAME  _x000D_
111_x000D_
_x000D_
  Issue  :  Explain your issue in detail  _x000D_
Armor is applied after health multiplier from status effects  making it WAY more efficient (most noticeable in the boss status effect)_x000D_
_x000D_
  Steps to reproduce  :  How you happened across the issue  and what exactly you did to make the bug happen  _x000D_
A conversation in the discord mentioning a mace surviving 30 duos undamaged  To spot the exact issue i measured damage done to the mace using the F8 console  including observing that a fuse does 48 5 damage to the mace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macetest zip (https:  github com Anuken Mindustry files 5451447 macetest zip)_x000D_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</si>
  <si>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AOF-Dev-MCinaBox-612</t>
  </si>
  <si>
    <t>Possible solution to my problem. Please fix this longjunyu2</t>
  </si>
  <si>
    <t xml:space="preserve">Hello  Mcinabox crashes after launch  Here are its characteristics  I will not fully explain the problem  because I write about it every Mcinabox update  So  one of my acquaintances decided to check what was wrong with this application and my device  It seems there just somewhere in the code there are statically entered parameters of the frame buffer  which the device does not know how  It s somewhere else in the Boat bug  The problem  he says  is not very serious   timings  So please fix this _x000D_
  Screenshot 20201028 125815 (https:  user images githubusercontent com 64459276 97426675 dc45a180 1924 11eb 95f0 86d0044007bb png)_x000D_
  Screenshot 20201028 130242 (https:  user images githubusercontent com 64459276 97426677 dd76ce80 1924 11eb 9f6d f02689b202a7 png)_x000D_
  Screenshot 20201028 125912 (https:  user images githubusercontent com 64459276 97426679 dd76ce80 1924 11eb 998d 20638ed9b9a5 png)_x000D_
_x000D_
Honor 7a_x000D_
Android 8 1 (Oreo) aarch64_x000D_
_x000D_
Please  fix it  </t>
  </si>
  <si>
    <t>material-components-material-components-android-1831</t>
  </si>
  <si>
    <t>[Catalog] Crash in TransitionMusicAlbumDemoFragment</t>
  </si>
  <si>
    <t xml:space="preserve">  Description:   _x000D_
Open catalog demo    Transitions    TransitionMusicAlbumDemoFragment    Press any album item _x000D_
Actual result:_x000D_
App crashes_x000D_
_x000D_
  Expected behavior:   Do not crash_x000D_
_x000D_
  Android API version:   API 17_x000D_
_x000D_
  Material Library version:   1 3 0 alpha03_x000D_
_x000D_
  Device:   Prestigio PAP5500 DUO_x000D_
_x000D_
  Stacktrace:  _x000D_
   _x000D_
10 28 11:10:08 402 15162 15162 io material catalog W dalvikvm: threadid 1: thread exiting with uncaught exception (group 0x40d1e9c0)_x000D_
10 28 11:10:08 420 15162 15162 io material catalog E AndroidRuntime: FATAL EXCEPTION: main_x000D_
    android view InflateException: Binary XML file line  47: Error inflating class android support constraint ConstraintLayout_x000D_
        at android view LayoutInflater createViewFromTag(LayoutInflater java)_x000D_
        at android view LayoutInflater rInflate(LayoutInflater java)_x000D_
        at android view LayoutInflater rInflate(LayoutInflater java)_x000D_
        at android view LayoutInflater rInflate(LayoutInflater java)_x000D_
        at android view LayoutInflater inflate(LayoutInflater java)_x000D_
        at android view LayoutInflater inflate(LayoutInflater java)_x000D_
        at io material catalog transition hero TransitionMusicAlbumDemoFragment onCreateView(TransitionMusicAlbumDemoFragment java:72)_x000D_
        at androidx fragment app Fragment performCreateView(Fragment java:2698)_x000D_
        at androidx fragment app FragmentStateManager createView(FragmentStateManager java:310)_x000D_
        at androidx fragment app FragmentManager moveToState(FragmentManager java:1185)_x000D_
        at androidx fragment app FragmentManager moveToState(FragmentManager java:1354)_x000D_
        at androidx fragment app FragmentManager moveFragmentToExpectedState(FragmentManager java:1432)_x000D_
        at androidx fragment app FragmentManager moveToState(FragmentManager java:1495)_x000D_
        at androidx fragment app BackStackRecord executeOps(BackStackRecord java:447)_x000D_
        at androidx fragment app FragmentManager executeOps(FragmentManager java:2167)_x000D_
        at androidx fragment app FragmentManager executeOpsTogether(FragmentManager java:1990)_x000D_
        at androidx fragment app FragmentManager removeRedundantOperationsAndExecute(FragmentManager java:1945)_x000D_
        at androidx fragment app FragmentManager execPendingActions(FragmentManager java:1847)_x000D_
        at androidx fragment app FragmentManager 4 run(FragmentManager java:413)_x000D_
        at android os Handler handleCallback(Handler java)_x000D_
        at android os Handler dispatchMessage(Handler java)_x000D_
        at android os Looper loop(Looper java)_x000D_
        at android app ActivityThread main(ActivityThread java)_x000D_
        at java lang reflect Method invokeNative(Native Method)_x000D_
        at java lang reflect Method invoke(Method java)_x000D_
        at com android internal os ZygoteInit MethodAndArgsCaller run(ZygoteInit java)_x000D_
        at com android internal os ZygoteInit main(ZygoteInit java)_x000D_
        at dalvik system NativeStart main(Native Method)_x000D_
     Caused by: java lang ClassNotFoundException: Didn t find class  android support constraint ConstraintLayout  on path: DexPathList  zip file   data app io material catalog 2 apk   nativeLibraryDirectories   data app lib io material catalog 2   system lib  _x000D_
        at dalvik system BaseDexClassLoader findClass(BaseDexClassLoader java)_x000D_
        at java lang ClassLoader loadClass(ClassLoader java)_x000D_
        at java lang ClassLoader loadClass(ClassLoader java)_x000D_
        at android view LayoutInflater createView(LayoutInflater java)_x000D_
        at android view LayoutInflater createViewFromTag(LayoutInflater java) _x000D_
        at android view LayoutInflater rInflate(LayoutInflater java) _x000D_
        at android view LayoutInflater rInflate(LayoutInflater java) _x000D_
        at android view LayoutInflater rInflate(LayoutInflater java) _x000D_
        at android view LayoutInflater inflate(LayoutInflater java) _x000D_
        at android view LayoutInflater inflate(LayoutInflater java) _x000D_
        at io material catalog transition hero TransitionMusicAlbumDemoFragment onCreateView(TransitionMusicAlbumDemoFragment java:72) _x000D_
        at androidx fragment app Fragment performCreateView(Fragment java:2698) _x000D_
        at androidx fragment app FragmentStateManager createView(FragmentStateManager java:310) _x000D_
        at androidx fragment app FragmentManager moveToState(FragmentManager java:1185) _x000D_
        at androidx fragment app FragmentManager moveToState(FragmentManager java:1354) _x000D_
        at androidx fragment app FragmentManager moveFragmentToExpectedState(FragmentManager java:1432) _x000D_
        at androidx fragment app FragmentManager moveToState(FragmentManager java:1495) _x000D_
        at androidx fragment app BackStackRecord executeOps(BackStackRecord java:447) _x000D_
        at androidx fragment app FragmentManager executeOps(FragmentManager java:2167) _x000D_
        at androidx fragment app FragmentManager executeOpsTogether(FragmentManager java:1990) _x000D_
        at androidx fragment app FragmentManager removeRedundantOperationsAndExecute(FragmentManager java:1945) _x000D_
        at androidx fragment app FragmentManager execPendingActions(FragmentManager java:1847) _x000D_
        at androidx fragment app FragmentManager 4 run(FragmentManager java:413) _x000D_
        at android os Handler handleCallback(Handler java) _x000D_
        at android os Handler dispatchMessage(Handler java) _x000D_
        at android os Looper loop(Looper java) _x000D_
        at android app ActivityThread main(ActivityThread java) _x000D_
        at java lang reflect Method invokeNative(Native Method) _x000D_
        at java lang reflect Method invoke(Method java) _x000D_
        at com android internal os ZygoteInit MethodAndArgsCaller run(ZygoteInit java) _x000D_
        at com android internal os ZygoteInit main(ZygoteInit java) _x000D_
        at dalvik system NativeStart main(Native Method) _x000D_
_x000D_
   _x000D_
</t>
  </si>
  <si>
    <t>indomie858-app-A-52</t>
  </si>
  <si>
    <t>Location Permissions</t>
  </si>
  <si>
    <t>Need to implement location permissions request when app is loaded  Currently  when you run a clean install of the app  the app crashes during this flow:_x000D_
_x000D_
  Open app   Click Directory   Select a building   InstructionViewActivity opens then crashes due to permissions error_x000D_
_x000D_
MapActivity has an implementation of the permissions request  When you click the Map button after a clean install  it prompts the user to enable location services  We should have this prompt when the user loads the app instead</t>
  </si>
  <si>
    <t>commons-app-apps-android-commons-3996</t>
  </si>
  <si>
    <t>Hitting on on My Rank in leaderboard section crashes the application</t>
  </si>
  <si>
    <t xml:space="preserve">  Summary:   _x000D_
_x000D_
Summarize your issue in one sentence (what goes wrong  what did you expect to happen)_x000D_
If you haven t made any contribution then my rank button should be disabled or tell the user use to make some contribution but it crashes the application_x000D_
_x000D_
_x000D_
  Steps to reproduce:   _x000D_
_x000D_
How can we reproduce the issue  _x000D_
Signup with a new account or use an account with 0 contributions and go to profile and then the leaderboard _x000D_
it will display a message you haven t made any contribution then we click on okay on the dialog box then and then click on my rank in the fragment_x000D_
_x000D_
_x000D_
What did you expect the app to do  and what did you see instead _x000D_
Well I was expecting a toast or message that go do some contribution but instead  the application got crashed_x000D_
_x000D_
  System logs:  _x000D_
_x000D_
   _x000D_
Add logcat files here (if possible) _x000D_
  Process: fr free nrw commons beta  PID: 731_x000D_
    java lang NullPointerException_x000D_
        at java util Objects requireNonNull(Objects java:203)_x000D_
        at fr free nrw commons profile leaderboard LeaderboardFragment scrollToUserRank(LeaderboardFragment java:181)_x000D_
        at fr free nrw commons profile leaderboard LeaderboardFragment lambda onCreateView 0 LeaderboardFragment(LeaderboardFragment java:159)_x000D_
        at fr free nrw commons profile leaderboard    Lambda LeaderboardFragment inILp4O8S6TD2ALCIIkG2aFuFI4 onClick(Unknown Source:2)_x000D_
        at android view View performClick(View java:7125)_x000D_
        at android view View performClickInternal(View java:7102)_x000D_
        at android view View access 3500(View java:801)_x000D_
        at android view View PerformClick run(View java:27340)_x000D_
        at android os Handler handleCallback(Handler java:883)_x000D_
        at android os Handler dispatchMessage(Handler java:100)_x000D_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java:935)_x000D_
_x000D_
Need help  See https:  github com commons app apps android commons wiki Getting app logs from Android Studio_x000D_
   _x000D_
_x000D_
  Device and Android version:   _x000D_
_x000D_
What make and model device (e g   Samsung J7) did you encounter this on _x000D_
What Android version (e g   Android 4 0 Ice Cream Sandwich or Android 6 0 Marshmallow) are you running _x000D_
Is it the stock version from the manufacturer or a custom ROM  _x000D_
 _x000D_
  Commons app version:   _x000D_
_x000D_
You can find this information by going to the navigation drawer in the app and tapping  About   If you are building from our codebase instead of downloading the app  please also mention the branch and build variant (e g  master and prodDebug) _x000D_
_x000D_
  Screen shots:   _x000D_
_x000D_
Can be created by pressing the Volume Down and Power Button at the same time on Android 4 0 and higher _x000D_
_x000D_
  Would you like to work on the issue   _x000D_
_x000D_
Please let us know whether you want to fix the issue by yourself  If not  anyone can get the issue assigned to them _x000D_
</t>
  </si>
  <si>
    <t>opensrp-opensrp-client-chw-1458</t>
  </si>
  <si>
    <t>Chad app crashes when you tap on "Add family" button and "Add family member" button</t>
  </si>
  <si>
    <t xml:space="preserve">App crashes when you tap on the  Add family  button and on the  Add family member  form button  Apk and login details shared in Slack DM </t>
  </si>
  <si>
    <t>Anuken-Mindustry-3158</t>
  </si>
  <si>
    <t>UI is not rendered properly on 4k display</t>
  </si>
  <si>
    <t xml:space="preserve">  Platform  :  Steam Windows _x000D_
_x000D_
  Build  :  v6 111 _x000D_
_x000D_
  Issue  : Ok  so for some reason the UI (Main menu and hud) looks pixelated when the game is played on a 4k monitor  The actual game (map  unity  buildings  etc) looks fine  but the UI (which I am assuming is rendered to another buffer) looks like it s 1080p or even 720p _x000D_
_x000D_
  Steps to reproduce  :_x000D_
Start game from steam on a 4k display  Happens both in borderless and fullscreen mode  Interestingly enough the UI looks somewhat better (like some AA was applied) every time I try to take a screenshot with ShareX  Compared e g  text in chrome it is still pixelated  but not to the extent it was before _x000D_
_x000D_
I already tried resetting my graphic settings to default and restarted the game multiple times _x000D_
_x000D_
  Link(s) to mod(s) used  : Unmodded_x000D_
_x000D_
  Save file  : Happens in the main menu already _x000D_
_x000D_
  Crash report  : Not crashing_x000D_
_x000D_
_x000D_
Below are two screenshots I took with my phone  both from the exact same area of my display  One shows how the UI is rendered in the main menu while the other shows how text should actually look like on my display (chrome) _x000D_
The game looks significantly worse than you can see on the image  but when you compare the text in them the problem should still be easily noticeable _x000D_
_x000D_
 Images zip (https:  github com Anuken Mindustry files 5448242 Images zip)_x000D_
_x000D_
EDIT: Forgot to mention it  but the pixelate option is disabled_x000D_
_x000D_
   _x000D_
_x000D_
 Place an X (no spaces) between the brackets to confirm that you have read the line below    _x000D_
   x    I have searched the closed and open issues to make sure that this problem has not already been reported   _x000D_
</t>
  </si>
  <si>
    <t>ElderDrivers-EdXposed-620</t>
  </si>
  <si>
    <t>[BUG] Android softreboot with system crash visible in the logs</t>
  </si>
  <si>
    <t xml:space="preserve">  What happened   _x000D_
_x000D_
Since the last update of my ROM  the system soft reboot often (from a couple of minutes to  15 minutes) _x000D_
At the same time I ve updated Nanodroid (only with microg fdroid google sync and nothing else) so I m not sure if it s the ROM update or microg in any way _x000D_
_x000D_
I tested with SandHook and YAHFA and both cause the crash _x000D_
_x000D_
  Xposed Module List  _x000D_
_x000D_
Greenify and NoQSInLockScreen (EdXposed module is disabled)_x000D_
_x000D_
  Magisk Module List  _x000D_
_x000D_
Busybox_x000D_
DNSCrypt proxy2_x000D_
Nanodroid (microg google fdroid patcher)_x000D_
Riru Core_x000D_
_x000D_
  Versions of EdXposed and Riru  _x000D_
_x000D_
EdXposed: v4 5 7 with v0 5 0 6 alpha installed since it s aivalable_x000D_
_x000D_
Riru: v21 3_x000D_
_x000D_
  Logcat  _x000D_
_x000D_
YAHFA_x000D_
   _x000D_
          beginning of crash_x000D_
10 27 21:18:37 407  2012  2171 F libc    : Fatal signal 6 (SIGABRT)  code  1 (SI QUEUE) in tid 2171 (Binder:2012 2)  pid 2012 (system server)_x000D_
10 27 21:18:37 609 13649 13649 F DEBUG   :                                                                _x000D_
10 27 21:18:37 610 13649 13649 F DEBUG   : LineageOS Version:  17 1 20201027 NIGHTLY lake _x000D_
10 27 21:18:37 610 13649 13649 F DEBUG   : Build fingerprint:  motorola lake retail lake:10 QPW30 61 18 d18ed:user release keys _x000D_
10 27 21:18:37 610 13649 13649 F DEBUG   : Revision:  pvt _x000D_
10 27 21:18:37 610 13649 13649 F DEBUG   : ABI:  arm64 _x000D_
10 27 21:18:37 611 13649 13649 F DEBUG   : Timestamp: 2020 10 27 21:18:37 0100_x000D_
10 27 21:18:37 611 13649 13649 F DEBUG   : pid: 2012  tid: 2171  name: Binder:2012 2      system server    _x000D_
10 27 21:18:37 611 13649 13649 F DEBUG   : uid: 1000_x000D_
10 27 21:18:37 611 13649 13649 F DEBUG   : signal 6 (SIGABRT)  code  1 (SI QUEUE)  fault addr         _x000D_
10 27 21:18:37 611 13649 13649 F DEBUG   : Abort message:  No inline cache found for void com android server wm    Lambda SurfaceAnimationRunner puhYAP5tF0mSSJva eUz59HnrkA onAnimationUpdate(android animation ValueAnimator) 40 _x000D_
10 27 21:18:37 611 13649 13649 F DEBUG   :     x0  0000000000000000  x1  000000000000087b  x2  0000000000000006  x3  0000007725318e20_x000D_
10 27 21:18:37 611 13649 13649 F DEBUG   :     x4  00000077253188c8  x5  00000077253188c8  x6  00000077253188c8  x7  0000000000000000_x000D_
10 27 21:18:37 611 13649 13649 F DEBUG   :     x8  00000000000000f0  x9  05fcf5b29bcc18ca  x10 0000000000000001  x11 0000000000000000_x000D_
10 27 21:18:37 611 13649 13649 F DEBUG   :     x12 fffffff0fffffbdf  x13 0000000010f88910  x14 0000000000000068  x15 055784e0150cc643_x000D_
10 27 21:18:37 611 13649 13649 F DEBUG   :     x16 00000077b89d58c0  x17 00000077b89b33b0  x18 00000076cfb06000  x19 00000000000007dc_x000D_
10 27 21:18:37 611 13649 13649 F DEBUG   :     x20 000000000000087b  x21 00000000ffffffff  x22 00000077269d9fc0  x23 0000007735836000_x000D_
10 27 21:18:37 611 13649 13649 F DEBUG   :     x24 00000077353052e7  x25 0000007735838000  x26 000000773523b258  x27 0000007735838000_x000D_
10 27 21:18:37 611 13649 13649 F DEBUG   :     x28 0000000000000000  x29 0000007725318ec0_x000D_
10 27 21:18:37 611 13649 13649 F DEBUG   :     sp  0000007725318e00  lr  00000077b8966f48  pc  00000077b8966f74_x000D_
10 27 21:18:38 187 13649 13649 F DEBUG   : _x000D_
10 27 21:18:38 187 13649 13649 F DEBUG   : backtrace:_x000D_
10 27 21:18:38 187 13649 13649 F DEBUG   :        00 pc 0000000000081f74   apex com android runtime lib64 bionic libc so (abort 160) (BuildId: bf14cf7a62d1f91755beddd4a937354d)_x000D_
10 27 21:18:38 187 13649 13649 F DEBUG   :        01 pc 00000000004b14a4   apex com android runtime lib64 libart so libart so (offset 0x4b1000) (art::Runtime::Abort(char const ) 2268) (BuildId: 77524e83b39d990eaaf7c2af505c5eae)_x000D_
10 27 21:18:38 187 13649 13649 F DEBUG   :        02 pc 000000000000c5b4   system lib64 libbase so (android::base::LogMessage:: LogMessage() 608) (BuildId: 85c53926c6f8d70f35d67c6e99bae271)_x000D_
10 27 21:18:38 187 13649 13649 F DEBUG   :        03 pc 0000000000342778   apex com android runtime lib64 libart so libart so (offset 0x292000) (art::ProfilingInfo::GetInlineCache(unsigned int) 272) (BuildId: 77524e83b39d990eaaf7c2af505c5eae)_x000D_
10 27 21:18:38 187 13649 13649 F DEBUG   :        04 pc 00000000003427c8   apex com android runtime lib64 libart so libart so (offset 0x292000) (art::ProfilingInfo::AddInvokeInfo(unsigned int  art::mirror::Class ) 28) (BuildId: 77524e83b39d990eaaf7c2af505c5eae)_x000D_
10 27 21:18:38 187 13649 13649 F DEBUG   :        05 pc 000000000059ace4   apex com android runtime lib64 libart so libart so (offset 0x4b3000) (MterpInvokeVirtualRange 444) (BuildId: 77524e83b39d990eaaf7c2af505c5eae)_x000D_
10 27 21:18:38 187 13649 13649 F DEBUG   :        06 pc 0000000000130b14   apex com android runtime lib64 libart so (mterp op invoke virtual range 20) (BuildId: 77524e83b39d990eaaf7c2af505c5eae)_x000D_
10 27 21:18:38 187 13649 13649 F DEBUG   :        07 pc 00000000001eaaec   anon:dalvik classes4 dex extracted in memory from  system framework services jar classes4 dex  (com android server am ActivityManagerService broadcastIntentLocked 80)_x000D_
10 27 21:18:38 187 13649 13649 F DEBUG   :        08 pc 000000000059d470   apex com android runtime lib64 libart so libart so (offset 0x4b3000) (MterpInvokeStaticRange 768) (BuildId: 77524e83b39d990eaaf7c2af505c5eae)_x000D_
10 27 21:18:38 187 13649 13649 F DEBUG   :        09 pc 0000000000130c94   apex com android runtime lib64 libart so (mterp op invoke static range 20) (BuildId: 77524e83b39d990eaaf7c2af505c5eae)_x000D_
10 27 21:18:38 187 13649 13649 F DEBUG   :        10 pc 0000000000000722   anon:dalvik DEX data  (EdHooker  hook 858)_x000D_
10 27 21:18:38 187 13649 13649 F DEBUG   :        11 pc 00000000002afd20   apex com android runtime lib64 libart so libart so (offset 0x292000) ( ZN3art11interpreterL7ExecuteEPNS 6ThreadERKNS 20CodeItemDataAccessorERNS 11ShadowFrameENS 6JValueEbb llvm 1271440803783865717 240) (BuildId: 77524e83b39d990eaaf7c2af505c5eae)_x000D_
10 27 21:18:38 187 13649 13649 F DEBUG   :        12 pc 0000000000588e8c   apex com android runtime lib64 libart so libart so (offset 0x4b3000) (artQuickToInterpreterBridge 1012) (BuildId: 77524e83b39d990eaaf7c2af505c5eae)_x000D_
10 27 21:18:38 187 13649 13649 F DEBUG   :        13 pc 000000000013f468   apex com android runtime lib64 libart so (art quick to interpreter bridge 88) (BuildId: 77524e83b39d990eaaf7c2af505c5eae)_x000D_
10 27 21:18:38 187 13649 13649 F DEBUG   :        14 pc 000000000205c7e8   memfd: jit cache (deleted) (com android server am ActivityManagerService broadcastIntent 424)_x000D_
10 27 21:18:38 187 13649 13649 F DEBUG   :        15 pc 00000000004e6590   system framework arm64 boot framework oat (android app ContextImpl sendStickyBroadcastAsUser 352) (BuildId: 268218f903f195e6053515289a297317303f358b)_x000D_
10 27 21:18:38 187 13649 13649 F DEBUG   :        16 pc 0000000000136334   apex com android runtime lib64 libart so (art quick invoke stub 548) (BuildId: 77524e83b39d990eaaf7c2af505c5eae)_x000D_
10 27 21:18:38 187 13649 13649 F DEBUG   :        17 pc 000000000014506c   apex com android runtime lib64 libart so (art::ArtMethod::Invoke(art::Thread   unsigned int   unsigned int  art::JValue   char const ) 244) (BuildId: 77524e83b39d990eaaf7c2af505c5eae)_x000D_
10 27 21:18:38 188 13649 13649 F DEBUG   :        18 pc 00000000002df0d4   apex com android runtime lib64 libart so libart so (offset 0x292000) (art::interpreter::ArtInterpreterToCompiledCodeBridge(art::Thread   art::ArtMethod   art::ShadowFrame   unsigned short  art::JValue ) 384) (BuildId: 77524e83b39d990eaaf7c2af505c5eae)_x000D_
10 27 21:18:38 188 13649 13649 F DEBUG   :        19 pc 00000000002da3b4   apex com android runtime lib64 libart so libart so (offset 0x292000) (bool art::interpreter::DoCall false  false (art::ArtMethod   art::Thread   art::ShadowFrame   art::Instruction const   unsigned short  art::JValue ) 912) (BuildId: 77524e83b39d990eaaf7c2af505c5eae)_x000D_
10 27 21:18:38 188 13649 13649 F DEBUG   :        20 pc 0000000000597844   apex com android runtime lib64 libart so libart so (offset 0x4b3000) (MterpInvokeVirtual 648) (BuildId: 77524e83b39d990eaaf7c2af505c5eae)_x000D_
10 27 21:18:38 188 13649 13649 F DEBUG   :        21 pc 0000000000130814   apex com android runtime lib64 libart so (mterp op invoke virtual 20) (BuildId: 77524e83b39d990eaaf7c2af505c5eae)_x000D_
10 27 21:18:38 188 13649 13649 F DEBUG   :        22 pc 00000000001cd9cc   anon:dalvik classes4 dex extracted in memory from  system framework services jar classes4 dex  (com android server TelephonyRegistry broadcastSignalStrengthChanged 108)_x000D_
10 27 21:18:38 188 13649 13649 F DEBUG   :        23 pc 00000000002afd20   apex com android runtime lib64 libart so libart so (offset 0x292000) ( ZN3art11interpreterL7ExecuteEPNS 6ThreadERKNS 20CodeItemDataAccessorERNS 11ShadowFrameENS 6JValueEbb llvm 1271440803783865717 240) (BuildId: 77524e83b39d990eaaf7c2af505c5eae)_x000D_
10 27 21:18:38 188 13649 13649 F DEBUG   :        24 pc 0000000000588e8c   apex com android runtime lib64 libart so libart so (offset 0x4b3000) (artQuickToInterpreterBridge 1012) (BuildId: 77524e83b39d990eaaf7c2af505c5eae)_x000D_
10 27 21:18:38 188 13649 13649 F DEBUG   :        25 pc 000000000013f468   apex com android runtime lib64 libart so (art quick to interpreter bridge 88) (BuildId: 77524e83b39d990eaaf7c2af505c5eae)_x000D_
10 27 21:18:38 188 13649 13649 F DEBUG   :        26 pc 00000000020a276c   memfd: jit cache (deleted) (com android server TelephonyRegistry notifySignalStrengthForPhoneId 1196)_x000D_
10 27 21:18:38 188 13649 13649 F DEBUG   :        27 pc 0000000000b47614   system framework arm64 boot framework oat (com android internal telephony ITelephonyRegistry Stub onTransact 6820) (BuildId: 268218f903f195e6053515289a297317303f358b)_x000D_
10 27 21:18:38 188 13649 13649 F DEBUG   :        28 pc 0000000000839160   system framework arm64 boot framework oat (android os Binder execTransactInternal 704) (BuildId: 268218f903f195e6053515289a297317303f358b)_x000D_
10 27 21:18:38 188 13649 13649 F DEBUG   :        29 pc 0000000000838d78   system framework arm64 boot framework oat (android os Binder execTransact 296) (BuildId: 268218f903f195e6053515289a297317303f358b)_x000D_
10 27 21:18:38 188 13649 13649 F DEBUG   :        30 pc 0000000000136334   apex com android runtime lib64 libart so (art quick invoke stub 548) (BuildId: 77524e83b39d990eaaf7c2af505c5eae)_x000D_
10 27 21:18:38 188 13649 13649 F DEBUG   :        31 pc 000000000014506c   apex com android runtime lib64 libart so (art::ArtMethod::Invoke(art::Thread   unsigned int   unsigned int  art::JValue   char const ) 244) (BuildId: 77524e83b39d990eaaf7c2af505c5eae)_x000D_
10 27 21:18:38 188 13649 13649 F DEBUG   :        32 pc 00000000004a9110   apex com android runtime lib64 libart so libart so (offset 0x454000) (art::(anonymous namespace)::InvokeWithArgArray(art::ScopedObjectAccessAlreadyRunnable const   art::ArtMethod   art::(anonymous namespace)::ArgArray   art::JValue   char const ) 104) (BuildId: 77524e83b39d990eaaf7c2af505c5eae)_x000D_
10 27 21:18:38 188 13649 13649 F DEBUG   :        33 pc 00000000004aa460   apex com android runtime lib64 libart so libart so (offset 0x454000) (art::InvokeVirtualOrInterfaceWithVarArgs(art::ScopedObjectAccessAlreadyRunnable const    jobject    jmethodID   std::  va list) 424) (BuildId: 77524e83b39d990eaaf7c2af505c5eae)_x000D_
10 27 21:18:38 188 13649 13649 F DEBUG   :        34 pc 0000000000387758   apex com android runtime lib64 libart so libart so (offset 0x292000) (art::JNI::CallBooleanMethodV( JNIEnv    jobject    jmethodID   std::  va list) 632) (BuildId: 77524e83b39d990eaaf7c2af505c5eae)_x000D_
10 27 21:18:38 188 13649 13649 F DEBUG   :        35 pc 00000000000d2e44   system lib64 libandroid runtime so ( JNIEnv::CallBooleanMethod( jobject    jmethodID      ) 116) (BuildId: f56bc1fc11ff5978e2f1a57f7348acd4)_x000D_
10 27 21:18:38 188 13649 13649 F DEBUG   :        36 pc 00000000001482b4   system lib64 libandroid runtime so (JavaBBinder::onTransact(unsigned int  android::Parcel const   android::Parcel   unsigned int) 152) (BuildId: f56bc1fc11ff5978e2f1a57f7348acd4)_x000D_
10 27 21:18:38 188 13649 13649 F DEBUG   :        37 pc 000000000004c670   system lib64 libbinder so (android::BBinder::transact(unsigned int  android::Parcel const   android::Parcel   unsigned int) 136) (BuildId: 9bf0b9c4a84b3868f2d27d1d2ac1d19f)_x000D_
10 27 21:18:38 188 13649 13649 F DEBUG   :        38 pc 000000000005898c   system lib64 libbinder so (android::IPCThreadState::executeCommand(int) 980) (BuildId: 9bf0b9c4a84b3868f2d27d1d2ac1d19f)_x000D_
10 27 21:18:38 188 13649 13649 F DEBUG   :        39 pc 0000000000058504   system lib64 libbinder so (android::IPCThreadState::getAndExecuteCommand() 156) (BuildId: 9bf0b9c4a84b3868f2d27d1d2ac1d19f)_x000D_
10 27 21:18:38 188 13649 13649 F DEBUG   :        40 pc 0000000000058c40   system lib64 libbinder so (android::IPCThreadState::joinThreadPool(bool) 60) (BuildId: 9bf0b9c4a84b3868f2d27d1d2ac1d19f)_x000D_
10 27 21:18:38 188 13649 13649 F DEBUG   :        41 pc 000000000007ee14   system lib64 libbinder so (android::PoolThread::threadLoop() 24) (BuildId: 9bf0b9c4a84b3868f2d27d1d2ac1d19f)_x000D_
10 27 21:18:38 188 13649 13649 F DEBUG   :        42 pc 0000000000013638   system lib64 libutils so (android::Thread:: threadLoop(void ) 288) (BuildId: b965af381dbeeb67b1b947b7c61206b3)_x000D_
10 27 21:18:38 188 13649 13649 F DEBUG   :        43 pc 00000000000c2794   system lib64 libandroid runtime so (android::AndroidRuntime::javaThreadShell(void ) 140) (BuildId: f56bc1fc11ff5978e2f1a57f7348acd4)_x000D_
10 27 21:18:38 188 13649 13649 F DEBUG   :        44 pc 00000000000e2390   apex com android runtime lib64 bionic libc so (  pthread start(void ) 36) (BuildId: bf14cf7a62d1f91755beddd4a937354d)_x000D_
10 27 21:18:38 188 13649 13649 F DEBUG   :        45 pc 0000000000083ab0   apex com android runtime lib64 bionic libc so (  start thread 64) (BuildId: bf14cf7a62d1f91755beddd4a937354d)_x000D_
10 27 21:18:39 143  2012  2421 I BootReceiver: Copying  data tombstones tombstone 11 to DropBox (system server native crash)_x000D_
10 27 21:18:39 148  2012  2421 I DropBoxManagerService: add tag system server native crash isTagEnabled true flags 0x2_x000D_
10 27 21:18:39 344  3716 13402 E AndroidRuntime: FATAL EXCEPTION: AsyncTask  22_x000D_
10 27 21:18:39 344  3716 13402 E AndroidRuntime: Process: com android systemui  PID: 3716_x000D_
10 27 21:18:39 344  3716 13402 E AndroidRuntime: DeadSystemException: The system died  earlier logs will point to the root cause_x000D_
   _x000D_
_x000D_
_x000D_
SandHook_x000D_
   _x000D_
          beginning of crash_x000D_
10 27 20:27:57 433  2029  4781 F libc    : Fatal signal 11 (SIGSEGV)  code 2 (SEGV ACCERR)  fault addr 0x9ab7f920 in tid 4781 (ClientModeImpl)  pid 2029 (system server)_x000D_
10 27 20:27:57 624 11775 11775 F DEBUG   :                                                                _x000D_
10 27 20:27:57 624 11775 11775 F DEBUG   : LineageOS Version:  17 1 20201027 NIGHTLY lake _x000D_
10 27 20:27:57 624 11775 11775 F DEBUG   : Build fingerprint:  motorola lake retail lake:10 QPW30 61 18 d18ed:user release keys _x000D_
10 27 20:27:57 624 11775 11775 F DEBUG   : Revision:  pvt _x000D_
10 27 20:27:57 624 11775 11775 F DEBUG   : ABI:  arm64 _x000D_
10 27 20:27:57 625 11775 11775 F DEBUG   : Timestamp: 2020 10 27 20:27:57 0100_x000D_
10 27 20:27:57 625 11775 11775 F DEBUG   : pid: 2029  tid: 4781  name: ClientModeImpl      system server    _x000D_
10 27 20:27:57 625 11775 11775 F DEBUG   : uid: 1000_x000D_
10 27 20:27:57 626 11775 11775 F DEBUG   : signal 11 (SIGSEGV)  code 2 (SEGV ACCERR)  fault addr 0x9ab7f920_x000D_
10 27 20:27:57 626 11775 11775 F DEBUG   :     x0  0000007156e10290  x1  00000000158d9920  x2  0000000016649e30  x3  0000000070de00c8_x000D_
10 27 20:27:57 626 11775 11775 F DEBUG   :     x4  000000001441c320  x5  0000000000000000  x6  0000000000000000  x7  00000000ffffffff_x000D_
10 27 20:27:57 626 11775 11775 F DEBUG   :     x8  0000000000000048  x9  000000009ab7f920  x10 00000071b98db4c6  x11 00000071c60d01dc_x000D_
10 27 20:27:57 626 11775 11775 F DEBUG   :     x12 00000071c60d0224  x13 00000071c60d026c  x14 00000071c60d02cc  x15 0000000000000000_x000D_
10 27 20:27:57 626 11775 11775 F DEBUG   :     x16 00000071c655a618  x17 0000000000000000  x18 000000711f508000  x19 0000007140824c00_x000D_
10 27 20:27:57 626 11775 11775 F DEBUG   :     x20 0000000000000000  x21 0000007140824c00  x22 00000071326a6130  x23 00000071b98db4b2_x000D_
10 27 20:27:57 626 11775 11775 F DEBUG   :     x24 000000000000004c  x25 000000711f824020  x26 0000007140824cb0  x27 000000711f824020_x000D_
10 27 20:27:57 626 11775 11775 F DEBUG   :     x28 00000071c655e000  x29 000000711f822470_x000D_
10 27 20:27:57 626 11775 11775 F DEBUG   :     sp  000000711f822410  lr  00000071c60d0338  pc  000000009ab7f920_x000D_
10 27 20:27:58 253 11775 11775 F DEBUG   : _x000D_
10 27 20:27:58 253 11775 11775 F DEBUG   : backtrace:_x000D_
10 27 20:27:58 253 11775 11775 F DEBUG   :        00 pc 000000000006b920   memfd: jit cache (deleted)_x000D_
10 27 20:27:58 253 11775 11775 F DEBUG   :        01 pc 0000000000136334   apex com android runtime lib64 libart so (art quick invoke stub 548) (BuildId: 77524e83b39d990eaaf7c2af505c5eae)_x000D_
10 27 20:27:58 253 11775 11775 F DEBUG   :        02 pc 000000000014506c   apex com android runtime lib64 libart so (art::ArtMethod::Invoke(art::Thread   unsigned int   unsigned int  art::JValue   char const ) 244) (BuildId: 77524e83b39d990eaaf7c2af505c5eae)_x000D_
10 27 20:27:58 253 11775 11775 F DEBUG   :        03 pc 00000000004a9110   apex com android runtime lib64 libart so libart so (offset 0x454000) (art::(anonymous namespace)::InvokeWithArgArray(art::ScopedObjectAccessAlreadyRunnable const   art::ArtMethod   art::(anonymous namespace)::ArgArray   art::JValue   char const ) 104) (BuildId: 77524e83b39d990eaaf7c2af505c5eae)_x000D_
10 27 20:27:58 253 11775 11775 F DEBUG   :        04 pc 00000000004aab38   apex com android runtime lib64 libart so libart so (offset 0x454000) (art::InvokeMethod(art::ScopedObjectAccessAlreadyRunnable const    jobject    jobject    jobject   unsigned long) 1476) (BuildId: 77524e83b39d990eaaf7c2af505c5eae)_x000D_
10 27 20:27:58 253 11775 11775 F DEBUG   :        05 pc 000000000043744c   apex com android runtime lib64 libart so libart so (offset 0x3e9000) (art::Method invoke( JNIEnv    jobject    jobject    jobjectArray ) 52) (BuildId: 77524e83b39d990eaaf7c2af505c5eae)_x000D_
10 27 20:27:58 253 11775 11775 F DEBUG   :        06 pc 00000000000bfc34   system framework arm64 boot oat (art jni trampoline 180) (BuildId: ead7e1b0deb91a66a69e417eff53bea19393fa25)_x000D_
10 27 20:27:58 253 11775 11775 F DEBUG   :        07 pc 000000000204f73c   memfd: jit cache (deleted) (com swift sandhook SandHook callOriginMethod 268)_x000D_
10 27 20:27:58 253 11775 11775 F DEBUG   :        08 pc 0000000002060d18   memfd: jit cache (deleted) (com swift sandhook xposedcompat hookstub HookStubManager hookBridge 648)_x000D_
10 27 20:27:58 253 11775 11775 F DEBUG   :        09 pc 00000000001365b8   apex com android runtime lib64 libart so (art quick invoke static stub 568) (BuildId: 77524e83b39d990eaaf7c2af505c5eae)_x000D_
10 27 20:27:58 253 11775 11775 F DEBUG   :        10 pc 000000000014508c   apex com android runtime lib64 libart so (art::ArtMethod::Invoke(art::Thread   unsigned int   unsigned int  art::JValue   char const ) 276) (BuildId: 77524e83b39d990eaaf7c2af505c5eae)_x000D_
10 27 20:27:58 253 11775 11775 F DEBUG   :        11 pc 00000000002df0d4   apex com android runtime lib64 libart so libart so (offset 0x292000) (art::interpreter::ArtInterpreterToCompiledCodeBridge(art::Thread   art::ArtMethod   art::ShadowFrame   unsigned short  art::JValue ) 384) (BuildId: 77524e83b39d990eaaf7c2af505c5eae)_x000D_
10 27 20:27:58 253 11775 11775 F DEBUG   :        12 pc 00000000002da3b4   apex com android runtime lib64 libart so libart so (offset 0x292000) (bool art::interpreter::DoCall false  false (art::ArtMethod   art::Thread   art::ShadowFrame   art::Instruction const   unsigned short  art::JValue ) 912) (BuildId: 77524e83b39d990eaaf7c2af505c5eae)_x000D_
10 27 20:27:58 253 11775 11775 F DEBUG   :        13 pc 000000000059a3f0   apex com android runtime lib64 libart so libart so (offset 0x4b3000) (MterpInvokeStatic 368) (BuildId: 77524e83b39d990eaaf7c2af505c5eae)_x000D_
10 27 20:27:58 253 11775 11775 F DEBUG   :        14 pc 0000000000130994   apex com android runtime lib64 libart so (mterp op invoke static 20) (BuildId: 77524e83b39d990eaaf7c2af505c5eae)_x000D_
10 27 20:27:58 253 11775 11775 F DEBUG   :        15 pc 0000000000000352   anon:dalvik classes dex extracted in memory from  data user de 0 android cache sandhook zygote64 hookers SandHookerNew 3m2g5c8g95gch34dd46g8kpi1n jar  (SandHookerNew 3m2g5c8g95gch34dd46g8kpi1n hook 330)_x000D_
10 27 20:27:58 253 11775 11775 F DEBUG   :        16 pc 00000000002afd20   apex com android runtime lib64 libart so libart so (offset 0x292000) ( ZN3art11interpreterL7ExecuteEPNS 6ThreadERKNS 20CodeItemDataAccessorERNS 11ShadowFrameENS 6JValueEbb llvm 1271440803783865717 240) (BuildId: 77524e83b39d990eaaf7c2af505c5eae)_x000D_
10 27 20:27:58 253 11775 11775 F DEBUG   :        17 pc 0000000000588e8c   apex com android runtime lib64 libart so libart so (offset 0x4b3000) (artQuickToInterpreterBridge 1012) (BuildId: 77524e83b39d990eaaf7c2af505c5eae)_x000D_
10 27 20:27:58 253 11775 11775 F DEBUG   :        18 pc 000000000013f468   apex com android runtime lib64 libart so (art quick to interpreter bridge 88) (BuildId: 77524e83b39d990eaaf7c2af505c5eae)_x000D_
10 27 20:27:58 253 11775 11775 F DEBUG   :        19 pc 000000000207e968   memfd: jit cache (deleted) (com android server am ActivityManagerService broadcastIntent 424)_x000D_
10 27 20:27:58 253 11775 11775 F DEBUG   :        20 pc 00000000004e5b5c   system framework arm64 boot framework oat (android app ContextImpl sendBroadcastAsUser 428) (BuildId: 268218f903f195e6053515289a297317303f358b)_x000D_
10 27 20:27:58 253 11775 11775 F DEBUG   :        21 pc 00000000004e5980   system framework arm64 boot framework oat (android app ContextImpl sendBroadcastAsUser 64) (BuildId: 268218f903f195e6053515289a297317303f358b)_x000D_
10 27 20:27:58 253 11775 11775 F DEBUG   :        22 pc 00000000001aad2c   system framework oat arm64 wifi service odex (com android server wifi ClientModeImpl sendRssiChangeBroadcast 396) (BuildId: c0cf2899ab9881d7ada338e85360c71134703273)_x000D_
10 27 20:27:58 253 11775 11775 F DEBUG   :        23 pc 00000000001a5678   system framework oat arm64 wifi service odex (com android server wifi ClientModeImpl fetchRssiLinkSpeedAndFrequencyNative 888) (BuildId: c0cf2899ab9881d7ada338e85360c71134703273)_x000D_
10 27 20:27:58 253 11775 11775 F DEBUG   :        24 pc 000000000019a350   system framework oat arm64 wifi service odex (com android server wifi ClientModeImpl L2ConnectedState updateLinkLayerStatsRssiAndScoreReportInternal 144) (BuildId: c0cf2899ab9881d7ada338e85360c71134703273)_x000D_
10 27 20:27:58 253 11775 11775 F DEBUG   :        25 pc 000000000019c2a0   system framework oat arm64 wifi service odex (com android server wifi ClientModeImpl L2ConnectedState processMessage 5712) (BuildId: c0cf2899ab9881d7ada338e85360c71134703273)_x000D_
10 27 20:27:58 253 11775 11775 F DEBUG   :        26 pc 0000000000a7d03c   system framework arm64 boot framework oat (com android internal util StateMachine SmHandler processMsg 428) (BuildId: 268218f903f195e6053515289a297317303f358b)_x000D_
10 27 20:27:58 253 11775 11775 F DEBUG   :        27 pc 0000000000a7dcdc   system framework arm64 boot framework oat (com android internal util StateMachine SmHandler handleMessage 668) (BuildId: 268218f903f195e6053515289a297317303f358b)_x000D_
10 27 20:27:58 253 11775 11775 F DEBUG   :        28 pc 0000000000739b94   system framework arm64 boot framework oat (android os Handler dispatchMessage 180) (BuildId: 268218f903f195e6053515289a297317303f358b)_x000D_
10 27 20:27:58 253 11775 11775 F DEBUG   :        29 pc 000000000073d26c   system framework arm64 boot framework oat (android os Looper loop 1756) (BuildId: 268218f903f195e6053515289a297317303f358b)_x000D_
10 27 20:27:58 254 11775 11775 F DEBUG   :        30 pc 000000000073bba0   system framework arm64 boot framework oat (android os HandlerThread run 544) (BuildId: 268218f903f195e6053515289a297317303f358b)_x000D_
10 27 20:27:58 254 11775 11775 F DEBUG   :        31 pc 0000000000136334   apex com android runtime lib64 libart so (art quick invoke stub 548) (BuildId: 77524e83b39d990eaaf7c2af505c5eae)_x000D_
10 27 20:27:58 254 11775 11775 F DEBUG   :        32 pc 000000000014506c   apex com android runtime lib64 libart so (art::ArtMethod::Invoke(art::Thread   unsigned int   unsigned int  art::JValue   char const ) 244) (BuildId: 77524e83b39d990eaaf7c2af505c5eae)_x000D_
10 27 20:27:58 254 11775 11775 F DEBUG   :        33 pc 00000000004a9110   apex com android runtime lib64 libart so libart so (offset 0x454000) (art::(anonymous namespace)::InvokeWithArgArray(art::ScopedObjectAccessAlreadyRunnable const   art::ArtMethod   art::(anonymous namespace)::ArgArray   art::JValue   char const ) 104) (BuildId: 77524e83b39d990eaaf7c2af505c5eae)_x000D_
10 27 20:27:58 254 11775 11775 F DEBUG   :        34 pc 00000000004aa1a4   apex com android runtime lib64 libart so libart so (offset 0x454000) (art::InvokeVirtualOrInterfaceWithJValues(art::ScopedObjectAccessAlreadyRunnable const    jobject    jmethodID   jvalue const ) 416) (BuildId: 77524e83b39d990eaaf7c2af505c5eae)_x000D_
10 27 20:27:58 254 11775 11775 F DEBUG   :        35 pc 00000000004e9f3c   apex com android runtime lib64 libart so libart so (offset 0x4b3000) (art::Thread::CreateCallback(void ) 1176) (BuildId: 77524e83b39d990eaaf7c2af505c5eae)_x000D_
10 27 20:27:58 254 11775 11775 F DEBUG   :        36 pc 00000000000e2390   apex com android runtime lib64 bionic libc so (  pthread start(void ) 36) (BuildId: bf14cf7a62d1f91755beddd4a937354d)_x000D_
10 27 20:27:58 254 11775 11775 F DEBUG   :        37 pc 0000000000083ab0   apex com android runtime lib64 bionic libc so (  start thread 64) (BuildId: bf14cf7a62d1f91755beddd4a937354d)_x000D_
   </t>
  </si>
  <si>
    <t>Anuken-Mindustry-3157</t>
  </si>
  <si>
    <t>green lines bug</t>
  </si>
  <si>
    <t xml:space="preserve">  Platform  : Windows_x000D_
_x000D_
  Build  : 6 0 beta branch_x000D_
_x000D_
  Issue  :  when booting up the game  green lines appear horizontal across the screen and obscure vision heavily _x000D_
_x000D_
  Steps to reproduce  : the issue accoured on my friends Del laptop and it keeps happening when he loads up the beta branch but only the beta branch _x000D_
_x000D_
  Link(s) to mod(s) used  :  The mod repositories or zip files that are related to the issue  if applicable   he deleted all his mods before starting_x000D_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save fie i cant provide sadly  as far as i know its not tied to save files as he deleted his then it happened again _x000D_
_x000D_
  Crash report  : did not crash the game _x000D_
_x000D_
   _x000D_
_x000D_
 Place an X (no spaces)  no i did not read below   sorry if someone reported this before im new to github and just made an account to report this _x000D_
</t>
  </si>
  <si>
    <t>TeamNewPipe-NewPipe-4676</t>
  </si>
  <si>
    <t>Impossible de copier guru méditation</t>
  </si>
  <si>
    <t>Anuken-Mindustry-3152</t>
  </si>
  <si>
    <t>Multiplayer build tabs unlock not synced properly</t>
  </si>
  <si>
    <t xml:space="preserve">  Platform  :  Steam Windows Linux _x000D_
_x000D_
  Build  :  v6 111 _x000D_
_x000D_
  Issue  :  While technology unlocks themself are synced the unlock of new technology build tabs (bottom right) are not synced  _x000D_
_x000D_
  Steps to reproduce  :  Was playing a game with my younger brother  While I had already unlocked most things in v6 he had none  When I joined his game only the technologies he had unlocked (so the starter stuff) was available to me as well  Over the course of the round he started unlocking new things and I could build more stuff  However  when he unlocked things that were in a new build category (e g  electric generator or walls) the tabs for these new unlocks were not added to my ui  The ui only showed me the turrets  miners and conveyor belt tab  _x000D_
 After disconnecting and rejoining I could see and use the other categories he had unlocked as well  _x000D_
_x000D_
  Link(s) to mod(s) used  :  None  He used a fresh install from steam and I reinstalled only a few days ago  _x000D_
_x000D_
  Save file  :    Will be uploaded in 5 mins once the other pc is booted    Uploaded his save file _x000D_
_x000D_
  Crash report  :  No crash  _x000D_
_x000D_
   _x000D_
_x000D_
   x    I have searched the closed and open issues to make sure that this problem has not already been reported   _x000D_
_x000D_
 SaveFile zip (https:  github com Anuken Mindustry files 5446651 SaveFile zip)_x000D_
</t>
  </si>
  <si>
    <t>k9mail-k-9-5029</t>
  </si>
  <si>
    <t>crash when edit email setup details</t>
  </si>
  <si>
    <t xml:space="preserve">  Describe the bug  _x000D_
when email username or password is wrong  we click on edit details  then edit email password and click on next and suddenly app crashes_x000D_
_x000D_
  To Reproduce  _x000D_
Steps to reproduce the behavior:_x000D_
1  open application_x000D_
2  enter wrong email address or password_x000D_
3  error dialog shows and we click on edit details_x000D_
4  fix email address and password and click on next_x000D_
5  app crash_x000D_
_x000D_
  Expected behavior  _x000D_
it should go to next step without any problem_x000D_
_x000D_
  Screenshots  _x000D_
   _x000D_
_x000D_
  Environment (please complete the following information):  _x000D_
  K 9 Mail version: 5 723 SNAPSHOT (debug)_x000D_
  Android version: 7_x000D_
  Device: Android emulator_x000D_
  Account type: IMAP_x000D_
_x000D_
  Additional context  _x000D_
   _x000D_
_x000D_
  Logs  _x000D_
Please take some time to  retrieve logs (https:  github com k9mail k 9 wiki LoggingErrors) and attach them here:_x000D_
_x000D_
   _x000D_
2020 10 27 14:24:33 556 4705 4705 com fsck k9 debug D AndroidRuntime: Shutting down VM_x000D_
2020 10 27 14:24:33 557 4705 4705 com fsck k9 debug E AndroidRuntime: FATAL EXCEPTION: main_x000D_
    Process: com fsck k9 debug  PID: 4705_x000D_
    java lang IllegalStateException: Outbox folder was already set up_x000D_
        at com fsck k9 mailstore SpecialLocalFoldersCreator createSpecialLocalFolders(SpecialLocalFoldersCreator kt:13)_x000D_
        at com fsck k9 activity setup AccountSetupBasics finishAutoSetup(AccountSetupBasics java:267)_x000D_
        at com fsck k9 activity setup AccountSetupBasics onNext(AccountSetupBasics java:313)_x000D_
        at com fsck k9 activity setup AccountSetupBasics onClick(AccountSetupBasics java:384)_x000D_
        at android view View performClick(View java:5610)_x000D_
        at android view View PerformClick run(View java:22265)_x000D_
        at android os Handler handleCallback(Handler java:751)_x000D_
        at android os Handler dispatchMessage(Handler java:95)_x000D_
        at android os Looper loop(Looper java:154)_x000D_
        at android app ActivityThread main(ActivityThread java:6077)_x000D_
        at java lang reflect Method invoke(Native Method)_x000D_
        at com android internal os ZygoteInit MethodAndArgsCaller run(ZygoteInit java:866)_x000D_
        at com android internal os ZygoteInit main(ZygoteInit java:756)_x000D_
   </t>
  </si>
  <si>
    <t>TeamNewPipe-NewPipe-4672</t>
  </si>
  <si>
    <t>/!\Can access app, cannot play any media/¡\</t>
  </si>
  <si>
    <t xml:space="preserve">   Exception
    User Action:   ui error
    Request:   App crash  UI failure
    Content Country:   US
    Content Language:   en US
    App Language:   en US
    Service:   none
    Version:   0 20 1
    OS:   Linux Android 10   29
 details  summary  b Crash log   b   summary  p 
java lang NullPointerException: Attempt to invoke virtual method  int org schabi newpipe player playqueue PlayQueueItem getServiceId()  on a null object reference
	at org schabi newpipe fragments detail VideoDetailFragment onQueueUpdate(VideoDetailFragment java:1736)
	at org schabi newpipe player helper PlayerHolder 2 onQueueUpdate(PlayerHolder java:181)
	at org schabi newpipe player VideoPlayerImpl updateQueue(VideoPlayerImpl java:1982)
	at org schabi newpipe player VideoPlayerImpl setFragmentListener(VideoPlayerImpl java:1955)
	at org schabi newpipe player helper PlayerHolder startPlayerListener(PlayerHolder java:130)
	at org schabi newpipe player helper PlayerHolder setListener(PlayerHolder java:39)
	at org schabi newpipe player helper PlayerHolder startService(PlayerHolder java:51)
	at org schabi newpipe fragments detail VideoDetailFragment initListeners(VideoDetailFragment java:712)
	at org schabi newpipe BaseFragment onViewCreated(BaseFragment java:72)
	at org schabi newpipe fragments BaseStateFragment onViewCreated(BaseStateFragment java:56)
	at androidx fragment app FragmentStateManager createView(FragmentStateManager java:332)
	at androidx fragment app FragmentManager moveToState(FragmentManager java:1187)
	at androidx fragment app FragmentManager moveToState(FragmentManager java:1356)
	at androidx fragment app FragmentManager moveFragmentToExpectedState(FragmentManager java:1434)
	at androidx fragment app FragmentManager moveToState(FragmentManager java:1497)
	at androidx fragment app BackStackRecord executeOps(BackStackRecord java:447)
	at androidx fragment app FragmentManager executeOps(FragmentManager java:2169)
	at androidx fragment app FragmentManager executeOpsTogether(FragmentManager java:1992)
	at androidx fragment app FragmentManager removeRedundantOperationsAndExecute(FragmentManager java:1947)
	at androidx fragment app FragmentManager execPendingActions(FragmentManager java:1849)
	at androidx fragment app FragmentManager 4 run(FragmentManager java:413)
	at android os Handler handleCallback(Handler java:883)
	at android os Handler dispatchMessage(Handler java:100)
	at android os Looper loop(Looper java:214)
	at android app ActivityThread main(ActivityThread java:7386)
	at java lang reflect Method invoke(Native Method)
	at com android internal os RuntimeInit MethodAndArgsCaller run(RuntimeInit java:499)
	at com android internal os ZygoteInit main(ZygoteInit java:980)
  details 
 hr 
</t>
  </si>
  <si>
    <t>koral---android-gif-drawable-752</t>
  </si>
  <si>
    <t>A null pointer exception occurred</t>
  </si>
  <si>
    <t xml:space="preserve">   _x000D_
10 26 17:29:52 978 31921 31921 I crash dump32: obtaining output fd from tombstoned  type: kDebuggerdTombstone_x000D_
10 26 17:29:52 984 31921 31921 I crash dump32: performing dump of process 31909 (target tid   31909)_x000D_
10 26 17:29:53 097 31921 31921 F DEBUG   :                                                                _x000D_
10 26 17:29:53 098 31921 31921 F DEBUG   : Build fingerprint:  TINNOVE S202DA mek 8q:9 20 2D 190105 004 20201024 152618:user dev keys _x000D_
10 26 17:29:53 099 31921 31921 F DEBUG   : Revision:  0 _x000D_
10 26 17:29:53 099 31921 31921 F DEBUG   : ABI:  arm _x000D_
10 26 17:29:53 099 31921 31921 F DEBUG   : signal 11 (SIGSEGV)  code 1 (SEGV MAPERR)  fault addr 0x4_x000D_
17:29:53 099 31921 31921 F DEBUG   : Cause: null pointer dereference_x000D_
10 26 17:29:53 099 31921 31921 F DEBUG   :     r0  00000004  r1  00000000  r2  00430000  r3  e9aba4a5_x000D_
10 26 17:29:53 099 31921 31921 F DEBUG   :     r4  e14dacc0  r5  a1b17738  r6  a1b1773c  r7  9d9e5408_x000D_
10 26 17:29:53 099 31921 31921 F DEBUG   :     r8  00000000  r9  ca130e00  r10 ea7a3650  r11 00000000_x000D_
10 26 17:29:53 099 31921 31921 F DEBUG   :     ip  eb8f7784  sp  9d9e53d8  lr  eb7187b5  pc  eb718864_x000D_
10 26 17:29:53 352 31921 31921 F DEBUG   : backtrace:_x000D_
10 26 17:29:53 353 31921 31921 F DEBUG   :      00 pc 00396864   system lib libhwui so (SkTDArray SkPixelRef::GenIDChangeListener  ::deleteAll() 44)_x000D_
10 26 17:29:53 353 31921 31921 F DEBUG   :      01 pc 003967b1   system lib libhwui so (SkPixelRef::notifyPixelsChanged() 4)_x000D_
10 26 17:29:53 353 31921 31921 F DEBUG   :      02 pc 000c9f57   system lib libandroid runtime so (android::bitmap::unlockPixels( JNIEnv    jobject ) 22)_x000D_
10 26 17:29:53 353 31921 31921 F DEBUG   :      03 pc 000008e9   system lib libjnigraphics so (AndroidBitmap unlockPixels 20)_x000D_
10 26 17:29:53 353 31921 31921 F DEBUG   :      04 pc 00001f7f   system app WT WeCarSpeech WT WeCarSpeech apk (offset 0xc33000)_x000D_
10 26 17:29:53 353 31921 31921 F DEBUG   :      05 pc 00002065   system app WT WeCarSpeech WT WeCarSpeech apk (offset 0xc33000) (Java pl droidsonroids gif GifInfoHandle renderFrame 100)_x000D_
10 26 17:29:53 353 31921 31921 F DEBUG   :      06 pc 00020cdb   system app WT WeCarSpeech oat arm WT WeCarSpeech odex (offset 0x1f000) (pl droidsonroids gif GifInfoHandle renderFrame 130)_x000D_
17:29:53 353 31921 31921 F DEBUG   :      07 pc 00000247   dev ashmem dalvik jit code cache (deleted)_x000D_
   </t>
  </si>
  <si>
    <t>AOF-Dev-MCinaBox-608</t>
  </si>
  <si>
    <t>Optifine crashes when trying to run SEUS PTGI</t>
  </si>
  <si>
    <t xml:space="preserve">  Describe the bug  _x000D_
Selecting any shader in Optifine crashes the game when opening a world  No log or error messages will be generated at all _x000D_
_x000D_
  To Reproduce  _x000D_
Steps to reproduce the behavior:_x000D_
1  Go to  Optifine U HD F3 1 12 2  _x000D_
2  Go to Options _x000D_
3  Go to Video settings    shaders _x000D_
4  Select a shader that is not build in _x000D_
5  Open a world or connect to a server _x000D_
6  See error_x000D_
_x000D_
  Expected behavior  _x000D_
I expected it to load the world  lag a bit and have fancy grafics _x000D_
_x000D_
  Smartphone (please complete the following information):  _x000D_
   Device: Samsung Galaxy A40_x000D_
   OS: Android 9 with 5 4 kernel_x000D_
   App Version 0 1 4 p3</t>
  </si>
  <si>
    <t>TeamNewPipe-NewPipe-4668</t>
  </si>
  <si>
    <t>I can't play any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</si>
  <si>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I can t play any video _x000D_
   Exception_x000D_
    User Action:   requested stream_x000D_
    Request:   https:  www youtube com watch v mdV5 YeiLic_x000D_
    Content Country:   US_x000D_
    Content Language:   en US_x000D_
    App Language:   en US_x000D_
    Service:   YouTube_x000D_
    Version:   0 20 1_x000D_
    OS:   Linux Redmi curtana global curtana:10 QKQ1 191215 002 V11 0 10 0 QJWMIXM:user release keys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_x000D_
_x000D_
_x000D_
     Please fill this out when you do not provide a log generate by NewPipe    _x000D_
_x000D_
    Device info_x000D_
_x000D_
   Android version Custom ROM version: android 10_x000D_
   Device model: xiomi redmi 9_x000D_
</t>
  </si>
  <si>
    <t>TeamNewPipe-NewPipe-4667</t>
  </si>
  <si>
    <t>Cant watch any videos can not prase website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</si>
  <si>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Exception_x000D_
    User Action:   requested stream_x000D_
    Request:   https:  www youtube com watch v k amupfoQBE_x000D_
    Content Country:   US_x000D_
    Content Language:   en US_x000D_
    App Language:   en US_x000D_
    Service:   YouTube_x000D_
    Version:   0 20 1_x000D_
    OS:   Linux lge cv3 lao com cv3:8 1 0 OPM1 171019 019 182911238242b FGN:user release keys 8 1 0   27_x000D_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_x000D_
   _x000D_
  details _x000D_
 hr _x000D_
</t>
  </si>
  <si>
    <t>Anuken-Mindustry-3145</t>
  </si>
  <si>
    <t>SystemCursor is prohibited</t>
  </si>
  <si>
    <t xml:space="preserve">  Platform  :  Windows 10 x64 _x000D_
_x000D_
  Build  :  10830 _x000D_
_x000D_
  Issue  :  SystemCursor is prohibited  However  to override getCursor()  it is inevitable to use a Cursor  Please un prohibit the SystemCursors(probably they are prohibited because of the word  system  but I m not sure)  _x000D_
_x000D_
  Steps to reproduce  : _x000D_
both these crash:_x000D_
   _x000D_
getCursor() _x000D_
    return (expblock upPerLevel this totalLevel()  length   0)   SystemCursor hand : SystemCursor arrow _x000D_
 _x000D_
_x000D_
getCursor() _x000D_
    return this super getCursor() _x000D_
 _x000D_
   _x000D_
_x000D_
_x000D_
  Link(s) to mod(s) used  :  sk7725 exp lib _x000D_
_x000D_
  Save file  :  Codewise error  _x000D_
_x000D_
  Crash report  :  rhino EvaluatorException: Access to Java class  arc Graphics Cursor SystemCursor  is prohibited  (exp 474)_x000D_
	at rhino DefaultErrorReporter runtimeError(DefaultErrorReporter java:68)_x000D_
	at rhino Context reportRuntimeError(Context java:830)_x000D_
	at rhino Context reportRuntimeError(Context java:876)_x000D_
	at rhino Context reportRuntimeError1(Context java:844)_x000D_
	at rhino JavaMembers  init (JavaMembers java:24)_x000D_
	at rhino JavaMembers lookupClass(JavaMembers java:767)_x000D_
	at rhino NativeJavaObject initMembers(NativeJavaObject java:43)_x000D_
	at rhino NativeJavaObject  init (NativeJavaObject java:33)_x000D_
	at rhino NativeJavaObject  init (NativeJavaObject java:24)_x000D_
	at rhino WrapFactory wrapAsJavaObject(WrapFactory java:107)_x000D_
	at rhino WrapFactory wrap(WrapFactory java:66)_x000D_
	at rhino NativeJavaMethod call(NativeJavaMethod java:216)_x000D_
	at rhino optimizer OptRuntime callProp0(OptRuntime java:71)_x000D_
	at rhino gen exp 24  c anonymous 58(exp:474)_x000D_
	at rhino gen exp 24 call(exp)_x000D_
	at rhino ContextFactory doTopCall(ContextFactory java:346)_x000D_
	at rhino ScriptRuntime doTopCall(ScriptRuntime java:3303)_x000D_
	at rhino gen exp 24 call(exp)_x000D_
	at rhino Context lambda call 0(Context java:515)_x000D_
	at rhino Context call(Context java:524)_x000D_
	at rhino Context call(Context java:515)_x000D_
	at rhino JavaAdapter callMethod(JavaAdapter java:549)_x000D_
	at adapter93 getCursor( adapter )_x000D_
	at mindustry input DesktopInput update(DesktopInput java:291)_x000D_
	at mindustry core Control update(Control java:512)_x000D_
	at arc ApplicationCore update(ApplicationCore java:36)_x000D_
	at mindustry ClientLauncher update(ClientLauncher java:151)_x000D_
	at arc backend sdl SdlApplication listen(SdlApplication java:170)_x000D_
	at arc backend sdl SdlApplication loop(SdlApplication java:158)_x000D_
	at arc backend sdl SdlApplication  init (SdlApplication java:52)_x000D_
	at mindustry desktop DesktopLauncher main(DesktopLauncher java:36) _x000D_
_x000D_
   _x000D_
_x000D_
 Place an X (no spaces) between the brackets to confirm that you have read the line below    _x000D_
   X    I have searched the closed and open issues to make sure that this problem has not already been reported   _x000D_
</t>
  </si>
  <si>
    <t>onaio-rdt-standard-585</t>
  </si>
  <si>
    <t>OneScan is crashing due to FHIR RDT Definitions being absent</t>
  </si>
  <si>
    <t xml:space="preserve">This crash occurs during RDT capture  I think I managed to find out the reason  the device definitions aren t recorded in the FHIR list  I completed the following assessments after updating the software of my phone and the assessment came out fine _x000D_
_x000D_
_x000D_
1 All test (1)   OK_x000D_
2 All test (2)   OK_x000D_
3  Realy tech (1)   OK_x000D_
4 Realy tech (2)   OK_x000D_
5  Green Spring (1)   OK_x000D_
6  Green Spring (2)   OK_x000D_
7  STANDARD Q (1)   OK_x000D_
8  Standard Q (2)   OK_x000D_
9  standard Q syphilis Ab (1)   Crash_x000D_
10  standard Q syphilis Ab (2)   Crash_x000D_
11  Standard Q Covid Ab   Crash_x000D_
_x000D_
_x000D_
Solution: Update the device definitions in the resources  This assessment is being run on a google pixel 3  will try again on other devices that haven t been updated since I believe the error did occur elsewhere on another my previous QA round _x000D_
_x000D_
 vincent karuri Can you point me to where the image is being pulled from </t>
  </si>
  <si>
    <t>TeamNewPipe-NewPipe-4660</t>
  </si>
  <si>
    <t>unable to play any video</t>
  </si>
  <si>
    <t>Anuken-Mindustry-3140</t>
  </si>
  <si>
    <t>Game Hallucinates Derelict Nucleus Cores in the Bottom Left of my Map in the Editor After Opening my very large Generation Tab</t>
  </si>
  <si>
    <t xml:space="preserve">  Platform  :  Android iOS Mac Windows Linux  Windows 10_x000D_
_x000D_
  Build  :  The build number under the title in the main menu  Required   LATEST  IS NOT A VERSION  I NEED THE EXACT BUILD NUMBER OF YOUR GAME   I am using Beta Build 110  The newest is Beta Build 111 right now _x000D_
_x000D_
  Issue  :  Explain your issue in detail   game having weird hallucinations of nucleus derelict cores outside the bottom left of the map it s better to see for yourself_x000D_
  image (https:  user images githubusercontent com 68676339 97223058 9e6e3f00 17a5 11eb 8fe7 163c192e327f png)_x000D_
I can delete the cores  but I can t set their team to anything else to spawn from them  Playing the map removes them  but when I open it in the editor this happens _x000D_
  image (https:  user images githubusercontent com 68676339 97223276 f016c980 17a5 11eb 9e1c 968cdb3fccef png)_x000D_
_x000D_
  Steps to reproduce  :  How you happened across the issue  and what exactly you did to make the bug happen  _x000D_
_x000D_
Editor    Open Map    Escape key    Map info    Generation    Close Generation    Look at bottom left of the map_x000D_
_x000D_
  Link(s) to mod(s) used  :  The mod repositories or zip files that are related to the issue  if applicable   No mods_x000D_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SSCC V6 zip (https:  github com Anuken Mindustry files 5441309 SSCC V6 zip) Please ignore the bad name  I was running out of ideas and I needed a map to test ore generation on_x000D_
_x000D_
  Crash report  :  The contents of relevant crash report files  REQUIRED if you are reporting a crash   No game crash_x000D_
_x000D_
Sidenote: By opening the generation tab on the same map  the preview image is a bit off  specifically with ores _x000D_
  image (https:  user images githubusercontent com 68676339 97224995 5f8db880 17a8 11eb 8841 99eddc9d6a2e png)_x000D_
_x000D_
 Place an X (no spaces) between the brackets to confirm that you have read the line below    _x000D_
   x    I have searched the closed and open issues to make sure that this problem has not already been reported   _x000D_
</t>
  </si>
  <si>
    <t>Anuken-Mindustry-3136</t>
  </si>
  <si>
    <t>Logic processors store named connections when in schematics, and can display wrong names when copied</t>
  </si>
  <si>
    <t xml:space="preserve">  Platform  : windows 10 64 bit_x000D_
_x000D_
  Build  :  The build number under the title in the main menu  Required   LATEST  IS NOT A VERSION  I NEED THE EXACT BUILD NUMBER OF YOUR GAME   alpha 111_x000D_
_x000D_
  Issue  :  Explain your issue in detail    see video_x000D_
 Names Bug zip (https:  github com Anuken Mindustry files 5440374 Names Bug zip)_x000D_
_x000D_
  Steps to reproduce  :  How you happened across the issue  and what exactly you did to make the bug happen   see video_x000D_
1  place processor_x000D_
2  link processor to something _x000D_
3  note what the name is ie  reactor1_x000D_
3  copy processor using schematics_x000D_
4  place processor with a different block in the same relative location_x000D_
5  note how name is  reactor1  even if the block is not a reactor_x000D_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Names bug zip (https:  github com Anuken Mindustry files 5440370 Names bug zip)_x000D_
_x000D_
_x000D_
_x000D_
  Crash report  :  The contents of relevant crash report files  REQUIRED if you are reporting a crash  _x000D_
_x000D_
   _x000D_
_x000D_
 Place an X (no spaces) between the brackets to confirm that you have read the line below    _x000D_
   this was reported but didnt have enough info and i dont know how to mention other issues    I have searched the closed and open issues to make sure that this problem has not already been reported   _x000D_
</t>
  </si>
  <si>
    <t>Anuken-Mindustry-3135</t>
  </si>
  <si>
    <t>Uncorrect shootX coordinates</t>
  </si>
  <si>
    <t xml:space="preserve">  Platform  :  Android 
  Build  :  BE 10823 
  Issue  :  sensor  shootX shows the wrong coordinate of the shot   it very much prevents me from doing what I need  namely the touch screen 
 BugVideo mp4 (https:  drive google com file d 16WGQ6NuVv f8HdR8UKHqb5av1ReUk1xj view usp drivesdk) 
  Steps to reproduce  :  Downloaded and installed version BE 10823  Turned on the game   Set your favorite settings   Launched a custom game   Build message and processor   Connected the processor to the message and paste this code:
radar player any any distance  this 1 result
sensor x result  shootX
print x
printflush message1 
  Link(s) to mod(s) used  :  imported from github DeltaNedas rtfm (without mods the coordinates are also incorrect) 
  Save file  :   bug msav (https:  drive google com file d 16bGGN1 vCPoTbxtxexep jaKSJsicVVJ view usp drivesdk) 
  Crash report  :  no crash report 
 Place an X (no spaces) between the brackets to confirm that you have read the line below    
   X    I have searched the closed and open issues to make sure that this problem has not already been reported   
</t>
  </si>
  <si>
    <t>Anuken-Mindustry-3132</t>
  </si>
  <si>
    <t>Im sure that's not a reactor</t>
  </si>
  <si>
    <t xml:space="preserve">  Platform  :  Android iOS Mac Windows Linux _x000D_
Android_x000D_
  Build  :  The build number under the title in the main menu  Required   LATEST  IS NOT A VERSION  I NEED THE EXACT BUILD NUMBER OF YOUR GAME  _x000D_
Bleeding edge Build 10809_x000D_
  Issue  :  Explain your issue in detail  _x000D_
For some reason logic processor selected a conveyor like a thorium reactor_x000D_
  Steps to reproduce  :  How you happened across the issue  and what exactly you did to make the bug happen  _x000D_
Idk_x000D_
  Link(s) to mod(s) used  :  The mod repositories or zip files that are related to the issue  if applicable  _x000D_
No mods_x000D_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Was on server  here is screenshot_x000D_
  Screenshot 2020 10 26 09 55 29 742 io anuke mindustry be (https:  user images githubusercontent com 67872140 97190214 6fd77080 1773 11eb 8c98 4d96007b97b0 jpg)_x000D_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</si>
  <si>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Anuken-Mindustry-3131</t>
  </si>
  <si>
    <t>shootX show uncorrect shoot coordinates</t>
  </si>
  <si>
    <t xml:space="preserve">  Platform  :  Android 
  Build  :  10809 
  Issue  :  shootX show uncorrect shoot coordinates 
  Steps to reproduce  :  load save  Load saved game  shoot  and see to message 
  Link(s) to mod(s) used  :  No mod used 
  Save file  :   save zip (https:  drive google com file d 167yLjg0mKBNKVAOXtfpBtDkITN2KI4mQ view usp drivesdk) 
  Crash report  :  No crash 
 Place an X (no spaces) between the brackets to confirm that you have read the line below    
   X    I have searched the closed and open issues to make sure that this problem has not already been reported   
</t>
  </si>
  <si>
    <t>nextcloud-android-7141</t>
  </si>
  <si>
    <t>Autoupload freezing &amp; crashing + settings cannot be saved</t>
  </si>
  <si>
    <t xml:space="preserve">    Steps to reproduce_x000D_
1  Open the app_x000D_
2  Set auto upload active_x000D_
3  While uploading  look at the app being irresponsive_x000D_
4  Randomly get app crashes_x000D_
5  Turn off wifi so you can use the app  try to change the auto upload settings  _x000D_
_x000D_
    Expected behaviour_x000D_
  I was expecting the UI to be responsive even when background tasks are ongoing _x000D_
  I was expecting crashes to not occur so often _x000D_
  I was expecting the app to not freeze in random screens (loading spinner frozen  menu not opening  etc   ) _x000D_
  I was expecting to be able to save my settings (folders  allow even when not on wifi  etc  )_x000D_
_x000D_
    Actual behaviour_x000D_
  The exact opposite : irresponsive app  freezing and crashing very often  unusable UI while uploads are ongoing  _x000D_
  I cannot save the settings : the save button stays in inactive state  _x000D_
_x000D_
    Additional infos _x000D_
  Files are being uploaded though  _x000D_
  I am able to repeat this behaviour on demand (if you want a video capture  let me know)_x000D_
  There are  3400 pictures and  170 videos in the autou pload folders _x000D_
_x000D_
    Can you reproduce this problem on https:  try nextcloud com _x000D_
  I will not upload my pictures to this server _x000D_
_x000D_
    Environment data_x000D_
Android version: 10 (One UI 2 1  Kernel 4 9 118)_x000D_
_x000D_
Device model: Samsung Note9 SM N960N (5 9Gb RAM)_x000D_
_x000D_
Stock or customized system: Stock_x000D_
_x000D_
Nextcloud app version: 3 13 1 (2020 09 15)_x000D_
_x000D_
Nextcloud server version: 20 0 0 9_x000D_
_x000D_
Reverse proxy: nginx_x000D_
_x000D_
    Logs_x000D_
     Web server error log_x000D_
   _x000D_
Nothing particular _x000D_
   _x000D_
_x000D_
     Nextcloud log (data nextcloud log)_x000D_
   _x000D_
Nothing particular _x000D_
   </t>
  </si>
  <si>
    <t>TeamNewPipe-NewPipe-4653</t>
  </si>
  <si>
    <t>Crash when running two newpipe instances at the same time: java.lang.RuntimeException: Error receiving broadcast intent…</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</si>
  <si>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ok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(optional ) uninstall all newpipe apps_x000D_
  install newpipe 0 20 1_x000D_
  install a newpipe debug version  to have multiple newpipes at the same time_x000D_
  open a video_x000D_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Crash_x000D_
_x000D_
    Expected behavior_x000D_
     Tell us what you expect to happen     _x000D_
_x000D_
Everything works fine_x000D_
_x000D_
_x000D_
    Logs_x000D_
     If your bug includes a crash (where you re shown the Error Report page with a bunch of info)  tap on  Copy formatted report  at the bottom and paste it here:    _x000D_
_x000D_
     That s right  here     _x000D_
_x000D_
   Exception_x000D_
    User Action:   ui error_x000D_
    Request:   App crash  UI failure_x000D_
    Content Country:   FR_x000D_
    Content Language:   fr FR_x000D_
    App Language:   fr FR_x000D_
    Service:   none_x000D_
    Version:   0 20 1_x000D_
    OS:   Linux Android 9   28_x000D_
 details  summary  b Crash log   b   summary  p _x000D_
_x000D_
   _x000D_
java lang RuntimeException: Error receiving broadcast Intent   act org schabi newpipe VideoDetailFragment ACTION PLAYER STARTED flg 0x10   in org schabi newpipe fragments detail VideoDetailFragment 4 4feadd9_x000D_
	at android app LoadedApk ReceiverDispatcher Args lambda getRunnable 0(LoadedApk java:1401)_x000D_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Caused by: java lang IllegalStateException: Not allowed to start service Intent   cmp org schabi newpipe  player MainPlayer  : app is in background uid UidRecord 1b3bf85 u0a590 CAC  bg: 2m34s765ms idle procs:1 seq(0 0 0) _x000D_
	at android app ContextImpl startServiceCommon(ContextImpl java:1577)_x000D_
	at android app ContextImpl startService(ContextImpl java:1532)_x000D_
	at android content ContextWrapper startService(ContextWrapper java:664)_x000D_
	at org schabi newpipe player helper PlayerHolder startService(PlayerHolder java:59)_x000D_
	at org schabi newpipe fragments detail VideoDetailFragment 4 onReceive(VideoDetailFragment java:1343)_x000D_
	at android app LoadedApk ReceiverDispatcher Args lambda getRunnable 0(LoadedApk java:1391)_x000D_
	    8 more_x000D_
_x000D_
   _x000D_
  details _x000D_
 hr _x000D_
_x000D_
_x000D_
     Please fill this out when you do not provide a log generate by NewPipe    _x000D_
_x000D_
    Device info_x000D_
_x000D_
   Android version Custom ROM version: Android 9_x000D_
   Device model: Pocophone F1_x000D_
</t>
  </si>
  <si>
    <t>TeamNewPipe-NewPipe-4650</t>
  </si>
  <si>
    <t>Crash when opening videos</t>
  </si>
  <si>
    <t xml:space="preserve">It asked for CAPTCHA for a video  Now it is crashing for every video _x000D_
_x000D_
   Exception_x000D_
    User Action:   requested stream_x000D_
    Request:   https:  www youtube com watch v 8n49WTTPaM0_x000D_
    Content Country:   IN_x000D_
    Content Language:   en IN_x000D_
    App Language:   en IN_x000D_
    Service:   YouTube_x000D_
    Version:   0 20 1_x000D_
    OS:   Linux Android 10   29_x000D_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t>
  </si>
  <si>
    <t>Anuken-Mindustry-3126</t>
  </si>
  <si>
    <t>Can't launch a Shard core even though I have enough resources.</t>
  </si>
  <si>
    <t xml:space="preserve">  Platform  :  Android iOS Mac Windows Linux _x000D_
Mac OS 10 15 7_x000D_
_x000D_
  Build  :  The build number under the title in the main menu  Required   LATEST  IS NOT A VERSION  I NEED THE EXACT BUILD NUMBER OF YOUR GAME  _x000D_
111_x000D_
_x000D_
  Issue  :  Explain your issue in detail  _x000D_
_x000D_
 img width  1434  alt  Screen Shot 2020 10 26 at 12 36 15 PM  src  https:  user images githubusercontent com 73286691 97134499 66a4ce80 1788 11eb 94b4 e74d32643d98 png  _x000D_
_x000D_
Although it costs 0 lead to launch a core  it says I don t have enough lead to launch a core to the Craters (or any other area for that matter)  I am unable to continue the game _x000D_
_x000D_
  Steps to reproduce  :  How you happened across the issue  and what exactly you did to make the bug happen  _x000D_
_x000D_
Not sure  but this is what I ve been doing before _x000D_
1  Download build 111 from itch io from the itch io app_x000D_
2  Export and import data from build 109 (downloaded not from itch io app) to build 111_x000D_
3  Resume playing on Frozen Fields and wait until I completed it _x000D_
4  When I try to go to The Craters  I discover this issue _x000D_
_x000D_
  Link(s) to mod(s) used  :  The mod repositories or zip files that are related to the issue  if applicable  _x000D_
I don t use mods_x000D_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I can t find the specific game file  Sorry _x000D_
 broken game file zip (https:  github com Anuken Mindustry files 5436851 broken game file zip)_x000D_
_x000D_
  Crash report  :  The contents of relevant crash report files  REQUIRED if you are reporting a crash  _x000D_
   _x000D_
_x000D_
 Place an X (no spaces) between the brackets to confirm that you have read the line below    _x000D_
   X    I have searched the closed and open issues to make sure that this problem has not already been reported   _x000D_
</t>
  </si>
  <si>
    <t>TeamNewPipe-NewPipe-legacy-44</t>
  </si>
  <si>
    <t>Bug from version 0.20.1</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</si>
  <si>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Load feed list from news feeds section  open an video and enjoy bug message :)_x000D_
_x000D_
    Actual behaviour_x000D_
     Tell us what happens with the steps given above     _x000D_
The video won t load because the app shows a bug report  I close it and try again until the app shows the video _x000D_
_x000D_
_x000D_
    Expected behavior_x000D_
     Tell us what you expect to happen     _x000D_
_x000D_
App show log report when i press to open an video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N A_x000D_
_x000D_
    Logs_x000D_
     If your bug includes a crash (where you re shown the Error Report page with a bunch of info)  tap on  Copy formatted report  at the bottom and paste it here:    _x000D_
_x000D_
     That s right  here     _x000D_
_x000D_
   Exception_x000D_
    User Action:   requested stream_x000D_
    Request:   https:  www youtube com watch v BWI nz NVds_x000D_
    Content Country:   IT_x000D_
    Content Language:   it IT_x000D_
    App Language:   it IT_x000D_
    Service:   YouTube_x000D_
    Version:   0 20 1_x000D_
    OS:   Linux Android 4 2 1   17_x000D_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newpipelegacy util ExtractorHelper lambda getStreamInfo 3(ExtractorHelper java:116)_x000D_
	at org schabi newpipelegacy util    Lambda ExtractorHelper i hFeJnSJwqTaktlkxwfnGBKECA call(lambda)_x000D_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java:234)_x000D_
	at java util concurrent ScheduledThreadPoolExecutor ScheduledFutureTask access 201(ScheduledThreadPoolExecutor java:153)_x000D_
	at java util concurrent ScheduledThreadPoolExecutor ScheduledFutureTask run(ScheduledThreadPoolExecutor java:267)_x000D_
	at java util concurrent ThreadPoolExecutor runWorker(ThreadPoolExecutor java:1080)_x000D_
	at java util concurrent ThreadPoolExecutor Worker run(ThreadPoolExecutor java:573)_x000D_
	at java lang Thread run(Thread java:838)_x000D_
_x000D_
   _x000D_
  details _x000D_
 hr _x000D_
_x000D_
     Please fill this out when you do not provide a log generate by NewPipe    _x000D_
_x000D_
    Device info_x000D_
_x000D_
   Android version Custom ROM version: 4 2 1_x000D_
   Device model: Mediacom PhonePad Duo G500_x000D_
</t>
  </si>
  <si>
    <t>jellyfin-jellyfin-androidtv-606</t>
  </si>
  <si>
    <t>Regular crash while playing Video</t>
  </si>
  <si>
    <t xml:space="preserve">  Describe the bug  _x000D_
The application crashes after playing a specific video _x000D_
_x000D_
  To Reproduce  _x000D_
Launch a video_x000D_
_x000D_
  Expected behavior  _x000D_
Whole android TV App crashes every 4 or 5 minutes while playing a specific video _x000D_
Here the info from jellyfin server_x000D_
_x000D_
  Logs  _x000D_
I don t know how to get logs from Android TV I just have logs from Jellyfin server_x000D_
  image (https:  user images githubusercontent com 8579 97113541 630f3a00 16eb 11eb 9b63 c25761257255 png)_x000D_
 jellyfin log (https:  github com jellyfin jellyfin androidtv files 5435436 jellyfin log)_x000D_
_x000D_
  System (please complete the following information):  _x000D_
   Android TV or Fire TV version: Android TV from Freebox Pop_x000D_
   Device manufacturer: ISP Free (site freebox fr)_x000D_
   Device model: Freebox Pop_x000D_
   Jellyfin server version: 10 6 4_x000D_
_x000D_
  Additional context  _x000D_
</t>
  </si>
  <si>
    <t>Anuken-Mindustry-3112</t>
  </si>
  <si>
    <t>ulocate building flickers to null</t>
  </si>
  <si>
    <t xml:space="preserve">  Platform  : Android 9_x000D_
_x000D_
  Build  : 10779_x000D_
_x000D_
  Issue  :_x000D_
 building  of ulocate is null sometimes  even if found is true _x000D_
  1 (https:  user images githubusercontent com 39013340 97107345 ea928400 16be 11eb 8c91 bcce791b7bec jpg)_x000D_
  2 (https:  user images githubusercontent com 39013340 97107348 ef573800 16be 11eb 8514 eec6d738f9f4 jpg)_x000D_
_x000D_
_x000D_
  Steps to reproduce  :_x000D_
Look at message block_x000D_
_x000D_
  Save file  : _x000D_
 egg msav txt (https:  github com Anuken Mindustry files 5434717 egg msav txt)_x000D_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</si>
  <si>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TeamNewPipe-NewPipe-4644</t>
  </si>
  <si>
    <t>App crashes when playing back any content</t>
  </si>
  <si>
    <t xml:space="preserve">    Version:_x000D_
0 20 0 and 0 20 1_x000D_
_x000D_
    Behavior:_x000D_
1  open   play any content in any mode (fullscreen  popup or background) (doesn t matter its music or video)_x000D_
2  program crashes instead of playing back content properly_x000D_
_x000D_
NOTE: This issue doesn t happen when  show notifications  is turned off in Android app setting_x000D_
_x000D_
    Logs:_x000D_
   Exception_x000D_
    User Action:   ui error_x000D_
    Request:   App crash  UI failure_x000D_
    Content Country:   MY_x000D_
    Content Language:   en_x000D_
    App Language:   en US_x000D_
    Service:   none_x000D_
    Version:   0 20 1_x000D_
    OS:   Linux Android 5 1   22_x000D_
 details  summary  b Crash log   b   summary  p _x000D_
_x000D_
   _x000D_
android app RemoteServiceException: Bad notification posted from package org schabi newpipe: Couldn t expand RemoteViews for: StatusBarNotification(pkg org schabi newpipe user UserHandle 0  id 123789 tag null score 10 key 0 org schabi newpipe 123789 null 10111: Notification(pri 1 contentView org schabi newpipe 0x109007e vibrate null sound null defaults 0x0 flags 0x62 color 0xff616161 category transport actions 5 vis PUBLIC))_x000D_
        at android app ActivityThread H handleMessage(ActivityThread java:1644)_x000D_
        at android os Handler dispatchMessage(Handler java:111)_x000D_
        at android os Looper loop(Looper java:194)_x000D_
        at android app ActivityThread main(ActivityThread java:5660)_x000D_
        at java lang reflect Method invoke(Native Method)_x000D_
        at java lang reflect Method invoke(Method java:372)_x000D_
        at com android internal os ZygoteInit MethodAndArgsCaller run(ZygoteInit java:963)_x000D_
        at com android internal os ZygoteInit main(ZygoteInit java:758)_x000D_
        at de robv android xposed XposedBridge main(XposedBridge java:107)_x000D_
_x000D_
   _x000D_
  details _x000D_
 hr _x000D_
</t>
  </si>
  <si>
    <t>wallabag-android-app-1091</t>
  </si>
  <si>
    <t xml:space="preserve">Google play crash reports _x000D_
_x000D_
Versions 226   227 _x000D_
Android 9  a few devices (Google Nexus and Pixel):_x000D_
   _x000D_
java lang UnsatisfiedLinkError:_x000D_
  at java lang Runtime loadLibrary0 (Runtime java:1012)_x000D_
  at java lang System loadLibrary (System java:1669)_x000D_
  at org conscrypt NativeCryptoJni init (NativeCryptoJni java:28)_x000D_
  at org conscrypt NativeCrypto  clinit  (NativeCrypto java:64)_x000D_
  at org conscrypt NativeCrypto checkAvailability (NativeCrypto java:81)_x000D_
  at org conscrypt Conscrypt checkAvailability (Conscrypt java:119)_x000D_
  at org conscrypt Conscrypt newProvider (Conscrypt java:133)_x000D_
  at fr gaulupeau apps Poche network WallabagConnection initConscrypt (WallabagConnection java:45)_x000D_
  at fr gaulupeau apps Poche network WallabagConnection getClientBuilder (WallabagConnection java:143)_x000D_
  at fr gaulupeau apps Poche network WallabagConnection createClient (WallabagConnection java:139)_x000D_
  at fr gaulupeau apps Poche network WallabagConnection createClient (WallabagConnection java:135)_x000D_
  at fr gaulupeau apps Poche network tasks TestConnectionTask doInBackground (TestConnectionTask java:107)_x000D_
  at fr gaulupeau apps Poche network tasks TestConnectionTask doInBackground (TestConnectionTask java:22)_x000D_
   _x000D_
_x000D_
Version 226 _x000D_
Redmi Redmi Note 9 Pro (joyeuse)  5632MB RAM  Android 10:_x000D_
   _x000D_
java lang UnsatisfiedLinkError:_x000D_
  at java lang Runtime loadLibrary0 (Runtime java:1067)_x000D_
  at java lang Runtime loadLibrary0 (Runtime java:1007)_x000D_
  at java lang System loadLibrary (System java:1667)_x000D_
  at org conscrypt NativeCryptoJni init (NativeCryptoJni java:28)_x000D_
  at org conscrypt NativeCrypto  clinit  (NativeCrypto java:63)_x000D_
  at org conscrypt NativeCrypto checkAvailability (NativeCrypto java:80)_x000D_
  at org conscrypt Conscrypt checkAvailability (Conscrypt java:115)_x000D_
  at org conscrypt Conscrypt newProvider (Conscrypt java:129)_x000D_
  at fr gaulupeau apps Poche network WallabagConnection initConscrypt (WallabagConnection java:45)_x000D_
  at fr gaulupeau apps Poche network WallabagConnection getClientBuilder (WallabagConnection java:143)_x000D_
  at fr gaulupeau apps Poche network WallabagConnection createClient (WallabagConnection java:139)_x000D_
  at fr gaulupeau apps Poche network WallabagConnection createClient (WallabagConnection java:135)_x000D_
  at fr gaulupeau apps Poche network tasks TestConnectionTask doInBackground (TestConnectionTask java:107)_x000D_
  at fr gaulupeau apps Poche network tasks TestConnectionTask doInBackground (TestConnectionTask java:22)_x000D_
  at android os AsyncTask 3 call (AsyncTask java:378)_x000D_
  at java util concurrent FutureTask run (FutureTask java:266)_x000D_
   _x000D_
_x000D_
Version 226 _x000D_
LGE LG G Pad F7 0 (e7iilte)  1024MB RAM  Android 5 0:_x000D_
   _x000D_
java lang UnsatisfiedLinkError:_x000D_
  at java lang Runtime loadLibrary (Runtime java:366)_x000D_
  at java lang System loadLibrary (System java:989)_x000D_
  at org conscrypt NativeCryptoJni init (NativeCryptoJni java:28)_x000D_
  at org conscrypt NativeCrypto  clinit  (NativeCrypto java:63)_x000D_
  at org conscrypt Conscrypt checkAvailability (Conscrypt java:115)_x000D_
  at org conscrypt Conscrypt newProvider (Conscrypt java:129)_x000D_
  at fr gaulupeau apps Poche network WallabagConnection initConscrypt (WallabagConnection java:45)_x000D_
  at fr gaulupeau apps Poche network WallabagConnection getClientBuilder (WallabagConnection java:143)_x000D_
  at fr gaulupeau apps Poche network WallabagConnection createClient (WallabagConnection java:139)_x000D_
  at fr gaulupeau apps Poche network WallabagConnection createClient (WallabagConnection java:135)_x000D_
  at fr gaulupeau apps Poche network tasks TestConnectionTask doInBackground (TestConnectionTask java:107)_x000D_
  at fr gaulupeau apps Poche network tasks TestConnectionTask doInBackground (TestConnectionTask java:22)_x000D_
  at android os AsyncTask 2 call (AsyncTask java:288)_x000D_
  at java util concurrent FutureTask run (FutureTask java:237)_x000D_
   _x000D_
_x000D_
Version 219 _x000D_
LGE LG G Pad F7 0 (e7iilte)  1024MB RAM  Android 5 0:_x000D_
   _x000D_
java lang UnsatisfiedLinkError:_x000D_
  at java lang Runtime loadLibrary (Runtime java:366)_x000D_
  at java lang System loadLibrary (System java:989)_x000D_
  at org conscrypt NativeCryptoJni init (NativeCryptoJni java:28)_x000D_
  at org conscrypt NativeCrypto  clinit  (NativeCrypto java:63)_x000D_
  at org conscrypt Conscrypt checkAvailability (Conscrypt java:111)_x000D_
  at org conscrypt Conscrypt newProvider (Conscrypt java:125)_x000D_
  at fr gaulupeau apps Poche App onCreate (App java:28)_x000D_
  at android app Instrumentation callApplicationOnCreate (Instrumentation java:1011)_x000D_
  at android app ActivityThread handleBindApplication (ActivityThread java:4591)_x000D_
  at android app ActivityThread access 1500 (ActivityThread java:149)_x000D_
  at android app ActivityThread H handleMessage (ActivityThread java:1345)_x000D_
  at android os Handler dispatchMessage (Handler java:102)_x000D_
  at android os Looper loop (Looper java:135)_x000D_
  at android app ActivityThread main (ActivityThread java:5297)_x000D_
  at java lang reflect Method invoke (Native Method)_x000D_
  at java lang reflect Method invoke (Method java:372)_x000D_
  at com android internal os ZygoteInit MethodAndArgsCaller run (ZygoteInit java:908)_x000D_
  at com android internal os ZygoteInit main (ZygoteInit java:703)_x000D_
   </t>
  </si>
  <si>
    <t>Anuken-Mindustry-3108</t>
  </si>
  <si>
    <t>[Logic]Unit control:build - config dont work</t>
  </si>
  <si>
    <t xml:space="preserve">  Platform  :  Android 
  Build  :  10779 
  Issue  :  If you enter config in  unit control: build  it will disappear when you reset the processor   And the unit will build just a block  without configuration  
  Steps to reproduce  :  download and import savings   Go to Save Games   Load the  bug  save   Go to the processor and in unit control: build in config area enter there any configuration for the sorter   Go to the processor and you will see how it disappeared  and bnvt built a normal processor  
  Link(s) to mod(s) used  :  no mods used 
  Save file  :  bugsave zip (https:  drive google com file d 15BEYIbqIE1XLq0LIVkJu8goZwgRawGpe view usp drivesdk)
  Crash report  :  No crash 
 Place an X (no spaces) between the brackets to confirm that you have read the line below    
   X    I have searched the closed and open issues to make sure that this problem has not already been reported   
</t>
  </si>
  <si>
    <t>TeamNewPipe-NewPipe-4638</t>
  </si>
  <si>
    <t>System UI keeps stopping [Image Loader issue]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</si>
  <si>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Search the concerned video like  Hello World  _x000D_
2  Enqueue in the background_x000D_
3  Open the video  _x000D_
(Both the cases 2  and 3  produce the similar behaviour)_x000D_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The video or audio(when playing in background) starts playing  the screen starts flickering   in the sense that display gets on and off   flickers for some time displaying the messege     System UI keeps stopping  (giving two options    app info or close app)  The app gets closed for the latter option  but if pressed anywhere else on the screen the video plays continuosly with audio  screen flickering for some time and then phone gets restarted _x000D_
_x000D_
_x000D_
_x000D_
_x000D_
    Expected behavior_x000D_
     Tell us what you expect to happen     _x000D_
The video to be played till the end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20201025 053028 (https:  user images githubusercontent com 73409058 97095970 5dffab80 1655 11eb 8c3f a6899094d436 png)_x000D_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None_x000D_
_x000D_
     That s right  here     _x000D_
_x000D_
_x000D_
_x000D_
     Please fill this out when you do not provide a log generate by NewPipe    _x000D_
_x000D_
    Device info_x000D_
_x000D_
   Android version Custom ROM version: Android 10_x000D_
   Device model: Motorola One Power (P30 Note)</t>
  </si>
  <si>
    <t>TeamNewPipe-NewPipe-4634</t>
  </si>
  <si>
    <t>video not working</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</si>
  <si>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I checked  but didn t find any duplicates (open OR closed)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version:_x000D_
   Device model:_x000D_
_x000D_
   Exception_x000D_
    User Action:   requested stream_x000D_
    Request:   https:  www youtube com watch v tcYodQoapMg_x000D_
    Content Country:   NZ_x000D_
    Content Language:   en NZ_x000D_
    App Language:   en NZ_x000D_
    Service:   YouTube_x000D_
    Version:   0 20 1_x000D_
    OS:   Linux samsung greatltexx greatlte:9 PPR1 180610 011 N950FXXU7DSJ1:user release keys 9   28_x000D_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details _x000D_
 hr _x000D_
_x000D_
_x000D_
</t>
  </si>
  <si>
    <t>Abir-Tx-XWriter-10</t>
  </si>
  <si>
    <t xml:space="preserve">App freezes and restarts itself when more than 2lakh value is given to the Counter </t>
  </si>
  <si>
    <t>The app crashes of freezes when more than 200000 value is given to the counter it takes so much time to print 1 lakh of 2 lakh in a loop  Screenshot 20201025 020009 XWriter jpg (https:  user images githubusercontent com 28858998 97092490 20efe500 1666 11eb 87e1 15f2bc878414 jpg)</t>
  </si>
  <si>
    <t>Blankj-AndroidUtilCode-1355</t>
  </si>
  <si>
    <t>[BUG] 1.30.x 汇总</t>
  </si>
  <si>
    <t xml:space="preserve">      _x000D_
       1 30 5_x000D_
  Demo   https:  github com Blankj AndroidUtilCode releases download 1 30 0 util 1 30 5 release apk_x000D_
_x000D_
  1 30 0       : https:  github com Blankj AndroidUtilCode releases tag 1 30 0_x000D_
  1 30 1_x000D_
     Fix  DebouncingUtils   public_x000D_
     Add  ToastUtils getDefaultMaker_x000D_
     Fix  AppUtils isAppForeground_x000D_
  1 30 2_x000D_
     Fix  AppUtils getAppSignatures_x000D_
     Add  DeviceUtils isDevelopmentSettingsEnabled_x000D_
  1 30 3_x000D_
     Fix  BusUtils ConcurrentModificationException_x000D_
  1 30 4_x000D_
     Fix  MessengerUtils startService IllegalStateException_x000D_
  1 30 5_x000D_
     Fix  MessengerUtils ANR_x000D_
     Add  NetworkUtils getWifiScanResult   add remove OnWifiChangedConsumer_x000D_
     Add  CleanUtils cleanAppUserData_x000D_
_x000D_
  BUG     _x000D_
_x000D_
               BUG  _x000D_
_x000D_
 pre _x000D_
      Bug_x000D_
_x000D_
       Bug _x000D_
  AndroidUtilCode        utilcode:1 30 0   utilcodex:1 30 0                         BUG _x000D_
     Bug           Nexus 5X_x000D_
      Android       API 27_x000D_
_x000D_
       _x000D_
_x000D_
   _x000D_
put your code here_x000D_
   _x000D_
_x000D_
       _x000D_
_x000D_
   _x000D_
put the stack of crash here_x000D_
   _x000D_
_x000D_
     _x000D_
_x000D_
                    _x000D_
  pre </t>
  </si>
  <si>
    <t>Anuken-Mindustry-3091</t>
  </si>
  <si>
    <t>problem with code block "unit radar"</t>
  </si>
  <si>
    <t xml:space="preserve">  Platform  :  Android 
  Build  :  10752 
  Issue  :  unit radar cannot get a player  even if before that bind gamma unit  
  Steps to reproduce  :  Put processor and message  Connect message to processor  Put this code into processor:
ubind  gamma
uradar player any ally distance turret1 1 result
sensor x result  x
print x
printflush message1 
  Link(s) to mod(s) used  :  no mods used 
   Save file  :  unreal to past file 
  Crash report  :  No crash 
 Place an X (no spaces) between the brackets to confirm that you have read the line below    
   X    I have searched the closed and open issues to make sure that this problem has not already been reported   
</t>
  </si>
  <si>
    <t>Anuken-Mindustry-3085</t>
  </si>
  <si>
    <t>User interface for logic processor getting out of the screen</t>
  </si>
  <si>
    <t xml:space="preserve">  Platform  :  Android _x000D_
_x000D_
  Build  : Bleeding edge build 10701_x000D_
_x000D_
  Issue  : Error of display scale of the logic menu_x000D_
_x000D_
  Steps to reproduce  : I opened the menu of a logic processor and created a  Unit Locate  module  When I wanted to modify the values inside  not all were displayed in the screen and it looked like my screen was too small to display the entire menu _x000D_
_x000D_
  Link(s) to mod(s) used  : N A_x000D_
_x000D_
  Save file  : It can look very dumb but I just deleted the file instead of saving it  because I didn t know the new interface of v6   I have a screenshot thought _x000D_
It s a blank world with only sand and the standard ore generation  with a core in the top right hand corner _x000D_
  Screenshot 20201024 125426 Mindustry BE (https:  user images githubusercontent com 67834068 97080561 945d0c80 15fc 11eb 849a 81a57edde81e jpg)_x000D_
_x000D_
_x000D_
_x000D_
_x000D_
  Crash report  : It s not a crash_x000D_
_x000D_
   _x000D_
_x000D_
 Place an X (no spaces) between the brackets to confirm that you have read the line below    _x000D_
   X     I have searched the closed and open issues to make sure that this problem has not already been reported   _x000D_
</t>
  </si>
  <si>
    <t>Anuken-Mindustry-3084</t>
  </si>
  <si>
    <t>Enemy spawners not working on water</t>
  </si>
  <si>
    <t xml:space="preserve">  Platform  : Windows_x000D_
_x000D_
  Build  : BE 10742_x000D_
_x000D_
  Issue  : The enemy spawners do nothing when placed on water _x000D_
_x000D_
  Steps to reproduce  : Play on the new archipelago map  Even if the map editor does prove that there is a spawn point there  there is no spawn point in sight during gameplay  and enemies don t spawn _x000D_
_x000D_
  Link(s) to mod(s) used  : None_x000D_
  Save file  :  Archipelago zip (https:  github com Anuken Mindustry files 5432773 Archipelago zip)_x000D_
_x000D_
  Crash report  : Not a crash _x000D_
_x000D_
   _x000D_
_x000D_
 Place an X (no spaces) between the brackets to confirm that you have read the line below    _x000D_
   x    I have searched the closed and open issues to make sure that this problem has not already been reported   _x000D_
</t>
  </si>
  <si>
    <t>TeamNewPipe-NewPipe-4626</t>
  </si>
  <si>
    <t>Search exception</t>
  </si>
  <si>
    <t>AOF-Dev-MCinaBox-592</t>
  </si>
  <si>
    <t>When trying to start MCinaBox 0.1.4-p4 on Note 8, app crashes.</t>
  </si>
  <si>
    <t xml:space="preserve">  Describe the crash  _x000D_
When trying to start last version(p4) of MCinaBox on Samsung Galaxy Note 8  app crashes  When trying to start 0 1 3 version  all is normal _x000D_
_x000D_
  To Reproduce  _x000D_
Steps to reproduce the crash:_x000D_
1  Get Samsung Galaxy Note 8_x000D_
2  Download latest preview version of MCinaBox _x000D_
3  Try to open _x000D_
4  See the crash _x000D_
_x000D_
  Smartphone (please complete the following information):  _x000D_
   Device: Samsung Galaxy Note 8_x000D_
   OS: Android 9  One UI 1 0_x000D_
   App Version: 0 1 4  p4_x000D_
</t>
  </si>
  <si>
    <t>Anuken-Mindustry-3078</t>
  </si>
  <si>
    <t>Unable to unlock sector in tech tree even though required sectors have been capped</t>
  </si>
  <si>
    <t xml:space="preserve">  Platform  :windows 10_x000D_
_x000D_
  Build  :  The build number under the title in the main menu  Required   LATEST  IS NOT A VERSION  I NEED THE EXACT BUILD NUMBER OF YOUR GAME   10731 _x000D_
_x000D_
  Issue  :  Explain your issue in detail  _x000D_
Ive captured tar fields but the next map is still locked _x000D_
  image (https:  user images githubusercontent com 54417042 97047201 96649400 1546 11eb 9417 efad60dc51c8 png)_x000D_
_x000D_
_x000D_
  Steps to reproduce  :  How you happened across the issue  and what exactly you did to make the bug happen  _x000D_
1  capture tar fields_x000D_
2  go to unlock next sector_x000D_
3  no_x000D_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MindustryV6Save zip (https:  github com Anuken Mindustry files 5431495 MindustryV6Save zip)_x000D_
_x000D_
_x000D_
  Crash report  :  The contents of relevant crash report files  REQUIRED if you are reporting a crash  _x000D_
Not a crash_x000D_
   _x000D_
_x000D_
 Place an X (no spaces) between the brackets to confirm that you have read the line below    _x000D_
   X    I have searched the closed and open issues to make sure that this problem has not already been reported   _x000D_
</t>
  </si>
  <si>
    <t>Anuken-Mindustry-3077</t>
  </si>
  <si>
    <t>Research show up as over 100 % done</t>
  </si>
  <si>
    <t xml:space="preserve">  Platform  :  Android iOS Mac Windows Linux _x000D_
Windows_x000D_
  Build  :  The build number under the title in the main menu  Required   LATEST  IS NOT A VERSION  I NEED THE EXACT BUILD NUMBER OF YOUR GAME  _x000D_
Steam build 110_x000D_
  Issue  :  Explain your issue in detail  _x000D_
when i am in the research menu  some of my research shows up as over 100   done  when they are not _x000D_
  Steps to reproduce  :  How you happened across the issue  and what exactly you did to make the bug happen  _x000D_
go in and research something  without having enough resources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</si>
  <si>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TeamNewPipe-NewPipe-4616</t>
  </si>
  <si>
    <t>Cannot search on NewPipe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</si>
  <si>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x xx x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Magnifying Glass_x000D_
2  Enter in any text like Hello World_x000D_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with the steps given above     _x000D_
The app tells me that there are no results with an error message at the bottom saying something as gone wrong _x000D_
_x000D_
_x000D_
    Expected behavior_x000D_
     Tell us what you expect to happen     _x000D_
I expected to see videos in relation to what I entered like  Hello World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Exception_x000D_
    User Action:   searched_x000D_
    Request:   no more what ifd_x000D_
    Content Country:   GB_x000D_
    Content Language:   en_x000D_
    App Language:   en US_x000D_
    Service:   YouTube_x000D_
    Version:   0 20 0_x000D_
    OS:   Linux Android 11   30_x000D_
 details  summary  b Crash log   b   summary  p _x000D_
   _x000D_
org schabi newpipe extractor exceptions ParsingException: Could not get ytInitialData_x000D_
	at org schabi newpipe extractor services youtube YoutubeParsingHelper getInitialData(YoutubeParsingHelper java:203)_x000D_
	at org schabi newpipe extractor services youtube YoutubeParsingHelper extractClientVersionAndKey(YoutubeParsingHelper java:222)_x000D_
	at org schabi newpipe extractor services youtube YoutubeParsingHelper getKey(YoutubeParsingHelper java:298)_x000D_
	at org schabi newpipe extractor services youtube extractors YoutubeSearchExtractor getNewNextPageFrom(YoutubeSearchExtractor java:233)_x000D_
	at org schabi newpipe extractor services youtube extractors YoutubeSearchExtractor getInitialPage(YoutubeSearchExtractor java:127)_x000D_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java:81)_x000D_
	at org schabi newpipe util    Lambda ExtractorHelper BBduYDeZ vXMQYaemaggmTPtqvA call(Unknown Source:8)_x000D_
	at io reactivex internal operators single SingleFromCallable subscribeActual(SingleFromCallable java:44)_x000D_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Caused by: org schabi newpipe extractor utils Parser RegexException: failed to find pattern  window   ytInitialData    s   s (       ) _x000D_
	at org schabi newpipe extractor utils Parser matchGroup(Parser java:72)_x000D_
	at org schabi newpipe extractor utils Parser matchGroup(Parser java:61)_x000D_
	at org schabi newpipe extractor utils Parser matchGroup1(Parser java:52)_x000D_
	at org schabi newpipe extractor services youtube YoutubeParsingHelper getInitialData(YoutubeParsingHelper java:200)_x000D_
	    20 more_x000D_
   _x000D_
  details _x000D_
 hr _x000D_
_x000D_
    Logs_x000D_
     If your bug includes a crash (where you re shown the Error Report page with a bunch of info)  tap on  Copy formatted report  at the bottom and paste it here:    _x000D_
_x000D_
     That s right  here     _x000D_
_x000D_
_x000D_
_x000D_
     Please fill this out when you do not provide a log generate by NewPipe    _x000D_
_x000D_
    Device info_x000D_
_x000D_
   Android version Custom ROM version: 11_x000D_
   Device model: Pixel 2 XL_x000D_
</t>
  </si>
  <si>
    <t>TeamNewPipe-NewPipe-4615</t>
  </si>
  <si>
    <t>Unable to see any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</si>
  <si>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IF YOU DON T FILL IN THE TEMPLATE PROPERLY  YOUR ISSUE IS LIABLE TO BE CLOSED  If you feel tired lazy right now  open your issue some other time  We ll wait     _x000D_
_x000D_
     The comments between these brackets won t show up in the submitted issue (as you can see in the Preview)     _x000D_
_x000D_
    Checklist_x000D_
     The first box has been checked for you to show you how it is done     _x000D_
_x000D_
   x  I am using the latest version   0 20 1      Check https:  github com TeamNewPipe NewPipe releases    _x000D_
   x  I checked  but didn t find any duplicates (open OR closed)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video_x000D_
2  Press on the video_x000D_
3  It fails to load_x000D_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I get an error message as the video is loading_x000D_
_x000D_
_x000D_
_x000D_
_x000D_
    Expected behavior_x000D_
Load the video_x000D_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DON T POST SCREENSHOTS OF THE ERROR PAGE  Use the buttons given on the error page to paste the error as text in the Logs section below     _x000D_
_x000D_
_x000D_
_x000D_
    Logs_x000D_
     If your bug includes a crash (where you re shown the Error Report page with a bunch of info)  tap on  Copy formatted report  at the bottom and paste it here:    _x000D_
_x000D_
  user action : requested stream   request : https:  www youtube com watch v bPiofmZGb8o   content language : en US   content country : US   app language : en US   service : YouTube   package : org schabi newpipe   version : 0 20 1   os : Linux Android 10   29   time : 2020 10 23 16:02   exceptions :  org schabi newpipe extractor exceptions ParsingException: YouTube did not provide player config even after three attempts n tat org schabi newpipe extractor services youtube extractors YoutubeStreamExtractor onFetchPage(YoutubeStreamExtractor java:664) n tat org schabi newpipe extractor Extractor fetchPage(Extractor java:56) n tat org schabi newpipe extractor stream StreamInfo getInfo(StreamInfo java:68) n tat org schabi newpipe extractor stream StreamInfo getInfo(StreamInfo java:64) n tat org schabi newpipe util ExtractorHelper lambda getStreamInfo 3(ExtractorHelper java:116) n tat org schabi newpipe util    Lambda ExtractorHelper 5fJcha6Sq5APJBLdG6osaJby mc call(Unknown Source:4) n tat io reactivex internal operators single SingleFromCallable subscribeActual(SingleFromCallable java:44) n tat io reactivex Single subscribe(Single java:3666) n tat io reactivex internal operators single SingleDoOnSuccess subscribeActual(SingleDoOnSuccess java:35) n tat io reactivex Single subscribe(Single java:3666) n tat io reactivex internal operators maybe MaybeFromSingle subscribeActual(MaybeFromSingle java:41) n tat io reactivex Maybe subscribe(Maybe java:4290) n tat io reactivex internal operators maybe MaybeConcatArray ConcatMaybeObserver drain(MaybeConcatArray java:153) n tat io reactivex internal operators maybe MaybeConcatArray ConcatMaybeObserver request(MaybeConcatArray java:78) n tat io reactivex internal operators flowable FlowableElementAtMaybe ElementAtSubscriber onSubscribe(FlowableElementAtMaybe java:66) n tat io reactivex internal operators maybe MaybeConcatArray subscribeActual(MaybeConcatArray java:42) n tat io reactivex Flowable subscribe(Flowable java:14935) n tat io reactivex internal operators flowable FlowableElementAtMaybe subscribeActual(FlowableElementAtMaybe java:36) n tat io reactivex Maybe subscribe(Maybe java:4290) n tat io reactivex internal operators maybe MaybeToSingle subscribeActual(MaybeToSingle java:46) n tat io reactivex Single subscribe(Single java:3666) n tat io reactivex internal operators single SingleSubscribeOn SubscribeOnObserver run(SingleSubscribeOn java:89) n tat io reactivex Scheduler DisposeTask run(Scheduler java:578) n tat io reactivex internal schedulers ScheduledRunnable run(ScheduledRunnable java:66) n tat io reactivex internal schedulers ScheduledRunnable call(ScheduledRunnable java:57) n tat java util concurrent FutureTask run(FutureTask java:266) n tat java util concurrent ScheduledThreadPoolExecutor ScheduledFutureTask run(ScheduledThreadPoolExecutor java:301) n tat java util concurrent ThreadPoolExecutor runWorker(ThreadPoolExecutor java:1167) n tat java util concurrent ThreadPoolExecutor Worker run(ThreadPoolExecutor java:641) n tat java lang Thread run(Thread java:919) n    user comment :   _x000D_
_x000D_
_x000D_
_x000D_
     Please fill this out when you do not provide a log generate by NewPipe    _x000D_
_x000D_
    Device info_x000D_
_x000D_
   Android version Custom ROM version:Andriod 10 with samsung One UI:2 1_x000D_
   Device model:Samsung s9_x000D_
</t>
  </si>
  <si>
    <t>microg-GmsCore-1244</t>
  </si>
  <si>
    <t>Hessenschau-App is crashing with latest release</t>
  </si>
  <si>
    <t xml:space="preserve">after upgrading vi F Droid to latest release the Hessenschau App crashes instantly _x000D_
Verified on two devices  microG selfcheck is ok _x000D_
 logcat txt (https:  github com microg android packages apps GmsCore files 5430211 logcat txt)_x000D_
</t>
  </si>
  <si>
    <t>Anuken-Mindustry-3074</t>
  </si>
  <si>
    <t>Too many polys spawn on attack missions when they start building base, there is around 1000</t>
  </si>
  <si>
    <t xml:space="preserve">Windows (Itch)_x000D_
_x000D_
Beta 109_x000D_
_x000D_
When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Too many units spawn  around 1000 polys on attack missions  they are almost impossible to destroy and remain once the sector is captured  (https:  user images githubusercontent com 70506988 97017318 a9c32f80 1545 11eb 9574 260dc134ccb0 jpg)_x000D_
_x000D_
_x000D_
 Place an X (no spaces) between the brackets to confirm that you have read the line below    _x000D_
   x    I have searched the closed and open issues to make sure that this problem has not already been reported   _x000D_
</t>
  </si>
  <si>
    <t>nextcloud-android-7131</t>
  </si>
  <si>
    <t>Android App crashes when trying to manage account</t>
  </si>
  <si>
    <t xml:space="preserve">    Steps to reproduce_x000D_
1  Open App_x000D_
2  Tap User Capital letter (top right)_x000D_
3   Tap  Manage Accounts _x000D_
4  Tap user name account_x000D_
_x000D_
    Expected behaviour_x000D_
I suppose it should give me account sync and other options _x000D_
_x000D_
    Actual behaviour_x000D_
Nextcloud crashed report_x000D_
_x000D_
_x000D_
             CAUSE OF ERROR             _x000D_
_x000D_
java lang RuntimeException: Unable to start activity ComponentInfo com nextcloud client com owncloud android ui activity UserInfoActivity : android content res Resources NotFoundException: Resource ID  0x7f070174_x000D_
at android app ActivityThread performLaunchActivity(ActivityThread java:3477)_x000D_
at android app ActivityThread handleLaunchActivity(ActivityThread java:3620)_x000D_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java:2183)_x000D_
at android os Handler dispatchMessage(Handler java:107)_x000D_
at android os Looper loop(Looper java:241)_x000D_
at android app ActivityThread main(ActivityThread java:7617)_x000D_
at java lang reflect Method invoke(Native Method)_x000D_
at com android internal os RuntimeInit MethodAndArgsCaller run(RuntimeInit java:492)_x000D_
at com android internal os ZygoteInit main(ZygoteInit java:941)_x000D_
Caused by: android content res Resources NotFoundException: Resource ID  0x7f070174_x000D_
at android content res ResourcesImpl getValue(ResourcesImpl java:237)_x000D_
at android content res Resources getDimension(Resources java:675)_x000D_
at com owncloud android ui activity UserInfoActivity onCreate(UserInfoActivity java:140)_x000D_
at android app Activity performCreate(Activity java:7810)_x000D_
at android app Activity performCreate(Activity java:7799)_x000D_
at android app Instrumentation callActivityOnCreate(Instrumentation java:1328)_x000D_
at android app ActivityThread performLaunchActivity(ActivityThread java:3452)_x000D_
    11 more_x000D_
_x000D_
             APP INFORMATION             _x000D_
ID: com nextcloud client_x000D_
Version: 30130190_x000D_
Build flavor: gplay_x000D_
_x000D_
             DEVICE INFORMATION             _x000D_
Brand: motorola_x000D_
Device: troika sprout_x000D_
Model: motorola one action_x000D_
Id: QSBS30 62 17 13_x000D_
Product: troika_x000D_
_x000D_
             FIRMWARE             _x000D_
SDK: 29_x000D_
Release: 10_x000D_
Incremental: 1d1e</t>
  </si>
  <si>
    <t>HeligPfleigh-react-native-thermal-receipt-printer-26</t>
  </si>
  <si>
    <t>iOS App is crashing at the BLEPrinter.init()</t>
  </si>
  <si>
    <t xml:space="preserve">Hello _x000D_
_x000D_
I have been trying to run the release app into the iOS device but unfortunately  the app is crashing at the start where I have called BLEPrinter init() along with the await statement _x000D_
_x000D_
After that  I have downloaded the example app which is given in this doc and run the project and set up the certificates for that to prepare a build and after successfully preparing the build I have installed that in one of my iOS device but the same thing happened there that app is crashing even in the example app at iOS platform _x000D_
_x000D_
Please do needful here as I am stuck in the middle of something that Is really urgent to deliver to someone _x000D_
_x000D_
Thanks _x000D_
</t>
  </si>
  <si>
    <t>google-ExoPlayer-8106</t>
  </si>
  <si>
    <t>StreamVolumeManager crash on certain devices</t>
  </si>
  <si>
    <t xml:space="preserve">     REQUIRED  Issue description_x000D_
Got the following stackTrace on specific device (from Play Console no way to reproduce)_x000D_
_x000D_
Device: ZTE Z717VL   Android 10 (SDK 29)_x000D_
_x000D_
   _x000D_
java lang IllegalStateException: _x000D_
  at android os Parcel createException (Parcel java:2082)_x000D_
  at android os Parcel readException (Parcel java:2042)_x000D_
  at android os Parcel readException (Parcel java:1990)_x000D_
  at android app IActivityManager Stub Proxy registerReceiver (IActivityManager java:4952)_x000D_
  at android app ContextImpl registerReceiverInternal (ContextImpl java:1537)_x000D_
  at android app ContextImpl registerReceiver (ContextImpl java:1498)_x000D_
  at android app ContextImpl registerReceiver (ContextImpl java:1486)_x000D_
  at android content ContextWrapper registerReceiver (ContextWrapper java:637)_x000D_
  at com google android exoplayer2 StreamVolumeManager  init  (StreamVolumeManager java)_x000D_
                                                       getVolumeFromManager (StreamVolumeManager java)_x000D_
                                                        init  (StreamVolumeManager java)_x000D_
  at com google android exoplayer2 SimpleExoPlayer  init  (SimpleExoPlayer java)_x000D_
_x000D_
   _x000D_
_x000D_
Maybe related to https:  github com google ExoPlayer issues 8087_x000D_
_x000D_
     REQUIRED  Reproduction steps_x000D_
Device specific crash occurring when building ExoPlayer  Since my application does not rely at all on volume management by ExoPlayer would be nice is there was a workaround _x000D_
_x000D_
     REQUIRED  A full bug report captured from the device_x000D_
Unable to provide as user did not contact me_x000D_
_x000D_
     REQUIRED  Version of ExoPlayer being used_x000D_
2 12 0_x000D_
_x000D_
     REQUIRED  Device(s) and version(s) of Android being used_x000D_
Device: ZTE Z717VL   Android 10 (SDK 29)</t>
  </si>
  <si>
    <t>Abir-Tx-XWriter-7</t>
  </si>
  <si>
    <t xml:space="preserve">App crashes when no input is given in counter </t>
  </si>
  <si>
    <t>The app crashes when there is no input given in the counter section implement an option which will check for null input and show balloon text
  Screenshot 20201023 132814 XWriter jpg (https:  user images githubusercontent com 28858998 96969068 b2ab0580 1533 11eb 8f13 ada0a52afe18 jpg)</t>
  </si>
  <si>
    <t>TeamNewPipe-NewPipe-4604</t>
  </si>
  <si>
    <t>No video works on Pixel. (Works on Note)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</si>
  <si>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It may be a bug on GrapheneOS Custom ROM devices  as my Note 8 still works _x000D_
2  Press on any video  Either in trending  subscriber feed  or searched for _x000D_
   _x000D_
1  It may be a bug on GrapheneOS Custom ROM devices  as my Note 8 still works _x000D_
2  Press on any video  Either in trending  subscriber feed  or searched for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Any video I search for or click on comes with an error message _x000D_
_x000D_
_x000D_
    Expected behavior_x000D_
     Tell us what you expect to happen     _x000D_
Supposed to play video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Screenshot 20201023 155639 (https:  user images githubusercontent com 73329974 96964261 4fc46900 1549 11eb 87d3 ff99f955aef5 png)_x000D_
_x000D_
_x000D_
    Logs_x000D_
     If your bug includes a crash (where you re shown the Error Report page with a bunch of info)  tap on  Copy formatted report  at the bottom and paste it here:    _x000D_
_x000D_
     That s right  here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_x000D_
                                     _x000D_
_x000D_
_x000D_
     please fill this out when you do not provide a log generate by NewPipe    _x000D_
    Device info_x000D_
_x000D_
   Android version Custom ROM version: GrapheneOS_x000D_
   Device model: Pixel 3 XL_x000D_
</t>
  </si>
  <si>
    <t>TeamNewPipe-NewPipe-4603</t>
  </si>
  <si>
    <t>Parse error with New pipe 0.20.0</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</si>
  <si>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version:_x000D_
   Device model:_x000D_
</t>
  </si>
  <si>
    <t>TeamNewPipe-NewPipe-4602</t>
  </si>
  <si>
    <t>Audio backgound mode!</t>
  </si>
  <si>
    <t xml:space="preserve">While on audio mode if I were to watch video then it starts from the beginning   not where I stopped 
Thanks for reporting an issue with NewPipe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Checklist
     The first box has been checked for you to show you how it is done     
   x  I am using the latest version       compare Releases page and your version given in About in the app drawer    
      I checked  but didn t find any duplicates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Actual behaviour
     Tell us what happens instead     
    Expected behavior
     Tell us what you expect to happen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10
   Device model: Asus ZenFone 6
</t>
  </si>
  <si>
    <t>google-ExoPlayer-8103</t>
  </si>
  <si>
    <t>A warning occurs when applying proguard from version 2.12.0.</t>
  </si>
  <si>
    <t>A warning occurs when applying proguard from version 2 12 0  (2 12 1 is equal)_x000D_
_x000D_
My dependencies are below _x000D_
_x000D_
   _x000D_
dependencies  _x000D_
    implementation fileTree(include:     jar      aar    dir:  libs )_x000D_
    implementation( com google android material:material:1 2 1 )_x000D_
    implementation( androidx swiperefreshlayout:swiperefreshlayout:1 1 0 )_x000D_
    implementation  com google firebase:firebase analytics:17 6 0 _x000D_
    implementation( com google firebase:firebase messaging:20 3 0 )_x000D_
    implementation( com google firebase:firebase crashlytics:17 2 2 )_x000D_
    implementation  com google firebase:firebase auth:19 4 0 _x000D_
    implementation( com google android gms:play services safetynet:17 0 0 )_x000D_
    implementation( com github tbruyelle:rxpermissions:0 12 )_x000D_
    implementation( com github bumptech glide:glide:4 11 0 )_x000D_
    implementation( jp wasabeef:glide transformations:4 3 0 )_x000D_
    implementation( com squareup retrofit2:retrofit:2 9 0 )_x000D_
    implementation( com squareup retrofit2:adapter rxjava3:2 9 0 )_x000D_
    implementation( com squareup retrofit2:converter gson:2 9 0 )_x000D_
       The only way is use OkHttp 3 12 x if your minSDK lower 21 _x000D_
       Caused by java lang IllegalStateException_x000D_
       Expected Android API level 21  but was 19_x000D_
    implementation( com squareup okhttp3:logging interceptor:3 12 1 )_x000D_
      implementation( com squareup okhttp3:logging interceptor:4 8 0 )_x000D_
    implementation( io reactivex rxjava3:rxjava:3 0 7 )_x000D_
    implementation( io reactivex rxjava3:rxandroid:3 0 0 )_x000D_
    implementation( com jakewharton rxrelay3:rxrelay:3 0 0 )_x000D_
    implementation( com trello rxlifecycle4:rxlifecycle:4 0 0 )_x000D_
    implementation( com trello rxlifecycle4:rxlifecycle android:4 0 0 )_x000D_
    implementation( com trello rxlifecycle4:rxlifecycle components:4 0 0 )_x000D_
    implementation( com jakewharton rxbinding4:rxbinding:4 0 0 )_x000D_
       implementation( com jakewharton rxbinding3:rxbinding recyclerview:3 0 0 )_x000D_
       implementation  com jakewharton rxbinding3:rxbinding core:3 0 0 alpha2 _x000D_
       implementation  com jakewharton rxbinding3:rxbinding appcompat:3 0 0 alpha2 _x000D_
       implementation  com jakewharton rxbinding3:rxbinding drawerlayout:3 0 0 alpha2 _x000D_
       implementation  com jakewharton rxbinding3:rxbinding leanback:3 0 0 alpha2 _x000D_
       implementation  com jakewharton rxbinding3:rxbinding slidingpanelayout:3 0 0 alpha2 _x000D_
       implementation  com jakewharton rxbinding3:rxbinding swiperefreshlayout:3 0 0 alpha2 _x000D_
       implementation  com jakewharton rxbinding3:rxbinding viewpager:3 0 0 alpha2 _x000D_
       implementation  com jakewharton rxbinding3:rxbinding material:3 0 0 _x000D_
    implementation( com github chrisbanes:PhotoView:2 3 0 )_x000D_
    implementation( com theartofdev edmodo:android image cropper:2 8 0 )_x000D_
    implementation( com android billingclient:billing ktx:3 0 1 )_x000D_
    implementation( com wang avi:library:2 1 3 )_x000D_
    implementation( com github whalemare:sheetmenu:2 0 1 )_x000D_
    implementation( de hdodenhof:circleimageview:3 1 0 )_x000D_
      implementation( com google android exoplayer:exoplayer:2 12 1 )_x000D_
    implementation( com google android exoplayer:exoplayer:2 11 8 )_x000D_
    implementation( org greenrobot:greendao:3 3 0 )_x000D_
    implementation( com twilio:video android:5 12 0 )_x000D_
    implementation  com github jeuler:android segmented:1 0 8 _x000D_
    implementation( org jetbrains kotlin:kotlin stdlib: kotlin version )_x000D_
    implementation( org jetbrains kotlin:kotlin stdlib jdk7: kotlin version )_x000D_
    implementation( org jetbrains kotlin:kotlin stdlib jdk8: kotlin version )_x000D_
    implementation( androidx constraintlayout:constraintlayout:2 0 2 )_x000D_
    annotationProcessor( com github bumptech glide:compiler:4 11 0 )_x000D_
 _x000D_
   _x000D_
_x000D_
_x000D_
_x000D_
During build  the following error occurs _x000D_
_x000D_
_x000D_
   _x000D_
:secretchat:minifyDebugWithProguard_x000D_
com google common base AbstractIterator: can t find referenced class com google errorprone annotations CanIgnoreReturnValue_x000D_
com google common base Converter: can t find referenced class com google errorprone annotations concurrent LazyInit_x000D_
com google common base Converter: can t find referenced class com google errorprone annotations ForOverride_x000D_
com google common base Converter: can t find referenced class com google errorprone annotations CanIgnoreReturnValue_x000D_
com google common base Equivalence: can t find referenced class com google errorprone annotations ForOverride_x000D_
com google common base Function: can t find referenced class com google errorprone annotations CanIgnoreReturnValue_x000D_
com google common base Joiner: can t find referenced class com google errorprone annotations CanIgnoreReturnValue_x000D_
com google common base Joiner MapJoiner: can t find referenced class com google errorprone annotations CanIgnoreReturnValue_x000D_
com google common base MoreObjects ToStringHelper: can t find referenced class com google errorprone annotations CanIgnoreReturnValue_x000D_
com google common base Preconditions: can t find referenced class com google errorprone annotations CanIgnoreReturnValue_x000D_
com google common base Predicate: can t find referenced class com google errorprone annotations CanIgnoreReturnValue_x000D_
com google common base Stopwatch: can t find referenced class com google errorprone annotations CanIgnoreReturnValue_x000D_
com google common base Supplier: can t find referenced class com google errorprone annotations CanIgnoreReturnValue_x000D_
com google common base Throwables: can t find referenced class com google errorprone annotations CanIgnoreReturnValue_x000D_
com google common base Verify: can t find referenced class com google errorprone annotations CanIgnoreReturnValue_x000D_
com google common base package info: can t find referenced class com google errorprone annotations CheckReturnValue_x000D_
com google common cache Cache: can t find referenced class com google errorprone annotations CompatibleWith_x000D_
com google common cache CacheBuilder: can t find referenced class com google errorprone annotations CheckReturnValue_x000D_
com google common cache LocalCache AbstractCacheSet: can t find referenced class com google j2objc annotations Weak_x000D_
com google common cache LocalCache Segment: can t find referenced class com google j2objc annotations Weak_x000D_
com google common cache LocalCache Segment: can t find referenced class com google errorprone annotations concurrent GuardedBy_x000D_
com google common collect AbstractBiMap: can t find referenced class com google j2objc annotations RetainedWith_x000D_
com google common collect AbstractBiMap: can t find referenced class com google errorprone annotations CanIgnoreReturnValue_x000D_
com google common collect AbstractIterator: can t find referenced class com google errorprone annotations CanIgnoreReturnValue_x000D_
com google common collect AbstractListMultimap: can t find referenced class com google errorprone annotations CanIgnoreReturnValue_x000D_
com google common collect AbstractMapBasedMultiset: can t find referenced class com google errorprone annotations CanIgnoreReturnValue_x000D_
com google common collect AbstractMultimap: can t find referenced class com google errorprone annotations CanIgnoreReturnValue_x000D_
com google common collect AbstractMultiset: can t find referenced class com google errorprone annotations CanIgnoreReturnValue_x000D_
com google common collect AbstractSetMultimap: can t find referenced class com google errorprone annotations CanIgnoreReturnValue_x000D_
com google common collect AbstractSortedSetMultimap: can t find referenced class com google errorprone annotations CanIgnoreReturnValue_x000D_
com google common collect AbstractTable: can t find referenced class com google errorprone annotations CanIgnoreReturnValue_x000D_
com google common collect ArrayListMultimap: can t find referenced class com google errorprone annotations CanIgnoreReturnValue_x000D_
com google common collect ArrayTable: can t find referenced class com google errorprone annotations CanIgnoreReturnValue_x000D_
com google common collect BiMap: can t find referenced class com google errorprone annotations CanIgnoreReturnValue_x000D_
com google common collect ClassToInstanceMap: can t find referenced class com google errorprone annotations CanIgnoreReturnValue_x000D_
com google common collect CollectPreconditions: can t find referenced class com google errorprone annotations CanIgnoreReturnValue_x000D_
com google common collect CompactHashMap: can t find referenced class com google errorprone annotations CanIgnoreReturnValue_x000D_
com google common collect CompactHashSet: can t find referenced class com google errorprone annotations CanIgnoreReturnValue_x000D_
com google common collect ConcurrentHashMultiset: can t find referenced class com google errorprone annotations CanIgnoreReturnValue_x000D_
com google common collect DenseImmutableTable: can t find referenced class com google errorprone annotations Immutable_x000D_
com google common collect DiscreteDomain: can t find referenced class com google errorprone annotations CanIgnoreReturnValue_x000D_
com google common collect EnumHashBiMap: can t find referenced class com google errorprone annotations CanIgnoreReturnValue_x000D_
com google common collect EnumMultiset: can t find referenced class com google errorprone annotations CanIgnoreReturnValue_x000D_
com google common collect EvictingQueue: can t find referenced class com google errorprone annotations CanIgnoreReturnValue_x000D_
com google common collect FilteredKeyMultimap AddRejectingList: can t find referenced class com google errorprone annotations CanIgnoreReturnValue_x000D_
com google common collect FilteredMultimapValues: can t find referenced class com google j2objc annotations Weak_x000D_
com google common collect FluentIterable: can t find referenced class com google errorprone annotations CanIgnoreReturnValue_x000D_
com google common collect ForwardingCollection: can t find referenced class com google errorprone annotations CanIgnoreReturnValue_x000D_
com google common collect ForwardingConcurrentMap: can t find referenced class com google errorprone annotations CanIgnoreReturnValue_x000D_
com google common collect ForwardingDeque: can t find referenced class com google errorprone annotations CanIgnoreReturnValue_x000D_
com google common collect ForwardingIterator: can t find referenced class com google errorprone annotations CanIgnoreReturnValue_x000D_
com google common collect ForwardingList: can t find referenced class com google errorprone annotations CanIgnoreReturnValue_x000D_
com google common collect ForwardingListIterator: can t find referenced class com google errorprone annotations CanIgnoreReturnValue_x000D_
com google common collect ForwardingListMultimap: can t find referenced class com google errorprone annotations CanIgnoreReturnValue_x000D_
com google common collect ForwardingMap: can t find referenced class com google errorprone annotations CanIgnoreReturnValue_x000D_
com google common collect ForwardingMultimap: can t find referenced class com google errorprone annotations CanIgnoreReturnValue_x000D_
com google common collect ForwardingMultiset: can t find referenced class com google errorprone annotations CanIgnoreReturnValue_x000D_
com google common collect ForwardingQueue: can t find referenced class com google errorprone annotations CanIgnoreReturnValue_x000D_
com google common collect ForwardingSetMultimap: can t find referenced class com google errorprone annotations CanIgnoreReturnValue_x000D_
com google common collect ForwardingTable: can t find referenced class com google errorprone annotations CanIgnoreReturnValue_x000D_
com google common collect HashBasedTable: can t find referenced class com google errorprone annotations CanIgnoreReturnValue_x000D_
com google common collect HashBiMap: can t find referenced class com google j2objc annotations RetainedWith_x000D_
com google common collect HashBiMap: can t find referenced class com google errorprone annotations CanIgnoreReturnValue_x000D_
com google common collect HashBiMap EntrySet: can t find referenced class com google errorprone annotations CanIgnoreReturnValue_x000D_
com google common collect HashBiMap Inverse: can t find referenced class com google errorprone annotations CanIgnoreReturnValue_x000D_
com google common collect HashMultimap: can t find referenced class com google errorprone annotations CanIgnoreReturnValue_x000D_
com google common collect ImmutableBiMap: can t find referenced class com google errorprone annotations CanIgnoreReturnValue_x000D_
com google common collect ImmutableBiMap Builder: can t find referenced class com google errorprone annotations CanIgnoreReturnValue_x000D_
com google common collect ImmutableClassToInstanceMap: can t find referenced class com google errorprone annotations CanIgnoreReturnValue_x000D_
com google common collect ImmutableClassToInstanceMap: can t find referenced class com google errorprone annotations Immutable_x000D_
com google common collect ImmutableClassToInstanceMap Builder: can t find referenced class com google errorprone annotations CanIgnoreReturnValue_x000D_
com google common collect ImmutableCollection: can t find referenced class com google errorprone annotations CanIgnoreReturnValue_x000D_
com google common collect ImmutableCollection ArrayBasedBuilder: can t find referenced class com google errorprone annotations CanIgnoreReturnValue_x000D_
com google common collect ImmutableCollection Builder: can t find referenced class com google errorprone annotations CanIgnoreReturnValue_x000D_
com google common collect ImmutableEnumSet: can t find referenced class com google errorprone annotations concurrent LazyInit_x000D_
com google common collect ImmutableList: can t find referenced class com google errorprone annotations CanIgnoreReturnValue_x000D_
com google common collect ImmutableList Builder: can t find referenced class com google errorprone annotations CanIgnoreReturnValue_x000D_
com google common collect ImmutableListMultimap: can t find referenced class com google errorprone annotations concurrent LazyInit_x000D_
com google common collect ImmutableListMultimap: can t find referenced class com google j2objc annotations RetainedWith_x000D_
com google common collect ImmutableListMultimap: can t find referenced class com google errorprone annotations CanIgnoreReturnValue_x000D_
com google common collect ImmutableListMultimap Builder: can t find referenced class com google errorprone annotations CanIgnoreReturnValue_x000D_
com google common collect ImmutableMap: can t find referenced class com google errorprone annotations concurrent LazyInit_x000D_
com google common collect ImmutableMap: can t find referenced class com google j2objc annotations RetainedWith_x000D_
com google common collect ImmutableMap: can t find referenced class com google errorprone annotations concurrent LazyInit_x000D_
com google common collect ImmutableMap: can t find referenced class com google j2objc annotations RetainedWith_x000D_
com google common collect ImmutableMap: can t find referenced class com google errorprone annotations concurrent LazyInit_x000D_
com google common collect ImmutableMap: can t find referenced class com google errorprone annotations CanIgnoreReturnValue_x000D_
com google common collect ImmutableMap Builder: can t find referenced class com google errorprone annotations CanIgnoreReturnValue_x000D_
com google common collect ImmutableMapEntrySet RegularEntrySet: can t find referenced class com google j2objc annotations Weak_x000D_
com google common collect ImmutableMultimap: can t find referenced class com google errorprone annotations CanIgnoreReturnValue_x000D_
com google common collect ImmutableMultimap Builder: can t find referenced class com google errorprone annotations CanIgnoreReturnValue_x000D_
com google common collect ImmutableMultimap EntryCollection: can t find referenced class com google j2objc annotations Weak_x000D_
com google common collect ImmutableMultimap Values: can t find referenced class com google j2objc annotations Weak_x000D_
com google common collect ImmutableMultiset: can t find referenced class com google errorprone annotations concurrent LazyInit_x000D_
com google common collect ImmutableMultiset: can t find referenced class com google errorprone annotations CanIgnoreReturnValue_x000D_
com google common collect ImmutableMultiset Builder: can t find referenced class com google errorprone annotations CanIgnoreReturnValue_x000D_
com google common collect ImmutableRangeMap Builder: can t find referenced class com google errorprone annotations CanIgnoreReturnValue_x000D_
com google common collect ImmutableRangeSet: can t find referenced class com google errorprone annotations concurrent LazyInit_x000D_
com google common collect ImmutableRangeSet Builder: can t find referenced class com google errorprone annotations CanIgnoreReturnValue_x000D_
com google common collect ImmutableSet: can t find referenced class com google errorprone annotations concurrent LazyInit_x000D_
com google common collect ImmutableSet: can t find referenced class com google j2objc annotations RetainedWith_x000D_
com google common collect ImmutableSet Builder: can t find referenced class com google errorprone annotations CanIgnoreReturnValue_x000D_
com google common collect ImmutableSetMultimap: can t find referenced class com google errorprone annotations concurrent LazyInit_x000D_
com google common collect ImmutableSetMultimap: can t find referenced class com google j2objc annotations RetainedWith_x000D_
com google common collect ImmutableSetMultimap: can t find referenced class com google errorprone annotations CanIgnoreReturnValue_x000D_
com google common collect ImmutableSetMultimap Builder: can t find referenced class com google errorprone annotations CanIgnoreReturnValue_x000D_
com google common collect ImmutableSetMultimap EntrySet: can t find referenced class com google j2objc annotations Weak_x000D_
com google common collect ImmutableSortedMap: can t find referenced class com google errorprone annotations CanIgnoreReturnValue_x000D_
com google common collect ImmutableSortedMap Builder: can t find referenced class com google errorprone annotations CanIgnoreReturnValue_x000D_
com google common collect ImmutableSortedMultiset: can t find referenced class com google errorprone annotations concurrent LazyInit_x000D_
com google common collect ImmutableSortedMultiset: can t find referenced class com google errorprone annotations CanIgnoreReturnValue_x000D_
com google common collect ImmutableSortedMultiset Builder: can t find referenced class com google errorprone annotations CanIgnoreReturnValue_x000D_
com google common collect ImmutableSortedSet: can t find referenced class com google errorprone annotations concurrent LazyInit_x000D_
com google common collect ImmutableSortedSet: can t find referenced class com google errorprone annotations CanIgnoreReturnValue_x000D_
com google common collect ImmutableSortedSet Builder: can t find referenced class com google errorprone annotations CanIgnoreReturnValue_x000D_
com google common collect ImmutableTable: can t find referenced class com google errorprone annotations CanIgnoreReturnValue_x000D_
com google common collect ImmutableTable Builder: can t find referenced class com google errorprone annotations CanIgnoreReturnValue_x000D_
com google common collect Interner: can t find referenced class com google errorprone annotations CanIgnoreReturnValue_x000D_
com google common collect Iterables: can t find referenced class com google errorprone annotations CanIgnoreReturnValue_x000D_
com google common collect Iterators: can t find referenced class com google errorprone annotations CanIgnoreReturnValue_x000D_
com google common collect LinkedHashMultimap: can t find referenced class com google errorprone annotations CanIgnoreReturnValue_x000D_
com google common collect LinkedHashMultimap ValueSet: can t find referenced class com google errorprone annotations CanIgnoreReturnValue_x000D_
com google common collect LinkedListMultimap: can t find referenced class com google errorprone annotations CanIgnoreReturnValue_x000D_
com google common collect LinkedListMultimap NodeIterator: can t find referenced class com google errorprone annotations CanIgnoreReturnValue_x000D_
com google common collect LinkedListMultimap ValueForKeyIterator: can t find referenced class com google errorprone annotations CanIgnoreReturnValue_x000D_
com google common collect ListMultimap: can t find referenced class com google errorprone annotations CanIgnoreReturnValue_x000D_
com google common collect MapMaker: can t find referenced class com google errorprone annotations CanIgnoreReturnValue_x000D_
com google common collect MapMakerInternalMap: can t find referenced class com google errorprone annotations CanIgnoreReturnValue_x000D_
com google common collect MapMakerInternalMap Segment: can t find referenced class com google j2objc annotations Weak_x000D_
com google common collect MapMakerInternalMap Segment: can t find referenced class com google errorprone annotations concurrent GuardedBy_x000D_
com google common collect MapMakerInternalMap Segment: can t find referenced class com google errorprone annotations CanIgnoreReturnValue_x000D_
com google common collect MapMakerInternalMap Segment: can t find referenced class com google errorprone annotations concurrent GuardedBy_x000D_
com google common collect MapMakerInternalMap Segment: can t find referenced class com google errorprone annotations CanIgnoreReturnValue_x000D_
com google common collect MapMakerInternalMap Segment: can t find referenced class com google errorprone annotations concurrent GuardedBy_x000D_
com google common collect MapMakerInternalMap Segment: can t find referenced class com google errorprone annotations CanIgnoreReturnValue_x000D_
com google common collect MapMakerInternalMap Segment: can t find referenced class com google errorprone annotations concurrent GuardedBy_x000D_
com google common collect MapMakerInternalMap WeakValueReferenceImpl: can t find referenced class com google j2objc annotations Weak_x000D_
com google common collect Maps: can t find referenced class com google errorprone annotations CanIgnoreReturnValue_x000D_
com google common collect Maps FilteredEntryBiMap: can t find referenced class com google j2objc annotations RetainedWith_x000D_
com google common collect Maps KeySet: can t find referenced class com google j2objc annotations Weak_x000D_
com google common collect Maps UnmodifiableBiMap: can t find referenced class com google j2objc annotations RetainedWith_x000D_
com google common collect Maps Values: can t find referenced class com google j2objc annotations Weak_x000D_
com google common collect MinMaxPriorityQueue: can t find referenced class com google errorprone annotations CanIgnoreReturnValue_x000D_
com google common collect MinMaxPriorityQueue Builder: can t find referenced class com google errorprone annotations CanIgnoreReturnValue_x000D_
com google common collect MinMaxPriorityQueue Heap: can t find referenced class com google j2objc annotations Weak_x000D_
com google common collect MinMaxPriorityQueue Heap: can t find referenced class com google errorprone annotations CanIgnoreReturnValue_x000D_
com google common collect Multimap: can t find referenced class com google errorprone annotations CompatibleWith_x000D_
com google common collect Multimap: can t find referenced class com google errorprone annotations CanIgnoreReturnValue_x000D_
com google common collect Multimap: can t find referenced class com google errorprone annotations CompatibleWith_x000D_
com google common collect Multimap: can t find referenced class com google errorprone annotations CanIgnoreReturnValue_x000D_
com google common collect Multimap: can t find referenced class com google errorprone annotations CompatibleWith_x000D_
com google common collect Multimaps: can t find referenced class com google errorprone annotations CanIgnoreReturnValue_x000D_
com google common collect Multimaps AsMap: can t find referenced class com google j2objc annotations Weak_x000D_
com google common collect Multimaps Keys: can t find referenced class com google j2objc annotations Weak_x000D_
com google common collect Multiset: can t find referenced class com google errorprone annotations CompatibleWith_x000D_
com google common collect Multiset: can t find referenced class com google errorprone annotations CanIgnoreReturnValue_x000D_
com google common collect Multiset: can t find referenced class com google errorprone annotations CompatibleWith_x000D_
com google common collect Multiset: can t find referenced class com google errorprone annotations CanIgnoreReturnValue_x000D_
com google common collect Multisets: can t find referenced class com google errorprone annotations CanIgnoreReturnValue_x000D_
com google common collect MutableClassToInstanceMap: can t find referenced class com google errorprone annotations CanIgnoreReturnValue_x000D_
com google common collect ObjectArrays: can t find referenced class com google errorprone annotations CanIgnoreReturnValue_x000D_
com google common collect ObjectCountHashMap: can t find referenced class com google errorprone annotations CanIgnoreReturnValue_x000D_
com google common collect ObjectCountHashMap MapEntry: can t find referenced class com google errorprone annotations CanIgnoreReturnValue_x000D_
com google common collect Ordering: can t find referenced class com google errorprone annotations CanIgnoreReturnValue_x000D_
com google common collect PeekingIterator: can t find referenced class com google errorprone annotations CanIgnoreReturnValue_x000D_
com google common collect Queues: can t find referenced class com google errorprone annotations CanIgnoreReturnValue_x000D_
com google common collect RegularImmutableMultiset: can t find referenced class com google errorprone annotations concurrent LazyInit_x000D_
com google common collect SetMultimap: can t find referenced class com google errorprone annotations CanIgnoreReturnValue_x000D_
com google common collect Sets SetView: can t find referenced class com google errorprone annotations CanIgnoreReturnValue_x000D_
com google common collect SingletonImmutableSet: can t find referenced class com google errorprone annotations concurrent LazyInit_x000D_
com google common collect SortedMultisets ElementSet: can t find referenced class com google j2objc annotations Weak_x000D_
com google common collect SortedSetMultimap: can t find referenced class com google errorprone annotations CanIgnoreReturnValue_x000D_
com google common collect SparseImmutableTable: can t find referenced class com google errorprone annotations Immutable_x000D_
com google common collect StandardTable: can t find referenced class com google errorprone annotations CanIgnoreReturnValue_x000D_
com google common collect StandardTable Column: can t find referenced class com google errorprone annotations CanIgnoreReturnValue_x000D_
com google common collect Synchronized SynchronizedBiMap: can t find referenced class com google j2objc annotations RetainedWith_x000D_
com google common collect Table: can t find referenced class com google errorprone annotations CompatibleWith_x000D_
com google common collect Table: can t find referenced class com google errorprone annotations CanIgnoreReturnValue_x000D_
com google common collect Table: can t find referenced class com google errorprone annotations CompatibleWith_x000D_
com google common collect TreeBasedTable: can t find referenced class com google errorprone annotations CanIgnoreReturnValue_x000D_
com google common collect TreeMultimap: can t find referenced class com google errorprone annotations CanIgnoreReturnValue_x000D_
com google common collect TreeMultiset: can t find referenced class com google errorprone annotations CanIgnoreReturnValue_x000D_
com google common collect package info: can t find referenced class com google errorprone annotations CheckReturnValue_x000D_
com google common escape CharEscaperBuilder: can t find referenced class com google errorprone annotations CanIgnoreReturnValue_x000D_
com google common escape Escapers Builder: can t find referenced class com google errorprone annotations CanIgnoreReturnValue_x000D_
com google common escape package info: can t find referenced class com google errorprone annotations CheckReturnValue_x000D_
com google common eventbus Subscriber: can t find referenced class com google j2objc annotations Weak_x000D_
com google common eventbus SubscriberRegistry: can t find referenced class com google j2objc annotations Weak_x000D_
com google common eventbus package info: can t find referenced class com google errorprone annotations CheckReturnValue_x000D_
com google common graph ConfigurableMutableNetwork: can t find referenced class com google errorprone annotations CanIgnoreReturnValue_x000D_
com google common graph ConfigurableMutableValueGraph: can t find referenced class com google errorprone annotations CanIgnoreReturnValue_x000D_
com google common graph DirectedMultiNetworkConnections: can t find referenced class com google errorprone annotations concurrent LazyInit_x000D_
com google common graph ElementOrder: can t find referenced class com google errorprone annotations Immutable_x000D_
com google common graph EndpointPair: can t find referenced class com google errorprone annotations Immutable_x000D_
com google common graph GraphConnections: can t find referenced class com google errorprone annotations CanIgnoreReturnValue_x000D_
com google common graph Graphs: can t find referenced class com google errorprone annotations CanIgnoreReturnValue_x000D_
com google common graph ImmutableGraph: can t find referenced class com google errorprone annotations Immutable_x000D_
com google common graph ImmutableNetwork: can t find referenced class com google errorprone annotations Immutable_x000D_
com google common graph ImmutableValueGraph: can t find referenced class com google errorprone annotations Immutable_x000D_
com google common graph MapIteratorCache: can t find referenced class com google errorprone annotations CanIgnoreReturnValue_x000D_
com google common graph MutableGraph: can t find referenced class com google errorprone annotations CanIgnoreReturnValue_x000D_
com google common graph MutableNetwork: can t find referenced class com google errorprone annotations CanIgnoreReturnValue_x000D_
com google common graph MutableValueGraph: can t find referenced class com google errorprone annotations CanIgnoreReturnValue_x000D_
com google common graph NetworkConnections: can t find referenced class com google errorprone annotations CanIgnoreReturnValue_x000D_
com google common graph UndirectedMultiNetworkConnections: can t find referenced class com google errorprone annotations concurrent LazyInit_x000D_
com google common graph package info: can t find referenced class com google errorprone annotations CheckReturnValue_x000D_
com google common hash AbstractByteHasher: can t find referenced class com google errorprone annotations CanIgnoreReturnValue_x000D_
com google common hash AbstractCompositeHashFunction: can t find referenced class com google errorprone annotations Immutable_x000D_
com google common hash AbstractHashFunction: can t find referenced class com google errorprone annotations Immutable_x000D_
com google common hash AbstractHasher: can t find referenced class com google errorprone annotations CanIgnoreReturnValue_x000D_
com google common hash AbstractNonStreamingHashFunction: can t find referenced class com google errorprone annotations Immutable_x000D_
com google common hash AbstractStreamingHasher: can t find referenced class com google errorprone annotations CanIgnoreReturnValue_x000D_
com google common hash BloomFilter: can t find referenced class com google errorprone annotations CanIgnoreReturnValue_x000D_
com google common hash ChecksumHashFunction: can t find referenced class com google errorprone annotations Immutable_x000D_
com google common hash Crc32cHashFunction: can t find referenced class com google errorprone annotations Immutable_x000D_
com google common hash HashCode: can t find referenced class com google errorprone annotations CanIgnoreReturnValue_x000D_
com google common hash HashFunction: can t find referenced class com google errorprone annotations Immutable_x000D_
com google common hash Hasher: can t find referenced class com google errorprone annotations CanIgnoreReturnValue_x000D_
com google common hash Hashing ChecksumType: can t find referenced class com google errorprone annotations Immutable_x000D_
com google common hash HashingInputStream: can t find referenced class com google errorprone annotations CanIgnoreReturnValue_x000D_
com google common hash ImmutableSupplier: can t find referenced class com google errorprone annotations Immutable_x000D_
com google common hash MacHashFunction: can t find referenced class com google errorprone annotations Immutable_x000D_
com google common hash MessageDigestHashFunction: can t find referenced class com google errorprone annotations Immutable_x000D_
com google common hash Murmur3 128HashFunction: can t find referenced class com google errorprone annotations Immutable_x000D_
com google common hash Murmur3 32HashFunction: can t find referenced class com google errorprone annotations Immutable_x000D_
com google common hash Murmur3 32HashFunction Murmur3 32Hasher: can t find referenced class com google errorprone annotations CanIgnoreReturnValue_x000D_
com google common hash PrimitiveSink: can t find referenced class com google errorprone annotations CanIgnoreReturnValue_x000D_
com google common hash SipHashFunction: can t find referenced class com google errorprone annotations Immutable_x000D_
com google common hash package info: can t find referenced class com google errorprone annotations CheckReturnValue_x000D_
com google common html package info: can t find referenced class com google errorprone annotations CheckReturnValue_x000D_
com google common io ByteArrayDataInput: can t find referenced class com google errorprone annotations CanIgnoreReturnValue_x000D_
com google common io ByteProcessor: can t find</t>
  </si>
  <si>
    <t>OlofSjogren-GoAyo-207</t>
  </si>
  <si>
    <t>Made small changes to make the real database work with hashedpassword…</t>
  </si>
  <si>
    <t xml:space="preserve"> s and the getSingleContactFromDatabase method_x000D_
_x000D_
Just a quickfix to prevent crashes when using the real server</t>
  </si>
  <si>
    <t>Anuken-Mindustry-3068</t>
  </si>
  <si>
    <t>Crash_report</t>
  </si>
  <si>
    <t xml:space="preserve">Mindustry has crashed  How unfortunate _x000D_
Report this at https:  github com Anuken Mindustry issues new labels bug template bug report md_x000D_
_x000D_
Version: bleeding edge build 10691_x000D_
OS: Windows 7 x64_x000D_
Java Version: 1 8 0 261_x000D_
Java Architecture: 64_x000D_
0 Mods_x000D_
_x000D_
java lang NullPointerException_x000D_
	at mindustry logic LExecutor UnitControlI run(LExecutor java:482)_x000D_
	at mindustry logic LExecutor runOnce(LExecutor java:67)_x000D_
	at mindustry world blocks logic LogicBlock LogicBuild updateTile(LogicBlock java:379)_x000D_
	at mindustry gen Building update(Building java:931)_x000D_
	at mindustry entities EntityGroup each(EntityGroup java:67)_x000D_
	at mindustry entities EntityGroup update(EntityGroup java:57)_x000D_
	at mindustry gen Groups update(Groups java:63)_x000D_
	at mindustry core Logic update(Logic java:315)_x000D_
	at arc ApplicationCore update(ApplicationCore java:36)_x000D_
	at mindustry ClientLauncher update(ClientLauncher java:151)_x000D_
	at arc backend sdl SdlApplication listen(SdlApplication java:170)_x000D_
	at arc backend sdl SdlApplication loop(SdlApplication java:158)_x000D_
	at arc backend sdl SdlApplication  init (SdlApplication java:52)_x000D_
	at mindustry desktop DesktopLauncher main(DesktopLauncher java:36)_x000D_
</t>
  </si>
  <si>
    <t>inaturalist-iNaturalistAndroid-927</t>
  </si>
  <si>
    <t>StringIndexOutOfBoundsException in ObservationPhotosViewer$IdPicsPagerAdapter</t>
  </si>
  <si>
    <t>https:  console firebase google com u 2 project inaturalist ios crashlytics app android:org inaturalist android issues eca01cf38baf5c7e7250372e41faede3_x000D_
_x000D_
   _x000D_
Caused by java lang StringIndexOutOfBoundsException: length 0  index  1_x000D_
       at java lang String substring(String java:2023)_x000D_
       at org inaturalist android ObservationPhotosViewer IdPicsPagerAdapter  init (ObservationPhotosViewer java:447)_x000D_
       at org inaturalist android ObservationPhotosViewer onCreate(ObservationPhotosViewer java:155)_x000D_
       at android app Activity performCreate(Activity java:7955)_x000D_
       at android app Activity performCreate(Activity java:7944)_x000D_
   _x000D_
_x000D_
Maybe the return of  773</t>
  </si>
  <si>
    <t>Anuken-Mindustry-3067</t>
  </si>
  <si>
    <t>Disabled Conveyors Still Drag Units</t>
  </si>
  <si>
    <t xml:space="preserve">  Platform  :  Android iOS Mac Windows Linux _x000D_
Windows64_x000D_
_x000D_
  Build  :  The build number under the title in the main menu  Required   LATEST  IS NOT A VERSION  I NEED THE EXACT BUILD NUMBER OF YOUR GAME  _x000D_
B109    be10687_x000D_
_x000D_
  Issue  :  Explain your issue in detail  _x000D_
When disabled using logic processors  conveyor belts still drag units that step on them  even though they can t move items  and are no longer animated as moving  This occurs on   all   types of 1x1 conveyors (normal  titanium  and armoured)  Conveyors that have stopped naturally due to clogging do   not   drag units  however _x000D_
 Link to video: https:  imgur com a UkVPaXO (https:  imgur com a UkVPaXO)_x000D_
_x000D_
  Steps to reproduce  :  How you happened across the issue  and what exactly you did to make the bug happen  _x000D_
Place a conveyor  disable that conveyor using logic blocks  control  direct  or otherwise cause a ground unit to walk over the conveyor  unit will be dragged by the conveyor  in the direction and normal speed of that conveyor  as if it were still enabled _x000D_
_x000D_
  Link(s) to mod(s) used  :  The mod repositories or zip files that are related to the issue  if applicable  _x000D_
N A   No mods involved_x000D_
 (DeltaNedas  cliff mod and RTFM in use upon first discovery   however  game was then reloaded with all mods disabled  issue persisted)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conveyorBug zip (https:  github com Anuken Mindustry files 5425067 conveyorBug zip)_x000D_
_x000D_
_x000D_
  Crash report  :  The contents of relevant crash report files  REQUIRED if you are reporting a crash  _x000D_
N A   No crash reported_x000D_
_x000D_
   _x000D_
_x000D_
 Place an X (no spaces) between the brackets to confirm that you have read the line below    _x000D_
   X    I have searched the closed and open issues to make sure that this problem has not already been reported   _x000D_
</t>
  </si>
  <si>
    <t>opensrp-opensrp-client-chw-1444</t>
  </si>
  <si>
    <t>App crashes when saving pregnancy outcome form then child doesn't appear in PNC (Togo flavor)</t>
  </si>
  <si>
    <t xml:space="preserve">Reported by  zzainulabidin  the app crashes after saving the pregnancy outcome form when you register a child about 5 6 days old  This occurred on the Togo flavor _x000D_
_x000D_
I tried to replicate this  but was unable to </t>
  </si>
  <si>
    <t>ultrasonic-ultrasonic-337</t>
  </si>
  <si>
    <t>Tapping on a playlist crashes the app</t>
  </si>
  <si>
    <t xml:space="preserve">Using Airsonic server  latest Ultrasonic from F Droid   Tapping on a playlist on the list of playlists causes a crash and a return to the main menu   Here is the traceback:_x000D_
_x000D_
   _x000D_
10 22 16:51:34 519 32216 32216 E AndroidRuntime: FATAL EXCEPTION: main_x000D_
10 22 16:51:34 519 32216 32216 E AndroidRuntime: Process: org moire ultrasonic  PID: 32216_x000D_
10 22 16:51:34 519 32216 32216 E AndroidRuntime: java lang NullPointerException: Attempt to invoke virtual method  void android widget LinearLayout setVisibility(int)  on a null object reference_x000D_
10 22 16:51:34 519 32216 32216 E AndroidRuntime: 	at org moire ultrasonic view SongView setSong(SourceFile:268)_x000D_
10 22 16:51:34 519 32216 32216 E AndroidRuntime: 	at org moire ultrasonic view EntryAdapter getView(SourceFile:111)_x000D_
10 22 16:51:34 519 32216 32216 E AndroidRuntime: 	at android widget AbsListView obtainView(AbsListView java:2387)_x000D_
10 22 16:51:34 519 32216 32216 E AndroidRuntime: 	at android widget ListView makeAndAddView(ListView java:2067)_x000D_
10 22 16:51:34 519 32216 32216 E AndroidRuntime: 	at android widget ListView fillDown(ListView java:793)_x000D_
10 22 16:51:34 519 32216 32216 E AndroidRuntime: 	at android widget ListView fillFromTop(ListView java:855)_x000D_
10 22 16:51:34 519 32216 32216 E AndroidRuntime: 	at android widget ListView layoutChildren(ListView java:1838)_x000D_
10 22 16:51:34 519 32216 32216 E AndroidRuntime: 	at android widget AbsListView onLayout(AbsListView java:2184)_x000D_
10 22 16:51:34 519 32216 32216 E AndroidRuntime: 	at android view View layout(View java:22844)_x000D_
10 22 16:51:34 519 32216 32216 E AndroidRuntime: 	at android view ViewGroup layout(ViewGroup java:6389)_x000D_
10 22 16:51:34 519 32216 32216 E AndroidRuntime: 	at androidx swiperefreshlayout widget SwipeRefreshLayout onLayout(SourceFile:625)_x000D_
10 22 16:51:34 519 32216 32216 E AndroidRuntime: 	at android view View layout(View java:22844)_x000D_
10 22 16:51:34 519 32216 32216 E AndroidRuntime: 	at android view ViewGroup layout(ViewGroup java:6389)_x000D_
10 22 16:51:34 519 32216 32216 E AndroidRuntime: 	at android widget LinearLayout setChildFrame(LinearLayout java:1829)_x000D_
10 22 16:51:34 519 32216 32216 E AndroidRuntime: 	at android widget LinearLayout layoutVertical(LinearLayout java:1673)_x000D_
10 22 16:51:34 519 32216 32216 E AndroidRuntime: 	at android widget LinearLayout onLayout(LinearLayout java:1582)_x000D_
10 22 16:51:34 519 32216 32216 E AndroidRuntime: 	at android view View layout(View java:22844)_x000D_
10 22 16:51:34 519 32216 32216 E AndroidRuntime: 	at android view ViewGroup layout(ViewGroup java:6389)_x000D_
10 22 16:51:34 519 32216 32216 E AndroidRuntime: 	at android widget FrameLayout layoutChildren(FrameLayout java:332)_x000D_
10 22 16:51:34 519 32216 32216 E AndroidRuntime: 	at android widget FrameLayout onLayout(FrameLayout java:270)_x000D_
10 22 16:51:34 519 32216 32216 E AndroidRuntime: 	at android view View layout(View java:22844)_x000D_
10 22 16:51:34 519 32216 32216 E AndroidRuntime: 	at android view ViewGroup layout(ViewGroup java:6389)_x000D_
10 22 16:51:34 519 32216 32216 E AndroidRuntime: 	at androidx appcompat widget ActionBarOverlayLayout onLayout(SourceFile:530)_x000D_
10 22 16:51:34 519 32216 32216 E AndroidRuntime: 	at android view View layout(View java:22844)_x000D_
10 22 16:51:34 519 32216 32216 E AndroidRuntime: 	at android view ViewGroup layout(ViewGroup java:6389)_x000D_
10 22 16:51:34 519 32216 32216 E AndroidRuntime: 	at android widget FrameLayout layoutChildren(FrameLayout java:332)_x000D_
10 22 16:51:34 519 32216 32216 E AndroidRuntime: 	at android widget FrameLayout onLayout(FrameLayout java:270)_x000D_
10 22 16:51:34 519 32216 32216 E AndroidRuntime: 	at android view View layout(View java:22844)_x000D_
10 22 16:51:34 519 32216 32216 E AndroidRuntime: 	at android view ViewGroup layout(ViewGroup java:6389)_x000D_
10 22 16:51:34 519 32216 32216 E AndroidRuntime: 	at android widget LinearLayout setChildFrame(LinearLayout java:1829)_x000D_
10 22 16:51:34 519 32216 32216 E AndroidRuntime: 	at android widget LinearLayout layoutVertical(LinearLayout java:1673)_x000D_
10 22 16:51:34 519 32216 32216 E AndroidRuntime: 	at android widget LinearLayout onLayout(LinearLayout java:1582)_x000D_
10 22 16:51:34 519 32216 32216 E AndroidRuntime: 	at android view View layout(View java:22844)_x000D_
10 22 16:51:34 519 32216 32216 E AndroidRuntime: 	at android view ViewGroup layout(ViewGroup java:6389)_x000D_
10 22 16:51:34 519 32216 32216 E AndroidRuntime: 	at android widget FrameLayout layoutChildren(FrameLayout java:332)_x000D_
10 22 16:51:34 519 32216 32216 E AndroidRuntime: 	at android widget FrameLayout onLayout(FrameLayout java:270)_x000D_
10 22 16:51:34 519 32216 32216 E AndroidRuntime: 	at android view View layout(View java:22844)_x000D_
10 22 16:51:34 519 32216 32216 E AndroidRuntime: 	at android view ViewGroup layout(ViewGroup java:6389)_x000D_
10 22 16:51:34 519 32216 32216 E AndroidRuntime: 	at net simonvt menudrawer SlidingDrawer onLayout(SourceFile:146)_x000D_
10 22 16:51:34 519 32216 32216 E AndroidRuntime: 	at android view View layout(View java:22844)_x000D_
10 22 16:51:34 519 32216 32216 E AndroidRuntime: 	at android view ViewGroup layout(ViewGroup java:6389)_x000D_
10 22 16:51:34 519 32216 32216 E AndroidRuntime: 	at android widget FrameLayout layoutChildren(FrameLayout java:332)_x000D_
10 22 16:51:34 519 32216 32216 E AndroidRuntime: 	at android widget FrameLayout onLayout(FrameLayout java:270)_x000D_
10 22 16:51:34 519 32216 32216 E AndroidRuntime: 	at com android internal policy DecorView onLayout(DecorView java:784)_x000D_
10 22 16:51:34 519 32216 32216 E AndroidRuntime: 	at android view View layout(View java:22844)_x000D_
10 22 16:51:34 519 32216 32216 E AndroidRuntime: 	at android view ViewGroup layout(ViewGroup java:6389)_x000D_
10 22 16:51:34 519 32216 32216 E AndroidRuntime: 	at android view ViewRootImpl performLayout(ViewRootImpl java:3470)_x000D_
10 22 16:51:34 519 32216 32216 E AndroidRuntime: 	at android view ViewRootImpl performTraversals(ViewRootImpl java:2938)_x000D_
10 22 16:51:34 519 32216 32216 E AndroidRuntime: 	at android view ViewRootImpl doTraversal(ViewRootImpl java:1952)_x000D_
10 22 16:51:34 519 32216 32216 E AndroidRuntime: 	at android view ViewRootImpl TraversalRunnable run(ViewRootImpl java:8171)_x000D_
10 22 16:51:34 519 32216 32216 E AndroidRuntime: 	at android view Choreographer CallbackRecord run(Choreographer java:972)_x000D_
10 22 16:51:34 519 32216 32216 E AndroidRuntime: 	at android view Choreographer doCallbacks(Choreographer java:796)_x000D_
10 22 16:51:34 519 32216 32216 E AndroidRuntime: 	at android view Choreographer doFrame(Choreographer java:731)_x000D_
10 22 16:51:34 519 32216 32216 E AndroidRuntime: 	at android view Choreographer FrameDisplayEventReceiver run(Choreographer java:957)_x000D_
10 22 16:51:34 519 32216 32216 E AndroidRuntime: 	at android os Handler handleCallback(Handler java:938)_x000D_
10 22 16:51:34 519 32216 32216 E AndroidRuntime: 	at android os Handler dispatchMessage(Handler java:99)_x000D_
10 22 16:51:34 519 32216 32216 E AndroidRuntime: 	at android os Looper loop(Looper java:223)_x000D_
10 22 16:51:34 519 32216 32216 E AndroidRuntime: 	at android app ActivityThread main(ActivityThread java:7656)_x000D_
10 22 16:51:34 519 32216 32216 E AndroidRuntime: 	at java lang reflect Method invoke(Native Method)_x000D_
10 22 16:51:34 519 32216 32216 E AndroidRuntime: 	at com android internal os RuntimeInit MethodAndArgsCaller run(RuntimeInit java:592)_x000D_
10 22 16:51:34 519 32216 32216 E AndroidRuntime: 	at com android internal os ExecInit main(ExecInit java:43)_x000D_
10 22 16:51:34 519 32216 32216 E AndroidRuntime: 	at com android internal os RuntimeInit nativeFinishInit(Native Method)_x000D_
10 22 16:51:34 519 32216 32216 E AndroidRuntime: 	at com android internal os RuntimeInit main(RuntimeInit java:399)_x000D_
10 22 16:51:34 519 32216 32216 E AndroidRuntime: Error reporting crash_x000D_
10 22 16:51:34 519 32216 32216 E AndroidRuntime: java lang RuntimeException: Bad file descriptor_x000D_
10 22 16:51:34 519 32216 32216 E AndroidRuntime: 	at android os BinderProxy transactNative(Native Method)_x000D_
10 22 16:51:34 519 32216 32216 E AndroidRuntime: 	at android os BinderProxy transact(BinderProxy java:540)_x000D_
10 22 16:51:34 519 32216 32216 E AndroidRuntime: 	at android app IActivityManager Stub Proxy handleApplicationCrash(IActivityManager java:5182)_x000D_
10 22 16:51:34 519 32216 32216 E AndroidRuntime: 	at com android internal os RuntimeInit KillApplicationHandler uncaughtException(RuntimeInit java:158)_x000D_
10 22 16:51:34 519 32216 32216 E AndroidRuntime: 	at org moire ultrasonic activity SubsonicTabActivity SubsonicUncaughtExceptionHandler uncaughtException(SourceFile:1240)_x000D_
10 22 16:51:34 519 32216 32216 E AndroidRuntime: 	at java lang ThreadGroup uncaughtException(ThreadGroup java:1073)_x000D_
10 22 16:51:34 519 32216 32216 E AndroidRuntime: 	at java lang ThreadGroup uncaughtException(ThreadGroup java:1068)_x000D_
10 22 16:51:34 519 32216 32216 E AndroidRuntime: 	at java lang Thread dispatchUncaughtException(Thread java:2203)_x000D_
10 22 16:51:34 519 32216 32216 I Process : Sending signal  PID: 32216 SIG: 9_x000D_
10 22 16:51:34 552  1377  1637 I system server: oneway function results will be dropped but finished with status OK and parcel size 4_x000D_
   </t>
  </si>
  <si>
    <t>Anuken-Mindustry-3064</t>
  </si>
  <si>
    <t>conveyor + shock mine doesn't get drawn correctly</t>
  </si>
  <si>
    <t xml:space="preserve">  Platform  :  Android iOS Mac Windows Linux _x000D_
Windows 10_x000D_
  Build  :  The build number under the title in the main menu  Required   LATEST  IS NOT A VERSION  I NEED THE EXACT BUILD NUMBER OF YOUR GAME  _x000D_
10674_x000D_
  Issue  :  Explain your issue in detail  _x000D_
conveyor(and tita conveyor) leading into a shock mine looks funky_x000D_
  image (https:  user images githubusercontent com 45698812 96868058 602df400 1422 11eb 91fe 97ef66301ebb png)_x000D_
_x000D_
  Steps to reproduce  :  How you happened across the issue  and what exactly you did to make the bug happen  _x000D_
1) place conveyor_x000D_
2) place shock mine_x000D_
3) be absolutely horrified at the sheer gamebreaking potential of this bug _x000D_
4) hope you aren t annoying anuke_x000D_
_x000D_
  Link(s) to mod(s) used  :  The mod repositories or zip files that are related to the issue  if applicable  _x000D_
none_x000D_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sandbox 2 zip (https:  github com Anuken Mindustry files 5422507 sandbox 2 zip)_x000D_
_x000D_
  Crash report  :  The contents of relevant crash report files  REQUIRED if you are reporting a crash  _x000D_
none_x000D_
   _x000D_
_x000D_
 Place an X (no spaces) between the brackets to confirm that you have read the line below    _x000D_
   X    I have searched the closed and open issues to make sure that this problem has not already been reported   _x000D_
</t>
  </si>
  <si>
    <t>Anuken-Mindustry-3062</t>
  </si>
  <si>
    <t>Breaking/replacing mass driver does weird things</t>
  </si>
  <si>
    <t xml:space="preserve">  Platform  :  Android iOS Mac Windows Linux _x000D_
Windows 10_x000D_
_x000D_
  Build  :  The build number under the title in the main menu  Required   LATEST  IS NOT A VERSION  I NEED THE EXACT BUILD NUMBER OF YOUR GAME  _x000D_
be 10674_x000D_
_x000D_
  Issue  :  Explain your issue in detail  _x000D_
If you delete the exit end of a mass driver then replace it offset by one tile  the entrance end of the mass driver will turn to the new location of the mass driver but won t fire _x000D_
_x000D_
 probably related to  2827 _x000D_
  Steps to reproduce  :  How you happened across the issue  and what exactly you did to make the bug happen  _x000D_
1) place normal mass drivers_x000D_
  image (https:  user images githubusercontent com 45698812 96860052 25728e80 1417 11eb 9a32 b64dff8227e8 png)_x000D_
2) break second mass driver and replace it but offset_x000D_
  image (https:  user images githubusercontent com 45698812 96860101 33281400 1417 11eb 8fbf 45754022f34f png)_x000D_
3) first mass driver will not fire despite having a blue circle  _x000D_
_x000D_
  Link(s) to mod(s) used  :  The mod repositories or zip files that are related to the issue  if applicable  _x000D_
none_x000D_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sandboxx zip (https:  github com Anuken Mindustry files 5422053 sandboxx zip)_x000D_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</si>
  <si>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Anuken-Mindustry-3059</t>
  </si>
  <si>
    <t>Power Insufficiency but i have 75 generators????</t>
  </si>
  <si>
    <t xml:space="preserve">  Platform  : Windows_x000D_
_x000D_
  Build  : Release Build 104 0_x000D_
_x000D_
  Issue  : I have 50 Thermal generators on a hot surface and have 750k power but it wont power my factories plus another 750k because of generators and still no change_x000D_
_x000D_
  Steps to reproduce  : I got the bug because i think i had too many nodes_x000D_
  Link(s) to mod(s) used  : No mods were included in the process_x000D_
  Save file  : I Github does not support Msav files so cant really answer this one_x000D_
_x000D_
  Crash report  : No crashes_x000D_
_x000D_
   _x000D_
_x000D_
 Place an X (no spaces) between the brackets to confirm that you have read the line below    _x000D_
   X    I have searched the closed and open issues to make sure that this problem has not already been reported   _x000D_
</t>
  </si>
  <si>
    <t>TeamNewPipe-NewPipe-4593</t>
  </si>
  <si>
    <t>Background Player: when buffering, the in-app bottom player bar shows play button instead</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</si>
  <si>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 song and try to simulate a network disconnection  _x000D_
_x000D_
     If you can t cause the bug to show up again reliably (and hence don t have a proper set of steps to give us)  please still try to give as many details as possible on how you think you encountered the bug     _x000D_
_x000D_
_x000D_
_x000D_
    Actual behaviour_x000D_
The player enters buffering and the NewPipe notification shows buffering icon correctly  However in app  the bottom player bar shows a clickable play button  _x000D_
_x000D_
_x000D_
_x000D_
    Expected behavior_x000D_
When buffering  the bottom player bar in app should show buffering loading or relevant icons indicating that the player is buffering  and shouldn t be clickable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20201022 075957 (https:  user images githubusercontent com 17796518 96802882 6382a900 143d 11eb 8243 1fd620cbd5ec jpg)_x000D_
_x000D_
_x000D_
_x000D_
_x000D_
    Logs_x000D_
     If your bug includes a crash (where you re shown the Error Report page with a bunch of info)  tap on  Copy formatted report  at the bottom and paste it here:    _x000D_
_x000D_
     That s right  here     _x000D_
 none _x000D_
_x000D_
_x000D_
_x000D_
     please fill this out when you do not provide a log generate by NewPipe    _x000D_
    Device info_x000D_
_x000D_
   Android version Custom ROM version:  9 Havoc 2 8_x000D_
   Device model: SM N910G_x000D_
</t>
  </si>
  <si>
    <t>TeamNewPipe-NewPipe-4591</t>
  </si>
  <si>
    <t>Background Player: current song won't replay when user plays again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</si>
  <si>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 song in background   from the beginning   till finish  _x000D_
2  Play the song again by clicking the play to background option_x000D_
_x000D_
     If you can t cause the bug to show up again reliably (and hence don t have a proper set of steps to give us)  please still try to give as many details as possible on how you think you encountered the bug     _x000D_
_x000D_
_x000D_
_x000D_
    Actual behaviour_x000D_
After the current song ended  the player cannot replay the song when user click to play the song again  It seems like the play in background button plays from last location  because if you jump the time (seek) and let the song play finish  pressing the play to background button will actually play from the time that you seek just now  _x000D_
_x000D_
_x000D_
    Expected behavior_x000D_
     Tell us what you expect to happen     _x000D_
The player should replay the song from beginning when user clicks to play again in background  if the song has finished playing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streamable com wodfdn_x000D_
_x000D_
    Logs_x000D_
     If your bug includes a crash (where you re shown the Error Report page with a bunch of info)  tap on  Copy formatted report  at the bottom and paste it here:    _x000D_
_x000D_
     That s right  here     _x000D_
 none _x000D_
_x000D_
_x000D_
_x000D_
     please fill this out when you do not provide a log generate by NewPipe    _x000D_
    Device info_x000D_
_x000D_
   Android version Custom ROM version: 9 Havoc 2 8_x000D_
   Device model: SM N910G_x000D_
</t>
  </si>
  <si>
    <t>TeamNewPipe-NewPipe-4590</t>
  </si>
  <si>
    <t>Background Player: notification seek bar and time progress stuck when player plays other songs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</si>
  <si>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Play a YouTube song with background player  _x000D_
2  Go back to search another song and play it in background player  _x000D_
3  Swipe down the notification panel  the NewPipe notification will have a stucked seek bar and time progress  _x000D_
_x000D_
     If you can t cause the bug to show up again reliably (and hence don t have a proper set of steps to give us)  please still try to give as many details as possible on how you think you encountered the bug     _x000D_
_x000D_
_x000D_
_x000D_
    Actual behaviour_x000D_
The NewPipe notification will have a stucked seek bar and time progress from the previous song  and will remain stuck unless the player is being closed and activated again  _x000D_
_x000D_
    Expected behavior_x000D_
The NewPipe notification should have the current song s time and playing progress after changing songs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streamable com fpou5o_x000D_
_x000D_
    Logs_x000D_
     If your bug includes a crash (where you re shown the Error Report page with a bunch of info)  tap on  Copy formatted report  at the bottom and paste it here:    _x000D_
_x000D_
     That s right  here     _x000D_
_x000D_
 none _x000D_
_x000D_
_x000D_
_x000D_
     please fill this out when you do not provide a log generate by NewPipe    _x000D_
    Device info_x000D_
_x000D_
   Android version Custom ROM version: 9 Havoc 2 8_x000D_
   Device model: SM N910G_x000D_
</t>
  </si>
  <si>
    <t>AppsFlyerSDK-appsflyer-react-native-plugin-202</t>
  </si>
  <si>
    <t>[Android] disableAdvertisingIdentifier and disableCollectASA cause fatal errors</t>
  </si>
  <si>
    <t xml:space="preserve">_x000D_
_x000D_
  Report_x000D_
_x000D_
   Plugin Version_x000D_
_x000D_
6 0 50_x000D_
_x000D_
   On what Platform are you having the issue _x000D_
_x000D_
Android_x000D_
_x000D_
   What did you do _x000D_
_x000D_
Using either of the following without protecting them from running on Android causes fatal errors:_x000D_
   _x000D_
appsFlyer disableAdvertisingIdentifier(true) _x000D_
appsFlyer disableCollectASA(true) _x000D_
   _x000D_
_x000D_
   What did you expect to happen _x000D_
_x000D_
It would be nice if it just simply did nothing  maybe with a warning  instead of causing your app to crash _x000D_
_x000D_
   What happened instead _x000D_
_x000D_
App crash_x000D_
_x000D_
   Please provide any other relevant information _x000D_
_x000D_
I realize that it is documented that these are iOS only  However  it seems like at the very least it should not crash  A Warning would be nice _x000D_
</t>
  </si>
  <si>
    <t>doublesymmetry-react-native-track-player-1052</t>
  </si>
  <si>
    <t>[iOS] Crashes on long URLs</t>
  </si>
  <si>
    <t xml:space="preserve">  Describe the bug  _x000D_
Long URLs (in my case they are file:    paths) crash when adding to  TrackPlayer add()  _x000D_
_x000D_
  To Reproduce  _x000D_
Create long file paths and try to add them to the queue _x000D_
_x000D_
  Environment (please complete the following information):  _x000D_
   _x000D_
npx react native info_x000D_
info Fetching system and libraries information   _x000D_
System:_x000D_
    OS: macOS 10 15 6_x000D_
    CPU: (8) x64 Intel(R) Core(TM) i7 4770HQ CPU   2 20GHz_x000D_
    Memory: 671 58 MB   16 00 GB_x000D_
    Shell: 3 2 57    bin bash_x000D_
  Binaries:_x000D_
    Node: 14 13 1    usr local bin node_x000D_
    Yarn: 1 22 10    usr local bin yarn_x000D_
    npm: 6 14 8    usr local bin npm_x000D_
    Watchman: 4 9 0    usr local bin watchman_x000D_
  Managers:_x000D_
    CocoaPods: 1 9 3    usr local bin pod_x000D_
  SDKs:_x000D_
    iOS SDK:_x000D_
      Platforms: iOS 14 0  DriverKit 19 0  macOS 10 15  tvOS 14 0  watchOS 7 0_x000D_
    Android SDK: Not Found_x000D_
  IDEs:_x000D_
    Android Studio: Not Found_x000D_
    Xcode: 12 0 1 12A7300    usr bin xcodebuild_x000D_
  Languages:_x000D_
    Java: 11 0 2    usr bin javac_x000D_
    Python: 2 7 16    usr bin python_x000D_
  npmPackages:_x000D_
     react native community cli: Not Found_x000D_
    react: 16 13 1    16 13 1 _x000D_
    react native: 0 63 3    0 63 3 _x000D_
    react native macos: Not Found_x000D_
  npmGlobalPackages:_x000D_
     react native : Not Found_x000D_
   _x000D_
Crashing on iPhone SE_x000D_
_x000D_
  Code  _x000D_
 TrackPlayer add() _x000D_
_x000D_
I ve worked around it by using checksums of the file names in my caching layer but it sucks to have code in there that s only there to deal with these bugs   </t>
  </si>
  <si>
    <t>forrestguice-SuntimesWidget-437</t>
  </si>
  <si>
    <t>AlarmClockActivity crashes when notifications are disabled</t>
  </si>
  <si>
    <t xml:space="preserve">The SuntimesAlarms activity crashes when notifications are disabled  Notifications are required for alarms to function correctly so the app displays a warning when they are disabled  The crash (NPE) occurs while trying to show the  warning snackbar  _x000D_
_x000D_
tested w  Suntimes v0 13 1_x000D_
</t>
  </si>
  <si>
    <t>Anuken-Mindustry-3052</t>
  </si>
  <si>
    <t>Poly crashes the game</t>
  </si>
  <si>
    <t xml:space="preserve">  Platform  :  Windows _x000D_
_x000D_
  Build  :  beta build 109 _x000D_
_x000D_
  Issue  :  just a crash _x000D_
_x000D_
  Steps to reproduce  : _x000D_
1) enter v6 mindustry ru_x000D_
2) see the building drone(poly)_x000D_
3)        _x000D_
4) crash _x000D_
_x000D_
_x000D_
  Link(s) to mod(s) used  :  no mods _x000D_
_x000D_
  Save file  :  how to get the server save  _x000D_
_x000D_
  Crash report  : _x000D_
   _x000D_
Version: beta build 109_x000D_
OS: Windows 10 x64_x000D_
Java Version: 1 8 0 72_x000D_
Java Architecture: 64_x000D_
0 Mods_x000D_
_x000D_
java lang NullPointerException_x000D_
	at arc math geom Position within(Position java:41)_x000D_
	at mindustry gen BuilderLegsUnit draw(BuilderLegsUnit java:1749)_x000D_
	at mindustry entities EntityGroup lambda draw 0(EntityGroup java:83)_x000D_
	at mindustry entities EntityGroup each(EntityGroup java:67)_x000D_
	at mindustry entities EntityGroup draw(EntityGroup java:80)_x000D_
	at mindustry core Renderer draw(Renderer java:260)_x000D_
	at mindustry core Renderer update(Renderer java:91)_x000D_
	at arc ApplicationCore update(ApplicationCore java:36)_x000D_
	at mindustry ClientLauncher update(ClientLauncher java:151)_x000D_
	at arc backend sdl SdlApplication listen(SdlApplication java:170)_x000D_
	at arc backend sdl SdlApplication loop(SdlApplication java:158)_x000D_
	at arc backend sdl SdlApplication  init (SdlApplication java:52)_x000D_
	at mindustry desktop DesktopLauncher main(DesktopLauncher java:36)_x000D_
   _x000D_
_x000D_
_x000D_
   _x000D_
_x000D_
 Place an X (no spaces) between the brackets to confirm that you have read the line below    _x000D_
   X    I have searched the closed and open issues to make sure that this problem has not already been reported   _x000D_
</t>
  </si>
  <si>
    <t>Anuken-Mindustry-3050</t>
  </si>
  <si>
    <t>Flares use a Bomber unit esq ai, making them practically useless</t>
  </si>
  <si>
    <t xml:space="preserve">  Platform  : windows 10 64 bit_x000D_
_x000D_
  Build  :  The build number under the title in the main menu  Required   LATEST  IS NOT A VERSION  I NEED THE EXACT BUILD NUMBER OF YOUR GAME   Bleeding edge 10655_x000D_
_x000D_
  Issue  :  Explain your issue in detail  _x000D_
flares use the same ai that horizons do (bomber type ai)  darting across enemy bases shooting while above them  causing them to only be dealing damage about 5 10  of the time _x000D_
_x000D_
  Steps to reproduce  :  How you happened across the issue  and what exactly you did to make the bug happen  _x000D_
have a flare attacking something _x000D_
_x000D_
  Link(s) to mod(s) used  :  The mod repositories or zip files that are related to the issue  if applicable  _x000D_
none_x000D_
_x000D_
  Save file  : N A_x000D_
_x000D_
  Crash report  :  The contents of relevant crash report files  REQUIRED if you are reporting a crash  _x000D_
not a crash_x000D_
_x000D_
   _x000D_
_x000D_
 Place an X (no spaces) between the brackets to confirm that you have read the line below    _x000D_
   X    I have searched the closed and open issues to make sure that this problem has not already been reported   _x000D_
</t>
  </si>
  <si>
    <t>TeamNewPipe-NewPipe-4582</t>
  </si>
  <si>
    <t>installing correction,i now can install newpipe after uninstall the old version,then install version 0.20.1</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</si>
  <si>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I checked  but didn t find any duplicates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version:_x000D_
   Device model:_x000D_
</t>
  </si>
  <si>
    <t>TeamNewPipe-NewPipe-4580</t>
  </si>
  <si>
    <t>new version 0.20.1</t>
  </si>
  <si>
    <t xml:space="preserve">i can not install the new version 0 20 1_x000D_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I checked  but didn t find any duplicates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version:_x000D_
   Device model:_x000D_
</t>
  </si>
  <si>
    <t>material-components-material-components-android-1814</t>
  </si>
  <si>
    <t>[Snackbar] InflateException thrown on obfuscated builds</t>
  </si>
  <si>
    <t xml:space="preserve">  Description:   With ProGuard enabled (minifyEnabled and shrinkResources both true)  the Snackbar component crashes with the following exception: _x000D_
_x000D_
   _x000D_
android view InflateException: Binary XML file line  1 in my package name:layout mtrl layout snackbar include: Binary XML file line  1 in my package name:layout mtrl layout snackbar include: Error inflating class x_x000D_
    Caused by: android view InflateException: Binary XML file line  1 in my package name:layout mtrl layout snackbar include: Error inflating class x_x000D_
    Caused by: java lang ClassNotFoundException: android view x_x000D_
        at java lang Class classForName(Native Method)_x000D_
        at java lang Class forName(Class java:454)_x000D_
        at android view LayoutInflater createView(LayoutInflater java:815)_x000D_
        at android view LayoutInflater createView(LayoutInflater java:776)_x000D_
        at android view LayoutInflater onCreateView(LayoutInflater java:913)_x000D_
        at com android internal policy PhoneLayoutInflater onCreateView(PhoneLayoutInflater java:68)_x000D_
        at android view LayoutInflater onCreateView(LayoutInflater java:930)_x000D_
        at android view LayoutInflater onCreateView(LayoutInflater java:950)_x000D_
        at android view LayoutInflater createViewFromTag(LayoutInflater java:1004)_x000D_
        at android view LayoutInflater createViewFromTag(LayoutInflater java:961)_x000D_
        at android view LayoutInflater inflate(LayoutInflater java:659)_x000D_
        at android view LayoutInflater inflate(LayoutInflater java:534)_x000D_
   _x000D_
_x000D_
  Expected behavior:   Showing a Snackbar should not crash _x000D_
_x000D_
  Source code:   _x000D_
   Snackbar make(view   text   Snackbar LENGTH SHORT) show()   _x000D_
_x000D_
  Android API version:   28  29_x000D_
_x000D_
  Material Library version:   The issue is present both in  1 3 0 alpha03  and  1 2 1  _x000D_
_x000D_
  Device:   Samsung Galaxy Note 10   Google Pixel 3  OnePlus 5</t>
  </si>
  <si>
    <t>nextcloud-android-7121</t>
  </si>
  <si>
    <t>Client crashes periodically</t>
  </si>
  <si>
    <t xml:space="preserve">    Steps to reproduce_x000D_
1  have three accounts enabled  some of which have large number of files  one account has auto upload enabled_x000D_
2  connect to several calendars_x000D_
3  leave running in the background_x000D_
_x000D_
    Expected behaviour_x000D_
The app used not to crash _x000D_
_x000D_
    Actual behaviour_x000D_
Crashes with the trace below_x000D_
_x000D_
    Can you reproduce this problem on https:  try nextcloud com _x000D_
_x000D_
didn t try that yet_x000D_
    Environment data_x000D_
Android version: 9_x000D_
_x000D_
Device model: Samsung s9plus_x000D_
_x000D_
Stock or customized system: rooted stock _x000D_
_x000D_
Nextcloud app version:_x000D_
_x000D_
Nextcloud server version:_x000D_
_x000D_
Reverse proxy:_x000D_
_x000D_
    Logs_x000D_
     Web server error log_x000D_
   _x000D_
Insert your webserver log here_x000D_
   _x000D_
_x000D_
     Nextcloud log (data nextcloud log)_x000D_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8JmuYUZFTg3VcGOCi4Mqxw   base apk   nativeLibraryDirectories   data app com nextcloud client 8JmuYUZFTg3VcGOCi4Mqxw   lib arm64   data app com nextcloud client 8JmuYUZFTg3VcGOCi4Mqxw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30130190_x000D_
Build flavor: gplay_x000D_
_x000D_
             DEVICE INFORMATION             _x000D_
Brand: samsung_x000D_
Device: star2lte_x000D_
Model: SM G965F_x000D_
Id: PPR1 180610 011_x000D_
Product: star2ltexx_x000D_
_x000D_
             FIRMWARE             _x000D_
SDK: 28_x000D_
Release: 9_x000D_
Incremental: G965FXXU5CSF2_x000D_
_x000D_
   _x000D_
_x000D_
</t>
  </si>
  <si>
    <t>TeamNewPipe-NewPipe-4572</t>
  </si>
  <si>
    <t>unable to play any video: "YouTube did not provide player config even after three attempts" | "Could not parse website" error on every video</t>
  </si>
  <si>
    <t xml:space="preserve">  Fixed: Update to 0 20 2  You can update using  TeamNewPipe s F Droid repository (https:  newpipe schabi org blog announcement f droid pinned f droid repo ) or the GitHub releases page  It should be available on the official F Droid repository in the next days _x000D_
_x000D_
Newpipe stopped working  probably some changes server side on YouTube  I don t known  suddenly I can t play any video (not even touched my phone today and yesterday was playing fine  Enough talking here  the error report:_x000D_
_x000D_
   Exception_x000D_
    User Action:   requested stream_x000D_
    Request:   https:  www youtube com watch v wPsom6R8rvo_x000D_
    Content Country:   US_x000D_
    Content Language:   en US_x000D_
    App Language:   en US_x000D_
    Service:   YouTube_x000D_
    Version:   0 20 1_x000D_
    OS:   Linux Android 7 1 1   25_x000D_
 details  summary  b Crash log   b   summary  p _x000D_
_x000D_
   _x000D_
org schabi newpipe extractor exceptions ParsingException: YouTube did not provide player config even after three attempts_x000D_
	at org schabi newpipe extractor services youtube extractors YoutubeStreamExtractor onFetchPage(YoutubeStreamExtractor java:664)_x000D_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call(lambda)_x000D_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_x000D_
   _x000D_
  details _x000D_
 hr _x000D_
_x000D_
I don t think this is a crash</t>
  </si>
  <si>
    <t>Anuken-Mindustry-3047</t>
  </si>
  <si>
    <t>yeah.....</t>
  </si>
  <si>
    <t xml:space="preserve">  Platform  :   Android iOS Mac Windows Linux _x000D_
Windows 10_x000D_
  Build  :  The build number under the title in the main menu  Required   LATEST  IS NOT A VERSION  I NEED THE EXACT BUILD NUMBER OF YOUR GAME  _x000D_
109 beta_x000D_
  Issue  :  Explain your issue in detail  _x000D_
you know i cant place 1x1 and 2x2 blocks on any side of the edge of the map_x000D_
  Steps to reproduce  :  How you happened across the issue  and what exactly you did to make the bug happen  _x000D_
since 107 beta  not sure if it is bug or not_x000D_
  Link(s) to mod(s) used  :  The mod repositories or zip files that are related to the issue  if applicable  _x000D_
no mods used_x000D_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bug 2 (https:  user images githubusercontent com 73202064 96651932 7725f680 12fb 11eb 9e90 2a740423a5cd jpg)_x000D_
  bug (https:  user images githubusercontent com 73202064 96651934 7725f680 12fb 11eb 871d b11a7c76f9c4 jpg)_x000D_
  Crash report  :  The contents of relevant crash report files  REQUIRED if you are reporting a crash  _x000D_
  Other  _x000D_
if your dont understand what am I talking about  DM me on discord _x000D_
Elactic 9820_x000D_
   _x000D_
_x000D_
 Place an X (no spaces) between the brackets to confirm that you have read the line below    _x000D_
   X    I have searched the closed and open issues to make sure that this problem has not already been reported   _x000D_
</t>
  </si>
  <si>
    <t>Anuken-Mindustry-3045</t>
  </si>
  <si>
    <t>Turret coolants appearing extra time</t>
  </si>
  <si>
    <t xml:space="preserve">  Platform  : Windows_x000D_
_x000D_
  Build  : 10649_x000D_
_x000D_
  Issue  : Turret coolant requirements are appearing an extra time in the block information dialog  Also  liquid turrets now appear to have coolant in the requirements  though it appears it does not actually help increase fire rate of the turret _x000D_
  image (https:  user images githubusercontent com 69776835 96625030 7886fd00 12c2 11eb 9aad 33a9099ddf83 png)_x000D_
  image (https:  user images githubusercontent com 69776835 96625271 cf8cd200 12c2 11eb 9093 b88d2446da2d png)_x000D_
_x000D_
  Steps to reproduce  : View turret information dialog _x000D_
_x000D_
  Link(s) to mod(s) used  : No mods were used_x000D_
_x000D_
  Save file  :  savefile zip (https:  github com Anuken Mindustry files 5410601 savefile zip)_x000D_
  Crash report  : Not a crash_x000D_
_x000D_
   _x000D_
_x000D_
 Place an X (no spaces) between the brackets to confirm that you have read the line below    _x000D_
   x    I have searched the closed and open issues to make sure that this problem has not already been reported   _x000D_
</t>
  </si>
  <si>
    <t>TeamNewPipe-NewPipe-legacy-41</t>
  </si>
  <si>
    <t>Pause/Play symbol issues</t>
  </si>
  <si>
    <t xml:space="preserve">    Version_x000D_
     Which version are you using  Hopefully the latest  We just told you that above     _x000D_
  Newpipe Legacy 0 19 8_x000D_
  Tablet is Arnova WM8850 mid  with Android 4 1 1 JB Ver1 3 5 20130322 068719  The screen width is 1024x600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Playing any video  the pause play button has a strange symbol behind  It also is unresponsive unless you tap in the border of the box of the button  if you tap in the center  it does nothing _x000D_
_x000D_
    Expected behavior_x000D_
     Tell us what you expect to happen     _x000D_
It works as always  you can play and pause without issue _x000D_
_x000D_
    Actual behaviour_x000D_
     Tell us what happens instead     _x000D_
Button is unresponsive unless you press the border of the box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This is like i see when the pause symbol is shown  With the play symbol is behind  but you almost can t see it  but is there behind _x000D_
  Screenshot 2020 10 20 19 08 22 (https:  user images githubusercontent com 1467366 96624140 a4c76b80 130c 11eb 8505 a721f9e1a8c6 png)_x000D_
_x000D_
This is a screenshot of the symbol behind along i managed to do _x000D_
  Screenshot 2020 10 20 19 11 52 (https:  user images githubusercontent com 1467366 96624811 9463c080 130d 11eb 92c9 d25102e116e4 png)_x000D_
_x000D_
The red part is the aprox  responsive part of the button  if you press in the middle  it does nothing (as pause or as play) but you can push the red part and it does the job _x000D_
  Screenshot 2020 10 20 19 11 37 (https:  user images githubusercontent com 1467366 96624826 9c236500 130d 11eb 8f83 b7873861ad1e png)_x000D_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If needed   _x000D_
_x000D_
     That s right  here     _x000D_
</t>
  </si>
  <si>
    <t>kunalpat25-WCEVISITCOVID19-7</t>
  </si>
  <si>
    <t>App crashing after clicking username in SymptomaticUsersListActivity</t>
  </si>
  <si>
    <t xml:space="preserve">How to generate:_x000D_
1  Login as admin_x000D_
2  Click on symptoms_x000D_
3  Go to any symptom_x000D_
4  Click on any username  it crashes </t>
  </si>
  <si>
    <t>gsantner-markor-1100</t>
  </si>
  <si>
    <t>fix crashing file search dialog caused by null object</t>
  </si>
  <si>
    <t>Commit 05c92f074e7b6af2a8b02e344e6fdedb143ba4a1 introduced a bug which made Markor crash when pressing the file search button in the explorer  The reason is that  dopt data  is not initialized and remains null  but it is queried at several places in  SearchOrCustomTextDialog   leading to  NullPointerException s or  TargetInvocationException s _x000D_
_x000D_
This PR fixes the problem _x000D_
_x000D_
( harshad1 I am not sure about the other  DialogOptions  attributes which are not initialized any more since the commit  maybe they might cause hidden bugs at other places  too  but maybe not )</t>
  </si>
  <si>
    <t>mh--corona-warn-companion-android-66</t>
  </si>
  <si>
    <t>App start-loops when enabling microg without having su</t>
  </si>
  <si>
    <t xml:space="preserve">First  let me thank you for this amazing app _x000D_
_x000D_
I am on an unrooted phone  When I open the app and select microg  the app does not open  and logcat shows an endless loop of the app opening  doing  su   requesting the database  crashing  opening      _x000D_
_x000D_
The only way out is to delete all app data in android settings _x000D_
_x000D_
_x000D_
   Logcat output_x000D_
_x000D_
   _x000D_
10 20 14:41:21 152  8077  8077 D MicroGDbOnDisk: Trying to copy microG database_x000D_
10 20 14:41:21 156  8077  8077 W System err: java io IOException: Cannot run program  su : error 2  No such file or directory_x000D_
10 20 14:41:21 158  8077  8077 W System err: 	at java lang ProcessBuilder start(ProcessBuilder java:1050)_x000D_
10 20 14:41:21 158  8077  8077 W System err: 	at java lang Runtime exec(Runtime java:699)_x000D_
10 20 14:41:21 158  8077  8077 W System err: 	at java lang Runtime exec(Runtime java:529)_x000D_
10 20 14:41:21 158  8077  8077 W System err: 	at java lang Runtime exec(Runtime java:426)_x000D_
10 20 14:41:21 158  8077  8077 W System err: 	at org tosl coronawarncompanion gmsreadout Sudo sudo(Sudo java:45)_x000D_
10 20 14:41:21 158  8077  8077 W System err: 	at org tosl coronawarncompanion microgreadout MicroGDbOnDisk copyFromGMS(MicroGDbOnDisk java:70)_x000D_
10 20 14:41:21 158  8077  8077 W System err: 	at org tosl coronawarncompanion microgreadout MicroGDbOnDisk getRpisFromContactDB(MicroGDbOnDisk java:94)_x000D_
10 20 14:41:21 158  8077  8077 W System err: 	at org tosl coronawarncompanion MainActivity onCreate(MainActivity java:318)_x000D_
10 20 14:41:21 158  8077  8077 W System err: 	at android app Activity performCreate(Activity java:8000)_x000D_
10 20 14:41:21 158  8077  8077 W System err: 	at android app Activity performCreate(Activity java:7984)_x000D_
10 20 14:41:21 158  8077  8077 W System err: 	at android app Instrumentation callActivityOnCreate(Instrumentation java:1309)_x000D_
10 20 14:41:21 158  8077  8077 W System err: 	at android app ActivityThread performLaunchActivity(ActivityThread java:3422)_x000D_
10 20 14:41:21 158  8077  8077 W System err: 	at android app ActivityThread handleLaunchActivity(ActivityThread java:3601)_x000D_
10 20 14:41:21 158  8077  8077 W System err: 	at android app servertransaction LaunchActivityItem execute(LaunchActivityItem java:85)_x000D_
10 20 14:41:21 158  8077  8077 W System err: 	at android app servertransaction TransactionExecutor executeCallbacks(TransactionExecutor java:135)_x000D_
10 20 14:41:21 158  8077  8077 W System err: 	at android app servertransaction TransactionExecutor execute(TransactionExecutor java:95)_x000D_
10 20 14:41:21 158  8077  8077 W System err: 	at android app ActivityThread H handleMessage(ActivityThread java:2066)_x000D_
10 20 14:41:21 158  8077  8077 W System err: 	at android os Handler dispatchMessage(Handler java:106)_x000D_
10 20 14:41:21 158  8077  8077 W System err: 	at android os Looper loop(Looper java:223)_x000D_
10 20 14:41:21 158  8077  8077 W System err: 	at android app ActivityThread main(ActivityThread java:7656)_x000D_
10 20 14:41:21 158  8077  8077 W System err: 	at java lang reflect Method invoke(Native Method)_x000D_
10 20 14:41:21 158  8077  8077 W System err: 	at com android internal os RuntimeInit MethodAndArgsCaller run(RuntimeInit java:592)_x000D_
10 20 14:41:21 158  8077  8077 W System err: 	at com android internal os ExecInit main(ExecInit java:43)_x000D_
10 20 14:41:21 158  8077  8077 W System err: 	at com android internal os RuntimeInit nativeFinishInit(Native Method)_x000D_
10 20 14:41:21 158  8077  8077 W System err: 	at com android internal os RuntimeInit main(RuntimeInit java:399)_x000D_
10 20 14:41:21 158  8077  8077 W System err: Caused by: java io IOException: error 2  No such file or directory_x000D_
10 20 14:41:21 158  8077  8077 W System err: 	at java lang UNIXProcess forkAndExec(Native Method)_x000D_
10 20 14:41:21 158  8077  8077 W System err: 	at java lang UNIXProcess  init (UNIXProcess java:133)_x000D_
10 20 14:41:21 158  8077  8077 W System err: 	at java lang ProcessImpl start(ProcessImpl java:141)_x000D_
10 20 14:41:21 158  8077  8077 W System err: 	at java lang ProcessBuilder start(ProcessBuilder java:1029)_x000D_
10 20 14:41:21 158  8077  8077 W System err: 	    24 more_x000D_
10 20 14:41:21 158  8077  8077 D MicroGDbOnDisk: Result from trying to copy LevelDB: _x000D_
10 20 14:41:21 158  8077  8077 E MicroGDbOnDisk: ERROR: Super User rights not granted _x000D_
10 20 14:41:21 160  8077  8077 E SQLiteLog: (14) cannot open file at line 38589 of  b2325a6e1c _x000D_
10 20 14:41:21 160  8077  8077 E SQLiteLog: (14) os unix c:38589: (2) open( storage emulated 10 Android data org tosl warnappcompanion cache exposure db )   _x000D_
10 20 14:41:21 166  8077  8077 E SQLiteDatabase: Failed to open database   storage emulated 10 Android data org tosl warnappcompanion cache exposure db   _x000D_
10 20 14:41:21 166  8077  8077 E SQLiteDatabase: android database sqlite SQLiteCantOpenDatabaseException: Cannot open database   storage emulated 10 Android data org tosl warnappcompanion cache exposure db  : File  storage emulated 10 Android data org tosl warnappcompanion cache exposure db  doesn t exist_x000D_
10 20 14:41:21 166  8077  8077 E SQLiteDatabase: 	at android database sqlite SQLiteConnection open(SQLiteConnection java:252)_x000D_
10 20 14:41:21 166  8077  8077 E SQLiteDatabase: 	at android database sqlite SQLiteConnection open(SQLiteConnection java:205)_x000D_
10 20 14:41:21 166  8077  8077 E SQLiteDatabase: 	at android database sqlite SQLiteConnectionPool openConnectionLocked(SQLiteConnectionPool java:505)_x000D_
10 20 14:41:21 166  8077  8077 E SQLiteDatabase: 	at android database sqlite SQLiteConnectionPool open(SQLiteConnectionPool java:206)_x000D_
10 20 14:41:21 166  8077  8077 E SQLiteDatabase: 	at android database sqlite SQLiteConnectionPool open(SQLiteConnectionPool java:198)_x000D_
10 20 14:41:21 166  8077  8077 E SQLiteDatabase: 	at android database sqlite SQLiteDatabase openInner(SQLiteDatabase java:918)_x000D_
10 20 14:41:21 166  8077  8077 E SQLiteDatabase: 	at android database sqlite SQLiteDatabase open(SQLiteDatabase java:898)_x000D_
10 20 14:41:21 166  8077  8077 E SQLiteDatabase: 	at android database sqlite SQLiteDatabase openDatabase(SQLiteDatabase java:789)_x000D_
10 20 14:41:21 166  8077  8077 E SQLiteDatabase: 	at android database sqlite SQLiteDatabase openDatabase(SQLiteDatabase java:736)_x000D_
10 20 14:41:21 166  8077  8077 E SQLiteDatabase: 	at org tosl coronawarncompanion microgreadout MicroGDbOnDisk getRpisFromContactDB(MicroGDbOnDisk java:96)_x000D_
10 20 14:41:21 166  8077  8077 E SQLiteDatabase: 	at org tosl coronawarncompanion MainActivity onCreate(MainActivity java:318)_x000D_
10 20 14:41:21 166  8077  8077 E SQLiteDatabase: 	at android app Activity performCreate(Activity java:8000)_x000D_
10 20 14:41:21 166  8077  8077 E SQLiteDatabase: 	at android app Activity performCreate(Activity java:7984)_x000D_
10 20 14:41:21 166  8077  8077 E SQLiteDatabase: 	at android app Instrumentation callActivityOnCreate(Instrumentation java:1309)_x000D_
10 20 14:41:21 166  8077  8077 E SQLiteDatabase: 	at android app ActivityThread performLaunchActivity(ActivityThread java:3422)_x000D_
10 20 14:41:21 166  8077  8077 E SQLiteDatabase: 	at android app ActivityThread handleLaunchActivity(ActivityThread java:3601)_x000D_
10 20 14:41:21 166  8077  8077 E SQLiteDatabase: 	at android app servertransaction LaunchActivityItem execute(LaunchActivityItem java:85)_x000D_
10 20 14:41:21 166  8077  8077 E SQLiteDatabase: 	at android app servertransaction TransactionExecutor executeCallbacks(TransactionExecutor java:135)_x000D_
10 20 14:41:21 166  8077  8077 E SQLiteDatabase: 	at android app servertransaction TransactionExecutor execute(TransactionExecutor java:95)_x000D_
10 20 14:41:21 166  8077  8077 E SQLiteDatabase: 	at android app ActivityThread H handleMessage(ActivityThread java:2066)_x000D_
10 20 14:41:21 166  8077  8077 E SQLiteDatabase: 	at android os Handler dispatchMessage(Handler java:106)_x000D_
10 20 14:41:21 166  8077  8077 E SQLiteDatabase: 	at android os Looper loop(Looper java:223)_x000D_
10 20 14:41:21 166  8077  8077 E SQLiteDatabase: 	at android app ActivityThread main(ActivityThread java:7656)_x000D_
10 20 14:41:21 166  8077  8077 E SQLiteDatabase: 	at java lang reflect Method invoke(Native Method)_x000D_
10 20 14:41:21 166  8077  8077 E SQLiteDatabase: 	at com android internal os RuntimeInit MethodAndArgsCaller run(RuntimeInit java:592)_x000D_
10 20 14:41:21 166  8077  8077 E SQLiteDatabase: 	at com android internal os ExecInit main(ExecInit java:43)_x000D_
10 20 14:41:21 166  8077  8077 E SQLiteDatabase: 	at com android internal os RuntimeInit nativeFinishInit(Native Method)_x000D_
10 20 14:41:21 166  8077  8077 E SQLiteDatabase: 	at com android internal os RuntimeInit main(RuntimeInit java:399)_x000D_
10 20 14:41:21 166  8077  8077 E SQLiteDatabase: Caused by: android database sqlite SQLiteCantOpenDatabaseException: unknown error (code 14 SQLITE CANTOPEN): Could not open database_x000D_
10 20 14:41:21 166  8077  8077 E SQLiteDatabase: 	at android database sqlite SQLiteConnection nativeOpen(Native Method)_x000D_
10 20 14:41:21 166  8077  8077 E SQLiteDatabase: 	at android database sqlite SQLiteConnection open(SQLiteConnection java:224)_x000D_
10 20 14:41:21 166  8077  8077 E SQLiteDatabase: 	    27 more_x000D_
10 20 14:41:21 166  8077  8077 W System err: android database sqlite SQLiteCantOpenDatabaseException: Cannot open database   storage emulated 10 Android data org tosl warnappcompanion cache exposure db  : File  storage emulated 10 Android data org tosl warnappcompanion cache exposure db  doesn t exist_x000D_
10 20 14:41:21 166  8077  8077 W System err: 	at android database sqlite SQLiteConnection open(SQLiteConnection java:252)_x000D_
10 20 14:41:21 166  8077  8077 W System err: 	at android database sqlite SQLiteConnection open(SQLiteConnection java:205)_x000D_
10 20 14:41:21 166  8077  8077 W System err: 	at android database sqlite SQLiteConnectionPool openConnectionLocked(SQLiteConnectionPool java:505)_x000D_
10 20 14:41:21 166  8077  8077 W System err: 	at android database sqlite SQLiteConnectionPool open(SQLiteConnectionPool java:206)_x000D_
10 20 14:41:21 166  8077  8077 W System err: 	at android database sqlite SQLiteConnectionPool open(SQLiteConnectionPool java:198)_x000D_
10 20 14:41:21 166  8077  8077 W System err: 	at android database sqlite SQLiteDatabase openInner(SQLiteDatabase java:918)_x000D_
10 20 14:41:21 166  8077  8077 W System err: 	at android database sqlite SQLiteDatabase open(SQLiteDatabase java:898)_x000D_
10 20 14:41:21 166  8077  8077 W System err: 	at android database sqlite SQLiteDatabase openDatabase(SQLiteDatabase java:789)_x000D_
10 20 14:41:21 166  8077  8077 W System err: 	at android database sqlite SQLiteDatabase openDatabase(SQLiteDatabase java:736)_x000D_
10 20 14:41:21 166  8077  8077 W System err: 	at org tosl coronawarncompanion microgreadout MicroGDbOnDisk getRpisFromContactDB(MicroGDbOnDisk java:96)_x000D_
10 20 14:41:21 166  8077  8077 W System err: 	at org tosl coronawarncompanion MainActivity onCreate(MainActivity java:318)_x000D_
10 20 14:41:21 166  8077  8077 W System err: 	at android app Activity performCreate(Activity java:8000)_x000D_
10 20 14:41:21 166  8077  8077 W System err: 	at android app Activity performCreate(Activity java:7984)_x000D_
10 20 14:41:21 166  8077  8077 W System err: 	at android app Instrumentation callActivityOnCreate(Instrumentation java:1309)_x000D_
10 20 14:41:21 167  8077  8077 W System err: 	at android app ActivityThread performLaunchActivity(ActivityThread java:3422)_x000D_
10 20 14:41:21 167  8077  8077 W System err: 	at android app ActivityThread handleLaunchActivity(ActivityThread java:3601)_x000D_
10 20 14:41:21 167  8077  8077 W System err: 	at android app servertransaction LaunchActivityItem execute(LaunchActivityItem java:85)_x000D_
10 20 14:41:21 167  8077  8077 W System err: 	at android app servertransaction TransactionExecutor executeCallbacks(TransactionExecutor java:135)_x000D_
10 20 14:41:21 167  8077  8077 W System err: 	at android app servertransaction TransactionExecutor execute(TransactionExecutor java:95)_x000D_
10 20 14:41:21 167  8077  8077 W System err: 	at android app ActivityThread H handleMessage(ActivityThread java:2066)_x000D_
10 20 14:41:21 167  8077  8077 W System err: 	at android os Handler dispatchMessage(Handler java:106)_x000D_
10 20 14:41:21 167  8077  8077 W System err: 	at android os Looper loop(Looper java:223)_x000D_
10 20 14:41:21 167  8077  8077 W System err: 	at android app ActivityThread main(ActivityThread java:7656)_x000D_
10 20 14:41:21 167  8077  8077 W System err: 	at java lang reflect Method invoke(Native Method)_x000D_
10 20 14:41:21 167  8077  8077 W System err: 	at com android internal os RuntimeInit MethodAndArgsCaller run(RuntimeInit java:592)_x000D_
10 20 14:41:21 167  8077  8077 W System err: 	at com android internal os ExecInit main(ExecInit java:43)_x000D_
10 20 14:41:21 167  8077  8077 W System err: 	at com android internal os RuntimeInit nativeFinishInit(Native Method)_x000D_
10 20 14:41:21 167  8077  8077 W System err: 	at com android internal os RuntimeInit main(RuntimeInit java:399)_x000D_
10 20 14:41:21 167  8077  8077 W System err: Caused by: android database sqlite SQLiteCantOpenDatabaseException: unknown error (code 14 SQLITE CANTOPEN): Could not open database_x000D_
10 20 14:41:21 167  8077  8077 W System err: 	at android database sqlite SQLiteConnection nativeOpen(Native Method)_x000D_
10 20 14:41:21 167  8077  8077 W System err: 	at android database sqlite SQLiteConnection open(SQLiteConnection java:224)_x000D_
10 20 14:41:21 167  8077  8077 W System err: 	    27 more_x000D_
10 20 14:41:21 175  8077  8077 D AndroidRuntime: Shutting down VM_x000D_
10 20 14:41:21 176  8077  8077 E AndroidRuntime: FATAL EXCEPTION: main_x000D_
10 20 14:41:21 176  8077  8077 E AndroidRuntime: Process: org tosl warnappcompanion  PID: 8077_x000D_
10 20 14:41:21 176  8077  8077 E AndroidRuntime: java lang RuntimeException: Unable to start activity ComponentInfo org tosl warnappcompanion org tosl coronawarncompanion MainActivity : java lang IllegalStateException_x000D_
10 20 14:41:21 176  8077  8077 E AndroidRuntime: 	at android app ActivityThread performLaunchActivity(ActivityThread java:3449)_x000D_
10 20 14:41:21 176  8077  80710 20 14:41:21 176  8077  8077 E AndroidRuntime: 	at org tosl coronawarncompanion MainActivity showExtractionError(MainActivity java:410)_x000D_
10 20 14:41:21 176  8077  8077 E AndroidRuntime: 	at org tosl coronawarncompanion MainActivity onCreate(MainActivity java:361)_x000D_
10 20 14:41:21 176  8077  8077 E AndroidRuntime: 	at android app Activity performCreate(Activity java:8000)_x000D_
10 20 14:41:21 176  8077  8077 E AndroidRuntime: 	at android app Activity performCreate(Activity java:7984)_x000D_
10 20 14:41:21 176  8077  8077 E AndroidRuntime: 	at android app Instrumentation callActivityOnCreate(Instrumentation java:1309)_x000D_
10 20 14:41:21 176  8077  8077 E AndroidRuntime: 	at android app ActivityThread performLaunchActivity(ActivityThread java:3422)_x000D_
10 20 14:41:21 176  8077  8077 E AndroidRuntime: 	    13 more_x000D_
10 20 14:41:21 176  8077  8077 E AndroidRuntime: Error reporting crash_x000D_
10 20 14:41:21 176  8077  8077 E AndroidRuntime: java lang RuntimeException: Bad file descriptor_x000D_
10 20 14:41:21 176  8077  8077 E AndroidRuntime: 	at android os BinderProxy transactNative(Native Method)_x000D_
10 20 14:41:21 176  8077  8077 E AndroidRuntime: 	at android os BinderProxy transact(BinderProxy java:540)_x000D_
10 20 14:41:21 176  8077  8077 E AndroidRuntime: 	at android app IActivityManager Stub Proxy handleApplicationCrash(IActivityManager java:5182)_x000D_
10 20 14:41:21 176  8077  8077 E AndroidRuntime: 	at com android internal os RuntimeInit KillApplicationHandler uncaughtException(RuntimeInit java:158)_x000D_
10 20 14:41:21 176  8077  8077 E AndroidRuntime: 	at java lang ThreadGroup uncaughtException(ThreadGroup java:1073)_x000D_
10 20 14:41:21 176  8077  8077 E AndroidRuntime: 	at java lang ThreadGroup uncaughtException(ThreadGroup java:1068)_x000D_
10 20 14:41:21 176  8077  8077 E AndroidRuntime: 	at java lang Thread dispatchUncaughtException(Thread java:2203)_x000D_
10 20 14:41:21 176  8077  8077 I Process : Sending signal  PID: 8077 SIG: 9_x000D_
10 20 14:41:21 219  1016 10400 I ActivityManager: Process org tosl warnappcompanion (pid 8077) has died: fg  TOP _x000D_
7 E AndroidRuntime: 	at android app ActivityThread handleLaunchActivity(ActivityThread java:3601)_x000D_
10 20 14:41:21 176  8077  8077 E AndroidRuntime: 	at android app servertransaction LaunchActivityItem execute(LaunchActivityItem java:85)_x000D_
10 20 14:41:21 176  8077  8077 E AndroidRuntime: 	at android app servertransaction TransactionExecutor executeCallbacks(TransactionExecutor java:135)_x000D_
10 20 14:41:21 176  8077  8077 E AndroidRuntime: 	at android app servertransaction TransactionExecutor execute(TransactionExecutor java:95)_x000D_
10 20 14:41:21 176  8077  8077 E AndroidRuntime: 	at android app ActivityThread H handleMessage(ActivityThread java:2066)_x000D_
10 20 14:41:21 176  8077  8077 E AndroidRuntime: 	at android os Handler dispatchMessage(Handler java:106)_x000D_
10 20 14:41:21 176  8077  8077 E AndroidRuntime: 	at android os Looper loop(Looper java:223)_x000D_
10 20 14:41:21 176  8077  8077 E AndroidRuntime: 	at android app ActivityThread main(ActivityThread java:7656)_x000D_
10 20 14:41:21 176  8077  8077 E AndroidRuntime: 	at java lang reflect Method invoke(Native Method)_x000D_
10 20 14:41:21 176  8077  8077 E AndroidRuntime: 	at com android internal os RuntimeInit MethodAndArgsCaller run(RuntimeInit java:592)_x000D_
10 20 14:41:21 176  8077  8077 E AndroidRuntime: 	at com android internal os ExecInit main(ExecInit java:43)_x000D_
10 20 14:41:21 176  8077  8077 E AndroidRuntime: 	at com android internal os RuntimeInit nativeFinishInit(Native Method)_x000D_
10 20 14:41:21 176  8077  8077 E AndroidRuntime: 	at com android internal os RuntimeInit main(RuntimeInit java:399)_x000D_
10 20 14:41:21 176  8077  8077 E AndroidRuntime: Caused by: java lang IllegalStateException_x000D_
10 20 14:41:21 176  8077  8077 E AndroidRuntime: 	at org tosl coronawarncompanion MainActivity showExtractionError(MainActivity java:410)_x000D_
10 20 14:41:21 176  8077  8077 E AndroidRuntime: 	at org tosl coronawarncompanion MainActivity onCreate(MainActivity java:361)_x000D_
10 20 14:41:21 176  8077  8077 E AndroidRuntime: 	at android app Activity performCreate(Activity java:8000)_x000D_
10 20 14:41:21 176  8077  8077 E AndroidRuntime: 	at android app Activity performCreate(Activity java:7984)_x000D_
10 20 14:41:21 176  8077  8077 E AndroidRuntime: 	at android app Instrumentation callActivityOnCreate(Instrumentation java:1309)_x000D_
10 20 14:41:21 176  8077  8077 E AndroidRuntime: 	at android app ActivityThread performLaunchActivity(ActivityThread java:3422)_x000D_
10 20 14:41:21 176  8077  8077 E AndroidRuntime: 	    13 more_x000D_
10 20 14:41:21 176  8077  8077 E AndroidRuntime: Error reporting crash_x000D_
10 20 14:41:21 176  8077  8077 E AndroidRuntime: java lang RuntimeException: Bad file descriptor_x000D_
10 20 14:41:21 176  8077  8077 E AndroidRuntime: 	at android os BinderProxy transactNative(Native Method)_x000D_
10 20 14:41:21 176  8077  8077 E AndroidRuntime: 	at android os BinderProxy transact(BinderProxy java:540)_x000D_
10 20 14:41:21 176  8077  8077 E AndroidRuntime: 	at android app IActivityManager Stub Proxy handleApplicationCrash(IActivityManager java:5182)_x000D_
10 20 14:41:21 176  8077  8077 E AndroidRuntime: 	at com android internal os RuntimeInit KillApplicationHandler uncaughtException(RuntimeInit java:158)_x000D_
10 20 14:41:21 176  8077  8077 E AndroidRuntime: 	at java lang ThreadGroup uncaughtException(ThreadGroup java:1073)_x000D_
10 20 14:41:21 176  8077  8077 E AndroidRuntime: 	at java lang ThreadGroup uncaughtException(ThreadGroup java:1068)_x000D_
10 20 14:41:21 176  8077  8077 E AndroidRuntime: 	at java lang Thread dispatchUncaughtException(Thread java:2203)_x000D_
10 20 14:41:21 176  8077  8077 I Process : Sending signal  PID: 8077 SIG: 9_x000D_
10 20 14:41:21 219  1016 10400 I ActivityManager: Process org tosl warnappcompanion (pid 8077) has died: fg  TOP _x000D_
_x000D_
   </t>
  </si>
  <si>
    <t>Anuken-Mindustry-3042</t>
  </si>
  <si>
    <t>Resource exploit</t>
  </si>
  <si>
    <t xml:space="preserve">  Platform  :  Android _x000D_
_x000D_
  Build  :  beta 109 _x000D_
_x000D_
  Issue  :  Miscalculation of resources earned per minute in uncaptured sectors when playing on a different sector of campaign _x000D_
_x000D_
  Steps to reproduce  :  Start playing on sector  A  and play normally  When able  launch to sector  B  in a way that leaves the core in sector  A  empty  After a couple of minutes sector  A  should have a full core of all inputted resources instead of the correct amount shown on the planet view _x000D_
_x000D_
If the resources are then used in the tech tree or in buildings  repeating the steps above will refill the core  _x000D_
_x000D_
  Link(s) to mod(s) used  :  No mods used _x000D_
_x000D_
  Save file  :   Mindustry beta109 zip (https:  github com Anuken Mindustry files 5408153 Mindustry beta109 zip)_x000D_
 _x000D_
_x000D_
  Crash report  :  Game does not crash _x000D_
_x000D_
   _x000D_
_x000D_
 Place an X (no spaces) between the brackets to confirm that you have read the line below    _x000D_
   X    I have searched the closed and open issues to make sure that this problem has not already been reported   </t>
  </si>
  <si>
    <t>Anuken-Mindustry-3040</t>
  </si>
  <si>
    <t>Going back from panoramic views creates bizzare formatting</t>
  </si>
  <si>
    <t xml:space="preserve">  Platform  :  Android _x000D_
_x000D_
  Build  :  109 and older _x000D_
_x000D_
  Issue  :  Going back from panoramic to portrait orientation maintains the menu panoramic format  so down part of screen is black  Most noticeable when closing the editor  _x000D_
_x000D_
  Steps to reproduce  :  Any change from panoramic to portrait mode will trigger the effect (afaik) _x000D_
_x000D_
_x000D_
  Save file  :  happens in menu  no save required  _x000D_
_x000D_
  Crash report  :  Game do not crash  Only rotation is bizzare (panoramic format in portrait mode)  _x000D_
_x000D_
   _x000D_
_x000D_
 Place an X (no spaces) between the brackets to confirm that you have read the line below    _x000D_
   X    I have searched the closed and open issues to make sure that this problem has not already been reported   _x000D_
</t>
  </si>
  <si>
    <t>defold-extension-push-24</t>
  </si>
  <si>
    <t>Crash at 1st opening</t>
  </si>
  <si>
    <t xml:space="preserve">Defold 1 2 174_x000D_
Android 9 0 1_x000D_
Push extension 2 0 0_x000D_
_x000D_
When opening the app for the 1st time  I get the following crash with the dump:_x000D_
_x000D_
   _x000D_
Build fingerprint:  HUAWEI ANE LX1 HWANE:9 HUAWEIANE:user release keys _x000D_
Revision:  0 _x000D_
ABI:  arm64 _x000D_
Happend:  Mon Oct 19 13:47:47 2020 _x000D_
SYSVMTYPE: Art_x000D_
APPVMTYPE: Art_x000D_
pid: 19398  tid: 19435  name: NativeThread      com myapp myapp    _x000D_
signal 11 (SIGSEGV)  code 1 (SEGV MAPERR)  fault addr 0x28_x000D_
Cause: null pointer dereference_x000D_
_x000D_
    x0  0000000000000000  x1  0000000000000000  x2  0000000000000000  x3  fffffffffffffffb_x000D_
    x4  0000000000005f5f  x5  0000000000000013  x6  6b686044ff5e5e73  x7  7f7f7f7f7f7f7f7f_x000D_
    x8  0000000000000000  x9  00000076b490e403  x10 00000076b490e52c  x11 00000076b4fc11a0_x000D_
    x12 0000000000000001  x13 0000000000000000  x14 0001efe91033a90a  x15 000024db86ca9283_x000D_
    x16 00000076b49ed2d0  x17 00000076b47c5768  x18 00000076b680fc93  x19 0000000000000000_x000D_
    x20 00000076b4fc11a0  x21 00000076b6e0afe0  x22 00000076b4a085d0  x23 00000076b4938136_x000D_
    x24 00000076b4938fef  x25 000000000000000a  x26 0000000000000001  x27 0000000000000000_x000D_
    x28 0000007ff10f3db0  x29 00000076b4fc14b0_x000D_
    sp  00000076b4fc1140  lr  00000076b47a6234  pc  00000076b47c5768_x000D_
backtrace:_x000D_
     00 pc 00000000001c5768   data app com myapp app 9Bbx AolDmUu9wPH rerWg   lib arm64 libMyapp so (lua gettop)_x000D_
     01 pc 00000000001a6230   data app com myapp app 9Bbx AolDmUu9wPH rerWg   lib arm64 libMyapp so_x000D_
     02 pc 0000000000080634   data app com myapp app 9Bbx AolDmUu9wPH rerWg   lib arm64 libMyapp so_x000D_
     03 pc 0000000000080558   data app com myapp app 9Bbx AolDmUu9wPH rerWg   lib arm64 libMyapp so_x000D_
     04 pc 0000000000080c98   data app com myapp app 9Bbx AolDmUu9wPH rerWg   lib arm64 libMyapp so_x000D_
     05 pc 000000000007f274   data app com myapp app 9Bbx AolDmUu9wPH rerWg   lib arm64 libMyapp so_x000D_
     06 pc 00000000001a8de8   data app com myapp app 9Bbx AolDmUu9wPH rerWg   lib arm64 libMyapp so_x000D_
     07 pc 00000000001a42b8   data app com myapp app 9Bbx AolDmUu9wPH rerWg   lib arm64 libMyapp so_x000D_
     08 pc 000000000006b658   data app com myapp app 9Bbx AolDmUu9wPH rerWg   lib arm64 libMyapp so_x000D_
     09 pc 000000000006c4fc   data app com myapp app 9Bbx AolDmUu9wPH rerWg   lib arm64 libMyapp so_x000D_
     10 pc 0000000000068cb4   data app com myapp app 9Bbx AolDmUu9wPH rerWg   lib arm64 libMyapp so_x000D_
     11 pc 0000000000068c38   data app com myapp app 9Bbx AolDmUu9wPH rerWg   lib arm64 libMyapp so_x000D_
     12 pc 00000000002272e8   data app com myapp app 9Bbx AolDmUu9wPH rerWg   lib arm64 libMyapp so_x000D_
     13 pc 0000000000083588   system lib64 libc so (  pthread start(void ) 36)_x000D_
     14 pc 00000000000241dc   system lib64 libc so (  start thread 68)_x000D_
   _x000D_
_x000D_
From the 2d time onwards  the app will open just fine </t>
  </si>
  <si>
    <t>kunalpat25-WCEVISITCOVID19-5</t>
  </si>
  <si>
    <t xml:space="preserve">Age is not getting calculated after Androidversion 'O' in UserDetailsActivity.java  </t>
  </si>
  <si>
    <t xml:space="preserve">simply run it emulator of greater Android version than  O    the App will crash  </t>
  </si>
  <si>
    <t>nextcloud-android-7113</t>
  </si>
  <si>
    <t xml:space="preserve">Some rendom error </t>
  </si>
  <si>
    <t xml:space="preserve">  I am just providing crash report without checking is it already reported or not so feel free to close the case in case if it s already reported 
             CAUSE OF ERROR             
java lang NullPointerException: Attempt to read from field  java util concurrent ConcurrentMap com owncloud android services OperationsService OperationsServiceBinder mBoundListeners  on a null object reference
	at com owncloud android services OperationsService OperationsServiceBinder access 500(OperationsService java:260)
	at com owncloud android services OperationsService dispatchResultToOperationListeners(OperationsService java:734)
	at com owncloud android services SyncFolderHandler doOperation(SyncFolderHandler java:121)
	at com owncloud android services SyncFolderHandler handleMessage(SyncFolderHandler java:88)
	at android os Handler dispatchMessage(Handler java:106)
	at android os Looper loop(Looper java:223)
	at android os HandlerThread run(HandlerThread java:67)
             APP INFORMATION             
ID: com nextcloud client
Version: 30130190
Build flavor: generic
             DEVICE INFORMATION             
Brand: Android
Device: taimen
Model: Pixel 2 XL
Id: RP1A 201005 004
Product: aosp taimen
             FIRMWARE             
SDK: 30
Release: 11
Incremental: 2020 10 06 02
</t>
  </si>
  <si>
    <t>cgeo-cgeo-9227</t>
  </si>
  <si>
    <t>Crash when trying to invoke logging a cache (device specific)</t>
  </si>
  <si>
    <t xml:space="preserve">  Describe the bug:  _x000D_
Reported by user on support mail  not reproducible to me but reproducible for the user _x000D_
_x000D_
  To Reproduce:  _x000D_
Steps to reproduce the behavior:_x000D_
  remove c:geo and start fresh_x000D_
  install c:geo   start it_x000D_
  login   authorise geocaching com_x000D_
  open live map_x000D_
  select any cache_x000D_
  3 dots   log visit_x000D_
   c:geo crashed   restart app  _x000D_
_x000D_
  Version of c:geo used:  _x000D_
2020 10 10 _x000D_
_x000D_
  Is the problem reproducible:  _x000D_
Yes   for the user_x000D_
_x000D_
  System information:  _x000D_
   _x000D_
    System information    _x000D_
Device: Lenovo TB 8704X (TB 8704X  Lenovo)_x000D_
Android version: 8 1 0_x000D_
Android build: TB 8704X S001025 190606 ROW_x000D_
c:geo version: 2020 10 10_x000D_
Google Play services: disabled   20 39 15 (040406 335085812)_x000D_
Low power mode: inactive_x000D_
Compass capabilities: no_x000D_
Rotation vector sensor: absent_x000D_
Orientation sensor: absent_x000D_
Magnetometer   Accelerometer sensor: absent_x000D_
Direction sensor used: magnetometer   accelerometer_x000D_
Hide caches: own found_x000D_
Hide waypoints:  _x000D_
HW acceleration: enabled (default state)_x000D_
System language: de DE_x000D_
System date format: dd MM yy_x000D_
Debug mode active: no_x000D_
System internal c:geo dir:  data user 0 cgeo geocaching (6 2 GB free) internal_x000D_
User storage c:geo dir:  storage emulated 0 cgeo (6 2 GB free) external non removable_x000D_
Geocache data:  storage emulated 0 Android data cgeo geocaching files GeocacheData (6 2 GB free) external non removable_x000D_
Database:  data user 0 cgeo geocaching databases data (19 1 MB) on system internal storage_x000D_
GPX import path:  storage emulated 0 cgeo gpx_x000D_
GPX export path:  storage emulated 0 cgeo gpx_x000D_
Offline maps path:  storage emulated 0  ext microsd offline maps_x000D_
Map render theme path:  sdcard  ext microsd offline maps themes Elevate4 Elements xml_x000D_
Live map mode: true_x000D_
Global filter: Traditional Cache_x000D_
Fine location permission: granted_x000D_
Write external storage permission: granted_x000D_
Geocaching sites enabled:_x000D_
   geocaching com: Logged in (Anmeldung OK)   BASIC_x000D_
   opencaching de: Logged in (Anmeldung OK)_x000D_
Geocaching com date format: yyyy MM dd_x000D_
Installed c:geo plugins:  none_x000D_
BRouter connection available: true_x000D_
    End of system information       _x000D_
   _x000D_
_x000D_
  Additional context:  _x000D_
Stacktrace is so long  that the initial error is missing but clearly visible the votingbar is involved _x000D_
   _x000D_
          beginning of main_x000D_
          beginning of crash_x000D_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21:48:07 958 22369 22369 E AndroidRuntime: 	at android widget ProgressBar setProgressInternal(ProgressBar java:1418)_x000D_
10 19 21:48:07 958 22369 22369 E AndroidRuntime: 	at android widget ProgressBar setProgress(ProgressBar java:1385)_x000D_
10 19 21:48:07 958 22369 22369 E AndroidRuntime: 	at android widget RatingBar setRating(RatingBar java:201)_x000D_
10 19 21:48:07 958 22369 22369 E AndroidRuntime: 	at cgeo geocaching ui CacheVotingBar setRating(CacheVotingBar java:54)_x000D_
10 19 21:48:07 958 22369 22369 E AndroidRuntime: 	at cgeo geocaching ui CacheVotingBar lambda initialize 0 CacheVotingBar(CacheVotingBar java:40)_x000D_
10 19 21:48:07 958 22369 22369 E AndroidRuntime: 	at cgeo geocaching ui    Lambda CacheVotingBar CFc7pRBgNPK5 nTJyS1nAL1UB w onRatingChanged(Unknown Source:2)_x000D_
10 19 21:48:07 958 22369 22369 E AndroidRuntime: 	at android widget RatingBar dispatchRatingChange(RatingBar java:320)_x000D_
10 19 21:48:07 958 22369 22369 E AndroidRuntime: 	at android widget RatingBar onProgressRefresh(RatingBar java:265)_x000D_
10 19 21:48:07 958 22369 22369 E AndroidRuntime: 	at android widget ProgressBar doRefreshProgress(ProgressBar java:1298)_x000D_
10 19 21:48:07 958 22369 22369 E AndroidRuntime: 	at android widget ProgressBar refreshProgress(ProgressBar java:1353)_x000D_
10 19 21:48:07 959 22369 22369 E AndroidRuntime: 	at android widget ProgressBar setProgressInternal(ProgressBar java:1418)_x000D_
10 19 21:48:07 959 22369 22369 E AndroidRuntime: 	at android widget ProgressBar setProgress(ProgressBar java:1385)_x000D_
10 19 21:48:07 959 22369 22369 E AndroidRuntime: 	at android widget RatingBar setRating(RatingBar java:201)_x000D_
10 19 21:48:07 959 22369 22369 E AndroidRuntime: 	at cgeo geocaching ui CacheVotingBar setRating(CacheVotingBar java:54)_x000D_
10 19 21:48:07 959 22369 22369 E AndroidRuntime: 	at cgeo geocaching ui CacheVotingBar lambda initialize 0 CacheVotingBar(CacheVotingBar java:40)_x000D_
10 19 21:48:07 959 22369 22369 E AndroidRuntime: 	at cgeo geocaching ui    Lambda CacheVotingBar CFc7pRBgNPK5 nTJyS1nAL1UB w onRatingChanged(Unknown Source:2)_x000D_
10 19 21:48:07 959 22369 22369 E AndroidRuntime: 	at android widget RatingBar dispatchRatingChange(RatingBar java:320)_x000D_
10 19 21:48:07 959 22369 22369 E AndroidRuntime: 	at android widget RatingBar onProgressRefresh(RatingBar java:265)_x000D_
10 19 21:48:07 959 22369 22369 E AndroidRuntime: 	at android widget ProgressBar doRefreshProgress(ProgressBar java:1298)_x000D_
10 19 21:48:07 959 22369 22369 E AndroidRuntime: 	at android widget ProgressBar refreshProgress(ProgressBar java:1353)_x000D_
10 19 21:48:07 959 22369 22369 E AndroidRuntime: 	at android widget ProgressBar setProgressInternal(ProgressBar java:1418)_x000D_
10 19 21:48:07 959 22369 22369 E AndroidRuntime: 	at android widget ProgressBar setProgress(ProgressBar java:1385)_x000D_
10 19 21:48:07 959 22369 22369 E AndroidRuntime: 	at android widget RatingBar setRating(RatingBar java:201)_x000D_
10 19 21:48:07 959 22369 22369 E AndroidRuntime: 	at cgeo geocaching ui CacheVotingBar setRating(CacheVotingBar java:54)_x000D_
10 19 21:48:07 959 22369 22369 E AndroidRuntime: 	at cgeo geocaching ui CacheVotingBar lambda initialize 0 CacheVotingBar(CacheVotingBar java:40)_x000D_
10 19 21:48:07 959 22369 22369 E AndroidRuntime: 	at cgeo geocaching ui    Lambda CacheVotingBar CFc7pRBgNPK5 nTJyS1nAL1UB w onRatingChanged(Unknown Source:2)_x000D_
10 19 21:48:07 959 22369 22369 E AndroidRuntime: 	at android widget RatingBar dispatchRatingChange(RatingBar java:320)_x000D_
10 19 21:48:07 959 22369 22369 E AndroidRuntime: 	at android widget RatingBar onProgressRefresh(RatingBar java:265)_x000D_
10 19 21:48:07 959 22369 22369 E AndroidRuntime: 	at android widget ProgressBar doRefreshProgress(ProgressBar java:1298)_x000D_
10 19 21:48:07 959 22369 22369 E AndroidRuntime: 	at android widget ProgressBar refreshProgress(ProgressBar java:1353)_x000D_
10 19 21:48:07 959 22369 22369 E AndroidRuntime: 	at android widget ProgressBar setProgressInternal(ProgressBar java:1418)_x000D_
10 19 21:48:07 959 22369 22369 E AndroidRuntime: 	at android widget ProgressBar setProgress(ProgressBar java:1385)_x000D_
10 19 21:48:07 959 22369 22369 E AndroidRuntime: 	at android widget RatingBar setRating(RatingBar java:201)_x000D_
10 19 21:48:07 959 22369 22369 E AndroidRuntime: 	at cgeo geocaching ui CacheVotingBar setRating(CacheVotingBar java:54)_x000D_
10 19 21:48:07 959 22369 22369 E AndroidRuntime: 	at cgeo geocaching ui CacheVotingBar lambda initialize 0 CacheVotingBar(CacheVotingBar java:40)_x000D_
10 19 21:48:07 959 22369 22369 E AndroidRuntime: 	at cgeo geocaching ui    Lambda CacheVotingBar CFc7pRBgNPK5 nTJyS1nAL1UB w onRatingChanged(Unknown Source:2)_x000D_
10 19 21:48:07 959 22369 22369 E AndroidRuntime: 	at android widget RatingBar dispatchRatingChange(RatingBar java:320)_x000D_
10 19 21:48:07 959 22369 22369 E AndroidRuntime: 	at android widget RatingBar onProgressRefresh(RatingBar java:265)_x000D_
10 19 21:48:07 959 22369 22369 E AndroidRuntime: 	at android widget ProgressBar doRefreshProgress(ProgressBar java:1298)_x000D_
10 19 21:48:07 959 22369 22369 E AndroidRuntime: 	at android widget ProgressBar refreshProgress(ProgressBar java:1353)_x000D_
10 19 21:48:07 959 22369 22369 E AndroidRuntime: 	at android widget ProgressBar setProgressInternal(ProgressBar java:1418)_x000D_
10 19 21:48:07 959 22369 22369 E AndroidRuntime: 	at android widget ProgressBar setProgress(ProgressBar java:1385)_x000D_
10 19 21:48:07 959 22369 22369 E AndroidRuntime: 	at android widget RatingBar setRating(RatingBar java:201)_x000D_
10 19 21:48:07 959 22369 22369 E AndroidRuntime: 	at cgeo geocaching ui CacheVotingBar setRating(CacheVotingBar java:54)_x000D_
10 19 21:48:07 959 22369 22369 E AndroidRuntime: 	at cgeo geocaching ui CacheVotingBar lambda initialize 0 CacheVotingBar(CacheVotingBar java:40)_x000D_
10 19 21:48:07 959 22369 22369 E AndroidRuntime: 	at cgeo geocaching ui    Lambda CacheVotingBar CFc7pRBgNPK5 nTJyS1nAL1UB w onRatingChanged(Unknown Source:2)_x000D_
10 19 21:48:07 959 22369 22369 E AndroidRuntime: 	at android widget RatingBar dispatchRatingChange(RatingBar java:320)_x000D_
10 19 21:48:07 959 22369 22369 E AndroidRuntime: 	at android widget RatingBar onProgressRefresh(RatingBar java:265)_x000D_
10 19 21:48:07 959 22369 22369 E AndroidRuntime: 	at android widget ProgressBar doRefreshProgress(ProgressBar java:1298)_x000D_
10 19 21:48:07 959 22369 22369 E AndroidRuntime: 	at android widget ProgressBar refreshProgress(ProgressBar java:1353)_x000D_
10 19 21:48:07 959 22369 22369 E AndroidRuntime: 	at android widget ProgressBar setProgressInternal(ProgressBar java:1418)_x000D_
10 19 21:48:07 959 22369 22369 E AndroidRuntime: 	at android widget ProgressBar setProgress(ProgressBar java:1385)_x000D_
10 19 21:48:07 959 22369 22369 E AndroidRuntime: 	at android widget RatingBar setRating(RatingBar java:201)_x000D_
10 19 21:48:07 959 22369 22369 E AndroidRuntime: 	at cgeo geocaching ui CacheVotingBar setRating(CacheVotingBar java:54)_x000D_
10 19 21:48:07 959 22369 22369 E AndroidRuntime: 	at cgeo geocaching ui CacheVotingBar lambda initialize 0 CacheVotingBar(CacheVotingBar java:40)_x000D_
10 19 21:48:07 959 22369 22369 E AndroidRuntime: 	at cgeo geocaching ui    Lambda CacheVotingBar CFc7pRBgNPK5 nTJyS1nAL1UB w onRatingChanged(Unknown Source:2)_x000D_
10 19 21:48:07 959 22369 22369 E AndroidRuntime: 	at android widget RatingBar dispatchRatingChange(RatingBar java:320)_x000D_
10 19 21:48:07 959 22369 22369 E AndroidRuntime: 	at android widget RatingBar onProgressRefresh(RatingBar java:265)_x000D_
10 19 21:48:07 959 22369 22369 E AndroidRuntime: 	at android widget ProgressBar doRefreshProgress(ProgressBar java:1298)_x000D_
10 19 21:48:07 959 22369 22369 E AndroidRuntime: 	at android widget ProgressBar refreshProgress(ProgressBar java:1353)_x000D_
10 19 21:48:07 959 22369 22369 E AndroidRuntime: 	at android widget ProgressBar setProgressInternal(ProgressBar java:1418)_x000D_
10 19 21:48:07 959 22369 22369 E AndroidRuntime: 	at android widget ProgressBar setProgress(ProgressBar java:1385)_x000D_
10 19 21:48:07 959 22369 22369 E AndroidRuntime: 	at android widget RatingBar setRating(RatingBar java:201)_x000D_
10 19 21:48:07 959 22369 22369 E AndroidRuntime: 	at cgeo geocaching ui CacheVotingBar setRating(CacheVotingBar java:54)_x000D_
10 19 21:48:07 959 22369 22369 E AndroidRuntime: 	at cgeo geocaching ui CacheVotingBar lambda initialize 0 CacheVotingBar(CacheVotingBar java:40)_x000D_
10 19 21:48:07 959 22369 22369 E AndroidRuntime: 	at cgeo geocaching ui    Lambda CacheVotingBar CFc7pRBgNPK5 nTJyS1nAL1UB w onRatingChanged(Unknown Source:2)_x000D_
10 19 21:48:07 959 22369 22369 E AndroidRuntime: 	at android widget RatingBar dispatchRatingChange(RatingBar java:320)_x000D_
10 19 21:48:07 959 22369 22369 E AndroidRuntime: 	at android widget RatingBar onProgressRefresh(RatingBar java:265)_x000D_
10 19 21:48:07 959 22369 22369 E AndroidRuntime: 	at android widget ProgressBar doRefreshProgress(ProgressBar java:1298)_x000D_
10 19 21:48:07 959 22369 22369 E AndroidRuntime: 	at android widget ProgressBar refreshProgress(ProgressBar java:1353)_x000D_
10 19 21:48:07 959 22369 22369 E AndroidRuntime: 	at android widget ProgressBar setProgressInternal(ProgressBar java:1418)_x000D_
10 19 21:48:07 959 22369 22369 E AndroidRuntime: 	at android widget ProgressBar setProgress(ProgressBar java:1385)_x000D_
10 19 21:48:07 959 22369 22369 E AndroidRuntime: 	at android widget RatingBar setRating(RatingBar java:201)_x000D_
10 19 21:48:07 959 22369 22369 E AndroidRuntime: 	at cgeo geocaching ui CacheVotingBar setRating(CacheVotingBar java:54)_x000D_
10 19 21:48:07 959 22369 22369 E AndroidRuntime: 	at cgeo geocaching ui CacheVotingBar lambda initialize 0 CacheVotingBar(CacheVotingBar java:40)_x000D_
10 19 21:48:07 959 22369 22369 E AndroidRuntime: 	at cgeo geocaching ui    Lambda CacheVotingBar CFc7pRBgNPK5 nTJyS1nAL1UB w onRatingChanged(Unknown Source:2)_x000D_
10 19 21:48:07 959 22369 22369 E AndroidRuntime: 	at android widget RatingBar dispatchRatingChange(RatingBar java:320)_x000D_
10 19 21:48:07 959 22369 22369 E AndroidRuntime: 	at android widget RatingBar onProgressRefresh(RatingBar java:265)_x000D_
10 19 21:48:07 959 22369 22369 E AndroidRuntime: 	at android widget ProgressBar doRefreshProgress(ProgressBar java:1298)_x000D_
10 19 21:48:07 959 22369 22369 E AndroidRuntime: 	at android widget ProgressBar refreshProgress(ProgressBar java:1353)_x000D_
10 19 21:48:07 959 22369 22369 E AndroidRuntime: 	at android widget ProgressBar setProgressInternal(ProgressBar java:1418)_x000D_
10 19 21:48:07 959 22369 22369 E AndroidRuntime: 	at android widget ProgressBar setProgress(ProgressBar java:1385)_x000D_
10 19 21:48:07 959 22369 22369 E AndroidRuntime: 	at android widget RatingBar setRating(RatingBar java:201)_x000D_
10 19 21:48:07 959 22369 22369 E AndroidRuntime: 	at cgeo geocaching ui CacheVotingBar setRating(CacheVotingBar java:54)_x000D_
10 19 21:48:07 959 22369 22369 E AndroidRuntime: 	at cgeo geocaching ui CacheVotingBar lambda initialize 0 CacheVotingBar(CacheVotingBar java:40)_x000D_
10 19 21:48:07 959 22369 22369 E AndroidRuntime: 	at cgeo geocaching ui    Lambda CacheVotingBar CFc7pRBgNPK5 nTJyS1nAL1UB w onRatingChanged(Unknown Source:2)_x000D_
10 19 21:48:07 959 22369 22369 E AndroidRuntime: 	at android widget RatingBar dispatchRatingChange(RatingBar java:320)_x000D_
10 19 21:48:07 959 22369 22369 E AndroidRuntime: 	at android widget RatingBar onProgressRefresh(RatingBar java:265)_x000D_
10 19 21:48:07 959 22369 22369 E AndroidRuntime: 	at android widget ProgressBar doRefreshProgress(ProgressBar java:1298)_x000D_
10 19 21:48:07 959 22369 22369 E AndroidRuntime: 	at android widget ProgressBar refreshProgress(ProgressBar java:1353)_x000D_
10 19 21:48:07 959 22369 22369 E AndroidRuntime: 	at android widget ProgressBar setProgressInternal(ProgressBar java:1418)_x000D_
10 19 21:48:07 959 22369 22369 E AndroidRuntime: 	at android widget ProgressBar setProgress(ProgressBar java:1385)_x000D_
10 19 21:48:07 959 22369 22369 E AndroidRuntime: 	at android widget RatingBar setRating(RatingBar java:201)_x000D_
10 19 21:48:07 959 22369 22369 E AndroidRuntime: 	at cgeo geocaching ui CacheVotingBar setRating(CacheVotingBar java:54)_x000D_
10 19 21:48:07 959 22369 22369 E AndroidRuntime: 	at cgeo geocaching ui CacheVotingBar lambda initialize 0 CacheVotingBar(CacheVotingBar java:40)_x000D_
10 19 21:</t>
  </si>
  <si>
    <t>Anuken-Mindustry-3032</t>
  </si>
  <si>
    <t>Campaign Rollback Bug</t>
  </si>
  <si>
    <t xml:space="preserve">  Platform  :  Windows _x000D_
_x000D_
  Build  :  109  Beta  _x000D_
_x000D_
  Issue  :  when i save and quit the game in campaign and close the window  i got a BIG rollback in the research menu when i restart the game (all building is on the map but i dont have the research) _x000D_
_x000D_
  Steps to reproduce  :  save and quit an campaign and reload the game _x000D_
_x000D_
  Link(s) to mod(s) used  :  none _x000D_
_x000D_
  Save file  :  my export data_x000D_
 fdzgweyhsereyhwy6d2y2q4yda4wxr3w5adqx4yw4yq zip (https:  github com Anuken Mindustry files 5403973 fdzgweyhsereyhwy6d2y2q4yda4wxr3w5adqx4yw4yq zip)_x000D_
  _x000D_
_x000D_
  Crash report  :  no crash for time _x000D_
_x000D_
   _x000D_
_x000D_
 Place an X (no spaces) between the brackets to confirm that you have read the line below    _x000D_
   x    I have searched the closed and open issues to make sure that this problem has not already been reported   _x000D_
</t>
  </si>
  <si>
    <t>Anuken-Mindustry-3031</t>
  </si>
  <si>
    <t>Units can build walls and other things, trapping their allied ground units</t>
  </si>
  <si>
    <t xml:space="preserve">  Platform  : windows 10 64 bit_x000D_
_x000D_
  Build  :  The build number under the title in the main menu  Required   LATEST  IS NOT A VERSION  I NEED THE EXACT BUILD NUMBER OF YOUR GAME   bleeding edge 10613_x000D_
_x000D_
  Issue  :  Explain your issue in detail   enemy units can build and trap their own ground units_x000D_
_x000D_
  Steps to reproduce  :  How you happened across the issue  and what exactly you did to make the bug happen  _x000D_
play the game on a map where polys spawn_x000D_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MindustryV6Save zip (https:  github com Anuken Mindustry files 5403742 MindustryV6Save zip)_x000D_
Go to the sector named  ISSUE HERE ANUKE  south west of ground zero_x000D_
_x000D_
_x000D_
  Crash report  :  The contents of relevant crash report files  REQUIRED if you are reporting a crash  _x000D_
not a crash_x000D_
   _x000D_
_x000D_
 Place an X (no spaces) between the brackets to confirm that you have read the line below    _x000D_
   X    I have searched the closed and open issues to make sure that this problem has not already been reported   _x000D_
_x000D_
  image (https:  user images githubusercontent com 54417042 96492179 42d60b80 1211 11eb 8c4b af115c014ab6 png)_x000D_
</t>
  </si>
  <si>
    <t>GereonV-EKG-App-1</t>
  </si>
  <si>
    <t>App-Crash on Overflow</t>
  </si>
  <si>
    <t>when input number for rng is too high for an integer  the app crashes when button is clicked</t>
  </si>
  <si>
    <t>PojavLauncherTeam-PojavLauncher-367</t>
  </si>
  <si>
    <t>PLS HELP (again but it is different)</t>
  </si>
  <si>
    <t xml:space="preserve">i have a problem(again) with pojavlauncher_x000D_
after installing a new runtime  (thanks to  khanhduytran0 for the runtime) the screen is gray after 20 seconds it is light gray and it crashed_x000D_
_x000D_
  To Reproduce  _x000D_
Steps to reproduce the behavior:_x000D_
1  Start PojavLauncher_x000D_
installing the runtime_x000D_
wait_x000D_
if there is light gray just wait_x000D_
5_x000D_
4_x000D_
3_x000D_
2_x000D_
1_x000D_
crashed_x000D_
_x000D_
  Expected behavior  _x000D_
I expected it will work and i cought play with my friends but no :(_x000D_
_x000D_
_x000D_
_x000D_
  Platform:  _x000D_
   Device Model  infinix hot 8 _x000D_
   CPU architecture  aarch64  _x000D_
   Android Version  android 9 </t>
  </si>
  <si>
    <t>Anuken-Mindustry-3026</t>
  </si>
  <si>
    <t>Mindustry beta 108 has crashed after trying to host a game</t>
  </si>
  <si>
    <t xml:space="preserve">Mindustry has crashed  How unfortunate _x000D_
Report this at https:  github com Anuken Mindustry issues new labels bug template bug report md_x000D_
_x000D_
Version: beta build 108_x000D_
OS: Windows 10 x64_x000D_
Java Version: 14 0 1_x000D_
Java Architecture: 64_x000D_
0 Mods_x000D_
_x000D_
java lang NullPointerException_x000D_
	at mindustry desktop DesktopLauncher updateLobby(DesktopLauncher java:230)_x000D_
	at mindustry ui dialogs HostDialog lambda runHost 15(HostDialog java:83)_x000D_
	at arc util Timer 1 run(Timer java:88)_x000D_
	at arc util TaskQueue run(TaskQueue java:17)_x000D_
	at arc backend sdl SdlApplication loop(SdlApplication java:160)_x000D_
	at arc backend sdl SdlApplication  init (SdlApplication java:52)_x000D_
	at mindustry desktop DesktopLauncher main(DesktopLauncher java:36)_x000D_
</t>
  </si>
  <si>
    <t>Anuken-Mindustry-3025</t>
  </si>
  <si>
    <t>After Wiping my Game Files, Booting into Ground Zero Crashed the Game</t>
  </si>
  <si>
    <t xml:space="preserve">Version: bleeding edge build 10613_x000D_
OS: Windows 10 x64_x000D_
Java Version: 1 8 0 261_x000D_
Java Architecture: 64_x000D_
0 Mods_x000D_
_x000D_
java lang NullPointerException_x000D_
	at mindustry ui dialogs PlanetDialog lambda updateSelected 22(PlanetDialog java:460)_x000D_
	at arc scene Element 9 changed(Element java:967)_x000D_
	at arc scene event ChangeListener handle(ChangeListener java:13)_x000D_
	at arc scene Element notify(Element java:165)_x000D_
	at arc scene Element fire(Element java:136)_x000D_
	at arc scene ui Button setChecked(Button java:106)_x000D_
	at arc scene ui Button 1 clicked(Button java:92)_x000D_
	at arc scene event ClickListener touchUp(ClickListener java:77)_x000D_
	at arc scene event InputListener handle(InputListener java:34)_x000D_
	at arc scene Scene touchUp(Scene java:342)_x000D_
	at arc input InputMultiplexer touchUp(InputMultiplexer java:137)_x000D_
	at arc input InputEventQueue drain(InputEventQueue java:71)_x000D_
	at arc backend sdl SdlInput update(SdlInput java:104)_x000D_
	at arc backend sdl SdlApplication loop(SdlApplication java:152)_x000D_
	at arc backend sdl SdlApplication  init (SdlApplication java:52)_x000D_
	at mindustry desktop DesktopLauncher main(DesktopLauncher java:36)_x000D_
_x000D_
Game Crashed at launch of ground zero  campaign unplayable_x000D_
_x000D_
  Steps to reproduce  : After the campaign was chnaged I erased my data to start a fresh new campaign when I booted up ground zero it crashed the game_x000D_
_x000D_
 Mindustry zip (https:  github com Anuken Mindustry files 5400357 Mindustry zip)_x000D_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</si>
  <si>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Anuken-Mindustry-3023</t>
  </si>
  <si>
    <t>Bugs in pause . Gradians / bosses come every lavel</t>
  </si>
  <si>
    <t xml:space="preserve">  Platform  :  Android _x000D_
_x000D_
  Build  :  10592 _x000D_
_x000D_
  Issue  : _x000D_
1  If you skip the wave timer and pasue the really fast normal ground units doesn t spawn and the skip botton apears again   You can basically skip as many wave as you want unless theres a air or boss unit on the wave _x000D_
2  if you pause the game as enemy units are spawing and get out of the game with save   quit and get back no newer units will spawn for that wave   say there are 100 units in that wave and you pause and quit on that wave when 5 units have spawned the rest of 95 units will naver spawn _x000D_
NB : I saw first two issues on a YT video so they might already be a known issue _x000D_
  I m not hundred parcent sure of it but I feel like the ammo state of wepons are not stored when you quit   whenever I come back it seems like ammo on every weapon is always full   _x000D_
4  When a gurdian unit arives on a wave   that same gardian unit keeps comming in all the following waves  Well I was playing frozen waves   on wave 30 I captured the site  then It got attacked again   On wave 40 a flaying boss unit came and its been coming on every wave ever since   it s really getting annoying to beat it with scaters on every wave   Also I think it s a feature but you should reconsider captured sites getting attacked when player is playing another map or multiple captured sites getting attacked at the same time   It s rather annoying to focus on multiple maps at the same time _x000D_
_x000D_
  Steps to reproduce  : _x000D_
1  easy just skip a wave and pause as fast as you can and wait a moment  after skip button apears unpause  skip and pause again_x000D_
2  pause    quit    come back   when units are spawing _x000D_
3  wait for a boss to come and just watch it coming _x000D_
_x000D_
  Link(s) to mod(s) used  :    None   _x000D_
_x000D_
  Save file  :   midustry bug report zip (https:  drive google com file d 15fT WV1M L4080V42cKXutQqUtkQK11  view usp drivesdk)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issue 2 might be reported_x000D_
_x000D_
      You have really made a great game   Thanks for that   I m not conplaining here just drawing your attention to these issues so you you can find and fix them when You have time  :)_x000D_
_x000D_
  It feels like the basic player unit (The drone that spawns from core) has been nerfed too hard   Well I wasn t expecting to die 3 times to handle a single unit on first wave   Hopefully you will consider buffing it a bit  _x000D_
Good luck_x000D_
</t>
  </si>
  <si>
    <t>Anuken-Mindustry-3019</t>
  </si>
  <si>
    <t>There is a hug were bridges don't work idk why</t>
  </si>
  <si>
    <t xml:space="preserve">  Platform  :  Android iOS Mac Windows Linux _x000D_
Windows_x000D_
_x000D_
  Build  :  The build number under the title in the main menu  Required   LATEST  IS NOT A VERSION  I NEED THE EXACT BUILD NUMBER OF YOUR GAME  _x000D_
Bleeding edge build 10613_x000D_
_x000D_
So I was trying to put surge alloy into core and I make a phase bridge  only 1 surge passed and the anothers wont_x000D_
_x000D_
  Steps to reproduce  :  How you happened across the issue  and what exactly you did to make the bug happen  _x000D_
Idk just place a phase bridge_x000D_
  Link(s) to mod(s) used  :  The mod repositories or zip files that are related to the issue  if applicable  _x000D_
Nothin_x000D_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F I don t have one  I was on public server  there is image:_x000D_
  IMG 20201018 222637 (https:  user images githubusercontent com 67872140 96398929 aa00ab00 1192 11eb 85cb 417f03c24663 jpg)_x000D_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</si>
  <si>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nextcloud-android-7108</t>
  </si>
  <si>
    <t>nextcloud client crash when accessing a folder where some content have been deleted</t>
  </si>
  <si>
    <t xml:space="preserve">    Steps to reproduce_x000D_
1  Open a folder in the client so that it  know  what is inside_x000D_
2  Delete content from somewhere else_x000D_
3  Open again the client and go to the folder  app crash_x000D_
_x000D_
   _x000D_
             CAUSE OF ERROR             _x000D_
_x000D_
java lang IllegalStateException: Couldn t read row 1091  col 0 from CursorWindow   Make sure the Cursor is initialized correctly before accessing data from it _x000D_
	at android database CursorWindow nativeGetLong(Native Method)_x000D_
	at android database CursorWindow getLong(CursorWindow java:511)_x000D_
	at android database AbstractWindowedCursor getLong(AbstractWindowedCursor java:75)_x000D_
	at com owncloud android providers FileContentProvider deleteDirectory(FileContentProvider java:179)_x000D_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apply(ContentProviderOperation java:299)_x000D_
	at com owncloud android providers FileContentProvider applyBatch(FileContentProvider java:672)_x000D_
	at android content ContentProvider Transport applyBatch(ContentProvider java:319)_x000D_
	at android content ContentProviderClient applyBatch(ContentProviderClient java:465)_x000D_
	at android content ContentResolver applyBatch(ContentResolver java:1578)_x000D_
	at com owncloud android datamodel FileDataStorageManager saveFolder(FileDataStorageManager java:435)_x000D_
	at com owncloud android operations RefreshFolderOperation synchronizeData(RefreshFolderOperation java:490)_x000D_
	at com owncloud android operations RefreshFolderOperation fetchAndSyncRemoteFolder(RefreshFolderOperation java:372)_x000D_
	at com owncloud android operations RefreshFolderOperation run(RefreshFolderOperation java:231)_x000D_
	at com owncloud android lib common operations RemoteOperation run(RemoteOperation java:360)_x000D_
	at java lang Thread run(Thread java:764)_x000D_
_x000D_
             APP INFORMATION             _x000D_
ID: com nextcloud client_x000D_
Version: 30130190_x000D_
Build flavor: gplay_x000D_
_x000D_
             DEVICE INFORMATION             _x000D_
Brand: samsung_x000D_
Device: gts28wifi_x000D_
Model: SM T710_x000D_
Id: OPM7 181205 001_x000D_
Product: gts28wifi_x000D_
_x000D_
             FIRMWARE             _x000D_
SDK: 27_x000D_
Release: 8 1 0_x000D_
Incremental: 306907df37_x000D_
_x000D_
   </t>
  </si>
  <si>
    <t>Anuken-Mindustry-3016</t>
  </si>
  <si>
    <t>Oil extractor visual glitch?</t>
  </si>
  <si>
    <t xml:space="preserve">  Platform  :  Android iOS Mac Windows Linux _x000D_
Windows 10_x000D_
  Build  :  The build number under the title in the main menu  Required   LATEST  IS NOT A VERSION  I NEED THE EXACT BUILD NUMBER OF YOUR GAME  _x000D_
Build 109_x000D_
  Issue  :  Explain your issue in detail  _x000D_
Oil extractor looks like it has oil in it when fed water  even with no power or sand_x000D_
  image (https:  user images githubusercontent com 63363206 96386255 a64f3300 1156 11eb 8cfc fd5a557368b6 png)_x000D_
  Steps to reproduce  :  How you happened across the issue  and what exactly you did to make the bug happen  _x000D_
Just fed water to an oil extractor_x000D_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I have no idea how to and am too lazy to find which save it is  Image is self explanatory  anyway_x000D_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</si>
  <si>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TeamNewPipe-NewPipe-4563</t>
  </si>
  <si>
    <t>java.io.IOException: write failed: EFBIG (File too large)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</si>
  <si>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https:  youtu be ClBiOJkDJCc in newpipe (it s 8h50m20s CSpan video titled  Confirmation hearing for Supreme Court nominee Judge Amy Coney Barrett (day 3) _x000D_
2  Press Download _x000D_
3  Choose mpeg 4 720p (4 26gb)_x000D_
4  For  threads  choose 3 _x000D_
5  Press  ok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I got an error around the 90  mark_x000D_
_x000D_
_x000D_
    Expected behavior_x000D_
     Tell us what you expect to happen     _x000D_
I ve tried starting the download again  But it just would not continue downloading _x000D_
My SD card has a lot of space available  so whatever the problem is  I m sure the problem is not with running out of space on my SD card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Exception_x000D_
    User Action:   download failed_x000D_
    Request:   https:  www youtube com watch v ClBiOJkDJCc    type video format MPEG 4 quality 720p videoOnly false   _x000D_
    Content Country:   US_x000D_
    Content Language:   en US_x000D_
    App Language:   en US_x000D_
    Service:   YouTube_x000D_
    Version:   0 20 1_x000D_
    OS:   Linux samsung star2qltecs star2qltecs:10 QP1A 190711 020 G965WVLU7ETG1:user release keys 10   29_x000D_
 details  summary  b Crash log   b   summary  p _x000D_
_x000D_
   _x000D_
java io IOException: write failed: EFBIG (File too large)_x000D_
	at libcore io IoBridge write(IoBridge java:544)_x000D_
	at java io FileOutputStream write(FileOutputStream java:392)_x000D_
	at us shandian giga io FileStreamSAF write(FileStreamSAF java:131)_x000D_
	at us shandian giga get DownloadRunnable run(DownloadRunnable java:120)_x000D_
Caused by: android system ErrnoException: write failed: EFBIG (File too large)_x000D_
	at libcore io Linux writeBytes(Native Method)_x000D_
	at libcore io Linux write(Linux java:294)_x000D_
	at libcore io ForwardingOs write(ForwardingOs java:241)_x000D_
	at libcore io BlockGuardOs write(BlockGuardOs java:416)_x000D_
	at libcore io ForwardingOs write(ForwardingOs java:241)_x000D_
	at libcore io IoBridge write(IoBridge java:539)_x000D_
	    3 more_x000D_
_x000D_
   _x000D_
  details _x000D_
 hr _x000D_
_x000D_
     That s right  here     _x000D_
_x000D_
_x000D_
_x000D_
_x000D_
     please fill this out when you do not provide a log generate by NewPipe    _x000D_
    Device info_x000D_
_x000D_
   Android version Custom ROM version:_x000D_
   Device model:_x000D_
</t>
  </si>
  <si>
    <t>iamolegga-react-native-launch-arguments-2</t>
  </si>
  <si>
    <t>Crashes in Production</t>
  </si>
  <si>
    <t xml:space="preserve">Thanks for this library  We logged some user crashes of our production app due to this lib _x000D_
_x000D_
   _x000D_
com facebook react common JavascriptException: Error: Exception in HostObject::get(propName:LaunchArguments): java lang NullPointerException: Attempt to invoke virtual method  android content Intent android app Activity getIntent()  on a null object reference_x000D_
   </t>
  </si>
  <si>
    <t>AOF-Dev-MCinaBox-575</t>
  </si>
  <si>
    <t>pls help with mcinabox</t>
  </si>
  <si>
    <t xml:space="preserve">  Describe the crash  _x000D_
when i pressed start game after installing runtime and the version (it is 1 12 2 btw) the screen is black after 5 10 seconds it crashed pls help_x000D_
_x000D_
   Device:  infinix hot 8 _x000D_
   OS:  android 9 _x000D_
   App Version  v0 1 4 pre4 _x000D_
_x000D_
pls i need to play with my friends on a simple server_x000D_
_x000D_
_x000D_
_x000D_
_x000D_
_x000D_
</t>
  </si>
  <si>
    <t>Anuken-Mindustry-3009</t>
  </si>
  <si>
    <t>Bars UI crash?</t>
  </si>
  <si>
    <t xml:space="preserve">  Platform  :  Windows _x000D_
_x000D_
  Build  : Steam Build 109_x000D_
_x000D_
  Issue  : I think the crash log may better explain that   _x000D_
_x000D_
  Steps to reproduce  : I was attacking a sector  the enemy spawned tons of Polys  and while trying to distract them while I used Megas to pierce into their last core (yes  the sector had TWO cores)  oh no happens_x000D_
_x000D_
  Link(s) to mod(s) used  : none enabled_x000D_
_x000D_
  Save file  : _x000D_
 saves zip (https:  github com Anuken Mindustry files 5397841 saves zip)_x000D_
_x000D_
_x000D_
  Crash report  : _x000D_
 crash report 10 18 2020 12 47 45 txt (https:  github com Anuken Mindustry files 5397839 crash report 10 18 2020 12 47 45 txt)_x000D_
_x000D_
_x000D_
   _x000D_
_x000D_
 Place an X (no spaces) between the brackets to confirm that you have read the line below    _x000D_
   X    I have searched the closed and open issues to make sure that this problem has not already been reported   _x000D_
</t>
  </si>
  <si>
    <t>AOF-Dev-MCinaBox-573</t>
  </si>
  <si>
    <t>Keyboard selector crashes the app</t>
  </si>
  <si>
    <t xml:space="preserve">  Keyboard selector in game crashes the app  _x000D_
_x000D_
  To Reproduce  _x000D_
Steps to reproduce the crash:_x000D_
1  Go to  MCinaBox _x000D_
2  Click on  launch _x000D_
3  Press the  keyboards  button_x000D_
4  See the crash_x000D_
_x000D_
  Expected behavior  _x000D_
I don t even expected_x000D_
_x000D_
  Screenshots  _x000D_
If applicable  add screenshots to help explain your problem _x000D_
_x000D_
  Smartphone (please complete the following information):  _x000D_
   Device: Redmi Note 8T_x000D_
   OS: Pixel Experience Plus (Android 10)_x000D_
   App Version: 0 1 4 p4_x000D_
_x000D_
  Additional context  _x000D_
I tried to trick the game  by just replace tmp keyboard with my custom keyboard_x000D_
</t>
  </si>
  <si>
    <t>Anuken-Mindustry-3007</t>
  </si>
  <si>
    <t xml:space="preserve"> I was waiting for the new version and it turns out that nothing of the progress was saved and that makes me very angry &gt;:'(</t>
  </si>
  <si>
    <t xml:space="preserve">_x000D_
_x000D_
_x000D_
_x000D_
_x000D_
_x000D_
_x000D_
_x000D_
_x000D_
_x000D_
_x000D_
  Note  : Do not report any new bugs directly relating to the v6 campaign  They will not be fixed or considered at this time _x000D_
_x000D_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</si>
  <si>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TeamNewPipe-NewPipe-4552</t>
  </si>
  <si>
    <t>New videos in YouTube subscriptions do not appear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</si>
  <si>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Go to Subscriptions _x000D_
2  Click on the Subscription named  AwakenWithJP   I have had this occur with numerous subscriptions  but will use this one as the example here _x000D_
3  The video which came out today is not displayed _x000D_
4  Then go to YouTube in a web browser  visit https:  www youtube com user AwakenWithJP videos  and see the video which was created today display in your web browser _x000D_
     If you can t cause the bug to show up again reliably (and hence don t have a proper set of steps to give us)  please still try to give as many details as possible on how you think you encountered the bug     _x000D_
_x000D_
_x000D_
    Actual behaviour_x000D_
     Tell us what happens instead     _x000D_
The latest video is not displayed in NewPipe _x000D_
_x000D_
_x000D_
    Expected behavior_x000D_
     Tell us what you expect to happen     _x000D_
The latest video would be displayed in NewPipe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 LineageOS 15 1_x000D_
   Device model: ZTE A2017U_x000D_
_x000D_
    Additional notes_x000D_
  NewPipe works as expected behavior on a Nexus 5X with LineageOS 15 1  which is confusing me</t>
  </si>
  <si>
    <t>Anuken-Mindustry-3002</t>
  </si>
  <si>
    <t>rhino crash with eval</t>
  </si>
  <si>
    <t xml:space="preserve">  Platform  : Android 9_x000D_
_x000D_
  Build  : 10570_x000D_
_x000D_
  Issue  :_x000D_
Eval ing a called lambda that prints an assigned variable crashes rhino (no exception is caught)_x000D_
_x000D_
  Steps to reproduce  :_x000D_
   js_x000D_
const code    const r   Vars renderer planets  print( alive   its not the assignment )  print(r)  print( what  ) _x000D_
_x000D_
try  _x000D_
	print( try run       (()        code    )()    join(  n )) _x000D_
	eval(  (()        code    )()    join(  n )) _x000D_
	Log warn( No exception thrown  )_x000D_
  catch (e)  _x000D_
	Log warn( Caught exception )_x000D_
 _x000D_
   _x000D_
Read f8  Warn   good  Error   bad_x000D_
_x000D_
  Link to mod used  :  testcase zip (https:  github com Anuken Mindustry files 5396411 testcase zip)_x000D_
_x000D_
  Log  :_x000D_
   _x000D_
 I   test main js : try run (()     _x000D_
const r   Vars renderer planets  print( alive   its not the assignment )  print(r)  print( what  )_x000D_
 )() _x000D_
 I   test main js : alive   its not the assignment_x000D_
_x000D_
 E   test main js : NullPointerException: Attempt to invoke interface method  java lang Object rhino Callable call(rhino Context  rhino Scriptable  rhino Scriptable  java lang Object  )  on a null object reference_x000D_
   _x000D_
_x000D_
   _x000D_
_x000D_
 Place an X (no spaces) between the brackets to confirm that you have read the line below    _x000D_
   X    I have searched the closed and open issues to make sure that this problem has not already been reported   _x000D_
</t>
  </si>
  <si>
    <t>TeamNewPipe-NewPipe-4549</t>
  </si>
  <si>
    <t>Fix IllegalStateException after onSaveInstanceState</t>
  </si>
  <si>
    <t xml:space="preserve">     Hey there  Thank you so much for improving NewPipe  and filling out the details  Having roughly the same layout helps everyone considerably :)   _x000D_
_x000D_
     What is it _x000D_
   x  Bugfix (user facing)_x000D_
      Feature (user facing)_x000D_
      Codebase improvement (dev facing)_x000D_
      Meta improvement to the project (dev facing)_x000D_
_x000D_
     Description of the changes in your PR_x000D_
This PR fixes a random crash happening sometimes when messing with the miniplayer while it s still starting  According to  this SO (https:  stackoverflow com questions 7575921 illegalstateexception can not perform this action after onsaveinstancestate wit) the solution is just to replace  commit()  with  commitAllowingStateLoss()   which may not be a real solution (state loss should never happen in theory) but is surely better than making the app crash completely _x000D_
_x000D_
This was the stack trace:_x000D_
   _x000D_
java lang IllegalStateException: Can not perform this action after onSaveInstanceState_x000D_
        at androidx fragment app FragmentManager checkStateLoss(FragmentManager java:1691)_x000D_
        at androidx fragment app FragmentManager enqueueAction(FragmentManager java:1731)_x000D_
        at androidx fragment app BackStackRecord commitInternal(BackStackRecord java:321)_x000D_
        at androidx fragment app BackStackRecord commit(BackStackRecord java:286)_x000D_
        at org schabi newpipe util NavigationHelper showMiniPlayer(NavigationHelper java:409)_x000D_
        at org schabi newpipe MainActivity 3 onReceive(MainActivity java:822)_x000D_
        at android app LoadedApk ReceiverDispatcher Args run(LoadedApk java:1218)_x000D_
        at android os Handler handleCallback(Handler java:761) _x000D_
        at android os Handler dispatchMessage(Handler java:98) _x000D_
        at android os Looper loop(Looper java:156) _x000D_
        at android app ActivityThread main(ActivityThread java:6517) _x000D_
        at java lang reflect Method invoke(Native Method) _x000D_
        at com android internal os ZygoteInit MethodAndArgsCaller run(ZygoteInit java:942) _x000D_
        at com android internal os ZygoteInit main(ZygoteInit java:832) _x000D_
   _x000D_
_x000D_
     APK testing _x000D_
 app debug zip (https:  github com TeamNewPipe NewPipe files 5395820 app debug zip)_x000D_
_x000D_
     Due diligence_x000D_
   x  I read the  contribution guidelines (https:  github com TeamNewPipe NewPipe blob HEAD  github CONTRIBUTING md) _x000D_
</t>
  </si>
  <si>
    <t>TeamNewPipe-NewPipe-4546</t>
  </si>
  <si>
    <t>Crash on `ui error`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</si>
  <si>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The background queue was playing with auto play on  _x000D_
2  i searched for smth (in newpipe ofc) and clicked on one video to go to details page  _x000D_
3  it crashed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Have a running playlist in background  and open a new video from search results _x000D_
   Exception_x000D_
    User Action:   ui error_x000D_
    Request:   App crash  UI failure_x000D_
    Content Country:   DE_x000D_
    Content Language:   en US_x000D_
    App Language:   en_x000D_
    Service:   none_x000D_
    Version:   0 20 0_x000D_
    OS:   Linux Android 7 0   24_x000D_
 details  summary  b Crash log   b   summary  p _x000D_
_x000D_
   _x000D_
java lang NullPointerException: Attempt to invoke virtual method  int org schabi newpipe player playqueue PlayQueueItem getServiceId()  on a null object reference_x000D_
	at org schabi newpipe fragments detail VideoDetailFragment onQueueUpdate(VideoDetailFragment java:1736)_x000D_
	at org schabi newpipe player helper PlayerHolder 2 onQueueUpdate(PlayerHolder java:181)_x000D_
	at org schabi newpipe player VideoPlayerImpl updateQueue(VideoPlayerImpl java:1982)_x000D_
	at org schabi newpipe player VideoPlayerImpl setFragmentListener(VideoPlayerImpl java:1955)_x000D_
	at org schabi newpipe player helper PlayerHolder startPlayerListener(PlayerHolder java:130)_x000D_
	at org schabi newpipe player helper PlayerHolder setListener(PlayerHolder java:39)_x000D_
	at org schabi newpipe player helper PlayerHolder startService(PlayerHolder java:51)_x000D_
	at org schabi newpipe fragments detail VideoDetailFragment initListeners(VideoDetailFragment java:712)_x000D_
	at org schabi newpipe BaseFragment onViewCreated(BaseFragment java:72)_x000D_
	at org schabi newpipe fragments BaseStateFragment onViewCreated(BaseStateFragment java:56)_x000D_
	at androidx fragment app FragmentStateManager createView(FragmentStateManager java:332)_x000D_
	at androidx fragment app FragmentManager moveToState(FragmentManager java:1187)_x000D_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BackStackRecord executeOps(BackStackRecord java:447)_x000D_
	at androidx fragment app FragmentManager executeOps(FragmentManager java:2169)_x000D_
	at androidx fragment app FragmentManager executeOpsTogether(FragmentManager java:1992)_x000D_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java:751)_x000D_
	at android os Handler dispatchMessage(Handler java:95)_x000D_
	at android os Looper loop(Looper java:154)_x000D_
	at android app ActivityThread main(ActivityThread java:6146)_x000D_
	at java lang reflect Method invoke(Native Method)_x000D_
	at com android internal os ZygoteInit MethodAndArgsCaller run(ZygoteInit java:865)_x000D_
	at com android internal os ZygoteInit main(ZygoteInit java:755)_x000D_
_x000D_
   _x000D_
  details _x000D_
 hr _x000D_
_x000D_
_x000D_
_x000D_
_x000D_
     please fill this out when you do not provide a log generate by NewPipe    _x000D_
    Device info_x000D_
_x000D_
i think it was_x000D_
   Android version Custom ROM version: 7 0_x000D_
   Device model: Prime P30 (jivi)_x000D_
_x000D_
    _x000D_
source of the package: fdroid repo</t>
  </si>
  <si>
    <t>Anuken-Mindustry-2991</t>
  </si>
  <si>
    <t>Not able to host game</t>
  </si>
  <si>
    <t xml:space="preserve">  Platform  :  Mac _x000D_
_x000D_
  Build  : Beta 108_x000D_
_x000D_
  Issue  : Program crashes when trying to host a game_x000D_
_x000D_
  Steps to reproduce  : Start a game or campaign map  Pause  Host _x000D_
_x000D_
  Link(s) to mod(s) used  : none_x000D_
_x000D_
  Save file  : any save produced the bug_x000D_
_x000D_
  Crash report  : _x000D_
 img width  532  alt  Screenshot 2020 10 17 at 12 48 35  src  https:  user images githubusercontent com 97167 96335246 a75d6300 1077 11eb 9b31 293dc45b61d5 png  _x000D_
_x000D_
_x000D_
   _x000D_
_x000D_
 Place an X (no spaces) between the brackets to confirm that you have read the line below    _x000D_
    X    I have searched the closed and open issues to make sure that this problem has not already been reported   _x000D_
</t>
  </si>
  <si>
    <t>Anuken-Mindustry-2988</t>
  </si>
  <si>
    <t>Launch Pad Crash in Non-Campaign games.</t>
  </si>
  <si>
    <t xml:space="preserve">  Note  :  Do not report any new bugs directly relating to the v6 campaign  They will not be fixed or considered at this time  _x000D_
Sorry in advance if this counts _x000D_
_x000D_
  Platform  : Windows 10_x000D_
_x000D_
  Build  : Steam Beta  v108_x000D_
_x000D_
  Issue  : In Custom Games  including on servers and in singleplayer  hovering over a Launch Pad crashes the game  I lack the resources to see if this happens on other OS  eg Android _x000D_
_x000D_
  Steps to reproduce  : Hover over a Launch Pad in a Custom Game  and it ll take half a moment before crashing from a NullPointerException  I assume it s trying to pull data from somewhere that is only used in campaign  but since Custom Games don t have a use for that data space  it is left unused and gives either no data  or a weird response that the display can t interpret _x000D_
_x000D_
  Link(s) to mod(s) used  : All mods designed to work on the beta have been disabled prior to discovering this issue  All v105 mods are still enabled  but hopefully do not affect this crash  I will include a  zipped list of mods (https:  github com Anuken Mindustry files 5395019 mods zip) regardless _x000D_
_x000D_
_x000D_
  Save file  :  Crash Test file  (https:  github com Anuken Mindustry files 5395017 Crash Test zip) Credit to breakadawn76 for the original map  Just fly up and left to find the Launch Pads _x000D_
_x000D_
  Crash report  :  Here are two  (https:  docs google com document d 1zIKF49xVBGJiVbirMlc5rFID0gtCH8u92R1Xaag6 8s edit usp sharing) Note I took these logs a day or so ago _x000D_
_x000D_
   _x000D_
_x000D_
 Place an X (no spaces) between the brackets to confirm that you have read the line below    _x000D_
   X    I have searched the closed and open issues to make sure that this problem has not already been reported   _x000D_
</t>
  </si>
  <si>
    <t>Anuken-Mindustry-2987</t>
  </si>
  <si>
    <t>Some draug miner drones keep mining</t>
  </si>
  <si>
    <t xml:space="preserve">  Platform  :  Windows _x000D_
_x000D_
  Build  :  104 6 _x000D_
_x000D_
  Issue  :  Some draug miner drones keep mining when they shouldn t   core is already full  They seem to mine endlessly  They are not taking resources to the core  they just mine  Forcing them to move by come close seem to make them stop  A screenshot is attached  _x000D_
_x000D_
  Steps to reproduce  :  Fill the core with lead and copper  while still filling with graphite  The map is frozen desert and it s the first time playing it after two plays at ground zero  _x000D_
_x000D_
  Save file  :  2987 zip (https:  github com Anuken Mindustry files 5395029 2987 zip)_x000D_
_x000D_
  Crash report  :  The contents of relevant crash report files  REQUIRED if you are reporting a crash  _x000D_
_x000D_
  Screenshot  :   screenshot 108 (https:  user images githubusercontent com 2027447 96329035 7b15f800 101f 11eb 8c7e 4ce7bf92e8ac jpg)_x000D_
_x000D_
   _x000D_
_x000D_
   x    I have searched the closed and open issues to make sure that this problem has not already been reported   _x000D_
</t>
  </si>
  <si>
    <t>TeamNewPipe-NewPipe-4539</t>
  </si>
  <si>
    <t>searching for anything produces crash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</si>
  <si>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main page _x000D_
2  Press on  search_x000D_
3  Swipe down to  type anything at all and press enter _x000D_
   _x000D_
Search for any string at all_x000D_
Press enter_x000D_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error   sorry  something went wrong _x000D_
_x000D_
_x000D_
    Expected behavior_x000D_
     Tell us what you expect to happen     _x000D_
search results to appear_x000D_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Exception_x000D_
    User Action:   searched_x000D_
    Request:   literally anything at all_x000D_
    Content Country:   US_x000D_
    Content Language:   en US_x000D_
    App Language:   en US_x000D_
    Service:   YouTube_x000D_
    Version:   0 20 0_x000D_
    OS:   Linux Android 11   30_x000D_
 details  summary  b Crash log   b   summary  p _x000D_
_x000D_
   _x000D_
org schabi newpipe extractor exceptions ParsingException: Could not get ytInitialData_x000D_
	at org schabi newpipe extractor services youtube YoutubeParsingHelper getInitialData(YoutubeParsingHelper java:203)_x000D_
	at org schabi newpipe extractor services youtube YoutubeParsingHelper extractClientVersionAndKey(YoutubeParsingHelper java:222)_x000D_
	at org schabi newpipe extractor services youtube YoutubeParsingHelper getKey(YoutubeParsingHelper java:298)_x000D_
	at org schabi newpipe extractor services youtube extractors YoutubeSearchExtractor getNewNextPageFrom(YoutubeSearchExtractor java:233)_x000D_
	at org schabi newpipe extractor services youtube extractors YoutubeSearchExtractor getInitialPage(YoutubeSearchExtractor java:127)_x000D_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java:81)_x000D_
	at org schabi newpipe util    Lambda ExtractorHelper BBduYDeZ vXMQYaemaggmTPtqvA call(Unknown Source:8)_x000D_
	at io reactivex internal operators single SingleFromCallable subscribeActual(SingleFromCallable java:44)_x000D_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java:923)_x000D_
Caused by: org schabi newpipe extractor utils Parser RegexException: failed to find pattern  window   ytInitialData    s   s (       ) _x000D_
	at org schabi newpipe extractor utils Parser matchGroup(Parser java:72)_x000D_
	at org schabi newpipe extractor utils Parser matchGroup(Parser java:61)_x000D_
	at org schabi newpipe extractor utils Parser matchGroup1(Parser java:52)_x000D_
	at org schabi newpipe extractor services youtube YoutubeParsingHelper getInitialData(YoutubeParsingHelper java:200)_x000D_
	    20 more_x000D_
_x000D_
   _x000D_
  details _x000D_
 hr _x000D_
_x000D_
     That s right  here     _x000D_
_x000D_
_x000D_
_x000D_
_x000D_
     please fill this out when you do not provide a log generate by NewPipe    _x000D_
    Device info_x000D_
_x000D_
   Android version Custom ROM version:_x000D_
   Device model:_x000D_
</t>
  </si>
  <si>
    <t>doublesymmetry-react-native-track-player-1047</t>
  </si>
  <si>
    <t>[iOS] Crashes with local paths that have spaces/special characters</t>
  </si>
  <si>
    <t xml:space="preserve">  Describe the bug  _x000D_
When trying to load paths that have spaces and special characters  it crashes _x000D_
_x000D_
This crashes:_x000D_
   _x000D_
file:   Users marksteele Library Developer CoreSimulator Devices FBDD3C67 6D14 45E4 A795 CEC4AE6B3137 data Containers Data Application DEB6DA63 C93E 4FB7 A386 49DA6B5DE3B2 Library Caches Emusak songs UB40 UB40   Red Red Wine mp3 _x000D_
   _x000D_
this works just fine:_x000D_
   _x000D_
file:   Users marksteele Library Developer CoreSimulator Devices FBDD3C67 6D14 45E4 A795 CEC4AE6B3137 data Containers Data Application DEB6DA63 C93E 4FB7 A386 49DA6B5DE3B2 Library Caches Emusak songs UB40 Wine mp3_x000D_
   _x000D_
(Both files exist)_x000D_
_x000D_
_x000D_
  To Reproduce  _x000D_
Try to load a local file with spaces special characters in it _x000D_
_x000D_
  Environment (please complete the following information):  _x000D_
   _x000D_
npx react native info_x000D_
info Fetching system and libraries information   _x000D_
System:_x000D_
    OS: macOS 10 15 6_x000D_
    CPU: (8) x64 Intel(R) Core(TM) i7 4770HQ CPU   2 20GHz_x000D_
    Memory: 671 58 MB   16 00 GB_x000D_
    Shell: 3 2 57    bin bash_x000D_
  Binaries:_x000D_
    Node: 14 13 1    usr local bin node_x000D_
    Yarn: 1 22 10    usr local bin yarn_x000D_
    npm: 6 14 8    usr local bin npm_x000D_
    Watchman: 4 9 0    usr local bin watchman_x000D_
  Managers:_x000D_
    CocoaPods: 1 9 3    usr local bin pod_x000D_
  SDKs:_x000D_
    iOS SDK:_x000D_
      Platforms: iOS 14 0  DriverKit 19 0  macOS 10 15  tvOS 14 0  watchOS 7 0_x000D_
    Android SDK: Not Found_x000D_
  IDEs:_x000D_
    Android Studio: Not Found_x000D_
    Xcode: 12 0 1 12A7300    usr bin xcodebuild_x000D_
  Languages:_x000D_
    Java: 11 0 2    usr bin javac_x000D_
    Python: 2 7 16    usr bin python_x000D_
  npmPackages:_x000D_
     react native community cli: Not Found_x000D_
    react: 16 13 1    16 13 1 _x000D_
    react native: 0 63 3    0 63 3 _x000D_
    react native macos: Not Found_x000D_
  npmGlobalPackages:_x000D_
     react native : Not Found_x000D_
   _x000D_
  Code  _x000D_
   _x000D_
TrackPlayer add()    with file that has spaces in it_x000D_
TrackPlayer play()_x000D_
   boom_x000D_
   _x000D_
</t>
  </si>
  <si>
    <t>Anuken-Mindustry-2977</t>
  </si>
  <si>
    <t>Launching with resources doesnt work</t>
  </si>
  <si>
    <t xml:space="preserve">  Note  : Do not report any new bugs directly relating to the v6 campaign  They will not be fixed or considered at this time _x000D_
(sorry)_x000D_
  Platform  : windows 10 64 bit_x000D_
_x000D_
  Build  :  The build number under the title in the main menu  Required   LATEST  IS NOT A VERSION  I NEED THE EXACT BUILD NUMBER OF YOUR GAME   10539_x000D_
_x000D_
  Issue  :  Explain your issue in detail  _x000D_
attempting to launch that you have previously lost with resources doesn t work  you just launch and have no resources_x000D_
_x000D_
  Steps to reproduce  :  How you happened across the issue  and what exactly you did to make the bug happen  _x000D_
try to launch to a sector that has been previously lost 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MindustryV6Save zip (https:  github com Anuken Mindustry files 5393446 MindustryV6Save zip)_x000D_
_x000D_
_x000D_
_x000D_
  Crash report  :  The contents of relevant crash report files  REQUIRED if you are reporting a crash  _x000D_
not a crash_x000D_
   _x000D_
_x000D_
 Place an X (no spaces) between the brackets to confirm that you have read the line below    _x000D_
   X    I have searched the closed and open issues to make sure that this problem has not already been reported   _x000D_
</t>
  </si>
  <si>
    <t>inaturalist-iNaturalistAndroid-923</t>
  </si>
  <si>
    <t>NullPointerException in ObservationEditor.observationToUi</t>
  </si>
  <si>
    <t xml:space="preserve">https:  console firebase google com u 2 project inaturalist ios crashlytics app android:org inaturalist android issues 35a6f2577b92a336d28688c8bfe219b2_x000D_
_x000D_
   _x000D_
Caused by java lang NullPointerException: Attempt to invoke virtual method  boolean java lang Boolean booleanValue()  on a null object reference_x000D_
       at org inaturalist android ObservationEditor observationToUi(ObservationEditor java:1742)_x000D_
       at org inaturalist android ObservationEditor updateUi(ObservationEditor java:1571)_x000D_
       at org inaturalist android ObservationEditor initUi(ObservationEditor java:1567)_x000D_
       at org inaturalist android ObservationEditor onCreate(ObservationEditor java:878)_x000D_
       at android app Activity performCreate(Activity java:8086)_x000D_
       at android app Activity performCreate(Activity java:8074)_x000D_
   </t>
  </si>
  <si>
    <t>opensrp-opensrp-client-chw-1433</t>
  </si>
  <si>
    <t xml:space="preserve">Selecting a CHA for reports crashes the app </t>
  </si>
  <si>
    <t>If you open either the eligible children report or the doses needed report and try to select a CHA from the list  the app crashes and you get the  MOH VTS has stopped  error  _x000D_
_x000D_
This is likely because of a recent change made here: https:  github com OpenSRP opensrp client chw issues 1417</t>
  </si>
  <si>
    <t>AOF-Dev-MCinaBox-552</t>
  </si>
  <si>
    <t>copy texts and paste them when playing cause crash</t>
  </si>
  <si>
    <t xml:space="preserve">if you copy a text and paste it during playback  it crashes  my phone and one: moto e5 play   Android: 8 1 0 it has 1gb of ram </t>
  </si>
  <si>
    <t>Anuken-Mindustry-2973</t>
  </si>
  <si>
    <t>Mindustry crashes on hosting a multiplayer game</t>
  </si>
  <si>
    <t xml:space="preserve">  Note  : Do not report any new bugs directly relating to the v6 campaign  They will not be fixed or considered at this time _x000D_
_x000D_
  Platform  :  Android iOS Mac Windows Linux _x000D_
Linux 64 bit or Windows 64 bit (both tested)_x000D_
_x000D_
  Build  :  The build number under the title in the main menu  Required   LATEST  IS NOT A VERSION  I NEED THE EXACT BUILD NUMBER OF YOUR GAME  _x000D_
Version: beta build 108_x000D_
_x000D_
  Issue  :  Explain your issue in detail  _x000D_
  Mindustry     crashes   every time on hosting a Multiplayer game  I tested it   several times   with   different maps and scores    but  always  a window opened with the crash information while the game was closed  This bug is the same on both platforms (Windows and Linux) _x000D_
_x000D_
  Steps to reproduce  :  How you happened across the issue  and what exactly you did to make the bug happen  _x000D_
I can reproduce the bug every time I click on the multiplayer button  no matter which map or score I use _x000D_
The bug even exists after restarting the whole game _x000D_
_x000D_
  Link(s) to mod(s) used  :  The mod repositories or zip files that are related to the issue  if applicable  _x000D_
I used no mods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Mindustry has crashed  How unfortunate _x000D_
Report this at https:  github com Anuken Mindustry issues new labels bug template bug report md_x000D_
_x000D_
Version: beta build 108_x000D_
OS: Linux x64_x000D_
Java Version: 1 8 0 131_x000D_
Java Architecture: 64_x000D_
0 Mods_x000D_
_x000D_
java lang NullPointerException_x000D_
	at mindustry desktop DesktopLauncher updateLobby(DesktopLauncher java:230)_x000D_
	at mindustry ui dialogs HostDialog lambda runHost 15(HostDialog java:83)_x000D_
	at arc util Timer 1 run(Timer java:88)_x000D_
	at arc util TaskQueue run(TaskQueue java:17)_x000D_
	at arc backend sdl SdlApplication loop(SdlApplication java:160)_x000D_
	at arc backend sdl SdlApplication  init (SdlApplication java:52)_x000D_
	at mindustry desktop DesktopLauncher main(DesktopLauncher java:36)_x000D_
   _x000D_
_x000D_
 Place an X (no spaces) between the brackets to confirm that you have read the line below    _x000D_
   X    I have searched the closed and open issues to make sure that this problem has not already been reported   _x000D_
</t>
  </si>
  <si>
    <t>TeamNewPipe-NewPipe-4527</t>
  </si>
  <si>
    <t>Bug when searching</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</si>
  <si>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Checklist
     The first box has been checked for you to show you how it is done     
   x  I am using the latest version       compare Releases page and your version given in About in the app drawer    
      I checked  but didn t find any duplicates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Actual behaviour
     Tell us what happens instead     
Content in search doesn t load at all 
    Expected behavior
     Tell us what you expect to happen     
Content in search would load as usual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Logs
     If your bug includes a crash (where you re shown the Error Report page with a bunch of info)  tap on  Copy formatted report  at the bottom and paste it here:    
     That s right  here     
   Exception
    User Action:   searched
    Request:   foo
    Content Country:   US
    Content Language:   en US
    App Language:   en US
    Service:   YouTube
    Version:   0 20 0
    OS:   Linux motorola troika na troika:10 QSB30 121 12 53c1:user release keys 10   29
 details  summary  b Crash log   b   summary  p 
org schabi newpipe extractor exceptions ParsingException: Could not get ytInitialData
	at org schabi newpipe extractor services youtube YoutubeParsingHelper getInitialData(YoutubeParsingHelper java:203)
	at org schabi newpipe extractor services youtube YoutubeParsingHelper extractClientVersionAndKey(YoutubeParsingHelper java:222)
	at org schabi newpipe extractor services youtube YoutubeParsingHelper getKey(YoutubeParsingHelper java:298)
	at org schabi newpipe extractor services youtube extractors YoutubeSearchExtractor getNewNextPageFrom(YoutubeSearchExtractor java:233)
	at org schabi newpipe extractor services youtube extractors YoutubeSearchExtractor getInitialPage(YoutubeSearchExtractor java:127)
	at org schabi newpipe extractor utils ExtractorHelper getItemsPageOrLogError(ExtractorHelper java:19)
	at org schabi newpipe extractor search SearchInfo getInfo(SearchInfo java:55)
	at org schabi newpipe extractor search SearchInfo getInfo(SearchInfo java:30)
	at org schabi newpipe util ExtractorHelper lambda searchFor 0(ExtractorHelper java:81)
	at org schabi newpipe util    Lambda ExtractorHelper BBduYDeZ vXMQYaemaggmTPtqvA call(Unknown Source:8)
	at io reactivex internal operators single SingleFromCallable subscribeActual(SingleFromCallable java:44)
	at io reactivex Single subscribe(Single java:3666)
	at io reactivex internal operators single SingleSubscribeOn SubscribeOnObserver run(SingleSubscribeOn java:89)
	at io reactivex Scheduler DisposeTask run(Scheduler java:578)
	at io reactivex internal schedulers ScheduledRunnable run(ScheduledRunnable java:66)
	at io reactivex internal schedulers ScheduledRunnable call(ScheduledRunnable java:57)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java:919)
Caused by: org schabi newpipe extractor utils Parser RegexException: failed to find pattern  window   ytInitialData    s   s (       ) 
	at org schabi newpipe extractor utils Parser matchGroup(Parser java:72)
	at org schabi newpipe extractor utils Parser matchGroup(Parser java:61)
	at org schabi newpipe extractor utils Parser matchGroup1(Parser java:52)
	at org schabi newpipe extractor services youtube YoutubeParsingHelper getInitialData(YoutubeParsingHelper java:200)
	    20 more
  details 
 hr 
     please fill this out when you do not provide a log generate by NewPipe    
    Device info
   Android version Custom ROM version: android 10
   Device model: motorola one action
</t>
  </si>
  <si>
    <t>AOF-Dev-MCinaBox-550</t>
  </si>
  <si>
    <t>64bit Application Crashes on Boot</t>
  </si>
  <si>
    <t xml:space="preserve">  Describe the crash  _x000D_
When you install the 64 bit version of the software  install 64 bit runtime  and run game the game will boot up and crash after 3 5 seconds  _x000D_
_x000D_
  To Reproduce  _x000D_
Steps to reproduce the crash:_x000D_
1  Download 64 Bit version of software and runtime libraries_x000D_
2  Install 1 16 3 Minecraft _x000D_
3  Try to run game_x000D_
4  Game will crash after a few seconds_x000D_
_x000D_
  Expected behavior  _x000D_
Game to boot up and play  _x000D_
_x000D_
  Screenshots  _x000D_
https:  streamable com ai4jd6_x000D_
_x000D_
Video of crash_x000D_
_x000D_
  Smartphone (please complete the following information):  _x000D_
   Device: Samsung Galaxy Fold 2_x000D_
   OS: Android 10_x000D_
   App Version v0 1 4 4 _x000D_
</t>
  </si>
  <si>
    <t>Anuken-Mindustry-2968</t>
  </si>
  <si>
    <t>Multiplayer Crash</t>
  </si>
  <si>
    <t xml:space="preserve">  Issue  : The game crashes immediately when attempting to host multiplayer game _x000D_
_x000D_
  Steps to reproduce  : Started campaign with after deleting all game data from build 107   Pressed  Host multiplayer game    Immediate crash   Attempted to host custom game with immediate crash _x000D_
_x000D_
  Save file  : Attached 0 msav zipped as_x000D_
 0 zip (https:  github com Anuken Mindustry files 5388500 0 zip)_x000D_
_x000D_
  Crash report  : _x000D_
Mindustry has crashed  How unfortunate _x000D_
Report this at https:  github com Anuken Mindustry issues new labels bug template bug report md_x000D_
_x000D_
Version: beta build 108_x000D_
OS: Windows 10 x32_x000D_
Java Version: 1 8 0 261_x000D_
Java Architecture: 32_x000D_
0 Mods_x000D_
_x000D_
java lang NullPointerException_x000D_
	at mindustry desktop DesktopLauncher updateLobby(DesktopLauncher java:230)_x000D_
	at mindustry ui dialogs HostDialog lambda runHost 15(HostDialog java:83)_x000D_
	at arc util Timer 1 run(Timer java:88)_x000D_
	at arc util TaskQueue run(TaskQueue java:17)_x000D_
	at arc backend sdl SdlApplication loop(SdlApplication java:160)_x000D_
	at arc backend sdl SdlApplication  init (SdlApplication java:52)_x000D_
	at mindustry desktop DesktopLauncher main(DesktopLauncher java:36)_x000D_
   _x000D_
_x000D_
 Place an X (no spaces) between the brackets to confirm that you have read the line below    _x000D_
   x     I have searched the closed and open issues to make sure that this problem has not already been reported   _x000D_
</t>
  </si>
  <si>
    <t>material-components-material-components-android-1801</t>
  </si>
  <si>
    <t>[Motion] MaterialContainerTransform crashes when used with Compose</t>
  </si>
  <si>
    <t xml:space="preserve">  Description:   _x000D_
 MaterialContainerTransform  draws the start view without it being attached which is not allowed with Compose views (https:  issuetracker google com issues 170316859)_x000D_
_x000D_
It feels dangerous to draw views that are not attached  regardless of Compose  Instead perhaps the view could be added to the view overlay _x000D_
_x000D_
  Expected behavior:    MaterialContainerTransform  should not crash when used with Compose _x000D_
_x000D_
  Source code:   _x000D_
To reproduce this simply create a view that contains a Compose view and use MaterialContainerTransform with this view as the start view _x000D_
_x000D_
  Android API version:   All_x000D_
_x000D_
  Material Library version:    1 3 0 alpha03 _x000D_
  Compose version:    1 0 0 alpha04 </t>
  </si>
  <si>
    <t>Anuken-Mindustry-2967</t>
  </si>
  <si>
    <t>Not working processor</t>
  </si>
  <si>
    <t xml:space="preserve">  Note  : Do not report any new bugs directly relating to the v6 campaign  They will not be fixed or considered at this time _x000D_
_x000D_
  Platform  :  Windows _x000D_
_x000D_
  Build  :  Mindustry BE v10517 _x000D_
_x000D_
  Issue  :  Processor not working  Not react of jump or end  Any end  Blocks or end with last block of code  _x000D_
_x000D_
  Steps to reproduce  :  Update with new version _x000D_
_x000D_
  Link(s) to mod(s) used  :  No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GAME_x000D_
 asdasd zip (https:  github com Anuken Mindustry files 5387597 asdasd zip)  _x000D_
_x000D_
  Crash report  :  Not have crash report _x000D_
_x000D_
   _x000D_
_x000D_
 Place an X (no spaces) between the brackets to confirm that you have read the line below    _x000D_
   x    I have searched the closed and open issues to make sure that this problem has not already been reported   _x000D_
</t>
  </si>
  <si>
    <t>PojavLauncherTeam-PojavLauncher-357</t>
  </si>
  <si>
    <t>[BUG] Game crashes on startup.</t>
  </si>
  <si>
    <t xml:space="preserve">  Describe the bug  _x000D_
The game crashes on startup and throws error _x000D_
_x000D_
  To Reproduce  _x000D_
Steps to reproduce the behavior:_x000D_
1  Download aarch32 runtime 20200328 tar xz_x000D_
2  Start PojavLauncher _x000D_
3  Install Runtime _x000D_
4  Run any version _x000D_
_x000D_
  Expected behavior  _x000D_
I expected to see the game loading _x000D_
_x000D_
  Screenshots  _x000D_
  Screenshot 20201015 233353 PojavLauncher (Minecraft Java Edition for Android) (https:  user images githubusercontent com 69990794 96171851 f653ad00 0f3e 11eb 9325 50d31892a52f png)_x000D_
_x000D_
  Platform:  _x000D_
   Device Model: Samsung Galaxy A51 _x000D_
   CPU architecture: aarch64 _x000D_
   Android Version: 10 _x000D_
_x000D_
  Additional context  _x000D_
Warning: Text was translated using Google Translate _x000D_
I tried to install aarch32 since aarch64 cannot be found in the  tar xz extension  This runtime works fine with MCinaBox _x000D_
_x000D_
I read the information about aarch64  that you need to compile it yourself  but I don t know how to do this  and besides  it s complicated _x000D_
_x000D_
Log:_x000D_
java io FileNotFoundException:  data data net kdt pojavlaunch jre runtime release: open failed: ENOENT (No such file or directory)_x000D_
	at libcore io IoBridge open(IoBridge java:496)_x000D_
	at java io FileInputStream  init (FileInputStream java:159)_x000D_
	at java io FileInputStream  init (FileInputStream java:115)_x000D_
	at net kdt pojavlaunch Tools read(Tools java:755)_x000D_
	at net kdt pojavlaunch MainActivity checkJavaArchitecture(MainActivity java:961)_x000D_
	at net kdt pojavlaunch MainActivity runCraft(MainActivity java:951)_x000D_
	at net kdt pojavlaunch MainActivity access 2700(MainActivity java:28)_x000D_
	at net kdt pojavlaunch MainActivity 13 1 run(MainActivity java:717)_x000D_
	at java lang Thread run(Thread java:919)_x000D_
Caused by: android system ErrnoException: open failed: ENOENT (No such file or directory)_x000D_
	at libcore io Linux open(Native Method)_x000D_
	at libcore io ForwardingOs open(ForwardingOs java:167)_x000D_
	at libcore io BlockGuardOs open(BlockGuardOs java:252)_x000D_
	at libcore io ForwardingOs open(ForwardingOs java:167)_x000D_
	at android app ActivityThread AndroidOs open(ActivityThread java:7896)_x000D_
	at libcore io IoBridge open(IoBridge java:482)_x000D_
	    8 more_x000D_
</t>
  </si>
  <si>
    <t>TeamNewPipe-NewPipe-4520</t>
  </si>
  <si>
    <t xml:space="preserve">UI CRASH V 20 </t>
  </si>
  <si>
    <t xml:space="preserve">I started playing normally  then I was switching to full screen and trying to increase brightness  _x000D_
_x000D_
   Exception_x000D_
    User Action:   ui error_x000D_
    Request:   App crash  UI failure_x000D_
    Content Country:   GB_x000D_
    Content Language:   en GB_x000D_
    App Language:   en_x000D_
    Service:   none_x000D_
    Version:   0 20 0_x000D_
    OS:   Linux Android 7 1 2   25_x000D_
 details  summary  b Crash log   b   summary  p _x000D_
_x000D_
   _x000D_
java lang NullPointerException: Attempt to read from field  java util ArrayList androidx core app NotificationCompat Builder mActions  on a null object reference_x000D_
	at org schabi newpipe player NotificationUtil shouldUpdateBufferingSlot(NotificationUtil java:151)_x000D_
	at org schabi newpipe player VideoPlayerImpl onBuffering(VideoPlayerImpl java:1121)_x000D_
	at org schabi newpipe player BasePlayer changeState(BasePlayer java:583)_x000D_
	at org schabi newpipe player VideoPlayerImpl changeState(VideoPlayerImpl java:1102)_x000D_
	at org schabi newpipe player BasePlayer onPlayerStateChanged(BasePlayer java:798)_x000D_
	at com google android exoplayer2 ExoPlayerImpl PlaybackInfoUpdate lambda run 5 ExoPlayerImpl PlaybackInfoUpdate(ExoPlayerImpl java:828)_x000D_
	at com google android exoplayer2    Lambda ExoPlayerImpl PlaybackInfoUpdate AYkTJomZb3BnUDA59u8cvRVoKcM invokeListener(lambda)_x000D_
	at com google android exoplayer2 BasePlayer ListenerHolder invoke(BasePlayer java:182)_x000D_
	at com google android exoplayer2 ExoPlayerImpl invokeAll(ExoPlayerImpl java:845)_x000D_
	at com google android exoplayer2 ExoPlayerImpl access 000(ExoPlayerImpl java:43)_x000D_
	at com google android exoplayer2 ExoPlayerImpl PlaybackInfoUpdate run(ExoPlayerImpl java:826)_x000D_
	at com google android exoplayer2 ExoPlayerImpl notifyListeners(ExoPlayerImpl java:736)_x000D_
	at com google android exoplayer2 ExoPlayerImpl updatePlaybackInfo(ExoPlayerImpl java:710)_x000D_
	at com google android exoplayer2 ExoPlayerImpl handlePlaybackInfo(ExoPlayerImpl java:652)_x000D_
	at com google android exoplayer2 ExoPlayerImpl handleEvent(ExoPlayerImpl java:595)_x000D_
	at com google android exoplayer2 ExoPlayerImpl 1 handleMessage(ExoPlayerImpl java:127)_x000D_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at de robv android xposed XposedBridge main(XposedBridge java:107)_x000D_
_x000D_
   _x000D_
  details _x000D_
 hr _x000D_
</t>
  </si>
  <si>
    <t>Anuken-Mindustry-2966</t>
  </si>
  <si>
    <t xml:space="preserve">Толщина линий при y=96,117, и 128 пикселе является 2 при условии что толщина 1 (пример программы y=0, draw line x1=0, y1=y, x2=176, y2=y, y=y+1). y=136 пиксель вовсе исчезает. Вопрос, будет лт добавлен мощный процессор предназначенный для рисования? А то увеличивать количество ядер слишком дорого по криогенной. Вышло обновление, сейчас его скачиваю, но решил предупредить заранее! </t>
  </si>
  <si>
    <t xml:space="preserve">  Note  : Do not report any new bugs directly relating to the v6 campaign  They will not be fixed or considered at this time _x000D_
_x000D_
  Platform  :  Android iOS Mac Windows Linux _x000D_
_x000D_
  Build  :  The build number under the title in the main menu  Required   LATEST  IS NOT A VERSION  I NEED THE EXACT BUILD NUMBER OF YOUR GAME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</si>
  <si>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ankidroid-Anki-Android-7391</t>
  </si>
  <si>
    <t>Crash in 2.14alpha19 - ClassCastException in CollectionTask.onProgressUpdate</t>
  </si>
  <si>
    <t xml:space="preserve">_x000D_
 Arthur Milchior I think you touched this area in the last release _x000D_
_x000D_
https:  youtu be aG hzaufq0w_x000D_
_x000D_
_x000D_
   _x000D_
_x000D_
10 14 22:08:51 704: I AnkiDroid(20277): deleteNotesWithWrongFieldCounts   completed successfully_x000D_
10 14 22:08:51 707: E libc(644): Access denied finding property  vendor debug egl swapinterval _x000D_
10 14 22:08:51 708: I AnkiDroid(20277): cursor size: 0_x000D_
10 14 22:08:51 708: I AnkiDroid(20277): deleteNotesWithWrongFieldCounts   completed successfully_x000D_
10 14 22:08:51 708: D SurfaceFlinger(644): duplicate layer name: changing com ichi2 anki com ichi2 anki DeckPicker to com ichi2 anki com ichi2 anki DeckPicker 2_x000D_
10 14 22:08:51 710: E libc(644): Access denied finding property  vendor debug egl swapinterval _x000D_
10 14 22:08:51 711: I AnkiDroid(20277): cursor size: 0_x000D_
10 14 22:08:51 711: I AnkiDroid(20277): deleteNotesWithWrongFieldCounts   completed successfully_x000D_
10 14 22:08:51 713: I AnkiDroid(20277): cursor size: 0_x000D_
10 14 22:08:51 713: I AnkiDroid(20277): deleteNotesWithWrongFieldCounts   completed successfully_x000D_
10 14 22:08:51 714: I GoogleInputMethod(3419): onFinishInput() : Dummy InputConnection bound_x000D_
10 14 22:08:51 714: D AndroidRuntime(20277): Shutting down VM_x000D_
10 14 22:08:51 714: W Robo(20277): Ignoring exception _x000D_
10 14 22:08:51 714: W Robo(20277):           beginning of crash_x000D_
10 14 22:08:51 714: E AndroidRuntime(20277): FATAL EXCEPTION: main_x000D_
10 14 22:08:51 714: E AndroidRuntime(20277): Process: com ichi2 anki  PID: 20277_x000D_
10 14 22:08:51 714: E AndroidRuntime(20277): java lang ClassCastException: java lang Object   cannot be cast to com ichi2 async TaskData  _x000D_
10 14 22:08:51 714: E AndroidRuntime(20277): 	at com ichi2 async CollectionTask onProgressUpdate(CollectionTask java:1)_x000D_
10 14 22:08:51 714: E AndroidRuntime(20277): 	at android os AsyncTask InternalHandler handleMessage(AsyncTask java:715)_x000D_
10 14 22:08:51 714: E AndroidRuntime(20277): 	at android os Handler dispatchMessage(Handler java:106)_x000D_
10 14 22:08:51 714: E AndroidRuntime(20277): 	at android os Looper loop(Looper java:193)_x000D_
10 14 22:08:51 714: E AndroidRuntime(20277): 	at android app ActivityThread main(ActivityThread java:6718)_x000D_
10 14 22:08:51 714: E AndroidRuntime(20277): 	at java lang reflect Method invoke(Native Method)_x000D_
10 14 22:08:51 714: E AndroidRuntime(20277): 	at com android internal os RuntimeInit MethodAndArgsCaller run(RuntimeInit java:493)_x000D_
10 14 22:08:51 714: E AndroidRuntime(20277): 	at com android internal os ZygoteInit main(ZygoteInit java:858)_x000D_
   _x000D_
_x000D_
_x000D_
       Debug info_x000D_
Refer to the  support page (https:  ankidroid org docs help html) if you are unsure where to get the  debug info  _x000D_
_x000D_
       Research_x000D_
 Enter an  x  character to confirm the points below: _x000D_
_x000D_
      I have read the  support page (https:  ankidroid org docs help html) and am reporting a bug or enhancement request specific to AnkiDroid_x000D_
      I have checked the  manual (https:  ankidroid org docs manual html) and the  FAQ (https:  github com ankidroid Anki Android wiki FAQ) and could not find a solution to my issue_x000D_
      I have searched for similar existing issues here and on the user forum_x000D_
      (Optional) I have confirmed the issue is not resolved in the latest alpha release ( instructions (https:  docs ankidroid org manual html betaTesting))_x000D_
_x000D_
</t>
  </si>
  <si>
    <t>TeamNewPipe-NewPipe-4518</t>
  </si>
  <si>
    <t>Search results empty</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</si>
  <si>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 10 15 14 27 31 255 org schabi newpipe (https:  user images githubusercontent com 28925960 96144407 aac7e180 0ef3 11eb 8874 011c2e6c4b24 jpg)_x000D_
  Screenshot 2020 10 15 14 27 43 892 org schabi newpipe (https:  user images githubusercontent com 28925960 96144451 b4e9e000 0ef3 11eb 82f5 48708e882ef8 jpg)_x000D_
_x000D_
_x000D_
_x000D_
    Logs_x000D_
     If your bug includes a crash (where you re shown the Error Report page with a bunch of info)  tap on  Copy formatted report  at the bottom and paste it here:    _x000D_
                                     _x000D_
org schabi newpipe extractor exceptions ParsingException: Could not get ytInitialData_x000D_
	at org schabi newpipe extractor services youtube YoutubeParsingHelper getInitialData(YoutubeParsingHelper java:203)_x000D_
	at org schabi newpipe extractor services youtube YoutubeParsingHelper extractClientVersionAndKey(YoutubeParsingHelper java:222)_x000D_
	at org schabi newpipe extractor services youtube YoutubeParsingHelper getKey(YoutubeParsingHelper java:298)_x000D_
	at org schabi newpipe extractor services youtube extractors YoutubeSearchExtractor getNewNextPageFrom(YoutubeSearchExtractor java:233)_x000D_
	at org schabi newpipe extractor services youtube extractors YoutubeSearchExtractor getInitialPage(YoutubeSearchExtractor java:127)_x000D_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java:81)_x000D_
	at org schabi newpipe util    Lambda ExtractorHelper BBduYDeZ vXMQYaemaggmTPtqvA call(Unknown Source:8)_x000D_
	at io reactivex internal operators single SingleFromCallable subscribeActual(SingleFromCallable java:44)_x000D_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window   ytInitialData    s   s (       ) _x000D_
	at org schabi newpipe extractor utils Parser matchGroup(Parser java:72)_x000D_
	at org schabi newpipe extractor utils Parser matchGroup(Parser java:61)_x000D_
	at org schabi newpipe extractor utils Parser matchGroup1(Parser java:52)_x000D_
	at org schabi newpipe extractor services youtube YoutubeParsingHelper getInitialData(YoutubeParsingHelper java:200)_x000D_
	    20 more_x000D_
                                     _x000D_
     That s right  here     _x000D_
_x000D_
No search results after tap to search something_x000D_
_x000D_
_x000D_
     please fill this out when you do not provide a log generate by NewPipe    _x000D_
    Device info_x000D_
_x000D_
   Android version Custom ROM version: 10_x000D_
   Device model: Xiaomi 9 lite_x000D_
</t>
  </si>
  <si>
    <t>Anuken-Mindustry-2963</t>
  </si>
  <si>
    <t>CRASH BUG</t>
  </si>
  <si>
    <t>Ok i dont have a crash report but your mindustry app not steam i have bought mindustry steam buta the winrar ones version 108 on windows in my brother and cousin laptop they used hamachi ro play to gether with me too they used hamachi open mindustry them they host a game then it crashes</t>
  </si>
  <si>
    <t>AOF-Dev-MCinaBox-540</t>
  </si>
  <si>
    <t>Crash when pressing on the configure button ingame or the left arrow, all other buttons are fine.</t>
  </si>
  <si>
    <t xml:space="preserve">When I press the configure button ingame or on the left arrow on the DPad  the game crashes  _x000D_
I am running the 32 bit version of v0 1 4 p4 with the aarch32 20200928 tar xz runtime  because I want to play 1 16 3 and that does not even launch on the 64 bit version _x000D_
_x000D_
Relevant log:_x000D_
   10 15 15:02:17 865 10721:10721 E mcinabox  _x000D_
Updata Setting _x000D_
_x000D_
  10 15 15:02:17 856 10721:10721 W com aof mcinabox  _x000D_
type 1400 audit(0 0:8196): avc: denied   read   for comm 52656E64657220746872656164 name  cpu shares  dev  cgroup  ino 8 scontext u:r:untrusted app 25:s0:c512 c768 tcontext u:object r:cgroup:s0 tclass file permissive 0 app com aof mcinabox_x000D_
_x000D_
  10 15 15:02:17 879 10721:10721 E mcinabox  _x000D_
Updata Setting _x000D_
_x000D_
  10 15 15:02:18 016 10721:10721 I chatty    _x000D_
uid 10179(com aof mcinabox) identical 1 line_x000D_
_x000D_
  10 15 15:02:18 158 10721:10721 E mcinabox  _x000D_
Updata Setting _x000D_
_x000D_
  10 15 15:02:18 360 10721:14758 E OtgKeyboard  _x000D_
Type: 11 KeyName: null Pressed: true_x000D_
_x000D_
  10 15 15:02:18 361 10721:14758 E AndroidRuntime  _x000D_
FATAL EXCEPTION: Thread 43_x000D_
Process: com aof mcinabox  PID: 10721_x000D_
java lang NullPointerException: Attempt to invoke virtual method  java lang String   java lang String split(java lang String)  on a null object reference_x000D_
	at com aof mcinabox gamecontroller controller HardwareController sendKey(HardwareController java:65)_x000D_
	at com aof mcinabox gamecontroller input otg Keyboard sendKeyEvent(Keyboard java:65)_x000D_
	at com aof mcinabox gamecontroller input otg Keyboard onKey(Keyboard java:76)_x000D_
	at com aof mcinabox gamecontroller controller HardwareController dispatchKeyEvent(HardwareController java:118)_x000D_
	at cosine boat BoatActivity dispatchKeyEvent(BoatActivity java:284)_x000D_
	at cosine boat BoatInput dispatchKeyEvent(BoatInput java:61)_x000D_
_x000D_
_x000D_
  10 15 15:02:18 383 10721:14758 I Process   _x000D_
Sending signal  PID: 10721 SIG: 9_x000D_
 _x000D_
_x000D_
Does anyone know how to fix this or if this is an issue with the code I can build and test it </t>
  </si>
  <si>
    <t>Anuken-Mindustry-2962</t>
  </si>
  <si>
    <t>Build Speed Bug</t>
  </si>
  <si>
    <t xml:space="preserve">  Note  : Do not report any new bugs directly relating to the v6 campaign  They will not be fixed or considered at this time _x000D_
_x000D_
  Platform  :  Android iOS Mac Windows Linux _x000D_
_x000D_
  Build  :  The build number under the title in the main menu  Required   LATEST  IS NOT A VERSION  I NEED THE EXACT BUILD NUMBER OF YOUR GAME  _x000D_
Steam 108_x000D_
  Issue  :  Explain your issue in detail  _x000D_
When you turn the building speed up really  really high  like 9999999   everything costs one resource to build  For example: If you re building something that costs like 9k silicon  and you only have 8k  it ll build it  After that  you still can build that 9k sili cost with one silicon _x000D_
  Steps to reproduce  :  How you happened across the issue  and what exactly you did to make the bug happen  _x000D_
Well  I made a Custom game on the Tug of War 3 PvP map  raised the building speed really  really high (again upwards of 999k)  and It happened  and what happened is explained above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https:  file io uCO7OTEZXsZE_x000D_
  Crash report  :  The contents of relevant crash report files  REQUIRED if you are reporting a crash  _x000D_
No Crash_x000D_
   _x000D_
_x000D_
 Place an X (no spaces) between the brackets to confirm that you have read the line below    _x000D_
   X    I have searched the closed and open issues to make sure that this problem has not already been reported   _x000D_
</t>
  </si>
  <si>
    <t>Anuken-Mindustry-2959</t>
  </si>
  <si>
    <t>crash server in campaign</t>
  </si>
  <si>
    <t xml:space="preserve">  Note  : Do not report any new bugs directly relating to the v6 campaign  They will not be fixed or considered at this time _x000D_
_x000D_
  Platform  :  Windows _x000D_
_x000D_
  Build  :  108  _x000D_
_x000D_
  Issue  :  game crash due to server launch _x000D_
_x000D_
  Steps to reproduce  :  entered the campaign  pressed esc  clicked to start the server and the error _x000D_
_x000D_
  Link(s) to mod(s) used  :  None _x000D_
_x000D_
  Save file  :   mydata zip (https:  github com Anuken Mindustry files 5384406 mydata zip) _x000D_
_x000D_
  Crash report  :   crash report 10 15 2020 14 08 58 txt (https:  github com Anuken Mindustry files 5384397 crash report 10 15 2020 14 08 58 txt) _x000D_
_x000D_
   _x000D_
_x000D_
   x   _x000D_
</t>
  </si>
  <si>
    <t>getodk-collect-4170</t>
  </si>
  <si>
    <t>Crash when editable field with calculate is used in relevance expression</t>
  </si>
  <si>
    <t xml:space="preserve">     Problem description_x000D_
https:  console firebase google com u 0 project api project 322300403941 crashlytics app android:org odk collect android issues 85177cf7b388af8b6ec086cd77c7cc05 time last seven days versions v1 28 2 20(3943) sessionEventKey 5F88045E02020001727F5A1D764EC4D0 1462203208677627982_x000D_
_x000D_
   _x000D_
Fatal Exception: java lang ArrayIndexOutOfBoundsException: length 2  index 2_x000D_
       at org odk collect android activities FormEntryActivity saveAnswersForCurrentScreen(FormEntryActivity java:1129)_x000D_
       at org odk collect android activities FormEntryActivity updateFieldListQuestions(FormEntryActivity java:2714)_x000D_
       at org odk collect android activities FormEntryActivity access 1900(FormEntryActivity java:200)_x000D_
       at org odk collect android activities FormEntryActivity 10 run(FormEntryActivity java:2681)_x000D_
       at android app Activity runOnUiThread(Activity java:6972)_x000D_
       at org odk collect android activities FormEntryActivity widgetValueChanged(FormEntryActivity java:2678)_x000D_
       at org odk collect android formentry ODKView widgetValueChanged(ODKView java:621)_x000D_
       at org odk collect android widgets QuestionWidget widgetValueChanged(QuestionWidget java:499)_x000D_
       at org odk collect android widgets items SelectOneWidget onItemClicked(SelectOneWidget java:103)_x000D_
       at org odk collect android formentry questions AudioVideoImageTextLabel lambda setTextView 0(AudioVideoImageTextLabel java:118)_x000D_
       at org odk collect android formentry questions    Lambda AudioVideoImageTextLabel MqCYJ2yJoQ6DnhH04sxqp kc3wc onClick(  java:2)_x000D_
   _x000D_
_x000D_
     Steps to reproduce the problem_x000D_
 crashOnFieldList xlsx (https:  github com getodk collect files 5384239 crashOnFieldList xlsx)_x000D_
  ezgif com video to gif (7) (https:  user images githubusercontent com 3276264 96113740 e6a77a80 0ee4 11eb 8954 827076d07a84 gif)_x000D_
_x000D_
_x000D_
</t>
  </si>
  <si>
    <t>TeamNewPipe-NewPipe-4516</t>
  </si>
  <si>
    <t>Thumbnail corruption and subsequent crashing</t>
  </si>
  <si>
    <t>I switched to Android 10 on a f2fs system and cache partition  up from Android 7 yesturday _x000D_
NewPipe suddenly behaves as if it were inflicted with memory corruption _x000D_
If I look at a list of Videos everything looks fine  As soon as I load a video and close it again to return to the Main page of the video  the thumbnail is corrupted with the tell tale streaks of overwritten memory _x000D_
I checked both 0 19 8 and 0 20 0  same deal _x000D_
_x000D_
Now it get s to where it becomes a problem: The subs    What s new  page  The thumnails are saved by NewPipe to prevent redownloading  But the thumbnail stays corrupted  It is apparently saved in a corrupted state  If I load up the subs page  the app crashes instantly  No Error  no message  no logs  Just straight closed and that s it _x000D_
Any other aspect of the app works fine  But the corrputed thumbnail in the subs page prevents me from opening that page _x000D_
_x000D_
_x000D_
    Steps to reproduce the bug_x000D_
NewPipe is the only App showing problems :S_x000D_
Open up any Video  close it  watch the thumbnail get corrupted   _x000D_
_x000D_
_x000D_
    Logs_x000D_
Unfortunately NewPipe does not offer the logs dialog after the crash happened _x000D_
_x000D_
    Device info_x000D_
   Android version Custom ROM version: (LineageOS 17 1  Argon kernel)_x000D_
    Link to Rom for context (https:  forum xda developers com oneplus one development rom unofficial optimized lineageos 14 1 t3693223)_x000D_
   Device model: OnePlus One (codnamed bacon or A0001)_x000D_
_x000D_
_x000D_
    Screenshots Screen recordings_x000D_
  Screenshot 20201015 113042 NewPipe (https:  user images githubusercontent com 60887273 96107173 63822680 0edc 11eb 9baa 2c75b1ac070e png)_x000D_
  Screenshot 20201015 113627 NewPipe (https:  user images githubusercontent com 60887273 96107185 667d1700 0edc 11eb 9cd1 fed3ae6b6bfb png)_x000D_
  Screenshot 20201015 113651 NewPipe (https:  user images githubusercontent com 60887273 96107193 6846da80 0edc 11eb 8a6f cc11ef11aaab png)_x000D_
  Screenshot 20201015 113701 NewPipe (https:  user images githubusercontent com 60887273 96107199 6aa93480 0edc 11eb 80c0 ac55fa832b56 png)</t>
  </si>
  <si>
    <t>microsoftgraph-msgraph-sdk-java-542</t>
  </si>
  <si>
    <t>Getting crash in Android OS 7</t>
  </si>
  <si>
    <t xml:space="preserve">While in process of uploading file to OneDrive  we are getting crash on device OS 7    We couldn t verify this crash on Android OS level below 7 as we get the crash in CalenderSerializer before this flow kicks in   _x000D_
_x000D_
Crash logs are as follow:_x000D_
          beginning of crash 10 15 10:32:12 228 13689 13689 E AndroidRuntime: FATAL EXCEPTION: main 10 15 10:32:12 228 13689 13689 E AndroidRuntime: Process: com adobe reader  PID: 13689 10 15 10:32:12 228 13689 13689 E AndroidRuntime: java lang NoSuchMethodError: No interface method getTypeName()Ljava lang String  in class Ljava lang reflect Type  or its super classes (declaration of  java lang reflect Type  appears in  system framework core oj jar) 10 15 10:32:12 228 13689 13689 E AndroidRuntime: at com microsoft graph serializer CollectionPageSerializer deserialize(CollectionPageSerializer java:115) 10 15 10:32:12 228 13689 13689 E AndroidRuntime: at com microsoft graph serializer GsonFactory 12 deserialize(GsonFactory java:229) 10 15 10:32:12 228 13689 13689 E AndroidRuntime: at com microsoft graph serializer GsonFactory 12 deserialize(GsonFactory java:224) 10 15 10:32:12 228 13689 13689 E AndroidRuntime: at _x000D_
_x000D_
    Expected behavior_x000D_
It shouldn t crash and handle newer apis with fallback mechanish or apis that is supported in older OS version_x000D_
_x000D_
    Devices tested where issue is observed:_x000D_
Asus Tab  Samsung J7  Samsung Tab A  Galaxy S6_x000D_
_x000D_
    Cause_x000D_
After some analysis  I found that crash is originating from CollectionPageSerializer which is being registered into Gson type adapter and which in function deserialize calls the method Type getTypeName() which is a default method added after Java 1 8_x000D_
_x000D_
_x000D_
Also can we make gson variable in DefaultSerializer public so that while configuring the graph client we can replace these problematic TypeAdapters with the custom solution  Like in case of when XXX is not supported in simpleDateFormat then same can be replaced with joda time as we already have that dependency  Similarly in this case as well usage of getTypeName() can be replace with getName() or getCannonicalName() as to avoid crash_x000D_
_x000D_
_x000D_
</t>
  </si>
  <si>
    <t>dev-labs-bg-fullscreen-video-view-75</t>
  </si>
  <si>
    <t>Attempt to invoke virtual method 'int bg.devlabs.fullscreenvideoview.model.Margins.getLeft()' on a null object reference</t>
  </si>
  <si>
    <t>When leaving the fullscreen mode the app crashes _x000D_
_x000D_
1  open app in landscape mode_x000D_
2  start a video_x000D_
3  click fullscreen button (it looks like this is not working)_x000D_
3  click the leave fullscreen button    crash_x000D_
_x000D_
java lang NullPointerException: Attempt to invoke virtual method  int bg devlabs fullscreenvideoview model Margins getLeft()  on a null object reference_x000D_
        at bg devlabs fullscreenvideoview FullscreenVideoView onFullscreenDeactivated(FullscreenVideoView java:907)_x000D_
        at bg devlabs fullscreenvideoview orientation OrientationManager exitFullscreen(OrientationManager java:90)_x000D_
        at bg devlabs fullscreenvideoview orientation OrientationManager handleConfigurationChange(OrientationManager java:188)_x000D_
        at bg devlabs fullscreenvideoview FullscreenVideoView onConfigurationChanged(FullscreenVideoView java:783)_x000D_
        at android view View dispatchConfigurationChanged(View java:14887)_x000D_
        at android view ViewGroup dispatchConfigurationChanged(ViewGroup java:1636)_x000D_
        at android view ViewGroup dispatchConfigurationChanged(ViewGroup java:1640)_x000D_
        at android view ViewGroup dispatchConfigurationChanged(ViewGroup java:1640)_x000D_
        at android view ViewGroup dispatchConfigurationChanged(ViewGroup java:1640)_x000D_
        at android view ViewGroup dispatchConfigurationChanged(ViewGroup java:1640)_x000D_
        at android view ViewGroup dispatchConfigurationChanged(ViewGroup java:1640)_x000D_
        at android view ViewGroup dispatchConfigurationChanged(ViewGroup java:1640)_x000D_
        at android view ViewGroup dispatchConfigurationChanged(ViewGroup java:1640)_x000D_
        at android view ViewGroup dispatchConfigurationChanged(ViewGroup java:1640)_x000D_
        at android view ViewRootImpl updateConfiguration(ViewRootImpl java:4774)_x000D_
        at android app ActivityThread handleActivityConfigurationChanged(ActivityThread java:6039)_x000D_
        at android app servertransaction ActivityConfigurationChangeItem execute(ActivityConfigurationChangeItem java:51)_x000D_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t>
  </si>
  <si>
    <t>google-ExoPlayer-8078</t>
  </si>
  <si>
    <t>NullPointerException in DownloadManager$InternalHandler.onContentLengthChanged()</t>
  </si>
  <si>
    <t xml:space="preserve">     REQUIRED  Issue description_x000D_
  there are some crashes on sentry which occurs in DownloadManager InternalHandler onContentLengthChanged()_x000D_
  this crash is new on exoplayer 2 12 0  there is zero crash on exoplayer 2 11 7_x000D_
_x000D_
     REQUIRED  Reproduction steps_x000D_
It is hard to reproduce for me on my device  but I found 600 times crash on sentry which occurs on user s devices_x000D_
_x000D_
     REQUIRED  Link to test content_x000D_
There is no specific content for this issue  regarding of this crash s frequency  I guess this crash is not related with specific media content _x000D_
_x000D_
     REQUIRED  A full bug report captured from the device_x000D_
_x000D_
   _x000D_
java lang NullPointerException: throw with null exception_x000D_
    at com google android exoplayer2 util Assertions checkNotNull(Assertions java:1)_x000D_
    at com google android exoplayer2 offline DownloadManager InternalHandler onContentLengthChanged(DownloadManager java:2)_x000D_
    at com google android exoplayer2 offline DownloadManager InternalHandler handleMessage(DownloadManager java:6)_x000D_
    at android os Handler dispatchMessage(Handler java:107)_x000D_
    at android os Looper loop(Looper java:224)_x000D_
    at android os HandlerThread run(HandlerThread java:67)_x000D_
   _x000D_
_x000D_
     REQUIRED  Version of ExoPlayer being used_x000D_
2 12 0 _x000D_
There is zero of this crash on Exoplayer version below 2 12 0 (like 2 11 7_x000D_
_x000D_
     REQUIRED  Device(s) and version(s) of Android being used_x000D_
A variety of kinds of devices are found  list as below_x000D_
  image (https:  user images githubusercontent com 3896690 96085530 88ce5f00 0ef3 11eb 8f42 7da278e2fb73 png)_x000D_
_x000D_
    Additional Info_x000D_
almost crash occurs after DownloadService is destroyed_x000D_
</t>
  </si>
  <si>
    <t>TeamNewPipe-NewPipe-4515</t>
  </si>
  <si>
    <t>Error When Attempting Search</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</si>
  <si>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1  Go to search bar_x000D_
2  Type search query (I typed  jericho green playlist  without quotes)_x000D_
3  Press enter on keyboard to search_x000D_
4  Nothing should come up  and the notification about error reporting should appear_x000D_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Nothing at all showed up in the search results  the Nothing Was Found icon displayed   I also got the notification to report an error  so it looked like some exception was caught or something   More details in pasted log below _x000D_
_x000D_
    Expected behavior_x000D_
     Tell us what you expect to happen     _x000D_
_x000D_
I wanted to search for the keyword mentioned above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N A_x000D_
_x000D_
    Logs_x000D_
     If your bug includes a crash (where you re shown the Error Report page with a bunch of info)  tap on  Copy formatted report  at the bottom and paste it here:    _x000D_
_x000D_
     That s right  here     _x000D_
_x000D_
_x000D_
when I went to search something with the search bar (already typed in  pressed enter to search)  this exception was apparently caught so I wanted to select the option to report it_x000D_
   Exception_x000D_
    User Action:   searched_x000D_
    Request:   jericho green playlist_x000D_
    Content Country:   US_x000D_
    Content Language:   en US_x000D_
    App Language:   en US_x000D_
    Service:   YouTube_x000D_
    Version:   0 20 0_x000D_
    OS:   Linux Android 10   29_x000D_
 details  summary  b Crash log   b   summary  p _x000D_
_x000D_
   _x000D_
org schabi newpipe extractor exceptions ParsingException: Could not get ytInitialData_x000D_
	at org schabi newpipe extractor services youtube YoutubeParsingHelper getInitialData(YoutubeParsingHelper java:203)_x000D_
	at org schabi newpipe extractor services youtube YoutubeParsingHelper extractClientVersionAndKey(YoutubeParsingHelper java:222)_x000D_
	at org schabi newpipe extractor services youtube YoutubeParsingHelper getKey(YoutubeParsingHelper java:298)_x000D_
	at org schabi newpipe extractor services youtube extractors YoutubeSearchExtractor getNewNextPageFrom(YoutubeSearchExtractor java:233)_x000D_
	at org schabi newpipe extractor services youtube extractors YoutubeSearchExtractor getInitialPage(YoutubeSearchExtractor java:127)_x000D_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java:81)_x000D_
	at org schabi newpipe util    Lambda ExtractorHelper BBduYDeZ vXMQYaemaggmTPtqvA call(Unknown Source:8)_x000D_
	at io reactivex internal operators single SingleFromCallable subscribeActual(SingleFromCallable java:44)_x000D_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window   ytInitialData    s   s (       ) _x000D_
	at org schabi newpipe extractor utils Parser matchGroup(Parser java:72)_x000D_
	at org schabi newpipe extractor utils Parser matchGroup(Parser java:61)_x000D_
	at org schabi newpipe extractor utils Parser matchGroup1(Parser java:52)_x000D_
	at org schabi newpipe extractor services youtube YoutubeParsingHelper getInitialData(YoutubeParsingHelper java:200)_x000D_
	    20 more_x000D_
_x000D_
   _x000D_
  details _x000D_
 hr _x000D_
_x000D_
_x000D_
     please fill this out when you do not provide a log generate by NewPipe    _x000D_
    Device info_x000D_
_x000D_
   Android version Custom ROM version:_x000D_
   Device model:_x000D_
</t>
  </si>
  <si>
    <t>Anuken-Mindustry-2957</t>
  </si>
  <si>
    <t>deletion of units but not for unit cap</t>
  </si>
  <si>
    <t xml:space="preserve">  Note  : Do not report any new bugs directly relating to the v6 campaign  They will not be fixed or considered at this time _x000D_
_x000D_
  Platform  :  Windows_x000D_
_x000D_
  Build  :  108 beta release_x000D_
_x000D_
  Issue  :  units being deleted_x000D_
_x000D_
  Steps to reproduce  :  we were using sandbox mode to create a bunch of t5 units and then they started randomly disapearing_x000D_
https:  drive google com file d 1K6Y2TqUdxe  p9VFQmoiZssUh3f2nIYq view usp sharing_x000D_
here is a video of what happened_x000D_
_x000D_
_x000D_
 mind saves zip (https:  github com Anuken Mindustry files 5382566 mind saves zip)_x000D_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</si>
  <si>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TeamNewPipe-NewPipe-4512</t>
  </si>
  <si>
    <t>Searching broken in 0.20.0</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</si>
  <si>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Search for anything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Crash_x000D_
_x000D_
_x000D_
    Expected behavior_x000D_
     Tell us what you expect to happen     _x000D_
_x000D_
No crash_x000D_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version:_x000D_
   Device model:_x000D_
_x000D_
   Exception_x000D_
    User Action:   searched_x000D_
    Request:   pixel 4a_x000D_
    Content Country:   US_x000D_
    Content Language:   en_x000D_
    App Language:   en US_x000D_
    Service:   YouTube_x000D_
    Version:   0 20 0_x000D_
    OS:   Linux Android 10   29_x000D_
 details  summary  b Crash log   b   summary  p _x000D_
_x000D_
   _x000D_
org schabi newpipe extractor exceptions ParsingException: Could not get ytInitialData_x000D_
	at org schabi newpipe extractor services youtube YoutubeParsingHelper getInitialData(YoutubeParsingHelper java:203)_x000D_
	at org schabi newpipe extractor services youtube YoutubeParsingHelper extractClientVersionAndKey(YoutubeParsingHelper java:222)_x000D_
	at org schabi newpipe extractor services youtube YoutubeParsingHelper getKey(YoutubeParsingHelper java:298)_x000D_
	at org schabi newpipe extractor services youtube extractors YoutubeSearchExtractor getNewNextPageFrom(YoutubeSearchExtractor java:233)_x000D_
	at org schabi newpipe extractor services youtube extractors YoutubeSearchExtractor getInitialPage(YoutubeSearchExtractor java:127)_x000D_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java:81)_x000D_
	at org schabi newpipe util    Lambda ExtractorHelper BBduYDeZ vXMQYaemaggmTPtqvA call(Unknown Source:8)_x000D_
	at io reactivex internal operators single SingleFromCallable subscribeActual(SingleFromCallable java:44)_x000D_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window   ytInitialData    s   s (       ) _x000D_
	at org schabi newpipe extractor utils Parser matchGroup(Parser java:72)_x000D_
	at org schabi newpipe extractor utils Parser matchGroup(Parser java:61)_x000D_
	at org schabi newpipe extractor utils Parser matchGroup1(Parser java:52)_x000D_
	at org schabi newpipe extractor services youtube YoutubeParsingHelper getInitialData(YoutubeParsingHelper java:200)_x000D_
	    20 more_x000D_
_x000D_
   _x000D_
  details _x000D_
 hr _x000D_
</t>
  </si>
  <si>
    <t>aws-amplify-aws-sdk-android-2155</t>
  </si>
  <si>
    <t>NPE on IdentityProvider.getDisplayName()</t>
  </si>
  <si>
    <t xml:space="preserve">  Describe the bug  _x000D_
We have a few hundred occurrences of this crash report  at least a dozen every week   We don t know the exact cause and are unable to reproduce  _x000D_
   _x000D_
Fatal Exception: java lang NullPointerException: Attempt to invoke interface method  java lang String com amazonaws mobile auth core IdentityProvider getDisplayName()  on a null object reference_x000D_
       at com amazonaws mobile auth core IdentityManager 6 1 onError(IdentityManager java:726)_x000D_
       at com amazonaws mobile auth core signin SignInManager SignInProviderResultAdapter 3 run(SignInManager java:199)_x000D_
       at android os Handler handleCallback(Handler java:873)_x000D_
       at android os Handler dispatchMessage(Handler java:99)_x000D_
       at android os Looper loop(Looper java:193)_x000D_
       at android app ActivityThread main(ActivityThread java:6923)_x000D_
       at java lang reflect Method invoke(Method java)_x000D_
       at com android internal os RuntimeInit MethodAndArgsCaller run(RuntimeInit java:493)_x000D_
       at com android internal os ZygoteInit main(ZygoteInit java:870)_x000D_
   _x000D_
_x000D_
Basically at some point in time  IdentityManager s  currentIdentityProvider  field is set to null prior to  SignInProviderResultAdapter onError(currentIdentityProvider)  being called   This then calls a log message which causes the NP dereference:_x000D_
   _x000D_
public void onError(final IdentityProvider provider  final Exception ex)  _x000D_
    Log e(LOG TAG _x000D_
        String format( SignInProviderResultAdapter onError():  s provider error   s  _x000D_
                      provider getDisplayName()  ex getMessage())  ex)      CRASH_x000D_
    handler onError(provider  new ProviderAuthException(provider  ex)) _x000D_
 _x000D_
   _x000D_
_x000D_
It appears that it may be a race condition as the only place that  currentIdentityProvider  is nulled out is in  IdentityManager signOut()    So our best guess is that something has signed the user out while another request (which ultimately fails) is still in motion _x000D_
_x000D_
This is all in AWS SDK code so we don t have any control over it or ability to insert NPE guards or extra logging unfortunately _x000D_
_x000D_
  To Reproduce  _x000D_
Unknown_x000D_
_x000D_
  Which AWS service(s) are affected   _x000D_
Cognito _x000D_
_x000D_
  Expected behavior  _x000D_
I would expect  provider  to never be null in the above callback and no crashes to occur _x000D_
_x000D_
  Screenshots  _x000D_
N A_x000D_
_x000D_
  Environment Information (please complete the following information):  _x000D_
   AWS Android SDK Version: we ve seen this for 2 16 12 and 2 6 30_x000D_
   Device: Hundreds of device models _x000D_
   Android Version: 6  7  8  9  10_x000D_
   Specific to simulators: No_x000D_
_x000D_
  Additional context  _x000D_
We integrate Cognito user pools  facebook and google logins   The only clue we have is that the number of crashes once spiked into the hundreds when the facebook dev app was briefly disabled  but we can t confirm that all crashes are cognito facebook related _x000D_
_x000D_
Our dependencies:_x000D_
   _x000D_
def aws version    2 16 12 _x000D_
implementation( com amazonaws:aws android sdk auth core: aws version aar ) _x000D_
implementation( com amazonaws:aws android sdk auth google: aws version aar )  _x000D_
    transitive   true_x000D_
 _x000D_
implementation( com amazonaws:aws android sdk auth facebook: aws version aar )_x000D_
implementation( com amazonaws:aws android sdk auth userpools: aws version aar )_x000D_
implementation( com amazonaws:aws android sdk cognitoidentityprovider: aws version )_x000D_
implementation( com amazonaws:aws android sdk apigateway core: aws version )  _x000D_
    exclude group:  com google code gson _x000D_
 _x000D_
   _x000D_
_x000D_
Let me know if I can provide any further information  I apologise for not having much around cause reproduction </t>
  </si>
  <si>
    <t>CleverTap-clevertap-react-native-112</t>
  </si>
  <si>
    <t>[Android] Compiling under/targeting SDK 30 causes crash on startup</t>
  </si>
  <si>
    <t xml:space="preserve">I ve been able to reliably reproduce this startup crash on Android when targeting SDK 30 (targeting 29 shows no such issue) _x000D_
_x000D_
   _x000D_
FATAL EXCEPTION: Thread 4_x000D_
Process: com gridwise app  PID: 11067_x000D_
java lang SecurityException: getDataNetworkTypeForSubscriber_x000D_
	at android os Parcel createExceptionOrNull(Parcel java:2373)_x000D_
	at android os Parcel createException(Parcel java:2357)_x000D_
	at android os Parcel readException(Parcel java:2340)_x000D_
	at android os Parcel readException(Parcel java:2282)_x000D_
	at com android internal telephony ITelephony Stub Proxy getNetworkTypeForSubscriber(ITelephony java:8762)_x000D_
	at android telephony TelephonyManager getNetworkType(TelephonyManager java:3021)_x000D_
	at android telephony TelephonyManager getNetworkType(TelephonyManager java:2985)_x000D_
	at com clevertap android sdk DeviceInfo DeviceCachedInfo getNetworkType(DeviceInfo java:618)_x000D_
	at com clevertap android sdk DeviceInfo DeviceCachedInfo  init (DeviceInfo java:546)_x000D_
	at com clevertap android sdk DeviceInfo getDeviceCachedInfo(DeviceInfo java:81)_x000D_
	at com clevertap android sdk DeviceInfo access 000(DeviceInfo java:23)_x000D_
	at com clevertap android sdk DeviceInfo 1 run(DeviceInfo java:52)_x000D_
	at java lang Thread run(Thread java:923)_x000D_
   _x000D_
_x000D_
 getNetworkType  is deprecated in Android 11   getDataNetworkType  should be used instead   Here (https:  github com mapbox mapbox gl native android issues 425) is a thread about the issue and  the PR (https:  github com mapbox mapbox events android pull 492) that fixed it </t>
  </si>
  <si>
    <t>cgeo-cgeo-9188</t>
  </si>
  <si>
    <t>Crashes involving TransactionTooLargeException</t>
  </si>
  <si>
    <t xml:space="preserve">  Describe the bug:  _x000D_
A user reported a reproducible crash on his installation if he tries to view the list of caches shown on the live map _x000D_
_x000D_
  To Reproduce:  _x000D_
Steps to reproduce the behavior:_x000D_
1  Open live map_x000D_
2  Click on Menu   Show as list_x000D_
_x000D_
  Actual behavior state after performing these steps:  _x000D_
Crash_x000D_
_x000D_
  Expected behavior state after performing these steps:  _x000D_
List of caches from map shown_x000D_
_x000D_
  Version of c:geo used:  _x000D_
2020 10 10 _x000D_
_x000D_
  Is the problem reproducible:  _x000D_
Yes  for this user  but not for me _x000D_
Happens (according to user) independently of the amount of caches shown on map_x000D_
_x000D_
  System information:  _x000D_
   _x000D_
    System information    _x000D_
Device: Nokia 7 plus (Onyx 00WW  Nokia)_x000D_
Android version: 10_x000D_
Android build: 00WW 4 16B_x000D_
c:geo version: 2020 10 10_x000D_
Google Play services: enabled   20 36 15 (120400 333172415)_x000D_
Low power mode: inactive_x000D_
Compass capabilities: yes_x000D_
Rotation vector sensor: present_x000D_
Orientation sensor: present_x000D_
Magnetometer   Accelerometer sensor: present_x000D_
Direction sensor used: rotation vector_x000D_
Hide caches: disabled archived_x000D_
Hide waypoints:  _x000D_
HW acceleration: enabled (default state)_x000D_
System language: de DE_x000D_
System date format: dd MM yy_x000D_
Debug mode active: no_x000D_
System internal c:geo dir:  data user 0 cgeo geocaching (22 5 GB free) internal_x000D_
User storage c:geo dir:  storage emulated 0 cgeo (22 5 GB free) external non removable_x000D_
Geocache data:  storage ECC2 14FE Android data cgeo geocaching files GeocacheData (95 6 GB free) external removable_x000D_
Database:  storage emulated 0 Android data cgeo geocaching files databases data (3 9 MB) on user storage_x000D_
GPX import path:  storage emulated 0 cgeo gpx_x000D_
GPX export path:  storage emulated 0 cgeo gpx_x000D_
Offline maps path:  storage emulated 0 OfflineKarten_x000D_
Map render theme path:_x000D_
Live map mode: true_x000D_
Global filter: display all caches_x000D_
Fine location permission: granted_x000D_
Write external storage permission: granted_x000D_
Geocaching sites enabled:_x000D_
   geocaching com: Logged in (Anmeldung OK)   PREMIUM_x000D_
   extremcachingcom: Logged in (Anmeldung OK)_x000D_
   opencaching de: Logged in (Anmeldung OK)_x000D_
Geocaching com date format: dd MM yyyy_x000D_
Installed c:geo plugins:  none_x000D_
BRouter connection available: false_x000D_
    End of system information    _x000D_
   _x000D_
_x000D_
  Additional context:  _x000D_
Log file content (related problem should be at the end of file):_x000D_
   _x000D_
          beginning of main_x000D_
10 14 09:19:03 741 18274 18274 E cgeo geocachin: Not starting debugger since process cannot load the jdwp agent _x000D_
10 14 09:19:03 779 18274 18274 I cgeo geocachin: The ClassLoaderContext is a special shared library _x000D_
10 14 09:19:03 860 18274 18274 W cgeo geocachin: Accessing hidden field Landroid view ViewConfiguration   sHasPermanentMenuKey:Z (greylist max p  reflection  denied)_x000D_
10 14 09:19:03 885 18274 18274 I cgeo    :  Log  Logging set: minLevel WARN  minAddCallerInfo NONE  addCallerInfoMaxDepth 4  throwOnError false_x000D_
10 14 09:19:03 885 18274 18274 I cgeo    :  Log  No logging config found at  storage emulated 0 cgeo logfiles log properties txt  using defaults_x000D_
10 14 09:19:03 885 18274 18274 I cgeo    :  Log  Logging set: minLevel WARN  minAddCallerInfo NONE  addCallerInfoMaxDepth 4  throwOnError false_x000D_
10 14 09:19:04 232 18274 18274 I cgeo    :  main   DB  Current Database Version: 86_x000D_
          beginning of system_x000D_
10 14 09:19:07 011 18274 18274 W cgeo    :  main  Exception when calculating latitude span_x000D_
10 14 09:19:07 011 18274 18274 W cgeo    : java lang IllegalArgumentException: invalid pixelY coordinate 576:  735 5909929738032_x000D_
10 14 09:19:07 011 18274 18274 W cgeo    : 	at org mapsforge core util MercatorProjection pixelYToLatitude(MercatorProjection java:409)_x000D_
10 14 09:19:07 011 18274 18274 W cgeo    : 	at org mapsforge core util MercatorProjection fromPixels(MercatorProjection java:91)_x000D_
10 14 09:19:07 011 18274 18274 W cgeo    : 	at cgeo geocaching maps mapsforge v6 MfMapView getLatitudeSpan(MfMapView java:51)_x000D_
10 14 09:19:07 011 18274 18274 W cgeo    : 	at cgeo geocaching maps mapsforge v6 MfMapView getViewport(MfMapView java:38)_x000D_
10 14 09:19:07 011 18274 18274 W cgeo    : 	at cgeo geocaching maps mapsforge v6 caches CachesBundle getViewport(CachesBundle java:290)_x000D_
10 14 09:19:07 011 18274 18274 W cgeo    : 	at cgeo geocaching maps mapsforge v6 caches AbstractCachesOverlay getVisibleCachesCount(AbstractCachesOverlay java:80)_x000D_
10 14 09:19:07 011 18274 18274 W cgeo    : 	at cgeo geocaching maps mapsforge v6 caches CachesBundle getVisibleCachesCount(CachesBundle java:173)_x000D_
10 14 09:19:07 011 18274 18274 W cgeo    : 	at cgeo geocaching maps mapsforge v6 caches CachesBundle getVisibleCachesCount(CachesBundle java:182)_x000D_
10 14 09:19:07 011 18274 18274 W cgeo    : 	at cgeo geocaching maps mapsforge v6 NewMap countVisibleCaches(NewMap java:1224)_x000D_
10 14 09:19:07 011 18274 18274 W cgeo    : 	at cgeo geocaching maps mapsforge v6 NewMap calculateSubtitle(NewMap java:1200)_x000D_
10 14 09:19:07 011 18274 18274 W cgeo    : 	at cgeo geocaching maps mapsforge v6 NewMap setSubtitle(NewMap java:1179)_x000D_
10 14 09:19:07 011 18274 18274 W cgeo    : 	at cgeo geocaching maps mapsforge v6 NewMap access 500(NewMap java:136)_x000D_
10 14 09:19:07 011 18274 18274 W cgeo    : 	at cgeo geocaching maps mapsforge v6 NewMap DisplayHandler handleMessage(NewMap java:1145)_x000D_
10 14 09:19:07 011 18274 18274 W cgeo    : 	at android os Handler dispatchMessage(Handler java:107)_x000D_
10 14 09:19:07 011 18274 18274 W cgeo    : 	at android os Looper loop(Looper java:214)_x000D_
10 14 09:19:07 011 18274 18274 W cgeo    : 	at android app ActivityThread main(ActivityThread java:7397)_x000D_
10 14 09:19:07 011 18274 18274 W cgeo    : 	at java lang reflect Method invoke(Native Method)_x000D_
10 14 09:19:07 011 18274 18274 W cgeo    : 	at com android internal os RuntimeInit MethodAndArgsCaller run(RuntimeInit java:492)_x000D_
10 14 09:19:07 011 18274 18274 W cgeo    : 	at com android internal os ZygoteInit main(ZygoteInit java:935)_x000D_
10 14 09:19:07 011 18274 18274 W cgeo    :  main  Exception when calculating longitude span_x000D_
10 14 09:19:07 011 18274 18274 W cgeo    : java lang IllegalArgumentException: invalid pixelX coordinate 576:  228 92352_x000D_
10 14 09:19:07 011 18274 18274 W cgeo    : 	at org mapsforge core util MercatorProjection pixelXToLongitude(MercatorProjection java:355)_x000D_
10 14 09:19:07 011 18274 18274 W cgeo    : 	at org mapsforge core util MercatorProjection fromPixels(MercatorProjection java:92)_x000D_
10 14 09:19:07 011 18274 18274 W cgeo    : 	at cgeo geocaching maps mapsforge v6 MfMapView getLongitudeSpan(MfMapView java:72)_x000D_
10 14 09:19:07 011 18274 18274 W cgeo    : 	at cgeo geocaching maps mapsforge v6 MfMapView getViewport(MfMapView java:38)_x000D_
10 14 09:19:07 011 18274 18274 W cgeo    : 	at cgeo geocaching maps mapsforge v6 caches CachesBundle getViewport(CachesBundle java:290)_x000D_
10 14 09:19:07 011 18274 18274 W cgeo    : 	at cgeo geocaching maps mapsforge v6 caches AbstractCachesOverlay getVisibleCachesCount(AbstractCachesOverlay java:80)_x000D_
10 14 09:19:07 011 18274 18274 W cgeo    : 	at cgeo geocaching maps mapsforge v6 caches CachesBundle getVisibleCachesCount(CachesBundle java:173)_x000D_
10 14 09:19:07 011 18274 18274 W cgeo    : 	at cgeo geocaching maps mapsforge v6 caches CachesBundle getVisibleCachesCount(CachesBundle java:182)_x000D_
10 14 09:19:07 011 18274 18274 W cgeo    : 	at cgeo geocaching maps mapsforge v6 NewMap countVisibleCaches(NewMap java:1224)_x000D_
10 14 09:19:07 011 18274 18274 W cgeo    : 	at cgeo geocaching maps mapsforge v6 NewMap calculateSubtitle(NewMap java:1200)_x000D_
10 14 09:19:07 011 18274 18274 W cgeo    : 	at cgeo geocaching maps mapsforge v6 NewMap setSubtitle(NewMap java:1179)_x000D_
10 14 09:19:07 011 18274 18274 W cgeo    : 	at cgeo geocaching maps mapsforge v6 NewMap access 500(NewMap java:136)_x000D_
10 14 09:19:07 011 18274 18274 W cgeo    : 	at cgeo geocaching maps mapsforge v6 NewMap DisplayHandler handleMessage(NewMap java:1145)_x000D_
10 14 09:19:07 011 18274 18274 W cgeo    : 	at android os Handler dispatchMessage(Handler java:107)_x000D_
10 14 09:19:07 011 18274 18274 W cgeo    : 	at android os Looper loop(Looper java:214)_x000D_
10 14 09:19:07 011 18274 18274 W cgeo    : 	at android app ActivityThread main(ActivityThread java:7397)_x000D_
10 14 09:19:07 011 18274 18274 W cgeo    : 	at java lang reflect Method invoke(Native Method)_x000D_
10 14 09:19:07 011 18274 18274 W cgeo    : 	at com android internal os RuntimeInit MethodAndArgsCaller run(RuntimeInit java:492)_x000D_
10 14 09:19:07 011 18274 18274 W cgeo    : 	at com android internal os ZygoteInit main(ZygoteInit java:935)_x000D_
10 14 09:19:07 012 18274 18274 W cgeo    :  main  Exception when calculating latitude span_x000D_
10 14 09:19:07 012 18274 18274 W cgeo    : java lang IllegalArgumentException: invalid pixelY coordinate 576:  735 5909929738032_x000D_
10 14 09:19:07 012 18274 18274 W cgeo    : 	at org mapsforge core util MercatorProjection pixelYToLatitude(MercatorProjection java:409)_x000D_
10 14 09:19:07 012 18274 18274 W cgeo    : 	at org mapsforge core util MercatorProjection fromPixels(MercatorProjection java:91)_x000D_
10 14 09:19:07 012 18274 18274 W cgeo    : 	at cgeo geocaching maps mapsforge v6 MfMapView getLatitudeSpan(MfMapView java:51)_x000D_
10 14 09:19:07 012 18274 18274 W cgeo    : 	at cgeo geocaching maps mapsforge v6 MfMapView getViewport(MfMapView java:38)_x000D_
10 14 09:19:07 012 18274 18274 W cgeo    : 	at cgeo geocaching maps mapsforge v6 caches CachesBundle getViewport(CachesBundle java:290)_x000D_
10 14 09:19:07 012 18274 18274 W cgeo    : 	at cgeo geocaching maps mapsforge v6 caches AbstractCachesOverlay getVisibleCachesCount(AbstractCachesOverlay java:80)_x000D_
10 14 09:19:07 012 18274 18274 W cgeo    : 	at cgeo geocaching maps mapsforge v6 caches CachesBundle getVisibleCachesCount(CachesBundle java:176)_x000D_
10 14 09:19:07 012 18274 18274 W cgeo    : 	at cgeo geocaching maps mapsforge v6 caches CachesBundle getVisibleCachesCount(CachesBundle java:182)_x000D_
10 14 09:19:07 012 18274 18274 W cgeo    : 	at cgeo geocaching maps mapsforge v6 NewMap countVisibleCaches(NewMap java:1224)_x000D_
10 14 09:19:07 012 18274 18274 W cgeo    : 	at cgeo geocaching maps mapsforge v6 NewMap calculateSubtitle(NewMap java:1200)_x000D_
10 14 09:19:07 012 18274 18274 W cgeo    : 	at cgeo geocaching maps mapsforge v6 NewMap setSubtitle(NewMap java:1179)_x000D_
10 14 09:19:07 012 18274 18274 W cgeo    : 	at cgeo geocaching maps mapsforge v6 NewMap access 500(NewMap java:136)_x000D_
10 14 09:19:07 012 18274 18274 W cgeo    : 	at cgeo geocaching maps mapsforge v6 NewMap DisplayHandler handleMessage(NewMap java:1145)_x000D_
10 14 09:19:07 012 18274 18274 W cgeo    : 	at android os Handler dispatchMessage(Handler java:107)_x000D_
10 14 09:19:07 012 18274 18274 W cgeo    : 	at android os Looper loop(Looper java:214)_x000D_
10 14 09:19:07 012 18274 18274 W cgeo    : 	at android app ActivityThread main(ActivityThread java:7397)_x000D_
10 14 09:19:07 012 18274 18274 W cgeo    : 	at java lang reflect Method invoke(Native Method)_x000D_
10 14 09:19:07 012 18274 18274 W cgeo    : 	at com android internal os RuntimeInit MethodAndArgsCaller run(RuntimeInit java:492)_x000D_
10 14 09:19:07 012 18274 18274 W cgeo    : 	at com android internal os ZygoteInit main(ZygoteInit java:935)_x000D_
10 14 09:19:07 012 18274 18274 W cgeo    :  main  Exception when calculating longitude span_x000D_
10 14 09:19:07 012 18274 18274 W cgeo    : java lang IllegalArgumentException: invalid pixelX coordinate 576:  228 92352_x000D_
10 14 09:19:07 012 18274 18274 W cgeo    : 	at org mapsforge core util MercatorProjection pixelXToLongitude(MercatorProjection java:355)_x000D_
10 14 09:19:07 012 18274 18274 W cgeo    : 	at org mapsforge core util MercatorProjection fromPixels(MercatorProjection java:92)_x000D_
10 14 09:19:07 012 18274 18274 W cgeo    : 	at cgeo geocaching maps mapsforge v6 MfMapView getLongitudeSpan(MfMapView java:72)_x000D_
10 14 09:19:07 012 18274 18274 W cgeo    : 	at cgeo geocaching maps mapsforge v6 MfMapView getViewport(MfMapView java:38)_x000D_
10 14 09:19:07 012 18274 18274 W cgeo    : 	at cgeo geocaching maps mapsforge v6 caches CachesBundle getViewport(CachesBundle java:290)_x000D_
10 14 09:19:07 012 18274 18274 W cgeo    : 	at cgeo geocaching maps mapsforge v6 caches AbstractCachesOverlay getVisibleCachesCount(AbstractCachesOverlay java:80)_x000D_
10 14 09:19:07 012 18274 18274 W cgeo    : 	at cgeo geocaching maps mapsforge v6 caches CachesBundle getVisibleCachesCount(CachesBundle java:176)_x000D_
10 14 09:19:07 012 18274 18274 W cgeo    : 	at cgeo geocaching maps mapsforge v6 caches CachesBundle getVisibleCachesCount(CachesBundle java:182)_x000D_
10 14 09:19:07 012 18274 18274 W cgeo    : 	at cgeo geocaching maps mapsforge v6 NewMap countVisibleCaches(NewMap java:1224)_x000D_
10 14 09:19:07 012 18274 18274 W cgeo    : 	at cgeo geocaching maps mapsforge v6 NewMap calculateSubtitle(NewMap java:1200)_x000D_
10 14 09:19:07 012 18274 18274 W cgeo    : 	at cgeo geocaching maps mapsforge v6 NewMap setSubtitle(NewMap java:1179)_x000D_
10 14 09:19:07 012 18274 18274 W cgeo    : 	at cgeo geocaching maps mapsforge v6 NewMap access 500(NewMap java:136)_x000D_
10 14 09:19:07 012 18274 18274 W cgeo    : 	at cgeo geocaching maps mapsforge v6 NewMap DisplayHandler handleMessage(NewMap java:1145)_x000D_
10 14 09:19:07 012 18274 18274 W cgeo    : 	at android os Handler dispatchMessage(Handler java:107)_x000D_
10 14 09:19:07 012 18274 18274 W cgeo    : 	at android os Looper loop(Looper java:214)_x000D_
10 14 09:19:07 012 18274 18274 W cgeo    : 	at android app ActivityThread main(ActivityThread java:7397)_x000D_
10 14 09:19:07 012 18274 18274 W cgeo    : 	at java lang reflect Method invoke(Native Method)_x000D_
10 14 09:19:07 012 18274 18274 W cgeo    : 	at com android internal os RuntimeInit MethodAndArgsCaller run(RuntimeInit java:492)_x000D_
10 14 09:19:07 012 18274 18274 W cgeo    : 	at com android internal os ZygoteInit main(ZygoteInit java:935)_x000D_
10 14 09:19:07 040 18274 18274 W cgeo    :  main  Exception when calculating latitude span_x000D_
10 14 09:19:07 040 18274 18274 W cgeo    : java lang IllegalArgumentException: invalid pixelY coordinate 576:  735 5909929738032_x000D_
10 14 09:19:07 040 18274 18274 W cgeo    : 	at org mapsforge core util MercatorProjection pixelYToLatitude(MercatorProjection java:409)_x000D_
10 14 09:19:07 040 18274 18274 W cgeo    : 	at org mapsforge core util MercatorProjection fromPixels(MercatorProjection java:91)_x000D_
10 14 09:19:07 040 18274 18274 W cgeo    : 	at cgeo geocaching maps mapsforge v6 MfMapView getLatitudeSpan(MfMapView java:51)_x000D_
10 14 09:19:07 040 18274 18274 W cgeo    : 	at cgeo geocaching maps mapsforge v6 MfMapView getViewport(MfMapView java:38)_x000D_
10 14 09:19:07 040 18274 18274 W cgeo    : 	at cgeo geocaching maps mapsforge v6 NewMap onChange(NewMap java:1803)_x000D_
10 14 09:19:07 040 18274 18274 W cgeo    : 	at org mapsforge map model common Observable notifyObservers(Observable java:46)_x000D_
10 14 09:19:07 040 18274 18274 W cgeo    : 	at org mapsforge map model MapViewPosition setCenter(MapViewPosition java:365)_x000D_
10 14 09:19:07 040 18274 18274 W cgeo    : 	at cgeo geocaching maps mapsforge v6 NewMap centerMap(NewMap java:1024)_x000D_
10 14 09:19:07 040 18274 18274 W cgeo    : 	at cgeo geocaching maps mapsforge v6 NewMap myLocationInMiddle(NewMap java:1121)_x000D_
10 14 09:19:07 040 18274 18274 W cgeo    : 	at cgeo geocaching maps mapsforge v6 NewMap switchMyLocationButton(NewMap java:1051)_x000D_
10 14 09:19:07 040 18274 18274 W cgeo    : 	at cgeo geocaching maps mapsforge v6 NewMap initMyLocationSwitchButton(NewMap java:1044)_x000D_
10 14 09:19:07 040 18274 18274 W cgeo    : 	at cgeo geocaching maps mapsforge v6 NewMap onCreateOptionsMenu(NewMap java:312)_x000D_
10 14 09:19:07 040 18274 18274 W cgeo    : 	at android app Activity onCreatePanelMenu(Activity java:4074)_x000D_
10 14 09:19:07 040 18274 18274 W cgeo    : 	at androidx fragment app FragmentActivity onCreatePanelMenu(FragmentActivity java:325)_x000D_
10 14 09:19:07 040 18274 18274 W cgeo    : 	at androidx appcompat view WindowCallbackWrapper onCreatePanelMenu(WindowCallbackWrapper java:94)_x000D_
10 14 09:19:07 040 18274 18274 W cgeo    : 	at androidx appcompat app AppCompatDelegateImpl AppCompatWindowCallback onCreatePanelMenu(AppCompatDelegateImpl java:3070)_x000D_
10 14 09:19:07 040 18274 18274 W cgeo    : 	at androidx appcompat app AppCompatDelegateImpl preparePanel(AppCompatDelegateImpl java:1895)_x000D_
10 14 09:19:07 040 18274 18274 W cgeo    : 	at androidx appcompat app AppCompatDelegateImpl doInvalidatePanelMenu(AppCompatDelegateImpl java:2176)_x000D_
10 14 09:19:07 040 18274 18274 W cgeo    : 	at androidx appcompat app AppCompatDelegateImpl 2 run(AppCompatDelegateImpl java:268)_x000D_
10 14 09:19:07 040 18274 18274 W cgeo    : 	at android os Handler handleCallback(Handler java:883)_x000D_
10 14 09:19:07 040 18274 18274 W cgeo    : 	at android os Handler dispatchMessage(Handler java:100)_x000D_
10 14 09:19:07 040 18274 18274 W cgeo    : 	at android os Looper loop(Looper java:214)_x000D_
10 14 09:19:07 040 18274 18274 W cgeo    : 	at android app ActivityThread main(ActivityThread java:7397)_x000D_
10 14 09:19:07 040 18274 18274 W cgeo    : 	at java lang reflect Method invoke(Native Method)_x000D_
10 14 09:19:07 040 18274 18274 W cgeo    : 	at com android internal os RuntimeInit MethodAndArgsCaller run(RuntimeInit java:492)_x000D_
10 14 09:19:07 040 18274 18274 W cgeo    : 	at com android internal os ZygoteInit main(ZygoteInit java:935)_x000D_
10 14 09:19:07 040 18274 18274 W cgeo    :  main  Exception when calculating longitude span_x000D_
10 14 09:19:07 040 18274 18274 W cgeo    : java lang IllegalArgumentException: invalid pixelX coordinate 576:  228 92352_x000D_
10 14 09:19:07 040 18274 18274 W cgeo    : 	at org mapsforge core util MercatorProjection pixelXToLongitude(MercatorProjection java:355)_x000D_
10 14 09:19:07 040 18274 18274 W cgeo    : 	at org mapsforge core util MercatorProjection fromPixels(MercatorProjection java:92)_x000D_
10 14 09:19:07 040 18274 18274 W cgeo    : 	at cgeo geocaching maps mapsforge v6 MfMapView getLongitudeSpan(MfMapView java:72)_x000D_
10 14 09:19:07 040 18274 18274 W cgeo    : 	at cgeo geocaching maps mapsforge v6 MfMapView getViewport(MfMapView java:38)_x000D_
10 14 09:19:07 040 18274 18274 W cgeo    : 	at cgeo geocaching maps mapsforge v6 NewMap onChange(NewMap java:1803)_x000D_
10 14 09:19:07 040 18274 18274 W cgeo    : 	at org mapsforge map model common Observable notifyObservers(Observable java:46)_x000D_
10 14 09:19:07 040 18274 18274 W cgeo    : 	at org mapsforge map model MapViewPosition setCenter(MapViewPosition java:365)_x000D_
10 14 09:19:07 040 18274 18274 W cgeo    : 	at cgeo geocaching maps mapsforge v6 NewMap centerMap(NewMap java:1024)_x000D_
10 14 09:19:07 040 18274 18274 W cgeo    : 	at cgeo geocaching maps mapsforge v6 NewMap myLocationInMiddle(NewMap java:1121)_x000D_
10 14 09:19:07 040 18274 18274 W cgeo    : 	at cgeo geocaching maps mapsforge v6 NewMap switchMyLocationButton(NewMap java:1051)_x000D_
10 14 09:19:07 040 18274 18274 W cgeo    : 	at cgeo geocaching maps mapsforge v6 NewMap initMyLocationSwitchButton(NewMap java:1044)_x000D_
10 14 09:19:07 040 18274 18274 W cgeo    : 	at cgeo geocaching maps mapsforge v6 NewMap onCreateOptionsMenu(NewMap java:312)_x000D_
10 14 09:19:07 040 18274 18274 W cgeo    : 	at android app Activity onCreatePanelMenu(Activity java:4074)_x000D_
10 14 09:19:07 040 18274 18274 W cgeo    : 	at androidx fragment app FragmentActivity onCreatePanelMenu(FragmentActivity java:325)_x000D_
10 14 09:19:07 040 18274 18274 W cgeo    : 	at androidx appcompat view WindowCallbackWrapper onCreatePanelMenu(WindowCallbackWrapper java:94)_x000D_
10 14 09:19:07 040 18274 18274 W cgeo    : 	at androidx appcompat app AppCompatDelegateImpl AppCompatWindowCallback onCreatePanelMenu(AppCompatDelegateImpl java:3070)_x000D_
10 14 09:19:07 040 18274 18274 W cgeo    : 	at androidx appcompat app AppCompatDelegateImpl preparePanel(AppCompatDelegateImpl java:1895)_x000D_
10 14 09:19:07 040 18274 18274 W cgeo    : 	at androidx appcompat app AppCompatDelegateImpl doInvalidatePanelMenu(AppCompatDelegateImpl java:2176)_x000D_
10 14 09:19:07 040 18274 18274 W cgeo    : 	at androidx appcompat app AppCompatDelegateImpl 2 run(AppCompatDelegateImpl java:268)_x000D_
10 14 09:19:07 040 18274 18274 W cgeo    : 	at android os Handler handleCallback(Handler java:883)_x000D_
10 14 09:19:07 040 18274 18274 W cgeo    : 	at android os Handler dispatchMessage(Handler java:100)_x000D_
10 14 09:19:07 040 18274 18274 W cgeo    : 	at android os Looper loop(Looper java:214)_x000D_
10 14 09:19:07 040 18274 18274 W cgeo    : 	at android app ActivityThread main(ActivityThread java:7397)_x000D_
10 14 09:19:07 040 18274 18274 W cgeo    : 	at java lang reflect Method invoke(Native Method)_x000D_
10 14 09:19:07 040 18274 18274 W cgeo    : 	at com android internal os RuntimeInit MethodAndArgsCaller run(RuntimeInit java:492)_x000D_
10 14 09:19:07 040 18274 18274 W cgeo    : 	at com android internal os ZygoteInit main(ZygoteInit java:935)_x000D_
10 14 09:19:07 042 18274 18274 W cgeo    :  main  Exception when calculating latitude span_x000D_
10 14 09:19:07 042 18274 18274 W cgeo    : java lang IllegalArgumentException: invalid pixelY coordinate 576:  735 5909929738032_x000D_
10 14 09:19:07 042 18274 18274 W cgeo    : 	at org mapsforge core util MercatorProjection pixelYToLatitude(MercatorProjection java:409)_x000D_
10 14 09:19:07 042 18274 18274 W cgeo    : 	at org mapsforge core util MercatorProjection fromPixels(MercatorProjection java:91)_x000D_
10 14 09:19:07 042 18274 18274 W cgeo    : 	at cgeo geocaching maps mapsforge v6 MfMapView getLatitudeSpan(MfMapView java:51)_x000D_
10 14 09:19:07 042 18274 18274 W cgeo    : 	at cgeo geocaching maps mapsforge v6 MfMapView getViewport(MfMapView java:38)_x000D_
10 14 09:19:07 042 18274 18274 W cgeo    : 	at cgeo geocaching maps mapsforge v6 caches CachesBundle getViewport(CachesBundle java:290)_x000D_
10 14 09:19:07 042 18274 18274 W cgeo    : 	at cgeo geocaching maps mapsforge v6 caches AbstractCachesOverlay getVisibleCacheGeocodes(AbstractCachesOverlay java:66)_x000D_
10 14 09:19:07 042 18274 18274 W cgeo    : 	at cgeo geocaching maps mapsforge v6 caches CachesBundle getVisibleCacheGeocodes(CachesBundle java:193)_x000D_
10 14 09:19:07 042 18274 18274 W cgeo    : 	at cgeo geocaching maps mapsforge v6 NewMap onPrepareOptionsMenu(NewMap java:335)_x000D_
10 14 09:19:07 042 18274 18274 W cgeo    : 	at android app Activity onPreparePanel(Activity java:4092)_x000D_
10 14 09:19:07 042 18274 18274 W cgeo    : 	at androidx fragment app FragmentActivity onPrepareOptionsPanel(FragmentActivity java:502)_x000D_
10 14 09:19:07 042 18274 18274 W cgeo    : 	at androidx fragment app FragmentActivity onPreparePanel(FragmentActivity java:488)_x000D_
10 14 09:19:07 042 18274 18274 W cgeo    : 	at androidx appcompat view WindowCallbackWrapper onPreparePanel(WindowCallbackWrapper java:99)_x000D_
10 14 09:19:07 042 18274 18274 W cgeo    : 	at androidx appcompat app AppCompatDelegateImpl AppCompatWindowCallback onPreparePanel(AppCompatDelegateImpl java:3097)_x000D_
10 14 09:19:07 042 18274 18274 W cgeo    : 	at androidx appcompat app AppCompatDelegateImpl preparePanel(AppCompatDelegateImpl java:1922)_x000D_
10 14 09:19:07 042 18274 18274 W cgeo    : 	at androidx appcompat app AppCompatDelegateImpl doInvalidatePanelMenu(AppCompatDelegateImpl java:2176)_x000D_
10 14 09:19:07 042 18274 18274 W cgeo    : 	at androidx appcompat app AppCompatDelegateImpl 2 run(AppCompatDelegateImpl java:268)_x000D_
10 14 09:19:07 042 18274 18274 W cgeo    : 	at android os Handler handleCallback(Handler java:883)_x000D_
10 14 09:19:07 042 18274 18274 W cgeo    : 	at android os Handler dispatchMessage(Handler java:100)_x000D_
10 14 09:19:07 042 18274 18274 W cgeo    : 	at android os Looper loop(Looper java:214)_x000D_
10 14 09:19:07 042 18274 18274 W cgeo    : 	at android app ActivityThread main(ActivityThread java:7397)_x000D_
10 14 09:19:07 042 18274 18274 W cgeo    : 	at java lang reflect Method invoke(Native Method)_x000D_
10 14 09:19:07 042 18274 18274 W cgeo    : 	at com android internal os RuntimeInit MethodAndArgsCaller run(RuntimeInit java:492)_x000D_
10 14 09:19:07 042 18274 18274 W cgeo    : 	at com android internal os ZygoteInit main(ZygoteInit java:935)_x000D_
10 14 09:19:07 042 18274 18274 W cgeo    :  main  Exception when calculating longitude span_x000D_
10 14 09:19:07 042 18274 18274 W cgeo    : java lang IllegalArgumentException: invalid pixelX coordinate 576:  228 92352_x000D_
10 14 09:19:07 042 18274 18274 W cgeo    : 	at org mapsforge core util MercatorProjection pixelXToLongitude(MercatorProjection java:355)_x000D_
10 14 09:19:07 042 18274 18274 W cgeo    : 	at org mapsforge core util MercatorProjection fromPixels(MercatorProjection java:92)_x000D_
10 14 09:19:07 042 18274 18274 W cgeo    : 	at cgeo geocaching maps mapsforge v6 MfMapView getLongitudeSpan(MfMapView java:72)_x000D_
10 14 09:19:07 042 18274 18274 W cgeo    : 	at cgeo geocaching maps mapsforge v6 MfMapView getViewport(MfMapView java:38)_x000D_
10 14 09:19:07 042 18274 18274 W cgeo    : 	at cgeo geocaching maps mapsforge v6 caches CachesBundle getViewport(CachesBundle java:290)_x000D_
10 14 09:19:07 042 18274 18274 W cgeo    : 	at cgeo geocaching maps mapsforge v6 caches AbstractCachesOverlay getVisibleCacheGeocodes(AbstractCachesOverlay java:66)_x000D_
10 14 09:19:07 042 18274 18274 W cgeo    : 	at cgeo geocaching maps mapsforge v6 caches CachesBundle getVisibleCacheGeocodes(CachesBundle java:193)_x000D_
10 14 09:19:07 042 18274 18274 W cgeo    : 	at cgeo geocaching maps mapsforge v6 NewMap onPrepareOptionsMenu(NewMap java:335)_x000D_
10 14 09:19:07 042 18274 18274 W cgeo    : 	at android app Activity onPreparePanel(Activity java:4092)_x000D_
10 14 09:19:07 042 18274 18274 W cgeo    : 	at androidx fragment app FragmentActivity onPrepareOptionsPanel(FragmentActivity java:502)_x000D_
10 14 09:19:07 042 18274 18274 W cgeo    : 	at androidx fragment app FragmentActivity onPreparePanel(FragmentActivity java:488)_x000D_
10 14 09:19:07 042 18274 18274 W cgeo    : 	at androidx appcompat view WindowCallbackWrapper onPreparePanel(WindowCallbackWrapper java:99)_x000D_
10 14 09:19:07 042 18274 18274 W cgeo    : 	at androidx appcompat app AppCompatDelegateImpl AppCompatWindowCallback onPreparePanel(AppCompatDelegateImpl java:3097)_x000D_
10 14 09:19:07 042 18274 18274 W cgeo    : 	at androidx appcompat app AppCompatDelegateImpl preparePanel(AppCompatDelegateImpl java:1922)_x000D_
10 14 09:19:07 042 18274 18274 W cgeo    : 	at androidx appcompat app AppCompatDelegateImpl doInvalidatePanelMenu(AppCompatDelegateImpl java:2176)_x000D_
10 14 09:19:07 042 18274 18274 W cgeo    : 	at androidx appcompat app AppCompatDelegateImpl 2 run(AppCompatDelegateImpl java:268)_x000D_
10 14 09:19:07 042 18274 18274 W cgeo    : 	at android os Handler handleCallback(Handler java:883)_x000D_
10 14 09:19:07 042 18274 18274 W cgeo    : 	at android os Handler dispatchMessage(Handler java:100)_x000D_
10 14 09:19:07 042 18274 18274 W cgeo    : 	at android os Looper loop(Looper java:214)_x000D_
10 14 09:19:07 042 18274 18274 W cgeo    : 	at android app ActivityThread main(ActivityThread java:7397)_x000D_
10 14 09:19:07 042 18274 18274 W cgeo    : 	at java lang reflect Method invoke(Native Method)_x000D_
10 14 09:19:07 042 18274 18274 W cgeo    : 	at com android internal os RuntimeInit MethodAndArgsCaller run(RuntimeInit java:492)_x000D_
10 14 09:19:07 042 18274 18274 W cgeo    : 	at com android internal os ZygoteInit main(ZygoteInit java:935)_x000D_
10 14 09:19:07 043 18274 18274 W cgeo    :  main  Exception when calculating latitude span_x000D_
10 14 09:19:07 043 18274 18274 W cgeo    : java lang IllegalArgumentException: invalid pixelY coordinate 576:  735 5909929738032_x000D_
10 14 09:19:07 043 18274 18274 W cgeo    : 	at org mapsforge core util MercatorProjection pixelYToLatitude(MercatorProjection java:409)_x000D_
10 14 09:19:07 043 18274 18274 W cgeo    : 	at org mapsforge core util MercatorProjection fromPixels(MercatorProjection java:91)_x000D_
10 14 09:19:07 043 18274 18274 W cgeo    : 	at cgeo geocaching maps mapsforge v6 MfMapView getLatitudeSpan(MfMapView java:51)_x000D_
10 14 09:19:07 043 18274 18274 W cgeo    : 	at cgeo geocaching maps mapsforge v6 MfMapView getViewport(MfMapView java:38)_x000D_
10 14 09:19:07 043 18274 18274 W cgeo    : 	at cgeo geocaching maps mapsforge v6 caches CachesBundle getViewport(CachesBundle java:290)_x000D_
10 14 09:19:07 043 18274 18274 W cgeo    : 	at cgeo geocaching maps mapsforge v6 caches AbstractCachesOverlay getVisibleCacheGeocodes(AbstractCachesOverlay java:66)_x000D_
10 14 09:19:07 043 18274 18274 W cgeo    : 	at cgeo geocaching maps mapsforge v6 caches CachesBundle getVisibleCacheGeocodes(CachesBundle java:196)_x000D_
10 14 09:19:07 043 18274 18274 W cgeo    : 	at cgeo geocaching maps mapsforge v6 NewMap onPrepareOptionsMenu(NewMap java:335)_x000D_
10 14 09:19:07 043 18274 18274 W cgeo    : 	at android app Activity onPreparePanel(Activity java:4092)_x000D_
10 14 09:19:07 043 18274 18274 W cgeo    : 	at androidx fragment app FragmentActivity onPrepareOptionsPanel(FragmentActivity java:502)_x000D_
10 14 09:19:07 043 18274 18274 W cgeo    : 	at androidx fragment app FragmentActivity onPreparePanel(FragmentActivity java:488)_x000D_
10 14 09:19:07 043 18274 18274 W cgeo    : 	at androidx appcompat view WindowCallbackWrapper onPreparePanel(WindowCallbackWrapper java:99)_x000D_
10 14 09:19:07 043 18274 18274 W cgeo    : 	at androidx appcompat app AppCompatDelegateImpl AppCompatWindowCallback onPreparePanel(AppCompatDelegateImpl java:3097)_x000D_
10 14 09:19:07 043 18274 18274 W cgeo    : 	at androidx appcompat app AppCompatDelegateImpl preparePanel(AppCompatDelegateImpl java:1922)_x000D_
10 14 09:19:07 043 18274 18274 W cgeo    : 	at androidx appcompat app AppCompatDelegateImpl doInvalidatePanelMenu(AppCompatDelegateImpl java:2176)_x000D_
10 14 09:19:07 043 18274 18274 W cgeo    : 	at androidx appcompat app AppCompatDelegateImpl 2 run(AppCompatDelegateImpl java:268)_x000D_
10 14 09:19:07 043 18274 18274 W cgeo    : 	at android os Handler handleCallback(Handler java:883)_x000D_
10 14 09:19:07 043 18274 18274 W cgeo    : 	at android os Handler dispatchMessage(Handler java:100)_x000D_
10 14 09:19:07 043 18274 18274 W cgeo    : 	at android os Looper loop(Looper java:214)_x000D_
10 14 09:19:07 043 18274 18274 W cgeo    : 	at android app ActivityThread main(ActivityThread java:7397)_x000D_
10 14 09:19:07 043 18274 18274 W cgeo    : 	at java lang reflect Method invoke(Native Method)_x000D_
10 14 09:19:07 043 18274 18274 W cgeo    : 	at com android internal os RuntimeInit MethodAndArgsCaller run(RuntimeInit java:492)_x000D_
10 14 09:19:07 043 18274 18274 W cgeo    : 	at com android internal os ZygoteInit main(ZygoteInit java:935)_x000D_
10 14 09:19:07 043 18274 18274 W cgeo    :  main  Exception when calculating longitude span_x000D_
10 14 09:19:07 043 18274 18274 W cgeo    : java lang IllegalArgumentException: invalid pixelX coordinate 576:  228 92352_x000D_
10 14 09:19:07 043 18274 18274 W cgeo    : 	at org mapsforge core util MercatorProjection pixelXToLongitude(MercatorProjection java:355)_x000D_
10 14 09:19:07 043 18274 18274 W cgeo    : 	at org mapsforge core util MercatorProjection fromPixels(MercatorProjection java:92)_x000D_
10 14 09:19:07 043 18274 18274 W cgeo    : 	at cgeo geocaching maps mapsforge v6 MfMapView getLongitudeSpan(MfMapView java:72)_x000D_
10 14 09:19:07 043 18274 18274 W cgeo    : 	at cgeo geocaching maps mapsforge v6 MfMapView getViewport(MfMapView java:38)_x000D_
10 14 09:19:07 043 18274 18274 W cgeo    : 	at cgeo geocaching maps mapsforge v6 caches CachesBundle getViewport(CachesBundle java:290)_x000D_
10 14 09:19:07 043 18274 18274 W cgeo    : 	at cgeo geocaching maps mapsforge v6 caches AbstractCachesOverlay getVisibleCacheGeocodes(AbstractCachesOverlay java:66)_x000D_
10 14 09:19:07 043 18274 18274 W cgeo    : 	at cgeo geocaching maps mapsforge v6 caches CachesBundle getVisibleCacheGeocodes(CachesBundle java:196)_x000D_
10 14 09:19:07 043 18274 18274 W cgeo    : 	at cgeo geocaching maps mapsforge v6 NewMap onPrepareOptionsMenu(NewMap java:335)_x000D_
10 14 09:19:07 043 18274 18274 W cgeo    : 	at android app Activity onPreparePanel(Activity java:4092)_x000D_
10 14 09:19:07 043 18274 18274 W cgeo    : 	at androidx fragment app FragmentActivity onPrepareOptionsPanel(FragmentActivity java:502)_x000D_
10 14 09:19:07 043 18274 18274 W cgeo    : 	at androidx fragment app FragmentActivity onPreparePanel(FragmentActivity java:488)_x000D_
10 14 09:19:07 043 18274 18274 W cgeo    : 	at androidx appcompat view WindowCallbackWrapper onPreparePanel(WindowCallbackWrapper java:99)_x000D_
10 14 09:19:07 043 18274 18274 W cgeo    : 	at androidx appcompat app AppCompatDelegateImpl AppCompatWindowCallback onPreparePanel(AppCompatDelegateImpl java:3097)_x000D_
10 14 09:19:07 043 18274 18274 W cgeo    : 	at androidx appcompat app AppCompatDelegateImpl preparePanel(AppCompatDelegateImpl java:1922)_x000D_
10 14 09:19:07 043 18274 18274 W cgeo    : 	at androidx appcompat app AppCompatDelegateImpl doInvalidatePanelMenu(AppCompatDelegateImpl java:2176)_x000D_
10 14 09:19:07 043 18274 18274 W cgeo    : 	at androidx appcompat app AppCompatDelegateImpl 2 run(AppCompatDelegateImpl java:268)_x000D_
10 14 09:19:07 043 18274 18274 W cgeo    : 	at android os Handler handleCallback(Handler java:883)_x000D_
10 14 09:19:07 043 18274 18274 W cgeo    : 	at android os Handler dispatchMessage(Handler java:100)_x000D_
10 14 09:19:07 043 18274 18274 W cgeo    : 	at android os Looper loop(Looper java:214)_x000D_
10 14 09:19:07 043 18274 18274 W cgeo    : 	at android app ActivityThread main(ActivityThread java:7397)_x000D_
10 14 09:19:07 043 18274 18274 W cgeo    : 	at java lang refl</t>
  </si>
  <si>
    <t>AOF-Dev-MCinaBox-532</t>
  </si>
  <si>
    <t>Crashing when starting the game</t>
  </si>
  <si>
    <t xml:space="preserve">When trying to start any version of the game  the app crashes _x000D_
_x000D_
Upon closer inspection  logcat shows the following: _x000D_
_x000D_
Error while loading  data user 0 com aof mcinabox files runtime boat j2re image lib aarch64 libfreetype so 6: dlopen failed: library  libpng16 so 16  not found _x000D_
_x000D_
It seems like libpng16 so 16 is not available  and a library for Java can t be dlopened _x000D_
Then  the following error appears: _x000D_
E libEGL: call to OpenGL ES API with no current context (logged once per thread)_x000D_
_x000D_
If I try to launch it again  it crashes the entire app like this:_x000D_
_x000D_
2020 10 14 17:49:59 323 22318 22318 com aof mcinabox E Boat: onNativeWindowCreated: 0x74210bf010_x000D_
2020 10 14 17:49:59 326 22318 29315 com aof mcinabox E loadme: Error while loading  data user 0 com aof mcinabox files runtime boat j2re image lib aarch64 libfreetype so 6: dlopen failed: library  libpng16 so 16  not found _x000D_
2020 10 14 17:49:59 359 22318 22318 com aof mcinabox A libc: FORTIFY: pthread mutex lock called on a destroyed mutex (0x7510ff1110)_x000D_
2020 10 14 17:49:59 360 22318 28874 com aof mcinabox A libc: Fatal signal 11 (SIGSEGV)  code 1 (SEGV MAPERR)  fault addr 0x4 in tid 28874 (RenderThread)  pid 22318 (om aof mcinabox)_x000D_
_x000D_
I have been looking at the native code but could not find any mutex lock  I ll keep looking  </t>
  </si>
  <si>
    <t>aws-amplify-amplify-android-901</t>
  </si>
  <si>
    <t>DataStore @auth error: "Not Authorized to access [...] on type Subscription"</t>
  </si>
  <si>
    <t>Hi  I found an error in my application  and I would like some help fixing it  _x000D_
_x000D_
I am using Sentry to save log crashes  The error described below has been_x000D_
reported more than 700 times during development  I am not sure if this is an_x000D_
error with my code   If so  I would like some guidance on how to make it work_x000D_
or what could be going on _x000D_
_x000D_
  The exception could not be delivered to the consumer because it has already canceled disposed the flow or the exception has nowhere to go to begin with  Further reading: https:  github com ReactiveX RxJava wiki What s different in 2 0 error handling   AmplifyException  message Bad subscription data for RespuestaCovid:  GraphQLResponse Error message  Not Authorized to access onCreateRespuestaCovid on type Subscription   locations  null   path  null   extensions   errorType Unauthorized      cause null  recoverySuggestion Sorry  we don t have a suggested fix for this error yet  _x000D_
_x000D_
Specifically  the error has this cause:_x000D_
  Bad subscription data for RespuestaCovid:  GraphQLResponse Error message  Not Authorized to access onCreateRespuestaCovid on type Subscription   locations  null   path  null   extensions   errorType Unauthorized    _x000D_
_x000D_
  Current behavior:  _x000D_
_x000D_
  The application is crashing on start only when the user is logged in  (Some_x000D_
  times the crash occurs a few seconds after start )_x000D_
  Subscriptions are not woking _x000D_
  Constantly getting these logs: _x000D_
   console_x000D_
D amplify:aws api: Subscription attempt was canceled _x000D_
D amplify:aws datastore: Releasing latch due to an error _x000D_
   _x000D_
_x000D_
  Libraries information:  _x000D_
_x000D_
  Cognito 1 4 1_x000D_
  Datastore 1 4 1_x000D_
  API 1 4 1_x000D_
  Storage 1 4 1_x000D_
_x000D_
  Device information  _x000D_
_x000D_
   console_x000D_
Battery Level   89 _x000D_
Brand   samsung_x000D_
Connection Type   wifi_x000D_
Family   SM A530F_x000D_
Free Memory   1 4 GB_x000D_
Free Storage   1 3 GB_x000D_
Low Memory   False_x000D_
Name   Galaxy A8 (2018)_x000D_
Online   True_x000D_
   _x000D_
_x000D_
  Amplify initialization  _x000D_
_x000D_
   kotlin_x000D_
class Application : MultiDexApplication()  _x000D_
     _x000D_
    override fun onCreate()  _x000D_
        super onCreate()_x000D_
        try  _x000D_
            Amplify addPlugin(AndroidLoggingPlugin(LogLevel VERBOSE))_x000D_
            Amplify addPlugin(AWSCognitoAuthPlugin())_x000D_
            Amplify addPlugin(AWSDataStorePlugin())_x000D_
            Amplify addPlugin(AWSApiPlugin())_x000D_
            Amplify addPlugin(AWSS3StoragePlugin())_x000D_
              Amplify addPlugin(AWSPredictionsPlugin())_x000D_
            Amplify configure(applicationContext)_x000D_
_x000D_
            Log i(TAG   Initialized Amplify )_x000D_
          catch (error: AmplifyException)  _x000D_
            Log e(TAG   Could not initialize Amplify   error)_x000D_
         _x000D_
     _x000D_
 _x000D_
   _x000D_
_x000D_
  amplifyconfigutration json  _x000D_
   json_x000D_
 _x000D_
     UserAgent :  aws amplify cli 2 0  _x000D_
     Version :  1 0  _x000D_
     api :  _x000D_
         plugins :  _x000D_
             awsAPIPlugin :  _x000D_
                 ilandroidappcheckin :  _x000D_
                     endpointType :  GraphQL  _x000D_
                     endpoint :   ENDPOINT   REGION   _x000D_
                     region :  us east 1  _x000D_
                     authorizationType :  AMAZON COGNITO USER POOLS  _x000D_
                     apiKey :   REMOVED  _x000D_
                 _x000D_
             _x000D_
         _x000D_
      _x000D_
     auth :  _x000D_
         plugins :  _x000D_
             awsCognitoAuthPlugin :  _x000D_
                 UserAgent :  aws amplify cli 0 1 0  _x000D_
                 Version :  0 1 0  _x000D_
                 IdentityManager :  _x000D_
                     Default :   _x000D_
                  _x000D_
                 CredentialsProvider :  _x000D_
                     CognitoIdentity :  _x000D_
                         Default :  _x000D_
                             PoolId :   REMOVED   _x000D_
                             Region :  us east 1 _x000D_
                         _x000D_
                     _x000D_
                  _x000D_
                 CognitoUserPool :  _x000D_
                     Default :  _x000D_
                         PoolId :   REMOVED   _x000D_
                         AppClientId :   REMOVED   _x000D_
                         AppClientSecret :   REMOVED   _x000D_
                         Region :  us east 1 _x000D_
                     _x000D_
                  _x000D_
                 Auth :  _x000D_
                     Default :  _x000D_
                         authenticationFlowType :  USER SRP AUTH _x000D_
                     _x000D_
                  _x000D_
                 AppSync :  _x000D_
                     Default :  _x000D_
                         ApiUrl :    _x000D_
                         Region :  us east 1  _x000D_
                         AuthMode :  AMAZON COGNITO USER POOLS  _x000D_
                         ClientDatabasePrefix :  ilandroidappcheckin AMAZON COGNITO USER POOLS _x000D_
                      _x000D_
                     ilandroidappcheckin API KEY :  _x000D_
                         ApiUrl :   REMOVED   _x000D_
                         Region :  us east 1  _x000D_
                         AuthMode :  API KEY  _x000D_
                         ApiKey :   REMOVED   _x000D_
                         ClientDatabasePrefix :  ilandroidappcheckin API KEY _x000D_
                     _x000D_
                  _x000D_
                 S3TransferUtility :  _x000D_
                     Default :  _x000D_
                         Bucket :   REMOVED   _x000D_
                         Region :  us east 1 _x000D_
                     _x000D_
                 _x000D_
             _x000D_
         _x000D_
      _x000D_
     storage :  _x000D_
         plugins :  _x000D_
             awsS3StoragePlugin :  _x000D_
                 bucket :      _x000D_
                 region :  us east 1  _x000D_
                 defaultAccessLevel :  guest _x000D_
             _x000D_
         _x000D_
     _x000D_
 _x000D_
   _x000D_
_x000D_
  Error related GraphQL schema:  _x000D_
(Please let me know wether you need to see the full schema)_x000D_
_x000D_
   graphql_x000D_
   _x000D_
_x000D_
type RespuestaCovid  Conocer la ubicaci n del empleado mientras se encuentre en horario laboral_x000D_
 model_x000D_
 key(name:  fechaRespuesta   fields:   createdAt    queryField:  fechaRespuesta )_x000D_
 auth(rules:  _x000D_
      allow: owner  ownerField:  asignado   operations:  read  create  update  delete   _x000D_
      allow: groups  groups:   admin    operations:  read  create  update  delete   _x000D_
 )  _x000D_
    id: ID _x000D_
    respuesta:  String     Ej:  0 1 1 0 1 0 0 0 0 1   Detalle de medicamentos  _x000D_
    createdAt: AWSDateTime _x000D_
    asignado: String _x000D_
 _x000D_
_x000D_
   _x000D_
   _x000D_
_x000D_
  Error Logs:  _x000D_
_x000D_
   console_x000D_
D amplify:aws api: Subscription attempt was canceled _x000D_
D amplify:aws datastore: Releasing latch due to an error _x000D_
W System err: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AmplifyException  message Bad subscription data for RespuestaCovid:  GraphQLResponse Error message  Not Authorized to access onCreateRespuestaCovid on type Subscription   locations  null   path  null   extensions   errorType Unauthorized      cause null  recoverySuggestion Sorry  we don t have a suggested fix for this error yet  _x000D_
W System err:     at io reactivex rxjava3 plugins RxJavaPlugins onError(RxJavaPlugins java:367)_x000D_
        at io reactivex rxjava3 internal util AtomicThrowable tryAddThrowableOrReport(AtomicThrowable java:52)_x000D_
        at io reactivex rxjava3 internal operators observable ObservableFlatMap InnerObserver onError(ObservableFlatMap java:531)_x000D_
W System err:     at io reactivex rxjava3 internal observers BasicFuseableObserver onError(BasicFuseableObserver java:100)_x000D_
        at io reactivex rxjava3 internal observers BasicFuseableObserver onError(BasicFuseableObserver java:100)_x000D_
        at io reactivex rxjava3 internal operators observable ObservableObserveOn ObserveOnObserver checkTerminated(ObservableObserveOn java:281)_x000D_
        at io reactivex rxjava3 internal operators observable ObservableObserveOn ObserveOnObserver drainNormal(ObservableObserveOn java:172)_x000D_
W System err:     at io reactivex rxjava3 internal operators observable ObservableObserveOn ObserveOnObserver run(ObservableObserveOn java:255)_x000D_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W System err:     at java util concurrent ThreadPoolExecutor Worker run(ThreadPoolExecutor java:641)_x000D_
        at java lang Thread run(Thread java:764)_x000D_
    Caused by: AmplifyException  message Bad subscription data for RespuestaCovid:  GraphQLResponse Error message  Not Authorized to access onCreateRespuestaCovid on type Subscription   locations  null   path  null   extensions   errorType Unauthorized      cause null  recoverySuggestion Sorry  we don t have a suggested fix for this error yet  _x000D_
W System err:     at com amplifyframework datastore appsync AppSyncClient lambda subscription 2(AppSyncClient java:285)_x000D_
        at com amplifyframework datastore appsync    Lambda AppSyncClient JcXWwhRqFFN0mthuNQf2Zjf5Scw accept(Unknown Source:8)_x000D_
        at com amplifyframework api aws SubscriptionEndpoint Subscription dispatchNextMessage(SubscriptionEndpoint java:370)_x000D_
        at com amplifyframework api aws SubscriptionEndpoint notifySubscriptionData(SubscriptionEndpoint java:220)_x000D_
D amplify:aws datastore: Releasing latch due to an error _x000D_
W System err:     at com amplifyframework api aws SubscriptionEndpoint access 600(SubscriptionEndpoint java:60)_x000D_
        at com amplifyframework api aws SubscriptionEndpoint AmplifyWebSocketListener processJsonMessage(SubscriptionEndpoint java:546)_x000D_
W System err:     at com amplifyframework api aws SubscriptionEndpoint AmplifyWebSocketListener onMessage(SubscriptionEndpoint java:454)_x000D_
        at okhttp3 internal ws RealWebSocket onReadMessage(RealWebSocket kt:333)_x000D_
        at okhttp3 internal ws WebSocketReader readMessageFrame(WebSocketReader kt:245)_x000D_
D amplify:aws api: Current endpoint status: CONNECTED_x000D_
W System err:     at okhttp3 internal ws WebSocketReader processNextFrame(WebSocketReader kt:106)_x000D_
        at okhttp3 internal ws RealWebSocket loopReader(RealWebSocket kt:293)_x000D_
W System err:     at okhttp3 internal ws RealWebSocket connect 1 onResponse(RealWebSocket kt:195)_x000D_
        at okhttp3 internal connection RealCall AsyncCall run(RealCall kt:519)_x000D_
    	    3 more_x000D_
D amplify:aws datastore: Invoking subscription onError emitter _x000D_
W amplify:aws datastore: An error occurred on the remote Localizacion subscription for model ON CREATE _x000D_
    AmplifyException  message Bad subscription data for Localizacion:  GraphQLResponse Error message  Not Authorized to access onCreateLocalizacion on type Subscription   locations  null   path  null   extensions   errorType Unauthorized      cause null  recoverySuggestion Sorry  we don t have a suggested fix for this error yet  _x000D_
        at com amplifyframework datastore appsync AppSyncClient lambda subscription 2(AppSyncClient java:285)_x000D_
        at com amplifyframework datastore appsync    Lambda AppSyncClient JcXWwhRqFFN0mthuNQf2Zjf5Scw accept(Unknown Source:8)_x000D_
        at com amplifyframework api aws SubscriptionEndpoint Subscription dispatchNextMessage(SubscriptionEndpoint java:370)_x000D_
        at com amplifyframework api aws SubscriptionEndpoint notifySubscriptionData(SubscriptionEndpoint java:220)_x000D_
        at com amplifyframework api aws SubscriptionEndpoint access 600(SubscriptionEndpoint java:60)_x000D_
        at com amplifyframework api aws SubscriptionEndpoint AmplifyWebSocketListener processJsonMessage(SubscriptionEndpoint java:546)_x000D_
        at com amplifyframework api aws SubscriptionEndpoint AmplifyWebSocketListener onMessage(SubscriptionEndpoint java:454)_x000D_
        at okhttp3 internal ws RealWebSocket onReadMessage(RealWebSocket kt:333)_x000D_
        at okhttp3 internal ws WebSocketReader readMessageFrame(WebSocketReader kt:245)_x000D_
        at okhttp3 internal ws WebSocketReader processNextFrame(WebSocketReader kt:106)_x000D_
        at okhttp3 internal ws RealWebSocket loopReader(RealWebSocket kt:293)_x000D_
        at okhttp3 internal ws RealWebSocket connect 1 onResponse(RealWebSocket kt:195)_x000D_
        at okhttp3 internal connection RealCall AsyncCall run(RealCall kt:519)_x000D_
        at java util concurrent ThreadPoolExecutor runWorker(ThreadPoolExecutor java:1167)_x000D_
        at java util concurrent ThreadPoolExecutor Worker run(ThreadPoolExecutor java:641)_x000D_
        at java lang Thread run(Thread java:764)_x000D_
D amplify:aws datastore: Releasing latch due to an error _x000D_
D amplify:aws api: Subscription attempt was canceled _x000D_
D amplify:aws datastore: Releasing latch due to an error _x000D_
W System err: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AmplifyException  message Bad subscription data for Localizacion:  GraphQLResponse Error message  Not Authorized to access onCreateLocalizacion on type Subscription   locations  null   path  null   extensions   errorType Unauthorized      cause null  recoverySuggestion Sorry  we don t have a suggested fix for this error yet  _x000D_
D amplify:aws api: Current endpoint status: CONNECTED_x000D_
W System err:     at io reactivex rxjava3 plugins RxJavaPlugins onError(RxJavaPlugins java:367)_x000D_
        at io reactivex rxjava3 internal util AtomicThrowable tryAddThrowableOrReport(AtomicThrowable java:52)_x000D_
        at io reactivex rxjava3 internal operators observable ObservableFlatMap InnerObserver onError(ObservableFlatMap java:531)_x000D_
        at io reactivex rxjava3 internal observers BasicFuseableObserver onError(BasicFuseableObserver java:100)_x000D_
        at io reactivex rxjava3 internal observers BasicFuseableObserver onError(BasicFuseableObserver java:100)_x000D_
W System err:     at io reactivex rxjava3 internal operators observable ObservableObserveOn ObserveOnObserver checkTerminated(ObservableObserveOn java:281)_x000D_
W System err:     at io reactivex rxjava3 internal operators observable ObservableObserveOn ObserveOnObserver drainNormal(ObservableObserveOn java:172)_x000D_
W System err:     at io reactivex rxjava3 internal operators observable ObservableObserveOn ObserveOnObserver run(ObservableObserveOn java:255)_x000D_
        at io reactivex rxjava3 internal schedulers ScheduledRunnable run(ScheduledRunnable java:65)_x000D_
W System err: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W System err:     at java util concurrent ThreadPoolExecutor runWorker(ThreadPoolExecutor java:1167)_x000D_
        at java util concurrent ThreadPoolExecutor Worker run(ThreadPoolExecutor java:641)_x000D_
        at java lang Thread run(Thread java:764)_x000D_
W System err: Caused by: AmplifyException  message Bad subscription data for Localizacion:  GraphQLResponse Error message  Not Authorized to access onCreateLocalizacion on type Subscription   locations  null   path  null   extensions   errorType Unauthorized      cause null  recoverySuggestion Sorry  we don t have a suggested fix for this error yet  _x000D_
        at com amplifyframework datastore appsync AppSyncClient lambda subscription 2(AppSyncClient java:285)_x000D_
        at com amplifyframework datastore appsync    Lambda AppSyncClient JcXWwhRqFFN0mthuNQf2Zjf5Scw accept(Unknown Source:8)_x000D_
W System err:     at com amplifyframework api aws SubscriptionEndpoint Subscription dispatchNextMessage(SubscriptionEndpoint java:370)_x000D_
        at com amplifyframework api aws SubscriptionEndpoint notifySubscriptionData(SubscriptionEndpoint java:220)_x000D_
        at com amplifyframework api aws SubscriptionEndpoint access 600(SubscriptionEndpoint java:60)_x000D_
        at com amplifyframework api aws SubscriptionEndpoint AmplifyWebSocketListener processJsonMessage(SubscriptionEndpoint java:546)_x000D_
W System err:     at com amplifyframework api aws SubscriptionEndpoint AmplifyWebSocketListener onMessage(SubscriptionEndpoint java:454)_x000D_
        at okhttp3 internal ws RealWebSocket onReadMessage(RealWebSocket kt:333)_x000D_
        at okhttp3 internal ws WebSocketReader readMessageFrame(WebSocketReader kt:245)_x000D_
        at okhttp3 internal ws WebSocketReader processNextFrame(WebSocketReader kt:106)_x000D_
        at okhttp3 internal ws RealWebSocket loopReader(RealWebSocket kt:293)_x000D_
W System err:     at okhttp3 internal ws RealWebSocket connect 1 onResponse(RealWebSocket kt:195)_x000D_
        at okhttp3 internal connection RealCall AsyncCall run(RealCall kt:519)_x000D_
    	    3 more_x000D_
D amplify:aws datastore: Invoking subscription onError emitter _x000D_
W amplify:aws datastore: An error occurred on the remote Localizacion subscription for model ON UPDATE _x000D_
    AmplifyException  message Bad subscription data for Localizacion:  GraphQLResponse Error message  Not Authorized to access onUpdateLocalizacion on type Subscription   locations  null   path  null   extensions   errorType Unauthorized      cause null  recoverySuggestion Sorry  we don t have a suggested fix for this error yet  _x000D_
        at com amplifyframework datastore appsync AppSyncClient lambda subscription 2(AppSyncClient java:285)_x000D_
        at com amplifyframework datastore appsync    Lambda AppSyncClient JcXWwhRqFFN0mthuNQf2Zjf5Scw accept(Unknown Source:8)_x000D_
        at com amplifyframework api aws SubscriptionEndpoint Subscription dispatchNextMessage(SubscriptionEndpoint java:370)_x000D_
        at com amplifyframework api aws SubscriptionEndpoint notifySubscriptionData(SubscriptionEndpoint java:220)_x000D_
        at com amplifyframework api aws SubscriptionEndpoint access 600(SubscriptionEndpoint java:60)_x000D_
        at com amplifyframework api aws SubscriptionEndpoint AmplifyWebSocketListener processJsonMessage(SubscriptionEndpoint java:546)_x000D_
        at com amplifyframework api aws SubscriptionEndpoint AmplifyWebSocketListener onMessage(SubscriptionEndpoint java:454)_x000D_
        at okhttp3 internal ws RealWebSocket onReadMessage(RealWebSocket kt:333)_x000D_
        at okhttp3 internal ws WebSocketReader readMessageFrame(WebSocketReader kt:245)_x000D_
        at okhttp3 internal ws WebSocketReader processNextFrame(WebSocketReader kt:106)_x000D_
        at okhttp3 internal ws RealWebSocket loopReader(RealWebSocket kt:293)_x000D_
        at okhttp3 internal ws RealWebSocket connect 1 onResponse(RealWebSocket kt:195)_x000D_
        at okhttp3 internal connection RealCall AsyncCall run(RealCall kt:519)_x000D_
        at java util concurrent ThreadPoolExecutor runWorker(ThreadPoolExecutor java:1167)_x000D_
        at java util concurrent ThreadPoolExecutor Worker run(ThreadPoolExecutor java:641)_x000D_
        at java lang Thread run(Thread java:764)_x000D_
D amplify:aws datastore: Releasing latch due to an error _x000D_
D amplify:aws api: Subscription attempt was canceled _x000D_
D amplify:aws datastore: Releasing latch due to an error _x000D_
D amplify:aws api: Current endpoint status: CONNECTED_x000D_
W System err: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AmplifyException  message Bad subscription data for Localizacion:  GraphQLResponse Error message  Not Authorized to access onUpdateLocalizacion on type Subscription   locations  null   path  null   extensions   errorType Unauthorized      cause null  recoverySuggestion Sorry  we don t have a suggested fix for this error yet  _x000D_
W System err:     at io reactivex rxjava3 plugins RxJavaPlugins onError(RxJavaPlugins java:367)_x000D_
        at io reactivex rxjava3 internal util AtomicThrowable tryAddThrowableOrReport(AtomicThrowable java:52)_x000D_
        at io reactivex rxjava3 internal operators observable ObservableFlatMap InnerObserver onError(ObservableFlatMap java:531)_x000D_
        at io reactivex rxjava3 internal observers BasicFuseableObserver onError(BasicFuseableObserver java:100)_x000D_
W System err:     at io reactivex rxjava3 internal observers BasicFuseableObserver onError(BasicFuseableObserver java:100)_x000D_
        at io reactivex rxjava3 internal operators observable ObservableObserveOn ObserveOnObserver checkTerminated(ObservableObserveOn java:281)_x000D_
        at io reactivex rxjava3 internal operators observable ObservableObserveOn ObserveOnObserver drainNormal(ObservableObserveOn java:172)_x000D_
        at io reactivex rxjava3 internal operators observable ObservableObserveOn ObserveOnObserver run(ObservableObserveOn java:255)_x000D_
        at io reactivex rxjava3 internal schedulers ScheduledRunnable run(ScheduledRunnable java:65)_x000D_
        at io reactivex rxjava3 internal schedulers ScheduledRunnable call(ScheduledRunnable java:56)_x000D_
W System err: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W System err: Caused by: AmplifyException  message Bad subscription data for Localizacion:  GraphQLResponse Error message  Not Authorized to access onUpdateLocalizacion on type Subscription   locations  null   path  null   extensions   errorType Unauthorized      cause null  recoverySuggestion Sorry  we don t have a suggested fix for this error yet  _x000D_
        at com amplifyframework datastore appsync AppSyncClient lambda subscription 2(AppSyncClient java:285)_x000D_
        at com amplifyframework datastore appsync    Lambda AppSyncClient JcXWwhRqFFN0mthuNQf2Zjf5Scw accept(Unknown Source:8)_x000D_
        at com amplifyframework api aws SubscriptionEndpoint Subscription dispatchNextMessage(SubscriptionEndpoint java:370)_x000D_
W System err:     at com amplifyframework api aws SubscriptionEndpoint notifySubscriptionData(SubscriptionEndpoint java:220)_x000D_
        at com amplifyframework api aws SubscriptionEndpoint access 600(SubscriptionEndpoint java:60)_x000D_
        at com amplifyframework api aws SubscriptionEndpoint AmplifyWebSocketListener processJsonMessage(SubscriptionEndpoint java:546)_x000D_
        at com amplifyframework api aws SubscriptionEndpoint AmplifyWebSocketListener onMessage(SubscriptionEndpoint java:454)_x000D_
        at okhttp3 internal ws RealWebSocket onReadMessage(RealWebSocket kt:333)_x000D_
        at okhttp3 internal ws WebSocketReader readMessageFrame(WebSocketReader kt:245)_x000D_
        at okhttp3 internal ws WebSocketReader processNextFrame(WebSocketReader kt:106)_x000D_
W System err:     at okhttp3 internal ws RealWebSocket loopReader(RealWebSocket kt:293)_x000D_
        at okhttp3 internal ws RealWebSocket connect 1 onResponse(RealWebSocket kt:195)_x000D_
        at okhttp3 internal connection RealCall AsyncCall run(RealCall kt:519)_x000D_
    	    3 more_x000D_
D amplify:aws datastore: Invoking subscription onError emitter _x000D_
W amplify:aws datastore: An error occurred on the remote Actividad subscription for model ON CREATE _x000D_
    AmplifyException  message Bad subscription data for Actividad:  GraphQLResponse Error message  Not Authorized to access onCreateActividad on type Subscription   locations  null   path  null   extensions   errorType Unauthorized      cause null  recoverySuggestion Sorry  we don t have a suggested fix for this error yet  _x000D_
        at com amplifyframework datastore appsync AppSyncClient lambda subscription 2(AppSyncClient java:285)_x000D_
        at com amplifyframework datastore appsync    Lambda AppSyncClient JcXWwhRqFFN0mthuNQf2Zjf5Scw accept(Unknown Source:8)_x000D_
        at com amplifyframework api aws SubscriptionEndpoint Subscription dispatchNextMessage(SubscriptionEndpoint java:370)_x000D_
        at com amplifyframework api aws SubscriptionEndpoint notifySubscriptionData(SubscriptionEndpoint java:220)_x000D_
        at com amplifyframework api aws SubscriptionEndpoint access 600(SubscriptionEndpoint java:60)_x000D_
        at com amplifyframework api aws SubscriptionEndpoint AmplifyWebSocketListener processJsonMessage(SubscriptionEndpoint java:546)_x000D_
        at com amplifyframework api aws SubscriptionEndpoint AmplifyWebSocketListener onMessage(SubscriptionEndpoint java:454)_x000D_
        at okhttp3 internal ws RealWebSocket onReadMessage(RealWebSocket kt:333)_x000D_
        at okhttp3 internal ws WebSocketReader readMessageFrame(WebSocketReader kt:245)_x000D_
        at okhttp3 internal ws WebSocketReader processNextFrame(WebSocketReader kt:106)_x000D_
        at okhttp3 internal ws RealWebSocket loopReader(RealWebSocket kt:293)_x000D_
        at okhttp3 internal ws RealWebSocket connect 1 onResponse(RealWebSocket kt:195)_x000D_
        at okhttp3 internal connection RealCall AsyncCall run(RealCall kt:519)_x000D_
        at java util concurrent ThreadPoolExecutor runWorker(ThreadPoolExecutor java:1167)_x000D_
        at java util concurrent ThreadPoolExecutor Worker run(ThreadPoolExecutor java:641)_x000D_
        at java lang Thread run(Thread java:764)_x000D_
E AndroidRuntime: FATAL EXCEPTION: RxCachedThreadScheduler 2_x000D_
    Process: com invernaderolabs checkin  PID: 29628_x000D_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AmplifyException  message Bad subscription data for RespuestaCovid:  GraphQLResponse Error message  Not Authorized to access onCreateRespuestaCovid on type Subscription   locations  null   path  null   extensions   errorType Unauthorized      cause null  recoverySuggestion Sorry  we don t have a suggested fix for this error yet  _x000D_
        at io reactivex rxjava3 plugins RxJavaPlugins onError(RxJavaPlugins java:367)_x000D_
        at io reactivex rxjava3 internal util AtomicThrowable tryAddThrowableOrReport(AtomicThrowable java:52)_x000D_
        at io reactivex rxjava3 internal operators observable ObservableFlatMap InnerObserver onError(ObservableFlatMap java:531)_x000D_
        at io reactivex rxjava3 internal observers BasicFuseableObserver onError(BasicFuseableObserver java:100)_x000D_
        at io reactivex rxjava3 internal observers BasicFuseableObserver onError(BasicFuseableObserver java:100)_x000D_
        at io reactivex rxjava3 internal operators observable ObservableObserveOn ObserveOnObserver checkTerminated(ObservableObserveOn java:281)_x000D_
        at io reactivex rxjava3 internal operators observable ObservableObserveOn ObserveOnObserver drainNormal(ObservableObserveOn java:172)_x000D_
        at io reactivex rxjava3 internal operators observable ObservableObserveOn ObserveOnObserver run(ObservableObserveOn java:255)_x000D_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AmplifyException  message Bad subscription data for RespuestaCovid:  GraphQLResponse Error message  Not Authorized to access onCreateRespuestaCovid on type Subscription   locations  null   path  null   extensions   errorType Unauthorized      cause null  recoverySuggestion Sorry  we don t have a suggested fix for this error yet  _x000D_
        at com amplifyframework datastore appsync AppSyncClient lambda subscription 2(AppSyncClient java:285)_x000D_
        at com amplifyframework datastore appsync    Lambda AppSyncClient JcXWwhRqFFN0mthuNQf2Zjf5Scw accept(Unknown Source:8)_x000D_
        at com amplifyframework api aws SubscriptionEndpoint Subscription dispatchNextMessage(SubscriptionEndpoint java:370)_x000D_
        at com amplifyframework api aws SubscriptionEndpoint notifySubscriptionData(SubscriptionEndpoint java:220)_x000D_
        at com amplifyframework api aws SubscriptionEndpoint access 600(SubscriptionEndpoint java:60)_x000D_
        at com amplifyframework api aws SubscriptionEndpoint AmplifyWebSocketListener processJsonMessage(SubscriptionEndpoint java:546)_x000D_
        at com amplifyframework api aws SubscriptionEndpoint AmplifyWebSocketListener onMessage(SubscriptionEndpoint java:454)_x000D_
        at okhttp3 internal ws RealWebSocket onReadMessage(RealWebSocket kt:333)_x000D_
        at okhttp3 internal ws WebSocketReader readMessageFrame(WebSocketReader kt:245)_x000D_
        at okhttp3 internal ws WebSocketReader processNextFrame(WebSocketReader kt:106)_x000D_
        at okhttp3 internal ws RealWebSocket loopReader(RealWebSocket kt:293)_x000D_
        at okhttp3 internal ws RealWebSocket connect 1 onResponse(RealWebSocket kt:195)_x000D_
        at okhttp3 internal connection RealCall AsyncCall run(RealCall kt:519)_x000D_
        at java util concurrent ThreadPoolExecutor runWorker(ThreadPoolExecutor java:1167) _x000D_
        at java util concurrent ThreadPoolExecutor Worker run(ThreadPoolExecutor java:641) _x000D_
        at java lang Thread run(Thread java:764) _x000D_
W System err: io reactivex rxjava3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AmplifyException  message Bad subscription data for Actividad:  GraphQLResponse Error message  Not Authorized to access onCreateActividad on type Subscription   locations  null   path  null   extensions   errorType Unauthorized      cause null  recoverySuggestion Sorry  we don t have a suggested fix for this error yet  _x000D_
D amplify:aws api: Subscription attempt was canceled _x000D_
D amplify:aws datastore: Releasing latch due to an error _x000D_
W System err:     at io reactivex rxjava3 plugins RxJavaPlugins onError(RxJavaPlugins java:367)_x000D_
        at io reactivex rxjava3 internal util AtomicThrowable tryAddThrowableOrReport(AtomicThrowable java:52)_x000D_
W System err:     at io reactivex rxjava3 internal operators observable ObservableFlatMap InnerObserver onError(ObservableFlatMap java:531)_x000D_
        at io reactivex rxjava3 internal observers BasicFuseableObserver onError(BasicFuseableObserver java:100)_x000D_
        at io reactivex rxjava3 internal observers BasicFuseableObserver onError(BasicFuseableObserver java:100)_x000D_
        at io reactivex rxjava3 internal operators observable ObservableObserveOn ObserveOnObserver checkTerminated(ObservableObserveOn java:281)_x000D_
        at io reactivex rxjava3 internal operators observable ObservableObserveOn ObserveOnObserver drainNormal(ObservableObserveOn java:172)_x000D_
        at io reactivex rxjava3 internal operators observable ObservableObserveOn ObserveOnObserver run(ObservableObserveOn java:255)_x000D_
        at io reactivex rxjava3 internal schedulers ScheduledRunnable run(ScheduledRunnable java:65)_x000D_
        at io reactivex rxjava3 internal schedulers ScheduledRunnable call(ScheduledRunnable java:56)_x000D_
        at java util concurrent FutureTask run(FutureTask java:266)_x000D_
        at java util concurrent ScheduledThreadPoolExecutor ScheduledFutureTask run(ScheduledThreadPoolExecutor java:301)_x000D_
W System err:     at java util concurrent ThreadPoolExecutor runWorker(ThreadPoolExecutor java:1167)_x000D_
        at java util concurrent ThreadPoolExecutor Worker run(ThreadPoolExecutor java:641)_x000D_
        at java lang Thread run(Thread java:764)_x000D_
    Caused by: AmplifyException  message Bad subscription data for Actividad:  GraphQLResponse Error message  Not Authorized to access onCreateActividad on type Subscription   locations  null   path  null   extensions   errorType Unauthorized      cause null  recoverySuggestion Sorry  we don t have a suggested fix for this error yet  _x000D_
W System err:     at com amplifyframework datastore appsync AppSyncClient lambda subscription 2(AppSyncClient java:285)_x000D_
        at com amplifyframework datastore appsync    Lambda AppSyncClient JcXWwhRqFFN0mthuNQf2Zjf5Scw accept(Unknown Source:8)_x000D_
        at com amplifyframework api aws SubscriptionEndpoint Subscription dispatchNextMessage(SubscriptionEndpoint java:370)_x000D_
        at com amplifyframework api aws SubscriptionEndpoint notifySubscriptionDat</t>
  </si>
  <si>
    <t>Anuken-Mindustry-2938</t>
  </si>
  <si>
    <t>Server creation causes crash</t>
  </si>
  <si>
    <t xml:space="preserve">  Platform  :  Windows _x000D_
_x000D_
  Build  :  Beta build 108 _x000D_
_x000D_
  Issue  :  When I try to host a multiplayer server  the game just crashes _x000D_
_x000D_
  Steps to reproduce  :  Click Play  Custom Game  Choose any map in any mode  Press esc  Click host multiplayer game  click host _x000D_
_x000D_
  Crash report  :  Mindustry has crashed  How unfortunate _x000D_
Report this at https:  github com Anuken Mindustry issues new labels bug template bug report md_x000D_
_x000D_
Version: beta build 108_x000D_
OS: Windows 10 x64_x000D_
Java Version: 1 8 0 72_x000D_
Java Architecture: 64_x000D_
0 Mods_x000D_
_x000D_
java lang NullPointerException_x000D_
	at mindustry desktop DesktopLauncher updateLobby(DesktopLauncher java:230)_x000D_
	at mindustry ui dialogs HostDialog lambda runHost 15(HostDialog java:83)_x000D_
	at arc util Timer 1 run(Timer java:88)_x000D_
	at arc util TaskQueue run(TaskQueue java:17)_x000D_
	at arc backend sdl SdlApplication loop(SdlApplication java:160)_x000D_
	at arc backend sdl SdlApplication  init (SdlApplication java:52)_x000D_
	at mindustry desktop DesktopLauncher main(DesktopLauncher java:36) _x000D_
_x000D_
   _x000D_
_x000D_
 Place an X (no spaces) between the brackets to confirm that you have read the line below    _x000D_
   X     I have searched the closed and open issues to make sure that this problem has not already been reported   _x000D_
</t>
  </si>
  <si>
    <t>TeamNewPipe-NewPipe-4507</t>
  </si>
  <si>
    <t xml:space="preserve">App UI crash </t>
  </si>
  <si>
    <t xml:space="preserve">   Exception
    User Action:   ui error
    Request:   App crash  UI failure
    Content Country:   US
    Content Language:   en US
    App Language:   en US
    Service:   none
    Version:   0 20 0
    OS:   Linux Android 5 0   21
 details  summary  b Crash log   b   summary  p 
java lang RuntimeException: Unable to start activity ComponentInfo org schabi newpipe org schabi newpipe ReCaptchaActivity : android view InflateException: Binary XML file line  19: Error inflating class android webkit WebView
	at android app ActivityThread performLaunchActivity(ActivityThread java:2455)
	at android app ActivityThread handleLaunchActivity(ActivityThread java:2517)
	at android app ActivityThread access 800(ActivityThread java:162)
	at android app ActivityThread H handleMessage(ActivityThread java:1412)
	at android os Handler dispatchMessage(Handler java:106)
	at android os Looper loop(Looper java:189)
	at android app ActivityThread main(ActivityThread java:5529)
	at java lang reflect Method invoke(Native Method)
	at java lang reflect Method invoke(Method java:372)
	at com android internal os ZygoteInit MethodAndArgsCaller run(ZygoteInit java:950)
	at com android internal os ZygoteInit main(ZygoteInit java:745)
Caused by: android view InflateException: Binary XML file line  19: Error inflating class android webkit WebView
	at android view LayoutInflater createView(LayoutInflater java:633)
	at com android internal policy impl PhoneLayoutInflater onCreateView(PhoneLayoutInflater java:55)
	at android view LayoutInflater onCreateView(LayoutInflater java:682)
	at android view LayoutInflater createViewFromTag(LayoutInflater java:741)
	at android view LayoutInflater rInflate(LayoutInflater java:806)
	at android view LayoutInflater inflate(LayoutInflater java:504)
	at android view LayoutInflater inflate(LayoutInflater java:414)
	at android view LayoutInflater inflate(LayoutInflater java:365)
	at androidx appcompat app AppCompatDelegateImpl setContentView(AppCompatDelegateImpl java:555)
	at androidx appcompat app AppCompatActivity setContentView(AppCompatActivity java:161)
	at org schabi newpipe ReCaptchaActivity onCreate(ReCaptchaActivity java:63)
	at android app Activity performCreate(Activity java:5966)
	at android app Instrumentation callActivityOnCreate(Instrumentation java:1106)
	at android app ActivityThread performLaunchActivity(ActivityThread java:2408)
	    10 more
Caused by: java lang reflect InvocationTargetException
	at java lang reflect Constructor newInstance(Native Method)
	at java lang reflect Constructor newInstance(Constructor java:288)
	at android view LayoutInflater createView(LayoutInflater java:607)
	    23 more
Caused by: android content res Resources NotFoundException: String resource ID  0x2040002
	at android content res Resources getText(Resources java:284)
	at android content res Resources getString(Resources java:382)
	at com android org chromium content browser ContentViewCore setContainerView(ContentViewCore java:702)
	at com android org chromium content browser ContentViewCore initialize(ContentViewCore java:608)
	at com android org chromium android webview AwContents createAndInitializeContentViewCore(AwContents java:651)
	at com android org chromium android webview AwContents setNewAwContents(AwContents java:790)
	at com android org chromium android webview AwContents  init (AwContents java:640)
	at com android org chromium android webview AwContents  init (AwContents java:576)
	at com android webview chromium WebViewChromium initForReal(WebViewChromium java:315)
	at com android webview chromium WebViewChromium access 100(WebViewChromium java:100)
	at com android webview chromium WebViewChromium 1 run(WebViewChromium java:267)
	at com android webview chromium WebViewChromium WebViewChromiumRunQueue drainQueue(WebViewChromium java:127)
	at com android webview chromium WebViewChromium WebViewChromiumRunQueue 1 run(WebViewChromium java:114)
	at com android org chromium base ThreadUtils runOnUiThread(ThreadUtils java:144)
	at com android webview chromium WebViewChromium WebViewChromiumRunQueue addTask(WebViewChromium java:111)
	at com android webview chromium WebViewChromium init(WebViewChromium java:264)
	at android webkit WebView  init (WebView java:575)
	at android webkit WebView  init (WebView java:510)
	at android webkit WebView  init (WebView java:493)
	at android webkit WebView  init (WebView java:480)
	    26 more
  details 
 hr 
</t>
  </si>
  <si>
    <t>Anuken-Mindustry-2937</t>
  </si>
  <si>
    <t>Server creation crash</t>
  </si>
  <si>
    <t xml:space="preserve">Alright  so I tried to make a server so me and my brother could play locally and it kept crashing_x000D_
_x000D_
Mindustry has crashed  How unfortunate _x000D_
Report this at https:  github com Anuken Mindustry issues new labels bug template bug report md_x000D_
_x000D_
Version: beta build 108_x000D_
OS: Windows 10 x64_x000D_
Java Version: 1 8 0 72_x000D_
Java Architecture: 64_x000D_
0 Mods_x000D_
_x000D_
java lang NullPointerException_x000D_
	at mindustry desktop DesktopLauncher updateLobby(DesktopLauncher java:230)_x000D_
	at mindustry ui dialogs HostDialog lambda runHost 15(HostDialog java:83)_x000D_
	at arc util Timer 1 run(Timer java:88)_x000D_
	at arc util TaskQueue run(TaskQueue java:17)_x000D_
	at arc backend sdl SdlApplication loop(SdlApplication java:160)_x000D_
	at arc backend sdl SdlApplication  init (SdlApplication java:52)_x000D_
	at mindustry desktop DesktopLauncher main(DesktopLauncher java:36)_x000D_
</t>
  </si>
  <si>
    <t>TeamNewPipe-NewPipe-4506</t>
  </si>
  <si>
    <t>Regression - playback position from video B to A</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</si>
  <si>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play video A  then play video B  then go back to video A    video A will start from the beginning not from the last playback position _x000D_
_x000D_
this happens regardless of history settings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_x000D_
_x000D_
    Expected behavior_x000D_
     Tell us what you expect to happen     _x000D_
_x000D_
video A sould start from the last playback position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 6 0_x000D_
   Device model: galaxy s6_x000D_
  newPipe 0 20 0_x000D_
</t>
  </si>
  <si>
    <t>Anuken-Mindustry-2931</t>
  </si>
  <si>
    <t xml:space="preserve">  Note  : Do not report any new bugs directly relating to the v6 campaign  They will not be fixed or considered at this time _x000D_
_x000D_
  Platform  : windows 10 64 bit_x000D_
_x000D_
  Build  : bleeding edge 10449_x000D_
_x000D_
  Issue  :  Explain your issue in detail  _x000D_
the game crashed  null pointer exception_x000D_
_x000D_
  Steps to reproduce  :  How you happened across the issue  and what exactly you did to make the bug happen  _x000D_
go onto stained mountains and move toward the drop point_x000D_
_x000D_
  Link(s) to mod(s) used  :  The mod repositories or zip files that are related to the issue  if applicable  _x000D_
not mod related  if so the crash report has a list_x000D_
_x000D_
  Save file  :  The (zipped) save file you were playing on when the bug happened  _x000D_
 MindustryV6Save zip (https:  github com Anuken Mindustry files 5374296 MindustryV6Save zip)_x000D_
_x000D_
_x000D_
  Crash report  :  The contents of relevant crash report files  REQUIRED if you are reporting a crash  _x000D_
 crash report 10 13 2020 17 27 23 txt (https:  github com Anuken Mindustry files 5374301 crash report 10 13 2020 17 27 23 txt)_x000D_
_x000D_
   _x000D_
_x000D_
 Place an X (no spaces) between the brackets to confirm that you have read the line below    _x000D_
   X    I have searched the closed and open issues to make sure that this problem has not already been reported   _x000D_
_x000D_
_x000D_
Edit  It appears to crash when shooting</t>
  </si>
  <si>
    <t>oliexdev-openScale-638</t>
  </si>
  <si>
    <t>pixel 4a crash at measurement with beta 2.3.1_dev</t>
  </si>
  <si>
    <t xml:space="preserve">open app   start bluetooth icon on app  step on scale   scale connects  scales does measurement  when it finishes(or when it sends data to phone) the app crashes  unexpected error    it has worked once  in September     looks like some sort of month error   I don t know _x000D_
_x000D_
scale is a blue tooth  1 by one  ordered off Amazon _x000D_
_x000D_
        error log below      _x000D_
Build version: 2 3 1 dev 1a75826d 2020 10 04 _x000D_
Build date: 1981 01 01 01:01:02 _x000D_
Current date: 2020 10 13 16:19:23 _x000D_
Device: Google Pixel 4a _x000D_
 _x000D_
Stack trace:  _x000D_
java lang IllegalArgumentException: MONTH_x000D_
	at java util GregorianCalendar computeTime(GregorianCalendar java:2662)_x000D_
	at java util Calendar updateTime(Calendar java:3403)_x000D_
	at java util Calendar getTimeInMillis(Calendar java:1761)_x000D_
	at com health openscale core bluetooth BluetoothOneByone parseBytes(BluetoothOneByone java:223)_x000D_
	at com health openscale core bluetooth BluetoothOneByone onBluetoothNotify(BluetoothOneByone java:125)_x000D_
	at com health openscale core bluetooth BluetoothCommunication 1 onCharacteristicUpdate(BluetoothCommunication java:358)_x000D_
	at com welie blessed BluetoothPeripheral 1 5 run(BluetoothPeripheral java:443)_x000D_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t>
  </si>
  <si>
    <t>Anuken-Mindustry-2929</t>
  </si>
  <si>
    <t>Invincible Player after destroyed core in online PVP</t>
  </si>
  <si>
    <t xml:space="preserve">  Note  : Do not report any new bugs directly relating to the v6 campaign  They will not be fixed or considered at this time _x000D_
_x000D_
  Platform  :  Android iOS Mac Windows Linux  any i guess_x000D_
_x000D_
  Build  :  V107   Server _x000D_
_x000D_
  Issue  :_x000D_
 PVP match with multiple teams _x000D_
After a teams core is destroyed the remaining players wont get killed but become invincible instead _x000D_
They can still attack other teams but wont get shot by any turrets _x000D_
In this picture I m in Team Blue and our core got destroyed  I m sitting next to Team Yellow Scatters and they dont shot me at all _x000D_
Bullets from other Players just went right through me and doesn t deal any damage  _x000D_
_x000D_
  image (https:  user images githubusercontent com 66265700 95880114 716a6700 0d77 11eb 98f5 6aaff57fb4a7 png)_x000D_
_x000D_
_x000D_
  Steps to reproduce  : _x000D_
 PVP match with at least 3 teams   Own core got destroyed 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Well  Ecan PVP Server   no safe file available_x000D_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</si>
  <si>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Anuken-Mindustry-2928</t>
  </si>
  <si>
    <t>getItem() in consumes.java is WAY too picky</t>
  </si>
  <si>
    <t xml:space="preserve">  Note  : Do not report any new bugs directly relating to the v6 campaign  They will not be fixed or considered at this time _x000D_
_x000D_
  Platform  :  Windows _x000D_
_x000D_
  Build  :  10302   10375 _x000D_
_x000D_
  Issue  :  getItem() of https:  github com Anuken Mindustry blob master core src mindustry world consumers Consumers java crashes if the block has ConsumeItemDynamic  ConsumeItemFilter  or none   when it should return the respective versions or  null   _x000D_
_x000D_
  Steps to reproduce  :  call getItem() on a UnitFactory or some power generators  _x000D_
_x000D_
  Link(s) to mod(s) used  :  https:  github com sk7725 Testers :  smartsource js (https:  github com sk7725 Testers blob master scripts smartsource js)_x000D_
_x000D_
  Save file  :  Happens codewise   instant crash  so I am 99 9  sure  _x000D_
_x000D_
  Crash report  :  Mindustry has crashed  How unfortunate _x000D_
Version: bleeding edge build 10302_x000D_
OS: Windows 10 x64_x000D_
Java Version: 14 0 2_x000D_
Java Architecture: 64_x000D_
1 Mods: testers:0 16_x000D_
_x000D_
rhino WrappedException: Wrapped java lang ClassCastException: class mindustry world blocks defense turrets ItemTurret 1 cannot be cast to class mindustry world consumers ConsumeItems (mindustry world blocks defense turrets ItemTurret 1 and mindustry world consumers ConsumeItems are in unnamed module of loader  app ) (smartsource 46)_x000D_
	at rhino Context throwAsScriptRuntimeEx(Context java:1668)_x000D_
	at rhino MemberBox invoke(MemberBox java:127)_x000D_
	at rhino NativeJavaMethod call(NativeJavaMethod java:205)_x000D_
	at rhino optimizer OptRuntime callProp0(OptRuntime java:71)_x000D_
	at rhino gen smartsource 5  c anonymous 4(smartsource:46)_x000D_
	at rhino gen smartsource 5 call(smartsource)_x000D_
	at rhino ContextFactory doTopCall(ContextFactory java:346)_x000D_
	at rhino ScriptRuntime doTopCall(ScriptRuntime java:3303)_x000D_
	at rhino gen smartsource 5 call(smartsource)_x000D_
	at rhino Context lambda call 0(Context java:515)_x000D_
	at rhino Context call(Context java:524)_x000D_
	at rhino Context call(Context java:515)_x000D_
	at rhino JavaAdapter callMethod(JavaAdapter java:549)_x000D_
	at adapter10 onProximityUpdate( adapter )_x000D_
	at mindustry gen Building updateProximity(Building java:703)_x000D_
	at mindustry world Tile changed(Tile java:527)_x000D_
	at mindustry world Tile setBlock(Tile java:231)_x000D_
	at mindustry world Tile setBlock(Tile java:177)_x000D_
	at mindustry world blocks ConstructBlock constructFinish(ConstructBlock java:67)_x000D_
	at mindustry gen Call constructFinish(Call java:244)_x000D_
	at mindustry world blocks ConstructBlock constructed(ConstructBlock java:114)_x000D_
	at mindustry world blocks ConstructBlock ConstructBuild construct(ConstructBlock java:236)_x000D_
	at mindustry gen BuilderMinerUnit update(BuilderMinerUnit java:1372)_x000D_
	at mindustry entities EntityGroup each(EntityGroup java:67)_x000D_
	at mindustry entities EntityGroup update(EntityGroup java:57)_x000D_
	at mindustry gen Groups update(Groups java:63)_x000D_
	at mindustry core Logic update(Logic java:322)_x000D_
	at arc ApplicationCore update(ApplicationCore java:36)_x000D_
	at mindustry ClientLauncher update(ClientLauncher java:151)_x000D_
	at arc backend sdl SdlApplication listen(SdlApplication java:170)_x000D_
	at arc backend sdl SdlApplication loop(SdlApplication java:158)_x000D_
	at arc backend sdl SdlApplication  init (SdlApplication java:52)_x000D_
	at mindustry desktop DesktopLauncher main(DesktopLauncher java:36)_x000D_
Caused by: java lang ClassCastException: class mindustry world blocks defense turrets ItemTurret 1 cannot be cast to class mindustry world consumers ConsumeItems (mindustry world blocks defense turrets ItemTurret 1 and mindustry world consumers ConsumeItems are in unnamed module of loader  app )_x000D_
	at mindustry world consumers Consumers getItem(Consumers java:38)_x000D_
	at java base jdk internal reflect NativeMethodAccessorImpl invoke0(Native Method)_x000D_
	at java base jdk internal reflect NativeMethodAccessorImpl invoke(NativeMethodAccessorImpl java:62)_x000D_
	at java base jdk internal reflect DelegatingMethodAccessorImpl invoke(DelegatingMethodAccessorImpl java:43)_x000D_
	at java base java lang reflect Method invoke(Method java:564)_x000D_
	at rhino MemberBox invoke(MemberBox java:105)_x000D_
	    31 more_x000D_
 _x000D_
_x000D_
   _x000D_
_x000D_
 Place an X (no spaces) between the brackets to confirm that you have read the line below    _x000D_
   X    I have searched the closed and open issues to make sure that this problem has not already been reported   _x000D_
</t>
  </si>
  <si>
    <t>c1Koriginal-Mutify-22</t>
  </si>
  <si>
    <t>handle grpc fail</t>
  </si>
  <si>
    <t xml:space="preserve"> grpc fail  has been a Geocoder issue since 2017  and there is no official fix from Google  _x000D_
Geocoder may fail to retrieve the marker s address information due to slow internet speed  especially on emulators  This will cause an IOException with the message  grpc failed   The app will not crash  but when the user opens the  Add  page it will display no address info  as the UserLocation object for the marker location cannot be instantiated  _x000D_
Possible solutions: _x000D_
1  run getFromLocation() in a background thread  and update the UI when the result is received_x000D_
2  run getFromLocation() in a JobIntentService (preferred solution)</t>
  </si>
  <si>
    <t>borconi-WifiLauncherforHUR-9</t>
  </si>
  <si>
    <t>App crashes when starts</t>
  </si>
  <si>
    <t xml:space="preserve">There is an issue while setting summary bluetooth devices with selected devices _x000D_
_x000D_
The user had bluetooth off and he selected  Bluetooth was off  re open it again  or  No paired Bluetooth devices  option in MultiSelectListPreference  it crashes because value is     Also fixed and adds label if a device is forgotten (and avoid crashing too) _x000D_
_x000D_
StackTrace:_x000D_
   _x000D_
10 12 17:00:36 243 10227  7695  7695 E AndroidRuntime: FATAL EXCEPTION: main_x000D_
10 12 17:00:36 243 10227  7695  7695 E AndroidRuntime: Process: com borconi emil wifilauncherforhur  PID: 7695_x000D_
10 12 17:00:36 243 10227  7695  7695 E AndroidRuntime: java lang RuntimeException: Unable to resume activity  com borconi emil wifilauncherforhur com borconi emil wifilauncherforhur activities MainActivity : java lang ArrayIndexOutOfBoundsException: length 1  index  1_x000D_
10 12 17:00:36 243 10227  7695  7695 E AndroidRuntime: 	at android app ActivityThread performResumeActivity(ActivityThread java:4444)_x000D_
10 12 17:00:36 243 10227  7695  7695 E AndroidRuntime: 	at android app ActivityThread handleResumeActivity(ActivityThread java:4476)_x000D_
10 12 17:00:36 243 10227  7695  7695 E AndroidRuntime: 	at android app servertransaction ResumeActivityItem execute(ResumeActivityItem java:52)_x000D_
10 12 17:00:36 243 10227  7695  7695 E AndroidRuntime: 	at android app servertransaction TransactionExecutor executeLifecycleState(TransactionExecutor java:176)_x000D_
10 12 17:00:36 243 10227  7695  7695 E AndroidRuntime: 	at android app servertransaction TransactionExecutor execute(TransactionExecutor java:97)_x000D_
10 12 17:00:36 243 10227  7695  7695 E AndroidRuntime: 	at android app ActivityThread H handleMessage(ActivityThread java:2066)_x000D_
10 12 17:00:36 243 10227  7695  7695 E AndroidRuntime: 	at android os Handler dispatchMessage(Handler java:106)_x000D_
10 12 17:00:36 243 10227  7695  7695 E AndroidRuntime: 	at android os Looper loop(Looper java:223)_x000D_
10 12 17:00:36 243 10227  7695  7695 E AndroidRuntime: 	at android app ActivityThread main(ActivityThread java:7656)_x000D_
10 12 17:00:36 243 10227  7695  7695 E AndroidRuntime: 	at java lang reflect Method invoke(Native Method)_x000D_
10 12 17:00:36 243 10227  7695  7695 E AndroidRuntime: 	at com android internal os RuntimeInit MethodAndArgsCaller run(RuntimeInit java:592)_x000D_
10 12 17:00:36 243 10227  7695  7695 E AndroidRuntime: 	at com android internal os ZygoteInit main(ZygoteInit java:947)_x000D_
10 12 17:00:36 243 10227  7695  7695 E AndroidRuntime: Caused by: java lang ArrayIndexOutOfBoundsException: length 1  index  1_x000D_
10 12 17:00:36 243 10227  7695  7695 E AndroidRuntime: 	at com borconi emil wifilauncherforhur activities MainPreferenceFragment lambda setBluetoothDevicesSummary 8(MainPreferenceFragment java:186)_x000D_
10 12 17:00:36 243 10227  7695  7695 E AndroidRuntime: 	at com borconi emil wifilauncherforhur activities    Lambda MainPreferenceFragment q3A8Pt6nYiL7CeL c rcLCfBxwQ apply(Unknown Source:4)_x000D_
10 12 17:00:36 243 10227  7695  7695 E AndroidRuntime: 	at java util stream ReferencePipeline 3 1 accept(ReferencePipeline java:203)_x000D_
10 12 17:00:36 243 10227  7695  7695 E AndroidRuntime: 	at java util HashMap KeySpliterator forEachRemaining(HashMap java:1552)_x000D_
10 12 17:00:36 243 10227  7695  7695 E AndroidRuntime: 	at java util stream AbstractPipeline copyInto(AbstractPipeline java:485)_x000D_
10 12 17:00:36 243 10227  7695  7695 E AndroidRuntime: 	at java util stream AbstractPipeline wrapAndCopyInto(AbstractPipeline java:475)_x000D_
10 12 17:00:36 243 10227  7695  7695 E AndroidRuntime: 	at java util stream ReduceOps ReduceOp evaluateSequential(ReduceOps java:708)_x000D_
10 12 17:00:36 243 10227  7695  7695 E AndroidRuntime: 	at java util stream AbstractPipeline evaluate(AbstractPipeline java:236)_x000D_
10 12 17:00:36 243 10227  7695  7695 E AndroidRuntime: 	at java util stream ReferencePipeline collect(ReferencePipeline java:517)_x000D_
10 12 17:00:36 243 10227  7695  7695 E AndroidRuntime: 	at com borconi emil wifilauncherforhur activities MainPreferenceFragment setBluetoothDevicesSummary(MainPreferenceFragment java:186)_x000D_
10 12 17:00:36 243 10227  7695  7695 E AndroidRuntime: 	at com borconi emil wifilauncherforhur activities MainPreferenceFragment onResume(MainPreferenceFragment java:107)_x000D_
10 12 17:00:36 243 10227  7695  7695 E AndroidRuntime: 	at androidx fragment app Fragment performResume(Fragment java:2747)_x000D_
10 12 17:00:36 243 10227  7695  7695 E AndroidRuntime: 	at androidx fragment app FragmentStateManager resume(FragmentStateManager java:373)_x000D_
10 12 17:00:36 243 10227  7695  7695 E AndroidRuntime: 	at androidx fragment app FragmentManager moveToState(FragmentManager java:1199)_x000D_
10 12 17:00:36 243 10227  7695  7695 E AndroidRuntime: 	at androidx fragment app FragmentManager moveToState(FragmentManager java:1356)_x000D_
10 12 17:00:36 243 10227  7695  7695 E AndroidRuntime: 	at androidx fragment app FragmentManager moveFragmentToExpectedState(FragmentManager java:1434)_x000D_
10 12 17:00:36 243 10227  7695  7695 E AndroidRuntime: 	at androidx fragment app FragmentManager moveToState(FragmentManager java:1497)_x000D_
10 12 17:00:36 243 10227  7695  7695 E AndroidRuntime: 	at androidx fragment app FragmentManager dispatchStateChange(FragmentManager java:2625)_x000D_
10 12 17:00:36 243 10227  7695  7695 E AndroidRuntime: 	at androidx fragment app FragmentManager dispatchResume(FragmentManager java:2589)_x000D_
10 12 17:00:36 243 10227  7695  7695 E AndroidRuntime: 	at androidx fragment app FragmentController dispatchResume(FragmentController java:269)_x000D_
10 12 17:00:36 243 10227  7695  7695 E AndroidRuntime: 	at androidx fragment app FragmentActivity onResumeFragments(FragmentActivity java:478)_x000D_
10 12 17:00:36 243 10227  7695  7695 E AndroidRuntime: 	at androidx fragment app FragmentActivity onPostResume(FragmentActivity java:467)_x000D_
10 12 17:00:36 243 10227  7695  7695 E AndroidRuntime: 	at androidx appcompat app AppCompatActivity onPostResume(AppCompatActivity java:204)_x000D_
10 12 17:00:36 243 10227  7695  7695 E AndroidRuntime: 	at android app Activity performResume(Activity java:8160)_x000D_
10 12 17:00:36 243 10227  7695  7695 E AndroidRuntime: 	at android app ActivityThread performResumeActivity(ActivityThread java:4434)_x000D_
10 12 17:00:36 243 10227  7695  7695 E AndroidRuntime: 	    11 more_x000D_
   </t>
  </si>
  <si>
    <t>Anuken-Mindustry-2925</t>
  </si>
  <si>
    <t>AI Building turned on. AI doesn't build on attack map.</t>
  </si>
  <si>
    <t xml:space="preserve">  Note  : Not campaign related _x000D_
  Platform  : Windows_x000D_
_x000D_
  Build  : 10416 and 10427_x000D_
_x000D_
  Issue  : On attack maps  with the  AI Building  option enabled  the AI doesn t build  Also  the AI doesn t automatically spawn a basic building ship from the core  I even tried spawning the ships myself  They just stood there _x000D_
_x000D_
  Steps to reproduce  : Custom Game   Click an attack map   Set it to Attack gamemode   Customize Rules   Enemies   AI Building   Back   Play_x000D_
_x000D_
  Link(s) to mod(s) used  : None_x000D_
  Save file  :  TEST zip (https:  github com Anuken Mindustry files 5366923 TEST zip)_x000D_
_x000D_
_x000D_
  Crash report  : Not a crash_x000D_
_x000D_
   _x000D_
_x000D_
 Place an X (no spaces) between the brackets to confirm that you have read the line below    _x000D_
   x    I have searched the closed and open issues to make sure that this problem has not already been reported   _x000D_
</t>
  </si>
  <si>
    <t>Anuken-Mindustry-2917</t>
  </si>
  <si>
    <t>Cant research core nucleus</t>
  </si>
  <si>
    <t xml:space="preserve">  Note  : Do not report any new bugs directly relating to the v6 campaign  They will not be fixed or considered at this time _x000D_
_x000D_
  Platform  : windows 10 64 bit_x000D_
_x000D_
  Build  : bleeding edge build 10405_x000D_
_x000D_
  Issue  :  Explain your issue in detail  _x000D_
I cant research the core nucleus  it says its 1009  completed _x000D_
_x000D_
  Steps to reproduce  :  How you happened across the issue  and what exactly you did to make the bug happen  _x000D_
Try to research core nucleus_x000D_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MindustryV6Save zip (https:  github com Anuken Mindustry files 5362685 MindustryV6Save zip)_x000D_
_x000D_
_x000D_
  Crash report  :  The contents of relevant crash report files  REQUIRED if you are reporting a crash  _x000D_
Not a crash_x000D_
   _x000D_
_x000D_
 Place an X (no spaces) between the brackets to confirm that you have read the line below    _x000D_
   X    I have searched the closed and open issues to make sure that this problem has not already been reported   _x000D_
  image (https:  user images githubusercontent com 54417042 95700585 68618480 0c15 11eb 886f 6a46c09426fa png)_x000D_
  image (https:  user images githubusercontent com 54417042 95700595 71525600 0c15 11eb 8528 4ed1f20e5242 png)_x000D_
</t>
  </si>
  <si>
    <t>TeamNewPipe-NewPipe-4497</t>
  </si>
  <si>
    <t>Not the same playback position when changing players</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</si>
  <si>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Checklist
     The first box has been checked for you to show you how it is done     
   x  I am using the latest version       compare Releases page and your version given in About in the app drawer    
   x  I checked  but didn t find any duplicates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1  Play the video in video details   full screen for some time (few tens of seconds)
2  Switch to background by turning off your screen or clicking on popup button
It does not  always  happen  I don t know why
     If you can t cause the bug to show up again reliably (and hence don t have a proper set of steps to give us)  please still try to give as many details as possible on how you think you encountered the bug     
    Actual behaviour
     Tell us what happens instead     
The playback position is current minus about 20s
    Expected behavior
     Tell us what you expect to happen     
Same playback position when changing players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Android 9
   Device model: pocophone F1
</t>
  </si>
  <si>
    <t>Anuken-Mindustry-2914</t>
  </si>
  <si>
    <t xml:space="preserve">Ok </t>
  </si>
  <si>
    <t xml:space="preserve">  Note  : Do not report any new bugs directly relating to the v6 campaign  They will not be fixed or considered at this time 
  Platform  :  Android iOS Mac Windows Linux 
  Build  :  The build number under the title in the main menu  Required   LATEST  IS NOT A VERSION  I NEED THE EXACT BUILD NUMBER OF YOUR GAME  
  Issue  :  Explain your issue in detail  
  Steps to reproduce  :  How you happened across the issue  and what exactly you did to make the bug happen  
  Link(s) to mod(s) used  :  The mod repositories or zip files that are related to the issue  if applicable  
  Save file  :  The (zipped) save file you were playing on when the bug happened  THIS IS REQUIRED FOR ANY ISSUE HAPPENING IN GAME  REGARDLESS OF WHETHER YOU THINK IT HAPPENS EVERYWHERE  DO NOT DELETE OR OMIT THIS LINE UNLESS YOU ARE SURE THAT THE ISSUE DOES NOT HAPPEN IN GAME  
  Crash report  :  The contents of relevant crash report files  REQUIRED if you are reporting a crash  
 Place an X (no spaces) between the brackets to confirm that you have read the line below    
        I have searched the closed and open issues to make sure that this problem has not already been reported   
</t>
  </si>
  <si>
    <t>Anuken-Mindustry-2910</t>
  </si>
  <si>
    <t>Item Limit on cores is ignored, infinite resource storage</t>
  </si>
  <si>
    <t xml:space="preserve">  Note  : Do not report any new bugs directly relating to the v6 campaign  They will not be fixed or considered at this time _x000D_
_x000D_
  Platform  : Windows 10  64 bit_x000D_
_x000D_
  Build  : BE Build 10389_x000D_
_x000D_
  Issue  : When Inputting items to the core it can store more than should be possible_x000D_
_x000D_
  Steps to reproduce  : put items into the core  as well as have offsite locations launching items to the sector  however if you leave the sector and come back they return to the capacity limits _x000D_
_x000D_
  Link(s) to mod(s) used  : none_x000D_
_x000D_
  Save file  : _x000D_
 MindustryV6Save zip (https:  github com Anuken Mindustry files 5361355 MindustryV6Save zip)_x000D_
the issue occurs on sector 6  it may happen elsewhere _x000D_
_x000D_
  Crash report  :  The contents of relevant crash report files  REQUIRED if you are reporting a crash  _x000D_
Not a crash_x000D_
   _x000D_
_x000D_
 Place an X (no spaces) between the brackets to confirm that you have read the line below    _x000D_
   X    I have searched the closed and open issues to make sure that this problem has not already been reported   _x000D_
_x000D_
  image (https:  user images githubusercontent com 54417042 95683258 10e0fb80 0bb8 11eb 9fb5 0343a66ae738 png)_x000D_
</t>
  </si>
  <si>
    <t>TeamNewPipe-NewPipe-4491</t>
  </si>
  <si>
    <t>Thumbnail looks stretched on 16:9 devices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</si>
  <si>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song or video _x000D_
2  Press on  Background _x000D_
3  Go to lockscreen and hit the preview of  The song or vide you wanted to listen in the background _x000D_
    _x000D_
     1  Go to  Any song or video you want to play on the background _x000D_
     2  Press on  Background _x000D_
     3  Go to lockscreen and hit the preview of  The song or vide you wanted to listen in the Background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If you play any songs videos and you open the preview on your lockscreen  the thumbnail looks stretched and wierd _x000D_
_x000D_
_x000D_
    Expected behavior_x000D_
     Tell us what you expect to happen     _x000D_
If you play any songs videos and you open the preview on your lockscreen  the thumbnail looks stretched and wierd  this should not be happening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20201011 131217 Samsung Experience Home (https:  user images githubusercontent com 27083995 95675995 c06f9b00 0bc3 11eb 87c2 877e99c51c9e jpg)_x000D_
  Screenshot 20201011 131232 NewPipe (https:  user images githubusercontent com 27083995 95675996 c1a0c800 0bc3 11eb 91d7 8db7ae559671 jpg)_x000D_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 8 0 Oreo Stock_x000D_
   Device model: Samsung Galaxy A5 2017_x000D_
</t>
  </si>
  <si>
    <t>SecUSo-privacy-friendly-qr-scanner-92</t>
  </si>
  <si>
    <t>NPE on loading result fragments</t>
  </si>
  <si>
    <t xml:space="preserve">This issue is getting rather important because it seems that a lot of crashes are happening because of the result fragments _x000D_
 500 crashes in the last 30 days from a NPE in ResultActivity _x000D_
_x000D_
It seems like the  parsedResult  argument is null or the returned type is null _x000D_
_x000D_
Possibly related to  58 _x000D_
_x000D_
 java lang RuntimeException: _x000D_
  at android app ActivityThread performLaunchActivity (ActivityThread java:3270)_x000D_
  at android app ActivityThread handleLaunchActivity (ActivityThread java:3409)_x000D_
  at android app servertransaction LaunchActivityItem execute (LaunchActivityItem java:83)_x000D_
  at android app servertransaction TransactionExecutor executeCallbacks (TransactionExecutor java:135)_x000D_
  at android app servertransaction TransactionExecutor execute (TransactionExecutor java:95)_x000D_
  at android app ActivityThread H handleMessage (ActivityThread java:2016)_x000D_
  at android os Handler dispatchMessage (Handler java:107)_x000D_
  at android os Looper loop (Looper java:214)_x000D_
  at android app ActivityThread main (ActivityThread java:7356)_x000D_
  at java lang reflect Method invoke (Native Method)_x000D_
  at com android internal os RuntimeInit MethodAndArgsCaller run (RuntimeInit java:492)_x000D_
  at com android internal os ZygoteInit main (ZygoteInit java:930)_x000D_
Caused by: java lang NullPointerException: _x000D_
  at com secuso privacyfriendlycodescanner qrscanner ui activities ResultActivity loadFragment (ResultActivity java:238)_x000D_
  at com secuso privacyfriendlycodescanner qrscanner ui activities ResultActivity onCreate (ResultActivity java:92)_x000D_
  at android app Activity performCreate (Activity java:7825)_x000D_
  at android app Activity performCreate (Activity java:7814)_x000D_
  at android app Instrumentation callActivityOnCreate (Instrumentation java:1306)_x000D_
  at android app ActivityThread performLaunchActivity (ActivityThread java:3245) _x000D_
_x000D_
   _x000D_
_x000D_
 java lang RuntimeException: _x000D_
  at android app ActivityThread performLaunchActivity (ActivityThread java:2957)_x000D_
  at android app ActivityThread handleLaunchActivity (ActivityThread java:3032)_x000D_
  at android app ActivityThread  wrap11 (Unknown Source)_x000D_
  at android app ActivityThread H handleMessage (ActivityThread java:1696)_x000D_
  at android os Handler dispatchMessage (Handler java:105)_x000D_
  at android os Looper loop (Looper java:164)_x000D_
  at android app ActivityThread main (ActivityThread java:6944)_x000D_
  at java lang reflect Method invoke (Native Method)_x000D_
  at com android internal os Zygote MethodAndArgsCaller run (Zygote java:327)_x000D_
  at com android internal os ZygoteInit main (ZygoteInit java:1374)_x000D_
Caused by: java lang NullPointerException: _x000D_
  at com secuso privacyfriendlycodescanner qrscanner ui activities ResultActivity loadFragment (ResultActivity java:238)_x000D_
  at com secuso privacyfriendlycodescanner qrscanner ui activities ResultActivity onCreate (ResultActivity java:92)_x000D_
  at android app Activity performCreate (Activity java:7183)_x000D_
  at android app Instrumentation callActivityOnCreate (Instrumentation java:1220)_x000D_
  at android app ActivityThread performLaunchActivity (ActivityThread java:2910) _x000D_
_x000D_
   _x000D_
_x000D_
 java lang RuntimeException: _x000D_
  at android app ActivityThread performLaunchActivity (ActivityThread java:2821)_x000D_
  at android app ActivityThread handleLaunchActivity (ActivityThread java:2899)_x000D_
  at android app ActivityThread  wrap11 (Unknown Source)_x000D_
  at android app ActivityThread H handleMessage (ActivityThread java:1625)_x000D_
  at android os Handler dispatchMessage (Handler java:106)_x000D_
  at android os Looper loop (Looper java:164)_x000D_
  at android app ActivityThread main (ActivityThread java:6558)_x000D_
  at java lang reflect Method invoke (Native Method)_x000D_
  at com android internal os RuntimeInit MethodAndArgsCaller run (RuntimeInit java:469)_x000D_
  at com android internal os ZygoteInit main (ZygoteInit java:826)_x000D_
Caused by: java lang NullPointerException: _x000D_
  at com secuso privacyfriendlycodescanner qrscanner ui activities ResultActivity loadFragment (ResultActivity java:238)_x000D_
  at com secuso privacyfriendlycodescanner qrscanner ui activities ResultActivity onCreate (ResultActivity java:92)_x000D_
  at android app Activity performCreate (Activity java:7256)_x000D_
  at android app Activity performCreate (Activity java:7247)_x000D_
  at android app Instrumentation callActivityOnCreate (Instrumentation java:1215)_x000D_
  at android app ActivityThread performLaunchActivity (ActivityThread java:2774) </t>
  </si>
  <si>
    <t>TeamNewPipe-NewPipe-4487</t>
  </si>
  <si>
    <t>Swipe to open menu/drawer only available on main page</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</si>
  <si>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Checklist
     The first box has been checked for you to show you how it is done     
   x  I am using the latest version       compare Releases page and your version given in About in the app drawer    
   x  I checked  but didn t find any duplicates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1  Go to a channel and Swipe to open the menu Or
1  Perform a search  (optionally play a video) and Swipe to open the menu 
    Actual behaviour
     Tell us what happens instead     
Unless you go back to the main page  nothing happens when you try to access the menu
    Expected behavior
     Tell us what you expect to happen     
Consistency with behavior on main page  (Menu opens)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Screenshot 20201011 030644 png (https:  user images githubusercontent com 50635951 95672514 5e854600 0b6f 11eb 88f4 bb6c3d8b6350 png)
 Swipe to open menu  is possible on the main and videos played from there (screenshot) but inaccessible from search results or a channel page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8 1 0 stock 
   Device model: BlackBerry keyone 
</t>
  </si>
  <si>
    <t>TeamNewPipe-NewPipe-4486</t>
  </si>
  <si>
    <t>Resolution limits not working on certain videos</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</si>
  <si>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Checklist
     The first box has been checked for you to show you how it is done     
   x  I am using the latest version       compare Releases page and your version given in About in the app drawer    
   x  I checked  but didn t find any duplicates of this issue in the repo       Seriously  check  O O    
   x  I have read the contribution guidelines given at https:  github com TeamNewPipe NewPipe blob HEAD  github CONTRIBUTING md 
   x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1  Set all resolution limits to 144p  240p etc 
2  Set format to webm Watch this video https:  www youtube com watch v vOUBwOdAdnU
    Actual behaviour
     Tell us what happens instead     
Video plays in 1080p mp4
    Expected behavior
     Tell us what you expect to happen     
Video plays in the lowest available quality 
And or
Prompts warns before playing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Screenshot 20201011 023944 png (https:  user images githubusercontent com 50635951 95672308 b753df00 0b6d 11eb 81df ee56a691de9e png)
    Logs
     If your bug includes a crash (where you re shown the Error Report page with a bunch of info)  tap on  Copy formatted report  at the bottom and paste it here:    
     That s right  here     
     please fill this out when you do not provide a log generate by NewPipe    
    Device info
   Android version Custom ROM version: 8 1 0  stock
   Device model: BlackBerry Keyone </t>
  </si>
  <si>
    <t>OlofSjogren-GoAyo-117</t>
  </si>
  <si>
    <t>App crashes when trying to add a payment towards a debt if all the users involved in debts doesn't have surnames.</t>
  </si>
  <si>
    <t xml:space="preserve">Reproduction steps: _x000D_
_x000D_
  Create user without surname _x000D_
  Get user into group with other users _x000D_
  Add debt where the user is involved _x000D_
  Attempt to reach the add payment screen     Crash occurs _x000D_
_x000D_
The pick debt adapter seems to split a string array to try and display the first letter if the surname  and it most likely crashes as a result of the surname not being there _x000D_
_x000D_
Stack trace:_x000D_
_x000D_
    _x000D_
E AndroidRuntime: FATAL EXCEPTION: main_x000D_
    Process: com goayo debtify  PID: 24059_x000D_
    java lang ArrayIndexOutOfBoundsException: length 1  index 1_x000D_
        at com goayo debtify view adapter PickDebtAdapter PickDebtViewHolder configureName(PickDebtAdapter java:124)_x000D_
        at com goayo debtify view adapter PickDebtAdapter PickDebtViewHolder setDebtData(PickDebtAdapter java:116)_x000D_
        at com goayo debtify view adapter PickDebtAdapter onBindViewHolder(PickDebtAdapter java:60)_x000D_
        at com goayo debtify view adapter PickDebtAdapter onBindViewHolder(PickDebtAdapter java:30)_x000D_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GridLayoutManager layoutChunk(GridLayoutManager java:561)_x000D_
        at androidx recyclerview widget LinearLayoutManager fill(LinearLayoutManager java:1587)_x000D_
        at androidx recyclerview widget LinearLayoutManager onLayoutChildren(LinearLayoutManager java:665)_x000D_
        at androidx recyclerview widget GridLayoutManager onLayoutChildren(GridLayoutManager java:170)_x000D_
        at androidx recyclerview widget RecyclerView dispatchLayoutStep2(RecyclerView java:4134)_x000D_
        at androidx recyclerview widget RecyclerView onMeasure(RecyclerView java:3540)_x000D_
        at android view View measure(View java:25466)_x000D_
        at android widget ScrollView measureChildWithMargins(ScrollView java:1412)_x000D_
        at android widget FrameLayout onMeasure(FrameLayout java:194)_x000D_
        at android widget ScrollView onMeasure(ScrollView java:452)_x000D_
        at android view View measure(View java:25466)_x000D_
        at androidx constraintlayout widget ConstraintLayout Measurer measure(ConstraintLayout java:763)_x000D_
        at androidx constraintlayout solver widgets analyzer BasicMeasure measure(BasicMeasure java:426)_x000D_
        at androidx constraintlayout solver widgets analyzer BasicMeasure measureChildren(BasicMeasure java:105)_x000D_
        at androidx constraintlayout solver widgets analyzer BasicMeasure solverMeasure(BasicMeasure java:247)_x000D_
        at androidx constraintlayout solver widgets ConstraintWidgetContainer measure(ConstraintWidgetContainer java:117)_x000D_
        at androidx constraintlayout widget ConstraintLayout resolveSystem(ConstraintLayout java:1532)_x000D_
        at androidx constraintlayout widget ConstraintLayout onMeasure(ConstraintLayout java:1607)_x000D_
        at android view View measure(View java:25466)_x000D_
        at android view ViewGroup measureChildWithMargins(ViewGroup java:6957)_x000D_
        at android widget FrameLayout onMeasure(FrameLayout java:194)_x000D_
        at android view View measure(View java:25466)_x000D_
        at androidx constraintlayout widget ConstraintLayout Measurer measure(ConstraintLayout java:763)_x000D_
        at androidx constraintlayout solver widgets analyzer BasicMeasure measure(BasicMeasure java:426)_x000D_
        at androidx constraintlayout solver widgets analyzer BasicMeasure measureChildren(BasicMeasure java:105)_x000D_
        at androidx constraintlayout solver widgets analyzer BasicMeasure solverMeasure(BasicMeasure java:247)_x000D_
        at androidx constraintlayout solver widgets ConstraintWidgetContainer measure(ConstraintWidgetContainer java:117)_x000D_
        at androidx constraintlayout widget ConstraintLayout resolveSystem(ConstraintLayout java:1532)_x000D_
        at androidx constraintlayout widget ConstraintLayout onMeasure(ConstraintLayout java:1607)_x000D_
        at android view View measure(View java:25466)_x000D_
        at android view ViewGroup measureChildWithMargins(ViewGroup java:6957)_x000D_
        at android widget FrameLayout onMeasure(FrameLayout java:194)_x000D_
        at androidx appcompat widget ContentFrameLayout onMeasure(ContentFrameLayout java:146)_x000D_
E AndroidRuntime: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FrameLayout onMeasure(FrameLayout java:194)_x000D_
        at android view View measure(View java:25466)_x000D_
        at android view ViewGroup measureChildWithMargins(ViewGroup java:6957)_x000D_
        at android widget LinearLayout measureChildBeforeLayout(LinearLayout java:1552)_x000D_
        at android widget LinearLayout measureVertical(LinearLayout java:842)_x000D_
        at android widget LinearLayout onMeasure(LinearLayout java:721)_x000D_
        at android view View measure(View java:25466)_x000D_
        at android view ViewGroup measureChildWithMargins(ViewGroup java:6957)_x000D_
        at android widget FrameLayout onMeasure(FrameLayout java:194)_x000D_
        at com android internal policy DecorView onMeasure(DecorView java:747)_x000D_
        at android view View measure(View java:25466)_x000D_
        at android view ViewRootImpl performMeasure(ViewRootImpl java:3397)_x000D_
        at android view ViewRootImpl measureHierarchy(ViewRootImpl java:2228)_x000D_
        at android view ViewRootImpl performTraversals(ViewRootImpl java:2486)_x000D_
        at android view ViewRootImpl doTraversal(ViewRootImpl java:1952)_x000D_
        at android view ViewRootImpl TraversalRunnable run(ViewRootImpl java:8171)_x000D_
        at android view Choreographer CallbackRecord run(Choreographer java:972)_x000D_
        at android view Choreographer doCallbacks(Choreographer java:796)_x000D_
        at android view Choreographer doFrame(Choreographer java:731)_x000D_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t>
  </si>
  <si>
    <t>k9mail-k-9-5000</t>
  </si>
  <si>
    <t>Permanent crash after settings import</t>
  </si>
  <si>
    <t xml:space="preserve">  To Reproduce  _x000D_
_x000D_
1  On my old phone  I exported my settings for the global settings and one of the two accounts (regular imap smtp  no shenanigans) _x000D_
2  On the new phone (Android 11  throws a  your app is only for older Android versions )  I import the settings at the initial screen_x000D_
3  k 9 closes (or re opens the file app  it s not entirely clear to me)_x000D_
4  Trying to open k 9 again leads to an immediate crash  repeatedly_x000D_
5  Only deleting all app data helps_x000D_
_x000D_
Adding my account manually leads to a smoothly working k 9  but every attempt at using the settings import produces the behaviour above _x000D_
_x000D_
I couldn t retrieve screenshots for obvious reasons  but  here (https:  drop rixx de QQiu ) is an anonymised version of the export  (Also note that both accounts are included  even though I m fairly certain that I selected only one )</t>
  </si>
  <si>
    <t>Segelzwerg-FamilyFotoAndroid-28</t>
  </si>
  <si>
    <t>Handle no connection during login</t>
  </si>
  <si>
    <t xml:space="preserve">   _x000D_
              beginning of crash_x000D_
E AndroidRuntime: FATAL EXCEPTION: main_x000D_
    Process: com segelzwerg familyfotoandroid  PID: 3814_x000D_
    java lang RuntimeException: java lang reflect InvocationTargetException_x000D_
        at com android internal os ZygoteInit main(ZygoteInit java:767)_x000D_
     Caused by: java lang reflect InvocationTargetException_x000D_
        at java lang reflect Method invoke(Native Method)_x000D_
        at com android internal os Zygote MethodAndArgsCaller run(Zygote java:240)_x000D_
        at com android internal os ZygoteInit main(ZygoteInit java:767) _x000D_
     Caused by: java net ConnectException: Failed to connect to localhost 127 0 0 1:5000_x000D_
        at okhttp3 internal connection RealConnection connectSocket(RealConnection kt:297)_x000D_
        at okhttp3 internal connection RealConnection connect(RealConnection kt:207)_x000D_
        at okhttp3 internal connection ExchangeFinder findConnection(ExchangeFinder kt:226)_x000D_
        at okhttp3 internal connection ExchangeFinder findHealthyConnection(ExchangeFinder kt:106)_x000D_
        at okhttp3 internal connection ExchangeFinder find(ExchangeFinder kt:74)_x000D_
        at okhttp3 internal connection RealCall initExchange okhttp(RealCall kt:255)_x000D_
        at okhttp3 internal connection ConnectInterceptor intercept(ConnectInterceptor kt:32)_x000D_
        at okhttp3 internal http RealInterceptorChain proceed(RealInterceptorChain kt:109)_x000D_
        at okhttp3 internal cache CacheInterceptor intercept(CacheInterceptor kt:95)_x000D_
        at okhttp3 internal http RealInterceptorChain proceed(RealInterceptorChain kt:109)_x000D_
        at okhttp3 internal http BridgeInterceptor intercept(BridgeInterceptor kt:83)_x000D_
        at okhttp3 internal http RealInterceptorChain proceed(RealInterceptorChain kt:109)_x000D_
        at okhttp3 internal http RetryAndFollowUpInterceptor intercept(RetryAndFollowUpInterceptor kt:76)_x000D_
        at okhttp3 internal http RealInterceptorChain proceed(RealInterceptorChain kt:109)_x000D_
        at okhttp3 internal connection RealCall getResponseWithInterceptorChain okhttp(RealCall kt:201)_x000D_
        at okhttp3 internal connection RealCall AsyncCall run(RealCall kt:517)_x000D_
        at java util concurrent ThreadPoolExecutor runWorker(ThreadPoolExecutor java:1162)_x000D_
        at java util concurrent ThreadPoolExecutor Worker run(ThreadPoolExecutor java:636)_x000D_
        at java lang Thread run(Thread java:764)_x000D_
     Caused by: java net ConnectException: failed to connect to localhost 127 0 0 1 (port 5000) from  127 0 0 1 (port 52405) after 10000ms: isConnected failed: ECONNREFUSED (Connection refused)_x000D_
        at libcore io IoBridge isConnected(IoBridge java:273)_x000D_
        at libcore io IoBridge connectErrno(IoBridge java:188)_x000D_
        at libcore io IoBridge connect(IoBridge java:130)_x000D_
        at java net PlainSocketImpl socketConnect(PlainSocketImpl java:129)_x000D_
        at java net AbstractPlainSocketImpl doConnect(AbstractPlainSocketImpl java:356)_x000D_
        at java net AbstractPlainSocketImpl connectToAddress(AbstractPlainSocketImpl java:200)_x000D_
        at java net AbstractPlainSocketImpl connect(AbstractPlainSocketImpl java:182)_x000D_
        at java net SocksSocketImpl connect(SocksSocketImpl java:356)_x000D_
        at java net Socket connect(Socket java:616)_x000D_
        at okhttp3 internal platform AndroidPlatform connectSocket(AndroidPlatform kt:63)_x000D_
        at okhttp3 internal connection RealConnection connectSocket(RealConnection kt:295)_x000D_
        at okhttp3 internal connection RealConnection connect(RealConnection kt:207) _x000D_
        at okhttp3 internal connection ExchangeFinder findConnection(ExchangeFinder kt:226) _x000D_
        at okhttp3 internal connection ExchangeFinder findHealthyConnection(ExchangeFinder kt:106) _x000D_
        at okhttp3 internal connection ExchangeFinder find(ExchangeFinder kt:74) _x000D_
        at okhttp3 internal connection RealCall initExchange okhttp(RealCall kt:255) _x000D_
        at okhttp3 internal connection ConnectInterceptor intercept(ConnectInterceptor kt:32) _x000D_
        at okhttp3 internal http RealInterceptorChain proceed(RealInterceptorChain kt:109) _x000D_
        at okhttp3 internal cache CacheInterceptor intercept(CacheInterceptor kt:95) _x000D_
        at okhttp3 internal http RealInterceptorChain proceed(RealInterceptorChain kt:109) _x000D_
        at okhttp3 internal http BridgeInterceptor intercept(BridgeInterceptor kt:83) _x000D_
        at okhttp3 internal http RealInterceptorChain proceed(RealInterceptorChain kt:109) _x000D_
        at okhttp3 internal http RetryAndFollowUpInterceptor intercept(RetryAndFollowUpInterceptor kt:76) _x000D_
        at okhttp3 internal http RealInterceptorChain proceed(RealInterceptorChain kt:109) _x000D_
        at okhttp3 internal connection RealCall getResponseWithInterceptorChain okhttp(RealCall kt:201) _x000D_
        at okhttp3 internal connection RealCall AsyncCall run(RealCall kt:517) _x000D_
        at java util concurrent ThreadPoolExecutor runWorker(ThreadPoolExecutor java:1162) _x000D_
        at java util concurrent ThreadPoolExecutor Worker run(ThreadPoolExecutor java:636) _x000D_
        at java lang Thread run(Thread java:764) _x000D_
     Caused by: android system ErrnoException: isConnected failed: ECONNREFUSED (Connection refused)_x000D_
        at libcore io IoBridge isConnected(IoBridge java:262)_x000D_
        at libcore io IoBridge connectErrno(IoBridge java:188) _x000D_
        at libcore io IoBridge connect(IoBridge java:130) _x000D_
        at java net PlainSocketImpl socketConnect(PlainSocketImpl java:129) _x000D_
        at java net AbstractPlainSocketImpl doConnect(AbstractPlainSocketImpl java:356) _x000D_
        at java net AbstractPlainSocketImpl connectToAddress(AbstractPlainSocketImpl java:200) _x000D_
        at java net AbstractPlainSocketImpl connect(AbstractPlainSocketImpl java:182) _x000D_
        at java net SocksSocketImpl connect(SocksSocketImpl java:356) _x000D_
        at java net Socket connect(Socket java:616) _x000D_
        at okhttp3 internal platform AndroidPlatform connectSocket(AndroidPlatform kt:63) _x000D_
        at okhttp3 internal connection RealConnection connectSocket(RealConnection kt:295) _x000D_
        at okhttp3 internal connection RealConnection connect(RealConnection kt:207) _x000D_
        at okhttp3 internal connection ExchangeFinder findConnection(ExchangeFinder kt:226) _x000D_
        at okhttp3 internal connection ExchangeFinder findHealthyConnection(ExchangeFinder kt:106) _x000D_
        at okhttp3 internal connection ExchangeFinder find(ExchangeFinder kt:74) _x000D_
        at okhttp3 internal connection RealCall initExchange okhttp(RealCall kt:255) _x000D_
        at okhttp3 internal connection ConnectInterceptor intercept(ConnectInterceptor kt:32) _x000D_
        at okhttp3 internal http RealInterceptorChain proceed(RealInterceptorChain kt:109) _x000D_
        at okhttp3 internal cache CacheInterceptor intercept(CacheInterceptor kt:95) _x000D_
        at okhttp3 internal http RealInterceptorChain proceed(RealInterceptorChain kt:109) _x000D_
        at okhttp3 internal http BridgeInterceptor intercept(BridgeInterceptor kt:83) _x000D_
        at okhttp3 internal http RealInterceptorChain proceed(RealInterceptorChain kt:109) _x000D_
        at okhttp3 internal http RetryAndFollowUpInterceptor intercept(RetryAndFollowUpInterceptor kt:76) _x000D_
        at okhttp3 internal http RealInterceptorChain proceed(RealInterceptorChain kt:109) _x000D_
        at okhttp3 internal connection RealCall getResponseWithInterceptorChain okhttp(RealCall kt:201) _x000D_
        at okhttp3 internal connection RealCall AsyncCall run(RealCall kt:517) _x000D_
        at java util concurrent ThreadPoolExecutor runWorker(ThreadPoolExecutor java:1162) _x000D_
        at java util concurrent ThreadPoolExecutor Worker run(ThreadPoolExecutor java:636) _x000D_
        at java lang Thread run(Thread java:764) _x000D_
   _x000D_
</t>
  </si>
  <si>
    <t>Anuken-Mindustry-2893</t>
  </si>
  <si>
    <t xml:space="preserve">Mindustry has crashed  How unforunate _x000D_
Report this at https:  github com Anuken Mindustry issues new labels bug template bug report md_x000D_
_x000D_
Version: alpha build 107_x000D_
OS: Windows 10 x64_x000D_
Java Version: 1 8 0 72_x000D_
Java Architecture: 64_x000D_
0 Mods_x000D_
_x000D_
java lang IllegalStateException: Frame buffer couldn t be constructed: incomplete attachment_x000D_
	at arc graphics gl GLFrameBuffer build(GLFrameBuffer java:284)_x000D_
	at arc graphics gl FrameBuffer resize(FrameBuffer java:115)_x000D_
	at arc fx util PingPongBuffer resize(PingPongBuffer java:82)_x000D_
	at arc fx FxProcessor resize(FxProcessor java:72)_x000D_
	at mindustry core Renderer resize(Renderer java:125)_x000D_
	at arc ApplicationCore resize(ApplicationCore java:29)_x000D_
	at mindustry ClientLauncher resize(ClientLauncher java:125)_x000D_
	at arc backend sdl SdlApplication lambda loop 12(SdlApplication java:136)_x000D_
	at arc backend sdl SdlApplication listen(SdlApplication java:170)_x000D_
	at arc backend sdl SdlApplication loop(SdlApplication java:136)_x000D_
	at arc backend sdl SdlApplication  init (SdlApplication java:52)_x000D_
	at mindustry desktop DesktopLauncher main(DesktopLauncher java:36)_x000D_
_x000D_
_x000D_
</t>
  </si>
  <si>
    <t>TeamNewPipe-NewPipe-4475</t>
  </si>
  <si>
    <t>Crash in lists (ViewHolder views not attached)</t>
  </si>
  <si>
    <t xml:space="preserve">    Checklist_x000D_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Set up peertube debian social as the peertube instance_x000D_
2  Open Trending Local whatever_x000D_
3  Attempt to scroll beyond the last element_x000D_
_x000D_
    Actual behaviour_x000D_
_x000D_
Crash (see below) _x000D_
_x000D_
    Expected behavior_x000D_
     Tell us what you expect to happen     _x000D_
_x000D_
I d expect more video thumbnails to appear _x000D_
_x000D_
    Logs_x000D_
   Exception_x000D_
    User Action:   ui error_x000D_
    Request:   App crash  UI failure_x000D_
    Content Country:   GB_x000D_
    Content Language:   en GB_x000D_
    App Language:   en GB_x000D_
    Service:   none_x000D_
    Version:   0 20 0_x000D_
    OS:   Linux Android 9   28_x000D_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java:873)_x000D_
	at android os Handler dispatchMessage(Handler java:99)_x000D_
	at android os Looper loop(Looper java:193)_x000D_
	at android app ActivityThread main(ActivityThread java:6680)_x000D_
	at java lang reflect Method invoke(Native Method)_x000D_
	at com android internal os RuntimeInit MethodAndArgsCaller run(RuntimeInit java:493)_x000D_
	at com android internal os ZygoteInit main(ZygoteInit java:858)_x000D_
_x000D_
   _x000D_
  details _x000D_
 hr _x000D_
_x000D_
    Device info_x000D_
_x000D_
   Device model: Mi Box S_x000D_
</t>
  </si>
  <si>
    <t>TeamNewPipe-NewPipe-4473</t>
  </si>
  <si>
    <t>Comments on comments are not shown.</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</si>
  <si>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popular video_x000D_
2  Open the video in official app or website to check if there are comments on comments  If yes continue  else find another video _x000D_
3  Check comments section in NewPipe _x000D_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Comments on comments are not shown _x000D_
_x000D_
_x000D_
    Expected behavior_x000D_
     Tell us what you expect to happen     _x000D_
There should be a way to see comments on comments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NewPipe_x000D_
    Device info_x000D_
_x000D_
   Android version Custom ROM version:_x000D_
   Device model:_x000D_
    </t>
  </si>
  <si>
    <t>Anuken-Mindustry-2890</t>
  </si>
  <si>
    <t>AoE damage is very overpowered against larger blocks</t>
  </si>
  <si>
    <t xml:space="preserve">  Platform  : Windows 10_x000D_
_x000D_
  Build  : Custom build  latest version_x000D_
_x000D_
  Issue  : From digging through the code  it appears that AoE splash damage can apply multiple times to a multi tile block  so if it hits all tiles of the block  it isn t even doing normal levels of damage anymore  it s basically just draining away from the health per tile of the block  which makes multiblocks with super high HP affected the same as if it was seperated up into a bunch of small blocks  This also causes things like big unit crashes to do stupidly high amounts of damage and is why they used to one shot cores  I don t know if this classifies as a bug or not  or if it is a suggestion to change it _x000D_
_x000D_
  Steps to reproduce  : Use an AoE weapon against a multiblock  or crash a large air unit into a multiblock  it will do much more damage then expected _x000D_
_x000D_
   _x000D_
_x000D_
 Place an X (no spaces) between the brackets to confirm that you have read the line below    _x000D_
   X    I have searched the closed and open issues to make sure that this problem has not already been reported   _x000D_
</t>
  </si>
  <si>
    <t>TeamNewPipe-NewPipe-4472</t>
  </si>
  <si>
    <t>When I play videos at 1.01 speed, the audio get unsychronised significantly after some time.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</si>
  <si>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any video in which you can check voice synchronisation_x000D_
2  Set playback speed to 1 01_x000D_
3  Observe_x000D_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Audio get unsynchronised  clearly observable after 2 3 minutes_x000D_
_x000D_
_x000D_
    Expected behavior_x000D_
     Tell us what you expect to happen     _x000D_
Audio reamain synchronised_x000D_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 10_x000D_
       Device model:     _x000D_
</t>
  </si>
  <si>
    <t>nextcloud-android-7069</t>
  </si>
  <si>
    <t>Out of Memory exception while moving files</t>
  </si>
  <si>
    <t xml:space="preserve">    Steps to reproduce_x000D_
1  I have uploaded fotos from my phone to next cloud (10 6GB  1972 files)_x000D_
2  After that I want to categorize them so I select multiple photos in the nextcloud app (about 100) and move them to another directory  _x000D_
_x000D_
    Expected behaviour_x000D_
  photos should be moved _x000D_
_x000D_
    Actual behaviour_x000D_
  after being unresponsive for a while next cloud app crashes with out of memory error_x000D_
_x000D_
  photo 2020 10 10 01 00 25 (https:  user images githubusercontent com 189796 95638191 15ac8f00 0a94 11eb 9407 2a540ea1662e jpg)_x000D_
_x000D_
_x000D_
    Environment data_x000D_
Android version: 7 1 2_x000D_
_x000D_
Device model: Fairphone 2_x000D_
_x000D_
Stock or customized system: FP2_x000D_
_x000D_
Nextcloud app version: 3 13 0_x000D_
_x000D_
Nextcloud server version: 19 0 3_x000D_
_x000D_
Reverse proxy:  _x000D_
_x000D_
    Logs_x000D_
_x000D_
     Nextcloud log (data nextcloud log)_x000D_
_x000D_
I have no  data nextcloud log  file as far as I see  Here is the output saved to clipboard after the crash:_x000D_
_x000D_
   _x000D_
             CAUSE OF ERROR             _x000D_
_x000D_
java lang OutOfMemoryError: OutOfMemoryError thrown while trying to throw OutOfMemoryError  no stack trace available_x000D_
_x000D_
             APP INFORMATION             _x000D_
ID: com nextcloud client_x000D_
Version: 30130090_x000D_
Build flavor: generic_x000D_
_x000D_
             DEVICE INFORMATION             _x000D_
Brand: Fairphone_x000D_
Device: FP2_x000D_
Model: FP2_x000D_
Id: 19 11 2_x000D_
Product: FP2_x000D_
_x000D_
             FIRMWARE             _x000D_
SDK: 25_x000D_
Release: 7 1 2_x000D_
Incremental: sibon 24df0be9_x000D_
_x000D_
   _x000D_
_x000D_
Please let me know if there is any more information needed </t>
  </si>
  <si>
    <t>Anuken-Mindustry-2886</t>
  </si>
  <si>
    <t>ripple with silicon ammo stuck after switching to blast compound</t>
  </si>
  <si>
    <t xml:space="preserve">  Note  : Do not report any new bugs directly relating to the v6 campaign  They will not be fixed or considered at this time _x000D_
_x000D_
  Platform  : Windows_x000D_
_x000D_
  Build  : 10313_x000D_
_x000D_
  Issue  : Ripple turrets cant shoot or turn after switching from silicon ammo to blast compound  Works only with cryofluid and stops working after any turret is loaded with a conveyor _x000D_
_x000D_
  Steps to reproduce  :_x000D_
1 Place a ripple with cryofluid source and silicon source _x000D_
2 Change silicon source to blast compound _x000D_
3 Shoot remaining silicon _x000D_
_x000D_
  Link(s) to mod(s) used  : None_x000D_
_x000D_
  Save file  :  bug zip (https:  github com Anuken Mindustry files 5354717 bug zip)_x000D_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</si>
  <si>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Anuken-Mindustry-2884</t>
  </si>
  <si>
    <t>When I open the game its suddenly close and show error</t>
  </si>
  <si>
    <t xml:space="preserve">  Note  : Do not report any new bugs directly relating to the v6 campaign  They will not be fixed or considered at this time _x000D_
_x000D_
  Platform  :  Android _x000D_
_x000D_
  Build  :  The build number under the title in the main menu  Required   LATEST  IS NOT A VERSION  I NEED THE EXACT BUILD NUMBER OF YOUR GAME  _x000D_
_x000D_
  Issue  :  When I open the game(realese 10313) its suddenly close and show error(Version of phone   5 1 5)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idk    I have searched the closed and open issues to make sure that this problem has not already been reported   _x000D_
</t>
  </si>
  <si>
    <t>Anuken-Mindustry-2883</t>
  </si>
  <si>
    <t>Some mindustry BE bug I found</t>
  </si>
  <si>
    <t xml:space="preserve">  Note  : Do not report any new bugs directly relating to the v6 campaign  They will not be fixed or considered at this time _x000D_
_x000D_
  Platform  :  Android iOS Mac Windows Linux  android _x000D_
_x000D_
  Build  :  The build number under the title in the main menu  Required   LATEST  IS NOT A VERSION  I NEED THE EXACT BUILD NUMBER OF YOUR GAME   10313_x000D_
_x000D_
  Issue  :  Explain your issue in detail   when I open mindustry BE 10313 it just closes _x000D_
_x000D_
  Steps to reproduce  :  How you happened across the issue  and what exactly you did to make the bug happen   I opened it_x000D_
_x000D_
  Link(s) to mod(s) used  :  The mod repositories or zip files that are related to the issue  if applicable   no mods_x000D_
_x000D_
_x000D_
  Crash report  :  The contents of relevant crash report files  REQUIRED if you are reporting a crash   for some reason it doesn t give me the logs _x000D_
  Screenshot 2020 10 09 09 47 10 (https:  user images githubusercontent com 72601626 95564009 10106400 0a16 11eb 8cbc 977bf5beb67a png)_x000D_
_x000D_
 Place an X (no spaces) between the brackets to confirm that you have read the line below    _x000D_
   X    I have searched the closed and open issues to make sure that this problem has not already been reported   _x000D_
</t>
  </si>
  <si>
    <t>Anuken-Mindustry-2880</t>
  </si>
  <si>
    <t>space shader crash</t>
  </si>
  <si>
    <t xml:space="preserve">  Note  : Do not report any new bugs directly relating to the v6 campaign  They will not be fixed or considered at this time _x000D_
_x000D_
  Platform  :  mac _x000D_
_x000D_
  Build  :  10313 _x000D_
_x000D_
  Issue  :  crash when trying to compile from source of when trying to launch from bleeding edge  _x000D_
_x000D_
  Steps to reproduce  :  see above _x000D_
_x000D_
  Link(s) to mod(s) used  :  null _x000D_
_x000D_
  Save file  :  null _x000D_
_x000D_
  Crash report  : _x000D_
_x000D_
   _x000D_
Mindustry has crashed  How unfortunate _x000D_
Report this at https:  github com Anuken Mindustry issues new labels bug template bug report md_x000D_
_x000D_
Version: bleeding edge build 10313_x000D_
OS: Mac OS X x64_x000D_
Java Version: 14 0 1_x000D_
Java Architecture: 64_x000D_
0 Mods_x000D_
_x000D_
java lang IllegalArgumentException: Failed to compile shader: Fragment shader:_x000D_
ERROR: 0:28:     does not operate on  float  and  int _x000D_
_x000D_
	at arc graphics gl Shader  init (Shader java:129)_x000D_
	at mindustry graphics Shaders LoadShader  init (Shaders java:257)_x000D_
	at mindustry graphics Shaders SurfaceShader  init (Shaders java:231)_x000D_
	at mindustry graphics Shaders SpaceShader  init (Shaders java:205)_x000D_
	at mindustry graphics Shaders init(Shaders java:47)_x000D_
	at mindustry core Renderer  init (Renderer java:44)_x000D_
	at mindustry ClientLauncher setup(ClientLauncher java:97)_x000D_
	at mindustry ClientLauncher init(ClientLauncher java:171)_x000D_
	at arc backend sdl SdlApplication listen(SdlApplication java:170)_x000D_
	at arc backend sdl SdlApplication loop(SdlApplication java:126)_x000D_
	at arc backend sdl SdlApplication  init (SdlApplication java:52)_x000D_
	at mindustry desktop DesktopLauncher main(DesktopLauncher java:36)_x000D_
   _x000D_
_x000D_
   _x000D_
_x000D_
 Place an X (no spaces) between the brackets to confirm that you have read the line below    _x000D_
   X    I have searched the closed and open issues to make sure that this problem has not already been reported   _x000D_
_x000D_
  (possibly) related issue yet with a different exception:  2878</t>
  </si>
  <si>
    <t>Anuken-Mindustry-2878</t>
  </si>
  <si>
    <t>Crash 10313</t>
  </si>
  <si>
    <t>Mindustry has crashed  How unfortunate _x000D_
Report this at https:  github com Anuken Mindustry issues new labels bug template bug report md_x000D_
_x000D_
Version: unknown build 0_x000D_
OS: Linux x32_x000D_
Java Version: 0_x000D_
Java Architecture: null_x000D_
0 Mods_x000D_
_x000D_
  IllegalArgument:  Failed to compile shader: Fragment shader:_x000D_
ERROR: 0:28:     :  wrong operand types  no operation     exists that takes a left hand operand of type  const float  and a right operand of type  const int  (or there is no acceptable conversion)_x000D_
ERROR: 1 compilation errors   No code generated _x000D_
_x000D_
 _x000D_
Shader  init : 129_x000D_
Shaders LoadShader  init : 257_x000D_
Shaders SurfaceShader  init : 231_x000D_
Shaders SpaceShader  init : 205_x000D_
Shaders init: 47_x000D_
Renderer  init : 44_x000D_
ClientLauncher setup: 97_x000D_
ClientLauncher init: 171_x000D_
AndroidGraphics onSurfaceChanged: 239_x000D_
GLSurfaceView GLThread guardedRun: 1555_x000D_
GLSurfaceView GLThread run: 1270</t>
  </si>
  <si>
    <t>wallabag-android-app-1075</t>
  </si>
  <si>
    <t>`java.lang.IllegalArgumentException: Unknown server version`</t>
  </si>
  <si>
    <t xml:space="preserve">  Issue details_x000D_
_x000D_
I have been receiving error notifications from the app for the last couple of week  with the following stacktrace _x000D_
_x000D_
 details _x000D_
 summary _x000D_
_x000D_
   _x000D_
10 09 07:53:03 910  1089  2222 W BaseNetworkWorker: java lang IllegalArgumentException: Unknown server version_x000D_
10 09 07:53:03 910  1089  2222 W BaseNetworkWorker:     at wallabag apiwrapper CompatibilityHelper getVersionCode(CompatibilityHelper java:366)_x000D_
   _x000D_
  summary _x000D_
_x000D_
   _x000D_
10 09 07:53:03 910  1089  2222 W BaseNetworkWorker: java lang IllegalArgumentException: Unknown server version_x000D_
10 09 07:53:03 910  1089  2222 W BaseNetworkWorker:     at wallabag apiwrapper CompatibilityHelper getVersionCode(CompatibilityHelper java:366)_x000D_
10 09 07:53:03 910  1089  2222 W BaseNetworkWorker:     at wallabag apiwrapper CompatibilityHelper isDeleteArticleWithIdSupported(CompatibilityHelper java:172)_x000D_
10 09 07:53:03 910  1089  2222 W BaseNetworkWorker:     at wallabag apiwrapper CompatibilityHelper isDeleteArticleWithIdSupported(CompatibilityHelper java:177)_x000D_
10 09 07:53:03 910  1089  2222 W BaseNetworkWorker:     at wallabag apiwrapper WallabagService deleteArticle(WallabagService java:661)_x000D_
10 09 07:53:03 910  1089  2222 W BaseNetworkWorker:     at wallabag apiwrapper WallabagService deleteArticle(WallabagService java:638)_x000D_
10 09 07:53:03 910  1089  2222 W BaseNetworkWorker:     at fr gaulupeau apps Poche service workers OfflineChangesSynchronizer syncOfflineQueue(OfflineChangesSynchronizer java:138)_x000D_
10 09 07:53:03 910  1089  2222 W BaseNetworkWorker:     at fr gaulupeau apps Poche service workers OfflineChangesSynchronizer synchronize(OfflineChangesSynchronizer java:68)_x000D_
10 09 07:53:03 910  1089  2222 W BaseNetworkWorker:     at fr gaulupeau apps Poche service tasks SyncOfflineChangesTask run(SyncOfflineChangesTask java:17)_x000D_
10 09 07:53:03 910  1089  2222 W BaseNetworkWorker:     at fr gaulupeau apps Poche service tasks ActionRequestTask run(ActionRequestTask java:25)_x000D_
10 09 07:53:03 910  1089  2222 W BaseNetworkWorker:     at fr gaulupeau apps Poche service    Lambda Nf0ej7UkvM IGhcyH2GG UaljDo run(Unknown Source:2)_x000D_
10 09 07:53:03 910  1089  2222 W BaseNetworkWorker:     at fr gaulupeau apps Poche service TaskService run(TaskService java:154)_x000D_
10 09 07:53:03 910  1089  2222 W BaseNetworkWorker:     at fr gaulupeau apps Poche service TaskService lambda gjfracnqY8x0  mrxsx0oqjQmgk(Unknown Source:0)_x000D_
10 09 07:53:03 910  1089  2222 W BaseNetworkWorker:     at fr gaulupeau apps Poche service    Lambda TaskService gjfracnqY8x0  mrxsx0oqjQmgk run(Unknown Source:2)_x000D_
10 09 07:53:03 910  1089  2222 W BaseNetworkWorker:     at java lang Thread run(Thread java:764)_x000D_
   _x000D_
  details _x000D_
_x000D_
This seems to block any sync  up or down _x000D_
_x000D_
Oddly enough  I have been receiving it at different times on various devices  but once this happens once  it doesn t go away  Weirder too  is that I did not change anything on either the server or the app(s) (one of the apps in my own debug build  so I know it has not been updated  and was working before) _x000D_
_x000D_
I can also get the versions manually just fine from the JSON API  though it is not a JSON object  but a simple string _x000D_
_x000D_
There are 6609 articles in this instance (using MySQL) _x000D_
_x000D_
Or    Looking at the Wallabag logs just now  a DB error due to a duplicate tag  But those logs are from a month ago _x000D_
_x000D_
 details _x000D_
 summary _x000D_
_x000D_
   _x000D_
  curl  D   https:  wallabag narf ssji net api version json                                                                                                                                  _x000D_
   _x000D_
 2 3 8 dev  _x000D_
   _x000D_
  summary _x000D_
_x000D_
   _x000D_
  curl  D   https:  wallabag example net api version json                                                                                                                                  _x000D_
HTTP 2 200_x000D_
date: Thu  08 Oct 2020 23:51:39 GMT_x000D_
server: Apache 2 4 43 (Unix) LibreSSL 3 1 1 mod chroot 0 5_x000D_
x powered by: PHP 7 3 21_x000D_
cache control: no cache  private_x000D_
cache control: max age 2592000_x000D_
expires: Sat  07 Nov 2020 23:51:39 GMT_x000D_
vary: Accept Encoding_x000D_
strict transport security: max age 15768000 _x000D_
content type: application json_x000D_
_x000D_
 2 3 8 dev  _x000D_
   _x000D_
  details _x000D_
_x000D_
The only think I can think of is an increase in the number of articles in Wallabag _x000D_
_x000D_
    Duplicate _x000D_
Have you searched the issues of this repository if your issue is already known  yes_x000D_
_x000D_
    Actual behaviour_x000D_
  Persistent notification with the stacktrace is shown  nothing gets synced_x000D_
_x000D_
    Expected behaviour_x000D_
  No notification  and things get synced_x000D_
_x000D_
  Steps to reproduce the issue_x000D_
1  Start the app (either to read  or by adding an article)_x000D_
2  Wait a few seconds_x000D_
_x000D_
  Environment details_x000D_
    wallabag app version  : 2 4 0 and 2 4 0 DEBUG (own build)_x000D_
    wallabag app installation source   (e g  Gplay  F Droid  manual): F Droid  and Debug version manually built (both have been working fine at first)_x000D_
    Android OS version  : 7 1 2 and 8 1 0_x000D_
    Android ROM   (e g  stock  LineageOS  SlimRom  ): MicroG for LineageOS_x000D_
    Android hardware  : hammerhead and bullhead_x000D_
    wallabag server version  : 2 3 8 dev (that s with Graby to support meta refresh rewriting  and some slow query work backported from master  it has been working fine like this for many months  until now)_x000D_
    Do you have Two Factor Authentication enabled   : no_x000D_
_x000D_
_x000D_
  Logs_x000D_
_x000D_
   App_x000D_
 details _x000D_
 summary Logcat  summary _x000D_
_x000D_
   _x000D_
          beginning of main_x000D_
10 09 07:31:51 783 29034 29064 I chatty  : uid 10118(fr gaulupeau apps InThePoche debug) expire 9 lines_x000D_
10 09 07:31:52 500 29034 29039 I chatty  : uid 10118(fr gaulupeau apps InThePoche debug) expire 12 lines_x000D_
10 09 07:32:00 743 29034 29127 I chatty  : uid 10118(fr gaulupeau apps InThePoche debug) expire 30 lines_x000D_
10 09 07:32:03 846 29034 29135 I chatty  : uid 10118(fr gaulupeau apps InThePoche debug) expire 30 lines_x000D_
10 09 07:32:06 953 29034 29138 I chatty  : uid 10118(fr gaulupeau apps InThePoche debug) expire 30 lines_x000D_
10 09 07:32:10 042 29034 29141 I chatty  : uid 10118(fr gaulupeau apps InThePoche debug) expire 30 lines_x000D_
10 09 07:32:10 114 29034 29034 I chatty  : uid 10118(fr gaulupeau apps InThePoche debug) expire 72 lines_x000D_
10 09 07:32:13 144 29034 29159 I chatty  : uid 10118(fr gaulupeau apps InThePoche debug) expire 29 lines_x000D_
10 09 07:32:16 313 29034 29176 I chatty  : uid 10118(fr gaulupeau apps InThePoche debug) expire 29 lines_x000D_
10 09 07:32:17 160 29034 29181 I chatty  : uid 10118(fr gaulupeau apps InThePoche debug) expire 53 lines_x000D_
10 09 07:32:19 396 29034 29185 I chatty  : uid 10118(fr gaulupeau apps InThePoche debug) expire 30 lines_x000D_
10 09 07:32:22 482 29034 29194 I chatty  : uid 10118(fr gaulupeau apps InThePoche debug) expire 30 lines_x000D_
10 09 07:32:25 568 29034 29222 I chatty  : uid 10118(fr gaulupeau apps InThePoche debug) expire 29 lines_x000D_
10 09 07:32:28 703 29034 29240 I chatty  : uid 10118(fr gaulupeau apps InThePoche debug) expire 29 lines_x000D_
10 09 07:32:28 951 29034 29034 I chatty  : uid 10118(fr gaulupeau apps InThePoche debug) expire 39 lines_x000D_
10 09 07:32:31 979 29034 29259 I chatty  : uid 10118(fr gaulupeau apps InThePoche debug) expire 29 lines_x000D_
10 09 07:32:35 085 29034 29283 I chatty  : uid 10118(fr gaulupeau apps InThePoche debug) expire 29 lines_x000D_
10 09 07:32:38 220 29034 29300 I chatty  : uid 10118(fr gaulupeau apps InThePoche debug) expire 29 lines_x000D_
10 09 07:32:41 700 29034 29336 I chatty  : uid 10118(fr gaulupeau apps InThePoche debug) expire 29 lines_x000D_
10 09 07:32:44 834 29034 29034 I chatty  : uid 10118(fr gaulupeau apps InThePoche debug) expire 42 lines_x000D_
10 09 07:32:44 851 29034 29376 I chatty  : uid 10118(fr gaulupeau apps InThePoche debug) expire 29 lines_x000D_
10 09 07:32:47 989 29034 29381 I chatty  : uid 10118(fr gaulupeau apps InThePoche debug) expire 29 lines_x000D_
10 09 07:32:51 105 29034 29388 I chatty  : uid 10118(fr gaulupeau apps InThePoche debug) expire 29 lines_x000D_
10 09 07:32:54 218 29034 29400 I chatty  : uid 10118(fr gaulupeau apps InThePoche debug) expire 29 lines_x000D_
10 09 07:32:57 300 29034 29425 I chatty  : uid 10118(fr gaulupeau apps InThePoche debug) expire 29 lines_x000D_
10 09 07:32:57 372 29034 29034 I chatty  : uid 10118(fr gaulupeau apps InThePoche debug) expire 28 lines_x000D_
10 09 07:33:00 391 29034 29452 I chatty  : uid 10118(fr gaulupeau apps InThePoche debug) expire 29 lines_x000D_
10 09 07:33:03 504 29034 29468 I chatty  : uid 10118(fr gaulupeau apps InThePoche debug) expire 29 lines_x000D_
10 09 07:33:07 483 29034 29526 I chatty  : uid 10118(fr gaulupeau apps InThePoche debug) expire 29 lines_x000D_
10 09 07:33:07 595 29034 29034 I chatty  : uid 10118(fr gaulupeau apps InThePoche debug) expire 11 lines_x000D_
10 09 07:33:10 625 29034 29546 I chatty  : uid 10118(fr gaulupeau apps InThePoche debug) expire 22 lines_x000D_
10 09 07:33:10 698 29034 29546 D EventProcessor: onActionResultEvent() result is success: false_x000D_
10 09 07:33:10 698 29034 29546 D EventProcessor: onActionResultEvent() result is not success  errorType: UNKNOWN_x000D_
10 09 07:33:10 698 29034 29546 D EventProcessor: onActionResultEvent() result message: java lang IllegalArgumentException: Unknown server version_x000D_
10 09 07:33:10 771 29034 29546 D EventProcessor: onActionResultEvent() notification is not null  showing it_x000D_
10 09 07:33:10 784 29034 29546 V MainService: run() finished a task_x000D_
10 09 07:33:10 784 29034 29546 D MainService: run() no more tasks  notifying that we are ready to stop_x000D_
10 09 07:33:10 784 29034 29546 D MainService: readyToStop()_x000D_
10 09 07:33:10 787 29034 29034 D MainService: onDestroy()_x000D_
10 09 07:33:13 692 29034 29034 D EventProcessor: networkChanged() requesting SyncQueue operation_x000D_
10 09 07:33:13 692 29034 29034 D OperationsHelper: syncQueue() started_x000D_
10 09 07:33:13 702 29034 29034 D MainService: onCreate()_x000D_
10 09 07:33:13 704 29034 29034 D MainService: onStartCommand()_x000D_
10 09 07:33:13 705 29034 29034 D MainService: enqueueTask()_x000D_
10 09 07:33:13 705 29034 29034 V MainService: enqueueTask() enqueueing task_x000D_
10 09 07:33:13 708 29034 29557 V MainService: run() running a task_x000D_
10 09 07:33:13 708 29034 29557 D OfflineChangesSynchronizer: synchronizeOfflineChanges() started_x000D_
10 09 07:33:13 710 29034 29557 D EventBus: No subscribers registered for event class fr gaulupeau apps Poche events SyncQueueStartedEvent_x000D_
10 09 07:33:13 710 29034 29557 D OfflineChangesSynchronizer: syncOfflineQueue() started_x000D_
10 09 07:33:13 712 29034 29557 D DbConnection: using existing db session_x000D_
10 09 07:33:13 713 29034 29557 D greenDAO: Built SQL for query: SELECT T   id  T  QUEUE NUMBER  T  ACTION  T  ARTICLE ID  T  LOCAL ARTICLE ID  T  EXTRA  T  EXTRA2  FROM  QUEUE ITEM  T  ORDER BY T  QUEUE NUMBER  ASC_x000D_
10 09 07:33:13 714 29034 29557 D greenDAO: Values for query:   _x000D_
10 09 07:33:13 730 29034 29557 D OfflineChangesSynchronizer: syncOfflineQueue() current QueueItem(1 out of 14): QueueItem id 1  queueNumber 1  action ARTICLE DELETE  articleId 6939  localArticleId null  extra  null   extra2  null  _x000D_
10 09 07:33:13 730 29034 29557 D EventProcessor: onSyncQueueProgressEvent() started_x000D_
10 09 07:33:13 739 29034 29557 D OfflineChangesSynchronizer: syncOfflineQueue() processing: queue item ID: 1  article ID:  6939 _x000D_
10 09 07:33:13 741 29034 29557 W BaseNetworkWorker: syncOfflineQueue() java lang IllegalArgumentException_x000D_
10 09 07:33:13 741 29034 29557 W BaseNetworkWorker: java lang IllegalArgumentException: Unknown server version_x000D_
10 09 07:33:13 741 29034 29557 W BaseNetworkWorker: 	at wallabag apiwrapper CompatibilityHelper getVersionCode(CompatibilityHelper java:366)_x000D_
10 09 07:33:13 741 29034 29557 W BaseNetworkWorker: 	at wallabag apiwrapper CompatibilityHelper isDeleteArticleWithIdSupported(CompatibilityHelper java:172)_x000D_
10 09 07:33:13 741 29034 29557 W BaseNetworkWorker: 	at wallabag apiwrapper CompatibilityHelper isDeleteArticleWithIdSupported(CompatibilityHelper java:177)_x000D_
10 09 07:33:13 741 29034 29557 W BaseNetworkWorker: 	at wallabag apiwrapper WallabagService deleteArticle(WallabagService java:661)_x000D_
10 09 07:33:13 741 29034 29557 W BaseNetworkWorker: 	at wallabag apiwrapper WallabagService deleteArticle(WallabagService java:638)_x000D_
10 09 07:33:13 741 29034 29557 W BaseNetworkWorker: 	at fr gaulupeau apps Poche service workers OfflineChangesSynchronizer syncOfflineQueue(OfflineChangesSynchronizer java:138)_x000D_
10 09 07:33:13 741 29034 29557 W BaseNetworkWorker: 	at fr gaulupeau apps Poche service workers OfflineChangesSynchronizer synchronize(OfflineChangesSynchronizer java:68)_x000D_
10 09 07:33:13 741 29034 29557 W BaseNetworkWorker: 	at fr gaulupeau apps Poche service tasks SyncOfflineChangesTask run(SyncOfflineChangesTask java:17)_x000D_
10 09 07:33:13 741 29034 29557 W BaseNetworkWorker: 	at fr gaulupeau apps Poche service tasks ActionRequestTask run(ActionRequestTask java:25)_x000D_
10 09 07:33:13 741 29034 29557 W BaseNetworkWorker: 	at fr gaulupeau apps Poche service    Lambda Nf0ej7UkvM IGhcyH2GG UaljDo run(Unknown Source:2)_x000D_
10 09 07:33:13 741 29034 29557 W BaseNetworkWorker: 	at fr gaulupeau apps Poche service TaskService run(TaskService java:154)_x000D_
10 09 07:33:13 741 29034 29557 W BaseNetworkWorker: 	at fr gaulupeau apps Poche service TaskService lambda gjfracnqY8x0  mrxsx0oqjQmgk(Unknown Source:0)_x000D_
10 09 07:33:13 741 29034 29557 W BaseNetworkWorker: 	at fr gaulupeau apps Poche service    Lambda TaskService gjfracnqY8x0  mrxsx0oqjQmgk run(Unknown Source:2)_x000D_
10 09 07:33:13 741 29034 29557 W BaseNetworkWorker: 	at java lang Thread run(Thread java:764)_x000D_
10 09 07:33:13 743 29034 29557 I OfflineChangesSynchronizer: syncOfflineQueue() itemError: UNKNOWN_x000D_
10 09 07:33:13 744 29034 29557 I OfflineChangesSynchronizer: syncOfflineQueue() the itemError is a showstopper  breaking_x000D_
10 09 07:33:13 744 29034 29557 D OfflineChangesSynchronizer: syncOfflineQueue() finished_x000D_
10 09 07:33:13 745 29034 29557 D EventProcessor: onSyncQueueFinishedEvent() started_x000D_
10 09 07:33:13 748 29034 29557 D EventProcessor: enableConnectivityChangeReceiver() enable connectivity change receiver: true_x000D_
10 09 07:33:13 751 29034 29557 D WallabagJobService: enable(true) started_x000D_
10 09 07:33:13 752 29034 29557 D WallabagJobService: enable() trying to schedule a job_x000D_
10 09 07:33:13 759 29034 29557 D WallabagJobService: enable(): JobScheduler job scheduled_x000D_
10 09 07:33:13 759 29034 29557 D OfflineChangesSynchronizer: synchronizeOfflineChanges() finished_x000D_
10 09 07:33:13 759 29034 29557 D EventProcessor: onActionResultEvent() started_x000D_
10 09 07:33:13 759 29034 29557 D EventProcessor: onActionResultEvent() action: SYNC QUEUE_x000D_
10 09 07:33:13 759 29034 29557 D EventProcessor: onActionResultEvent() result is success: false_x000D_
10 09 07:33:13 759 29034 29557 D EventProcessor: onActionResultEvent() result is not success  errorType: UNKNOWN_x000D_
10 09 07:33:13 759 29034 29557 D EventProcessor: onActionResultEvent() result message: java lang IllegalArgumentException: Unknown server version_x000D_
10 09 07:33:13 765 29034 29034 D WallabagJobService: onStartJob() started_x000D_
10 09 07:33:13 767 29034 29034 D EventProcessor: onConnectivityChangedEvent() started_x000D_
10 09 07:33:13 787 29034 29557 D EventProcessor: onActionResultEvent() notification is not null  showing it_x000D_
10 09 07:33:13 792 29034 29557 V MainService: run() finished a task_x000D_
10 09 07:33:13 793 29034 29557 D MainService: run() no more tasks  notifying that we are ready to stop_x000D_
10 09 07:33:13 793 29034 29557 D MainService: readyToStop()_x000D_
10 09 07:33:13 796 29034 29034 D MainService: onDestroy()_x000D_
10 09 07:33:16 773 29034 29034 D EventProcessor: networkChanged() requesting SyncQueue operation_x000D_
10 09 07:33:16 773 29034 29034 D OperationsHelper: syncQueue() started_x000D_
10 09 07:33:16 783 29034 29034 D MainService: onCreate()_x000D_
10 09 07:33:16 786 29034 29034 D MainService: onStartCommand()_x000D_
10 09 07:33:16 786 29034 29034 D MainService: enqueueTask()_x000D_
10 09 07:33:16 786 29034 29034 V MainService: enqueueTask() enqueueing task_x000D_
10 09 07:33:16 788 29034 29572 V MainService: run() running a task_x000D_
10 09 07:33:16 788 29034 29572 D OfflineChangesSynchronizer: synchronizeOfflineChanges() started_x000D_
10 09 07:33:16 789 29034 29572 D EventBus: No subscribers registered for event class fr gaulupeau apps Poche events SyncQueueStartedEvent_x000D_
10 09 07:33:16 789 29034 29572 D OfflineChangesSynchronizer: syncOfflineQueue() started_x000D_
10 09 07:33:16 790 29034 29572 D DbConnection: using existing db session_x000D_
10 09 07:33:16 790 29034 29572 D greenDAO: Built SQL for query: SELECT T   id  T  QUEUE NUMBER  T  ACTION  T  ARTICLE ID  T  LOCAL ARTICLE ID  T  EXTRA  T  EXTRA2  FROM  QUEUE ITEM  T  ORDER BY T  QUEUE NUMBER  ASC_x000D_
10 09 07:33:16 791 29034 29572 D greenDAO: Values for query:   _x000D_
10 09 07:33:16 800 29034 29572 D OfflineChangesSynchronizer: syncOfflineQueue() current QueueItem(1 out of 14): QueueItem id 1  queueNumber 1  action ARTICLE DELETE  articleId 6939  localArticleId null  extra  null   extra2  null  _x000D_
10 09 07:33:16 801 29034 29572 D EventProcessor: onSyncQueueProgressEvent() started_x000D_
10 09 07:33:16 810 29034 29572 D OfflineChangesSynchronizer: syncOfflineQueue() processing: queue item ID: 1  article ID:  6939 _x000D_
10 09 07:33:16 818 29034 29572 W BaseNetworkWorker: syncOfflineQueue() java lang IllegalArgumentException_x000D_
10 09 07:33:16 818 29034 29572 W BaseNetworkWorker: java lang IllegalArgumentException: Unknown server version_x000D_
10 09 07:33:16 818 29034 29572 W BaseNetworkWorker: 	at wallabag apiwrapper CompatibilityHelper getVersionCode(CompatibilityHelper java:366)_x000D_
10 09 07:33:16 818 29034 29572 W BaseNetworkWorker: 	at wallabag apiwrapper CompatibilityHelper isDeleteArticleWithIdSupported(CompatibilityHelper java:172)_x000D_
10 09 07:33:16 818 29034 29572 W BaseNetworkWorker: 	at wallabag apiwrapper CompatibilityHelper isDeleteArticleWithIdSupported(CompatibilityHelper java:177)_x000D_
10 09 07:33:16 818 29034 29572 W BaseNetworkWorker: 	at wallabag apiwrapper WallabagService deleteArticle(WallabagService java:661)_x000D_
10 09 07:33:16 818 29034 29572 W BaseNetworkWorker: 	at wallabag apiwrapper WallabagService deleteArticle(WallabagService java:638)_x000D_
10 09 07:33:16 818 29034 29572 W BaseNetworkWorker: 	at fr gaulupeau apps Poche service workers OfflineChangesSynchronizer syncOfflineQueue(OfflineChangesSynchronizer java:138)_x000D_
10 09 07:33:16 818 29034 29572 W BaseNetworkWorker: 	at fr gaulupeau apps Poche service workers OfflineChangesSynchronizer synchronize(OfflineChangesSynchronizer java:68)_x000D_
10 09 07:33:16 818 29034 29572 W BaseNetworkWorker: 	at fr gaulupeau apps Poche service tasks SyncOfflineChangesTask run(SyncOfflineChangesTask java:17)_x000D_
10 09 07:33:16 818 29034 29572 W BaseNetworkWorker: 	at fr gaulupeau apps Poche service tasks ActionRequestTask run(ActionRequestTask java:25)_x000D_
10 09 07:33:16 818 29034 29572 W BaseNetworkWorker: 	at fr gaulupeau apps Poche service    Lambda Nf0ej7UkvM IGhcyH2GG UaljDo run(Unknown Source:2)_x000D_
10 09 07:33:16 818 29034 29572 W BaseNetworkWorker: 	at fr gaulupeau apps Poche service TaskService run(TaskService java:154)_x000D_
10 09 07:33:16 818 29034 29572 W BaseNetworkWorker: 	at fr gaulupeau apps Poche service TaskService lambda gjfracnqY8x0  mrxsx0oqjQmgk(Unknown Source:0)_x000D_
10 09 07:33:16 818 29034 29572 W BaseNetworkWorker: 	at fr gaulupeau apps Poche service    Lambda TaskService gjfracnqY8x0  mrxsx0oqjQmgk run(Unknown Source:2)_x000D_
10 09 07:33:16 818 29034 29572 W BaseNetworkWorker: 	at java lang Thread run(Thread java:764)_x000D_
10 09 07:33:16 818 29034 29572 I OfflineChangesSynchronizer: syncOfflineQueue() itemError: UNKNOWN_x000D_
10 09 07:33:16 818 29034 29572 I OfflineChangesSynchronizer: syncOfflineQueue() the itemError is a showstopper  breaking_x000D_
10 09 07:33:16 819 29034 29572 D OfflineChangesSynchronizer: syncOfflineQueue() finished_x000D_
10 09 07:33:16 819 29034 29572 D EventProcessor: onSyncQueueFinishedEvent() started_x000D_
10 09 07:33:16 821 29034 29572 D EventProcessor: enableConnectivityChangeReceiver() enable connectivity change receiver: true_x000D_
10 09 07:33:16 823 29034 29572 D WallabagJobService: enable(true) started_x000D_
10 09 07:33:16 824 29034 29572 D WallabagJobService: enable() trying to schedule a job_x000D_
10 09 07:33:16 831 29034 29572 D WallabagJobService: enable(): JobScheduler job scheduled_x000D_
10 09 07:33:16 832 29034 29572 D OfflineChangesSynchronizer: synchronizeOfflineChanges() finished_x000D_
10 09 07:33:16 832 29034 29572 D EventProcessor: onActionResultEvent() started_x000D_
10 09 07:33:16 832 29034 29572 D EventProcessor: onActionResultEvent() action: SYNC QUEUE_x000D_
10 09 07:33:16 832 29034 29572 D EventProcessor: onActionResultEvent() result is success: false_x000D_
10 09 07:33:16 832 29034 29572 D EventProcessor: onActionResultEvent() result is not success  errorType: UNKNOWN_x000D_
10 09 07:33:16 832 29034 29572 D EventProcessor: onActionResultEvent() result message: java lang IllegalArgumentException: Unknown server version_x000D_
10 09 07:33:16 839 29034 29034 D WallabagJobService: onStartJob() started_x000D_
10 09 07:33:16 840 29034 29034 D EventProcessor: onConnectivityChangedEvent() started_x000D_
10 09 07:33:16 856 29034 29572 D EventProcessor: onActionResultEvent() notification is not null  showing it_x000D_
10 09 07:33:16 861 29034 29572 V MainService: run() finished a task_x000D_
10 09 07:33:16 861 29034 29572 D MainService: run() no more tasks  notifying that we are ready to stop_x000D_
10 09 07:33:16 861 29034 29572 D MainService: readyToStop()_x000D_
10 09 07:33:16 864 29034 29034 D MainService: onDestroy()_x000D_
10 09 07:33:19 850 29034 29034 D EventProcessor: networkChanged() requesting SyncQueue operation_x000D_
10 09 07:33:19 851 29034 29034 D OperationsHelper: syncQueue() started_x000D_
10 09 07:33:19 868 29034 29034 D MainService: onCreate()_x000D_
10 09 07:33:19 873 29034 29034 D MainService: onStartCommand()_x000D_
10 09 07:33:19 874 29034 29034 D MainService: enqueueTask()_x000D_
10 09 07:33:19 874 29034 29034 V MainService: enqueueTask() enqueueing task_x000D_
10 09 07:33:19 878 29034 29591 V MainService: run() running a task_x000D_
10 09 07:33:19 879 29034 29591 D OfflineChangesSynchronizer: synchronizeOfflineChanges() started_x000D_
10 09 07:33:19 880 29034 29591 D EventBus: No subscribers registered for event class fr gaulupeau apps Poche events SyncQueueStartedEvent_x000D_
10 09 07:33:19 881 29034 29591 D OfflineChangesSynchronizer: syncOfflineQueue() started_x000D_
10 09 07:33:19 883 29034 29591 D DbConnection: using existing db session_x000D_
10 09 07:33:19 884 29034 29591 D greenDAO: Built SQL for query: SELECT T   id  T  QUEUE NUMBER  T  ACTION  T  ARTICLE ID  T  LOCAL ARTICLE ID  T  EXTRA  T  EXTRA2  FROM  QUEUE ITEM  T  ORDER BY T  QUEUE NUMBER  ASC_x000D_
10 09 07:33:19 885 29034 29591 D greenDAO: Values for query:   _x000D_
10 09 07:33:19 905 29034 29591 D OfflineChangesSynchronizer: syncOfflineQueue() current QueueItem(1 out of 14): QueueItem id 1  queueNumber 1  action ARTICLE DELETE  articleId 6939  localArticleId null  extra  null   extra2  null  _x000D_
10 09 07:33:19 909 29034 29591 D EventProcessor: onSyncQueueProgressEvent() started_x000D_
10 09 07:33:19 953 29034 29591 D OfflineChangesSynchronizer: syncOfflineQueue() processing: queue item ID: 1  article ID:  6939 _x000D_
10 09 07:33:19 967 29034 29591 W BaseNetworkWorker: syncOfflineQueue() java lang IllegalArgumentException_x000D_
10 09 07:33:19 967 29034 29591 W BaseNetworkWorker: java lang IllegalArgumentException: Unknown server version_x000D_
10 09 07:33:19 967 29034 29591 W BaseNetworkWorker: 	at wallabag apiwrapper CompatibilityHelper getVersionCode(CompatibilityHelper java:366)_x000D_
10 09 07:33:19 967 29034 29591 W BaseNetworkWorker: 	at wallabag apiwrapper CompatibilityHelper isDeleteArticleWithIdSupported(CompatibilityHelper java:172)_x000D_
10 09 07:33:19 967 29034 29591 W BaseNetworkWorker: 	at wallabag apiwrapper CompatibilityHelper isDeleteArticleWithIdSupported(CompatibilityHelper java:177)_x000D_
10 09 07:33:19 967 29034 29591 W BaseNetworkWorker: 	at wallabag apiwrapper WallabagService deleteArticle(WallabagService java:661)_x000D_
10 09 07:33:19 967 29034 29591 W BaseNetworkWorker: 	at wallabag apiwrapper WallabagService deleteArticle(WallabagService java:638)_x000D_
10 09 07:33:19 967 29034 29591 W BaseNetworkWorker: 	at fr gaulupeau apps Poche service workers OfflineChangesSynchronizer syncOfflineQueue(OfflineChangesSynchronizer java:138)_x000D_
10 09 07:33:19 967 29034 29591 W BaseNetworkWorker: 	at fr gaulupeau apps Poche service workers OfflineChangesSynchronizer synchronize(OfflineChangesSynchronizer java:68)_x000D_
10 09 07:33:19 967 29034 29591 W BaseNetworkWorker: 	at fr gaulupeau apps Poche service tasks SyncOfflineChangesTask run(SyncOfflineChangesTask java:17)_x000D_
10 09 07:33:19 967 29034 29591 W BaseNetworkWorker: 	at fr gaulupeau apps Poche service tasks ActionRequestTask run(ActionRequestTask java:25)_x000D_
10 09 07:33:19 967 29034 29591 W BaseNetworkWorker: 	at fr gaulupeau apps Poche service    Lambda Nf0ej7UkvM IGhcyH2GG UaljDo run(Unknown Source:2)_x000D_
10 09 07:33:19 967 29034 29591 W BaseNetworkWorker: 	at fr gaulupeau apps Poche service TaskService run(TaskService java:154)_x000D_
10 09 07:33:19 967 29034 29591 W BaseNetworkWorker: 	at fr gaulupeau apps Poche service TaskService lambda gjfracnqY8x0  mrxsx0oqjQmgk(Unknown Source:0)_x000D_
10 09 07:33:19 967 29034 29591 W BaseNetworkWorker: 	at fr gaulupeau apps Poche service    Lambda TaskService gjfracnqY8x0  mrxsx0oqjQmgk run(Unknown Source:2)_x000D_
10 09 07:33:19 967 29034 29591 W BaseNetworkWorker: 	at java lang Thread run(Thread java:764)_x000D_
10 09 07:33:19 974 29034 29591 I OfflineChangesSynchronizer: syncOfflineQueue() itemError: UNKNOWN_x000D_
10 09 07:33:19 975 29034 29591 I OfflineChangesSynchronizer: syncOfflineQueue() the itemError is a showstopper  breaking_x000D_
10 09 07:33:19 976 29034 29591 D OfflineChangesSynchronizer: syncOfflineQueue() finished_x000D_
10 09 07:33:19 977 29034 29591 D EventProcessor: onSyncQueueFinishedEvent() started_x000D_
10 09 07:33:19 987 29034 29591 D EventProcessor: enableConnectivityChangeReceiver() enable connectivity change receiver: true_x000D_
10 09 07:33:19 996 29034 29591 D WallabagJobService: enable(true) started_x000D_
10 09 07:33:19 999 29034 29591 D WallabagJobService: enable() trying to schedule a job_x000D_
10 09 07:33:20 012 29034 29591 D WallabagJobService: enable(): JobScheduler job scheduled_x000D_
10 09 07:33:20 012 29034 29591 D OfflineChangesSynchronizer: synchronizeOfflineChanges() finished_x000D_
10 09 07:33:20 012 29034 29591 D EventProcessor: onActionResultEvent() started_x000D_
10 09 07:33:20 013 29034 29591 D EventProcessor: onActionResultEvent() action: SYNC QUEUE_x000D_
10 09 07:33:20 013 29034 29591 D EventProcessor: onActionResultEvent() result is success: false_x000D_
10 09 07:33:20 013 29034 29591 D EventProcessor: onActionResultEvent() result is not success  errorType: UNKNOWN_x000D_
10 09 07:33:20 013 29034 29591 D EventProcessor: onActionResultEvent() result message: java lang IllegalArgumentException: Unknown server version_x000D_
10 09 07:33:20 020 29034 29034 D WallabagJobService: onStartJob() started_x000D_
10 09 07:33:20 020 29034 29034 D EventProcessor: onConnectivityChangedEvent() started_x000D_
10 09 07:33:20 035 29034 29591 D EventProcessor: onActionResultEvent() notification is not null  showing it_x000D_
10 09 07:33:20 043 29034 29591 V MainService: run() finished a task_x000D_
10 09 07:33:20 043 29034 29591 D MainService: run() no more tasks  notifying that we are ready to stop_x000D_
10 09 07:33:20 043 29034 29591 D MainService: readyToStop()_x000D_
10 09 07:33:20 047 29034 29034 D MainService: onDestroy()_x000D_
10 09 07:33:23 025 29034 29034 D EventProcessor: networkChanged() requesting SyncQueue operation_x000D_
10 09 07:33:23 025 29034 29034 D OperationsHelper: syncQueue() started_x000D_
10 09 07:33:23 037 29034 29034 D MainService: onCreate()_x000D_
10 09 07:33:23 041 29034 29034 D MainService: onStartCommand()_x000D_
10 09 07:33:23 042 29034 29034 D MainService: enqueueTask()_x000D_
10 09 07:33:23 042 29034 29034 V MainService: enqueueTask() enqueueing task_x000D_
10 09 07:33:23 043 29034 29614 V MainService: run() running a task_x000D_
10 09 07:33:23 044 29034 29614 D OfflineChangesSynchronizer: synchronizeOfflineChanges() started_x000D_
10 09 07:33:23 044 29034 29614 D EventBus: No subscribers registered for event class fr gaulupeau apps Poche events SyncQueueStartedEvent_x000D_
10 09 07:33:23 044 29034 29614 D OfflineChangesSynchronizer: syncOfflineQueue() started_x000D_
10 09 07:33:23 046 29034 29614 D DbConnection: using existing db session_x000D_
10 09 07:33:23 047 29034 29614 D greenDAO: Built SQL for query: SELECT T   id  T  QUEUE NUMBER  T  ACTION  T  ARTICLE ID  T  LOCAL ARTICLE ID  T  EXTRA  T  EXTRA2  FROM  QUEUE ITEM  T  ORDER BY T  QUEUE NUMBER  ASC_x000D_
10 09 07:33:23 047 29034 29614 D greenDAO: Values for query:   _x000D_
10 09 07:33:23 057 29034 29614 D OfflineChangesSynchronizer: syncOfflineQueue() current QueueItem(1 out of 14): QueueItem id 1  queueNumber 1  action ARTICLE DELETE  articleId 6939  localArticleId null  extra  null   extra2  null  _x000D_
10 09 07:33:23 058 29034 29614 D EventProcessor: onSyncQueueProgressEvent() started_x000D_
10 09 07:33:23 067 29034 29614 D OfflineChangesSynchronizer: syncOfflineQueue() processing: queue item ID: 1  article ID:  6939 _x000D_
10 09 07:33:23 075 29034 29614 W BaseNetworkWorker: syncOfflineQueue() java lang IllegalArgumentException_x000D_
10 09 07:33:23 075 29034 29614 W BaseNetworkWorker: java lang IllegalArgumentException: Unknown server version_x000D_
10 09 07:33:23 075 29034 29614 W BaseNetworkWorker: 	at wallabag apiwrapper CompatibilityHelper getVersionCode(CompatibilityHelper java:366)_x000D_
10 09 07:33:23 075 29034 29614 W BaseNetworkWorker: 	at wallabag apiwrapper CompatibilityHelper isDeleteArticleWithIdSupported(CompatibilityHelper java:172)_x000D_
10 09 07:33:23 075 29034 29614 W BaseNetworkWorker: 	at wallabag apiwrapper CompatibilityHelper isDeleteArticleWithIdSupported(CompatibilityHelper java:177)_x000D_
10 09 07:33:23 075 29034 29614 W BaseNetworkWorker: 	at wallabag apiwrapper WallabagService deleteArticle(WallabagService java:661)_x000D_
10 09 07:33:23 075 29034 29614 W BaseNetworkWorker: 	at wallabag apiwrapper WallabagService deleteArticle(WallabagService java:638)_x000D_
10 09 07:33:23 075 29034 29614 W BaseNetworkWorker: 	at fr gaulupeau apps Poche service workers OfflineChangesSynchronizer syncOfflineQueue(OfflineChangesSynchronizer java:138)_x000D_
10 09 07:33:23 075 29034 29614 W BaseNetworkWorker: 	at fr gaulupeau apps Poche service workers OfflineChangesSynchronizer synchronize(OfflineChangesSynchronizer java:68)_x000D_
10 09 07:33:23 075 29034 29614 W BaseNetworkWorker: 	at fr gaulupeau apps Poche service tasks SyncOfflineChangesTask run(SyncOfflineChangesTask java:17)_x000D_
10 09 07:33:23 075 29034 29614 W BaseNetworkWorker: 	at fr gaulupeau apps Poche service tasks ActionRequestTask run(ActionRequestTask java:25)_x000D_
10 09 07:33:23 075 29034 29614 W BaseNetworkWorker: 	at fr gaulupeau apps Poche service    Lambda Nf0ej7UkvM IGhcyH2GG UaljDo run(Unknown Source:2)_x000D_
10 09 07:33:23 075 29034 29614 W BaseNetworkWorker: 	at fr gaulupeau apps Poche service TaskService run(TaskService java:154)_x000D_
10 09 07:33:23 075 29034 29614 W BaseNetworkWorker: 	at fr gaulupeau apps Poche service TaskService lambda gjfracnqY8x0  mrxsx0oqjQmgk(Unknown Source:0)_x000D_
10 09 07:33:23 075 29034 29614 W BaseNetworkWorker: 	at fr gaulupeau apps Poche service    Lambda TaskService gjfracnqY8x0  mrxsx0oqjQmgk run(Unknown Source:2)_x000D_
10 09 07:33:23 075 29034 29614 W BaseNetworkWorker: 	at java lang Thread run(Thread java:764)_x000D_
10 09 07:33:23 076 29034 29614 I OfflineChangesSynchronizer: syncOfflineQueue() itemError: UNKNOWN_x000D_
10 09 07:33:23 076 29034 29614 I OfflineChangesSynchronizer: syncOfflineQueue() the itemError is a showstopper  breaking_x000D_
10 09 07:33:23 076 29034 29614 D OfflineChangesSynchronizer: syncOfflineQueue() finished_x000D_
10 09 07:33:23 077 29034 29614 D EventProcessor: onSyncQueueFinishedEvent() started_x000D_
10 09 07:33:23 078 29034 29614 D EventProcessor: enableConnectivityChangeReceiver() enable connectivity change receiver: true_x000D_
10 09 07:33:23 081 29034 29614 D WallabagJobService: enable(true) started_x000D_
10 09 07:33:23 083 29034 29614 D WallabagJobService: enable() trying to schedule a job_x000D_
10 09 07:33:23 095 29034 29614 D WallabagJobService: enable(): JobScheduler job scheduled_x000D_
10 09 07:33:23 095 29034 29614 D OfflineChangesSynchronizer: synchronizeOfflineChanges() finished_x000D_
10 09 07:33:23 096 29034 29614 D EventProcessor: onActionResultEvent() started_x000D_
10 09 07:33:23 096 29034 29614 D EventProcessor: onActionResultEvent() action: SYNC QUEUE_x000D_
10 09 07:33:23 096 29034 29614 D EventProcessor: onActionResultEvent() result is success: false_x000D_
10 09 07:33:23 096 29034 29614 D EventProcessor: onActionResultEvent() result is not success  errorType: UNKNOWN_x000D_
10 09 07:33:23 096 29034 29614 D EventProcessor: onActionResultEvent() result message: java lang IllegalArgumentException: Unknown server version_x000D_
10 09 07:33:23 104 29034 29034 D WallabagJobService: onStartJob() started_x000D_
10 09 07:33:23 107 29034 29034 D EventProcessor: onConnectivityChangedEvent() started_x000D_
10 09 07:33:23 123 29034 29614 D EventProcessor: onActionResultEvent() notification is not null  showing it_x000D_
10 09 07:33:23 131 29034 29614 V MainService: run() finished a task_x000D_
10 09 07:33:23 131 29034 29614 D MainServi</t>
  </si>
  <si>
    <t>Anuken-Mindustry-2874</t>
  </si>
  <si>
    <t>latest bleeding edge crashes</t>
  </si>
  <si>
    <t xml:space="preserve">  Note  : Do not report any new bugs directly relating to the v6 campaign  They will not be fixed or considered at this time _x000D_
_x000D_
  Platform  :  android _x000D_
_x000D_
  Build  :  10312 _x000D_
_x000D_
  Issue  :  crashes upon startup  _x000D_
_x000D_
  Steps to reproduce  :  try to launch the game _x000D_
_x000D_
  Link(s) to mod(s) used  :  none _x000D_
_x000D_
  Save file  :  null _x000D_
_x000D_
  Crash report  :  its not giving any reports  which is bad  _x000D_
_x000D_
   _x000D_
_x000D_
 Place an X (no spaces) between the brackets to confirm that you have read the line below    _x000D_
   X    I have searched the closed and open issues to make sure that this problem has not already been reported   _x000D_
</t>
  </si>
  <si>
    <t>Anuken-Mindustry-2873</t>
  </si>
  <si>
    <t>Vela Units sometimes appear to be firing mass drive projectiles after shooting</t>
  </si>
  <si>
    <t xml:space="preserve">  Note  : Do not report any new bugs directly relating to the v6 campaign  They will not be fixed or considered at this time _x000D_
_x000D_
  Platform  : Windows 10  64 bit_x000D_
_x000D_
  Build  :  The build number under the title in the main menu  Required   LATEST  IS NOT A VERSION  I NEED THE EXACT BUILD NUMBER OF YOUR GAME  _x000D_
Bleeding edge release 10305_x000D_
_x000D_
  Issue  :  Explain your issue in detail  _x000D_
whilst controlling a vela (ctrl click) and commanding multiple other velas they will occasionally appear to be firing mass driver projectiles _x000D_
_x000D_
  Steps to reproduce  :  How you happened across the issue  and what exactly you did to make the bug happen  _x000D_
step 1: get a bunch of velas_x000D_
step 2: control one_x000D_
step:3 command the other_x000D_
step 4:(might be necessary ) be on a map with a large amount of mass drivers shooting _x000D_
_x000D_
  Link(s) to mod(s) used  :  The mod repositories or zip files that are related to the issue  if applicable  _x000D_
none_x000D_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MindustryV6Save zip (https:  github com Anuken Mindustry files 5351445 MindustryV6Save zip)_x000D_
Import this save file and go onto  tar fields  in campaign mode _x000D_
_x000D_
  Crash report  :  The contents of relevant crash report files  REQUIRED if you are reporting a crash  _x000D_
not a crash_x000D_
   _x000D_
_x000D_
 Place an X (no spaces) between the brackets to confirm that you have read the line below    _x000D_
   X    I have searched the closed and open issues to make sure that this problem has not already been reported   _x000D_
_x000D_
  image (https:  user images githubusercontent com 54417042 95517726 8f0e8980 098f 11eb 9af0 e99b54d3a339 png)_x000D_
</t>
  </si>
  <si>
    <t>Anuken-Mindustry-2871</t>
  </si>
  <si>
    <t>you can't change your unit after controlling a turrret</t>
  </si>
  <si>
    <t xml:space="preserve">  Note  : Do not report any new bugs directly relating to the v6 campaign  They will not be fixed or considered at this time 
  Platform  :  Android  
  Build  :  10305  
  Issue  :  when controlling a turret (or probably with a unit too  i didn t test) you can t change to units  like alpha  beta and gamma  because the new mobile aim system  
  Steps to reproduce  :  control a unit and try to hold on the core to change to a unit  
  Link(s) to mod(s) used  :  none  
  Save file  :  http:  www mediafire com file 5np7s6axy3gg1uf h1iwg72ywgx1j3oafia52tususg2w7 msav file 
  Crash report  :  The contents of relevant crash report files  REQUIRED if you are reporting a crash  
 Place an X (no spaces) between the brackets to confirm that you have read the line below    
   X    I have searched the closed and open issues to make sure that this problem has not already been reported   
</t>
  </si>
  <si>
    <t>TeamNewPipe-NewPipe-4452</t>
  </si>
  <si>
    <t>Crash report doesn't work with ProtonMail mobile app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</si>
  <si>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The app crashes_x000D_
2  Press on  Report this error via email _x000D_
3  Select the ProtonMail app_x000D_
_x000D_
    Actual behaviour_x000D_
The app only opens up an empty draft  No email address  no subject  no text and no attachments  _x000D_
_x000D_
_x000D_
_x000D_
    Expected behavior_x000D_
To have a draft with data to send and with an address to send it to _x000D_
_x000D_
    Device info_x000D_
_x000D_
   Android version Custom ROM version: LineageOS 16 0 (Android 9 0)_x000D_
   Device model:  Xiaomi Redmi Note 4X_x000D_
</t>
  </si>
  <si>
    <t>TeamNewPipe-NewPipe-4451</t>
  </si>
  <si>
    <t>The app crashes every time I try to open a video, and it doesn't work with background or popup playback too</t>
  </si>
  <si>
    <t xml:space="preserve">    Checklist_x000D_
     The first box has been checked for you to show you how it is done     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1  Go to any section of the app_x000D_
2  Try to open any video_x000D_
3  The app crashes_x000D_
_x000D_
If I try to open a video in NewPipe  any video  the app crashes  If I try to open it in background or in popup playback the app doesn t crash  but the app doesn t manage to open the stream  and it tells me  Could not play this stream  _x000D_
_x000D_
    Logs_x000D_
     If your bug includes a crash (where you re shown the Error Report page with a bunch of info)  tap on  Copy formatted report  at the bottom and paste it here:    _x000D_
_x000D_
   Exception_x000D_
  User Action: requested stream_x000D_
  Request: https:  www youtube com watch v FSwRoNtXdsE_x000D_
  Content Country: GB_x000D_
  Content Language: en_x000D_
  App Language: sc_x000D_
  Service: YouTube_x000D_
  Version: 0 20 0_x000D_
  OS: Linux Android 9   28_x000D_
 details  summary  b Crash log   b   summary  p _x000D_
_x000D_
_x000D_
org schabi newpipe extractor exceptions ParsingException: Could not load decryption code for the Youtube service _x000D_
 at org schabi newpipe extractor services youtube extractors YoutubeStreamExtractor getPlayerUrl(YoutubeStreamExtractor java:705)_x000D_
 at org schabi newpipe extractor services youtube extractors YoutubeStreamExtractor onFetchPage(YoutubeStreamExtractor java:655)_x000D_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NullPointerException: Attempt to invoke virtual method  boolean java lang String startsWith(java lang String)  on a null object reference_x000D_
 at org schabi newpipe extractor services youtube extractors YoutubeStreamExtractor getPlayerUrl(YoutubeStreamExtractor java:700)_x000D_
     30 more_x000D_
_x000D_
_x000D_
  details _x000D_
 hr _x000D_
_x000D_
_x000D_
_x000D_
_x000D_
     please fill this out when you do not provide a log generate by NewPipe    _x000D_
    Device info_x000D_
_x000D_
   Android version Custom ROM version: LineageOS 16 0 (Android 9 0)_x000D_
   Device model: Xiamo Redmi Note 4X_x000D_
</t>
  </si>
  <si>
    <t>Anuken-Mindustry-2867</t>
  </si>
  <si>
    <t>Rhino doesn't like variables and functions with the same name</t>
  </si>
  <si>
    <t xml:space="preserve">  Note  : Do not report any new bugs directly relating to the v6 campaign  They will not be fixed or considered at this time _x000D_
_x000D_
  Platform  :  Windows _x000D_
_x000D_
  Build  :  10286 _x000D_
_x000D_
  Issue  :  When a variable and function has the same name  it is impossible to access the function from JS  Example: the  byte dump  and  boolean dump()  in https:  github com Anuken Mindustry blob master core src mindustry entities comp BuildingComp java _x000D_
_x000D_
  Steps to reproduce  :  Code:_x000D_
   _x000D_
     _x000D_
extend(Building   _x000D_
     proxItems:    _x000D_
    updateTile() _x000D_
      if(this  proxItems length   0) _x000D_
        for(var i 0  i this  proxItems length  i  ) _x000D_
          this items set(this  proxItems i   1) _x000D_
          this dump(this  proxItems i ) _x000D_
         _x000D_
        this items clear() _x000D_
       _x000D_
      _x000D_
     _x000D_
   _x000D_
 _x000D_
_x000D_
  Link(s) to mod(s) used  :   https:  github com sk7725 Testers (https:  github com sk7725 Testers)(note that there is a workaround here  but this is still an issue) _x000D_
_x000D_
  Save file  :  This issue happens at the code level  thus I am   sure   that it is unrelated  _x000D_
_x000D_
  Crash report  :  _x000D_
Mindustry has crashed  How unfortunate _x000D_
Version: bleeding edge build 10286_x000D_
OS: Windows 10 x64_x000D_
Java Version: 14 0 2_x000D_
Java Architecture: 64_x000D_
1 Mods: testers:0 1_x000D_
_x000D_
rhino EcmaError: TypeError: Cannot call property dump in object Building 84  It is not a function  it is  number   (smartsource 22)_x000D_
	at rhino ScriptRuntime constructError(ScriptRuntime java:3955)_x000D_
	at rhino ScriptRuntime constructError(ScriptRuntime java:3935)_x000D_
	at rhino ScriptRuntime typeError(ScriptRuntime java:3964)_x000D_
	at rhino ScriptRuntime typeError3(ScriptRuntime java:3986)_x000D_
	at rhino ScriptRuntime notFunctionError(ScriptRuntime java:4046)_x000D_
	at rhino ScriptRuntime getPropFunctionAndThisHelper(ScriptRuntime java:2350)_x000D_
	at rhino ScriptRuntime getPropFunctionAndThis(ScriptRuntime java:2333)_x000D_
	at rhino gen smartsource 5  c anonymous 3(smartsource:22)_x000D_
	at rhino gen smartsource 5 call(smartsource)_x000D_
	at rhino ContextFactory doTopCall(ContextFactory java:346)_x000D_
	at rhino ScriptRuntime doTopCall(ScriptRuntime java:3303)_x000D_
	at rhino gen smartsource 5 call(smartsource)_x000D_
	at rhino Context lambda call 0(Context java:515)_x000D_
	at rhino Context call(Context java:524)_x000D_
	at rhino Context call(Context java:515)_x000D_
	at rhino JavaAdapter callMethod(JavaAdapter java:549)_x000D_
	at adapter5 updateTile( adapter )_x000D_
	at mindustry gen Building update(Building java:952)_x000D_
	at mindustry entities EntityGroup each(EntityGroup java:67)_x000D_
	at mindustry entities EntityGroup update(EntityGroup java:57)_x000D_
	at mindustry gen Groups update(Groups java:63)_x000D_
	at mindustry core Logic update(Logic java:322)_x000D_
	at arc ApplicationCore update(ApplicationCore java:36)_x000D_
	at mindustry ClientLauncher update(ClientLauncher java:151)_x000D_
	at arc backend sdl SdlApplication listen(SdlApplication java:170)_x000D_
	at arc backend sdl SdlApplication loop(SdlApplication java:158)_x000D_
	at arc backend sdl SdlApplication  init (SdlApplication java:52)_x000D_
	at mindustry desktop DesktopLauncher main(DesktopLauncher java:36)_x000D_
 _x000D_
_x000D_
   _x000D_
_x000D_
 Place an X (no spaces) between the brackets to confirm that you have read the line below    _x000D_
   X    I have searched the closed and open issues to make sure that this problem has not already been reported   _x000D_
</t>
  </si>
  <si>
    <t>Anuken-Mindustry-2866</t>
  </si>
  <si>
    <t>Unit can't build when i can build</t>
  </si>
  <si>
    <t xml:space="preserve">  Note  : Do not report any new bugs directly relating to the v6 campaign  They will not be fixed or considered at this time _x000D_
_x000D_
  Platform  :  Android _x000D_
_x000D_
  Build  :  10287 _x000D_
_x000D_
  Issue  :  The UI shows  unit can t build  when i can build   _x000D_
_x000D_
  Steps to reproduce  :  I controlled a crawler  selected a block  and then i controlled a unit that could build _x000D_
  Screenshot 20201008 092323 Mindustry BE (https:  user images githubusercontent com 47507131 95459115 8e530480 0949 11eb 9d77 8b87485baf71 jpg) _x000D_
_x000D_
  Link(s) to mod(s) used  :  The mod repositories or zip files that are related to the issue  if applicable  _x000D_
_x000D_
  Save file  :   save zip (https:  github com Anuken Mindustry files 5347811 save zip)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</si>
  <si>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TeamNewPipe-NewPipe-4446</t>
  </si>
  <si>
    <t>"Could not play this stream" after a minute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</si>
  <si>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Try playing this video with NewPipe: https:  www youtube com watch v pPdaqbrCaA0_x000D_
_x000D_
     If you can t cause the bug to show up again reliably (and hence don t have a proper set of steps to give us)  please still try to give as many details as possible on how you think you encountered the bug     _x000D_
_x000D_
_x000D_
    Actual behaviour_x000D_
     Tell us what happens instead     _x000D_
After a minute or so the player stops and  Could not play this stream  message is shown  if I try to resume it later I ll see the same message over and over  It never plays  I tried wiping cache  metadata  etc but the same thing happened again _x000D_
_x000D_
_x000D_
    Expected behavior_x000D_
     Tell us what you expect to happen     _x000D_
The video to play seamlessly to the end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 Android M_x000D_
   Device model: Samsung Galaxy J5_x000D_
</t>
  </si>
  <si>
    <t>TeamNewPipe-NewPipe-4442</t>
  </si>
  <si>
    <t>App aspect ration overlaps.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</si>
  <si>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any video in portrait mode _x000D_
2 switch to landscape _x000D_
3 minimize the video in portrait mode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The aspect ratio overlaps and im unable to see my on screen nav buttons unless i swipe them to show _x000D_
_x000D_
_x000D_
    Expected behavior_x000D_
     Tell us what you expect to happen     _x000D_
Aspect ratio within the app should stay the same _x000D_
  Imagepipe 3 (https:  user images githubusercontent com 57234536 95411155 ba439b00 08f3 11eb 8903 7961ece93883 jpg)_x000D_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 Android 10_x000D_
   Device model: Galaxy S10_x000D_
</t>
  </si>
  <si>
    <t>TeamNewPipe-NewPipe-4440</t>
  </si>
  <si>
    <t>Video doesn't play on foreground with 720p, loading icon sometimes even stops.</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</si>
  <si>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_x000D_
      I am using the latest version       compare Releases page and your version given in About in the app drawer    _x000D_
      I checked  but didn t find any duplicates of this issue in the repo       Seriously  check  O O    _x000D_
      I have read the contribution guidelines given at https:  github com TeamNewPipe NewPipe blob HEAD  github CONTRIBUTING md _x000D_
      This issue contains only one bug  I will open one issue for every bug report I want to file _x000D_
_x000D_
    Steps to reproduce the bug_x000D_
    _x000D_
1  Go to      _x000D_
2  Press on       _x000D_
3  Swipe down to       _x000D_
   _x000D_
1  Open this  random (https:  www youtube com watch v MI7EoM0uVtU t 0) stream _x000D_
2  Choose 720p as video quality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Stream doesn t start on Foreground with 720p selected as quality _x000D_
Pressing Android home button and thus continuing the stream in background works fine _x000D_
_x000D_
_x000D_
_x000D_
    Expected behavior_x000D_
     Tell us what you expect to happen     _x000D_
The video to be opened on 720p _x000D_
_x000D_
_x000D_
_x000D_
_x000D_
    Logs_x000D_
     If your bug includes a crash (where you re shown the Error Report page with a bunch of info)  tap on  Copy formatted report  at the bottom and paste it here:    _x000D_
_x000D_
 Logcat (https:  del dog atturfistu txt) _x000D_
_x000D_
_x000D_
     That s right  here     _x000D_
_x000D_
_x000D_
_x000D_
_x000D_
     please fill this out when you do not provide a log generate by NewPipe    _x000D_
    Device info_x000D_
_x000D_
   Android version Custom ROM version: Android 11_x000D_
   Device model: Pixel_x000D_
</t>
  </si>
  <si>
    <t>nextcloud-android-7064</t>
  </si>
  <si>
    <t>Android app crash on server side app update</t>
  </si>
  <si>
    <t xml:space="preserve">I m not 100  sure but the timing was too good to not bring this into relation _x000D_
_x000D_
    Steps to reproduce_x000D_
1  Update app on server_x000D_
2  Nextcloud client will crash_x000D_
_x000D_
    Expected behaviour_x000D_
  App should not crash_x000D_
_x000D_
    Actual behaviour_x000D_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8 0 0_x000D_
Device model: Samsung Galaxy S7 (SM G930F)_x000D_
Stock or customized system: Stock_x000D_
Nextcloud app version: 3 13 1_x000D_
Nextcloud server version: 19 0 3_x000D_
Reverse proxy: No_x000D_
_x000D_
    Logs_x000D_
     Client crash log_x000D_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java:1162)_x000D_
	at java util concurrent ThreadPoolExecutor Worker run(ThreadPoolExecutor java:636)_x000D_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data app com nextcloud client K2HEOwgdVOtqcoRHXMruPA   base apk   nativeLibraryDirectories   data app com nextcloud client K2HEOwgdVOtqcoRHXMruPA   lib arm64   data app com nextcloud client K2HEOwgdVOtqcoRHXMruPA   base apk  lib arm64 v8a   system lib64   system vendor lib64  _x000D_
	at dalvik system BaseDexClassLoader findClass(BaseDexClassLoader java:93)_x000D_
	at java lang ClassLoader loadClass(ClassLoader java:379)_x000D_
	at java lang ClassLoader loadClass(ClassLoader java:312)_x000D_
	    8 more_x000D_
_x000D_
             APP INFORMATION             _x000D_
ID: com nextcloud client_x000D_
Version: 30130190_x000D_
Build flavor: gplay_x000D_
_x000D_
             DEVICE INFORMATION             _x000D_
Brand: samsung_x000D_
Device: herolte_x000D_
Model: SM G930F_x000D_
Id: R16NW_x000D_
Product: heroltexx_x000D_
_x000D_
             FIRMWARE             _x000D_
SDK: 26_x000D_
Release: 8 0 0_x000D_
Incremental: G930FXXS7ETA8_x000D_
   _x000D_
</t>
  </si>
  <si>
    <t>harsh-2711-android-search-ui-19</t>
  </si>
  <si>
    <t>Bug: App Crashes with Item Clicked</t>
  </si>
  <si>
    <t xml:space="preserve">     Please do not submit  How to  questions here  Instead  please use the below Gitter channel: https:  gitter im dsc slop AndroidSearchUI utm source share link utm medium link utm campaign share link    _x000D_
_x000D_
     ISSUES MISSING IMPORTANT INFORMATION MAY BE CLOSED WITHOUT INVESTIGATION     _x000D_
_x000D_
  I m submitting a       _x000D_
      (check one with  x )    _x000D_
   x  bug report_x000D_
      feature request_x000D_
_x000D_
  Current behavior:  _x000D_
     Describe how the bug manifests     _x000D_
App Crashes when default suggestions are clicked_x000D_
  Expected behavior:  _x000D_
     Describe what the behavior would be without the bug     _x000D_
App should not crash  _x000D_
  Other information:  _x000D_
Steps to reproduce_x000D_
_x000D_
1  Open app _x000D_
2  Click on search View but do not type anything_x000D_
3  Click on one of the default suggestions_x000D_
_x000D_
     List any other information that is relevant to your issue  Stack traces  related issues  suggestions on how to fix  Stack Overflow links  forum links  etc     _x000D_
Log_x000D_
   _x000D_
java lang NullPointerException: Attempt to invoke interface method  void com harsh searchwidget Adapter DefaultClientSuggestionsAdapter RecyclerItemClickListener onItemClick(android view View  int)  on a null object reference_x000D_
        at com harsh searchwidget Adapter DefaultClientSuggestionsAdapter 2 onClick(DefaultClientSuggestionsAdapter java:234)_x000D_
   _x000D_
</t>
  </si>
  <si>
    <t>TeamNewPipe-NewPipe-4435</t>
  </si>
  <si>
    <t>background player randomly pauses</t>
  </si>
  <si>
    <t>(Ping opus for the log)_x000D_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Open a video (I tried different music videos that are about 3 minutes long) in the background player and wait _x000D_
_x000D_
_x000D_
    Actual behaviour_x000D_
     Tell us what happens instead     _x000D_
The background player randomly stops playing and tries to load the stream but fails  This happen usually in the first or second minute of the video  The GUI looks similar to a lost internet connection (an hourglass instead of a play button in the notification and an endless circle on bottom half of the player page) but mine was working fine  No error message appears  When I close the player and the app and reopen it  everything works fine for a while and then it happens again  _x000D_
_x000D_
_x000D_
    Expected behavior_x000D_
     Tell us what you expect to happen     _x000D_
I expect the player to play the video properly without stopping (unless I press pause)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NewPipe does not show an error message at all but I attached a log made with logcat _x000D_
_x000D_
_x000D_
_x000D_
     please fill this out when you do not provide a log generate by NewPipe    _x000D_
    Device info_x000D_
_x000D_
   Android version Custom ROM version: stock android 8 1_x000D_
   Device model: Moto G5</t>
  </si>
  <si>
    <t>GoogleCloudPlatform-fda-mystudies-1151</t>
  </si>
  <si>
    <t>[iOS] My Account - App crashes after changing any profile settings and clicking on logout</t>
  </si>
  <si>
    <t xml:space="preserve">Steps:_x000D_
1  Signin_x000D_
2  Navigate to My Account_x000D_
3  Change any of the profile settings eg  Disable enable push notification or reminder or passcode_x000D_
4  Click on logout_x000D_
_x000D_
Refer attached video_x000D_
 iOS crash zip (https:  github com GoogleCloudPlatform fda mystudies files 5339874 iOS crash zip)_x000D_
_x000D_
</t>
  </si>
  <si>
    <t>TeamNewPipe-NewPipe-4432</t>
  </si>
  <si>
    <t>v20 background playback stops and doesn't recover</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</si>
  <si>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Add a few long videos to background queue_x000D_
2  Maybe lose connectivity after a few minutes (I m not sure it s the cause)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I was playing a long video in background and it stopped after a few minutes  I think it was buffering (notification showed the  hourglass  instead of the  play  button)  _x000D_
It never recovered _x000D_
_x000D_
 I tried jumping to next in queue  but it still stayed on buffering (I don t remember if it switched to next video or ignored the  next video  command)  _x000D_
_x000D_
This could be a different bug   on v19 you could press  next  when the current video was stuck and it would play the next queued video  _x000D_
_x000D_
Finally  I exited with the  X  notification button  _x000D_
_x000D_
    Expected behavior_x000D_
     Tell us what you expect to happen     _x000D_
_x000D_
Background playback should recover from connectivity issues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_x000D_
_x000D_
_x000D_
_x000D_
     please fill this out when you do not provide a log generate by NewPipe    _x000D_
    Device info_x000D_
_x000D_
   Android version Custom ROM version:  stock Android 9  _x000D_
   Device model: Samsung S8_x000D_
_x000D_
_x000D_
 Just installed v20 and this hasn t happened with v19 so I think it s a bug  _x000D_
_x000D_
 Immediately after  I reinstalled v19 and it played back the same videos with no problems  _x000D_
_x000D_
_x000D_
_x000D_
If you need more info  please advise on a way that I can contribute further  </t>
  </si>
  <si>
    <t>jonathanpalma-react-native-tesseract-ocr-91</t>
  </si>
  <si>
    <t>Changing package name causes crash</t>
  </si>
  <si>
    <t xml:space="preserve">  Describe the bug  _x000D_
A clear and concise description of what the bug is _x000D_
I ve been working with a clean installation and the app crashes when recognize starts _x000D_
on the example everything works great so is started to upgrade the packages_x000D_
all good  app still works as expected _x000D_
the moment i change the package name to anything beside com example the app crashes  at the return from createTesseractAPI with error:_x000D_
 F DEBUG   :      17 pc 0000000000000eac   dev ashmem dalvik classes5 dex extracted in memory from  data app gr example tHMzooWQXpPE7PsvR3vs1A   base apk classes5 dex 27171 27171 (deleted) (com reactlibrary TesseractOcrModule 2 run 80) _x000D_
_x000D_
  Dependencies (please complete the following information):  _x000D_
       react native community art :   1 2 0  _x000D_
       react :  16 13 1  _x000D_
       react native :  0 63 3  _x000D_
       react native image crop picker :   0 35 0  _x000D_
       react native progress :   4 1 2  _x000D_
       react native tesseract ocr :   2 0 1 _x000D_
_x000D_
  To Reproduce  _x000D_
Steps to reproduce the behavior:_x000D_
1  create new react native app example_x000D_
2  react native tesseract ocr_x000D_
3  Make sure it works_x000D_
4  Change package name_x000D_
5  app crash_x000D_
_x000D_
  Expected behavior  _x000D_
Should work with any package name_x000D_
_x000D_
  Screenshots  _x000D_
If applicable  add screenshots to help explain your problem _x000D_
_x000D_
  Smartphone (please complete the following information):  _x000D_
   Device: samsung galaxy s8 plus_x000D_
   OS: android 9 _x000D_
_x000D_
</t>
  </si>
  <si>
    <t>material-components-material-components-android-1781</t>
  </si>
  <si>
    <t>Rising from 1.3.0-alpha02 to 1.3.0-alpha03 causes `You need to use a Theme.AppCompat theme (or descendant) with this activity` error</t>
  </si>
  <si>
    <t xml:space="preserve">  Description:   _x000D_
Did just rise material from _x000D_
 com google android material:material:1 3 0 alpha03  to  com google android material:material:1 3 0 alpha03 _x000D_
_x000D_
and got this run time error: _x000D_
_x000D_
   _x000D_
2020 10 07 09:09:45 238 24547 24547 no norva24 norva24reportertest2 E AndroidRuntime: FATAL EXCEPTION: main_x000D_
    Process: no norva24 norva24reportertest2  PID: 24547_x000D_
    java lang RuntimeException: Unable to start activity ComponentInfo no norva24 norva24reportertest2 no norva24 norva24reportertest2 ui activities MainActivity : java lang IllegalStateException: You need to use a Theme AppCompat theme (or descendant) with this activity _x000D_
        at android app ActivityThread performLaunchActivity(ActivityThread java:3449)_x000D_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IllegalStateException: You need to use a Theme AppCompat theme (or descendant) with this activity _x000D_
        at androidx appcompat app AppCompatDelegateImpl createSubDecor(AppCompatDelegateImpl java:843)_x000D_
        at androidx appcompat app AppCompatDelegateImpl ensureSubDecor(AppCompatDelegateImpl java:806)_x000D_
        at androidx appcompat app AppCompatDelegateImpl setContentView(AppCompatDelegateImpl java:693)_x000D_
        at androidx appcompat app AppCompatActivity setContentView(AppCompatActivity java:195)_x000D_
        at no norva24 norva24reportertest2 ui activities MainActivity onCreate(MainActivity kt:102)_x000D_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java:3422)_x000D_
        at android app ActivityThread handleLaunchActivity(ActivityThread java:3601) _x000D_
        at android app servertransaction LaunchActivityItem execute(LaunchActivityItem java:85) _x000D_
        at android app servertransaction TransactionExecutor executeCallbacks(TransactionExecutor java:135) _x000D_
        at android app servertransaction TransactionExecutor execute(TransactionExecutor java:95) _x000D_
        at android app ActivityThread H handleMessage(ActivityThread java:2066) _x000D_
        at android os Handler dispatchMessage(Handler java:106) _x000D_
        at android os Looper loop(Looper java:223) _x000D_
        at android app ActivityThread main(ActivityThread java:7656) _x000D_
        at java lang reflect Method invoke(Native Method) _x000D_
        at com android internal os RuntimeInit MethodAndArgsCaller run(RuntimeInit java:592) _x000D_
        at com android internal os ZygoteInit main(ZygoteInit java:947) _x000D_
   _x000D_
_x000D_
alpha02 does not produce this error _x000D_
_x000D_
  Expected behavior:   _x000D_
Compile and run as expected  but did not _x000D_
_x000D_
  Source code:   _x000D_
Instead of attaching all my project i attach the dependency trees  if you see any conflicts: _x000D_
_x000D_
_x000D_
   _x000D_
   Top level build file where you can add configuration options common to all sub projects modules _x000D_
buildscript  _x000D_
    ext kotlin version    1 4 10 _x000D_
      ext kotlin version    1 4 0 _x000D_
      ext kotlin version    1 4 0 rc _x000D_
      ext kotlin version    1 4 M2 _x000D_
    repositories  _x000D_
        google()_x000D_
        jcenter()_x000D_
        mavenCentral()_x000D_
        maven   url    https:  dl bintray com kotlin kotlin eap    _x000D_
        maven   url    https:  kotlin bintray com kotlinx   _x000D_
     _x000D_
    dependencies  _x000D_
        classpath  com android tools build:gradle:4 2 0 alpha12 _x000D_
        classpath  org jetbrains kotlin:kotlin gradle plugin: kotlin version _x000D_
        classpath  androidx navigation:navigation safe args gradle plugin:2 3 0 _x000D_
        classpath  com google gms:google services:4 3 4 _x000D_
        classpath  com google firebase:firebase crashlytics gradle:2 3 0 _x000D_
        classpath  com google firebase:perf plugin:1 3 2 _x000D_
_x000D_
           NOTE: Do not place your application dependencies here  they belong_x000D_
           in the individual module build gradle files_x000D_
     _x000D_
 _x000D_
_x000D_
allprojects  _x000D_
    repositories  _x000D_
        google()_x000D_
        jcenter()_x000D_
        mavenCentral()_x000D_
        maven   url    https:  dl bintray com kotlin kotlin eap    _x000D_
        maven   url    https:  kotlin bintray com kotlinx    _x000D_
_x000D_
     _x000D_
 _x000D_
_x000D_
task clean(type: Delete)  _x000D_
    delete rootProject buildDir_x000D_
 _x000D_
   _x000D_
_x000D_
   _x000D_
plugins  _x000D_
    id  com android application _x000D_
    id  kotlin android _x000D_
    id  kotlin kapt _x000D_
    id  kotlin android extensions _x000D_
    id  androidx navigation safeargs kotlin _x000D_
    id  com google gms google services _x000D_
    id  com google firebase crashlytics _x000D_
    id  com google firebase firebase perf _x000D_
 _x000D_
_x000D_
android  _x000D_
_x000D_
    signingConfigs  _x000D_
        debug_x000D_
        release _x000D_
     _x000D_
_x000D_
    if(project hasProperty( AndroidProject signing )_x000D_
           new File(project property( AndroidProject signing ) toString()) exists())_x000D_
     _x000D_
        def Properties props   new Properties()_x000D_
        def propFile   new File(project property( AndroidProject signing ) toString())_x000D_
        if(propFile canRead())_x000D_
         _x000D_
            props load(new FileInputStream(propFile))_x000D_
            if(props  null)_x000D_
             _x000D_
                if(props containsKey( RELEASE STORE FILE )   _x000D_
                        props containsKey( RELEASE STORE PASSWORD )   _x000D_
                        props containsKey( RELEASE KEY ALIAS )   _x000D_
                        props containsKey( RELEASE KEY PASSWORD )   _x000D_
                        props containsKey( DEBUG STORE FILE )   _x000D_
                        props containsKey( DEBUG STORE PASSWORD )   _x000D_
                        props containsKey( DEBUG KEY ALIAS )   _x000D_
                        props containsKey( DEBUG KEY PASSWORD ))_x000D_
                 _x000D_
                    android signingConfigs release storeFile   file(props  RELEASE STORE FILE  )_x000D_
                    android signingConfigs release storePassword   props  RELEASE STORE PASSWORD  _x000D_
                    android signingConfigs release keyAlias   props  RELEASE KEY ALIAS  _x000D_
                    android signingConfigs release keyPassword   props  RELEASE KEY PASSWORD  _x000D_
                    android signingConfigs debug storeFile   file(props  DEBUG STORE FILE  )_x000D_
                    android signingConfigs debug storePassword   props  DEBUG STORE PASSWORD  _x000D_
                    android signingConfigs debug keyAlias   props  DEBUG KEY ALIAS  _x000D_
                    android signingConfigs debug keyPassword   props  RELEASE KEY PASSWORD  _x000D_
                 _x000D_
                else_x000D_
                 _x000D_
                    throw new Exception( Missing properties in:  propFile toPath())_x000D_
                 _x000D_
             _x000D_
         _x000D_
        else_x000D_
         _x000D_
            throw new FileNotFoundException( Property file not found:   propFile toPath())_x000D_
         _x000D_
     _x000D_
_x000D_
_x000D_
    def versionPropsFile   file( version properties )_x000D_
    def versionMajor   0_x000D_
    def versionMinor   2_x000D_
    def versionBuild_x000D_
    def versionAppDatabase   24_x000D_
_x000D_
    if(versionPropsFile canRead())_x000D_
     _x000D_
        Properties versionProps   new Properties()_x000D_
        versionProps load(new FileInputStream(versionPropsFile))_x000D_
        versionBuild   versionProps  VERSION BUILD   toInteger()_x000D_
      else  _x000D_
        throw new FileNotFoundException( Could not read version properties or its internals    )_x000D_
     _x000D_
_x000D_
    ext autoIncrementBuildNumber  _x000D_
             _x000D_
                if(versionPropsFile canRead())_x000D_
                 _x000D_
                    Properties versionProps    new Properties()_x000D_
                    versionProps load(new FileInputStream(versionPropsFile))_x000D_
                    versionBuild   versionProps  VERSION BUILD   toInteger() 1_x000D_
                    versionProps  VERSION BUILD     versionBuild toString()_x000D_
                    versionProps store(versionPropsFile newWriter() null)_x000D_
                 _x000D_
                else_x000D_
                 _x000D_
                    throw new FileNotFoundException( Could not read version properties or its contents    )_x000D_
                 _x000D_
             _x000D_
_x000D_
    gradle taskGraph whenReady  _x000D_
        taskGraph   _x000D_
            if(taskGraph hasTask(assembleDebug))_x000D_
             _x000D_
                autoIncrementBuildNumber()_x000D_
             _x000D_
            else if (taskGraph hasTask(assembleRelease))_x000D_
             _x000D_
                autoIncrementBuildNumber()_x000D_
             _x000D_
            else if (taskGraph hasTask(bundleDebug))_x000D_
             _x000D_
                autoIncrementBuildNumber()_x000D_
             _x000D_
            else if (taskGraph hasTask(bundleRelease))_x000D_
             _x000D_
                autoIncrementBuildNumber()_x000D_
             _x000D_
     _x000D_
_x000D_
    compileSdkVersion 30_x000D_
    buildToolsVersion  30 0 2 _x000D_
_x000D_
    defaultConfig  _x000D_
        applicationId  no norva24 norva24reportertest2 _x000D_
        minSdkVersion 21_x000D_
        targetSdkVersion 30_x000D_
        versionCode 11_x000D_
        versionName versionMajor     versionMinor     versionCode     versionAppDatabase     versionBuild_x000D_
_x000D_
        testInstrumentationRunner  androidx test runner AndroidJUnitRunner _x000D_
_x000D_
        buildConfigField( long   TIMESTAMP   System currentTimeMillis()  L )_x000D_
        buildConfigField( int   APPDATABASEVERSION     versionAppDatabase  )_x000D_
     _x000D_
_x000D_
    buildTypes  _x000D_
        release  _x000D_
            minifyEnabled false_x000D_
            proguardFiles getDefaultProguardFile( proguard android optimize txt )   proguard rules pro _x000D_
            resValue( string    google maps key    omitted  )_x000D_
         _x000D_
        debug  _x000D_
            resValue( string    google maps key    omitted  )_x000D_
         _x000D_
     _x000D_
    compileOptions  _x000D_
        sourceCompatibility JavaVersion VERSION 1 8_x000D_
        targetCompatibility JavaVersion VERSION 1 8_x000D_
     _x000D_
    kotlinOptions  _x000D_
        jvmTarget    1 8 _x000D_
     _x000D_
    packagingOptions _x000D_
        exclude( META INF jersey module version )_x000D_
     _x000D_
    buildFeatures  _x000D_
        dataBinding   true_x000D_
        compose   false_x000D_
        viewBinding   true_x000D_
     _x000D_
 _x000D_
_x000D_
dependencies  _x000D_
_x000D_
      Kotlin_x000D_
      Stdlib_x000D_
    implementation  org jetbrains kotlin:kotlin stdlib: kotlin version _x000D_
_x000D_
      Coroutines_x000D_
    implementation  org jetbrains kotlinx:kotlinx coroutines core:1 3 9 _x000D_
    implementation  org jetbrains kotlinx:kotlinx coroutines android:1 3 9 _x000D_
_x000D_
_x000D_
      Androidx_x000D_
      Core_x000D_
      implementation  androidx core:core ktx:1 4 0 alpha01 _x000D_
    implementation  androidx core:core ktx:1 5 0 alpha04 _x000D_
_x000D_
      AppCompat_x000D_
    implementation  androidx appcompat:appcompat:1 3 0 alpha02 _x000D_
      implementation  androidx appcompat:appcompat:1 2 0 _x000D_
_x000D_
      CameraX_x000D_
    implementation  androidx camera:camera camera2:1 0 0 beta10 _x000D_
    implementation  androidx camera:camera lifecycle:1 0 0 beta10 _x000D_
    implementation  androidx camera:camera view:1 0 0 alpha17 _x000D_
_x000D_
      ConstraintLayout_x000D_
    implementation  androidx constraintlayout:constraintlayout:2 0 1 _x000D_
_x000D_
      Navigation_x000D_
    implementation  androidx navigation:navigation fragment ktx:2 3 0 _x000D_
    implementation  androidx navigation:navigation ui ktx:2 3 0 _x000D_
_x000D_
      Fragment_x000D_
    implementation  androidx fragment:fragment ktx:1 3 0 beta01 _x000D_
_x000D_
      Lifecycle_x000D_
    implementation  androidx lifecycle:lifecycle livedata ktx:2 3 0 beta01 _x000D_
    implementation  androidx lifecycle:lifecycle viewmodel ktx:2 3 0 beta01 _x000D_
_x000D_
      Legacy_x000D_
    implementation  androidx legacy:legacy support v4:1 0 0 _x000D_
_x000D_
      Room_x000D_
    implementation  androidx room:room runtime:2 3 0 alpha02 _x000D_
    kapt  androidx room:room compiler:2 3 0 alpha02 _x000D_
    implementation  androidx room:room testing:2 3 0 alpha02 _x000D_
    implementation  androidx room:room ktx:2 3 0 alpha02 _x000D_
_x000D_
      Preference_x000D_
    implementation  androidx preference:preference ktx:1 1 1 _x000D_
_x000D_
      Local Broadcast Manager_x000D_
    implementation  androidx localbroadcastmanager:localbroadcastmanager:1 1 0 alpha01 _x000D_
_x000D_
      RecyclerViewStyling_x000D_
    implementation  androidx recyclerview:recyclerview:1 2 0 alpha06 _x000D_
_x000D_
      Microsoft_x000D_
      Identity_x000D_
    implementation ( com microsoft identity client:msal:2 0 1 )_x000D_
             exclude group:  com microsoft device display  _x000D_
_x000D_
      Graph_x000D_
    implementation  com microsoft graph:microsoft graph:2 2 0 _x000D_
_x000D_
_x000D_
      Google_x000D_
      Material_x000D_
    implementation  com google android material:material:1 3 0 alpha03 _x000D_
_x000D_
      Guava  to avoid conflict on ListenableFuture on jetified guava 20 0 (com google guava:guava:20 0)_x000D_
       and jetified listenablefuture 1 0 (com google guava listenablefuture:1 0)_x000D_
       https:  stackoverflow com questions 56639529 duplicate class com google common util concurrent listenablefuture found in modu_x000D_
      implementation  com google guava:guava:28 2 android _x000D_
    implementation  com google guava:guava:29 0 jre _x000D_
_x000D_
      Firebase_x000D_
      Analytics_x000D_
    implementation  com google firebase:firebase analytics ktx:17 5 0 _x000D_
_x000D_
      Crashlytics_x000D_
    implementation  com google firebase:firebase crashlytics ktx:17 2 2 _x000D_
_x000D_
      Performance analysis_x000D_
    implementation  com google firebase:firebase perf:19 0 9 _x000D_
_x000D_
      Play Services_x000D_
      Maps_x000D_
    implementation  com google android gms:play services maps:17 0 0 _x000D_
_x000D_
      Maps utilities_x000D_
    implementation  com google maps android:android maps utils:2 0 3 _x000D_
_x000D_
      Location_x000D_
    implementation  com google android gms:play services location:17 1 0 _x000D_
_x000D_
      Square Open Source_x000D_
      Retrofit2_x000D_
    implementation  com squareup retrofit2:retrofit:2 9 0 _x000D_
    implementation  com squareup retrofit2:converter gson:2 9 0 _x000D_
_x000D_
      OkHttp3_x000D_
    implementation  com squareup okhttp3:logging interceptor:4 9 0 _x000D_
    implementation  com squareup okhttp3:okhttp:4 9 0 _x000D_
_x000D_
_x000D_
      Tests_x000D_
    testImplementation  junit:junit:4 13 _x000D_
    androidTestImplementation  androidx test ext:junit:1 1 2 _x000D_
    androidTestImplementation  androidx test espresso:espresso core:3 3 0 _x000D_
 _x000D_
   _x000D_
_x000D_
  Android API version:  _x000D_
API30_x000D_
_x000D_
  Material Library version:   _x000D_
1 3 0 alpha03_x000D_
_x000D_
  Device:   _x000D_
Emulator API30:  Pixel 4 API 30 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_x000D_
_x000D_
RG</t>
  </si>
  <si>
    <t>Anuken-Mindustry-2850</t>
  </si>
  <si>
    <t xml:space="preserve">adding mods and they disappear </t>
  </si>
  <si>
    <t xml:space="preserve">  Note  : Do not report any new bugs directly relating to the v6 campaign  They will not be fixed or considered at this time _x000D_
_x000D_
  Platform  :  Android iOS Mac Windows Linux _x000D_
android_x000D_
_x000D_
  Build  :  The build number under the title in the main menu  Required  _x000D_
_x000D_
104 6_x000D_
  Issue  :  Explain your issue in detail  _x000D_
i am importing mods and when i reload the page the mod just disappears _x000D_
_x000D_
  Steps to reproduce  :  How you happened across the issue  and what exactly you did to make the bug happen  _x000D_
imported a mod  reloaded mod page  mod gone _x000D_
_x000D_
  Link(s) to mod(s) used  :  The mod repositories or zip files that are related to the issue  if applicable  _x000D_
10 different mods_x000D_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</si>
  <si>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nextcloud-android-7055</t>
  </si>
  <si>
    <t>Deleted nested folder causes app to crash</t>
  </si>
  <si>
    <t xml:space="preserve">    Steps to reproduce_x000D_
1  Remove nested folder with a lot of files via the web client_x000D_
2  Visit the parent folder in the app_x000D_
_x000D_
_x000D_
    Expected behaviour_x000D_
  I expect the deleted folder to disappear from the listing_x000D_
_x000D_
    Actual behaviour_x000D_
  The Listing loads for a while  than the app crashes _x000D_
  The deleted folder is still listed after a restart_x000D_
  The app repeatedly crashes with the same error  preventing me to use this folder at all _x000D_
_x000D_
    Can you reproduce this problem on https:  try nextcloud com _x000D_
  This will probably not that easy to replicate  since it seems to need a few thousand files to be in that deleted folder_x000D_
_x000D_
    Environment data_x000D_
Android version:  10_x000D_
_x000D_
Device model: OnePlus 6T_x000D_
_x000D_
Stock or customized system: Stock_x000D_
_x000D_
Nextcloud app version: 3 13 1_x000D_
_x000D_
Nextcloud server version: 19 0 0_x000D_
_x000D_
Reverse proxy: None_x000D_
_x000D_
    Logs_x000D_
     Web server error log_x000D_
   _x000D_
No errors_x000D_
   _x000D_
_x000D_
     Nextcloud log (data nextcloud log)_x000D_
   _x000D_
             CAUSE OF ERROR             _x000D_
_x000D_
android database sqlite SQLiteBlobTooBigException: Row too big to fit into CursorWindow requiredPos 4323  totalRows 2691_x000D_
	at android database sqlite SQLiteConnection nativeExecuteForCursorWindow(Native Method)_x000D_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java:342)_x000D_
	at android content ContentProviderOperation apply(ContentProviderOperation java:314)_x000D_
	at com owncloud android providers FileContentProvider applyBatch(FileContentProvider java:672)_x000D_
	at android content ContentProvider applyBatch(ContentProvider java:2179)_x000D_
	at android content ContentProvider Transport applyBatch(ContentProvider java:398)_x000D_
	at android content ContentProviderClient applyBatch(ContentProviderClient java:532)_x000D_
	at android content ContentProviderClient applyBatch(ContentProviderClient java:520)_x000D_
	at android content ContentResolver applyBatch(ContentResolver java:1915)_x000D_
	at com owncloud android datamodel FileDataStorageManager saveFolder(FileDataStorageManager java:435)_x000D_
	at com owncloud android operations RefreshFolderOperation synchronizeData(RefreshFolderOperation java:490)_x000D_
	at com owncloud android operations RefreshFolderOperation fetchAndSyncRemoteFolder(RefreshFolderOperation java:372)_x000D_
	at com owncloud android operations RefreshFolderOperation run(RefreshFolderOperation java:231)_x000D_
	at com owncloud android lib common operations RemoteOperation run(RemoteOperation java:360)_x000D_
	at java lang Thread run(Thread java:919)_x000D_
_x000D_
             APP INFORMATION             _x000D_
ID: com nextcloud client_x000D_
Version: 30130190_x000D_
Build flavor: gplay_x000D_
_x000D_
             DEVICE INFORMATION             _x000D_
Brand: OnePlus_x000D_
Device: OnePlus6T_x000D_
Model: ONEPLUS A6013_x000D_
Id: QKQ1 190716 003_x000D_
Product: OnePlus6T_x000D_
_x000D_
             FIRMWARE             _x000D_
SDK: 29_x000D_
Release: 10_x000D_
Incremental: 2007171848_x000D_
   _x000D_
_x000D_
</t>
  </si>
  <si>
    <t>k9mail-k-9-4985</t>
  </si>
  <si>
    <t xml:space="preserve">Hi  the 5 719 crashes when I want to change my account new mail ringtone _x000D_
_x000D_
_x000D_
_x000D_
  Screenshot 2020 10 06 07 22 18 1 (https:  user images githubusercontent com 71226185 95201152 1ea41480 07a5 11eb 835f b5ee2205fbf0 png)_x000D_
  Screenshot 2020 10 06 07 22 27 (https:  user images githubusercontent com 71226185 95201172 2663b900 07a5 11eb 9a37 9277f1a333f6 png)_x000D_
_x000D_
</t>
  </si>
  <si>
    <t>Anuken-Mindustry-2849</t>
  </si>
  <si>
    <t>Naval Ships uncontrollable</t>
  </si>
  <si>
    <t xml:space="preserve">  Note  : Do not report any new bugs directly relating to the v6 campaign  They will not be fixed or considered at this time _x000D_
_x000D_
  Platform  :  Android iOS Mac Windows Linux _x000D_
_x000D_
  Build  :  The build number under the title in the main menu  Required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</si>
  <si>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nextcloud-android-7053</t>
  </si>
  <si>
    <t>App crash almost every morning</t>
  </si>
  <si>
    <t xml:space="preserve">    Steps to reproduce_x000D_
1  Not Sure  but often in the morning after disabeling flight mode and unlocking the screen  _x000D_
2  I want to mention  that I have configured several accounts to different servers (local Raspberry Pi Dicker   remote company Nextcloud Server installed from Nextcloud employee)_x000D_
I have the feeling  that this is more likely to Happen  the more accounts are configured in the app  _x000D_
_x000D_
    Expected behaviour_x000D_
  App should not crash_x000D_
_x000D_
    Actual behaviour_x000D_
  after unlocking the screen  the following message appears: 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java:1133)_x000D_
	at java util concurrent ThreadPoolExecutor Worker run(ThreadPoolExecutor java:607)_x000D_
	at com google android gms common util concurrent zza run(Unknown Source)_x000D_
	at java lang Thread run(Thread java:761)_x000D_
Caused by: java lang ClassNotFoundException: Didn t find class  com google firebase analytics connector AnalyticsConnector  on path: DexPathList  zip file   data app com nextcloud client 1 base apk   nativeLibraryDirectories   data app com nextcloud client 1 lib arm   data app com nextcloud client 1 base apk  lib armeabi v7a   system lib   vendor lib  _x000D_
	at dalvik system BaseDexClassLoader findClass(BaseDexClassLoader java:56)_x000D_
	at java lang ClassLoader loadClass(ClassLoader java:380)_x000D_
	at java lang ClassLoader loadClass(ClassLoader java:312)_x000D_
	    8 more_x000D_
_x000D_
             APP INFORMATION             _x000D_
ID: com nextcloud client_x000D_
Version: 30130190_x000D_
Build flavor: gplay_x000D_
_x000D_
             DEVICE INFORMATION             _x000D_
Brand: Fairphone_x000D_
Device: FP2_x000D_
Model: FP2_x000D_
Id: 19 11 2_x000D_
Product: FP2_x000D_
_x000D_
             FIRMWARE             _x000D_
SDK: 25_x000D_
Release: 7 1 2_x000D_
Incremental: gms 24df0be9_x000D_
_x000D_
_x000D_
    Environment data_x000D_
Android version: 7 1 2_x000D_
_x000D_
Device model: Fairphone 2_x000D_
_x000D_
Stock or customized system: Fairphone OS_x000D_
_x000D_
Nextcloud server version: 19 0 3_x000D_
_x000D_
Reverse proxy: nginx   Other (Sophos UTM)_x000D_
_x000D_
    Logs_x000D_
     Web server error log_x000D_
Will have an look in the evening   _x000D_
_x000D_
     Nextcloud log (data nextcloud log)_x000D_
No errors_x000D_
</t>
  </si>
  <si>
    <t>Anuken-Mindustry-2840</t>
  </si>
  <si>
    <t>Bad command mode pathfinding</t>
  </si>
  <si>
    <t xml:space="preserve">  Platform  : Windows_x000D_
_x000D_
  Build  : Bleeding edge build  any with commanding_x000D_
_x000D_
  Issue  : When you command units  they follow you  If they find an obstacle  they ll just stupidly walk  into  it  not around it  _x000D_
_x000D_
  Steps to reproduce  : Here:_x000D_
Get any support mech_x000D_
Souround yourself with units_x000D_
Hit G key_x000D_
Fly around a wall so you get there faster than commanded units_x000D_
They will bump into that wall as they try to follow you  and keep walking into it  _x000D_
Wall is not necessary  any block will do  same for higher ground sections _x000D_
_x000D_
  Save file  : Any file  My friend tried it as well  and it was still same _x000D_
_x000D_
  Crash report  : Not a crash_x000D_
_x000D_
   _x000D_
_x000D_
 Place an X (no spaces) between the brackets to confirm that you have read the line below    _x000D_
   x    I have searched the closed and open issues to make sure that this problem has not already been reported   _x000D_
</t>
  </si>
  <si>
    <t>TeamNewPipe-NewPipe-4408</t>
  </si>
  <si>
    <t>[0.20.0] Changing players resets the video.</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</si>
  <si>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Open a video_x000D_
Switch to background player_x000D_
_x000D_
_x000D_
    Actual behaviour_x000D_
     Tell us what happens instead     _x000D_
The video starts playing from the beginning_x000D_
_x000D_
_x000D_
    Expected behavior_x000D_
     Tell us what you expect to happen     _x000D_
The video should continue playing on the timestamp _x000D_
This has never happened to me before the unified player  so I m surprised  that when that s one of the points of having it  it starts breaking stuff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20201005 152356 NewPipe (https:  user images githubusercontent com 26146502 95085390 7304b100 071f 11eb 92ef d9d1e2e9806f jpg)_x000D_
_x000D_
_x000D_
_x000D_
    Logs_x000D_
     If your bug includes a crash (where you re shown the Error Report page with a bunch of info)  tap on  Copy formatted report  at the bottom and paste it here:    _x000D_
_x000D_
     That s right  here     _x000D_
</t>
  </si>
  <si>
    <t>TeamNewPipe-NewPipe-4406</t>
  </si>
  <si>
    <t>Download function disappeared. Tried installing latest APK but still no download option anymore</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</si>
  <si>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_x000D_
_x000D_
_x000D_
    Expected behavior_x000D_
     Tell us what you expect to happen     _x000D_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t>
  </si>
  <si>
    <t>nextcloud-android-7049</t>
  </si>
  <si>
    <t>Simpletask crashes randomly</t>
  </si>
  <si>
    <t xml:space="preserve">    Steps to reproduce_x000D_
1  Open Simpletask _x000D_
2  Observe a crash occasionally  Couldn t find any particular steps to reproduce  _x000D_
_x000D_
    Expected behaviour_x000D_
  No crashes  _x000D_
_x000D_
    Actual behaviour_x000D_
  There are crashes 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processTask(ThreadPoolExecutor java:1187)_x000D_
	at java util concurrent ThreadPoolExecutor runWorker(ThreadPoolExecutor java:1152)_x000D_
	at java util concurrent ThreadPoolExecutor Worker run(ThreadPoolExecutor java:641)_x000D_
	at com google android gms common util concurrent zza run(Unknown Source:6)_x000D_
	at java lang Thread run(Thread java:784)_x000D_
Caused by: java lang ClassNotFoundException: Didn t find class  com google firebase analytics connector AnalyticsConnector  on path: DexPathList  zip file   system framework org apache http legacy boot jar   zip file   data app com nextcloud client z6asgEDONLTa7M ErJ4cbQ   base apk   nativeLibraryDirectories   data app com nextcloud client z6asgEDONLTa7M ErJ4cbQ   lib arm64   data app com nextcloud client z6asgEDONLTa7M ErJ4cbQ   base apk  lib arm64 v8a   system lib64   product lib64  _x000D_
	at dalvik system BaseDexClassLoader findClass(BaseDexClassLoader java:134)_x000D_
	at java lang ClassLoader loadClass(ClassLoader java:379)_x000D_
	at java lang ClassLoader loadClass(ClassLoader java:312)_x000D_
	    9 more_x000D_
_x000D_
             APP INFORMATION             _x000D_
ID: com nextcloud client_x000D_
Version: 30130190_x000D_
Build flavor: gplay_x000D_
_x000D_
             DEVICE INFORMATION             _x000D_
Brand: HUAWEI_x000D_
Device: HWANE_x000D_
Model: ANE LX1_x000D_
Id: HUAWEIANE L21_x000D_
Product: ANE LX1RU_x000D_
_x000D_
             FIRMWARE             _x000D_
SDK: 28_x000D_
Release: 9_x000D_
Incremental: 9 1 0 315C10_x000D_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</si>
  <si>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nextcloud-android-7048</t>
  </si>
  <si>
    <t>App connect via qr code</t>
  </si>
  <si>
    <t xml:space="preserve">    Steps to reproduce
1  Open app
2  Use qr code 
3  Scan qr code from website
    Expected behaviour
I think it should connect to the server using an app password  
    Actual behaviour
Immediately crashes
    Can you reproduce this problem on https:  try nextcloud com 
I wasn t able to login on the site
    Environment data
Android version: 10
Device model: OnePlus 6T A6010
Stock or customized system: Stock 
Nextcloud app version: 3 13 1
Nextcloud server version: 20 0 0
Reverse proxy:
    Logs
     Web server error log
Insert your webserver log here
     Nextcloud log (data nextcloud log)
Insert your Nextcloud log here
  NOTE:   Be super sure to remove sensitive data like passwords  note that everybody can look here  You can use the Issue Template application to prefill some of the required information: https:  apps nextcloud com apps issuetemplate
</t>
  </si>
  <si>
    <t>TeamNewPipe-NewPipe-4397</t>
  </si>
  <si>
    <t>Missing toggle for "Lockscreen Thumbnail'</t>
  </si>
  <si>
    <t xml:space="preserve">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Checklist
       I am using the latest version       compare Releases page and your version given in About in the app drawer    
       I checked  but didn t find any duplicates of this issue in the repo       Seriously  check  O O    
       I have read the contribution guidelines given at https:  github com TeamNewPipe NewPipe blob HEAD  github CONTRIBUTING md 
       This issue contains only one bug  I will open one issue for every bug report I want to file 
    Steps to reproduce the bug
1  Go to      
2  Press on       
3  Swipe down to       
     If you can t cause the bug to show up again reliably (and hence don t have a proper set of steps to give us)  please still try to give as many details as possible on how you think you encountered the bug     
Prior( 0 20 0) versions had the toggle in Settings  Video   Audio   Player 
    Actual behaviour
     Tell us what happens instead     
Not sure if it s a bug  but the feature is missing 
    Expected behavior
     Tell us what you expect to happen     
Having the toggle as it was major option for privacy( With notifications toggled off on lockscreen  the thumbnail gives it away)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Logs
     If your bug includes a crash (where you re shown the Error Report page with a bunch of info)  tap on  Copy formatted report  at the bottom and paste it here:    
     That s right  here     
</t>
  </si>
  <si>
    <t>Anuken-Mindustry-2835</t>
  </si>
  <si>
    <t>Overdrive Dome Effect stays after deconstructing</t>
  </si>
  <si>
    <t xml:space="preserve">  Note  : Do not report any new bugs directly relating to the v6 campaign  They will not be fixed or considered at this time _x000D_
_x000D_
  Platform  :  Windows _x000D_
_x000D_
  Build  :  10229 _x000D_
_x000D_
  Issue  :  After deconstructing an Overdrive Dome next to a Water Power Design the power output of the construction stayed boosted  Reloading the save set it back to normal  The issue can be reproduced_x000D_
  bug (https:  user images githubusercontent com 57239116 95028744 d4d30580 06a2 11eb 8af2 c1f66c3812e6 jpg)_x000D_
 _x000D_
_x000D_
  Steps to reproduce  :  Load the savegame  construct an OD Dome next to the right construction  feed it with power  phase  and silicon  Watch the power go up  Deconstruct it: Watch the Power stay high _x000D_
_x000D_
  Link(s) to mod(s) used  :  The mod repositories or zip files that are related to the issue  if applicable  _x000D_
_x000D_
  Save file  :  _x000D_
 ODBug Test zip (https:  github com Anuken Mindustry files 5324544 ODBug Test zip)_x000D_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</si>
  <si>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TeamNewPipe-NewPipe-4390</t>
  </si>
  <si>
    <t xml:space="preserve">Fast forward crush </t>
  </si>
  <si>
    <t xml:space="preserve">   Exception_x000D_
    User Action:   ui error_x000D_
    Request:   App crash  UI failure_x000D_
    Content Country:   GB_x000D_
    Content Language:   en GB_x000D_
    App Language:   en GB_x000D_
    Service:   none_x000D_
    Version:   0 20 0_x000D_
    OS:   Linux Android 7 0   24_x000D_
 details  summary  b Crash log   b   summary  p _x000D_
_x000D_
   _x000D_
java lang NullPointerException: Attempt to read from field  java util ArrayList androidx core app NotificationCompat Builder mActions  on a null object reference_x000D_
	at org schabi newpipe player NotificationUtil shouldUpdateBufferingSlot(NotificationUtil java:151)_x000D_
	at org schabi newpipe player VideoPlayerImpl onBuffering(VideoPlayerImpl java:1121)_x000D_
	at org schabi newpipe player BasePlayer changeState(BasePlayer java:583)_x000D_
	at org schabi newpipe player VideoPlayerImpl changeState(VideoPlayerImpl java:1102)_x000D_
	at org schabi newpipe player BasePlayer onPlayerStateChanged(BasePlayer java:798)_x000D_
	at com google android exoplayer2 ExoPlayerImpl PlaybackInfoUpdate lambda run 5 ExoPlayerImpl PlaybackInfoUpdate(ExoPlayerImpl java:828)_x000D_
	at com google android exoplayer2    Lambda ExoPlayerImpl PlaybackInfoUpdate AYkTJomZb3BnUDA59u8cvRVoKcM invokeListener(lambda)_x000D_
	at com google android exoplayer2 BasePlayer ListenerHolder invoke(BasePlayer java:182)_x000D_
	at com google android exoplayer2 ExoPlayerImpl invokeAll(ExoPlayerImpl java:845)_x000D_
	at com google android exoplayer2 ExoPlayerImpl access 000(ExoPlayerImpl java:43)_x000D_
	at com google android exoplayer2 ExoPlayerImpl PlaybackInfoUpdate run(ExoPlayerImpl java:826)_x000D_
	at com google android exoplayer2 ExoPlayerImpl notifyListeners(ExoPlayerImpl java:736)_x000D_
	at com google android exoplayer2 ExoPlayerImpl updatePlaybackInfo(ExoPlayerImpl java:710)_x000D_
	at com google android exoplayer2 ExoPlayerImpl handlePlaybackInfo(ExoPlayerImpl java:652)_x000D_
	at com google android exoplayer2 ExoPlayerImpl handleEvent(ExoPlayerImpl java:595)_x000D_
	at com google android exoplayer2 ExoPlayerImpl 1 handleMessage(ExoPlayerImpl java:127)_x000D_
	at android os Handler dispatchMessage(Handler java:102)_x000D_
	at android os Looper loop(Looper java:154)_x000D_
	at android app ActivityThread main(ActivityThread java:6692)_x000D_
	at java lang reflect Method invoke(Native Method)_x000D_
	at com android internal os ZygoteInit MethodAndArgsCaller run(ZygoteInit java:1468)_x000D_
	at com android internal os ZygoteInit main(ZygoteInit java:1358)_x000D_
_x000D_
   _x000D_
  details _x000D_
 hr _x000D_
</t>
  </si>
  <si>
    <t>ultrasonic-ultrasonic-325</t>
  </si>
  <si>
    <t>TimeCheck timeout for IAudioFlinger command 41</t>
  </si>
  <si>
    <t xml:space="preserve">Hello _x000D_
_x000D_
Since some time my Ultrasonic started crashing at startup  _x000D_
It is quite possible that my AOSP distro is buggy  but I ve managed to avoid the crash by disabling the instantiation of EqualizerController and VisualizerController in LocalMediaPlayer by commenting the static block initializer _x000D_
_x000D_
Attached is the logcat crash log _x000D_
 logcat ultrasonic txt (https:  github com ultrasonic ultrasonic files 5324148 logcat ultrasonic txt)_x000D_
</t>
  </si>
  <si>
    <t>Anuken-Mindustry-2834</t>
  </si>
  <si>
    <t>Liquid source problems</t>
  </si>
  <si>
    <t xml:space="preserve">  Note  : Do not report any new bugs directly relating to the v6 campaign  They will not be fixed or considered at this time _x000D_
_x000D_
  Platform  :  Android iOS Mac Windows Linux _x000D_
Windows_x000D_
  Build  :  The build number under the title in the main menu  Required  _x000D_
10227_x000D_
  Issue  :  Explain your issue in detail  _x000D_
Liquid sources straight up don t output  EDIT: no piping or fluid transfer seems to work  _x000D_
  Steps to reproduce  :  How you happened across the issue  and what exactly you did to make the bug happen  _x000D_
Place a liquid source  try to attach pipes to it  EDIT: try to transfer fluid anywhere  using pipes  You ll see that the pipes don t even transfer to each other _x000D_
_x000D_
  Link(s) to mod(s) used  :  The mod repositories or zip files that are related to the issue  if applicable  _x000D_
_x000D_
  Save file  :  The (zipped) save file you were playing on when the bug happened  THIS IS REQUIRED FOR ANY ISSUE HAPPENING IN GAME  REGARDLESS OF WHETHER YOU THINK IT HAPPENS EVERYWHERE  DO NOT DELETE OR OMIT THIS LINE UNLESS YOU ARE SURE THAT THE ISSUE DOES NOT HAPPEN IN GAME  _x000D_
 33 zip (https:  github com Anuken Mindustry files 5324074 33 zip)_x000D_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</si>
  <si>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TeamNewPipe-NewPipe-4385</t>
  </si>
  <si>
    <t>Constant error message pop up.</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</si>
  <si>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(Sorry i dont know how to add in the check)_x000D_
_x000D_
   yes   I am using the latest version       compare Releases page and your version given in About in the app drawer    _x000D_
   yes   I checked  but didn t find any duplicates of this issue in the repo       Seriously  check  O O    _x000D_
      I have read the contribution guidelines given at https:  github com TeamNewPipe NewPipe blob HEAD  github CONTRIBUTING md _x000D_
    yes  This issue contains only one bug  I will open one issue for every bug report I want to file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Practically do amy action on NewPipe_x000D_
2 Wait until said  error message appears _x000D_
_x000D_
    Actual behaviour_x000D_
     Tell us what happens instead     _x000D_
_x000D_
App says it has encountered an error_x000D_
_x000D_
    Expected behavior_x000D_
     Tell us what you expect to happen     _x000D_
Error message shouldn t come up as I did not experience any issues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tap on  Copy formatted report  at the bottom and paste it here:    _x000D_
_x000D_
     That s right  here     _x000D_
   Exception_x000D_
    User Action:   requested feed_x000D_
    Request:   Loading feed_x000D_
    Content Country:   US_x000D_
    Content Language:   en_x000D_
    App Language:   en US_x000D_
    Service:   none_x000D_
    Version:   0 20 0_x000D_
    OS:   Linux Android 10   29_x000D_
 details  summary  b Crash log   b   summary  p _x000D_
_x000D_
   _x000D_
org schabi newpipe local feed service FeedLoadService RequestException: 0:https:  www youtube com channel UCxJf49T4iTO jtzWX3rW jg_x000D_
	at org schabi newpipe local feed service FeedLoadService startLoading 7 apply(FeedLoadService kt:223)_x000D_
	at org schabi newpipe local feed service FeedLoadService startLoading 7 apply(FeedLoadService kt:66)_x000D_
	at io reactivex internal operators parallel ParallelMap ParallelMapSubscriber onNext(ParallelMap java:113)_x000D_
	at io reactivex internal operators parallel ParallelFilter ParallelFilterSubscriber tryOnNext(ParallelFilter java:130)_x000D_
	at io reactivex internal operators parallel ParallelRunOn RunOnConditionalSubscriber run(ParallelRunOn java:397)_x000D_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java lang RuntimeException: org schabi newpipe extractor exceptions ContentNotAvailableException: Got error:  This account has been terminated due to multiple or severe violations of YouTube s policy prohibiting content designed to harass  bully or threaten  _x000D_
	at io reactivex internal util ExceptionHelper wrapOrThrow(ExceptionHelper java:46)_x000D_
	at io reactivex internal observers BlockingMultiObserver blockingGet(BlockingMultiObserver java:93)_x000D_
	at io reactivex Single blockingGet(Single java:2870)_x000D_
	at org schabi newpipe local feed service FeedLoadService startLoading 7 apply(FeedLoadService kt:217)_x000D_
	    11 more_x000D_
Caused by: org schabi newpipe extractor exceptions ContentNotAvailableException: Got error:  This account has been terminated due to multiple or severe violations of YouTube s policy prohibiting content designed to harass  bully or threaten  _x000D_
	at org schabi newpipe extractor services youtube YoutubeParsingHelper defaultAlertsCheck(YoutubeParsingHelper java:546)_x000D_
	at org schabi newpipe extractor services youtube extractors YoutubeChannelExtractor onFetchPage(YoutubeChannelExtractor java:109)_x000D_
	at org schabi newpipe extractor Extractor fetchPage(Extractor java:56)_x000D_
	at org schabi newpipe extractor channel ChannelInfo getInfo(ChannelInfo java:47)_x000D_
	at org schabi newpipe util ExtractorHelper lambda getChannelInfo 4(ExtractorHelper java:124)_x000D_
	at org schabi newpipe util    Lambda ExtractorHelper u5W7VszTe8AoEexIsFM9huQfbkM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Single blockingGet(Single java:2869)_x000D_
	    12 more_x000D_
_x000D_
   _x000D_
  details _x000D_
 hr _x000D_
_x000D_
Device Info: Galaxy S10 (Running Android 10)</t>
  </si>
  <si>
    <t>TeamNewPipe-NewPipe-4383</t>
  </si>
  <si>
    <t>Rotation buggy in tablet UI</t>
  </si>
  <si>
    <t xml:space="preserve">    _x000D_
Oh no  a bug  It happens  Thanks for reporting an issue with NewPipe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Checklist_x000D_
_x000D_
   x  I am using the latest version       compare Releases page and your version given in About in the app drawer    _x000D_
   x  I checked  but didn t find any duplicates of this issue in the repo       Seriously  check  O O    _x000D_
   x  I have read the contribution guidelines given at https:  github com TeamNewPipe NewPipe blob HEAD  github CONTRIBUTING md _x000D_
   x  This issue contains only one bug  I will open one issue for every bug report I want to file _x000D_
_x000D_
    Steps to reproduce the bug_x000D_
    _x000D_
1  Go to  _x000D_
2  Press on       _x000D_
3  Swipe down to       _x000D_
   _x000D_
1  Open any video_x000D_
2  Play it_x000D_
3  Press the Full Screen bottom right box icon to go into landscape_x000D_
4  Again press the box button to go into full screen _x000D_
5  Press the full screen button to go back to the previous orientation_x000D_
_x000D_
     If you can t cause the bug to show up again reliably (and hence don t have a proper set of steps to give us)  please still try to give as many details as possible on how you think you encountered the bug     _x000D_
_x000D_
_x000D_
_x000D_
    Actual behaviour_x000D_
     Tell us what happens instead     _x000D_
 NewPipes UI is now In Landscape orientation (auto rotation for the device is locked i e  in Portrait mode)_x000D_
_x000D_
_x000D_
    Expected behavior_x000D_
     Tell us what you expect to happen     _x000D_
NewPipe should have rotated back to Portrait after closing (pressing the full screen box button) the video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Screenshot 20201004 213354964 (https:  user images githubusercontent com 29801315 95020522 60d83380 0689 11eb 8d8a 5d2f8cd0e9fa jpg)_x000D_
_x000D_
  Screenshot 20201004 213404832 (https:  user images githubusercontent com 29801315 95020567 8ebd7800 0689 11eb 8b0b 08234c5f84da jpg)_x000D_
_x000D_
_x000D_
_x000D_
    Logs_x000D_
     If your bug includes a crash (where you re shown the Error Report page with a bunch of info)  tap on  Copy formatted report  at the bottom and paste it here:    _x000D_
_x000D_
     That s right  here     _x000D_
</t>
  </si>
  <si>
    <t>nextcloud-android-7047</t>
  </si>
  <si>
    <t>Resources$NotFoundException</t>
  </si>
  <si>
    <t xml:space="preserve">    Steps to reproduce_x000D_
1  Click on account icon in the header _x000D_
2   Manage accounts  _x000D_
3  Click on any account _x000D_
_x000D_
    Expected behaviour_x000D_
I can see some info about my account _x000D_
_x000D_
    Actual behaviour_x000D_
Crash:_x000D_
   _x000D_
java lang RuntimeException: Unable to start activity ComponentInfo com nextcloud client com owncloud android ui activity UserInfoActivity : android content res Resources NotFoundException: Resource ID  0x7f070174_x000D_
	at android app ActivityThread performLaunchActivity(ActivityThread java:3449)_x000D_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android content res Resources NotFoundException: Resource ID  0x7f070174_x000D_
	at android content res ResourcesImpl getValue(ResourcesImpl java:237)_x000D_
	at android content res Resources getDimension(Resources java:752)_x000D_
	at com owncloud android ui activity UserInfoActivity onCreate(UserInfoActivity java:140)_x000D_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java:3422)_x000D_
	    11 more_x000D_
   _x000D_
_x000D_
    Additional info_x000D_
Looks like it can t find  R dimen nav drawer header avatar radius   It is defined in  values sw360dp dims xml   but not in  values dims xml   This will crash on devices with the smallest width less than 360dp  I ve set  Display size  to  Larger  in system settings  which is probably the reason why it thinks my sw   360dp  If I temporarily change  Display size  to  Normal   UserInfoActivity opens as expected _x000D_
</t>
  </si>
  <si>
    <t>ankidroid-Anki-Android-7345</t>
  </si>
  <si>
    <t xml:space="preserve"> SelectionActionModeHelper - IllegalArgumentException</t>
  </si>
  <si>
    <t xml:space="preserve">Also seen on 2 12 1   not a new crash in 2 13 5_x000D_
_x000D_
https:  couchdb ankidroid org acralyzer  design acralyzer index html  report details a18bb17e f5b8 47b8 b9a8 b3fc0b294c49_x000D_
https:  couchdb ankidroid org acralyzer  design acralyzer index html  report details 51fe4fee 5663 45ec baa3 c3c0feaba558_x000D_
_x000D_
   _x000D_
java lang IllegalArgumentException_x000D_
at com android internal util Preconditions checkArgument(Preconditions java:33)_x000D_
at android widget SelectionActionModeHelper TextClassificationHelper init(SelectionActionModeHelper java:974)_x000D_
at android widget SelectionActionModeHelper resetTextClassificationHelper(SelectionActionModeHelper java:462)_x000D_
at android widget SelectionActionModeHelper resetTextClassificationHelper(SelectionActionModeHelper java:470)_x000D_
at android widget SelectionActionModeHelper startSelectionActionModeAsync(SelectionActionModeHelper java:118)_x000D_
at android widget Editor startSelectionActionModeAsync(Editor java:2132)_x000D_
at android widget Editor refreshTextActionMode(Editor java:2077)_x000D_
at android widget TextView spanChange(TextView java:9920)_x000D_
at android widget TextView ChangeWatcher onSpanChanged(TextView java:12587)_x000D_
at android text SpannableStringBuilder sendSpanChanged(SpannableStringBuilder java:1303)_x000D_
at android text SpannableStringBuilder setSpan(SpannableStringBuilder java:750)_x000D_
at android text SpannableStringBuilder setSpan(SpannableStringBuilder java:674)_x000D_
at android text Selection extendSelection(Selection java:174)_x000D_
at android text Selection extendSelection(Selection java:166)_x000D_
at android text Selection extendLeft(Selection java:395)_x000D_
at android text method ArrowKeyMovementMethod left(ArrowKeyMovementMethod java:72)_x000D_
at android text method BaseMovementMethod handleMovementKey(BaseMovementMethod java:165)_x000D_
at android text method ArrowKeyMovementMethod handleMovementKey(ArrowKeyMovementMethod java:65)_x000D_
at android text method BaseMovementMethod onKeyDown(BaseMovementMethod java:42)_x000D_
at android widget TextView doKeyDown(TextView java:7708)_x000D_
at android widget TextView onKeyDown(TextView java:7459)_x000D_
at android view KeyEvent dispatch(KeyEvent java:2725)_x000D_
at android view View dispatchKeyEvent(View java:12572)_x000D_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widget ScrollView dispatchKeyEvent(ScrollView java:389)_x000D_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com android internal policy DecorView superDispatchKeyEvent(DecorView java:451)_x000D_
at com android internal policy PhoneWindow superDispatchKeyEvent(PhoneWindow java:1837)_x000D_
at android app Activity dispatchKeyEvent(Activity java:3409)_x000D_
at androidx core app ComponentActivity superDispatchKeyEvent(ComponentActivity java:1)_x000D_
at androidx core view KeyEventDispatcher dispatchKeyEvent(KeyEventDispatcher java:2)_x000D_
at androidx core app ComponentActivity dispatchKeyEvent(ComponentActivity java:3)_x000D_
at androidx appcompat app AppCompatActivity dispatchKeyEvent(AppCompatActivity java:4)_x000D_
at androidx appcompat view WindowCallbackWrapper dispatchKeyEvent(WindowCallbackWrapper java:1)_x000D_
at androidx appcompat app AppCompatDelegateImpl AppCompatWindowCallback dispatchKeyEvent(AppCompatDelegateImpl java:2)_x000D_
at androidx appcompat view WindowCallbackWrapper dispatchKeyEvent(WindowCallbackWrapper java:1)_x000D_
at com android internal policy DecorView dispatchKeyEvent(DecorView java:365)_x000D_
at android view ViewRootImpl ViewPostImeInputStage processKeyEvent(ViewRootImpl java:5142)_x000D_
at android view ViewRootImpl ViewPostImeInputStage onProcess(ViewRootImpl java:5010)_x000D_
at android view ViewRootImpl InputStage deliver(ViewRootImpl java:4532)_x000D_
at android view ViewRootImpl InputStage onDeliverToNext(ViewRootImpl java:4585)_x000D_
at android view ViewRootImpl InputStage forward(ViewRootImpl java:4551)_x000D_
at android view ViewRootImpl AsyncInputStage forward(ViewRootImpl java:4691)_x000D_
at android view ViewRootImpl InputStage apply(ViewRootImpl java:4559)_x000D_
at android view ViewRootImpl AsyncInputStage apply(ViewRootImpl java:4748)_x000D_
at android view ViewRootImpl InputStage deliver(ViewRootImpl java:4532)_x000D_
at android view ViewRootImpl InputStage onDeliverToNext(ViewRootImpl java:4585)_x000D_
at android view ViewRootImpl InputStage forward(ViewRootImpl java:4551)_x000D_
at android view ViewRootImpl InputStage apply(ViewRootImpl java:4559)_x000D_
at android view ViewRootImpl InputStage deliver(ViewRootImpl java:4532)_x000D_
at android view ViewRootImpl InputStage onDeliverToNext(ViewRootImpl java:4585)_x000D_
at android view ViewRootImpl InputStage forward(ViewRootImpl java:4551)_x000D_
at android view ViewRootImpl AsyncInputStage forward(ViewRootImpl java:4724)_x000D_
at android view ViewRootImpl ImeInputStage onFinishedInputEvent(ViewRootImpl java:4885)_x000D_
at android view inputmethod InputMethodManager PendingEvent run(InputMethodManager java:2571)_x000D_
at android view inputmethod InputMethodManager invokeFinishedInputEventCallback(InputMethodManager java:2081)_x000D_
at android view inputmethod InputMethodManager finishedInputEvent(InputMethodManager java:2072)_x000D_
at android view inputmethod InputMethodManager ImeInputEventSender onInputEventFinished(InputMethodManager java:2548)_x000D_
at android view InputEventSender dispatchInputEventFinished(InputEventSender java:141)_x000D_
at android os MessageQueue nativePollOnce(Native Method)_x000D_
at android os MessageQueue next(MessageQueue java:326)_x000D_
at android os Looper loop(Looper java:160)_x000D_
at android app ActivityThread main(ActivityThread java:6971)_x000D_
at java lang reflect Method invoke(Native Method)_x000D_
at com android internal os RuntimeInit MethodAndArgsCaller run(RuntimeInit java:493)_x000D_
at com android internal os ZygoteInit main(ZygoteInit java:865)_x000D_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 view ViewGroup dispatchKeyEvent(ViewGroup java:1896)_x000D_
at androidx appcompat view WindowCallbackWrapper dispatchKeyEvent(WindowCallbackWrapper java:1)_x000D_
at android view ViewRootImpl InputStage deliver(ViewRootImpl java:4532)_x000D_
at android view ViewRootImpl InputStage onDeliverToNext(ViewRootImpl java:4585)_x000D_
at android view ViewRootImpl InputStage forward(ViewRootImpl java:4551)_x000D_
at android view ViewRootImpl InputStage apply(ViewRootImpl java:4559)_x000D_
at android view ViewRootImpl InputStage deliver(ViewRootImpl java:4532)_x000D_
at android view ViewRootImpl InputStage onDeliverToNext(ViewRootImpl java:4585)_x000D_
at android view ViewRootImpl InputStage forward(ViewRootImpl java:4551)_x000D_
   </t>
  </si>
  <si>
    <t>zoho-salesiq-mobilisten-android-sample-14</t>
  </si>
  <si>
    <t>ResourcesNotFoundException in MessagesFeedbackViewHolder.java line 73</t>
  </si>
  <si>
    <t xml:space="preserve">After updating to v2 3  we are getting below crash  We have set  AppCompatDelegate setCompatVectorFromResourcesEnabled(true)  in our Application class as our app supports API 19   Please look into this issue  Thanks _x000D_
_x000D_
   _x000D_
Fatal Exception: android content res Resources NotFoundException: File res drawable salesiq vector happy xml from drawable resource ID  0x7f0803f7  If the resource you are trying to use is a vector resource  you may be referencing it in an unsupported way  See AppCompatDelegate setCompatVectorFromResourcesEnabled() for more info _x000D_
       at android content res Resources loadDrawable(Resources java:3451)_x000D_
       at android content res Resources getDrawable(Resources java:1894)_x000D_
       at com zoho livechat android ui adapters viewholder MessagesFeedbackViewHolder render(MessagesFeedbackViewHolder java:73)_x000D_
       at com zoho livechat android ui adapters MessagesAdapter onBindViewHolder(MessagesAdapter java:396)_x000D_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java:640)_x000D_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LinearLayout setChildFrame(LinearLayout java:1692)_x000D_
       at android widget LinearLayout layoutVertical(LinearLayout java:1534)_x000D_
       at android widget LinearLayout onLayout(LinearLayout java:1443)_x000D_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widget LinearLayout setChildFrame(LinearLayout java:1692)_x000D_
       at android widget LinearLayout layoutVertical(LinearLayout java:1534)_x000D_
       at android widget LinearLayout onLayout(LinearLayout java:1443)_x000D_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widget LinearLayout setChildFrame(LinearLayout java:1692)_x000D_
       at android widget LinearLayout layoutVertical(LinearLayout java:1534)_x000D_
       at android widget LinearLayout onLayout(LinearLayout java:1443)_x000D_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view ViewRootImpl performLayout(ViewRootImpl java:2151)_x000D_
       at android view ViewRootImpl performTraversals(ViewRootImpl java:1862)_x000D_
       at android view ViewRootImpl doTraversal(ViewRootImpl java:1063)_x000D_
       at android view ViewRootImpl TraversalRunnable run(ViewRootImpl java:5993)_x000D_
       at android view Choreographer CallbackRecord run(Choreographer java:761)_x000D_
       at android view Choreographer doCallbacks(Choreographer java:574)_x000D_
       at android view Choreographer doFrame(Choreographer java:544)_x000D_
       at android view Choreographer FrameDisplayEventReceiver run(Choreographer java:747)_x000D_
       at android os Handler handleCallback(Handler java:733)_x000D_
       at android os Handler dispatchMessage(Handler java:95)_x000D_
       at android os Looper loop(Looper java:136)_x000D_
       at android app ActivityThread main(ActivityThread java:5584)_x000D_
       at java lang reflect Method invokeNative(Method java)_x000D_
       at java lang reflect Method invoke(Method java:515)_x000D_
       at com android internal os ZygoteInit MethodAndArgsCaller run(ZygoteInit java:1268)_x000D_
       at com android internal os ZygoteInit main(ZygoteInit java:1084)_x000D_
       at dalvik system NativeStart main(NativeStart java)_x000D_
   _x000D_
_x000D_
   _x000D_
Caused by org xmlpull v1 XmlPullParserException: Binary XML file line  1: invalid drawable tag vector_x000D_
       at android graphics drawable Drawable createFromXmlInner(Drawable java:969)_x000D_
       at android graphics drawable Drawable createFromXml(Drawable java:913)_x000D_
       at android content res Resources loadDrawable(Resources java:3447)_x000D_
       at android content res Resources getDrawable(Resources java:1894)_x000D_
       at com zoho livechat android ui adapters viewholder MessagesFeedbackViewHolder render(MessagesFeedbackViewHolder java:73)_x000D_
       at com zoho livechat android ui adapters MessagesAdapter onBindViewHolder(MessagesAdapter java:396)_x000D_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java:640)_x000D_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widget RelativeLayout onLayout(RelativeLayout java:1055)_x000D_
       at android view View layout(View java:15033)_x000D_
       at android view ViewGroup layout(ViewGroup java:4799)_x000D_
       at android widget LinearLayout setChildFrame(LinearLayout java:1692)_x000D_
       at android widget LinearLayout layoutVertical(LinearLayout java:1534)_x000D_
       at android widget LinearLayout onLayout(LinearLayout java:1443)_x000D_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widget LinearLayout setChildFrame(LinearLayout java:1692)_x000D_
       at android widget LinearLayout layoutVertical(LinearLayout java:1534)_x000D_
       at android widget LinearLayout onLayout(LinearLayout java:1443)_x000D_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widget LinearLayout setChildFrame(LinearLayout java:1692)_x000D_
       at android widget LinearLayout layoutVertical(LinearLayout java:1534)_x000D_
       at android widget LinearLayout onLayout(LinearLayout java:1443)_x000D_
       at android view View layout(View java:15033)_x000D_
       at android view ViewGroup layout(ViewGroup java:4799)_x000D_
       at android widget FrameLayout layoutChildren(FrameLayout java:453)_x000D_
       at android widget FrameLayout onLayout(FrameLayout java:388)_x000D_
       at android view View layout(View java:15033)_x000D_
       at android view ViewGroup layout(ViewGroup java:4799)_x000D_
       at android view ViewRootImpl performLayout(ViewRootImpl java:2151)_x000D_
       at android view ViewRootImpl performTraversals(ViewRootImpl java:1862)_x000D_
       at android view ViewRootImpl doTraversal(ViewRootImpl java:1063)_x000D_
       at android view ViewRootImpl TraversalRunnable run(ViewRootImpl java:5993)_x000D_
       at android view Choreographer CallbackRecord run(Choreographer java:761)_x000D_
       at android view Choreographer doCallbacks(Choreographer java:574)_x000D_
       at android view Choreographer doFrame(Choreographer java:544)_x000D_
       at android view Choreographer FrameDisplayEventReceiver run(Choreographer java:747)_x000D_
       at android os Handler handleCallback(Handler java:733)_x000D_
       at android os Handler dispatchMessage(Handler java:95)_x000D_
       at android os Looper loop(Looper java:136)_x000D_
       at android app ActivityThread main(ActivityThread java:5584)_x000D_
       at java lang reflect Method invokeNative(Method java)_x000D_
       at java lang reflect Method invoke(Method java:515)_x000D_
       at com android internal os ZygoteInit MethodAndArgsCaller run(ZygoteInit java:1268)_x000D_
       at com android internal os ZygoteInit main(ZygoteInit java:1084)_x000D_
       at dalvik system NativeStart main(NativeStart java)_x000D_
   </t>
  </si>
  <si>
    <t>zoho-salesiq-mobilisten-android-sample-13</t>
  </si>
  <si>
    <t>NullPointerException in ChatFragment.java line 1218</t>
  </si>
  <si>
    <t xml:space="preserve">After updating to v2 3  we are getting below crash  Please look into this issue  Thanks _x000D_
_x000D_
   _x000D_
Fatal Exception: java lang NullPointerException: Attempt to invoke virtual method  void com zoho livechat android models SalesIQChat setQuestion(java lang String)  on a null object reference_x000D_
       at com zoho livechat android ui fragments ChatFragment showDepartmentListDialog(ChatFragment java:1218)_x000D_
       at com zoho livechat android ui fragments ChatFragment handleTriggerReplyMessage(ChatFragment java:1577)_x000D_
       at com zoho livechat android ui fragments ChatFragment handleSendButtonClickNoform(ChatFragment java:1145)_x000D_
       at com zoho livechat android ui fragments ChatFragment onClick(ChatFragment java:940)_x000D_
       at android view View performClick(View java:5773)_x000D_
       at android view View PerformClick run(View java:23035)_x000D_
       at android os Handler handleCallback(Handler java:836)_x000D_
       at android os Handler dispatchMessage(Handler java:103)_x000D_
       at android os Looper loop(Looper java:232)_x000D_
       at android app ActivityThread main(ActivityThread java:6806)_x000D_
       at java lang reflect Method invoke(Method java)_x000D_
       at com android internal os ZygoteInit MethodAndArgsCaller run(ZygoteInit java:1103)_x000D_
       at com android internal os ZygoteInit main(ZygoteInit java:964)_x000D_
   </t>
  </si>
  <si>
    <t>zoho-salesiq-mobilisten-android-sample-12</t>
  </si>
  <si>
    <t>NullPointerException in ChatFragment.java line 3394</t>
  </si>
  <si>
    <t xml:space="preserve">After updating to v2 3  we are getting below crash  Please look into this issue  Thanks _x000D_
_x000D_
   _x000D_
Fatal Exception: java lang NullPointerException_x000D_
       at com zoho livechat android ui fragments ChatFragment onTextChanged(ChatFragment java:3394)_x000D_
       at android widget TextView sendOnTextChanged(TextView java:9180)_x000D_
       at android widget TextView handleTextChanged(TextView java:9277)_x000D_
       at android widget TextView ChangeWatcher onTextChanged(TextView java:11807)_x000D_
       at android text SpannableStringBuilder sendTextChanged(SpannableStringBuilder java:970)_x000D_
       at android text SpannableStringBuilder replace(SpannableStringBuilder java:498)_x000D_
       at android text SpannableStringBuilder replace(SpannableStringBuilder java:437)_x000D_
       at android text SpannableStringBuilder replace(SpannableStringBuilder java:30)_x000D_
       at android view inputmethod BaseInputConnection replaceText(BaseInputConnection java:679)_x000D_
       at android view inputmethod BaseInputConnection commitText(BaseInputConnection java:197)_x000D_
       at com android internal widget EditableInputConnection commitText(EditableInputConnection java:183)_x000D_
       at com android internal view IInputConnectionWrapper executeMessage(IInputConnectionWrapper java:279)_x000D_
       at com android internal view IInputConnectionWrapper MyHandler handleMessage(IInputConnectionWrapper java:77)_x000D_
       at android os Handler dispatchMessage(Handler java:102)_x000D_
       at android os Looper loop(Looper java:146)_x000D_
       at android app ActivityThread main(ActivityThread java:5679)_x000D_
       at java lang reflect Method invokeNative(Method java)_x000D_
       at java lang reflect Method invoke(Method java:515)_x000D_
       at com android internal os ZygoteInit MethodAndArgsCaller run(ZygoteInit java:1291)_x000D_
       at com android internal os ZygoteInit main(ZygoteInit java:1107)_x000D_
       at dalvik system NativeStart main(NativeStart java)_x000D_
   _x000D_
_x000D_
Another crash for same code part has been found _x000D_
_x000D_
   _x000D_
Fatal Exception: java lang NullPointerException: Attempt to invoke virtual method  void android os Handler removeMessages(int)  on a null object reference_x000D_
       at com zoho livechat android ui fragments ChatFragment onTextChanged(ChatFragment java:3394)_x000D_
       at android widget TextView sendOnTextChanged(TextView java:9771)_x000D_
       at android widget TextView handleTextChanged(TextView java:9868)_x000D_
       at android widget TextView ChangeWatcher onTextChanged(TextView java:12576)_x000D_
       at android text SpannableStringBuilder sendTextChanged(SpannableStringBuilder java:1263)_x000D_
       at android text SpannableStringBuilder replace(SpannableStringBuilder java:575)_x000D_
       at android text SpannableStringBuilder replace(SpannableStringBuilder java:506)_x000D_
       at android text SpannableStringBuilder replace(SpannableStringBuilder java:36)_x000D_
       at android view inputmethod BaseInputConnection replaceText(BaseInputConnection java:843)_x000D_
       at android view inputmethod BaseInputConnection setComposingText(BaseInputConnection java:616)_x000D_
       at com android internal view IInputConnectionWrapper executeMessage(IInputConnectionWrapper java:396)_x000D_
       at com android internal view IInputConnectionWrapper MyHandler handleMessage(IInputConnectionWrapper java:85)_x000D_
       at android os Handler dispatchMessage(Handler java:106)_x000D_
       at android os Looper loop(Looper java:193)_x000D_
       at android app ActivityThread main(ActivityThread java:6703)_x000D_
       at java lang reflect Method invoke(Method java)_x000D_
       at com android internal os RuntimeInit MethodAndArgsCaller run(RuntimeInit java:493)_x000D_
       at com android internal os ZygoteInit main(ZygoteInit java:911)_x000D_
   </t>
  </si>
  <si>
    <t>Anuken-Mindustry-2827</t>
  </si>
  <si>
    <t>Mass drivers on multiplayer retaining their target, even if that target is destroyed</t>
  </si>
  <si>
    <t xml:space="preserve">  Note  : Do not report any new bugs directly relating to the v6 campaign  They will not be fixed or considered at this time _x000D_
_x000D_
  Platform  :  Android iOS Mac Windows Linux _x000D_
Windows _x000D_
  Build  :  The build number under the title in the main menu  Required  _x000D_
Steam 107_x000D_
  Issue  :  Explain your issue in detail  _x000D_
  image (https:  user images githubusercontent com 63363206 95005453 2ea9d180 05b6 11eb 84d7 bea3a47ca022 png)_x000D_
If one sets a mass driver target  then removes the target  the targeting circle remains_x000D_
  Steps to reproduce  :  How you happened across the issue  and what exactly you did to make the bug happen  _x000D_
Target a mass driver  Delete the targeted mass driver  DO NOT TOUCH THE TARGETING MASS DRIVER  Build new mass driver in some other location  Click on the targeting mass driver  Observe circle _x000D_
  Link(s) to mod(s) used  :  The mod repositories or zip files that are related to the issue  if applicable  _x000D_
_x000D_
  Save file  :  The save file you were playing on when the bug happened  REQUIRED for any issue that happens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</si>
  <si>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7LPdWcaW-GrowTracker-Android-240</t>
  </si>
  <si>
    <t>Git Reports Issue</t>
  </si>
  <si>
    <t>Submitter: Noah_x000D_
App crashes when I try to click on the water tab of any plant</t>
  </si>
  <si>
    <t>Anuken-Mindustry-2823</t>
  </si>
  <si>
    <t>can place thor walls on surge walls</t>
  </si>
  <si>
    <t xml:space="preserve">  Note  : Do not report any new bugs directly relating to the v6 campaign  They will not be fixed or considered at this time _x000D_
  Platform  :  Android iOS Mac Windows Linux _x000D_
windows_x000D_
  Build  :  The build number under the title in the main menu  Required  _x000D_
10200_x000D_
  Issue  :  Explain your issue in detail  _x000D_
Can place 1x1 thorium walls over 1x1 surge walls_x000D_
  image (https:  user images githubusercontent com 45698812 95002769 8895a180 058c 11eb 8d7f 2d58d6aeeed3 png)_x000D_
  Steps to reproduce  :  How you happened across the issue  and what exactly you did to make the bug happen  _x000D_
see issue_x000D_
  Link(s) to mod(s) used  :  The mod repositories or zip files that are related to the issue  if applicable  _x000D_
none_x000D_
  Save file  :  The save file you were playing on when the bug happened  REQUIRED for any issue that happens in game  _x000D_
doesn t matter_x000D_
_x000D_
  Crash report  :  The contents of relevant crash report files  REQUIRED if you are reporting a crash  _x000D_
none_x000D_
   _x000D_
_x000D_
 Place an X (no spaces) between the brackets to confirm that you have read the line below    _x000D_
   X    I have searched the closed and open issues to make sure that this problem has not already been reported   _x000D_
</t>
  </si>
  <si>
    <t>rkokkelk-homey-wear-1</t>
  </si>
  <si>
    <t>Wear app crashes on some devices</t>
  </si>
  <si>
    <t xml:space="preserve">Ik heb mijn Toon  twee Plugwise apparaten  Tado Airco en OpenWeatherMap als favoriet staan _x000D_
Deze crashen allemaal _x000D_
Zojuist even met een virtuele schakelaar getest: dat werkt wel </t>
  </si>
  <si>
    <t>Anuken-Mindustry-2812</t>
  </si>
  <si>
    <t xml:space="preserve">Mindustry crash </t>
  </si>
  <si>
    <t xml:space="preserve">_x000D_
  oh no (https:  user images githubusercontent com 60838599 94993073 0e1e4f00 0597 11eb 837f 6f2b09ed9e58 png)_x000D_
_x000D_
_x000D_
  Note  : Do not report any new bugs directly relating to the v6 campaign  They will not be fixed or considered at this time _x000D_
_x000D_
  Platform  :  Windows _x000D_
_x000D_
  Build  :  104 steam build _x000D_
_x000D_
  Issue  :  _x000D_
I run the game through Steam  First  the game is loaded  sometimes I notice it happens that when the load reaches 4   it can drop to 3   And after the download reaches 50   the game closes and an error crashes (on the screen)  I dont have mods  Here s what the logs say:_x000D_
_x000D_
_x000D_
_x000D_
arc util ArcRuntimeException: arc util ArcRuntimeException: Couldn t load dependencies of asset: sounds      ogg_x000D_
	at arc assets AssetManager handleTaskError(AssetManager java:670)_x000D_
	at arc assets AssetManager update(AssetManager java:442)_x000D_
	at arc assets AssetManager update(AssetManager java:465)_x000D_
	at mindustry ClientLauncher update(ClientLauncher java:126)_x000D_
	at arc backend sdl SdlApplication listen(SdlApplication java:158)_x000D_
	at arc backend sdl SdlApplication loop(SdlApplication java:146)_x000D_
	at arc backend sdl SdlApplication  init (SdlApplication java:52)_x000D_
	at mindustry desktop DesktopLauncher main(DesktopLauncher java:46)_x000D_
Caused by: arc util ArcRuntimeException: Couldn t load dependencies of asset: sounds      ogg_x000D_
	at arc assets AssetLoadingTask handleAsyncLoader(AssetLoadingTask java:105)_x000D_
	at arc assets AssetLoadingTask update(AssetLoadingTask java:74)_x000D_
	at arc assets AssetManager updateTask(AssetManager java:591)_x000D_
	at arc assets AssetManager update(AssetManager java:440)_x000D_
	    6 more_x000D_
Caused by: arc util ArcRuntimeException: arc util ArcRuntimeException: File not found: sounds      ogg (internal)_x000D_
	at arc util async AsyncResult get(AsyncResult java:34)_x000D_
	at arc assets AssetLoadingTask handleAsyncLoader(AssetLoadingTask java:103)_x000D_
	    9 more_x000D_
Caused by: arc util ArcRuntimeException: File not found: sounds      ogg (internal)_x000D_
	at arc files Fi read(Fi java:200)_x000D_
	at arc backend sdl audio Ogg Sound  init (Ogg java:52)_x000D_
	at arc backend sdl audio ALAudio newSound(ALAudio java:88)_x000D_
	at arc backend sdl audio ALAudio newSound(ALAudio java:15)_x000D_
	at arc assets loaders SoundLoader loadAsync(SoundLoader java:35)_x000D_
	at arc assets loaders SoundLoader loadAsync(SoundLoader java:15)_x000D_
	at arc assets AssetLoadingTask call(AssetLoadingTask java:53)_x000D_
	at arc assets AssetLoadingTask call(AssetLoadingTask java:17)_x000D_
	at java util concurrent FutureTask run(FutureTask java:266)_x000D_
	at java util concurrent ThreadPoolExecutor runWorker(ThreadPoolExecutor java:1142)_x000D_
	at java util concurrent ThreadPoolExecutor Worker run(ThreadPoolExecutor java:617)_x000D_
	at java lang Thread run(Thread java:745)_x000D_
_x000D_
  _x000D_
_x000D_
  Steps to reproduce  :  How you happened across the issue  and what exactly you did to make the bug happen  _x000D_
_x000D_
  Link(s) to mod(s) used  :  The mod repositories or zip files that are related to the issue  if applicable  _x000D_
_x000D_
  Save file  :  The save file you were playing on when the bug happened  REQUIRED for any issue that happens in game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</si>
  <si>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zoho-salesiq-mobilisten-android-sample-9</t>
  </si>
  <si>
    <t>NullPointerException in ChatFragment.java</t>
  </si>
  <si>
    <t xml:space="preserve">After updating to v2 3  we are getting below crash  Please look into this issue  Thanks _x000D_
 _x000D_
   _x000D_
Fatal Exception: java lang NullPointerException: Attempt to invoke virtual method  void android os Handler removeMessages(int)  on a null object reference_x000D_
       at com zoho livechat android ui fragments ChatFragment onTextChanged(ChatFragment java:3394)_x000D_
       at android widget TextView sendOnTextChanged(TextView java:9771)_x000D_
       at android widget TextView handleTextChanged(TextView java:9868)_x000D_
       at android widget TextView ChangeWatcher onTextChanged(TextView java:12576)_x000D_
       at android text SpannableStringBuilder sendTextChanged(SpannableStringBuilder java:1263)_x000D_
       at android text SpannableStringBuilder replace(SpannableStringBuilder java:575)_x000D_
       at android text SpannableStringBuilder replace(SpannableStringBuilder java:506)_x000D_
       at android text SpannableStringBuilder replace(SpannableStringBuilder java:36)_x000D_
       at android view inputmethod BaseInputConnection replaceText(BaseInputConnection java:843)_x000D_
       at android view inputmethod BaseInputConnection setComposingText(BaseInputConnection java:616)_x000D_
       at com android internal view IInputConnectionWrapper executeMessage(IInputConnectionWrapper java:396)_x000D_
       at com android internal view IInputConnectionWrapper MyHandler handleMessage(IInputConnectionWrapper java:85)_x000D_
       at android os Handler dispatchMessage(Handler java:106)_x000D_
       at android os Looper loop(Looper java:193)_x000D_
       at android app ActivityThread main(ActivityThread java:6703)_x000D_
       at java lang reflect Method invoke(Method java)_x000D_
       at com android internal os RuntimeInit MethodAndArgsCaller run(RuntimeInit java:493)_x000D_
       at com android internal os ZygoteInit main(ZygoteInit java:911)_x000D_
   _x000D_
_x000D_
</t>
  </si>
  <si>
    <t>TeamNewPipe-NewPipe-4368</t>
  </si>
  <si>
    <t>Setting "Minimize on app switch: Minimize to popup player" should not change behavior of Close button at the end of a video</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</si>
  <si>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Go to Settings    Video   audio    Minimize on app switch    Minimize to popup player _x000D_
2  Play a video and go to the end  Let the end screen appear _x000D_
3  Click the  kbd Close  kbd  button in the center of the screen _x000D_
_x000D_
    Expected behavior_x000D_
     Tell us what you expect to happen     _x000D_
_x000D_
The video should not be popped out  It should be closed  just as when using the back button _x000D_
_x000D_
I don t think the behavior of the  kbd Close  kbd  button should be impacted by this setting _x000D_
_x000D_
    Actual behaviour_x000D_
     Tell us what happens instead     _x000D_
_x000D_
The video is popped out to the popup player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I recorded a video  First I show the usual behavior when the setting is set to  None   Then I change the setting and show how the video pops out _x000D_
_x000D_
 newpipe mp4 zip (https:  github com TeamNewPipe NewPipe files 5320755 newpipe mp4 zip)_x000D_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N A_x000D_
</t>
  </si>
  <si>
    <t>TeamNewPipe-NewPipe-4366</t>
  </si>
  <si>
    <t>Most content crash on Huawei nova 5t</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</si>
  <si>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_x000D_
    Steps to reproduce the bug_x000D_
_x000D_
1  Choose a video_x000D_
2  Click on it or press longer to enter the other reading options  Choose any of them (front end or background)_x000D_
3  Crash  When I try turning back after the error message  I land on the trend page _x000D_
_x000D_
     If you can t cause the bug to show up again reliably (and hence don t have a proper set of steps to give us)  please still try to give as many details as possible on how you think you encountered the bug      It crashes almost systematically  _x000D_
_x000D_
    Expected behavior_x000D_
     Tell us what you expect to happen      Read the videos and enjoy good music  )_x000D_
_x000D_
    Actual behaviour_x000D_
     Tell us what happens instead      Crash notice and when turning back  I land directly on the landing page (skipping the search results page) _x000D_
Some less viewed videos do work (a theory could be that are not monetized ) _x000D_
If I listen to a background video  those which cannot be read will be deleted from the playlist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Link to a video screen: https:  streamable com 4n4ark_x000D_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Exception_x000D_
    User Action:   requested stream_x000D_
    Request:   https:  www youtube com watch v b7rfb3srnS0_x000D_
    Content Language:   fr FR_x000D_
    Service:   YouTube_x000D_
    Version:   0 19 3_x000D_
    OS:   Linux HUAWEI YAL L21HEEA HWYAL:10 HUAWEIYAL L61 10 1 0 232C431:user release keys 10   29_x000D_
_x000D_
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java:192)_x000D_
	at org schabi newpipe extractor stream StreamInfo getInfo(StreamInfo java:70)_x000D_
	at org schabi newpipe extractor stream StreamInfo getInfo(StreamInfo java:62)_x000D_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maybe MaybeFromSingle subscribeActual(MaybeFromSingle java:41)_x000D_
	at io reactivex Maybe subscribe(Maybe java:4154)_x000D_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java:14479)_x000D_
	at io reactivex internal operators flowable FlowableElementAtMaybe subscribeActual(FlowableElementAtMaybe java:36)_x000D_
	at io reactivex Maybe subscribe(Maybe java:4154)_x000D_
	at io reactivex internal operators maybe MaybeToSingle subscribeActual(MaybeToSingle java:46)_x000D_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java:929)_x000D_
_x000D_
   _x000D_
  p   details _x000D_
 hr _x000D_
_x000D_
</t>
  </si>
  <si>
    <t>TeamNewPipe-NewPipe-4363</t>
  </si>
  <si>
    <t xml:space="preserve">  02 10 20 14 54 09 (https:  user images githubusercontent com 50659607 94909299 97168700 04c0 11eb 85bb 427ef0fc6b0e jpg)_x000D_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 0 20 0 RC4 even i tried with stable version 0 19 8_x000D_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</si>
  <si>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92lleo-WhatsappWebToGo-32</t>
  </si>
  <si>
    <t>[Mail request] App Crash</t>
  </si>
  <si>
    <t>Hi Leonhard  thanks for the new update of WhatsApp Web to Go _x000D_
I just noticed that this new version crashes everytime I hit  Toggle Appbar Visibility   could you please check  _x000D_
v1 6 2</t>
  </si>
  <si>
    <t>NekoX-Dev-NekoX-188</t>
  </si>
  <si>
    <t>Calling Crash &amp; Proxy On Mini Versions Too</t>
  </si>
  <si>
    <t xml:space="preserve">  Describe the bug  _x000D_
Nekogram crashes as soon as the call has been connected  And the mini version also has proxy which is redundent  There is full version for that _x000D_
_x000D_
  To Reproduce  _x000D_
Steps to reproduce the behavior:_x000D_
Just try to call a person by any means you will see it crashes_x000D_
_x000D_
  Expected behavior  _x000D_
Calling should work flawlessly and there shouldn t be any proxy on mini versions_x000D_
_x000D_
  Screenshots  _x000D_
Sorry can t perform at this moment_x000D_
_x000D_
  Smartphone (please complete the following information):  _x000D_
   Device: Pixel 4XL_x000D_
   OS: Android 11_x000D_
</t>
  </si>
  <si>
    <t>Anuken-Mindustry-2797</t>
  </si>
  <si>
    <t>Meltdown does not have its laser when enclosed by shield, steals other bullets</t>
  </si>
  <si>
    <t xml:space="preserve">  Note  : Do not report any new bugs directly relating to the v6 campaign  They will not be fixed or considered at this time _x000D_
_x000D_
  Platform  :  Android iOS Mac Windows Linux _x000D_
_x000D_
Windows_x000D_
_x000D_
  Build  :  The build number under the title in the main menu  Required  _x000D_
_x000D_
BE 10149_x000D_
_x000D_
  Issue  :  Explain your issue in detail  _x000D_
_x000D_
The laser of meltdown will fire for a split second when under the shield of the T5 support aircraft with no weapons (im sorry i dont know the names) Furthermore when the beam is deleted it seems that the meltdown will steal the projectiles of other firing turrets at random that DO damage the shield  I have tested with spectre  fuse  salvo and ripple  it stole projectiles from all guns except ripple _x000D_
_x000D_
On a whim i decided to test to see if the same thing happened with the T4 Ground support mech since it is essentially a meltdown laser but shorter and green  The same thing happens to it_x000D_
_x000D_
_x000D_
  on further testing of bullets the meltdown is also stealing projectiles fired from dagger units as well as my nova being used to control said dagger units  Fortress seems unaffected however i have not tried a larger group   but based on it not stealing ripple fire it seems to just ignore artillery type bullets completely  Edit: i lied  it is stealing the explosion effect of the artillery bullets not the bullet firing  When the bullet explodes on the ground or whatever the effect happens at meltdown tip like everything else_x000D_
_x000D_
_x000D_
  Steps to reproduce  :  How you happened across the issue  and what exactly you did to make the bug happen  _x000D_
_x000D_
https:  youtu be KYtLU0zDfjQ_x000D_
_x000D_
  Link(s) to mod(s) used  :  The mod repositories or zip files that are related to the issue  if applicable  _x000D_
_x000D_
  Save file  :  The save file you were playing on when the bug happened  REQUIRED for any issue that happens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</si>
  <si>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Anuken-Mindustry-2795</t>
  </si>
  <si>
    <t>Bleeding Edge 10119, 10135, 10149 crashes in one minute after startup</t>
  </si>
  <si>
    <t xml:space="preserve">  Note  : Do not report any new bugs directly relating to the v6 campaign  They will not be fixed or considered at this time _x000D_
_x000D_
  Platform  :  Android iOS Mac Windows Linux _x000D_
Linux(OpenSUSE Leap 15 1)_x000D_
  Build  :  The build number under the title in the main menu  Required  _x000D_
10119  10135  10149_x000D_
  Issue  :  Explain your issue in detail  _x000D_
After starting the game it crashes even if I just start it and wait before the menu loads_x000D_
  Steps to reproduce  :  How you happened across the issue  and what exactly you did to make the bug happen  _x000D_
I ran  java  jar Mindustry BE Desktop 101XX jar  then wait for startup  It crashed during loading  Then I tried to start the game again  Then after the menu is loaded I tried to play the campaign  I managed to build a few copper drills before the game crashed again  I tried to download the newest build and run it  But it also crashed in menu  Then I wait some time and download the newest build again and run it  but it crashed during the startup too _x000D_
  Link(s) to mod(s) used  :  The mod repositories or zip files that are related to the issue  if applicable  _x000D_
Some mods  but all of them are for 104 10 and turned off _x000D_
  Save file  :  The save file you were playing on when the bug happened  REQUIRED for any issue that happens in game  _x000D_
None  game crashed before the autosave_x000D_
  Crash report  :  The contents of relevant crash report files  REQUIRED if you are reporting a crash  _x000D_
https:  pastebin com AKGsEAzL_x000D_
https:  pastebin com CgGP3PGV_x000D_
   _x000D_
_x000D_
 Place an X (no spaces) between the brackets to confirm that you have read the line below    _x000D_
   x    I have searched the closed and open issues to make sure that this problem has not already been reported   _x000D_
_x000D_
   _x000D_
_x000D_
P S  Older builds(9XXX) are working normally </t>
  </si>
  <si>
    <t>Anuken-Mindustry-2794</t>
  </si>
  <si>
    <t>Builder drones dont connect bridges</t>
  </si>
  <si>
    <t xml:space="preserve">  Note  : Do not report any new bugs directly relating to the v6 campaign  They will not be fixed or considered at this time _x000D_
_x000D_
  Platform  :  Windows _x000D_
_x000D_
  Build  : 10140  _x000D_
_x000D_
  Issue  :  When builder drones construct your bridges they don t connect _x000D_
_x000D_
  Steps to reproduce  :  Create a custom Map and get some Polys now build bridges outside of your building radius  When you build them they will connect  If the Polys build them they won t _x000D_
_x000D_
  Link(s) to mod(s) used  :  The mod repositories or zip files that are related to the issue  if applicable  _x000D_
_x000D_
  Save file  :  The save file you were playing on when the bug happened  REQUIRED for any issue that happens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</si>
  <si>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manimaran96-Spell4Wiki-29</t>
  </si>
  <si>
    <t>Crash - Failed resolution in ApiClient.java:61</t>
  </si>
  <si>
    <t xml:space="preserve">  Describe the bug  _x000D_
  Crash happened all 7 0 android os and all Redmi Note 4 devices when opening the app _x000D_
  Two different devices happened same issue _x000D_
_x000D_
  Basic information  _x000D_
  Spell4Wiki Version: v1 1 0_x000D_
  Android Version: 7 0_x000D_
  Device Name: Redmi Note 4_x000D_
_x000D_
   Reported By     Ganesh_x000D_
_x000D_
  crash redmi note 4 (https:  user images githubusercontent com 13943321 94852219 2b440800 0447 11eb 9dc8 ce83a8afdda5 jpeg)_x000D_
  crash redmi note 4 d1 (https:  user images githubusercontent com 13943321 94852222 2da66200 0447 11eb 8855 145d3a6be5fa jpeg)_x000D_
  crash redmi note 4 d2 (https:  user images githubusercontent com 13943321 94852228 2f702580 0447 11eb 989d 0f370cf4ced2 jpeg)_x000D_
</t>
  </si>
  <si>
    <t>lfuelling-lrkFM-94</t>
  </si>
  <si>
    <t>Crash when reading tar archives</t>
  </si>
  <si>
    <t xml:space="preserve">  Describe the bug  _x000D_
The application crashes while extracting a   tar  file  _x000D_
_x000D_
This issue was reported using GooglePlay _x000D_
Original text:_x000D_
  Crashes when opens tar file_x000D_
_x000D_
  To Reproduce  _x000D_
 not provided _x000D_
_x000D_
  Expected behavior  _x000D_
The app should handle   tar  files without issues _x000D_
_x000D_
  Screenshots  _x000D_
 not provided _x000D_
_x000D_
  Smartphone (please complete the following information):  _x000D_
   Device:  not provided _x000D_
   OS:  not provided _x000D_
   Browser  not provided _x000D_
   Version 2 3 3_x000D_
</t>
  </si>
  <si>
    <t>mmuhamadamirzaidi-OxygenToGo-2</t>
  </si>
  <si>
    <t>Fix App Crash When Location Permission Allowed</t>
  </si>
  <si>
    <t xml:space="preserve">Please help to fix the crash when allowing permission for the location after a fresh installation </t>
  </si>
  <si>
    <t>Anuken-Mindustry-2789</t>
  </si>
  <si>
    <t>Land T4 &amp; 5 wrong laser sound</t>
  </si>
  <si>
    <t xml:space="preserve">  Note  : Do not report any new bugs directly relating to the v6 campaign  They will not be fixed or considered at this time _x000D_
_x000D_
  Platform  :  Android iOS Mac Windows Linux _x000D_
Linux  may happen on other_x000D_
  Build  :  The build number under the title in the main menu  Required  _x000D_
107_x000D_
  Issue  :  Explain your issue in detail  _x000D_
The T4 and T5 ground support units have a standard laser cannon sound _x000D_
  Steps to reproduce  :  How you happened across the issue  and what exactly you did to make the bug happen  _x000D_
Build a T4 or T5 ground support unit from Nova and fire its laser _x000D_
  Link(s) to mod(s) used  :  The mod repositories or zip files that are related to the issue  if applicable  _x000D_
X_x000D_
  Save file  :  The save file you were playing on when the bug happened  REQUIRED for any issue that happens in game  _x000D_
Will happen on any save file_x000D_
  Crash report  :  The contents of relevant crash report files  REQUIRED if you are reporting a crash  _x000D_
X_x000D_
   _x000D_
_x000D_
 Place an X (no spaces) between the brackets to confirm that you have read the line below    _x000D_
   x    I have searched the closed and open issues to make sure that this problem has not already been reported   _x000D_
</t>
  </si>
  <si>
    <t>Anuken-Mindustry-2788</t>
  </si>
  <si>
    <t>Poly building bug</t>
  </si>
  <si>
    <t xml:space="preserve">  Note  : Do not report any new bugs directly relating to the v6 campaign  They will not be fixed or considered at this time _x000D_
_x000D_
  Platform  :  Android iOS Mac Windows Linux _x000D_
Windows_x000D_
  Build  :  The build number under the title in the main menu  Required  _x000D_
107_x000D_
  Issue  :  Explain your issue in detail  _x000D_
Enemy poly building air_x000D_
  Steps to reproduce  :  How you happened across the issue  and what exactly you did to make the bug happen  _x000D_
while playing attack on a server  there was enemy poly that was respawning from enemy core and was flying to destroyed ripple trying to fix it  After it died again  i put conveyor on ripple s place  and it began fixing air below without bilding anything _x000D_
  dsads (https:  user images githubusercontent com 72205010 94810904 7db90080 0416 11eb 89e2 46766bdaf5f5 png)_x000D_
_x000D_
  Link(s) to mod(s) used  :  The mod repositories or zip files that are related to the issue  if applicable  _x000D_
No mods used_x000D_
  Save file  :  The save file you were playing on when the bug happened  REQUIRED for any issue that happens in game  _x000D_
I did nt saved cause i didn t knew it was requred before map changed_x000D_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</si>
  <si>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Anuken-Mindustry-2787</t>
  </si>
  <si>
    <t>Crawlers from wave go afk</t>
  </si>
  <si>
    <t xml:space="preserve">  Note  : Do not report any new bugs directly relating to the v6 campaign  They will not be fixed or considered at this time _x000D_
_x000D_
  Platform  : Windows_x000D_
_x000D_
  Build  :  The build number under the title in the main menu  Required  _x000D_
Steam alpha  106 iirc (currently still ingame)_x000D_
  Issue  :  Explain your issue in detail  _x000D_
After just over 400 waves in a custom map  the crawlers end up just standing around just outside of their spawn  cause unknown  perhaps a persistent belt that is nonexistent that they are trying to get to  or perhaps no optimal path detected by them  They do however go to new things that are placed near enough to them _x000D_
  Steps to reproduce  :  How you happened across the issue  and what exactly you did to make the bug happen  _x000D_
Lots of belt spam  while my friend was building walls and some factory related stuff the crawlers suddenly broke _x000D_
  Link(s) to mod(s) used  :  The mod repositories or zip files that are related to the issue  if applicable  _x000D_
None _x000D_
  Save file  :  The save file you were playing on when the bug happened  REQUIRED for any issue that happens in game  _x000D_
not entirely sure how to share the file   _x000D_
 crawlersbugged zip (https:  github com Anuken Mindustry files 5311155 crawlersbugged zip)_x000D_
_x000D_
_x000D_
  Crash report  :  The contents of relevant crash report files  REQUIRED if you are reporting a crash  _x000D_
N A_x000D_
   _x000D_
_x000D_
 Place an X (no spaces) between the brackets to confirm that you have read the line below    _x000D_
   X    I have searched the closed and open issues to make sure that this problem has not already been reported   _x000D_
</t>
  </si>
  <si>
    <t>Anuken-Mindustry-2779</t>
  </si>
  <si>
    <t>Foreshadow Damage</t>
  </si>
  <si>
    <t xml:space="preserve">  Note  : Do not report any new bugs directly relating to the v6 campaign  They will not be fixed or considered at this time _x000D_
_x000D_
  Platform  :  Android iOS Mac Windows Linux _x000D_
Windows_x000D_
  Build  :  The build number under the title in the main menu  Required  _x000D_
BE 10110_x000D_
  Issue  :  Explain your issue in detail  _x000D_
Foreshadow ammo damage fails to show up under block details  _x000D_
  Steps to reproduce  :  How you happened across the issue  and what exactly you did to make the bug happen  _x000D_
Open Foreshadow s block details and check under ammo  _x000D_
  Link(s) to mod(s) used  :  The mod repositories or zip files that are related to the issue  if applicable  _x000D_
N A_x000D_
  Save file  :  The save file you were playing on when the bug happened  REQUIRED for any issue that happens in game  _x000D_
Universally applicable  happens on all saves_x000D_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</si>
  <si>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technojam-AndroidCustomView-8</t>
  </si>
  <si>
    <t>[BUG] ProgressView text alignment</t>
  </si>
  <si>
    <t xml:space="preserve">    Before reporting an issue I am agreeing to the points below_x000D_
   x  I m running my app on SDK level   21 _x000D_
   x  Target SDK version on my machine is 28 _x000D_
   x  I haven t altered the default Gradle configuration for the app _x000D_
_x000D_
    Description_x000D_
The text in the progress view is not aligned and scalable  The main issue is with the reference from which it is drawn  It is required to be positioned correctly _x000D_
_x000D_
    Steps to reproduce the behavior:_x000D_
1  Go to  activity main xml (https:  github com technojam AndroidCustomView blob master app src main res layout activity main xml) line number 14 _x000D_
2  Alter the layout width and layout height to see how text behaves_x000D_
3  There is no app crash _x000D_
_x000D_
    Expected behavior_x000D_
Centered between the circle independent of layout width and layout height maintaining the aspect ratio _x000D_
_x000D_
    Screenshot_x000D_
 img src  https:  raw githubusercontent com technojam AndroidCustomView master screenshots ss 1 png _x000D_
width  150  height  275  _x000D_
_x000D_
    Platform Info_x000D_
   Device:  Pixel XL 2 emulator _x000D_
   OS:  android oreo _x000D_
_x000D_
</t>
  </si>
  <si>
    <t>react-native-share-react-native-share-882</t>
  </si>
  <si>
    <t>React Native callback type only permits a single invocation from native code</t>
  </si>
  <si>
    <t xml:space="preserve">    Steps to reproduce_x000D_
_x000D_
When press share action sheet will appear_x000D_
Then select any one of the other application show  send  and  cancel  option_x000D_
When press cancel button stoped the action and when close the actionsheet then app getting crashed_x000D_
_x000D_
    Expected behaviour_x000D_
have to close share action sheet_x000D_
_x000D_
    Actual behaviour_x000D_
App crashed_x000D_
_x000D_
    Environment_x000D_
    React Native version  : 0 59 9_x000D_
   platform version  : iOS 11 3 3_x000D_
_x000D_
    react native share_x000D_
version 1 2 1_x000D_
also checked with latest version 4 0 0_x000D_
</t>
  </si>
  <si>
    <t>NekoX-Dev-NekoX-176</t>
  </si>
  <si>
    <t>[Bug] Crash on key-exchange when calling someone</t>
  </si>
  <si>
    <t xml:space="preserve">  Describe the bug  _x000D_
I ve tried calling some people with the latest NekoX client  but apparently it crashes when calling getting called _x000D_
_x000D_
  To Reproduce  _x000D_
Steps to reproduce the behavior:_x000D_
1  Go to the profile of person you want to call  or get called_x000D_
1 1 Click on voice or video call button (happens with both) in the top right corner (only if you plan to call)_x000D_
2  Wait for it to ring and the other person to accept the call _x000D_
3  See the message  Exchanging encryption keys  before crashing and being returned to the launcher  (Other side gets the  disconected  beeping tone with the same key exchange message before the call times out or gets hung up)_x000D_
_x000D_
  Logcat  _x000D_
Crash log attached in issue    though  not sure if this is enough  ask me for the full log if desired since I tried to only attach the specific crash  _x000D_
 NekoX 1601444532911 log (https:  github com NekoX Dev NekoX files 5303370 NekoX 1601444532911 log)_x000D_
_x000D_
_x000D_
  Expected behavior  _x000D_
The call goes through  the other person s client rings  the other side accepts  e2ee keys exchanged and call initialized without any crashes_x000D_
_x000D_
  Screenshots:  _x000D_
Can t take a screenshot sadly  but the other side displays the message  Exchanging encryption keys     as it s disconnected on the crash of the other client _x000D_
_x000D_
  Smartphone (please complete the following information):  _x000D_
   Device: Galaxy S8 (dreamlte)_x000D_
   OS: Lineage 17 1_x000D_
   Version: 7 0 1 3_x000D_
_x000D_
  Additional context  _x000D_
Tried both with a personal fork (modded for different gallery directory than stock NekoX) and the latest releases on this github repo  both with same results_x000D_
</t>
  </si>
  <si>
    <t>SecUSo-privacy-friendly-qr-scanner-83</t>
  </si>
  <si>
    <t>Fix aztec encoding #76</t>
  </si>
  <si>
    <t xml:space="preserve">Fixes  76 _x000D_
High probability that it also fixes  67 (no hints how to reproduce the error given)_x000D_
_x000D_
The app crashes during writing encoding the decoded content for the history _x000D_
AztecWriter from ZING is reading the attribut ERROR CORRECTION in a wrong way  so it is partly a bug of zxing  However this attribut should never be added passed on to the aztec reader </t>
  </si>
  <si>
    <t>Anuken-Mindustry-2766</t>
  </si>
  <si>
    <t>Crash on clicking button 'Skip' campaign 6</t>
  </si>
  <si>
    <t xml:space="preserve">  Platform  :  Windows _x000D_
_x000D_
  Build  :  alpha build 106 _x000D_
_x000D_
  Issue  : Game crashes in campaign on pressing button   Skip  when sector time is out or another sector is attacked _x000D_
java lang NullPointerException_x000D_
	at mindustry game Universe runTurn(Universe java:175)_x000D_
	at mindustry ui fragments HudFragment lambda build 53(HudFragment java:294)_x000D_
_x000D_
_x000D_
  Steps to reproduce  : Play until condition to switch sector appears with 2 buttons:  skip  and  switch sector   Press skip _x000D_
_x000D_
  Link(s) to mod(s) used  : No mods _x000D_
_x000D_
  Save file  :  sector serpulo 6 msav backup zip (https:  github com Anuken Mindustry files 5302244 sector serpulo 6 msav backup zip)_x000D_
_x000D_
  Crash report  :  crash report 09 30 2020 01 37 21 txt (https:  github com Anuken Mindustry files 5302236 crash report 09 30 2020 01 37 21 txt)_x000D_
_x000D_
   _x000D_
_x000D_
 Place an X (no spaces) between the brackets to confirm that you have read the line below    _x000D_
   X    I have searched the closed and open issues to make sure that this problem has not already been reported   _x000D_
</t>
  </si>
  <si>
    <t>fennifith-Alarmio-141</t>
  </si>
  <si>
    <t>Alarm time remaining strings do not update without reloading page</t>
  </si>
  <si>
    <t xml:space="preserve">    _x000D_
Please verify that there are no duplicate issues before creating one  and check that you are using the latest version of the app _x000D_
For crash reports and other bugs and errors  please use the template below to add your device info so that I can find the cause more easily _x000D_
For the angels that are contributing   building the app yourself  please read CONTRIBUTING md (in   github) before reporting any issues as there are certain instructions you must follow to compile a working version of the app _x000D_
   _x000D_
_x000D_
The text string that reports when an alarm will next fire does not seem to update automatically  It will update if the app is closed and re opened  but it will not update if the app is kept open _x000D_
_x000D_
   Device Info_x000D_
_x000D_
  Brand:  OnePlus _x000D_
  Model name:  3T _x000D_
  Android version:  LineageOS 17 1 (Android 10) _x000D_
_x000D_
   Steps to Reproduce_x000D_
_x000D_
  Add an alarm and enable it_x000D_
  Observe the string underneath the alarm (e g   2 hours and 40 minutes from now )_x000D_
  Keep the alarm page open and wait at least one minute_x000D_
  Observe that the string has not updated_x000D_
</t>
  </si>
  <si>
    <t>TeamNewPipe-NewPipe-4355</t>
  </si>
  <si>
    <t>background player resume issue</t>
  </si>
  <si>
    <t xml:space="preserve">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use a bluetooth speaker or headphone and open a video and use background player to play it wirelessly _x000D_
2  turn of the speaker headphone_x000D_
3  turn on the speaker   headphone and click the resume button_x000D_
result: no matte how many times you clicked  the audio won t resume   looks the play button is freezed _x000D_
all you can do is close everything and restart newpipe and find that video and redo from step1_x000D_
i have this issue everything when i want to listen some music when i  m driving  I use my car speaker in bluetooth mode _x000D_
   _x000D_
1  use a bluetooth speaker or headphone and open a video and use background player to play it wirelessly _x000D_
2  turn of the speaker headphone_x000D_
3  turn on the speaker   headphone and click the resume button_x000D_
result: no matte how many times you clicked  the audio won t resume   looks the play button is freezed _x000D_
all you can do is close everything and restart newpipe and find that video and redo from step1_x000D_
i have this issue everything when i want to listen some music when i  m driving  After i park my car and come back start again  _x000D_
I use my car speaker in bluetooth mode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</si>
  <si>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tchapgouv-tchap-android-legacy-631</t>
  </si>
  <si>
    <t>Tchap crashes on invalid access token</t>
  </si>
  <si>
    <t xml:space="preserve">To reproduce:_x000D_
_x000D_
1   Connect an account on 2 devices  at least one Android _x000D_
2   On the Android device  put the application in background_x000D_
3   Remove this Android device from the other device_x000D_
4   Resume Tchap on the Android device  most of the time the app crashes (sometimes the app restarts and crashes again until the device is lock or restart)_x000D_
</t>
  </si>
  <si>
    <t>inaturalist-iNaturalistAndroid-916</t>
  </si>
  <si>
    <t xml:space="preserve">https:  console firebase google com u 2 project inaturalist ios crashlytics app android:org inaturalist android issues ecabbe492596cf67c5d0f5dfcc79e73b_x000D_
_x000D_
   _x000D_
Fatal Exception: java lang NullPointerException: Attempt to invoke virtual method  java lang String android net Uri toString()  on a null object reference_x000D_
       at org inaturalist android ObservationEditor prepareCapturedPhoto(ObservationEditor java:2845)_x000D_
       at org inaturalist android ObservationEditor access 4300(ObservationEditor java:130)_x000D_
       at org inaturalist android ObservationEditor 35 run(ObservationEditor java:2698)_x000D_
       at java lang Thread run(Thread java:761)_x000D_
   </t>
  </si>
  <si>
    <t>inaturalist-iNaturalistAndroid-915</t>
  </si>
  <si>
    <t>NullPointerException in LoggingUtils.initializeLogger</t>
  </si>
  <si>
    <t xml:space="preserve">https:  console firebase google com u 2 project inaturalist ios crashlytics app android:org inaturalist android issues 28ddc2becf7ed8321c221990f1df176a_x000D_
_x000D_
   _x000D_
Caused by java lang NullPointerException: Attempt to invoke virtual method  java lang String java io File getAbsolutePath()  on a null object reference_x000D_
       at org inaturalist android LoggingUtils initializeLogger(LoggingUtils java:63)_x000D_
       at org inaturalist android INaturalistApp onCreate(INaturalistApp java:215)_x000D_
       at android app Instrumentation callApplicationOnCreate(Instrumentation java:1037)_x000D_
   </t>
  </si>
  <si>
    <t>inaturalist-iNaturalistAndroid-914</t>
  </si>
  <si>
    <t>IllegalArgumentException in ObservationEditor.takePhoto</t>
  </si>
  <si>
    <t xml:space="preserve">https:  console firebase google com u 2 project inaturalist ios crashlytics app android:org inaturalist android issues c71d72f9637bff6355d5b116851f9fbf_x000D_
_x000D_
   _x000D_
Fatal Exception: java lang IllegalArgumentException: Failed to find configured root that contains  storage 0C02 B78E Android data org inaturalist android cache 9f194f87 0ff2 4d52 bca1 786ba55ee3d9 jpeg_x000D_
       at androidx core content FileProvider SimplePathStrategy getUriForFile(FileProvider java:744)_x000D_
       at androidx core content FileProvider getUriForFile(FileProvider java:418)_x000D_
       at org inaturalist android ObservationEditor takePhoto(ObservationEditor java:1183)_x000D_
       at org inaturalist android ObservationEditor access 2800(ObservationEditor java:130)_x000D_
       at org inaturalist android ObservationEditor 49 onClick(ObservationEditor java:4033)_x000D_
       at android view View performClick(View java:5646)_x000D_
       at android view View PerformClick run(View java:22473)_x000D_
       at android os Handler handleCallback(Handler java:761)_x000D_
       at android os Handler dispatchMessage(Handler java:98)_x000D_
       at android os Looper loop(Looper java:156)_x000D_
       at android app ActivityThread main(ActivityThread java:6523)_x000D_
   _x000D_
_x000D_
Weirdly this only seems to be happening to people on Huawei phones </t>
  </si>
  <si>
    <t>react-native-share-react-native-share-879</t>
  </si>
  <si>
    <t>App crash (cannot read property Version of undefined)</t>
  </si>
  <si>
    <t xml:space="preserve">    Steps to reproduce_x000D_
1  Update to react native share v4_x000D_
2  Clean project (node modules  pod install  npm start      reset cache  ecc)_x000D_
3  Build and launch (simulator or real device)_x000D_
_x000D_
    Expected behaviour_x000D_
It works_x000D_
_x000D_
    Actual behaviour_x000D_
App crashed_x000D_
_x000D_
    Environment_x000D_
    React Native version  : 0 60 6_x000D_
    React Native platform   platform version  : iOS 14 0 on simulator  Android 11 on Google Pixel 4  iOS 13 5 1 on iPhone X_x000D_
_x000D_
    react native share_x000D_
  Version  :  master  (version 4)_x000D_
_x000D_
_x000D_
With debugger  I discovered the problem is in these lines:_x000D_
_x000D_
  const ANDROID KIT KAT SDK VERSION   19 _x000D_
  const androidPermissionRequestRequired   Platform constants Version   ANDROID KIT KAT SDK VERSION _x000D_
_x000D_
Cannot read property Version of undefined_x000D_
_x000D_
I hope there is everything to reproduce the error </t>
  </si>
  <si>
    <t>nextcloud-android-7029</t>
  </si>
  <si>
    <t>NC app crashed when turning the phone to landscape</t>
  </si>
  <si>
    <t xml:space="preserve">    Steps to reproduce_x000D_
1  Open picture_x000D_
2  Change phone from portrait to landscape_x000D_
3  Crash_x000D_
_x000D_
    Expected behaviour_x000D_
Show picture in landscape_x000D_
_x000D_
    Actual behaviour_x000D_
The app crashed_x000D_
_x000D_
    Environment data_x000D_
             CAUSE OF ERROR             _x000D_
_x000D_
java lang IllegalArgumentException: Scale must be within the range of minScale and maxScale_x000D_
	at com github chrisbanes photoview PhotoViewAttacher setScale(PhotoViewAttacher java:456)_x000D_
	at com github chrisbanes photoview PhotoViewAttacher setScale(PhotoViewAttacher java:446)_x000D_
	at com github chrisbanes photoview PhotoViewAttacher setScale(PhotoViewAttacher java:442)_x000D_
	at com github chrisbanes photoview PhotoView setScale(PhotoView java:230)_x000D_
	at com owncloud android ui preview PreviewImageFragment onActivityCreated(PreviewImageFragment java:230)_x000D_
	at androidx fragment app Fragment performActivityCreated(Fragment java:2718)_x000D_
	at androidx fragment app FragmentStateManager activityCreated(FragmentStateManager java:346)_x000D_
	at androidx fragment app FragmentManager moveToState(FragmentManager java:1200)_x000D_
	at androidx fragment app FragmentManager moveToState(FragmentManager java:1368)_x000D_
	at androidx fragment app FragmentManager moveFragmentToExpectedState(FragmentManager java:1446)_x000D_
	at androidx fragment app FragmentManager moveToState(FragmentManager java:1509)_x000D_
	at androidx fragment app FragmentManager dispatchStateChange(FragmentManager java:2637)_x000D_
	at androidx fragment app FragmentManager dispatchActivityCreated(FragmentManager java:2589)_x000D_
	at androidx fragment app FragmentController dispatchActivityCreated(FragmentController java:247)_x000D_
	at androidx fragment app FragmentActivity onStart(FragmentActivity java:541)_x000D_
	at androidx appcompat app AppCompatActivity onStart(AppCompatActivity java:210)_x000D_
	at com owncloud android ui activity DrawerActivity onStart(DrawerActivity java:1000)_x000D_
	at com owncloud android ui activity FileActivity onStart(FileActivity java:230)_x000D_
	at com owncloud android ui preview PreviewImageActivity onStart(PreviewImageActivity java:182)_x000D_
	at android app Instrumentation callActivityOnStart(Instrumentation java:1433)_x000D_
	at android app Activity performStart(Activity java:7864)_x000D_
	at android app ActivityThread handleStartActivity(ActivityThread java:3295)_x000D_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java:2017)_x000D_
	at android os Handler dispatchMessage(Handler java:107)_x000D_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java:935)_x000D_
_x000D_
             APP INFORMATION             _x000D_
ID: com nextcloud client_x000D_
Version: 30130190_x000D_
Build flavor: gplay_x000D_
_x000D_
             DEVICE INFORMATION             _x000D_
Brand: Fairphone_x000D_
Device: FP3_x000D_
Model: FP3_x000D_
Id: 8901 3 A 0045 20200905_x000D_
Product: FP3_x000D_
_x000D_
             FIRMWARE             _x000D_
SDK: 29_x000D_
Release: 10_x000D_
Incremental: 09051550</t>
  </si>
  <si>
    <t>TeamNewPipe-NewPipe-4348</t>
  </si>
  <si>
    <t>Crash when resolution set to best possible on certain vids.</t>
  </si>
  <si>
    <t xml:space="preserve">   Exception_x000D_
    User Action:   ui error_x000D_
    Request:   App crash  UI failure_x000D_
    Content Country:   US_x000D_
    Content Language:   en US_x000D_
    App Language:   en US_x000D_
    Service:   none_x000D_
    Version:   0 19 8_x000D_
    OS:   Linux motorola james a james:8 0 0 OCP27 91 157 28 2:user release keys 8 0 0   26_x000D_
 details  summary  b Crash log   b   summary  p _x000D_
_x000D_
   _x000D_
java lang IndexOutOfBoundsException: Index: 0_x000D_
	at java util Collections EmptyList get(Collections java:4500)_x000D_
	at org schabi newpipe player helper PlayerHelper autoQueueOf(PlayerHelper java:165)_x000D_
	at org schabi newpipe player BasePlayer maybeAutoQueueNextStream(BasePlayer java:1336)_x000D_
	at org schabi newpipe player BasePlayer maybeUpdateCurrentMetadata(BasePlayer java:1320)_x000D_
	at org schabi newpipe player BasePlayer onTimelineChanged(BasePlayer java:677)_x000D_
	at com google android exoplayer2 ExoPlayerImpl PlaybackInfoUpdate lambda run 0 ExoPlayerImpl PlaybackInfoUpdate(ExoPlayerImpl java:804)_x000D_
	at com google android exoplayer2    Lambda ExoPlayerImpl PlaybackInfoUpdate N S5kRfhaRTAkH28P5luFgKnFjQ invokeListener(Unknown Source:2)_x000D_
	at com google android exoplayer2 BasePlayer ListenerHolder invoke(BasePlayer java:182)_x000D_
	at com google android exoplayer2 ExoPlayerImpl invokeAll(ExoPlayerImpl java:845)_x000D_
	at com google android exoplayer2 ExoPlayerImpl access 000(ExoPlayerImpl java:43)_x000D_
	at com google android exoplayer2 ExoPlayerImpl PlaybackInfoUpdate run(ExoPlayerImpl java:802)_x000D_
	at com google android exoplayer2 ExoPlayerImpl notifyListeners(ExoPlayerImpl java:736)_x000D_
	at com google android exoplayer2 ExoPlayerImpl updatePlaybackInfo(ExoPlayerImpl java:710)_x000D_
	at com google android exoplayer2 ExoPlayerImpl handlePlaybackInfo(ExoPlayerImpl java:652)_x000D_
	at com google android exoplayer2 ExoPlayerImpl handleEvent(ExoPlayerImpl java:595)_x000D_
	at com google android exoplayer2 ExoPlayerImpl 1 handleMessage(ExoPlayerImpl java:127)_x000D_
	at android os Handler dispatchMessage(Handler java:105)_x000D_
	at android os Looper loop(Looper java:164)_x000D_
	at android app ActivityThread main(ActivityThread java:6797)_x000D_
	at java lang reflect Method invoke(Native Method)_x000D_
	at com android internal os Zygote MethodAndArgsCaller run(Zygote java:240)_x000D_
	at com android internal os ZygoteInit main(ZygoteInit java:772)_x000D_
_x000D_
   _x000D_
  details _x000D_
 hr _x000D_
</t>
  </si>
  <si>
    <t>TeamNewPipe-NewPipe-4346</t>
  </si>
  <si>
    <t>Controls missing in android 11</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</si>
  <si>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19 8_x000D_
 _x000D_
_x000D_
    Steps to reproduce the bug_x000D_
    _x000D_
1  Go to  Go to video audio  _x000D_
2  Press on  press background _x000D_
3  Swipe down to  Once you navigate away swipe down on notification bar and attempt to pause or skip video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Have the ability to play pause or skip_x000D_
_x000D_
    Actual behaviour_x000D_
     Tell us what happens instead     _x000D_
A banner with the title of the video but no controls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Screenshot 20200928 215830 (https:  user images githubusercontent com 37128483 94508170 fb8ec900 01d6 11eb 8e77 4995b50b8259 png)_x000D_
</t>
  </si>
  <si>
    <t>Anuken-Mindustry-2761</t>
  </si>
  <si>
    <t>Audio problems when mapping into new sector.</t>
  </si>
  <si>
    <t xml:space="preserve">  Note  : Do not report any new bugs directly relating to the v6 campaign  They will not be fixed or considered at this time _x000D_
Sorry  but this is kinda similar_x000D_
  Platform  :  Android iOS Mac Windows Linux _x000D_
Windows_x000D_
  Build  :  The build number under the title in the main menu  Required  _x000D_
Steam 106_x000D_
  Issue  :  Explain your issue in detail  _x000D_
When moving from sector to sector  the audio (drills  conveyors  duos  etc ) won t play unless you go to something like the tech tree and exit _x000D_
  Steps to reproduce  :  How you happened across the issue  and what exactly you did to make the bug happen  _x000D_
go to a different sector  Listen for audio over drills  Go to tech tree  Exit tech tree  Listen again_x000D_
  Link(s) to mod(s) used  :  The mod repositories or zip files that are related to the issue  if applicable  _x000D_
none_x000D_
  Save file  :  The save file you were playing on when the bug happened  REQUIRED for any issue that happens in game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</si>
  <si>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Anuken-Mindustry-2760</t>
  </si>
  <si>
    <t>Audio not playing when</t>
  </si>
  <si>
    <t xml:space="preserve">  Note  : Do not report any new bugs directly relating to the v6 campaign  They will not be fixed or considered at this time _x000D_
_x000D_
  Platform  :  Android iOS Mac Windows Linux _x000D_
_x000D_
  Build  :  The build number under the title in the main menu  Required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save file you were playing on when the bug happened  REQUIRED for any issue that happens in game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</si>
  <si>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Anuken-Mindustry-2759</t>
  </si>
  <si>
    <t>IllegalArgument Crash when launching into a new sector in campaign</t>
  </si>
  <si>
    <t xml:space="preserve">    Note  : Do not report any new bugs directly relating to the v6 campaign  They will not be fixed or considered at this time _x000D_
  This issue will most likely be closed almost immediately because of the above note   _x000D_
_x000D_
  Platform  : Windows_x000D_
_x000D_
  Build  : Steam Build 106_x000D_
_x000D_
  Issue  :  Explain your issue in detail  _x000D_
_x000D_
  Steps to reproduce  : Launching to an unexplored sector caused this crash _x000D_
_x000D_
_x000D_
_x000D_
  Link(s) to mod(s) used  : No mods enabled_x000D_
_x000D_
  Save file  :  savefile zip (https:  github com Anuken Mindustry files 5295152 savefile zip)_x000D_
_x000D_
  Crash report  :  crash report 09 28 2020 17 22 25 txt (https:  github com Anuken Mindustry files 5295142 crash report 09 28 2020 17 22 25 txt)_x000D_
_x000D_
   _x000D_
_x000D_
 Place an X (no spaces) between the brackets to confirm that you have read the line below    _x000D_
   X    I have searched the closed and open issues to make sure that this problem has not already been reported   _x000D_
</t>
  </si>
  <si>
    <t>Anuken-Mindustry-2758</t>
  </si>
  <si>
    <t>green bars</t>
  </si>
  <si>
    <t xml:space="preserve">_x000D_
  Platform  : Windows_x000D_
_x000D_
  Build  : I literally cant read it   its jumbles grey lines_x000D_
_x000D_
  Issue  : so i found out that i could play V6 and i followed the instructions   RMB mindustry in your steam library   properties   betas   v6     i did that and after waiting for the download to finish i booted up the game    now all i see is about 2mm thick green lines going left to right on my screen   and they aren t stationary they teleport up and down rapidly    it could risk someone having a seizure or an epileptic attack    i cant read anything whatsoever i purely navigate the game due the memory of what everything does _x000D_
_x000D_
  Steps to reproduce  : followed the steps to make me able to play v6 on steam   upon starting it happens   i closed and re opened but it happened again_x000D_
_x000D_
  Link(s) to mod(s) used  : no mods used_x000D_
_x000D_
  Save file  : I don t really have a save file if it happened immediately _x000D_
_x000D_
  Crash report  : no crashes whatsoever_x000D_
   _x000D_
_x000D_
 Place an X (no spaces) between the brackets to confirm that you have read the line below    _x000D_
   x    I have searched the closed and open issues to make sure that this problem has not already been reported   _x000D_
</t>
  </si>
  <si>
    <t>TeamNewPipe-NewPipe-4343</t>
  </si>
  <si>
    <t>buffer bar not showing buffer position</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</si>
  <si>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0 20 0 RC_x000D_
_x000D_
    Steps to reproduce the bug_x000D_
    _x000D_
1  Go to      _x000D_
2  Press on       _x000D_
3  Swipe down to       _x000D_
   _x000D_
the buffer bar does not update buffer position unless you interact with the player such as skipping _x000D_
_x000D_
this is to say:  even if the video is already 20s buffered ahead  the buffer bar will not show it unless you tab one of the player buttons such as skipping backwards_x000D_
     If you can t cause the bug to show up again reliably (and hence don t have a proper set of steps to give us)  please still try to give as many details as possible on how you think you encountered the bug     _x000D_
    Expected Behavior_x000D_
to show and update buffer regardless of user s interaction _x000D_
     Tell us what you expect to happen     _x000D_
_x000D_
     Tell us what happens instead     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</si>
  <si>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TeamNewPipe-NewPipe-4342</t>
  </si>
  <si>
    <t>Videos won't load while connected to mobile data</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</si>
  <si>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Open app while disconnected from Wi Fi and connected to mobile data  It also works if you disconnect from Wi Fi after opening the app _x000D_
2  Click any video _x000D_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video page will load normally _x000D_
_x000D_
    Actual behaviour_x000D_
     Tell us what happens instead     _x000D_
_x000D_
A ReCaptcha challenge is requested  Most of the time the ReCaptcha won t load (see image  1)  if it does (see image  2) and you complete it  something like the YouTube mobile webpage will load instead of the normal UI (see image  3)  If you click the checkmark it just closes the ReCaptcha challenge and the issue persists _x000D_
_x000D_
If you reconnect to Wi Fi after encountering the issues they might still happen  The quick and reliable way to fix it is Force Stopping the app and opening it while connected to Wi Fi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Image  1: https:  ibb co 8DCK6yv_x000D_
Image  2: https:  ibb co 6XLWV16_x000D_
Image  3: https:  ibb co zJ4sJ4R_x000D_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There is no Error Report page  but the issue seems similar to  4008  _x000D_
     That s right  here     _x000D_
</t>
  </si>
  <si>
    <t>Anuken-Mindustry-2755</t>
  </si>
  <si>
    <t>Ground support unit glitches</t>
  </si>
  <si>
    <t xml:space="preserve">  Note  : Do not report any new bugs directly relating to the v6 campaign  They will not be fixed or considered at this time _x000D_
_x000D_
  Platform  :  Android iOS Mac Windows Linux _x000D_
Linux  may happen on other_x000D_
  Build  :  The build number under the title in the main menu  Required  _x000D_
106_x000D_
  Issue  :  Explain your issue in detail  _x000D_
When a Nova (May happen on other units ) is controlled  flies on to a solid block  and gets stopped being controlled  it plays the land and take off animation until it is controlled and moved somewhere else _x000D_
  Steps to reproduce  :  How you happened across the issue  and what exactly you did to make the bug happen  _x000D_
Control a Nova (or any ground support unit) and fly on to a solid block  Then respawn in the core and the animation will play _x000D_
  Link(s) to mod(s) used  :  The mod repositories or zip files that are related to the issue  if applicable  _x000D_
X_x000D_
  Save file  :  The save file you were playing on when the bug happened  if applicable  _x000D_
X_x000D_
  Crash report  :  The contents of relevant crash report files  REQUIRED if you are reporting a crash  _x000D_
X_x000D_
   _x000D_
_x000D_
 Place an X (no spaces) between the brackets to confirm that you have read the line below    _x000D_
   x    I have searched the closed and open issues to make sure that this problem has not already been reported   _x000D_
</t>
  </si>
  <si>
    <t>Anuken-Mindustry-2753</t>
  </si>
  <si>
    <t>unit graphical glitch</t>
  </si>
  <si>
    <t xml:space="preserve">  Platform  :  Windows _x000D_
_x000D_
  Build  :  Alpha build 106  _x000D_
_x000D_
  Issue  :  When a player controlled ground unit is flying and killed over solid terrain  it will stay in the dying animation and keep lingering in that position  It was done in multiplayer _x000D_
_x000D_
  Steps to reproduce  :  Have a ground unit that can fly fly over dark terrain  Then kill the unit while it is above the dark terrain  It should linger in that position while displaying the death animation  _x000D_
_x000D_
  Link(s) to mod(s) used  :  N A _x000D_
_x000D_
  Save file  :  N A  it was done on a multiplayer map _x000D_
_x000D_
  Crash report  :  N A  game didnt crash _x000D_
_x000D_
   _x000D_
_x000D_
 Place an X (no spaces) between the brackets to confirm that you have read the line below    _x000D_
    X    I have searched the closed and open issues to make sure that this problem has not already been reported   _x000D_
</t>
  </si>
  <si>
    <t>hzi-braunschweig-SORMAS-Project-3001</t>
  </si>
  <si>
    <t>Replace createTable scripts in DatabaseHelper onUpgrade with proper table definitions</t>
  </si>
  <si>
    <t xml:space="preserve">    _x000D_
If you ve never submitted an issue to the SORMAS repository before or this is your first time using this template  please read the Contributing guidelines (accessible in the right sidebar) for an explanation about the information we d like you to provide _x000D_
   _x000D_
    Bug Description_x000D_
Updating the mobile app to latest available test version crashes the app _x000D_
_x000D_
    Steps to Reproduce_x000D_
1  Make sure the device has version 49 0 snapshot of Sormas under Server (https:  test sormas netzlink com) and logged in user (SurvOff)_x000D_
2  Open the mobile app and see that the new version is offered and available to download _x000D_
3  Click on download and install the version _x000D_
4  After the installation is complete  try launching the Sormas app_x000D_
_x000D_
    Expected Behavior_x000D_
The new version of Sormas should be accessible after updating and should not crash _x000D_
_x000D_
    Screenshots_x000D_
  App crash after updatng to Version 50 0 snapshot (https:  user images githubusercontent com 62763628 94415326 b5f1e200 017d 11eb 8f33 c8888c676ea3 jpg)_x000D_
_x000D_
    System Details_x000D_
  Device: Samsung S 10_x000D_
  SORMAS version: update from 49 0 to 50 0 snapshot_x000D_
  Android version Browser: 10_x000D_
  Server URL: https:  test sormas netzlink com_x000D_
  User Role: SurvOff_x000D_
_x000D_
    Additional Information_x000D_
adb logs attached _x000D_
 appcrash Version49 txt (https:  github com hzi braunschweig SORMAS Project files 5291280 appcrash Version49 txt)_x000D_
</t>
  </si>
  <si>
    <t>grimWaffles-foodpandaClone-1</t>
  </si>
  <si>
    <t>Discount module crashing</t>
  </si>
  <si>
    <t xml:space="preserve">Activity: MyCart_x000D_
Function: private void inputPricingInTheCards(List Item  items) _x000D_
_x000D_
Restaurant list fetched from local db takes too much time causing crashes  best to have 3 5 second delays after each operation _x000D_
_x000D_
</t>
  </si>
  <si>
    <t>libgdx-gdx-pay-230</t>
  </si>
  <si>
    <t>gdx-pay iOS crashes on iOS &lt; 11.2</t>
  </si>
  <si>
    <t xml:space="preserve">Please ensure you have given all the following requested information in your report _x000D_
_x000D_
Firebase reported crash with following message:_x000D_
_x000D_
   _x000D_
Unrecognized selector: introductoryPrice_x000D_
The API used here is only available in iOS 11 2 and later  To avoid this crash on devices with older OS versions you must check the current version before calling it  See the second resource below for examples of how to do this _x000D_
   _x000D_
_x000D_
     Issue details  reproduction steps code_x000D_
 Please provide the details of your issue _x000D_
_x000D_
     Version of gdx pay and or relevant dependencies_x000D_
1 3_x000D_
_x000D_
     Stacktrace_x000D_
   java_x000D_
5  IosLanguagesLauncher           0x6e0adf  J org robovm objc  M object objc msgSend(Lorg robovm apple foundation NSObject Lorg robovm objc Selector )Lorg robovm apple foundation NSObject _x000D_
6  IosLanguagesLauncher           0x6e28c9  J org robovm objc  M object objc msgSend instance(Lorg robovm apple foundation NSObject Lorg robovm objc Selector )Lorg robovm apple foundation NSObject    350 ( M java:350)_x000D_
7  IosLanguagesLauncher           0x6e002f  j org robovm objc  M object objc msgSend instance(Lorg robovm apple foundation NSObject Lorg robovm objc Selector )Lorg robovm apple foundation NSObject  clinit _x000D_
8  IosLanguagesLauncher           0x641fd7  J org robovm apple storekit SKProduct getIntroductoryPrice()Lorg robovm apple storekit SKProductDiscount _x000D_
9  IosLanguagesLauncher           0x3a91a5  J com badlogic gdx pay ios apple PurchaseManageriOSApple convertToFreeTrialPeriod(Lorg robovm apple storekit SKProduct )Lcom badlogic gdx pay FreeTrialPeriod    546 (PurchaseManageriOSApple java:546)_x000D_
10 IosLanguagesLauncher           0x3a915f  J com badlogic gdx pay ios apple PurchaseManageriOSApple getInformation(Ljava lang String )Lcom badlogic gdx pay Information    537 (PurchaseManageriOSApple java:537)_x000D_
   _x000D_
_x000D_
     Please select the affected platforms and payment service implementation_x000D_
      Amazon_x000D_
      googlebilling_x000D_
      googlepay_x000D_
      apple iosmoe_x000D_
   x  apple robovm_x000D_
</t>
  </si>
  <si>
    <t>Anuken-Mindustry-2752</t>
  </si>
  <si>
    <t>When placing a launchpad or large launchpad on a non campaign map in the editor and opining its gui it crashes the game.</t>
  </si>
  <si>
    <t xml:space="preserve">WIndows_x000D_
_x000D_
be 10026_x000D_
_x000D_
When placing a launchpad on a non campaign map in the editor and opining its gui it crashes the game _x000D_
_x000D_
1  Go into the editor_x000D_
2  place down a launchpad or large launchpad and save the map _x000D_
3  Go into the map and try to open the launchpad gui _x000D_
_x000D_
_x000D_
 crash report 09 27 2020 16 54 28 txt (https:  github com Anuken Mindustry files 5289132 crash report 09 27 2020 16 54 28 txt)_x000D_
_x000D_
https:  drive google com file d 1R7fKpks9n9cp2hQGO LNX 6yOHn oPxE view usp sharing_x000D_
_x000D_
   _x000D_
_x000D_
 Place an X (no spaces) between the brackets to confirm that you have read the line below    _x000D_
   x     I have searched the closed and open issues to make sure that this problem has not already been reported   _x000D_
</t>
  </si>
  <si>
    <t>commons-app-apps-android-commons-3941</t>
  </si>
  <si>
    <t>Unable to report crash using ACRA</t>
  </si>
  <si>
    <t xml:space="preserve">  Summary:   _x000D_
I m using version 2 13 1 793 66f6e2e of the app on a Samsung SM J111F running Android 5 1 1  When I face a crash when using the app  the ACRA pop up shows up but when I enter a description and hit  Submit  the e mail client doesn t seem to be opening up like it should  As a consequence I m unable to report crashes using the ACRA window  Note that I use K 9 mail as my e mail client and  do not  have Gmail installed on my device  Let me know if more information is needed </t>
  </si>
  <si>
    <t>Anuken-Mindustry-2751</t>
  </si>
  <si>
    <t>Strange behavior with repair drones</t>
  </si>
  <si>
    <t xml:space="preserve">  Note  : Do not report any new bugs directly relating to the v6 campaign  They will not be fixed or considered at this time _x000D_
_x000D_
  Platform  :  Windows (Through Itch io app) _x000D_
_x000D_
  Build  :  Alpha Build 106 _x000D_
_x000D_
  Issue  :  After a considerable number of waves (30 )  repair drones begin to behave erratically  shooting a random position and causing the FPS to drop below 10  Seemed to occur when enemy aerial units from a wave attacked the core or other building _x000D_
_x000D_
  Steps to reproduce  :  Hard to reproduce   set up a custom sandbox game with default wave set up  Set up 6 repair drones and fend off waves  It may occur after wave 30  but no guarantees  _x000D_
_x000D_
  Link(s) to mod(s) used  :  Not applicable  _x000D_
_x000D_
  Save file  :  Do not know how to locate  One was deleted  _x000D_
_x000D_
  Crash report  :  I quit before it could crash  _x000D_
_x000D_
   _x000D_
_x000D_
 Place an X (no spaces) between the brackets to confirm that you have read the line below    _x000D_
   x    I have searched the closed and open issues to make sure that this problem has not already been reported   _x000D_
</t>
  </si>
  <si>
    <t>nextcloud-android-7020</t>
  </si>
  <si>
    <t>Nextcloud App crashes everytime one confirms a login</t>
  </si>
  <si>
    <t xml:space="preserve">    Steps to reproduce_x000D_
1  Login via the web interface with two factor authentication enabled  Nextcloud app notification as second factor _x000D_
2  Open the Nextcloud App and switch to notifications_x000D_
3  Accept the login_x000D_
_x000D_
    Expected behaviour_x000D_
  The login on the web interface continues (it does) without the Nextcloud app crashing _x000D_
_x000D_
    Actual behaviour_x000D_
  The Nextcloud app crashes everytime_x000D_
_x000D_
    Environment data_x000D_
Android version: 11 but happened on 10 as well_x000D_
_x000D_
Device model: Pixel 3a_x000D_
_x000D_
Stock or customized system: stock_x000D_
_x000D_
Nextcloud app version: latest_x000D_
_x000D_
Nextcloud server version: 19 0 3_x000D_
_x000D_
    Logs_x000D_
     Nextcloud app log 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java:923)_x000D_
Caused by: java lang ClassNotFoundException: com google firebase analytics connector AnalyticsConnector_x000D_
	    8 more_x000D_
_x000D_
             APP INFORMATION             _x000D_
ID: com nextcloud client_x000D_
Version: 30130190_x000D_
Build flavor: gplay_x000D_
_x000D_
             DEVICE INFORMATION             _x000D_
Brand: google_x000D_
Device: sargo_x000D_
Model: Pixel 3a_x000D_
Id: RP1A 200720 009_x000D_
Product: sargo_x000D_
_x000D_
             FIRMWARE             _x000D_
SDK: 30_x000D_
Release: 11_x000D_
Incremental: 6720564_x000D_
_x000D_
   </t>
  </si>
  <si>
    <t>patzly-grocy-android-118</t>
  </si>
  <si>
    <t>App crashes on barcode scanner and settings page opening</t>
  </si>
  <si>
    <t>After adding a lot of products into stock the app started crashing just after scanner and settings opening _x000D_
I already sent the logs via android bug reporting _x000D_
The app version is 1 8 7_x000D_
Android 9_x000D_
Samsung Galaxy J7</t>
  </si>
  <si>
    <t>deltachat-deltachat-android-1639</t>
  </si>
  <si>
    <t>Crash on contacts permission problem</t>
  </si>
  <si>
    <t xml:space="preserve">  Operating System (Linux Mac Windows iOS Android):Android device OnePlus A0001 (bacon)  android 10 lineage bacon userdebug 10 QQ3A  200805 001 431caa5ea7  sdk 29_x000D_
  Delta Chat Version: 1 12 5 gplay_x000D_
  Expected behavior: Allows creating a new chat after pressing the new chat button in the bottom right (  in round circle)_x000D_
  Actual behavior: hard crash of deltachat right after pressing the button _x000D_
  Steps to reproduce the problem: attempt to start new chat_x000D_
  Screenshots: n a_x000D_
  Logs: adb logcat:_x000D_
   _x000D_
9 27 14:04:09 293  9760 10104 E DatabaseUtils: java lang SecurityException: Permission Denial: reading com android providers contacts ContactsProvider2 uri content:  com android contacts data emails from pid 17987  uid 10155 requires android permission READ CONTACTS  or grantUriPermission()_x000D_
09 27 14:04:09 293  9760 10104 E DatabaseUtils: 	at android content ContentProvider enforceReadPermissionInner(ContentProvider java:729)_x000D_
09 27 14:04:09 293  9760 10104 E DatabaseUtils: 	at android content ContentProvider Transport enforceReadPermission(ContentProvider java:602)_x000D_
09 27 14:04:09 293  9760 10104 E DatabaseUtils: 	at android content ContentProvider Transport query(ContentProvider java:231)_x000D_
09 27 14:04:09 293  9760 10104 E DatabaseUtils: 	at android content ContentProviderNative onTransact(ContentProviderNative java:104)_x000D_
09 27 14:04:09 293  9760 10104 E DatabaseUtils: 	at android os Binder execTransactInternal(Binder java:1021)_x000D_
09 27 14:04:09 293  9760 10104 E DatabaseUtils: 	at android os Binder execTransact(Binder java:994)_x000D_
09 27 14:04:09 297 17987 22137 E AndroidRuntime: FATAL EXCEPTION: Thread 7_x000D_
09 27 14:04:09 297 17987 22137 E AndroidRuntime: Process: chat delta  PID: 17987_x000D_
09 27 14:04:09 297 17987 22137 E AndroidRuntime: java lang SecurityException: Permission Denial: reading com android providers contacts ContactsProvider2 uri content:  com android contacts data emails from pid 17987  uid 10155 requires android permission READ CONTACTS  or grantUriPermission()_x000D_
09 27 14:04:09 297 17987 22137 E AndroidRuntime: 	at android os Parcel createException(Parcel java:2071)_x000D_
09 27 14:04:09 297 17987 22137 E AndroidRuntime: 	at android os Parcel readException(Parcel java:2039)_x000D_
09 27 14:04:09 297 17987 22137 E AndroidRuntime: 	at android database DatabaseUtils readExceptionFromParcel(DatabaseUtils java:188)_x000D_
09 27 14:04:09 297 17987 22137 E AndroidRuntime: 	at android database DatabaseUtils readExceptionFromParcel(DatabaseUtils java:140)_x000D_
09 27 14:04:09 297 17987 22137 E AndroidRuntime: 	at android content ContentProviderProxy query(ContentProviderNative java:423)_x000D_
09 27 14:04:09 297 17987 22137 E AndroidRuntime: 	at android content ContentResolver query(ContentResolver java:944)_x000D_
09 27 14:04:09 297 17987 22137 E AndroidRuntime: 	at android content ContentResolver query(ContentResolver java:880)_x000D_
09 27 14:04:09 297 17987 22137 E AndroidRuntime: 	at android content ContentResolver query(ContentResolver java:836)_x000D_
09 27 14:04:09 297 17987 22137 E AndroidRuntime: 	at org thoughtcrime securesms contacts ContactAccessor getAllSystemContacts(ContactAccessor java:59)_x000D_
09 27 14:04:09 297 17987 22137 E AndroidRuntime: 	at org thoughtcrime securesms contacts ContactAccessor getAllSystemContactsAsString(ContactAccessor java:63)_x000D_
09 27 14:04:09 297 17987 22137 E AndroidRuntime: 	at org thoughtcrime securesms ContactSelectionListFragment 3 run(ContactSelectionListFragment java:345)_x000D_
   _x000D_
_x000D_
It seems like the app is denied contacts permissions from that exception   Which I can confirm  going to device settings and looking up the app permissions it has the contacts listed as  Denied Never accessed    I m not sure if I ever denied contact access or not   But two things would be nice:_x000D_
  work just fine without having access to the contacts_x000D_
  prompt me again for access  or if you know i already denied once  have a button in contact list to allow me to ask for access to device contacts again _x000D_
_x000D_
Most interestingly  I can not fix this by changing the  App permissions  from the device settings   Setting contacts to  Allow  there just flips it back to  Deny    logcat does not show anything useful when doing this:_x000D_
_x000D_
   _x000D_
09 27 14:18:56 791 24239 24239 V AppPermissionFragment: Permission changed via UI with sessionId  4264631084073555980 changeId 7750505736004164153 uid 10155 packageName chat delta permission android permission READ CONTACTS isGranted true_x000D_
09 27 14:18:56 808 24239 24239 W AppPermissionFragment: Permissions changed _x000D_
   _x000D_
_x000D_
It is likely this last part is an OS bug for my device I guess </t>
  </si>
  <si>
    <t>nextcloud-android-7018</t>
  </si>
  <si>
    <t>Crashing after first login</t>
  </si>
  <si>
    <t xml:space="preserve">    Steps to reproduce_x000D_
1  Started nextcloud on work profile with VPN_x000D_
2  logo in succesfully_x000D_
3  After log in nextcloud crash_x000D_
_x000D_
    Expected behaviour_x000D_
  able to use files_x000D_
_x000D_
    Actual behaviour_x000D_
  everytime when trying to log in nextcloud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CAUSE OF ERROR         _x000D_
_x000D_
java lang RuntimeException: Error receiving broadcast Intent   act com owncloud android operations RefreshFolderOperation EVENT SINGLE FOLDER CONTENTS SYNCED flg 0x10 pkg com nextcloud client (has extras)   in com owncloud android ui activity FileDisplayActivity SyncBroadcastReceiver cccc534_x000D_
	at android app LoadedApk ReceiverDispatcher Args lambda getRunnable 0(LoadedApk java:1401)_x000D_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java:6746)_x000D_
	at java lang reflect Method invoke(Native Method)_x000D_
	at com android internal os RuntimeInit MethodAndArgsCaller run(RuntimeInit java:500)_x000D_
	at com android internal os ZygoteInit main(ZygoteInit java:858)_x000D_
Caused by: java lang SecurityException: Permission Denial: unbroadcastIntent() from pid 30737  uid 1010211 requires android permission BROADCAST STICKY_x000D_
	at android os Parcel createException(Parcel java:1950)_x000D_
	at android os Parcel readException(Parcel java:1918)_x000D_
	at android os Parcel readException(Parcel java:1868)_x000D_
	at android app IActivityManager Stub Proxy unbroadcastIntent(IActivityManager java:3920)_x000D_
	at android app ContextImpl removeStickyBroadcast(ContextImpl java:1346)_x000D_
	at android content ContextWrapper removeStickyBroadcast(ContextWrapper java:588)_x000D_
	at android content ContextWrapper removeStickyBroadcast(ContextWrapper java:588)_x000D_
	at com owncloud android ui activity FileDisplayActivity SyncBroadcastReceiver onReceive(FileDisplayActivity java:1311)_x000D_
	at android app LoadedApk ReceiverDispatcher Args lambda getRunnable 0(LoadedApk java:1391)_x000D_
	    8 more_x000D_
Caused by: android os RemoteException: Remote stack trace:_x000D_
	at com android server am ActivityManagerService unbroadcastIntent(ActivityManagerService java:22185)_x000D_
	at android app IActivityManager Stub onTransact(IActivityManager java:183)_x000D_
	at com android server am ActivityManagerService onTransact(ActivityManagerService java:3320)_x000D_
	at android os Binder execTransact(Binder java:731)_x000D_
_x000D_
_x000D_
             APP INFORMATION             _x000D_
ID: com nextcloud client_x000D_
Version: 30130190_x000D_
Build flavor: gplay_x000D_
_x000D_
             DEVICE INFORMATION             _x000D_
Brand: Bittium_x000D_
Device: craton_x000D_
Model: Bittium Tough Mobile 2_x000D_
Id: MR5_x000D_
Product: slate gms EEA_x000D_
_x000D_
             FIRMWARE             _x000D_
SDK: 28_x000D_
Release: 9_x000D_
Incremental: 72 1 sdp40_x000D_
</t>
  </si>
  <si>
    <t>TeamNewPipe-NewPipe-4325</t>
  </si>
  <si>
    <t>When going to channel of Jesse Eats an error happens</t>
  </si>
  <si>
    <t xml:space="preserve">
Oh no  a bug  It happens  Thanks for reporting an issue with NewPipe  If this is your first bug report  read the following information before proceeding: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P S : Our contribution guidelines might be a nice document to read before you fill out the report :) You can find it at https:  github com TeamNewPipe NewPipe blob HEAD  github CONTRIBUTING md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Version
     Which version are you using  Hopefully the latest  We just told you that above     
 0 19 8
    Steps to reproduce the bug
1  Go to the channel page of  Jesse Eats 
https:  www youtube com channel UCxc pNB1B8pQ94R0AiG0ypA
     If you can t cause the bug to show up again reliably (and hence don t have a proper set of steps to give us)  please still try to give as many details as possible on how you think you encountered the bug     
    Expected behavior
     Tell us what you expect to happen     
An error shouldn t happen
    Actual behaviour
     Tell us what happens instead     
An error happens  everything seems to work fine though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https:  ibb co Tw5V3xg
    Logs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That s right  here     
   Exception
    User Action:   requested channel
    Request:   https:  www youtube com channel UCxc pNB1B8pQ94R0AiG0ypA
    Content Country:   GB
    Content Language:   en GB
    App Language:   en GB
    Service:   YouTube
    Version:   0 19 8
    OS:   Linux Android 10   29
 details  summary  b Crash log   b   summary  p 
org schabi newpipe extractor exceptions ParsingException: Could not get duration
	at org schabi newpipe extractor services youtube extractors YoutubeStreamInfoItemExtractor getDuration(YoutubeStreamInfoItemExtractor java:117)
	at org schabi newpipe extractor stream StreamInfoItemsCollector extract(StreamInfoItemsCollector java:54)
	at org schabi newpipe extractor stream StreamInfoItemsCollector commit(StreamInfoItemsCollector java:94)
	at org schabi newpipe extractor services youtube extractors YoutubeChannelExtractor collectStreamsFrom(YoutubeChannelExtractor java:289)
	at org schabi newpipe extractor services youtube extractors YoutubeChannelExtractor getInitialPage(YoutubeChannelExtractor java:239)
	at org schabi newpipe extractor utils ExtractorHelper getItemsPageOrLogError(ExtractorHelper java:19)
	at org schabi newpipe extractor channel ChannelInfo getInfo(ChannelInfo java:83)
	at org schabi newpipe extractor channel ChannelInfo getInfo(ChannelInfo java:48)
	at org schabi newpipe util ExtractorHelper lambda getChannelInfo 4(ExtractorHelper java:124)
	at org schabi newpipe util    Lambda ExtractorHelper u5W7VszTe8AoEexIsFM9huQfbkM call(Unknown Source:4)
	at io reactivex internal operators single SingleFromCallable subscribeActual(SingleFromCallable java:44)
	at io reactivex Single subscribe(Single java:3666)
	at io reactivex internal operators single SingleDoOnSuccess subscribeActual(SingleDoOnSuccess java:35)
	at io reactivex Single subscribe(Single java:3666)
	at io reactivex internal operators maybe MaybeFromSingle subscribeActual(MaybeFromSingle java:41)
	at io reactivex Maybe subscribe(Maybe java:4290)
	at io reactivex internal operators maybe MaybeConcatArray ConcatMaybeObserver drain(MaybeConcatArray java:153)
	at io reactivex internal operators maybe MaybeConcatArray ConcatMaybeObserver request(MaybeConcatArray java:78)
	at io reactivex internal operators flowable FlowableElementAtMaybe ElementAtSubscriber onSubscribe(FlowableElementAtMaybe java:66)
	at io reactivex internal operators maybe MaybeConcatArray subscribeActual(MaybeConcatArray java:42)
	at io reactivex Flowable subscribe(Flowable java:14935)
	at io reactivex internal operators flowable FlowableElementAtMaybe subscribeActual(FlowableElementAtMaybe java:36)
	at io reactivex Maybe subscribe(Maybe java:4290)
	at io reactivex internal operators maybe MaybeToSingle subscribeActual(MaybeToSingle java:46)
	at io reactivex Single subscribe(Single java:3666)
	at io reactivex internal operators single SingleSubscribeOn SubscribeOnObserver run(SingleSubscribeOn java:89)
	at io reactivex Scheduler DisposeTask run(Scheduler java:578)
	at io reactivex internal schedulers ScheduledRunnable run(ScheduledRunnable java:66)
	at io reactivex internal schedulers ScheduledRunnable call(ScheduledRunnable java:57)
	at java util concurrent FutureTask run(FutureTask java:266)
	at java util concurrent ScheduledThreadPoolExecutor ScheduledFutureTask run(ScheduledThreadPoolExecutor java:301)
	at java util concurrent ThreadPoolExecutor runWorker(ThreadPoolExecutor java:1167)
	at java util concurrent ThreadPoolExecutor Worker run(ThreadPoolExecutor java:641)
	at java lang Thread run(Thread java:919)
  details 
 hr 
    Additional information
I have subscribed to over 200 channels and this is the only channel that has this error  I tried to clear the data of the app and start fresh but it still happens </t>
  </si>
  <si>
    <t>ThatCraws-MrX-3</t>
  </si>
  <si>
    <t>Inventory crashes App on startup</t>
  </si>
  <si>
    <t xml:space="preserve">Still got problems with the inventory    The god damn inventory _x000D_
When the inventory gets loaded initially the game pretty inconsistently crashes   _x000D_
Thought it might be because I m calling  adapterInv NotifyRangeRemoved(0  0)   when there were no items at all  but it crashes at the  adapterInv NotifyRangeInserted(0  8)  part  I was able to eliminate the possibility that the range removed call might mess up the indeces IDs  but even without it  it will crash </t>
  </si>
  <si>
    <t>barbeau-gpstest-439</t>
  </si>
  <si>
    <t>NPE in UIUtils.dpToPixels()</t>
  </si>
  <si>
    <t xml:space="preserve">  Describe the bug  _x000D_
Even after https:  github com barbeau gpstest commit 0b47fca1a9f06017b6d319269764ac6cec9b1f7b  I m still seeing some NPEs for Android 5 and 6 devices like:_x000D_
_x000D_
   _x000D_
java lang NullPointerException: _x000D_
  at com android gpstest util UIUtils dpToPixels (UIUtils java:93)_x000D_
  at com android gpstest util UIUtils isWideEnoughForDate (UIUtils java:107)_x000D_
  at com android gpstest GpsStatusFragment formatFixTimeDate (GpsStatusFragment java:307)_x000D_
  at com android gpstest GpsStatusFragment updateFixTime (GpsStatusFragment java:292)_x000D_
  at com android gpstest GpsStatusFragment updateLegacyStatus (GpsStatusFragment java:637)_x000D_
  at com android gpstest GpsStatusFragment onGpsStatusChanged (GpsStatusFragment java:513)_x000D_
  at com android gpstest GpsTestActivity 4 onGpsStatusChanged (GpsTestActivity java:1088)_x000D_
  at android location LocationManager GpsStatusListenerTransport 1 handleMessage (LocationManager java:1544)_x000D_
  at android os Handler dispatchMessage (Handler java:102)_x000D_
  at android os Looper loop (Looper java:148)_x000D_
  at android app ActivityThread main (ActivityThread java:7331)_x000D_
  at java lang reflect Method invoke (Native Method)_x000D_
  at com android internal os ZygoteInit MethodAndArgsCaller run (ZygoteInit java:1230)_x000D_
  at com android internal os ZygoteInit main (ZygoteInit java:1120)_x000D_
   _x000D_
_x000D_
  To Reproduce  _x000D_
_x000D_
Unknown_x000D_
_x000D_
  Expected behavior  _x000D_
No crashes_x000D_
_x000D_
  Observed behavior  _x000D_
Crash with above NPE_x000D_
_x000D_
  App  Device and Android version:   _x000D_
_x000D_
GPSTest  versionCode 18071   Android 5 and 6 according to Google Play dashboard_x000D_
</t>
  </si>
  <si>
    <t>deltachat-deltachat-android-1633</t>
  </si>
  <si>
    <t>crash in 'show all locations'</t>
  </si>
  <si>
    <t xml:space="preserve">reported in testing group:_x000D_
_x000D_
  did anyone noticed that when you open the menu from the chat list  select _x000D_
to show all locations  the app crashes_x000D_
_x000D_
  after some seconds_x000D_
_x000D_
  image 3494458663 (https:  user images githubusercontent com 9800740 94266540 95861580 ff3a 11ea 990c 7f10775f43b0 jpg)_x000D_
</t>
  </si>
  <si>
    <t>geosolutions-it-smb-android-121</t>
  </si>
  <si>
    <t>"Disconnect" crashes the app and doesn't complet user logout</t>
  </si>
  <si>
    <t xml:space="preserve">In previous versions the Disconnect action brought the user to the signin view  Now it crashes the app  and when you reopen it the user is still signed in _x000D_
_x000D_
  image (https:  user images githubusercontent com 571129 94249638 767a8a00 ff20 11ea 9b96 44cfd64da8e0 png)_x000D_
</t>
  </si>
  <si>
    <t>getodk-collect-4119</t>
  </si>
  <si>
    <t>Crash on RuntimeException when adding repeat</t>
  </si>
  <si>
    <t xml:space="preserve">     Software and hardware versions _x000D_
Collect v1 27 4   Crashlytics (https:  console firebase google com u 0 project api project 322300403941 crashlytics app android:org odk collect android issues 5b4d80d96007d59fcdcad981 time last seven days sessionEventKey 5F6CCB66029800011C980B8DF8617D36 1454540976116208809) shows it occurred back to at least v1 25 2_x000D_
_x000D_
     Problem description_x000D_
If a form has a reference to a value inside of a repeat that is not qualified (doesn t specify a specific repeat instance) and is used in a context where a single node is expected  there s a hard crash _x000D_
_x000D_
     Steps to reproduce the problem_x000D_
1  Load a form such as  bad instance name xml zip (https:  github com getodk collect files 5280566 bad instance name xml zip)_x000D_
1  Add a first repeat instance_x000D_
1  Attempt to add a second repeat instance and experience a crash_x000D_
_x000D_
     Expected behavior_x000D_
The user should see the text from the  RuntimeException   and the form should close  _x000D_
_x000D_
     Additional information_x000D_
Validate should catch these kinds of issues so it s likely these forms aren t being built with XLSForm or converted with pyxform based tools _x000D_
_x000D_
I paid close attention to the crashes that happened in v1 28 ( Crashlytics (https:  console firebase google com u 0 project api project 322300403941 crashlytics app android:org odk collect android issues 5b4d80d96007d59fcdcad981 time 1599609600000:1600991999000 sessionEventKey 5F6C63F400160001361633C70654677F 1454426636061422683)) to see if there was anything about them that could point to a change in behavior  It looks like a single form that has a structure like  relevant repeat xml zip (https:  github com getodk collect files 5280608 relevant repeat xml zip) _x000D_
</t>
  </si>
  <si>
    <t>Anuken-Mindustry-2721</t>
  </si>
  <si>
    <t>Campaign Sector "Serpulo" Immediately Captured After Second Player Joins</t>
  </si>
  <si>
    <t xml:space="preserve">  Platform  :  Windows  both computers _x000D_
_x000D_
  Build  :  bleeding edge build 9960 _x000D_
_x000D_
  Issue  :  Wave timer stopped  sector was immediately captured without reaching wave requirements or prompting anyone that the sector was captured  Edit: Turn timer is stopping for me  and opening my tech tree will prompt me with Campaign multiplayer _x000D_
_x000D_
  Steps to reproduce  :  My friend hosted a server  and was playing normally   the issue happened immediately after I joined  I already captured Ground Zero  but my friend hadn t  Update: I did this again with my friend in frozen forest and this didn t happen  _x000D_
_x000D_
  Link(s) to mod(s) used  :  No mods  _x000D_
_x000D_
  Save file  :  The save file you were playing on when the bug happened  if applicable  _x000D_
 Maps zip (https:  github com Anuken Mindustry files 5279877 Maps zip) This should include 3 save files  because I copied every single save I saw in the save folder _x000D_
_x000D_
  Crash report  :  The contents of relevant crash report files  REQUIRED if you are reporting a crash   No crashes _x000D_
_x000D_
   _x000D_
_x000D_
 Place an X (no spaces) between the brackets to confirm that you have read the line below    _x000D_
        I have searched the closed and open issues to make sure that this problem has not already been reported   _x000D_
</t>
  </si>
  <si>
    <t>Anuken-Mindustry-2717</t>
  </si>
  <si>
    <t>Ingame Map Editor has units running around</t>
  </si>
  <si>
    <t xml:space="preserve">  Platform  :  Android iOS Mac Windows Linux _x000D_
Android_x000D_
  Build  :  The build number under the title in the main menu  Required  _x000D_
Bleeding Edge Build 9850_x000D_
  Issue  :  Explain your issue in detail  _x000D_
The issue is that i was in ingame map editor and the factories began activating (which means they mustve been inputted too by the item sources i put)  After a while  some Zeniths began to spawn and they began trying to kill me and my build  i switched to their team and they stopped but kept destroying the build  _x000D_
  Steps to reproduce  :  How you happened across the issue  and what exactly you did to make the bug happen  _x000D_
_x000D_
  Link(s) to mod(s) used  :  The mod repositories or zip files that are related to the issue  if applicable  _x000D_
I dident use any_x000D_
  Save file  :  The save file you were playing on when the bug happened  if applicable  _x000D_
NA_x000D_
  Crash report  :  The contents of relevant crash report files  REQUIRED if you are reporting a crash  _x000D_
_x000D_
   NA_x000D_
_x000D_
 Place an X (no spaces) between the brackets to confirm that you have read the line below    _x000D_
   X    I have searched the closed and open issues to make sure that this problem has not already been reported   _x000D_
https:  www reddit com r Mindustry comments iz73hb hmmmmm  utm medium android app utm source share</t>
  </si>
  <si>
    <t>Anuken-Mindustry-2709</t>
  </si>
  <si>
    <t>Servers showing up twice in servers list</t>
  </si>
  <si>
    <t xml:space="preserve">  Platform  : Android 10 (EMUI 10 1 0)_x000D_
  Build  : 104 6_x000D_
  Issue  : servers are showing up twice in the list  as seen in screenshot below (look at tws servers  also works for every server) _x000D_
  Steps to reproduce  : _x000D_
1  Open community servers list_x000D_
2  Turn off the phone_x000D_
3  Turn on the phone _x000D_
  Link(s) to mod(s) used  : no mods used_x000D_
  Save file  :     _x000D_
  Crash report  : not a crash_x000D_
  Screenshot  :_x000D_
  Screenshot 20200924 193502 io anuke mindustry (https:  user images githubusercontent com 68436279 94174306 c8c69700 fe9d 11ea 82ca ee1307960ec1 jpg)_x000D_
_x000D_
 Place an X (no spaces) between the brackets to confirm that you have read the line below    _x000D_
   x    I have searched the closed and open issues to make sure that this problem has not already been reported   _x000D_
</t>
  </si>
  <si>
    <t>Anuken-Mindustry-2706</t>
  </si>
  <si>
    <t>Game crashes when clearing game data</t>
  </si>
  <si>
    <t xml:space="preserve">  Platform  : Windows_x000D_
_x000D_
  Build  : BE 9937_x000D_
_x000D_
  Issue  : Attempting to   clear game data   crashes the game _x000D_
_x000D_
  Steps to reproduce  : _x000D_
1  Launch Mindustry BE 9937 _x000D_
2  Navigate to  Settings    Game Data    Clear Game Data    _x000D_
3  Press OK _x000D_
_x000D_
  Crash report  :  crash report 09 24 2020 18 55 38 txt (https:  github com Anuken Mindustry files 5277504 crash report 09 24 2020 18 55 38 txt)_x000D_
_x000D_
   _x000D_
_x000D_
 Place an X (no spaces) between the brackets to confirm that you have read the line below    _x000D_
   X    I have searched the closed and open issues to make sure that this problem has not already been reported   </t>
  </si>
  <si>
    <t>Anuken-Mindustry-2703</t>
  </si>
  <si>
    <t>tier 4/5 support ground not in tech tree for campaign</t>
  </si>
  <si>
    <t xml:space="preserve">  Platform  :  Android iOS Mac Windows Linux _x000D_
linux mint _x000D_
  Build  :  The build number under the title in the main menu  Required  _x000D_
9932_x000D_
  Issue  :  Explain your issue in detail  _x000D_
the tier 4 and tier 5 units coming after quasar are not on the tech tree_x000D_
  Steps to reproduce  :  How you happened across the issue  and what exactly you did to make the bug happen  _x000D_
(i used ite sourced to unlock everything) after unlocking the exponetial reconstructer no unit appears after the quasar_x000D_
  Link(s) to mod(s) used  :  The mod repositories or zip files that are related to the issue  if applicable  _x000D_
(na)_x000D_
  Save file  :  The save file you were playing on when the bug happened  if applicable  _x000D_
 link to github repositry with campaign save game (https:  github com walksanatora minsave)_x000D_
  Crash report  :  The contents of relevant crash report files  REQUIRED if you are reporting a crash  _x000D_
(not a crash)_x000D_
   _x000D_
_x000D_
 Place an X (no spaces) between the brackets to confirm that you have read the line below    _x000D_
   X    I have searched the closed and open issues to make sure that this problem has not already been reported   _x000D_
</t>
  </si>
  <si>
    <t>Anuken-Mindustry-2700</t>
  </si>
  <si>
    <t>The "Core is under attack!" warning draws over the displayed core resources.</t>
  </si>
  <si>
    <t xml:space="preserve">  Platform  :  Android iOS Mac Windows Linux _x000D_
Linux  may happen on other_x000D_
  Build  :  The build number under the title in the main menu  Required  _x000D_
105_x000D_
  Issue  :  Explain your issue in detail  _x000D_
The  Core is under attack   warning draws over the displayed core resources _x000D_
  Steps to reproduce  :  How you happened across the issue  and what exactly you did to make the bug happen  _x000D_
Enable Display Core resources and let enemy units attack the core _x000D_
  Link(s) to mod(s) used  :  The mod repositories or zip files that are related to the issue  if applicable  _x000D_
X_x000D_
  Save file  :  The save file you were playing on when the bug happened  if applicable  _x000D_
X_x000D_
  Crash report  :  The contents of relevant crash report files  REQUIRED if you are reporting a crash  _x000D_
X_x000D_
   _x000D_
_x000D_
 Place an X (no spaces) between the brackets to confirm that you have read the line below    _x000D_
   x    I have searched the closed and open issues to make sure that this problem has not already been reported   _x000D_
</t>
  </si>
  <si>
    <t>MozillaReality-FirefoxReality-3890</t>
  </si>
  <si>
    <t>[WaveVR] TargetSdkVersion issue in FxR</t>
  </si>
  <si>
    <t xml:space="preserve">   Configuration_x000D_
_x000D_
      State the version number and build ID affected     _x000D_
      The build ID is obtained by clicking on the build date in settings     _x000D_
Firefox Reality version: 12_x000D_
Firefox Reality build ID: f10805c1_x000D_
_x000D_
      Include the name and version of the hardware VR headset you experienced the bug in     _x000D_
Hardware: VIVE Focus_x000D_
_x000D_
   Steps to Reproduce_x000D_
      For bugs  please provide a link to a live web site  test page  or a rough set of    _x000D_
      steps to reproduce this bug  If relevant  include code to reproduce     _x000D_
      Feel free to attach images and GIFs of screen captures     _x000D_
1  Launch FxR on Android 10 headset_x000D_
2  Meet crash symptom_x000D_
_x000D_
   Current Behavior_x000D_
      If describing a bug  tell us what happens instead of the expected behavior     _x000D_
      If suggesting a change improvement  explain the difference from current behavior     _x000D_
Cannot launch FxR and meet crash symptom due to shared memory creation policy is changed on Android 10 _x000D_
_x000D_
   Expected Behavior_x000D_
      If you re describing a bug  tell us what should happen     _x000D_
      If you re suggesting a change improvement  tell us how it should work     _x000D_
Can launch FxR successfully without crash symptom _x000D_
_x000D_
   Possible Solution_x000D_
       Optional     _x000D_
      Feel free to suggest a fix reason for the bug     _x000D_
      or ideas how to implement the addition or change     _x000D_
Please refer to this link for recommended targetSdkVersion among different Wave SDK version  You can set targetSdkVersion to 26 since FxR is currently using Wave SDK 3 1 x _x000D_
https:  hub vive com storage docs en us SDKVersion html highlight targetsdkversion_x000D_
_x000D_
   Context_x000D_
       Optional     _x000D_
      How has this issue affected you  What are you trying to accomplish     _x000D_
      Providing context helps us come up with a solution that is most useful in the real world  :)    _x000D_
_x000D_
   Error Logs and Stack Traces_x000D_
       Optional     _x000D_
      These are very useful for quickly identifying the causes for bug fixes     _x000D_
      In Developer Mode  run  adb logcat  to capture potentially useful logs     _x000D_
 details open _x000D_
_x000D_
      DO NOT REMOVE THIS LINE     _x000D_
   _x000D_
   _x000D_
      DO NOT REMOVE THIS LINE     _x000D_
_x000D_
  details _x000D_
</t>
  </si>
  <si>
    <t>Anuken-Mindustry-2695</t>
  </si>
  <si>
    <t>Force close at sector 173</t>
  </si>
  <si>
    <t xml:space="preserve">  Platform  : Android_x000D_
_x000D_
  Build  : 106_x000D_
_x000D_
  Issue  : Game force closed after launching core to sector 173_x000D_
_x000D_
  Steps to reproduce  : Just launch it_x000D_
_x000D_
  Save file  : _x000D_
 Mindustry zip (https:  github com Anuken Mindustry files 5274130 Mindustry zip) Imported from 105_x000D_
_x000D_
_x000D_
  Crash report  : Force close  no crash_x000D_
_x000D_
   _x000D_
_x000D_
 Place an X (no spaces) between the brackets to confirm that you have read the line below    _x000D_
    X    I have searched the closed and open issues to make sure that this problem has not already been reported   _x000D_
</t>
  </si>
  <si>
    <t>AlphaWallet-alpha-wallet-android-1616</t>
  </si>
  <si>
    <t>Crash in Key Unlock/BiometricPrompt</t>
  </si>
  <si>
    <t xml:space="preserve">   _x000D_
Fatal Exception: java lang NullPointerException: Attempt to invoke virtual method  java lang String android hardware fingerprint FingerprintManager getErrorString(int  int)  on a null object reference_x000D_
       at android hardware biometrics BiometricPrompt lambda sendError 0(BiometricPrompt java:490)_x000D_
       at android hardware biometrics    Lambda BiometricPrompt HqBGXtBUWNc v8NoHYsj2gLfaRw run(:6)_x000D_
       at android os Handler handleCallback(Handler java:907)_x000D_
       at android os Handler dispatchMessage(Handler java:105)_x000D_
       at android os Looper loop(Looper java:216)_x000D_
       at android app ActivityThread main(ActivityThread java:7625)_x000D_
       at java lang reflect Method invoke(Method java)_x000D_
       at com android internal os RuntimeInit MethodAndArgsCaller run(RuntimeInit java:524)_x000D_
       at com android internal os ZygoteInit main(ZygoteInit java:987)_x000D_
   _x000D_
_x000D_
Not sure what is causing this  Could be that the prompt is missing a setup param _x000D_
_x000D_
The above is all the data about the crash I have  Since it s an issue with key usage I m bumping the priority </t>
  </si>
  <si>
    <t>Anuken-Mindustry-2690</t>
  </si>
  <si>
    <t>Crash on Sector Time Out</t>
  </si>
  <si>
    <t xml:space="preserve">  Platform  : Windows_x000D_
_x000D_
  Build  : 106_x000D_
_x000D_
  Issue  : Crash upon  Sector Time Out _x000D_
_x000D_
  Steps to reproduce  : After the warning of  Sector Time Out  click  Skip  _x000D_
_x000D_
  Link(s) to mod(s) used  : No mods_x000D_
_x000D_
  Save file  : None_x000D_
_x000D_
  Crash report  :  crash report 09 23 2020 22 14 37 txt (https:  github com Anuken Mindustry files 5272869 crash report 09 23 2020 22 14 37 txt)_x000D_
_x000D_
   _x000D_
_x000D_
 Place an X (no spaces) between the brackets to confirm that you have read the line below    _x000D_
   X    I have searched the closed and open issues to make sure that this problem has not already been reported   _x000D_
</t>
  </si>
  <si>
    <t>Anuken-Mindustry-2689</t>
  </si>
  <si>
    <t>Crawler leg glitch</t>
  </si>
  <si>
    <t xml:space="preserve">  Platform    Linux _x000D_
_x000D_
  Build  :  105 _x000D_
_x000D_
  Issue  :  The legs of the tier 2 crawler stretched across the screen at wave 45 and they became un killable _x000D_
_x000D_
  Crash report  :  There was no crash _x000D_
  Screenshot from 2020 09 20 13 00 52   2 (https:  user images githubusercontent com 71792358 94072413 9b0d1f80 fdc3 11ea 9a0b cefdb3601266 png)_x000D_
_x000D_
   _x000D_
_x000D_
 Place an X (no spaces) between the brackets to confirm that you have read the line below    _x000D_
        I have searched the closed and open issues to make sure that this problem has not already been reported   _x000D_
</t>
  </si>
  <si>
    <t>Anuken-Mindustry-2688</t>
  </si>
  <si>
    <t>Router+Sorter reduces throughput</t>
  </si>
  <si>
    <t xml:space="preserve">_x000D_
  Platform  :  Android iOS Mac Windows Linux _x000D_
Windows 10_x000D_
_x000D_
  Build  :  The build number under the title in the main menu  Required  _x000D_
9905_x000D_
_x000D_
  Issue  :  Explain your issue in detail  _x000D_
Putting either kind of sorter next to a router distributer significantly slows down throughput_x000D_
  ezgif 3 d5a0b9b6367f (https:  user images githubusercontent com 45698812 94067834 45287f80 fda3 11ea 9d1e d11861b544f7 gif)_x000D_
_x000D_
  Steps to reproduce  :  How you happened across the issue  and what exactly you did to make the bug happen  _x000D_
See gif  or place an item source  conveyor  router  sorter and item void and look at the routers throughput_x000D_
_x000D_
  Link(s) to mod(s) used  :  The mod repositories or zip files that are related to the issue  if applicable  _x000D_
None_x000D_
_x000D_
  Save file  :  The save file you were playing on when the bug happened  if applicable  _x000D_
Doesn t matter_x000D_
_x000D_
  Crash report  :  The contents of relevant crash report files  REQUIRED if you are reporting a crash  _x000D_
None_x000D_
   _x000D_
_x000D_
 Place an X (no spaces) between the brackets to confirm that you have read the line below    _x000D_
   X    I have searched the closed and open issues to make sure that this problem has not already been reported   _x000D_
</t>
  </si>
  <si>
    <t>cgeo-cgeo-9048</t>
  </si>
  <si>
    <t>ArrayIndexOutOfBoundsException when moving caches</t>
  </si>
  <si>
    <t xml:space="preserve">  Describe the bug:  _x000D_
Crash when moving all caches from a list while in selection mode_x000D_
_x000D_
  To Reproduce:  _x000D_
Steps to reproduce the behavior:_x000D_
  Open list of saved caches_x000D_
  Enter selection mode_x000D_
  Select all caches of this list_x000D_
  Select Menu   Manage caches   Move selected_x000D_
  Move caches to a new list_x000D_
  Answer prompt to delete current list with  Yes _x000D_
_x000D_
  Actual behavior state after performing these steps:  _x000D_
Crash_x000D_
_x000D_
  Expected behavior state after performing these steps:  _x000D_
No crash_x000D_
_x000D_
  Version of c:geo used:  _x000D_
2020 09 23 NB but also reported for 2020 08 04_x000D_
_x000D_
  Is the problem reproducible:  _x000D_
Yes_x000D_
_x000D_
  System information:  _x000D_
   _x000D_
    System information    _x000D_
Device: SM G980F (x1seea  samsung)_x000D_
Android version: 10_x000D_
Android build: QP1A 190711 020 G980FXXS4BTHH_x000D_
c:geo version: 2020 09 23 NB 3f87172_x000D_
Google Play services: disabled   20 33 15 (120408 330018294)_x000D_
Low power mode: inactive_x000D_
Compass capabilities: yes_x000D_
Rotation vector sensor: present_x000D_
Orientation sensor: pres_x000D_
Magnetometer   Accelerometer sensor: present_x000D_
Direction sensor used: rotation vector_x000D_
Hide caches: own found_x000D_
Hide waypoints: original parking_x000D_
HW acceleration: enabled (default state)_x000D_
System language: de DE_x000D_
System date format: dd MM yy_x000D_
Debug mode active: no_x000D_
System internal c:geo dir:  data user 0 cgeo geocaching (71 5 GB free) internal_x000D_
User storage c:geo dir:  storage emulated 0 cgeo (71 5 GB free) external non removable_x000D_
Geocache data:  storage F8C9 8968 Android data cgeo geocaching files GeocacheData (22 2 GB free) external removable_x000D_
Database:  data user 0 cgeo geocaching databases data (22 6 MB) on system internal storage_x000D_
Fine location permission: granted_x000D_
Write external storage permission: granted_x000D_
Geocaching sites enabled:_x000D_
   geocaching com: Logged in (Anmeldung OK)   PREMIUM_x000D_
   extremcaching com: Logged in (Anmeldung OK)_x000D_
   opencaching de: Logged in (Anmeldung OK)_x000D_
Geocaching com date format: d MM yyyy_x000D_
Installed c:geo plugins:  none_x000D_
BRouter connection available: false_x000D_
    End of system information    _x000D_
   _x000D_
_x000D_
  Additional context:  _x000D_
Stacktrace:_x000D_
_x000D_
   _x000D_
09 23 20:24:23 881 21770 21770 E AndroidRuntime: java lang ArrayIndexOutOfBoundsException: length 0  index 0_x000D_
09 23 20:24:23 881 21770 21770 E AndroidRuntime: 	at cgeo geocaching ui CacheListAdapter getPositionForSection(CacheListAdapter java:771)_x000D_
09 23 20:24:23 881 21770 21770 E AndroidRuntime: 	at android widget FastScroller getPosFromItemCount(FastScroller java:1302)_x000D_
09 23 20:24:23 881 21770 21770 E AndroidRuntime: 	at android widget FastScroller onItemCountChanged(FastScroller java:534)_x000D_
09 23 20:24:23 881 21770 21770 E AndroidRuntime: 	at android widget AbsListView onLayout(AbsListView java:3054)_x000D_
09 23 20:24:23 881 21770 21770 E AndroidRuntime: 	at android view View layout(View java:23753)_x000D_
09 23 20:24:23 881 21770 21770 E AndroidRuntime: 	at android view ViewGroup layout(ViewGroup java:7277)_x000D_
09 23 20:24:23 881 21770 21770 E AndroidRuntime: 	at android widget LinearLayout setChildFrame(LinearLayout java:1829)_x000D_
09 23 20:24:23 881 21770 21770 E AndroidRuntime: 	at android widget LinearLayout layoutVertical(LinearLayout java:1673)_x000D_
09 23 20:24:23 881 21770 21770 E AndroidRuntime: 	at android widget LinearLayout onLayout(LinearLayout java:1582)_x000D_
09 23 20:24:23 881 21770 21770 E AndroidRuntime: 	at android view View layout(View java:23753)_x000D_
09 23 20:24:23 881 21770 21770 E AndroidRuntime: 	at android view ViewGroup layout(ViewGroup java:7277)_x000D_
09 23 20:24:23 881 21770 21770 E AndroidRuntime: 	at android widget FrameLayout layoutChildren(FrameLayout java:332)_x000D_
09 23 20:24:23 881 21770 21770 E AndroidRuntime: 	at android widget FrameLayout onLayout(FrameLayout java:270)_x000D_
09 23 20:24:23 881 21770 21770 E AndroidRuntime: 	at android view View layout(View java:23753)_x000D_
09 23 20:24:23 881 21770 21770 E AndroidRuntime: 	at android view ViewGroup layout(ViewGroup java:7277)_x000D_
09 23 20:24:23 881 21770 21770 E AndroidRuntime: 	at androidx appcompat widget ActionBarOverlayLayout onLayout(ActionBarOverlayLayout java:530)_x000D_
09 23 20:24:23 881 21770 21770 E AndroidRuntime: 	at android view View layout(View java:23753)_x000D_
09 23 20:24:23 881 21770 21770 E AndroidRuntime: 	at android view ViewGroup layout(ViewGroup java:7277)_x000D_
09 23 20:24:23 881 21770 21770 E AndroidRuntime: 	at android widget FrameLayout layoutChildren(FrameLayout java:332)_x000D_
09 23 20:24:23 881 21770 21770 E AndroidRuntime: 	at android widget FrameLayout onLayout(FrameLayout java:270)_x000D_
09 23 20:24:23 881 21770 21770 E AndroidRuntime: 	at android view View layout(View java:23753)_x000D_
09 23 20:24:23 881 21770 21770 E AndroidRuntime: 	at android view ViewGroup layout(ViewGroup java:7277)_x000D_
09 23 20:24:23 881 21770 21770 E AndroidRuntime: 	at android widget LinearLayout setChildFrame(LinearLayout java:1829)_x000D_
09 23 20:24:23 881 21770 21770 E AndroidRuntime: 	at android widget LinearLayout layoutVertical(LinearLayout java:1673)_x000D_
09 23 20:24:23 881 21770 21770 E AndroidRuntime: 	at android widget LinearLayout onLayout(LinearLayout java:1582)_x000D_
09 23 20:24:23 881 21770 21770 E AndroidRuntime: 	at android view View layout(View java:23753)_x000D_
09 23 20:24:23 881 21770 21770 E AndroidRuntime: 	at android view ViewGroup layout(ViewGroup java:7277)_x000D_
09 23 20:24:23 881 21770 21770 E AndroidRuntime: 	at android widget FrameLayout layoutChildren(FrameLayout java:332)_x000D_
09 23 20:24:23 881 21770 21770 E AndroidRuntime: 	at android widget FrameLayout onLayout(FrameLayout java:270)_x000D_
09 23 20:24:23 881 21770 21770 E AndroidRuntime: 	at com android internal policy DecorView onLayout(DecorView java:1099)_x000D_
09 23 20:24:23 881 21770 21770 E AndroidRuntime: 	at android view View layout(View java:23753)_x000D_
09 23 20:24:23 881 21770 21770 E AndroidRuntime: 	at android view ViewGroup layout(ViewGroup java:7277)_x000D_
09 23 20:24:23 881 21770 21770 E AndroidRuntime: 	at android view ViewRootImpl performLayout(ViewRootImpl java:3678)_x000D_
09 23 20:24:23 881 21770 21770 E AndroidRuntime: 	at android view ViewRootImpl performTraversals(ViewRootImpl java:3138)_x000D_
09 23 20:24:23 881 21770 21770 E AndroidRuntime: 	at android view ViewRootImpl doTraversal(ViewRootImpl java:2199)_x000D_
09 23 20:24:23 881 21770 21770 E AndroidRuntime: 	at android view ViewRootImpl TraversalRunnable run(ViewRootImpl java:9088)_x000D_
09 23 20:24:23 881 21770 21770 E AndroidRuntime: 	at android view Choreographer CallbackRecord run(Choreographer java:999)_x000D_
09 23 20:24:23 881 21770 21770 E AndroidRuntime: 	at android view Choreographer doCallbacks(Choreographer java:797)_x000D_
09 23 20:24:23 881 21770 21770 E AndroidRuntime: 	at android view Choreographer doFrame(Choreographer java:732)_x000D_
09 23 20:24:23 881 21770 21770 E AndroidRuntime: 	at android view Choreographer FrameDisplayEventReceiver run(Choreographer java:984)_x000D_
09 23 20:24:23 881 21770 21770 E AndroidRuntime: 	at android os Handler handleCallback(Handler java:883)_x000D_
09 23 20:24:23 881 21770 21770 E AndroidRuntime: 	at android os Handler dispatchMessage(Handler java:100)_x000D_
09 23 20:24:23 881 21770 21770 E AndroidRuntime: 	at android os Looper loop(Looper java:237)_x000D_
09 23 20:24:23 881 21770 21770 E AndroidRuntime: 	at android app ActivityThread main(ActivityThread java:8154)_x000D_
09 23 20:24:23 881 21770 21770 E AndroidRuntime: 	at java lang reflect Method invoke(Native Method)_x000D_
09 23 20:24:23 881 21770 21770 E AndroidRuntime: 	at com android internal os RuntimeInit MethodAndArgsCaller run(RuntimeInit java:496)_x000D_
09 23 20:24:23 881 21770 21770 E AndroidRuntime: 	at com android internal os ZygoteInit main(ZygoteInit java:1100)_x000D_
   </t>
  </si>
  <si>
    <t>inaturalist-iNaturalistAndroid-912</t>
  </si>
  <si>
    <t>Google Maps bug in LocationChooserActivity.zoomToLocation</t>
  </si>
  <si>
    <t xml:space="preserve">https:  console firebase google com u 2 project inaturalist ios crashlytics app android:org inaturalist android issues 78e75c24ed0505a81a907a61f32aa230_x000D_
https:  console firebase google com u 2 project inaturalist ios crashlytics app android:org inaturalist android issues fc7e68f8d40c43ca09b9aa1cde1b2835_x000D_
https:  console firebase google com u 2 project inaturalist ios crashlytics app android:org inaturalist android issues 6439258d93d0c85ec10675c1963a18eb_x000D_
_x000D_
Not sure if this is something we can actually do anything about  but adding it here just in case _x000D_
_x000D_
   _x000D_
Fatal Exception: com google maps api android lib6 common apiexception c: Error using newLatLngBounds(LatLngBounds  int): View size is too small after padding is applied _x000D_
       at com google maps api android lib6 common m b(m java:4)_x000D_
       at com google maps api android lib6 gmm6 api c a(c java:37)_x000D_
       at com google maps api android lib6 impl w a(w java)_x000D_
       at com google maps api android lib6 gmm6 api c a(c java:47)_x000D_
       at com google maps api android lib6 impl bf a(bf java:249)_x000D_
       at com google android gms maps internal i a(i java:159)_x000D_
       at de onTransact(de java:4)_x000D_
       at android os Binder transact(Binder java:605)_x000D_
       at com google android gms internal maps zza zzb(zza java:20)_x000D_
       at com google android gms maps internal zzg animateCameraWithDurationAndCallback(zzg java:35)_x000D_
       at com google android gms maps GoogleMap animateCamera(GoogleMap java:31)_x000D_
       at org inaturalist android LocationChooserActivity lambda zoomToLocation 14(LocationChooserActivity java:635)_x000D_
       at org inaturalist android    Lambda LocationChooserActivity 0nrMYx1S4Z03pMW1UDIDltGMrlg run(  java:6)_x000D_
       at android os Handler handleCallback(Handler java:808)_x000D_
       at android os Handler dispatchMessage(Handler java:101)_x000D_
       at android os Looper loop(Looper java:166)_x000D_
       at android app ActivityThread main(ActivityThread java:7523)_x000D_
       at java lang reflect Method invoke(Method java)_x000D_
       at com android internal os Zygote MethodAndArgsCaller run(Zygote java:245)_x000D_
       at com android internal os ZygoteInit main(ZygoteInit java:921)_x000D_
   </t>
  </si>
  <si>
    <t>Anuken-Mindustry-2682</t>
  </si>
  <si>
    <t>Scatter not accepting ammo</t>
  </si>
  <si>
    <t xml:space="preserve">  Platform  :  Android iOS Mac Windows Linux _x000D_
Windows_x000D_
_x000D_
  Build  :  The build number under the title in the main menu  Required  _x000D_
Steam build 105_x000D_
_x000D_
  Issue  :  Explain your issue in detail  _x000D_
_x000D_
 on the very first level ground zero_x000D_
The scatter just won t accept any ammo no matter how you try to input it_x000D_
i ve tried using lead scrap_x000D_
Putting ammo in directly via placing them next to mines_x000D_
putting ammo in through conveyor directly by just ending the conveyor into it_x000D_
putting ammo in through any sorta router gates _x000D_
taking ammo directly from the ship and trying to place it into the scatter it works with other turrets but the scatter is not selectable _x000D_
_x000D_
it is not important since it s not needed but it is broken _x000D_
_x000D_
  Steps to reproduce  :  How you happened across the issue  and what exactly you did to make the bug happen  _x000D_
_x000D_
idk i just completed the regular game up to wave like 400  on nuclear complex then opted into the beta _x000D_
then i just played through the first level _x000D_
_x000D_
  Link(s) to mod(s) used  :  The mod repositories or zip files that are related to the issue  if applicable  _x000D_
_x000D_
this is the only mod that changes files but it says its not compatable i removed it and it s still not accepting ammo _x000D_
Real life mod   https:  steamcommunity com sharedfiles filedetails  id 1993262831   Not installed anymore_x000D_
_x000D_
the rest of the workshop stuff is just schematics i can list them as well if needed _x000D_
_x000D_
  Save file  :  The save file you were playing on when the bug happened  if applicable  _x000D_
_x000D_
 sector serpulo 15 zip (https:  github com Anuken Mindustry files 5269612 sector serpulo 15 zip)_x000D_
i hope this is it it is the latest save i loaded to check and see if removing that mod was the cause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</si>
  <si>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Anuken-Mindustry-2681</t>
  </si>
  <si>
    <t>Savegame corrupting certain sectors</t>
  </si>
  <si>
    <t xml:space="preserve">  Platform  :  Android _x000D_
_x000D_
  Build  :  9980 _x000D_
  Issue  :   certain sectors(npc  tar fields) maps resetting after resorting game data  _x000D_
  Steps to reproduce  :  Before going down to sector  all stats are there  but when i hit resume and beam down  it says save game corrupt and map and sector stats resets  Tried 9981 through 90 and 9998  Nothing works _x000D_
_x000D_
  Link(s) to mod(s) used  :  none   _x000D_
_x000D_
  Save file  :  The save file you were playing on when the bug happened  if applicable  _x000D_
_x000D_
  Crash report  :  The contents of relevant crash report files  REQUIRED if you are reporting a crash  _x000D_
_x000D_
   _x000D_
_x000D_
 Place an (X) between the brackets to confirm that you have read the line below    _x000D_
   x    I have searched the closed and open issues to make sure that this problem has not already been reported   _x000D_
 be 9880 zip (https:  github com Anuken Mindustry files 5269476 be 9880 zip)_x000D_
</t>
  </si>
  <si>
    <t>borconi-WifiLauncherforHUR-5</t>
  </si>
  <si>
    <t>MIUI 12 Wi-Fi Control Special App Access crashing loop on startup</t>
  </si>
  <si>
    <t>MIUI has an issue on his end and it s crashing when we are adding Wi Fi Suggestions in Android 10 and up if Wi Fi Control Special App Access is not granted _x000D_
_x000D_
  Solution  _x000D_
Add a screen just for MIUI users to guide users to grant manually Wi Fi Control Special App Access before trying to add a Wi Fi Suggestion_x000D_
_x000D_
In addition we should research if we could check if Wi Fi Control Special App Access is granted  to display this screen for non MIUI users too (if user dismissed it or deny access by mistake)  This access must be granted in all cases _x000D_
_x000D_
  Workaround  _x000D_
Grant Wi Fi control Special App Access permissions before start it for the first time_x000D_
_x000D_
  More Info  _x000D_
https:  forum xda developers com general paid software android 4 1 headunit reloaded android t3432348 post83563121 post83563121_x000D_
_x000D_
  App version  _x000D_
v3 1_x000D_
_x000D_
  Devices Affected  _x000D_
Xiaomi MIUI 12 _x000D_
(We don t know if others MIUI versions are affected too)</t>
  </si>
  <si>
    <t>google-ExoPlayer-7977</t>
  </si>
  <si>
    <t>The ongoing parameter of onNotificationPosted does not indicate to put the service in foreground</t>
  </si>
  <si>
    <t xml:space="preserve">  EDIT:  _x000D_
_x000D_
I suspect that  onNotificationPosted  is not posted because the phone app s notification during the call is in place and thus  Exoplayer cannot post its notfication  Thus   onNotificationPosted  is not called  Could that be the reason  If yes  where else would be an appropriate place to make a call to  startForeground  and  stopForeground  if not in  onNotificationPosted  _x000D_
_x000D_
     EDIT END     _x000D_
_x000D_
I am streaming mp3s using  Exoplayer   I have an  AudioPlayerService  which is started via  Util startForegroundService   The service creates the player instance and registers the notfications like this:_x000D_
_x000D_
   _x000D_
        PlayerNotificationManager NotificationListener notificationListener   new PlayerNotificationManager NotificationListener()  _x000D_
             Override_x000D_
            public void onNotificationCancelled(int notificationId  boolean dismissedByUser)  _x000D_
                if (dismissedByUser)  _x000D_
                    stopService() _x000D_
                    sendBroadcast(new Intent(Constants FINISH ACTION)) _x000D_
                  else  _x000D_
                       It seems the system killed the service_x000D_
                    AudioUtils saveCurrentMediaState(player getCurrentWindowIndex()  player getCurrentPosition()  AudioPlayerService this) _x000D_
                 _x000D_
             _x000D_
_x000D_
             Override_x000D_
            public void onNotificationPosted(int notificationId  Notification notification  boolean ongoing)  _x000D_
                if ( ongoing)  _x000D_
                    stopForeground(false) _x000D_
                  else  _x000D_
                    startForeground(notificationId  notification) _x000D_
                 _x000D_
             _x000D_
          _x000D_
   _x000D_
_x000D_
Now  this is the problem: When the user starts an mp3   during a phone call    Util startForegroundService is called as expected but onNotificationPosted is never called (I verified this in the debugger)  As a result   stopForeground  is not called which leads to the crash  RemoteServiceException: Context startForegroundService() did not then call Service startForeground()   _x000D_
_x000D_
Steps to reproduce:_x000D_
1) Start a phone call _x000D_
2) Start an mp3 within a service using  Util startForegroundService  _x000D_
3) Crash _x000D_
_x000D_
Of course  the scenario is hypothetical because nobody will start an mp3 during a phone call  However  this could happen accidentally and the app is not supposed to crash  _x000D_
_x000D_
Do I have to check in my app if there is a phone call going on and   if yes   not call startForegroundService  Or what am I supposed to do to catch this error _x000D_
_x000D_
Please note that wihtout an active phone call  everything works as expected _x000D_
_x000D_
Here is my Logcat containing the crash (during a phone call):_x000D_
_x000D_
   _x000D_
          beginning of main_x000D_
09 23 16:59:38 535  7513  7513 D ViewRootImpl c873f2d PlayerActivity : ViewPostIme key 0_x000D_
09 23 16:59:38 597  7513  7513 D ViewRootImpl c873f2d PlayerActivity : ViewPostIme key 1_x000D_
09 23 16:59:38 625  7513  7717 V FA      : Recording user engagement  ms: 75624_x000D_
09 23 16:59:38 631  7513  7513 D ViewRootImpl c873f2d PlayerActivity : MSG WINDOW FOCUS CHANGED 0_x000D_
09 23 16:59:38 634  7513  7717 V FA      : Connecting to remote service_x000D_
09 23 16:59:38 640  7513  7717 V FA      : Activity paused  time: 96545547_x000D_
09 23 16:59:38 645  7513  7717 D FA      : Event not sent since app measurement is disabled_x000D_
09 23 16:59:38 646  7513  7717 V FA      : Activity resumed  time: 96545570_x000D_
09 23 16:59:38 661  7513  7717 D FA      : Event not sent since app measurement is disabled_x000D_
09 23 16:59:38 662  7513  7717 V FA      : Connection attempt already in progress_x000D_
09 23 16:59:38 680  7513  7513 W StaticLayout: maxLineHeight should not be  1   maxLines:1 lineCount:1_x000D_
09 23 16:59:38 697  7513  7513 I chatty  : uid 10325(u0 a325) identical 2 lines_x000D_
09 23 16:59:38 705  7513  7513 W StaticLayout: maxLineHeight should not be  1   maxLines:1 lineCount:1_x000D_
09 23 16:59:38 739  7513  7513 W StaticLayout: maxLineHeight should not be  1   maxLines:1 lineCount:1_x000D_
09 23 16:59:38 771  7513  7513 I chatty  : uid 10325(u0 a325) identical 2 lines_x000D_
09 23 16:59:38 771  7513  7513 W StaticLayout: maxLineHeight should not be  1   maxLines:1 lineCount:1_x000D_
09 23 16:59:38 794  7513  7513 V Surface : sf framedrop debug : 0x4f4c  game : false  logging : 0_x000D_
09 23 16:59:38 794  7513  7513 D ViewRootImpl e1e5a9 AudioListActivity : Relayout returned: old  0 0  1080 1920  new  0 0  1080 1920  result 0x7 surface  valid true 506447368192  changed true_x000D_
09 23 16:59:38 800  7513  7570 D mali winsys: EGLint new window surface(egl winsys display    void    EGLSurface  EGLConfig  egl winsys surface     egl color buffer format    EGLBoolean) returns 0x3000    1080x1920  format:1_x000D_
09 23 16:59:38 800  7513  7570 D OpenGLRenderer: eglCreateWindowSurface   0x75f2c296e0_x000D_
09 23 16:59:38 804  7513  7513 D ViewRootImpl e1e5a9 AudioListActivity : MSG WINDOW FOCUS CHANGED 1_x000D_
09 23 16:59:38 807  7513  7513 V InputMethodManager: Starting input: tba android view inputmethod EditorInfo a658586 nm : de widmer offerings activities ic null_x000D_
09 23 16:59:38 807  7513  7513 I InputMethodManager: startInputInner   mService startInputOrWindowGainedFocus_x000D_
09 23 16:59:38 839  7513  7717 D FA      : Connected to remote service_x000D_
09 23 16:59:38 841  7513  7717 V FA      : Processing queued up service tasks: 2_x000D_
09 23 16:59:38 848  7513  7570 D OpenGLRenderer: eglDestroySurface   0x75dae6f550_x000D_
09 23 16:59:38 854  7513  7513 D ViewRootImpl c873f2d PlayerActivity : Relayout returned: old  0 0  1080 1920  new  0 0  1080 1920  result 0x5 surface  valid false 0  changed true_x000D_
09 23 16:59:39 303  7513  7513 D ViewRootImpl c873f2d PlayerActivity : dispatchDetachedFromWindow_x000D_
09 23 16:59:39 303  7513  7513 D InputEventReceiver: channel  c6a9fa7 de widmer offerings activities de widmer offerings activities PlayerActivity (client)    Disposing input event receiver _x000D_
09 23 16:59:39 303  7513  7513 D InputEventReceiver: channel  c6a9fa7 de widmer offerings activities de widmer offerings activities PlayerActivity (client)   NativeInputEventReceiver _x000D_
09 23 16:59:39 321  7513  7513 I ExoPlayerImpl: Release 4c5a129  ExoPlayerLib 2 12 0   herolte  SM G930F  samsung  26   goog exo core  goog exo ui  goog exo mediasession  goog exo cronet _x000D_
09 23 16:59:39 323  7513  7617 I ACodec  :  OMX google mp3 decoder  signalFlush_x000D_
09 23 16:59:39 325  7513  7719 D AudioTrack: stop() called with 0 frames delivered_x000D_
09 23 16:59:39 325  7513  7617 I ACodec  :  OMX google mp3 decoder  ExecutingState flushing now (codec owns 4 4 input  0 4 output) _x000D_
09 23 16:59:39 325  7513  7719 I AudioTrack: updateAudioTranstionLength FadeIn 0  FadeOut 0  FadeInRing 0 _x000D_
09 23 16:59:39 326  7513  7617 I ACodec  :  OMX google mp3 decoder  Now Flushing_x000D_
09 23 16:59:39 326  7513  7617 I ACodec  :  OMX google mp3 decoder  FlushingState onOMXEvent(0 1 0)_x000D_
09 23 16:59:39 326  7513  7617 I ACodec  :  OMX google mp3 decoder  FlushingState onOMXEvent(0 1 1)_x000D_
09 23 16:59:39 327  7513  7617 I ACodec  :  OMX google mp3 decoder  Now Executing_x000D_
09 23 16:59:39 329  7513  7617 I ACodec  :  OMX google mp3 decoder  Now Executing  Idle_x000D_
09 23 16:59:39 334  7513  7617 I ACodec  :  OMX google mp3 decoder  Now Idle  Loaded_x000D_
09 23 16:59:39 334  7513  7617 I ACodec  :  OMX google mp3 decoder  Now Loaded_x000D_
09 23 16:59:39 335  7513  7617 I ACodec  :   OMX google mp3 decoder  Now uninitialized_x000D_
09 23 16:59:39 335  7513  7617 I ACodec  :     Now kWhatShutdownCompleted event : 8483_x000D_
09 23 16:59:39 336  7513  7617 I MediaCodec: Codec shutdown complete_x000D_
09 23 16:59:39 403  7513  7518 I zygote64: Do full code cache collection  code 503KB  data 338KB_x000D_
09 23 16:59:39 405  7513  7518 I zygote64: After code cache collection  code 468KB  data 269KB_x000D_
09 23 16:59:39 406  7513  7513 D AndroidRuntime: Shutting down VM_x000D_
          beginning of crash_x000D_
09 23 16:59:39 411  7513  7513 E AndroidRuntime: FATAL EXCEPTION: main_x000D_
09 23 16:59:39 411  7513  7513 E AndroidRuntime: Process: de widmer offerings activities  PID: 7513_x000D_
09 23 16:59:39 411  7513  7513 E AndroidRuntime: android app RemoteServiceException: Context startForegroundService() did not then call Service startForeground()_x000D_
09 23 16:59:39 411  7513  7513 E AndroidRuntime: 	at android app ActivityThread H handleMessage(ActivityThread java:1881)_x000D_
09 23 16:59:39 411  7513  7513 E AndroidRuntime: 	at android os Handler dispatchMessage(Handler java:105)_x000D_
09 23 16:59:39 411  7513  7513 E AndroidRuntime: 	at android os Looper loop(Looper java:164)_x000D_
09 23 16:59:39 411  7513  7513 E AndroidRuntime: 	at android app ActivityThread main(ActivityThread java:6944)_x000D_
09 23 16:59:39 411  7513  7513 E AndroidRuntime: 	at java lang reflect Method invoke(Native Method)_x000D_
09 23 16:59:39 411  7513  7513 E AndroidRuntime: 	at com android internal os Zygote MethodAndArgsCaller run(Zygote java:327)_x000D_
09 23 16:59:39 411  7513  7513 E AndroidRuntime: 	at com android internal os ZygoteInit main(ZygoteInit java:1374)_x000D_
09 23 17:00:06 123  7742  7742 W SELinux : SELinux selinux android compute policy index : Policy Index 2    Con:u:r:runas:s0 RAM:SEPF SM G930F 8 0 0 0018    1  1  1  1 0 1 _x000D_
09 23 17:00:06 126  7742  7742 I SELinux : SELinux: seapp context lookup: seinfo untrusted  level s0:c512 c768  pkgname de widmer offerings activities _x000D_
09 23 17:00:06 464  7758  7758 W SELinux : SELinux selinux android compute policy index : Policy Index 2    Con:u:r:zygote:s0 RAM:SEPF SM G930F 8 0 0 0018    1  1  1  1 0 1 _x000D_
09 23 17:00:06 465  7758  7758 I SELinux : SELinux: seapp context lookup: seinfo untrusted  level s0:c512 c768  pkgname de widmer offerings activities _x000D_
09 23 17:00:06 467  7758  7758 I zygote64: Late enabling  Xcheck:jni_x000D_
09 23 17:00:06 515  7758  7758 D TimaKeyStoreProvider: TimaKeyStore is not enabled: cannot add TimaSignature Service and generateKeyPair Service_x000D_
09 23 17:00:06 516  7758  7758 D ActivityThread: Added TimaKeyStore provider_x000D_
   </t>
  </si>
  <si>
    <t>nextcloud-android-6998</t>
  </si>
  <si>
    <t>NC client crashing on sync</t>
  </si>
  <si>
    <t xml:space="preserve">    Steps to reproduce_x000D_
1  Set up NC client_x000D_
2  Wait_x000D_
3  Device Credentials Backup screen shows a few times  then crash report shows _x000D_
_x000D_
    Expected behaviour_x000D_
Not crash_x000D_
_x000D_
    Actual behaviour_x000D_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java lang SecurityException: Caller no longer running  last stopped  45s672ms because: timed out while starting_x000D_
  at android os Parcel createException(Parcel java:1966)_x000D_
  at android os Parcel readException(Parcel java:1934)_x000D_
  at android os Parcel readException(Parcel java:1884)_x000D_
  at android app job IJobCallback Stub Proxy dequeueWork(IJobCallback java:195)_x000D_
  at android app job JobParameters dequeueWork(JobParameters java:243)_x000D_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Caused by: android os RemoteException: Remote stack trace:_x000D_
  at com android server job JobServiceContext assertCallerLocked(JobServiceContext java:481)_x000D_
  at com android server job JobServiceContext doDequeueWork(JobServiceContext java:359)_x000D_
  at com android server job JobServiceContext JobCallback dequeueWork(JobServiceContext java:160)_x000D_
  at android app job IJobCallback Stub onTransact(IJobCallback java:83)_x000D_
  at android os Binder execTransact(Binder java:739)_x000D_
_x000D_
             APP INFORMATION             _x000D_
ID: com nextcloud client_x000D_
Version: 30120190_x000D_
Build flavor: generic_x000D_
_x000D_
             DEVICE INFORMATION             _x000D_
Brand: samsung_x000D_
Device: greatlteks_x000D_
Model: SM N950N_x000D_
Id: PPR1 180610 011_x000D_
Product: greatlteks_x000D_
_x000D_
             FIRMWARE             _x000D_
SDK: 28_x000D_
Release: 9_x000D_
Incremental: N950NKSU5DTG1_x000D_
</t>
  </si>
  <si>
    <t>Anuken-Mindustry-2676</t>
  </si>
  <si>
    <t>Private server crash (steam)</t>
  </si>
  <si>
    <t xml:space="preserve">  Platform  : Windows_x000D_
_x000D_
  Build  :  The build number under the title in the main menu  Required   Steam 105_x000D_
_x000D_
  Issue  :  Explain your issue in detail   One s client crashes when trying to join friend s lobby_x000D_
_x000D_
  Steps to reproduce  :  How you happened across the issue  and what exactly you did to make the bug happen  _x000D_
I  My lobby_x000D_
1) I started a PvP match  hosting the private server for 2 people _x000D_
2) Invited a friend to join the lobby _x000D_
3) Friend told me that his game crashed  Fortunately he gave me his crash report  (no  1)_x000D_
_x000D_
II  Friend s lobby_x000D_
Then the friend tried to host a PvP match in an another map  but same issue had happened for me (my client crashed)  See steps above  (crash no  2)_x000D_
_x000D_
  Link(s) to mod(s) used  :  The mod repositories or zip files that are related to the issue  if applicable   None_x000D_
_x000D_
  Save file  :  The save file you were playing on when the bug happened  if applicable   It s probably useless to send saves as PvP match is always paused when there s only 1 player _x000D_
_x000D_
  Crash report  :  The contents of relevant crash report files  REQUIRED if you are reporting a crash  _x000D_
no  1_x000D_
   _x000D_
java lang RuntimeException: Failed to to read remote method  onInfoPopup  _x000D_
    at mindustry gen RemoteReadClient readPacket(RemoteReadClient java:184)_x000D_
    at mindustry core NetClient lambda new 4(NetClient java:134)_x000D_
    at mindustry net Net handleClientReceived(Net java:247)_x000D_
    at mindustry desktop steam SNet 1 update(SNet java:83)_x000D_
    at arc backend sdl SdlApplication listen(SdlApplication java:158)_x000D_
    at arc backend sdl SdlApplication loop(SdlApplication java:146)_x000D_
    at arc backend sdl SdlApplication  init (SdlApplication java:52)_x000D_
    at mindustry desktop DesktopLauncher main(DesktopLauncher java:46)_x000D_
Caused by: java nio BufferUnderflowException_x000D_
    at java nio Buffer nextGetIndex(Buffer java:506)_x000D_
    at java nio HeapByteBuffer getShort(HeapByteBuffer java:310)_x000D_
    at mindustry io TypeIO readString(TypeIO java:310)_x000D_
    at mindustry gen RemoteReadClient readPacket(RemoteReadClient java:175)_x000D_
        7 more_x000D_
   _x000D_
no  2_x000D_
   _x000D_
java lang RuntimeException: Failed to to read remote method  onEffect  _x000D_
	at mindustry gen RemoteReadClient readPacket(RemoteReadClient java:198)_x000D_
	at mindustry core NetClient lambda new 4(NetClient java:128)_x000D_
	at mindustry net Net handleClientReceived(Net java:249)_x000D_
	at mindustry desktop steam SNet 1 update(SNet java:82)_x000D_
	at arc backend sdl SdlApplication listen(SdlApplication java:170)_x000D_
	at arc backend sdl SdlApplication loop(SdlApplication java:158)_x000D_
	at arc backend sdl SdlApplication  init (SdlApplication java:52)_x000D_
	at mindustry desktop DesktopLauncher main(DesktopLauncher java:36)_x000D_
Caused by: java lang RuntimeException: java io EOFException_x000D_
	at arc util io Reads us(Reads java:54)_x000D_
	at mindustry io TypeIO readEffect(TypeIO java:425)_x000D_
	at mindustry gen RemoteReadClient readPacket(RemoteReadClient java:191)_x000D_
	    7 more_x000D_
Caused by: java io EOFException_x000D_
	at java io DataInputStream readUnsignedShort(DataInputStream java:340)_x000D_
	at arc util io Reads us(Reads java:52)_x000D_
	    9 more_x000D_
   _x000D_
_x000D_
   _x000D_
_x000D_
 Place an X (no spaces) between the brackets to confirm that you have read the line below    _x000D_
   x    I have searched the closed and open issues to make sure that this problem has not already been reported   _x000D_
</t>
  </si>
  <si>
    <t>material-components-material-components-android-1748</t>
  </si>
  <si>
    <t xml:space="preserve">[TextInputLayout] Loading state solution using END_ICON_CUSTOM and END_ICON_CLEAR_TEXT crashes app  </t>
  </si>
  <si>
    <t xml:space="preserve">  Description:   _x000D_
_x000D_
Setting a custom loading state to TextInputLayout using guide described  here (https:  stackoverflow com a 57661169 13088785) causes unexpected crash of the application on most versions of the library  _x000D_
_x000D_
Stacktrace:_x000D_
_x000D_
   _x000D_
E AndroidRuntime: FATAL EXCEPTION: main_x000D_
    Process: fi vpuonti textinputlayoutbug  PID: 26919_x000D_
    java lang IndexOutOfBoundsException: Index: 2  Size: 2_x000D_
        at java util ArrayList get(ArrayList java:437)_x000D_
        at android widget TextView sendOnTextChanged(TextView java:10610)_x000D_
        at android widget TextView handleTextChanged(TextView java:10700)_x000D_
        at android widget TextView ChangeWatcher onTextChanged(TextView java:13454)_x000D_
        at android text SpannableStringBuilder sendTextChanged(SpannableStringBuilder java:1282)_x000D_
        at android text SpannableStringBuilder replace(SpannableStringBuilder java:591)_x000D_
        at android text SpannableStringBuilder replace(SpannableStringBuilder java:522)_x000D_
        at android text SpannableStringBuilder replace(SpannableStringBuilder java:42)_x000D_
        at android view inputmethod BaseInputConnection replaceText(BaseInputConnection java:843)_x000D_
        at android view inputmethod BaseInputConnection setComposingText(BaseInputConnection java:616)_x000D_
        at com android internal view IInputConnectionWrapper executeMessage(IInputConnectionWrapper java:393)_x000D_
        at com android internal view IInputConnectionWrapper MyHandler handleMessage(IInputConnectionWrapper java:89)_x000D_
        at android os Handler dispatchMessage(Handler java:107)_x000D_
        at android os Looper loop(Looper java:214)_x000D_
        at android app ActivityThread main(ActivityThread java:7710)_x000D_
        at java lang reflect Method invoke(Native Method)_x000D_
        at com android internal os RuntimeInit MethodAndArgsCaller run(RuntimeInit java:516)_x000D_
        at com android internal os ZygoteInit main(ZygoteInit java:950)_x000D_
_x000D_
   _x000D_
_x000D_
  broken (https:  user images githubusercontent com 25032592 94000536 f7f6de80 fd9f 11ea 857d a8813c4bcdfd gif)_x000D_
_x000D_
_x000D_
  Expected behavior:   _x000D_
_x000D_
  Text is entered_x000D_
  Text is sent to ViewModel_x000D_
  ViewModel updates search state to  Loading _x000D_
  Activity reacts to search state and calls  showLoading() _x000D_
  Progress drawable is shown in  endIconDrawable _x000D_
  ViewModel completes search processing and updates Search state to  Success _x000D_
  Activity reacts to Search state and calls  hideLoading() _x000D_
  Default  X  drawable is shown in  endIconDrawable _x000D_
_x000D_
  working (https:  user images githubusercontent com 25032592 94000354 bfef9b80 fd9f 11ea 9d85 b5704cf28adf gif)_x000D_
_x000D_
_x000D_
  Source code:   _x000D_
_x000D_
Sample app: https:  github com vpuonti TextInputLayoutBug_x000D_
_x000D_
Relevant snippets:_x000D_
   kotlin_x000D_
    private fun showLoading()  _x000D_
        mTextInputLayout endIconMode   TextInputLayout END ICON CUSTOM_x000D_
        mTextInputLayout endIconDrawable   mProgressDrawable_x000D_
        (mTextInputLayout endIconDrawable as Animatable) start()_x000D_
     _x000D_
_x000D_
    private fun hideLoading()  _x000D_
        (mTextInputLayout endIconDrawable as Animatable) stop()_x000D_
        mTextInputLayout endIconMode   TextInputLayout END ICON CLEAR TEXT_x000D_
     _x000D_
   _x000D_
_x000D_
  Android API version:   _x000D_
_x000D_
Android 10 API 29  _x000D_
_x000D_
  Material Library version:   _x000D_
_x000D_
Used version in repro app:  1 2 1  _x000D_
_x000D_
Also tested on other versions:_x000D_
_x000D_
  Version   Working as expected  _x000D_
         _x000D_
  1 1 0   no (loading icon sometimes disappears)  _x000D_
  1 2 0 alpha05   yes  _x000D_
  1 2 0 alpha06   yes  _x000D_
  1 2 0 beta01   no  _x000D_
  1 2 0 rc01   no  _x000D_
  1 2 0   no  _x000D_
  1 2 1   no  _x000D_
  1 3 0 alpha01   no  _x000D_
  1 3 0 alpha02   no  _x000D_
_x000D_
  Device:   _x000D_
_x000D_
OnePlus 7  Bug also reproducible on emulators  _x000D_
</t>
  </si>
  <si>
    <t>masavoyat-MicStream-7</t>
  </si>
  <si>
    <t xml:space="preserve">Shutdown immediately on Android 10 </t>
  </si>
  <si>
    <t xml:space="preserve">Dear Madam Sir _x000D_
_x000D_
I have tried to implement this solution on Android 10 device _x000D_
However  while the app is initiated  it unexpectedly quits (crashes) _x000D_
Any suggestions would be highly appreciated _x000D_
_x000D_
Thanks _x000D_
_x000D_
Best </t>
  </si>
  <si>
    <t>Anuken-Mindustry-2674</t>
  </si>
  <si>
    <t>Factory blocks have low health on campaign maps</t>
  </si>
  <si>
    <t xml:space="preserve">  Platform  : Any_x000D_
_x000D_
  Build  : All bleeding edge v6 builds_x000D_
_x000D_
  Issue  : On maps that have factory blocks already built when you land  their HP is lower than normal  they are damaged  This happens both to your factory blocks  as well as enemy s  The procedually generated sectors do not have such issues  The maps that have this are Ruinous shores (the kiln next to solar battery)  Fungal pass (all graphite presses)  probably any other attack sector that existed in old v5 campaign _x000D_
_x000D_
  Steps to reproduce  : Land in Fungal pass  since it s the first sector to have this bug  See the graphite press under the core  It will have around 1 3 of normal HP  Same for enemy presses  kilns and probably other things _x000D_
_x000D_
  Link(s) to mod(s) used  : No mods_x000D_
_x000D_
  Save file  : Any campaign_x000D_
_x000D_
  Crash report  : Not a crash_x000D_
_x000D_
   _x000D_
_x000D_
 Place an X (no spaces) between the brackets to confirm that you have read the line below    _x000D_
   X    I have searched the closed and open issues to make sure that this problem has not already been reported   _x000D_
</t>
  </si>
  <si>
    <t>salesforce-reactive-grpc-226</t>
  </si>
  <si>
    <t>Dependency conflicts on io.netty:netty-common, leading to inconsistent program behaviors</t>
  </si>
  <si>
    <t>Hi  in   reactive grpc common reactive grpc benchmarks    there are mulptiple versions of library   io netty:netty common    However  according to Maven s dependency management strategy:     first declaration wins      only   io netty:netty common:4 1 33 Final   can be loaded  and   io netty:netty common:4 1 38 Final   will be shadowed _x000D_
_x000D_
  In total  there are 4 conflicting API pairs between these two library version   _x000D_
_x000D_
As shown in the following figure  your project expects to invoke method     io netty util AbstractReferenceCounted: refCnt()I      in library    io netty:netty common:4 1 38 Final    (along the  original dependency path )  As it has been shadowed  this method defined in    io netty:netty common:4 1 33 Final    is actually forced to be referenced via the following invocation path (along the  actual dependency path ):_x000D_
_x000D_
   _x000D_
 com salesforce reactivegrpc jmh proto Control ScenarioResult: getSerializedSize()I   home wwww sensor unzip reactive grpc 1 0 1 common reactive grpc benchmarks target classes_x000D_
 io netty handler codec HeadersUtils 1: get(I)Ljava lang Object    home wwww  m2 repository io netty netty codec 4 1 38 Final netty codec 4 1 38 Final jar_x000D_
 io netty handler codec HeadersUtils 1: get(I)Ljava lang String    home wwww  m2 repository io netty netty codec 4 1 38 Final netty codec 4 1 38 Final jar_x000D_
 io netty util ReferenceCountUtil ReleasingTask: toString()Ljava lang String    home wwww  m2 repository io netty netty common 4 1 33 Final netty common 4 1 33 Final jar_x000D_
 io netty handler ssl ReferenceCountedOpenSslContext: refCnt()I   home wwww  m2 repository io netty netty handler 4 1 38 Final netty handler 4 1 38 Final jar_x000D_
 io netty util AbstractReferenceCounted: refCnt()I _x000D_
   _x000D_
_x000D_
  reactive grpc (https:  user images githubusercontent com 46306510 93980449 38128d00 fdb1 11ea 8a4c a3d7431f8310 png)_x000D_
_x000D_
_x000D_
Although both of these conflicting libraries contain the referenced methods (   with the same signature   )  they have    different implementations     This issue will not cause runtime crashes  but it can introduce inconsistent semantic program hehaviors    _x000D_
_x000D_
Code snippet of     io netty util AbstractReferenceCounted: refCnt()I     in    io netty:netty common:4 1 38 Final     (shadowed but expected to invoke method):_x000D_
_x000D_
 details  summary detailed method body  summary _x000D_
_x000D_
_x000D_
   java_x000D_
public int refCnt()  _x000D_
        return updater refCnt(this) _x000D_
     _x000D_
_x000D_
_x000D_
  instance : updater_x000D_
public final int refCnt(T instance)  _x000D_
        return realRefCnt(updater() get(instance)) _x000D_
     _x000D_
_x000D_
private static int realRefCnt(int rawCnt)  _x000D_
        return rawCnt    2    rawCnt    4    (rawCnt   1)    0   0 : rawCnt     1 _x000D_
     _x000D_
   _x000D_
_x000D_
  details _x000D_
_x000D_
_x000D_
Code snippet of     io netty util AbstractReferenceCounted: refCnt()I     in    io netty:netty common:4 1 33 Final    (loaded version):_x000D_
_x000D_
 details  summary detailed method body  summary _x000D_
_x000D_
_x000D_
   java_x000D_
public int refCnt()  _x000D_
        return realRefCnt(refCntUpdater get(this)) _x000D_
     _x000D_
_x000D_
private static int realRefCnt(int rawCnt)  _x000D_
        return (rawCnt   1)    0   0 : rawCnt     1 _x000D_
     _x000D_
   _x000D_
_x000D_
  details _x000D_
_x000D_
_x000D_
  The detailed informantion of the remaining 3 conflicting API pairs can be found in the following attachment   _x000D_
 4 conflicting API pairs in project reactive grpc benchmarks txt (https:  github com salesforce reactive grpc files 5428306 4 conflicting API pairs in project reactive grpc benchmarks txt)_x000D_
_x000D_
_x000D_
     Dependency tree    _x000D_
_x000D_
 INFO  com salesforce servicelibs:reactive grpc benchmarks:jar:1 0 1_x000D_
 INFO     io reactivex rxjava2:rxjava:jar:2 2 12:compile_x000D_
 INFO        org reactivestreams:reactive streams:jar:1 0 2:compile_x000D_
 INFO     com salesforce servicelibs:reactor grpc stub:jar:1 0 1:compile_x000D_
 INFO        com salesforce servicelibs:reactive grpc common:jar:1 0 1:compile_x000D_
 INFO           javax annotation:javax annotation api:jar:1 3 2:compile_x000D_
 INFO           (org reactivestreams:reactive streams:jar:1 0 2:compile   omitted for duplicate)_x000D_
 INFO           (io grpc:grpc stub:jar:1 23 0:compile   omitted for duplicate)_x000D_
 INFO        io projectreactor:reactor core:jar:3 2 12 RELEASE:compile_x000D_
 INFO           (org reactivestreams:reactive streams:jar:1 0 2:compile   omitted for duplicate)_x000D_
 INFO     com salesforce servicelibs:rxgrpc stub:jar:1 0 1:compile_x000D_
 INFO        (com salesforce servicelibs:reactive grpc common:jar:1 0 1:compile   omitted for duplicate)_x000D_
 INFO        (io reactivex rxjava2:rxjava:jar:2 2 12:compile   omitted for duplicate)_x000D_
 INFO     io grpc:grpc netty:jar:1 23 0:compile_x000D_
 INFO        (io grpc:grpc core:jar:1 23 0:compile   omitted for duplicate)_x000D_
 INFO        io netty:netty codec http2:jar:4 1 38 Final:compile_x000D_
 INFO             (io netty:netty common:jar:4 1 38 Final:compile   omitted for conflict with 4 1 33 Final)  _x000D_
 INFO           (io netty:netty buffer:jar:4 1 38 Final:compile   omitted for conflict with 4 1 33 Final)_x000D_
 INFO           io netty:netty transport:jar:4 1 38 Final:compile_x000D_
 INFO                (io netty:netty common:jar:4 1 38 Final:compile   omitted for duplicate)  _x000D_
 INFO              (io netty:netty buffer:jar:4 1 38 Final:compile   omitted for duplicate)_x000D_
 INFO              io netty:netty resolver:jar:4 1 38 Final:compile_x000D_
 INFO                 (io netty:netty common:jar:4 1 38 Final:compile   omitted for duplicate)_x000D_
 INFO           io netty:netty codec:jar:4 1 38 Final:compile_x000D_
 INFO                (io netty:netty common:jar:4 1 38 Final:compile   omitted for duplicate)  _x000D_
 INFO              (io netty:netty buffer:jar:4 1 38 Final:compile   omitted for duplicate)_x000D_
 INFO              (io netty:netty transport:jar:4 1 38 Final:compile   omitted for duplicate)_x000D_
 INFO           io netty:netty handler:jar:4 1 38 Final:compile_x000D_
 INFO              (io netty:netty common:jar:4 1 38 Final:compile   omitted for duplicate)_x000D_
 INFO              (io netty:netty buffer:jar:4 1 38 Final:compile   omitted for duplicate)_x000D_
 INFO              (io netty:netty transport:jar:4 1 38 Final:compile   omitted for duplicate)_x000D_
 INFO              (io netty:netty codec:jar:4 1 38 Final:compile   omitted for duplicate)_x000D_
 INFO           io netty:netty codec http:jar:4 1 38 Final:compile_x000D_
 INFO                (io netty:netty common:jar:4 1 38 Final:compile   omitted for duplicate)  _x000D_
 INFO              (io netty:netty buffer:jar:4 1 38 Final:compile   omitted for duplicate)_x000D_
 INFO              (io netty:netty transport:jar:4 1 38 Final:compile   omitted for duplicate)_x000D_
 INFO              (io netty:netty codec:jar:4 1 38 Final:compile   omitted for duplicate)_x000D_
 INFO              (io netty:netty handler:jar:4 1 38 Final:compile   omitted for duplicate)_x000D_
 INFO        io netty:netty handler proxy:jar:4 1 38 Final:compile_x000D_
 INFO             (io netty:netty common:jar:4 1 38 Final:compile   omitted for duplicate)  _x000D_
 INFO           (io netty:netty buffer:jar:4 1 38 Final:compile   omitted for duplicate)_x000D_
 INFO           (io netty:netty transport:jar:4 1 38 Final:compile   omitted for duplicate)_x000D_
 INFO           (io netty:netty codec:jar:4 1 38 Final:compile   omitted for duplicate)_x000D_
 INFO           io netty:netty codec socks:jar:4 1 38 Final:compile_x000D_
 INFO                (io netty:netty common:jar:4 1 38 Final:compile   omitted for duplicate)  _x000D_
 INFO              (io netty:netty buffer:jar:4 1 38 Final:compile   omitted for duplicate)_x000D_
 INFO              (io netty:netty transport:jar:4 1 38 Final:compile   omitted for duplicate)_x000D_
 INFO              (io netty:netty codec:jar:4 1 38 Final:compile   omitted for duplicate)_x000D_
 INFO           (io netty:netty codec http:jar:4 1 38 Final:compile   omitted for duplicate)_x000D_
 INFO     io grpc:grpc core:jar:1 23 0:compile_x000D_
 INFO        io grpc:grpc api:jar:1 23 0:compile_x000D_
 INFO           io grpc:grpc context:jar:1 23 0:compile_x000D_
 INFO           com google errorprone:error prone annotations:jar:2 3 2:compile_x000D_
 INFO           com google code findbugs:jsr305:jar:3 0 2:compile_x000D_
 INFO           org codehaus mojo:animal sniffer annotations:jar:1 17:compile_x000D_
 INFO           (com google guava:guava:jar:26 0 android:compile   omitted for duplicate)_x000D_
 INFO        com google code gson:gson:jar:2 7:compile_x000D_
 INFO        com google android:annotations:jar:4 1 1 4:compile_x000D_
 INFO        io perfmark:perfmark api:jar:0 17 0:compile_x000D_
 INFO           (com google code findbugs:jsr305:jar:3 0 2:compile   omitted for duplicate)_x000D_
 INFO           (com google errorprone:error prone annotations:jar:2 3 2:compile   omitted for duplicate)_x000D_
 INFO        io opencensus:opencensus api:jar:0 21 0:compile_x000D_
 INFO        io opencensus:opencensus contrib grpc metrics:jar:0 21 0:compile_x000D_
 INFO           (io opencensus:opencensus api:jar:0 21 0:compile   omitted for duplicate)_x000D_
 INFO     io grpc:grpc stub:jar:1 23 0:compile_x000D_
 INFO        (io grpc:grpc api:jar:1 23 0:compile   omitted for duplicate)_x000D_
 INFO     io grpc:grpc protobuf:jar:1 23 0:compile_x000D_
 INFO        (io grpc:grpc api:jar:1 23 0:compile   omitted for duplicate)_x000D_
 INFO        com google protobuf:protobuf java:jar:3 9 0:compile_x000D_
 INFO        com google guava:guava:jar:26 0 android:compile_x000D_
 INFO           org checkerframework:checker compat qual:jar:2 5 2:compile_x000D_
 INFO           com google j2objc:j2objc annotations:jar:1 1:compile_x000D_
 INFO        com google api grpc:proto google common protos:jar:1 12 0:compile_x000D_
 INFO        io grpc:grpc protobuf lite:jar:1 23 0:compile_x000D_
 INFO           (io grpc:grpc api:jar:1 23 0:compile   omitted for duplicate)_x000D_
 INFO           (com google guava:guava:jar:26 0 android:compile   omitted for duplicate)_x000D_
 INFO     io netty:netty buffer:jar:4 1 33 Final:compile_x000D_
 INFO          io netty:netty common:jar:4 1 33 Final:compile  _x000D_
 INFO     org openjdk jmh:jmh core:jar:1 21:compile_x000D_
 INFO        net sf jopt simple:jopt simple:jar:4 6:compile_x000D_
 INFO        org apache commons:commons math3:jar:3 2:compile_x000D_
      _x000D_
_x000D_
_x000D_
_x000D_
   Suggested solutions:_x000D_
_x000D_
  Solution1:   Update direct dependency io netty:netty buffer from 4 1 33 Final to 4 1 38 Final  Because it(io netty:netty buffer 4 1 38 Final) uses the dependency io netty:netty common:4 1 38 Final _x000D_
_x000D_
  Solution2:    Declare version io netty:netty common:4 1 38 Final as a direct dependency  to override the version 4 1 33 Final (based on Maven s nearest wins loading strategy) _x000D_
_x000D_
  Solution3:   Remove the direct dependency io netty:netty buffer:4 1 33 Final  Use transitive dependencies from io grpc:grpc netty:1 23 0 _x000D_
_x000D_
Thanks _x000D_
Best regards _x000D_
Coco</t>
  </si>
  <si>
    <t>goldhelixus-clint_board-13</t>
  </si>
  <si>
    <t>Pause Button Crash</t>
  </si>
  <si>
    <t xml:space="preserve">Pause Button crashes the app if not sounds are played before the button is pressed  It only crashes if the app opens and is not suspended _x000D_
_x000D_
Crash most likely due to an error with no mounted MediaPlayer when clint sound stop() is called from the stopSound function call </t>
  </si>
  <si>
    <t>Anuken-Mindustry-2672</t>
  </si>
  <si>
    <t>Pathfinding doesn't consider slag as dangerous liquid</t>
  </si>
  <si>
    <t xml:space="preserve">  Platform  :  Android iOS Mac Windows Linux _x000D_
_x000D_
  Build  :  BE 9885 _x000D_
_x000D_
  Issue  : _x000D_
Pathfinding doesn t consider slag as dangerous liquid despite its burning   killing the naval units in mere second_x000D_
  cursed (https:  user images githubusercontent com 71248702 93959500 1a193e00 fd59 11ea 8654 bc9869c22f5f png)_x000D_
_x000D_
_x000D_
  Steps to reproduce  : _x000D_
  make attack map with many liquid_x000D_
  messymap (https:  user images githubusercontent com 71248702 93959671 6f554f80 fd59 11ea 87a3 f01bd6200111 png)_x000D_
  make naval factory_x000D_
  wait until its start using slag as a path_x000D_
_x000D_
_x000D_
_x000D_
  Save file  :  map zip (https:  github com Anuken Mindustry files 5265321 map zip)_x000D_
_x000D_
  Crash report  :  The contents of relevant crash report files  REQUIRED if you are reporting a crash  _x000D_
_x000D_
   _x000D_
_x000D_
_x000D_
_x000D_
 Place an X (no spaces) between the brackets to confirm that you have read the line below    _x000D_
   X    I have searched the closed and open issues to make sure that this problem has not already been reported   _x000D_
</t>
  </si>
  <si>
    <t>nikita36078-J2ME-Loader-735</t>
  </si>
  <si>
    <t>Super Puzzle Bobble crashes after ending the 1st stage</t>
  </si>
  <si>
    <t xml:space="preserve">_x000D_
  Emulator version:  _x000D_
_x000D_
1 6 3 play_x000D_
_x000D_
  Game version:  _x000D_
_x000D_
1 4 8_x000D_
_x000D_
  Game resolution:  _x000D_
_x000D_
240x320_x000D_
_x000D_
  Device:  _x000D_
_x000D_
Samsung Galaxy J7 Neo_x000D_
_x000D_
  Android version:  _x000D_
_x000D_
Android 9_x000D_
_x000D_
  Description of the issue:  _x000D_
_x000D_
When the game starts up I enable the sound and pick  Espa ol  (Spanish) as my language  then I choose  Nueva Partida  (New game)  after that  I choose  Modo puzzle  (Puzzle Mode)  then I complete the stage and it crashes  It happens every single time  Please help me and thanks in advance _x000D_
 log txt (https:  github com nikita36078 J2ME Loader files 5265169 log txt)_x000D_
</t>
  </si>
  <si>
    <t>Anuken-Mindustry-2667</t>
  </si>
  <si>
    <t>Bricked multiplayer server Via Mega unit</t>
  </si>
  <si>
    <t xml:space="preserve">  Platform  :  Android iOS Mac Windows Linux _x000D_
_x000D_
Windows  multiplayer_x000D_
_x000D_
  Build  :  The build number under the title in the main menu  Required  _x000D_
_x000D_
BE 9873_x000D_
_x000D_
  Issue  :  Explain your issue in detail  _x000D_
_x000D_
Whatever this jumbled mess is  Was on the ECAN pvp server running the BE builds  I made a mega and then tried to pickup a T2 spider (im sorry i dont know its name) that was currently standing ontop of walls  The server had to be manually gameovered  once gameover occured the server was fine _x000D_
_x000D_
My teammate and i were both controlling the spider every so often to move it into a better position to break scrap walls  with a command center on idle  I picked it up intending to upgrade it _x000D_
_x000D_
  Screenshot 1 (https:  user images githubusercontent com 31638088 93951316 35595e80 fd03 11ea 9422 77ea393ee502 png)_x000D_
_x000D_
_x000D_
  Steps to reproduce  :  How you happened across the issue  and what exactly you did to make the bug happen  _x000D_
_x000D_
Be on a multiplayer server  unsure if a local game will do the same thing  make a Mega  and make a T2 spider  pickup the spider when it is ontop of an opponents teams walls _x000D_
_x000D_
_x000D_
 why do i keep finding bugs with mega  _x000D_
_x000D_
  Link(s) to mod(s) used  :  The mod repositories or zip files that are related to the issue  if applicable  _x000D_
_x000D_
  Save file  :  The save file you were playing on when the bug happened  if applicable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</si>
  <si>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Anuken-Mindustry-2663</t>
  </si>
  <si>
    <t>build: 9871</t>
  </si>
  <si>
    <t xml:space="preserve">  Platform  :  Android iOS Mac Windows Linux _x000D_
_x000D_
  Build  :  The build number under the title in the main menu  Required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save file you were playing on when the bug happened  if applicable  _x000D_
_x000D_
  Crash report  :  The contents of relevant crash report files  REQUIRED if you are reporting a crash  _x000D_
_x000D_
   _x000D_
_x000D_
 Place an X (no spaces) between the brackets to confirm that you have read the line below    _x000D_
        I have searched the closed and open issues to make sure that this problem has not already been reported   _x000D_
</t>
  </si>
  <si>
    <t>Anuken-Mindustry-2662</t>
  </si>
  <si>
    <t>You can delete enemy walls by "upgrading" them</t>
  </si>
  <si>
    <t xml:space="preserve">  Platform  : Windows_x000D_
_x000D_
  Build  : BE 9866_x000D_
_x000D_
  Issue  : _x000D_
  revoking the wall s access to existence (https:  user images githubusercontent com 56274831 93916451 6f544180 fcbe 11ea 9040 169708dd67f5 gif)_x000D_
As seen in this gif  you can use large walls to delete small enemy walls of any type _x000D_
_x000D_
  Steps to reproduce  : Create a map with enemy walls  then place large walls over them  Not all placements work _x000D_
_x000D_
  Link(s) to mod(s) used  : none_x000D_
_x000D_
  Save file  : any save with enemy walls_x000D_
  Crash report  : no crashes_x000D_
_x000D_
   _x000D_
_x000D_
 Place an X (no spaces) between the brackets to confirm that you have read the line below    _x000D_
   x    I have searched the closed and open issues to make sure that this problem has not already been reported   _x000D_
</t>
  </si>
  <si>
    <t>Anuken-Mindustry-2661</t>
  </si>
  <si>
    <t>Mega AI Lags</t>
  </si>
  <si>
    <t xml:space="preserve">  Platform  :  Android iOS Mac Windows Linux _x000D_
Windows 10_x000D_
  Build  :  The build number under the title in the main menu  Required  _x000D_
Steam Build 105_x000D_
  Issue  :  Explain your issue in detail  _x000D_
Whenever the Mega is present and not controlled by a player in multiplayer  the game starts to lag  The player gets teleported back and forth  and it becomes a laggy mess _x000D_
  Steps to reproduce  :  How you happened across the issue  and what exactly you did to make the bug happen  _x000D_
Just build a Mega in multiplayer  It s that easy _x000D_
  Link(s) to mod(s) used  :  The mod repositories or zip files that are related to the issue  if applicable  _x000D_
N A_x000D_
  Save file  :  The save file you were playing on when the bug happened  if applicable  _x000D_
N A_x000D_
  Crash report  :  The contents of relevant crash report files  REQUIRED if you are reporting a crash  _x000D_
N A_x000D_
   _x000D_
_x000D_
 Place an X (no spaces) between the brackets to confirm that you have read the line below    _x000D_
   X    I have searched the closed and open issues to make sure that this problem has not already been reported   _x000D_
</t>
  </si>
  <si>
    <t>Anuken-Mindustry-2659</t>
  </si>
  <si>
    <t>Multiplayer crashing me and my friends game</t>
  </si>
  <si>
    <t xml:space="preserve">  Platform  :  Windows 10 _x000D_
_x000D_
  Build  :  steam build 105  _x000D_
_x000D_
  Issue  :  When i try to join my friend it gives a crash with EOFException also if I create a game and my friend attempts to join me he gets a bufferunderflow error  _x000D_
_x000D_
  Steps to reproduce  :  Get a steam invite from a friend then join then crash  _x000D_
_x000D_
  Crash report  :   crash report 09 21 2020 15 05 27 txt (https:  github com Anuken Mindustry files 5262444 crash report 09 21 2020 15 05 27 txt) _x000D_
_x000D_
   _x000D_
_x000D_
 Place an X (no spaces) between the brackets to confirm that you have read the line below    _x000D_
   X _x000D_
  I have searched the closed and open issues to make sure that this problem has not already been reported   _x000D_
</t>
  </si>
  <si>
    <t>Anuken-Mindustry-2657</t>
  </si>
  <si>
    <t>Buggy audio</t>
  </si>
  <si>
    <t xml:space="preserve">  Platform  :  Android iOS Mac Windows Linux _x000D_
Linux (Debian)_x000D_
  Build  :  The build number under the title in the main menu  Required  _x000D_
105  may happen in older_x000D_
  Issue  :  Explain your issue in detail  _x000D_
Mindustry didn t switch to the right audio device  and it took a bunch of terminal commands to make it work_x000D_
  Steps to reproduce  :  How you happened across the issue  and what exactly you did to make the bug happen  _x000D_
Launched Mindustry on Linux with multiple audio devices and it chose the wrong one _x000D_
  Link(s) to mod(s) used  :  The mod repositories or zip files that are related to the issue  if applicable  _x000D_
Program issue  no mods_x000D_
  Save file  :  The save file you were playing on when the bug happened  if applicable  _x000D_
Program issue  no save file_x000D_
  Crash report  :  The contents of relevant crash report files  REQUIRED if you are reporting a crash  _x000D_
No crash _x000D_
   _x000D_
_x000D_
 Place an X (no spaces) between the brackets to confirm that you have read the line below    _x000D_
   x    I have searched the closed and open issues to make sure that this problem has not already been reported   _x000D_
</t>
  </si>
  <si>
    <t>Anuken-Mindustry-2656</t>
  </si>
  <si>
    <t>Mega AI</t>
  </si>
  <si>
    <t xml:space="preserve">  Platform  :  Android iOS Mac Windows  _x000D_
Seen on Linux  I don t know if it could happen on another platform  but I suspect it will _x000D_
  Build  :  The build number under the title in the main menu  Required  _x000D_
Alpha build 105_x000D_
  Issue  :  Explain your issue in detail  _x000D_
If you build a Mega on an online server  (I think) It s AI bugs out and lags the server_x000D_
  Steps to reproduce  :  How you happened across the issue  and what exactly you did to make the bug happen  _x000D_
Build a Mega in an online server  The more Megas  the worse the lag _x000D_
  Link(s) to mod(s) used  :  The mod repositories or zip files that are related to the issue  if applicable  _x000D_
No mods_x000D_
  Save file  :  The save file you were playing on when the bug happened  if applicable  _x000D_
Online server  no save file _x000D_
  Crash report  :  The contents of relevant crash report files  REQUIRED if you are reporting a crash  _x000D_
No crash _x000D_
   _x000D_
_x000D_
 Place an X (no spaces) between the brackets to confirm that you have read the line below    _x000D_
   X    I have searched the closed and open issues to make sure that this problem has not already been reported   _x000D_
</t>
  </si>
  <si>
    <t>Anuken-Mindustry-2654</t>
  </si>
  <si>
    <t>Super fast bulets</t>
  </si>
  <si>
    <t xml:space="preserve">  Bug (https:  user images githubusercontent com 53085797 93889078 11891f00 fce9 11ea 8fa9 71ed6338a74d png)_x000D_
_x000D_
_x000D_
  Platform  : Windows  and any other where you control shooting_x000D_
_x000D_
  Build  : 9857_x000D_
_x000D_
  Issue  : When you fly and fire at the same time  some bullets fly at the normal speed of a bullet   speed of the ship  Some bullets will go like 5 times faster  It will work only in Stained Mountains for some reason  It won t work on custom maps _x000D_
_x000D_
  Steps to reproduce  : Get an alpha ship  Stop completly  Accelerate in any direction  Once you get top speed  start shooting in the same direction you go  It might not work every time though  it takes a few attempts  The speedy shot at the picture is fired  before  the lower range shots _x000D_
_x000D_
  Link(s) to mod(s) used  : No mods_x000D_
_x000D_
  Save file  : Any file_x000D_
_x000D_
  Crash report  : Not a crash_x000D_
_x000D_
   _x000D_
_x000D_
 Place an X (no spaces) between the brackets to confirm that you have read the line below    _x000D_
   X    I have searched the closed and open issues to make sure that this problem has not already been reported   _x000D_
</t>
  </si>
  <si>
    <t>nextcloud-android-6988</t>
  </si>
  <si>
    <t>Fails to show contents of directory with ca. 120  PDF files</t>
  </si>
  <si>
    <t xml:space="preserve">I am facing an issue with a large folder of PDF files which currently has ca  120 files  The app does not crash but it does not proceed beyond the  Loading     message  I can go to another part of the app without issues (I e  app is not frozen) and dismiss the  Loading     notification  It is however not possible to view the contents of the folder _x000D_
_x000D_
This does not happen with the Nextcloud web app for Firefox on Android _x000D_
_x000D_
    Steps to reproduce_x000D_
1  Create a directory on Nextcloud and put approximately 120 PDF files in it (without any sub directories)_x000D_
2  Navigate to this directory on an Android device (galaxy tab s5e in my case) using the Nextcloud for Android app_x000D_
_x000D_
_x000D_
    Expected behaviour_x000D_
  The Nextcloud for Android app should have displayed a listing of the 120 odd PDF files in the directory_x000D_
_x000D_
    Actual behaviour_x000D_
  The app does not proceed beyond the  Loading      notification_x000D_
  The app does not crash or freeze however  User can go back  view other files  do other stuff  but the particular directory with the PDFs does not show the file list_x000D_
_x000D_
    Can you reproduce this problem on https:  try nextcloud com _x000D_
  No  this problem does not occur on try nextcloud com_x000D_
  The problem also does not occur on the web app for my account (using Firefox for Android)_x000D_
  If not  please verify server setup and ask for help on forum    I don t know how to do this_x000D_
_x000D_
    Environment data_x000D_
Android version: 10_x000D_
_x000D_
Device model: Samsung Galaxy Tab S5E_x000D_
_x000D_
Stock or customized system: Stock_x000D_
_x000D_
Nextcloud app version: 3 13 1_x000D_
_x000D_
Nextcloud server version: I don t know how to view this_x000D_
_x000D_
</t>
  </si>
  <si>
    <t>Anuken-Mindustry-2651</t>
  </si>
  <si>
    <t>Game crash when T5 ground support fires lazer at T5 air support and lazer hits a plast wall.</t>
  </si>
  <si>
    <t xml:space="preserve">  Platform  :  Windows _x000D_
_x000D_
  Build  :  9857 _x000D_
_x000D_
  Issue  :  Me  frost and Kit was playing sandbox pvp in v6  Frost tried to fire a T5 ground unit lazer to me  i was in T5 air support and his lazer hit both my projector and plast wall  then game instanly crashed  along side with the server  _x000D_
_x000D_
  Steps to reproduce  :  Shoot a T5 ground lazer to a T5 air support and hit both projector and a plast wall at the same time  _x000D_
_x000D_
  Link(s) to mod(s) used  :  No mod used  _x000D_
_x000D_
  Save file  :  On server  we didnt save  _x000D_
_x000D_
  Crash report  :  java lang NullPointerException_x000D_
	at arc graphics g2d GlyphLayout setText(GlyphLayout java:55)_x000D_
	at mindustry ui fragments ChatFragment draw(ChatFragment java:143)_x000D_
	at arc scene Group drawChildren(Group java:125)_x000D_
	at arc scene Group draw(Group java:51)_x000D_
	at arc scene Scene draw(Scene java:115)_x000D_
	at mindustry core UI update(UI java:134)_x000D_
	at arc ApplicationCore update(ApplicationCore java:36)_x000D_
	at mindustry ClientLauncher update(ClientLauncher java:151)_x000D_
	at arc backend sdl SdlApplication listen(SdlApplication java:170)_x000D_
	at arc backend sdl SdlApplication loop(SdlApplication java:158)_x000D_
	at arc backend sdl SdlApplication  init (SdlApplication java:52)_x000D_
	at mindustry desktop DesktopLauncher main(DesktopLauncher java:36)  _x000D_
_x000D_
 X _x000D_
_x000D_
 Place an X (no spaces) between the brackets to confirm that you have read the line below    _x000D_
   X    I have searched the closed and open issues to make sure that this problem has not already been reported   _x000D_
</t>
  </si>
  <si>
    <t>TeamNewPipe-NewPipe-4307</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</si>
  <si>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requested stream_x000D_
    Request:   https:  www youtube com watch v gFYAXsa7pe8_x000D_
    Content Country:   US_x000D_
    Content Language:   en US_x000D_
    App Language:   en US_x000D_
    Service:   YouTube_x000D_
    Version:   0 19 8_x000D_
    OS:   Linux Android 10   29_x000D_
 details  summary  b Crash log   b   summary  p _x000D_
_x000D_
   _x000D_
org schabi newpipe extractor exceptions ParsingException: Could not load decryption code for the Youtube service _x000D_
	at org schabi newpipe extractor services youtube extractors YoutubeStreamExtractor getPlayerUrl(YoutubeStreamExtractor java:706)_x000D_
	at org schabi newpipe extractor services youtube extractors YoutubeStreamExtractor onFetchPage(YoutubeStreamExtractor java:656)_x000D_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java lang NullPointerException: Attempt to invoke virtual method  boolean java lang String startsWith(java lang String)  on a null object reference_x000D_
	at org schabi newpipe extractor services youtube extractors YoutubeStreamExtractor getPlayerUrl(YoutubeStreamExtractor java:701)_x000D_
	    30 more_x000D_
_x000D_
   _x000D_
  details _x000D_
 hr _x000D_
</t>
  </si>
  <si>
    <t>aws-amplify-amplify-android-851</t>
  </si>
  <si>
    <t>Amplify.Auth.currentUser sporadically returns null after successful sign in</t>
  </si>
  <si>
    <t xml:space="preserve">As mentioned in  826 comments  I am signing a user into Amplify and receiving that the sign in was successful  _x000D_
_x000D_
I then try to fetch the currentUser using  Amplify Auth currentUser   Approximately a quarter of the time  this fails  even after a successful sign in  On failure  it throws the following error: _x000D_
   _x000D_
2020 09 21 18:07:57 160 8168 8168 io appatech appa E AndroidRuntime: FATAL EXCEPTION: main_x000D_
    Process:  PROJECT PATH   PID: 8168_x000D_
    java lang RuntimeException: Unable to start activity ComponentInfo  PROJECT PATH   PROJECT PATH  activities MainActivity : java lang IllegalStateException: Amplify Auth currentUser must not be null_x000D_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Caused by: java lang IllegalStateException: Amplify Auth currentUser must not be null_x000D_
        at io appatech appa activities MainActivity onCreate(MainActivity kt:52)_x000D_
        at android app Activity performCreate(Activity java:7802)_x000D_
        at android app Activity performCreate(Activity java:7791)_x000D_
        at android app Instrumentation callActivityOnCreate(Instrumentation java:1299)_x000D_
        at android app ActivityThread performLaunchActivity(ActivityThread java:3245)_x000D_
   _x000D_
_x000D_
Once it fails  the app crashes for a few seconds and then resumes with the user logged in _x000D_
_x000D_
The rest of the time  the retrieval succeeds  _x000D_
_x000D_
Previously (and what I reported on  826)  Auth was failing at retrieving about half the time  and on failure the app permanently crashed  whereas now it resumes after a second being down  I realized in my Gradle file that I was using _x000D_
 com amplifyframework:core:1 3 0  and  com amplifyframework:aws auth cognito:1 3 1   Updating the core package to 1 3 1 is what gives the slightly better but still flawed outcome _x000D_
_x000D_
    Configuration _x000D_
_x000D_
I was initially using _x000D_
   _x000D_
com amplifyframework:core:1 3 0_x000D_
com amplifyframework:aws auth cognito:1 3 1_x000D_
   _x000D_
but now have both updated to 1 3 1 _x000D_
_x000D_
I set up the user pool to take a username and password using the Amplify CLI  I am not using Lambdas  but have an identity pool set up _x000D_
_x000D_
    amplifycongfiguration json_x000D_
_x000D_
   _x000D_
 _x000D_
     api :  _x000D_
         plugins :  _x000D_
             awsAPIPlugin :  _x000D_
                 amplifyDatasource :  _x000D_
                     endpointType :  GraphQL  _x000D_
                     endpoint :   redacted   _x000D_
                     region :  us east 2  _x000D_
                     authorizationType :  API KEY  _x000D_
                     apiKey :   redacted  _x000D_
                  _x000D_
                  project name  :  _x000D_
                     endpointType :  GraphQL  _x000D_
                     endpoint :   redacted   _x000D_
                     region :  us east 2  _x000D_
                     authorizationType :  API KEY  _x000D_
                     apiKey :   redacted  _x000D_
                  _x000D_
                  api name  :  _x000D_
                     endpointType :  GraphQL  _x000D_
                     endpoint :   redacted   _x000D_
                     region :  us east 2  _x000D_
                     authorizationType :  API KEY  _x000D_
                     apiKey :   redacted  _x000D_
                 _x000D_
             _x000D_
         _x000D_
      _x000D_
     auth :  _x000D_
         plugins :  _x000D_
             awsCognitoAuthPlugin :  _x000D_
                 UserAgent :  aws amplify cli 0 1 0  _x000D_
                 Version :  0 1 0  _x000D_
                 IdentityManager :  _x000D_
                     Default :   _x000D_
                  _x000D_
                 AppSync :  _x000D_
                     Default :  _x000D_
                         ApiUrl :   redacted   _x000D_
                         Region :  us east 2  _x000D_
                         AuthMode :  API KEY  _x000D_
                         ApiKey :   redacted   _x000D_
                         ClientDatabasePrefix :   redacted  _x000D_
                     _x000D_
                  _x000D_
                 CredentialsProvider :  _x000D_
                     CognitoIdentity :  _x000D_
                         Default :  _x000D_
                             PoolId :   redacted   _x000D_
                             Region :  us east 2 _x000D_
                         _x000D_
                     _x000D_
                  _x000D_
                 CognitoUserPool :  _x000D_
                     Default :  _x000D_
                         PoolId :   redacted   _x000D_
                         AppClientId :   redacted   _x000D_
                         AppClientSecret :   redacted   _x000D_
                         Region :  us east 2 _x000D_
                     _x000D_
                  _x000D_
                 Auth :  _x000D_
                     Default :  _x000D_
                         authenticationFlowType :  USER SRP AUTH _x000D_
                     _x000D_
                 _x000D_
             _x000D_
         _x000D_
     _x000D_
 _x000D_
   _x000D_
    Surrounding code _x000D_
_x000D_
Sign in is handled in the following function in LoginActivity_x000D_
   _x000D_
fun authSignIn(username: String  password: String)  _x000D_
        Amplify Auth signIn(_x000D_
            username _x000D_
            password _x000D_
              result   _x000D_
                Log d(_x000D_
                    TAG _x000D_
                    if (result isSignInComplete)  Sign in succeeded  else  Sign in not complete _x000D_
                )_x000D_
                updateUiWithUser()_x000D_
              _x000D_
              error   _x000D_
                Log e(TAG  error toString())_x000D_
                showLoginFailed(error toString())_x000D_
             _x000D_
        )_x000D_
     _x000D_
   _x000D_
On success  the user is redirected from LoginActivity to MainActivity in the updateUiWithUser() function  Otherwise  the user is notified of login failing _x000D_
_x000D_
Here is the Main Activity onCreate: _x000D_
   _x000D_
override fun onCreate(savedInstanceState: Bundle )  _x000D_
        super onCreate(savedInstanceState)_x000D_
        setContentView(R layout activity main)_x000D_
_x000D_
          Set up AWS AppSync Client_x000D_
        mAWSAppSyncClient   AWSAppSyncClient builder()_x000D_
             context(applicationContext)_x000D_
             awsConfiguration(AWSConfiguration(applicationContext))_x000D_
             build()_x000D_
_x000D_
           fetching amplify auth session_x000D_
        Amplify Auth fetchAuthSession(_x000D_
              result    Log i(TAG  result toString())  _x000D_
              error    Log e(TAG  error toString())  _x000D_
        )_x000D_
_x000D_
           this is where error is thrown sporadically_x000D_
        Toast makeText(this     Amplify Auth currentUser userId  is logged in   Toast LENGTH LONG) show()_x000D_
_x000D_
         _x000D_
_x000D_
 _x000D_
   _x000D_
_x000D_
Let me know if there is any other information needed  thanks  </t>
  </si>
  <si>
    <t>inaturalist-iNaturalistAndroid-910</t>
  </si>
  <si>
    <t xml:space="preserve">To replicate  go to Explore and and view observation points on the map  Tap on a map marker and the app crashes before loading obs detail _x000D_
_x000D_
   _x000D_
Caused by: java lang NullPointerException: Attempt to invoke virtual method  java lang String java lang String toLowerCase()  on a null object reference_x000D_
 at org inaturalist android ObservationViewerActivity reloadObservation(ObservationViewerActivity java:858)_x000D_
 at org inaturalist android ObservationViewerActivity onCreate(ObservationViewerActivity java:668)_x000D_
 at android app Activity performCreate(Activity java:7825)_x000D_
 at android app Activity performCreate(Activity java:7814)_x000D_
 at android app Instrumentation callActivityOnCreate(Instrumentation java:1306)_x000D_
 at android app ActivityThread performLaunchActivity(ActivityThread java:3245)_x000D_
   </t>
  </si>
  <si>
    <t>TeamNewPipe-NewPipe-4304</t>
  </si>
  <si>
    <t>Network Error (Retry) midway through refreshing Feed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</si>
  <si>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_x000D_
   _x000D_
 Go to  What s new _x000D_
 Refresh_x000D_
  It loads until 182 subs_x000D_
  BTW I am on stable wifi_x000D_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Retry button got me in the loop_x000D_
 I had to close the app_x000D_
 Then after restart it shows me videos from the last successful scan (before network error)_x000D_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20200921 191433 (https:  user images githubusercontent com 68895088 93800224 91a77a00 fc40 11ea 9901 2963de8a7189 png)_x000D_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</si>
  <si>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Anuken-Mindustry-2644</t>
  </si>
  <si>
    <t>Air support units resupply point bug</t>
  </si>
  <si>
    <t xml:space="preserve">  Platform  :   Windows  _x000D_
_x000D_
  Build  :  9846 alpha _x000D_
_x000D_
  Issue  :  Use unit that picks up blocks  take point  and its gone  This also resets other blocks unit you have _x000D_
_x000D_
  Steps to reproduce  :  Have a map  ammo disbabled  and with resupply points on map placed by editor _x000D_
Take unit that picks blocks _x000D_
You can take other things before taking point_x000D_
Take point_x000D_
You drop nothing after pressing button _x000D_
_x000D_
  Link(s) to mod(s) used  :  none _x000D_
_x000D_
  Save file  :  No need _x000D_
_x000D_
  Crash report  :  no crash _x000D_
_x000D_
   _x000D_
_x000D_
 Place an X (no spaces) between the brackets to confirm that you have read the line below    _x000D_
   X    I have searched the closed and open issues to make sure that this problem has not already been reported   _x000D_
</t>
  </si>
  <si>
    <t>android-tv-samples-37</t>
  </si>
  <si>
    <t>SpeechRecognizer causing crash on SearchSupportFragment</t>
  </si>
  <si>
    <t xml:space="preserve">For some devices that don t have microphones (Vestel 17OPS15  Zappiti 4K HDR etc   )  the SpeechRecognizer service is causing my app to crash when using a SearchSupportFragment() _x000D_
I don t have any logic regarding Voice recognition in my own code  the problem is caused by the  releaseRecognizer()  method called in onPause()  : _x000D_
 Caused by java lang IllegalArgumentException: Service not registered: android speech SpeechRecognizer Connection 3cde2b3d_x000D_
       at android app LoadedApk forgetServiceDispatcher(LoadedApk java:1029)_x000D_
       at android app ContextImpl unbindService(ContextImpl java:1808)_x000D_
       at android content ContextWrapper unbindService(ContextWrapper java:551)_x000D_
       at android speech SpeechRecognizer destroy(SpeechRecognizer java:408)_x000D_
       at androidx leanback app SearchSupportFragment releaseRecognizer(SearchSupportFragment java:440)_x000D_
       at androidx leanback app SearchSupportFragment onPause(SearchSupportFragment java:416) _x000D_
This issue is a more or less a  duplicate (https:  github com googlearchive androidtv Leanback issues 118) of an issue opened in the old androidtv leanback repo  I wanted to know if any progress has been made regarding this problem  would it be simpler for me to open an issue on the Issuetracker   _x000D_
I m using  androidx leanback:leanback:1 0 0 </t>
  </si>
  <si>
    <t>onaio-rdt-standard-524</t>
  </si>
  <si>
    <t>Crash when recording "Sample shipments" - Scan sample barcode</t>
  </si>
  <si>
    <t xml:space="preserve">Below are the crash logs_x000D_
_x000D_
   _x000D_
09 21 16:29:38 448  7546  7546 E AndroidRuntime: FATAL EXCEPTION: main_x000D_
		09 21 16:29:38 448  7546  7546 E AndroidRuntime: Process: io ona rdt covid id  PID: 7546_x000D_
		09 21 16:29:38 448  7546  7546 E AndroidRuntime: java lang StringIndexOutOfBoundsException: length 0  index 4_x000D_
		09 21 16:29:38 448  7546  7546 E AndroidRuntime: 	at java lang String substring(String java:1939)_x000D_
		09 21 16:29:38 448  7546  7546 E AndroidRuntime: 	at io ona rdt fragment RDTJsonFormFragment getFormFragment(RDTJsonFormFragment java:60)_x000D_
		09 21 16:29:38 448  7546  7546 E AndroidRuntime: 	at io ona rdt presenter RDTJsonFormFragmentPresenter moveToNextStep(RDTJsonFormFragmentPresenter java:85)_x000D_
		09 21 16:29:38 448  7546  7546 E AndroidRuntime: 	at io ona rdt callback OnLabelClickedListener onClick(OnLabelClickedListener java:35)_x000D_
		09 21 16:29:38 448  7546  7546 E AndroidRuntime: 	at android view View performClick(View java:6897)_x000D_
		09 21 16:29:38 448  7546  7546 E AndroidRuntime: 	at android widget TextView performClick(TextView java:12727)_x000D_
		09 21 16:29:38 448  7546  7546 E AndroidRuntime: 	at android view View PerformClick run(View java:26101)_x000D_
		09 21 16:29:38 448  7546  7546 E AndroidRuntime: 	at android os Handler handleCallback(Handler java:789)_x000D_
		09 21 16:29:38 448  7546  7546 E AndroidRuntime: 	at android os Handler dispatchMessage(Handler java:98)_x000D_
		09 21 16:29:38 448  7546  7546 E AndroidRuntime: 	at android os Looper loop(Looper java:164)_x000D_
		09 21 16:29:38 448  7546  7546 E AndroidRuntime: 	at android app ActivityThread main(ActivityThread java:6944)_x000D_
		09 21 16:29:38 448  7546  7546 E AndroidRuntime: 	at java lang reflect Method invoke(Native Method)_x000D_
		09 21 16:29:38 448  7546  7546 E AndroidRuntime: 	at com android internal os Zygote MethodAndArgsCaller run(Zygote java:327)_x000D_
		09 21 16:29:38 448  7546  7546 E AndroidRuntime: 	at com android internal os ZygoteInit main(ZygoteInit java:1374)_x000D_
		09 21 16:29:38 455  7546  7692 E FirebaseCrashlytics: Tried to write a fatal exception while no session was open _x000D_
		09 21 16:29:38 464  3639  4354 D Debug   :   DumpState : SHIP_x000D_
   _x000D_
_x000D_
_x000D_
		or _x000D_
_x000D_
		_x000D_
   _x000D_
09 21 16:36:48 560  8900  8900 D AndroidRuntime: Shutting down VM_x000D_
		09 21 16:36:48 562  8900  8900 E AndroidRuntime: FATAL EXCEPTION: main_x000D_
		09 21 16:36:48 562  8900  8900 E AndroidRuntime: Process: io ona rdt covid id  PID: 8900_x000D_
		09 21 16:36:48 562  8900  8900 E AndroidRuntime: java lang RuntimeException: Failure delivering result ResultInfo who null  request 49374  result  1  data Intent   (has extras)    to activity  io ona rdt covid id io ona rdt activity CovidJsonFormActivity : java lang NullPointerException: Attempt to invoke virtual method  boolean org json JSONObject has(java lang String)  on a null object reference_x000D_
		09 21 16:36:48 562  8900  8900 E AndroidRuntime: 	at android app ActivityThread deliverResults(ActivityThread java:4491)_x000D_
		09 21 16:36:48 562  8900  8900 E AndroidRuntime: 	at android app ActivityThread handleSendResult(ActivityThread java:4534)_x000D_
		09 21 16:36:48 562  8900  8900 E AndroidRuntime: 	at android app ActivityThread  wrap20(Unknown Source:0)_x000D_
		09 21 16:36:48 562  8900  8900 E AndroidRuntime: 	at android app ActivityThread H handleMessage(ActivityThread java:1752)_x000D_
		09 21 16:36:48 562  8900  8900 E AndroidRuntime: 	at android os Handler dispatchMessage(Handler java:105)_x000D_
		09 21 16:36:48 562  8900  8900 E AndroidRuntime: 	at android os Looper loop(Looper java:164)_x000D_
		09 21 16:36:48 562  8900  8900 E AndroidRuntime: 	at android app ActivityThread main(ActivityThread java:6944)_x000D_
		09 21 16:36:48 562  8900  8900 E AndroidRuntime: 	at java lang reflect Method invoke(Native Method)_x000D_
		09 21 16:36:48 562  8900  8900 E AndroidRuntime: 	at com android internal os Zygote MethodAndArgsCaller run(Zygote java:327)_x000D_
		09 21 16:36:48 562  8900  8900 E AndroidRuntime: 	at com android internal os ZygoteInit main(ZygoteInit java:1374)_x000D_
		09 21 16:36:48 562  8900  8900 E AndroidRuntime: Caused by: java lang NullPointerException: Attempt to invoke virtual method  boolean org json JSONObject has(java lang String)  on a null object reference_x000D_
		09 21 16:36:48 562  8900  8900 E AndroidRuntime: 	at com vijay jsonwizard utils FormUtils getFormFields(FormUtils java:1090)_x000D_
		09 21 16:36:48 562  8900  8900 E AndroidRuntime: 	at io ona rdt util RDTJsonFormUtils getField(RDTJsonFormUtils java:399)_x000D_
		09 21 16:36:48 562  8900  8900 E AndroidRuntime: 	at io ona rdt widget CovidRDTBarcodeFactory populateRelevantFields(CovidRDTBarcodeFactory java:79)_x000D_
		09 21 16:36:48 562  8900  8900 E AndroidRuntime: 	at io ona rdt widget CovidRDTBarcodeFactory onActivityResult(CovidRDTBarcodeFactory java:50)_x000D_
		09 21 16:36:48 562  8900  8900 E AndroidRuntime: 	at com vijay jsonwizard activities JsonFormBaseActivity onActivityResult(JsonFormBaseActivity java:186)_x000D_
		09 21 16:36:48 562  8900  8900 E AndroidRuntime: 	at android app Activity dispatchActivityResult(Activity java:7599)_x000D_
		09 21 16:36:48 562  8900  8900 E AndroidRuntime: 	at android app ActivityThread deliverResults(ActivityThread java:4487)_x000D_
		09 21 16:36:48 562  8900  8900 E AndroidRuntime: 	    9 more_x000D_
_x000D_
   </t>
  </si>
  <si>
    <t>akvo-akvo-flow-mobile-1717</t>
  </si>
  <si>
    <t>Crash reported by Firebase related to permissions</t>
  </si>
  <si>
    <t xml:space="preserve">  Crash  _x000D_
When no permission is granted  the array is empty so we get  index out of bounds exception   This particular crash in when trying to take a picture while not having the permission to access storage granted  _x000D_
_x000D_
  Device :  _x000D_
   Device model: Samsung Galaxy A10s_x000D_
   OS: Android 9_x000D_
   App Version 2 9 4 1_x000D_
_x000D_
</t>
  </si>
  <si>
    <t>nextcloud-android-6977</t>
  </si>
  <si>
    <t>First time install and login, crash after login</t>
  </si>
  <si>
    <t xml:space="preserve">    Steps to reproduce_x000D_
1  Install app on Pixel 1 Android 10_x000D_
2  Enter FileRun server and login credentials_x000D_
3  Allow access _x000D_
4  Immediate crash_x000D_
_x000D_
    Expected behaviour_x000D_
  No crash_x000D_
_x000D_
    Actual behaviour_x000D_
_x000D_
   _x000D_
             CAUSE OF ERROR             _x000D_
_x000D_
android database sqlite SQLiteReadOnlyDatabaseException: attempt to write a readonly database (code 1032 SQLITE READONLY DBMOVED)_x000D_
	at android database sqlite SQLiteConnection nativeExecuteForChangedRowCount(Native Method)_x000D_
	at android database sqlite SQLiteConnection executeForChangedRowCount(SQLiteConnection java:831)_x000D_
	at android database sqlite SQLiteSession executeForChangedRowCount(SQLiteSession java:756)_x000D_
	at android database sqlite SQLiteStatement executeUpdateDelete(SQLiteStatement java:66)_x000D_
	at android database sqlite SQLiteDatabase updateWithOnConflict(SQLiteDatabase java:1704)_x000D_
	at android database sqlite SQLiteDatabase update(SQLiteDatabase java:1650)_x000D_
	at com owncloud android providers FileContentProvider update(FileContentProvider java:645)_x000D_
	at com owncloud android providers FileContentProvider update(FileContentProvider java:629)_x000D_
	at android content ContentProvider Transport update(ContentProvider java:420)_x000D_
	at android content ContentResolver update(ContentResolver java:1993)_x000D_
	at com owncloud android datamodel FileDataStorageManager saveCapabilities(FileDataStorageManager java:1940)_x000D_
	at com owncloud android operations GetCapabilitiesOperation run(GetCapabilitiesOperation java:51)_x000D_
	at com owncloud android lib common operations RemoteOperation execute(RemoteOperation java:139)_x000D_
	at com owncloud android operations common SyncOperation execute(SyncOperation java:64)_x000D_
	at com owncloud android ui activity DrawerActivity lambda fetchExternalLinks 5 DrawerActivity(DrawerActivity java:1028)_x000D_
	at com owncloud android ui activity    Lambda DrawerActivity 7r726W9nEhA053kMOzVzspjY07M run(Unknown Source:4)_x000D_
	at java lang Thread run(Thread java:919)_x000D_
_x000D_
             APP INFORMATION             _x000D_
ID: com nextcloud client_x000D_
Version: 30130190_x000D_
Build flavor: gplay_x000D_
_x000D_
             DEVICE INFORMATION             _x000D_
Brand: google_x000D_
Device: sailfish_x000D_
Model: Pixel_x000D_
Id: QP1A 191005 007 A3_x000D_
Product: sailfish_x000D_
_x000D_
             FIRMWARE             _x000D_
SDK: 29_x000D_
Release: 10_x000D_
Incremental: 5972272_x000D_
   </t>
  </si>
  <si>
    <t>nextcloud-android-6975</t>
  </si>
  <si>
    <t>App crashes when opening</t>
  </si>
  <si>
    <t xml:space="preserve">    Steps to reproduce_x000D_
1  Open the app_x000D_
_x000D_
    Expected behaviour_x000D_
  The app shouldnt completely crash  _x000D_
_x000D_
    Actual behaviour_x000D_
  App crashes after opening  then displays an error log  _x000D_
_x000D_
    Environment data_x000D_
Android version: 10_x000D_
_x000D_
Device model: Huawei P20 Pro_x000D_
_x000D_
Stock or customized system: Stock_x000D_
_x000D_
Nextcloud app version: See logs below_x000D_
_x000D_
Nextcloud server version: 18 0 2_x000D_
_x000D_
Reverse proxy: None_x000D_
_x000D_
    Logs_x000D_
_x000D_
   _x000D_
             CAUSE OF ERROR             _x000D_
_x000D_
android database sqlite SQLiteBlobTooBigException: Row too big to fit into CursorWindow requiredPos 3177  totalRows 155_x000D_
	at android database sqlite SQLiteConnection nativeExecuteForCursorWindow(Native Method)_x000D_
	at android database sqlite SQLiteConnection executeForCursorWindow(SQLiteConnection java:988)_x000D_
	at android database sqlite SQLiteSession executeForCursorWindow(SQLiteSession java:858)_x000D_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java:672)_x000D_
	at android content ContentProvider applyBatch(ContentProvider java:2147)_x000D_
	at android content ContentProvider Transport applyBatch(ContentProvider java:387)_x000D_
	at android content ContentProviderClient applyBatch(ContentProviderClient java:532)_x000D_
	at android content ContentProviderClient applyBatch(ContentProviderClient java:520)_x000D_
	at android content ContentResolver applyBatch(ContentResolver java:1894)_x000D_
	at com owncloud android datamodel FileDataStorageManager saveFolder(FileDataStorageManager java:435)_x000D_
	at com owncloud android operations RefreshFolderOperation synchronizeData(RefreshFolderOperation java:490)_x000D_
	at com owncloud android operations RefreshFolderOperation fetchAndSyncRemoteFolder(RefreshFolderOperation java:372)_x000D_
	at com owncloud android operations RefreshFolderOperation run(RefreshFolderOperation java:231)_x000D_
	at com owncloud android lib common operations RemoteOperation run(RemoteOperation java:360)_x000D_
	at java lang Thread run(Thread java:929)_x000D_
_x000D_
             APP INFORMATION             _x000D_
ID: com nextcloud client_x000D_
Version: 30130190_x000D_
Build flavor: generic_x000D_
_x000D_
             DEVICE INFORMATION             _x000D_
Brand: HUAWEI_x000D_
Device: HWCLT_x000D_
Model: CLT L09_x000D_
Id: HUAWEICLT L09_x000D_
Product: CLT L09_x000D_
_x000D_
             FIRMWARE             _x000D_
SDK: 29_x000D_
Release: 10_x000D_
Incremental: 10 0 0 161C782_x000D_
_x000D_
   _x000D_
</t>
  </si>
  <si>
    <t>swapnil1104-PassCodeText-17</t>
  </si>
  <si>
    <t>!mHintText.isEmpty() causes a crash</t>
  </si>
  <si>
    <t xml:space="preserve">Hi  it is a useful widget  but must add  android:hint     to the xml file   or application will crash  _x000D_
 java lang NullPointerException: Attempt to invoke virtual method  boolean java lang String isEmpty()  on a null object reference_x000D_
        at com broooapps otpedittext2 OtpEditText onDraw(OtpEditText java:231) </t>
  </si>
  <si>
    <t>Tornaco-Thanox-170</t>
  </si>
  <si>
    <t>已安装插件不显示，再次安装提示 已安装</t>
  </si>
  <si>
    <t xml:space="preserve">Describe the bug      _x000D_
                   _x000D_
     152    bug_x000D_
_x000D_
To Reproduce      _x000D_
Steps to reproduce the behavior:      _x000D_
           _x000D_
_x000D_
Expected behavior      _x000D_
  bug_x000D_
Screenshots    _x000D_
 _x000D_
Version         :_x000D_
Android 11 (AOSP   )_x000D_
Thanox v2 0 alpha04_x000D_
_x000D_
Additional context      _x000D_
Add any other context about the problem here          _x000D_
_x000D_
   Logs        _x000D_
              issue _x000D_
1600595763461 V ThanoxApp A92E8A9A743FE6648E2E4743FDAC89E9EB4A568F_x000D_
1600595763463 V ThanoxApp A92E8A9A743FE6648E2E4743FDAC89E9EB4A568F_x000D_
1600595763464 V ThanoxApp A92E8A9A743FE6648E2E4743FDAC89E9EB4A568F_x000D_
1600595763466 V ThanoxApp A92E8A9A743FE6648E2E4743FDAC89E9EB4A568F_x000D_
1600595763467 D ThanoxApp onAttach_x000D_
1600595763467 D ThanoxApp onCreate_x000D_
1600595763469 D ThanoxApp onActivityCreated_x000D_
1600595763482 V ThanoxApp isPaid  true_x000D_
1600595763505 V ThanoxApp A92E8A9A743FE6648E2E4743FDAC89E9EB4A568F_x000D_
1600595786718 V ThanoxApp isPaid  true_x000D_
1600595786737 V ThanoxApp A92E8A9A743FE6648E2E4743FDAC89E9EB4A568F_x000D_
1600595788084 D ThanoxApp onAttach_x000D_
1600595788084 D ThanoxApp onCreate_x000D_
1600595788112 E ThanoxApp Error getAllInstalledPlugin_x000D_
java lang NullPointerException: Attempt to invoke virtual method  java lang Object android util ArrayMap get(java lang Object)  on a null object reference_x000D_
	at android os Parcel readSquashed(Parcel java:2082)_x000D_
	at android content pm ApplicationInfo 1 createFromParcel(ApplicationInfo java:1776)_x000D_
	at android content pm ApplicationInfo 1 createFromParcel(ApplicationInfo java:1773)_x000D_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Source:33)_x000D_
	at github tornaco android thanos main PluginFragment setupViewModel(Unknown Source:22)_x000D_
	at github tornaco android thanos main PluginFragment onCreateView(Unknown Source:10)_x000D_
	at androidx fragment app Fragment performCreateView(Unknown Source:15)_x000D_
	at androidx fragment app h t0(:8)_x000D_
	at androidx fragment app h r0(Unknown Source:49)_x000D_
	at androidx fragment app h s0(Unknown Source:42)_x000D_
	at androidx fragment app a u(:4)_x000D_
	at androidx fragment app h e0(:7)_x000D_
	at androidx fragment app h y0(Unknown Source:88)_x000D_
	at androidx fragment app h c0(:2)_x000D_
	at androidx fragment app h X(Unknown Source:9)_x000D_
	at androidx fragment app h r(Unknown Source:6)_x000D_
	at androidx fragment app d c(Unknown Source:4)_x000D_
	at androidx fragment app FragmentActivity onStart(Unknown Source:15)_x000D_
	at androidx appcompat app AppCompatActivity onStart(Unknown Source:0)_x000D_
	at android app Instrumentation callActivityOnStart(Instrumentation java:1435)_x000D_
	at android app Activity performStart(Activity java:8024)_x000D_
	at android app ActivityThread handleStartActivity(ActivityThread java:3475)_x000D_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java:2066)_x000D_
	at android os Handler dispatchMessage(Handler java:106)_x000D_
	at com osama firecrasher e run(Unknown Source:87)_x000D_
	at android os Handler handleCallback(Handler java:938)_x000D_
	at android os Handler dispatchMessage(Handler java:99)_x000D_
	at android os Looper loop(Looper java:223)_x000D_
	at java lang reflect Method invoke(Native Method)_x000D_
	at de robv android xposed XposedHelpers callStaticMethod(XposedHelpers java:1308)_x000D_
	at tiiehenry xp grapcrash CrashHandler lambda insert 0(CrashHandler java:39)_x000D_
	at tiiehenry xp grapcrash    Lambda CrashHandler 0aI9OlK525o 9UB6htkRKKZ50C0 run(Unknown Source:0)_x000D_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1600595788114 V ThanoxApp A92E8A9A743FE6648E2E4743FDAC89E9EB4A568F_x000D_
1600595788114 D ThanoxApp onActivityCreated_x000D_
1600595808125 V ThanoxApp isPaid  true_x000D_
1600595808143 V ThanoxApp A92E8A9A743FE6648E2E4743FDAC89E9EB4A568F_x000D_
1600595808636 D ThanoxApp onDestroy_x000D_
</t>
  </si>
  <si>
    <t>doublesymmetry-react-native-track-player-1033</t>
  </si>
  <si>
    <t>App crash when add new track to queue</t>
  </si>
  <si>
    <t xml:space="preserve">  Describe the bug  _x000D_
App crash on Release apk  and i only read log by Firebase Crashlystic _x000D_
_x000D_
com guichaguri trackplayer service player LocalPlayback add (LocalPlayback java:77)_x000D_
com guichaguri trackplayer module MusicModule lambda add 2 MusicModule (MusicModule java:221)_x000D_
com guichaguri trackplayer module    Lambda MusicModule  ISdZH9TdEnxpJjDTOZheGphQlE run (Unknown Source:8)_x000D_
_x000D_
on android studio log_x000D_
_x000D_
E AndroidRuntime: FATAL EXCEPTION: main_x000D_
    Process: com newapp h2lapp  PID: 25975_x000D_
    java lang NullPointerException: Attempt to invoke virtual method  com guichaguri trackplayer service player ExoPlayback com guichaguri trackplayer service MusicBinder getPlayback()  on a null object reference_x000D_
        at com guichaguri trackplayer module MusicModule lambda add 2 MusicModule(MusicModule java:202)_x000D_
        at com guichaguri trackplayer module    Lambda MusicModule  ISdZH9TdEnxpJjDTOZheGphQlE run(Unknown Source:8)_x000D_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App work fine when i run with debug mode _x000D_
_x000D_
Environtment: _x000D_
  Android 11  sdk 29 _x000D_
    react native track player :   2 0 0 rc13  _x000D_
   react native :  0 62 2 _x000D_
</t>
  </si>
  <si>
    <t>Anuken-Mindustry-2625</t>
  </si>
  <si>
    <t>build is something wrong</t>
  </si>
  <si>
    <t xml:space="preserve">  Platform  :   Windows  _x000D_
_x000D_
  Build  :  105 _x000D_
_x000D_
  Issue  :  _x000D_
       179 (https:  user images githubusercontent com 61054554 93694888 2ed4b680 fb4c 11ea 8e2e 06768aca4b81 png)_x000D_
_x000D_
       180 (https:  user images githubusercontent com 61054554 93694902 53309300 fb4c 11ea 8afc ae98492f7d2f png)_x000D_
there was core release jar instead mindustry jar in folder  libs  _x000D_
core release jar doesn t act as mindustry_x000D_
 _x000D_
_x000D_
  Steps to reproduce  :  little code modified such as adding new button in dialog _x000D_
_x000D_
  Link(s) to mod(s) used  :  The mod repositories or zip files that are related to the issue  if applicable  _x000D_
_x000D_
  Save file  :  The save file you were playing on when the bug happened  if applicable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</si>
  <si>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Tornaco-Thanox-169</t>
  </si>
  <si>
    <t>Android 11 活动管理/广播接收管理器/服务管理 打开无内容</t>
  </si>
  <si>
    <t xml:space="preserve">Describe the bug      _x000D_
                              _x000D_
_x000D_
To Reproduce      _x000D_
Steps to reproduce the behavior:      _x000D_
                                         _x000D_
_x000D_
Expected behavior      _x000D_
  bug_x000D_
Screenshots    _x000D_
 _x000D_
Version         :_x000D_
Android 11 (AOSP   )_x000D_
Thanox v2 0 alpha04_x000D_
_x000D_
Additional context      _x000D_
Add any other context about the problem here          _x000D_
_x000D_
   Logs        _x000D_
              issue  _x000D_
1600577691124 V ThanoxApp A92E8A9A743FE6648E2E4743FDAC89E9EB4A568F_x000D_
1600577691126 V ThanoxApp A92E8A9A743FE6648E2E4743FDAC89E9EB4A568F_x000D_
1600577691127 V ThanoxApp A92E8A9A743FE6648E2E4743FDAC89E9EB4A568F_x000D_
1600577691127 V ThanoxApp A92E8A9A743FE6648E2E4743FDAC89E9EB4A568F_x000D_
1600577691129 D ThanoxApp onAttach_x000D_
1600577691129 D ThanoxApp onCreate_x000D_
1600577691130 D ThanoxApp onActivityCreated_x000D_
1600577691143 V ThanoxApp isPaid  true_x000D_
1600577691157 V ThanoxApp A92E8A9A743FE6648E2E4743FDAC89E9EB4A568F_x000D_
1600577692843 D ThanoxApp onAttach_x000D_
1600577692843 D ThanoxApp onCreate_x000D_
1600577692874 E ThanoxApp Error getAllInstalledPlugin_x000D_
java lang NullPointerException: Attempt to invoke virtual method  java lang Object android util ArrayMap get(java lang Object)  on a null object reference_x000D_
	at android os Parcel readSquashed(Parcel java:2082)_x000D_
	at android content pm ApplicationInfo 1 createFromParcel(ApplicationInfo java:1776)_x000D_
	at android content pm ApplicationInfo 1 createFromParcel(ApplicationInfo java:1773)_x000D_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Source:33)_x000D_
	at github tornaco android thanos main PluginFragment setupViewModel(Unknown Source:22)_x000D_
	at github tornaco android thanos main PluginFragment onCreateView(Unknown Source:10)_x000D_
	at androidx fragment app Fragment performCreateView(Unknown Source:15)_x000D_
	at androidx fragment app h t0(:8)_x000D_
	at androidx fragment app h r0(Unknown Source:49)_x000D_
	at androidx fragment app h s0(Unknown Source:42)_x000D_
	at androidx fragment app a u(:4)_x000D_
	at androidx fragment app h e0(:7)_x000D_
	at androidx fragment app h y0(Unknown Source:88)_x000D_
	at androidx fragment app h c0(:2)_x000D_
	at androidx fragment app h X(Unknown Source:9)_x000D_
	at androidx fragment app h r(Unknown Source:6)_x000D_
	at androidx fragment app d c(Unknown Source:4)_x000D_
	at androidx fragment app FragmentActivity onStart(Unknown Source:15)_x000D_
	at androidx appcompat app AppCompatActivity onStart(Unknown Source:0)_x000D_
	at android app Instrumentation callActivityOnStart(Instrumentation java:1435)_x000D_
	at android app Activity performStart(Activity java:8024)_x000D_
	at android app ActivityThread handleStartActivity(ActivityThread java:3475)_x000D_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java:2066)_x000D_
	at android os Handler dispatchMessage(Handler java:106)_x000D_
	at com osama firecrasher e run(Unknown Source:87)_x000D_
	at android os Handler handleCallback(Handler java:938)_x000D_
	at android os Handler dispatchMessage(Handler java:99)_x000D_
	at android os Looper loop(Looper java:223)_x000D_
	at java lang reflect Method invoke(Native Method)_x000D_
	at de robv android xposed XposedHelpers callStaticMethod(XposedHelpers java:1308)_x000D_
	at tiiehenry xp grapcrash CrashHandler lambda insert 0(CrashHandler java:39)_x000D_
	at tiiehenry xp grapcrash    Lambda CrashHandler 0aI9OlK525o 9UB6htkRKKZ50C0 run(Unknown Source:0)_x000D_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_x000D_
1600577692877 V ThanoxApp A92E8A9A743FE6648E2E4743FDAC89E9EB4A568F_x000D_
1600577692877 D ThanoxApp onActivityCreated_x000D_
1600577693592 V ThanoxApp isPaid  true_x000D_
1600577693608 V ThanoxApp A92E8A9A743FE6648E2E4743FDAC89E9EB4A568F_x000D_
1600577694079 D ThanoxApp onDestroy_x000D_
1600577695280 V ThanoxApp isPaid  true_x000D_
1600577695295 V ThanoxApp A92E8A9A743FE6648E2E4743FDAC89E9EB4A568F_x000D_
</t>
  </si>
  <si>
    <t>nextcloud-android-6972</t>
  </si>
  <si>
    <t>App crash on syncing a New folder (nullpointer)</t>
  </si>
  <si>
    <t xml:space="preserve">    Steps to reproduce_x000D_
1  Open App_x000D_
2  Try to sync a New folder_x000D_
3  App crash_x000D_
_x000D_
    Expected behaviour_x000D_
  Folder geht synced_x000D_
_x000D_
    Actual behaviour_x000D_
  App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10_x000D_
_x000D_
Device model: one plus one bacon_x000D_
_x000D_
Stock or customized system: lineageos_x000D_
_x000D_
Nextcloud app version: fdroid dev 20200908_x000D_
_x000D_
Nextcloud server version: 19_x000D_
_x000D_
Reverse proxy:  nginx_x000D_
_x000D_
    Logs_x000D_
     Web server error log_x000D_
   _x000D_
Insert your webserver log here_x000D_
   _x000D_
_x000D_
     Nextcloud log (data nextcloud log)_x000D_
Error from the App_x000D_
_x000D_
             CAUSE OF ERROR             _x000D_
_x000D_
java lang NullPointerException_x000D_
	at java io File  init (File java:283)_x000D_
	at com owncloud android ui fragment OCFileListFragment checkIfEnoughSpace(OCFileListFragment java:1785)_x000D_
	at com owncloud android ui fragment OCFileListFragment syncAndCheckFiles(OCFileListFragment java:1770)_x000D_
	at com owncloud android ui fragment OCFileListFragment onFileActionChosen(OCFileListFragment java:1160)_x000D_
	at com owncloud android ui fragment OCFileListFragment lambda onOverflowIconClicked 4 OCFileListFragment(OCFileListFragment java:532)_x000D_
	at com owncloud android ui fragment    Lambda OCFileListFragment Vub hSwuRnZYfTOMLTxZ0VL71II onMenuItemClick(Unknown Source:4)_x000D_
	at android widget PopupMenu 1 onMenuItemSelected(PopupMenu java:108)_x000D_
	at com android internal view menu MenuBuilder dispatchMenuItemSelected(MenuBuilder java:787)_x000D_
	at com android internal view menu MenuItemImpl invoke(MenuItemImpl java:151)_x000D_
	at com android internal view menu MenuBuilder performItemAction(MenuBuilder java:934)_x000D_
	at com android internal view menu MenuBuilder performItemAction(MenuBuilder java:924)_x000D_
	at com android internal view menu MenuPopup onItemClick(MenuPopup java:128)_x000D_
	at android widget AdapterView performItemClick(AdapterView java:330)_x000D_
	at android widget AbsListView performItemClick(AbsListView java:1190)_x000D_
	at android widget AbsListView PerformClick run(AbsListView java:3198)_x000D_
	at android widget AbsListView 3 run(AbsListView java:4116)_x000D_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APP INFORMATION             _x000D_
ID: com nextcloud android beta_x000D_
Version: 20200908_x000D_
Build flavor: versionDev_x000D_
_x000D_
             DEVICE INFORMATION             _x000D_
Brand: oneplus_x000D_
Device: bacon_x000D_
Model: A0001_x000D_
Id: QQ3A 200805 001_x000D_
Product: bacon_x000D_
_x000D_
             FIRMWARE             _x000D_
SDK: 29_x000D_
Release: 10_x000D_
Incremental: 431caa5ea7_x000D_
</t>
  </si>
  <si>
    <t>Anuken-Mindustry-2620</t>
  </si>
  <si>
    <t>Campaign saves being replaced</t>
  </si>
  <si>
    <t xml:space="preserve">  Platform  :  Android iOS Mac Windows Linux _x000D_
Mac_x000D_
  Build  :  The build number under the title in the main menu  Required  _x000D_
steam build 105_x000D_
  Issue  :  Explain your issue in detail  _x000D_
i went into the campaign and my frozen forest progress had been overridden with an editor map i was messing around with_x000D_
  Steps to reproduce  :  How you happened across the issue  and what exactly you did to make the bug happen  _x000D_
i was in the editor and i left the editor opened the campaign and clicked on frozen forest  then i noticed that it said  frozen forest  with icons for copper lead and coal  it didn t say amounts of any resource even though i had about 20 minutes of progress  when i opened the map frozen forest did not appear  that same map i had open in the editor opened  when i left i re opened the campaign and saw that my progress was straight up gone _x000D_
  Link(s) to mod(s) used  :  The mod repositories or zip files that are related to the issue  if applicable  _x000D_
none_x000D_
  Save file  :  The save file you were playing on when the bug happened  if applicable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</si>
  <si>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TeamNewPipe-NewPipe-4295</t>
  </si>
  <si>
    <t>NullPointerException at YoutubeStreamExtractor.getPlayerUrl</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</si>
  <si>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to      _x000D_
2  Press on       _x000D_
3  Swipe down to       _x000D_
   _x000D_
Searched for  billy joel pressure  and submitted to view search results_x000D_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Exception_x000D_
    User Action:   requested stream_x000D_
    Request:   https:  www youtube com watch v Iyv905Q2omU_x000D_
    Content Country:   DE_x000D_
    Content Language:   de DE_x000D_
    App Language:   de DE_x000D_
    Service:   YouTube_x000D_
    Version:   0 19 8_x000D_
    OS:   Linux Android 10   29_x000D_
 details  summary  b Crash log   b   summary  p _x000D_
_x000D_
   _x000D_
org schabi newpipe extractor exceptions ParsingException: Could not load decryption code for the Youtube service _x000D_
	at org schabi newpipe extractor services youtube extractors YoutubeStreamExtractor getPlayerUrl(YoutubeStreamExtractor java:706)_x000D_
	at org schabi newpipe extractor services youtube extractors YoutubeStreamExtractor onFetchPage(YoutubeStreamExtractor java:656)_x000D_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java lang NullPointerException: Attempt to invoke virtual method  boolean java lang String startsWith(java lang String)  on a null object reference_x000D_
	at org schabi newpipe extractor services youtube extractors YoutubeStreamExtractor getPlayerUrl(YoutubeStreamExtractor java:701)_x000D_
	    30 more_x000D_
_x000D_
   _x000D_
  details _x000D_
 hr _x000D_
_x000D_
     That s right  here     _x000D_
</t>
  </si>
  <si>
    <t>Anuken-Mindustry-2619</t>
  </si>
  <si>
    <t>200 enemies at round 3</t>
  </si>
  <si>
    <t xml:space="preserve">  Platform  :  windows _x000D_
_x000D_
  Build  : alpha v6 105_x000D_
_x000D_
  Issue  :  200 enemies at round 3 _x000D_
_x000D_
  Steps to reproduce  :  go to campaign  get graphite and hail as fast as you can  skip first round  _x000D_
_x000D_
  Link(s) to mod(s) used  :  The mod repositories or zip files that are related to the issue  if applicable  _x000D_
_x000D_
  Save file  :  The save file you were playing on when the bug happened  if applicable  _x000D_
_x000D_
  Crash report  :  The contents of relevant crash report files  REQUIRED if you are reporting a crash  _x000D_
_x000D_
   _x000D_
  unknown (https:  user images githubusercontent com 67633347 93686853 57749600 fae3 11ea 8295 a783abdea328 png)_x000D_
_x000D_
_x000D_
 Place an X (no spaces) between the brackets to confirm that you have read the line below    _x000D_
   X    I have searched the closed and open issues to make sure that this problem has not already been reported   _x000D_
</t>
  </si>
  <si>
    <t>TeamNewPipe-NewPipe-4294</t>
  </si>
  <si>
    <t>Subtitle text area is smaller for no reason than 0.19.8</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</si>
  <si>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https:  github com TeamNewPipe NewPipe commit b69e477ecdf576d0406c0de87db3c8a2866ce741_x000D_
_x000D_
    Steps to reproduce the bug_x000D_
    _x000D_
1  Go to      _x000D_
2  Press on       _x000D_
3  Swipe down to       _x000D_
   _x000D_
1  set newpipe language to french_x000D_
2  open a video with subtitles  e g  https:  invidious snopyta org watch v 58hoktsqk Q_x000D_
3  press the arrow button_x000D_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If there is room  notice  Aucun sous titre  (no subtitles)_x000D_
    Actual behaviour_x000D_
     Tell us what happens instead     _x000D_
There is room for it but only  Aucun sous   is shown_x000D_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newpipe 0 19 8 subtitles (https:  user images githubusercontent com 58657617 93671647 00e86700 faa5 11ea 9d2c f1e10e1770c7 png)_x000D_
_x000D_
  newpipe 0 20 0 pre version (https:  user images githubusercontent com 58657617 93671649 0645b180 faa5 11ea 9260 8c84af91a7a9 png)_x000D_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</si>
  <si>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TeamNewPipe-NewPipe-4293</t>
  </si>
  <si>
    <t>Can't scroll subtitles anymore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</si>
  <si>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https:  github com TeamNewPipe NewPipe commit b69e477ecdf576d0406c0de87db3c8a2866ce741_x000D_
_x000D_
    Steps to reproduce the bug_x000D_
    _x000D_
1  Go to      _x000D_
2  Press on       _x000D_
3  Swipe down to       _x000D_
   _x000D_
1  Open a video with lots of subtitles  e g  https:  invidious snopyta org watch v 58hoktsqk Q_x000D_
2  press the arrow button_x000D_
3  click on subtitles and scroll_x000D_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It scrolls_x000D_
    Actual behaviour_x000D_
     Tell us what happens instead     _x000D_
You can t scroll anymore_x000D_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newpipe 0 19 8 subtitles (https:  user images githubusercontent com 58657617 93671647 00e86700 faa5 11ea 9d2c f1e10e1770c7 png)_x000D_
_x000D_
  newpipe 0 20 0 pre version (https:  user images githubusercontent com 58657617 93671649 0645b180 faa5 11ea 9260 8c84af91a7a9 png)_x000D_
_x000D_
you can notice that the bar at the right for 0 19 8 (first screenshot) which shows the position  is not visible anymore_x000D_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</si>
  <si>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TeamNewPipe-NewPipe-4292</t>
  </si>
  <si>
    <t>Status bar is not dismissed after video quality change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</si>
  <si>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b69e477ecdf576d0406c0de87db3c8a2866ce741_x000D_
_x000D_
    Steps to reproduce the bug_x000D_
    _x000D_
1  Go to      _x000D_
2  Press on       _x000D_
3  Swipe down to       _x000D_
   _x000D_
_x000D_
1  play a video_x000D_
2  change quality_x000D_
3  wait few seconds_x000D_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The status (hour  notifications  battery level ) and navigation bars should be dismissed _x000D_
_x000D_
_x000D_
    Actual behaviour_x000D_
     Tell us what happens instead     _x000D_
It stays indefinitely_x000D_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</si>
  <si>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Anuken-Mindustry-2613</t>
  </si>
  <si>
    <t>Multipalayer server crash when someone break a block</t>
  </si>
  <si>
    <t xml:space="preserve">  Platform  :  Windows _x000D_
_x000D_
  Build  :  105 _x000D_
_x000D_
  Issue  :  When someone break a block in multiplayer the server crash _x000D_
_x000D_
  Steps to reproduce  :  break a block _x000D_
_x000D_
  Link(s) to mod(s) used  :  No mods _x000D_
_x000D_
  Save file  :  No save _x000D_
_x000D_
  Crash report  :   log 0 txt (https:  github com Anuken Mindustry files 5249951 log 0 txt) _x000D_
_x000D_
   _x000D_
_x000D_
 Place an X (no spaces) between the brackets to confirm that you have read the line below    _x000D_
   x    I have searched the closed and open issues to make sure that this problem has not already been reported   _x000D_
</t>
  </si>
  <si>
    <t>Anuken-Mindustry-2606</t>
  </si>
  <si>
    <t>Ships leave water trail on land.</t>
  </si>
  <si>
    <t xml:space="preserve">  Platform  : Windows_x000D_
_x000D_
  Build  : Bleeding Edge 9796_x000D_
_x000D_
  Issue  : Sailing at the edge of land with larger ships  most noticeably  the tier 5 one  leaves a water trail on land  In this image  it s sand  but it applies to all land types _x000D_
_x000D_
  Steps to reproduce  : _x000D_
_x000D_
  exist_x000D_
  open a game with water next to land_x000D_
  procrastinate for tier 5 ship_x000D_
  sail it next to land  then sharply turn away from the land _x000D_
  voila _x000D_
_x000D_
  Link(s) to mod(s) used  : No mods _x000D_
_x000D_
  Save file  : GitHub doesn t support  msav file types_x000D_
_x000D_
  Crash report  : Not a crash _x000D_
_x000D_
  Image thing  _x000D_
_x000D_
  image (https:  user images githubusercontent com 65382389 93662397 5f99ea80 fa7d 11ea 8260 38d556daa251 png)_x000D_
_x000D_
_x000D_
   _x000D_
_x000D_
 Place an X (no spaces) between the brackets to confirm that you have read the line below    _x000D_
   x    I have searched the closed and open issues to make sure that this problem has not already been reported   _x000D_
</t>
  </si>
  <si>
    <t>Anuken-Mindustry-2604</t>
  </si>
  <si>
    <t>Bug/Exploit, Arc / Lancer is able to fire without draining power when not connected to any power draining blocks and connected to one solar panel</t>
  </si>
  <si>
    <t xml:space="preserve">  Platform  : Windows_x000D_
_x000D_
  Build  : bleeding edge build 9796_x000D_
_x000D_
  Issue  : Arc   Lancer power consumption  does not drain when not connected to any blocks draining power  the power itself does not reduce when arc   lancer is fired  does not work with batteries  only works when controlled by player  arc schematic : _x000D_
_x000D_
bXNjaAF4nGNgY2BjZGDJS8xNZeDKzEvLzMssSVUwYmFgTixKZuAqyC9PLdLNy09JZeAuzs9JLNItSMxLzWHgz8lPz0zWLSjKT04tLs4vYmBgkAViBkYGZhDFBKGYIRQLiGKESAMhB9f  wyMQMwExMxg1SA1IBGQdqBrwDIgUZAOJohuoFlMEDkQj5UBqg9MMYKsYmJg4gNyVCrmxE72zrttINB2fKMssx1rv0KniLx1flWz3q1Y1uiOq7uCtDQdJjl Z6jcaG96mOXloQPP5  3sZBa1 Hi Y05swJN x7  f6Kb Fl ejSGefvLvEy3Xb5buq9 1s L31dv3JnwNG6rN ZElf3yqw6XCLX9jP6mrzd6 ub  2IfP9Les6ZVc7HHoaZLhfeEPzUXffq235n  7DrrqCAe8m hVk P y6O D53ff335qlbe1b x53 9P YPkgnZl9kv X BrLHdaInNrAOuiVpNYTsko7qsXbqRnaj JUF8uZ3eNKdfh9pSdDELJnRIHu9YZZy2o4OUJ7zEtYvz98Mo0hkDdOU18H5vmccTqSyT1 HOHscam6mRO3dgUHnB8 48zGQkCaxIFtmw59yJDOF7C9hMXW4vhK6bEJom0Y1yqcZKlNb35PWr7Ura2acVJz9988Kj6zgnfXkxbv5J5Ansql0L  SkZgVe4NFa5hTk2RyU5bF0T9eWAak zdG Jfj4W5gmHXzGdSCzt5C6M6PWdWJfda8kh5eNu4BsERIdkco2T4lP4ShtOZWw0EErz3nUu4qLfoTXHDhWmX2PYGR d3HutZ0WbPfciqW 5jvMbDBUyti84XH56hlxjAqu evFLSY4kb6NHeZK6h1hk3ym8MAzRe8Nkx716n8f0FJ2JjbO iH7iWpaV5HGVJdj0YIjvhUQzoWcPn16rveUpF6LRYHOlIUty4 RLkRde7jSa9aVN8vLl23 Yn7yqNWYCpRoWSOJhhaRUBgjFCKFYIBQrJPmC0yELJOUCwT8g gtMo3 AafYPJBUDMQsiJYNNYYGkXFDiZwbpZuFgB6f7fyBZkDEgY0E8oFmMYB4LxD5WSC5ihehnheQiVpBBAF4WQuM _x000D_
_x000D_
  Steps to reproduce  : Just put a power node with a solar panel  a processor that controls the turret  and shoot_x000D_
_x000D_
  Link(s) to mod(s) used  : None_x000D_
_x000D_
  Save file  :  _x000D_
  Crash report  : No crash report_x000D_
_x000D_
   _x000D_
_x000D_
 Place an X (no spaces) between the brackets to confirm that you have read the line below    _x000D_
   x    I have searched the closed and open issues to make sure that this problem has not already been reported   _x000D_
</t>
  </si>
  <si>
    <t>doublesymmetry-react-native-track-player-1031</t>
  </si>
  <si>
    <t>Crash in release</t>
  </si>
  <si>
    <t xml:space="preserve">  Describe the bug  _x000D_
  Application crashes only occurring in release so not producing any logs other than crash report  _x000D_
_x000D_
  To Reproduce  _x000D_
Steps to reproduce the behavior:_x000D_
  Currently we have a onLoad() function that runs inside useEffect()  This calls the actions TrackPlayer reset() and TrackPlayer add()  I m struggling to reproduce this in production  _x000D_
_x000D_
Below code:_x000D_
   _x000D_
  const setCurrentPlaybackTracks   async ()     _x000D_
    const questionTrack   audioFileIdToTrack(currentQuestion() audioFile) _x000D_
    const tracks    questionTrack  _x000D_
    if (currentQuestion() response      AUDIO )  _x000D_
         IF there is a recording it will play the recording after the question  As if it was the real thing_x000D_
      tracks push(channelIdToTrack(currentQuestion() channelId)) _x000D_
     _x000D_
_x000D_
    await TrackPlayer reset() _x000D_
    await TrackPlayer add(tracks) _x000D_
    _x000D_
   _x000D_
_x000D_
  Environment (please complete the following information):  _x000D_
_x000D_
Run  react native info  in your project and share the content _x000D_
   _x000D_
System:_x000D_
    OS: macOS 10 15 6_x000D_
    CPU: (6) x64 Intel(R) Core(TM) i5 8500 CPU   3 00GHz_x000D_
    Memory: 6 78 GB   24 00 GB_x000D_
    Shell: 5 7 1    bin zsh_x000D_
  Binaries:_x000D_
    Node: 14 4 0    usr local bin node_x000D_
    Yarn: 1 22 4    usr local bin yarn_x000D_
    npm: 6 14 4    usr local bin npm_x000D_
    Watchman: 4 9 0    usr local bin watchman_x000D_
  Managers:_x000D_
    CocoaPods: 1 9 1    usr local bin pod_x000D_
  SDKs:_x000D_
    iOS SDK:_x000D_
      Platforms: iOS 14 0  DriverKit 19 0  macOS 10 15  tvOS 14 0  watchOS 7 0_x000D_
    Android SDK: Not Found_x000D_
  IDEs:_x000D_
    Android Studio: 3 6 AI 192 7142 36 36 6392135_x000D_
    Xcode: 12 0 12A7209    usr bin xcodebuild_x000D_
  Languages:_x000D_
    Java: 13 0 1    usr bin javac_x000D_
    Python: 2 7 16    usr bin python_x000D_
  npmPackages:_x000D_
     react native community cli: Not Found_x000D_
    react: 16 11 0    16 11 0 _x000D_
    react native: 0 62 2    0 62 2 _x000D_
    react native macos: Not Found_x000D_
  npmGlobalPackages:_x000D_
     react native : Not Found_x000D_
   _x000D_
_x000D_
What  react native track player  version are you using       react native track player :   1 2 3   _x000D_
Are you testing on a real device or in the simulator  Which OS version are you running : Crash currently only occurring on real device and occurring on OS:  14 0  and  13 6 1 _x000D_
_x000D_
  Code  _x000D_
  The below code is the first thing that runs on the page load  I see this is where the issue lies _x000D_
   _x000D_
  const setCurrentPlaybackTracks   async ()     _x000D_
    const questionTrack   audioFileIdToTrack(currentQuestion() audioFile) _x000D_
    const tracks    questionTrack  _x000D_
    if (currentQuestion() response      AUDIO )  _x000D_
         IF there is a recording it will play the recording after the question  As if it was the real thing_x000D_
      tracks push(channelIdToTrack(currentQuestion() channelId)) _x000D_
     _x000D_
_x000D_
    await TrackPlayer reset() _x000D_
    await TrackPlayer add(tracks) _x000D_
    _x000D_
   _x000D_
_x000D_
   _x000D_
Thread 7 name:_x000D_
Thread 7 Crashed:_x000D_
0   A Life Lived                  	0x000000010315492c MediaURL init(object:)   1512 (MediaURL swift:28)_x000D_
1   A Life Lived                  	0x0000000103154794 MediaURL init(object:)   1104 (MediaURL swift:28)_x000D_
2   A Life Lived                  	0x000000010316d65c Track init(dictionary:)   668 (Track swift:38)_x000D_
3   A Life Lived                  	0x0000000103162038 Track   allocating init(dictionary:)   8 ( compiler generated :0)_x000D_
4   A Life Lived                  	0x0000000103162038 RNTrackPlayer add(trackDicts:before:resolve:reject:)   688_x000D_
5   A Life Lived                  	0x0000000103162038 0x102f4c000   2187320 (RNTrackPlayer swift:290)_x000D_
6   A Life Lived                  	0x0000000103162be0  objc RNTrackPlayer add(trackDicts:before:resolve:reject:)   220 ( compiler generated :0)_x000D_
7   CoreFoundation                	0x00000001ad5235d4   invoking      148_x000D_
8   CoreFoundation                	0x00000001ad3fe9e8   NSInvocation invoke    448 (NSForwarding m:3389)_x000D_
9   CoreFoundation                	0x00000001ad3fefa4   NSInvocation invokeWithTarget:    80 (NSForwarding m:3495)_x000D_
10  A Life Lived                  	0x0000000103057670   RCTModuleMethod invokeWithBridge:module:arguments:    460 (RCTModuleMethod mm:569)_x000D_
11  A Life Lived                  	0x000000010305975c facebook::react::invokeInner(RCTBridge   RCTModuleData   unsigned int  folly::dynamic const )   244 (RCTNativeModule mm:108)_x000D_
12  A Life Lived                  	0x00000001030594c0 facebook::react::RCTNativeModule::invoke(unsigned int  folly::dynamic    int)::  0::operator()() const   44 (RCTNativeModule mm:73)_x000D_
13  A Life Lived                  	0x00000001030594c0 invocation function for block in facebook::react::RCTNativeModule::invoke(unsigned int  folly::dynamic    int)   88 (RCTNativeModule mm:65)_x000D_
14  libdispatch dylib             	0x00000001ad11afd0  dispatch call block and release   32 (init c:1454)_x000D_
15  libdispatch dylib             	0x00000001ad11cac8  dispatch client callout   20 (object m:559)_x000D_
16  libdispatch dylib             	0x00000001ad123c08  dispatch lane serial drain   580 (inline internal h:2548)_x000D_
17  libdispatch dylib             	0x00000001ad124734  dispatch lane invoke   408 (queue c:3862)_x000D_
18  libdispatch dylib             	0x00000001ad12e528  dispatch workloop worker thread   708 (queue c:6590)_x000D_
19  libsystem pthread dylib       	0x00000001f4a70908  pthread wqthread   276 (pthread c:2193)_x000D_
20  libsystem pthread dylib       	0x00000001f4a7777c start wqthread   8_x000D_
   _x000D_
_x000D_
  Update  _x000D_
I m finding the crash is occurring when you go into background mode and then return to the app  </t>
  </si>
  <si>
    <t>Anuken-Mindustry-2598</t>
  </si>
  <si>
    <t>[Reupload] Logic displays break at high fps (This time with a save file)</t>
  </si>
  <si>
    <t xml:space="preserve">Platform: Windows_x000D_
_x000D_
Build: v6 alpha 105_x000D_
_x000D_
Issue: when drawing things on a logic display with multiple processors it works fine at lower fps but when your fps is above 300ish they flicker and do other odd things _x000D_
_x000D_
Steps to reproduce: have a logic display hooked into more than one processor each drawing their own thing (in separate colours) at high fps_x000D_
_x000D_
Link(s) to mod(s) used:no mods_x000D_
_x000D_
Save file: A mouse that you can move and click along with a box that you can drag_x000D_
_x000D_
 ClickableMouseWithDragableBox zip (https:  github com Anuken Mindustry files 5248885 ClickableMouseWithDragableBox zip)_x000D_
_x000D_
Crash report: not a crash_x000D_
_x000D_
</t>
  </si>
  <si>
    <t>Anuken-Mindustry-2597</t>
  </si>
  <si>
    <t>Logic displays break at high fps</t>
  </si>
  <si>
    <t xml:space="preserve">  Platform  : Windows_x000D_
_x000D_
  Build  : v6 alpha 105_x000D_
_x000D_
  Issue  : when drawing things on a logic display with multiple processors it works fine at lower fps but when your fps is above 300ish they flicker and do other odd things _x000D_
_x000D_
  Steps to reproduce  : have a logic display hooked into more than one processor each drawing their own thing (in seperate colours) at high fps _x000D_
_x000D_
  Link(s) to mod(s) used  :no mods_x000D_
_x000D_
  Save file  : not necessary_x000D_
_x000D_
  Crash report  : not a crash_x000D_
_x000D_
   _x000D_
_x000D_
 Place an X (no spaces) between the brackets to confirm that you have read the line below    _x000D_
    X    I have searched the closed and open issues to make sure that this problem has not already been reported   _x000D_
</t>
  </si>
  <si>
    <t>Anuken-Mindustry-2593</t>
  </si>
  <si>
    <t>Grass is gray?</t>
  </si>
  <si>
    <t xml:space="preserve">  Platform  : Windows_x000D_
_x000D_
  Build  : 9783  bleeding edge _x000D_
_x000D_
  Issue  : grass in the minimap appears gray_x000D_
_x000D_
  Steps to reproduce  : place grass in a map or play on a map with grass_x000D_
_x000D_
  Link(s) to mod(s) used  : No mods _x000D_
_x000D_
  Save file  : GitHub doesn t support msav file types _x000D_
_x000D_
  Crash report  : Not a crash _x000D_
_x000D_
  Image thing  :_x000D_
_x000D_
  image (https:  user images githubusercontent com 65382389 93615801 827ebd00 f9f1 11ea 9a59 37728f3324da png)_x000D_
_x000D_
_x000D_
   _x000D_
_x000D_
 Place an X (no spaces) between the brackets to confirm that you have read the line below    _x000D_
   x    I have searched the closed and open issues to make sure that this problem has not already been reported   _x000D_
</t>
  </si>
  <si>
    <t>Anuken-Mindustry-2590</t>
  </si>
  <si>
    <t>clearing game data clears tech tree but keeps all other campaign data</t>
  </si>
  <si>
    <t xml:space="preserve">  Platform  :  Android iOS Mac Windows Linux _x000D_
Windows_x000D_
  Build  :  The build number under the title in the main menu  Required  _x000D_
BE 9783_x000D_
  Issue  :  Explain your issue in detail  _x000D_
i deleted my game data to try and redo campaign (i did save first) and when i entered campaign everything but my tech tree was the same_x000D_
  Steps to reproduce  :  How you happened across the issue  and what exactly you did to make the bug happen  _x000D_
ran the game went into settings clicked on game data clicked  save game data  and once my data was saved i clicked  clear game data  it exited me out of the game  once i came back to play the campaign from scratch i entered campaign and saw that all my zones were still there and upon further investigation noticed that the only different thing was my empty tech tree _x000D_
  Link(s) to mod(s) used  :  The mod repositories or zip files that are related to the issue  if applicable  _x000D_
none_x000D_
  Save file  :  The save file you were playing on when the bug happened  if applicable  _x000D_
_x000D_
  Crash report  :  The contents of relevant crash report files  REQUIRED if you are reporting a crash  _x000D_
_x000D_
   _x000D_
_x000D_
_x000D_
_x000D_
_x000D_
 Place an X (no spaces) between the brackets to confirm that you have read the line below    _x000D_
   x    I have searched the closed and open issues to make sure that this problem has not already been reported   _x000D_
</t>
  </si>
  <si>
    <t>Anuken-Mindustry-2588</t>
  </si>
  <si>
    <t>Error loading pixmap: Corrupt JPEG</t>
  </si>
  <si>
    <t xml:space="preserve">  Platform  : windows 7 32 bits_x000D_
_x000D_
  Build  : Steam 105 v6 0 alpha _x000D_
_x000D_
  Issue  : loading screen gets glitchy and appears all black except the loading at the bottom  it shows all in red some words _x000D_
_x000D_
  Steps to reproduce  : i just downloaded the v6 0 alpha on steam i tried reinstalling it _x000D_
_x000D_
  Link(s) to mod(s) used  : no mods _x000D_
_x000D_
  Save file  : can t get past the loading screen _x000D_
_x000D_
  Crash report  : _x000D_
 crash report 09 17 2020 21 53 11 txt (https:  github com Anuken Mindustry files 5243599 crash report 09 17 2020 21 53 11 txt)_x000D_
_x000D_
 X    I have searched the closed and open issues to make sure that this problem has not already been reported   _x000D_
</t>
  </si>
  <si>
    <t>Anuken-Mindustry-2587</t>
  </si>
  <si>
    <t>Commanded units stop following</t>
  </si>
  <si>
    <t xml:space="preserve">  Platform  :  Android iOS Mac Windows Linux _x000D_
_x000D_
Windows _x000D_
_x000D_
  Build  :  The build number under the title in the main menu  Required  _x000D_
_x000D_
BE 9783_x000D_
_x000D_
  Issue  :  Explain your issue in detail  _x000D_
_x000D_
Another multiplayer bug_x000D_
_x000D_
If one player is commanding units  and then player 2 picks up one of said commanded units with Mega  after they place the unit down the unit will walk back to the player who commanded originally  however upon reaching said player they no longer walk again until they are uncommand and recommanded to follow  they still turn with the player and shoot when the player does _x000D_
_x000D_
  Steps to reproduce  :  How you happened across the issue  and what exactly you did to make the bug happen  _x000D_
_x000D_
Have two players  command some ground units with one  have the other player pickup and then place one of the units under command of the first player  The unit will walk to the commander and then never walk again unless the commanding player recommands _x000D_
_x000D_
_x000D_
A question not related to the bug report  but past  I do not understand how BE builds work and if the fixes for the last few bugs I reported are currently live in 9783  but the past two bugs previously reported by me still exist  Non red research  and vanishing units _x000D_
_x000D_
  Link(s) to mod(s) used  :  The mod repositories or zip files that are related to the issue  if applicable  _x000D_
_x000D_
  Save file  :  The save file you were playing on when the bug happened  if applicable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</si>
  <si>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Anuken-Mindustry-2585</t>
  </si>
  <si>
    <t xml:space="preserve">Items in research menu are not coloured red </t>
  </si>
  <si>
    <t xml:space="preserve">  Platform  :  Android iOS Mac Windows Linux _x000D_
 _x000D_
Windows_x000D_
_x000D_
  Build  :  The build number under the title in the main menu  Required  _x000D_
_x000D_
BE 9780_x000D_
_x000D_
  Issue  :  Explain your issue in detail  _x000D_
_x000D_
When half researching items in the tech tree  the icon of said item will only turn red once you are out of ALL resources needed to research it  even if you have used the entire amount of one or more of the resources required _x000D_
  Screenshot 1 (https:  user images githubusercontent com 31638088 93547213 b8ed0700 f921 11ea 982c 2fe1c4cd54ac png)_x000D_
  Screenshot 2 (https:  user images githubusercontent com 31638088 93547227 c3a79c00 f921 11ea 8ffc 4cc20bed8f64 png)_x000D_
  Screenshot 6 (https:  user images githubusercontent com 31638088 93547462 547e7780 f922 11ea 8b78 d2cd4047a9b1 png)_x000D_
  Screenshot 5 (https:  user images githubusercontent com 31638088 93547473 58aa9500 f922 11ea 8d7c 89489b300cc6 png)_x000D_
_x000D_
_x000D_
  Steps to reproduce  :  How you happened across the issue  and what exactly you did to make the bug happen  _x000D_
_x000D_
Research an item that has more than one resource required  fully using up one and still having some of it left over  watch the icon fail to turn red even tho you do not have enough resources of the second third  etc to finish the research _x000D_
_x000D_
  Link(s) to mod(s) used  :  The mod repositories or zip files that are related to the issue  if applicable  _x000D_
_x000D_
  Save file  :  The save file you were playing on when the bug happened  if applicable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</si>
  <si>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mgsx-dev-gdx-gltf-27</t>
  </si>
  <si>
    <t>IBL Composer crash when setting unsupported environment map size</t>
  </si>
  <si>
    <t xml:space="preserve">Steps to reproduce:_x000D_
  run IBL composer_x000D_
  open this HDRI file  https:  hdrihaven com hdri  c night h blaubeuren night (url) 4k version_x000D_
  set the environment map size to 8k_x000D_
   crash_x000D_
_x000D_
It could show a message that the size is unsupported or even better disable the options to choose those resolutions _x000D_
_x000D_
This also happens when setting the irradience map to 8k but not when setting the radience map to 8k _x000D_
I got no stack trace for it though _x000D_
_x000D_
  image (https:  user images githubusercontent com 108926 93540732 e1dabf80 f954 11ea 8eeb 6e435834e6f3 png)_x000D_
_x000D_
And just to make it a little more challenging for you:_x000D_
The crash won t occur with this hdri map  https:  hdrihaven com hdri  c nature h gamrig (url) in 8k and setting the environment map size to 16k  At least it doesn t crash for me _x000D_
</t>
  </si>
  <si>
    <t>mgsx-dev-gdx-gltf-26</t>
  </si>
  <si>
    <t>Desktop demo crash when enabling outline</t>
  </si>
  <si>
    <t>The stack trace should speak for itself _x000D_
But for the sake of completeness  the steps to reproduce:_x000D_
  run the demo jar_x000D_
   optional  load a model_x000D_
  enable the outline_x000D_
   crash_x000D_
_x000D_
Demo version: 1 0 0_x000D_
_x000D_
  image (https:  user images githubusercontent com 108926 93539930 6d068600 f952 11ea 9fe6 9e2ec25ec3f1 png)</t>
  </si>
  <si>
    <t>inaturalist-iNaturalistAndroid-908</t>
  </si>
  <si>
    <t xml:space="preserve">https:  console firebase google com u 2 project inaturalist ios crashlytics app android:org inaturalist android issues f50eea4bd4addbba7943550e3d47b8bd_x000D_
_x000D_
   _x000D_
Fatal Exception: java lang NullPointerException: Attempt to invoke virtual method  java lang String java io File getAbsolutePath()  on a null object reference_x000D_
       at org inaturalist android ObservationEditor prepareCapturedPhoto(ObservationEditor java:2824)_x000D_
       at org inaturalist android ObservationEditor access 4300(ObservationEditor java:130)_x000D_
       at org inaturalist android ObservationEditor 35 run(ObservationEditor java:2696)_x000D_
       at java lang Thread run(Thread java:764)_x000D_
   </t>
  </si>
  <si>
    <t>inaturalist-iNaturalistAndroid-907</t>
  </si>
  <si>
    <t>NullPointerException in ExploreSearchActivity.onClick</t>
  </si>
  <si>
    <t xml:space="preserve">https:  console firebase google com u 2 project inaturalist ios crashlytics app android:org inaturalist android issues b2ca9818e18e7f6359e017b68d598c07_x000D_
_x000D_
   _x000D_
Fatal Exception: java lang NullPointerException: Attempt to read from field  org json JSONObject org inaturalist android ExploreSearchFilters taxon  on a null object reference_x000D_
       at org inaturalist android ExploreSearchActivity 5 onClick(ExploreSearchActivity java:273)_x000D_
       at android view View performClick(View java:7356)_x000D_
       at android view View performClickInternal(View java:7322)_x000D_
       at android view View access 3200(View java:846)_x000D_
       at android view View PerformClick run(View java:27804)_x000D_
       at android os Handler handleCallback(Handler java:873)_x000D_
       at android os Handler dispatchMessage(Handler java:99)_x000D_
       at android os Looper loop(Looper java:214)_x000D_
       at android app ActivityThread main(ActivityThread java:7073)_x000D_
       at java lang reflect Method invoke(Method java)_x000D_
   </t>
  </si>
  <si>
    <t>saluf-android-kakikana-5</t>
  </si>
  <si>
    <t>Crash at the end of a quiz</t>
  </si>
  <si>
    <t xml:space="preserve">App crashes at the end of quiz (uploading result)_x000D_
_x000D_
Stack trace:_x000D_
   _x000D_
2020 10 18 10:49:35 693 10438 10438   E AndroidRuntime: FATAL EXCEPTION: main_x000D_
    Process: com salab project kakikana  PID: 10438_x000D_
    java lang IllegalStateException: Fragment ProfileFragment fc1ed15  (f05f448d d226 467d b1c9 2d31818712ed)  not attached to a context _x000D_
        at androidx fragment app Fragment requireContext(Fragment java:805)_x000D_
        at com salab project kakikana ui ProfileFragment setupUI(ProfileFragment java:76)_x000D_
        at com salab project kakikana ui ProfileFragment lambda onViewCreated 0 ProfileFragment(ProfileFragment java:60)_x000D_
        at com salab project kakikana ui    Lambda ProfileFragment nzEoxayS9zvs4NoN3S7xZoHjWpo onChanged(Unknown Source:4)_x000D_
        at androidx lifecycle LiveData considerNotify(LiveData java:131)_x000D_
        at androidx lifecycle LiveData dispatchingValue(LiveData java:149)_x000D_
        at androidx lifecycle LiveData setValue(LiveData java:307)_x000D_
        at com salab project kakikana viewmodel FirebaseQueryLiveData access 100(FirebaseQueryLiveData java:22)_x000D_
        at com salab project kakikana viewmodel FirebaseQueryLiveData CustomValueEventListener onDataChange(FirebaseQueryLiveData java:72)_x000D_
        at com google firebase database core ValueEventRegistration fireEvent(ValueEventRegistration java:75)_x000D_
        at com google firebase database core view DataEvent fire(DataEvent java:63)_x000D_
        at com google firebase database core view EventRaiser 1 run(EventRaiser java:55)_x000D_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_x000D_
_x000D_
Trace result:_x000D_
   _x000D_
  ProfileFragment_x000D_
 private void setupUI(User user)  _x000D_
            _x000D_
       DateFormat simpleFormat   android text format DateFormat getMediumDateFormat(requireContext()) _x000D_
_x000D_
 _x000D_
   _x000D_
   _x000D_
   ProfileFragment_x000D_
     Override_x000D_
    public void onViewCreated( NonNull View view   Nullable Bundle savedInstanceState)  _x000D_
             _x000D_
        userViewModel getUserData() observe(requireActivity()  dataSnapshot     _x000D_
            if (dataSnapshot    null) _x000D_
                User user   dataSnapshot getValue(User class) _x000D_
                if (user    null)  setupUI(user)        _x000D_
             _x000D_
         ) _x000D_
     _x000D_
   _x000D_
   _x000D_
   FirebaseQueryLiveData_x000D_
    private class CustomValueEventListener implements ValueEventListener  _x000D_
         Override_x000D_
        public void onDataChange( NonNull DataSnapshot dataSnapshot)  _x000D_
            setValue(dataSnapshot)     LiveData setValue() to notify all observers_x000D_
_x000D_
         _x000D_
   </t>
  </si>
  <si>
    <t>Anuken-Mindustry-2574</t>
  </si>
  <si>
    <t>Irregular Tech tree connection</t>
  </si>
  <si>
    <t xml:space="preserve">  Platform  : Windows_x000D_
_x000D_
  Build  : Bleeding Edge   9771_x000D_
_x000D_
  Issue  : So I was playing the Forbidden Campaign  and the tech tree branching from Silicone Smelter to Metglass  Oil and Processor was irregularly connected to other cells _x000D_
_x000D_
  Steps to reproduce  :_x000D_
_x000D_
  Exist_x000D_
  Open Mindustry   v6 unstable builds_x000D_
  Play the campaign_x000D_
  Procrastinate until you get to the point in the bugged tech tree_x000D_
  Enjoy one of the few bugs in Anuke s masterpiece_x000D_
_x000D_
  Link(s) to mod(s) used  : No mods _x000D_
_x000D_
  Save file  : Idk if i can share a campaign save file  so   _x000D_
_x000D_
  Crash report  : Not a crash _x000D_
_x000D_
   _x000D_
_x000D_
 Place an X (no spaces) between the brackets to confirm that you have read the line below    _x000D_
   x    I have searched the closed and open issues to make sure that this problem has not already been reported   _x000D_
_x000D_
Image in case you don t believe me or just wanna confirm:_x000D_
_x000D_
  image (https:  user images githubusercontent com 65382389 93466938 a74c3500 f90a 11ea 8210 71a9320eeb10 png)_x000D_
</t>
  </si>
  <si>
    <t>TeamNewPipe-NewPipe-4286</t>
  </si>
  <si>
    <t>[Unified player] Heavy work on Main Thread during seeking on almost all videos</t>
  </si>
  <si>
    <t xml:space="preserve">    Version_x000D_
_x000D_
530f745 2020 09 08_x000D_
_x000D_
    Steps to reproduce the bug_x000D_
1  Open any video (99  videos have this bug)_x000D_
2  Show the controller and change the position multiple times by dragging tapping on the seekbar_x000D_
3  Wait    _x000D_
_x000D_
    Expected behavior_x000D_
The video should load shortly and start the playback and response to other actions _x000D_
_x000D_
    Actual behaviour_x000D_
The seekbar doesn t update the position for a long time  During this time the UI doesn t react to gestures ( freeze )  After a while the app crashes _x000D_
_x000D_
    Screenshots Screen recordings_x000D_
Video demonstration: https:  streamable com 9gf4tv_x000D_
The first video is the expected behavior  the second video shows the bug _x000D_
_x000D_
    What s the reason _x000D_
During debugging I saw in the logcat that the device tries to seek to all positions which were tapped  so the doesn t discard  unneeded  positions (positions which are older than the current) </t>
  </si>
  <si>
    <t>material-components-material-components-android-1735</t>
  </si>
  <si>
    <t>[MaterialTimePicker] Crash in Material Button okButton</t>
  </si>
  <si>
    <t xml:space="preserve">  Description:   i m try use MaterialTimePicker and follow from this  stackoverflow (https:  stackoverflow com a 62884789 6279574) _x000D_
_x000D_
my material version is 1 3 0 alpha02_x000D_
_x000D_
but i got this crash_x000D_
_x000D_
 java lang ClassCastException: androidx appcompat widget AppCompatButton cannot be cast to com google android material button MaterialButton_x000D_
        at com google android material timepicker MaterialTimePicker onCreateView(MaterialTimePicker java:194) _x000D_
_x000D_
_x000D_
  Android API version:   Android API 29_x000D_
_x000D_
  Material Library version:   Material Android Library version you are using here (1 3 0 alpha02)_x000D_
_x000D_
  Device:   Device on which the bug was Samsung A50s_x000D_
_x000D_
</t>
  </si>
  <si>
    <t>Anuken-Mindustry-2571</t>
  </si>
  <si>
    <t>Unit vanishes after placing on payload conveyor</t>
  </si>
  <si>
    <t xml:space="preserve">  Platform  :  Android iOS Mac Windows Linux _x000D_
Windows_x000D_
  Build  :  The build number under the title in the main menu  Required  _x000D_
 BE  9770_x000D_
  Issue  :  Explain your issue in detail  _x000D_
_x000D_
This is in multiplayer_x000D_
_x000D_
 When using a Mega to carry a unit  and then placing it on a payload conveyor  once it reaches the end of it the unit vanishes _x000D_
Syncing leaving and rejoining shows the unit again _x000D_
_x000D_
  Steps to reproduce  :  How you happened across the issue  and what exactly you did to make the bug happen  _x000D_
_x000D_
Play multiplayer and do not be the host _x000D_
Become T3 support Mega  Pickup any unit and place it on a payload conveyor  Once it reaches the end of the conveyor it vanishes but still exists _x000D_
_x000D_
  Link(s) to mod(s) used  :  The mod repositories or zip files that are related to the issue  if applicable  _x000D_
_x000D_
  Save file  :  The save file you were playing on when the bug happened  if applicable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</si>
  <si>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aws-amplify-amplify-android-840</t>
  </si>
  <si>
    <t>Amplify getting started tutorial on Android crashes with SQLiteConstraintException</t>
  </si>
  <si>
    <t xml:space="preserve">I am following the Ampligy getting started tutorial for Android_x000D_
https:  docs amplify aws start getting started add api q integration android_x000D_
 I am at the  Connect to the Cloud  step 5  and when I run the application  it crashes with:_x000D_
_x000D_
   _x000D_
E Tutorial: Observation failed _x000D_
    AmplifyException  message Error in saving the model: ModelMetadata id 318f28da 9d30 42b0 bc9e 505d41f9898f   cause android database sqlite SQLiteConstraintException: UNIQUE constraint failed: ModelMetadata id (code 1555 SQLITE CONSTRAINT PRIMARYKEY)  recoverySuggestion See attached exception for details  _x000D_
        at com amplifyframework datastore storage sqlite SQLiteStorageAdapter lambda save 3 SQLiteStorageAdapter(SQLiteStorageAdapter java:333)_x000D_
        at com amplifyframework datastore storage sqlite    Lambda SQLiteStorageAdapter lMf ZzF10cDUtleQzXsLUxpfzAI run(Unknown Source:12)_x000D_
        at java util concurrent Executors RunnableAdapter call(Executors java:462)_x000D_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java:923)_x000D_
     Caused by: android database sqlite SQLiteConstraintException: UNIQUE constraint failed: ModelMetadata id (code 1555 SQLITE CONSTRAINT PRIMARYKEY)_x000D_
        at android database sqlite SQLiteConnection nativeExecuteForLastInsertedRowId(Native Method)_x000D_
        at android database sqlite SQLiteConnection executeForLastInsertedRowId(SQLiteConnection java:938)_x000D_
        at android database sqlite SQLiteSession executeForLastInsertedRowId(SQLiteSession java:790)_x000D_
        at android database sqlite SQLiteStatement executeInsert(SQLiteStatement java:88)_x000D_
        at com amplifyframework datastore storage sqlite SQLiteStorageAdapter saveModel(SQLiteStorageAdapter java:717)_x000D_
        at com amplifyframework datastore storage sqlite SQLiteStorageAdapter lambda save 3 SQLiteStorageAdapter(SQLiteStorageAdapter java:315)_x000D_
        at com amplifyframework datastore storage sqlite    Lambda SQLiteStorageAdapter lMf ZzF10cDUtleQzXsLUxpfzAI run(Unknown Source:12) _x000D_
        at java util concurrent Executors RunnableAdapter call(Executors java:462)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java:923) _x000D_
   _x000D_
_x000D_
Find here the project source:_x000D_
 tutorial zip (https:  github com aws amplify amplify android files 5235952 tutorial zip)_x000D_
</t>
  </si>
  <si>
    <t>opensrp-opensrp-client-reveal-1022</t>
  </si>
  <si>
    <t>App crashes when one tries to login</t>
  </si>
  <si>
    <t xml:space="preserve">I tried to login using 5 2 9_x000D_
Thaiuser3 Amani123_x000D_
the app crashed immediately both times  tried to login_x000D_
cc  samkanga  Rkareko </t>
  </si>
  <si>
    <t>nextcloud-android-6966</t>
  </si>
  <si>
    <t>Nextcloud App crashes on link password modification</t>
  </si>
  <si>
    <t xml:space="preserve">    Steps to reproduce_x000D_
1  Create a shareable link_x000D_
2  Try to set or remove the password_x000D_
_x000D_
    Expected behaviour_x000D_
  Password on the link is changed removed_x000D_
_x000D_
    Actual behaviour_x000D_
  App crashes with a null pointer exception_x000D_
_x000D_
    Can you reproduce this problem on https:  try nextcloud com _x000D_
Yes_x000D_
_x000D_
    Environment data_x000D_
Android version: 8 1 0_x000D_
_x000D_
Device model: Bq Aquaris X Pro_x000D_
_x000D_
Stock or customized system: Stock_x000D_
_x000D_
Nextcloud app version: 3 13 0_x000D_
_x000D_
Nextcloud server version: 17 0 9_x000D_
_x000D_
Reverse proxy: nginx_x000D_
_x000D_
    Exception Log_x000D_
   _x000D_
java lang NullPointerException: Attempt to invoke virtual method  long com owncloud android lib resources shares OCShare getId()  on a null object reference_x000D_
	at com owncloud android ui helpers FileOperationsHelper setPasswordToPublicShare(FileOperationsHelper java:592)_x000D_
	at com owncloud android ui dialog SharePasswordDialogFragment setPassword(SharePasswordDialogFragment java:198)_x000D_
	at com owncloud android ui dialog SharePasswordDialogFragment onClick(SharePasswordDialogFragment java:181)_x000D_
	at androidx appcompat app AlertController ButtonHandler handleMessage(AlertController java:167)_x000D_
	at android os Handler dispatchMessage(Handler java:106)_x000D_
	at android os Looper loop(Looper java:164)_x000D_
	at android app ActivityThread main(ActivityThread java:6543)_x000D_
	at java lang reflect Method invoke(Native Method)_x000D_
	at com android internal os RuntimeInit MethodAndArgsCaller run(RuntimeInit java:438)_x000D_
	at com android internal os ZygoteInit main(ZygoteInit java:807)_x000D_
_x000D_
             APP INFORMATION             _x000D_
ID: com nextcloud client_x000D_
Version: 30130090_x000D_
Build flavor: generic_x000D_
_x000D_
             DEVICE INFORMATION             _x000D_
Brand: bq_x000D_
Device: bardock pro_x000D_
Model: Aquaris X Pro_x000D_
Id: OPM1 171019 026_x000D_
Product: bardock pro_x000D_
_x000D_
             FIRMWARE             _x000D_
SDK: 27_x000D_
Release: 8 1 0_x000D_
Incremental: 2395_x000D_
   </t>
  </si>
  <si>
    <t>nextcloud-android-6965</t>
  </si>
  <si>
    <t>App while crash by loading new content</t>
  </si>
  <si>
    <t xml:space="preserve">    Steps to reproduce_x000D_
1  Deleted many Files in a big dir in the webui_x000D_
2  Put many new Files drin Windows Client in the dir_x000D_
3  Open the dir in the app_x000D_
_x000D_
    Expected behaviour_x000D_
  I think the app should load the new content_x000D_
_x000D_
    Actual behaviour_x000D_
  The App crashed and load no nee files_x000D_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9 1_x000D_
Device model: _x000D_
Huawei P10_x000D_
Stock or customized system:_x000D_
Stock_x000D_
Nextcloud app version:_x000D_
3 13_x000D_
Nextcloud server version:_x000D_
18 0 9_x000D_
Reverse proxy:_x000D_
Yes  apache_x000D_
    Logs_x000D_
     Web server error log_x000D_
No errors in log_x000D_
Insert your webserver log here_x000D_
No errors in log_x000D_
_x000D_
Insert your Nextcloud log here_x000D_
             CAUSE OF ERROR             _x000D_
_x000D_
android database sqlite SQLiteBlobTooBigException: Row too big to fit into CursorWindow requiredPos 4372  totalRows 2864_x000D_
	at android database sqlite SQLiteConnection nativeExecuteForCursorWindow(Native Method)_x000D_
	at android database sqlite SQLiteConnection executeForCursorWindow(SQLiteConnection java:904)_x000D_
	at android database sqlite SQLiteSession executeForCursorWindow(SQLiteSession java:851)_x000D_
	at android database sqlite SQLiteQuery fillWindow(SQLiteQuery java:62)_x000D_
	at android database sqlite SQLiteCursor fillWindow(SQLiteCursor java:157)_x000D_
	at android database sqlite SQLiteCursor onMove(SQLiteCursor java:128)_x000D_
	at android database AbstractCursor moveToPosition(AbstractCursor java:237)_x000D_
	at android database AbstractCursor moveToNext(AbstractCursor java:269)_x000D_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apply(ContentProviderOperation java:299)_x000D_
	at com owncloud android providers FileContentProvider applyBatch(FileContentProvider java:672)_x000D_
	at android content ContentProvider Transport applyBatch(ContentProvider java:336)_x000D_
	at android content ContentProviderClient applyBatch(ContentProviderClient java:474)_x000D_
	at android content ContentResolver applyBatch(ContentResolver java:1654)_x000D_
	at com owncloud android datamodel FileDataStorageManager saveFolder(FileDataStorageManager java:435)_x000D_
	at com owncloud android operations RefreshFolderOperation synchronizeData(RefreshFolderOperation java:490)_x000D_
	at com owncloud android operations RefreshFolderOperation fetchAndSyncRemoteFolder(RefreshFolderOperation java:372)_x000D_
	at com owncloud android operations RefreshFolderOperation run(RefreshFolderOperation java:231)_x000D_
	at com owncloud android lib common operations RemoteOperation run(RemoteOperation java:360)_x000D_
	at java lang Thread run(Thread java:784)_x000D_
_x000D_
             APP INFORMATION             _x000D_
ID: com nextcloud client_x000D_
Version: 30130190_x000D_
Build flavor: gplay_x000D_
_x000D_
             DEVICE INFORMATION             _x000D_
Brand: HUAWEI_x000D_
Device: HWVTR_x000D_
Model: VTR L09_x000D_
Id: HUAWEIVTR L09_x000D_
Product: VTR L09_x000D_
_x000D_
             FIRMWARE             _x000D_
SDK: 28_x000D_
Release: 9_x000D_
Incremental: 9 1 0 275C02_x000D_
_x000D_
  NOTE:   Be super sure to remove sensitive data like passwords  note that everybody can look here  You can use the Issue Template application to prefill some of the required information: https:  apps nextcloud com apps issuetemplate_x000D_
</t>
  </si>
  <si>
    <t>inaturalist-iNaturalistAndroid-906</t>
  </si>
  <si>
    <t>NullPointerException in RecordSoundActivity.drawCurrentSoundWave</t>
  </si>
  <si>
    <t xml:space="preserve">https:  console firebase google com u 2 project inaturalist ios crashlytics app android:org inaturalist android issues 0e48bb5ac1fdc3c9cb836b0b70c6345f_x000D_
_x000D_
   _x000D_
Fatal Exception: java lang NullPointerException: Attempt to invoke virtual method  int android graphics Canvas getWidth()  on a null object reference_x000D_
       at org inaturalist android RecordSoundActivity drawCurrentSoundWave(RecordSoundActivity java:166)_x000D_
       at org inaturalist android RecordSoundActivity onSoundRecording(RecordSoundActivity java:298)_x000D_
       at org inaturalist android SoundRecorder RecordWaveTask 1 run(SoundRecorder java:149)_x000D_
       at android os Handler handleCallback(Handler java:789)_x000D_
       at android os Handler dispatchMessage(Handler java:98)_x000D_
       at android os Looper loop(Looper java:164)_x000D_
       at android app ActivityThread main(ActivityThread java:6938)_x000D_
       at java lang reflect Method invoke(Method java)_x000D_
       at com android internal os Zygote MethodAndArgsCaller run(Zygote java:327)_x000D_
       at com android internal os ZygoteInit main(ZygoteInit java:1374)_x000D_
   </t>
  </si>
  <si>
    <t>nextcloud-android-6960</t>
  </si>
  <si>
    <t>Android App crashes on startup</t>
  </si>
  <si>
    <t xml:space="preserve">Android App crashes on startup  even after cache and appdata have been cleared _x000D_
_x000D_
             CAUSE OF ERROR             _x000D_
_x000D_
android database SQLException: ERROR content:  org nextcloud capabilities_x000D_
	at com owncloud android providers FileContentProvider insert(FileContentProvider java:321)_x000D_
	at com owncloud android providers FileContentProvider insert(FileContentProvider java:255)_x000D_
	at android content ContentProvider Transport insert(ContentProvider java:309)_x000D_
	at android content ContentResolver insert(ContentResolver java:1828)_x000D_
	at com owncloud android datamodel FileDataStorageManager saveCapabilities(FileDataStorageManager java:1955)_x000D_
	at com owncloud android operations GetCapabilitiesOperation run(GetCapabilitiesOperation java:51)_x000D_
	at com owncloud android lib common operations RemoteOperation execute(RemoteOperation java:139)_x000D_
	at com owncloud android operations common SyncOperation execute(SyncOperation java:64)_x000D_
	at com owncloud android ui activity DrawerActivity lambda fetchExternalLinks 5 DrawerActivity(DrawerActivity java:1028)_x000D_
	at com owncloud android ui activity    Lambda DrawerActivity 7r726W9nEhA053kMOzVzspjY07M run(Unknown Source:4)_x000D_
	at java lang Thread run(Thread java:919)_x000D_
_x000D_
             APP INFORMATION             _x000D_
ID: com nextcloud client_x000D_
Version: 30130090_x000D_
Build flavor: generic_x000D_
_x000D_
             DEVICE INFORMATION             _x000D_
Brand: google_x000D_
Device: marlin_x000D_
Model: Pixel XL_x000D_
Id: QP1A 191005 007 A3_x000D_
Product: marlin_x000D_
_x000D_
             FIRMWARE             _x000D_
SDK: 29_x000D_
Release: 10_x000D_
Incremental: 5972272_x000D_
_x000D_
</t>
  </si>
  <si>
    <t>microsoftgraph-msgraph-sdk-java-472</t>
  </si>
  <si>
    <t>Unable to upload a file</t>
  </si>
  <si>
    <t>I m able to get the list of all files in a OneDrive folder and also download a file from a OneDrive Folder to my android device _x000D_
But I am unable to upload a file to OneDrive _x000D_
It silently crash when I call the post() function _x000D_
I use MSAL to connect to OneDrive _x000D_
My scopes are:  User Read    Files ReadWrite All _x000D_
I use microsoft graph:2 0 0_x000D_
_x000D_
Here is a simplified code with minimal error handling inspired from the sample app found  here (https:  docs microsoft com en us graph sdks large file upload tabs java):_x000D_
_x000D_
Note: I can debug step all the way to buildRequest() but it crashes when I try to step thru   post() _x000D_
The requestUrl seams ok:  https:  graph microsoft com v1 0 me drive root: TestFolder Test  File sco: microsoft graph createUploadSession _x000D_
(Crashes at the line that is commented                  Silently craches here                     )_x000D_
_x000D_
The runtime exception cause is: com microsoft graph core ClientException: Error during http request_x000D_
_x000D_
   _x000D_
   private void oneDrive UploadFile(final IAuthenticationResult authenticationResult  final String strLocalFilePath)_x000D_
     _x000D_
           Create a callback used by the upload provider_x000D_
        IProgressCallback DriveItem  callback   new IProgressCallback DriveItem ()_x000D_
         _x000D_
             Override_x000D_
               Called after each slice of the file is uploaded_x000D_
            public void progress(final long current  final long max)_x000D_
             _x000D_
                System out println(_x000D_
                        String format( Uploaded  d bytes of  d total bytes   current  max)_x000D_
                ) _x000D_
             _x000D_
_x000D_
             Override_x000D_
            public void success(final DriveItem result)_x000D_
             _x000D_
                System out println(_x000D_
                        String format( Uploaded file with ID:  s   result id)_x000D_
                ) _x000D_
                executeOneDriveTask(authenticationResult) _x000D_
             _x000D_
_x000D_
            public void failure(final ClientException ex)_x000D_
             _x000D_
                System out println(_x000D_
                        String format( Error uploading file:  s   ex getMessage())_x000D_
                ) _x000D_
             _x000D_
          _x000D_
_x000D_
           Get an input stream for the file_x000D_
        File file   new File(strLocalFilePath) _x000D_
        if (file exists())_x000D_
         _x000D_
            final String accessToken   authenticationResult getAccessToken() _x000D_
_x000D_
            IGraphServiceClient graphClient  _x000D_
                    GraphServiceClient_x000D_
                             builder()_x000D_
                             authenticationProvider(new IAuthenticationProvider()_x000D_
                             _x000D_
                                 Override_x000D_
                                public void authenticateRequest(IHttpRequest request)_x000D_
                                 _x000D_
                                    Log d(TAG   Authenticating request     request getRequestUrl()) _x000D_
                                    request addHeader( Authorization    Bearer     accessToken) _x000D_
                                 _x000D_
                             )_x000D_
                             buildClient() _x000D_
_x000D_
            InputStream fileStream   null _x000D_
            try_x000D_
             _x000D_
                fileStream   new FileInputStream(file) _x000D_
             _x000D_
            catch (FileNotFoundException e)_x000D_
             _x000D_
                e printStackTrace() _x000D_
             _x000D_
            long streamSize   file length() _x000D_
_x000D_
               Create an upload session_x000D_
            UploadSession uploadSession   graphClient_x000D_
                     me()_x000D_
                     drive()_x000D_
                     root()_x000D_
                       itemPath like   Folder file txt _x000D_
                       does not need to be a path to an existing item_x000D_
                     itemWithPath(AppPrefs getInstance() getOneDriveFolder()         file getName())_x000D_
                     createUploadSession(new DriveItemUploadableProperties())_x000D_
                     buildRequest()_x000D_
                     post()                     Silently craches here                      _x000D_
_x000D_
            ChunkedUploadProvider DriveItem  chunkedUploadProvider   new ChunkedUploadProvider DriveItem (_x000D_
                    uploadSession _x000D_
                    graphClient _x000D_
                    fileStream _x000D_
                    streamSize _x000D_
                    DriveItem class) _x000D_
_x000D_
               Config parameter is an array of integers_x000D_
               customConfig 0  indicates the max slice size_x000D_
               Max slice size must be a multiple of 320 KiB_x000D_
            int   customConfig    2   320   1024  _x000D_
_x000D_
               Do the upload_x000D_
            try_x000D_
             _x000D_
                chunkedUploadProvider upload(callback  customConfig) _x000D_
             _x000D_
            catch (IOException e)_x000D_
             _x000D_
                e printStackTrace() _x000D_
             _x000D_
         _x000D_
     _x000D_
_x000D_
   _x000D_
_x000D_
Any clue  _x000D_
_x000D_
_x000D_
Thanks</t>
  </si>
  <si>
    <t>Anuken-Mindustry-2555</t>
  </si>
  <si>
    <t>Phase fabric wall</t>
  </si>
  <si>
    <t xml:space="preserve">  Platform  :Windows_x000D_
_x000D_
  Build  : steam build 104 10_x000D_
_x000D_
  Issue  : unable to build phase walls onto other walls (like what you can do with most walls)_x000D_
_x000D_
  Steps to reproduce  : i was inside nuclear complex making my defences  it was an hour into it and i tried to build a phase wall onto a plastanium one when it would not let me_x000D_
_x000D_
  Link(s) to mod(s) used  :  none_x000D_
_x000D_
  Save file  :  6 msav_x000D_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t>
  </si>
  <si>
    <t>opensrp-opensrp-client-chw-1344</t>
  </si>
  <si>
    <t>Remove the malaria diagnosis option from the PNC profile menu</t>
  </si>
  <si>
    <t xml:space="preserve">Steps to replicate:_x000D_
_x000D_
  Register an ANC woman_x000D_
  Record pregnancy outcome of live birth_x000D_
  In PNC profile for the woman  open profile menu_x000D_
  The  Confirmation pour paludisme  is from BA and should be removed in wcaro apps_x000D_
_x000D_
If you click on this option  the app crashes </t>
  </si>
  <si>
    <t>miguelpruivo-flutter_file_picker-391</t>
  </si>
  <si>
    <t>Exception when selecting more then 1 file on WEB</t>
  </si>
  <si>
    <t xml:space="preserve">While running on Web version  after selecting more then one file  the app crashes on file picker web dart  line 64  with this error:_x000D_
_x000D_
Exception has occurred _x000D_
DomException (InvalidStateError: Failed to execute  readAsDataURL  on  FileReader : The object is already busy reading Blobs )_x000D_
_x000D_
_x000D_
I m using the lastest version from plugin (2 0 0)  chrome version 85 0 4183 102 (64 bits) on Windows 10 _x000D_
_x000D_
For include the files  I m doing this call:_x000D_
_x000D_
   _x000D_
Future List  escolherArquivosParaUpload() async  _x000D_
  if (listaArquivosParaUpload length   0) listaArquivosParaUpload clear() _x000D_
  List PlatformFile   paths   (await FilePicker platform pickFiles(_x000D_
    allowMultiple: true _x000D_
  ))_x000D_
        files _x000D_
  listaArquivosParaUpload add( paths) _x000D_
  return listaArquivosParaUpload _x000D_
 _x000D_
   _x000D_
_x000D_
_x000D_
   _x000D_
_x000D_
PS C: Users Diego Documents poucodetudo flutter pouco de tudo  flutter doctor  v_x000D_
    Flutter (Channel dev  1 22 0 9 0 pre  on Microsoft Windows  vers  o 10 0 19041 508   locale pt BR)_x000D_
      Flutter version 1 22 0 9 0 pre at c: src flutter_x000D_
      Framework revision 7a43175198 (3 weeks ago)  2020 08 28 23:18:04  0400_x000D_
      Engine revision 07e2520d5d_x000D_
      Dart version 2 10 0 (build 2 10 0 73 0 dev)_x000D_
_x000D_
 _x000D_
    Android toolchain   develop for Android devices (Android SDK version 30 0 0)_x000D_
      Android SDK at C: Users Diego AppData Local Android sdk_x000D_
      Platform android 30  build tools 30 0 0_x000D_
      Java binary at: C: Program Files Android Android Studio jre bin java_x000D_
      Java version OpenJDK Runtime Environment (build 1 8 0 242 release 1644 b01)_x000D_
      All Android licenses accepted _x000D_
_x000D_
    Chrome   develop for the web_x000D_
      Chrome at C: Program Files (x86) Google Chrome Application chrome exe_x000D_
_x000D_
    Android Studio (version 4 0)_x000D_
      Android Studio at C: Program Files Android Android Studio_x000D_
      Flutter plugin version 47 1 2_x000D_
      Dart plugin version 193 7361_x000D_
      Java version OpenJDK Runtime Environment (build 1 8 0 242 release 1644 b01)_x000D_
_x000D_
    VS Code (version 1 49 0)_x000D_
      VS Code at C: Users Diego AppData Local Programs Microsoft VS Code_x000D_
      Flutter extension version 3 14 1_x000D_
_x000D_
    Connected device (3 available)_x000D_
      Web Server (web)   web server   web javascript   Flutter Tools_x000D_
      Chrome (web)       chrome       web javascript   Google Chrome 85 0 4183 102_x000D_
      Edge (web)         edge         web javascript   Microsoft Edge 85 0 564 51_x000D_
_x000D_
  No issues found _x000D_
   _x000D_
_x000D_
  image (https:  user images githubusercontent com 26846982 93230383 fdc04480 f74d 11ea 8838 92739383ef3e png)_x000D_
_x000D_
</t>
  </si>
  <si>
    <t>Blankj-AndroidUtilCode-1327</t>
  </si>
  <si>
    <t>LanguageUtils 导致的Crash</t>
  </si>
  <si>
    <t xml:space="preserve">      Bug_x000D_
_x000D_
   LanguageUtils    crash    ActivityLifecycleImpl    LanguageUtils applyLanguage(activity)                 crash  _x000D_
_x000D_
  AndroidUtilCode     1 29_x000D_
     Bug       GlocalMe S20iQ19_x000D_
      Android    28_x000D_
_x000D_
       _x000D_
_x000D_
   _x000D_
         Override_x000D_
        public void onActivityCreated(Activity activity  Bundle savedInstanceState)  _x000D_
              LanguageUtils applyLanguage(activity) _x000D_
            setAnimatorsEnabled() _x000D_
            setTopActivity(activity) _x000D_
         _x000D_
   _x000D_
_x000D_
       _x000D_
_x000D_
   _x000D_
2020 09 15 17:24:38 558 27235 27235 com wws kimifi E AndroidRuntime: FATAL EXCEPTION: main_x000D_
    Process: com wws kimifi  PID: 27235_x000D_
    java lang IllegalArgumentException: Service not registered: IF f4e9486_x000D_
        at android app LoadedApk forgetServiceDispatcher(LoadedApk java:1562)_x000D_
        at android app ContextImpl unbindService(ContextImpl java:1692)_x000D_
        at android content ContextWrapper unbindService(ContextWrapper java:717)_x000D_
        at android content ContextWrapper unbindService(ContextWrapper java:717)_x000D_
        at IE handleMessage(PG:63)_x000D_
        at android os Handler dispatchMessage(Handler java:102)_x000D_
        at android os Looper loop(Looper java:197)_x000D_
        at android app ActivityThread main(ActivityThread java:6764)_x000D_
        at java lang reflect Method invoke(Native Method)_x000D_
        at com android internal os RuntimeInit MethodAndArgsCaller run(RuntimeInit java:493)_x000D_
        at com android internal os ZygoteInit main(ZygoteInit java:858)_x000D_
   _x000D_
</t>
  </si>
  <si>
    <t>nextcloud-android-6953</t>
  </si>
  <si>
    <t xml:space="preserve">    Steps to reproduce_x000D_
1  _x000D_
2  _x000D_
3  _x000D_
_x000D_
    Expected behaviour_x000D_
  Tell us what should happen_x000D_
_x000D_
    Actual behaviour_x000D_
  i delete a folder on my Server but in the Client app it is still there_x000D_
if i will delete IT in the App the App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model:Oneplus 3T_x000D_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CAUSE OF ERROR             _x000D_
_x000D_
android database sqlite SQLiteBlobTooBigException: Row too big to fit into CursorWindow requiredPos 3235  totalRows 890_x000D_
	at android database sqlite SQLiteConnection nativeExecuteForCursorWindow(Native Method)_x000D_
	at android database sqlite SQLiteConnection executeForCursorWindow(SQLiteConnection java:859)_x000D_
	at android database sqlite SQLiteSession executeForCursorWindow(SQLiteSession java:836)_x000D_
	at android database sqlite SQLiteQuery fillWindow(SQLiteQuery java:62)_x000D_
	at android database sqlite SQLiteCursor fillWindow(SQLiteCursor java:157)_x000D_
	at android database sqlite SQLiteCursor onMove(SQLiteCursor java:128)_x000D_
	at android database AbstractCursor moveToPosition(AbstractCursor java:237)_x000D_
	at android database AbstractCursor moveToNext(AbstractCursor java:269)_x000D_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ContentProviderOperation apply(ContentProviderOperation java:327)_x000D_
	at com owncloud android providers FileContentProvider applyBatch(FileContentProvider java:672)_x000D_
	at android content ContentProvider Transport applyBatch(ContentProvider java:344)_x000D_
	at android content ContentProviderClient applyBatch(ContentProviderClient java:474)_x000D_
	at android content ContentResolver applyBatch(ContentResolver java:1705)_x000D_
	at com owncloud android datamodel FileDataStorageManager saveFolder(FileDataStorageManager java:435)_x000D_
	at com owncloud android operations RefreshFolderOperation synchronizeData(RefreshFolderOperation java:490)_x000D_
	at com owncloud android operations RefreshFolderOperation fetchAndSyncRemoteFolder(RefreshFolderOperation java:372)_x000D_
	at com owncloud android operations RefreshFolderOperation run(RefreshFolderOperation java:231)_x000D_
	at com owncloud android lib common operations RemoteOperation run(RemoteOperation java:360)_x000D_
	at java lang Thread run(Thread java:764)_x000D_
_x000D_
             APP INFORMATION             _x000D_
ID: com nextcloud client_x000D_
Version: 30130090_x000D_
Build flavor: gplay_x000D_
_x000D_
             DEVICE INFORMATION             _x000D_
Brand: OnePlus_x000D_
Device: OnePlus3T_x000D_
Model: ONEPLUS A3003_x000D_
Id: PKQ1 181203 001_x000D_
Product: OnePlus3_x000D_
_x000D_
             FIRMWARE             _x000D_
SDK: 28_x000D_
Release: 9_x000D_
Incremental: 1911042108_x000D_
_x000D_
   _x000D_
  NOTE:   Be super sure to remove sensitive data like passwords  note that everybody can look here  You can use the Issue Template application to prefill some of the required information: https:  apps nextcloud com apps issuetemplate_x000D_
</t>
  </si>
  <si>
    <t>CsabaConsulting-ARPhysics-9</t>
  </si>
  <si>
    <t>NPE in dev.csaba.arphysics.MainActivity.onTransformChanged</t>
  </si>
  <si>
    <t xml:space="preserve">Reported by the Play Store  Interesting that the app was not installed from the Play Store but from some other channels  it came from a Samsung Galaxy A70 and ZTE Z717VL (Android 9   API 28 and Android 10 API 29) devices  https:  play google com console u 0 developers 7696534728259995393 app 4974857956571804228 vitals crashes d415f426 details days 30_x000D_
_x000D_
Call stack:_x000D_
   _x000D_
java lang NullPointerException: _x000D_
  at dev csaba arphysics MainActivity onTransformChanged (MainActivity java:307)_x000D_
  at com google ar sceneform Node dispatchTransformChanged (Node java:1431)_x000D_
  at com google ar sceneform Node markTransformChangedRecursively (Node java:524)_x000D_
  at com google ar sceneform Node markTransformChangedRecursively (Node java:533)_x000D_
  at com google ar sceneform Node setParent (Node java:284)_x000D_
  at dev csaba arphysics MainActivity lambda clearScene 4 (MainActivity java:437)_x000D_
  at dev csaba arphysics    Lambda MainActivity wFvLAfQoVpA5JteXk3ovHe6pqOg accept (Unknown Source:2)_x000D_
  at com google ar sceneform Node callOnHierarchy (Node java:1161)_x000D_
  at com google ar sceneform NodeParent callOnHierarchy (NodeParent java:96)_x000D_
  at dev csaba arphysics MainActivity clearScene (MainActivity java:433)_x000D_
  at dev csaba arphysics MainActivity lambda initializeGallery 5 MainActivity (MainActivity java:463)_x000D_
  at dev csaba arphysics    Lambda MainActivity OjuNocQDMm AtmJE8pLxzIpG IM onClick (Unknown Source:2)_x000D_
  at android view View performClick (View java:7870)_x000D_
  at android view View performClickInternal (View java:7839)_x000D_
  at android view View access 3600 (View java:886)_x000D_
  at android view View PerformClick run (View java:29363)_x000D_
  at android os Handler handleCallback (Handler java:883)_x000D_
  at android os Handler dispatchMessage (Handler java:100)_x000D_
  at android os Looper loop (Looper java:237)_x000D_
  at android app ActivityThread main (ActivityThread java:7814)_x000D_
  at java lang reflect Method invoke (Native Method)_x000D_
  at com android internal os RuntimeInit MethodAndArgsCaller run (RuntimeInit java:493)_x000D_
  at com android internal os ZygoteInit main (ZygoteInit java:1068)_x000D_
   </t>
  </si>
  <si>
    <t>CsabaConsulting-ARPhysics-8</t>
  </si>
  <si>
    <t>android.content.ActivityNotFoundException crash when trying to navigate to Settings View</t>
  </si>
  <si>
    <t xml:space="preserve">Reported by the Play Store  Crash in the Play Store report https:  play google com console u 0 developers 7696534728259995393 app 4974857956571804228 vitals crashes 11c21c0f details days 30_x000D_
_x000D_
   _x000D_
android content ActivityNotFoundException: _x000D_
  at android app Instrumentation checkStartActivityResult (Instrumentation java:2062)_x000D_
  at android app Instrumentation execStartActivity (Instrumentation java:1718)_x000D_
  at android app Activity startActivityForResult (Activity java:5319)_x000D_
  at androidx fragment app FragmentActivity startActivityForResult (FragmentActivity java:675)_x000D_
  at android app Activity startActivityForResult (Activity java:5263)_x000D_
  at androidx fragment app FragmentActivity startActivityForResult (FragmentActivity java:662)_x000D_
  at android app Activity startActivity (Activity java:5648)_x000D_
  at android app Activity startActivity (Activity java:5616)_x000D_
  at dev csaba arphysics MainActivity lambda initializeGallery 6 MainActivity (MainActivity java:469)_x000D_
  at dev csaba arphysics    Lambda MainActivity XVH5bCktbFcPNgI51O25ZzmYZDA onClick (Unknown Source:2)_x000D_
  at android view View performClick (View java:7256)_x000D_
  at android view View performClickInternal (View java:7218)_x000D_
  at android view View access 3800 (View java:824)_x000D_
  at android view View PerformClick run (View java:27719)_x000D_
  at android os Handler handleCallback (Handler java:883)_x000D_
  at android os Handler dispatchMessage (Handler java:100)_x000D_
  at android os Looper loop (Looper java:228)_x000D_
  at android app ActivityThread main (ActivityThread java:7782)_x000D_
  at java lang reflect Method invoke (Native Method)_x000D_
  at com android internal os RuntimeInit MethodAndArgsCaller run (RuntimeInit java:492)_x000D_
  at com android internal os ZygoteInit main (ZygoteInit java:981)_x000D_
  at  CPU_x000D_
  at  188_x000D_
   _x000D_
_x000D_
Managed to reproduce during debugging session:_x000D_
   _x000D_
E AndroidRuntime: FATAL EXCEPTION: main_x000D_
    Process: dev csaba arphysics  PID: 8874_x000D_
    android content ActivityNotFoundException: Unable to find explicit activity class  dev csaba arphysics dev csaba arphysics SettingsActivity   have you declared this activity in your AndroidManifest xml _x000D_
        at android app Instrumentation checkStartActivityResult(Instrumentation java:2239)_x000D_
        at android app Instrumentation execStartActivity(Instrumentation java:1895)_x000D_
        at android app Activity startActivityForResult(Activity java:5205)_x000D_
        at androidx fragment app FragmentActivity startActivityForResult(FragmentActivity java:675)_x000D_
        at android app Activity startActivityForResult(Activity java:5163)_x000D_
        at androidx fragment app FragmentActivity startActivityForResult(FragmentActivity java:662)_x000D_
        at android app Activity startActivity(Activity java:5534)_x000D_
        at android app Activity startActivity(Activity java:5502)_x000D_
        at dev csaba arphysics MainActivity lambda initializeGallery 6 MainActivity(MainActivity java:480)_x000D_
        at dev csaba arphysics    Lambda MainActivity XVH5bCktbFcPNgI51O25ZzmYZDA onClick(Unknown Source:2)_x000D_
        at android view View performClick(View java:7201)_x000D_
        at android view View performClickInternal(View java:7170)_x000D_
        at android view View access 3500(View java:806)_x000D_
        at android view View PerformClick run(View java:27562)_x000D_
        at android os Handler handleCallback(Handler java:883)_x000D_
        at android os Handler dispatchMessage(Handler java:100)_x000D_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t>
  </si>
  <si>
    <t>ThatCraws-MrX-2</t>
  </si>
  <si>
    <t>Inventory Hashcode IDs crash game after removing a ticket</t>
  </si>
  <si>
    <t xml:space="preserve">Removing a ticket will result in most of the following tickets not showing the selected  animation  anymore  Selecting more than one of ticket will result in a crash as long as one of the selected ticket is one of the broken tickets </t>
  </si>
  <si>
    <t>Anuken-Mindustry-2554</t>
  </si>
  <si>
    <t>UI Scaling - Broken button images</t>
  </si>
  <si>
    <t xml:space="preserve">  Platform  :  Android iOS Mac Windows Linux _x000D_
Android (v8)   LG V20_x000D_
_x000D_
  Build  :  The build number under the title in the main menu  Required  _x000D_
104 10_x000D_
_x000D_
  Issue  :  Explain your issue in detail  _x000D_
Scale UI to 150  or larger causes image artifacts to appear instead of original icon image   (see attached)_x000D_
_x000D_
  Steps to reproduce  :  How you happened across the issue  and what exactly you did to make the bug happen  _x000D_
Settings   Graphics   UI Scaling   set scale to 150  or larger_x000D_
_x000D_
  Link(s) to mod(s) used  :  The mod repositories or zip files that are related to the issue  if applicable  _x000D_
n a_x000D_
_x000D_
  Save file  :  The save file you were playing on when the bug happened  if applicable  _x000D_
n a_x000D_
_x000D_
  Crash report  :  The contents of relevant crash report files  REQUIRED if you are reporting a crash  _x000D_
n a_x000D_
_x000D_
   _x000D_
_x000D_
 Place an X (no spaces) between the brackets to confirm that you have read the line below    _x000D_
   X    I have searched the closed and open issues to make sure that this problem has not already been reported   _x000D_
_x000D_
   _x000D_
      Attachments      _x000D_
  Scale 150   _x000D_
  Mindustry Scale 150 percent (https:  user images githubusercontent com 4110691 93109330 8faa4d80 f679 11ea 88e0 344ceb9a23b8 png)_x000D_
_x000D_
  Scale 175   _x000D_
  Mindustry Scale 175 percent (https:  user images githubusercontent com 4110691 93109332 9042e400 f679 11ea 8a1d 7c53c1d9b3f8 png)_x000D_
_x000D_
</t>
  </si>
  <si>
    <t>Anuken-Mindustry-2553</t>
  </si>
  <si>
    <t xml:space="preserve">  Platform  : Windows_x000D_
_x000D_
  Build  : 9692_x000D_
_x000D_
  Issue  : If you click 2 or 3 arrow keys ( whatever the position is ) at the same time  without clicking on a building  a building which is still locked can somehow show at the button right corner  allowing you to build it if you have enough materials _x000D_
_x000D_
  Steps to reproduce  : search a genre of buildings ( factories or turrets)  click 2 or 3 arrow keys at the same time  a locked build will show at button left corner  allowing to build if enough materials even it s still haven t_x000D_
_x000D_
 unlocked _x000D_
_x000D_
  Link(s) to mod(s) used  : no mods used_x000D_
_x000D_
  Save file  : _x000D_
_x000D_
_x000D_
  Crash report  : No crashes occurred during the bug _x000D_
   _x000D_
_x000D_
 Place an X (no spaces) between the brackets to confirm that you have read the line below    _x000D_
   X     I have searched the closed and open issues to make sure that this problem has not already been reported   _x000D_
</t>
  </si>
  <si>
    <t>TeamNewPipe-NewPipe-4277</t>
  </si>
  <si>
    <t>Unified Player seekbar not appearing on Android 11</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</si>
  <si>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 pr3178 from  3178 _x000D_
https:  github com TeamNewPipe NewPipe files 5204058 app debug zip_x000D_
_x000D_
  0 19 8 530f745 from  4154 _x000D_
https:  github com TeamNewPipe NewPipe files 5190324 app debug zip_x000D_
_x000D_
  0 19 8 from  4255 _x000D_
https:  github com TeamNewPipe NewPipe files 5196395 app debug zip_x000D_
_x000D_
    Steps to reproduce the bug_x000D_
    _x000D_
1  Go to      _x000D_
2  Press on       _x000D_
3  Swipe down to       _x000D_
   _x000D_
1  Open and play any video on Android 11 _x000D_
2  Open the video in landscape fullscreen by rotating the device or tapping on fullscreen toggle _x000D_
3  Tap on the screen to expose video title  pause play controls  and additional UI elements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seekbar should appear with timestamps  and status bar should disappear _x000D_
    Actual behaviour_x000D_
     Tell us what happens instead     _x000D_
Seekbar does not appear  and status bar is a persistent red bar across top of video  even when the other UI elements are gone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Unified Player APKs:_x000D_
_x000D_
  Screenshot 20200913 100018 1 (https:  user images githubusercontent com 46003124 93023418 d7b76a80 f5bc 11ea 9ece 4fea23c3bdce png)_x000D_
  Screenshot 20200913 100035 1 (https:  user images githubusercontent com 46003124 93023419 d8500100 f5bc 11ea 84e0 c51a826427b5 png)_x000D_
_x000D_
Stable release APK 0 19 8 from 2020 07 28:_x000D_
https:  github com TeamNewPipe NewPipe releases download v0 19 8 NewPipe v0 19 8 apk_x000D_
_x000D_
  Screenshot 20200913 114858 1 (https:  user images githubusercontent com 46003124 93023439 03d2eb80 f5bd 11ea 85b8 f294114aea08 png)_x000D_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N A_x000D_
_x000D_
    Notes_x000D_
Screenshots taken on Pixel 3a (2220x1080 resolution  no cutouts or notches) running Android 11  sideloaded OTA and factory reset </t>
  </si>
  <si>
    <t>opensrp-opensrp-client-chw-1324</t>
  </si>
  <si>
    <t>App crashes first time you open the Add Family form in French</t>
  </si>
  <si>
    <t xml:space="preserve">Steps to replicate:_x000D_
_x000D_
  Log in_x000D_
  Change app language to French_x000D_
  Open Add Family form_x000D_
  Allow the app to access device files_x000D_
  App crashes right after I do the above step_x000D_
  I log back in and I can open the form again and it doesn t crash this time </t>
  </si>
  <si>
    <t>Anuken-Mindustry-2545</t>
  </si>
  <si>
    <t>Ground units walking looks visually messed up.</t>
  </si>
  <si>
    <t xml:space="preserve">  Platform  : Windows 10_x000D_
_x000D_
  Build  :  bleeding edge 9664_x000D_
_x000D_
  Issue  : When using ground units (though the most notable is with the reign)  the walking on the legs looks off as it seems they go faster then the unit is actually moving  and they go forward and backward a bit too much  The legs also have yet another weird problem where if you are walking forwards into a wall  the leg animation will still continue and it will cause the leg to have the foot appearing on top of the wall  which looks weird (example: _x000D_
  image (https:  user images githubusercontent com 34169172 93003378 6f548480 f4fb 11ea 8618 77328da66051 png)) _x000D_
_x000D_
_x000D_
  Steps to reproduce  : Make a ground unit (not a legs unit like toxopid)  preferrable a big one like reign  walk  which is easiest by just taking control of the unit and moving around _x000D_
_x000D_
  Link(s) to mod(s) used  : No mods used _x000D_
_x000D_
  Save file  : Not really required  as this is replicatable on any map _x000D_
_x000D_
  Crash report  : No crash_x000D_
_x000D_
   _x000D_
_x000D_
 Place an X (no spaces) between the brackets to confirm that you have read the line below    _x000D_
   X    I have searched the closed and open issues to make sure that this problem has not already been reported   _x000D_
</t>
  </si>
  <si>
    <t>Anuken-Mindustry-2544</t>
  </si>
  <si>
    <t xml:space="preserve">i've barely  used github, so sorry for any mistakes.:  Platform: Windows.  Build: bleeding-edge 9664.  Issue: The core gets destroyed but the game doesn't end, resulting in  the  game crashing when i launch the core.  </t>
  </si>
  <si>
    <t xml:space="preserve">  Platform  :  Android iOS Mac Windows Linux _x000D_
_x000D_
  Build  :  The build number under the title in the main menu  Required  _x000D_
_x000D_
  Issue  :  Explain your issue in detail  _x000D_
_x000D_
  Steps to reproduce  :  How you happened across the issue  and what exactly you did to make the bug happen  _x000D_
_x000D_
  Link(s) to mod(s) used  :  The mod repositories or zip files that are related to the issue  if applicable  _x000D_
_x000D_
  Save file  :  The save file you were playing on when the bug happened  if applicable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</si>
  <si>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opensrp-opensrp-client-reveal-1013</t>
  </si>
  <si>
    <t>THAI-The app crashes when one tries to login RVL-1155</t>
  </si>
  <si>
    <t xml:space="preserve">5 2 7_x000D_
Thaiuser3 Amani123_x000D_
Login to the app_x000D_
Observe the error that is shown:  Youve been logged as you account has been removed from the accounts manager _x000D_
Try to login again and observe the app crash_x000D_
NOTE: Even if the account has been removed  it should not crash the app  Rather inform the user of the status and ask them to login with another account_x000D_
  image (https:  user images githubusercontent com 61143692 93001717 d3963900 f539 11ea 8b4d 8e13bfba3e1d png)_x000D_
</t>
  </si>
  <si>
    <t>opensrp-opensrp-client-chw-1323</t>
  </si>
  <si>
    <t>Bugs found from QA 9.11.20</t>
  </si>
  <si>
    <t xml:space="preserve">There are four breaking issues that prevent testing   we cannot share the APK with the client in its current status  _x000D_
_x000D_
      Clicking  view vaccine history  crashes the app  I am unable to test whether the changes to the vaccine schedule have been made   _x000D_
_x000D_
      Clicking  record visit  opens an empty view_x000D_
  Screenshot 20200911 201653 (https:  user images githubusercontent com 12836913 92986011 8730f780 f46c 11ea 9960 e720405ca99a png)_x000D_
_x000D_
_x000D_
       View upcoming services  on the child profile view still is showing services that should have been removed such as breastfeeding and Vitamin A _x000D_
  Screenshot 20200911 201719 (https:  user images githubusercontent com 12836913 92985980 3f11d500 f46c 11ea 996f 0c33b5ca77a7 png)_x000D_
_x000D_
_x000D_
      The  Upcoming Services  view is an empty screen  I cannot test if that text has been appropriately split into two sections  _x000D_
  Screenshot 20200911 201707 (https:  user images githubusercontent com 12836913 92985984 476a1000 f46c 11ea 918a eeb99263fe26 png)_x000D_
</t>
  </si>
  <si>
    <t>inaturalist-iNaturalistAndroid-902</t>
  </si>
  <si>
    <t>NullPointerException in MessagesThreadActivity</t>
  </si>
  <si>
    <t xml:space="preserve">https:  console firebase google com u 2 project inaturalist ios crashlytics app android:org inaturalist android issues f0f68d87be5a036a3abc0c8ef4de1678_x000D_
_x000D_
   _x000D_
Caused by java lang NullPointerException: Attempt to invoke virtual method  java lang String org inaturalist android BetterJSONObject getString(java lang String)  on a null object reference_x000D_
       at org inaturalist android MessagesThreadActivity onCreate(MessagesThreadActivity java:132)_x000D_
       at android app Activity performCreate(Activity java:7825)_x000D_
       at android app Activity performCreate(Activity java:7814)_x000D_
       at android app Instrumentation callActivityOnCreate(Instrumentation java:1306)_x000D_
       at android app ActivityThread performLaunchActivity(ActivityThread java:3245)_x000D_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invoke(Method java)_x000D_
       at com android internal os RuntimeInit MethodAndArgsCaller run(RuntimeInit java:492)_x000D_
       at com android internal os ZygoteInit main(ZygoteInit java:930)_x000D_
   </t>
  </si>
  <si>
    <t>inaturalist-iNaturalistAndroid-901</t>
  </si>
  <si>
    <t xml:space="preserve">https:  console firebase google com u 2 project inaturalist ios crashlytics app android:org inaturalist android issues b1a3fbfa42815e66c888a353d8f2bbab_x000D_
_x000D_
   _x000D_
Fatal Exception: java lang NullPointerException: Attempt to invoke virtual method  boolean android graphics Bitmap compress(android graphics Bitmap CompressFormat  int  java io OutputStream)  on a null object reference_x000D_
       at org inaturalist android ImageUtils resizeImage(ImageUtils java:423)_x000D_
       at org inaturalist android ObservationEditor createObservationPhotoForPhoto(ObservationEditor java:3098)_x000D_
       at org inaturalist android ObservationEditor createObservationPhotoForPhoto(ObservationEditor java:3023)_x000D_
       at org inaturalist android ObservationEditor prepareCapturedPhoto(ObservationEditor java:2844)_x000D_
       at org inaturalist android ObservationEditor access 4300(ObservationEditor java:137)_x000D_
       at org inaturalist android ObservationEditor 35 run(ObservationEditor java:2699)_x000D_
       at java lang Thread run(Thread java:764)_x000D_
   </t>
  </si>
  <si>
    <t>kike-canaries-canairio_android-59</t>
  </si>
  <si>
    <t>[crash] ExecutorCallAdapterFactory.java:71</t>
  </si>
  <si>
    <t xml:space="preserve">  Description  _x000D_
Possible crash when third party API fails_x000D_
_x000D_
  To Reproduce  _x000D_
Steps to reproduce the behavior:_x000D_
1  Open the app only _x000D_
_x000D_
  Additional context  _x000D_
   java_x000D_
Fatal Exception: java lang NullPointerException: Attempt to read from field  java lang String hpsaturn pollutionreporter api AqicnDataResponse status  on a null object reference_x000D_
       at hpsaturn pollutionreporter MainActivity 1 onResponse(MainActivity java:105)_x000D_
       at retrofit2 ExecutorCallAdapterFactory ExecutorCallbackCall 1 1 run(ExecutorCallAdapterFactory java:71)_x000D_
       at android os Handler handleCallback(Handler java:873)_x000D_
       at android os Handler dispatchMessage(Handler java:99)_x000D_
       at android os Looper loop(Looper java:201)_x000D_
       at android app ActivityThread main(ActivityThread java:6810)_x000D_
       at java lang reflect Method invoke(Method java)_x000D_
       at com android internal os RuntimeInit MethodAndArgsCaller run(RuntimeInit java:547)_x000D_
       at com android internal os ZygoteInit main(ZygoteInit java:873)_x000D_
   </t>
  </si>
  <si>
    <t>TeamNewPipe-NewPipe-4273</t>
  </si>
  <si>
    <t>[Unified Player] Back button takes user to the previous video they were watching even if it wasn't where they clicked onto the current video from</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</si>
  <si>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Unified Player 2020 09 08_x000D_
  Android 10_x000D_
_x000D_
    Steps to reproduce the bug_x000D_
1  Select a video from the trending tab  search results or a channel page and wait for it to play _x000D_
2  Use the back button to go back to the trending page_x000D_
3  Select another video_x000D_
4  Use the back button again_x000D_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back button takes me back to the trending page_x000D_
_x000D_
    Actual behaviour_x000D_
     Tell us what happens instead     _x000D_
The back button instead takes me to the video I clicked on previously _x000D_
I m not sure if this is actually a bug or expected behavior but I think its more intuitive for the back button to take the user to where they were previously instead of the last video they were watching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</si>
  <si>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ogarcia-opensudoku-96</t>
  </si>
  <si>
    <t>[Bug] App crash when using "Resume"</t>
  </si>
  <si>
    <t xml:space="preserve">Greetings _x000D_
First of all thank you very much for that app  I have a ton of fun with it  XD_x000D_
_x000D_
I m not sure if this has already been reported  but I found a bug  which causes the app (v3 4 1) to crash  The reason is obvious  but a check in this command (like  if exists   sorry I m not a programmer) might prevent this _x000D_
_x000D_
Steps to reproduce:_x000D_
  Play a sudoku puzzle_x000D_
  Go back to menu_x000D_
  Delete the folder the puzzle is in (I do that when everything is solved)_x000D_
  (not sure if neccessary) close and start app_x000D_
  Use the  Resume  function_x000D_
  App crash since the puzzle can t be found anymore </t>
  </si>
  <si>
    <t>defold-extension-gpgs-25</t>
  </si>
  <si>
    <t>gpgs.leaderboard_submit_score() submits incorrect score to the leaderboard</t>
  </si>
  <si>
    <t>Whenever I submit a score to my game s leaderboard the score shown on the leaderboard ends up being a long negative number instead of the actual score _x000D_
_x000D_
For example:_x000D_
_x000D_
gpgs leaderboard submit score(leaderboard id  5)_x000D_
_x000D_
Instead of the leaderboard showing  5  as the score  it shows   7 017 514 852 6     _x000D_
_x000D_
I ve noticed if I call gpgs leaderboard get player score() right before submitting the score the leaderboard will show the correct score as  5  _x000D_
_x000D_
There s also a problem with gpgs leaderboard get player score() though  because it crashes the game if the player doesn t already have a score on the leaderboard  The crash shows the following error:_x000D_
_x000D_
Attempt to invoke interface method  java lang String com google android gms games leaderboard LeaderboardScore getDisplayRank()  on a null object reference</t>
  </si>
  <si>
    <t>google-ExoPlayer-7886</t>
  </si>
  <si>
    <t>Playback can get stuck buffering in tunneling mode</t>
  </si>
  <si>
    <t xml:space="preserve"> REQUIRED  Issue description_x000D_
_x000D_
I have to change the following default values inside  DefaultLoadControl  for some reasons _x000D_
_x000D_
   bash_x000D_
diff   git a library core src main java com google android exoplayer2 DefaultLoadControl java b library core src main java com google android exoplayer2 DefaultLoadControl java_x000D_
index 1244b96d9  7fcf3446d 100644_x000D_
    a library core src main java com google android exoplayer2 DefaultLoadControl java_x000D_
    b library core src main java com google android exoplayer2 DefaultLoadControl java_x000D_
    31 26  31 26    public class DefaultLoadControl implements LoadControl  _x000D_
      The default minimum duration of media that the player will attempt to ensure is buffered at all_x000D_
      times  in milliseconds  This value is only applied to playbacks without video _x000D_
      _x000D_
   public static final int DEFAULT MIN BUFFER MS   15000 _x000D_
   public static final int DEFAULT MIN BUFFER MS   10000 _x000D_
 _x000D_
      _x000D_
      The default maximum duration of media that the player will attempt to buffer  in milliseconds _x000D_
      For playbacks with video  this is also the default minimum duration of media that the player_x000D_
      will attempt to ensure is buffered _x000D_
      _x000D_
   public static final int DEFAULT MAX BUFFER MS   50000 _x000D_
   public static final int DEFAULT MAX BUFFER MS   30000 _x000D_
 _x000D_
      _x000D_
      The default duration of media that must be buffered for playback to start or resume following a_x000D_
      user action such as a seek  in milliseconds _x000D_
      _x000D_
   public static final int DEFAULT BUFFER FOR PLAYBACK MS   2500 _x000D_
   public static final int DEFAULT BUFFER FOR PLAYBACK MS   30 _x000D_
 _x000D_
      _x000D_
      The default duration of media that must be buffered for playback to resume after a rebuffer  in_x000D_
      milliseconds  A rebuffer is defined to be caused by buffer depletion rather than a user action _x000D_
      _x000D_
   public static final int DEFAULT BUFFER FOR PLAYBACK AFTER REBUFFER MS   5000 _x000D_
   public static final int DEFAULT BUFFER FOR PLAYBACK AFTER REBUFFER MS   4000 _x000D_
 _x000D_
      _x000D_
      The default target buffer size in bytes  The value (  link C LENGTH UNSET ) means that the load_x000D_
    104 7  104 7    public class DefaultLoadControl implements LoadControl  _x000D_
         Constructs a new instance    _x000D_
     public Builder()  _x000D_
       minBufferAudioMs   DEFAULT MIN BUFFER MS _x000D_
       minBufferVideoMs   DEFAULT MAX BUFFER MS _x000D_
       minBufferVideoMs   DEFAULT MIN BUFFER MS _x000D_
       maxBufferMs   DEFAULT MAX BUFFER MS _x000D_
       bufferForPlaybackMs   DEFAULT BUFFER FOR PLAYBACK MS _x000D_
       bufferForPlaybackAfterRebufferMs   DEFAULT BUFFER FOR PLAYBACK AFTER REBUFFER MS _x000D_
    262 7  262 7    public class DefaultLoadControl implements LoadControl  _x000D_
     this(_x000D_
         allocator _x000D_
            minBufferAudioMs     DEFAULT MIN BUFFER MS _x000D_
            minBufferVideoMs     DEFAULT MAX BUFFER MS _x000D_
            minBufferVideoMs     DEFAULT MIN BUFFER MS _x000D_
         DEFAULT MAX BUFFER MS _x000D_
         DEFAULT BUFFER FOR PLAYBACK MS _x000D_
         DEFAULT BUFFER FOR PLAYBACK AFTER REBUFFER MS _x000D_
   _x000D_
         _x000D_
When I play a video in tunneling mode  the playback stays stalled on  STATE BUFFERING   but the playback without tunneling mode works well _x000D_
I guess a difference is that  hasOutputBuffer()  always returns false in tunneling mode _x000D_
_x000D_
Is there a way I can avoid the problem _x000D_
_x000D_
Thanks in advance for any help _x000D_
_x000D_
 REQUIRED  Reproduction steps_x000D_
_x000D_
1  ExoPlayer demo app version release v2(2 11 8)  enable  Request multimedia tunneling _x000D_
2  Play video under SmoothStreaming    Super Speed_x000D_
3  While the video is playing in 3 seconds go to pause the video _x000D_
4  Wait 5 minutes _x000D_
5  Play the video again _x000D_
6  While the video is playing a while  observe that the video is frozen  _x000D_
_x000D_
  freeze tunnel (https:  user images githubusercontent com 43164510 92839070 840d1b80 f41a 11ea 9666 5045abbc4bec jpg)_x000D_
_x000D_
 REQUIRED  Link to test content_x000D_
 name :  Super speed  _x000D_
 uri :  https:  playready directtaps net smoothstreaming SSWSS720H264 SuperSpeedway 720 ism Manifest _x000D_
_x000D_
 REQUIRED  A full bug report captured from the device_x000D_
Not a crash so I assume one can reproduce it very easy and get the logs if necessary_x000D_
_x000D_
 REQUIRED  Version of ExoPlayer being used_x000D_
e82219633 (release v2  tag: r2 11 8)_x000D_
_x000D_
 REQUIRED  Device(s) and version(s) of Android being used_x000D_
Reproducibility: 80  (Android TV)</t>
  </si>
  <si>
    <t>Anuken-Mindustry-2537</t>
  </si>
  <si>
    <t xml:space="preserve">1 _x000D_
  Platform  :  Windows _x000D_
_x000D_
  Build  :  9635 _x000D_
_x000D_
  Issue  :  Crash _x000D_
_x000D_
  Steps to reproduce  :  I just chose PvP or Sandbox and clicked play  _x000D_
_x000D_
  Save file  :  But now it works  https:  cdn discordapp com attachments 697832034072264785 753758254261207051 mapa msav _x000D_
_x000D_
  Crash report  :  java lang NullPointerException_x000D_
	at mindustry world blocks defense ForceProjector ForceBuild draw(ForceProjector java:159)_x000D_
	at mindustry world Block drawBase(Block java:226)_x000D_
	at mindustry graphics BlockRenderer drawBlocks(BlockRenderer java:244)_x000D_
	at mindustry core Renderer draw(Renderer java:254)_x000D_
	at mindustry core Renderer update(Renderer java:85)_x000D_
	at arc ApplicationCore update(ApplicationCore java:36)_x000D_
	at mindustry ClientLauncher update(ClientLauncher java:151)_x000D_
	at arc backend sdl SdlApplication listen(SdlApplication java:170)_x000D_
	at arc backend sdl SdlApplication loop(SdlApplication java:158)_x000D_
	at arc backend sdl SdlApplication  init (SdlApplication java:52)_x000D_
	at mindustry desktop DesktopLauncher main(DesktopLauncher java:36)  _x000D_
_x000D_
   _x000D_
2  I launced the core on another sector  I forgot to report that _x000D_
  Old crash report  :  java lang IllegalArgumentException_x000D_
	at java nio Buffer position(Unknown Source)_x000D_
	at arc graphics g2d SpriteCache reserve(SpriteCache java:272)_x000D_
	at arc graphics g2d MultiCacheBatch reserve(MultiCacheBatch java:68)_x000D_
	at mindustry graphics FloorRenderer cacheChunkLayer(FloorRenderer java:220)_x000D_
	at mindustry graphics FloorRenderer cacheChunk(FloorRenderer java:183)_x000D_
	at mindustry graphics FloorRenderer clearTiles(FloorRenderer java:240)_x000D_
	at mindustry graphics FloorRenderer lambda new 0(FloorRenderer java:31)_x000D_
	at arc Events lambda fire 2(Events java:30)_x000D_
	at arc struct Seq each(Seq java:200)_x000D_
	at arc Events fire(Events java:30)_x000D_
	at arc Events fire(Events java:25)_x000D_
	at mindustry core World endMapLoad(World java:202)_x000D_
	at mindustry core World loadGenerator(World java:223)_x000D_
	at mindustry core World loadSector(World java:230)_x000D_
	at mindustry core Control lambda playSector 22(Control java:320)_x000D_
	at mindustry core UI lambda loadAnd 10(UI java:244)_x000D_
	at arc util Timer 1 run(Timer java:88)_x000D_
	at arc util TaskQueue run(TaskQueue java:17)_x000D_
	at arc backend sdl SdlApplication loop(SdlApplication java:160)_x000D_
	at arc backend sdl SdlApplication  init (SdlApplication java:52)_x000D_
	at mindustry desktop DesktopLauncher main(DesktopLauncher java:36)_x000D_
_x000D_
   _x000D_
3  I cannot change properly commands to blocks with a brush _x000D_
  image (https:  user images githubusercontent com 31485341 92824172 c4e34100 f3d6 11ea 8188 83c6b91eb518 png)_x000D_
_x000D_
 Place an X (no spaces) between the brackets to confirm that you have read the line below    _x000D_
   X    I have searched the closed and open issues to make sure that this problem has not already been reported   _x000D_
</t>
  </si>
  <si>
    <t>Anuken-Mindustry-2536</t>
  </si>
  <si>
    <t>No limit on when you can launch in the latest build</t>
  </si>
  <si>
    <t xml:space="preserve">  Platform  :  Android _x000D_
_x000D_
  Build  :  Bleeding Edge Build 9635 _x000D_
_x000D_
  Issue  :  When launching the campaign mode  I am able to launch the core when I have 0 materials in the core  which allows me to get to desolate rift without any research  The only need is 26 copper for core creation  _x000D_
_x000D_
  Steps to reproduce  :  Launch game  Launch Campaign  pause  click  Launch Core  _x000D_
_x000D_
  Link(s) to mod(s) used  :  None _x000D_
_x000D_
  Save file  :  Brand new _x000D_
_x000D_
  Crash Report  :  No crash _x000D_
_x000D_
Screenshots_x000D_
  Screenshot 20200910 181139 (https:  user images githubusercontent com 70297524 92816285 4618e480 f393 11ea 9ded f9fc6e633bbd jpg)_x000D_
  Screenshot 20200910 181123 (https:  user images githubusercontent com 70297524 92816289 4c0ec580 f393 11ea 8c66 bb2b5ca39315 jpg)_x000D_
_x000D_
_x000D_
   _x000D_
_x000D_
 Place an X (no spaces) between the brackets to confirm that you have read the line below    _x000D_
        I have searched the closed and open issues to make sure that this problem has not already been reported   _x000D_
</t>
  </si>
  <si>
    <t>TeamNewPipe-NewPipe-4267</t>
  </si>
  <si>
    <t>version 530f745 2020-09-08 crush when i click on video</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</si>
  <si>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I have test apk on android 4 4 and apk version 530f745 2020 09 08 block my phone when crash_x000D_
Demostration video https:  streamable com e ygkbwt</t>
  </si>
  <si>
    <t>Anuken-Mindustry-2533</t>
  </si>
  <si>
    <t>Reaserch bug on 9630</t>
  </si>
  <si>
    <t xml:space="preserve">There is no crash or something like that  But when I wanted to transfer a data from PC(windows) to Android my research reset to zero  I found this bug on build 9630 if it s repaired  sorry for bothering you  _x000D_
_x000D_
P S  If there is some mistakes in the message above  sorry  I m not good at speaking or writing on English </t>
  </si>
  <si>
    <t>Anuken-Mindustry-2532</t>
  </si>
  <si>
    <t>Transfer data from PC to Android</t>
  </si>
  <si>
    <t>cgeo-cgeo-8983</t>
  </si>
  <si>
    <t>Logging of OC caches crash the app</t>
  </si>
  <si>
    <t xml:space="preserve">Sorry for formatting errors   posting from mobile
2020 09 10 NB
Sequence:
  Open OC14364
  Select Menu   Log Visit (in my case I used Fast offline log   Log visit if it makes a difference)
  Crash
Log:
          beginning of crash
09 10 21:10:09 263  1632  1632 E AndroidRuntime: FATAL EXCEPTION: main
09 10 21:10:09 263  1632  1632 E AndroidRuntime: Process: cgeo geocaching  PID: 1632
09 10 21:10:09 263  1632  1632 E AndroidRuntime: java lang RuntimeException: Unable to start activity ComponentInfo cgeo geocaching cgeo geocaching log LogCacheActivity : java lang NullPointerException: Attempt to invoke interface method  boolean cgeo geocaching connector capability IVotingCapability isValidRating(float)  on a null object reference
09 10 21:10:09 263  1632  1632 E AndroidRuntime: 	at android app ActivityThread performLaunchActivity(ActivityThread java:3654)
09 10 21:10:09 263  1632  1632 E AndroidRuntime: 	at android app ActivityThread handleLaunchActivity(ActivityThread java:3806)
09 10 21:10:09 263  1632  1632 E AndroidRuntime: 	at android app servertransaction LaunchActivityItem execute(LaunchActivityItem java:83)
09 10 21:10:09 263  1632  1632 E AndroidRuntime: 	at android app servertransaction TransactionExecutor executeCallbacks(TransactionExecutor java:135)
09 10 21:10:09 263  1632  1632 E AndroidRuntime: 	at android app servertransaction TransactionExecutor execute(TransactionExecutor java:95)
09 10 21:10:09 263  1632  1632 E AndroidRuntime: 	at android app ActivityThread H handleMessage(ActivityThread java:2267)
09 10 21:10:09 263  1632  1632 E AndroidRuntime: 	at android os Handler dispatchMessage(Handler java:107)
09 10 21:10:09 263  1632  1632 E AndroidRuntime: 	at android os Looper loop(Looper java:237)
09 10 21:10:09 263  1632  1632 E AndroidRuntime: 	at android app ActivityThread main(ActivityThread java:8154)
09 10 21:10:09 263  1632  1632 E AndroidRuntime: 	at java lang reflect Method invoke(Native Method)
09 10 21:10:09 263  1632  1632 E AndroidRuntime: 	at com android internal os RuntimeInit MethodAndArgsCaller run(RuntimeInit java:496)
09 10 21:10:09 263  1632  1632 E AndroidRuntime: 	at com android internal os ZygoteInit main(ZygoteInit java:1100)
09 10 21:10:09 263  1632  1632 E AndroidRuntime: Caused by: java lang NullPointerException: Attempt to invoke interface method  boolean cgeo geocaching connector capability IVotingCapability isValidRating(float)  on a null object reference
09 10 21:10:09 263  1632  1632 E AndroidRuntime: 	at cgeo geocaching ui CacheVotingBar setRating(CacheVotingBar java:53)
09 10 21:10:09 263  1632  1632 E AndroidRuntime: 	at cgeo geocaching log LogCacheActivity resetValues(LogCacheActivity java:418)
09 10 21:10:09 263  1632  1632 E AndroidRuntime: 	at cgeo geocaching log LogCacheActivity onCreate(LogCacheActivity java:298)
09 10 21:10:09 263  1632  1632 E AndroidRuntime: 	at android app Activity performCreate(Activity java:7963)
09 10 21:10:09 263  1632  1632 E AndroidRuntime: 	at android app Activity performCreate(Activity java:7952)
09 10 21:10:09 263  1632  1632 E AndroidRuntime: 	at android app Instrumentation callActivityOnCreate(Instrumentation java:1307)
09 10 21:10:09 263  1632  1632 E AndroidRuntime: 	at android app ActivityThread performLaunchActivity(ActivityThread java:3629)
09 10 21:10:09 263  1632  1632 E AndroidRuntime: 	    11 more
09 10 21:10:09 387 15743 15743 E cgeo geocachin: Not starting debugger since process cannot load the jdwp agent 
09 10 21:10:09 414 15743 15743 I cgeo geocachin: The ClassLoaderContext is a special shared library 
09 10 21:10:09 442 15743 15743 W cgeo geocachin: Accessing hidden field Landroid view ViewConfiguration   sHasPermanentMenuKey:Z (greylist max p  reflection  denied)
09 10 21:10:09 445 15743 15743 I cgeo    :  Log  Logging set: minLevel WARN  minAddCallerInfo NONE  throwOnError false
09 10 21:10:09 445 15743 15743 I cgeo    :  Log  No logging config found at  storage emulated 0 cgeo logfiles log properties  using defaults
09 10 21:10:09 445 15743 15743 I cgeo    :  Log  Logging set: minLevel WARN  minAddCallerInfo NONE  throwOnError false
09 10 21:10:14 905 15743 15743 E AndroidRuntime: FATAL EXCEPTION: main
09 10 21:10:14 905 15743 15743 E AndroidRuntime: Process: cgeo geocaching  PID: 15743
09 10 21:10:14 905 15743 15743 E AndroidRuntime: java lang RuntimeException: Unable to start activity ComponentInfo cgeo geocaching cgeo geocaching log LogCacheActivity : java lang NullPointerException: Attempt to invoke interface method  boolean cgeo geocaching connector capability IVotingCapability isValidRating(float)  on a null object reference
09 10 21:10:14 905 15743 15743 E AndroidRuntime: 	at android app ActivityThread performLaunchActivity(ActivityThread java:3654)
09 10 21:10:14 905 15743 15743 E AndroidRuntime: 	at android app ActivityThread handleLaunchActivity(ActivityThread java:3806)
09 10 21:10:14 905 15743 15743 E AndroidRuntime: 	at android app servertransaction LaunchActivityItem execute(LaunchActivityItem java:83)
09 10 21:10:14 905 15743 15743 E AndroidRuntime: 	at android app servertransaction TransactionExecutor executeCallbacks(TransactionExecutor java:135)
09 10 21:10:14 905 15743 15743 E AndroidRuntime: 	at android app servertransaction TransactionExecutor execute(TransactionExecutor java:95)
09 10 21:10:14 905 15743 15743 E AndroidRuntime: 	at android app ActivityThread H handleMessage(ActivityThread java:2267)
09 10 21:10:14 905 15743 15743 E AndroidRuntime: 	at android os Handler dispatchMessage(Handler java:107)
09 10 21:10:14 905 15743 15743 E AndroidRuntime: 	at android os Looper loop(Looper java:237)
09 10 21:10:14 905 15743 15743 E AndroidRuntime: 	at android app ActivityThread main(ActivityThread java:8154)
09 10 21:10:14 905 15743 15743 E AndroidRuntime: 	at java lang reflect Method invoke(Native Method)
09 10 21:10:14 905 15743 15743 E AndroidRuntime: 	at com android internal os RuntimeInit MethodAndArgsCaller run(RuntimeInit java:496)
09 10 21:10:14 905 15743 15743 E AndroidRuntime: 	at com android internal os ZygoteInit main(ZygoteInit java:1100)
09 10 21:10:14 905 15743 15743 E AndroidRuntime: Caused by: java lang NullPointerException: Attempt to invoke interface method  boolean cgeo geocaching connector capability IVotingCapability isValidRating(float)  on a null object reference
09 10 21:10:14 905 15743 15743 E AndroidRuntime: 	at cgeo geocaching ui CacheVotingBar setRating(CacheVotingBar java:53)
09 10 21:10:14 905 15743 15743 E AndroidRuntime: 	at cgeo geocaching log LogCacheActivity resetValues(LogCacheActivity java:418)
09 10 21:10:14 905 15743 15743 E AndroidRuntime: 	at cgeo geocaching log LogCacheActivity onCreate(LogCacheActivity java:298)
09 10 21:10:14 905 15743 15743 E AndroidRuntime: 	at android app Activity performCreate(Activity java:7963)
09 10 21:10:14 905 15743 15743 E AndroidRuntime: 	at android app Activity performCreate(Activity java:7952)
09 10 21:10:14 905 15743 15743 E AndroidRuntime: 	at android app Instrumentation callActivityOnCreate(Instrumentation java:1307)
09 10 21:10:14 905 15743 15743 E AndroidRuntime: 	at android app ActivityThread performLaunchActivity(ActivityThread java:3629)
09 10 21:10:14 905 15743 15743 E AndroidRuntime: 	    11 more
09 10 21:10:17 441 16003 16003 E cgeo geocachin: Not starting debugger since process cannot load the jdwp agent 
09 10 21:10:17 461 16003 16003 I cgeo geocachin: The ClassLoaderContext is a special shared library 
09 10 21:10:17 482 16003 16003 W cgeo geocachin: Accessing hidden field Landroid view ViewConfiguration   sHasPermanentMenuKey:Z (greylist max p  reflection  denied)
09 10 21:10:17 484 16003 16003 I cgeo    :  Log  Logging set: minLevel WARN  minAddCallerInfo NONE  throwOnError false
09 10 21:10:17 485 16003 16003 I cgeo    :  Log  No logging config found at  storage emulated 0 cgeo logfiles log properties  using defaults
09 10 21:10:17 485 16003 16003 I cgeo    :  Log  Logging set: minLevel WARN  minAddCallerInfo NONE  throwOnError false
09 10 21:10:38 424 16003 16003 E AndroidRuntime: FATAL EXCEPTION: main
09 10 21:10:38 424 16003 16003 E AndroidRuntime: Process: cgeo geocaching  PID: 16003
09 10 21:10:38 424 16003 16003 E AndroidRuntime: java lang RuntimeException: Unable to start activity ComponentInfo cgeo geocaching cgeo geocaching log LogCacheActivity : java lang NullPointerException: Attempt to invoke interface method  boolean cgeo geocaching connector capability IVotingCapability isValidRating(float)  on a null object reference
09 10 21:10:38 424 16003 16003 E AndroidRuntime: 	at android app ActivityThread performLaunchActivity(ActivityThread java:3654)
09 10 21:10:38 424 16003 16003 E AndroidRuntime: 	at android app ActivityThread handleLaunchActivity(ActivityThread java:3806)
09 10 21:10:38 424 16003 16003 E AndroidRuntime: 	at android app servertransaction LaunchActivityItem execute(LaunchActivityItem java:83)
09 10 21:10:38 424 16003 16003 E AndroidRuntime: 	at android app servertransaction TransactionExecutor executeCallbacks(TransactionExecutor java:135)
09 10 21:10:38 424 16003 16003 E AndroidRuntime: 	at android app servertransaction TransactionExecutor execute(TransactionExecutor java:95)
09 10 21:10:38 424 16003 16003 E AndroidRuntime: 	at android app ActivityThread H handleMessage(ActivityThread java:2267)
09 10 21:10:38 424 16003 16003 E AndroidRuntime: 	at android os Handler dispatchMessage(Handler java:107)
09 10 21:10:38 424 16003 16003 E AndroidRuntime: 	at android os Looper loop(Looper java:237)
09 10 21:10:38 424 16003 16003 E AndroidRuntime: 	at android app ActivityThread main(ActivityThread java:8154)
09 10 21:10:38 424 16003 16003 E AndroidRuntime: 	at java lang reflect Method invoke(Native Method)
09 10 21:10:38 424 16003 16003 E AndroidRuntime: 	at com android internal os RuntimeInit MethodAndArgsCaller run(RuntimeInit java:496)
09 10 21:10:38 424 16003 16003 E AndroidRuntime: 	at com android internal os ZygoteInit main(ZygoteInit java:1100)
09 10 21:10:38 424 16003 16003 E AndroidRuntime: Caused by: java lang NullPointerException: Attempt to invoke interface method  boolean cgeo geocaching connector capability IVotingCapability isValidRating(float)  on a null object reference
09 10 21:10:38 424 16003 16003 E AndroidRuntime: 	at cgeo geocaching ui CacheVotingBar setRating(CacheVotingBar java:53)
09 10 21:10:38 424 16003 16003 E AndroidRuntime: 	at cgeo geocaching log LogCacheActivity resetValues(LogCacheActivity java:418)
09 10 21:10:38 424 16003 16003 E AndroidRuntime: 	at cgeo geocaching log LogCacheActivity onCreate(LogCacheActivity java:298)
09 10 21:10:38 424 16003 16003 E AndroidRuntime: 	at android app Activity performCreate(Activity java:7963)
09 10 21:10:38 424 16003 16003 E AndroidRuntime: 	at android app Activity performCreate(Activity java:7952)
09 10 21:10:38 424 16003 16003 E AndroidRuntime: 	at android app Instrumentation callActivityOnCreate(Instrumentation java:1307)
09 10 21:10:38 424 16003 16003 E AndroidRuntime: 	at android app ActivityThread performLaunchActivity(ActivityThread java:3629)
09 10 21:10:38 424 16003 16003 E AndroidRuntime: 	    11 more
09 10 21:10:41 783 16706 16706 E cgeo geocachin: Not starting debugger since process cannot load the jdwp agent 
09 10 21:10:41 800 16706 16706 I cgeo geocachin: The ClassLoaderContext is a special shared library 
09 10 21:10:41 822 16706 16706 W cgeo geocachin: Accessing hidden field Landroid view ViewConfiguration   sHasPermanentMenuKey:Z (greylist max p  reflection  denied)
09 10 21:10:41 825 16706 16706 I cgeo    :  Log  Logging set: minLevel WARN  minAddCallerInfo NONE  throwOnError false
09 10 21:10:41 825 16706 16706 I cgeo    :  Log  No logging config found at  storage emulated 0 cgeo logfiles log properties  using defaults
09 10 21:10:41 825 16706 16706 I cgeo    :  Log  Logging set: minLevel WARN  minAddCallerInfo NONE  throwOnError false
   </t>
  </si>
  <si>
    <t>aws-amplify-amplify-android-817</t>
  </si>
  <si>
    <t>[Amplify Android] Runtime crash "Caused by: java.lang.ClassCastException: libcore.reflect.ParameterizedTypeImpl cannot be cast to java.lang.Class" when using latest main branch amplify-android supporting nested custom types</t>
  </si>
  <si>
    <t xml:space="preserve">Hi  I noticed that amplify android recently support nested custom types https:  github com aws amplify amplify android commit 55077a72a1509496359b394d18ae003fce5cbe0c  and our project need to use this feature  I pulled down the code and built locally  when running the app and try to do a mutation  I got a runtime crash:_x000D_
   console_x000D_
Caused by: java lang ClassCastException: libcore reflect ParameterizedTypeImpl cannot be cast to java lang Class_x000D_
        at com amplifyframework api aws SelectionSet Builder getClassForField(SelectionSet java:299)_x000D_
        at com amplifyframework api aws SelectionSet Builder isCustomType(SelectionSet java:278)_x000D_
        at com amplifyframework api aws SelectionSet Builder getNestedCustomTypeFields(SelectionSet java:263)_x000D_
        at com amplifyframework api aws SelectionSet Builder getNestedCustomTypeFields(SelectionSet java:264)_x000D_
        at com amplifyframework api aws SelectionSet Builder getNestedCustomTypeFields(SelectionSet java:264)_x000D_
        at com amplifyframework api aws SelectionSet Builder getNestedCustomTypeFields(SelectionSet java:264)_x000D_
        at com amplifyframework api aws SelectionSet Builder getModelFields(SelectionSet java:243)_x000D_
        at com amplifyframework api aws SelectionSet Builder build(SelectionSet java:184)_x000D_
        at com amplifyframework api aws AppSyncGraphQLRequest Builder build(AppSyncGraphQLRequest java:303)_x000D_
        at com amplifyframework api aws AppSyncGraphQLRequestFactory buildMutation(AppSyncGraphQLRequestFactory java:215)_x000D_
        at com amplifyframework api graphql model ModelMutation create(ModelMutation java:41)_x000D_
   _x000D_
_x000D_
And my code looks like_x000D_
   kotlin_x000D_
val parent   Parent builder()_x000D_
     name( Parent )_x000D_
     address(Address builder()_x000D_
         street( street )_x000D_
         street2( street2 )_x000D_
         city(City MAKENI)_x000D_
         country( US )_x000D_
         build())_x000D_
     build()_x000D_
Amplify API mutate(ModelMutation create(parent) _x000D_
      response    Log i(TAG    response )   _x000D_
      error    Log e(TAG   Create failed   error)  _x000D_
)_x000D_
   _x000D_
_x000D_
Not sure if anyone can help  Thanks </t>
  </si>
  <si>
    <t>nextcloud-android-6930</t>
  </si>
  <si>
    <t>Crashed while Scan a Code as Picture</t>
  </si>
  <si>
    <t xml:space="preserve">I wanted to scan a Code on a picture on my phone  _x000D_
But the application is crashed  _x000D_
_x000D_
PS: i am a Java Developer to _x000D_
(Most time i Developing for Minecraft or little Handy games) _x000D_
_x000D_
_x000D_
             CAUSE OF ERROR             _x000D_
_x000D_
java lang RuntimeException: Failure delivering result ResultInfo who null  request 0  result  1  data Intent   dat content:  com android providers media documents document image:14460 flg 0x1    to activity  com nextcloud client com blikoon qrcodescanner QrCodeActivity : android database CursorIndexOutOfBoundsException: Index 0 requested  with a size of 0_x000D_
	at android app ActivityThread deliverResults(ActivityThread java:5230)_x000D_
	at android app ActivityThread handleSendResult(ActivityThread java:5271)_x000D_
	at android app servertransaction ActivityResultItem execute(ActivityResultItem java:51)_x000D_
	at android app servertransaction TransactionExecutor executeCallbacks(TransactionExecutor java:135)_x000D_
	at android app servertransaction TransactionExecutor execute(TransactionExecutor java:95)_x000D_
	at android app ActivityThread H handleMessage(ActivityThread java:2216)_x000D_
	at android os Handler dispatchMessage(Handler java:107)_x000D_
	at android os Looper loop(Looper java:237)_x000D_
	at android app ActivityThread main(ActivityThread java:7948)_x000D_
	at java lang reflect Method invoke(Native Method)_x000D_
	at com android internal os RuntimeInit MethodAndArgsCaller run(RuntimeInit java:493)_x000D_
	at com android internal os ZygoteInit main(ZygoteInit java:1075)_x000D_
Caused by: android database CursorIndexOutOfBoundsException: Index 0 requested  with a size of 0_x000D_
	at android database AbstractCursor checkPosition(AbstractCursor java:515)_x000D_
	at android database AbstractWindowedCursor checkPosition(AbstractWindowedCursor java:138)_x000D_
	at android database AbstractWindowedCursor getString(AbstractWindowedCursor java:52)_x000D_
	at android database CursorWrapper getString(CursorWrapper java:141)_x000D_
	at com blikoon qrcodescanner QrCodeActivity getPathFromUri(QrCodeActivity java:390)_x000D_
	at com blikoon qrcodescanner QrCodeActivity onActivityResult(QrCodeActivity java:370)_x000D_
	at android app Activity dispatchActivityResult(Activity java:8292)_x000D_
	at android app ActivityThread deliverResults(ActivityThread java:5223)_x000D_
	    11 more_x000D_
_x000D_
             APP INFORMATION             _x000D_
ID: com nextcloud client_x000D_
Version: 30130090_x000D_
Build flavor: gplay_x000D_
_x000D_
             DEVICE INFORMATION             _x000D_
Brand: samsung_x000D_
Device: a10_x000D_
Model: SM A105FN_x000D_
Id: QP1A 190711 020_x000D_
Product: a10eea_x000D_
_x000D_
             FIRMWARE             _x000D_
SDK: 29_x000D_
Release: 10_x000D_
Incremental: A105FNXXU3BTD4_x000D_
</t>
  </si>
  <si>
    <t>collinsmith-riiablo-113</t>
  </si>
  <si>
    <t>Casting spells too fast on Android causes crash</t>
  </si>
  <si>
    <t xml:space="preserve">Casting spells too fast on Android causes crash  I think that android I O is too slow which is causing a crash if too many spells are casted in succession  Requires more investigation  because there  should  be an I O block until the asset is loaded  but the app is pushing on ahead and getting an IOOBE </t>
  </si>
  <si>
    <t>TeamNewPipe-NewPipe-4262</t>
  </si>
  <si>
    <t>Unable to open error activity: too much data put into the intent</t>
  </si>
  <si>
    <t xml:space="preserve">    Version_x000D_
     Which version are you using  Hopefully the latest  We just told you that above     _x000D_
  0 19 8_x000D_
  also apk from   3178_x000D_
_x000D_
    Steps to reproduce the bug_x000D_
    _x000D_
1  Go to      _x000D_
2  Press on       _x000D_
3  Swipe down to       _x000D_
   _x000D_
This is not reproducible consistently  but the solution should just be to dump the error to disk instead of passing it via the intent 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User Action: ui error_x000D_
  Request: App crash  UI failure_x000D_
  Content Country: GB_x000D_
  Content Language: en GB_x000D_
  App Language: en_x000D_
  Service: none_x000D_
  Version: 0 19 8_x000D_
  OS: Linux Android 7 0   24_x000D_
 details  summary  b Crash log   b   summary _x000D_
 p  pre _x000D_
java lang RuntimeException: Failure from system_x000D_
	at android app Instrumentation execStartActivity(Instrumentation java:1546)_x000D_
	at android app Activity startActivityForResult(Activity java:4391)_x000D_
	at androidx fragment app FragmentActivity startActivityForResult(FragmentActivity java:675)_x000D_
	at android app Activity startActivityForResult(Activity java:4335)_x000D_
	at androidx fragment app FragmentActivity startActivityForResult(FragmentActivity java:662)_x000D_
	at android app Activity startActivity(Activity java:4702)_x000D_
	at android app Activity startActivity(Activity java:4670)_x000D_
	at org schabi newpipe report ErrorActivity startErrorActivity(ErrorActivity java:121)_x000D_
	at org schabi newpipe report ErrorActivity lambda reportError 0(ErrorActivity java:107)_x000D_
	at org schabi newpipe report    Lambda ErrorActivity EKKqNRPfPrIj XzvDeJIdwTG77M onClick(lambda)_x000D_
	at com google android material snackbar Snackbar 1 onClick(Snackbar java:296)_x000D_
	at android view View performClick(View java:5646)_x000D_
	at android view View PerformClick run(View java:22473)_x000D_
	at android os Handler handleCallback(Handler java:761)_x000D_
	at android os Handler dispatchMessage(Handler java:98)_x000D_
	at android os Looper loop(Looper java:156)_x000D_
	at android app ActivityThread main(ActivityThread java:6517)_x000D_
	at java lang reflect Method invoke(Native Method)_x000D_
	at com android internal os ZygoteInit MethodAndArgsCaller run(ZygoteInit java:942)_x000D_
	at com android internal os ZygoteInit main(ZygoteInit java:832)_x000D_
Caused by: android os TransactionTooLargeException: data parcel size 1123020 bytes_x000D_
	at android os BinderProxy transactNative(Native Method)_x000D_
	at android os BinderProxy transact(Binder java:617)_x000D_
	at android app ActivityManagerProxy startActivity(ActivityManagerNative java:3096)_x000D_
	at android app Instrumentation execStartActivity(Instrumentation java:1539)_x000D_
	    19 more_x000D_
  pre _x000D_
  details _x000D_
 hr </t>
  </si>
  <si>
    <t>TeamNewPipe-NewPipe-4261</t>
  </si>
  <si>
    <t>UI Crashed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</si>
  <si>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</si>
  <si>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Anuken-Mindustry-2529</t>
  </si>
  <si>
    <t>V6 mods don't load</t>
  </si>
  <si>
    <t xml:space="preserve">  Platform  :  Android _x000D_
_x000D_
  Build  :  The build number under the title in the main menu  Required   BE 9623_x000D_
_x000D_
  Issue  :  Explain your issue in detail   Mod(s) with  minGameVersion: 105  don t load_x000D_
_x000D_
  Steps to reproduce  :  How you happened across the issue  and what exactly you did to make the bug happen   _x000D_
1) I changed the  minGameVersion  in my mod hjson to 105 _x000D_
2) Updated my BE client to 9623 _x000D_
  Screenshot 20200910 075453 (https:  user images githubusercontent com 62336673 92683382 67e67d00 f33b 11ea 8683 fa8c70fbd471 jpg)_x000D_
_x000D_
_x000D_
  Link(s) to mod(s) used  :  The mod repositories or zip files that are related to the issue  if applicable   https:  github com TheSlaylord GoldMod tree 6 0_x000D_
_x000D_
  Save file  :  The save file you were playing on when the bug happened  if applicable   None_x000D_
_x000D_
  Crash report  :  The contents of relevant crash report files  REQUIRED if you are reporting a crash   This isn t a crash_x000D_
_x000D_
   _x000D_
_x000D_
 Place an X (no spaces) between the brackets to confirm that you have read the line below    _x000D_
   X    I have searched the closed and open issues to make sure that this problem has not already been reported   _x000D_
</t>
  </si>
  <si>
    <t>Anuken-Mindustry-2527</t>
  </si>
  <si>
    <t>2 Logic Blocks Can't Select A Block Under Them</t>
  </si>
  <si>
    <t xml:space="preserve">Platform: Android (Probably also applies on other platforms)_x000D_
_x000D_
Build: bleeding edge build 9608  also applies on all previous buildings with micro and or hyper processor blocks _x000D_
_x000D_
Issue: I can t select a block under a micro and or hyper processor block (For hyper processors  the block in the middle is the one that can t be selected)   It clicks the edit button instead  It is also a bit hard on Logic Block _x000D_
_x000D_
Steps to reproduce: Place a micro and or hyper processor block  place a block under them  try to click the block _x000D_
_x000D_
Link(s) to mod(s) used: None (Mods wouldn t affect it anyway )_x000D_
_x000D_
Save file: None (It isn t an issue that only happens in a specific map save file )_x000D_
_x000D_
Crash report: None (No crashes)_x000D_
_x000D_
   _x000D_
_x000D_
      I haven t searched the closed and open issues to make sure that this problem has not already been reported because It s too long _x000D_
</t>
  </si>
  <si>
    <t>getsentry-sentry-java-904</t>
  </si>
  <si>
    <t>Android 11 + targetSdkVersion 30 crashes Sentry on start</t>
  </si>
  <si>
    <t xml:space="preserve"> Platform: _x000D_
   x   Android  targetSdkVersion 30_x000D_
   x   Java_x000D_
       Kotlin_x000D_
       NDK_x000D_
       React Native_x000D_
_x000D_
 IDE: _x000D_
   x   Android Studio_x000D_
       IntelliJ_x000D_
       Other_x000D_
_x000D_
The version of sentry android:_x000D_
  2 3 0  (at least)     master  _x000D_
_x000D_
   _x000D_
I have the following issue:_x000D_
_x000D_
When I set the targetSdkVersion to 30 for my app and launch it on an Android 11 device (my Pixel 4XL)  the app crashes immediately _x000D_
_x000D_
  Steps to reproduce:  _x000D_
1  Clone the  sentry android  repository_x000D_
2  Change the example app to use  targetSdkVersion  30 _x000D_
   diff_x000D_
diff   git a sentry samples sentry samples android build gradle kts b sentry samples sentry samples android build gradle kts_x000D_
index 5c29345  d299d1b 100644_x000D_
    a sentry samples sentry samples android build gradle kts_x000D_
    b sentry samples sentry samples android build gradle kts_x000D_
    10 7  10 7    android  _x000D_
     defaultConfig  _x000D_
         applicationId    io sentry samples android _x000D_
         minSdkVersion(Config Android minSdkVersionNdk)_x000D_
         targetSdkVersion(Config Android targetSdkVersion)_x000D_
         targetSdkVersion(30)_x000D_
         versionCode   2_x000D_
         versionName    1 1 0 _x000D_
   _x000D_
3  launch  sentry samples android _x000D_
_x000D_
  Actual result:  _x000D_
  Immediate crash_x000D_
   _x000D_
            libc  F  Pointer tag for 0x79f0abdc30 was truncated _x000D_
          Sentry  D  Processing dir   data user 0 io sentry samples android cache sentry sessions_x000D_
            libc  F  Fatal signal 6 (SIGABRT)  code  1 (SI QUEUE) in tid 15999 (samples android)  pid 15999 (samples android)_x000D_
          Sentry  D  Processing 6 items from cache dir  data user 0 io sentry samples android cache sentry sessions_x000D_
                  D  Processing file:  data user 0 io sentry samples android cache sentry sessions f146b6e6 91af 4a2f a08c 014613f5e594 envelope_x000D_
                  D  Processing Envelope with 1 item(s)_x000D_
                  D  Captured Envelope is already cached_x000D_
                  D  Item 1 is being captured _x000D_
                  D  Going to wait flush 1 item _x000D_
TetheringManager  I  registerTetheringEventCallback:io sentry samples android_x000D_
           DEBUG  F   00 pc 000000000004de4c   apex com android runtime lib64 bionic libc so (abort 164) (BuildId: 03452a4a418e14ff93948f26561eace6)_x000D_
                  F  getsentry sentry android 1 pc 000000000003bb34   apex com android runtime lib64 bionic libc so (free 96) (BuildId: 03452a4a418e14ff93948f26561eace6)_x000D_
                  F  getsentry sentry android 2 pc 00000000000781a8   data app   gQctd6Q5azmrHpqfGRaWvQ   io sentry samples android IaNp2cunocnQXp3s03mjng   lib arm64 libsentry so (sentry f_x000D_
                     ree 36) (BuildId: a8252e0bb65f23db1c6420f10a30b2f3b1477309)_x000D_
                  F  getsentry sentry android 3 pc 0000000000085880   data app   gQctd6Q5azmrHpqfGRaWvQ   io sentry samples android IaNp2cunocnQXp3s03mjng   lib arm64 libsentry so (BuildId:_x000D_
                      a8252e0bb65f23db1c6420f10a30b2f3b1477309)_x000D_
                  F  getsentry sentry android 4 pc 0000000000085710   data app   gQctd6Q5azmrHpqfGRaWvQ   io sentry samples android IaNp2cunocnQXp3s03mjng   lib arm64 libsentry so (sentry v_x000D_
                     alue decref 92) (BuildId: a8252e0bb65f23db1c6420f10a30b2f3b1477309)_x000D_
                  F  getsentry sentry android 5 pc 000000000007f038   data app   gQctd6Q5azmrHpqfGRaWvQ   io sentry samples android IaNp2cunocnQXp3s03mjng   lib arm64 libsentry so (BuildId:_x000D_
                      a8252e0bb65f23db1c6420f10a30b2f3b1477309)_x000D_
   _x000D_
_x000D_
  Expected result:  _x000D_
  No crash_x000D_
</t>
  </si>
  <si>
    <t>Anuken-Mindustry-2526</t>
  </si>
  <si>
    <t>crashes when you put a block from the mod</t>
  </si>
  <si>
    <t xml:space="preserve">  Platform  : Android
  version   9583
  Issue  :  mod for 5 0 is launched when trying to place a turret or a container crashes  
  Steps to reproduce  :  I use mod for mindustry 5 0  
  Link(s) to mod(s) used  :  The mod repositories or zip files that are related to the issue  if applicable  Screenshot 2020 09 09 22 40 19 png (https:  user images githubusercontent com 62811727 92647122 0cdb6880 f2f0 11ea 9f37 7f7504cc1e43 png)  
  Save file  :  The save file you were playing on when the bug happened  if applicable  
  Crash report  :  The contents of relevant crash report files  REQUIRED if you are reporting a crash  
 Place an X (no spaces) between the brackets to confirm that you have read the line below    
        I have searched the closed and open issues to make sure that this problem has not already been reported   
</t>
  </si>
  <si>
    <t>google-ExoPlayer-7871</t>
  </si>
  <si>
    <t>rtmp stream crash</t>
  </si>
  <si>
    <t>version:_x000D_
    api  com google android exoplayer:exoplayer:2 11 7 _x000D_
    api  com google android exoplayer:extension rtmp:2 11 7 _x000D_
    api  com google android exoplayer:extension ima:2 11 7 _x000D_
  1599614033(1) (https:  user images githubusercontent com 10459917 92544101 a0c11c00 f27f 11ea 8e82 ab212324f033 jpg)_x000D_
Play RTMP on a weak network may crash and anr</t>
  </si>
  <si>
    <t>SanojPunchihewa-InAppUpdater-64</t>
  </si>
  <si>
    <t>[BUG] Crash and ANR on Huawei devices</t>
  </si>
  <si>
    <t xml:space="preserve">  Describe the bug  _x000D_
Crash and ANR were confirmed with Android Vital of Firebase and Play Store by the application using ver1 0 5 _x000D_
Oddly enough  crashes and ANRs are only seen on Huawei devices _x000D_
_x000D_
  To Reproduce  _x000D_
Occurs when you execute the following code within the onCreate of your Activity _x000D_
 UpdateManager UpdateManager Builder(this) mode(UpdateManagerConstant FLEXIBLE) start()  _x000D_
_x000D_
  Screenshots  _x000D_
We will inform you of the crash log and the target device and OS _x000D_
_x000D_
   _x000D_
java lang RuntimeException: _x000D_
  at androidx lifecycle ClassesInfoCache MethodReference invokeCallback (ClassesInfoCache java:226)_x000D_
  at androidx lifecycle ClassesInfoCache CallbackInfo invokeMethodsForEvent (ClassesInfoCache java:194)_x000D_
  at androidx lifecycle ClassesInfoCache CallbackInfo invokeCallbacks (ClassesInfoCache java:185)_x000D_
  at androidx lifecycle ReflectiveGenericLifecycleObserver onStateChanged (ReflectiveGenericLifecycleObserver java:36)_x000D_
  at androidx lifecycle LifecycleRegistry ObserverWithState dispatchEvent (LifecycleRegistry java:361)_x000D_
  at androidx lifecycle LifecycleRegistry addObserver (LifecycleRegistry java:188)_x000D_
  at com sanojpunchihewa updatemanager UpdateManager  init  (UpdateManager java:49)_x000D_
  at com sanojpunchihewa updatemanager UpdateManager Builder (UpdateManager java:54)_x000D_
     _x000D_
  at android os AsyncTask finish (AsyncTask java:696)_x000D_
  at android os AsyncTask access 600 (AsyncTask java:180)_x000D_
  at android os AsyncTask InternalHandler handleMessage (AsyncTask java:713)_x000D_
  at android os Handler dispatchMessage (Handler java:112)_x000D_
  at android os Looper loop (Looper java:216)_x000D_
  at android app ActivityThread main (ActivityThread java:7625)_x000D_
  at java lang reflect Method invoke (Method java)_x000D_
  at com android internal os RuntimeInit MethodAndArgsCaller run (RuntimeInit java:524)_x000D_
  at com android internal os ZygoteInit main (ZygoteInit java:987)_x000D_
  _x000D_
Caused by: java lang NullPointerException: _x000D_
  at com sanojpunchihewa updatemanager UpdateManager continueUpdate (UpdateManager java:142)_x000D_
  at com sanojpunchihewa updatemanager UpdateManager onResume (UpdateManager java:252)_x000D_
  at java lang reflect Method invoke (Method java)_x000D_
  at androidx lifecycle ClassesInfoCache MethodReference invokeCallback (ClassesInfoCache java:216)_x000D_
  at androidx lifecycle ClassesInfoCache CallbackInfo invokeMethodsForEvent (ClassesInfoCache java:194)_x000D_
  at androidx lifecycle ClassesInfoCache CallbackInfo invokeCallbacks (ClassesInfoCache java:185)_x000D_
  at androidx lifecycle ReflectiveGenericLifecycleObserver onStateChanged (ReflectiveGenericLifecycleObserver java:36)_x000D_
  at androidx lifecycle LifecycleRegistry ObserverWithState dispatchEvent (LifecycleRegistry java:361)_x000D_
  at androidx lifecycle LifecycleRegistry addObserver (LifecycleRegistry java:188)_x000D_
  at com sanojpunchihewa updatemanager UpdateManager  init  (UpdateManager java:49)_x000D_
  at com sanojpunchihewa updatemanager UpdateManager Builder (UpdateManager java:54)_x000D_
     _x000D_
  at android os AsyncTask finish (AsyncTask java:696)_x000D_
  at android os AsyncTask access 600 (AsyncTask java:180)_x000D_
  at android os AsyncTask InternalHandler handleMessage (AsyncTask java:713)_x000D_
  at android os Handler dispatchMessage (Handler java:112)_x000D_
  at android os Looper loop (Looper java:216)_x000D_
  at android app ActivityThread main (ActivityThread java:7625)_x000D_
  at java lang reflect Method invoke (Method java)_x000D_
  at com android internal os RuntimeInit MethodAndArgsCaller run (RuntimeInit java:524)_x000D_
  at com android internal os ZygoteInit main (ZygoteInit java:987)_x000D_
   _x000D_
_x000D_
_x000D_
Target device_x000D_
HUAWEI P20 Lite_x000D_
HUAWEI P30 lite_x000D_
HUAWEI P10 lite_x000D_
P20 Pro_x000D_
P30 Pro_x000D_
nova 2_x000D_
Mate 9_x000D_
HUAWEI P smart  2019_x000D_
HUAWEI P30_x000D_
    7S_x000D_
_x000D_
Target OS_x000D_
Android 9_x000D_
Android 8 0_x000D_
Android 10</t>
  </si>
  <si>
    <t>cyclestreets-android-436</t>
  </si>
  <si>
    <t>App crash accessing settings since update to Android 10</t>
  </si>
  <si>
    <t xml:space="preserve">Yesterday my Fairphone 3 was updated to Android 10  Since then opening the left sidebar and tapping settings causes the app to crash _x000D_
_x000D_
Prior to the OS update this wasn t an issue _x000D_
_x000D_
Version 3 9 0 on the Google play app store  I have beta updates enabled _x000D_
_x000D_
I ve tried clearing the cache and app data  both of which have the same crash </t>
  </si>
  <si>
    <t>TeamNewPipe-NewPipe-4250</t>
  </si>
  <si>
    <t>Can't search for anything</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</si>
  <si>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to      _x000D_
2  Press on       _x000D_
3  Swipe down to       _x000D_
   _x000D_
Just search for anything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 should see a list of items related to the search _x000D_
_x000D_
    Actual behaviour_x000D_
     Tell us what happens instead     _x000D_
I see a  no results  screen with a error reporting suggestion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Exception_x000D_
    User Action:   searched_x000D_
    Request:   merzbow_x000D_
    Content Language:   en US_x000D_
    Service:   YouTube_x000D_
    Version:   0 19 8_x000D_
    OS:   Linux Android 10   29_x000D_
_x000D_
_x000D_
 details  summary  b Crash log  b   summary  p _x000D_
_x000D_
   _x000D_
org schabi newpipe extractor exceptions ParsingException: Could not get ytInitialData_x000D_
	at org schabi newpipe extractor services youtube YoutubeParsingHelper getInitialData(YoutubeParsingHelper java:203)_x000D_
	at org schabi newpipe extractor services youtube YoutubeParsingHelper extractClientVersionAndKey(YoutubeParsingHelper java:222)_x000D_
	at org schabi newpipe extractor services youtube YoutubeParsingHelper getKey(YoutubeParsingHelper java:298)_x000D_
	at org schabi newpipe extractor services youtube extractors YoutubeSearchExtractor getNewNextPageFrom(YoutubeSearchExtractor java:233)_x000D_
	at org schabi newpipe extractor services youtube extractors YoutubeSearchExtractor getInitialPage(YoutubeSearchExtractor java:127)_x000D_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java:81)_x000D_
	at org schabi newpipe util    Lambda ExtractorHelper BBduYDeZ vXMQYaemaggmTPtqvA call(Unknown Source:8)_x000D_
	at io reactivex internal operators single SingleFromCallable subscribeActual(SingleFromCallable java:44)_x000D_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window   ytInitialData    s   s (       ) _x000D_
	at org schabi newpipe extractor utils Parser matchGroup(Parser java:72)_x000D_
	at org schabi newpipe extractor utils Parser matchGroup(Parser java:61)_x000D_
	at org schabi newpipe extractor utils Parser matchGroup1(Parser java:52)_x000D_
	at org schabi newpipe extractor services youtube YoutubeParsingHelper getInitialData(YoutubeParsingHelper java:200)_x000D_
	    20 more_x000D_
_x000D_
   _x000D_
  p   details _x000D_
 hr _x000D_
_x000D_
     That s right  here     _x000D_
</t>
  </si>
  <si>
    <t>nextcloud-android-6904</t>
  </si>
  <si>
    <t>SQLiteBlobTooBigException</t>
  </si>
  <si>
    <t xml:space="preserve">    Expected behaviour_x000D_
  Ich  ffne meinen Ordner Bilder mit vielen Subfoldern in denen sehr viele Dateien sind _x000D_
_x000D_
    Actual behaviour_x000D_
  Die App crasht _x000D_
_x000D_
    Can you reproduce this problem on https:  try nextcloud com _x000D_
No_x000D_
_x000D_
    Environment data_x000D_
Android version: 9_x000D_
_x000D_
Device model: _x000D_
Samsung Galaxy S9 _x000D_
_x000D_
Stock or customized system:_x000D_
Custom Rom_x000D_
_x000D_
Nextcloud app version:_x000D_
30130090_x000D_
Nextcloud server version:_x000D_
19 X X_x000D_
_x000D_
Reverse proxy:_x000D_
Ja via Sophos Home UTM Appliannce _x000D_
_x000D_
    Logs_x000D_
             CAUSE OF ERROR             _x000D_
_x000D_
android database sqlite SQLiteBlobTooBigException: Row too big to fit into CursorWindow requiredPos 10787  totalRows 7602_x000D_
	at android database sqlite SQLiteConnection nativeExecuteForCursorWindow(Native Method)_x000D_
	at android database sqlite SQLiteConnection executeForCursorWindow(SQLiteConnection java:1060)_x000D_
	at android database sqlite SQLiteSession executeForCursorWindow(SQLiteSession java:836)_x000D_
	at android database sqlite SQLiteQuery fillWindow(SQLiteQuery java:62)_x000D_
	at android database sqlite SQLiteCursor fillWindow(SQLiteCursor java:169)_x000D_
	at android database sqlite SQLiteCursor onMove(SQLiteCursor java:131)_x000D_
	at android database AbstractCursor moveToPosition(AbstractCursor java:237)_x000D_
	at android database AbstractCursor moveToNext(AbstractCursor java:269)_x000D_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apply(ContentProviderOperation java:299)_x000D_
	at com owncloud android providers FileContentProvider applyBatch(FileContentProvider java:672)_x000D_
	at android content ContentProvider Transport applyBatch(ContentProvider java:319)_x000D_
	at android content ContentProviderClient applyBatch(ContentProviderClient java:474)_x000D_
	at android content ContentResolver applyBatch(ContentResolver java:1632)_x000D_
	at com owncloud android datamodel FileDataStorageManager saveFolder(FileDataStorageManager java:435)_x000D_
	at com owncloud android operations RefreshFolderOperation synchronizeData(RefreshFolderOperation java:490)_x000D_
	at com owncloud android operations RefreshFolderOperation fetchAndSyncRemoteFolder(RefreshFolderOperation java:372)_x000D_
	at com owncloud android operations RefreshFolderOperation run(RefreshFolderOperation java:231)_x000D_
	at com owncloud android lib common operations RemoteOperation run(RemoteOperation java:360)_x000D_
	at java lang Thread run(Thread java:764)_x000D_
_x000D_
             APP INFORMATION             _x000D_
ID: com nextcloud client_x000D_
Version: 30130090_x000D_
Build flavor: gplay_x000D_
_x000D_
             DEVICE INFORMATION             _x000D_
Brand: samsung_x000D_
Device: star2lte_x000D_
Model: SM G965F_x000D_
Id: PPR1 180610 011_x000D_
Product: star2ltexx_x000D_
_x000D_
             FIRMWARE             _x000D_
SDK: 28_x000D_
Release: 9_x000D_
Incremental: G965FXXS7CTA2_x000D_
</t>
  </si>
  <si>
    <t>Anuken-Mindustry-2515</t>
  </si>
  <si>
    <t>Genearte Tool Doesn't Work</t>
  </si>
  <si>
    <t xml:space="preserve">Platform: Android_x000D_
_x000D_
Build: bleeding edge build 9552_x000D_
_x000D_
Issue: When making a map using the generate tool  after applying  the game crashes_x000D_
_x000D_
Steps to reproduce: Create a map using generate tool  add a few things with it  apply and then the game crashes  I was making a 500x500 map so it may be bevause of size but I don t think so _x000D_
_x000D_
Link(s) to mod(s) used: None_x000D_
_x000D_
Save file: None_x000D_
_x000D_
Crash report: (In the comments)_x000D_
_x000D_
   _x000D_
_x000D_
   X  I have searched the closed and open issues to make sure that this problem has not already been reported _x000D_
</t>
  </si>
  <si>
    <t>TeamNewPipe-NewPipe-4247</t>
  </si>
  <si>
    <t>Search suggestions misaligned when clicking back on the search bar during search</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</si>
  <si>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1  Type something into the search bar_x000D_
2  Click on a suggested result then quickly click back on the search bar before the results load_x000D_
3  The search suggestions are misaligned and cover search results_x000D_
_x000D_
_x000D_
     If you can t cause the bug to show up again reliably (and hence don t have a proper set of steps to give us)  please still try to give as many details as possible on how you think you encountered the bug     _x000D_
_x000D_
    Expected behavior_x000D_
After clicking back on the search bar the search results should be cancelled not shown and the search suggestions should be correctly aligned _x000D_
_x000D_
    Actual behaviour_x000D_
The search suggestions and search results are both shown  This bug only occurs if you re quite quick at clicking back on the search bar and is probably exasperated by me having a tablet that is on the cheaper  slower side of average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20200907 195208 NewPipe (https:  user images githubusercontent com 68926464 92412403 afa2b400 f143 11ea 9715 5eca1397b741 jpg)_x000D_
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t>
  </si>
  <si>
    <t>woesss-JL-Mod-12</t>
  </si>
  <si>
    <t>Crashes + corrupted graphics MC3D</t>
  </si>
  <si>
    <t xml:space="preserve">  Build version:  _x000D_
_x000D_
JL Mod 0 74 MC b098_x000D_
_x000D_
  Game version:  _x000D_
_x000D_
Pandora Tomorrow 3D 1 0 3_x000D_
_x000D_
  Game resolution:  _x000D_
_x000D_
176x220_x000D_
_x000D_
  Device model:  _x000D_
_x000D_
OnePlus 7 and Black Shark 2_x000D_
_x000D_
  Android version:  _x000D_
_x000D_
Android 10 (OP7) and Android 9 (BS2)_x000D_
_x000D_
  Description of the issue:  _x000D_
_x000D_
Hi woesss  I have two problems here with the new MC3D shading build _x000D_
_x000D_
Pandora Tomorrow 3D  maybe other games  crashes randomly after a few seconds minutes  It could be related to that old input crashes of J2ME Loader  where the emulator crashed when you click on two  buttons at the same time  I m not sure  could be related to any other thing  I added the log  This happens on both devices _x000D_
_x000D_
The other problem only happens with my Black Shark 2 running Android 9  Shaded lightning areas are completely corrupted  with high bloom and repeating patterns  Only accelerated OpenGL rendering works in this phone  no surface  window or even software (yeah  weird)  This problem doesn t happen  at all  in the OnePlus 7 running Android 10  OpenGL hardware rendering works flawlesly on this device (but still crashes) _x000D_
_x000D_
Both phones have the same SOC :  _x000D_
_x000D_
 log txt (https:  github com woesss JL Mod files 5184405 log txt)_x000D_
_x000D_
  Screenshot 20200908 020235 (https:  user images githubusercontent com 6293197 92410746 60f61980 f145 11ea 9659 3c9f9a10f70c png)</t>
  </si>
  <si>
    <t>nextcloud-android-6901</t>
  </si>
  <si>
    <t xml:space="preserve">Crash when deleting InstantUpload </t>
  </si>
  <si>
    <t xml:space="preserve">    Steps to reproduce_x000D_
1  Go to all files_x000D_
2  Delete InstantUpload directory_x000D_
_x000D_
    Expected behaviour_x000D_
  Tell us what should happen_x000D_
_x000D_
    Actual behaviour_x000D_
  Just the crash  but now I can navigate without any error  and the directory was removed successfully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CAUSE OF ERROR             _x000D_
_x000D_
java lang NullPointerException: Attempt to invoke virtual method  long com owncloud android datamodel OCFile getParentId()  on a null object reference_x000D_
	at com owncloud android operations RefreshFolderOperation synchronizeData(RefreshFolderOperation java:413)_x000D_
	at com owncloud android operations RefreshFolderOperation fetchAndSyncRemoteFolder(RefreshFolderOperation java:372)_x000D_
	at com owncloud android operations RefreshFolderOperation run(RefreshFolderOperation java:231)_x000D_
	at com owncloud android lib common operations RemoteOperation run(RemoteOperation java:360)_x000D_
	at java lang Thread run(Thread java:919)_x000D_
_x000D_
             APP INFORMATION             _x000D_
ID: com nextcloud client_x000D_
Version: 30130090_x000D_
Build flavor: gplay_x000D_
_x000D_
             DEVICE INFORMATION             _x000D_
Brand: Xiaomi_x000D_
Device: polaris_x000D_
Model: Mi MIX 2S_x000D_
Id: QKQ1 190828 002_x000D_
Product: polaris_x000D_
_x000D_
             FIRMWARE             _x000D_
SDK: 29_x000D_
Release: 10_x000D_
Incremental: V11 0 4 0 QDGMIXM_x000D_
_x000D_
   _x000D_
  NOTE:   Be super sure to remove sensitive data like passwords  note that everybody can look here  You can use the Issue Template application to prefill some of the required information: https:  apps nextcloud com apps issuetemplate_x000D_
</t>
  </si>
  <si>
    <t>launchdarkly-react-native-client-sdk-57</t>
  </si>
  <si>
    <t>iOS Crash LeanplumRequest.m line 116</t>
  </si>
  <si>
    <t xml:space="preserve">  Describe the bug  _x000D_
There s a crash that s been present for 6 months or more _x000D_
_x000D_
I think it s caused by the RN client not calling the SDK on the right thread   queue (see logs) _x000D_
_x000D_
  To reproduce  _x000D_
Too hard to reproduce _x000D_
_x000D_
  Expected behavior  _x000D_
The SDK to not crash _x000D_
_x000D_
  Logs  _x000D_
  LeanplumRequest generateUUID _x000D_
_x000D_
   _x000D_
Crashed: NSOperationQueue 0x280c2f020 (QOS: UNSPECIFIED)_x000D_
0  libobjc A dylib                0x19139b530 objc msgSend   16_x000D_
1  Foundation                     0x192bf6830   NSObject(NSKeyValueObservingPrivate)  changeValueForKeys:count:maybeOldValuesDict:maybeNewValuesDict:usingBlock:    700_x000D_
2  Foundation                     0x192b49c58   NSObject(NSKeyValueObservingPrivate)  notifyObserversOfChangeFromValuesForKeys:toValuesForKeys:    648_x000D_
3  CoreFoundation                 0x1920a524c   CFPrefsSource forEachObserver:    260_x000D_
4  CoreFoundation                 0x1920a6cb0   CFPrefsSource  notifyObserversOfChangeFromValuesForKeys:toValuesForKeys:    76_x000D_
5  CoreFoundation                 0x1921e6ffc    CFPrefsDeliverPendingKVONotificationsGuts block invoke   408_x000D_
6  CoreFoundation                 0x192107e10   CFDictionaryApplyFunction block invoke   24_x000D_
7  CoreFoundation                 0x1921d18dc CFBasicHashApply   116_x000D_
8  CoreFoundation                 0x192107dec CFDictionaryApplyFunction   168_x000D_
9  CoreFoundation                 0x1921e0710  CFPrefsDeliverPendingKVONotificationsGuts   260_x000D_
10 CoreFoundation                 0x192126d70   108   CFXPreferences(SearchListAdditions) withSearchListForIdentifier:container:cloudConfigurationURL:perform:  block invoke   304_x000D_
11 CoreFoundation                 0x192126794 normalizeQuintuplet   340_x000D_
12 CoreFoundation                 0x192094e74    CFXPreferences(SearchListAdditions) withSearchListForIdentifier:container:cloudConfigurationURL:perform:    108_x000D_
13 CoreFoundation                 0x192097e8c    CFXPreferences setValue:forKey:appIdentifier:container:configurationURL:    92_x000D_
14 CoreFoundation                 0x1921e5460  CFPreferencesSetAppValueWithContainerAndConfiguration   132_x000D_
15 Foundation                     0x192b44a08   NSUserDefaults(NSUserDefaults) setObject:forKey:    64_x000D_
16 Leanplum                       0x103747fd4   LeanplumRequest generateUUID    116 (LeanplumRequest m:116)_x000D_
17 Leanplum                       0x103748d50   32  LeanplumRequest sendRequests:  block invoke   261 (LeanplumRequest m:261)_x000D_
18 Foundation                     0x192c0def8   NSBLOCKOPERATION IS CALLING OUT TO A BLOCK     16_x000D_
19 Foundation                     0x192b1a3e0   NSBlockOperation main    72_x000D_
20 Foundation                     0x192b198c8     NSOperationInternal  start:    740_x000D_
21 Foundation                     0x192c0fc7c   NSOQSchedule f   272_x000D_
22 libdispatch dylib              0x191be8a38  dispatch call block and release   24_x000D_
23 libdispatch dylib              0x191be97d4  dispatch client callout   16_x000D_
24 libdispatch dylib              0x191b8e018  dispatch continuation pop VARIANT mp   412_x000D_
25 libdispatch dylib              0x191b8d6dc  dispatch async redirect invoke   600_x000D_
26 libdispatch dylib              0x191b9a02c  dispatch root queue drain   372_x000D_
27 libdispatch dylib              0x191b9a8d0  dispatch worker thread2   128_x000D_
28 libsystem pthread dylib        0x191dc91b4  pthread wqthread   464_x000D_
29 libsystem pthread dylib        0x191dcbcd4 start wqthread   4_x000D_
   _x000D_
_x000D_
  SDK version  _x000D_
3 1 1_x000D_
_x000D_
  Language version  developer tools  _x000D_
n a_x000D_
_x000D_
  OS platform  _x000D_
iOS 12 3 1_x000D_
_x000D_
  Additional context  _x000D_
It s definitely an issue where the RN bridge uses an operation queue that s not compatible with the SDK or Foundation APIs  This is usually resolved by dispatching to the main thread for example </t>
  </si>
  <si>
    <t>TeamNewPipe-NewPipe-4243</t>
  </si>
  <si>
    <t>Constant UI error on attempt to play video.</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</si>
  <si>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0 19 8_x000D_
     Which version are you using  Hopefully the latest  We just told you that above     _x000D_
 _x000D_
_x000D_
    Steps to reproduce the bug_x000D_
1  View the video on NewPipe: https:  www youtube com watch v 3Zl2DVBX5dk_x000D_
2  UI Error should appear 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Expected to view the video with no issues on load _x000D_
_x000D_
    Actual behaviour_x000D_
     Tell us what happens instead     _x000D_
Ran into a constant UI error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Exception_x000D_
    User Action:   ui error_x000D_
    Request:   App crash  UI failure_x000D_
    Content Country:   US_x000D_
    Content Language:   en_x000D_
    App Language:   en US_x000D_
    Service:   none_x000D_
    Version:   0 19 8_x000D_
    OS:   Linux samsung beyond1qltesq beyond1q:10 QP1A 190711 020 G973USQU3DTE8:user release keys 10   29_x000D_
 details  summary  b Crash log   b   summary  p _x000D_
_x000D_
   _x000D_
java lang IndexOutOfBoundsException: Index: 0_x000D_
	at java util Collections EmptyList get(Collections java:4511)_x000D_
	at org schabi newpipe player helper PlayerHelper autoQueueOf(PlayerHelper java:165)_x000D_
	at org schabi newpipe player BasePlayer maybeAutoQueueNextStream(BasePlayer java:1336)_x000D_
	at org schabi newpipe player BasePlayer maybeUpdateCurrentMetadata(BasePlayer java:1320)_x000D_
	at org schabi newpipe player BasePlayer onTimelineChanged(BasePlayer java:677)_x000D_
	at com google android exoplayer2 ExoPlayerImpl PlaybackInfoUpdate lambda run 0 ExoPlayerImpl PlaybackInfoUpdate(ExoPlayerImpl java:804)_x000D_
	at com google android exoplayer2    Lambda ExoPlayerImpl PlaybackInfoUpdate N S5kRfhaRTAkH28P5luFgKnFjQ invokeListener(Unknown Source:2)_x000D_
	at com google android exoplayer2 BasePlayer ListenerHolder invoke(BasePlayer java:182)_x000D_
	at com google android exoplayer2 ExoPlayerImpl invokeAll(ExoPlayerImpl java:845)_x000D_
	at com google android exoplayer2 ExoPlayerImpl access 000(ExoPlayerImpl java:43)_x000D_
	at com google android exoplayer2 ExoPlayerImpl PlaybackInfoUpdate run(ExoPlayerImpl java:802)_x000D_
	at com google android exoplayer2 ExoPlayerImpl notifyListeners(ExoPlayerImpl java:736)_x000D_
	at com google android exoplayer2 ExoPlayerImpl updatePlaybackInfo(ExoPlayerImpl java:710)_x000D_
	at com google android exoplayer2 ExoPlayerImpl handlePlaybackInfo(ExoPlayerImpl java:652)_x000D_
	at com google android exoplayer2 ExoPlayerImpl handleEvent(ExoPlayerImpl java:595)_x000D_
	at com google android exoplayer2 ExoPlayerImpl 1 handleMessage(ExoPlayerImpl java:127)_x000D_
	at android os Handler dispatchMessage(Handler java:107)_x000D_
	at android os Looper loop(Looper java:237)_x000D_
	at android app ActivityThread main(ActivityThread java:8034)_x000D_
	at java lang reflect Method invoke(Native Method)_x000D_
	at com android internal os RuntimeInit MethodAndArgsCaller run(RuntimeInit java:493)_x000D_
	at com android internal os ZygoteInit main(ZygoteInit java:1076)_x000D_
_x000D_
   _x000D_
  details _x000D_
 hr _x000D_
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</si>
  <si>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Rachel030219-Poweramp-LRC-Plugin-22</t>
  </si>
  <si>
    <t>[BUG] Plugin crashes</t>
  </si>
  <si>
    <t xml:space="preserve">  Describe the bug  _x000D_
The plug in crashes when starting playing a song_x000D_
_x000D_
  To Reproduce  _x000D_
Steps to reproduce the behavior:_x000D_
1  Start playing music that have a  lrc file_x000D_
2  Toast message is being shown says that _x000D_
plug in was crashed and log file was saved_x000D_
  Device info:  _x000D_
   Device: Xiaomi Mi6_x000D_
   Android version: LineageOS  Android 10_x000D_
_x000D_
  Additional context  _x000D_
Log  lrc and music files may be downloaded here: https:  cloud white miku me s Y6vsrZyGb1va2DQ</t>
  </si>
  <si>
    <t>TeamNewPipe-NewPipe-4239</t>
  </si>
  <si>
    <t>Playback speed inconsistent &amp; resets randomly</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</si>
  <si>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to      _x000D_
2  Press on       _x000D_
3  Swipe down to       _x000D_
   _x000D_
1  Start a video in the background player _x000D_
2  Set the speed to something else _x000D_
3  Pause the playback _x000D_
4  Open a stream in other player (pop up  fullscreen)_x000D_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playback speed will be the same everywhere  or (feature idea) every player form will have it s own playback speed _x000D_
    Actual behaviour_x000D_
     Tell us what happens instead     _x000D_
The video will play at the other speed defined previously  however the video in the background player will show 1X and play at normal speed  When clicking on it  it will show the set speed  but not use it _x000D_
P S  The background player will show 1X on every reopen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20200905 232608 NewPipe (https:  user images githubusercontent com 26146502 92313732 397d4080 efcf 11ea 8426 a4b5c1265b76 jpg)_x000D_
  Screenshot 20200905 232613 NewPipe (https:  user images githubusercontent com 26146502 92313734 3d10c780 efcf 11ea 9780 8f51918ae39a jpg)_x000D_
_x000D_
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</si>
  <si>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andOTP-andOTP-639</t>
  </si>
  <si>
    <t>Crash when modifying other settings after changing backup location</t>
  </si>
  <si>
    <t xml:space="preserve">     General information_x000D_
_x000D_
    App version:   master_x000D_
    App source:   GitHub_x000D_
    Android Version:   29_x000D_
    Custom ROM:   None (x86 Emulator)_x000D_
_x000D_
_x000D_
     Steps to reproduce_x000D_
_x000D_
1  Open andOTP _x000D_
1  Open Settings _x000D_
1  Scroll down and select  Default backup location  preference _x000D_
1  Select a new default backup location and allow _x000D_
1  Select some other preference (e g   Verify encrypted backups )_x000D_
_x000D_
     Expected result_x000D_
  What is expected    _x000D_
Preference is selected normally _x000D_
_x000D_
  What does happen instead   _x000D_
App crashes from a null Context _x000D_
_x000D_
     Logcat_x000D_
   _x000D_
2020 09 04 15:06:48 935 14076 14076 org shadowice flocke andotp dev E AndroidRuntime: FATAL EXCEPTION: main_x000D_
    Process: org shadowice flocke andotp dev  PID: 14076_x000D_
    java lang NullPointerException: Attempt to invoke virtual method  java lang String android content Context getPackageName()  on a null object reference_x000D_
        at android preference PreferenceManager getDefaultSharedPreferencesName(PreferenceManager java:555)_x000D_
        at android preference PreferenceManager getDefaultSharedPreferences(PreferenceManager java:545)_x000D_
        at org shadowice flocke andotp Utilities Settings  init (Settings java:59)_x000D_
        at org shadowice flocke andotp Utilities BackupHelper autoBackupType(BackupHelper java:91)_x000D_
        at org shadowice flocke andotp Activities SettingsActivity SettingsFragment updateAutoBackup(SettingsActivity java:317)_x000D_
        at org shadowice flocke andotp Activities SettingsActivity onSharedPreferenceChanged(SettingsActivity java:171)_x000D_
        at android app SharedPreferencesImpl EditorImpl notifyListeners(SharedPreferencesImpl java:637)_x000D_
        at android app SharedPreferencesImpl EditorImpl apply(SharedPreferencesImpl java:511)_x000D_
        at android preference Preference tryCommit(Preference java:1621)_x000D_
        at android preference Preference persistBoolean(Preference java:1925)_x000D_
        at android preference TwoStatePreference setChecked(TwoStatePreference java:89)_x000D_
        at android preference TwoStatePreference onClick(TwoStatePreference java:74)_x000D_
        at android preference Preference performClick(Preference java:1163)_x000D_
        at android preference PreferenceScreen onItemClick(PreferenceScreen java:260)_x000D_
        at android widget AdapterView performItemClick(AdapterView java:330)_x000D_
        at android widget AbsListView performItemClick(AbsListView java:1187)_x000D_
        at android widget AbsListView PerformClick run(AbsListView java:3179)_x000D_
        at android widget AbsListView 3 run(AbsListView java:4097)_x000D_
        at android os Handler handleCallback(Handler java:938)_x000D_
        at android os Handler dispatchMessage(Handler java:99)_x000D_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t>
  </si>
  <si>
    <t>TeamNewPipe-NewPipe-4230</t>
  </si>
  <si>
    <t>[unified player] everything crashes after playing a video on fullscreen</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</si>
  <si>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latest apk provided by B0pol_x000D_
_x000D_
    Steps to reproduce the bug_x000D_
1  Go to any video _x000D_
2  play on fullscreen_x000D_
3  voice keeps playing for a while and the video stops _x000D_
4  now every video on my phone can t be played for some reason_x000D_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should be playing normally as it does for the latest newpipe version_x000D_
    Actual behaviour_x000D_
     Tell us what happens instead     _x000D_
the app crashes and after forcing it to stop i no longer can play any video on my phone even from gallery   it may be something with my phone custom rom (RR Nougat) but it never happened this is the first time  _x000D_
to fix the issue i just restart the phone</t>
  </si>
  <si>
    <t>OpenTracksApp-OpenTracks-411</t>
  </si>
  <si>
    <t>Opening gpx file from OT in OsmAnd~ crashes OsmAnd~ since last update to 3.9.3</t>
  </si>
  <si>
    <t xml:space="preserve">  Describe the bug  _x000D_
I have always opened the gpx files from the OT interface in OsmAnd and never had a problem  But after the last update to 3 9 3  it now starts OSMand which then crashes and closes after showing the initial OSMand start up screen  If I select an alternative mapping program (MMTracker)  it works OK _x000D_
_x000D_
  To Reproduce  _x000D_
1  Go to OT page showing all recorded routes_x000D_
2  Click on button to open gpx file in another program_x000D_
3  select OsmAnd  from the programs suggested _x000D_
4  OsmAnd start page appears  then program is  stopped  and closes  Rebooting phone makes no difference _x000D_
_x000D_
  Technical information  _x000D_
   Device: motoG (2014)_x000D_
   OS:  e g  LineageOS 14 1 with microG  no GApps _x000D_
   Version  e g  v3 9 3 _x000D_
</t>
  </si>
  <si>
    <t>stingle-stingle-photos-android-36</t>
  </si>
  <si>
    <t>Lock timer on immediately doesn't work as expected</t>
  </si>
  <si>
    <t xml:space="preserve">When setting  lock the app after  to  immediately  (settings    security) the app crashes on importing pictures after scanning my fingerprint _x000D_
_x000D_
When set to  10 seconds  it works just fine </t>
  </si>
  <si>
    <t>cgeo-cgeo-8941</t>
  </si>
  <si>
    <t>ClassCast Exception on launching NewMap or CGeoMap</t>
  </si>
  <si>
    <t xml:space="preserve">New crash report for 2020 09 02 RC 
There are several similar crash reports   stack traces  one example:
java lang RuntimeException: 
at android app ActivityThread performLaunchActivity (ActivityThread java:2822)
at android app ActivityThread handleLaunchActivity (ActivityThread java:2897)
at android app ActivityThread  wrap11 (Unknown Source)
at android app ActivityThread H handleMessage (ActivityThread java:1598)
at android os Handler dispatchMessage (Handler java:105)
at android os Looper loop (Looper java:251)
at android app ActivityThread main (ActivityThread java:6572)
at java lang reflect Method invoke (Native Method)
at com android internal os Zygote MethodAndArgsCaller run (Zygote java:240)
at com android internal os ZygoteInit main (ZygoteInit java:767)
Caused by: java lang ClassCastException: 
at cgeo geocaching maps mapsforge v6 NewMap onCreate (NewMap java:223)
at android app Activity performCreate (Activity java:6975)
at android app Instrumentation callActivityOnCreate (Instrumentation java:1214)
at android app ActivityThread performLaunchActivity (ActivityThread java:2775)
</t>
  </si>
  <si>
    <t>TeamNewPipe-NewPipe-4219</t>
  </si>
  <si>
    <t xml:space="preserve">   Exception_x000D_
    User Action:   requested feed_x000D_
    Request:   Loading feed_x000D_
    Content Country:   IN_x000D_
    Content Language:   en IN_x000D_
    App Language:   en IN_x000D_
    Service:   none_x000D_
    Version:   0 19 8_x000D_
    OS:   Linux Android 10   29_x000D_
 details  summary  b Crash log   b   summary  p _x000D_
_x000D_
   _x000D_
org schabi newpipe local feed service FeedLoadService RequestException: 0:https:  www youtube com channel UCg Hvi2TD4GNDjpbU TQvJA_x000D_
	at org schabi newpipe local feed service FeedLoadService startLoading 7 apply(FeedLoadService kt:223)_x000D_
	at org schabi newpipe local feed service FeedLoadService startLoading 7 apply(FeedLoadService kt:66)_x000D_
	at io reactivex internal operators parallel ParallelMap ParallelMapSubscriber onNext(ParallelMap java:113)_x000D_
	at io reactivex internal operators parallel ParallelFilter ParallelFilterSubscriber tryOnNext(ParallelFilter java:130)_x000D_
	at io reactivex internal operators parallel ParallelRunOn RunOnConditionalSubscriber run(ParallelRunOn java:397)_x000D_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java lang RuntimeException: org schabi newpipe extractor exceptions ContentNotAvailableException: Got error:  This account has been terminated because we received multiple third party claims of copyright infringement regarding material that the user posted  _x000D_
	at io reactivex internal util ExceptionHelper wrapOrThrow(ExceptionHelper java:46)_x000D_
	at io reactivex internal observers BlockingMultiObserver blockingGet(BlockingMultiObserver java:93)_x000D_
	at io reactivex Single blockingGet(Single java:2870)_x000D_
	at org schabi newpipe local feed service FeedLoadService startLoading 7 apply(FeedLoadService kt:217)_x000D_
	    11 more_x000D_
Caused by: org schabi newpipe extractor exceptions ContentNotAvailableException: Got error:  This account has been terminated because we received multiple third party claims of copyright infringement regarding material that the user posted  _x000D_
	at org schabi newpipe extractor services youtube YoutubeParsingHelper defaultAlertsCheck(YoutubeParsingHelper java:546)_x000D_
	at org schabi newpipe extractor services youtube extractors YoutubeChannelExtractor onFetchPage(YoutubeChannelExtractor java:109)_x000D_
	at org schabi newpipe extractor Extractor fetchPage(Extractor java:56)_x000D_
	at org schabi newpipe extractor channel ChannelInfo getInfo(ChannelInfo java:47)_x000D_
	at org schabi newpipe util ExtractorHelper lambda getChannelInfo 4(ExtractorHelper java:124)_x000D_
	at org schabi newpipe util    Lambda ExtractorHelper u5W7VszTe8AoEexIsFM9huQfbkM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Single blockingGet(Single java:2869)_x000D_
	    12 more_x000D_
_x000D_
   _x000D_
  details _x000D_
 hr _x000D_
_x000D_
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</si>
  <si>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Swrve-swrve-android-sdk-293</t>
  </si>
  <si>
    <t>Crash on SwrveWakefulService when receiving a null intent</t>
  </si>
  <si>
    <t xml:space="preserve">Hi _x000D_
_x000D_
we are seeing crashes in our crash monitoring service for an app that uses version 6 3 0 of the swrve firebase SDK _x000D_
_x000D_
The stacktrace is as follows:_x000D_
_x000D_
   _x000D_
java lang NullPointerException: Attempt to invoke virtual method  int android content Intent getIntExtra(java lang String  int)  on a null object reference_x000D_
        at androidx legacy content WakefulBroadcastReceiver completeWakefulIntent(WakefulBroadcastReceiver:126)_x000D_
        at com swrve sdk SwrveWakefulService onHandleIntent(SwrveWakefulService:20)_x000D_
        at android app IntentService ServiceHandler handleMessage(IntentService java:67)_x000D_
        at android os Handler dispatchMessage(Handler java:110)_x000D_
        at android os Looper loop(Looper java:203)_x000D_
        at android os HandlerThread run(HandlerThread java:61)_x000D_
   _x000D_
_x000D_
Reviewing the source code this crash is somewhat expected  since docs for handleIntent method state that the received intent could be null:_x000D_
_x000D_
   _x000D_
       _x000D_
       This method is invoked on the worker thread with a request to process _x000D_
       Only one Intent is processed at a time  but the processing happens on a_x000D_
       worker thread that runs independently from other application logic _x000D_
       So  if this code takes a long time  it will hold up other requests to_x000D_
       the same IntentService  but it will not hold up anything else _x000D_
       When all requests have been handled  the IntentService stops itself _x000D_
       so you should not call   link  stopSelf  _x000D_
      _x000D_
        param intent The value passed to   link_x000D_
                     android content Context startService(Intent)  _x000D_
                     This may be null if the service is being restarted after_x000D_
                     its process has gone away  see_x000D_
                       link android app Service onStartCommand _x000D_
                     for details _x000D_
       _x000D_
     WorkerThread_x000D_
    protected abstract void onHandleIntent( Nullable Intent intent) _x000D_
   _x000D_
_x000D_
 SwrveWakefulService  does not perform any check on this and is blindly capturing the whole Exception:_x000D_
_x000D_
   _x000D_
     Override_x000D_
    protected void onHandleIntent(Intent intent)  _x000D_
        try  _x000D_
            SwrveBackgroundEventSender sender   getBackgroundEventSender() _x000D_
            sender handleSendEvents(intent getExtras()) _x000D_
          catch (Exception ex)  _x000D_
            SwrveLogger e( SwrveWakefulService exception (intent:  s):    ex  intent) _x000D_
          finally  _x000D_
            SwrveWakefulReceiver completeWakefulIntent(intent) _x000D_
         _x000D_
     _x000D_
   </t>
  </si>
  <si>
    <t>opensrp-opensrp-client-reveal-989</t>
  </si>
  <si>
    <t>THAI-The app crashes when on tries to login(after the foci boundary crash) -RVL-1132</t>
  </si>
  <si>
    <t xml:space="preserve">Enter the user credentials:_x000D_
thaiuser2 Amani123_x000D_
NOTE: This happens after the app crashes after editing the foci boundary: https:  github com OpenSRP opensrp client reveal issues 988_x000D_
Observe how the app crashes and closes </t>
  </si>
  <si>
    <t>opensrp-opensrp-client-reveal-988</t>
  </si>
  <si>
    <t>THAI-The app crashed when one tries to edit the foci boundary RVL-1098</t>
  </si>
  <si>
    <t>Login to the app_x000D_
Long press the boundary_x000D_
Click on one of the circles and try to move it _x000D_
Click save and observe the crash_x000D_
see video below_x000D_
_x000D_
_x000D_
https:  drive google com file d 161Vm2jKA51fvcgsVJyqKh6QhcBL4hhAm view usp sharing</t>
  </si>
  <si>
    <t>material-components-material-components-android-1682</t>
  </si>
  <si>
    <t>TextInputLayout</t>
  </si>
  <si>
    <t>Please have a look at this  I am sick and have fever so can t focus too much    And my deadline is near so I can t either stop working _x000D_
This is my problem that i posted yesterday   _x000D_
_x000D_
https:  stackoverflow com questions 63713583 android material library crashes the app when using a password toggle drawable w</t>
  </si>
  <si>
    <t>TeamNewPipe-NewPipe-4215</t>
  </si>
  <si>
    <t>Limit number of downloads running in parallel</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</si>
  <si>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_x000D_
   _x000D_
When multiple videos are downloaded  More than one video start downloading while the settings are configured to download one video at a time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Only one video should be downloaded _x000D_
_x000D_
    Actual behaviour_x000D_
     Tell us what happens instead     _x000D_
Four videos from the queue start downloading simultaneously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20200903 092931055 (https:  user images githubusercontent com 7726863 92070783 a2479b80 edca 11ea 8038 bbcb84e4b334 jpg)_x000D_
  Screenshot 20200903 092915826 (https:  user images githubusercontent com 7726863 92070809 aecbf400 edca 11ea 84b0 93bbefa46b19 jpg)_x000D_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</si>
  <si>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Anuken-Mindustry-2478</t>
  </si>
  <si>
    <t>Median option in map editor crashes the game</t>
  </si>
  <si>
    <t xml:space="preserve">  Platform  :  Windows _x000D_
_x000D_
  Build  :  9503 _x000D_
_x000D_
  Issue  :  median setting in the map editor crashes the game when added  not even showing the box for it and the map preview is greyed out with a reload symbol  for about a minute until it says its not responding _x000D_
_x000D_
  Steps to reproduce  :  go to map editor  esc   generate   add   median  the game then crashes instantly _x000D_
_x000D_
  Save file  :  never saved it once since it was just me starting ore generation so i dont have a save file _x000D_
_x000D_
  Crash report  :  where do i find these  ill edit in the contents of them after i find them _x000D_
_x000D_
   _x000D_
_x000D_
 Place an X (no spaces) between the brackets to confirm that you have read the line below    _x000D_
   X    I have searched the closed and open issues to make sure that this problem has not already been reported   _x000D_
</t>
  </si>
  <si>
    <t>cgeo-cgeo-8935</t>
  </si>
  <si>
    <t>[Nightly] Crash when tap on Saved Log</t>
  </si>
  <si>
    <t xml:space="preserve">  Describe the bug:  _x000D_
After upgrading to latest nightly I can not open any   Saved Log   anymore  which has been saved with a previous nightly _x000D_
As soon as I tap the displayed log text  c:geo crashes with a NullPointerException   pls  see attached logfile _x000D_
These   Saved Logs   are created with nightlies dated August  21st up to yesterday s nightly _x000D_
If I create a  new    Saved Log   with the current nightly and reopen it  this works _x000D_
_x000D_
  To Reproduce:  _x000D_
1  open any cache with an already offline   Saved Log   (must be from a previous nightly )_x000D_
2  click on the   Saved Log   text to edit it_x000D_
_x000D_
  Actual behavior state after performing these steps:  _x000D_
c:geo immediately crashes and restarts in previously selected cache list _x000D_
_x000D_
Workaround: In order to at least get rid of the non editable   Saved Log    you can use   Select mode   and   Manage Caches        Clear offline logs   to delete it (after uploading it to gc com  of course  ) ) _x000D_
_x000D_
  Version of c:geo used:  _x000D_
2020 09 03 NB 868fddb_x000D_
_x000D_
  Is the problem reproducible:  _x000D_
Yes_x000D_
_x000D_
  System information:  _x000D_
   _x000D_
    System information    _x000D_
Device: VOG L29 (VOG L29EEA  HUAWEI)_x000D_
Android version: 10_x000D_
Android build: VOG L29 10 1 0 140(C431E19R2P5)_x000D_
c:geo version: 2020 09 03 NB 868fddb_x000D_
Google Play services: disabled   20 30 19 (120400 326531024)_x000D_
Low power mode: inactive_x000D_
Compass capabilities: yes_x000D_
Rotation vector sensor: present_x000D_
Orientation sensor: present_x000D_
Magnetometer   Accelerometer sensor: present_x000D_
Direction sensor used: rotation vector_x000D_
Hide caches: own found _x000D_
Hide waypoints: original _x000D_
HW acceleration: enabled (default state)_x000D_
System language: en DE_x000D_
System date format: dd MM y_x000D_
Debug mode active: no_x000D_
System internal c:geo dir:  data user 0 cgeo geocaching (76 2 GB free) internal_x000D_
User storage c:geo dir:  storage emulated 0 cgeo (76 2 GB free) external non removable_x000D_
Geocache data:  storage emulated 0 Android data cgeo geocaching files GeocacheData (76 2 GB free) external non removable_x000D_
Database:  data user 0 cgeo geocaching databases data (286 4 MB) on system internal storage_x000D_
Fine location permission: granted_x000D_
Write external storage permission: granted_x000D_
Geocaching sites enabled:_x000D_
   geocaching com: Logged in (Login OK)   PREMIUM_x000D_
   extremcaching com: Logged in (Login OK)_x000D_
Geocaching com date format: dd MMM yy_x000D_
Installed c:geo plugins: contacts_x000D_
BRouter connection available: true_x000D_
    End of system information    _x000D_
   _x000D_
_x000D_
  Additional context:  _x000D_
Remark: The log file moreover contains an ArrayIndexOutOfBoundsException (dated 08 26)   this was with a previous nightly version and most probably happened while switching from OSM to GM   this happens from time to time  but is not reproducible (yet)   perhaps this helps anyway  so I just left it in the log file _x000D_
_x000D_
 logcat 2020 09 03 02 32 txt (https:  github com cgeo cgeo files 5165509 logcat 2020 09 03 02 32 txt)_x000D_
</t>
  </si>
  <si>
    <t>Anuken-Mindustry-2477</t>
  </si>
  <si>
    <t>Processor's UI overlays</t>
  </si>
  <si>
    <t xml:space="preserve">  Platform  :  Windows _x000D_
_x000D_
  Build  :  bleeding edge build 9501 _x000D_
_x000D_
  Issue  :  Processor s UI overlays _x000D_
_x000D_
  Steps to reproduce  :  Pressed ESC while being in processor sensor settings _x000D_
_x000D_
  Link(s) to mod(s) used  :    image (https:  user images githubusercontent com 22059952 92022402 e3589500 ed63 11ea 8219 7bafef5578b9 png)_x000D_
  image (https:  user images githubusercontent com 22059952 92022448 f4090b00 ed63 11ea 847e 0477862129c2 png) _x000D_
_x000D_
  Save file  :  The save file you were playing on when the bug happened  if applicable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</si>
  <si>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Anuken-Mindustry-2476</t>
  </si>
  <si>
    <t>Attempt to update immediately closes and empties the current game jar, not even making a new one.</t>
  </si>
  <si>
    <t xml:space="preserve">  Platform  :  Android iOS Mac Windows Linux _x000D_
Windows_x000D_
  Build  :  The build number under the title in the main menu  Required  _x000D_
bleeding edge 9495_x000D_
  Issue  :  Explain your issue in detail  _x000D_
Attempting to update to the latest build using the in game button on recent builds will cause the game to close almost immediately  leaving behind the empty jar file(the game jar you were using to update from) _x000D_
  Steps to reproduce  :  How you happened across the issue  and what exactly you did to make the bug happen  _x000D_
1  Try using in game check update button or wait for it to detect the update itself _x000D_
2  If you agree to update  it will start downloading but as soon as the download bar (0 54 MB) shows up  the game closes and leaves behind the empty jar file(the game jar you were using to update from) _x000D_
  Link(s) to mod(s) used  :  The mod repositories or zip files that are related to the issue  if applicable  _x000D_
None_x000D_
  Save file  :  The save file you were playing on when the bug happened  if applicable  _x000D_
N A_x000D_
  Crash report  :  The contents of relevant crash report files  REQUIRED if you are reporting a crash  _x000D_
None_x000D_
   _x000D_
_x000D_
 Place an X (no spaces) between the brackets to confirm that you have read the line below    _x000D_
   X    I have searched the closed and open issues to make sure that this problem has not already been reported   _x000D_
</t>
  </si>
  <si>
    <t>TeamNewPipe-NewPipe-4212</t>
  </si>
  <si>
    <t>Prevention of Duplicate entries in playlist</t>
  </si>
  <si>
    <t xml:space="preserve">Please add an option to not automatically add a particular video link again and again to a playlist of its already there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</si>
  <si>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nextcloud-android-6869</t>
  </si>
  <si>
    <t>Crash on deleting empty password in file share</t>
  </si>
  <si>
    <t xml:space="preserve">    Steps to reproduce_x000D_
1  Open the Details of a shared file_x000D_
2  Switch to  Share _x000D_
3  Open the Menu of the Sharelink with a click on the three dots_x000D_
4  Open die dialog to set a password_x000D_
5  Click delete_x000D_
_x000D_
    Expected behaviour_x000D_
  You should get an error that no password has been set or you should not have the choice to delete it if it does not exist _x000D_
Hi  I had an app crash as i tried to delete an not existing share link password _x000D_
    Actual behaviour_x000D_
  If you haven t set a password before the app crashs  Maybe it trys to delete an not existing string  As far as I can see it throws a NullPointerException at this point _x000D_
_x000D_
    Environment data_x000D_
Android version: 7 0 (SDK 24)_x000D_
_x000D_
Device model: SM G920F_x000D_
_x000D_
Nextcloud app version: 30130090_x000D_
</t>
  </si>
  <si>
    <t>nextcloud-android-6868</t>
  </si>
  <si>
    <t>Nextcloud app uses lots of battery when server is unreachable</t>
  </si>
  <si>
    <t xml:space="preserve">    Steps to reproduce_x000D_
1  Make your Nextcloud server unreachable (loss of connection  crash  etc )_x000D_
2  Let the Android Nextcloud app try to sync_x000D_
3  Watch your battery drain_x000D_
_x000D_
    Expected behaviour_x000D_
  The Nextcloud app should try to sync less and less frequently  using a basic cooldown algorithm such as:_x000D_
    try every 10 seconds 6 times  then_x000D_
    try every 30 seconds 10 times  then_x000D_
    try every minute 5 times  then_x000D_
    try every 5 minute 10 times  then_x000D_
    try every 10 minutes 10 times  etc _x000D_
_x000D_
    Actual behaviour_x000D_
  The Nextcloud app relentlessly tries to contact the server  even when it s evident it s not reachable  keeping the device s CPU awake and using energy in the process  using up the battery _x000D_
_x000D_
    Can you reproduce this problem on https:  try nextcloud com _x000D_
  inapplicable_x000D_
_x000D_
    Environment data_x000D_
Android version: Android 10_x000D_
_x000D_
Device model: Pixel 2_x000D_
_x000D_
Stock or customized system: GrapheneOS QQ3A 200805 001 2020 08 07 01_x000D_
_x000D_
Nextcloud app version: 3 12 1_x000D_
_x000D_
Nextcloud server version: inapplicable_x000D_
_x000D_
Reverse proxy: nginx (inapplicable)_x000D_
_x000D_
    Logs_x000D_
     Web server error log_x000D_
   _x000D_
N A_x000D_
   _x000D_
_x000D_
     Nextcloud log (data nextcloud log)_x000D_
   _x000D_
will add as soon as possible_x000D_
   _x000D_
_x000D_
</t>
  </si>
  <si>
    <t>Anuken-Mindustry-2473</t>
  </si>
  <si>
    <t>Desync with player controller turret's @shooting</t>
  </si>
  <si>
    <t xml:space="preserve">  Platform  : Android 9_x000D_
_x000D_
  Build  : 9494 :o_x000D_
_x000D_
  Issue  :_x000D_
In my 3 player connect 4 game  you essentially need to  sync after every move _x000D_
For some reason the players  shooting desyncs with the server and everyone has a wrong board  waiting on someone else to finish  their  turn _x000D_
_x000D_
May be related to previous issue with turret controlling desync _x000D_
_x000D_
  Steps to reproduce  :_x000D_
1  Join server_x000D_
2  Place schematic_x000D_
3  Try to play without  sync every 3 seconds_x000D_
4   sync_x000D_
5  See that the board is completely different with the last few turns_x000D_
_x000D_
  Schematic file (rename because github is braindead)  :  connect3 txt (https:  github com Anuken Mindustry files 5154395 connect3 txt)_x000D_
_x000D_
_x000D_
  Crash report  :  The contents of relevant crash report files  REQUIRED if you are reporting a crash  _x000D_
_x000D_
   _x000D_
_x000D_
 Place an X (no spaces) between the brackets to confirm that you have read the line below    _x000D_
   X    I have searched the closed and open issues to make sure that this problem has not already been reported   _x000D_
</t>
  </si>
  <si>
    <t>SanojPunchihewa-InAppUpdater-62</t>
  </si>
  <si>
    <t>[BUG] I've got NPE report from firebase</t>
  </si>
  <si>
    <t xml:space="preserve">  Describe the bug  _x000D_
i ve used this repo 1 0 5 alpha 1  reported NPE from firebase crashlytics _x000D_
_x000D_
  To Reproduce  _x000D_
Sorry  i can t reproduce it _x000D_
_x000D_
_x000D_
  Screenshots  _x000D_
  image (https:  user images githubusercontent com 4989674 91783793 32a3a600 ec3c 11ea 8303 53c006c6ec48 png)_x000D_
_x000D_
_x000D_
  Desktop (please complete the following information):  _x000D_
   OS: android 9  galaxyS8_x000D_
_x000D_
  Additional context  _x000D_
None_x000D_
</t>
  </si>
  <si>
    <t>Anuken-Mindustry-2470</t>
  </si>
  <si>
    <t>Crash with mods</t>
  </si>
  <si>
    <t xml:space="preserve">  Platform  :  Android 
  Build  :  9488  
  Issue  :  when you place a turet in the floor  the game crashes  
  Steps to reproduce  :  download the mod  and place a turret in the floor (:
(open the  zip and remove all items that aren t working  
  Link(s) to mod(s) used  :  eyeofdarkness advancecontent 
  Save file  :  nothing here (:   
  Crash report  :  
I cant upload the file  so here s the text
  NullPointer:  Attempt to invoke virtual method  void mindustry gen Building placed()  on a null object reference 
BuildBlock constructed: 100
BuildBlock BuildEntity construct: 217
BuilderMinerUnit update: 1024
   Lambda YLG6AvmE6BBi QxdrWn0CEMuwAo get:  1
EntityGroup each: 66
EntityGroup update: 57
Groups update: 52
Logic update: 377
ApplicationCore update: 36
ClientLauncher update: 151
AndroidGraphics onDrawFrame: 424
GLSurfaceView GLThread guardedRun: 1548
GLSurfaceView GLThread run: 1259
 Place an X (no spaces) between the brackets to confirm that you have read the line below    
   x    I have searched the closed and open issues to make sure that this problem has not already been reported   
</t>
  </si>
  <si>
    <t>joshrap67-LiteWeight-30</t>
  </si>
  <si>
    <t>Timer Finished Notification Bug</t>
  </si>
  <si>
    <t xml:space="preserve">Steps to reproduce (on in progress v2 version of the app):_x000D_
1  Run timer to completion while not on the active workout fragment (i e  so notification is shown) _x000D_
2  Terminate the app _x000D_
3  Click the notification  The app will crash since it is trying to start the workout activity and bypasses the splash activity where the data from the DB is fetched </t>
  </si>
  <si>
    <t>oliexdev-openScale-619</t>
  </si>
  <si>
    <t>crash during initial setup</t>
  </si>
  <si>
    <t xml:space="preserve">Hi there  The app crashed while going through the first time startup menu thingies  It asked me to post the crash log here to help the app so here they are  It didnt list my bluetooth scale so i skipped that step and soon after it crashed _x000D_
_x000D_
   _x000D_
Build version: 2 3 1 _x000D_
Build date: 1979 11 30 01:00:00 _x000D_
Current date: 2020 08 30 22:36:40 _x000D_
Device: Fairphone FP3 _x000D_
 _x000D_
Stack trace:  _x000D_
java lang NullPointerException: Attempt to invoke virtual method  android content res Resources android content Context getResources()  on a null object reference_x000D_
	at android view ViewConfiguration get(ViewConfiguration java:447)_x000D_
	at android view View  init (View java:4806)_x000D_
	at android view View  init (View java:4948)_x000D_
	at android view ViewGroup  init (ViewGroup java:659)_x000D_
	at android widget LinearLayout  init (LinearLayout java:244)_x000D_
	at android widget LinearLayout  init (LinearLayout java:240)_x000D_
	at android widget LinearLayout  init (LinearLayout java:236)_x000D_
	at android widget LinearLayout  init (LinearLayout java:232)_x000D_
	at com health openscale gui preferences BluetoothSettingsFragment BluetoothDeviceView  init (BluetoothSettingsFragment java:264)_x000D_
	at com health openscale gui preferences BluetoothSettingsFragment onDeviceFound(BluetoothSettingsFragment java:191)_x000D_
	at com health openscale gui preferences BluetoothSettingsFragment access 000(BluetoothSettingsFragment java:69)_x000D_
	at com health openscale gui preferences BluetoothSettingsFragment 1 onDiscoveredPeripheral(BluetoothSettingsFragment java:129)_x000D_
	at com welie blessed BluetoothCentral 2 1 run(BluetoothCentral java:170)_x000D_
	at android os Handler handleCallback(Handler java:873)_x000D_
	at android os Handler dispatchMessage(Handler java:99)_x000D_
	at android os Looper loop(Looper java:193)_x000D_
	at android app ActivityThread main(ActivityThread java:6746)_x000D_
	at java lang reflect Method invoke(Native Method)_x000D_
	at com android internal os RuntimeInit MethodAndArgsCaller run(RuntimeInit java:493)_x000D_
	at com android internal os ZygoteInit main(ZygoteInit java:858)_x000D_
_x000D_
   </t>
  </si>
  <si>
    <t>nextcloud-android-6853</t>
  </si>
  <si>
    <t>App crashes when creating password for shared folder via link</t>
  </si>
  <si>
    <t xml:space="preserve">    Steps to reproduce_x000D_
1  Share a folder via link_x000D_
2  Add a password_x000D_
3  App crashes_x000D_
_x000D_
    Expected behaviour_x000D_
  App should not crash_x000D_
_x000D_
    Actual behaviour_x000D_
  App crashes_x000D_
_x000D_
    Environment data_x000D_
_x000D_
    Logs_x000D_
                CAUSE OF ERROR             _x000D_
_x000D_
java lang NullPointerException: Attempt to invoke virtual method  long com owncloud android lib resources shares OCShare getId()  on a null object reference_x000D_
	at com owncloud android ui helpers FileOperationsHelper setPasswordToPublicShare(FileOperationsHelper java:592)_x000D_
	at com owncloud android ui dialog SharePasswordDialogFragment setPassword(SharePasswordDialogFragment java:198)_x000D_
	at com owncloud android ui dialog SharePasswordDialogFragment onClick(SharePasswordDialogFragment java:175)_x000D_
	at androidx appcompat app AlertController ButtonHandler handleMessage(AlertController java:167)_x000D_
	at android os Handler dispatchMessage(Unknown Source:19)_x000D_
	at android os Looper loop(Unknown Source:242)_x000D_
	at android app ActivityThread main(Unknown Source:98)_x000D_
	at java lang reflect Method invoke(Native Method)_x000D_
	at com android internal os RuntimeInit MethodAndArgsCaller run(Unknown Source:11)_x000D_
	at com android internal os ZygoteInit main(Unknown Source:275)_x000D_
_x000D_
             APP INFORMATION             _x000D_
ID: com nextcloud client_x000D_
Version: 30130090_x000D_
Build flavor: gplay_x000D_
_x000D_
             DEVICE INFORMATION             _x000D_
Brand: Xiaomi_x000D_
Device: beryllium_x000D_
Model: POCOPHONE F1_x000D_
Id: QKQ1 190828 002_x000D_
Product: beryllium_x000D_
_x000D_
             FIRMWARE             _x000D_
SDK: 29_x000D_
Release: 10_x000D_
Incremental: V12 0 0 3 QEJMIXM_x000D_
_x000D_
  NOTE:   Be super sure to remove sensitive data like passwords  note that everybody can look here  You can use the Issue Template application to prefill some of the required information: https:  apps nextcloud com apps issuetemplate_x000D_
</t>
  </si>
  <si>
    <t>Anuken-Mindustry-2468</t>
  </si>
  <si>
    <t>Light does'nt blink before death</t>
  </si>
  <si>
    <t xml:space="preserve">  Platform  :  Windows (i think it s on all platform) _x000D_
_x000D_
  Build  :  104 6 _x000D_
_x000D_
  Issue  :  the player light doesn t blinks at the last step before death _x000D_
_x000D_
  Steps to reproduce  :  Join a pvp map or survival and take damage from another player entity  the last shoot you recevied before your death the light from your player doesn t blinks  Link to the video : https:  ethandudu tk light mind mkv _x000D_
_x000D_
  Link to mod(s) used  if applicable  :  No mod  _x000D_
_x000D_
_x000D_
  Crash report  if applicable  :   No crash  _x000D_
_x000D_
I m sorry if it s not understandable  i m a french player _x000D_
   _x000D_
_x000D_
 Place an X (no spaces) between the brackets to confirm that you have read the line below    _x000D_
   X    I have searched the closed and open issues to make sure that this problem has not already been reported   _x000D_
</t>
  </si>
  <si>
    <t>material-components-material-components-android-1665</t>
  </si>
  <si>
    <t>[ProgressIndicator] java.lang.StackOverflowError</t>
  </si>
  <si>
    <t xml:space="preserve">  Description:   App crashes randomly and I get this exception trace  this does not happen when using normal ProgressBar_x000D_
   _x000D_
com eliutimana medicamentos E AndroidRuntime: FATAL EXCEPTION: main_x000D_
    Process: com eliutimana medicamentos  PID: 20661_x000D_
    java lang StackOverflowError: stack size 8MB_x000D_
        at com google android material progressindicator DrawableWithAnimatedVisibilityChange hideNow(DrawableWithAnimatedVisibilityChange java:191)_x000D_
        at com google android material progressindicator IndeterminateDrawable hideNow(IndeterminateDrawable java:30)_x000D_
        at com google android material progressindicator ProgressIndicator setIndeterminate(ProgressIndicator java:627)_x000D_
        at com google android material progressindicator ProgressIndicator 2 onAnimationEnd(ProgressIndicator java:990)_x000D_
        at com google android material progressindicator CircularIndeterminateAnimatorDelegate 2 onAnimationEnd(CircularIndeterminateAnimatorDelegate java:109)_x000D_
        at android animation AnimatorSet cancel(AnimatorSet java:340)_x000D_
        at com google android material progressindicator CircularIndeterminateAnimatorDelegate cancelAnimatorImmediately(CircularIndeterminateAnimatorDelegate java:149)_x000D_
        at com google android material progressindicator IndeterminateDrawable setVisible(IndeterminateDrawable java:68)_x000D_
        at com google android material progressindicator DrawableWithAnimatedVisibilityChange hideNow(DrawableWithAnimatedVisibilityChange java:191)_x000D_
        at com google android material progressindicator IndeterminateDrawable hideNow(IndeterminateDrawable java:30)_x000D_
        at com google android material progressindicator ProgressIndicator setIndeterminate(ProgressIndicator java:627)_x000D_
        at com google android material progressindicator ProgressIndicator 2 onAnimationEnd(ProgressIndicator java:990)_x000D_
        at com google android material progressindicator CircularIndeterminateAnimatorDelegate 2 onAnimationEnd(CircularIndeterminateAnimatorDelegate java:109)_x000D_
        at android animation AnimatorSet cancel(AnimatorSet java:340)_x000D_
        at com google android material progressindicator CircularIndeterminateAnimatorDelegate cancelAnimatorImmediately(CircularIndeterminateAnimatorDelegate java:149)_x000D_
        at com google android material progressindicator IndeterminateDrawable setVisible(IndeterminateDrawable java:68)_x000D_
        at com google android material progressindicator DrawableWithAnimatedVisibilityChange hideNow(DrawableWithAnimatedVisibilityChange java:191)_x000D_
        at com google android material progressindicator IndeterminateDrawable hideNow(IndeterminateDrawable java:30)_x000D_
        at com google android material progressindicator ProgressIndicator setIndeterminate(ProgressIndicator java:627)_x000D_
        at com google android material progressindicator ProgressIndicator 2 onAnimationEnd(ProgressIndicator java:990)_x000D_
        at com google android material progressindicator CircularIndeterminateAnimatorDelegate 2 onAnimationEnd(CircularIndeterminateAnimatorDelegate java:109)_x000D_
        at android animation AnimatorSet cancel(AnimatorSet java:340)_x000D_
        at com google android material progressindicator CircularIndeterminateAnimatorDelegate cancelAnimatorImmediately(CircularIndeterminateAnimatorDelegate java:149)_x000D_
        at com google android material progressindicator IndeterminateDrawable setVisible(IndeterminateDrawable java:68)_x000D_
        at com google android material progressindicator DrawableWithAnimatedVisibilityChange hideNow(DrawableWithAnimatedVisibilityChange java:191)_x000D_
        at com google android material progressindicator IndeterminateDrawable hideNow(IndeterminateDrawable java:30)_x000D_
        at com google android material progressindicator ProgressIndicator setIndeterminate(ProgressIndicator java:627)_x000D_
        at com google android material progressindicator ProgressIndicator 2 onAnimationEnd(ProgressIndicator java:990)_x000D_
        at com google android material progressindicator CircularIndeterminateAnimatorDelegate 2 onAnimationEnd(CircularIndeterminateAnimatorDelegate java:109)_x000D_
        at android animation AnimatorSet cancel(AnimatorSet java:340)_x000D_
        at com google android material progressindicator CircularIndeterminateAnimatorDelegate cancelAnimatorImmediately(CircularIndeterminateAnimatorDelegate java:149)_x000D_
        at com google android material progressindicator IndeterminateDrawable setVisible(IndeterminateDrawable java:68)_x000D_
    	at com google android material progressindicator DrawableW_x000D_
com eliutimana medicamentos E JavaBinder:     FAILED BINDER TRANSACTION    _x000D_
com eliutimana medicamentos E AndroidRuntime: Error reporting crash_x000D_
    android os TransactionTooLargeException_x000D_
        at android os BinderProxy transactNative(Native Method)_x000D_
        at android os BinderProxy transact(Binder java:504)_x000D_
        at android app ActivityManagerProxy handleApplicationCrash(ActivityManagerNative java:4294)_x000D_
        at com android internal os RuntimeInit UncaughtHandler uncaughtException(RuntimeInit java:89)_x000D_
        at org chromium base JavaExceptionReporter uncaughtException(chromium SystemWebViewGoogle aab stable 1:6)_x000D_
        at java lang ThreadGroup uncaughtException(ThreadGroup java:693)_x000D_
        at java lang ThreadGroup uncaughtException(ThreadGroup java:690)_x000D_
_x000D_
   _x000D_
  Expected behavior:   Progress Indicator should work without errors_x000D_
_x000D_
  Source code:   _x000D_
   _x000D_
  xml version  1 0  encoding  utf 8   _x000D_
 layout xmlns:android  http:  schemas android com apk res android _x000D_
    xmlns:app  http:  schemas android com apk res auto _x000D_
    xmlns:tools  http:  schemas android com tools  _x000D_
_x000D_
     data _x000D_
_x000D_
         variable_x000D_
            name  viewModel _x000D_
            type  com eliutimana medicamentos ui main MainViewModel    _x000D_
      data _x000D_
_x000D_
     LinearLayout_x000D_
        android:layout width  match parent _x000D_
        android:layout height  match parent _x000D_
        android:orientation  vertical  _x000D_
_x000D_
         androidx constraintlayout widget ConstraintLayout_x000D_
            android:layout width  match parent _x000D_
            android:layout height  match parent _x000D_
            android:orientation  vertical  _x000D_
_x000D_
             androidx recyclerview widget RecyclerView_x000D_
                android:id    id recyclerView suggestions _x000D_
                android:layout width  match parent _x000D_
                android:layout height  match parent _x000D_
                android:clipToPadding  false _x000D_
                android:paddingTop  8dp _x000D_
                android:paddingBottom  8dp _x000D_
                app:items    viewModel autocompleteItems  _x000D_
                app:layoutManager  androidx recyclerview widget LinearLayoutManager _x000D_
                app:status    viewModel status  _x000D_
                tools:listitem   layout item history    _x000D_
_x000D_
             com google android material progressindicator ProgressIndicator_x000D_
                android:id    id progressBar _x000D_
                style   style Widget MaterialComponents ProgressIndicator Circular Indeterminate _x000D_
                android:layout width  wrap content _x000D_
                android:layout height  wrap content _x000D_
                app:layout constraintBottom toBottomOf  parent _x000D_
                app:layout constraintEnd toEndOf  parent _x000D_
                app:layout constraintHorizontal bias  0 5 _x000D_
                app:layout constraintStart toStartOf  parent _x000D_
                app:layout constraintTop toTopOf  parent    _x000D_
_x000D_
             TextView_x000D_
                android:id    id textViewLoading _x000D_
                android:layout width  wrap content _x000D_
                android:layout height  wrap content _x000D_
                android:layout marginTop  8dp _x000D_
                android:text   string loading _x000D_
                app:layout constraintEnd toEndOf  parent _x000D_
                app:layout constraintHorizontal bias  0 5 _x000D_
                app:layout constraintStart toStartOf  parent _x000D_
                app:layout constraintTop toBottomOf    id progressBar    _x000D_
_x000D_
             ImageView_x000D_
                android:id    id imageView _x000D_
                android:layout width  120dp _x000D_
                android:layout height  120dp _x000D_
                android:contentDescription   string medicine cabinet with magnifying glass _x000D_
                app:layout constraintBottom toTopOf    id textView _x000D_
                app:layout constraintEnd toEndOf  parent _x000D_
                app:layout constraintHorizontal bias  0 5 _x000D_
                app:layout constraintStart toStartOf  parent _x000D_
                app:layout constraintTop toTopOf  parent _x000D_
                app:layout constraintVertical chainStyle  packed _x000D_
                app:status    viewModel status  _x000D_
                tools:srcCompat   drawable ic search property    _x000D_
_x000D_
             TextView_x000D_
                android:id    id textView _x000D_
                android:layout width  0dp _x000D_
                android:layout height  wrap content _x000D_
                android:layout marginStart  32dp _x000D_
                android:layout marginTop  16dp _x000D_
                android:layout marginEnd  32dp _x000D_
                android:textAlignment  center _x000D_
                android:textAppearance   style TextAppearance MaterialComponents Subtitle1 _x000D_
                app:layout constraintBottom toBottomOf  parent _x000D_
                app:layout constraintEnd toEndOf  parent _x000D_
                app:layout constraintHorizontal bias  0 5 _x000D_
                app:layout constraintStart toStartOf  parent _x000D_
                app:layout constraintTop toBottomOf    id imageView _x000D_
                app:status    viewModel status  _x000D_
                tools:text   string enter medicine name or active ingredient    _x000D_
_x000D_
             Button_x000D_
                android:id    id button retry _x000D_
                style   attr materialButtonOutlinedStyle _x000D_
                android:layout width  wrap content _x000D_
                android:layout height  wrap content _x000D_
                android:layout marginTop  8dp _x000D_
                android:text   string retry _x000D_
                app:layout constraintEnd toEndOf    id imageView _x000D_
                app:layout constraintStart toStartOf    id imageView _x000D_
                app:layout constraintTop toBottomOf    id textView _x000D_
                app:status    viewModel status     _x000D_
          androidx constraintlayout widget ConstraintLayout _x000D_
      LinearLayout _x000D_
  layout _x000D_
   _x000D_
_x000D_
   _x000D_
  fragment kt_x000D_
_x000D_
viewModel status observe(viewLifecycleOwner   _x000D_
    binding progressBar apply  _x000D_
        if (it    MainViewModel MainViewStatus LOADING)  _x000D_
            show()_x000D_
          else  _x000D_
            hide()_x000D_
         _x000D_
     _x000D_
    binding textViewLoading isVisible   it    MainViewModel MainViewStatus LOADING_x000D_
 )_x000D_
   _x000D_
  Android API version:   21 _x000D_
_x000D_
  Material Library version:   1 3 0 alpha02_x000D_
_x000D_
  Device:   BLU STUDIO ONE PLUS   Android 5 1 (i was not able to reproduce in an emulator)_x000D_
</t>
  </si>
  <si>
    <t>VaishnaviShri-ClothesPile-1</t>
  </si>
  <si>
    <t>Edit list option not working</t>
  </si>
  <si>
    <t xml:space="preserve">App crashes when the clothes list is edited </t>
  </si>
  <si>
    <t>Anuken-Mindustry-2460</t>
  </si>
  <si>
    <t>server crash with logic processors</t>
  </si>
  <si>
    <t xml:space="preserve">  Platform  : Android 9_x000D_
_x000D_
  Build  : 9475_x000D_
_x000D_
  Issue  : Server can be crashed with a single instruction in a processor _x000D_
_x000D_
  Steps to reproduce  : _x000D_
The equivalent of  end  using  set  and a certain builtin variable _x000D_
If that s not clear enough ask for the actual instruction _x000D_
_x000D_
  Crash report  if applicable  : _x000D_
 crash 1598714019349 txt (https:  github com Anuken Mindustry files 5145433 crash 1598714019349 txt)_x000D_
_x000D_
   _x000D_
_x000D_
 Place an X (no spaces) between the brackets to confirm that you have read the line below    _x000D_
   X    I have searched the closed and open issues to make sure that this problem has not already been reported   _x000D_
</t>
  </si>
  <si>
    <t>Anuken-Mindustry-2458</t>
  </si>
  <si>
    <t>Tech tree stuck</t>
  </si>
  <si>
    <t xml:space="preserve">  Platform  : Android_x000D_
_x000D_
  Build  : Pre alpha 9475_x000D_
_x000D_
  Issue  : When player is on tech tree mode  after zooming out from tech tree and slides too fast  the tech tree stuck and can not be slide anymore  Relogin does fixed it_x000D_
_x000D_
  Steps to reproduce  : tech tree_x000D_
_x000D_
  Link to mod(s) used  if applicable  : None_x000D_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</si>
  <si>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Anuken-Mindustry-2456</t>
  </si>
  <si>
    <t>when the fuse trys to shoot, the game crashes and when i open the save it also crashes</t>
  </si>
  <si>
    <t>Platform: Windows_x000D_
_x000D_
Build: 9475_x000D_
_x000D_
Issue: I went near the fuse(the turret that has short range and uses graphite as ammo) and then the game crashed and I think it has something to do with the new generated bullet_x000D_
_x000D_
Steps to reproduce: Simple  Just get a fuse and graphite for ammunition make it an emeny and then let the fuse shoot at you  if it don t crash then I ll put the map download_x000D_
_x000D_
No mods were used_x000D_
_x000D_
Crash log:_x000D_
java lang NullPointerException_x000D_
	at mindustry world blocks defense turrets Turret TurretBuild updateShooting(Turret java:351)_x000D_
	at mindustry world blocks defense turrets Turret TurretBuild updateTile(Turret java:263)_x000D_
	at mindustry gen Building update(Building java:1033)_x000D_
	at mindustry entities EntityGroup  Lambda 1363 1706272858 get(Unknown Source)_x000D_
	at mindustry entities EntityGroup each(EntityGroup java:66)_x000D_
	at mindustry entities EntityGroup update(EntityGroup java:57)_x000D_
	at mindustry gen Groups update(Groups java:52)_x000D_
	at mindustry core Logic update(Logic java:377)_x000D_
	at arc ApplicationCore update(ApplicationCore java:36)_x000D_
	at mindustry ClientLauncher update(ClientLauncher java:151)_x000D_
	at arc backend sdl SdlApplication  Lambda 216 1436664465 get(Unknown Source)_x000D_
	at arc backend sdl SdlApplication listen(SdlApplication java:170)_x000D_
	at arc backend sdl SdlApplication loop(SdlApplication java:158)_x000D_
	at arc backend sdl SdlApplication  init (SdlApplication java:52)_x000D_
	at mindustry desktop DesktopLauncher main(DesktopLauncher java:36)_x000D_
_x000D_
_x000D_
 x x _x000D_
BTW I was using the BE Mindustry v6 bleeding edge build 9475</t>
  </si>
  <si>
    <t>cgeo-cgeo-8901</t>
  </si>
  <si>
    <t>Map crashes on aborting "load individual route"</t>
  </si>
  <si>
    <t xml:space="preserve">  Describe the bug:  _x000D_
Map crashes when you abort file selection for loading an individual route _x000D_
_x000D_
  To Reproduce:  _x000D_
1  Open  google map  (haven t tried OSM yet  but should be the same)_x000D_
2  Select  Individual route     load individual route _x000D_
3  Abort file selection by pressing the left arrow_x000D_
_x000D_
  Actual behavior state after performing these steps:  _x000D_
Map crashes  you re back in mainscreen_x000D_
_x000D_
  Expected behavior state after performing these steps:  _x000D_
Stay in map  no error_x000D_
_x000D_
  Version of c:geo used:  _x000D_
Current master_x000D_
_x000D_
  Is the problem reproducible:  _x000D_
Yes</t>
  </si>
  <si>
    <t>TeamNewPipe-NewPipe-4201</t>
  </si>
  <si>
    <t>newpipe can't load any youtube link and show no result for any search</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</si>
  <si>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to      _x000D_
2  Press on       _x000D_
3  Swipe down to       _x000D_
   _x000D_
1  I search for anything in newpipe and there is no result with a  sorry some error occurred  message _x000D_
2  If I open any youtube link in newpipe it can t load the page and info _x000D_
_x000D_
     If you can t cause the bug to show up again reliably (and hence don t have a proper set of steps to give us)  please still try to give as many details as possible on how you think you encountered the bug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Exception_x000D_
    User Action:   searched_x000D_
    Request:   swaywm_x000D_
    Content Country:   US_x000D_
    Content Language:   en US_x000D_
    App Language:   en US_x000D_
    Service:   YouTube_x000D_
    Version:   0 19 8_x000D_
    OS:   Linux samsung a6pltedx a6plte:10 QP1A 190711 020 A605GDXU6CTC9:user release keys 10   29_x000D_
 details  summary  b Crash log   b   summary  p _x000D_
_x000D_
   _x000D_
org schabi newpipe extractor exceptions ParsingException: Could not get ytInitialData_x000D_
	at org schabi newpipe extractor services youtube YoutubeParsingHelper getInitialData(YoutubeParsingHelper java:203)_x000D_
	at org schabi newpipe extractor services youtube YoutubeParsingHelper extractClientVersionAndKey(YoutubeParsingHelper java:222)_x000D_
	at org schabi newpipe extractor services youtube YoutubeParsingHelper getKey(YoutubeParsingHelper java:298)_x000D_
	at org schabi newpipe extractor services youtube extractors YoutubeSearchExtractor getNewNextPageFrom(YoutubeSearchExtractor java:233)_x000D_
	at org schabi newpipe extractor services youtube extractors YoutubeSearchExtractor getInitialPage(YoutubeSearchExtractor java:127)_x000D_
	at org schabi newpipe extractor utils ExtractorHelper getItemsPageOrLogError(ExtractorHelper java:19)_x000D_
	at org schabi newpipe extractor search SearchInfo getInfo(SearchInfo java:55)_x000D_
	at org schabi newpipe extractor search SearchInfo getInfo(SearchInfo java:30)_x000D_
	at org schabi newpipe util ExtractorHelper lambda searchFor 0(ExtractorHelper java:81)_x000D_
	at org schabi newpipe util    Lambda ExtractorHelper BBduYDeZ vXMQYaemaggmTPtqvA call(Unknown Source:8)_x000D_
	at io reactivex internal operators single SingleFromCallable subscribeActual(SingleFromCallable java:44)_x000D_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window   ytInitialData    s   s (       ) _x000D_
	at org schabi newpipe extractor utils Parser matchGroup(Parser java:72)_x000D_
	at org schabi newpipe extractor utils Parser matchGroup(Parser java:61)_x000D_
	at org schabi newpipe extractor utils Parser matchGroup1(Parser java:52)_x000D_
	at org schabi newpipe extractor services youtube YoutubeParsingHelper getInitialData(YoutubeParsingHelper java:200)_x000D_
	    20 more_x000D_
_x000D_
   _x000D_
  details _x000D_
 hr _x000D_
_x000D_
_x000D_
     That s right  here     _x000D_
</t>
  </si>
  <si>
    <t>Caceresenzo-My-IUT-Schedule-2</t>
  </si>
  <si>
    <t>Application crash when trying to change user but having no calendar currently available</t>
  </si>
  <si>
    <t xml:space="preserve">If the user try to reset the student id  the application crash because of a  NullPointerException  on  calendar getName()  </t>
  </si>
  <si>
    <t>Anuken-Mindustry-2450</t>
  </si>
  <si>
    <t>Modded turret crash oh no</t>
  </si>
  <si>
    <t xml:space="preserve">  Platform  :  Android _x000D_
_x000D_
  Build  :  The build number under the title in the main menu  Required   9468_x000D_
_x000D_
  Issue  :  Explain your issue in detail   While porting my mod to 6 0  I wanted to test how modded turrets will work  but    they don t work  moreover  they crash the whole game _x000D_
 I know that the game s whole source code had changed  but I don t think this should happen with  health  field  If this is not an in game bug  please tell me how to fix this myself  _x000D_
_x000D_
  Steps to reproduce  :  How you happened across the issue  and what you were doing at the time   Just attempt to build the Gold Meltdown or similar modded turret  Link to a mod is below _x000D_
_x000D_
  Link to mod(s) used  if applicable  :  The mod repositories or zip files that are related to the issue   https:  github com TheSlaylord GoldMod tree mindustry v6_x000D_
_x000D_
  Crash report  if applicable  :  The contents of relevant crash report files   _x000D_
   _x000D_
  NullPointer:  Attempt to write to field  float mindustry gen Building health  on a null object reference _x000D_
BuildBlock constructFinish: 64_x000D_
Call constructFinish: 242_x000D_
BuildBlock constructed: 99_x000D_
BuildBlock BuildEntity construct: 217_x000D_
BuilderMinerPayloadUnit update: 1020_x000D_
   Lambda YLG6AvmE6BBi QxdrWn0CEMuwAo get: 2_x000D_
EntityGroup each: 66_x000D_
EntityGroup update: 57_x000D_
Groups update: 52_x000D_
Logic update: 377_x000D_
ApplicationCore update: 36_x000D_
ClientLauncher update: 151_x000D_
AndroidGraphics onDrawFrame: 424_x000D_
GLSurfaceView GLThread guardedRun: 1582_x000D_
GLSurfaceView GLThread run: 1281_x000D_
   _x000D_
_x000D_
   _x000D_
_x000D_
 Place an X (no spaces) between the brackets to confirm that you have read the line below    _x000D_
   X    I have searched the closed and open issues to make sure that this problem has not already been reported   _x000D_
</t>
  </si>
  <si>
    <t>inaturalist-iNaturalistAndroid-894</t>
  </si>
  <si>
    <t>NullPointerException in MessagesActivity.onActivityResult</t>
  </si>
  <si>
    <t xml:space="preserve">https:  console firebase google com u 2 project inaturalist ios crashlytics app android:org inaturalist android issues 2966ac6c729603fe447b44483dd45cd6_x000D_
_x000D_
   _x000D_
Caused by java lang NullPointerException: Attempt to invoke virtual method  java lang Object java util ArrayList get(int)  on a null object reference_x000D_
       at org inaturalist android MessagesActivity onActivityResult(MessagesActivity java:263)_x000D_
       at android app Activity dispatchActivityResult(Activity java:8294)_x000D_
       at android app ActivityThread deliverResults(ActivityThread java:5335)_x000D_
       at android app ActivityThread handleSendResult(ActivityThread java:5383)_x000D_
       at android app servertransaction ActivityResultItem execute(ActivityResultItem java:51)_x000D_
       at android app servertransaction TransactionExecutor executeCallbacks(TransactionExecutor java:135)_x000D_
   </t>
  </si>
  <si>
    <t>Anuken-Mindustry-2449</t>
  </si>
  <si>
    <t>Visual bug with mech related blocks</t>
  </si>
  <si>
    <t xml:space="preserve">  Platform  :  Windows (probably all other versions  I don t have all to test them) _x000D_
_x000D_
  Build  :  bleeding edge 9468 _x000D_
_x000D_
  Issue  :  All mech production and distribution texture looks shifted one tile up and one tile right _x000D_
_x000D_
  Steps to reproduce  :  just create a map  open editor and place some mech related blocks _x000D_
_x000D_
  Link to mod(s) used  if applicable  :  Total vanilla _x000D_
_x000D_
  Crash report  if applicable  :  Any crash _x000D_
_x000D_
   _x000D_
_x000D_
 Place an X (no spaces) between the brackets to confirm that you have read the line below    _x000D_
   X    I have searched the closed and open issues to make sure that this problem has not already been reported   _x000D_
_x000D_
_x000D_
  image (https:  user images githubusercontent com 62845905 91593242 31b9fe00 e936 11ea 9c2a 8c967e34e1d2 png)_x000D_
</t>
  </si>
  <si>
    <t>Anuken-Mindustry-2446</t>
  </si>
  <si>
    <t>indistructable menders</t>
  </si>
  <si>
    <t xml:space="preserve">  Platform  :  Android iOS Mac Windows Linux  windows_x000D_
_x000D_
  Build  :  The build number under the title in the main menu  Required   BE 9468_x000D_
_x000D_
Issue  Indestructible menders_x000D_
_x000D_
reproduction  campaign sector 36 has indistructable menders_x000D_
_x000D_
mods  none used at time  had been using https:  github com TheTerrarian101 OP EX Mindustry Mod on a dfferent sector  then unloaded mod when moving sectors_x000D_
_x000D_
crash report  na_x000D_
_x000D_
   x    I have searched the closed and open issues to make sure that this problem has not already been reported  _x000D_
</t>
  </si>
  <si>
    <t>MuntashirAkon-AppManager-82</t>
  </si>
  <si>
    <t>Restore fails for apps that use Android KeyStore</t>
  </si>
  <si>
    <t xml:space="preserve">Android  KeyStore (https:  cs android com android platform superproject   master:frameworks base keystore java android security KeyStore java bpv 0 bpt 0) can be used by an app to store valuable keys and is actively used by apps like Signal (and it s derivatives) and andOTP   Restoring the app data of these apps fails and may result in crash because of this  I m still not sure if there is a way out of this other than notifying users that the app cannot be backed up as it uses Android KeyStore _x000D_
_x000D_
If there is any way to iterate over the keys stored for an app (we can always   run as   the app using the  su    uid   command)  the problem could be solved by backing up the unencrypted keys and restoring them again as needed </t>
  </si>
  <si>
    <t>opensrp-opensrp-client-reveal-955</t>
  </si>
  <si>
    <t>THAI- The app crashes when one uses the filters and switches from map view to list view</t>
  </si>
  <si>
    <t>Login to the Thai apk  5 2 2_x000D_
Go to filters  slect a few and observe them on map view  Then switch to List view and observe the app crashing _x000D_
See the video below _x000D_
https:  drive google com file d 1p0xIQYg8TNavPSRuW7CUX V3UBdPd5RM view usp sharing</t>
  </si>
  <si>
    <t>woesss-JL-Mod-10</t>
  </si>
  <si>
    <t>Crashes observed with latest build</t>
  </si>
  <si>
    <t xml:space="preserve">  Emulator version:  _x000D_
JLMod b073 MC b097 apk_x000D_
_x000D_
_x000D_
  Game version:  _x000D_
Devil May Cry 3D v1 0 1_x000D_
_x000D_
  Game resolution:  _x000D_
  (For example  240x320 or 640x360)  _x000D_
240x320_x000D_
_x000D_
  Device:  _x000D_
  (For example  Samsung Galaxy S7)  _x000D_
Xiaomi MI9T Pro_x000D_
_x000D_
  Android version:  _x000D_
Android 10_x000D_
_x000D_
  Description of the issue:  _x000D_
  (What s the problem    Screenshots showing the issue if applicable)  _x000D_
The game crashes within few seconds after starting any random level  The crash was not observed with the previous version _x000D_
</t>
  </si>
  <si>
    <t>dimagi-commcare-android-2332</t>
  </si>
  <si>
    <t>Use BuildConfig to get version name</t>
  </si>
  <si>
    <t xml:space="preserve">An attempt to fix  CL (https:  console firebase google com u 0 project commcare a57e4 crashlytics app android:org commcare dalvik issues 83958493f023c2da3597b9bb4062c106 time last seven days sessionId 5F47CF1A036100013C3F576B7F9BE6C8 DNE 0 v2)_x000D_
_x000D_
StackTrace: _x000D_
   _x000D_
Caused by java lang ArrayIndexOutOfBoundsException: length 1  index 1_x000D_
       at org commcare heartbeat ApkVersion  init (ApkVersion java:14)_x000D_
       at org commcare AppUtils notOnLatestCCVersion(AppUtils java:192)_x000D_
       at org commcare activities PromptApkUpdateActivity isUpdateComplete(PromptApkUpdateActivity java:183)_x000D_
       at org commcare activities PromptApkUpdateActivity onActivityResult(PromptApkUpdateActivity java:126)_x000D_
       at android app Activity dispatchActivityResult(Activity java:7393)_x000D_
       at android app ActivityThread deliverResults(ActivityThread java:4560)_x000D_
       at android app ActivityThread handleSendResult(ActivityThread java:4608)_x000D_
       at android app ActivityThread  wrap19(ActivityThread java)_x000D_
       at android app ActivityThread H handleMessage(ActivityThread java:1832)_x000D_
       at android os Handler dispatchMessage(Handler java:106)_x000D_
       at android os Looper loop(Looper java:166)_x000D_
       at android app ActivityThread main(ActivityThread java:6861)_x000D_
       at java lang reflect Method invoke(Method java)_x000D_
       at com android internal os RuntimeInit MethodAndArgsCaller run(RuntimeInit java:450)_x000D_
       at com android internal os ZygoteInit main(ZygoteInit java:936)_x000D_
   _x000D_
_x000D_
Seems like ReportingUtils was throwing  NameNotFoundException  and was returning an empty string causing these failures  </t>
  </si>
  <si>
    <t>PhenoApps-Field-Book-150</t>
  </si>
  <si>
    <t>[BUG] BrAPI import Study 1 throws index out of bounds exception.</t>
  </si>
  <si>
    <t xml:space="preserve">  Describe the bug  _x000D_
Following error occurs  application does not crash  This is applicable in master and develop branches _x000D_
2020 08 27 16:32:55 412 26615 26615 com fieldbook tracker E error: java lang IndexOutOfBoundsException: Index: 9  Size: 8_x000D_
_x000D_
_x000D_
  To Reproduce  _x000D_
1  Go to fields activity_x000D_
2  import via brapi_x000D_
3  choose study 1 and press save field and ok_x000D_
_x000D_
  Expected behavior  _x000D_
A study should be loaded  especially since the dialog shows plots found _x000D_
_x000D_
  Screenshots  _x000D_
If applicable  add screenshots to help explain your problem _x000D_
  image (https:  user images githubusercontent com 5421632 91497659 f65ef700 e883 11ea 9655 d5197e628159 png)_x000D_
_x000D_
_x000D_
  Device Info (please complete the following information):  _x000D_
   Pixel 2 AVD Android 9_x000D_
</t>
  </si>
  <si>
    <t>Anuken-Mindustry-2443</t>
  </si>
  <si>
    <t>Save message</t>
  </si>
  <si>
    <t xml:space="preserve">  Platform  :  Android 
  Build  :  9465  
  Issue  :  when you save the map and leave  the message that appears says that you didn t save the map 
  Steps to reproduce  : 
 1 make or edit a map 
2 Save the map
3 exit the map 
  Link to mod(s) used  if applicable  :  The mod repositories or zip files that are related to the issue  
  Crash report  if applicable  :  The contents of relevant crash report files  
 Place an X (no spaces) between the brackets to confirm that you have read the line below    
   x    I have searched the closed and open issues to make sure that this problem has not already been reported   
</t>
  </si>
  <si>
    <t>Anuken-Mindustry-2442</t>
  </si>
  <si>
    <t>Community Servers Tab Bug</t>
  </si>
  <si>
    <t xml:space="preserve">  Platform  :  Android _x000D_
_x000D_
  Build  :  104 6 _x000D_
_x000D_
  Issue  :  The  Community Servers  tab is showing up empty  _x000D_
_x000D_
  Steps to reproduce  :  I clicked the tab _x000D_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_x000D_
EDIT: I cannot connect to any servers</t>
  </si>
  <si>
    <t>TeamNewPipe-NewPipe-4194</t>
  </si>
  <si>
    <t>fullscreen mode too small</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</si>
  <si>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compiled from source (origin dev) and downloaded from fdroid store_x000D_
_x000D_
     Which version are you using  Hopefully the latest  We just told you that above     _x000D_
_x000D_
_x000D_
    Steps to reproduce the bug_x000D_
open video in landscape fullscreen mode  _x000D_
_x000D_
_x000D_
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actual full screen mode  Extending over the camera punchhole  _x000D_
     Tell us what you expect to happen     _x000D_
_x000D_
    Actual behaviour_x000D_
the fullscreen mode does not go over the camera punchhole _x000D_
     Tell us what happens instead     _x000D_
_x000D_
    Screenshots Screen recordings_x000D_
using fdroid:_x000D_
  Real (https:  user images githubusercontent com 58632831 91390146 993e5380 e839 11ea 9a67 10811ed052fd jpeg)_x000D_
Actual fullscreen mode  extending over the camera punch hole _x000D_
_x000D_
compiling from source:_x000D_
  Scam (https:  user images githubusercontent com 58632831 91390164 9a6f8080 e839 11ea 8386 06baff1cc4e5 jpeg)_x000D_
See the black bar on the left    The camera punch hole is there  But the fullscreen mode does not cover that space 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Hardware_x000D_
I m using the huawei p40 pro_x000D_
</t>
  </si>
  <si>
    <t>jonathanpalma-react-native-tesseract-ocr-88</t>
  </si>
  <si>
    <t>Crash when using another language</t>
  </si>
  <si>
    <t xml:space="preserve">  Describe the bug  _x000D_
Just use a code from example and changing into LANG INDONESIAN when after select image from camera it just crash  But when using LANG ENGLISH is doing just fine _x000D_
_x000D_
  Dependencies (please complete the following information):  _x000D_
   react: 16 13 1_x000D_
   react native: 0 63 2_x000D_
   react native tesseract ocr: 2 0 1_x000D_
_x000D_
  To Reproduce  _x000D_
Steps to reproduce the behavior:_x000D_
1  Copy from example_x000D_
2  Change language into Indonesian_x000D_
3  Copy ind traineddata into  assets tessdata_x000D_
4  Select image from camera_x000D_
_x000D_
  Expected behavior  _x000D_
Get the result just like from example_x000D_
_x000D_
  Smartphone (please complete the following information):  _x000D_
   Device: Sony Experia ZR C5503_x000D_
   OS: Android 6 0_x000D_
_x000D_
  logcat  _x000D_
_x000D_
  08 27 06:27:53 721 14341 14963 D SoLoader: libimagepipeline so not found on  data data com project lib main_x000D_
08 27 06:27:53 721 14341 14963 D SoLoader: libimagepipeline so found on  data app com project 2 lib arm64_x000D_
08 27 06:27:53 811 14341 14963 D SoLoader: libnative imagetranscoder so not found on  data data com project lib main_x000D_
08 27 06:27:53 811 14341 14963 D SoLoader: libnative imagetranscoder so found on  data app com project 2 lib arm64_x000D_
08 27 06:27:54 068   664   664 F DEBUG   : pid: 14341  tid: 14960  name: Thread 76096      com project    _x000D_
08 27 06:27:54 184   664   664 F DEBUG   :      00 pc 00000000000f2828   data app com project 2 lib arm64 libtess so ( ZN9tesseract9Tesseract15recog all wordsEP8PAGE RESP10ETEXT DESCPK4TBOXPKci 184)_x000D_
08 27 06:27:54 184   664   664 F DEBUG   :      01 pc 00000000000e0560   data app com project 2 lib arm64 libtess so ( ZN9tesseract11TessBaseAPI9RecognizeEP10ETEXT DESC 844)_x000D_
08 27 06:27:54 184   664   664 F DEBUG   :      02 pc 00000000000e1930   data app com project 2 lib arm64 libtess so ( ZN9tesseract11TessBaseAPI11GetHOCRTextEP10ETEXT DESCi 76)_x000D_
08 27 06:27:54 184   664   664 F DEBUG   :      03 pc 00000000002910f4   data app com project 2 lib arm64 libtess so (Java com googlecode tesseract android TessBaseAPI nativeGetHOCRText 116)_x000D_
08 27 06:27:54 184   664   664 F DEBUG   :      04 pc 0000000000ba6ccc   data app com project 2 oat arm64 base odex (offset 0x6fb000) (java lang String com googlecode tesseract android TessBaseAPI nativeGetHOCRText(long  int) 144)_x000D_
08 27 06:27:54 184   664   664 F DEBUG   :      05 pc 0000000000ba90a0   data app com project 2 oat arm64 base odex (offset 0x6fb000) (java lang String com googlecode tesseract android TessBaseAPI getHOCRText(int) 132)_x000D_
08 27 06:27:54 184   664   664 F DEBUG   :      06 pc 0000000000bad36c   data app com project 2 oat arm64 base odex (offset 0x6fb000) (void com reactlibrary TesseractOcrModule 1 run() 496)</t>
  </si>
  <si>
    <t>deltachat-deltachat-android-1605</t>
  </si>
  <si>
    <t>crash when opening a chat with voice messages on a Neptune Pine watch</t>
  </si>
  <si>
    <t xml:space="preserve">  Operating System (Linux Mac Windows iOS Android):Android 4 1 2_x000D_
  Delta Chat Version:1 12 3 (also nightly 2020 08 26)_x000D_
  Expected behavior: Selector Chat opens_x000D_
  Actual behavior: Delta Chat crashes shortly after opening the chat_x000D_
  Steps to reproduce the problem: Opening a chat with a received voice message as the last message_x000D_
  Video: https:  videobin org  1bid 1hwk html_x000D_
</t>
  </si>
  <si>
    <t>Anuken-Mindustry-2436</t>
  </si>
  <si>
    <t xml:space="preserve">  Platform  :  Android iOS Mac Windows Linux _x000D_
_x000D_
  Build  :  The build number under the title in the main menu  Required  _x000D_
_x000D_
  Issue  :  Explain your issue in detail  _x000D_
_x000D_
  Steps to reproduce  :  How you happened across the issue  and what you were doing at the time  _x000D_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I have searched the closed and open issues to make sure that this problem has not already been reported   _x000D_
</t>
  </si>
  <si>
    <t>PhenoApps-Field-Book-148</t>
  </si>
  <si>
    <t>[BUG] Collect Activity crashes after importing sample csv. Android Kitkat.</t>
  </si>
  <si>
    <t xml:space="preserve">  Describe the bug  _x000D_
Related to https:  github com PhenoApps Field Book issues 146 but slightly different _x000D_
Similarly  the app crashes immediately on navigating to Collect Activity after importing the first sample csv _x000D_
_x000D_
  To Reproduce  _x000D_
Steps to reproduce the behavior:_x000D_
1  Press no to both dialogs _x000D_
2  Go to fields  import sample csv _x000D_
3  Go back to Config and click Collect _x000D_
_x000D_
  Device Info (please complete the following information):  _x000D_
   Model: AVD Pixel 1 4 4 2 KitKat_x000D_
_x000D_
  Additional context  _x000D_
Seems to be a problem with loading traits _x000D_
</t>
  </si>
  <si>
    <t>PhenoApps-Field-Book-147</t>
  </si>
  <si>
    <t>[BUG] TraitActivity UI Lock Bug</t>
  </si>
  <si>
    <t xml:space="preserve">  Describe the bug  _x000D_
A low priority bug that locks the TraitActivity layout and leaves a defunct view artifact by deleting all traits  reimporting sample traits during an item move event _x000D_
_x000D_
This bug requires multiple independent presses to reproduce  which is unlikely to happen _x000D_
_x000D_
  To Reproduce  _x000D_
Steps to reproduce the behavior:_x000D_
1  Go to TraitsActivity _x000D_
2  With one finger  begin moving an item with the draggable tag _x000D_
3  With second finger hand delete all traits _x000D_
4  With second finger hand Import sample traits  during dialog unclick first finger _x000D_
_x000D_
_x000D_
  Expected behavior  _x000D_
Layout should not crash  Move item event should be dismissed when an options item is selected _x000D_
_x000D_
  Screenshots  _x000D_
If applicable  add screenshots to help explain your problem _x000D_
  image (https:  user images githubusercontent com 5421632 91343274 e8d14080 e7a1 11ea 844a 3c671c1de8d9 png)_x000D_
_x000D_
  Device Info (please complete the following information):  _x000D_
   Tested on Physical Device Moto X Android 9_x000D_
_x000D_
  Additional context  _x000D_
UI is not reset onResume onPause_x000D_
UI is reset if you leave the activity and go back_x000D_
</t>
  </si>
  <si>
    <t>Anuken-Mindustry-2431</t>
  </si>
  <si>
    <t>speedhack</t>
  </si>
  <si>
    <t xml:space="preserve">  Platform  : Android 9_x000D_
_x000D_
  Build  : 9442_x000D_
_x000D_
  Issue  : _x000D_
Speedhack on multiplayer works_x000D_
_x000D_
  Steps to reproduce  : _x000D_
 UnitTypes arkyid speed   1000 _x000D_
 UnitTypes alpha speed   10000 _x000D_
 UnitTypes alpha speed   0   0       nan bug really caused here_x000D_
_x000D_
  Link to mod(s) used  if applicable  : deltanedas dev mode_x000D_
_x000D_
  Crash report  if applicable  : nobody crashed until nan  which crashed everyone except a few people_x000D_
_x000D_
   _x000D_
_x000D_
 Place an X (no spaces) between the brackets to confirm that you have read the line below    _x000D_
   X    I have searched the closed and open issues to make sure that this problem has not already been reported   _x000D_
</t>
  </si>
  <si>
    <t>Goujer-kanojo_app-35</t>
  </si>
  <si>
    <t>Modernize WebViews</t>
  </si>
  <si>
    <t xml:space="preserve">WebViews either crash or don t work 
Notice Tab  Kanojo Dialog  etc  </t>
  </si>
  <si>
    <t>Anuken-Mindustry-2429</t>
  </si>
  <si>
    <t>Bleeding edge auto updater mac desktop crash</t>
  </si>
  <si>
    <t xml:space="preserve">  Platform  :  mac _x000D_
_x000D_
  Build  :  bleeding edge _x000D_
_x000D_
  Issue  :  because of the extra java flags required on mac to launch a mindustry jar  it crashes when auto updating: _x000D_
_x000D_
  Screen Shot 2020 08 26 at 10 16 21 (https:  user images githubusercontent com 3179271 91279086 6044a700 e785 11ea 88ad 6051fa9813d4 png)_x000D_
_x000D_
  Steps to reproduce  :  use the button on the main menu to download a newer bleeding edge build _x000D_
_x000D_
  Link to mod(s) used  if applicable  :  null _x000D_
_x000D_
  Crash report  if applicable  :  null _x000D_
_x000D_
   _x000D_
_x000D_
 Place an X (no spaces) between the brackets to confirm that you have read the line below    _x000D_
   X    I have not searched the closed and open issues to make sure that this problem has not already been reported   _x000D_
</t>
  </si>
  <si>
    <t>Anuken-Mindustry-2425</t>
  </si>
  <si>
    <t>Core wrong respawn</t>
  </si>
  <si>
    <t xml:space="preserve">  Platform  :  Android 
  Build  :  9434 
  Issue  :  if you hold a core  your ship will be created in the closest core to you  
  Steps to reproduce  :  create a map with 2 or more cores  and hold one  your ship will be created in closest core to you  
example:  you hold core 1  but your ship are closest to core 2  so you will respawn in core 2 because you re closest to the core 2 
  Link to mod(s) used  if applicable  : 
  Crash report  if applicable  :  The contents of relevant crash report files  
 Place an X (no spaces) between the brackets to confirm that you have read the line below    
   x    I have searched the closed and open issues to make sure that this problem has not already been reported   
</t>
  </si>
  <si>
    <t>Anuken-Mindustry-2424</t>
  </si>
  <si>
    <t>Logic processor OOM</t>
  </si>
  <si>
    <t xml:space="preserve">  Platform  : Android 9_x000D_
_x000D_
  Build  : 9433_x000D_
_x000D_
  Issue  : _x000D_
Logic processor caused an OOM exception_x000D_
_x000D_
  Steps to reproduce  : _x000D_
I joined sandbox server  lag built up because of gc and eventually crashed _x000D_
_x000D_
  Crash report  if applicable  :  crash 1598390414524 txt (https:  github com Anuken Mindustry files 5126335 crash 1598390414524 txt)_x000D_
_x000D_
_x000D_
   _x000D_
_x000D_
 Place an X (no spaces) between the brackets to confirm that you have read the line below    _x000D_
   X    I have searched the closed and open issues to make sure that this problem has not already been reported   _x000D_
</t>
  </si>
  <si>
    <t>meet-eat-meet-eat-app-android-21</t>
  </si>
  <si>
    <t>[BUG] Pressing change button in profile view without submitting information causes a crash</t>
  </si>
  <si>
    <t xml:space="preserve">  Circumstances  _x000D_
Without submitting any different password in the password change fields and pressing the change button leads to a crash _x000D_
_x000D_
  How to Reproduce  _x000D_
Steps to reproduce the behavior:_x000D_
1  Go to own profile view_x000D_
2  Click on  change  (for changing the user password) but don t submit new data_x000D_
3  See error_x000D_
_x000D_
  Expected behavior  _x000D_
The app should either do nothing or the button should not be pressable_x000D_
_x000D_
  Screenshots  _x000D_
  Screenshot 2020 08 25 213607 (https:  user images githubusercontent com 35570024 91220870 2049d980 e71d 11ea 836b a0cbbc22699d png)_x000D_
_x000D_
</t>
  </si>
  <si>
    <t>meet-eat-meet-eat-app-android-19</t>
  </si>
  <si>
    <t>[BUG] Log in again after minimizing crashes the app</t>
  </si>
  <si>
    <t xml:space="preserve">  Circumstances  _x000D_
After minimizing the app in normal logged in user mode and starting it in this state  the app crashes    once    when trying to log in again with the user s login credential _x000D_
_x000D_
  How to Reproduce  _x000D_
Steps to reproduce the behavior:_x000D_
1  User actively using the app minimize it via e g  pressing home button of Android device_x000D_
2  Open app again by pressing the app icon_x000D_
3  Login with login credentials_x000D_
4  App crashes_x000D_
_x000D_
  Expected behavior  _x000D_
App should login as usual _x000D_
_x000D_
  Screenshots  _x000D_
  Screenshot 2020 08 25 214933 (https:  user images githubusercontent com 35570024 91220738 e4167900 e71c 11ea 982f 02590a9409a6 png)_x000D_
_x000D_
_x000D_
</t>
  </si>
  <si>
    <t>Anuken-Mindustry-2421</t>
  </si>
  <si>
    <t xml:space="preserve">  Platform  : android (check other platforms)
  Build  : 9424
  Issue  : clicking in the core oftentimes crash the game 
  Steps to reproduce  : click and hold the core oftentimes 
  Link to mod(s) used  if applicable  : no mod 
  Crash report  if applicable  : 
 Place an X (no spaces) between the brackets to confirm that you have read the line below    
        I have searched the closed and open issues to make sure that this problem has not already been reported   
</t>
  </si>
  <si>
    <t>Anuken-Mindustry-2417</t>
  </si>
  <si>
    <t>Issue with bugged Panning if using Follow Mouse</t>
  </si>
  <si>
    <t xml:space="preserve">  Platform  : Windows_x000D_
_x000D_
  Build  : Bleeding Edge 9420_x000D_
_x000D_
  Issue  : This bug causes the screen to become fixed when using pan  defaulted: Mouse Forward  with Follow Mouse  Defaulted: Mouse Back   not letting you move anywhere outside the screen  Pressing WASD will snap you out of the pan  but Follow Mouse will not _x000D_
_x000D_
  Steps to reproduce  :_x000D_
 _x000D_
  Use Mouse Back to pan and get the camera not centered on the Player_x000D_
  Instead of using WASD to snap out of the pan  use Mouse Forward to make the ship follow the mouse _x000D_
  You will observe that the player is locked in the screen until and unless they use WASD again _x000D_
_x000D_
  Link to mod(s) used  if applicable  : No mods _x000D_
_x000D_
  Crash report  if applicable  : No crash _x000D_
_x000D_
   _x000D_
_x000D_
 Place an X (no spaces) between the brackets to confirm that you have read the line below    _x000D_
   X    I have searched the closed and open issues to make sure that this problem has not already been reported   _x000D_
</t>
  </si>
  <si>
    <t>Blankj-AndroidUtilCode-1310</t>
  </si>
  <si>
    <t>KeyboardUtils.hideSoftInput无法隐藏输入法</t>
  </si>
  <si>
    <t xml:space="preserve">      Bug_x000D_
_x000D_
       Bug _x000D_
  KeyboardUtils showSoftInput       home        KeyboardUtils hideSoftInput     _x000D_
_x000D_
  AndroidUtilCode     utilcodex:1 28 0        utilcode:1 16 3   utilcodex:1 16 3                     _x000D_
     Bug         5        Nexus 5X    _x000D_
      Android    Android8 0        API 27    _x000D_
_x000D_
       _x000D_
_x000D_
       _x000D_
   java_x000D_
CrashUtils init() _x000D_
   _x000D_
   _x000D_
   _x000D_
put your code here_x000D_
_x000D_
KeyboardUtils showSoftInput() _x000D_
KeyboardUtils showSoftInput(et content) _x000D_
KeyboardUtils hideSoftInput(et content) _x000D_
KeyboardUtils hideSoftInput(getActivity()) _x000D_
              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_x000D_
_x000D_
                    _x000D_
_x000D_
_x000D_
              _x000D_
_x000D_
      AndroidUtilCode (https:  github com Blankj AndroidUtilCode) _x000D_
</t>
  </si>
  <si>
    <t>PhenoApps-Field-Book-146</t>
  </si>
  <si>
    <t>[BUG] Crashes in Collect after importing field_sample.csv</t>
  </si>
  <si>
    <t xml:space="preserve">  Describe the bug  _x000D_
Following exception occurs after importing a sample  csv  going to Collect  and pressing the  1 button _x000D_
_x000D_
  Process: com fieldbook tracker  PID: 2134_x000D_
    java lang NullPointerException: Attempt to invoke virtual method  java lang String com fieldbook tracker objects TraitObject getTrait()  on a null object reference_x000D_
        at com fieldbook tracker traits CounterTraitLayout 1 onClick(CounterTraitLayout java:48)_x000D_
        at android view View performClick(View java:6294)_x000D_
        at android view View PerformClick run(View java:24770)_x000D_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To Reproduce  _x000D_
Steps to reproduce the behavior:_x000D_
1  Accept all permissions _x000D_
2  Press no to both dialogs _x000D_
3  Go to Fields  import local file field sample csv_x000D_
4  Go back to Config activity_x000D_
5  Go to Collect_x000D_
6  Click any button (other than primary secondary choice) on this page and the app crashes_x000D_
_x000D_
  Expected behavior  _x000D_
Doesn t crash _x000D_
_x000D_
  Device Info (please complete the following information):  _x000D_
Tested on Pixel 2 AVD_x000D_
</t>
  </si>
  <si>
    <t>OpenTracksApp-OpenTracks-390</t>
  </si>
  <si>
    <t>force close when stopping track</t>
  </si>
  <si>
    <t xml:space="preserve">  Describe the bug  _x000D_
I start a track let it run for a few minutes and when i push to stop (or pause)the track it force closes and automatically starts recording the same track again on restart    And is suck in the force close auto record loop_x000D_
Tried force close and clear data and re install   Same issue  _x000D_
Works fine on my s7 with Google services_x000D_
  To Reproduce  _x000D_
1  Go to      _x000D_
2  Click on       _x000D_
3  Scroll down to       _x000D_
4  See error_x000D_
_x000D_
If applicable:_x000D_
  add screenshots_x000D_
  add logcat output_x000D_
_x000D_
  Technical information  _x000D_
   Device: Galaxy s4_x000D_
   OS:  LineageOS  androud 7 12_x000D_
   Version  v3 9 1_x000D_
_x000D_
From fdroid no Google play or services installed_x000D_
Had no issues on the last version  Been using this app for months very happy until latest update_x000D_
Also crashes on my levono phab running Android 6 with Google services disabled_x000D_
 also crashes on Nexus 7 lineage Android 7 1 2 no Google</t>
  </si>
  <si>
    <t>getodk-collect-4036</t>
  </si>
  <si>
    <t>NPE in FormSaveViewModel</t>
  </si>
  <si>
    <t xml:space="preserve">From https:  console firebase google com u 0 project api project 322300403941 crashlytics app android:org odk collect android issues 8ca03d40871475f87917f721719cd4aa time last seven days sessionId 5F429670034E0001384141414334DC52 DNE 0 v2_x000D_
_x000D_
     Software and hardware versions _x000D_
Collect v1 28 0 beta 1_x000D_
_x000D_
     Problem description_x000D_
_x000D_
Stacktrace:_x000D_
_x000D_
   java_x000D_
Fatal Exception: java lang NullPointerException: Attempt to invoke virtual method  org odk collect android formentry audit AuditEventLogger org odk collect android javarosawrapper FormController getAuditEventLogger()  on a null object reference_x000D_
       at org odk collect android formentry saving FormSaveViewModel getAuditEventLogger(FormSaveViewModel java:253)_x000D_
       at org odk collect android formentry QuitFormDialogFragment lambda onCreateDialog 0(QuitFormDialogFragment java:93)_x000D_
       at org odk collect android formentry    Lambda QuitFormDialogFragment kkJKBUgJhZUYv cQAWuh7PWDoCM onItemClick(  java:8)_x000D_
       at android widget AdapterView performItemClick(AdapterView java:321)_x000D_
       at android widget AbsListView performItemClick(AbsListView java:1217)_x000D_
       at android widget AbsListView PerformClick run(AbsListView java:3203)_x000D_
       at android widget AbsListView 3 run(AbsListView java:4151)_x000D_
       at android os Handler handleCallback(Handler java:808)_x000D_
       at android os Handler dispatchMessage(Handler java:101)_x000D_
       at android os Looper loop(Looper java:166)_x000D_
       at android app ActivityThread main(ActivityThread java:7529)_x000D_
       at java lang reflect Method invoke(Method java)_x000D_
       at com android internal os Zygote MethodAndArgsCaller run(Zygote java:245)_x000D_
       at com android internal os ZygoteInit main(ZygoteInit java:921)_x000D_
   _x000D_
_x000D_
     Steps to reproduce the problem_x000D_
_x000D_
My guess it that somehow the form is being quit before the  formController  has been set on the  FormSaveViewModel  _x000D_
_x000D_
     Expected behavior_x000D_
_x000D_
A  null   formController  shouldn t cause a crash (as much as it wants to) _x000D_
_x000D_
     Other information _x000D_
_x000D_
I think a good fix for this kind of thing is to move the logging logic to the view model so that it can just no op on a  null   formController   A good idea for this specific one would be to create a  quit  or  ignore  action on the  FormSaveViewModel  that could take care of logging and removing temp instances etc _x000D_
</t>
  </si>
  <si>
    <t>TeamNewPipe-NewPipe-4179</t>
  </si>
  <si>
    <t>bug tap show controll on player (unified UI)</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</si>
  <si>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when I press once the status bar appears on the screen and not the player controls  if I press a second time the player controls appear  I would like that when I press once the player controls appear as they do for the normal version of newpipe _x000D_
_x000D_
_x000D_
    Version_x000D_
     Which version are you using  Hopefully the latest  We just told you that above     _x000D_
 I use an preview version of future newpipe release apk_x000D_
    Steps to reproduce the bug_x000D_
    _x000D_
1  Go to      _x000D_
2  Press on       _x000D_
3  Swipe down to       _x000D_
   _x000D_
Open an video make one tap for show status bar  make second tap for show all player controll_x000D_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Screenshot 2020 08 23 22 35 57 (https:  user images githubusercontent com 53193434 90989398 d5ec1f80 e599 11ea 9880 2421736ba5ee png)_x000D_
  Screenshot 2020 09 04 02 40 35 (https:  user images githubusercontent com 53193434 92186835 488db280 ee58 11ea 9dba 1f45c612d997 png)_x000D_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</si>
  <si>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sschueller-peertube-android-221</t>
  </si>
  <si>
    <t>Network API response data Crashes issue.</t>
  </si>
  <si>
    <t xml:space="preserve">_x000D_
  Different from question  220   _x000D_
We re doing a study  We use the fuzzing method to simulate the network response data  For example  when the app receives network API response data from the server or network  we will replace it with 404  null and random data _x000D_
 A very simple example:_x000D_
normal data  Value  hello       fuzzing       simulated data  Value null or network request fails 404 503  or Value  heee (random data) or Value   (empty)   etc _x000D_
_x000D_
  Description information   _x000D_
We find that mobile apps are prone to crashes due to a network issue  mainly because successful network API calls return unexpected or no data _x000D_
And we found that when this app s network returned data is null or some fields are null (JSON format)   or is empty  or the network request fails (status code is 404 503)  or a random value   the app has crashed _x000D_
_x000D_
  Environment Info   _x000D_
APK version 1 0 47 (1047)_x000D_
Simulator AndroidOS Version    6 0 1 _x000D_
_x000D_
  crash information   _x000D_
All of the following crash problems are caused by fuzzing data_x000D_
    one:_x000D_
 crashActivity net schueller peertube activity VideoListActivity _x000D_
_x000D_
java lang NullPointerException: Attempt to invoke interface method  java lang Object   java util Collection toArray()  on a null object reference_x000D_
	at java util ArrayList addAll _x000D_
(ArrayList java:188)_x000D_
	at net schueller peertube adapter VideoAdapter setData(VideoAdapter java:157)_x000D_
	at net schueller peertube activity VideoListActivity 5 onResponse _x000D_
(VideoListActivity java:351)_x000D_
	at retrofit2 ExecutorCallAdapterFactory ExecutorCallbackCall 1 1 run(ExecutorCallAdapterFactory java:71)_x000D_
	at android os Handler handleCallback _x000D_
(Handler java:739)_x000D_
	at android os Handler dispatchMessage(Handler java:95)_x000D_
	at android os Looper loop(Looper java:148)_x000D_
	at android app ActivityThread main _x000D_
(ActivityThread java:5539)_x000D_
	at java lang reflect Method invoke(Native Method)_x000D_
	at com android internal os ZygoteInit MethodAndArgsCaller run(ZygoteInit java:745)_x000D_
	at  _x000D_
com android internal os ZygoteInit main(ZygoteInit java:635)_x000D_
_x000D_
  Two:  _x000D_
 crashActivity net schueller peertube activity AccountActivity _x000D_
_x000D_
java lang NullPointerException: Attempt to invoke interface method  java lang Object   java util Collection toArray()  on a null object reference_x000D_
	at java util ArrayList addAll(ArrayList java:188)_x000D_
	at net schueller peertube adapter VideoAdapter setData(VideoAdapter java:157)_x000D_
	at net schueller peertube activity AccountActivity 2 onResponse(AccountActivity java:246)_x000D_
	at retrofit2 ExecutorCallAdapterFactory ExecutorCallbackCall 1 1 run(ExecutorCallAdapterFactory java:71)_x000D_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_x000D_
  Three:  _x000D_
 crashActivity net schueller peertube activity VideoPlayActivity _x000D_
_x000D_
java lang NullPointerException: Attempt to invoke virtual method  long java util Date getTime()  on a null object reference_x000D_
	at net schueller peertube helper MetaDataHelper getMetaString(MetaDataHelper java:40)_x000D_
	at net schueller peertube fragment VideoMetaDataFragment updateVideoMeta(VideoMetaDataFragment java:175)_x000D_
	at net schueller peertube fragment VideoPlayerFragment playVideo(VideoPlayerFragment java:219)_x000D_
	at net schueller peertube fragment VideoPlayerFragment access 400(VideoPlayerFragment java:78)_x000D_
	at net schueller peertube fragment VideoPlayerFragment 2 onResponse(VideoPlayerFragment java:192)_x000D_
	at retrofit2 ExecutorCallAdapterFactory ExecutorCallbackCall 1 1 run(ExecutorCallAdapterFactory java:71)_x000D_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_x000D_
  Four:  _x000D_
 crashActivity net schueller peertube activity VideoPlayActivity _x000D_
_x000D_
java lang NullPointerException: Attempt to invoke virtual method  net schueller peertube model Avatar net schueller peertube model Account getAvatar()  on a null object reference_x000D_
	at net schueller peertube fragment VideoMetaDataFragment updateVideoMeta(VideoMetaDataFragment java:157)_x000D_
	at net schueller peertube fragment VideoPlayerFragment playVideo(VideoPlayerFragment java:219)_x000D_
	at net schueller peertube fragment VideoPlayerFragment access 400(VideoPlayerFragment java:78)_x000D_
	at net schueller peertube fragment VideoPlayerFragment 2 onResponse(VideoPlayerFragment java:192)_x000D_
	at retrofit2 ExecutorCallAdapterFactory ExecutorCallbackCall 1 1 run(ExecutorCallAdapterFactory java:71)_x000D_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_x000D_
  Five:  _x000D_
 crashActivity net schueller peertube activity ServerAddressBookActivity _x000D_
 : _x000D_
java lang NullPointerException: Attempt to invoke interface method  java lang Object   java util Collection toArray()  on a null object reference_x000D_
	at java util ArrayList addAll(ArrayList java:188)_x000D_
	at net schueller peertube adapter ServerSearchAdapter setData(ServerSearchAdapter java:145)_x000D_
	at net schueller peertube activity SearchServerActivity 2 onResponse(SearchServerActivity java:154)_x000D_
	at retrofit2 ExecutorCallAdapterFactory ExecutorCallbackCall 1 1 run(ExecutorCallAdapterFactory java:71)_x000D_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_x000D_
_x000D_
  Finally:  _x000D_
The cause of the program crash may be that the network response data is not handled properly in the code  Such as  developers probably ignore the fact that data is null _x000D_
Although this kind of collapse is relatively rare  it is also worthy of attention _x000D_
If you have confirmed or fixed this problem  please give me a reply  thank you _x000D_
_x000D_
_x000D_
_x000D_
 bountysource plugin _x000D_
_x000D_
   _x000D_
Want to back this issue     Post a bounty on it  (https:  www bountysource com issues 92611804 network api response data crashes issue utm campaign plugin utm content tracker 2F89466969 utm medium issues utm source github)   We accept bounties via  Bountysource (https:  www bountysource com  utm campaign plugin utm content tracker 2F89466969 utm medium issues utm source github) _x000D_
  bountysource plugin </t>
  </si>
  <si>
    <t>sschueller-peertube-android-220</t>
  </si>
  <si>
    <t>Three crashes occurred.</t>
  </si>
  <si>
    <t xml:space="preserve">APP crashed three times when I was testing the app dynamically on the simulator _x000D_
_x000D_
  Environment Info   _x000D_
APK version 1 0 47 (1047)_x000D_
Simulator AndroidOS Version    6 0 1 _x000D_
_x000D_
  crash information   _x000D_
    One:_x000D_
 crashActivity net schueller peertube activity VideoPlayActivity _x000D_
_x000D_
java lang RuntimeException: Unable to start service net schueller peertube service VideoPlayerService 7355f88 with Intent   cmp net schueller peertube  service VideoPlayerService  : java lang NullPointerException: uriString_x000D_
	at android app ActivityThread handleServiceArgs(ActivityThread java:3054)_x000D_
	at android app ActivityThread  wrap17(ActivityThread java)_x000D_
	at android app ActivityThread H handleMessage(ActivityThread java:1451)_x000D_
	at android os Handler dispatchMessage(Handler java:102)_x000D_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Caused by: java lang NullPointerException: uriString_x000D_
	at android net Uri StringUri  init (Uri java:475)_x000D_
	at android net Uri StringUri  init (Uri java)_x000D_
	at android net Uri parse(Uri java:437)_x000D_
	at net schueller peertube service VideoPlayerService playVideo(VideoPlayerService java:204)_x000D_
	at net schueller peertube service VideoPlayerService onStartCommand(VideoPlayerService java:162)_x000D_
	at android app ActivityThread handleServiceArgs(ActivityThread java:3037)_x000D_
	    8 more_x000D_
java lang NullPointerException: uriString_x000D_
	at android net Uri StringUri  init (Uri java:475)_x000D_
	at android net Uri StringUri  init (Uri java)_x000D_
	at android net Uri parse(Uri java:437)_x000D_
	at net schueller peertube service VideoPlayerService playVideo(VideoPlayerService java:204)_x000D_
	at net schueller peertube service VideoPlayerService onStartCommand(VideoPlayerService java:162)_x000D_
	at android app ActivityThread handleServiceArgs(ActivityThread java:3037)_x000D_
	at android app ActivityThread  wrap17(ActivityThread java)_x000D_
	at android app ActivityThread H handleMessage(ActivityThread java:1451)_x000D_
	at android os Handler dispatchMessage(Handler java:102)_x000D_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_x000D_
    Two:_x000D_
 crashActivity net schueller peertube activity VideoListActivity _x000D_
_x000D_
java lang IllegalStateException: Fragment VideoPlayerFragment 41a4a4  (28b2680e 898a 4a6b ac81 0331a85160b2)  not attached to a context _x000D_
	at androidx fragment app Fragment requireContext(Fragment java:805)_x000D_
	at net schueller peertube fragment VideoPlayerFragment startPlayer(VideoPlayerFragment java:252)_x000D_
	at net schueller peertube fragment VideoPlayerFragment access 500(VideoPlayerFragment java:78)_x000D_
	at net schueller peertube fragment VideoPlayerFragment 3 onStreamReady(VideoPlayerFragment java:343)_x000D_
	at com github se bastiaan torrentstream TorrentStream InternalTorrentListener 3 run(TorrentStream java:500)_x000D_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_x000D_
    Three:_x000D_
 crashActivity net schueller peertube activity VideoPlayActivity _x000D_
_x000D_
java lang NullPointerException: Attempt to invoke virtual method  com google android exoplayer2 PlaybackParameters com google android exoplayer2 SimpleExoPlayer getPlaybackParameters()  on a null object reference_x000D_
	at net schueller peertube service VideoPlayerService getPlayBackSpeed(VideoPlayerService java:190)_x000D_
	at net schueller peertube fragment VideoOptionsFragment onCreateView(VideoOptionsFragment java:74)_x000D_
	at androidx fragment app Fragment performCreateView(Fragment java:2698)_x000D_
	at androidx fragment app FragmentStateManager createView(FragmentStateManager java:320)_x000D_
	at androidx fragment app FragmentManager moveToState(FragmentManager java:1187)_x000D_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BackStackRecord executeOps(BackStackRecord java:447)_x000D_
	at androidx fragment app FragmentManager executeOps(FragmentManager java:2169)_x000D_
	at androidx fragment app FragmentManager executeOpsTogether(FragmentManager java:1992)_x000D_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_x000D_
  Finally:  _x000D_
I hope these crash logs can help you _x000D_
_x000D_
_x000D_
_x000D_
 bountysource plugin _x000D_
_x000D_
   _x000D_
Want to back this issue     Post a bounty on it  (https:  www bountysource com issues 92611805 three crashes occurred utm campaign plugin utm content tracker 2F89466969 utm medium issues utm source github)   We accept bounties via  Bountysource (https:  www bountysource com  utm campaign plugin utm content tracker 2F89466969 utm medium issues utm source github) _x000D_
  bountysource plugin </t>
  </si>
  <si>
    <t>Anuken-Mindustry-2406</t>
  </si>
  <si>
    <t>Incorrect highlighting in tech tree</t>
  </si>
  <si>
    <t xml:space="preserve">  Platform  :  Android iOS Mac Windows Linux _x000D_
linux   steam on fedora 32_x000D_
_x000D_
  Build  :  The build number under the title in the main menu  Required  _x000D_
steam build 104 10_x000D_
_x000D_
  Issue  :  Explain your issue in detail  _x000D_
Some links in the tech tree are incorrectly highlighted  See attached screenshot _x000D_
_x000D_
  Steps to reproduce  :  How you happened across the issue  and what you were doing at the time  _x000D_
Opened the tech tree _x000D_
_x000D_
  Link to mod(s) used  if applicable  :  The mod repositories or zip files that are related to the issue  _x000D_
No mods used _x000D_
_x000D_
  Crash report  if applicable  :  The contents of relevant crash report files  _x000D_
No crash reported _x000D_
   _x000D_
_x000D_
 Place an X (no spaces) between the brackets to confirm that you have read the line below    _x000D_
   X    I have searched the closed and open issues to make sure that this problem has not already been reported   _x000D_
_x000D_
_x000D_
  Screenshot from 2020 08 23 18 27 55 (https:  user images githubusercontent com 47609746 90974572 db347480 e56f 11ea 80b6 722c7b1f126a png)</t>
  </si>
  <si>
    <t>TeamNewPipe-NewPipe-4177</t>
  </si>
  <si>
    <t>Crash after searching for a video or channel name</t>
  </si>
  <si>
    <t xml:space="preserve">   Steps to reproduce the bug_x000D_
_x000D_
1  In home screen  click on search icon_x000D_
2  Type some search terms_x000D_
3  Wait a moment  and the crash appears_x000D_
_x000D_
  Description _x000D_
_x000D_
  This is a special case that occurs frequently for different search terms  I overcome it sometimes by clearing the app storage and cache or even reinstall _x000D_
_x000D_
  Extra information: I sometime use Orbot in VPN mode  But regardless I get this crash  I have Lineage OS installed on Galaxy S9  (if such information helps)_x000D_
_x000D_
   Exception_x000D_
  User Action: get suggestions_x000D_
  Request: luke smith_x000D_
  Content Country: US_x000D_
  Content Language: en US_x000D_
  App Language: en US_x000D_
  Service: YouTube_x000D_
  Version: 0 19 8_x000D_
  OS: Linux Android 10   29_x000D_
 details  summary  b Crash log   b   summary  p _x000D_
_x000D_
   _x000D_
org schabi newpipe extractor exceptions ParsingException: Could not parse json response_x000D_
 at org schabi newpipe extractor services youtube extractors YoutubeSuggestionExtractor suggestionList(YoutubeSuggestionExtractor java:72)_x000D_
 at org schabi newpipe util ExtractorHelper lambda suggestionsFor 2(ExtractorHelper java:107)_x000D_
 at org schabi newpipe util    Lambda ExtractorHelper kAwiU5Tjeit NCwHTWhD3V6UHS8 call(Unknown Source:4)_x000D_
 at io reactivex internal operators single SingleFromCallable subscribeActual(SingleFromCallable java:44)_x000D_
 at io reactivex Single subscribe(Single java:3666)_x000D_
 at io reactivex internal operators single SingleToObservable subscribeActual(SingleToObservable java:35)_x000D_
 at io reactivex Observable subscribe(Observable java:12284)_x000D_
 at io reactivex internal operators observable ObservableMap subscribeActual(ObservableMap java:32)_x000D_
 at io reactivex Observable subscribe(Observable java:12284)_x000D_
 at io reactivex internal operators observable ObservableZip ZipCoordinator subscribe(ObservableZip java:110)_x000D_
 at io reactivex internal operators observable ObservableZip subscribeActual(ObservableZip java:72)_x000D_
 at io reactivex Observable subscribe(Observable java:12284)_x000D_
 at io reactivex internal operators observable ObservableMaterialize subscribeActual(ObservableMaterialize java:28)_x000D_
 at io reactivex Observable subscribe(Observable java:12284)_x000D_
 at io reactivex internal operators observable ObservableSwitchMap SwitchMapObserver onNext(ObservableSwitchMap java:127)_x000D_
 at io reactivex internal operators observable ObservableFilter FilterObserver onNext(ObservableFilter java:52)_x000D_
 at io reactivex internal operators observable ObservableConcatMap ConcatMapDelayErrorObserver DelayErrorInnerObserver onNext(ObservableConcatMap java:506)_x000D_
 at io reactivex observers SerializedObserver onNext(SerializedObserver java:111)_x000D_
 at io reactivex internal operators observable ObservableDebounceTimed DebounceTimedObserver emit(ObservableDebounceTimed java:143)_x000D_
 at io reactivex internal operators observable ObservableDebounceTimed DebounceEmitter run(ObservableDebounceTimed java:168)_x000D_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com grack nanojson JsonParserException: Unexpected token  ml  on line 1  char 1_x000D_
 at com grack nanojson JsonTokener createParseException(Unknown Source:44)_x000D_
 at com grack nanojson JsonTokener createHelpfulException(Unknown Source:119)_x000D_
 at com grack nanojson JsonTokener advanceToToken(Unknown Source:95)_x000D_
 at com grack nanojson JsonParser advanceToken(Unknown Source:12)_x000D_
 at com grack nanojson JsonParser parse(Unknown Source:1)_x000D_
 at com grack nanojson JsonParser JsonParserContext from(Unknown Source:19)_x000D_
 at org schabi newpipe extractor services youtube extractors YoutubeSuggestionExtractor suggestionList(YoutubeSuggestionExtractor java:62)_x000D_
     26 more_x000D_
   _x000D_
_x000D_
  details _x000D_
 hr </t>
  </si>
  <si>
    <t>CactiChameleon9-Gecko-Browser-1</t>
  </si>
  <si>
    <t>General Feedback</t>
  </si>
  <si>
    <t xml:space="preserve">(I can split stuff off into different issues if you want  but this is mostly a lot of general stuff )_x000D_
_x000D_
Sorry for taking a bit on posting this  but I ve been using your browser for the past couple days and it s been working very well   Performance is great (better than the old Firefox for Android Firefox 68)  and I have yet to have it crash   Opening closing it  putting it in the background  and opening from other apps all work fine   _x000D_
_x000D_
I m not a UI expert  but it seems fine to me  apart from one issue in the settings with narrow screens (I believe mine is 360px) where the text overlaps the buttons:_x000D_
  Screenshot 2020 08 22 20 27 47 (https:  user images githubusercontent com 40511669 90968141 11fa8400 e4b7 11ea 9387 ee7b9366ebec png)_x000D_
_x000D_
The best solution here would probably be to make the buttons go on top of the text  and maybe make the text a tad smaller  depending on the screen size  I guess you could also make the line wrap or the text scroll _x000D_
_x000D_
If it isn t too much of a hassle  making the loading bar just a pixel or two taller would be nice  it took me a little bit to realize that it existed _x000D_
_x000D_
Also  I think the  hide white loading page  option might be inverted   I see the white loading page with it on _x000D_
_x000D_
Everything else is just things that aren t implemented yet  so I think that s just about everything I ve come across for now </t>
  </si>
  <si>
    <t>oatmael-Sneezy-13</t>
  </si>
  <si>
    <t xml:space="preserve">App crashing on navigating to graph and home page </t>
  </si>
  <si>
    <t xml:space="preserve">App crashing when navigating to home graphs fragment after toggling dark mode twice in the same session _x000D_
Steps:_x000D_
1  Toggle night mode on or off and click restart to apply (dark to light or light to dark)_x000D_
2  repeat step 1(can go to other fragments in between step 1 and 2 as well as 2 and 3)_x000D_
3  press back button to go to home page or use nav menu to go to home or graphs fragment_x000D_
4  app crashes_x000D_
_x000D_
  image (https:  user images githubusercontent com 61568703 90957291 c43c4680 e4cb 11ea 9b61 8646d7bc1940 png)_x000D_
_x000D_
</t>
  </si>
  <si>
    <t>Anuken-Mindustry-2404</t>
  </si>
  <si>
    <t>Game crashes in multiplayer with too many mods</t>
  </si>
  <si>
    <t xml:space="preserve">  Platform  : Windows_x000D_
_x000D_
  Build  : 104 10_x000D_
_x000D_
  Issue  : It looks like that when a critical mass of items added by mods is reached  the game crashes when mod items first time start being transported by a conveyour and enter the Core or a Router  This only happens in multiplayer and sometimes it happens for both players  sometimes only for the joined ones _x000D_
_x000D_
  Steps to reproduce  :_x000D_
1  For two players: install the critical mass of mods (see the mod list below for a possible example)_x000D_
2  Create a sandbox game  host by one player and join by the other_x000D_
3  Create an Item Source and make it produce any modded item  In our case we were mostly testing it with   Voidore   from the Opore Mod  but other modded items showed the similar behavior  The   Voidore   is the black thing produced by the   Voidore Forge   factory building  just in case _x000D_
4  Build a conveyor from that Item Source to nowhere  observe how the item starts flowing  everything is OK_x000D_
5  Build the conveyor now to make it reach the Core or build a Router on it _x000D_
6  The joined player crashes (see Crash Report 2)_x000D_
7  Try disabling some mods that add items and see that it s not a particular mod that s causing this  but the amount of mods (or maybe items added)  For example  we tried the following tests: _x000D_
a) only disable MicroAdd    no error _x000D_
b) only disable Minfactory    no error _x000D_
c) enable both MicroAdd and Minfactory    the error is there _x000D_
d) only disable Heavy Industries  Heavy Armaments and Hypertech Mod    no error_x000D_
_x000D_
  These tests clearly indicate that when a certain amount of modded items is added to the game  it crashes    The limit at which it starts crashing is about 140 150 items listed in the Item Source list _x000D_
_x000D_
Another variation of this problem is a bit different crash that happens in the same circumstances but the exception is different  and it happens for the host too (see Crash Report 1)  Originally we have caught   that   kind of error on a map where we were already playing for about 2 5 hours and got a lot of infrastructure  Upon the attempts to reproduce that error (Crash Report 1) to report it  we stumbled upon the situation where only the joined player get the error now (Crash Report 2)  It is yet unclear what circumstances determine which variation of the crash is going to happen but the variation 2 seems to be prevailing now _x000D_
_x000D_
  Link to mod(s) used  if applicable  :_x000D_
_x000D_
Below is the list of the mods we were testing on    But it could be probably replicated with any set of mods that adds up to the similar amount of modded items  :_x000D_
_x000D_
Better Blocks Mod v1 6 9    https:  github com MemFaceGo Better Blocks Mod tree 1 2 2B_x000D_
Diamond Ore v1 27    https:  github com z0mbiesrock Diamond Ore_x000D_
Extended Unit Arsenal v1    https:  github com Garmundo Extended unit arsenal_x000D_
Gold Mod v1 3    https:  github com TheSlaylord GoldMod_x000D_
Heavy Armaments v1 5 2    https:  steamcommunity com sharedfiles filedetails  id 2089324405 searchtext heavy arm_x000D_
Heavy Industries v1 5    https:  steamcommunity com sharedfiles filedetails  id 2174331393 searchtext heavy arm_x000D_
Hypertech Mod v2 52    https:  steamcommunity com sharedfiles filedetails  id 1938685360 searchtext Hypertech_x000D_
Mechanical Warfare v1 6    https:  github com JerichoFletcher mechanical warfare_x000D_
MicroAdd v0 01    https:  steamcommunity com sharedfiles filedetails  id 1958268202 searchtext MicroAdd_x000D_
Minfactory 0 1 0    https:  steamcommunity com sharedfiles filedetails  id 1933917221 searchtext Minfactory_x000D_
Opore Add Ons 1 8    https:  steamcommunity com sharedfiles filedetails  id 2195658922 searchtext opore_x000D_
Opore v63    https:  steamcommunity com sharedfiles filedetails  id 1903525208 searchtext opore_x000D_
routorio 1 22 2    https:  github com DeltaNedas routorio_x000D_
ShadowMod v1 11 3    https:  github com Pietro303HD ShadowMod_x000D_
Strindberg Mod v0 4 2    https:  steamcommunity com sharedfiles filedetails  id 1953477406 searchtext Strindberg_x000D_
Vanilla Enhanced v1 6    https:  github com HolyHades VanillaEnhanced_x000D_
_x000D_
  Crash report  :_x000D_
_x000D_
 Crash Report 1  (happened both on the host and on the client sides)_x000D_
_x000D_
   _x000D_
java lang NullPointerException_x000D_
	at mindustry world modules ItemModule add(ItemModule java:104)_x000D_
	at mindustry world blocks distribution Conveyor handleItem(Conveyor java:298)_x000D_
	at mindustry world blocks distribution Junction update(Junction java:64)_x000D_
	at mindustry entities type TileEntity update(TileEntity java:324)_x000D_
	at mindustry entities EntityGroup update(EntityGroup java:51)_x000D_
	at mindustry core Logic update(Logic java:241)_x000D_
	at arc ApplicationCore update(ApplicationCore java:36)_x000D_
	at mindustry ClientLauncher update(ClientLauncher java:138)_x000D_
	at arc backend sdl SdlApplication listen(SdlApplication java:158)_x000D_
	at arc backend sdl SdlApplication loop(SdlApplication java:146)_x000D_
	at arc backend sdl SdlApplication  init (SdlApplication java:52)_x000D_
	at mindustry desktop DesktopLauncher main(DesktopLauncher java:46)_x000D_
   _x000D_
_x000D_
 Crash Report 2  (client only crash)_x000D_
   _x000D_
java lang RuntimeException: Failed to to read remote method  onStateSnapshot  _x000D_
	at mindustry gen RemoteReadClient readPacket(RemoteReadClient java:303)_x000D_
	at mindustry core NetClient lambda new 4(NetClient java:134)_x000D_
	at mindustry net Net handleClientReceived(Net java:247)_x000D_
	at mindustry desktop steam SNet 1 update(SNet java:83)_x000D_
	at arc backend sdl SdlApplication listen(SdlApplication java:158)_x000D_
	at arc backend sdl SdlApplication loop(SdlApplication java:146)_x000D_
	at arc backend sdl SdlApplication  init (SdlApplication java:52)_x000D_
	at mindustry desktop DesktopLauncher main(DesktopLauncher java:46)_x000D_
Caused by: java lang NullPointerException_x000D_
	at mindustry world modules ItemModule read(ItemModule java:158)_x000D_
	at mindustry core NetClient onStateSnapshot(NetClient java:452)_x000D_
	at mindustry gen RemoteReadClient readPacket(RemoteReadClient java:301)_x000D_
	    7 more_x000D_
   _x000D_
_x000D_
   _x000D_
_x000D_
 Place an X (no spaces) between the brackets to confirm that you have read the line below    _x000D_
   X    I have searched the closed and open issues to make sure that this problem has not already been reported   _x000D_
</t>
  </si>
  <si>
    <t>Anuken-Mindustry-2402</t>
  </si>
  <si>
    <t>The ability to take resources as turrets. (Bleeding Edge)</t>
  </si>
  <si>
    <t xml:space="preserve">  Platform  : Android and Windows_x000D_
_x000D_
  Build  : Bleeding Edge 9374_x000D_
_x000D_
  Issue  : Turrets are capable to carry resources from structures when using turrets _x000D_
_x000D_
  Steps to reproduce  : _x000D_
1  Get into a turrets _x000D_
2  Select structures with resources in it such as drills _x000D_
3  Click or Tap the resources to take it _x000D_
4  It will end up the resources was taken to turret without ammo filled  (After taking resources  you can place the resources to any input structures or discard it )_x000D_
_x000D_
  Link to mod(s) used  if applicable  : No mods_x000D_
_x000D_
  Crash report  if applicable  : No crash_x000D_
_x000D_
   _x000D_
_x000D_
 Place an X (no spaces) between the brackets to confirm that you have read the line below    _x000D_
   X    I have searched the closed and open issues to make sure that this problem has not already been reported   _x000D_
</t>
  </si>
  <si>
    <t>Anuken-Mindustry-2398</t>
  </si>
  <si>
    <t>Bug(?) with hardware keyboards on Android</t>
  </si>
  <si>
    <t xml:space="preserve">  Platform  :  Android iOS Mac Windows Linux  Android 10
  Build  :  The build number under the title in the main menu  Required   9374
  Issue  :  Explain your issue in detail  
Mindustry reloads whenever the steps below are taken
  Steps to reproduce  :  How you happened across the issue  and what you were doing at the time  
1  Plug in a keyboard (using an otg adapter) to your device
2  Start Mindustry
3  Unplug the keyboard
4  Mindustry reloads
  Link to mod(s) used  if applicable  :  The mod repositories or zip files that are related to the issue  
none
  Crash report  if applicable  :  The contents of relevant crash report files  
Mindustry doesn t  crash  but here s the last log: https:  hastebin com covifogeta sql
 Place an X (no spaces) between the brackets to confirm that you have read the line below    
   X    I have searched the closed and open issues to make sure that this problem has not already been reported   
</t>
  </si>
  <si>
    <t>commons-app-apps-android-commons-3906</t>
  </si>
  <si>
    <t xml:space="preserve"> Turning off storage permissions while downloading will cause the app to crash</t>
  </si>
  <si>
    <t xml:space="preserve">  Summary:   _x000D_
Turning off storage permissions while downloading will cause the app to crash_x000D_
_x000D_
  Steps to reproduce:   _x000D_
1  Install and open commons_x000D_
2  Skip the tutorial_x000D_
3  Click any picture in the  explore _x000D_
4  Click the download icon in the upper right corner_x000D_
5  Give commons storage permissions_x000D_
6  Turn off the storage permissions of commons in the system settings_x000D_
7  Back to commons_x000D_
8  Crash_x000D_
_x000D_
  System logs:  _x000D_
_x000D_
   _x000D_
08 22 14:06:40 791 10424 10424 E AndroidRuntime: FATAL EXCEPTION: main_x000D_
08 22 14:06:40 791 10424 10424 E AndroidRuntime: Process: fr free nrw commons  PID: 10424_x000D_
08 22 14:06:40 791 10424 10424 E AndroidRuntime: java lang RuntimeException: Unable to resume activity  fr free nrw commons fr free nrw commons explore categories ExploreActivity : java lang NullPointerException: Attempt to invoke virtual method  java lang String fr free nrw commons Media getThumbUrl()  on a null object reference_x000D_
08 22 14:06:40 791 10424 10424 E AndroidRuntime:        at android app ActivityThread performResumeActivity(ActivityThread java:3863)_x000D_
08 22 14:06:40 791 10424 10424 E AndroidRuntime:        at android app ActivityThread handleResumeActivity(ActivityThread java:3895)_x000D_
08 22 14:06:40 791 10424 10424 E AndroidRuntime:        at android app servertransaction ResumeActivityItem execute(ResumeActivityItem java:51)_x000D_
08 22 14:06:40 791 10424 10424 E AndroidRuntime:        at android app servertransaction TransactionExecutor executeLifecycleState(TransactionExecutor java:145)_x000D_
08 22 14:06:40 791 10424 10424 E AndroidRuntime:        at android app servertransaction TransactionExecutor execute(TransactionExecutor java:70)_x000D_
08 22 14:06:40 791 10424 10424 E AndroidRuntime:        at android app ActivityThread H handleMessage(ActivityThread java:1839)_x000D_
08 22 14:06:40 791 10424 10424 E AndroidRuntime:        at android os Handler dispatchMessage(Handler java:106)_x000D_
08 22 14:06:40 791 10424 10424 E AndroidRuntime:        at android os Looper loop(Looper java:201)_x000D_
08 22 14:06:40 791 10424 10424 E AndroidRuntime:        at android app ActivityThread main(ActivityThread java:6861)_x000D_
08 22 14:06:40 791 10424 10424 E AndroidRuntime:        at java lang reflect Method invoke(Native Method)_x000D_
08 22 14:06:40 791 10424 10424 E AndroidRuntime:        at com android internal os RuntimeInit MethodAndArgsCaller run(RuntimeInit java:547)_x000D_
08 22 14:06:40 791 10424 10424 E AndroidRuntime:        at com android internal os ZygoteInit main(ZygoteInit java:873)_x000D_
08 22 14:06:40 791 10424 10424 E AndroidRuntime: Caused by: java lang NullPointerException: Attempt to invoke virtual method  java lang String fr free nrw commons Media getThumbUrl()  on a null object reference_x000D_
08 22 14:06:40 791 10424 10424 E AndroidRuntime:        at fr free nrw commons media MediaDetailFragment setupImageView(MediaDetailFragment java:261)_x000D_
08 22 14:06:40 791 10424 10424 E AndroidRuntime:        at fr free nrw commons media MediaDetailFragment displayMediaDetails(MediaDetailFragment java:242)_x000D_
08 22 14:06:40 791 10424 10424 E AndroidRuntime:        at fr free nrw commons media MediaDetailFragment onResume(MediaDetailFragment java:237)_x000D_
08 22 14:06:40 791 10424 10424 E AndroidRuntime:        at androidx fragment app Fragment performResume(Fragment java:2499)_x000D_
08 22 14:06:40 791 10424 10424 E AndroidRuntime:        at androidx fragment app FragmentManagerImpl moveToState(FragmentManagerImpl java:926)_x000D_
08 22 14:06:40 791 10424 10424 E AndroidRuntime:        at androidx fragment app FragmentManagerImpl moveFragmentToExpectedState(FragmentManagerImpl java:1229)_x000D_
08 22 14:06:40 791 10424 10424 E AndroidRuntime:        at androidx fragment app FragmentManagerImpl moveToState(FragmentManagerImpl java:1295)_x000D_
08 22 14:06:40 791 10424 10424 E AndroidRuntime:        at androidx fragment app FragmentManagerImpl dispatchStateChange(FragmentManagerImpl java:2605)_x000D_
08 22 14:06:40 791 10424 10424 E AndroidRuntime:        at androidx fragment app FragmentManagerImpl dispatchResume(FragmentManagerImpl java:2577)_x000D_
08 22 14:06:40 791 10424 10424 E AndroidRuntime:        at androidx fragment app Fragment performResume(Fragment java:2505)_x000D_
08 22 14:06:40 791 10424 10424 E AndroidRuntime:        at androidx fragment app FragmentManagerImpl moveToState(FragmentManagerImpl java:926)_x000D_
08 22 14:06:40 791 10424 10424 E AndroidRuntime:        at androidx fragment app FragmentManagerImpl moveFragmentToExpectedState(FragmentManagerImpl java:1229)_x000D_
08 22 14:06:40 791 10424 10424 E AndroidRuntime:        at androidx fragment app FragmentManagerImpl moveToState(FragmentManagerImpl java:1295)_x000D_
08 22 14:06:40 791 10424 10424 E AndroidRuntime:        at androidx fragment app FragmentManagerImpl dispatchStateChange(FragmentManagerImpl java:2605)_x000D_
08 22 14:06:40 791 10424 10424 E AndroidRuntime:        at androidx fragment app FragmentManagerImpl dispatchResume(FragmentManagerImpl java:2577)_x000D_
08 22 14:06:40 791 10424 10424 E AndroidRuntime:        at androidx fragment app FragmentController dispatchResume(FragmentController java:267)_x000D_
08 22 14:06:40 791 10424 10424 E AndroidRuntime:        at androidx fragment app FragmentActivity onResumeFragments(FragmentActivity java:463)_x000D_
08 22 14:06:40 791 10424 10424 E AndroidRuntime:        at androidx fragment app FragmentActivity onPostResume(FragmentActivity java:453)_x000D_
08 22 14:06:40 791 10424 10424 E AndroidRuntime:        at androidx appcompat app AppCompatActivity onPostResume(AppCompatActivity java:173)_x000D_
08 22 14:06:40 791 10424 10424 E AndroidRuntime:        at android app Activity performResume(Activity java:7438)_x000D_
08 22 14:06:40 791 10424 10424 E AndroidRuntime:        at android app ActivityThread performResumeActivity(ActivityThread java:3855)_x000D_
08 22 14:06:40 791 10424 10424 E AndroidRuntime:            11 more_x000D_
   _x000D_
_x000D_
  Device and Android version:   _x000D_
_x000D_
Device1:  MI CC 9e _x000D_
OS version1:  MIUI 10 2 10 _x000D_
Device2:  PIXEL XL _x000D_
OS version2:  Android 10 0 _x000D_
 _x000D_
  Commons app version:   _x000D_
App version:  2 12 3 _x000D_
_x000D_
  Screen shots:   _x000D_
_x000D_
  ezgif com video to gif (11) (https:  user images githubusercontent com 15941953 90950276 97177600 e482 11ea 8fd1 72953b9b793b gif)_x000D_
_x000D_
</t>
  </si>
  <si>
    <t>nextcloud-android-6776</t>
  </si>
  <si>
    <t>Crash with two-factor auth via notifications.</t>
  </si>
  <si>
    <t xml:space="preserve">    Steps to reproduce_x000D_
0  Set up Russian language on your phone_x000D_
1  Install two factor auth via notifications_x000D_
2  Put login and password in browser_x000D_
3  Get notification_x000D_
4  Confirm login and get crash_x000D_
_x000D_
    Expected behaviour_x000D_
Login confirmation_x000D_
_x000D_
    Actual behaviour_x000D_
  Login confirmation and app crashes after it_x000D_
_x000D_
    Environment data_x000D_
Android version: 10_x000D_
_x000D_
Device model: Realme 6 pro_x000D_
_x000D_
Stock or customized system: Stock_x000D_
_x000D_
Nextcloud app version: 3 12 1_x000D_
_x000D_
Nextcloud server version: 19 0 1_x000D_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java:919)_x000D_
Caused by: java lang ClassNotFoundException: com google firebase analytics connector AnalyticsConnector_x000D_
     8 more_x000D_
_x000D_
             APP INFORMATION             _x000D_
ID: com nextcloud client_x000D_
Version: 30120190_x000D_
Build flavor: gplay_x000D_
_x000D_
             DEVICE INFORMATION             _x000D_
Brand: realme_x000D_
Device: RMX2063L1_x000D_
Model: RMX2063_x000D_
Id: QKQ1 191222 002_x000D_
Product: RMX2063RU_x000D_
_x000D_
             FIRMWARE             _x000D_
SDK: 29_x000D_
Release: 10_x000D_
Incremental: 1591676689</t>
  </si>
  <si>
    <t>Anuken-Mindustry-2394</t>
  </si>
  <si>
    <t>Cannot load mod that contains Chinese named content in steam version</t>
  </si>
  <si>
    <t xml:space="preserve">  Platform  :  Android iOS Mac Windows Linux _x000D_
Linux (Arch Linux X64  KDE 5)_x000D_
_x000D_
  Build  :  The build number under the title in the main menu  Required  _x000D_
104 10 Steam version_x000D_
_x000D_
  Issue  :  Explain your issue in detail  _x000D_
Cannot load mod that contains Chinese named content  This problem also seems to occur in the non Chinese version of Windows 10 _x000D_
_x000D_
But this problem does not occur in my custom build that use source code from github code tag 104 6  (I don t have non Chinese version of Windows 10  I tested on Linux)_x000D_
_x000D_
  Steps to reproduce  :  How you happened across the issue  and what you were doing at the time  _x000D_
1  Place a mod contains Chinese content in steam version Mindistry path_x000D_
2  Start game  the game crashes_x000D_
_x000D_
  Link to mod(s) used  if applicable  :  The mod repositories or zip files that are related to the issue  _x000D_
https:  github com abomb4 m wall_x000D_
_x000D_
  Crash report  if applicable  :  The contents of relevant crash report files  _x000D_
https:  github com abomb4 m wall blob master crash report 08 21 2020 22 37 04 txt_x000D_
_x000D_
   _x000D_
_x000D_
 Place an X (no spaces) between the brackets to confirm that you have read the line below    _x000D_
   X    I have searched the closed and open issues to make sure that this problem has not already been reported   _x000D_
</t>
  </si>
  <si>
    <t>TeamNewPipe-NewPipe-4172</t>
  </si>
  <si>
    <t>Can only play/download 360p and 720p</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</si>
  <si>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1  Go to this video https:  www youtube com watch v iCUl1nMH5bE_x000D_
2  Press on Play and play in 1080p resolution_x000D_
_x000D_
or_x000D_
_x000D_
2  Press download and download in 1080p resolution_x000D_
     If you can t cause the bug to show up again reliably (and hence don t have a proper set of steps to give us)  please still try to give as many details as possible on how you think you encountered the bug     _x000D_
_x000D_
    Expected behavior_x000D_
Be able to play any resolutions  like on Youtube app _x000D_
_x000D_
    Actual behaviour_x000D_
On some rare unpopular videos  only 360p and 720p can be played or download _x000D_
_x000D_
If you download and select resolution  you can see only 720p and 360p show video size  means only them can be downloaded_x000D_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20200821 144929 (https:  user images githubusercontent com 64008639 90892990 81d91380 e3be 11ea 92f5 d08a0b516b28 png)_x000D_
_x000D_
  Screenshot 20200821 150020 (https:  user images githubusercontent com 64008639 90893338 1b082a00 e3bf 11ea 981d edde4ff8ff9a png)_x000D_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This is the log when you try to download 1080p_x000D_
_x000D_
   _x000D_
08 21 14:56:52 145 E DownloadInitializer( 6437): initializer failed  retrying_x000D_
08 21 14:56:52 145 E DownloadInitializer( 6437): us shandian giga get DownloadMission HttpError: HTTP 404_x000D_
08 21 14:56:52 145 E DownloadInitializer( 6437): 	at us shandian giga get DownloadMission establishConnection(DownloadMission java:269)_x000D_
08 21 14:56:52 145 E DownloadInitializer( 6437): 	at us shandian giga get DownloadInitializer run(DownloadInitializer java:58)_x000D_
08 21 14:56:52 245 D SDM     (  914): DisplayBase::BuildLayerStackStats: LayerStack layer count: 4  app layer count: 3  gpu target index: 3  display type: 0_x000D_
08 21 14:56:52 251 E DownloadInitializer( 6437): initializer failed  retrying_x000D_
08 21 14:56:52 251 E DownloadInitializer( 6437): us shandian giga get DownloadMission HttpError: HTTP 404_x000D_
08 21 14:56:52 251 E DownloadInitializer( 6437): 	at us shandian giga get DownloadMission establishConnection(DownloadMission java:269)_x000D_
08 21 14:56:52 251 E DownloadInitializer( 6437): 	at us shandian giga get DownloadInitializer run(DownloadInitializer java:58)_x000D_
08 21 14:56:52 261 D SDM     (  914): DisplayBase::BuildLayerStackStats: LayerStack layer count: 4  app layer count: 3  gpu target index: 3  display type: 0_x000D_
08 21 14:56:52 353 E DownloadInitializer( 6437): initializer failed_x000D_
08 21 14:56:52 353 E DownloadInitializer( 6437): us shandian giga get DownloadMission HttpError: HTTP 404_x000D_
08 21 14:56:52 353 E DownloadInitializer( 6437): 	at us shandian giga get DownloadMission establishConnection(DownloadMission java:269)_x000D_
08 21 14:56:52 353 E DownloadInitializer( 6437): 	at us shandian giga get DownloadInitializer run(DownloadInitializer java:58)_x000D_
08 21 14:56:52 354 E DownloadMission( 6437): notifyError()_x000D_
08 21 14:56:52 354 E DownloadMission( 6437): us shandian giga get DownloadMission HttpError: HTTP 404_x000D_
08 21 14:56:52 354 E DownloadMission( 6437): 	at us shandian giga get DownloadMission establishConnection(DownloadMission java:269)_x000D_
08 21 14:56:52 354 E DownloadMission( 6437): 	at us shandian giga get DownloadInitializer run(DownloadInitializer java:58)_x000D_
08 21 14:56:52 354 E DownloadMission( 6437): notifyError() code   404_x000D_
   </t>
  </si>
  <si>
    <t>Anuken-Mindustry-2392</t>
  </si>
  <si>
    <t>Pathfinding causes OOM crash</t>
  </si>
  <si>
    <t xml:space="preserve">  Platform  : Android 9_x000D_
_x000D_
  Build  : 9362_x000D_
_x000D_
  Issue  : Unit pathfinding has a stroke and tries to allocate far too much memory_x000D_
_x000D_
  Steps to reproduce  :_x000D_
1  Build some routerpedes_x000D_
2  Control one (movement is very weird don t know why)_x000D_
3  Control another_x000D_
4  Crashed a few seconds later_x000D_
_x000D_
  Link to mod(s) used  if applicable  : DeltaNedas routorio_x000D_
_x000D_
  Crash report  if applicable  :  crash 1597992159178 txt (https:  github com Anuken Mindustry files 5107233 crash 1597992159178 txt)_x000D_
_x000D_
   _x000D_
_x000D_
 Place an X (no spaces) between the brackets to confirm that you have read the line below    _x000D_
   X    I have searched the closed and open issues to make sure that this problem has not already been reported   _x000D_
</t>
  </si>
  <si>
    <t>TeamNewPipe-NewPipe-4169</t>
  </si>
  <si>
    <t>Minimum brightness is brighter than just above minimum</t>
  </si>
  <si>
    <t xml:space="preserve">
Oh no  a bug  It happens  Thanks for reporting an issue with NewPipe  If this is your first bug report  read the following information before proceeding: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P S : Our contribution guidelines might be a nice document to read before you fill out the report :) You can find it at https:  github com TeamNewPipe NewPipe blob HEAD  github CONTRIBUTING md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Version
     Which version are you using  Hopefully the latest  We just told you that above     
    Steps to reproduce the bug
1  Go to      
2  Press on       
3  Swipe down to       
1  Open a video
2  Lower the brightness to minimum
3  Increase a bit brightness
     If you can t cause the bug to show up again reliably (and hence don t have a proper set of steps to give us)  please still try to give as many details as possible on how you think you encountered the bug     
    Expected behavior
     Tell us what you expect to happen     
It s brighter than minimum
    Actual behaviour
     Tell us what happens instead     
It s darker than minimum brightness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Logs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That s right  here     
</t>
  </si>
  <si>
    <t>TeamNewPipe-NewPipe-4168</t>
  </si>
  <si>
    <t>I can't play any video ( can't analize the web)</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</si>
  <si>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_x000D_
2  Press on       _x000D_
3  Swipe down to       _x000D_
   _x000D_
 1  Click on a video_x000D_
2  Wait a few seconds_x000D_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info page is shown and I can play a video_x000D_
    Actual behaviour_x000D_
     Tell us what happens instead     _x000D_
The Guru Meditation screen pop ups just after I open any video_x000D_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requested stream_x000D_
    Request:   https:  www youtube com watch v eAe2eIs9Em8_x000D_
    Content Country:   MX_x000D_
    Content Language:   en_x000D_
    App Language:   es MX_x000D_
    Service:   YouTube_x000D_
    Version:   0 19 8_x000D_
    OS:   Linux xiaomi tissot tissot sprout:9 PKQ1 180917 001 V10 0 22 0 PDHMIXM:user release keys 9   28_x000D_
 details  summary  b Crash log   b   summary  p _x000D_
_x000D_
   _x000D_
org schabi newpipe extractor exceptions ParsingException: Could not load decryption code for the Youtube service _x000D_
	at org schabi newpipe extractor services youtube extractors YoutubeStreamExtractor getPlayerUrl(YoutubeStreamExtractor java:706)_x000D_
	at org schabi newpipe extractor services youtube extractors YoutubeStreamExtractor onFetchPage(YoutubeStreamExtractor java:656)_x000D_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NullPointerException: Attempt to invoke virtual method  boolean java lang String startsWith(java lang String)  on a null object reference_x000D_
	at org schabi newpipe extractor services youtube extractors YoutubeStreamExtractor getPlayerUrl(YoutubeStreamExtractor java:701)_x000D_
	    30 more_x000D_
_x000D_
   _x000D_
  details _x000D_
 hr _x000D_
</t>
  </si>
  <si>
    <t>inaturalist-iNaturalistAndroid-891</t>
  </si>
  <si>
    <t>NullPointerException in TwoWayView.getChildEndEdge</t>
  </si>
  <si>
    <t xml:space="preserve">https:  console firebase google com u 2 project inaturalist ios crashlytics app android:org inaturalist android issues 56e4b1dcffcdc04250ca14a1_x000D_
_x000D_
This seems like a crash in a 3rd party lib so I m not sure if we can do anything about it  but it is a rising crash in recent builds (mostly 1 20 x)_x000D_
_x000D_
   _x000D_
Fatal Exception: java lang NullPointerException: Attempt to invoke virtual method  int android view View getRight()  on a null object reference_x000D_
       at org lucasr twowayview TwoWayView getChildEndEdge(TwoWayView java:3051)_x000D_
       at org lucasr twowayview TwoWayView fillGap(TwoWayView java:5112)_x000D_
       at org lucasr twowayview TwoWayView scrollListItemsBy(TwoWayView java:3235)_x000D_
       at org lucasr twowayview TwoWayView computeScroll(TwoWayView java:3289)_x000D_
       at android view View updateDisplayListIfDirty(View java:20466)_x000D_
       at android view ViewGroup recreateChildDisplayList(ViewGroup java:4428)_x000D_
       at android view ViewGroup dispatchGetDisplayList(ViewGroup java:4401)_x000D_
       at android view View updateDisplayListIfDirty(View java:20441)_x000D_
       at android view ViewGroup recreateChildDisplayList(ViewGroup java:4428)_x000D_
       at android view ViewGroup dispatchGetDisplayList(ViewGroup java:4401)_x000D_
       at android view View updateDisplayListIfDirty(View java:20441)_x000D_
       at android view ViewGroup recreateChildDisplayList(ViewGroup java:4428)_x000D_
       at android view ViewGroup dispatchGetDisplayList(ViewGroup java:4401)_x000D_
       at android view View updateDisplayListIfDirty(View java:20441)_x000D_
       at android view ViewGroup recreateChildDisplayList(ViewGroup java:4428)_x000D_
       at android view ViewGroup dispatchGetDisplayList(ViewGroup java:4401)_x000D_
       at android view View updateDisplayListIfDirty(View java:20441)_x000D_
       at android view ViewGroup recreateChildDisplayList(ViewGroup java:4428)_x000D_
       at android view ViewGroup dispatchGetDisplayList(ViewGroup java:4401)_x000D_
       at android view View updateDisplayListIfDirty(View java:20441)_x000D_
       at android view ViewGroup recreateChildDisplayList(ViewGroup java:4428)_x000D_
       at android view ViewGroup dispatchGetDisplayList(ViewGroup java:4401)_x000D_
       at android view View updateDisplayListIfDirty(View java:20441)_x000D_
       at android view ViewGroup recreateChildDisplayList(ViewGroup java:4428)_x000D_
       at android view ViewGroup dispatchGetDisplayList(ViewGroup java:4401)_x000D_
       at android view View updateDisplayListIfDirty(View java:20441)_x000D_
       at android view ViewGroup recreateChildDisplayList(ViewGroup java:4428)_x000D_
       at android view ViewGroup dispatchGetDisplayList(ViewGroup java:4401)_x000D_
       at android view View updateDisplayListIfDirty(View java:20441)_x000D_
       at android view ViewGroup recreateChildDisplayList(ViewGroup java:4428)_x000D_
       at android view ViewGroup dispatchGetDisplayList(ViewGroup java:4401)_x000D_
       at android view View updateDisplayListIfDirty(View java:20441)_x000D_
       at android view ThreadedRenderer updateViewTreeDisplayList(ThreadedRenderer java:584)_x000D_
       at android view ThreadedRenderer updateRootDisplayList(ThreadedRenderer java:590)_x000D_
       at android view ThreadedRenderer draw(ThreadedRenderer java:668)_x000D_
       at android view ViewRootImpl draw(ViewRootImpl java:3840)_x000D_
       at android view ViewRootImpl performDraw(ViewRootImpl java:3648)_x000D_
       at android view ViewRootImpl performTraversals(ViewRootImpl java:2954)_x000D_
       at android view ViewRootImpl doTraversal(ViewRootImpl java:1857)_x000D_
       at android view ViewRootImpl TraversalRunnable run(ViewRootImpl java:8089)_x000D_
       at android view Choreographer CallbackRecord run(Choreographer java:1057)_x000D_
       at android view Choreographer doCallbacks(Choreographer java:875)_x000D_
       at android view Choreographer doFrame(Choreographer java:776)_x000D_
       at android view Choreographer FrameDisplayEventReceiver run(Choreographer java:1042)_x000D_
       at android os Handler handleCallback(Handler java:888)_x000D_
       at android os Handler dispatchMessage(Handler java:100)_x000D_
       at android os Looper loop(Looper java:213)_x000D_
       at android app ActivityThread main(ActivityThread java:8178)_x000D_
       at java lang reflect Method invoke(Method java)_x000D_
       at com android internal os RuntimeInit MethodAndArgsCaller run(RuntimeInit java:513)_x000D_
       at com android internal os ZygoteInit main(ZygoteInit java:1101)_x000D_
   </t>
  </si>
  <si>
    <t>nextcloud-android-6766</t>
  </si>
  <si>
    <t>App crashes after loading file list</t>
  </si>
  <si>
    <t xml:space="preserve">    Steps to reproduce_x000D_
1  Have an existing account already added to the app  in my case it s been there for several updates_x000D_
2  Add a new account_x000D_
3  Nextcloud now crashes when it s able to connect to the newly added account s serverr _x000D_
_x000D_
_x000D_
_x000D_
    Environment data_x000D_
Nextcloud server versions: 19 0 1_x000D_
_x000D_
Android stack trace:_x000D_
             CAUSE OF ERROR             _x000D_
_x000D_
java lang IllegalArgumentException: Parameter specified as non null is null: method kotlin jvm internal Intrinsics checkParameterIsNotNull  parameter value_x000D_
	at com owncloud android datamodel ArbitraryDataSet  init (Unknown Source:12)_x000D_
	at com owncloud android datamodel ArbitraryDataProvider getArbitraryDataSet(ArbitraryDataProvider java:207)_x000D_
	at com owncloud android datamodel ArbitraryDataProvider storeOrUpdateKeyValue(ArbitraryDataProvider java:67)_x000D_
	at com owncloud android operations RefreshFolderOperation updateDirectEditing(RefreshFolderOperation java:313)_x000D_
	at com owncloud android operations RefreshFolderOperation updateCapabilities(RefreshFolderOperation java:295)_x000D_
	at com owncloud android operations RefreshFolderOperation updateOCVersion(RefreshFolderOperation java:270)_x000D_
	at com owncloud android operations RefreshFolderOperation run(RefreshFolderOperation java:223)_x000D_
	at com owncloud android lib common operations RemoteOperation run(RemoteOperation java:360)_x000D_
	at java lang Thread run(Thread java:919)_x000D_
_x000D_
             APP INFORMATION             _x000D_
ID: com nextcloud client_x000D_
Version: 30130090_x000D_
Build flavor: gplay_x000D_
_x000D_
             DEVICE INFORMATION             _x000D_
Brand: samsung_x000D_
Device: a71_x000D_
Model: SM A715F_x000D_
Id: QP1A 190711 020_x000D_
Product: a71naeea_x000D_
_x000D_
             FIRMWARE             _x000D_
SDK: 29_x000D_
Release: 10_x000D_
Incremental: A715FXXU2ATG1_x000D_
_x000D_
Hope this helps the project  if there are any more logs needed feel free to ask </t>
  </si>
  <si>
    <t>aws-amplify-amplify-android-752</t>
  </si>
  <si>
    <t>Amplify submitEventsAndEndpoint Exception</t>
  </si>
  <si>
    <t xml:space="preserve">  Describe the bug  _x000D_
We are using Amplify to send client side events to Pinpoint and Kinesis  For a small percentage (about 0 5 ) of our users  our application crashes occasionally _x000D_
_x000D_
Unfortunately the stack trace from Firebase Crashlytics is not very helpful  On top of this  it appears that this crash is coming from a new thread created by the SDK  which makes it impossible for us to catch the exception on our side _x000D_
_x000D_
   console_x000D_
Fatal Exception: java lang ArrayIndexOutOfBoundsException: length 8192  index 8192_x000D_
       at com android okhttp okio Buffer writeByte(Buffer java:973)_x000D_
       at com android okhttp internal Platform concatLengthPrefixed(Platform java:212)_x000D_
       at com android okhttp internal Platform configureTlsExtensions(Platform java:116)_x000D_
       at com android okhttp internal io RealConnection connectTls(RealConnection java:187)_x000D_
       at com android okhttp internal io RealConnection connectSocket(RealConnection java:149)_x000D_
       at com android okhttp internal io RealConnection connect(RealConnection java:112)_x000D_
       at com android okhttp internal http StreamAllocation findConnection(StreamAllocation java:184)_x000D_
       at com android okhttp internal http StreamAllocation findHealthyConnection(StreamAllocation java:126)_x000D_
       at com android okhttp internal http StreamAllocation newStream(StreamAllocation java:95)_x000D_
       at com android okhttp internal http HttpEngine connect(HttpEngine java:281)_x000D_
       at com android okhttp internal http HttpEngine sendRequest(HttpEngine java:224)_x000D_
       at com android okhttp internal huc HttpURLConnectionImpl execute(HttpURLConnectionImpl java:461)_x000D_
       at com android okhttp internal huc HttpURLConnectionImpl connect(HttpURLConnectionImpl java:127)_x000D_
       at com android okhttp internal huc HttpURLConnectionImpl getOutputStream(HttpURLConnectionImpl java:258)_x000D_
       at com android okhttp internal huc DelegatingHttpsURLConnection getOutputStream(DelegatingHttpsURLConnection java:218)_x000D_
       at com android okhttp internal huc HttpsURLConnectionImpl getOutputStream(HttpsURLConnectionImpl java:26)_x000D_
       at com amazonaws http UrlHttpClient b(UrlHttpClient java:34)_x000D_
       at com amazonaws http UrlHttpClient execute(UrlHttpClient java:43)_x000D_
       at com amazonaws http AmazonHttpClient a(AmazonHttpClient java:373)_x000D_
       at com amazonaws http AmazonHttpClient execute(AmazonHttpClient java:11)_x000D_
       at com amazonaws services pinpoint AmazonPinpointClient invoke(AmazonPinpointClient java:58)_x000D_
       at com amazonaws services pinpoint AmazonPinpointClient putEvents(AmazonPinpointClient java:47)_x000D_
       at com amazonaws mobileconnectors pinpoint internal event EventRecorder submitEventsAndEndpoint(EventRecorder java:34)_x000D_
       at com amazonaws mobileconnectors pinpoint internal event EventRecorder submitEventsAndEndpoint(EventRecorder java:10)_x000D_
       at com amazonaws mobileconnectors pinpoint internal event EventRecorder a(EventRecorder java:75)_x000D_
       at com amazonaws mobileconnectors pinpoint internal event EventRecorder 1 run(EventRecorder java:2)_x000D_
       at java util concurrent ThreadPoolExecutor runWorker(ThreadPoolExecutor java:1167)_x000D_
       at java util concurrent ThreadPoolExecutor Worker run(ThreadPoolExecutor java:641)_x000D_
       at java lang Thread run(Thread java:798)_x000D_
   _x000D_
_x000D_
  To Reproduce  _x000D_
To initialize the SDK:_x000D_
   kotlin_x000D_
   _x000D_
   Initialize the AWS Amplify libraries _x000D_
   _x000D_
private fun initializeAmplify()  _x000D_
  try  _x000D_
    Amplify addPlugin(AWSCognitoAuthPlugin())_x000D_
    Amplify addPlugin(AWSPinpointAnalyticsPlugin(this))_x000D_
    Amplify configure(applicationContext)_x000D_
    catch (error: AmplifyException)  _x000D_
_x000D_
   _x000D_
 _x000D_
   _x000D_
_x000D_
To send events:_x000D_
   kotlin_x000D_
   _x000D_
   Map an event to an AWS amplify event _x000D_
  _x000D_
    param eventName The name of the event _x000D_
    param bundle The parameters of the event _x000D_
   _x000D_
private fun sendAmplifyEvent(eventName: String  bundle: Bundle)  _x000D_
  var event: AnalyticsEvent Builder   AnalyticsEvent builder() name(eventName)_x000D_
_x000D_
     Amplify only supports: Boolean  Double  Int  String type params _x000D_
  bundle keySet() forEach  _x000D_
    when (val bundleParam   bundle get(it))  _x000D_
      is Boolean    event   event addProperty(it  bundleParam)_x000D_
      is Double    event   event addProperty(it  bundleParam)_x000D_
      is Int    event   event addProperty(it  bundleParam)_x000D_
      is String    event   event addProperty(it  bundleParam)_x000D_
     _x000D_
   _x000D_
_x000D_
  Amplify Analytics recordEvent(event build())_x000D_
 _x000D_
   _x000D_
_x000D_
To set user properties:_x000D_
   kotlin_x000D_
   _x000D_
  Map user properties to AWS amplify user properties _x000D_
 _x000D_
   param bundle The parameters of the user properties _x000D_
  _x000D_
private fun setAmplifyUserProperties(bundle: Bundle)  _x000D_
  var properties: AnalyticsProperties Builder   AnalyticsProperties builder()_x000D_
_x000D_
     Amplify only supports: Boolean  Double  Int  String type params _x000D_
  bundle keySet() forEach  _x000D_
    when (val bundleParam   bundle get(it))  _x000D_
      is Boolean    properties   properties add(it  bundleParam)_x000D_
      is Double    properties   properties add(it  bundleParam)_x000D_
      is Int    properties   properties add(it  bundleParam)_x000D_
      is String    properties   properties add(it  bundleParam)_x000D_
     _x000D_
   _x000D_
_x000D_
  Amplify Analytics registerGlobalProperties(properties build())_x000D_
 _x000D_
   _x000D_
_x000D_
To set user id:_x000D_
   kotlin_x000D_
   _x000D_
  Set the user id for the user in Amplify _x000D_
 _x000D_
   param userID The user s ID _x000D_
  _x000D_
fun setAmplifyUserID(userID: String)  _x000D_
  val properties   AnalyticsProperties builder() add( uid   userID) build()_x000D_
  val profile   UserProfile builder() customProperties(properties) build()_x000D_
  Amplify Analytics identifyUser(userID  profile)_x000D_
 _x000D_
   _x000D_
_x000D_
Also worth noting that we disabled some additional permissions that the library was requiring in our Manifest:_x000D_
   xml_x000D_
     Prevent extra permissions from being merged    _x000D_
 uses permission android:name  android permission READ PHONE STATE  tools:node  remove   _x000D_
 uses permission android:name  android permission WRITE EXTERNAL STORAGE  tools:node  remove   _x000D_
   _x000D_
_x000D_
  Which AWS service(s) are affected   _x000D_
None_x000D_
_x000D_
  Expected behavior  _x000D_
The behavior is working correctly  We do see the events in Pinpoint  The only problem is that the Amplify SDK is causing some client side crashes on Android that we can observe through Firebase Crashlytics _x000D_
_x000D_
  Screenshots  _x000D_
None_x000D_
_x000D_
  Environment Information (please complete the following information):  _x000D_
The AWS Amplify SDK s we are importing through Gradle:_x000D_
   gradle_x000D_
implementation  com amplifyframework:core:1 1 1 _x000D_
implementation  com amplifyframework:aws analytics pinpoint:1 1 1 _x000D_
implementation  com amplifyframework:aws auth cognito:1 1 1 _x000D_
   _x000D_
_x000D_
Device breakdown:_x000D_
     of crashes   Manufacturer   _x000D_
                                 _x000D_
  6     TCL         _x000D_
  5     Xiaomi      _x000D_
  5     HMD Global  _x000D_
  28    Other       _x000D_
  56       Motorola            _x000D_
_x000D_
Version breakdown:_x000D_
    of crashes   OS version  _x000D_
                             _x000D_
  81        Android 9  _x000D_
  18        Android 8  _x000D_
_x000D_
Not specific to simulators  We are observing this in production on a very small subset of users  We have not been able to reproduce it ourselves _x000D_
</t>
  </si>
  <si>
    <t>PhenoApps-Field-Book-145</t>
  </si>
  <si>
    <t>[BUG] Crashes after loading backup.db or deleting db and navigating to trait activity.</t>
  </si>
  <si>
    <t xml:space="preserve">  Describe the bug  _x000D_
FieldBook crashes on a fresh install when navigating to Traits after deleting the current db or importing the backup db _x000D_
_x000D_
  To Reproduce  _x000D_
Steps to reproduce the behavior on AVD:_x000D_
1  Say no to both dialogs on load _x000D_
2  Navigate to settings    database    delete database (or import backup db)  press yes both times_x000D_
3  Press back  press no both times again _x000D_
4  Press Traits_x000D_
_x000D_
Steps to reproduce the behavior on physical device:_x000D_
1  Say no to both dialogs on load _x000D_
2  Navigate to settings    database    delete database (or import backup db)  press yes both times_x000D_
3  Press back  press no both times again _x000D_
4  Press Traits  screen flashes white for a few seconds and goes to settings page_x000D_
5  Go to step (2) and it will crash when step (4) is reached again _x000D_
_x000D_
  Expected behavior  _x000D_
The app doesn t crash _x000D_
_x000D_
  Device Info (please complete the following information):  _x000D_
   Model: Moto X and Pixel 2 AVD_x000D_
   OS: Android 9_x000D_
   Field Book Version 4 3 1_x000D_
</t>
  </si>
  <si>
    <t>Anuken-Mindustry-2385</t>
  </si>
  <si>
    <t>Nodes doesn't reconnect after picking with Mega</t>
  </si>
  <si>
    <t xml:space="preserve">  Platform  :  Windows 10 _x000D_
_x000D_
  Build  :  BE 9350 _x000D_
_x000D_
  Issue  :  When I place three nodes and connect them  and pick middle node with mega  then place it there again  it connects only to first of nodes _x000D_
_x000D_
  Steps to reproduce  :  Place three nodes in order  get into Mega  pick one of the nodes  place it back _x000D_
_x000D_
  Link to mod(s) used  if applicable  :  Vanilla _x000D_
_x000D_
  Crash report  if applicable  :  No crashes _x000D_
_x000D_
   _x000D_
_x000D_
 Place an X (no spaces) between the brackets to confirm that you have read the line below    _x000D_
   X    I have searched the closed and open issues to make sure that this problem has not already been reported   _x000D_
</t>
  </si>
  <si>
    <t>norkator-paketin-seuranta-53</t>
  </si>
  <si>
    <t>CursorIndexOutOfBoundsException</t>
  </si>
  <si>
    <t xml:space="preserve">  image (https:  user images githubusercontent com 55850510 90764632 41f82a80 e2f1 11ea 9c6f 743b61a6ff81 png)_x000D_
_x000D_
This kind of bug is very high on crash logs _x000D_
_x000D_
Another crash log has similar point but onOptionsItemSelected different_x000D_
 at com nitramite paketinseuranta Parcel getParcelItems (Parcel java:412)_x000D_
  at com nitramite paketinseuranta Parcel onOptionsItemSelected (Parcel java:954)</t>
  </si>
  <si>
    <t>TeamNewPipe-NewPipe-4165</t>
  </si>
  <si>
    <t>Random crash while trying to play some specific videos</t>
  </si>
  <si>
    <t xml:space="preserve"> _x000D_
    Version_x000D_
  0 19 8 (F Droid)_x000D_
_x000D_
_x000D_
    Logs_x000D_
   Exception_x000D_
    User Action:   ui error_x000D_
    Request:   App crash  UI failure_x000D_
    Content Country:   GB_x000D_
    Content Language:   en GB_x000D_
    App Language:   en GB_x000D_
    Service:   none_x000D_
    Version:   0 19 8_x000D_
    OS:   Linux HONOR LND AL30 HWLND Q:8 0 0 HONORLND AL30 184(C675):user release keys 8 0 0   26_x000D_
 details  summary  b Crash log   b   summary  p _x000D_
_x000D_
   _x000D_
android content ActivityNotFoundException: No Activity found to handle Intent   act android intent action VIEW dat https:  github com     pkg com huawei android internal app  _x000D_
	at android app Instrumentation checkStartActivityResult(Instrumentation java:1981)_x000D_
	at android app Instrumentation execStartActivity(Instrumentation java:1636)_x000D_
	at android app Activity startActivityForResult(Activity java:4762)_x000D_
	at androidx fragment app FragmentActivity startActivityForResult(FragmentActivity java:675)_x000D_
	at android app Activity startActivityForResult(Activity java:4702)_x000D_
	at androidx fragment app FragmentActivity startActivityForResult(FragmentActivity java:662)_x000D_
	at android app Activity startActivity(Activity java:5123)_x000D_
	at android app Activity startActivity(Activity java:5091)_x000D_
	at org schabi newpipe util ShareUtils openUrlInBrowser(ShareUtils java:36)_x000D_
	at org schabi newpipe report ErrorActivity lambda openPrivacyPolicyDialog 6 ErrorActivity(ErrorActivity java:296)_x000D_
	at org schabi newpipe report    Lambda ErrorActivity 5 1f6 qlMC4kGJ25uzULCSB nFE onClick(Unknown Source:4)_x000D_
	at com android internal app AlertController ButtonHandler handleMessage(AlertController java:168)_x000D_
	at android os Handler dispatchMessage(Handler java:108)_x000D_
	at android os Looper loop(Looper java:166)_x000D_
	at android app ActivityThread main(ActivityThread java:7529)_x000D_
	at java lang reflect Method invoke(Native Method)_x000D_
	at com android internal os Zygote MethodAndArgsCaller run(Zygote java:245)_x000D_
	at com android internal os ZygoteInit main(ZygoteInit java:921)_x000D_
_x000D_
   _x000D_
  details _x000D_
 hr _x000D_
_x000D_
</t>
  </si>
  <si>
    <t>nextcloud-android-6755</t>
  </si>
  <si>
    <t xml:space="preserve">Android app crashes </t>
  </si>
  <si>
    <t xml:space="preserve">    Steps to reproduce_x000D_
1  Open nextcloud app in Android 10_x000D_
2  Crawling through files_x000D_
3  After a few seconds a crash report appears _x000D_
_x000D_
    Expected behaviour_x000D_
  Tell us what should happen_x000D_
Fourther more crawling_x000D_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version:3 13 0_x000D_
_x000D_
Device model: _x000D_
_x000D_
Stock or customized system:_x000D_
_x000D_
Nextcloud app version:_x000D_
_x000D_
Nextcloud server version:_x000D_
_x000D_
Reverse proxy:_x000D_
_x000D_
    Logs_x000D_
     Web server error log_x000D_
   _x000D_
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CAUSE OF ERROR             _x000D_
_x000D_
java lang RuntimeException: An error occurred while executing doInBackground()_x000D_
	at android os AsyncTask AsyncFutureTask done(AsyncTask java:429)_x000D_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java:292)_x000D_
	at java util concurrent ThreadPoolExecutor runWorker(ThreadPoolExecutor java:1167)_x000D_
	at java util concurrent ThreadPoolExecutor Worker run(ThreadPoolExecutor java:641)_x000D_
	at java lang Thread run(Thread java:929)_x000D_
Caused by: android view ViewRootImpl CalledFromWrongThreadException: Only the original thread that created a view hierarchy can touch its views _x000D_
	at android view ViewRootImpl checkThread(ViewRootImpl java:8913)_x000D_
	at android view ViewRootImpl requestLayout(ViewRootImpl java:1557)_x000D_
	at android view View requestLayout(View java:24690)_x000D_
	at android view View requestLayout(View java:24690)_x000D_
	at android view View requestLayout(View java:24690)_x000D_
	at android view View requestLayout(View java:24690)_x000D_
	at android view View requestLayout(View java:24690)_x000D_
	at android view View requestLayout(View java:24690)_x000D_
	at androidx drawerlayout widget DrawerLayout requestLayout(DrawerLayout java:1303)_x000D_
	at android view View requestLayout(View java:24690)_x000D_
	at android view View requestLayout(View java:24690)_x000D_
	at android view View requestLayout(View java:24690)_x000D_
	at android view View requestLayout(View java:24690)_x000D_
	at android widget RelativeLayout requestLayout(RelativeLayout java:380)_x000D_
	at android view View requestLayout(View java:24690)_x000D_
	at android view View requestLayout(View java:24690)_x000D_
	at androidx recyclerview widget RecyclerView requestLayout(RecyclerView java:4412)_x000D_
	at android view View requestLayout(View java:24690)_x000D_
	at android view View requestLayout(View java:24690)_x000D_
	at androidx constraintlayout widget ConstraintLayout requestLayout(ConstraintLayout java:3172)_x000D_
	at android view View requestLayout(View java:24690)_x000D_
	at android view View requestLayout(View java:24690)_x000D_
	at android view View setFlags(View java:15338)_x000D_
	at android view View setVisibility(View java:10932)_x000D_
	at android widget ImageView setVisibility(ImageView java:1697)_x000D_
	at com owncloud android ui adapter OCFileListAdapter stopShimmer(OCFileListAdapter java:787)_x000D_
	at com owncloud android ui adapter OCFileListAdapter access 600(OCFileListAdapter java:109)_x000D_
	at com owncloud android ui adapter OCFileListAdapter 2 onError(OCFileListAdapter java:711)_x000D_
	at com owncloud android datamodel ThumbnailsCacheManager ThumbnailGenerationTask doInBackground(ThumbnailsCacheManager java:524)_x000D_
	at com owncloud android datamodel ThumbnailsCacheManager ThumbnailGenerationTask doInBackground(ThumbnailsCacheManager java:423)_x000D_
	at android os AsyncTask 3 call(AsyncTask java:389)_x000D_
	at java util concurrent FutureTask run(FutureTask java:266)_x000D_
	    4 more_x000D_
_x000D_
             APP INFORMATION             _x000D_
ID: com nextcloud client_x000D_
Version: 30130090_x000D_
Build flavor: gplay_x000D_
_x000D_
             DEVICE INFORMATION             _x000D_
Brand: HUAWEI_x000D_
Device: HWVOG_x000D_
Model: VOG L29_x000D_
Id: HUAWEIVOG L29_x000D_
Product: VOG L29EEA_x000D_
_x000D_
             FIRMWARE             _x000D_
SDK: 29_x000D_
Release: 10_x000D_
Incremental: 10 1 0 140C431_x000D_
</t>
  </si>
  <si>
    <t>Anuken-Mindustry-2384</t>
  </si>
  <si>
    <t>Range of processors doesn't appear before building them anymore</t>
  </si>
  <si>
    <t xml:space="preserve">  Platform  :  Windows 10 _x000D_
_x000D_
  Build  :  9350 _x000D_
_x000D_
  Issue  :  In other BE  there was a feature  that showed range of processor connections possible even before building  but now it doesn t show anymore  so it s harder to find optimal position for processor  _x000D_
_x000D_
  Steps to reproduce  :  Select any processor in logic category  drag mouse onto land  _x000D_
_x000D_
  Link to mod(s) used  if applicable  :  Vanilla  _x000D_
_x000D_
  Crash report  if applicable  :  No crashes  _x000D_
_x000D_
   _x000D_
_x000D_
 Place an X (no spaces) between the brackets to confirm that you have read the line below    _x000D_
   X    I have searched the closed and open issues to make sure that this problem has not already been reported   _x000D_
</t>
  </si>
  <si>
    <t>ILikeBananas-ILBSYS_android-2</t>
  </si>
  <si>
    <t>Crashing if where are no saved servers</t>
  </si>
  <si>
    <t xml:space="preserve">If where s no server in the shared preferences  the application crashes </t>
  </si>
  <si>
    <t>onaio-rdt-standard-448</t>
  </si>
  <si>
    <t>App unexpected closes/crashes when saving sample shipment form</t>
  </si>
  <si>
    <t xml:space="preserve">The application unexpectedly closes crashes when saving the completed sample shipment form _x000D_
_x000D_
The test was run on a single phone 3 times </t>
  </si>
  <si>
    <t>inaturalist-iNaturalistAndroid-890</t>
  </si>
  <si>
    <t>NullPointerException in CompareSuggestionActivity$TaxonReceiver.onReceive</t>
  </si>
  <si>
    <t xml:space="preserve">https:  console firebase google com u 2 project inaturalist ios crashlytics app android:org inaturalist android issues 07467fb3ca2dd09d06a29a6e94125892_x000D_
_x000D_
   _x000D_
Fatal Exception: java lang NullPointerException: Attempt to invoke virtual method  org json JSONObject org inaturalist android BetterJSONObject getJSONObject()  on a null object reference_x000D_
       at org inaturalist android CompareSuggestionActivity TaxonReceiver onReceive(CompareSuggestionActivity java:528)_x000D_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java:102)_x000D_
       at android os Looper loop(Looper java:158)_x000D_
       at android app ActivityThread main(ActivityThread java:7224)_x000D_
       at java lang reflect Method invoke(Method java)_x000D_
       at com android internal os ZygoteInit MethodAndArgsCaller run(ZygoteInit java:1230)_x000D_
       at com android internal os ZygoteInit main(ZygoteInit java:1120)_x000D_
   </t>
  </si>
  <si>
    <t>inaturalist-iNaturalistAndroid-889</t>
  </si>
  <si>
    <t>NullPointerException in ExploreSearchFilters.iconicTaxa</t>
  </si>
  <si>
    <t xml:space="preserve">https:  console firebase google com u 2 project inaturalist ios crashlytics app android:org inaturalist android issues 6cb3d0bf3fcf9f4d3bbb360715a982b7_x000D_
_x000D_
   _x000D_
Caused by java lang NullPointerException: Attempt to read from field  java util Set org inaturalist android ExploreSearchFilters iconicTaxa  on a null object reference_x000D_
       at org inaturalist android ExploreFiltersActivity refreshViewState(ExploreFiltersActivity java:566)_x000D_
       at org inaturalist android ExploreFiltersActivity onResume(ExploreFiltersActivity java:559)_x000D_
       at android app Instrumentation callActivityOnResume(Instrumentation java:1454)_x000D_
       at android app Activity performResume(Activity java:7939)_x000D_
   </t>
  </si>
  <si>
    <t>Anuken-Mindustry-2380</t>
  </si>
  <si>
    <t>Campaign map glitches</t>
  </si>
  <si>
    <t xml:space="preserve">  Platform  :  Windows 10 _x000D_
_x000D_
  Build  :  BE 9344 _x000D_
_x000D_
  Issue  :  Every time I spawn on any campaign map  that I must explore before launching core to it  there are all possible positions of core are using for spawning core (around 3 5 cores per map)  and I get 2k of every item that I can use in building at start  also every enemy spawning pos is using  _x000D_
_x000D_
  Steps to reproduce  :  Capture any map  discover map in tech tree  launch to this map _x000D_
_x000D_
  Link to mod(s) used  if applicable  :  Vanilla _x000D_
_x000D_
  Crash report  if applicable  :  No crashes _x000D_
_x000D_
   _x000D_
_x000D_
 Place an X (no spaces) between the brackets to confirm that you have read the line below    _x000D_
   X    I have searched the closed and open issues to make sure that this problem has not already been reported   _x000D_
</t>
  </si>
  <si>
    <t>Anuken-Mindustry-2379</t>
  </si>
  <si>
    <t>Water drill doesn't work</t>
  </si>
  <si>
    <t xml:space="preserve">  Platform  :  Windows 10 _x000D_
_x000D_
  Build  :  BE 9341 _x000D_
_x000D_
  Issue  :  Water drill doesn t mine water  even with energy source anywhere in new BE _x000D_
_x000D_
  Steps to reproduce  :  Place water drill  connect to energy  it won t work for some reason _x000D_
_x000D_
  Link to mod(s) used  if applicable  :  Vanilla _x000D_
_x000D_
  Crash report  if applicable  :  No crash _x000D_
_x000D_
   _x000D_
_x000D_
 Place an X (no spaces) between the brackets to confirm that you have read the line below    _x000D_
   X    I have searched the closed and open issues to make sure that this problem has not already been reported   _x000D_
</t>
  </si>
  <si>
    <t>Anuken-Mindustry-2378</t>
  </si>
  <si>
    <t>Mass Item Duplication Glitch</t>
  </si>
  <si>
    <t xml:space="preserve">Platform: Windows_x000D_
_x000D_
Build: 9337_x000D_
_x000D_
Issue: When you pick up a Container connected to a core  the Container you pick up contains every item wich was in the core  However  the items in the core stays while you still have a Container with thousands of items that you can place anywhere  Thus  duplicating items _x000D_
_x000D_
Steps to reproduce: Me and some others were testinf stuff in a sandbox server  Then  when i tried to pick up a Container connected to a Core and placed it down  we saw that items get duplicated _x000D_
_x000D_
Link to mod(s) used  if applicable: No mods used _x000D_
_x000D_
Crash report  if applicable: No crash _x000D_
_x000D_
 X _x000D_
_x000D_
 Place an X (no spaces) between the brackets to confirm that you have read the line below    _x000D_
   X    I have searched the closed and open issues to make sure that this problem has not already been reported   _x000D_
</t>
  </si>
  <si>
    <t>Anuken-Mindustry-2377</t>
  </si>
  <si>
    <t>Rejoining with mega crashes other people</t>
  </si>
  <si>
    <t xml:space="preserve">  Platform  : Windows_x000D_
_x000D_
  Build  : 9337_x000D_
_x000D_
  Issue  : Quitting as mega then immediately rejoining kicks everyone with a high chance of being successful at crashing everyone _x000D_
Video evidence:_x000D_
https:  cdn cf east streamable com video mp4 itrad7 mp4 Expires 1598096040 Signature UEfUg5O3y mfeUThVpl2vcPuFPKLxw7 3ERkIZpaol2iFSKzdNlGs2V8UGa1QIr3CKaAS YTv1UMVZHGBHlTxrp98HtVa0FdZCAAe9cm6aNPUG4wuofUUFsIpvGkeb1ugRkFK2UDc0wyG1bU5KIhx7jBbZz28yxI8Y4OXlLwt4KH54TQ02ngFHOXGerDeos0ctCZK jbhd6JI3T0iJGqq9khknUCRmJJixWTiYxejUobViKv4slxem46cl3Fj0Q  BH20eDATR8A9adfu3BvsDboU6E4fr51qku2d ZLN c faBrt59 g8hhMWwRhdsD1soRZ3D79RRgwXbCTKZCMA   Key Pair Id APKAIEYUVEN4EVB2OKEQ_x000D_
_x000D_
  Steps to reproduce  : 1  Equip mega  2  rejoin server _x000D_
_x000D_
  Link to mod(s) used  if applicable  : Null_x000D_
_x000D_
  Crash report  if applicable  : No crash report  just kicked people_x000D_
_x000D_
   _x000D_
_x000D_
 _x000D_
   x     I have searched the closed and open issues to make sure that this problem has not already been reported   _x000D_
</t>
  </si>
  <si>
    <t>ILikeBananas-ILBSYS_android-1</t>
  </si>
  <si>
    <t>Crashing if the server isn't available</t>
  </si>
  <si>
    <t xml:space="preserve">If the server isn t available or if the addresse is wrong  the app crashes as soon as you try to get to see the stats </t>
  </si>
  <si>
    <t>opensrp-opensrp-client-reveal-911</t>
  </si>
  <si>
    <t>The app crashes when one tries to login</t>
  </si>
  <si>
    <t xml:space="preserve">APK: opensrp reveal release 5 2 0 na apk_x000D_
Login to the app using Namibia1 Test123 or jdoe Amani123_x000D_
The app crashes immediately after  _x000D_
See recording below_x000D_
https:  drive google com file d 10RMWVYtWtArZq1N5FC MJsG in9wOgje view usp sharing_x000D_
_x000D_
</t>
  </si>
  <si>
    <t>nextcloud-android-6749</t>
  </si>
  <si>
    <t>application crashes if you try to set a password to the file share</t>
  </si>
  <si>
    <t xml:space="preserve"> tobiasKaminsky _x000D_
_x000D_
application crashes if you try to set a password to the file share  set password then click ok on app 3 13 0 stable and app crash_x000D_
_x000D_
  Screenshot 20200819 113538 Nextcloud (https:  user images githubusercontent com 35575744 90618663 9b3c5d00 e210 11ea 91a9 e9b7ba6124b5 jpg)_x000D_
</t>
  </si>
  <si>
    <t>Anuken-Mindustry-2376</t>
  </si>
  <si>
    <t xml:space="preserve">not let play saying waiting for more players then kick </t>
  </si>
  <si>
    <t xml:space="preserve">_x000D_
  Screenshot 20200819 110237 Mindustry BE (https:  user images githubusercontent com 69896899 90615902 02581280 e20d 11ea 98f6 a77a4002475d jpg)_x000D_
  Platform   android_x000D_
_x000D_
  Build  :  The build number under the title in the main menu  Required  9337_x000D_
_x000D_
  Issue  :  Explain your issue in detail   i join and no let me play it say waiting for more players then it say IM_x000D_
  Screenshot 20200819 110835 Mindustry BE (https:  user images githubusercontent com 69896899 90616068 3df2dc80 e20d 11ea 80f8 e2a792bcb12d jpg)_x000D_
 been kick _x000D_
_x000D_
  Steps to reproduce  :  How you happened across the issue  and what you were doing at the time   i just join server_x000D_
_x000D_
  Link to mod(s) used  if applicable  :  The mod repositories or zip files that are related to the issue  null_x000D_
_x000D_
  Crash report  if applicable  :  The contents of relevant crash report files  as_x000D_
null not crash it online server_x000D_
   _x000D_
_x000D_
 Place an X (no spaces) between the brackets to confirm that you have read the line below    _x000D_
        I have searched the closed and open issues to make sure that this problem has not already been reported    it new  bug_x000D_
</t>
  </si>
  <si>
    <t>Anuken-Mindustry-2373</t>
  </si>
  <si>
    <t>The Weaver still uses energy while being disabled</t>
  </si>
  <si>
    <t xml:space="preserve">  Platform  :  Windows 10 _x000D_
_x000D_
  Build  :  BE 9310 _x000D_
_x000D_
  Issue  :  Weaver still takes 300 energy s and plays its own animation even when it s disabled using new logic blocks (processors)  _x000D_
_x000D_
  Steps to reproduce  :  Place a weaver  two sources of sand and thorium  microprocessor  Connect microprocessor to weaver  Start making phase fabric (animation should start playing)  Set enabled of weaver1 to 0  Now it doesn t craft fabric (normal effect)  but still plays animation and takes 300 energy per second  _x000D_
_x000D_
  Link to mod(s) used  if applicable  :  Vanilla  _x000D_
_x000D_
  Crash report  if applicable  :  No crashes  _x000D_
_x000D_
   _x000D_
_x000D_
 Place an X (no spaces) between the brackets to confirm that you have read the line below    _x000D_
   X    I have searched the closed and open issues to make sure that this problem has not already been reported   _x000D_
</t>
  </si>
  <si>
    <t>TeamNewPipe-NewPipe-4161</t>
  </si>
  <si>
    <t>Age-Gated Videos not playing</t>
  </si>
  <si>
    <t xml:space="preserve">This issue was initially referenced in  890 and I cannot seem to be able to reopen the issue myself _x000D_
_x000D_
Nevertheless  videos such as https:  www youtube com watch v u9sO2c0Ml34 result in a crash when trying to view them _x000D_
_x000D_
Thank you for your time and consideration </t>
  </si>
  <si>
    <t>cgeo-WhereYouGo-201</t>
  </si>
  <si>
    <t>Crash when opening map</t>
  </si>
  <si>
    <t xml:space="preserve">I just tested WhereYouGo nightly 2020 08 18 NB1 including the fix for  197 _x000D_
_x000D_
Unfortunately the app constantly crashed when trying to open the map even on a fresh install _x000D_
Tested with Samsung S10  Android 10 _x000D_
_x000D_
 moving bits _x000D_
The fix looked straight forward  but something seems wrong _x000D_
I am not able to look at the adb log right now  Hope you can find out whats going on </t>
  </si>
  <si>
    <t>Anuken-Mindustry-2371</t>
  </si>
  <si>
    <t>You cant upgrade units to multiplicative to exponentiol reconstructor</t>
  </si>
  <si>
    <t xml:space="preserve">  Platform  :  Android (check others platforms)_x000D_
_x000D_
  Build  :  bleeding edge build 9259_x000D_
_x000D_
  Issue  : You cant upgrade units to multiplicative to exponentiol reconstructor_x000D_
_x000D_
  Steps to reproduce  : try to upgrade units to exponentiol _x000D_
reconstructor_x000D_
_x000D_
  Link to mod(s) used  if applicable  : no mod_x000D_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</si>
  <si>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TeamNewPipe-NewPipe-4159</t>
  </si>
  <si>
    <t>[Unified Player] Background playing stops if NewPipe is closed from recent apps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</si>
  <si>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latest dev branch (after Unified Player PR merged  thank you  avently)_x000D_
_x000D_
    Steps to reproduce the bug_x000D_
    _x000D_
1  Go to      _x000D_
2  Press on       _x000D_
3  Swipe down to       _x000D_
   _x000D_
1  Play any audio or video in the background _x000D_
2  Close NewPipe from recent apps in the navigation bar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playback will continue if NewPipe is closed from recent apps like before _x000D_
_x000D_
    Actual behaviour_x000D_
     Tell us what happens instead     _x000D_
The playback will stop and notification is gone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</si>
  <si>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MuntashirAkon-AppManager-68</t>
  </si>
  <si>
    <t>Returning to AM after uninstalling an app causes a crash</t>
  </si>
  <si>
    <t xml:space="preserve">    Stept to reproduce:
  Open an app s details page in App Mamager
  Switch to the OS launcher or settings app
  Uninstall the app whose details were opened in AM
  Return to AM through recents
Result: crash
Version: 2 5 12
Haven t had time to capture a log but the issue seems easily reproducible </t>
  </si>
  <si>
    <t>Anuken-Mindustry-2367</t>
  </si>
  <si>
    <t>Modded unit crash</t>
  </si>
  <si>
    <t xml:space="preserve">  Platform  : Android _x000D_
_x000D_
  Build  : 9310_x000D_
_x000D_
  Issue  : Modded MechUnit crashes_x000D_
_x000D_
  Steps to reproduce  : _x000D_
1  install testcase zip_x000D_
2  place factory  select oh no and give it copper_x000D_
3  crash_x000D_
_x000D_
  Link to mod used  :  testcase zip (https:  github com Anuken Mindustry files 5092065 testcase zip)_x000D_
_x000D_
_x000D_
_x000D_
  Crash report  :  crash 1597729774127 txt (https:  github com Anuken Mindustry files 5088451 crash 1597729774127 txt)_x000D_
_x000D_
   _x000D_
_x000D_
 Place an X (no spaces) between the brackets to confirm that you have read the line below    _x000D_
   X    I have searched the closed and open issues to make sure that this problem has not already been reported   _x000D_
</t>
  </si>
  <si>
    <t>TeamNewPipe-NewPipe-legacy-38</t>
  </si>
  <si>
    <t>Crash during boot loading, "Android Box SH940C-LN android jelly bean"</t>
  </si>
  <si>
    <t xml:space="preserve">please fix this  NewPipe Legacy error on  ANDROID BOX SH940C LN  android versi jelly bean_x000D_
   Exception_x000D_
    User Action:   ui error_x000D_
    Request:   App crash  UI failure_x000D_
    Content Country:   ID_x000D_
    Content Language:   in ID_x000D_
    App Language:   in ID_x000D_
    Service:   none_x000D_
    Version:   0 19 8_x000D_
    OS:   Linux Android 4 2 2   17_x000D_
 details  summary  b Crash log   b   summary  p _x000D_
_x000D_
   _x000D_
java lang NoSuchMethodError: android view ViewGroup getOverlay_x000D_
	at org schabi newpipelegacy views FocusOverlayView setupOverlay(FocusOverlayView java:203)_x000D_
	at org schabi newpipelegacy views FocusOverlayView setupFocusObserver(FocusOverlayView java:198)_x000D_
	at org schabi newpipelegacy MainActivity onCreate(MainActivity java:143)_x000D_
	at android app Activity performCreate(Activity java:5104)_x000D_
	at android app Instrumentation callActivityOnCreate(Instrumentation java:1080)_x000D_
	at android app ActivityThread performLaunchActivity(ActivityThread java:2144)_x000D_
	at android app ActivityThread handleLaunchActivity(ActivityThread java:2230)_x000D_
	at android app ActivityThread access 600(ActivityThread java:141)_x000D_
	at android app ActivityThread H handleMessage(ActivityThread java:1234)_x000D_
	at android os Handler dispatchMessage(Handler java:99)_x000D_
	at android os Looper loop(Looper java:137)_x000D_
	at android app ActivityThread main(ActivityThread java:5041)_x000D_
	at java lang reflect Method invokeNative(Native Method)_x000D_
	at java lang reflect Method invoke(Method java:511)_x000D_
	at com android internal os ZygoteInit MethodAndArgsCaller run(ZygoteInit java:793)_x000D_
	at com android internal os ZygoteInit main(ZygoteInit java:560)_x000D_
	at dalvik system NativeStart main(Native Method)_x000D_
_x000D_
   _x000D_
  details _x000D_
 hr _x000D_
</t>
  </si>
  <si>
    <t>Anuken-Mindustry-2365</t>
  </si>
  <si>
    <t>Platform: windows,Build: v0.84j Issue: there is a yellow car on the street that drives in circles, I don't know what caused the issue.</t>
  </si>
  <si>
    <t>inaturalist-iNaturalistAndroid-884</t>
  </si>
  <si>
    <t xml:space="preserve">https:  console firebase google com u 2 project inaturalist ios crashlytics app android:org inaturalist android issues ccb4bc4c05475413e0692b5343b5447c_x000D_
_x000D_
   _x000D_
Caused by java lang NullPointerException: Attempt to invoke virtual method  void org inaturalist android MessageAdapter notifyDataSetChanged()  on a null object reference_x000D_
       at org inaturalist android MessagesActivity onActivityResult(MessagesActivity java:283)_x000D_
       at android app Activity dispatchActivityResult(Activity java:7454)_x000D_
       at android app ActivityThread deliverResults(ActivityThread java:4375)_x000D_
       at android app ActivityThread performResumeActivity(ActivityThread java:3785)_x000D_
       at android app ActivityThread handleResumeActivity(ActivityThread java:3828)_x000D_
       at android app servertransaction ResumeActivityItem execute(ResumeActivityItem java:51)_x000D_
   </t>
  </si>
  <si>
    <t>inaturalist-iNaturalistAndroid-883</t>
  </si>
  <si>
    <t>NullPointerException in ObservationPhotoEditor.onBackPressed</t>
  </si>
  <si>
    <t xml:space="preserve">https:  console firebase google com u 2 project inaturalist ios crashlytics app android:org inaturalist android issues 87bab1e4174dae6b5109550f72f340db_x000D_
_x000D_
   _x000D_
Fatal Exception: java lang NullPointerException: Attempt to invoke virtual method  boolean com yalantis ucrop UCropFragment isDirty()  on a null object reference_x000D_
       at org inaturalist android ObservationPhotoEditor onBackPressed(ObservationPhotoEditor java:178)_x000D_
       at android app Activity onKeyUp(Activity java:3147)_x000D_
       at android view KeyEvent dispatch(KeyEvent java:2744)_x000D_
       at android app Activity dispatchKeyEvent(Activity java:3430)_x000D_
       at androidx core app ComponentActivity superDispatchKeyEvent(ComponentActivity java:115)_x000D_
       at androidx core view KeyEventDispatcher dispatchKeyEvent(KeyEventDispatcher java:84)_x000D_
       at androidx core app ComponentActivity dispatchKeyEvent(ComponentActivity java:133)_x000D_
   </t>
  </si>
  <si>
    <t>Anuken-Mindustry-2364</t>
  </si>
  <si>
    <t>Naval units dont die on land</t>
  </si>
  <si>
    <t xml:space="preserve">  Platform  : Windows_x000D_
_x000D_
  Build  : BE 9302_x000D_
_x000D_
  Issue  : Naval units when put on land by the mega dont die_x000D_
_x000D_
  Steps to reproduce  : While on the 6 0 sever orange got the Mega and used it to put Naval units on land_x000D_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</si>
  <si>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nextcloud-android-6720</t>
  </si>
  <si>
    <t>crash when uploading 2500 images</t>
  </si>
  <si>
    <t xml:space="preserve">    Steps to reproduce_x000D_
1  create a folder with more than 2500 pictures on a lineage whyred phone_x000D_
2  select to upload the pictures_x000D_
_x000D_
    Expected behaviour_x000D_
  the screen goes black (probably because the reading oft the folder takes too long)_x000D_
_x000D_
    Actual behaviour_x000D_
  after a while a crash report is shown_x000D_
_x000D_
_x000D_
Device model:              CAUSE OF ERROR             _x000D_
_x000D_
java util concurrent TimeoutException: com android internal os BinderInternal GcWatcher finalize() timed out after 10 seconds_x000D_
	at java lang Object wait(Native Method)_x000D_
	at java lang Object wait(Object java:422)_x000D_
	at java lang ref ReferenceQueue remove(ReferenceQueue java:188)_x000D_
	at java lang ref ReferenceQueue remove(ReferenceQueue java:209)_x000D_
	at java lang Daemons FinalizerDaemon runInternal(Daemons java:232)_x000D_
	at java lang Daemons Daemon run(Daemons java:103)_x000D_
	at java lang Thread run(Thread java:764)_x000D_
_x000D_
             APP INFORMATION             _x000D_
ID: com nextcloud android beta_x000D_
Version: 20200809_x000D_
Build flavor: versionDev_x000D_
_x000D_
             DEVICE INFORMATION             _x000D_
Brand: Xiaomi_x000D_
Device: whyred_x000D_
Model: Redmi Note 5 Pro_x000D_
Id: OPM6 171019 030 K1_x000D_
Product: whyred_x000D_
_x000D_
             FIRMWARE             _x000D_
SDK: 27_x000D_
Release: 8 1 0_x000D_
Incremental: fc5e494154_x000D_
_x000D_
_x000D_
</t>
  </si>
  <si>
    <t>nextcloud-android-6719</t>
  </si>
  <si>
    <t>NPE: FileUploader.onTransferProgress - NotificationManager.notify()</t>
  </si>
  <si>
    <t xml:space="preserve">    Steps to reproduce_x000D_
1  Run a Seedvault backup against latest release until you see the NPE in the logs :stuck out tongue: _x000D_
_x000D_
    Environment data_x000D_
_x000D_
Nextcloud app version: 3 12 1_x000D_
_x000D_
     Nextcloud log (data nextcloud log)_x000D_
   ruby_x000D_
E UploadFileOperation: Upload of  storage emulated 0 Android media com nextcloud client nextcloud  account   SeedVaultAndroidBackup 1597327518558 kv  pm  ZGUuZ3JvYm94LmxpYnJlYXNzaXN0YW50LmRlYnVn to   SeedVaultAndroidBackup 1597327518558 kv  pm  ZGUuZ3JvYm94LmxpYnJlYXNzaXN0YW50LmRlYnVn: Unexpected exception_x000D_
    java lang NullPointerException: Attempt to invoke virtual method  void android app NotificationManager notify(int  android app Notification)  on a null object reference_x000D_
        at com owncloud android files services FileUploader onTransferProgress(FileUploader java:708)_x000D_
        at com owncloud android lib common network FileRequestEntity writeRequest(FileRequestEntity java:124)_x000D_
        at org apache commons httpclient methods EntityEnclosingMethod writeRequestBody(EntityEnclosingMethod java:499)_x000D_
        at org apache commons httpclient HttpMethodBase writeRequest(HttpMethodBase java:2114)_x000D_
        at org apache commons httpclient HttpMethodBase execute(HttpMethodBase java:1096)_x000D_
        at org apache commons httpclient HttpMethodDirector executeWithRetry(HttpMethodDirector java:398)_x000D_
        at org apache commons httpclient HttpMethodDirector executeMethod(HttpMethodDirector java:171)_x000D_
        at org apache commons httpclient HttpClient executeMethod(HttpClient java:397)_x000D_
        at org apache commons httpclient HttpClient executeMethod(HttpClient java:323)_x000D_
        at com owncloud android lib common OwnCloudClient executeMethod(OwnCloudClient java:219)_x000D_
        at com owncloud android lib resources files UploadFileRemoteOperation uploadFile(UploadFileRemoteOperation java:156)_x000D_
        at com owncloud android lib resources files UploadFileRemoteOperation run(UploadFileRemoteOperation java:114)_x000D_
        at com owncloud android lib common operations RemoteOperation execute(RemoteOperation java:181)_x000D_
        at com owncloud android operations UploadFileOperation normalUpload(UploadFileOperation java:850)_x000D_
        at com owncloud android operations UploadFileOperation run(UploadFileOperation java:431)_x000D_
        at com owncloud android lib common operations RemoteOperation execute(RemoteOperation java:181)_x000D_
        at com owncloud android operations common SyncOperation execute(SyncOperation java:85)_x000D_
        at com owncloud android files services FileUploader uploadFile(FileUploader java:611)_x000D_
        at com owncloud android files services FileUploader ServiceHandler handleMessage(FileUploader java:1347)_x000D_
   _x000D_
_x000D_
Looking at  FileUploader   it seems that its  mNotificationManager  is set in  onCeate()  and only nulled in  onDestroy()   So it is strange that it would ever be  null   However  in this file  there s several instances of:_x000D_
_x000D_
   java_x000D_
if (mNotificationManager    null)  _x000D_
    mNotificationManager   (NotificationManager) getSystemService(NOTIFICATION SERVICE) _x000D_
 _x000D_
   _x000D_
_x000D_
suggesting that this has been an issue before  The easy solution is to add this code before the NPE crash site as well  So I will probably submit a PR for that  However  the fact that the NotificationManager just disappears from a running service probably warrants an investigation into the why _x000D_
_x000D_
It might happen that you try to make a notification when the service is being destroyed  In this case  you either don t want to show this notification or cancel one you ve been showing before  Re assigning the  NotificationManager  hopefully doesn t cause a memory leak  so at least you get the last notification through   _x000D_
In this case  it might be easier to just not null it in  onDestroy()  </t>
  </si>
  <si>
    <t>Anuken-Mindustry-2363</t>
  </si>
  <si>
    <t>Logic bug</t>
  </si>
  <si>
    <t xml:space="preserve">  Platform  :  Android _x000D_
_x000D_
  Build  :  9299  _x000D_
_x000D_
  Issue  :  look on image i uploaded_x000D_
  Screenshot 2020 08 17 17 51 33 498 io anuke mindustry be (https:  user images githubusercontent com 57223926 90396752 f5c6a380 e0c0 11ea 942f f76a3339ac67 jpg)_x000D_
 i know this bleeding edge version is just for pc  but i think bug is bug  _x000D_
_x000D_
  Step to reproduce   :  open processor logic menu and close your app(don t clear cache)open it again  and paste some input command  _x000D_
_x000D_
  Link to mod(s) used  if applicable  :  no mods  _x000D_
_x000D_
  Crash report  if applicable  :  no crash report  _x000D_
_x000D_
   _x000D_
_x000D_
 Place an X (no spaces) between the brackets to confirm that you have read the line below    _x000D_
   X    I have searched the closed and open issues to make sure that this problem has not already been reported   _x000D_
</t>
  </si>
  <si>
    <t>Anuken-Mindustry-2361</t>
  </si>
  <si>
    <t>Further progress impossible after unlocking 1 new map</t>
  </si>
  <si>
    <t xml:space="preserve">  Platform  : Desktop_x000D_
_x000D_
  Build  : 9299_x000D_
_x000D_
  Issue  : Unlocking frozen forest location in tech tree revealed 6 new sectors to launch to in the planet menu  The location I launched to stated that it contained sand in the resource detected section  however  on arriving there were no enemies in any wave  and no sand on the map  Additionally  launching to any sector other than this one and ground zero became impossible  and evidently this sector is not frozen forest as any locations that require the capturing of frozen forest are still locked  meaning that there is no way to progress any further  _x000D_
_x000D_
  Steps to reproduce  :  As described above _x000D_
_x000D_
No mods or crash report_x000D_
_x000D_
   _x000D_
_x000D_
 Place an X (no spaces) between the brackets to confirm that you have read the line below    _x000D_
    x    I have searched the closed and open issues to make sure that this problem has not already been reported   _x000D_
</t>
  </si>
  <si>
    <t>amahi-android-625</t>
  </si>
  <si>
    <t>Android TV Not Opening</t>
  </si>
  <si>
    <t xml:space="preserve">  Describe the issue  _x000D_
App crashes as soon as opened in Android TV _x000D_
_x000D_
  Smartphone (please complete as much of the following information as possible):  _x000D_
   Device: Android TV Emulator_x000D_
   OS: Android 9</t>
  </si>
  <si>
    <t>ltGuillaume-DroidShows-91</t>
  </si>
  <si>
    <t>I found some crash issues</t>
  </si>
  <si>
    <t xml:space="preserve">Environment Info _x000D_
DroidShow  android:versionCode  71100  android:versionName  7 11 0 _x000D_
AndroidOS  Version   6 0 1_x000D_
_x000D_
Description information _x000D_
	We find that mobile apps are prone to crashes due to a network issue  mainly because successful network API calls return unexpected or no data _x000D_
        And we found that when this app s network returned data is null  or the network request fails (status code is 404 503) the app has crashed _x000D_
_x000D_
  crash information   _x000D_
	    crash one: _x000D_
crashActivity nl asymmetrics droidshows ui ViewEpisode_x000D_
:_x000D_
java lang IllegalStateException: Could not execute method for android:onClick_x000D_
	at android view View DeclaredOnClickListener onClick(View java:4458)_x000D_
	at android view View performClick(View java:5204)_x000D_
	at android view View PerformClick run(View java:21153)_x000D_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Caused by: java lang reflect InvocationTargetException_x000D_
	at java lang reflect Method invoke(Native Method)_x000D_
	at android view View DeclaredOnClickListener onClick(View java:4453)_x000D_
	_x000D_
    9 more_x000D_
_x000D_
Caused by: android content ActivityNotFoundException: No Activity found to handle Intent   act android intent action EDIT typ vnd android cursor item event (has extras)  _x000D_
	at android app Instrumentation checkStartActivityResult(Instrumentation java:1798)_x000D_
	at android app Instrumentation execStartActivity(Instrumentation java:1512)_x000D_
	at android app Activity startActivityForResult(Activity java:3942)_x000D_
	at android app Activity startActivityForResult(Activity java:3902)_x000D_
	at android app Activity startActivity(Activity java:4231)_x000D_
	at android app Activity startActivity(Activity java:4199)_x000D_
	at nl asymmetrics droidshows ui ViewEpisode calendarEvent(ViewEpisode java:231)_x000D_
	    11 more_x000D_
java lang reflect InvocationTargetException_x000D_
	at java lang reflect Method invoke(Native Method)_x000D_
	at android view View DeclaredOnClickListener onClick(View java:4453)_x000D_
	at android view View performClick(View java:5204)_x000D_
	at android view View PerformClick run(View java:21153)_x000D_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Caused by: android content ActivityNotFoundException: No Activity found to handle Intent   act android intent action EDIT typ vnd android cursor item event (has extras)  _x000D_
	at android app Instrumentation checkStartActivityResult(Instrumentation java:1798)_x000D_
	at android app Instrumentation execStartActivity(Instrumentation java:1512)_x000D_
	at android app Activity startActivityForResult(Activity java:3942)_x000D_
	at android app Activity startActivityForResult(Activity java:3902)_x000D_
	at android app Activity startActivity(Activity java:4231)_x000D_
	at android app Activity startActivity(Activity java:4199)_x000D_
	at nl asymmetrics droidshows ui ViewEpisode calendarEvent(ViewEpisode java:231)_x000D_
	    11 more_x000D_
android content ActivityNotFoundException: No Activity found to handle Intent   act android intent action EDIT typ vnd android cursor item event (has extras)  _x000D_
	at android app Instrumentation checkStartActivityResult(Instrumentation java:1798)_x000D_
	at android app Instrumentation execStartActivity(Instrumentation java:1512)_x000D_
	at android app Activity startActivityForResult(Activity java:3942)_x000D_
	at android app Activity startActivityForResult(Activity java:3902)_x000D_
	at android app Activity startActivity(Activity java:4231)_x000D_
	at android app Activity startActivity(Activity java:4199)_x000D_
	at nl asymmetrics droidshows ui ViewEpisode calendarEvent(ViewEpisode java:231)_x000D_
	at java lang reflect Method invoke(Native Method)_x000D_
	at android view View DeclaredOnClickListener onClick(View java:4453)_x000D_
	at android view View performClick(View java:5204)_x000D_
	at android view View PerformClick run(View java:21153)_x000D_
	at android os Handler handleCallback(Handler java:739)_x000D_
	at android os Handler dispatchMessage(Handler java:95)_x000D_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_x000D_
    Crash Two:_x000D_
crashActivity nl asymmetrics droidshows ui SerieEpisodes_x000D_
:_x000D_
java lang IllegalArgumentException: View com android internal policy PhoneWindow DecorView 2533488 V E       R      D 0 0 647 271  not attached to window manager_x000D_
	at android view WindowManagerGlobal findViewLocked(WindowManagerGlobal java:424)_x000D_
	at android view WindowManagerGlobal removeView(WindowManagerGlobal java:350)_x000D_
	at android view WindowManagerImpl removeViewImmediate(WindowManagerImpl java:116)_x000D_
	at android app Dialog dismissDialog(Dialog java:377)_x000D_
	at android app Dialog dismiss(Dialog java:360)_x000D_
	at nl asymmetrics droidshows ui AddSerie 1 run(AddSerie java:128)_x000D_
	at android app Activity runOnUiThread(Activity java:5552)_x000D_
	at nl asymmetrics droidshows ui AddSerie AsyncAddSerie onPostExecute(AddSerie java:298)_x000D_
	at nl asymmetrics droidshows ui AddSerie AsyncAddSerie onPostExecute(AddSerie java:189)_x000D_
	at android os AsyncTask finish(AsyncTask java:651)_x000D_
	at android os AsyncTask  wrap1(AsyncTask java)_x000D_
	at android os AsyncTask InternalHandler handleMessage(AsyncTask java:668)_x000D_
	at android os Handler dispatchMessage(Handler java:102)_x000D_
	at android os Looper loop(Looper java:148)_x000D_
	at android app ActivityThread main(ActivityThread java:5539)_x000D_
	at java lang reflect Method invoke(Native Method)_x000D_
	at com android internal os ZygoteInit MethodAndArgsCaller run(ZygoteInit java:745)_x000D_
	at com android internal os ZygoteInit main(ZygoteInit java:635)_x000D_
_x000D_
Finally _x000D_
These crashes happened by accident when I was testing  I tried to reproduce them and found that they can t be reproduced  but they are real  I hope they can help you to debug _x000D_
The cause of the program crash may be that the network response data is not handled properly in the code _x000D_
If you have confirmed or fixed this problem  please give me a reply  thank you _x000D_
_x000D_
</t>
  </si>
  <si>
    <t>Anuken-Mindustry-2360</t>
  </si>
  <si>
    <t>Window,build 9297,issue when i copy the End command in processor then import it it say invalid at the End command</t>
  </si>
  <si>
    <t>andOTP-andOTP-631</t>
  </si>
  <si>
    <t xml:space="preserve">     General information_x000D_
_x000D_
    App version:   0 8 0 beta_x000D_
    App source:   F Droid_x000D_
    Android Version:   10_x000D_
    Custom ROM:   LineageOS_x000D_
_x000D_
     Expected result_x000D_
  What is expected    _x000D_
_x000D_
App works :)_x000D_
_x000D_
  What does happen instead   _x000D_
_x000D_
App crashes _x000D_
_x000D_
     Logcat_x000D_
   _x000D_
2020 08 16 18:46:52 826 17102 17102 org shadowice flocke andotp E AndroidRuntime: FATAL EXCEPTION: main_x000D_
    Process: org shadowice flocke andotp  PID: 17102_x000D_
    java lang ArrayIndexOutOfBoundsException: length 7  index  1_x000D_
        at java util ArrayList get(ArrayList java:439)_x000D_
        at org shadowice flocke andotp View EntriesCardAdapter cardTapToRevealHandler(EntriesCardAdapter java:372)_x000D_
        at org shadowice flocke andotp View EntriesCardAdapter access 400(EntriesCardAdapter java:84)_x000D_
        at org shadowice flocke andotp View EntriesCardAdapter 1 onCardSingleClicked(EntriesCardAdapter java:319)_x000D_
        at org shadowice flocke andotp View EntryViewHolder 5 onSingleClick(EntryViewHolder java:147)_x000D_
        at org shadowice flocke andotp View SimpleDoubleClickListener 1 run(SimpleDoubleClickListener java:50)_x000D_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java:940)_x000D_
   _x000D_
_x000D_
     Steps to reproduce_x000D_
 _x000D_
   tap a TOTP multiple times (reveal  unreveal)  quickly after another_x000D_
_x000D_
</t>
  </si>
  <si>
    <t>cgeo-cgeo-8813</t>
  </si>
  <si>
    <t>Color picker seems to be broken</t>
  </si>
  <si>
    <t xml:space="preserve">  Describe the bug:  _x000D_
c:geo crashes when using the color picker in settings map map line customization_x000D_
_x000D_
I realized this while testing the fix of  8783 (by the way the first PR fixes that issue for me  but that s another topic)_x000D_
_x000D_
  System information:  _x000D_
   _x000D_
    System information    _x000D_
Device: Telekom Puls (Telekom Puls  T Mobile)_x000D_
Android version: 5 0 1_x000D_
Android build: LRX21M vC29 0 release keys_x000D_
c:geo version: 2020 08 16 a7ca533 developer build_x000D_
Google Play services: enabled   20 26 14 (020300 320008519)_x000D_
Low power mode: inactive_x000D_
Compass capabilities: no_x000D_
Rotation vector sensor: absent_x000D_
Orientation sensor: absent_x000D_
Magnetometer   Accelerometer sensor: absent_x000D_
Direction sensor used: magnetometer   accelerometer_x000D_
Hide caches:  _x000D_
Hide waypoints:  _x000D_
HW acceleration: enabled (default state)_x000D_
System language: en US_x000D_
System date format: dd MM yyyy_x000D_
Debug mode active: no_x000D_
System internal c:geo dir:  data data cgeo geocaching (9 0 GB free) internal_x000D_
User storage c:geo dir:  storage sdcard0 cgeo (8 9 GB free) external non removable_x000D_
Geocache data:  storage sdcard0 Android data cgeo geocaching files GeocacheData (8 9 GB free) external non removable_x000D_
Database:  data data cgeo geocaching databases data (228 0 KB) on system internal storage_x000D_
Fine location permission: granted_x000D_
Write external storage permission: granted_x000D_
Geocaching sites enabled:_x000D_
   geocaching com: Logged in (Login OK)   BASIC_x000D_
   opencaching de: Not logged in (Not authorized)_x000D_
Geocaching com date format: dd MM yyyy_x000D_
Installed c:geo plugins:  none_x000D_
    End of system information    _x000D_
_x000D_
   _x000D_
_x000D_
  Additional context:   the error message_x000D_
   _x000D_
E InputEventReceiver: Exception dispatching input event _x000D_
E MessageQueue JNI: Exception in MessageQueue callback: handleReceiveCallback_x000D_
E MessageQueue JNI: android view InflateException: Binary XML file line  103: Error inflating class  unknown _x000D_
        at android view LayoutInflater createView(LayoutInflater java:633)_x000D_
        at com android internal policy impl PhoneLayoutInflater onCreateView(PhoneLayoutInflater java:55)_x000D_
        at android view LayoutInflater onCreateView(LayoutInflater java:682)_x000D_
        at android view LayoutInflater createViewFromTag(LayoutInflater java:741)_x000D_
        at android view LayoutInflater rInflate(LayoutInflater java:806)_x000D_
        at android view LayoutInflater rInflate(LayoutInflater java:809)_x000D_
        at android view LayoutInflater inflate(LayoutInflater java:504)_x000D_
        at android view LayoutInflater inflate(LayoutInflater java:414)_x000D_
        at android view LayoutInflater inflate(LayoutInflater java:365)_x000D_
        at com android internal policy impl PhoneWindow setContentView(PhoneWindow java:414)_x000D_
        at com android internal app AlertController installContent(AlertController java:238)_x000D_
        at android app AlertDialog onCreate(AlertDialog java:356)_x000D_
        at android app Dialog dispatchOnCreate(Dialog java:387)_x000D_
        at android app Dialog show(Dialog java:288)_x000D_
        at android preference DialogPreference showDialog(DialogPreference java:316)_x000D_
        at cgeo geocaching settings ColorpickerPreference showDialog(ColorpickerPreference java:185)_x000D_
        at android preference DialogPreference onClick(DialogPreference java:274)_x000D_
        at android preference Preference performClick(Preference java:1013)_x000D_
        at android preference PreferenceScreen onItemClick(PreferenceScreen java:214)_x000D_
        at android widget AdapterView performItemClick(AdapterView java:305)_x000D_
        at android widget AbsListView performItemClick(AbsListView java:1185)_x000D_
        at android widget AbsListView PerformClick run(AbsListView java:3222)_x000D_
        at android widget AbsListView onTouchUp(AbsListView java:4149)_x000D_
        at android widget AbsListView onTouchEvent(AbsListView java:3867)_x000D_
        at android view View dispatchTouchEvent(View java:8491)_x000D_
        at android view ViewGroup dispatchTransformedTouchEvent(ViewGroup java:2540)_x000D_
        at android view ViewGroup dispatchTouchEvent(ViewGroup java:2225)_x000D_
        at android view ViewGroup dispatchTransformedTouchEvent(ViewGroup java:2546)_x000D_
        at android view ViewGroup dispatchTouchEvent(ViewGroup java:2239)_x000D_
        at android view ViewGroup dispatchTransformedTouchEvent(ViewGroup java:2546)_x000D_
        at android view ViewGroup dispatchTouchEvent(ViewGroup java:2239)_x000D_
        at android view ViewGroup dispatchTransformedTouchEvent(ViewGroup java:2546)_x000D_
        at android view ViewGroup dispatchTouchEvent(ViewGroup java:2239)_x000D_
        at android view ViewGroup dispatchTransformedTouchEvent(ViewGroup java:2546)_x000D_
        at android view ViewGroup dispatchTouchEvent(ViewGroup java:2239)_x000D_
        at com android internal policy impl PhoneWindow DecorView superDispatchTouchEvent(PhoneWindow java:2400)_x000D_
        at com android internal policy impl PhoneWindow superDispatchTouchEvent(PhoneWindow java:1761)_x000D_
        at android app Dialog dispatchTouchEvent(Dialog java:779)_x000D_
        at com android internal policy impl PhoneWindow DecorView dispatchTouchEvent(PhoneWindow java:2361)_x000D_
        at android view View dispatchPointerEvent(View java:8692)_x000D_
        at android view ViewRootImpl ViewPostImeInputStage processPointerEvent(ViewRootImpl java:4490)_x000D_
        at android view ViewRootImpl ViewPostImeInputStage onProcess(ViewRootImpl java:4348)_x000D_
        at android view ViewRootImpl InputStage deliver(ViewRootImpl java:3889)_x000D_
        at android view ViewRootImpl InputStage onDeliverToNext(ViewRootImpl java:3942)_x000D_
        at android view ViewRootImpl InputStage forward(ViewRootImpl java:3908)_x000D_
        at android view ViewRootImpl AsyncInputStage forward(ViewRootImpl java:4018)_x000D_
        at android view ViewRootImpl InputStage apply(ViewRootImpl java:3916)_x000D_
        at android view ViewRootImpl AsyncInputStage apply(ViewRootImpl java:4075)_x000D_
        at android view ViewRootImpl InputStage deliver(ViewRootImpl java:3889)_x000D_
        at android view ViewRootImpl InputStage onDeliverToNext(ViewRootImpl java:3942)_x000D_
        at android view ViewRootImpl InputStage forward(ViewRootImpl java:3908)_x000D_
        at android view ViewRootImpl InputStage apply(ViewRootImpl java:3916)_x000D_
        at android view ViewRootImpl InputStage deliver(ViewRootImpl java:3889)_x000D_
    	at android view ViewRootImpl deliverInputEvent(V_x000D_
D AndroidRuntime: Shutting down VM_x000D_
E AndroidRuntime: FATAL EXCEPTION: main_x000D_
    Process: cgeo geocaching  PID: 11767_x000D_
    android view InflateException: Binary XML file line  103: Error inflating class  unknown _x000D_
        at android view LayoutInflater createView(LayoutInflater java:633)_x000D_
        at com android internal policy impl PhoneLayoutInflater onCreateView(PhoneLayoutInflater java:55)_x000D_
        at android view LayoutInflater onCreateView(LayoutInflater java:682)_x000D_
        at android view LayoutInflater createViewFromTag(LayoutInflater java:741)_x000D_
        at android view LayoutInflater rInflate(LayoutInflater java:806)_x000D_
        at android view LayoutInflater rInflate(LayoutInflater java:809)_x000D_
        at android view LayoutInflater inflate(LayoutInflater java:504)_x000D_
        at android view LayoutInflater inflate(LayoutInflater java:414)_x000D_
        at android view LayoutInflater inflate(LayoutInflater java:365)_x000D_
        at com android internal policy impl PhoneWindow setContentView(PhoneWindow java:414)_x000D_
        at com android internal app AlertController installContent(AlertController java:238)_x000D_
        at android app AlertDialog onCreate(AlertDialog java:356)_x000D_
        at android app Dialog dispatchOnCreate(Dialog java:387)_x000D_
        at android app Dialog show(Dialog java:288)_x000D_
        at android preference DialogPreference showDialog(DialogPreference java:316)_x000D_
        at cgeo geocaching settings ColorpickerPreference showDialog(ColorpickerPreference java:185)_x000D_
        at android preference DialogPreference onClick(DialogPreference java:274)_x000D_
        at android preference Preference performClick(Preference java:1013)_x000D_
        at android preference PreferenceScreen onItemClick(PreferenceScreen java:214)_x000D_
        at android widget AdapterView performItemClick(AdapterView java:305)_x000D_
        at android widget AbsListView performItemClick(AbsListView java:1185)_x000D_
        at android widget AbsListView PerformClick run(AbsListView java:3222)_x000D_
        at android widget AbsListView onTouchUp(AbsListView java:4149)_x000D_
        at android widget AbsListView onTouchEvent(AbsListView java:3867)_x000D_
        at android view View dispatchTouchEvent(View java:8491)_x000D_
        at android view ViewGroup dispatchTransformedTouchEvent(ViewGroup java:2540)_x000D_
        at android view ViewGroup dispatchTouchEvent(ViewGroup java:2225)_x000D_
        at android view ViewGroup dispatchTransformedTouchEvent(ViewGroup java:2546)_x000D_
        at android view ViewGroup dispatchTouchEvent(ViewGroup java:2239)_x000D_
        at android view ViewGroup dispatchTransformedTouchEvent(ViewGroup java:2546)_x000D_
        at android view ViewGroup dispatchTouchEvent(ViewGroup java:2239)_x000D_
        at android view ViewGroup dispatchTransformedTouchEvent(ViewGroup java:2546)_x000D_
        at android view ViewGroup dispatchTouchEvent(ViewGroup java:2239)_x000D_
        at android view ViewGroup dispatchTransformedTouchEvent(ViewGroup java:2546)_x000D_
        at android view ViewGroup dispatchTouchEvent(ViewGroup java:2239)_x000D_
        at com android internal policy impl PhoneWindow DecorView superDispatchTouchEvent(PhoneWindow java:2400)_x000D_
        at com android internal policy impl PhoneWindow superDispatchTouchEvent(PhoneWindow java:1761)_x000D_
        at android app Dialog dispatchTouchEvent(Dialog java:779)_x000D_
        at com android internal policy impl PhoneWindow DecorView dispatchTouchEvent(PhoneWindow java:2361)_x000D_
        at android view View dispatchPointerEvent(View java:8692)_x000D_
        at android view ViewRootImpl ViewPostImeInputStage processPointerEvent(ViewRootImpl java:4490)_x000D_
        at android view ViewRootImpl ViewPostImeInputStage onProcess(ViewRootImpl java:4348)_x000D_
        at android view ViewRootImpl InputStage deliver(ViewRootImpl java:3889)_x000D_
        at android view ViewRootImpl InputStage onDeliverToNext(ViewRootImpl java:3942)_x000D_
        at android view ViewRootImpl InputStage forward(ViewRootImpl java:3908)_x000D_
        at android view ViewRootImpl AsyncInputStage forward(ViewRootImpl java:4018)_x000D_
        at android view ViewRootImpl InputStage apply(ViewRootImpl java:3916)_x000D_
        at android view ViewRootImpl AsyncInputStage apply(ViewRootImpl java:4075)_x000D_
        at android view ViewRootImpl InputStage deliver(ViewRootImpl java:3889)_x000D_
        at android view ViewRootImpl InputStage onDeliverToNext(ViewRootImpl java:3942)_x000D_
        at android view ViewRootImpl InputStage forward(ViewRootImpl java:3908)_x000D_
        at android view ViewRootImpl InputStage apply(ViewRootImpl java:3916)_x000D_
    	at android view ViewRootImpl InputStage deliver(ViewRootImpl jav_x000D_
_x000D_
   </t>
  </si>
  <si>
    <t>TeamNewPipe-NewPipe-4139</t>
  </si>
  <si>
    <t>Download Problem</t>
  </si>
  <si>
    <t xml:space="preserve">_x000D_
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Download percentage goes above 100 _x000D_
  Screenshot 2020 08 16 12 46 49 09 ee8807d2de22f1831269d80920e33a3b (https:  user images githubusercontent com 63046281 90329126 8d43cd80 dfbf 11ea 9a4a 5fc010c5f3f6 jpg)_x000D_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</si>
  <si>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deltachat-deltachat-android-1565</t>
  </si>
  <si>
    <t>crash when opening a chat</t>
  </si>
  <si>
    <t>_x000D_
  android_x000D_
  Delta Chat 1 12 2_x000D_
  Expected behavior: chat message opens_x000D_
  Actual behavior: app crashes_x000D_
  Steps to reproduce the problem: right now  it happens all the time  i think it might be related to poor connection  since i could find no related  crash  with  message   i figured the log could be useful to you   _x000D_
  Screenshots: let me know if you need the video recording and i ll upload it once i get good connection _x000D_
  Logs: _x000D_
_x000D_
   _x000D_
device HMD Global Nokia 7 2 (Daredevil 00EEA)_x000D_
android 10 (00WW 2 270 SP04  00WW 2 270 SP04)_x000D_
sdk 29_x000D_
memory 24M (51 12  free  512M max)_x000D_
memoryClass 256_x000D_
host Common 192 168 67 139 12026 docker_x000D_
applicationId com b44t messenger_x000D_
app Delta Chat 1 12 2 fat_x000D_
installer com google android packageinstaller_x000D_
ignoreBatteryOptimizations true_x000D_
notifications true_x000D_
reliableService false_x000D_
_x000D_
arch 64_x000D_
bcc self 1_x000D_
blobdir  data user 0 com b44t messenger files messenger db blobs_x000D_
configured mvbox folder DeltaChat_x000D_
configured sentbox folder Sent_x000D_
database dir  data user 0 com b44t messenger files messenger db_x000D_
database version 66_x000D_
deltachat core version v1 44 0_x000D_
display name 0_x000D_
e2ee enabled 0_x000D_
entered account settings cregox disroot org imap:unset:   :unset:0:cert automatic smtp:unset:0:unset:0:cert automatic 0_x000D_
fingerprint 057C317B99B78F5F9BB5608BE2E6BA58855F75D4_x000D_
folders configured 3_x000D_
inbox watch 1_x000D_
is configured 1_x000D_
journal mode wal_x000D_
level awesome_x000D_
mdns enabled 1_x000D_
messages in contact requests 0_x000D_
mvbox move 1_x000D_
mvbox watch 1_x000D_
number of chat messages 97_x000D_
number of chats 11_x000D_
number of contacts 883_x000D_
private key count 1_x000D_
public key count 4_x000D_
selfavatar  data user 0 com b44t messenger files messenger db blobs avatar 683993449 jpg_x000D_
sentbox watch 1_x000D_
sqlite version 3 31 1_x000D_
uptime 0h 0m 8s_x000D_
used account settings cregox disroot org imap:cregox:   :disroot org:993:cert automatic smtp:cregox:   :disroot org:587:cert automatic AUTH NORMAL 0x4IMAP SSL 0x200SMTP STARTTLS 0x10000_x000D_
_x000D_
          beginning of system_x000D_
08 16 07:08:25 698 23368 23368 V Activity: mLastPackageName org thoughtcrime securesms ConversationListActivity_x000D_
08 16 07:08:25 725 23368 23368 D PureDisplay: package com b44t messenger DYNAMIC ORIGINAL MODE open_x000D_
08 16 07:08:52 337 15608 15608 V Activity: mLastPackageName org thoughtcrime securesms ConversationListActivity_x000D_
08 16 07:08:52 358 15608 15608 D PureDisplay: package com b44t messenger DYNAMIC ORIGINAL MODE open_x000D_
08 16 07:17:39 873 17535 17535 V Activity: mLastPackageName org thoughtcrime securesms RoutingActivity_x000D_
08 16 07:17:39 908 17535 17535 D PureDisplay: package com b44t messenger DYNAMIC ORIGINAL MODE open_x000D_
08 16 07:17:52 715 17637 17637 V Activity: mLastPackageName org thoughtcrime securesms RoutingActivity_x000D_
08 16 07:17:52 743 17637 17637 D PureDisplay: package com b44t messenger DYNAMIC ORIGINAL MODE open_x000D_
08 16 07:18:53 554 17962 17962 V Activity: mLastPackageName org thoughtcrime securesms RoutingActivity_x000D_
08 16 07:18:53 582 17962 17962 D PureDisplay: package com b44t messenger DYNAMIC ORIGINAL MODE open_x000D_
08 16 07:19:06 630 18083 18083 V Activity: mLastPackageName org thoughtcrime securesms RoutingActivity_x000D_
08 16 07:19:06 668 18083 18083 D PureDisplay: package com b44t messenger DYNAMIC ORIGINAL MODE open_x000D_
08 16 07:19:24 945 18309 18309 V Activity: mLastPackageName org thoughtcrime securesms RoutingActivity_x000D_
08 16 07:19:24 981 18309 18309 D PureDisplay: package com b44t messenger DYNAMIC ORIGINAL MODE open_x000D_
08 16 07:19:46 377 18480 18480 V Activity: mLastPackageName org thoughtcrime securesms RoutingActivity_x000D_
08 16 07:19:46 409 18480 18480 D PureDisplay: package com b44t messenger DYNAMIC ORIGINAL MODE open_x000D_
08 16 07:19:56 073 18480 18480 V Activity: mLastPackageName org thoughtcrime securesms ApplicationPreferencesActivity_x000D_
08 16 07:19:56 098 18480 18480 D PureDisplay: package com b44t messenger DYNAMIC ORIGINAL MODE open_x000D_
08 16 07:19:56 635 18480 18480 V Activity: onStop mLastPackageResume   false org thoughtcrime securesms ConversationListActivity b2f4ddf_x000D_
08 16 07:20:12 175 18480 18480 V Activity: mLastPackageName org thoughtcrime securesms LogViewActivity_x000D_
08 16 07:20:12 206 18480 18480 D PureDisplay: package com b44t messenger DYNAMIC ORIGINAL MODE open_x000D_
08 16 07:20:12 715 18480 18480 V Activity: onStop mLastPackageResume   false org thoughtcrime securesms ApplicationPreferencesActivity c120080_x000D_
08 16 07:20:46 342 18480 18480 V Activity: mLastPackageName org thoughtcrime securesms ApplicationPreferencesActivity_x000D_
08 16 07:20:46 392 18480 18480 D PureDisplay: package com b44t messenger DYNAMIC ORIGINAL MODE open_x000D_
08 16 07:20:46 872 18480 18480 V Activity: onStop mLastPackageResume   false org thoughtcrime securesms LogViewActivity 9393c5b_x000D_
08 16 07:20:55 283 18480 18480 V Activity: mLastPackageName org thoughtcrime securesms LocalHelpActivity_x000D_
08 16 07:20:55 314 18480 18480 D PureDisplay: package com b44t messenger DYNAMIC ORIGINAL MODE open_x000D_
08 16 07:20:55 850 18480 18480 V Activity: onStop mLastPackageResume   false org thoughtcrime securesms ApplicationPreferencesActivity c120080_x000D_
08 16 07:21:54 040 18480 18480 V Activity: onStop mLastPackageResume   false org thoughtcrime securesms LocalHelpActivity 2269695_x000D_
08 16 07:22:03 969 18480 18480 V Activity: mLastPackageName org thoughtcrime securesms LocalHelpActivity_x000D_
08 16 07:22:03 994 18480 18480 D PureDisplay: package com b44t messenger DYNAMIC ORIGINAL MODE open_x000D_
08 16 07:22:05 657 18480 18480 V Activity: mLastPackageName org thoughtcrime securesms ApplicationPreferencesActivity_x000D_
08 16 07:22:05 689 18480 18480 D PureDisplay: package com b44t messenger DYNAMIC ORIGINAL MODE open_x000D_
08 16 07:22:06 161 18480 18480 V Activity: onStop mLastPackageResume   false org thoughtcrime securesms LocalHelpActivity 2269695_x000D_
08 16 07:22:07 319 18480 18480 V Activity: mLastPackageName org thoughtcrime securesms LocalHelpActivity_x000D_
08 16 07:22:07 342 18480 18480 D PureDisplay: package com b44t messenger DYNAMIC ORIGINAL MODE open_x000D_
08 16 07:22:07 873 18480 18480 V Activity: onStop mLastPackageResume   false org thoughtcrime securesms ApplicationPreferencesActivity c120080_x000D_
08 16 07:23:07 625 18480 18480 V Activity: onStop mLastPackageResume   false org thoughtcrime securesms LocalHelpActivity dbc6a23_x000D_
08 16 07:26:39 941 18480 18480 V Activity: mLastPackageName org thoughtcrime securesms LocalHelpActivity_x000D_
08 16 07:26:39 981 18480 18480 D PureDisplay: package com b44t messenger DYNAMIC ORIGINAL MODE open_x000D_
08 16 07:26:41 732 18480 18480 V Activity: mLastPackageName org thoughtcrime securesms ApplicationPreferencesActivity_x000D_
08 16 07:26:41 788 18480 18480 D PureDisplay: package com b44t messenger DYNAMIC ORIGINAL MODE open_x000D_
08 16 07:26:42 300 18480 18480 V Activity: onStop mLastPackageResume   false org thoughtcrime securesms LocalHelpActivity dbc6a23_x000D_
08 16 07:26:46 088 18480 18480 V Activity: onStop mLastPackageResume   false org thoughtcrime securesms ApplicationPreferencesActivity c120080_x000D_
          beginning of main_x000D_
08 16 07:29:13 581 18480 18480 I DeltaChat:                    first ForegroundDetector onActivityStarted()                   _x000D_
08 16 07:29:13 582 18480 18480 I DeltaChat:                    ApplicationDcContext maybeStartIo()                   _x000D_
08 16 07:29:13 583 18480 18516 I DeltaChat: src context rs:144: starting IO_x000D_
08 16 07:29:13 584 18480 18516 I DeltaChat: src context rs:146: IO is already running_x000D_
08 16 07:29:13 584 18480 18480 W PassphraseRequiredActionBarActivity: onResume()_x000D_
08 16 07:29:13 584 18480 18480 V Activity: mLastPackageName org thoughtcrime securesms ApplicationPreferencesActivity_x000D_
08 16 07:29:13 587 18480 21868 I DeltaChat: calling maybeNetwork()_x000D_
08 16 07:29:13 591 18480 21868 I DeltaChat: maybeNetwork() returned_x000D_
08 16 07:29:13 592 18480 18516 I DeltaChat: src imap idle rs:107: Idle wait was interrupted_x000D_
08 16 07:29:13 592 18480 18516 I DeltaChat: src imap idle rs:107: Idle wait was interrupted_x000D_
08 16 07:29:13 592 18480 18516 I DeltaChat: src scheduler rs:225: smtp fake idle   interrupted_x000D_
08 16 07:29:13 592 18480 18516 I DeltaChat: src job rs:1077: loading job for Smtp thread_x000D_
08 16 07:29:13 592 18480 18516 I DeltaChat: src imap idle rs:107: Idle wait was interrupted_x000D_
08 16 07:29:13 592 18480 18516 I DeltaChat: src scheduler rs:223: smtp fake idle   started_x000D_
08 16 07:29:13 611 18480 18480 D PureDisplay: package com b44t messenger DYNAMIC ORIGINAL MODE open_x000D_
08 16 07:29:13 831 18480 18516 I DeltaChat: src job rs:1077: loading job for Imap thread_x000D_
08 16 07:29:14 041 18480 18516 I DeltaChat: src imap mod rs:728: fetch new messages: ignoring uid 217  last seen was 220_x000D_
08 16 07:29:14 041 18480 18516 I DeltaChat: src imap mod rs:678: 0 mails read from  INBOX  _x000D_
08 16 07:29:14 082 18480 18516 I DeltaChat: src imap mod rs:728: fetch new messages: ignoring uid 163  last seen was 163_x000D_
08 16 07:29:14 083 18480 18516 I DeltaChat: src imap mod rs:678: 0 mails read from  DeltaChat  _x000D_
08 16 07:29:14 100 18480 18516 I DeltaChat: src imap mod rs:678: 0 mails read from  Sent  _x000D_
08 16 07:29:14 320 18480 18516 I DeltaChat: src imap idle rs:85: Idle entering wait on remote state_x000D_
08 16 07:29:14 337 18480 18516 I chatty  : uid 10198(com b44t messenger) identical 1 line_x000D_
08 16 07:29:14 350 18480 18516 I DeltaChat: src imap idle rs:85: Idle entering wait on remote state_x000D_
08 16 07:29:15 540 18480 18480 W PassphraseRequiredActionBarActivity: onPause()_x000D_
08 16 07:29:15 568 18480 18480 W PassphraseRequiredActionBarActivity: onResume()_x000D_
08 16 07:29:15 568 18480 18480 V Activity: mLastPackageName org thoughtcrime securesms RoutingActivity_x000D_
08 16 07:29:15 609 18480 18480 D PureDisplay: package com b44t messenger DYNAMIC ORIGINAL MODE open_x000D_
08 16 07:29:16 200 18480 18480 V Activity: onStop mLastPackageResume   false org thoughtcrime securesms ApplicationPreferencesActivity c120080_x000D_
08 16 07:29:16 204 18480 18480 W PassphraseRequiredActionBarActivity: onDestroy()_x000D_
08 16 07:29:23 924 18480 18480 W PassphraseRequiredActionBarActivity: onPause()_x000D_
08 16 07:29:24 258 18480 18480 W PassphraseRequiredActionBarActivity: onResume()_x000D_
08 16 07:29:24 258 18480 18480 V Activity: mLastPackageName org thoughtcrime securesms RoutingActivity_x000D_
08 16 07:29:24 305 18480 18480 D PureDisplay: package com b44t messenger DYNAMIC ORIGINAL MODE open_x000D_
08 16 07:29:36 964 18480 18480 W PassphraseRequiredActionBarActivity: onPause()_x000D_
08 16 07:29:36 983 18480 18480 W ActivityThread: handleWindowVisibility: no activity for token android os BinderProxy 475c3a8_x000D_
08 16 07:29:36 987 18480 18480 W PassphraseRequiredActionBarActivity: onCreate(null)_x000D_
08 16 07:29:36 989 18480 18480 W ConversationActivity: onCreate()_x000D_
08 16 07:29:36 989 18480 18480 I AppCompatDelegate: You should now use the AppCompatDelegate FEATURE SUPPORT ACTION BAR OVERLAY id when requesting this feature _x000D_
08 16 07:29:37 006 18480 18480 W  b44t messenger: type 1400 audit(0 0:1420370): avc: denied   read   for name  u:object r:persist camera prop:s0  dev  tmpfs  ino 5017 scontext u:r:untrusted app 27:s0:c198 c256 c512 c768 tcontext u:object r:persist camera prop:s0 tclass file permissive 0_x000D_
08 16 07:29:37 016 18480 18480 E libc    : Access denied finding property  vendor camera aux packagelist _x000D_
08 16 07:29:37 017 18480 18480 I ServiceManager: Waiting for service  media camera  on   dev binder    _x000D_
08 16 07:29:38 017 18480 18480 I ServiceManager: Waiting for service  media camera  on   dev binder    _x000D_
08 16 07:29:39 017 18480 18480 I ServiceManager: Waiting for service  media camera  on   dev binder    _x000D_
08 16 07:29:40 018 18480 18480 I ServiceManager: Waiting for service  media camera  on   dev binder    _x000D_
08 16 07:29:41 019 18480 18480 I ServiceManager: Waiting for service  media camera  on   dev binder    _x000D_
08 16 07:29:42 025 18480 18480 W ServiceManager: Service media camera didn t start  Returning NULL_x000D_
08 16 07:29:42 025 18480 18480 W CameraBase: CameraService not published  waiting   _x000D_
08 16 07:29:42 526 18480 18480 I ServiceManager: Waiting for service  media camera  on   dev binder    _x000D_
08 16 07:29:43 527 18480 18480 I ServiceManager: Waiting for service  media camera  on   dev binder    _x000D_
08 16 07:29:44 528 18480 18480 I ServiceManager: Waiting for service  media camera  on   dev binder    _x000D_
08 16 07:29:45 529 18480 18480 I ServiceManager: Waiting for service  media camera  on   dev binder    _x000D_
08 16 07:29:46 530 18480 18480 I ServiceManager: Waiting for service  media camera  on   dev binder    _x000D_
08 16 07:29:47 531 18480 18480 W ServiceManager: Service media camera didn t start  Returning NULL_x000D_
08 16 07:29:47 531 18480 18480 W CameraBase: CameraService not published  waiting   _x000D_
08 16 07:29:48 053 18480 18480 I ServiceManager: Waiting for service  media camera  on   dev binder    _x000D_
08 16 07:29:49 091 18480 18480 I ServiceManager: Waiting for service  media camera  on   dev binder    _x000D_
08 16 07:29:50 092 18480 18480 I ServiceManager: Waiting for service  media camera  on   dev binder    _x000D_
08 16 07:29:51 092 18480 18480 I ServiceManager: Waiting for service  media camera  on   dev binder    _x000D_
08 16 07:29:52 093 18480 18480 I ServiceManager: Waiting for service  media camera  on   dev binder    _x000D_
08 16 07:29:53 094 18480 18480 W ServiceManager: Service media camera didn t start  Returning NULL_x000D_
08 16 07:29:53 094 18480 18480 W CameraBase: CameraService not published  waiting   _x000D_
08 16 07:29:53 595 18480 18480 I ServiceManager: Waiting for service  media camera  on   dev binder    _x000D_
08 16 07:29:54 597 18480 18480 I ServiceManager: Waiting for service  media camera  on   dev binder    _x000D_
08 16 07:29:55 597 18480 18480 I ServiceManager: Waiting for service  media camera  on   dev binder    _x000D_
08 16 07:29:56 597 18480 18480 I ServiceManager: Waiting for service  media camera  on   dev binder    _x000D_
08 16 07:30:02 965 22140 22140 E  b44t messenge: Not starting debugger since process cannot load the jdwp agent _x000D_
08 16 07:30:03 038 22140 22140 I Perf    : Connecting to perf service _x000D_
08 16 07:30:03 057 22140 22140 I MultiDex: VM with version 2 1 0 has multidex support_x000D_
08 16 07:30:03 057 22140 22140 I MultiDex: Installing application_x000D_
08 16 07:30:03 057 22140 22140 I MultiDex: VM has multidex support  MultiDex support library is disabled _x000D_
08 16 07:30:03 093 22140 22140 I DeltaChat:                    ApplicationContext onCreate()                   _x000D_
08 16 07:30:03 116 22140 22164 D XmlUtils: String value is null_x000D_
08 16 07:30:03 143 22140 22178 I DeltaChat: src sql rs:1323: Opened   data user 0 com b44t messenger files messenger db  _x000D_
08 16 07:30:03 143 22140 22140 I DeltaChat:                    ApplicationDcContext maybeStartIo()                   _x000D_
08 16 07:30:03 144 22140 22178 I DeltaChat: src context rs:144: starting IO_x000D_
08 16 07:30:03 144 22140 22178 I DeltaChat: src scheduler rs:47: starting inbox loop_x000D_
08 16 07:30:03 144 22140 22178 I DeltaChat: src job rs:1077: loading job for Imap thread_x000D_
08 16 07:30:03 153 22140 22178 I DeltaChat: src scheduler rs:169: starting simple loop for configured mvbox folder_x000D_
08 16 07:30:03 153 22140 22178 I DeltaChat: src scheduler rs:169: starting simple loop for configured sentbox folder_x000D_
08 16 07:30:03 153 22140 22178 I DeltaChat: src scheduler rs:200: starting smtp loop_x000D_
08 16 07:30:03 153 22140 22178 I DeltaChat: src job rs:1077: loading job for Smtp thread_x000D_
08 16 07:30:03 153 22140 22178 I DeltaChat: src scheduler rs:223: smtp fake idle   started_x000D_
08 16 07:30:03 153 22140 22178 I DeltaChat: src scheduler rs:318: scheduler is running_x000D_
08 16 07:30:03 164 22140 22140 W SoundPool: Use of stream types is deprecated for operations other than volume control_x000D_
08 16 07:30:03 164 22140 22140 W SoundPool: See the documentation of SoundPool() for what to use instead with android media AudioAttributes to qualify your playback use case_x000D_
08 16 07:30:03 177 22140 22190 I OMXClient: IOmx service obtained_x000D_
08 16 07:30:03 183 22140 22190 W ExtendedACodec: Failed to get extension for extradata parameter_x000D_
08 16 07:30:03 189 22140 22196 E Perf    : Fail to get file list com b44t messenger_x000D_
08 16 07:30:03 190 22140 22196 E Perf    : getFolderSize() : Exception 1   java lang NullPointerException: Attempt to get length of null array_x000D_
08 16 07:30:03 190 22140 22196 E Perf    : Fail to get file list oat_x000D_
08 16 07:30:03 190 22140 22196 E Perf    : getFolderSize() : Exception 1   java lang NullPointerException: Attempt to get length of null array_x000D_
08 16 07:30:03 215 22140 22140 W PassphraseRequiredActionBarActivity: onCreate(null)_x000D_
08 16 07:30:03 217 22140 22201 I OMXClient: IOmx service obtained_x000D_
08 16 07:30:03 220 22140 22201 W ExtendedACodec: Failed to get extension for extradata parameter_x000D_
08 16 07:30:03 224 22140 22140 E  b44t messenge: Invalid ID 0x00000000 _x000D_
08 16 07:30:03 380 22140 22140 I DeltaChat:                    first ForegroundDetector onActivityStarted()                   _x000D_
08 16 07:30:03 380 22140 22140 I DeltaChat:                    ApplicationDcContext maybeStartIo()                   _x000D_
08 16 07:30:03 380 22140 22178 I DeltaChat: src context rs:144: starting IO_x000D_
08 16 07:30:03 380 22140 22178 I DeltaChat: src context rs:146: IO is already running_x000D_
08 16 07:30:03 381 22140 22205 I DeltaChat: calling maybeNetwork()_x000D_
08 16 07:30:03 381 22140 22205 I DeltaChat: maybeNetwork() returned_x000D_
08 16 07:30:03 382 22140 22178 I DeltaChat: src scheduler rs:225: smtp fake idle   interrupted_x000D_
08 16 07:30:03 382 22140 22178 I DeltaChat: src job rs:1077: loading job for Smtp thread_x000D_
08 16 07:30:03 382 22140 22178 I DeltaChat: src scheduler rs:223: smtp fake idle   started_x000D_
08 16 07:30:03 447 22140 22140 W PassphraseRequiredActionBarActivity: onResume()_x000D_
08 16 07:30:03 447 22140 22140 V Activity: mLastPackageName org thoughtcrime securesms RoutingActivity_x000D_
08 16 07:30:03 482 22140 22140 D PureDisplay: package com b44t messenger DYNAMIC ORIGINAL MODE open_x000D_
08 16 07:30:03 502 22140 22140 I DeltaChat:                    Connected                   _x000D_
08 16 07:30:03 503 22140 22210 I DeltaChat: calling maybeNetwork()_x000D_
08 16 07:30:03 503 22140 22210 I DeltaChat: maybeNetwork() returned_x000D_
08 16 07:30:03 508 22140 22178 I DeltaChat: src scheduler rs:225: smtp fake idle   interrupted_x000D_
08 16 07:30:03 508 22140 22178 I DeltaChat: src job rs:1077: loading job for Smtp thread_x000D_
08 16 07:30:03 508 22140 22178 I DeltaChat: src scheduler rs:223: smtp fake idle   started_x000D_
08 16 07:30:03 525 22140 22197 I AdrenoGLES: QUALCOMM build                   : b7efb54  I285e059637_x000D_
08 16 07:30:03 525 22140 22197 I AdrenoGLES: Build Date                       : 10 31 19_x000D_
08 16 07:30:03 525 22140 22197 I AdrenoGLES: OpenGL ES Shader Compiler Version: EV031 27 05 02_x000D_
08 16 07:30:03 525 22140 22197 I AdrenoGLES: Local Branch                     : _x000D_
08 16 07:30:03 525 22140 22197 I AdrenoGLES: Remote Branch                    : _x000D_
08 16 07:30:03 525 22140 22197 I AdrenoGLES: Remote Branch                    : _x000D_
08 16 07:30:03 525 22140 22197 I AdrenoGLES: Reconstruct Branch               : _x000D_
08 16 07:30:03 525 22140 22197 I AdrenoGLES: Build Config                     : S L 8 0 12 AArch64_x000D_
08 16 07:30:03 526 22140 22140 W RenderThread: type 1400 audit(0 0:1420371): avc: denied   search   for name  kgsl 3d0  dev  sysfs  ino 30423 scontext u:r:untrusted app 27:s0:c198 c256 c512 c768 tcontext u:object r:sysfs kgsl:s0 tclass dir permissive 0_x000D_
08 16 07:30:03 531 22140 22197 I AdrenoGLES: PFP: 0x005ff112  ME: 0x005ff066_x000D_
08 16 07:30:03 535 22140 22197 W AdrenoUtils:  ReadGpuID from sysfs:194 : Failed to open  sys class kgsl kgsl 3d0 gpu model_x000D_
08 16 07:30:03 535 22140 22197 W AdrenoUtils:  ReadGpuID:218 : Failed to read chip ID from gpu model  Fallback to use the GSL path_x000D_
08 16 07:30:03 708 22140 22209 I EmojiPageBitmap: loading page emoji People 0 png_x000D_
08 16 07:30:03 725 22140 22209 D EmojiPageBitmap:  emoji People 0 png  decode: 15  scale: 1  total: 16_x000D_
08 16 07:30:03 725 22140 22209 I EmojiPageBitmap: onPageLoaded(emoji People 0 png)  originalByteCount: 4194304  scaledByteCount: 4194304  scaledSize: 1024x1024_x000D_
08 16 07:30:03 782 22140 22197 W Gralloc3: mapper 3 x is not supported_x000D_
08 16 07:30:04 867 22140 22178 I DeltaChat: src imap mod rs:678: 0 mails read from  Sent  _x000D_
08 16 07:30:04 910 22140 22178 I DeltaChat: src imap mod rs:728: fetch new messages: ignoring uid 217  last seen was 220_x000D_
08 16 07:30:04 910 22140 22178 I DeltaChat: src imap mod rs:678: 0 mails read from  INBOX  _x000D_
08 16 07:30:05 048 22140 22178 I DeltaChat: src imap mod rs:728: fetch new messages: ignoring uid 163  last seen was 163_x000D_
08 16 07:30:05 048 22140 22178 I DeltaChat: src imap mod rs:678: 0 mails read from  DeltaChat  _x000D_
08 16 07:30:05 068 22140 22178 I DeltaChat: src imap idle rs:85: Idle entering wait on remote state_x000D_
08 16 07:30:05 068 22140 22178 I DeltaChat: src imap idle rs:107: Idle wait was interrupted_x000D_
08 16 07:30:05 104 22140 22178 I DeltaChat: src imap idle rs:85: Idle entering wait on remote state_x000D_
08 16 07:30:05 104 22140 22178 I DeltaChat: src imap idle rs:107: Idle wait was interrupted_x000D_
08 16 07:30:05 256 22140 22178 I DeltaChat: src imap idle rs:85: Idle entering wait on remote state_x000D_
08 16 07:30:05 256 22140 22178 I DeltaChat: src imap idle rs:107: Idle wait was interrupted_x000D_
08 16 07:30:05 347 22140 22178 I DeltaChat: src job rs:1077: loading job for Imap thread_x000D_
08 16 07:30:05 520 22140 22178 I DeltaChat: src imap mod rs:678: 0 mails read from  Sent  _x000D_
08 16 07:30:05 552 22140 22178 I DeltaChat: src imap mod rs:728: fetch new messages: ignoring uid 217  last seen was 220_x000D_
08 16 07:30:05 552 22140 22178 I DeltaChat: src imap mod rs:678: 0 mails read from  INBOX  _x000D_
08 16 07:30:05 702 22140 22178 I DeltaChat: src imap mod rs:728: fetch new messages: ignoring uid 163  last seen was 163_x000D_
08 16 07:30:05 702 22140 22178 I DeltaChat: src imap mod rs:678: 0 mails read from  DeltaChat  _x000D_
08 16 07:30:05 733 22140 22178 I DeltaChat: src imap idle rs:85: Idle entering wait on remote state_x000D_
08 16 07:30:05 755 22140 22178 I DeltaChat: src imap idle rs:85: Idle entering wait on remote state_x000D_
08 16 07:30:05 899 22140 22178 I DeltaChat: src imap idle rs:85: Idle entering wait on remote state_x000D_
08 16 07:30:06 406 22140 22140 W PassphraseRequiredActionBarActivity: onPause()_x000D_
08 16 07:30:06 437 22140 22140 W ActivityThread: handleWindowVisibility: no activity for token android os BinderProxy a0102c3_x000D_
08 16 07:30:06 442 22140 22140 W PassphraseRequiredActionBarActivity: onCreate(null)_x000D_
08 16 07:30:06 444 22140 22140 W ConversationActivity: onCreate()_x000D_
08 16 07:30:06 444 22140 22140 I AppCompatDelegate: You should now use the AppCompatDelegate FEATURE SUPPORT ACTION BAR OVERLAY id when requesting this feature _x000D_
08 16 07:30:06 456 22140 22140 W  b44t messenger: type 1400 audit(0 0:1420372): avc: denied   read   for name  u:object r:persist camera prop:s0  dev  tmpfs  ino 5017 scontext u:r:untrusted app 27:s0:c198 c256 c512 c768 tcontext u:object r:persist camera prop:s0 tclass file permissive 0_x000D_
08 16 07:30:06 468 22140 22140 E libc    : Access denied finding property  vendor camera aux packagelist _x000D_
08 16 07:30:06 468 22140 22140 I ServiceManager: Waiting for service  media camera  on   dev binder    _x000D_
08 16 07:30:07 468 22140 22140 I ServiceManager: Waiting for service  media camera  on   dev binder    _x000D_
08 16 07:30:08 469 22140 22140 I ServiceManager: Waiting for service  media camera  on   dev binder    _x000D_
08 16 07:30:09 470 22140 22140 I ServiceManager: Waiting for service  media camera  on   dev binder    _x000D_
08 16 07:30:10 470 22140 22140 I ServiceManager: Waiting for service  media camera  on   dev binder    _x000D_
08 16 07:30:11 474 22140 22140 W ServiceManager: Service media camera didn t start  Returning NULL_x000D_
08 16 07:30:11 474 22140 22140 W CameraBase: CameraService not published  waiting   _x000D_
08 16 07:30:11 975 22140 22140 I ServiceManager: Waiting for service  media camera  on   dev binder    _x000D_
08 16 07:30:12 976 22140 22140 I ServiceManager: Waiting for service  media camera  on   dev binder    _x000D_
08 16 07:30:13 976 22140 22140 I ServiceManager: Waiting for service  media camera  on   dev binder    _x000D_
08 16 07:30:15 012 22140 22140 I ServiceManager: Waiting for service  media camera  on   dev binder    _x000D_
08 16 07:30:16 196 22254 22254 E  b44t messenge: Not starting debugger since process cannot load the jdwp agent _x000D_
08 16 07:30:16 259 22254 22254 I Perf    : Connecting to perf service _x000D_
08 16 07:30:16 267 22254 22254 I MultiDex: VM with version 2 1 0 has multidex support_x000D_
08 16 07:30:16 267 22254 22254 I MultiDex: Installing application_x000D_
08 16 07:30:16 267 22254 22254 I MultiDex: VM has multidex support  MultiDex support library is disabled _x000D_
08 16 07:30:16 306 22254 22254 I DeltaChat:                    ApplicationContext onCreate()                   _x000D_
08 16 07:30:16 319 22254 22298 D XmlUtils: String value is null_x000D_
08 16 07:30:16 344 22254 22254 I DeltaChat:                    ApplicationDcContext maybeStartIo()                   _x000D_
08 16 07:30:16 353 22254 22314 I DeltaChat: src sql rs:1323: Opened   data user 0 com b44t messenger files messenger db  _x000D_
08 16 07:30:16 354 22254 22314 I DeltaChat: src context rs:144: starting IO_x000D_
08 16 07:30:16 354 22254 22314 I DeltaChat: src scheduler rs:47: starting inbox loop_x000D_
08 16 07:30:16 354 22254 22314 I DeltaChat: src job rs:1077: loading job for Imap thread_x000D_
08 16 07:30:16 354 22254 22314 I DeltaChat: src scheduler rs:169: starting simple loop for configured mvbox folder_x000D_
08 16 07:30:16 354 22254 22314 I DeltaChat: src scheduler rs:169: starting simple loop for configured sentbox folder_x000D_
08 16 07:30:16 354 22254 22314 I DeltaChat: src scheduler rs:200: starting smtp loop_x000D_
08 16 07:30:16 354 22254 22314 I DeltaChat: src job rs:1077: loading job for Smtp thread_x000D_
08 16 07:30:16 357 22254 22314 I DeltaChat: src scheduler rs:223: smtp fake idle   started_x000D_
08 16 07:30:16 358 22254 22314 I DeltaChat: src scheduler rs:318: scheduler is running_x000D_
08 16 07:30:16 368 22254 22254 W SoundPool: Use of stream types is deprecated for operations other than volume control_x000D_
08 16 07:30:16 368 22254 22254 W SoundPool: See the documentation of SoundPool() for what to use instead with android media AudioAttributes to qualify your playback use case_x000D_
08 16 07:30:16 398 22254 22326 E Perf    : Fail to get file list com b44t messenger_x000D_
08 16 07:30:16 399 22254 22326 E Perf    : getFolderSize() : Exception 1   java lang NullPointerException: Attempt to get length of null array_x000D_
08 16 07:30:16 400 22254 22326 E Perf    : Fail to get file list oat_x000D_
08 16 07:30:16 400 22254 22326 E Perf    : getFolderSize() : Exception 1   java lang NullPointerException: Attempt to get length of null array_x000D_
08 16 07:30:16 411 22254 22328 I OMXClient: IOmx service obtained_x000D_
08 16 07:30:16 418 22254 22328 W ExtendedACodec: Failed to get extension for extradata parameter_x000D_
08 16 07:30:16 428 22254 22254 W PassphraseRequiredActionBarActivity: onCreate(null)_x000D_
08 16 07:30:16 459 22254 22254 E  b44t messenge: Invalid ID 0x00000000 _x000D_
08 16 07:30:16 564 22254 22336 I OMXClient: IOmx service obtained_x000D_
08 16 07:30:16 567 22254 22336 W ExtendedACodec: Failed to get extension for extradata parameter_x000D_
08 16 07:30:16 586 22254 22254 I DeltaChat:                    first ForegroundDetector onActivityStarted()                   _x000D_
08 16 07:30:16 586 22254 22254 I DeltaChat:                    ApplicationDcContext maybeStartIo()                   _x000D_
08 16 07:30:16 587 22254 22314 I DeltaChat: src context rs:144: starting IO_x000D_
08 16 07:30:16 587 22254 22314 I DeltaChat: src context rs:146: IO is already running_x000D_
08 16 07:30:16 588 22254 22340 I DeltaChat: calling maybeNetwork()_x000D_
08 16 07:30:16 589 22254 22340 I DeltaChat: maybeNetwork() returned_x000D_
08 16 07:30:16 592 22254 22314 I DeltaChat: src scheduler rs:225: smtp fake idle   interrupted_x000D_
08 16 07:30:16 592 22254 22314 I DeltaChat: src job rs:1077: loading job for Smtp thread_x000D_
08 16 07:30:16 592 22254 22314 I DeltaChat: src scheduler rs:223: smtp fake idle   started_x000D_
08 16 07:30:16 659 22254 22254 W PassphraseRequiredActionBarActivity: onResume()_x000D_
08 16 07:30:16 660 22254 22254 V Activity: mLastPackageName org thoughtcrime securesms RoutingActivity_x000D_
08 16 07:30:16 702 22254 22254 D PureDisplay: package com b44t messenger DYNAMIC ORIGINAL MODE open_x000D_
08 16 07:30:16 745 22254 22254 I DeltaChat:                    Connected                   _x000D_
08 16 07:30:16 750 22254 22344 I DeltaChat: calling maybeNetwork()_x000D_
08 16 07:30:16 750 22254 22344 I DeltaChat: maybeNetwork() returned_x000D_
08 16 07:30:16 754 22254 22314 I DeltaChat: src scheduler rs:225: smtp fake idle   interrupted_x000D_
08 16 07:30:16 754 22254 22314 I DeltaChat: src job rs:1077: loading job for Smtp thread_x000D_
08 16 07:30:16 755 22254 22314 I DeltaChat: src scheduler rs:223: smtp fake idle   started_x000D_
08 16 07:30:16 778 22254 22329 I AdrenoGLES: QUALCOMM build                   : b7efb54  I285e059637_x000D_
08 16 07:30:16 778 22254 22329 I AdrenoGLES: Build Date                       : 10 31 19_x000D_
08 16 07:30:16 778 22254 22329 I AdrenoGLES: OpenGL ES Shader Compiler Version: EV031 27 05 02_x000D_
08 16 07:30:16 778 22254 22329 I AdrenoGLES: Local Branch                     : _x000D_
08 16 07:30:16 778 22254 22329 I AdrenoGLES: Remote Branch                    : _x000D_
08 16 07:30:16 778 22254 22329 I AdrenoGLES: Remote Branch                    : _x000D_
08 16 07:30:16 778 22254 22329 I AdrenoGLES: Reconstruct Branch               : _x000D_
08 16 07:30:16 778 22254 22329 I AdrenoGLES: Build Config                     : S L 8 0 12 AArch64_x000D_
08 16 07:30:16 798 22254 22329 I AdrenoGLES: PFP: 0x005ff112  ME: 0x005ff066_x000D_
08 16 07:30:16 806 22254 22254 W RenderThread: type 1400 audit(0 0:1420755): avc: denied   search   for name  kgsl 3d0  dev  sysfs  ino 30423 scontext u:r:untrusted app 27:s0:c198 c256 c512 c768 tcontext u:object r:sysfs kgsl:s0 tclass dir permissive 0_x000D_
08 16 07:30:16 814 22254 22329 W AdrenoUtils:  ReadGpuID from sysfs:194 : Failed to open  sys class kgsl kgsl 3d0 gpu model_x000D_
08 16 07:30:16 814 22254 22329 W AdrenoUtils:  ReadGpuID:218 : Failed to read chip ID from gpu model  Fallback to use the GSL path_x000D_
08 16 07:30:16 954 22254 22343 I EmojiPageBitmap: loading page emoji People 0 png_x000D_
08 16 07:30:16 966 22254 22343 D EmojiPageBitmap:  emoji People 0 png  decode: 12  scale: 0  total: 12_x000D_
08 16 07:30:16 966 22254 22343 I EmojiPageBitmap: onPageLoaded(emoji People 0 png)  originalByteCount: 4194304  scaledByteCount: 4194304  scaledSize: 1024x1024_x000D_
08 16 07:30:17 021 22254 22329 W Gralloc3: mapper 3 x is not supported_x000D_
08 16 07:30:18 077 22254 22314 I DeltaChat: src imap mod rs:728: fetch new messages: ignoring uid 217  last seen was 220_x000D_
08 16 07:30:18 077 22254 22314 I DeltaChat: src imap mod rs:678: 0 mails read from  INBOX  _x000D_
08 16 07:30:18 101 22254 22314 I DeltaChat: src imap mod rs:678: 0 mails read from  Sent  _x000D_
08 16 07:30:18 132 22254 22314 I DeltaChat: src imap mod rs:728: fetch new messages: ignoring uid 163  last seen was 163_x000D_
08 16 07:30:18 132 22254 22314 I DeltaChat: src imap mod rs:678: 0 mails read from  DeltaChat  _x000D_
08 16 07:30:18 252 22254 22254 W PassphraseRequiredActionBarActivity: onPause()_x000D_
08 16 07:30:18 260 22254 22254 W ActivityThread: handleWindowVisibility: no activity for token android os BinderProxy 551be72_x000D_
08 16 07:30:18 264 22254 22254 W PassphraseRequiredActionBarActivity: onCreate(null)_x000D_
08 16 07:30:18 266 22254 22254 W ConversationActivity: onCreate()_x000D_
08 16 07:30:18 266 22254 22254 I AppCompatDelegate: You should now use the AppCompatDelegate FEATURE SUPPORT ACTION BAR OVERLAY id when requesting this feature _x000D_
08 16 07:30:18 276 22254 22254 W  b44t messenger: type 1400 audit(0 0:1420756): avc: denied   read   for name  u:object r:persist camera prop:s0  dev  tmpfs  ino 5017 scontext u:r:untrusted app 27:s0:c198 c256 c512 c768 tcontext u:object r:persist camera prop:s0 tclass file permissive 0_x000D_
08 16 07:30:18 286 22254 22254 E libc    : Access denied finding property  vendor camera aux packagelist _x000D_
08 16 07:30:18 287 22254 22254 I ServiceManager: Waiting for service  media camera  on   dev binder    _x000D_
08 16 07:30:18 288 22254 22314 I DeltaChat: src imap idle rs:85: Idle entering wait on remote state_x000D_
08 16 07:30:18 288 22254 22314 I DeltaChat: src imap idle rs:107: Idle wait was interrupted_x000D_
08 16 07:30:18 309 22254 22314 I DeltaChat: src imap idle rs:85: Idle entering wait on remote state_x000D_
08 16 07:30:18 310 22254 22314 I DeltaChat: src imap idle rs:107: Idle wait was interrupted_x000D_
08 16 07:30:18 342 22254 22314 I DeltaChat: src imap idle rs:85: Idle entering wait on remote state_x000D_
08 16 07:30:18 342 22254 22314 I DeltaChat: src imap idle rs:107: Idle wait was interrupted_x000D_
08 16 07:30:18 526 22254 22314 I DeltaChat: src job rs:1077: loading job for Imap thread_x000D_
08 16 07:30:18 745 22254 22314 I DeltaChat: src imap mod rs:728: fetch new messages: ignoring uid 217  last seen was 220_x000D_
08 16 07:30:18 745 22254 22314 I DeltaChat: src imap mod rs:678: 0 mails read from  INBOX  _x000D_
08 16 07:30:19 2</t>
  </si>
  <si>
    <t>TeamNewPipe-NewPipe-4137</t>
  </si>
  <si>
    <t>Icon channel in the playlist tab in main page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</si>
  <si>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 _x000D_
_x000D_
    Steps to reproduce the bug_x000D_
    _x000D_
1  Go to      _x000D_
2  Press on       _x000D_
3  Swipe down to       _x000D_
   _x000D_
Main screen_x000D_
I have playlist in tab _x000D_
I click to the channel icon to access directly to the channel _x000D_
Error_x000D_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20200816 021250 (https:  user images githubusercontent com 11852634 90324390 98bad880 df6e 11ea 8a3b 663c81d76a0c jpg)_x000D_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Exception_x000D_
    User Action:   ui error_x000D_
    Request:   App crash  UI failure_x000D_
    Content Country:   TN_x000D_
    Content Language:   ar_x000D_
    App Language:   fr_x000D_
    Service:   none_x000D_
    Version:   0 19 8_x000D_
    OS:   Linux samsung a50dd a50:10 QP1A 190711 020 A505FDDU5BTE1:user release keys 10   29_x000D_
 details  summary  b Crash log   b   summary  p _x000D_
_x000D_
   _x000D_
java lang IllegalArgumentException: No view found for id 0x7f090126 (org schabi newpipe:id fragment holder) for fragment ChannelFragment 32deb96  (dff786b3 b9a5 4351 a662 baa6c2acad03) id 0x7f090126 _x000D_
	at androidx fragment app FragmentStateManager createView(FragmentStateManager java:315)_x000D_
	at androidx fragment app FragmentManager moveToState(FragmentManager java:1187)_x000D_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BackStackRecord executeOps(BackStackRecord java:447)_x000D_
	at androidx fragment app FragmentManager executeOps(FragmentManager java:2169)_x000D_
	at androidx fragment app FragmentManager executeOpsTogether(FragmentManager java:1992)_x000D_
	at androidx fragment app FragmentManager removeRedundantOperationsAndExecute(FragmentManager java:1947)_x000D_
	at androidx fragment app FragmentManager execPendingActions(FragmentManager java:1849)_x000D_
	at androidx fragment app FragmentManager 4 run(FragmentManager java:413)_x000D_
	at android os Handler handleCallback(Handler java:883)_x000D_
	at android os Handler dispatchMessage(Handler java:100)_x000D_
	at android os Looper loop(Looper java:237)_x000D_
	at android app ActivityThread main(ActivityThread java:7814)_x000D_
	at java lang reflect Method invoke(Native Method)_x000D_
	at com android internal os RuntimeInit MethodAndArgsCaller run(RuntimeInit java:493)_x000D_
	at com android internal os ZygoteInit main(ZygoteInit java:1075)_x000D_
_x000D_
   _x000D_
  details _x000D_
 hr _x000D_
_x000D_
     That s right  here     _x000D_
</t>
  </si>
  <si>
    <t>nikita36078-J2ME-Loader-721</t>
  </si>
  <si>
    <t>Bounce Tales Crashing Issue</t>
  </si>
  <si>
    <t xml:space="preserve">  Emulator version:  _x000D_
1 6 3 play_x000D_
_x000D_
  Game version:  _x000D_
2 0 3_x000D_
_x000D_
  Game resolution:  _x000D_
240x400_x000D_
_x000D_
  Device:  _x000D_
Samsung Galaxy J7 (2016)_x000D_
_x000D_
  Android version:  _x000D_
8 1 0_x000D_
_x000D_
  Description of the issue:  _x000D_
When you started to play any chapters of the game if you open the common settings  finish the editing onscreen buttons  the app crashes immediately _x000D_
_x000D_
  The crash log file links:  _x000D_
Captured with logcat:  here (https:  drive google com file d 10g9TksLAANoEuA5CG5RVbjRFE8UW5  p view usp sharing)_x000D_
Captured in app:  here (https:  drive google com file d 1 GBEGdu dEK4DyaIQ5JNe B5h 8v57 P view usp sharing) </t>
  </si>
  <si>
    <t>TeamNewPipe-NewPipe-4132</t>
  </si>
  <si>
    <t>Duplicate Playlist Names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</si>
  <si>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Currently  it appears NewPipe allows users to create playlists with identical names when adding videos  This can become confusing  We should either show users an error when creating duplicates or we should add the video to the existing playlist _x000D_
_x000D_
    Version_x000D_
     Which version are you using  Hopefully the latest  We just told you that above     _x000D_
  0 19 8_x000D_
  dev_x000D_
_x000D_
    Steps to reproduce the bug_x000D_
    _x000D_
_x000D_
_x000D_
   _x000D_
1  Long press on video and select  Add to playlist _x000D_
2  Choose  New Playlist _x000D_
3  Use an existing playlist s name_x000D_
4  Long press on another video and select  Add to playlist    Go to Bookmarked playlists_x000D_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We should only see one playlist with a given name_x000D_
_x000D_
    Actual behaviour_x000D_
     Tell us what happens instead     _x000D_
We see two playlists with the same name_x000D_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Playlists Duplicate Name (https:  user images githubusercontent com 7804461 90316762 71262a80 def2 11ea 84d9 27c0c6449a7e png)_x000D_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</si>
  <si>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mh--corona-warn-companion-android-9</t>
  </si>
  <si>
    <t>Crash on API 30 (Android R)</t>
  </si>
  <si>
    <t xml:space="preserve">App version 1 0 6 crashes:_x000D_
_x000D_
   _x000D_
D ContactDbOnDisk: Trying to copy LevelDB_x000D_
W ContextImpl: Failed to ensure  storage emulated 0 Android data org tosl warnappcompanion cache: android os ServiceSpecificException:  (code  1)_x000D_
D AndroidRuntime: Shutting down VM_x000D_
E AndroidRuntime: FATAL EXCEPTION: main_x000D_
    Process: org tosl warnappcompanion  PID: 5266_x000D_
    java lang RuntimeException: Unable to start activity ComponentInfo org tosl warnappcompanion org tosl coronawarncompanion MainActivity : java lang NullPointerException_x000D_
        at android app ActivityThread performLaunchActivity(ActivityThread java:3449)_x000D_
        at android app ActivityThread handleLaunchActivity(ActivityThread java:3601)_x000D_
        at android app servertransaction LaunchActivityItem execute(LaunchActivityItem java:85)_x000D_
        at android app servertransaction TransactionExecutor executeCallbacks(TransactionExecutor java:135)_x000D_
        at android app servertransaction TransactionExecutor execute(TransactionExecutor java:95)_x000D_
        at android app ActivityThread H handleMessage(ActivityThread java:2066)_x000D_
        at android os Handler dispatchMessage(Handler java:106)_x000D_
        at android os Looper loop(Looper java:223)_x000D_
        at android app ActivityThread main(ActivityThread java:7656)_x000D_
        at java lang reflect Method invoke(Native Method)_x000D_
        at com android internal os RuntimeInit MethodAndArgsCaller run(RuntimeInit java:592)_x000D_
        at com android internal os ZygoteInit main(ZygoteInit java:947)_x000D_
     Caused by: java lang NullPointerException_x000D_
        at java util Objects requireNonNull(Objects java:220)_x000D_
        at org tosl coronawarncompanion gmsreadout ContactDbOnDisk copyFromGMS(ContactDbOnDisk java:65)_x000D_
        at org tosl coronawarncompanion gmsreadout ContactDbOnDisk getRpisFromContactDB(ContactDbOnDisk java:218)_x000D_
        at org tosl coronawarncompanion MainActivity onCreate(MainActivity java:205)_x000D_
        at android app Activity performCreate(Activity java:8000)_x000D_
        at android app Activity performCreate(Activity java:7984)_x000D_
        at android app Instrumentation callActivityOnCreate(Instrumentation java:1309)_x000D_
        at android app ActivityThread performLaunchActivity(ActivityThread java:3422)_x000D_
        at android app ActivityThread handleLaunchActivity(ActivityThread java:3601) _x000D_
        at android app servertransaction LaunchActivityItem execute(LaunchActivityItem java:85) _x000D_
        at android app servertransaction TransactionExecutor executeCallbacks(TransactionExecutor java:135) _x000D_
        at android app servertransaction TransactionExecutor execute(TransactionExecutor java:95) _x000D_
        at android app ActivityThread H handleMessage(ActivityThread java:2066) _x000D_
        at android os Handler dispatchMessage(Handler java:106) _x000D_
        at android os Looper loop(Looper java:223) _x000D_
        at android app ActivityThread main(ActivityThread java:7656) _x000D_
        at java lang reflect Method invoke(Native Method) _x000D_
        at com android internal os RuntimeInit MethodAndArgsCaller run(RuntimeInit java:592) _x000D_
        at com android internal os ZygoteInit main(ZygoteInit java:947) _x000D_
   _x000D_
_x000D_
Code:_x000D_
   _x000D_
        Log d(TAG   Trying to copy LevelDB ) _x000D_
        String cachePathStr   Objects requireNonNull(context getExternalCacheDir()) getPath() _x000D_
   </t>
  </si>
  <si>
    <t>Anuken-Mindustry-2353</t>
  </si>
  <si>
    <t xml:space="preserve">conduits not working correctly </t>
  </si>
  <si>
    <t xml:space="preserve">  Platform  :  Android iOS Mac Windows Linux _x000D_
_x000D_
  Build  :  The build number under the title in the main menu  Required  _x000D_
_x000D_
  Issue  :  Explain your issue in detail  _x000D_
_x000D_
  Steps to reproduce  :  How you happened across the issue  and what you were doing at the time  _x000D_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</si>
  <si>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Goujer-kanojo_app-2</t>
  </si>
  <si>
    <t>Certain barcodes cause exceptions</t>
  </si>
  <si>
    <t xml:space="preserve">Undetermined types of barcodes cause exceptions and sometimes app crashes  Test multiple barcodes and examine code to find a root cause </t>
  </si>
  <si>
    <t>cfirinidis-GotNXT-79</t>
  </si>
  <si>
    <t>Stand In Names Update</t>
  </si>
  <si>
    <t>Correcting Stand Ins with name causes crash</t>
  </si>
  <si>
    <t>Anuken-Mindustry-2352</t>
  </si>
  <si>
    <t>Server error (Message block)</t>
  </si>
  <si>
    <t xml:space="preserve">  Platform  :  Linux (server)  _x000D_
_x000D_
  Build  :  release build 104 10 _x000D_
_x000D_
  Issue  :  When someone puts a message block  the server crashes  But this does not always happen  That is  if I put or delete a message block  the server may crash  or it may not crash  I have attached a screenshot of the console  _x000D_
  image (https:  user images githubusercontent com 58992285 90247950 52675b80 de40 11ea 9d65 cc4df252b5b7 png)_x000D_
_x000D_
  Link to mod(s) used  if applicable  : _x000D_
Plugin: https:  github com Kieaer Essentials _x000D_
Mod (Without scripts): https:  github com Vladislav117 RPW _x000D_
_x000D_
   _x000D_
_x000D_
 Place an X (no spaces) between the brackets to confirm that you have read the line below    _x000D_
   X    I have searched the closed and open issues to make sure that this problem has not already been reported   _x000D_
</t>
  </si>
  <si>
    <t>material-components-material-components-android-1617</t>
  </si>
  <si>
    <t>[BottomSheetBehavior] Crash during applying window insets</t>
  </si>
  <si>
    <t xml:space="preserve">  Description:   We get the crash on app launch  Seems that it s incompatible version of   BottomSheetBehaviort   that is from material components and   WindowInsetsCompat   that is from AndroidX  The crash started to be reproduced from the material components library 1 2 0 on any Android 10 device  On version 1 1 0   it wasn t  Please help us to fix this issue or send us to right solution with correct libraries configuration  Thank you _x000D_
_x000D_
   _x000D_
java lang NoSuchMethodError: No virtual method getMandatorySystemGestureInsets()Landroidx core graphics Insets  in class Landroidx core view WindowInsetsCompat  or its super classes (declaration of  androidx core view WindowInsetsCompat  appears in  data app   ms6ZatdeJKYW5ygqX389kQ   com mapswithme maps pro debug 8H1lPMHurxdkDeyFfUxcaQ   base apk)_x000D_
        at com google android material bottomsheet BottomSheetBehavior 3 onApplyWindowInsets(BottomSheetBehavior java:1260)_x000D_
        at com google android material internal ViewUtils 3 onApplyWindowInsets(ViewUtils java:227)_x000D_
        at androidx core view ViewCompat 1 onApplyWindowInsets(ViewCompat java:2431)_x000D_
        at android view View dispatchApplyWindowInsets(View java:11299)_x000D_
        at android view ViewGroup dispatchApplyWindowInsets(ViewGroup java:7247)_x000D_
        at android view ViewGroup brokenDispatchApplyWindowInsets(ViewGroup java:7261)_x000D_
        at android view ViewGroup dispatchApplyWindowInsets(ViewGroup java:7252)_x000D_
        at android view ViewGroup brokenDispatchApplyWindowInsets(ViewGroup java:7261)_x000D_
        at android view ViewGroup dispatchApplyWindowInsets(ViewGroup java:7252)_x000D_
        at android view ViewGroup brokenDispatchApplyWindowInsets(ViewGroup java:7261)_x000D_
        at android view ViewGroup dispatchApplyWindowInsets(ViewGroup java:7252)_x000D_
        at android view ViewGroup brokenDispatchApplyWindowInsets(ViewGroup java:7261)_x000D_
        at android view ViewGroup dispatchApplyWindowInsets(ViewGroup java:7252)_x000D_
        at android view ViewGroup brokenDispatchApplyWindowInsets(ViewGroup java:7261)_x000D_
        at android view ViewGroup dispatchApplyWindowInsets(ViewGroup java:7252)_x000D_
        at android view ViewGroup brokenDispatchApplyWindowInsets(ViewGroup java:7261)_x000D_
        at android view ViewGroup dispatchApplyWindowInsets(ViewGroup java:7252)_x000D_
        at android view ViewRootImpl dispatchApplyInsets(ViewRootImpl java:2265)_x000D_
        at android view ViewRootImpl performTraversals(ViewRootImpl java:2502)_x000D_
        at android view ViewRootImpl doTraversal(ViewRootImpl java:1934)_x000D_
        at android view ViewRootImpl TraversalRunnable run(ViewRootImpl java:8127)_x000D_
        at android view Choreographer CallbackRecord run(Choreographer java:972)_x000D_
        at android view Choreographer doCallbacks(Choreographer java:796)_x000D_
        at android view Choreographer doFrame(Choreographer java:731)_x000D_
        at android view Choreographer FrameDisplayEventReceiver run(Choreographer java:957)_x000D_
        at android os Handler handleCallback(Handler java:938)_x000D_
        at android os Handler dispatchMessage(Handler java:99)_x000D_
        at android os Looper loop(Looper java:223)_x000D_
        at android app ActivityThread main(ActivityThread java:7523)_x000D_
        at java lang reflect Method invoke(Native Method)_x000D_
        at com android internal os RuntimeInit MethodAndArgsCaller run(RuntimeInit java:592)_x000D_
        at com android internal os ZygoteInit main(ZygoteInit java:941)_x000D_
   _x000D_
_x000D_
P S   dsn5ft probably you know what is the problem with our configuration   I see that you recently touched that code in material components  Thanks looking forward _x000D_
_x000D_
  Source code:   https:  s mail ru 6WPU v2bE6kkCR_x000D_
_x000D_
  Android API version:   10_x000D_
_x000D_
  Material Library version:   1 2 0_x000D_
_x000D_
  Device:   Emulator Pixel 3 API 30  Huawei p20  Huawei p30_x000D_
_x000D_
</t>
  </si>
  <si>
    <t>opensrp-opensrp-client-reveal-887</t>
  </si>
  <si>
    <t>Dynamic Tasking- The app crashes when add structure</t>
  </si>
  <si>
    <t xml:space="preserve">login to the app_x000D_
opensrp reveal release 6 0 0 RC1 apk_x000D_
Username: r6test1_x000D_
Password: Amani123_x000D_
Click on Thailand plan eg Dynamic FI 2020 08 13 R6 Test Reuben_x000D_
Create a new structure and observe the app crashing_x000D_
NOTE: This was raised by Reuben  The app does not crash on my device </t>
  </si>
  <si>
    <t>Anuken-Mindustry-2350</t>
  </si>
  <si>
    <t>release bug</t>
  </si>
  <si>
    <t xml:space="preserve">  Platform  : Windows_x000D_
_x000D_
  Build  : bleeding edge build 9267_x000D_
_x000D_
  Issue  : all item can enter like coal and sand_x000D_
  Steps to reproduce  : enter the item in core with a conveyor_x000D_
_x000D_
  Crash report  if applicable  : no crash report  only what i see_x000D_
_x000D_
   _x000D_
_x000D_
 Place an X (no spaces) between the brackets to confirm that you have read the line below    _x000D_
   x    I have searched the closed and open issues to make sure that this problem has not already been reported   _x000D_
</t>
  </si>
  <si>
    <t>Anuken-Mindustry-2347</t>
  </si>
  <si>
    <t>Crash when trying to insert more than 3500 lines from the buffer into microprocessor and logic processor</t>
  </si>
  <si>
    <t xml:space="preserve">  Platform  :  Android iOS Mac Windows Linux _x000D_
Android_x000D_
  Build  :  The build number under the title in the main menu  Required  _x000D_
9241_x000D_
  Issue  :  Explain your issue in detail  _x000D_
I try draw image on display_x000D_
  Steps to reproduce  :  How you happened across the issue  and what you were doing at the time  _x000D_
X_x000D_
  Link to mod(s) used  if applicable  :  The mod repositories or zip files that are related to the issue  _x000D_
X_x000D_
  Crash report  if applicable  :  The contents of relevant crash report files  _x000D_
X_x000D_
   _x000D_
_x000D_
 Place an X (no spaces) between the brackets to confirm that you have read the line below    _x000D_
        I have searched the closed and open issues to make sure that this problem has not already been reported   _x000D_
</t>
  </si>
  <si>
    <t>csparkresearch-kuttypy-android-1</t>
  </si>
  <si>
    <t>Crashes on Orientation change</t>
  </si>
  <si>
    <t xml:space="preserve">Switching to landscape portrait causes a crash  Either design the app to work only in one mode  or fix fragments causing the crash  </t>
  </si>
  <si>
    <t>nikita36078-J2ME-Loader-720</t>
  </si>
  <si>
    <t>Digital Devil Story: Megami Tensei - Crashes</t>
  </si>
  <si>
    <t xml:space="preserve">  Emulator version:  _x000D_
1 6 3_x000D_
_x000D_
  Game version:  _x000D_
1 0 (English Patched)_x000D_
_x000D_
  Game resolution:  _x000D_
176x220_x000D_
_x000D_
  Device:  _x000D_
Vivo Y12_x000D_
_x000D_
  Android version:  _x000D_
9 0_x000D_
_x000D_
  Description of the issue:  _x000D_
Game crash everytime when checking a stat screen  same thing with Demon Fusion too (rarely)  Not sure if these crashes do the samething in real phones _x000D_
_x000D_
  20200813 151812 (https:  user images githubusercontent com 37840226 90111134 63e53080 dd78 11ea 9c00 4cc6452480bc gif)_x000D_
_x000D_
</t>
  </si>
  <si>
    <t>Anuken-Mindustry-2346</t>
  </si>
  <si>
    <t>Effect bug</t>
  </si>
  <si>
    <t xml:space="preserve">  Platform  :  Android _x000D_
_x000D_
  Build  :  Bleeding edge 9249   _x000D_
_x000D_
  Issue  :  when I draw a titanium conveyor some round effect glitch appear  _x000D_
  Screenshot 2020 08 13 10 56 45 273 io anuke mindustry be (https:  user images githubusercontent com 57223926 90093349 9598d000 dd55 11ea 93c1 69d6a909c298 jpg)_x000D_
_x000D_
_x000D_
  Steps to reproduce  :  click pause button and start to draw conveyor  _x000D_
_x000D_
  Link to mod(s) used  if applicable  :  no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t>
  </si>
  <si>
    <t>opensrp-opensrp-client-reveal-882</t>
  </si>
  <si>
    <t>NTD Zambia QA 8.12.20</t>
  </si>
  <si>
    <t xml:space="preserve">Version 1 0 9 rc_x000D_
ntdcomtest _x000D_
_x000D_
  High Priority   _x000D_
   x  Was not able to log into the app with ntdcomdemo  It took 3 4 tries to log in with ntdcomtest  and one of those times the app crashed_x000D_
   x  Families are not changing status on the list view to match the actions taken (aka when drugs are dispensed) Examples: 1  Cindy Family    filled out MDA form  still says  visited  partially treated on list view  and there is still 1 task in the family module showing 2  Reeve Family is showing as  Not Visited  but there is is a child registered and a MDA form completed 3  Vern family as still showing as partially treated despite all children having forms filled out_x000D_
_x000D_
   x  Still encountering some issues with QR code scanning  It seems that when you register a structure when no one is home  it is not registering the QR code saved  Took the following steps:  _x000D_
  Register a structure (or new structure) and say that no one is home _x000D_
  Asked to scan a QR code (ntd18588 scanned) and closes _x000D_
  Structure turns pink on the map _x000D_
  When you click on the structure again  it says    you need to scan a QR code  _x000D_
  When you scan the QR code you assigned  it says  Structure has assigned QR   ntd18588 is already assigned to another structure  _x000D_
  From Akros:    Family registration information does not save of structure where QR code scanning was done  _x000D_
_x000D_
   x  A structure with a newly added family is showing as pink and allows me to register another family to the structure  I registered a new family with not all kids home (Vern Family) and I was able to see them on the list view and find them in search  When I search for them on map  it shows me a pink structure  When I click on it  it asks to register a family   _x000D_
_x000D_
   x  App crashed when I tried to register a child after registering the family on that map  I can t figure out if I did something odd in the workflow to cause this  I registered the Vern family (same as above)  The closed the family module  Went back in and added Rumi  age six and hit save  Then the screen went white then black then white again and the app crashed_x000D_
_x000D_
_x000D_
  Lower Priority  _x000D_
   x  Akros is saying that the app is still crashing when logging in with Android 6 _x000D_
   x  If you click into the MDA form  there is no way to go back  you have to fill out the form_x000D_
   x  Same thing for all QR code screens   if the user is asked to scan a QR code and doesn t have one  they are stuck on that screen with no way out _x000D_
   x  If you click into the drug allocation and return forms  you can t go back without filling out a form _x000D_
   x  In the drug return form  there is a dropdown of two  organizational units  (sample school  sample HF)  Because we don t have a list of what should go here from Akros  let s change this to a free text field  _x000D_
      Add search by phone number  this is low priority and it is ok if it is not delivered  </t>
  </si>
  <si>
    <t>TotalCross-totalcross-97</t>
  </si>
  <si>
    <t>libgpiod: fixes crash when running on a system without libgpiod</t>
  </si>
  <si>
    <t xml:space="preserve">   Description:_x000D_
Using globfree when glob fails crashes de tcvm _x000D_
That s why having libgpiod fixed the crash _x000D_
_x000D_
    Related Issue:_x000D_
Closes  96 _x000D_
_x000D_
   Benefited Devices:_x000D_
  Linux ARM systems</t>
  </si>
  <si>
    <t>awslabs-aws-mobile-appsync-sdk-android-306</t>
  </si>
  <si>
    <t>Setting ClientDatabasePrefix via builder causes crash if configuration is present</t>
  </si>
  <si>
    <t xml:space="preserve">  Describe the bug  _x000D_
Setting a  clientDatabasePrefix  programmatically causes a crash if there is a configuration_x000D_
_x000D_
  To Reproduce  _x000D_
Steps to reproduce the behavior:_x000D_
   _x000D_
AWSAppSyncClient builder()_x000D_
                 context(context)_x000D_
                 awsConfiguration(appSyncConfig)_x000D_
                 region(fromName(awsRegion))_x000D_
                 serverUrl(awsEndpoint)_x000D_
                 credentialsProvider(credentialsProvider)_x000D_
                 clientDatabasePrefix( SomePrefix )_x000D_
                 useClientDatabasePrefix(true)_x000D_
                 build()_x000D_
   _x000D_
_x000D_
  Expected behavior  _x000D_
It sets the  clientDatabasePrefix  on the builder  that prefix is used  and the library doesn t throw an error _x000D_
_x000D_
  Environment(please complete the following information):  _x000D_
   AppSync SDK Version: 3 1 0_x000D_
_x000D_
  Device Information (please complete the following information):  _x000D_
   Device: Pixel 3  Simulator_x000D_
   Android Version: 10_x000D_
_x000D_
  Additional context  _x000D_
The issue is  here (https:  github com awslabs aws mobile appsync sdk android blob main aws android sdk appsync src main java com amazonaws mobileconnectors appsync AWSAppSyncClient java L561)  If you set the  clientDatabasePrefix  using the  Builder clientDatabasePrefix()  method  but have a config  then it overrides your previously set value with  null  instead of checking if one is already set programmatically _x000D_
_x000D_
   _x000D_
Caused by: java lang RuntimeException: Please check the AppSync configuration in awsconfiguration json _x000D_
        at com amazonaws mobileconnectors appsync AWSAppSyncClient Builder build(AWSAppSyncClient java:589)_x000D_
        at com godaddy leka appsync AppSyncRegistrationCoordinator registerAppSyncClient  inlined registerWithOverride 1 1 invoke(DependencyService kt:361)_x000D_
        at com godaddy leka appsync AppSyncRegistrationCoordinator registerAppSyncClient  inlined registerWithOverride 1 1 invoke(DependencyService kt:115)_x000D_
        at org koin core instance DefinitionInstance create(DefinitionInstance kt:54)_x000D_
        	    44 more_x000D_
     Caused by: java lang RuntimeException: ClientDatabasePrefix is not present in AppSync configuration in awsconfiguration json however  useClientDatabasePrefix(true) is passed in _x000D_
        at com amazonaws mobileconnectors appsync AWSAppSyncClient Builder build(AWSAppSyncClient java:564)_x000D_
   </t>
  </si>
  <si>
    <t>gsantner-markor-1027</t>
  </si>
  <si>
    <t>Searching not working while going back to edit mode</t>
  </si>
  <si>
    <t xml:space="preserve">     General information_x000D_
_x000D_
I think this might be a bug  While doing search for keywords after switching back from  view mode only  back again to  edit view  it simply refuses to go to searched phrase word  You have to open file again to make searching work _x000D_
_x000D_
_x000D_
_x000D_
    App version: 2 3 2_x000D_
    System: 10_x000D_
_x000D_
     Description_x000D_
1  Open document_x000D_
2  Go to  view only  mode_x000D_
3  Go back to  edit mode _x000D_
4  Look for a word_x000D_
5  Select result_x000D_
6  App doesn t go to location of that word_x000D_
_x000D_
     Log_x000D_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blog 2018 03 19 android contribution guide html packageid net gsantner markor project markor web https:  github com gsantner markor logcat_x000D_
   _x000D_
</t>
  </si>
  <si>
    <t>TeamNewPipe-NewPipe-4119</t>
  </si>
  <si>
    <t>UI color doesn't change from subscriber view</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</si>
  <si>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to      _x000D_
2  Press on       _x000D_
3  Swipe down to       _x000D_
   _x000D_
1  Go to YouTube_x000D_
2  Go to PeerTube (beta)   UI becomes orange_x000D_
3  Go to subscriptions_x000D_
4  Go to a saved youtuber subscription_x000D_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 expected the UI to switch from Orange to Red upon switching from PeerTube context to YouTube context _x000D_
_x000D_
    Actual behaviour_x000D_
     Tell us what happens instead     _x000D_
The UI stayed orange even after switching from PeerTube to YouTube context_x000D_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</si>
  <si>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Inversion-NL-Toon-Android-46</t>
  </si>
  <si>
    <t>App crashes in background while trying to dismiss the progress dialog</t>
  </si>
  <si>
    <t xml:space="preserve">  Describe the bug  _x000D_
This is a crash caused by your app dismissing a dialog attached to an Activity which is finishing or finished  This can happen in a number of ways    for example  if an AsyncTask is running while a ProgressDialog is showing  and the user rotates the device  causing the Activity to be recreated _x000D_
_x000D_
  App version (please complete the following information):  _x000D_
   App version 0 7 0_x000D_
_x000D_
  Additional context or information  _x000D_
   _x000D_
Fatal Exception: java lang IllegalArgumentException: View DecorView a4b92d5 Even geduld  not attached to window manager_x000D_
       at android view WindowManagerGlobal findViewLocked(WindowManagerGlobal java:533)_x000D_
       at android view WindowManagerGlobal removeView(WindowManagerGlobal java:433)_x000D_
       at android view WindowManagerImpl removeViewImmediate(WindowManagerImpl java:124)_x000D_
       at android app Dialog dismissDialog(Dialog java:518)_x000D_
       at android app Dialog dismiss(Dialog java:501)_x000D_
       at com toonapps toon view fragments LoginFragment dismissProgressDialog(LoginFragment java:239)_x000D_
       at com toonapps toon view fragments LoginFragment access 500(LoginFragment java:51)_x000D_
       at com toonapps toon view fragments LoginFragment 3 onDeviceError(LoginFragment java:191)_x000D_
       at com toonapps toon controller DeviceController onError(DeviceController java:70)_x000D_
       at com toonapps toon controller DeviceController onResponseError(DeviceController java:82)_x000D_
       at com toonapps toon data RestClient errorToResponseHandler(RestClient java:623)_x000D_
       at com toonapps toon data RestClient access 500(RestClient java:32)_x000D_
       at com toonapps toon data RestClient 37 onResponse(RestClient java:537)_x000D_
       at com toonapps toon data RestClient 37 onResponse(RestClient java:529)_x000D_
       at com android volley toolbox StringRequest deliverResponse(StringRequest java:82)_x000D_
       at com android volley toolbox StringRequest deliverResponse(StringRequest java:29)_x000D_
       at com android volley ExecutorDelivery ResponseDeliveryRunnable run(ExecutorDelivery java:102)_x000D_
       at android os Handler handleCallback(Handler java:873)_x000D_
       at android os Handler dispatchMessage(Handler java:99)_x000D_
       at android os Looper loop(Looper java:214)_x000D_
       at android app ActivityThread main(ActivityThread java:7050)_x000D_
       at java lang reflect Method invoke(Method java)_x000D_
       at com android internal os RuntimeInit MethodAndArgsCaller run(RuntimeInit java:494)_x000D_
       at com android internal os ZygoteInit main(ZygoteInit java:965)_x000D_
   _x000D_
</t>
  </si>
  <si>
    <t>opensrp-opensrp-client-reveal-875</t>
  </si>
  <si>
    <t>NTD- The app crashes when one clicks on the filter section</t>
  </si>
  <si>
    <t>The filter section is for reveal and not NTD firstly _x000D_
Second when one clicks on list view then filter and selects afew filters and clicks save  the map is loaded  When one clicks on the list view  the app crashes  _x000D_
See video below _x000D_
https:  drive google com file d 1gOC 5w1F9aFlAJB0m 71fBgxjF1NEK3z view usp sharing</t>
  </si>
  <si>
    <t>patzly-grocy-android-70</t>
  </si>
  <si>
    <t>App crashes when trying to edit Masterdata/Products</t>
  </si>
  <si>
    <t xml:space="preserve">Hi  I m using version 1 8 0 from F Droid (Izzys Repo)  Server is running version 2 7 1_x000D_
_x000D_
In the menu I can tap  masterdata  and then  products   All fine  When tapping on any product the app crashes _x000D_
Adding new products works fine  The problem only occurs when editing existing ones _x000D_
_x000D_
This happens on three different devices with different Android versions </t>
  </si>
  <si>
    <t>onaio-rdt-standard-354</t>
  </si>
  <si>
    <t>App crashes when Enter sample details manually for shipment</t>
  </si>
  <si>
    <t xml:space="preserve">When you enter sample shipment     Enter sample details manually for shipment  the app crashes </t>
  </si>
  <si>
    <t>inaturalist-iNaturalistAndroid-879</t>
  </si>
  <si>
    <t xml:space="preserve">https:  console firebase google com u 2 project inaturalist ios crashlytics app android:org inaturalist android issues 79bf9f3025e12d3c6c982f8bbaee3386_x000D_
_x000D_
   _x000D_
Caused by java lang NullPointerException: Attempt to invoke interface method  int android database Cursor getCount()  on a null object reference_x000D_
       at org inaturalist android ObservationViewerActivity reloadObservation(ObservationViewerActivity java:865)_x000D_
       at org inaturalist android ObservationViewerActivity onCreate(ObservationViewerActivity java:655)_x000D_
       at android app Activity performCreate(Activity java:7825)_x000D_
       at android app Activity performCreate(Activity java:7814)_x000D_
       at android app Instrumentation callActivityOnCreate(Instrumentation java:1306)_x000D_
   </t>
  </si>
  <si>
    <t>inaturalist-iNaturalistAndroid-878</t>
  </si>
  <si>
    <t xml:space="preserve">Not sure why I haven t filed this before  but it s our biggest crash  I was probably assuming it was an OOM issue  Anyway  is this a db migration issue  Does not seem specific to a device  Android version  or iNat version (happening since build 394  at least) _x000D_
_x000D_
https:  console firebase google com u 2 project inaturalist ios crashlytics app android:org inaturalist android issues ac076e99a3efb81ab538bfc8e8820607_x000D_
_x000D_
   _x000D_
Caused by java lang IllegalArgumentException: the bind value at index 1 is null_x000D_
       at android database sqlite SQLiteProgram bindString(SQLiteProgram java:183)_x000D_
       at android database sqlite SQLiteProgram bindAllArgsAsStrings(SQLiteProgram java:219)_x000D_
       at android database sqlite SQLiteDirectCursorDriver query(SQLiteDirectCursorDriver java:49)_x000D_
       at android database sqlite SQLiteDatabase rawQueryWithFactory(SQLiteDatabase java:1959)_x000D_
       at android database sqlite SQLiteQueryBuilder query(SQLiteQueryBuilder java:604)_x000D_
       at android database sqlite SQLiteQueryBuilder query(SQLiteQueryBuilder java:475)_x000D_
       at org inaturalist android ObservationProvider query(ObservationProvider java:258)_x000D_
       at android content ContentProvider query(ContentProvider java:1235)_x000D_
   </t>
  </si>
  <si>
    <t>inaturalist-iNaturalistAndroid-877</t>
  </si>
  <si>
    <t>NullPointerException in MessageAdapter.getOtherUser</t>
  </si>
  <si>
    <t xml:space="preserve">I m pretty sure this happens when the other user has been deleted  In that situation  you retain your copies of the messages and the  from user  is  null   I think if the last message in the thread was to a deleted user the  to user  could also be  null   so we need to handle both situations  I think for both we should show the generic user icon we currently show for users without a profile pic and show  deleted user  instead of the username _x000D_
_x000D_
https:  console firebase google com u 2 project inaturalist ios crashlytics app android:org inaturalist android issues 725f19497e172e3e876b10cba422cb20_x000D_
_x000D_
   _x000D_
Fatal Exception: java lang NullPointerException: Attempt to invoke virtual method  java lang String org json JSONObject optString(java lang String)  on a null object reference_x000D_
       at org inaturalist android MessageAdapter getOtherUser(MessageAdapter java:142)_x000D_
       at org inaturalist android MessageAdapter onBindViewHolder(MessageAdapter java:62)_x000D_
       at org inaturalist android MessageAdapter onBindViewHolder(MessageAdapter java:28)_x000D_
       at androidx recyclerview widget RecyclerView Adapter onBindViewHolder(RecyclerView java:7065)_x000D_
   </t>
  </si>
  <si>
    <t>inaturalist-iNaturalistAndroid-876</t>
  </si>
  <si>
    <t>NumberFormatException in ExploreActivity.zoomMapToPlace</t>
  </si>
  <si>
    <t xml:space="preserve">This looks like it has something to do with pasting coordinates into the location search  but I m not sure what inputs are actually triggering it  Opening it up in case anyone else has any ideas or in case we get repro conditions _x000D_
_x000D_
https:  console firebase google com u 2 project inaturalist ios crashlytics app android:org inaturalist android issues a8c091dd84bb651e9c5766697d1e0e20_x000D_
_x000D_
   _x000D_
Caused by java lang NumberFormatException: empty String_x000D_
       at sun misc FloatingDecimal readJavaFormatString(FloatingDecimal java:1842)_x000D_
       at sun misc FloatingDecimal parseDouble(FloatingDecimal java:110)_x000D_
       at java lang Double parseDouble(Double java:538)_x000D_
       at java lang Double valueOf(Double java:502)_x000D_
       at org inaturalist android ExploreActivity zoomMapToPlace(ExploreActivity java:1713)_x000D_
       at org inaturalist android ExploreActivity moveMapAccordingToSearchFilters(ExploreActivity java:1593)_x000D_
       at org inaturalist android ExploreActivity onActivityResult(ExploreActivity java:1625)_x000D_
       at android app Activity dispatchActivityResult(Activity java:7454)_x000D_
   </t>
  </si>
  <si>
    <t>TeamNewPipe-NewPipe-4113</t>
  </si>
  <si>
    <t>License dialog disappear after device rotation</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</si>
  <si>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2_x000D_
_x000D_
    Steps to reproduce the bug_x000D_
    _x000D_
1  Go to      _x000D_
2  Press on       _x000D_
3  Swipe down to       _x000D_
   _x000D_
Open licenses dialog and rotate_x000D_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License dialog with correct reading position should remain there_x000D_
_x000D_
    Actual behaviour_x000D_
     Tell us what happens instead     _x000D_
License dialog disappear_x000D_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 Shot 2020 08 11 at 7 48 28 PM (https:  user images githubusercontent com 67744580 89893975 e2708f80 dc0b 11ea 90f9 97d04528fa72 png)_x000D_
  Screen Shot 2020 08 11 at 7 48 35 PM (https:  user images githubusercontent com 67744580 89893978 e3a1bc80 dc0b 11ea 8443 2c86235393b3 png)_x000D_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</si>
  <si>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TeamNewPipe-NewPipe-4112</t>
  </si>
  <si>
    <t>UI Error on specific video</t>
  </si>
  <si>
    <t xml:space="preserve">I get a crash that comes up as UI error trying to play back this video: https:  m youtube com watch v eueyYOMCRuc_x000D_
The video overview page with comments and description loads fine  but trying to play the video yields this error:_x000D_
   Exception_x000D_
    User Action:   ui error_x000D_
    Request:   App crash  UI failure_x000D_
    Content Country:   GB_x000D_
    Content Language:   en GB_x000D_
    App Language:   en GB_x000D_
    Service:   none_x000D_
    Version:   0 19 8_x000D_
    OS:   Linux Android 10   29_x000D_
 details  summary  b Crash log   b   summary  p _x000D_
_x000D_
   _x000D_
java lang IndexOutOfBoundsException: Index: 0_x000D_
	at java util Collections EmptyList get(Collections java:4511)_x000D_
	at org schabi newpipe player helper PlayerHelper autoQueueOf(PlayerHelper java:165)_x000D_
	at org schabi newpipe player BasePlayer maybeAutoQueueNextStream(BasePlayer java:1336)_x000D_
	at org schabi newpipe player BasePlayer maybeUpdateCurrentMetadata(BasePlayer java:1320)_x000D_
	at org schabi newpipe player BasePlayer onTimelineChanged(BasePlayer java:677)_x000D_
	at com google android exoplayer2 ExoPlayerImpl PlaybackInfoUpdate lambda run 0 ExoPlayerImpl PlaybackInfoUpdate(ExoPlayerImpl java:804)_x000D_
	at com google android exoplayer2    Lambda ExoPlayerImpl PlaybackInfoUpdate N S5kRfhaRTAkH28P5luFgKnFjQ invokeListener(Unknown Source:2)_x000D_
	at com google android exoplayer2 BasePlayer ListenerHolder invoke(BasePlayer java:182)_x000D_
	at com google android exoplayer2 ExoPlayerImpl invokeAll(ExoPlayerImpl java:845)_x000D_
	at com google android exoplayer2 ExoPlayerImpl access 000(ExoPlayerImpl java:43)_x000D_
	at com google android exoplayer2 ExoPlayerImpl PlaybackInfoUpdate run(ExoPlayerImpl java:802)_x000D_
	at com google android exoplayer2 ExoPlayerImpl notifyListeners(ExoPlayerImpl java:736)_x000D_
	at com google android exoplayer2 ExoPlayerImpl updatePlaybackInfo(ExoPlayerImpl java:710)_x000D_
	at com google android exoplayer2 ExoPlayerImpl handlePlaybackInfo(ExoPlayerImpl java:652)_x000D_
	at com google android exoplayer2 ExoPlayerImpl handleEvent(ExoPlayerImpl java:595)_x000D_
	at com google android exoplayer2 ExoPlayerImpl 1 handleMessage(ExoPlayerImpl java:127)_x000D_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_x000D_
  details _x000D_
 hr _x000D_
</t>
  </si>
  <si>
    <t>inaturalist-iNaturalistAndroid-874</t>
  </si>
  <si>
    <t>GifDrawable cannot be cast to BitmapDrawable</t>
  </si>
  <si>
    <t xml:space="preserve">https:  console firebase google com u 2 project inaturalist ios crashlytics app android:org inaturalist android issues 59a666b88f6284c71ec773a6610cf111_x000D_
_x000D_
   _x000D_
Caused by java lang ClassCastException: com bumptech glide load resource gif GifDrawable cannot be cast to android graphics drawable BitmapDrawable_x000D_
       at org inaturalist android ObservationViewerActivity PhotosViewPagerAdapter 1 onResourceReady(ObservationViewerActivity java:488)_x000D_
       at com bumptech glide request SingleRequest onResourceReady(SingleRequest java:624)_x000D_
       at com bumptech glide request SingleRequest onResourceReady(SingleRequest java:568)_x000D_
       at com bumptech glide load engine EngineJob callCallbackOnResourceReady(EngineJob java:158)_x000D_
       at com bumptech glide load engine EngineJob CallResourceReady run(EngineJob java:424)_x000D_
       at android os Handler handleCallback(Handler java:789)_x000D_
       at android os Handler dispatchMessage(Handler java:98)_x000D_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_x000D_
_x000D_
This might be a problem with Glide  or maybe with gifs  Only one crash so far so doesn t seem major </t>
  </si>
  <si>
    <t>NordicSemiconductor-Android-BLE-Library-224</t>
  </si>
  <si>
    <t>Fatal Exception: java.lang.IllegalArgumentException: Parameter specified as non-null is null: method kotlin.jvm.internal.Intrinsics.b, parameter device</t>
  </si>
  <si>
    <t xml:space="preserve">I ve been seeing this crash in my app with Samsung devices  It seems that the  BluetoothDevice  object is coming up as null:_x000D_
_x000D_
   _x000D_
Fatal Exception: java lang IllegalArgumentException: Parameter specified as non null is null: method kotlin jvm internal Intrinsics b  parameter device_x000D_
       at com myapp MyBleManager ZcGattCallback initialize 1 onRequestCompleted(MyBleManager java:2)_x000D_
       at no nordicsemi android ble Request lambda notifySuccess 1(Request java:1190)_x000D_
       at no nordicsemi android ble Request lambda 6KM5eyWvy4PFbDqmAqoy3fIWu5o(Request java)_x000D_
       at no nordicsemi android ble    Lambda Request 6KM5eyWvy4PFbDqmAqoy3fIWu5o run(  java:4)_x000D_
       at android os Handler handleCallback(Handler java:883)_x000D_
       at android os Handler dispatchMessage(Handler java:100)_x000D_
       at android os Looper loop(Looper java:237)_x000D_
       at android app ActivityThread main(ActivityThread java:7857)_x000D_
       at java lang reflect Method invoke(Method java)_x000D_
       at com android internal os RuntimeInit MethodAndArgsCaller run(RuntimeInit java:493)_x000D_
       at com android internal os ZygoteInit main(ZygoteInit java:1076)_x000D_
_x000D_
   _x000D_
Is there anything that can be done to mitigate it  I m currently on version   2 2 0 beta03  </t>
  </si>
  <si>
    <t>Anuken-Mindustry-2336</t>
  </si>
  <si>
    <t>Names staying on units</t>
  </si>
  <si>
    <t xml:space="preserve">Platform: Windows_x000D_
_x000D_
Build: 9228_x000D_
_x000D_
Issue: When  in a server or LAN world  a player joins then becomes another unit and then lefts the game or gets kicked  the name of the player stays on the unit _x000D_
Here is a picture of the bug _x000D_
(https:  media discordapp net attachments 396416151032299521 742435575285547088 unknown png)_x000D_
_x000D_
Steps to reproduce: I was testing some units while being on my server  Qmelz and some other people joined and we tested some logic gates and stuff  Then  when Qmelz tried riding a Lich  he disconnected  However  his name tag was still on the unit  Then  i used the unit he was using before and moved a bit  After that  Qmelz rejoined and he spawned normaly as a Gamma but  the name on the unit was still not gone  Thus  his name was cloned and no way of getting destroyed unless the unit dies _x000D_
_x000D_
Link to mod(s) used  if applicable: No mods used _x000D_
_x000D_
Crash report  if applicable: no crash report_x000D_
(Sorry i for repost  i changed mech   unit)_x000D_
   _x000D_
_x000D_
 Place an X (no spaces) between the brackets to confirm that you have read the line below    _x000D_
   X    I have searched the closed and open issues to make sure that this problem has not already been reported   _x000D_
</t>
  </si>
  <si>
    <t>Anuken-Mindustry-2335</t>
  </si>
  <si>
    <t>Names not disappearing when log out.</t>
  </si>
  <si>
    <t xml:space="preserve">  Platform  : Windows_x000D_
_x000D_
  Build  : 9228_x000D_
_x000D_
  Issue  : When  in a server or LAN world  a player joins then becomes another mech and then lefts the game or gets kicked  the name of the player stays on the mech _x000D_
Here is a picture of the bug _x000D_
(https:  media discordapp net attachments 396416151032299521 742435575285547088 unknown png)_x000D_
_x000D_
_x000D_
  Steps to reproduce  : I was testing some units while being on my server  Qmelz and some other people joined and we tested some logic gates and stuff  Then  when Qmelz tried riding a Lich  he disconnected  However  his name tag was still on the unit  Then  i used the unit he was using before and moved a bit  After that  Qmelz rejoined and he spawned normaly as a Gamma but  the name on the unit was still not gone  Thus  his name was cloned and no way of getting destroyed unless the unit dies _x000D_
_x000D_
  Link to mod(s) used  if applicable  : No mods used _x000D_
_x000D_
  Crash report  if applicable  : no crash report_x000D_
_x000D_
   _x000D_
_x000D_
 Place an X (no spaces) between the brackets to confirm that you have read the line below    _x000D_
   X    I have searched the closed and open issues to make sure that this problem has not already been reported   _x000D_
</t>
  </si>
  <si>
    <t>TeamNewPipe-NewPipe-4109</t>
  </si>
  <si>
    <t>Error recovering download</t>
  </si>
  <si>
    <t>TeamNewPipe-NewPipe-4108</t>
  </si>
  <si>
    <t>SimpleAppProjects-SimpleWeather-Android-1</t>
  </si>
  <si>
    <t>Location tab crashes the app (Android)</t>
  </si>
  <si>
    <t xml:space="preserve">Hi there _x000D_
_x000D_
I m running version 3 3 1 of the app on my smartphone (Oneplus 6T with LineageOs 17 1)  Since the release of v3 3 1  whenever I try to open the Locations tab  the app keeps trying to fetch data and then crashes  I tried to change the weather provider from the default one (Here) to another one (Yahoo) but it doesn t change anything  _x000D_
If you need further details I can try to provide them (but I m no developer) _x000D_
_x000D_
Apart from this issue the app is really great : lots of useful features  slick interface and small footprint  Congrats  _x000D_
_x000D_
Have a nice day_x000D_
_x000D_
Best regards </t>
  </si>
  <si>
    <t>chandevel-Clover-788</t>
  </si>
  <si>
    <t>Downloading image crashes the app after a long hang</t>
  </si>
  <si>
    <t xml:space="preserve">App will hang for sometimes more than a minute then crash to desktop when trying to download image to a designated folder_x000D_
Folder will have an empty file (0B) with the correct file name after the crash_x000D_
May be caused by the folder containing 10000  images already but previous version which I had been using until a few days ago did not have this issue_x000D_
_x000D_
Android version: 10_x000D_
Phone model: Huawei ALP L29_x000D_
Clover version: v3 0 2 6c7e3ec7_x000D_
</t>
  </si>
  <si>
    <t>tapsellorg-TapsellSDK-AndroidSample-26</t>
  </si>
  <si>
    <t>کرش ir.tapsell.sdk.j.g.b</t>
  </si>
  <si>
    <t xml:space="preserve">     _x000D_
            (crashlytics)                                                                                                         _x000D_
          4 5 0_x000D_
_x000D_
_x000D_
_x000D_
   _x000D_
Fatal Exception: java lang RuntimeException: Unable to start activity ComponentInfo asaadi hossin test ir tapsell sdk TapsellAdActivity : java lang NullPointerException: Attempt to invoke virtual method  int java lang Enum ordinal()  on a null object reference_x000D_
       at android app ActivityThread performLaunchActivity(ActivityThread java:3319)_x000D_
       at android app ActivityThread handleLaunchActivity(ActivityThread java:3415)_x000D_
       at android app ActivityThread access 1100(ActivityThread java:229)_x000D_
       at android app ActivityThread H handleMessage(ActivityThread java:1821)_x000D_
       at android os Handler dispatchMessage(Handler java:102)_x000D_
       at android os Looper loop(Looper java:148)_x000D_
       at android app ActivityThread main(ActivityThread java:7406)_x000D_
       at java lang reflect Method invoke(Method java)_x000D_
       at com android internal os ZygoteInit MethodAndArgsCaller run(ZygoteInit java:1230)_x000D_
       at com android internal os ZygoteInit main(ZygoteInit java:1120)_x000D_
   </t>
  </si>
  <si>
    <t>TeamNewPipe-NewPipe-4101</t>
  </si>
  <si>
    <t>Android 11 No play/ pause option in pulldown menu</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</si>
  <si>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0  This is on Android 11 Beta  I m using it on my Pixel 3 XL _x000D_
1  Play something in the background player_x000D_
2  Swipe down Android pulldown menu to reach the background player_x000D_
3  The controls are missing  can t play  pause  skip  etc  Also  tapping the background player in the pulldown menu does not launch Newpipe _x000D_
As a side note  I can t seem to find a way to reach the background player from within the app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A play pause  skip  etc  button will be there _x000D_
    Actual behaviour_x000D_
     Tell us what happens instead     _x000D_
The area is blank  and nothing happens when you tap the player 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https:  imgur com a 1PS6XNm_x000D_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</si>
  <si>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amahi-android-599</t>
  </si>
  <si>
    <t>File Options Not Opening in Offline Files</t>
  </si>
  <si>
    <t xml:space="preserve">  Describe the issue  _x000D_
Whenever I try to access the file options in offline files  the app crashes  _x000D_
_x000D_
  To Reproduce or Feature details  _x000D_
Steps to reproduce the behavior:_x000D_
1  Go to offline files_x000D_
2  Click the three dots in front of the file name_x000D_
3  App crashes _x000D_
_x000D_
  Screenshots  _x000D_
  error 1 (https:  user images githubusercontent com 31701616 89719677 7b26c580 d9e8 11ea 96ec a44d42d11b42 gif)_x000D_
</t>
  </si>
  <si>
    <t>ankidroid-Anki-Android-6852</t>
  </si>
  <si>
    <t>Crash on import of large file</t>
  </si>
  <si>
    <t xml:space="preserve">       Reproduction Steps_x000D_
_x000D_
1  Import a large file (how large  Larger than space available to import)_x000D_
2  Crash_x000D_
3  _x000D_
_x000D_
_x000D_
       Expected Result_x000D_
_x000D_
Import succeeded or at least a friendly error message_x000D_
_x000D_
_x000D_
       Actual Result_x000D_
_x000D_
I believe this is crashing in 2 12 1 based on a play store review_x000D_
_x000D_
I thought we handled most of these so they did not percolate but apparently not  Stated another way I believed these were non fatal even if we got an exception report but it does not seem to be the case_x000D_
_x000D_
Also I thought we were checking before import for some multiple of space required  but also apparently not :  _x000D_
_x000D_
   _x000D_
_x000D_
08 08 15:33:20 127 E AnkiDroid(23824): 	at android app ActivityThread H handleMessage(ActivityThread java:1691)_x000D_
  _x000D_
1   08 08 15:33:20 127 E AnkiDroid(23824): 	at android os Handler dispatchMessage(Handler java:102)_x000D_
2   08 08 15:33:20 127 E AnkiDroid(23824): 	at android os Looper loop(Looper java:154)_x000D_
3   08 08 15:33:20 127 E AnkiDroid(23824): 	at android app ActivityThread main(ActivityThread java:6692)_x000D_
4   08 08 15:33:20 127 E AnkiDroid(23824): 	at java lang reflect Method invoke(Native Method)_x000D_
5   08 08 15:33:20 127 E AnkiDroid(23824): 	at com android internal os ZygoteInit MethodAndArgsCaller run(ZygoteInit java:1468)_x000D_
6   08 08 15:33:20 127 E AnkiDroid(23824): 	at com android internal os ZygoteInit main(ZygoteInit java:1358)_x000D_
7   08 08 15:33:20 127 E AnkiDroid(23824): Caused by: android system ErrnoException: write failed: ENOSPC (No space left on device)_x000D_
8   08 08 15:33:20 127 E AnkiDroid(23824): 	at libcore io Posix writeBytes(Native Method)_x000D_
9   08 08 15:33:20 127 E AnkiDroid(23824): 	at libcore io Posix write(Posix java:273)_x000D_
10   08 08 15:33:20 127 E AnkiDroid(23824): 	at libcore io BlockGuardOs write(BlockGuardOs java:319)_x000D_
11   08 08 15:33:20 127 E AnkiDroid(23824): 	at libcore io IoBridge write(IoBridge java:496)_x000D_
12   08 08 15:33:20 127 E AnkiDroid(23824): 	    20 more_x000D_
13   08 08 15:33:20 127 E AnkiDroid(23824):_x000D_
14   08 08 15:33:20 127 E AnkiDroid(23824): java io IOException: write failed: ENOSPC (No space left on device)_x000D_
15   08 08 15:33:20 127 E AnkiDroid(23824): 	at libcore io IoBridge write(IoBridge java:501)_x000D_
16   08 08 15:33:20 127 E AnkiDroid(23824): 	at java io FileOutputStream write(FileOutputStream java:316)_x000D_
17   08 08 15:33:20 127 E AnkiDroid(23824): 	at com ichi2 compat CompatV16 copyFile(CompatV16 java:23)_x000D_
18   08 08 15:33:20 127 E AnkiDroid(23824): 	at com ichi2 compat CompatV16 copyFile(CompatV16 java:16)_x000D_
19   08 08 15:33:20 127 E AnkiDroid(23824): 	at com ichi2 utils ImportUtils FileImporter copyFileToCache(ImportUtils java:2)_x000D_
20   08 08  15:33:20 127 E AnkiDroid(23824): 	at  com ichi2 utils ImportUtils FileImporter handleContentProviderFile(ImportUtils java:13)_x000D_
21   08 08  15:33:20 127 E AnkiDroid(23824): 	at  com ichi2 utils ImportUtils FileImporter handleFileImportInternal(ImportUtils java:10)_x000D_
22   08 08 15:33:20 127 E AnkiDroid(23824): 	at com ichi2 utils ImportUtils FileImporter handleFileImport(ImportUtils java:4)_x000D_
23   08 08 15:33:20 127 E AnkiDroid(23824): 	at com ichi2 utils ImportUtils handleFileImport(ImportUtils java:1)_x000D_
24   08 08 15:33:20 127 E AnkiDroid(23824): 	at com ichi2 anki DeckPicker onActivityResult(DeckPicker java:15)_x000D_
25   08 08 15:33:20 127 E AnkiDroid(23824): 	at android app Activity dispatchActivityResult(Activity java:7226)_x000D_
26   08 08 15:33:20 127 E AnkiDroid(23824): 	at android app ActivityThread deliverResults(ActivityThread java:4477)_x000D_
27   08 08 15:33:20 127 E AnkiDroid(23824): 	at android app ActivityThread handleSendResult(ActivityThread java:4524)_x000D_
28   08 08 15:33:20 127 E AnkiDroid(23824): 	at android app ActivityThread  wrap22(ActivityThread java)_x000D_
29   08 08 15:33:20 127 E AnkiDroid(23824): 	at android app ActivityThread H handleMessage(ActivityThread java:1691)_x000D_
30   08 08 15:33:20 127 E AnkiDroid(23824): 	at android os Handler dispatchMessage(Handler java:102)_x000D_
31   08 08 15:33:20 127 E AnkiDroid(23824): 	at android os Looper loop(Looper java:154)_x000D_
32   08 08 15:33:20 127 E AnkiDroid(23824): 	at android app ActivityThread main(ActivityThread java:6692)_x000D_
33   08 08 15:33:20 127 E AnkiDroid(23824): 	at java lang reflect Method invoke(Native Method)_x000D_
34   08 08 15:33:20 127 E AnkiDroid(23824): 	at com android internal os ZygoteInit MethodAndArgsCaller run(ZygoteInit java:1468)_x000D_
35   08 08 15:33:20 127 E AnkiDroid(23824): 	at com android internal os ZygoteInit main(ZygoteInit java:1358)_x000D_
36   08 08 15:33:20 127 E AnkiDroid(23824): Caused by: android system ErrnoException: write failed: ENOSPC (No space left on device)_x000D_
37   08 08 15:33:20 127 E AnkiDroid(23824): 	at libcore io Posix writeBytes(Native Method)_x000D_
38   08 08 15:33:20 127 E AnkiDroid(23824): 	at libcore io Posix write(Posix java:273)_x000D_
39   08 08 15:33:20 127 E AnkiDroid(23824): 	at libcore io BlockGuardOs write(BlockGuardOs java:319)_x000D_
40   08 08 15:33:20 127 E AnkiDroid(23824): 	at libcore io IoBridge write(IoBridge java:496)_x000D_
41   08 08 15:33:20 127 E AnkiDroid(23824): 	    20 more_x000D_
42   08 08  15:33:20 135 E AnkiDroid(23824): ImportUtils FileImporter  Could not  copy file to  data user 0 com ichi2 anki cache anking colpkg_x000D_
43   08 08 15:33:20 135 E AnkiDroid(23824): java io IOException: write failed: ENOSPC (No space left on device)_x000D_
44   08 08 15:33:20 135 E AnkiDroid(23824): 	at libcore io IoBridge write(IoBridge java:501)_x000D_
45   08 08 15:33:20 135 E AnkiDroid(23824): 	at java io FileOutputStream write(FileOutputStream java:316)_x000D_
46   08 08 15:33:20 135 E AnkiDroid(23824): 	at com ichi2 compat CompatV16 copyFile(CompatV16 java:23)_x000D_
47   08 08 15:33:20 135 E AnkiDroid(23824): 	at com ichi2 compat CompatV16 copyFile(CompatV16 java:16)_x000D_
48   08 08 15:33:20 135 E AnkiDroid(23824): 	at com ichi2 utils ImportUtils FileImporter copyFileToCache(ImportUtils java:2)_x000D_
49   08 08  15:33:20 135 E AnkiDroid(23824): 	at  com ichi2 utils ImportUtils FileImporter handleContentProviderFile(ImportUtils java:13)_x000D_
50   08 08  15:33:20 135 E AnkiDroid(23824): 	at  com ichi2 utils ImportUtils FileImporter handleFileImportInternal(ImportUtils java:10)_x000D_
51   08 08 15:33:20 135 E AnkiDroid(23824): 	at com ichi2 utils ImportUtils FileImporter handleFileImport(ImportUtils java:4)_x000D_
52   08 08 15:33:20 135 E AnkiDroid(23824): 	at com ichi2 utils ImportUtils handleFileImport(ImportUtils java:1)_x000D_
53   08 08 15:33:20 135 E AnkiDroid(23824): 	at com ichi2 anki DeckPicker onActivityResult(DeckPicker java:15)_x000D_
54   08 08 15:33:20 135 E AnkiDroid(23824): 	at android app Activity dispatchActivityResult(Activity java:7226)_x000D_
55   08 08 15:33:20 135 E AnkiDroid(23824): 	at android app ActivityThread deliverResults(ActivityThread java:4477)_x000D_
56   08 08 15:33:20 135 E AnkiDroid(23824): 	at android app ActivityThread handleSendResult(ActivityThread java:4524)_x000D_
57   08 08 15:33:20 135 E AnkiDroid(23824): 	at android app ActivityThread  wrap22(ActivityThread java)_x000D_
58   08 08 15:33:20 135 E AnkiDroid(23824): 	at android app ActivityThread H handleMessage(ActivityThread java:1691)_x000D_
59   08 08 15:33:20 135 E AnkiDroid(23824): 	at android os Handler dispatchMessage(Handler java:102)_x000D_
60   08 08 15:33:20 135 E AnkiDroid(23824): 	at android os Looper loop(Looper java:154)_x000D_
61   08 08 15:33:20 135 E AnkiDroid(23824): 	at android app ActivityThread main(ActivityThread java:6692)_x000D_
62   08 08 15:33:20 135 E AnkiDroid(23824): 	at java lang reflect Method invoke(Native Method)_x000D_
63   08 08 15:33:20 135 E AnkiDroid(23824): 	at com android internal os ZygoteInit MethodAndArgsCaller run(ZygoteInit java:1468)_x000D_
64   08 08 15:33:20 135 E AnkiDroid(23824): 	at com android internal os ZygoteInit main(ZygoteInit java:1358)_x000D_
65   08 08 15:33:20 135 E AnkiDroid(23824): Caused by: android system ErrnoException: write failed: ENOSPC (No space left on device)_x000D_
66   08 08 15:33:20 135 E AnkiDroid(23824): 	at libcore io Posix writeBytes(Native Method)_x000D_
67   08 08 15:33:20 135 E AnkiDroid(23824): 	at libcore io Posix write(Posix java:273)_x000D_
68   08 08 15:33:20 135 E AnkiDroid(23824): 	at libcore io BlockGuardOs write(BlockGuardOs java:319)_x000D_
69   08 08 15:33:20 135 E AnkiDroid(23824): 	at libcore io IoBridge write(IoBridge java:496)_x000D_
70   08 08 15:33:20 135 E AnkiDroid(23824): 	    20 more_x000D_
71   08 08 15:33:20 135 E AnkiDroid(23824):_x000D_
72   08 08 15:33:20 135 E AnkiDroid(23824): java io IOException: write failed: ENOSPC (No space left on device)_x000D_
73   08 08 15:33:20 135 E AnkiDroid(23824): 	at libcore io IoBridge write(IoBridge java:501)_x000D_
74   08 08 15:33:20 135 E AnkiDroid(23824): 	at java io FileOutputStream write(FileOutputStream java:316)_x000D_
75   08 08 15:33:20 135 E AnkiDroid(23824): 	at com ichi2 compat CompatV16 copyFile(CompatV16 java:23)_x000D_
76   08 08 15:33:20 135 E AnkiDroid(23824): 	at com ichi2 compat CompatV16 copyFile(CompatV16 java:16)_x000D_
77   08 08 15:33:20 135 E AnkiDroid(23824): 	at com ichi2 utils ImportUtils FileImporter copyFileToCache(ImportUtils java:2)_x000D_
78   08 08  15:33:20 135 E AnkiDroid(23824): 	at  com ichi2 utils ImportUtils FileImporter handleContentProviderFile(ImportUtils java:13)_x000D_
79   08 08  15:33:20 135 E AnkiDroid(23824): 	at  com ichi2 utils ImportUtils FileImporter handleFileImportInternal(ImportUtils java:10)_x000D_
80   08 08 15:33:20 135 E AnkiDroid(23824): 	at com ichi2 utils ImportUtils FileImporter handleFileImport(ImportUtils java:4)_x000D_
81   08 08 15:33:20 135 E AnkiDroid(23824): 	at com ichi2 utils ImportUtils handleFileImport(ImportUtils java:1)_x000D_
82   08 08 15:33:20 135 E AnkiDroid(23824): 	at com ichi2 anki DeckPicker onActivityResult(DeckPicker java:15)_x000D_
83   08 08 15:33:20 135 E AnkiDroid(23824): 	at android app Activity dispatchActivityResult(Activity java:7226)_x000D_
84   08 08 15:33:20 135 E AnkiDroid(23824): 	at android app ActivityThread deliverResults(ActivityThread java:4477)_x000D_
85   08 08 15:33:20 135 E AnkiDroid(23824): 	at android app ActivityThread handleSendResult(ActivityThread java:4524)_x000D_
86   08 08 15:33:20 135 E AnkiDroid(23824): 	at android app ActivityThread  wrap22(ActivityThread java)_x000D_
87   08 08 15:33:20 135 E AnkiDroid(23824): 	at android app ActivityThread H handleMessage(ActivityThread java:1691)_x000D_
88   08 08 15:33:20 135 E AnkiDroid(23824): 	at android os Handler dispatchMessage(Handler java:102)_x000D_
89   08 08 15:33:20 135 E AnkiDroid(23824): 	at android os Looper loop(Looper java:154)_x000D_
90   08 08 15:33:20 135 E AnkiDroid(23824): 	at android app ActivityThread main(ActivityThread java:6692)_x000D_
91   08 08 15:33:20 135 E AnkiDroid(23824): 	at java lang reflect Method invoke(Native Method)_x000D_
92   08 08 15:33:20 135 E AnkiDroid(23824): 	at com android internal os ZygoteInit MethodAndArgsCaller run(ZygoteInit java:1468)_x000D_
93   08 08 15:33:20 135 E AnkiDroid(23824): 	at com android internal os ZygoteInit main(ZygoteInit java:1358)_x000D_
94   08 08 15:33:20 135 E AnkiDroid(23824): Caused by: android system ErrnoException: write failed: ENOSPC (No space left on device)_x000D_
95   08 08 15:33:20 135 E AnkiDroid(23824): 	at libcore io Posix writeBytes(Native Method)_x000D_
96   08 08 15:33:20 135 E AnkiDroid(23824): 	at libcore io Posix write(Posix java:273)_x000D_
97   08 08 15:33:20 135 E AnkiDroid(23824): 	at libcore io BlockGuardOs write(BlockGuardOs java:319)_x000D_
98   08 08 15:33:20 135 E AnkiDroid(23824): 	at libcore io IoBridge write(IoBridge java:496)_x000D_
_x000D_
_x000D_
   _x000D_
_x000D_
_x000D_
       Debug info_x000D_
Refer to the  support page (https:  ankidroid org docs help html) if you are unsure where to get the  debug info  _x000D_
_x000D_
       Research_x000D_
 Enter an  x  character to confirm the points below: _x000D_
_x000D_
      I have read the  support page (https:  ankidroid org docs help html) and am reporting a bug or enhancement request specific to AnkiDroid_x000D_
      I have checked the  manual (https:  ankidroid org docs manual html) and the  FAQ (https:  github com ankidroid Anki Android wiki FAQ) and could not find a solution to my issue_x000D_
      I have searched for similar existing issues here and on the user forum_x000D_
      (Optional) I have confirmed the issue is not resolved in the latest alpha release ( instructions (https:  docs ankidroid org manual html betaTesting))_x000D_
_x000D_
</t>
  </si>
  <si>
    <t>nextcloud-android-6677</t>
  </si>
  <si>
    <t>Nextcloud app crashes when opening a large folder</t>
  </si>
  <si>
    <t xml:space="preserve">    Steps to reproduce_x000D_
1  Open folder with many files (in my case pictures) _x000D_
_x000D_
    Expected behaviour_x000D_
  App lists folder content_x000D_
_x000D_
    Actual behaviour_x000D_
  App crashes (only crashes in app  not web) _x000D_
_x000D_
    Environment data_x000D_
_x000D_
Device model: OnePlus 7 Pro_x000D_
_x000D_
Stock or customized system: stock_x000D_
_x000D_
Nextcloud app version: 3 12 1_x000D_
_x000D_
Nextcloud server version: latest docker_x000D_
_x000D_
Reverse proxy: Nginx_x000D_
_x000D_
     Nextcloud log (data nextcloud log)_x000D_
_x000D_
             CAUSE OF ERROR             _x000D_
_x000D_
android database sqlite SQLiteBlobTooBigException: Row too big to fit into CursorWindow requiredPos 3662  totalRows 1043_x000D_
	at android database sqlite SQLiteConnection nativeExecuteForCursorWindow(Native Method)_x000D_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 Transport delete(ContentProvider java:438)_x000D_
	at android content ContentResolver delete(ContentResolver java:1989)_x000D_
	at com owncloud android datamodel FileDataStorageManager removeFolderInDb(FileDataStorageManager java:589)_x000D_
	at com owncloud android datamodel FileDataStorageManager removeFolder(FileDataStorageManager java:564)_x000D_
	at com owncloud android operations RefreshFolderOperation removeLocalFolder(RefreshFolderOperation java:387)_x000D_
	at com owncloud android operations RefreshFolderOperation checkForChanges(RefreshFolderOperation java:348)_x000D_
	at com owncloud android operations RefreshFolderOperation run(RefreshFolderOperation java:224)_x000D_
	at com owncloud android lib common operations RemoteOperation run(RemoteOperation java:357)_x000D_
	at java lang Thread run(Thread java:919)_x000D_
_x000D_
             APP INFORMATION             _x000D_
ID: com nextcloud client_x000D_
Version: 30120190_x000D_
Build flavor: gplay_x000D_
_x000D_
             DEVICE INFORMATION             _x000D_
Brand: OnePlus_x000D_
Device: OnePlus7Pro_x000D_
Model: GM1913_x000D_
Id: QKQ1 190716 003_x000D_
Product: OnePlus7Pro EEA_x000D_
_x000D_
             FIRMWARE             _x000D_
SDK: 29_x000D_
Release: 10_x000D_
Incremental: 2005132200</t>
  </si>
  <si>
    <t>nextcloud-android-6675</t>
  </si>
  <si>
    <t>[3.13.0 RC4] Unable to display 12-digit mnemonic code in app</t>
  </si>
  <si>
    <t xml:space="preserve">unable to display 12 digit mnemonic code in app  _x000D_
_x000D_
the application crashes when I try to view the 12 digits of my mnemonic in the setup menu   I attach crash photos_x000D_
_x000D_
  Screenshot 20200808 072646 2 (https:  user images githubusercontent com 35575744 89703262 3435c300 d949 11ea 9f9d b3b79d19b6db png)_x000D_
_x000D_
  Screenshot 20200808 072550 (https:  user images githubusercontent com 35575744 89703268 3d269480 d949 11ea 9601 30c4a8fd1fb1 png)_x000D_
_x000D_
</t>
  </si>
  <si>
    <t>TeamNewPipe-NewPipe-4095</t>
  </si>
  <si>
    <t>Default content country not working for some countries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</si>
  <si>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v0 19 8_x000D_
_x000D_
    Steps to reproduce the bug_x000D_
    _x000D_
1  Go to      _x000D_
2  Press on       _x000D_
3  Swipe down to       _x000D_
   _x000D_
Change the country to Ethiopia or Eritrea and restart the app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changing content country must change the loaded content in trending _x000D_
_x000D_
    Actual behaviour_x000D_
     Tell us what happens instead     _x000D_
if i change the country to france or egypt the content is loaded with france or egypt language channel but if change the country to ethiopia or eritrea the content is loaded with english lanuage channel_x000D_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France_x000D_
_x000D_
  france (https:  user images githubusercontent com 69377840 89703055 e2dd0200 d94f 11ea 918b efeb3430ac07 jpg)_x000D_
_x000D_
Egypt_x000D_
_x000D_
  egypt (https:  user images githubusercontent com 69377840 89703071 0d2ebf80 d950 11ea 9625 60b6363a3a32 jpg)_x000D_
_x000D_
Ethiopia and Eritrea_x000D_
_x000D_
  ethiopian and eritrean (https:  user images githubusercontent com 69377840 89703078 29caf780 d950 11ea 8fe1 f2418a3710ba jpg)_x000D_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</si>
  <si>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TeamNewPipe-NewPipe-4094</t>
  </si>
  <si>
    <t>Limited channel videos and limited channel videos from search page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</si>
  <si>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v0 19 8_x000D_
_x000D_
    Steps to reproduce the bug_x000D_
    _x000D_
1  Go to      _x000D_
2  Press on       _x000D_
3  Swipe down to       _x000D_
   _x000D_
Go to Lowell Vanderpool channel or theRadBrad channel_x000D_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Channel videos must be listed when scrolling to bottom or show more like youtube and playlist videos in the channel must be shown along side with other videos _x000D_
_x000D_
    Actual behaviour_x000D_
     Tell us what happens instead     _x000D_
sometimes channel videos keeps loading when scrolls to bottom sometimes not and playlist videos is not showing up in the channel along side with other videos(not playlist or single video)  so i cant see more videos in the channel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youtube from browser_x000D_
_x000D_
  youtube from browser (https:  user images githubusercontent com 69377840 89702561 326cff00 d94b 11ea 8083 e629e487b596 jpg)_x000D_
_x000D_
newpipe_x000D_
_x000D_
  newpipe (https:  user images githubusercontent com 69377840 89702570 50d2fa80 d94b 11ea 9b18 709fad2a8abd jpg)_x000D_
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</si>
  <si>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square-okhttp-6216</t>
  </si>
  <si>
    <t>3.14.x versions have unstable handling of NetworkOnMainThreadException</t>
  </si>
  <si>
    <t xml:space="preserve">Starting with version 3 14 0  if a  NetworkOnMainThreadException  happens it is possible for a subsequent request to receive the response from the previous (supposedly failed) request _x000D_
_x000D_
Consider this code snippet using OkHttp 3 14 0 and Okio 1 15 0_x000D_
_x000D_
   kotlin_x000D_
        val xkcdClient   OkHttpClient Builder()_x000D_
             addNetworkInterceptor(_x000D_
                HttpLoggingInterceptor   println(it)   apply  _x000D_
                    level   HttpLoggingInterceptor Level BODY_x000D_
                 _x000D_
            )_x000D_
             build()_x000D_
_x000D_
        val strip1Request   Request Builder()_x000D_
             url( https:  xkcd com 1 info 0 json )_x000D_
             build()_x000D_
_x000D_
        val strip2Request   Request Builder()_x000D_
             url( https:  xkcd com 2 info 0 json )_x000D_
             build()_x000D_
_x000D_
        val strip3Request   Request Builder()_x000D_
             url( https:  xkcd com 3 info 0 json )_x000D_
             build()_x000D_
_x000D_
        val noopCallback   object : Callback  _x000D_
            override fun onFailure(call: Call  e: IOException)   Unit_x000D_
_x000D_
            override fun onResponse(call: Call  response: Response)   Unit_x000D_
         _x000D_
_x000D_
           This first request ensures the host is correctly recognized for connection recycling_x000D_
           later_x000D_
        xkcdClient_x000D_
             newCall(strip1Request)_x000D_
             enqueue(noopCallback)_x000D_
_x000D_
           This second request will trigger a NetworkOnMainThreadException  The try   catch mimics_x000D_
           the behavior when using OkHttp   Retrofit   RxJava2 _x000D_
        val handler   Handler()_x000D_
        handler postDelayed(_x000D_
             _x000D_
                try  _x000D_
                    xkcdClient_x000D_
                         newCall(strip2Request)_x000D_
                         execute()_x000D_
                  catch (e: NetworkOnMainThreadException)  _x000D_
                    e printStackTrace()_x000D_
                 _x000D_
              _x000D_
            1000_x000D_
        )_x000D_
_x000D_
           This final request will receive the response from the request above _x000D_
        handler postDelayed(_x000D_
             _x000D_
                xkcdClient_x000D_
                     newCall(strip3Request)_x000D_
                     enqueue(noopCallback)_x000D_
              _x000D_
            2000_x000D_
        )_x000D_
   _x000D_
_x000D_
This makes a first request in order for the host to be recognized for connection recycling later  The second request is the problematic one that fails  The try   catch mimics what would happen when making the actual request via Retrofit   RxJava (which is how we discovered the issue)  The final request is where the problem revealed : the network response returned is actually the response for the second request _x000D_
_x000D_
The complete set of logs produced here are _x000D_
_x000D_
   _x000D_
2020 08 07 13:19:04 889 28123 28340 I:     GET https:  xkcd com 1 info 0 json http 1 1_x000D_
2020 08 07 13:19:04 889 28123 28340 I: Host: xkcd com_x000D_
2020 08 07 13:19:04 889 28123 28340 I: Connection: Keep Alive_x000D_
2020 08 07 13:19:04 889 28123 28340 I: Accept Encoding: gzip_x000D_
2020 08 07 13:19:04 889 28123 28340 I: User Agent: okhttp 3 14 0_x000D_
2020 08 07 13:19:04 889 28123 28340 I:     END GET_x000D_
2020 08 07 13:19:04 936 28123 28340 I:     200 OK https:  xkcd com 1 info 0 json (46ms)_x000D_
2020 08 07 13:19:04 936 28123 28340 I: Connection: keep alive_x000D_
2020 08 07 13:19:04 936 28123 28340 I: Content Length: 290_x000D_
2020 08 07 13:19:04 936 28123 28340 I: Server: nginx_x000D_
2020 08 07 13:19:04 936 28123 28340 I: Content Type: application json_x000D_
2020 08 07 13:19:04 936 28123 28340 I: Last Modified: Fri  07 Aug 2020 04:00:03 GMT_x000D_
2020 08 07 13:19:04 936 28123 28340 I: ETag: W  5f2cd1c3 1ac _x000D_
2020 08 07 13:19:04 936 28123 28340 I: Expires: Fri  07 Aug 2020 17:45:30 GMT_x000D_
2020 08 07 13:19:04 936 28123 28340 I: Cache Control: max age 300_x000D_
2020 08 07 13:19:04 936 28123 28340 I: Content Encoding: gzip_x000D_
2020 08 07 13:19:04 936 28123 28340 I: Accept Ranges: bytes_x000D_
2020 08 07 13:19:04 936 28123 28340 I: Date: Fri  07 Aug 2020 18:19:07 GMT_x000D_
2020 08 07 13:19:04 936 28123 28340 I: Via: 1 1 varnish_x000D_
2020 08 07 13:19:04 936 28123 28340 I: Age: 231_x000D_
2020 08 07 13:19:04 936 28123 28340 I: X Served By: cache mdw17342 MDW_x000D_
2020 08 07 13:19:04 936 28123 28340 I: X Cache: HIT_x000D_
2020 08 07 13:19:04 936 28123 28340 I: X Cache Hits: 1_x000D_
2020 08 07 13:19:04 936 28123 28340 I: X Timer: S1596824347 113793 VS0 VE0_x000D_
2020 08 07 13:19:04 936 28123 28340 I: Vary: Accept Encoding_x000D_
2020 08 07 13:19:04 937 28123 28340 I:   month :  1    num : 1   link :      year :  2006    news :      safe title :  Barrel   Part 1    transcript :    A boy sits in a barrel which is floating in an ocean    nBoy: I wonder where I ll float next  n  The barrel drifts into the distance  Nothing else can be seen    n  Alt: Don t we all       alt :  Don t we all     img :  https:  imgs xkcd com comics barrel cropped (1) jpg    title :  Barrel   Part 1    day :  1  _x000D_
2020 08 07 13:19:04 937 28123 28340 I:     END HTTP (428 byte  290 gzipped byte body)_x000D_
2020 08 07 13:19:05 216 28123 28123 W: Accessing hidden field Landroid view View   mAccessibilityDelegate:Landroid view View AccessibilityDelegate  (greylist  reflection  allowed)_x000D_
2020 08 07 13:19:05 755 28123 28123 I:     GET https:  xkcd com 2 info 0 json http 1 1_x000D_
2020 08 07 13:19:05 755 28123 28123 I: Host: xkcd com_x000D_
2020 08 07 13:19:05 755 28123 28123 I: Connection: Keep Alive_x000D_
2020 08 07 13:19:05 755 28123 28123 I: Accept Encoding: gzip_x000D_
2020 08 07 13:19:05 755 28123 28123 I: User Agent: okhttp 3 14 0_x000D_
2020 08 07 13:19:05 755 28123 28123 I:     END GET_x000D_
2020 08 07 13:19:05 756 28123 28123 I:     HTTP FAILED: android os NetworkOnMainThreadException_x000D_
2020 08 07 13:19:05 756 28123 28123 W: android os NetworkOnMainThreadException_x000D_
2020 08 07 13:19:05 756 28123 28123 W:     at android os StrictMode AndroidBlockGuardPolicy onNetwork(StrictMode java:1565)_x000D_
2020 08 07 13:19:05 756 28123 28123 W:     at com android org conscrypt Platform blockGuardOnNetwork(Platform java:424)_x000D_
2020 08 07 13:19:05 756 28123 28123 W:     at com android org conscrypt ConscryptFileDescriptorSocket SSLOutputStream write(ConscryptFileDescriptorSocket java:608)_x000D_
2020 08 07 13:19:05 756 28123 28123 W:     at okio Okio 1 write(Okio java:79)_x000D_
2020 08 07 13:19:05 756 28123 28123 W:     at okio AsyncTimeout 1 write(AsyncTimeout java:180)_x000D_
2020 08 07 13:19:05 756 28123 28123 W:     at okio RealBufferedSink flush(RealBufferedSink java:224)_x000D_
2020 08 07 13:19:05 756 28123 28123 W:     at okhttp3 internal http1 Http1ExchangeCodec finishRequest(Http1ExchangeCodec java:190)_x000D_
2020 08 07 13:19:05 757 28123 28123 W:     at okhttp3 internal connection Exchange finishRequest(Exchange java:101)_x000D_
2020 08 07 13:19:05 757 28123 28123 W:     at okhttp3 internal http CallServerInterceptor intercept(CallServerInterceptor java:86)_x000D_
2020 08 07 13:19:05 757 28123 28123 W:     at okhttp3 internal http RealInterceptorChain proceed(RealInterceptorChain java:142)_x000D_
2020 08 07 13:19:05 757 28123 28123 W:     at okhttp3 internal http RealInterceptorChain proceed(RealInterceptorChain java:117)_x000D_
2020 08 07 13:19:05 757 28123 28123 W:     at okhttp3 logging HttpLoggingInterceptor intercept(HttpLoggingInterceptor java:223)_x000D_
2020 08 07 13:19:05 757 28123 28123 W:     at okhttp3 internal http RealInterceptorChain proceed(RealInterceptorChain java:142)_x000D_
2020 08 07 13:19:05 757 28123 28123 W:     at okhttp3 internal connection ConnectInterceptor intercept(ConnectInterceptor java:43)_x000D_
2020 08 07 13:19:05 757 28123 28123 W:     at okhttp3 internal http RealInterceptorChain proceed(RealInterceptorChain java:142)_x000D_
2020 08 07 13:19:05 757 28123 28123 W:     at okhttp3 internal http RealInterceptorChain proceed(RealInterceptorChain java:117)_x000D_
2020 08 07 13:19:05 757 28123 28123 W:     at okhttp3 internal cache CacheInterceptor intercept(CacheInterceptor java:94)_x000D_
2020 08 07 13:19:05 757 28123 28123 W:     at okhttp3 internal http RealInterceptorChain proceed(RealInterceptorChain java:142)_x000D_
2020 08 07 13:19:05 757 28123 28123 W:     at okhttp3 internal http RealInterceptorChain proceed(RealInterceptorChain java:117)_x000D_
2020 08 07 13:19:05 757 28123 28123 W:     at okhttp3 internal http BridgeInterceptor intercept(BridgeInterceptor java:93)_x000D_
2020 08 07 13:19:05 757 28123 28123 W:     at okhttp3 internal http RealInterceptorChain proceed(RealInterceptorChain java:142)_x000D_
2020 08 07 13:19:05 757 28123 28123 W:     at okhttp3 internal http RetryAndFollowUpInterceptor intercept(RetryAndFollowUpInterceptor java:88)_x000D_
2020 08 07 13:19:05 757 28123 28123 W:     at okhttp3 internal http RealInterceptorChain proceed(RealInterceptorChain java:142)_x000D_
2020 08 07 13:19:05 757 28123 28123 W:     at okhttp3 internal http RealInterceptorChain proceed(RealInterceptorChain java:117)_x000D_
2020 08 07 13:19:05 757 28123 28123 W:     at okhttp3 RealCall getResponseWithInterceptorChain(RealCall java:221)_x000D_
2020 08 07 13:19:05 757 28123 28123 W:     at okhttp3 RealCall execute(RealCall java:81)_x000D_
2020 08 07 13:19:05 757 28123 28123 W:     at com smartthings smarthome device list fragment DeviceFragment onCreate 1 run(DeviceFragment kt:109)_x000D_
2020 08 07 13:19:05 757 28123 28123 W:     at android os Handler handleCallback(Handler java:883)_x000D_
2020 08 07 13:19:05 757 28123 28123 W:     at android os Handler dispatchMessage(Handler java:100)_x000D_
2020 08 07 13:19:05 757 28123 28123 W:     at android os Looper loop(Looper java:214)_x000D_
2020 08 07 13:19:05 757 28123 28123 W:     at android app ActivityThread main(ActivityThread java:7356)_x000D_
2020 08 07 13:19:05 757 28123 28123 W:     at java lang reflect Method invoke(Native Method)_x000D_
2020 08 07 13:19:05 757 28123 28123 W:     at com android internal os RuntimeInit MethodAndArgsCaller run(RuntimeInit java:492)_x000D_
2020 08 07 13:19:05 757 28123 28123 W:     at com android internal os ZygoteInit main(ZygoteInit java:930)_x000D_
2020 08 07 13:19:06 759 28123 28340 I:     GET https:  xkcd com 3 info 0 json http 1 1_x000D_
2020 08 07 13:19:06 759 28123 28340 I: Host: xkcd com_x000D_
2020 08 07 13:19:06 759 28123 28340 I: Connection: Keep Alive_x000D_
2020 08 07 13:19:06 759 28123 28340 I: Accept Encoding: gzip_x000D_
2020 08 07 13:19:06 759 28123 28340 I: User Agent: okhttp 3 14 0_x000D_
2020 08 07 13:19:06 759 28123 28340 I:     END GET_x000D_
2020 08 07 13:19:06 934 28123 28340 I:     200 OK https:  xkcd com 3 info 0 json (174ms)_x000D_
2020 08 07 13:19:06 934 28123 28340 I: Connection: keep alive_x000D_
2020 08 07 13:19:06 934 28123 28340 I: Content Length: 283_x000D_
2020 08 07 13:19:06 934 28123 28340 I: Server: nginx_x000D_
2020 08 07 13:19:06 934 28123 28340 I: Content Type: application json_x000D_
2020 08 07 13:19:06 934 28123 28340 I: Last Modified: Fri  07 Aug 2020 04:00:03 GMT_x000D_
2020 08 07 13:19:06 934 28123 28340 I: ETag: W  5f2cd1c3 1fb _x000D_
2020 08 07 13:19:06 934 28123 28340 I: Expires: Fri  07 Aug 2020 17:50:34 GMT_x000D_
2020 08 07 13:19:06 934 28123 28340 I: Cache Control: max age 300_x000D_
2020 08 07 13:19:06 934 28123 28340 I: Content Encoding: gzip_x000D_
2020 08 07 13:19:06 934 28123 28340 I: Accept Ranges: bytes_x000D_
2020 08 07 13:19:06 934 28123 28340 I: Date: Fri  07 Aug 2020 18:19:08 GMT_x000D_
2020 08 07 13:19:06 934 28123 28340 I: Via: 1 1 varnish_x000D_
2020 08 07 13:19:06 934 28123 28340 I: Age: 233_x000D_
2020 08 07 13:19:06 934 28123 28340 I: X Served By: cache mdw17342 MDW_x000D_
2020 08 07 13:19:06 934 28123 28340 I: X Cache: HIT_x000D_
2020 08 07 13:19:06 934 28123 28340 I: X Cache Hits: 1_x000D_
2020 08 07 13:19:06 934 28123 28340 I: X Timer: S1596824349 989360 VS0 VE0_x000D_
2020 08 07 13:19:06 934 28123 28340 I: Vary: Accept Encoding_x000D_
2020 08 07 13:19:06 935 28123 28340 I:   month :  1    num : 2   link :      year :  2006    news :      safe title :  Petit Trees (sketch)    transcript :    Two trees are growing on opposite sides of a sphere    n  Alt title:  Petit  being a reference to Le Petit Prince  which I only thought about halfway through the sketch      alt :   Petit  being a reference to Le Petit Prince  which I only thought about halfway through the sketch    img :  https:  imgs xkcd com comics tree cropped (1) jpg    title :  Petit Trees (sketch)    day :  1  _x000D_
2020 08 07 13:19:06 935 28123 28340 I:     END HTTP (507 byte  283 gzipped byte body)_x000D_
   _x000D_
_x000D_
Note how the request for the 3rd strip produces the data for the 2nd (which is most directly seen by looking at the  num  property)  This is one basic example but we ve seen this behavior in the wild with our own APIs  This also isn t simply a problem with the logging  the response printed by the logger is definitely the one that gets delivered to the  Response  _x000D_
_x000D_
This issue is not present in versions prior to  3 14 0  or in  4 x x  _x000D_
_x000D_
The stacktraces for the  NetworkOnMainThreadException  before and after  3 14 0  hint at part of the problem  On  3 13 1  it is clear OkHttp is catching the error  marking the stream with a failure  and rethrowing:_x000D_
_x000D_
   _x000D_
     Caused by: android os NetworkOnMainThreadException_x000D_
        at android os StrictMode AndroidBlockGuardPolicy onNetwork(StrictMode java:1565)_x000D_
        at com android org conscrypt Platform blockGuardOnNetwork(Platform java:424)_x000D_
        at com android org conscrypt ConscryptFileDescriptorSocket shutdownAndFreeSslNative(ConscryptFileDescriptorSocket java:1021)_x000D_
        at com android org conscrypt ConscryptFileDescriptorSocket close(ConscryptFileDescriptorSocket java:1016)_x000D_
        at okhttp3 internal Util closeQuietly(Util java:154)_x000D_
        at okhttp3 internal connection StreamAllocation streamFailed(StreamAllocation java:468)_x000D_
        at okhttp3 internal http RetryAndFollowUpInterceptor intercept(RetryAndFollowUpInterceptor java:143)_x000D_
           _x000D_
   _x000D_
_x000D_
After  3 14 0  the crash happens in  Okio  and is not caught and rethrown:_x000D_
_x000D_
_x000D_
   _x000D_
        android os NetworkOnMainThreadException_x000D_
          at android os StrictMode AndroidBlockGuardPolicy onNetwork(StrictMode java:1565)_x000D_
          at com android org conscrypt Platform blockGuardOnNetwork(Platform java:424)_x000D_
          at com android org conscrypt ConscryptFileDescriptorSocket SSLOutputStream write(ConscryptFileDescriptorSocket java:608)_x000D_
          at okio Okio 1 write(Okio java:79)_x000D_
          at okio AsyncTimeout 1 write(AsyncTimeout java:180)_x000D_
          at okio RealBufferedSink flush(RealBufferedSink java:224)_x000D_
          at okhttp3 internal http1 Http1ExchangeCodec finishRequest(Http1ExchangeCodec java:190)_x000D_
             _x000D_
   _x000D_
_x000D_
This seems to leave the connection in an invalid state where it is still open and ready to read the response but it will also be recycled for the next request because it was not marked with a failure </t>
  </si>
  <si>
    <t>TeamNewPipe-NewPipe-4093</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</si>
  <si>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Exception_x000D_
    User Action:   requested stream_x000D_
    Request:   https:  www youtube com watch v 1PwrKkuzn7Y_x000D_
    Content Country:   CA_x000D_
    Content Language:   en CA_x000D_
    App Language:   en CA_x000D_
    Service:   YouTube_x000D_
    Version:   0 19 8_x000D_
    OS:   Linux samsung d2qcs d2q:10 QP1A 190711 020 N975WVLU3CTE7:user release keys 10   29_x000D_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t>
  </si>
  <si>
    <t>awslabs-aws-mobile-appsync-sdk-android-305</t>
  </si>
  <si>
    <t>Crash: IllegalStateException: please call response.close() - okhttp3</t>
  </si>
  <si>
    <t xml:space="preserve">  Description  _x000D_
When our app got switched to AppSync  v3 0 2  from 3 0 1 the users of our app started experiencing the crash _x000D_
We don t see errors like that on  3 0 1  (our app use it since Jan 2020 till May 2020)_x000D_
_x000D_
   _x000D_
Fatal Exception: java lang IllegalStateException: cannot make a new request because the previous response is still open: please call response close()_x000D_
       at okhttp3 internal connection Transmitter newExchange okhttp(Transmitter kt:157)_x000D_
       at okhttp3 internal connection ConnectInterceptor intercept(ConnectInterceptor kt:35)_x000D_
       at okhttp3 internal http RealInterceptorChain proceed(RealInterceptorChain kt:112)_x000D_
       at okhttp3 internal http RealInterceptorChain proceed(RealInterceptorChain kt:87)_x000D_
       at okhttp3 internal cache CacheInterceptor intercept(CacheInterceptor kt:82)_x000D_
       at okhttp3 internal http RealInterceptorChain proceed(RealInterceptorChain kt:112)_x000D_
       at okhttp3 internal http RealInterceptorChain proceed(RealInterceptorChain kt:87)_x000D_
       at okhttp3 internal http BridgeInterceptor intercept(BridgeInterceptor kt:84)_x000D_
       at okhttp3 internal http RealInterceptorChain proceed(RealInterceptorChain kt:112)_x000D_
       at okhttp3 internal http RetryAndFollowUpInterceptor intercept(RetryAndFollowUpInterceptor kt:71)_x000D_
       at okhttp3 internal http RealInterceptorChain proceed(RealInterceptorChain kt:112)_x000D_
       at okhttp3 internal http RealInterceptorChain proceed(RealInterceptorChain kt:87)_x000D_
       at com amazonaws mobileconnectors appsync sigv4 AppSyncSigV4SignerInterceptor intercept(AppSyncSigV4SignerInterceptor java:173)_x000D_
       at okhttp3 internal http RealInterceptorChain proceed(RealInterceptorChain kt:112)_x000D_
       at okhttp3 internal http RealInterceptorChain proceed(RealInterceptorChain kt:87)_x000D_
       at com amazonaws mobileconnectors appsync retry RetryInterceptor intercept(RetryInterceptor java:40)_x000D_
       at okhttp3 internal http RealInterceptorChain proceed(RealInterceptorChain kt:112)_x000D_
       at okhttp3 internal http RealInterceptorChain proceed(RealInterceptorChain kt:87)_x000D_
       at okhttp3 RealCall getResponseWithInterceptorChain(RealCall kt:194)_x000D_
       at okhttp3 RealCall AsyncCall run(RealCall kt:138)_x000D_
       at java util concurrent ThreadPoolExecutor runWorker(ThreadPoolExecutor java:1167)_x000D_
       at java util concurrent ThreadPoolExecutor Worker run(ThreadPoolExecutor java:641)_x000D_
       at java lang Thread run(Thread java:919)_x000D_
   _x000D_
_x000D_
  Reproducing  _x000D_
There are no steps to reproduce  of course  the crash is happening sporadically  Please take a look at the additional context _x000D_
_x000D_
_x000D_
  Environment  _x000D_
   AppSync SDK Version: 3 0 2_x000D_
_x000D_
  Device Information  _x000D_
   Devices: wide range of_x000D_
   Android Version: 6 through 10_x000D_
_x000D_
  Additional context  _x000D_
Our application is setting up two instances of  AWSAppSyncClient  in  Application onCreate()   _x000D_
_x000D_
1  One client is configured with our custom S3ObjectManager which extends from  S3ObjectManagerImplementation  and has the following code (to not retry lost files)_x000D_
_x000D_
   _x000D_
class CustomS3ObjectManagerImplementation(s3Client: AmazonS3Client): S3ObjectManagerImplementation(s3Client)  _x000D_
    override fun upload(s3Object: S3InputObjectInterface)  _x000D_
        val file   File(s3Object localUri())_x000D_
        if ( file exists()     file isFile)  _x000D_
            throw FileNotFoundException( File   s3Object localUri()  does not exist or is not a file )_x000D_
         _x000D_
        super upload(s3Object)_x000D_
     _x000D_
 _x000D_
   _x000D_
This client is also configured with  AWSMobileClient getInstance()  credentials provider _x000D_
_x000D_
2  The second client is configured with  CognitoCachingCredentialsProvider  allowing to submit mutations without prior authentication_x000D_
_x000D_
Both clients use  AWS IAM  auth mode </t>
  </si>
  <si>
    <t>Anuken-Mindustry-2319</t>
  </si>
  <si>
    <t>New iOS client, new issue</t>
  </si>
  <si>
    <t xml:space="preserve">_x000D_
  image0 (https:  user images githubusercontent com 61173114 89650885 544d7f80 d880 11ea 9fdc 4a81fc68847c png)_x000D_
  Platform  : iOS_x000D_
_x000D_
  Build  : 104 4_x000D_
_x000D_
  Issue  : Construction animation sometimes does not render _x000D_
_x000D_
  Steps to reproduce  : Play the game normally for a few hours  I am not sure what specifically causes this issue  as it seems to appear randomly _x000D_
_x000D_
  Link to mod(s) used  if applicable  : None_x000D_
_x000D_
  Crash report  if applicable  : Issue does not cause crashes _x000D_
_x000D_
   _x000D_
_x000D_
 Place an X (no spaces) between the brackets to confirm that you have read the line below    _x000D_
   X    I have searched the closed and open issues to make sure that this problem has not already been reported   _x000D_
I am not sure if iOS can send files correctly to GitHub so I am not sure if the screenshot I have will show  If not  I ll edit it in with my Android client </t>
  </si>
  <si>
    <t>nextcloud-android-6665</t>
  </si>
  <si>
    <t>IllegalStateException @ PlayerServiceConnection.stop</t>
  </si>
  <si>
    <t>One of the top crashes within the last 30 days reported on GPlay dev console:_x000D_
_x000D_
   _x000D_
java lang IllegalStateException: _x000D_
  at android app ContextImpl startServiceCommon (ContextImpl java:1688)_x000D_
  at android app ContextImpl startService (ContextImpl java:1633)_x000D_
  at android content ContextWrapper startService (ContextWrapper java:683)_x000D_
  at android content ContextWrapper startService (ContextWrapper java:683)_x000D_
  at com nextcloud client media PlayerServiceConnection stop (PlayerServiceConnection kt:72)_x000D_
  at com owncloud android ui preview PreviewMediaFragment stopAudio (PreviewMediaFragment java:336)_x000D_
  at com owncloud android ui preview PreviewMediaFragment onStart (PreviewMediaFragment java:329)_x000D_
  at androidx fragment app Fragment performStart (Fragment java:2632)_x000D_
  at androidx fragment app FragmentManagerImpl moveToState (FragmentManagerImpl java:915)_x000D_
  at androidx fragment app FragmentManagerImpl moveFragmentToExpectedState (FragmentManagerImpl java:1238)_x000D_
  at androidx fragment app FragmentManagerImpl moveToState (FragmentManagerImpl java:1303)_x000D_
  at androidx fragment app FragmentManagerImpl dispatchStateChange (FragmentManagerImpl java:2659)_x000D_
  at androidx fragment app FragmentManagerImpl dispatchStart (FragmentManagerImpl java:2619)_x000D_
  at androidx fragment app FragmentController dispatchStart (FragmentController java:257)_x000D_
  at androidx fragment app FragmentActivity onStart (FragmentActivity java:551)_x000D_
  at androidx appcompat app AppCompatActivity onStart (AppCompatActivity java:210)_x000D_
  at com owncloud android ui activity DrawerActivity onStart (DrawerActivity java:1415)_x000D_
  at com owncloud android ui activity FileActivity onStart (FileActivity java:208)_x000D_
  at com owncloud android ui activity FileDisplayActivity onStart (FileDisplayActivity java:2561)_x000D_
  at android app Instrumentation callActivityOnStart (Instrumentation java:1433)_x000D_
  at android app Activity performStart (Activity java:7980)_x000D_
  at android app ActivityThread handleStartActivity (ActivityThread java:3646)_x000D_
  at android app servertransaction TransactionExecutor performLifecycleSequence (TransactionExecutor java:221)_x000D_
  at android app servertransaction TransactionExecutor cycleToPath (TransactionExecutor java:201)_x000D_
  at android app servertransaction TransactionExecutor executeLifecycleState (TransactionExecutor java:173)_x000D_
  at android app servertransaction TransactionExecutor execute (TransactionExecutor java:97)_x000D_
  at android app ActivityThread H handleMessage (ActivityThread java:2261)_x000D_
  at android os Handler dispatchMessage (Handler java:107)_x000D_
  at android os Looper loop (Looper java:237)_x000D_
  at android app ActivityThread main (ActivityThread java:8107)_x000D_
  at java lang reflect Method invoke (Native Method)_x000D_
  at com android internal os RuntimeInit MethodAndArgsCaller run (RuntimeInit java:496)_x000D_
  at com android internal os ZygoteInit main (ZygoteInit java:1100)_x000D_
   _x000D_
_x000D_
Any ideas  ezaquarii  :)_x000D_
_x000D_
Reports for_x000D_
  Android 10 (SDK 29)_x000D_
  Android 9 (SDK 28)_x000D_
_x000D_
and_x000D_
_x000D_
  3 12 0_x000D_
  3 12 1</t>
  </si>
  <si>
    <t>TeamNewPipe-NewPipe-4090</t>
  </si>
  <si>
    <t>Could not load decryption code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</si>
  <si>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Go to      _x000D_
2  Press on       _x000D_
3  Swipe down to       _x000D_
   _x000D_
This only happened once  Just had to report it as it came up for me_x000D_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requested stream_x000D_
    Request:   https:  www youtube com watch v TAs6dgjt5yY_x000D_
    Content Country:   US_x000D_
    Content Language:   en_x000D_
    App Language:   en US_x000D_
    Service:   YouTube_x000D_
    Version:   0 19 8_x000D_
    OS:   Linux Android 9   28_x000D_
 details  summary  b Crash log   b   summary  p _x000D_
_x000D_
   _x000D_
org schabi newpipe extractor exceptions ParsingException: Could not load decryption code for the Youtube service _x000D_
	at org schabi newpipe extractor services youtube extractors YoutubeStreamExtractor getPlayerUrl(YoutubeStreamExtractor java:706)_x000D_
	at org schabi newpipe extractor services youtube extractors YoutubeStreamExtractor onFetchPage(YoutubeStreamExtractor java:656)_x000D_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NullPointerException: Attempt to invoke virtual method  boolean java lang String startsWith(java lang String)  on a null object reference_x000D_
	at org schabi newpipe extractor services youtube extractors YoutubeStreamExtractor getPlayerUrl(YoutubeStreamExtractor java:701)_x000D_
	    30 more_x000D_
_x000D_
   _x000D_
  details _x000D_
 hr _x000D_
</t>
  </si>
  <si>
    <t>cgeo-cgeo-8761</t>
  </si>
  <si>
    <t>Fatal exception of logging</t>
  </si>
  <si>
    <t xml:space="preserve">While playing around a bit with the new LoggingManager I constantly receive the following error already on the first step:_x000D_
_x000D_
   _x000D_
2020 08 06 22:36:24 092 31987 31987 cgeo geocaching E AndroidRuntime: FATAL EXCEPTION: main_x000D_
    Process: cgeo geocaching  PID: 31987_x000D_
    java lang RuntimeException: Unable to start activity ComponentInfo cgeo geocaching cgeo geocaching log LogCacheActivity : java lang IllegalArgumentException: Object returned from onCreateLoader must not be null_x000D_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Caused by: java lang IllegalArgumentException: Object returned from onCreateLoader must not be null_x000D_
        at androidx loader app LoaderManagerImpl createAndInstallLoader(LoaderManagerImpl java:385)_x000D_
        at androidx loader app LoaderManagerImpl initLoader(LoaderManagerImpl java:421)_x000D_
        at cgeo geocaching connector gc GCLoggingManager init(GCLoggingManager java:127)_x000D_
        at cgeo geocaching log LogCacheActivity onCreate(LogCacheActivity java:287)_x000D_
        at android app Activity performCreate(Activity java:7802)_x000D_
        at android app Activity performCreate(Activity java:7791)_x000D_
        at android app Instrumentation callActivityOnCreate(Instrumentation java:1299)_x000D_
        at android app ActivityThread performLaunchActivity(ActivityThread java:3245)_x000D_
        at android app ActivityThread handleLaunchActivity(ActivityThread java:3409) _x000D_
        at android app servertransaction LaunchActivityItem execute(LaunchActivityItem java:83) _x000D_
        at android app servertransaction TransactionExecutor executeCallbacks(TransactionExecutor java:135) _x000D_
        at android app servertransaction TransactionExecutor execute(TransactionExecutor java:95) _x000D_
        at android app ActivityThread H handleMessage(ActivityThread java:2016) _x000D_
        at android os Handler dispatchMessage(Handler java:107) _x000D_
        at android os Looper loop(Looper java:214) _x000D_
        at android app ActivityThread main(ActivityThread java:7356) _x000D_
        at java lang reflect Method invoke(Native Method) _x000D_
        at com android internal os RuntimeInit MethodAndArgsCaller run(RuntimeInit java:492) _x000D_
        at com android internal os ZygoteInit main(ZygoteInit java:930) _x000D_
   _x000D_
_x000D_
The cache is stored offline already  Error occurs directly when pressing the  log  button  The log dialog does not even show up  c:geo directly crashes (or at least the logging activity does)   returns to cache list _x000D_
Probably due to no GC login info having been stored  because when I added login data for this connector  the dialog showed up    But still: In this case an error message should be shown instead of crashing the activity _x000D_
_x000D_
 eddiemuc </t>
  </si>
  <si>
    <t>deepjavalibrary-djl-150</t>
  </si>
  <si>
    <t xml:space="preserve">jvm crushes in native when try to running torch model </t>
  </si>
  <si>
    <t xml:space="preserve">   Description_x000D_
Hi  I have some problems with running a model from https:  github com emiliantolo pytorch nsfw model in DJL  Jvm crashes with an error in native  I try to run it with openjdk 8  zulu 8  zulu 13 _x000D_
_x000D_
    Expected Behavior_x000D_
Expected that a model will run correctly  _x000D_
_x000D_
    Error Message_x000D_
_x000D_
   _x000D_
 _x000D_
  A fatal error has been detected by the Java Runtime Environment:_x000D_
 _x000D_
   SIGSEGV (0xb) at pc 0x0000000134a917ae  pid 12860  tid 9219_x000D_
 _x000D_
  JRE version: OpenJDK Runtime Environment _x000D_
(Zulu13 28 11 CA) (13 0 1 10) (build 13 0 1 10 MTS)_x000D_
  Java VM: OpenJDK 64 Bit Server VM (13 0 1 10 MTS  mixed mode  sharing  tiered  compressed oops  g1 gc  bsd amd64)_x000D_
  Problematic frame:_x000D_
  C   libtorch cpu dylib 0x2a957ae   torch::jit::Expr::Expr(c10::intrusive ptr torch::jit::Tree  c10::detail::intrusive target default null type torch::jit::Tree    const ) 0x2e_x000D_
 _x000D_
  No core dump will be written  Core dumps have been disabled  To enable core dumping  try  ulimit  c unlimited  before starting Java again_x000D_
 _x000D_
  An error report file with more information is saved as:_x000D_
   Users evgenyzakharov Workspace pytorch nsfw model jvm hs err pid12860 log_x000D_
 _x000D_
  If you would like to submit a bug report  please visit:_x000D_
    http:  www azulsystems com support _x000D_
  The crash happened outside the Java Virtual Machine in native code _x000D_
  See problematic frame for where to report the bug _x000D_
 _x000D_
   _x000D_
_x000D_
And in dump error message is next:_x000D_
   _x000D_
Stack:  0x000070000ea99000 0x000070000eb99000    sp 0x000070000eb95f50   free space 1011k_x000D_
Native frames: (J compiled Java code  A aot compiled Java code  j interpreted  Vv VM code  C native code)_x000D_
C   libtorch cpu dylib 0x2a957ae   torch::jit::Expr::Expr(c10::intrusive ptr torch::jit::Tree  c10::detail::intrusive target default null type torch::jit::Tree    const ) 0x2e_x000D_
C   libtorch cpu dylib 0x2d21cb5   torch::jit::ScriptTypeParser::parseClassConstant(torch::jit::Assign const ) 0xd5_x000D_
C   libtorch cpu dylib 0x2a9097a   torch::jit::SourceImporterImpl::importClass(c10::QualifiedName const   torch::jit::ClassDef const   bool) 0x210a_x000D_
C   libtorch cpu dylib 0x2a8c61a   torch::jit::SourceImporterImpl::importNamedType(std::  1::basic string char  std::  1::char traits char   std::  1::allocator char    const   torch::jit::ClassDef const ) 0x64a_x000D_
C   libtorch cpu dylib 0x2a88d2b   torch::jit::SourceImporterImpl::findNamedType(c10::QualifiedName const ) 0xfb_x000D_
   _x000D_
_x000D_
Full error log:_x000D_
 hs err pid12860 log (https:  github com awslabs djl files 5035749 hs err pid12860 log)_x000D_
_x000D_
   How to Reproduce _x000D_
Download model from repository https:  github com emiliantolo pytorch nsfw model  and try to run with DJL_x000D_
_x000D_
    Steps to reproduce_x000D_
1  Download model_x000D_
2  Convert model to   pt  with  script  or  trace :_x000D_
   python_x000D_
model   models resnet50()_x000D_
model fc   nn Sequential(nn Linear(2048  512) _x000D_
                                 nn ReLU() _x000D_
                                 nn Dropout(0 2) _x000D_
                                 nn Linear(512  10) _x000D_
                                 nn LogSoftmax(dim 1))_x000D_
model load state dict(torch load( ResNet50 nsfw model pth   map location torch device( cpu )))_x000D_
model eval()_x000D_
_x000D_
 script_x000D_
export   torch jit script(model)_x000D_
torch jit save(export   out pt )_x000D_
_x000D_
 trace_x000D_
image   Image open(data dir  1 jpg )_x000D_
image tensor   test transforms(image) float()_x000D_
image tensor   image tensor unsqueeze (0)_x000D_
input   Variable(image tensor)_x000D_
net trace   torch jit trace(model  input)_x000D_
net trace save( out pt )_x000D_
   _x000D_
_x000D_
3  Try to use model in DJL with next criteria:_x000D_
    kotlin_x000D_
val criteria   Criteria builder()_x000D_
         setTypes(_x000D_
            Image::class java _x000D_
            Classifications::class java_x000D_
        )_x000D_
         optModelZoo(DefaultModelZoo(  path to folder with model  ))_x000D_
         optModelName( out pt )_x000D_
         optTranslator(translator)_x000D_
         optProgress(ProgressBar())_x000D_
         build()_x000D_
   _x000D_
_x000D_
Version in build gradle kts:_x000D_
_x000D_
   kotlin_x000D_
_x000D_
implementation( ai djl:api:0 6 0 )_x000D_
runtimeOnly( ai djl pytorch:pytorch engine:0 6 0 )_x000D_
runtimeOnly( ai djl pytorch:pytorch native auto:1 5 0 )_x000D_
   _x000D_
_x000D_
   What have you tried to solve it _x000D_
_x000D_
1  Try to use different version of jvm (openjdk 8  zulu 8 zulu 13)_x000D_
2  Try to use different version of torch (1 6 0  1 4 0)_x000D_
_x000D_
   Environment Info_x000D_
_x000D_
   _x000D_
OS:uname:Darwin 18 7 0 Darwin Kernel Version 18 7 0: Thu Jun 18 20:50:10 PDT 2020  root:xnu 4903 278 43 1 RELEASE X86 64 x86 64_x000D_
rlimit: STACK 8192k  CORE 0k  NPROC 1418  NOFILE 10240  AS infinity  DATA infinity  FSIZE infinity_x000D_
load average:2 75 2 65 2 72_x000D_
_x000D_
CPU:total 8 (initial active 8) (4 cores per cpu  2 threads per core) family 6 model 158 stepping 9  cmov  cx8  fxsr  mmx  sse  sse2  sse3  ssse3  sse4 1  sse4 2  popcnt  avx  avx2  aes  clmul  erms  3dnowpref  lzcnt  ht  tsc  tscinvbit  bmi1  bmi2  adx  fma_x000D_
_x000D_
Memory: 4k page  physical 16777216k(62596k free)  swap 6291456k(874240k free)_x000D_
_x000D_
vm info: OpenJDK 64 Bit Server VM (13 0 1 10 MTS) for bsd amd64 JRE (13 0 1 10 MTS) (Zulu13 28 11 CA)  built on Oct  9 2019 12:07:25 by  zulu re  with clang 4 2 1 Compatible Apple LLVM 9 0 0 (clang 900 0 39 2)_x000D_
   _x000D_
</t>
  </si>
  <si>
    <t>material-components-material-components-android-1577</t>
  </si>
  <si>
    <t>[BottomNavigationView] Long pressing multiple times on same bottom menu item crashes on API 24</t>
  </si>
  <si>
    <t xml:space="preserve">  Description:   Long pressing multiple times on same bottom menu item crashes and reboots the phone on API 24  Checked on Android version 7 0 emulator with Google Play  It also happened on Moto C Plus (same 7 0 version) _x000D_
_x000D_
  Expected behavior:   Should show tooltip irrespective of how many times long press happens_x000D_
_x000D_
  Issue:  _x000D_
  Bottom navigation view   crash (https:  user images githubusercontent com 10187654 89535311 e2d7e780 d813 11ea 9b37 79a3bd28133e gif)_x000D_
_x000D_
_x000D_
  Source code:    Bottom Navigation View Issue zip (https:  github com material components material components android files 5034949 Bottom Navigation View Issue zip)_x000D_
_x000D_
  Crash log  _x000D_
   _x000D_
              beginning of crash_x000D_
A libc: Fatal signal 6 (SIGABRT)  code  6 in tid 24876 (surfaceflinger)_x000D_
A DEBUG:                                                                _x000D_
A DEBUG: Build fingerprint:  google sdk google phone x86 generic x86:7 0 NYC 4409132:user release keys _x000D_
A DEBUG: Revision:  0 _x000D_
A DEBUG: ABI:  x86 _x000D_
A DEBUG: pid: 24876  tid: 24876  name: surfaceflinger       system bin surfaceflinger    _x000D_
A DEBUG: signal 6 (SIGABRT)  code  6 (SI TKILL)  fault addr         _x000D_
A DEBUG:     eax 00000000  ebx 0000612c  ecx 0000612c  edx 00000006_x000D_
A DEBUG:     esi b417058c  edi b4170534_x000D_
A DEBUG:     xcs 00000073  xds 0000007b  xes 0000007b  xfs 00000000  xss 0000007b_x000D_
A DEBUG:     eip b409d424  ebp bf8ab6c8  esp bf8ab66c  flags 00000292_x000D_
A DEBUG: backtrace:_x000D_
A DEBUG:      00 pc ffffe424   vdso:b409d000  (  kernel vsyscall 16)_x000D_
A DEBUG:      01 pc 0007a00c   system lib libc so (tgkill 28)_x000D_
A DEBUG:      02 pc 00075855   system lib libc so (pthread kill 85)_x000D_
A DEBUG:      03 pc 0002782a   system lib libc so (raise 42)_x000D_
A DEBUG:      04 pc 0001ee06   system lib libc so (abort 86)_x000D_
A DEBUG:      05 pc 000097fa   system lib libui so ( ZN7android4Rect8offsetByEii 74)_x000D_
A DEBUG:      06 pc 0000ae5c   system lib libui so ( ZN7android6Region9translateERS0 ii 124)_x000D_
A DEBUG:      07 pc 0000b5d4   system lib libui so ( ZNK7android6Region9translateEii 132)_x000D_
A DEBUG:      08 pc 0002bb25   system lib libsurfaceflinger so_x000D_
A DEBUG:      09 pc 00026716   system lib libsurfaceflinger so_x000D_
A DEBUG:      10 pc 0003d34e   system lib libsurfaceflinger so_x000D_
A DEBUG:      11 pc 0003cc03   system lib libsurfaceflinger so_x000D_
A DEBUG:      12 pc 0003cb10   system lib libsurfaceflinger so_x000D_
A DEBUG:      13 pc 00028d35   system lib libsurfaceflinger so_x000D_
A DEBUG:      14 pc 0001922b   system lib libutils so ( ZN7android6Looper9pollInnerEi 1003)_x000D_
A DEBUG:      15 pc 00018d74   system lib libutils so ( ZN7android6Looper8pollOnceEiPiS1 PPv 68)_x000D_
A DEBUG:      16 pc 0002913b   system lib libsurfaceflinger so_x000D_
A DEBUG:      17 pc 0003c3e7   system lib libsurfaceflinger so ( ZN7android14SurfaceFlinger3runEv 39)_x000D_
A DEBUG:      18 pc 00000f81   system bin surfaceflinger_x000D_
A DEBUG:      19 pc 000152fc   system lib libc so (  libc init 108)_x000D_
A DEBUG:      20 pc 00000c5c   system bin surfaceflinger_x000D_
W NativeCrashListener: Couldn t find ProcessRecord for pid 24876_x000D_
   _x000D_
 Attached full logs from logcat when the issue happened here (https:  github com material components material components android files 5034939 Bottom navigation view crash txt)_x000D_
_x000D_
_x000D_
  Android API version:   24_x000D_
_x000D_
  Material Library version:   1 2 0 (happens on older versions too)_x000D_
_x000D_
  Device:   Emulator with Google Play   Android version 7 0_x000D_
</t>
  </si>
  <si>
    <t>material-components-material-components-android-1571</t>
  </si>
  <si>
    <t>[TextView] Crash when using custom style</t>
  </si>
  <si>
    <t xml:space="preserve">  Description:  _x000D_
I am facing a crash at  TextView  after update my Material Android Library to version  1 2 0  from  1 1 0  _x000D_
  Error Code:   _x000D_
   _x000D_
Error inflating class TextView_x000D_
Caused by: java lang IllegalArgumentException: Font  path null  style FontStyle   weight 400  slant 0   ttcIndex 0  axes   localeList   buffer java nio DirectByteBuffer pos 0 lim 433584 cap 433584   has already been added_x000D_
   _x000D_
  Source code:   _x000D_
This is my  TextView  element _x000D_
   _x000D_
 TextView_x000D_
    android:id    id dashboardMessageTV _x000D_
    android:layout width  match parent _x000D_
    android:layout height  wrap content _x000D_
    android:background   FFF3EF _x000D_
    android:drawableStart   drawable ic info _x000D_
    android:drawablePadding  4dp _x000D_
    android:gravity  start center vertical _x000D_
    android:paddingStart  4dp _x000D_
    android:paddingTop  8dp _x000D_
    android:paddingEnd  4dp _x000D_
    android:paddingBottom  8dp _x000D_
    android:textAlignment  gravity _x000D_
    android:textAppearance   style CustomTextParagraph _x000D_
    android:visibility  gone _x000D_
    app:layout constraintEnd toEndOf  parent _x000D_
    app:layout constraintStart toStartOf  parent    _x000D_
   _x000D_
And this is my  CustomTextParagraph  style _x000D_
   _x000D_
 style name  CustomTextParagraph  parent   android:style TextAppearance Small  _x000D_
     item name  android:textStyle  normal  item _x000D_
     item name  android:fontFamily   font sf pro  item _x000D_
     item name  android:textColor   color darkGray  item _x000D_
  style _x000D_
   _x000D_
This is my theme parent _x000D_
   _x000D_
 style name  AppTheme  parent  Theme MaterialComponents Light NoActionBar  _x000D_
   _x000D_
  Android API version:   _x000D_
Android 10 (API level 29)_x000D_
_x000D_
  Material Library version:   _x000D_
 implementation  com google android material:material:1 2 0  _x000D_
_x000D_
  Device:   _x000D_
Xiao Mi 9_x000D_
</t>
  </si>
  <si>
    <t>nextcloud-android-6657</t>
  </si>
  <si>
    <t xml:space="preserve"> When using collabora, the app crashes and restarts.</t>
  </si>
  <si>
    <t xml:space="preserve">    Steps to reproduce_x000D_
1  Android logs in to nextcloud _x000D_
_x000D_
2  Use collabora to open office documents _x000D_
_x000D_
3  Nextcloud app crashes and restarts _x000D_
_x000D_
    Expected behaviour_x000D_
_x000D_
Open and edit office documents as if you were using a computer browser _x000D_
_x000D_
    Actual behaviour_x000D_
Nextcloud app crashes and restarts _x000D_
_x000D_
    Can you reproduce this problem on https:  try nextcloud com _x000D_
_x000D_
Server not found in app _x000D_
_x000D_
    Environment data_x000D_
Android version:_x000D_
5 1_x000D_
_x000D_
Device model: _x000D_
customized _x000D_
_x000D_
Stock or customized system:_x000D_
customized _x000D_
_x000D_
Nextcloud app version:_x000D_
Nextcloud android 3 13 0 RC3_x000D_
Nextcloud android 3 13 0 RC1_x000D_
_x000D_
Nextcloud server version:_x000D_
19 0 0   in docker_x000D_
_x000D_
Reverse proxy:_x000D_
nginx 1 18 0 in docker _x000D_
_x000D_
    Logs_x000D_
     Web server error log_x000D_
   _x000D_
Insert your webserver log here_x000D_
   _x000D_
10 99 108 229      06 Aug 2020:07:14:25  0000   GET  index php 204 HTTP 1 0  204 0      Mozilla 5 0 (Android) Nextcloud android 3 13 0 RC3   10 99 108 229 _x000D_
10 99 108 229      06 Aug 2020:07:14:35  0000   GET  index php 204 HTTP 1 0  204 0      Mozilla 5 0 (Android) Nextcloud android 3 13 0 RC3   10 99 108 229 _x000D_
10 99 108 229    xE7 x94 xB5 xE8 x8C xB6 xE7 x82 x89 xE7 xBB x84  06 Aug 2020:07:14:38  0000   GET  status php HTTP 1 0  200 171      Mozilla 5 0 (Android) Nextcloud android 3 13 0 RC3   10 99 108 229 _x000D_
10 99 108 229    xE7 x94 xB5 xE8 x8C xB6 xE7 x82 x89 xE7 xBB x84  06 Aug 2020:07:14:39  0000   GET  ocs v2 php cloud capabilities format json HTTP 1 0  304 0      Mozilla 5 0 (Android) Nextcloud android 3 13 0 RC3   10 99 108 229 _x000D_
10 99 108 229    xE7 x94 xB5 xE8 x8C xB6 xE7 x82 x89 xE7 xBB x84  06 Aug 2020:07:14:39  0000   GET  ocs v1 php cloud user format json HTTP 1 0  200 657      Mozilla 5 0 (Android) Nextcloud android 3 13 0 RC3   10 99 108 229 _x000D_
10 99 108 229    xE7 x94 xB5 xE8 x8C xB6 xE7 x82 x89 xE7 xBB x84  06 Aug 2020:07:14:40  0000   GET  ocs v1 php cloud user format json HTTP 1 0  200 657      Mozilla 5 0 (Android) Nextcloud android 3 13 0 RC3   10 99 108 229 _x000D_
10 99 108 229    xE7 x94 xB5 xE8 x8C xB6 xE7 x82 x89 xE7 xBB x84  06 Aug 2020:07:14:41  0000   PROPFIND  remote php webdav  HTTP 1 0  207 829      Mozilla 5 0 (Android) Nextcloud android 3 13 0 RC3   10 99 108 229 _x000D_
10 99 108 229    xE7 x94 xB5 xE8 x8C xB6 xE7 x82 x89 xE7 xBB x84  06 Aug 2020:07:14:44  0000   PROPFIND  remote php webdav  HTTP 1 0  207 2193      Mozilla 5 0 (Android) Nextcloud android 3 13 0 RC3   10 99 108 229 _x000D_
10 99 108 229    xE7 x94 xB5 xE8 x8C xB6 xE7 x82 x89 xE7 xBB x84  06 Aug 2020:07:14:45  0000   GET  ocs v2 php apps files sharing api v1 shares path  2F reshares true subfiles true HTTP 1 0  200 1282      Mozilla 5 0 (Android) Nextcloud android 3 13 0 RC3   10 99 108 229 _x000D_
10 99 108 229    xE7 x94 xB5 xE8 x8C xB6 xE7 x82 x89 xE7 xBB x84  06 Aug 2020:07:14:49  0000   GET  ocs v1 php cloud user format json HTTP 1 0  200 657      Mozilla 5 0 (Android) Nextcloud android 3 13 0 RC3   10 99 108 229 _x000D_
10 99 108 229    xE7 x94 xB5 xE8 x8C xB6 xE7 x82 x89 xE7 xBB x84  06 Aug 2020:07:14:49  0000   POST  ocs v2 php apps richdocuments api v1 document format json HTTP 1 0  200 201      Mozilla 5 0 (Android) Nextcloud android 3 13 0 RC3   10 99 108 229 _x000D_
10 99 108 229      06 Aug 2020:07:14:50  0000   GET  apps richdocuments direct RdyzK3FsNFFeCbeW5zC1zPlefSZ8Ar1Sprf56YOKNLUKPJoRBWngNIhnRa494dU0 HTTP 1 0  200 5900      Mozilla 5 0 (Android) Nextcloud android 3 13 0 RC3   10 99 108 229 _x000D_
10 99 108 229      06 Aug 2020:07:14:50  0000   GET  core js oc js v 6b0babb0 HTTP 1 0  200 8948  http:  yun zzcld local apps richdocuments direct RdyzK3FsNFFeCbeW5zC1zPlefSZ8Ar1Sprf56YOKNLUKPJoRBWngNIhnRa494dU0   Mozilla 5 0 (Android) Nextcloud android 3 13 0 RC3   10 99 108 229 _x000D_
10 99 108 229      06 Aug 2020:07:14:53  0000   GET  apps theming js theming v 0 HTTP 1 0  200 275  http:  yun zzcld local apps richdocuments direct RdyzK3FsNFFeCbeW5zC1zPlefSZ8Ar1Sprf56YOKNLUKPJoRBWngNIhnRa494dU0   Mozilla 5 0 (Android) Nextcloud android 3 13 0 RC3   10 99 108 229 _x000D_
10 99 108 229      06 Aug 2020:07:14:55  0000   GET  apps accessibility js accessibility v 0 HTTP 1 0  200 85  http:  yun zzcld local apps richdocuments direct RdyzK3FsNFFeCbeW5zC1zPlefSZ8Ar1Sprf56YOKNLUKPJoRBWngNIhnRa494dU0   Mozilla 5 0 (Android) Nextcloud android 3 13 0 RC3   10 99 108 229 _x000D_
10 99 108 229      06 Aug 2020:07:15:03  0000   GET  cron php HTTP 1 0  200 20  http:  yun zzcld local apps richdocuments direct RdyzK3FsNFFeCbeW5zC1zPlefSZ8Ar1Sprf56YOKNLUKPJoRBWngNIhnRa494dU0   Mozilla 5 0 (Android) Nextcloud android 3 13 0 RC3   10 99 108 229 _x000D_
10 99 108 229      06 Aug 2020:07:15:06  0000   GET  index php 204 HTTP 1 0  204 0      Mozilla 5 0 (Android) Nextcloud android 3 13 0 RC3   10 99 108 229 _x000D_
10 99 108 229      06 Aug 2020:07:15:07  0000   GET  index php 204 HTTP 1 0  204 0      Mozilla 5 0 (Android) Nextcloud android 3 13 0 RC3   10 99 108 229 _x000D_
10 99 108 229    xE7 x94 xB5 xE8 x8C xB6 xE7 x82 x89 xE7 xBB x84  06 Aug 2020:07:15:11  0000   GET  ocs v1 php cloud user format json HTTP 1 0  200 657      Mozilla 5 0 (Android) Nextcloud android 3 13 0 RC3   10 99 108 229 _x000D_
10 99 108 229      06 Aug 2020:07:15:11  0000   GET  index php 204 HTTP 1 0  204 0      Mozilla 5 0 (Android) Nextcloud android 3 13 0 RC3   10 99 108 229 _x000D_
10 99 108 229      06 Aug 2020:07:15:11  0000   GET  index php 204 HTTP 1 0  204 0      Mozilla 5 0 (Android) Nextcloud android 3 13 0 RC3   10 99 108 229 _x000D_
10 99 108 229    xE7 x94 xB5 xE8 x8C xB6 xE7 x82 x89 xE7 xBB x84  06 Aug 2020:07:15:11  0000   GET  status php HTTP 1 0  200 171      Mozilla 5 0 (Android) Nextcloud android 3 13 0 RC3   10 99 108 229 _x000D_
10 99 108 229      06 Aug 2020:07:15:13  0000   GET  index php 204 HTTP 1 0  204 0      Mozilla 5 0 (Android) Nextcloud android 3 13 0 RC3   10 99 108 229 _x000D_
10 99 108 229      06 Aug 2020:07:15:14  0000   GET  index php 204 HTTP 1 0  204 0      Mozilla 5 0 (Android) Nextcloud android 3 13 0 RC3   10 99 108 229 _x000D_
10 99 108 229    xE7 x94 xB5 xE8 x8C xB6 xE7 x82 x89 xE7 xBB x84  06 Aug 2020:07:15:16  0000   GET  status php HTTP 1 0  200 171      Mozilla 5 0 (Android) Nextcloud android 3 13 0 RC3   10 99 108 229 _x000D_
10 99 108 229    xE7 x94 xB5 xE8 x8C xB6 xE7 x82 x89 xE7 xBB x84  06 Aug 2020:07:15:16  0000   GET  status php HTTP 1 0  200 171      Mozilla 5 0 (Android) Nextcloud android 3 13 0 RC3   10 99 108 229 _x000D_
10 99 108 229    xE7 x94 xB5 xE8 x8C xB6 xE7 x82 x89 xE7 xBB x84  06 Aug 2020:07:15:16  0000   GET  ocs v2 php cloud capabilities format json HTTP 1 0  304 0      Mozilla 5 0 (Android) Nextcloud android 3 13 0 RC3   10 99 108 229 _x000D_
10 99 108 229    xE7 x94 xB5 xE8 x8C xB6 xE7 x82 x89 xE7 xBB x84  06 Aug 2020:07:15:16  0000   GET  ocs v2 php cloud capabilities format json HTTP 1 0  304 0      Mozilla 5 0 (Android) Nextcloud android 3 13 0 RC3   10 99 108 229 _x000D_
10 99 108 229    xE7 x94 xB5 xE8 x8C xB6 xE7 x82 x89 xE7 xBB x84  06 Aug 2020:07:15:16  0000   GET  ocs v1 php cloud user format json HTTP 1 0  200 657      Mozilla 5 0 (Android) Nextcloud android 3 13 0 RC3   10 99 108 229 _x000D_
10 99 108 229    xE7 x94 xB5 xE8 x8C xB6 xE7 x82 x89 xE7 xBB x84  06 Aug 2020:07:15:16  0000   GET  ocs v1 php cloud user format json HTTP 1 0  200 657      Mozilla 5 0 (Android) Nextcloud android 3 13 0 RC3   10 99 108 229 _x000D_
10 99 108 229    xE7 x94 xB5 xE8 x8C xB6 xE7 x82 x89 xE7 xBB x84  06 Aug 2020:07:15:17  0000   PROPFIND  remote php webdav  HTTP 1 0  207 829      Mozilla 5 0 (Android) Nextcloud android 3 13 0 RC3   10 99 108 229 _x000D_
10 99 108 229    xE7 x94 xB5 xE8 x8C xB6 xE7 x82 x89 xE7 xBB x84  06 Aug 2020:07:15:17  0000   PROPFIND  remote php webdav  HTTP 1 0  207 829      Mozilla 5 0 (Android) Nextcloud android 3 13 0 RC3   10 99 108 229 _x000D_
10 99 108 229      06 Aug 2020:07:15:18  0000   GET  index php 204 HTTP 1 0  204 0      Mozilla 5 0 (Android) Nextcloud android 3 13 0 RC3   10 99 108 229 _x000D_
10 99 108 229    xE7 x94 xB5 xE8 x8C xB6 xE7 x82 x89 xE7 xBB x84  06 Aug 2020:07:15:19  0000   PROPFIND  remote php webdav  HTTP 1 0  207 2193      Mozilla 5 0 (Android) Nextcloud android 3 13 0 RC3   10 99 108 229 _x000D_
10 99 108 229    xE7 x94 xB5 xE8 x8C xB6 xE7 x82 x89 xE7 xBB x84  06 Aug 2020:07:15:19  0000   PROPFIND  remote php webdav  HTTP 1 0  207 2193      Mozilla 5 0 (Android) Nextcloud android 3 13 0 RC3   10 99 108 229 _x000D_
10 99 108 229    xE7 x94 xB5 xE8 x8C xB6 xE7 x82 x89 xE7 xBB x84  06 Aug 2020:07:15:19  0000   GET  ocs v2 php apps files sharing api v1 shares path  2F reshares true subfiles true HTTP 1 0  200 1282      Mozilla 5 0 (Android) Nextcloud android 3 13 0 RC3   10 99 108 229 _x000D_
10 99 108 229    xE7 x94 xB5 xE8 x8C xB6 xE7 x82 x89 xE7 xBB x84  06 Aug 2020:07:15:20  0000   GET  ocs v2 php apps files sharing api v1 shares path  2F reshares true subfiles true HTTP 1 0  200 1282      Mozilla 5 0 (Android) Nextcloud android 3 13 0 RC3   10 99 108 229 _x000D_
10 99 108 229    xE7 x94 xB5 xE8 x8C xB6 xE7 x82 x89 xE7 xBB x84  06 Aug 2020:07:15:21  0000   GET  ocs v2 php cloud capabilities format json HTTP 1 0  304 0      Mozilla 5 0 (Android) Nextcloud android 3 13 0 RC3   10 99 108 229 _x000D_
10 99 108 229    xE7 x94 xB5 xE8 x8C xB6 xE7 x82 x89 xE7 xBB x84  06 Aug 2020:07:15:22  0000   GET  ocs v1 php cloud user format json HTTP 1 0  200 657      Mozilla 5 0 (Android) Nextcloud android 3 13 0 RC3   10 99 108 229 _x000D_
10 99 108 229    xE7 x94 xB5 xE8 x8C xB6 xE7 x82 x89 xE7 xBB x84  06 Aug 2020:07:15:22  0000   PROPFIND  remote php webdav  HTTP 1 0  207 829      Mozilla 5 0 (Android) Nextcloud android 3 13 0 RC3   10 99 108 229 _x000D_
10 99 108 229    xE7 x94 xB5 xE8 x8C xB6 xE7 x82 x89 xE7 xBB x84  06 Aug 2020:07:15:22  0000   PROPFIND  remote php webdav  HTTP 1 0  207 2193      Mozilla 5 0 (Android) Nextcloud android 3 13 0 RC3   10 99 108 229 _x000D_
10 99 108 229    xE7 x94 xB5 xE8 x8C xB6 xE7 x82 x89 xE7 xBB x84  06 Aug 2020:07:15:22  0000   GET  ocs v2 php apps files sharing api v1 shares path  2F reshares true subfiles true HTTP 1 0  200 1282      Mozilla 5 0 (Android) Nextcloud android 3 13 0 RC3   10 99 108 229 _x000D_
10 99 108 229      06 Aug 2020:07:15:23  0000   GET  index php 204 HTTP 1 0  204 0      Mozilla 5 0 (Android) Nextcloud android 3 13 0 RC3   10 99 108 229 _x000D_
_x000D_
_x000D_
     Nextcloud log (data nextcloud log)_x000D_
   _x000D_
Insert your Nextcloud log here_x000D_
   _x000D_
not log about this client _x000D_
_x000D_
</t>
  </si>
  <si>
    <t>TeamNewPipe-NewPipe-4083</t>
  </si>
  <si>
    <t>NewPipe won't start after crash (if ACRA is disabled)</t>
  </si>
  <si>
    <t xml:space="preserve">   ACRA  : Application Crash Reports for Android  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1  Disable crash reports using Warden app _x000D_
2  Do something that makes NewPipe crash _x000D_
3  Try to re open NewPipe _x000D_
4  NewPipe keeps closing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I think NewPipe should be able to start  even if crash reports are disabled _x000D_
_x000D_
    Actual behaviour_x000D_
     Tell us what happens instead     _x000D_
_x000D_
NewPipe keeps closing  right after starting it _x000D_
_x000D_
    Context_x000D_
_x000D_
Of course  crash reports helps debugging and improving the app  Although  I don t think  starting  should require ACRA  at all _x000D_
_x000D_
I don t know if this is a good practice  but: what if there were a place for logs  under settings _x000D_
_x000D_
In this way  people would be able to browse a history of crash reports and report whenever they feel like _x000D_
_x000D_
In cases where NewPipe crashes right after starting (making it impossible to reach logs history)  people could always:_x000D_
_x000D_
  re enable crash reports for NewPipe _x000D_
  download a third party app  for reading it </t>
  </si>
  <si>
    <t>defold-extension-iap-26</t>
  </si>
  <si>
    <t>Crash app on free() empty static string</t>
  </si>
  <si>
    <t>https:  github com defold extension iap blob ecbc807978078d2ba62973566b7c25e11c8baec9 extension iap src iap ios mm L128_x000D_
_x000D_
_x000D_
In  IAP FreeProduct  on free title or description (which defined with     )  application will crash</t>
  </si>
  <si>
    <t>Anuken-Mindustry-2316</t>
  </si>
  <si>
    <t>Sometimes people get stuck in the transformation mech pads.</t>
  </si>
  <si>
    <t xml:space="preserve">  Platform  : Windows_x000D_
_x000D_
  Build  : Steam build 104 10_x000D_
_x000D_
  Issue  : I was normally playing  then I died and ended up getting trapped in the transformation mech pad _x000D_
_x000D_
  Steps to reproduce  : I was playing like normal  nothing unusual and doing defence stuff  then I died and I couldn t escape unless I rejoined  got into another mech pad  or someone saves me  This bug seems to happen when you are suffering in decently high ping  If it does happen then you can t escape afterwards even with 1 ping _x000D_
Sadly this is pretty hard to reproduce due to be being ping based and I cannot provide a screenshot _x000D_
_x000D_
  Link to mod(s) used  if applicable  : None  although mods that do have transformation mech pads suffer from this too _x000D_
_x000D_
  Crash report  if applicable  : This isn t a crashing bug _x000D_
_x000D_
   _x000D_
_x000D_
 Place an X (no spaces) between the brackets to confirm that you have read the line below    _x000D_
   x    I have searched the closed and open issues to make sure that this problem has not already been reported   _x000D_
</t>
  </si>
  <si>
    <t>Anuken-Mindustry-2315</t>
  </si>
  <si>
    <t>9189 may be bug with location</t>
  </si>
  <si>
    <t xml:space="preserve">  Platform  :  Windows 10 _x000D_
_x000D_
  Build  :  9189  _x000D_
_x000D_
  Issue  :  ice forest inctead start point  and I can not launch core _x000D_
_x000D_
  Steps to reproduce  :  may be one reason is that I captured 3rd location without any fight  or after reinstalling to 9189 _x000D_
_x000D_
  Link to mod(s) used  if applicable  :  without any mods _x000D_
_x000D_
  Crash report  if applicable  :  _x000D_
 crash report 08 02 2020 22 18 49 txt (https:  github com Anuken Mindustry files 5027637 crash report 08 02 2020 22 18 49 txt)_x000D_
 crash report 07 31 2020 14 47 49 txt (https:  github com Anuken Mindustry files 5027638 crash report 07 31 2020 14 47 49 txt)_x000D_
 crash report 07 31 2020 14 49 35 txt (https:  github com Anuken Mindustry files 5027639 crash report 07 31 2020 14 49 35 txt)_x000D_
 crash report 07 31 2020 14 49 59 txt (https:  github com Anuken Mindustry files 5027640 crash report 07 31 2020 14 49 59 txt)_x000D_
 crash report 08 02 2020 22 17 59 txt (https:  github com Anuken Mindustry files 5027641 crash report 08 02 2020 22 17 59 txt)_x000D_
_x000D_
do need saves _x000D_
_x000D_
_x000D_
  _x000D_
_x000D_
_x000D_
 Place an X (no spaces) between the brackets to confirm that you have read the line below    _x000D_
   x     I have searched the closed and open issues to make sure that this problem has not already been reported   _x000D_
</t>
  </si>
  <si>
    <t>Blankj-AndroidUtilCode-1293</t>
  </si>
  <si>
    <t>SpanUtils.setClickSpan设置图片点击后背景颜色异常，如何设置</t>
  </si>
  <si>
    <t>TeamNewPipe-NewPipe-4078</t>
  </si>
  <si>
    <t>Over 100% Download status, more than the video's size</t>
  </si>
  <si>
    <t xml:space="preserve">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Newpipe V  0 19 8_x000D_
_x000D_
    Steps to reproduce the bug_x000D_
    _x000D_
1  Go to Newpipe and launch it_x000D_
2  Press on search any videos  or click on any in the main menu _x000D_
3  Press any videos (here you need to download them)_x000D_
4  Click the download button (I m not sure if this persist on lower resolution downloads  But it happened to me   360p to  1080p resolution ) Download  1080p resolution video _x000D_
5  Click download I m using mobile data _x000D_
6  While downloading use other application thereby moving Newpipe to background  And if you have a slow connection this might persist  I experienced this   120 250KBps speed _x000D_
7  When the download stops pause without user interaction even there s internet connection (assuming you still have data balance) the possibility of this bug appearing increases _x000D_
8  After the download reaches 100  hopefully (I think this bug is hard to reproduce) it will not stop and just go over a 100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1  Instead of transcribing the downloaded  video Newpipe will continue to download over  Eg  The video size is 100MB but when this happens Newpipe will still continue to use data connection and still download   160MB or so  (You can actually see it on the screenshot  )_x000D_
2  The downloaded file will get corrupt sometimes loss of metadata or IRR _x000D_
    Actual behaviour_x000D_
     Tell us what happens instead     _x000D_
1  Newpipe forgot that it goes over the expected size and percentage _x000D_
2  Even the video goes over 100  download status  you can go to file manager and you ll still able to play the video perfectly  (I Still didn t know if Newpipe given enough time will overwrite the downloaded video)_x000D_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 08 05 08 03 23 86 (https:  user images githubusercontent com 50725388 89361071 df057180 d6fc 11ea 9f0e af8fae59647d png)_x000D_
_x000D_
   My Notes_x000D_
I thought this bug only persist on the early Newpipe debug application V  0 19 8 but it s not it is still on official 0 19 8 application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</si>
  <si>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Anuken-Mindustry-2312</t>
  </si>
  <si>
    <t>Wave didn't launch</t>
  </si>
  <si>
    <t xml:space="preserve">  Platform  :  Windows _x000D_
_x000D_
  Build  :  BE 9186 _x000D_
_x000D_
  Issue  :  I tried launching a wave to test meltdown  but a crash appeared  _x000D_
_x000D_
  Steps to reproduce  :  Enter a map and launch wave _x000D_
_x000D_
  Link to mod(s) used  if applicable  :  Only a texturepack w o content  If needed  BasedUser MindustryClassicified  _x000D_
_x000D_
  Crash report  if applicable  :  java lang NullPointerException_x000D_
	at mindustry ai WaveSpawner spawnEnemies(WaveSpawner java:46)_x000D_
	at mindustry core Logic runWave(Logic java:179)_x000D_
	at mindustry core Logic update(Logic java:359)_x000D_
	at arc ApplicationCore update(ApplicationCore java:36)_x000D_
	at mindustry ClientLauncher update(ClientLauncher java:149)_x000D_
	at arc backend sdl SdlApplication listen(SdlApplication java:170)_x000D_
	at arc backend sdl SdlApplication loop(SdlApplication java:158)_x000D_
	at arc backend sdl SdlApplication  init (SdlApplication java:52)_x000D_
	at mindustry desktop DesktopLauncher main(DesktopLauncher java:36)_x000D_
 _x000D_
_x000D_
   _x000D_
_x000D_
 Place an X (no spaces) between the brackets to confirm that you have read the line below    _x000D_
   X    I have searched the closed and open issues to make sure that this problem has not already been reported   _x000D_
</t>
  </si>
  <si>
    <t>Anuken-Mindustry-2311</t>
  </si>
  <si>
    <t>Visual Water Unit Glitch</t>
  </si>
  <si>
    <t xml:space="preserve">  Platform  :  Android iOS Mac Windows Linux _x000D_
Running on Chromebook  so Linux_x000D_
  Build  :  The build number under the title in the main menu  Required  _x000D_
BE 9185_x000D_
  Issue  :  Explain your issue in detail  _x000D_
Visual glitch with water units: water trails instantaneously appear across map upon pickup and dropoff by a payload carrying unit _x000D_
  Steps to reproduce  :  How you happened across the issue  and what you were doing at the time  _x000D_
Use the Mega  pick up any water unit (I happened to use a Bryde)  plop it down in another body of water some distance away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</si>
  <si>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nextcloud-android-6638</t>
  </si>
  <si>
    <t>App crashes when trying to move files to different folder</t>
  </si>
  <si>
    <t xml:space="preserve">    Steps to reproduce_x000D_
1  Select files_x000D_
2  Click move_x000D_
3  Click on folder in the folder picking overview_x000D_
_x000D_
    Expected behaviour_x000D_
  The selected folder should be displayed_x000D_
_x000D_
    Actual behaviour_x000D_
  The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10_x000D_
_x000D_
Device model: OnePlus 6_x000D_
_x000D_
Stock or customized system: Stock_x000D_
_x000D_
Nextcloud app version: 3 13 0 RC2_x000D_
_x000D_
Nextcloud server version:_x000D_
_x000D_
Reverse proxy:_x000D_
_x000D_
    Logs_x000D_
     Web server error log_x000D_
   _x000D_
Insert your webserver log here_x000D_
   _x000D_
_x000D_
     Nextcloud log (data nextcloud log)_x000D_
   _x000D_
             CAUSE OF ERROR             _x000D_
_x000D_
java lang ClassCastException: com owncloud android ui activity FolderPickerActivity cannot be cast to com owncloud android ui activity FileDisplayActivity_x000D_
	at com owncloud android ui fragment OCFileListFragment resetHeaderScrollingState(OCFileListFragment java:1867)_x000D_
	at com owncloud android ui fragment OCFileListFragment onItemClicked(OCFileListFragment java:906)_x000D_
	at com owncloud android ui adapter OCFileListAdapter lambda onBindViewHolder 1 OCFileListAdapter(OCFileListAdapter java:379)_x000D_
	at com owncloud android ui adapter    Lambda OCFileListAdapter pouWgEOOHT1aDFHaHM0Ifm3xWtY onClick(Unknown Source:4)_x000D_
	at android view View performClick(View java:7201)_x000D_
	at android view View performClickInternal(View java:7170)_x000D_
	at android view View access 3500(View java:806)_x000D_
	at android view View PerformClick run(View java:27562)_x000D_
	at android os Handler handleCallback(Handler java:883)_x000D_
	at android os Handler dispatchMessage(Handler java:100)_x000D_
	at android os Looper loop(Looper java:214)_x000D_
	at android app ActivityThread main(ActivityThread java:7643)_x000D_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30130052_x000D_
Build flavor: gplay_x000D_
_x000D_
             DEVICE INFORMATION             _x000D_
Brand: OnePlus_x000D_
Device: OnePlus6_x000D_
Model: ONEPLUS A6003_x000D_
Id: QKQ1 190716 003_x000D_
Product: OnePlus6_x000D_
_x000D_
             FIRMWARE             _x000D_
SDK: 29_x000D_
Release: 10_x000D_
Incremental: 2003192339_x000D_
_x000D_
   _x000D_
  NOTE:   Be super sure to remove sensitive data like passwords  note that everybody can look here  You can use the Issue Template application to prefill some of the required information: https:  apps nextcloud com apps issuetemplate_x000D_
</t>
  </si>
  <si>
    <t>TeamNewPipe-NewPipe-4074</t>
  </si>
  <si>
    <t>can't import from file</t>
  </si>
  <si>
    <t>Anuken-Mindustry-2307</t>
  </si>
  <si>
    <t>Mods can't use Mathf.random</t>
  </si>
  <si>
    <t xml:space="preserve">  Platform  : Android_x000D_
_x000D_
  Build  : BE 9171_x000D_
_x000D_
  Issue  : Using  Mathf random(1)  causes a crash_x000D_
_x000D_
  Steps to reproduce  :_x000D_
1   Mathf random(1) _x000D_
_x000D_
  Link to mod(s) used  if applicable  : F8_x000D_
_x000D_
  Crash report  if applicable  :  Java class  arc math Mathf  has no public instance field or method named    noSuchMethod     _x000D_
_x000D_
   _x000D_
_x000D_
 Place an X (no spaces) between the brackets to confirm that you have read the line below    _x000D_
   X    I have searched the closed and open issues to make sure that this problem has not already been reported   _x000D_
</t>
  </si>
  <si>
    <t>Anuken-Mindustry-2303</t>
  </si>
  <si>
    <t>Visual Glitch, Mechanical Drill</t>
  </si>
  <si>
    <t xml:space="preserve">  Platform  : Windows_x000D_
_x000D_
  Build  : 104 10_x000D_
_x000D_
  Issue  : A minor visual Glitch  A mechanical drill that  was  producing  Thorium  I can click the thorium and it gets transfered to my ships inventory then imedietely goes from 1 to 0  The Thorium does not stop at 10 and if the Thorium exceeds 10 the drill mining animation stops _x000D_
_x000D_
  Steps to reproduce  : i had a mechanical drill on copper ore  a bridge connecting it from the left(I tried it with a titanium conveyer belt and it still showed up)  i looked at the other drills and it did not have this issue  I saw this at 163 25 coordinate on the  Walls are Flood  Attack  map  i deleted the drill and rebuilt it at the same spot and it still  produced  thorium  _x000D_
  Glitch (https:  user images githubusercontent com 69161607 89206833 1e777500 d5ba 11ea 9961 92bc1e14af47 PNG)_x000D_
_x000D_
_x000D_
  Link to mod(s) used  if applicable  : N A_x000D_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</si>
  <si>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Blankj-AndroidUtilCode-1291</t>
  </si>
  <si>
    <t>ServiceUtils isServiceRunning 部分机型抛出 android.os.DeadSystemException</t>
  </si>
  <si>
    <t xml:space="preserve">      Bug_x000D_
_x000D_
       Bug _x000D_
_x000D_
  AndroidUtilCode         ( 1 29 0)_x000D_
     Bug       samsung SM G960F(s9)   samsung Note9          _x000D_
      Android    Android 9_x000D_
_x000D_
       _x000D_
_x000D_
       _x000D_
   java_x000D_
CrashUtils init() _x000D_
   _x000D_
   _x000D_
   _x000D_
ServiceUtils isServiceRunning(xxxx class getName())_x000D_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android os DeadSystemException_x000D_
 Caused by: java lang RuntimeException: android os DeadSystemException_x000D_
	at android app ActivityManager getRunningServices(ActivityManager java:2696)_x000D_
	at xxxx ServiceUtils isServiceRunning(SourceFile:2)_x000D_
	at xxxxx xxxxx x handleMessage(SourceFile:5)_x000D_
	at android os Handler dispatchMessage(Handler java:107)_x000D_
	at android os Looper loop(Looper java:237)_x000D_
	at android app ActivityThread main(ActivityThread java:8125)_x000D_
	at java lang reflect Method invoke(Native Method)_x000D_
	at com android internal os RuntimeInit MethodAndArgsCaller run(RuntimeInit java:496)_x000D_
	at com android internal os ZygoteInit main(ZygoteInit java:1100)_x000D_
   _x000D_
_x000D_
     _x000D_
_x000D_
                    _x000D_
_x000D_
_x000D_
       _x000D_
_x000D_
  catch          crash</t>
  </si>
  <si>
    <t>Anuken-Mindustry-2302</t>
  </si>
  <si>
    <t>Another bug report.</t>
  </si>
  <si>
    <t xml:space="preserve">  Platform  :  Android _x000D_
_x000D_
  Build  :  9162 BE _x000D_
_x000D_
  Issue  :  Scatter fired at control ship and control ship not respawning _x000D_
_x000D_
  Steps to reproduce  :  Unsure as to how _x000D_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</si>
  <si>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TeamNewPipe-NewPipe-4060</t>
  </si>
  <si>
    <t>Expandable player with unified UI ANDROID 4.4.4 crash normale player</t>
  </si>
  <si>
    <t xml:space="preserve">When i click play on normal player app crash  but popup player work and music player work :( i have find this problem because now i have try apk with last change  (I test sponsorblock apk)_x000D_
   Exception_x000D_
    User Action:   ui error_x000D_
    Request:   App crash  UI failure_x000D_
    Content Country:   IT_x000D_
    Content Language:   it IT_x000D_
    App Language:   it IT_x000D_
    Service:   none_x000D_
    Version:   0 19 8_x000D_
    OS:   Linux Android 4 4 4   19_x000D_
 details  summary  b Crash log   b   summary  p _x000D_
_x000D_
   _x000D_
java lang NoClassDefFoundError: java util Objects_x000D_
	at org schabi newpipe fragments detail VideoDetailFragment openMainPlayer(VideoDetailFragment java:1180)_x000D_
	at org schabi newpipe fragments detail VideoDetailFragment lambda dAtumQzji3VV2MwKInn8YF6nNs8(VideoDetailFragment java)_x000D_
	at org schabi newpipe fragments detail    Lambda VideoDetailFragment dAtumQzji3VV2MwKInn8YF6nNs8 run(lambda)_x000D_
	at org schabi newpipe fragments detail VideoDetailFragment replaceQueueIfUserConfirms(VideoDetailFragment java:2101)_x000D_
	at org schabi newpipe fragments detail VideoDetailFragment openVideoPlayer(VideoDetailFragment java:1148)_x000D_
	at org schabi newpipe fragments detail VideoDetailFragment access 1400(VideoDetailFragment java:133)_x000D_
	at org schabi newpipe fragments detail VideoDetailFragment 1 onServiceConnected(VideoDetailFragment java:311)_x000D_
	at android app LoadedApk ServiceDispatcher doConnected(LoadedApk java:1131)_x000D_
	at android app LoadedApk ServiceDispatcher RunConnection run(LoadedApk java:1148)_x000D_
	at android os Handler handleCallback(Handler java:725)_x000D_
	at android os Handler dispatchMessage(Handler java:92)_x000D_
	at android os Looper loop(Looper java:153)_x000D_
	at android app ActivityThread main(ActivityThread java:5297)_x000D_
	at java lang reflect Method invokeNative(Native Method)_x000D_
	at java lang reflect Method invoke(Method java:511)_x000D_
	at com android internal os ZygoteInit MethodAndArgsCaller run(ZygoteInit java:833)_x000D_
	at com android internal os ZygoteInit main(ZygoteInit java:600)_x000D_
	at dalvik system NativeStart main(Native Method)_x000D_
_x000D_
   _x000D_
  details _x000D_
 hr _x000D_
_x000D_
  IMG 20200803 022700 (https:  user images githubusercontent com 53193434 89136097 3c00fc00 d532 11ea 9eba 154deb7ca943 JPG)_x000D_
</t>
  </si>
  <si>
    <t>square-okhttp-6206</t>
  </si>
  <si>
    <t>BufferedSource.readUtf8() causing DataFormatException: invalid distance too far back</t>
  </si>
  <si>
    <t xml:space="preserve">After I updated OkHttp to  4 8 0   I started receiving this error in the crash reporting tool _x000D_
_x000D_
    Stack trace:_x000D_
_x000D_
   _x000D_
Non fatal Exception: java io IOException: java util zip DataFormatException: invalid distance too far back_x000D_
       at okio InflaterSource readOrInflate(InflaterSource java:99)_x000D_
       at okio InflaterSource read(InflaterSource java:49)_x000D_
       at okio GzipSource read(GzipSource java:69)_x000D_
       at okio internal BufferKt commonWriteAll(BufferKt java:1061)_x000D_
       at okio Buffer writeAll(Buffer java:1655)_x000D_
       at okio internal RealBufferedSourceKt commonReadUtf8(RealBufferedSourceKt java:171)_x000D_
       at okio RealBufferedSource readUtf8(RealBufferedSource java:309)_x000D_
          _x000D_
       at java util concurrent Executors RunnableAdapter call(Executors java:423)_x000D_
       at java util concurrent FutureTask run(FutureTask java:237)_x000D_
       at java util concurrent ThreadPoolExecutor runWorker(ThreadPoolExecutor java:1113)_x000D_
       at java util concurrent ThreadPoolExecutor Worker run(ThreadPoolExecutor java:588)_x000D_
       at java lang Thread run(Thread java:818)_x000D_
   _x000D_
_x000D_
    Example: _x000D_
_x000D_
   kotlin_x000D_
inline fun run(result: (Int  BufferedSource)    Unit)  _x000D_
_x000D_
    val json   JSONObject()_x000D_
    json put( foo   123)_x000D_
    val requestBody   json toString() toRequestBody(JSON)_x000D_
_x000D_
    val request   Request_x000D_
         Builder()_x000D_
         url( https:  google com )_x000D_
         post(requestBody)_x000D_
         build()_x000D_
_x000D_
    val response   okHttp_x000D_
         newCall(request)_x000D_
         execute()_x000D_
_x000D_
    response body  run  _x000D_
        if (response isSuccessful)  _x000D_
            result(response code  source())_x000D_
         _x000D_
        close()_x000D_
     _x000D_
_x000D_
 _x000D_
   _x000D_
_x000D_
And then:_x000D_
_x000D_
   kotlin_x000D_
run    : Int  bufferedSource: BufferedSource   _x000D_
    val result   bufferedSource readUtf8()   Crash here_x000D_
 _x000D_
   _x000D_
_x000D_
Could be  source()  and then calling  readUtf8()  be the problem _x000D_
The crash happened in a  Galaxy Grand Prime Plus  running Android 6 0 1 _x000D_
_x000D_
    Secondary log crash report (can be related):_x000D_
_x000D_
   _x000D_
Non fatal Exception: java io IOException: ID1ID2: actual 0x00000800    expected 0x00001f8b_x000D_
       at okio GzipSource checkEqual(GzipSource java:197)_x000D_
       at okio GzipSource consumeHeader(GzipSource java:110)_x000D_
       at okio GzipSource read(GzipSource java:62)_x000D_
       at okio internal BufferKt commonWriteAll(BufferKt java:1061)_x000D_
       at okio Buffer writeAll(Buffer java:1655)_x000D_
       at okio internal RealBufferedSourceKt commonReadUtf8(RealBufferedSourceKt java:171)_x000D_
       at okio RealBufferedSource readUtf8(RealBufferedSource java:309)_x000D_
          _x000D_
       at java util concurrent Executors RunnableAdapter call(Executors java:423)_x000D_
       at java util concurrent FutureTask run(FutureTask java:237)_x000D_
       at java util concurrent ThreadPoolExecutor runWorker(ThreadPoolExecutor java:1113)_x000D_
       at java util concurrent ThreadPoolExecutor Worker run(ThreadPoolExecutor java:588)_x000D_
       at java lang Thread run(Thread java:818)_x000D_
   </t>
  </si>
  <si>
    <t>massivemadness-Squircle-IDE-11</t>
  </si>
  <si>
    <t>Undo/Redo may be crash</t>
  </si>
  <si>
    <t xml:space="preserve"> Please consider making a Pull Request if you are capable of doing so  _x000D_
_x000D_
  App Version:  _x000D_
2020 2 2 Develop branch  means all version has the bug _x000D_
_x000D_
  Affected Device(s):  _x000D_
ViVo x27 with Android 10_x000D_
_x000D_
  Describe the bug  _x000D_
   text_x000D_
    java lang ArrayIndexOutOfBoundsException: length 10  index  1_x000D_
        at java util ArrayList get(ArrayList java:439)_x000D_
        at com lightteam editorkit feature undoredo UndoStack pop(UndoStack kt:37)_x000D_
        at com lightteam editorkit internal UndoRedoEditText redo(UndoRedoEditText kt:119)_x000D_
        at com lightteam modpeide ui editor fragments EditorFragment onRedoButton(EditorFragment kt:616)_x000D_
        at com lightteam modpeide ui editor utils ToolbarManager bind 5 onClick(ToolbarManager kt:129)_x000D_
        at android view View performClick(View java:7187)_x000D_
        at android view View performClickInternal(View java:7164)_x000D_
        at android view View access 3500(View java:813)_x000D_
        at android view View PerformClick run(View java:27649)_x000D_
        at android os Handler handleCallback(Handler java:883)_x000D_
        at android os Handler dispatchMessage(Handler java:100)_x000D_
        at android os Looper loop(Looper java:230)_x000D_
        at android app ActivityThread main(ActivityThread java:7742)_x000D_
        at java lang reflect Method invoke(Native Method)_x000D_
        at com android internal os RuntimeInit MethodAndArgsCaller run(RuntimeInit java:508)_x000D_
        at com android internal os ZygoteInit main(ZygoteInit java:1034)_x000D_
   _x000D_
   kotlin_x000D_
    fun pop(): TextChange  _x000D_
           TODO: size must    1_x000D_
        val item   stack size   1 _x000D_
        stack removeAt(size   1)_x000D_
        currentSize    item newText length   item oldText length_x000D_
        return item_x000D_
     _x000D_
   _x000D_
_x000D_
  To Reproduce  _x000D_
Steps to reproduce the behavior:_x000D_
1  Change content of Editor _x000D_
2  Quick click undo or redo button _x000D_
3  May be crash _x000D_
_x000D_
  Expected behavior  _x000D_
No crash _x000D_
</t>
  </si>
  <si>
    <t>TeamNewPipe-NewPipe-4057</t>
  </si>
  <si>
    <t>UI Crash</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</si>
  <si>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1  Scroll down a channel really quickly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ui error_x000D_
    Request:   App crash  UI failure_x000D_
    Content Country:   US_x000D_
    Content Language:   en_x000D_
    App Language:   en US_x000D_
    Service:   none_x000D_
    Version:   0 19 8_x000D_
    OS:   Linux Android 9   28_x000D_
 details  summary  b Crash log   b   summary  p _x000D_
_x000D_
   _x000D_
java lang IllegalStateException: ViewHolder views must not be attached when created  Ensure that you are not passing  true  to the attachToRoot parameter of LayoutInflater inflate(     boolean attachToRoot)_x000D_
	at androidx recyclerview widget RecyclerView Adapter createViewHolder(RecyclerView java:7080)_x000D_
	at androidx recyclerview widget RecyclerView Recycler tryGetViewHolderForPositionByDeadline(RecyclerView java:6235)_x000D_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_x000D_
   _x000D_
  details _x000D_
 hr _x000D_
</t>
  </si>
  <si>
    <t>nextcloud-android-6616</t>
  </si>
  <si>
    <t>com.owncloud.android.ui.activity.FolderPickerActivity cannot be cast to com.owncloud.android.ui.activity.FileDisplayActivity</t>
  </si>
  <si>
    <t xml:space="preserve">    Steps to reproduce_x000D_
1  Create a new Auto Upload_x000D_
2  Select a remote Folder_x000D_
_x000D_
    Expected behaviour_x000D_
  The Folder should become the selected folder_x000D_
_x000D_
    Actual behaviour_x000D_
  The App crashes_x000D_
_x000D_
             CAUSE OF ERROR             _x000D_
_x000D_
java lang ClassCastException: com owncloud android ui activity FolderPickerActivity cannot be cast to com owncloud android ui activity FileDisplayActivity_x000D_
        at com owncloud android ui fragment OCFileListFragment resetHeaderScrollingState(OCFileListFragment java:1867)_x000D_
        at com owncloud android ui fragment OCFileListFragment onItemClicked(OCFileListFragment java:906)_x000D_
        at com owncloud android ui adapter OCFileListAdapter lambda onBindViewHolder 1 OCFileListAdapter(OCFileListAdapter java:379)_x000D_
        at com owncloud android ui adapter    Lambda OCFileListAdapter pouWgEOOHT1aDFHaHM0Ifm3xWtY onClick(Unknown Source:4)_x000D_
        at android view View performClick(View java:6274)_x000D_
        at android view View PerformClick run(View java:24859)_x000D_
        at android os Handler handleCallback(Handler java:789)_x000D_
        at android os Handler dispatchMessage(Handler java:98)_x000D_
        at android os Looper loop(Looper java:164)_x000D_
        at android app ActivityThread main(ActivityThread java:6710)_x000D_
        at java lang reflect Method invoke(Native Method)_x000D_
        at com android internal os Zygote MethodAndArgsCaller run(Zygote java:240)_x000D_
        at com android internal os ZygoteInit main(ZygoteInit java:770)_x000D_
_x000D_
             APP INFORMATION             _x000D_
ID: com nextcloud client_x000D_
Version: 30130052_x000D_
Build flavor: gplay_x000D_
_x000D_
             DEVICE INFORMATION             _x000D_
Brand: lge_x000D_
Device: lucye_x000D_
Model: LG H872_x000D_
Id: OPR1 170623 032_x000D_
Product: lucye tmo us_x000D_
_x000D_
             FIRMWARE             _x000D_
SDK: 26_x000D_
Release: 8 0 0_x000D_
Incremental: 183621644ce05_x000D_
</t>
  </si>
  <si>
    <t>nextcloud-android-6615</t>
  </si>
  <si>
    <t>App crash on Start</t>
  </si>
  <si>
    <t xml:space="preserve">    Steps to reproduce_x000D_
1  Start Android App_x000D_
2  Upload pending count is over 3000 since server Version update from 18 to 19 _x000D_
3  App does not response   kill after 5 minutes_x000D_
4  Start App_x000D_
_x000D_
    Expected behaviour_x000D_
  App should not crash_x000D_
_x000D_
    Actual behaviour_x000D_
  App crashes_x000D_
_x000D_
</t>
  </si>
  <si>
    <t>TeamNewPipe-NewPipe-4055</t>
  </si>
  <si>
    <t>Newpipe app isn't opening.</t>
  </si>
  <si>
    <t>i am facing issue with newpipe app  It crashes automatically when i click on it  Currently i am using github release of the app   version is 0 19 8 _x000D_
This all happens suddenly  All is working good a momemt ago the app just suddenly start behaving like this  I tried clearing app cache force closing it  I haven t cleared the app data yet as all my subscription   playlists gone if i do _x000D_
_x000D_
Here are the crash logs: https:  del dog phigurrulo</t>
  </si>
  <si>
    <t>TeamNewPipe-NewPipe-4052</t>
  </si>
  <si>
    <t>History settings toggles don</t>
  </si>
  <si>
    <t>Anuken-Mindustry-2297</t>
  </si>
  <si>
    <t xml:space="preserve">  Platform  :  Android _x000D_
_x000D_
  Build  :  bleeding edge 9162 _x000D_
_x000D_
  Issue  :  When items are taken out of a router  The amount of items in the router are displayed as  0  _x000D_
_x000D_
  Steps to reproduce  :  I was messing around with the routers surrounding junction storage thing  And I noticed the router kept going from 1 resource to 0 Resource when outputting  I don t think this is meant to happen _x000D_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</si>
  <si>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nextcloud-android-6613</t>
  </si>
  <si>
    <t>Can not auto upload to external storage</t>
  </si>
  <si>
    <t xml:space="preserve">    Steps to reproduce_x000D_
1  Configure auto upload remote folder_x000D_
2  Select external Storage folder_x000D_
3  App crashes_x000D_
_x000D_
    Expected behaviour_x000D_
  should be able to auto upload to external storage_x000D_
_x000D_
    Actual behaviour_x000D_
  crashes_x000D_
_x000D_
_x000D_
    Environment data_x000D_
_x000D_
Stock or customized system:_x000D_
Stock _x000D_
Nextcloud app version:_x000D_
3 13 RC2_x000D_
Nextcloud server version:_x000D_
18 0 7_x000D_
Reverse proxy:_x000D_
No_x000D_
_x000D_
    Logs_x000D_
_x000D_
     Nextcloud app log_x000D_
   _x000D_
             CAUSE OF ERROR             _x000D_
_x000D_
java lang ClassCastException: com owncloud android ui activity FolderPickerActivity cannot be cast to com owncloud android ui activity FileDisplayActivity_x000D_
	at com owncloud android ui fragment OCFileListFragment resetHeaderScrollingState(OCFileListFragment java:1867)_x000D_
	at com owncloud android ui fragment OCFileListFragment onItemClicked(OCFileListFragment java:906)_x000D_
	at com owncloud android ui adapter OCFileListAdapter lambda onBindViewHolder 1 OCFileListAdapter(OCFileListAdapter java:379)_x000D_
	at com owncloud android ui adapter    Lambda OCFileListAdapter pouWgEOOHT1aDFHaHM0Ifm3xWtY onClick(Unknown Source:4)_x000D_
	at android view View performClick(View java:7201)_x000D_
	at android view View performClickInternal(View java:7170)_x000D_
	at android view View access 3500(View java:806)_x000D_
	at android view View PerformClick run(View java:27562)_x000D_
	at android os Handler handleCallback(Handler java:883)_x000D_
	at android os Handler dispatchMessage(Handler java:100)_x000D_
	at android os Looper loop(Looper java:214)_x000D_
	at android app ActivityThread main(ActivityThread java:7697)_x000D_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30130052_x000D_
Build flavor: gplay_x000D_
_x000D_
             DEVICE INFORMATION             _x000D_
Brand: OnePlus_x000D_
Device: OnePlus5T_x000D_
_x000D_
             FIRMWARE             _x000D_
SDK: 29_x000D_
Release: 10_x000D_
Incremental: 2005130017_x000D_
   </t>
  </si>
  <si>
    <t>TeamNewPipe-NewPipe-4048</t>
  </si>
  <si>
    <t xml:space="preserve">New Bug. Can't play any videos. Get a blank screen with a rotating white circle that keeps rotating indefinitely. Downloaded the latest version 4 days ago and it seemed fine until today. </t>
  </si>
  <si>
    <t>SkyTubeTeam-SkyTube-787</t>
  </si>
  <si>
    <t>Enter Video URL -&gt; Crash (when clipboard contains screenshot image)</t>
  </si>
  <si>
    <t xml:space="preserve">When I select  Enter Video URL _x000D_
_x000D_
if the clipboard contains text  then it will present an input dialog with the text auto populated in the textbox _x000D_
_x000D_
but if I take a screenshot (holding volume down and power button simultaneously on my Android phone for 2 seconds until screenshot is captured  and also placing that into the clipboard)  and then I select the  Enter Video URL  option_x000D_
_x000D_
SkyTube app crashes and closes abruptly </t>
  </si>
  <si>
    <t>nextcloud-android-6610</t>
  </si>
  <si>
    <t>android app crash on message receive, nextcloud talk</t>
  </si>
  <si>
    <t xml:space="preserve">    Steps to reproduce_x000D_
1  Receive a message on nextcloud talk _x000D_
2  _x000D_
3  _x000D_
_x000D_
    Expected behaviour_x000D_
  get normal notification _x000D_
_x000D_
    Actual behaviour_x000D_
 get nextcloud crash report  Can still load messages after reloading the talk app  Nextcloud app still works as expected _x000D_
_x000D_
    Can you reproduce this problem on https:  try nextcloud com _x000D_
 I didn t try but it only seems to happen on my device  No one else connected to the same server has the same issue  They are all using different devices  Maybe only a problem on  sony g8142 _x000D_
_x000D_
    Environment data_x000D_
Android version: 9_x000D_
_x000D_
Device model: Sony G8142_x000D_
_x000D_
Stock or customized system: stock upgraded Sony android 9_x000D_
_x000D_
Nextcloud app version:_x000D_
nextcloud talk 8 0 9_x000D_
3 12 1_x000D_
_x000D_
Nextcloud server version:_x000D_
18 0 7_x000D_
_x000D_
Reverse proxy:_x000D_
_x000D_
    Logs_x000D_
     Web server error log_x000D_
   _x000D_
Insert your webserver log here_x000D_
   _x000D_
_x000D_
     Nextcloud log (data nextcloud log)_x000D_
   _x000D_
Insert your Nextcloud log here_x000D_
   _x000D_
_x000D_
_x000D_
  NOTE:   Be super sure to remove sensitive data like passwords  note that everybody can look here  You can use the Issue Template application to prefill some of the required information: https:  apps nextcloud com apps issuetemplate_x000D_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AB0yY gNZ P3uHm8tDJPNA   base apk   nativeLibraryDirectories   data app com nextcloud client AB0yY gNZ P3uHm8tDJPNA   lib arm64   data app com nextcloud client AB0yY gNZ P3uHm8tDJPNA   base apk  lib arm64 v8a   system lib64   system vendor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30120190_x000D_
Build flavor: gplay_x000D_
_x000D_
             DEVICE INFORMATION             _x000D_
Brand: Sony_x000D_
Device: G8142_x000D_
Model: G8142_x000D_
Id: 47 2 A 10 107_x000D_
Product: G8142_x000D_
_x000D_
             FIRMWARE             _x000D_
SDK: 28_x000D_
Release: 9_x000D_
Incremental: 172320177_x000D_
_x000D_
I tried reinstalling both the nextcloud app and nextcloud talk android app  Still happens </t>
  </si>
  <si>
    <t>dimagi-commcare-android-2304</t>
  </si>
  <si>
    <t>Only allow the Entity List Action button to be clicked once</t>
  </si>
  <si>
    <t xml:space="preserve">Issue: On clicking Entity action twice session gets into a weird state causing form save to fail_x000D_
_x000D_
Repro: _x000D_
1  Go to a Entity List screen with an Actions to enter a new form_x000D_
2  Click the Action button  while the transition to FormEntry happens click the Action button again  _x000D_
3  Saving form results into an error as the second action click  clears the form id (https:  github com dimagi commcare android blob master app src org commcare models AndroidSessionWrapper java L360) set in session _x000D_
_x000D_
This is just one example of an issue that I have was able to repro with multiple clicks on actions  but there can be numerous different weird behaviours it can result into like  this crash (https:  console firebase google com u 0 project commcare a57e4 crashlytics app android:org commcare lts issues 5bedca22f8b88c2963154b02 time last thirty days sessionId 5F00BFB30205000114285CEE74F2A7F0 DNE 0 v2)  The PR just disables the button once it s been clicked  </t>
  </si>
  <si>
    <t>TeamNewPipe-NewPipe-4041</t>
  </si>
  <si>
    <t>Different behaviour for when leaving full screen video play through minimize and back button</t>
  </si>
  <si>
    <t xml:space="preserve">    Version_x000D_
     Which version are you using  Hopefully the latest  We just told you that above     _x000D_
  dev branch (unified player)_x000D_
_x000D_
    Steps to reproduce the bug_x000D_
    _x000D_
1  Go to      _x000D_
2  Press on       _x000D_
3  Swipe down to       _x000D_
   _x000D_
1  Start a video in full screen (horizontal) _x000D_
2  Press the  back  button of the phone (for me  back  gesture)_x000D_
_x000D_
    Expected behavior_x000D_
The video continues to play in the vertical mode  As if i pressed the minimize button _x000D_
_x000D_
    Actual behaviour_x000D_
Playback stops_x000D_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</si>
  <si>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nextcloud-android-6605</t>
  </si>
  <si>
    <t>app crashes when entering server address</t>
  </si>
  <si>
    <t xml:space="preserve">    Steps to reproduce_x000D_
1  Open app and select Login_x000D_
2  Input NextCloud server address and press Next_x000D_
3  App crashes_x000D_
I have the issue with a next Hetzner NextCloud server (https:  nx    your storageshare de)  Interestingly i didn t have the issue with the OPS ONE server I used before to try out NextCloud _x000D_
_x000D_
    Expected behaviour_x000D_
  Tell us what should happen_x000D_
Shouldn t crash_x000D_
_x000D_
    Actual behaviour_x000D_
  Tell us what happens_x000D_
App crashes_x000D_
_x000D_
    Can you reproduce this problem on https:  try nextcloud com _x000D_
  Please create a test demo account and see if this still happens there _x000D_
  If yes  please open up a bug report_x000D_
  If not  please verify server setup and ask for help on forum_x000D_
_x000D_
  Works fine with the demo server   _x000D_
_x000D_
    Environment data_x000D_
Android version:_x000D_
Graphene OS QQ3A 200705 002 2020 07 06 20_x000D_
_x000D_
Device model: _x000D_
Google pixel 4_x000D_
_x000D_
Stock or customized system:_x000D_
Graphene OS_x000D_
_x000D_
Nextcloud app version:_x000D_
version 3 13 0 RC1_x000D_
_x000D_
Nextcloud server version:_x000D_
19 0 1_x000D_
_x000D_
Reverse proxy:_x000D_
_x000D_
    Logs_x000D_
     Web server error log_x000D_
   _x000D_
No logs visible on the server_x000D_
   _x000D_
_x000D_
     Nextcloud log (data nextcloud log)_x000D_
   _x000D_
             CAUSE OF ERROR             _x000D_
_x000D_
java lang StringIndexOutOfBoundsException: length 0  index 0_x000D_
	at java lang String charAt(Native Method)_x000D_
	at android graphics Color parseColor(Color java:1384)_x000D_
	at com owncloud android authentication AuthenticatorActivity lambda onGetServerInfoFinish 1 AuthenticatorActivity(AuthenticatorActivity java:893)_x000D_
	at com owncloud android authentication    Lambda AuthenticatorActivity g zVBViOB26G6xUOhChyojAZ4Ck run(Unknown Source:2)_x000D_
	at java lang Thread run(Thread java:919)_x000D_
_x000D_
             APP INFORMATION             _x000D_
ID: com nextcloud client_x000D_
Version: 30130051_x000D_
Build flavor: generic_x000D_
_x000D_
             DEVICE INFORMATION             _x000D_
Brand: Android_x000D_
Device: flame_x000D_
Model: Pixel 4_x000D_
Id: QQ3A 200705 002_x000D_
Product: aosp flame_x000D_
_x000D_
             FIRMWARE             _x000D_
SDK: 29_x000D_
Release: 10_x000D_
Incremental: 2020 07 06 20_x000D_
_x000D_
   _x000D_
  NOTE:   Be super sure to remove sensitive data like passwords  note that everybody can look here  You can use the Issue Template application to prefill some of the required information: https:  apps nextcloud com apps issuetemplate_x000D_
</t>
  </si>
  <si>
    <t>TeamNewPipe-NewPipe-4036</t>
  </si>
  <si>
    <t>UI crash when selecting text in video description</t>
  </si>
  <si>
    <t xml:space="preserve">   Exception_x000D_
    User Action:   ui error_x000D_
    Request:   App crash  UI failure_x000D_
    Content Country:   FR_x000D_
    Content Language:   fr_x000D_
    App Language:   fr FR_x000D_
    Service:   none_x000D_
    Version:   0 19 8_x000D_
    OS:   Linux Android 6 0   23_x000D_
 details  summary  b Crash log   b   summary  p _x000D_
_x000D_
   _x000D_
java lang IllegalArgumentException: Invalid offset:  1  Valid range is  0  431 _x000D_
	at android text method WordIterator checkOffsetIsValid(WordIterator java:380)_x000D_
	at android text method WordIterator isBoundary(WordIterator java:101)_x000D_
	at android widget Editor SelectionStartHandleView positionAtCursorOffset(Editor java:4300)_x000D_
	at android widget Editor HandleView updatePosition(Editor java:3736)_x000D_
	at android widget Editor PositionListener onPreDraw(Editor java:2513)_x000D_
	at android view ViewTreeObserver dispatchOnPreDraw(ViewTreeObserver java:944)_x000D_
	at android view ViewRootImpl performTraversals(ViewRootImpl java:2419)_x000D_
	at android view ViewRootImpl doTraversal(ViewRootImpl java:1323)_x000D_
	at android view ViewRootImpl TraversalRunnable run(ViewRootImpl java:6710)_x000D_
	at android view Choreographer CallbackRecord run(Choreographer java:894)_x000D_
	at android view Choreographer doCallbacks(Choreographer java:696)_x000D_
	at android view Choreographer doFrame(Choreographer java:631)_x000D_
	at android view Choreographer FrameDisplayEventReceiver run(Choreographer java:880)_x000D_
	at android os Handler handleCallback(Handler java:815)_x000D_
	at android os Handler dispatchMessage(Handler java:104)_x000D_
	at android os Looper loop(Looper java:207)_x000D_
	at android app ActivityThread main(ActivityThread java:5765)_x000D_
	at java lang reflect Method invoke(Native Method)_x000D_
	at com android internal os ZygoteInit MethodAndArgsCaller run(ZygoteInit java:789)_x000D_
	at com android internal os ZygoteInit main(ZygoteInit java:679)_x000D_
_x000D_
   _x000D_
  details _x000D_
 hr _x000D_
Select some text in a video description _x000D_
Press somewhere else in the description _x000D_
Crash occurs systematically on my system</t>
  </si>
  <si>
    <t>nextcloud-android-6604</t>
  </si>
  <si>
    <t>Nextcloud crash when browsing activities</t>
  </si>
  <si>
    <t xml:space="preserve">Open nextcloud app and click on activities  Start scrolling and app crashes  This is on plus 8 device  _x000D_
_x000D_
             CAUSE OF ERROR             _x000D_
_x000D_
java lang NumberFormatException: For input string:  danielle _x000D_
at java lang Integer parseInt(Integer java:615)_x000D_
at java lang Integer parseInt(Integer java:650)_x000D_
at com owncloud android ui adapter ActivityListAdapter createThumbnailNew(ActivityListAdapter java:269)_x000D_
at com owncloud android ui adapter ActivityListAdapter onBindViewHolder(ActivityListAdapter java:237)_x000D_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java:883)_x000D_
at android os Handler dispatchMessage(Handler java:100)_x000D_
at android os Looper loop(Looper java:214)_x000D_
at android app ActivityThread main(ActivityThread java:7707)_x000D_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30130052_x000D_
Build flavor: gplay_x000D_
_x000D_
             DEVICE INFORMATION             _x000D_
Brand: OnePlus_x000D_
Device: OnePlus8TMO_x000D_
Model: IN2017_x000D_
Id: QKQ1 191222 002_x000D_
Product: OnePlus8TMO_x000D_
_x000D_
             FIRMWARE             _x000D_
SDK: 29_x000D_
Release: 10_x000D_
Incremental: 2006102149_x000D_
 </t>
  </si>
  <si>
    <t>Anuken-Mindustry-2291</t>
  </si>
  <si>
    <t>yet another plastanium conveyor bug thing</t>
  </si>
  <si>
    <t xml:space="preserve">  Platform  :  Android iOS Mac Windows Linux  Android
  Build  :  The build number under the title in the main menu  Required   BE 9143
  Issue  :  Explain your issue in detail  
Plastanium conveyors incorrectly connect to armored conveyors 
  Screenshot 20200801 015554 Mindustry BE jpg (https:  user images githubusercontent com 49169907 89090353 57d19a00 d39a 11ea 9f72 fb32483e4fd6 jpg)
  Steps to reproduce  :  How you happened across the issue  and what you were doing at the time  
see above
  Link to mod(s) used  if applicable  :  The mod repositories or zip files that are related to the issue  
no
  Crash report  if applicable  :  The contents of relevant crash report files  
no
 Place an X (no spaces) between the brackets to confirm that you have read the line below    
   X    I have searched the closed and open issues to make sure that this problem has not already been reported   
</t>
  </si>
  <si>
    <t>TeamNewPipe-NewPipe-4034</t>
  </si>
  <si>
    <t>"could not get any stream" could not parse website</t>
  </si>
  <si>
    <t xml:space="preserve"> As a pre warning  Ive never submitted anything through github and know pretty much nothing about coding  bit I ve looked for this issue and I don t think I can find it anywhere (so it could possibly be a personal issue then maybe) be gentle with me  3 _x000D_
_x000D_
    Version_x000D_
Newpipe 0 19 8_x000D_
 _x000D_
_x000D_
    Steps to reproduce the bug_x000D_
_x000D_
1  Go to any video  for me it s most consistent when selecting a video from the  feed  part of the subscription tab  For myself the video I recognised it on was  this video (https:  www youtube com watch v sAf7SbvTlIY) _x000D_
But I ve noticed it on many others also_x000D_
2  Press on the video to go to it s page where comments and whatnot can be seen_x000D_
3  Error appears here  preview thumbnail doesn t load  sometimes comments do but then it crashes shortly after_x000D_
_x000D_
     If you can t cause the bug to show up again reliably (and hence don t have a proper set of steps to give us)  please still try to give as many details as possible on how you think you encountered the bug     _x000D_
_x000D_
    Expected behavior_x000D_
Video thumbnail would load and the video would become playable_x000D_
_x000D_
    Actual behaviour_x000D_
Crashes  Also worth noting that the video can t be played in the background or as a popup either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 shot just before the crash report_x000D_
  Screenshot 20200801 092102 NewPipe (https:  user images githubusercontent com 69060834 89087697 7191d200 d3d8 11ea 9c5c a6def9e97051 jpg)_x000D_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_x000D_
_x000D_
   Exception_x000D_
    User Action:   requested stream_x000D_
    Request:   https:  www youtube com watch v sAf7SbvTlIY_x000D_
    Content Country:   GB_x000D_
    Content Language:   en_x000D_
    App Language:   en AU_x000D_
    Service:   YouTube_x000D_
    Version:   0 19 8_x000D_
    OS:   Linux samsung d2sxx d2s:10 QP1A 190711 020 N975FXXU4CTE9:user release keys 10   29_x000D_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details _x000D_
 hr _x000D_
_x000D_
</t>
  </si>
  <si>
    <t>CylonicRaider-euphoria-app-6</t>
  </si>
  <si>
    <t>Input bar regression</t>
  </si>
  <si>
    <t xml:space="preserve">Recently (since the 0 1 0 release  at least)  the input bar has taken up disappearing when a room s messages are initially loaded _x000D_
_x000D_
Trying to navigate the input bar somewhere restores it into visibility _x000D_
_x000D_
In relation to that  deserializing the state of a room UI where the input bar has disappeared leads to the app crashing (this  in turn  supports the theory that the input bar actually disappears  and is not  say  mis positioned to be somewhere out of sight)  While this bug will be quashed when the first regression is fixed  it should also be fixed  in its own right  </t>
  </si>
  <si>
    <t>Anuken-Mindustry-2290</t>
  </si>
  <si>
    <t>[Bleed] Using invalid building hotkeys causes a crash</t>
  </si>
  <si>
    <t xml:space="preserve">  Platform  : Windows_x000D_
_x000D_
  Build  : 9142  bleeding edge_x000D_
_x000D_
  Issue  : Selecting blocks with hotkeys where no block exists causes a crash_x000D_
_x000D_
  Steps to reproduce  : Start a game  find the last available hotkey in the build menu  in any category  Use the hotkey but use a value higher than what is available  For example  if the last item s hotkey is  3 1 8  press  3 1 9   Also works with Hotkeys that are only two presses  such as  8 9  _x000D_
_x000D_
  Crash report  :  crash report 07 31 2020 13 29 26 txt (https:  github com Anuken Mindustry files 5008748 crash report 07 31 2020 13 29 26 txt)_x000D_
   _x000D_
java lang IndexOutOfBoundsException: index can t be    size: 18    18_x000D_
	at arc struct Seq get(Seq java:434)_x000D_
	at mindustry ui fragments PlacementFragment gridUpdate(PlacementFragment java:163)_x000D_
	at mindustry ui fragments PlacementFragment lambda null 28(PlacementFragment java:408)_x000D_
	at arc scene Element act(Element java:81)_x000D_
	at arc scene Group act(Group java:37)_x000D_
	at arc scene Group act(Group java:41)_x000D_
	at arc scene Group act(Group java:41)_x000D_
	at arc scene Group act(Group java:41)_x000D_
	at arc scene Scene act(Scene java:166)_x000D_
	at arc scene Scene act(Scene java:117)_x000D_
	at mindustry core UI update(UI java:129)_x000D_
	at arc ApplicationCore update(ApplicationCore java:36)_x000D_
	at mindustry ClientLauncher update(ClientLauncher java:149)_x000D_
	at arc backend sdl SdlApplication listen(SdlApplication java:170)_x000D_
	at arc backend sdl SdlApplication loop(SdlApplication java:158)_x000D_
	at arc backend sdl SdlApplication  init (SdlApplication java:52)_x000D_
	at mindustry desktop DesktopLauncher main(DesktopLauncher java:36)_x000D_
   _x000D_
   _x000D_
_x000D_
   x    I have searched the closed and open issues to make sure that this problem has not already been reported   _x000D_
_x000D_
</t>
  </si>
  <si>
    <t>TeamNewPipe-NewPipe-4033</t>
  </si>
  <si>
    <t>Constant ping sound during background play</t>
  </si>
  <si>
    <t xml:space="preserve">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Play any music in background play _x000D_
_x000D_
I am getting this issue in Oneplus 6T running the latest update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No ping sounds when audio plays _x000D_
_x000D_
    Actual behaviour_x000D_
     Tell us what happens instead     _x000D_
_x000D_
Constant ping sounds in short intervals during background play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None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No crashes as such _x000D_
     That s right  here     _x000D_
</t>
  </si>
  <si>
    <t>cgeo-cgeo-8717</t>
  </si>
  <si>
    <t>DBExtentions - c:geo crashes</t>
  </si>
  <si>
    <t xml:space="preserve">  Describe the bug:  _x000D_
When trying to use the new DBExtentions c:geo crashes on my device _x000D_
At first I thought the error was in my implementation of the offlinenum variable  but the error also occurs at PendingDownload (OSM offline map files downloader  8707)  To test the map files downloader i used 2020 07 31 NB 146e5f4_x000D_
_x000D_
  To Reproduce:  _x000D_
Steps to reproduce the behavior:_x000D_
1  Go to Live Map_x000D_
2  Click on  download offline map _x000D_
3  Start a download   _x000D_
    crash  from the second time even if you only click on  download offline map  in live map_x000D_
_x000D_
  Expected behavior state after performing these steps:  _x000D_
Everything shoud work fine_x000D_
_x000D_
  Is the problem reproducible:  _x000D_
Yes   at least on my device_x000D_
_x000D_
_x000D_
  System information:  _x000D_
   _x000D_
    System information    _x000D_
Device: Telekom Puls (Telekom Puls  T Mobile)_x000D_
Android version: 5 0 1_x000D_
Android build: LRX21M vC29 0 release keys_x000D_
c:geo version: 2020 07 31 NB 146e5f4_x000D_
Google Play services: enabled   20 24 14 (020300 319035315)_x000D_
Low power mode: inactive_x000D_
Compass capabilities: no_x000D_
Rotation vector sensor: absent_x000D_
Orientation sensor: absent_x000D_
Magnetometer   Accelerometer sensor: absent_x000D_
Direction sensor used: magnetometer   accelerometer_x000D_
Hide caches:  _x000D_
Hide waypoints:  _x000D_
HW acceleration: enabled (default state)_x000D_
System language: de DE_x000D_
System date format: dd MM yyyy_x000D_
Debug mode active: no_x000D_
System internal c:geo dir:  data data cgeo geocaching (9 3 GB free) internal_x000D_
User storage c:geo dir:  storage sdcard0 cgeo (9 2 GB free) external non removable_x000D_
Geocache data:  storage sdcard0 Android data cgeo geocaching files GeocacheData (9 2 GB free) external non removable_x000D_
Database:  data data cgeo geocaching databases data (156 0 KB) on system internal storage_x000D_
Fine location permission: granted_x000D_
Write external storage permission: granted_x000D_
Geocaching sites enabled: None_x000D_
Installed c:geo plugins:  none_x000D_
    End of system information    _x000D_
   _x000D_
_x000D_
  Additional context:  _x000D_
that are the errors warnings I get in Android Studio  In the debug log from NB i found nothing special   but maby i just overlooked it_x000D_
   _x000D_
W Java7Support: Unable to load JDK7 types (annotations  java nio file Path): no Java7 support added_x000D_
   _x000D_
   _x000D_
E SQLiteLog: (1) no such table: cg table extension_x000D_
W cgeo:  RxCachedThreadScheduler 1  DataStore clean_x000D_
    android database sqlite SQLiteException: no such table: cg table extension (code 1):   while compiling: DELETE FROM cg table extension WHERE  key NOT IN (0 1 2)_x000D_
        at android database sqlite SQLiteConnection nativePrepareStatement(Native Method)_x000D_
        at android database sqlite SQLiteConnection acquirePreparedStatement(SQLiteConnection java:898)_x000D_
        at android database sqlite SQLiteConnection prepare(SQLiteConnection java:509)_x000D_
        at android database sqlite SQLiteSession prepare(SQLiteSession java:588)_x000D_
        at android database sqlite SQLiteProgram  init (SQLiteProgram java:58)_x000D_
        at android database sqlite SQLiteStatement  init (SQLiteStatement java:31)_x000D_
        at android database sqlite SQLiteDatabase delete(SQLiteDatabase java:1526)_x000D_
        at cgeo geocaching storage DataStore deleteOrphanedRecords(DataStore java:3043)_x000D_
        at cgeo geocaching storage DataStore lambda cleanIfNeeded 9(DataStore java:2988)_x000D_
        at cgeo geocaching storage    Lambda DataStore 8FeSmNTmqSUkISabhEebrLdvpUw run(lambda)_x000D_
        at io reactivex rxjava3 core Scheduler DisposeTask run(Scheduler java:614)_x000D_
        at io reactivex rxjava3 internal schedulers ScheduledRunnable run(ScheduledRunnable java:65)_x000D_
        at io reactivex rxjava3 internal schedulers ScheduledRunnable call(ScheduledRunnable java:56)_x000D_
        at java util concurrent FutureTask run(FutureTask java:237)_x000D_
        at java util concurrent ScheduledThreadPoolExecutor ScheduledFutureTask access 201(ScheduledThreadPoolExecutor java:152)_x000D_
        at java util concurrent ScheduledThreadPoolExecutor ScheduledFutureTask run(ScheduledThreadPoolExecutor java:265)_x000D_
        at java util concurrent ThreadPoolExecutor runWorker(ThreadPoolExecutor java:1112)_x000D_
        at java util concurrent ThreadPoolExecutor Worker run(ThreadPoolExecutor java:587)_x000D_
        at java lang Thread run(Thread java:818)_x000D_
   _x000D_
   _x000D_
E SQLiteLog: (1) no such table: cg table extension_x000D_
D AndroidRuntime: Shutting down VM_x000D_
E AndroidRuntime: FATAL EXCEPTION: main_x000D_
    Process: cgeo geocaching  PID: 3778_x000D_
    android database sqlite SQLiteException: no such table: cg table extension (code 1):   while compiling: DELETE FROM cg table extension WHERE  type     AND  key LIKE  _x000D_
        at android database sqlite SQLiteConnection nativePrepareStatement(Native Method)_x000D_
        at android database sqlite SQLiteConnection acquirePreparedStatement(SQLiteConnection java:898)_x000D_
        at android database sqlite SQLiteConnection prepare(SQLiteConnection java:509)_x000D_
        at android database sqlite SQLiteSession prepare(SQLiteSession java:588)_x000D_
        at android database sqlite SQLiteProgram  init (SQLiteProgram java:58)_x000D_
        at android database sqlite SQLiteStatement  init (SQLiteStatement java:31)_x000D_
        at android database sqlite SQLiteDatabase delete(SQLiteDatabase java:1526)_x000D_
        at cgeo geocaching storage DataStore DBExtension removeAll(DataStore java:508)_x000D_
        at cgeo geocaching storage extension FoundNumCounter updateFoundNum(FoundNumCounter java:27)_x000D_
        at cgeo geocaching MainActivity UpdateUserInfoHandler 1 fillView(MainActivity java:153)_x000D_
        at cgeo geocaching MainActivity UpdateUserInfoHandler 1 getView(MainActivity java:142)_x000D_
        at android widget AbsListView obtainView(AbsListView java:2464)_x000D_
        at android widget ListView measureHeightOfChildren(ListView java:1286)_x000D_
        at android widget ListView onMeasure(ListView java:1194)_x000D_
        at android view View measure(View java:17769)_x000D_
        at android view ViewGroup measureChildWithMargins(ViewGroup java:5625)_x000D_
        at android widget LinearLayout measureChildBeforeLayout(LinearLayout java:1692)_x000D_
        at android widget LinearLayout measureVertical(LinearLayout java:760)_x000D_
        at android widget LinearLayout onMeasure(LinearLayout java:629)_x000D_
        at android view View measure(View java:17769)_x000D_
        at android widget RelativeLayout measureChildHorizontal(RelativeLayout java:846)_x000D_
        at android widget RelativeLayout onMeasure(RelativeLayout java:512)_x000D_
        at android view View measure(View java:17769)_x000D_
        at android view ViewGroup measureChildWithMargins(ViewGroup java:5625)_x000D_
        at android widget FrameLayout onMeasure(FrameLayout java:459)_x000D_
        at androidx appcompat widget ContentFrameLayout onMeasure(ContentFrameLayout java:143)_x000D_
        at android view View measure(View java:17769)_x000D_
        at android view ViewGroup measureChildWithMargins(ViewGroup java:5625)_x000D_
        at androidx appcompat widget ActionBarOverlayLayout onMeasure(ActionBarOverlayLayout java:403)_x000D_
        at android view View measure(View java:17769)_x000D_
        at android view ViewGroup measureChildWithMargins(ViewGroup java:5625)_x000D_
        at android widget FrameLayout onMeasure(FrameLayout java:459)_x000D_
        at android view View measure(View java:17769)_x000D_
        at android view ViewGroup measureChildWithMargins(ViewGroup java:5625)_x000D_
        at android widget LinearLayout measureChildBeforeLayout(LinearLayout java:1692)_x000D_
        at android widget LinearLayout measureVertical(LinearLayout java:760)_x000D_
        at android widget LinearLayout onMeasure(LinearLayout java:629)_x000D_
        at android view View measure(View java:17769)_x000D_
        at android view ViewGroup measureChildWithMargins(ViewGroup java:5625)_x000D_
        at android widget FrameLayout onMeasure(FrameLayout java:459)_x000D_
        at com android internal policy impl PhoneWindow DecorView onMeasure(PhoneWindow java:2646)_x000D_
        at android view View measure(View java:17769)_x000D_
        at android view ViewRootImpl performMeasure(ViewRootImpl java:2354)_x000D_
        at android view ViewRootImpl measureHierarchy(ViewRootImpl java:1378)_x000D_
        at android view ViewRootImpl performTraversals(ViewRootImpl java:1602)_x000D_
        at android view ViewRootImpl doTraversal(ViewRootImpl java:1256)_x000D_
        at android view ViewRootImpl TraversalRunnable run(ViewRootImpl java:6443)_x000D_
        at android view Choreographer CallbackRecord run(Choreographer java:800)_x000D_
        at android view Choreographer doCallbacks(Choreographer java:603)_x000D_
        at android view Choreographer doFrame(Choreographer java:572)_x000D_
        at android view Choreographer FrameDisplayEventReceiver run(Choreographer java:786)_x000D_
        at android os Handler handleCallback(Handler java:815)_x000D_
        at android os Handler dispatchMessage(Handler java:104)_x000D_
        at android os Looper loop(Looper java:194)_x000D_
        at android app ActivityThread main(ActivityThread java:5576)_x000D_
    	at java l_x000D_
   _x000D_
 moving bits maybe you could take a look   </t>
  </si>
  <si>
    <t>TeamNewPipe-NewPipe-4030</t>
  </si>
  <si>
    <t>View hierarchy touched by a wrong thread</t>
  </si>
  <si>
    <t xml:space="preserve">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Steps to reproduce the bug_x000D_
    _x000D_
1  Go to      _x000D_
2  Press on       _x000D_
3  Swipe down to       _x000D_
   _x000D_
_x000D_
Its not reproducible always_x000D_
1  Open main page content editor_x000D_
2  Add a playlist tab_x000D_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No error should be left uncaught_x000D_
_x000D_
    Actual behaviour_x000D_
     Tell us what happens instead     _x000D_
An ui error occurred because it was not handled properly_x000D_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Exception_x000D_
    User Action:   ui error_x000D_
    Request:   _x000D_
    Content Country:   IN_x000D_
    Content Language:   en IN_x000D_
    App Language:   en IN_x000D_
    Service:   none_x000D_
    Version:   0 19 8_x000D_
    OS:   Linux Android 9   28_x000D_
 details  summary  b Crash log   b   summary  p _x000D_
_x000D_
   _x000D_
android view ViewRootImpl CalledFromWrongThreadException: Only the original thread that created a view hierarchy can touch its views _x000D_
	at android view ViewRootImpl checkThread(ViewRootImpl java:7760)_x000D_
	at android view ViewRootImpl requestLayout(ViewRootImpl java:1225)_x000D_
	at android view View requestLayout(View java:23114)_x000D_
	at android view View requestLayout(View java:23114)_x000D_
	at android view View requestLayout(View java:23114)_x000D_
	at android view View requestLayout(View java:23114)_x000D_
	at android view View requestLayout(View java:23114)_x000D_
	at android view View setFlags(View java:14102)_x000D_
	at android view View setVisibility(View java:9992)_x000D_
	at org schabi newpipe settings SelectPlaylistFragment displayPlaylists(SelectPlaylistFragment java:143)_x000D_
	at org schabi newpipe settings SelectPlaylistFragment lambda OKidrRDkz4wytGdEytcZ56EPSTU(Unknown Source:0)_x000D_
	at org schabi newpipe settings    Lambda SelectPlaylistFragment OKidrRDkz4wytGdEytcZ56EPSTU accept(Unknown Source:4)_x000D_
	at io reactivex internal subscribers LambdaSubscriber onNext(LambdaSubscriber java:65)_x000D_
	at io reactivex internal operators flowable FlowableCombineLatest CombineLatestCoordinator drainAsync(FlowableCombineLatest java:374)_x000D_
	at io reactivex internal operators flowable FlowableCombineLatest CombineLatestCoordinator drain(FlowableCombineLatest java:406)_x000D_
	at io reactivex internal operators flowable FlowableCombineLatest CombineLatestCoordinator innerValue(FlowableCombineLatest java:250)_x000D_
	at io reactivex internal operators flowable FlowableCombineLatest CombineLatestInnerSubscriber onNext(FlowableCombineLatest java:521)_x000D_
	at io reactivex internal operators flowable FlowableSubscribeOn SubscribeOnSubscriber onNext(FlowableSubscribeOn java:97)_x000D_
	at io reactivex internal operators flowable FlowableFlatMapMaybe FlatMapMaybeSubscriber innerSuccess(FlowableFlatMapMaybe java:175)_x000D_
	at io reactivex internal operators flowable FlowableFlatMapMaybe FlatMapMaybeSubscriber InnerObserver onSuccess(FlowableFlatMapMaybe java:397)_x000D_
	at io reactivex internal operators maybe MaybeFromCallable subscribeActual(MaybeFromCallable java:61)_x000D_
	at io reactivex Maybe subscribe(Maybe java:4290)_x000D_
	at io reactivex internal operators flowable FlowableFlatMapMaybe FlatMapMaybeSubscriber onNext(FlowableFlatMapMaybe java:132)_x000D_
	at io reactivex internal operators flowable FlowableObserveOn ObserveOnSubscriber runAsync(FlowableObserveOn java:407)_x000D_
	at io reactivex internal operators flowable FlowableObserveOn BaseObserveOnSubscriber run(FlowableObserveOn java:176)_x000D_
	at io reactivex internal schedulers ExecutorScheduler ExecutorWorker BooleanRunnable run(ExecutorScheduler java:288)_x000D_
	at io reactivex internal schedulers ExecutorScheduler ExecutorWorker run(ExecutorScheduler java:253)_x000D_
	at java util concurrent ThreadPoolExecutor runWorker(ThreadPoolExecutor java:1167)_x000D_
	at java util concurrent ThreadPoolExecutor Worker run(ThreadPoolExecutor java:641)_x000D_
	at java lang Thread run(Thread java:764)_x000D_
_x000D_
   _x000D_
  details _x000D_
 hr _x000D_
_x000D_
</t>
  </si>
  <si>
    <t>material-components-material-components-android-1551</t>
  </si>
  <si>
    <t>[Catalog] Crash will happen in MenuMainDemoFragment when Activity recreate happened</t>
  </si>
  <si>
    <t xml:space="preserve">When Activity recreate happened (such as screen rotate)  clicking  SHOW POPUP  in MenuMainDemoFragment will cause the app to crash _x000D_
_x000D_
The field MenuMainDemoFragment popupItemLayout will not be initialized in this case _x000D_
_x000D_
   _x000D_
07 31 18:21:55 763  4617  4617 E AndroidRuntime: Process: io material catalog  PID: 4617_x000D_
07 31 18:21:55 763  4617  4617 E AndroidRuntime: android content res Resources NotFoundException: Resource ID  0x0_x000D_
07 31 18:21:55 763  4617  4617 E AndroidRuntime: 	at android content res ResourcesImpl getValue(ResourcesImpl java:209)_x000D_
07 31 18:21:55 763  4617  4617 E AndroidRuntime: 	at android content res MiuiResourcesImpl getValue(MiuiResourcesImpl java:94)_x000D_
07 31 18:21:55 763  4617  4617 E AndroidRuntime: 	at android content res Resources loadXmlResourceParser(Resources java:2159)_x000D_
07 31 18:21:55 763  4617  4617 E AndroidRuntime: 	at android content res Resources getLayout(Resources java:1156)_x000D_
07 31 18:21:55 763  4617  4617 E AndroidRuntime: 	at android view LayoutInflater inflate(LayoutInflater java:425)_x000D_
07 31 18:21:55 763  4617  4617 E AndroidRuntime: 	at android widget ArrayAdapter createViewFromResource(ArrayAdapter java:416)_x000D_
07 31 18:21:55 763  4617  4617 E AndroidRuntime: 	at android widget ArrayAdapter getView(ArrayAdapter java:407)_x000D_
07 31 18:21:55 763  4617  4617 E AndroidRuntime: 	at androidx appcompat widget DropDownListView measureHeightOfChildrenCompat(DropDownListView java:321)_x000D_
07 31 18:21:55 763  4617  4617 E AndroidRuntime: 	at androidx appcompat widget ListPopupWindow buildDropDown(ListPopupWindow java:1322)_x000D_
07 31 18:21:55 763  4617  4617 E AndroidRuntime: 	at androidx appcompat widget ListPopupWindow show(ListPopupWindow java:664)_x000D_
07 31 18:21:55 763  4617  4617 E AndroidRuntime: 	at io material catalog menu MenuMainDemoFragment lambda onCreateDemoView 2(MenuMainDemoFragment java:81)_x000D_
07 31 18:21:55 763  4617  4617 E AndroidRuntime: 	at io material catalog menu    Lambda MenuMainDemoFragment mRGOAFSeAZQ38uc68xdYfvd7 DU onClick(Unknown Source:2)_x000D_
07 31 18:21:55 763  4617  4617 E AndroidRuntime: 	at android view View performClick(View java:6266)_x000D_
07 31 18:21:55 763  4617  4617 E AndroidRuntime: 	at com google android material button MaterialButton performClick(MaterialButton java:1115)_x000D_
07 31 18:21:55 763  4617  4617 E AndroidRuntime: 	at android view View PerformClick run(View java:24730)_x000D_
07 31 18:21:55 763  4617  4617 E AndroidRuntime: 	at android os Handler handleCallback(Handler java:793)_x000D_
07 31 18:21:55 763  4617  4617 E AndroidRuntime: 	at android os Handler dispatchMessage(Handler java:98)_x000D_
07 31 18:21:55 763  4617  4617 E AndroidRuntime: 	at android os Looper loop(Looper java:173)_x000D_
07 31 18:21:55 763  4617  4617 E AndroidRuntime: 	at android app ActivityThread main(ActivityThread java:6698)_x000D_
07 31 18:21:55 763  4617  4617 E AndroidRuntime: 	at java lang reflect Method invoke(Native Method)_x000D_
07 31 18:21:55 763  4617  4617 E AndroidRuntime: 	at com android internal os Zygote MethodAndArgsCaller run(Zygote java:240)_x000D_
07 31 18:21:55 763  4617  4617 E AndroidRuntime: 	at com android internal os ZygoteInit main(ZygoteInit java:782)_x000D_
   </t>
  </si>
  <si>
    <t>TeamNewPipe-NewPipe-4024</t>
  </si>
  <si>
    <t>Crash when closing the background player</t>
  </si>
  <si>
    <t xml:space="preserve">    Version_x000D_
  0 19 8_x000D_
_x000D_
    Steps to reproduce the bug_x000D_
Not too sure if this reproducible  here s what I did before I got the crash screen _x000D_
1  I played a video in background mode_x000D_
2  Paused it_x000D_
3  Opened other apps for  15 minutes_x000D_
4  Clicked on the play button_x000D_
4  Immediately clicked on the close button_x000D_
5  Get the crash report screen_x000D_
_x000D_
    Expected behavior_x000D_
The notification goes away without crashing_x000D_
_x000D_
    Actual behaviour_x000D_
The app crashed when I clicked on the close button_x000D_
_x000D_
    Screenshots Screen recordings_x000D_
NA  this is the first time this has happened_x000D_
_x000D_
    Additional Context_x000D_
I have battery saver on  a custom rom with  Agressive Battery  enabled  this is likely a software specific issue _x000D_
_x000D_
    Logs_x000D_
   Exception_x000D_
    User Action:   ui error_x000D_
    Request:   App crash  UI failure_x000D_
    Content Country:   US_x000D_
    Content Language:   en_x000D_
    App Language:   en_x000D_
    Service:   none_x000D_
    Version:   0 19 8_x000D_
    OS:   Linux Android 10   29_x000D_
 details  summary  b Crash log   b   summary  p _x000D_
_x000D_
   _x000D_
java lang NullPointerException: Attempt to read from field  org schabi newpipe player helper MediaSessionManager org schabi newpipe player BasePlayer mediaSessionManager  on a null object reference_x000D_
	at org schabi newpipe player BackgroundPlayer setLockScreenThumbnail(BackgroundPlayer java:236)_x000D_
	at org schabi newpipe player BackgroundPlayer createNotification(BackgroundPlayer java:221)_x000D_
	at org schabi newpipe player BackgroundPlayer resetNotification(BackgroundPlayer java:199)_x000D_
	at org schabi newpipe player BackgroundPlayer access 100(BackgroundPlayer java:67)_x000D_
	at org schabi newpipe player BackgroundPlayer BasePlayerImpl onLoadingComplete(BackgroundPlayer java:403)_x000D_
	at com nostra13 universalimageloader core DisplayBitmapTask run(DisplayBitmapTask java:72)_x000D_
	at android os Handler handleCallback(Handler java:883)_x000D_
	at android os Handler dispatchMessage(Handler java:100)_x000D_
	at android os Looper loop(Looper java:214)_x000D_
	at android app ActivityThread main(ActivityThread java:7361)_x000D_
	at java lang reflect Method invoke(Native Method)_x000D_
	at com android internal os RuntimeInit MethodAndArgsCaller run(RuntimeInit java:493)_x000D_
	at com android internal os ZygoteInit main(ZygoteInit java:930)_x000D_
_x000D_
   _x000D_
  details _x000D_
 hr _x000D_
_x000D_
</t>
  </si>
  <si>
    <t>TeamNewPipe-NewPipe-4020</t>
  </si>
  <si>
    <t>NewPipe responds to pressing Bluetooth Earphone media buttons when it shouldn't</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</si>
  <si>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8_x000D_
_x000D_
    Steps to reproduce the bug_x000D_
_x000D_
1  Have Newpipe installed but closed and not playing anything_x000D_
2  Connect a Bluetooth earphone with a media control button_x000D_
3  Press the media button while on the Android homescreen or in another app_x000D_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Newpipe ignores the input_x000D_
    Actual behaviour_x000D_
     Tell us what happens instead     _x000D_
An empty player controls notification is created_x000D_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20200730 200615 Chrome (https:  user images githubusercontent com 68926464 88964889 e9a9ac00 d2a1 11ea 8ad5 e3488ea27af3 png)_x000D_
(Edited because I accidentally left my WiFi details in lol)_x000D_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N A_x000D_
     That s right  here     _x000D_
_x000D_
    Additional Info_x000D_
I only have one pair of Bluetooth earphones so I m not sure if this only affects the model I have  Also  if another application is actively playing media then Newpipe doesn t interfere but it does interfere when trying to change the volume using the earphone s built in touch controls while no media is playing </t>
  </si>
  <si>
    <t>microg-GmsCore-1110</t>
  </si>
  <si>
    <t>MicroG crashes</t>
  </si>
  <si>
    <t>OS : LOS 7 1 2
MicroG Version : 0 2 11 202414 vtm
MicroG still shows uninstalled apps that registered with GCM on  Google Cloud Messaging   section and when tapping any app of them MicroG crashes 
Log : https:  del dog uwacrestil</t>
  </si>
  <si>
    <t>react-native-share-react-native-share-834</t>
  </si>
  <si>
    <t>Crash when passing property subject to open on macOS catalyst build</t>
  </si>
  <si>
    <t xml:space="preserve">    Steps to reproduce_x000D_
_x000D_
   javascript_x000D_
_x000D_
const config    _x000D_
    title:  test  _x000D_
    subject:  test  _x000D_
    message:  test  _x000D_
    url:  https:  test com  _x000D_
  _x000D_
_x000D_
Share open(config) _x000D_
   _x000D_
_x000D_
    Expected behaviour_x000D_
Share dialog should appear_x000D_
_x000D_
    Actual behaviour_x000D_
app crashed with:_x000D_
_x000D_
   _x000D_
Exception    UIActivityViewController 0x1050a9800  setValue:forUndefinedKey: : this class is not key value coding compliant for the key subject   was thrown while invoking open on target RNShare with params (_x000D_
         _x000D_
        message    test  _x000D_
        subject    test  _x000D_
        title    test  _x000D_
        urls           (_x000D_
             https:  test com _x000D_
        ) _x000D_
      _x000D_
    10248 _x000D_
    10249_x000D_
)_x000D_
callstack: (_x000D_
	0   CoreFoundation                      0x00007fff36c10b57   exceptionPreprocess   250_x000D_
	1   libobjc A dylib                     0x00007fff6fa575bf objc exception throw   48_x000D_
	2   CoreFoundation                      0x00007fff36c3934c   NSException raise    9_x000D_
	3   Foundation                          0x00007fff39200473   NSObject(NSKeyValueCoding) setValue:forKey:    363_x000D_
	4   UIKitCore                           0x00007fff778e45ea   UIViewController setValue:forKey:    87_x000D_
	5   xxxxxx                      0x00000001001cbbf8   RNShare open:failureCallback:successCallback:    2376_x000D_
	6   CoreFoundation                      0x00007fff36b768ac   invoking      140_x000D_
	7   CoreFoundation                      0x00007fff36b76751   NSInvocation invoke    303_x000D_
	8   CoreFoundation                      0x00007fff36ba9d3a   NSInvocation invokeWithTarget:    70_x000D_
	9   xxxxxx                           0x0000000100273299   RCTModuleMethod invokeWithBridge:module:arguments:    2633_x000D_
	10  xxxxxx                           0x000000010027740c  ZN8facebook5reactL11invokeInnerEP9RCTBridgeP13RCTModuleDatajRKN5folly7dynamicE   796_x000D_
	11  xxxxxx                           0x0000000100276ee6  ZZN8facebook5react15RCTNativeModule6invokeEjON5folly7dynamicEiENK3  0clEv   134_x000D_
	12  xxxxxx                           0x0000000100276e4c    ZN8facebook5react15RCTNativeModule6invokeEjON5folly7dynamicEi block invoke   28_x000D_
	13  libdispatch dylib                   0x0000000103874844  dispatch call block and release   12_x000D_
	14  libdispatch dylib                   0x0000000103875826  dispatch client callout   8_x000D_
	15  libdispatch dylib                   0x0000000103885446  dispatch main queue callback 4CF   1100_x000D_
	16  CoreFoundation                      0x00007fff36bd3e81   CFRUNLOOP IS SERVICING THE MAIN DISPATCH QUEUE     9_x000D_
	17  CoreFoundation                      0x00007fff36b93c87   CFRunLoopRun   2028_x000D_
	18  CoreFoundation                      0x00007fff36b92e3e CFRunLoopRunSpecific   462_x000D_
	19  HIToolbox                           0x00007fff357bfabd RunCurrentEventLoopInMode   292_x000D_
	20  HIToolbox                           0x00007fff357bf7d5 ReceiveNextEventCommon   584_x000D_
	21  HIToolbox                           0x00007fff357bf579  BlockUntilNextEventMatchingListInModeWithFilter   64_x000D_
	22  AppKit                              0x00007fff33e05039  DPSNextEvent   883_x000D_
	23  AppKit                              0x00007fff33e03880   NSApplication(NSEvent)  nextEventMatchingEventMask:untilDate:inMode:dequeue:    1352_x000D_
	24  AppKit                              0x00007fff33df558e   NSApplication run    658_x000D_
	25  AppKit                              0x00007fff33dc7396 NSApplicationMain   777_x000D_
	26  AppKit                              0x00007fff340e8e35  NSApplicationMainWithInfoDictionary   16_x000D_
	27  UIKitMacHelper                      0x00007fff67e56e00 UINSApplicationMain   322_x000D_
	28  UIKitCore                           0x00007fff7763b1ff UIApplicationMain   2130_x000D_
	29  xxxxxx                           0x0000000100002b21 main   97_x000D_
	30  libdyld dylib                       0x00007fff70bffcc9 start   1_x000D_
)_x000D_
_x000D_
RCTFatal_x000D_
facebook::react::invokeInner(RCTBridge   RCTModuleData   unsigned int  folly::dynamic const )_x000D_
facebook::react::RCTNativeModule::invoke(unsigned int  folly::dynamic    int)::  0::operator()() const_x000D_
invocation function for block in facebook::react::RCTNativeModule::invoke(unsigned int  folly::dynamic    int)_x000D_
 dispatch call block and release_x000D_
 dispatch client callout_x000D_
 dispatch main queue callback 4CF_x000D_
  CFRUNLOOP IS SERVICING THE MAIN DISPATCH QUEUE  _x000D_
  CFRunLoopRun_x000D_
CFRunLoopRunSpecific_x000D_
RunCurrentEventLoopInMode_x000D_
ReceiveNextEventCommon_x000D_
 BlockUntilNextEventMatchingListInModeWithFilter_x000D_
 DPSNextEvent_x000D_
  NSApplication(NSEvent)  nextEventMatchingEventMask:untilDate:inMode:dequeue: _x000D_
  NSApplication run _x000D_
NSApplicationMain_x000D_
 NSApplicationMainWithInfoDictionary_x000D_
UINSApplicationMain_x000D_
UIApplicationMain_x000D_
main_x000D_
start_x000D_
   _x000D_
    Environment_x000D_
  0 62 2_x000D_
  macOS 10 15 6 (19G73)_x000D_
_x000D_
    react native share_x000D_
 3 7 0_x000D_
_x000D_
    Link to repo (highly encouraged)_x000D_
</t>
  </si>
  <si>
    <t>TeamNewPipe-NewPipe-4015</t>
  </si>
  <si>
    <t xml:space="preserve">I cannot play video anymore </t>
  </si>
  <si>
    <t xml:space="preserve">  We have fixed the decrpytion exception and a new release is on its wait  Please do not report the bug  that no videos can be played _x000D_
If you are about to report something else  please remove this and the above line  Thank you :)_x000D_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requested stream_x000D_
    Request:   https:  www youtube com watch v gAAjOYIowaM_x000D_
    Content Country:   US_x000D_
    Content Language:   en US_x000D_
    App Language:   en US_x000D_
    Service:   YouTube_x000D_
    Version:   0 19 6_x000D_
    OS:   Linux Android 10   29_x000D_
 details  summary  b Crash log   b   summary  p _x000D_
_x000D_
   _x000D_
org schabi newpipe extractor services youtube extractors YoutubeStreamExtractor DecryptException: Could not parse decrypt function _x000D_
	at org schabi newpipe extractor services youtube extractors YoutubeStreamExtractor loadDecryptionCode(YoutubeStreamExtractor java:749)_x000D_
	at org schabi newpipe extractor services youtube extractors YoutubeStreamExtractor onFetchPage(YoutubeStreamExtractor java:633)_x000D_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 A Za z0 9     2 )     ( inside of var iea function(a) a a split(  ) var b   1215677809 null  1744521562 833462946 694270393 function(c d) d (d c length c length) c length c splice(d 1)   _x000D_
	at org schabi newpipe extractor utils Parser matchGroup(Parser java:74)_x000D_
	at org schabi newpipe extractor utils Parser matchGroup(Parser java:61)_x000D_
	at org schabi newpipe extractor utils Parser matchGroup1(Parser java:52)_x000D_
	at org schabi newpipe extractor services youtube extractors YoutubeStreamExtractor loadDecryptionCode(YoutubeStreamExtractor java:736)_x000D_
	    30 more_x000D_
_x000D_
   _x000D_
  details _x000D_
 hr _x000D_
</t>
  </si>
  <si>
    <t>green-green-avk-AnotherTerm-6</t>
  </si>
  <si>
    <t>only crashes when run on Android &lt; 4.4</t>
  </si>
  <si>
    <t xml:space="preserve">Android 4 1 2 only here (because of the hardware keyboard ) _x000D_
The crash seems to caused by some use of java lang Objects (from green green avk anotherterm App onCreate())  which is only available as API 19: https:  developer android com reference java util Objects_x000D_
_x000D_
I can provide more logs if needed  please just tell me which log level or regex filter I should use _x000D_
_x000D_
If you need a tester for 4 1  please do throw debug builds at me (even unsigned ones)  I would be glad to help _x000D_
_x000D_
AnotherTerm seems to be the only replacement for GNURoot and KBox and  for devices too old to run Termux  thank you for that  : 1: </t>
  </si>
  <si>
    <t>opensrp-opensrp-client-reveal-861</t>
  </si>
  <si>
    <t>Zambia apk Crashing after log-in</t>
  </si>
  <si>
    <t xml:space="preserve">      There is a user account in use by Akros  It log s into the android client v5 0 0 successfully  The App then syncs successfully  However  when one tries to select an operational ares  the app crashes </t>
  </si>
  <si>
    <t>libgdx-gdx-pay-219</t>
  </si>
  <si>
    <t>NullPointerException in transaction() on iOS roboVM</t>
  </si>
  <si>
    <t xml:space="preserve">     Issue details  reproduction steps code_x000D_
The game crashes during startup on a few devices  There s no pattern of whether certain versions of iOS or devices are impacted _x000D_
_x000D_
     Version of gdx pay and or relevant dependencies_x000D_
        gdxVersion    1 9 11 _x000D_
        roboVMVersion    2 3 10 SNAPSHOT _x000D_
        gdxPayVersion    1 2 0 _x000D_
        robopodsVersion    2 2 3 _x000D_
_x000D_
     Stacktrace_x000D_
   java_x000D_
java lang NullPointerException_x000D_
	at com badlogic gdx pay ios apple PurchaseManageriOSApple transaction(PurchaseManageriOSApple java:211)_x000D_
	at com badlogic gdx pay ios apple PurchaseManageriOSApple AppleTransactionObserver updatedTransactions(PurchaseManageriOSApple java:368)_x000D_
	at com badlogic gdx pay ios apple PurchaseManageriOSApple IosFetchProductsAndInstallDelegate didReceiveResponse(PurchaseManageriOSApple java:318)_x000D_
	at com badlogic gdx pay ios apple PurchaseManageriOSApple IosFetchProductsAndInstallDelegate  cb productsRequest didReceiveResponse (PurchaseManageriOSApple java)_x000D_
   _x000D_
_x000D_
   java_x000D_
java lang NullPointerException_x000D_
	at com badlogic gdx pay ios apple PurchaseManageriOSApple transaction(PurchaseManageriOSApple java:211)_x000D_
	at com badlogic gdx pay ios apple PurchaseManageriOSApple AppleTransactionObserver updatedTransactions(PurchaseManageriOSApple java:368)_x000D_
	at com badlogic gdx pay ios apple PurchaseManageriOSApple AppleTransactionObserver  cb paymentQueue updatedTransactions (PurchaseManageriOSApple java)_x000D_
	at org robovm apple uikit UIApplication main(Native Method)_x000D_
	at org robovm apple uikit UIApplication main(UIApplication java:446)_x000D_
	at my package IOSLauncher main(IOSLauncher java:317)_x000D_
   _x000D_
_x000D_
     Please select the affected platforms and payment service implementation_x000D_
      Amazon_x000D_
      googlebilling_x000D_
      googlepay_x000D_
      apple iosmoe_x000D_
   X  apple robovm_x000D_
</t>
  </si>
  <si>
    <t>Anuken-Mindustry-2282</t>
  </si>
  <si>
    <t>infinite tech tree global items bug</t>
  </si>
  <si>
    <t xml:space="preserve">  Platform  : Windows 10_x000D_
_x000D_
  Build  : BE 9101_x000D_
_x000D_
  Issue  : global items come back when im re enter in tech tree _x000D_
_x000D_
  Steps to reproduce  : entering on any sector and click on a tech tree then click on any available block then re enter in tech tree  and global items come back   https:  youtu be rm28VhSS5BA_x000D_
_x000D_
  Link to mod(s) used  if applicable  : none_x000D_
_x000D_
  Crash report  if applicable  :  no crashes that s a bug _x000D_
_x000D_
   _x000D_
_x000D_
 Place an X (no spaces) between the brackets to confirm that you have read the line below    _x000D_
        I have searched the closed and open issues to make sure that this problem has not already been reported   _x000D_
</t>
  </si>
  <si>
    <t>TeamNewPipe-NewPipe-4010</t>
  </si>
  <si>
    <t>Importing subscriptions from previous export failed</t>
  </si>
  <si>
    <t xml:space="preserve">    Version_x000D_
19 8_x000D_
_x000D_
    Steps to reproduce the bug_x000D_
1  Go subscriptions tab_x000D_
2  Press on Import from previous export_x000D_
_x000D_
    Expected behavior_x000D_
The subscriptions and saved playlists should be imported from the file_x000D_
    Actual behaviour_x000D_
A flashing message appears and it says  Could not import subscriptions  _x000D_
_x000D_
    Screenshots Screen recordings_x000D_
  Screenshot 20200729 220330 (https:  user images githubusercontent com 38200989 88828326 b8b97080 d1e8 11ea 8cdc 697b60f6acae jpg)_x000D_
_x000D_
_x000D_
    Logs_x000D_
Nothing crashes  so no logs_x000D_
_x000D_
     The file in question_x000D_
The file had been exported from NewPipe version 19 5 from the f droid repository  Import is tried to be done on version 19 8 downloaded from GitHub release section _x000D_
_x000D_
Here:_x000D_
 NewPipeData 20200729 205152 zip (https:  github com TeamNewPipe NewPipe files 4996281 NewPipeData 20200729 205152 zip)_x000D_
</t>
  </si>
  <si>
    <t>TeamNewPipe-NewPipe-4008</t>
  </si>
  <si>
    <t xml:space="preserve">Newpipe crashes when Wifi connection gets lost </t>
  </si>
  <si>
    <t xml:space="preserve">   Exception_x000D_
    User Action:   ui error_x000D_
    Request:   App crash  UI failure_x000D_
    Content Country:   GB_x000D_
    Content Language:   en_x000D_
    App Language:   de DE_x000D_
    Service:   none_x000D_
    Version:   0 19 8_x000D_
    OS:   Linux Android 8 0 0   26_x000D_
 details  summary  b Crash log   b   summary  p _x000D_
_x000D_
   _x000D_
java lang NullPointerException: Attempt to invoke virtual method  boolean java lang Thread isAlive()  on a null object reference_x000D_
	at us shandian giga get DownloadMission joinForThreads(DownloadMission java:816)_x000D_
	at us shandian giga get DownloadMission pauseThreads(DownloadMission java:520)_x000D_
	at us shandian giga get DownloadMission notifyError(DownloadMission java:362)_x000D_
	at us shandian giga get DownloadMission notifyError(DownloadMission java:308)_x000D_
	at us shandian giga get DownloadRunnable run(DownloadRunnable java:145)_x000D_
_x000D_
   _x000D_
  details _x000D_
 hr _x000D_
_x000D_
When I download videos and the Wifi connection gets lost  newpipe crashes  </t>
  </si>
  <si>
    <t>Anuken-Mindustry-2279</t>
  </si>
  <si>
    <t>Scene related exceptions don't create a crash log</t>
  </si>
  <si>
    <t xml:space="preserve">  Platform  : GNU Linux  Android 9_x000D_
_x000D_
  Build  : 104 10 firsthand  maybe master ( 2278)_x000D_
_x000D_
  Issue  : When Mindustry crashes in a UI related function like a button click callback  the stack trace is only shown in stdout  not a crash log _x000D_
_x000D_
  Steps to reproduce  : See  2278 _x000D_
_x000D_
  Crash report  if applicable  : That s the issue_x000D_
_x000D_
   _x000D_
_x000D_
 Place an X (no spaces) between the brackets to confirm that you have read the line below    _x000D_
   X    I have searched the closed and open issues to make sure that this problem has not already been reported   _x000D_
</t>
  </si>
  <si>
    <t>TeamNewPipe-NewPipe-4007</t>
  </si>
  <si>
    <t>Database Read Crash on fresh install of v0.19.8</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</si>
  <si>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v0 19 8 (GitHub version)_x000D_
Update: Just found out about your F Droid repo and decided to test that version too  That one works fine  so this is apparently only applicable to the GitHub apk _x000D_
_x000D_
    Steps to reproduce the bug_x000D_
    _x000D_
1  Go to      _x000D_
2  Press on       _x000D_
3  Swipe down to       _x000D_
   _x000D_
Install  then start it up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It goes to the main screen without issue _x000D_
    Actual behaviour_x000D_
     Tell us what happens instead     _x000D_
It briefly shows the main screen without any content  then shows an error report about not being able to open a database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Exception_x000D_
    User Action:   something_x000D_
    Request:   Bookmark_x000D_
    Content Country:   US_x000D_
    Content Language:   en US_x000D_
    App Language:   en US_x000D_
    Service:   none_x000D_
    Version:   0 19 8_x000D_
    OS:   Linux Android 9   28_x000D_
 details  summary  b Crash log   b   summary  p _x000D_
_x000D_
   _x000D_
android database sqlite SQLiteCantOpenDatabaseException: unknown error (code 14 SQLITE CANTOPEN): Could not open database_x000D_
	at android database sqlite SQLiteConnection nativeOpen(Native Method)_x000D_
	at android database sqlite SQLiteConnection open(SQLiteConnection java:211)_x000D_
	at android database sqlite SQLiteConnection open(SQLiteConnection java:195)_x000D_
	at android database sqlite SQLiteConnectionPool openConnectionLocked(SQLiteConnectionPool java:503)_x000D_
	at android database sqlite SQLiteConnectionPool open(SQLiteConnectionPool java:204)_x000D_
	at android database sqlite SQLiteConnectionPool open(SQLiteConnectionPool java:196)_x000D_
	at android database sqlite SQLiteDatabase openInner(SQLiteDatabase java:880)_x000D_
	at android database sqlite SQLiteDatabase open(SQLiteDatabase java:865)_x000D_
	at android database sqlite SQLiteDatabase openDatabase(SQLiteDatabase java:739)_x000D_
	at android database sqlite SQLiteDatabase openDatabase(SQLiteDatabase java:729)_x000D_
	at android database sqlite SQLiteOpenHelper getDatabaseLocked(SQLiteOpenHelper java:355)_x000D_
	at android database sqlite SQLiteOpenHelper getWritableDatabase(SQLiteOpenHelper java:298)_x000D_
	at androidx sqlite db framework FrameworkSQLiteOpenHelper OpenHelper getWritableSupportDatabase(FrameworkSQLiteOpenHelper java:92)_x000D_
	at androidx sqlite db framework FrameworkSQLiteOpenHelper getWritableDatabase(FrameworkSQLiteOpenHelper java:53)_x000D_
	at androidx room RoomDatabase inTransaction(RoomDatabase java:476)_x000D_
	at androidx room RoomDatabase assertNotSuspendingTransaction(RoomDatabase java:281)_x000D_
	at androidx room RoomDatabase query(RoomDatabase java:324)_x000D_
	at androidx room util DBUtil query(DBUtil java:83)_x000D_
	at org schabi newpipe database playlist dao PlaylistRemoteDAO Impl 6 call(PlaylistRemoteDAO Impl java:285)_x000D_
	at org schabi newpipe database playlist dao PlaylistRemoteDAO Impl 6 call(PlaylistRemoteDAO Impl java:282)_x000D_
	at io reactivex internal operators maybe MaybeFromCallable subscribeActual(MaybeFromCallable java:46)_x000D_
	at io reactivex Maybe subscribe(Maybe java:4290)_x000D_
	at io reactivex internal operators flowable FlowableFlatMapMaybe FlatMapMaybeSubscriber onNext(FlowableFlatMapMaybe java:132)_x000D_
	at io reactivex internal operators flowable FlowableObserveOn ObserveOnSubscriber runAsync(FlowableObserveOn java:407)_x000D_
	at io reactivex internal operators flowable FlowableObserveOn BaseObserveOnSubscriber run(FlowableObserveOn java:176)_x000D_
	at io reactivex internal schedulers ExecutorScheduler ExecutorWorker BooleanRunnable run(ExecutorScheduler java:288)_x000D_
	at io reactivex internal schedulers ExecutorScheduler ExecutorWorker run(ExecutorScheduler java:253)_x000D_
	at java util concurrent ThreadPoolExecutor runWorker(ThreadPoolExecutor java:1167)_x000D_
	at java util concurrent ThreadPoolExecutor Worker run(ThreadPoolExecutor java:641)_x000D_
	at java lang Thread run(Thread java:764)_x000D_
_x000D_
   _x000D_
  details _x000D_
 hr _x000D_
_x000D_
     That s right  here     _x000D_
</t>
  </si>
  <si>
    <t>Anuken-Mindustry-2278</t>
  </si>
  <si>
    <t>Critical bug in bleeding edge</t>
  </si>
  <si>
    <t xml:space="preserve">  Platform:   Android_x000D_
_x000D_
  Build:   BE 9085_x000D_
_x000D_
  Issue:   Game crashes after loading an existing sector_x000D_
_x000D_
  Steps to reproduce:   After leaving a sector and launching to it again  game instantly crashes  Also I ve seen turn being always 0 _x000D_
https:  youtu be bFhMDz3arK4_x000D_
_x000D_
  Link to mod(s) used  if applicable:   none_x000D_
_x000D_
  Crash report  if applicable:   I could not find any crash reports in game folder  _x000D_
_x000D_
   _x000D_
_x000D_
     X  I have searched the closed and open issues to make sure that this problem has not already been reported   </t>
  </si>
  <si>
    <t>MuntashirAkon-AppManager-48</t>
  </si>
  <si>
    <t>App crashes in details page of any app.</t>
  </si>
  <si>
    <t xml:space="preserve">App crahses when opening other tabs like Activities  services  recievers in details page of any app _x000D_
_x000D_
Device : Mi A3 (Android one)_x000D_
Android version: 10_x000D_
_x000D_
Same behaviour on Nokia 6 1 plus (Android one)_x000D_
_x000D_
Expected behaviour:_x000D_
Details about activities  services  recievers when tab is switched in app details page _x000D_
_x000D_
Actual behaviour:_x000D_
App crashes as soon as tab is switched _x000D_
_x000D_
Awesome app </t>
  </si>
  <si>
    <t>smartdevicelink-sdl_java_suite-1412</t>
  </si>
  <si>
    <t xml:space="preserve">TransportManager.exitLegacyMode () : NullPointerException </t>
  </si>
  <si>
    <t xml:space="preserve">    Bug Report_x000D_
 _x000D_
Caused by: java lang NullPointerException: Attempt to invoke virtual method  void com smartdevicelink transport TransportManagerBase close(long)  on a null object reference_x000D_
at com smartdevicelink protocol SdlProtocolBase 2 onTransportDisconnected (Unknown Source: 27)_x000D_
at com smartdevicelink transport TransportManager exitLegacyMode (Unknown Source: 53)_x000D_
at com smartdevicelink transport TransportManager 2 onReceive (Unknown Source: 18)_x000D_
 _x000D_
_x000D_
Same issue as closed issue  1213 _x000D_
      Reproduction Steps_x000D_
Issue found by FordPass using Dynatrace _x000D_
Looks like this is occuring duing clean up and thread is crashing while cleaning up_x000D_
_x000D_
      Expected Behavior_x000D_
Clean up cleaning without crash_x000D_
_x000D_
      Observed Behavior_x000D_
No observable behavior by customer   only noticed through Dynatrace logs_x000D_
_x000D_
      OS   Version Information_x000D_
  Android Version: Several versions_x000D_
  SDL Android Version: 4 9 1_x000D_
  Testing Against: Dynatrace logs from production FordPass app_x000D_
_x000D_
</t>
  </si>
  <si>
    <t>google-ExoPlayer-7690</t>
  </si>
  <si>
    <t>IndexOutOfBoundsException while doing com.google.android.exoplayer2.source.SampleDataQueue.readData(SampleDataQueue.java:309)</t>
  </si>
  <si>
    <t>_x000D_
     REQUIRED  Issue description_x000D_
_x000D_
I m effectively  reopening  issue  7580 which was closed as a duplicate of  7549 which was fixed on dev v2  with  7bc5fa8_x000D_
_x000D_
The exception reported in  7549 is different than I reported in  7580   I understand they could both be caused by the same underlying issue   However I have synced to dev v2 at 7bc5fa8 and have been able to reproduce my crash   _x000D_
_x000D_
In reviewing my reproduction steps from  7580 I realize I omitted a potentially critical piece of information   In addition to the code change mentioned  the DEFAULT MIN DURATION TO RETAIN AFTER DISCARD MS was reduced from 25sec to 2sec   This was in part because when playing at the live point with the streams we re testing  it s rare to have more than 25sec available  and because reducing the value to a very low level increases the likelihood of discarding and thus allows for better stress testing of the discard functionality   _x000D_
_x000D_
I certainly acknowledge that 2sec is likely an unrealistically low number  especially given that our segment sizes are 6sec   However I was also able to reproduce the exception with an 8sec MIN DURATION  though it took much longer to reproduce    I have not yet tested higher numbers to see if there s a point beyond which the issue no longer exhibits   _x000D_
_x000D_
What s not clear to me yet is whether a low level of 8sec (so 2 sec longer than our segment size) is the cause of the crash (i e   the algorithm should never be expected to handle such a case) or whether it s just making it easier to identify a race condition which should be addressed   _x000D_
_x000D_
The reproduction steps  environment  etc are all the same as originally reported in  7580 but I ll repeat it here _x000D_
_x000D_
2020 07 27 17:57:10 901 31317 31317 com google android exoplayer2 demo E EventLogger: playerFailed  eventTime 5821 01  mediaPos 559 28  window 0  period 0_x000D_
      com google android exoplayer2 ExoPlaybackException: Unexpected runtime error_x000D_
        at com google android exoplayer2 ExoPlayerImplInternal handleMessage(ExoPlayerImplInternal java:493)_x000D_
        at android os Handler dispatchMessage(Handler java:102)_x000D_
        at android os Looper loop(Looper java:193)_x000D_
        at android os HandlerThread run(HandlerThread java:65)_x000D_
     Caused by: java lang IndexOutOfBoundsException: off  4762  len 5027 out of bounds (size 65536)_x000D_
        at java nio Buffer checkBounds(Buffer java:587)_x000D_
        at java nio DirectByteBuffer put(DirectByteBuffer java:285)_x000D_
        at com google android exoplayer2 source SampleDataQueue readData(SampleDataQueue java:309)_x000D_
        at com google android exoplayer2 source SampleDataQueue readToBuffer(SampleDataQueue java:147)_x000D_
        at com google android exoplayer2 source SampleQueue read(SampleQueue java:346)_x000D_
        at com google android exoplayer2 source hls HlsSampleStreamWrapper readData(HlsSampleStreamWrapper java:561)_x000D_
        at com google android exoplayer2 source hls HlsSampleStream readData(HlsSampleStream java:79)_x000D_
        at com google android exoplayer2 BaseRenderer readSource(BaseRenderer java:354)_x000D_
        at com google android exoplayer2 mediacodec MediaCodecRenderer feedInputBuffer(MediaCodecRenderer java:1286)_x000D_
        at com google android exoplayer2 mediacodec MediaCodecRenderer render(MediaCodecRenderer java:835)_x000D_
        at com google android exoplayer2 ExoPlayerImplInternal doSomeWork(ExoPlayerImplInternal java:815)_x000D_
        at com google android exoplayer2 ExoPlayerImplInternal handleMessage(ExoPlayerImplInternal java:404)_x000D_
        at android os Handler dispatchMessage(Handler java:102) _x000D_
        at android os Looper loop(Looper java:193) _x000D_
        at android os HandlerThread run(HandlerThread java:65) _x000D_
     _x000D_
_x000D_
     REQUIRED  Reproduction steps_x000D_
_x000D_
Environment:_x000D_
_x000D_
    client device: TiVo Stream 4k_x000D_
_x000D_
    wireless connection is intentionally set to be close to the threshold for the stream  In this particular case  the stream (a live stream) has 6Mbps  4Mbps and 2Mbps variants and the access point is limiting the connection to 10Mbps_x000D_
_x000D_
    CODE CHANGE: in part because this stream uses the same resolution  and also because we d like to eventually have the discard be evaluated for every shift to a higher bitrate (not just higher resolution) I disabled the checks for resolution and only evaluate bitrate when determining whether to discard samples  i e   in AdaptiveTrackSelection java:_x000D_
_x000D_
       If the chunks contain video  discard from the first SD chunk beyond_x000D_
       minDurationToRetainAfterDiscardUs whose resolution and bitrate are both lower than the ideal_x000D_
       track _x000D_
    for (int i   0  i   queueSize  i  )  _x000D_
    MediaChunk chunk   queue get(i) _x000D_
    Format format   chunk trackFormat _x000D_
    long mediaDurationBeforeThisChunkUs   chunk startTimeUs   playbackPositionUs _x000D_
    long playoutDurationBeforeThisChunkUs  _x000D_
    Util getPlayoutDurationForMediaDuration(mediaDurationBeforeThisChunkUs  playbackSpeed) _x000D_
    if (playoutDurationBeforeThisChunkUs    minDurationToRetainAfterDiscardUs_x000D_
       format bitrate   idealFormat bitrate_x000D_
          format height    Format NO VALUE    format height   720_x000D_
       format width    Format NO VALUE    format width   1280_x000D_
       format height   idealFormat height  )  _x000D_
_x000D_
  CODE CHANGE: changed:_x000D_
   public static final int DEFAULT MIN DURATION TO RETAIN AFTER DISCARD MS   25 000 _x000D_
  public static final int DEFAULT MIN DURATION TO RETAIN AFTER DISCARD MS   8 000 _x000D_
_x000D_
     REQUIRED  Link to test content_x000D_
At the moment we are unable to make our video feed public  We are working on ways to address this _x000D_
_x000D_
     REQUIRED  A full bug report captured from the device_x000D_
I will capture the bug report and email it _x000D_
_x000D_
     REQUIRED  Version of ExoPlayer being used_x000D_
branch of dev v2 at: commit 7bc5fa8_x000D_
_x000D_
     REQUIRED  Device(s) and version(s) of Android being used_x000D_
Primary device used for reproduction and testing is a Tivo Stream 4K running android:_x000D_
dwc  adb shell getprop ro build version release_x000D_
9_x000D_
dwc  adb shell getprop ro build version sdk_x000D_
28</t>
  </si>
  <si>
    <t>TeamNewPipe-NewPipe-3989</t>
  </si>
  <si>
    <t>Still same issue even after 18+ Hours</t>
  </si>
  <si>
    <t xml:space="preserve">  We have fixed the decrpytion exception and a new release is on its wait  Please do not report the bug  that no videos can be played _x000D_
If you are about to report something else  please remove this and the above line  Thank you :)_x000D_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Exception_x000D_
    User Action:   requested stream_x000D_
    Request:   https:  www youtube com watch v  cdveCh1kQk_x000D_
    Content Country:   IN_x000D_
    Content Language:   en IN_x000D_
    App Language:   en IN_x000D_
    Service:   YouTube_x000D_
    Version:   0 19 7_x000D_
    OS:   Linux Android 10   29_x000D_
 details  summary  b Crash log   b   summary  p _x000D_
_x000D_
   _x000D_
org schabi newpipe extractor services youtube extractors YoutubeStreamExtractor DecryptException: Could not parse decrypt function _x000D_
	at org schabi newpipe extractor services youtube extractors YoutubeStreamExtractor loadDecryptionCode(YoutubeStreamExtractor java:786)_x000D_
	at org schabi newpipe extractor services youtube extractors YoutubeStreamExtractor onFetchPage(YoutubeStreamExtractor java:670)_x000D_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 A Za z0 9     2 )     ( inside of var iea function(a) a a split(  ) var b   1215677809 null  1744521562 833462946 694270393 function(c d) d (d c length c length) c length c splice(d 1)   _x000D_
	at org schabi newpipe extractor utils Parser matchGroup(Parser java:74)_x000D_
	at org schabi newpipe extractor utils Parser matchGroup(Parser java:61)_x000D_
	at org schabi newpipe extractor utils Parser matchGroup1(Parser java:52)_x000D_
	at org schabi newpipe extractor services youtube extractors YoutubeStreamExtractor loadDecryptionCode(YoutubeStreamExtractor java:773)_x000D_
	    30 more_x000D_
_x000D_
   _x000D_
  details _x000D_
 hr _x000D_
_x000D_
</t>
  </si>
  <si>
    <t>Anuken-Mindustry-2272</t>
  </si>
  <si>
    <t>Blocks like sorters and router take too long when used with plastanium conveyors</t>
  </si>
  <si>
    <t xml:space="preserve">  Platform  :  Android iOS Mac Windows Linux _x000D_
Mac_x000D_
  Build  :  The build number under the title in the main menu  Required  _x000D_
Its a custom build of the latest code_x000D_
  Issue  :  Explain your issue in detail  _x000D_
When distribution blocks like sorters  overflowgates  junctions  etc  are used with a plastanium conveyor they reduce it s output speed significantly  A plastanium conveyor maxes out at 2 loading zones that take input from an item source  When a sorter is placed on the conveyor  the efficiency is reduced by 2  These block don t impact the speed of any other maxed out conveyor so this shouldn t happen with the plastanium one either  Item bridges are unfortunally completly broken with these conveyors _x000D_
  Steps to reproduce  :  How you happened across the issue  and what you were doing at the time  _x000D_
Max out a plastanium conveyor (an item source with 2 plastanium conveyor loading bays next to it lead into the same conveyor) and place a sorter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</si>
  <si>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TeamNewPipe-NewPipe-3985</t>
  </si>
  <si>
    <t>newpipe crashes</t>
  </si>
  <si>
    <t xml:space="preserve">youtube crashes when i play a video heres the log_x000D_
_x000D_
  user action : requested stream   request : https:  www youtube com watch v j22ncHwoRkU   content language : en   content country : US   app language : en US   service : YouTube   package : org schabi newpipe   version : 0 19 7   os : Linux samsung dreamltexx dreamlte:9 PPR1 180610 011 G950FXXU6DSK9:user release keys 9   28   time : 2020 07 28 09:57   exceptions :  org schabi newpipe extractor services youtube extractors YoutubeStreamExtractor DecryptException: Could not parse decrypt function  n tat org schabi newpipe extractor services youtube extractors YoutubeStreamExtractor loadDecryptionCode(YoutubeStreamExtractor java:786) n tat org schabi newpipe extractor services youtube extractors YoutubeStreamExtractor onFetchPage(YoutubeStreamExtractor java:670) n tat org schabi newpipe extractor Extractor fetchPage(Extractor java:56) n tat org schabi newpipe extractor stream StreamInfo getInfo(StreamInfo java:68) n tat org schabi newpipe extractor stream StreamInfo getInfo(StreamInfo java:64) n tat org schabi newpipe util ExtractorHelper lambda getStreamInfo 3(ExtractorHelper java:116) n tat org schabi newpipe util    Lambda ExtractorHelper 5fJcha6Sq5APJBLdG6osaJby mc call(Unknown Source:4) n tat io reactivex internal operators single SingleFromCallable subscribeActual(SingleFromCallable java:44) n tat io reactivex Single subscribe(Single java:3666) n tat io reactivex internal operators single SingleDoOnSuccess subscribeActual(SingleDoOnSuccess java:35) n tat io reactivex Single subscribe(Single java:3666) n tat io reactivex internal operators maybe MaybeFromSingle subscribeActual(MaybeFromSingle java:41) n tat io reactivex Maybe subscribe(Maybe java:4290) n tat io reactivex internal operators maybe MaybeConcatArray ConcatMaybeObserver drain(MaybeConcatArray java:153) n tat io reactivex internal operators maybe MaybeConcatArray ConcatMaybeObserver request(MaybeConcatArray java:78) n tat io reactivex internal operators flowable FlowableElementAtMaybe ElementAtSubscriber onSubscribe(FlowableElementAtMaybe java:66) n tat io reactivex internal operators maybe MaybeConcatArray subscribeActual(MaybeConcatArray java:42) n tat io reactivex Flowable subscribe(Flowable java:14935) n tat io reactivex internal operators flowable FlowableElementAtMaybe subscribeActual(FlowableElementAtMaybe java:36) n tat io reactivex Maybe subscribe(Maybe java:4290) n tat io reactivex internal operators maybe MaybeToSingle subscribeActual(MaybeToSingle java:46) n tat io reactivex Single subscribe(Single java:3666) n tat io reactivex internal operators single SingleSubscribeOn SubscribeOnObserver run(SingleSubscribeOn java:89) n tat io reactivex Scheduler DisposeTask run(Scheduler java:578) n tat io reactivex internal schedulers ScheduledRunnable run(ScheduledRunnable java:66) n tat io reactivex internal schedulers ScheduledRunnable call(ScheduledRunnable java:57) n tat java util concurrent FutureTask run(FutureTask java:266) n tat java util concurrent ScheduledThreadPoolExecutor ScheduledFutureTask run(ScheduledThreadPoolExecutor java:301) n tat java util concurrent ThreadPoolExecutor runWorker(ThreadPoolExecutor java:1167) n tat java util concurrent ThreadPoolExecutor Worker run(ThreadPoolExecutor java:641) n tat java lang Thread run(Thread java:764) nCaused by: org schabi newpipe extractor utils Parser RegexException: failed to find pattern    ( A Za z0 9      2 )       ( inside of var iea function(a) a a split(    ) var b   1215677809 null  1744521562 833462946 694270393 function(c d) d (d c length c length) c length c splice(d 1)     n tat org schabi newpipe extractor utils Parser matchGroup(Parser java:74) n tat org schabi newpipe extractor utils Parser matchGroup(Parser java:61) n tat org schabi newpipe extractor utils Parser matchGroup1(Parser java:52) n tat org schabi newpipe extractor services youtube extractors YoutubeStreamExtractor loadDecryptionCode(YoutubeStreamExtractor java:773) n t    30 more n    user comment :   </t>
  </si>
  <si>
    <t>TeamNewPipe-NewPipe-3982</t>
  </si>
  <si>
    <t>Fix ACRA bug reports not containing stack trace</t>
  </si>
  <si>
    <t xml:space="preserve">     What is it _x000D_
   x  Bug fix (user facing)_x000D_
      Feature (user facing)_x000D_
   x  Code base improvement (dev facing)_x000D_
      Meta improvement to the project (dev facing)_x000D_
_x000D_
     Description of the changes in your PR_x000D_
This PR fixes blank reports not containing the stack trace (as seen in  3930)  This was caused by  MultiDex install  not being called before ACRA initialization  so ACRA could not load some of its classes and failed to initialize the stack trace collector (among others)  See ACRA acra 619 and  ACRA wiki (https:  github com ACRA acra wiki Troubleshooting Guide legacy multidex) _x000D_
_x000D_
This PR also contains two other improvements to ACRA s initialization code:_x000D_
  Skip ACRA initialization if the current process ends with  :acra  (i e  is created by ACRA): https:  github com ACRA acra wiki Troubleshooting Guide applicationoncreate_x000D_
  Remove deprecated calls to set the  ReportSender  class in the configuration:  setReportSenderFactoryClasses()  is deprecated  now extensions ( ReportSenderFactory  is an extension) should be registered using   AutoService   This commit adds two compile time dependencies and only fixes a deprecation  so it can be skipped if needed  See https:  github com ACRA acra wiki Custom Extensions by annotation_x000D_
_x000D_
I think this should be merged as soon as possible  as otherwise it is not possible debug APKs by giving them to people  as there would be no stack trace in case of errors _x000D_
_x000D_
 sup It took me ages to find the root cause of this    sup _x000D_
_x000D_
     Testing apk_x000D_
This apk crashes every time a video is opened  use that to check if ACRA correctly catches the unhandled exception _x000D_
 app debug zip (https:  github com TeamNewPipe NewPipe files 4987144 app debug zip)_x000D_
_x000D_
     Agreement_x000D_
   x  I carefully read the  contribution guidelines (https:  github com TeamNewPipe NewPipe blob HEAD  github CONTRIBUTING md) and agree to them _x000D_
</t>
  </si>
  <si>
    <t>ankidroid-Anki-Android-6760</t>
  </si>
  <si>
    <t>Cloze overlapper cards shown each day</t>
  </si>
  <si>
    <t xml:space="preserve">       Reproduction Steps_x000D_
_x000D_
1  Install the Cloze Overlapper addon in desktop Anki _x000D_
2  Create a cloze overlapper card _x000D_
3  Review on desktop  Note that multiple cloze overlapper cards are shown on the one day _x000D_
4  Sync to mobile _x000D_
5  Review on mobile  Note that  only one  cloze overlapper card is shown per day  as with cloze cards _x000D_
_x000D_
       Expected Result_x000D_
_x000D_
The behaviour matches _x000D_
_x000D_
       Actual Result_x000D_
_x000D_
Anki desktop shows multiple cloze overlapper cards each day  while anki mobile only shows one cloze overlapper card each day _x000D_
_x000D_
       Debug info_x000D_
N A  there is no crash _x000D_
_x000D_
       Research_x000D_
 Enter an  x  character to confirm the points below: 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(Optional) I have confirmed the issue is not resolved in the latest alpha release ( instructions (https:  docs ankidroid org manual html betaTesting))   I do not believe this is the case  because i can find no issues or commits about it </t>
  </si>
  <si>
    <t>TeamNewPipe-NewPipe-3968</t>
  </si>
  <si>
    <t>For every video it says cannot decrypt URL</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</si>
  <si>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For every video it says cannot decrypt URL_x000D_
_x000D_
   Exception_x000D_
    User Action:   requested stream_x000D_
    Request:   https:  www youtube com watch v  N pYotb1ik_x000D_
    Content Country:   IN_x000D_
    Content Language:   en IN_x000D_
    App Language:   en IN_x000D_
    Service:   YouTube_x000D_
    Version:   0 19 7_x000D_
    OS:   Linux Android 10   29_x000D_
 details  summary  b Crash log   b   summary  p _x000D_
_x000D_
   _x000D_
org schabi newpipe extractor services youtube extractors YoutubeStreamExtractor DecryptException: Could not parse decrypt function _x000D_
	at org schabi newpipe extractor services youtube extractors YoutubeStreamExtractor loadDecryptionCode(YoutubeStreamExtractor java:786)_x000D_
	at org schabi newpipe extractor services youtube extractors YoutubeStreamExtractor onFetchPage(YoutubeStreamExtractor java:670)_x000D_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 A Za z0 9     2 )     ( inside of var iea function(a) a a split(  ) var b   1215677809 null  1744521562 833462946 694270393 function(c d) d (d c length c length) c length c splice(d 1)   _x000D_
	at org schabi newpipe extractor utils Parser matchGroup(Parser java:74)_x000D_
	at org schabi newpipe extractor utils Parser matchGroup(Parser java:61)_x000D_
	at org schabi newpipe extractor utils Parser matchGroup1(Parser java:52)_x000D_
	at org schabi newpipe extractor services youtube extractors YoutubeStreamExtractor loadDecryptionCode(YoutubeStreamExtractor java:773)_x000D_
	    30 more_x000D_
_x000D_
   _x000D_
  details _x000D_
 hr _x000D_
</t>
  </si>
  <si>
    <t>TeamNewPipe-NewPipe-3964</t>
  </si>
  <si>
    <t>recapcha challenge requested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</si>
  <si>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 _x000D_
     Which version are you using  Hopefully the latest  We just told you that above     _x000D_
 0 19 7_x000D_
_x000D_
    Steps to reproduce the bug_x000D_
    _x000D_
1  Go to       _x000D_
2  Press on        _x000D_
3  Swipe down to       _x000D_
   _x000D_
1 Go to any videos from search or trending_x000D_
2 Press on the video to play_x000D_
     If you can t cause the bug to show up again reliably (and hence don t have a proper set of steps to give us)  please still try to give as many details as possible on how you think you encountered the bug     _x000D_
_x000D_
    Expected behavior _x000D_
     Tell us what you expect to happen     _x000D_
open the player activity and play the video_x000D_
_x000D_
    Actual behaviour _x000D_
     Tell us what happens instead     _x000D_
recapcha challenge requested _x000D_
_x000D_
only white background shows no capcha_x000D_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recapcha (https:  user images githubusercontent com 63355586 88614151 cd3a2380 d097 11ea 8cd1 9d4d6efe82a9 jpg)_x000D_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t>
  </si>
  <si>
    <t>TeamNewPipe-NewPipe-3959</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</si>
  <si>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requested stream_x000D_
    Request:   https:  www youtube com watch v z4mtWut48fI_x000D_
    Content Country:   JP_x000D_
    Content Language:   ja JP_x000D_
    App Language:   ja JP_x000D_
    Service:   YouTube_x000D_
    Version:   0 19 7_x000D_
    OS:   Linux Android 10   29_x000D_
 details  summary  b Crash log   b   summary  p _x000D_
_x000D_
   _x000D_
org schabi newpipe extractor services youtube extractors YoutubeStreamExtractor DecryptException: Could not parse decrypt function _x000D_
	at org schabi newpipe extractor services youtube extractors YoutubeStreamExtractor loadDecryptionCode(YoutubeStreamExtractor java:786)_x000D_
	at org schabi newpipe extractor services youtube extractors YoutubeStreamExtractor onFetchPage(YoutubeStreamExtractor java:670)_x000D_
	at org schabi newpipe extractor Extractor fetchPage(Extractor java:56)_x000D_
	at org schabi newpipe extractor stream StreamInfo getInfo(StreamInfo java:68)_x000D_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org schabi newpipe extractor utils Parser RegexException: failed to find pattern   ( A Za z0 9     2 )     ( inside of var iea function(a) a a split(  ) var b   1215677809 null  1744521562 833462946 694270393 function(c d) d (d c length c length) c length c splice(d 1)   _x000D_
	at org schabi newpipe extractor utils Parser matchGroup(Parser java:74)_x000D_
	at org schabi newpipe extractor utils Parser matchGroup(Parser java:61)_x000D_
	at org schabi newpipe extractor utils Parser matchGroup1(Parser java:52)_x000D_
	at org schabi newpipe extractor services youtube extractors YoutubeStreamExtractor loadDecryptionCode(YoutubeStreamExtractor java:773)_x000D_
	    30 more_x000D_
_x000D_
   _x000D_
  details _x000D_
 hr _x000D_
</t>
  </si>
  <si>
    <t>TeamNewPipe-NewPipe-3955</t>
  </si>
  <si>
    <t>The app crash after launching the video on YouTube.</t>
  </si>
  <si>
    <t xml:space="preserve">Hello  The latest version at the moment (0 19 7) crashes when opening any video on YouTube  Everything is fine with the other services  It was checked personally _x000D_
_x000D_
     Exception_x000D_
    User Action:   requested stream_x000D_
    Request:   https:  www youtube com watch v J5gpiWts5wE_x000D_
    Content Country:   RU_x000D_
    Content Language:   ru RU_x000D_
    App Language:   ru RU_x000D_
    Service:   YouTube_x000D_
    Version:   0 19 7_x000D_
    OS:   Linux  xiaomi cactus cactus:9 PPR1 180610 011 V11 0 4 0 PCBMIXM:user release keys  9   28_x000D_
 details  summary  b Crash log   b   summary  p _x000D_
_x000D_
   _x000D_
org schabi newpipe extractor services youtube extractors YoutubeStreamExtractor DecryptException: Could not parse decrypt function _x000D_
	at org schabi newpipe extractor services youtube extractors YoutubeStreamExtractor loadDecryptionCode(Unknown Source:189)_x000D_
	at org schabi newpipe extractor services youtube extractors YoutubeStreamExtractor onFetchPage(Unknown Source:221)_x000D_
	at org schabi newpipe extractor Extractor fetchPage(Unknown Source:7)_x000D_
	at org schabi newpipe extractor stream StreamInfo getInfo(Unknown Source:0)_x000D_
	at org schabi newpipe extractor stream StreamInfo getInfo(Unknown Source:4)_x000D_
	at org schabi newpipe util ExtractorHelper lambda getStreamInfo 3(Unknown Source:4)_x000D_
	at org schabi newpipe util    Lambda ExtractorHelper 5fJcha6Sq5APJBLdG6osaJby mc call(Unknown Source:4)_x000D_
	at io reactivex internal operators single SingleFromCallable subscribeActual(Unknown Source:16)_x000D_
	at io reactivex Single subscribe(Unknown Source:14)_x000D_
	at io reactivex internal operators single SingleDoOnSuccess subscribeActual(Unknown Source:7)_x000D_
	at io reactivex Single subscribe(Unknown Source:14)_x000D_
	at io reactivex internal operators maybe MaybeFromSingle subscribeActual(Unknown Source:7)_x000D_
	at io reactivex Maybe subscribe(Unknown Source:14)_x000D_
	at io reactivex internal operators maybe MaybeConcatArray ConcatMaybeObserver drain(Unknown Source:90)_x000D_
	at io reactivex internal operators maybe MaybeConcatArray ConcatMaybeObserver request(Unknown Source:11)_x000D_
	at io reactivex internal operators flowable FlowableElementAtMaybe ElementAtSubscriber onSubscribe(Unknown Source:20)_x000D_
	at io reactivex internal operators maybe MaybeConcatArray subscribeActual(Unknown Source:7)_x000D_
	at io reactivex Flowable subscribe(Unknown Source:14)_x000D_
	at io reactivex internal operators flowable FlowableElementAtMaybe subscribeActual(Unknown Source:9)_x000D_
	at io reactivex Maybe subscribe(Unknown Source:14)_x000D_
	at io reactivex internal operators maybe MaybeToSingle subscribeActual(Unknown Source:9)_x000D_
	at io reactivex Single subscribe(Unknown Source:14)_x000D_
	at io reactivex internal operators single SingleSubscribeOn SubscribeOnObserver run(Unknown Source:2)_x000D_
	at io reactivex Scheduler DisposeTask run(Unknown Source:9)_x000D_
	at io reactivex internal schedulers ScheduledRunnable run(Unknown Source:13)_x000D_
	at io reactivex internal schedulers ScheduledRunnable call(Unknown Source:0)_x000D_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org schabi newpipe extractor utils Parser RegexException: failed to find pattern   ( A Za z0 9     2 )     ( inside of var iea function(a) a a split(  ) var b   1215677809 null  1744521562 833462946 694270393 function(c d) d (d c length c length) c length c splice(d 1)   _x000D_
	at org schabi newpipe extractor utils Parser matchGroup(Unknown Source:84)_x000D_
	at org schabi newpipe extractor utils Parser matchGroup(Unknown Source:4)_x000D_
	at org schabi newpipe extractor utils Parser matchGroup1(Unknown Source:1)_x000D_
	at org schabi newpipe extractor services youtube extractors YoutubeStreamExtractor loadDecryptionCode(Unknown Source:101)_x000D_
	    30 more_x000D_
_x000D_
   _x000D_
  details _x000D_
 hr </t>
  </si>
  <si>
    <t>dimagi-commcare-android-2298</t>
  </si>
  <si>
    <t>Not crash when a form record is not found in db during purge</t>
  </si>
  <si>
    <t xml:space="preserve"> CL Link (https:  console firebase google com u 0 project commcare a57e4 crashlytics app android:org commcare dalvik issues 5b655dc36007d59fcdc38c84 time last ninety days sessionId 5F0EED230214000118638CE9816680EA DNE 0 v2)_x000D_
_x000D_
   _x000D_
Caused by java util NoSuchElementException: No record in table FORMRECORDS for ID 10_x000D_
       at org commcare models database SqlStorage getMetaDataFieldForRecord(SqlStorage java:168)_x000D_
       at org commcare tasks PurgeStaleArchivedFormsTask getSavedFormsToPurge(PurgeStaleArchivedFormsTask java:131)_x000D_
       at org commcare tasks PurgeStaleArchivedFormsTask performArchivedFormPurge(PurgeStaleArchivedFormsTask java:84)_x000D_
    _x000D_
_x000D_
When there are a lot of submitted forms on device  it s possible for the user to delete a form from Saved forms list while  this loop (https:  github com dimagi commcare android blob master app src org commcare tasks PurgeStaleArchivedFormsTask java L129) is in progress causing this crash to surface  Even though it does seem highly unlikely to happen  the issue occurrences are quite rare as well making it a possible hypothesis   </t>
  </si>
  <si>
    <t>AnySoftKeyboard-AnySoftKeyboard-2401</t>
  </si>
  <si>
    <t>AnySoftKeyboard Crashed!</t>
  </si>
  <si>
    <t xml:space="preserve">    Steps to reproduce_x000D_
1  editing abbreviations and switching between apps  Not reproducible _x000D_
_x000D_
    Actual behaviour_x000D_
_x000D_
Crash wit log_x000D_
   _x000D_
Hi  It seems that we have crashed     Here are some details:_x000D_
       UTC Time: 21:57:52 27 07 2020_x000D_
       Application name: AnySoftKeyboard (com menny android anysoftkeyboard) v1 10 1109 release 6279  Installed on 1593026215670  first release installed was 6279 _x000D_
                              _x000D_
       Exception type: io reactivex exceptions OnErrorNotImplementedException_x000D_
       Exception message: The exception was not handled due to missing onError handler in the subscribe() method call  Further reading: https:  github com ReactiveX RxJava wiki Error Handling   java lang NumberFormatException: For input string:   _x000D_
       Trace trace:_x000D_
at d a p b m a(:1)_x000D_
at d a p d h a()_x000D_
at d a p d h a()_x000D_
at d a p h h a()_x000D_
at b a e j b1 a(:47)_x000D_
at d a b a()_x000D_
at c b u y0 o b()_x000D_
at c b u y0 f a(lambda)_x000D_
at d a p d h a()_x000D_
at d a p h h a()_x000D_
at b a e j b1 a(:47)_x000D_
at d a b a()_x000D_
at c b u y0 o a()_x000D_
at b a e j b1 b(:6)_x000D_
at b a e j n a(lambda)_x000D_
at d a p d h a()_x000D_
at d a p h h a()_x000D_
at b a e j b1 a(:47)_x000D_
at d a b a()_x000D_
at b a e j b1 b()_x000D_
at b a e j v a(lambda)_x000D_
at b a e j o a(lambda:1)_x000D_
at d a p e a i0 a()_x000D_
at d a p e a i0 a()_x000D_
at d a p e a v a()_x000D_
at d a p e a f1 d(:12)_x000D_
at d a p e a g1 a()_x000D_
at d a p e a b0 b(:1)_x000D_
at d a b a(:15)_x000D_
at d a p e a h1 b(:3)_x000D_
at d a b a(:15)_x000D_
at d a p e a w b()_x000D_
at d a b a(:15)_x000D_
at d a p e a j0 b()_x000D_
at d a b a(:15)_x000D_
at d a p e a j0 b()_x000D_
at d a b a(:15)_x000D_
at d a p e a e1 b()_x000D_
at d a b a(:15)_x000D_
at d a p e a y a(:4)_x000D_
at d a p e a y a()_x000D_
at d a p e a x0 a()_x000D_
at d a p e a d1 a()_x000D_
at d a p e a v0 run()_x000D_
at d a p e a f0 b()_x000D_
at d a b a(:15)_x000D_
at d a p e a e1 b()_x000D_
at d a b a(:15)_x000D_
at d a p e a y0 run()_x000D_
at d a g run()_x000D_
at d a p g p run()_x000D_
at d a p g p call()_x000D_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Cause: java lang NumberFormatException_x000D_
   Message: For input string:   _x000D_
   Stack track: at java lang Integer parseInt(Integer java:533)_x000D_
at java lang Integer parseInt(Integer java:556)_x000D_
at c b u y0 o a(:4)_x000D_
at c b u y0 i a(lambda)_x000D_
at d a p d h a()_x000D_
at d a p h h a()_x000D_
at b a e j b1 a(:47)_x000D_
at d a b a()_x000D_
at c b u y0 o b()_x000D_
at c b u y0 f a(lambda)_x000D_
at d a p d h a()_x000D_
at d a p h h a()_x000D_
at b a e j b1 a(:47)_x000D_
at d a b a()_x000D_
at c b u y0 o a()_x000D_
at b a e j b1 b(:6)_x000D_
at b a e j n a(lambda)_x000D_
at d a p d h a()_x000D_
at d a p h h a()_x000D_
at b a e j b1 a(:47)_x000D_
at d a b a()_x000D_
at b a e j b1 b()_x000D_
at b a e j v a(lambda)_x000D_
at b a e j o a(lambda:1)_x000D_
at d a p e a i0 a()_x000D_
at d a p e a i0 a()_x000D_
at d a p e a v a()_x000D_
at d a p e a f1 d(:12)_x000D_
at d a p e a g1 a()_x000D_
at d a p e a b0 b(:1)_x000D_
at d a b a(:15)_x000D_
at d a p e a h1 b(:3)_x000D_
at d a b a(:15)_x000D_
at d a p e a w b()_x000D_
at d a b a(:15)_x000D_
at d a p e a j0 b()_x000D_
at d a b a(:15)_x000D_
at d a p e a j0 b()_x000D_
at d a b a(:15)_x000D_
at d a p e a e1 b()_x000D_
at d a b a(:15)_x000D_
at d a p e a y a(:4)_x000D_
at d a p e a y a()_x000D_
at d a p e a x0 a()_x000D_
at d a p e a d1 a()_x000D_
at d a p e a v0 run()_x000D_
at d a p e a f0 b()_x000D_
at d a b a(:15)_x000D_
at d a p e a e1 b()_x000D_
at d a b a(:15)_x000D_
at d a p e a y0 run()_x000D_
at d a g run()_x000D_
at d a p g p run()_x000D_
at d a p g p call()_x000D_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_x000D_
_x000D_
                              _x000D_
       Device information:_x000D_
BRAND:lge_x000D_
DEVICE:h850_x000D_
Build ID:lineage h850 userdebug 7 1 2 NJH47F 20200626 dev keys_x000D_
changelist number:NJH47F_x000D_
MODEL:LG H850_x000D_
PRODUCT:h1 global com_x000D_
TAGS:dev keys_x000D_
VERSION INCREMENTAL:7732d8d5a2_x000D_
VERSION RELEASE:7 1 2_x000D_
VERSION SDK INT:25_x000D_
Locale:en US_x000D_
configuration: 1 3 230mcc2mnc  en US cs CZ hu HU sk SK  ldltr sw376dp w376dp h597dp 612dpi nrml port finger  keyb v h  nav h s 59 _x000D_
That s all I know                               _x000D_
       Log Cat:_x000D_
Log contains 0 lines:_x000D_
   _x000D_
  Android OS version:  _x000D_
_x000D_
7 1 2_x000D_
0 9 OSe_x000D_
_x000D_
  Device manufacturer and model:  _x000D_
_x000D_
  List of installed add ons (like languages  or themes):  _x000D_
</t>
  </si>
  <si>
    <t>dimagi-commcare-android-2297</t>
  </si>
  <si>
    <t>Don't crash when no form is found in storage while XForm Uninstall</t>
  </si>
  <si>
    <t xml:space="preserve">Fix for   _x000D_
    _x000D_
Caused by java util NoSuchElementException: No record in table form def for ID 41_x000D_
       at org commcare models database SqlStorage readBytes(SqlStorage java:458)_x000D_
       at org commcare models database SqlStorage read(SqlStorage java:449)_x000D_
       at org commcare android resource installers XFormAndroidInstaller uninstall(XFormAndroidInstaller java:129)_x000D_
       at org commcare android resource installers XFormAndroidInstaller uninstall(XFormAndroidInstaller java:52)_x000D_
       at org commcare resources model ResourceTable uninstallResourcesForStatus(ResourceTable java:877)_x000D_
       at org commcare resources model ResourceTable clearUpgrade(ResourceTable java:852)_x000D_
    _x000D_
 CL link (https:  console firebase google com u 0 project commcare a57e4 crashlytics app android:org commcare lts issues 5b51ed486007d59fcd2cb39f time last thirty days sessionId 5F1F227202CD000116960D4D7F5E5B43 DNE 0 v2)_x000D_
_x000D_
I have not been able to reproduce it but I think it s ok behaviour for us to not crash the App when the form id of a form we are uninstalling is not found in the storage as we were going to remove that form id anyway  </t>
  </si>
  <si>
    <t>TeamNewPipe-NewPipe-3949</t>
  </si>
  <si>
    <t>newpipe loop loading video</t>
  </si>
  <si>
    <t xml:space="preserve">    _x000D_
Oh no  a bug  It happens  Thanks for reporting an issue with NewPipe  If this is your first bug report  read the following information before proceeding:_x000D_
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Newpipe can t load video from this channel https:  www youtube com channel UCn6Wa9PYgVtnRSJPug9XO4A_x000D_
I have try to change resolution but nothing change  video don t want start :( i think is problem with extractor </t>
  </si>
  <si>
    <t>material-components-material-components-android-1527</t>
  </si>
  <si>
    <t>[MaterialDatePicker] Crashes when inflating its view when colorOnPrimary is a selector</t>
  </si>
  <si>
    <t xml:space="preserve">  Description:   _x000D_
App crashes when creating a MaterialDatePicker with a color selector as the colorOnPrimary _x000D_
_x000D_
  Expected behavior:  _x000D_
App should not crash when colors used in MaterialDatePicker are selectors _x000D_
_x000D_
  Source code:   _x000D_
_x000D_
Styles xml:_x000D_
   _x000D_
 resources _x000D_
     style name  AppTheme  parent  Theme MaterialComponents Light  _x000D_
         item name  colorOnPrimary   color color selector  item _x000D_
      style _x000D_
  resources _x000D_
   _x000D_
_x000D_
color selector xml_x000D_
   _x000D_
  xml version  1 0  encoding  utf 8   _x000D_
 selector xmlns:android  http:  schemas android com apk res android  _x000D_
     item android:color   android:color holo blue bright  android:state enabled  false    _x000D_
     item android:color   ffffff    _x000D_
  selector _x000D_
   _x000D_
_x000D_
activity main xml:_x000D_
   _x000D_
  xml version  1 0  encoding  utf 8   _x000D_
 TextView xmlns:android  http:  schemas android com apk res android _x000D_
    xmlns:app  http:  schemas android com apk res auto _x000D_
    android:id    id textView _x000D_
    android:layout width  wrap content _x000D_
    android:layout height  wrap content _x000D_
    android:text  Click me    _x000D_
   _x000D_
_x000D_
MainActivity kt_x000D_
   _x000D_
class MainActivity : AppCompatActivity()  _x000D_
    override fun onCreate(savedInstanceState: Bundle )  _x000D_
        super onCreate(savedInstanceState)_x000D_
        setContentView(R layout activity main)_x000D_
        findViewById TextView (R id textView) setOnClickListener  _x000D_
            MaterialDatePicker Builder datePicker() build() show(supportFragmentManager   TAG )_x000D_
         _x000D_
     _x000D_
 _x000D_
   _x000D_
_x000D_
AndroidManifest xml_x000D_
   _x000D_
  xml version  1 0  encoding  utf 8   _x000D_
 manifest xmlns:android  http:  schemas android com apk res android _x000D_
    package  package here testmaterialcalendar  _x000D_
     application_x000D_
        android:theme   style AppTheme  _x000D_
         activity android:name   MainActivity  _x000D_
             intent filter _x000D_
                 action android:name  android intent action MAIN    _x000D_
                 category android:name  android intent category LAUNCHER    _x000D_
              intent filter _x000D_
          activity _x000D_
      application _x000D_
  manifest _x000D_
   _x000D_
_x000D_
  Android API version:   _x000D_
23_x000D_
_x000D_
  Material Library version:   _x000D_
1 3 0 alpha02_x000D_
_x000D_
  Device:   _x000D_
Emulator Nexus 5XAPI 23 x86 64_x000D_
_x000D_
Stacktrace:_x000D_
    android view InflateException: Binary XML file line  23: Binary XML file line  52: Error inflating class android view View_x000D_
        at android view LayoutInflater inflate(LayoutInflater java:539)_x000D_
        at android view LayoutInflater inflate(LayoutInflater java:423)_x000D_
        at android view LayoutInflater inflate(LayoutInflater java:374)_x000D_
        at com google android material datepicker MaterialDatePicker onCreateView(MaterialDatePicker java:209)_x000D_
        at androidx fragment app Fragment performCreateView(Fragment java:2600)_x000D_
        at androidx fragment app FragmentManagerImpl moveToState(FragmentManagerImpl java:881)_x000D_
        at androidx fragment app FragmentManagerImpl moveFragmentToExpectedState(FragmentManagerImpl java:1238)_x000D_
        at androidx fragment app FragmentManagerImpl moveToState(FragmentManagerImpl java:1303)_x000D_
        at androidx fragment app BackStackRecord executeOps(BackStackRecord java:439)_x000D_
        at androidx fragment app FragmentManagerImpl executeOps(FragmentManagerImpl java:2079)_x000D_
        at androidx fragment app FragmentManagerImpl executeOpsTogether(FragmentManagerImpl java:1869)_x000D_
        at androidx fragment app FragmentManagerImpl removeRedundantOperationsAndExecute(FragmentManagerImpl java:1824)_x000D_
        at androidx fragment app FragmentManagerImpl execPendingActions(FragmentManagerImpl java:1727)_x000D_
        at androidx fragment app FragmentManagerImpl 2 run(FragmentManagerImpl java:150)_x000D_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android view InflateException: Binary XML file line  52: Error inflating class android view View_x000D_
        at android view LayoutInflater createView(LayoutInflater java:645)_x000D_
        at android view LayoutInflater onCreateView(LayoutInflater java:677)_x000D_
        at com android internal policy PhoneLayoutInflater onCreateView(PhoneLayoutInflater java:68)_x000D_
        at android view LayoutInflater onCreateView(LayoutInflater java:694)_x000D_
        at android view LayoutInflater createViewFromTag(LayoutInflater java:762)_x000D_
        at android view LayoutInflater createViewFromTag(LayoutInflater java:704)_x000D_
        at android view LayoutInflater rInflate(LayoutInflater java:835)_x000D_
        at android view LayoutInflater parseInclude(LayoutInflater java:939)_x000D_
        at android view LayoutInflater rInflate(LayoutInflater java:831)_x000D_
        at android view LayoutInflater rInflateChildren(LayoutInflater java:798)_x000D_
        at android view LayoutInflater inflate(LayoutInflater java:515)_x000D_
        at android view LayoutInflater inflate(LayoutInflater java:423) _x000D_
        at android view LayoutInflater inflate(LayoutInflater java:374) _x000D_
        at com google android material datepicker MaterialDatePicker onCreateView(MaterialDatePicker java:209) _x000D_
        at androidx fragment app Fragment performCreateView(Fragment java:2600) _x000D_
        at androidx fragment app FragmentManagerImpl moveToState(FragmentManagerImpl java:881) _x000D_
        at androidx fragment app FragmentManagerImpl moveFragmentToExpectedState(FragmentManagerImpl java:1238) _x000D_
        at androidx fragment app FragmentManagerImpl moveToState(FragmentManagerImpl java:1303) _x000D_
        at androidx fragment app BackStackRecord executeOps(BackStackRecord java:439) _x000D_
        at androidx fragment app FragmentManagerImpl executeOps(FragmentManagerImpl java:2079) _x000D_
        at androidx fragment app FragmentManagerImpl executeOpsTogether(FragmentManagerImpl java:1869) _x000D_
        at androidx fragment app FragmentManagerImpl removeRedundantOperationsAndExecute(FragmentManagerImpl java:1824) _x000D_
        at androidx fragment app FragmentManagerImpl execPendingActions(FragmentManagerImpl java:1727) _x000D_
        at androidx fragment app FragmentManagerImpl 2 run(FragmentManagerImpl java:150) _x000D_
        at android os Handler handleCallback(Handler java:739) _x000D_
        at android os Handler dispatchMessage(Handler java:95)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Caused by: java lang reflect InvocationTargetException_x000D_
        at java lang reflect Constructor newInstance(Native Method)_x000D_
        at android view LayoutInflater createView(LayoutInflater java:619)_x000D_
        at android view LayoutInflater onCreateView(LayoutInflater java:677) _x000D_
        at com android internal policy PhoneLayoutInflater onCreateView(PhoneLayoutInflater java:68) _x000D_
        at android view LayoutInflater onCreateView(LayoutInflater java:694) _x000D_
        at android view LayoutInflater createViewFromTag(LayoutInflater java:762) _x000D_
        at android view LayoutInflater createViewFromTag(LayoutInflater java:704) _x000D_
        at android view LayoutInflater rInflate(LayoutInflater java:835) _x000D_
        at android view LayoutInflater parseInclude(LayoutInflater java:939) _x000D_
        at android view LayoutInflater rInflate(LayoutInflater java:831) _x000D_
        at android view LayoutInflater rInflateChildren(LayoutInflater java:798) _x000D_
        at android view LayoutInflater inflate(LayoutInflater java:515) _x000D_
        at android view LayoutInflater inflate(LayoutInflater java:423) _x000D_
        at android view LayoutInflater inflate(LayoutInflater java:374) _x000D_
        at com google android material datepicker MaterialDatePicker onCreateView(MaterialDatePicker java:209) _x000D_
        at androidx fragment app Fragment performCreateView(Fragment java:2600) _x000D_
        at androidx fragment app FragmentManagerImpl moveToState(FragmentManagerImpl java:881) _x000D_
        at androidx fragment app FragmentManagerImpl moveFragmentToExpectedState(FragmentManagerImpl java:1238) _x000D_
        at androidx fragment app FragmentManagerImpl moveToState(FragmentManagerImpl java:1303) _x000D_
        at androidx fragment app BackStackRecord executeOps(BackStackRecord java:439) _x000D_
        at androidx fragment app FragmentManagerImpl executeOps(FragmentManagerImpl java:2079) _x000D_
        at androidx fragment app FragmentManagerImpl executeOpsTogether(FragmentManagerImpl java:1869) _x000D_
        at androidx fragment app FragmentManagerImpl removeRedundantOperationsAndExecute(FragmentManagerImpl java:1824) _x000D_
        at androidx fragment app FragmentManagerImpl execPendingActions(FragmentManagerImpl java:1727) _x000D_
        at androidx fragment app FragmentManagerImpl 2 run(FragmentManagerImpl java:150) _x000D_
        at android os Handler handleCallback(Handler java:739) _x000D_
        at android os Handler dispatchMessage(Handler java:95)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Caused by: android content res Resources NotFoundException: File res color color selector xml from drawable resource ID  0x7f050030_x000D_
        at android content res Resources loadDrawableForCookie(Resources java:2640)_x000D_
        at android content res Resources loadDrawable(Resources java:2540)_x000D_
        at android content res TypedArray getDrawable(TypedArray java:870)_x000D_
        at android view View  init (View java:3948)_x000D_
        at android view View  init (View java:3855)_x000D_
        at android view View  init (View java:3834)_x000D_
        at java lang reflect Constructor newInstance(Native Method) _x000D_
        at android view LayoutInflater createView(LayoutInflater java:619) _x000D_
        at android view LayoutInflater onCreateView(LayoutInflater java:677) _x000D_
        at com android internal policy PhoneLayoutInflater onCreateView(PhoneLayoutInflater java:68) _x000D_
        at android view LayoutInflater onCreateView(LayoutInflater java:694) _x000D_
        at android view LayoutInflater createViewFromTag(LayoutInflater java:762) _x000D_
        at android view LayoutInflater createViewFromTag(LayoutInflater java:704) _x000D_
        at android view LayoutInflater rInflate(LayoutInflater java:835) _x000D_
        at android view LayoutInflater parseInclude(LayoutInflater java:939) _x000D_
        at android view LayoutInflater rInflate(LayoutInflater java:831) _x000D_
        at android view LayoutInflater rInflateChildren(LayoutInflater java:798) _x000D_
        at android view LayoutInflater inflate(LayoutInflater java:515) _x000D_
        at android view LayoutInflater inflate(LayoutInflater java:423) _x000D_
        at android view LayoutInflater inflate(LayoutInflater java:374) _x000D_
        at com google android material datepicker MaterialDatePicker onCreateView(MaterialDatePicker java:209) _x000D_
        at androidx fragment app Fragment performCreateView(Fragment java:2600) _x000D_
        at androidx fragment app FragmentManagerImpl moveToState(FragmentManagerImpl java:881) _x000D_
        at androidx fragment app FragmentManagerImpl moveFragmentToExpectedState(FragmentManagerImpl java:1238) _x000D_
        at androidx fragment app FragmentManagerImpl moveToState(FragmentManagerImpl java:1303) _x000D_
        at androidx fragment app BackStackRecord executeOps(BackStackRecord java:439) _x000D_
        at androidx fragment app FragmentManagerImpl executeOps(FragmentManagerImpl java:2079) _x000D_
        at androidx fragment app FragmentManagerImpl executeOpsTogether(FragmentManagerImpl java:1869) _x000D_
        at androidx fragment app FragmentManagerImpl removeRedundantOperationsAndExecute(FragmentManagerImpl java:1824) _x000D_
        at androidx fragment app FragmentManagerImpl execPendingActions(FragmentManagerImpl java:1727) _x000D_
        at androidx fragment app FragmentManagerImpl 2 run(FragmentManagerImpl java:150) _x000D_
        at android os Handler handleCallback(Handler java:739) _x000D_
        at android os Handler dispatchMessage(Handler java:95)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Caused by: org xmlpull v1 XmlPullParserException: Binary XML file line  3:  item  tag requires a  drawable  attribute or child tag defining a drawable_x000D_
        at android graphics drawable StateListDrawable inflateChildElements(StateListDrawable java:182)_x000D_
        at android graphics drawable StateListDrawable inflate(StateListDrawable java:115)_x000D_
        at android graphics drawable Drawable createFromXmlInner(Drawable java:1215)_x000D_
        at android graphics drawable Drawable createFromXml(Drawable java:1124)_x000D_
        at android content res Resources loadDrawableForCookie(Resources java:2630)_x000D_
        at android content res Resources loadDrawable(Resources java:2540) _x000D_
        at android content res TypedArray getDrawable(TypedArray java:870) _x000D_
        at android view View  init (View java:3948) _x000D_
        at android view View  init (View java:3855) _x000D_
        at android view View  init (View java:3834) _x000D_
        at java lang reflect Constructor newInstance(Native Method) _x000D_
        at android view LayoutInflater createView(LayoutInflater java:619) _x000D_
        at android view LayoutInflater onCreateView(LayoutInflater java:677) _x000D_
        at com android internal policy PhoneLayoutInflater onCreateView(PhoneLayoutInflater java:68) _x000D_
        at android view LayoutInflater onCreateView(LayoutInflater java:694) _x000D_
        at android view LayoutInflater createViewFromTag(LayoutInflater java:762) _x000D_
        at android view LayoutInflater createViewFromTag(LayoutInflater java:704) _x000D_
        at android view LayoutInflater rInflate(LayoutInflater java:835) _x000D_
        at android view LayoutInflater parseInclude(LayoutInflater java:939) _x000D_
        at android view LayoutInflater rInflate(LayoutInflater java:831) _x000D_
        at android view LayoutInflater rInflateChildren(LayoutInflater java:798) _x000D_
        at android view LayoutInflater inflate(LayoutInflater java:515) _x000D_
        at android view LayoutInflater inflate(LayoutInflater java:423) _x000D_
        at android view LayoutInflater inflate(LayoutInflater java:374) _x000D_
        at com google android material datepicker MaterialDatePicker onCreateView(MaterialDatePicker java:209) _x000D_
        at androidx fragment app Fragment performCreateView(Fragment java:2600) _x000D_
        at androidx fragment app FragmentManagerImpl moveToState(FragmentManagerImpl java:881) _x000D_
        at androidx fragment app FragmentManagerImpl moveFragmentToExpectedState(FragmentManagerImpl java:1238) _x000D_
        at androidx fragment app FragmentManagerImpl moveToState(FragmentManagerImpl java:1303) _x000D_
        at androidx fragment app BackStackRecord executeOps(BackStackRecord java:439) _x000D_
        at androidx fragment app FragmentManagerImpl executeOps(FragmentManagerImpl java:2079) _x000D_
        at androidx fragment app FragmentManagerImpl executeOpsTogether(FragmentManagerImpl java:1869) _x000D_
        at androidx fragment app FragmentManagerImpl removeRedundantOperationsAndExecute(FragmentManagerImpl java:1824) _x000D_
        at androidx fragment app FragmentManagerImpl execPendingActions(FragmentManagerImpl java:1727) _x000D_
        at androidx fragment app FragmentManagerImpl 2 run(FragmentManagerImpl java:150) _x000D_
        at android os Handler handleCallback(Handler java:739) _x000D_
        at android os Handler dispatchMessage(Handler java:95)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_x000D_
</t>
  </si>
  <si>
    <t>cgeo-cgeo-8689</t>
  </si>
  <si>
    <t>IndexOutOfBounds Exception in CacheListAdapter</t>
  </si>
  <si>
    <t>Google Play crash report for 2020 07 26 RC  Currently only one user (Moto G  Android 6):_x000D_
_x000D_
   _x000D_
java lang ArrayIndexOutOfBoundsException: _x000D_
 _x000D_
  at cgeo geocaching ui CacheListAdapter getPositionForSection (CacheListAdapter java:770)_x000D_
 _x000D_
  at android widget FastScroller getPosFromItemCount (FastScroller java:1287)_x000D_
 _x000D_
  at android widget FastScroller onItemCountChanged (FastScroller java:520)_x000D_
 _x000D_
  at android widget AbsListView onLayout (AbsListView java:2155)_x000D_
 _x000D_
  at android view View layout (View java:16646)_x000D_
 _x000D_
  at android view ViewGroup layout (ViewGroup java:5440)_x000D_
 _x000D_
  at android widget LinearLayout setChildFrame (LinearLayout java:1743)_x000D_
 _x000D_
  at android widget LinearLayout layoutVertical (LinearLayout java:1586)_x000D_
 _x000D_
  at android widget LinearLayout onLayout (LinearLayout java:1495)_x000D_
 _x000D_
  at android view View layout (View java:16646)_x000D_
 _x000D_
  at android view ViewGroup layout (ViewGroup java:5440)_x000D_
 _x000D_
  at android widget FrameLayout layoutChildren (FrameLayout java:336)_x000D_
 _x000D_
  at android widget FrameLayout onLayout (FrameLayout java:273)_x000D_
 _x000D_
  at android view View layout (View java:16646)_x000D_
 _x000D_
  at android view ViewGroup layout (ViewGroup java:5440)_x000D_
 _x000D_
  at androidx appcompat widget ActionBarOverlayLayout onLayout (ActionBarOverlayLayout java:446)_x000D_
 _x000D_
  at android view View layout (View java:16646)_x000D_
 _x000D_
  at android view ViewGroup layout (ViewGroup java:5440)_x000D_
 _x000D_
  at android widget FrameLayout layoutChildren (FrameLayout java:336)_x000D_
 _x000D_
  at android widget FrameLayout onLayout (FrameLayout java:273)_x000D_
 _x000D_
  at android view View layout (View java:16646)_x000D_
 _x000D_
  at android view ViewGroup layout (ViewGroup java:5440)_x000D_
 _x000D_
  at android widget LinearLayout setChildFrame (LinearLayout java:1743)_x000D_
 _x000D_
  at android widget LinearLayout layoutVertical (LinearLayout java:1586)_x000D_
 _x000D_
  at android widget LinearLayout onLayout (LinearLayout java:1495)_x000D_
 _x000D_
  at android view View layout (View java:16646)_x000D_
 _x000D_
  at android view ViewGroup layout (ViewGroup java:5440)_x000D_
   _x000D_
 _x000D_
  at android widget FrameLayout layoutChildren (FrameLayout java:336)_x000D_
 _x000D_
  at android widget FrameLayout onLayout (FrameLayout java:273)_x000D_
 _x000D_
  at com android internal policy PhoneWindow DecorView onLayout (PhoneWindow java:2678)_x000D_
 _x000D_
  at android view View layout (View java:16646)_x000D_
 _x000D_
  at android view ViewGroup layout (ViewGroup java:5440)_x000D_
 _x000D_
  at android view ViewRootImpl performLayout (ViewRootImpl java:2183)_x000D_
 _x000D_
  at android view ViewRootImpl performTraversals (ViewRootImpl java:1943)_x000D_
 _x000D_
  at android view ViewRootImpl doTraversal (ViewRootImpl java:1119)_x000D_
 _x000D_
  at android view ViewRootImpl TraversalRunnable run (ViewRootImpl java:6060)_x000D_
 _x000D_
  at android view Choreographer CallbackRecord run (Choreographer java:858)_x000D_
 _x000D_
  at android view Choreographer doCallbacks (Choreographer java:670)_x000D_
 _x000D_
  at android view Choreographer doFrame (Choreographer java:606)_x000D_
 _x000D_
  at android view Choreographer FrameDisplayEventReceiver run (Choreographer java:844)_x000D_
 _x000D_
  at android os Handler handleCallback (Handler java:746)_x000D_
 _x000D_
  at android os Handler dispatchMessage (Handler java:95)_x000D_
 _x000D_
  at android os Looper loop (Looper java:148)_x000D_
 _x000D_
  at android app ActivityThread main (ActivityThread java:5443)_x000D_
 _x000D_
  at java lang reflect Method invoke (Native Method)_x000D_
 _x000D_
  at com android internal os ZygoteInit MethodAndArgsCaller run (ZygoteInit java:728)_x000D_
 _x000D_
  at com android internal os ZygoteInit main (ZygoteInit java:618)</t>
  </si>
  <si>
    <t>opensrp-opensrp-client-reveal-848</t>
  </si>
  <si>
    <t xml:space="preserve">The app crashes </t>
  </si>
  <si>
    <t xml:space="preserve">Login to the latest apk:_x000D_
https:  github com OpenSRP opensrp client reveal releases download v4 3 0 opensrp reveal release 4 3 0 zm apk_x000D_
Credentials: onaeng Amani123_x000D_
Ensure it shows zambia production _x000D_
Observe how the app crashes after you login_x000D_
  image (https:  user images githubusercontent com 61143692 88524609 3e2efc00 d002 11ea 9226 378f0655d0e4 png)_x000D_
</t>
  </si>
  <si>
    <t>TeamNewPipe-NewPipe-3945</t>
  </si>
  <si>
    <t>Search limited to only twenty videos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</si>
  <si>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 0 19 5_x000D_
     Which version are you using  Hopefully the latest  We just told you that above     _x000D_
 _x000D_
_x000D_
    Steps to reproduce the bug_x000D_
    uninstalled   reinstalled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To have more than twenty videos or only one page per search _x000D_
    Actual behaviour_x000D_
     Tell us what happens instead     _x000D_
Only one page per search  search won t move off page_x000D_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</si>
  <si>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google-ExoPlayer-7672</t>
  </si>
  <si>
    <t>dev-v2 latest: Playback can get stuck buffering after seeking</t>
  </si>
  <si>
    <t xml:space="preserve">     REQUIRED  Issue description_x000D_
Last changes on dev v2 branch from Jul 24  2020 is causing problem on three situations _x000D_
_x000D_
  1  starting a hls VOD passing a starting  position   0   _x000D_
_x000D_
The playback will not start as expect  it will stall  and after a few seconds will start from the  position   0   This is not a expected buffer stall  is something unusual way longer then the normal starting buffer _x000D_
_x000D_
I notice that when the stall happen the buffer size  player getTotalBufferedDuration()  incrises more and more  after 5 to 10 seconds it goes back to 0 and the playback starts from the passed position _x000D_
_x000D_
It seems that the playback is starting from the position 0  but as the starting position is    0  it will not play  but it will buffer starting from 0 then drops the buffer and only after that start from  position   0  _x000D_
_x000D_
  2  seekTo() backwards on a hls VOD  _x000D_
_x000D_
It just stall  the buffer incrises until the limit reaches and the player stay stalled on  STATE BUFFERING  _x000D_
_x000D_
  3  This is personal  just a change I do that may help understand were the issue is  _x000D_
_x000D_
On Live hls playback I change this line _x000D_
_x000D_
https:  github com google ExoPlayer blob 6fb28a8dc91ee0d0542e7b9e6647656c64c35e37 library hls src main java com google android exoplayer2 source hls HlsMediaSource java L523_x000D_
_x000D_
To be time base like this:_x000D_
_x000D_
           windowDefaultStartPositionUs   playlist durationUs   2000000 _x000D_
 _x000D_
_x000D_
Starting the playback close to the live window as possible when the user choose to _x000D_
_x000D_
But that is causing the same stall as seeking backwards_x000D_
_x000D_
Now I have change this to _x000D_
_x000D_
           windowDefaultStartPositionUs   segments get(segments size()   1) relativeStartTimeUs _x000D_
 _x000D_
_x000D_
There is others checks to prevent issues  that is just a sample how it can end up working   _x000D_
_x000D_
This third issue is not something that I expect to be fixed  is just a information that show a problem  I already added my  fix  _x000D_
_x000D_
So before was possible to start a playback passing any time inside the duration to start the playback  now is necessary a precise time position of a segment  at least for lives _x000D_
_x000D_
So this may help find the cause of issue 1 and 2 _x000D_
_x000D_
     REQUIRED  Reproduction steps_x000D_
Already explain on description _x000D_
_x000D_
     REQUIRED  Link to test content_x000D_
I assume any hls vod will cause this_x000D_
_x000D_
     REQUIRED  A full bug report captured from the device_x000D_
Not a crash so I assume one can reproduce it very easy and get the logs if necessary_x000D_
_x000D_
     REQUIRED  Version of ExoPlayer being used_x000D_
dev v2_x000D_
_x000D_
     REQUIRED  Device(s) and version(s) of Android being used_x000D_
Not a specific device or OS issue _x000D_
</t>
  </si>
  <si>
    <t>dimagi-commcare-android-2296</t>
  </si>
  <si>
    <t>Crash fix on resuming activity after application got killed in background</t>
  </si>
  <si>
    <t xml:space="preserve"> CL Stacktrace (https:  console firebase google com u 1 project commcare a57e4 crashlytics app android:org commcare lts issues 22393eab9b0fdf1a38851e7e9ddf9807 time last ninety days sessionId 5F1C4D5500830001114CB1933390E1DC DNE 0 v2)_x000D_
_x000D_
    _x000D_
Caused by java lang NullPointerException: Attempt to invoke virtual method  int java lang String lastIndexOf(java lang String)  on a null object reference_x000D_
       at org commcare activities components FormEntryInstanceState getInstanceFolder(FormEntryInstanceState java:132)_x000D_
       at org commcare activities FormEntryActivity onActivityResultSessionSafe(FormEntryActivity java:312)_x000D_
    _x000D_
_x000D_
Summary: Happens when we make a callout to an external app in FormEntry and before the user returns to CommCare  CommCare gets killed in background  _x000D_
_x000D_
Repro:_x000D_
_x000D_
  Start a from entry and go to an Image question and fire  Take picture  option to open up Camera app_x000D_
  Press Home_x000D_
  Kill CommCare by using Ansdroid Studio  stop  button in Logcat tab_x000D_
  Resume the camera app from recent apps_x000D_
  Take picture and click done_x000D_
  Observe the crash when OS tries to resume form entry  _x000D_
_x000D_
Solution: _x000D_
_x000D_
In cases when we resume from a background kill  the session gets cleared from the memory and we direct the user to LoginActivity in  onCreate   This is the behaviour that works correctly today when CommCare gets killed in background in the  FormEntryActivity   Though before the Android code gets executed to open up  LoginActivity  and finish  FormEntryActivity    FormEntryActivity   onResume  gets triggered simultaneously resulting in  onActivityResult  getting called and hence this crash  I am explicitly calling the  finish  after we redirect to   LoginActivity  so that  FormEntryActivity  don t proceed further in it s lifecycle  </t>
  </si>
  <si>
    <t>nextcloud-android-6544</t>
  </si>
  <si>
    <t>Nextcloud crashes when there is too many pictures to upload</t>
  </si>
  <si>
    <t xml:space="preserve">    Steps to reproduce_x000D_
1  point auto upload to folder with many pictures (1200 in my case) _x000D_
2  set it to upload pictures already there_x000D_
3  after a while crash report appears (several minutes) _x000D_
4  folders with smaller amount of pictures work fine (300)_x000D_
_x000D_
    Expected behaviour_x000D_
  app should upload files or at least notify that there is too many pictures in one folder _x000D_
_x000D_
    Actual behaviour_x000D_
  app crashes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9_x000D_
_x000D_
Device model: nokia 8 TA 1004_x000D_
_x000D_
Stock or customized system:Stock_x000D_
_x000D_
Nextcloud app version: 3 12 1_x000D_
_x000D_
Nextcloud server version: 19_x000D_
_x000D_
Reverse proxy:_x000D_
_x000D_
    Logs_x000D_
     Web server error log_x000D_
   _x000D_
Insert your webserver log here_x000D_
   _x000D_
_x000D_
     Nextcloud log (data nextcloud log)_x000D_
   _x000D_
Insert your Nextcloud log here_x000D_
   _x000D_
Nextcloud app crash report:_x000D_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aHDCyBROiF y ytOXVnwjA   base apk   nativeLibraryDirectories   data app com nextcloud client aHDCyBROiF y ytOXVnwjA   lib arm64   data app com nextcloud client aHDCyBROiF y ytOXVnwjA   base apk  lib arm64 v8a   system lib64   system vendor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30120190_x000D_
Build flavor: gplay_x000D_
_x000D_
             DEVICE INFORMATION             _x000D_
Brand: Nokia_x000D_
Device: NB1_x000D_
Model: TA 1004_x000D_
Id: PPR1 180610 011_x000D_
Product: TA 1004 00WW_x000D_
_x000D_
             FIRMWARE             _x000D_
SDK: 28_x000D_
Release: 9_x000D_
Incremental: 00WW 5 15I_x000D_
_x000D_
  NOTE:   Be super sure to remove sensitive data like passwords  note that everybody can look here  You can use the Issue Template application to prefill some of the required information: https:  apps nextcloud com apps issuetemplate_x000D_
</t>
  </si>
  <si>
    <t>Anuken-Mindustry-2265</t>
  </si>
  <si>
    <t>Meltdown firing bullets instead of laser</t>
  </si>
  <si>
    <t xml:space="preserve">Platform: Windows_x000D_
_x000D_
Build: 104 10_x000D_
_x000D_
Issue:Meltdown fires bullets instead of lasers it s supposed to fire and it s so awkward   Video footage (https:  youtu be 5uNyy9mPCbM)_x000D_
_x000D_
Steps to reproduce: Place meltdown right in front of enemy wall supply it with coolant and power  Doesn t always occur tho_x000D_
_x000D_
Link to mod(s) used  if applicable: Don t have any mod installed_x000D_
_x000D_
Crash report  if applicable: The game didn t crash because of this_x000D_
_x000D_
   _x000D_
_x000D_
Place an X (no spaces) between the brackets to confirm that you have read the line below _x000D_
   X  I have searched the closed and open issues to make sure that this problem has not already been reported _x000D_
</t>
  </si>
  <si>
    <t>cgeo-cgeo-8672</t>
  </si>
  <si>
    <t>NPE in routesort view when loading not yet finished</t>
  </si>
  <si>
    <t xml:space="preserve">  Describe the bug:  _x000D_
I m receiving an NPE in routesort view  when the individual route contains caches not yet loaded _x000D_
This can happen if you add caches in live view  which have not been stored locally  If you open the map the next time  and those caches have not been loaded yet again  routesort will crash with NPE _x000D_
_x000D_
  Version of c:geo used:  _x000D_
Current master branch version _x000D_
_x000D_
  Is the problem reproducible:  _x000D_
yes_x000D_
_x000D_
  Additional context:  _x000D_
   _x000D_
 java lang NullPointerException: Attempt to invoke interface method  java lang String cgeo geocaching models ILogable getName()  on a null object reference_x000D_
        at cgeo geocaching maps routing RouteSortActivity 1 getView(RouteSortActivity java:63)_x000D_
        at android widget AbsListView obtainView(AbsListView java:2405)_x000D_
        at android widget ListView makeAndAddView(ListView java:2071)_x000D_
        at android widget ListView fillDown(ListView java:797)_x000D_
   _x000D_
   _x000D_
_x000D_
</t>
  </si>
  <si>
    <t>TeamNewPipe-NewPipe-3935</t>
  </si>
  <si>
    <t>Audio unsynchronised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</si>
  <si>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5_x000D_
_x000D_
    Steps to reproduce the bug_x000D_
_x000D_
1  Open newpipe_x000D_
2  Launch a video (any quality  any speed)_x000D_
3 Look closely and after sometimes (2 5 minutes) you should see that the audio is slightly behind the video_x000D_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Audio and video synchronised throughout the video_x000D_
_x000D_
    Actual behaviour_x000D_
     Tell us what happens instead     _x000D_
After some times the audio lag behind the video  Closing and opening the video fix the problem but it start again after some time (in the same video)_x000D_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Xiaomi Mi 9T   Android 9</t>
  </si>
  <si>
    <t>nextcloud-android-6542</t>
  </si>
  <si>
    <t>3.13 RC1 crashes</t>
  </si>
  <si>
    <t xml:space="preserve">Plenty of crashes still with the new RC1 release  like the previous 3 12 3 11  It keeps crashing in background  popping up with FC and ARN dialogues  as well as when inside the app  Most of them do not present the error message upon opening the app  The log is littered with thousands of various query messages  What do I search for to get error messages _x000D_
_x000D_
    Steps to reproduce_x000D_
1  Have Nextcloud on your phone _x000D_
2  Have opened it at least once to get it running_x000D_
3  _x000D_
_x000D_
    Expected behaviour_x000D_
There should be no crashes in foreground nor background _x000D_
_x000D_
    Actual behaviour_x000D_
App constantly crashes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10_x000D_
_x000D_
Device model: Google Pixel 2_x000D_
_x000D_
Stock or customized system: stock_x000D_
_x000D_
Nextcloud app version: 3 13 RC1_x000D_
_x000D_
Nextcloud server version: 19 0 1_x000D_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</si>
  <si>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nextcloud-android-6541</t>
  </si>
  <si>
    <t>Nextcloud v3 - sqLite error on Android</t>
  </si>
  <si>
    <t xml:space="preserve">    Steps to reproduce_x000D_
1  open Nextcloud  Android app_x000D_
2  click Log in button_x000D_
3  enter server s address_x000D_
_x000D_
_x000D_
    Expected behaviour_x000D_
  view app dashboard_x000D_
_x000D_
    Actual behaviour_x000D_
  crash_x000D_
_x000D_
    Environment data_x000D_
Android version: 8 0 0_x000D_
_x000D_
Device model: Sony Xperia XZ (F8331) _x000D_
_x000D_
Stock or customized system:_x000D_
_x000D_
Nextcloud app version: 3 12 1_x000D_
_x000D_
Nextcloud server version: 16_x000D_
_x000D_
Reverse proxy:_x000D_
_x000D_
_x000D_
    Logs_x000D_
_x000D_
             CAUSE OF ERROR             _x000D_
_x000D_
android database sqlite SQLiteReadOnlyDatabaseException: attempt to write a readonly database (code 1032)_x000D_
	at android database sqlite SQLiteConnection nativeExecuteForChangedRowCount(Native Method)_x000D_
	at android database sqlite SQLiteConnection executeForChangedRowCount(SQLiteConnection java:740)_x000D_
	at android database sqlite SQLiteSession executeForChangedRowCount(SQLiteSession java:754)_x000D_
	at android database sqlite SQLiteStatement executeUpdateDelete(SQLiteStatement java:64)_x000D_
	at android database sqlite SQLiteDatabase updateWithOnConflict(SQLiteDatabase java:1579)_x000D_
	at android database sqlite SQLiteDatabase update(SQLiteDatabase java:1525)_x000D_
	at com owncloud android providers FileContentProvider update(FileContentProvider java:643)_x000D_
	at com owncloud android providers FileContentProvider update(FileContentProvider java:627)_x000D_
	at android content ContentProvider Transport update(ContentProvider java:359)_x000D_
	at android content ContentResolver update(ContentResolver java:1675)_x000D_
	at com owncloud android datamodel FileDataStorageManager saveCapabilities(FileDataStorageManager java:1967)_x000D_
	at com owncloud android operations GetCapabilitiesOperation run(GetCapabilitiesOperation java:44)_x000D_
	at com owncloud android lib common operations RemoteOperation execute(RemoteOperation java:136)_x000D_
	at com owncloud android operations common SyncOperation execute(SyncOperation java:64)_x000D_
	at com owncloud android operations RefreshFolderOperation updateCapabilities(RefreshFolderOperation java:287)_x000D_
	at com owncloud android operations RefreshFolderOperation updateOCVersion(RefreshFolderOperation java:267)_x000D_
	at com owncloud android operations RefreshFolderOperation run(RefreshFolderOperation java:220)_x000D_
	at com owncloud android lib common operations RemoteOperation run(RemoteOperation java:357)_x000D_
	at java lang Thread run(Thread java:764)_x000D_
_x000D_
             APP INFORMATION             _x000D_
ID: com nextcloud client_x000D_
Version: 30120190_x000D_
Build flavor: gplay_x000D_
_x000D_
             DEVICE INFORMATION             _x000D_
Brand: Sony_x000D_
Device: F8331_x000D_
Model: F8331_x000D_
Id: 41 3 A 2 192_x000D_
Product: F8331_x000D_
_x000D_
             FIRMWARE             _x000D_
SDK: 26_x000D_
Release: 8 0 0_x000D_
Incremental: 1629831864_x000D_
</t>
  </si>
  <si>
    <t>burhanrashid52-PhotoEditor-263</t>
  </si>
  <si>
    <t>ArrayIndexOutOfBoundsException at ja.burhanrashid52.photoeditor.BitmapUtil.removeTransparency (BitmapUtil.java:46)</t>
  </si>
  <si>
    <t xml:space="preserve">I have crash reports of ArrayIndexOutOfBoundsException through Crashlytics in my app:_x000D_
_x000D_
 java lang RuntimeException: _x000D_
  at android os AsyncTask 3 done (AsyncTask java:353)_x000D_
  at java util concurrent FutureTask finishCompletion (FutureTask java:383)_x000D_
  at java util concurrent FutureTask setException (FutureTask java:252)_x000D_
  at java util concurrent FutureTask run (FutureTask java:271)_x000D_
  at android os AsyncTask SerialExecutor 1 run (AsyncTask java:245)_x000D_
  at java util concurrent ThreadPoolExecutor runWorker (ThreadPoolExecutor java:1162)_x000D_
  at java util concurrent ThreadPoolExecutor Worker run (ThreadPoolExecutor java:636)_x000D_
  at java lang Thread run (Thread java:764)_x000D_
Caused by: java lang ArrayIndexOutOfBoundsException: _x000D_
  at ja burhanrashid52 photoeditor BitmapUtil removeTransparency (BitmapUtil java:46)_x000D_
  at ja burhanrashid52 photoeditor PhotoEditor 6 1 doInBackground (PhotoEditor java:743)_x000D_
  at ja burhanrashid52 photoeditor PhotoEditor 6 1 doInBackground (PhotoEditor java:730)_x000D_
  at android os AsyncTask 2 call (AsyncTask java:333)_x000D_
  at java util concurrent FutureTask run (FutureTask java:266)_x000D_
  at android os AsyncTask SerialExecutor 1 run (AsyncTask java:245)_x000D_
  at java util concurrent ThreadPoolExecutor runWorker (ThreadPoolExecutor java:1162)_x000D_
  at java util concurrent ThreadPoolExecutor Worker run (ThreadPoolExecutor java:636)_x000D_
  at java lang Thread run (Thread java:764) _x000D_
_x000D_
Unfortunately  I cannot provide any more information at the moment other than this _x000D_
_x000D_
I am using  implementation  ja burhanrashid52:photoeditor:1 0 0  </t>
  </si>
  <si>
    <t>1pdinesh-Keychat-4</t>
  </si>
  <si>
    <t>Gps feature cause application to crash</t>
  </si>
  <si>
    <t xml:space="preserve">There is still a problem with the gps feature that causes the application to crash  </t>
  </si>
  <si>
    <t>nextcloud-android-6540</t>
  </si>
  <si>
    <t>Samsung Note 9</t>
  </si>
  <si>
    <t xml:space="preserve">    Steps to reproduce_x000D_
1  Just opened the App_x000D_
2  _x000D_
3  _x000D_
_x000D_
    Expected behaviour_x000D_
  Tell us what should happen_x000D_
It should open_x000D_
_x000D_
    Actual behaviour_x000D_
  Tell us what happens_x000D_
It crashes with an error on screen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10_x000D_
Device model: _x000D_
It s in the log below _x000D_
Stock or customized system:_x000D_
_x000D_
Nextcloud app version:_x000D_
_x000D_
Nextcloud server version:_x000D_
_x000D_
Reverse proxy:_x000D_
_x000D_
    Logs_x000D_
     Web server error log_x000D_
   _x000D_
Insert your webserver log here_x000D_
                CAUSE OF ERROR             _x000D_
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lang SecurityException: Caller no longer running  last stopped  7s718ms because: timed out while starting_x000D_
	at android os Parcel createException(Parcel java:2088)_x000D_
	at android os Parcel readException(Parcel java:2056)_x000D_
	at android os Parcel readException(Parcel java:2004)_x000D_
	at android app job IJobCallback Stub Proxy dequeueWork(IJobCallback java:292)_x000D_
	at android app job JobParameters dequeueWork(JobParameters java:248)_x000D_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3 call(AsyncTask java:378)_x000D_
	at java util concurrent FutureTask run(FutureTask java:266)_x000D_
	    3 more_x000D_
Caused by: android os RemoteException: Remote stack trace:_x000D_
	at com android server job JobServiceContext assertCallerLocked(JobServiceContext java:493)_x000D_
	at com android server job JobServiceContext doDequeueWork(JobServiceContext java:371)_x000D_
	at com android server job JobServiceContext JobCallback dequeueWork(JobServiceContext java:160)_x000D_
	at android app job IJobCallback Stub onTransact(IJobCallback java:169)_x000D_
	at android os Binder execTransactInternal(Binder java:1021)_x000D_
_x000D_
_x000D_
             APP INFORMATION             _x000D_
ID: com nextcloud client_x000D_
Version: 30120190_x000D_
Build flavor: gplay_x000D_
_x000D_
             DEVICE INFORMATION             _x000D_
Brand: samsung_x000D_
Device: crownqltesq_x000D_
Model: SM N960U_x000D_
Id: QP1A 190711 020_x000D_
Product: crownqltesq_x000D_
_x000D_
             FIRMWARE             _x000D_
SDK: 29_x000D_
Release: 10_x000D_
Incremental: N960USQS4DTD6_x000D_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</si>
  <si>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nextcloud-android-6538</t>
  </si>
  <si>
    <t>Nextcloud app crashes</t>
  </si>
  <si>
    <t xml:space="preserve">    Steps to reproduce_x000D_
1 Open Nextcloud app  crashes instantly  _x000D_
2  _x000D_
3  _x000D_
_x000D_
    Expected behaviour_x000D_
  Tell us what should happen_x000D_
Opens Nextcloud app without crashing_x000D_
    Actual behaviour_x000D_
  Tell us what happens_x000D_
Crashed with errors on screen_x000D_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Android 10_x000D_
Device model: _x000D_
Pixel 3_x000D_
Stock or customized system:_x000D_
_x000D_
Nextcloud app version:_x000D_
3 12 1_x000D_
Nextcloud server version:_x000D_
19 0 1_x000D_
Reverse proxy:_x000D_
_x000D_
    Logs_x000D_
     Web server error log_x000D_
   _x000D_
Insert your webserver log here_x000D_
_x000D_
             CAUSE OF ERROR             _x000D_
_x000D_
java lang IllegalStateException: Couldn t read row 140  col 0 from CursorWindow   Make sure the Cursor is initialized correctly before accessing data from it _x000D_
	at android database CursorWindow nativeGetLong(Native Method)_x000D_
	at android database CursorWindow getLong(CursorWindow java:542)_x000D_
	at android database AbstractWindowedCursor getLong(AbstractWindowedCursor java:77)_x000D_
	at com owncloud android providers FileContentProvider deleteDirectory(FileContentProvider java:179)_x000D_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java:670)_x000D_
	at android content ContentProvider applyBatch(ContentProvider java:2117)_x000D_
	at android content ContentProvider Transport applyBatch(ContentProvider java:371)_x000D_
	at android content ContentProviderClient applyBatch(ContentProviderClient java:532)_x000D_
	at android content ContentProviderClient applyBatch(ContentProviderClient java:520)_x000D_
	at android content ContentResolver applyBatch(ContentResolver java:1875)_x000D_
	at com owncloud android datamodel FileDataStorageManager saveFolder(FileDataStorageManager java:405)_x000D_
	at com owncloud android operations RefreshFolderOperation synchronizeData(RefreshFolderOperation java:478)_x000D_
	at com owncloud android operations RefreshFolderOperation fetchAndSyncRemoteFolder(RefreshFolderOperation java:369)_x000D_
	at com owncloud android operations RefreshFolderOperation run(RefreshFolderOperation java:228)_x000D_
	at com owncloud android lib common operations RemoteOperation run(RemoteOperation java:357)_x000D_
	at java lang Thread run(Thread java:919)_x000D_
_x000D_
             APP INFORMATION             _x000D_
ID: com nextcloud client_x000D_
Version: 30120190_x000D_
Build flavor: gplay_x000D_
_x000D_
             DEVICE INFORMATION             _x000D_
Brand: google_x000D_
Device: crosshatch_x000D_
Model: Pixel 3 XL_x000D_
Id: QQ3A 200705 002_x000D_
Product: crosshatch_x000D_
_x000D_
             FIRMWARE             _x000D_
SDK: 29_x000D_
Release: 10_x000D_
Incremental: 6506677_x000D_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</si>
  <si>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inaturalist-iNaturalistAndroid-864</t>
  </si>
  <si>
    <t>NullPointerException in AnnotationsAdapter</t>
  </si>
  <si>
    <t>https:  console firebase google com u 2 project inaturalist ios crashlytics app android:org inaturalist android issues 49035a4b1d9a02c3f347f4839da04cc9_x000D_
_x000D_
   _x000D_
Fatal Exception: java lang NullPointerException: Attempt to invoke virtual method  int org json JSONArray length()  on a null object reference_x000D_
       at org inaturalist android AnnotationsAdapter  init (AnnotationsAdapter java:163)_x000D_
       at org inaturalist android ObservationViewerActivity refreshAttributes(ObservationViewerActivity java:2528)_x000D_
       at org inaturalist android ObservationViewerActivity access 3700(ObservationViewerActivity java:115)_x000D_
       at org inaturalist android ObservationViewerActivity AttributesReceiver onReceive(ObservationViewerActivity java:2281)_x000D_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java:106)_x000D_
       at android os Looper loop(Looper java:214)_x000D_
       at android app ActivityThread main(ActivityThread java:7073)_x000D_
       at java lang reflect Method invoke(Method java)_x000D_
       at com android internal os RuntimeInit MethodAndArgsCaller run(RuntimeInit java:493)_x000D_
       at com android internal os ZygoteInit main(ZygoteInit java:964)_x000D_
   _x000D_
_x000D_
Seems new in 1 20 3 (434)</t>
  </si>
  <si>
    <t>nextcloud-android-6536</t>
  </si>
  <si>
    <t>[3.13.0RC1] Crash on startup and not only</t>
  </si>
  <si>
    <t xml:space="preserve">whether I do a clean install that updating from nextcloud stable app crashes   with clean installation the application starts but crashes when I tend to access an external storage folder  in my case via smb protocol   if I upgrade from stable 3 12 0 to beta 3 13  0 rc1 application crashes when I try to start it   I also sent error log   and I take screenshots that I attach here _x000D_
_x000D_
  Screenshot 20200724 143606 (https:  user images githubusercontent com 35575744 88391731 0aae6080 cdbb 11ea 94c9 56d97e26dbab png)_x000D_
</t>
  </si>
  <si>
    <t>nextcloud-android-6532</t>
  </si>
  <si>
    <t>Crash when accessing "notifications"</t>
  </si>
  <si>
    <t xml:space="preserve">    Steps to reproduce_x000D_
1  Open the app_x000D_
2  Go on menu  notifications  crash_x000D_
3  I tried to clean notification  no more crash  When a new notification arrives like an update or a MFA approval    crash (i can accept the MFA at least) _x000D_
_x000D_
    Expected behaviour_x000D_
  no crash _x000D_
_x000D_
_x000D_
    Actual behaviour_x000D_
  When a new notification arrives like an update or a MFA approval  If i go to the notification tab    crash (i can accept the MFA at least) _x000D_
_x000D_
    Environment data_x000D_
Android version:10_x000D_
_x000D_
Device model: Samsung S10_x000D_
_x000D_
Stock or customized system:Stock_x000D_
_x000D_
Nextcloud app version:3 12 1_x000D_
_x000D_
Nextcloud server version:18 0 7_x000D_
_x000D_
Reverse proxy:none (served directly by apache2) _x000D_
_x000D_
    Logs_x000D_
_x000D_
     Nextcloud log (data nextcloud log)_x000D_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java:919)_x000D_
Caused by: java lang ClassNotFoundException: com google firebase analytics connector AnalyticsConnector_x000D_
	    8 more_x000D_
_x000D_
             APP INFORMATION             _x000D_
ID: com nextcloud client_x000D_
Version: 30120190_x000D_
Build flavor: gplay_x000D_
_x000D_
             DEVICE INFORMATION             _x000D_
Brand: samsung_x000D_
Device: beyond1_x000D_
Model: SM G973F_x000D_
Id: QP1A 190711 020_x000D_
Product: beyond1ltexx_x000D_
_x000D_
             FIRMWARE             _x000D_
SDK: 29_x000D_
Release: 10_x000D_
Incremental: G973FXXS7CTF3_x000D_
   _x000D_
_x000D_
_x000D_
_x000D_
</t>
  </si>
  <si>
    <t>doublesymmetry-react-native-track-player-997</t>
  </si>
  <si>
    <t>Crash when playing URL with whitespaces</t>
  </si>
  <si>
    <t xml:space="preserve">  Describe the bug  _x000D_
When adding a track with  url  property containing a value with whitespaces  the component (and subsequently the entire app) crashes _x000D_
_x000D_
  To Reproduce  _x000D_
Steps to reproduce the behavior:_x000D_
_x000D_
Simply add a track with whitespaces such as:_x000D_
 https:  sevn dev static sample audio mp3 (https:  sevn dev static sample 20audio mp3)_x000D_
_x000D_
And see the app crash _x000D_
_x000D_
  Environment (please complete the following information):  _x000D_
Run  react native info  in your project and share the content _x000D_
   _x000D_
System:_x000D_
    OS: macOS 10 15 5_x000D_
    CPU: (12) x64 Intel(R) Core(TM) i7 8850H CPU   2 60GHz_x000D_
    Memory: 1 60 GB   16 00 GB_x000D_
    Shell: 3 2 57    bin bash_x000D_
  Binaries:_x000D_
    Node: 10 16 0    usr local bin node_x000D_
    Yarn: 1 17 3    usr local bin yarn_x000D_
    npm: 6 14 2      npm global bin npm_x000D_
    Watchman: 4 9 0    usr local bin watchman_x000D_
  SDKs:_x000D_
    iOS SDK:_x000D_
      Platforms: iOS 13 6  DriverKit 19 0  macOS 10 15  tvOS 13 4  watchOS 6 2_x000D_
    Android SDK:_x000D_
      API Levels: 28_x000D_
      Build Tools: 28 0 3_x000D_
      System Images: android 25   Google Play Intel x86 Atom  android 28   Intel x86 Atom 64  android 28   Google APIs Intel x86 Atom  android 28   Google APIs Intel x86 Atom 64_x000D_
  IDEs:_x000D_
    Android Studio: 3 5 AI 191 8026 42 35 5900203_x000D_
    Xcode: 11 6 11E708    usr bin xcodebuild_x000D_
  npmPackages:_x000D_
    react: 16 9 0    16 9 0 _x000D_
    react native:  0 61 1    0 61 5 _x000D_
  npmGlobalPackages:_x000D_
    react native cli: 2 0 1_x000D_
    react native: 0 60 3_x000D_
   _x000D_
What  react native track player  version are you using _x000D_
   _x000D_
1 2 3_x000D_
   _x000D_
  Are you testing on a real device or in the simulator  Which OS version are you running   _x000D_
_x000D_
Both simulator and real device (in production) can reproduce the error _x000D_
_x000D_
  Code  _x000D_
_x000D_
   js_x000D_
   where track url is an URL with spaces_x000D_
TrackPlayer add( track ) then(async ()          _x000D_
  TrackPlayer play() _x000D_
  emitter emit( TRACK STARTED   track) _x000D_
 ) _x000D_
   _x000D_
</t>
  </si>
  <si>
    <t>marco97pa-Track-Companion-3</t>
  </si>
  <si>
    <t>Cannot scrape web API version</t>
  </si>
  <si>
    <t>API version box changed and now the app keeps crashing when trying to open the profile section</t>
  </si>
  <si>
    <t>Crazy-Marvin-Flashy-7</t>
  </si>
  <si>
    <t>App does not start on Huawei MediaPad T1 8.0 Pro</t>
  </si>
  <si>
    <t>Flashy (v1 0 and v1 1) does not open and crashes immediately _x000D_
_x000D_
Device name: Huawei MediaPad T1 8 0 Pro_x000D_
Android: 4 4 4_x000D_
RAM: 1GB_x000D_
CPU: 4x 1 2 GHz</t>
  </si>
  <si>
    <t>Anuken-Mindustry-2258</t>
  </si>
  <si>
    <t>Bridges can't send items back the way they came from.</t>
  </si>
  <si>
    <t xml:space="preserve">  Platform  :  Android 
  Build  :  104 6 
  Issue  :  Bridges and phase conveyors (don t know about liquids) cant send items in the opposite directions that they entered from  
  Steps to reproduce  :  Make a conveyor go left and lead it into a bridge from the bottom (with a corner)  now let the bridge connect with another bridge under it (so it goes over the conveyor that leads items into it  You can now see that the items are not flowing through  I came across this while creating a complex system for my impact reactors  This also works with phase conveyors  although I haven t checked liquids  
  Link to mod(s) used  if applicable  :  No mods used  
  Crash report  if applicable  :  No crash report  
 Place an X (no spaces) between the brackets to confirm that you have read the line below    
        I have searched the closed and open issues to make sure that this problem has not already been reported   
Sorry I havent  I wrote this in a hurry 
</t>
  </si>
  <si>
    <t>ElderDrivers-EdXposed-587</t>
  </si>
  <si>
    <t>[BUG] Edxp cause phone stuck on boot</t>
  </si>
  <si>
    <t xml:space="preserve">       What happened        Stuck on boot     what I did:   Install Magisk and root  Install riru core and reboot  Install edxp and reboot  Then stuck _x000D_
_x000D_
           _x000D_
_x000D_
  Xposed     Xposed Module List          none_x000D_
_x000D_
     Screenshot allowed_x000D_
_x000D_
  Magisk     Magisk Module List             systemless(Magisk itself s module)  riru core  edxp_x000D_
_x000D_
     Screenshot allowed_x000D_
_x000D_
  EdXposed Riru   Versions of EdXposed and Riru      The newest files downloaded 10minutes ago_x000D_
_x000D_
EdXposed:_x000D_
_x000D_
Riru:_x000D_
_x000D_
    Logcat Logcat  _x000D_
_x000D_
               log       It can help us to locate issue  must use our logcat module_x000D_
_x000D_
 _x000D_
HWSTF:    cat  data user de 0 org meowcat edxposed manager log all log_x000D_
          beginning of head_x000D_
EdXposed Log_x000D_
Powered by Log Catcher_x000D_
QQ support group: 855219808_x000D_
Telegram support group:  Code Of MeowCat_x000D_
Telegram channel:  EdXposed_x000D_
          beginning of information_x000D_
Manufacturer: HUAWEI_x000D_
Brand: HONOR_x000D_
Device: HWSTF_x000D_
Product: STF_x000D_
Model: STF AL00_x000D_
Fingerprint: HONOR STF AL00 HWSTF:9 HUAWEISTF AL00 9 1 0 225C00:user release keys_x000D_
ROM description: STF AL00 user 9 1 0 HUAWEISTF AL00 225 CHN LGRP1 release keys_x000D_
Architecture: arm64 v8a_x000D_
Android build: HUAWEISTF AL00_x000D_
Android version: 9_x000D_
Android sdk: 28_x000D_
EdXposed version: v0 4 6 2 (4529) (SandHook)_x000D_
EdXposed api: 91 0_x000D_
Riru version: v21 3 (36)_x000D_
Riru api: 7_x000D_
Magisk: 20 4 (20400)_x000D_
          beginning of main_x000D_
          beginning of system_x000D_
07 23 22:26:34 076   624   624 I EdXposed: onModuleLoaded: welcome to EdXposed _x000D_
07 23 22:26:34 076   624   624 I EdXposed: Start to install inline hooks_x000D_
07 23 22:26:34 076   624   624 I EdXposed: Using api level 28_x000D_
07 23 22:26:34 076   624   624 I EdXposed: Start to install Riru hook_x000D_
07 23 22:26:34 088   624   624 I EdXposed: Riru hooks installed_x000D_
07 23 22:26:34 215   624   624 I EdXposed: ART hooks installed_x000D_
07 23 22:26:34 217   624   624 W EdXposed:  ZNK23FileDescriptorWhitelist9IsAllowedERKNSt3  112basic stringIcNS0 11char traitsIcEENS0 9allocatorIcEEEE not found_x000D_
07 23 22:26:34 242   624   624 I EdXposed: system property get: dalvik vm dex2oat filter    quicken_x000D_
07 23 22:26:34 242   624   624 I EdXposed: system property get: dalvik vm dex2oat flags      inline max code units 0_x000D_
07 23 22:26:34 262   625   625 I EdXposed: onModuleLoaded: welcome to EdXposed _x000D_
07 23 22:26:34 262   625   625 I EdXposed: Start to install inline hooks_x000D_
07 23 22:26:34 262   625   625 I EdXposed: Using api level 28_x000D_
07 23 22:26:34 262   625   625 I EdXposed: Start to install Riru hook_x000D_
07 23 22:26:34 275   625   625 I EdXposed: Riru hooks installed_x000D_
07 23 22:26:34 352   625   625 I EdXposed: ART hooks installed_x000D_
07 23 22:26:34 353   625   625 W EdXposed:  ZNK23FileDescriptorWhitelist9IsAllowedERKNSt3  112basic stringIcNS0 11char traitsIcEENS0 9allocatorIcEEEE not found_x000D_
07 23 22:26:34 384   625   625 I EdXposed: system property get: dalvik vm dex2oat filter    quicken_x000D_
07 23 22:26:34 385   625   625 I EdXposed: system property get: dalvik vm dex2oat flags      inline max code units 0_x000D_
07 23 22:26:38 189  1223  1223 I EdXposed: onModuleLoaded: welcome to EdXposed _x000D_
07 23 22:26:38 189  1223  1223 I EdXposed: Start to install inline hooks_x000D_
07 23 22:26:38 189  1223  1223 I EdXposed: Using api level 28_x000D_
07 23 22:26:38 189  1223  1223 I EdXposed: Start to install Riru hook_x000D_
07 23 22:26:38 200  1223  1223 I EdXposed: Riru hooks installed_x000D_
07 23 22:26:38 202  1222  1222 I EdXposed: onModuleLoaded: welcome to EdXposed _x000D_
07 23 22:26:38 202  1222  1222 I EdXposed: Start to install inline hooks_x000D_
07 23 22:26:38 202  1222  1222 I EdXposed: Using api level 28_x000D_
07 23 22:26:38 202  1222  1222 I EdXposed: Start to install Riru hook_x000D_
07 23 22:26:38 204  1223  1223 I EdXposed: ART hooks installed_x000D_
07 23 22:26:38 205  1223  1223 W EdXposed:  ZNK23FileDescriptorWhitelist9IsAllowedERKNSt3  112basic stringIcNS0 11char traitsIcEENS0 9allocatorIcEEEE not found_x000D_
07 23 22:26:38 209  1223  1223 I EdXposed: system property get: dalvik vm dex2oat filter    quicken_x000D_
07 23 22:26:38 209  1223  1223 I EdXposed: system property get: dalvik vm dex2oat flags      inline max code units 0_x000D_
07 23 22:26:38 215  1222  1222 I EdXposed: Riru hooks installed_x000D_
07 23 22:26:38 227  1222  1222 I EdXposed: system property get: dalvik vm dex2oat filter    quicken_x000D_
07 23 22:26:38 227  1222  1222 I EdXposed: system property get: dalvik vm dex2oat flags      inline max code units 0_x000D_
07 23 22:26:44 277  1222  1222 I EdXposed: using installer org meowcat edxposed manager_x000D_
07 23 22:26:44 277  1222  1222 I EdXposed: data path prefix:  data user de 0 _x000D_
07 23 22:26:44 277  1222  1222 I EdXposed:   application list mode: false_x000D_
07 23 22:26:44 277  1222  1222 I EdXposed:     using whitelist: false_x000D_
07 23 22:26:44 277  1222  1222 I EdXposed:   dynamic modules mode: false_x000D_
07 23 22:26:44 277  1222  1222 I EdXposed:   resources hook: true_x000D_
07 23 22:26:44 277  1222  1222 I EdXposed:   deopt boot image: false_x000D_
07 23 22:26:44 277  1222  1222 I EdXposed:   no module log: false_x000D_
          beginning of crash_x000D_
07 23 22:26:44 723  1465  1465 I EdXposed: onModuleLoaded: welcome to EdXposed _x000D_
07 23 22:26:44 723  1465  1465 I EdXposed: Start to install inline hooks_x000D_
07 23 22:26:44 723  1465  1465 I EdXposed: Using api level 28_x000D_
07 23 22:26:44 723  1465  1465 I EdXposed: Start to install Riru hook_x000D_
07 23 22:26:44 734  1465  1465 I EdXposed: Riru hooks installed_x000D_
07 23 22:26:44 738  1465  1465 I EdXposed: ART hooks installed_x000D_
07 23 22:26:44 739  1465  1465 W EdXposed:  ZNK23FileDescriptorWhitelist9IsAllowedERKNSt3  112basic stringIcNS0 11char traitsIcEENS0 9allocatorIcEEEE not found_x000D_
07 23 22:26:44 743  1465  1465 I EdXposed: system property get: dalvik vm dex2oat filter    quicken_x000D_
07 23 22:26:44 743  1465  1465 I EdXposed: system property get: dalvik vm dex2oat flags      inline max code units 0_x000D_
07 23 22:26:44 748  1464  1464 I EdXposed: onModuleLoaded: welcome to EdXposed _x000D_
07 23 22:26:44 748  1464  1464 I EdXposed: Start to install inline hooks_x000D_
07 23 22:26:44 748  1464  1464 I EdXposed: Using api level 28_x000D_
07 23 22:26:44 748  1464  1464 I EdXposed: Start to install Riru hook_x000D_
07 23 22:26:44 760  1464  1464 I EdXposed: Riru hooks installed_x000D_
07 23 22:26:44 765  1464  1464 I EdXposed: ART hooks installed_x000D_
07 23 22:26:44 766  1464  1464 W EdXposed:  ZNK23FileDescriptorWhitelist9IsAllowedERKNSt3  112basic stringIcNS0 11char traitsIcEENS0 9allocatorIcEEEE not found_x000D_
07 23 22:26:44 771  1464  1464 I EdXposed: system property get: dalvik vm dex2oat filter    quicken_x000D_
07 23 22:26:44 771  1464  1464 I EdXposed: system property get: dalvik vm dex2oat flags      inline max code units 0_x000D_
07 23 22:26:45 733  1464  1464 I EdXposed: using installer org meowcat edxposed manager_x000D_
07 23 22:26:45 733  1464  1464 I EdXposed: data path prefix:  data user de 0 _x000D_
07 23 22:26:45 733  1464  1464 I EdXposed:   application list mode: false_x000D_
07 23 22:26:45 733  1464  1464 I EdXposed:     using whitelist: false_x000D_
07 23 22:26:45 733  1464  1464 I EdXposed:   dynamic modules mode: false_x000D_
07 23 22:26:45 733  1464  1464 I EdXposed:   resources hook: true_x000D_
07 23 22:26:45 733  1464  1464 I EdXposed:   deopt boot image: false_x000D_
07 23 22:26:45 733  1464  1464 I EdXposed:   no module log: false_x000D_
07 23 22:26:49 725  1542  1542 I EdXposed: onModuleLoaded: welcome to EdXposed _x000D_
07 23 22:26:49 725  1542  1542 I EdXposed: Start to install inline hooks_x000D_
07 23 22:26:49 725  1542  1542 I EdXposed: Using api level 28_x000D_
07 23 22:26:49 725  1542  1542 I EdXposed: Start to install Riru hook_x000D_
07 23 22:26:49 736  1542  1542 I EdXposed: Riru hooks installed_x000D_
07 23 22:26:49 739  1542  1542 I EdXposed: ART hooks installed_x000D_
07 23 22:26:49 740  1542  1542 W EdXposed:  ZNK23FileDescriptorWhitelist9IsAllowedERKNSt3  112basic stringIcNS0 11char traitsIcEENS0 9allocatorIcEEEE not found_x000D_
07 23 22:26:49 745  1542  1542 I EdXposed: system property get: dalvik vm dex2oat filter    quicken_x000D_
07 23 22:26:49 745  1542  1542 I EdXposed: system property get: dalvik vm dex2oat flags      inline max code units 0_x000D_
07 23 22:26:49 762  1541  1541 I EdXposed: onModuleLoaded: welcome to EdXposed _x000D_
07 23 22:26:49 762  1541  1541 I EdXposed: Start to install inline hooks_x000D_
07 23 22:26:49 762  1541  1541 I EdXposed: Using api level 28_x000D_
07 23 22:26:49 762  1541  1541 I EdXposed: Start to install Riru hook_x000D_
07 23 22:26:49 776  1541  1541 I EdXposed: Riru hooks installed_x000D_
07 23 22:26:49 780  1541  1541 I EdXposed: ART hooks installed_x000D_
07 23 22:26:49 781  1541  1541 W EdXposed:  ZNK23FileDescriptorWhitelist9IsAllowedERKNSt3  112basic stringIcNS0 11char traitsIcEENS0 9allocatorIcEEEE not found_x000D_
07 23 22:26:49 786  1541  1541 I EdXposed: system property get: dalvik vm dex2oat filter    quicken_x000D_
07 23 22:26:49 786  1541  1541 I EdXposed: system property get: dalvik vm dex2oat flags      inline max code units 0_x000D_
07 23 22:26:50 743  1541  1541 I EdXposed: using installer org meowcat edxposed manager_x000D_
07 23 22:26:50 744  1541  1541 I EdXposed: data path prefix:  data user de 0 _x000D_
07 23 22:26:50 744  1541  1541 I EdXposed:   application list mode: false_x000D_
07 23 22:26:50 744  1541  1541 I EdXposed:     using whitelist: false_x000D_
07 23 22:26:50 744  1541  1541 I EdXposed:   dynamic modules mode: false_x000D_
07 23 22:26:50 744  1541  1541 I EdXposed:   resources hook: true_x000D_
07 23 22:26:50 744  1541  1541 I EdXposed:   deopt boot image: false_x000D_
07 23 22:26:50 744  1541  1541 I EdXposed:   no module log: false_x000D_
07 23 22:26:54 724  1623  1623 I EdXposed: onModuleLoaded: welcome to EdXposed _x000D_
07 23 22:26:54 724  1623  1623 I EdXposed: Start to install inline hooks_x000D_
07 23 22:26:54 724  1623  1623 I EdXposed: Using api level 28_x000D_
07 23 22:26:54 724  1623  1623 I EdXposed: Start to install Riru hook_x000D_
07 23 22:26:54 736  1623  1623 I EdXposed: Riru hooks installed_x000D_
07 23 22:26:54 739  1623  1623 I EdXposed: ART hooks installed_x000D_
07 23 22:26:54 740  1623  1623 W EdXposed:  ZNK23FileDescriptorWhitelist9IsAllowedERKNSt3  112basic stringIcNS0 11char traitsIcEENS0 9allocatorIcEEEE not found_x000D_
07 23 22:26:54 745  1623  1623 I EdXposed: system property get: dalvik vm dex2oat filter    quicken_x000D_
07 23 22:26:54 745  1623  1623 I EdXposed: system property get: dalvik vm dex2oat flags      inline max code units 0_x000D_
07 23 22:26:54 749  1622  1622 I EdXposed: onModuleLoaded: welcome to EdXposed _x000D_
07 23 22:26:54 749  1622  1622 I EdXposed: Start to install inline hooks_x000D_
07 23 22:26:54 749  1622  1622 I EdXposed: Using api level 28_x000D_
07 23 22:26:54 749  1622  1622 I EdXposed: Start to install Riru hook_x000D_
07 23 22:26:54 761  1622  1622 I EdXposed: Riru hooks installed_x000D_
07 23 22:26:54 766  1622  1622 I EdXposed: ART hooks installed_x000D_
07 23 22:26:54 767  1622  1622 W EdXposed:  ZNK23FileDescriptorWhitelist9IsAllowedERKNSt3  112basic stringIcNS0 11char traitsIcEENS0 9allocatorIcEEEE not found_x000D_
07 23 22:26:54 767  1622  1622 W EdXposed:  ZNK23FileDescriptorWhitelist9IsAllowedERKNSt3  112basic stringIcNS0 11char traitsIcEENS0 9allocatorIcEEEE not found_x000D_
07 23 22:26:54 772  1622  1622 I EdXposed: system property get: dalvik vm dex2oat filter    quicken_x000D_
07 23 22:26:54 772  1622  1622 I EdXposed: system property get: dalvik vm dex2oat flags      inline max code units 0_x000D_
07 23 22:26:55 741  1622  1622 I EdXposed: using installer org meowcat edxposed manager_x000D_
07 23 22:26:55 741  1622  1622 I EdXposed: data path prefix:  data user de 0 _x000D_
07 23 22:26:55 741  1622  1622 I EdXposed:   application list mode: false_x000D_
07 23 22:26:55 741  1622  1622 I EdXposed:     using whitelist: false_x000D_
07 23 22:26:55 741  1622  1622 I EdXposed:   dynamic modules mode: false_x000D_
07 23 22:26:55 741  1622  1622 I EdXposed:   resources hook: true_x000D_
07 23 22:26:55 741  1622  1622 I EdXposed:   deopt boot image: false_x000D_
07 23 22:26:55 741  1622  1622 I EdXposed:   no module log: false_x000D_
07 23 22:26:59 736  1702  1702 I EdXposed: onModuleLoaded: welcome to EdXposed _x000D_
07 23 22:26:59 736  1702  1702 I EdXposed: Start to install inline hooks_x000D_
07 23 22:26:59 736  1702  1702 I EdXposed: Using api level 28_x000D_
07 23 22:26:59 736  1702  1702 I EdXposed: Start to install Riru hook_x000D_
07 23 22:26:59 748  1702  1702 I EdXposed: Riru hooks installed_x000D_
07 23 22:26:59 750  1701  1701 I EdXposed: onModuleLoaded: welcome to EdXposed _x000D_
07 23 22:26:59 751  1701  1701 I EdXposed: Start to install inline hooks_x000D_
07 23 22:26:59 751  1701  1701 I EdXposed: Using api level 28_x000D_
07 23 22:26:59 751  1701  1701 I EdXposed: Start to install Riru hook_x000D_
07 23 22:26:59 752  1702  1702 I EdXposed: ART hooks installed_x000D_
07 23 22:26:59 752  1702  1702 W EdXposed:  ZNK23FileDescriptorWhitelist9IsAllowedERKNSt3  112basic stringIcNS0 11char traitsIcEENS0 9allocatorIcEEEE not found_x000D_
07 23 22:26:59 757  1702  1702 I EdXposed: system property get: dalvik vm dex2oat filter    quicken_x000D_
07 23 22:26:59 757  1702  1702 I EdXposed: system property get: dalvik vm dex2oat flags      inline max code units 0_x000D_
07 23 22:26:59 763  1701  1701 I EdXposed: Riru hooks installed_x000D_
07 23 22:26:59 768  1701  1701 I EdXposed: ART hooks installed_x000D_
07 23 22:26:59 768  1701  1701 W EdXposed:  ZNK23FileDescriptorWhitelist9IsAllowedERKNSt3  112basic stringIcNS0 11char traitsIcEENS0 9allocatorIcEEEE not found_x000D_
07 23 22:26:59 774  1701  1701 I EdXposed: system property get: dalvik vm dex2oat filter    quicken_x000D_
07 23 22:26:59 774  1701  1701 I EdXposed: system property get: dalvik vm dex2oat flags      inline max code units 0_x000D_
07 23 22:27:00 729  1701  1701 I EdXposed: using installer org meowcat edxposed manager_x000D_
07 23 22:27:00 729  1701  1701 I EdXposed: data path prefix:  data user de 0 _x000D_
07 23 22:27:00 729  1701  1701 I EdXposed:   application list mode: false_x000D_
07 23 22:27:00 729  1701  1701 I EdXposed:     using whitelist: false_x000D_
07 23 22:27:00 729  1701  1701 I EdXposed:   dynamic modules mode: false_x000D_
07 23 22:27:00 729  1701  1701 I EdXposed:   resources hook: true_x000D_
07 23 22:27:00 729  1701  1701 I EdXposed:   deopt boot image: false_x000D_
07 23 22:27:00 729  1701  1701 I EdXposed:   no module log: false_x000D_
07 23 22:27:04 733  1779  1779 I EdXposed: onModuleLoaded: welcome to EdXposed _x000D_
07 23 22:27:04 733  1779  1779 I EdXposed: Start to install inline hooks_x000D_
07 23 22:27:04 733  1779  1779 I EdXposed: Using api level 28_x000D_
07 23 22:27:04 733  1779  1779 I EdXposed: Start to install Riru hook_x000D_
07 23 22:27:04 745  1779  1779 I EdXposed: Riru hooks installed_x000D_
07 23 22:27:04 748  1779  1779 I EdXposed: ART hooks installed_x000D_
07 23 22:27:04 749  1779  1779 W EdXposed:  ZNK23FileDescriptorWhitelist9IsAllowedERKNSt3  112basic stringIcNS0 11char traitsIcEENS0 9allocatorIcEEEE not found_x000D_
07 23 22:27:04 754  1779  1779 I EdXposed: system property get: dalvik vm dex2oat filter    quicken_x000D_
07 23 22:27:04 754  1779  1779 I EdXposed: system property get: dalvik vm dex2oat flags      inline max code units 0_x000D_
07 23 22:27:04 762  1778  1778 I EdXposed: onModuleLoaded: welcome to EdXposed _x000D_
07 23 22:27:04 762  1778  1778 I EdXposed: Start to install inline hooks_x000D_
07 23 22:27:04 762  1778  1778 I EdXposed: Using api level 28_x000D_
07 23 22:27:04 762  1778  1778 I EdXposed: Start to install Riru hook_x000D_
07 23 22:27:04 775  1778  1778 I EdXposed: Riru hooks installed_x000D_
07 23 22:27:04 780  1778  1778 I EdXposed: ART hooks installed_x000D_
07 23 22:27:04 781  1778  1778 W EdXposed:  ZNK23FileDescriptorWhitelist9IsAllowedERKNSt3  112basic stringIcNS0 11char traitsIcEENS0 9allocatorIcEEEE not found_x000D_
07 23 22:27:04 786  1778  1778 I EdXposed: system property get: dalvik vm dex2oat filter    quicken_x000D_
07 23 22:27:04 786  1778  1778 I EdXposed: system property get: dalvik vm dex2oat flags      inline max code units 0_x000D_
07 23 22:27:05 752  1778  1778 I EdXposed: using installer org meowcat edxposed manager_x000D_
07 23 22:27:05 753  1778  1778 I EdXposed: data path prefix:  data user de 0 _x000D_
07 23 22:27:05 753  1778  1778 I EdXposed:   application list mode: false_x000D_
07 23 22:27:05 753  1778  1778 I EdXposed:     using whitelist: false_x000D_
07 23 22:27:05 753  1778  1778 I EdXposed:   dynamic modules mode: false_x000D_
07 23 22:27:05 753  1778  1778 I EdXposed:   resources hook: true_x000D_
07 23 22:27:05 753  1778  1778 I EdXposed:   deopt boot image: false_x000D_
07 23 22:27:05 753  1778  1778 I EdXposed:   no module log: false_x000D_
07 23 22:27:09 738  1856  1856 I EdXposed: onModuleLoaded: welcome to EdXposed _x000D_
07 23 22:27:09 738  1856  1856 I EdXposed: Start to install inline hooks_x000D_
07 23 22:27:09 738  1856  1856 I EdXposed: Using api level 28_x000D_
07 23 22:27:09 738  1856  1856 I EdXposed: Start to install Riru hook_x000D_
07 23 22:27:09 749  1856  1856 I EdXposed: Riru hooks installed_x000D_
07 23 22:27:09 752  1856  1856 I EdXposed: ART hooks installed_x000D_
07 23 22:27:09 753  1856  1856 W EdXposed:  ZNK23FileDescriptorWhitelist9IsAllowedERKNSt3  112basic stringIcNS0 11char traitsIcEENS0 9allocatorIcEEEE not found_x000D_
07 23 22:27:09 756  1855  1855 I EdXposed: onModuleLoaded: welcome to EdXposed _x000D_
07 23 22:27:09 756  1855  1855 I EdXposed: Start to install inline hooks_x000D_
07 23 22:27:09 756  1855  1855 I EdXposed: Using api level 28_x000D_
07 23 22:27:09 756  1855  1855 I EdXposed: Start to install Riru hook_x000D_
07 23 22:27:09 758  1856  1856 I EdXposed: system property get: dalvik vm dex2oat filter    quicken_x000D_
07 23 22:27:09 758  1856  1856 I EdXposed: system property get: dalvik vm dex2oat flags      inline max code units 0_x000D_
07 23 22:27:09 768  1855  1855 I EdXposed: Riru hooks installed_x000D_
07 23 22:27:09 773  1855  1855 I EdXposed: ART hooks installed_x000D_
07 23 22:27:09 774  1855  1855 W EdXposed:  ZNK23FileDescriptorWhitelist9IsAllowedERKNSt3  112basic stringIcNS0 11char traitsIcEENS0 9allocatorIcEEEE not found_x000D_
07 23 22:27:09 779  1855  1855 I EdXposed: system property get: dalvik vm dex2oat filter    quicken_x000D_
07 23 22:27:09 779  1855  1855 I EdXposed: system property get: dalvik vm dex2oat flags      inline max code units 0_x000D_
07 23 22:27:10 737  1855  1855 I EdXposed: using installer org meowcat edxposed manager_x000D_
07 23 22:27:10 737  1855  1855 I EdXposed: data path prefix:  data user de 0 _x000D_
07 23 22:27:10 737  1855  1855 I EdXposed:   application list mode: false_x000D_
07 23 22:27:10 737  1855  1855 I EdXposed:     using whitelist: false_x000D_
07 23 22:27:10 737  1855  1855 I EdXposed:   dynamic modules mode: false_x000D_
07 23 22:27:10 737  1855  1855 I EdXposed:   resources hook: true_x000D_
07 23 22:27:10 737  1855  1855 I EdXposed:   deopt boot image: false_x000D_
07 23 22:27:10 737  1855  1855 I EdXposed:   no module log: false_x000D_
07 23 22:27:14 751  1935  1935 I EdXposed: onModuleLoaded: welcome to EdXposed _x000D_
07 23 22:27:14 751  1935  1935 I EdXposed: Start to install inline hooks_x000D_
07 23 22:27:14 751  1935  1935 I EdXposed: Using api level 28_x000D_
07 23 22:27:14 751  1935  1935 I EdXposed: Start to install Riru hook_x000D_
07 23 22:27:14 760  1935  1935 I EdXposed: Riru hooks installed_x000D_
07 23 22:27:14 761  1934  1934 I EdXposed: onModuleLoaded: welcome to EdXposed _x000D_
07 23 22:27:14 761  1934  1934 I EdXposed: Start to install inline hooks_x000D_
07 23 22:27:14 761  1934  1934 I EdXposed: Using api level 28_x000D_
07 23 22:27:14 761  1934  1934 I EdXposed: Start to install Riru hook_x000D_
07 23 22:27:14 764  1935  1935 I EdXposed: ART hooks installed_x000D_
07 23 22:27:14 764  1935  1935 W EdXposed:  ZNK23FileDescriptorWhitelist9IsAllowedERKNSt3  112basic stringIcNS0 11char traitsIcEENS0 9allocatorIcEEEE not found_x000D_
07 23 22:27:14 769  1935  1935 I EdXposed: system property get: dalvik vm dex2oat filter    quicken_x000D_
07 23 22:27:14 769  1935  1935 I EdXposed: system property get: dalvik vm dex2oat flags      inline max code units 0_x000D_
07 23 22:27:14 774  1934  1934 I EdXposed: Riru hooks installed_x000D_
07 23 22:27:14 779  1934  1934 I EdXposed: ART hooks installed_x000D_
07 23 22:27:14 780  1934  1934 W EdXposed:  ZNK23FileDescriptorWhitelist9IsAllowedERKNSt3  112basic stringIcNS0 11char traitsIcEENS0 9allocatorIcEEEE not found_x000D_
07 23 22:27:14 785  1934  1934 I EdXposed: system property get: dalvik vm dex2oat filter    quicken_x000D_
07 23 22:27:14 785  1934  1934 I EdXposed: system property get: dalvik vm dex2oat flags      inline max code units 0_x000D_
07 23 22:27:15 748  1934  1934 I EdXposed: using installer org meowcat edxposed manager_x000D_
07 23 22:27:15 748  1934  1934 I EdXposed: data path prefix:  data user de 0 _x000D_
07 23 22:27:15 748  1934  1934 I EdXposed:   application list mode: false_x000D_
07 23 22:27:15 748  1934  1934 I EdXposed:     using whitelist: false_x000D_
07 23 22:27:15 748  1934  1934 I EdXposed:   dynamic modules mode: false_x000D_
07 23 22:27:15 748  1934  1934 I EdXposed:   resources hook: true_x000D_
07 23 22:27:15 748  1934  1934 I EdXposed:   deopt boot image: false_x000D_
07 23 22:27:15 748  1934  1934 I EdXposed:   no module log: false_x000D_
07 23 22:27:19 743  2013  2013 I EdXposed: onModuleLoaded: welcome to EdXposed _x000D_
07 23 22:27:19 743  2013  2013 I EdXposed: Start to install inline hooks_x000D_
07 23 22:27:19 743  2013  2013 I EdXposed: Using api level 28_x000D_
07 23 22:27:19 743  2013  2013 I EdXposed: Start to install Riru hook_x000D_
07 23 22:27:19 754  2013  2013 I EdXposed: Riru hooks installed_x000D_
07 23 22:27:19 757  2013  2013 I EdXposed: ART hooks installed_x000D_
07 23 22:27:19 758  2013  2013 W EdXposed:  ZNK23FileDescriptorWhitelist9IsAllowedERKNSt3  112basic stringIcNS0 11char traitsIcEENS0 9allocatorIcEEEE not found_x000D_
07 23 22:27:19 757  2013  2013 I EdXposed: ART hooks installed_x000D_
07 23 22:27:19 758  2013  2013 W EdXposed:  ZNK23FileDescriptorWhitelist9IsAllowedERKNSt3  112basic stringIcNS0 11char traitsIcEENS0 9allocatorIcEEEE not found_x000D_
07 23 22:27:19 762  2013  2013 I EdXposed: system property get: dalvik vm dex2oat filter    quicken_x000D_
07 23 22:27:19 762  2013  2013 I EdXposed: system property get: dalvik vm dex2oat flags      inline max code units 0_x000D_
07 23 22:27:19 773  2012  2012 I EdXposed: onModuleLoaded: welcome to EdXposed _x000D_
07 23 22:27:19 773  2012  2012 I EdXposed: Start to install inline hooks_x000D_
07 23 22:27:19 773  2012  2012 I EdXposed: Using api level 28_x000D_
07 23 22:27:19 773  2012  2012 I EdXposed: Start to install Riru hook_x000D_
07 23 22:27:19 786  2012  2012 I EdXposed: Riru hooks installed_x000D_
07 23 22:27:19 791  2012  2012 I EdXposed: ART hooks installed_x000D_
07 23 22:27:19 791  2012  2012 W EdXposed:  ZNK23FileDescriptorWhitelist9IsAllowedERKNSt3  112basic stringIcNS0 11char traitsIcEENS0 9allocatorIcEEEE not found_x000D_
07 23 22:27:19 797  2012  2012 I EdXposed: system property get: dalvik vm dex2oat filter    quicken_x000D_
07 23 22:27:19 797  2012  2012 I EdXposed: system property get: dalvik vm dex2oat flags      inline max code units 0_x000D_
07 23 22:27:20 762  2012  2012 I EdXposed: using installer org meowcat edxposed manager_x000D_
07 23 22:27:20 762  2012  2012 I EdXposed: data path prefix:  data user de 0 _x000D_
07 23 22:27:20 762  2012  2012 I EdXposed:   application list mode: false_x000D_
07 23 22:27:20 762  2012  2012 I EdXposed:     using whitelist: false_x000D_
07 23 22:27:20 762  2012  2012 I EdXposed:   dynamic modules mode: false_x000D_
07 23 22:27:20 762  2012  2012 I EdXposed:   resources hook: true_x000D_
07 23 22:27:20 762  2012  2012 I EdXposed:   deopt boot image: false_x000D_
07 23 22:27:20 762  2012  2012 I EdXposed:   no module log: false_x000D_
07 23 22:27:24 749  2092  2092 I EdXposed: onModuleLoaded: welcome to EdXposed _x000D_
07 23 22:27:24 749  2092  2092 I EdXposed: Start to install inline hooks_x000D_
07 23 22:27:24 749  2092  2092 I EdXposed: Using api level 28_x000D_
07 23 22:27:24 749  2092  2092 I EdXposed: Start to install Riru hook_x000D_
07 23 22:27:24 761  2092  2092 I EdXposed: Riru hooks installed_x000D_
07 23 22:27:24 765  2092  2092 I EdXposed: ART hooks installed_x000D_
07 23 22:27:24 765  2091  2091 I EdXposed: onModuleLoaded: welcome to EdXposed _x000D_
07 23 22:27:24 765  2091  2091 I EdXposed: Start to install inline hooks_x000D_
07 23 22:27:24 765  2091  2091 I EdXposed: Using api level 28_x000D_
07 23 22:27:24 765  2091  2091 I EdXposed: Start to install Riru hook_x000D_
07 23 22:27:24 765  2092  2092 W EdXposed:  ZNK23FileDescriptorWhitelist9IsAllowedERKNSt3  112basic stringIcNS0 11char traitsIcEENS0 9allocatorIcEEEE not found_x000D_
07 23 22:27:24 770  2092  2092 I EdXposed: system property get: dalvik vm dex2oat filter    quicken_x000D_
07 23 22:27:24 770  2092  2092 I EdXposed: system property get: dalvik vm dex2oat flags      inline max code units 0_x000D_
07 23 22:27:24 780  2091  2091 I EdXposed: Riru hooks installed_x000D_
07 23 22:27:24 785  2091  2091 I EdXposed: ART hooks installed_x000D_
07 23 22:27:24 786  2091  2091 W EdXposed:  ZNK23FileDescriptorWhitelist9IsAllowedERKNSt3  112basic stringIcNS0 11char traitsIcEENS0 9allocatorIcEEEE not found_x000D_
07 23 22:27:24 791  2091  2091 I EdXposed: system property get: dalvik vm dex2oat filter    quicken_x000D_
07 23 22:27:24 791  2091  2091 I EdXposed: system property get: dalvik vm dex2oat flags      inline max code units 0_x000D_
07 23 22:27:25 748  2091  2091 I EdXposed: using installer org meowcat edxposed manager_x000D_
07 23 22:27:25 748  2091  2091 I EdXposed: data path prefix:  data user de 0 _x000D_
07 23 22:27:25 748  2091  2091 I EdXposed:   application list mode: false_x000D_
07 23 22:27:25 748  2091  2091 I EdXposed:     using whitelist: false_x000D_
07 23 22:27:25 748  2091  2091 I EdXposed:   dynamic modules mode: false_x000D_
07 23 22:27:25 748  2091  2091 I EdXposed:   resources hook: true_x000D_
07 23 22:27:25 748  2091  2091 I EdXposed:   deopt boot image: false_x000D_
07 23 22:27:25 748  2091  2091 I EdXposed:   no module log: false_x000D_
07 23 22:27:29 747  2184  2184 I EdXposed: onModuleLoaded: welcome to EdXposed _x000D_
07 23 22:27:29 747  2184  2184 I EdXposed: Start to install inline hooks_x000D_
07 23 22:27:29 747  2184  2184 I EdXposed: Using api level 28_x000D_
07 23 22:27:29 747  2184  2184 I EdXposed: Start to install Riru hook_x000D_
07 23 22:27:29 761  2184  2184 I EdXposed: Riru hooks installed_x000D_
07 23 22:27:29 763  2183  2183 I EdXposed: onModuleLoaded: welcome to EdXposed _x000D_
07 23 22:27:29 763  2183  2183 I EdXposed: Start to install inline hooks_x000D_
07 23 22:27:29 763  2183  2183 I EdXposed: Using api level 28_x000D_
07 23 22:27:29 763  2183  2183 I EdXposed: Start to install Riru hook_x000D_
07 23 22:27:29 764  2184  2184 I EdXposed: ART hooks installed_x000D_
07 23 22:27:29 765  2184  2184 W EdXposed:  ZNK23FileDescriptorWhitelist9IsAllowedERKNSt3  112basic stringIcNS0 11char traitsIcEENS0 9allocatorIcEEEE not found_x000D_
07 23 22:27:29 770  2184  2184 I EdXposed: system property get: dalvik vm dex2oat filter    quicken_x000D_
07 23 22:27:29 770  2184  2184 I EdXposed: system property get: dalvik vm dex2oat flags      inline max code units 0_x000D_
07 23 22:27:29 783  2183  2183 I EdXposed: ART hooks installed_x000D_
07 23 22:27:29 783  2183  2183 W EdXposed:  ZNK23FileDescriptorWhitelist9IsAllowedERKNSt3  112basic stringIcNS0 11char traitsIcEENS0 9allocatorIcEEEE not found_x000D_
07 23 22:27:29 789  2183  2183 I EdXposed: system property get: dalvik vm dex2oat filter    quicken_x000D_
07 23 22:27:29 789  2183  2183 I EdXposed: system property get: dalvik vm dex2oat flags      inline max code units 0_x000D_
07 23 22:27:30 748  2183  2183 I EdXposed: using installer org meowcat edxposed manager_x000D_
07 23 22:27:30 748  2183  2183 I EdXposed: data path prefix:  data user de 0 _x000D_
07 23 22:27:30 748  2183  2183 I EdXposed:   application list mode: false_x000D_
07 23 22:27:30 748  2183  2183 I EdXposed:     using whitelist: false_x000D_
07 23 22:27:30 748  2183  2183 I EdXposed:   dynamic modules mode: false_x000D_
07 23 22:27:30 748  2183  2183 I EdXposed:   resources hook: true_x000D_
07 23 22:27:30 748  2183  2183 I EdXposed:   deopt boot image: false_x000D_
07 23 22:27:30 748  2183  2183 I EdXposed:   no module log: false_x000D_
07 23 22:27:34 744  2263  2263 I EdXposed: onModuleLoaded: welcome to EdXposed _x000D_
07 23 22:27:34 744  2263  2263 I EdXposed: Start to install inline hooks_x000D_
07 23 22:27:34 744  2263  2263 I EdXposed: Using api level 28_x000D_
07 23 22:27:34 744  2263  2263 I EdXposed: Start to install Riru hook_x000D_
07 23 22:27:34 757  2263  2263 I EdXposed: Riru hooks installed_x000D_
07 23 22:27:34 760  2263  2263 I EdXposed: ART hooks installed_x000D_
07 23 22:27:34 761  2263  2263 W EdXposed:  ZNK23FileDescriptorWhitelist9IsAllowedERKNSt3  112basic stringIcNS0 11char traitsIcEENS0 9allocatorIcEEEE not found_x000D_
07 23 22:27:34 766  2263  2263 I EdXposed: system property get: dalvik vm dex2oat filter    quicken_x000D_
07 23 22:27:34 766  2263  2263 I EdXposed: system property get: dalvik vm dex2oat flags      inline max code units 0_x000D_
07 23 22:27:34 766  2262  2262 I EdXposed: onModuleLoaded: welcome to EdXposed _x000D_
07 23 22:27:34 766  2262  2262 I EdXposed: Start to install inline hooks_x000D_
07 23 22:27:34 766  2262  2262 I EdXposed: Using api level 28_x000D_
07 23 22:27:34 766  2262  2262 I EdXposed: Start to install Riru hook_x000D_
07 23 22:27:34 779  2262  2262 I EdXposed: Riru hooks installed_x000D_
07 23 22:27:34 784  2262  2262 I EdXposed: ART hooks installed_x000D_
07 23 22:27:34 785  2262  2262 W EdXposed:  ZNK23FileDescriptorWhitelist9IsAllowedERKNSt3  112basic stringIcNS0 11char traitsIcEENS0 9allocatorIcEEEE not found_x000D_
07 23 22:27:34 790  2262  2262 I EdXposed: system property get: dalvik vm dex2oat filter    quicken_x000D_
07 23 22:27:34 790  2262  2262 I EdXposed: system property get: dalvik vm dex2oat flags      inline max code units 0_x000D_
07 23 22:27:35 753  2262  2262 I EdXposed: using installer org meowcat edxposed manager_x000D_
07 23 22:27:35 754  2262  2262 I EdXposed: data path prefix:  data user de 0 _x000D_
07 23 22:27:35 754  2262  2262 I EdXposed:   application list mode: false_x000D_
07 23 22:27:35 754  2262  2262 I EdXposed:     using whitelist: false_x000D_
07 23 22:27:35 754  2262  2262 I EdXposed:   dynamic modules mode: false_x000D_
07 23 22:27:35 754  2262  2262 I EdXposed:   resources hook: true_x000D_
07 23 22:27:35 754  2262  2262 I EdXposed:   deopt boot image: false_x000D_
07 23 22:27:35 754  2262  2262 I EdXposed:   no module log: false_x000D_
07 23 22:27:39 755  2350  2350 I EdXposed: onModuleLoaded: welcome to EdXposed _x000D_
07 23 22:27:39 755  2350  2350 I EdXposed: Start to install inline hooks_x000D_
07 23 22:27:39 755  2350  2350 I EdXposed: Using api level 28_x000D_
07 23 22:27:39 755  2350  2350 I EdXposed: Start to install Riru hook_x000D_
07 23 22:27:39 766  2350  2350 I EdXposed: Riru hooks installed_x000D_
07 23 22:27:39 769  2350  2350 I EdXposed: ART hooks installed_x000D_
07 23 22:27:39 770  2350  2350 W EdXposed:  ZNK23FileDescriptorWhitelist9IsAllowedERKNSt3  112basic stringIcNS0 11char traitsIcEENS0 9allocatorIcEEEE not found_x000D_
07 23 22:27:39 775  2350  2350 I EdXposed: system property get: dalvik vm dex2oat filter    quicken_x000D_
07 23 22:27:39 775  2350  2350 I EdXposed: system property get: dalvik vm dex2oat flags      inline max code units 0_x000D_
07 23 22:27:39 802  2349  2349 I EdXposed: onModuleLoaded: welcome to EdXposed _x000D_
07 23 22:27:39 802  2349  2349 I EdXposed: Start to install inline hooks_x000D_
07 23 22:27:39 802  2349  2349 I EdXposed: Using api level 28_x000D_
07 23 22:27:39 802  2349  2349 I EdXposed: Start to install Riru hook_x000D_
07 23 22:27:39 818  2349  2349 I EdXposed: Riru hooks installed_x000D_
07 23 22:27:39 823  2349  2349 I EdXposed: ART hooks installed_x000D_
07 23 22:27:39 823  2349  2349 W EdXposed:  ZNK23FileDescriptorWhitelist9IsAllowedERKNSt3  112basic stringIcNS0 11char traitsIcEENS0 9allocatorIcEEEE not found_x000D_
07 23 22:27:39 829  2349  2349 I EdXposed: system property get: dalvik vm dex2oat filter    quicken_x000D_
07 23 22:27:39 829  2349  2349 I EdXposed: system property get: dalvik vm dex2oat flags      inline max code units 0_x000D_
07 23 22:27:41 716  2349  2349 I EdXposed: using installer org meowcat edxposed manager_x000D_
07 23 22:27:41 716  2349  2349 I EdXposed: data path prefix:  data user de 0 _x000D_
07 23 22:27:41 716  2349  2349 I EdXposed:   application list mode: false_x000D_
07 23 22:27:41 716  2349  2349 I EdXposed:     using whitelist: false_x000D_
07 23 22:27:41 716  2349  2349 I EdXposed:   dynamic modules mode: false_x000D_
07 23 22:27:41 716  2349  2349 I EdXposed:   resources hook: true_x000D_
07 23 22:27:41 716  2349  2349 I EdXposed:   deopt boot image: false_x000D_
07 23 22:27:41 716  2349  2349 I EdXposed:   no module log: false_x000D_
07 23 22:27:44 760  2467  2467 I EdXposed: onModuleLoaded: welcome to EdXposed _x000D_
07 23 22:27:44 760  2467  2467 I EdXposed: Start to install inline hooks_x000D_
07 23 22:27:44 760  2467  2467 I EdXposed: Using api level 28_x000D_
07 23 22:27:44 760  2467  2467 I EdXposed: Start to install Riru hook_x000D_
07 23 22:27:44 773  2466  2466 I EdXposed: onModuleLoaded: welcome to EdXposed _x000D_
07 23 22:27:44 773  2466  2466 I EdXposed: Start to install inline hooks_x000D_
07 23 22:27:44 773  2466  2466 I EdXposed: Using api level 28_x000D_
07 23 22:27:44 773  2466  2466 I EdXposed: Start to install Riru hook_x000D_
07 23 22:27:44 775  2467  2467 I EdXposed: Riru hooks installed_x000D_
07 23 22:27:44 778  2467  2467 I EdXposed: ART hooks installed_x000D_
07 23 22:27:44 779  2467  2467 W EdXposed:  ZNK23FileDescriptorWhitelist9IsAllowedERKNSt3  112basic stringIcNS0 11char traitsIcEENS0 9allocatorIcEEEE not found_x000D_
07 23 22:27:44 783  2466  2466 I EdXposed: Riru hooks installed_x000D_
07 23 22:27:44 784  2467  2467 I EdXposed: system property get: dalvik vm dex2oat filter    quicken_x000D_
07 23 22:27:44 784  2467  2467 I EdXposed: system property get: dalvik vm dex2oat flags      inline max code units 0_x000D_
07 23 22:27:44 788  2466  2466 I EdXposed: A</t>
  </si>
  <si>
    <t>TeamNewPipe-NewPipe-3925</t>
  </si>
  <si>
    <t>Error while opening content in browser</t>
  </si>
  <si>
    <t xml:space="preserve">    Version_x000D_
     0 19 6    _x000D_
0 19 6_x000D_
_x000D_
    Steps to reproduce the bug_x000D_
        _x000D_
1  Go to  info about video _x000D_
2  Press on  open in browser _x000D_
_x000D_
    Expected behavior_x000D_
        _x000D_
Opening url in browser _x000D_
_x000D_
    Actual behaviour_x000D_
         _x000D_
UI crashes_x000D_
_x000D_
    Logs_x000D_
         _x000D_
   Exception_x000D_
    User Action:   ui error_x000D_
    Request:   App crash  UI failure_x000D_
    Content Language:   ru_x000D_
    Service:   none_x000D_
    Version:   0 19 6_x000D_
    OS:   Linux Android 7 0   24_x000D_
_x000D_
_x000D_
 details  summary  b Crash log  b   summary  p _x000D_
_x000D_
   _x000D_
android content ActivityNotFoundException: No Activity found to handle Intent   act android intent action VIEW dat https:  www youtube com     pkg com huawei android internal app  _x000D_
	at android app Instrumentation checkStartActivityResult(Instrumentation java:1854)_x000D_
	at android app Instrumentation execStartActivity(Instrumentation java:1544)_x000D_
	at android app Activity startActivityForResult(Activity java:4391)_x000D_
	at androidx fragment app FragmentActivity startActivityForResult(FragmentActivity java:675)_x000D_
	at android app Activity startActivityForResult(Activity java:4335)_x000D_
	at androidx fragment app FragmentActivity startActivityForResult(FragmentActivity java:662)_x000D_
	at android app Activity startActivity(Activity java:4697)_x000D_
	at android app Activity startActivity(Activity java:4665)_x000D_
	at org schabi newpipe util ShareUtils openUrlInBrowser(ShareUtils java:36)_x000D_
	at org schabi newpipe fragments detail VideoDetailFragment onOptionsItemSelected(VideoDetailFragment java:702)_x000D_
	at androidx fragment app Fragment performOptionsItemSelected(Fragment java:2830)_x000D_
	at androidx fragment app FragmentManager dispatchOptionsItemSelected(FragmentManager java:2717)_x000D_
	at androidx fragment app FragmentController dispatchOptionsItemSelected(FragmentController java:412)_x000D_
	at androidx fragment app FragmentActivity onMenuItemSelected(FragmentActivity java:389)_x000D_
	at androidx appcompat app AppCompatActivity onMenuItemSelected(AppCompatActivity java:219)_x000D_
	at androidx appcompat view WindowCallbackWrapper onMenuItemSelected(WindowCallbackWrapper java:109)_x000D_
	at androidx appcompat view WindowCallbackWrapper onMenuItemSelected(WindowCallbackWrapper java:109)_x000D_
	at androidx appcompat app ToolbarActionBar 2 onMenuItemClick(ToolbarActionBar java:64)_x000D_
	at androidx appcompat widget Toolbar 1 onMenuItemClick(Toolbar java:207)_x000D_
	at androidx appcompat widget ActionMenuView MenuBuilderCallback onMenuItemSelected(ActionMenuView java:781)_x000D_
	at androidx appcompat view menu MenuBuilder dispatchMenuItemSelected(MenuBuilder java:840)_x000D_
	at androidx appcompat view menu MenuItemImpl invoke(MenuItemImpl java:158)_x000D_
	at androidx appcompat view menu MenuBuilder performItemAction(MenuBuilder java:991)_x000D_
	at androidx appcompat view menu MenuPopup onItemClick(MenuPopup java:128)_x000D_
	at android widget AdapterView performItemClick(AdapterView java:313)_x000D_
	at android widget AbsListView performItemClick(AbsListView java:1203)_x000D_
	at android widget AbsListView PerformClick run(AbsListView java:3197)_x000D_
	at android widget AbsListView 3 run(AbsListView java:4140)_x000D_
	at android os Handler handleCallback(Handler java:761)_x000D_
	at android os Handler dispatchMessage(Handler java:98)_x000D_
	at android os Looper loop(Looper java:156)_x000D_
	at android app ActivityThread main(ActivityThread java:6617)_x000D_
	at java lang reflect Method invoke(Native Method)_x000D_
	at com android internal os ZygoteInit MethodAndArgsCaller run(ZygoteInit java:942)_x000D_
	at com android internal os ZygoteInit main(ZygoteInit java:832)_x000D_
_x000D_
   _x000D_
  p   details _x000D_
 hr _x000D_
_x000D_
_x000D_
     That s right  here     _x000D_
</t>
  </si>
  <si>
    <t>nextcloud-android-6518</t>
  </si>
  <si>
    <t xml:space="preserve"> 3.13.0 RC1 crashes, when I choose an E2EE-encrypted folder for auto upload</t>
  </si>
  <si>
    <t xml:space="preserve">I tried to test auto upload with an E2EE encrypted folder in 3 13 0 RC1  but the app crashes when I select an encrypted folder  When I choose an unencrypted folder  it works as expected  I get the error log below _x000D_
_x000D_
Maybe related to  6417  maybe not _x000D_
_x000D_
    Steps to reproduce_x000D_
1  Have a working E2EE folder in 3 13 0 RC1_x000D_
2  Enable auto upload for a folder and select that encrypted folder_x000D_
3  Oberve the app crashing_x000D_
_x000D_
    Expected behaviour_x000D_
  Choosing an encrypted folder for auto upload should work as before (old E2EE preview) or as with an unencrypted folder _x000D_
_x000D_
    Actual behaviour_x000D_
  The app crashes every time I choose an E2EE encrypted folder as target for auto upload _x000D_
_x000D_
    Can you reproduce this problem on https:  try nextcloud com _x000D_
  Didn t test as I don t expect that to have the fresh E2EE beta stuff installed _x000D_
_x000D_
    Environment data_x000D_
Android version: 10_x000D_
_x000D_
Device model: Xiaomi Mi Mix 3_x000D_
_x000D_
Stock or customized system: Stock_x000D_
_x000D_
Nextcloud app version: 3 13 0 RC1_x000D_
_x000D_
Nextcloud server version: 19 0 1_x000D_
_x000D_
Reverse proxy: No_x000D_
_x000D_
    Logs_x000D_
_x000D_
     Nextcloud log (data nextcloud log)_x000D_
Crash report log:_x000D_
   _x000D_
             CAUSE OF ERROR             _x000D_
_x000D_
java lang NullPointerException: Attempt to invoke virtual method  void com google android material floatingactionbutton FloatingActionButton setOnClickListener(android view View OnClickListener)  on a null object reference_x000D_
	at com owncloud android ui fragment OCFileListFragment registerFabListener(OCFileListFragment java:422)_x000D_
	at com owncloud android ui fragment OCFileListFragment updateLayout(OCFileListFragment java:1302)_x000D_
	at com owncloud android ui fragment OCFileListFragment listDirectory(OCFileListFragment java:1272)_x000D_
	at com owncloud android ui fragment OCFileListFragment listDirectory(OCFileListFragment java:1214)_x000D_
	at com owncloud android ui fragment OCFileListFragment onItemClicked(OCFileListFragment java:951)_x000D_
	at com owncloud android ui adapter OCFileListAdapter lambda onBindViewHolder 1 OCFileListAdapter(OCFileListAdapter java:379)_x000D_
	at com owncloud android ui adapter    Lambda OCFileListAdapter pouWgEOOHT1aDFHaHM0Ifm3xWtY onClick(Unknown Source:4)_x000D_
	at android view View performClick(View java:7161)_x000D_
	at android view View performClickInternal(View java:7138)_x000D_
	at android view View access 3500(View java:811)_x000D_
	at android view View PerformClick run(View java:27419)_x000D_
	at android os Handler handleCallback(Handler java:883)_x000D_
	at android os Handler dispatchMessage(Handler java:100)_x000D_
	at android os Looper loop(Looper java:224)_x000D_
	at android app ActivityThread main(ActivityThread java:7520)_x000D_
	at java lang reflect Method invoke(Native Method)_x000D_
	at com android internal os RuntimeInit MethodAndArgsCaller run(RuntimeInit java:539)_x000D_
	at com android internal os ZygoteInit main(ZygoteInit java:950)_x000D_
_x000D_
             APP INFORMATION             _x000D_
ID: com nextcloud client_x000D_
Version: 30130051_x000D_
Build flavor: generic_x000D_
   _x000D_
</t>
  </si>
  <si>
    <t>godotengine-godot-google-play-billing-5</t>
  </si>
  <si>
    <t>emitSignal with null parameter throws error</t>
  </si>
  <si>
    <t xml:space="preserve">     Please search existing issues for potential duplicates before filing yours:	_x000D_
https:  github com godotengine godot issues q is 3Aissue	_x000D_
   _x000D_
_x000D_
  Godot version:  _x000D_
     Specify commit hash if using non official build     _x000D_
3 2 2 stable mono official_x000D_
_x000D_
_x000D_
  OS device including version:  _x000D_
     Specify GPU model  drivers  and the backend (GLES2  GLES3  Vulkan) if graphics related     _x000D_
Android with GLES3_x000D_
_x000D_
_x000D_
  Issue description:  _x000D_
     What happened  and what was expected     _x000D_
I am using this lib to implement IAP in my game  after a while testing I face this error:_x000D_
_x000D_
C _x000D_
   bash_x000D_
07 22 20:03:00 296 10356 10356 D AndroidRuntime:        START com android internal os RuntimeInit uid 10580       _x000D_
07 22 20:03:00 555 10356 10356 D AndroidRuntime: Calling main entry org chromium components crash browser CrashpadMain_x000D_
07 22 20:03:00 775 10356 10356 D AndroidRuntime: Shutting down VM_x000D_
07 22 20:03:00 836  9906  9932 I godot   : BillingResult: System NullReferenceException: Object reference not set to an instance of an object_x000D_
07 22 20:03:00 836  9906  9932 I godot   :   at Tetris Core GooglePlayBilling BillingResult  ctor (Godot Collections Dictionary billingResult)  0x00009  in  cb1faa21092740ca8679fe1d0a4c59e8 :0_x000D_
07 22 20:03:00 934  9906  9932 E AndroidRuntime: FATAL EXCEPTION: GLThread 10402_x000D_
07 22 20:03:00 934  9906  9932 E AndroidRuntime: Process: org godotengine tetris  PID: 9906_x000D_
07 22 20:03:00 934  9906  9932 E AndroidRuntime: java lang IllegalArgumentException: Invalid type for argument  0  Should be of type java lang Integer_x000D_
07 22 20:03:00 934  9906  9932 E AndroidRuntime:        at org godotengine godot plugin GodotPlugin emitSignal(GodotPlugin java:300)_x000D_
07 22 20:03:00 934  9906  9932 E AndroidRuntime:        at org godotengine godot plugin googleplaybilling GodotGooglePlayBilling purchase(GodotGooglePlayBilling java:178)_x000D_
07 22 20:03:00 934  9906  9932 E AndroidRuntime:        at org godotengine godot GodotLib touch(Native Method)_x000D_
07 22 20:03:00 934  9906  9932 E AndroidRuntime:        at org godotengine godot Godot 8 run(Godot java:1023)_x000D_
07 22 20:03:00 934  9906  9932 E AndroidRuntime:        at android opengl GLSurfaceView GLThread guardedRun(GLSurfaceView java:1500)_x000D_
07 22 20:03:00 934  9906  9932 E AndroidRuntime:        at android opengl GLSurfaceView GLThread run(GLSurfaceView java:1270)_x000D_
07 22 20:03:01 506  9906  9906 I AndroidRuntime: VM exiting with result code 0  cleanup skipped _x000D_
07 22 20:03:01 577 10268 10268 I AndroidRuntime: VM exiting with result code 0  cleanup skipped _x000D_
   _x000D_
_x000D_
First I thought that it could be some C  issue  so I tested with GDScript and the same error happens:_x000D_
_x000D_
GDScript_x000D_
   bash_x000D_
At: res:  GDScript google play billing gdc:96:purchase()   Invalid get index  status  (on base:  Nil ) _x000D_
07 22 19:51:41 195  8879  8901 E AndroidRuntime: FATAL EXCEPTION: GLThread 10386_x000D_
07 22 19:51:41 195  8879  8901 E AndroidRuntime: Process: org godotengine tetris  PID: 8879_x000D_
07 22 19:51:41 195  8879  8901 E AndroidRuntime: java lang IllegalArgumentException: Invalid type for argument  0  Should be of type java lang Integer_x000D_
07 22 19:51:41 195  8879  8901 E AndroidRuntime:        at org godotengine godot plugin GodotPlugin emitSignal(GodotPlugin java:300)_x000D_
07 22 19:51:41 195  8879  8901 E AndroidRuntime:        at org godotengine godot plugin googleplaybilling GodotGooglePlayBilling purchase(GodotGooglePlayBilling java:178)_x000D_
07 22 19:51:41 195  8879  8901 E AndroidRuntime:        at org godotengine godot GodotLib touch(Native Method)_x000D_
07 22 19:51:41 195  8879  8901 E AndroidRuntime:        at org godotengine godot Godot 8 run(Godot java:1023)_x000D_
07 22 19:51:41 195  8879  8901 E AndroidRuntime:        at android opengl GLSurfaceView GLThread guardedRun(GLSurfaceView java:1500)_x000D_
07 22 19:51:41 195  8879  8901 E AndroidRuntime:        at android opengl GLSurfaceView GLThread run(GLSurfaceView java:1270)_x000D_
07 22 19:51:41 756  8879  8879 I AndroidRuntime: VM exiting with result code 0  cleanup skipped _x000D_
   _x000D_
_x000D_
It happens when I try to purchase a SKU that I haven t queried before and it emitSignal with null parameter _x000D_
_x000D_
https:  github com godotengine godot google play billing blob 916385d3ca2dbbff493fb53272921b1ca8d71e65 godot google play billing src main java org godotengine godot plugin googleplaybilling GodotGooglePlayBilling java L178_x000D_
_x000D_
it s registered to send Interger_x000D_
https:  github com godotengine godot google play billing blob 916385d3ca2dbbff493fb53272921b1ca8d71e65 godot google play billing src main java org godotengine godot plugin googleplaybilling GodotGooglePlayBilling java L230_x000D_
_x000D_
This signal is also used when I try to purchase:_x000D_
_x000D_
https:  github com godotengine godot google play billing blob 916385d3ca2dbbff493fb53272921b1ca8d71e65 godot google play billing src main java org godotengine godot plugin googleplaybilling GodotGooglePlayBilling java L205_x000D_
_x000D_
the getResponseCode can be:_x000D_
_x000D_
   _x000D_
   The request has reached the maximum timeout before Google Play responds _x000D_
SERVICE TIMEOUT    3 _x000D_
   Requested feature is not supported by Play Store on the current device _x000D_
FEATURE NOT SUPPORTED    2 _x000D_
   Play Store service is not connected now   potentially transient state _x000D_
SERVICE DISCONNECTED    1 _x000D_
   Success_x000D_
OK   0 _x000D_
   User pressed back or canceled a dialog_x000D_
USER CANCELED   1 _x000D_
   Network connection is down_x000D_
SERVICE UNAVAILABLE   2 _x000D_
   Billing API version is not supported for the type requested_x000D_
BILLING UNAVAILABLE   3 _x000D_
   Requested product is not available for purchase_x000D_
ITEM UNAVAILABLE   4 _x000D_
   Invalid arguments provided to the API _x000D_
DEVELOPER ERROR   5 _x000D_
   Fatal error during the API action_x000D_
ERROR   6 _x000D_
   Failure to purchase since item is already owned_x000D_
ITEM ALREADY OWNED   7 _x000D_
   Failure to consume since item is not owned_x000D_
ITEM NOT OWNED   8 _x000D_
   _x000D_
By google documentation: https:  developer android com reference com android billingclient api BillingClient BillingResponseCode_x000D_
_x000D_
I can fix it and create a PR if it s confirmed a bug _x000D_
But what could be a good solution _x000D_
_x000D_
1   Create another signal for that purpose_x000D_
2   Use the signal but create a different errorCode from those in the google documentation (e g  4 or 9)_x000D_
3    public Dictionary purchase(String sku)  could return another  status  with  debug message _x000D_
_x000D_
I prefer the 3 option:_x000D_
_x000D_
   java_x000D_
Dictionary returnValue   new Dictionary() _x000D_
    returnValue put( status   1)     FAILED   1_x000D_
    returnValue put( debug message    You must query the sku details and wait for the result before purchasing  ) _x000D_
   </t>
  </si>
  <si>
    <t>ElderDrivers-EdXposed-586</t>
  </si>
  <si>
    <t>[BUG] Framework installed, but not active | modules.list was not found</t>
  </si>
  <si>
    <t xml:space="preserve">       What happened   _x000D_
_x000D_
After installing EdXposed via Magisk  EdXposed manager reports  Framework is installed  but not active   EdXposed Bridge can t load modules because modules list is not found _x000D_
_x000D_
I tried the Magisk version v0 4 6 1 and the latest GitHub release v0 4 6 2  Same error _x000D_
_x000D_
  Xposed     Xposed Module List  _x000D_
_x000D_
Reported Modules List inside EdXposed manager:_x000D_
_x000D_
  EdXposed Manager v4 5 7_x000D_
  Lucky Patchet v8 8 6_x000D_
  WA Tweaker v1 5 6_x000D_
_x000D_
All disabled _x000D_
_x000D_
  Magisk     Magisk Module List  _x000D_
_x000D_
  CloudflareDNS4Magisk v2 7_x000D_
  Riru (Riru   Core) v21 3_x000D_
  Riru   EdXposed v0 4 6 2_x000D_
_x000D_
  EdXposed Riru   Versions of EdXposed and Riru  _x000D_
_x000D_
EdXposed: v0 4 6 2 (4529) (SandHook)_x000D_
_x000D_
Riru: v21 3 (36)_x000D_
_x000D_
    Logcat Logcat  _x000D_
_x000D_
EdXposed Verbose logs:_x000D_
_x000D_
   _x000D_
          beginning of head_x000D_
EdXposed Log_x000D_
Powered by Log Catcher_x000D_
QQ support group: 855219808_x000D_
Telegram support group:  Code Of MeowCat_x000D_
Telegram channel:  EdXposed_x000D_
          beginning of information_x000D_
Manufacturer: Xiaomi_x000D_
Brand: xiaomi_x000D_
Device: tulip_x000D_
Product: tulip_x000D_
Model: Redmi Note 6 Pro_x000D_
Fingerprint: xiaomi tulip tulip:9 PKQ1 180904 001 V11 0 4 0 PEKMIXM:user release keys_x000D_
ROM description: tulip user 9 PKQ1 180904 001 V11 0 4 0 PEKMIXM release keys_x000D_
Architecture: arm64 v8a_x000D_
Android build: PKQ1 180904 001_x000D_
Android version: 9_x000D_
Android sdk: 28_x000D_
EdXposed version: v0 4 6 2 (4529) (SandHook)_x000D_
EdXposed api: 91 0_x000D_
Riru version: v21 3 (36)_x000D_
Riru api: 7_x000D_
Magisk: 20 4 (20400)_x000D_
          beginning of main_x000D_
          beginning of system_x000D_
          beginning of crash_x000D_
07 22 16:29:52 080   975   975 I EdXposed: onModuleLoaded: welcome to EdXposed _x000D_
07 22 16:29:52 080   975   975 I EdXposed: Start to install inline hooks_x000D_
07 22 16:29:52 080   975   975 I EdXposed: Using api level 28_x000D_
07 22 16:29:52 080   975   975 I EdXposed: Start to install Riru hook_x000D_
07 22 16:29:52 108   975   975 I EdXposed: Riru hooks installed_x000D_
07 22 16:29:52 188   975   975 I EdXposed: ART hooks installed_x000D_
07 22 16:29:52 196   976   976 I EdXposed: onModuleLoaded: welcome to EdXposed _x000D_
07 22 16:29:52 196   976   976 I EdXposed: Start to install inline hooks_x000D_
07 22 16:29:52 196   976   976 I EdXposed: Using api level 28_x000D_
07 22 16:29:52 196   976   976 I EdXposed: Start to install Riru hook_x000D_
07 22 16:29:52 207   976   976 I EdXposed: Riru hooks installed_x000D_
07 22 16:29:52 251   976   976 I EdXposed: ART hooks installed_x000D_
07 22 16:29:52 291   975   975 I EdXposed: system property get: dalvik vm dex2oat filter    quicken_x000D_
07 22 16:29:52 291   975   975 I EdXposed: system property get: dalvik vm dex2oat flags      inline max code units 0_x000D_
07 22 16:29:52 316   976   976 I EdXposed: system property get: dalvik vm dex2oat filter    quicken_x000D_
07 22 16:29:52 316   976   976 I EdXposed: system property get: dalvik vm dex2oat flags      inline max code units 0_x000D_
07 22 16:29:52 713   976   976 I EdXposed: using installer org meowcat edxposed manager_x000D_
07 22 16:29:52 713   976   976 I EdXposed: data path prefix:  data user de 0 _x000D_
07 22 16:29:52 713   976   976 I EdXposed:   application list mode: true_x000D_
07 22 16:29:52 714   976   976 I EdXposed:     using whitelist: false_x000D_
07 22 16:29:52 714   976   976 I EdXposed:   dynamic modules mode: false_x000D_
07 22 16:29:52 714   976   976 I EdXposed:   resources hook: true_x000D_
07 22 16:29:52 714   976   976 I EdXposed:   deopt boot image: false_x000D_
07 22 16:29:52 714   976   976 I EdXposed:   no module log: false_x000D_
07 22 16:29:52 732   975   975 I EdXposed: using installer org meowcat edxposed manager_x000D_
07 22 16:29:52 732   975   975 I EdXposed: data path prefix:  data user de 0 _x000D_
07 22 16:29:52 732   975   975 I EdXposed:   application list mode: true_x000D_
07 22 16:29:52 732   975   975 I EdXposed:     using whitelist: false_x000D_
07 22 16:29:52 732   975   975 I EdXposed:   dynamic modules mode: false_x000D_
07 22 16:29:52 732   975   975 I EdXposed:   resources hook: true_x000D_
07 22 16:29:52 732   975   975 I EdXposed:   deopt boot image: false_x000D_
07 22 16:29:52 732   975   975 I EdXposed:   no module log: false_x000D_
07 22 16:29:55 846   975   975 E EdXposed Bridge: Cannot load any modules because  data user de 0 org meowcat edxposed manager conf modules list was not found_x000D_
07 22 16:30:02 934  2561  2561 E EdXposed: can t access config path  using snapshot use white list:  data user de 0 com android bluetooth_x000D_
07 22 16:30:02 934  2561  2561 E EdXposed: can t access config path  using snapshot black list:  data user de 0 com android bluetooth_x000D_
07 22 16:30:07 040  3318  3318 E EdXposed: can t access config path  using snapshot use white list:  data user de 0 com xiaomi bluetooth_x000D_
07 22 16:30:07 040  3318  3318 E EdXposed: can t access config path  using snapshot black list:  data user de 0 com xiaomi bluetooth_x000D_
07 22 16:30:08 344  3430  3430 E EdXposed: can t access config path  using snapshot use white list:  data user 0 com qualcomm qti poweroffalarm_x000D_
07 22 16:30:08 344  3430  3430 E EdXposed: can t access config path  using snapshot black list:  data user 0 com qualcomm qti poweroffalarm_x000D_
07 22 16:30:09 562   976   976 E EdXposed Bridge: Cannot load any modules because  data user de 0 org meowcat edxposed manager conf modules list was not found_x000D_
07 22 16:30:16 218  4613  4613 I EdXposed: updating config data paths from 0 to 999   _x000D_
07 22 16:30:16 218  4613  4613 E EdXposed: no supported installer app found  using default: org meowcat edxposed manager_x000D_
07 22 16:30:16 218  4613  4613 I EdXposed: data path prefix:  data user de 999 _x000D_
07 22 16:30:16 218  4613  4613 I EdXposed:   application list mode: false_x000D_
07 22 16:30:16 218  4613  4613 I EdXposed:     using whitelist: false_x000D_
07 22 16:30:16 218  4613  4613 I EdXposed:   dynamic modules mode: false_x000D_
07 22 16:30:16 218  4613  4613 I EdXposed:   resources hook: true_x000D_
07 22 16:30:16 218  4613  4613 I EdXposed:   deopt boot image: false_x000D_
07 22 16:30:16 218  4613  4613 I EdXposed:   no module log: false_x000D_
07 22 16:30:16 428  4640  4640 I EdXposed: updating config data paths from 0 to 999   _x000D_
07 22 16:30:16 428  4640  4640 E EdXposed: no supported installer app found  using default: org meowcat edxposed manager_x000D_
07 22 16:30:16 428  4640  4640 I EdXposed: data path prefix:  data user de 999 _x000D_
07 22 16:30:16 428  4640  4640 I EdXposed:   application list mode: false_x000D_
07 22 16:30:16 428  4640  4640 I EdXposed:     using whitelist: false_x000D_
07 22 16:30:16 428  4640  4640 I EdXposed:   dynamic modules mode: false_x000D_
07 22 16:30:16 428  4640  4640 I EdXposed:   resources hook: true_x000D_
07 22 16:30:16 428  4640  4640 I EdXposed:   deopt boot image: false_x000D_
07 22 16:30:16 428  4640  4640 I EdXposed:   no module log: false_x000D_
07 22 16:30:18 182  4834  4834 I EdXposed: updating config data paths from 0 to 999   _x000D_
07 22 16:30:18 182  4834  4834 E EdXposed: no supported installer app found  using default: org meowcat edxposed manager_x000D_
07 22 16:30:18 182  4834  4834 I EdXposed: data path prefix:  data user de 999 _x000D_
07 22 16:30:18 182  4834  4834 I EdXposed:   application list mode: false_x000D_
07 22 16:30:18 182  4834  4834 I EdXposed:     using whitelist: false_x000D_
07 22 16:30:18 182  4834  4834 I EdXposed:   dynamic modules mode: false_x000D_
07 22 16:30:18 182  4834  4834 I EdXposed:   resources hook: true_x000D_
07 22 16:30:18 182  4834  4834 I EdXposed:   deopt boot image: false_x000D_
07 22 16:30:18 182  4834  4834 I EdXposed:   no module log: false_x000D_
07 22 16:30:19 795  4971  4971 I EdXposed: updating config data paths from 0 to 999   _x000D_
07 22 16:30:19 795  4971  4971 E EdXposed: no supported installer app found  using default: org meowcat edxposed manager_x000D_
07 22 16:30:19 795  4971  4971 I EdXposed: data path prefix:  data user de 999 _x000D_
07 22 16:30:19 795  4971  4971 I EdXposed:   application list mode: false_x000D_
07 22 16:30:19 795  4971  4971 I EdXposed:     using whitelist: false_x000D_
07 22 16:30:19 795  4971  4971 I EdXposed:   dynamic modules mode: false_x000D_
07 22 16:30:19 795  4971  4971 I EdXposed:   resources hook: true_x000D_
07 22 16:30:19 795  4971  4971 I EdXposed:   deopt boot image: false_x000D_
07 22 16:30:19 795  4971  4971 I EdXposed:   no module log: false_x000D_
07 22 16:30:26 786  5613  5613 E EdXposed: can t access config path  using snapshot use white list:  data user 0 com qualcomm qti poweroffalarm_x000D_
07 22 16:30:26 787  5613  5613 E EdXposed: can t access config path  using snapshot black list:  data user 0 com qualcomm qti poweroffalarm_x000D_
07 22 16:30:27 212  5718  5718 I EdXposed: updating config data paths from 0 to 999   _x000D_
07 22 16:30:27 212  5718  5718 E EdXposed: no supported installer app found  using default: org meowcat edxposed manager_x000D_
07 22 16:30:27 212  5718  5718 I EdXposed: data path prefix:  data user de 999 _x000D_
07 22 16:30:27 212  5718  5718 I EdXposed:   application list mode: false_x000D_
07 22 16:30:27 212  5718  5718 I EdXposed:     using whitelist: false_x000D_
07 22 16:30:27 212  5718  5718 I EdXposed:   dynamic modules mode: false_x000D_
07 22 16:30:27 212  5718  5718 I EdXposed:   resources hook: true_x000D_
07 22 16:30:27 212  5718  5718 I EdXposed:   deopt boot image: false_x000D_
07 22 16:30:27 212  5718  5718 I EdXposed:   no module log: false_x000D_
07 22 16:30:38 534  6436  6436 D EdXposedManager: EdXposed is not active_x000D_
07 22 16:30:38 536  6436  6436 D EdXposedManager: EdXposed is not active_x000D_
07 22 16:30:38 537  6436  6436 D EdXposedManager: ApplicationList: Force add modules to list_x000D_
07 22 16:30:39 260  6436  6436 D EdXposedManager: EdXposed is not active_x000D_
07 22 16:30:48 025  7187  7187 E EdXposed: can t access config path  using snapshot use white list:  data user 0 com qualcomm qti poweroffalarm_x000D_
07 22 16:30:48 025  7187  7187 E EdXposed: can t access config path  using snapshot black list:  data user 0 com qualcomm qti poweroffalarm_x000D_
07 22 16:30:59 288  7829  7829 I EdXposed: onModuleLoaded: welcome to EdXposed _x000D_
07 22 16:30:59 288  7829  7829 I EdXposed: Start to install inline hooks_x000D_
07 22 16:30:59 288  7829  7829 I EdXposed: Using api level 28_x000D_
07 22 16:30:59 288  7829  7829 I EdXposed: Start to install Riru hook_x000D_
07 22 16:30:59 305  7829  7829 I EdXposed: Riru hooks installed_x000D_
07 22 16:30:59 318  7829  7829 I EdXposed: ART hooks installed_x000D_
07 22 16:30:59 388  7829  7829 I EdXposed: system property get: dalvik vm dex2oat filter    quicken_x000D_
07 22 16:30:59 388  7829  7829 I EdXposed: system property get: dalvik vm dex2oat flags      inline max code units 0_x000D_
07 22 16:30:59 396  7830  7830 I EdXposed: onModuleLoaded: welcome to EdXposed _x000D_
07 22 16:30:59 397  7830  7830 I EdXposed: Start to install inline hooks_x000D_
07 22 16:30:59 397  7830  7830 I EdXposed: Using api level 28_x000D_
07 22 16:30:59 397  7830  7830 I EdXposed: Start to install Riru hook_x000D_
07 22 16:30:59 417  7830  7830 I EdXposed: Riru hooks installed_x000D_
07 22 16:30:59 448  7830  7830 I EdXposed: ART hooks installed_x000D_
07 22 16:30:59 537  7830  7830 I EdXposed: system property get: dalvik vm dex2oat filter    quicken_x000D_
07 22 16:30:59 537  7830  7830 I EdXposed: system property get: dalvik vm dex2oat flags      inline max code units 0_x000D_
07 22 16:30:59 551  7829  7829 I EdXposed: using installer org meowcat edxposed manager_x000D_
07 22 16:30:59 551  7829  7829 I EdXposed: data path prefix:  data user de 0 _x000D_
07 22 16:30:59 551  7829  7829 I EdXposed:   application list mode: true_x000D_
07 22 16:30:59 551  7829  7829 I EdXposed:     using whitelist: false_x000D_
07 22 16:30:59 551  7829  7829 I EdXposed:   dynamic modules mode: false_x000D_
07 22 16:30:59 551  7829  7829 I EdXposed:   resources hook: true_x000D_
07 22 16:30:59 551  7829  7829 I EdXposed:   deopt boot image: false_x000D_
07 22 16:30:59 551  7829  7829 I EdXposed:   no module log: false_x000D_
07 22 16:30:59 666  7830  7830 I EdXposed: using installer org meowcat edxposed manager_x000D_
07 22 16:30:59 667  7830  7830 I EdXposed: data path prefix:  data user de 0 _x000D_
07 22 16:30:59 667  7830  7830 I EdXposed:   application list mode: true_x000D_
07 22 16:30:59 667  7830  7830 I EdXposed:     using whitelist: false_x000D_
07 22 16:30:59 667  7830  7830 I EdXposed:   dynamic modules mode: false_x000D_
07 22 16:30:59 667  7830  7830 I EdXposed:   resources hook: true_x000D_
07 22 16:30:59 667  7830  7830 I EdXposed:   deopt boot image: false_x000D_
07 22 16:30:59 667  7830  7830 I EdXposed:   no module log: false_x000D_
07 22 16:31:02 454  7829  7829 E EdXposed Bridge: Cannot load any modules because  data user de 0 org meowcat edxposed manager conf modules list was not found_x000D_
07 22 16:31:10 422  8404  8404 E EdXposed: can t access config path  using snapshot use white list:  data user de 0 com android bluetooth_x000D_
07 22 16:31:10 422  8404  8404 E EdXposed: can t access config path  using snapshot black list:  data user de 0 com android bluetooth_x000D_
07 22 16:31:14 877  9105  9105 E EdXposed: can t access config path  using snapshot use white list:  data user de 0 com xiaomi bluetooth_x000D_
07 22 16:31:14 877  9105  9105 E EdXposed: can t access config path  using snapshot black list:  data user de 0 com xiaomi bluetooth_x000D_
07 22 16:31:16 967  7830  7830 E EdXposed Bridge: Cannot load any modules because  data user de 0 org meowcat edxposed manager conf modules list was not found_x000D_
07 22 16:31:24 139 10327 10327 I EdXposed: updating config data paths from 0 to 999   _x000D_
07 22 16:31:24 140 10327 10327 E EdXposed: no supported installer app found  using default: org meowcat edxposed manager_x000D_
07 22 16:31:24 140 10327 10327 I EdXposed: data path prefix:  data user de 999 _x000D_
07 22 16:31:24 140 10327 10327 I EdXposed:   application list mode: false_x000D_
07 22 16:31:24 140 10327 10327 I EdXposed:     using whitelist: false_x000D_
07 22 16:31:24 140 10327 10327 I EdXposed:   dynamic modules mode: false_x000D_
07 22 16:31:24 140 10327 10327 I EdXposed:   resources hook: true_x000D_
07 22 16:31:24 140 10327 10327 I EdXposed:   deopt boot image: false_x000D_
07 22 16:31:24 140 10327 10327 I EdXposed:   no module log: false_x000D_
07 22 16:31:24 319 10364 10364 I EdXposed: updating config data paths from 0 to 999   _x000D_
07 22 16:31:24 319 10364 10364 E EdXposed: no supported installer app found  using default: org meowcat edxposed manager_x000D_
07 22 16:31:24 319 10364 10364 I EdXposed: data path prefix:  data user de 999 _x000D_
07 22 16:31:24 319 10364 10364 I EdXposed:   application list mode: false_x000D_
07 22 16:31:24 319 10364 10364 I EdXposed:     using whitelist: false_x000D_
07 22 16:31:24 319 10364 10364 I EdXposed:   dynamic modules mode: false_x000D_
07 22 16:31:24 319 10364 10364 I EdXposed:   resources hook: true_x000D_
07 22 16:31:24 319 10364 10364 I EdXposed:   deopt boot image: false_x000D_
07 22 16:31:24 319 10364 10364 I EdXposed:   no module log: false_x000D_
07 22 16:31:26 142 10612 10612 I EdXposed: updating config data paths from 0 to 999   _x000D_
07 22 16:31:26 142 10612 10612 E EdXposed: no supported installer app found  using default: org meowcat edxposed manager_x000D_
07 22 16:31:26 142 10612 10612 I EdXposed: data path prefix:  data user de 999 _x000D_
07 22 16:31:26 142 10612 10612 I EdXposed:   application list mode: false_x000D_
07 22 16:31:26 142 10612 10612 I EdXposed:     using whitelist: false_x000D_
07 22 16:31:26 142 10612 10612 I EdXposed:   dynamic modules mode: false_x000D_
07 22 16:31:26 142 10612 10612 I EdXposed:   resources hook: true_x000D_
07 22 16:31:26 142 10612 10612 I EdXposed:   deopt boot image: false_x000D_
07 22 16:31:26 142 10612 10612 I EdXposed:   no module log: false_x000D_
07 22 16:31:35 542 11529 11529 I EdXposed: updating config data paths from 0 to 999   _x000D_
07 22 16:31:35 542 11529 11529 E EdXposed: no supported installer app found  using default: org meowcat edxposed manager_x000D_
07 22 16:31:35 542 11529 11529 I EdXposed: data path prefix:  data user de 999 _x000D_
07 22 16:31:35 542 11529 11529 I EdXposed:   application list mode: false_x000D_
07 22 16:31:35 542 11529 11529 I EdXposed:     using whitelist: false_x000D_
07 22 16:31:35 542 11529 11529 I EdXposed:   dynamic modules mode: false_x000D_
07 22 16:31:35 542 11529 11529 I EdXposed:   resources hook: true_x000D_
07 22 16:31:35 542 11529 11529 I EdXposed:   deopt boot image: false_x000D_
07 22 16:31:35 542 11529 11529 I EdXposed:   no module log: false_x000D_
07 22 16:31:44 003 12310 12310 I EdXposed: updating config data paths from 0 to 999   _x000D_
07 22 16:31:44 004 12310 12310 E EdXposed: no supported installer app found  using default: org meowcat edxposed manager_x000D_
07 22 16:31:44 004 12310 12310 I EdXposed: data path prefix:  data user de 999 _x000D_
07 22 16:31:44 004 12310 12310 I EdXposed:   application list mode: false_x000D_
07 22 16:31:44 004 12310 12310 I EdXposed:     using whitelist: false_x000D_
07 22 16:31:44 004 12310 12310 I EdXposed:   dynamic modules mode: false_x000D_
07 22 16:31:44 004 12310 12310 I EdXposed:   resources hook: true_x000D_
07 22 16:31:44 004 12310 12310 I EdXposed:   deopt boot image: false_x000D_
07 22 16:31:44 004 12310 12310 I EdXposed:   no module log: false_x000D_
07 22 16:32:05 673 15616 15616 E EdXposed: can t access config path  using snapshot use white list:  data user 0 com qualcomm qti poweroffalarm_x000D_
07 22 16:32:05 673 15616 15616 E EdXposed: can t access config path  using snapshot black list:  data user 0 com qualcomm qti poweroffalarm_x000D_
07 22 16:32:16 983 16203 16203 I EdXposed: updating config data paths from 0 to 999   _x000D_
07 22 16:32:16 984 16203 16203 E EdXposed: no supported installer app found  using default: org meowcat edxposed manager_x000D_
07 22 16:32:16 984 16203 16203 I EdXposed: data path prefix:  data user de 999 _x000D_
07 22 16:32:16 984 16203 16203 I EdXposed:   application list mode: false_x000D_
07 22 16:32:16 984 16203 16203 I EdXposed:     using whitelist: false_x000D_
07 22 16:32:16 984 16203 16203 I EdXposed:   dynamic modules mode: false_x000D_
07 22 16:32:16 984 16203 16203 I EdXposed:   resources hook: true_x000D_
07 22 16:32:16 984 16203 16203 I EdXposed:   deopt boot image: false_x000D_
07 22 16:32:16 984 16203 16203 I EdXposed:   no module log: false_x000D_
07 22 16:32:25 484 16358 16358 I EdXposed: updating config data paths from 0 to 999   _x000D_
07 22 16:32:25 486 16358 16358 E EdXposed: no supported installer app found  using default: org meowcat edxposed manager_x000D_
07 22 16:32:25 486 16358 16358 I EdXposed: data path prefix:  data user de 999 _x000D_
07 22 16:32:25 486 16358 16358 I EdXposed:   application list mode: false_x000D_
07 22 16:32:25 486 16358 16358 I EdXposed:     using whitelist: false_x000D_
07 22 16:32:25 486 16358 16358 I EdXposed:   dynamic modules mode: false_x000D_
07 22 16:32:25 486 16358 16358 I EdXposed:   resources hook: true_x000D_
07 22 16:32:25 486 16358 16358 I EdXposed:   deopt boot image: false_x000D_
07 22 16:32:25 486 16358 16358 I EdXposed:   no module log: false_x000D_
07 22 16:32:26 198 16381 16381 I EdXposed: updating config data paths from 0 to 999   _x000D_
07 22 16:32:26 198 16381 16381 E EdXposed: no supported installer app found  using default: org meowcat edxposed manager_x000D_
07 22 16:32:26 198 16381 16381 I EdXposed: data path prefix:  data user de 999 _x000D_
07 22 16:32:26 198 16381 16381 I EdXposed:   application list mode: false_x000D_
07 22 16:32:26 198 16381 16381 I EdXposed:     using whitelist: false_x000D_
07 22 16:32:26 198 16381 16381 I EdXposed:   dynamic modules mode: false_x000D_
07 22 16:32:26 198 16381 16381 I EdXposed:   resources hook: true_x000D_
07 22 16:32:26 198 16381 16381 I EdXposed:   deopt boot image: false_x000D_
07 22 16:32:26 198 16381 16381 I EdXposed:   no module log: false_x000D_
07 22 16:32:26 924 16416 16416 I EdXposed: updating config data paths from 0 to 999   _x000D_
07 22 16:32:26 924 16416 16416 E EdXposed: no supported installer app found  using default: org meowcat edxposed manager_x000D_
07 22 16:32:26 924 16416 16416 I EdXposed: data path prefix:  data user de 999 _x000D_
07 22 16:32:26 924 16416 16416 I EdXposed:   application list mode: false_x000D_
07 22 16:32:26 924 16416 16416 I EdXposed:     using whitelist: false_x000D_
07 22 16:32:26 924 16416 16416 I EdXposed:   dynamic modules mode: false_x000D_
07 22 16:32:26 924 16416 16416 I EdXposed:   resources hook: true_x000D_
07 22 16:32:26 924 16416 16416 I EdXposed:   deopt boot image: false_x000D_
07 22 16:32:26 924 16416 16416 I EdXposed:   no module log: false_x000D_
07 22 16:33:02 675 16845 16845 D EdXposedManager: EdXposed is not active_x000D_
07 22 16:33:02 676 16845 16845 D EdXposedManager: EdXposed is not active_x000D_
07 22 16:33:02 678 16845 16845 D EdXposedManager: ApplicationList: Force add modules to list_x000D_
07 22 16:33:03 114 16845 16845 D EdXposedManager: EdXposed is not active_x000D_
07 22 16:35:51 246 16845 16845 D EdXposedManager: EdXposed is not active_x000D_
07 22 16:35:51 270 16845 16845 I EdXposedManager: ModuleUtil    updating modules list_x000D_
07 22 16:35:51 270 16845 16845 D EdXposedManager: EdXposed is not active_x000D_
07 22 16:37:05 480 16845 16845 D EdXposedManager: EdXposed is not active_x000D_
07 22 16:38:04 795 16845 16845 D EdXposedManager: EdXposed is not active_x000D_
07 22 16:38:55 478 16845 16845 D EdXposedManager: EdXposed is not active_x000D_
07 22 16:43:05 702 17570 17570 E EdXposed: can t parse  data system_x000D_
_x000D_
_x000D_
   </t>
  </si>
  <si>
    <t>nextcloud-android-6512</t>
  </si>
  <si>
    <t>Nextcloud keeps crashing</t>
  </si>
  <si>
    <t xml:space="preserve">    Steps to reproduce
1  Use nextcloud android
2  See it crash and loop over the device authentication
    Expected behaviour
  no crash
    Actual behaviour
  crash
    Can you reproduce this problem on https:  try nextcloud com 
  no
    Environment data
Android version: 10
Device model: MI A2
Stock or customized system: stock
Nextcloud app version: 3 12 1
Nextcloud server version: 19
Reverse proxy: traefik
    Logs
     App logs
             CAUSE OF ERROR             
java lang NoClassDefFoundError: Failed resolution of: Lcom google firebase analytics connector AnalyticsConnector 
	at com google firebase messaging zzo zza(com google firebase:firebase messaging  20 1 3:120)
	at com google firebase messaging zzo zza(com google firebase:firebase messaging  20 1 3:1)
	at com google firebase messaging FirebaseMessagingService zzc(com google firebase:firebase messaging  20 1 3:50)
	at com google firebase messaging zze run(com google firebase:firebase messaging  20 1 3:2)
	at java util concurrent ThreadPoolExecutor runWorker(ThreadPoolExecutor java:1167)
	at java util concurrent ThreadPoolExecutor Worker run(ThreadPoolExecutor java:641)
	at com google android gms common util concurrent zza run(Unknown Source:6)
	at java lang Thread run(Thread java:919)
Caused by: java lang ClassNotFoundException: Didn t find class  com google firebase analytics connector AnalyticsConnector  on path: DexPathList  zip file   data app com nextcloud client KQEeyyOBgJatT92Whgj9bg   base apk   nativeLibraryDirectories   data app com nextcloud client KQEeyyOBgJatT92Whgj9bg   lib arm64   data app com nextcloud client KQEeyyOBgJatT92Whgj9bg   base apk  lib arm64 v8a   system lib64   system product lib64  
	at dalvik system BaseDexClassLoader findClass(BaseDexClassLoader java:196)
	at java lang ClassLoader loadClass(ClassLoader java:379)
	at java lang ClassLoader loadClass(ClassLoader java:312)
	    8 more
             APP INFORMATION             
ID: com nextcloud client
Version: 30120190
Build flavor: gplay
             DEVICE INFORMATION             
Brand: xiaomi
Device: jasmine sprout
Model: Mi A2
Id: QKQ1 190910 002
Product: jasmine
             FIRMWARE             
SDK: 29
Release: 10
Incremental: V11 0 11 0 QDIMIXM
   </t>
  </si>
  <si>
    <t>inaturalist-iNaturalistAndroid-863</t>
  </si>
  <si>
    <t>NullPointerException: value for name Authorization == null in INaturalistService.getUserIdentifications</t>
  </si>
  <si>
    <t>https:  console firebase google com u 2 project inaturalist ios crashlytics app android:org inaturalist android issues 219a26eea086aa38cbf97a1b5d04af5a_x000D_
_x000D_
   _x000D_
Fatal Exception: java lang NullPointerException: value for name Authorization    null_x000D_
       at okhttp3 Headers checkValue(Headers java:280)_x000D_
       at okhttp3 Headers Builder add(Headers java:324)_x000D_
       at okhttp3 Request Builder addHeader(Request java:196)_x000D_
       at org inaturalist android INaturalistService request(INaturalistService java:6277)_x000D_
       at org inaturalist android INaturalistService request(INaturalistService java:6148)_x000D_
       at org inaturalist android INaturalistService get(INaturalistService java:6144)_x000D_
       at org inaturalist android INaturalistService getUserIdentifications(INaturalistService java:4758)_x000D_
       at org inaturalist android INaturalistService onHandleIntentWorker(INaturalistService java:1404)_x000D_
       at org inaturalist android INaturalistService 1 run(INaturalistService java:637)_x000D_
       at java lang Thread run(Thread java:764)_x000D_
   _x000D_
_x000D_
New in 1 20 2 (433)</t>
  </si>
  <si>
    <t>nextcloud-android-6499</t>
  </si>
  <si>
    <t>Nextcloud crashes in the background</t>
  </si>
  <si>
    <t xml:space="preserve">    Steps to reproduce_x000D_
process crashes sporadically w o interaction_x000D_
_x000D_
    Can you reproduce this problem on https:  try nextcloud com _x000D_
no_x000D_
_x000D_
    Environment data_x000D_
Android version: see nextcloud log_x000D_
_x000D_
Device model: Lenovo Chromebook C340 11_x000D_
_x000D_
Nextcloud app version: see Nextcloud log_x000D_
_x000D_
Nextcloud server version: 19 0 1_x000D_
_x000D_
Reverse proxy: no_x000D_
_x000D_
     Nextcloud log (data nextcloud log)_x000D_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z1MW4tZZUHyfe83VHzCbYg   base apk   nativeLibraryDirectories   data app com nextcloud client z1MW4tZZUHyfe83VHzCbYg   lib x86 64   data app com nextcloud client z1MW4tZZUHyfe83VHzCbYg   base apk  lib x86 64   system lib64   vendor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30120190_x000D_
Build flavor: gplay_x000D_
_x000D_
             DEVICE INFORMATION             _x000D_
Brand: google_x000D_
Device: octopus cheets_x000D_
Model: octopus_x000D_
Id: R83 13020 87 0_x000D_
Product: octopus_x000D_
_x000D_
             FIRMWARE             _x000D_
SDK: 28_x000D_
Release: 9_x000D_
Incremental: 6612792_x000D_
</t>
  </si>
  <si>
    <t>cgeo-cgeo-8664</t>
  </si>
  <si>
    <t>[Nightly] crash with any OSM v5</t>
  </si>
  <si>
    <t xml:space="preserve">  Describe the bug:  _x000D_
c:geo crashes in map view with any OSM v5_x000D_
Guess it s related to latest history line fix     _x000D_
_x000D_
  Version used  _x000D_
2020 07 21 NB_x000D_
_x000D_
 logcat 2020 07 21 03 19 txt (https:  github com cgeo cgeo files 4950729 logcat 2020 07 21 03 19 txt)_x000D_
_x000D_
</t>
  </si>
  <si>
    <t>aws-amplify-amplify-android-657</t>
  </si>
  <si>
    <t>Amplify.addPlugin produces a crash when I start my app for API level lower than 21</t>
  </si>
  <si>
    <t xml:space="preserve">Hi Amplify devs  I have an issue when I start my app and add plugins  The issue occurs for Android devices with API level lower than 21  For devices with API level higher than 21  my app works correctly _x000D_
_x000D_
I m using Cognito with guest authentication and S3  when I build my app  it builds successfully  but when I start it  it crashes with next error:_x000D_
_x000D_
   console_x000D_
07 20 20:47:35 760 3684 3684 com marcast sistmovildonatto debug E AndroidRuntime: FATAL EXCEPTION: main_x000D_
    Process: com marcast sistmovildonatto debug  PID: 3684_x000D_
    java lang NoClassDefFoundError: com amazonaws mobile client AWSMobileClient_x000D_
        at com amplifyframework auth cognito AWSCognitoAuthPlugin  init (AWSCognitoAuthPlugin java:2)_x000D_
        at com marcast sistmovildonatto DidonatoApplication onCreate(DidonatoApplication kt:16)_x000D_
        at android app Instrumentation callApplicationOnCreate(Instrumentation java:1007)_x000D_
        at android app ActivityThread handleBindApplication(ActivityThread java:4344)_x000D_
        at android app ActivityThread access 1500(ActivityThread java:135)_x000D_
        at android app ActivityThread H handleMessage(ActivityThread java:1256)_x000D_
        at android os Handler dispatchMessage(Handler java:102)_x000D_
        at android os Looper loop(Looper java:136)_x000D_
        at android app ActivityThread main(ActivityThread java:5017)_x000D_
        at java lang reflect Method invokeNative(Native Method)_x000D_
        at java lang reflect Method invoke(Method java:515)_x000D_
        at com android internal os ZygoteInit MethodAndArgsCaller run(ZygoteInit java:779)_x000D_
        at com android internal os ZygoteInit main(ZygoteInit java:595)_x000D_
        at dalvik system NativeStart main(Native Method)_x000D_
   _x000D_
_x000D_
I have these dependencies in my  build gradle :_x000D_
_x000D_
   groovy_x000D_
implementation  com amplifyframework:core:1 0 0 _x000D_
implementation  com amplifyframework:aws storage s3:1 0 0 _x000D_
implementation  com amplifyframework:aws auth cognito:1 0 0 _x000D_
   _x000D_
_x000D_
My app initializes Amplify in an  Application  class like this:_x000D_
_x000D_
   kotlin_x000D_
class DidonatoApplication: Application()  _x000D_
    override fun onCreate()  _x000D_
        super onCreate()_x000D_
_x000D_
        try  _x000D_
            Amplify addPlugin(AWSCognitoAuthPlugin())_x000D_
            Amplify addPlugin(AWSS3StoragePlugin())_x000D_
            Amplify configure(applicationContext)_x000D_
            Log i( DidonatoMobile    Initialized Amplify )_x000D_
          catch (error: AmplifyException)  _x000D_
            Log e( DidonatoMobile    Could not initialize Amplify   error)_x000D_
         _x000D_
     _x000D_
 _x000D_
   _x000D_
_x000D_
The app crash occurs at the line  Amplify addPlugin(AWSCognitoAuthPlugin())  _x000D_
_x000D_
Thank you very much  I will wait for your response  </t>
  </si>
  <si>
    <t>stefan-niedermann-nextcloud-notes-919</t>
  </si>
  <si>
    <t>Crash when changing landscape/portrait mode</t>
  </si>
  <si>
    <t xml:space="preserve">    _x000D_
Guidelines for submitting issues:_x000D_
_x000D_
  Bug reports which do not fill the complete issue template will be closed _x000D_
  Please have a look at our  FAQ (https:  github com stefan niedermann nextcloud notes blob master FAQ md)_x000D_
  Please search the existing issues first  it s likely that your issue was already reported or even fixed _x000D_
  This repository is  only  for issues within the Nextcloud Notes Android app_x000D_
   _x000D_
_x000D_
     Please keep this note for other contributors    _x000D_
    How to use GitHub_x000D_
_x000D_
  Please use the    reaction (https:  blog github com 2016 03 10 add reactions to pull requests issues and comments ) to show that you are interested into the same feature _x000D_
  Please don t comment if you have no relevant information to add  It s just extra noise for everyone subscribed to this issue _x000D_
  Subscribe to receive notifications on status change and new comments  _x000D_
_x000D_
_x000D_
  Describe the bug  _x000D_
     A clear and concise description of what the bug is     _x000D_
App crashes when editing a note and changing from portrait to landscape mode _x000D_
_x000D_
  To Reproduce  _x000D_
Steps to reproduce the behavior:_x000D_
1   Create a note or open an existing note in editing mode_x000D_
2  Change screen orientation from portrait to landscape and or v v _x000D_
3  Often the app crashes to the crash screen  often closes showing the crash screen at reopening  sometimes crashes with popup  Notes keep crashing _x000D_
_x000D_
  Expected behavior  _x000D_
     A clear and concise description of what you expected to happen     _x000D_
Change from portrait to landscape or v v _x000D_
_x000D_
  Screenshots  _x000D_
     If applicable  add screenshots to help explain your problem     _x000D_
_x000D_
_x000D_
  Smartphone (please complete the following information):  _x000D_
   Nextcloud Notes Version (android app): 2 16_x000D_
4_x000D_
   F Droid or Play Store: F droid_x000D_
   Android Version: 10_x000D_
   Device: Samsung Galaxy A70 SM A705FN DS_x000D_
_x000D_
_x000D_
  Server  _x000D_
   Nextcloud version: _x000D_
   Nextcloud Notes version (server app): _x000D_
_x000D_
  Stacktrace  _x000D_
   _x000D_
App Version: 2 16 4_x000D_
App Version Code: 2016004_x000D_
App Flavor: fdroid_x000D_
_x000D_
Files App Version Code: 30120190_x000D_
_x000D_
   _x000D_
_x000D_
OS Version: 4 14 117 17976949(A705FNXXU5BTF1)_x000D_
OS API Level: 29_x000D_
Device: a70q_x000D_
Manufacturer: samsung_x000D_
Model (and Product): SM A705FN (a70qxx)_x000D_
_x000D_
   _x000D_
_x000D_
java lang RuntimeException: Unable to start activity ComponentInfo it niedermann owncloud notes it niedermann owncloud notes edit EditNoteActivity : java lang NullPointerException: Attempt to invoke virtual method  void android view ViewGroup removeAllViews()  on a null object reference_x000D_
	at android app ActivityThread performLaunchActivity(ActivityThread java:3448)_x000D_
	at android app ActivityThread handleLaunchActivity(ActivityThread java:3595)_x000D_
	at android app ActivityThread handleRelaunchActivityInner(ActivityThread java:5536)_x000D_
	at android app ActivityThread handleRelaunchActivity(ActivityThread java:5444)_x000D_
	at android app servertransaction ActivityRelaunchItem execute(ActivityRelaunchItem java:69)_x000D_
	at android app servertransaction TransactionExecutor executeCallbacks(TransactionExecutor java:135)_x000D_
	at android app servertransaction TransactionExecutor execute(TransactionExecutor java:95)_x000D_
	at android app ActivityThread H handleMessage(ActivityThread java:2147)_x000D_
	at android os Handler dispatchMessage(Handler java:107)_x000D_
	at android os Looper loop(Looper java:237)_x000D_
	at android app ActivityThread main(ActivityThread java:7814)_x000D_
	at java lang reflect Method invoke(Native Method)_x000D_
	at com android internal os RuntimeInit MethodAndArgsCaller run(RuntimeInit java:493)_x000D_
	at com android internal os ZygoteInit main(ZygoteInit java:1068)_x000D_
Caused by: java lang NullPointerException: Attempt to invoke virtual method  void android view ViewGroup removeAllViews()  on a null object reference_x000D_
	at androidx appcompat app AppCompatDelegateImpl setContentView(AppCompatDelegateImpl java:545)_x000D_
	at androidx appcompat app AppCompatActivity setContentView(AppCompatActivity java:166)_x000D_
	at it niedermann owncloud notes edit EditNoteActivity onCreate(EditNoteActivity java:54)_x000D_
	at android app Activity performCreate(Activity java:7955)_x000D_
	at android app Activity performCreate(Activity java:7944)_x000D_
	at android app Instrumentation callActivityOnCreate(Instrumentation java:1307)_x000D_
	at android app ActivityThread performLaunchActivity(ActivityThread java:3423)_x000D_
	    13 more_x000D_
_x000D_
   </t>
  </si>
  <si>
    <t>Anuken-Mindustry-2246</t>
  </si>
  <si>
    <t>Server crash on connecting any energy node</t>
  </si>
  <si>
    <t xml:space="preserve">  Platform  :  Windows _x000D_
_x000D_
  Build  :  All builds starting from the fixed multiplayer menu (previously it was not possible to check due to a crash in menu) to the current (  BE 9003  ) _x000D_
_x000D_
  Issue  :  The server crashes when trying to connect   auto connect any power node to any suitable building or other node  _x000D_
_x000D_
  Steps to reproduce  :  put any energy node (including the source) and try to connect it to any suitable building or other node  _x000D_
_x000D_
  Stacktrace log  :_x000D_
   _x000D_
java lang NullPointerException_x000D_
        at mindustry net Administration lambda new 3(Administration java:81)_x000D_
        at mindustry net Administration allowAction(Administration java:145)_x000D_
        at mindustry input InputHandler tileConfig(InputHandler java:221)_x000D_
        at mindustry gen Call tileConfig(Call java:1103)_x000D_
        at mindustry gen Building configureAny(Building java:631)_x000D_
        at mindustry world blocks power PowerNode PowerNodeEntity lambda placed 3(PowerNode java:291)_x000D_
        at arc struct Seq each(Seq java:193)_x000D_
        at mindustry world blocks power PowerNode PowerNodeEntity placed(PowerNode java:289)_x000D_
        at mindustry world blocks BuildBlock constructed(BuildBlock java:100)_x000D_
        at mindustry world blocks BuildBlock BuildEntity construct(BuildBlock java:217)_x000D_
        at mindustry gen BuilderMinerTrailUnit update(BuilderMinerTrailUnit java:1200)_x000D_
        at mindustry entities EntityGroup each(EntityGroup java:66)_x000D_
        at mindustry entities EntityGroup update(EntityGroup java:57)_x000D_
        at mindustry gen Groups update(Groups java:52)_x000D_
        at mindustry core Logic update(Logic java:367)_x000D_
        at arc backend headless HeadlessApplication mainLoop(HeadlessApplication java:95)_x000D_
        at arc backend headless HeadlessApplication 1 run(HeadlessApplication java:63)_x000D_
 07 20 2020 04:23:52   I  Sending crash report _x000D_
java net SocketTimeoutException: connect timed out_x000D_
        at java net DualStackPlainSocketImpl waitForConnect(Native Method)_x000D_
        at java net DualStackPlainSocketImpl socketConnect(DualStackPlainSocketImpl java:85)_x000D_
        at java net AbstractPlainSocketImpl doConnect(AbstractPlainSocketImpl java:350)_x000D_
        at java net AbstractPlainSocketImpl connectToAddress(AbstractPlainSocketImpl java:206)_x000D_
        at java net AbstractPlainSocketImpl connect(AbstractPlainSocketImpl java:188)_x000D_
        at java net PlainSocketImpl connect(PlainSocketImpl java:172)_x000D_
        at java net SocksSocketImpl connect(SocksSocketImpl java:392)_x000D_
        at java net Socket connect(Socket java:589)_x000D_
        at sun net NetworkClient doConnect(NetworkClient java:175)_x000D_
        at sun net www http HttpClient openServer(HttpClient java:463)_x000D_
        at sun net www http HttpClient openServer(HttpClient java:558)_x000D_
        at sun net www http HttpClient  init (HttpClient java:242)_x000D_
        at sun net www http HttpClient New(HttpClient java:339)_x000D_
        at sun net www http HttpClient New(HttpClient java:357)_x000D_
        at sun net www protocol http HttpURLConnection getNewHttpClient(HttpURLConnection java:1220)_x000D_
        at sun net www protocol http HttpURLConnection plainConnect0(HttpURLConnection java:1156)_x000D_
        at sun net www protocol http HttpURLConnection plainConnect(HttpURLConnection java:1050)_x000D_
        at sun net www protocol http HttpURLConnection connect(HttpURLConnection java:984)_x000D_
        at sun net www protocol http HttpURLConnection getOutputStream0(HttpURLConnection java:1334)_x000D_
        at sun net www protocol http HttpURLConnection getOutputStream(HttpURLConnection java:1309)_x000D_
        at arc util NetJavaImpl lambda http 0(NetJavaImpl java:67)_x000D_
        at arc util async AsyncExecutor lambda submit 2(AsyncExecutor java:31)_x000D_
        at java util concurrent FutureTask run(FutureTask java:266)_x000D_
        at java util concurrent ThreadPoolExecutor runWorker(ThreadPoolExecutor java:1149)_x000D_
        at java util concurrent ThreadPoolExecutor Worker run(ThreadPoolExecutor java:624)_x000D_
        at java lang Thread run(Thread java:748)_x000D_
_x000D_
   _x000D_
_x000D_
   _x000D_
_x000D_
   x    I have searched the closed and open issues to make sure that this problem has not already been reported   _x000D_
</t>
  </si>
  <si>
    <t>TeamNewPipe-NewPipe-3911</t>
  </si>
  <si>
    <t>Captions Contain HTML</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</si>
  <si>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5_x000D_
_x000D_
    Steps to reproduce the bug_x000D_
    _x000D_
1  Go to      _x000D_
2  Press on       _x000D_
3  Swipe down to       _x000D_
   _x000D_
1  Go to a Video where the creator inserted custom captions that contain Bold  Italics  etc _x000D_
2  Turn on captions_x000D_
_x000D_
     If you can t cause the bug to show up again reliably (and hence don t have a proper set of steps to give us)  please still try to give as many details as possible on how you think you encountered the bug     _x000D_
_x000D_
    Expected and actual behavior_x000D_
     Tell us what you expect to happen     _x000D_
When the captions display  they show up as   b   and   i   for bold and italics respectively  instead of correctly formatting the text so it is bolded or italiciesed   The auto generated captions don t do this  but when the creator sets captions  they are able to bold and italicise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This isn t really neccesary  just imagine the caption box displaying  this is a  b test  b    with bold and italicised captions displaying in raw HTML instead of being parsed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N A_x000D_
_x000D_
     That s right  here     _x000D_
</t>
  </si>
  <si>
    <t>JuanSeBestia-react-native-wifi-reborn-94</t>
  </si>
  <si>
    <t>Android application crashed in connecting to a second wifi</t>
  </si>
  <si>
    <t>hi for an IOT project i am connecting to an esp wifi using your package   _x000D_
phone successfully gets connected to esp but after i want to connect the phone back to my own wifi application shows a toast said connection successful but application crashes and wifi gets connected and then it gets disconnected super fast my code is exacly same as documentation in both times_x000D_
react native: 0 62 2_x000D_
react native wifi reborn: 4 2 0</t>
  </si>
  <si>
    <t>nextcloud-android-6489</t>
  </si>
  <si>
    <t>App crashing</t>
  </si>
  <si>
    <t xml:space="preserve">Android app is crashing during sync  Below are logs _x000D_
_x000D_
    Environment data_x000D_
Android version: 10_x000D_
_x000D_
Device model: Mi a2_x000D_
_x000D_
Stock or customized system: stock_x000D_
_x000D_
_x000D_
    Logs_x000D_
_x000D_
             CAUSE OF ERROR             _x000D_
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lang SecurityException: Caller no longer running  last stopped  22s378ms because: timed out while starting_x000D_
	at android os Parcel createException(Parcel java:2071)_x000D_
	at android os Parcel readException(Parcel java:2039)_x000D_
	at android os Parcel readException(Parcel java:1987)_x000D_
	at android app job IJobCallback Stub Proxy dequeueWork(IJobCallback java:292)_x000D_
	at android app job JobParameters dequeueWork(JobParameters java:248)_x000D_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3 call(AsyncTask java:378)_x000D_
	at java util concurrent FutureTask run(FutureTask java:266)_x000D_
	    3 more_x000D_
Caused by: android os RemoteException: Remote stack trace:_x000D_
	at com android server job JobServiceContext assertCallerLocked(JobServiceContext java:493)_x000D_
	at com android server job JobServiceContext doDequeueWork(JobServiceContext java:371)_x000D_
	at com android server job JobServiceContext JobCallback dequeueWork(JobServiceContext java:160)_x000D_
	at android app job IJobCallback Stub onTransact(IJobCallback java:169)_x000D_
	at android os Binder execTransactInternal(Binder java:1021)_x000D_
_x000D_
_x000D_
             APP INFORMATION             _x000D_
ID: com nextcloud client_x000D_
Version: 30120190_x000D_
Build flavor: gplay_x000D_
_x000D_
             DEVICE INFORMATION             _x000D_
Brand: xiaomi_x000D_
Device: jasmine sprout_x000D_
Model: Mi A2_x000D_
Id: QKQ1 190910 002_x000D_
Product: jasmine_x000D_
_x000D_
             FIRMWARE             _x000D_
SDK: 29_x000D_
Release: 10_x000D_
Incremental: V11 0 11 0 QDIMIXM_x000D_
_x000D_
</t>
  </si>
  <si>
    <t>square-okhttp-6188</t>
  </si>
  <si>
    <t>OkHttp crashes Android 4.x devices</t>
  </si>
  <si>
    <t xml:space="preserve">A recent version of OkHttp made improvements to the Android platform detector  so that it correctly identifies an Android device if it is running on one  However  these same improvements make my app crash on startup because it cannot start up a NetworkClient because the Android platform detector is expecting an API version    21 _x000D_
_x000D_
   _x000D_
07 17 12:07:11 693 3778 3778 com encircle E AndroidRuntime: FATAL EXCEPTION: main_x000D_
    java lang ExceptionInInitializerError_x000D_
           _x000D_
        at android os AsyncTask finish(AsyncTask java:631)_x000D_
        at android os AsyncTask access 600(AsyncTask java:177)_x000D_
        at android os AsyncTask InternalHandler handleMessage(AsyncTask java:644)_x000D_
        at android os Handler dispatchMessage(Handler java:99)_x000D_
        at android os Looper loop(Looper java:137)_x000D_
        at android app ActivityThread main(ActivityThread java:5103)_x000D_
        at java lang reflect Method invokeNative(Native Method)_x000D_
        at java lang reflect Method invoke(Method java:525)_x000D_
        at com android internal os ZygoteInit MethodAndArgsCaller run(ZygoteInit java:737)_x000D_
        at com android internal os ZygoteInit main(ZygoteInit java:553)_x000D_
        at dalvik system NativeStart main(Native Method)_x000D_
     Caused by: kotlin KotlinNullPointerException_x000D_
        at okhttp3 OkHttpClient  init (OkHttpClient kt:232)_x000D_
        at okhttp3 OkHttpClient Builder build(OkHttpClient kt:1069)_x000D_
           _x000D_
        at android os AsyncTask finish(AsyncTask java:631) _x000D_
        at android os AsyncTask access 600(AsyncTask java:177) _x000D_
        at android os AsyncTask InternalHandler handleMessage(AsyncTask java:644) _x000D_
        at android os Handler dispatchMessage(Handler java:99) _x000D_
        at android os Looper loop(Looper java:137) _x000D_
        at android app ActivityThread main(ActivityThread java:5103) _x000D_
        at java lang reflect Method invokeNative(Native Method) _x000D_
        at java lang reflect Method invoke(Method java:525) _x000D_
        at com android internal os ZygoteInit MethodAndArgsCaller run(ZygoteInit java:737) _x000D_
        at com android internal os ZygoteInit main(ZygoteInit java:553) _x000D_
        at dalvik system NativeStart main(Native Method) _x000D_
   _x000D_
_x000D_
 Please  support TLS 1 2 in Android API 16 20 in your latest versions   2372 already explained that those Android APIs support TLS 1 2 and demonstrated how TLS 1 2 can be used with those APIs  and your explanation for requiring API 21 as your minimum version even contains a link to  this post (https:  medium com tech quizlet working with tls 1 2 on android 4 4 and lower f4f5205629a) explaining how to enable TLS 1 2 on older APIs  As far as I m concerned  the bump to Android 5  was needless and caused more problems than it solved </t>
  </si>
  <si>
    <t>ElderDrivers-EdXposed-585</t>
  </si>
  <si>
    <t>[BUG] Android 11, make Google Chrome keeps crashing with used testing build</t>
  </si>
  <si>
    <t xml:space="preserve">       What happened   _x000D_
After I install testing build for Android 11 beta 2 Google Chrome APP keeps crashing _x000D_
           _x000D_
_x000D_
  Xposed     Xposed Module List  _x000D_
_x000D_
     Screenshot allowed_x000D_
_x000D_
  Magisk     Magisk Module List  _x000D_
_x000D_
     Screenshot allowed_x000D_
_x000D_
  EdXposed Riru   Versions of EdXposed and Riru  _x000D_
_x000D_
EdXposed:_x000D_
EdXposed YAHFA vDEVTESTONLY 4557 qusiusqf release_x000D_
_x000D_
Riru:21 3_x000D_
_x000D_
    Logcat Logcat  _x000D_
 system logcat (https:  t me CodeOfMeowCat 297695) _x000D_
 Edxposed log (https:  t me CodeOfMeowCat 297696) _x000D_
 Video (https:  t me CodeOfMeowCat 297694) _x000D_
_x000D_
               log       It can help us to locate issue  must use our logcat module_x000D_
</t>
  </si>
  <si>
    <t>Anuken-Mindustry-2238</t>
  </si>
  <si>
    <t>Can't enter multiplayer menu</t>
  </si>
  <si>
    <t xml:space="preserve">  Platform  :  Windows 10 _x000D_
_x000D_
  Build  :  BE 8980 _x000D_
_x000D_
  Issue  :  Game crashes when opening  join game  menu _x000D_
_x000D_
  Steps to reproduce  :_x000D_
1  Open  join game _x000D_
2  Realize that it only works if you done it 2 or more times_x000D_
_x000D_
  Crash report  if applicable  :_x000D_
   _x000D_
java lang ClassCastException: class arc util serialization JsonValue cannot be cast to class mindustry ui dialogs JoinDialog Server (arc util serialization JsonValue and mindustry ui dialogs JoinDialog Server are in unnamed module of loader  app )_x000D_
	at mindustry ui dialogs JoinDialog setupRemote(JoinDialog java:104)_x000D_
	at mindustry ui dialogs JoinDialog setup(JoinDialog java:253)_x000D_
	at mindustry ui dialogs JoinDialog lambda new 7(JoinDialog java:81)_x000D_
	at arc scene ui Dialog 5 shown(Dialog java:384)_x000D_
	at arc scene event VisibilityListener handle(VisibilityListener java:11)_x000D_
	at arc scene Element notify(Element java:166)_x000D_
	at arc scene Element fire(Element java:137)_x000D_
	at arc scene ui Dialog show(Dialog java:415)_x000D_
	at arc scene ui Dialog show(Dialog java:446)_x000D_
	at arc scene ui Dialog show(Dialog java:441)_x000D_
	at mindustry ui fragments MenuFragment checkPlay(MenuFragment java:197)_x000D_
	at mindustry ui fragments MenuFragment lambda null 23(MenuFragment java:169)_x000D_
	at mindustry ui fragments MenuFragment lambda buttons 32(MenuFragment java:238)_x000D_
	at arc scene Element lambda clicked 2(Element java:1014)_x000D_
	at arc scene Element 4 clicked(Element java:1023)_x000D_
	at arc scene event ClickListener touchUp(ClickListener java:77)_x000D_
	at arc scene event InputListener handle(InputListener java:33)_x000D_
	at arc scene Scene touchUp(Scene java:337)_x000D_
	at arc input InputMultiplexer touchUp(InputMultiplexer java:137)_x000D_
	at arc input InputEventQueue drain(InputEventQueue java:71)_x000D_
	at arc backend sdl SdlInput update(SdlInput java:111)_x000D_
	at arc backend sdl SdlApplication loop(SdlApplication java:152)_x000D_
	at arc backend sdl SdlApplication  init (SdlApplication java:52)_x000D_
	at mindustry desktop DesktopLauncher main(DesktopLauncher java:38)_x000D_
   _x000D_
_x000D_
   _x000D_
_x000D_
 Place an X (no spaces) between the brackets to confirm that you have read the line below    _x000D_
   X    I have searched the closed and open issues to make sure that this problem has not already been reported   _x000D_
</t>
  </si>
  <si>
    <t>Anuken-Mindustry-2237</t>
  </si>
  <si>
    <t>BE/6.0 crash</t>
  </si>
  <si>
    <t xml:space="preserve">  Platform  :  Windows 10 _x000D_
_x000D_
  Build  :  BE 8940 8974 _x000D_
_x000D_
  Issue  :  Game crashes when deconstructing newly placed bridge and having it still selected  when trying to place new bidge after deselecting _x000D_
_x000D_
  Steps to reproduce  :_x000D_
1  Place bridge_x000D_
2  Deconstruct it without deselecting_x000D_
or_x000D_
1  Place bridge_x000D_
2  Deselect it_x000D_
3  Place new bridge_x000D_
_x000D_
  Crash report  if applicable  :_x000D_
   _x000D_
java lang NullPointerException_x000D_
	at mindustry world blocks distribution ItemBridge linkValid(ItemBridge java:115)_x000D_
	at mindustry world blocks distribution ItemBridge linkValid(ItemBridge java:102)_x000D_
	at mindustry world blocks distribution ItemBridge findLink(ItemBridge java:119)_x000D_
	at mindustry world blocks distribution ItemBridge drawPlace(ItemBridge java:75)_x000D_
	at mindustry input DesktopInput drawBottom(DesktopInput java:161)_x000D_
	at mindustry graphics OverlayRenderer drawBottom(OverlayRenderer java:33)_x000D_
	at arc graphics g2d SortedSpriteBatch flushRequests(SortedSpriteBatch java:117)_x000D_
	at arc graphics g2d SortedSpriteBatch flush(SortedSpriteBatch java:97)_x000D_
	at arc graphics g2d Draw flush(Draw java:349)_x000D_
	at mindustry core Renderer draw(Renderer java:251)_x000D_
	at mindustry core Renderer update(Renderer java:85)_x000D_
	at arc ApplicationCore update(ApplicationCore java:36)_x000D_
	at mindustry ClientLauncher update(ClientLauncher java:149)_x000D_
	at arc backend sdl SdlApplication listen(SdlApplication java:170)_x000D_
	at arc backend sdl SdlApplication loop(SdlApplication java:157)_x000D_
	at arc backend sdl SdlApplication  init (SdlApplication java:52)_x000D_
	at mindustry desktop DesktopLauncher main(DesktopLauncher java:38)_x000D_
   _x000D_
(In all cases I get the same crash report)_x000D_
_x000D_
   _x000D_
_x000D_
   X    I have searched the closed and open issues to make sure that this problem has not already been reported   _x000D_
_x000D_
   _x000D_
_x000D_
Pls just don t be mad at me and don t take my soul    </t>
  </si>
  <si>
    <t>nextcloud-android-6485</t>
  </si>
  <si>
    <t xml:space="preserve">newly installed nextcloud dev crashes immediately </t>
  </si>
  <si>
    <t xml:space="preserve">Installed latest apk  opened app  entered server URL  hit next    crash  backtrace below _x000D_
_x000D_
             CAUSE OF ERROR             _x000D_
_x000D_
java lang NullPointerException: Attempt to read from field  java lang String android accounts Account name  on a null object reference_x000D_
	at com owncloud android services OperationsService toUser(OperationsService java:714)_x000D_
	at com owncloud android services OperationsService newOperation(OperationsService java:519)_x000D_
	at com owncloud android services OperationsService access 200(OperationsService java:85)_x000D_
	at com owncloud android services OperationsService OperationsServiceBinder queueNewOperation(OperationsService java:339)_x000D_
	at com owncloud android authentication AuthenticatorActivity checkOcServer(AuthenticatorActivity java:773)_x000D_
	at com owncloud android authentication AuthenticatorActivity onEditorAction(AuthenticatorActivity java:1350)_x000D_
	at android widget TextView onEditorAction(TextView java:5397)_x000D_
	at com android internal widget EditableInputConnection performEditorAction(EditableInputConnection java:139)_x000D_
	at com android internal view IInputConnectionWrapper executeMessage(IInputConnectionWrapper java:304)_x000D_
	at com android internal view IInputConnectionWrapper MyHandler handleMessage(IInputConnectionWrapper java:78)_x000D_
	at android os Handler dispatchMessage(Handler java:102)_x000D_
	at android os Looper loop(Looper java:145)_x000D_
	at android app ActivityThread main(ActivityThread java:6930)_x000D_
	at java lang reflect Method invoke(Native Method)_x000D_
	at java lang reflect Method invoke(Method java:372)_x000D_
	at com android internal os ZygoteInit MethodAndArgsCaller run(ZygoteInit java:1404)_x000D_
	at com android internal os ZygoteInit main(ZygoteInit java:1199)_x000D_
_x000D_
             APP INFORMATION             _x000D_
ID: com nextcloud android beta_x000D_
Version: 20200714_x000D_
Build flavor: versionDev_x000D_
_x000D_
             DEVICE INFORMATION             _x000D_
Brand: samsung_x000D_
Device: gvwifiue_x000D_
Model: SM T670_x000D_
Id: LMY47X_x000D_
Product: gvwifiue_x000D_
_x000D_
             FIRMWARE             _x000D_
SDK: 22_x000D_
Release: 5 1 1_x000D_
Incremental: T670UEU2APJ1_x000D_
   Steps to reproduce_x000D_
1  _x000D_
2  _x000D_
3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</si>
  <si>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nextcloud-android-6481</t>
  </si>
  <si>
    <t>Crash when add new account.</t>
  </si>
  <si>
    <t xml:space="preserve">_x000D_
    Steps to reproduce_x000D_
1  clic on  add account _x000D_
2  clic on  Log in _x000D_
3  Enter the server address _x000D_
_x000D_
    Expected behaviour_x000D_
  Login with my new account_x000D_
_x000D_
    Actual behaviour_x000D_
  The app crash_x000D_
_x000D_
    Environment data_x000D_
Android version: 9_x000D_
_x000D_
Device model: One Plus 5T_x000D_
_x000D_
Stock or customized system: customized  e  os UNOFFICIAL_x000D_
_x000D_
Nextcloud app version: Nextcloud dev 20200714_x000D_
_x000D_
Nextcloud server version: 18 0 7_x000D_
_x000D_
Reverse proxy: no_x000D_
_x000D_
    Logs_x000D_
             CAUSE OF ERROR             _x000D_
_x000D_
java lang NullPointerException: Attempt to read from field  java lang String android accounts Account name  on a null object reference_x000D_
	at com owncloud android services OperationsService toUser(OperationsService java:714)_x000D_
	at com owncloud android services OperationsService newOperation(OperationsService java:519)_x000D_
	at com owncloud android services OperationsService access 200(OperationsService java:85)_x000D_
	at com owncloud android services OperationsService OperationsServiceBinder queueNewOperation(OperationsService java:339)_x000D_
	at com owncloud android authentication AuthenticatorActivity checkOcServer(AuthenticatorActivity java:773)_x000D_
	at com owncloud android authentication AuthenticatorActivity onEditorAction(AuthenticatorActivity java:1350)_x000D_
	at android widget TextView onEditorAction(TextView java:6282)_x000D_
	at com android internal widget EditableInputConnection performEditorAction(EditableInputConnection java:138)_x000D_
	at com android internal view IInputConnectionWrapper executeMessage(IInputConnectionWrapper java:360)_x000D_
	at com android internal view IInputConnectionWrapper MyHandler handleMessage(IInputConnectionWrapper java:85)_x000D_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_x000D_
             APP INFORMATION             _x000D_
ID: com nextcloud android beta_x000D_
Version: 20200714_x000D_
Build flavor: versionDev_x000D_
_x000D_
             DEVICE INFORMATION             _x000D_
Brand: OnePlus_x000D_
Device: OnePlus5T_x000D_
Model: ONEPLUS A5010_x000D_
Id: PQ3A 190801 002_x000D_
Product: OnePlus5T_x000D_
_x000D_
             FIRMWARE             _x000D_
SDK: 28_x000D_
Release: 9_x000D_
Incremental: eng root 20200713 174834_x000D_
</t>
  </si>
  <si>
    <t>TeamNewPipe-NewPipe-3893</t>
  </si>
  <si>
    <t>Feed can't load all channels</t>
  </si>
  <si>
    <t xml:space="preserve">    Version_x000D_
_x000D_
v0 19 6_x000D_
_x000D_
    Steps to reproduce the bug_x000D_
_x000D_
1  Go to feed _x000D_
2  Click on Update feed _x000D_
3  When it finishes look at how many subscribers were loaded into the feed _x000D_
4  Receive Error report _x000D_
_x000D_
    Expected behavior_x000D_
_x000D_
All channels are updated and loaded in the feed _x000D_
_x000D_
    Actual behaviour_x000D_
_x000D_
Some few channels aren t loaded  receive error report without crash_x000D_
_x000D_
    Logs_x000D_
_x000D_
   Exception_x000D_
    User Action:   requested feed_x000D_
    Request:   Loading feed_x000D_
    Content Country:   US_x000D_
    Content Language:   en_x000D_
    App Language:   pt BR_x000D_
    Service:   none_x000D_
    Version:   0 19 6_x000D_
    OS:   Linux Android 9   28_x000D_
 details  summary  b Exceptions (4)  b   summary  p _x000D_
 details  summary  b Crash log 1  b   summary  p _x000D_
_x000D_
   _x000D_
org schabi newpipe local feed service FeedLoadService RequestException: 0:https:  www youtube com channel UCGe12t9DmCp5mHyY4FX6z3A_x000D_
	at org schabi newpipe local feed service FeedLoadService startLoading 7 apply(FeedLoadService kt:223)_x000D_
	at org schabi newpipe local feed service FeedLoadService startLoading 7 apply(FeedLoadService kt:66)_x000D_
	at io reactivex internal operators parallel ParallelMap ParallelMapSubscriber onNext(ParallelMap java:113)_x000D_
	at io reactivex internal operators parallel ParallelFilter ParallelFilterSubscriber tryOnNext(ParallelFilter java:130)_x000D_
	at io reactivex internal operators parallel ParallelRunOn RunOnConditionalSubscriber run(ParallelRunOn java:397)_x000D_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ContentNotAvailableException: Got error:  This account has been terminated due to multiple or severe violations of YouTube s policy against spam  deceptive practices and misleading content or other Terms of Service violations  _x000D_
	at io reactivex internal util ExceptionHelper wrapOrThrow(ExceptionHelper java:46)_x000D_
	at io reactivex internal observers BlockingMultiObserver blockingGet(BlockingMultiObserver java:93)_x000D_
	at io reactivex Single blockingGet(Single java:2870)_x000D_
	at org schabi newpipe local feed service FeedLoadService startLoading 7 apply(FeedLoadService kt:217)_x000D_
	    11 more_x000D_
Caused by: org schabi newpipe extractor exceptions ContentNotAvailableException: Got error:  This account has been terminated due to multiple or severe violations of YouTube s policy against spam  deceptive practices and misleading content or other Terms of Service violations  _x000D_
	at org schabi newpipe extractor services youtube YoutubeParsingHelper defaultAlertsCheck(YoutubeParsingHelper java:523)_x000D_
	at org schabi newpipe extractor services youtube extractors YoutubeChannelExtractor onFetchPage(YoutubeChannelExtractor java:109)_x000D_
	at org schabi newpipe extractor Extractor fetchPage(Extractor java:56)_x000D_
	at org schabi newpipe extractor channel ChannelInfo getInfo(ChannelInfo java:47)_x000D_
	at org schabi newpipe util ExtractorHelper lambda getChannelInfo 4(ExtractorHelper java:124)_x000D_
	at org schabi newpipe util    Lambda ExtractorHelper u5W7VszTe8AoEexIsFM9huQfbkM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Single blockingGet(Single java:2869)_x000D_
	    12 more_x000D_
_x000D_
   _x000D_
  details _x000D_
 details  summary  b Crash log 2  b   summary  p _x000D_
_x000D_
   _x000D_
org schabi newpipe local feed service FeedLoadService RequestException: 0:https:  www youtube com channel UCYw1vjGeam URgS 2YKJi9g_x000D_
	at org schabi newpipe local feed service FeedLoadService startLoading 7 apply(FeedLoadService kt:223)_x000D_
	at org schabi newpipe local feed service FeedLoadService startLoading 7 apply(FeedLoadService kt:66)_x000D_
	at io reactivex internal operators parallel ParallelMap ParallelMapSubscriber onNext(ParallelMap java:113)_x000D_
	at io reactivex internal operators parallel ParallelFilter ParallelFilterSubscriber tryOnNext(ParallelFilter java:130)_x000D_
	at io reactivex internal operators parallel ParallelRunOn RunOnConditionalSubscriber run(ParallelRunOn java:397)_x000D_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RuntimeException: org schabi newpipe extractor exceptions ContentNotAvailableException: Got error:  This account has been terminated because we received multiple third party claims of copyright infringement regarding material the user posted  _x000D_
	at io reactivex internal util ExceptionHelper wrapOrThrow(ExceptionHelper java:46)_x000D_
	at io reactivex internal observers BlockingMultiObserver blockingGet(BlockingMultiObserver java:93)_x000D_
	at io reactivex Single blockingGet(Single java:2870)_x000D_
	at org schabi newpipe local feed service FeedLoadService startLoading 7 apply(FeedLoadService kt:217)_x000D_
	    11 more_x000D_
Caused by: org schabi newpipe extractor exceptions ContentNotAvailableException: Got error:  This account has been terminated because we received multiple third party claims of copyright infringement regarding material the user posted  _x000D_
	at org schabi newpipe extractor services youtube YoutubeParsingHelper defaultAlertsCheck(YoutubeParsingHelper java:523)_x000D_
	at org schabi newpipe extractor services youtube extractors YoutubeChannelExtractor onFetchPage(YoutubeChannelExtractor java:109)_x000D_
	at org schabi newpipe extractor Extractor fetchPage(Extractor java:56)_x000D_
	at org schabi newpipe extractor channel ChannelInfo getInfo(ChannelInfo java:47)_x000D_
	at org schabi newpipe util ExtractorHelper lambda getChannelInfo 4(ExtractorHelper java:124)_x000D_
	at org schabi newpipe util    Lambda ExtractorHelper u5W7VszTe8AoEexIsFM9huQfbkM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Single blockingGet(Single java:2869)_x000D_
	    12 more_x000D_
_x000D_
   _x000D_
  details _x000D_
 details  summary  b Crash log 3  b   summary  p _x000D_
_x000D_
   _x000D_
org schabi newpipe local feed service FeedLoadService RequestException: 0:https:  www youtube com channel UCLcDCIWMBruo5VASmmlv7Uw_x000D_
	at org schabi newpipe local feed service FeedLoadService RequestException Companion wrapList(FeedLoadService kt:165)_x000D_
	at org schabi newpipe local feed service FeedLoadService databaseConsumer 1 1 run(FeedLoadService kt:314)_x000D_
	at androidx room RoomDatabase runInTransaction(RoomDatabase java:410)_x000D_
	at org schabi newpipe local feed service FeedLoadService databaseConsumer 1 accept(FeedLoadService kt:303)_x000D_
	at org schabi newpipe local feed service FeedLoadService databaseConsumer 1 accept(FeedLoadService kt:66)_x000D_
	at io reactivex internal operators flowable FlowableDoOnEach DoOnEachSubscriber onNext(FlowableDoOnEach java:86)_x000D_
	at io reactivex internal operators flowable FlowableBuffer PublisherBufferExactSubscriber onComplete(FlowableBuffer java:152)_x000D_
	at io reactivex internal operators flowable FlowableObserveOn BaseObserveOnSubscriber checkTerminated(FlowableObserveOn java:215)_x000D_
	at io reactivex internal operators flowable FlowableObserveOn ObserveOnSubscriber runAsync(FlowableObserveOn java:399)_x000D_
	at io reactivex internal operators flowable FlowableObserveOn BaseObserveOnSubscriber run(FlowableObserveOn java:176)_x000D_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org schabi newpipe extractor exceptions ContentNotSupportedException: This channel has no Videos tab_x000D_
	at org schabi newpipe extractor services youtube extractors YoutubeChannelExtractor getVideoTab(YoutubeChannelExtractor java:322)_x000D_
	at org schabi newpipe extractor services youtube extractors YoutubeChannelExtractor getInitialPage(YoutubeChannelExtractor java:234)_x000D_
	at org schabi newpipe extractor utils ExtractorHelper getItemsPageOrLogError(ExtractorHelper java:19)_x000D_
	at org schabi newpipe extractor channel ChannelInfo getInfo(ChannelInfo java:83)_x000D_
	at org schabi newpipe extractor channel ChannelInfo getInfo(ChannelInfo java:48)_x000D_
	at org schabi newpipe util ExtractorHelper lambda getChannelInfo 4(ExtractorHelper java:124)_x000D_
	at org schabi newpipe util    Lambda ExtractorHelper u5W7VszTe8AoEexIsFM9huQfbkM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Single blockingGet(Single java:2869)_x000D_
	at org schabi newpipe local feed service FeedLoadService startLoading 7 apply(FeedLoadService kt:217)_x000D_
	at org schabi newpipe local feed service FeedLoadService startLoading 7 apply(FeedLoadService kt:66)_x000D_
	at io reactivex internal operators parallel ParallelMap ParallelMapSubscriber onNext(ParallelMap java:113)_x000D_
	at io reactivex internal operators parallel ParallelFilter ParallelFilterSubscriber tryOnNext(ParallelFilter java:130)_x000D_
	at io reactivex internal operators parallel ParallelRunOn RunOnConditionalSubscriber run(ParallelRunOn java:397)_x000D_
	    7 more_x000D_
_x000D_
   _x000D_
  details _x000D_
 details  summary  b Crash log 4  b   summary  p _x000D_
_x000D_
   _x000D_
org schabi newpipe local feed service FeedLoadService RequestException: 0:https:  www youtube com channel UCcEnzxTu9FAb5a7HR 43HTA_x000D_
	at org schabi newpipe local feed service FeedLoadService RequestException Companion wrapList(FeedLoadService kt:165)_x000D_
	at org schabi newpipe local feed service FeedLoadService databaseConsumer 1 1 run(FeedLoadService kt:314)_x000D_
	at androidx room RoomDatabase runInTransaction(RoomDatabase java:410)_x000D_
	at org schabi newpipe local feed service FeedLoadService databaseConsumer 1 accept(FeedLoadService kt:303)_x000D_
	at org schabi newpipe local feed service FeedLoadService databaseConsumer 1 accept(FeedLoadService kt:66)_x000D_
	at io reactivex internal operators flowable FlowableDoOnEach DoOnEachSubscriber onNext(FlowableDoOnEach java:86)_x000D_
	at io reactivex internal operators flowable FlowableBuffer PublisherBufferExactSubscriber onComplete(FlowableBuffer java:152)_x000D_
	at io reactivex internal operators flowable FlowableObserveOn BaseObserveOnSubscriber checkTerminated(FlowableObserveOn java:215)_x000D_
	at io reactivex internal operators flowable FlowableObserveOn ObserveOnSubscriber runAsync(FlowableObserveOn java:399)_x000D_
	at io reactivex internal operators flowable FlowableObserveOn BaseObserveOnSubscriber run(FlowableObserveOn java:176)_x000D_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org schabi newpipe extractor exceptions ContentNotSupportedException: This channel has no Videos tab_x000D_
	at org schabi newpipe extractor services youtube extractors YoutubeChannelExtractor getVideoTab(YoutubeChannelExtractor java:322)_x000D_
	at org schabi newpipe extractor services youtube extractors YoutubeChannelExtractor getInitialPage(YoutubeChannelExtractor java:234)_x000D_
	at org schabi newpipe extractor utils ExtractorHelper getItemsPageOrLogError(ExtractorHelper java:19)_x000D_
	at org schabi newpipe extractor channel ChannelInfo getInfo(ChannelInfo java:83)_x000D_
	at org schabi newpipe extractor channel ChannelInfo getInfo(ChannelInfo java:48)_x000D_
	at org schabi newpipe util ExtractorHelper lambda getChannelInfo 4(ExtractorHelper java:124)_x000D_
	at org schabi newpipe util    Lambda ExtractorHelper u5W7VszTe8AoEexIsFM9huQfbkM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Single blockingGet(Single java:2869)_x000D_
	at org schabi newpipe local feed service FeedLoadService startLoading 7 apply(FeedLoadService kt:217)_x000D_
	at org schabi newpipe local feed service FeedLoadService startLoading 7 apply(FeedLoadService kt:66)_x000D_
	at io reactivex internal operators parallel ParallelMap ParallelMapSubscriber onNext(ParallelMap java:113)_x000D_
	at io reactivex internal operators parallel ParallelFilter ParallelFilterSubscriber tryOnNext(ParallelFilter java:130)_x000D_
	at io reactivex internal operators parallel ParallelRunOn RunOnConditionalSubscriber run(ParallelRunOn java:397)_x000D_
	    7 more_x000D_
_x000D_
   _x000D_
  details _x000D_
  p   details _x000D_
 hr _x000D_
</t>
  </si>
  <si>
    <t>TeamNewPipe-NewPipe-3891</t>
  </si>
  <si>
    <t>Crashing When Deleting From Playlist Tab</t>
  </si>
  <si>
    <t xml:space="preserve">   Exception_x000D_
    User Action:   ui error_x000D_
    Request:   App crash  UI failure_x000D_
    Content Country:   US_x000D_
    Content Language:   en US_x000D_
    App Language:   en US_x000D_
    Service:   none_x000D_
    Version:   0 19 6_x000D_
    OS:   Linux Android 9   28_x000D_
 details  summary  b Crash log   b   summary  p _x000D_
_x000D_
   _x000D_
java lang ArrayIndexOutOfBoundsException: length 15  index  1_x000D_
	at java util ArrayList remove(ArrayList java:506)_x000D_
	at org schabi newpipe local LocalItemListAdapter removeItem(LocalItemListAdapter java:128)_x000D_
	at org schabi newpipe local playlist LocalPlaylistFragment deleteItem(LocalPlaylistFragment java:621)_x000D_
	at org schabi newpipe local playlist LocalPlaylistFragment lambda showStreamItemDialog 19 LocalPlaylistFragment(LocalPlaylistFragment java:791)_x000D_
	at org schabi newpipe local playlist    Lambda LocalPlaylistFragment 90syoQLDH9fDdmrHKGkSeGndyvo onClick(Unknown Source:4)_x000D_
	at org schabi newpipe util StreamDialogEntry clickOn(StreamDialogEntry java:105)_x000D_
	at org schabi newpipe local playlist LocalPlaylistFragment lambda showStreamItemDialog 20 LocalPlaylistFragment(LocalPlaylistFragment java:794)_x000D_
	at org schabi newpipe local playlist    Lambda LocalPlaylistFragment XkVgE8RSZjjT9Ft0r7B 0GYSTrk onClick(Unknown Source:4)_x000D_
	at com android internal app AlertController AlertParams 3 onItemClick(AlertController java:1169)_x000D_
	at android widget AdapterView performItemClick(AdapterView java:318)_x000D_
	at android widget AbsListView performItemClick(AbsListView java:1192)_x000D_
	at android widget AbsListView PerformClick run(AbsListView java:3169)_x000D_
	at android os Handler handleCallback(Handler java:873)_x000D_
	at android os Handler dispatchMessage(Handler java:99)_x000D_
	at android os Looper loop(Looper java:193)_x000D_
	at android app ActivityThread main(ActivityThread java:6758)_x000D_
	at java lang reflect Method invoke(Native Method)_x000D_
	at com android internal os RuntimeInit MethodAndArgsCaller run(RuntimeInit java:493)_x000D_
	at com android internal os ZygoteInit main(ZygoteInit java:858)_x000D_
_x000D_
   _x000D_
  details _x000D_
 hr _x000D_
  Could be related to  3887 but this has a different crash log   _x000D_
_x000D_
My mistake  it was actually caused when I was deleting a video from a local Playlist  _x000D_
</t>
  </si>
  <si>
    <t>patzly-grocy-android-54</t>
  </si>
  <si>
    <t>App crashes in dark mode</t>
  </si>
  <si>
    <t xml:space="preserve">Hi there _x000D_
_x000D_
I am currently having trouble to switch to dark mode  As soon as I do  the app crashes and cannot be opened again  I have to delete all data from it through the phone to start over and have to set it up all again  Did check it multiple times but it was always the same _x000D_
_x000D_
Let me know what information is needed  so I will be able to send them to help  _x000D_
_x000D_
Thanks </t>
  </si>
  <si>
    <t>twilio-video-quickstart-android-545</t>
  </si>
  <si>
    <t xml:space="preserve">java.lang.IllegalArgumentException FRONT_CAMERA is not supported on this device </t>
  </si>
  <si>
    <t xml:space="preserve">    Description_x000D_
   _x000D_
Caused by: java lang IllegalArgumentException FRONT CAMERA is not supported on this device _x000D_
    Preconditions java:131 com twilio video Preconditions checkArgument_x000D_
    CameraCapturer java:323 com twilio video CameraCapturer  init _x000D_
    CameraCapturer java:309 com twilio video CameraCapturer  init _x000D_
    CameraCapturer java:309 com twilio video CameraCapturer  init _x000D_
    CameraCapturer java:303 com twilio video CameraCapturer  init _x000D_
    CameraCapturer java:303 com twilio video CameraCapturer  init _x000D_
    VideoActivity java:491 com app videocall VideoActivity createAudioAndVideoTracks_x000D_
    VideoActivity java:290 com app videocall VideoActivity onCreate_x000D_
    Activity java:6303 android app Activity performCreate_x000D_
    Instrumentation java:1108 android app Instrumentation callActivityOnCreate_x000D_
    ActivityThread java:2402 android app ActivityThread performLaunchActivity_x000D_
    ActivityThread java:2509 android app ActivityThread handleLaunchActivity_x000D_
    ActivityThread java:153 android app ActivityThread access 1000_x000D_
    ActivityThread java:1373 android app ActivityThread H handleMessage_x000D_
    Handler java:102 android os Handler dispatchMessage_x000D_
    Looper java:154 android os Looper loop_x000D_
    ActivityThread java:5523 android app ActivityThread main_x000D_
    Method java: 2 java lang reflect Method invoke_x000D_
    ZygoteInit java:739 com android internal os ZygoteInit MethodAndArgsCaller run_x000D_
    ZygoteInit java:629 com android internal os ZygoteInit main_x000D_
   _x000D_
_x000D_
One of our client reported that its always crashing when video call arise  We are showing local video on screen until user accept the call  _x000D_
_x000D_
   _x000D_
private void createAudioAndVideoTracks()  _x000D_
        Logg( createAudioAndVideoTracks called    ) _x000D_
           Share your microphone_x000D_
        localAudioTrack   LocalAudioTrack create(this  true  LOCAL AUDIO TRACK NAME) _x000D_
_x000D_
           Share your camera_x000D_
        cameraCapturer   new CameraCapturer(this  CameraCapturer CameraSource FRONT CAMERA) _x000D_
        localVideoTrack   LocalVideoTrack create(this  true  cameraCapturer) _x000D_
        primaryVideoView setMirror(true) _x000D_
        localVideoTrack addRenderer(primaryVideoView) _x000D_
        localVideoView   primaryVideoView _x000D_
_x000D_
          _x000D_
           Set the initial state of the UI_x000D_
           _x000D_
        intializeUI() _x000D_
     _x000D_
   _x000D_
_x000D_
Note:  Device camera is working fine both front and back camera  _x000D_
_x000D_
What would be the exact issue for causing this crash _x000D_
_x000D_
Device info:_x000D_
  Screenshot 2020 07 15 at 6 47 21 PM (https:  user images githubusercontent com 6050520 87549631 aeb54f00 c6cb 11ea 93e5 36f63b56f775 png)_x000D_
</t>
  </si>
  <si>
    <t>TeamNewPipe-NewPipe-3889</t>
  </si>
  <si>
    <t>Newlines not rendered for some descriptions</t>
  </si>
  <si>
    <t xml:space="preserve">
Oh no  a bug  It happens  Thanks for reporting an issue with NewPipe  If this is your first bug report  read the following information before proceeding: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P S : Our contribution guidelines might be a nice document to read before you fill out the report :) You can find it at https:  github com TeamNewPipe NewPipe blob HEAD  github CONTRIBUTING md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Version
     Which version are you using  Hopefully the latest  We just told you that above     
  0 19 6
    Steps to reproduce the bug
1  Go to      
2  Press on       
3  Swipe down to       
1  Open  this video (https:  tube privacytools io videos watch dbb1f47c 28a5 486a b4e9 15042210314f) in your browser  you ll see that the description is fine
2  Now open it in NewPipe  it s broken
     If you can t cause the bug to show up again reliably (and hence don t have a proper set of steps to give us)  please still try to give as many details as possible on how you think you encountered the bug     
    Expected behavior
     Tell us what you expect to happen     
Newlines are renderer properly
    Actual behaviour
     Tell us what happens instead     
No newlines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img src  https:  iili io dKzGGs png  alt  broken description in NewPipe  
 img src  https:  iili io dKzM6G png  alt  description is rendered properly on the website  
    Logs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That s right  here     
</t>
  </si>
  <si>
    <t>TeamNewPipe-NewPipe-3887</t>
  </si>
  <si>
    <t>UI crash when playing video from a local playlist tab</t>
  </si>
  <si>
    <t xml:space="preserve">   Exception
    User Action:   ui error
    Request:   App crash  UI failure
    Content Country:   GB
    Content Language:   en GB
    App Language:   en US
    Service:   none
    Version:   0 19 6
    OS:   Linux Android 9   28
 details  summary  b Crash log   b   summary  p 
java lang IllegalArgumentException: No view found for id 0x7f090126 (org schabi newpipe:id fragment holder) for fragment VideoDetailFragment 9c0e42b  (f942a41b d1fd 4575 baca bd4e56b5f0c8) id 0x7f090126 
	at androidx fragment app FragmentStateManager createView(FragmentStateManager java:315)
	at androidx fragment app FragmentManager moveToState(FragmentManager java:1187)
	at androidx fragment app FragmentManager moveToState(FragmentManager java:1356)
	at androidx fragment app FragmentManager moveFragmentToExpectedState(FragmentManager java:1434)
	at androidx fragment app FragmentManager moveToState(FragmentManager java:1497)
	at androidx fragment app BackStackRecord executeOps(BackStackRecord java:447)
	at androidx fragment app FragmentManager executeOps(FragmentManager java:2169)
	at androidx fragment app FragmentManager executeOpsTogether(FragmentManager java:1992)
	at androidx fragment app FragmentManager removeRedundantOperationsAndExecute(FragmentManager java:1947)
	at androidx fragment app FragmentManager execPendingActions(FragmentManager java:1849)
	at androidx fragment app FragmentManager 4 run(FragmentManager java:413)
	at android os Handler handleCallback(Handler java:873)
	at android os Handler dispatchMessage(Handler java:99)
	at android os Looper loop(Looper java:193)
	at android app ActivityThread main(ActivityThread java:6863)
	at java lang reflect Method invoke(Native Method)
	at com android internal os RuntimeInit MethodAndArgsCaller run(RuntimeInit java:537)
	at com android internal os ZygoteInit main(ZygoteInit java:858)
  details 
 hr 
When trying to play a video from a newly introduced playlist tab (0 19 6) 
This only seems to be happening to Local Playlists  YouTube playlists added to main content do not crash  The local playlist can however show all videos scrolling works 
Local Playlists when accessed using the Bookmarks tab work fine as expected  I can even add tabs for YouTube s Top Tracks auto generated playlists  and they work fine  I don t use other services so I can t speak for those  
P S  This was posted from mobile  if there are formating issues I will try to fix them on PC </t>
  </si>
  <si>
    <t>ankidroid-Anki-Android-6674</t>
  </si>
  <si>
    <t>Crash when review ends</t>
  </si>
  <si>
    <t xml:space="preserve">       Reproduction Steps_x000D_
_x000D_
I m currently using 2 13alpha2 and most of the time ( 4 out of 5) the app crash when finishing reviewing a deck  Then if I open the app again the review seems to have been entirely forgotten _x000D_
_x000D_
I have tried uninstalling  reinstalling  clearing cache  clearing data but the issue remains _x000D_
_x000D_
I have sent the error reporting crash report every time it occured but I don t if you receive it or if if I can do anything to help you investigate _x000D_
_x000D_
_x000D_
       Expected Result_x000D_
_x000D_
The app doesn t crash and saves the review result _x000D_
_x000D_
       Actual Result_x000D_
_x000D_
The app crashes and doesn t save the review result _x000D_
_x000D_
       Debug info_x000D_
_x000D_
AnkiDroid Version   2 13alpha2_x000D_
_x000D_
Android Version   10_x000D_
_x000D_
ACRA UUID   f8db4366 6f05 4d91 baf0 21511c8d83c0_x000D_
_x000D_
_x000D_
       Research_x000D_
 Enter an  x  character to confirm the points below: 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x   (Optional) I have confirmed the issue is not resolved in the latest alpha release ( instructions (https:  docs ankidroid org manual html betaTesting))_x000D_
_x000D_
</t>
  </si>
  <si>
    <t>Anuken-Mindustry-2228</t>
  </si>
  <si>
    <t>Mindustry crashes without opening</t>
  </si>
  <si>
    <t xml:space="preserve">  Platform  : Mac_x000D_
_x000D_
  Build  : 104_x000D_
_x000D_
  Issue  : Whenever I open mindustry it loads up to 80  and then closes  It started when I had downloaded some mods but it s still there even after deleting all mods and redownloading the game_x000D_
_x000D_
  Steps to reproduce  : I just opened the game_x000D_
_x000D_
  Link to mod(s) used  if applicable  : No mods_x000D_
_x000D_
  Crash report  if applicable  : I can t find any crash report_x000D_
_x000D_
   _x000D_
_x000D_
 Place an X (no spaces) between the brackets to confirm that you have read the line below    _x000D_
   X    I have searched the closed and open issues to make sure that this problem has not already been reported   _x000D_
</t>
  </si>
  <si>
    <t>getodk-collect-3971</t>
  </si>
  <si>
    <t>Using add group + after removing group causes a crash</t>
  </si>
  <si>
    <t xml:space="preserve">     Software and hardware versions _x000D_
Collect v1 28 current master  Android v5  7  10 probably all  device used   _x000D_
_x000D_
     Problem description_x000D_
Right after deleting group and using   in the hierarchy to add another one Collect is freezing and crashing  I was able to reproduce it for both repeat groups and nested groups _x000D_
_x000D_
     Steps to reproduce the problem_x000D_
1  Use any form with repeat groups  I have used: _x000D_
 nested repeats xml txt (https:  github com getodk collect files 4918782 nested repeats xml txt) _x000D_
2  Add some groups_x000D_
3  Delete the last one_x000D_
4  Click on   in the hierarchy (I can see that gif is lagging a bit but I definitely clicked on   button)_x000D_
_x000D_
gif:_x000D_
  ezgif com video to gif (9) (https:  user images githubusercontent com 33342488 87425572 2d33c300 c5de 11ea 890f 6da77436e2b4 gif)_x000D_
_x000D_
     Expected behavior_x000D_
Collect should not crash  Users should be able to add another group  _x000D_
_x000D_
     Other information _x000D_
stacktrace:_x000D_
 020 07 14 14:08:49 604 1970 2024   E ActivityManager: ANR in org odk collect android (org odk collect android  activities FormHierarchyActivity)_x000D_
    PID: 30275_x000D_
    Reason: Input dispatching timed out (Waiting to send non key event because the touched window has not finished processing certain input events that were delivered to it over 500 0ms ago   Wait queue length: 47   Wait queue head age: 5514 1ms )_x000D_
    Load: 5 13   5 07   4 82_x000D_
    CPU usage from 69312ms to 0ms ago (2020 07 14 14:07:37 544 to 2020 07 14 14:08:46 856):_x000D_
      100  30275 org odk collect android: 100  user   0  kernel   faults: 3 minor_x000D_
      0 6  1970 system server: 0 3  user   0 2  kernel   faults: 277 minor_x000D_
      0 4  29796 kworker u8:1: 0  user   0 4  kernel_x000D_
      0 2  21112 kworker u8:4: 0  user   0 2  kernel_x000D_
      0 1  30484 kworker 0:0: 0  user   0 1  kernel_x000D_
      0  5580 com motorola motocare: 0  user   0  kernel   faults: 223 minor_x000D_
      0  6 kworker u8:0: 0  user   0  kernel_x000D_
      0  347 surfaceflinger: 0  user   0  kernel   faults: 13 minor_x000D_
      0  185 mmcqd 0: 0  user   0  kernel_x000D_
      0  2453 wpa supplicant: 0  user   0  kernel   faults: 212 minor_x000D_
      0  256 logd: 0  user   0  kernel   faults: 2 minor_x000D_
      0  2449 VosMCThread: 0  user   0  kernel_x000D_
      0  2483 com android systemui: 0  user   0  kernel   faults: 31 minor_x000D_
      0  5894 uk org invisibility recordablefree: 0  user   0  kernel   faults: 1 major_x000D_
      0  24791 com google process gapps: 0  user   0  kernel   faults: 203 minor_x000D_
      0  29824 irq 326 synapti: 0  user   0  kernel_x000D_
      0  3 ksoftirqd 0: 0  user   0  kernel_x000D_
      0  7 rcu preempt: 0  user   0  kernel_x000D_
      0  33 kworker u9:0: 0  user   0  kernel_x000D_
      0  333 healthd: 0  user   0  kernel_x000D_
      0  345 lmkd: 0  user   0  kernel_x000D_
      0  2450 VosTXThread: 0  user   0  kernel_x000D_
      0  2736 com android phone: 0  user   0  kernel   faults: 4 minor_x000D_
      0  24687 kworker 2:1: 0  user   0  kernel_x000D_
      0  26325 kworker 0:2: 0  user   0  kernel_x000D_
      0  28802 com google android gms persistent: 0  user   0  kernel   faults: 1 minor_x000D_
    25  TOTAL: 25  user   0 3  kernel   0  iowait   0  softirq_x000D_
    CPU usage from 2201ms to 2724ms later (2020 07 14 14:08:49 057 to 2020 07 14 14:08:49 579):_x000D_
      99  30275 org odk collect android: 99  user   0  kernel_x000D_
        101  30275 collect android: 101  user   0  kernel_x000D_
      5 7  1970 system server: 1 9  user   3 8  kernel_x000D_
        3 8  2024 ActivityManager: 1 9  user   1 9  kernel_x000D_
        1 9  2398 SensorService: 0  user   1 9  kernel_x000D_
    26  TOTAL: 25  user   0 4  kernel_x000D_
2020 07 14 14:09:08 766 378 2243   E NetlinkEvent: NetlinkEvent::FindParam(): Parameter  UID  not found_x000D_
2020 07 14 14:09:11 802 1970 2403   E InputDispatcher: channel  63e84d8 org odk collect android org odk collect android activities FormEntryActivity (server)    Channel is unrecoverably broken and will be disposed _x000D_
2020 07 14 14:09:12 488 30509 30570 org odk collect android E FirebaseInstanceId: Failed to get FIS auth token_x000D_
    java util concurrent ExecutionException: com google firebase installations FirebaseInstallationsException_x000D_
        at com google android gms tasks Tasks zzb(Unknown Source)_x000D_
        at com google android gms tasks Tasks await(Unknown Source)_x000D_
        at com google firebase iid zzt zzb(com google firebase:firebase iid  20 1 5:54)_x000D_
        at com google firebase iid zzt zza(com google firebase:firebase iid  20 1 5:72)_x000D_
        at com google firebase iid zzs run(com google firebase:firebase iid  20 1 5)_x000D_
        at java util concurrent ThreadPoolExecutor runWorker(ThreadPoolExecutor java:1133)_x000D_
        at java util concurrent ThreadPoolExecutor Worker run(ThreadPoolExecutor java:607)_x000D_
        at com google android gms common util concurrent zza run(com google android gms:play services basement  17 1 1:6)_x000D_
        at java lang Thread run(Thread java:761)_x000D_
     Caused by: com google firebase installations FirebaseInstallationsException_x000D_
        at com google firebase installations FirebaseInstallations doNetworkCall(com google firebase:firebase installations  16 2 1:350)_x000D_
        at com google firebase installations FirebaseInstallations lambda doRegistrationInternal 0(com google firebase:firebase installations  16 2 1:323)_x000D_
        at com google firebase installations FirebaseInstallations  Lambda 5 run(com google firebase:firebase installations  16 2 1)_x000D_
        at java util concurrent ThreadPoolExecutor runWorker(ThreadPoolExecutor java:1133)_x000D_
        at java util concurrent ThreadPoolExecutor Worker run(ThreadPoolExecutor java:607)_x000D_
        at java lang Thread run(Thread java:761) _x000D_
2020 07 14 14:09:12 973 30509 30509 org odk collect android E PropertyManager: java lang SecurityException: getDeviceId: Neither user 10862 nor current process has android permission READ PHONE STATE _x000D_
        at android os Parcel readException(Parcel java:1684)_x000D_
        at android os Parcel readException(Parcel java:1637)_x000D_
        at com android internal telephony ITelephony Stub Proxy getDeviceId(ITelephony java:4726)_x000D_
        at android telephony TelephonyManager getDeviceId(TelephonyManager java:866)_x000D_
        at org odk collect android injection config AppDependencyModule 1 getDeviceId(AppDependencyModule java:219)_x000D_
        at org odk collect android logic PropertyManager findDeviceId(PropertyManager java:125)_x000D_
        at org odk collect android logic PropertyManager reload(PropertyManager java:104)_x000D_
        at org odk collect android logic PropertyManager  init (PropertyManager java:98)_x000D_
        at org odk collect android application Collect initializeJavaRosa(Collect java:174)_x000D_
        at org odk collect android application Collect onCreate(Collect java:130)_x000D_
        at android app Instrumentation callApplicationOnCreate(Instrumentation java:1046)_x000D_
        at android app ActivityThread handleBindApplication(ActivityThread java:5444)_x000D_
        at android app ActivityThread  wrap2(ActivityThread java)_x000D_
        at android app ActivityThread H handleMessage(ActivityThread java:1558)_x000D_
        at android os Handler dispatchMessage(Handler java:102)_x000D_
        at android os Looper loop(Looper java:154)_x000D_
        at android app ActivityThread main(ActivityThread java:6165)_x000D_
        at java lang reflect Method invoke(Native Method)_x000D_
        at com android internal os ZygoteInit MethodAndArgsCaller run(ZygoteInit java:888)_x000D_
        at com android internal os ZygoteInit main(ZygoteInit java:778)_x000D_
2020 07 14 14:09:13 707 30509 30520 org odk collect android E StrictMode: A resource was acquired at attached stack trace but never released  See java io Closeable for information on avoiding resource leaks _x000D_
    java lang Throwable: Explicit termination method  end  not called_x000D_
        at dalvik system CloseGuard open(CloseGuard java:180)_x000D_
        at java util zip Inflater  init (Inflater java:104)_x000D_
        at com android okhttp okio GzipSource  init (GzipSource java:62)_x000D_
        at com android okhttp internal http HttpEngine unzip(HttpEngine java:645)_x000D_
        at com android okhttp internal http HttpEngine readResponse(HttpEngine java:821)_x000D_
        at com android okhttp internal huc HttpURLConnectionImpl execute(HttpURLConnectionImpl java:463)_x000D_
        at com android okhttp internal huc HttpURLConnectionImpl getResponse(HttpURLConnectionImpl java:405)_x000D_
        at com android okhttp internal huc HttpURLConnectionImpl getResponseCode(HttpURLConnectionImpl java:521)_x000D_
        at com android okhttp internal huc DelegatingHttpsURLConnection getResponseCode(DelegatingHttpsURLConnection java:105)_x000D_
        at com android okhttp internal huc HttpsURLConnectionImpl getResponseCode(HttpsURLConnectionImpl java)_x000D_
        at com google firebase installations remote FirebaseInstallationServiceClient createFirebaseInstallation(com google firebase:firebase installations  16 2 1:156)_x000D_
        at com google firebase installations FirebaseInstallations registerFidWithServer(com google firebase:firebase installations  16 2 1:433)_x000D_
        at com google firebase installations FirebaseInstallations doNetworkCall(com google firebase:firebase installations  16 2 1:333)_x000D_
        at com google firebase installations FirebaseInstallations lambda doRegistrationInternal 0(com google firebase:firebase installations  16 2 1:323)_x000D_
        at com google firebase installations FirebaseInstallations  Lambda 5 run(com google firebase:firebase installations  16 2 1)_x000D_
        at java util concurrent ThreadPoolExecutor runWorker(ThreadPoolExecutor java:1133)_x000D_
        at java util concurrent ThreadPoolExecutor Worker run(ThreadPoolExecutor java:607)_x000D_
        at java lang Thread run(Thread java:761)_x000D_
2020 07 14 14:09:14 162 30509 30566 org odk collect android E FirebaseInstanceId: Topic sync or token retrieval failed on hard failure exceptions: FIS AUTH ERROR  Won t retry the operation _x000D_
2020 07 14 14:09:18 708 2736 2736   E QtiImsExtUtils: getConfigForPhoneId subId is invalid_x000D_
2020 07 14 14:09:18 709 2736 2736   E QtiImsExtUtils: isCarrierConfigEnabled bundle is null_x000D_
2020 07 14 14:09:19 487 30509 30520 org odk collect android E StrictMode: A resource was acquired at attached stack trace but never released  See java io Closeable for information on avoiding resource leaks _x000D_
    java lang Throwable: Explicit termination method  end  not called_x000D_
        at dalvik system CloseGuard open(CloseGuard java:180)_x000D_
        at java util zip Inflater  init (Inflater java:104)_x000D_
        at com android okhttp okio GzipSource  init (GzipSource java:62)_x000D_
        at com android okhttp internal http HttpEngine unzip(HttpEngine java:645)_x000D_
        at com android okhttp internal http HttpEngine readResponse(HttpEngine java:821)_x000D_
        at com android okhttp internal huc HttpURLConnectionImpl execute(HttpURLConnectionImpl java:463)_x000D_
        at com android okhttp internal huc HttpURLConnectionImpl getResponse(HttpURLConnectionImpl java:405)_x000D_
        at com android okhttp internal huc HttpURLConnectionImpl getResponseCode(HttpURLConnectionImpl java:521)_x000D_
        at com android okhttp internal huc DelegatingHttpsURLConnection getResponseCode(DelegatingHttpsURLConnection java:105)_x000D_
        at com android okhttp internal huc HttpsURLConnectionImpl getResponseCode(HttpsURLConnectionImpl java)_x000D_
        at com google firebase installations remote FirebaseInstallationServiceClient createFirebaseInstallation(com google firebase:firebase installations  16 2 1:156)_x000D_
        at com google firebase installations FirebaseInstallations registerFidWithServer(com google firebase:firebase installations  16 2 1:433)_x000D_
        at com google firebase installations FirebaseInstallations doNetworkCall(com google firebase:firebase installations  16 2 1:333)_x000D_
        at com google firebase installations FirebaseInstallations lambda doRegistrationInternal 0(com google firebase:firebase installations  16 2 1:323)_x000D_
        at com google firebase installations FirebaseInstallations  Lambda 5 run(com google firebase:firebase installations  16 2 1)_x000D_
        at java util concurrent ThreadPoolExecutor runWorker(ThreadPoolExecutor java:1133)_x000D_
        at java util concurrent ThreadPoolExecutor Worker run(ThreadPoolExecutor java:607)_x000D_
        at java lang Thread run(Thread java:761)_x000D_
 </t>
  </si>
  <si>
    <t>cgeo-cgeo-8633</t>
  </si>
  <si>
    <t>[Nightly] Fast scroll crashes in long lists</t>
  </si>
  <si>
    <t xml:space="preserve">  Describe the bug:  _x000D_
I have a list  All finds  which contains about 6k caches  If I use fast scroll to go to it s bottom  c:geo sometimes crashes as soon as I swipe over the end of the cache list  i  e  when I cross the border between c:geo s cache list and Android s (resp  Nova Launcher s) menu bar  This happens in another list  too  which has just about 1 1k caches   but not that frequently  Nevertheless  if you  go wild  (i  e  swipe up and down rapidly across this border a few times)  the crash happens there (and in even way shorter lists)  too _x000D_
_x000D_
  To Reproduce:  _x000D_
1  open a list containing at least 1000 caches (maybe the farthest away should additionally have a distance of more than 1000 km)_x000D_
2  sort list by distance_x000D_
3  fling up to activate fast scroll_x000D_
4  grab fast scroll bar and swipe down to the very end of the list and go all the way down to the end of the display_x000D_
5  if c:geo does not crash immediately  keep finger tapped and rapidly move up and down a few times_x000D_
_x000D_
  Actual behavior state after performing these steps:  _x000D_
c:geo crashes and restarts with main page _x000D_
_x000D_
  Expected behavior state after performing these steps:  _x000D_
Guess what       )_x000D_
_x000D_
  Version of c:geo used:  _x000D_
2020 07 14 NB f2e3a34_x000D_
_x000D_
  Is the problem reproducible:  _x000D_
Yes_x000D_
_x000D_
  Additional context  _x000D_
Please find a logfile  generated with this really great new function  enclosed   :)_x000D_
 logcat 2020 07 14 12 46 log txt (https:  github com cgeo cgeo files 4918520 logcat 2020 07 14 12 46 log txt)_x000D_
_x000D_
BTW: Github refused to upload my   log  files   thus c:geo should possibly rename it to   txt  to make it easier for Joe Public _x000D_
</t>
  </si>
  <si>
    <t>Rapsssito-react-native-tcp-socket-69</t>
  </si>
  <si>
    <t>Unhandled error event</t>
  </si>
  <si>
    <t xml:space="preserve">   Description_x000D_
I receive global unhandled error event causing app to crash _x000D_
_x000D_
   Steps to reproduce_x000D_
Steps to reproduce the behavior:_x000D_
_x000D_
I am not able to reproduce  It is quite random _x000D_
_x000D_
Code:_x000D_
   js_x000D_
  let server   TcpSocket createServer( async function(socket)  _x000D_
_x000D_
    socket on( error   (err)     _x000D_
      console warn( socket error:   err) _x000D_
      try  _x000D_
        socket destroy() _x000D_
        catch (err)  _x000D_
        console warn( Socket destroy error (on socket error):   err) _x000D_
       _x000D_
     ) _x000D_
_x000D_
    socket on( data   async (data)        ) _x000D_
_x000D_
    socket on( close   (err)           _x000D_
      console warn( socket closed:   err) _x000D_
     ) _x000D_
_x000D_
 ) _x000D_
_x000D_
server listen(serverOptions  ()      ) _x000D_
_x000D_
     restart server in case of app going back to foreground_x000D_
  AppState addEventListener( change   async (state)     _x000D_
    if (state     active     disabled    false)  _x000D_
_x000D_
      if (typeof server      undefined )  _x000D_
         console warn( State changed to active  Server respawned ) _x000D_
         try  _x000D_
            server close() _x000D_
           catch (err)  _x000D_
          console warn( Server close error on state change:   err) _x000D_
          _x000D_
         try  _x000D_
            server   await createTcpServer(storage  serverOptions) _x000D_
           catch(err)  _x000D_
            console warn( Server creation error on state change:   err) _x000D_
          _x000D_
         _x000D_
       _x000D_
_x000D_
     _x000D_
   )_x000D_
_x000D_
   _x000D_
_x000D_
   Current behavior_x000D_
A clear and concise description of what happened _x000D_
_x000D_
   _x000D_
 _x000D_
   message :  Error: Unhandled error  (undefined)  _x000D_
   stack :  _x000D_
     _x000D_
       functionName :  emit  _x000D_
       lineNumber : 141 _x000D_
       columnNumber : 14 _x000D_
       fileName :  node modules events events js _x000D_
      _x000D_
     _x000D_
       functionName :   eventEmitter addListener argument 1  _x000D_
       lineNumber : 62 _x000D_
       columnNumber : 12 _x000D_
       fileName :  node modules react native tcp socket src TcpSocket js _x000D_
      _x000D_
     _x000D_
       functionName :  emit  _x000D_
       lineNumber : 189 _x000D_
       columnNumber : 10 _x000D_
       fileName :  node modules react native Libraries vendor emitter EventEmitter js _x000D_
      _x000D_
     _x000D_
       functionName :    callFunction  _x000D_
       lineNumber : 425 _x000D_
       columnNumber : 19 _x000D_
       fileName :  node modules react native Libraries BatchedBridge MessageQueue js _x000D_
      _x000D_
     _x000D_
       functionName :    guard argument 0  _x000D_
       lineNumber : 112 _x000D_
       columnNumber : 6 _x000D_
       fileName :  node modules react native Libraries BatchedBridge MessageQueue js _x000D_
      _x000D_
     _x000D_
       functionName :    guard  _x000D_
       lineNumber : 373 _x000D_
       columnNumber : 10 _x000D_
       fileName :  node modules react native Libraries BatchedBridge MessageQueue js _x000D_
      _x000D_
     _x000D_
       functionName :  callFunctionReturnFlushedQueue  _x000D_
       lineNumber : 111 _x000D_
       columnNumber : 4 _x000D_
       fileName :  node modules react native Libraries BatchedBridge MessageQueue js _x000D_
      _x000D_
     _x000D_
       functionName :  callFunctionReturnFlushedQueue  _x000D_
       lineNumber : null _x000D_
       columnNumber : null _x000D_
       fileName :   native code  _x000D_
     _x000D_
   _x000D_
 _x000D_
   _x000D_
_x000D_
_x000D_
   Expected behavior_x000D_
Not to crash_x000D_
_x000D_
   Relevant information_x000D_
                     _x000D_
                     _x000D_
  OS   13 3   _x000D_
  react native   0 62 2    _x000D_
  react native tcp socket    4 2 0    _x000D_
</t>
  </si>
  <si>
    <t>elimu-ai-launcher-55</t>
  </si>
  <si>
    <t>Resources$NotFoundException on Android 7.1.1 (API 25)</t>
  </si>
  <si>
    <t>Launcher crashes when pressing the  Familiar Word Reading  skill  Perhaps due to a missing launcher icon density in the  Vitabu (https:  github com elimu ai vitabu) app _x000D_
_x000D_
   _x000D_
2020 07 14 14:36:01 872 8141 8141 ai elimu launcher debug I HomeScreensActivity Pla: initializeDialog_x000D_
2020 07 14 14:36:01 883 8141 8141 ai elimu launcher debug I HomeScreensActivity Pla: application getPackageName(): ai elimu vitabu debug_x000D_
2020 07 14 14:36:01 885 8141 8141 ai elimu launcher debug I HomeScreensActivity Pla: isTabletNavigationSkill: false_x000D_
2020 07 14 14:36:01 885 8141 8141 ai elimu launcher debug I HomeScreensActivity Pla: isLiteracySkill: true_x000D_
2020 07 14 14:36:01 885 8141 8141 ai elimu launcher debug I HomeScreensActivity Pla: isNumeracySkill: false_x000D_
2020 07 14 14:36:01 885 8141 8141 ai elimu launcher debug I HomeScreensActivity Pla: packageInfoAppstore versionCode: 1000002_x000D_
2020 07 14 14:36:01 888 8141 8141 ai elimu launcher debug W ResourceType: Failure getting entry for 0x7f0c0001 (t 11 e 1) (error  75)_x000D_
2020 07 14 14:36:01 888 8141 8141 ai elimu launcher debug D AndroidRuntime: Shutting down VM_x000D_
2020 07 14 14:36:01 888 8141 8141 ai elimu launcher debug E AndroidRuntime: FATAL EXCEPTION: main_x000D_
    Process: ai elimu launcher debug  PID: 8141_x000D_
    android content res Resources NotFoundException: Resource ID  0x7f0c0001_x000D_
        at android content res ResourcesImpl getValueForDensity(ResourcesImpl java:199)_x000D_
        at android content res Resources getDrawableForDensity(Resources java:827)_x000D_
        at ai elimu launcher ui HomeScreensActivity PlaceholderFragment initializeDialog(HomeScreensActivity java:385)_x000D_
        at ai elimu launcher ui HomeScreensActivity PlaceholderFragment access 200(HomeScreensActivity java:153)_x000D_
        at ai elimu launcher ui HomeScreensActivity PlaceholderFragment 8 onClick(HomeScreensActivity java:318)_x000D_
        at android view View performClick(View java:5637)_x000D_
        at android view View PerformClick run(View java:22429)_x000D_
        at android os Handler handleCallback(Handler java:751)_x000D_
        at android os Handler dispatchMessage(Handler java:95)_x000D_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_x000D_
It might also be related to this commit: https:  github com elimu ai launcher commit d51bcf1e57ca8d945ea6049201dd6878edf99181 diff 1d16b6169ab11b833cf25a577b253c49R345</t>
  </si>
  <si>
    <t>TeamNewPipe-NewPipe-3879</t>
  </si>
  <si>
    <t>Fast swpie to delete search history crash app</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</si>
  <si>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5_x000D_
_x000D_
    Steps to reproduce the bug_x000D_
    _x000D_
1  Go to      _x000D_
2  Press on       _x000D_
3  Swipe down to       _x000D_
    Fast swipe to delete search history crash app_x000D_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No crash_x000D_
_x000D_
    Actual behaviour_x000D_
     Tell us what happens instead     _x000D_
App crash_x000D_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error report is on this link_x000D_
https:  pastebin com i5isZdP6_x000D_
     That s right  here     _x000D_
</t>
  </si>
  <si>
    <t>hzi-braunschweig-SORMAS-Project-2474</t>
  </si>
  <si>
    <t>App crashing when opening contacts view</t>
  </si>
  <si>
    <t xml:space="preserve">    _x000D_
If you ve never submitted an issue to the SORMAS repository before or this is your first time using this template  please read the Contributing guidelines (accessible in the right sidebar) for an explanation about the information we d like you to provide _x000D_
   _x000D_
    Bug Description_x000D_
   There are double tabs for Epidemiological data for contacts on web_x000D_
  Opening contacts on tablet crashes mobile app_x000D_
 _x000D_
    Steps to Reproduce_x000D_
1 _x000D_
2 _x000D_
_x000D_
    Expected Behavior_x000D_
_x000D_
    Screenshots_x000D_
_x000D_
    System Details_x000D_
  Device:_x000D_
  SORMAS version:1 44_x000D_
  Android version Browser:_x000D_
_x000D_
    Additional Information_x000D_
</t>
  </si>
  <si>
    <t>TotalCross-totalcross-70</t>
  </si>
  <si>
    <t>Thread usage is crashing the app</t>
  </si>
  <si>
    <t xml:space="preserve">   Thread usage is crashing the app_x000D_
_x000D_
   Describe the bug_x000D_
I am getting the temperature and humidity using a DHT11  also updating the screen with a Thread and  after 1h  the app crash _x000D_
_x000D_
   To Reproduce_x000D_
You should use this source code to reproduce  It takes a while running on the device to abort the application_x000D_
https:  github com TotalCross HomeApplianceXML tree feature dht sensor_x000D_
_x000D_
Also  connect on the raspberry with ssh and run a top command to track memory  it was increasing really fast _x000D_
_x000D_
   Expected behavior_x000D_
The application should continue running with no problem _x000D_
_x000D_
   Devices:_x000D_
raspberry pi 4</t>
  </si>
  <si>
    <t>Anuken-Mindustry-2224</t>
  </si>
  <si>
    <t>Shooting and building at the same time</t>
  </si>
  <si>
    <t xml:space="preserve">  Platform  : Windows_x000D_
_x000D_
  Build  : 104 10_x000D_
_x000D_
  Issue  : When you pause the construction and are constantly firing and press the resume construction button the ship keeps firing when building _x000D_
_x000D_
  Steps to reproduce  : _x000D_
1  Create a construction and pause it_x000D_
2  Start firing without releasing the fire button_x000D_
3  Resume building_x000D_
4  You are firing at the same time you are building_x000D_
_x000D_
  Link to mod(s) used  if applicable  : No mods_x000D_
_x000D_
  Crash report  if applicable  : No crash_x000D_
_x000D_
   _x000D_
_x000D_
 Place an X (no spaces) between the brackets to confirm that you have read the line below    _x000D_
   X     I have searched the closed and open issues to make sure that this problem has not already been reported   _x000D_
  Mindustry (https:  user images githubusercontent com 14676946 87273114 9d432b80 c4ae 11ea 84e0 7031b1380474 jpg)_x000D_
</t>
  </si>
  <si>
    <t>martykan-forecastie-495</t>
  </si>
  <si>
    <t>Using a date format with day of the week causes app to crash</t>
  </si>
  <si>
    <t>I get this bug on LineageOS 17 1  Reproduction is fairly simple on my device: Just go to settings  choose a date format with day of the week  e g   Thursday   22:00   and go back to have the app crash _x000D_
_x000D_
I don t know how to provide logs  but will provide them if somebody tells me how :)</t>
  </si>
  <si>
    <t>wallabag-android-app-1013</t>
  </si>
  <si>
    <t>tagging eventually hangs in 2.4.0beta4</t>
  </si>
  <si>
    <t xml:space="preserve">  Issue details_x000D_
_x000D_
When tagging articles  after a few entries  the apps completely hangs and becomes unresponsive enough for Android to ask me if I want to kill it _x000D_
_x000D_
    Duplicate _x000D_
_x000D_
no_x000D_
_x000D_
    Actual behaviour_x000D_
_x000D_
Fairly reliably  before I get to type  add  on the third tag (see  steps to reproduce   below)  the entire app hangs and becomes completely unresponsive  After a while  Android asks me to have mercy on the poor phone s battery and to kill the app _x000D_
_x000D_
If I let it be  the Manage tags dialog eventually closes on its own and the app restarts  presumably it crashes  The article stays untagged  both according to the main Wallabag web UI and the Android app _x000D_
_x000D_
    Expected behaviour_x000D_
_x000D_
I should be able to add many tags  and this was indeed working fine in the 2 3 0 version _x000D_
_x000D_
  Steps to reproduce the issue_x000D_
_x000D_
1  Tap on the top left hamburger menu_x000D_
2  Tap on the   untagged    tag _x000D_
3  Tap on an article_x000D_
4  Tap on the top right  three dot  menu_x000D_
5  Tap on  Manage tags _x000D_
6  Type a tag  tap  add _x000D_
_x000D_
Repeat the last step two or three times  _x000D_
_x000D_
  Environment details_x000D_
    wallabag app version  :  2 4 0beta4 (regression from 2 3 0)_x000D_
    wallabag app installation source   F Droid_x000D_
    Android OS version  :  7 1 2 AOSP derivative  2019 10 05 patch level_x000D_
    Android ROM  : Fairphone OS ( Saibon )_x000D_
    Android hardware  :  Fairphone 2_x000D_
    wallabag server version  : 2 3 7_x000D_
    Do you have Two Factor Authentication enabled   : no_x000D_
_x000D_
_x000D_
  Logs_x000D_
   wallabag server_x000D_
_x000D_
I do not have access to the server logs _x000D_
_x000D_
_x000D_
   Web server_x000D_
_x000D_
N A _x000D_
_x000D_
  Your experience with wallabag Android app_x000D_
_x000D_
This app is great  I use it all the time  both on my phone and on my Onyx e reader  it s pretty awesome  It usually works great and I absolutely  love  the idea of having an  untagged  search (which the Web UI  del could have too  del  already has  sorry  I forgot  :))  I can t wait to upgrade to the beta everywhere  :)</t>
  </si>
  <si>
    <t>lisawray-groupie-351</t>
  </si>
  <si>
    <t>App crashed when dragging an item to the top/bottom of the list area</t>
  </si>
  <si>
    <t xml:space="preserve">  Describe the bug  _x000D_
App crashed when dragging an item to the top bottom of the list area_x000D_
_x000D_
  To Reproduce  _x000D_
  Enter sample MainActivity_x000D_
  Scroll to the  Drag to reorder  section_x000D_
  Drag one of the items to the top bottom most position of the list area_x000D_
_x000D_
  Expected behavior  _x000D_
The selected item gets reordered properly_x000D_
_x000D_
  Library version  _x000D_
2 8 0_x000D_
_x000D_
  Additional context  _x000D_
_x000D_
  java vm ext cc:570  JNI DETECTED ERROR IN APPLICATION: JNI CallVoidMethodV called with pending exception java lang IndexOutOfBoundsException: Index:  1  Size: 4_x000D_
2020 07 12 17:59:18 261 20484 20484 com xwray groupie example A groupie exampl: java vm ext cc:570    at void java util ArrayList add(int  java lang Object) (ArrayList java:483)_x000D_
2020 07 12 17:59:18 261 20484 20484 com xwray groupie example A groupie exampl: java vm ext cc:570    at boolean com xwray groupie example MainActivity touchCallback 2 1 onMove(androidx recyclerview widget RecyclerView  androidx recyclerview widget RecyclerView ViewHolder  androidx recyclerview widget RecyclerView ViewHolder) (MainActivity kt:382)_x000D_
2020 07 12 17:59:18 261 20484 20484 com xwray groupie example A groupie exampl: java vm ext cc:570    at void androidx recyclerview widget ItemTouchHelper moveIfNecessary(androidx recyclerview widget RecyclerView ViewHolder) (ItemTouchHelper java:881)_x000D_
2020 07 12 17:59:18 261 20484 20484 com xwray groupie example A groupie exampl: java vm ext cc:570    at void androidx recyclerview widget ItemTouchHelper 2 onTouchEvent(androidx recyclerview widget RecyclerView  android view MotionEvent) (ItemTouchHelper java:387)_x000D_
2020 07 12 17:59:18 261 20484 20484 com xwray groupie example A groupie exampl: java vm ext cc:570    at boolean androidx recyclerview widget RecyclerView dispatchToOnItemTouchListeners(android view MotionEvent) (RecyclerView java:3124)_x000D_
2020 07 12 17:59:18 261 20484 20484 com xwray groupie example A groupie exampl: java vm ext cc:570    at boolean androidx recyclerview widget RecyclerView onTouchEvent(android view MotionEvent) (RecyclerView java:3283)_x000D_
2020 07 12 17:59:18 261 20484 20484 com xwray groupie example A groupie exampl: java vm ext cc:570    at boolean android view View dispatchTouchEvent(android view MotionEvent) (View java:13499)_x000D_
2020 07 12 17:59:18 261 20484 20484 com xwray groupie example A groupie exampl: java vm ext cc:570    at boolean android view ViewGroup dispatchTransformedTouchEvent(android view MotionEvent  boolean  android view View  int) (ViewGroup java:3079)_x000D_
2020 07 12 17:59:18 261 20484 20484 com xwray groupie example A groupie exampl: java vm ext cc:570    at boolean android view ViewGroup dispatchTouchEvent(android view MotionEvent) (ViewGroup java:2756)_x000D_
2020 07 12 17:59:18 261 20484 20484 com xwray groupie example A groupie exampl: java vm ext cc:570    at boolean android view ViewGroup dispatchTransformedTouchEvent(android view MotionEvent  boolean  android view View  int) (ViewGroup java:3085)_x000D_
2020 07 12 17:59:18 261 20484 20484 com xwray groupie example A groupie exampl: java vm ext cc:570    at boolean android view ViewGroup dispatchTouchEvent(android view MotionEvent) (ViewGroup java:2770)_x000D_
2020 07 12 17:59:18 261 20484 20484 com xwray groupie example A groupie exampl: java vm ext cc:570    at boolean android view ViewGroup dispatchTransformedTouchEvent(android view MotionEvent  boolean  android view View  int) (ViewGroup java:3085)_x000D_
2020 07 12 17:59:18 261 20484 20484 com xwray groupie example A groupie exampl: java vm ext cc:570    at boolean android view ViewGroup dispatchTouchEvent(android view MotionEvent) (ViewGroup java:2770)_x000D_
2020 07 12 17:59:18 261 20484 20484 com xwray groupie example A groupie exampl: java vm ext cc:570    at boolean android view ViewGroup dispatchTransformedTouchEvent(android view MotionEvent  boolean  android view View  int) (ViewGroup java:3085)_x000D_
2020 07 12 17:59:18 261 20484 20484 com xwray groupie example A groupie exampl: java vm ext cc:570    at boolean android view ViewGroup dispatchTouchEvent(android view MotionEvent) (ViewGroup java:2770)_x000D_
2020 07 12 17:59:18 261 20484 20484 com xwray groupie example A groupie exampl: java vm ext cc:570    at boolean android view ViewGroup dispatchTransformedTouchEvent(android view MotionEvent  boolean  android view View  int) (ViewGroup java:3085)_x000D_
2020 07 12 17:59:18 261 20484 20484 com xwray groupie example A groupie exampl: java vm ext cc:570    at boolean android view ViewGroup dispatchTouchEvent(android view MotionEvent) (ViewGroup java:2770)_x000D_
2020 07 12 17:59:18 261 20484 20484 com xwray groupie example A groupie exampl: java vm ext cc:570    at boolean android view ViewGroup dispatchTransformedTouchEvent(android view MotionEvent  boolean  android view View  int) (ViewGroup java:3085)_x000D_
2020 07 12 17:59:18 261 20484 20484 com xwray groupie example A groupie exampl: java vm ext cc:570    at boolean android view ViewGroup dispatchTouchEvent(android view MotionEvent) (ViewGroup java:2770)_x000D_
2020 07 12 17:59:18 261 20484 20484 com xwray groupie example A groupie exampl: java vm ext cc:570    at boolean android view ViewGroup dispatchTransformedTouchEvent(android view MotionEvent  boolean  android view View  int) (ViewGroup java:3085)_x000D_
2020 07 12 17:59:18 261 20484 20484 com xwray groupie example A groupie exampl: java vm ext cc:570    at boolean android view ViewGroup dispatchTouchEvent(android view MotionEvent) (ViewGroup java:2770)_x000D_
2020 07 12 17:59:18 261 20484 20484 com xwray groupie example A groupie exampl: java vm ext cc:570    at boolean com android internal policy DecorView superDispatchTouchEvent(android view MotionEvent) (DecorView java:472)_x000D_
2020 07 12 17:59:18 261 20484 20484 com xwray groupie example A groupie exampl: java vm ext cc:570    at boolean com android internal policy PhoneWindow superDispatchTouchEvent(android view MotionEvent) (PhoneWindow java:1884)_x000D_
2020 07 12 17:59:18 261 20484 20484 com xwray groupie example A groupie exampl: java vm ext cc:570    at boolean android app Activity dispatchTouchEvent(android view MotionEvent) (Activity java:4011)_x000D_
2020 07 12 17:59:18 261 20484 20484 com xwray groupie example A groupie exampl: java vm ext cc:570    at boolean androidx appcompat view WindowCallbackWrapper dispatchTouchEvent(android view MotionEvent) (WindowCallbackWrapper java:69)_x000D_
2020 07 12 17:59:18 261 20484 20484 com xwray groupie example A groupie exampl: java vm ext cc:570    at boolean com android internal policy DecorView dispatchTouchEvent(android view MotionEvent) (DecorView java:430)_x000D_
2020 07 12 17:59:18 261 20484 20484 com xwray groupie example A groupie exampl: java vm ext cc:570    at boolean android view View dispatchPointerEvent(android view MotionEvent) (View java:13758)_x000D_
2020 07 12 17:59:18 261 20484 20484 com xwray groupie example A groupie exampl: java vm ext cc:570    at int android view ViewRootImpl ViewPostImeInputStage processPointerEvent(android view ViewRootImpl QueuedInputEvent) (ViewRootImpl java:5872)_x000D_
2020 07 12 17:59:18 261 20484 20484 com xwray groupie example A groupie exampl: java vm ext cc:570    at int android view ViewRootImpl ViewPostImeInputStage onProcess(android view ViewRootImpl QueuedInputEvent) (ViewRootImpl java:5643)_x000D_
2020 07 12 17:59:18 261 20484 20484 com xwray groupie example A groupie exampl: java vm ext cc:570    at void android view ViewRootImpl InputStage deliver(android view ViewRootImpl QueuedInputEvent) (ViewRootImpl java:5121)_x000D_
2020 07 12 17:59:18 261 20484 20484 com xwray groupie example A groupie exampl: java vm ext cc:570    at void android view ViewRootImpl InputStage onDeliverToNext(android view ViewRootImpl QueuedInputEvent) (ViewRootImpl java:5174)_x000D_
2020 07 12 17:59:18 261 20484 20484 com xwray groupie example A groupie exampl: java vm ext cc:570    at void android view ViewRootImpl InputStage forward(android view ViewRootImpl QueuedInputEvent) (ViewRootImpl java:5140)_x000D_
2020 07 12 17:59:18 261 20484 20484 com xwray groupie example A groupie exampl: java vm ext cc:570    at void android view ViewRootImpl AsyncInputStage forward(android view ViewRootImpl QueuedInputEvent) (ViewRootImpl java:5280)_x000D_
2020 07 12 17:59:18 261 20484 20484 com xwray groupie example A groupie exampl: java vm ext cc:570    at void android view ViewRootImpl InputStage apply(android view ViewRootImpl QueuedInputEvent  int) (ViewRootImpl java:5148)_x000D_
2020 07 12 17:59:18 261 20484 20484 com xwray groupie example A groupie exampl: java vm ext cc:570    at void android view ViewRootImpl AsyncInputStage apply(android view ViewRootImpl QueuedInputEvent  int) (ViewRootImpl java:5337)_x000D_
2020 07 12 17:59:18 261 20484 20484 com xwray groupie example A groupie exampl: java vm ext cc:570    at void android view ViewRootImpl InputStage deliver(android view ViewRootImpl QueuedInputEvent) (ViewRootImpl java:5121)_x000D_
2020 07 12 17:59:18 261 20484 20484 com xwray groupie example A groupie exampl: java vm ext cc:570    at void android view ViewRootImpl InputStage onDeliverToNext(android view ViewRootImpl QueuedInputEvent) (ViewRootImpl java:5174)_x000D_
2020 07 12 17:59:18 261 20484 20484 com xwray groupie example A groupie exampl: java vm ext cc:570    at void android view ViewRootImpl InputStage forward(android view ViewRootImpl QueuedInputEvent) (ViewRootImpl java:5140)_x000D_
2020 07 12 17:59:18 261 20484 20484 com xwray groupie example A groupie exampl: java vm ext cc:570    at void android view ViewRootImpl InputStage apply(android view ViewRootImpl QueuedInputEvent  int) (ViewRootImpl java:5148)_x000D_
2020 07 12 17:59:18 261 20484 20484 com xwray groupie example A groupie exampl: java vm ext cc:570    at void android view ViewRootImpl InputStage deliver(android view ViewRootImpl QueuedInputEvent) (ViewRootImpl java:5121)_x000D_
2020 07 12 17:59:18 261 20484 20484 com xwray groupie example A groupie exampl: java vm ext cc:570    at void android view ViewRootImpl deliverInputEvent(android view ViewRootImpl QueuedInputEvent) (ViewRootImpl java:7930)_x000D_
2020 07 12 17:59:18 261 20484 20484 com xwray groupie example A groupie exampl: java vm ext cc:570    at void android view ViewRootImpl doProcessInputEvents() (ViewRootImpl java:7899)_x000D_
2020 07 12 17:59:18 261 20484 20484 com xwray groupie example A groupie exampl: java vm ext cc:570    at void android view ViewRootImpl enqueueInputEvent(android view InputEvent  android view InputEventReceiver  int  boolean) (ViewRootImpl java:7839)_x000D_
2020 07 12 17:59:18 261 20484 20484 com xwray groupie example A groupie exampl: java vm ext cc:570    at void android view ViewRootImpl WindowInputEventReceiver onInputEvent(android view InputEvent) (ViewRootImpl java:8055)_x000D_
2020 07 12 17:59:18 261 20484 20484 com xwray groupie example A groupie exampl: java vm ext cc:570    at void android view InputEventReceiver dispatchInputEvent(int  android view InputEvent) (InputEventReceiver java:189)_x000D_
2020 07 12 17:59:18 261 20484 20484 com xwray groupie example A groupie exampl: java vm ext cc:570    at boolean android view InputEventReceiver nativeConsumeBatchedInputEvents(long  long) (InputEventReceiver java: 2)_x000D_
2020 07 12 17:59:18 261 20484 20484 com xwray groupie example A groupie exampl: java vm ext cc:570    at boolean android view InputEventReceiver consumeBatchedInputEvents(long) (InputEventReceiver java:179)_x000D_
2020 07 12 17:59:18 261 20484 20484 com xwray groupie example A groupie exampl: java vm ext cc:570    at void android view ViewRootImpl doConsumeBatchedInput(long) (ViewRootImpl java:8006)_x000D_
2020 07 12 17:59:18 261 20484 20484 com xwray groupie example A groupie exampl: java vm ext cc:570    at void android view ViewRootImpl ConsumeBatchedInputRunnable run() (ViewRootImpl java:8079)_x000D_
2020 07 12 17:59:18 261 20484 20484 com xwray groupie example A groupie exampl: java vm ext cc:570    at void android view Choreographer CallbackRecord run(long) (Choreographer java:1163)_x000D_
2020 07 12 17:59:18 261 20484 20484 com xwray groupie example A groupie exampl: java vm ext cc:570    at void android view Choreographer doCallbacks(int  long) (Choreographer java:986)_x000D_
2020 07 12 17:59:18 261 20484 20484 com xwray groupie example A groupie exampl: java vm ext cc:570    at void android view Choreographer doFrame(long  int) (Choreographer java:875)_x000D_
2020 07 12 17:59:18 261 20484 20484 com xwray groupie example A groupie exampl: java vm ext cc:570    at void android view Choreographer FrameDisplayEventReceiver run() (Choreographer java:1148)_x000D_
2020 07 12 17:59:18 261 20484 20484 com xwray groupie example A groupie exampl: java vm ext cc:570    at void android os Handler handleCallback(android os Message) (Handler java:883)_x000D_
2020 07 12 17:59:18 261 20484 20484 com xwray groupie example A groupie exampl: java vm ext cc:570    at void android os Handler dispatchMessage(android os Message) (Handler java:100)_x000D_
2020 07 12 17:59:18 261 20484 20484 com xwray groupie example A groupie exampl: java vm ext cc:570    at void android os Looper loop() (Looper java:214)_x000D_
2020 07 12 17:59:18 261 20484 20484 com xwray groupie example A groupie exampl: java vm ext cc:570    at void android app ActivityThread main(java lang String  ) (ActivityThread java:7710)_x000D_
2020 07 12 17:59:18 261 20484 20484 com xwray groupie example A groupie exampl: java vm ext cc:570    at java lang Object java lang reflect Method invoke(java lang Object  java lang Object  ) (Method java: 2)_x000D_
2020 07 12 17:59:18 261 20484 20484 com xwray groupie example A groupie exampl: java vm ext cc:570    at void com android internal os RuntimeInit MethodAndArgsCaller run() (RuntimeInit java:516)_x000D_
2020 07 12 17:59:18 261 20484 20484 com xwray groupie example A groupie exampl: java vm ext cc:570    at void com android internal os ZygoteInit main(java lang String  ) (ZygoteInit java:950)</t>
  </si>
  <si>
    <t>connectbot-connectbot-814</t>
  </si>
  <si>
    <t>ConnectBot crashes when connecting to SSH servers</t>
  </si>
  <si>
    <t xml:space="preserve">   Bug description_x000D_
ConnectBot crashes when trying to connect to any of several SSH severs _x000D_
This happens using password or public key (tested with RSA) authentication _x000D_
_x000D_
   Steps to reproduce_x000D_
1  Open ConnectBot_x000D_
2  Touch a host to start an SSH connection_x000D_
3  Crash_x000D_
_x000D_
   Expected behavior_x000D_
Should see a remote shell prompt instead of crash _x000D_
_x000D_
   Android device_x000D_
   OS: Android 7 0_x000D_
   ConnectBot Version: 1 9 7 (beta from Play Store)_x000D_
_x000D_
   Server information_x000D_
(one of them:)_x000D_
   OS: Ubuntu Server 20 04 LTS_x000D_
   SSH Software and Version: OpenSSH 8 2p1 Ubuntu 4ubuntu0 1  OpenSSL 1 1 1f  31 Mar 2020_x000D_
   Pubkeys used (if applicable): Ed25519_x000D_
_x000D_
   Additional context_x000D_
Everything worked fine before the last ConnectBot update  although I m not sure which version was installed  it was up to date with whichever version was available before on the Play Store (beta enabled) _x000D_
_x000D_
Here s the server log and stacktrace (from ADB) for the same connection:_x000D_
   server log (https:  github com connectbot connectbot files 4907834 server log)_x000D_
   _x000D_
Jul 11 23:13:05 ubuntu sshd 3520 : message repeated 8 times:   debug1: server input global request: rtype keepalive openssh com want reply 1 _x000D_
Jul 11 23:13:06 ubuntu sshd 3419 : debug1: Forked child 3530 _x000D_
Jul 11 23:13:06 ubuntu sshd 3530 : debug1: Set  proc self oom score adj to 0_x000D_
Jul 11 23:13:06 ubuntu sshd 3530 : debug1: rexec start in 5 out 5 newsock 5 pipe 7 sock 8_x000D_
Jul 11 23:13:06 ubuntu sshd 3530 : debug1: inetd sockets after dupping: 4  4_x000D_
Jul 11 23:13:06 ubuntu sshd 3530 : Connection from 10 0 1 11 port 42893 on 10 0 0 123 port 22 rdomain   _x000D_
Jul 11 23:13:06 ubuntu sshd 3530 : debug1: Local version string SSH 2 0 OpenSSH 8 2p1 Ubuntu 4ubuntu0 1_x000D_
Jul 11 23:13:06 ubuntu sshd 3530 : debug1: Remote protocol version 2 0  remote software version TrileadSSH2Java 213_x000D_
Jul 11 23:13:06 ubuntu sshd 3530 : debug1: no match: TrileadSSH2Java 213_x000D_
Jul 11 23:13:06 ubuntu sshd 3530 : debug1: permanently set uid: 111 65534  preauth _x000D_
Jul 11 23:13:06 ubuntu sshd 3530 : debug1: list hostkey types: rsa sha2 512 rsa sha2 256 ssh rsa ecdsa sha2 nistp256 ssh ed25519  preauth _x000D_
Jul 11 23:13:06 ubuntu sshd 3530 : debug1: SSH2 MSG KEXINIT sent  preauth _x000D_
Jul 11 23:13:06 ubuntu sshd 3530 : debug1: SSH2 MSG KEXINIT received  preauth _x000D_
Jul 11 23:13:06 ubuntu sshd 3530 : debug1: kex: algorithm: curve25519 sha256  preauth _x000D_
Jul 11 23:13:06 ubuntu sshd 3530 : debug1: kex: host key algorithm: ssh ed25519  preauth _x000D_
Jul 11 23:13:06 ubuntu sshd 3530 : debug1: kex: client  server cipher: aes256 ctr MAC: hmac sha2 256 etm openssh com compression: none  preauth _x000D_
Jul 11 23:13:06 ubuntu sshd 3530 : debug1: kex: server  client cipher: aes256 ctr MAC: hmac sha2 256 etm openssh com compression: none  preauth _x000D_
Jul 11 23:13:06 ubuntu sshd 3530 : debug1: expecting SSH2 MSG KEX ECDH INIT  preauth _x000D_
   _x000D_
_x000D_
   stacktrace txt (https:  github com connectbot connectbot files 4907833 stacktrace txt)_x000D_
   _x000D_
07 12 00:13:06 185 15275 15321 E AndroidRuntime: FATAL EXCEPTION: Thread 4_x000D_
07 12 00:13:06 185 15275 15321 E AndroidRuntime: Process: org connectbot  PID: 15275_x000D_
07 12 00:13:06 185 15275 15321 E AndroidRuntime: java lang IllegalStateException: Arithmetic error in curve multiplication with the public key: 0900000000000000000000000000000000000000000000000000000000000000_x000D_
07 12 00:13:06 185 15275 15321 E AndroidRuntime: 	at com google crypto tink subtle Curve25519 curveMult(Curve25519 java:332)_x000D_
07 12 00:13:06 185 15275 15321 E AndroidRuntime: 	at com google crypto tink subtle X25519 computeSharedSecret(X25519 java:103)_x000D_
07 12 00:13:06 185 15275 15321 E AndroidRuntime: 	at com google crypto tink subtle X25519 publicFromPrivate(X25519 java:121)_x000D_
07 12 00:13:06 185 15275 15321 E AndroidRuntime: 	at com trilead ssh2 crypto dh Curve25519Exchange init(Curve25519Exchange java:43)_x000D_
07 12 00:13:06 185 15275 15321 E AndroidRuntime: 	at com trilead ssh2 transport KexManager handleMessage(KexManager java:574)_x000D_
07 12 00:13:06 185 15275 15321 E AndroidRuntime: 	at com trilead ssh2 transport TransportManager receiveLoop(TransportManager java:614)_x000D_
07 12 00:13:06 185 15275 15321 E AndroidRuntime: 	at com trilead ssh2 transport TransportManager 1 run(TransportManager java:310)_x000D_
07 12 00:13:06 185 15275 15321 E AndroidRuntime: 	at java lang Thread run(Thread java:761)_x000D_
   _x000D_
_x000D_
Regarding the  public key  seen on the stacktrace ( 0900000000000000000000000000000000000000000000000000000000000000 ):_x000D_
I ve seen stacktraces with different  maybe random  values there before  But now every host I test crashes with that value there  everytime </t>
  </si>
  <si>
    <t>nextcloud-android-6458</t>
  </si>
  <si>
    <t>Error when clicking upload conflict notification</t>
  </si>
  <si>
    <t xml:space="preserve">             CAUSE OF ERROR             _x000D_
_x000D_
android app RemoteServiceException: Context startForegroundService() did not then call Service startForeground(): ServiceRecord 991f576 u0 com nextcloud client com owncloud android files services FileUploader _x000D_
	at android app ActivityThread H handleMessage(ActivityThread java:1746)_x000D_
	at android os Handler dispatchMessage(Handler java:106)_x000D_
	at android os Looper loop(Looper java:193)_x000D_
	at android app ActivityThread main(ActivityThread java:6746)_x000D_
	at java lang reflect Method invoke(Native Method)_x000D_
	at com android internal os RuntimeInit MethodAndArgsCaller run(RuntimeInit java:493)_x000D_
	at com android internal os ZygoteInit main(ZygoteInit java:858)_x000D_
_x000D_
             APP INFORMATION             _x000D_
ID: com nextcloud client_x000D_
Version: 30120090_x000D_
Build flavor: generic_x000D_
_x000D_
             DEVICE INFORMATION             _x000D_
Brand: Fairphone_x000D_
Device: FP3_x000D_
Model: FP3_x000D_
Id: 8901 2 A 0120 20200421_x000D_
Product: FP3_x000D_
_x000D_
             FIRMWARE             _x000D_
SDK: 28_x000D_
Release: 9_x000D_
Incremental: 04211500_x000D_
_x000D_
I can t provide much more info than that I ve started the camera upload feature (instant upload ) with two folders of around a thousand pictures each and the app is behaving quite basdy ( nextcloud doesn t respond )  including this crash </t>
  </si>
  <si>
    <t>Anuken-Mindustry-2222</t>
  </si>
  <si>
    <t>Sudden Crash in Multiplayer</t>
  </si>
  <si>
    <t xml:space="preserve">  Platform  :  Windows _x000D_
_x000D_
  Build  :  104 10 _x000D_
_x000D_
  Issue  :  Suddenly crashed in multiplayer  _x000D_
_x000D_
  Steps to reproduce  :  I was the host on a steam local multi  And suddenly  as soon as I configured a node I crashed  Can you tell me why this occured and how to fix it  Commandblocks was active  and used for team changing  btw  but the node was a vanilla Power Infinite  _x000D_
_x000D_
  Link to mod(s) used  if applicable  :  https:  github com sk7725 Commandblocks _x000D_
_x000D_
  Crash report  if applicable  :  mindustry net ValidateException: Player cannot configure a tile _x000D_
	at mindustry input InputHandler onTileConfig(InputHandler java:168)_x000D_
	at mindustry gen Call onTileConfig(Call java:812)_x000D_
	at mindustry world Tile configure(Tile java:95)_x000D_
	at mindustry world blocks power PowerNode onConfigureTileTapped(PowerNode java:179)_x000D_
	at mindustry input InputHandler tileTapped(InputHandler java:579)_x000D_
	at mindustry input DesktopInput pollInput(DesktopInput java:377)_x000D_
	at mindustry input DesktopInput update(DesktopInput java:170)_x000D_
	at mindustry core Control update(Control java:434)_x000D_
	at arc ApplicationCore update(ApplicationCore java:36)_x000D_
	at mindustry ClientLauncher update(ClientLauncher java:138)_x000D_
	at arc backend sdl SdlApplication listen(SdlApplication java:158)_x000D_
	at arc backend sdl SdlApplication loop(SdlApplication java:146)_x000D_
	at arc backend sdl SdlApplication  init (SdlApplication java:52)_x000D_
	at mindustry desktop DesktopLauncher main(DesktopLauncher java:46) _x000D_
_x000D_
   _x000D_
_x000D_
 Place an X (no spaces) between the brackets to confirm that you have read the line below    _x000D_
   X    I have searched the closed and open issues to make sure that this problem has not already been reported   _x000D_
</t>
  </si>
  <si>
    <t>TeamNewPipe-NewPipe-3873</t>
  </si>
  <si>
    <t>Feed update after set time doesn't work</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</si>
  <si>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5_x000D_
_x000D_
    Steps to reproduce the bug_x000D_
    _x000D_
1  Go to      _x000D_
2  Press on       _x000D_
3  Swipe down to       _x000D_
   _x000D_
1  Open settings_x000D_
2  Then  Content _x000D_
3  Set feed actualization (second setting from bottom) to 1 day_x000D_
4  After roughly 1 day  update the feed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Feed updates for all channels and resets the timer properly _x000D_
    Actual behaviour_x000D_
     Tell us what happens instead     _x000D_
The feed updates for 7 8 channels I am subscribed to and sets itself to be late 23 hours (like telling me:  try again in an hour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Right after the 1 day update:_x000D_
  Screenshot 20200710 210351 NewPipe (https:  user images githubusercontent com 26146502 87189775 87d4d280 c2f1 11ea 97ea 302fe792e4de jpg)_x000D_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</si>
  <si>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stefan-niedermann-nextcloud-notes-912</t>
  </si>
  <si>
    <t>Crash because of ArrayIndexOutOfBoundsException</t>
  </si>
  <si>
    <t xml:space="preserve">    _x000D_
Guidelines for submitting issues:_x000D_
_x000D_
  Bug reports which do not fill the complete issue template will be closed _x000D_
  Please have a look at our  FAQ (https:  github com stefan niedermann nextcloud notes blob master FAQ md)_x000D_
  Please search the existing issues first  it s likely that your issue was already reported or even fixed _x000D_
  This repository is  only  for issues within the Nextcloud Notes Android app_x000D_
   _x000D_
_x000D_
     Please keep this note for other contributors    _x000D_
    How to use GitHub_x000D_
_x000D_
  Please use the    reaction (https:  blog github com 2016 03 10 add reactions to pull requests issues and comments ) to show that you are interested into the same feature _x000D_
  Please don t comment if you have no relevant information to add  It s just extra noise for everyone subscribed to this issue _x000D_
  Subscribe to receive notifications on status change and new comments  _x000D_
_x000D_
_x000D_
  Describe the bug  _x000D_
     A clear and concise description of what the bug is     _x000D_
The app reported a crash to me _x000D_
_x000D_
  To Reproduce  _x000D_
 Not sure what caused this  Was just pasting something or so in a new note maybe already saved it  :upside down face: _x000D_
_x000D_
  Expected behavior  _x000D_
     A clear and concise description of what you expected to happen     _x000D_
Not crash _x000D_
_x000D_
  Screenshots  _x000D_
     If applicable  add screenshots to help explain your problem     _x000D_
N A_x000D_
_x000D_
  Smartphone (please complete the following information):  _x000D_
   Nextcloud Notes Version (android app): _x000D_
   F Droid or Play Store: FD Droid_x000D_
   Android Version: 9_x000D_
   Device: FP3_x000D_
_x000D_
_x000D_
  Stacktrace  _x000D_
   _x000D_
App Version: 2 16 3_x000D_
App Version Code: 2016003_x000D_
App Flavor: fdroid_x000D_
_x000D_
Files App Version Code: 30120090_x000D_
_x000D_
   _x000D_
_x000D_
OS Version: 4 9 112 perf (04211500)_x000D_
OS API Level: 28_x000D_
Device: FP3_x000D_
Manufacturer: Fairphone_x000D_
Model (and Product): FP3 (FP3)_x000D_
_x000D_
   _x000D_
_x000D_
java lang ArrayIndexOutOfBoundsException: length 15  index  1_x000D_
	at java util ArrayList get(ArrayList java:439)_x000D_
	at it niedermann owncloud notes main items ItemAdapter getItem(ItemAdapter java:202)_x000D_
	at it niedermann owncloud notes main items ItemAdapter getItemViewType(ItemAdapter java:222)_x000D_
	at it niedermann owncloud notes main items section SectionItemDecoration getItemOffsets(SectionItemDecoration java:33)_x000D_
	at androidx recyclerview widget RecyclerView getItemDecorInsetsForChild(RecyclerView java:5119)_x000D_
	at androidx recyclerview widget RecyclerView LayoutManager calculateItemDecorationsForChild(RecyclerView java:9711)_x000D_
	at androidx recyclerview widget ItemTouchHelper scrollIfNecessary(ItemTouchHelper java:750)_x000D_
	at androidx recyclerview widget ItemTouchHelper 1 run(ItemTouchHelper java:260)_x000D_
	at androidx recyclerview widget ItemTouchHelper 2 onTouchEvent(ItemTouchHelper java:389)_x000D_
	at androidx recyclerview widget RecyclerView dispatchToOnItemTouchListeners(RecyclerView java:3124)_x000D_
	at androidx recyclerview widget RecyclerView onTouchEvent(RecyclerView java:3283)_x000D_
	at android view View dispatchTouchEvent(View java:12514)_x000D_
	at android view ViewGroup dispatchTransformedTouchEvent(ViewGroup java:3024)_x000D_
	at android view ViewGroup dispatchTouchEvent(ViewGroup java:2705)_x000D_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android view ViewGroup dispatchTransformedTouchEvent(ViewGroup java:3030)_x000D_
	at android view ViewGroup dispatchTouchEvent(ViewGroup java:2719)_x000D_
	at com android internal policy DecorView superDispatchTouchEvent(DecorView java:440)_x000D_
	at com android internal policy PhoneWindow superDispatchTouchEvent(PhoneWindow java:1830)_x000D_
	at android app Activity dispatchTouchEvent(Activity java:3401)_x000D_
	at androidx appcompat view WindowCallbackWrapper dispatchTouchEvent(WindowCallbackWrapper java:69)_x000D_
	at androidx appcompat view WindowCallbackWrapper dispatchTouchEvent(WindowCallbackWrapper java:69)_x000D_
	at com android internal policy DecorView dispatchTouchEvent(DecorView java:398)_x000D_
	at android view View dispatchPointerEvent(View java:12753)_x000D_
	at android view ViewRootImpl ViewPostImeInputStage processPointerEvent(ViewRootImpl java:5121)_x000D_
	at android view ViewRootImpl ViewPostImeInputStage onProcess(ViewRootImpl java:4924)_x000D_
	at android view ViewRootImpl InputStage deliver(ViewRootImpl java:4441)_x000D_
	at android view ViewRootImpl InputStage onDeliverToNext(ViewRootImpl java:4494)_x000D_
	at android view ViewRootImpl InputStage forward(ViewRootImpl java:4460)_x000D_
	at android view ViewRootImpl AsyncInputStage forward(ViewRootImpl java:4600)_x000D_
	at android view ViewRootImpl InputStage apply(ViewRootImpl java:4468)_x000D_
	at android view ViewRootImpl AsyncInputStage apply(ViewRootImpl java:4657)_x000D_
	at android view ViewRootImpl InputStage deliver(ViewRootImpl java:4441)_x000D_
	at android view ViewRootImpl InputStage onDeliverToNext(ViewRootImpl java:4494)_x000D_
	at android view ViewRootImpl InputStage forward(ViewRootImpl java:4460)_x000D_
	at android view ViewRootImpl InputStage apply(ViewRootImpl java:4468)_x000D_
	at android view ViewRootImpl InputStage deliver(ViewRootImpl java:4441)_x000D_
	at android view ViewRootImpl deliverInputEvent(ViewRootImpl java:7116)_x000D_
	at android view ViewRootImpl doProcessInputEvents(ViewRootImpl java:7085)_x000D_
	at android view ViewRootImpl enqueueInputEvent(ViewRootImpl java:7046)_x000D_
	at android view ViewRootImpl WindowInputEventReceiver onInputEvent(ViewRootImpl java:7219)_x000D_
	at android view InputEventReceiver dispatchInputEvent(InputEventReceiver java:187)_x000D_
	at android view InputEventReceiver nativeConsumeBatchedInputEvents(Native Method)_x000D_
	at android view InputEventReceiver consumeBatchedInputEvents(InputEventReceiver java:178)_x000D_
	at android view ViewRootImpl doConsumeBatchedInput(ViewRootImpl java:7190)_x000D_
	at android view ViewRootImpl ConsumeBatchedInputRunnable run(ViewRootImpl java:7242)_x000D_
	at android view Choreographer CallbackRecord run(Choreographer java:1012)_x000D_
	at android view Choreographer doCallbacks(Choreographer java:823)_x000D_
	at android view Choreographer doFrame(Choreographer java:752)_x000D_
	at android view Choreographer FrameDisplayEventReceiver run(Choreographer java:998)_x000D_
	at android os Handler handleCallback(Handler java:873)_x000D_
	at android os Handler dispatchMessage(Handler java:99)_x000D_
	at android os Looper loop(Looper java:193)_x000D_
	at android app ActivityThread main(ActivityThread java:6746)_x000D_
	at java lang reflect Method invoke(Native Method)_x000D_
	at com android internal os RuntimeInit MethodAndArgsCaller run(RuntimeInit java:493)_x000D_
	at com android internal os ZygoteInit main(ZygoteInit java:858)_x000D_
_x000D_
   </t>
  </si>
  <si>
    <t>react-native-share-react-native-share-823</t>
  </si>
  <si>
    <t>Crashed on iOS 14 with EXC_BAD_ACCESS error</t>
  </si>
  <si>
    <t xml:space="preserve">    Steps to reproduce_x000D_
1  Run the app on iOS 14_x000D_
2  Open Share function that call Share open_x000D_
3  Crashed_x000D_
_x000D_
    Expected behaviour_x000D_
Should behave the same for as compared to iOS 13 and below_x000D_
_x000D_
    Actual behaviour_x000D_
Once the Share open was being called  it crashed_x000D_
Retrieved error on  the line indirect symbol bindings i    cur  rebindings j  replacement_x000D_
_x000D_
   _x000D_
static void perform rebinding with section(struct rebindings entry  rebindings _x000D_
                                           section t  section _x000D_
                                           intptr t slide _x000D_
                                           nlist t  symtab _x000D_
                                           char  strtab _x000D_
                                           uint32 t  indirect symtab)  _x000D_
  uint32 t  indirect symbol indices   indirect symtab   section  reserved1 _x000D_
  void   indirect symbol bindings   (void   )((uintptr t)slide   section  addr) _x000D_
  for (uint i   0  i   section  size   sizeof(void  )  i  )  _x000D_
    uint32 t symtab index   indirect symbol indices i  _x000D_
    if (symtab index    INDIRECT SYMBOL ABS    symtab index    INDIRECT SYMBOL LOCAL   _x000D_
        symtab index    (INDIRECT SYMBOL LOCAL     INDIRECT SYMBOL ABS))  _x000D_
      continue _x000D_
     _x000D_
    uint32 t strtab offset   symtab symtab index  n un n strx _x000D_
    char  symbol name   strtab   strtab offset _x000D_
    if (strnlen(symbol name  2)   2)  _x000D_
      continue _x000D_
     _x000D_
    struct rebindings entry  cur   rebindings _x000D_
    while (cur)  _x000D_
      for (uint j   0  j   cur  rebindings nel  j  )  _x000D_
        if (strcmp( symbol name 1   cur  rebindings j  name)    0)  _x000D_
          if (cur  rebindings j  replaced    NULL   _x000D_
              indirect symbol bindings i     cur  rebindings j  replacement)  _x000D_
             (cur  rebindings j  replaced)   indirect symbol bindings i  _x000D_
           _x000D_
           _x000D_
          indirect symbol bindings i    cur  rebindings j  replacement   EXC BAD ACCESS_x000D_
          goto symbol loop _x000D_
         _x000D_
       _x000D_
      cur   cur  next _x000D_
     _x000D_
  symbol loop: _x000D_
   _x000D_
 _x000D_
   _x000D_
_x000D_
    Environment_x000D_
    React Native version  : 0 60 4_x000D_
    React Native platform   platform version  : iOS 14_x000D_
    Xcode  : 11 5_x000D_
_x000D_
    react native share_x000D_
  Version  : 3 7_x000D_
_x000D_
    Link to repo (highly encouraged)_x000D_
   _x000D_
 url is a photo stored on a tmp folder _x000D_
   var mobile Containers Data Application A56D9C0C B407 4250 9A6F 50D4210E9EA8 Documents temp share  file name  jpeg _x000D_
_x000D_
 const url   Platform select( _x000D_
                ios: path _x000D_
                android:  file:      path_x000D_
             ) _x000D_
_x000D_
Share open( _x000D_
                url: url _x000D_
                failOnCancel: false_x000D_
             ) _x000D_
   _x000D_
</t>
  </si>
  <si>
    <t>gsantner-markor-994</t>
  </si>
  <si>
    <t>Question regarding newfile + overwrite</t>
  </si>
  <si>
    <t xml:space="preserve">In newest update  making file title with same name as existing file automatically DELETED existing file contents  Isn t it supposed to  direct  you to your existing file           _x000D_
_x000D_
Uh this is my first time making issue I don t know what to write     _x000D_
_x000D_
     General information_x000D_
_x000D_
    App version:   _x000D_
    System:   _x000D_
_x000D_
     Description_x000D_
_x000D_
_x000D_
     Log_x000D_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blog 2018 03 19 android contribution guide html packageid net gsantner markor project markor web https:  github com gsantner markor logcat_x000D_
   _x000D_
</t>
  </si>
  <si>
    <t>Blankj-AndroidUtilCode-1276</t>
  </si>
  <si>
    <t>RSA解密在6.0系统有问题</t>
  </si>
  <si>
    <t xml:space="preserve">      Bug_x000D_
RSA    _x000D_
       Bug _x000D_
_x000D_
  AndroidUtilCode             utilcode:1 16 3   utilcodex:1 16 3                     _x000D_
     Bug               Nexus 5X    _x000D_
      Android            API 27    _x000D_
AndroidUtilCode     1 29 0_x000D_
    :  G532F _x000D_
    :6 0_x000D_
       _x000D_
_x000D_
        1094 _x000D_
PKCS8EncodedKeySpec keySpec   new PKCS8EncodedKeySpec(key) _x000D_
                rsaKey   KeyFactory getInstance( RSA   BC ) generatePrivate(keySpec) _x000D_
_x000D_
       _x000D_
   java_x000D_
CrashUtils init() _x000D_
   _x000D_
   _x000D_
   _x000D_
put your code here_x000D_
   _x000D_
_x000D_
       _x000D_
_x000D_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java lang RuntimeException: error:0c0890ba:ASN 1 encoding routines:asn1 check tlen:WRONG TAG_x000D_
   _x000D_
put the stack of crash here_x000D_
   _x000D_
_x000D_
     _x000D_
_x000D_
                    _x000D_
_x000D_
_x000D_
              _x000D_
_x000D_
      AndroidUtilCode (https:  github com Blankj AndroidUtilCode) _x000D_
</t>
  </si>
  <si>
    <t>Anuken-Mindustry-2216</t>
  </si>
  <si>
    <t>Mindustry keeps crashing</t>
  </si>
  <si>
    <t xml:space="preserve">  Platform  :  Android iOS Mac Windows Linux _x000D_
_x000D_
  Build  :  104 10 _x000D_
_x000D_
  Issue  :  Mindustry loads up to 64  then crashes I have reinstalled it multiple times and it still doesn t work _x000D_
_x000D_
  Steps to reproduce  :  I was loading in a mod that i made to test it _x000D_
_x000D_
  Link to mod(s) used  if applicable  :  _x000D_
_x000D_
The mod repositories or zip files that are related to the issue   tester zip zip (https:  github com Anuken Mindustry files 4893961 tester zip zip) _x000D_
_x000D_
_x000D_
  Crash report  if applicable  :  There is a crash report  but there is nothing in it  _x000D_
_x000D_
   _x000D_
_x000D_
 Place an X (no spaces) between the brackets to confirm that you have read the line below    _x000D_
    X    I have searched the closed and open issues to make sure that this problem has not already been reported   _x000D_
</t>
  </si>
  <si>
    <t>SecUSo-privacy-friendly-qr-scanner-76</t>
  </si>
  <si>
    <t>Scanner crashes when reading Aztec Code</t>
  </si>
  <si>
    <t xml:space="preserve">Scanner crashes when reading Aztec Code_x000D_
example from https:  en wikipedia org wiki Aztec Code_x000D_
_x000D_
Version 3 0 3 from F Droid </t>
  </si>
  <si>
    <t>nextcloud-android-6433</t>
  </si>
  <si>
    <t>App crashes every ~2 seconds, rendering the phone unusable for most things</t>
  </si>
  <si>
    <t xml:space="preserve">Nextcloud app is constantly crashing  The pop ups telling me that Nextcloud crashed come up every  2 seconds _x000D_
Now  most things I do on my phone take more than two seconds  so this is highly annoying _x000D_
Also the fact that it does not auto upload for some reason  _x000D_
I can t even deactivate auto uploads within two seconds before it crashes again _x000D_
_x000D_
Copying this within two seconds was tricky:_x000D_
_x000D_
   _x000D_
             CAUSE OF ERROR             _x000D_
_x000D_
java lang NullPointerException: Attempt to invoke virtual method  boolean com owncloud android lib common operations RemoteOperationResult isCancelled()  on a null object reference_x000D_
	at com owncloud android datamodel UploadsStorageManager updateDatabaseUploadResult(UploadsStorageManager java:527)_x000D_
	at com owncloud android files services FileUploader uploadFile(FileUploader java:630)_x000D_
	at com owncloud android files services FileUploader ServiceHandler handleMessage(FileUploader java:1347)_x000D_
	at android os Handler dispatchMessage(Handler java:107)_x000D_
	at android os Looper loop(Looper java:214)_x000D_
	at android os HandlerThread run(HandlerThread java:67)_x000D_
_x000D_
             APP INFORMATION             _x000D_
ID: com nextcloud client_x000D_
Version: 30120151_x000D_
Build flavor: generic_x000D_
_x000D_
             DEVICE INFORMATION             _x000D_
Brand: Android_x000D_
Device: sargo_x000D_
Model: Pixel 3a_x000D_
Id: QQ3A 200605 002_x000D_
Product: calyx sargo_x000D_
_x000D_
             FIRMWARE             _x000D_
SDK: 29_x000D_
Release: 10_x000D_
Incremental: 2020 06 03 12_x000D_
   _x000D_
_x000D_
Couldn t find an existing issue for this </t>
  </si>
  <si>
    <t>oliexdev-openScale-595</t>
  </si>
  <si>
    <t>Bug on initial user creation</t>
  </si>
  <si>
    <t xml:space="preserve">Hi _x000D_
_x000D_
When installing from F Droid  clicking the  add user  in the intro panels consistently makes the app crash _x000D_
_x000D_
   _x000D_
Build version: 2 3 0 _x000D_
Build date: 1980 01 01 00:00:00 _x000D_
Current date: 2020 07 08 00:26:18 _x000D_
Device: LGE Nexus 5X _x000D_
 _x000D_
Stack trace:  _x000D_
java lang RuntimeException: Unable to start activity ComponentInfo com health openscale com health openscale gui slides SlideToNavigationAdapter : java lang IllegalStateException: This Activity already has an action bar supplied by the window decor  Do not request Window FEATURE SUPPORT ACTION BAR and set windowActionBar to false in your theme to use a Toolbar instead _x000D_
	at android app ActivityThread performLaunchActivity(ActivityThread java:2681)_x000D_
	at android app ActivityThread handleLaunchActivity(ActivityThread java:2742)_x000D_
	at android app ActivityThread  wrap12(ActivityThread java)_x000D_
	at android app ActivityThread H handleMessage(ActivityThread java:1489)_x000D_
	at android os Handler dispatchMessage(Handler java:102)_x000D_
	at android os Looper loop(Looper java:154)_x000D_
	at android app ActivityThread main(ActivityThread java:6171)_x000D_
	at java lang reflect Method invoke(Native Method)_x000D_
	at com android internal os ZygoteInit MethodAndArgsCaller run(ZygoteInit java:891)_x000D_
	at com android internal os ZygoteInit main(ZygoteInit java:781)_x000D_
Caused by: java lang IllegalStateException: This Activity already has an action bar supplied by the window decor  Do not request Window FEATURE SUPPORT ACTION BAR and set windowActionBar to false in your theme to use a Toolbar instead _x000D_
	at androidx appcompat app AppCompatDelegateImpl setSupportActionBar(AppCompatDelegateImpl java:421)_x000D_
	at androidx appcompat app AppCompatActivity setSupportActionBar(AppCompatActivity java:150)_x000D_
	at com health openscale gui slides SlideToNavigationAdapter onCreate(SlideToNavigationAdapter java:43)_x000D_
	at android app Activity performCreate(Activity java:6682)_x000D_
	at android app Instrumentation callActivityOnCreate(Instrumentation java:1118)_x000D_
	at android app ActivityThread performLaunchActivity(ActivityThread java:2634)_x000D_
	    9 more_x000D_
   _x000D_
_x000D_
Please ask for any other information you might need  and thank you for your awesome work </t>
  </si>
  <si>
    <t>Anuken-Mindustry-2214</t>
  </si>
  <si>
    <t>Failed to read tile entity of block: conveyor while connecting to multiplayer</t>
  </si>
  <si>
    <t xml:space="preserve">  Platform  :  Windows _x000D_
_x000D_
  Build  :  104 1 _x000D_
_x000D_
  Issue  :  Can t loggin to server hosted by a fried due to an error while loading the map _x000D_
_x000D_
  Steps to reproduce  :  Don t really know try to logging to the map fork with conveyor in   _x000D_
_x000D_
  Crash report  if applicable  :  The contents of relevant crash report files  _x000D_
 E  java io IOException: Unknown version: 1_x000D_
	at mindustry game Schematics read(Schematics java:402)_x000D_
	at mindustry game Schematics read(Schematics java:385)_x000D_
	at mindustry game Schematics loadFile(Schematics java:118)_x000D_
	at mindustry game Schematics load(Schematics java:73)_x000D_
	at mindustry game Schematics loadSync(Schematics java:65)_x000D_
	at arc assets AssetManager 2 loadSync(AssetManager java:358)_x000D_
	at arc assets AssetLoadingTask handleAsyncLoader(AssetLoadingTask java:109)_x000D_
	at arc assets AssetLoadingTask update(AssetLoadingTask java:74)_x000D_
	at arc assets AssetManager updateTask(AssetManager java:591)_x000D_
	at arc assets AssetManager update(AssetManager java:440)_x000D_
	at arc assets AssetManager update(AssetManager java:465)_x000D_
	at mindustry ClientLauncher update(ClientLauncher java:124)_x000D_
	at arc backend sdl SdlApplication listen(SdlApplication java:158)_x000D_
	at arc backend sdl SdlApplication loop(SdlApplication java:146)_x000D_
	at arc backend sdl SdlApplication  init (SdlApplication java:52)_x000D_
	at mindustry desktop DesktopLauncher main(DesktopLauncher java:46)_x000D_
_x000D_
 I  Total time to load: 1912_x000D_
 I  Time to generate menu: 30 85097_x000D_
 I  Fetched 21 global servers _x000D_
 I  Connecting to server:  _x000D_
 I  Recieved world data: 33298 bytes _x000D_
 I  Time to cache: 77 474625_x000D_
 E  java lang RuntimeException: java io IOException: Failed to read tile entity of block: conveyor_x000D_
	at mindustry net NetworkIO loadWorld(NetworkIO java:58)_x000D_
	at mindustry core NetClient lambda new 3(NetClient java:125)_x000D_
	at mindustry net Net handleClientReceived(Net java:247)_x000D_
	at mindustry net Net handleClientReceived(Net java:240)_x000D_
	at mindustry net ArcNetProvider 1 lambda received 2(ArcNetProvider java:60)_x000D_
	at arc util TaskQueue run(TaskQueue java:17)_x000D_
	at arc backend sdl SdlApplication loop(SdlApplication java:148)_x000D_
	at arc backend sdl SdlApplication  init (SdlApplication java:52)_x000D_
	at mindustry desktop DesktopLauncher main(DesktopLauncher java:46)_x000D_
Caused by: java io IOException: Failed to read tile entity of block: conveyor_x000D_
	at mindustry io SaveVersion readMap(SaveVersion java:197)_x000D_
	at mindustry net NetworkIO loadWorld(NetworkIO java:56)_x000D_
	    8 more_x000D_
Caused by: java io EOFException_x000D_
	at java io DataInputStream readInt(DataInputStream java:392)_x000D_
	at mindustry world blocks distribution Conveyor ConveyorEntity read(Conveyor java:370)_x000D_
	at mindustry io SaveVersion lambda readMap 3(SaveVersion java:194)_x000D_
	at mindustry io SaveFileReader readChunk(SaveFileReader java:72)_x000D_
	at mindustry io SaveVersion readMap(SaveVersion java:192)_x000D_
	    9 more_x000D_
_x000D_
   _x000D_
_x000D_
 Place an X (no spaces) between the brackets to confirm that you have read the line below    _x000D_
   X    I have searched the closed and open issues to make sure that this problem has not already been reported   _x000D_
</t>
  </si>
  <si>
    <t>NordicSemiconductor-Android-BLE-Library-216</t>
  </si>
  <si>
    <t>Null Pointer Exception for v2.2.x</t>
  </si>
  <si>
    <t xml:space="preserve">Android app seems to be crashing in the background when trying to reconnect back to the BLE device  It crashes especially when trying to enable notifications for characteristics  I have this in the code base_x000D_
 (enableNotifications(btGattChr) as SimpleRequest) await()  _x000D_
_x000D_
This is the stack trace when the exception happens:_x000D_
   _x000D_
Fatal Exception: java lang NullPointerException: Attempt to invoke virtual method  void l a a a k2 t(android bluetooth BluetoothDevice  int)  on a null object reference_x000D_
       at no nordicsemi android ble BleManagerHandler nextRequest(BleManagerHandler java:3180)_x000D_
       at no nordicsemi android ble BleManagerHandler enqueue(BleManagerHandler java:1195)_x000D_
       at no nordicsemi android ble Request enqueue(Request java:1166)_x000D_
       at no nordicsemi android ble SimpleRequest await(SimpleRequest java:89)_x000D_
            _x000D_
       at android os Handler handleCallback(Handler java:873)_x000D_
       at android os Handler dispatchMessage(Handler java:99)_x000D_
       at android os Looper loop(Looper java:193)_x000D_
       at android os HandlerThread run(HandlerThread java:65)_x000D_
   _x000D_
I am also seeing an uptick in a similar NPE on our users when the app sends a disconnect command  Below is the stack trace:_x000D_
   _x000D_
Fatal Exception: java lang NullPointerException: Attempt to invoke virtual method  void android bluetooth BluetoothGatt disconnect()  on a null object reference_x000D_
       at no nordicsemi android ble BleManagerHandler internalDisconnect(BleManagerHandler java:599)_x000D_
       at no nordicsemi android ble BleManagerHandler nextRequest(BleManagerHandler java:2916)_x000D_
       at no nordicsemi android ble BleManagerHandler enqueue(BleManagerHandler java:1195)_x000D_
       at no nordicsemi android ble Request enqueue(Request java:1166)_x000D_
       at no nordicsemi android ble TimeoutableRequest enqueue(TimeoutableRequest java:76)_x000D_
            _x000D_
       at android os Handler handleCallback(Handler java:739)_x000D_
       at android os Handler dispatchMessage(Handler java:95)_x000D_
       at android os Looper loop(Looper java:152)_x000D_
       at android os HandlerThread run(HandlerThread java:61)_x000D_
   _x000D_
_x000D_
Any help suggestions appreciated </t>
  </si>
  <si>
    <t>amit-schwartz-u-rooMe-204</t>
  </si>
  <si>
    <t>Bug: app crashes when you type minus in age</t>
  </si>
  <si>
    <t xml:space="preserve">In the apartment searcher profile  when we type minus in the age field the app crashes </t>
  </si>
  <si>
    <t>amit-schwartz-u-rooMe-202</t>
  </si>
  <si>
    <t>BUG: app crashes when entering "-"</t>
  </si>
  <si>
    <t xml:space="preserve">On EditProfileRoommateSearcher  if the user enters     in the rent section  the app crashes _x000D_
If it s fine by you i ll try to fix it </t>
  </si>
  <si>
    <t>TeamNewPipe-NewPipe-3853</t>
  </si>
  <si>
    <t>Rss icon disappear</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</si>
  <si>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5_x000D_
_x000D_
    Steps to reproduce the bug_x000D_
    _x000D_
1  Go to      _x000D_
2  Press on       _x000D_
3  Swipe down to       _x000D_
   _x000D_
1  Open https:  framatube org video channels bf54d359 cfad 4935 9d45 9d6be93f63e8_x000D_
2  Notice the RSS icon on the top right_x000D_
3  Click on the parent channel  framasoft and notice the RSS icon_x000D_
4  Press back (You should be on  Les vid os de Framasoft again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RSS icon is still there_x000D_
    Actual behaviour_x000D_
     Tell us what happens instead     _x000D_
RSS icon disappeared_x000D_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</si>
  <si>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doublesymmetry-react-native-track-player-991</t>
  </si>
  <si>
    <t>Adding a single local audio file into the queue won't play</t>
  </si>
  <si>
    <t xml:space="preserve">  Describe the bug  _x000D_
The  play  function would not play the audio of a local file added to the queue with  add  _x000D_
_x000D_
  To Reproduce  _x000D_
(See code below)_x000D_
_x000D_
  Environment (please complete the following information):  _x000D_
_x000D_
  react native info_x000D_
    _x000D_
System:_x000D_
    OS: macOS 10 15 2_x000D_
    CPU: (16) x64 Intel(R) Core(TM) i9 9980HK CPU   2 40GHz_x000D_
    Memory: 165 96 MB   32 00 GB_x000D_
    Shell: 3 2 57    bin bash_x000D_
  Binaries:_x000D_
    Node: 13 2 0    usr local bin node_x000D_
    npm: 6 12 1    usr local bin npm_x000D_
    Watchman: 4 9 0    usr local bin watchman_x000D_
  SDKs:_x000D_
    iOS SDK:_x000D_
      Platforms: iOS 13 5  DriverKit 19 0  macOS 10 15  tvOS 13 4  watchOS 6 2_x000D_
  IDEs:_x000D_
    Android Studio: 4 0 AI 193 6911 18 40 6514223_x000D_
    Xcode: 11 5 11E608c    usr bin xcodebuild_x000D_
  npmPackages:_x000D_
    react: 16 9 0    16 9 0 _x000D_
    react native: 0 61 5    0 61 5_x000D_
    _x000D_
  react native track player version: 1 2 3_x000D_
  Testing using a simulator for iOS_x000D_
_x000D_
  Code  _x000D_
    _x000D_
await TrackPlayer add( _x000D_
    id:       _x000D_
    url:  file:      pathToFile _x000D_
    title:       _x000D_
    artist:       _x000D_
 ) _x000D_
await TrackPlayer play() _x000D_
     _x000D_
_x000D_
  Workarounds  _x000D_
I previously used  TrackPlayer reset()  before adding playing a new audio file but I noticed that it would cause a crash if there was audio already playing (I m assuming that using  reset  to fix this issue was also just a workaround and not the intended purpose of the function) _x000D_
_x000D_
The way that I got around this was by wrapping it in a 0ms setTimeout:_x000D_
    _x000D_
setTimeout(async ()     _x000D_
    await TrackPlayer add( _x000D_
        id:       _x000D_
        url:  file:      pathToFile _x000D_
        title:       _x000D_
        artist:       _x000D_
     ) _x000D_
    await TrackPlayer play() _x000D_
   0) _x000D_
    _x000D_
(This also worked by adding  await getCurrentTrack()  before the add play)  I m not really sure why these methods work  but I m just sharing my quick hack here in case anyone else has a similar problem or would like to look into it _x000D_
_x000D_
  Edit:   The workaround doesn t actually prevent the crash  It just seems to be crashing less than when I used  reset  _x000D_
</t>
  </si>
  <si>
    <t>amplitude-Amplitude-Android-243</t>
  </si>
  <si>
    <t>App crashes with Amplitude sdk, when device returns null location providers</t>
  </si>
  <si>
    <t xml:space="preserve">Running app on device without location provider causing crash:_x000D_
   _x000D_
java lang NullPointerException_x000D_
        at android location LocationManager getProviders(LocationManager java:343)_x000D_
        at com amplitude api DeviceInfo getMostRecentLocation(DeviceInfo java:353)_x000D_
        at com amplitude api DeviceInfo CachedInfo getCountryFromLocation(DeviceInfo java:140)_x000D_
        at com amplitude api DeviceInfo CachedInfo getCountry(DeviceInfo java:123)_x000D_
        at com amplitude api DeviceInfo CachedInfo  init (DeviceInfo java:65)_x000D_
        at com amplitude api DeviceInfo CachedInfo  init (DeviceInfo java:42)_x000D_
        at com amplitude api DeviceInfo getCachedInfo(DeviceInfo java:273)_x000D_
        at com amplitude api DeviceInfo prefetch(DeviceInfo java:279)_x000D_
        at com amplitude api AmplitudeClient lambda initialize 0 AmplitudeClient(AmplitudeClient java:275)_x000D_
        at com amplitude api    Lambda AmplitudeClient 9hxT9i3yp7eOymOvTMj42XcPKBs run(lambda)_x000D_
        at android os Handler handleCallback(Handler java:733)_x000D_
        at android os Handler dispatchMessage(Handler java:95)_x000D_
        at android os Looper loop(Looper java:136)_x000D_
        at android os HandlerThread run(HandlerThread java:61)_x000D_
   _x000D_
_x000D_
The problem is that NPE is not caught in DeviceInfo class   https:  github com amplitude Amplitude Android blob master src main java com amplitude api DeviceInfo java (https:  github com amplitude Amplitude Android blob master src main java com amplitude api DeviceInfo java)_x000D_
_x000D_
   _x000D_
        List String  providers   null _x000D_
        try  _x000D_
            providers   locationManager getProviders(true) _x000D_
          catch (SecurityException e)  _x000D_
               failed to get providers list_x000D_
         _x000D_
   _x000D_
Changing SecurityException to Exception will solve problem _x000D_
</t>
  </si>
  <si>
    <t>Inversion-NL-Toon-Android-35</t>
  </si>
  <si>
    <t>App crashes while fetching data</t>
  </si>
  <si>
    <t xml:space="preserve">  Describe the bug  _x000D_
App crashes while fetching data_x000D_
_x000D_
  App version (please complete the following information):  _x000D_
   App version code: 12_x000D_
_x000D_
  Smartphone (please complete the following information):  _x000D_
   Device: Samsung Galaxy S9_x000D_
   Android Version: 10_x000D_
_x000D_
  Additional context or information  _x000D_
   _x000D_
java lang RuntimeException: _x000D_
  at android app ActivityThread performResumeActivity (ActivityThread java:4451)_x000D_
  at android app ActivityThread handleResumeActivity (ActivityThread java:4483)_x000D_
  at android app servertransaction ResumeActivityItem execute (ResumeActivityItem java:52)_x000D_
  at android app servertransaction TransactionExecutor executeLifecycleState (TransactionExecutor java:176)_x000D_
  at android app servertransaction TransactionExecutor execute (TransactionExecutor java:97)_x000D_
  at android app ActivityThread H handleMessage (ActivityThread java:2175)_x000D_
  at android os Handler dispatchMessage (Handler java:107)_x000D_
  at android os Looper loop (Looper java:237)_x000D_
  at android app ActivityThread main (ActivityThread java:7857)_x000D_
  at java lang reflect Method invoke (Native Method)_x000D_
  at com android internal os RuntimeInit MethodAndArgsCaller run (RuntimeInit java:493)_x000D_
  at com android internal os ZygoteInit main (ZygoteInit java:1076)_x000D_
Caused by: java lang NumberFormatException: _x000D_
  at java lang Integer parseInt (Integer java:618)_x000D_
  at java lang Integer valueOf (Integer java:801)_x000D_
  at com toonapps toon helper AppSettings getAddress (AppSettings java:118)_x000D_
  at com toonapps toon helper AppSettings getUrl (AppSettings java:129)_x000D_
  at com toonapps toon data RestClient getDataFromSharedPreferences (RestClient java:31)_x000D_
  at com toonapps toon data RestClient  init  (RestClient java:26)_x000D_
  at com toonapps toon controller TemperatureController  init  (TemperatureController java:22)_x000D_
  at com toonapps toon controller TemperatureController getInstance (TemperatureController java:28)_x000D_
  at com toonapps toon view fragments ControlsFragment onResume (ControlsFragment java:94)_x000D_
  at androidx fragment app Fragment performResume (Fragment java:2649)_x000D_
  at androidx fragment app FragmentManagerImpl moveToState (FragmentManagerImpl java:922)_x000D_
  at androidx fragment app FragmentManagerImpl moveFragmentToExpectedState (FragmentManagerImpl java:1238)_x000D_
  at androidx fragment app FragmentManagerImpl moveToState (FragmentManagerImpl java:1303)_x000D_
  at androidx fragment app FragmentManagerImpl dispatchStateChange (FragmentManagerImpl java:2659)_x000D_
  at androidx fragment app FragmentManagerImpl dispatchResume (FragmentManagerImpl java:2625)_x000D_
  at androidx fragment app Fragment performResume (Fragment java:2658)_x000D_
  at androidx fragment app FragmentManagerImpl moveToState (FragmentManagerImpl java:922)_x000D_
  at androidx fragment app FragmentManagerImpl moveFragmentToExpectedState (FragmentManagerImpl java:1238)_x000D_
  at androidx fragment app FragmentManagerImpl moveToState (FragmentManagerImpl java:1303)_x000D_
  at androidx fragment app FragmentManagerImpl dispatchStateChange (FragmentManagerImpl java:2659)_x000D_
  at androidx fragment app FragmentManagerImpl dispatchResume (FragmentManagerImpl java:2625)_x000D_
  at androidx fragment app FragmentController dispatchResume (FragmentController java:268)_x000D_
  at androidx fragment app FragmentActivity onResumeFragments (FragmentActivity java:479)_x000D_
  at androidx fragment app FragmentActivity onPostResume (FragmentActivity java:468)_x000D_
  at androidx appcompat app AppCompatActivity onPostResume (AppCompatActivity java:195)_x000D_
  at android app Activity performResume (Activity java:8128)_x000D_
  at android app ActivityThread performResumeActivity (ActivityThread java:4441)_x000D_
   _x000D_
</t>
  </si>
  <si>
    <t>TeamNewPipe-NewPipe-3849</t>
  </si>
  <si>
    <t>Unable to import subscriptions from .xml file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</si>
  <si>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0 19 5  on Pixel 3 with CalyxOS on Android 10_x000D_
     Which version are you using  Hopefully the latest  We just told you that above     _x000D_
_x000D_
_x000D_
    Steps to reproduce the bug_x000D_
Go to  Subscriptions  tab  click on  Import from previous export   choose a   subscription manager xml  from a recent export 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Subscriptions imported from file to app _x000D_
    Actual behaviour_x000D_
     Tell us what happens instead     _x000D_
Error message   Could not import subscriptions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20200706 103929 (https:  user images githubusercontent com 58682442 86568998 72207f80 bf76 11ea 9f08 afa820445252 png)_x000D_
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</si>
  <si>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react-native-share-react-native-share-819</t>
  </si>
  <si>
    <t>App crash when sharing via airdrop or discord on iOS</t>
  </si>
  <si>
    <t xml:space="preserve">    Steps to reproduce_x000D_
Given this code _x000D_
_x000D_
   _x000D_
    const base64Url      base 64 data url  this data is shared correctly in facebook messenger and gmail_x000D_
    const options   Platform select( _x000D_
      ios:  _x000D_
        failOnCancel: false      this does not work but we can ignore this for the mean time_x000D_
        activityItemSources:  _x000D_
           _x000D_
            placeholderItem:  _x000D_
              type:  url  _x000D_
              content: thumbnail    does not actually work but we can ignore this for the mean time_x000D_
              _x000D_
            item:  _x000D_
              default:  _x000D_
                type:  url  _x000D_
                content: base64Url_x000D_
                _x000D_
              _x000D_
            thumbnailImage: thumbnail     base64 url  works_x000D_
            linkMetadata:  _x000D_
              originalUrl: base64Url _x000D_
              url: base64Url _x000D_
              title:  some filename _x000D_
              _x000D_
            _x000D_
          _x000D_
        _x000D_
      default:  _x000D_
        title: Platform select(  android:  some filename   ios: undefined  ) _x000D_
        url: Platform select(  android: base64Url  ios: undefined  ) _x000D_
        type:  image jpeg  _x000D_
        filename:  some filename  _x000D_
        failOnCancel: false     this does not work but we can ignore this for the mean time_x000D_
       _x000D_
     )_x000D_
    await RNShare open(options)_x000D_
   _x000D_
_x000D_
    Expected behaviour_x000D_
File properly sent to the device via airdop_x000D_
_x000D_
    Actual behaviour_x000D_
App crash with this exception_x000D_
   _x000D_
Thread 1: Exception:      NSCFString objectForKey: : unrecognized selector sent to instance 0x11f7e8000 _x000D_
   _x000D_
_x000D_
debugger stop at this part of code:_x000D_
 screenshot (https:  imgur com 2kAhuf2)_x000D_
_x000D_
    Environment_x000D_
    React Native version  : 0 62 2_x000D_
    React Native platform   platform version  : iPhone 7  iOS 13_x000D_
_x000D_
    react native share_x000D_
  Version  : 3 6 0_x000D_
_x000D_
PS: Flipper is disabled on my project because i do  use frameworks  </t>
  </si>
  <si>
    <t>amit-schwartz-u-rooMe-201</t>
  </si>
  <si>
    <t>Bug: pressing twice in apartment will crash the app</t>
  </si>
  <si>
    <t>In the apartment home screen  pressing twice on an apartment will crash the screen  i fixed the issue on this commit:_x000D_
https:  github com amit schwartz u rooMe pull 200 commits eb726b37f73363c12b91115fbc4e345878d52b86</t>
  </si>
  <si>
    <t>travisgoodspeed-cattool-8</t>
  </si>
  <si>
    <t>Failure on Device Mismatch</t>
  </si>
  <si>
    <t xml:space="preserve">The app currently crashes when the radio ID doesn t match what s expected   Close this issue when mismatches are gracefully handled without crashing </t>
  </si>
  <si>
    <t>TeamNewPipe-NewPipe-3847</t>
  </si>
  <si>
    <t>Battery Drain Issue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</si>
  <si>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v0 19 5_x000D_
Device:Redmi Note 9 Pro(India) Redmi Note 9 S(Global)_x000D_
OS version: 10_x000D_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Normal battery usage when the App is closed _x000D_
    Actual behaviour_x000D_
     Tell us what happens instead     _x000D_
The app doesn t use much CPU in the background but the battery stats still show it using the most Battery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 07 05 09 23 50 714 com miui securitycenter (https:  user images githubusercontent com 60058656 86525445 cc511000 bea4 11ea 8c1b 8a37ae3a7f47 jpg)_x000D_
  Screenshot 2020 07 05 09 47 23 424 com miui securitycenter (https:  user images githubusercontent com 60058656 86525450 d3781e00 bea4 11ea 978d eb764b005cd7 jpg)_x000D_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</si>
  <si>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elimu-ai-appstore-224</t>
  </si>
  <si>
    <t>Fix bug: NullPointerException when no ApplicationVersion exists for installed APK</t>
  </si>
  <si>
    <t xml:space="preserve">To prevent crash during development (before any ApplicationVersion) has been uploaded to the webapp _x000D_
_x000D_
   _x000D_
2020 07 04 11:04:31 473 28002 28002 ai elimu appstore debug E AndroidRuntime: FATAL EXCEPTION: main_x000D_
    Process: ai elimu appstore debug  PID: 28002_x000D_
    java lang NullPointerException: Attempt to invoke virtual method  java lang Integer ai elimu appstore room entity ApplicationVersion getVersionCode()  on a null object reference_x000D_
        at ai elimu appstore ui applications ApplicationListAdapter onBindViewHolder(ApplicationListAdapter java:92)_x000D_
        at ai elimu appstore ui applications ApplicationListAdapter onBindViewHolder(ApplicationListAdapter java:34)_x000D_
   </t>
  </si>
  <si>
    <t>Anuken-Mindustry-2207</t>
  </si>
  <si>
    <t>Error when connecting to attack LAN server</t>
  </si>
  <si>
    <t xml:space="preserve">  Platform  :  Android iOS Mac Windows Linux  Android
  Build  :  The build number under the title in the main menu  Required   BE build 8871
  Issue  :  Explain your issue in detail  
Error  Unknown network error (Attempt to invoke virtual method  float mindustry gen Building healthf()  on a null object reference)  when connecting to an attack LAN server 
  Steps to reproduce  :  How you happened across the issue  and what you were doing at the time  
1) Play an attack map
2) Open to LAN
3) Join server on another device
  Link to mod(s) used  if applicable  :  The mod repositories or zip files that are related to the issue   none
  Crash report  if applicable  :  The contents of relevant crash report files  
I don t know how to copy the error when you press  Details     but I do have these screenshots
 https:  cdn discordapp com attachments 627841590869753886 728730556430286918 Screenshot 20200703 225324 Mindustry BE png 
https:  cdn discordapp com attachments 627841590869753886 728730554572472340 Screenshot 20200703 225328 Mindustry BE png
 Place an X (no spaces) between the brackets to confirm that you have read the line below    
   X    I have searched the closed and open issues to make sure that this problem has not already been reported   
</t>
  </si>
  <si>
    <t>shaqer1-ePantry-8</t>
  </si>
  <si>
    <t>app crash on back after signup  attempts to go to settings</t>
  </si>
  <si>
    <t>jellyfin-jellyfin-androidtv-519</t>
  </si>
  <si>
    <t>Firestick 4k and Nvidia ShieldTV plays strm files for a couple mins then the whole app crashes.</t>
  </si>
  <si>
    <t xml:space="preserve">I tried playing strm files on 5 different firestick 4k devices and my Nvidia ShieldTV  Same thing keeps happening  It will play the file for a few minutes straight and then all of the sudden the whole app just crashes  I downloaded one to try using locally with Jellyfin and it worked fine but the majority of my library is on the cloud so I need to use strms  Can anyone help _x000D_
_x000D_
The strm files were of different formats as well  it was a mix and match between these containers with these audio and video formats codecs  mp4  mkv  x264  x265  aac2 0 aac5 1 DTS etc </t>
  </si>
  <si>
    <t>Anuken-Mindustry-2206</t>
  </si>
  <si>
    <t>spirit repair drones sometimes ignore damaged building</t>
  </si>
  <si>
    <t xml:space="preserve">  Platform  :_x000D_
Windows_x000D_
_x000D_
  Build  :_x000D_
steam build 104 10_x000D_
_x000D_
  Issue  : _x000D_
During a wave of enemies  my spirit repair drones were repairing stuff on the front lines  After the wave was defeated  this one wall block remained unrepaired and the repair drones sat idle at their spawn point  This has happened a few times with different blocks _x000D_
But a video is worth a thousand words:_x000D_
https:  gfycat com defenselessmassiveindianelephant_x000D_
_x000D_
  Steps to reproduce  :_x000D_
nothing out of the ordinary  that block and others near it are normally repaired no problem _x000D_
_x000D_
  Link to mod(s) used  if applicable  :_x000D_
no mods_x000D_
_x000D_
  Crash report  if applicable  :_x000D_
no crash_x000D_
_x000D_
   _x000D_
_x000D_
   x    I have searched the closed and open issues to make sure that this problem has not already been reported   _x000D_
</t>
  </si>
  <si>
    <t>Anuken-Mindustry-2205</t>
  </si>
  <si>
    <t xml:space="preserve">Phantom Builders will sometimes build up enemy base </t>
  </si>
  <si>
    <t xml:space="preserve">  Platform  :  Android iOS Mac Windows Linux _x000D_
Linux (Debian)_x000D_
_x000D_
  Build  :  The build number under the title in the main menu  Required  _x000D_
104 10_x000D_
_x000D_
  Issue  :  Explain your issue in detail  _x000D_
When playing in Hexed PvP and you have Phantom Builder  Drones sometimes they start to build up an enemy base that got destroyed earlier in the game  _x000D_
_x000D_
  Steps to reproduce  :  How you happened across the issue  and what you were doing at the time  _x000D_
Play Hexed PVP and have Phantom Builder drones  It is not always the case that they will build up other bases  but something like a 50  chance  _x000D_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I have searched the closed and open issues to make sure that this problem has not already been reported   _x000D_
</t>
  </si>
  <si>
    <t>Anuken-Mindustry-2204</t>
  </si>
  <si>
    <t>Some kind of power source bug</t>
  </si>
  <si>
    <t xml:space="preserve">  Platform  :  Windows _x000D_
_x000D_
  Build  :  104 10 _x000D_
_x000D_
  Issue  :  I was just playing on kampane mode and suddently all of the  wire  from the power points just disappear ( i apologise if i used the wrong names from the buildings  I looked if they have power and yes all worked but the wire had disapeared  also all next wires i placed   connected  I reloaded my game and the issue was no longer there _x000D_
  screenshot 1593761123951 (https:  user images githubusercontent com 67779163 86444121 94b15f00 bd10 11ea 880d e7e604824815 png) this image could help _x000D_
_x000D_
  Steps to reproduce  :  I have no clue what happend  it just happen  maybe while i was building something i m not sure _x000D_
_x000D_
  Link to mod(s) used  if applicable  :  no mods used _x000D_
_x000D_
  Crash report  if applicable  :  No crash report  Sorry _x000D_
_x000D_
   _x000D_
_x000D_
 Place an X (no spaces) between the brackets to confirm that you have read the line below    _x000D_
   X    I have searched the closed and open issues to make sure that this problem has not already been reported   _x000D_
</t>
  </si>
  <si>
    <t>google-ExoPlayer-7580</t>
  </si>
  <si>
    <t xml:space="preserve">_x000D_
     REQUIRED  Issue description_x000D_
_x000D_
During testing of the code which discards samples in HLS streams when upshifting to a higher resolution stream  I ve been able to reliably reproduce the following crash:_x000D_
_x000D_
2020 06 24 11:48:18 931 22859 22859 com google android exoplayer2 demo E EventLogger: playerFailed  eventTime 1324 15  mediaPos 557 73  window 0  period 0_x000D_
      com google android exoplayer2 ExoPlaybackException: Unexpected runtime error_x000D_
        at com google android exoplayer2 ExoPlayerImplInternal handleMessage(ExoPlayerImplInternal java:493)_x000D_
        at android os Handler dispatchMessage(Handler java:102)_x000D_
        at android os Looper loop(Looper java:193)_x000D_
        at android os HandlerThread run(HandlerThread java:65)_x000D_
     Caused by: java lang IndexOutOfBoundsException: off  1129  len 7157 out of bounds (size 65536)_x000D_
        at java nio Buffer checkBounds(Buffer java:587)_x000D_
        at java nio DirectByteBuffer put(DirectByteBuffer java:285)_x000D_
        at com google android exoplayer2 source SampleDataQueue readData(SampleDataQueue java:309)_x000D_
        at com google android exoplayer2 source SampleDataQueue readToBuffer(SampleDataQueue java:147)_x000D_
        at com google android exoplayer2 source SampleQueue read(SampleQueue java:345)_x000D_
        at com google android exoplayer2 source hls HlsSampleStreamWrapper readData(HlsSampleStreamWrapper java:563)_x000D_
        at com google android exoplayer2 source hls HlsSampleStream readData(HlsSampleStream java:79)_x000D_
        at com google android exoplayer2 BaseRenderer readSource(BaseRenderer java:354)_x000D_
        at com google android exoplayer2 mediacodec MediaCodecRenderer feedInputBuffer(MediaCodecRenderer java:1286)_x000D_
        at com google android exoplayer2 mediacodec MediaCodecRenderer render(MediaCodecRenderer java:835)_x000D_
        at com google android exoplayer2 ExoPlayerImplInternal doSomeWork(ExoPlayerImplInternal java:815)_x000D_
        at com google android exoplayer2 ExoPlayerImplInternal handleMessage(ExoPlayerImplInternal java:404)_x000D_
        at android os Handler dispatchMessage(Handler java:102) _x000D_
        at android os Looper loop(Looper java:193) _x000D_
        at android os HandlerThread run(HandlerThread java:65) _x000D_
_x000D_
This appears to be the same crash which was encountered and mentioned by smayhew in the pull request which pulled the code in:  https:  github com google ExoPlayer pull 7244 _x000D_
_x000D_
smayhew s comment: https:  github com google ExoPlayer pull 7244 issuecomment 620119891_x000D_
_x000D_
I will include more detailed information on the reproduction in the reproduction steps  but in short this is reproduced using the demo app with one slight modification and running against a live stream   _x000D_
_x000D_
     REQUIRED  Reproduction steps_x000D_
_x000D_
Environment:_x000D_
    client device: TiVo Stream 4k _x000D_
    wireless connection is intentionally set to be close to the threshold for the stream   In this particular case  the stream (a live stream) has 6Mbps  4Mbps and 2Mbps variants and the access point is limiting the connection to 10Mbps_x000D_
    CODE CHANGE:  in part because this stream uses the same resolution  and also because we d like to eventually have the discard be evaluated for every shift to a higher bitrate (not just higher resolution) I disabled the checks for resolution and only evaluate bitrate when determining whether to discard samples   i e   in AdaptiveTrackSelection java:_x000D_
_x000D_
       If the chunks contain video  discard from the first SD chunk beyond_x000D_
       minDurationToRetainAfterDiscardUs whose resolution and bitrate are both lower than the ideal_x000D_
       track _x000D_
    for (int i   0  i   queueSize  i  )  _x000D_
      MediaChunk chunk   queue get(i) _x000D_
      Format format   chunk trackFormat _x000D_
      long mediaDurationBeforeThisChunkUs   chunk startTimeUs   playbackPositionUs _x000D_
      long playoutDurationBeforeThisChunkUs  _x000D_
          Util getPlayoutDurationForMediaDuration(mediaDurationBeforeThisChunkUs  playbackSpeed) _x000D_
      if (playoutDurationBeforeThisChunkUs    minDurationToRetainAfterDiscardUs_x000D_
             format bitrate   idealFormat bitrate_x000D_
               format height    Format NO VALUE    format height   720_x000D_
             format width    Format NO VALUE    format width   1280_x000D_
             format height   idealFormat height  )  _x000D_
_x000D_
With the above setup  I typically encounter the error within 5 10 minutes _x000D_
_x000D_
     REQUIRED  Link to test content_x000D_
At the moment we are unable to make our video feed public   We are working on ways to address this _x000D_
_x000D_
     REQUIRED  A full bug report captured from the device_x000D_
I will capture the bug report and email it _x000D_
_x000D_
     REQUIRED  Version of ExoPlayer being used_x000D_
branch of dev v2 at: commit dac3dde7bb8d79e785f65b0c0c7b7425f41dffa6 (dev v2)_x000D_
_x000D_
     REQUIRED  Device(s) and version(s) of Android being used_x000D_
Primary device used for reproduction and testing is a Tivo Stream 4K running android: _x000D_
dwc  adb shell getprop ro build version release _x000D_
9_x000D_
dwc  adb shell getprop ro build version sdk_x000D_
28_x000D_
_x000D_
I ve also reproduced on an RCN device  but it is more difficult because it s ethernet only and it s more difficult for me to bandwidth limit for this device _x000D_
_x000D_
As mentioned in the reproduction section  with the setup specified I can reproduce the problem within 5 10 minutes when playing at the live point   </t>
  </si>
  <si>
    <t>amit-schwartz-u-rooMe-181</t>
  </si>
  <si>
    <t>Bug - App crashes when typing minus in the rent field</t>
  </si>
  <si>
    <t xml:space="preserve">When filling in the apartment details  in the rent section  if you accidentally press the minus ( ) button in the keyboard when the input is empty (i e  after you delete the default 0 0 value)  the app crashes _x000D_
_x000D_
The following stack trace is shown:_x000D_
_x000D_
2020 07 02 18:36:21 395 5073 5073 com example roome E AndroidRuntime: FATAL EXCEPTION: main_x000D_
    Process: com example roome  PID: 5073_x000D_
    java lang NumberFormatException: For input string:    _x000D_
        at sun misc FloatingDecimal readJavaFormatString(FloatingDecimal java:2043)_x000D_
        at sun misc FloatingDecimal parseDouble(FloatingDecimal java:110)_x000D_
        at java lang Double parseDouble(Double java:539)_x000D_
        at com example roome Roommate searcher tabs classes EditProfileRoommateSearcher 12 onTextChanged(EditProfileRoommateSearcher java:504)_x000D_
        at android widget TextView sendOnTextChanged(TextView java:10651)_x000D_
        at android widget TextView handleTextChanged(TextView java:10755)_x000D_
        at android widget TextView ChangeWatcher onTextChanged(TextView java:14100)_x000D_
        at android text SpannableStringBuilder sendTextChanged(SpannableStringBuilder java:1252)_x000D_
        at android text SpannableStringBuilder replace(SpannableStringBuilder java:573)_x000D_
        at android text SpannableStringBuilder replace(SpannableStringBuilder java:504)_x000D_
        at android text SpannableStringBuilder replace(SpannableStringBuilder java:502)_x000D_
        at android view inputmethod BaseInputConnection replaceText(BaseInputConnection java:849)_x000D_
        at android view inputmethod BaseInputConnection commitText(BaseInputConnection java:199)_x000D_
        at com android internal widget EditableInputConnection commitText(EditableInputConnection java:183)_x000D_
        at com android internal view IInputConnectionWrapper executeMessage(IInputConnectionWrapper java:341)_x000D_
        at com android internal view IInputConnectionWrapper MyHandler handleMessage(IInputConnectionWrapper java:85)_x000D_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 </t>
  </si>
  <si>
    <t>material-components-material-components-android-1455</t>
  </si>
  <si>
    <t>[TextInputLayout] NoSuchFieldError: mtrl_textinput_box_bottom_offset</t>
  </si>
  <si>
    <t xml:space="preserve">Material Library version: 1 2 0 beta01_x000D_
Robolectric version: 4 3 1_x000D_
_x000D_
When running UI tests with Espresso and Robolectric  they crash in some test configurations consistently on Linux and macOS  regardless whether they re executed in Android Studio or via Gradle command line  because of an unknown field  like so_x000D_
_x000D_
   _x000D_
android view InflateException: Binary XML file line  48: Binary XML file line  48: Error inflating class  unknown _x000D_
Caused by: android view InflateException: Binary XML file line  48: Error inflating class  unknown _x000D_
Caused by: java lang reflect InvocationTargetException_x000D_
	at sun reflect NativeConstructorAccessorImpl newInstance0(Native Method)_x000D_
	at sun reflect NativeConstructorAccessorImpl newInstance(NativeConstructorAccessorImpl java:62)_x000D_
	at sun reflect DelegatingConstructorAccessorImpl newInstance(DelegatingConstructorAccessorImpl java:45)_x000D_
	at java lang reflect Constructor newInstance(Constructor java:423)_x000D_
	at android view LayoutInflater   robo  android view LayoutInflater createView(LayoutInflater java:647)_x000D_
	at android view LayoutInflater createView(LayoutInflater java)_x000D_
	at android view LayoutInflater   robo  android view LayoutInflater createViewFromTag(LayoutInflater java:790)_x000D_
	at android view LayoutInflater createViewFromTag(LayoutInflater java)_x000D_
	at android view LayoutInflater   robo  android view LayoutInflater createViewFromTag(LayoutInflater java:730)_x000D_
	at android view LayoutInflater createViewFromTag(LayoutInflater java)_x000D_
	at android view LayoutInflater   robo  android view LayoutInflater rInflate(LayoutInflater java:863)_x000D_
	at android view LayoutInflater rInflate(LayoutInflater java)_x000D_
	at android view LayoutInflater   robo  android view LayoutInflater rInflateChildren(LayoutInflater java:824)_x000D_
	at android view LayoutInflater rInflateChildren(LayoutInflater java)_x000D_
	at android view LayoutInflater   robo  android view LayoutInflater rInflate(LayoutInflater java:866)_x000D_
	at android view LayoutInflater rInflate(LayoutInflater java)_x000D_
	at android view LayoutInflater   robo  android view LayoutInflater rInflateChildren(LayoutInflater java:824)_x000D_
	at android view LayoutInflater rInflateChildren(LayoutInflater java)_x000D_
	at android view LayoutInflater   robo  android view LayoutInflater inflate(LayoutInflater java:515)_x000D_
	at android view LayoutInflater inflate(LayoutInflater java)_x000D_
	at android view LayoutInflater   robo  android view LayoutInflater inflate(LayoutInflater java:423)_x000D_
	at android view LayoutInflater inflate(LayoutInflater java)_x000D_
	at androidx databinding DataBindingUtil   robo  androidx databinding DataBindingUtil inflate(DataBindingUtil java:126)_x000D_
	at androidx databinding DataBindingUtil inflate(DataBindingUtil java)_x000D_
	at androidx databinding ViewDataBinding   robo  androidx databinding ViewDataBinding inflateInternal(ViewDataBinding java:1368)_x000D_
	at androidx databinding ViewDataBinding inflateInternal(ViewDataBinding java)_x000D_
	at OurFragmentBinding inflate(OurFragmentBinding java:173)_x000D_
	at OurFragmentBinding inflate(OurFragmentBinding java:159)_x000D_
	at OurFragment onCreateView(OurFragment kt:84)_x000D_
	at androidx fragment app Fragment   robo  androidx fragment app Fragment performCreateView(Fragment java:2698)_x000D_
	at androidx fragment app Fragment performCreateView(Fragment java)_x000D_
	at androidx fragment app FragmentStateManager   robo  androidx fragment app FragmentStateManager createView(FragmentStateManager java:320)_x000D_
	at androidx fragment app FragmentStateManager createView(FragmentStateManager java)_x000D_
	at androidx fragment app FragmentManager   robo  androidx fragment app FragmentManager moveToState(FragmentManager java:1187)_x000D_
	at androidx fragment app FragmentManager moveToState(FragmentManager java)_x000D_
	at androidx fragment app FragmentManager   robo  androidx fragment app FragmentManager moveToState(FragmentManager java:1356)_x000D_
	at androidx fragment app FragmentManager moveToState(FragmentManager java)_x000D_
	at androidx fragment app FragmentManager   robo  androidx fragment app FragmentManager moveFragmentToExpectedState(FragmentManager java:1434)_x000D_
	at androidx fragment app FragmentManager moveFragmentToExpectedState(FragmentManager java)_x000D_
	at androidx fragment app FragmentManager   robo  androidx fragment app FragmentManager moveToState(FragmentManager java:1497)_x000D_
	at androidx fragment app FragmentManager moveToState(FragmentManager java)_x000D_
	at androidx fragment app BackStackRecord   robo  androidx fragment app BackStackRecord executeOps(BackStackRecord java:447)_x000D_
	at androidx fragment app BackStackRecord executeOps(BackStackRecord java)_x000D_
	at androidx fragment app FragmentManager   robo  androidx fragment app FragmentManager executeOps(FragmentManager java:2169)_x000D_
	at androidx fragment app FragmentManager executeOps(FragmentManager java)_x000D_
	at androidx fragment app FragmentManager   robo  androidx fragment app FragmentManager executeOpsTogether(FragmentManager java:1992)_x000D_
	at androidx fragment app FragmentManager executeOpsTogether(FragmentManager java)_x000D_
	at androidx fragment app FragmentManager   robo  androidx fragment app FragmentManager removeRedundantOperationsAndExecute(FragmentManager java:1947)_x000D_
	at androidx fragment app FragmentManager removeRedundantOperationsAndExecute(FragmentManager java)_x000D_
	at androidx fragment app FragmentManager   robo  androidx fragment app FragmentManager execSingleAction(FragmentManager java:1818)_x000D_
	at androidx fragment app FragmentManager execSingleAction(FragmentManager java)_x000D_
	at androidx fragment app BackStackRecord   robo  androidx fragment app BackStackRecord commitNow(BackStackRecord java:297)_x000D_
	at androidx fragment app BackStackRecord commitNow(BackStackRecord java)_x000D_
	at androidx fragment app testing FragmentScenario 1   robo  androidx fragment app testing FragmentScenario 1 perform(FragmentScenario java:312)_x000D_
	at androidx fragment app testing FragmentScenario 1 perform(FragmentScenario java)_x000D_
	at androidx fragment app testing FragmentScenario 1 perform(FragmentScenario java:291)_x000D_
	at androidx test core app ActivityScenario lambda onActivity 2 ActivityScenario(ActivityScenario java:551)_x000D_
	at androidx test core app ActivityScenario  Lambda 4 run(Unknown Source)_x000D_
	at androidx test core app ActivityScenario onActivity(ActivityScenario java:561)_x000D_
	at androidx fragment app testing FragmentScenario   robo  androidx fragment app testing FragmentScenario internalLaunch(FragmentScenario java:290)_x000D_
	at androidx fragment app testing FragmentScenario internalLaunch(FragmentScenario java)_x000D_
	at androidx fragment app testing FragmentScenario   robo  androidx fragment app testing FragmentScenario launchInContainer(FragmentScenario java:272)_x000D_
	at androidx fragment app testing FragmentScenario launchInContainer(FragmentScenario java)_x000D_
	at OurFragmentScenarioRule launchFragment(OurFragmentScenarioRule kt:95)_x000D_
	at OurFragmentScenarioRule launchFragment default(OurFragmentScenarioRule kt:94)_x000D_
	at OurFragmentStepDefinitions 1 accept(OurFragmentStepDefinitions kt:140)_x000D_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cucumber runtime Utils 1 call(Utils java:26)_x000D_
	at cucumber runtime Timeout timeout(Timeout java:16)_x000D_
	at cucumber runtime Utils invoke(Utils java:20)_x000D_
	at cucumber runtime java8 Java8StepDefinition execute(Java8StepDefinition java:113)_x000D_
	at cucumber runner PickleStepDefinitionMatch runStep(PickleStepDefinitionMatch java:50)_x000D_
	at cucumber runner TestStep executeStep(TestStep java:65)_x000D_
	at cucumber runner TestStep run(TestStep java:50)_x000D_
	at cucumber runner PickleStepTestStep run(PickleStepTestStep java:43)_x000D_
	at cucumber runner TestCase run(TestCase java:46)_x000D_
	at cucumber runner Runner runPickle(Runner java:50)_x000D_
	at io cucumber junit PickleRunners NoStepDescriptions run(PickleRunners java:146)_x000D_
	at io cucumber junit FeatureRunner runChild(FeatureRunner java:68)_x000D_
	at io cucumber junit FeatureRunner runChild(FeatureRunner java:23)_x000D_
	at org junit runners ParentRunner 3 run(ParentRunner java:290)_x000D_
	at org junit runners ParentRunner 1 schedule(ParentRunner java:71)_x000D_
	at org junit runners ParentRunner runChildren(ParentRunner java:288)_x000D_
	at org junit runners ParentRunner access 000(ParentRunner java:58)_x000D_
	at org junit runners ParentRunner 2 evaluate(ParentRunner java:268)_x000D_
	at org junit runners ParentRunner run(ParentRunner java:363)_x000D_
	at io cucumber junit Cucumber runChild(Cucumber java:142)_x000D_
	at io cucumber junit Cucumber runChild(Cucumber java:65)_x000D_
	at org junit runners ParentRunner 3 run(ParentRunner java:290)_x000D_
	at org junit runners ParentRunner 1 schedule(ParentRunner java:71)_x000D_
	at org junit runners ParentRunner runChildren(ParentRunner java:288)_x000D_
	at org junit runners ParentRunner access 000(ParentRunner java:58)_x000D_
	at org junit runners ParentRunner 2 evaluate(ParentRunner java:268)_x000D_
	at io cucumber junit Cucumber RunCucumber evaluate(Cucumber java:172)_x000D_
	at org junit runners ParentRunner run(ParentRunner java:363)_x000D_
	at org junit runners Suite runChild(Suite java:128)_x000D_
	at org junit runners Suite runChild(Suite java:27)_x000D_
	at org junit runners ParentRunner 3 run(ParentRunner java:290)_x000D_
	at org junit runners ParentRunner 1 schedule(ParentRunner java:71)_x000D_
	at org junit runners ParentRunner runChildren(ParentRunner java:288)_x000D_
	at org junit runners ParentRunner access 000(ParentRunner java:58)_x000D_
	at org junit runners ParentRunner 2 evaluate(ParentRunner java:268)_x000D_
	at org junit runners ParentRunner run(ParentRunner java:363)_x000D_
	at org junit runner JUnitCore run(JUnitCore java:137)_x000D_
	at org junit runner JUnitCore run(JUnitCore java:115)_x000D_
	at org junit runner JUnitCore run(JUnitCore java:105)_x000D_
	at org junit runner JUnitCore runClasses(JUnitCore java:62)_x000D_
	at org junit runner JUnitCore runClasses(JUnitCore java:49)_x000D_
	at OurFeatureTestRunner testFeature(OurFeatureTestRunner kt:24)_x000D_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org junit runners model FrameworkMethod 1 runReflectiveCall(FrameworkMethod java:50)_x000D_
	at org junit internal runners model ReflectiveCallable run(ReflectiveCallable java:12)_x000D_
	at org junit runners model FrameworkMethod invokeExplosively(FrameworkMethod java:47)_x000D_
	at org junit internal runners statements InvokeMethod evaluate(InvokeMethod java:17)_x000D_
	at org robolectric RobolectricTestRunner HelperTestRunner 1 evaluate(RobolectricTestRunner java:546)_x000D_
	at org robolectric internal SandboxTestRunner 2 lambda evaluate 0(SandboxTestRunner java:252)_x000D_
	at org robolectric internal bytecode Sandbox lambda runOnMainThread 0(Sandbox java:89)_x000D_
	at java util concurrent FutureTask run(FutureTask java:266)_x000D_
	at java util concurrent ThreadPoolExecutor runWorker(ThreadPoolExecutor java:1149)_x000D_
	at java util concurrent ThreadPoolExecutor Worker run(ThreadPoolExecutor java:624)_x000D_
	at java lang Thread run(Thread java:748)_x000D_
Caused by: android view InflateException: Binary XML file line  13: Binary XML file line  13: Error inflating class  unknown _x000D_
Caused by: android view InflateException: Binary XML file line  13: Error inflating class  unknown _x000D_
Caused by: java lang reflect InvocationTargetException_x000D_
	at sun reflect NativeConstructorAccessorImpl newInstance0(Native Method)_x000D_
	at sun reflect NativeConstructorAccessorImpl newInstance(NativeConstructorAccessorImpl java:62)_x000D_
	at sun reflect DelegatingConstructorAccessorImpl newInstance(DelegatingConstructorAccessorImpl java:45)_x000D_
	at java lang reflect Constructor newInstance(Constructor java:423)_x000D_
	at android view LayoutInflater   robo  android view LayoutInflater createView(LayoutInflater java:647)_x000D_
	at android view LayoutInflater createView(LayoutInflater java)_x000D_
	at android view LayoutInflater   robo  android view LayoutInflater createViewFromTag(LayoutInflater java:790)_x000D_
	at android view LayoutInflater createViewFromTag(LayoutInflater java)_x000D_
	at android view LayoutInflater   robo  android view LayoutInflater createViewFromTag(LayoutInflater java:730)_x000D_
	at android view LayoutInflater createViewFromTag(LayoutInflater java)_x000D_
	at android view LayoutInflater   robo  android view LayoutInflater inflate(LayoutInflater java:492)_x000D_
	at android view LayoutInflater inflate(LayoutInflater java)_x000D_
	at android view LayoutInflater   robo  android view LayoutInflater inflate(LayoutInflater java:423)_x000D_
	at android view LayoutInflater inflate(LayoutInflater java)_x000D_
	at androidx databinding DataBindingUtil   robo  androidx databinding DataBindingUtil inflate(DataBindingUtil java:126)_x000D_
	at androidx databinding DataBindingUtil inflate(DataBindingUtil java)_x000D_
	at androidx databinding ViewDataBinding   robo  androidx databinding ViewDataBinding inflateInternal(ViewDataBinding java:1368)_x000D_
	at androidx databinding ViewDataBinding inflateInternal(ViewDataBinding java)_x000D_
	at OurViewDropdownBinding inflate(OurViewDropdownBinding java:60)_x000D_
	at OurViewDropdownBinding inflate(OurViewDropdownBinding java:46)_x000D_
	at OurDropdownView  init (OurDropdownView kt:84)_x000D_
	at OurDropdownView  init (OurDropdownView kt:33)_x000D_
	at OurDropdownView  init (OurDropdownView kt)_x000D_
	at sun reflect NativeConstructorAccessorImpl newInstance0(Native Method)_x000D_
	at sun reflect NativeConstructorAccessorImpl newInstance(NativeConstructorAccessorImpl java:62)_x000D_
	at sun reflect DelegatingConstructorAccessorImpl newInstance(DelegatingConstructorAccessorImpl java:45)_x000D_
	at java lang reflect Constructor newInstance(Constructor java:423)_x000D_
	at android view LayoutInflater   robo  android view LayoutInflater createView(LayoutInflater java:647)_x000D_
	at android view LayoutInflater createView(LayoutInflater java)_x000D_
	at android view LayoutInflater   robo  android view LayoutInflater createViewFromTag(LayoutInflater java:790)_x000D_
	at android view LayoutInflater createViewFromTag(LayoutInflater java)_x000D_
	at android view LayoutInflater   robo  android view LayoutInflater createViewFromTag(LayoutInflater java:730)_x000D_
	at android view LayoutInflater createViewFromTag(LayoutInflater java)_x000D_
	at android view LayoutInflater   robo  android view LayoutInflater rInflate(LayoutInflater java:863)_x000D_
	at android view LayoutInflater rInflate(LayoutInflater java)_x000D_
	at android view LayoutInflater   robo  android view LayoutInflater rInflateChildren(LayoutInflater java:824)_x000D_
	at android view LayoutInflater rInflateChildren(LayoutInflater java)_x000D_
	at android view LayoutInflater   robo  android view LayoutInflater rInflate(LayoutInflater java:866)_x000D_
	at android view LayoutInflater rInflate(LayoutInflater java)_x000D_
	at android view LayoutInflater   robo  android view LayoutInflater rInflateChildren(LayoutInflater java:824)_x000D_
	at android view LayoutInflater rInflateChildren(LayoutInflater java)_x000D_
	at android view LayoutInflater   robo  android view LayoutInflater inflate(LayoutInflater java:515)_x000D_
	at android view LayoutInflater inflate(LayoutInflater java)_x000D_
	at android view LayoutInflater   robo  android view LayoutInflater inflate(LayoutInflater java:423)_x000D_
	at android view LayoutInflater inflate(LayoutInflater java)_x000D_
	at androidx databinding DataBindingUtil   robo  androidx databinding DataBindingUtil inflate(DataBindingUtil java:126)_x000D_
	at androidx databinding DataBindingUtil inflate(DataBindingUtil java)_x000D_
	at androidx databinding ViewDataBinding   robo  androidx databinding ViewDataBinding inflateInternal(ViewDataBinding java:1368)_x000D_
	at androidx databinding ViewDataBinding inflateInternal(ViewDataBinding java)_x000D_
	at OurFragmentBinding inflate(OurFragmentBinding java:173)_x000D_
	at OurFragmentBinding inflate(OurFragmentBinding java:159)_x000D_
	at OurFragment onCreateView(OurFragment kt:84)_x000D_
	at androidx fragment app Fragment   robo  androidx fragment app Fragment performCreateView(Fragment java:2698)_x000D_
	at androidx fragment app Fragment performCreateView(Fragment java)_x000D_
	at androidx fragment app FragmentStateManager   robo  androidx fragment app FragmentStateManager createView(FragmentStateManager java:320)_x000D_
	at androidx fragment app FragmentStateManager createView(FragmentStateManager java)_x000D_
	at androidx fragment app FragmentManager   robo  androidx fragment app FragmentManager moveToState(FragmentManager java:1187)_x000D_
	at androidx fragment app FragmentManager moveToState(FragmentManager java)_x000D_
	at androidx fragment app FragmentManager   robo  androidx fragment app FragmentManager moveToState(FragmentManager java:1356)_x000D_
	at androidx fragment app FragmentManager moveToState(FragmentManager java)_x000D_
	at androidx fragment app FragmentManager   robo  androidx fragment app FragmentManager moveFragmentToExpectedState(FragmentManager java:1434)_x000D_
	at androidx fragment app FragmentManager moveFragmentToExpectedState(FragmentManager java)_x000D_
	at androidx fragment app FragmentManager   robo  androidx fragment app FragmentManager moveToState(FragmentManager java:1497)_x000D_
	at androidx fragment app FragmentManager moveToState(FragmentManager java)_x000D_
	at androidx fragment app BackStackRecord   robo  androidx fragment app BackStackRecord executeOps(BackStackRecord java:447)_x000D_
	at androidx fragment app BackStackRecord executeOps(BackStackRecord java)_x000D_
	at androidx fragment app FragmentManager   robo  androidx fragment app FragmentManager executeOps(FragmentManager java:2169)_x000D_
	at androidx fragment app FragmentManager executeOps(FragmentManager java)_x000D_
	at androidx fragment app FragmentManager   robo  androidx fragment app FragmentManager executeOpsTogether(FragmentManager java:1992)_x000D_
	at androidx fragment app FragmentManager executeOpsTogether(FragmentManager java)_x000D_
	at androidx fragment app FragmentManager   robo  androidx fragment app FragmentManager removeRedundantOperationsAndExecute(FragmentManager java:1947)_x000D_
	at androidx fragment app FragmentManager removeRedundantOperationsAndExecute(FragmentManager java)_x000D_
	at androidx fragment app FragmentManager   robo  androidx fragment app FragmentManager execSingleAction(FragmentManager java:1818)_x000D_
	at androidx fragment app FragmentManager execSingleAction(FragmentManager java)_x000D_
	at androidx fragment app BackStackRecord   robo  androidx fragment app BackStackRecord commitNow(BackStackRecord java:297)_x000D_
	at androidx fragment app BackStackRecord commitNow(BackStackRecord java)_x000D_
	at androidx fragment app testing FragmentScenario 1   robo  androidx fragment app testing FragmentScenario 1 perform(FragmentScenario java:312)_x000D_
	at androidx fragment app testing FragmentScenario 1 perform(FragmentScenario java)_x000D_
	at androidx fragment app testing FragmentScenario 1 perform(FragmentScenario java:291)_x000D_
	at androidx test core app ActivityScenario lambda onActivity 2 ActivityScenario(ActivityScenario java:551)_x000D_
	at androidx test core app ActivityScenario  Lambda 4 run(Unknown Source)_x000D_
	at androidx test core app ActivityScenario onActivity(ActivityScenario java:561)_x000D_
	at androidx fragment app testing FragmentScenario   robo  androidx fragment app testing FragmentScenario internalLaunch(FragmentScenario java:290)_x000D_
	at androidx fragment app testing FragmentScenario internalLaunch(FragmentScenario java)_x000D_
	at androidx fragment app testing FragmentScenario   robo  androidx fragment app testing FragmentScenario launchInContainer(FragmentScenario java:272)_x000D_
	at androidx fragment app testing FragmentScenario launchInContainer(FragmentScenario java)_x000D_
	at OurFragmentScenarioRule launchFragment(OurFragmentScenarioRule kt:95)_x000D_
	at OurFragmentScenarioRule launchFragment default(OurFragmentScenarioRule kt:94)_x000D_
	at OurFragmentStepDefinitions 1 accept(OurFragmentStepDefinitions kt:140)_x000D_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cucumber runtime Utils 1 call(Utils java:26)_x000D_
	at cucumber runtime Timeout timeout(Timeout java:16)_x000D_
	at cucumber runtime Utils invoke(Utils java:20)_x000D_
	at cucumber runtime java8 Java8StepDefinition execute(Java8StepDefinition java:113)_x000D_
	at cucumber runner PickleStepDefinitionMatch runStep(PickleStepDefinitionMatch java:50)_x000D_
	at cucumber runner TestStep executeStep(TestStep java:65)_x000D_
	at cucumber runner TestStep run(TestStep java:50)_x000D_
	at cucumber runner PickleStepTestStep run(PickleStepTestStep java:43)_x000D_
	at cucumber runner TestCase run(TestCase java:46)_x000D_
	at cucumber runner Runner runPickle(Runner java:50)_x000D_
	at io cucumber junit PickleRunners NoStepDescriptions run(PickleRunners java:146)_x000D_
	at io cucumber junit FeatureRunner runChild(FeatureRunner java:68)_x000D_
	at io cucumber junit FeatureRunner runChild(FeatureRunner java:23)_x000D_
	at org junit runners ParentRunner 3 run(ParentRunner java:290)_x000D_
	at org junit runners ParentRunner 1 schedule(ParentRunner java:71)_x000D_
	at org junit runners ParentRunner runChildren(ParentRunner java:288)_x000D_
	at org junit runners ParentRunner access 000(ParentRunner java:58)_x000D_
	at org junit runners ParentRunner 2 evaluate(ParentRunner java:268)_x000D_
	at org junit runners ParentRunner run(ParentRunner java:363)_x000D_
	at io cucumber junit Cucumber runChild(Cucumber java:142)_x000D_
	at io cucumber junit Cucumber runChild(Cucumber java:65)_x000D_
	at org junit runners ParentRunner 3 run(ParentRunner java:290)_x000D_
	at org junit runners ParentRunner 1 schedule(ParentRunner java:71)_x000D_
	at org junit runners ParentRunner runChildren(ParentRunner java:288)_x000D_
	at org junit runners ParentRunner access 000(ParentRunner java:58)_x000D_
	at org junit runners ParentRunner 2 evaluate(ParentRunner java:268)_x000D_
	at io cucumber junit Cucumber RunCucumber evaluate(Cucumber java:172)_x000D_
	at org junit runners ParentRunner run(ParentRunner java:363)_x000D_
	at org junit runners Suite runChild(Suite java:128)_x000D_
	at org junit runners Suite runChild(Suite java:27)_x000D_
	at org junit runners ParentRunner 3 run(ParentRunner java:290)_x000D_
	at org junit runners ParentRunner 1 schedule(ParentRunner java:71)_x000D_
	at org junit runners ParentRunner runChildren(ParentRunner java:288)_x000D_
	at org junit runners ParentRunner access 000(ParentRunner java:58)_x000D_
	at org junit runners ParentRunner 2 evaluate(ParentRunner java:268)_x000D_
	at org junit runners ParentRunner run(ParentRunner java:363)_x000D_
	at org junit runner JUnitCore run(JUnitCore java:137)_x000D_
	at org junit runner JUnitCore run(JUnitCore java:115)_x000D_
	at org junit runner JUnitCore run(JUnitCore java:105)_x000D_
	at org junit runner JUnitCore runClasses(JUnitCore java:62)_x000D_
	at org junit runner JUnitCore runClasses(JUnitCore java:49)_x000D_
	at OurFeatureTestRunner testFeature(OurFeatureTestRunner kt:24)_x000D_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org junit runners model FrameworkMethod 1 runReflectiveCall(FrameworkMethod java:50)_x000D_
	at org junit internal runners model ReflectiveCallable run(ReflectiveCallable java:12)_x000D_
	at org junit runners model FrameworkMethod invokeExplosively(FrameworkMethod java:47)_x000D_
	at org junit internal runners statements InvokeMethod evaluate(InvokeMethod java:17)_x000D_
	at org robolectric RobolectricTestRunner HelperTestRunner 1 evaluate(RobolectricTestRunner java:546)_x000D_
	at org robolectric internal SandboxTestRunner 2 lambda evaluate 0(SandboxTestRunner java:252)_x000D_
	at org robolectric internal bytecode Sandbox lambda runOnMainThread 0(Sandbox java:89)_x000D_
	at java util concurrent FutureTask run(FutureTask java:266)_x000D_
	at java util concurrent ThreadPoolExecutor runWorker(ThreadPoolExecutor java:1149)_x000D_
	at java util concurrent ThreadPoolExecutor Worker run(ThreadPoolExecutor java:624)_x000D_
	at java lang Thread run(Thread java:748)_x000D_
Caused by: java lang NoSuchFieldError: mtrl textinput box bottom offset_x000D_
	at com google android material textfield TextInputLayout  init (TextInputLayout java:278)_x000D_
	at com google android material textfield TextInputLayout  init (TextInputLayout java:247)_x000D_
	    150 more_x000D_
   _x000D_
_x000D_
I am unable to find the said field in the current sources  so I don t know where it comes from actually  From what I figured is that it seems to be some kind of  dimen  resource value that apparently is not part of the compiled  R java   though I see it in my module s build output when I grep for it:_x000D_
_x000D_
   _x000D_
build intermediates res merged debug values values xml:     dimen name  mtrl textinput box bottom offset  3dp  dimen _x000D_
   </t>
  </si>
  <si>
    <t>cgeo-cgeo-8568</t>
  </si>
  <si>
    <t>NPE in RouteLayer.draw()</t>
  </si>
  <si>
    <t xml:space="preserve">  Description:  _x000D_
_x000D_
NullPointerException in  RouteLayer draw()  as in:_x000D_
_x000D_
   _x000D_
java lang NullPointerException: Attempt to invoke virtual method  int java util ArrayList size()  on a null object reference_x000D_
 	at cgeo geocaching maps mapsforge v6 layers RouteLayer draw(RouteLayer java:70)_x000D_
	at org mapsforge map layer LayerManager doWork(LayerManager java:95)_x000D_
	at org mapsforge map util PausableThread run(PausableThread java:149)_x000D_
   _x000D_
_x000D_
Happened several times during today s tour as well as infrequently during development _x000D_
_x000D_
  To Reproduce:  _x000D_
_x000D_
Not yet tested if it s reproducible  but today it happened several times when doing the following steps:_x000D_
  starting point was OSM offline map with the caches of today s tour combined as a individual route_x000D_
  move a visited cache from list A to list B_x000D_
  long tap on cache to remove it from individual route_x000D_
  in about 25  of the time the map then crashed   c:geo main screen shown    after restarting the map the cache removed from individual route  is  removed_x000D_
  in the other cases cache is removed from individual route without the map crashing_x000D_
_x000D_
  Version of c:geo used:  _x000D_
2020 06 14_x000D_
_x000D_
  Is the problem reproducible:  _x000D_
Not yet sure  but happened 5 times today (according to log) out of 20 _x000D_
</t>
  </si>
  <si>
    <t>deltachat-deltachat-android-1469</t>
  </si>
  <si>
    <t>Profile Image selection doesn't work</t>
  </si>
  <si>
    <t xml:space="preserve">transferred from our forum (https:  support delta chat t profil picture is not choosable gallery crashes 1030):_x000D_
Delta Chat version_x000D_
_x000D_
Delta Chat 1 8 1 (Android)_x000D_
_x000D_
Expected behavior_x000D_
_x000D_
That I can select a profile picture from my gallery or make a picture with my camera_x000D_
_x000D_
Actual behavior_x000D_
_x000D_
When I tab on the camera icon in the profile overview  the gallery shortly opens up and immediatly closes again _x000D_
_x000D_
Steps to reproduce the problem_x000D_
_x000D_
    I open the app_x000D_
    I go to  Settings _x000D_
    I go on the camera icon_x000D_
    the screen for editing my profile opens up_x000D_
    in this section I tab on the camera icon again_x000D_
    the gallery opens and closes quick (it crashes)_x000D_
_x000D_
Screen snapshots_x000D_
_x000D_
not possible </t>
  </si>
  <si>
    <t>msaperst-beerfit-43</t>
  </si>
  <si>
    <t>Metrics Crashes with No Activities</t>
  </si>
  <si>
    <t xml:space="preserve">On a fresh start  when navigating to metrics  the app crashed  See test  viewMetrics </t>
  </si>
  <si>
    <t>TeamNewPipe-NewPipe-legacy-33</t>
  </si>
  <si>
    <t>Background playback does not work.</t>
  </si>
  <si>
    <t>Background playback does not work _x000D_
Newpipe legacy 0 19 5_x000D_
I am in Android version 4 2 2   17_x000D_
_x000D_
every time i try the app crashes</t>
  </si>
  <si>
    <t>doublesymmetry-react-native-track-player-985</t>
  </si>
  <si>
    <t>Native Module TrackPlayerModule tries to override MusicModule [Android]</t>
  </si>
  <si>
    <t xml:space="preserve">  Describe the bug  _x000D_
When launching on android  the application crashes with the error message  Native Module TrackPlayerModule tried to override MusicModule   There is no duplicate package declaration in the MainApplication java file  as hinted to in other issues  nor is there any duplicate imports  _x000D_
_x000D_
  To Reproduce  _x000D_
npm install react native track player _x000D_
do manual linking as described in the docs _x000D_
_x000D_
  Environment:  _x000D_
System:_x000D_
    OS: macOS 10 15 5_x000D_
    CPU: (8) x64 Intel(R) Core(TM) i7 6820HQ CPU   2 70GHz_x000D_
    Memory: 200 46 MB   16 00 GB_x000D_
    Shell: 5 7 1    bin zsh_x000D_
  Binaries:_x000D_
    Node: 14 4 0    usr local bin node_x000D_
    Yarn: Not Found_x000D_
    npm: 6 14 4    usr local bin npm_x000D_
    Watchman: 4 9 0    usr local bin watchman_x000D_
  Managers:_x000D_
    CocoaPods: 1 9 3    usr local bin pod_x000D_
  SDKs:_x000D_
    iOS SDK:_x000D_
      Platforms: iOS 13 5  DriverKit 19 0  macOS 10 15  tvOS 13 4  watchOS 6 2_x000D_
    Android SDK:_x000D_
      API Levels: 28  30_x000D_
      Build Tools: 28 0 3  30 0 0_x000D_
      System Images: android 30   Google Play Intel x86 Atom_x000D_
      Android NDK: Not Found_x000D_
  IDEs:_x000D_
    Android Studio: 4 0 AI 193 6911 18 40 6514223_x000D_
    Xcode: 11 5 11E608c    usr bin xcodebuild_x000D_
  Languages:_x000D_
    Java: 1 8 0 242 release    Applications Android Studio app Contents jre jdk Contents Home bin javac_x000D_
    Python: 2 7 16    usr bin python_x000D_
  npmPackages:_x000D_
     react native community cli: Not Found_x000D_
    react: 16 11 0    16 11 0_x000D_
    react native: 0 62 2    0 62 2_x000D_
_x000D_
react native track player:  1 1 8  _x000D_
Running on a pixel2 emulator with API 30 _x000D_
_x000D_
  Code  _x000D_
No code  the installation itself causes the crash  (works on ios)_x000D_
_x000D_
_x000D_
</t>
  </si>
  <si>
    <t>Azure-azure-sdk-for-android-250</t>
  </si>
  <si>
    <t>app crashes on init of AzureData; Unable to invoke no-args constructor for class com.azure.data.model.service.ResourceLocation</t>
  </si>
  <si>
    <t xml:space="preserve">    Environment_x000D_
  Android version multiple in range from 6 0 :_x000D_
  Azure Android SDK: _x000D_
  Azure Android SDK version: 0 4 0_x000D_
_x000D_
    Bug Summary_x000D_
2020 07 01 15:30:28 500 16055 16068   E zygote64: Failed sending reply to debugger: Broken pipe_x000D_
2020 07 01 15:30:40 584 16055 16187 sogo android sogogolf E AndroidRuntime: FATAL EXCEPTION: pool 10 thread 1_x000D_
    Process: sogo android sogogolf  PID: 16055_x000D_
    java lang RuntimeException: Unable to invoke no args constructor for class com azure data model service ResourceLocation  Registering an InstanceCreator with Gson for this type may fix this problem _x000D_
        at com google gson internal ConstructorConstructor 14 construct(ConstructorConstructor java:228)_x000D_
        at com google gson internal bind ReflectiveTypeAdapterFactory Adapter read(ReflectiveTypeAdapterFactory java:212)_x000D_
        at com google gson internal bind ReflectiveTypeAdapterFactory 1 read(ReflectiveTypeAdapterFactory java:131)_x000D_
        at com google gson internal bind ReflectiveTypeAdapterFactory Adapter read(ReflectiveTypeAdapterFactory java:222)_x000D_
        at com google gson Gson fromJson(Gson java:927)_x000D_
        at com google gson Gson fromJson(Gson java:892)_x000D_
        at com google gson Gson fromJson(Gson java:841)_x000D_
        at com google gson Gson fromJson(Gson java:813)_x000D_
        at com azure data util json ResourceWriteOperationAdapter deserializeDetails(ResourceWriteOperationAdapter kt:93)_x000D_
        at com azure data util json ResourceWriteOperationAdapter deserialize(ResourceWriteOperationAdapter kt:37)_x000D_
        at com azure data util json ResourceWriteOperationAdapter deserialize(ResourceWriteOperationAdapter kt:15)_x000D_
        at com google gson internal bind TreeTypeAdapter read(TreeTypeAdapter java:69)_x000D_
        at com google gson Gson fromJson(Gson java:927)_x000D_
        at com google gson Gson fromJson(Gson java:892)_x000D_
        at com google gson Gson fromJson(Gson java:841)_x000D_
        at com google gson Gson fromJson(Gson java:813)_x000D_
        at com azure data service ResourceWriteOperationQueue load  inlined safeExecute lambda 1 run(ResourceWriteOperationQueue kt:133)_x000D_
        at java util concurrent ThreadPoolExecutor runWorker(ThreadPoolExecutor java:1162)_x000D_
        at java util concurrent ThreadPoolExecutor Worker run(ThreadPoolExecutor java:636)_x000D_
        at java lang Thread run(Thread java:764)_x000D_
     Caused by: java lang UnsupportedOperationException: Abstract class can t be instantiated  Class name: com azure data model service ResourceLocation_x000D_
        at com google gson internal UnsafeAllocator assertInstantiable(UnsafeAllocator java:120)_x000D_
        at com google gson internal UnsafeAllocator 1 newInstance(UnsafeAllocator java:49)_x000D_
        at com google gson internal ConstructorConstructor 14 construct(ConstructorConstructor java:225)_x000D_
        at com google gson internal bind ReflectiveTypeAdapterFactory Adapter read(ReflectiveTypeAdapterFactory java:212) _x000D_
        at com google gson internal bind ReflectiveTypeAdapterFactory 1 read(ReflectiveTypeAdapterFactory java:131) _x000D_
        at com google gson internal bind ReflectiveTypeAdapterFactory Adapter read(ReflectiveTypeAdapterFactory java:222) _x000D_
        at com google gson Gson fromJson(Gson java:927) _x000D_
        at com google gson Gson fromJson(Gson java:892) _x000D_
        at com google gson Gson fromJson(Gson java:841) _x000D_
        at com google gson Gson fromJson(Gson java:813) _x000D_
        at com azure data util json ResourceWriteOperationAdapter deserializeDetails(ResourceWriteOperationAdapter kt:93) _x000D_
        at com azure data util json ResourceWriteOperationAdapter deserialize(ResourceWriteOperationAdapter kt:37) _x000D_
        at com azure data util json ResourceWriteOperationAdapter deserialize(ResourceWriteOperationAdapter kt:15) _x000D_
        at com google gson internal bind TreeTypeAdapter read(TreeTypeAdapter java:69) _x000D_
        at com google gson Gson fromJson(Gson java:927) _x000D_
        at com google gson Gson fromJson(Gson java:892) _x000D_
        at com google gson Gson fromJson(Gson java:841) _x000D_
        at com google gson Gson fromJson(Gson java:813) _x000D_
        at com azure data service ResourceWriteOperationQueue load  inlined safeExecute lambda 1 run(ResourceWriteOperationQueue kt:133) _x000D_
        at java util concurrent ThreadPoolExecutor runWorker(ThreadPoolExecutor java:1162) _x000D_
        at java util concurrent ThreadPoolExecutor Worker run(ThreadPoolExecutor java:636) _x000D_
        at java lang Thread run(Thread java:764) _x000D_
_x000D_
_x000D_
    Steps to Reproduce_x000D_
Thats a tough one unf  It seems that somehow AzureData gets into a state where it will no longer initialise  When that happens  the app will crash at the very first call to init AzureData  ie _x000D_
_x000D_
   AzureData configure(applicationContext  COSMOS ACCOUNT NAME  COSMOS MASTER KEY  PermissionMode All    or PermissionMode Read   )   _x000D_
_x000D_
    Expected Behavior_x000D_
doesnt crash app_x000D_
_x000D_
    Actual Behavior_x000D_
crashes app _x000D_
_x000D_
Really appreciate if someone can look into this as its affecting multiple of our Android users</t>
  </si>
  <si>
    <t>HappyPeng2x-SumatoraDictionary-7</t>
  </si>
  <si>
    <t>Bad input sanitization?</t>
  </si>
  <si>
    <t xml:space="preserve">    Expected Behavior_x000D_
The application shouldn t crash _x000D_
    Actual Behavior_x000D_
When searching for with     in any part of the query  the application crashes _x000D_
    How to Reproduce_x000D_
Just search something like        blah    blah    or  bl ah        does not cause a crash </t>
  </si>
  <si>
    <t>deltachat-deltachat-android-1462</t>
  </si>
  <si>
    <t>Manual upgrade to 1.10.x does not work</t>
  </si>
  <si>
    <t xml:space="preserve">    _x000D_
This is a bug report tracker  New features are discussed in the forum: https:  support delta chat_x000D_
Please fill out as much of this form as you can (leaving out stuff that is not applicable is ok) _x000D_
   _x000D_
_x000D_
  Operating System (Linux Mac Windows iOS Android): Android_x000D_
  Delta Chat Version: 1 8 1 Play Store Version_x000D_
  Expected behavior: Upgrade to 1 10 x works without problems_x000D_
  Actual behavior: After upgrading  Delta Chat crashes directly after start_x000D_
  Steps to reproduce the problem:_x000D_
    Installed and setuped Version 1 8 1 Play Store Version_x000D_
    Download 1 10 x gplay from get delta chat_x000D_
    Update manually from 1 8 1 to 1 10 x_x000D_
  Phone: Galaxy A3 2017 (SM A320FL)_x000D_
  Operating Systen: LineageOS 16 0 (Android 9)_x000D_
_x000D_
I didn t try a clean install yet and 1 10 x isn t available for me from the gplay yet </t>
  </si>
  <si>
    <t>react-native-webrtc-react-native-webrtc-816</t>
  </si>
  <si>
    <t>App crashes when calling mediaDevices.getUserMedia</t>
  </si>
  <si>
    <t xml:space="preserve">    _x000D_
If you have a question  please ask it in our community: https:  react native webrtc discourse group _x000D_
_x000D_
If you want to report a bug  you are in the right place _x000D_
_x000D_
Please include as much information as possible and make the issue title_x000D_
as descriptive as you can _x000D_
   _x000D_
_x000D_
     Expected behavior_x000D_
Display video normally_x000D_
     Observerd behavior_x000D_
Call mediaDevices getUserMedia(constraints)  app crashes_x000D_
     Steps to reproduce the problem_x000D_
code:_x000D_
   _x000D_
const isFront   true _x000D_
    const devices   await mediaDevices enumerateDevices() _x000D_
_x000D_
    const facing   isFront    front  :  environment  _x000D_
    const videoSourceId   devices find(device    device kind      videoinput     device facing     facing) _x000D_
    const facingMode    isFront    user  :  environment  _x000D_
    const constraints    _x000D_
        audio: true _x000D_
        video:  _x000D_
            mandatory:  _x000D_
                minWidth: 500     Provide your own width  height and frame rate here_x000D_
                minHeight: 300 _x000D_
                minFrameRate: 30 _x000D_
              _x000D_
            facingMode _x000D_
            optional: videoSourceId     sourceId: videoSourceId   :    _x000D_
          _x000D_
      _x000D_
    return await mediaDevices getUserMedia(constraints) _x000D_
   _x000D_
     Platform information_x000D_
_x000D_
    React Native version  : 0 61 5_x000D_
    Plugin version  : 1 75 3_x000D_
    OS  : iOS _x000D_
    OS version  : 13 _x000D_
</t>
  </si>
  <si>
    <t>Inversion-NL-Toon-Android-31</t>
  </si>
  <si>
    <t>0.5.10 crashes on convertFromTemperature while updating data</t>
  </si>
  <si>
    <t xml:space="preserve">  Describe the bug  _x000D_
0 5 10 crashes on convertFromTemperature while updating data_x000D_
_x000D_
  To Reproduce  _x000D_
Steps to reproduce the behavior:_x000D_
Update data_x000D_
_x000D_
  App version (please complete the following information):  _x000D_
   App version 0 5 10_x000D_
_x000D_
  Additional context or information  _x000D_
   _x000D_
com google gson JsonSyntaxException: _x000D_
  at com google gson internal bind ReflectiveTypeAdapterFactory Adapter read (ReflectiveTypeAdapterFactory java:226)_x000D_
  at com google gson Gson fromJson (Gson java:932)_x000D_
  at com google gson Gson fromJson (Gson java:897)_x000D_
  at com google gson Gson fromJson (Gson java:846)_x000D_
  at com google gson Gson fromJson (Gson java:817)_x000D_
  at com toonapps toon data Converter convertFromTemperature (Converter java:19)_x000D_
  at com toonapps toon data RestClient 25 onResponse (RestClient java:378)_x000D_
  at com toonapps toon data RestClient 25 onResponse (RestClient java:375)_x000D_
  at com android volley toolbox StringRequest deliverResponse (StringRequest java:82)_x000D_
  at com android volley toolbox StringRequest deliverResponse (StringRequest java:29)_x000D_
  at com android volley ExecutorDelivery ResponseDeliveryRunnable run (ExecutorDelivery java:102)_x000D_
  at android os Handler handleCallback (Handler java:883)_x000D_
  at android os Handler dispatchMessage (Handler java:100)_x000D_
  at android os Looper loop (Looper java:237)_x000D_
  at android app ActivityThread main (ActivityThread java:7857)_x000D_
  at java lang reflect Method invoke (Native Method)_x000D_
  at com android internal os RuntimeInit MethodAndArgsCaller run (RuntimeInit java:493)_x000D_
  at com android internal os ZygoteInit main (ZygoteInit java:1076)_x000D_
Caused by: java lang IllegalStateException: _x000D_
  at com google gson stream JsonReader beginObject (JsonReader java:386)_x000D_
  at com google gson internal bind ReflectiveTypeAdapterFactory Adapter read (ReflectiveTypeAdapterFactory java:215)_x000D_
   _x000D_
</t>
  </si>
  <si>
    <t>material-components-material-components-android-1451</t>
  </si>
  <si>
    <t>[MaterialDatePicker] Lot of crash</t>
  </si>
  <si>
    <t xml:space="preserve">MaterialDatePicker is crashing all the time_x000D_
_x000D_
  Here is my codes  _x000D_
_x000D_
   _x000D_
  style name  AppTheme  parent  Theme MaterialComponents Light DarkActionBar Bridge  _x000D_
             Customize your theme here     _x000D_
         item name  colorPrimary   color colorPrimary  item _x000D_
         item name  colorPrimaryDark   color colorPrimaryDark  item _x000D_
         item name  colorAccent   color colorAccent  item _x000D_
         item name  materialCalendarFullscreenTheme  _x000D_
             style CustomThemeOverlay MaterialCalendar Fullscreen_x000D_
          item _x000D_
      style _x000D_
   _x000D_
_x000D_
     style name  CustomThemeOverlay MaterialCalendar Fullscreen  parent   style ThemeOverlay MaterialComponents MaterialCalendar Fullscreen  _x000D_
         item name  materialCalendarStyle   style Custom MaterialCalendar Fullscreen  item _x000D_
         item name  colorSurface   FFFFFF  item _x000D_
      style _x000D_
_x000D_
     style name  Custom MaterialCalendar Fullscreen  parent   style Widget MaterialComponents MaterialCalendar Fullscreen  _x000D_
         item name  android:windowFullscreen  false  item _x000D_
      style _x000D_
_x000D_
_x000D_
  then  _x000D_
_x000D_
        val builder   MaterialDatePicker Builder dateRangePicker()_x000D_
        builder setTheme(R style CustomThemeOverlay MaterialCalendar Fullscreen)_x000D_
_x000D_
when I remove the   colorSurface   field  then I get the   colorSurface error   thing_x000D_
_x000D_
when I have it I get this :_x000D_
_x000D_
android view InflateException: Binary XML file line  23: Binary XML file line  17: Error inflating class TextView_x000D_
    Caused by: android view InflateException: Binary XML file line  17: Error inflating class TextView_x000D_
    Caused by: java lang UnsupportedOperationException: Failed to resolve attribute at index 5: TypedValue t 0x2 d 0x7f0300ab a 2 _x000D_
        at android content res TypedArray getColorStateList(TypedArray java:546)_x000D_
_x000D_
  at com google android material datepicker MaterialDatePicker onCreateView(MaterialDatePicker java:209)  _x000D_
_x000D_
WTF going on _x000D_
_x000D_
I just using _x000D_
_x000D_
implementation( com google android material:material:1 3 0 alpha01 )_x000D_
_x000D_
the same with the Bridge style_x000D_
_x000D_
_x000D_
When I using the built in style with the 1 3 0 alpha01_x000D_
_x000D_
builder setTheme(R style ThemeOverlay MaterialComponents MaterialCalendar)_x000D_
_x000D_
  Then I get the same:  _x000D_
_x000D_
java lang IllegalArgumentException: com google android material datepicker MaterialDatePicker requires a value    _x000D_
attr colorSurface attribute to be set in your app theme  You can either set the attribute in your theme or update your theme to inherit from Theme MaterialComponents (or a descendant) _x000D_
_x000D_
_x000D_
</t>
  </si>
  <si>
    <t>Anuken-Mindustry-2198</t>
  </si>
  <si>
    <t>inconsistant zooming keybind</t>
  </si>
  <si>
    <t xml:space="preserve">  Platform  :  Android iOS Mac Windows Linux _x000D_
Windows steam_x000D_
  Build  :  The build number under the title in the main menu  Required  _x000D_
104 10_x000D_
  Issue  :  Explain your issue in detail  _x000D_
scrolling to zoom and scrolling to rotate are unintuitive  causing confusion_x000D_
  Steps to reproduce  :  How you happened across the issue  and what you were doing at the time  _x000D_
if nothing is selected: scrolling normally zooms in and out_x000D_
if schematic rotateable block selected: scrolling rotates the schematic block  and ctrl scrolling zooms in and out_x000D_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</si>
  <si>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Anuken-Mindustry-2197</t>
  </si>
  <si>
    <t>editor not prompting to save</t>
  </si>
  <si>
    <t xml:space="preserve">  Platform  :  Android iOS Mac Windows Linux _x000D_
Windows (steam)_x000D_
  Build  :  The build number under the title in the main menu  Required  _x000D_
104 10_x000D_
  Issue  :  Explain your issue in detail  _x000D_
map editor: editing ingame  going back to the regular editor  and exiting doesn t prompt you to save_x000D_
(just exiting normally does prompt you to save)_x000D_
  Steps to reproduce  :  How you happened across the issue  and what you were doing at the time  _x000D_
create a new map  press the edit in game button  press escape  press exit  press escape again  press exit  no prompt to save_x000D_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</si>
  <si>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brodeurlv-fastnfitness-142</t>
  </si>
  <si>
    <t>Crash after deleting a program that is in progress</t>
  </si>
  <si>
    <t xml:space="preserve">If you start a program  then go to delete it without first stopping it  then the next time you go back into  Workout  the application will crash  It will be stuck in a crash loop _x000D_
_x000D_
  To Reproduce  _x000D_
Steps to reproduce the behavior:_x000D_
1  Create a test program with any exercise _x000D_
2  Go to Workout    Program  select your new program and click  Start Program  _x000D_
3  Go to Program list  select your test program and delete it _x000D_
4  Go back to Workout  The application will crash _x000D_
_x000D_
  Expected behavior  _x000D_
If a workout that is in progress gets deleted  simply stop it _x000D_
_x000D_
  Additional context  _x000D_
I reproduced this one while playing around a bit  It looks like when you go back into the Workout page  there is a refresh that happens and it is trying to access a Program that does not exist anymore  Problem is that even if the program was deleted  it is still inside the mDbWorkoutHistory and set as running _x000D_
_x000D_
I can look into this and fix it  it will help me familiarize myself with the code </t>
  </si>
  <si>
    <t>labexp-osmtracker-android-258</t>
  </si>
  <si>
    <t xml:space="preserve">Can't upload </t>
  </si>
  <si>
    <t xml:space="preserve">Now every time I try to upload  it just says export successfully and then the app crashes  But I didn t intend to export  I intended to upload </t>
  </si>
  <si>
    <t>LN-Zap-zap-android-204</t>
  </si>
  <si>
    <t>Unhandled NullReferenceException when reading LNURL</t>
  </si>
  <si>
    <t xml:space="preserve">   Description_x000D_
When scanning a withdrawal LNURL  that has no URL Query data  the application crashes  Scanning a LNURL should never crash the Application _x000D_
_x000D_
   Expected Behavior_x000D_
Scan a withdrawal LNURL  Withdrawal UI opens _x000D_
_x000D_
   Actual Behavior_x000D_
Application crashes because of NullReferenceExeption  if LNURL has no Query_x000D_
_x000D_
   Possible Fix_x000D_
Check if the decoded LNURL has a Query before trying to use it  Class: LnUrlUtil Method: readLnUrl_x000D_
_x000D_
NullReferenceException when using  contains on  null  query:_x000D_
   _x000D_
decodedUrl   new URL(decodedLnUrl) _x000D_
if (decodedUrl getQuery() contains( tag login ))  _x000D_
  listener onError(ctx getString(R string lnurl unsupported type)  RefConstants ERROR DURATION MEDIUM) _x000D_
  return _x000D_
 _x000D_
   _x000D_
_x000D_
Fixed:_x000D_
   _x000D_
decodedUrl   new URL(decodedLnUrl) _x000D_
if(decodedUrl getQuery()    null)  _x000D_
  if (decodedUrl getQuery() contains( tag login ))  _x000D_
    listener onError(ctx getString(R string lnurl unsupported type)  RefConstants ERROR DURATION MEDIUM) _x000D_
    return _x000D_
   _x000D_
 _x000D_
   _x000D_
_x000D_
   Steps to Reproduce_x000D_
Scan a LNURL like:_x000D_
LNURL1DP68GURN8GHJ7MRWVF5HGUEWVDHK6TMHD96XSERJV9MJ7CTSDYHHVVF0D3H82UNV9AT8V6T5F3V82JNJGFENX3MP0PF4XW2HX445X0FCVZX_x000D_
Decoded:_x000D_
https:  lnbits com withdraw api v1 lnurl VvitLXuJrBs3GaxSS9W5kC</t>
  </si>
  <si>
    <t>TeamNewPipe-NewPipe-3823</t>
  </si>
  <si>
    <t>comments dont show</t>
  </si>
  <si>
    <t>amit-schwartz-u-rooMe-175</t>
  </si>
  <si>
    <t>BUG: app crashes with  java.lang.NullPointerException</t>
  </si>
  <si>
    <t xml:space="preserve">Every now and then when I open the app it crashes with the following error:_x000D_
_x000D_
2020 06 27 21:55:13 300 22305 22305 com example roome E AndroidRuntime: FATAL EXCEPTION: main_x000D_
    Process: com example roome  PID: 22305_x000D_
    java lang RuntimeException: Unable to start activity ComponentInfo com example roome com example roome MainActivityApartmentSearcher : java lang NullPointerException: Attempt to invoke virtual method  com google firebase database DataSnapshot com google firebase database DataSnapshot child(java lang String)  on a null object reference_x000D_
        at android app ActivityThread performLaunchActivity(ActivityThread java:2957)_x000D_
        at android app ActivityThread handleLaunchActivity(ActivityThread java:3032)_x000D_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com google firebase database DataSnapshot com google firebase database DataSnapshot child(java lang String)  on a null object reference_x000D_
        at com example roome FirebaseMediate getApartmentSearcherUserByUid(FirebaseMediate java:216)_x000D_
        at com example roome MainActivityApartmentSearcher getCurrentApartmentSearcherUser(MainActivityApartmentSearcher java:279)_x000D_
        at com example roome MainActivityApartmentSearcher onCreate(MainActivityApartmentSearcher java:68)_x000D_
        at android app Activity performCreate(Activity java:7183)_x000D_
        at android app Instrumentation callActivityOnCreate(Instrumentation java:1220)_x000D_
        at android app ActivityThread performLaunchActivity(ActivityThread java:2910)_x000D_
        at android app ActivityThread handleLaunchActivity(ActivityThread java:3032) _x000D_
        at android app ActivityThread  wrap11(Unknown Source:0) _x000D_
        at android app ActivityThread H handleMessage(ActivityThread java:1696) _x000D_
        at android os Handler dispatchMessage(Handler java:105) _x000D_
        at android os Looper loop(Looper java:164) _x000D_
        at android app ActivityThread main(ActivityThread java:6944) _x000D_
        at java lang reflect Method invoke(Native Method) _x000D_
        at com android internal os Zygote MethodAndArgsCaller run(Zygote java:327) _x000D_
        at com android internal os ZygoteInit main(ZygoteInit java:1374) _x000D_
</t>
  </si>
  <si>
    <t>google-ExoPlayer-7549</t>
  </si>
  <si>
    <t>Assertion crashes app for HLS from SampleQueue.discardUpstreamSampleMetadata</t>
  </si>
  <si>
    <t xml:space="preserve">     REQUIRED  Issue description_x000D_
I m seeing uncaught exceptions in Crashlytics coming from ExoPlayer:_x000D_
   _x000D_
Fatal Exception: java lang IllegalArgumentException_x000D_
       at com google android exoplayer2 util Assertions checkArgument(Assertions java:39)_x000D_
       at com google android exoplayer2 source SampleQueue discardUpstreamSampleMetadata(SampleQueue java:770)_x000D_
       at com google android exoplayer2 source SampleQueue discardUpstreamSamples(SampleQueue java:195)_x000D_
       at com google android exoplayer2 source hls HlsSampleStreamWrapper discardUpstreamMediaChunksFromIndex(HlsSampleStreamWrapper java:1134)_x000D_
       at com google android exoplayer2 source hls HlsSampleStreamWrapper discardUpstream(HlsSampleStreamWrapper java:910)_x000D_
       at com google android exoplayer2 source hls HlsSampleStreamWrapper onLoadCanceled(HlsSampleStreamWrapper java:786)_x000D_
       at com google android exoplayer2 source hls HlsSampleStreamWrapper onLoadCanceled(HlsSampleStreamWrapper java:88)_x000D_
       at com google android exoplayer2 upstream Loader LoadTask handleMessage(Loader java:473)_x000D_
       at android os Handler dispatchMessage(Handler java:106)_x000D_
       at android os Looper loop(Looper java:164)_x000D_
       at android os HandlerThread run(HandlerThread java:65)_x000D_
   _x000D_
_x000D_
     REQUIRED  Reproduction steps_x000D_
Issue is observed via crashlytics on users devices  App does not request player to stop cancel playback  Here are last messages right before assertion fails:_x000D_
   _x000D_
13:18:08 main D  EventLogger: timeline  eventTime 1072 81  mediaPos 23 46  window 0  period 0  periodCount 1  windowCount 1  reason SOURCE UPDATE_x000D_
13:18:08 main D  EventLogger:   period    _x000D_
13:18:08 main D  EventLogger:   window  60 00  true  true _x000D_
13:18:08 main D  EventLogger:  _x000D_
13:18:19 main D  EventLogger: timeline  eventTime 1084 01  mediaPos 24 66  window 0  period 0  periodCount 1  windowCount 1  reason SOURCE UPDATE_x000D_
13:18:19 main D  EventLogger:   period    _x000D_
13:18:19 main D  EventLogger:   window  60 00  true  true _x000D_
13:18:19 main D  EventLogger:  _x000D_
13:18:31 main D  EventLogger: timeline  eventTime 1095 17  mediaPos 15 81  window 0  period 0  periodCount 1  windowCount 1  reason SOURCE UPDATE_x000D_
13:18:31 main D  EventLogger:   period    _x000D_
13:18:31 main D  EventLogger:   window  60 00  true  true _x000D_
13:18:31 main D  EventLogger:  _x000D_
13:18:34 main E  EventLogger: audioTrackUnderrun  eventTime 1099 00  mediaPos 19 28  window 0  period 0  65600  341  666  _x000D_
13:18:35 main E  EventLogger: audioTrackUnderrun  eventTime 1099 38  mediaPos 19 54  window 0  period 0  65600  341  117  _x000D_
13:18:35 main D  EventLogger: timeline  eventTime 1099 48  mediaPos 9 92  window 0  period 0  periodCount 1  windowCount 1  reason SOURCE UPDATE_x000D_
13:18:35 main D  EventLogger:   period    _x000D_
13:18:35 main D  EventLogger:   window  60 00  true  true _x000D_
13:18:35 main D  EventLogger:  _x000D_
13:18:36 main E  EventLogger: audioTrackUnderrun  eventTime 1100 51  mediaPos 10 26  window 0  period 0  65600  341  335  _x000D_
13:18:38 main D  EventLogger: droppedFrames  eventTime 1102 34  mediaPos 11 07  window 0  period 0  50 _x000D_
13:18:46 main D  EventLogger: timeline  eventTime 1110 65  mediaPos 9 38  window 0  period 0  periodCount 1  windowCount 1  reason SOURCE UPDATE_x000D_
13:18:46 main D  EventLogger:   period    _x000D_
13:18:46 main D  EventLogger:   window  60 00  true  true _x000D_
13:18:46 main D  EventLogger:  _x000D_
13:18:50 main E  EventLogger: audioTrackUnderrun  eventTime 1114 70  mediaPos 13 02  window 0  period 0  65600  341  740  _x000D_
13:18:51 main D  EventLogger: droppedFrames  eventTime 1115 17  mediaPos 13 62  window 0  period 0  50 _x000D_
13:18:54 main E  EventLogger: audioTrackUnderrun  eventTime 1119 14  mediaPos 17 20  window 0  period 0  65600  341  217  _x000D_
13:18:55 main E  EventLogger: audioTrackUnderrun  eventTime 1119 56  mediaPos 17 58  window 0  period 0  65600  341  219  _x000D_
13:18:55 main D  EventLogger: timeline  eventTime 1119 69  mediaPos 17 67  window 0  period 0  periodCount 1  windowCount 1  reason SOURCE UPDATE_x000D_
13:18:55 main D  EventLogger:   period    _x000D_
13:18:55 main D  EventLogger:   window  60 00  true  true _x000D_
13:18:55 main D  EventLogger:  _x000D_
13:18:55 main E  EventLogger: audioTrackUnderrun  eventTime 1119 86  mediaPos 17 67  window 0  period 0  65600  341  291  _x000D_
13:18:56 main E  EventLogger: audioTrackUnderrun  eventTime 1121 12  mediaPos 18 78  window 0  period 0  65600  341  333  _x000D_
13:18:57 main D  EventLogger: droppedFrames  eventTime 1121 91  mediaPos 19 80  window 0  period 0  50 _x000D_
13:19:00 r:Playback E  UncaughtExceptionHandler: Uncaught exception java lang IllegalArgumentException: null_x000D_
   _x000D_
_x000D_
     REQUIRED  Link to test content_x000D_
not applicable_x000D_
_x000D_
     REQUIRED  A full bug report captured from the device_x000D_
not applicable_x000D_
_x000D_
     REQUIRED  Version of ExoPlayer being used_x000D_
  dev v2 2 11 4 (dac3dde7bb8d79e785f65b0c0c7b7425f41dffa6)_x000D_
_x000D_
Version which was used before this one and did not have such issue: dfec0338c59e6e651a7b1acadd9687c682f6de6c_x000D_
_x000D_
     REQUIRED  Device(s) and version(s) of Android being used_x000D_
  Xiaomi mibox  mibox s _x000D_
  BRAVIA 4K GB ATV3  BRAVIA 4K GB_x000D_
  TCL Beyond TV_x000D_
  Android 9  8 (60  40 )_x000D_
</t>
  </si>
  <si>
    <t>woesss-JL-Mod-7</t>
  </si>
  <si>
    <t>Game failed to Open and Crashes</t>
  </si>
  <si>
    <t xml:space="preserve">  Build version:  _x000D_
b071 MC b096_x000D_
  Game version:  _x000D_
Any_x000D_
  Game resolution:  _x000D_
Any_x000D_
  Device model:  _x000D_
Oppo A5s_x000D_
  Android version:  _x000D_
8 1 0_x000D_
  Description of the issue:  _x000D_
Why the Java Game doesn t open and crashes  while I m using the latest version  I played Diamond Rush  but nothing happen it started to blank  and I don t see the keyboard then i tap it and crashes  My solution is tried to reinstalled for Previous version and will be worked  Is there for problem for Latest Version to this error _x000D_
Anyway thanks for the J2me mod  :)_x000D_
  Screenshot 2020 06 26 17 45 59 35 (https:  user images githubusercontent com 67462068 85844533 75c54100 b7d5 11ea 8810 b2037110a35a jpg)_x000D_
  Screenshot 2020 06 26 17 46 06 49 (https:  user images githubusercontent com 67462068 85844585 8bd30180 b7d5 11ea 8ec1 a07ef0eb86f4 jpg)_x000D_
</t>
  </si>
  <si>
    <t>react-native-cameraroll-react-native-cameraroll-208</t>
  </si>
  <si>
    <t>iOS crash when filtering by groupName with shared album</t>
  </si>
  <si>
    <t xml:space="preserve">  Bug report_x000D_
_x000D_
_x000D_
   Summary_x000D_
_x000D_
When trying to getPhotos with a shared album the function crashes _x000D_
_x000D_
   _x000D_
Exception          NSPlaceholderDictionary initWithObjects:forKeys:count: : attempt to insert nil object from objects 4   was thrown while invoking getPhotos on target RNCCameraRoll with params (_x000D_
         _x000D_
        assetType   All _x000D_
        first   100 _x000D_
        groupName    Paulina und Dennis  _x000D_
        groupTypes   Album _x000D_
      _x000D_
    1846 _x000D_
    1847_x000D_
)_x000D_
callstack: (_x000D_
	0   CoreFoundation                      0x00000001863f57a8 50CF3336 313F 3A7D 9048 CB1ED8EC3368   1222568_x000D_
	1   libobjc A dylib                     0x0000000186117bcc objc exception throw   56_x000D_
	2   CoreFoundation                      0x000000018644b2dc 50CF3336 313F 3A7D 9048 CB1ED8EC3368   1573596_x000D_
	3   CoreFoundation                      0x0000000186454744 50CF3336 313F 3A7D 9048 CB1ED8EC3368   1611588_x000D_
	4   CoreFoundation                      0x00000001862e31fc 50CF3336 313F 3A7D 9048 CB1ED8EC3368   98812_x000D_
	5   CoreFoundation                      0x00000001862d5204 50CF3336 313F 3A7D 9048 CB1ED8EC3368   41476_x000D_
	6   Printlist                           0x0000000103431390   49  RNCCameraRollManager getPhotos:resolve:reject:  block invoke 2   3108_x000D_
	7   CoreFoundation                      0x00000001863c8e20 50CF3336 313F 3A7D 9048 CB1ED8EC3368   1039904_x000D_
	8   CoreFoundation                      0x00000001863c944c 50CF3336 313F 3A7D 9048 CB1ED8EC3368   1041484_x000D_
	9   Photos                              0x0000000191b6cce8 AC87ADD9 922F 30CE 98E3 136990F74EBC   1838312_x000D_
	10  Printlist                           0x0000000103432458   49  RNCCameraRollManager getPhotos:resolve:reject:  block invoke 299   232_x000D_
	11  CoreFoundation                      0x00000001863c8e20 50CF3336 313F 3A7D 9048 CB1ED8EC3368   1039904_x000D_
	12  CoreFoundation                      0x00000001863c944c 50CF3336 313F 3A7D 9048 CB1ED8EC3368   1041484_x000D_
	13  Photos                              0x0000000191b6cce8 AC87ADD9 922F 30CE 98E3 136990F74EBC   1838312_x000D_
	14  Printlist                           0x0000000103430664   49  RNCCameraRollManager getPhotos:resolve:reject:  block invoke   728_x000D_
	15  Printlist                           0x000000010342ed74 requestPhotoLibraryAccess   204_x000D_
	16  Printlist                           0x0000000103430094   RNCCameraRollManager getPhotos:resolve:reject:    2980_x000D_
	17  CoreFoundation                      0x00000001863fb970 50CF3336 313F 3A7D 9048 CB1ED8EC3368   1247600_x000D_
	18  CoreFoundation                      0x00000001862ccbb0 50CF3336 313F 3A7D 9048 CB1ED8EC3368   7088_x000D_
	19  CoreFoundation                      0x00000001862cd788 50CF3336 313F 3A7D 9048 CB1ED8EC3368   10120_x000D_
	20  Printlist                           0x0000000102f5238c   RCTModuleMethod invokeWithBridge:module:arguments:    1860_x000D_
	21  Printlist                           0x0000000102f55dc0  ZN8facebook5reactL11invokeInnerEP9RCTBridgeP13RCTModuleDatajRKN5folly7dynamicE   648_x000D_
	22  Printlist                           0x0000000102f55958  ZZN8facebook5react15RCTNativeModule6invokeEjON5folly7dynamicEiENK3  0clEv   144_x000D_
	23  Printlist                           0x0000000102f558bc    ZN8facebook5react15RCTNativeModule6invokeEjON5folly7dynamicEi block invoke   28_x000D_
	24  libdispatch dylib                   0x0000000105a5a338  dispatch call block and release   24_x000D_
	25  libdispatch dylib                   0x0000000105a5b730  dispatch client callout   16_x000D_
	26  libdispatch dylib                   0x0000000105a62740  dispatch lane serial drain   744_x000D_
	27  libdispatch dylib                   0x0000000105a632e0  dispatch lane invoke   444_x000D_
	28  libdispatch dylib                   0x0000000105a6e6c4  dispatch workloop worker thread   1304_x000D_
	29  libsystem pthread dylib             0x000000018610cb74  pthread wqthread   272_x000D_
	30  libsystem pthread dylib             0x000000018610f740 start wqthread   8_x000D_
)_x000D_
_x000D_
RCTFatal_x000D_
facebook::react::invokeInner(RCTBridge   RCTModuleData   unsigned int  folly::dynamic const )_x000D_
facebook::react::RCTNativeModule::invoke(unsigned int  folly::dynamic    int)::  0::operator()() const_x000D_
invocation function for block in facebook::react::RCTNativeModule::invoke(unsigned int  folly::dynamic    int)_x000D_
 dispatch call block and release_x000D_
 dispatch client callout_x000D_
 dispatch lane serial drain_x000D_
 dispatch lane invoke_x000D_
 dispatch workloop worker thread_x000D_
 pthread wqthread_x000D_
start wqthread_x000D_
   _x000D_
_x000D_
   Environment info_x000D_
_x000D_
iOS 13_x000D_
_x000D_
 react native info  output:_x000D_
_x000D_
   bash_x000D_
System:_x000D_
    OS: macOS 10 15 4_x000D_
    CPU: (8) x64 Intel(R) Core(TM) i7 8569U CPU   2 80GHz_x000D_
    Memory: 643 54 MB   16 00 GB_x000D_
    Shell: 5 7 1    bin zsh_x000D_
  Binaries:_x000D_
    Node: 12 7 0      nvm versions node v12 7 0 bin node_x000D_
    Yarn: 1 22 4      nvm versions node v12 7 0 bin yarn_x000D_
    npm: 6 10 0      nvm versions node v12 7 0 bin npm_x000D_
    Watchman: 4 9 0    usr local bin watchman_x000D_
  SDKs:_x000D_
    iOS SDK:_x000D_
      Platforms: iOS 13 5  DriverKit 19 0  macOS 10 15  tvOS 13 4  watchOS 6 2_x000D_
    Android SDK:_x000D_
      API Levels: 28  29_x000D_
      Build Tools: 28 0 3  29 0 0_x000D_
      System Images: android 28   Google APIs Intel x86 Atom  android 29   Google APIs Intel x86 Atom_x000D_
  IDEs:_x000D_
    Android Studio: 3 5 AI 191 8026 42 35 6010548_x000D_
    Xcode: 11 5 11E608c    usr bin xcodebuild_x000D_
  npmPackages:_x000D_
    react: 16 11 0    16 11 0 _x000D_
    react native: 0 62 2    0 62 2 _x000D_
  npmGlobalPackages:_x000D_
    react native rename: 2 4 1_x000D_
    react native: 0 61 5_x000D_
   _x000D_
_x000D_
Library version: 4 0 0_x000D_
_x000D_
   Steps to reproduce_x000D_
_x000D_
1  Create a shared album  ABC _x000D_
2  Run the code: _x000D_
_x000D_
   _x000D_
        const result   await CameraRoll getPhotos( _x000D_
          first: 100 _x000D_
          groupTypes:  Album  _x000D_
          groupName:  ABC  _x000D_
         ) _x000D_
   _x000D_
_x000D_
Describe what you expected to happen:_x000D_
_x000D_
1  Get photos and don t crash _x000D_
_x000D_
   Reproducible sample code_x000D_
_x000D_
      const cameraAlbums   await CameraRoll getAlbums( _x000D_
        assetType:  All  _x000D_
       ) _x000D_
_x000D_
      for (const album of cameraAlbums)  _x000D_
        const result   await CameraRoll getPhotos( _x000D_
          first: 100 _x000D_
          groupTypes:  Album  _x000D_
          groupName: album title _x000D_
         ) _x000D_
_x000D_
        console log(result edges length) _x000D_
       </t>
  </si>
  <si>
    <t>inaturalist-iNaturalistAndroid-853</t>
  </si>
  <si>
    <t>IllegalStateException in NearByProjectsTab</t>
  </si>
  <si>
    <t>https:  console firebase google com u 2 project inaturalist ios crashlytics app android:org inaturalist android issues 9d66fbed78abd11df0309ffbfe3197a9_x000D_
_x000D_
Also in guides section: https:  console firebase google com u 2 project inaturalist ios crashlytics app android:org inaturalist android issues f7cfa64154e063973b47e2d1bb0ead50_x000D_
_x000D_
   _x000D_
Fatal Exception: java lang IllegalStateException: Fragment NearByProjectsTab 5d40579 (a0c1d0ab 804e 40ab a418 1f0f31684d2f)  not attached to a context _x000D_
       at androidx fragment app Fragment requireContext(Fragment java:774)_x000D_
       at androidx fragment app Fragment getResources(Fragment java:838)_x000D_
       at org inaturalist android BaseProjectsTab getNoItemsFoundText(BaseProjectsTab java:39)_x000D_
       at org inaturalist android BaseTab loadProjectsIntoUI(BaseTab java:130)_x000D_
       at org inaturalist android BaseTab access 100(BaseTab java:38)_x000D_
       at org inaturalist android BaseTab ProjectsReceiver onReceive(BaseTab java:96)_x000D_
   _x000D_
_x000D_
1 19 x versions</t>
  </si>
  <si>
    <t>aws-amplify-amplify-android-599</t>
  </si>
  <si>
    <t>DataStore race condition fix and other stability-related fixes</t>
  </si>
  <si>
    <t xml:space="preserve"> Issue    if available:   541  581 Maybe:  589  563 _x000D_
_x000D_
 Description of changes: _x000D_
1   Modified clear() operation so it doesn t invoke beforeOperation like all the other API calls  This is because we need to stop the Orchestrator anyways before we can delete the database  After we remove the database and re initialize the storage adapter  we then make a call to re initialize the orchestrator asynchronously _x000D_
_x000D_
2   Modified beforeOperation so it doesn t call initializeOrchestrator  My thought is that operations against the DataStore should have little to no dependency on what the orchestrator is currently doing (with the exception of clear)  I believe this was in place as a mechanism to ensure the synchronization processes remain alive or are restarted as needed  I will put a separate PR together to fill this gap _x000D_
_x000D_
3   Added a semaphore to the  Orchestrator  to prevent race conditions when calling  start()   This shouldn t happen often except for cases where  clear()  is called immediately after Amplify initializes _x000D_
_x000D_
4   The change in  SubscriptionProcessor  is probably the most abstract one of the bunch  It has to do with the issues mentioned above  which are related to how RxJava lifecycle rules work  I m basically wrapping the envent emitter so I can check whether I can check whether the downstream subscriber has already been disposed  which happens when one of the AppSync subscriptions fails  I added a comment to  AmplifyDisposables  to go into more detail _x000D_
_x000D_
As I mentioned  there will be a follow up to this PR to fill the gap I mentioned in item 2  A more long term solution would be to re structure how we wire the streams  but it would require a fair amount of refactoring  I m hoping this will help with the fatal app crashes in the short term _x000D_
_x000D_
By submitting this pull request  I confirm that my contribution is made under the terms of the Apache 2 0 license _x000D_
</t>
  </si>
  <si>
    <t>jMonkeyEngine-sdk-278</t>
  </si>
  <si>
    <t>Vehicle editor crashes when opening it</t>
  </si>
  <si>
    <t>Vehicle editor crashes when opening it  It doesn t seem to able to load the model  There is something wrong with it clearly   _x000D_
 hs err pid13948 log (https:  github com jMonkeyEngine sdk files 4832181 hs err pid13948 log)_x000D_
_x000D_
_x000D_
https:  hub jmonkeyengine org t sdk vehicle editing direct flash back problem 43258</t>
  </si>
  <si>
    <t>open-webrtc-toolkit-owt-client-android-225</t>
  </si>
  <si>
    <t>Added ConferencePeerChannel null pointer checks, ConferencePeerConnec…</t>
  </si>
  <si>
    <t>Added ConferencePeerChannel null pointer checks  ConferencePeerConnectionChannel instances are created by ConferencePeerChannel getPeerConnection() but do not necessarily contain a publication or subscription_x000D_
_x000D_
This fix will prevent many crashes in our app</t>
  </si>
  <si>
    <t>nextcloud-android-6357</t>
  </si>
  <si>
    <t>App dev crash - Photos</t>
  </si>
  <si>
    <t>When choosing from the  Photos  menu  the app crashes _x000D_
_x000D_
   _x000D_
             CAUSE OF ERROR             _x000D_
_x000D_
java lang IllegalStateException: View  ListItemLayout  with ID 2131296262 for field  itemLayout  was of the wrong type  See cause for more info _x000D_
	at butterknife internal Utils castView(Utils java:105)_x000D_
	at butterknife internal Utils findRequiredViewAsType(Utils java:97)_x000D_
	at com owncloud android ui adapter OCFileListAdapter OCFileListGridImageViewHolder ViewBinding  init (OCFileListAdapter OCFileListGridImageViewHolder ViewBinding java:30)_x000D_
	at java lang reflect Constructor newInstance0(Native Method)_x000D_
	at java lang reflect Constructor newInstance(Constructor java:343)_x000D_
	at butterknife ButterKnife bind(ButterKnife java:170)_x000D_
	at com owncloud android ui adapter OCFileListAdapter OCFileListGridImageViewHolder  init (OCFileListAdapter java:1308)_x000D_
	at com owncloud android ui adapter OCFileListAdapter OCFileListGridImageViewHolder  init (OCFileListAdapter java:1281)_x000D_
	at com owncloud android ui adapter OCFileListAdapter onCreateViewHolder(OCFileListAdapter java:314)_x000D_
	at androidx recyclerview widget RecyclerView Adapter createViewHolder(RecyclerView java:7078)_x000D_
	at androidx recyclerview widget RecyclerView Recycler tryGetViewHolderForPositionByDeadline(RecyclerView java:6235)_x000D_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GridLayoutManager layoutChunk(GridLayoutManager java:561)_x000D_
	at androidx recyclerview widget LinearLayoutManager fill(LinearLayoutManager java:1587)_x000D_
	at androidx recyclerview widget LinearLayoutManager onLayoutChildren(LinearLayoutManager java:665)_x000D_
	at androidx recyclerview widget GridLayoutManager onLayoutChildren(GridLayoutManager java:170)_x000D_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java:22114)_x000D_
	at android view ViewGroup layout(ViewGroup java:6335)_x000D_
	at androidx swiperefreshlayout widget SwipeRefreshLayout onLayout(SwipeRefreshLayout java:625)_x000D_
	at android view View layout(View java:22114)_x000D_
	at android view ViewGroup layout(ViewGroup java:6335)_x000D_
	at com google android material appbar HeaderScrollingViewBehavior layoutChild(HeaderScrollingViewBehavior java:148)_x000D_
	at com google android material appbar ViewOffsetBehavior onLayoutChild(ViewOffsetBehavior java:43)_x000D_
	at com google android material appbar AppBarLayout ScrollingViewBehavior onLayoutChild(AppBarLayout java:1892)_x000D_
	at androidx coordinatorlayout widget CoordinatorLayout onLayout(CoordinatorLayout java:918)_x000D_
	at android view View layout(View java:22114)_x000D_
	at android view ViewGroup layout(ViewGroup java:6335)_x000D_
	at android widget RelativeLayout onLayout(RelativeLayout java:1103)_x000D_
	at android view View layout(View java:22114)_x000D_
	at android view ViewGroup layout(ViewGroup java:6335)_x000D_
	at android widget FrameLayout layoutChildren(FrameLayout java:334)_x000D_
	at android widget FrameLayout onLayout(FrameLayout java:270)_x000D_
	at android view View layout(View java:22114)_x000D_
	at android view ViewGroup layout(ViewGroup java:6335)_x000D_
	at android widget LinearLayout setChildFrame(LinearLayout java:1839)_x000D_
	at android widget LinearLayout layoutHorizontal(LinearLayout java:1828)_x000D_
	at android widget LinearLayout onLayout(LinearLayout java:1594)_x000D_
	at android view View layout(View java:22114)_x000D_
	at android view ViewGroup layout(ViewGroup java:6335)_x000D_
	at android widget LinearLayout setChildFrame(LinearLayout java:1839)_x000D_
	at android widget LinearLayout layoutVertical(LinearLayout java:1683)_x000D_
	at android widget LinearLayout onLayout(LinearLayout java:1592)_x000D_
	at android view View layout(View java:22114)_x000D_
	at android view ViewGroup layout(ViewGroup java:6335)_x000D_
	at androidx drawerlayout widget DrawerLayout onLayout(DrawerLayout java:1231)_x000D_
	at android view View layout(View java:22114)_x000D_
	at android view ViewGroup layout(ViewGroup java:6335)_x000D_
	at android widget FrameLayout layoutChildren(FrameLayout java:334)_x000D_
	at android widget FrameLayout onLayout(FrameLayout java:270)_x000D_
	at android view View layout(View java:22114)_x000D_
	at android view ViewGroup layout(ViewGroup java:6335)_x000D_
	at android widget FrameLayout layoutChildren(FrameLayout java:334)_x000D_
	at android widget FrameLayout onLayout(FrameLayout java:270)_x000D_
	at android view View layout(View java:22114)_x000D_
	at android view ViewGroup layout(ViewGroup java:6335)_x000D_
	at android widget FrameLayout layoutChildren(FrameLayout java:334)_x000D_
	at android widget FrameLayout onLayout(FrameLayout java:270)_x000D_
	at android view View layout(View java:22114)_x000D_
	at android view ViewGroup layout(ViewGroup java:6335)_x000D_
	at android widget LinearLayout setChildFrame(LinearLayout java:1839)_x000D_
	at android widget LinearLayout layoutVertical(LinearLayout java:1683)_x000D_
	at android widget LinearLayout onLayout(LinearLayout java:1592)_x000D_
	at android view View layout(View java:22114)_x000D_
	at android view ViewGroup layout(ViewGroup java:6335)_x000D_
	at android widget FrameLayout layoutChildren(FrameLayout java:334)_x000D_
	at android widget FrameLayout onLayout(FrameLayout java:270)_x000D_
	at com android internal policy DecorView onLayout(DecorView java:937)_x000D_
	at android view View layout(View java:22114)_x000D_
	at android view ViewGroup layout(ViewGroup java:6335)_x000D_
	at android view ViewRootImpl performLayout(ViewRootImpl java:3285)_x000D_
	at android view ViewRootImpl performTraversals(ViewRootImpl java:2785)_x000D_
	at android view ViewRootImpl doTraversal(ViewRootImpl java:1857)_x000D_
	at android view ViewRootImpl TraversalRunnable run(ViewRootImpl java:8089)_x000D_
	at android view Choreographer CallbackRecord run(Choreographer java:1057)_x000D_
	at android view Choreographer doCallbacks(Choreographer java:875)_x000D_
	at android view Choreographer doFrame(Choreographer java:776)_x000D_
	at android view Choreographer FrameDisplayEventReceiver run(Choreographer java:1042)_x000D_
	at android os Handler handleCallback(Handler java:888)_x000D_
	at android os Handler dispatchMessage(Handler java:100)_x000D_
	at android os Looper loop(Looper java:213)_x000D_
	at android app ActivityThread main(ActivityThread java:8178)_x000D_
	at java lang reflect Method invoke(Native Method)_x000D_
	at com android internal os RuntimeInit MethodAndArgsCaller run(RuntimeInit java:513)_x000D_
	at com android internal os ZygoteInit main(ZygoteInit java:1101)_x000D_
Caused by: java lang ClassCastException: Cannot cast android widget FrameLayout to android widget LinearLayout_x000D_
	at java lang Class cast(Class java:2446)_x000D_
	at butterknife internal Utils castView(Utils java:102)_x000D_
	    88 more_x000D_
_x000D_
             APP INFORMATION             _x000D_
ID: com nextcloud android beta_x000D_
Version: 20200625_x000D_
Build flavor: versionDev_x000D_
   _x000D_
_x000D_
    Environment data_x000D_
Android version: 10_x000D_
_x000D_
Nextcloud app version: Dev 20200625_x000D_
_x000D_
Nextcloud server version: 19 0 0</t>
  </si>
  <si>
    <t>inaturalist-iNaturalistAndroid-852</t>
  </si>
  <si>
    <t>CursorWindowAllocationException in ObservationCursorAdapter.getView</t>
  </si>
  <si>
    <t>https:  console firebase google com u 2 project inaturalist ios crashlytics app android:org inaturalist android issues fcd9f472cbd2d074b223598be9c277c8_x000D_
_x000D_
   _x000D_
Fatal Exception: android database CursorWindowAllocationException: Cursor window allocation of 2048 kb failed    Open Cursors 199 (  cursors opened by this proc 199)_x000D_
       at android database CursorWindow  init (CursorWindow java:108)_x000D_
       at android database AbstractWindowedCursor clearOrCreateWindow(AbstractWindowedCursor java:198)_x000D_
       at android database sqlite SQLiteCursor fillWindow(SQLiteCursor java:138)_x000D_
       at android database sqlite SQLiteCursor getCount(SQLiteCursor java:132)_x000D_
       at android content ContentResolver query(ContentResolver java:773)_x000D_
       at android content ContentResolver query(ContentResolver java:704)_x000D_
       at android content ContentResolver query(ContentResolver java:662)_x000D_
       at org inaturalist android ObservationCursorAdapter getView(ObservationCursorAdapter java:680)_x000D_
   _x000D_
_x000D_
Version 1 19 7 (429)</t>
  </si>
  <si>
    <t>zoho-salesiq-mobilisten-android-sample-6</t>
  </si>
  <si>
    <t xml:space="preserve">Getting crash logged related to ActivityNotFoundException in Crashlytics for SalesIQ Mobilisten SDK  Please check and fix this_x000D_
_x000D_
  Fatal Exception: android content ActivityNotFoundException_x000D_
  No Activity found to handle Intent   act android intent action VIEW dat https:  www google com      _x000D_
  com zoho livechat android ui adapters viewholder MessagesTextViewHolder 2 onClick_x000D_
_x000D_
  Stack Trace:  _x000D_
_x000D_
 Fatal Exception: android content ActivityNotFoundException: No Activity found to handle Intent   act android intent action VIEW dat https:  www google com      _x000D_
       at android app Instrumentation checkStartActivityResult(Instrumentation java:1854)_x000D_
       at android app Instrumentation execStartActivity(Instrumentation java:1544)_x000D_
       at android app Activity startActivityForResult(Activity java:4391)_x000D_
       at androidx fragment app FragmentActivity startActivityForResult(FragmentActivity java:675)_x000D_
       at android app Activity startActivityForResult(Activity java:4335)_x000D_
       at androidx fragment app FragmentActivity startActivityForResult(FragmentActivity java:662)_x000D_
       at android app Activity startActivity(Activity java:4702)_x000D_
       at android app Activity startActivity(Activity java:4670)_x000D_
       at com zoho livechat android ui adapters viewholder MessagesTextViewHolder 2 onClick(MessagesTextViewHolder java:124)_x000D_
       at android text method LinkMovementMethod onTouchEvent(LinkMovementMethod java:217)_x000D_
       at android widget TextView onTouchEvent(TextView java:8827)_x000D_
       at android view View dispatchTouchEvent(View java:10012)_x000D_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android view ViewGroup dispatchTransformedTouchEvent(ViewGroup java:2671)_x000D_
       at android view ViewGroup dispatchTouchEvent(ViewGroup java:2358)_x000D_
       at com android internal policy DecorView superDispatchTouchEvent(DecorView java:447)_x000D_
       at com android internal policy PhoneWindow superDispatchTouchEvent(PhoneWindow java:1871)_x000D_
       at android app Activity dispatchTouchEvent(Activity java:3213)_x000D_
       at androidx appcompat view WindowCallbackWrapper dispatchTouchEvent(WindowCallbackWrapper java:69)_x000D_
       at androidx appcompat view WindowCallbackWrapper dispatchTouchEvent(WindowCallbackWrapper java:69)_x000D_
       at com android internal policy DecorView dispatchTouchEvent(DecorView java:409)_x000D_
       at android view View dispatchPointerEvent(View java:10232)_x000D_
       at android view ViewRootImpl ViewPostImeInputStage processPointerEvent(ViewRootImpl java:4862)_x000D_
       at android view ViewRootImpl ViewPostImeInputStage onProcess(ViewRootImpl java:4723)_x000D_
       at android view ViewRootImpl InputStage deliver(ViewRootImpl java:4255)_x000D_
       at android view ViewRootImpl InputStage onDeliverToNext(ViewRootImpl java:4308)_x000D_
       at android view ViewRootImpl InputStage forward(ViewRootImpl java:4274)_x000D_
       at android view ViewRootImpl AsyncInputStage forward(ViewRootImpl java:4401)_x000D_
       at android view ViewRootImpl InputStage apply(ViewRootImpl java:4282)_x000D_
       at android view ViewRootImpl AsyncInputStage apply(ViewRootImpl java:4458)_x000D_
       at android view ViewRootImpl InputStage deliver(ViewRootImpl java:4255)_x000D_
       at android view ViewRootImpl InputStage onDeliverToNext(ViewRootImpl java:4308)_x000D_
       at android view ViewRootImpl InputStage forward(ViewRootImpl java:4274)_x000D_
       at android view ViewRootImpl InputStage apply(ViewRootImpl java:4282)_x000D_
       at android view ViewRootImpl InputStage deliver(ViewRootImpl java:4255)_x000D_
       at android view ViewRootImpl deliverInputEvent(ViewRootImpl java:6682)_x000D_
       at android view ViewRootImpl doProcessInputEvents(ViewRootImpl java:6656)_x000D_
       at android view ViewRootImpl enqueueInputEvent(ViewRootImpl java:6617)_x000D_
       at android view ViewRootImpl WindowInputEventReceiver onInputEvent(ViewRootImpl java:6809)_x000D_
       at android view InputEventReceiver dispatchInputEvent(InputEventReceiver java:192)_x000D_
       at android os MessageQueue nativePollOnce(MessageQueue java)_x000D_
       at android os MessageQueue next(MessageQueue java:356)_x000D_
       at android os Looper loop(Looper java:138)_x000D_
       at android app ActivityThread main(ActivityThread java:6517)_x000D_
       at java lang reflect Method invoke(Method java)_x000D_
       at com android internal os ZygoteInit MethodAndArgsCaller run(ZygoteInit java:942)_x000D_
       at com android internal os ZygoteInit main(ZygoteInit java:832) </t>
  </si>
  <si>
    <t>Inversion-NL-Toon-Android-29</t>
  </si>
  <si>
    <t>0.5.10 crashes on convertCurrentUsageData while updating data</t>
  </si>
  <si>
    <t xml:space="preserve">  Describe the bug  _x000D_
0 5 10 crashes while updating data_x000D_
_x000D_
_x000D_
  App version (please complete the following information):  _x000D_
   App version 0 5 10_x000D_
_x000D_
  Smartphone (please complete the following information):  _x000D_
   Device: Galaxy Note10   Galaxy S10  Galaxy A5(2017)  _x000D_
   Android Version: Android 8   10_x000D_
_x000D_
  Additional context or information  _x000D_
   _x000D_
com google gson JsonSyntaxException: _x000D_
  at com google gson internal bind ReflectiveTypeAdapterFactory Adapter read (ReflectiveTypeAdapterFactory java:226)_x000D_
  at com google gson Gson fromJson (Gson java:932)_x000D_
  at com google gson Gson fromJson (Gson java:897)_x000D_
  at com google gson Gson fromJson (Gson java:846)_x000D_
  at com google gson Gson fromJson (Gson java:817)_x000D_
  at com toonapps toon data Converter convertCurrentUsageData (Converter java:49)_x000D_
  at com toonapps toon data RestClient 31 onResponse (RestClient java:452)_x000D_
  at com toonapps toon data RestClient 31 onResponse (RestClient java:449)_x000D_
  at com android volley toolbox StringRequest deliverResponse (StringRequest java:82)_x000D_
  at com android volley toolbox StringRequest deliverResponse (StringRequest java:29)_x000D_
  at com android volley ExecutorDelivery ResponseDeliveryRunnable run (ExecutorDelivery java:102)_x000D_
  at android os Handler handleCallback (Handler java:883)_x000D_
  at android os Handler dispatchMessage (Handler java:100)_x000D_
  at android os Looper loop (Looper java:237)_x000D_
  at android app ActivityThread main (ActivityThread java:8016)_x000D_
  at java lang reflect Method invoke (Native Method)_x000D_
  at com android internal os RuntimeInit MethodAndArgsCaller run (RuntimeInit java:493)_x000D_
  at com android internal os ZygoteInit main (ZygoteInit java:1076)_x000D_
Caused by: java lang IllegalStateException: _x000D_
  at com google gson stream JsonReader beginObject (JsonReader java:386)_x000D_
  at com google gson internal bind ReflectiveTypeAdapterFactory Adapter read (ReflectiveTypeAdapterFactory java:215)_x000D_
   _x000D_
</t>
  </si>
  <si>
    <t>Inversion-NL-Toon-Android-28</t>
  </si>
  <si>
    <t>0.5.10 crashes on login screen</t>
  </si>
  <si>
    <t xml:space="preserve">  Describe the bug  _x000D_
0 5 10 crashes on login screen_x000D_
_x000D_
  App version (please complete the following information):  _x000D_
   App version 0 5 10_x000D_
_x000D_
  Smartphone (please complete the following information):  _x000D_
   Device: Samsung Galaxy Not8 (greatqltechn)_x000D_
   Android Version: 9_x000D_
_x000D_
  Additional context or information  _x000D_
   _x000D_
java lang NullPointerException: _x000D_
  at com toonapps toon helper AppSettings getAddress (AppSettings java:102)_x000D_
  at com toonapps toon view fragments LoginFragment setAndInitWidgets (LoginFragment java:69)_x000D_
  at com toonapps toon view fragments LoginFragment onCreateView (LoginFragment java:56)_x000D_
  at androidx fragment app Fragment performCreateView (Fragment java:2600)_x000D_
  at androidx fragment app FragmentManagerImpl moveToState (FragmentManagerImpl java:881)_x000D_
  at androidx fragment app FragmentManagerImpl moveFragmentToExpectedState (FragmentManagerImpl java:1238)_x000D_
  at androidx fragment app FragmentManagerImpl moveToState (FragmentManagerImpl java:1303)_x000D_
  at androidx fragment app FragmentManagerImpl dispatchStateChange (FragmentManagerImpl java:2659)_x000D_
  at androidx fragment app FragmentManagerImpl dispatchActivityCreated (FragmentManagerImpl java:2613)_x000D_
  at androidx fragment app FragmentController dispatchActivityCreated (FragmentController java:246)_x000D_
  at androidx fragment app FragmentActivity onStart (FragmentActivity java:542)_x000D_
  at androidx appcompat app AppCompatActivity onStart (AppCompatActivity java:201)_x000D_
  at android app Instrumentation callActivityOnStart (Instrumentation java:1391)_x000D_
  at android app Activity performStart (Activity java:7348)_x000D_
  at android app ActivityThread handleStartActivity (ActivityThread java:3138)_x000D_
  at android app servertransaction TransactionExecutor performLifecycleSequence (TransactionExecutor java:180)_x000D_
  at android app servertransaction TransactionExecutor cycleToPath (TransactionExecutor java:165)_x000D_
  at android app servertransaction TransactionExecutor executeLifecycleState (TransactionExecutor java:142)_x000D_
  at android app servertransaction TransactionExecutor execute (TransactionExecutor java:70)_x000D_
  at android app ActivityThread H handleMessage (ActivityThread java:1948)_x000D_
  at android os Handler dispatchMessage (Handler java:106)_x000D_
  at android os Looper loop (Looper java:214)_x000D_
  at android app ActivityThread main (ActivityThread java:7050)_x000D_
  at java lang reflect Method invoke (Native Method)_x000D_
  at com android internal os RuntimeInit MethodAndArgsCaller run (RuntimeInit java:494)_x000D_
  at com android internal os ZygoteInit main (ZygoteInit java:965)_x000D_
   </t>
  </si>
  <si>
    <t>Inversion-NL-Toon-Android-27</t>
  </si>
  <si>
    <t>0.5.10 crashes on graph</t>
  </si>
  <si>
    <t xml:space="preserve">  Describe the bug  _x000D_
App crashes on graph_x000D_
_x000D_
  App version (please complete the following information):  _x000D_
0 5 10_x000D_
_x000D_
  Smartphone (please complete the following information):  _x000D_
   Device: Samsung Galaxy Note4 (trlte)_x000D_
   Android Version: 6_x000D_
_x000D_
  Additional context or information  _x000D_
   _x000D_
android content res Resources NotFoundException: _x000D_
  at android content res Resources getValue (Resources java:2558)_x000D_
  at android content res Resources getDrawable (Resources java:2001)_x000D_
  at android content res Resources getDrawable (Resources java:1987)_x000D_
  at android content Context getDrawable (Context java:464)_x000D_
  at androidx core content ContextCompat getDrawable (ContextCompat java:455)_x000D_
  at com toonapps toon helper ChartHelper getSingleTariffDataSet (ChartHelper java:70)_x000D_
  at com toonapps toon view fragments UsageGraphFragment setChartData (UsageGraphFragment java:209)_x000D_
  at com toonapps toon view fragments UsageGraphFragment onUsageChanged (UsageGraphFragment java:171)_x000D_
  at com toonapps toon controller GasAndElecFlowController onElecUsageInfoChanged (GasAndElecFlowController java:80)_x000D_
  at com toonapps toon controller GasAndElecFlowController onResponse (GasAndElecFlowController java:93)_x000D_
  at com toonapps toon data RestClient 4 onResponse (RestClient java:93)_x000D_
  at com toonapps toon data RestClient 4 onResponse (RestClient java:80)_x000D_
  at com android volley toolbox StringRequest deliverResponse (StringRequest java:82)_x000D_
  at com android volley toolbox StringRequest deliverResponse (StringRequest java:29)_x000D_
  at com android volley ExecutorDelivery ResponseDeliveryRunnable run (ExecutorDelivery java:102)_x000D_
  at android os Handler handleCallback (Handler java:739)_x000D_
  at android os Handler dispatchMessage (Handler java:95)_x000D_
  at android os Looper loop (Looper java:158)_x000D_
  at android app ActivityThread main (ActivityThread java:7225)_x000D_
  at java lang reflect Method invoke (Native Method)_x000D_
  at com android internal os ZygoteInit MethodAndArgsCaller run (ZygoteInit java:1230)_x000D_
  at com android internal os ZygoteInit main (ZygoteInit java:1120)_x000D_
   _x000D_
</t>
  </si>
  <si>
    <t>Anuken-Mindustry-2186</t>
  </si>
  <si>
    <t>My Game Crashes</t>
  </si>
  <si>
    <t xml:space="preserve">  Platform  :  Windows _x000D_
_x000D_
  Build  :  The build number 104 10 _x000D_
_x000D_
  Issue  :  My Game crashes at every startup and the game creates crash reports _x000D_
_x000D_
  Steps to reproduce  :  I ve installed the game and skipped the tutorial and then the game will crash _x000D_
_x000D_
  Link to mod(s) used  if applicable  :     No mods in use     _x000D_
_x000D_
  Crash report  if applicable  :   _x000D_
  A fatal error has been detected by the Java Runtime Environment:_x000D_
 _x000D_
   EXCEPTION ACCESS VIOLATION (0xc0000005) at pc 0x0000000000000000  pid 14588  tid 12980_x000D_
 _x000D_
  JRE version: OpenJDK Runtime Environment (8 0 72 b15) (build 1 8 0 72 b15)_x000D_
  Java VM: OpenJDK 64 Bit Server VM (25 72 b15 mixed mode windows amd64 compressed oops)_x000D_
  Problematic frame:_x000D_
  C  0x0000000000000000_x000D_
 _x000D_
  Failed to write core dump  Minidumps are not enabled by default on client versions of Windows_x000D_
 _x000D_
  If you would like to submit a bug report  please visit:_x000D_
    http:  www azulsystems com support _x000D_
  The crash happened outside the Java Virtual Machine in native code _x000D_
  See problematic frame for where to report the bug _x000D_
 _x000D_
_x000D_
                 T H R E A D                 _x000D_
_x000D_
Current thread (0x00000000022b0800):  JavaThread  main    thread in native  id 12980  stack(0x0000000000400000 0x00000000008d0000) _x000D_
_x000D_
siginfo: ExceptionCode 0xc0000005  ExceptionInformation 0x0000000000000008 0x0000000000000000_x000D_
_x000D_
Registers:_x000D_
RAX 0x0000000000000001  RBX 0x0000000000000000  RCX 0x00000000322d9938  RDX 0x0000000000000001_x000D_
RSP 0x00000000008cf2c8  RBP 0x00000000008cf4c0  RSI 0x0000000000000210  RDI 0x0000000000080caa_x000D_
R8  0x0000000100000000  R9  0xffffffff00000000  R10 0x00000000008cf270  R11 0x00000000008cf2c8_x000D_
R12 0x0000000000000000  R13 0x00000000008cf4e0  R14 0x00000000008cf4b0  R15 0x00000000022b0800_x000D_
RIP 0x0000000000000000  EFLAGS 0x0000000000210246_x000D_
_x000D_
Top of Stack: (sp 0x00000000008cf2c8)_x000D_
0x00000000008cf2c8:   00007ffeea203b9b 0000000000000000_x000D_
0x00000000008cf2d8:   0000000000000000 0000000032216418_x000D_
0x00000000008cf2e8:   00000000008cf4b0 0000000000000000_x000D_
0x00000000008cf2f8:   00007ffe00000000 0000000000000002_x000D_
0x00000000008cf308:   0000000000000002 0000000000000000_x000D_
0x00000000008cf318:   0000000000000000 0000000140000000_x000D_
0x00000000008cf328:   0000000000000000 0000000032216438_x000D_
0x00000000008cf338:   000002cb00000556 0000000100000001_x000D_
0x00000000008cf348:   0000000100000057 0000000000000000_x000D_
0x00000000008cf358:   0000000000000028 ffffffff00000002_x000D_
0x00000000008cf368:   00007557948c3ec2 ffffffff80010cbf_x000D_
0x00000000008cf378:   00007ffeea2035cd 3534316500006010_x000D_
0x00000000008cf388:   0000000000080caa 0000000000000a00_x000D_
0x00000000008cf398:   00007fff08554975 0000000000000000_x000D_
0x00000000008cf3a8:   000002cb00000556 00007557948c3f92_x000D_
0x00000000008cf3b8:   00000000022b0800 ffffffff80010cbf _x000D_
_x000D_
Instructions: (pc 0x0000000000000000)_x000D_
0xffffffffffffffe0:   _x000D_
_x000D_
_x000D_
Register to memory mapping:_x000D_
_x000D_
RAX 0x0000000000000001 is an unknown value_x000D_
RBX 0x0000000000000000 is an unknown value_x000D_
RCX 0x00000000322d9938 is an unknown value_x000D_
RDX 0x0000000000000001 is an unknown value_x000D_
RSP 0x00000000008cf2c8 is pointing into the stack for thread: 0x00000000022b0800_x000D_
RBP 0x00000000008cf4c0 is pointing into the stack for thread: 0x00000000022b0800_x000D_
RSI 0x0000000000000210 is an unknown value_x000D_
RDI 0x0000000000080caa is an unknown value_x000D_
R8  0x0000000100000000 is an unknown value_x000D_
R9  0xffffffff00000000 is an unknown value_x000D_
R10 0x00000000008cf270 is pointing into the stack for thread: 0x00000000022b0800_x000D_
R11 0x00000000008cf2c8 is pointing into the stack for thread: 0x00000000022b0800_x000D_
R12 0x0000000000000000 is an unknown value_x000D_
R13 0x00000000008cf4e0 is pointing into the stack for thread: 0x00000000022b0800_x000D_
R14 0x00000000008cf4b0 is pointing into the stack for thread: 0x00000000022b0800_x000D_
R15 0x00000000022b0800 is a thread_x000D_
_x000D_
_x000D_
Stack:  0x0000000000400000 0x00000000008d0000    sp 0x00000000008cf2c8   free space 4924k_x000D_
Native frames: (J compiled Java code  j interpreted  Vv VM code  C native code)_x000D_
_x000D_
Java frames: (J compiled Java code  j interpreted  Vv VM code)_x000D_
J 3462  arc backend sdl jni SDL SDL GL SwapWindow(J)V (0 bytes)   0x0000000002e23a01  0x0000000002e239c0 0x41 _x000D_
j  arc backend sdl SdlApplication loop()V 271_x000D_
j  arc backend sdl SdlApplication  init (Larc ApplicationListener Larc backend sdl SdlConfig )V 204_x000D_
j  mindustry desktop DesktopLauncher main( Ljava lang String )V 22_x000D_
v   StubRoutines::call stub_x000D_
_x000D_
                 P R O C E S S                 _x000D_
_x000D_
Java Threads: (    current thread )_x000D_
  0x0000000028501000 JavaThread  Timer  daemon   thread blocked  id 12140  stack(0x0000000031780000 0x0000000031c50000) _x000D_
  0x0000000028864800 JavaThread  AsynchExecutor Thread  daemon   thread blocked  id 12820  stack(0x000000002e400000 0x000000002e8d0000) _x000D_
  0x0000000021989800 JavaThread  AsynchExecutor Thread  daemon   thread blocked  id 16560  stack(0x0000000036ad0000 0x0000000036fa0000) _x000D_
  0x00000000219ac000 JavaThread  AsynchExecutor Thread  daemon   thread blocked  id 12024  stack(0x0000000036600000 0x0000000036ad0000) _x000D_
  0x000000002151f800 JavaThread  AsynchExecutor Thread  daemon   thread blocked  id 14924  stack(0x0000000027b60000 0x0000000028030000) _x000D_
  0x000000001c917800 JavaThread  Service Thread  daemon   thread blocked  id 3688  stack(0x00000000200c0000 0x0000000020590000) _x000D_
  0x000000001c8d7800 JavaThread  C1 CompilerThread2  daemon   thread blocked  id 9776  stack(0x000000001fbf0000 0x00000000200c0000) _x000D_
  0x000000001c899800 JavaThread  C2 CompilerThread1  daemon   thread blocked  id 10572  stack(0x000000001f720000 0x000000001fbf0000) _x000D_
  0x000000001c891000 JavaThread  C2 CompilerThread0  daemon   thread blocked  id 632  stack(0x000000001f250000 0x000000001f720000) _x000D_
  0x000000001c88f800 JavaThread  Attach Listener  daemon   thread blocked  id 2932  stack(0x000000001ed80000 0x000000001f250000) _x000D_
  0x000000001c88e000 JavaThread  Signal Dispatcher  daemon   thread blocked  id 14576  stack(0x000000001e8b0000 0x000000001ed80000) _x000D_
  0x000000001c88c000 JavaThread  Finalizer  daemon   thread blocked  id 13868  stack(0x000000001e2b0000 0x000000001e780000) _x000D_
  0x000000001c86a000 JavaThread  Reference Handler  daemon   thread blocked  id 16676  stack(0x000000001dde0000 0x000000001e2b0000) _x000D_
  0x00000000022b0800 JavaThread  main    thread in native  id 12980  stack(0x0000000000400000 0x00000000008d0000) _x000D_
_x000D_
Other Threads:_x000D_
  0x000000001c863800 VMThread  stack: 0x000000001d910000 0x000000001dde0000   id 16144 _x000D_
  0x000000001c8ff000 WatcherThread  stack: 0x0000000020590000 0x0000000020a60000   id 3168 _x000D_
_x000D_
VM state:not at safepoint (normal execution)_x000D_
_x000D_
VM Mutex Monitor currently owned by a thread: None_x000D_
_x000D_
Heap:_x000D_
 PSYoungGen      total 76288K  used 38980K  0x000000076b400000  0x0000000770900000  0x00000007c0000000)_x000D_
  eden space 65536K  59  used  0x000000076b400000 0x000000076da111e0 0x000000076f400000)_x000D_
  from space 10752K  0  used  0x000000076fe80000 0x000000076fe80000 0x0000000770900000)_x000D_
  to   space 10752K  0  used  0x000000076f400000 0x000000076f400000 0x000000076fe80000)_x000D_
 ParOldGen       total 129536K  used 16747K  0x00000006c1c00000  0x00000006c9a80000  0x000000076b400000)_x000D_
  object space 129536K  12  used  0x00000006c1c00000 0x00000006c2c5ae50 0x00000006c9a80000)_x000D_
 Metaspace       used 24554K  capacity 27532K  committed 27776K  reserved 1073152K_x000D_
  class space    used 3444K  capacity 4126K  committed 4224K  reserved 1048576K_x000D_
_x000D_
Card table byte map:  0x0000000011770000 0x0000000011f70000  byte map base: 0x000000000e162000_x000D_
_x000D_
Marking Bits: (ParMarkBitMap ) 0x000000005bcb9c30_x000D_
 Begin Bits:  0x0000000013800000  0x0000000017790000)_x000D_
 End Bits:    0x0000000017790000  0x000000001b720000)_x000D_
_x000D_
Polling page: 0x00000000001e0000_x000D_
_x000D_
CodeCache: size 245760Kb used 11380Kb max used 11380Kb free 234379Kb_x000D_
 bounds  0x00000000023b0000  0x0000000002ee0000  0x00000000113b0000 _x000D_
 total blobs 3898 nmethods 3307 adapters 504_x000D_
 compilation: enabled_x000D_
_x000D_
Compilation events (10 events):_x000D_
Event: 23 380 Thread 0x000000001c8d7800 3644       3       arc scene event ElementGestureListener::handle (273 bytes)_x000D_
Event: 23 386 Thread 0x000000001c8d7800 nmethod 3644 0x0000000002ed1d50 code  0x0000000002ed2020  0x0000000002ed34e8 _x000D_
Event: 23 408 Thread 0x000000001c8d7800 3645       3       arc scene ui ScrollPane 2::handle (33 bytes)_x000D_
Event: 23 410 Thread 0x000000001c8d7800 nmethod 3645 0x0000000002ecd390 code  0x0000000002ecd500  0x0000000002ecd848 _x000D_
Event: 23 512 Thread 0x000000001c8d7800 3646       3       arc scene Group::drawChildren (754 bytes)_x000D_
Event: 23 522 Thread 0x000000001c8d7800 nmethod 3646 0x0000000002ed3c10 code  0x0000000002ed3e80  0x0000000002ed5658 _x000D_
Event: 23 586 Thread 0x000000001c8d7800 3647       3       arc scene ui Dialog::drawStageBackground (52 bytes)_x000D_
Event: 23 586 Thread 0x000000001c8d7800 nmethod 3647 0x0000000002ed6110 code  0x0000000002ed62a0  0x0000000002ed66f8 _x000D_
Event: 23 714 Thread 0x000000001c8d7800 3648       3       arc scene ui Dialog::centerWindow (40 bytes)_x000D_
Event: 23 716 Thread 0x000000001c8d7800 nmethod 3648 0x0000000002ed6910 code  0x0000000002ed6b00  0x0000000002ed7478 _x000D_
_x000D_
GC Heap History (6 events):_x000D_
Event: 5 336 GC heap before_x000D_
 Heap before GC invocations 1 (full 0):_x000D_
 PSYoungGen      total 76288K  used 65536K  0x000000076b400000  0x0000000770900000  0x00000007c0000000)_x000D_
  eden space 65536K  100  used  0x000000076b400000 0x000000076f400000 0x000000076f400000)_x000D_
  from space 10752K  0  used  0x000000076fe80000 0x000000076fe80000 0x0000000770900000)_x000D_
  to   space 10752K  0  used  0x000000076f400000 0x000000076f400000 0x000000076fe80000)_x000D_
 ParOldGen       total 175104K  used 0K  0x00000006c1c00000  0x00000006cc700000  0x000000076b400000)_x000D_
  object space 175104K  0  used  0x00000006c1c00000 0x00000006c1c00000 0x00000006cc700000)_x000D_
 Metaspace       used 14602K  capacity 15274K  committed 15488K  reserved 1062912K_x000D_
  class space    used 1914K  capacity 2143K  committed 2176K  reserved 1048576K_x000D_
Event: 5 350 GC heap after_x000D_
Heap after GC invocations 1 (full 0):_x000D_
 PSYoungGen      total 76288K  used 10725K  0x000000076b400000  0x0000000770900000  0x00000007c0000000)_x000D_
  eden space 65536K  0  used  0x000000076b400000 0x000000076b400000 0x000000076f400000)_x000D_
  from space 10752K  99  used  0x000000076f400000 0x000000076fe79640 0x000000076fe80000)_x000D_
  to   space 10752K  0  used  0x000000076fe80000 0x000000076fe80000 0x0000000770900000)_x000D_
 ParOldGen       total 175104K  used 6470K  0x00000006c1c00000  0x00000006cc700000  0x000000076b400000)_x000D_
  object space 175104K  3  used  0x00000006c1c00000 0x00000006c2251bd8 0x00000006cc700000)_x000D_
 Metaspace       used 14602K  capacity 15274K  committed 15488K  reserved 1062912K_x000D_
  class space    used 1914K  capacity 2143K  committed 2176K  reserved 1048576K_x000D_
 _x000D_
Event: 7 341 GC heap before_x000D_
 Heap before GC invocations 2 (full 0):_x000D_
 PSYoungGen      total 76288K  used 69489K  0x000000076b400000  0x0000000770900000  0x00000007c0000000)_x000D_
  eden space 65536K  89  used  0x000000076b400000 0x000000076ed62ff0 0x000000076f400000)_x000D_
  from space 10752K  99  used  0x000000076f400000 0x000000076fe79640 0x000000076fe80000)_x000D_
  to   space 10752K  0  used  0x000000076fe80000 0x000000076fe80000 0x0000000770900000)_x000D_
 ParOldGen       total 175104K  used 6470K  0x00000006c1c00000  0x00000006cc700000  0x000000076b400000)_x000D_
  object space 175104K  3  used  0x00000006c1c00000 0x00000006c2251bd8 0x00000006cc700000)_x000D_
 Metaspace       used 19731K  capacity 21262K  committed 21296K  reserved 1067008K_x000D_
  class space    used 2748K  capacity 3181K  committed 3200K  reserved 1048576K_x000D_
Event: 7 356 GC heap after_x000D_
Heap after GC invocations 2 (full 0):_x000D_
 PSYoungGen      total 76288K  used 10743K  0x000000076b400000  0x0000000770900000  0x00000007c0000000)_x000D_
  eden space 65536K  0  used  0x000000076b400000 0x000000076b400000 0x000000076f400000)_x000D_
  from space 10752K  99  used  0x000000076fe80000 0x00000007708fdf18 0x0000000770900000)_x000D_
  to   space 10752K  0  used  0x000000076f400000 0x000000076f400000 0x000000076fe80000)_x000D_
 ParOldGen       total 175104K  used 12579K  0x00000006c1c00000  0x00000006cc700000  0x000000076b400000)_x000D_
  object space 175104K  7  used  0x00000006c1c00000 0x00000006c2848cc8 0x00000006cc700000)_x000D_
 Metaspace       used 19731K  capacity 21262K  committed 21296K  reserved 1067008K_x000D_
  class space    used 2748K  capacity 3181K  committed 3200K  reserved 1048576K_x000D_
 _x000D_
Event: 7 356 GC heap before_x000D_
 Heap before GC invocations 3 (full 1):_x000D_
 PSYoungGen      total 76288K  used 10743K  0x000000076b400000  0x0000000770900000  0x00000007c0000000)_x000D_
  eden space 65536K  0  used  0x000000076b400000 0x000000076b400000 0x000000076f400000)_x000D_
  from space 10752K  99  used  0x000000076fe80000 0x00000007708fdf18 0x0000000770900000)_x000D_
  to   space 10752K  0  used  0x000000076f400000 0x000000076f400000 0x000000076fe80000)_x000D_
 ParOldGen       total 175104K  used 12579K  0x00000006c1c00000  0x00000006cc700000  0x000000076b400000)_x000D_
  object space 175104K  7  used  0x00000006c1c00000 0x00000006c2848cc8 0x00000006cc700000)_x000D_
 Metaspace       used 19731K  capacity 21262K  committed 21296K  reserved 1067008K_x000D_
  class space    used 2748K  capacity 3181K  committed 3200K  reserved 1048576K_x000D_
Event: 7 413 GC heap after_x000D_
Heap after GC invocations 3 (full 1):_x000D_
 PSYoungGen      total 76288K  used 0K  0x000000076b400000  0x0000000770900000  0x00000007c0000000)_x000D_
  eden space 65536K  0  used  0x000000076b400000 0x000000076b400000 0x000000076f400000)_x000D_
  from space 10752K  0  used  0x000000076fe80000 0x000000076fe80000 0x0000000770900000)_x000D_
  to   space 10752K  0  used  0x000000076f400000 0x000000076f400000 0x000000076fe80000)_x000D_
 ParOldGen       total 129536K  used 16747K  0x00000006c1c00000  0x00000006c9a80000  0x000000076b400000)_x000D_
  object space 129536K  12  used  0x00000006c1c00000 0x00000006c2c5ae50 0x00000006c9a80000)_x000D_
 Metaspace       used 19731K  capacity 21262K  committed 21296K  reserved 1067008K_x000D_
  class space    used 2748K  capacity 3181K  committed 3200K  reserved 1048576K_x000D_
 _x000D_
_x000D_
Deoptimization events (10 events):_x000D_
Event: 16 196 Thread 0x00000000022b0800 Uncommon trap: reason bimorphic action maybe recompile pc 0x0000000002e250e8 method arc scene Element validate()V   89_x000D_
Event: 16 197 Thread 0x00000000022b0800 Uncommon trap: reason bimorphic action maybe recompile pc 0x0000000002e443e4 method arc scene Group drawChildren()V   423_x000D_
Event: 16 218 Thread 0x00000000022b0800 Uncommon trap: reason bimorphic action maybe recompile pc 0x0000000002e443e4 method arc scene Group drawChildren()V   423_x000D_
Event: 16 242 Thread 0x00000000022b0800 Uncommon trap: reason bimorphic action maybe recompile pc 0x0000000002e443e4 method arc scene Group drawChildren()V   423_x000D_
Event: 16 267 Thread 0x00000000022b0800 Uncommon trap: reason bimorphic action maybe recompile pc 0x0000000002e443e4 method arc scene Group drawChildren()V   423_x000D_
Event: 22 523 Thread 0x00000000022b0800 Uncommon trap: reason bimorphic action maybe recompile pc 0x0000000002eacf5c method arc scene ui Button act(F)V   17_x000D_
Event: 22 523 Thread 0x00000000022b0800 Uncommon trap: reason bimorphic action maybe recompile pc 0x0000000002eacf5c method arc scene ui Button act(F)V   17_x000D_
Event: 22 550 Thread 0x00000000022b0800 Uncommon trap: reason bimorphic action maybe recompile pc 0x0000000002eacf5c method arc scene ui Button act(F)V   17_x000D_
Event: 22 550 Thread 0x00000000022b0800 Uncommon trap: reason bimorphic action maybe recompile pc 0x0000000002eacf5c method arc scene ui Button act(F)V   17_x000D_
Event: 23 487 Thread 0x00000000022b0800 Uncommon trap: reason unstable if action reinterpret pc 0x0000000002e67f00 method arc scene Group drawChildren()V   352_x000D_
_x000D_
Internal exceptions (10 events):_x000D_
Event: 8 747 Thread 0x00000000022b0800 Exception  a  java io IOException   (0x000000076d2ab5d0) thrown at  C: jenkins workspace zulu8 silver build win64 zulu src hotspot src share vm prims jni cpp  line 709 _x000D_
Event: 8 747 Thread 0x00000000022b0800 Exception  a  java io IOException   (0x000000076d2ab860) thrown at  C: jenkins workspace zulu8 silver build win64 zulu src hotspot src share vm prims jni cpp  line 709 _x000D_
Event: 8 747 Thread 0x00000000022b0800 Exception  a  java io IOException   (0x000000076d2abac0) thrown at  C: jenkins workspace zulu8 silver build win64 zulu src hotspot src share vm prims jni cpp  line 709 _x000D_
Event: 8 953 Thread 0x00000000022b0800 Exception  a  java lang IncompatibleClassChangeError : Found class java lang Object  but interface was expected  (0x000000076d476650) thrown at  C: jenkins workspace zulu8 silver build win64 zulu src hotspot src share vm interpreter linkResolver cpp  line         _x000D_
Event: 9 468 Thread 0x00000000022b0800 Implicit null exception at 0x0000000002cffeb4 to 0x0000000002d009f5_x000D_
Event: 9 660 Thread 0x00000000022b0800 Implicit null exception at 0x0000000002d1d5a1 to 0x0000000002d1dead_x000D_
Event: 9 827 Thread 0x00000000022b0800 Implicit null exception at 0x0000000002d335e9 to 0x0000000002d34009_x000D_
Event: 12 778 Thread 0x0000000021523000 Exception  a  java lang InterruptedException : sleep interrupted  (0x000000076d47e9c0) thrown at  C: jenkins workspace zulu8 silver build win64 zulu src hotspot src share vm prims jvm cpp  line 3215 _x000D_
Event: 22 451 Thread 0x00000000022b0800 Exception  a  java lang NoSuchMethodError : java lang Object lambda showFileChooser 2(Ljava lang String Larc files Fi )Z  (0x000000076d9597f8) thrown at  C: jenkins workspace zulu8 silver build win64 zulu src hotspot src share vm interpreter linkResolver c   M s6 _x000D_
Event: 22 452 Thread 0x00000000022b0800 Exception  a  java lang NoSuchMethodError : java lang Object lambda showFileChooser 3(ZLarc func Cons Ljava lang String Larc files Fi )V  (0x000000076d9603f0) thrown at  C: jenkins workspace zulu8 silver build win64 zulu src hotspot src share vm interpreteE   a   _x000D_
_x000D_
Events (10 events):_x000D_
Event: 22 523 Thread 0x00000000022b0800 DEOPT UNPACKING pc 0x00000000023f556a sp 0x00000000008ceda0 mode 2_x000D_
Event: 22 550 Thread 0x00000000022b0800 Uncommon trap: trap request 0xffffffc6 fr pc 0x0000000002eacf5c_x000D_
Event: 22 550 Thread 0x00000000022b0800 DEOPT PACKING pc 0x0000000002eacf5c sp 0x00000000008cee10_x000D_
Event: 22 550 Thread 0x00000000022b0800 DEOPT UNPACKING pc 0x00000000023f556a sp 0x00000000008ceda0 mode 2_x000D_
Event: 22 550 Thread 0x00000000022b0800 Uncommon trap: trap request 0xffffffc6 fr pc 0x0000000002eacf5c_x000D_
Event: 22 550 Thread 0x00000000022b0800 DEOPT PACKING pc 0x0000000002eacf5c sp 0x00000000008cee10_x000D_
Event: 22 550 Thread 0x00000000022b0800 DEOPT UNPACKING pc 0x00000000023f556a sp 0x00000000008ceda0 mode 2_x000D_
Event: 23 487 Thread 0x00000000022b0800 Uncommon trap: trap request 0xffffff65 fr pc 0x0000000002e67f00_x000D_
Event: 23 487 Thread 0x00000000022b0800 DEOPT PACKING pc 0x0000000002e67f00 sp 0x00000000008ce950_x000D_
Event: 23 487 Thread 0x00000000022b0800 DEOPT UNPACKING pc 0x00000000023f556a sp 0x00000000008ce8e0 mode 2_x000D_
_x000D_
_x000D_
Dynamic libraries:_x000D_
0x0000000140000000   0x000000014005d000 	C: Users Jonat Desktop mindustry windows 64 bit Mindustry exe_x000D_
0x00007fff0ad20000   0x00007fff0af10000 	C: WINDOWS SYSTEM32 ntdll dll_x000D_
0x00007ffefb930000   0x00007ffefb943000 	C: Program Files AVAST Software Avast aswhook dll_x000D_
0x00007fff094e0000   0x00007fff09592000 	C: WINDOWS System32 KERNEL32 DLL_x000D_
0x00007fff08530000   0x00007fff087d4000 	C: WINDOWS System32 KERNELBASE dll_x000D_
0x00007fff09700000   0x00007fff097a3000 	C: WINDOWS System32 ADVAPI32 DLL_x000D_
0x00007fff0a140000   0x00007fff0a1de000 	C: WINDOWS System32 msvcrt dll_x000D_
0x00007fff0a3f0000   0x00007fff0a487000 	C: WINDOWS System32 sechost dll_x000D_
0x00007fff095d0000   0x00007fff096f0000 	C: WINDOWS System32 RPCRT4 dll_x000D_
0x000000005b500000   0x000000005bd34000 	C: Users Jonat Desktop mindustry windows 64 bit jre bin server jvm dll_x000D_
0x00007fff092c0000   0x00007fff09454000 	C: WINDOWS System32 USER32 dll_x000D_
0x00007fff07cb0000   0x00007fff07cd1000 	C: WINDOWS System32 win32u dll_x000D_
0x00007fff0a390000   0x00007fff0a3b6000 	C: WINDOWS System32 GDI32 dll_x000D_
0x00007fff08970000   0x00007fff08b05000 	C: WINDOWS System32 gdi32full dll_x000D_
0x00007fff08d30000   0x00007fff08dce000 	C: WINDOWS System32 msvcp win dll_x000D_
0x00007fff08810000   0x00007fff0890a000 	C: WINDOWS System32 ucrtbase dll_x000D_
0x00007fff096f0000   0x00007fff096f8000 	C: WINDOWS System32 PSAPI DLL_x000D_
0x00007ffef6910000   0x00007ffef6919000 	C: WINDOWS SYSTEM32 WSOCK32 dll_x000D_
0x00007fff08dd0000   0x00007fff08e3f000 	C: WINDOWS System32 WS2 32 dll_x000D_
0x00007fff04890000   0x00007fff048b4000 	C: WINDOWS SYSTEM32 WINMM dll_x000D_
0x00007fff02720000   0x00007fff0272a000 	C: WINDOWS SYSTEM32 VERSION dll_x000D_
0x000000005b420000   0x000000005b4f2000 	C: Users Jonat Desktop mindustry windows 64 bit MSVCR100 dll_x000D_
0x00007fff04860000   0x00007fff0488d000 	C: WINDOWS SYSTEM32 WINMMBASE dll_x000D_
0x00007fff08b10000   0x00007fff08b5a000 	C: WINDOWS System32 cfgmgr32 dll_x000D_
0x00007fff095a0000   0x00007fff095ce000 	C: WINDOWS System32 IMM32 DLL_x000D_
0x00007fff048c0000   0x00007fff048cf000 	C: Users Jonat Desktop mindustry windows 64 bit jre bin verify dll_x000D_
0x00007ffefca90000   0x00007ffefcab9000 	C: Users Jonat Desktop mindustry windows 64 bit jre bin java dll_x000D_
0x00007fff04720000   0x00007fff04736000 	C: Users Jonat Desktop mindustry windows 64 bit jre bin zip dll_x000D_
0x00007fff0a5f0000   0x00007fff0acd6000 	C: WINDOWS System32 SHELL32 dll_x000D_
0x00007fff09da0000   0x00007fff09e49000 	C: WINDOWS System32 shcore dll_x000D_
0x00007fff08e40000   0x00007fff09175000 	C: WINDOWS System32 combase dll_x000D_
0x00007fff08b60000   0x00007fff08be0000 	C: WINDOWS System32 bcryptPrimitives dll_x000D_
0x00007fff07db0000   0x00007fff08530000 	C: WINDOWS System32 windows storage dll_x000D_
0x00007fff07c10000   0x00007fff07c33000 	C: WINDOWS System32 profapi dll_x000D_
0x00007fff07c60000   0x00007fff07caa000 	C: WINDOWS System32 powrprof dll_x000D_
0x00007fff07be0000   0x00007fff07bf0000 	C: WINDOWS System32 UMPDC dll_x000D_
0x00007fff098d0000   0x00007fff09922000 	C: WINDOWS System32 shlwapi dll_x000D_
0x00007fff07bf0000   0x00007fff07c01000 	C: WINDOWS System32 kernel appcore dll_x000D_
0x00007fff07d90000   0x00007fff07da7000 	C: WINDOWS System32 cryptsp dll_x000D_
0x00007fff06fc0000   0x00007fff06ff3000 	C: WINDOWS system32 rsaenh dll_x000D_
0x00007fff087e0000   0x00007fff08806000 	C: WINDOWS System32 bcrypt dll_x000D_
0x00007fff07b00000   0x00007fff07b25000 	C: WINDOWS SYSTEM32 USERENV dll_x000D_
0x00007fff07620000   0x00007fff0762c000 	C: WINDOWS SYSTEM32 CRYPTBASE dll_x000D_
0x00007ffefc6d0000   0x00007ffefc6ea000 	C: Users Jonat Desktop mindustry windows 64 bit jre bin net dll_x000D_
0x00007fff07450000   0x00007fff074b7000 	C: WINDOWS system32 mswsock dll_x000D_
0x00007fff07160000   0x00007fff0719a000 	C: WINDOWS SYSTEM32 IPHLPAPI DLL_x000D_
0x00007fff0a3e0000   0x00007fff0a3e8000 	C: WINDOWS System32 NSI dll_x000D_
0x00007ffeff210000   0x00007ffeff226000 	C: WINDOWS SYSTEM32 dhcpcsvc6 DLL_x000D_
0x00007ffeff1f0000   0x00007ffeff20c000 	C: WINDOWS SYSTEM32 dhcpcsvc DLL_x000D_
0x00007fff071a0000   0x00007fff0726b000 	C: WINDOWS SYSTEM32 DNSAPI dll_x000D_
0x00007ffefbcd0000   0x00007ffefbce1000 	C: Users Jonat Desktop mindustry windows 64 bit jre bin nio dll_x000D_
0x00007ffef0c80000   0x00007ffef0cc2000 	C: Users Jonat AppData Local Temp jna 71756188 jna3883935401355069734 dll_x000D_
0x00007ffef0be0000   0x00007ffef0c7c000 	C: Users Jonat AppData Local Temp jna 71756188 jna2215912636095421161 dll_x000D_
0x0000000065ac0000   0x0000000065b0b000 	C: Users Jonat AppData Local Temp arc 7d76f548 gdx64 dll_x000D_
0x00007ffee9640000   0x00007ffee9754000 	C: Users Jonat AppData Local Temp arc da5eb935 OpenAL32 dll_x000D_
0x00007fff0a490000   0x00007fff0a5e7000 	C: WINDOWS System32 ole32 dll_x000D_
0x000000005ac10000   0x000000005b416000 	C: Users Jonat AppData Local Temp arc 22844b4 sdl arc64 dll_x000D_
0x00007fff09e50000   0x00007fff09f15000 	C: WINDOWS System32 OLEAUT32 dll_x000D_
0x00007fff09930000   0x00007fff09da0000 	C: WINDOWS System32 SETUPAPI dll_x000D_
0x00007ffee9230000   0x00007ffee9386000 	C: WINDOWS SYSTEM32 OPENGL32 dll_x000D_
0x00007ffef9df0000   0x00007ffef9e1c000 	C: WINDOWS SYSTEM32 GLU32 dll_x000D_
0x00007fff06850000   0x00007fff06870000 	C: WINDOWS SYSTEM32 dxcore dll_x000D_
0x00007fff05eb0000   0x00007fff05f49000 	C: WINDOWS system32 uxtheme dll_x000D_
0x00007fff09180000   0x00007fff092b5000 	C: WINDOWS System32 MSCTF dll_x000D_
0x00007ffec9340000   0x00007ffec9fc4000 	C: WINDOWS SYSTEM32 ig4icd64 dll_x000D_
0x00007fff097b0000   0x00007fff09852000 	C: WINDOWS System32 clbcatq dll_x000D_
0x00007ffef8120000   0x00007ffef81be000 	C: WINDOWS System32 TextInputFramework dll_x000D_
0x00007fff03780000   0x00007fff03aaa000 	C: WINDOWS System32 CoreUIComponents dll_x000D_
0x00007fff05b60000   0x00007fff05c34000 	C: WINDOWS System32 CoreMessaging dll_x000D_
0x00007fff06c40000   0x00007fff06c71000 	C: WINDOWS SYSTEM32 ntmarta dll_x000D_
0x00007fff03510000   0x00007fff03663000 	C: WINDOWS SYSTEM32 wintypes dll_x000D_
0x00007ffefdef0000   0x00007ffefe196000 	C: WINDOWS System32 iertutil dll_x000D_
0x00007fff06380000   0x00007fff063ad000 	C: WINDOWS SYSTEM32 dwmapi dll_x000D_
0x00007fff068e0000   0x00007fff069cb000 	C: WINDOWS SYSTEM32 dxgi dll_x000D_
0x00007fff053b0000   0x00007fff0560b000 	C: WINDOWS SYSTEM32 d3d11 dll_x000D_
0x00007ffefffb0000   0x00007fff00c00000 	C: WINDOWS SYSTEM32 igd10umd64 dll_x000D_
0x00007fff01460000   0x00007fff014d2000 	C: WINDOWS System32 MMDevApi dll_x000D_
0x00007fff07a00000   0x00007fff07a2a000 	C: WINDOWS System32 DEVOBJ dll_x000D_
0x00007ffefaf10000   0x00007ffefb06d000 	C: WINDOWS SYSTEM32 AUDIOSES DLL_x000D_
0x00007fff06290000   0x00007fff062a4000 	C: WINDOWS SYSTEM32 resourcepolicyclient dll_x000D_
0x00007fff036b0000   0x00007fff0375e000 	C: WINDOWS SYSTEM32 mscms dll_x000D_
0x00007fff034f0000   0x00007fff03507000 	C: WINDOWS SYSTEM32 ColorAdapterClient dll_x000D_
0x00007ffecd8c0000   0x00007ffecd903000 	C: WINDOWS SYSTEM32 icm32 dll_x000D_
0x0000000069a80000   0x0000000069b2b000 	C: Users Jonat AppData Local Temp arc fd391f27 gdx freetype64 dll_x000D_
0x00007ffef0bb0000   0x00007ffef0bd4000 	C: Users Jonat Desktop mindustry windows 64 bit jre bin sunec dll_x000D_
0x00007ffefd5b0000   0x00007ffefd5ba000 	C: Windows System32 rasadhlp dll_x000D_
0x00007ffeff0a0000   0x00007ffeff117000 	C: WINDOWS System32 fwpuclnt dll_x000D_
0x00007ffeea200000   0x00007ffeea262000 	C: Users Jonat AppData Local Medal app 4 625 0 resources app  external recorder Host graphics hook64 dll_x000D_
0x00007fff04f50000   0x00007fff053a2000 	C: WINDOWS SYSTEM32 D3DCompiler 47 dll_x000D_
0x00007fff016a0000   0x00007fff01894000 	C: WINDOWS SYSTEM32 dbghelp dll_x000D_
_x000D_
VM Arguments:_x000D_
java command:  unknown _x000D_
java class path (initial):  not set _x000D_
Launcher Type: generic_x000D_
_x000D_
Environment Variables:_x000D_
PATH C: Program Files (x86) Common Files Oracle Java javapath C: WINDOWS system32 C: WINDOWS C: WINDOWS System32 Wbem C: WINDOWS System32 WindowsPowerShell v1 0  C: Program Files (x86) IVI Foundation VISA WinNT Bin C: WINDOWS System32 OpenSSH  C: Program Files PuTTY  C: Users Jonat AppData Local Microsoft WindowsApps C: Users Jonat AppData Local atom bin_x000D_
USERNAME Jonat_x000D_
OS Windows NT_x000D_
PROCESSOR IDENTIFIER Intel64 Family 6 Model 42 Stepping 7  GenuineIntel_x000D_
_x000D_
_x000D_
_x000D_
                 S Y S T E M                 _x000D_
_x000D_
OS: Windows 10 0   64 bit Build 18362 (10 0 18362 900)_x000D_
_x000D_
CPU:total 4 (2 cores per cpu  2 threads per core) family 6 model 42 stepping 7  cmov  cx8  fxsr  mmx  sse  sse2  sse3  ssse3  sse4 1  sse4 2  popcnt  avx  aes  clmul  ht  tsc  tscinvbit_x000D_
_x000D_
Memory: 4k page  physical 16655372k(11481128k free)  swap 19145740k(14033340k free)_x000D_
_x000D_
vm info: OpenJDK 64 Bit Server VM (25 72 b15) for windows amd64 JRE (1 8 0 72 b15)  built on Jan 28 2016 11:10:06 by  tester  with MS VC   10 0 (VS2010)_x000D_
_x000D_
time: Wed Jun 24 11:21:47 2020_x000D_
elapsed time: 23 seconds (0d 0h 0m 23s)_x000D_
_x000D_
 _x000D_
_x000D_
   _x000D_
_x000D_
 Place an X (no spaces) between the brackets to confirm that you have read the line below    _x000D_
   X     I have searched the closed and open issues to make sure that this problem has not already been reported   _x000D_
</t>
  </si>
  <si>
    <t>inaturalist-iNaturalistAndroid-851</t>
  </si>
  <si>
    <t>IllegalArgumentException in ObservationProvider.delete</t>
  </si>
  <si>
    <t xml:space="preserve">https:  console firebase google com u 2 project inaturalist ios crashlytics app android:org inaturalist android issues da01986f267d9416ed4ca807e97691f3_x000D_
_x000D_
   _x000D_
Fatal Exception: java lang IllegalArgumentException: Too many bind arguments   1 arguments were provided but the statement needs 0 arguments _x000D_
       at android database sqlite SQLiteProgram  init (SQLiteProgram java:77)_x000D_
       at android database sqlite SQLiteStatement  init (SQLiteStatement java:33)_x000D_
       at android database sqlite SQLiteDatabase delete(SQLiteDatabase java:2141)_x000D_
       at org inaturalist android ObservationProvider delete(ObservationProvider java:418)_x000D_
       at android content ContentProvider Transport delete(ContentProvider java:400)_x000D_
       at android content ContentResolver delete(ContentResolver java:1956)_x000D_
       at org inaturalist android ObservationEditor delete(ObservationEditor java:1837)_x000D_
       at org inaturalist android ObservationEditor access 000(ObservationEditor java:137)_x000D_
       at org inaturalist android ObservationEditor 7 1 run(ObservationEditor java:603)_x000D_
       at org inaturalist android ObservationEditor 44 onClick(ObservationEditor java:3873)_x000D_
   _x000D_
_x000D_
Seems novel in the 1 19 x versions </t>
  </si>
  <si>
    <t>TeamNewPipe-NewPipe-3811</t>
  </si>
  <si>
    <t>can't unsubscribe</t>
  </si>
  <si>
    <t xml:space="preserve">
Oh no  a bug  It happens  Thanks for reporting an issue with NewPipe  If this is your first bug report  read the following information before proceeding: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P S : Our contribution guidelines might be a nice document to read before you fill out the report :) You can find it at https:  github com TeamNewPipe NewPipe blob HEAD  github CONTRIBUTING md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Version
     Which version are you using  Hopefully the latest  We just told you that above     
  0 19 5 and latest versions  this bug might be a year old
    Steps to reproduce the bug
1  Go to      
2  Press on       
3  Swipe down to       
Subscribe to a youtube or peertube channel 
Sometimes later  maybe a week  unsubscribe from that channel 
The channel s newest videos keep popping up in your news feed 
Export the feeds 
Check the exported file with a text editor 
The unsubscribed feed is still there 
Check the GUI of NewPipe 
It shows as if you are not subscribed to the channel 
     If you can t cause the bug to show up again reliably (and hence don t have a proper set of steps to give us)  please still try to give as many details as possible on how you think you encountered the bug     
This bug is quite old  But lately  after I subscribed to a busy peertube channel  it has become annoying      because I can not unsubscribe 
I have not tried to purge any cached data (searches  playing points  etc) 
edit:
I have this problem  for maybe about a year  with at least one youtube channel 
    Expected behavior
     Tell us what you expect to happen     
Unsubscribe from the  peertube or youtube channel 
    Actual behaviour
     Tell us what happens instead     
You are still subscribed to the channel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Logs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That s right  here     
</t>
  </si>
  <si>
    <t>k3b-APhotoManager-175</t>
  </si>
  <si>
    <t>Android-8.1: Opening map area filter after closing permissions will cause APhotoManager to crash</t>
  </si>
  <si>
    <t xml:space="preserve">  Describe the bug  _x000D_
Opening map area filter after closing permissions will cause APhotoManager to crash_x000D_
_x000D_
  To Reproduce  _x000D_
Steps to reproduce the behavior:_x000D_
1  Install APhotoManager_x000D_
2  Turn off the storage permission of APhotoManager in settings_x000D_
3  Open APhotoManager_x000D_
4  Click on the three points in the upper right corner_x000D_
5  Click  Map Area Filter _x000D_
6  See error_x000D_
_x000D_
  Expected behavior  _x000D_
APhotoManager shouldn t crash anyway_x000D_
_x000D_
  Smartphone (please complete the following information):  _x000D_
   Android version : Android 8 1 0_x000D_
   A Photo Manager Version : 0 8 3 200315_x000D_
_x000D_
  Additional context  _x000D_
  record (https:  user images githubusercontent com 15941953 85378863 a9059700 b56d 11ea 9860 33f5e8cf22a6 gif)_x000D_
_x000D_
  Crash Report  _x000D_
   _x000D_
06 23 16:12:50 646  2604  2793 E AndroidRuntime: FATAL EXCEPTION: AsyncTask  4_x000D_
06 23 16:12:50 646  2604  2793 E AndroidRuntime: Process: de k3b android androFotoFinder  PID: 2604_x000D_
06 23 16:12:50 646  2604  2793 E AndroidRuntime: java lang RuntimeException: An error occurred while executing doInBackground()_x000D_
06 23 16:12:50 646  2604  2793 E AndroidRuntime:        at android os AsyncTask 3 done(AsyncTask java:353)_x000D_
06 23 16:12:50 646  2604  2793 E AndroidRuntime:        at java util concurrent FutureTask finishCompletion(FutureTask java:383)_x000D_
06 23 16:12:50 646  2604  2793 E AndroidRuntime:        at java util concurrent FutureTask setException(FutureTask java:252)_x000D_
06 23 16:12:50 646  2604  2793 E AndroidRuntime:        at java util concurrent FutureTask run(FutureTask java:271)_x000D_
06 23 16:12:50 646  2604  2793 E AndroidRuntime:        at android os AsyncTask SerialExecutor 1 run(AsyncTask java:245)_x000D_
06 23 16:12:50 646  2604  2793 E AndroidRuntime:        at java util concurrent ThreadPoolExecutor runWorker(ThreadPoolExecutor java:1162)_x000D_
06 23 16:12:50 646  2604  2793 E AndroidRuntime:        at java util concurrent ThreadPoolExecutor Worker run(ThreadPoolExecutor java:636)_x000D_
06 23 16:12:50 646  2604  2793 E AndroidRuntime:        at java lang Thread run(Thread java:764)_x000D_
06 23 16:12:50 646  2604  2793 E AndroidRuntime: Caused by: java lang IllegalArgumentException: Missing SQL Column longitude latitude or  id_x000D_
06 23 16:12:50 646  2604  2793 E AndroidRuntime:        at de k3b android androFotoFinder locationmap MarkerLoaderTask doInBackground(MarkerLoaderTask java:118)_x000D_
06 23 16:12:50 646  2604  2793 E AndroidRuntime:        at de k3b android androFotoFinder locationmap MarkerLoaderTaskWithRecycling doInBackground(MarkerLoaderTaskWithRecycling java:74)_x000D_
06 23 16:12:50 646  2604  2793 E AndroidRuntime:        at de k3b android androFotoFinder locationmap MarkerLoaderTaskWithRecycling doInBackground(MarkerLoaderTaskWithRecycling java:37)_x000D_
06 23 16:12:50 646  2604  2793 E AndroidRuntime:        at android os AsyncTask 2 call(AsyncTask java:333)_x000D_
06 23 16:12:50 646  2604  2793 E AndroidRuntime:        at java util concurrent FutureTask run(FutureTask java:266)_x000D_
06 23 16:12:50 646  2604  2793 E AndroidRuntime:            4 more_x000D_
06 23 16:12:50 646  2604  2726 E SQLiteLog: (14) cannot open file at line 35803 of  605907e73a _x000D_
06 23 16:12:50 646  2604  2726 E SQLiteLog: (14) os unix c:35803: (2) open( storage emulated 0 osmdroid tiles cache db)  _x000D_
06 23 16:12:50 646  2604  2793 E k3bFoto :_x000D_
06 23 16:12:50 646  2604  2793 E k3bFoto :_x000D_
06 23 16:12:50 646  2604  2793 E k3bFoto : UncaughtException  Last know Activity_x000D_
06 23 16:12:50 646  2604  2793 E k3bFoto :_x000D_
06 23 16:12:50 646  2604  2793 E k3bFoto :    FotoGalleryActivity 0 0 _x000D_
06 23 16:12:50 646  2604  2793 E k3bFoto : LogCat uncaughtException java lang RuntimeException: An error occurred while executing doInBackground()_x000D_
06 23 16:12:50 646  2604  2793 E k3bFoto : java lang RuntimeException: An error occurred while executing doInBackground()_x000D_
06 23 16:12:50 646  2604  2793 E k3bFoto :      at android os AsyncTask 3 done(AsyncTask java:353)_x000D_
06 23 16:12:50 646  2604  2793 E k3bFoto :      at java util concurrent FutureTask finishCompletion(FutureTask java:383)_x000D_
06 23 16:12:50 646  2604  2793 E k3bFoto :      at java util concurrent FutureTask setException(FutureTask java:252)_x000D_
06 23 16:12:50 646  2604  2793 E k3bFoto :      at java util concurrent FutureTask run(FutureTask java:271)_x000D_
06 23 16:12:50 646  2604  2793 E k3bFoto :      at android os AsyncTask SerialExecutor 1 run(AsyncTask java:245)_x000D_
06 23 16:12:50 646  2604  2793 E k3bFoto :      at java util concurrent ThreadPoolExecutor runWorker(ThreadPoolExecutor java:1162)_x000D_
06 23 16:12:50 646  2604  2793 E k3bFoto :      at java util concurrent ThreadPoolExecutor Worker run(ThreadPoolExecutor java:636)_x000D_
06 23 16:12:50 646  2604  2793 E k3bFoto :      at java lang Thread run(Thread java:764)_x000D_
06 23 16:12:50 646  2604  2793 E k3bFoto : Caused by: java lang IllegalArgumentException: Missing SQL Column longitude latitude or  id_x000D_
06 23 16:12:50 646  2604  2793 E k3bFoto :      at de k3b android androFotoFinder locationmap MarkerLoaderTask doInBackground(MarkerLoaderTask java:118)_x000D_
06 23 16:12:50 646  2604  2793 E k3bFoto :      at de k3b android androFotoFinder locationmap MarkerLoaderTaskWithRecycling doInBackground(MarkerLoaderTaskWithRecycling java:74)_x000D_
06 23 16:12:50 646  2604  2793 E k3bFoto :      at de k3b android androFotoFinder locationmap MarkerLoaderTaskWithRecycling doInBackground(MarkerLoaderTaskWithRecycling java:37)_x000D_
06 23 16:12:50 646  2604  2793 E k3bFoto :      at android os AsyncTask 2 call(AsyncTask java:333)_x000D_
06 23 16:12:50 646  2604  2793 E k3bFoto :      at java util concurrent FutureTask run(FutureTask java:266)_x000D_
06 23 16:12:50 646  2604  2793 E k3bFoto :          4 more_x000D_
   _x000D_
</t>
  </si>
  <si>
    <t>Anuken-Mindustry-2184</t>
  </si>
  <si>
    <t>Changing The Map Editor Map Size... Majorly...</t>
  </si>
  <si>
    <t xml:space="preserve">  Platform  :  Windows _x000D_
_x000D_
  Build  :  Release Build 104 10  _x000D_
_x000D_
  Issue  :  Umm    I realize this may be an almost unavoidable way to change how the game works but while lying around I thought man what if Mindustry maps were bigger  Then I remembered I had Cheat Engine (Pretty sure you know what it is) Well anyway I went and changed the map size value to 99999999 something then the game crashed (Expected) Then I tried again with only 700  viola  It actually worked (Well at least with the edit in game feature  haven t tried anything else yet) it lagged for a second but it worked and functions perfectly  however when changing the value it goes back to 500 and stays until changed again with Cheat Engine  Just thought this was interesting is all  I don t know how to report it as a bug or a suggestion    This allows for bigger maps  _x000D_
_x000D_
  Steps to reproduce  :  Open Mindustry  Open Cheat Engine  select Mindustry from the processes button in Cheat Engine  Then make sure you have the map editor open in Mindustry with the Resize option visible  then on Cheat Engine enter 200 (Or whatever value a size is) then press first scan  it will show around 1000 something results  then in Mindustry change the size value by selecting a different number then go back to Cheat Engine and type the new value in and press Next Scan  this should narrow down the results  do as many times as necessary (I only needed one Next Scan) then double click the one value you see and in the section below it will appear  there simply change the number to whatever (Make sure you keep both programs open of course don t close them out)  _x000D_
_x000D_
   _x000D_
_x000D_
 Place an X (no spaces) between the brackets to confirm that you have read the line below    _x000D_
   X    I have searched the closed and open issues to make sure that this problem has not already been reported   _x000D_
</t>
  </si>
  <si>
    <t>Dar9586-NClientV2-173</t>
  </si>
  <si>
    <t>Performance issues</t>
  </si>
  <si>
    <t xml:space="preserve">Everything is fine on 2 2 2 7_x000D_
But the performance goes so low at 2  2 2 8 and above _x000D_
Especially during reading of pictures_x000D_
Of downloaded and online doujins _x000D_
(It always crashes on my phone)_x000D_
And returning to 2 2 2 7 will make me to unable to search using numbers or titles _x000D_
Can you please put an option for us to use the older more stable option </t>
  </si>
  <si>
    <t>getodk-collect-3935</t>
  </si>
  <si>
    <t>Crash when navigating to Form Hierarchy</t>
  </si>
  <si>
    <t xml:space="preserve">     Software and hardware versions _x000D_
Collect v1 27 2 (and previous versions)_x000D_
_x000D_
     Problem description_x000D_
_x000D_
The app can crash if  instanceFile  is  null  in the app s  FormController  instance  Crash seen in Firebase: https:  console firebase google com u 0 project api project 322300403941 crashlytics app android:org odk collect android issues 589a5fd64d5115cc3a1fa88e067346a2 time last seven days sessionId 5EF06C4C01150001215EC47FED3DAC57 DNE 8 v2_x000D_
_x000D_
     Steps to reproduce the problem_x000D_
_x000D_
 _x000D_
_x000D_
     Expected behavior_x000D_
_x000D_
App should not be able to get into this situation  Any path way that would lead to the  instanceFile  being  null  should exit form entry _x000D_
</t>
  </si>
  <si>
    <t>material-components-material-components-android-1431</t>
  </si>
  <si>
    <t>[TextInputLayout] background for endIconMode `dropdown_menu` is set from code</t>
  </si>
  <si>
    <t xml:space="preserve">  Description:   _x000D_
First of all: when  endIconMode  in  TextInputLayout  set  dropdown menu  there is a crash that   boxBackgroundMode   none  is not supported for the end icon mode :(_x000D_
_x000D_
I ve tried to set custom background via style for  TextInputLayout _x000D_
 The given style worked fine for 1 2 0 alpha05 and older library versions :_x000D_
_x000D_
   _x000D_
 style name  MyApp Widget MaterialComponents TextInputLayout OutlinedBox Dense ExposedDropdownMenu  parent  Base Widget MaterialComponents TextInputLayout  _x000D_
         item name  materialThemeOverlay   style MyApp ThemeOverlay Design TextInputEditText Dropdown_x000D_
          item _x000D_
_x000D_
         item name  boxBackgroundMode  outline  item _x000D_
         item name  endIconMode  dropdown menu  item _x000D_
           _x000D_
      style _x000D_
_x000D_
     style name  MyApp ThemeOverlay Design TextInputEditText Dropdown  parent  ThemeOverlay Design TextInputEditText  _x000D_
         item name  autoCompleteTextViewStyle   style MyApp Widget AppCompat AutoCompleteTextView  item _x000D_
         item name  endIconDrawable   drawable selector dropdown  item _x000D_
      style _x000D_
_x000D_
     style name  MyApp Widget AppCompat AutoCompleteTextView  parent  Widget AppCompat AutoCompleteTextView  _x000D_
         item name  backgroundTint   color selector my app input background  item _x000D_
           _x000D_
         item name  android:background   attr editTextBackground  item _x000D_
      style _x000D_
   _x000D_
And set it as style in layout_x000D_
   _x000D_
 com google android material textfield TextInputLayout_x000D_
            android:id    id tilSuffix _x000D_
            style   style MyApp Widget MaterialComponents TextInputLayout FilledBox Dense ExposedDropdownMenu _x000D_
                _x000D_
   _x000D_
But the layout changes the background based on  boxBackgroundMode   and my background is replaced to another drawable _x000D_
As I understood  the issue is in the  DropdownMenuEndIconDelegate setPopupBackground( NonNull AutoCompleteTextView editText)  method that is called during initialization:_x000D_
   _x000D_
if (IS LOLLIPOP)  _x000D_
      int boxBackgroundMode   textInputLayout getBoxBackgroundMode() _x000D_
      if (boxBackgroundMode    TextInputLayout BOX BACKGROUND OUTLINE)  _x000D_
        editText setDropDownBackgroundDrawable(outlinedPopupBackground) _x000D_
        else if (boxBackgroundMode    TextInputLayout BOX BACKGROUND FILLED)  _x000D_
        editText setDropDownBackgroundDrawable(filledPopupBackground) _x000D_
       _x000D_
     _x000D_
   _x000D_
_x000D_
  Expected behavior:  _x000D_
Dropdown should be as flexible as input fields to keep the same style for all fields in an app _x000D_
  image (https:  user images githubusercontent com 24409716 85254039 116a5080 b468 11ea 9810 0cd313494661 png)_x000D_
_x000D_
  Current behavior:  _x000D_
  image (https:  user images githubusercontent com 24409716 85254300 9b1a1e00 b468 11ea 96be ed0fcadbf760 png)_x000D_
_x000D_
  Android API version:   23 and higher (not sure about older versions)_x000D_
_x000D_
  Material Library version:   1 2 0 beta01  1 3 0 alpha01_x000D_
_x000D_
  Device:   All devices_x000D_
</t>
  </si>
  <si>
    <t>Anuken-Mindustry-2180</t>
  </si>
  <si>
    <t>achievement problem when went from Android to Steam version</t>
  </si>
  <si>
    <t xml:space="preserve">  Platform  :  Android iOS Mac Windows Linux _x000D_
android  windows_x000D_
  Build  :  The build number under the title in the main menu  Required  _x000D_
104 10_x000D_
  Issue  :  Explain your issue in detail  _x000D_
I played Mindustry on Android  Then I transferred this save to the Steam version of the game  It worked perfectly but I can t get achievements  Material I  and  Material II  because i unlocked titanium and thorium on phone  Didn t find solution in the net _x000D_
  achievements (https:  user images githubusercontent com 67225529 85223247 3f00bc80 b3ca 11ea 8e05 66dce604fdc2 png)_x000D_
  main screen (https:  user images githubusercontent com 67225529 85223248 4031e980 b3ca 11ea 9a79 5b66255e42fb png)_x000D_
  Steps to reproduce  :  How you happened across the issue  and what you were doing at the time  _x000D_
Didn t try anything  I know that I can clear game data and start new game to achieve ores second time but if there are other way _x000D_
  Link to mod(s) used  if applicable  :  The mod repositories or zip files that are related to the issue  _x000D_
Didn t use any mods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</si>
  <si>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ankidroid-Anki-Android-6518</t>
  </si>
  <si>
    <t>UI can be accessed while syncing</t>
  </si>
  <si>
    <t xml:space="preserve">Going to be replicated in a lot of stack traces where the database is null  Caused by pressing a deck and sync at the same time _x000D_
_x000D_
https:  couchdb ankidroid org acralyzer  design acralyzer index html  report details d8b3f32d e3f4 4a92 94ab 219bab588927_x000D_
_x000D_
   _x000D_
0	          beginning of main_x000D_
1	06 20 19:48:21 834 I AnkiDroid( 8128): Sync: getting meta data from server_x000D_
2	06 20 19:48:21 838 I AnkiDroid( 8128): Sync: building local meta data_x000D_
3	06 20 19:48:21 884 I AnkiDroid( 8128): Sync: collection removed data_x000D_
4	06 20 19:48:21 887 I AnkiDroid( 8128): Sync: sending and receiving removed data_x000D_
5	06 20 19:48:21 994 I AnkiDroid( 8128): Sync: applying removed data_x000D_
6	06 20 19:48:21 994 I AnkiDroid( 8128): Sync: collection small changes_x000D_
7	06 20 19:48:21 995 I AnkiDroid( 8128): Sync: sending and receiving small changes_x000D_
8	06 20 19:48:22 108 I AnkiDroid( 8128): Sync: merging small changes_x000D_
9	06 20 19:48:22 109 I AnkiDroid( 8128): Sync: downloading chunked data_x000D_
10	06 20 19:48:22 221 I AnkiDroid( 8128): Sync: applying chunked data_x000D_
11	06 20 19:48:22 225 I AnkiDroid( 8128): Sync: collecting chunked data_x000D_
12	06 20 19:48:22 301 I AnkiDroid( 8128): Sync: sending chunked data_x000D_
13	06 20 19:48:22 525 I AnkiDroid( 8128): Sync: collecting chunked data_x000D_
14	06 20 19:48:22 554 I AnkiDroid( 8128): Sync: sending chunked data_x000D_
15	06 20 19:48:22 863 I AnkiDroid( 8128): Sync: sending finish command_x000D_
16	06 20 19:48:23 021 I AnkiDroid( 8128): Sync: finishing_x000D_
17	06 20 19:48:23 033 I AnkiDroid( 8128): flush   Saving information to DB   _x000D_
18	06 20 19:48:23 060 I AnkiDroid( 8128): Sync   Performing media sync_x000D_
19	06 20 19:48:23 340 I AnkiDroid( 8128): Sync Finished   Closing Collection_x000D_
20	06 20 19:48:23 347 I AnkiDroid( 8128): Collection closed_x000D_
21	06 20 19:48:23 405 I AnkiDroid( 8128): Sync was successful_x000D_
22	06 20 19:48:23 406 I AnkiDroid( 8128): Regular sync completed successfully_x000D_
23	06 20 19:48:23 422 I AnkiDroid( 8128): Begin openCollection:  storage emulated 0 AnkiDroid collection anki2_x000D_
24	06 20 19:48:23 476 I AnkiDroid( 8128): End openCollection:  storage emulated 0 AnkiDroid collection anki2_x000D_
25	06 20 19:48:23 516 I AnkiDroid( 8128): Updating deck list UI_x000D_
26	06 20 19:48:24 813 I AnkiDroid( 8128): Back key pressed_x000D_
27	06 20 19:48:24 813 I AnkiDroid( 8128): finishWithAnimation 4_x000D_
28	06 20 19:48:24 823 I AnkiDroid( 8128): AnkiActivity::onPause_x000D_
29	06 20 19:48:24 841 I AnkiDroid( 8128): AnkiActivity::onStart_x000D_
30	06 20 19:48:24 843 I AnkiDroid( 8128): AnkiActivity::onResume_x000D_
31	06 20 19:48:25 246 I AnkiDroid( 8128): AnkiActivity::onStop_x000D_
32	06 20 19:48:25 249 I AnkiDroid( 8128): AnkiActivity::onDestroy_x000D_
33	06 20 19:48:30 709 I AnkiDroid( 8128): AbstractFlashcardViewer:: Show answer button pressed_x000D_
34	06 20 19:48:32 243 I AnkiDroid( 8128): AbstractFlashcardViewer:: EASE 2 pressed_x000D_
35	06 20 19:48:32 244 I AnkiDroid( 8128): Answering card_x000D_
36	06 20 19:48:32 245 I AnkiDroid( 8128): Answering card 1419509796581_x000D_
37	06 20 19:48:32 256 E AnkiDroid( 8128): CollectionTask  doInBackgroundAnswerCard   RuntimeException on answering card_x000D_
     crash_x000D_
   _x000D_
_x000D_
   _x000D_
java lang NullPointerException: Attempt to invoke virtual method  int com ichi2 libanki DB update(java lang String  android content ContentValues  java lang String  java lang String  )  on a null object reference_x000D_
at com ichi2 libanki Card flushSched(Card java:17)_x000D_
at com ichi2 libanki sched Sched answerCard(Sched java:26)_x000D_
at com ichi2 async CollectionTask doInBackgroundAnswerCard(CollectionTask java:9)_x000D_
at com ichi2 async CollectionTask doInBackground(CollectionTask java:52)_x000D_
at com ichi2 async CollectionTask doInBackground(CollectionTask java:1)_x000D_
at android os AsyncTask 2 call(AsyncTask java:333)_x000D_
at java util concurrent FutureTask run(FutureTask java:266)_x000D_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t>
  </si>
  <si>
    <t>ankidroid-Anki-Android-6516</t>
  </si>
  <si>
    <t>Crash when using "check pronounciation" during reviews</t>
  </si>
  <si>
    <t xml:space="preserve">       Reproduction Steps_x000D_
_x000D_
1  Review a card_x000D_
2  Menu   check pronounciation_x000D_
_x000D_
_x000D_
       Expected Result_x000D_
_x000D_
Actually I don t know what this new feature is doing  but my expectation was that it works without crashing_x000D_
_x000D_
       Actual Result_x000D_
_x000D_
App crash  Report is being sent _x000D_
_x000D_
       Debug info_x000D_
AnkiDroid Version   2 12alpha14_x000D_
_x000D_
Android Version   9_x000D_
_x000D_
ACRA UUID   1f29f610 893a 403f 83d5 25a26ba97fe0_x000D_
_x000D_
_x000D_
       Research_x000D_
 Enter an  x  character to confirm the points below: _x000D_
_x000D_
   x   I have read the  support page (https:  ankidroid org docs help html) and am reporting a bug or enhancement request specific to AnkiDroid_x000D_
   x   I have checked the  manual (https:  ankidroid org docs manual html) and the  FAQ (https:  github com ankidroid Anki Android wiki FAQ) and could not find a solution to my issue_x000D_
    x  I have searched for similar existing issues here and on the user forum_x000D_
   x   (Optional) I have confirmed the issue is not resolved in the latest alpha release ( instructions (https:  docs ankidroid org manual html betaTesting))_x000D_
_x000D_
</t>
  </si>
  <si>
    <t>cgeo-cgeo-8481</t>
  </si>
  <si>
    <t>GPX track: Crash if selected track file removed</t>
  </si>
  <si>
    <t xml:space="preserve">Taken from https:  github com cgeo cgeo issues 2469 issuecomment 646968107:_x000D_
_x000D_
Map view crashes on opening  if a formerly selected track file is no longer available </t>
  </si>
  <si>
    <t>cgeo-cgeo-8480</t>
  </si>
  <si>
    <t>GPX track: Crash on loading invalid GPX track file</t>
  </si>
  <si>
    <t>Taken from https:  github com cgeo cgeo issues 2469 issuecomment 646968107:_x000D_
_x000D_
after choosing an incorrectly formatted file (like the one exported with the previous track export version  with two lat but no lon tag) c:geo first stutters  then hangs  and finally crashes</t>
  </si>
  <si>
    <t>TeamNewPipe-NewPipe-3799</t>
  </si>
  <si>
    <t>Tooltip jump crashes android totally.</t>
  </si>
  <si>
    <t xml:space="preserve">    
Oh no  a bug  It happens  Thanks for reporting an issue with NewPipe  If this is your first bug report  read the following information before proceeding: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P S : Our contribution guidelines might be a nice document to read before you fill out the report :) You can find it at https:  github com TeamNewPipe NewPipe blob HEAD  github CONTRIBUTING md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Version
     Which version are you using  Hopefully the latest  We just told you that above     
  0 19 5
    Steps to reproduce the bug
1  Go to      
2  Press on       
3  Swipe down to       
1  Launch app
2  Long press the  Trending  tab (having fire symbol)  
3  After a popup shows up  long press the same  Trending  tab again  
4  Crashes my phone (Android 6 0)  but if I lock I can hear the locking sound  
     If you can t cause the bug to show up again reliably (and hence don t have a proper set of steps to give us)  please still try to give as many details as possible on how you think you encountered the bug     
    Expected behavior
     Tell us what you expect to happen     
    Actual behaviour
     Tell us what happens instead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I could record the video from another device  Let me know if you people need it  
    Logs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That s right  here     
</t>
  </si>
  <si>
    <t>NexdApp-nexd-android-140</t>
  </si>
  <si>
    <t>[BUG] App crashes when there is no internet availabled</t>
  </si>
  <si>
    <t xml:space="preserve">     Describe the bug_x000D_
App doesn t work and crashes when there is no internet available _x000D_
_x000D_
      Current behavior_x000D_
The app crashes without internet on start  It also crashes when the internet connection is lost during the app usage when a call to the API is made _x000D_
_x000D_
     Expected behavior_x000D_
App should not launch informing the user that internet connection is required for usage _x000D_
When there is no internet connection available during an api call  the user should be informed _x000D_
_x000D_
     Steps to reproduce_x000D_
Start the app in airplane mode _x000D_
Switch the device to air plane mode during usage and open e g   your requests _x000D_
_x000D_
     Tech info_x000D_
   Device: Samsung Galaxy S6  Samsung A90 5G_x000D_
   OS: Android 7  Android 10_x000D_
</t>
  </si>
  <si>
    <t>frostwire-frostwire-909</t>
  </si>
  <si>
    <t>[desktop/macos] OpenJDK14 Crash with 2nd Monitor - Thread 22 Crashed:: Java: Java2D Queue Flusher</t>
  </si>
  <si>
    <t xml:space="preserve">Happen with jdk 14 0 1 jdk_x000D_
_x000D_
When running frostwire for macos on a second screen this randomly happens:_x000D_
_x000D_
   _x000D_
Thread 22 Crashed:: Java: Java2D Queue Flusher_x000D_
0   libsystem kernel dylib        	0x00007fff6bcc633a   pthread kill   10_x000D_
1   libsystem pthread dylib       	0x00007fff6bd82e60 pthread kill   430_x000D_
2   libsystem c dylib             	0x00007fff6bc4d808 abort   120_x000D_
3   libjvm dylib                  	0x0000000109138ee2 os::abort(bool  void   void const )   22_x000D_
4   libjvm dylib                  	0x000000010928fd8e VMError::report and die(int  char const   char const     va list tag   Thread   unsigned char   void   void   char const   int  unsigned long)   2798_x000D_
5   libjvm dylib                  	0x000000010928f27b VMError::report and die(Thread   unsigned int  unsigned char   void   void   char const      )   155_x000D_
6   libjvm dylib                  	0x000000010928fe15 VMError::report and die(Thread   unsigned int  unsigned char   void   void )   33_x000D_
7   libjvm dylib                  	0x000000010913c7d7 JVM handle bsd signal   786_x000D_
8   libjvm dylib                  	0x000000010913a3d0 signalHandler(int    siginfo   void )   45_x000D_
9   libsystem platform dylib      	0x00007fff6bd775fd  sigtramp   29_x000D_
10                                	000000000000000000 0   0_x000D_
11  libawt lwawt dylib            	0x0000000111bbf638 CGLSD MakeCurrentToScratch   71_x000D_
12  libawt lwawt dylib            	0x0000000111bbf741 OGLSD MakeOGLContextCurrent   88_x000D_
13  libawt lwawt dylib            	0x0000000111bdfcc2 OGLContext SetSurfaces   133_x000D_
14  libawt lwawt dylib            	0x0000000111be3c80 Java sun java2d opengl OGLRenderQueue flushBuffer   2200_x000D_
15                                	0x000000011a58775d 0   4736972637_x000D_
16                                	0x000000011b0012cc 0   4747956940_x000D_
   _x000D_
_x000D_
Will have to wait to release a macos bulid with OpenJDK14  this crash is very annoying </t>
  </si>
  <si>
    <t>GoogleCloudPlatform-fda-mystudies-530</t>
  </si>
  <si>
    <t>[ios] app crash</t>
  </si>
  <si>
    <t xml:space="preserve">I received the following crash from a user:_x000D_
_x000D_
 img width  960  alt  Screen Shot 2020 06 19 at 1 16 35 PM  src  https:  user images githubusercontent com 1202776 85176687 3e7fee80 b22f 11ea 8df0 83095674e28d png  _x000D_
</t>
  </si>
  <si>
    <t>Azure-azure-iot-sdk-java-817</t>
  </si>
  <si>
    <t>Fatal Exception while attempting reconnect to IoT Hub Transport</t>
  </si>
  <si>
    <t xml:space="preserve">  OS and version used: Android 10_x000D_
  Package version: _x000D_
_x000D_
   _x000D_
    implementation  androidx multidex:multidex:2 0 1 _x000D_
    api  com microsoft azure sdk iot:iot device client:1 18 0 _x000D_
   _x000D_
_x000D_
  transmission protocol: MQTT_x000D_
_x000D_
We are getting sporadic crash reports coming from within the internals of the java MQTT implementation _x000D_
 _x000D_
Have you seen this  Not sure we can trap them and how to recover from them _x000D_
_x000D_
 _x000D_
Fatal Exception: java lang NullPointerException: Attempt to invoke virtual method  boolean org eclipse paho client mqttv3 f e()  on a null object reference_x000D_
       at com microsoft azure sdk iot device transport mqtt Mqtt subscribe(Mqtt java:282)_x000D_
       at com microsoft azure sdk iot device transport mqtt MqttMessaging start(MqttMessaging java:62)_x000D_
       at com microsoft azure sdk iot device transport mqtt MqttIotHubConnection a(MqttIotHubConnection java:187)_x000D_
       at com microsoft azure sdk iot device transport IotHubTransport openConnection(IotHubTransport java:707)_x000D_
       at com microsoft azure sdk iot device transport IotHubTransport singleReconnectAttempt(IotHubTransport java:834)_x000D_
       at com microsoft azure sdk iot device transport IotHubTransport reconnect(IotHubTransport java:783)_x000D_
       at com microsoft azure sdk iot device transport IotHubTransport b(IotHubTransport java:738)_x000D_
       at com microsoft azure sdk iot device transport IotHubTransport onConnectionLost(IotHubTransport java:201)_x000D_
       at com microsoft azure sdk iot device transport ReconnectionNotifier 1 run(ReconnectionNotifier java:21)_x000D_
       at java lang Thread run(Thread java:919)_x000D_
 _x000D_
_x000D_
_x000D_
AB 7500965</t>
  </si>
  <si>
    <t>Anuken-Mindustry-2176</t>
  </si>
  <si>
    <t>I think this is a bug</t>
  </si>
  <si>
    <t xml:space="preserve">  android  :  Android iOS Mac Windows Linux _x000D_
_x000D_
  104 6  :  The build number under the title in the main menu  Required  _x000D_
_x000D_
  me and a friend were making surge alloy and the core wasn t accepting them and was trowing them away  :  Explain your issue in detail  _x000D_
_x000D_
  we made a surge alloy smelter and after connecting the right ammount of items when we connected it to the core it was getting stuck at 13 14  :  How you happened across the issue  and what you were doing at the time  _x000D_
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</si>
  <si>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TeamNewPipe-NewPipe-3796</t>
  </si>
  <si>
    <t>Audio/Video Desync</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</si>
  <si>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5_x000D_
  Pocophone Poco F1   Android 10   AOSP Extended (AEX)_x000D_
_x000D_
    Steps to reproduce the bug_x000D_
    _x000D_
1  Go to      _x000D_
2  Press on       _x000D_
3  Swipe down to       _x000D_
   _x000D_
_x000D_
1  Open any video  I tested with different videos from different channels  all of them with this issue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video playing nomal with the audio in sync with the video_x000D_
_x000D_
    Actual behaviour_x000D_
     Tell us what happens instead     _x000D_
_x000D_
The video plays normally  but looking carefully  the video and audio began to go out of sync slowly (with video first)  The audio is few seconds ahead of the video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NA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NA _x000D_
     That s right  here     _x000D_
</t>
  </si>
  <si>
    <t>Roaim-DTBazar-43</t>
  </si>
  <si>
    <t>Android: FirebaseRemoteConfigClientException: Failed to get Firebase Instance ID token for fetch.</t>
  </si>
  <si>
    <t xml:space="preserve">  Describe the bug  _x000D_
App crashes when device connected to the WiFi which isn t connected to the internet and remote config doesn t have previously stored value  It shows the following error message:_x000D_
 com google firebase remoteconfig FirebaseRemoteConfigClientException: Failed to get Firebase Instance ID token for fetch  _x000D_
_x000D_
  To Reproduce  _x000D_
Steps to reproduce the behavior:_x000D_
1  Connect to a WiFi which isn t connected to the internet_x000D_
2  Uninstall the previous app_x000D_
3  Install and open it_x000D_
4  Wait for a while_x000D_
5  After a while the app crashes_x000D_
_x000D_
  Expected behavior  _x000D_
App should not crash_x000D_
_x000D_
  Smartphone:  _x000D_
   Device: Oneplus 6_x000D_
   OS: Android 10_x000D_
   Version: 1 35 36_x000D_
_x000D_
  Additional context  _x000D_
Stack trace:_x000D_
   _x000D_
2020 06 19 17:48:02 321 30241 30241 app roaim dtbazar demo E AndroidRuntime: FATAL EXCEPTION: main_x000D_
    Process: app roaim dtbazar demo  PID: 30241_x000D_
    com google android gms tasks RuntimeExecutionException: com google firebase remoteconfig FirebaseRemoteConfigClientException: Failed to get Firebase Instance ID token for fetch _x000D_
        at com google android gms tasks zzu getResult(Unknown Source:15)_x000D_
        at app roaim dtbazar MainActivity onCreate 2 onComplete(MainActivity kt:74)_x000D_
        at com google android gms tasks zzj run(Unknown Source:4)_x000D_
        at android os Handler handleCallback(Handler java:883)_x000D_
        at android os Handler dispatchMessage(Handler java:100)_x000D_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Caused by: com google firebase remoteconfig FirebaseRemoteConfigClientException: Failed to get Firebase Instance ID token for fetch _x000D_
        at com google firebase remoteconfig internal ConfigFetchHandler lambda fetchIfCacheExpiredAndNotThrottled 1(com google firebase:firebase config  19 1 4:201)_x000D_
        at com google firebase remoteconfig internal ConfigFetchHandler  Lambda 2 then(Unknown Source:4)_x000D_
        at com google android gms tasks zzf run(Unknown Source:2)_x000D_
        at java util concurrent ThreadPoolExecutor runWorker(ThreadPoolExecutor java:1167)_x000D_
        at java util concurrent ThreadPoolExecutor Worker run(ThreadPoolExecutor java:641)_x000D_
        at java lang Thread run(Thread java:919)_x000D_
     Caused by: java io IOException: SERVICE NOT AVAILABLE_x000D_
        at com google firebase iid zzu then(com google firebase:firebase iid  20 1 5:16)_x000D_
        at com google android gms tasks zzd run(Unknown Source:5)_x000D_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java:919) _x000D_
   _x000D_
</t>
  </si>
  <si>
    <t>Anuken-Mindustry-2173</t>
  </si>
  <si>
    <t>Item with Content ID over 128 corrupts the save</t>
  </si>
  <si>
    <t xml:space="preserve">  Platform  :  Android _x000D_
_x000D_
  Build  :  104 6 _x000D_
_x000D_
  Issue  :  I noticed some items are not saving(failing while saving) corrupting the save file(failing while loading)  All items were auto generated by events(yes  I know I am not supposed to do that in the first place)  but only items with ID over 127(127 works fine  128 does not) are not working  Some questions: 1 Does normal mods with more than 127 items show this behavior  2 Is there any recommended way to do what I did with my mod(I am aware of the events not clearing)  3 Any way to prevent this behavior  _x000D_
_x000D_
  Steps to reproduce  :  Install sk7725 MoreItems and then use the modded items(place them on a conveyor belt)  _x000D_
_x000D_
  Link to mod(s) used  if applicable  :   https:  github com sk7725 MoreItems (https:  github com sk7725 MoreItems) _x000D_
_x000D_
  Crash report  if applicable  :  No crashes  but the log has something to say:    _x000D_
 E  Failed to generate preview : java io IOException: Error reading region  preview map   	at mindustry io SaveFileReader region(SaveFileReader java:25) 	at mindustry io MapIO generatePreview(MapIO java:101) 	at mindustry maps Maps createNewPreview(Maps java:410) 	at mindustry maps Maps lambda createAllPreviews 13 Maps(Maps java:396) 	at mindustry maps    Lambda Maps xakoXGWzDtWrO2azb6OIoB GRtM run(Unknown Source:2) 	at arc backend android AndroidGraphics lambda onDrawFrame 0 AndroidGraphics(AndroidGraphics java:426) 	at arc backend android    Lambda AndroidGraphics E5Jhq3pDs174QxCFAWFeVbXthOc run(Unknown Source:2) 	at arc backend android AndroidGraphics runProtected(AndroidGraphics java:479) 	at arc backend android AndroidGraphics onDrawFrame(AndroidGraphics java:424) 	at android opengl GLSurfaceView GLThread guardedRun(GLSurfaceView java:1571) 	at android opengl GLSurfaceView GLThread run(GLSurfaceView java:1270) Caused by: java io IOException: Failed to read tile entity of block: steam power electric conveyor 	at mindustry io SaveVersion readMap(SaveVersion java:197) 	at mindustry io MapIO lambda generatePreview 1(MapIO java:101) 	at mindustry io    Lambda MapIO uI64QpIyM92bDQ60wrzrHG6QCfk accept(Unknown Source:10) 	at mindustry io SaveFileReader readChunk(SaveFileReader java:72) 	at mindustry io SaveFileReader readChunk(SaveFileReader java:66) 	at mindustry io SaveFileReader region(SaveFileReader java:23) 	    10 more Caused by: java io EOFException 	at java io DataInputStream readFully(DataInputStream java:200) 	at java io DataInputStream readInt(DataInputStream java:389) 	at mindustry world blocks distribution Conveyor ConveyorEntity read(Conveyor java:371) 	at mindustry io SaveVersion lambda readMap 3(SaveVersion java:194) 	at mindustry io    Lambda SaveVersion rS GIx1N670CbLVsyjXicgFQPU4 accept(Unknown Source:4) 	at mindustry io SaveFileReader readChunk(SaveFileReader java:72) 	at mindustry io SaveVersion readMap(SaveVersion java:192) 	    15 more   _x000D_
 _x000D_
_x000D_
   _x000D_
_x000D_
 Place an X (no spaces) between the brackets to confirm that you have read the line below    _x000D_
   X    I have searched the closed and open issues to make sure that this problem has not already been reported   _x000D_
</t>
  </si>
  <si>
    <t>TeamNewPipe-NewPipe-3794</t>
  </si>
  <si>
    <t>Fixes crash when a file is deleted then redownloaded</t>
  </si>
  <si>
    <t xml:space="preserve">     Hey there  Thank you so much for improving NewPipe  Please take a moment to fill out the following suggestion on how to structure this PR description  Having roughly the same layout helps everyone considerably :)   _x000D_
_x000D_
     What is it _x000D_
   x  Bug fix (user facing)_x000D_
      Feature (user facing)_x000D_
      Code base improvement (dev facing)_x000D_
      Meta improvement to the project (dev facing)_x000D_
_x000D_
     Description of the changes in your PR_x000D_
     While bullet points are the norm in this section  feel free to write a text instead if you can t fit it in a list    _x000D_
  Adds a null check before a String comparison on the equals method_x000D_
  Fixes bug where downloading the same deleted file would cause the app to crash on a NullPointerException_x000D_
_x000D_
     Fixes the following issue(s)_x000D_
  fixes  3782_x000D_
_x000D_
_x000D_
     Testing apk_x000D_
     Ensure that you have your changes on a new branch which has a meaningful name  This name will be used as a suffix for the app ID to allow installing and testing multiple versions of NewPipe  Do NOT name your branches like  patch 0  and  feature 1   For example  if your PR implements a bug fix for comments  an appropriate branch name would be  commentfix      _x000D_
 debug zip (https:  github com TeamNewPipe NewPipe files 4802345 debug zip)_x000D_
_x000D_
     Agreement_x000D_
   x  I carefully read the  contribution guidelines (https:  github com TeamNewPipe NewPipe blob HEAD  github CONTRIBUTING md) and agree to them _x000D_
</t>
  </si>
  <si>
    <t>twilio-voice-quickstart-android-352</t>
  </si>
  <si>
    <t>Calling connect() after calling the deprecated Voice.setRegion() crashes with IAE</t>
  </si>
  <si>
    <t xml:space="preserve">    Description_x000D_
_x000D_
From the  changelog of 5 3 0 (https:  www twilio com docs voice voip sdk android 3x changelog 530)   setRegion  is deprecated but it s not supposed to be a breaking change _x000D_
However  calling  Voice connect()  after  Voice setRegion( au1 )  crashes with the following exception:_x000D_
_x000D_
   _x000D_
Fatal Exception: java lang IllegalArgumentException: Non default region value au1 has already been specified  Please use Voice edge or Voice region to specify the Twilio Region that the SDK connects to _x000D_
       at com twilio voice Preconditions checkArgument(Preconditions java:158)_x000D_
       at com twilio voice Voice setEdge(Voice java:1157)_x000D_
       at com twilio voice Voice loadLibrary(Voice java:1245)_x000D_
       at com twilio voice MediaFactory instance(MediaFactory java:31)_x000D_
       at com twilio voice LocalAudioTrack create(LocalAudioTrack java:82)_x000D_
       at com twilio voice LocalAudioTrack create(LocalAudioTrack java:29)_x000D_
       at com twilio voice Voice connect(Voice java:573)_x000D_
       at com spoke RNTelephony TelephonyModule connect(TelephonyModule java:1261)_x000D_
       at java lang reflect Method invoke(Method java)_x000D_
       at com facebook react bridge JavaMethodWrapper invoke(JavaMethodWrapper java:372)_x000D_
       at com facebook react bridge JavaModuleWrapper invoke(JavaModuleWrapper java:158)_x000D_
       at com facebook react bridge queue NativeRunnable run(NativeRunnable java)_x000D_
       at android os Handler handleCallback(Handler java:883)_x000D_
       at android os Handler dispatchMessage(Handler java:100)_x000D_
       at com facebook react bridge queue MessageQueueThreadHandler dispatchMessage(MessageQueueThreadHandler java:29)_x000D_
       at android os Looper loop(Looper java:214)_x000D_
       at com facebook react bridge queue MessageQueueThreadImpl 4 run(MessageQueueThreadImpl java:232)_x000D_
       at java lang Thread run(Thread java:919)_x000D_
   _x000D_
_x000D_
From the stack trace  it looks like  Voice setEdge  is called internally by  Voice connect  which causes the crash as per the doc of  setEdge  _x000D_
_x000D_
  NOTE: Setting the edge during a call will not be applied to ongoing calls  The edge will be applied to subsequent connect(Context  String  Call Listener) or handleMessage(Context  Bundle  MessageListener) API calls  The SDK will throw the IllegalArgumentException if both edge and  region  values are specified _x000D_
_x000D_
    Steps to Reproduce_x000D_
_x000D_
1  Upgrade to SDK 5 3 0_x000D_
2  Set region by  Voice setRegion _x000D_
3  Make a call via  Voice connect _x000D_
_x000D_
     Expected Behavior_x000D_
_x000D_
The call is made successfully on the configured region _x000D_
_x000D_
     Actual Behavior_x000D_
_x000D_
The app crashes _x000D_
_x000D_
     Reproduces How Often_x000D_
_x000D_
Every time we call  setRegion  before  connect   Calling  setEdge  before  connect  works fine _x000D_
_x000D_
    Versions_x000D_
_x000D_
All relevant version information for the issue _x000D_
_x000D_
     Voice Android SDK_x000D_
_x000D_
5 3 0_x000D_
_x000D_
     OS Version_x000D_
_x000D_
Android 10_x000D_
_x000D_
     Device Model_x000D_
_x000D_
Pixel 1_x000D_
</t>
  </si>
  <si>
    <t>iNPUTmice-Conversations-3795</t>
  </si>
  <si>
    <t>Crash when unable to setup egl</t>
  </si>
  <si>
    <t xml:space="preserve">   _x000D_
java lang RuntimeException: Unable to find any matching EGL config                                                                                                                                                             _x000D_
    at org webrtc EglBase14Impl getEglConfig(EglBase14Impl java:257)                                                                                                                                                       _x000D_
    at org webrtc EglBase14Impl  init (EglBase14Impl java:75)                                                                                                                                                              _x000D_
    at org webrtc EglBase  CC createEgl14(EglBase java:206)                                                                                                                                                                _x000D_
    at org webrtc EglBase  CC create(EglBase java:155)                                                                                                                                                                     _x000D_
    at org webrtc EglBase  CC create(EglBase java:170)                                                                                                                                                                     _x000D_
    at eu siacs conversations xmpp jingle WebRTCWrapper setup(WebRTCWrapper java:219)                                                                                                                                      _x000D_
    at eu siacs conversations xmpp jingle JingleRtpConnection setupWebRTC(JingleRtpConnection java:928)                                                                                                                    _x000D_
    at eu siacs conversations xmpp jingle JingleRtpConnection sendSessionAccept(JingleRtpConnection java:425)                                                                                                              _x000D_
    at eu siacs conversations xmpp jingle JingleRtpConnection lambda sendSessionAccept 1 JingleRtpConnection(JingleRtpConnection java:416)                                                                                 _x000D_
    at eu siacs conversations xmpp jingle    Lambda JingleRtpConnection Y6d UNaf6uJZPWvT4fwVoWtd6qE onIceServersDiscovered(lambda)                                                                                         _x000D_
    at eu siacs conversations xmpp jingle JingleRtpConnection lambda discoverIceServers 6 JingleRtpConnection(JingleRtpConnection java:1157)                                                                               _x000D_
    at eu siacs conversations xmpp jingle    Lambda JingleRtpConnection Cq4TA ljrxVcCvF8xkEDjwh2zCY onIqPacketReceived(lambda)                                                                                             _x000D_
    at eu siacs conversations xmpp XmppConnection processIq(XmppConnection java:757)                                                                                                                                       _x000D_
    at eu siacs conversations xmpp XmppConnection processStream(XmppConnection java:635)                                                                                                                                   _x000D_
    at eu siacs conversations xmpp XmppConnection processStream(XmppConnection java:483)                                                                                                                                   _x000D_
    at eu siacs conversations xmpp XmppConnection switchOverToTls(XmppConnection java:801)                                                                                                                                 _x000D_
    at eu siacs conversations xmpp XmppConnection processStream(XmppConnection java:467)                                                                                                                                   _x000D_
    at eu siacs conversations xmpp XmppConnection connect(XmppConnection java:375)                                                                                                                                         _x000D_
    at eu siacs conversations xmpp XmppConnection run(XmppConnection java:454)                                                                                                                                             _x000D_
    at java lang Thread run(Thread java:818)_x000D_
   _x000D_
This should at least result in an App failure instead of a crash _x000D_
But if we can we should probably black list the device and use software rendering or something </t>
  </si>
  <si>
    <t>TeamNewPipe-NewPipe-3788</t>
  </si>
  <si>
    <t>Black channel name in background player</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</si>
  <si>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5_x000D_
_x000D_
    Steps to reproduce the bug_x000D_
     _x000D_
1  Go to      _x000D_
2  Press on       _x000D_
3  Swipe down to       _x000D_
    Play any videos in Background _x000D_
Open background player_x000D_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channel name is not visible on a dark background_x000D_
    Actual behaviour_x000D_
     Tell us what happens instead     _x000D_
The name of the channel to have a different color to make it visible_x000D_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4d7cf95f c815 40a5 9d3b 94b7c5fe7ab7 (https:  user images githubusercontent com 62907157 84998030 95ae9200 b14f 11ea 92c9 e382260f9500 jpg)_x000D_
  991b86d4 5d8d 4101 8f5f 328d38f2176a (https:  user images githubusercontent com 62907157 84998074 a65f0800 b14f 11ea 85e5 de9e61fd5f31 jpg)_x000D_
  5f24310c 096d 4d88 bb4d b8d3158e24d7 (https:  user images githubusercontent com 62907157 84998108 afe87000 b14f 11ea 8189 35da68168a1a jpg)_x000D_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</si>
  <si>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Anuken-Mindustry-2172</t>
  </si>
  <si>
    <t>Sound never truly goes away</t>
  </si>
  <si>
    <t xml:space="preserve">  Platform  :  Android iOS Mac Windows Linux _x000D_
Windoiws_x000D_
  Build  :  The build number under the title in the main menu  Required  _x000D_
steam 104 10_x000D_
  Issue  :  Explain your issue in detail  _x000D_
Even with all sounds set to 0  there s still very light music sounds  Not game breaking  just annoying _x000D_
  Steps to reproduce  :  How you happened across the issue  and what you were doing at the time  _x000D_
Set all sounds to 0 and listen closely_x000D_
  Link to mod(s) used  if applicable  :  The mod repositories or zip files that are related to the issue  _x000D_
_x000D_
  Crash report  if applicable  :  The contents of relevant crash report files  _x000D_
_x000D_
   _x000D_
_x000D_
 Place an X (no spaces) between the brackets to confirm that you have read the line below    _x000D_
   X    I have searched the closed and open issues to make sure that this problem has not already been reported   _x000D_
</t>
  </si>
  <si>
    <t>inaturalist-iNaturalistAndroid-848</t>
  </si>
  <si>
    <t>Crashes after using Explore for a while</t>
  </si>
  <si>
    <t xml:space="preserve">Hard to replicate (though pretty consistent)  probably hard to fix  probably due to memory leak  but the app regularly crashes for me (and others) after using Explore for a while  and by  using  I mean performing searches  look at obs detail  identifying obs (both with  Agree   and the taxon chooser)  marking them as captive  and leaving comments  I just did this by identifying 25 obs  marking 16 as captive  and leaving comments on one  The next time I tapped on an obs  I saw a white screen  the app restarted  and I think I landed on My Observations  I provided some log data in Slack </t>
  </si>
  <si>
    <t>nextcloud-talk-android-867</t>
  </si>
  <si>
    <t>Talk app crashes</t>
  </si>
  <si>
    <t xml:space="preserve">    Steps to reproduce_x000D_
1  Received incoming Talk message_x000D_
2  _x000D_
3  _x000D_
_x000D_
    Expected behaviour_x000D_
  Talk app displays message_x000D_
_x000D_
    Actual behaviour_x000D_
  crash report  but only on Motorola g7 (LG G7 works properly  desktop browser app works properly)_x000D_
_x000D_
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cpgU80ORGz5BfypTeWbJ9Q   base apk   nativeLibraryDirectories   data app com nextcloud client cpgU80ORGz5BfypTeWbJ9Q   lib arm64   data app com nextcloud client cpgU80ORGz5BfypTeWbJ9Q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30120090_x000D_
Build flavor: gplay_x000D_
_x000D_
             DEVICE INFORMATION             _x000D_
Brand: motorola_x000D_
Device: river_x000D_
Model: moto g(7)_x000D_
Id: PPOS29 114 134 14_x000D_
Product: river_x000D_
_x000D_
             FIRMWARE             _x000D_
SDK: 28_x000D_
Release: 9_x000D_
Incremental: 0cccf_x000D_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v9_x000D_
_x000D_
Device model: Motorola g7_x000D_
_x000D_
Stock or customized system: stock_x000D_
_x000D_
Nextcloud app version: 8 0 9_x000D_
_x000D_
Nextcloud server version: v18 0 6_x000D_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</si>
  <si>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nextcloud-android-6308</t>
  </si>
  <si>
    <t>App crash after renaming directory</t>
  </si>
  <si>
    <t xml:space="preserve">    Steps to reproduce_x000D_
1  Rename folder on Windows desktop_x000D_
2  Open Android app_x000D_
3  Crash_x000D_
_x000D_
Folder name was:  Zdjecia _x000D_
Renamed to: Zdjecia_x000D_
Folder on Android app was out of screen (if it s important) _x000D_
Folder name was updated on WEB interface _x000D_
Reinstalling  clearing cache do nothing  app still crashes _x000D_
_x000D_
    Expected behaviour_x000D_
  update folder name in android app without crashing_x000D_
_x000D_
    Actual behaviour_x000D_
  app crash  same error after reinstalling app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8_x000D_
_x000D_
Device model: Galaxy S7 Edge_x000D_
_x000D_
Stock or customized system: Stock_x000D_
_x000D_
Nextcloud app version: 3 0 12_x000D_
_x000D_
Nextcloud server version: 9 0 12_x000D_
_x000D_
Reverse proxy: Traefik 2_x000D_
_x000D_
    Logs_x000D_
             CAUSE OF ERROR             _x000D_
_x000D_
android database CursorIndexOutOfBoundsException: Index  1 requested  with a size of 4781_x000D_
at android database AbstractCursor checkPosition(AbstractCursor java:460)_x000D_
at android database AbstractWindowedCursor checkPosition(AbstractWindowedCursor java:136)_x000D_
at android database AbstractWindowedCursor getLong(AbstractWindowedCursor java:74)_x000D_
at com owncloud android providers FileContentProvider deleteDirectory(FileContentProvider java:179)_x000D_
at com owncloud android providers FileContentProvider delete(FileContentProvider java:134)_x000D_
at com owncloud android providers FileContentProvider delete(FileContentProvider java:114)_x000D_
at android content ContentProviderOperation apply(ContentProviderOperation java:299)_x000D_
at com owncloud android providers FileContentProvider applyBatch(FileContentProvider java:670)_x000D_
at android content ContentProvider Transport applyBatch(ContentProvider java:323)_x000D_
at android content ContentProviderClient applyBatch(ContentProviderClient java:465)_x000D_
at android content ContentResolver applyBatch(ContentResolver java:1584)_x000D_
at com owncloud android datamodel FileDataStorageManager saveFolder(FileDataStorageManager java:405)_x000D_
at com owncloud android operations RefreshFolderOperation synchronizeData(RefreshFolderOperation java:478)_x000D_
at com owncloud android operations RefreshFolderOperation fetchAndSyncRemoteFolder(RefreshFolderOperation java:369)_x000D_
at com owncloud android operations RefreshFolderOperation run(RefreshFolderOperation java:228)_x000D_
at com owncloud android lib common operations RemoteOperation run(RemoteOperation java:357)_x000D_
at java lang Thread run(Thread java:764)_x000D_
_x000D_
             APP INFORMATION             _x000D_
ID: com nextcloud client_x000D_
Version: 30120090_x000D_
Build flavor: gplay_x000D_
_x000D_
             DEVICE INFORMATION             _x000D_
Brand: samsung_x000D_
Device: hero2lte_x000D_
Model: SM G935F_x000D_
Id: R16NW_x000D_
Product: hero2ltexx_x000D_
_x000D_
             FIRMWARE             _x000D_
SDK: 26_x000D_
Release: 8 0 0_x000D_
Incremental: G935FXXS8ETC3_x000D_
</t>
  </si>
  <si>
    <t>react-native-webrtc-react-native-webrtc-810</t>
  </si>
  <si>
    <t>Samsung Note 10 Plus, s 20 Plus camera issue</t>
  </si>
  <si>
    <t xml:space="preserve">    _x000D_
If you have a question  please ask it in our community: https:  react native webrtc discourse group _x000D_
_x000D_
If you want to report a bug  you are in the right place _x000D_
_x000D_
Please include as much information as possible and make the issue title_x000D_
as descriptive as you can _x000D_
   _x000D_
While VOIP Call  when I switch camera from front to back over 2 times  app crashed on android Samsung Note 10 Plus _x000D_
It seems happen with 1 more rear cameras _x000D_
_x000D_
     Expected behavior_x000D_
_x000D_
     Observerd behavior_x000D_
_x000D_
     Steps to reproduce the problem_x000D_
_x000D_
     Platform information_x000D_
_x000D_
    React Native version  : 1 60 5_x000D_
    Plugin version  :_x000D_
    OS  :      Android   iOS     Android_x000D_
    OS version  : Android 10_x000D_
</t>
  </si>
  <si>
    <t>react-native-camera-react-native-camera-2873</t>
  </si>
  <si>
    <t>Silent Crash on ios</t>
  </si>
  <si>
    <t xml:space="preserve">ios crashes with no feedback on either navigating to CameraScreen or accepting permission request on CameraScreen for the first time _x000D_
_x000D_
react native camera: 3 30 0_x000D_
_x000D_
Permissions: _x000D_
_x000D_
   _x000D_
	 key NSCameraUsageDescription  key _x000D_
	 string  (PRODUCT NAME) would like to use your camera in order to make the inspection process images  string _x000D_
_x000D_
	 key NSPhotoLibraryAddUsageDescription  key _x000D_
	 string  (PRODUCT NAME) would like to save photos to your photo gallery in order to upload the inspection process images   string _x000D_
_x000D_
	 key NSMicrophoneUsageDescription  key _x000D_
	 string  (PRODUCT NAME) would like to use your microphone to launch RNCamera   string _x000D_
_x000D_
	 key NSPhotoLibraryUsageDescription  key _x000D_
	 string  (PRODUCT NAME) would like access to your photo gallery in order to upload the inspection process images  string _x000D_
   _x000D_
_x000D_
Podfile:_x000D_
_x000D_
   _x000D_
  pod  react native camera   path:     node modules react native camera   subspecs:  _x000D_
     TextDetector  _x000D_
     FaceDetectorMLKit  _x000D_
     BarcodeDetectorMLKit _x000D_
   _x000D_
   _x000D_
</t>
  </si>
  <si>
    <t>opensrp-opensrp-client-reveal-784</t>
  </si>
  <si>
    <t>The app crashes and closes when one logs in</t>
  </si>
  <si>
    <t xml:space="preserve">Environment: stage_x000D_
opensrp reveal debug 4 1 0 zm apk_x000D_
Log into the app _x000D_
Wait for the app to sync_x000D_
After it does  click on the sync and observe what happens _x000D_
RESULTS: The app closes on it s own  This has happened twice in under 5minutes  I tried to login and after 1 minute  the app crashed  _x000D_
I will monitor it and try to replicate the exact steps _x000D_
_x000D_
_x000D_
_x000D_
_x000D_
</t>
  </si>
  <si>
    <t>square-react-native-square-reader-sdk-121</t>
  </si>
  <si>
    <t>[iOS] PodsDummy_CocoaAsyncSocket is implemented in both SquareReaderSDK and...</t>
  </si>
  <si>
    <t xml:space="preserve">    Issue description_x000D_
_x000D_
  I have built my app for iOS    using the latest versions   of react native square reader sdk and react native square in app payments_x000D_
  I am using RN 0 62 2 and   latest   square reader sdk version (1 3 8)_x000D_
  When the app starts  the following message is printed:_x000D_
_x000D_
 objc 7955 : Class PodsDummy CocoaAsyncSocket is implemented in both  Users user172615 Library Developer CoreSimulator Devices B4BCD2F3 8787 4F77 AA76 5DB45FA2EA7C data Containers Bundle Application 36574EF1 2F18 444B B47B F9FEA43DC7BE plumpPlum app Frameworks SquareReaderSDK framework SquareReaderSDK (0x10ed07c90) and  Users user172615 Library Developer CoreSimulator Devices B4BCD2F3 8787 4F77 AA76 5DB45FA2EA7C data Containers Bundle Application 36574EF1 2F18 444B B47B F9FEA43DC7BE plumpPlum app plumpPlum (0x10ac05238)  One of the two will be used  Which one is undefined  _x000D_
_x000D_
  I tried to fix this using the answers in https:  bit ly 2YCqaNz but failed  Take a look at https:  bit ly 37Am7FJ_x000D_
  Calling react native square reader sdk isAuthorizedAsync crashes the app:_x000D_
_x000D_
   _x000D_
Assertion failure in   SQRDReaderSDK sharedSDK    Users build  jenkins workspace CI IOS Reg jTUsJA ReaderSDK Release Bucket 0 ios builder s r ReaderSDK Sources SQRDReaderSDK m:109_x000D_
2020 06 16 09:17:24 441  info  tid:com facebook react JavaScript   loadSkus  Number of products is   36_x000D_
2020 06 16 09:17:24 441160 0200 plumpPlum 38754:294966      Terminating app due to uncaught exception  NSInternalInconsistencyException   reason:  Square Reader SDK: You must call  initializeWithApplicationLaunchOptions before calling  sharedSDK  _x000D_
   _x000D_
_x000D_
    Environment _x000D_
   _x000D_
System:_x000D_
    OS: macOS 10 15 5_x000D_
    CPU: (8) x64 Intel(R) Core(TM) i7 3720QM CPU   2 60GHz_x000D_
    Memory: 284 37 MB   16 00 GB_x000D_
    Shell: 3 2 57    bin bash_x000D_
  Binaries:_x000D_
    Node: 12 16 2    usr local bin node_x000D_
    Yarn: 1 21 1    usr local bin yarn_x000D_
    npm: 6 14 4    usr local bin npm_x000D_
    Watchman: 4 9 0    usr local bin watchman_x000D_
  Managers:_x000D_
    CocoaPods: 1 9 1    usr local bin pod_x000D_
  SDKs:_x000D_
    iOS SDK:_x000D_
      Platforms: iOS 13 5  DriverKit 19 0  macOS 10 15  tvOS 13 4  watchOS 6 2_x000D_
    Android SDK: Not Found_x000D_
  IDEs:_x000D_
    Android Studio: 3 6 AI 192 7142 36 36 6392135_x000D_
    Xcode: 11 5 11E608c    usr bin xcodebuild_x000D_
   _x000D_
</t>
  </si>
  <si>
    <t>Blankj-AndroidUtilCode-1261</t>
  </si>
  <si>
    <t>BusUtils crash</t>
  </si>
  <si>
    <t xml:space="preserve">  The version of AndroidUtilCode: 1 29 0_x000D_
  The device:  Xiaomi Redmi 4A_x000D_
  The version of device: 7 1 2_x000D_
I post a event from activity to Service and see crash_x000D_
 BusUtils post(Event RequestVideoPlaybackStateAndDataMessage) _x000D_
 _x000D_
  _x000D_
  Caused by: java lang IllegalArgumentException: Wrong number of arguments  expected 1  got 0_x000D_
          at java lang reflect Method invoke(Native Method)_x000D_
          at com blankj utilcode util BusUtils realInvokeMethod(BusUtils java:279)_x000D_
          at com blankj utilcode util BusUtils access 100(BusUtils java:29)_x000D_
          at com blankj utilcode util BusUtils 1 run(BusUtils java:236)_x000D_
          at com blankj utilcode util ThreadUtils runOnUiThread(ThreadUtils java:70)_x000D_
          at com blankj utilcode util BusUtils invokeMethod(BusUtils java:241)_x000D_
          at com blankj utilcode util BusUtils invokeBus(BusUtils java:191)_x000D_
          at com blankj utilcode util BusUtils postInner(BusUtils java:179)_x000D_
          at com blankj utilcode util BusUtils postInner(BusUtils java:169)_x000D_
          at com blankj utilcode util BusUtils post(BusUtils java:80)_x000D_
          at com blankj utilcode util BusUtils post(BusUtils java:76)_x000D_
_x000D_
</t>
  </si>
  <si>
    <t>frimtec-pikett-assist-154</t>
  </si>
  <si>
    <t>Not all "do-not-disturb" modes are correctly detected</t>
  </si>
  <si>
    <t xml:space="preserve">Not all  do not disturb  modes on all devices are correctly detected _x000D_
_x000D_
These can lead to the following crash:_x000D_
   _x000D_
java lang RuntimeException: Unable to stop service com github frimtec android pikettassist service LowSignalService d74ae75: java lang SecurityException: Not allowed to change Do Not Disturb state_x000D_
at android app ActivityThread handleStopService(ActivityThread java:4353)_x000D_
at android app ActivityThread access 2800(ActivityThread java:273)_x000D_
at android app ActivityThread H handleMessage(ActivityThread java:2075)_x000D_
at android os Handler dispatchMessage(Handler java:112)_x000D_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Caused by: java lang SecurityException: Not allowed to change Do Not Disturb state_x000D_
at android os Parcel createException(Parcel java:1953)_x000D_
at android os Parcel readException(Parcel java:1921)_x000D_
at android os Parcel readException(Parcel java:1871)_x000D_
at android media IAudioService Stub Proxy setStreamVolume(IAudioService java:1135)_x000D_
at android media AudioManager setStreamVolume(AudioManager java:1186)_x000D_
at com github frimtec android pikettassist service system VolumeService setVolume(VolumeService java:34)_x000D_
at com github frimtec android pikettassist service LowSignalService onDestroy(LowSignalService java:101)_x000D_
at android app ActivityThread handleStopService(ActivityThread java:4330)_x000D_
    8 more_x000D_
Caused by: android os RemoteException: Remote stack trace:_x000D_
at com android server audio AudioService setStreamVolume(AudioService java:2217)_x000D_
at com android server audio AudioService setStreamVolume(AudioService java:2141)_x000D_
at android media IAudioService Stub onTransact(IAudioService java:139)_x000D_
at com android server audio HwAudioService onTransact(HwAudioService java:1191)_x000D_
at android os Binder execTransact(Binder java:739)_x000D_
   </t>
  </si>
  <si>
    <t>andremion-Louvre-29</t>
  </si>
  <si>
    <t>Crash in android 10</t>
  </si>
  <si>
    <t xml:space="preserve">_x000D_
  when click to openGallery app is crash    _x000D_
_x000D_
   _x000D_
Caused by: android database sqlite SQLiteException: near  GROUP : syntax error (code 1 SQLITE ERROR 1 ):   while compiling: SELECT bucket id  bucket display name   data FROM images WHERE ((is pending 0) AND (is trashed 0) AND (volume name IN (  external primary  )) AND ( data   )) AND ((1 AND 1) GROUP BY (1)) ORDER BY MAX(datetaken) DESC_x000D_
        at android database DatabaseUtils readExceptionFromParcel(DatabaseUtils java:184)_x000D_
        at android database DatabaseUtils readExceptionFromParcel(DatabaseUtils java:140)_x000D_
        at android content ContentProviderProxy query(ContentProviderNative java:423)_x000D_
        at android content ContentResolver query(ContentResolver java:951)_x000D_
        at android content ContentResolver query(ContentResolver java:887)_x000D_
        at androidx core content ContentResolverCompat query(ContentResolverCompat java:81)_x000D_
        at androidx loader content CursorLoader loadInBackground(CursorLoader java:63)_x000D_
        at androidx loader content CursorLoader loadInBackground(CursorLoader java:41)_x000D_
        at androidx loader content AsyncTaskLoader onLoadInBackground(AsyncTaskLoader java:307)_x000D_
        at androidx loader content AsyncTaskLoader LoadTask doInBackground(AsyncTaskLoader java:60)_x000D_
        at androidx loader content AsyncTaskLoader LoadTask doInBackground(AsyncTaskLoader java:48)_x000D_
        at androidx loader content ModernAsyncTask 2 call(ModernAsyncTask java:141)_x000D_
        at java util concurrent FutureTask run(FutureTask java:266)_x000D_
        at java util concurrent ThreadPoolExecutor runWorker(ThreadPoolExecutor java:1167) _x000D_
        at java util concurrent ThreadPoolExecutor Worker run(ThreadPoolExecutor java:641) _x000D_
        at java lang Thread run(Thread java:919) _x000D_
2020 06 15 23:51:51 346 2943 2943 com dpmuae aklaClient E GraphicExt: GraphicExtModuleLoader::CreateGraphicExtInstance false_x000D_
2020 06 15 23:51:51 635 2943 2943 com dpmuae aklaClient E GraphicExt: GraphicExtModuleLoader::CreateGraphicExtInstance false_x000D_
   _x000D_
</t>
  </si>
  <si>
    <t>Anuken-Mindustry-2167</t>
  </si>
  <si>
    <t>Crash error discord-rpc not found on Linux Arm.</t>
  </si>
  <si>
    <t xml:space="preserve">  Platform  :  Manjaro Arm _x000D_
  Build  :  104 but I can t get the game to launch so not sure exactly what point it is  _x000D_
  Issue  :  Mindustry through s a  discord rpc  error and closes  _x000D_
 _x000D_
I m tring to install mindustry on my Pinebook Pro which is a linux arm laptop _x000D_
I install it through the AUR package and it does install just fine and openjdk8 is present _x000D_
Mindustry errors out saying that  discord rpc  was unable to load _x000D_
Discord rpc has been deprecated anyways  Discord rpc Github (https:  github com discord discord rpc)_x000D_
_x000D_
_x000D_
  Crash report  _x000D_
   _x000D_
 E  Failed to initialize discord : java lang UnsatisfiedLinkError: Unable to load library  discord rpc : Native library (linux aarch64 libdiscord rpc so) not found in resource path ( file: usr share java mindustry Mindustry jar )_x000D_
        at com sun jna NativeLibrary loadLibrary(NativeLibrary java:303)_x000D_
        at com sun jna NativeLibrary getInstance(NativeLibrary java:427)_x000D_
        at com sun jna Library Handler  init (Library java:179)_x000D_
        at com sun jna Native loadLibrary(Native java:569)_x000D_
        at com sun jna Native loadLibrary(Native java:544)_x000D_
        at club minnced discord rpc DiscordRPC  clinit (DiscordRPC java:42)_x000D_
        at mindustry desktop DesktopLauncher  init (DesktopLauncher java:68)_x000D_
        at mindustry desktop DesktopLauncher main(DesktopLauncher java:46)_x000D_
_x000D_
arc util ArcRuntimeException: Couldn t load shared library  libgdxarm64 so  for target: Linux  64 bit_x000D_
        at arc util SharedLibraryLoader load(SharedLibraryLoader java:85)_x000D_
        at arc util ArcNativesLoader load(ArcNativesLoader java:15)_x000D_
        at arc backend sdl SdlApplication init(SdlApplication java:78)_x000D_
        at arc backend sdl SdlApplication  init (SdlApplication java:30)_x000D_
        at mindustry desktop DesktopLauncher main(DesktopLauncher java:46)_x000D_
Caused by: arc util ArcRuntimeException: Unable to read file for extraction: libgdxarm64 so_x000D_
        at arc util SharedLibraryLoader readFile(SharedLibraryLoader java:93)_x000D_
        at arc util SharedLibraryLoader loadFile(SharedLibraryLoader java:253)_x000D_
        at arc util SharedLibraryLoader load(SharedLibraryLoader java:81)_x000D_
            4 more_x000D_
 E  Failed to save local crash report : java lang ExceptionInInitializerError_x000D_
        at mindustry desktop DesktopLauncher message(DesktopLauncher java:341)_x000D_
        at mindustry desktop DesktopLauncher lambda null 9(DesktopLauncher java:201)_x000D_
        at mindustry desktop DesktopLauncher lambda handleCrash 10(DesktopLauncher java:201)_x000D_
        at mindustry net CrashSender send(CrashSender java:72)_x000D_
        at mindustry desktop DesktopLauncher handleCrash(DesktopLauncher java:198)_x000D_
        at mindustry desktop DesktopLauncher main(DesktopLauncher java:56)_x000D_
Caused by: arc util ArcRuntimeException: Couldn t load shared library  libopenal so  for target: Linux  64 bit_x000D_
        at arc util SharedLibraryLoader load(SharedLibraryLoader java:85)_x000D_
        at arc backend sdl jni SDL  clinit (SDL java:39)_x000D_
            6 more_x000D_
Caused by: arc util ArcRuntimeException: java lang UnsatisfiedLinkError:  tmp arc 5cc08052 libopenal so:  tmp arc 5cc08052 libopenal so: cannot open shared object file: No such file or directory (Possible cause: can t load AMD 64 bit  so on a AARCH64 bit platform)_x000D_
        at arc util SharedLibraryLoader loadFile(SharedLibraryLoader java:288)_x000D_
        at arc util SharedLibraryLoader load(SharedLibraryLoader java:81)_x000D_
            7 more_x000D_
Caused by: java lang UnsatisfiedLinkError:  tmp arc 5cc08052 libopenal so:  tmp arc 5cc08052 libopenal so: cannot open shared object file: No such file or directory (Possible cause: can t load AMD 64 bit  so on a AARCH64 bit platform)_x000D_
        at java lang ClassLoader NativeLibrary load(Native Method)_x000D_
        at java lang ClassLoader loadLibrary0(ClassLoader java:1934)_x000D_
        at java lang ClassLoader loadLibrary(ClassLoader java:1817)_x000D_
        at java lang Runtime load0(Runtime java:809)_x000D_
        at java lang System load(System java:1088)_x000D_
        at arc util SharedLibraryLoader loadFile(SharedLibraryLoader java:294)_x000D_
        at arc util SharedLibraryLoader loadFile(SharedLibraryLoader java:260)_x000D_
            8 more_x000D_
_x000D_
 I  Sending crash report _x000D_
java net SocketTimeoutException: connect timed out_x000D_
        at java net PlainSocketImpl socketConnect(Native Method)_x000D_
        at java net AbstractPlainSocketImpl doConnect(AbstractPlainSocketImpl java:350)_x000D_
        at java net AbstractPlainSocketImpl connectToAddress(AbstractPlainSocketImpl java:206)_x000D_
        at java net AbstractPlainSocketImpl connect(AbstractPlainSocketImpl java:188)_x000D_
        at java net SocksSocketImpl connect(SocksSocketImpl java:392)_x000D_
        at java net Socket connect(Socket java:607)_x000D_
        at sun net NetworkClient doConnect(NetworkClient java:175)_x000D_
        at sun net www http HttpClient openServer(HttpClient java:463)_x000D_
        at sun net www http HttpClient openServer(HttpClient java:558)_x000D_
        at sun net www http HttpClient  init (HttpClient java:242)_x000D_
        at sun net www http HttpClient New(HttpClient java:339)_x000D_
        at sun net www http HttpClient New(HttpClient java:357)_x000D_
        at sun net www protocol http HttpURLConnection getNewHttpClient(HttpURLConnection java:1226)_x000D_
        at sun net www protocol http HttpURLConnection plainConnect0(HttpURLConnection java:1162)_x000D_
        at sun net www protocol http HttpURLConnection plainConnect(HttpURLConnection java:1056)_x000D_
        at sun net www protocol http HttpURLConnection connect(HttpURLConnection java:990)_x000D_
        at sun net www protocol http HttpURLConnection getOutputStream0(HttpURLConnection java:1340)_x000D_
        at sun net www protocol http HttpURLConnection getOutputStream(HttpURLConnection java:1315)_x000D_
        at arc util NetJavaImpl lambda http 0(NetJavaImpl java:67)_x000D_
        at arc util async AsyncExecutor lambda submit 2(AsyncExecutor java:33)_x000D_
        at java util concurrent FutureTask run(FutureTask java:266)_x000D_
        at java util concurrent ThreadPoolExecutor runWorker(ThreadPoolExecutor java:1149)_x000D_
        at java util concurrent ThreadPoolExecutor Worker run(ThreadPoolExecutor java:624)_x000D_
        at java lang Thread run(Thread java:748)_x000D_
   _x000D_
   _x000D_
_x000D_
 Place an X (no spaces) between the brackets to confirm that you have read the line below    _x000D_
   X    I have searched the closed and open issues to make sure that this problem has not already been reported   _x000D_
</t>
  </si>
  <si>
    <t>cgeo-cgeo-8451</t>
  </si>
  <si>
    <t>[Nightly] Crash when opening map</t>
  </si>
  <si>
    <t xml:space="preserve">  Describe the bug:  _x000D_
Just installed the very latest nightly as of 15 06    and opening  Live Map  or map from Listing page immediately crashes c:geo _x000D_
_x000D_
More tomorrow   if necessary </t>
  </si>
  <si>
    <t>TeamNewPipe-NewPipe-3782</t>
  </si>
  <si>
    <t>NoNonsense-File-Picker: Crash when a file is deleted and redownloaded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</si>
  <si>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5_x000D_
_x000D_
    Steps to reproduce the bug_x000D_
    _x000D_
1  Go to      _x000D_
2  Press on       _x000D_
3  Swipe down to       _x000D_
   _x000D_
1  Ensure SAF is off  The bug doesn t occur for SAF _x000D_
2  Download a file _x000D_
3  Delete it from your file explorer app  Notice the entry remains in the Downloads activity _x000D_
4  Download the same file again     Crash _x000D_
_x000D_
If you first close the app  then do this  it works fine  I suspect it is because the download menu entry gets removed upon closing the app _x000D_
_x000D_
     If you can t cause the bug to show up again reliably (and hence don t have a proper set of steps to give us)  please still try to give as many details as possible on how you think you encountered the bug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ui error_x000D_
    Request:   App crash  UI failure_x000D_
    Content Language:   en IN_x000D_
    Service:   none_x000D_
    Version:   0 19 5_x000D_
    OS:   Linux Android 9   28_x000D_
_x000D_
_x000D_
 details  summary  b Crash log  b   summary  p _x000D_
_x000D_
   _x000D_
java lang NullPointerException: Attempt to invoke virtual method  boolean java lang String equalsIgnoreCase(java lang String)  on a null object reference_x000D_
	at us shandian giga io StoredFileHelper equals(StoredFileHelper java:319)_x000D_
	at us shandian giga service DownloadManager getFinishedMissionIndex(DownloadManager java:340)_x000D_
	at us shandian giga service DownloadManager checkForExistingMission(DownloadManager java:501)_x000D_
	at org schabi newpipe download DownloadDialog checkSelectedDownload(DownloadDialog java:739)_x000D_
	at org schabi newpipe download DownloadDialog prepareSelectedDownload(DownloadDialog java:712)_x000D_
	at org schabi newpipe download DownloadDialog lambda initToolbar 4 DownloadDialog(DownloadDialog java:452)_x000D_
	at org schabi newpipe download    Lambda DownloadDialog ERBEc9wJhJOkaeWUyVXNR5O1TqU onMenuItemClick(Unknown Source:2)_x000D_
	at androidx appcompat widget Toolbar 1 onMenuItemClick(Toolbar java:207)_x000D_
	at androidx appcompat widget ActionMenuView MenuBuilderCallback onMenuItemSelected(ActionMenuView java:781)_x000D_
	at androidx appcompat view menu MenuBuilder dispatchMenuItemSelected(MenuBuilder java:840)_x000D_
	at androidx appcompat view menu MenuItemImpl invoke(MenuItemImpl java:158)_x000D_
	at androidx appcompat view menu MenuBuilder performItemAction(MenuBuilder java:991)_x000D_
	at androidx appcompat view menu MenuBuilder performItemAction(MenuBuilder java:981)_x000D_
	at androidx appcompat widget ActionMenuView invokeItem(ActionMenuView java:625)_x000D_
	at androidx appcompat view menu ActionMenuItemView onClick(ActionMenuItemView java:151)_x000D_
	at android view View performClick(View java:6597)_x000D_
	at android view View performClickInternal(View java:6574)_x000D_
	at android view View access 3100(View java:778)_x000D_
	at android view View PerformClick run(View java:25906)_x000D_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_x000D_
   _x000D_
  p   details _x000D_
 hr _x000D_
</t>
  </si>
  <si>
    <t>NekoX-Dev-NekoX-96</t>
  </si>
  <si>
    <t>Instant crash when video or gif appears in chat</t>
  </si>
  <si>
    <t xml:space="preserve">  Smartphone  _x000D_
   Device: LG G4c h522y_x000D_
   OS: Android 5 0 1_x000D_
   Version: 6 2 0 1 rc05 (NoGcm)_x000D_
_x000D_
  Additional context  _x000D_
logcat:_x000D_
   _x000D_
I WindowState(  858): WIN DEATH: Window 1c3e32b9 u0 nekox messenger org telegram ui LaunchActivity _x000D_
D InputDispatcher(  858): Focus left window: Window 1c3e32b9 u0 nekox messenger org telegram ui LaunchActivity _x000D_
D InputDispatcher(  858): Window went away: Window 1c3e32b9 u0 nekox messenger org telegram ui LaunchActivity _x000D_
I ActivityManager(  858): Process nekox messenger (pid 29871) has died_x000D_
W ActivityManager(  858): Scheduling restart of crashed service nekox messenger org telegram messenger NotificationsService in 1000ms_x000D_
W ActivityManager(  858): Force removing ActivityRecord 3c95819e u0 nekox messenger org telegram ui LaunchActivity t1042 : app died  no saved state_x000D_
_x000D_
   </t>
  </si>
  <si>
    <t>Kiprosh-android-calendar-12</t>
  </si>
  <si>
    <t>App crashed &amp; closed without calendar permissions</t>
  </si>
  <si>
    <t xml:space="preserve">  Fixed Month View crashes when calendar permission not granted_x000D_
  Fixed Agenda view closing app issue  when calendar permission not granted  Without _x000D_
   the required permission  the Agenda view was closing the app_x000D_
  Added functionality to refresh the Month view  once calendar permission granted</t>
  </si>
  <si>
    <t>Kiprosh-android-calendar-10</t>
  </si>
  <si>
    <t>Month View crashes when calendar permission not granted</t>
  </si>
  <si>
    <t xml:space="preserve">The app crashes while opening Month view without Calendar permission _x000D_
Screen recording:_x000D_
_x000D_
  20200614 132507 (https:  user images githubusercontent com 20037228 84588192 cb4b3680 ae42 11ea 8e56 c26742eb3e44 gif)_x000D_
</t>
  </si>
  <si>
    <t>Anuken-Mindustry-2161</t>
  </si>
  <si>
    <t>Offscreen destruction of a Command Center causes a crash when placing another one</t>
  </si>
  <si>
    <t xml:space="preserve">  Platform  : Windows_x000D_
_x000D_
  Build  : Steam 104 10_x000D_
_x000D_
  Issue  : When placing a command center after another one got destroyed offscreen  the game crashes with a NullPointerException_x000D_
 crash report 06 13 2020 20 10 29 txt (https:  github com Anuken Mindustry files 4775684 crash report 06 13 2020 20 10 29 txt)_x000D_
_x000D_
  Steps to reproduce  : A command center is destroyed offscreen  and rebuilt by BuilderDrones  Placing another command center down crashes the game_x000D_
_x000D_
  Link to mod(s) used  if applicable  : n a_x000D_
_x000D_
  Crash report  if applicable  : _x000D_
java lang NullPointerException_x000D_
	at mindustry world blocks units CommandCenter placed(CommandCenter java:50)_x000D_
	at mindustry world blocks BuildBlock constructed(BuildBlock java:108)_x000D_
	at mindustry world blocks BuildBlock BuildEntity construct(BuildBlock java:248)_x000D_
	at mindustry entities traits BuilderTrait updateBuilding(BuilderTrait java:107)_x000D_
	at mindustry entities type Player updateMechanics(Player java:461)_x000D_
	at mindustry entities type Player update(Player java:565)_x000D_
	at mindustry entities EntityGroup update(EntityGroup java:51)_x000D_
	at mindustry core Logic update(Logic java:248)_x000D_
	at arc ApplicationCore update(ApplicationCore java:36)_x000D_
	at mindustry ClientLauncher update(ClientLauncher java:138)_x000D_
	at arc backend sdl SdlApplication listen(SdlApplication java:158)_x000D_
	at arc backend sdl SdlApplication loop(SdlApplication java:146)_x000D_
	at arc backend sdl SdlApplication  init (SdlApplication java:52)_x000D_
	at mindustry desktop DesktopLauncher main(DesktopLauncher java:46)_x000D_
_x000D_
   _x000D_
_x000D_
 Place an X (no spaces) between the brackets to confirm that you have read the line below    _x000D_
   X    I have searched the closed and open issues to make sure that this problem has not already been reported   _x000D_
</t>
  </si>
  <si>
    <t>ThanhDong272-G33_QLNhaSach-9</t>
  </si>
  <si>
    <t>System Test &gt; Chức năng đăng nhập &gt; Form Login &gt; Input Validation</t>
  </si>
  <si>
    <t xml:space="preserve">Steps: nh p t i kho n v  m t kh u v i k  t  sau:         _x000D_
Expected Result: Hi n th  th ng b o khi nh p kh ng c  k  t    c bi t_x000D_
Actual Result: Form Login b  crash_x000D_
  Capture (https:  user images githubusercontent com 50760232 84565292 50c2de00 ad92 11ea 8e08 5db38b9aa179 PNG)_x000D_
  Capture1 (https:  user images githubusercontent com 50760232 84565294 528ca180 ad92 11ea 8526 6cddfe76168b PNG)_x000D_
_x000D_
_x000D_
</t>
  </si>
  <si>
    <t>ThanhDong272-G33_QLNhaSach-8</t>
  </si>
  <si>
    <t>System Test &gt; Chức năng đăng ký &gt; Form Sign up &gt; Input Validation</t>
  </si>
  <si>
    <t xml:space="preserve">Steps: nh p t i kho n  m t kh u  v  x c nh n m t kh u v i k  t  sau:         _x000D_
Expected Result: Hi n th  th ng b o kh ng c  k  t    c bi t_x000D_
Actual Result: Form Sign up b  crash_x000D_
  Capture (https:  user images githubusercontent com 50760232 84565100 0725c380 ad91 11ea 874f e7102c4c87e8 PNG)_x000D_
  Capture1 (https:  user images githubusercontent com 50760232 84565101 08ef8700 ad91 11ea 9f4b bf7a4876203b PNG)_x000D_
_x000D_
</t>
  </si>
  <si>
    <t>nextcloud-android-6285</t>
  </si>
  <si>
    <t xml:space="preserve">App crashs while open </t>
  </si>
  <si>
    <t xml:space="preserve">    Steps to reproduce_x000D_
1   Open nextcloud app_x000D_
2  _x000D_
3  _x000D_
_x000D_
    Expected behaviour_x000D_
  _x000D_
_x000D_
    Actual behaviour_x000D_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CAUSE OF ERROR             _x000D_
_x000D_
java lang RuntimeException: Unable to resume activity  com nextcloud client com owncloud android ui activity FileDisplayActivity : java lang SecurityException: uid 10237 cannot get user data for accounts of type: nextcloud_x000D_
at android app ActivityThread performResumeActivity(ActivityThread java:4511)_x000D_
at android app ActivityThread handleResumeActivity(ActivityThread java:4543)_x000D_
at android app servertransaction ResumeActivityItem execute(ResumeActivityItem java:52)_x000D_
at android app servertransaction TransactionExecutor executeLifecycleState(TransactionExecutor java:181)_x000D_
at android app servertransaction TransactionExecutor execute(TransactionExecutor java:102)_x000D_
at android app ActivityThread H handleMessage(ActivityThread java:2245)_x000D_
at android os Handler dispatchMessage(Handler java:107)_x000D_
at android os Looper loop(Looper java:227)_x000D_
at android app ActivityThread main(ActivityThread java:7835)_x000D_
at java lang reflect Method invoke(Native Method)_x000D_
at com android internal os RuntimeInit MethodAndArgsCaller run(RuntimeInit java:492)_x000D_
at com android internal os ZygoteInit main(ZygoteInit java:948)_x000D_
Caused by: java lang SecurityException: uid 10237 cannot get user data for accounts of type: nextcloud_x000D_
at android os Parcel createException(Parcel java:2087)_x000D_
at android os Parcel readException(Parcel java:2055)_x000D_
at android os Parcel readException(Parcel java:2003)_x000D_
at android accounts IAccountManager Stub Proxy getUserData(IAccountManager java:1441)_x000D_
at android accounts AccountManager getUserData(AccountManager java:516)_x000D_
at com owncloud android ui adapter OCFileListAdapter  init (OCFileListAdapter java:163)_x000D_
at com owncloud android ui fragment OCFileListFragment onActivityCreated(OCFileListFragment java:344)_x000D_
at androidx fragment app Fragment performActivityCreated(Fragment java:2619)_x000D_
at androidx fragment app FragmentManagerImpl moveToState(FragmentManagerImpl java:904)_x000D_
at androidx fragment app FragmentManagerImpl moveFragmentToExpectedState(FragmentManagerImpl java:1238)_x000D_
at androidx fragment app FragmentManagerImpl moveToState(FragmentManagerImpl java:1303)_x000D_
at androidx fragment app BackStackRecord executeOps(BackStackRecord java:439)_x000D_
at androidx fragment app FragmentManagerImpl executeOps(FragmentManagerImpl java:2079)_x000D_
at androidx fragment app FragmentManagerImpl executeOpsTogether(FragmentManagerImpl java:1869)_x000D_
at androidx fragment app FragmentManagerImpl removeRedundantOperationsAndExecute(FragmentManagerImpl java:1824)_x000D_
at androidx fragment app FragmentManagerImpl execPendingActions(FragmentManagerImpl java:1727)_x000D_
at androidx fragment app FragmentController execPendingActions(FragmentController java:446)_x000D_
at androidx fragment app FragmentActivity onResume(FragmentActivity java:459)_x000D_
at com owncloud android ui activity BaseActivity onResume(BaseActivity java:91)_x000D_
at com owncloud android ui activity DrawerActivity onResume(DrawerActivity java:1276)_x000D_
at com owncloud android ui activity FileActivity onResume(FileActivity java:218)_x000D_
at com owncloud android ui activity FileDisplayActivity onResume(FileDisplayActivity java:1206)_x000D_
at android app Instrumentation callActivityOnResume(Instrumentation java:1454)_x000D_
at android app Activity performResume(Activity java:8106)_x000D_
at android app ActivityThread performResumeActivity(ActivityThread java:4501)_x000D_
    11 more_x000D_
Caused by: android os RemoteException: Remote stack trace:_x000D_
at com android server accounts AccountManagerService getUserData(AccountManagerService java:1568)_x000D_
at android accounts IAccountManager Stub onTransact(IAccountManager java:492)_x000D_
at com android server accounts AccountManagerService onTransact(AccountManagerService java:1082)_x000D_
at android os Binder execTransactInternal(Binder java:1021)_x000D_
at android os Binder execTransact(Binder java:994)_x000D_
_x000D_
_x000D_
             APP INFORMATION             _x000D_
ID: com nextcloud client_x000D_
Version: 30120090_x000D_
Build flavor: generic_x000D_
_x000D_
             DEVICE INFORMATION             _x000D_
Brand: OPPO_x000D_
Device: OP4A89_x000D_
Model: PCLM10_x000D_
Id: QKQ1 191021 002_x000D_
Product: PCLM10_x000D_
_x000D_
             FIRMWARE             _x000D_
SDK: 29_x000D_
Release: 10_x000D_
Incremental: 1588835439_x000D_
   _x000D_
  NOTE:   Be super sure to remove sensitive data like passwords  note that everybody can look here  You can use the Issue Template application to prefill some of the required information: https:  apps nextcloud com apps issuetemplate_x000D_
</t>
  </si>
  <si>
    <t>Tornaco-Thanox-144</t>
  </si>
  <si>
    <t>在lineage os下的两个bug，求百忙之中解决</t>
  </si>
  <si>
    <t xml:space="preserve">  Describe the bug        _x000D_
                                                              _x000D_
_x000D_
  To Reproduce        _x000D_
Steps to reproduce the behavior:      _x000D_
                        _x000D_
_x000D_
  Expected behavior        _x000D_
    bug_x000D_
_x000D_
  Screenshots      _x000D_
If applicable  add screenshots to help explain your problem                _x000D_
_x000D_
_x000D_
_x000D_
  Version         :  _x000D_
   OS: lineage os 17 1  system as root_x000D_
   Version 1 2 7 prc_x000D_
_x000D_
  Additional context        _x000D_
Add any other context about the problem here _x000D_
   mipush           _x000D_
_x000D_
   Logs        _x000D_
      2020 06 12 _x000D_
1591913828496 W ThanoxApp CpuUsagePercent s 999C 999B 6n u H J  25l H J s 999C 999B 6n uTasks: 1 total    1 running    0 sleeping    0 stopped    0 zombie  Mem:      3 6G total       3 5G used        98M free        52M buffers Swap:         0 total          0 used          0 free       1 0G cached400 cpu   8 user   0 nice   8 sys 380 idle   0 iow   0 irq   4 sirq   0 host 7m  PID USER         PR  NI VIRT  RES  SHR S  CPU   MEM     TIME  ARGS             0m 1m11993 u0 a204      10  10  35M 2 2M 1 5M R  0 0   0 0   0:00 00 top  n 1 m  25h 0m 1000 1H K  25h  25h 0m 1000 1H K_x000D_
1591913828621 V ThanoxApp A92E8A9A743FE6648E2E4743FDAC89E9EB4A568F_x000D_
1591913828624 V ThanoxApp A92E8A9A743FE6648E2E4743FDAC89E9EB4A568F_x000D_
1591913828626 V ThanoxApp A92E8A9A743FE6648E2E4743FDAC89E9EB4A568F_x000D_
1591913828627 V ThanoxApp A92E8A9A743FE6648E2E4743FDAC89E9EB4A568F_x000D_
1591913828700 V ThanoxApp isPaid  true_x000D_
1591913828758 E ThanoxApp Error getAllInstalledPlugin_x000D_
java lang RuntimeException: Parcel android os Parcel c81276: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java:4237)_x000D_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1591913828765 V ThanoxApp A92E8A9A743FE6648E2E4743FDAC89E9EB4A568F_x000D_
1591913828779 V ThanoxApp A92E8A9A743FE6648E2E4743FDAC89E9EB4A568F_x000D_
1591913828792 D ThanoxApp onAttach_x000D_
1591913828792 D ThanoxApp onCreate_x000D_
1591913828793 D ThanoxApp onAttach_x000D_
1591913828793 D ThanoxApp onCreate_x000D_
1591913828801 D ThanoxApp onActivityCreated_x000D_
1591913828831 D ThanoxApp onActivityCreated_x000D_
1591913831642 V ThanoxApp isPaid  true_x000D_
1591913831701 E ThanoxApp Error getAllInstalledPlugin_x000D_
java lang RuntimeException: Parcel android os Parcel 8430a6b: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java:4237)_x000D_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com osama firecrasher e run(Unknown Source:87)_x000D_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1591913831704 V ThanoxApp A92E8A9A743FE6648E2E4743FDAC89E9EB4A568F_x000D_
1591913831731 V ThanoxApp A92E8A9A743FE6648E2E4743FDAC89E9EB4A568F_x000D_
1591913832869 V ThanoxApp A92E8A9A743FE6648E2E4743FDAC89E9EB4A568F_x000D_
1591913832981 V ThanoxApp A92E8A9A743FE6648E2E4743FDAC89E9EB4A568F_x000D_
1591913833088 V ThanoxApp A92E8A9A743FE6648E2E4743FDAC89E9EB4A568F_x000D_
1591913833121 V ThanoxApp A92E8A9A743FE6648E2E4743FDAC89E9EB4A568F_x000D_
1591913846693 D ThanoxApp loadData: com tencent karaoke_x000D_
1591913863073 V ThanoxApp isPaid  true_x000D_
1591913863117 E ThanoxApp Error getAllInstalledPlugin_x000D_
java lang RuntimeException: Parcel android os Parcel 3d202aa: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java:4237)_x000D_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com osama firecrasher e run(Unknown Source:87)_x000D_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1591913863119 V ThanoxApp A92E8A9A743FE6648E2E4743FDAC89E9EB4A568F_x000D_
1591913863142 V ThanoxApp A92E8A9A743FE6648E2E4743FDAC89E9EB4A568F_x000D_
1591913863902 V ThanoxApp A92E8A9A743FE6648E2E4743FDAC89E9EB4A568F_x000D_
1591913863992 V ThanoxApp A92E8A9A743FE6648E2E4743FDAC89E9EB4A568F_x000D_
1591913864063 V ThanoxApp A92E8A9A743FE6648E2E4743FDAC89E9EB4A568F_x000D_
1591913864084 V ThanoxApp A92E8A9A743FE6648E2E4743FDAC89E9EB4A568F_x000D_
1591913880437 D ThanoxApp onDestroy_x000D_
1591913880440 D ThanoxApp onDestroy_x000D_
1591913919087 W ThanoxApp CpuUsagePercent s 999C 999B 6n u H J  25l H J s 999C 999B 6n uTasks: 1 total    1 running    0 sleeping    0 stopped    0 zombie  Mem:      3 6G total       3 5G used        88M free        52M buffers Swap:         0 total          0 used          0 free       893M cached400 cpu  24 user   0 nice   8 sys 368 idle   0 iow   0 irq   0 sirq   0 host 7m  PID USER         PR  NI VIRT  RES  SHR S  CPU   MEM     TIME  ARGS             0m 1m12572 u0 a204      10  10  35M 2 2M 1 5M R  0 0   0 0   0:00 00 top  n 1 m  25h 0m 1000 1H K  25h  25h 0m 1000 1H K_x000D_
1591913919218 V ThanoxApp A92E8A9A743FE6648E2E4743FDAC89E9EB4A568F_x000D_
1591913919221 V ThanoxApp A92E8A9A743FE6648E2E4743FDAC89E9EB4A568F_x000D_
1591913919223 V ThanoxApp A92E8A9A743FE6648E2E4743FDAC89E9EB4A568F_x000D_
1591913919224 V ThanoxApp A92E8A9A743FE6648E2E4743FDAC89E9EB4A568F_x000D_
1591913919298 V ThanoxApp isPaid  true_x000D_
1591913919349 E ThanoxApp Error getAllInstalledPlugin_x000D_
java lang RuntimeException: Parcel android os Parcel c81276: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java:4237)_x000D_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1591913919356 V ThanoxApp A92E8A9A743FE6648E2E4743FDAC89E9EB4A568F_x000D_
1591913919370 V ThanoxApp A92E8A9A743FE6648E2E4743FDAC89E9EB4A568F_x000D_
1591913919383 D ThanoxApp onAttach_x000D_
1591913919383 D ThanoxApp onCreate_x000D_
1591913919383 D ThanoxApp onAttach_x000D_
1591913919383 D ThanoxApp onCreate_x000D_
1591913919392 D ThanoxApp onActivityCreated_x000D_
1591913919422 D ThanoxApp onActivityCreated_x000D_
1591913921233 V ThanoxApp isPaid  true_x000D_
1591913921279 E ThanoxApp Error getAllInstalledPlugin_x000D_
java lang RuntimeException: Parcel android os Parcel 8430a6b: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java:4237)_x000D_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com osama firecrasher e run(Unknown Source:87)_x000D_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1591913921281 V ThanoxApp A92E8A9A743FE6648E2E4743FDAC89E9EB4A568F_x000D_
1591913921299 V ThanoxApp A92E8A9A743FE6648E2E4743FDAC89E9EB4A568F_x000D_
1591913922357 V ThanoxApp A92E8A9A743FE6648E2E4743FDAC89E9EB4A568F_x000D_
1591913922471 V ThanoxApp A92E8A9A743FE6648E2E4743FDAC89E9EB4A568F_x000D_
1591913922570 V ThanoxApp A92E8A9A743FE6648E2E4743FDAC89E9EB4A568F_x000D_
1591913922601 V ThanoxApp A92E8A9A743FE6648E2E4743FDAC89E9EB4A568F_x000D_
1591913924487 V ThanoxApp A92E8A9A743FE6648E2E4743FDAC89E9EB4A568F_x000D_
1591913927593 D ThanoxApp loadData: com android carrierconfig_x000D_
1591913928181 D ThanoxApp loadData: com android statementservice_x000D_
1591913928676 D ThanoxApp loadData: com android nfc_x000D_
1591913932239 V ThanoxApp isPaid  true_x000D_
1591913932281 E ThanoxApp Error getAllInstalledPlugin_x000D_
java lang RuntimeException: Parcel android os Parcel 76e2b29: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java:4237)_x000D_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com osama firecrasher e run(Unknown Source:87)_x000D_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1591913932284 V ThanoxApp A92E8A9A743FE6648E2E4743FDAC89E9EB4A568F_x000D_
1591913932305 V ThanoxApp A92E8A9A743FE6648E2E4743FDAC89E9EB4A568F_x000D_
1591913933449 V ThanoxApp A92E8A9A743FE6648E2E4743FDAC89E9EB4A568F_x000D_
1591913933645 V ThanoxApp A92E8A9A743FE6648E2E4743FDAC89E9EB4A568F_x000D_
1591913933682 V ThanoxApp A92E8A9A743FE6648E2E4743FDAC89E9EB4A568F_x000D_
1591913934576 V ThanoxApp isPaid  true_x000D_
1591913934621 E ThanoxApp Error getAllInstalledPlugin_x000D_
java lang RuntimeException: Parcel android os Parcel 27f8601: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java:4237)_x000D_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com osama firecrasher e run(Unknown Source:87)_x000D_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1591913934624 V ThanoxApp A92E8A9A743FE6648E2E4743FDAC89E9EB4A568F_x000D_
1591913934644 V ThanoxApp A92E8A9A743FE6648E2E4743FDAC89E9EB4A568F_x000D_
1591913935099 D ThanoxApp Loading apps in: Thread RxCachedThreadScheduler 1 5 main _x000D_
1591913936995 D ThanoxApp Loading apps in: Thread RxCachedThreadScheduler 1 5 main _x000D_
1591913939098 D ThanoxApp Loading apps in: Thread RxCachedThreadScheduler 1 5 main _x000D_
1591913940854 D ThanoxApp Loading apps in: Thread RxCachedThreadScheduler 1 5 main _x000D_
1591913942901 D ThanoxApp Loading apps in: Thread RxCachedThreadScheduler 1 5 main _x000D_
1591913945454 D ThanoxApp Loading apps in: Thread RxCachedThreadScheduler 1 5 main _x000D_
1591913946050 V ThanoxApp isPaid  true_x000D_
1591913946090 E ThanoxApp Error getAllInstalledPlugin_x000D_
java lang RuntimeException: Parcel android os Parcel 7f47a59: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java:4237)_x000D_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com osama firecrasher e run(Unknown Source:87)_x000D_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1591913946092 V ThanoxApp A92E8A9A743FE6648E2E4743FDAC89E9EB4A568F_x000D_
1591913946128 V ThanoxApp A92E8A9A743FE6648E2E4743FDAC89E9EB4A568F_x000D_
1591915129230 W ThanoxApp CpuUsagePercent s 999C 999B 6n u H J  25l H J s 999C 999B 6n uTasks: 1 total    1 running    0 sleeping    0 stopped    0 zombie  Mem:      3 6G total       3 5G used        66M free        13M buffers Swap:         0 total          0 used          0 free       539M cached400 cpu  64 user  64 nice 124 sys  96 idle  44 iow   4 irq   4 sirq   0 host 7m  PID USER         PR  NI VIRT  RES  SHR S  CPU   MEM     TIME  ARGS             0m 1m20280 u0 a204      10  10  35M 2 2M 1 5M R  0 0   0 0   0:00 00 top  n 1 m  25h 0m 1000 1H K  25h  25h 0m 1000 1H K_x000D_
1591915129384 V ThanoxApp A92E8A9A743FE6648E2E4743FDAC89E9EB4A568F_x000D_
1591915129387 V ThanoxApp A92E8A9A743FE6648E2E4743FDAC89E9EB4A568F_x000D_
1591915129389 V ThanoxApp A92E8A9A743FE6648E2E4743FDAC89E9EB4A568F_x000D_
1591915129390 V ThanoxApp A92E8A9A743FE6648E2E4743FDAC89E9EB4A568F_x000D_
1591915129454 V ThanoxApp isPaid  true_x000D_
1591915129519 E ThanoxApp Error getAllInstalledPlugin_x000D_
java lang RuntimeException: Parcel android os Parcel c81276: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java:4237)_x000D_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1591915129531 V ThanoxApp A92E8A9A743FE6648E2E4743FDAC89E9EB4A568F_x000D_
1591915129547 V ThanoxApp A92E8A9A743FE6648E2E4743FDAC89E9EB4A568F_x000D_
1591915129561 D ThanoxApp onAttach_x000D_
1591915129561 D ThanoxApp onCreate_x000D_
1591915129561 D ThanoxApp onAttach_x000D_
1591915129561 D ThanoxApp onCreate_x000D_
1591915129569 D ThanoxApp onActivityCreated_x000D_
1591915129601 D ThanoxApp onActivityCreated_x000D_
1591915131693 V ThanoxApp isPaid  true_x000D_
1591915131737 E ThanoxApp Error getAllInstalledPlugin_x000D_
java lang RuntimeException: Parcel android os Parcel 8430a6b: Unmarshalling unknown type code 7274612 at offset 500_x000D_
	at android os Parcel readValue(Parcel java:2945)_x000D_
	at android os Parcel readSparseArrayInternal(Parcel java:3327)_x000D_
	at android os Parcel readSparseArray(Parcel java:2484)_x000D_
	at android content pm ApplicationInfo  init (ApplicationInfo java:1716)_x000D_
	at android content pm ApplicationInfo  init (ApplicationInfo java:58)_x000D_
	at android content pm ApplicationInfo 1 createFromParcel(ApplicationInfo java:1685)_x000D_
	at android content pm ApplicationInfo 1 createFromParcel(ApplicationInfo java:1683)_x000D_
	at github tornaco android nitro framework host manager data ParcelUtils unmarshall(Unknown Source:4)_x000D_
	at github tornaco android nitro framework host manager data converter ApplicationInfoConverter activityInfoFromBytes(Unknown Source:2)_x000D_
	at github tornaco android nitro framework host manager data source local PluginAppDao Impl loadByPackageName(Unknown Source:62)_x000D_
	at github tornaco android nitro framework host manager data Repo getAllInstalledPlugin(Unknown Source:53)_x000D_
	at github tornaco android nitro framework Nitro getAllInstalledPlugin(Unknown Source:0)_x000D_
	at github tornaco android thanos main NavViewModel loadPluginFeatures(Unknown Source:57)_x000D_
	at github tornaco android thanos main NavViewModel start(Unknown Source:31)_x000D_
	at github tornaco android thanos main NavActivity onResume(Unknown Source:33)_x000D_
	at android app Instrumentation callActivityOnResume(Instrumentation java:1453)_x000D_
	at android app Activity performResume(Activity java:7958)_x000D_
	at android app ActivityThread performResumeActivity(ActivityThread java:4195)_x000D_
	at android app ActivityThread handleResumeActivity(ActivityThread java:4</t>
  </si>
  <si>
    <t>google-ExoPlayer-7494</t>
  </si>
  <si>
    <t>IMA crashing when using wrong IMA Ad Uri config</t>
  </si>
  <si>
    <t xml:space="preserve">     REQUIRED  Issue description_x000D_
We were getting an invalid Ads configuration  with prerolls coming on seconds 1  2  3 _x000D_
This is behaving differently on 2 11 3 and 2 11 5 _x000D_
2 11 3: Playback is stuck after preroll _x000D_
2 11 5: App crashes after preroll _x000D_
_x000D_
We know this issue is just an edge case caused by a misconfiguration on the AdManager  but maybe the crash could be avoided  _x000D_
_x000D_
     REQUIRED  Reproduction steps_x000D_
_x000D_
1  On Exoplayer demo module  include the IMA Uri from below into any content _x000D_
2  Start playback _x000D_
_x000D_
Expected: Content is resumed _x000D_
Actual: Crashing after Preroll _x000D_
_x000D_
     REQUIRED  Link to test content_x000D_
https:  pubads g doubleclick net gampad ads env vp gdfp req 1 unviewed position start 1 output vast iu  5374 TV2video avod programmer underholdning love island uk sesong 5 sz 640x480 description url https:  www tv2 no v 1463716 hl no cmsid 2510181 vid 1463716_x000D_
_x000D_
  I m not sure how long the Ad Tag Uri will be available  I m sharing bugreports in case it is changed _x000D_
_x000D_
     REQUIRED  A full bug report captured from the device_x000D_
The exception is raised in ImaAdsLoader due to invalid AdState when receiving  stopAd  from IMASDK _x000D_
_x000D_
   _x000D_
2020 06 12 12:11:06 401 28373 28373 no tv2 sumo debug E AndroidRuntime: FATAL EXCEPTION: main_x000D_
    Process: no tv2 sumo debug  PID: 28373_x000D_
    java lang IllegalStateException_x000D_
        at com google android exoplayer2 util Assertions checkState(Assertions java:81)_x000D_
        at no tv2 player ImaAdsLoader stopAd(ImaAdsLoader java:970)_x000D_
        at com google ads interactivemedia v3 internal akf a(IMASDK:24)_x000D_
        at com google ads interactivemedia v3 internal akb a(IMASDK:177)_x000D_
        at com google ads interactivemedia v3 internal akb a(IMASDK:44)_x000D_
        at com google ads interactivemedia v3 internal ake b(IMASDK:28)_x000D_
        at com google ads interactivemedia v3 internal akc shouldOverrideUrlLoading(IMASDK:6)_x000D_
        at android webkit WebViewClient shouldOverrideUrlLoading(WebViewClient java:77)_x000D_
        at org chromium android webview AwContentsClientBridge shouldOverrideUrlLoading(chromium Monochrome aab stable 410410173:16)_x000D_
        at android os MessageQueue nativePollOnce(Native Method)_x000D_
        at android os MessageQueue next(MessageQueue java:326)_x000D_
        at android os Looper loop(Looper java:165)_x000D_
        at android app ActivityThread main(ActivityThread java:6810)_x000D_
        at java lang reflect Method invoke(Native Method)_x000D_
        at com android internal os RuntimeInit MethodAndArgsCaller run(RuntimeInit java:547)_x000D_
        at com android internal os ZygoteInit main(ZygoteInit java:873)_x000D_
   _x000D_
 bugreport nexus5 Android6 2020 06 12 txt (https:  github com google ExoPlayer files 4770696 bugreport nexus5 Android6 2020 06 12 txt)_x000D_
 bugreport whyred PKQ1 180904 001 2020 06 12 13 19 54 zip (https:  github com google ExoPlayer files 4770697 bugreport whyred PKQ1 180904 001 2020 06 12 13 19 54 zip)_x000D_
_x000D_
     REQUIRED  Version of ExoPlayer being used_x000D_
2 11 3   2 11 5_x000D_
_x000D_
     REQUIRED  Device(s) and version(s) of Android being used_x000D_
All  It doesn t seem to be affected by any Android version or device </t>
  </si>
  <si>
    <t>nextcloud-android-6279</t>
  </si>
  <si>
    <t>App crashes while auto-uploading</t>
  </si>
  <si>
    <t xml:space="preserve">    Steps to reproduce_x000D_
1  Have the app auto upload an image folder _x000D_
_x000D_
    Expected behaviour_x000D_
  It uploads the images_x000D_
_x000D_
    Actual behaviour_x000D_
  If run in the background it just stops uploading after a few images  if run in the foreground it becomes inresponsive and crashes after a few  seconds _x000D_
 error txt (https:  github com nextcloud android files 4769553 error txt)_x000D_
</t>
  </si>
  <si>
    <t>nextcloud-android-6277</t>
  </si>
  <si>
    <t>Nextcloud App crash on clicking .vcf</t>
  </si>
  <si>
    <t xml:space="preserve">    Steps to reproduce_x000D_
1  Create a Backup of your (smartphone) contacts via App_x000D_
2  Open the hidden  contact folder and click on the created  vcf_x000D_
3  App crashes_x000D_
_x000D_
    Expected behaviour_x000D_
  Tell us what should happen_x000D_
Open the file  download it or something else but no crash_x000D_
_x000D_
    Actual behaviour_x000D_
  Tell us what happens_x000D_
The Nextcloud App crash_x000D_
_x000D_
    Environment data_x000D_
Android version: 9 0_x000D_
_x000D_
Device model: Samsung Galaxy S8_x000D_
_x000D_
Stock or customized system: Stock_x000D_
_x000D_
Nextcloud app version: 3 12 0_x000D_
_x000D_
Nextcloud server version: 19 0_x000D_
_x000D_
    Logs_x000D_
             CAUSE OF ERROR             _x000D_
_x000D_
java lang RuntimeException: Unable to start activity ComponentInfo com nextcloud client com owncloud android ui activity ContactsPreferenceActivity : java lang ClassCastException: com nextcloud client account RegisteredUser cannot be cast to org parceler ParcelWrapper_x000D_
	at android app ActivityThread performLaunchActivity(ActivityThread java:3114)_x000D_
	at android app ActivityThread handleLaunchActivity(ActivityThread java:3257)_x000D_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java:1948)_x000D_
	at android os Handler dispatchMessage(Handler java:106)_x000D_
	at android os Looper loop(Looper java:214)_x000D_
	at android app ActivityThread main(ActivityThread java:7050)_x000D_
	at java lang reflect Method invoke(Native Method)_x000D_
	at com android internal os RuntimeInit MethodAndArgsCaller run(RuntimeInit java:494)_x000D_
	at com android internal os ZygoteInit main(ZygoteInit java:965)_x000D_
Caused by: java lang ClassCastException: com nextcloud client account RegisteredUser cannot be cast to org parceler ParcelWrapper_x000D_
	at org parceler Parcels unwrap(Parcels java:91)_x000D_
	at com owncloud android ui activity ContactsPreferenceActivity onCreate(ContactsPreferenceActivity java:96)_x000D_
	at android app Activity performCreate(Activity java:7327)_x000D_
	at android app Activity performCreate(Activity java:7318)_x000D_
	at android app Instrumentation callActivityOnCreate(Instrumentation java:1271)_x000D_
	at android app ActivityThread performLaunchActivity(ActivityThread java:3094)_x000D_
	    11 more_x000D_
_x000D_
             APP INFORMATION             _x000D_
ID: com nextcloud client_x000D_
Version: 30120090_x000D_
Build flavor: gplay_x000D_
_x000D_
             DEVICE INFORMATION             _x000D_
Brand: samsung_x000D_
Device: dreamlte_x000D_
Model: SM G950F_x000D_
Id: PPR1 180610 011_x000D_
Product: dreamltexx_x000D_
_x000D_
             FIRMWARE             _x000D_
SDK: 28_x000D_
Release: 9_x000D_
Incremental: G950FXXS9DTEA</t>
  </si>
  <si>
    <t>nextcloud-android-6273</t>
  </si>
  <si>
    <t>Automatic upload erratic behavior</t>
  </si>
  <si>
    <t xml:space="preserve">    Steps to reproduce
1  open  automatic upload 
2  try to upload something 
    Expected behaviour
  Things should get queued for upload sooner or later 
    Actual behaviour
  Nothing  sometimes the app freezes upon trying to open  automatic upload 
    Environment data
Android version: 10
Device model: Galaxy S9 
Stock or customized system: stock
Nextcloud app version: newest dev build (20200611)
Nextcloud server version: latest docker container (version 19 0 0)
Reverse proxy: none  direct ip
Edit: and sometimes it starts working ages after I told it to
Edit2: and then locks up the app for 7 minutes before finally working fine again (to be fair  I told it to upload about 17k files)
Edit3: It apparently crashed in the background  I restarted it and now I get  nextcloud dev ist not responding  messages all the time
Something is really messed up
Edit4: Now it uploads if I open the app (as the notifications tell me) but the app interface freezes and stays frozen if I don t force stop the app :))</t>
  </si>
  <si>
    <t>google-ExoPlayer-7492</t>
  </si>
  <si>
    <t>Video player crash when scrubbing through mid-roll</t>
  </si>
  <si>
    <t xml:space="preserve">    Issue description_x000D_
Player crash while scrub through ads_x000D_
_x000D_
    Reproduction steps_x000D_
Play a video for  VMAP pre roll single ad  mid roll standard pods with 5 ads every 10 seconds _x000D_
let the pre roll play  now scrub through 5th mid roll and let a mid roll will play _x000D_
Now scrub before 2nd mid roll and app will crash with  _x000D_
    java_x000D_
2020 06 11 14:42:28 717 13004 13004 com google android exoplayer2 demo E AndroidRuntime: FATAL EXCEPTION: main_x000D_
    Process: com google android exoplayer2 demo  PID: 13004_x000D_
    java lang IllegalStateException_x000D_
        at com google android exoplayer2 util Assertions checkState(Assertions java:81)_x000D_
        at com google android exoplayer2 ext ima ImaAdsLoader stopAd(ImaAdsLoader java:944)_x000D_
        at com google ads interactivemedia v3 internal akf a(IMASDK:24)_x000D_
        at com google ads interactivemedia v3 internal akb a(IMASDK:177)_x000D_
        at com google ads interactivemedia v3 internal akb a(IMASDK:44)_x000D_
        at com google ads interactivemedia v3 internal ake b(IMASDK:28)_x000D_
        at com google ads interactivemedia v3 internal akc shouldOverrideUrlLoading(IMASDK:6)_x000D_
        at android webkit WebViewClient shouldOverrideUrlLoading(WebViewClient java:73)_x000D_
        at org chromium android webview AwContentsClientBridge shouldOverrideUrlLoading(chromium Monochrome aab stable 410410170:16)_x000D_
        at android os MessageQueue nativePollOnce(Native Method)_x000D_
        at android os MessageQueue next(MessageQueue java:323)_x000D_
        at android os Looper loop(Looper java:136)_x000D_
        at android app ActivityThread main(ActivityThread java:6165)_x000D_
        at java lang reflect Method invoke(Native Method)_x000D_
        at com android internal os ZygoteInit MethodAndArgsCaller run(ZygoteInit java:888)_x000D_
        at com android internal os ZygoteInit main(ZygoteInit java:778)_x000D_
    _x000D_
_x000D_
Also sometime time content just stuck after ad is done  and log says ad is in progress but it is actually done  player is not able to switch from IMA  _x000D_
_x000D_
    Link to test content_x000D_
Reproducible on sample app_x000D_
_x000D_
    A full bug report captured from the device_x000D_
 bugreport NPD26 48 24 1 2020 06 11 14 30 51 zip (https:  github com google ExoPlayer files 4766622 bugreport NPD26 48 24 1 2020 06 11 14 30 51 zip)_x000D_
_x000D_
    Version of ExoPlayer being used_x000D_
2 11 5_x000D_
_x000D_
    Device(s) and version(s) of Android being used_x000D_
Bug report is from Motorola X play OS 7 1 1 _x000D_
but happens on Emulator API 21 and above (did not check older APIs)_x000D_
_x000D_
</t>
  </si>
  <si>
    <t>react-native-share-react-native-share-797</t>
  </si>
  <si>
    <t>react-native@0.62.x crash for base64 urls sharing on iOS platform</t>
  </si>
  <si>
    <t xml:space="preserve">    Steps to reproduce_x000D_
1  Use react native 0 62 2 and react native share 3 3 3_x000D_
2  Try to share an image with this code:_x000D_
_x000D_
   js_x000D_
        await Share open( _x000D_
          url:  data:image jpg base64    any base64 image code here    _x000D_
         ) _x000D_
   _x000D_
_x000D_
3  iOS Application will be crashed with logs:_x000D_
_x000D_
   bash_x000D_
    Terminating app due to uncaught exception  NSInvalidArgumentException   reason:    NSURLResponse allHeaderFields : unrecognized selector sent to instance 0x600001d57120 _x000D_
    First throw call stack:_x000D_
(_x000D_
	0   CoreFoundation                      0x00007fff23e3cf0e   exceptionPreprocess   350_x000D_
	1   libobjc A dylib                     0x00007fff50ba89b2 objc exception throw   48_x000D_
	2   CoreFoundation                      0x00007fff23e5dc34   NSObject(NSObject) doesNotRecognizeSelector:    132_x000D_
	3   CoreFoundation                      0x00007fff23e4190c    forwarding      1436_x000D_
	4   CoreFoundation                      0x00007fff23e43bf8  CF forwarding prep 0   120_x000D_
	5   Brandgility                         0x00000001030a8acc   SKResponseInfo shouldStripReponseBodyWithResponse:    76_x000D_
	6   Brandgility                         0x00000001030a89a1   SKResponseInfo initWithIndentifier:timestamp:response:data:    241_x000D_
	7   Brandgility                         0x0000000103082779   71  FLEXNetworkRecorder recordLoadingFinishedWithRequestID:responseBody:  block invoke   825_x000D_
	8   libdispatch dylib                   0x00000001067a1f11  dispatch call block and release   12_x000D_
	9   libdispatch dylib                   0x00000001067a2e8e  dispatch client callout   8_x000D_
	10  libdispatch dylib                   0x00000001067a96fd  dispatch lane serial drain   788_x000D_
	11  libdispatch dylib                   0x00000001067aa28f  dispatch lane invoke   422_x000D_
	12  libdispatch dylib                   0x00000001067b5b65  dispatch workloop worker thread   719_x000D_
	13  libsystem pthread dylib             0x00007fff51c08a3d  pthread wqthread   290_x000D_
	14  libsystem pthread dylib             0x00007fff51c07b77 start wqthread   15_x000D_
)_x000D_
libc  abi dylib: terminating with uncaught exception of type NSException_x000D_
(lldb) _x000D_
   _x000D_
_x000D_
    Expected behaviour_x000D_
IOS application successfully launches Share modal_x000D_
_x000D_
    Actual behaviour_x000D_
IOS application crashes_x000D_
_x000D_
    Environment_x000D_
  react native 0 62 2:_x000D_
  iOS 13 5 1_x000D_
_x000D_
    react native share_x000D_
react native share 3 3 3_x000D_
</t>
  </si>
  <si>
    <t>doublesymmetry-react-native-track-player-969</t>
  </si>
  <si>
    <t>Started getting crash on ios after updating to latest version.</t>
  </si>
  <si>
    <t xml:space="preserve">  Describe the bug  _x000D_
Started getting more crashes in ios after updating to latest version v1 2 3 _x000D_
_x000D_
  To Reproduce  _x000D_
I am not able to regenerate and not able to figure out why it is happening  I had figure out a crash from firebase  _x000D_
_x000D_
  Environment (please complete the following information):  _x000D_
react native info_x000D_
   _x000D_
  React Native Environment Info:_x000D_
    System:_x000D_
      OS: macOS 10 15 4_x000D_
      CPU: (8) x64 Intel(R) Core(TM) i7 7820HQ CPU   2 90GHz_x000D_
      Memory: 609 34 MB   16 00 GB_x000D_
      Shell: 3 2 57    bin bash_x000D_
    Binaries:_x000D_
      Node: 8 11 3      nvm versions node v8 11 3 bin node_x000D_
      Yarn: 1 12 3    usr local bin yarn_x000D_
      npm: 5 6 0      nvm versions node v8 11 3 bin npm_x000D_
      Watchman: 4 9 0    usr local bin watchman_x000D_
    SDKs:_x000D_
      iOS SDK:_x000D_
        Platforms: iOS 13 4  DriverKit 19 0  macOS 10 15  tvOS 13 4  watchOS 6 2_x000D_
      Android SDK:_x000D_
        API Levels: 21  22  23  24  25  26  27  28  29_x000D_
        Build Tools: 23 0 1  23 0 2  23 0 3  24 0 2  25 0 0  25 0 1  25 0 2  25 0 3  26 0 1  26 0 2  26 0 3  27 0 3  28 0 0  28 0 2  28 0 3  29 0 2_x000D_
        System Images: android 22   Google APIs Intel x86 Atom  android 27   Google APIs Intel x86 Atom  android 28   Google APIs Intel x86 Atom  android 29   Google APIs Intel x86 Atom  android R   Google APIs Intel x86 Atom_x000D_
    IDEs:_x000D_
      Android Studio: 3 6 AI 192 7142 36 36 6392135_x000D_
      Xcode: 11 4 11E146    usr bin xcodebuild_x000D_
    npmPackages:_x000D_
      react: 16 8 3    16 8 3 _x000D_
      react native: 0 59 4    0 59 4 _x000D_
    npmGlobalPackages:_x000D_
      react native asset: 1 1 3_x000D_
      react native cli: 2 0 1_x000D_
      react native onesignal: 3 5 0_x000D_
      react native rename: 2 4 1_x000D_
      react native svg: 11 0 1_x000D_
   _x000D_
_x000D_
_x000D_
 react native track player  version v1 2 3_x000D_
_x000D_
The issue was occurring on actual devices  Here is the error stack from firebase_x000D_
_x000D_
 img width  1140  alt  Screenshot 2020 06 11 at 5 53 00 PM  src  https:  user images githubusercontent com 10993666 84385945 13354800 ac0e 11ea 8de7 e79ac3b42f27 png  _x000D_
 img width  1132  alt  Screenshot 2020 06 11 at 5 53 12 PM  src  https:  user images githubusercontent com 10993666 84385954 16303880 ac0e 11ea 9721 48dd82f484d2 png  _x000D_
 img width  1109  alt  Screenshot 2020 06 11 at 5 53 27 PM  src  https:  user images githubusercontent com 10993666 84385962 18929280 ac0e 11ea 8cde 21df38948983 png  _x000D_
 img width  1159  alt  Screenshot 2020 06 11 at 5 56 01 PM  src  https:  user images githubusercontent com 10993666 84385968 1b8d8300 ac0e 11ea 9a28 253453e1a831 png  _x000D_
_x000D_
_x000D_
Does anyone have an idea why it is happening or how to regenerate it _x000D_
_x000D_
</t>
  </si>
  <si>
    <t>ankidroid-Anki-Android-6432</t>
  </si>
  <si>
    <t>Crash in Card Browser, the multi-select mode: Edit =&gt; change the card type</t>
  </si>
  <si>
    <t xml:space="preserve">       Reproduction Steps_x000D_
_x000D_
1  Create any type and clone it (to keep things simple  I ve just used basic  calling the types  Basic 1     Basic 2 ) _x000D_
2  Add two cards to the first type _x000D_
3  Browser   select the two new cards   Edit   try to change the type (in my case   Basic 1     Basic 2 )  _x000D_
_x000D_
_x000D_
       Expected Result_x000D_
If you could allow there some sort of batch type reassignment via the default field mapping  that would be perfect _x000D_
_x000D_
_x000D_
       Actual Result_x000D_
_x000D_
It crashes  only the first card is affected by the change _x000D_
_x000D_
_x000D_
       Debug info_x000D_
Refer to the  support page (https:  ankidroid org docs help html) if you are unsure where to get the  debug info  _x000D_
_x000D_
       Research_x000D_
 Enter an  x  character to confirm the points below: _x000D_
_x000D_
    I ve reported it via the play google com  your representative there suggested that I report it here _x000D_
_x000D_
_x000D_
      I have read the  support page (https:  ankidroid org docs help html) and am reporting a bug or enhancement request specific to AnkiDroid_x000D_
      I have checked the  manual (https:  ankidroid org docs manual html) and the  FAQ (https:  github com ankidroid Anki Android wiki FAQ) and could not find a solution to my issue_x000D_
      I have searched for similar existing issues here and on the user forum_x000D_
      (Optional) I have confirmed the issue is not resolved in the latest alpha release ( instructions (https:  docs ankidroid org manual html betaTesting))_x000D_
_x000D_
</t>
  </si>
  <si>
    <t>ElderDrivers-EdXposed-566</t>
  </si>
  <si>
    <t>[BUG] System crashes (reboots) after updating module</t>
  </si>
  <si>
    <t xml:space="preserve">       What happened   _x000D_
_x000D_
Whenever I update my module (instant in module mode)  the system crashes and reboots  It s quite annoying when I am debugging my module  Sometimes my phone even bumped into a boot loop _x000D_
_x000D_
  Xposed     Xposed Module List  _x000D_
_x000D_
  xposed (https:  user images githubusercontent com 5022927 84294770 3adbd000 ab7c 11ea 9f5d 045c6b943af4 jpg)_x000D_
_x000D_
_x000D_
  Magisk     Magisk Module List  _x000D_
_x000D_
  magisk (https:  user images githubusercontent com 5022927 84294793 43340b00 ab7c 11ea 8d9c fc6e3fa0637b png)_x000D_
_x000D_
_x000D_
  EdXposed Riru   Versions of EdXposed and Riru  _x000D_
_x000D_
EdXposed: 0 4 6 2 (4529) (SandHook)_x000D_
_x000D_
Riru: v21 1_x000D_
_x000D_
    Logcat Logcat  _x000D_
   _x000D_
06 10 01:59:52 792   572   572 I hwservicemanager: getTransport: Cannot find entry vendor qti hardware servicetracker 1 0::IServicetracker default in either framework or device manifest _x000D_
06 10 01:59:52 889 21901 21901 F zygote  : runtime cc:705  Runtime aborting   _x000D_
06 10 01:59:52 889 21901 21901 F zygote  : runtime cc:705  Dumping all threads without mutator lock held_x000D_
06 10 01:59:52 889 21901 21901 F zygote  : runtime cc:705  All threads:_x000D_
06 10 01:59:52 889 21901 21901 F zygote  : runtime cc:705  DALVIK THREADS (2):_x000D_
06 10 01:59:52 889 21901 21901 F zygote  : runtime cc:705   XSharedPreferences load  prio 5 tid 2 Runnable_x000D_
06 10 01:59:52 889 21901 21901 F zygote  : runtime cc:705      group    sCount 0 dsCount 0 flags 0 obj 0x1475b738 self 0xe7e64200_x000D_
06 10 01:59:52 889 21901 21901 F zygote  : runtime cc:705      sysTid 6559 nice 0 cgrp default sched 0 0 handle 0xc8f2a230_x000D_
06 10 01:59:52 889 21901 21901 F zygote  : runtime cc:705      state R schedstat ( 5981821 8906 6 ) utm 0 stm 0 core 6 HZ 100_x000D_
06 10 01:59:52 889 21901 21901 F zygote  : runtime cc:705      stack 0xc8e27000 0xc8e29000 stackSize 1040KB_x000D_
06 10 01:59:52 889 21901 21901 F zygote  : runtime cc:705      held mutexes   mutator lock (shared held)_x000D_
06 10 01:59:52 889 21901 21901 F zygote  : runtime cc:705    native:  00 pc 00307f8f   apex com android runtime lib libart so libart so (offset 2ed000) (art::DumpNativeStack(std::  1::basic ostream char  std::  1::char traits char     int  BacktraceMap   char const   art::ArtMethod   void   bool) 78)_x000D_
06 10 01:59:52 889 21901 21901 F zygote  : runtime cc:705    native:  01 pc 003b82f7   apex com android runtime lib libart so libart so (offset 386000) (art::Thread::DumpStack(std::  1::basic ostream char  std::  1::char traits char     bool  BacktraceMap   bool) const 362)_x000D_
06 10 01:59:52 889 21901 21901 F zygote  : runtime cc:705    native:  02 pc 003b48cb   apex com android runtime lib libart so libart so (offset 386000) (art::Thread::Dump(std::  1::basic ostream char  std::  1::char traits char     bool  BacktraceMap   bool) const 34)_x000D_
06 10 01:59:52 889 21901 21901 F zygote  : runtime cc:705    native:  03 pc 003ce823   apex com android runtime lib libart so libart so (offset 386000) (art::DumpCheckpoint::Run(art::Thread ) 618)_x000D_
06 10 01:59:52 889 21901 21901 F zygote  : runtime cc:705    native:  04 pc 003b8d25   apex com android runtime lib libart so libart so (offset 386000) (art::Thread::RunCheckpointFunction() 128)_x000D_
06 10 01:59:52 889 21901 21901 F zygote  : runtime cc:705    native:  05 pc 00429d8f   apex com android runtime lib libart so libart so (offset 386000) (artTestSuspendFromCode 8)_x000D_
06 10 01:59:52 889 21901 21901 F zygote  : runtime cc:705    native:  06 pc 000dc30d   apex com android runtime lib libart so (art quick test suspend 28)_x000D_
06 10 01:59:52 889 21901 21901 F zygote  : runtime cc:705    at com android org kxml2 io KXmlParser readValue(KXmlParser java:1364)_x000D_
06 10 01:59:52 889 21901 21901 F zygote  : runtime cc:705    at com android org kxml2 io KXmlParser next(KXmlParser java:401)_x000D_
06 10 01:59:52 889 21901 21901 F zygote  : runtime cc:705    at com android org kxml2 io KXmlParser next(KXmlParser java:321)_x000D_
06 10 01:59:52 889 21901 21901 F zygote  : runtime cc:705    at com android internal util XmlUtils readThisValueXml(XmlUtils java:1435)_x000D_
06 10 01:59:52 889 21901 21901 F zygote  : runtime cc:705    at com android internal util XmlUtils readThisMapXml(XmlUtils java:838)_x000D_
06 10 01:59:52 889 21901 21901 F zygote  : runtime cc:705    at com android internal util XmlUtils readThisValueXml(XmlUtils java:1489)_x000D_
06 10 01:59:52 889 21901 21901 F zygote  : runtime cc:705    at com android internal util XmlUtils readValueXml(XmlUtils java:1405)_x000D_
06 10 01:59:52 889 21901 21901 F zygote  : runtime cc:705    at com android internal util XmlUtils readMapXml(XmlUtils java:748)_x000D_
06 10 01:59:52 889 21901 21901 F zygote  : runtime cc:705    at de robv android xposed XSharedPreferences loadFromDiskLocked(XSharedPreferences java:124)_x000D_
06 10 01:59:52 889 21901 21901 F zygote  : runtime cc:705    at de robv android xposed XSharedPreferences access 000(XSharedPreferences java:28)_x000D_
06 10 01:59:52 889 21901 21901 F zygote  : runtime cc:705    at de robv android xposed XSharedPreferences 1 run(XSharedPreferences java:107)_x000D_
06 10 01:59:52 889 21901 21901 F zygote  : runtime cc:705      locked  0x0a3cd200  (a de robv android xposed XSharedPreferences)_x000D_
06 10 01:59:52 889 21901 21901 F zygote  : runtime cc:705 _x000D_
06 10 01:59:52 889 21901 21901 F zygote  : runtime cc:705   main  prio 5 tid 1 Runnable_x000D_
06 10 01:59:52 889 21901 21901 F zygote  : runtime cc:705      group    sCount 0 dsCount 0 flags 0 obj 0x743a8b40 self 0xefb7ae00_x000D_
06 10 01:59:52 889 21901 21901 F zygote  : runtime cc:705      sysTid 21901 nice 0 cgrp default sched 0 0 handle 0xf0142dc0_x000D_
06 10 01:59:52 889 21901 21901 F zygote  : runtime cc:705      state R schedstat ( 2617932009 885933556 3292 ) utm 186 stm 74 core 7 HZ 100_x000D_
06 10 01:59:52 889 21901 21901 F zygote  : runtime cc:705      stack 0xff2e3000 0xff2e5000 stackSize 8192KB_x000D_
06 10 01:59:52 889 21901 21901 F zygote  : runtime cc:705      held mutexes   abort lock   mutator lock (shared held)_x000D_
06 10 01:59:52 889 21901 21901 F zygote  : runtime cc:705    native:  00 pc 00307f8f   apex com android runtime lib libart so libart so (offset 2ed000) (art::DumpNativeStack(std::  1::basic ostream char  std::  1::char traits char     int  BacktraceMap   char const   art::ArtMethod   void   bool) 78)_x000D_
06 10 01:59:52 889 21901 21901 F zygote  : runtime cc:705    native:  01 pc 003b82f7   apex com android runtime lib libart so libart so (offset 386000) (art::Thread::DumpStack(std::  1::basic ostream char  std::  1::char traits char     bool  BacktraceMap   bool) const 362)_x000D_
06 10 01:59:52 889 21901 21901 F zygote  : runtime cc:705    native:  02 pc 003b48cb   apex com android runtime lib libart so libart so (offset 386000) (art::Thread::Dump(std::  1::basic ostream char  std::  1::char traits char     bool  BacktraceMap   bool) const 34)_x000D_
06 10 01:59:52 889 21901 21901 F zygote  : runtime cc:705    native:  03 pc 003ce823   apex com android runtime lib libart so libart so (offset 386000) (art::DumpCheckpoint::Run(art::Thread ) 618)_x000D_
06 10 01:59:52 889 21901 21901 F zygote  : runtime cc:705    native:  04 pc 003c8e9b   apex com android runtime lib libart so libart so (offset 386000) (art::ThreadList::RunCheckpoint(art::Closure   art::Closure ) 298)_x000D_
06 10 01:59:52 889 21901 21901 F zygote  : runtime cc:705    native:  05 pc 003c85a1   apex com android runtime lib libart so libart so (offset 386000) (art::ThreadList::Dump(std::  1::basic ostream char  std::  1::char traits char     bool) 1452)_x000D_
06 10 01:59:52 889 21901 21901 F zygote  : runtime cc:705    native:  06 pc 00383c73   apex com android runtime lib libart so libart so (offset 33e000) (art::Runtime::Abort(char const ) 1118)_x000D_
06 10 01:59:52 889 21901 21901 F zygote  : runtime cc:705    native:  07 pc 000084b5   system lib libbase so (android::base::LogMessage:: LogMessage() 396)_x000D_
06 10 01:59:52 889 21901 21901 F zygote  : runtime cc:705    native:  08 pc 00297a83   apex com android runtime lib libart so libart so (offset 1db000) (art::JNI::FatalError( JNIEnv   char const ) 122)_x000D_
06 10 01:59:52 889 21901 21901 F zygote  : runtime cc:705    native:  09 pc 001382c1   system lib libandroid runtime so ((anonymous namespace)::ZygoteFailure( JNIEnv   char const    jstring   std::  1::basic string char  std::  1::char traits char   std::  1::allocator char   const ) 84)_x000D_
06 10 01:59:52 889 21901 21901 F zygote  : runtime cc:705    native:  10 pc 0013c433   system lib libandroid runtime so libandroid runtime so (offset 13b000) (FileDescriptorInfo::CreateFromFd(int  std::  1::function void (std::  1::basic string char  std::  1::char traits char   std::  1::allocator char  )  const ) 362)_x000D_
06 10 01:59:52 889 21901 21901 F zygote  : runtime cc:705    native:  11 pc 0013d385   system lib libandroid runtime so libandroid runtime so (offset 13d000) (FileDescriptorTable::RestatInternal(std::  1::set int  std::  1::less int   std::  1::allocator int     std::  1::function void (std::  1::basic string char  std::  1::char traits char   std::  1::allocator char  )  const ) 268)_x000D_
06 10 01:59:52 889 21901 21901 F zygote  : runtime cc:705    native:  12 pc 0013d23d   system lib libandroid runtime so libandroid runtime so (offset 13d000) (FileDescriptorTable::Restat(std::  1::vector int  std::  1::allocator int   const   std::  1::function void (std::  1::basic string char  std::  1::char traits char   std::  1::allocator char  )  const ) 400)_x000D_
06 10 01:59:52 889 21901 21901 F zygote  : runtime cc:705    native:  13 pc 00138721   system lib libandroid runtime so ((anonymous namespace)::ForkCommon( JNIEnv   bool  std::  1::vector int  std::  1::allocator int   const   std::  1::vector int  std::  1::allocator int   const ) 292)_x000D_
06 10 01:59:52 889 21901 21901 F zygote  : runtime cc:705    native:  14 pc 00136f3d   system lib libandroid runtime so (android::com android internal os Zygote nativeForkAndSpecialize( JNIEnv    jclass   int  int   jintArray   int   jobjectArray   int   jstring    jstring    jintArray    jintArray   unsigned char   jstring    jstring ) 416)_x000D_
06 10 01:59:52 889 21901 21901 F zygote  : runtime cc:705    native:  15 pc 000057df   system lib libmemtrack so (   )_x000D_
06 10 01:59:52 889 21901 21901 F zygote  : runtime cc:705    at com android internal os Zygote nativeForkAndSpecialize(Native method)_x000D_
06 10 01:59:52 889 21901 21901 F zygote  : runtime cc:705    at com android internal os Zygote forkAndSpecialize(Zygote java:241)_x000D_
06 10 01:59:52 889 21901 21901 F zygote  : runtime cc:705    at com android internal os ZygoteConnection processOneCommand(ZygoteConnection java:267)_x000D_
06 10 01:59:52 889 21901 21901 F zygote  : runtime cc:705    at com android internal os ZygoteServer runSelectLoop(ZygoteServer java:456)_x000D_
06 10 01:59:52 889 21901 21901 F zygote  : runtime cc:705    at com android internal os ZygoteInit main(ZygoteInit java:940)_x000D_
06 10 01:59:52 889 21901 21901 F zygote  : runtime cc:705 _x000D_
06 10 01:59:52 889 21901 21901 F zygote  : runtime cc:705  Aborting thread:_x000D_
06 10 01:59:52 889 21901 21901 F zygote  : runtime cc:705   main  prio 5 tid 1 Native_x000D_
06 10 01:59:52 889 21901 21901 F zygote  : runtime cc:705      group    sCount 0 dsCount 0 flags 0 obj 0x743a8b40 self 0xefb7ae00_x000D_
06 10 01:59:52 889 21901 21901 F zygote  : runtime cc:705      sysTid 21901 nice 0 cgrp default sched 0 0 handle 0xf0142dc0_x000D_
06 10 01:59:52 889 21901 21901 F zygote  : runtime cc:705      state R schedstat ( 2663151648 885986314 3313 ) utm 190 stm 75 core 7 HZ 100_x000D_
06 10 01:59:52 889 21901 21901 F zygote  : runtime cc:705      stack 0xff2e3000 0xff2e5000 stackSize 8192KB_x000D_
06 10 01:59:52 889 21901 21901 F zygote  : runtime cc:705      held mutexes   abort lock _x000D_
06 10 01:59:52 889 21901 21901 F zygote  : runtime cc:705    native:  00 pc 00307f8f   apex com android runtime lib libart so libart so (offset 2ed000) (art::DumpNativeStack(std::  1::basic ostream char  std::  1::char traits char     int  BacktraceMap   char const   art::ArtMethod   void   bool) 78)_x000D_
06 10 01:59:52 889 21901 21901 F zygote  : runtime cc:705    native:  01 pc 003b82f7   apex com android runtime lib libart so libart so (offset 386000) (art::Thread::DumpStack(std::  1::basic ostream char  std::  1::char traits char     bool  BacktraceMap   bool) const 362)_x000D_
06 10 01:59:52 889 21901 21901 F zygote  : runtime cc:705    native:  02 pc 003b48cb   apex com android runtime lib libart so libart so (offset 386000) (art::Thread::Dump(std::  1::basic ostream char  std::  1::char traits char     bool  BacktraceMap   bool) const 34)_x000D_
06 10 01:59:52 889 21901 21901 F zygote  : runtime cc:705    native:  03 pc 0039359f   apex com android runtime lib libart so libart so (offset 386000) (art::AbortState::DumpThread(std::  1::basic ostream char  std::  1::char traits char     art::Thread ) const 30)_x000D_
06 10 01:59:52 889 21901 21901 F zygote  : runtime cc:705    native:  04 pc 00383cc7   apex com android runtime lib libart so libart so (offset 33e000) (art::Runtime::Abort(char const ) 1202)_x000D_
06 10 01:59:52 889 21901 21901 F zygote  : runtime cc:705    native:  05 pc 000084b5   system lib libbase so (android::base::LogMessage:: LogMessage() 396)_x000D_
06 10 01:59:52 889 21901 21901 F zygote  : runtime cc:705    native:  06 pc 00297a83   apex com android runtime lib libart so libart so (offset 1db000) (art::JNI::FatalError( JNIEnv   char const ) 122)_x000D_
06 10 01:59:52 889 21901 21901 F zygote  : runtime cc:705    native:  07 pc 001382c1   system lib libandroid runtime so ((anonymous namespace)::ZygoteFailure( JNIEnv   char const    jstring   std::  1::basic string char  std::  1::char traits char   std::  1::allocator char   const ) 84)_x000D_
06 10 01:59:52 889 21901 21901 F zygote  : runtime cc:705    native:  08 pc 0013c433   system lib libandroid runtime so libandroid runtime so (offset 13b000) (FileDescriptorInfo::CreateFromFd(int  std::  1::function void (std::  1::basic string char  std::  1::char traits char   std::  1::allocator char  )  const ) 362)_x000D_
06 10 01:59:52 889 21901 21901 F zygote  : runtime cc:705    native:  09 pc 0013d385   system lib libandroid runtime so libandroid runtime so (offset 13d000) (FileDescriptorTable::RestatInternal(std::  1::set int  std::  1::less int   std::  1::allocator int     std::  1::function void (std::  1::basic string char  std::  1::char traits char   std::  1::allocator char  )  const ) 268)_x000D_
06 10 01:59:52 889 21901 21901 F zygote  : runtime cc:705    native:  10 pc 0013d23d   system lib libandroid runtime so libandroid runtime so (offset 13d000) (FileDescriptorTable::Restat(std::  1::vector int  std::  1::allocator int   const   std::  1::function void (std::  1::basic string char  std::  1::char traits char   std::  1::allocator char  )  const ) 400)_x000D_
06 10 01:59:52 889 21901 21901 F zygote  : runtime cc:705    native:  11 pc 00138721   system lib libandroid runtime so ((anonymous namespace)::ForkCommon( JNIEnv   bool  std::  1::vector int  std::  1::allocator int   const   std::  1::vector int  std::  1::allocator int   const ) 292)_x000D_
06 10 01:59:52 889 21901 21901 F zygote  : runtime cc:705    native:  12 pc 00136f3d   system lib libandroid runtime so (android::com android internal os Zygote nativeForkAndSpecialize( JNIEnv    jclass   int  int   jintArray   int   jobjectArray   int   jstring    jstring    jintArray    jintArray   unsigned char   jstring    jstring ) 416)_x000D_
06 10 01:59:52 889 21901 21901 F zygote  : runtime cc:705    native:  13 pc 000057df   system lib libmemtrack so (   )_x000D_
06 10 01:59:52 889 21901 21901 F zygote  : runtime cc:705    native:  14 pc 01d87e5b   system framework arm boot framework oat (art jni trampoline 338)_x000D_
06 10 01:59:52 889 21901 21901 F zygote  : runtime cc:705    native:  15 pc 01d87739   system framework arm boot framework oat (com android internal os Zygote forkAndSpecialize 168)_x000D_
06 10 01:59:52 889 21901 21901 F zygote  : runtime cc:705    native:  16 pc 01d8ca5b   system framework arm boot framework oat (com android internal os ZygoteConnection processOneCommand 1594)_x000D_
06 10 01:59:52 889 21901 21901 F zygote  : runtime cc:705    native:  17 pc 01d928f3   system framework arm boot framework oat (com android internal os ZygoteServer runSelectLoop 1394)_x000D_
06 10 01:59:52 889 21901 21901 F zygote  : runtime cc:705    native:  18 pc 01d8e7ef   system framework arm boot framework oat (com android internal os ZygoteInit main 1846)_x000D_
06 10 01:59:52 889 21901 21901 F zygote  : runtime cc:705    native:  19 pc 000d7bc5   apex com android runtime lib libart so (art quick invoke stub internal 68)_x000D_
06 10 01:59:52 889 21901 21901 F zygote  : runtime cc:705    native:  20 pc 00440f9b   apex com android runtime lib libart so libart so (offset 386000) (art quick invoke static stub 246)_x000D_
06 10 01:59:52 889 21901 21901 F zygote  : runtime cc:705    native:  21 pc 000dff95   apex com android runtime lib libart so (art::ArtMethod::Invoke(art::Thread   unsigned int   unsigned int  art::JValue   char const ) 188)_x000D_
06 10 01:59:52 889 21901 21901 F zygote  : runtime cc:705    native:  22 pc 0037d737   apex com android runtime lib libart so libart so (offset 33e000) (art::(anonymous namespace)::InvokeWithArgArray(art::ScopedObjectAccessAlreadyRunnable const   art::ArtMethod   art::(anonymous namespace)::ArgArray   art::JValue   char const ) 54)_x000D_
06 10 01:59:52 889 21901 21901 F zygote  : runtime cc:705    native:  23 pc 0037d4d3   apex com android runtime lib libart so libart so (offset 33e000) (art::InvokeWithVarArgs(art::ScopedObjectAccessAlreadyRunnable const    jobject    jmethodID   std::  va list) 290)_x000D_
06 10 01:59:52 889 21901 21901 F zygote  : runtime cc:705    native:  24 pc 002c3cd1   apex com android runtime lib libart so libart so (offset 1db000) (art::JNI::CallStaticVoidMethodV( JNIEnv    jclass    jmethodID   std::  va list) 492)_x000D_
06 10 01:59:52 889 21901 21901 F zygote  : runtime cc:705    native:  25 pc 000876a9   system lib libandroid runtime so ( JNIEnv::CallStaticVoidMethod( jclass    jmethodID      ) 28)_x000D_
06 10 01:59:52 889 21901 21901 F zygote  : runtime cc:705    native:  26 pc 00089cd1   system lib libandroid runtime so (android::AndroidRuntime::start(char const   android::Vector android::String8  const   bool) 552)_x000D_
06 10 01:59:52 889 21901 21901 F zygote  : runtime cc:705    native:  27 pc 000023bd   system bin app process32 (main 880)_x000D_
06 10 01:59:52 889 21901 21901 F zygote  : runtime cc:705    native:  28 pc 0005ba83   apex com android runtime lib bionic libc so (  libc init 66)_x000D_
06 10 01:59:52 889 21901 21901 F zygote  : runtime cc:705    native:  29 pc 00002037   system bin app process32 ( start main 46)_x000D_
06 10 01:59:52 889 21901 21901 F zygote  : runtime cc:705    native:  30 pc 000b8f38   apex com android runtime bin linker ld android so (offset 1f000) (  dl   aeabi uidivmod 12)_x000D_
06 10 01:59:52 889 21901 21901 F zygote  : runtime cc:705    native:  31 pc 007fe756   stack  (   )_x000D_
06 10 01:59:52 889 21901 21901 F zygote  : runtime cc:705    at com android internal os Zygote nativeForkAndSpecialize(Native method)_x000D_
06 10 01:59:52 889 21901 21901 F zygote  : runtime cc:705    at com android internal os Zygote forkAndSpecialize(Zygote java:241)_x000D_
06 10 01:59:52 889 21901 21901 F zygote  : runtime cc:705    at com android internal os ZygoteConnection processOneCommand(ZygoteConnection java:267)_x000D_
06 10 01:59:52 889 21901 21901 F zygote  : runtime cc:705    at com android internal os ZygoteServer runSelectLoop(ZygoteServer java:456)_x000D_
06 10 01:59:52 889 21901 21901 F zygote  : runtime cc:705    at com android internal os ZygoteInit main(ZygoteInit java:940)_x000D_
06 10 01:59:52 889 21901 21901 F zygote  : runtime cc:705 _x000D_
06 10 01:59:52 890 21901 21901 F libc    : Fatal signal 6 (SIGABRT)  code  1 (SI QUEUE) in tid 21901 (main)  pid 21901 (main)_x000D_
06 10 01:59:52 908  6562  6562 F crash dump32: crash dump cpp:479  failed to attach to thread 21901  already traced by 781 (magiskd)_x000D_
06 10 01:59:52 911  1420  1420 I  system bin tombstoned: received crash request for pid 21901_x000D_
06 10 01:59:52 914  1420  1420 W  system bin tombstoned: crash socket received short read of length 0 (expected 12)_x000D_
06 10 01:59:52 914 21901 21901 F libc    : crash dump helper failed to exec_x000D_
06 10 01:59:52 920 22068 22103 E ZygoteProcess: IO Exception while communicating with Zygote   java io EOFException_x000D_
06 10 01:59:52 920 22068 22103 E ZygoteProcess: Starting VM process through Zygote failed_x000D_
06 10 01:59:52 920 22068 22103 E ActivityManager: Failure starting process tv danmaku bili_x000D_
06 10 01:59:52 920 22068 22103 E ActivityManager: java lang RuntimeException: Starting VM process through Zygote failed_x000D_
06 10 01:59:52 920 22068 22103 E ActivityManager:       at android os ZygoteProcess start(ZygoteProcess java:340)_x000D_
06 10 01:59:52 920 22068 22103 E ActivityManager:       at android os Process start(Process java:534)_x000D_
06 10 01:59:52 920 22068 22103 E ActivityManager:       at com android server am ProcessList startProcess(ProcessList java:1841)_x000D_
06 10 01:59:52 920 22068 22103 E ActivityManager:       at com android server am ProcessList lambda startProcessLocked 0 ProcessList(ProcessList java:1686)_x000D_
06 10 01:59:52 920 22068 22103 E ActivityManager:       at com android server am    Lambda ProcessList vtq7LF5jIHO4t5NE03c8g7BT7Jc run(Unknown Source:20)_x000D_
06 10 01:59:52 920 22068 22103 E ActivityManager:       at android os Handler handleCallback(Handler java:883)_x000D_
06 10 01:59:52 920 22068 22103 E ActivityManager:       at android os Handler dispatchMessage(Handler java:100)_x000D_
06 10 01:59:52 920 22068 22103 E ActivityManager:       at android os Looper loop(Looper java:227)_x000D_
06 10 01:59:52 920 22068 22103 E ActivityManager:       at android os HandlerThread run(HandlerThread java:67)_x000D_
06 10 01:59:52 920 22068 22103 E ActivityManager:       at com android server ServiceThread run(ServiceThread java:45)_x000D_
06 10 01:59:52 920 22068 22103 E ActivityManager: Caused by: android os ZygoteStartFailedEx: java io EOFException_x000D_
06 10 01:59:52 920 22068 22103 E ActivityManager:       at android os ZygoteProcess attemptZygoteSendArgsAndGetResult(ZygoteProcess java:447)_x000D_
06 10 01:59:52 920 22068 22103 E ActivityManager:       at android os ZygoteProcess zygoteSendArgsAndGetResult(ZygoteProcess java:419)_x000D_
06 10 01:59:52 920 22068 22103 E ActivityManager:       at android os ZygoteProcess startViaZygote(ZygoteProcess java:635)_x000D_
06 10 01:59:52 920 22068 22103 E ActivityManager:       at android os ZygoteProcess start(ZygoteProcess java:333)_x000D_
06 10 01:59:52 920 22068 22103 E ActivityManager:           9 more_x000D_
06 10 01:59:52 920 22068 22103 E ActivityManager: Caused by: java io EOFException_x000D_
06 10 01:59:52 920 22068 22103 E ActivityManager:       at java io DataInputStream readFully(DataInputStream java:200)_x000D_
06 10 01:59:52 920 22068 22103 E ActivityManager:       at java io DataInputStream readInt(DataInputStream java:389)_x000D_
06 10 01:59:52 920 22068 22103 E ActivityManager:       at android os ZygoteProcess attemptZygoteSendArgsAndGetResult(ZygoteProcess java:435)_x000D_
06 10 01:59:52 920 22068 22103 E ActivityManager:           12 more_x000D_
06 10 01:59:52 920 22068 22103 I ActivityManager: Force stopping tv danmaku bili appid 10463 user 0: start failure_x000D_
06 10 01:59:52 922 22068 22103 I ActivityTaskManager:   Force finishing activity ActivityRecord c9a400f u0 tv danmaku bili  ui splash SplashActivity t18897 _x000D_
06 10 01:59:52 922 25209 29828 D Launcher: get showing item successandroid graphics Bitmap 2cfc4ce_x000D_
06 10 01:59:52 924 22068 22103 I Timeline: Timeline: App transition ready time:35899749_x000D_
06 10 01:59:52 924 22068 22103 I ActivityTaskManager:   Force finishing activity ActivityRecord c9a400f u0 tv danmaku bili  ui splash SplashActivity t18897 f _x000D_
06 10 01:59:52 924 22068 22103 W ActivityTaskManager: Duplicate finish request for ActivityRecord c9a400f u0 tv danmaku bili  ui splash SplashActivity t18897 f _x000D_
06 10 01:59:53 010   571   571 I ServiceManager: service  miui contentcatcher ContentCatcherService  died_x000D_
06 10 01:59:53 091   571   571 I ServiceManager: service  secure element  died_x000D_
06 10 01:59:53 143   571   571 I ServiceManager: service  dpmservice  died_x000D_
06 10 01:59:53 148  1129  1155 E HYDRA   : modemservice socket recv thread func: receive message failed  recv byte num 0_x000D_
06 10 01:59:53 150   571   571 I ServiceManager: service  zeusis hydra modem registry  died_x000D_
06 10 01:59:53 150   571   571 I ServiceManager: service  zeusis hydra modem service  died_x000D_
06 10 01:59:53 150   571   571 I ServiceManager: service  zeusis hydra features service  died_x000D_
06 10 01:59:53 152   920  2489 E CamX    :  ERROR  NCS      camxncsservice cpp:586 EnqueueJob() Can not enqueue jobs when thread is stopped_x000D_
06 10 01:59:53 152   920  2489 W CamX    :   WARN  NCS      camxncsintfqsee cpp:2266 FillSensorData() Buffer queue for sensor 10 has been freed: bufh 0x0  bufsize 360  stride 4_x000D_
06 10 01:59:53 171 21926 22231 W SoundTriggerHwService::ModuleClient: client binder died for client 0x79d9a5bf00_x000D_
06 10 01:59:53 175 21924 23758 D sound trigger hw: stdev stop recognition: 1  Enter_x000D_
06 10 01:59:53 175 21924 23758 D sound trigger hw: active state fn: 1  handle event id 7_x000D_
06 10 01:59:53 175 21924 23758 D sound trigger hw: active state fn: 1  unhandled event_x000D_
06 10 01:59:53 175 21924 23758 D sound trigger hw: active state fn: 1  handle event id 4_x000D_
06 10 01:59:53 175 21924 23758 D sound trigger hw: ape stop: 1  Enter_x000D_
06 10 01:59:53 178 21924 23758 D sound trigger hw: ape stop: 1  Exit  status 0_x000D_
06 10 01:59:53 178 21924 23758 D sound trigger hw: ape dereg sm params: 1  Enter_x000D_
06 10 01:59:53 179 21924 23758 D sound trigger hw: ape enable use case: disable use case   listen voice wakeup 1_x000D_
06 10 01:59:53 192 21924 23758 D sound trigger hw: sound trigger set device: disable device (a)   listen ape handset dmic_x000D_
06 10 01:59:53 198 21924 23758 D sound trigger hw: session 1 : active state fn      loaded state fn_x000D_
06 10 01:59:53 198 21924 23758 D sound trigger hw: dereg hal event session: c1  ST EVENT SESSION DEREGISTER capture handle 78_x000D_
06 10 01:59:53 198 21924 23758 D sound trigger hw common: st hw check vad support: disable vad  session does not meet requirement_x000D_
06 10 01:59:53 198 21924 23758 I sound trigger hw: stdev reconfig backend on stop: no session remains  reset to default_x000D_
06 10 01:59:53 198 21924 23758 D sound trigger platform: platform stdev reset backend cfg: Setting VA CDC DMA TX 0 TX island to false_x000D_
06 10 01:59:53 199 21924 23758 D sound trigger hw: stdev stop recognition: 1  Exit status 0_x000D_
06 10 01:59:53 199 21924 21934 D sound trigger hw: stdev unload sound model: 1  Enter_x000D_
06 10 01:59:53 199 21924 21934 D sound trigger hw: loaded state fn: c1 1  handle event id 1_x000D_
06 10 01:59:53 199 21924 21934 D sound trigger hw: ape dereg sm: 1  Enter_x000D_
06 10 01:59:53 199 21924 25531 I sound trigger hw: callback thread loop: 1  Received SNDRV LSM GENERIC DET EVENT status 0_x000D_
06 10 01:59:53 199 21924 25531 D sound trigger hw: callback thread loop: 1  Exit_x000D_
06 10 01:59:53 203 21924 21934 D sound trigger hw: ape dereg sm: 1  Exit  status 0_x000D_
06 10 01:59:53 203 21924 21934 D sound trigger hw: delete sound model: c1  no merge_x000D_
06 10 01:59:53 203 21924 21934 D sound trigger hw: session 1 : loaded state fn      idle state fn_x000D_
06 10 01:59:53 205 21924 21934 D vop capi: capi v2 end: Enter_x000D_
06 10 01:59:53 205 21924 21934 D vop capi: capi v2 end: Exit_x000D_
06 10 01:59:53 208 21924 21934 D sound trigger hw: stdev unload sound model: Exit status 0_x000D_
06 10 01:59:53 243   571   571 I ServiceManager: service  miui face FaceService  died_x000D_
06 10 01:59:53 311   919   919 E Diag Lib: BluetoothDeathRecipient: Calling HAL close_x000D_
06 10 01:59:53 311   919   919 W vendor qti bluetooth 1 0 bluetooth hci: BluetoothHci::close()_x000D_
06 10 01:59:53 313   919   919 W vendor qti bluetooth 1 0 data handler: DataHandler::CleanUp()_x000D_
06 10 01:59:53 313   919   919 I vendor qti bluetooth 1 0 data handler: DataHandler:: init status 3_x000D_
06 10 01:59:53 313   919   919 D vendor qti bluetooth 1 0 data handler: Close: Signal close to Diag interface_x000D_
06 10 01:59:53 313   919   919 I vendor qti bluetooth 1 0 data handler: Sending Pre shutdown command_x000D_
06 10 01:59:53 313   919   919 D vendor qti bluetooth 1 0 ibs handler: SerialClockVote: vote for UART CLK ON_x000D_
06 10 01:59:53 313   919   919 D vendor qti bluetooth 1 0 wake lock: Acquire wakelock is acquired_x000D_
06 10 01:59:53 313   919   919 I vendor qti bluetooth 1 0 ibs handler: DeviceWakeUp: Writing IBS WAKE IND_x000D_
06 10 01:59:53 314   919 23172 I vendor qti bluetooth 1 0 ibs handler: ProcessIbsCmd: Received IBS WAKE ACK: 0xFC_x000D_
06 10 01:59:53 314   919 23172 I vendor qti bluetooth 1 0 ibs handler: ProcessIbsCmd: Received IBS WAKE IND: 0xFD_x000D_
06 10 01:59:53 314   919 23172 I vendor qti bluetooth 1 0 ibs handler: ProcessIbsCmd: Writing IBS WAKE ACK_x000D_
06 10 01:59:53 314   919 23172 W vendor qti bluetooth 1 0 data handler: OnPacketReady: Received event for command sent internally: 08 fc_x000D_
06 10 01:59:53 314   919   919 D vendor qti bluetooth 1 0 uart controller: UartController::Cleanup  soc need reload patch 1_x000D_
06 10 01:59:53 314   919 23172 E vendor qti bluetooth 1 0 async fd watcher: ThreadRoutine: End of AsyncFdWatcher::ThreadRoutine_x000D_
06 10 01:59:53 315   919   919 W vendor qti bluetooth 1 0 async fd watcher: StopThread: stopped the work thread_x000D_
06 10 01:59:53 315   919   919 I vendor qti bluetooth 1 0 ibs handler:  IbsHandler_x000D_
06 10 01:59:53 315   919   919 D vendor qti bluetooth 1 0 wake lock: Release wakelock is released_x000D_
06 10 01:59:53 315   919   919 D vendor qti bluetooth 1 0 uart controller: HciTransportCleanup: deleting hci transport_x000D_
06 10 01:59:53 315   919   919 D vendor qti bluetooth 1 0 uart transport: Disconnect: discard unsent data_x000D_
06 10 01:59:53 315   919   919 D vendor qti bluetooth 1 0 uart transport: CleanUp:  soc type: 5  need reload: 1_x000D_
06 10 01:59:53 315   919   919 D vendor qti bluetooth 1 0 uart transport: userial clock off_x000D_
06 10 01:59:53 315   919   919 I vendor qti bluetooth 1 0 uart transport: DeInitTransport: Transport is being closed _x000D_
06 10 01:59:53 315   919   919 D vendor qti bluetooth 1 0 power manager: SetPower: enable: 0_x000D_
06 10 01:59:53 315   919   919 E vendor qti bluetooth 1 0 power manager:_x000D_
06 10 01:59:53 315   919   919 E vendor qti bluetooth 1 0 power manager: PowerUpChip enable(0) retentionMode(0)_x000D_
06 10 01:59:53 318   571   571 I ServiceManager: service  miui sedc  died_x000D_
06 10 01:59:53 387   571   571 I ServiceManager: service  media audio flinger  died_x000D_
06 10 01:59:53 387   571   571 I ServiceManager: service  media audio policy  died_x000D_
06 10 01:59:53 387   571   571 I ServiceManager: service  vendor audio vrservice  died_x000D_
06 10 01:59:53 387   571   571 I ServiceManager: service  media sound trigger hw  died_x000D_
06 10 01:59:53 392 21924 21934 D audio hw primary: adev close output stream: enter:stream handle(deep buffer playback)_x000D_
06 10 01:59:53 392 21924 22226 D audio hw primary: adev close output stream: enter:stream handle(afe proxy playback)_x000D_
06 10 01:59:53 392 21924 23758 D audio hw primary: adev close output stream: enter:stream handle(low latency playback)_x000D_
06 10 01:59:53 393 21924 21934 D audio hw primary: out standby: enter: stream (0xf3804800) usecase(0: deep buffer playback)_x000D_
06 10 01:59:53 393 21924 22226 D audio hw primary: out standby: enter: stream (0xf3807000) usecase(53: afe proxy playback)_x000D_
06 10 01:59:53 393 21924 23758 D audio hw primary: out standby: enter: stream (0xf37cf000) usecase(1: low latency playback)_x000D_
06 10 01:59:53 393 21924 21934 D audio hw primary: out standby: exit_x000D_
06 10 01:59:53 393 21924 22226 D audio hw primary: out standby: exit_x000D_
06 10 01:59:53 393 21924 23758 D audio hw primary: out standby: exit_x000D_
06 10 01:59:53 394 21924 22226 D audio hw primary: adev close output stream: enter:stream handle(incall music uplink)_x000D_
06 10 01:59:53 394 21924 22226 D audio hw primary: out standby: enter: stream (0xf3809800) usecase(49: incall music uplink)_x000D_
06 10 01:59:53 394 21924 22226 D audio hw primary: out standby: exit_x000D_
06 10 01:59:53 394 21924 23758 D audio hw primary: adev close output stream: enter:stream handle(audio ull playback)_x000D_
06 10 01:59:53 394 21924 23758 D audio hw primary: out standby: enter: stream (0xf3802000) usecase(12: audio ull playback)_x000D_
06 10 01:59:53 394 21924 23758 D audio hw primary: out standby: exit_x000D_
06 10 01:59:53 394 21924 23758 D         :  xlog deinit_x000D_
06 10 01:59:53 394 21924 23758 D audio hw con: audio hal con thread exit enter_x000D_
06 10 01:59:53 394 21924 22039 D audio hw con: thread exit_x000D_
06 10 01:59:53 394 21924 23758 D audio hw con: audio hal con thread exit exit_x000D_
06 10 01:59:53 394 21924 23758 D audio hw cirrus playback: audio extn cirrus playback deinit: Entering deinit init check :1_x000D_
06 10 01:59:53 394   571   571 I ServiceManager: service  media camera  died_x000D_
06 10 01:59:53 396 21924 22226 I r submix: adev close()_x000D_
06 10 01:59:53 398   571   571 I ServiceManager: service  media player  died_x000D_
06 10 01:59:53 398   571   </t>
  </si>
  <si>
    <t>square-okhttp-6123</t>
  </si>
  <si>
    <t>Android - okhttp3.internal.io.FileSystem$Companion$SYSTEM$1.rename (FileSystem.java:89) crash</t>
  </si>
  <si>
    <t xml:space="preserve">These crashes keep happening:_x000D_
 failed to rename  data user 0 com package cache 62ac51d56050cb47dea413039d3e3b67 0 tmp to  data user 0 com package cache 62ac51d56050cb47dea413039d3e3b67 0 _x000D_
_x000D_
They happen randomly and not all the time  I m unable to reproduce which makes it all the more confusing  The crashes are all similar to this one  but will sometimes be  delete  or  read _x000D_
_x000D_
They re happening too often to ignore  Is there a way to mitigate or fix this this  As far as I can tell  it happens on most devices  I apologize for the lack of information  We re using version 4 5 0 _x000D_
</t>
  </si>
  <si>
    <t>nextcloud-android-6258</t>
  </si>
  <si>
    <t>NC client on Android 10 crashes at random, no input causes this.</t>
  </si>
  <si>
    <t xml:space="preserve">             CAUSE OF ERROR             _x000D_
_x000D_
java lang RuntimeException: Unable to create service com evernote android job JobRescheduleService: java lang RuntimeException: android os DeadSystemException_x000D_
	at android app ActivityThread handleCreateService(ActivityThread java:4166)_x000D_
	at android app ActivityThread access 1500(ActivityThread java:268)_x000D_
	at android app ActivityThread H handleMessage(ActivityThread java:1998)_x000D_
	at android os Handler dispatchMessage(Handler java:107)_x000D_
	at android os Looper loop(Looper java:237)_x000D_
	at android app ActivityThread main(ActivityThread java:7814)_x000D_
	at java lang reflect Method invoke(Native Method)_x000D_
	at com android internal os RuntimeInit MethodAndArgsCaller run(RuntimeInit java:493)_x000D_
	at com android internal os ZygoteInit main(ZygoteInit java:1075)_x000D_
Caused by: java lang RuntimeException: android os DeadSystemException_x000D_
	at android app ActivityThread handleCreateService(ActivityThread java:4160)_x000D_
	    8 more_x000D_
Caused by: android os DeadSystemException_x000D_
	    9 more_x000D_
_x000D_
             APP INFORMATION             _x000D_
ID: com nextcloud client_x000D_
Version: 30110190_x000D_
Build flavor: gplay_x000D_
_x000D_
             DEVICE INFORMATION             _x000D_
Brand: samsung_x000D_
Device: a50_x000D_
Model: SM A505U1_x000D_
Id: QP1A 190711 020_x000D_
Product: a50ue_x000D_
_x000D_
             FIRMWARE             _x000D_
SDK: 29_x000D_
Release: 10_x000D_
Incremental: A505U1UES6BTE1_x000D_
_x000D_
Client will crash at random  No input causes this  Does about once per day _x000D_
_x000D_
Nextcloud server : Ubuntu 16 04 running Nextcloud snap 18 0 4snap4 latest stable</t>
  </si>
  <si>
    <t>react-native-camera-react-native-camera-2867</t>
  </si>
  <si>
    <t>App Crash on Camera with Fatal Exception</t>
  </si>
  <si>
    <t xml:space="preserve">Hi  in production environment  in our app on Android    we are getting a crash which is :  _x000D_
_x000D_
Fatal Exception: java lang IllegalArgumentException_x000D_
Invalid rotation  152_x000D_
android hardware Camera Parameters setRotation_x000D_
_x000D_
Fatal Exception: java lang IllegalArgumentException: Invalid rotation  152_x000D_
       at android hardware Camera Parameters setRotation(Camera java:3737)_x000D_
       at com google android cameraview Camera1 adjustCameraParameters(Camera1 java:119)_x000D_
       at com google android cameraview Camera1 2 run(Camera1 java:22)_x000D_
       at android os Handler handleCallback(Handler java:883)_x000D_
       at android os Handler dispatchMessage(Handler java:100)_x000D_
       at android os Looper loop(Looper java:214)_x000D_
       at android os HandlerThread run(HandlerThread java:67)_x000D_
_x000D_
If anybody have any idea why this may be happening  please share it would be of great help </t>
  </si>
  <si>
    <t>TeamNewPipe-NewPipe-3767</t>
  </si>
  <si>
    <t>Unable to parse website links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</si>
  <si>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  newest on F Droid_x000D_
_x000D_
    Steps to reproduce the bug_x000D_
this happens on many videos but not every video  I don t really have the know how to decipher the technical jargon in the attached screen cap _x000D_
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_x000D_
I tried to search a video_x000D_
_x000D_
    Actual behaviour_x000D_
         _x000D_
 i got the attached screen cap_x000D_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Screenshot 20200609 034535 NewPipe (https:  user images githubusercontent com 43733276 84139364 95eab700 aa04 11ea 9d24 8b3a8bb5dc99 jpg)_x000D_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user action : requested stream   request : https:  www youtube com watch v 6kXA7 XoQTA   content language : en US   service : YouTube   package : org schabi newpipe   version : 0 19 3   os : Linux samsung dream2qltesq dream2qltesq:9 PPR1 180610 011 G955USQU7DTA5:user release keys 9   28   time : 2020 06 09 10:55   exceptions :  org schabi newpipe extractor stream StreamInfo StreamExtractException: Could not get any stream  See error variable to get further details  n tat org schabi newpipe extractor stream StreamInfo extractStreams(StreamInfo java:192) n tat org schabi newpipe extractor stream StreamInfo getInfo(StreamInfo java:70) n tat org schabi newpipe extractor stream StreamInfo getInfo(StreamInfo java:62) n tat org schabi newpipe util ExtractorHelper lambda getStreamInfo 3(ExtractorHelper java:116) n tat org schabi newpipe util    Lambda ExtractorHelper 5fJcha6Sq5APJBLdG6osaJby mc call(Unknown Source:4) n tat io reactivex internal operators single SingleFromCallable subscribeActual(SingleFromCallable java:44) n tat io reactivex Single subscribe(Single java:3438) n tat io reactivex internal operators single SingleDoOnSuccess subscribeActual(SingleDoOnSuccess java:35) n tat io reactivex Single subscribe(Single java:3438) n tat io reactivex internal operators maybe MaybeFromSingle subscribeActual(MaybeFromSingle java:41) n tat io reactivex Maybe subscribe(Maybe java:4154) n tat io reactivex internal operators maybe MaybeConcatArray ConcatMaybeObserver drain(MaybeConcatArray java:153) n tat io reactivex internal operators maybe MaybeConcatArray ConcatMaybeObserver request(MaybeConcatArray java:78) n tat io reactivex internal operators flowable FlowableElementAtMaybe ElementAtSubscriber onSubscribe(FlowableElementAtMaybe java:66) n tat io reactivex internal operators maybe MaybeConcatArray subscribeActual(MaybeConcatArray java:42) n tat io reactivex Flowable subscribe(Flowable java:14479) n tat io reactivex internal operators flowable FlowableElementAtMaybe subscribeActual(FlowableElementAtMaybe java:36) n tat io reactivex Maybe subscribe(Maybe java:4154) n tat io reactivex internal operators maybe MaybeToSingle subscribeActual(MaybeToSingle java:46) n tat io reactivex Single subscribe(Single java:3438) n tat io reactivex internal operators single SingleSubscribeOn SubscribeOnObserver run(SingleSubscribeOn java:89) n tat io reactivex Scheduler DisposeTask run(Scheduler java:578) n tat io reactivex internal schedulers ScheduledRunnable run(ScheduledRunnable java:66) n tat io reactivex internal schedulers ScheduledRunnable call(ScheduledRunnable java:57) n tat java util concurrent FutureTask run(FutureTask java:266) n tat java util concurrent ScheduledThreadPoolExecutor ScheduledFutureTask run(ScheduledThreadPoolExecutor java:301) n tat java util concurrent ThreadPoolExecutor runWorker(ThreadPoolExecutor java:1167) n tat java util concurrent ThreadPoolExecutor Worker run(ThreadPoolExecutor java:641) n tat java lang Thread run(Thread java:764) n    user comment :   _x000D_
_x000D_
     _x000D_
  Screenshot 20200609 034535 NewPipe (https:  user images githubusercontent com 43733276 84139364 95eab700 aa04 11ea 9d24 8b3a8bb5dc99 jpg)_x000D_
    _x000D_
</t>
  </si>
  <si>
    <t>TeamNewPipe-NewPipe-3766</t>
  </si>
  <si>
    <t>Sometimes download automatically cancels.Fix this problem as soon as possible.Also it takes lot of time when we click on new pipe in youtube app to download a video.</t>
  </si>
  <si>
    <t xml:space="preserve">    
Oh no  a bug  It happens  Thanks for reporting an issue with NewPipe  If this is your first bug report  read the following information before proceeding: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P S : Our contribution guidelines might be a nice document to read before you fill out the report :) You can find it at https:  github com TeamNewPipe NewPipe blob HEAD  github CONTRIBUTING md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Version
     Which version are you using  Hopefully the latest  We just told you that above     
    Steps to reproduce the bug
1  Go to      
2  Press on       
3  Swipe down to       
     If you can t cause the bug to show up again reliably (and hence don t have a proper set of steps to give us)  please still try to give as many details as possible on how you think you encountered the bug     
    Expected behavior
     Tell us what you expect to happen     
    Actual behaviour
     Tell us what happens instead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Logs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That s right  here     
</t>
  </si>
  <si>
    <t>Roaim-DTBazar-33</t>
  </si>
  <si>
    <t>java.lang.RuntimeException: Could not read input channel file descriptors from parcel in Firebase Test Lab Robo Test</t>
  </si>
  <si>
    <t xml:space="preserve">  Describe the bug  _x000D_
App crashes in firebase test lab robo test _x000D_
This issue is asked in  stackoverflow (https:  stackoverflow com q 62271283 5465447)_x000D_
_x000D_
  To Reproduce  _x000D_
The crash is only happening in firebase test lab robo test  Unable to reproduce manually _x000D_
_x000D_
  Expected behavior  _x000D_
App should not crash in robo test _x000D_
_x000D_
  Screenshots  _x000D_
 Screen video (https:  drive google com file d 1POikv2Qug0Mdo A57iuzYzkWQAu5u Mo view usp sharing)_x000D_
_x000D_
  Smartphone (please complete the following information):  _x000D_
   Device:  Nexus 5x emulator _x000D_
   OS:  Android 8 0 _x000D_
   Version  1 1 5  1 1 26 _x000D_
_x000D_
  Additional context  _x000D_
 Logcat (https:  drive google com file d 1p8vogb26CsIjEjqJCdWMkMJjhV2MDwmG view usp sharing)_x000D_
</t>
  </si>
  <si>
    <t>inaturalist-iNaturalistAndroid-845</t>
  </si>
  <si>
    <t>NullPointerException in LocalBroadcastManager</t>
  </si>
  <si>
    <t xml:space="preserve">https:  console firebase google com u 2 project inaturalist ios crashlytics app android:org inaturalist android issues f7ba8ec7ae073fb4a586e3b1687710f4 time last seven days sessionId 5EDEB06F0391000147BC435F77E56411 DNE 0 v2_x000D_
_x000D_
   _x000D_
Fatal Exception: java lang NullPointerException: Attempt to invoke virtual method  void android content BroadcastReceiver onReceive(android content Context  android content Intent)  on a null object reference_x000D_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java:106)_x000D_
       at android os Looper loop(Looper java:164)_x000D_
       at android app ActivityThread main(ActivityThread java:6558)_x000D_
       at java lang reflect Method invoke(Method java)_x000D_
       at com android internal os RuntimeInit MethodAndArgsCaller run(RuntimeInit java:469)_x000D_
       at com android internal os ZygoteInit main(ZygoteInit java:826)_x000D_
   _x000D_
_x000D_
Not sure this is even something we have control over  but it popped up in recent builds </t>
  </si>
  <si>
    <t>inaturalist-iNaturalistAndroid-844</t>
  </si>
  <si>
    <t>NullPointerException in BaseTab.isNetworkAvailable</t>
  </si>
  <si>
    <t xml:space="preserve">https:  console firebase google com u 2 project inaturalist ios crashlytics app android:org inaturalist android issues 261aa21201e6eb02b372596676cab26c time last seven days sessionId 5EDECBCC023D000129E2852D620EC0C9 DNE 0 v2_x000D_
https:  console firebase google com u 2 project inaturalist ios crashlytics app android:org inaturalist android issues ea1226011bc0085fc626dd5e237df0bd time last seven days sessionId _x000D_
_x000D_
   _x000D_
Fatal Exception: java lang NullPointerException: Attempt to invoke virtual method  java lang Object androidx fragment app FragmentActivity getSystemService(java lang String)  on a null object reference_x000D_
       at org inaturalist android BaseTab isNetworkAvailable(BaseTab java:138)_x000D_
       at org inaturalist android BaseTab loadProjectsIntoUI(BaseTab java:117)_x000D_
       at org inaturalist android BaseTab access 100(BaseTab java:38)_x000D_
       at org inaturalist android BaseTab ProjectsReceiver onReceive(BaseTab java:76)_x000D_
       at androidx localbroadcastmanager content LocalBroadcastManager executePendingBroadcasts(LocalBroadcastManager java:313)_x000D_
       at androidx localbroadcastmanager content LocalBroadcastManager 1 handleMessage(LocalBroadcastManager java:121)_x000D_
       at android os Handler dispatchMessage(Handler java:107)_x000D_
       at android os Looper loop(Looper java:237)_x000D_
       at android app ActivityThread main(ActivityThread java:8016)_x000D_
       at java lang reflect Method invoke(Method java)_x000D_
       at com android internal os RuntimeInit MethodAndArgsCaller run(RuntimeInit java:493)_x000D_
   _x000D_
1 19 3 (425)  but it s been happening for a while </t>
  </si>
  <si>
    <t>GoogleChrome-android-browser-helper-109</t>
  </si>
  <si>
    <t>NullPointerException in com.google.androidbrowserhelper.trusted.TwaLauncher.launchWhenSplashScreenReady</t>
  </si>
  <si>
    <t xml:space="preserve">  Describe the bug  _x000D_
We have recently upgraded from the google custom tabs client to android browser helper and notice a significant number of crashes  the highest being related to a NullPointerException from com google androidbrowserhelper trusted TwaLauncher launchWhenSplashScreenReady_x000D_
_x000D_
  To Reproduce  _x000D_
Steps to reproduce the behavior:_x000D_
1  Download Badoo Lite from play store using one of the mentioned devices in screenshot _x000D_
2  Launch the app_x000D_
_x000D_
Errors are recorded when the app launches  play console has this stack trace from a Motorola Moto C Plus  but see also attached affected devices):_x000D_
_x000D_
_x000D_
   _x000D_
java lang NullPointerException: _x000D_
  at androidx browser trusted TrustedWebActivityIntentBuilder build (TrustedWebActivityIntentBuilder java:220)_x000D_
  at com google androidbrowserhelper trusted TwaLauncher launchWhenSplashScreenReady (TwaLauncher java:229)_x000D_
  at com google androidbrowserhelper trusted TwaLauncher lambda launchWhenSessionEstablished 3 TwaLauncher (TwaLauncher java:217)_x000D_
  at com google androidbrowserhelper trusted    Lambda TwaLauncher Pgq1RErTrlHE2hqdSd7zUQR6Yz4 run (lambda)_x000D_
  at com google androidbrowserhelper trusted splashscreens PwaWrapperSplashScreenStrategy onSplashImageTransferred (PwaWrapperSplashScreenStrategy java:202)_x000D_
  at com google androidbrowserhelper trusted splashscreens PwaWrapperSplashScreenStrategy lambda configureTwaBuilder 0 PwaWrapperSplashScreenStrategy (PwaWrapperSplashScreenStrategy java:195)_x000D_
  at com google androidbrowserhelper trusted splashscreens    Lambda PwaWrapperSplashScreenStrategy w9o5iqMEy62ZZ2i sMAmRiQ7IGw onFinished (lambda)_x000D_
  at com google androidbrowserhelper trusted splashscreens SplashImageTransferTask 1 onPostExecute (SplashImageTransferTask java:144)_x000D_
  at com google androidbrowserhelper trusted splashscreens SplashImageTransferTask 1 onPostExecute (SplashImageTransferTask java:91)_x000D_
  at android os AsyncTask finish (AsyncTask java:660)_x000D_
  at android os AsyncTask  wrap1 (AsyncTask java)_x000D_
  at android os AsyncTask InternalHandler handleMessage (AsyncTask java:677)_x000D_
  at android os Handler dispatchMessage (Handler java:110)_x000D_
  at android os Looper loop (Looper java:203)_x000D_
  at android app ActivityThread main (ActivityThread java:6251)_x000D_
  at java lang reflect Method invoke (Native Method)_x000D_
  at com android internal os ZygoteInit MethodAndArgsCaller run (ZygoteInit java:1075)_x000D_
  at com android internal os ZygoteInit main (ZygoteInit java:936)_x000D_
   _x000D_
_x000D_
  Expected behavior  _x000D_
App launches without the NullPointerException_x000D_
_x000D_
  Did this ever used to work  _x000D_
Similar error happened with google tabs client _x000D_
_x000D_
  Screenshots  _x000D_
 img width  972  alt  Screenshot 2020 06 08 at 12 56 24  src  https:  user images githubusercontent com 196567 84032738 aca2f680 a98f 11ea 8860 e2e2fc83c120 png  _x000D_
 img width  640  alt  Screenshot 2020 06 08 at 13 04 36  src  https:  user images githubusercontent com 196567 84032769 b7f62200 a98f 11ea 8bd7 d9f2fbadb39a png  _x000D_
_x000D_
  Code Snippets  _x000D_
Splash screen strategy is being set with this code:_x000D_
_x000D_
   _x000D_
this mSplashScreenStrategy   new PwaWrapperSplashScreenStrategy(this  this mMetadata splashImageDrawableId  this getColorCompat(this mMetadata splashScreenBackgroundColorId)  this getSplashImageScaleType()  this getSplashImageTransformationMatrix()  this mMetadata splashScreenFadeOutDurationMillis  this mMetadata fileProviderAuthority) _x000D_
   _x000D_
_x000D_
These all have values except for transformation matrix which is null _x000D_
_x000D_
  Smartphone (please complete the following information):  _x000D_
   Device: Motorola Moto C Plus_x000D_
   OS: Android 8 1_x000D_
   Browsers Installed: Chrome_x000D_
   Browser Versions: Don t know_x000D_
   android browser helper library version: 1 1 0_x000D_
_x000D_
  Additional context  _x000D_
Badoo Lite is released on the play store for low end devices as an alternative for the native android app </t>
  </si>
  <si>
    <t>deepjavalibrary-djl-84</t>
  </si>
  <si>
    <t>Multiple GPUs are used sequentially, not parallel</t>
  </si>
  <si>
    <t xml:space="preserve">   Description_x000D_
When using more than one GPU for training  the GPUs are used one  after  the other  not both at the same time  _x000D_
_x000D_
    Expected Behavior_x000D_
Both GPUs work under full capacity the whole time _x000D_
_x000D_
    Error Message_x000D_
N A_x000D_
_x000D_
   How to Reproduce _x000D_
 If a model is very memory intensive  it needs to clean up used memory  e g  after processing a transformer layer  The way to do this is to create a sub manager to collect the intermediate results and close them once the calculations are done  However  due to the lazy nature of the mxnet engine (and probably other engines)  calculations are not guaranteed to finish by the time  NDArray close()  is called  To prevent crashes and memory curruption it is hence necessary to block on the resulting  NDArray  with  LazyNDArray waitToRead()   As this will also block the current Java Thread  processing is halted until the GPU had time to  catch up   That in turn prevents the  for  loop in the  Trainer  to send the split batch to the next GPU  _x000D_
_x000D_
To test this  simply add one  waitToRead  call at the end of a stack of layers  _x000D_
_x000D_
    Steps to reproduce_x000D_
see above_x000D_
_x000D_
   What have you tried to solve it _x000D_
This can only be solved by fixing the training loop in  Trainer java  l 157  The split batches are send to the individual GPUs with a  for  loop  This only works if every call in the model is non blocking  I e  it requires an engine only using  LazyNDArrays  and requires the whole model never to call  waitToRead  or  waitAll   The correct way to allow Multi GPU usage would be no use something like a ThreadPool here to issue the forward pass to each GPU in parallel  The  for  loop needs to start a new Thread for each iteration and wait for all threads to finish before continuing to the backwards pass _x000D_
_x000D_
   Environment Info_x000D_
N A_x000D_
_x000D_
</t>
  </si>
  <si>
    <t>forrestguice-SuntimesWidget-420</t>
  </si>
  <si>
    <t>Unable to get location while offline, and using last location will cause crash</t>
  </si>
  <si>
    <t xml:space="preserve">  Describe the bug  _x000D_
If the first time you open the suntimeswidget is offline  the get location function cannot be used and keeps the user waiting  and if you click use previous location after waiting for a long time  it will crash _x000D_
_x000D_
  To Reproduce  _x000D_
Steps to reproduce the behavior:_x000D_
1  Turn off network_x000D_
2  Install SuntimesWidget and open app_x000D_
2  Click  location _x000D_
3  Click  update _x000D_
4  A long wait_x000D_
5  Pop up the prompt box of  unable to get a fix _x000D_
6  Click on  USE LAST LOCATION _x000D_
7 Crash_x000D_
_x000D_
  Expected behavior  _x000D_
The user will be prompted to open the network without crashing_x000D_
_x000D_
  Smartphone (please complete the following information):  _x000D_
   Device: HUAWEI nova 5 pro_x000D_
   OS: EMUI 9 1 1_x000D_
   Rooted: No_x000D_
   Version: v0 12 10_x000D_
_x000D_
  Exception  _x000D_
   _x000D_
java lang NullPointerException_x000D_
	at com forrestguice suntimeswidget calculator core Location  init (Location java:100)_x000D_
	at com forrestguice suntimeswidget SuntimesActivity 8 updateUI(SuntimesActivity java:827)_x000D_
	at com forrestguice suntimeswidget getfix GetFixHelper fallbackToLastLocation(GetFixHelper java:167)_x000D_
	at com forrestguice suntimeswidget getfix GetFixHelper KeepTryingDialog 1 onClick(GetFixHelper java:402)_x000D_
	at com android internal app AlertController ButtonHandler handleMessage(AlertController java:166)_x000D_
	at android os Handler dispatchMessage(Handler java:102)_x000D_
	at android os Looper loop(Looper java:136)_x000D_
	at android app ActivityThread main(ActivityThread java:5135)_x000D_
	at java lang reflect Method invokeNative(Native Method)_x000D_
	at java lang reflect Method invoke(Method java:515)_x000D_
	at com android internal os ZygoteInit MethodAndArgsCaller run(ZygoteInit java:798)_x000D_
	at com android internal os ZygoteInit main(ZygoteInit java:614)_x000D_
	at dalvik system NativeStart main(Native Method)_x000D_
   _x000D_
_x000D_
  Additional context  _x000D_
Add any other context about the problem here _x000D_
 record zip (https:  github com forrestguice SuntimesWidget files 4744282 record zip)_x000D_
</t>
  </si>
  <si>
    <t>Anuken-Mindustry-2154</t>
  </si>
  <si>
    <t>Nuclear reactors lose inventory</t>
  </si>
  <si>
    <t xml:space="preserve">  Platform  :  Android iOS Mac Windows Linux _x000D_
Seen on mobile and Windows   Hosted on Windows _x000D_
_x000D_
  Build  :  The build number under the title in the main menu  Required  _x000D_
104 10  noticed since 102 _x000D_
_x000D_
_x000D_
_x000D_
  Issue  :  Explain your issue in detail  _x000D_
I ve seen this with Impact Reactors and Thorium reactors   Once it starts on a particular reactor it doesn t seem to stop ever _x000D_
Impact Reactors:  Their normal consumption rate is something like 1 blast every 2 seconds   I ve seen them  at random intervals  suddenly lose all 10 blast   Even watching them  and watching the blast disappear  I could not figure out how frequently this happens   It seems to be one every 10  seconds   Once a reactor starts doing this  I could not get it to stop  even if I delete and rebuild the reactor in the same place   I ve usually seen this happen to just one reactor at a time   _x000D_
I ll notice the popular scrap driven impact schematic mysteriously stop working   Normally  it is RNG on the titanium input  but something it is this   I have no choice but to just delete the whole schematic and try again elsewhere   _x000D_
Thorium Reactors: Today I noticed this on Nuclear Production complex _x000D_
Had an array of 6 thorium reactors connected to tanks of cryofluid _x000D_
All 6 thorium reactors started dropping from 30 to 15 thorium     When it happened it all happened at once   It started repeating  every minute  quickly depleting the supply of thorium  since that consumption was more than 1 belt could supply   If they started below 30 I think they were dropping by 15 still  as they were quickly reached 0  despite the full belt of incoming thorium   I don t have an easy way to watch more than 1 reactor at a time _x000D_
All of the reactors had been running fine for  80 waves before this happened _x000D_
_x000D_
  Steps to reproduce  :  How you happened across the issue  and what you were doing at the time  _x000D_
Normal gameplay   I always play multiplayer and usually via Steam  and I don t recall ever seeing it on the official servers   It might only affect Windows hosting _x000D_
_x000D_
  Link to mod(s) used  if applicable  :  The mod repositories or zip files that are related to the issue  _x000D_
No mods used _x000D_
_x000D_
  Crash report  if applicable  :  The contents of relevant crash report files  _x000D_
No crashes _x000D_
_x000D_
   _x000D_
_x000D_
 Place an X (no spaces) between the brackets to confirm that you have read the line below    _x000D_
   X    I have searched the closed and open issues to make sure that this problem has not already been reported   _x000D_
</t>
  </si>
  <si>
    <t>TeamNewPipe-NewPipe-3758</t>
  </si>
  <si>
    <t>Video never loads, constant buffer.</t>
  </si>
  <si>
    <t xml:space="preserve"> Device: Galaxy S10_x000D_
Link: https:  www youtube com watch v Xq1UBXKiXAI_x000D_
_x000D_
Version: 0 19 5_x000D_
_x000D_
Notes: This issues has happened on a couple other videos  I haven t found a specific reason why as it happens on random videos without a crash </t>
  </si>
  <si>
    <t>sschueller-peertube-android-165</t>
  </si>
  <si>
    <t>Application crashes after sign in</t>
  </si>
  <si>
    <t xml:space="preserve">I ve signed to my PeerTube account (https:  video autizmo xyz instance)  The application have redirected me to start screen and then it have disappeared  After restart it crashes _x000D_
_x000D_
I have OnePlus 6 with OxygenOS 10 3 2 (Android 10) _x000D_
_x000D_
  photo 2020 06 07 23 10 23 (https:  user images githubusercontent com 44363825 83976815 d28bb500 a915 11ea 9bf1 74caf39036b1 jpg)_x000D_
</t>
  </si>
  <si>
    <t>deltachat-deltachat-android-1399</t>
  </si>
  <si>
    <t>avatar-enlarge crash</t>
  </si>
  <si>
    <t xml:space="preserve">tapping on an avatar crashes   however  only on from android versions _x000D_
_x000D_
from the log:_x000D_
_x000D_
android util AndroidRuntimeException: Calling startActivity() from outside of an Activity  context requires the FLAG ACTIVITY NEW TASK flag  Is this really what you want _x000D_
_x000D_
the issue is that the acticvity is started with getBaseActivity() which is just not needed and micht also shuffle the activity stack </t>
  </si>
  <si>
    <t>nextcloud-android-6232</t>
  </si>
  <si>
    <t>Nextcloud Android client crash grid view</t>
  </si>
  <si>
    <t xml:space="preserve">    Steps to reproduce_x000D_
1  Select  Upload Media _x000D_
2  Choose  Grid view _x000D_
_x000D_
    Expected behaviour_x000D_
  grid view_x000D_
_x000D_
    Actual behaviour_x000D_
  App crashes_x000D_
_x000D_
Android version: Android 11_x000D_
_x000D_
Device model:  Xiaomi Mi 9t_x000D_
_x000D_
Stock or customized system: Stock_x000D_
_x000D_
Nextcloud app version: 3 11 1_x000D_
_x000D_
Nextcloud server version: 18 0 4_x000D_
_x000D_
Reverse proxy: Nginx_x000D_
_x000D_
nPN64vuLYxU7SJHRpkU4</t>
  </si>
  <si>
    <t>TeamNewPipe-NewPipe-3751</t>
  </si>
  <si>
    <t>Search non functional on Android tv</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</si>
  <si>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Latest on fdroid 0 19 4_x000D_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Searches are functional on Android tv_x000D_
    Actual behaviour_x000D_
     Tell us what happens instead     _x000D_
Search is not functional with newpipe on Android tv devices  Searches result in an error toast message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Other info:_x000D_
Device: Nvidia shield_x000D_
_x000D_
     That s right  here     _x000D_
</t>
  </si>
  <si>
    <t>TeamNewPipe-NewPipe-3749</t>
  </si>
  <si>
    <t>[SoundCloud] NewPipe crashes when returning search suggestions.</t>
  </si>
  <si>
    <t xml:space="preserve">Regression of  3072_x000D_
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v0 19 5_x000D_
_x000D_
    Steps to reproduce the bug_x000D_
    _x000D_
1  Go to      _x000D_
2  Press on       _x000D_
3  Swipe down to       _x000D_
   _x000D_
1  Go to SoundCloud mode_x000D_
2  Go to the search bar_x000D_
3  Type anything in_x000D_
4  NewPipe will crash when attempting to return suggestions _x000D_
_x000D_
    Expected behavior_x000D_
     Tell us what you expect to happen     _x000D_
NewPipe should return search suggestions _x000D_
    Actual behaviour_x000D_
     Tell us what happens instead     _x000D_
NewPipe crashes 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Exception_x000D_
    User Action:   get suggestions_x000D_
    Request:   none_x000D_
    Content Language:   US_x000D_
    Service:   SoundCloud_x000D_
    Version:   0 19 5_x000D_
    OS:   Linux Android 10   29_x000D_
_x000D_
_x000D_
 details  summary  b Crash log  b   summary  p _x000D_
_x000D_
   _x000D_
org schabi newpipe extractor exceptions ParsingException: Could not parse json response_x000D_
	at org schabi newpipe extractor services soundcloud extractors SoundcloudSuggestionExtractor suggestionList(SoundcloudSuggestionExtractor java:48)_x000D_
	at org schabi newpipe util ExtractorHelper lambda suggestionsFor 2(ExtractorHelper java:107)_x000D_
	at org schabi newpipe util    Lambda ExtractorHelper kAwiU5Tjeit NCwHTWhD3V6UHS8 call(Unknown Source:4)_x000D_
	at io reactivex internal operators single SingleFromCallable subscribeActual(SingleFromCallable java:44)_x000D_
	at io reactivex Single subscribe(Single java:3666)_x000D_
	at io reactivex internal operators single SingleToObservable subscribeActual(SingleToObservable java:35)_x000D_
	at io reactivex Observable subscribe(Observable java:12284)_x000D_
	at io reactivex internal operators observable ObservableMap subscribeActual(ObservableMap java:32)_x000D_
	at io reactivex Observable subscribe(Observable java:12284)_x000D_
	at io reactivex internal operators observable ObservableZip ZipCoordinator subscribe(ObservableZip java:110)_x000D_
	at io reactivex internal operators observable ObservableZip subscribeActual(ObservableZip java:72)_x000D_
	at io reactivex Observable subscribe(Observable java:12284)_x000D_
	at io reactivex internal operators observable ObservableMaterialize subscribeActual(ObservableMaterialize java:28)_x000D_
	at io reactivex Observable subscribe(Observable java:12284)_x000D_
	at io reactivex internal operators observable ObservableSwitchMap SwitchMapObserver onNext(ObservableSwitchMap java:127)_x000D_
	at io reactivex internal operators observable ObservableFilter FilterObserver onNext(ObservableFilter java:52)_x000D_
	at io reactivex internal operators observable ObservableConcatMap ConcatMapDelayErrorObserver DelayErrorInnerObserver onNext(ObservableConcatMap java:506)_x000D_
	at io reactivex observers SerializedObserver onNext(SerializedObserver java:111)_x000D_
	at io reactivex internal operators observable ObservableDebounceTimed DebounceTimedObserver emit(ObservableDebounceTimed java:143)_x000D_
	at io reactivex internal operators observable ObservableDebounceTimed DebounceEmitter run(ObservableDebounceTimed java:168)_x000D_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com grack nanojson JsonParserException: Expected JSON value  got 0 on line 1  char 0_x000D_
	at com grack nanojson JsonTokener createParseException(Unknown Source:44)_x000D_
	at com grack nanojson JsonParser currentValue(Unknown Source:31)_x000D_
	at com grack nanojson JsonParser parse(Unknown Source:4)_x000D_
	at com grack nanojson JsonParser JsonParserContext from(Unknown Source:19)_x000D_
	at org schabi newpipe extractor services soundcloud extractors SoundcloudSuggestionExtractor suggestionList(SoundcloudSuggestionExtractor java:41)_x000D_
	    26 more_x000D_
_x000D_
   _x000D_
  p   details _x000D_
 hr _x000D_
_x000D_
_x000D_
     That s right  here     _x000D_
</t>
  </si>
  <si>
    <t>aws-amplify-amplify-android-563</t>
  </si>
  <si>
    <t>AWSDataStorePlugin fail to initialize and app crashes</t>
  </si>
  <si>
    <t>Hello _x000D_
_x000D_
I have a demo android app using Amplify Data store and once a while when I boot up the app it crashes and I would see an error in the log that seems to be related to the plugin   If I start the app again then it would be fine   _x000D_
_x000D_
Here s is how I initialize the plugin:_x000D_
_x000D_
   _x000D_
 implementation  com amplifyframework:core:1 0 0 _x000D_
 implementation  com amplifyframework:aws api:1 0 0     If using cloud sync_x000D_
 implementation  com amplifyframework:aws datastore:1 0 0 _x000D_
   _x000D_
_x000D_
   _x000D_
try  _x000D_
    val authProviders   ApiAuthProviders builder()_x000D_
         oidcAuthProvider(MyOicAuthServiceImpl)_x000D_
         build()_x000D_
    Amplify addPlugin(AWSDataStorePlugin())_x000D_
    Amplify addPlugin(AWSApiPlugin(authProviders))    If using remote model synchronization_x000D_
    Amplify configure(applicationContext)_x000D_
    Log i( MyAmplifyApp    Initialized Amplify )_x000D_
  catch (error: AmplifyException)  _x000D_
    Log e( MyAmplifyApp    Could not initialize Amplify   error)_x000D_
 _x000D_
   _x000D_
_x000D_
Here s the stack trace _x000D_
_x000D_
   _x000D_
2020 06 05 16:41:33 786 8343 8407 com wwm trackappsyncapp E AndroidRuntime: FATAL EXCEPTION: pool 2 thread 2_x000D_
    Process: com wwm trackappsyncapp  PID: 8343_x000D_
    java lang RuntimeException: java util concurrent TimeoutException: The source did not signal an event for 5000 milliseconds and has been terminated _x000D_
        at io reactivex internal util ExceptionHelper wrapOrThrow(ExceptionHelper java:46)_x000D_
        at io reactivex internal observers BlockingMultiObserver blockingGetError(BlockingMultiObserver java:153)_x000D_
        at io reactivex Completable blockingGet(Completable java:1302)_x000D_
        at com amplifyframework datastore AWSDataStorePlugin initialize(AWSDataStorePlugin java:7)_x000D_
        at com amplifyframework core category Category initialize(Category java:15)_x000D_
        at com amplifyframework core Amplify lambda beginInitialization 0(Amplify java:1)_x000D_
        at com amplifyframework core    Lambda Amplify EB8h7rBH19uqUcPr0ZtYS0ww0r4 run(Unknown Source:4)_x000D_
        at java util concurrent ThreadPoolExecutor runWorker(ThreadPoolExecutor java:1167)_x000D_
        at java util concurrent ThreadPoolExecutor Worker run(ThreadPoolExecutor java:641)_x000D_
   _x000D_
_x000D_
Let me know if you need more info _x000D_
_x000D_
Thanks</t>
  </si>
  <si>
    <t>square-okhttp-6116</t>
  </si>
  <si>
    <t>Customize KeyStore for HandshakeCertificates</t>
  </si>
  <si>
    <t>Hello _x000D_
_x000D_
I am trying to establish a connection with my server by using two way SSL _x000D_
For that  I m using  HandshakeCertificates  as follow:_x000D_
   kotlin_x000D_
val deviceCertificate   keyStore getCertificate(CERTIFICATE ALIAS) as X509Certificate_x000D_
val publicKey   deviceCertificate publicKey_x000D_
val privateKey   getKeyStore() getKey(KEY ALIAS  null) as PrivateKey_x000D_
val keyPair   KeyPair(publicKey  privateKey)_x000D_
val heldCertificate   HeldCertificate(keyPair  deviceCertificate)_x000D_
_x000D_
handshakeBuilder heldCertificate(heldCertificate)_x000D_
   _x000D_
_x000D_
Which I then set on my OkHttpClient with:_x000D_
   kotlin_x000D_
val handshake   handshakeBuilder build()_x000D_
_x000D_
clientBuilder sslSocketFactory(handshake sslSocketFactory()  handshake trustManager)_x000D_
   _x000D_
_x000D_
But when I run my app  it crashes with:_x000D_
   _x000D_
java security KeyStoreException: java lang NullPointerException: Attempt to invoke virtual method  int java lang String length()  on a null object reference_x000D_
        at com android org bouncycastle jcajce provider keystore bc BcKeyStoreSpi engineSetKeyEntry(BcKeyStoreSpi java:689)_x000D_
        at java security KeyStore setKeyEntry(KeyStore java:1179)_x000D_
        at okhttp3 tls internal TlsUtil newKeyManager(TlsUtil kt:95)_x000D_
        at okhttp3 tls HandshakeCertificates Builder build(HandshakeCertificates kt:175)_x000D_
        at com myapp common security data CommonSecurityProvider Companion getSslSocketFactoryConfig(CommonSecurityProvider kt:112)_x000D_
        at com myapp common network di CommonNetworkModuleKt commonNetworkModule 1 7 invoke(CommonNetworkModule kt:64)_x000D_
        at com myapp common network di CommonNetworkModuleKt commonNetworkModule 1 7 invoke(Unknown Source:4)_x000D_
        at org koin core instance InstanceFactory create(InstanceFactory kt:50)_x000D_
        	    139 more_x000D_
   _x000D_
_x000D_
From my investigation  it could be because OkHttp is using its own  KeyStore  when building the  HandshakeCertificates   while my app is using  AndroidKeyStore   Is there a way to customize this  Or am I doing something wrong _x000D_
_x000D_
https:  github com square okhttp blob 4c595553fbcbfc316d24a74197aa753dbc05da9f okhttp tls src main kotlin okhttp3 tls HandshakeCertificates kt L175 L176</t>
  </si>
  <si>
    <t>TeamNewPipe-NewPipe-3746</t>
  </si>
  <si>
    <t>Newpipe not closing audio sessions after playback?</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</si>
  <si>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5_x000D_
_x000D_
    Steps to reproduce the bug_x000D_
    _x000D_
1  Go to      _x000D_
2  Press on       _x000D_
3  Swipe down to       _x000D_
   _x000D_
1  Install  Wavelet (https:  play google com store apps details id com pittvandewitt wavelet)_x000D_
2  Start playing any video with Newpipe _x000D_
3  Check the Wavelet notification  note it shows  Apps using Wavelet: Newpipe  _x000D_
4  Close the video  exit or otherwise force close Newpipe _x000D_
5  Check the Wavelet notification  note it still shows  Apps using Wavelet: Newpipe  (meaning the audio session is still open or at least not properly closed) _x000D_
6  Start playing any video with Newpipe again _x000D_
7  Check the Wavelet notification  note it shows  Apps using Wavelet: Newpipe  Newpipe  (meaning Newpipe started a new audio session but the existing one is still not closed) _x000D_
8  (Optional) Repeat steps 4 7  Note how a new audio session is created every time and the existing sessions are never cleared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Newpipe should close the audio session after playback _x000D_
_x000D_
    Actual behaviour_x000D_
     Tell us what happens instead     _x000D_
It seems Newpipe does not properly close the audio session after playback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20200604 142021 (https:  user images githubusercontent com 2184015 83872073 8f70ec80 a731 11ea 9398 f792ba5327c7 jpg)_x000D_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References:_x000D_
 XDA thread (https:  forum xda developers com showpost php p 82744303 postcount 119)</t>
  </si>
  <si>
    <t>iNPUTmice-Conversations-3766</t>
  </si>
  <si>
    <t>Investigating related crashes caused by RTP session not finishing properly</t>
  </si>
  <si>
    <t xml:space="preserve">In the past we have gotten several reports of the UI still thinking that a call is taking place (showing return to call icon instead of make call)  but in reality the connection had already been terminated  (see  3755)_x000D_
Since 2 8 6 we deliberatly make the app crash to get a proper stack trace of what is happening  Here is one:_x000D_
_x000D_
   _x000D_
java lang IllegalStateException: Transition to ACCEPTED did not call finish                                                                                                                                                                                                                                                                                                                                                                                                    _x000D_
    at eu siacs conversations xmpp jingle JingleRtpConnection throwStateTransitionException(JingleRtpConnection java:782)                                                                                                                                                                                                                                                                                                                                                  _x000D_
    at eu siacs conversations ui RtpSessionActivity initializeActivityWithRunningRtpSession(RtpSessionActivity java:435)                                                                                                                                                                                                                                                                                                                                                   _x000D_
    at eu siacs conversations ui RtpSessionActivity onBackendConnected(RtpSessionActivity java:284)                                                                                                                                                                                                                                                                                                                                                                        _x000D_
    at eu siacs conversations ui XmppActivity 1 onServiceConnected(XmppActivity java:112)                                                                                                                                                                                                                                                                                                                                                                                  _x000D_
    at android app LoadedApk ServiceDispatcher doConnected(LoadedApk java:1652)                                                                                                                                                                                                                                                                                                                                                                                            _x000D_
    at android app LoadedApk ServiceDispatcher RunConnection run(LoadedApk java:1681)                                                                                                                                                                                                                                                                                                                                                                                      _x000D_
    at android os Handler handleCallback(Handler java:790)                                                                                                                                                                                                                                                                                                                                                                                                                 _x000D_
    at android os Handler dispatchMessage(Handler java:99)                                                                                                                                                                                                                                                                                                                                                                                                                 _x000D_
    at android os Looper loop(Looper java:164)                                                                                                                                                                                                                                                                                                                                                                                                                             _x000D_
    at android app ActivityThread main(ActivityThread java:6494)                                                                                                                                                                                                                                                                                                                                                                                                           _x000D_
    at java lang reflect Method invoke(Native Method)                                                                                                                                                                                                                                                                                                                                                                                                                      _x000D_
    at com android internal os RuntimeInit MethodAndArgsCaller run(RuntimeInit java:438)                                                                                                                                                                                                                                                                                                                                                                                   _x000D_
    at com android internal os ZygoteInit main(ZygoteInit java:807)                                                                                                                                                                                                                                                                                                                                                                                                        _x000D_
Caused by: eu siacs conversations xmpp jingle JingleRtpConnection StateTransitionException                                                                                                                                                                                                                                                                                                                                                                                     _x000D_
    at eu siacs conversations xmpp jingle JingleRtpConnection transition(JingleRtpConnection java:1008)                                                                                                                                                                                                                                                                                                                                                                    _x000D_
    at eu siacs conversations xmpp jingle JingleRtpConnection transition(JingleRtpConnection java:1001)                                                                                                                                                                                                                                                                                                                                                                    _x000D_
    at eu siacs conversations xmpp jingle JingleRtpConnection receiveAccept(JingleRtpConnection java:503)                                                                                                                                                                                                                                                                                                                                                                  _x000D_
    at eu siacs conversations xmpp jingle JingleRtpConnection deliveryMessage(JingleRtpConnection java:484)                                                                                                                                                                                                                                                                                                                                                                _x000D_
    at eu siacs conversations xmpp jingle JingleConnectionManager deliverMessage(JingleConnectionManager java:206)                                                                                                                                                                                                                                                                                                                                                         _x000D_
    at eu siacs conversations parser MessageParser onMessagePacketReceived(MessageParser java:843)                                                                                                                                                                                                                                                                                                                                                                         _x000D_
    at eu siacs conversations xmpp XmppConnection processMessage(XmppConnection java:771)                                                                                                                                                                                                                                                                                                                                                                                  _x000D_
    at eu siacs conversations xmpp XmppConnection processStream(XmppConnection java:637)                                                                                                                                                                                                                                                                                                                                                                                   _x000D_
    at eu siacs conversations xmpp XmppConnection processStream(XmppConnection java:483)                                                                                                                                                                                                                                                                                                                                                                                   _x000D_
    at eu siacs conversations xmpp XmppConnection switchOverToTls(XmppConnection java:801)                                                                                                                                                                                                                                                                                                                                                                                 _x000D_
    at eu siacs conversations xmpp XmppConnection processStream(XmppConnection java:467)                                                                                                                                                                                                                                                                                                                                                                                   _x000D_
    at eu siacs conversations xmpp XmppConnection connect(XmppConnection java:375)                                                                                                                                                                                                                                                                                                                                                                                         _x000D_
    at eu siacs conversations xmpp XmppConnection run(XmppConnection java:454)                                                                                                                                                                                                                                                                                                                                                                                             _x000D_
    at java lang Thread run(Thread java:764)_x000D_
   _x000D_
_x000D_
However that doesn t fully explain this as there is in fact a call to finish() later in the code  We should probably wait for more crashes to see a pattern </t>
  </si>
  <si>
    <t>tradle-react-native-udp-119</t>
  </si>
  <si>
    <t>Attempt to invoke virtual method 'void java.net.DatagramSocket.setReuseAddress(boolean)' on a null object reference com.tradle.react.UdpSocketClient.bind</t>
  </si>
  <si>
    <t xml:space="preserve">Seeing numerous crashes in the release build _x000D_
_x000D_
  VERSION  _x000D_
_x000D_
  react :  16 9 0  _x000D_
  react native :  0 61 5  _x000D_
 react native udp :   3 0 0  _x000D_
_x000D_
 details _x000D_
  summary Full crash log  summary _x000D_
_x000D_
   java_x000D_
Fatal Exception: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java:764)_x000D_
Caused by java lang NullPointerException: Attempt to invoke virtual method  void java net DatagramSocket setReuseAddress(boolean)  on a null object reference_x000D_
       at com tradle react UdpSocketClient bind(UdpSocketClient java:83)_x000D_
       at com tradle react UdpSockets 3 doInBackgroundGuarded(UdpSockets java:140)_x000D_
       at com tradle react UdpSockets 3 doInBackgroundGuarded(UdpSockets java:131)_x000D_
       at com facebook react bridge GuardedAsyncTask doInBackground(GuardedAsyncTask java:35)_x000D_
       at com facebook react bridge GuardedAsyncTask doInBackground(GuardedAsyncTask java:19)_x000D_
       at android os AsyncTask 2 call(AsyncTask java:333)_x000D_
       at java util concurrent FutureTask run(FutureTask java:266)_x000D_
       at java util concurrent ThreadPoolExecutor runWorker(ThreadPoolExecutor java:1162)_x000D_
       at java util concurrent ThreadPoolExecutor Worker run(ThreadPoolExecutor java:636)_x000D_
       at java lang Thread run(Thread java:764)_x000D_
_x000D_
   _x000D_
  details _x000D_
_x000D_
  OS  _x000D_
Reported in Android 7  8  9 and 10 _x000D_
_x000D_
  SAMPLE USAGE  _x000D_
_x000D_
Sample of how the plugin is used:_x000D_
_x000D_
   js_x000D_
_x000D_
let socket      _x000D_
   Establish new UDP socket only after closing the existing socket completely _x000D_
closeUDPSocket(()     _x000D_
    socket   dgram createSocket( _x000D_
        type:  udp4  _x000D_
	reuseAddr: true _x000D_
	reusePort: true _x000D_
	 ) _x000D_
_x000D_
	const aPort   randomPort() _x000D_
_x000D_
	socket on( error   (error: any)     _x000D_
	 ) _x000D_
_x000D_
	try  _x000D_
		socket bind(aPort) _x000D_
	  catch (error)  _x000D_
	 _x000D_
_x000D_
	socket once( listening   ()     _x000D_
          ) _x000D_
 ) _x000D_
_x000D_
function closeUDPSocket(callback : Function   null   null)  _x000D_
	if (socket    socket close)  _x000D_
		socket close(()     _x000D_
			socket      _x000D_
_x000D_
			if (callback    typeof callback      function )  _x000D_
				callback() _x000D_
			 _x000D_
		 ) _x000D_
	  else if (callback    typeof callback      function )  _x000D_
		socket      _x000D_
		callback() _x000D_
	 _x000D_
 _x000D_
   _x000D_
_x000D_
  NOTE:  close  is called on any existing connection before new one is opened   _x000D_
_x000D_
As understandable from the log  it is  this line (https:  github com tradle react native udp blob master android src main java com tradle react UdpSocketClient java L83) causing the crash _x000D_
_x000D_
Would appreciate any help  Thanks  </t>
  </si>
  <si>
    <t>TeamNewPipe-NewPipe-3743</t>
  </si>
  <si>
    <t>New Pipe not working properly</t>
  </si>
  <si>
    <t>koral---android-gif-drawable-739</t>
  </si>
  <si>
    <t>platform: Android10 . cause error log when first load libpl_droidsonroids_gif.so</t>
  </si>
  <si>
    <t xml:space="preserve"> Abort message:  attempted to close file descriptor 117  expected to be unowned  actually owned by FILE  0x7bd7f1c148 _x000D_
_x000D_
   _x000D_
06 04 03:22:58 148: I crash dump64(20256):           beginning of crash_x000D_
06 04 03:22:58 156: A DEBUG(20256):                                                                _x000D_
06 04 03:22:58 156: A DEBUG(20256): Build fingerprint:  google flame flame:10 QQ2A 200405 005 Z1 6416217:user release keys _x000D_
06 04 03:22:58 156: A DEBUG(20256): Revision:  MP1 0 _x000D_
06 04 03:22:58 156: A DEBUG(20256): ABI:  arm64 _x000D_
06 04 03:22:58 156: A DEBUG(20256): Timestamp: 2020 06 04 03:22:58 0700_x000D_
06 04 03:22:58 156: A DEBUG(20256): pid: 17798  tid: 17798  name: y b plus      com b b plus    _x000D_
06 04 03:22:58 156: A DEBUG(20256): uid: 10222_x000D_
06 04 03:22:58 156: A DEBUG(20256): signal 35 ( debuggerd signal )  code  1 (SI QUEUE)  fault addr         _x000D_
06 04 03:22:58 156: A DEBUG(20256): Abort message:  attempted to close file descriptor 117  expected to be unowned  actually owned by FILE  0x7bd7f1c148 _x000D_
06 04 03:22:58 156: A DEBUG(20256):     x28 0000000000000002  x29 0000007fc172e050_x000D_
06 04 03:22:58 156: A DEBUG(20256):     sp  0000007fc172dc20  lr  0000007bd4c7a5ec  pc  0000007bd4c7a60c_x000D_
06 04 03:22:58 210: D android hardware power 1 3 service pixel libperfmgr(845): LAUNCH: 0_x000D_
h3htaPLJMea5Yql7gZq2hw   split config arm64 v8a apk libpl droidsonroids gif so (offset 0x525000) (_x000D_
   _x000D_
_x000D_
Here is the entire log_x000D_
 gif logcat txt (https:  github com koral   android gif drawable files 4733393 gif logcat txt)_x000D_
</t>
  </si>
  <si>
    <t>jssosa10-miso4208-20</t>
  </si>
  <si>
    <t>Bug MyExpenses: Error al ejecutar en Android 10</t>
  </si>
  <si>
    <t>La aplicaci n presenta un inestable funcionamiento en Android 10 (se crashea cada rato) por lo que genera una experiencia de usuario negativa</t>
  </si>
  <si>
    <t>aprsworld-awat-18</t>
  </si>
  <si>
    <t>Crash on loss of cell signal / data connection</t>
  </si>
  <si>
    <t xml:space="preserve">We have had a report from the field of AWAT crashing when cell signal or data connection is lost   AWAT needs to handle this gracefully and resume sending when connection has returned   </t>
  </si>
  <si>
    <t>material-components-material-components-android-1377</t>
  </si>
  <si>
    <t>[MaterialContainerTransform] IllegalStateException: "End view bounds must not be null, make sure the end view is laid out and measured"</t>
  </si>
  <si>
    <t xml:space="preserve">I am not sure if this should be a question or a bug report  but after updating to material 1 2 0 beta01 I am starting to see random crashes in production when using MaterialContainerTransform as a sharedelementreturntransition  Same issue is there in the 1 3 0 alpha1 _x000D_
_x000D_
I cannot reproduce this on any of my devices  but in production there is a 5  crash rate  _x000D_
_x000D_
StackTrace:_x000D_
   _x000D_
Fatal Exception: java lang IllegalStateException: End view bounds must not be null  make sure the end view is laid out and measured_x000D_
       at com google android material transition MaterialContainerTransform createAnimator(MaterialContainerTransform java:889)_x000D_
       at androidx transition Transition createAnimators(Transition java:747)_x000D_
       at androidx transition TransitionSet createAnimators(TransitionSet java:480)_x000D_
       at androidx transition TransitionSet createAnimators(TransitionSet java:480)_x000D_
       at androidx transition Transition playTransition(Transition java:1821)_x000D_
       at androidx transition TransitionManager MultiListener onPreDraw(TransitionManager java:301)_x000D_
       at android view ViewTreeObserver dispatchOnPreDraw(ViewTreeObserver java:1102)_x000D_
       at android view ViewRootImpl performTraversals(ViewRootImpl java:3310)_x000D_
       at android view ViewRootImpl doTraversal(ViewRootImpl java:2200)_x000D_
       at android view ViewRootImpl TraversalRunnable run(ViewRootImpl java:9065)_x000D_
       at android view Choreographer CallbackRecord run(Choreographer java:999)_x000D_
       at android view Choreographer doCallbacks(Choreographer java:797)_x000D_
       at android view Choreographer doFrame(Choreographer java:732)_x000D_
       at android view Choreographer FrameDisplayEventReceiver run(Choreographer java:984)_x000D_
       at android os Handler handleCallback(Handler java:883)_x000D_
       at android os Handler dispatchMessage(Handler java:100)_x000D_
       at android os Looper loop(Looper java:237)_x000D_
       at android app ActivityThread main(ActivityThread java:8016)_x000D_
       at java lang reflect Method invoke(Method java)_x000D_
       at com android internal os RuntimeInit MethodAndArgsCaller run(RuntimeInit java:493)_x000D_
       at com android internal os ZygoteInit main(ZygoteInit java:1076)_x000D_
   _x000D_
_x000D_
How can I make sure that the end view is laid out and measured  </t>
  </si>
  <si>
    <t>Simperium-simperium-android-225</t>
  </si>
  <si>
    <t>Crash Web Browser</t>
  </si>
  <si>
    <t xml:space="preserve">    Fix_x000D_
Add detecting if the device has a browser app installed and enabled before launching an activity with a browser intent   If the device does not have a browser or it is disabled  the app will crash as described in https:  github com Automattic simplenote android issues 1043   When no browser is detected  a dialog is shown with instructions as well as a button to copy the URL   A message is shown when copying the URL succeeds or fails   See the screenshots below for illustration _x000D_
_x000D_
  crash web browser (https:  user images githubusercontent com 3827611 83668801 c7d7c580 a58d 11ea 95ee fe8e58b79f85 png)_x000D_
_x000D_
    Test_x000D_
These changes are best tested on Simplenote by pointing your local Simplenote repository to your local Simperium repository   Contact me for details   In order to get the    No Browser Detected    dialog to be shown  all browser apps must be uninstalled or disabled on the device before performing the following steps   In order to test the    Reset    button in the    Error    dialog  change your Simplenote password to more than four and less than eight characters _x000D_
_x000D_
0  Clear app data _x000D_
1  Tap    Sign Up    button _x000D_
2  Tap    Terms and Conditions    link _x000D_
3  Notice    No Browser Detected    dialog is shown _x000D_
4  Tap    OK    button in dialog _x000D_
5  Tap back arrow in top app bar _x000D_
6  Tap    Log In    button _x000D_
7  Tap    Log In with Email    button _x000D_
8  Tap    Forgot password     link _x000D_
9  Notice    No Browser Detected    dialog is shown _x000D_
10  Tap    OK    button in dialog _x000D_
11  Enter email address in    Email    field _x000D_
12  Notice    Log In    button is disabled _x000D_
13  Enter password of more than four and less than eight characters in    Password    field _x000D_
14  Notice    Log In    button is enabled after four characters are input _x000D_
15  Tap    Log In    button _x000D_
16  Notice    Error    dialog with password requirements is shown _x000D_
17  Tap    Reset    button in dialog _x000D_
18  Notice    No Browser Detected    dialog is shown _x000D_
19  Tap    Copy URL    button in dialog _x000D_
20  Notice    URL copied to clipboard    message is shown _x000D_
_x000D_
    Review_x000D_
Only one developer and one designer are required to review these changes  but anyone can perform the review </t>
  </si>
  <si>
    <t>openforge-capacitor-game-services-10</t>
  </si>
  <si>
    <t>Crashing when opting out of authentication</t>
  </si>
  <si>
    <t xml:space="preserve">There are is enabled methods available in android SDKs  I will check if ios services also crash the application _x000D_
_x000D_
Mentioned: https:  github com openforge ionic phaser example issues 15_x000D_
_x000D_
Adding null checks instead of isAvailable calls </t>
  </si>
  <si>
    <t>Anuken-Mindustry-2137</t>
  </si>
  <si>
    <t>Game crashes with a nonexistent item name in the itemDrop key in an ore.</t>
  </si>
  <si>
    <t xml:space="preserve">  Platform  :  Android iOS Mac Windows Linux _x000D_
Linux_x000D_
  Build  :  The build number under the title in the main menu  Required  _x000D_
104 10_x000D_
  Issue  :  Explain your issue in detail  _x000D_
_x000D_
My bug report isn t really a bug  but it causes the game to crash every time you open it until you delete it out of your mod folder  The bug is that if you have an ore which has the code:_x000D_
 type: OreBlock _x000D_
 itemDrop: (put a nonexistent item name here) _x000D_
_x000D_
  Steps to reproduce  :  How you happened across the issue  and what you were doing at the time  _x000D_
_x000D_
Create a basic mod  with only a mod json and content folder  then create a blocks folder in the content folder and _x000D_
_x000D_
  Link to mod(s) used  if applicable  :  The mod repositories or zip files that are related to the _x000D_
issue  _x000D_
_x000D_
nichrosia BugTest_x000D_
_x000D_
  Crash report  if applicable  :  The contents of relevant crash report files   _x000D_
_x000D_
crash report is in the repository_x000D_
_x000D_
   _x000D_
_x000D_
 Place an X (no spaces) between the brackets to confirm that you have read the line below    _x000D_
    X     I have searched the closed and open issues to make sure that this problem has not already been reported   _x000D_
</t>
  </si>
  <si>
    <t>nextcloud-android-6206</t>
  </si>
  <si>
    <t>Crash on double long-click in Filedisplay activity</t>
  </si>
  <si>
    <t xml:space="preserve">Hi _x000D_
_x000D_
The app crashes when you enable  pick mode  with long click  and then use the long click on another item in this mode _x000D_
_x000D_
    Steps to reproduce_x000D_
1  Long click on an item  it enables pick mode (with checkboxes)_x000D_
2  Select few items ()_x000D_
3  Do a long click on a not selected item_x000D_
_x000D_
The app crashes : _x000D_
_x000D_
   _x000D_
2020 06 03 14:28:09 457 26330 26330 com nextcloud android E AndroidRuntime: FATAL EXCEPTION: main _x000D_
    Process: com nextcloud android  PID: 26330_x000D_
    java lang NullPointerException: Attempt to invoke virtual method  void android view ActionMode finish()  on a null object reference_x000D_
   _x000D_
_x000D_
Bug demo :_x000D_
_x000D_
  crash long click (https:  user images githubusercontent com 7050479 83636621 8bfd2a00 a5a6 11ea 9f39 25662e030105 gif)_x000D_
</t>
  </si>
  <si>
    <t>TeamNewPipe-NewPipe-3721</t>
  </si>
  <si>
    <t>Soundcloud doesn't work</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</si>
  <si>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1 9 5_x000D_
     Which version are you using  Hopefully the latest  We just told you that above     _x000D_
 _x000D_
_x000D_
    Steps to reproduce the bug_x000D_
    _x000D_
1  Go to      _x000D_
2  Press on       _x000D_
3  Swipe down to       _x000D_
   _x000D_
1  Switch to the SoundCloud tab_x000D_
2  Press on search_x000D_
3  See the app crash and give report error  _x000D_
_x000D_
Alternatively  _x000D_
1  Open SoundCloud link_x000D_
2  See the app crash and give report error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Be able to search in soundcloud tab  or be able to hear songs open links of soundcloud in app _x000D_
    Actual behaviour_x000D_
     Tell us what happens instead     _x000D_
App crashes giving report error_x000D_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https:  mega nz file NpgTABYb Lam2dTr3PkQMmeDs5fv7 eLsuZ5RwKtlaY5UNDZY34g_x000D_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user action : get suggestions   request : none   content language : US   service : SoundCloud   package : org schabi newpipe   version : 0 19 5   os : Linux Android 9   28   time : 2020 06 02 14:47   exceptions :  org schabi newpipe extractor exceptions ParsingException: Could not parse json response n tat org schabi newpipe extractor services soundcloud extractors SoundcloudSuggestionExtractor suggestionList(SoundcloudSuggestionExtractor java:48) n tat org schabi newpipe util ExtractorHelper lambda suggestionsFor 2(ExtractorHelper java:107) n tat org schabi newpipe util    Lambda ExtractorHelper kAwiU5Tjeit NCwHTWhD3V6UHS8 call(Unknown Source:4) n tat io reactivex internal operators single SingleFromCallable subscribeActual(SingleFromCallable java:44) n tat io reactivex Single subscribe(Single java:3666) n tat io reactivex internal operators single SingleToObservable subscribeActual(SingleToObservable java:35) n tat io reactivex Observable subscribe(Observable java:12284) n tat io reactivex internal operators observable ObservableMap subscribeActual(ObservableMap java:32) n tat io reactivex Observable subscribe(Observable java:12284) n tat io reactivex internal operators observable ObservableZip ZipCoordinator subscribe(ObservableZip java:110) n tat io reactivex internal operators observable ObservableZip subscribeActual(ObservableZip java:72) n tat io reactivex Observable subscribe(Observable java:12284) n tat io reactivex internal operators observable ObservableMaterialize subscribeActual(ObservableMaterialize java:28) n tat io reactivex Observable subscribe(Observable java:12284) n tat io reactivex internal operators observable ObservableSwitchMap SwitchMapObserver onNext(ObservableSwitchMap java:127) n tat io reactivex internal operators observable ObservableFilter FilterObserver onNext(ObservableFilter java:52) n tat io reactivex internal operators observable ObservableConcatMap ConcatMapDelayErrorObserver DelayErrorInnerObserver onNext(ObservableConcatMap java:506) n tat io reactivex observers SerializedObserver onNext(SerializedObserver java:111) n tat io reactivex internal operators observable ObservableDebounceTimed DebounceTimedObserver emit(ObservableDebounceTimed java:143) n tat io reactivex internal operators observable ObservableDebounceTimed DebounceEmitter run(ObservableDebounceTimed java:168) n tat io reactivex internal schedulers ScheduledRunnable run(ScheduledRunnable java:66) n tat io reactivex internal schedulers ScheduledRunnable call(ScheduledRunnable java:57) n tat java util concurrent FutureTask run(FutureTask java:266) n tat java util concurrent ScheduledThreadPoolExecutor ScheduledFutureTask run(ScheduledThreadPoolExecutor java:301) n tat java util concurrent ThreadPoolExecutor runWorker(ThreadPoolExecutor java:1167) n tat java util concurrent ThreadPoolExecutor Worker run(ThreadPoolExecutor java:641) n tat java lang Thread run(Thread java:764) nCaused by: com grack nanojson JsonParserException: Expected JSON value  got 0 on line 1  char 0 n tat com grack nanojson JsonTokener createParseException(Unknown Source:44) n tat com grack nanojson JsonParser currentValue(Unknown Source:31) n tat com grack nanojson JsonParser parse(Unknown Source:4) n tat com grack nanojson JsonParser JsonParserContext from(Unknown Source:19) n tat org schabi newpipe extractor services soundcloud extractors SoundcloudSuggestionExtractor suggestionList(SoundcloudSuggestionExtractor java:41) n t    26 more n    user comment :   _x000D_
     That s right  here     _x000D_
</t>
  </si>
  <si>
    <t>nextcloud-android-6200</t>
  </si>
  <si>
    <t>Nextcloud app crashes on start</t>
  </si>
  <si>
    <t xml:space="preserve">    Steps to reproduce_x000D_
1  start nextcloud_x000D_
2  read crashreport_x000D_
3  crash report:_x000D_
_x000D_
_x000D_
             CAUSE OF ERROR             _x000D_
_x000D_
java lang RuntimeException: Unable to resume activity  com nextcloud client com owncloud android ui activity FileDisplayActivity : java lang SecurityException: uid 10121 cannot get user data for accounts of type: nextcloud_x000D_
	at android app ActivityThread performResumeActivity(ActivityThread java:3469)_x000D_
	at android app ActivityThread handleResumeActivity(ActivityThread java:3509)_x000D_
	at android app ActivityThread handleLaunchActivity(ActivityThread java:2772)_x000D_
	at android app ActivityThread  wrap12(ActivityThread java)_x000D_
	at android app ActivityThread H handleMessage(ActivityThread java:1507)_x000D_
	at android os Handler dispatchMessage(Handler java:102)_x000D_
	at android os Looper loop(Looper java:154)_x000D_
	at android app ActivityThread main(ActivityThread java:6236)_x000D_
	at java lang reflect Method invoke(Native Method)_x000D_
	at com android internal os ZygoteInit MethodAndArgsCaller run(ZygoteInit java:891)_x000D_
	at com android internal os ZygoteInit main(ZygoteInit java:781)_x000D_
	at de robv android xposed XposedBridge main(XposedBridge java:107)_x000D_
Caused by: java lang SecurityException: uid 10121 cannot get user data for accounts of type: nextcloud_x000D_
	at android os Parcel readException(Parcel java:1692)_x000D_
	at android os Parcel readException(Parcel java:1645)_x000D_
	at android accounts IAccountManager Stub Proxy getUserData(IAccountManager java:887)_x000D_
	at android accounts AccountManager getUserData(AccountManager java:402)_x000D_
	at com owncloud android ui adapter OCFileListAdapter  init (OCFileListAdapter java:164)_x000D_
	at com owncloud android ui fragment OCFileListFragment onActivityCreated(OCFileListFragment java:344)_x000D_
	at androidx fragment app Fragment performActivityCreated(Fragment java:2619)_x000D_
	at androidx fragment app FragmentManagerImpl moveToState(FragmentManagerImpl java:904)_x000D_
	at androidx fragment app FragmentManagerImpl moveFragmentToExpectedState(FragmentManagerImpl java:1238)_x000D_
	at androidx fragment app FragmentManagerImpl moveToState(FragmentManagerImpl java:1303)_x000D_
	at androidx fragment app BackStackRecord executeOps(BackStackRecord java:439)_x000D_
	at androidx fragment app FragmentManagerImpl executeOps(FragmentManagerImpl java:2079)_x000D_
	at androidx fragment app FragmentManagerImpl executeOpsTogether(FragmentManagerImpl java:1869)_x000D_
	at androidx fragment app FragmentManagerImpl removeRedundantOperationsAndExecute(FragmentManagerImpl java:1824)_x000D_
	at androidx fragment app FragmentManagerImpl execPendingActions(FragmentManagerImpl java:1727)_x000D_
	at androidx fragment app FragmentController execPendingActions(FragmentController java:446)_x000D_
	at androidx fragment app FragmentActivity onResume(FragmentActivity java:459)_x000D_
	at com owncloud android ui activity BaseActivity onResume(BaseActivity java:91)_x000D_
	at com owncloud android ui activity DrawerActivity onResume(DrawerActivity java:1274)_x000D_
	at com owncloud android ui activity FileActivity onResume(FileActivity java:218)_x000D_
	at com owncloud android ui activity FileDisplayActivity onResume(FileDisplayActivity java:1206)_x000D_
	at android app Instrumentation callActivityOnResume(Instrumentation java:1270)_x000D_
	at android app Activity performResume(Activity java:6788)_x000D_
	at android app ActivityThread performResumeActivity(ActivityThread java:3446)_x000D_
	    11 more_x000D_
_x000D_
             APP INFORMATION             _x000D_
ID: com nextcloud client_x000D_
Version: 30110190_x000D_
Build flavor: generic_x000D_
_x000D_
             DEVICE INFORMATION             _x000D_
Brand: CUBOT_x000D_
Device: MAX_x000D_
Model: CUBOT MAX_x000D_
Id: NJH47F_x000D_
Product: lineage MAX_x000D_
_x000D_
             FIRMWARE             _x000D_
SDK: 25_x000D_
Release: 7 1 2_x000D_
Incremental: 0b9343a255_x000D_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Spielmops_x000D_
</t>
  </si>
  <si>
    <t>jroal-a2dpvolume-290</t>
  </si>
  <si>
    <t>Rotating the screen in the preferences interface will cause the app to crash</t>
  </si>
  <si>
    <t xml:space="preserve">  Describe the bug  _x000D_
Rotating the screen in the preferences interface will cause the app to crash_x000D_
_x000D_
  To Reproduce  _x000D_
Steps to reproduce the behavior:_x000D_
1  Install a2dp and open app_x000D_
2  Click three points in the upper right corner_x000D_
3  Click  preferences _x000D_
4  Rotate screen_x000D_
5  Crash_x000D_
_x000D_
  Expected behavior  _x000D_
Not crash_x000D_
_x000D_
  Smartphone (please complete the following information):  _x000D_
   Device: HUAWEI nova 5 pro_x000D_
   OS: EMUI 9 1 1_x000D_
   Rooted: No_x000D_
   Version: v2 13 0 4_x000D_
_x000D_
  Additional context  _x000D_
Add any other context about the problem here _x000D_
_x000D_
</t>
  </si>
  <si>
    <t>nikita36078-J2ME-Loader-700</t>
  </si>
  <si>
    <t>Asphalt 4 : Elite Racing (2D Version) - Background Music Enhancement</t>
  </si>
  <si>
    <t xml:space="preserve">  Emulator version:   v 1 6 1   fixed 2_x000D_
_x000D_
  Game version:   v 1 2 0_x000D_
_x000D_
  Game resolution:   240x320_x000D_
_x000D_
  Device:   Xiaomi Redmi3_x000D_
_x000D_
  Android version:   v 4 4 4_x000D_
_x000D_
  Description of the issue:  _x000D_
Asphalt 4 : Elite Racing (2D Version) _x000D_
  Screenshot 2020 06 02 12 45 12 1 1 (https:  user images githubusercontent com 62536531 83510515 a5c24280 a4bc 11ea 9d4c dc2ac94b00ed jpg)_x000D_
  Screenshot 2020 06 02 12 45 05 1 (https:  user images githubusercontent com 62536531 83510542 afe44100 a4bc 11ea 9969 d3a504b43b40 jpg)_x000D_
_x000D_
These are two captured screenshots  one is the game I play  the other is the mobile platform I use to play on the J2ME loader  marked as a red circle by me _x000D_
_x000D_
As I played this game  this mobile platform is very good  But the problem is during the process for me to play this mobile phone game  I found out that the volume of the game is very low  When it comes to hitting somewhere when driving on the way in the game  the volume is horribly high  but then when it comes to playing the background music  the volume is very low   If I didn t turn up the volume  I even couldn t hear what the background music was  only the sound of car crashes _x000D_
_x000D_
Can the background music volume be enhanced or turned up _x000D_
_x000D_
_x000D_
</t>
  </si>
  <si>
    <t>stefan-niedermann-nextcloud-notes-846</t>
  </si>
  <si>
    <t>Searching for ? character crashes the app</t>
  </si>
  <si>
    <t xml:space="preserve">Start app and click on the magnifier icon start a search in the list of notes _x000D_
Enter      app crashes _x000D_
Entering     also behaves strange (marks  everything  as search result)  one should check this too _x000D_
_x000D_
 Isaac Graham might be something for you    _x000D_
_x000D_
   _x000D_
App Version: 2 12 1_x000D_
App Version Code: 2012002_x000D_
App Flavor: dev_x000D_
_x000D_
Files App Version Code: 30110190_x000D_
_x000D_
   _x000D_
_x000D_
OS Version: 4 9 225 perf g390fb71(cb6a933fd6)_x000D_
OS API Level: 29_x000D_
Device: beryllium_x000D_
Manufacturer: Xiaomi_x000D_
Model (and Product): POCO F1 (beryllium)_x000D_
_x000D_
   _x000D_
_x000D_
java util regex PatternSyntaxException: Syntax error in regexp pattern near index 3_x000D_
( )_x000D_
    _x000D_
	at java util regex Pattern compileImpl(Native Method)_x000D_
	at java util regex Pattern compile(Pattern java:1433)_x000D_
	at java util regex Pattern  init (Pattern java:1408)_x000D_
	at java util regex Pattern compile(Pattern java:992)_x000D_
	at it niedermann owncloud notes model NoteViewHolder bind(NoteViewHolder java:74)_x000D_
	at it niedermann owncloud notes model ItemAdapter onBindViewHolder(ItemAdapter java:95)_x000D_
_x000D_
   _x000D_
_x000D_
Root cause seems to be here:_x000D_
_x000D_
  grafik (https:  user images githubusercontent com 4741199 83548356 f315d280 a503 11ea 9ad0 036f4bd0b05f png)_x000D_
</t>
  </si>
  <si>
    <t>OneBusAway-onebusaway-android-1042</t>
  </si>
  <si>
    <t>NPE when checking for CANCELED trips</t>
  </si>
  <si>
    <t xml:space="preserve">  Summary:   _x000D_
_x000D_
I m seeing this crash and stack trace in the developer console:_x000D_
_x000D_
   _x000D_
java lang NullPointerException: _x000D_
  at org onebusaway android ui ArrivalInfo computeStatusLabel (ArrivalInfo java:136)_x000D_
  at org onebusaway android ui ArrivalInfo  init  (ArrivalInfo java:103)_x000D_
  at org onebusaway android util ArrivalInfoUtils convertObaArrivalInfo (ArrivalInfoUtils java:73)_x000D_
  at org onebusaway android ui ArrivalsListAdapterStyleA setData (ArrivalsListAdapterStyleA java:59)_x000D_
  at org onebusaway android ui ArrivalsListFragment setResponseData (ArrivalsListFragment java:574)_x000D_
  at org onebusaway android ui ArrivalsListFragment onLoadFinished (ArrivalsListFragment java:478)_x000D_
  at org onebusaway android ui ArrivalsListFragment onLoadFinished (ArrivalsListFragment java:101)_x000D_
  at androidx loader app LoaderManagerImpl LoaderObserver onChanged (LoaderManagerImpl java:250)_x000D_
  at androidx lifecycle LiveData considerNotify (LiveData java:113)_x000D_
  at androidx lifecycle LiveData dispatchingValue (LiveData java:131)_x000D_
  at androidx lifecycle LiveData setValue (LiveData java:289)_x000D_
  at androidx lifecycle MutableLiveData setValue (MutableLiveData java:33)_x000D_
  at androidx loader app LoaderManagerImpl LoaderInfo setValue (LoaderManagerImpl java:189)_x000D_
  at androidx loader app LoaderManagerImpl LoaderInfo onLoadComplete (LoaderManagerImpl java:174)_x000D_
  at androidx loader content Loader deliverResult (Loader java:132)_x000D_
  at org onebusaway android ui ArrivalsListLoader deliverResult (ArrivalsListLoader java:71)_x000D_
  at org onebusaway android ui ArrivalsListLoader deliverResult (ArrivalsListLoader java:28)_x000D_
  at androidx loader content AsyncTaskLoader dispatchOnLoadComplete (AsyncTaskLoader java:258)_x000D_
  at androidx loader content AsyncTaskLoader LoadTask onPostExecute (AsyncTaskLoader java:83)_x000D_
  at androidx loader content ModernAsyncTask finish (ModernAsyncTask java:490)_x000D_
  at androidx loader content ModernAsyncTask InternalHandler handleMessage (ModernAsyncTask java:507)_x000D_
  at android os Handler dispatchMessage (Handler java:106)_x000D_
  at android os Looper loop (Looper java:193)_x000D_
  at android app ActivityThread main (ActivityThread java:6692)_x000D_
  at java lang reflect Method invoke (Native Method)_x000D_
  at com android internal os RuntimeInit MethodAndArgsCaller run (RuntimeInit java:493)_x000D_
  at com android internal os ZygoteInit main (ZygoteInit java:858)_x000D_
   _x000D_
_x000D_
  Steps to reproduce:   _x000D_
_x000D_
Unknown  I m guessing get a response from the server that doesn t include a trip status  for some reason _x000D_
_x000D_
  Expected behavior:   _x000D_
_x000D_
Not crash_x000D_
_x000D_
  Observed behavior:   _x000D_
_x000D_
Crash_x000D_
_x000D_
  Device and Android version:   _x000D_
_x000D_
Multiple_x000D_
_x000D_
  Screenshots:   _x000D_
_x000D_
N A</t>
  </si>
  <si>
    <t>commons-app-apps-android-commons-3791</t>
  </si>
  <si>
    <t>Prod debug app crashes on startup</t>
  </si>
  <si>
    <t xml:space="preserve">  Summary:   _x000D_
_x000D_
App crashes on startup while using it on an emulator  _x000D_
_x000D_
  Steps to reproduce:   _x000D_
_x000D_
Install and run prod debug on x86 emulator  _x000D_
_x000D_
  System logs:  _x000D_
_x000D_
   _x000D_
2020 05 31 18:57:04 430 3670 3670   E AndroidRuntime: FATAL EXCEPTION: main_x000D_
    Process: fr free nrw commons  PID: 3670_x000D_
    java lang UnsatisfiedLinkError: No implementation found for void com mapbox mapboxsdk net NativeConnectivityListener initialize() (tried Java com mapbox mapboxsdk net NativeConnectivityListener initialize and Java com mapbox mapboxsdk net NativeConnectivityListener initialize  )_x000D_
        at com mapbox mapboxsdk net NativeConnectivityListener initialize(Native Method)_x000D_
        at com mapbox mapboxsdk net NativeConnectivityListener  init (NativeConnectivityListener java:27)_x000D_
        at com mapbox mapboxsdk net ConnectivityReceiver instance(ConnectivityReceiver java:43)_x000D_
        at com mapbox mapboxsdk Mapbox getInstance(Mapbox java:67)_x000D_
        at fr free nrw commons CommonsApplication onCreate(CommonsApplication java:127)_x000D_
        at android app Instrumentation callApplicationOnCreate(Instrumentation java:1154)_x000D_
        at android app ActivityThread handleBindApplication(ActivityThread java:5871)_x000D_
        at android app ActivityThread access 1100(ActivityThread java:199)_x000D_
        at android app ActivityThread H handleMessage(ActivityThread java:1650)_x000D_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_x000D_
_x000D_
  Device and Android version:   _x000D_
_x000D_
Android 9_x000D_
 _x000D_
  Commons app version:   _x000D_
_x000D_
 prodDebug  on latest master while using an emulator  _x000D_
_x000D_
  Would you like to work on the issue   _x000D_
_x000D_
No </t>
  </si>
  <si>
    <t>OpenArchive-Save-app-android-223</t>
  </si>
  <si>
    <t>Crashes when logging in to IA account</t>
  </si>
  <si>
    <t xml:space="preserve">0 2 3 Beta 3_x000D_
_x000D_
MotoG_x000D_
GalaxyS7_x000D_
_x000D_
Internet Archive account_x000D_
_x000D_
Expected Behaviour: _x000D_
1  Selected Archive Org from Server Screen_x000D_
2  Enter credentials and login_x000D_
3  Taken to next screen_x000D_
_x000D_
Actual Behaviour: _x000D_
1  Selected Archive Org from Server Screen_x000D_
2  Enter credentials and login_x000D_
3  App crashes_x000D_
_x000D_
As well as: _x000D_
1  Selected Archive Org from Server Screen_x000D_
2  Click login  without  entering credentials_x000D_
3  App crashes_x000D_
_x000D_
Crash reports sent for both processes from both phones  </t>
  </si>
  <si>
    <t>commons-app-apps-android-commons-3790</t>
  </si>
  <si>
    <t>Switch to WorkManagers</t>
  </si>
  <si>
    <t xml:space="preserve">  Summary:   _x000D_
_x000D_
Summarize your issue in one sentence (what goes wrong  what did you expect to happen)_x000D_
App crashes when upload is somehow initiated from the background _x000D_
_x000D_
  Steps to reproduce:   _x000D_
Yet to figure out  reported by email_x000D_
_x000D_
  System logs:  _x000D_
_x000D_
   _x000D_
java lang RuntimeException: Unable to start activity ComponentInfo fr free nrw commons fr free nrw commons contributions MainActivity : java lang IllegalStateException: Not allowed to start service Intent   act fr free nrw commons upload upload cmp fr free nrw commons  upload UploadService  : app is in background uid UidRecord a10f242 u0a101 LAST bg: 10h50m21s78ms idle change:cached procs:1 seq(0 0 0) _x000D_
	at android app ActivityThread performLaunchActivity(ActivityThread java:2951)_x000D_
	at android app ActivityThread handleLaunchActivity(ActivityThread java:3086)_x000D_
	at android app ActivityThread handleRelaunchActivityInner(ActivityThread java:4823)_x000D_
	at android app ActivityThread handleRelaunchActivity(ActivityThread java:4732)_x000D_
	at android app servertransaction ActivityRelaunchItem execute(ActivityRelaunchItem java:69)_x000D_
	at android app servertransaction TransactionExecutor executeCallbacks(TransactionExecutor java:108)_x000D_
	at android app servertransaction TransactionExecutor execute(TransactionExecutor java:68)_x000D_
	at android app ClientTransactionHandler executeTransaction(ClientTransactionHandler java:55)_x000D_
	at android app ActivityThread handleRelaunchActivityLocally(ActivityThread java:4782)_x000D_
	at android app ActivityThread access 3200(ActivityThread java:200)_x000D_
	at android app ActivityThread H handleMessage(ActivityThread java:1826)_x000D_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Caused by: java lang IllegalStateException: Not allowed to start service Intent   act fr free nrw commons upload upload cmp fr free nrw commons  upload UploadService  : app is in background uid UidRecord a10f242 u0a101 LAST bg: 10h50m21s78ms idle change:cached procs:1 seq(0 0 0) _x000D_
	at android app ContextImpl startServiceCommon(ContextImpl java:1577)_x000D_
	at android app ContextImpl startService(ContextImpl java:1532)_x000D_
	at android content ContextWrapper startService(ContextWrapper java:664)_x000D_
	at fr free nrw commons contributions MainActivity initMain(MainActivity java:118)_x000D_
	at fr free nrw commons contributions MainActivity onCreate(MainActivity java:90)_x000D_
	at android app Activity performCreate(Activity java:7144)_x000D_
	at android app Activity performCreate(Activity java:7135)_x000D_
	at android app Instrumentation callActivityOnCreate(Instrumentation java:1271)_x000D_
	at android app ActivityThread performLaunchActivity(ActivityThread java:2931)_x000D_
	    16 more_x000D_
   _x000D_
_x000D_
  Device and Android version:   _x000D_
ANDROID VERSION 9_x000D_
PHONE MODEL Redmi 3S_x000D_
  Commons app version:   _x000D_
APP VERSION CODE 709_x000D_
APP VERSION NAME 2 13_x000D_
_x000D_
_x000D_
  Would you like to work on the issue   _x000D_
Yes_x000D_
_x000D_
</t>
  </si>
  <si>
    <t>TeamNewPipe-NewPipe-3702</t>
  </si>
  <si>
    <t>Could not parse old videos</t>
  </si>
  <si>
    <t xml:space="preserve">    
Oh no  a bug  It happens  Thanks for reporting an issue with NewPipe  If this is your first bug report  read the following information before proceeding: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P S : Our contribution guidelines might be a nice document to read before you fill out the report :) You can find it at https:  github com TeamNewPipe NewPipe blob HEAD  github CONTRIBUTING md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Version
     Which version are you using  Hopefully the latest  We just told you that above     
    Steps to reproduce the bug
1  Go to https:  www youtube com watch v KaOC9danxNo on newpipe
2  Bug error appears 
     If you can t cause the bug to show up again reliably (and hence don t have a proper set of steps to give us)  please still try to give as many details as possible on how you think you encountered the bug     
    Expected behavior
     Tried opening a 7 year old video and other old videos    
    Actual behaviour
     the video could not parse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Logs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That s right  here     
</t>
  </si>
  <si>
    <t>TeamNewPipe-NewPipe-3696</t>
  </si>
  <si>
    <t>Feeds are always outdated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</si>
  <si>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19 05_x000D_
    Steps to reproduce the bug_x000D_
_x000D_
1  Go to settings content and set feed threshold to always update_x000D_
2  Do not enable fetch from dedicated fieldd_x000D_
3  Restart the app_x000D_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Feed should be updated after restart_x000D_
    Actual behaviour_x000D_
     Tell us what happens instead     _x000D_
Feeds do not get updated_x000D_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</si>
  <si>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nextcloud-android-6182</t>
  </si>
  <si>
    <t>Crash on Samsung chromebook plus v2</t>
  </si>
  <si>
    <t xml:space="preserve">    Steps to reproduce_x000D_
1   install NC from google play store on chromebook_x000D_
2   start the NC app_x000D_
3  _x000D_
_x000D_
    Expected behaviour_x000D_
normally start the app_x000D_
_x000D_
    Actual behaviour_x000D_
crash and cannot start_x000D_
_x000D_
                                         _x000D_
Hi all  it work before  but recently I found it cannot access NC files via CB files app _x000D_
so I try to reinstall NC app  after reinstall NC  it even cannot run  NC show the crash error on every boot _x000D_
any idea why will that  any workaround  thanks _x000D_
_x000D_
Samsung ChromeBook Plus v2 (83 0 4103 77) 64bit</t>
  </si>
  <si>
    <t>TeamNewPipe-NewPipe-3682</t>
  </si>
  <si>
    <t>Suddenly Newpipe crashes for almost any youtube video</t>
  </si>
  <si>
    <t xml:space="preserve">    System_x000D_
Android : version 9_x000D_
Kernel : version 4 9 112_x000D_
Newpipe : version 0 19 3_x000D_
 _x000D_
_x000D_
    Steps to reproduce the bug_x000D_
_x000D_
Search for any video and try to play it _x000D_
_x000D_
Almost all videos that I find by making a search end up crashing the app  Only the ones listed by default on opening Newpipe don t make the app crash  But these are not strict rules : by going a long way  I can eventually find some videos that I can watch even though I specifically searched for  However  it s maybe 1  of all videos I click on _x000D_
_x000D_
I know you said you only support the latest version  but simply for reference  I uninstalled and reinstalled  and repeated this step for each version available (0 19 1  0 19 2  0 19 3) and also Newpipe Legacy  I  Get the same behavior for all of these _x000D_
</t>
  </si>
  <si>
    <t>inaturalist-iNaturalistAndroid-837</t>
  </si>
  <si>
    <t>NegativeArraySizeException when importing photo</t>
  </si>
  <si>
    <t xml:space="preserve">https:  console firebase google com u 2 project inaturalist ios crashlytics app android:org inaturalist android issues f0f210b192f96ca451455629e087581d time last seven days sessionId 5ED160CA03BE00013931CAE6D158768E DNE 0 v2_x000D_
_x000D_
This is happening in builds 421 and 422  from a couple of different devices  Can we do anything about this or is this a bug in an external library _x000D_
_x000D_
   _x000D_
Fatal Exception: java lang NegativeArraySizeException:  6746_x000D_
       at it sephiroth android library exif2 ExifParser readFullTagValue(ExifParser java:891)_x000D_
       at it sephiroth android library exif2 ExifParser readTag(ExifParser java:783)_x000D_
       at it sephiroth android library exif2 ExifParser next(ExifParser java:522)_x000D_
       at it sephiroth android library exif2 ExifReader read(ExifReader java:103)_x000D_
       at it sephiroth android library exif2 ExifInterface readExif(ExifInterface java:979)_x000D_
       at org inaturalist android ObservationEditor importPhotoMetadata(ObservationEditor java:3095)_x000D_
       at org inaturalist android ObservationEditor access 5100(ObservationEditor java:137)_x000D_
       at org inaturalist android ObservationEditor 42 1 run(ObservationEditor java:2956)_x000D_
       at android os Handler handleCallback(Handler java:883)_x000D_
       at android os Handler dispatchMessage(Handler java:100)_x000D_
       at android os Looper loop(Looper java:214)_x000D_
   </t>
  </si>
  <si>
    <t>TeamNewPipe-NewPipe-3673</t>
  </si>
  <si>
    <t>[Android 10] Import / export database file browser broken</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</si>
  <si>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4_x000D_
Running on an S9 _x000D_
_x000D_
_x000D_
    Steps to reproduce the bug_x000D_
    _x000D_
1  Go to      _x000D_
2  Press on       _x000D_
3  Swipe down to       _x000D_
   _x000D_
1  Try to import a backup database file_x000D_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You can browse to the file and open it _x000D_
_x000D_
    Actual behaviour_x000D_
     Tell us what happens instead     _x000D_
Browsing itself is broken  _x000D_
The file browser only shows couple folders  and navigation only goes backwards  I e  if you click     it goes to the parent directory  but then you cant navigate back  because that folder doesn t show up  See screenshots for details _x000D_
Previous versions of the app (as of yesterday) worked fine  and I didn t do anything to my phone since then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Screenshot 20200529 124555 NewPipe (https:  user images githubusercontent com 39849222 83299115 705ee180 a1aa 11ea 94a1 86dd3d1312de jpg)_x000D_
  Screenshot 20200529 124702 NewPipe (https:  user images githubusercontent com 39849222 83299180 879dcf00 a1aa 11ea 8c61 4d19d5d94455 jpg)_x000D_
  Screenshot 20200529 124733 NewPipe (https:  user images githubusercontent com 39849222 83299200 95535480 a1aa 11ea 9516 86bc2f1effde jpg)_x000D_
_x000D_
  Each of these folders shows up as empty if you tap them   _x000D_
_x000D_
  Screenshot 20200529 124749 NewPipe (https:  user images githubusercontent com 39849222 83299225 a308da00 a1aa 11ea 94ad 6dae4ef43717 jpg)_x000D_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It doesn t crash  just doesn t work  so don t have one _x000D_
     That s right  here     _x000D_
</t>
  </si>
  <si>
    <t>k9mail-k-9-4798</t>
  </si>
  <si>
    <t>Crash when adding hotmail.com account</t>
  </si>
  <si>
    <t xml:space="preserve">_x000D_
    Expected behavior_x000D_
No crash_x000D_
_x000D_
    Actual behavior_x000D_
The app crash during configuration_x000D_
No bug on 5 6_x000D_
_x000D_
    Steps to reproduce_x000D_
1  Add an account hotmail com_x000D_
2  Crash_x000D_
_x000D_
    Environment_x000D_
K 9 Mail version: 5 715 debug_x000D_
_x000D_
Android version: 9_x000D_
_x000D_
Account type (IMAP  POP3  WebDAV Exchange): IMAP_x000D_
_x000D_
 k9 log txt (https:  github com k9mail k 9 files 4702203 k9 log txt)_x000D_
_x000D_
</t>
  </si>
  <si>
    <t>andOTP-andOTP-569</t>
  </si>
  <si>
    <t>Crash when entering too large of a number in manual entry dialog</t>
  </si>
  <si>
    <t xml:space="preserve">     General information_x000D_
_x000D_
    App version:   0 70 and 0 7 1 1 dev_x000D_
    App source:   F Droid and GitHub master_x000D_
    Android Version:   10 (Samsung S9 and x86 emulator)_x000D_
_x000D_
     Steps to reproduce_x000D_
_x000D_
  TOTP Crash  _x000D_
1  Open app to the main list of 2FA codes _x000D_
1  Tap the add FAB and select  Enter details  _x000D_
1  Select TOTP for the Type field _x000D_
1  Enter something into the Label and Secret fields _x000D_
1  Open the Advanced Options overflow  and enter a number larger than  Integer MAX VALUE  into either the Period or Digits fields _x000D_
_x000D_
  HOTP Crash  _x000D_
1  Open app to the main list of 2FA codes _x000D_
1  Tap the add FAB and select  Enter details  _x000D_
1  Select HOTP for the Type field _x000D_
1  Enter something into the Label and Secret fields _x000D_
1  Enter a number larger than  Long MAX VALUE  into the Counter field _x000D_
1  Tap the Save button _x000D_
_x000D_
     Expected result_x000D_
_x000D_
  What is expected    _x000D_
In the manual details entry dialog  entering a number in the Period or Digits fields larger than  Integer MAX VALUE  or entering a number in the Counter field larger than  Long MAX VALUE  should disable the Save button _x000D_
_x000D_
  What does happen instead   _x000D_
The application crashes  This would probably never occur during normal usage  but it s an easy fix so I ll put a PR up _x000D_
_x000D_
     Logcat_x000D_
TOTP Period Digits crash:_x000D_
   _x000D_
2020 05 29 09:04:34 505 7852 7852 org shadowice flocke andotp dev E AndroidRuntime: FATAL EXCEPTION: main_x000D_
    Process: org shadowice flocke andotp dev  PID: 7852_x000D_
    java lang NumberFormatException: For input string:  3000000000 _x000D_
        at java lang Integer parseInt(Integer java:618)_x000D_
        at java lang Integer parseInt(Integer java:650)_x000D_
        at org shadowice flocke andotp Dialogs ManualEntryDialog 8 afterTextChanged(ManualEntryDialog java:293)_x000D_
        at android widget TextView sendAfterTextChanged(TextView java:10551)_x000D_
        at android widget TextView ChangeWatcher afterTextChanged(TextView java:13388)_x000D_
        at android text SpannableStringBuilder sendAfterTextChanged(SpannableStringBuilder java:1277)_x000D_
        at android text SpannableStringBuilder replace(SpannableStringBuilder java:577)_x000D_
        at android text SpannableStringBuilder replace(SpannableStringBuilder java:507)_x000D_
        at android text SpannableStringBuilder replace(SpannableStringBuilder java:37)_x000D_
        at android text method NumberKeyListener onKeyDown(NumberKeyListener java:131)_x000D_
   _x000D_
_x000D_
HOTP Counter crash:_x000D_
   _x000D_
2020 05 29 09:10:59 885 8118 8118 org shadowice flocke andotp dev E AndroidRuntime: FATAL EXCEPTION: main_x000D_
    Process: org shadowice flocke andotp dev  PID: 8118_x000D_
    java lang NumberFormatException: For input string:  1000000000000000000000 _x000D_
        at java lang Long parseLong(Long java:597)_x000D_
        at java lang Long parseLong(Long java:636)_x000D_
        at org shadowice flocke andotp Dialogs ManualEntryDialog 7 onClick(ManualEntryDialog java:245)_x000D_
        at android view View performClick(View java:7125)_x000D_
   _x000D_
</t>
  </si>
  <si>
    <t>k9mail-k-9-4797</t>
  </si>
  <si>
    <t>Crash when start composing mail with account not fully created</t>
  </si>
  <si>
    <t xml:space="preserve">    Expected behavior_x000D_
No crash and no ghost account_x000D_
_x000D_
    Actual behavior_x000D_
The app keep not fully created account  and this state could lead to crash_x000D_
_x000D_
    Steps to reproduce_x000D_
1  In screen Add account  enter the credentials and click next_x000D_
2  Quit the app during creation_x000D_
3  Reopen the app_x000D_
4  Now there is a ghost account_x000D_
5  Try to send a mail_x000D_
   crash_x000D_
_x000D_
 k 9 txt (https:  github com k9mail k 9 files 4716411 k 9 txt)_x000D_
_x000D_
I add a log at beggining of actionCompose method with parameters_x000D_
As the exception is ActivityNotFoundException  I check that with account complete there is no crash _x000D_
_x000D_
    Environment_x000D_
K 9 Mail version: 5 715 debug_x000D_
_x000D_
Android version: 9_x000D_
_x000D_
Account type (IMAP  POP3  WebDAV Exchange): IMAP_x000D_
_x000D_
</t>
  </si>
  <si>
    <t>tradle-react-native-udp-117</t>
  </si>
  <si>
    <t>NullPointerException UdpSocketClient.isMulticast</t>
  </si>
  <si>
    <t xml:space="preserve">Hi _x000D_
_x000D_
This exception occurs in production builds very few times but I think it s worth noting  This is the crash report from Google Play Console:_x000D_
_x000D_
   _x000D_
java lang RuntimeException: _x000D_
  at android os AsyncTask 3 done (AsyncTask java:318)_x000D_
  at java util concurrent FutureTask finishCompletion (FutureTask java:354)_x000D_
  at java util concurrent FutureTask setException (FutureTask java:223)_x000D_
  at java util concurrent FutureTask run (FutureTask java:242)_x000D_
  at java util concurrent ThreadPoolExecutor runWorker (ThreadPoolExecutor java:1133)_x000D_
  at java util concurrent ThreadPoolExecutor Worker run (ThreadPoolExecutor java:607)_x000D_
  at java lang Thread run (Thread java:761)_x000D_
_x000D_
Caused by: java lang NullPointerException: _x000D_
  at com tradle react UdpSocketClient isMulticast (UdpSocketClient java)_x000D_
  at com tradle react UdpSocketClient bind (UdpSocketClient java)_x000D_
  at com tradle react UdpSocketClient send (UdpSocketClient java)_x000D_
  at com tradle react UdpSocketClient setBroadcast (UdpSocketClient java)_x000D_
  at com tradle react UdpSocketClient didReceiveData (UdpSocketClient java)_x000D_
  at com tradle react UdpSocketClient didReceiveError (UdpSocketClient java)_x000D_
  at com tradle react UdpSocketClient didReceiveRuntimeException (UdpSocketClient java)_x000D_
  at com tradle react UdpSocketClient onDataSent (UdpSocketClient java)_x000D_
  at com tradle react UdpSocketClient onDataSentError (UdpSocketClient java)_x000D_
  at com tradle react UdpSocketClient onDataSentRuntimeException (UdpSocketClient java)_x000D_
  at com tradle react UdpSockets 3 doInBackgroundGuarded (UdpSockets java)_x000D_
  at com tradle react UdpSockets 3 doInBackgroundGuarded (UdpSockets java)_x000D_
  at com facebook react bridge GuardedAsyncTask doInBackground (GuardedAsyncTask java)_x000D_
  at com facebook react bridge GuardedAsyncTask doInBackground (GuardedAsyncTask java)_x000D_
  at com facebook react bridge GuardedAsyncTask doInBackground (GuardedAsyncTask java)_x000D_
  at com facebook react bridge GuardedAsyncTask doInBackground (GuardedAsyncTask java)_x000D_
  at android os AsyncTask 2 call (AsyncTask java:304)_x000D_
  at java util concurrent FutureTask run (FutureTask java:237)_x000D_
  at java util concurrent ThreadPoolExecutor runWorker (ThreadPoolExecutor java:1133)_x000D_
  at java util concurrent ThreadPoolExecutor Worker run (ThreadPoolExecutor java:607)_x000D_
  at java lang Thread run (Thread java:761)_x000D_
   </t>
  </si>
  <si>
    <t>akvo-akvo-flow-mobile-1632</t>
  </si>
  <si>
    <t>Crash while creating geoshapes</t>
  </si>
  <si>
    <t xml:space="preserve">  Describe the bug  _x000D_
Random crash reported when creating geoshapes  Crash happens quite frequently while user is in the geoshape screen _x000D_
_x000D_
  To Reproduce  _x000D_
Steps to reproduce the behavior:_x000D_
1  Create a geoshape question_x000D_
2  Make sure location is enabled_x000D_
2  Click on  Capture shape _x000D_
3  Wait for the crash or try changing map types in the menu_x000D_
4  See error_x000D_
_x000D_
  Expected behavior  _x000D_
No crash_x000D_
_x000D_
  Device  _x000D_
   Device model: Acer Iconia Tab 8_x000D_
   OS: Android 4 4 2_x000D_
   App Version 2 9 1_x000D_
_x000D_
  Additional context  _x000D_
Users reported crash with Fairphone_x000D_
</t>
  </si>
  <si>
    <t>TeamNewPipe-NewPipe-3667</t>
  </si>
  <si>
    <t>Most music-related videos un-parseable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</si>
  <si>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_x000D_
    Steps to reproduce the bug_x000D_
    _x000D_
1  Go to      _x000D_
2  Press on       _x000D_
3  Swipe down to       _x000D_
   _x000D_
_x000D_
1  Search for music related videos_x000D_
2  Attempt to open  play  or enqueue the results _x000D_
_x000D_
A few videos that trigger the bug:_x000D_
_x000D_
https:  www youtube com watch v 0G383538qzQ_x000D_
https:  www youtube com watch v AZm1 jtY1SQ_x000D_
https:  www youtube com watch v 6vwNcNOTVzY_x000D_
https:  www youtube com watch v zqNTltOGh5c_x000D_
_x000D_
A few videos that don t trigger the bug_x000D_
https:  www youtube com watch v UayFuEbHxrs_x000D_
https:  www youtube com watch v ZxnVYd3TpJs_x000D_
https:  www youtube com watch v krv9J3KZu3I_x000D_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video opens  plays  or enqueues  or loads in some manner_x000D_
_x000D_
    Actual behaviour_x000D_
     Tell us what happens instead     _x000D_
_x000D_
Guru Mediation: Could not parse website_x000D_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Exception_x000D_
    User Action:   requested stream_x000D_
    Request:   https:  www youtube com watch v 0G383538qzQ_x000D_
    Content Language:   US_x000D_
    Service:   YouTube_x000D_
    Version:   0 19 3_x000D_
    OS:   Linux Android 7 1 2   25_x000D_
_x000D_
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java:192)_x000D_
	at org schabi newpipe extractor stream StreamInfo getInfo(StreamInfo java:70)_x000D_
	at org schabi newpipe extractor stream StreamInfo getInfo(StreamInfo java:62)_x000D_
	at org schabi newpipe util ExtractorHelper lambda getStreamInfo 3(ExtractorHelper java:116)_x000D_
	at org schabi newpipe util    Lambda ExtractorHelper 5fJcha6Sq5APJBLdG6osaJby mc call(lambda)_x000D_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maybe MaybeFromSingle subscribeActual(MaybeFromSingle java:41)_x000D_
	at io reactivex Maybe subscribe(Maybe java:4154)_x000D_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java:14479)_x000D_
	at io reactivex internal operators flowable FlowableElementAtMaybe subscribeActual(FlowableElementAtMaybe java:36)_x000D_
	at io reactivex Maybe subscribe(Maybe java:4154)_x000D_
	at io reactivex internal operators maybe MaybeToSingle subscribeActual(MaybeToSingle java:46)_x000D_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_x000D_
   _x000D_
  p   details _x000D_
 hr _x000D_
_x000D_
 3576</t>
  </si>
  <si>
    <t>TeamNewPipe-NewPipe-3666</t>
  </si>
  <si>
    <t>Sometimes App crash when clicking show info or download.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</si>
  <si>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 _x000D_
     Which version are you using  Hopefully the latest  We just told you that above     _x000D_
  0 19 3_x000D_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 Recording 20200529 102258 mp4 zip (https:  github com TeamNewPipe NewPipe files 4700053 Screen Recording 20200529 102258 mp4 zip)_x000D_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Exception_x000D_
    User Action:   requested stream_x000D_
    Request:   https:  youtu be mkpd9nF719w_x000D_
    Content Language:   ar OM_x000D_
    Service:   YouTube_x000D_
    Version:   0 19 3_x000D_
    OS:   Linux samsung star2ltexx star2lte:10 QP1A 190711 020 G965FXXU8DTC5:user release keys 10   29_x000D_
_x000D_
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java:192)_x000D_
	at org schabi newpipe extractor stream StreamInfo getInfo(StreamInfo java:70)_x000D_
	at org schabi newpipe extractor stream StreamInfo getInfo(StreamInfo java:62)_x000D_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maybe MaybeFromSingle subscribeActual(MaybeFromSingle java:41)_x000D_
	at io reactivex Maybe subscribe(Maybe java:4154)_x000D_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java:14479)_x000D_
	at io reactivex internal operators flowable FlowableElementAtMaybe subscribeActual(FlowableElementAtMaybe java:36)_x000D_
	at io reactivex Maybe subscribe(Maybe java:4154)_x000D_
	at io reactivex internal operators maybe MaybeToSingle subscribeActual(MaybeToSingle java:46)_x000D_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p   details _x000D_
 hr _x000D_
_x000D_
_x000D_
     That s right  here     _x000D_
</t>
  </si>
  <si>
    <t>TeamNewPipe-NewPipe-3660</t>
  </si>
  <si>
    <t>Error opening videos (Could not get any stream.)</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</si>
  <si>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_x000D_
    Steps to reproduce the bug_x000D_
    _x000D_
1  Go to      _x000D_
2  Press on       _x000D_
3  Swipe down to       _x000D_
   _x000D_
Currently  I just open a video from one of my subscribers and on some videos I get this error  Not all of them  but mostly every video  Same error on my Android 10 phone  running different ROM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requested stream_x000D_
    Request:   https:  www youtube com watch v ZRZgOjPuUwg_x000D_
    Content Language:   US_x000D_
    Service:   YouTube_x000D_
    Version:   0 19 3_x000D_
    OS:   Linux Android 9   28_x000D_
_x000D_
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java:192)_x000D_
	at org schabi newpipe extractor stream StreamInfo getInfo(StreamInfo java:70)_x000D_
	at org schabi newpipe extractor stream StreamInfo getInfo(StreamInfo java:62)_x000D_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maybe MaybeFromSingle subscribeActual(MaybeFromSingle java:41)_x000D_
	at io reactivex Maybe subscribe(Maybe java:4154)_x000D_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java:14479)_x000D_
	at io reactivex internal operators flowable FlowableElementAtMaybe subscribeActual(FlowableElementAtMaybe java:36)_x000D_
	at io reactivex Maybe subscribe(Maybe java:4154)_x000D_
	at io reactivex internal operators maybe MaybeToSingle subscribeActual(MaybeToSingle java:46)_x000D_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p   details _x000D_
 hr _x000D_
</t>
  </si>
  <si>
    <t>doublesymmetry-react-native-track-player-956</t>
  </si>
  <si>
    <t>[ios] fix race conditions (close #652)</t>
  </si>
  <si>
    <t xml:space="preserve">I was experiencing a bunch of crashes in production with 1 2 3_x000D_
_x000D_
There was already a solution proposed here: https:  github com react native kit react native track player issues 652_x000D_
_x000D_
I was able to reproduce the issue locally and used Thread Ripper to test the  solution (https:  github com react native kit react native track player issues 652 issuecomment 587426577) proposed in the above issue </t>
  </si>
  <si>
    <t>TeamNewPipe-NewPipe-3659</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</si>
  <si>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19 3_x000D_
    Steps to reproduce the bug_x000D_
_x000D_
1  Go to youtube com watch v dcLaYwl48v0 (one of the results after searching  full flex )_x000D_
_x000D_
     If you can t cause the bug to show up again reliably (and hence don t have a proper set of steps to give us)  please still try to give as many details as possible on how you think you encountered the bug     _x000D_
_x000D_
    Expected behavior_x000D_
Plays video_x000D_
_x000D_
    Actual behaviour_x000D_
Guru meditation error report: could not parse website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The markdown converter site gives me an error 404 _x000D_
_x000D_
     That s right  here     _x000D_
</t>
  </si>
  <si>
    <t>material-components-material-components-android-1339</t>
  </si>
  <si>
    <t>[MaterialDatePicker / android.widget.TimePicker] XmlPullParserException</t>
  </si>
  <si>
    <t xml:space="preserve">  Description:   Since I am using the  Theme MaterialComponents DayNight NoActionBar  theme I see crash reports (could t reproduce it myself) caused by Org XmlPull V1 XmlPullParserException_x000D_
_x000D_
  Source code:   _x000D_
   _x000D_
var picker   MaterialDatePicker Builder DatePicker()_x000D_
   SetTitleText(Resource String Day)_x000D_
   SetSelection(1590537600000)_x000D_
   Build() _x000D_
picker Show(SupportFragmentManager  picker ToString()) _x000D_
   _x000D_
  Android API version:   29_x000D_
_x000D_
  Material Library version:    Xamarin Google Android Material 1 1 0 rc3 (https:  www nuget org packages Xamarin Google Android Material)_x000D_
_x000D_
  Device:  _x000D_
P20   P20 lite (TimePicker crash)_x000D_
Xperia Z5 Compact   P20   Redmi Note 7 (MaterialDatePicker crash)_x000D_
various Android versions: 6 0  7 1 1  9 0_x000D_
_x000D_
android widget TimePicker:_x000D_
   _x000D_
org xmlpull v1 XmlPullParserException: Binary XML file line  18:  item  tag requires a  drawable  attribute or child tag defining a drawable_x000D_
android graphics drawable StateListDrawable inflateChildElements StateListDrawable java:190_x000D_
android graphics drawable StateListDrawable inflate StateListDrawable java:122_x000D_
android graphics drawable DrawableInflater inflateFromXmlForDensity DrawableInflater java:148_x000D_
android graphics drawable Drawable createFromXmlInnerForDensity Drawable java:1332_x000D_
android graphics drawable Drawable createFromXmlForDensity Drawable java:1291_x000D_
android content res ResourcesImpl loadDrawableForCookie ResourcesImpl java:1144_x000D_
android content res ResourcesImpl loadDrawable ResourcesImpl java:917_x000D_
android content res Resources loadDrawable Resources java:1083_x000D_
android content res TypedArray getDrawableForDensity TypedArray java:1010_x000D_
android content res TypedArray getDrawable TypedArray java:985_x000D_
android widget TimePickerClockDelegate  init  TimePickerClockDelegate java:214_x000D_
android widget TimePicker  init  TimePicker java:141_x000D_
android widget TimePicker  init  TimePicker java:114_x000D_
android widget TimePicker  init  TimePicker java:110_x000D_
java lang reflect Constructor newInstance0(Native Method)_x000D_
java lang reflect Constructor newInstance Constructor java:343_x000D_
android view LayoutInflater createView LayoutInflater java:658_x000D_
com android internal policy PhoneLayoutInflater onCreateView PhoneLayoutInflater java:64_x000D_
com android internal policy HwPhoneLayoutInflater onCreateView HwPhoneLayoutInflater java:105_x000D_
android view LayoutInflater onCreateView LayoutInflater java:731_x000D_
android view LayoutInflater createViewFromTag LayoutInflater java:799_x000D_
android view LayoutInflater createViewFromTag LayoutInflater java:741_x000D_
android view LayoutInflater inflate LayoutInflater java:492_x000D_
android view LayoutInflater inflate LayoutInflater java:423_x000D_
android view LayoutInflater inflate LayoutInflater java:374_x000D_
android app TimePickerDialog  init  TimePickerDialog java:120_x000D_
android app TimePickerDialog  init  TimePickerDialog java:80_x000D_
mono android view View OnClickListenerImplementor n onClick(Native Method)_x000D_
mono android view View OnClickListenerImplementor onClick(Unknown Source:0)_x000D_
android widget AutoCompleteTextView PassThroughClickListener onClick AutoCompleteTextView java:1371_x000D_
android view View callOnClick View java:6691_x000D_
mono android view View OnTouchListenerImplementor n onTouch(Native Method)_x000D_
mono android view View OnTouchListenerImplementor onTouch(Unknown Source:0)_x000D_
android view View dispatchTouchEvent View java:12624_x000D_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android view ViewGroup dispatchTransformedTouchEvent ViewGroup java:3041_x000D_
android view ViewGroup dispatchTouchEvent ViewGroup java:2728_x000D_
com android internal policy DecorView superDispatchTouchEvent DecorView java:565_x000D_
com android internal policy PhoneWindow superDispatchTouchEvent PhoneWindow java:1929_x000D_
android app Activity dispatchTouchEvent Activity java:3594_x000D_
androidx appcompat view WindowCallbackWrapper dispatchTouchEvent(Unknown Source:2)_x000D_
androidx appcompat view WindowCallbackWrapper dispatchTouchEvent(Unknown Source:2)_x000D_
com android internal policy DecorView dispatchTouchEvent DecorView java:514_x000D_
android view View dispatchPointerEvent View java:12873_x000D_
android view ViewRootImpl ViewPostImeInputStage processPointerEvent ViewRootImpl java:5771_x000D_
android view ViewRootImpl ViewPostImeInputStage onProcess ViewRootImpl java:5535_x000D_
android view ViewRootImpl InputStage deliver ViewRootImpl java:4983_x000D_
android view ViewRootImpl InputStage onDeliverToNext ViewRootImpl java:5036_x000D_
android view ViewRootImpl InputStage forward ViewRootImpl java:5002_x000D_
android view ViewRootImpl AsyncInputStage forward ViewRootImpl java:5157_x000D_
android view ViewRootImpl InputStage apply ViewRootImpl java:5010_x000D_
android view ViewRootImpl AsyncInputStage apply ViewRootImpl java:5214_x000D_
android view ViewRootImpl InputStage deliver ViewRootImpl java:4983_x000D_
android view ViewRootImpl InputStage onDeliverToNext ViewRootImpl java:5036_x000D_
android view ViewRootImpl InputStage forward ViewRootImpl java:5002_x000D_
android view ViewRootImpl InputStage apply ViewRootImpl java:5010_x000D_
android view ViewRootImpl InputStage deliver ViewRootImpl java:4983_x000D_
android view ViewRootImpl deliverInputEvent ViewRootImpl java:7803_x000D_
android view ViewRootImpl doProcessInputEvents ViewRootImpl java:7768_x000D_
android view ViewRootImpl enqueueInputEvent ViewRootImpl java:7726_x000D_
android view ViewRootImpl WindowInputEventReceiver onInputEvent ViewRootImpl java:8007_x000D_
android view InputEventReceiver dispatchInputEvent InputEventReceiver java:202_x000D_
android os MessageQueue nativePollOnce(Native Method)_x000D_
android os MessageQueue next MessageQueue java:386_x000D_
android os Looper loop Looper java:175_x000D_
android app ActivityThread main ActivityThread java:7625_x000D_
java lang reflect Method invoke(Native Method)_x000D_
com android internal os RuntimeInit MethodAndArgsCaller run RuntimeInit java:524_x000D_
com android internal os ZygoteInit main ZygoteInit java:987_x000D_
   _x000D_
_x000D_
MaterialDatePicker:_x000D_
   _x000D_
android graphics drawable StateListDrawable inflateChildElements StateListDrawable java:189_x000D_
android graphics drawable StateListDrawable inflate StateListDrawable java:122_x000D_
android graphics drawable DrawableInflater inflateFromXmlForDensity DrawableInflater java:142_x000D_
android graphics drawable Drawable createFromXmlInnerForDensity Drawable java:1295_x000D_
android graphics drawable Drawable createFromXmlForDensity Drawable java:1254_x000D_
android content res ResourcesImpl loadDrawableForCookie ResourcesImpl java:798_x000D_
android content res ResourcesImpl loadDrawable ResourcesImpl java:633_x000D_
android content res Resources loadDrawable Resources java:894_x000D_
android content res TypedArray getDrawableForDensity TypedArray java:953_x000D_
android content res TypedArray getDrawable TypedArray java:928_x000D_
android view View  init  View java:4743_x000D_
android view ViewGroup  init  ViewGroup java:597_x000D_
android widget LinearLayout  init  LinearLayout java:234_x000D_
android widget LinearLayout  init  LinearLayout java:230_x000D_
android widget LinearLayout  init  LinearLayout java:226_x000D_
java lang reflect Constructor newInstance0 Constructor java_x000D_
java lang reflect Constructor newInstance Constructor java:334_x000D_
android view LayoutInflater createView LayoutInflater java:647_x000D_
com android internal policy PhoneLayoutInflater onCreateView PhoneLayoutInflater java:58_x000D_
android view LayoutInflater onCreateView LayoutInflater java:720_x000D_
android view LayoutInflater createViewFromTag LayoutInflater java:788_x000D_
android view LayoutInflater createViewFromTag LayoutInflater java:730_x000D_
android view LayoutInflater rInflate LayoutInflater java:863_x000D_
android view LayoutInflater parseInclude LayoutInflater java:963_x000D_
android view LayoutInflater rInflate LayoutInflater java:859_x000D_
android view LayoutInflater rInflateChildren LayoutInflater java:824_x000D_
android view LayoutInflater inflate LayoutInflater java:515_x000D_
android view LayoutInflater inflate LayoutInflater java:423_x000D_
android view LayoutInflater inflate LayoutInflater java:374_x000D_
com google android material datepicker MaterialDatePicker onCreateView_x000D_
androidx fragment app Fragment performCreateView_x000D_
androidx fragment app FragmentStateManager createView_x000D_
androidx fragment app FragmentManager moveToState_x000D_
androidx fragment app FragmentManager moveToState_x000D_
androidx fragment app FragmentManager moveFragmentToExpectedState_x000D_
androidx fragment app FragmentManager moveToState_x000D_
androidx fragment app BackStackRecord executeOps_x000D_
androidx fragment app FragmentManager executeOps_x000D_
androidx fragment app FragmentManager executeOpsTogether_x000D_
androidx fragment app FragmentManager removeRedundantOperationsAndExecute_x000D_
androidx fragment app FragmentManager execPendingActions_x000D_
androidx fragment app FragmentManager 4 run_x000D_
android os Handler handleCallback Handler java:789_x000D_
android os Handler dispatchMessage Handler java:98_x000D_
android os Looper loop Looper java:164_x000D_
android app ActivityThread main ActivityThread java:6710_x000D_
java lang reflect Method invoke Method java_x000D_
com android internal os Zygote MethodAndArgsCaller run Zygote java:240_x000D_
com android internal os ZygoteInit main ZygoteInit java:770_x000D_
   _x000D_
</t>
  </si>
  <si>
    <t>nextcloud-android-6171</t>
  </si>
  <si>
    <t>Crash on the opening</t>
  </si>
  <si>
    <t xml:space="preserve">    Steps to reproduce_x000D_
1  Open the app_x000D_
_x000D_
_x000D_
    Expected behaviour_x000D_
  the app should open_x000D_
_x000D_
    Actual behaviour_x000D_
  The app crash with the message below _x000D_
The message pop multiple times _x000D_
_x000D_
   _x000D_
     CAUSE OF ERROR     _x000D_
_x000D_
java lang RuntimeException: An error occurred while executing doInBackground()_x000D_
	at android os AsyncTask 3 done(AsyncTask java:355)_x000D_
	at java util concurrent FutureTask finishCompletion(FutureTask java:383)_x000D_
	at java util concurrent FutureTask setException(FutureTask java:252)_x000D_
	at java util concurrent FutureTask run(FutureTask java:271)_x000D_
	at java util concurrent ThreadPoolExecutor processTask(ThreadPoolExecutor java:1187)_x000D_
	at java util concurrent ThreadPoolExecutor runWorker(ThreadPoolExecutor java:1152)_x000D_
	at java util concurrent ThreadPoolExecutor Worker run(ThreadPoolExecutor java:641)_x000D_
	at java lang Thread run(Thread java:784)_x000D_
Caused by: java lang SecurityException: Caller no longer running  last stopped  2s356ms because: timed out while starting_x000D_
	at android os Parcel createException(Parcel java:1953)_x000D_
	at android os Parcel readException(Parcel java:1921)_x000D_
	at android os Parcel readException(Parcel java:1871)_x000D_
	at android app job IJobCallback Stub Proxy dequeueWork(IJobCallback java:195)_x000D_
	at android app job JobParameters dequeueWork(JobParameters java:243)_x000D_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java:334)_x000D_
	at java util concurrent FutureTask run(FutureTask java:266)_x000D_
	    4 more_x000D_
Caused by: android os RemoteException: Remote stack trace:_x000D_
	at com android server job JobServiceContext assertCallerLocked(JobServiceContext java:490)_x000D_
	at com android server job JobServiceContext doDequeueWork(JobServiceContext java:368)_x000D_
	at com android server job JobServiceContext JobCallback dequeueWork(JobServiceContext java:161)_x000D_
	at android app job IJobCallback Stub onTransact(IJobCallback java:83)_x000D_
	at android os Binder execTransact(Binder java:739)_x000D_
_x000D_
_x000D_
     APP INFORMATION     _x000D_
ID: com nextcloud client_x000D_
Version: 30110190_x000D_
Build flavor: gplay_x000D_
_x000D_
     DEVICE INFORMATION     _x000D_
Brand: HONOR_x000D_
Device: HWSTF_x000D_
Model: STF L09_x000D_
Id: HUAWEISTF L09_x000D_
Product: STF L09_x000D_
_x000D_
     FIRMWARE     _x000D_
SDK: 28_x000D_
Release: 9_x000D_
Incremental: 210C432_x000D_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9_x000D_
_x000D_
Device model:  HONOR STF L09_x000D_
_x000D_
Stock or customized system: _x000D_
_x000D_
Nextcloud app version: 3 11 1_x000D_
_x000D_
Nextcloud server version: 18 0 4_x000D_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</si>
  <si>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material-components-material-components-android-1338</t>
  </si>
  <si>
    <t>[MaterialCalendarGridView] NullPointerException in onDraw</t>
  </si>
  <si>
    <t xml:space="preserve">  Description:   MaterialDatePicker crashes when using  setSelection  and  MaterialCalendar  as  materialCalendarFullscreenTheme   The crash happens when swiping to the left after the dialog shows up _x000D_
_x000D_
  Source code:   _x000D_
   _x000D_
 item name  materialCalendarFullscreenTheme   style ThemeOverlay MaterialComponents MaterialCalendar  item _x000D_
   _x000D_
_x000D_
   _x000D_
MaterialDatePicker Builder dateRangePicker()_x000D_
     setSelection(new Pair(1485129600000l  1590537600000l))_x000D_
     build()_x000D_
     show(getSupportFragmentManager()       ) _x000D_
   _x000D_
_x000D_
  Expected behavior:   no crash_x000D_
_x000D_
  Android API version:   29_x000D_
_x000D_
  Material Library version:   1 2 0 alpha06_x000D_
_x000D_
  Device:   Device on which the bug was encountered here_x000D_
Galaxy A10_x000D_
Pixel 2_x000D_
P10 lite_x000D_
OnePlus 7 Pro_x000D_
_x000D_
   _x000D_
 java lang NullPointerException: Attempt to invoke virtual method  int android view View getRight()  on a null object reference_x000D_
        at com google android material datepicker MaterialCalendarGridView onDraw(MaterialCalendarGridView java:158)_x000D_
        at android view View draw(View java:21609)_x000D_
        at android widget AbsListView draw(AbsListView java:4514)_x000D_
        at android view View updateDisplayListIfDirty(View java:20471)_x000D_
        at android view View draw(View java:21336)_x000D_
        at android view ViewGroup drawChild(ViewGroup java:4413)_x000D_
        at android view ViewGroup dispatchDraw(ViewGroup java:4174)_x000D_
        at android view View updateDisplayListIfDirty(View java:20462)_x000D_
        at android view View draw(View java:21336)_x000D_
        at android view ViewGroup drawChild(ViewGroup java:4413)_x000D_
        at androidx recyclerview widget RecyclerView drawChild(RecyclerView java:5030)_x000D_
        at android view ViewGroup dispatchDraw(ViewGroup java:4174)_x000D_
        at android view View draw(View java:21612)_x000D_
        at androidx recyclerview widget RecyclerView draw(RecyclerView java:4429)_x000D_
        at android view View updateDisplayListIfDirty(View java:20471)_x000D_
        at android view ViewGroup recreateChildDisplayList(ViewGroup java:4397)_x000D_
        at android view ViewGroup dispatchGetDisplayList(ViewGroup java:4370)_x000D_
        at android view View updateDisplayListIfDirty(View java:20431)_x000D_
        at android view ViewGroup recreateChildDisplayList(ViewGroup java:4397)_x000D_
        at android view ViewGroup dispatchGetDisplayList(ViewGroup java:4370)_x000D_
        at android view View updateDisplayListIfDirty(View java:20431)_x000D_
        at android view View draw(View java:21336)_x000D_
        at android view ViewGroup drawChild(ViewGroup java:4413)_x000D_
        at android view ViewGroup dispatchDraw(ViewGroup java:4174)_x000D_
        at android view View updateDisplayListIfDirty(View java:20462)_x000D_
        at android view View draw(View java:21336)_x000D_
        at android view ViewGroup drawChild(ViewGroup java:4413)_x000D_
        at android view ViewGroup dispatchDraw(ViewGroup java:4174)_x000D_
        at android view View updateDisplayListIfDirty(View java:20462)_x000D_
        at android view View draw(View java:21336)_x000D_
        at android view ViewGroup drawChild(ViewGroup java:4413)_x000D_
        at android view ViewGroup dispatchDraw(ViewGroup java:4174)_x000D_
        at android view View updateDisplayListIfDirty(View java:20462)_x000D_
        at android view View draw(View java:21336)_x000D_
        at android view ViewGroup drawChild(ViewGroup java:4413)_x000D_
        at android view ViewGroup dispatchDraw(ViewGroup java:4174)_x000D_
        at android view View updateDisplayListIfDirty(View java:20462)_x000D_
        at android view View draw(View java:21336)_x000D_
        at android view ViewGroup drawChild(ViewGroup java:4413)_x000D_
        at android view ViewGroup dispatchDraw(ViewGroup java:4174)_x000D_
        at android view View updateDisplayListIfDirty(View java:20462)_x000D_
        at android view View draw(View java:21336)_x000D_
        at android view ViewGroup drawChild(ViewGroup java:4413)_x000D_
        at android view ViewGroup dispatchDraw(ViewGroup java:4174)_x000D_
        at android view View updateDisplayListIfDirty(View java:20462)_x000D_
        at android view View draw(View java:21336)_x000D_
        at android view ViewGroup drawChild(ViewGroup java:4413)_x000D_
        at android view ViewGroup dispatchDraw(ViewGroup java:4174)_x000D_
        at android view View draw(View java:21612)_x000D_
        at com android internal policy DecorView draw(DecorView java:815)_x000D_
        at android view View updateDisplayListIfDirty(View java:20471)_x000D_
        at android view ThreadedRenderer updateViewTreeDisplayList(ThreadedRenderer java:580)_x000D_
        at android view ThreadedRenderer updateRootDisplayList(ThreadedRenderer java:586)_x000D_
        at android view ThreadedRenderer draw(ThreadedRenderer java:659)_x000D_
        at android view ViewRootImpl draw(ViewRootImpl java:3876)_x000D_
        at android view ViewRootImpl performDraw(ViewRootImpl java:3676)_x000D_
        at android view ViewRootImpl performTraversals(ViewRootImpl java:2998)_x000D_
        at android view ViewRootImpl doTraversal(ViewRootImpl java:1935)_x000D_
        at android view ViewRootImpl TraversalRunnable run(ViewRootImpl java:8023)_x000D_
        at android view Choreographer CallbackRecord run(Choreographer java:1163)_x000D_
        at android view Choreographer doCallbacks(Choreographer java:986)_x000D_
        at android view Choreographer doFrame(Choreographer java:902)   _x000D_
</t>
  </si>
  <si>
    <t>aws-amplify-amplify-android-541</t>
  </si>
  <si>
    <t>DataStore crashes app when device loses network connection</t>
  </si>
  <si>
    <t xml:space="preserve">While running an application that uses the DataStore (with cloud synchronization  enabled )  I see the DataStore initialize successfully  and begin to process subscription data:_x000D_
   _x000D_
I amplify:aws datastore: Starting processing subscription data buffer _x000D_
   _x000D_
At this point  my device is connected to the Internet _x000D_
_x000D_
When I place the device into Airplane Mode  however  the application  crashes   with the exception below _x000D_
_x000D_
Instead  I would expect the DataStore to operate in an  offline  mode  where in mutations are queued into the  PersistentMutationOutbox   to be dispatched later  When the device regains its connectivity  within a reasonable amount of time (a minute ) the Sync Engine should re form the subscriptions  and start draining the mutation outbox _x000D_
_x000D_
  Amplify Android Core  API  DataStore   1 0 0   _x000D_
_x000D_
_x000D_
   _x000D_
E AndroidRuntime: FATAL EXCEPTION: OkHttp https:  REDACTED appsync realtime api us east 1 amazonaws com    _x000D_
    Process: com amplifyframework datastore sample  PID: 27020_x000D_
    io reactivex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AmplifyException  message Error during subscription   cause AmplifyException  message Subscription completion not acknowledged   cause null  recoverySuggestion Sorry  we don t have a suggested fix for this error yet    recoverySuggestion Evaluate details  _x000D_
        at io reactivex plugins RxJavaPlugins onError(RxJavaPlugins java:367)_x000D_
        at io reactivex internal operators observable ObservableCreate CreateEmitter onError(ObservableCreate java:73)_x000D_
        at com amplifyframework datastore syncengine    Lambda e4FRR6iHUV0ToSpRUkOM1VPObso accept(Unknown Source:4)_x000D_
        at com amplifyframework datastore appsync AppSyncClient lambda subscription 3(AppSyncClient java:1)_x000D_
        at com amplifyframework datastore appsync    Lambda AppSyncClient 8gXTT9bgLZGP51blif6hkh7EwIc accept(Unknown Source:4)_x000D_
        at com amplifyframework api aws SubscriptionEndpoint Subscription awaitSubscriptionCompleted(SubscriptionEndpoint java:3)_x000D_
        at com amplifyframework api aws SubscriptionEndpoint releaseSubscription(SubscriptionEndpoint java:26)_x000D_
        at com amplifyframework api aws SubscriptionOperation cancel(SubscriptionOperation java:3)_x000D_
        at com amplifyframework datastore AmplifyDisposables 1 dispose(AmplifyDisposables java:3)_x000D_
        at io reactivex internal disposables DisposableHelper dispose(DisposableHelper java:124)_x000D_
        at io reactivex internal operators observable ObservableCreate CreateEmitter dispose(ObservableCreate java:121)_x000D_
        at io reactivex internal operators observable ObservableCreate CreateEmitter tryOnError(ObservableCreate java:86)_x000D_
        at io reactivex internal operators observable ObservableCreate CreateEmitter onError(ObservableCreate java:72)_x000D_
        at com amplifyframework datastore syncengine    Lambda e4FRR6iHUV0ToSpRUkOM1VPObso accept(Unknown Source:4)_x000D_
        at com amplifyframework datastore appsync AppSyncClient lambda subscription 3(AppSyncClient java:1)_x000D_
        at com amplifyframework datastore appsync    Lambda AppSyncClient 8gXTT9bgLZGP51blif6hkh7EwIc accept(Unknown Source:4)_x000D_
        at com amplifyframework api aws SubscriptionEndpoint Subscription dispatchError(SubscriptionEndpoint java:1)_x000D_
        at com amplifyframework api aws SubscriptionEndpoint notifyError(SubscriptionEndpoint java:2)_x000D_
        at com amplifyframework api aws SubscriptionEndpoint access 200(SubscriptionEndpoint java:1)_x000D_
        at com amplifyframework api aws SubscriptionEndpoint 1 onFailure(SubscriptionEndpoint java:1)_x000D_
        at okhttp3 internal ws RealWebSocket failWebSocket(RealWebSocket kt:592)_x000D_
        at okhttp3 internal ws RealWebSocket connect 1 onResponse(RealWebSocket kt:197)_x000D_
        at okhttp3 internal connection RealCall AsyncCall run(RealCall kt:504)_x000D_
        at java util concurrent ThreadPoolExecutor runWorker(ThreadPoolExecutor java:1167)_x000D_
        at java util concurrent ThreadPoolExecutor Worker run(ThreadPoolExecutor java:641)_x000D_
        at java lang Thread run(Thread java:764)_x000D_
     Caused by: AmplifyException  message Error during subscription   cause AmplifyException  message Subscription completion not acknowledged   cause null  recoverySuggestion Sorry  we don t have a suggested fix for this error yet    recoverySuggestion Evaluate details  _x000D_
        at com amplifyframework datastore appsync AppSyncClient lambda subscription 3(AppSyncClient java:1) _x000D_
        at com amplifyframework datastore appsync    Lambda AppSyncClient 8gXTT9bgLZGP51blif6hkh7EwIc accept(Unknown Source:4) _x000D_
        at com amplifyframework api aws SubscriptionEndpoint Subscription awaitSubscriptionCompleted(SubscriptionEndpoint java:3) _x000D_
        at com amplifyframework api aws SubscriptionEndpoint releaseSubscription(SubscriptionEndpoint java:26) _x000D_
        at com amplifyframework api aws SubscriptionOperation cancel(SubscriptionOperation java:3) _x000D_
        at com amplifyframework datastore AmplifyDisposables 1 dispose(AmplifyDisposables java:3) _x000D_
        at io reactivex internal disposables DisposableHelper dispose(DisposableHelper java:124) _x000D_
        at io reactivex internal operators observable ObservableCreate CreateEmitter dispose(ObservableCreate java:121) _x000D_
        at io reactivex internal operators observable ObservableCreate CreateEmitter tryOnError(ObservableCreate java:86) _x000D_
        at io reactivex internal operators observable ObservableCreate CreateEmitter onError(ObservableCreate java:72) _x000D_
        at com amplifyframework datastore syncengine    Lambda e4FRR6iHUV0ToSpRUkOM1VPObso accept(Unknown Source:4) _x000D_
        at com amplifyframework datastore appsync AppSyncClient lambda subscription 3(AppSyncClient java:1) _x000D_
        at com amplifyframework datastore appsync    Lambda AppSyncClient 8gXTT9bgLZGP51blif6hkh7EwIc accept(Unknown Source:4) _x000D_
        at com amplifyframework api aws SubscriptionEndpoint Subscription dispatchError(SubscriptionEndpoint java:1) _x000D_
        at com amplifyframework api aws SubscriptionEndpoint notifyError(SubscriptionEndpoint java:2) _x000D_
        at com amplifyframework api aws SubscriptionEndpoint access 200(SubscriptionEndpoint java:1) _x000D_
        at com amplifyframework api aws SubscriptionEndpoint 1 onFailure(SubscriptionEndpoint java:1) _x000D_
        at okhttp3 internal ws RealWebSocket failWebSocket(RealWebSocket kt:592) _x000D_
        at okhttp3 internal ws RealWebSocket connect 1 onResponse(RealWebSocket kt:197) _x000D_
        at okhttp3 internal connection RealCall AsyncCall run(RealCall kt:504) _x000D_
        at java util concurrent ThreadPoolExecutor runWorker(ThreadPoolExecutor java:1167) _x000D_
        at java util concurrent ThreadPoolExecutor Worker run(ThreadPoolExecutor java:641) _x000D_
        at java lang Thread run(Thread java:764) _x000D_
     Caused by: AmplifyException  message Subscription completion not acknowledged   cause null  recoverySuggestion Sorry  we don t have a suggested fix for this error yet  _x000D_
        at com amplifyframework api aws SubscriptionEndpoint Subscription awaitSubscriptionCompleted(SubscriptionEndpoint java:2)_x000D_
        at com amplifyframework api aws SubscriptionEndpoint releaseSubscription(SubscriptionEndpoint java:26) _x000D_
        at com amplifyframework api aws SubscriptionOperation cancel(SubscriptionOperation java:3) _x000D_
        at com amplifyframework datastore AmplifyDisposables 1 dispose(AmplifyDisposables java:3) _x000D_
        at io reactivex internal disposables DisposableHelper dispose(DisposableHelper java:124) _x000D_
        at io reactivex internal operators observable ObservableCreate CreateEmitter dispose(ObservableCreate java:121) _x000D_
        at io reactivex internal operators observable ObservableCreate CreateEmitter tryOnError(ObservableCreate java:86) _x000D_
        at io reactivex internal operators observable ObservableCreate CreateEmitter onError(ObservableCreate java:72) _x000D_
        at com amplifyframework datastore syncengine    Lambda e4FRR6iHUV0ToSpRUkOM1VPObso accept(Unknown Source:4) _x000D_
        at com amplifyframework datastore appsync AppSyncClient lambda subscription 3(AppSyncClient java:1) _x000D_
        at com amplifyframework datastore appsync    Lambda AppSyncClient 8gXTT9bgLZGP51blif6hkh7EwIc accept(Unknown Source:4) _x000D_
        at com amplifyframework api aws SubscriptionEndpoint Subscription dispatchError(SubscriptionEndpoint java:1) _x000D_
        at com amplifyframework api aws SubscriptionEndpoint notifyError(SubscriptionEndpoint java:2) _x000D_
        at com amplifyframework api aws SubscriptionEndpoint access 200(SubscriptionEndpoint java:1) _x000D_
        at com amplifyframework api aws SubscriptionEndpoint 1 onFailure(SubscriptionEndpoint java:1) _x000D_
        at okhttp3 internal ws RealWebSocket failWebSocket(RealWebSocket kt:592) _x000D_
        at okhttp3 internal ws RealWebSocket connect 1 onResponse(RealWebSocket kt:197) _x000D_
        at okhttp3 internal connection RealCall AsyncCall run(RealCall kt:504) _x000D_
        at java util concurrent ThreadPoolExecutor runWorker(ThreadPoolExecutor java:1167) _x000D_
        at java util concurrent ThreadPoolExecutor Worker run(ThreadPoolExecutor java:641) _x000D_
        at java lang Thread run(Thread java:764) _x000D_
   </t>
  </si>
  <si>
    <t>Blankj-AndroidUtilCode-1250</t>
  </si>
  <si>
    <t>[BUG] 1.29.x 汇总</t>
  </si>
  <si>
    <t xml:space="preserve">      _x000D_
       27   28       BUG                1 29 x _x000D_
       1 29 0_x000D_
  1 29 0       : https:  github com Blankj AndroidUtilCode releases tag 1 29 0_x000D_
_x000D_
  BUG     _x000D_
_x000D_
               BUG  _x000D_
_x000D_
 pre _x000D_
      Bug_x000D_
_x000D_
       Bug _x000D_
  AndroidUtilCode        utilcode:1 28 0   utilcodex:1 28 0_x000D_
     Bug           Nexus 5X_x000D_
      Android       API 27_x000D_
_x000D_
       _x000D_
_x000D_
   _x000D_
put your code here_x000D_
   _x000D_
_x000D_
       _x000D_
_x000D_
   _x000D_
put the stack of crash here_x000D_
   _x000D_
_x000D_
     _x000D_
_x000D_
                    _x000D_
  pre </t>
  </si>
  <si>
    <t>TeamNewPipe-NewPipe-3656</t>
  </si>
  <si>
    <t>Could not get any stream</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</si>
  <si>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_x000D_
    Steps to reproduce the bug_x000D_
    _x000D_
1  Search for this video and open it: https:  www youtube com watch v KXmdE8FMiq0_x000D_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Open the page of the video _x000D_
_x000D_
    Actual behaviour_x000D_
     Tell us what happens instead     _x000D_
Error  see logs section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_x000D_
  user action : requested stream   request : _x000D_
https:  www youtube com watch v KXmdE8FMiq0   content language : it IT   service : YouTube   package : org schabi newpipe   version : 0 19 3   os : Linux_x000D_
Android 5 1 1   22   time : 2020 05 27_x000D_
17:54   exceptions :  org schabi newpipe extractor stream StreamInfo StreamExtractException:_x000D_
Could not get any stream  See error variable to get further details  n tat_x000D_
org schabi newpipe extractor stream StreamInfo extractStreams(StreamInfo java:192) n tat_x000D_
org schabi newpipe extractor stream StreamInfo getInfo(StreamInfo java:70) n tat_x000D_
org schabi newpipe extractor stream StreamInfo getInfo(StreamInfo java:62) n tat_x000D_
org schabi newpipe util ExtractorHelper lambda getStreamInfo 3(ExtractorHelper java:116) n tat_x000D_
org schabi newpipe util    Lambda ExtractorHelper 5fJcha6Sq5APJBLdG6osaJby mc call(lambda) n tat_x000D_
io reactivex internal operators single SingleFromCallable subscribeActual(SingleFromCallable java:44) n tat_x000D_
io reactivex Single subscribe(Single java:3438) n tat_x000D_
io reactivex internal operators single SingleDoOnSuccess subscribeActual(SingleDoOnSuccess java:35) n tat_x000D_
io reactivex Single subscribe(Single java:3438) n tat_x000D_
io reactivex internal operators maybe MaybeFromSingle subscribeActual(MaybeFromSingle java:41) n tat_x000D_
io reactivex Maybe subscribe(Maybe java:4154) n tat_x000D_
io reactivex internal operators maybe MaybeConcatArray ConcatMaybeObserver drain(MaybeConcatArray java:153) n tat_x000D_
io reactivex internal operators maybe MaybeConcatArray ConcatMaybeObserver request(MaybeConcatArray java:78) n tat_x000D_
io reactivex internal operators flowable FlowableElementAtMaybe ElementAtSubscriber onSubscribe(FlowableElementAtMaybe java:66) n tat_x000D_
io reactivex internal operators maybe MaybeConcatArray subscribeActual(MaybeConcatArray java:42) n tat_x000D_
io reactivex Flowable subscribe(Flowable java:14479) n tat_x000D_
io reactivex internal operators flowable FlowableElementAtMaybe subscribeActual(FlowableElementAtMaybe java:36) n tat_x000D_
io reactivex Maybe subscribe(Maybe java:4154) n tat_x000D_
io reactivex internal operators maybe MaybeToSingle subscribeActual(MaybeToSingle java:46) n tat_x000D_
io reactivex Single subscribe(Single java:3438) n tat_x000D_
io reactivex internal operators single SingleSubscribeOn SubscribeOnObserver run(SingleSubscribeOn java:89) n tat_x000D_
io reactivex Scheduler DisposeTask run(Scheduler java:578) n tat_x000D_
io reactivex internal schedulers ScheduledRunnable run(ScheduledRunnable java:66) n tat_x000D_
io reactivex internal schedulers ScheduledRunnable call(ScheduledRunnable java:57) n tat_x000D_
java util concurrent FutureTask run(FutureTask java:237) n tat_x000D_
java util concurrent ScheduledThreadPoolExecutor ScheduledFutureTask access 201(ScheduledThreadPoolExecutor java:152) n tat_x000D_
java util concurrent ScheduledThreadPoolExecutor ScheduledFutureTask run(ScheduledThreadPoolExecutor java:265) n tat_x000D_
java util concurrent ThreadPoolExecutor runWorker(ThreadPoolExecutor java:1112) n tat_x000D_
java util concurrent ThreadPoolExecutor Worker run(ThreadPoolExecutor java:587) n tat_x000D_
java lang Thread run(Thread java:818) n    user comment :   _x000D_
   _x000D_
_x000D_
     That s right  here     _x000D_
</t>
  </si>
  <si>
    <t>react-native-share-react-native-share-789</t>
  </si>
  <si>
    <t>Example app crashes in iOS with react-native0.62.2</t>
  </si>
  <si>
    <t xml:space="preserve">    Steps to reproduce_x000D_
1   npx react native init example _x000D_
2   cd example _x000D_
3   npx pod install _x000D_
4  copy  App js   images      components    from  react native share example  _x000D_
5  run app in ios simulator_x000D_
6  all buttons crashes the app_x000D_
_x000D_
    Expected behaviour_x000D_
share menu comes in _x000D_
_x000D_
    Actual behaviour_x000D_
the app crashes without any messages _x000D_
_x000D_
    Environment_x000D_
    React Native version  :0 62 2_x000D_
    React Native platform   platform version  : iPhone11  iOS 13 4 1_x000D_
_x000D_
    react native share_x000D_
  Version  : 3 3 2_x000D_
_x000D_
    Link to repo (highly encouraged)_x000D_
https:  github com Kta M react native share example app</t>
  </si>
  <si>
    <t>k9mail-k-9-4790</t>
  </si>
  <si>
    <t>Crash when attachment file is changed while TC document picker dialog is open</t>
  </si>
  <si>
    <t xml:space="preserve">    Expected behavior_x000D_
error message  File not found _x000D_
or_x000D_
Folder rescan when switching back to file picker (TC issue)_x000D_
_x000D_
    Actual behavior_x000D_
short glimpse of mail editor with attached file  then app crash_x000D_
_x000D_
    Steps to reproduce_x000D_
1  Compose mail_x000D_
2  open file attachment dialog_x000D_
3  select  Total Commander _x000D_
5  navigate to folder X_x000D_
6  Switch to some file browser and rename file Y in folder X_x000D_
7  Switch back to K 9  select file Y (under old filename)  attach_x000D_
_x000D_
  with  TotalCmd (file:  url)    nothing is attached_x000D_
  same with Picasa _x000D_
  stock album or  Simple Gallery  manage to attach the image anyway  but under a generic number_x000D_
_x000D_
    Environment_x000D_
K 9 Mail version:_x000D_
5 6_x000D_
Android version:_x000D_
7 1 1_x000D_
_x000D_
Account type (IMAP  POP3  WebDAV Exchange):_x000D_
IMAP_x000D_
_x000D_
Please take some time to  retrieve logs (https:  github com k9mail k 9 wiki LoggingErrors) and attach them here:_x000D_
 k9 log txt (https:  github com k9mail k 9 files 4688569 k9 log txt)_x000D_
</t>
  </si>
  <si>
    <t>stephanenicolas-toothpick-408</t>
  </si>
  <si>
    <t>@Qualifier annotations and proguard rules</t>
  </si>
  <si>
    <t xml:space="preserve">Hi  I noticed that proguard rules at  TP wiki (https:  github com stephanenicolas toothpick wiki Proguard   TP) don t cover situations when we use injections with qualifiers  _x000D_
_x000D_
For example  I have _x000D_
   _x000D_
 Qualifier_x000D_
annotation class MyQualifier_x000D_
   _x000D_
And class with such constructor_x000D_
   _x000D_
class Foo  Inject constructor( MyQualifier bar: String)_x000D_
   _x000D_
_x000D_
Toothpick generates  Foo  Factory  with code that tries to get instance of qualified argument with full classname of  MyQualifier    before   obfuscation  _x000D_
   _x000D_
String param1   scope getInstance(String class   com example MyQualifier ) _x000D_
   _x000D_
_x000D_
But in runtime it will be bound with full classname   after   obfuscation and that causes crash  I tried proguard rules from TP Wiki with R8 to reproduce this case _x000D_
_x000D_
This proguard rule helped me to avoid crash:_x000D_
   _x000D_
 keep  javax inject Qualifier  interface  _x000D_
   _x000D_
_x000D_
Should it be added to wiki or am I missing something </t>
  </si>
  <si>
    <t>k9mail-k-9-4789</t>
  </si>
  <si>
    <t>Crashed when deleting multiple emails from unified inbox</t>
  </si>
  <si>
    <t xml:space="preserve">    Expected behavior_x000D_
When deleting multiple selected mails in the unified inbox  the app should not crashed _x000D_
_x000D_
    Actual behavior_x000D_
When selecting multiple emails (no matter all selected emails are from the same account or not) in the unified inbox and click the delete button  the app almost always crashed with an IllegalStateException_x000D_
 java lang IllegalStateException: Couldn t read row 1008  col 5 from Cursor Window  Make sure the Cursor is initialized correctly before accessing data from it   _x000D_
_x000D_
    Steps to reproduce_x000D_
1  Go to unified inbox_x000D_
2  Select multiple emails_x000D_
3  Click delete button_x000D_
_x000D_
    Environment_x000D_
K 9 Mail version: 5 715_x000D_
_x000D_
Android version: 10_x000D_
_x000D_
Account type (IMAP  POP3  WebDAV Exchange): mixed imap and pop3_x000D_
_x000D_
Full Stacktrace:_x000D_
_x000D_
   _x000D_
java lang IllegalStateException: Couldn t read row 1008  col 5 from Cursor Window  _x000D_
Make sure the Cursor is initialized correctly before accessing data from it  _x000D_
_x000D_
at android database CursorWindow nativeGetString(NativeMethod)_x000D_
at androiddatabase CursorWindow getString(CursorWindow java:469)_x000D_
at android database AbstractWindowedCursor getString(AbstractWindowedCursor java:53)_x000D_
at android database CursorWrapper getString(CursorWrapper java:141)_x000D_
at android database CursorWrapper getString(CursorWrapper java:141)_x000D_
at com fsck k9 provider EmailProvider SpecialColumnsCursor getString(EmailProvider java:709)_x000D_
at android database CursorWrapper getString(CursorWrapperer java:141)_x000D_
at android database CursorWrapper getString(CursorWrapper java:141)_x000D_
at com fsck k9 helper MergeCursor getString(MergeCursor java:205)_x000D_
at com fsck kg ui messagelist MessageListExtractor extractMessageListItem(MessageListExtractor kt:27)_x000D_
at com fsck k9 ui messagelist MessageListExtractor accessSextractMessageListItem(MessageListExtractor kt:11)_x000D_
at com fsck k9 ui messagelist MessagelListExtractor extractMessageList 1 invoke(MessageListExtractor kt:16)_x000D_
at com fsck k9 ui messagelist MessagelListExtractor extractMessageList 1 invoke(MessageListExtractor kt:11)_x000D_
at com fsck k9 helper CursorExtensionskt map(Cursorsions kt:8)_x000D_
at com fsck k9 ui messagelist MessagelListExtractor extractMessageList(MessageListExtractor kt:16)_x000D_
at com fsck k9 ui messagelist MessageListLoader getMessageageList(MessageListLoader kt:54)_x000D_
at com fsck k9 ui messagelist MessageListLiveData loadMessageListAsync 1 1 invokeSuspend(MessageListLiveData kt:33)_x000D_
at kotlin coroutines jvm internal BaseContinuationImpl resumeWith(ContinuationImpl kt:33)_x000D_
at kotlinx coroutines DispatchedTask run(DispatchedTask kt:56)_x000D_
at kotlinx coroutines scheduling CoroutineScheduler runSely(CoroutineScheduler kt:571)_x000D_
at kotlinx coroutines scheduling CoroutineScheduler Worker executeTask(CoroutineSscheduler kt:738)_x000D_
at kotlinx coroutines scheduling CoroutineScheduler Worker runWorker(CoroutineScheduler kt:678)_x000D_
at kotlinx coroutines scheduling CoroutineScheduler Worker run(CoroutineScheduler kt:665)_x000D_
_x000D_
   _x000D_
_x000D_
</t>
  </si>
  <si>
    <t>square-okhttp-6092</t>
  </si>
  <si>
    <t>IllegalStateException When Building with -repackageclasses</t>
  </si>
  <si>
    <t xml:space="preserve">OkHttp version: 4 7 2_x000D_
_x000D_
I m getting a crash when running my app built with the   repackageclasses     proguard rule _x000D_
Traced the issue down to using  package name   here (https:  github com square okhttp blob master okhttp src main kotlin okhttp3 internal platform android AndroidLog kt L57)_x000D_
_x000D_
   _x000D_
Caused by: java lang IllegalStateException: OkHttpClient::class java  package  must not be null_x000D_
  at sW1  clinit (AndroidLog kt:3)_x000D_
  at pW1  clinit (Platform kt:2) _x000D_
  at WT1  init (OkHttpClient kt:73) _x000D_
   </t>
  </si>
  <si>
    <t>opensrp-opensrp-client-reveal-755</t>
  </si>
  <si>
    <t>RVL - 1022 - Adding a photo of the checlikst on the IRS Field Officer Form crashes the app</t>
  </si>
  <si>
    <t xml:space="preserve">Login to the app_x000D_
Go to the other form section on the hamburger menu_x000D_
Click on one of the form eg IRS Field Officer _x000D_
Click on the edit form and scroll to the section that says:  Add a photo of today s checklist _x000D_
Observe how clicking that section crashes the app  either by closing that section and returning to the map page  Or How it crashes the app and closes it immediately_x000D_
  Screenshot 20200526 155838 org smartregister reveal (https:  user images githubusercontent com 61143692 82903666 f04a3900 9f69 11ea 895e 115c1a98923a jpg)_x000D_
_x000D_
</t>
  </si>
  <si>
    <t>amit-schwartz-u-rooMe-124</t>
  </si>
  <si>
    <t>feedback for open-source calss</t>
  </si>
  <si>
    <t>hey _x000D_
The app looks great but on my samsung  A7 device it crashes after one swipe _x000D_
I undertstand it doesn t happen on every device  so maybe the problem is with my device _x000D_
_x000D_
Good luck  :)</t>
  </si>
  <si>
    <t>amit-schwartz-u-rooMe-123</t>
  </si>
  <si>
    <t>great app!</t>
  </si>
  <si>
    <t xml:space="preserve">Loved the app and total design  although i had 2 issues:_x000D_
1  google sign in didn t work for me_x000D_
2  the app crashed when i used the pixel 2 emulator  i think it has something to do with the background settings  as i had a similar issue once  i can figure it out for you if you like me to </t>
  </si>
  <si>
    <t>material-components-material-components-android-1331</t>
  </si>
  <si>
    <t>[ShapeableImageView] NullPointerException when setting nullable annotated strokeColor to null</t>
  </si>
  <si>
    <t xml:space="preserve">  Description:  _x000D_
If you call  setStrokeColor(null)   whenever the  onDraw  method of the  ShapeableImageView  is called  it will crash the entire app with a  NullPointerException  _x000D_
_x000D_
   Side note  : Kotlin would not let this compile at all if MDC Android was using it  _x000D_
_x000D_
  Expected behavior:  _x000D_
Have the  strokeColor  private field be   Nullable  annotated  assign it to locals and null check it before use _x000D_
_x000D_
Here s the line where the NPE strikes:_x000D_
https:  github com material components material components android blob 1a6ebc0c56e3ed553a64f9f06a9d2fb6b4ec7da3 lib java com google android material imageview ShapeableImageView java L151_x000D_
_x000D_
  Material Library version:   1 2 0 alpha06</t>
  </si>
  <si>
    <t>canyie-pine-1</t>
  </si>
  <si>
    <t>Hook Toast crash when calling backup on Huawei Honor DUK-AL20 device</t>
  </si>
  <si>
    <t xml:space="preserve">   _x000D_
Rooted:  Yes _x000D_
API level:  24 _x000D_
OS version:  7 0 _x000D_
Kernel version:  Linux version 4 1 18 gebc47dc  1 SMP PREEMPT Wed Nov 15 05:49:58 CST 2017 (aarch64) _x000D_
ABI list:  arm64 v8a armeabi v7a armeabi _x000D_
Manufacturer:  HUAWEI _x000D_
Brand:  HONOR _x000D_
Model:  DUK AL20 _x000D_
Build fingerprint:  HONOR DUK AL20 HWDUK:7 0 HUAWEIDUK AL20 C00B208:user release keys _x000D_
ABI:  arm64 _x000D_
pid: 14377  tid: 14377  name: e pine examples      top canyie pine examples    _x000D_
signal 4 (SIGILL)  code 1 (ILL ILLOPC)  fault addr 0x77e1a9509c ( pc 0xe1a95000)_x000D_
    x0  0000000070d49f40  x1  0000000012ea93d0  x2  0000000012c637e8  x3  0000000012dacca0_x000D_
    x4  0000000012cb1640  x5  000000000000000b  x6  00000000020600db  x7  0000000000000000_x000D_
    x8  0000000000000000  x9  0000000012cb1640  x10 0000000070582318  x11 000000000000000f_x000D_
    x12 0000000000003000  x13 000000000000000c  x14 00000077e8ecfdd0  x15 0000000000000000_x000D_
    x16 0000000000024468  x17 0000000070cebec0  x18 00000077e9415038  x19 00000077e9ea1a00_x000D_
    x20 0000000070d49fe8  x21 0000000012cb1640  x22 0000000012ea93d0  x23 0000000012c637e8_x000D_
    x24 0000000012dacca0  x25 0000000000000000  x26 0000000012e50e40  x27 0000000012e7d358_x000D_
    x28 000000000000000b  x29 0000000012c637e8_x000D_
    sp  0000007fc3e19a30  lr  00000077c1e98624  pc  00000077e1a9509c_x000D_
_x000D_
backtrace:_x000D_
     00 pc 000000000000009c   anon:pine codes _x000D_
   _x000D_
    log _x000D_
   _x000D_
D Pine    : InstallInlineTrampoline: target code addr 0x77e8ed8fe0 backup 0x77e1a95000 bridge jump 0x77e1a95030_x000D_
I Pine    : handleBridge: artMethod 0x70cebec0 extras 0x77ad2b9040 sp 0x7fc3e1dbe0_x000D_
D Pine    : handleCall: target public static android widget Toast android widget Toast makeText(android content Context java lang CharSequence int) thisObject null args  top canyie pine examples ExampleApp 4b98d33  ToastHookTest failed  0 _x000D_
I PineExample: Before android widget Toast makeText() with thisObject null and args  top canyie pine examples ExampleApp 4b98d33  ToastHookTest failed  0 _x000D_
_x000D_
    crash    _x000D_
   _x000D_
Backup  dump   _x000D_
   armasm_x000D_
E0 00 00 58    ldr x0  0x77e1a9501c (origin method addr)_x000D_
FF 83 03 D1    origin code_x000D_
E0 07 01 6D    origin code_x000D_
E2 0F 02 6D    origin code_x000D_
E4 17 03 6D    origin code_x000D_
91 00 00 58    ldr x17  0x77e1a95024_x000D_
20 02 1F D6    br x17_x000D_
 origin method (8 bytes) _x000D_
 remaining code entry of original code (8 bytes) _x000D_
   _x000D_
        </t>
  </si>
  <si>
    <t>TeamNewPipe-NewPipe-3637</t>
  </si>
  <si>
    <t>Unable to delete items from Playlist in 0.19.2</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</si>
  <si>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2_x000D_
_x000D_
    Steps to reproduce the bug_x000D_
    _x000D_
1  Go to      _x000D_
2  Press on       _x000D_
3  Swipe down to       _x000D_
   _x000D_
_x000D_
create a playlist_x000D_
add items_x000D_
close and reopen app _x000D_
Remove an item by long pressing on the item _x000D_
go back out of Playlist view and back in_x000D_
the item is still in the list_x000D_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it should be removed_x000D_
_x000D_
    Actual behaviour_x000D_
     Tell us what happens instead     _x000D_
it s still there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</si>
  <si>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Rajawali-Rajawali-2179</t>
  </si>
  <si>
    <t>Rendering to texture crashes renderer when backgrounding/returning to app</t>
  </si>
  <si>
    <t xml:space="preserve">     Rajawali Version or Branch_x000D_
This issue has been observed on both the publicly released version of Rajawali   1 1 970 as well as the code on master  Relevant code is in  RenderToTextureFragment java   but I have been able to reproduce when trying to replicate the same type of code elsewhere _x000D_
_x000D_
     Device and Android Version_x000D_
Tested on multiple devices OS versions as well as the Emulator  Observed on all tested environments _x000D_
_x000D_
     Summary_x000D_
Utilizing the code infrastructure as it exists in RenderToTextureFragment java reacts weirdly to the Android lifecycle  You might want to go and read the steps to reproduce now to see how I have reproduced the bug  I ve debugged this fairly extensively and I have some theories about what is going on  but what I can say for sure is that the way the renderer re initializes things after resuming from lifecycle backgrounding returning causes the crash  My running theories of what the cause is:_x000D_
_x000D_
  When you have multiple scenes present in a renderer  they are not getting re initialized correctly  If you comment out line 146 of  RenderToTextureFragment  (the general  render  call)  you do not get the crash  But of course   other things don t run (i e   the animations) either_x000D_
  Something with recreating updating the geometry related to the FBO vbo material  In playing  with various permutations of this code  I got other low level exceptions relating to fbo vbo memory _x000D_
  Perhaps the FBO textures are not cleaned up re set up properly when returning to the app_x000D_
_x000D_
One other thing I was able to see is that generally the app would crash error out when it hit line 1225 of TextureView kt  when it was trying to swap buffers and the eglSurface had changed due to the lifecycle event _x000D_
_x000D_
In general though  having multiple scenes in the renderer is the best way to see the crash  The other post processing examples don t have this crash because in the  onRender()  call they only render the  PostProcessingManager  class instance  and not the  general super onRender()  call_x000D_
_x000D_
     Steps to Reproduce_x000D_
  Open the sample app and go to the  Render To Texture  example_x000D_
  Hit the home button to background the app_x000D_
  Bring the app back to the foreground _x000D_
_x000D_
Resulting behavior: On actual devices (Galaxy S9  for example)  the render surface just blanks out such that nothing is showing at all  On the emulator the app actually crashes and restarts _x000D_
_x000D_
     Trace or Log Output_x000D_
Unfortunately on an actual device there is not a stack trace to see  The best I ve gotten is on the emulator  getting a SIGSEGV which includes  Fatal signal 11 (SIGSEGV)   fault addr 0x20  _x000D_
</t>
  </si>
  <si>
    <t>DantSu-ESCPOS-ThermalPrinter-Android-10</t>
  </si>
  <si>
    <t>Need a few easy steps to connect to printer</t>
  </si>
  <si>
    <t xml:space="preserve">I tried to print sample image  I turn off bluetooth  but it does not request any bluetooth enable request Connecting to printer process is not smooth and sometimes app crash  because of   Attempt to read from null array  _x000D_
 img width  1249  alt  Screenshot 2020 05 22 at 11 41 55 PM  src  https:  user images githubusercontent com 6047310 82693058 cef5fe00 9c86 11ea 9b7b 094672acd82a png  _x000D_
But   https:  github com iYaroslav esc pos android (https:  github com iYaroslav esc pos android) this one is implemented for the easy and simply way to connect to printer  we can forget about connecting process  but it does not support image and QR code printing yet_x000D_
</t>
  </si>
  <si>
    <t>nextcloud-android-6133</t>
  </si>
  <si>
    <t>NC-app crashes when switching to Grid view on local storage</t>
  </si>
  <si>
    <t xml:space="preserve">Sounds very similar to  2527  but without scrolling necessary to cause the crash_x000D_
Deleted cache data  and uninstalled installed the app again as suggested  no luck_x000D_
_x000D_
    Steps to reproduce_x000D_
1  Go to  All Files _x000D_
2  Using 3dot menu top right  switching to Grid view works just fine_x000D_
2  Click the     sign at the bottom right_x000D_
3  Select  Upload Files _x000D_
4  Select a folder which is located on device storage (any local  such as    emulated  storage  0)_x000D_
5  Using 3dot menu top right  switching to Grid view crashes the app_x000D_
_x000D_
    Expected behaviour_x000D_
  Should switch to grid view of items in the folder_x000D_
_x000D_
    Actual behaviour_x000D_
  Application crashes_x000D_
_x000D_
    Can you reproduce this problem on https:  try nextcloud com _x000D_
  Yes  same issue exists with try nextcloud com (demo1)_x000D_
  This issue was reproduced also from two separate android phones  using the same version of NC app_x000D_
_x000D_
    Environment data_x000D_
_x000D_
             CAUSE OF ERROR             _x000D_
_x000D_
java lang NullPointerException: Attempt to invoke virtual method  void android view View setVisibility(int)  on a null object reference_x000D_
at com owncloud android ui adapter LocalFileListAdapter LocalFileListGridImageViewHolder  init (LocalFileListAdapter java:464)_x000D_
at com owncloud android ui adapter LocalFileListAdapter LocalFileListGridImageViewHolder  init (LocalFileListAdapter java:451)_x000D_
at com owncloud android ui adapter LocalFileListAdapter LocalFileListGridItemViewHolder  init (LocalFileListAdapter java:474)_x000D_
at com owncloud android ui adapter LocalFileListAdapter LocalFileListGridItemViewHolder  init (LocalFileListAdapter java:470)_x000D_
at com owncloud android ui adapter LocalFileListAdapter onCreateViewHolder(LocalFileListAdapter java:281)_x000D_
at androidx recyclerview widget RecyclerView Adapter createViewHolder(RecyclerView java:7078)_x000D_
at androidx recyclerview widget RecyclerView Recycler tryGetViewHolderForPositionByDeadline(RecyclerView java:6235)_x000D_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GridLayoutManager layoutChunk(GridLayoutManager java:561)_x000D_
at androidx recyclerview widget LinearLayoutManager fill(LinearLayoutManager java:1587)_x000D_
at androidx recyclerview widget LinearLayoutManager onLayoutChildren(LinearLayoutManager java:665)_x000D_
at androidx recyclerview widget GridLayoutManager onLayoutChildren(GridLayoutManager java:170)_x000D_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java:20831)_x000D_
at android view ViewGroup layout(ViewGroup java:6203)_x000D_
at androidx swiperefreshlayout widget SwipeRefreshLayout onLayout(SwipeRefreshLayout java:625)_x000D_
at android view View layout(View java:20831)_x000D_
at android view ViewGroup layout(ViewGroup java:6203)_x000D_
at androidx coordinatorlayout widget CoordinatorLayout layoutChild(CoordinatorLayout java:1213)_x000D_
at androidx coordinatorlayout widget CoordinatorLayout onLayoutChild(CoordinatorLayout java:899)_x000D_
at androidx coordinatorlayout widget CoordinatorLayout onLayout(CoordinatorLayout java:919)_x000D_
at android view View layout(View java:20831)_x000D_
at android view ViewGroup layout(ViewGroup java:6203)_x000D_
at android widget RelativeLayout onLayout(RelativeLayout java:1083)_x000D_
at android view View layout(View java:20831)_x000D_
at android view ViewGroup layout(ViewGroup java:6203)_x000D_
at android widget LinearLayout setChildFrame(LinearLayout java:1812)_x000D_
at android widget LinearLayout layoutVertical(LinearLayout java:1656)_x000D_
at android widget LinearLayout onLayout(LinearLayout java:1565)_x000D_
at android view View layout(View java:20831)_x000D_
at android view ViewGroup layout(ViewGroup java:6203)_x000D_
at android widget FrameLayout layoutChildren(FrameLayout java:323)_x000D_
at android widget FrameLayout onLayout(FrameLayout java:261)_x000D_
at android view View layout(View java:20831)_x000D_
at android view ViewGroup layout(ViewGroup java:6203)_x000D_
at android widget FrameLayout layoutChildren(FrameLayout java:323)_x000D_
at android widget FrameLayout onLayout(FrameLayout java:261)_x000D_
at android view View layout(View java:20831)_x000D_
at android view ViewGroup layout(ViewGroup java:6203)_x000D_
at android widget FrameLayout layoutChildren(FrameLayout java:323)_x000D_
at android widget FrameLayout onLayout(FrameLayout java:261)_x000D_
at android view View layout(View java:20831)_x000D_
at android view ViewGroup layout(ViewGroup java:6203)_x000D_
at android widget LinearLayout setChildFrame(LinearLayout java:1812)_x000D_
at android widget LinearLayout layoutVertical(LinearLayout java:1656)_x000D_
at android widget LinearLayout onLayout(LinearLayout java:1565)_x000D_
at android view View layout(View java:20831)_x000D_
at android view ViewGroup layout(ViewGroup java:6203)_x000D_
at android widget FrameLayout layoutChildren(FrameLayout java:323)_x000D_
at android widget FrameLayout onLayout(FrameLayout java:261)_x000D_
at com android internal policy DecorView onLayout(DecorView java:754)_x000D_
at android view View layout(View java:20831)_x000D_
at android view ViewGroup layout(ViewGroup java:6203)_x000D_
at android view ViewRootImpl performLayout(ViewRootImpl java:2991)_x000D_
at android view ViewRootImpl performTraversals(ViewRootImpl java:2504)_x000D_
at android view ViewRootImpl doTraversal(ViewRootImpl java:1635)_x000D_
at android view ViewRootImpl TraversalRunnable run(ViewRootImpl java:7788)_x000D_
at android view Choreographer CallbackRecord run(Choreographer java:1004)_x000D_
at android view Choreographer doCallbacks(Choreographer java:816)_x000D_
at android view Choreographer doFrame(Choreographer java:751)_x000D_
at android view Choreographer FrameDisplayEventReceiver run(Choreographer java:990)_x000D_
at android os Handler handleCallback(Handler java:873)_x000D_
at android os Handler dispatchMessage(Handler java:99)_x000D_
at android os Looper loop(Looper java:193)_x000D_
at android app ActivityThread main(ActivityThread java:6898)_x000D_
at java lang reflect Method invoke(Native Method)_x000D_
at com android internal os RuntimeInit MethodAndArgsCaller run(RuntimeInit java:537)_x000D_
at com android internal os ZygoteInit main(ZygoteInit java:858)_x000D_
_x000D_
             APP INFORMATION             _x000D_
ID: com nextcloud client_x000D_
Version: 30110190_x000D_
Build flavor: gplay_x000D_
_x000D_
             DEVICE INFORMATION             _x000D_
Brand: OnePlus_x000D_
Device: OnePlus5T_x000D_
Model: ONEPLUS A5010_x000D_
Id: PKQ1 180716 001_x000D_
Product: OnePlus5T_x000D_
_x000D_
             FIRMWARE             _x000D_
SDK: 28_x000D_
Release: 9_x000D_
Incremental: 2002242012 _x000D_
</t>
  </si>
  <si>
    <t>google-conscrypt-848</t>
  </si>
  <si>
    <t>Exception in Android 4.4 x86 emulator for version 2.4.0</t>
  </si>
  <si>
    <t xml:space="preserve">I m getting an exception when installing the provider on certain emulator versions _x000D_
_x000D_
  Android 4 4 (API 19) with ABI  x86    I get the crash_x000D_
  Android 5 0 (API 21) with ABi  x86 64    It seems to work_x000D_
  Android 5 0 (API 21) with ABI  x86    It seems to work_x000D_
_x000D_
Should also note that in all cases I use the emulator image without Google packages _x000D_
_x000D_
Crash log is as follows:_x000D_
_x000D_
   _x000D_
              beginning of  dev log system_x000D_
05 22 14:15:53 092 1648 2224 system process I ActivityManager: START u0  act android intent action MAIN cat  android intent category LAUNCHER  flg 0x10200000 cmp com nononsenseapps feeder  ui FeedActivity  from pid 2269_x000D_
05 22 14:15:53 142 1182 1212   D gralloc ranchu: gralloc alloc: Creating ashmem region of size 7753728_x000D_
05 22 14:15:53 142 1648 1660 system process I ActivityManager: Start proc com nononsenseapps feeder for activity com nononsenseapps feeder  ui FeedActivity: pid 2684 uid 10052 gids  50052  1028  1015  3003 _x000D_
05 22 14:15:53 162 2684 2684   W dalvikvm: Unable to resolve superclass of Lorg conscrypt TrustManagerImpl  (6636)_x000D_
05 22 14:15:53 162 2684 2684   W dalvikvm: Link of class  Lorg conscrypt TrustManagerImpl   failed_x000D_
05 22 14:15:53 162 2684 2684   I dalvikvm: Could not find method org conscrypt TrustManagerImpl getDefaultHostnameVerifier  referenced from method org conscrypt Conscrypt getDefaultHostnameVerifier_x000D_
05 22 14:15:53 162 2684 2684   W dalvikvm: VFY: unable to resolve static method 63919: Lorg conscrypt TrustManagerImpl  getDefaultHostnameVerifier ()Lorg conscrypt ConscryptHostnameVerifier _x000D_
05 22 14:15:53 162 2684 2684   D dalvikvm: VFY: replacing opcode 0x71 at 0x0003_x000D_
05 22 14:15:53 162 2684 2684   W dalvikvm: Unable to resolve superclass of Lorg conscrypt TrustManagerImpl  (6636)_x000D_
05 22 14:15:53 162 2684 2684   W dalvikvm: Link of class  Lorg conscrypt TrustManagerImpl   failed_x000D_
05 22 14:15:53 162 2684 2684   W dalvikvm: VFY: unable to find class referenced in signature (Lorg conscrypt TrustManagerImpl )_x000D_
05 22 14:15:53 162 2684 2684   W dalvikvm: Unable to resolve superclass of Lorg conscrypt TrustManagerImpl  (6636)_x000D_
05 22 14:15:53 162 2684 2684   W dalvikvm: Link of class  Lorg conscrypt TrustManagerImpl   failed_x000D_
05 22 14:15:53 162 2684 2684   I dalvikvm: Could not find method org conscrypt TrustManagerImpl getHostnameVerifier  referenced from method org conscrypt Conscrypt getHostnameVerifier_x000D_
05 22 14:15:53 162 2684 2684   W dalvikvm: VFY: unable to resolve virtual method 63921: Lorg conscrypt TrustManagerImpl  getHostnameVerifier ()Lorg conscrypt ConscryptHostnameVerifier _x000D_
05 22 14:15:53 162 2684 2684   D dalvikvm: VFY: replacing opcode 0x6e at 0x0004_x000D_
05 22 14:15:53 162 2684 2684   W dalvikvm: Unable to resolve superclass of Lorg conscrypt TrustManagerImpl  (6636)_x000D_
05 22 14:15:53 162 2684 2684   W dalvikvm: Link of class  Lorg conscrypt TrustManagerImpl   failed_x000D_
05 22 14:15:53 162 2684 2684   E dalvikvm: Could not find class  org conscrypt TrustManagerImpl   referenced from method org conscrypt Conscrypt isConscrypt_x000D_
05 22 14:15:53 162 2684 2684   W dalvikvm: VFY: unable to resolve instanceof 8763 (Lorg conscrypt TrustManagerImpl ) in Lorg conscrypt Conscrypt _x000D_
05 22 14:15:53 162 2684 2684   D dalvikvm: VFY: replacing opcode 0x20 at 0x0000_x000D_
05 22 14:15:53 162 2684 2684   W dalvikvm: Unable to resolve superclass of Lorg conscrypt TrustManagerImpl  (6636)_x000D_
05 22 14:15:53 162 2684 2684   W dalvikvm: Link of class  Lorg conscrypt TrustManagerImpl   failed_x000D_
05 22 14:15:53 162 2684 2684   I dalvikvm: Could not find method org conscrypt TrustManagerImpl setDefaultHostnameVerifier  referenced from method org conscrypt Conscrypt setDefaultHostnameVerifier_x000D_
05 22 14:15:53 162 2684 2684   W dalvikvm: VFY: unable to resolve static method 63931: Lorg conscrypt TrustManagerImpl  setDefaultHostnameVerifier (Lorg conscrypt ConscryptHostnameVerifier )V_x000D_
05 22 14:15:53 162 2684 2684   D dalvikvm: VFY: replacing opcode 0x71 at 0x0003_x000D_
05 22 14:15:53 162 2684 2684   W dalvikvm: Unable to resolve superclass of Lorg conscrypt TrustManagerImpl  (6636)_x000D_
05 22 14:15:53 162 2684 2684   W dalvikvm: Link of class  Lorg conscrypt TrustManagerImpl   failed_x000D_
05 22 14:15:53 162 2684 2684   W dalvikvm: VFY: unable to find class referenced in signature (Lorg conscrypt TrustManagerImpl )_x000D_
05 22 14:15:53 162 2684 2684   W dalvikvm: Unable to resolve superclass of Lorg conscrypt TrustManagerImpl  (6636)_x000D_
05 22 14:15:53 162 2684 2684   W dalvikvm: Link of class  Lorg conscrypt TrustManagerImpl   failed_x000D_
05 22 14:15:53 162 2684 2684   I dalvikvm: Could not find method org conscrypt TrustManagerImpl setHostnameVerifier  referenced from method org conscrypt Conscrypt setHostnameVerifier_x000D_
05 22 14:15:53 162 2684 2684   W dalvikvm: VFY: unable to resolve virtual method 63932: Lorg conscrypt TrustManagerImpl  setHostnameVerifier (Lorg conscrypt ConscryptHostnameVerifier )V_x000D_
05 22 14:15:53 162 2684 2684   D dalvikvm: VFY: replacing opcode 0x6e at 0x0004_x000D_
05 22 14:15:53 162 2684 2684   W dalvikvm: Unable to resolve superclass of Lorg conscrypt TrustManagerImpl  (6636)_x000D_
05 22 14:15:53 162 2684 2684   W dalvikvm: Link of class  Lorg conscrypt TrustManagerImpl   failed_x000D_
05 22 14:15:53 162 2684 2684   E dalvikvm: Could not find class  org conscrypt TrustManagerImpl   referenced from method org conscrypt Conscrypt toConscrypt_x000D_
05 22 14:15:53 162 2684 2684   W dalvikvm: VFY: unable to resolve check cast 8763 (Lorg conscrypt TrustManagerImpl ) in Lorg conscrypt Conscrypt _x000D_
05 22 14:15:53 162 2684 2684   D dalvikvm: VFY: replacing opcode 0x1f at 0x0006_x000D_
05 22 14:15:53 162 2269 2269 com android launcher D EGL emulation: eglMakeCurrent: 0xb7a717a0: ver 2 0_x000D_
05 22 14:15:53 172 2684 2684   D dalvikvm: GC FOR ALLOC freed 240K  9  free 3266K 3568K  paused 1ms  total 1ms_x000D_
05 22 14:15:53 182 2684 2684   D dalvikvm: GC FOR ALLOC freed 208K  8  free 3554K 3840K  paused 2ms  total 2ms_x000D_
05 22 14:15:53 182 2684 2684   D dalvikvm: GC FOR ALLOC freed 106K  10  free 3666K 4032K  paused 2ms  total 2ms_x000D_
05 22 14:15:53 182 2684 2684   D dalvikvm: GC FOR ALLOC freed 189K  11  free 3701K 4144K  paused 1ms  total 1ms_x000D_
05 22 14:15:53 182 2684 2684   D dalvikvm: GC FOR ALLOC freed 211K  12  free 3779K 4256K  paused 1ms  total 1ms_x000D_
05 22 14:15:53 192 2684 2684   D dalvikvm: GC FOR ALLOC freed 92K  9  free 3874K 4256K  paused 1ms  total 1ms_x000D_
05 22 14:15:53 192 2269 2269 com android launcher D EGL emulation: eglMakeCurrent: 0xb7a717a0: ver 2 0_x000D_
05 22 14:15:53 202 2684 2684 com nononsenseapps feeder D dalvikvm: GC FOR ALLOC freed 245K  7  free 4145K 4452K  paused 2ms  total 2ms_x000D_
05 22 14:15:53 212 2684 2684 com nononsenseapps feeder D dalvikvm: GC FOR ALLOC freed 289K  8  free 4368K 4720K  paused 2ms  total 2ms_x000D_
05 22 14:15:53 222 2684 2684 com nononsenseapps feeder D dalvikvm: GC FOR ALLOC freed 273K  7  free 4608K 4944K  paused 2ms  total 2ms_x000D_
05 22 14:15:53 232 2684 2684 com nononsenseapps feeder D dalvikvm: Trying to load lib  data app lib com nononsenseapps feeder 1 libconscrypt jni so 0x9d070020_x000D_
05 22 14:15:53 232 2684 2684 com nononsenseapps feeder D dalvikvm: Added shared lib  data app lib com nononsenseapps feeder 1 libconscrypt jni so 0x9d070020_x000D_
05 22 14:15:53 232 2684 2684 com nononsenseapps feeder W dalvikvm: JNI WARNING: JNI function NewGlobalRef called with exception pending_x000D_
05 22 14:15:53 232 2684 2684 com nononsenseapps feeder W dalvikvm:              in Ljava lang Runtime  nativeLoad:(Ljava lang String Ljava lang ClassLoader Ljava lang String )Ljava lang String  (NewGlobalRef)_x000D_
05 22 14:15:53 232 2684 2684 com nononsenseapps feeder W dalvikvm: Pending exception is:_x000D_
05 22 14:15:53 232 2684 2684 com nononsenseapps feeder I dalvikvm: java lang NoClassDefFoundError: org conscrypt CryptoUpcalls_x000D_
05 22 14:15:53 232 2684 2684 com nononsenseapps feeder I dalvikvm:     at java lang Runtime nativeLoad(Native Method)_x000D_
05 22 14:15:53 232 2684 2684 com nononsenseapps feeder I dalvikvm:     at java lang Runtime doLoad(Runtime java:421)_x000D_
05 22 14:15:53 232 2684 2684 com nononsenseapps feeder I dalvikvm:     at java lang Runtime loadLibrary(Runtime java:362)_x000D_
05 22 14:15:53 232 2684 2684 com nononsenseapps feeder I dalvikvm:     at java lang System loadLibrary(System java:526)_x000D_
05 22 14:15:53 232 2684 2684 com nononsenseapps feeder I dalvikvm:     at org conscrypt NativeCryptoJni init(NativeCryptoJni java:28)_x000D_
05 22 14:15:53 232 2684 2684 com nononsenseapps feeder I dalvikvm:     at org conscrypt NativeCrypto  clinit (NativeCrypto java:63)_x000D_
05 22 14:15:53 232 2684 2684 com nononsenseapps feeder I dalvikvm:     at org conscrypt Conscrypt checkAvailability(Conscrypt java:115)_x000D_
05 22 14:15:53 232 2684 2684 com nononsenseapps feeder I dalvikvm:     at org conscrypt Conscrypt newProvider(Conscrypt java:129)_x000D_
05 22 14:15:53 232 2684 2684 com nononsenseapps feeder I dalvikvm:     at com nononsenseapps feeder FeederApplication  init (FeederApplication kt:81)_x000D_
05 22 14:15:53 232 2684 2684 com nononsenseapps feeder I dalvikvm:     at java lang Class newInstanceImpl(Native Method)_x000D_
05 22 14:15:53 232 2684 2684 com nononsenseapps feeder I dalvikvm:     at java lang Class newInstance(Class java:1208)_x000D_
05 22 14:15:53 232 2684 2684 com nononsenseapps feeder I dalvikvm:     at android app Instrumentation newApplication(Instrumentation java:990)_x000D_
05 22 14:15:53 232 2684 2684 com nononsenseapps feeder I dalvikvm:     at android app Instrumentation newApplication(Instrumentation java:975)_x000D_
05 22 14:15:53 232 2684 2684 com nononsenseapps feeder I dalvikvm:     at android app LoadedApk makeApplication(LoadedApk java:511)_x000D_
05 22 14:15:53 232 2684 2684 com nononsenseapps feeder I dalvikvm:     at android app ActivityThread handleBindApplication(ActivityThread java:4317)_x000D_
05 22 14:15:53 232 2684 2684 com nononsenseapps feeder I dalvikvm:     at android app ActivityThread access 1500(ActivityThread java:135)_x000D_
05 22 14:15:53 232 2684 2684 com nononsenseapps feeder I dalvikvm:     at android app ActivityThread H handleMessage(ActivityThread java:1256)_x000D_
05 22 14:15:53 232 2684 2684 com nononsenseapps feeder I dalvikvm:     at android os Handler dispatchMessage(Handler java:102)_x000D_
05 22 14:15:53 232 2684 2684 com nononsenseapps feeder I dalvikvm:     at android os Looper loop(Looper java:136)_x000D_
05 22 14:15:53 232 2684 2684 com nononsenseapps feeder I dalvikvm:     at android app ActivityThread main(ActivityThread java:5017)_x000D_
05 22 14:15:53 232 2684 2684 com nononsenseapps feeder I dalvikvm:     at java lang reflect Method invokeNative(Native Method)_x000D_
05 22 14:15:53 232 2684 2684 com nononsenseapps feeder I dalvikvm:     at java lang reflect Method invoke(Method java:515)_x000D_
05 22 14:15:53 232 2684 2684 com nononsenseapps feeder I dalvikvm:     at com android internal os ZygoteInit MethodAndArgsCaller run(ZygoteInit java:779)_x000D_
05 22 14:15:53 232 2684 2684 com nononsenseapps feeder I dalvikvm:     at com android internal os ZygoteInit main(ZygoteInit java:595)_x000D_
05 22 14:15:53 232 2684 2684 com nononsenseapps feeder I dalvikvm:     at dalvik system NativeStart main(Native Method)_x000D_
05 22 14:15:53 232 2684 2684 com nononsenseapps feeder I dalvikvm: Caused by:_x000D_
05 22 14:15:53 232 2684 2684 com nononsenseapps feeder I dalvikvm: java lang ClassNotFoundException: Didn t find class  org conscrypt CryptoUpcalls  on path: DexPathList  zip file   data app com nononsenseapps feeder 1 apk   nativeLibraryDirectories   data app lib com nononsenseapps feeder 1   system lib  _x000D_
05 22 14:15:53 232 2684 2684 com nononsenseapps feeder I dalvikvm:     at dalvik system BaseDexClassLoader findClass(BaseDexClassLoader java:56)_x000D_
05 22 14:15:53 232 2684 2684 com nononsenseapps feeder I dalvikvm:     at java lang ClassLoader loadClass(ClassLoader java:497)_x000D_
05 22 14:15:53 232 2684 2684 com nononsenseapps feeder I dalvikvm:     at java lang ClassLoader loadClass(ClassLoader java:457)_x000D_
05 22 14:15:53 232 2684 2684 com nononsenseapps feeder I dalvikvm:     at java lang Runtime nativeLoad(Native Method)_x000D_
05 22 14:15:53 232 2684 2684 com nononsenseapps feeder I dalvikvm:     at java lang Runtime doLoad(Runtime java:421)_x000D_
05 22 14:15:53 232 2684 2684 com nononsenseapps feeder I dalvikvm:     at java lang Runtime loadLibrary(Runtime java:362)_x000D_
05 22 14:15:53 232 2684 2684 com nononsenseapps feeder I dalvikvm:     at java lang System loadLibrary(System java:526)_x000D_
05 22 14:15:53 232 2684 2684 com nononsenseapps feeder I dalvikvm:     at org conscrypt NativeCryptoJni init(NativeCryptoJni java:28)_x000D_
05 22 14:15:53 232 2684 2684 com nononsenseapps feeder I dalvikvm:     at org conscrypt NativeCrypto  clinit (NativeCrypto java:63)_x000D_
05 22 14:15:53 232 2684 2684 com nononsenseapps feeder I dalvikvm:     at org conscrypt Conscrypt checkAvailability(Conscrypt java:115)_x000D_
05 22 14:15:53 232 2684 2684 com nononsenseapps feeder I dalvikvm:     at org conscrypt Conscrypt newProvider(Conscrypt java:129)_x000D_
05 22 14:15:53 232 2684 2684 com nononsenseapps feeder I dalvikvm:     at com nononsenseapps feeder FeederApplication  init (FeederApplication kt:81)_x000D_
05 22 14:15:53 232 2684 2684 com nononsenseapps feeder I dalvikvm:     at java lang Class newInstanceImpl(Native Method)_x000D_
05 22 14:15:53 232 2684 2684 com nononsenseapps feeder I dalvikvm:     at java lang Class newInstance(Class java:1208)_x000D_
05 22 14:15:53 232 2684 2684 com nononsenseapps feeder I dalvikvm:     at android app Instrumentation newApplication(Instrumentation java:990)_x000D_
05 22 14:15:53 232 2684 2684 com nononsenseapps feeder I dalvikvm:     at android app Instrumentation newApplication(Instrumentation java:975)_x000D_
05 22 14:15:53 232 2684 2684 com nononsenseapps feeder I dalvikvm:     at android app LoadedApk makeApplication(LoadedApk java:511)_x000D_
05 22 14:15:53 232 2684 2684 com nononsenseapps feeder I dalvikvm:     at android app ActivityThread handleBindApplication(ActivityThread java:4317)_x000D_
05 22 14:15:53 232 2684 2684 com nononsenseapps feeder I dalvikvm:     at android app ActivityThread access 1500(ActivityThread java:135)_x000D_
05 22 14:15:53 232 2684 2684 com nononsenseapps feeder I dalvikvm:     at android app ActivityThread H handleMessage(ActivityThread java:1256)_x000D_
05 22 14:15:53 232 2684 2684 com nononsenseapps feeder I dalvikvm:     at android os Handler dispatchMessage(Handler java:102)_x000D_
05 22 14:15:53 232 2684 2684 com nononsenseapps feeder I dalvikvm:     at android os Looper loop(Looper java:136)_x000D_
05 22 14:15:53 232 2684 2684 com nononsenseapps feeder I dalvikvm:     at android app ActivityThread main(ActivityThread java:5017)_x000D_
05 22 14:15:53 232 2684 2684 com nononsenseapps feeder I dalvikvm:     at java lang reflect Method invokeNative(Native Method)_x000D_
05 22 14:15:53 232 2684 2684 com nononsenseapps feeder I dalvikvm:     at java lang reflect Method invoke(Method java:515)_x000D_
05 22 14:15:53 232 2684 2684 com nononsenseapps feeder I dalvikvm:     at com android internal os ZygoteInit MethodAndArgsCaller run(ZygoteInit java:779)_x000D_
05 22 14:15:53 232 2684 2684 com nononsenseapps feeder I dalvikvm:     at com android internal os ZygoteInit main(ZygoteInit java:595)_x000D_
05 22 14:15:53 232 2684 2684 com nononsenseapps feeder I dalvikvm:     at dalvik system NativeStart main(Native Method)_x000D_
05 22 14:15:53 232 2684 2684 com nononsenseapps feeder I dalvikvm:  main  prio 5 tid 1 NATIVE_x000D_
05 22 14:15:53 232 2684 2684 com nononsenseapps feeder I dalvikvm:     group  main  sCount 0 dsCount 0 obj 0x9cd76bd8 self 0xb78924a0_x000D_
05 22 14:15:53 232 2684 2684 com nononsenseapps feeder I dalvikvm:     sysTid 2684 nice 0 sched 0 0 cgrp  fopen error:2  handle  1216462752_x000D_
05 22 14:15:53 232 2684 2684 com nononsenseapps feeder I dalvikvm:     state R schedstat ( 0 0 0 ) utm 7 stm 0 core 2_x000D_
05 22 14:15:53 232 2684 2684 com nononsenseapps feeder I dalvikvm:    00  pc 000bd4b6   system lib libdvm so (dvmDumpNativeStack(DebugOutputTarget const   int) 86)_x000D_
05 22 14:15:53 232 2684 2684 com nononsenseapps feeder I dalvikvm:    01  pc 00098093   system lib libdvm so (dvmDumpThreadEx(DebugOutputTarget const   Thread   bool) 1155)_x000D_
05 22 14:15:53 232 2684 2684 com nononsenseapps feeder I dalvikvm:    02  pc 00098386   system lib libdvm so (dvmDumpThread(Thread   bool) 86)_x000D_
05 22 14:15:53 232 2684 2684 com nononsenseapps feeder I dalvikvm:    03  pc 0004ce17   system lib libdvm so (ScopedCheck::checkThread(int) 455)_x000D_
05 22 14:15:53 232 2684 2684 com nononsenseapps feeder I dalvikvm:    04  pc 0005f665   system lib libdvm so_x000D_
05 22 14:15:53 232 2684 2684 com nononsenseapps feeder I dalvikvm:    05  pc 000415a6   data app lib com nononsenseapps feeder 1 libconscrypt jni so_x000D_
05 22 14:15:53 232 2684 2684 com nononsenseapps feeder I dalvikvm:    06  pc 0004128f   data app lib com nononsenseapps feeder 1 libconscrypt jni so (JNI OnLoad 111)_x000D_
05 22 14:15:53 232 2684 2684 com nononsenseapps feeder I dalvikvm:    07  pc 0008baef   system lib libdvm so (dvmLoadNativeCode(char const   Object   char  ) 1295)_x000D_
05 22 14:15:53 232 2684 2684 com nononsenseapps feeder I dalvikvm:    08  pc 000ce7db   system lib libdvm so_x000D_
05 22 14:15:53 232 2684 2684 com nononsenseapps feeder I dalvikvm:    09  pc 00176c18   system lib libdvm so_x000D_
05 22 14:15:53 232 2684 2684 com nononsenseapps feeder I dalvikvm:     at java lang Runtime nativeLoad(Native Method)_x000D_
05 22 14:15:53 232 2684 2684 com nononsenseapps feeder I dalvikvm:     at java lang Runtime doLoad(Runtime java:421)_x000D_
05 22 14:15:53 232 2684 2684 com nononsenseapps feeder I dalvikvm:     at java lang Runtime loadLibrary(Runtime java:362)_x000D_
05 22 14:15:53 232 2684 2684 com nononsenseapps feeder I dalvikvm:     at java lang System loadLibrary(System java:526)_x000D_
05 22 14:15:53 232 2684 2684 com nononsenseapps feeder I dalvikvm:     at org conscrypt NativeCryptoJni init(NativeCryptoJni java:28)_x000D_
05 22 14:15:53 232 2684 2684 com nononsenseapps feeder I dalvikvm:     at org conscrypt NativeCrypto  clinit (NativeCrypto java:63)_x000D_
05 22 14:15:53 232 2684 2684 com nononsenseapps feeder I dalvikvm:     at org conscrypt Conscrypt checkAvailability(Conscrypt java: 1)_x000D_
05 22 14:15:53 232 2684 2684 com nononsenseapps feeder I dalvikvm:     at org conscrypt Conscrypt newProvider(Conscrypt java:129)_x000D_
05 22 14:15:53 232 2684 2684 com nononsenseapps feeder I dalvikvm:     at com nononsenseapps feeder FeederApplication  init (FeederApplication kt:81)_x000D_
05 22 14:15:53 232 2684 2684 com nononsenseapps feeder I dalvikvm:     at java lang Class newInstanceImpl(Native Method)_x000D_
05 22 14:15:53 232 2684 2684 com nononsenseapps feeder I dalvikvm:     at java lang Class newInstance(Class java:1208)_x000D_
05 22 14:15:53 232 2684 2684 com nononsenseapps feeder I dalvikvm:     at android app Instrumentation newApplication(Instrumentation java:990)_x000D_
05 22 14:15:53 232 2684 2684 com nononsenseapps feeder I dalvikvm:     at android app Instrumentation newApplication(Instrumentation java:975)_x000D_
05 22 14:15:53 232 2684 2684 com nononsenseapps feeder I dalvikvm:     at android app LoadedApk makeApplication(LoadedApk java:511)_x000D_
05 22 14:15:53 232 2684 2684 com nononsenseapps feeder I dalvikvm:     at android app ActivityThread handleBindApplication(ActivityThread java:4317)_x000D_
05 22 14:15:53 232 2684 2684 com nononsenseapps feeder I dalvikvm:     at android app ActivityThread access 1500(ActivityThread java:135)_x000D_
05 22 14:15:53 232 2684 2684 com nononsenseapps feeder I dalvikvm:     at android app ActivityThread H handleMessage(ActivityThread java:1256)_x000D_
05 22 14:15:53 232 2684 2684 com nononsenseapps feeder I dalvikvm:     at android os Handler dispatchMessage(Handler java:102)_x000D_
05 22 14:15:53 232 2684 2684 com nononsenseapps feeder I dalvikvm:     at android os Looper loop(Looper java:136)_x000D_
05 22 14:15:53 232 2684 2684 com nononsenseapps feeder I dalvikvm:     at android app ActivityThread main(ActivityThread java:5017)_x000D_
05 22 14:15:53 232 2684 2684 com nononsenseapps feeder I dalvikvm:     at java lang reflect Method invokeNative(Native Method)_x000D_
05 22 14:15:53 232 2684 2684 com nononsenseapps feeder I dalvikvm:     at java lang reflect Method invoke(Method java:515)_x000D_
05 22 14:15:53 232 2684 2684 com nononsenseapps feeder I dalvikvm:     at com android internal os ZygoteInit MethodAndArgsCaller run(ZygoteInit java:779)_x000D_
05 22 14:15:53 232 2684 2684 com nononsenseapps feeder I dalvikvm:     at com android internal os ZygoteInit main(ZygoteInit java:595)_x000D_
05 22 14:15:53 232 2684 2684 com nononsenseapps feeder I dalvikvm:     at dalvik system NativeStart main(Native Method)_x000D_
05 22 14:15:53 232 2684 2684 com nononsenseapps feeder E dalvikvm: VM aborting_x000D_
05 22 14:15:53 232 2684 2684 com nononsenseapps feeder A libc: Fatal signal 6 (SIGABRT) at 0x00000a7c (code  6)  thread 2684 (enseapps feeder)_x000D_
05 22 14:15:53 292 1180 1180   I DEBUG:                                                                _x000D_
05 22 14:15:53 292 1180 1180   I DEBUG: Build fingerprint:  generic x86 sdk x86 generic x86:4 4 2 KK 4174703:eng test keys _x000D_
05 22 14:15:53 292 1180 1180   I DEBUG: Revision:  0 _x000D_
05 22 14:15:53 292 1180 1180   I DEBUG: pid: 2684  tid: 2684  name: enseapps feeder      com nononsenseapps feeder    _x000D_
05 22 14:15:53 292 1180 1180   I DEBUG: signal 6 (SIGABRT)  code  6 (SI TKILL)  fault addr         _x000D_
05 22 14:15:53 432 1180 1180   I DEBUG:     eax 00000000  ebx 00000a7c  ecx 00000a7c  edx 00000006_x000D_
05 22 14:15:53 432 1180 1180   I DEBUG:     esi 00000a7c  edi 00000002_x000D_
05 22 14:15:53 432 1180 1180   I DEBUG:     xcs 00000073  xds 0000007b  xes 0000007b  xfs 00000000  xss 0000007b_x000D_
05 22 14:15:53 432 1180 1180   I DEBUG:     eip b7730c96  ebp b7795ce0  esp bff33300  flags 00200207_x000D_
05 22 14:15:53 432 1180 1180   I DEBUG: backtrace:_x000D_
05 22 14:15:53 432 1180 1180   I DEBUG:      00  pc 0003bc96   system lib libc so (tgkill 22)_x000D_
05 22 14:15:53 432 1180 1180   I DEBUG:      01  pc 00000005   unknown _x000D_
05 22 14:15:53 432 1180 1180   I DEBUG: stack:_x000D_
05 22 14:15:53 432 1180 1180   I DEBUG:          bff332c0  00000000  _x000D_
05 22 14:15:53 432 1180 1180   I DEBUG:          bff332c4  b7791268   system lib libc so_x000D_
05 22 14:15:53 432 1180 1180   I DEBUG:          bff332c8  00000000  _x000D_
05 22 14:15:53 432 1180 1180   I DEBUG:          bff332cc  b7702ef9   system lib libc so (pthread mutex unlock 25)_x000D_
05 22 14:15:53 432 1180 1180   I DEBUG:          bff332d0  b779118c   system lib libc so_x000D_
05 22 14:15:53 432 1180 1180   I DEBUG:          bff332d4  b790e8b0   heap _x000D_
05 22 14:15:53 432 1180 1180   I DEBUG:          bff332d8  00000015  _x000D_
05 22 14:15:53 432 1180 1180   I DEBUG:          bff332dc  b7702ef9   system lib libc so (pthread mutex unlock 25)_x000D_
05 22 14:15:53 432 1180 1180   I DEBUG:          bff332e0  00000000  _x000D_
05 22 14:15:53 432 1180 1180   I DEBUG:          bff332e4  b774f656   system lib libc so (funlockfile 6)_x000D_
05 22 14:15:53 432 1180 1180   I DEBUG:          bff332e8  b7790fcc   system lib libc so_x000D_
05 22 14:15:53 432 1180 1180   I DEBUG:          bff332ec  b773ac76   system lib libc so (  sflush locked 150)_x000D_
05 22 14:15:53 432 1180 1180   I DEBUG:          bff332f0  00000000  _x000D_
05 22 14:15:53 432 1180 1180   I DEBUG:          bff332f4  00000000  _x000D_
05 22 14:15:53 432 1180 1180   I DEBUG:          bff332f8  b7702d29   system lib libc so (pthread mutex lock 9)_x000D_
05 22 14:15:53 432 1180 1180   I DEBUG:          bff332fc  b7790fcc   system lib libc so_x000D_
05 22 14:15:53 432 1180 1180   I DEBUG:      00  bff33300  00000006  _x000D_
05 22 14:15:53 432 1180 1180   I DEBUG:          bff33304  00000a7c  _x000D_
05 22 14:15:53 432 1180 1180   I DEBUG:          bff33308  b7790fcc   system lib libc so_x000D_
05 22 14:15:53 432 1180 1180   I DEBUG:          bff3330c  b770d436   system lib libc so (pthread kill 102)_x000D_
05 22 14:15:53 432 1180 1180   I DEBUG:          bff33310  00000a7c  _x000D_
05 22 14:15:53 432 1180 1180   I DEBUG:          bff33314  00000a7c  _x000D_
05 22 14:15:53 432 1180 1180   I DEBUG:          bff33318  00000006  _x000D_
05 22 14:15:53 432 1180 1180   I DEBUG:          bff3331c  00000000  _x000D_
05 22 14:15:53 432 1180 1180   I DEBUG:          bff33320  b7791268   system lib libc so_x000D_
05 22 14:15:53 432 1180 1180   I DEBUG:          bff33324  b4edcfe1   system lib libdvm so_x000D_
05 22 14:15:53 432 1180 1180   I DEBUG:          bff33328  b770d3d9   system lib libc so (pthread kill 9)_x000D_
05 22 14:15:53 432 1180 1180   I DEBUG:          bff3332c  b7790fcc   system lib libc so_x000D_
05 22 14:15:53 432 1180 1180   I DEBUG:          bff33330  bff3337c   stack _x000D_
05 22 14:15:53 432 1180 1180   I DEBUG:          bff33334  bff335bc   stack _x000D_
05 22 14:15:53 432 1180 1180   I DEBUG:          bff33338  00000000  _x000D_
05 22 14:15:53 432 1180 1180   I DEBUG:          bff3333c  b770d7fc   system lib libc so (raise 44)_x000D_
05 22 14:15:53 452 1183 1183   D Zygote: Process 2684 terminated by signal (6)_x000D_
05 22 14:15:53 452 1182 2444   D gralloc ranchu: gralloc alloc: Creating ashmem region of size 1323008_x000D_
05 22 14:15:53 452 1648 2700 system process W ActivityManager:   Force finishing activity com nononsenseapps feeder  ui FeedActivity_x000D_
05 22 14:15:53 502 1648 2700 system process D dalvikvm: GC FOR ALLOC freed 2069K  40  free 9628K 15824K  paused 9ms  total 9ms_x000D_
05 22 14:15:53 502 1648 2700 system process W ActivityManager: Exception thrown during pause_x000D_
    android os DeadObjectException_x000D_
        at android os BinderProxy transact(Native Method)_x000D_
        at android app ApplicationThreadProxy schedulePauseActivity(ApplicationThreadNative java:660)_x000D_
        at com android server am ActivityStack startPausingLocked(ActivityStack java:761)_x000D_
        at com android server am ActivityStack finishActivityLocked(ActivityStack java:2455)_x000D_
        at com android server am ActivityStack finishTopRunningActivityLocked(ActivityStack java:2329)_x000D_
        at com android server am ActivityStackSupervisor finishTopRunningActivityLocked(ActivityStackSupervisor java:2035)_x000D_
        at com android server am ActivityManagerService handleAppCrashLocked(ActivityManagerService java:9543)_x000D_
        at com android server am ActivityManagerService makeAppCrashingLocked(ActivityManagerService java:9436)_x000D_
        at com android server am ActivityManagerService crashApplication(ActivityManagerService java:10081)_x000D_
        at com android server am ActivityManagerService handleApplicationCrashInner(ActivityManagerService java:9632)_x000D_
        at com android server am NativeCrashListener NativeCrashReporter run(NativeCrashListener java:86)_x000D_
05 22 14:15:53 502 1648 2208 system process I ActivityManager: Process com nononsenseapps feeder (pid 2684) has died _x000D_
_x000D_
   </t>
  </si>
  <si>
    <t>square-okhttp-6079</t>
  </si>
  <si>
    <t>Crash with HttpLoggingInterceptor on old Android devices</t>
  </si>
  <si>
    <t xml:space="preserve">OkHttp version: 4 7 0_x000D_
_x000D_
I found this crash on old Android devices while using OkHttp together with corelibs desugaring on Android Studio 4 0_x000D_
Wondering if it s a fix that can be done directly in OkHttp  or we may have to wait for this to be supported via desugaring_x000D_
_x000D_
To reproduce  initialize HttpLoggingInterceptor like:_x000D_
   kotlin_x000D_
val interceptor   HttpLoggingInterceptor() setLevel(Level BODY)_x000D_
   path to crash is avoided on levels   BODY_x000D_
   _x000D_
_x000D_
Possible fix:_x000D_
Replace  java nio charset StandardCharsets UTF 8  with  kotlin text Charsets UTF 8 _x000D_
_x000D_
Relevant stacktrace:_x000D_
   _x000D_
     Caused by: java lang NoClassDefFoundError: java nio charset StandardCharsets_x000D_
        at okhttp3 logging HttpLoggingInterceptor intercept(HttpLoggingInterceptor kt:258)_x000D_
        at okhttp3 internal http RealInterceptorChain proceed(RealInterceptorChain kt:100)_x000D_
        at okhttp3 internal connection ConnectInterceptor intercept(ConnectInterceptor kt:34)_x000D_
        at okhttp3 internal http RealInterceptorChain proceed(RealInterceptorChain kt:100)_x000D_
        at okhttp3 internal cache CacheInterceptor intercept(CacheInterceptor kt:96)_x000D_
        at okhttp3 internal http RealInterceptorChain proceed(RealInterceptorChain kt:100)_x000D_
        at okhttp3 internal http BridgeInterceptor intercept(BridgeInterceptor kt:83)_x000D_
        at okhttp3 internal http RealInterceptorChain proceed(RealInterceptorChain kt:100)_x000D_
        at okhttp3 internal http RetryAndFollowUpInterceptor intercept(RetryAndFollowUpInterceptor kt:76)_x000D_
        at okhttp3 internal http RealInterceptorChain proceed(RealInterceptorChain kt:100)_x000D_
   _x000D_
</t>
  </si>
  <si>
    <t>Miguel9r-CS179J-Team10-7</t>
  </si>
  <si>
    <t>Bluetooth testing with simplied app</t>
  </si>
  <si>
    <t xml:space="preserve">Attempting to test simplified android app which connects to bluetooth and sends 1 which turns on LED  App is able to connect to bluetooth properly however crashes when trying to send signal to turn on LED  _x000D_
_x000D_
Attached is received error at crash: _x000D_
  image (https:  user images githubusercontent com 41922464 82638636 2b401b80 9bbc 11ea 8ebb 208f5cf84f8d png)_x000D_
</t>
  </si>
  <si>
    <t>inaturalist-iNaturalistAndroid-835</t>
  </si>
  <si>
    <t>NullPointerException in ExploreSearchActivity.loadPlaceSearchHistory</t>
  </si>
  <si>
    <t xml:space="preserve">https:  console firebase google com u 2 project inaturalist ios crashlytics app android:org inaturalist android issues 6316c4b439ad44ba3475884e47c80100_x000D_
_x000D_
New in 1 18 15 (421)_x000D_
_x000D_
   _x000D_
Caused by java lang NullPointerException: Attempt to invoke virtual method  android content SharedPreferences org inaturalist android INaturalistApp getPrefs()  on a null object reference_x000D_
       at org inaturalist android ExploreSearchActivity loadPlaceSearchHistory(ExploreSearchActivity java:512)_x000D_
       at org inaturalist android ExploreSearchActivity refreshViewState(ExploreSearchActivity java:430)_x000D_
       at org inaturalist android ExploreSearchActivity access 1000(ExploreSearchActivity java:43)_x000D_
       at org inaturalist android ExploreSearchActivity 4 onFocusChange(ExploreSearchActivity java:243)_x000D_
       at android view View onFocusChanged(View java:6259)_x000D_
       at android widget TextView onFocusChanged(TextView java:9527)_x000D_
       at android widget EditText onFocusChanged(EditText java:203)_x000D_
   </t>
  </si>
  <si>
    <t>inaturalist-iNaturalistAndroid-834</t>
  </si>
  <si>
    <t>NullPointerException in BetterJSONObject.getInt</t>
  </si>
  <si>
    <t xml:space="preserve">https:  console firebase google com u 2 project inaturalist ios crashlytics app android:org inaturalist android issues f25d16269d1b635bb653d4a72a536584_x000D_
_x000D_
New in 1 18 15 (421)_x000D_
_x000D_
   _x000D_
Fatal Exception: java lang NullPointerException: Attempt to invoke virtual method  java lang Integer org inaturalist android BetterJSONObject getInt(java lang String)  on a null object reference_x000D_
       at org inaturalist android INaturalistService onHandleIntentWorker(INaturalistService java:684)_x000D_
       at org inaturalist android INaturalistService 1 run(INaturalistService java:615)_x000D_
       at java lang Thread run(Thread java:764)_x000D_
   </t>
  </si>
  <si>
    <t>inaturalist-iNaturalistAndroid-833</t>
  </si>
  <si>
    <t>NullPointerException in ObservationCursorAdapter.getView</t>
  </si>
  <si>
    <t xml:space="preserve">https:  console firebase google com u 2 project inaturalist ios crashlytics app android:org inaturalist android issues 9cc18462f5f1b7d68c15939b51aa0820 time last seven days sessionId 5EC4C45201CE00013DA6A0FE35E2336C DNE 0 v2_x000D_
_x000D_
New in 1 18 15 (421)_x000D_
_x000D_
   _x000D_
Fatal Exception: java lang NullPointerException: Attempt to invoke virtual method  void android view View setClickable(boolean)  on a null object reference_x000D_
       at org inaturalist android ObservationCursorAdapter getView(ObservationCursorAdapter java:596)_x000D_
       at android widget AbsListView obtainView(AbsListView java:2365)_x000D_
       at android widget ListView makeAndAddView(ListView java:2052)_x000D_
       at android widget ListView fillDown(ListView java:786)_x000D_
       at android widget ListView fillFromTop(ListView java:847)_x000D_
       at android widget ListView layoutChildren(ListView java:1826)_x000D_
       at android widget AbsListView onLayout(AbsListView java:2164)_x000D_
       at android view View layout(View java:19659)_x000D_
   _x000D_
_x000D_
</t>
  </si>
  <si>
    <t>nextcloud-android-6127</t>
  </si>
  <si>
    <t>IllegalStateException in UploadFilesActivity.showLocalStoragePathPickerDialog: Can not perform this action after onSaveInstanceState</t>
  </si>
  <si>
    <t xml:space="preserve">Why dont you dont just forward to mail app or send the stuff yourself  forcing me to sign in in a force dual auth site just to report this crash anoys me    _x000D_
_x000D_
Whatever thats what the crashing app copyed to my clipboard_x000D_
_x000D_
   _x000D_
             CAUSE OF ERROR             _x000D_
_x000D_
java lang IllegalStateException: Can not perform this action after onSaveInstanceState_x000D_
	at androidx fragment app FragmentManagerImpl checkStateLoss(FragmentManager java:2080)_x000D_
	at androidx fragment app FragmentManagerImpl enqueueAction(FragmentManager java:2106)_x000D_
	at androidx fragment app BackStackRecord commitInternal(BackStackRecord java:683)_x000D_
	at androidx fragment app BackStackRecord commit(BackStackRecord java:637)_x000D_
	at androidx fragment app DialogFragment show(DialogFragment java:161)_x000D_
	at com owncloud android ui activity UploadFilesActivity showLocalStoragePathPickerDialog(UploadFilesActivity java:336)_x000D_
	at com owncloud android ui activity UploadFilesActivity onBackPressed(UploadFilesActivity java:383)_x000D_
	at com owncloud android ui activity UploadFilesActivity onOptionsItemSelected(UploadFilesActivity java:286)_x000D_
	at android app Activity onMenuItemSelected(Activity java:3626)_x000D_
	at androidx fragment app FragmentActivity onMenuItemSelected(FragmentActivity java:436)_x000D_
	at androidx appcompat app AppCompatActivity onMenuItemSelected(AppCompatActivity java:196)_x000D_
	at androidx appcompat view WindowCallbackWrapper onMenuItemSelected(WindowCallbackWrapper java:109)_x000D_
	at androidx appcompat view WindowCallbackWrapper onMenuItemSelected(WindowCallbackWrapper java:109)_x000D_
	at androidx appcompat widget ToolbarWidgetWrapper 1 onClick(ToolbarWidgetWrapper java:188)_x000D_
	at android view View performClick(View java:6302)_x000D_
	at android view View PerformClick run(View java:24908)_x000D_
	at android os Handler handleCallback(Handler java:790)_x000D_
	at android os Handler dispatchMessage(Handler java:99)_x000D_
	at android os Looper loop(Looper java:164)_x000D_
	at android app ActivityThread main(ActivityThread java:6558)_x000D_
	at java lang reflect Method invoke(Native Method)_x000D_
	at com android internal os RuntimeInit MethodAndArgsCaller run(RuntimeInit java:469)_x000D_
	at com android internal os ZygoteInit main(ZygoteInit java:826)_x000D_
_x000D_
             APP INFORMATION             _x000D_
ID: com nextcloud client_x000D_
Version: 30080090_x000D_
Build flavor: generic_x000D_
_x000D_
             DEVICE INFORMATION             _x000D_
Brand: blackberry_x000D_
Device: bbb100_x000D_
Model: BBB100 2_x000D_
Id: OPM1 171019 026_x000D_
Product: bbb100emea_x000D_
_x000D_
             FIRMWARE             _x000D_
SDK: 27_x000D_
Release: 8 1 0_x000D_
Incremental: ABT975_x000D_
   _x000D_
_x000D_
    Steps to reproduce_x000D_
1  _x000D_
2  _x000D_
3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</si>
  <si>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commons-app-apps-android-commons-3763</t>
  </si>
  <si>
    <t>IllegalArgumentException at fetchImagesForDepictedItem</t>
  </si>
  <si>
    <t xml:space="preserve">1  Go to any item (for instance  egg  or  rabbit )  either via Explore or via a depiction in Media Details _x000D_
2  Scroll the pictures that depict that item _x000D_
3  Crash:_x000D_
   _x000D_
USER COMMENT scrolling pics in Explore item_x000D_
APP VERSION CODE 561_x000D_
APP VERSION NAME 2 12 3 debug master_x000D_
ANDROID VERSION 9_x000D_
PHONE MODEL SM G970F_x000D_
STACK TRACE java lang IllegalArgumentException: Parameter specified as non null is null: method kotlin jvm internal Intrinsics checkParameterIsNotNull  parameter query_x000D_
	at fr free nrw commons explore depictions DepictsClient fetchImagesForDepictedItem(Unknown Source:3)_x000D_
	at fr free nrw commons depictions Media DepictedImagesPresenter fetchMoreImages(DepictedImagesPresenter java:87)_x000D_
	at fr free nrw commons depictions Media DepictedImagesFragment 1 onScroll(DepictedImagesFragment java:139)_x000D_
	at android widget AbsListView invokeOnItemScrollListener(AbsListView java:2200)_x000D_
	at android widget AbsListView trackMotionScroll(AbsListView java:8258)_x000D_
	at android widget AbsListView FlingRunnable run(AbsListView java:7644)_x000D_
	at android view Choreographer CallbackRecord run(Choreographer java:949)_x000D_
	at android view Choreographer doCallbacks(Choreographer java:761)_x000D_
	at android view Choreographer doFrame(Choreographer java:693)_x000D_
	at android view Choreographer FrameDisplayEventReceiver run(Choreographer java:935)_x000D_
	at android os Handler handleCallback(Handler java:873)_x000D_
	at android os Handler dispatchMessage(Handler java:99)_x000D_
	at android os Looper loop(Looper java:214)_x000D_
	at android app ActivityThread main(ActivityThread java:7032)_x000D_
	at java lang reflect Method invoke(Native Method)_x000D_
	at com android internal os RuntimeInit MethodAndArgsCaller run(RuntimeInit java:494)_x000D_
	at com android internal os ZygoteInit main(ZygoteInit java:965)_x000D_
_x000D_
IS SILENT false_x000D_
USER EMAIL _x000D_
USER CRASH DATE 2020 05 21T21:43:45 179 09:00_x000D_
REPORT ID 0da939d9 75bc 43ff 833f c05e0e780fdc_x000D_
   _x000D_
If the item has few depictions (for instance  dishwasher )  the crash is immediate  no need to scroll </t>
  </si>
  <si>
    <t>nextcloud-android-6124</t>
  </si>
  <si>
    <t>app crashes while syncinc</t>
  </si>
  <si>
    <t xml:space="preserve">    Steps to reproduce_x000D_
_x000D_
This is not a reproducer  I suspect that something is specific to my setup  However  nothing on the server was changed when this started happening  maybe the app was auto updated by Android _x000D_
_x000D_
1  open Nextcloud app_x000D_
2  wait for it to sync (with my local server)  the little tickmarks at the top are moving_x000D_
3  crash happens (see backtrace below)_x000D_
_x000D_
Also  using any of the menu buttons (hamburger button  settings) just freezes the app (w o the backtrace message below) _x000D_
_x000D_
    Expected behaviour_x000D_
_x000D_
  It should sync normally _x000D_
_x000D_
    Actual behaviour_x000D_
_x000D_
  The app crashes with_x000D_
   _x000D_
             CAUSE OF ERROR             _x000D_
_x000D_
java lang IllegalStateException: Couldn t read row 1156  col 0 from CursorWindow   Make sure the Cursor is initialized correctly before accessing data from it _x000D_
	at android database CursorWindow nativeGetLong(Native Method)_x000D_
	at android database CursorWindow getLong(CursorWindow java:538)_x000D_
	at android database AbstractWindowedCursor getLong(AbstractWindowedCursor java:75)_x000D_
	at com owncloud android providers FileContentProvider deleteDirectory(FileContentProvider java:180)_x000D_
	at com owncloud android providers FileContentProvider delete(FileContentProvider java:135)_x000D_
	at com owncloud android providers FileContentProvider deleteDirectory(FileContentProvider java:185)_x000D_
	at com owncloud android providers FileContentProvider delete(FileContentProvider java:135)_x000D_
	at com owncloud android providers FileContentProvider deleteDirectory(FileContentProvider java:185)_x000D_
	at com owncloud android providers FileContentProvider delete(FileContentProvider java:135)_x000D_
	at com owncloud android providers FileContentProvider deleteDirectory(FileContentProvider java:185)_x000D_
	at com owncloud android providers FileContentProvider delete(FileContentProvider java:135)_x000D_
	at com owncloud android providers FileContentProvider delete(FileContentProvider java:115)_x000D_
	at android content ContentProviderOperation apply(ContentProviderOperation java:299)_x000D_
	at com owncloud android providers FileContentProvider applyBatch(FileContentProvider java:671)_x000D_
	at android content ContentProvider Transport applyBatch(ContentProvider java:319)_x000D_
	at android content ContentProviderClient applyBatch(ContentProviderClient java:474)_x000D_
	at android content ContentResolver applyBatch(ContentResolver java:1629)_x000D_
	at com owncloud android datamodel FileDataStorageManager saveFolder(FileDataStorageManager java:407)_x000D_
	at com owncloud android operations RefreshFolderOperation synchronizeData(RefreshFolderOperation java:478)_x000D_
	at com owncloud android operations RefreshFolderOperation fetchAndSyncRemoteFolder(RefreshFolderOperation java:369)_x000D_
	at com owncloud android operations RefreshFolderOperation run(RefreshFolderOperation java:228)_x000D_
	at com owncloud android lib common operations RemoteOperation run(RemoteOperation java:357)_x000D_
	at java lang Thread run(Thread java:764)_x000D_
_x000D_
             APP INFORMATION             _x000D_
ID: com nextcloud client_x000D_
Version: 30110190_x000D_
Build flavor: gplay_x000D_
_x000D_
             DEVICE INFORMATION             _x000D_
Brand: xiaomi_x000D_
Device: daisy sprout_x000D_
Model: Mi A2 Lite_x000D_
Id: PKQ1 180917 001_x000D_
Product: daisy_x000D_
_x000D_
             FIRMWARE             _x000D_
SDK: 28_x000D_
Release: 9_x000D_
Incremental: V10 0 20 0 PDLMIXM_x000D_
   _x000D_
_x000D_
    Can you reproduce this problem on https:  try nextcloud com _x000D_
_x000D_
  If not  please verify server setup and ask for help on forum_x000D_
_x000D_
I cannot change any settings in the app since it just freezes if I touch any of the buttons _x000D_
_x000D_
    Environment data_x000D_
_x000D_
Android version: see above_x000D_
_x000D_
Device model: see above_x000D_
_x000D_
Stock or customized system: stock_x000D_
_x000D_
Nextcloud app version: 3 11 1_x000D_
_x000D_
Nextcloud server version: 18 0 4_x000D_
_x000D_
Reverse proxy: none_x000D_
_x000D_
    Logs_x000D_
     Web server error log_x000D_
_x000D_
This is the log from a minute before I open the app until the crash  I removed access by other users  no error messages _x000D_
   _x000D_
46 139 70 254   tamas  21 May 2020:10:43:56  0000   PROPFIND  nextcloud remote php dav files tamas  HTTP 1 1  207 4951      Mozilla 5 0 (Linux) mirall 2 6 4git (Nextcloud) _x000D_
46 139 70 254   tamas  21 May 2020:10:44:05  0000   PROPFIND  nextcloud remote php dav files tamas  HTTP 1 1  207 4952      Mozilla 5 0 (Linux) mirall 2 6 4git (Nextcloud) _x000D_
46 139 70 254      21 May 2020:10:44:20  0000   GET  nextcloud ocs v2 php apps notifications api v2 notifications HTTP 1 1  200 1505      Mozilla 5 0 (X11  Ubuntu  Linux x86 64  rv:76 0) Gecko 20100101 Firefox 76 0 _x000D_
46 139 70 254   tamas  21 May 2020:10:44:26  0000   PROPFIND  nextcloud remote php dav files tamas  HTTP 1 1  207 4951      Mozilla 5 0 (Linux) mirall 2 6 4git (Nextcloud) _x000D_
46 139 70 254   tamas  21 May 2020:10:44:26  0000   GET  nextcloud ocs v1 php cloud user format json HTTP 1 1  200 1897      Mozilla 5 0 (Android) Nextcloud android 3 11 1 _x000D_
46 139 70 254   tamas  21 May 2020:10:44:26  0000   GET  nextcloud ocs v1 php cloud user format json HTTP 1 1  200 1897      Mozilla 5 0 (Android) Nextcloud android 3 11 1 _x000D_
46 139 70 254   tamas  21 May 2020:10:44:27  0000   GET  nextcloud status php HTTP 1 1  200 1113      Mozilla 5 0 (Android) Nextcloud android 3 11 1 _x000D_
46 139 70 254   tamas  21 May 2020:10:44:27  0000   GET  nextcloud ocs v1 php cloud capabilities format json HTTP 1 1  200 3505      Mozilla 5 0 (Android) Nextcloud android 3 11 1 _x000D_
46 139 70 254   tamas  21 May 2020:10:44:27  0000   GET  nextcloud ocs v1 php cloud user format json HTTP 1 1  200 1349      Mozilla 5 0 (Android) Nextcloud android 3 11 1 _x000D_
46 139 70 254   tamas  21 May 2020:10:44:27  0000   PROPFIND  nextcloud remote php webdav  HTTP 1 1  207 1522      Mozilla 5 0 (Android) Nextcloud android 3 11 1 _x000D_
46 139 70 254   tamas  21 May 2020:10:44:28  0000   PROPFIND  nextcloud remote php webdav  HTTP 1 1  207 14666      Mozilla 5 0 (Android) Nextcloud android 3 11 1 _x000D_
46 139 70 254   tamas  21 May 2020:10:44:38  0000   PROPFIND  nextcloud remote php dav files tamas  HTTP 1 1  207 4952      Mozilla 5 0 (Linux) mirall 2 6 4git (Nextcloud) _x000D_
46 139 70 254      21 May 2020:10:44:50  0000   GET  nextcloud ocs v2 php apps notifications api v2 notifications HTTP 1 1  200 1505      Mozilla 5 0 (X11  Ubuntu  Linux x86 64  rv:76 0) Gecko 20100101 Firefox 76 0 _x000D_
46 139 70 254   tamas  21 May 2020:10:44:56  0000   PROPFIND  nextcloud remote php dav files tamas  HTTP 1 1  207 4951      Mozilla 5 0 (Linux) mirall 2 6 4git (Nextcloud) _x000D_
46 139 70 254   tamas  21 May 2020:10:45:09  0000   PROPFIND  nextcloud remote php dav files tamas  HTTP 1 1  207 4952      Mozilla 5 0 (Linux) mirall 2 6 4git (Nextcloud) _x000D_
46 139 70 254      21 May 2020:10:45:20  0000   GET  nextcloud ocs v2 php apps notifications api v2 notifications HTTP 1 1  200 1505      Mozilla 5 0 (X11  Ubuntu  Linux x86 64  rv:76 0) Gecko 20100101 Firefox 76 0 _x000D_
46 139 70 254   tamas  21 May 2020:10:45:26  0000   PROPFIND  nextcloud remote php dav files tamas  HTTP 1 1  207 4951      Mozilla 5 0 (Linux) mirall 2 6 4git (Nextcloud) _x000D_
46 139 70 254   tamas  21 May 2020:10:45:41  0000   PROPFIND  nextcloud remote php dav files tamas  HTTP 1 1  207 4952      Mozilla 5 0 (Linux) mirall 2 6 4git (Nextcloud) _x000D_
46 139 70 254      21 May 2020:10:45:50  0000   GET  nextcloud ocs v2 php apps notifications api v2 notifications HTTP 1 1  200 1505      Mozilla 5 0 (X11  Ubuntu  Linux x86 64  rv:76 0) Gecko 20100101 Firefox 76 0 _x000D_
46 139 70 254   tamas  21 May 2020:10:45:56  0000   PROPFIND  nextcloud remote php dav files tamas  HTTP 1 1  207 4951      Mozilla 5 0 (Linux) mirall 2 6 4git (Nextcloud) _x000D_
46 139 70 254   tamas  21 May 2020:10:45:57  0000   GET  nextcloud ocs v2 php apps notifications api v2 notifications format json HTTP 1 1  304 267      Mozilla 5 0 (Linux) mirall 2 6 4git (Nextcloud) _x000D_
46 139 70 254   tamas  21 May 2020:10:46:13  0000   PROPFIND  nextcloud remote php dav files tamas  HTTP 1 1  207 4952      Mozilla 5 0 (Linux) mirall 2 6 4git (Nextcloud) _x000D_
46 139 70 254      21 May 2020:10:46:20  0000   GET  nextcloud ocs v2 php apps notifications api v2 notifications HTTP 1 1  200 1505      Mozilla 5 0 (X11  Ubuntu  Linux x86 64  rv:76 0) Gecko 20100101 Firefox 76 0 _x000D_
46 139 70 254   tamas  21 May 2020:10:46:26  0000   PROPFIND  nextcloud remote php dav files tamas  HTTP 1 1  207 4951      Mozilla 5 0 (Linux) mirall 2 6 4git (Nextcloud) _x000D_
46 139 70 254   tamas  21 May 2020:10:46:45  0000   PROPFIND  nextcloud remote php dav files tamas  HTTP 1 1  207 4952      Mozilla 5 0 (Linux) mirall 2 6 4git (Nextcloud) _x000D_
46 139 70 254      21 May 2020:10:46:50  0000   GET  nextcloud ocs v2 php apps notifications api v2 notifications HTTP 1 1  200 1505      Mozilla 5 0 (X11  Ubuntu  Linux x86 64  rv:76 0) Gecko 20100101 Firefox 76 0 _x000D_
46 139 70 254   tamas  21 May 2020:10:46:56  0000   PROPFIND  nextcloud remote php dav files tamas  HTTP 1 1  207 4951      Mozilla 5 0 (Linux) mirall 2 6 4git (Nextcloud) _x000D_
46 139 70 254   tamas  21 May 2020:10:47:17  0000   PROPFIND  nextcloud remote php dav files tamas  HTTP 1 1  207 4952      Mozilla 5 0 (Linux) mirall 2 6 4git (Nextcloud) _x000D_
46 139 70 254      21 May 2020:10:47:20  0000   GET  nextcloud ocs v2 php apps notifications api v2 notifications HTTP 1 1  200 1505      Mozilla 5 0 (X11  Ubuntu  Linux x86 64  rv:76 0) Gecko 20100101 Firefox 76 0 _x000D_
   _x000D_
_x000D_
     Nextcloud log (data nextcloud log)_x000D_
_x000D_
There are no messages in the log when this crash happens  I can increase the debug level to generate some if needed </t>
  </si>
  <si>
    <t>Assargadon-dcc-client-4</t>
  </si>
  <si>
    <t>Application always crashes first time after the installation</t>
  </si>
  <si>
    <t xml:space="preserve">When started immediately after the installation (by the  Run  button of the installation dialog)  it crashes after pressing of the GO TO VIDEO RECORDING button </t>
  </si>
  <si>
    <t>TeamNewPipe-NewPipe-3624</t>
  </si>
  <si>
    <t>(Bug) Opening channel URL from Browser, auto-plays the latest video.</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</si>
  <si>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   Android 10_x000D_
    Steps to reproduce the bug_x000D_
    _x000D_
1  Go to      _x000D_
2  Press on       _x000D_
3  Swipe down to       _x000D_
    Open YouTube in Firefox ESR browser  go to a channel  and open it with NewPipe by clicking the Android icon on the right side _x000D_
Alternatively  you can do this by sharing the url via the burger menu _x000D_
_x000D_
This is more or less the same as  3608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Open the channel page to see the latest videos _x000D_
Just click the channel name to go view the channel _x000D_
_x000D_
    Actual behaviour_x000D_
     Tell us what happens instead     _x000D_
NP opens the latest video automatically  clicking the channel name from the video player doesn t open the channel page _x000D_
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Example Link _x000D_
 https:  m youtube com user Mozilla (https:  m youtube com user Mozilla) _x000D_
_x000D_
_x000D_
_x000D_
     That s right  here     _x000D_
</t>
  </si>
  <si>
    <t>doublesymmetry-react-native-track-player-950</t>
  </si>
  <si>
    <t>[iOS] Resolve some issues with provided url formatting.</t>
  </si>
  <si>
    <t xml:space="preserve">Without these changes the following provided urls were failing on iOS:_x000D_
_x000D_
   js_x000D_
url: encodeURI( file:    RNFS MainBundlePath  assets foo bar mp3 )     fails to play_x000D_
url:  file:    RNFS MainBundlePath  assets foo bar mp3      crash on add_x000D_
url:  file:    RNFS MainBundlePath  assets foo bar  mp3      fails to play_x000D_
url: require(   assets foo bar mp3 )     fails to play_x000D_
   _x000D_
_x000D_
With these changes  all of the above work _x000D_
_x000D_
(except the last one using  require  with spaces  which still fails in debug mode  but works in release  I feel this is a metro issue)_x000D_
_x000D_
I am looking for some input on whether this should be changed  I have seen some old discussions about letting the developer handle encoding and such  This change would apply encoding as a last resort _x000D_
_x000D_
Here are some related issues:_x000D_
_x000D_
https:  github com react native kit react native track player issues 947 (spaces)_x000D_
https:  github com react native kit react native track player pull 71 (old discussion about taking encoding out)_x000D_
https:  github com react native kit react native track player issues 44 (encoding)_x000D_
https:  github com react native kit react native track player issues 874_x000D_
https:  github com react native kit react native track player issues 794 issuecomment 573353727_x000D_
https:  github com react native kit react native track player issues 794 issuecomment 619060395_x000D_
https:  github com react native kit react native track player issues 167 (spaces  crashing)_x000D_
_x000D_
   _x000D_
_x000D_
   Tested with the following values for url_x000D_
_x000D_
   _x000D_
require(   assets test foo bar mp3 )_x000D_
require(   assets test foo bar mp3 )    fails in debug  works in release_x000D_
require(   assets test foo bar mp3 )_x000D_
require(   assets test foo bar mp3 )_x000D_
_x000D_
file:    RNFS MainBundlePath  assets test foo bar mp3_x000D_
file:    RNFS MainBundlePath  assets test foo bar mp3_x000D_
file:    RNFS MainBundlePath  assets test foo bar mp3_x000D_
file:    RNFS MainBundlePath  assets test foo bar mp3_x000D_
file:    RNFS MainBundlePath  assets test foo C3 A6bar mp3_x000D_
file:    RNFS MainBundlePath  assets test foo C3 A6bar  mp3    fails in both debug and release_x000D_
_x000D_
https:  test domain com public pin test foo bar mp3_x000D_
https:  test domain com public pin test foo bar mp3_x000D_
https:  test domain com public pin test foo bar mp3_x000D_
https:  test domain com public pin test foo bar mp3_x000D_
https:  test domain com public pin test foo C3 A6bar mp3_x000D_
https:  test domain com public pin test foo C3 A6bar  mp3    fails in both debug and release_x000D_
_x000D_
   Test Issue  617_x000D_
https:  firebasestorage googleapis com v0 b hupper mobile appspot com o audio meditation 2Fanxiety 2FTeste Raffael 20Marfara CC 81 20 20segundos mp3 alt media token 55aff5c0 1af7 4a8b b4a2 f450c12f181c_x000D_
_x000D_
   _x000D_
</t>
  </si>
  <si>
    <t>S2-group-NAPPA-26</t>
  </si>
  <si>
    <t>Test app crashes when requesting the weather</t>
  </si>
  <si>
    <t xml:space="preserve">    Steps to reproduce_x000D_
_x000D_
1  Open app_x000D_
2  Click in weather _x000D_
3  Click in any city_x000D_
4  Click in weather_x000D_
5  App crashes  _x000D_
_x000D_
    Exception_x000D_
_x000D_
   bash_x000D_
W System err: java net UnknownServiceException: CLEARTEXT communication to api openweathermap org not permitted by network security policy_x000D_
W System err:     at okhttp3 internal connection RealConnection connect(RealConnection java:164)_x000D_
        at okhttp3 internal connection ExchangeFinder findConnection(ExchangeFinder java:224)_x000D_
        at okhttp3 internal connection ExchangeFinder findHealthyConnection(ExchangeFinder java:108)_x000D_
W System err:     at okhttp3 internal connection ExchangeFinder find(ExchangeFinder java:88)_x000D_
        at okhttp3 internal connection Transmitter newExchange(Transmitter java:169)_x000D_
        at okhttp3 internal connection ConnectInterceptor intercept(ConnectInterceptor java:41)_x000D_
        at okhttp3 internal http RealInterceptorChain proceed(RealInterceptorChain java:142)_x000D_
        at okhttp3 internal http RealInterceptorChain proceed(RealInterceptorChain java:117)_x000D_
W System err:     at okhttp3 internal cache CacheInterceptor intercept(CacheInterceptor java:94)_x000D_
        at okhttp3 internal http RealInterceptorChain proceed(RealInterceptorChain java:142)_x000D_
        at okhttp3 internal http RealInterceptorChain proceed(RealInterceptorChain java:117)_x000D_
        at okhttp3 internal http BridgeInterceptor intercept(BridgeInterceptor java:93)_x000D_
        at okhttp3 internal http RealInterceptorChain proceed(RealInterceptorChain java:142)_x000D_
W System err:     at okhttp3 internal http RetryAndFollowUpInterceptor intercept(RetryAndFollowUpInterceptor java:88)_x000D_
        at okhttp3 internal http RealInterceptorChain proceed(RealInterceptorChain java:142)_x000D_
W System err:     at okhttp3 internal http RealInterceptorChain proceed(RealInterceptorChain java:117)_x000D_
        at nl vu cs s2group PrefetchingLib CustomInterceptor intercept(PrefetchingLib java:717)_x000D_
        at okhttp3 internal http RealInterceptorChain proceed(RealInterceptorChain java:142)_x000D_
        at okhttp3 internal http RealInterceptorChain proceed(RealInterceptorChain java:117)_x000D_
        at okhttp3 RealCall getResponseWithInterceptorChain(RealCall java:229)_x000D_
        at okhttp3 RealCall AsyncCall execute(RealCall java:172)_x000D_
        at okhttp3 internal NamedRunnable run(NamedRunnable java:32)_x000D_
        at java util concurrent ThreadPoolExecutor runWorker(ThreadPoolExecutor java:1167)_x000D_
        at java util concurrent ThreadPoolExecutor Worker run(ThreadPoolExecutor java:641)_x000D_
        at java lang Thread run(Thread java:919)_x000D_
E AndroidRuntime: FATAL EXCEPTION: OkHttp Dispatcher_x000D_
    Process: nl cs vu android prefetching 2018  PID: 16258_x000D_
    java lang NullPointerException: interceptor nl vu cs s2group PrefetchingLib CustomInterceptor 9ed62c7 returned null_x000D_
        at okhttp3 internal http RealInterceptorChain proceed(RealInterceptorChain java:152)_x000D_
        at okhttp3 internal http RealInterceptorChain proceed(RealInterceptorChain java:117)_x000D_
        at okhttp3 RealCall getResponseWithInterceptorChain(RealCall java:229)_x000D_
        at okhttp3 RealCall AsyncCall execute(RealCall java:172)_x000D_
        at okhttp3 internal NamedRunnable run(NamedRunnable java:32)_x000D_
        at java util concurrent ThreadPoolExecutor runWorker(ThreadPoolExecutor java:1167)_x000D_
        at java util concurrent ThreadPoolExecutor Worker run(ThreadPoolExecutor java:641)_x000D_
        at java lang Thread run(Thread java:919)_x000D_
_x000D_
   </t>
  </si>
  <si>
    <t>nextcloud-android-6111</t>
  </si>
  <si>
    <t>crashed in background</t>
  </si>
  <si>
    <t xml:space="preserve">    Steps to reproduce_x000D_
1  Nothing special_x000D_
_x000D_
    Expected behaviour_x000D_
  no crash_x000D_
_x000D_
    Actual behaviour_x000D_
  crashes periodically in the background_x000D_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CAUSE OF ERROR             _x000D_
_x000D_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java:764)_x000D_
Caused by: java lang SecurityException: Caller no longer running  last stopped  5s222ms because: timed out while starting_x000D_
	at android os Parcel readException(Parcel java:1967)_x000D_
	at android os Parcel readException(Parcel java:1913)_x000D_
	at android app job IJobCallback Stub Proxy dequeueWork(IJobCallback java:191)_x000D_
	at android app job JobParameters dequeueWork(JobParameters java:196)_x000D_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_x000D_
             APP INFORMATION             _x000D_
ID: com nextcloud client_x000D_
Version: 30110190_x000D_
Build flavor: generic_x000D_
_x000D_
             DEVICE INFORMATION             _x000D_
Brand: samsung_x000D_
Device: herolte_x000D_
Model: SM G930F_x000D_
Id: R16NW_x000D_
Product: heroltexx_x000D_
_x000D_
             FIRMWARE             _x000D_
SDK: 26_x000D_
Release: 8 0 0_x000D_
Incremental: G930FXXS8ETC6_x000D_
</t>
  </si>
  <si>
    <t>nextcloud-android-6109</t>
  </si>
  <si>
    <t>How to delete sqlite database</t>
  </si>
  <si>
    <t>Hi there _x000D_
_x000D_
I was wondering if it is possible to delete the sqlite database the Android app uses _x000D_
If I uninstall the app   clear cache   clear storage Nextcloud app still remembers   cached my folder structure after reinstalling the app  If I open the app after reinstall  I see my  old  files  which I already removed  The app then tries to sync but crashes with exception:_x000D_
Because there was a very large folder  the app crashes (SQLiteToobig    Exception) _x000D_
_x000D_
I installed the Nextcloud dev app vai F Droid which is now working fine (as it is reading the file structure from scratch) _x000D_
_x000D_
Any help appreciated _x000D_
_x000D_
Thanks</t>
  </si>
  <si>
    <t>TeamNewPipe-NewPipe-3620</t>
  </si>
  <si>
    <t>How to use it</t>
  </si>
  <si>
    <t>nextcloud-android-6106</t>
  </si>
  <si>
    <t>App crashes if connecting via app password</t>
  </si>
  <si>
    <t xml:space="preserve">App with 3 12 rc2 crashes if I try to connect with app password after enabling u2f key _x000D_
_x000D_
             CAUSE OF ERROR             _x000D_
_x000D_
android database sqlite SQLiteBlobTooBigException: Row too big to fit into CursorWindow requiredPos 3075  totalRows 1239_x000D_
	at android database sqlite SQLiteConnection nativeExecuteForCursorWindow(Native Method)_x000D_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applyInternal(ContentProviderOperation java:342)_x000D_
	at android content ContentProviderOperation apply(ContentProviderOperation java:314)_x000D_
	at com owncloud android providers FileContentProvider applyBatch(FileContentProvider java:670)_x000D_
	at android content ContentProvider applyBatch(ContentProvider java:2179)_x000D_
	at android content ContentProvider Transport applyBatch(ContentProvider java:398)_x000D_
	at android content ContentProviderClient applyBatch(ContentProviderClient java:532)_x000D_
	at android content ContentProviderClient applyBatch(ContentProviderClient java:520)_x000D_
	at android content ContentResolver applyBatch(ContentResolver java:1915)_x000D_
	at com owncloud android datamodel FileDataStorageManager saveFolder(FileDataStorageManager java:404)_x000D_
	at com owncloud android operations RefreshFolderOperation synchronizeData(RefreshFolderOperation java:478)_x000D_
	at com owncloud android operations RefreshFolderOperation fetchAndSyncRemoteFolder(RefreshFolderOperation java:369)_x000D_
	at com owncloud android operations RefreshFolderOperation run(RefreshFolderOperation java:228)_x000D_
	at com owncloud android lib common operations RemoteOperation run(RemoteOperation java:357)_x000D_
	at java lang Thread run(Thread java:919)_x000D_
_x000D_
             APP INFORMATION             _x000D_
ID: com nextcloud client_x000D_
Version: 30120052_x000D_
Build flavor: gplay_x000D_
_x000D_
             DEVICE INFORMATION             _x000D_
Brand: OnePlus_x000D_
Device: OnePlus6_x000D_
Model: ONEPLUS A6003_x000D_
Id: QKQ1 190716 003_x000D_
Product: OnePlus6_x000D_
_x000D_
             FIRMWARE             _x000D_
SDK: 29_x000D_
Release: 10_x000D_
Incremental: 2004142132_x000D_
</t>
  </si>
  <si>
    <t>7LPdWcaW-GrowTracker-Android-207</t>
  </si>
  <si>
    <t>Latest alpha crashes on some devices</t>
  </si>
  <si>
    <t xml:space="preserve">The latest alpha of the app works well on a phone with Android 9 but crashes on a tablet with Android 7  Log attached _x000D_
 31810 stacktrace zip (https:  github com 7LPdWcaW GrowTracker Android files 4648190 31810 stacktrace zip)_x000D_
_x000D_
 </t>
  </si>
  <si>
    <t>ankidroid-Anki-Android-6216</t>
  </si>
  <si>
    <t>[2.10] Investigation: Syncing Issues - cards moved back to "New"</t>
  </si>
  <si>
    <t xml:space="preserve">   _x000D_
AnkiDroid Version   2 10 2_x000D_
_x000D_
Android Version   10_x000D_
_x000D_
ACRA UUID   84ebe770 2125 4a0f a9a4 e1ab8c52a0c6_x000D_
_x000D_
Sched V2_x000D_
   _x000D_
_x000D_
Unknown how to reproduce this right now _x000D_
_x000D_
  Its not really a crash_x000D_
Syncing is successful_x000D_
But the cards i did yesterday show up on my phone_x000D_
But dont show up on my laptop when i sync_x000D_
I did the cards on my phone and synced it to my laptop_x000D_
This is the first time it happens to me_x000D_
I use ankidroid a lot_x000D_
I tried a force full sync and download from the ankiweb server didnt help_x000D_
_x000D_
  And when i sync it says sync completed_x000D_
The cards i did yesterday on my phone show up in the new pile on my laptop_x000D_
_x000D_
Between Anki Desktop 2 1 26 and AnkiDroid</t>
  </si>
  <si>
    <t>square-reader-sdk-flutter-plugin-45</t>
  </si>
  <si>
    <t>Lost connection to device - when authorizing Reader SDK</t>
  </si>
  <si>
    <t xml:space="preserve">    Describe the issue_x000D_
I m seeing the  reader sdk flutter plugin example  project is losing connection to physical iPhone device as I authorize the Read SDK  _x000D_
_x000D_
I m running an iPhone 8 with iOS 13 3 1    Update:   I updated to 13 4 1  same result _x000D_
_x000D_
There isn t a good trace on the error just loses the connection at the end  _x000D_
_x000D_
  Error log details:_x000D_
     log_x000D_
Running  flutter pub get  in example                                1 0s_x000D_
Launching lib main dart on iPhone 8 in debug mode   _x000D_
Upgrading project pbxproj_x000D_
Legacy build system detected  removing  PROJECT PATH  reader sdk flutter plugin example ios Runner xcworkspace xcshareddata WorkspaceSettings xcsettings_x000D_
Signing iOS app for device deployment using developer identity:  iPhone Developer:  EMAIL  ( ID ) _x000D_
Running pod install                                                 2 3s_x000D_
Warning: Podfile is out of date_x000D_
  This can cause a mismatched version of Flutter to be embedded in your app  which may result in App Store submission rejection or crashes _x000D_
  If you have local Podfile edits you would like to keep  see https:  github com flutter flutter issues 24641 for instructions _x000D_
To regenerate the Podfile  run:_x000D_
  rm ios Podfile_x000D_
_x000D_
Running Xcode build   _x000D_
Xcode build done                                            74 5s_x000D_
Installing and launching                                           55 7s_x000D_
Debug service listening on ws:  localhost:1024 ws_x000D_
Syncing files to device iPhone 8   _x000D_
Lost connection to device _x000D_
_x000D_
     _x000D_
_x000D_
    To Reproduce_x000D_
  Steps to reproduce the issue _x000D_
  1  Start project _x000D_
  2  Authorize the Microphone and Location permissions_x000D_
  3  Go to square developer site and generate mobile auth code in production_x000D_
  4  Given permission to use the camera on the app  _x000D_
  5  Use app to scan the QR code and then app crashes on the physical device (Lost connection to device )_x000D_
_x000D_
  You can use the example project to reproduce the issue  I m having the same problem on my project_x000D_
_x000D_
     dart_x000D_
    void authorize(String authCode) async  _x000D_
      try  _x000D_
        setState(()  _x000D_
           isLoading   true _x000D_
         ) _x000D_
        print( AuthCode:  authCode ) _x000D_
        var location   await _x000D_
              ReaderSdk authorize(authCode)     ReaderSdk authorize loses connection to device_x000D_
        print( Location:  location )    Never gets to this print statement_x000D_
        on ReaderSdkException catch (e)  _x000D_
           _x000D_
        finally  _x000D_
        setState(()  _x000D_
           isLoading   false _x000D_
         ) _x000D_
       _x000D_
     _x000D_
     _x000D_
_x000D_
    Expected behavior_x000D_
The app should not crash when authorizing the SDK  _x000D_
_x000D_
This works fine on the iPhone emulator  I wanted to test the physical card readers ao I need to run it on a physical device  _x000D_
_x000D_
_x000D_
  Environment (please complete the following information):  _x000D_
_x000D_
    platform: iOS_x000D_
    OS and version: iOS 13 3 1_x000D_
    dev environment: iPhone 8 physical device_x000D_
    Reader SDK version: 2 1 0_x000D_
_x000D_
    Flutter (Channel stable  v1 17 1  on Mac OS X 10 15 3 19D76  locale en US)_x000D_
      Flutter version 1 17 1 at  FLUTTTER PATH  flutter_x000D_
      Framework revision f7a6a7906b (6 days ago)  2020 05 12 18:39:00  0700_x000D_
      Engine revision 6bc433c6b6_x000D_
      Dart version 2 8 2_x000D_
_x000D_
 _x000D_
    Android toolchain   develop for Android devices (Android SDK version 29 0 0)_x000D_
      Android SDK at  ANDRIOD PATH  Library Android sdk_x000D_
      Platform android 29  build tools 29 0 0_x000D_
      Java binary at:  Applications Android Studio app Contents jre jdk Contents Home bin java_x000D_
      Java version OpenJDK Runtime Environment (build 1 8 0 212 release 1586 b4 5784211)_x000D_
      All Android licenses accepted _x000D_
_x000D_
    Xcode   develop for iOS and macOS (Xcode 11 4 1)_x000D_
      Xcode at  Applications Xcode app Contents Developer_x000D_
      Xcode 11 4 1  Build version 11E503a_x000D_
      CocoaPods version 1 9 1_x000D_
_x000D_
    Android Studio (version 3 6)_x000D_
      Android Studio at  Applications Android Studio app Contents_x000D_
      Flutter plugin version 45 1 1_x000D_
      Dart plugin version 192 7761_x000D_
      Java version OpenJDK Runtime Environment (build 1 8 0 212 release 1586 b4 5784211)_x000D_
_x000D_
    VS Code (version 1 44 0)_x000D_
      VS Code at  Applications Visual Studio Code app Contents_x000D_
      Flutter extension not installed  install from_x000D_
      https:  marketplace visualstudio com items itemName Dart Code flutter_x000D_
_x000D_
    Connected device (2 available)_x000D_
      iPhone 8   0a036d2c82dbb4ec0222a931b233080e8559f452   ios   iOS 13 3 1_x000D_
      iPhone 11         10F248D4 85D8 445C B340 0298AD318A49       ios   com apple CoreSimulator SimRuntime iOS 13 4 (simulator)_x000D_
_x000D_
  Doctor found issues in 1 category _x000D_
_x000D_
_x000D_
    Screenshots_x000D_
_x000D_
_x000D_
    Additional context_x000D_
     Add any other context about the problem here     _x000D_
</t>
  </si>
  <si>
    <t>TeamNewPipe-NewPipe-3612</t>
  </si>
  <si>
    <t>IP address leak! (Tor) (reCAPTCHA)</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</si>
  <si>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_x000D_
    Steps to reproduce the bug_x000D_
    _x000D_
1  Go to      _x000D_
2  Press on       _x000D_
3  Swipe down to       _x000D_
   _x000D_
1  Use NetGuard to forward everything through Tor  In this case NewPipe_x000D_
2  Open a video_x000D_
3  Get reCAPTCHA challenge_x000D_
4   Tor IP _x000D_
5  Complete the challenge_x000D_
6  (Realize the reCAPTCHA is broken : )_x000D_
7   Real IP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Pretty harsh  but my expectation would be that NewPipe wouldn t leak my real IP to Google at ANY cost  Ya  I made a video recording this  o _x000D_
    Actual behaviour_x000D_
     Tell us what happens instead     _x000D_
Would like my IP hidden from Google  Please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Same video  different hosts_x000D_
https:  anonfile com B9sfZezdo0 oh no webm_x000D_
https:  streamable com p6h6we_x000D_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t>
  </si>
  <si>
    <t>nextcloud-android-6100</t>
  </si>
  <si>
    <t>deleting a notification</t>
  </si>
  <si>
    <t xml:space="preserve">deleting a notification i side nextcloud by pressing the x causes nexcloud client to crash:_x000D_
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java:919)_x000D_
Caused by: java lang ClassNotFoundException: com google firebase analytics connector AnalyticsConnector_x000D_
	    8 more_x000D_
_x000D_
             APP INFORMATION             _x000D_
ID: com nextcloud client_x000D_
Version: 30110190_x000D_
Build flavor: gplay_x000D_
_x000D_
             DEVICE INFORMATION             _x000D_
Brand: Nokia_x000D_
Device: PNX sprout_x000D_
Model: Nokia 8 1_x000D_
Id: QKQ1 190828 002_x000D_
Product: Phoenix 00WW_x000D_
_x000D_
             FIRMWARE             _x000D_
SDK: 29_x000D_
Release: 10_x000D_
Incremental: 00WW 4 30C_x000D_
_x000D_
   </t>
  </si>
  <si>
    <t>AugustanaCSC490Spring2020-AugieAthleticsApp-22</t>
  </si>
  <si>
    <t>App crashes when clicking favorites when the user has no favorites</t>
  </si>
  <si>
    <t xml:space="preserve">If the user has no teams selected to be in their favorites list  then the app will crash when the user attempts to go to the Favorite Teams fragment from the navigation tab  _x000D_
_x000D_
A fix could be making Favorite Teams unclickable until they have added at least one favorite team to their list  But also must be made unclickable again if the user removes all of the teams from their favorites  </t>
  </si>
  <si>
    <t>ankidroid-Anki-Android-6208</t>
  </si>
  <si>
    <t xml:space="preserve">DeckPicker - Crash attempting to access unavailable deck </t>
  </si>
  <si>
    <t xml:space="preserve">https:  couchdb ankidroid org acralyzer  design acralyzer index html  report details f9318ffd c743 43b3 8246 cbbb77eadf17_x000D_
_x000D_
Definitely seen in 2 10 x  unknown if it was seen beforehand_x000D_
_x000D_
   _x000D_
java lang NullPointerException: Attempt to invoke virtual method  java lang String com ichi2 utils JSONObject getString(java lang String)  on a null object reference_x000D_
at com ichi2 libanki Decks select(Decks java:1)_x000D_
at com ichi2 anki DeckPicker handleDeckSelection(DeckPicker java:3)_x000D_
at com ichi2 anki DeckPicker access 100(DeckPicker java:1)_x000D_
at com ichi2 anki DeckPicker 1 onClick(DeckPicker java:5)_x000D_
at android view View performClick(View java:6312)_x000D_
at android view View PerformClick run(View java:24811)_x000D_
at android os Handler handleCallback(Handler java:794)_x000D_
at android os Handler dispatchMessage(Handler java:99)_x000D_
at android os Looper loop(Looper java:176)_x000D_
at android app ActivityThread main(ActivityThread java:6651)_x000D_
at java lang reflect Method invoke(Native Method)_x000D_
at com android internal os RuntimeInit MethodAndArgsCaller run(RuntimeInit java:547)_x000D_
at com android internal os ZygoteInit main(ZygoteInit java:824)_x000D_
at androidx appcompat view WindowCallbackWrapper onCreatePanelMenu(WindowCallbackWrapper java:1)_x000D_
   _x000D_
_x000D_
 details  summary Logcat  summary _x000D_
_x000D_
   _x000D_
0	          beginning of main_x000D_
1	05 18 00:31:32 039 I AnkiDroid(21110): Creating notification channel with id name: General Notifications AnkiDroid_x000D_
2	05 18 00:31:32 058 I AnkiDroid(21110): Creating notification channel with id name: Synchronization Sincronizaci n_x000D_
3	05 18 00:31:32 064 I AnkiDroid(21110): Creating notification channel with id name: Global Reminders Tarjetas pendientes_x000D_
4	05 18 00:31:32 087 I AnkiDroid(21110): Creating notification channel with id name: Deck Reminders Recordatorios_x000D_
5	05 18 00:31:33 650 I AnkiDroid(21110): Back key pressed_x000D_
6	05 18 00:32:17 603 I AnkiDroid(21110): Launching DeckPicker_x000D_
7	05 18 00:32:17 914 I AnkiDroid(21110): User has permissions to access collection_x000D_
8	05 18 00:32:18 017 I AnkiDroid(21110): colOpen: true_x000D_
9	05 18 00:32:18 018 I AnkiDroid(21110): No startup screens required_x000D_
10	05 18 00:32:27 357 I AnkiDroid(21110): DeckPicker:: Sync button pressed_x000D_
11	05 18 00:32:27 371 W AnkiDroid(21110): DeckPicker  User not logged in_x000D_
12	05 18 00:32:28 931 W AnkiDroid(21110): AnkiActivity  Couldn t preload url: https:  ankiweb net account register_x000D_
13	05 18 00:33:11 296 E AnkiDroid(21110): MyAccount  Login failed  error code 403_x000D_
14	05 18 00:33:31 080 I AnkiDroid(21110): User successfully logged in _x000D_
15	05 18 00:33:31 212 I AnkiDroid(21110): Handling Activity Result: 6  Result:  1_x000D_
16	05 18 00:33:31 215 I AnkiDroid(21110): Creating notification channel with id name: General Notifications AnkiDroid_x000D_
17	05 18 00:33:31 216 I AnkiDroid(21110): Creating notification channel with id name: Synchronization Sincronizaci n_x000D_
18	05 18 00:33:31 241 I AnkiDroid(21110): Creating notification channel with id name: Global Reminders Tarjetas pendientes_x000D_
19	05 18 00:33:31 246 I AnkiDroid(21110): Creating notification channel with id name: Deck Reminders Recordatorios_x000D_
20	05 18 00:33:31 285 I AnkiDroid(21110): Performing Sync on Resume_x000D_
21	05 18 00:33:31 314 I AnkiDroid(21110): Sync   starting sync_x000D_
22	05 18 00:33:31 707 I AnkiDroid(21110): Sync: getting meta data from server_x000D_
23	05 18 00:33:31 711 I AnkiDroid(21110): Sync: building local meta data_x000D_
24	05 18 00:33:31 711 I AnkiDroid(21110): Sync: full sync necessary   returning_x000D_
25	05 18 00:33:31 713 I AnkiDroid(21110): Sync Finished   Closing Collection_x000D_
26	05 18 00:33:31 718 I AnkiDroid(21110): Collection closed_x000D_
27	05 18 00:33:31 761 I AnkiDroid(21110): openCollection:  storage emulated 0 AnkiDroid collection anki2_x000D_
28	05 18 00:33:56 867 I AnkiDroid(21110): Sync   fullsync   download collection_x000D_
29	05 18 00:33:57 381 I AnkiDroid(21110): Closing collection for full sync_x000D_
30	05 18 00:33:57 383 I AnkiDroid(21110): Collection closed_x000D_
31	05 18 00:33:57 595 I AnkiDroid(21110): Reopening Database_x000D_
32	          beginning of system_x000D_
33	05 18 00:38:59 575 I AnkiDroid(21110): Sync Finished   Closing Collection_x000D_
34	05 18 00:38:59 576 I AnkiDroid(21110): Collection closed_x000D_
35	05 18 00:38:59 577 I AnkiDroid(21110): openCollection:  storage emulated 0 AnkiDroid collection anki2_x000D_
36	05 18 00:42:04 330 I AnkiDroid(21110): DeckPicker:: Sync button pressed_x000D_
37	05 18 00:42:04 365 I AnkiDroid(21110): Sync   starting sync_x000D_
38	05 18 00:42:04 944 I AnkiDroid(21110): Sync: getting meta data from server_x000D_
39	05 18 00:42:04 945 I AnkiDroid(21110): Sync: building local meta data_x000D_
40	05 18 00:42:04 946 I AnkiDroid(21110): Sync: no changes   returning_x000D_
41	05 18 00:42:05 491 I AnkiDroid(21110): Sync Finished   Closing Collection_x000D_
42	05 18 00:42:05 492 I AnkiDroid(21110): Collection closed_x000D_
43	05 18 00:45:25 170 I AnkiDroid(21110): User successfully logged in _x000D_
44	05 18 00:45:25 301 I AnkiDroid(21110): Handling Activity Result: 6  Result:  1_x000D_
45	05 18 00:45:25 314 I AnkiDroid(21110): Creating notification channel with id name: General Notifications AnkiDroid_x000D_
46	05 18 00:45:25 315 I AnkiDroid(21110): Creating notification channel with id name: Synchronization Sincronizaci n_x000D_
47	05 18 00:45:25 341 I AnkiDroid(21110): Creating notification channel with id name: Global Reminders Tarjetas pendientes_x000D_
48	05 18 00:45:25 346 I AnkiDroid(21110): Creating notification channel with id name: Deck Reminders Recordatorios_x000D_
49	05 18 00:45:25 389 I AnkiDroid(21110): Performing Sync on Resume_x000D_
50	05 18 00:45:25 417 I AnkiDroid(21110): openCollection:  storage emulated 0 AnkiDroid collection anki2_x000D_
51	05 18 00:45:25 437 I AnkiDroid(21110): Sync   starting sync_x000D_
52	05 18 00:45:25 799 I AnkiDroid(21110): Sync: getting meta data from server_x000D_
53	05 18 00:45:25 801 I AnkiDroid(21110): Sync: building local meta data_x000D_
54	05 18 00:45:25 801 I AnkiDroid(21110): Sync: no changes   returning_x000D_
55	05 18 00:45:26 188 I AnkiDroid(21110): Sync Finished   Closing Collection_x000D_
56	05 18 00:45:26 190 I AnkiDroid(21110): Collection closed_x000D_
57	05 18 00:47:11 281 I AnkiDroid(21110): DeckPicker:: Selected deck with id 1589750620648_x000D_
58	05 18 00:47:11 281 I AnkiDroid(21110): openCollection:  storage emulated 0 AnkiDroid collection anki2_x000D_
59	          beginning of crash_x000D_
60	_x000D_
   _x000D_
_x000D_
  details </t>
  </si>
  <si>
    <t>nextcloud-android-6099</t>
  </si>
  <si>
    <t>NC 3.12.0 RC2 App Crashes</t>
  </si>
  <si>
    <t xml:space="preserve">    Steps to reproduce_x000D_
1  Delete multiple files at once and app crashes_x000D_
_x000D_
    Expected behaviour_x000D_
 _x000D_
	at com owncloud android datamodel FileDataStorageManager getFolderContent(FileDataStorageManager java:873)_x000D_
	at com owncloud android datamodel FileDataStorageManager getFolderContent(FileDataStorageManager java:155)_x000D_
	at com owncloud android ui adapter OCFileListAdapter swapDirectory(OCFileListAdapter java:816)_x000D_
	at com owncloud android ui fragment OCFileListFragment listDirectory(OCFileListFragment java:1252)_x000D_
	at com owncloud android ui fragment OCFileListFragment listDirectory(OCFileListFragment java:1197)_x000D_
	at com owncloud android ui fragment OCFileListFragment listDirectory(OCFileListFragment java:1186)_x000D_
	at com owncloud android ui activity FileDisplayActivity updateListOfFilesFragment(FileDisplayActivity java:701)_x000D_
	at com owncloud android ui activity FileDisplayActivity onRemoveFileOperationFinish(FileDisplayActivity java:1824)_x000D_
	at com owncloud android ui activity FileDisplayActivity onRemoteOperationFinish(FileDisplayActivity java:1744)_x000D_
	at com owncloud android services OperationsService lambda dispatchResultToOperationListeners 0(OperationsService java:738)_x000D_
	at com owncloud android services    Lambda OperationsService 2BVgsxDpOpa4JqgzeD7OGZBLSiI run(Unknown Source:6)_x000D_
	at android os Handler handleCallback(Handler java:883)_x000D_
	at android os Handler dispatchMessage(Handler java:100)_x000D_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30120052_x000D_
Build flavor: gplay_x000D_
_x000D_
             DEVICE INFORMATION             _x000D_
Brand: OnePlus_x000D_
Device: OnePlus7Pro_x000D_
Model: GM1910_x000D_
Id: QKQ1 190716 003_x000D_
Product: OnePlus7Pro_x000D_
_x000D_
             FIRMWARE             _x000D_
SDK: 29_x000D_
Release: 10_x000D_
Incremental: 2002021900_x000D_
</t>
  </si>
  <si>
    <t>TeamNewPipe-NewPipe-3605</t>
  </si>
  <si>
    <t>Live stream not showing in subscriber Feed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</si>
  <si>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App v 0 19 3_x000D_
Live streams asr not showing in the subscribeed feed  After searching for the channel and search inside than only it will showing_x000D_
</t>
  </si>
  <si>
    <t>doublesymmetry-react-native-track-player-944</t>
  </si>
  <si>
    <t>TrackPlayer.updateMetadataForTrack causes app to crash when updated using local file on IOS</t>
  </si>
  <si>
    <t xml:space="preserve">  Describe the bug  _x000D_
When updating artwork via updateMetadataForTrack(id  metadata) method it won t work on android and it causes crash of the app on IOS _x000D_
_x000D_
  To Reproduce  _x000D_
Simply try to update artwork via medatadaForTrack using a file from the assets folder _x000D_
_x000D_
   _x000D_
TrackPlayer updateMetadataForTrack( 1111    _x000D_
          title: title    null           : title _x000D_
          artist: artist    null           : artist _x000D_
          artwork: require(    assets test png ) _x000D_
 ) _x000D_
   _x000D_
_x000D_
  Environment (please complete the following information):  _x000D_
_x000D_
 Currently  I am using puckeys branch  _x000D_
   _x000D_
 react native track player :  github:puckey react native track player ios playback metadata received  _x000D_
   _x000D_
  so I have support for the   playback metadata received   on IOS   But I had this problem also with current  1 2 3 version _x000D_
_x000D_
I am running the app in the simulator_x000D_
_x000D_
  Code  _x000D_
   _x000D_
TrackPlayer updateMetadataForTrack( 1111    _x000D_
       title: track _x000D_
       artist: artist _x000D_
       artwork:  img          require(    assets main logo png )  : img _x000D_
 ) _x000D_
   _x000D_
_x000D_
  When I am updating the artwork using URL it works fine on both platforms   _x000D_
   _x000D_
TrackPlayer updateMetadataForTrack( 1111    _x000D_
       title: track _x000D_
       artist: artist _x000D_
       artwork:  img          https:  images pexels com photos 1561020 pexels photo 1561020 jpeg auto compress cs tinysrgb dpr 2 h 750 w 1260   : img _x000D_
 ) _x000D_
   _x000D_
_x000D_
</t>
  </si>
  <si>
    <t>doublesymmetry-react-native-track-player-943</t>
  </si>
  <si>
    <t xml:space="preserve">my App is crashing when use taps on STOP button (Notification Controls) </t>
  </si>
  <si>
    <t xml:space="preserve">  Describe the bug  _x000D_
A clear and concise description of what the bug is _x000D_
app is crashing in in some phone when use taps on STOP button (Notification Controls) _x000D_
  To Reproduce  _x000D_
Steps to reproduce the behavior:_x000D_
_x000D_
  Environment (please complete the following information):  _x000D_
   _x000D_
Run  react native info  in your project and share the content _x000D_
 OS: macOS 10 15 2_x000D_
    CPU: (8) x64 Intel(R) Core(TM) i7 3615QM CPU   2 30GHz_x000D_
    Memory: 56 64 MB   8 00 GB_x000D_
    Shell: 5 7 1    bin zsh_x000D_
  Binaries:_x000D_
    Node: 12 6 0    usr local bin node_x000D_
    Yarn: 1 19 1    usr local bin yarn_x000D_
    npm: 6 13 4    usr local bin npm_x000D_
  SDKs:_x000D_
    iOS SDK:_x000D_
      Platforms: iOS 13 2  DriverKit 19 0  macOS 10 15  tvOS 13 2  watchOS 6 1_x000D_
    Android SDK:_x000D_
      API Levels: 23  26  27  28  29_x000D_
      Build Tools: 23 0 1  25 0 0  26 0 0  26 0 1  26 0 2  26 0 3  27 0 3  28 0 2  28 0 3_x000D_
      System Images: android 28   Google APIs Intel x86 Atom  android 29   Google APIs Intel x86 Atom_x000D_
  IDEs:_x000D_
    Android Studio: 3 5 AI 191 8026 42 35 6010548_x000D_
    Xcode: 11 3 11C29    usr bin xcodebuild_x000D_
  npmPackages:_x000D_
    react:  16 9 0    16 9 0 _x000D_
    react native:  0 61 5    0 61 5 _x000D_
  npmGlobalPackages:_x000D_
    create react native app: 2 0 2_x000D_
    react native cli: 2 0 1_x000D_
    react native: 0 61 5_x000D_
   _x000D_
_x000D_
What  react native track player  version are you using _x000D_
  react native track player :   1 2 3   _x000D_
Are you testing on a real device or in the simulator  Which OS version are you running _x000D_
in real device _x000D_
_x000D_
  Code  _x000D_
Please  share the code that is causing the issue_x000D_
_x000D_
_x000D_
    _x000D_
useEffect(()     _x000D_
    try  _x000D_
      if (typeof props podcastProps route params data      undefined )  _x000D_
        setup() _x000D_
        let data   props podcastProps route params data _x000D_
        setname(data full name) _x000D_
        settitle(data title) _x000D_
        seturl(data stream url) _x000D_
        setcoverImage(data cover image) _x000D_
       _x000D_
      catch (error)   _x000D_
       ) _x000D_
_x000D_
  async function setup()  _x000D_
    await TrackPlayer setupPlayer(  ) then(async ()     _x000D_
      TrackPlayer addEventListener( remote play   ()     _x000D_
        TrackPlayer play() _x000D_
       ) _x000D_
      TrackPlayer addEventListener( remote pause   ()     _x000D_
        console log( clickklik ) _x000D_
        TrackPlayer pause() _x000D_
       ) _x000D_
      TrackPlayer addEventListener( remote stop   ()     _x000D_
        console log( clickklik ) _x000D_
        TrackPlayer pause() then(()     _x000D_
          TrackPlayer destroy() _x000D_
         ) _x000D_
       ) _x000D_
      TrackPlayer addEventListener( remote jump forward   ()     _x000D_
        console log( remote jump forward ) _x000D_
        goForward() _x000D_
       ) _x000D_
      TrackPlayer addEventListener( remote jump backward   ()     _x000D_
        console log( remote jump backward ) _x000D_
        goBackwards() _x000D_
       ) _x000D_
      await TrackPlayer updateOptions( _x000D_
        stopWithApp: true    false_x000D_
        capabilities:  _x000D_
          TrackPlayer CAPABILITY PLAY _x000D_
          TrackPlayer CAPABILITY PAUSE _x000D_
          TrackPlayer CAPABILITY STOP _x000D_
          TrackPlayer CAPABILITY JUMP BACKWARD _x000D_
          TrackPlayer CAPABILITY JUMP FORWARD _x000D_
          _x000D_
        compactCapabilities:  _x000D_
          TrackPlayer CAPABILITY PLAY _x000D_
          TrackPlayer CAPABILITY PAUSE _x000D_
          TrackPlayer CAPABILITY STOP _x000D_
          TrackPlayer CAPABILITY JUMP BACKWARD _x000D_
          TrackPlayer CAPABILITY JUMP FORWARD _x000D_
         _x000D_
       ) _x000D_
      togglePlayback() _x000D_
     ) _x000D_
   _x000D_
   _x000D_
_x000D_
error log  form Crashlytics_x000D_
_x000D_
   _x000D_
android app ActivityThread H handleMessage (ActivityThread java:1738)_x000D_
android os Handler dispatchMessage (Handler java:106)_x000D_
android os Looper loop (Looper java:193)_x000D_
android app ActivityThread main (ActivityThread java:6692)_x000D_
java lang reflect Method invoke (Method java)_x000D_
com android internal os RuntimeInit MethodAndArgsCaller run (RuntimeInit java:493)_x000D_
com android internal os ZygoteInit main (ZygoteInit java:858)_x000D_
   _x000D_
</t>
  </si>
  <si>
    <t>TeamNewPipe-NewPipe-3602</t>
  </si>
  <si>
    <t>Errors on refreshing what's new feed when you have subscribed to a terminated channel</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</si>
  <si>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_x000D_
0 19 3_x000D_
_x000D_
    Steps to reproduce the bug_x000D_
    _x000D_
1  Go to      _x000D_
2  Press on       _x000D_
3  Swipe down to       _x000D_
   _x000D_
Subscribe to a channel that has high risk of being taken down due to copyrights(channel that post pirated TV shows)  Once the account get suspended  you will get error each time when refreshing what s new_x000D_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Newpipe handles it internally_x000D_
    Actual behaviour_x000D_
     Tell us what happens instead     _x000D_
Some errors occured message shows at bottom_x000D_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Now   sorry  I have unsubscribed to that channel and now can t reproduce the bug  Again  sorry_x000D_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</si>
  <si>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nikita36078-J2ME-Loader-694</t>
  </si>
  <si>
    <t>Highway Racer - app crashes</t>
  </si>
  <si>
    <t xml:space="preserve">  Emulator version:  _x000D_
1 6 1 fixed2 open_x000D_
_x000D_
  Game version:  _x000D_
1 0_x000D_
_x000D_
  Game resolution:  _x000D_
128x128_x000D_
_x000D_
  Device:  _x000D_
Redmi 5A_x000D_
_x000D_
  Android version:  _x000D_
8 1 0_x000D_
_x000D_
  Description of the issue:  _x000D_
game hang then crashes while starting new game_x000D_
 link to file (http:  www mediafire com file isamner8y6hrfix HighwayRacerNew jar file) </t>
  </si>
  <si>
    <t>nextcloud-android-6096</t>
  </si>
  <si>
    <t>App hangs/crashes on startup</t>
  </si>
  <si>
    <t xml:space="preserve">    Steps to reproduce_x000D_
1  Open the app with a network connection _x000D_
2  Tried reinstalling the app as well _x000D_
_x000D_
    Expected behaviour_x000D_
Open the app to enable browsing of folders  _x000D_
_x000D_
    Actual behaviour_x000D_
The app just hangs 15sec after starting it and the error log is shown  It seems related to listing of the folders as the  progress bar  on top keeps moving until the app crashes _x000D_
_x000D_
    Can you reproduce this problem on https:  try nextcloud com_x000D_
Didn t try this  _x000D_
_x000D_
    Environment data_x000D_
Android version: 9_x000D_
Device model: OnePlus 5_x000D_
_x000D_
Stock or customized system: stock_x000D_
_x000D_
Nextcloud app version: 3 11 1_x000D_
_x000D_
Nextcloud server version: 18 0 4_x000D_
_x000D_
Reverse proxy: no_x000D_
_x000D_
    Logs_x000D_
     Web server error log_x000D_
N A_x000D_
_x000D_
     Nextcloud log (data nextcloud log)_x000D_
   _x000D_
             CAUSE OF ERROR             _x000D_
_x000D_
android database sqlite SQLiteBlobTooBigException: Row too big to fit into CursorWindow requiredPos 3681  totalRows 1609_x000D_
	at android database sqlite SQLiteConnection nativeExecuteForCursorWindow(Native Method)_x000D_
	at android database sqlite SQLiteConnection executeForCursorWindow(SQLiteConnection java:859)_x000D_
	at android database sqlite SQLiteSession executeForCursorWindow(SQLiteSession java:836)_x000D_
	at android database sqlite SQLiteQuery fillWindow(SQLiteQuery java:62)_x000D_
	at android database sqlite SQLiteCursor fillWindow(SQLiteCursor java:157)_x000D_
	at android database sqlite SQLiteCursor onMove(SQLiteCursor java:128)_x000D_
	at android database AbstractCursor moveToPosition(AbstractCursor java:237)_x000D_
	at android database AbstractCursor moveToNext(AbstractCursor java:269)_x000D_
	at com owncloud android providers FileContentProvider deleteDirectory(FileContentProvider java:191)_x000D_
	at com owncloud android providers FileContentProvider delete(FileContentProvider java:135)_x000D_
	at com owncloud android providers FileContentProvider deleteDirectory(FileContentProvider java:185)_x000D_
	at com owncloud android providers FileContentProvider delete(FileContentProvider java:135)_x000D_
	at com owncloud android providers FileContentProvider delete(FileContentProvider java:115)_x000D_
	at android content ContentProviderOperation apply(ContentProviderOperation java:327)_x000D_
	at com owncloud android providers FileContentProvider applyBatch(FileContentProvider java:671)_x000D_
	at android content ContentProvider Transport applyBatch(ContentProvider java:344)_x000D_
	at android content ContentProviderClient applyBatch(ContentProviderClient java:474)_x000D_
	at android content ContentResolver applyBatch(ContentResolver java:1705)_x000D_
	at com owncloud android datamodel FileDataStorageManager saveFolder(FileDataStorageManager java:407)_x000D_
	at com owncloud android operations RefreshFolderOperation synchronizeData(RefreshFolderOperation java:478)_x000D_
	at com owncloud android operations RefreshFolderOperation fetchAndSyncRemoteFolder(RefreshFolderOperation java:369)_x000D_
	at com owncloud android operations RefreshFolderOperation run(RefreshFolderOperation java:228)_x000D_
	at com owncloud android lib common operations RemoteOperation run(RemoteOperation java:357)_x000D_
	at java lang Thread run(Thread java:764)_x000D_
_x000D_
             APP INFORMATION             _x000D_
ID: com nextcloud client_x000D_
Version: 30110190_x000D_
Build flavor: gplay_x000D_
_x000D_
             DEVICE INFORMATION             _x000D_
Brand: OnePlus_x000D_
Device: OnePlus5_x000D_
Model: ONEPLUS A5000_x000D_
Id: PKQ1 180716 001_x000D_
Product: OnePlus5_x000D_
_x000D_
             FIRMWARE             _x000D_
SDK: 28_x000D_
Release: 9_x000D_
Incremental: 2002242003_x000D_
_x000D_
   _x000D_
_x000D_
</t>
  </si>
  <si>
    <t>TeamNewPipe-NewPipe-3601</t>
  </si>
  <si>
    <t>App crashes when downloading subscribed feed (since 0.19.3)</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</si>
  <si>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_x000D_
    Steps to reproduce the bug_x000D_
Try to open subscribed channels feed (default or custom)_x000D_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See my subscribed feed _x000D_
_x000D_
    Actual behaviour_x000D_
     Tell us what happens instead     _x000D_
NewPipe crashes_x000D_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Exception_x000D_
    User Action:   ui error_x000D_
    Request:   App crash  UI failure_x000D_
    Content Language:   GB_x000D_
    Service:   none_x000D_
    Version:   0 19 3_x000D_
    OS:   Linux Android 9   28_x000D_
_x000D_
_x000D_
 details  summary  b Crash log  b   summary  p _x000D_
_x000D_
   _x000D_
java util FormatFlagsConversionMismatchException: Conversion   s  Flags    _x000D_
	at java util Formatter FormatSpecifier failMismatch(Formatter java:4398)_x000D_
	at java util Formatter FormatSpecifier checkBadFlags(Formatter java:3091)_x000D_
	at java util Formatter FormatSpecifier checkGeneral(Formatter java:3049)_x000D_
	at java util Formatter FormatSpecifier  init (Formatter java:2816)_x000D_
	at java util Formatter FormatSpecifierParser  init (Formatter java:2624)_x000D_
	at java util Formatter parse(Formatter java:2557)_x000D_
	at java util Formatter format(Formatter java:2504)_x000D_
	at java util Formatter format(Formatter java:2458)_x000D_
	at java lang String format(String java:2883)_x000D_
	at android content res Resources getString(Resources java:466)_x000D_
	at androidx fragment app Fragment getString(Fragment java:873)_x000D_
	at org schabi newpipe local feed FeedFragment updateRefreshViewState(FeedFragment kt:283)_x000D_
	at org schabi newpipe local feed FeedFragment updateRelativeTimeViews(FeedFragment kt:273)_x000D_
	at org schabi newpipe local feed FeedFragment onResume(FeedFragment kt:83)_x000D_
	at androidx fragment app Fragment performResume(Fragment java:2649)_x000D_
	at androidx fragment app FragmentManagerImpl moveToState(FragmentManagerImpl java:922)_x000D_
	at androidx fragment app FragmentManagerImpl moveFragmentToExpectedState(FragmentManagerImpl java:1238)_x000D_
	at androidx fragment app FragmentManagerImpl moveToState(FragmentManagerImpl java:1303)_x000D_
	at androidx fragment app BackStackRecord executeOps(BackStackRecord java:439)_x000D_
	at androidx fragment app FragmentManagerImpl executeOps(FragmentManagerImpl java:2079)_x000D_
	at androidx fragment app FragmentManagerImpl executeOpsTogether(FragmentManagerImpl java:1869)_x000D_
	at androidx fragment app FragmentManagerImpl removeRedundantOperationsAndExecute(FragmentManagerImpl java:1824)_x000D_
	at androidx fragment app FragmentManagerImpl execPendingActions(FragmentManagerImpl java:1727)_x000D_
	at androidx fragment app FragmentManagerImpl 2 run(FragmentManagerImpl java:150)_x000D_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_x000D_
   _x000D_
  p   details _x000D_
 hr _x000D_
_x000D_
     That s right  here     _x000D_
</t>
  </si>
  <si>
    <t>nextcloud-talk-android-887</t>
  </si>
  <si>
    <t>Android App crashs by adding Pictures vom the Photos Folder</t>
  </si>
  <si>
    <t>Wen i like to share a Photo in a chat  i type the   button  print to the folder an the App crash s  App Version is 8 09 Android is 9  The Photos Folder have 11GB</t>
  </si>
  <si>
    <t>nextcloud-android-6094</t>
  </si>
  <si>
    <t xml:space="preserve">Issue on Android </t>
  </si>
  <si>
    <t xml:space="preserve">    Steps to reproduce_x000D_
1  No step: the crash log or  unlock screen app  appear  without  that user start the app nextcloud  _x000D_
When you want to start the nextcloud apk app  there are no problem  _x000D_
_x000D_
    unExpected behaviour_x000D_
  sporadic screen of crash log app from nextcloud  without I use the app  _x000D_
 sporadic unlock screen with password   without start the app initially  with a infinity loop  however I put the good password  (I have to lock my phone  to exit the loop) _x000D_
_x000D_
_x000D_
    Environment data_x000D_
Android version: 9_x000D_
_x000D_
Device model:  P20 pro Huawei _x000D_
_x000D_
Stock or customized system: Stock _x000D_
_x000D_
Nextcloud app version: 3 12 rc1_x000D_
_x000D_
Nextcloud server version: 16_x000D_
_x000D_
Reverse proxy: Letsencrypt _x000D_
_x000D_
    Logs_x000D_
    Nextcloud log (data nextcloud log)_x000D_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processTask(ThreadPoolExecutor java:1187)_x000D_
	at java util concurrent ThreadPoolExecutor runWorker(ThreadPoolExecutor java:1152)_x000D_
	at java util concurrent ThreadPoolExecutor Worker run(ThreadPoolExecutor java:641)_x000D_
	at com google android gms common util concurrent zza run(Unknown Source:6)_x000D_
	at java lang Thread run(Thread java:784)_x000D_
Caused by: java lang ClassNotFoundException: Didn t find class  com google firebase analytics connector AnalyticsConnector  on path: DexPathList  zip file   system framework org apache http legacy boot jar   zip file   data app com nextcloud client uak5D IOAOy03572N1a9gQ   base apk   nativeLibraryDirectories   data app com nextcloud client uak5D IOAOy03572N1a9gQ   lib arm64   data app com nextcloud client uak5D IOAOy03572N1a9gQ   base apk  lib arm64 v8a   system lib64   product lib64  _x000D_
	at dalvik system BaseDexClassLoader findClass(BaseDexClassLoader java:134)_x000D_
	at java lang ClassLoader loadClass(ClassLoader java:379)_x000D_
	at java lang ClassLoader loadClass(ClassLoader java:312)_x000D_
	    9 more_x000D_
_x000D_
             APP INFORMATION             _x000D_
ID: com nextcloud client_x000D_
Version: 30120051_x000D_
Build flavor: gplay_x000D_
_x000D_
             DEVICE INFORMATION             _x000D_
Brand: HUAWEI_x000D_
Device: HWCLT_x000D_
Model: CLT L29_x000D_
Id: HUAWEICLT L29_x000D_
Product: CLT L29_x000D_
_x000D_
             FIRMWARE             _x000D_
SDK: 28_x000D_
Release: 9_x000D_
Incremental: 9 1 0 372C33_x000D_
_x000D_
_x000D_
</t>
  </si>
  <si>
    <t>TeamNewPipe-NewPipe-3595</t>
  </si>
  <si>
    <t>App keeps running in background 0.19.3</t>
  </si>
  <si>
    <t>inaturalist-iNaturalistAndroid-831</t>
  </si>
  <si>
    <t>NullPointerException in ExploreSearchFilters.isCurrentLocation</t>
  </si>
  <si>
    <t xml:space="preserve">https:  console firebase google com u 2 project inaturalist ios crashlytics app android:org inaturalist android issues 7e1d65a193de6b77234a8ddd1a3bda9d time last seven days sessionId 5EBEF7A60224000128482CD27FC4196B DNE 0 v2_x000D_
_x000D_
1 18 14 (420)_x000D_
_x000D_
   _x000D_
Fatal Exception: java lang NullPointerException: Attempt to write to field  boolean org inaturalist android ExploreSearchFilters isCurrentLocation  on a null object reference_x000D_
       at org inaturalist android ExploreSearchActivity 1 afterTextChanged(ExploreSearchActivity java:167)_x000D_
       at android widget TextView sendAfterTextChanged(TextView java:9419)_x000D_
       at android widget TextView ChangeWatcher afterTextChanged(TextView java:11961)_x000D_
       at android text SpannableStringBuilder sendAfterTextChanged(SpannableStringBuilder java:1268)_x000D_
       at android text SpannableStringBuilder replace(SpannableStringBuilder java:574)_x000D_
       at android text SpannableStringBuilder replace(SpannableStringBuilder java:504)_x000D_
       at android text SpannableStringBuilder replace(SpannableStringBuilder java:502)_x000D_
       at android view inputmethod BaseInputConnection replaceText(BaseInputConnection java:843)_x000D_
       at android view inputmethod BaseInputConnection setComposingText(BaseInputConnection java:616)_x000D_
       at com android internal view IInputConnectionWrapper executeMessage(IInputConnectionWrapper java:396)_x000D_
       at com android internal view IInputConnectionWrapper MyHandler handleMessage(IInputConnectionWrapper java:85)_x000D_
       at android os Handler dispatchMessage(Handler java:105)_x000D_
   </t>
  </si>
  <si>
    <t>nextcloud-android-6092</t>
  </si>
  <si>
    <t>App crashes every time a nextcloud talk call comes in</t>
  </si>
  <si>
    <t xml:space="preserve">    Steps to reproduce_x000D_
1  Have both apps nextcloud and talk app installed on phone _x000D_
2  Call the account assigned on that phone by nextcloud talk_x000D_
3  The call will not be signaled but the  nextcloud app is reported to have crashed_x000D_
_x000D_
    Expected behaviour_x000D_
Phone signals the call and after ac opting the talk app should build up a video or voice conference_x000D_
_x000D_
    Actual behaviour_x000D_
No call is signaled and the nextcloud app is reporting g a  rash_x000D_
_x000D_
    Can you reproduce this problem on https:  try nextcloud com _x000D_
Didn t check that so far  _x000D_
_x000D_
    Environment data_x000D_
Android 9_x000D_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DpDj y 6nyisYGRqXiX0Bg   base apk   nativeLibraryDirectories   data app com nextcloud client DpDj y 6nyisYGRqXiX0Bg   lib arm64   data app com nextcloud client DpDj y 6nyisYGRqXiX0Bg   base apk  lib arm64 v8a   system lib64   system vendor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30110190_x000D_
Build flavor: gplay_x000D_
_x000D_
             DEVICE INFORMATION             _x000D_
Brand: samsung_x000D_
Device: jackpotlte_x000D_
Model: SM A530F_x000D_
Id: PPR1 180610 011_x000D_
Product: jackpotltexx_x000D_
_x000D_
             FIRMWARE             _x000D_
SDK: 28_x000D_
Release: 9_x000D_
Incremental: A530FXXUBCTD2_x000D_
Device model: _x000D_
_x000D_
</t>
  </si>
  <si>
    <t>google-google-authenticator-android-119</t>
  </si>
  <si>
    <t>InflateException: Binary XML file line #110</t>
  </si>
  <si>
    <t xml:space="preserve">   X  This issue is present in the app downloaded from the  Play Store  playstore  _x000D_
_x000D_
   Describe the Bug_x000D_
_x000D_
After last google authenticator update  i cannot open google authenticator app _x000D_
_x000D_
    Intended Behavior_x000D_
_x000D_
Open google authenticator activity  displaying all my 2fa codes _x000D_
_x000D_
    Actual Behavior_x000D_
_x000D_
Activity crashing at startup _x000D_
_x000D_
   Reproducing_x000D_
_x000D_
1  Open app_x000D_
2  See the app crashing _x000D_
_x000D_
    Device_x000D_
_x000D_
Fill out the details about the device and app version in which you encountered the bug _x000D_
_x000D_
   Device: Pocket23gxx (Samsung SM G11 0B)_x000D_
   OS: Android 4 4 2_x000D_
   Version Google Authenticator 5 10_x000D_
_x000D_
   Additional Information_x000D_
_x000D_
Full exception stack trace (taken with logcat):_x000D_
_x000D_
   java_x000D_
java lang RuntimeException: Unable to start activity ComponentInfo com google android apps authenticator2 com google android apps authenticator AuthenticatorActivity : android view InflateException: Binary XML file line  110: Error inflating class com google android libraries material speeddial expandable ExpandableFloatingActionButton_x000D_
E AndroidRuntime(17596):        at android app ActivityThread performLaunchActivity(ActivityThread java:2436)_x000D_
E AndroidRuntime(17596):        at android app ActivityThread handleLaunchActivity(ActivityThread java:2498)_x000D_
E AndroidRuntime(17596):        at android app ActivityThread access 900(ActivityThread java:179)_x000D_
E AndroidRuntime(17596):        at android app ActivityThread H handleMessage(ActivityThread java:1324)_x000D_
E AndroidRuntime(17596):        at android os Handler dispatchMessage(Handler java:102)_x000D_
E AndroidRuntime(17596):        at android os Looper loop(Looper java:146)_x000D_
E AndroidRuntime(17596):        at android app ActivityThread main(ActivityThread java:5641)_x000D_
E AndroidRuntime(17596):        at java lang reflect Method invokeNative(Native Method)_x000D_
E AndroidRuntime(17596):        at java lang reflect Method invoke(Method java:515)_x000D_
E AndroidRuntime(17596):        at com android internal os ZygoteInit MethodAndArgsCaller run(ZygoteInit java:1288)_x000D_
E AndroidRuntime(17596):        at com android internal os ZygoteInit main(ZygoteInit java:1104)_x000D_
E AndroidRuntime(17596):        at dalvik system NativeStart main(Native Method)_x000D_
E AndroidRuntime(17596): Caused by: android view InflateException: Binary XML file line  110: Error inflating class com google android libraries material speeddial expandable ExpandableFloatingActionButton_x000D_
E AndroidRuntime(17596):        at android view LayoutInflater createView(LayoutInflater java:626)_x000D_
E AndroidRuntime(17596):        at android view LayoutInflater createViewFromTag(LayoutInflater java:702)_x000D_
E AndroidRuntime(17596):        at android view LayoutInflater rInflate(LayoutInflater java:761)_x000D_
E AndroidRuntime(17596):        at android view LayoutInflater rInflate(LayoutInflater java:769)_x000D_
E AndroidRuntime(17596):        at android view LayoutInflater rInflate(LayoutInflater java:769)_x000D_
E AndroidRuntime(17596):        at android view LayoutInflater inflate(LayoutInflater java:498)_x000D_
E AndroidRuntime(17596):        at android view LayoutInflater inflate(LayoutInflater java:398)_x000D_
E AndroidRuntime(17596):        at android view LayoutInflater inflate(LayoutInflater java:354)_x000D_
E AndroidRuntime(17596):        at android support v7 app AppCompatDelegateImpl setContentView(PG:819)_x000D_
E AndroidRuntime(17596):        at android support v7 app AppCompatActivity setContentView(PG:117)_x000D_
E AndroidRuntime(17596):        at com google android apps authenticator AuthenticatorActivity onCreate(PG:234)_x000D_
E AndroidRuntime(17596):        at android app Activity performCreate(Activity java:5484)_x000D_
E AndroidRuntime(17596):        at android app Instrumentation callActivityOnCreate(Instrumentation java:1093)_x000D_
E AndroidRuntime(17596):        at android app ActivityThread performLaunchActivity(ActivityThread java:2400)_x000D_
   _x000D_
_x000D_
 playstore : https:  play google com store apps details id com google android apps authenticator2_x000D_
 opensource : https:  github com google google authenticator android_x000D_
</t>
  </si>
  <si>
    <t>nextcloud-talk-android-845</t>
  </si>
  <si>
    <t>App crashes on trying to open unread messages</t>
  </si>
  <si>
    <t xml:space="preserve">    Steps to reproduce_x000D_
1  Launch app(I m using nextcloud talk v 8 0 9_x000D_
2  Click on a conversation with unread messages_x000D_
3  _x000D_
_x000D_
    Expected behaviour_x000D_
 conversation should open and function as intended_x000D_
_x000D_
    Actual behaviour_x000D_
  on clicking on a conversation with unread messages  app crashes multiple times producing the same cause of error report with option to report error_x000D_
_x000D_
 crashes persist on switching to other apps(I don t think nextcloud closes when I switch)_x000D_
_x000D_
  this seems to only happen when there are unread messages_x000D_
_x000D_
    Can you reproduce this problem on https:  try nextcloud com _x000D_
_x000D_
Sorry  but I could not  _x000D_
Not sure how to reproduce this  _x000D_
_x000D_
  Please create a test demo account and see if this still happens there _x000D_
  If yes  please open up a bug report_x000D_
  If not  please verify server setup and ask for help on forum_x000D_
_x000D_
    Environment data_x000D_
Sorry  all these below have been provided in the  nextcloud log  section  all as generated by the nextcloud cause of error report _x000D_
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3Hm6VIEdafQgpeBwO07Gxg   base apk   nativeLibraryDirectories   data app com nextcloud client 3Hm6VIEdafQgpeBwO07Gxg   lib arm64   data app com nextcloud client 3Hm6VIEdafQgpeBwO07Gxg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30110190_x000D_
Build flavor: gplay_x000D_
_x000D_
             DEVICE INFORMATION             _x000D_
Brand: samsung_x000D_
Device: m30s_x000D_
Model: SM M307F_x000D_
Id: _x000D_
Product: m30sdd_x000D_
_x000D_
             FIRMWARE             _x000D_
SDK: 28_x000D_
Release: 9_x000D_
Incremental: M307FXXS2ATB3_x000D_
   _x000D_
  NOTE:   Be super sure to remove sensitive data like passwords  note that everybody can look here  You can use the Issue Template application to prefill some of the required information: https:  apps nextcloud com apps issuetemplate_x000D_
</t>
  </si>
  <si>
    <t>smartdevicelink-sdl_java_suite-1351</t>
  </si>
  <si>
    <t>Samsung devices not properly managing notification channels</t>
  </si>
  <si>
    <t xml:space="preserve">    Bug Report_x000D_
Since the channel delete code as added back in last release to address some phones not clearing the notification  a new issue has appeared with Samsung devices  These devices are not properly deleting and recreating the notification channel and therefore it throws a fatal exception  While the code itself in the library should not allow this to happen  it seems the OS has other issues _x000D_
_x000D_
      Reproduction Steps_x000D_
1  Star SDL connection like normal_x000D_
2  Disconnect_x000D_
3  Restart SDL connection  should crash_x000D_
_x000D_
      Expected Behavior_x000D_
_x000D_
Notification is displayed and clears properly _x000D_
_x000D_
      Observed Behavior_x000D_
Notification is not created  RS not started  app experiences fatal crash_x000D_
_x000D_
   _x000D_
Fatal Exception: android app RemoteServiceException_x000D_
Bad notification for startForeground: java lang RuntimeException: invalid channel for service notification: Notification(channel sdl notification channel pri 0 contentView null vibrate null sound null tick defaults 0x0 flags 0x40 color 0x00000000 vis PRIVATE semFlags 0x0 semPriority 0 semMissedCount 0)_x000D_
   _x000D_
_x000D_
      OS   Version Information_x000D_
  Assuming Android 9   likely 10_x000D_
 Devices: Samsung S10   Note 10   S10  S9   S9 _x000D_
_x000D_
</t>
  </si>
  <si>
    <t>square-okhttp-6053</t>
  </si>
  <si>
    <t>Caused by java.lang.VerifyError: Verifier rejected class com.android.org.conscrypt.ConscryptFileDescriptorSocket</t>
  </si>
  <si>
    <t>Hello  we are coming across following crash in crashlytics   for realme 5pro Android OS 10: _x000D_
_x000D_
Libraries used : _x000D_
com squareup okhttp3:okhttp:3 14 2_x000D_
com squareup okhttp3:logging interceptor:3 14 2_x000D_
com squareup okhttp3:mockwebserver:3 14 2_x000D_
_x000D_
We could not reproduce it  but able to see it in crashlytcis  Please find the logs below: _x000D_
Could you please help on this _x000D_
_x000D_
Caused by java lang VerifyError: Verifier rejected class com android org conscrypt ConscryptFileDescriptorSocket: com android org conscrypt ConscryptSession com android org conscrypt ConscryptFileDescriptorSocket provideSession():  0xFFFFFFFF  exception handler starts at bad address (2)_x000D_
 void com android org conscrypt ConscryptFileDescriptorSocket waitForHandshake() failed to verify: void com android org conscrypt ConscryptFileDescriptorSocket waitForHandshake():  0x3A  unexpected non exception class Reference: com android org conscrypt AbstractSessionContext 2 (declaration of  com android org conscrypt ConscryptFileDescriptorSocket  appears in  apex com android conscrypt javalib conscrypt jar)_x000D_
       at com android org conscrypt Platform createFileDescriptorSocket(Platform java:356)_x000D_
       at com android org conscrypt OpenSSLSocketFactoryImpl createSocket(OpenSSLSocketFactoryImpl java:155)_x000D_
       at okhttp3 internal connection RealConnection connectTls(RealConnection java:325)_x000D_
       at okhttp3 internal connection RealConnection establishProtocol(RealConnection java:300)_x000D_
       at okhttp3 internal connection RealConnection connect(RealConnection java:185)_x000D_
       at okhttp3 internal connection ExchangeFinder findConnection(ExchangeFinder java:224)_x000D_
       at okhttp3 internal connection ExchangeFinder findHealthyConnection(ExchangeFinder java:108)_x000D_
       at okhttp3 internal connection ExchangeFinder find(ExchangeFinder java:88)_x000D_
       at okhttp3 internal connection Transmitter newExchange(Transmitter java:169)_x000D_
       at okhttp3 internal connection ConnectInterceptor intercept(ConnectInterceptor java:41)_x000D_
       at okhttp3 internal http RealInterceptorChain proceed(RealInterceptorChain java:142)_x000D_
       at okhttp3 internal http RealInterceptorChain proceed(RealInterceptorChain java:117)_x000D_
       at okhttp3 internal cache CacheInterceptor intercept(CacheInterceptor java:94)_x000D_
       at okhttp3 internal http RealInterceptorChain proceed(RealInterceptorChain java:142)_x000D_
       at okhttp3 internal http RealInterceptorChain proceed(RealInterceptorChain java:117)_x000D_
       at okhttp3 internal http BridgeInterceptor intercept(BridgeInterceptor java:93)_x000D_
       at okhttp3 internal http RealInterceptorChain proceed(RealInterceptorChain java:142)_x000D_
       at okhttp3 internal http RetryAndFollowUpInterceptor intercept(RetryAndFollowUpInterceptor java:88)_x000D_
       at okhttp3 internal http RealInterceptorChain proceed(RealInterceptorChain java:142)_x000D_
       at okhttp3 internal http RealInterceptorChain proceed(RealInterceptorChain java:117)_x000D_
       at com discovery sonicclient SonicClient SonicRequestInterceptor intercept(SonicClient java:1015)_x000D_
       at okhttp3 internal http RealInterceptorChain proceed(RealInterceptorChain java:142)_x000D_
       at okhttp3 internal http RealInterceptorChain proceed(RealInterceptorChain java:117)_x000D_
       at okhttp3 RealCall getResponseWithInterceptorChain(RealCall java:229)_x000D_
       at okhttp3 RealCall execute(RealCall java:81)_x000D_
       at com google firebase perf network FirebasePerfOkHttpClient execute(FirebasePerfOkHttpClient java:5)_x000D_
       at retrofit2 OkHttpCall execute(OkHttpCall java:188)_x000D_
       at retrofit2 adapter rxjava2 CallExecuteObservable subscribeActual(CallExecuteObservable java:45)_x000D_
       at io reactivex Observable subscribe(Observable java:12267)_x000D_
       at retrofit2 adapter rxjava2 BodyObservable subscribeActual(BodyObservable java:34)_x000D_
       at io reactivex Observable subscribe(Observable java:12267)_x000D_
       at io reactivex internal operators observable ObservableSingleSingle subscribeActual(ObservableSingleSingle java:35)_x000D_
       at io reactivex Single subscribe(Single java:3603)_x000D_
       at io reactivex internal operators single SingleResumeNext subscribeActual(SingleResumeNext java:39)_x000D_
       at io reactivex Single subscribe(Single java:3603)_x000D_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t>
  </si>
  <si>
    <t>nikita36078-J2ME-Loader-689</t>
  </si>
  <si>
    <t>Rockola music player crash</t>
  </si>
  <si>
    <t xml:space="preserve">  Emulator version:  _x000D_
1 6 1 fix2_x000D_
_x000D_
  Game version:  _x000D_
1 0 7_x000D_
_x000D_
  Game resolution:  _x000D_
  (For example  240x320 or 640x360)  _x000D_
multi_x000D_
  Device:  _x000D_
  (For example  Samsung Galaxy S7)  _x000D_
Honor 5x_x000D_
  Android version:  _x000D_
6 0 1_x000D_
  Description of the issue:  _x000D_
  (What s the problem    Screenshots showing the issue if applicable)  _x000D_
The app crashes when trying to play a mp3 song</t>
  </si>
  <si>
    <t>ankidroid-Anki-Android-6184</t>
  </si>
  <si>
    <t>[2.10.1] Handle massive images in DeckPicker Background</t>
  </si>
  <si>
    <t xml:space="preserve">https:  couchdb ankidroid org acralyzer  design acralyzer index html  report details c6ce8864 f070 4fc9 86e2 370556aad97f_x000D_
_x000D_
100MB image crashed the DeckPicker_x000D_
_x000D_
   _x000D_
ava lang RuntimeException: Canvas: trying to draw too large(115741696bytes) bitmap _x000D_
at android view DisplayListCanvas throwIfCannotDraw(DisplayListCanvas java:229)_x000D_
at android view RecordingCanvas drawBitmap(RecordingCanvas java:101)_x000D_
at android graphics drawable BitmapDrawable draw(BitmapDrawable java:545)_x000D_
at android view View getDrawableRenderNode(View java:22217)_x000D_
at android view View drawBackground(View java:22123)_x000D_
at android view View draw(View java:21879)_x000D_
at android view View updateDisplayListIfDirty(View java:20761)_x000D_
at android view View draw(View java:21614)_x000D_
at android view ViewGroup drawChild(ViewGroup java:4558)_x000D_
at androidx drawerlayout widget DrawerLayout drawChild(DrawerLayout java:14)_x000D_
at android view ViewGroup dispatchDraw(ViewGroup java:4333)_x000D_
at android view View draw(View java:21891)_x000D_
at android view View updateDisplayListIfDirty(View java:20761)_x000D_
at android view View draw(View java:21614)_x000D_
at android view ViewGroup drawChild(ViewGroup java:4558)_x000D_
at android view ViewGroup dispatchDraw(ViewGroup java:4333)_x000D_
at android view View updateDisplayListIfDirty(View java:20747)_x000D_
at android view View draw(View java:21614)_x000D_
at android view ViewGroup drawChild(ViewGroup java:4558)_x000D_
at android view ViewGroup dispatchDraw(ViewGroup java:4333)_x000D_
at android view View updateDisplayListIfDirty(View java:20747)_x000D_
at android view View draw(View java:21614)_x000D_
at android view ViewGroup drawChild(ViewGroup java:4558)_x000D_
at android view ViewGroup dispatchDraw(ViewGroup java:4333)_x000D_
at android view View updateDisplayListIfDirty(View java:20747)_x000D_
at android view View draw(View java:21614)_x000D_
at android view ViewGroup drawChild(ViewGroup java:4558)_x000D_
at android view ViewGroup dispatchDraw(ViewGroup java:4333)_x000D_
at android view View updateDisplayListIfDirty(View java:20747)_x000D_
at android view View draw(View java:21614)_x000D_
at android view ViewGroup drawChild(ViewGroup java:4558)_x000D_
at android view ViewGroup dispatchDraw(ViewGroup java:4333)_x000D_
at android view View draw(View java:21891)_x000D_
at com android internal policy DecorView draw(DecorView java:1082)_x000D_
at android view View updateDisplayListIfDirty(View java:20761)_x000D_
at android view ThreadedRenderer updateViewTreeDisplayList(ThreadedRenderer java:725)_x000D_
at android view ThreadedRenderer updateRootDisplayList(ThreadedRenderer java:731)_x000D_
at android view ThreadedRenderer draw(ThreadedRenderer java:840)_x000D_
at android view ViewRootImpl draw(ViewRootImpl java:3935)_x000D_
at android view ViewRootImpl performDraw(ViewRootImpl java:3709)_x000D_
at android view ViewRootImpl performTraversals(ViewRootImpl java:3017)_x000D_
at android view ViewRootImpl doTraversal(ViewRootImpl java:1876)_x000D_
at android view ViewRootImpl TraversalRunnable run(ViewRootImpl java:8499)_x000D_
at android view Choreographer CallbackRecord run(Choreographer java:986)_x000D_
at android view Choreographer doCallbacks(Choreographer java:764)_x000D_
at android view Choreographer doFrame(Choreographer java:699)_x000D_
at android view Choreographer FrameDisplayEventReceiver run(Choreographer java:965)_x000D_
at android os Handler handleCallback(Handler java:873)_x000D_
at android os Handler dispatchMessage(Handler java:99)_x000D_
at android os Looper loop(Looper java:214)_x000D_
at android app ActivityThread main(ActivityThread java:7073)_x000D_
at java lang reflect Method invoke(Native Method)_x000D_
at com android internal os RuntimeInit MethodAndArgsCaller run(RuntimeInit java:494)_x000D_
at com android internal os ZygoteInit main(ZygoteInit java:965)_x000D_
   </t>
  </si>
  <si>
    <t>aws-amplify-amplify-android-466</t>
  </si>
  <si>
    <t>Crashes when subscribe fails</t>
  </si>
  <si>
    <t xml:space="preserve">Currently  an Android application using DataStore and API crashes when subscribe fails  I can reproduce this by creating an API but not pushing it  or simulating low signal conditions using the emulator  with slightly different stack traces:_x000D_
_x000D_
  No API available  _x000D_
_x000D_
   _x000D_
Caused by: com amplifyframework api ApiException: There is no API configured for this plugin with matching endpoint type _x000D_
        at com amplifyframework api aws AWSApiPlugin selectApiName(AWSApiPlugin java:13)_x000D_
   _x000D_
_x000D_
  Low signal conditions  _x000D_
_x000D_
   _x000D_
Caused by: com amplifyframework api ApiException: Subscription timed out waiting for acknowledgement_x000D_
   _x000D_
_x000D_
  Full log  _x000D_
_x000D_
   _x000D_
2020 05 13 20:21:59 317 16486 16486   I m example todo: Not late enabling  Xcheck:jni (already on)_x000D_
2020 05 13 20:21:59 461 16486 16486   W m example todo: Unexpected CPU variant for X86 using defaults: x86_x000D_
2020 05 13 20:22:00 564 16486 16486 com example todo7 I MultiDex: VM with version 2 1 0 has multidex support_x000D_
2020 05 13 20:22:00 564 16486 16486 com example todo7 I MultiDex: Installing application_x000D_
2020 05 13 20:22:00 564 16486 16486 com example todo7 I MultiDex: VM has multidex support  MultiDex support library is disabled _x000D_
2020 05 13 20:22:00 867 16486 16486 com example todo7 W m example todo: Accessing hidden method Landroid graphics drawable Drawable   getOpticalInsets()Landroid graphics Insets  (light greylist  linking)_x000D_
2020 05 13 20:22:00 867 16486 16486 com example todo7 W m example todo: Accessing hidden field Landroid graphics Insets   left:I (light greylist  linking)_x000D_
2020 05 13 20:22:00 867 16486 16486 com example todo7 W m example todo: Accessing hidden field Landroid graphics Insets   right:I (light greylist  linking)_x000D_
2020 05 13 20:22:00 867 16486 16486 com example todo7 W m example todo: Accessing hidden field Landroid graphics Insets   top:I (light greylist  linking)_x000D_
2020 05 13 20:22:00 867 16486 16486 com example todo7 W m example todo: Accessing hidden field Landroid graphics Insets   bottom:I (light greylist  linking)_x000D_
2020 05 13 20:22:01 068 16486 16486 com example todo7 W m example todo: Accessing hidden method Landroid view View   computeFitSystemWindows(Landroid graphics Rect Landroid graphics Rect )Z (light greylist  reflection)_x000D_
2020 05 13 20:22:01 068 16486 16486 com example todo7 W m example todo: Accessing hidden method Landroid view ViewGroup   makeOptionalFitsSystemWindows()V (light greylist  reflection)_x000D_
2020 05 13 20:22:01 113 16486 16486 com example todo7 W m example todo: Accessing hidden method Landroid widget TextView   getTextDirectionHeuristic()Landroid text TextDirectionHeuristic  (light greylist  linking)_x000D_
2020 05 13 20:22:01 968 16486 16486 com example todo7 W m example todo: Accessing hidden method Lcom android org conscrypt OpenSSLSocketImpl   setUseSessionTickets(Z)V (light greylist  reflection)_x000D_
2020 05 13 20:22:01 968 16486 16486 com example todo7 W m example todo: Accessing hidden method Lcom android org conscrypt OpenSSLSocketImpl   setHostname(Ljava lang String )V (light greylist  reflection)_x000D_
2020 05 13 20:22:01 968 16486 16486 com example todo7 W m example todo: Accessing hidden method Lcom android org conscrypt OpenSSLSocketImpl   getAlpnSelectedProtocol() B (light greylist  reflection)_x000D_
2020 05 13 20:22:01 968 16486 16486 com example todo7 W m example todo: Accessing hidden method Lcom android org conscrypt OpenSSLSocketImpl   setAlpnProtocols( B)V (light greylist  reflection)_x000D_
2020 05 13 20:22:02 016 16486 16486 com example todo7 W m example todo: Accessing hidden method Ldalvik system CloseGuard   get()Ldalvik system CloseGuard  (light greylist  reflection)_x000D_
2020 05 13 20:22:02 016 16486 16486 com example todo7 W m example todo: Accessing hidden method Ldalvik system CloseGuard   open(Ljava lang String )V (light greylist  reflection)_x000D_
2020 05 13 20:22:02 016 16486 16486 com example todo7 W m example todo: Accessing hidden method Ldalvik system CloseGuard   warnIfOpen()V (light greylist  reflection)_x000D_
2020 05 13 20:22:02 017 16486 16486 com example todo7 D NetworkSecurityConfig: No Network Security Config specified  using platform default_x000D_
2020 05 13 20:22:02 064 16486 16486 com example todo7 I Tutorial: Initialized Amplify_x000D_
2020 05 13 20:22:02 260 16486 16526 com example todo7 W m example todo: Accessing hidden field Lsun misc Unsafe   theUnsafe:Lsun misc Unsafe  (light greylist  reflection)_x000D_
2020 05 13 20:22:25 821 16486 16526 com example todo7 W amplify:aws datastore: Could not find getLastSyncTime() on com amplifyframework datastore syncengine LastSyncMetadata  Fallback to direct field access _x000D_
2020 05 13 20:22:25 821 16486 16526 com example todo7 W amplify:aws datastore: Could not find getModelClassName() on com amplifyframework datastore syncengine LastSyncMetadata  Fallback to direct field access _x000D_
2020 05 13 20:22:25 910 16486 16526 com example todo7 I Tutorial:      Todo     _x000D_
2020 05 13 20:22:25 910 16486 16526 com example todo7 I Tutorial: Name: Tidy up the office_x000D_
2020 05 13 20:22:25 910 16486 16526 com example todo7 I Tutorial: Priority: NORMAL_x000D_
2020 05 13 20:22:25 910 16486 16526 com example todo7 I Tutorial: Description: Organize books  vaccuum  take out the trash_x000D_
2020 05 13 20:22:25 910 16486 16526 com example todo7 I Tutorial:      Todo     _x000D_
2020 05 13 20:22:25 910 16486 16526 com example todo7 I Tutorial: Name: Build Android application_x000D_
2020 05 13 20:22:25 910 16486 16526 com example todo7 I Tutorial: Description: Build an Android Application using Amplify_x000D_
2020 05 13 20:22:25 960 16486 16486 com example todo7 D OpenGLRenderer: Skia GL Pipeline_x000D_
2020 05 13 20:22:30 867 16486 16545 com example todo7 D HostConnection: HostConnection::get() New Host Connection established 0xe1b99a60  tid 16545_x000D_
2020 05 13 20:22:30 868 16486 16545 com example todo7 D HostConnection: HostComposition ext ANDROID EMU CHECKSUM HELPER v1 ANDROID EMU native sync v2 ANDROID EMU native sync v3 ANDROID EMU native sync v4 ANDROID EMU dma v1 ANDROID EMU YUV420 888 to NV21 ANDROID EMU YUV Cache ANDROID EMU async unmap buffer GL OES EGL image external essl3 GL OES vertex array object GL KHR texture compression astc ldr ANDROID EMU gles max version 3 0 _x000D_
2020 05 13 20:22:31 009 16486 16545 com example todo7 I ConfigStore: android::hardware::configstore::V1 0::ISurfaceFlingerConfigs::hasWideColorDisplay retrieved: 0_x000D_
2020 05 13 20:22:31 011 16486 16545 com example todo7 I ConfigStore: android::hardware::configstore::V1 0::ISurfaceFlingerConfigs::hasHDRDisplay retrieved: 0_x000D_
2020 05 13 20:22:31 011 16486 16545 com example todo7 I OpenGLRenderer: Initialized EGL  version 1 4_x000D_
2020 05 13 20:22:31 011 16486 16545 com example todo7 D OpenGLRenderer: Swap behavior 1_x000D_
2020 05 13 20:22:31 012 16486 16545 com example todo7 W OpenGLRenderer: Failed to choose config with EGL SWAP BEHAVIOR PRESERVED  retrying without   _x000D_
2020 05 13 20:22:31 012 16486 16545 com example todo7 D OpenGLRenderer: Swap behavior 0_x000D_
2020 05 13 20:22:31 012 16486 16545 com example todo7 D eglCodecCommon: setVertexArrayObject: set vao to 0 (0) 0 0_x000D_
2020 05 13 20:22:31 012 16486 16545 com example todo7 D EGL emulation: eglCreateContext: 0xe565d0e0: maj 3 min 0 rcv 3_x000D_
2020 05 13 20:22:31 013 16486 16545 com example todo7 D EGL emulation: eglMakeCurrent: 0xe565d0e0: ver 3 0 (tinfo 0xe97d2d70)_x000D_
2020 05 13 20:22:31 272 16486 16545 com example todo7 D HostConnection: createUnique: call_x000D_
2020 05 13 20:22:31 272 16486 16545 com example todo7 D HostConnection: HostConnection::get() New Host Connection established 0xcdd74050  tid 16545_x000D_
2020 05 13 20:22:31 361 16486 16545 com example todo7 D HostConnection: HostComposition ext ANDROID EMU CHECKSUM HELPER v1 ANDROID EMU native sync v2 ANDROID EMU native sync v3 ANDROID EMU native sync v4 ANDROID EMU dma v1 ANDROID EMU YUV420 888 to NV21 ANDROID EMU YUV Cache ANDROID EMU async unmap buffer GL OES EGL image external essl3 GL OES vertex array object GL KHR texture compression astc ldr ANDROID EMU gles max version 3 0 _x000D_
2020 05 13 20:22:31 361 16486 16545 com example todo7 E eglCodecCommon: GoldfishAddressSpaceHostMemoryAllocator: ioctl ping failed for device type 5  ret  1_x000D_
2020 05 13 20:22:31 409 16486 16545 com example todo7 D EGL emulation: eglMakeCurrent: 0xe565d0e0: ver 3 0 (tinfo 0xe97d2d70)_x000D_
2020 05 13 20:22:31 412 16486 16545 com example todo7 D eglCodecCommon: setVertexArrayObject: set vao to 0 (0) 3 2_x000D_
2020 05 13 20:22:37 219 16486 16527 com example todo7 W amplify:aws datastore: Error enqueuing mutation from subscription _x000D_
    com amplifyframework datastore DataStoreException: Error during subscription _x000D_
        at com amplifyframework datastore appsync AppSyncClient lambda subscription 3(AppSyncClient java:1)_x000D_
        at com amplifyframework datastore appsync    Lambda AppSyncClient 8gXTT9bgLZGP51blif6hkh7EwIc accept(Unknown Source:4)_x000D_
        at com amplifyframework api aws SubscriptionEndpoint requestSubscription(SubscriptionEndpoint java:27)_x000D_
        at com amplifyframework api aws SubscriptionOperation lambda start 0 SubscriptionOperation(SubscriptionOperation java:4)_x000D_
        at com amplifyframework api aws    Lambda SubscriptionOperation FXgdmzMG9ubNhC1f2NTwXyG53uo run(Unknown Source:2)_x000D_
        at java util concurrent Executors RunnableAdapter call(Executors java:458)_x000D_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java:764)_x000D_
     Caused by: com amplifyframework api ApiException: Subscription timed out waiting for acknowledgement_x000D_
        at com amplifyframework api aws SubscriptionEndpoint requestSubscription(SubscriptionEndpoint java:27) _x000D_
        at com amplifyframework api aws SubscriptionOperation lambda start 0 SubscriptionOperation(SubscriptionOperation java:4) _x000D_
        at com amplifyframework api aws    Lambda SubscriptionOperation FXgdmzMG9ubNhC1f2NTwXyG53uo run(Unknown Source:2) _x000D_
        at java util concurrent Executors RunnableAdapter call(Executors java:458)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java:764) _x000D_
2020 05 13 20:22:48 172 16486 16528 com example todo7 W System err: io reactivex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com amplifyframework datastore DataStoreException: Error during subscription _x000D_
2020 05 13 20:22:48 209 16486 16528 com example todo7 W System err:     at io reactivex plugins RxJavaPlugins onError(RxJavaPlugins java:367)_x000D_
2020 05 13 20:22:48 209 16486 16528 com example todo7 W System err:     at io reactivex internal operators observable ObservableCreate CreateEmitter onError(ObservableCreate java:73)_x000D_
2020 05 13 20:22:48 209 16486 16528 com example todo7 W System err:     at com amplifyframework datastore syncengine    Lambda 3JRr2oIVsg2CVfQ5dpNXlh4mgog accept(Unknown Source:4)_x000D_
2020 05 13 20:22:48 210 16486 16528 com example todo7 W System err:     at com amplifyframework datastore appsync AppSyncClient lambda subscription 3(AppSyncClient java:1)_x000D_
2020 05 13 20:22:48 210 16486 16528 com example todo7 W System err:     at com amplifyframework datastore appsync    Lambda AppSyncClient 8gXTT9bgLZGP51blif6hkh7EwIc accept(Unknown Source:4)_x000D_
2020 05 13 20:22:48 210 16486 16528 com example todo7 W System err:     at com amplifyframework api aws SubscriptionEndpoint requestSubscription(SubscriptionEndpoint java:101)_x000D_
2020 05 13 20:22:48 269 16486 16528 com example todo7 W System err:     at com amplifyframework api aws SubscriptionOperation lambda start 0 SubscriptionOperation(SubscriptionOperation java:4)_x000D_
2020 05 13 20:22:48 269 16486 16528 com example todo7 W System err:     at com amplifyframework api aws    Lambda SubscriptionOperation FXgdmzMG9ubNhC1f2NTwXyG53uo run(Unknown Source:2)_x000D_
2020 05 13 20:22:48 269 16486 16528 com example todo7 W System err:     at java util concurrent Executors RunnableAdapter call(Executors java:458)_x000D_
2020 05 13 20:22:48 269 16486 16528 com example todo7 W System err:     at java util concurrent FutureTask run(FutureTask java:266)_x000D_
2020 05 13 20:22:48 269 16486 16528 com example todo7 W System err:     at java util concurrent ThreadPoolExecutor runWorker(ThreadPoolExecutor java:1167)_x000D_
2020 05 13 20:22:48 269 16486 16528 com example todo7 W System err:     at java util concurrent ThreadPoolExecutor Worker run(ThreadPoolExecutor java:641)_x000D_
2020 05 13 20:22:48 270 16486 16528 com example todo7 W System err:     at java lang Thread run(Thread java:764)_x000D_
2020 05 13 20:22:48 270 16486 16528 com example todo7 W System err: Caused by: com amplifyframework datastore DataStoreException: Error during subscription _x000D_
2020 05 13 20:22:48 270 16486 16528 com example todo7 W System err: 	    10 more_x000D_
2020 05 13 20:22:48 270 16486 16528 com example todo7 W System err: Caused by: com amplifyframework api ApiException: Subscription not acknowledged _x000D_
2020 05 13 20:22:48 271 16486 16528 com example todo7 W System err:     at com amplifyframework api aws SubscriptionEndpoint requestSubscription(SubscriptionEndpoint java:100)_x000D_
2020 05 13 20:22:48 271 16486 16528 com example todo7 W System err: 	    7 more_x000D_
2020 05 13 20:22:48 315 16486 16528 com example todo7 E AndroidRuntime: FATAL EXCEPTION: pool 4 thread 2_x000D_
    Process: com example todo7  PID: 16486_x000D_
    io reactivex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com amplifyframework datastore DataStoreException: Error during subscription _x000D_
        at io reactivex plugins RxJavaPlugins onError(RxJavaPlugins java:367)_x000D_
        at io reactivex internal operators observable ObservableCreate CreateEmitter onError(ObservableCreate java:73)_x000D_
        at com amplifyframework datastore syncengine    Lambda 3JRr2oIVsg2CVfQ5dpNXlh4mgog accept(Unknown Source:4)_x000D_
        at com amplifyframework datastore appsync AppSyncClient lambda subscription 3(AppSyncClient java:1)_x000D_
        at com amplifyframework datastore appsync    Lambda AppSyncClient 8gXTT9bgLZGP51blif6hkh7EwIc accept(Unknown Source:4)_x000D_
        at com amplifyframework api aws SubscriptionEndpoint requestSubscription(SubscriptionEndpoint java:101)_x000D_
        at com amplifyframework api aws SubscriptionOperation lambda start 0 SubscriptionOperation(SubscriptionOperation java:4)_x000D_
        at com amplifyframework api aws    Lambda SubscriptionOperation FXgdmzMG9ubNhC1f2NTwXyG53uo run(Unknown Source:2)_x000D_
        at java util concurrent Executors RunnableAdapter call(Executors java:458)_x000D_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java:764)_x000D_
     Caused by: com amplifyframework datastore DataStoreException: Error during subscription _x000D_
        at com amplifyframework datastore appsync AppSyncClient lambda subscription 3(AppSyncClient java:1) _x000D_
        at com amplifyframework datastore appsync    Lambda AppSyncClient 8gXTT9bgLZGP51blif6hkh7EwIc accept(Unknown Source:4) _x000D_
        at com amplifyframework api aws SubscriptionEndpoint requestSubscription(SubscriptionEndpoint java:101) _x000D_
        at com amplifyframework api aws SubscriptionOperation lambda start 0 SubscriptionOperation(SubscriptionOperation java:4) _x000D_
        at com amplifyframework api aws    Lambda SubscriptionOperation FXgdmzMG9ubNhC1f2NTwXyG53uo run(Unknown Source:2) _x000D_
        at java util concurrent Executors RunnableAdapter call(Executors java:458)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java:764) _x000D_
     Caused by: com amplifyframework api ApiException: Subscription not acknowledged _x000D_
        at com amplifyframework api aws SubscriptionEndpoint requestSubscription(SubscriptionEndpoint java:100)_x000D_
        at com amplifyframework api aws SubscriptionOperation lambda start 0 SubscriptionOperation(SubscriptionOperation java:4) _x000D_
        at com amplifyframework api aws    Lambda SubscriptionOperation FXgdmzMG9ubNhC1f2NTwXyG53uo run(Unknown Source:2) _x000D_
        at java util concurrent Executors RunnableAdapter call(Executors java:458)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java:764) _x000D_
2020 05 13 20:22:48 512 16486 16528 com example todo7 I Process: Sending signal  PID: 16486 SIG: 9_x000D_
   </t>
  </si>
  <si>
    <t>TeamNewPipe-NewPipe-3591</t>
  </si>
  <si>
    <t xml:space="preserve">Version 19.3 'content unavailable' </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</si>
  <si>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v19 3_x000D_
_x000D_
    Steps to reproduce the bug_x000D_
    _x000D_
1  Go to      _x000D_
2  Press on       _x000D_
3  Swipe down to       _x000D_
    it keeps happening regardless of what I do  There are no steps  _x000D_
_x000D_
     If you can t cause the bug to show up again reliably (and hence don t have a proper set of steps to give us)  please still try to give as many details as possible on how you think you encountered the bug      I just used the search engine  tried to pick a video and it throws  content unavailable  in my face  _x000D_
_x000D_
    Expected behavior_x000D_
     Tell us what you expect to happen      I expected to actually be able to play the video  _x000D_
_x000D_
    Actual behaviour_x000D_
     Tell us what happens instead      I pick a video and the error comes up  No matter what I search  any video at all  This comes up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 05 15 003339 (https:  user images githubusercontent com 65374559 81995957 bf056b00 9643 11ea 81ab 61b595b279c8 jpg)_x000D_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</si>
  <si>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cgeo-cgeo-8343</t>
  </si>
  <si>
    <t>[Nightly] c:geo crashes while filtering a list (Transaction too large)</t>
  </si>
  <si>
    <t xml:space="preserve">  Describe the bug:  _x000D_
_x000D_
c:geo crashes on filtering large lists_x000D_
_x000D_
  To Reproduce:  _x000D_
_x000D_
1  open list  All caches  (as this may be of reasonable size   mine has 15220 caches right now)_x000D_
2  select  Filter  and set any filter (over here e  g   Not Found  which would result in about 9k)_x000D_
_x000D_
  Actual behavior state after performing these steps:  _x000D_
_x000D_
Most of the times filtering takes a few seconds     even some seconds with black screen     but then c:geo just crashes  Sometimes it even shows the filtered list  and in very rare cases you can even show the listed caches on map  but after a few seconds c:geo eventually crashes anyway _x000D_
_x000D_
  Expected behavior state after performing these steps:  _x000D_
_x000D_
Show (and let me work with) the filtered list instead of simply crashing    )_x000D_
_x000D_
  Version of c:geo used:  _x000D_
_x000D_
2020 05 14 NB 6ec80da_x000D_
_x000D_
  Is the problem reproducible:  _x000D_
Yes_x000D_
_x000D_
  System information:  _x000D_
   _x000D_
Device: VOG L29 (VOG L29EEA  HUAWEI)_x000D_
Android version: 10_x000D_
Android build: VOG L29 10 0 0 190(C431E19R2P5)_x000D_
c:geo version: 2020 05 14 NB 6ec80da_x000D_
Google Play services: disabled   20 15 16 (120400 309763488)_x000D_
Low power mode: inactive_x000D_
Compass capabilities: yes_x000D_
Rotation vector sensor: present_x000D_
Orientation sensor: present_x000D_
Magnetometer   Accelerometer sensor: present_x000D_
Direction sensor used: rotation vector_x000D_
Hide caches: own found _x000D_
Hide waypoints:  _x000D_
HW acceleration: enabled (default state)_x000D_
System language: de DE_x000D_
System date format: dd MM yy_x000D_
Debug mode active: no_x000D_
System internal c:geo dir:  data user 0 cgeo geocaching (17 4 GB free) internal_x000D_
User storage c:geo dir:  storage emulated 0 cgeo (17 4 GB free) external non removable_x000D_
Geocache data:  storage emulated 0 Android data cgeo geocaching files GeocacheData (17 4 GB free) external non removable_x000D_
Database:  data user 0 cgeo geocaching databases data (267 1 MB) on system internal storage_x000D_
Fine location permission: granted_x000D_
Write external storage permission: granted_x000D_
Geocaching sites enabled:_x000D_
   geocaching com: Logged in (Anmeldung OK)   PREMIUM_x000D_
   extremcaching com: Logged in (Anmeldung OK)_x000D_
Geocaching com date format: dd MMM yy_x000D_
Installed c:geo plugins: contacts_x000D_
   _x000D_
_x000D_
  Additional context:  _x000D_
_x000D_
line 103 in attached logcat reads  Transaction too large     _x000D_
In this very second 2020 05 15 NB 21c408d appeared   tested   same same _x000D_
_x000D_
 logs 2020 05 13 21 20 21 zip (https:  github com cgeo cgeo files 4631361 logs 2020 05 13 21 20 21 zip)_x000D_
</t>
  </si>
  <si>
    <t>k9mail-k-9-4766</t>
  </si>
  <si>
    <t>5.713 crashes when switching to an Office365 account</t>
  </si>
  <si>
    <t xml:space="preserve">Please search to check for an existing issue (including closed issues  for which the fix may not have yet been released) before opening a new issue: https:  github com k9mail k 9 issues q is 3Aissue_x000D_
_x000D_
    Expected behavior_x000D_
_x000D_
Selecting an Office365 Outlook account opens normally _x000D_
_x000D_
    Actual behavior_x000D_
After upgrading to 5 713 from 5 706  K9 would crash when I tried switching from the pop mail account I had open before upgrading to the Office365 Outlook account  Additionally  turning on the Unified folder wouldn t show messages from the Outlook account _x000D_
_x000D_
I accidentally found a fix when checking the Outlook server name in the receiving mail settings  preparatory to trying a different mail client  Without changing or editing anything  hitting next started the check server settings script  which seemed to work  and now I can use the Outlook account normally  Perhaps force a refresh when booting the upgrade for the first time _x000D_
_x000D_
    Steps to reproduce_x000D_
1  Have a pre existing Outlook Office365 account set up in K9  5 713  as well as a pop account _x000D_
2  Prior to upgrading  be in the pop account _x000D_
3  Upgrade to 5 713 (I used F Droid) _x000D_
4  Open K9 and try to switch to the Outlook account _x000D_
_x000D_
    Environment_x000D_
K 9 Mail version: 5 713_x000D_
_x000D_
Android version: 6 0 1 on a One Plus E1003 running OxygenOS 3 1 4_x000D_
_x000D_
Account type (IMAP  POP3  WebDAV Exchange): WebDAV Exchange_x000D_
_x000D_
Please take some time to  retrieve logs (https:  github com k9mail k 9 wiki LoggingErrors) and attach them here:_x000D_
</t>
  </si>
  <si>
    <t>aws-amplify-amplify-android-464</t>
  </si>
  <si>
    <t>Synchronization Error with relations</t>
  </si>
  <si>
    <t xml:space="preserve">Might be a duplicate of  461 but I don t want to crowd that thread if it s different  The main difference is that I can cause this crash to occur with a small amount of data _x000D_
_x000D_
  Schema  _x000D_
   grahphql_x000D_
type GroceryItem  model  _x000D_
  id: ID _x000D_
  checked: Boolean _x000D_
  name: String_x000D_
  position: Int _x000D_
  aisle: Aisle   connection(name:  AisleGroceries )_x000D_
 _x000D_
_x000D_
type Aisle  model  _x000D_
  id: ID _x000D_
  name: String _x000D_
  position: Int _x000D_
  groceries:  GroceryItem     connection(name:  AisleGroceries )_x000D_
 _x000D_
   _x000D_
_x000D_
  Steps to Reproduce  _x000D_
If while my app is running  I run the following two GraphQL queries against the AppSync API directly:_x000D_
_x000D_
   graphql_x000D_
mutation CreateAisle  _x000D_
  createAisle(input:  _x000D_
    id:  d49e54cd 83d6 4fe5 0197 00afa72ac41c  _x000D_
    name:  Aisle9  _x000D_
    position: 0_x000D_
   )  _x000D_
    id_x000D_
    name_x000D_
    position_x000D_
     lastChangedAt_x000D_
     version_x000D_
     deleted_x000D_
   _x000D_
 _x000D_
_x000D_
mutation CreateGroceryItem  _x000D_
  createGroceryItem(input:  _x000D_
    id:  b326a9e7 b225 4d20 9a51 6470f75f6361  _x000D_
    name:  GroceryItem1  _x000D_
    checked: false _x000D_
    position: 0 _x000D_
    groceryItemAisleId:  d49e54cd 83d6 4fe5 0197 00afa72ac41c _x000D_
   )  _x000D_
    id_x000D_
    name_x000D_
    position_x000D_
     lastChangedAt_x000D_
     version_x000D_
     deleted_x000D_
   _x000D_
 _x000D_
_x000D_
   _x000D_
_x000D_
The first query (creating the aisle)  passes without a hitch and I see my app s UI update to reflect it  However  the second query causes a crash _x000D_
_x000D_
  Full stacktrace  _x000D_
   console_x000D_
W amplify:aws datastore: Error enqueuing mutation from subscription _x000D_
    com amplifyframework datastore DataStoreException: Bad subscription data for GroceryItem:  Cannot return null for non nullable type:  Aisle  within parent  GroceryItem  ( onCreateGroceryItem aisle)  Cannot return null for non nullable type:  Boolean  within parent  GroceryItem  ( onCreateGroceryItem checked) _x000D_
        at com amplifyframework datastore appsync AppSyncClient lambda subscription 2 AppSyncClient(AppSyncClient java:3)_x000D_
        at com amplifyframework datastore appsync    Lambda AppSyncClient KK1x1 fo5sffWREukMLi8z0goy4 accept(Unknown Source:10)_x000D_
        at com amplifyframework api aws SubscriptionEndpoint notifySubscriptionData(SubscriptionEndpoint java:2)_x000D_
        at com amplifyframework api aws SubscriptionEndpoint processJsonMessage(SubscriptionEndpoint java:37)_x000D_
        at com amplifyframework api aws SubscriptionEndpoint 1 onMessage(SubscriptionEndpoint java:2)_x000D_
        at okhttp3 internal ws RealWebSocket onReadMessage(RealWebSocket kt:281)_x000D_
        at okhttp3 internal ws WebSocketReader readMessageFrame(WebSocketReader kt:220)_x000D_
        at okhttp3 internal ws WebSocketReader processNextFrame(WebSocketReader kt:100)_x000D_
        at okhttp3 internal ws RealWebSocket loopReader(RealWebSocket kt:241)_x000D_
        at okhttp3 internal ws RealWebSocket connect 1 onResponse(RealWebSocket kt:171)_x000D_
        at okhttp3 internal connection RealCall AsyncCall run(RealCall kt:504)_x000D_
        at java util concurrent ThreadPoolExecutor runWorker(ThreadPoolExecutor java:1167)_x000D_
        at java util concurrent ThreadPoolExecutor Worker run(ThreadPoolExecutor java:641)_x000D_
        at java lang Thread run(Thread java:919)_x000D_
W System err: io reactivex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com amplifyframework datastore DataStoreException: Error during subscription _x000D_
        at io reactivex plugins RxJavaPlugins onError(RxJavaPlugins java:367)_x000D_
        at io reactivex internal operators observable ObservableCreate CreateEmitter onError(ObservableCreate java:73)_x000D_
        at com amplifyframework datastore syncengine    Lambda 3JRr2oIVsg2CVfQ5dpNXlh4mgog accept(Unknown Source:4)_x000D_
        at com amplifyframework datastore appsync AppSyncClient lambda subscription 3(AppSyncClient java:1)_x000D_
        at com amplifyframework datastore appsync    Lambda AppSyncClient 8gXTT9bgLZGP51blif6hkh7EwIc accept(Unknown Source:4)_x000D_
        at com amplifyframework api aws SubscriptionEndpoint releaseSubscription(SubscriptionEndpoint java:17)_x000D_
        at com amplifyframework api aws SubscriptionOperation cancel(SubscriptionOperation java:3)_x000D_
        at com amplifyframework datastore syncengine RemoteModelMutations Subscription end(RemoteModelMutations java:1)_x000D_
        at com amplifyframework datastore syncengine RemoteModelMutations lambda null 0 RemoteModelMutations(RemoteModelMutations java:3)_x000D_
        at com amplifyframework datastore syncengine    Lambda RemoteModelMutations eavD0liMNZmUMFXU iuVTXwepF8 cancel(Unknown Source:2)_x000D_
        at io reactivex internal disposables CancellableDisposable dispose(CancellableDisposable java:48)_x000D_
        at io reactivex internal disposables DisposableHelper dispose(DisposableHelper java:124)_x000D_
W System err:     at io reactivex internal operators observable ObservableCreate CreateEmitter dispose(ObservableCreate java:121)_x000D_
        at io reactivex internal operators observable ObservableCreate CreateEmitter tryOnError(ObservableCreate java:86)_x000D_
        at io reactivex internal operators observable ObservableCreate CreateEmitter onError(ObservableCreate java:72)_x000D_
        at com amplifyframework datastore syncengine    Lambda 3JRr2oIVsg2CVfQ5dpNXlh4mgog accept(Unknown Source:4)_x000D_
W System err:     at com amplifyframework datastore appsync AppSyncClient lambda subscription 2 AppSyncClient(AppSyncClient java:4)_x000D_
        at com amplifyframework datastore appsync    Lambda AppSyncClient KK1x1 fo5sffWREukMLi8z0goy4 accept(Unknown Source:10)_x000D_
W System err:     at com amplifyframework api aws SubscriptionEndpoint notifySubscriptionData(SubscriptionEndpoint java:2)_x000D_
        at com amplifyframework api aws SubscriptionEndpoint processJsonMessage(SubscriptionEndpoint java:37)_x000D_
        at com amplifyframework api aws SubscriptionEndpoint 1 onMessage(SubscriptionEndpoint java:2)_x000D_
        at okhttp3 internal ws RealWebSocket onReadMessage(RealWebSocket kt:281)_x000D_
        at okhttp3 internal ws WebSocketReader readMessageFrame(WebSocketReader kt:220)_x000D_
        at okhttp3 internal ws WebSocketReader processNextFrame(WebSocketReader kt:100)_x000D_
        at okhttp3 internal ws RealWebSocket loopReader(RealWebSocket kt:241)_x000D_
        at okhttp3 internal ws RealWebSocket connect 1 onResponse(RealWebSocket kt:171)_x000D_
        at okhttp3 internal connection RealCall AsyncCall run(RealCall kt:504)_x000D_
        at java util concurrent ThreadPoolExecutor runWorker(ThreadPoolExecutor java:1167)_x000D_
        at java util concurrent ThreadPoolExecutor Worker run(ThreadPoolExecutor java:641)_x000D_
        at java lang Thread run(Thread java:919)_x000D_
    Caused by: com amplifyframework datastore DataStoreException: Error during subscription _x000D_
    	    27 more_x000D_
    Caused by: com amplifyframework api ApiException: Subscription completion not acknowledged _x000D_
        at com amplifyframework api aws SubscriptionEndpoint releaseSubscription(SubscriptionEndpoint java:16)_x000D_
W System err: 	    24 more_x000D_
E AndroidRuntime: FATAL EXCEPTION: OkHttp https:  xxxxxxxxxxxxxxxxx appsync realtime api us east 2 amazonaws com    _x000D_
    Process: com andrewdickinson grocerylist  PID: 7514_x000D_
    io reactivex exceptions UndeliverableException: The exception could not be delivered to the consumer because it has already canceled disposed the flow or the exception has nowhere to go to begin with  Further reading: https:  github com ReactiveX RxJava wiki What s different in 2 0 error handling   com amplifyframework datastore DataStoreException: Error during subscription _x000D_
        at io reactivex plugins RxJavaPlugins onError(RxJavaPlugins java:367)_x000D_
        at io reactivex internal operators observable ObservableCreate CreateEmitter onError(ObservableCreate java:73)_x000D_
        at com amplifyframework datastore syncengine    Lambda 3JRr2oIVsg2CVfQ5dpNXlh4mgog accept(Unknown Source:4)_x000D_
        at com amplifyframework datastore appsync AppSyncClient lambda subscription 3(AppSyncClient java:1)_x000D_
        at com amplifyframework datastore appsync    Lambda AppSyncClient 8gXTT9bgLZGP51blif6hkh7EwIc accept(Unknown Source:4)_x000D_
        at com amplifyframework api aws SubscriptionEndpoint releaseSubscription(SubscriptionEndpoint java:17)_x000D_
        at com amplifyframework api aws SubscriptionOperation cancel(SubscriptionOperation java:3)_x000D_
        at com amplifyframework datastore syncengine RemoteModelMutations Subscription end(RemoteModelMutations java:1)_x000D_
        at com amplifyframework datastore syncengine RemoteModelMutations lambda null 0 RemoteModelMutations(RemoteModelMutations java:3)_x000D_
        at com amplifyframework datastore syncengine    Lambda RemoteModelMutations eavD0liMNZmUMFXU iuVTXwepF8 cancel(Unknown Source:2)_x000D_
        at io reactivex internal disposables CancellableDisposable dispose(CancellableDisposable java:48)_x000D_
        at io reactivex internal disposables DisposableHelper dispose(DisposableHelper java:124)_x000D_
        at io reactivex internal operators observable ObservableCreate CreateEmitter dispose(ObservableCreate java:121)_x000D_
        at io reactivex internal operators observable ObservableCreate CreateEmitter tryOnError(ObservableCreate java:86)_x000D_
        at io reactivex internal operators observable ObservableCreate CreateEmitter onError(ObservableCreate java:72)_x000D_
        at com amplifyframework datastore syncengine    Lambda 3JRr2oIVsg2CVfQ5dpNXlh4mgog accept(Unknown Source:4)_x000D_
        at com amplifyframework datastore appsync AppSyncClient lambda subscription 2 AppSyncClient(AppSyncClient java:4)_x000D_
        at com amplifyframework datastore appsync    Lambda AppSyncClient KK1x1 fo5sffWREukMLi8z0goy4 accept(Unknown Source:10)_x000D_
        at com amplifyframework api aws SubscriptionEndpoint notifySubscriptionData(SubscriptionEndpoint java:2)_x000D_
        at com amplifyframework api aws SubscriptionEndpoint processJsonMessage(SubscriptionEndpoint java:37)_x000D_
        at com amplifyframework api aws SubscriptionEndpoint 1 onMessage(SubscriptionEndpoint java:2)_x000D_
        at okhttp3 internal ws RealWebSocket onReadMessage(RealWebSocket kt:281)_x000D_
        at okhttp3 internal ws WebSocketReader readMessageFrame(WebSocketReader kt:220)_x000D_
        at okhttp3 internal ws WebSocketReader processNextFrame(WebSocketReader kt:100)_x000D_
        at okhttp3 internal ws RealWebSocket loopReader(RealWebSocket kt:241)_x000D_
        at okhttp3 internal ws RealWebSocket connect 1 onResponse(RealWebSocket kt:171)_x000D_
        at okhttp3 internal connection RealCall AsyncCall run(RealCall kt:504)_x000D_
        at java util concurrent ThreadPoolExecutor runWorker(ThreadPoolExecutor java:1167)_x000D_
        at java util concurrent ThreadPoolExecutor Worker run(ThreadPoolExecutor java:641)_x000D_
        at java lang Thread run(Thread java:919)_x000D_
     Caused by: com amplifyframework datastore DataStoreException: Error during subscription _x000D_
        at com amplifyframework datastore appsync AppSyncClient lambda subscription 3(AppSyncClient java:1) _x000D_
        at com amplifyframework datastore appsync    Lambda AppSyncClient 8gXTT9bgLZGP51blif6hkh7EwIc accept(Unknown Source:4) _x000D_
        at com amplifyframework api aws SubscriptionEndpoint releaseSubscription(SubscriptionEndpoint java:17) _x000D_
        at com amplifyframework api aws SubscriptionOperation cancel(SubscriptionOperation java:3) _x000D_
        at com amplifyframework datastore syncengine RemoteModelMutations Subscription end(RemoteModelMutations java:1) _x000D_
        at com amplifyframework datastore syncengine RemoteModelMutations lambda null 0 RemoteModelMutations(RemoteModelMutations java:3) _x000D_
        at com amplifyframework datastore syncengine    Lambda RemoteModelMutations eavD0liMNZmUMFXU iuVTXwepF8 cancel(Unknown Source:2) _x000D_
        at io reactivex internal disposables CancellableDisposable dispose(CancellableDisposable java:48) _x000D_
        at io reactivex internal disposables DisposableHelper dispose(DisposableHelper java:124) _x000D_
        at io reactivex internal operators observable ObservableCreate CreateEmitter dispose(ObservableCreate java:121) _x000D_
        at io reactivex internal operators observable ObservableCreate CreateEmitter tryOnError(ObservableCreate java:86) _x000D_
        at io reactivex internal operators observable ObservableCreate CreateEmitter onError(ObservableCreate java:72) _x000D_
        at com amplifyframework datastore syncengine    Lambda 3JRr2oIVsg2CVfQ5dpNXlh4mgog accept(Unknown Source:4) _x000D_
        at com amplifyframework datastore appsync AppSyncClient lambda subscription 2 AppSyncClient(AppSyncClient java:4) _x000D_
        at com amplifyframework datastore appsync    Lambda AppSyncClient KK1x1 fo5sffWREukMLi8z0goy4 accept(Unknown Source:10) _x000D_
        at com amplifyframework api aws SubscriptionEndpoint notifySubscriptionData(SubscriptionEndpoint java:2) _x000D_
        at com amplifyframework api aws SubscriptionEndpoint processJsonMessage(SubscriptionEndpoint java:37) _x000D_
        at com amplifyframework api aws SubscriptionEndpoint 1 onMessage(SubscriptionEndpoint java:2) _x000D_
        at okhttp3 internal ws RealWebSocket onReadMessage(RealWebSocket kt:281) _x000D_
        at okhttp3 internal ws WebSocketReader readMessageFrame(WebSocketReader kt:220) _x000D_
        at okhttp3 internal ws WebSocketReader processNextFrame(WebSocketReader kt:100) _x000D_
        at okhttp3 internal ws RealWebSocket loopReader(RealWebSocket kt:241) _x000D_
        at okhttp3 internal ws RealWebSocket connect 1 onResponse(RealWebSocket kt:171) _x000D_
        at okhttp3 internal connection RealCall AsyncCall run(RealCall kt:504) _x000D_
        at java util concurrent ThreadPoolExecutor runWorker(ThreadPoolExecutor java:1167) _x000D_
        at java util concurrent ThreadPoolExecutor Worker run(ThreadPoolExecutor java:641) _x000D_
        at java lang Thread run(Thread java:919) _x000D_
     Caused by: com amplifyframework api ApiException: Subscription completion not acknowledged _x000D_
        at com amplifyframework api aws SubscriptionEndpoint releaseSubscription(SubscriptionEndpoint java:16)_x000D_
        at com amplifyframework api aws SubscriptionOperation cancel(SubscriptionOperation java:3) _x000D_
        at com amplifyframework datastore syncengine RemoteModelMutations Subscription end(RemoteModelMutations java:1) _x000D_
        at com amplifyframework datastore syncengine RemoteModelMutations lambda null 0 RemoteModelMutations(RemoteModelMutations java:3) _x000D_
        at com amplifyframework datastore syncengine    Lambda RemoteModelMutations eavD0liMNZmUMFXU iuVTXwepF8 cancel(Unknown Source:2) _x000D_
        at io reactivex internal disposables CancellableDisposable dispose(CancellableDisposable java:48) _x000D_
        at io reactivex internal disposables DisposableHelper dispose(DisposableHelper java:124) _x000D_
        at io reactivex internal operators observable ObservableCreate CreateEmitter dispose(ObservableCreate java:121) _x000D_
        at io reactivex internal operators observable ObservableCreate CreateEmitter tryOnError(ObservableCreate java:86) _x000D_
        at io reactivex internal operators observable ObservableCreate CreateEmitter onError(ObservableCreate java:72) _x000D_
        at com amplifyframework datastore syncengine    Lambda 3JRr2oIVsg2CVfQ5dpNXlh4mgog accept(Unknown Source:4) _x000D_
        at com amplifyframework datastore appsync AppSyncClient lambda subscription 2 AppSyncClient(AppSyncClient java:4) _x000D_
        at com amplifyframework datastore appsync    Lambda AppSyncClient KK1x1 fo5sffWREukMLi8z0goy4 accept(Unknown Source:10) _x000D_
        at com amplifyframework api aws SubscriptionEndpoint notifySubscriptionData(SubscriptionEndpoint java:2) _x000D_
        at com amplifyframework api aws SubscriptionEndpoint processJsonMessage(SubscriptionEndpoint java:37) _x000D_
        at com amplifyframework api aws SubscriptionEndpoint 1 onMessage(SubscriptionEndpoint java:2) _x000D_
        at okhttp3 internal ws RealWebSocket onReadMessage(RealWebSocket kt:281) _x000D_
        at okhttp3 internal ws WebSocketReader readMessageFrame(WebSocketReader kt:220) _x000D_
        at okhttp3 internal ws WebSocketReader processNextFrame(WebSocketReader kt:100) _x000D_
        at okhttp3 internal ws RealWebSocket loopReader(RealWebSocket kt:241) _x000D_
        at okhttp3 internal ws RealWebSocket connect 1 onResponse(RealWebSocket kt:171) _x000D_
        at okhttp3 internal connection RealCall AsyncCall run(RealCall kt:504) _x000D_
        at java util concurrent ThreadPoolExecutor runWorker(ThreadPoolExecutor java:1167) _x000D_
        at java util concurrent ThreadPoolExecutor Worker run(ThreadPoolExecutor java:641) _x000D_
        at java lang Thread run(Thread java:919) _x000D_
   </t>
  </si>
  <si>
    <t>inaturalist-iNaturalistAndroid-830</t>
  </si>
  <si>
    <t>NullPointerException in ObservationViewerActivity.setupMap</t>
  </si>
  <si>
    <t xml:space="preserve">https:  console firebase google com u 2 project inaturalist ios crashlytics app android:org inaturalist android issues 0ca540df53106afb293884c3c5d29638 time last seven days sessionId 5EBD699F002D00010EFA8764A5A8917D DNE 0 v2_x000D_
_x000D_
1 18 14 (420)_x000D_
_x000D_
   _x000D_
Fatal Exception: java lang NullPointerException: Attempt to read from field  java lang Double org inaturalist android Observation private latitude  on a null object reference_x000D_
       at org inaturalist android ObservationViewerActivity setupMap(ObservationViewerActivity java:1396)_x000D_
       at org inaturalist android ObservationViewerActivity access 800(ObservationViewerActivity java:113)_x000D_
       at org inaturalist android ObservationViewerActivity 2 onMapReady(ObservationViewerActivity java:685)_x000D_
       at com google android gms maps zzak zza(:2)_x000D_
       at com google android gms maps internal zzaq dispatchTransaction(:12)_x000D_
       at com google android gms internal maps zzb onTransact(:12)_x000D_
       at android os Binder transact(Binder java:914)_x000D_
       at cg b(:com google android gms policy maps dynamite 201512001 201512001057 308330177 308330177:2)_x000D_
       at com google maps api android lib6 impl be run(:com google android gms policy maps dynamite 201512001 201512001057 308330177 308330177:2)_x000D_
       at android os Handler handleCallback(Handler java:883)_x000D_
       at android os Handler dispatchMessage(Handler java:100)_x000D_
   </t>
  </si>
  <si>
    <t>ankidroid-Anki-Android-6177</t>
  </si>
  <si>
    <t>NullPointerException when pressing space bar</t>
  </si>
  <si>
    <t xml:space="preserve">https:  couchdb ankidroid org acralyzer  design acralyzer index html  report details d167ecd1 4fb1 472f 9ff6 daa5df00158f_x000D_
_x000D_
Judging from the LogCat  the  DeckPicker  was opened:  No startup screens required _x000D_
_x000D_
 details  summary Logcat  summary _x000D_
	_x000D_
   _x000D_
          beginning of main_x000D_
05 14 13:41:22 930 I AnkiDroid(10562): AbstractFlashcardViewer:: Question successfully shown for card id 1561638421620_x000D_
05 14 13:42:30 268 I AnkiDroid(10562): AbstractFlashcardViewer:: EASE 2 pressed_x000D_
05 14 13:42:30 273 I AnkiDroid(10562): Answering card_x000D_
05 14 13:42:30 275 I AnkiDroid(10562): Answering card 1561638421620_x000D_
05 14 13:42:30 302 I AnkiDroid(10562): flush   Saving information to DB   _x000D_
          beginning of system_x000D_
05 14 13:42:30 403 I AnkiDroid(10562): User has permissions to access collection_x000D_
05 14 13:42:30 514 I AnkiDroid(10562): colOpen: true_x000D_
05 14 13:42:30 515 I AnkiDroid(10562): No startup screens required_x000D_
05 14 13:42:30 524 I AnkiDroid(10562): Handling Activity Result: 901  Result: 52_x000D_
05 14 13:42:30 526 I AnkiDroid(10562): Creating notification channel with id name: General Notifications AnkiDroid_x000D_
05 14 13:42:30 527 I AnkiDroid(10562): Creating notification channel with id name: Synchronization Synchronisierung_x000D_
05 14 13:42:30 529 I AnkiDroid(10562): Creating notification channel with id name: Global Reminders F llige Karten_x000D_
05 14 13:42:30 530 I AnkiDroid(10562): Creating notification channel with id name: Deck Reminders Erinnerungen_x000D_
          beginning of crash_x000D_
   _x000D_
_x000D_
_x000D_
_x000D_
  details _x000D_
_x000D_
 details  summary Stack Trace  summary _x000D_
_x000D_
   _x000D_
java lang NullPointerException: Attempt to invoke virtual method  long com ichi2 libanki Card getODue()  on a null object reference_x000D_
at com ichi2 libanki sched Sched answerButtons(Sched java:1)_x000D_
at com ichi2 anki AbstractFlashcardViewer getAnswerButtonCount(AbstractFlashcardViewer java:1)_x000D_
at com ichi2 anki AbstractFlashcardViewer getDefaultEase(AbstractFlashcardViewer java:1)_x000D_
at com ichi2 anki Reviewer onKeyUp(Reviewer java:5)_x000D_
at android view KeyEvent dispatch(KeyEvent java:2772)_x000D_
at android app Activity dispatchKeyEvent(Activity java:3559)_x000D_
at androidx core app ComponentActivity superDispatchKeyEvent(ComponentActivity java:1)_x000D_
at androidx core view KeyEventDispatcher dispatchKeyEvent(KeyEventDispatcher java:2)_x000D_
at androidx core app ComponentActivity dispatchKeyEvent(ComponentActivity java:3)_x000D_
at androidx appcompat app AppCompatActivity dispatchKeyEvent(AppCompatActivity java:4)_x000D_
at androidx appcompat view WindowCallbackWrapper dispatchKeyEvent(WindowCallbackWrapper java:1)_x000D_
at androidx appcompat app AppCompatDelegateImpl AppCompatWindowCallback dispatchKeyEvent(AppCompatDelegateImpl java:2)_x000D_
at androidx appcompat view WindowCallbackWrapper dispatchKeyEvent(WindowCallbackWrapper java:1)_x000D_
at com android internal policy DecorView dispatchKeyEvent(DecorView java:427)_x000D_
at android view ViewRootImpl ViewPostImeInputStage processKeyEvent(ViewRootImpl java:5663)_x000D_
at android view ViewRootImpl ViewPostImeInputStage onProcess(ViewRootImpl java:5531)_x000D_
at android view ViewRootImpl InputStage deliver(ViewRootImpl java:4983)_x000D_
at android view ViewRootImpl InputStage onDeliverToNext(ViewRootImpl java:5036)_x000D_
at android view ViewRootImpl InputStage forward(ViewRootImpl java:5002)_x000D_
at android view ViewRootImpl AsyncInputStage forward(ViewRootImpl java:5157)_x000D_
at android view ViewRootImpl InputStage apply(ViewRootImpl java:5010)_x000D_
at android view ViewRootImpl AsyncInputStage apply(ViewRootImpl java:5214)_x000D_
at android view ViewRootImpl InputStage deliver(ViewRootImpl java:4983)_x000D_
at android view ViewRootImpl InputStage onDeliverToNext(ViewRootImpl java:5036)_x000D_
at android view ViewRootImpl InputStage forward(ViewRootImpl java:5002)_x000D_
at android view ViewRootImpl InputStage apply(ViewRootImpl java:5010)_x000D_
at android view ViewRootImpl InputStage deliver(ViewRootImpl java:4983)_x000D_
at android view ViewRootImpl InputStage onDeliverToNext(ViewRootImpl java:5036)_x000D_
at android view ViewRootImpl InputStage forward(ViewRootImpl java:5002)_x000D_
at android view ViewRootImpl AsyncInputStage forward(ViewRootImpl java:5190)_x000D_
at android view ViewRootImpl ImeInputStage onFinishedInputEvent(ViewRootImpl java:5354)_x000D_
at android view inputmethod InputMethodManager PendingEvent run(InputMethodManager java:2783)_x000D_
at android view inputmethod InputMethodManager invokeFinishedInputEventCallback(InputMethodManager java:2291)_x000D_
at android view inputmethod InputMethodManager finishedInputEvent(InputMethodManager java:2282)_x000D_
at android view inputmethod InputMethodManager H handleMessage(InputMethodManager java:569)_x000D_
at android os Handler dispatchMessage(Handler java:112)_x000D_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_x000D_
_x000D_
  details </t>
  </si>
  <si>
    <t>aws-amplify-amplify-android-461</t>
  </si>
  <si>
    <t>DataStore initial sync fails when using relations &amp; DynamoDB tables have too many records</t>
  </si>
  <si>
    <t xml:space="preserve">For a schema with types A  B  C and relations:_x000D_
   _x000D_
A has a B _x000D_
A has a C_x000D_
   _x000D_
The above relations create Foreign Key restrictions in SQLite _x000D_
_x000D_
The order in which the tables are going to be synced is calculated by TopologicalOrdering I think and that seem to work for a relatively small amount of records _x000D_
_x000D_
If in AppSync DynamoDB we have 10 A    10 B   10 C items  then DataStore will manage at some point to sync everything _x000D_
_x000D_
But if we increase the amount to   100 then my app always crashes with Foreign Key Constraint Failure _x000D_
_x000D_
I am not 100  sure but what I can see the sync engine is trying to save a type A before all the necessary B   C items are stored locally  Both B   C SQLite tables have at the moment of the crash a subset of the records in DynamoDB  And I cannot see the B   C related items in my DB which are needed to comply with the Foreign Key restriction  Maybe I am missing something  _x000D_
_x000D_
  Possible workarounds  _x000D_
My next step would be to increase the default limit in the resolvers to make sure the sync engine fetches all the records for now or wait for the DataStoreConfiguration to be implemented _x000D_
_x000D_
   _x000D_
Caused by: android database sqlite SQLiteConstraintException: FOREIGN KEY constraint failed (code 787 SQLITE CONSTRAINT FOREIGNKEY)_x000D_
        at android database sqlite SQLiteConnection nativeExecuteForLastInsertedRowId(Native Method)_x000D_
        at android database sqlite SQLiteConnection executeForLastInsertedRowId(SQLiteConnection java:796)_x000D_
        at android database sqlite SQLiteSession executeForLastInsertedRowId(SQLiteSession java:788)_x000D_
        at android database sqlite SQLiteStatement executeInsert(SQLiteStatement java:86)_x000D_
        at com amplifyframework datastore storage sqlite SQLiteStorageAdapter saveModel(SQLiteStorageAdapter java:43)_x000D_
        at com amplifyframework datastore storage sqlite SQLiteStorageAdapter lambda save 3 SQLiteStorageAdapter(SQLiteStorageAdapter java:47)_x000D_
        at com amplifyframework datastore storage sqlite    Lambda SQLiteStorageAdapter JhGtXoPGeJ7lbNvRHxROfLs WmE run(Unknown Source:12) _x000D_
        at java util concurrent Executors RunnableAdapter call(Executors java:458)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java:764) _x000D_
 E AndroidRuntime: FATAL EXCEPTION: pool 2 thread 2_x000D_
    java lang RuntimeException: com amplifyframework datastore DataStoreException: Error in saving the model: Instance id 03c486b5 ebe4 447e 876c a0775f20bacd _x000D_
        at io reactivex internal util ExceptionHelper wrapOrThrow(ExceptionHelper java:46)_x000D_
        at io reactivex internal observers BlockingMultiObserver blockingGet(BlockingMultiObserver java:93)_x000D_
        at io reactivex Completable blockingAwait(Completable java:1227)_x000D_
        at com amplifyframework datastore syncengine Orchestrator lambda start 0 Orchestrator(Orchestrator java:3)_x000D_
        at com amplifyframework datastore syncengine    Lambda Orchestrator sXOpGcCGs9ZiNIMKtTT6tZMPTQU run(Unknown Source:2)_x000D_
        at io reactivex internal operators completable CompletableFromAction subscribeActual(CompletableFromAction java:35)_x000D_
        at io reactivex Completable subscribe(Completable java:2309)_x000D_
        at io reactivex internal operators completable CompletableAndThenCompletable SourceObserver onComplete(CompletableAndThenCompletable java:67)_x000D_
        at io reactivex internal operators completable CompletableCreate Emitter onComplete(CompletableCreate java:64)_x000D_
        at com amplifyframework datastore AWSDataStorePlugin lambda null 3(AWSDataStorePlugin java:1)_x000D_
        at com amplifyframework datastore    Lambda AWSDataStorePlugin CfTzVDcGyTSlzFjO5KtLbC eIGc accept(Unknown Source:4)_x000D_
        at com amplifyframework datastore storage sqlite SQLiteStorageAdapter lambda null 0 SQLiteStorageAdapter(SQLiteStorageAdapter java:3)_x000D_
        at com amplifyframework datastore storage sqlite    Lambda SQLiteStorageAdapter w4lkRK7kn70UKyGuaWOFqFrETHI run(Unknown Source:4)_x000D_
        at io reactivex internal observers CallbackCompletableObserver onComplete(CallbackCompletableObserver java:53)_x000D_
        at io reactivex internal operators completable CompletableFromSingle CompletableFromSingleObserver onSuccess(CompletableFromSingle java:51)_x000D_
        at io reactivex internal operators single SingleFlatMap SingleFlatMapCallback FlatMapSingleObserver onSuccess(SingleFlatMap java:111)_x000D_
        at io reactivex internal operators single SingleCreate Emitter onSuccess(SingleCreate java:67)_x000D_
        at com amplifyframework datastore storage sqlite PersistentModelVersion lambda null 1(PersistentModelVersion java:1)_x000D_
        at com amplifyframework datastore storage sqlite    Lambda PersistentModelVersion 3EIFYsUxnq4w1GB5yAimLeipvmc accept(Unknown Source:6)_x000D_
        at com amplifyframework datastore storage sqlite SQLiteStorageAdapter lambda save 3 SQLiteStorageAdapter(SQLiteStorageAdapter java:60)_x000D_
        at com amplifyframework datastore storage sqlite    Lambda SQLiteStorageAdapter JhGtXoPGeJ7lbNvRHxROfLs WmE run(Unknown Source:12)_x000D_
        at java util concurrent Executors RunnableAdapter call(Executors java:458)_x000D_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java:764)_x000D_
     Caused by: com amplifyframework datastore DataStoreException: Error in saving the model: Instance id 03c486b5 ebe4 447e 876c a0775f20bacd _x000D_
        at com amplifyframework datastore storage sqlite SQLiteStorageAdapter lambda save 3 SQLiteStorageAdapter(SQLiteStorageAdapter java:91)_x000D_
        at com amplifyframework datastore storage sqlite    Lambda SQLiteStorageAdapter JhGtXoPGeJ7lbNvRHxROfLs WmE run(Unknown Source:12) _x000D_
        at java util concurrent Executors RunnableAdapter call(Executors java:458)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java:764) _x000D_
     Caused by: android database sqlite SQLiteConstraintException: FOREIGN KEY constraint failed (code 787 SQLITE CONSTRAINT FOREIGNKEY)_x000D_
        at android database sqlite SQLiteConnection nativeExecuteForLastInsertedRowId(Native Method)_x000D_
        at android database sqlite SQLiteConnection executeForLastInsertedRowId(SQLiteConnection java:796)_x000D_
        at android database sqlite SQLiteSession executeForLastInsertedRowId(SQLiteSession java:788)_x000D_
        at android database sqlite SQLiteStatement executeInsert(SQLiteStatement java:86)_x000D_
        at com amplifyframework datastore storage sqlite SQLiteStorageAdapter saveModel(SQLiteStorageAdapter java:43)_x000D_
        at com amplifyframework datastore storage sqlite SQLiteStorageAdapter lambda save 3 SQLiteStorageAdapter(SQLiteStorageAdapter java:47)_x000D_
        at com amplifyframework datastore storage sqlite    Lambda SQLiteStorageAdapter JhGtXoPGeJ7lbNvRHxROfLs WmE run(Unknown Source:12) _x000D_
        at java util concurrent Executors RunnableAdapter call(Executors java:458)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java:764) _x000D_
   </t>
  </si>
  <si>
    <t>nikita36078-J2ME-Loader-686</t>
  </si>
  <si>
    <t xml:space="preserve">Fast and furious fugitive 2d or 3d </t>
  </si>
  <si>
    <t xml:space="preserve">  Emulator version:   1 6 1_x000D_
_x000D_
_x000D_
  Game version:  _x000D_
_x000D_
_x000D_
  Game resolution:  240x320_x000D_
  (For example  240x320 or 640x360)  _x000D_
_x000D_
  Device:  Redmi note 7 pro_x000D_
  (For example  Samsung Galaxy S7)  _x000D_
_x000D_
  Android version:  9 0_x000D_
_x000D_
  Description of the issue:  The game crashes after the menu starts   cant be played_x000D_
  (What s the problem    Screenshots showing the issue if applicable)  _x000D_
_x000D_
</t>
  </si>
  <si>
    <t>nextcloud-android-6070</t>
  </si>
  <si>
    <t>Crash just after pressing synchronise option on android client</t>
  </si>
  <si>
    <t xml:space="preserve">    Steps to reproduce_x000D_
1  Don t know if reproducable_x000D_
2  After syncing 3 or 4 directories (which probably hadn t finished) pressed sync on another directory and the client crashed immediately_x000D_
3  _x000D_
_x000D_
    Expected behaviour_x000D_
  Tell us what should happen_x000D_
No crash_x000D_
    Actual behaviour_x000D_
  Tell us what happens_x000D_
             CAUSE OF ERROR             _x000D_
_x000D_
java lang RuntimeException: Unable to start service com owncloud android services OperationsService 663e908 with Intent   act SYNC FOLDER cmp com nextcloud client com owncloud android services OperationsService (has extras)  : java lang ClassCastException: com nextcloud client account RegisteredUser cannot be cast to android accounts Account_x000D_
	at android app ActivityThread handleServiceArgs(ActivityThread java:4179)_x000D_
	at android app ActivityThread  wrap21(Unknown Source:0)_x000D_
	at android app ActivityThread H handleMessage(ActivityThread java:2119)_x000D_
	at android os Handler dispatchMessage(Handler java:108)_x000D_
	at android os Looper loop(Looper java:166)_x000D_
	at android app ActivityThread main(ActivityThread java:7529)_x000D_
	at java lang reflect Method invoke(Native Method)_x000D_
	at com android internal os Zygote MethodAndArgsCaller run(Zygote java:245)_x000D_
	at com android internal os ZygoteInit main(ZygoteInit java:921)_x000D_
Caused by: java lang ClassCastException: com nextcloud client account RegisteredUser cannot be cast to android accounts Account_x000D_
	at com owncloud android services OperationsService onStartCommand(OperationsService java:196)_x000D_
	at android app ActivityThread handleServiceArgs(ActivityThread java:4151)_x000D_
	    8 more_x000D_
_x000D_
             APP INFORMATION             _x000D_
ID: com nextcloud client_x000D_
Version: 30120051_x000D_
Build flavor: gplay_x000D_
_x000D_
             DEVICE INFORMATION             _x000D_
Brand: HUAWEI_x000D_
Device: HWAGS2_x000D_
Model: AGS2 W09_x000D_
Id: HUAWEIAGS2 W09_x000D_
Product: AGS2 W09EEA_x000D_
_x000D_
             FIRMWARE             _x000D_
SDK: 26_x000D_
Release: 8 0 0_x000D_
Incremental: 278(OCEC431)_x000D_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</si>
  <si>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hzi-braunschweig-SORMAS-Project-2090</t>
  </si>
  <si>
    <t>Possibility of users directly updating from older versions to current versions</t>
  </si>
  <si>
    <t xml:space="preserve">_x000D_
_x000D_
    Problem Description_x000D_
Currently  mobile app users are unable to directly update the SORMAS app from a very old version to a current version  Forinstance  users cant directly update from 1 37 0 to 1 40 0 without the app crashing  _x000D_
We have situations whereby mobile users who havent used the app for sometime decide to activate their use  This means they have to uninstall whatever version is on their device  install the latest version and go through the long process of entering server urls  entering login details and synchronization_x000D_
    Proposed Change_x000D_
It would be great  if it were possible to have a feature that makes it possible for a mobile user who is already logged in on an old version  and hasnt used the app for quite sometime  to quickly update from that old version to the most current version and still remain logged in as long as his login details havent changed  Chinedar  foyiri  MartinWahnschaffeSymeda  MateStrysewskeSym _x000D_
    Possible Alternatives_x000D_
_x000D_
    Additional Information_x000D_
</t>
  </si>
  <si>
    <t>commons-app-apps-android-commons-3748</t>
  </si>
  <si>
    <t>App crashes when scrolling ITEMS in search activity</t>
  </si>
  <si>
    <t xml:space="preserve">  Summary:   _x000D_
App crashes when scrolling ITEMS in search activity _x000D_
_x000D_
  Steps to reproduce:   _x000D_
1  Go to Explore_x000D_
2  Search for  rabbit  then tap ITEMS_x000D_
3  Tap an item from recycler view_x000D_
4  Go back_x000D_
5  Try to scroll any direction_x000D_
_x000D_
  Device and Android version:   _x000D_
Emulator API 29_x000D_
 _x000D_
  Commons app version:   _x000D_
Latest master prodDebug_x000D_
_x000D_
  Would you like to work on the issue   _x000D_
Yes</t>
  </si>
  <si>
    <t>TeamNewPipe-NewPipe-3582</t>
  </si>
  <si>
    <t>Notification Bug</t>
  </si>
  <si>
    <t xml:space="preserve">   _x000D_
There is a notification bug where the notification sound keeps ringing  The only way to turn off the notification sound is to either close Newpipe entirely or turn off notifications for Newpipe _x000D_
     The comments between these brackets won t show up in the submitted issue (as you can see in the preview)     _x000D_
_x000D_
    Version_x000D_
     Which version are you using  Hopefully the latest  We just told you that above     _x000D_
 0 19 3_x000D_
Android 10_x000D_
Samsung S20 and S10_x000D_
One UI 2 1_x000D_
_x000D_
    Steps to reproduce the bug_x000D_
    _x000D_
   _x000D_
I don t know how to reproduce the error  It just randomly appear as I listen to music _x000D_
_x000D_
One time I was listening to music which was connected to the car Bluetooth  Then I made a phone call  Then hung up  Then then notification sounds started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</si>
  <si>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material-components-material-components-android-1297</t>
  </si>
  <si>
    <t>[Continuous Integration] Android API 24 - missing package</t>
  </si>
  <si>
    <t xml:space="preserve">  Description:   When running the CI  the Android version 24 variants of the tests fail  As displayed by the stack trace of any  recent CI run (https:  travis ci org github material components material components android jobs 686370925)   sdkmanager fails to find the system image:_x000D_
   error_x000D_
The command  sdkmanager  system images android  EMULATOR API  ABI     dev null  failed and exited with 1 during  _x000D_
   _x000D_
_x000D_
_x000D_
  Expected behavior:   The CI should not error for this reason and run normally  On master  it should pass_x000D_
_x000D_
  Source code:   Here is the specific command that creates the error:_x000D_
   _x000D_
sdkmanager  system images android  EMULATOR API  ABI     dev null_x000D_
   _x000D_
what actually crashes however is the  ABI environment variable (equal to  google apis armeabi v7a1)_x000D_
</t>
  </si>
  <si>
    <t>material-components-material-components-android-1295</t>
  </si>
  <si>
    <t>NPE In BottomSheetBehavior ViewDragHelper</t>
  </si>
  <si>
    <t xml:space="preserve">  Description:   Crash (see logs below)_x000D_
_x000D_
  Expected behavior:   Not to crash_x000D_
_x000D_
  Android API version:   8 1 0_x000D_
_x000D_
  Material Library version:   com google android material:material:1 2 0 alpha06_x000D_
_x000D_
  Device:   Moto G (5) Plus_x000D_
_x000D_
  More Info:   From  Android issue tracker (https:  issuetracker google com issues 156400385):_x000D_
_x000D_
  Looks like this is in https:  github com material components material components android blob master lib java com google android material bottomsheet BottomSheetBehavior java L512 which should be filed on https:  github com material components material components android issues_x000D_
_x000D_
  There s already a null check earlier in that method at https:  github com material components material components android blob master lib java com google android material bottomsheet BottomSheetBehavior java L498 so probably the same defensive check needs to be done everywhere viewDragHelper is used  Going to close this here   please refile in the Github tracker _x000D_
_x000D_
 V8  is the obfuscated name of ViewDragHelper  and  b  is  mTouchSlop  _x000D_
_x000D_
   _x000D_
Fatal Exception: java lang NullPointerException: Attempt to read from field  int V8 b  on a null object reference_x000D_
       at androidx customview widget ViewDragHelper getTouchSlop(ViewDragHelper java:503)_x000D_
       at com google android material bottomsheet BottomSheetBehavior onTouchEvent(BottomSheetBehavior java:512)_x000D_
       at androidx coordinatorlayout widget CoordinatorLayout performIntercept(CoordinatorLayout java:505)_x000D_
       at androidx coordinatorlayout widget CoordinatorLayout onTouchEvent(CoordinatorLayout java:557)_x000D_
       at android view View dispatchTouchEvent(View java:11779)_x000D_
       at android view ViewGroup dispatchTransformedTouchEvent(ViewGroup java:2965)_x000D_
       at android view ViewGroup dispatchTouchEvent(ViewGroup java:2643)_x000D_
       at android view ViewGroup dispatchTransformedTouchEvent(ViewGroup java:2971)_x000D_
       at android view ViewGroup dispatchTouchEvent(ViewGroup java:2657)_x000D_
       at android view ViewGroup dispatchTransformedTouchEvent(ViewGroup java:2971)_x000D_
       at android view ViewGroup dispatchTouchEvent(ViewGroup java:2657)_x000D_
       at android view ViewGroup dispatchTransformedTouchEvent(ViewGroup java:2971)_x000D_
       at android view ViewGroup dispatchTouchEvent(ViewGroup java:2657)_x000D_
       at android view ViewGroup dispatchTransformedTouchEvent(ViewGroup java:2971)_x000D_
       at android view ViewGroup dispatchTouchEvent(ViewGroup java:2657)_x000D_
       at android view ViewGroup dispatchTransformedTouchEvent(ViewGroup java:2971)_x000D_
       at android view ViewGroup dispatchTouchEvent(ViewGroup java:2657)_x000D_
       at android view ViewGroup dispatchTransformedTouchEvent(ViewGroup java:2971)_x000D_
       at android view ViewGroup dispatchTouchEvent(ViewGroup java:2657)_x000D_
       at com android internal policy DecorView superDispatchTouchEvent(DecorView java:477)_x000D_
       at com android internal policy PhoneWindow superDispatchTouchEvent(PhoneWindow java:1835)_x000D_
       at android app Activity dispatchTouchEvent(Activity java:3326)_x000D_
       at androidx appcompat view WindowCallbackWrapper dispatchTouchEvent(WindowCallbackWrapper java:69)_x000D_
       at androidx appcompat view WindowCallbackWrapper dispatchTouchEvent(WindowCallbackWrapper java:1)_x000D_
       at com android internal policy DecorView dispatchTouchEvent(DecorView java:439)_x000D_
       at android view View dispatchPointerEvent(View java:12018)_x000D_
       at android view ViewRootImpl ViewPostImeInputStage processPointerEvent(ViewRootImpl java:4829)_x000D_
       at android view ViewRootImpl ViewPostImeInputStage onProcess(ViewRootImpl java:4643)_x000D_
       at android view ViewRootImpl InputStage deliver(ViewRootImpl java:4181)_x000D_
       at android view ViewRootImpl InputStage onDeliverToNext(ViewRootImpl java:4234)_x000D_
       at android view ViewRootImpl InputStage forward(ViewRootImpl java:4200)_x000D_
       at android view ViewRootImpl AsyncInputStage forward(ViewRootImpl java:4327)_x000D_
       at android view ViewRootImpl InputStage apply(ViewRootImpl java:4208)_x000D_
       at android view ViewRootImpl AsyncInputStage apply(ViewRootImpl java:4384)_x000D_
       at android view ViewRootImpl InputStage deliver(ViewRootImpl java:4181)_x000D_
       at android view ViewRootImpl InputStage onDeliverToNext(ViewRootImpl java:4234)_x000D_
       at android view ViewRootImpl InputStage forward(ViewRootImpl java:4200)_x000D_
       at android view ViewRootImpl InputStage apply(ViewRootImpl java:4208)_x000D_
       at android view ViewRootImpl InputStage deliver(ViewRootImpl java:4181)_x000D_
       at android view ViewRootImpl deliverInputEvent(ViewRootImpl java:6744)_x000D_
       at android view ViewRootImpl doProcessInputEvents(ViewRootImpl java:6683)_x000D_
       at android view ViewRootImpl enqueueInputEvent(ViewRootImpl java:6644)_x000D_
       at android view ViewRootImpl WindowInputEventReceiver onInputEvent(ViewRootImpl java:6847)_x000D_
       at android view InputEventReceiver dispatchInputEvent(InputEventReceiver java:193)_x000D_
       at android os MessageQueue nativePollOnce(MessageQueue java)_x000D_
       at android os MessageQueue next(MessageQueue java:325)_x000D_
       at android os Looper loop(Looper java:142)_x000D_
       at android app ActivityThread main(ActivityThread java:6626)_x000D_
       at java lang reflect Method invoke(Method java)_x000D_
       at com android internal os RuntimeInit MethodAndArgsCaller run(RuntimeInit java:438)_x000D_
       at com android internal os ZygoteInit main(ZygoteInit java:811)_x000D_
_x000D_
   _x000D_
</t>
  </si>
  <si>
    <t>TeamNewPipe-NewPipe-3576</t>
  </si>
  <si>
    <t>Couldn't get any stream / Could not play this stream (FIXED)</t>
  </si>
  <si>
    <t xml:space="preserve">    From Team NewPipe: Update to version 0 19 5 _x000D_
_x000D_
    Original report_x000D_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Version 0 19 3_x000D_
_x000D_
_x000D_
    Steps to reproduce the bug_x000D_
    _x000D_
1  Go to      _x000D_
2  Press on       _x000D_
3  Swipe down to       _x000D_
          1  Search anything you want  maybe something that includes livestreams _x000D_
2  Click the first result  and then the second till the 5th result 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Stream should normally show up _x000D_
    Actual behaviour_x000D_
     Tell us what happens instead     _x000D_
Tried the exact same search 3 times _x000D_
Stream doesn t show up  but instead the error below_x000D_
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Exception_x000D_
    User Action:   requested stream_x000D_
    Request:   https:  www youtube com watch v ZEf9cRoTmzQ_x000D_
    Content Language:   DE_x000D_
    Service:   YouTube_x000D_
    Version:   0 19 3_x000D_
    OS:   Linux Android 10   29_x000D_
_x000D_
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java:192)_x000D_
	at org schabi newpipe extractor stream StreamInfo getInfo(StreamInfo java:70)_x000D_
	at org schabi newpipe extractor stream StreamInfo getInfo(StreamInfo java:62)_x000D_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maybe MaybeFromSingle subscribeActual(MaybeFromSingle java:41)_x000D_
	at io reactivex Maybe subscribe(Maybe java:4154)_x000D_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java:14479)_x000D_
	at io reactivex internal operators flowable FlowableElementAtMaybe subscribeActual(FlowableElementAtMaybe java:36)_x000D_
	at io reactivex Maybe subscribe(Maybe java:4154)_x000D_
	at io reactivex internal operators maybe MaybeToSingle subscribeActual(MaybeToSingle java:46)_x000D_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_x000D_
   _x000D_
  p   details _x000D_
 hr _x000D_
_x000D_
_x000D_
     That s right  here     _x000D_
 See the log here too  https:  haste tchncs de icujifevuj avrasm (https:  haste tchncs de icujifevuj avrasm) _x000D_
</t>
  </si>
  <si>
    <t>nextcloud-android-6055</t>
  </si>
  <si>
    <t>Android app crashing</t>
  </si>
  <si>
    <t xml:space="preserve">    Steps to reproduce_x000D_
1  Set up automatic uploads for photos from Android_x000D_
2  Photo library is total  10k files_x000D_
3  Auto upload is now almost complete ( 400 remaining)_x000D_
_x000D_
    Expected behaviour_x000D_
  no crashes_x000D_
_x000D_
    Actual behaviour_x000D_
  app stops responding frequently_x000D_
  also crashes frequently with this error:_x000D_
_x000D_
   _x000D_
             CAUSE OF ERROR             _x000D_
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lang SecurityException: Caller no longer running  last stopped  18s964ms because: timed out while starting_x000D_
	at android os Parcel createException(Parcel java:2071)_x000D_
	at android os Parcel readException(Parcel java:2039)_x000D_
	at android os Parcel readException(Parcel java:1987)_x000D_
	at android app job IJobCallback Stub Proxy dequeueWork(IJobCallback java:292)_x000D_
	at android app job JobParameters dequeueWork(JobParameters java:248)_x000D_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3 call(AsyncTask java:378)_x000D_
	at java util concurrent FutureTask run(FutureTask java:266)_x000D_
	    3 more_x000D_
Caused by: android os RemoteException: Remote stack trace:_x000D_
	at com android server job JobServiceContext assertCallerLocked(JobServiceContext java:493)_x000D_
	at com android server job JobServiceContext doDequeueWork(JobServiceContext java:371)_x000D_
	at com android server job JobServiceContext JobCallback dequeueWork(JobServiceContext java:160)_x000D_
	at android app job IJobCallback Stub onTransact(IJobCallback java:169)_x000D_
	at android os Binder execTransactInternal(Binder java:1021)_x000D_
_x000D_
_x000D_
             APP INFORMATION             _x000D_
ID: com nextcloud client_x000D_
Version: 30110190_x000D_
Build flavor: gplay_x000D_
_x000D_
             DEVICE INFORMATION             _x000D_
Brand: google_x000D_
Device: marlin_x000D_
Model: Pixel XL_x000D_
Id: QP1A 191005 007 A3_x000D_
Product: marlin_x000D_
_x000D_
             FIRMWARE             _x000D_
SDK: 29_x000D_
Release: 10_x000D_
Incremental: 5972272_x000D_
   _x000D_
_x000D_
    Environment data_x000D_
Android version:_x000D_
10_x000D_
Device model: Pixel XL_x000D_
_x000D_
Stock or customized system: stock_x000D_
_x000D_
Nextcloud app version: 3 11 1_x000D_
_x000D_
Nextcloud server version: 17 0 1_x000D_
_x000D_
Reverse proxy: no_x000D_
_x000D_
</t>
  </si>
  <si>
    <t>TeamNewPipe-NewPipe-3575</t>
  </si>
  <si>
    <t>Crash when quickly swiping away search suggestions</t>
  </si>
  <si>
    <t xml:space="preserve">Happens on at least v0 19 3 and dev  I didn t test other versions _x000D_
_x000D_
   Exception_x000D_
    User Action:   ui error_x000D_
    Request:   App crash  UI failure_x000D_
    Content Language:   nl NL_x000D_
    Service:   none_x000D_
    Version:   0 19 3_x000D_
    OS:   Linux samsung a50eea a50:10 QP1A 190711 020 A505FNXXU4BTC9:user release keys 10   29_x000D_
_x000D_
_x000D_
 details  summary  b Crash log  b   summary  p _x000D_
_x000D_
   _x000D_
java lang ArrayIndexOutOfBoundsException: length 10  index  1_x000D_
	at java util ArrayList get(ArrayList java:439)_x000D_
	at org schabi newpipe fragments list search SuggestionListAdapter getItem(SuggestionListAdapter java:82)_x000D_
	at org schabi newpipe fragments list search SearchFragment getSuggestionMovementFlags(SearchFragment java:1023)_x000D_
	at org schabi newpipe fragments list search SearchFragment 1 getMovementFlags(SearchFragment java:329)_x000D_
	at androidx recyclerview widget ItemTouchHelper swipeIfNecessary(ItemTouchHelper java:1194)_x000D_
	at androidx recyclerview widget ItemTouchHelper select(ItemTouchHelper java:601)_x000D_
	at androidx recyclerview widget ItemTouchHelper onChildViewDetachedFromWindow(ItemTouchHelper java:900)_x000D_
	at androidx recyclerview widget RecyclerView dispatchChildDetached(RecyclerView java:7261)_x000D_
	at androidx recyclerview widget RecyclerView 5 removeViewAt(RecyclerView java:867)_x000D_
	at androidx recyclerview widget ChildHelper removeViewAt(ChildHelper java:168)_x000D_
	at androidx recyclerview widget RecyclerView LayoutManager removeViewAt(RecyclerView java:8374)_x000D_
	at androidx recyclerview widget RecyclerView LayoutManager scrapOrRecycleView(RecyclerView java:8944)_x000D_
	at androidx recyclerview widget RecyclerView LayoutManager detachAndScrapAttachedViews(RecyclerView java:8930)_x000D_
	at androidx recyclerview widget LinearLayoutManager onLayoutChildren(LinearLayoutManager java:580)_x000D_
	at androidx recyclerview widget RecyclerView dispatchLayoutStep2(RecyclerView java:3924)_x000D_
	at androidx recyclerview widget RecyclerView dispatchLayout(RecyclerView java:3641)_x000D_
	at androidx recyclerview widget RecyclerView onLayout(RecyclerView java:4194)_x000D_
	at android view View layout(View java:23754)_x000D_
	at android view ViewGroup layout(ViewGroup java:7277)_x000D_
	at android widget LinearLayout setChildFrame(LinearLayout java:1829)_x000D_
	at android widget LinearLayout layoutHorizontal(LinearLayout java:1818)_x000D_
	at android widget LinearLayout onLayout(LinearLayout java:1584)_x000D_
	at android view View layout(View java:23754)_x000D_
	at android view ViewGroup layout(ViewGroup java:7277)_x000D_
	at android widget RelativeLayout onLayout(RelativeLayout java:1103)_x000D_
	at android view View layout(View java:23754)_x000D_
	at android view ViewGroup layout(ViewGroup java:7277)_x000D_
	at android widget FrameLayout layoutChildren(FrameLayout java:332)_x000D_
	at android widget FrameLayout onLayout(FrameLayout java:270)_x000D_
	at android view View layout(View java:23754)_x000D_
	at android view ViewGroup layout(ViewGroup java:7277)_x000D_
	at android widget FrameLayout layoutChildren(FrameLayout java:332)_x000D_
	at android widget FrameLayout onLayout(FrameLayout java:270)_x000D_
	at android view View layout(View java:23754)_x000D_
	at android view ViewGroup layout(ViewGroup java:7277)_x000D_
	at androidx drawerlayout widget DrawerLayout onLayout(DrawerLayout java:1231)_x000D_
	at android view View layout(View java:23754)_x000D_
	at android view ViewGroup layout(ViewGroup java:7277)_x000D_
	at android widget FrameLayout layoutChildren(FrameLayout java:332)_x000D_
	at android widget FrameLayout onLayout(FrameLayout java:270)_x000D_
	at android view View layout(View java:23754)_x000D_
	at android view ViewGroup layout(ViewGroup java:7277)_x000D_
	at android widget LinearLayout setChildFrame(LinearLayout java:1829)_x000D_
	at android widget LinearLayout layoutVertical(LinearLayout java:1673)_x000D_
	at android widget LinearLayout onLayout(LinearLayout java:1582)_x000D_
	at android view View layout(View java:23754)_x000D_
	at android view ViewGroup layout(ViewGroup java:7277)_x000D_
	at android widget FrameLayout layoutChildren(FrameLayout java:332)_x000D_
	at android widget FrameLayout onLayout(FrameLayout java:270)_x000D_
	at android view View layout(View java:23754)_x000D_
	at android view ViewGroup layout(ViewGroup java:7277)_x000D_
	at android widget LinearLayout setChildFrame(LinearLayout java:1829)_x000D_
	at android widget LinearLayout layoutVertical(LinearLayout java:1673)_x000D_
	at android widget LinearLayout onLayout(LinearLayout java:1582)_x000D_
	at android view View layout(View java:23754)_x000D_
	at android view ViewGroup layout(ViewGroup java:7277)_x000D_
	at android widget FrameLayout layoutChildren(FrameLayout java:332)_x000D_
	at android widget FrameLayout onLayout(FrameLayout java:270)_x000D_
	at com android internal policy DecorView onLayout(DecorView java:1058)_x000D_
	at android view View layout(View java:23754)_x000D_
	at android view ViewGroup layout(ViewGroup java:7277)_x000D_
	at android view ViewRootImpl performLayout(ViewRootImpl java:3679)_x000D_
	at android view ViewRootImpl performTraversals(ViewRootImpl java:3139)_x000D_
	at android view ViewRootImpl doTraversal(ViewRootImpl java:2200)_x000D_
	at android view ViewRootImpl TraversalRunnable run(ViewRootImpl java:8999)_x000D_
	at android view Choreographer CallbackRecord run(Choreographer java:996)_x000D_
	at android view Choreographer doCallbacks(Choreographer java:794)_x000D_
	at android view Choreographer doFrame(Choreographer java:729)_x000D_
	at android view Choreographer FrameDisplayEventReceiver run(Choreographer java:981)_x000D_
	at android os Handler handleCallback(Handler java:883)_x000D_
	at android os Handler dispatchMessage(Handler java:100)_x000D_
	at android os Looper loop(Looper java:237)_x000D_
	at android app ActivityThread main(ActivityThread java:7814)_x000D_
	at java lang reflect Method invoke(Native Method)_x000D_
	at com android internal os RuntimeInit MethodAndArgsCaller run(RuntimeInit java:493)_x000D_
	at com android internal os ZygoteInit main(ZygoteInit java:1075)_x000D_
_x000D_
   _x000D_
  p   details _x000D_
 hr _x000D_
</t>
  </si>
  <si>
    <t>dimagi-commcare-android-2235</t>
  </si>
  <si>
    <t>Hide menu options when required permissions are missing</t>
  </si>
  <si>
    <t>Removes the options menu completely when we show the missing permissions fragment  _x000D_
The options menu allows for offline installation  which would crash if user has declined storage permissions  _x000D_
 StackTrace (https:  console firebase google com u 0 project commcare a57e4 crashlytics app android:org commcare dalvik issues 5ce2e2aaf8b88c2963706428 time last seven days sessionId 5EB902A003300001382B6A5755CEF623 DNE 0 v2)</t>
  </si>
  <si>
    <t>dimagi-commcare-android-2234</t>
  </si>
  <si>
    <t>Fix npe in deleting files inside directory</t>
  </si>
  <si>
    <t xml:space="preserve"> Stack Trace (https:  console firebase google com u 0 project commcare a57e4 crashlytics app android:org commcare dalvik issues 63a588d184f917b8ebd951fa21cd10c9 time last seven days sessionId 5EB227F4037F000154DA55FBFC0619BB DNE 0 v2)</t>
  </si>
  <si>
    <t>noties-Markwon-245</t>
  </si>
  <si>
    <t>Weird glitch with Tables?</t>
  </si>
  <si>
    <t xml:space="preserve">    Markwon version  : 4 3 1_x000D_
_x000D_
Hi Noties  _x000D_
I don t know if this is a mistake on my end  or is an actual problem  but this is what I have _x000D_
Keep in mind I encounter this rarely _x000D_
_x000D_
this is the markwon table I m trying to render:_x000D_
   _x000D_
    Date     Time     Who       What    Link  _x000D_
 :        : :       : :       : :       : :       : _x000D_
  18th June   7:30AM PST   2:30PM GMT    Gradle (https:  gradle org )   Building Android apps with Gradle    Link (https:  reddit com r androiddev comments c22a31 were part of the gradle team ask us anything )  _x000D_
  20th June   9AM PST   4PM GMT    Nerdery (https:  www nerdery com )   Remote Android working    Link (https:  www reddit com r androiddev comments c2vo8n were part of the nerdery team ask us anything )  _x000D_
  24th June   10AM PST   5PM GMT    Hinge (https:  hinge co )   General Android development   design    Link (https:  www reddit com r androiddev comments c4pv9q were part of the hinge team ask us anything )  _x000D_
  25th June   1PM PST   8PM GMT    Bugsnag (https:  www bugsnag com )   Mobile crash reporting    Link (https:  www reddit com r androiddev comments c5chdo were part of the bugsnag team ask us anything )  _x000D_
  15th July   11AM PST   6PM GMT    Pandora (https:  play google com store apps details id com pandora android)   Android dev    Link (https:  www reddit com r androiddev comments cdj9tn were part of the pandora android team ask us )  _x000D_
  16th July   11AM PST   6PM GMT    Reddit (https:  play google com store apps details id com reddit frontpage)   Android dev    Link (https:  www reddit com r androiddev comments ce028h were the team thats working on the reddit app ask )  _x000D_
  1st August   12PM PST   7PM GMT   Android Engineering   Android Q    Link (https:  www reddit com r androiddev comments ci4tdq were on the engineering team for android q ask us )  _x000D_
  29th August   8:30AM PST   3:30PM GMT    TomTom (https:  www tomtom com)   Android dev    Link (https:  www reddit com r androiddev comments cx1xlt we are part of the maps apis sdk team for tomtom )  _x000D_
   _x000D_
_x000D_
This is my simple view: _x000D_
_x000D_
   _x000D_
 TextView_x000D_
    android:id    id page _x000D_
    android:layout width  match parent _x000D_
    android:layout height  wrap content _x000D_
      _x000D_
   _x000D_
_x000D_
and this is how it comes out: _x000D_
_x000D_
  table glitch (https:  user images githubusercontent com 20772090 81586681 2efec180 93b6 11ea 8d54 26796700b741 png)_x000D_
_x000D_
I tried removing everything extra  but I keep getting this _x000D_
What could it be _x000D_
_x000D_
Thanks in advance _x000D_
_x000D_
</t>
  </si>
  <si>
    <t>smartdevicelink-sdl_java_suite-1343</t>
  </si>
  <si>
    <t>Missing Foreground Permission causes fatal exception</t>
  </si>
  <si>
    <t xml:space="preserve">    Bug Report_x000D_
If the router service attempts to start in the foreground without the manifest permission it will cause a fatal exception that will crash the app _x000D_
_x000D_
      Reproduction Steps_x000D_
1  Create a Test app without foreground permissions_x000D_
2  Run application and connect to manticore_x000D_
_x000D_
      Expected Behavior_x000D_
Observe Fatal exception_x000D_
_x000D_
      Observed Behavior_x000D_
Application should not crash and should handle exception gracefully</t>
  </si>
  <si>
    <t>react-native-camera-react-native-camera-2832</t>
  </si>
  <si>
    <t>Huawei P 30 Pro crash recording video</t>
  </si>
  <si>
    <t xml:space="preserve">  Bug Report_x000D_
_x000D_
  To Do First  _x000D_
_x000D_
      Did you try latest release _x000D_
      Did you try master _x000D_
   X  Did you look for existing matching issues _x000D_
_x000D_
  Platforms  _x000D_
_x000D_
    Comment in the related ones   _x000D_
Android_x000D_
    iOS   _x000D_
_x000D_
  Versions  _x000D_
_x000D_
    Please add the used versions branches or leave blank and comment in the optionals if used   _x000D_
_x000D_
  Android: 10_x000D_
  react native camera: 3 23 1_x000D_
  react native: 0 61 5_x000D_
  react: 16 9 0_x000D_
       react navigation:   _x000D_
_x000D_
  Description Current Behaviour  _x000D_
_x000D_
    place your bug description below   _x000D_
The app has been successfully tested on several devices like Pixel 4  XIAOMI Note 8 Pro  Huawei 20 Pro 20       but in Huawei P 30 Pro the video recording crash after few seconds with preview freeze_x000D_
_x000D_
  Additionals  _x000D_
_x000D_
    place screenshots suggestions and other additional infos below   _x000D_
   _x000D_
log1 2:05 11 17:40:17 734   872  1657 I ImagingSystem:  Camera   263385508   doAllocate alloc Count(0) WxH(0x1)_x000D_
log1 2:05 11 17:40:17 734   872  1657 I ImagingSystem:  Camera   263385766   doAllocate alloc Count(7) WxH(233984x4)_x000D_
log1 2:05 11 17:40:17 736   872  1657 I ImagingSystem:  Camera   263385766   doAllocate alloc Count(7) WxH(233984x4)_x000D_
log1 2:05 11 17:40:17 737   872  1657 I ImagingSystem:  Camera   263391256   doAllocate alloc Count(36) WxH(480x180)_x000D_
log1 2:05 11 17:40:17 743   872  1657 I ImagingSystem:  Camera   263391256   doAllocate alloc Count(36) WxH(480x180)_x000D_
log1 2:05 11 17:40:17 744   872  1657 I ImagingSystem:  Camera   263410119   doAllocate alloc Count(36) WxH(720x2)_x000D_
log1 2:05 11 17:40:17 745   872 20952 I DeviceBaseImpl:  HWA CAM3  getSensorModuleSpec() getSensorModuleSpec cameraID: 2_x000D_
log1 2:05 11 17:40:17 745   872 20952 I DeviceBaseImpl:  HWA CAM3  getSensorModuleSpec() getSensorModuleSpec cameraID: 16_x000D_
log1 2:05 11 17:40:17 745   872 20952 I DeviceBaseImpl:  HWA CAM3  getSensorModuleSpec() getSensorModuleSpec cameraID: 2_x000D_
log1 2:05 11 17:40:17 745   872 20952 I DeviceBaseImpl:  HWA CAM3  getSensorModuleSpec() getSensorModuleSpec cameraID: 2_x000D_
log1 2:05 11 17:40:17 745   872 20952 I DeviceBaseImpl:  HWA CAM3  getSensorModuleSpec() getSensorModuleSpec cameraID: 16_x000D_
log1 2:05 11 17:40:17 747   872  1657 I ImagingSystem:  Camera   263410119   doAllocate alloc Count(36) WxH(720x2)_x000D_
log1 2:05 11 17:40:17 747   872  1657 I ImagingSystem:  Camera   263420030   doAllocate alloc Count(8) WxH(16000x1)_x000D_
log1 2:05 11 17:40:17 748   872  1657 I ImagingSystem:  Camera   263420030   doAllocate alloc Count(8) WxH(16000x1)_x000D_
log1 2:05 11 17:40:17 748   872  1657 I ImagingSystem:  Camera   263374036   pipeline start_x000D_
log1 2:05 11 17:40:17 743   872   872 W pl 3    : type 1400 audit(0 0:23121): avc: denied   read   for pid 872 name  u:object r:default prop:s0  dev  tmpfs  ino 16580 scontext u:r:hal camera default:s0 tcontext u:object r:default prop:s0 tclass file permissive 0_x000D_
log1 2:05 11 17:40:17 748   872  1657 E libc    : Access denied finding property  runtime mmitest camera moca _x000D_
log1 2:05 11 17:40:17 749   872  1657 I HispManager: notifyHispPreviewCamera logic cam: 0 physical cam:2_x000D_
log1 2:05 11 17:40:17 752   872  1657 I HISP200Feature: sendExtendCmd: camera id 0  fbcd 1 _x000D_
log1 2:05 11 17:40:17 752   872  1657 I HISP200Feature: sendExtendCmd: camera id 4  fbcd 1 _x000D_
log1 2:05 11 17:40:17 752   872  1657 I Feature : setFpsParam set SUBCMD AE TARGET FPS RANGE  30  30   intent   3  fps   0 Thermal   0  m fHwcamera 0  m IppCtrlFlag 0_x000D_
log1 2:05 11 17:40:17 752   872  1657 I HISP200Feature: setPowerSaveRawRequestStatus: flow:dual camera status:no fill raw_x000D_
log1 2:05 11 17:40:17 752   872  1657 I ImagingSystem: sendCameraFovRatio: send SUBCMD SET CAM FOV RATIO ok _x000D_
log1 2:05 11 17:40:17 753   872  1657 I Processor:  Camera   263433298   UsecaseConfig 0_x000D_
log1 2:05 11 17:40:17 768   872  1657 I Processor:  Camera   263433298   UsecaseConfig 0_x000D_
log1 2:05 11 17:40:17 768   872  1657 I Processor:  Camera   263448587   UsecaseConfig 4_x000D_
log1 2:05 11 17:40:17 768   872   981 I HispManager: sendCropRegionCmd: camera id 0  count:1  crop region 0 0 3648 2052 _x000D_
log1 2:05 11 17:40:17 769   872  1657 I Processor:  Camera   263448587   UsecaseConfig 4_x000D_
log1 2:05 11 17:40:17 769   857  2411 E dubaid  :  CameraHandler cpp  SaveConfigParams  Invalid type: 4_x000D_
log1 2:05 11 17:40:17 769   872  1657 I Processor: getStreamOnMsg: camera id:0 _x000D_
log1 2:05 11 17:40:17 769   872  1657 I Processor: getStreamOnMsg: camera id:4 _x000D_
log1 2:05 11 17:40:17 769   857  2411 E dubaid  :  CameraHandler cpp  HandleOnConnecting  Failed to save config message parameter:  3_x000D_
log1 2:05 11 17:40:17 775   872 20952 I MOCA DEPTH:  I  dual frequency processor cpp: configure : 524   read 20 000000MZH CDMA(0) cyclic error lut from file ( data vendor camera MocaDepth SensorID 23060366619212O91UED2YPS000000 20 000000MHZ CDMA 0 SensorCrop 1 cyclic error lut 65536 bin) success_x000D_
log1 2:05 11 17:40:17 776   872 20952 I MOCA DEPTH:  I  dual frequency processor cpp: configure : 524   read 100 000000MZH CDMA(0) cyclic error lut from file ( data vendor camera MocaDepth SensorID 23060366619212O91UED2YPS000000 100 000000MHZ CDMA 0 SensorCrop 1 cyclic error lut 65536 bin) success_x000D_
log1 2:05 11 17:40:17 777   872 20952 I MOCA DEPTH:  I  dual frequency processor cpp: configure : 543   read  radial to planar conversion matrix from file ( data vendor camera MocaDepth SensorID 23060366619212O91UED2YPS000000 20 000000MHZ 100 000000MHZ  CDMA 0 SensorCrop 1 144 96 3 convension matrix float bin) success_x000D_
log1 2:05 11 17:40:17 779   872 20952 I MOCA DEPTH:  I  dual frequency processor cpp: configure : 569   read sin and cos lookups from file ( data vendor camera MocaDepth sin lookup float 32768 bin   data vendor camera MocaDepth cos lookup float 32768 bin) success_x000D_
log1 2:05 11 17:40:17 813   854  9163 W Camera2 Parameters: set: Video size cannot be updated (from 3840 x 2160 to 1920 x 1080) when recording is active  Ignore the size update _x000D_
log1 2:05 11 17:40:17 849   872  1657 D CameraDvfs: voteIsp: HISP CONFIG ISP NORMAL_x000D_
log1 2:05 11 17:40:17 850   872  1657 D CameraDvfs: voteR8: HISP CONFIG R8 TURBO_x000D_
log1 2:05 11 17:40:17 850   872  1657 I CameraPerf: limitLittleCpuDefault: CPUFREQ OPT littleCpuFreq   1709000_x000D_
log1 2:05 11 17:40:17 851   872  1657 I ImagingSystem:  Camera   263356660   3 startStreaming_x000D_
log1 2:05 11 17:40:17 885   872 20959 I DeviceBaseImpl:  HWA CAM3  getSensorModuleSpec() getSensorModuleSpec cameraID: 2_x000D_
log1 2:05 11 17:40:20 698   867 20923 W CameraSource: Timed out waiting for incoming camera video frames: 0 us_x000D_
log1 2:05 11 17:40:20 739   867 20923 D CameraSource: reset: E_x000D_
log1 2:05 11 17:40:20 745   854  9163 E HwCameraServiceEx: Failed to load CameraService sounds:  product media audio ui VideoStop ogg_x000D_
log1 2:05 11 17:40:22 704   854  1754 E Camera3 Device: Camera 0: notifyError: Camera HAL reported serious device error_x000D_
log1 2:05 11 17:40:22 705   854  1754 E Camera2Client: notifyError: Error condition 1 reported by HAL  requestId  1_x000D_
log1 2:05 11 17:40:22 999   854  1754 D CameraTraces: Process trace saved  Use dumpsys media camera to view _x000D_
log1 2:05 11 17:40:22 999   854  9163 W Camera3 Device: deleteStream: Camera 0: deleteStream not allowed in ERROR state_x000D_
log1 2:05 11 17:40:22 999   854  1755 W Camera3 Device: notify: received notify message in error state _x000D_
log1 2:05 11 17:40:23 000   854  9163 E Camera2 StreamingProcessor: deleteRecordingStream: Unable to delete recording stream: Device or resource busy ( 16)_x000D_
log1 2:05 11 17:40:23 000   854  9163 E Camera2Client: stopRecording: Camera 0: Unable to delete recording stream before stop preview: Device or resource busy ( 16)_x000D_
log1 2:05 11 17:40:23 000   854  9163 E Camera3 Device: Camera 0: getStreamInfo: Device has encountered a serious error_x000D_
log1 2:05 11 17:40:23 000   854  9163 E Camera2 StreamingProcessor: updatePreviewStream: Camera 0: Error querying preview stream info: Function not implemented ( 38)_x000D_
log1 2:05 11 17:40:23 000   854  9163 E Camera2Client: startPreviewL: Camera 0: Unable to update preview stream: Function not implemented ( 38)_x000D_
log1 2:05 11 17:40:23 000   854  9163 E Camera2Client: stopRecording: Camera 0: Unable to return to preview_x000D_
log1 2:05 11 17:40:23 000   854  1755 E Camera3 Device: Camera 0: notifyError: Camera HAL reported serious device error_x000D_
log1 2:05 11 17:40:23 001   854  1755 W Camera3 Device: notify: received notify message in error state _x000D_
log1 2:05 11 17:40:23 001   854  1755 E Camera3 Device: Camera 0: notifyError: Camera HAL reported serious device error_x000D_
log1 2:05 11 17:40:23 001   854  1755 W Camera3 Device: notify: received notify message in error state _x000D_
log1 2:05 11 17:40:23 001   854  1755 E Camera3 Device: Camera 0: notifyError: Camera HAL reported serious device error_x000D_
log1 2:05 11 17:40:23 001   854  1755 W Camera3 Device: notify: received notify message in error state _x000D_
log1 2:05 11 17:40:23 001   854  1755 E Camera3 Device: Camera 0: notifyError: Camera HAL reported serious device error_x000D_
log1 2:05 11 17:40:23 001   854  1755 W Camera3 Device: notify: received notify message in error state _x000D_
log1 2:05 11 17:40:23 001   854  1755 E Camera3 Device: Camera 0: notifyError: Camera HAL reported serious device error_x000D_
log1 2:05 11 17:40:23 002   854  1755 W Camera3 Device: notify: received notify message in error state _x000D_
log1 2:05 11 17:40:23 002   854  1755 E Camera3 Device: Camera 0: notifyError: Camera HAL reported serious device error_x000D_
log1 2:05 11 17:40:23 003   854  1755 W Camera3 Device: notify: received notify message in error state _x000D_
log1 2:05 11 17:40:23 003   854  1755 E Camera3 Device: Camera 0: notifyError: Camera HAL reported serious device error_x000D_
log1 2:05 11 17:40:23 003   854  1755 W Camera3 Device: notify: received notify message in error state _x000D_
log1 2:05 11 17:40:23 003   854  1755 E Camera3 Device: Camera 0: notifyError: Camera HAL reported serious device error_x000D_
log1 2:05 11 17:40:23 003   854  1755 W Camera3 Device: notify: received notify message in error state _x000D_
log1 2:05 11 17:40:23 003   854  1755 E Camera3 Device: Camera 0: notifyError: Camera HAL reported serious device error_x000D_
log1 2:05 11 17:40:23 003   854  1755 W Camera3 Device: notify: received notify message in error state _x000D_
log1 2:05 11 17:40:23 003   854  1755 E Camera3 Device: Camera 0: notifyError: Camera HAL reported serious device error_x000D_
log1 2:05 11 17:40:23 003   854  1755 W Camera3 Device: notify: received notify message in error state _x000D_
log1 2:05 11 17:40:23 003   854  1755 E Camera3 Device: Camera 0: notifyError: Camera HAL reported serious device error_x000D_
log1 2:05 11 17:40:23 003   854  1755 W Camera3 Device: notify: received notify message in error state _x000D_
log1 2:05 11 17:40:23 003   854  1755 E Camera3 Device: Camera 0: notifyError: Camera HAL reported serious device error_x000D_
log1 2:05 11 17:40:23 047   867 20923 D CameraSource: reset: X_x000D_
log1 2:05 11 17:40:23 160 20537 20684 E CAMERA 1::: stopMediaRecorder stop failed_x000D_
log1 2:05 11 17:40:23 160 20537 20684 E CAMERA 1::: java lang RuntimeException: stop failed _x000D_
log1 2:05 11 17:40:23 160 20537 20684 E CAMERA 1:::     at android media MediaRecorder native stop(Native Method)_x000D_
log1 2:05 11 17:40:23 160 20537 20684 E CAMERA 1:::     at android media MediaRecorder stop(MediaRecorder java:1886)_x000D_
log1 2:05 11 17:40:23 160 20537 20684 E CAMERA 1:::     at com google android cameraview Camera1 stopMediaRecorder(Camera1 java:1543)_x000D_
log1 2:05 11 17:40:23 160 20537 20684 E CAMERA 1:::     at com google android cameraview Camera1 stopRecording(Camera1 java:845)_x000D_
log1 2:05 11 17:40:23 160 20537 20684 E CAMERA 1:::     at com google android cameraview Camera1 onError(Camera1 java:1597)_x000D_
log1 2:05 11 17:40:23 160 20537 20684 E CAMERA 1:::     at android media MediaRecorder EventHandler handleMessage(MediaRecorder java:1391)_x000D_
log1 2:05 11 17:40:23 160 20537 20684 E CAMERA 1:::     at android os Handler dispatchMessage(Handler java:107)_x000D_
log1 2:05 11 17:40:23 160 20537 20684 E CAMERA 1:::     at android os Looper loop(Looper java:213)_x000D_
log1 2:05 11 17:40:23 160 20537 20684 E CAMERA 1:::     at android os HandlerThread run(HandlerThread java:67)_x000D_
log1 2:05 11 17:40:23 166 20537 20684 E Camera  : Error 1_x000D_
_x000D_
</t>
  </si>
  <si>
    <t>material-components-material-components-android-1290</t>
  </si>
  <si>
    <t>[Slider] IllegalStateException validateValues</t>
  </si>
  <si>
    <t xml:space="preserve">As it states in the title it s crashing randomly in a few devices  I can t reproduce on all my  20 devices with different SDK and OEMs  but I can see it on my console  I have no clue how this is possible even after checking the source code of the component _x000D_
_x000D_
I can see this crash in different apis  such as Android 10  9 and 8 1  though I can see no correlation of being caused by the sdk version since there s no pattern  I don t even know where this is crashing on my code to be honest  specially because I can t reproduce on my debug builds _x000D_
_x000D_
Any hint  More than happy to provide more information as it s needed _x000D_
Thanks _x000D_
_x000D_
   _x000D_
java lang IllegalStateException: _x000D_
  at com google android material slider Slider validateValues (Slider java:517)_x000D_
  at com google android material slider Slider validateConfigurationIfDirty (Slider java:530)_x000D_
  at com google android material slider Slider calculateTicksCoordinates (Slider java:1329)_x000D_
  at com google android material slider Slider onSizeChanged (Slider java:1322)_x000D_
  at android view View sizeChange (View java:19792)_x000D_
  at android view View setFrame (View java:19753)_x000D_
  at android view View layout (View java:19656)_x000D_
  at android widget LinearLayout setChildFrame (LinearLayout java:1791)_x000D_
  at android widget LinearLayout layoutHorizontal (LinearLayout java:1780)_x000D_
  at android widget LinearLayout onLayout (LinearLayout java:1546)_x000D_
  at android view View layout (View java:19659)_x000D_
  at android view ViewGroup layout (ViewGroup java:6075)_x000D_
  at android widget LinearLayout setChildFrame (LinearLayout java:1791)_x000D_
  at android widget LinearLayout layoutVertical (LinearLayout java:1635)_x000D_
  at android widget LinearLayout onLayout (LinearLayout java:1544)_x000D_
  at android view View layout (View java:19659)_x000D_
  at android view ViewGroup layout (ViewGroup java:6075)_x000D_
  at android widget LinearLayout setChildFrame (LinearLayout java:1791)_x000D_
  at android widget LinearLayout layoutVertical (LinearLayout java:1635)_x000D_
  at android widget LinearLayout onLayout (LinearLayout java:1544)_x000D_
  at android view View layout (View java:19659)_x000D_
  at android view ViewGroup layout (ViewGroup java:6075)_x000D_
  at android widget FrameLayout layoutChildren (FrameLayout java:323)_x000D_
  at android widget FrameLayout onLayout (FrameLayout java:261)_x000D_
  at android widget ScrollView onLayout (ScrollView java:1552)_x000D_
  at android view View layout (View java:19659)_x000D_
  at android view ViewGroup layout (ViewGroup java:6075)_x000D_
  at android widget FrameLayout layoutChildren (FrameLayout java:323)_x000D_
  at android widget FrameLayout onLayout (FrameLayout java:261)_x000D_
  at android view View layout (View java:19659)_x000D_
  at android view ViewGroup layout (ViewGroup java:6075)_x000D_
  at android widget FrameLayout layoutChildren (FrameLayout java:323)_x000D_
  at android widget FrameLayout onLayout (FrameLayout java:261)_x000D_
  at android view View layout (View java:19659)_x000D_
  at android view ViewGroup layout (ViewGroup java:6075)_x000D_
  at androidx coordinatorlayout widget CoordinatorLayout layoutChild (CoordinatorLayout java:1213)_x000D_
  at androidx coordinatorlayout widget CoordinatorLayout onLayoutChild (CoordinatorLayout java:899)_x000D_
  at androidx coordinatorlayout widget CoordinatorLayout onLayout (CoordinatorLayout java:919)_x000D_
  at android view View layout (View java:19659)_x000D_
  at android view ViewGroup layout (ViewGroup java:6075)_x000D_
  at android widget FrameLayout layoutChildren (FrameLayout java:323)_x000D_
  at android widget FrameLayout onLayout (FrameLayout java:261)_x000D_
  at android view View layout (View java:19659)_x000D_
  at android view ViewGroup layout (ViewGroup java:6075)_x000D_
  at android widget LinearLayout setChildFrame (LinearLayout java:1791)_x000D_
  at android widget LinearLayout layoutVertical (LinearLayout java:1635)_x000D_
  at android widget LinearLayout onLayout (LinearLayout java:1544)_x000D_
  at android view View layout (View java:19659)_x000D_
  at android view ViewGroup layout (ViewGroup java:6075)_x000D_
  at android widget FrameLayout layoutChildren (FrameLayout java:323)_x000D_
  at android widget FrameLayout onLayout (FrameLayout java:261)_x000D_
  at android view View layout (View java:19659)_x000D_
  at android view ViewGroup layout (ViewGroup java:6075)_x000D_
  at android widget LinearLayout setChildFrame (LinearLayout java:1791)_x000D_
  at android widget LinearLayout layoutVertical (LinearLayout java:1635)_x000D_
  at android widget LinearLayout onLayout (LinearLayout java:1544)_x000D_
  at android view View layout (View java:19659)_x000D_
  at android view ViewGroup layout (ViewGroup java:6075)_x000D_
  at android widget FrameLayout layoutChildren (FrameLayout java:323)_x000D_
  at android widget FrameLayout onLayout (FrameLayout java:261)_x000D_
  at com android internal policy DecorView onLayout (DecorView java:761)_x000D_
  at android view View layout (View java:19659)_x000D_
  at android view ViewGroup layout (ViewGroup java:6075)_x000D_
  at android view ViewRootImpl performLayout (ViewRootImpl java:2496)_x000D_
  at android view ViewRootImpl performTraversals (ViewRootImpl java:2212)_x000D_
  at android view ViewRootImpl doTraversal (ViewRootImpl java:1392)_x000D_
  at android view ViewRootImpl TraversalRunnable run (ViewRootImpl java:6752)_x000D_
  at android view Choreographer CallbackRecord run (Choreographer java:911)_x000D_
  at android view Choreographer doCallbacks (Choreographer java:723)_x000D_
  at android view Choreographer doFrame (Choreographer java:658)_x000D_
  at android view Choreographer FrameDisplayEventReceiver run (Choreographer java:897)_x000D_
  at android os Handler handleCallback (Handler java:790)_x000D_
  at android os Handler dispatchMessage (Handler java:99)_x000D_
  at android os Looper loop (Looper java:164)_x000D_
  at android app ActivityThread main (ActivityThread java:6494)_x000D_
  at java lang reflect Method invoke (Method java)_x000D_
  at com android internal os RuntimeInit MethodAndArgsCaller run (RuntimeInit java:438)_x000D_
  at com android internal os ZygoteInit main (ZygoteInit java:807)_x000D_
   </t>
  </si>
  <si>
    <t>commons-app-apps-android-commons-3743</t>
  </si>
  <si>
    <t>IndexOutOfBoundsException at SearchActivity, when editing item search string</t>
  </si>
  <si>
    <t xml:space="preserve">I can t reproduce it  but on the search screen for items I got this crash immediately after typing a new character at the end of a word:_x000D_
   _x000D_
APP VERSION CODE 699_x000D_
APP VERSION NAME 2 12 3 699_x000D_
ANDROID VERSION 9_x000D_
PHONE MODEL SM G970F_x000D_
STACK TRACE java lang IndexOutOfBoundsException: Inconsistency detected  Invalid view holder adapter positionViewHolder cd5b575 position 0 id  1  oldPos 0  pLpos: 1 scrap  attachedScrap  tmpDetached no parent  androidx recyclerview widget RecyclerView 9886189 VFED V          ID 0 12 1080 786  7f090128 app:id imagesListBox   adapter:com pedrogomez renderers RVRendererAdapter 3b44c62  layout:androidx recyclerview widget LinearLayoutManager 8d691f3  context:fr free nrw commons explore SearchActivity baf0467_x000D_
	at androidx recyclerview widget RecyclerView Recycler validateViewHolderForOffsetPosition(RecyclerView java:5815)_x000D_
	at androidx recyclerview widget RecyclerView Recycler tryGetViewHolderForPositionByDeadline(RecyclerView java:5998)_x000D_
	at androidx recyclerview widget RecyclerView Recycler getViewForPosition(RecyclerView java:5958)_x000D_
	at androidx recyclerview widget RecyclerView Recycler getViewForPosition(RecyclerView java:5954)_x000D_
	at androidx recyclerview widget LinearLayoutManager LayoutState next(LinearLayoutManager java:2226)_x000D_
	at androidx recyclerview widget LinearLayoutManager layoutChunk(LinearLayoutManager java:1557)_x000D_
	at androidx recyclerview widget LinearLayoutManager fill(LinearLayoutManager java:1517)_x000D_
	at androidx recyclerview widget LinearLayoutManager onLayoutChildren(LinearLayoutManager java:612)_x000D_
	at androidx recyclerview widget RecyclerView dispatchLayoutStep1(RecyclerView java:3941)_x000D_
	at androidx recyclerview widget RecyclerView dispatchLayout(RecyclerView java:3705)_x000D_
	at androidx recyclerview widget RecyclerView onLayout(RecyclerView java:4260)_x000D_
	at android view View layout(View java:22420)_x000D_
	at android view ViewGroup layout(ViewGroup java:6579)_x000D_
	at android widget RelativeLayout onLayout(RelativeLayout java:1083)_x000D_
	at android view View layout(View java:22420)_x000D_
	at android view ViewGroup layout(ViewGroup java:6579)_x000D_
	at androidx viewpager widget ViewPager onLayout(ViewPager java:1775)_x000D_
	at android view View layout(View java:22420)_x000D_
	at android view ViewGroup layout(ViewGroup java:6579)_x000D_
	at android widget RelativeLayout onLayout(RelativeLayout java:1083)_x000D_
	at android view View layout(View java:22420)_x000D_
	at android view ViewGroup layout(ViewGroup java:6579)_x000D_
	at androidx drawerlayout widget DrawerLayout onLayout(DrawerLayout java:1231)_x000D_
	at android view View layout(View java:22420)_x000D_
	at android view ViewGroup layout(ViewGroup java:6579)_x000D_
	at android widget FrameLayout layoutChildren(FrameLayout java:323)_x000D_
	at android widget FrameLayout onLayout(FrameLayout java:261)_x000D_
	at android view View layout(View java:22420)_x000D_
	at android view ViewGroup layout(ViewGroup java:6579)_x000D_
	at android widget LinearLayout setChildFrame(LinearLayout java:1812)_x000D_
	at android widget LinearLayout layoutVertical(LinearLayout java:1656)_x000D_
	at android widget LinearLayout onLayout(LinearLayout java:1565)_x000D_
	at android view View layout(View java:22420)_x000D_
	at android view ViewGroup layout(ViewGroup java:6579)_x000D_
	at android widget FrameLayout layoutChildren(FrameLayout java:323)_x000D_
	at android widget FrameLayout onLayout(FrameLayout java:261)_x000D_
	at android view View layout(View java:22420)_x000D_
	at android view ViewGroup layout(ViewGroup java:6579)_x000D_
	at android widget LinearLayout setChildFrame(LinearLayout java:1812)_x000D_
	at android widget LinearLayout layoutVertical(LinearLayout java:1656)_x000D_
	at android widget LinearLayout onLayout(LinearLayout java:1565)_x000D_
	at android view View layout(View java:22420)_x000D_
	at android view ViewGroup layout(ViewGroup java:6579)_x000D_
	at android widget FrameLayout layoutChildren(FrameLayout java:323)_x000D_
	at android widget FrameLayout onLayout(FrameLayout java:261)_x000D_
	at com android internal policy DecorView onLayout(DecorView java:1041)_x000D_
	at android view View layout(View java:22420)_x000D_
	at android view ViewGroup layout(ViewGroup java:6579)_x000D_
	at android view ViewRootImpl performLayout(ViewRootImpl java:3343)_x000D_
	at android view ViewRootImpl performTraversals(ViewRootImpl java:2807)_x000D_
	at android view ViewRootImpl doTraversal(ViewRootImpl java:1853)_x000D_
	at android view ViewRootImpl TraversalRunnable run(ViewRootImpl java:8476)_x000D_
	at android view Choreographer CallbackRecord run(Choreographer java:949)_x000D_
	at android view Choreographer doCallbacks(Choreographer java:761)_x000D_
	at android view Choreographer doFrame(Choreographer java:696)_x000D_
	at android view Choreographer FrameDisplayEventReceiver run(Choreographer java:935)_x000D_
	at android os Handler handleCallback(Handler java:873)_x000D_
	at android os Handler dispatchMessage(Handler java:99)_x000D_
	at android os Looper loop(Looper java:214)_x000D_
	at android app ActivityThread main(ActivityThread java:7032)_x000D_
	at java lang reflect Method invoke(Native Method)_x000D_
	at com android internal os RuntimeInit MethodAndArgsCaller run(RuntimeInit java:494)_x000D_
	at com android internal os ZygoteInit main(ZygoteInit java:965)_x000D_
   </t>
  </si>
  <si>
    <t>dimagi-commcare-android-2233</t>
  </si>
  <si>
    <t>Show form-save-toast before finishing activity</t>
  </si>
  <si>
    <t xml:space="preserve">An attempt to fix  these crashes (https:  console firebase google com u 0 project commcare a57e4 crashlytics app android:org commcare dalvik issues 5c58070df8b88c296399dd45 time last seven days sessionId 5EB9080901DB00014831E21091E943D1 DNE 0 v2): _x000D_
   _x000D_
Fatal Exception: android view WindowManager BadTokenException: Unable to add window    token android os BinderProxy ec645b0 is not valid  is your activity running _x000D_
       at android view ViewRootImpl setView(ViewRootImpl java:679)_x000D_
       at android view WindowManagerGlobal addView(WindowManagerGlobal java:342)_x000D_
       at android view WindowManagerImpl addView(WindowManagerImpl java:94)_x000D_
       at android widget Toast TN handleShow(Toast java:459)_x000D_
       at android widget Toast TN 2 handleMessage(Toast java:342)_x000D_
       at android os Handler dispatchMessage(Handler java:102)_x000D_
       at android os Looper loop(Looper java:154)_x000D_
       at android app ActivityThread main(ActivityThread java:6291)_x000D_
       at java lang reflect Method invoke(Method java)_x000D_
       at com android internal os ZygoteInit MethodAndArgsCaller run(ZygoteInit java:889)_x000D_
       at com android internal os ZygoteInit main(ZygoteInit java:779)_x000D_
   _x000D_
_x000D_
It appears that in API 25  android s Toast had a bug which causes these BadTokenException and there is a  3rd party library (https:  github com PureWriter ToastCompat) that has the detailed explanation with the proper fix  _x000D_
_x000D_
It appears to me that showing the toast after finishing the activity is the main culprit here  so fixing that behaviour   _x000D_
PS: Though I tried running the app on Android 7 1 emulator but couldn t reproduce the error  even by showing the toast with a 5s delay after finishing activity  </t>
  </si>
  <si>
    <t>nextcloud-android-6043</t>
  </si>
  <si>
    <t>Upload loop (same files again and again)</t>
  </si>
  <si>
    <t xml:space="preserve">Hi  _x000D_
after update my NC Android client try to upload all my photos again and again  then it crashes _x000D_
I have disabled auto upload  but app still want to upload all 5k files  I have uninstalled app  deleted all data from internal storage and sdcard  but after new installation and login app again start uploading all files again  _x000D_
 _x000D_
    Steps to reproduce_x000D_
1  Install app_x000D_
2  login_x000D_
3  upload started_x000D_
_x000D_
    Expected behaviour_x000D_
  do not upload already uploaded files_x000D_
_x000D_
    Actual behaviour_x000D_
  app upload same files again and again in loop_x000D_
_x000D_
    Environment data_x000D_
Android version: 9_x000D_
Device model: Samsuns S8_x000D_
Stock or customized system: stock_x000D_
_x000D_
Nextcloud app version: 3 11 1_x000D_
Nextcloud server version: 18 0 3_x000D_
_x000D_
Reverse proxy: nginx_x000D_
_x000D_
    Logs_x000D_
   _x000D_
             CAUSE OF ERROR             _x000D_
java lang RuntimeException: An error occurred while executing doInBackground() at android os AsyncTask 3 done(AsyncTask java:354) at java util concurrent FutureTask finishCompletion(FutureTask java:383) at java util concurrent FutureTask setException(FutureTask java:252) at java util concurrent FutureTask run(FutureTask java:271) at java util concurrent ThreadPoolExecutor runWorker(ThreadPoolExecutor java:1167) at java util concurrent ThreadPoolExecutor Worker run(ThreadPoolExecutor java:641) at java lang Thread run(Thread java:764)Caused by: java lang SecurityException: Caller no longer running  last stopped  4s905ms because: timed out while starting at android os Parcel createException(Parcel java:1966) at android os Parcel readException(Parcel java:1934) at android os Parcel readException(Parcel java:1884) at android app job IJobCallback Stub Proxy dequeueWork(IJobCallback java:195) at android app job JobParameters dequeueWork(JobParameters java:243) at androidx core app JobIntentService JobServiceEngineImpl dequeueWork(JobIntentService java:315) at androidx core app JobIntentService dequeueWork(JobIntentService java:640) at androidx core app JobIntentService CommandProcessor doInBackground(JobIntentService java:390) at androidx core app JobIntentService CommandProcessor doInBackground(JobIntentService java:383) at android os AsyncTask 2 call(AsyncTask java:333) at java util concurrent FutureTask run(FutureTask java:266)     3 moreCaused by: android os RemoteException: Remote stack trace: at com android server job JobServiceContext assertCallerLocked(JobServiceContext java:481) at com android server job JobServiceContext doDequeueWork(JobServiceContext java:359) at com android server job JobServiceContext JobCallback dequeueWork(JobServiceContext java:160) at android app job IJobCallback Stub onTransact(IJobCallback java:83) at android os Binder execTransact(Binder java:739)_x000D_
_x000D_
             APP INFORMATION             ID: com nextcloud clientVersion: 30110190Build flavor: gplay_x000D_
             DEVICE INFORMATION             Brand: samsungDevice: dreamlteModel: SM G950FId: PPR1 180610 011Product: dreamltexx_x000D_
             FIRMWARE             SDK: 28Release: 9Incremental: G950FXXS8DTCB   _x000D_
_x000D_
</t>
  </si>
  <si>
    <t>ankidroid-Anki-Android-6145</t>
  </si>
  <si>
    <t>Crash when exporting collection with time data while using SchedV2</t>
  </si>
  <si>
    <t xml:space="preserve">       Reproduction Steps_x000D_
_x000D_
1  Open AnkiDroid with two decks and several sub deck  Enable Scheduler V2_x000D_
2  Try to export a single deck with time data_x000D_
3  Try to export whole collection without time data_x000D_
4  Try to export whole collection while including time data_x000D_
_x000D_
_x000D_
       Expected Result_x000D_
Trying to export a single deck shows a warning  that exporting single decks with time data is only supported with SchedV1 _x000D_
When exporting the complete collection with time data  no such warning is shown  so I expect it to be able to export the collection_x000D_
_x000D_
_x000D_
       Actual Result_x000D_
 Using SchedV2 the collection can be exported without the time data _x000D_
_x000D_
When the time data is selected for export  AnkiDroid crashes without further notice when trying to export the collection _x000D_
_x000D_
       Debug info_x000D_
AnkiDroid Version   2 10beta3_x000D_
_x000D_
Android Version   10_x000D_
_x000D_
ACRA UUID   521087f7 500c 4737 9177 e052dde31e0e_x000D_
_x000D_
       Research_x000D_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t>
  </si>
  <si>
    <t>nextcloud-android-6039</t>
  </si>
  <si>
    <t>Crash in grid</t>
  </si>
  <si>
    <t xml:space="preserve">Then I try to send a file inside upload files _x000D_
it crash then I change list to grid_x000D_
_x000D_
    Steps to reproduce_x000D_
Step 1: Log ind (Username and Password)_x000D_
Step 2: Grant access_x000D_
Step 3: Open default photo (Photos)_x000D_
Step 4: Press the add button right bottom_x000D_
Step 5: And  Send files _x000D_
Step 6: Now press the 3 dots top right_x000D_
Step 7: and press  show Grid view _x000D_
_x000D_
    Expected behaviour_x000D_
  Show grid view_x000D_
_x000D_
    Actual behaviour_x000D_
  it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9_x000D_
_x000D_
Device model: umidigi power_x000D_
_x000D_
Stock or customized system:_x000D_
_x000D_
Nextcloud app version: 3 11 1_x000D_
_x000D_
Nextcloud server version: new version  _x000D_
_x000D_
Reverse proxy: no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</si>
  <si>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TeamNewPipe-NewPipe-3566</t>
  </si>
  <si>
    <t>No videos + error instead of "network error" and retry button on soundcloud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</si>
  <si>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_x000D_
    Steps to reproduce the bug_x000D_
    _x000D_
1  Go to      _x000D_
2  Press on       _x000D_
3  Swipe down to       _x000D_
   _x000D_
1  Disable networks_x000D_
2  Go to soundcloud_x000D_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An  network error    retry button like on YouTube_x000D_
 img width  200  src  https:  user images githubusercontent com 58657617 81494994 7ee96580 929c 11ea 871b 793747aedf23 png  _x000D_
_x000D_
    Actual behaviour_x000D_
     Tell us what happens instead     _x000D_
An error is shown (see log below) and  no videos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img width  200  src  https:  user images githubusercontent com 58657617 81495169 916c9a80 92ae 11ea 9404 b6dfb69e8aab png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requested kiosk_x000D_
    Request:   https:  soundcloud com charts new_x000D_
    Content Language:   fr FR_x000D_
    Service:   SoundCloud_x000D_
    Version:   0 19 3_x000D_
    OS:   Linux Android 9   28_x000D_
_x000D_
_x000D_
 details  summary  b Crash log  b   summary  p _x000D_
_x000D_
   _x000D_
java net UnknownHostException: Unable to resolve host  soundcloud com : No address associated with hostname_x000D_
	at java net Inet6AddressImpl lookupHostByName(Inet6AddressImpl java:157)_x000D_
	at java net Inet6AddressImpl lookupAllHostAddr(Inet6AddressImpl java:105)_x000D_
	at java net InetAddress getAllByName(InetAddress java:1154)_x000D_
	at okhttp3 Dns 1 lookup(Dns java:40)_x000D_
	at okhttp3 internal connection RouteSelector resetNextInetSocketAddress(RouteSelector java:185)_x000D_
	at okhttp3 internal connection RouteSelector nextProxy(RouteSelector java:149)_x000D_
	at okhttp3 internal connection RouteSelector next(RouteSelector java:84)_x000D_
	at okhttp3 internal connection StreamAllocation findConnection(StreamAllocation java:215)_x000D_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org schabi newpipe DownloaderImpl execute(DownloaderImpl java:263)_x000D_
	at org schabi newpipe extractor downloader Downloader get(Downloader java:70)_x000D_
	at org schabi newpipe extractor downloader Downloader get(Downloader java:29)_x000D_
	at org schabi newpipe extractor services soundcloud SoundcloudParsingHelper clientId(SoundcloudParsingHelper java:53)_x000D_
	at org schabi newpipe extractor services soundcloud extractors SoundcloudChartsExtractor computeNextPageAndStreams(SoundcloudChartsExtractor java:55)_x000D_
	at org schabi newpipe extractor services soundcloud extractors SoundcloudChartsExtractor getInitialPage(SoundcloudChartsExtractor java:82)_x000D_
	at org schabi newpipe extractor utils ExtractorHelper getItemsPageOrLogError(ExtractorHelper java:19)_x000D_
	at org schabi newpipe extractor kiosk KioskInfo getInfo(KioskInfo java:72)_x000D_
	at org schabi newpipe extractor kiosk KioskInfo getInfo(KioskInfo java:58)_x000D_
	at org schabi newpipe util ExtractorHelper lambda getKioskInfo 11(ExtractorHelper java:184)_x000D_
	at org schabi newpipe util    Lambda ExtractorHelper 3nu IUHVaX 6ert LLLuUGJnfDU call(Unknown Source:4)_x000D_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android system GaiException: android getaddrinfo failed: EAI NODATA (No address associated with hostname)_x000D_
	at libcore io Linux android getaddrinfo(Native Method)_x000D_
	at libcore io BlockGuardOs android getaddrinfo(BlockGuardOs java:172)_x000D_
	at java net Inet6AddressImpl lookupHostByName(Inet6AddressImpl java:137)_x000D_
	    46 more_x000D_
_x000D_
   _x000D_
  p   details _x000D_
 hr _x000D_
</t>
  </si>
  <si>
    <t>material-components-material-components-android-1285</t>
  </si>
  <si>
    <t>[Textfield] Resources not found exception with password icons</t>
  </si>
  <si>
    <t xml:space="preserve">  Description:   _x000D_
Crash due to missing resource  design password eye xml   The same bug as closed  670 _x000D_
_x000D_
   _x000D_
Caused by android content res Resources NotFoundException: File res drawable v21 design password eye xml from drawable resource ID  0x7f080086_x000D_
       at android content res ResourcesImpl loadDrawableForCookie(ResourcesImpl java:820)_x000D_
       at android content res ResourcesImpl loadDrawable(ResourcesImpl java:630)_x000D_
       at android content res Resources getDrawableForDensity(Resources java:877)_x000D_
       at android content res XResources getDrawableForDensity(XResources java:868)_x000D_
       at android content res Resources getDrawable(Resources java:819)_x000D_
       at android content res XResources getDrawable(XResources java:790)_x000D_
       at android content Context getDrawable(Context java:605)_x000D_
       at androidx core content ContextCompat getDrawable(ContextCompat java:454)_x000D_
       at androidx appcompat widget ResourceManagerInternal getDrawable(ResourceManagerInternal java:144)_x000D_
       at androidx appcompat widget ResourceManagerInternal getDrawable(ResourceManagerInternal java:132)_x000D_
       at androidx appcompat content res AppCompatResources getDrawable(AppCompatResources java:104)_x000D_
       at com google android material textfield PasswordToggleEndIconDelegate initialize(PasswordToggleEndIconDelegate java:83)_x000D_
       at com google android material textfield TextInputLayout setEndIconMode(TextInputLayout java:2379)_x000D_
       at com google android material textfield TextInputLayout  init (TextInputLayout java:681)_x000D_
       at com google android material textfield TextInputLayout  init (TextInputLayout java:396)_x000D_
       at java lang reflect Constructor newInstance0(Constructor java)_x000D_
       at java lang reflect Constructor newInstance(Constructor java:334)_x000D_
       at android view LayoutInflater createView(LayoutInflater java:647)_x000D_
       at android view LayoutInflater createViewFromTag(LayoutInflater java:790)_x000D_
       at android view LayoutInflater createViewFromTag(LayoutInflater java:730)_x000D_
       at android view LayoutInflater rInflate(LayoutInflater java:863)_x000D_
       at android view LayoutInflater rInflateChildren(LayoutInflater java:824)_x000D_
       at android view LayoutInflater inflate(LayoutInflater java:515)_x000D_
       at android view LayoutInflater inflate(LayoutInflater java:423)_x000D_
       at co tinode tindroid LoginFragment onCreateView(LoginFragment java:51)_x000D_
       at androidx fragment app Fragment performCreateView(Fragment java:2698)_x000D_
       at androidx fragment app FragmentStateManager createView(FragmentStateManager java:320)_x000D_
       at androidx fragment app FragmentManager moveToState(FragmentManager java:1187)_x000D_
       at androidx fragment app FragmentManager moveToState(FragmentManager java:1356)_x000D_
       at androidx fragment app FragmentManager moveFragmentToExpectedState(FragmentManager java:1434)_x000D_
       at androidx fragment app FragmentManager moveToState(FragmentManager java:1497)_x000D_
       at androidx fragment app BackStackRecord executeOps(BackStackRecord java:447)_x000D_
       at androidx fragment app FragmentManager executeOps(FragmentManager java:2169)_x000D_
       at androidx fragment app FragmentManager executeOpsTogether(FragmentManager java:1992)_x000D_
       at androidx fragment app FragmentManager removeRedundantOperationsAndExecute(FragmentManager java:1947)_x000D_
       at androidx fragment app FragmentManager execPendingActions(FragmentManager java:1849)_x000D_
       at androidx fragment app FragmentManager dispatchStateChange(FragmentManager java:2629)_x000D_
       at androidx fragment app FragmentManager dispatchActivityCreated(FragmentManager java:2577)_x000D_
       at androidx fragment app FragmentController dispatchActivityCreated(FragmentController java:247)_x000D_
       at androidx fragment app FragmentActivity onStart(FragmentActivity java:541)_x000D_
       at androidx appcompat app AppCompatActivity onStart(AppCompatActivity java:201)_x000D_
       at android app Instrumentation callActivityOnStart(Instrumentation java:1334)_x000D_
       at android app Activity performStart(Activity java:7029)_x000D_
       at android app ActivityThread performLaunchActivity(ActivityThread java:2741)_x000D_
       at android app ActivityThread handleLaunchActivity(ActivityThread java:2856)_x000D_
       at android app ActivityThread  wrap11(ActivityThread java)_x000D_
       at android app ActivityThread H handleMessage(ActivityThread java:1589)_x000D_
       at android os Handler dispatchMessage(Handler java:106)_x000D_
       at android os Looper loop(Looper java:164)_x000D_
       at android app ActivityThread main(ActivityThread java:6494)_x000D_
       at java lang reflect Method invoke(Method java)_x000D_
       at com android internal os RuntimeInit MethodAndArgsCaller run(RuntimeInit java:438)_x000D_
       at com android internal os ZygoteInit main(ZygoteInit java:807)_x000D_
   _x000D_
_x000D_
  Expected behavior:   _x000D_
No crash_x000D_
_x000D_
  Source code:   _x000D_
   xml_x000D_
     com google android material textfield TextInputLayout_x000D_
        android:id    id editPasswordWrapper _x000D_
        android:layout width  match parent _x000D_
        android:layout height  wrap content _x000D_
        android:layout below    id editLoginWrapper _x000D_
        android:layout marginTop  8dp _x000D_
        android:layout marginBottom  8dp _x000D_
        app:passwordToggleEnabled  true  _x000D_
         com google android material textfield TextInputEditText_x000D_
            android:layout width  match parent _x000D_
            android:layout height  wrap content _x000D_
            android:inputType  textPassword _x000D_
            android:id    id editPassword _x000D_
            android:hint   string password hint   _x000D_
      com google android material textfield TextInputLayout _x000D_
   _x000D_
_x000D_
  Android API version:   Android API version here_x000D_
_x000D_
23  27_x000D_
_x000D_
  Material Library version:   Material Android Library version you are using here (e g   1 1 0 alpha07)_x000D_
_x000D_
 classpath  com android tools build:gradle:3 6 3  _x000D_
_x000D_
   _x000D_
implementation  androidx appcompat:appcompat:1 1 0 _x000D_
implementation  androidx vectordrawable:vectordrawable:1 1 0 _x000D_
implementation  com google android material:material:1 1 0 _x000D_
   _x000D_
_x000D_
   _x000D_
Android Studio 3 6 3_x000D_
Build  AI 192 7142 36 36 6392135  built on April 14  2020_x000D_
Runtime version: 1 8 0 212 release 1586 b4 5784211 x86 64_x000D_
VM: OpenJDK 64 Bit Server VM by JetBrains s r o_x000D_
macOS 10 15 4_x000D_
GC: ParNew  ConcurrentMarkSweep_x000D_
Memory: 1981M_x000D_
Cores: 8_x000D_
Registry: ide new welcome screen force true_x000D_
Non Bundled Plugins: org intellij plugins markdown  com google services firebase_x000D_
   _x000D_
_x000D_
  Device:   Device on which the bug was encountered here_x000D_
_x000D_
API 27:_x000D_
Brand: LGE_x000D_
Model: Nexus 5X_x000D_
_x000D_
API 23:_x000D_
Brand: itel_x000D_
Model: S31_x000D_
</t>
  </si>
  <si>
    <t>material-components-material-components-android-1284</t>
  </si>
  <si>
    <t>[Slider] IllegalStateException: Not enough labels to display all the values</t>
  </si>
  <si>
    <t xml:space="preserve">  Description:   Hi  I am using an alpha version of Material Components to use the slider class so I certainly understand this is not production ready yet  However  I got some logs from the crash report that the slider occasionally throws   IllegalStateException of  Not enough labels to display all the values    on some users  devices (as in  ensureLabels()  line 1734)_x000D_
https:  github com material components material components android blob 59c156013f7f2401d8331e6b53df13486cba8157 lib java com google android material slider Slider java L1734_x000D_
As this is more of an internal method  I don t know if this is a bug or a result of misconfiguration  please let me know if I am using the Slider class wrong  thanks  _x000D_
Crash stack trace:_x000D_
   _x000D_
java lang IllegalStateException: Not enough labels to display all the values_x000D_
    at com google android material slider Slider ensureLabels(Slider java:9)_x000D_
    at com google android material slider Slider onDraw(Slider java:15)_x000D_
    at android view View draw(View java:23190)_x000D_
    at android view View updateDisplayListIfDirty(View java:22065)_x000D_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ViewGroup recreateChildDisplayList(ViewGroup java:5214)_x000D_
    at android view ViewGroup dispatchGetDisplayList(ViewGroup java:5186)_x000D_
    at android view View updateDisplayListIfDirty(View java:22020)_x000D_
    at android view ThreadedRenderer updateViewTreeDisplayList(ThreadedRenderer java:588)_x000D_
    at android view ThreadedRenderer updateRootDisplayList(ThreadedRenderer java:594)_x000D_
    at android view ThreadedRenderer draw(ThreadedRenderer java:667)_x000D_
    at android view ViewRootImpl draw(ViewRootImpl java:4263)_x000D_
    at android view ViewRootImpl performDraw(ViewRootImpl java:4047)_x000D_
    at android view ViewRootImpl performTraversals(ViewRootImpl java:3320)_x000D_
    at android view ViewRootImpl doTraversal(ViewRootImpl java:2200)_x000D_
    at android view ViewRootImpl TraversalRunnable run(ViewRootImpl java:9065)_x000D_
    at android view Choreographer CallbackRecord run(Choreographer java:999)_x000D_
    at android view Choreographer doCallbacks(Choreographer java:797)_x000D_
    at android view Choreographer doFrame(Choreographer java:732)_x000D_
    at android view Choreographer FrameDisplayEventReceiver run(Choreographer java:984)_x000D_
    at android os Handler handleCallback(Handler java:883)_x000D_
    at android os Handler dispatchMessage(Handler java:100)_x000D_
    at android os Looper loop(Looper java:237)_x000D_
    at android app ActivityThread main(ActivityThread java:8016)_x000D_
    at java lang reflect Method invoke(Method java)_x000D_
    at com android internal os RuntimeInit MethodAndArgsCaller run(RuntimeInit java:493)_x000D_
    at com android internal os ZygoteInit main(ZygoteInit java:1076)_x000D_
   _x000D_
_x000D_
  Expected behavior:   Slider works normally across on all devices_x000D_
_x000D_
  Source code:   _x000D_
Layout:_x000D_
   xml_x000D_
 com google android material slider Slider_x000D_
android:id    id fluid speed slider _x000D_
android:valueTo  1 _x000D_
android:valueFrom  0 _x000D_
app:valueEnd     viewModel noiseSpeedMax  _x000D_
app:valueStart     viewModel noiseSpeedMin  _x000D_
style   style Widget MaterialComponents Slider _x000D_
android:layout width  wrap content _x000D_
android:layout height  wrap content _x000D_
android:animateLayoutChanges  true _x000D_
android:fontFamily   font product sans bold _x000D_
android:textAppearance   style TextAppearance MaterialComponents Overline _x000D_
app:labelBehavior  floating    _x000D_
   _x000D_
My data binding class (to use with my customized  app:valueStart  and  app:valueEnd  attribute to represent a range of values):_x000D_
   java_x000D_
package com justzht lwp music apple helper binding _x000D_
_x000D_
import androidx annotation NonNull _x000D_
import androidx databinding BindingAdapter _x000D_
import androidx databinding InverseBindingAdapter _x000D_
import androidx databinding InverseBindingListener _x000D_
_x000D_
import com google android material slider Slider _x000D_
_x000D_
public class SliderBindingAdapter  _x000D_
_x000D_
     BindingAdapter( android:enabled )_x000D_
    public static void setEnabled(Slider view  boolean enabled)_x000D_
     _x000D_
        if (view isEnabled()    enabled)_x000D_
         _x000D_
            view setEnabled(enabled) _x000D_
         _x000D_
     _x000D_
_x000D_
     InverseBindingAdapter(attribute    android:value )_x000D_
    public static float getValue(Slider view)  _x000D_
        return view getValue() _x000D_
     _x000D_
_x000D_
     BindingAdapter( android:value )_x000D_
    public static void setValue(Slider view  float progress)  _x000D_
        if (progress    view getValue())  _x000D_
            view setValue(progress) _x000D_
         _x000D_
     _x000D_
_x000D_
     BindingAdapter(value     valueStart   valueEnd  )_x000D_
    public static void setValue(Slider view  float start  float end)  _x000D_
_x000D_
        float startCurrent  endCurrent _x000D_
        if (view getValues() size()    2)   startCurrent   view getValueFrom()  endCurrent   view getValueTo()   _x000D_
        else   startCurrent   view getValues() get(0)  endCurrent   view getValues() get(1)   _x000D_
_x000D_
        if (start   view getValueFrom())   start   view getValueFrom()   _x000D_
        if (end   view getValueFrom())   end   view getValueFrom()   _x000D_
        if (start   view getValueTo())   start   view getValueTo()   _x000D_
        if (end   view getValueTo())   end   view getValueTo()   _x000D_
        if (start   end)   start   end   _x000D_
        if (start    startCurrent    end    endCurrent)_x000D_
         _x000D_
            view setValues(start  end) _x000D_
         _x000D_
     _x000D_
_x000D_
     InverseBindingAdapter(attribute    valueStart )_x000D_
    public static float getValueStart(Slider view)  _x000D_
        if (view getValues() size()   0)_x000D_
         _x000D_
            return view getValues() get(0) _x000D_
         else  _x000D_
            return view getValueFrom() _x000D_
         _x000D_
     _x000D_
_x000D_
     InverseBindingAdapter(attribute    valueEnd )_x000D_
    public static float getValueEnd(Slider view)  _x000D_
        if (view getValues() size()   1)_x000D_
         _x000D_
            return view getValues() get(1) _x000D_
         else  _x000D_
            return view getValueTo() _x000D_
         _x000D_
     _x000D_
_x000D_
    public interface OnStartTrackingTouch  _x000D_
        void onStartTrackingTouch(Slider slider) _x000D_
     _x000D_
_x000D_
    public interface OnStopTrackingTouch  _x000D_
        void onStopTrackingTouch(Slider slider) _x000D_
     _x000D_
_x000D_
    public interface OnValueChange  _x000D_
        void onValueChange(Slider slider  float value  boolean fromUser) _x000D_
     _x000D_
_x000D_
    public interface OnValueUserChange  _x000D_
        void onValueChange(float value) _x000D_
     _x000D_
_x000D_
     BindingAdapter(value     valueStartAttrChanged    valueEndAttrChanged    requireAll   false)_x000D_
    public static void setValueListener(Slider view  final InverseBindingListener start  final InverseBindingListener end)_x000D_
     _x000D_
        view clearOnChangeListeners() _x000D_
        if (start    null    end    null)_x000D_
         _x000D_
            view addOnChangeListener((slider  value  fromUser)     _x000D_
                if (start    null)   start onChange()   _x000D_
                if (end    null)   end onChange()   _x000D_
             ) _x000D_
         _x000D_
     _x000D_
_x000D_
     BindingAdapter(value     android:onValueChange    android:onValueUserChange    requireAll   false)_x000D_
    public static void setValueListener(Slider view  final OnValueChange change  final OnValueUserChange userChange)_x000D_
     _x000D_
        view clearOnChangeListeners() _x000D_
        if (change    null    userChange    null)_x000D_
         _x000D_
            view addOnChangeListener((slider  value  fromUser)     _x000D_
                if (change    null)   change onValueChange(slider value fromUser)   _x000D_
                if (userChange    null    fromUser)   userChange onValueChange(value)   _x000D_
             ) _x000D_
         _x000D_
     _x000D_
_x000D_
     BindingAdapter(value     android:onStartTrackingTouch    android:onStopTrackingTouch    requireAll   false)_x000D_
    public static void setListener(Slider view  final OnStartTrackingTouch start  final OnStopTrackingTouch stop)_x000D_
     _x000D_
        view clearOnSliderTouchListeners() _x000D_
        if (start    null    stop    null)_x000D_
         _x000D_
            view addOnSliderTouchListener(new Slider OnSliderTouchListener()  _x000D_
                 Override_x000D_
                public void onStartTrackingTouch( NonNull Slider slider)  _x000D_
                    if (start    null)  _x000D_
                        start onStartTrackingTouch(slider) _x000D_
                     _x000D_
                 _x000D_
_x000D_
                 Override_x000D_
                public void onStopTrackingTouch( NonNull Slider slider)  _x000D_
                    if (stop    null)  _x000D_
                        stop onStopTrackingTouch(slider) _x000D_
                     _x000D_
                 _x000D_
             ) _x000D_
         _x000D_
     _x000D_
 _x000D_
_x000D_
   _x000D_
_x000D_
  Android API version:   Android 10_x000D_
_x000D_
  Material Library version:    com google android material:material:1 2 0 alpha06 _x000D_
_x000D_
  Device:    Motorola One Vision     Samsung Galaxy S10 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</si>
  <si>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TeamNewPipe-NewPipe-3561</t>
  </si>
  <si>
    <t>[0.19.3] App Crash returning from download screen to playlist view that ended</t>
  </si>
  <si>
    <t xml:space="preserve">   Exception
    User Action:   ui error
    Request:   App crash  UI failure
    Content Language:   GB
    Service:   none
    Version:   0 19 3
    OS:   Linux Android 7 1 1   25
 details  summary  b Crash log  b   summary  p 
java lang RuntimeException: Unable to resume activity  org schabi newpipe org schabi newpipe player MainVideoPlayer : java lang NullPointerException: Attempt to invoke virtual method  void org schabi newpipe player playqueue PlayQueue init()  on a null object reference
	at android app ActivityThread performResumeActivity(ActivityThread java:3572)
	at android app ActivityThread handleResumeActivity(ActivityThread java:3612)
	at android app ActivityThread handleLaunchActivity(ActivityThread java:2854)
	at android app ActivityThread  wrap12(ActivityThread java)
	at android app ActivityThread H handleMessage(ActivityThread java:1552)
	at android os Handler dispatchMessage(Handler java:102)
	at android os Looper loop(Looper java:154)
	at android app ActivityThread main(ActivityThread java:6334)
	at java lang reflect Method invoke(Native Method)
	at com android internal os ZygoteInit MethodAndArgsCaller run(ZygoteInit java:886)
	at com android internal os ZygoteInit main(ZygoteInit java:776)
Caused by: java lang NullPointerException: Attempt to invoke virtual method  void org schabi newpipe player playqueue PlayQueue init()  on a null object reference
	at org schabi newpipe player BasePlayer initPlayback(BasePlayer java:355)
	at org schabi newpipe player MainVideoPlayer onResume(MainVideoPlayer java:294)
	at android app Instrumentation callActivityOnResume(Instrumentation java:1364)
	at android app Activity performResume(Activity java:6847)
	at android app ActivityThread performResumeActivity(ActivityThread java:3542)
	    10 more
java lang NullPointerException: Attempt to invoke virtual method  void org schabi newpipe player playqueue PlayQueue init()  on a null object reference
	at org schabi newpipe player BasePlayer initPlayback(BasePlayer java:355)
	at org schabi newpipe player MainVideoPlayer onResume(MainVideoPlayer java:294)
	at android app Instrumentation callActivityOnResume(Instrumentation java:1364)
	at android app Activity performResume(Activity java:6847)
	at android app ActivityThread performResumeActivity(ActivityThread java:3542)
	at android app ActivityThread handleResumeActivity(ActivityThread java:3612)
	at android app ActivityThread handleLaunchActivity(ActivityThread java:2854)
	at android app ActivityThread  wrap12(ActivityThread java)
	at android app ActivityThread H handleMessage(ActivityThread java:1552)
	at android os Handler dispatchMessage(Handler java:102)
	at android os Looper loop(Looper java:154)
	at android app ActivityThread main(ActivityThread java:6334)
	at java lang reflect Method invoke(Native Method)
	at com android internal os ZygoteInit MethodAndArgsCaller run(ZygoteInit java:886)
	at com android internal os ZygoteInit main(ZygoteInit java:776)
  p   details 
 hr 
App crashed on return from download list 
  Queued multiple files on pop up player
  Clicked notification to show playlist queue for pop up player
  Shared one item in list to newpipe to download
  Clicked notification to show download list
  Pop up queue ends so drag pop up player to  x  to exit
  Download finished so click back button to exit
  Back tries to go back to Newpipe playlist view for pop up player  which does not exist anymore since I dragged pop up to  x  so it is now null hence the crash</t>
  </si>
  <si>
    <t>ankidroid-Anki-Android-6137</t>
  </si>
  <si>
    <t>Bug: Can't import many files with CJK filenames - filename too long</t>
  </si>
  <si>
    <t xml:space="preserve">Non crash  but annoying_x000D_
_x000D_
https:  couchdb ankidroid org acralyzer  design acralyzer index html  report details 02a88253 f48e 4a3b 8119 c1e578ca495d_x000D_
_x000D_
44 character Chinese filename gets expanded to 291 character URLEncoded filename which fails the import  Filename removed for user privacy _x000D_
_x000D_
   _x000D_
ImportUtils  Could not copy file to  data user 0 com ichi2 anki cache  FileName _x000D_
java nio file FileSystemException:  data user 0 com ichi2 anki cache  FileName : File name too long_x000D_
at sun nio fs UnixFileSystemProvider implDelete(UnixFileSystemProvider java:244)_x000D_
at sun nio fs AbstractFileSystemProvider deleteIfExists(AbstractFileSystemProvider java:108)_x000D_
at java nio file Files deleteIfExists(Files java:1165)_x000D_
at java nio file Files copy(Files java:3004)_x000D_
at com ichi2 compat CompatV26 copyFile(CompatV26 java:3)_x000D_
at com ichi2 utils ImportUtils copyFileToCache(ImportUtils java:2)_x000D_
at com ichi2 utils ImportUtils handleContentProviderFile(ImportUtils java:15)_x000D_
at com ichi2 utils ImportUtils handleFileImportInternal(ImportUtils java:11)_x000D_
at com ichi2 utils ImportUtils handleFileImport(ImportUtils java:4)_x000D_
at com ichi2 anki IntentHandler onCreate(IntentHandler java:11)_x000D_
at android app Activity performCreate(Activity java:8066)_x000D_
at android app Activity performCreate(Activity java:8054)_x000D_
at android app Instrumentation callActivityOnCreate(Instrumentation java:1313)_x000D_
at android app ActivityThread performLaunchActivity(ActivityThread java:3733)_x000D_
at android app ActivityThread handleLaunchActivity(ActivityThread java:3939)_x000D_
at android app servertransaction LaunchActivityItem execute(LaunchActivityItem java:91)_x000D_
at android app servertransaction TransactionExecutor executeCallbacks(TransactionExecutor java:149)_x000D_
at android app servertransaction TransactionExecutor execute(TransactionExecutor java:103)_x000D_
at android app ActivityThread H handleMessage(ActivityThread java:2373)_x000D_
at android os Handler dispatchMessage(Handler java:107)_x000D_
at android os Looper loop(Looper java:213)_x000D_
at android app ActivityThread main(ActivityThread java:8147)_x000D_
at java lang reflect Method invoke(Native Method)_x000D_
at com android internal os RuntimeInit MethodAndArgsCaller run(RuntimeInit java:513)_x000D_
at com android internal os ZygoteInit main(ZygoteInit java:1101)_x000D_
_x000D_
java nio file FileSystemException:  data user 0 com ichi2 anki cache  FileName : File name too long_x000D_
at sun nio fs UnixFileSystemProvider implDelete(UnixFileSystemProvider java:244)_x000D_
at sun nio fs AbstractFileSystemProvider deleteIfExists(AbstractFileSystemProvider java:108)_x000D_
at java nio file Files deleteIfExists(Files java:1165)_x000D_
at java nio file Files copy(Files java:3004)_x000D_
at com ichi2 compat CompatV26 copyFile(CompatV26 java:3)_x000D_
at com ichi2 utils ImportUtils copyFileToCache(ImportUtils java:2)_x000D_
at com ichi2 utils ImportUtils handleContentProviderFile(ImportUtils java:15)_x000D_
at com ichi2 utils ImportUtils handleFileImportInternal(ImportUtils java:11)_x000D_
at com ichi2 utils ImportUtils handleFileImport(ImportUtils java:4)_x000D_
at com ichi2 anki IntentHandler onCreate(IntentHandler java:11)_x000D_
at android app Activity performCreate(Activity java:8066)_x000D_
at android app Activity performCreate(Activity java:8054)_x000D_
at android app Instrumentation callActivityOnCreate(Instrumentation java:1313)_x000D_
at android app ActivityThread performLaunchActivity(ActivityThread java:3733)_x000D_
at android app ActivityThread handleLaunchActivity(ActivityThread java:3939)_x000D_
at android app servertransaction LaunchActivityItem execute(LaunchActivityItem java:91)_x000D_
at android app servertransaction TransactionExecutor executeCallbacks(TransactionExecutor java:149)_x000D_
at android app servertransaction TransactionExecutor execute(TransactionExecutor java:103)_x000D_
at android app ActivityThread H handleMessage(ActivityThread java:2373)_x000D_
at android os Handler dispatchMessage(Handler java:107)_x000D_
at android os Looper loop(Looper java:213)_x000D_
at android app ActivityThread main(ActivityThread java:8147)_x000D_
at java lang reflect Method invoke(Native Method)_x000D_
at com android internal os RuntimeInit MethodAndArgsCaller run(RuntimeInit java:513)_x000D_
at com android internal os ZygoteInit main(ZygoteInit java:1101)_x000D_
   </t>
  </si>
  <si>
    <t>UCI-Networking-Group-AntMonitor-4</t>
  </si>
  <si>
    <t>FATAL ERROR while updating the app to a modified version</t>
  </si>
  <si>
    <t>Hello  _x000D_
I m trying to enable CONTRIBUTION SECTIONS of AntMonitor  but when I build and run the code  I get an error  Tis is a strange error because if I run the app in one device it works  but if I run it in another device  it doesn t work and I get this error  I ve seen that maybe change the DATABASE VERSION could be a solution  I tried it and the error doesn t appear but the app is still crashing   _x000D_
Thanks _x000D_
_x000D_
E AndroidRuntime: FATAL EXCEPTION: main_x000D_
    Process: edu uci calit2 anteatermo dev  PID: 10313_x000D_
    java lang RuntimeException: Unable to start activity ComponentInfo edu uci calit2 anteatermo dev edu uci calit2 anteater client android activity GettingStartedActivity : android view InflateException: Binary XML file line  32: Binary XML file line  88: Binary XML file line  88: Error inflating class fragment_x000D_
        at android app ActivityThread performLaunchActivity(ActivityThread java:2924)_x000D_
        at android app ActivityThread handleLaunchActivity(ActivityThread java:2985)_x000D_
        at android app ActivityThread  wrap14(ActivityThread java)_x000D_
        at android app ActivityThread H handleMessage(ActivityThread java:1635)_x000D_
        at android os Handler dispatchMessage(Handler java:102)_x000D_
        at android os Looper loop(Looper java:154)_x000D_
        at android app ActivityThread main(ActivityThread java:6692)_x000D_
        at java lang reflect Method invoke(Native Method)_x000D_
        at com android internal os ZygoteInit MethodAndArgsCaller run(ZygoteInit java:1468)_x000D_
        at com android internal os ZygoteInit main(ZygoteInit java:1358)_x000D_
     Caused by: android view InflateException: Binary XML file line  32: Binary XML file line  88: Binary XML file line  88: Error inflating class fragment_x000D_
     Caused by: android view InflateException: Binary XML file line  88: Binary XML file line  88: Error inflating class fragment_x000D_
     Caused by: android view InflateException: Binary XML file line  88: Error inflating class fragment_x000D_
       Caused by: android database sqlite SQLiteException: no such column: action (code 1):   while compiling: SELECT  id  appname  label  pii  search enabled  action  is custom FROM TABLE FILTERS WHERE appname is null  AND label      _x000D_
                                                                     _x000D_
    Error Code : 1 (SQLITE ERROR)_x000D_
      Caused By : SQL(query) error or missing database _x000D_
    	(no such column: action (code 1):   while compiling: SELECT  id  appname  label  pii  search enabled  action  is custom FROM TABLE FILTERS WHERE appname is null  AND label    )  _x000D_
                                                                     _x000D_
        at android database sqlite SQLiteConnection nativePrepareStatement(Native Method)_x000D_
        at android database sqlite SQLiteConnection acquirePreparedStatement(SQLiteConnection java:1008)_x000D_
        at android database sqlite SQLiteConnection prepare(SQLiteConnection java:573)_x000D_
        at android database sqlite SQLiteSession prepare(SQLiteSession java:588)_x000D_
        at android database sqlite SQLiteProgram  init (SQLiteProgram java:59)_x000D_
        at android database sqlite SQLiteQuery  init (SQLiteQuery java:37)_x000D_
        at android database sqlite SQLiteDirectCursorDriver query(SQLiteDirectCursorDriver java:44)_x000D_
        at android database sqlite SQLiteDatabase rawQueryWithFactory(SQLiteDatabase java:1628)_x000D_
        at android database sqlite SQLiteDatabase queryWithFactory(SQLiteDatabase java:1475)_x000D_
        at android database sqlite SQLiteDatabase query(SQLiteDatabase java:1346)_x000D_
        at android database sqlite SQLiteDatabase query(SQLiteDatabase java:1514)_x000D_
        at edu uci calit2 anteater client android database PrivacyDB getPrivacyFilterByLabel(PrivacyDB java:637)_x000D_
        at edu uci calit2 anteater client android database PrivacyDB getGlobalPrivacyFilterByLabel(PrivacyDB java:686)_x000D_
        at edu uci calit2 anteater client android database PrivacyDB hasDefaultFilters(PrivacyDB java:208)_x000D_
        at edu uci calit2 anteater client android database PrivacyDB getInstance(PrivacyDB java:193)_x000D_
        at edu uci calit2 anteater client android activity uielements PrivacyFilterListAdapter  init (PrivacyFilterListAdapter java:66)_x000D_
        at edu uci calit2 anteater client android fragment PrivacyFiltersFragment onCreateView(PrivacyFiltersFragment java:108)_x000D_
        at android support v4 app Fragment performCreateView(Fragment java:2354)_x000D_
        at android support v4 app FragmentManagerImpl ensureInflatedFragmentView(FragmentManager java:1645)_x000D_
        at android support v4 app FragmentManagerImpl moveToState(FragmentManager java:1390)_x000D_
        at android support v4 app FragmentManagerImpl moveToState(FragmentManager java:1640)_x000D_
        at android support v4 app FragmentManagerImpl addFragment(FragmentManager java:1896)_x000D_
        at android support v4 app FragmentManagerImpl onCreateView(FragmentManager java:3673)_x000D_
        at android view LayoutInflater FactoryMerger onCreateView(LayoutInflater java:190)_x000D_
        at android view LayoutInflater createViewFromTag(LayoutInflater java:776)_x000D_
        at android view LayoutInflater createViewFromTag(LayoutInflater java:734)_x000D_
        at android view LayoutInflater rInflate(LayoutInflater java:865)_x000D_
        at android view LayoutInflater rInflateChildren(LayoutInflater java:828)_x000D_
        at android view LayoutInflater rInflate(LayoutInflater java:873)_x000D_
        at android view LayoutInflater rInflateChildren(LayoutInflater java:828)_x000D_
        at android view LayoutInflater rInflate(LayoutInflater java:873)_x000D_
        at android view LayoutInflater rInflateChildren(LayoutInflater java:828)_x000D_
        at android view LayoutInflater rInflate(LayoutInflater java:873)_x000D_
        at android view LayoutInflater rInflateChildren(LayoutInflater java:828)_x000D_
        at android view LayoutInflater inflate(LayoutInflater java:525)_x000D_
        at android view LayoutInflater inflate(LayoutInflater java:427)_x000D_
        at edu uci calit2 anteater client android fragment GSPrivacyFragment onCreateView(GSPrivacyFragment java:72)_x000D_
        at android support v4 app Fragment performCreateView(Fragment java:2354)_x000D_
        at android support v4 app FragmentManagerImpl ensureInflatedFragmentView(FragmentManager java:1645)_x000D_
        at android support v4 app FragmentManagerImpl moveToState(FragmentManager java:1390)_x000D_
        at android support v4 app FragmentManagerImpl moveToState(FragmentManager java:1640)_x000D_
        at android support v4 app FragmentManagerImpl addFragment(FragmentManager java:1896)_x000D_
        at android support v4 app FragmentManagerImpl onCreateView(FragmentManager java:3673)_x000D_
        at android support v4 app FragmentController onCreateView(FragmentController java:111)_x000D_
        at android support v4 app FragmentActivity dispatchFragmentsOnCreateView(FragmentActivity java:338)_x000D_
        at android support v4 app BaseFragmentActivityApi14 onCreateView(BaseFragmentActivityApi14 java:39)_x000D_
        at android support v4 app FragmentActivity onCreateView(FragmentActivity java:67)_x000D_
        at android view LayoutInflater createViewFromTag(LayoutInflater java:784)_x000D_
        at android view LayoutInflater createViewFromTag(LayoutInflater java:734)_x000D_
        at android view LayoutInflater rInflate(LayoutInflater java:865)_x000D_
        at android view LayoutInflater rInflateChildren(LayoutInflater java:828)_x000D_
        at android view LayoutInflater inflate(LayoutInflater java:525)_x000D_
        at android view LayoutInflater inflate(LayoutInflater java:427)_x000D_
        at android view LayoutInflater inflate(LayoutInflater java:378)_x000D_
        at android support v7 app AppCompatDelegateImplV9 setContentView(AppCompatDelegateImplV9 java:287)_x000D_
        at android support v7 app AppCompatActivity setContentView(AppCompatActivity java:139)_x000D_
        at edu uci calit2 anteater client android activity GettingStartedActivity onCreate(GettingStartedActivity java:60)_x000D_
        at android app Activity performCreate(Activity java:6912)_x000D_
        at android app Instrumentation callActivityOnCreate(Instrumentation java:1126)_x000D_
        at android app ActivityThread performLaunchActivity(ActivityThread java:2877)_x000D_
        at android app ActivityThread handleLaunchActivity(ActivityThread java:2985)_x000D_
        at android app ActivityThread  wrap14(ActivityThread java)_x000D_
        at android app ActivityThread H handleMessage(ActivityThread java:1635)_x000D_
        at android os Handler dispatchMessage(Handler java:102)_x000D_
        at android os Looper loop(Looper java:154)_x000D_
        at android app ActivityThread main(ActivityThread java:6692)_x000D_
        at java lang reflect Method invoke(Native Method)_x000D_
        at com android internal os ZygoteInit MethodAndArgsCaller run(ZygoteInit java:1468)_x000D_
        at com android internal os ZygoteInit main(ZygoteInit java:1358)</t>
  </si>
  <si>
    <t>nextcloud-android-6032</t>
  </si>
  <si>
    <t>Nextcloud constantly crashing after microSD card change</t>
  </si>
  <si>
    <t xml:space="preserve">    Steps to reproduce_x000D_
Shut down phone  replace microSD card  restart phone _x000D_
_x000D_
_x000D_
    Expected behaviour_x000D_
App should still be working normaly_x000D_
_x000D_
    Actual behaviour_x000D_
App started to constantly crash   every 2 Minutes_x000D_
_x000D_
    Can you reproduce this problem on https:  try nextcloud com _x000D_
Couldn t reproduce it due to hw dependency _x000D_
_x000D_
_x000D_
Apparently nextcloud disliked that I changed my microSD card (128GB  256) _x000D_
After restarting the phone with a new microSD card it stated to upload roughly 4000 images which I have on my nextcloud instance and which aren t on my phone anymore  While trying to figure out what was going wrong the app became even more laggy then it was normally till it finally crashed  _x000D_
I tried to re open nextcloud but it got stuck everytime in the login window  I used androids  kill application   but it seems to either continue in the background or restart itself  Either way  since the first crash I m now receiving that crash message every  2 Minutes  _x000D_
At least the app did not change anything on the cloud after anouncing to upload 4k images _x000D_
And another info  I guess I might have chosen in the nextcloud app settings  that it should store stuff on the microSD card _x000D_
Practically I just used the auto upload function for camera photos  Since this app doesn t support true two way sync I m using another app for webdav synchronisation  But they shouldn t interfer since they shouldn t interfere since they work on different folders and my sync app was even turned off before changing the microSD card _x000D_
After restarting I tried to remove the admin account from the app in order to reduce the possible damage by this errors  For some reason that started the crash loop again  I wasn t able to remove the admin account for my cloud  I didn t spent time on trying which other features would also result in such crashes and just removed this app since it seems like it is not the right tool for me _x000D_
I thought the error message could still be useful for you  I ll try to answer questions which might come up _x000D_
_x000D_
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java lang SecurityException: Caller no longer running  last stopped  18s336ms because: timed out while starting_x000D_
	at android os Parcel createException(Parcel java:1950)_x000D_
	at android os Parcel readException(Parcel java:1918)_x000D_
	at android os Parcel readException(Parcel java:1868)_x000D_
	at android app job IJobCallback Stub Proxy dequeueWork(IJobCallback java:195)_x000D_
	at android app job JobParameters dequeueWork(JobParameters java:243)_x000D_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Caused by: android os RemoteException: Remote stack trace:_x000D_
	at com android server job JobServiceContext assertCallerLocked(JobServiceContext java:481)_x000D_
	at com android server job JobServiceContext doDequeueWork(JobServiceContext java:359)_x000D_
	at com android server job JobServiceContext JobCallback dequeueWork(JobServiceContext java:160)_x000D_
	at android app job IJobCallback Stub onTransact(IJobCallback java:83)_x000D_
	at android os Binder execTransact(Binder java:756)_x000D_
_x000D_
_x000D_
             APP INFORMATION             _x000D_
ID: com nextcloud client_x000D_
Version: 30110190_x000D_
Build flavor: gplay_x000D_
_x000D_
             DEVICE INFORMATION             _x000D_
Brand: lge_x000D_
Device: lucye_x000D_
Model: LG H870_x000D_
Id: PKQ1 190522 001_x000D_
Product: lucye global com_x000D_
_x000D_
             FIRMWARE             _x000D_
SDK: 28_x000D_
Release: 9_x000D_
Incremental: 1930916292597_x000D_
</t>
  </si>
  <si>
    <t>andOTP-andOTP-545</t>
  </si>
  <si>
    <t>Twitch TOTP invalid after a while</t>
  </si>
  <si>
    <t xml:space="preserve">     General information_x000D_
_x000D_
    App version:   0 7 0 play_x000D_
    App source:   Google Play_x000D_
    Android Version:   9_x000D_
    Custom ROM:   ALEXNDR_x000D_
_x000D_
     Expected result_x000D_
  What is expected    _x000D_
_x000D_
That everything just works and I do not need to reimport entries after a while _x000D_
_x000D_
  What does happen instead   _x000D_
_x000D_
The Twitch Authy token got invalidated after a while and I needed to re import this    Today I noticed that the Microsoft token was also invalid    I have no idea why and how  I can only imagine that either the algorithm is faulty and gets more incorrect after a while or backup restores titanium backup somehow mess it up  I use the app more than daily with other services and they just work fine and never have such problems _x000D_
_x000D_
     Logcat_x000D_
There is no relevant information or crashes _x000D_
_x000D_
     Steps to reproduce_x000D_
 _x000D_
   Import Authy Twitch_x000D_
   Wait _x000D_
   In X amount of time it is broken_x000D_
</t>
  </si>
  <si>
    <t>iNPUTmice-Conversations-3707</t>
  </si>
  <si>
    <t>Catch Native Link Error</t>
  </si>
  <si>
    <t xml:space="preserve">When using the APK for a wrong platform Conversations will crash trying to init WebRTC  We can and should catch that Exception and display Application Error instead </t>
  </si>
  <si>
    <t>covid-diagnostics-covid-mobile-android-83</t>
  </si>
  <si>
    <t>App crashes when the internet is unstable</t>
  </si>
  <si>
    <t>I used wifi and it switch in the middle of a server call and crashed</t>
  </si>
  <si>
    <t>wallabag-android-app-970</t>
  </si>
  <si>
    <t>SQLiteException</t>
  </si>
  <si>
    <t xml:space="preserve">A new crash report for 2 4 0 beta 1 on Android 9:_x000D_
_x000D_
   _x000D_
android database sqlite SQLiteException:_x000D_
  at android database sqlite SQLiteConnection nativePrepareStatement (Native Method)_x000D_
  at android database sqlite SQLiteConnection acquirePreparedStatement (SQLiteConnection java:903)_x000D_
  at android database sqlite SQLiteConnection prepare (SQLiteConnection java:514)_x000D_
  at android database sqlite SQLiteSession prepare (SQLiteSession java:588)_x000D_
  at android database sqlite SQLiteProgram  init  (SQLiteProgram java:58)_x000D_
  at android database sqlite SQLiteQuery  init  (SQLiteQuery java:37)_x000D_
  at android database sqlite SQLiteDirectCursorDriver query (SQLiteDirectCursorDriver java:46)_x000D_
  at android database sqlite SQLiteDatabase rawQueryWithFactory (SQLiteDatabase java:1457)_x000D_
  at android database sqlite SQLiteDatabase rawQuery (SQLiteDatabase java:1387)_x000D_
  at org greenrobot greendao database StandardDatabase rawQuery (StandardDatabase java:32)_x000D_
  at org greenrobot greendao query Query list (Query java:88)_x000D_
  at org greenrobot greendao query QueryBuilder list (QueryBuilder java:427)_x000D_
  at fr gaulupeau apps Poche ui ArticleListFragment getItems (ArticleListFragment java:191)_x000D_
  at fr gaulupeau apps Poche ui RecyclerViewListFragment resetContent (RecyclerViewListFragment java:177)_x000D_
  at fr gaulupeau apps Poche ui ArticleListFragment resetContent (ArticleListFragment java:177)_x000D_
  at fr gaulupeau apps Poche ui RecyclerViewListFragment checkList (RecyclerViewListFragment java:158)_x000D_
  at fr gaulupeau apps Poche ui RecyclerViewListFragment onResume (RecyclerViewListFragment java:106)_x000D_
  at androidx fragment app Fragment performResume (Fragment java:2649)_x000D_
  at androidx fragment app FragmentManagerImpl moveToState (FragmentManagerImpl java:922)_x000D_
  at androidx fragment app FragmentManagerImpl moveFragmentToExpectedState (FragmentManagerImpl java:1238)_x000D_
  at androidx fragment app FragmentManagerImpl moveToState (FragmentManagerImpl java:1303)_x000D_
  at androidx fragment app BackStackRecord executeOps (BackStackRecord java:439)_x000D_
  at androidx fragment app FragmentManagerImpl executeOps (FragmentManagerImpl java:2079)_x000D_
  at androidx fragment app FragmentManagerImpl executeOpsTogether (FragmentManagerImpl java:1869)_x000D_
  at androidx fragment app FragmentManagerImpl removeRedundantOperationsAndExecute (FragmentManagerImpl java:1824)_x000D_
  at androidx fragment app FragmentManagerImpl execSingleAction (FragmentManagerImpl java:1696)_x000D_
  at androidx fragment app BackStackRecord commitNowAllowingStateLoss (BackStackRecord java:299)_x000D_
  at androidx fragment app FragmentPagerAdapter finishUpdate (FragmentPagerAdapter java:235)_x000D_
  at androidx viewpager widget ViewPager populate (ViewPager java:1244)_x000D_
  at androidx viewpager widget ViewPager populate (ViewPager java:1092)_x000D_
  at androidx viewpager widget ViewPager onMeasure (ViewPager java:1622)_x000D_
  at android view View measure (View java:23355)_x000D_
  at android view ViewGroup measureChildWithMargins (ViewGroup java:6758)_x000D_
  at android widget LinearLayout measureChildBeforeLayout (LinearLayout java:1535)_x000D_
  at android widget LinearLayout measureVertical (LinearLayout java:825)_x000D_
  at android widget LinearLayout onMeasure (LinearLayout java:704)_x000D_
  at android view View measure (View java:23355)_x000D_
  at android view ViewGroup measureChildWithMargins (ViewGroup java:6758)_x000D_
  at android widget FrameLayout onMeasure (FrameLayout java:185)_x000D_
  at android view View measure (View java:23355)_x000D_
  at android view ViewGroup measureChildWithMargins (ViewGroup java:6758)_x000D_
  at androidx coordinatorlayout widget CoordinatorLayout onMeasureChild (CoordinatorLayout java:760)_x000D_
  at com google android material appbar HeaderScrollingViewBehavior onMeasureChild (HeaderScrollingViewBehavior java:99)_x000D_
  at com google android material appbar AppBarLayout ScrollingViewBehavior onMeasureChild (AppBarLayout java:1892)_x000D_
  at androidx coordinatorlayout widget CoordinatorLayout onMeasure (CoordinatorLayout java:831)_x000D_
  at android view View measure (View java:23355)_x000D_
  at androidx drawerlayout widget DrawerLayout onMeasure (DrawerLayout java:1119)_x000D_
  at android view View measure (View java:23355)_x000D_
  at android view ViewGroup measureChildWithMargins (ViewGroup java:6758)_x000D_
  at android widget FrameLayout onMeasure (FrameLayout java:185)_x000D_
  at androidx appcompat widget ContentFrameLayout onMeasure (ContentFrameLayout java:143)_x000D_
  at android view View measure (View java:23355)_x000D_
  at android view ViewGroup measureChildWithMargins (ViewGroup java:6758)_x000D_
  at android widget LinearLayout measureChildBeforeLayout (LinearLayout java:1535)_x000D_
  at android widget LinearLayout measureVertical (LinearLayout java:825)_x000D_
  at android widget LinearLayout onMeasure (LinearLayout java:704)_x000D_
  at android view View measure (View java:23355)_x000D_
  at android view ViewGroup measureChildWithMargins (ViewGroup java:6758)_x000D_
  at android widget FrameLayout onMeasure (FrameLayout java:185)_x000D_
  at android view View measure (View java:23355)_x000D_
  at android view ViewGroup measureChildWithMargins (ViewGroup java:6758)_x000D_
  at android widget LinearLayout measureChildBeforeLayout (LinearLayout java:1535)_x000D_
  at android widget LinearLayout measureVertical (LinearLayout java:825)_x000D_
  at android widget LinearLayout onMeasure (LinearLayout java:704)_x000D_
  at android view View measure (View java:23355)_x000D_
  at android view ViewGroup measureChildWithMargins (ViewGroup java:6758)_x000D_
  at android widget FrameLayout onMeasure (FrameLayout java:185)_x000D_
  at com android internal policy DecorView onMeasure (DecorView java:717)_x000D_
  at android view View measure (View java:23355)_x000D_
  at android view ViewRootImpl performMeasure (ViewRootImpl java:2917)_x000D_
  at android view ViewRootImpl measureHierarchy (ViewRootImpl java:1747)_x000D_
  at android view ViewRootImpl performTraversals (ViewRootImpl java:2040)_x000D_
  at android view ViewRootImpl doTraversal (ViewRootImpl java:1635)_x000D_
  at android view ViewRootImpl TraversalRunnable run (ViewRootImpl java:7788)_x000D_
  at android view Choreographer CallbackRecord run (Choreographer java:1004)_x000D_
  at android view Choreographer doCallbacks (Choreographer java:816)_x000D_
  at android view Choreographer doFrame (Choreographer java:751)_x000D_
  at android view Choreographer FrameDisplayEventReceiver run (Choreographer java:990)_x000D_
  at android os Handler handleCallback (Handler java:873)_x000D_
  at android os Handler dispatchMessage (Handler java:99)_x000D_
  at android os Looper loop (Looper java:193)_x000D_
  at android app ActivityThread main (ActivityThread java:6898)_x000D_
  at java lang reflect Method invoke (Native Method)_x000D_
  at com android internal os RuntimeInit MethodAndArgsCaller run (RuntimeInit java:537)_x000D_
  at com android internal os ZygoteInit main (ZygoteInit java:858)_x000D_
   _x000D_
_x000D_
Most likely related to https:  github com wallabag android app commit 69a7aef9ecc3152ab55580e773be876f577b9c5b diff 45ebd7bb2b556fd209fd62277534034cR219 </t>
  </si>
  <si>
    <t>prebid-prebid-mobile-android-191</t>
  </si>
  <si>
    <t>IllegalAccessError when NativeAsset's subclass is accessed from Kotlin class</t>
  </si>
  <si>
    <t xml:space="preserve">  Describe the bug  _x000D_
Application crashes when trying to add NativeAsset s subclass (for example NativeTitleAsset) to NativeAdUnit from Kotlin class  Integration code is used from http:  prebid org prebid mobile pbm api android pbm nativeadunit android html   _x000D_
_x000D_
Possibly the issue connected to https:  discuss kotlinlang org t kotlin java abstract class illegalaccesserror 2544_x000D_
_x000D_
  To Reproduce  _x000D_
Create empty Java and Kotlin applications with just that native ad unit integration from Prebid docs  Java   works fine  Kotlin   crashes _x000D_
_x000D_
  Expected behavior  _x000D_
No crash happens _x000D_
_x000D_
  Screenshots  _x000D_
Stacktrace: _x000D_
  image (https:  user images githubusercontent com 22525345 81415467 28234500 9151 11ea 9a36 511ae3005cc1 png)_x000D_
_x000D_
Place in code:_x000D_
  image (https:  user images githubusercontent com 22525345 81416721 c9f76180 9152 11ea 9b13 cb5a6f26093f png)_x000D_
_x000D_
_x000D_
  Desktop:  _x000D_
   OS: MacOS 10 15 14_x000D_
_x000D_
  Smartphone:  _x000D_
   Device: Android Emulator Nexus 5X _x000D_
   OS: Android API 29_x000D_
_x000D_
  Additional context  _x000D_
Can be temporary fixed by moving native ad unit initialisation to Java class _x000D_
</t>
  </si>
  <si>
    <t>andrzejchm-RESTMock-113</t>
  </si>
  <si>
    <t>Crash with proguard</t>
  </si>
  <si>
    <t>Hi _x000D_
the REST Mock crashes when proguard obfuscation is applied and HTTPS is enabled _x000D_
Here is the stacktrace:_x000D_
2020 05 08 14:19:07 799 13382 13475 xxx E AndroidRuntime: FATAL EXCEPTION: pool 10 thread 1_x000D_
    Process: xxx  PID: 13382_x000D_
    java lang NullPointerException: Attempt to invoke interface method  java lang String java security PublicKey getAlgorithm()  on a null object reference_x000D_
        at java security KeyStore PrivateKeyEntry  init (KeyStore java:576)_x000D_
        at java security KeyStore PrivateKeyEntry  init (KeyStore java:526)_x000D_
        at java security KeyStoreSpi engineGetEntry(KeyStoreSpi java:485)_x000D_
        at java security KeyStore getEntry(KeyStore java:1560)_x000D_
        at com android org conscrypt KeyManagerImpl  init (KeyManagerImpl java:72)_x000D_
        at com android org conscrypt KeyManagerFactoryImpl engineGetKeyManagers(KeyManagerFactoryImpl java:115)_x000D_
        at javax net ssl KeyManagerFactory getKeyManagers(KeyManagerFactory java:305)_x000D_
_x000D_
According to this article the reason may be  that a deprecated version of  spongycastle code to generate a self signed certificate is used: _x000D_
http:  quabr com:8182 59848764 how to fix proguard removes java security code_x000D_
_x000D_
Regards_x000D_
Benjamin</t>
  </si>
  <si>
    <t>nextcloud-android-6028</t>
  </si>
  <si>
    <t>Android app crash when syncing folder</t>
  </si>
  <si>
    <t xml:space="preserve">    Steps to reproduce
1  Open Android app
2  Click sync on one foldee
3  Crash
             CAUSE OF ERROR             
java lang RuntimeException: Unable to start service com owncloud android services OperationsService 7df5cce with Intent   act SYNC FOLDER cmp com nextcloud client com owncloud android services OperationsService (has extras)  : java lang ClassCastException: com nextcloud client account RegisteredUser cannot be cast to android accounts Account
	at android app ActivityThread handleServiceArgs(ActivityThread java:4235)
	at android app ActivityThread access 2200(ActivityThread java:231)
	at android app ActivityThread H handleMessage(ActivityThread java:1997)
	at android os Handler dispatchMessage(Handler java:107)
	at android os Looper loop(Looper java:214)
	at android app ActivityThread main(ActivityThread java:7695)
	at java lang reflect Method invoke(Native Method)
	at com android internal os RuntimeInit MethodAndArgsCaller run(RuntimeInit java:516)
	at com android internal os ZygoteInit main(ZygoteInit java:950)
Caused by: java lang ClassCastException: com nextcloud client account RegisteredUser cannot be cast to android accounts Account
	at com owncloud android services OperationsService onStartCommand(OperationsService java:196)
	at android app ActivityThread handleServiceArgs(ActivityThread java:4217)
	    8 more
    Expected behaviour
  Folder should sync  this has worked perfectly fine before
    Actual behaviour
  App crashes with above log
    Can you reproduce this problem on https:  try nextcloud com 
Untested  I will do so on demand
    Environment data
Android version: 10 (SDK 29)
Brand: OnePlus
Device: OnePlus7Pro
Model: GM1913
Product: OnePlus7Pro EEA
Stock or customized system: Stock
Nextcloud app version: 
ID: com nextcloud client
Version: 30120051
Build flavor: gplay
Nextcloud server version: 18 0 3 (Docker  Apache version) 
Reverse proxy: Traefik    Apache
</t>
  </si>
  <si>
    <t>k9mail-k-9-4738</t>
  </si>
  <si>
    <t>Crash with v5.711</t>
  </si>
  <si>
    <t xml:space="preserve">    Actual behavior_x000D_
_x000D_
K9 crashed on startup _x000D_
_x000D_
    Steps to reproduce_x000D_
_x000D_
Start K9_x000D_
_x000D_
    Environment_x000D_
_x000D_
K 9 Mail version: v5 711_x000D_
_x000D_
All previous pre release versions before 5 711 were running fine _x000D_
_x000D_
Android version: 7 1 2 (LOS 14 1)_x000D_
_x000D_
    logcat_x000D_
_x000D_
   _x000D_
05 08 13:49:24 913  3133 28478 I ActivityManager: START u0  act android intent action MAIN cat  android intent category LAUNCHER  flg 0x10200000 cmp com fsck k9  activity MessageList bnds  540 1108  756 1349  (has extras)  from uid 10028 on display 0_x000D_
05 08 13:49:24 926  3133 28478 E QCOM PowerHAL: Failed to acquire lock _x000D_
05 08 13:49:24 966  3133  4244 I ActivityManager: Start proc 24491:com fsck k9 u0a77 for activity com fsck k9  activity MessageList_x000D_
05 08 13:49:25 037 24491 24491 W System  : ClassLoader referenced unknown path:  data app com fsck k9 2 lib arm_x000D_
05 08 13:49:25 435 24491 24491 D AndroidRuntime: Shutting down VM_x000D_
          beginning of crash_x000D_
05 08 13:49:25 437 24491 24491 E AndroidRuntime: FATAL EXCEPTION: main_x000D_
05 08 13:49:25 437 24491 24491 E AndroidRuntime: Process: com fsck k9  PID: 24491_x000D_
05 08 13:49:25 437 24491 24491 E AndroidRuntime: java lang NoClassDefFoundError: Failed resolution of: Ljava time Duration _x000D_
05 08 13:49:25 437 24491 24491 E AndroidRuntime:        at com fsck k9 job MailSyncWorkerManager  clinit (MailSyncWorkerManager kt:85)_x000D_
05 08 13:49:25 437 24491 24491 E AndroidRuntime:        at com fsck k9 job KoinModuleKt jobModule 1 5 invoke(KoinModule kt:12)_x000D_
05 08 13:49:25 437 24491 24491 E AndroidRuntime:        at com fsck k9 job KoinModuleKt jobModule 1 5 invoke(KoinModule kt)_x000D_
05 08 13:49:25 437 24491 24491 E AndroidRuntime:        at org koin core instance InstanceFactory create(InstanceFactory kt:50)_x000D_
05 08 13:49:25 437 24491 24491 E AndroidRuntime:        at org koin core instance FactoryInstanceFactory get(FactoryInstanceFactory kt:36)_x000D_
05 08 13:49:25 437 24491 24491 E AndroidRuntime:        at org koin core registry InstanceRegistry resolveInstance koin core(InstanceRegistry kt:87)_x000D_
05 08 13:49:25 437 24491 24491 E AndroidRuntime:        at org koin core scope Scope resolveInstance(Scope kt:214)_x000D_
05 08 13:49:25 437 24491 24491 E AndroidRuntime:        at org koin core scope Scope get(Scope kt:181)_x000D_
05 08 13:49:25 437 24491 24491 E AndroidRuntime:        at com fsck k9 job KoinModuleKt jobModule 1 4 invoke(KoinModule kt:26)_x000D_
05 08 13:49:25 437 24491 24491 E AndroidRuntime:        at com fsck k9 job KoinModuleKt jobModule 1 4 invoke(KoinModule kt)_x000D_
05 08 13:49:25 437 24491 24491 E AndroidRuntime:        at org koin core instance InstanceFactory create(InstanceFactory kt:50)_x000D_
05 08 13:49:25 437 24491 24491 E AndroidRuntime:        at org koin core instance SingleInstanceFactory create(SingleInstanceFactory kt:40)_x000D_
05 08 13:49:25 437 24491 24491 E AndroidRuntime:        at org koin core instance SingleInstanceFactory get(SingleInstanceFactory kt:48)_x000D_
05 08 13:49:25 437 24491 24491 E AndroidRuntime:        at org koin core registry InstanceRegistry resolveInstance koin core(InstanceRegistry kt:87)_x000D_
05 08 13:49:25 437 24491 24491 E AndroidRuntime:        at org koin core scope Scope resolveInstance(Scope kt:214)_x000D_
05 08 13:49:25 437 24491 24491 E AndroidRuntime:        at org koin core scope Scope get(Scope kt:181)_x000D_
05 08 13:49:25 437 24491 24491 E AndroidRuntime:        at com fsck k9 Core  special  inlined inject 3 invoke(DI kt:43)_x000D_
05 08 13:49:25 437 24491 24491 E AndroidRuntime:        at kotlin SynchronizedLazyImpl getValue(LazyJVM kt:74)_x000D_
05 08 13:49:25 437 24491 24491 E AndroidRuntime:        at com fsck k9 Core getJobManager(Core kt)_x000D_
05 08 13:49:25 437 24491 24491 E AndroidRuntime:        at com fsck k9 Core setServicesEnabled(Core kt:78)_x000D_
05 08 13:49:25 437 24491 24491 E AndroidRuntime:        at com fsck k9 Core setServicesEnabled(Core kt:52)_x000D_
05 08 13:49:25 437 24491 24491 E AndroidRuntime:        at com fsck k9 Core init(Core kt:37)_x000D_
05 08 13:49:25 437 24491 24491 E AndroidRuntime:        at com fsck k9 App onCreate(App kt:23)_x000D_
05 08 13:49:25 437 24491 24491 E AndroidRuntime:        at android app Instrumentation callApplicationOnCreate(Instrumentation java:1025)_x000D_
05 08 13:49:25 437 24491 24491 E AndroidRuntime:        at android app ActivityThread handleBindApplication(ActivityThread java:5448)_x000D_
05 08 13:49:25 437 24491 24491 E AndroidRuntime:        at de robv android xposed XposedBridge invokeOriginalMethodNative(Native Method)_x000D_
05 08 13:49:25 437 24491 24491 E AndroidRuntime:        at de robv android xposed XposedBridge handleHookedMethod(XposedBridge java:360)_x000D_
05 08 13:49:25 437 24491 24491 E AndroidRuntime:        at android app ActivityThread handleBindApplication( Xposed )_x000D_
05 08 13:49:25 437 24491 24491 E AndroidRuntime:        at android app ActivityThread  wrap2(ActivityThread java)_x000D_
05 08 13:49:25 437 24491 24491 E AndroidRuntime:        at android app ActivityThread H handleMessage(ActivityThread java:1564)_x000D_
05 08 13:49:25 437 24491 24491 E AndroidRuntime:        at android os Handler dispatchMessage(Handler java:102)_x000D_
05 08 13:49:25 437 24491 24491 E AndroidRuntime:        at android os Looper loop(Looper java:154)_x000D_
05 08 13:49:25 437 24491 24491 E AndroidRuntime:        at android app ActivityThread main(ActivityThread java:6186)_x000D_
05 08 13:49:25 437 24491 24491 E AndroidRuntime:        at java lang reflect Method invoke(Native Method)_x000D_
05 08 13:49:25 437 24491 24491 E AndroidRuntime:        at com android internal os ZygoteInit MethodAndArgsCaller run(ZygoteInit java:889)_x000D_
05 08 13:49:25 437 24491 24491 E AndroidRuntime:        at com android internal os ZygoteInit main(ZygoteInit java:779)_x000D_
05 08 13:49:25 437 24491 24491 E AndroidRuntime:        at de robv android xposed XposedBridge main(XposedBridge java:107)_x000D_
05 08 13:49:25 437 24491 24491 E AndroidRuntime: Caused by: java lang ClassNotFoundException: Didn t find class  java time Duration  on path: DexPathList  zip file   data app com fsck k9 2 base apk   nativeLibraryDirectories   data app com fsck k9 2 lib arm   system lib   vendor lib  _x000D_
05 08 13:49:25 437 24491 24491 E AndroidRuntime:        at dalvik system BaseDexClassLoader findClass(BaseDexClassLoader java:56)_x000D_
05 08 13:49:25 437 24491 24491 E AndroidRuntime:        at java lang ClassLoader loadClass(ClassLoader java:380)_x000D_
05 08 13:49:25 437 24491 24491 E AndroidRuntime:        at java lang ClassLoader loadClass(ClassLoader java:312)_x000D_
05 08 13:49:25 437 24491 24491 E AndroidRuntime:            37 more_x000D_
05 08 13:49:25 442  3133 25207 W ActivityManager:   Force finishing activity com fsck k9  activity MessageList_x000D_
   _x000D_
_x000D_
_x000D_
</t>
  </si>
  <si>
    <t>nextcloud-android-6024</t>
  </si>
  <si>
    <t>NC-app crashes when opening foto folder</t>
  </si>
  <si>
    <t xml:space="preserve">    Steps to reproduce_x000D_
1  Login into NC app_x000D_
2  click into foto folder and _x000D_
3  wait till all fotos in are loaded_x000D_
4  after a while app crashes_x000D_
_x000D_
    Expected behaviour_x000D_
  show list of all fotos contained in foto folder_x000D_
_x000D_
    Actual behaviour_x000D_
  OutofBoundException_x000D_
_x000D_
    CoreDump:_x000D_
             CAUSE OF ERROR             _x000D_
_x000D_
java lang IndexOutOfBoundsException: Inconsistency detected  Invalid view holder adapter positionOCFileListGridImageViewHolder 6412d27 position 32 id  1  oldPos  1  pLpos: 1 no parent  com owncloud android ui EmptyRecyclerView b664f5e VFED       F       0 0 1440 2224  7f0901b5 app:id list root   adapter:com owncloud android ui adapter OCFileListAdapter 7729f3f  layout:androidx recyclerview widget GridLayoutManager 20d300c  context:com owncloud android ui activity FileDisplayActivity 39930d4_x000D_
	at androidx recyclerview widget RecyclerView Recycler validateViewHolderForOffsetPosition(RecyclerView java:5974)_x000D_
	at androidx recyclerview widget RecyclerView Recycler tryGetViewHolderForPositionByDeadline(RecyclerView java:6158)_x000D_
	at androidx recyclerview widget GapWorker prefetchPositionWithDeadline(GapWorker java:288)_x000D_
	at androidx recyclerview widget GapWorker flushTaskWithDeadline(GapWorker java:345)_x000D_
	at androidx recyclerview widget GapWorker flushTasksWithDeadline(GapWorker java:361)_x000D_
	at androidx recyclerview widget GapWorker prefetch(GapWorker java:368)_x000D_
	at androidx recyclerview widget GapWorker run(GapWorker java:399)_x000D_
	at android os Handler handleCallback(Handler java:789)_x000D_
	at android os Handler dispatchMessage(Handler java:98)_x000D_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_x000D_
             APP INFORMATION             _x000D_
ID: com nextcloud client_x000D_
Version: 30110190_x000D_
Build flavor: generic_x000D_
_x000D_
             DEVICE INFORMATION             _x000D_
Brand: samsung_x000D_
Device: herolte_x000D_
Model: SM G930F_x000D_
Id: R16NW_x000D_
Product: heroltexx_x000D_
_x000D_
             FIRMWARE             _x000D_
SDK: 26_x000D_
Release: 8 0 0_x000D_
Incremental: G930FXXS7ETA7_x000D_
_x000D_
    Environment data_x000D_
Android version: see coredump_x000D_
_x000D_
Device model: SGS7 (see coredump)_x000D_
_x000D_
Stock or customized system: stock_x000D_
_x000D_
Nextcloud app version: 3 11 1_x000D_
_x000D_
Nextcloud server version: 18 04_x000D_
_x000D_
_x000D_
     Nextcloud log (data nextcloud log)_x000D_
   _x000D_
  reqId : RTDOP8xnGbK7Kd1K6ikg   level :3  time : 2020 05 08T08:07:33 00:00   remoteAddr : 91 18 7 50   user : nc1 Lorch   app : PHP   method : POST   url :  index php apps support generateSystemReport   message : Undefined index: readonly at  var www nextcloud apps support lib Sections ServerSection php 268   userAgent : Mozilla 5 0 (X11  Ubuntu  Linux x86 64  rv:75 0) Gecko 20100101 Firefox 75 0   version : 18 0 4 2   id : 5eb51835e6b68  _x000D_
  reqId : RTDOP8xnGbK7Kd1K6ikg   level :3  time : 2020 05 08T08:07:33 00:00   remoteAddr : 91 18 7 50   user : nc1 Lorch   app : PHP   method : POST   url :  index php apps support generateSystemReport   message : Undefined index: readonly at  var www nextcloud apps support lib Sections ServerSection php 268   userAgent : Mozilla 5 0 (X11  Ubuntu  Linux x86 64  rv:75 0) Gecko 20100101 Firefox 75 0   version : 18 0 4 2   id : 5eb51835e6b78  _x000D_
  reqId : n8NvyfW4pCkSaRELDPYJ   level :3  time : 2020 05 07T22:22:10 00:00   remoteAddr : 91 18 7 50   user : anja   app : PHP   method : GET   url :  index php apps deck    message : Undefined index: debug at  var www nextcloud apps deck templates main php 31   userAgent : Mozilla 5 0 (X11  Ubuntu  Linux x86 64  rv:75 0) Gecko 20100101 Firefox 75 0   version : 18 0 4 2   id : 5eb51835e6b82  _x000D_
    _x000D_
_x000D_
_x000D_
</t>
  </si>
  <si>
    <t>TeamNewPipe-NewPipe-3550</t>
  </si>
  <si>
    <t>Audio/Video desync</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</si>
  <si>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NewPipe 0 19 3 (Autoupdate version)_x000D_
  Xiaomi Mi 9 Lite  Android 10  MIUI 11 0 2_x000D_
_x000D_
    Steps to reproduce the bug_x000D_
1  Open any video    i tested with different videos from different channels  all of them with this issue _x000D_
_x000D_
     If you can t cause the bug to show up again reliably (and hence don t have a proper set of steps to give us)  please still try to give as many details as possible on how you think you encountered the bug     _x000D_
_x000D_
    Expected behavior_x000D_
The video plays normally  with the audio in sync (Tested today with 0 19 2) _x000D_
_x000D_
    Actual behaviour_x000D_
The video plays normally  but looking carefully  the video and audio began to go out of sync slowly (with video first)  In 10 15 minutes the sync is between half second and a second  but in 3 5 minutes it is very noticiable _x000D_
If you choose any other resolution  move the scroll time  rewind or forward  the video and audio come again in sync  and it began slowly to lost sync again _x000D_
This happens with 0 19 3  i uninstall and installed 0 19 2  and this is not happening with that version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 will need to post at least a 10 minutes video play  but i can post it if needed)_x000D_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(It s not a crash  If i can log something  tell me)_x000D_
_x000D_
     That s right  here     _x000D_
</t>
  </si>
  <si>
    <t>smarteist-Android-Image-Slider-130</t>
  </si>
  <si>
    <t>Crash zoom-out with 1.3.6 version</t>
  </si>
  <si>
    <t xml:space="preserve">After update to 1 3 6 version and using  false  as second params in adapter  during zoom out I have this crash:_x000D_
_x000D_
   _x000D_
2020 05 07 16:16:26 242 8705 8705 com xxx E RecyclerView: No adapter attached  skipping layout_x000D_
2020 05 07 16:16:39 015 8705 8705 com xxx E MotionEvent JNI: validatePointerIndex pointerIndex: 1  pointerCount:1_x000D_
2020 05 07 16:16:39 017 8705 8705 com xxx E InputEventReceiver: Exception dispatching input event _x000D_
2020 05 07 16:16:39 020 8705 8705 com xxx E AndroidRuntime: FATAL EXCEPTION: main_x000D_
    Process: com xxx  PID: 8705_x000D_
    java lang IllegalArgumentException: pointerIndex out of range_x000D_
        at android view MotionEvent nativeGetAxisValue(Native Method)_x000D_
        at android view MotionEvent getX(MotionEvent java:2122)_x000D_
        at com smarteist autoimageslider SliderPager onInterceptTouchEvent(SliderPager java:2073)_x000D_
        at android view ViewGroup dispatchTouchEvent(ViewGroup java:2247)_x000D_
        at android view ViewGroup dispatchTransformedTouchEvent(ViewGroup java:2782)_x000D_
        at android view ViewGroup dispatchTouchEvent(ViewGroup java:2422)_x000D_
        at android view ViewGroup dispatchTransformedTouchEvent(ViewGroup java:2782)_x000D_
        at android view ViewGroup dispatchTouchEvent(ViewGroup java:2422)_x000D_
        at android view ViewGroup dispatchTransformedTouchEvent(ViewGroup java:2782)_x000D_
        at android view ViewGroup dispatchTouchEvent(ViewGroup java:2422)_x000D_
        at android view ViewGroup dispatchTransformedTouchEvent(ViewGroup java:2782)_x000D_
        at android view ViewGroup dispatchTouchEvent(ViewGroup java:2422)_x000D_
        at android view ViewGroup dispatchTransformedTouchEvent(ViewGroup java:2782)_x000D_
        at android view ViewGroup dispatchTouchEvent(ViewGroup java:2422)_x000D_
        at android view ViewGroup dispatchTransformedTouchEvent(ViewGroup java:2782)_x000D_
        at android view ViewGroup dispatchTouchEvent(ViewGroup java:2422)_x000D_
        at android view ViewGroup dispatchTransformedTouchEvent(ViewGroup java:2782)_x000D_
        at android view ViewGroup dispatchTouchEvent(ViewGroup java:2422)_x000D_
        at android view ViewGroup dispatchTransformedTouchEvent(ViewGroup java:2782)_x000D_
        at android view ViewGroup dispatchTouchEvent(ViewGroup java:2422)_x000D_
        at com android internal policy DecorView superDispatchTouchEvent(DecorView java:439)_x000D_
        at com android internal policy PhoneWindow superDispatchTouchEvent(PhoneWindow java:1839)_x000D_
        at android app Activity dispatchTouchEvent(Activity java:3080)_x000D_
        at androidx appcompat view WindowCallbackWrapper dispatchTouchEvent(WindowCallbackWrapper java:69)_x000D_
        at androidx appcompat view WindowCallbackWrapper dispatchTouchEvent(WindowCallbackWrapper java:69)_x000D_
        at com android internal policy DecorView dispatchTouchEvent(DecorView java:401)_x000D_
        at android view View dispatchPointerEvent(View java:10293)_x000D_
        at android view ViewRootImpl ViewPostImeInputStage processPointerEvent(ViewRootImpl java:4968)_x000D_
        at android view ViewRootImpl ViewPostImeInputStage onProcess(ViewRootImpl java:4792)_x000D_
        at android view ViewRootImpl InputStage deliver(ViewRootImpl java:4298)_x000D_
        at android view ViewRootImpl InputStage onDeliverToNext(ViewRootImpl java:4351)_x000D_
        at android view ViewRootImpl InputStage forward(ViewRootImpl java:4317)_x000D_
        at android view ViewRootImpl AsyncInputStage forward(ViewRootImpl java:4464)_x000D_
        at android view ViewRootImpl InputStage apply(ViewRootImpl java:4325)_x000D_
        at android view ViewRootImpl AsyncInputStage apply(ViewRootImpl java:4521)_x000D_
        at android view ViewRootImpl InputStage deliver(ViewRootImpl java:4298)_x000D_
        at android view ViewRootImpl InputStage onDeliverToNext(ViewRootImpl java:4351)_x000D_
        at android view ViewRootImpl InputStage forward(ViewRootImpl java:4317)_x000D_
        at android view ViewRootImpl InputStage apply(ViewRootImpl java:4325)_x000D_
        at android view ViewRootImpl InputStage deliver(ViewRootImpl java:4298)_x000D_
        at android view ViewRootImpl deliverInputEvent(ViewRootImpl java:6857)_x000D_
        at android view ViewRootImpl doProcessInputEvents(ViewRootImpl java:6831)_x000D_
        at android view ViewRootImpl enqueueInputEvent(ViewRootImpl java:6774)_x000D_
        at android view ViewRootImpl WindowInputEventReceiver onInputEvent(ViewRootImpl java:7029)_x000D_
        at android view InputEventReceiver dispatchInputEvent(InputEventReceiver java:185)_x000D_
        at android view InputEventReceiver nativeConsumeBatchedInputEvents(Native Method)_x000D_
        at android view InputEventReceiver consumeBatchedInputEvents(InputEventReceiver java:176)_x000D_
        at android view ViewRootImpl doConsumeBatchedInput(ViewRootImpl java:6988)_x000D_
        at android view ViewRootImpl ConsumeBatchedInputRunnable run(ViewRootImpl java:7055)_x000D_
        at android view Choreographer CallbackRecord run(Choreographer java:907)_x000D_
        at android view Choreographer doCallbacks(Choreographer java:709)_x000D_
2020 05 07 16:16:39 020 8705 8705 com xxx E AndroidRuntime:     at android view Choreographer doFrame(Choreographer java:638)_x000D_
        at android view Choreographer FrameDisplayEventReceiver run(Choreographer java:893)_x000D_
        at android os Handler handleCallback(Handler java:836)_x000D_
        at android os Handler dispatchMessage(Handler java:103)_x000D_
        at android os Looper loop(Looper java:203)_x000D_
        at android app ActivityThread main(ActivityThread java:6255)_x000D_
        at java lang reflect Method invoke(Native Method)_x000D_
        at com android internal os ZygoteInit MethodAndArgsCaller run(ZygoteInit java:1063)_x000D_
        at com android internal os ZygoteInit main(ZygoteInit java:924)_x000D_
   </t>
  </si>
  <si>
    <t>ElderDrivers-EdXposed-533</t>
  </si>
  <si>
    <t>[BUG] zygote64 crashes on Android 10</t>
  </si>
  <si>
    <t xml:space="preserve">       What happened   _x000D_
_x000D_
I am trying to use Riru   EdXposed on a Genymotion Android 10 0 x86 64 device  but there seems to be a bug in the x86 64 version of libriru edxposed so loading _x000D_
zygote64 crashes when riru EdXposed module is loaded _x000D_
_x000D_
I will try to investigate EdXposed code on my side but I would like to know if you have any hint on what is happening _x000D_
The same libraries are working without any issue on Android 9 0 x86 64 _x000D_
_x000D_
  Xposed     Xposed Module List  _x000D_
_x000D_
nothing for now_x000D_
_x000D_
  Magisk     Magisk Module List  _x000D_
_x000D_
not used  manually installed _x000D_
_x000D_
  EdXposed Riru   Versions of EdXposed and Riru  _x000D_
_x000D_
EdXposed: tried with Yahfa or Sandhook package files  built from android r branch or from v4 6 2 tag _x000D_
_x000D_
Riru: Riru v21 1 (34) _x000D_
_x000D_
    Logcat Logcat  _x000D_
_x000D_
   _x000D_
05 07 05:40:32 664 31547 31547 I Riru    : Riru v21 1 (34) in zygote64_x000D_
05 07 05:40:32 664 31547 31547 I Riru    : config dir is  data misc riru_x000D_
05 07 05:40:32 664 31547 31547 I Riru    : system version 10 (api 29  preview sdk 0)_x000D_
05 07 05:40:32 665 31547 31547 I Riru    : hook installed_x000D_
05 07 05:40:32 667 31547 31547 I Riru    : module loaded: edxp (api 4)_x000D_
05 07 05:40:32 667 31547 31547 V Riru    : edxp: onModuleLoaded_x000D_
05 07 05:40:32 667 31547 31547 I EdXposed: onModuleLoaded: welcome to EdXposed _x000D_
05 07 05:40:32 667 31547 31547 I EdXposed: Start to install inline hooks_x000D_
05 07 05:40:32 667 31547 31547 I EdXposed: Using api level 29_x000D_
05 07 05:40:32 667 31547 31547 I EdXposed: Start to install Riru hook_x000D_
05 07 05:40:32 676 31547 31547 I EdXposed: Riru hooks installed_x000D_
05 07 05:40:32 679 31547 31547 D AndroidRuntime:        START com android internal os ZygoteInit uid 0       _x000D_
05 07 05:40:32 682 31547 31547 I EdXposed: ART hooks installed_x000D_
05 07 05:40:32 682 31547 31547 I AndroidRuntime: Using default boot image_x000D_
05 07 05:40:32 682 31547 31547 I AndroidRuntime: Leaving lock profiling enabled_x000D_
05 07 05:40:32 682 31547 31547 I EdXposed: system property get: dalvik vm dex2oat filter    quicken_x000D_
05 07 05:40:32 682 31547 31547 I EdXposed: system property get: dalvik vm dex2oat flags      inline max code units 0_x000D_
05 07 05:40:32 682 31547 31547 I zygote64: option 0   Xzygote_x000D_
05 07 05:40:32 682 31547 31547 I zygote64: option 1  exit_x000D_
05 07 05:40:32 682 31547 31547 I zygote64: option 2  vfprintf_x000D_
05 07 05:40:32 682 31547 31547 I zygote64: option 3  sensitiveThread_x000D_
05 07 05:40:32 682 31547 31547 I zygote64: option 4   verbose:gc_x000D_
05 07 05:40:32 682 31547 31547 I zygote64: option 5   Xms8m_x000D_
05 07 05:40:32 682 31547 31547 I zygote64: option 6   Xmx512m_x000D_
05 07 05:40:32 682 31547 31547 I zygote64: option 7   XX:HeapGrowthLimit 192m_x000D_
05 07 05:40:32 682 31547 31547 I zygote64: option 8   XX:HeapMinFree 512k_x000D_
05 07 05:40:32 682 31547 31547 I zygote64: option 9   XX:HeapMaxFree 8m_x000D_
05 07 05:40:32 682 31547 31547 I zygote64: option 10   XX:HeapTargetUtilization 0 75_x000D_
05 07 05:40:32 682 31547 31547 I zygote64: option 11   Xusejit:true_x000D_
05 07 05:40:32 682 31547 31547 I zygote64: option 12   Xjitsaveprofilinginfo_x000D_
05 07 05:40:32 682 31547 31547 I zygote64: option 13   XjdwpOptions:suspend n server y_x000D_
05 07 05:40:32 682 31547 31547 I zygote64: option 14   XjdwpProvider:default_x000D_
05 07 05:40:32 682 31547 31547 I zygote64: option 15   Xlockprofthreshold:500_x000D_
05 07 05:40:32 682 31547 31547 I zygote64: option 16   Ximage compiler option_x000D_
05 07 05:40:32 682 31547 31547 I zygote64: option 17    runtime arg_x000D_
05 07 05:40:32 682 31547 31547 I zygote64: option 18   Ximage compiler option_x000D_
05 07 05:40:32 682 31547 31547 I zygote64: option 19   Xms64m_x000D_
05 07 05:40:32 682 31547 31547 I zygote64: option 20   Ximage compiler option_x000D_
05 07 05:40:32 682 31547 31547 I zygote64: option 21    runtime arg_x000D_
05 07 05:40:32 682 31547 31547 I zygote64: option 22   Ximage compiler option_x000D_
05 07 05:40:32 682 31547 31547 I zygote64: option 23   Xmx64m_x000D_
05 07 05:40:32 682 31547 31547 I zygote64: option 24   Ximage compiler option_x000D_
05 07 05:40:32 682 31547 31547 I zygote64: option 25    profile file  system etc boot image prof_x000D_
05 07 05:40:32 682 31547 31547 I zygote64: option 26   Ximage compiler option_x000D_
05 07 05:40:32 682 31547 31547 I zygote64: option 27    compiler filter speed profile_x000D_
05 07 05:40:32 682 31547 31547 I zygote64: option 28   Xcompiler option_x000D_
05 07 05:40:32 682 31547 31547 I zygote64: option 29    runtime arg_x000D_
05 07 05:40:32 682 31547 31547 I zygote64: option 30   Xcompiler option_x000D_
05 07 05:40:32 682 31547 31547 I zygote64: option 31   Xms64m_x000D_
05 07 05:40:32 682 31547 31547 I zygote64: option 32   Xcompiler option_x000D_
05 07 05:40:32 682 31547 31547 I zygote64: option 33    runtime arg_x000D_
05 07 05:40:32 682 31547 31547 I zygote64: option 34   Xcompiler option_x000D_
05 07 05:40:32 682 31547 31547 I zygote64: option 35   Xmx512m_x000D_
05 07 05:40:32 682 31547 31547 I zygote64: option 36   Ximage compiler option_x000D_
05 07 05:40:32 682 31547 31547 I zygote64: option 37    instruction set variant x86 64_x000D_
05 07 05:40:32 682 31547 31547 I zygote64: option 38   Xcompiler option_x000D_
05 07 05:40:32 682 31547 31547 I zygote64: option 39    instruction set variant x86 64_x000D_
05 07 05:40:32 682 31547 31547 I zygote64: option 40   Ximage compiler option_x000D_
05 07 05:40:32 682 31547 31547 I zygote64: option 41    instruction set features default_x000D_
05 07 05:40:32 682 31547 31547 I zygote64: option 42   Xcompiler option_x000D_
05 07 05:40:32 682 31547 31547 I zygote64: option 43    instruction set features default_x000D_
05 07 05:40:32 682 31547 31547 I zygote64: option 44   Duser locale en US_x000D_
05 07 05:40:32 682 31547 31547 I zygote64: option 45    cpu abilist x86 64_x000D_
05 07 05:40:32 682 31547 31547 I zygote64: option 46   Xcompiler option_x000D_
05 07 05:40:32 682 31547 31547 I zygote64: option 47    generate mini debug info_x000D_
05 07 05:40:32 682 31547 31547 I zygote64: option 48   Xcore platform api policy:just warn_x000D_
05 07 05:40:32 682 31547 31547 I zygote64: option 49   Xfingerprint:Android cloud cloud:10 QQ1D 200105 002 29:userdebug test keys_x000D_
05 07 05:40:32 683 31547 31547 I zygote64: Core platform API reporting enabled  enforcing false_x000D_
05 07 05:40:32 711 31547 31547 F libc    : Fatal signal 11 (SIGSEGV)  code 128 (SI KERNEL)  fault addr 0x0 in tid 31547 (main)  pid 31547 (main)_x000D_
05 07 05:40:32 716 31549 31549 I netd    : Creating child chains: 132 4ms_x000D_
05 07 05:40:32 721 31560 31560 I crash dump64: obtaining output fd from tombstoned  type: kDebuggerdTombstone_x000D_
05 07 05:40:32 721   454   454 I  system bin tombstoned: received crash request for pid 31547_x000D_
05 07 05:40:32 721 31560 31560 I crash dump64: performing dump of process 31547 (target tid   31547)_x000D_
05 07 05:40:32 724 31560 31560 F DEBUG   :                                                                _x000D_
05 07 05:40:32 724 31560 31560 F DEBUG   : Build fingerprint:  Android cloud cloud:10 QQ1D 200105 002 29:userdebug test keys _x000D_
05 07 05:40:32 724 31560 31560 F DEBUG   : Revision:  0 _x000D_
05 07 05:40:32 724 31560 31560 F DEBUG   : ABI:  x86 64 _x000D_
05 07 05:40:32 724 31560 31560 F DEBUG   : Timestamp: 2020 05 07 05:40:32 0400_x000D_
05 07 05:40:32 724 31560 31560 F DEBUG   : pid: 31547  tid: 31547  name: main      zygote64    _x000D_
05 07 05:40:32 724 31560 31560 F DEBUG   : uid: 0_x000D_
05 07 05:40:32 724 31560 31560 F DEBUG   : signal 11 (SIGSEGV)  code 128 (SI KERNEL)  fault addr 0x0_x000D_
05 07 05:40:32 724 31560 31560 F DEBUG   :     rax 4800000026bafff2  rbx 00007ffc59200158  rcx 0000000000000087  rdx 00007ebd1a80160c_x000D_
05 07 05:40:32 724 31560 31560 F DEBUG   :     r8  0000000000000003  r9  0000000000000000  r10 0000000000000030  r11 0000000000000246_x000D_
05 07 05:40:32 724 31560 31560 F DEBUG   :     r12 00007ebd1a1aaa4d  r13 00007ffc59200158  r14 00007ebd1a83fca0  r15 00007ebd1a844000_x000D_
05 07 05:40:32 724 31560 31560 F DEBUG   :     rdi 0000000000000000  rsi ffffffffffffffe8_x000D_
05 07 05:40:32 724 31560 31560 F DEBUG   :     rbp 0000000000000000  rsp 00007ffc591fff10  rip 00007ebd1a57958f_x000D_
05 07 05:40:32 731 31560 31560 F DEBUG   : _x000D_
05 07 05:40:32 731 31560 31560 F DEBUG   : backtrace:_x000D_
05 07 05:40:32 731 31560 31560 F DEBUG   :        00 pc 000000000055858f   apex com android runtime lib64 libart so libart so (offset 0x555000) (art::Runtime::Init(art::RuntimeArgumentMap  ) 18959) (BuildId: 05ec7204fd5b2d5a21d6e4cf8dddc1ee)_x000D_
05 07 05:40:32 731 31560 31560 F DEBUG   :        01 pc 0000000000065bc0   system lib64 libriru edxp so (art::Runtime::InitReplace(void   void ) 160) (BuildId: 192ef2742e6b8be45bbf2fd150d6aa7382b7bb5d)_x000D_
05 07 05:40:32 731 31560 31560 F DEBUG   :        02 pc 000000000055b6c6   apex com android runtime lib64 libart so libart so (offset 0x555000) (art::Runtime::Create(std::  1::vector std::  1::pair std::  1::basic string char  std::  1::char traits char   std::  1::allocator char    void const    std::  1::allocator std::  1::pair std::  1::basic string char  std::  1::char traits char   std::  1::allocator char    void const     const   bool) 118) (BuildId: 05ec7204fd5b2d5a21d6e4cf8dddc1ee)_x000D_
05 07 05:40:32 731 31560 31560 F DEBUG   :        03 pc 00000000003f4cc0   apex com android runtime lib64 libart so libart so (offset 0x2ed000) (JNI CreateJavaVM 1136) (BuildId: 05ec7204fd5b2d5a21d6e4cf8dddc1ee)_x000D_
05 07 05:40:32 731 31560 31560 F DEBUG   :        04 pc 00000000000d9722   system lib64 libandroid runtime so (android::AndroidRuntime::startVm( JavaVM     JNIEnv    bool) 9250) (BuildId: 89259cefe7b5f106e88e5836c679e85c)_x000D_
05 07 05:40:32 731 31560 31560 F DEBUG   :        05 pc 00000000000d9cf8   system lib64 libandroid runtime so (android::AndroidRuntime::start(char const   android::Vector android::String8  const   bool) 344) (BuildId: 89259cefe7b5f106e88e5836c679e85c)_x000D_
05 07 05:40:32 731 31560 31560 F DEBUG   :        06 pc 00000000000035ad   system bin app process64 (main 1357) (BuildId: 5fc10f534220ec316be705f2ec8c36e6)_x000D_
05 07 05:40:32 731 31560 31560 F DEBUG   :        07 pc 000000000008a985   apex com android runtime lib64 bionic libc so (  libc init 117) (BuildId: 16cf83b080c924e8e5604bfeb62ac694)_x000D_
   _x000D_
</t>
  </si>
  <si>
    <t>Blankj-AndroidUtilCode-1238</t>
  </si>
  <si>
    <t xml:space="preserve">Security Flaws raised in the AndroidUtilcode library </t>
  </si>
  <si>
    <t xml:space="preserve">   Hi Blankj team  _x000D_
_x000D_
We are using the Androidutilcode thirdparty library in our code and when the application is scanned for vulnerability  we found below issues  can you please help us in resolving these flaws _x000D_
_x000D_
A clear and concise description of what the bug is _x000D_
_x000D_
1) com     util AppUtils java _x000D_
Log d( AppUtils    isAppRoot() called    result errorMsg) _x000D_
2) com     util NetworkUtils java 97_x000D_
 Log d( NetworkUtils    isAvailableByPing() called    result errorMsg) _x000D_
3) com     util NetworkUtils java 100_x000D_
Log d( NetworkUtils    isAvailableByPing() called    result successMsg) _x000D_
_x000D_
    Recommendations_x000D_
Avoid directly embedding user input in log files when possible  Sanitize untrusted data used to construct log entries by_x000D_
using a safe logging mechanism such as the OWASP ESAPI Logger  which will automatically remove unexpected_x000D_
carriage returns and line feeds and can be configured to use HTML entity encoding for non alphanumeric data  Only_x000D_
write custom blacklisting code when absolutely necessary  Always validate untrusted input to ensure that it conforms_x000D_
to the expected format  using centralized data validation routines when possible _x000D_
_x000D_
4)  com     util EncryptUtils java 166_x000D_
MessageDigest md   MessageDigest getInstance( MD5 ) _x000D_
5) com     util FileUtils java 925_x000D_
MessageDigest md   MessageDigest getInstance( MD5 ) _x000D_
_x000D_
    Description_x000D_
The use of a broken or risky cryptographic algorithm is an unnecessary risk that may result in the disclosure of_x000D_
sensitive information _x000D_
_x000D_
6) com     util ZipUtils java 234_x000D_
_x000D_
    Recommendations_x000D_
Validate all untrusted input to ensure that it conforms to the expected format  using centralized data validation routines_x000D_
when possible  When using black lists  be sure that the sanitizing routine performs a sufficient number of iterations to_x000D_
remove all instances of disallowed characters _x000D_
_x000D_
7) com     util LogUtils java 316_x000D_
    Recommendations_x000D_
Configure the XML parser to disable external entity resolution _x000D_
_x000D_
_x000D_
  The version of AndroidUtilCode:      e g  utilcode:1 16 3 or utilcodex:1 16 3    _x000D_
  The device:      e g  Nexus 5X    _x000D_
  The version of device:      API 27    _x000D_
_x000D_
   The code of bug_x000D_
_x000D_
     e g  _x000D_
   java_x000D_
CrashUtils init() _x000D_
   _x000D_
   _x000D_
   _x000D_
put your code here_x000D_
   _x000D_
_x000D_
   The stack of crash_x000D_
_x000D_
     e g  _x000D_
   _x000D_
Caused by: java lang NullPointerException: u should init first_x000D_
   at com blankj utilcode util Utils getApp(Utils java:98)_x000D_
   at com blankj utilcode util CrashUtils  clinit (CrashUtils java:55)_x000D_
   at com blankj utilcode util CrashUtils init(CrashUtils java:168) _x000D_
   at com blankj androidutilcode UtilsApp initCrash(UtilsApp java:71) _x000D_
   at com blankj androidutilcode UtilsApp onCreate(UtilsApp java:33) _x000D_
   _x000D_
   _x000D_
_x000D_
   _x000D_
put the stack of crash here_x000D_
   _x000D_
_x000D_
   Screenshots_x000D_
_x000D_
If applicable  add screenshots to help explain your problem _x000D_
_x000D_
_x000D_
   Please delete the current line and the following _x000D_
_x000D_
Thank you for supporting  AndroidUtilCode (https:  github com Blankj AndroidUtilCode) _x000D_
</t>
  </si>
  <si>
    <t>iNPUTmice-Conversations-3701</t>
  </si>
  <si>
    <t>Dismiss 'Incoming (video) call' notification on crash</t>
  </si>
  <si>
    <t>If the application crashes the  Incoming call  notification will continue to ring and annoy the user  Our exception handler should attempt to dismiss the notification _x000D_
_x000D_
(Also verify that this is actually happening)</t>
  </si>
  <si>
    <t>inaturalist-iNaturalistAndroid-824</t>
  </si>
  <si>
    <t xml:space="preserve">NullPointerException in ObservationViewerActivity.onCreate </t>
  </si>
  <si>
    <t xml:space="preserve">1 18 11 (417)_x000D_
_x000D_
https:  console firebase google com u 2 project inaturalist ios crashlytics app android:org inaturalist android issues 4ec8c0d5b37e417d89055cfc61507fd1 time last seven days sessionId 5EB23BEC012C00012315E051C8328049 DNE 0 v2_x000D_
_x000D_
   _x000D_
Caused by java lang NullPointerException: Attempt to read from field  java sql Timestamp org inaturalist android Observation  synced at  on a null object reference_x000D_
       at org inaturalist android ObservationViewerActivity onCreate(ObservationViewerActivity java:785)_x000D_
       at android app Activity performCreate(Activity java:8066)_x000D_
       at android app Activity performCreate(Activity java:8054)_x000D_
       at android app Instrumentation callActivityOnCreate(Instrumentation java:1313)_x000D_
       at android app ActivityThread performLaunchActivity(ActivityThread java:3733)_x000D_
       at android app ActivityThread handleLaunchActivity(ActivityThread java:3939)_x000D_
       at android app servertransaction LaunchActivityItem execute(LaunchActivityItem java:91)_x000D_
       at android app servertransaction TransactionExecutor executeCallbacks(TransactionExecutor java:149)_x000D_
       at android app servertransaction TransactionExecutor execute(TransactionExecutor java:103)_x000D_
       at android app ActivityThread H handleMessage(ActivityThread java:2373)_x000D_
   </t>
  </si>
  <si>
    <t>inaturalist-iNaturalistAndroid-823</t>
  </si>
  <si>
    <t>ArrayIndexOutOfBoundsException in LocationChooserActivity.onOptionsItemSelected</t>
  </si>
  <si>
    <t xml:space="preserve">1 18 11 (417)_x000D_
_x000D_
https:  console firebase google com u 2 project inaturalist ios crashlytics app android:org inaturalist android issues 9ece571f2aec9b9581584488a7aa0481 time last seven days sessionId 5EB1B78202E400010A2205A315A0887F DNE 0 v2_x000D_
_x000D_
   _x000D_
Fatal Exception: java lang ArrayIndexOutOfBoundsException: length 3  index  1_x000D_
       at java util Arrays ArrayList get(Arrays java:3769)_x000D_
       at org inaturalist android LocationChooserActivity onOptionsItemSelected(LocationChooserActivity java:699)_x000D_
       at android app Activity onMenuItemSelected(Activity java:3608)_x000D_
       at androidx fragment app FragmentActivity onMenuItemSelected(FragmentActivity java:384)_x000D_
       at androidx appcompat app AppCompatActivity onMenuItemSelected(AppCompatActivity java:219)_x000D_
       at androidx appcompat view WindowCallbackWrapper onMenuItemSelected(WindowCallbackWrapper java:109)_x000D_
       at androidx appcompat app AppCompatDelegateImpl onMenuItemSelected(AppCompatDelegateImpl java:1030)_x000D_
       at androidx appcompat view menu MenuBuilder dispatchMenuItemSelected(MenuBuilder java:840)_x000D_
       at androidx appcompat view menu MenuItemImpl invoke(MenuItemImpl java:158)_x000D_
   </t>
  </si>
  <si>
    <t>inaturalist-iNaturalistAndroid-822</t>
  </si>
  <si>
    <t xml:space="preserve">1 18 11 (417)_x000D_
_x000D_
https:  console firebase google com u 2 project inaturalist ios crashlytics app android:org inaturalist android issues c61258d7b3b585db89f4402c34ff643a time last seven days sessionId 5EB2C19002A600017DDF6B43BD425970 DNE 0 v2_x000D_
_x000D_
   _x000D_
Caused by java lang NullPointerException: uri_x000D_
       at com android internal util Preconditions checkNotNull(Preconditions java:128)_x000D_
       at android content ContentResolver query(ContentResolver java:792)_x000D_
       at android content ContentResolver query(ContentResolver java:759)_x000D_
       at android content ContentResolver query(ContentResolver java:717)_x000D_
       at android app Activity managedQuery(Activity java:2646)_x000D_
       at org inaturalist android ObservationViewerActivity reloadObservation(ObservationViewerActivity java:857)_x000D_
       at org inaturalist android ObservationViewerActivity onCreate(ObservationViewerActivity java:655)_x000D_
       at android app Activity performCreate(Activity java:7327)_x000D_
       at android app Activity performCreate(Activity java:7318)_x000D_
   </t>
  </si>
  <si>
    <t>TeamNewPipe-NewPipe-3543</t>
  </si>
  <si>
    <t>Error in subscriptions when loading premieres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</si>
  <si>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_x000D_
    Steps to reproduce the bug_x000D_
    _x000D_
1  Go to      _x000D_
2  Press on       _x000D_
3  Swipe down to       _x000D_
   _x000D_
Well  it s easy to reproduce  but also hard because it s rare _x000D_
0  Disable fast mode if enabled_x000D_
1  Subscribe to a channel that will have a premiere video _x000D_
2  Refresh before it has started  it s working fine (e g  the upload date shown is  in 5 minutes ) _x000D_
3  When it has started  refresh and now you have the error  and the channel is considered as  not loaded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premiere is shown with a specific tag  for example PREMIERE _x000D_
    Actual behaviour_x000D_
     Tell us what happens instead     _x000D_
The channel isn t loaded_x000D_
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requested feed_x000D_
    Request:   Loading feed_x000D_
    Content Language:   fr FR_x000D_
    Service:   none_x000D_
    Version:   0 19 3_x000D_
    OS:   Linux Android 9   28_x000D_
_x000D_
_x000D_
 details  summary  b Crash log  b   summary  p _x000D_
_x000D_
   _x000D_
org schabi newpipe local feed service FeedLoadService RequestException: 0:https:  www youtube com channel UCacgofzftbbkUhcftPvUzQg_x000D_
	at org schabi newpipe local feed service FeedLoadService RequestException Companion wrapList(FeedLoadService kt:163)_x000D_
	at org schabi newpipe local feed service FeedLoadService databaseConsumer 1 1 run(FeedLoadService kt:312)_x000D_
	at androidx room RoomDatabase runInTransaction(RoomDatabase java:386)_x000D_
	at org schabi newpipe local feed service FeedLoadService databaseConsumer 1 accept(FeedLoadService kt:301)_x000D_
	at org schabi newpipe local feed service FeedLoadService databaseConsumer 1 accept(FeedLoadService kt:64)_x000D_
	at io reactivex internal operators flowable FlowableDoOnEach DoOnEachSubscriber onNext(FlowableDoOnEach java:86)_x000D_
	at io reactivex internal operators flowable FlowableBuffer PublisherBufferExactSubscriber onNext(FlowableBuffer java:126)_x000D_
	at io reactivex internal operators flowable FlowableObserveOn ObserveOnSubscriber runAsync(FlowableObserveOn java:407)_x000D_
	at io reactivex internal operators flowable FlowableObserveOn BaseObserveOnSubscriber run(FlowableObserveOn java:176)_x000D_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org schabi newpipe extractor exceptions ParsingException: Could not get duration_x000D_
	at org schabi newpipe extractor services youtube extractors YoutubeStreamInfoItemExtractor getDuration(YoutubeStreamInfoItemExtractor java:120)_x000D_
	at org schabi newpipe extractor stream StreamInfoItemsCollector extract(StreamInfoItemsCollector java:54)_x000D_
	at org schabi newpipe extractor stream StreamInfoItemsCollector commit(StreamInfoItemsCollector java:94)_x000D_
	at org schabi newpipe extractor services youtube extractors YoutubeChannelExtractor collectStreamsFrom(YoutubeChannelExtractor java:277)_x000D_
	at org schabi newpipe extractor services youtube extractors YoutubeChannelExtractor getInitialPage(YoutubeChannelExtractor java:228)_x000D_
	at org schabi newpipe extractor utils ExtractorHelper getItemsPageOrLogError(ExtractorHelper java:19)_x000D_
	at org schabi newpipe extractor channel ChannelInfo getInfo(ChannelInfo java:82)_x000D_
	at org schabi newpipe extractor channel ChannelInfo getInfo(ChannelInfo java:47)_x000D_
	at org schabi newpipe util ExtractorHelper lambda getChannelInfo 4(ExtractorHelper java:124)_x000D_
	at org schabi newpipe util    Lambda ExtractorHelper u5W7VszTe8AoEexIsFM9huQfbkM call(Unknown Source:4)_x000D_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Single blockingGet(Single java:2699)_x000D_
	at org schabi newpipe local feed service FeedLoadService startLoading 7 apply(FeedLoadService kt:215)_x000D_
	at org schabi newpipe local feed service FeedLoadService startLoading 7 apply(FeedLoadService kt:64)_x000D_
	at io reactivex internal operators parallel ParallelMap ParallelMapSubscriber onNext(ParallelMap java:113)_x000D_
	at io reactivex internal operators parallel ParallelFilter ParallelFilterSubscriber tryOnNext(ParallelFilter java:130)_x000D_
	at io reactivex internal operators parallel ParallelRunOn RunOnConditionalSubscriber run(ParallelRunOn java:397)_x000D_
	    7 more_x000D_
_x000D_
   _x000D_
  p   details _x000D_
 hr </t>
  </si>
  <si>
    <t>TeamNewPipe-NewPipe-3542</t>
  </si>
  <si>
    <t>SoundCloud: Can't analyse this website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</si>
  <si>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Steps to reproduce the bug_x000D_
    _x000D_
1  Go to      _x000D_
2  Press on       _x000D_
3  Swipe down to       _x000D_
   _x000D_
1  Bring up the side panel _x000D_
2  Switch the search to SC _x000D_
3  Try searching anything _x000D_
              _x000D_
1  Open any SC link  to profile or to track _x000D_
2  Let it open NewPipe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track  profile or search results show up _x000D_
_x000D_
    Actual behaviour_x000D_
     Tell us what happens instead     _x000D_
I get an error message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20200506 143726 NewPipe (https:  user images githubusercontent com 26146502 81177558 24ec5580 8fa7 11ea 9aa7 a86da27d938c jpg)_x000D_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https:  hastebin com goxequfuba md_x000D_
_x000D_
     That s right  here     _x000D_
</t>
  </si>
  <si>
    <t>TeamNewPipe-NewPipe-3539</t>
  </si>
  <si>
    <t>Network error</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</si>
  <si>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3_x000D_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block address  suggestqueries google com  in firewall_x000D_
2) search any video_x000D_
3) a message  Network error	Retry  is displayed_x000D_
_x000D_
    Expected behavior_x000D_
     Tell us what you expect to happen     _x000D_
_x000D_
found videos were shown earlier_x000D_
_x000D_
    Actual behaviour_x000D_
     Tell us what happens instead     _x000D_
_x000D_
error message_x000D_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</si>
  <si>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inaturalist-iNaturalistAndroid-821</t>
  </si>
  <si>
    <t>NullPointerException in DataQualityAssessment.java</t>
  </si>
  <si>
    <t>https:  console firebase google com u 2 project inaturalist ios crashlytics app android:org inaturalist android issues 1aeda0f1fe7789ec04ea7b01e0391472 time last seven days sessionId 5EB17F98034C0001449D2198AAA007C0 DNE 0 v2_x000D_
_x000D_
   _x000D_
Caused by java lang NullPointerException: Attempt to invoke virtual method  int java lang Integer intValue()  on a null object reference_x000D_
       at org inaturalist android DataQualityAssessment refreshMetrics(DataQualityAssessment java:373)_x000D_
       at org inaturalist android DataQualityAssessment onResume(DataQualityAssessment java:154)_x000D_
       at android app Instrumentation callActivityOnResume(Instrumentation java:1412)_x000D_
       at android app Activity performResume(Activity java:7572)_x000D_
       at android app ActivityThread performResumeActivity(ActivityThread java:4006)_x000D_
       at android app ActivityThread handleResumeActivity(ActivityThread java:4046)_x000D_
       at android app servertransaction ResumeActivityItem execute(ResumeActivityItem java:51)_x000D_
       at android app servertransaction TransactionExecutor executeLifecycleState(TransactionExecutor java:145)_x000D_
       at android app servertransaction TransactionExecutor execute(TransactionExecutor java:70)_x000D_
       at android app ActivityThread H handleMessage(ActivityThread java:1948)_x000D_
       at android os Handler dispatchMessage(Handler java:106)_x000D_
   _x000D_
_x000D_
Builds 416 and 417</t>
  </si>
  <si>
    <t>ankidroid-Anki-Android-6110</t>
  </si>
  <si>
    <t>[2.9.7] Crash when collection path changed: Reviewer - Sched.eta - database was null</t>
  </si>
  <si>
    <t xml:space="preserve">https:  couchdb ankidroid org acralyzer  design acralyzer index html  report details 215ff097 fbe5 407a 9d6a 8e56955006e5_x000D_
_x000D_
Occurred when closing settings  not looking for bugs   Don t Keep Activities  was not enabled  Sync was not enabled _x000D_
_x000D_
Can t replicate _x000D_
_x000D_
   _x000D_
java lang NullPointerException: Attempt to invoke virtual method  androidx sqlite db SupportSQLiteDatabase com ichi2 libanki DB getDatabase()  on a null object reference_x000D_
at com ichi2 libanki sched Sched eta(Sched java:11)_x000D_
at com ichi2 anki AbstractFlashcardViewer updateScreenCounts(AbstractFlashcardViewer java:7)_x000D_
at com ichi2 anki AbstractFlashcardViewer updateForNewCard(AbstractFlashcardViewer java:1)_x000D_
at com ichi2 anki AbstractFlashcardViewer fillFlashcard(AbstractFlashcardViewer java:10)_x000D_
at com ichi2 anki Reviewer fillFlashcard(Reviewer java:1)_x000D_
at com ichi2 anki AbstractFlashcardViewer updateCard(AbstractFlashcardViewer java:34)_x000D_
at com ichi2 anki AbstractFlashcardViewer displayCardQuestion(AbstractFlashcardViewer java:14)_x000D_
at com ichi2 anki Reviewer displayCardQuestion(Reviewer java:2)_x000D_
at com ichi2 anki AbstractFlashcardViewer NextCardHandler displayNext(AbstractFlashcardViewer java:10)_x000D_
at com ichi2 anki AbstractFlashcardViewer NextCardHandler onProgressUpdate(AbstractFlashcardViewer java:1)_x000D_
at com ichi2 async CollectionTask TaskListener onProgressUpdate(CollectionTask java:1)_x000D_
at com ichi2 async CollectionTask onProgressUpdate(CollectionTask java:4)_x000D_
at com ichi2 async CollectionTask onProgressUpdate(CollectionTask java:1)_x000D_
at android os AsyncTask InternalHandler handleMessage(AsyncTask java:716)_x000D_
at android os Handler dispatchMessage(Handler java:112)_x000D_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_x000D_
_x000D_
logcat_x000D_
_x000D_
   _x000D_
0             beginning of main_x000D_
       _x000D_
1             beginning of system_x000D_
2   05 05 16:03:23 801 I AnkiDroid(32095): Obtaining card_x000D_
3   05 05 16:03:23 859 I AnkiDroid(32095): Creating notification channel with id name: General Notifications AnkiDroid_x000D_
4   05 05 16:03:23 861 I AnkiDroid(32095): Creating notification channel with id name: Synchronization Synchronization_x000D_
5   05 05 16:03:23 864 I AnkiDroid(32095): Creating notification channel with id name: Global Reminders Cards due_x000D_
6   05 05 16:03:24 016 I AnkiDroid(32095): Creating notification channel with id name: Deck Reminders Reminders_x000D_
7   05 05 16:03:24 018 I AnkiDroid(32095): closeCollection: Preference Modification: collection path changed_x000D_
8   05 05 16:03:24 022 I AnkiDroid(32095): Collection closed_x000D_
9   05 05 16:03:24 022 I AnkiDroid(32095): AnkiActivity    restartActivityInvalidateBackstack()_x000D_
10   05 05 16:03:24 081 E AnkiDroid(32095): Reviewer  Could not set title in reviewer because collection closed_x000D_
11   05 05 16:03:24 123 I AnkiDroid(32095): openCollection:  storage emulated 0 AnkiDroidTEST collection anki2_x000D_
12             beginning of crash_x000D_
   </t>
  </si>
  <si>
    <t>nextcloud-android-6004</t>
  </si>
  <si>
    <t>Constant app crashes when Syncing (&gt;6k) WhatsAPP Pictures</t>
  </si>
  <si>
    <t xml:space="preserve">    Steps to reproduce_x000D_
1  autosync WhatsApp Pictures with  6000 pictures inside_x000D_
2  nextcloud app responds very slowly during the sync  you will get the  app has stopped responding  warning a   LOT  _x000D_
3  nextcloud app crashes (crash log below) constantly and has to be restarted over and over again to eventually finish the sync_x000D_
_x000D_
  NOTE  _x000D_
This only happens when the folder to sync has several thousand files inside  _x000D_
Syncing folders with less than 2000 pictures videos works fine _x000D_
_x000D_
    Expected behaviour_x000D_
  App must not crash  even when syncing several thousand files  _x000D_
_x000D_
    Actual behaviour_x000D_
  app crashes constantly and has to be restarted many times to eventually get everything synced_x000D_
_x000D_
    Environment data_x000D_
Android version: 10_x000D_
_x000D_
Device model: OnePlus 6T  but the same issue occurs on Sony Experia XZ2  Xiaomi Mi A2 and a Samsung Galaxy S7_x000D_
_x000D_
Stock or customized system: stock_x000D_
_x000D_
Nextcloud app version: 3 11 1_x000D_
_x000D_
Nextcloud server version: 18 0 4 ( NX20  hosted by www hetzner de  but I had the exact same issue with a self hosted instance of nextcloud which is why i tried a hosted instance hoping that this would fix the issue)_x000D_
_x000D_
    Logs_x000D_
Crash Log from nextcloud Android App_x000D_
     CAUSE OF ERROR     _x000D_
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lang SecurityException: Caller no longer running  last stopped  11s207ms because: timed out while starting_x000D_
	at android os Parcel createException(Parcel java:2071)_x000D_
	at android os Parcel readException(Parcel java:2039)_x000D_
	at android os Parcel readException(Parcel java:1987)_x000D_
	at android app job IJobCallback Stub Proxy dequeueWork(IJobCallback java:292)_x000D_
	at android app job JobParameters dequeueWork(JobParameters java:248)_x000D_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3 call(AsyncTask java:378)_x000D_
	at java util concurrent FutureTask run(FutureTask java:266)_x000D_
	    3 more_x000D_
Caused by: android os RemoteException: Remote stack trace:_x000D_
	at com android server job JobServiceContext assertCallerLocked(JobServiceContext java:493)_x000D_
	at com android server job JobServiceContext doDequeueWork(JobServiceContext java:371)_x000D_
	at com android server job JobServiceContext JobCallback dequeueWork(JobServiceContext java:160)_x000D_
	at android app job IJobCallback Stub onTransact(IJobCallback java:169)_x000D_
	at android os Binder execTransactInternal(Binder java:1032)_x000D_
_x000D_
_x000D_
     APP INFORMATION     _x000D_
ID: com nextcloud client_x000D_
Version: 30110190_x000D_
Build flavor: gplay_x000D_
_x000D_
     DEVICE INFORMATION     _x000D_
Brand: OnePlus_x000D_
Device: OnePlus6T_x000D_
Model: ONEPLUS A6013_x000D_
Id: QKQ1 190716 003_x000D_
Product: OnePlus6T_x000D_
_x000D_
     FIRMWARE     _x000D_
SDK: 29_x000D_
Release: 10_x000D_
Incremental: 2002220019</t>
  </si>
  <si>
    <t>TeamNewPipe-NewPipe-3527</t>
  </si>
  <si>
    <t>0.19.3 channel loading issue spotted (might be multiple of them)</t>
  </si>
  <si>
    <t xml:space="preserve">    
Oh no  a bug  It happens  Thanks for reporting an issue with NewPipe  If this is your first bug report  read the following information before proceeding: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P S : Our contribution guidelines might be a nice document to read before you fill out the report :) You can find it at https:  github com TeamNewPipe NewPipe blob HEAD  github CONTRIBUTING md
To make it easier for us to help you please enter detailed information in the template we have provided below  If a section isn t relevant  just delete it  though it would be helpful to still provide as much detail as possible 
     The comments between these brackets won t show up in the submitted issue (as you can see in the preview)     
    Version
     Which version are you using  Hopefully the latest  We just told you that above     
 0 19 3
    Steps to reproduce the bug
1  Go to a channel that has a premiere of a video scheulded
1  Go to someordinarygamers channel
     If you can t cause the bug to show up again reliably (and hence don t have a proper set of steps to give us)  please still try to give as many details as possible on how you think you encountered the bug     
    Expected behavior
     Tell us what you expect to happen      should load the channel without a fuss
    Actual behaviour
     Tell us what happens instead     
Loads and gives error info
    Screenshots Screen recordings
     If applicable  add screenshots or a screen recording to help explain your problem  GitHub supports uploading them directly in the issue text box  If your file is too big for Github to accept  feel free to paste a link from an image video hoster here instead     
    Logs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That s right  here     
  user action : requested channel   request : https:  www youtube com channel UCtMVHI3AJD4Qk4hcbZnI9ZQ   content language : PL   service : YouTube   package : org schabi newpipe   version : 0 19 3   os : Linux motorola channel reteu channel:9 PPY29 105 134 e13ed:user release keys 9   28   time : 2020 05 04 22:16   exceptions :  org schabi newpipe extractor exceptions ParsingException: Could not get duration n tat org schabi newpipe extractor services youtube extractors YoutubeStreamInfoItemExtractor getDuration(YoutubeStreamInfoItemExtractor java:120) n tat org schabi newpipe extractor stream StreamInfoItemsCollector extract(StreamInfoItemsCollector java:54) n tat org schabi newpipe extractor stream StreamInfoItemsCollector commit(StreamInfoItemsCollector java:94) n tat org schabi newpipe extractor services youtube extractors YoutubeChannelExtractor collectStreamsFrom(YoutubeChannelExtractor java:277) n tat org schabi newpipe extractor services youtube extractors YoutubeChannelExtractor getInitialPage(YoutubeChannelExtractor java:228) n tat org schabi newpipe extractor utils ExtractorHelper getItemsPageOrLogError(ExtractorHelper java:19) n tat org schabi newpipe extractor channel ChannelInfo getInfo(ChannelInfo java:82) n tat org schabi newpipe extractor channel ChannelInfo getInfo(ChannelInfo java:47) n tat org schabi newpipe util ExtractorHelper lambda getChannelInfo 4(ExtractorHelper java:124) n tat org schabi newpipe util    Lambda ExtractorHelper u5W7VszTe8AoEexIsFM9huQfbkM call(Unknown Source:4) n tat io reactivex internal operators single SingleFromCallable subscribeActual(SingleFromCallable java:44) n tat io reactivex Single subscribe(Single java:3438) n tat io reactivex internal operators single SingleDoOnSuccess subscribeActual(SingleDoOnSuccess java:35) n tat io reactivex Single subscribe(Single java:3438) n tat io reactivex internal operators maybe MaybeFromSingle subscribeActual(MaybeFromSingle java:41) n tat io reactivex Maybe subscribe(Maybe java:4154) n tat io reactivex internal operators maybe MaybeConcatArray ConcatMaybeObserver drain(MaybeConcatArray java:153) n tat io reactivex internal operators maybe MaybeConcatArray ConcatMaybeObserver request(MaybeConcatArray java:78) n tat io reactivex internal operators flowable FlowableElementAtMaybe ElementAtSubscriber onSubscribe(FlowableElementAtMaybe java:66) n tat io reactivex internal operators maybe MaybeConcatArray subscribeActual(MaybeConcatArray java:42) n tat io reactivex Flowable subscribe(Flowable java:14479) n tat io reactivex internal operators flowable FlowableElementAtMaybe subscribeActual(FlowableElementAtMaybe java:36) n tat io reactivex Maybe subscribe(Maybe java:4154) n tat io reactivex internal operators maybe MaybeToSingle subscribeActual(MaybeToSingle java:46) n tat io reactivex Single subscribe(Single java:3438) n tat io reactivex internal operators single SingleSubscribeOn SubscribeOnObserver run(SingleSubscribeOn java:89) n tat io reactivex Scheduler DisposeTask run(Scheduler java:578) n tat io reactivex internal schedulers ScheduledRunnable run(ScheduledRunnable java:66) n tat io reactivex internal schedulers ScheduledRunnable call(ScheduledRunnable java:57) n tat java util concurrent FutureTask run(FutureTask java:266) n tat java util concurrent ScheduledThreadPoolExecutor ScheduledFutureTask run(ScheduledThreadPoolExecutor java:301) n tat java util concurrent ThreadPoolExecutor runWorker(ThreadPoolExecutor java:1167) n tat java util concurrent ThreadPoolExecutor Worker run(ThreadPoolExecutor java:641) n tat java lang Thread run(Thread java:764) n    user comment :   </t>
  </si>
  <si>
    <t>nextcloud-android-6003</t>
  </si>
  <si>
    <t>App crashes when moving many files</t>
  </si>
  <si>
    <t xml:space="preserve">    Steps to reproduce_x000D_
1  Browse cloud files (not local files) _x000D_
2  Open an images folder with 618 images (can t tell how many files you need to reproduce   I have 618 and can reliably reproduce the bug)   This folder also contains another folder named  2020  _x000D_
3  Long press any image file _x000D_
4  Choose the menu button on the upper right corner  _x000D_
5  Choose select all  _x000D_
6  Manually deselect the folder  2020  _x000D_
7  Choose the menu button in the upper right corner  again  _x000D_
8  The app crashes  _x000D_
_x000D_
    Expected behaviour_x000D_
  The app should show a selection screen to choose the folder to move the files into  _x000D_
_x000D_
    Actual behaviour_x000D_
  The app crashes  _x000D_
_x000D_
    Can you reproduce this problem on https:  try nextcloud com _x000D_
  Not applicable  as this is clearly a problem exclusively related to the app  not the web frontend _x000D_
  I even tried nevertheless  but there are simply not enough files to test  _x000D_
_x000D_
    Environment data_x000D_
Android version: 9 1 0_x000D_
Device model: HUAWEI P30 Pro_x000D_
Stock or customized system: Stock_x000D_
_x000D_
Nextcloud app version: 3 11 1_x000D_
_x000D_
Nextcloud server version: 18 0 4 2_x000D_
_x000D_
Reverse proxy:  _x000D_
_x000D_
    Logs_x000D_
     Web server error log_x000D_
   _x000D_
Need info on where to get this  _x000D_
   _x000D_
_x000D_
     Nextcloud log (data nextcloud log)_x000D_
   _x000D_
Need info on where to get this  _x000D_
   _x000D_
</t>
  </si>
  <si>
    <t>material-components-material-components-android-1273</t>
  </si>
  <si>
    <t>[MaterialButton] Material Component Invalid Drawable Tag Vector</t>
  </si>
  <si>
    <t xml:space="preserve">  Description:   Full description of issue here_x000D_
When I use  android:drawable   on an XML drawable my application crash on API   21  when I use  android:icon  with the same XML drawable the application doesn t crash _x000D_
_x000D_
  Expected behavior:   _x000D_
_x000D_
 MaterialButton  displaying the image on top without crashing _x000D_
_x000D_
  Source code:  _x000D_
_x000D_
  layout  _x000D_
   xml_x000D_
 com google android material button MaterialButton_x000D_
    android:id    id btn vote _x000D_
    android:layout width  wrap content _x000D_
    android:layout height  wrap content _x000D_
    android:drawableTop   drawable ic like  _x000D_
   _x000D_
  Vector  _x000D_
   xml_x000D_
 vector xmlns:android  http:  schemas android com apk res android _x000D_
    android:width  20dp _x000D_
    android:height  20dp _x000D_
    android:viewportWidth  22 _x000D_
    android:viewportHeight  20  _x000D_
   path_x000D_
      android:pathData  M0 20H4V8H0V20ZM22 9C22 7 9 21 1 7 20 7H13 69L14 64 2 43L14 67 2 11C14 67 1 7 14 5 1 32 14 23 1 05L13 17 0L6 59 6 59C6 22 6 95 6 7 45 6 8V18C6 19 1 6 9 20 8 20H17C17 83 20 18 54 19 5 18 84 18 78L21 86 11 73C21 95 11 5 22 11 26 22 11V9Z _x000D_
      android:fillColor   FFFFFF   _x000D_
  vector _x000D_
_x000D_
   _x000D_
  Android API version:    19_x000D_
_x000D_
  Material Library version:   Material Android Library version you are using here (e g   1 1 0 alpha07)_x000D_
   gradle_x000D_
android  _x000D_
    compileSdkVersion 29_x000D_
    buildToolsVersion  29 0 3 _x000D_
    dataBinding   enabled   true  _x000D_
_x000D_
    defaultConfig  _x000D_
        minSdkVersion 19_x000D_
        targetSdkVersion 29_x000D_
        vectorDrawables useSupportLibrary   true_x000D_
     _x000D_
 _x000D_
_x000D_
dependencies  _x000D_
_x000D_
    def navigationVersion    2 2 2 _x000D_
    def materialVersion    1 2 0 alpha06 _x000D_
    def retrofitVersion    2 8 1 _x000D_
    def retrofitAdapterVersion    0 9 2 _x000D_
    def coroutinesVersion    1 3 4 _x000D_
    def moshiVersion    1 9 2 _x000D_
    def roomVersion    2 2 5 _x000D_
_x000D_
    implementation fileTree(dir:  libs   include:     jar  )_x000D_
    implementation  org jetbrains kotlin:kotlin stdlib jdk7: kotlin version _x000D_
    implementation  androidx appcompat:appcompat:1 1 0 _x000D_
    implementation  androidx core:core ktx:1 2 0 _x000D_
    implementation  androidx constraintlayout:constraintlayout:1 1 3 _x000D_
    implementation  androidx legacy:legacy support v4:1 0 0 _x000D_
_x000D_
      Preferences Manager_x000D_
    implementation  androidx preference:preference:1 1 1 _x000D_
_x000D_
      Material_x000D_
    implementation  com google android material:material: materialVersion _x000D_
_x000D_
      Navigation_x000D_
    implementation  androidx navigation:navigation fragment ktx: navigationVersion _x000D_
    implementation  androidx navigation:navigation ui ktx: navigationVersion _x000D_
_x000D_
      Glide_x000D_
    kapt  com github bumptech glide:compiler:4 11 0 _x000D_
    implementation  com github bumptech glide:glide:4 11 0 _x000D_
    implementation  com github bumptech glide:annotations:4 11 0 _x000D_
    implementation( com github bumptech glide:okhttp3 integration:4 11 0 ) _x000D_
        exclude group:  glide parent _x000D_
     _x000D_
_x000D_
      OkHttp_x000D_
       Don t update okhttp3:okhttp:3 12 10  this version handle APK   21_x000D_
      noinspection GradleDependency_x000D_
    implementation( com squareup okhttp3:okhttp:3 12 10 )   force   true  _x000D_
    implementation  com squareup okhttp3:logging interceptor:3 12 10 _x000D_
_x000D_
      ViewModel_x000D_
    implementation  androidx lifecycle:lifecycle extensions:2 2 0 _x000D_
_x000D_
      Retrofit_x000D_
    implementation  com squareup retrofit2:retrofit: retrofitVersion _x000D_
    implementation  com squareup retrofit2:converter moshi: retrofitVersion _x000D_
    implementation  com jakewharton retrofit:retrofit2 kotlin coroutines adapter: retrofitAdapterVersion _x000D_
_x000D_
      Moshi_x000D_
    implementation  com squareup moshi:moshi kotlin: moshiVersion _x000D_
    kapt  com squareup moshi:moshi kotlin codegen: moshiVersion _x000D_
_x000D_
      Coroutines_x000D_
    implementation  org jetbrains kotlinx:kotlinx coroutines core: coroutinesVersion _x000D_
    implementation  org jetbrains kotlinx:kotlinx coroutines android: coroutinesVersion _x000D_
_x000D_
    implementation  androidx room:room runtime: roomVersion _x000D_
    annotationProcessor  androidx room:room compiler: roomVersion     For Kotlin use kapt instead of annotationProcessor_x000D_
    implementation  androidx room:room ktx: roomVersion _x000D_
_x000D_
    testImplementation  junit:junit:4 12 _x000D_
    androidTestImplementation  androidx test ext:junit:1 1 1 _x000D_
    androidTestImplementation  androidx test espresso:espresso core:3 2 0 _x000D_
 _x000D_
   _x000D_
_x000D_
  Device:   Samsung S3 Neo</t>
  </si>
  <si>
    <t>opensrp-opensrp-client-growth-monitoring-68</t>
  </si>
  <si>
    <t xml:space="preserve"> Record weight crashing for new records in implementing apps</t>
  </si>
  <si>
    <t xml:space="preserve">      Fix record weight crashing for new records e g  child registered</t>
  </si>
  <si>
    <t>commons-app-apps-android-commons-3725</t>
  </si>
  <si>
    <t>App crashes with failed to initialise OKHTTP client in pre-21 devices</t>
  </si>
  <si>
    <t xml:space="preserve">  Summary:   _x000D_
_x000D_
App crashes with failed to initialize OKHTTP client in pre LoliPop devices_x000D_
  Steps to reproduce:   _x000D_
_x000D_
How can we reproduce the issue  _x000D_
Open the app in  19   devices_x000D_
_x000D_
  System logs:  _x000D_
_x000D_
   _x000D_
java lang ExceptionInInitializerError_x000D_
at okhttp3 internal platform Platform Companion findPlatform(Platform kt:211)_x000D_
at okhttp3 internal platform Platform Companion access findPlatform(Platform kt:179)_x000D_
at okhttp3 internal platform Platform  clinit (Platform kt:180)_x000D_
at okhttp3 OkHttpClient  init (OkHttpClient kt:219)_x000D_
at okhttp3 OkHttpClient Builder build(OkHttpClient kt:955)_x000D_
at fr free nrw commons OkHttpConnectionFactory createClient(OkHttpConnectionFactory java:38)_x000D_
at fr free nrw commons OkHttpConnectionFactory  clinit (OkHttpConnectionFactory java:24)_x000D_
at fr free nrw commons CommonsAppAdapter getOkHttpClient(CommonsAppAdapter java:39)_x000D_
at org wikipedia dataclient ServiceFactory createRetrofit(ServiceFactory java:60)_x000D_
at org wikipedia dataclient ServiceFactory get(ServiceFactory java:27)_x000D_
at fr free nrw commons auth LoginActivity doLogin(LoginActivity java:262)_x000D_
at fr free nrw commons auth LoginActivity performLogin(LoginActivity java:257)_x000D_
at fr free nrw commons auth LoginActivity ViewBinding 1 doClick(LoginActivity ViewBinding java:53)_x000D_
at butterknife internal DebouncingOnClickListener onClick(DebouncingOnClickListener java:18)_x000D_
at android view View performClick(View java:4640)_x000D_
at android view View PerformClick run(View java:19421)_x000D_
at android os Handler handleCallback(Handler java:733)_x000D_
at android os Handler dispatchMessage(Handler java:95)_x000D_
at android os Looper loop(Looper java:146)_x000D_
at android app ActivityThread main(ActivityThread java:5487)_x000D_
at java lang reflect Method invokeNative(Native Method)_x000D_
at java lang reflect Method invoke(Method java:515)_x000D_
at com android internal os ZygoteInit MethodAndArgsCaller run(ZygoteInit java:1283)_x000D_
at com android internal os ZygoteInit main(ZygoteInit java:1099)_x000D_
at dalvik system NativeStart main(Native Method)_x000D_
Caused by: java lang IllegalStateException: Expected Android API level 21  but was 19_x000D_
at okhttp3 internal platform AndroidPlatform  clinit (AndroidPlatform kt:232)_x000D_
   _x000D_
_x000D_
  Device and Android version:   _x000D_
ANDROID VERSION 4 4 2_x000D_
PHONE MODEL GT N5110_x000D_
  Commons app version:   _x000D_
2 12 3_x000D_
_x000D_
  Screen shots:   _x000D_
NA_x000D_
</t>
  </si>
  <si>
    <t>android-tv-samples-29</t>
  </si>
  <si>
    <t>MusicConsumptionExampleFragment crash in Oreo</t>
  </si>
  <si>
    <t xml:space="preserve">The sample application   leanback showcase   crashes at launch upon selecting  MusicConsumptionExampleFragment _x000D_
_x000D_
	2020 05 03 22:37:20 440 3547 3547 com google android tvlauncher E PrtnrWidgetInfoLdr: Exception in onStartLoading() on registering content observer_x000D_
	    java lang SecurityException: Failed to find provider tvlauncher widget for user 0  expected to find a valid ContentProvider for this authority_x000D_
	        at android os Parcel readException(Parcel java:2004)_x000D_
	        at android os Parcel readException(Parcel java:1950)_x000D_
	        at android content IContentService Stub Proxy registerContentObserver(IContentService java:768)_x000D_
	        at android content ContentResolver registerContentObserver(ContentResolver java:1924)_x000D_
	        at android content ContentResolver registerContentObserver(ContentResolver java:1913)_x000D_
	        at com google android tvlauncher data PartnerWidgetInfoLoader onStartLoading(PartnerWidgetInfoLoader java:66)_x000D_
	        at android content Loader startLoading(Loader java:290)_x000D_
	        at android app LoaderManagerImpl LoaderInfo start(LoaderManager java:283)_x000D_
	        at android app LoaderManagerImpl doStart(LoaderManager java:783)_x000D_
	        at android app Fragment onStart(Fragment java:1631)_x000D_
	        at com google android tvlauncher home HomeFragment onStart(HomeFragment java:239)_x000D_
	        at android app Fragment performStart(Fragment java:2534)_x000D_
	        at android app FragmentManagerImpl moveToState(FragmentManager java:1315)_x000D_
	        at android app FragmentManagerImpl moveFragmentToExpectedState(FragmentManager java:1557)_x000D_
	        at android app FragmentManagerImpl moveToState(FragmentManager java:1618)_x000D_
	        at android app FragmentManagerImpl dispatchMoveToState(FragmentManager java:3027)_x000D_
	        at android app FragmentManagerImpl dispatchStart(FragmentManager java:2984)_x000D_
	        at android app FragmentController dispatchStart(FragmentController java:189)_x000D_
	        at android app Activity performStart(Activity java:7035)_x000D_
	        at android app Activity performRestart(Activity java:7104)_x000D_
	        at android app Activity performResume(Activity java:7109)_x000D_
	        at android app ActivityThread performResumeActivity(ActivityThread java:3556)_x000D_
	        at android app ActivityThread handleResumeActivity(ActivityThread java:3621)_x000D_
	        at android app ActivityThread H handleMessage(ActivityThread java:1638)_x000D_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2020 05 03 22:37:20 441 3547 918 com google android tvlauncher E ActivityThread: Failed to find provider info for tvlauncher widget_x000D_
</t>
  </si>
  <si>
    <t>TeamNewPipe-NewPipe-3524</t>
  </si>
  <si>
    <t>0.19.3 instant crash</t>
  </si>
  <si>
    <t xml:space="preserve">   Exception_x000D_
    User Action:   ui error_x000D_
    Request:   App crash  UI failure_x000D_
    Content Language:   en GB_x000D_
    Service:   none_x000D_
    Version:   0 19 3_x000D_
    OS:   Linux motorola channel reteu channel:9 PPY29 105 134 e13ed:user release keys 9   28_x000D_
1  set the language to polish_x000D_
(havent tested other languages yet)_x000D_
2  try to load  whats new page _x000D_
_x000D_
 details  summary  b Crash log  b   summary  p _x000D_
_x000D_
   _x000D_
java util FormatFlagsConversionMismatchException: Conversion   s  Flags   _x000D_
	at java util Formatter FormatSpecifier failMismatch(Formatter java:4398)_x000D_
	at java util Formatter FormatSpecifier checkBadFlags(Formatter java:3091)_x000D_
	at java util Formatter FormatSpecifier checkGeneral(Formatter java:3049)_x000D_
	at java util Formatter FormatSpecifier (Formatter java:2816)_x000D_
	at java util Formatter FormatSpecifierParser (Formatter java:2624)_x000D_
	at java util Formatter parse(Formatter java:2557)_x000D_
	at java util Formatter format(Formatter java:2504)_x000D_
	at java util Formatter format(Formatter java:2458)_x000D_
	at java lang String format(String java:2883)_x000D_
	at android content res Resources getString(Resources java:466)_x000D_
	at androidx fragment app Fragment getString(Fragment java:873)_x000D_
	at org schabi newpipe local feed FeedFragment updateRefreshViewState(FeedFragment kt:283)_x000D_
	at org schabi newpipe local feed FeedFragment updateRelativeTimeViews(FeedFragment kt:273)_x000D_
	at org schabi newpipe local feed FeedFragment onResume(FeedFragment kt:83)_x000D_
	at androidx fragment app Fragment performResume(Fragment java:2649)_x000D_
	at androidx fragment app FragmentManagerImpl moveToState(FragmentManagerImpl java:922)_x000D_
	at androidx fragment app FragmentManagerImpl moveFragmentToExpectedState(FragmentManagerImpl java:1238)_x000D_
	at androidx fragment app FragmentManagerImpl moveToState(FragmentManagerImpl java:1303)_x000D_
	at androidx fragment app BackStackRecord executeOps(BackStackRecord java:439)_x000D_
	at androidx fragment app FragmentManagerImpl executeOps(FragmentManagerImpl java:2079)_x000D_
	at androidx fragment app FragmentManagerImpl executeOpsTogether(FragmentManagerImpl java:1869)_x000D_
	at androidx fragment app FragmentManagerImpl removeRedundantOperationsAndExecute(FragmentManagerImpl java:1824)_x000D_
	at androidx fragment app FragmentManagerImpl execPendingActions(FragmentManagerImpl java:1727)_x000D_
	at androidx fragment app FragmentManagerImpl 2 run(FragmentManagerImpl java:150)_x000D_
	at android os Handler handleCallback(Handler java:873)_x000D_
	at android os Handler dispatchMessage(Handler java:99)_x000D_
	at android os Looper loop(Looper java:193)_x000D_
	at android app ActivityThread main(ActivityThread java:6923)_x000D_
	at java lang reflect Method invoke(Native Method)_x000D_
	at com android internal os RuntimeInit MethodAndArgsCaller run(RuntimeInit java:493)_x000D_
	at com android internal os ZygoteInit main(ZygoteInit java:870)_x000D_
_x000D_
   _x000D_
  p   details _x000D_
 hr _x000D_
</t>
  </si>
  <si>
    <t>gnalberski-GNv1-11</t>
  </si>
  <si>
    <t>[GN] [Main Menu] Crash when User taps 'List of robots' button.</t>
  </si>
  <si>
    <t xml:space="preserve">Branch: development_x000D_
Application crash when User taps  List of robots  button _x000D_
Scenario:_x000D_
1  Launch app_x000D_
2  Tap  List of robots  button    crash_x000D_
_x000D_
Logs:  java lang IllegalStateException: Could not find method Listarobotow1(View) in a parent or ancestor Context for android:onClick attribute defined on view class android support v7 widget AppCompatButton with id  button2 _x000D_
        at android support v7 app AppCompatViewInflater DeclaredOnClickListener resolveMethod(AppCompatViewInflater java:424)_x000D_
        at android support v7 app AppCompatViewInflater DeclaredOnClickListener onClick(AppCompatViewInflater java:381)_x000D_
        at android view View performClick(View java:6608)_x000D_
        at android view View performClickInternal(View java:6585)_x000D_
        at android view View access 3100(View java:785)_x000D_
        at android view View PerformClick run(View java:25921)_x000D_
        at android os Handler handleCallback(Handler java:873)_x000D_
        at android os Handler dispatchMessage(Handler java:99)_x000D_
        at android os Looper loop(Looper java:201)_x000D_
        at android app ActivityThread main(ActivityThread java:6810)_x000D_
        at java lang reflect Method invoke(Native Method)_x000D_
        at com android internal os RuntimeInit MethodAndArgsCaller run(RuntimeInit java:547)_x000D_
        at com android internal os ZygoteInit main(ZygoteInit java:873) </t>
  </si>
  <si>
    <t>nextcloud-android-5999</t>
  </si>
  <si>
    <t xml:space="preserve">App crashed while uploading  usually on large uploads _x000D_
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java lang SecurityException: Caller no longer running  last stopped  1s454ms because: timed out while starting_x000D_
	at android os Parcel createException(Parcel java:1966)_x000D_
	at android os Parcel readException(Parcel java:1934)_x000D_
	at android os Parcel readException(Parcel java:1884)_x000D_
	at android app job IJobCallback Stub Proxy dequeueWork(IJobCallback java:195)_x000D_
	at android app job JobParameters dequeueWork(JobParameters java:248)_x000D_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Caused by: android os RemoteException: Remote stack trace:_x000D_
	at com android server job JobServiceContext assertCallerLocked(JobServiceContext java:595)_x000D_
	at com android server job JobServiceContext doDequeueWork(JobServiceContext java:473)_x000D_
	at com android server job JobServiceContext JobCallback dequeueWork(JobServiceContext java:187)_x000D_
	at android app job IJobCallback Stub onTransact(IJobCallback java:83)_x000D_
	at android os Binder execTransact(Binder java:731)_x000D_
_x000D_
_x000D_
             APP INFORMATION             _x000D_
ID: com nextcloud client_x000D_
Version: 30110190_x000D_
Build flavor: gplay_x000D_
_x000D_
             DEVICE INFORMATION             _x000D_
Brand: OPPO_x000D_
Device: OP48A1_x000D_
Model: CPH1979_x000D_
Id: PPR1 180610 011_x000D_
Product: CPH1979_x000D_
_x000D_
             FIRMWARE             _x000D_
SDK: 28_x000D_
Release: 9_x000D_
Incremental: 1581782976_x000D_
</t>
  </si>
  <si>
    <t>nextcloud-android-5998</t>
  </si>
  <si>
    <t xml:space="preserve">Android App crashing while while uploading huge amounts </t>
  </si>
  <si>
    <t xml:space="preserve">    Steps to reproduce_x000D_
1  Activate auto upload (   with option to upload old files   pictures   also option  that pictures get sorted by year   month ) _x000D_
2  Have a ton of old pictures (In my case around 14 000)_x000D_
(when uploading only a few pictures  app doesn t crash) _x000D_
3  App will crash _x000D_
(app has to be restarted every few secons  sometimes app starts  but will crash after a short amount of time  most times it will crash while loading) _x000D_
_x000D_
    Expected behaviour_x000D_
App should not crash _x000D_
_x000D_
    Actual behaviour_x000D_
App crashes (with the error message)_x000D_
_x000D_
_x000D_
    Error Log_x000D_
_x000D_
    Environment data_x000D_
Android version:_x000D_
_x000D_
Device model: _x000D_
_x000D_
Stock or customized system: _x000D_
_x000D_
Nextcloud app version:_x000D_
_x000D_
Nextcloud server version:_x000D_
_x000D_
Nextcloud abgest rzt_x000D_
             CAUSE OF ERROR             _x000D_
_x000D_
java lang IllegalArgumentException: reportSizeConfigurations: ActivityRecord not found for: Token 50fbb87 ActivityRecord 3608fc6 u0 com nextcloud client com owncloud android ui activity UploadListActivity t33041 f  _x000D_
	at android os Parcel readException(Parcel java:1669)_x000D_
	at android os Parcel readException(Parcel java:1618)_x000D_
	at android app ActivityManagerProxy reportSizeConfigurations(ActivityManagerNative java:6885)_x000D_
	at android app ActivityThread reportSizeConfigurations(ActivityThread java:2934)_x000D_
	at android app ActivityThread handleLaunchActivity(ActivityThread java:2877)_x000D_
	at android app ActivityThread  wrap12(ActivityThread java)_x000D_
	at android app ActivityThread H handleMessage(ActivityThread java:1570)_x000D_
	at android os Handler dispatchMessage(Handler java:105)_x000D_
	at android os Looper loop(Looper java:156)_x000D_
	at android app ActivityThread main(ActivityThread java:6595)_x000D_
	at java lang reflect Method invoke(Native Method)_x000D_
	at com android internal os ZygoteInit MethodAndArgsCaller run(ZygoteInit java:942)_x000D_
	at com android internal os ZygoteInit main(ZygoteInit java:832)_x000D_
_x000D_
             APP INFORMATION             _x000D_
ID: com nextcloud client_x000D_
Version: 30110190_x000D_
Build flavor: gplay_x000D_
_x000D_
             DEVICE INFORMATION             _x000D_
Brand: HONOR_x000D_
Device: HWSTF_x000D_
Model: STF L09_x000D_
Id: HUAWEISTF L09_x000D_
Product: STF L09_x000D_
_x000D_
             FIRMWARE             _x000D_
SDK: 24_x000D_
Release: 7 0_x000D_
Incremental: C432B183_x000D_
_x000D_
</t>
  </si>
  <si>
    <t>forrestguice-SuntimesWidget-408</t>
  </si>
  <si>
    <t>NullPointerException when refreshing location</t>
  </si>
  <si>
    <t xml:space="preserve">1  Settings    User Interface    Show Moon    uncheck this option_x000D_
2  Set Location    Current (last known)    update_x000D_
_x000D_
The app crashes with the following exception:_x000D_
   _x000D_
2020 05 03 00:11:17 715 473 473 com forrestguice suntimeswidget E AndroidRuntime: FATAL EXCEPTION: main_x000D_
    Process: com forrestguice suntimeswidget  PID: 473_x000D_
    java lang NullPointerException: Attempt to invoke virtual method  void com forrestguice suntimeswidget calculator SuntimesMoonData invalidateCalculation()  on a null object reference_x000D_
        at com forrestguice suntimeswidget SuntimesActivity invalidateData(SuntimesActivity java:1449)_x000D_
        at com forrestguice suntimeswidget SuntimesActivity 8 onStart(SuntimesActivity java:840)_x000D_
        at com forrestguice suntimeswidget getfix GetFixTask onPreExecute(GetFixTask java:165)_x000D_
        at android os AsyncTask executeOnExecutor(AsyncTask java:648)_x000D_
        at com forrestguice suntimeswidget getfix GetFixTask executeTask(GetFixTask java:64)_x000D_
        at com forrestguice suntimeswidget getfix GetFixHelper getFix(GetFixHelper java:126)_x000D_
        at com forrestguice suntimeswidget SuntimesActivity 17 onClick(SuntimesActivity java:1244)_x000D_
        at com forrestguice suntimeswidget LocationConfigDialog 4 onClick(LocationConfigDialog java:324)_x000D_
        at android view View performClick(View java:6597)_x000D_
        at android view View performClickInternal(View java:6574)_x000D_
        at android view View access 3100(View java:778)_x000D_
        at android view View PerformClick run(View java:25885)_x000D_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_x000D_
_x000D_
This is also the same bug  _x000D_
1  Settings    User Interface    Show Moon    uncheck this option_x000D_
2  Open the app at 11:59 PM and wait a minute_x000D_
_x000D_
The app will crash at midnight with the following exception:_x000D_
   _x000D_
2020 05 03 00:00:00 705 32738 32738 com forrestguice suntimeswidget E AndroidRuntime: FATAL EXCEPTION: main_x000D_
    Process: com forrestguice suntimeswidget  PID: 32738_x000D_
    java lang RuntimeException: Error receiving broadcast Intent   act suntimes SUNTIMES APP UPDATE FULL flg 0x14 (has extras)   in com forrestguice suntimeswidget SuntimesActivity 1 34fd3b3_x000D_
        at android app LoadedApk ReceiverDispatcher Args lambda getRunnable 0(LoadedApk java:1401)_x000D_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Caused by: java lang NullPointerException: Attempt to invoke virtual method  void com forrestguice suntimeswidget calculator SuntimesMoonData invalidateCalculation()  on a null object reference_x000D_
        at com forrestguice suntimeswidget SuntimesActivity invalidateData(SuntimesActivity java:1449)_x000D_
        at com forrestguice suntimeswidget SuntimesActivity 1 onReceive(SuntimesActivity java:507)_x000D_
        at android app LoadedApk ReceiverDispatcher Args lambda getRunnable 0(LoadedApk java:1391)_x000D_
        at android app    Lambda LoadedApk ReceiverDispatcher Args  BumDX2UKsnxLVrE6UJsJZkotuA run(Unknown Source:2) _x000D_
        at android os Handler handleCallback(Handler java:873) _x000D_
        at android os Handler dispatchMessage(Handler java:99) _x000D_
        at android os Looper loop(Looper java:193) _x000D_
        at android app ActivityThread main(ActivityThread java:6669) _x000D_
        at java lang reflect Method invoke(Native Method) _x000D_
        at com android internal os RuntimeInit MethodAndArgsCaller run(RuntimeInit java:493) _x000D_
        at com android internal os ZygoteInit main(ZygoteInit java:858) _x000D_
   _x000D_
_x000D_
This one is similar but different (same root cause)  _x000D_
1  Settings    General    Data Source    sunrisesunsetlib_x000D_
2  Settings    User Interface    Show Moon    verify checked_x000D_
3  Settings    User Interface    Show Solstice Equinox    uncheck_x000D_
4  Set Location    Current (last known)    update_x000D_
_x000D_
The app crashes with the following exception:_x000D_
   _x000D_
2020 05 03 10:25:54 350 2744 2744 com forrestguice suntimeswidget E AndroidRuntime: FATAL EXCEPTION: main_x000D_
    Process: com forrestguice suntimeswidget  PID: 2744_x000D_
    java lang NullPointerException: Attempt to invoke virtual method  void com forrestguice suntimeswidget calculator SuntimesEquinoxSolsticeDataset invalidateCalculation()  on a null object reference_x000D_
        at com forrestguice suntimeswidget SuntimesActivity invalidateData(SuntimesActivity java:1450)_x000D_
        at com forrestguice suntimeswidget SuntimesActivity 8 onStart(SuntimesActivity java:840)_x000D_
        at com forrestguice suntimeswidget getfix GetFixTask onPreExecute(GetFixTask java:165)_x000D_
        at android os AsyncTask executeOnExecutor(AsyncTask java:648)_x000D_
        at com forrestguice suntimeswidget getfix GetFixTask executeTask(GetFixTask java:64)_x000D_
        at com forrestguice suntimeswidget getfix GetFixHelper getFix(GetFixHelper java:126)_x000D_
        at com forrestguice suntimeswidget SuntimesActivity refreshLocation(SuntimesActivity java:1208)_x000D_
        at com forrestguice suntimeswidget SuntimesActivity onOptionsItemSelected(SuntimesActivity java:1126)_x000D_
        at android app Activity onMenuItemSelected(Activity java:3543)_x000D_
        at android support v4 app FragmentActivity onMenuItemSelected(FragmentActivity java:408)_x000D_
        at android support v7 app AppCompatActivity onMenuItemSelected(AppCompatActivity java:195)_x000D_
        at android support v7 view WindowCallbackWrapper onMenuItemSelected(WindowCallbackWrapper java:113)_x000D_
        at android support v7 view WindowCallbackWrapper onMenuItemSelected(WindowCallbackWrapper java:113)_x000D_
        at android support v7 app ToolbarActionBar 2 onMenuItemClick(ToolbarActionBar java:69)_x000D_
        at android support v7 widget Toolbar 1 onMenuItemClick(Toolbar java:206)_x000D_
        at android support v7 widget ActionMenuView MenuBuilderCallback onMenuItemSelected(ActionMenuView java:776)_x000D_
        at android support v7 view menu MenuBuilder dispatchMenuItemSelected(MenuBuilder java:822)_x000D_
        at android support v7 view menu MenuItemImpl invoke(MenuItemImpl java:156)_x000D_
        at android support v7 view menu MenuBuilder performItemAction(MenuBuilder java:969)_x000D_
        at android support v7 view menu MenuBuilder performItemAction(MenuBuilder java:959)_x000D_
        at android support v7 widget ActionMenuView invokeItem(ActionMenuView java:623)_x000D_
        at android support v7 view menu ActionMenuItemView onClick(ActionMenuItemView java:154)_x000D_
        at android view View performClick(View java:6597)_x000D_
        at android view View performClickInternal(View java:6574)_x000D_
        at android view View access 3100(View java:778)_x000D_
        at android view View PerformClick run(View java:25885)_x000D_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_x000D_
_x000D_
These exceptions were introduced in  v0 12 0  during refactor to RecyclerView </t>
  </si>
  <si>
    <t>Tencent-QMUI_Android-910</t>
  </si>
  <si>
    <t>打开页面快速滑动返回会出现Crash（2.0.0-alpha08）</t>
  </si>
  <si>
    <t xml:space="preserve">            _x000D_
_x000D_
   x          xiaomi 6 _x000D_
   x            Android 9 0 _x000D_
   x  Gradle       5 4 1 _x000D_
   x  QMUI Android     2 0 0 alpha08 _x000D_
_x000D_
              _x000D_
             Crash      swipeback                _x000D_
_x000D_
_x000D_
                  _x000D_
   _x000D_
2020 05 02 20:28:44 017 13115 13115 com example demo I QMUIFragment: SwipeListener:onSwipeBackBegin: moveEdge   1_x000D_
2020 05 02 20:28:44 020 13115 13115 com example demo I QMUIFragment: can not use cache swipeBackLayout  this may happen if invoke popBackStack duration fragment transition_x000D_
2020 05 02 20:28:44 034 13115 13115 com example demo E InputEventReceiver: Exception dispatching input event _x000D_
2020 05 02 20:28:44 371 13115 13115 com example demo A example interco: java vm ext cc:542  JNI DETECTED ERROR IN APPLICATION: JNI CallVoidMethodV called with pending exception java lang IllegalStateException: Views added to a FragmentContainerView must be associated with a Fragment  View com qmuiteam qmui arch SwipeBackLayout 1ec426c V E             I  0 0 0 0  is not associated with a Fragment _x000D_
2020 05 02 20:28:44 371 13115 13115 com example demo A example interco: java vm ext cc:542    at void androidx fragment app FragmentContainerView addView(android view View  int  android view ViewGroup LayoutParams) (FragmentContainerView java:276)_x000D_
2020 05 02 20:28:44 371 13115 13115 com example demo A example interco: java vm ext cc:542    at void android view ViewGroup addView(android view View  int) (ViewGroup java:4809)_x000D_
2020 05 02 20:28:44 371 13115 13115 com example demo A example interco: java vm ext cc:542    at void com qmuiteam qmui arch QMUIFragment 6 addViewInSwipeBack(android view ViewGroup  android view View  int) (QMUIFragment java:770)_x000D_
2020 05 02 20:28:44 371 13115 13115 com example demo A example interco: java vm ext cc:542    at void com qmuiteam qmui arch QMUIFragment 6 access 1000(com qmuiteam qmui arch QMUIFragment 6  android view ViewGroup  android view View  int) (QMUIFragment java:570)_x000D_
2020 05 02 20:28:44 371 13115 13115 com example demo A example interco: java vm ext cc:542    at boolean com qmuiteam qmui arch QMUIFragment 6 2 handle(java lang Object) (QMUIFragment java:714)_x000D_
2020 05 02 20:28:44 371 13115 13115 com example demo A example interco: java vm ext cc:542    at void com qmuiteam qmui arch Utils findAndModifyOpInBackStackRecord(androidx fragment app FragmentManager  int  com qmuiteam qmui arch Utils OpHandler) (Utils java:173)_x000D_
2020 05 02 20:28:44 371 13115 13115 com example demo A example interco: java vm ext cc:542    at void com qmuiteam qmui arch QMUIFragment 6 onSwipeBackBegin(int  int) (QMUIFragment java:686)_x000D_
2020 05 02 20:28:44 371 13115 13115 com example demo A example interco: java vm ext cc:542    at void com qmuiteam qmui arch SwipeBackLayout onSwipeBackBegin() (SwipeBackLayout java:744)_x000D_
2020 05 02 20:28:44 371 13115 13115 com example demo A example interco: java vm ext cc:542    at int com qmuiteam qmui arch SwipeBackLayout selectDragDirection(float  float) (SwipeBackLayout java:337)_x000D_
2020 05 02 20:28:44 371 13115 13115 com example demo A example interco: java vm ext cc:542    at boolean com qmuiteam qmui arch SwipeBackLayout onTouchEvent(android view MotionEvent) (SwipeBackLayout java:444)_x000D_
2020 05 02 20:28:44 371 13115 13115 com example demo A example interco: java vm ext cc:542    at boolean android view View dispatchTouchEvent(android view MotionEvent) (View java:12527)_x000D_
2020 05 02 20:28:44 371 13115 13115 com example demo A example interco: java vm ext cc:542    at boolean android view ViewGroup dispatchTransformedTouchEvent(android view MotionEvent  boolean  android view View  int) (ViewGroup java:3026)_x000D_
2020 05 02 20:28:44 371 13115 13115 com example demo A example interco: java vm ext cc:542    at boolean android view ViewGroup dispatchTouchEvent(android view MotionEvent) (ViewGroup java:2705)_x000D_
2020 05 02 20:28:44 371 13115 13115 com example demo A example interco: java vm ext cc:542    at boolean android view ViewGroup dispatchTransformedTouchEvent(android view MotionEvent  boolean  android view View  int) (ViewGroup java:3032)_x000D_
2020 05 02 20:28:44 371 13115 13115 com example demo A example interco: java vm ext cc:542    at boolean android view ViewGroup dispatchTouchEvent(android view MotionEvent) (ViewGroup java:2719)_x000D_
2020 05 02 20:28:44 371 13115 13115 com example demo A example interco: java vm ext cc:542    at boolean android view ViewGroup dispatchTransformedTouchEvent(android view MotionEvent  boolean  android view View  int) (ViewGroup java:3032)_x000D_
2020 05 02 20:28:44 372 13115 13115 com example demo A example interco: java vm ext cc:542    at boolean android view ViewGroup dispatchTouchEvent(android view MotionEvent) (ViewGroup java:2719)_x000D_
2020 05 02 20:28:44 372 13115 13115 com example demo A example interco: java vm ext cc:542    at boolean android view ViewGroup dispatchTransformedTouchEvent(android view MotionEvent  boolean  android view View  int) (ViewGroup java:3032)_x000D_
2020 05 02 20:28:44 372 13115 13115 com example demo A example interco: java vm ext cc:542    at boolean android view ViewGroup dispatchTouchEvent(android view MotionEvent) (ViewGroup java:2719)_x000D_
2020 05 02 20:28:44 372 13115 13115 com example demo A example interco: java vm ext cc:542    at boolean android view ViewGroup dispatchTransformedTouchEvent(android view MotionEvent  boolean  android view View  int) (ViewGroup java:3032)_x000D_
2020 05 02 20:28:44 372 13115 13115 com example demo A example interco: java vm ext cc:542    at boolean android view ViewGroup dispatchTouchEvent(android view MotionEvent) (ViewGroup java:2719)_x000D_
2020 05 02 20:28:44 372 13115 13115 com example demo A example interco: java vm ext cc:542    at boolean android view ViewGroup dispatchTransformedTouchEvent(android view MotionEvent  boolean  android view View  int) (ViewGroup java:3032)_x000D_
2020 05 02 20:28:44 372 13115 13115 com example demo A example interco: java vm ext cc:542    at boolean android view ViewGroup dispatchTouchEvent(android view MotionEvent) (ViewGroup java:2719)_x000D_
2020 05 02 20:28:44 372 13115 13115 com example demo A example interco: java vm ext cc:542    at boolean android view ViewGroup dispatchTransformedTouchEvent(android view MotionEvent  boolean  android view View  int) (ViewGroup java:3032)_x000D_
2020 05 02 20:28:44 372 13115 13115 com example demo A example interco: java vm ext cc:542    at boolean android view ViewGroup dispatchTouchEvent(android view MotionEvent) (ViewGroup java:2719)_x000D_
2020 05 02 20:28:44 372 13115 13115 com example demo A example interco: java vm ext cc:542    at boolean android view ViewGroup dispatchTransformedTouchEvent(android view MotionEvent  boolean  android view View  int) (ViewGroup java:3032)_x000D_
2020 05 02 20:28:44 372 13115 13115 com example demo A example interco: java vm ext cc:542    at boolean android view ViewGroup dispatchTouchEvent(android view MotionEvent) (ViewGroup java:2719)_x000D_
2020 05 02 20:28:44 372 13115 13115 com example demo A example interco: java vm ext cc:542    at boolean com android internal policy DecorView superDispatchTouchEvent(android view MotionEvent) (DecorView java:444)_x000D_
2020 05 02 20:28:44 372 13115 13115 com example demo A example interco: java vm ext cc:542    at boolean com android internal policy PhoneWindow superDispatchTouchEvent(android view MotionEvent) (PhoneWindow java:1830)_x000D_
2020 05 02 20:28:44 372 13115 13115 com example demo A example interco: java vm ext cc:542    at boolean android app Activity dispatchTouchEvent(android view MotionEvent) (Activity java:3465)_x000D_
2020 05 02 20:28:44 372 13115 13115 com example demo A example interco: java vm ext cc:542    at boolean androidx appcompat view WindowCallbackWrapper dispatchTouchEvent(android view MotionEvent) (WindowCallbackWrapper java:69)_x000D_
2020 05 02 20:28:44 372 13115 13115 com example demo A example interco: java vm ext cc:542    at boolean com android internal policy DecorView dispatchTouchEvent(android view MotionEvent) (DecorView java:402)_x000D_
2020 05 02 20:28:44 372 13115 13115 com example demo A example interco: java vm ext cc:542    at boolean android view View dispatchPointerEvent(android view MotionEvent) (View java:12768)_x000D_
2020 05 02 20:28:44 372 13115 13115 com example demo A example interco: java vm ext cc:542    at int android view ViewRootImpl ViewPostImeInputStage processPointerEvent(android view ViewRootImpl QueuedInputEvent) (ViewRootImpl java:5290)_x000D_
2020 05 02 20:28:44 372 13115 13115 com example demo A example interco: java vm ext cc:542    at int android view ViewRootImpl ViewPostImeInputStage onProcess(android view ViewRootImpl QueuedInputEvent) (ViewRootImpl java:5090)_x000D_
2020 05 02 20:28:44 372 13115 13115 com example demo A example interco: java vm ext cc:542    at void android view ViewRootImpl InputStage deliver(android view ViewRootImpl QueuedInputEvent) (ViewRootImpl java:4605)_x000D_
2020 05 02 20:28:44 372 13115 13115 com example demo A example interco: java vm ext cc:542    at void android view ViewRootImpl InputStage onDeliverToNext(android view ViewRootImpl QueuedInputEvent) (ViewRootImpl java:4658)_x000D_
2020 05 02 20:28:44 372 13115 13115 com example demo A example interco: java vm ext cc:542    at void android view ViewRootImpl InputStage forward(android view ViewRootImpl QueuedInputEvent) (ViewRootImpl java:4624)_x000D_
2020 05 02 20:28:44 372 13115 13115 com example demo A example interco: java vm ext cc:542    at void android view ViewRootImpl AsyncInputStage forward(android view ViewRootImpl QueuedInputEvent) (ViewRootImpl java:4764)_x000D_
2020 05 02 20:28:44 372 13115 13115 com example demo A example interco: java vm ext cc:542    at void android view ViewRootImpl InputStage apply(android view ViewRootImpl QueuedInputEvent  int) (ViewRootImpl java:4632)_x000D_
2020 05 02 20:28:44 372 13115 13115 com example demo A example interco: java vm ext cc:542    at void android view ViewRootImpl AsyncInputStage apply(android view ViewRootImpl QueuedInputEvent  int) (ViewRootImpl java:4821)_x000D_
2020 05 02 20:28:44 372 13115 13115 com example demo A example interco: java vm ext cc:542    at void android view ViewRootImpl InputStage deliver(android view ViewRootImpl QueuedInputEvent) (ViewRootImpl java:4605)_x000D_
2020 05 02 20:28:44 372 13115 13115 com example demo A example interco: java vm ext cc:542    at void android view ViewRootImpl InputStage onDeliverToNext(android view ViewRootImpl QueuedInputEvent) (ViewRootImpl java:4658)_x000D_
2020 05 02 20:28:44 372 13115 13115 com example demo A example interco: java vm ext cc:542    at void android view ViewRootImpl InputStage forward(android view ViewRootImpl QueuedInputEvent) (ViewRootImpl java:4624)_x000D_
2020 05 02 20:28:44 372 13115 13115 com example demo A example interco: java vm ext cc:542    at void android view ViewRootImpl InputStage apply(android view ViewRootImpl QueuedInputEvent  int) (ViewRootImpl java:4632)_x000D_
2020 05 02 20:28:44 372 13115 13115 com example demo A example interco: java vm ext cc:542    at void android view ViewRootImpl InputStage deliver(android view ViewRootImpl QueuedInputEvent) (ViewRootImpl java:4605)_x000D_
2020 05 02 20:28:44 372 13115 13115 com example demo A example interco: java vm ext cc:542    at void android view ViewRootImpl deliverInputEvent(android view ViewRootImpl QueuedInputEvent) (ViewRootImpl java:7335)_x000D_
2020 05 02 20:28:44 372 13115 13115 com example demo A example interco: java vm ext cc:542    at void android view ViewRootImpl doProcessInputEvents() (ViewRootImpl java:7302)_x000D_
2020 05 02 20:28:44 372 13115 13115 com example demo A example interco: java vm ext cc:542    at void android view ViewRootImpl enqueueInputEvent(android view InputEvent  android view InputEventReceiver  int  boolean) (ViewRootImpl java:7263)_x000D_
2020 05 02 20:28:44 372 13115 13115 com example demo A example interco: java vm ext cc:542    at void android view ViewRootImpl WindowInputEventReceiver onInputEvent(android view InputEvent  int) (ViewRootImpl java:7443)_x000D_
2020 05 02 20:28:44 372 13115 13115 com example demo A example interco: java vm ext cc:542    at void android view InputEventReceiver dispatchInputEvent(int  android view InputEvent  int) (InputEventReceiver java:254)_x000D_
2020 05 02 20:28:44 372 13115 13115 com example demo A example interco: java vm ext cc:542    at boolean android view InputEventReceiver nativeConsumeBatchedInputEvents(long  long) (InputEventReceiver java: 2)_x000D_
2020 05 02 20:28:44 372 13115 13115 com example demo A example interco: java vm ext cc:542    at boolean android view InputEventReceiver consumeBatchedInputEvents(long) (InputEventReceiver java:214)_x000D_
2020 05 02 20:28:44 372 13115 13115 com example demo A example interco: java vm ext cc:542    at void android view ViewRootImpl doConsumeBatchedInput(long) (ViewRootImpl java:7411)_x000D_
2020 05 02 20:28:44 372 13115 13115 com example demo A example interco: java vm ext cc:542    at void android view ViewRootImpl ConsumeBatchedInputRunnable run() (ViewRootImpl java:7466)_x000D_
2020 05 02 20:28:44 372 13115 13115 com example demo A example interco: java vm ext cc:542    at void android view Choreographer CallbackRecord run(long) (Choreographer java:1041)_x000D_
2020 05 02 20:28:44 372 13115 13115 com example demo A example interco: java vm ext cc:542    at void android view Choreographer doCallbacks(int  long) (Choreographer java:836)_x000D_
2020 05 02 20:28:44 372 13115 13115 com example demo A example interco: java vm ext cc:542    at void android view Choreographer doFrame(long  int) (Choreographer java:765)_x000D_
2020 05 02 20:28:44 372 13115 13115 com example demo A example interco: java vm ext cc:542    at void android view Choreographer FrameDisplayEventReceiver run() (Choreographer java:1027)_x000D_
2020 05 02 20:28:44 372 13115 13115 com example demo A example interco: java vm ext cc:542    at void android os Handler handleCallback(android os Message) (Handler java:873)_x000D_
2020 05 02 20:28:44 372 13115 13115 com example demo A example interco: java vm ext cc:542    at void android os Handler dispatchMessage(android os Message) (Handler java:99)_x000D_
2020 05 02 20:28:44 372 13115 13115 com example demo A example interco: java vm ext cc:542    at void android os Looper loop() (Looper java:207)_x000D_
2020 05 02 20:28:44 372 13115 13115 com example demo A example interco: java vm ext cc:542    at void android app ActivityThread main(java lang String  ) (ActivityThread java:6878)_x000D_
2020 05 02 20:28:44 372 13115 13115 com example demo A example interco: java vm ext cc:542    at java lang Object java lang reflect Method invoke(java lang Object  java lang Object  ) (Method java: 2)_x000D_
2020 05 02 20:28:44 372 13115 13115 com example demo A example interco: java vm ext cc:542    at void com android internal os RuntimeInit MethodAndArgsCaller run() (RuntimeInit java:547)_x000D_
2020 05 02 20:28:44 372 13115 13115 com example demo A example interco: java vm ext cc:542    at void com android internal os ZygoteInit main(java lang String  ) (ZygoteInit java:876)_x000D_
2020 05 02 20:28:44 372 13115 13115 com example demo A example interco: java vm ext cc:542  _x000D_
2020 05 02 20:28:44 372 13115 13115 com example demo A example interco: java vm ext cc:542      in call to CallVoidMethodV_x000D_
2020 05 02 20:28:44 372 13115 13115 com example demo A example interco: java vm ext cc:542      from boolean android view InputEventReceiver nativeConsumeBatchedInputEvents(long  long)_x000D_
2020 05 02 20:28:44 372 13115 13115 com example demo A example interco: java vm ext cc:542   main  prio 5 tid 1 Runnable_x000D_
2020 05 02 20:28:44 372 13115 13115 com example demo A example interco: java vm ext cc:542      group  main  sCount 0 dsCount 0 flags 0 obj 0x78bd4e20 self 0xf1548000_x000D_
2020 05 02 20:28:44 372 13115 13115 com example demo A example interco: java vm ext cc:542      sysTid 13115 nice  10 cgrp default sched 0 0 handle 0xf5428494_x000D_
2020 05 02 20:28:44 372 13115 13115 com example demo A example interco: java vm ext cc:542      state R schedstat ( 3913824199 246864357 2541 ) utm 344 stm 47 core 6 HZ 100_x000D_
2020 05 02 20:28:44 372 13115 13115 com example demo A example interco: java vm ext cc:542      stack 0xff02d000 0xff02f000 stackSize 8MB_x000D_
2020 05 02 20:28:44 372 13115 13115 com example demo A example interco: java vm ext cc:542      held mutexes   mutator lock (shared held)_x000D_
2020 05 02 20:28:44 372 13115 13115 com example demo A example interco: java vm ext cc:542    native:  00 pc 002db597   system lib libart so (art::DumpNativeStack(std::  1::basic ostream char  std::  1::char traits char     int  BacktraceMap   char const   art::ArtMethod   void   bool) 134)_x000D_
2020 05 02 20:28:44 372 13115 13115 com example demo A example interco: java vm ext cc:542    native:  01 pc 00373737   system lib libart so (art::Thread::DumpStack(std::  1::basic ostream char  std::  1::char traits char     bool  BacktraceMap   bool) const 210)_x000D_
2020 05 02 20:28:44 372 13115 13115 com example demo A example interco: java vm ext cc:542    native:  02 pc 0036fe05   system lib libart so (art::Thread::Dump(std::  1::basic ostream char  std::  1::char traits char     bool  BacktraceMap   bool) const 36)_x000D_
2020 05 02 20:28:44 372 13115 13115 com example demo A example interco: java vm ext cc:542    native:  03 pc 002331cb   system lib libart so (art::JavaVMExt::JniAbort(char const   char const ) 694)_x000D_
2020 05 02 20:28:44 372 13115 13115 com example demo A example interco: java vm ext cc:542    native:  04 pc 0023352b   system lib libart so (art::JavaVMExt::JniAbortV(char const   char const   std::  va list) 58)_x000D_
2020 05 02 20:28:44 372 13115 13115 com example demo A example interco: java vm ext cc:542    native:  05 pc 000c4eaf   system lib libart so (art::(anonymous namespace)::ScopedCheck::AbortF(char const      ) 42)_x000D_
2020 05 02 20:28:44 372 13115 13115 com example demo A example interco: java vm ext cc:542    native:  06 pc 000c3b41   system lib libart so (art::(anonymous namespace)::ScopedCheck::CheckPossibleHeapValue(art::ScopedObjectAccess   char  art::(anonymous namespace)::JniValueType) 1052)_x000D_
2020 05 02 20:28:44 372 13115 13115 com example demo A example interco: java vm ext cc:542    native:  07 pc 000c302d   system lib libart so (art::(anonymous namespace)::ScopedCheck::Check(art::ScopedObjectAccess   bool  char const   art::(anonymous namespace)::JniValueType ) 624)_x000D_
2020 05 02 20:28:44 372 13115 13115 com example demo A example interco: java vm ext cc:542    native:  08 pc 000c7967   system lib libart so (art::(anonymous namespace)::CheckJNI::CheckCallArgs(art::ScopedObjectAccess   art::(anonymous namespace)::ScopedCheck    JNIEnv    jobject    jclass    jmethodID   art::InvokeType  art::(anonymous namespace)::VarArgs const ) 94)_x000D_
2020 05 02 20:28:44 372 13115 13115 com example demo A example interco: java vm ext cc:542    native:  09 pc 000c6b97   system lib libart so (art::(anonymous namespace)::CheckJNI::CallMethodV(char const    JNIEnv    jobject    jclass    jmethodID   std::  va list  art::Primitive::Type  art::InvokeType) 506)_x000D_
2020 05 02 20:28:44 372 13115 13115 com example demo A example interco: java vm ext cc:542    native:  10 pc 000b85b5   system lib libart so (art::(anonymous namespace)::CheckJNI::CallVoidMethodV( JNIEnv    jobject    jmethodID   std::  va list) 44)_x000D_
2020 05 02 20:28:44 372 13115 13115 com example demo A example interco: java vm ext cc:542    native:  11 pc 0008396d   system lib libandroid runtime so ( JNIEnv::CallVoidMethod( jobject    jmethodID      ) 28)_x000D_
2020 05 02 20:28:44 372 13115 13115 com example demo A example interco: java vm ext cc:542    native:  12 pc 000a508b   system lib libandroid runtime so (android::NativeInputEventReceiver::consumeEvents( JNIEnv   bool  long long  bool ) 190)_x000D_
2020 05 02 20:28:44 372 13115 13115 com example demo A example interco: java vm ext cc:542    native:  13 pc 000a62cf   system lib libandroid runtime so (android::nativeConsumeBatchedInputEvents( JNIEnv    jclass   long long  long long) 58)_x000D_
2020 05 02 20:28:44 372 13115 13115 com example demo A example interco: java vm ext cc:542    native:  14 pc 00f08529   system framework arm boot framework oat (offset 9f0000) (android database sqlite SQLiteConnection nativeExecuteForBlobFileDescriptor  DEDUPED  120)_x000D_
2020 05 02 20:28:44 372 13115 13115 com example demo A example interco: java vm ext cc:542    native:  15 pc 0006e0d9   anonymous:d8520000  (android view InputEventReceiver consumeBatchedInputEvents 104)_x000D_
2020 05 02 20:28:44 372 13115 13115 com example demo A example interco: java vm ext cc:542    native:  16 pc 00413375   system lib libart so (art quick invoke stub internal 68)_x000D_
2020 05 02 20:28:44 372 13115 13115 com example demo A example interco: java vm ext cc:542    native:  17 pc 003ecca1   system lib libart so (art quick invoke stub 224)_x000D_
2020 05 02 20:28:44 372 13115 13115 com example demo A example interco: java vm ext cc:542    native:  18 pc 000a1c8d   system lib libart so (art::ArtMethod::Invoke(art::Thread   unsigned int   unsigned int  art::JValue   char const ) 136)_x000D_
2020 05 02 20:28:44 372 13115 13115 com example demo A example interco: java vm ext cc:542    native:  19 pc 001e6e95   system lib libart so (art::interpreter::ArtInterpreterToCompiledCodeBridge(art::Thread   art::ArtMethod   art::ShadowFrame   unsigned short  art::JValue ) 236)_x000D_
2020 05 02 20:28:44 372 13115 13115 com example demo A example interco: java vm ext cc:542    native:  20 pc 001e198f   system lib libart so (bool art::interpreter::DoCall false  false (art::ArtMethod   art::Thread   art::ShadowFrame   art::Instruction const   unsigned short  art::JValue ) 814)_x000D_
2020 05 02 20:28:44 372 13115 13115 com example demo A example interco: java vm ext cc:542    native:  21 pc 003e78ff   system lib libart so (MterpInvokeVirtual 442)_x000D_
2020 05 02 20:28:44 372 13115 13115 com example demo A example interco: java vm ext cc:542    native:  22 pc 00406094   system lib libart so (ExecuteMterpImpl 14228)_x000D_
2020 05 02 20:28:44 372 13115 13115 com example demo A example interco: java vm ext cc:542    native:  23 pc 00d75936   system framework boot framework vdex (android view ViewRootImpl doConsumeBatchedInput 26)_x000D_
2020 05 02 20:28:44 372 13115 13115 com example demo A example interco: java vm ext cc:542    native:  24 pc 001c610b   system lib libart so ( ZN3art11interpreterL7ExecuteEPNS 6ThreadERKNS 20CodeItemDataAccessorERNS 11ShadowFrameENS 6JValueEb llvm 1192137911 378)_x000D_
2020 05 02 20:28:44 372 13115 13115 com example demo A example interco: java vm ext cc:542    native:  25 pc 001ca737   system lib libart so (art::interpreter::EnterInterpreterFromEntryPoint(art::Thread   art::CodeItemDataAccessor const   art::ShadowFrame ) 82)_x000D_
2020 05 02 20:28:44 372 13115 13115 com example demo A example interco: java vm ext cc:542    native:  26 pc 003db401   system lib libart so (artQuickToInterpreterBridge 880)_x000D_
2020 05 02 20:28:44 372 13115 13115 com example demo A example interco: java vm ext cc:542    native:  27 pc 004178ff   system lib libart so (art quick to interpreter bridge 30)_x000D_
2020 05 02 20:28:44 372 13115 13115 com example demo A example interco: java vm ext cc:542    native:  28 pc 00074a43   anonymous:d8520000  (android view ViewRootImpl ConsumeBatchedInputRunnable run 82)_x000D_
2020 05 02 20:28:44 372 13115 13115 com example demo A example interco: java vm ext cc:542    native:  29 pc 00062f1b   anonymous:d8520000  (android view Choreographer CallbackRecord run 186)_x000D_
2020 05 02 20:28:44 372 13115 13115 com example demo A example interco: java vm ext cc:542    native:  30 pc 00051731   anonymous:d8520000  (android view Choreographer doCallbacks 496)_x000D_
2020 05 02 20:28:44 372 13115 13115 com example demo A example interco: java vm ext cc:542    native:  31 pc 0005d651   anonymous:d8520000  (android view Choreographer doFrame 848)_x000D_
2020 05 02 20:28:44 372 13115 13115 com example demo A example interco: java vm ext cc:542    native:  32 pc 00071f05   anonymous:d8520000  (android view Choreographer FrameDisplayEventReceiver run 68)_x000D_
2020 05 02 20:28:44 372 13115 13115 com example demo A example interco: java vm ext cc:542    native:  33 pc 00413375   system lib libart so (art quick invoke stub internal 68)_x000D_
2020 05 02 20:28:44 372 13115 13115 com example demo A example interco: java vm ext cc:542    native:  34 pc 003ecca1   system lib libart so (art quick invoke stub 224)_x000D_
2020 05 02 20:28:44 372 13115 13115 com example demo A example interco: java vm ext cc:542    native:  35 pc 000a1c8d   system lib libart so (art::ArtMethod::Invoke(art::Thread   unsigned int   unsigned int  art::JValue   char const ) 136)_x000D_
2020 05 02 20:28:44 372 13115 13115 com example demo A example interco: java vm ext cc:542    native:  36 pc 001e6e95   system lib libart so (art::interpreter::ArtInterpreterToCompiledCodeBridge(art::Thread   art::ArtMethod   art::ShadowFrame   unsigned short  art::JValue ) 236)_x000D_
2020 05 02 20:28:44 372 13115 13115 com example demo A example interco: java vm ext cc:542    native:  37 pc 001e198f   system lib libart so (bool art::interpreter::DoCall false  false (art::ArtMethod   art::Thread   art::ShadowFrame   art::Instruction const   unsigned short  art::JValue ) 814)_x000D_
2020 05 02 20:28:44 372 13115 13115 com example demo A example interco: java vm ext cc:542    native:  38 pc 003e84cf   system lib libart so (MterpInvokeInterface 1010)_x000D_
2020 05 02 20:28:44 372 13115 13115 com example demo A example interco: java vm ext cc:542    native:  39 pc 00406294   system lib libart so (ExecuteMterpImpl 14740)_x000D_
2020 05 02 20:28:44 372 13115 13115 com example demo A example interco: java vm ext cc:542    native:  40 pc 00bd5eca   system framework boot framework vdex (android os Handler handleCallback 4)_x000D_
2020 05 02 20:28:44 372 13115 13115 com example demo A example interco: java vm ext cc:542    native:  41 pc 001c610b   system lib libart so ( ZN3art11interpreterL7ExecuteEPNS 6ThreadERKNS 20CodeItemDataAccessorERNS 11ShadowFrameENS 6JValueEb llvm 1192137911 378)_x000D_
2020 05 02 20:28:44 372 13115 13115 com example demo A example interco: java vm ext cc:542    native:  42 pc 001ca7f1   system lib libart so (art::interpreter::ArtInterpreterToInterpreterBridge(art::Thread   art::CodeItemDataAccessor const   art::ShadowFrame   art::JValue ) 152)_x000D_
2020 05 02 20:28:44 372 13115 13115 com example demo A example interco: java vm ext cc:542    native:  43 pc 001e1977   system lib libart so (bool art::interpreter::DoCall false  false (art::ArtMethod   art::Thread   art::ShadowFrame   art::Instruction const   unsigned short  art::JValue ) 790)_x000D_
2020 05 02 20:28:44 372 13115 13115 com example demo A example interco: java vm ext cc:542    native:  44 pc 003e88db   system lib libart so (MterpInvokeStatic 130)_x000D_
2020 05 02 20:28:44 373 13115 13115 com example demo A example interco: java vm ext cc:542    native:  45 pc 00406214   system lib libart so (ExecuteMterpImpl 14612)_x000D_
2020 05 02 20:28:44 373 13115 13115 com example demo A example interco: java vm ext cc:542    native:  46 pc 00bd5d58   system framework boot framework vdex (android os Handler dispatchMessage 8)_x000D_
2020 05 02 20:28:44 373 13115 13115 com example demo A example interco: java vm ext cc:542    native:  47 pc 001c610b   system lib libart so ( ZN3art11interpreterL7ExecuteEPNS 6ThreadERKNS 20CodeItemDataAccessorERNS 11ShadowFrameENS 6JValueEb llvm 1192137911 378)_x000D_
2020 05 02 20:28:44 373 13115 13115 com example demo A example interco: java vm ext cc:542    native:  48 pc 001ca7f1   system lib libart so (art::interpreter::ArtInterpreterToInterpreterBridge(art::Thread   art::CodeItemDataAccessor const   art::ShadowFrame   art::JValue ) 152)_x000D_
2020 05 02 20:28:44 373 13115 13115 com example demo A example interco: java vm ext cc:542    native:  49 pc 001e1977   system lib libart so (bool art::interpreter::DoCall false  false (art::ArtMethod   art::Thread   art::ShadowFrame   art::Instruction const   unsigned short  art::JValue ) 790)_x000D_
2020 05 02 20:28:44 373 13115 13115 com example demo A example interco: java vm ext cc:542    native:  50 pc 003e78ff   system lib libart so (MterpInvokeVirtual 442)_x000D_
2020 05 02 20:28:44 373 13115 13115 com example demo A example interco: java vm ext cc:542    native:  51 pc 00406094   system lib libart so (ExecuteMterpImpl 14228)_x000D_
2020 05 02 20:28:44 373 13115 13115 com example demo A example interco: java vm ext cc:542    native:  52 pc 00be88d4   system framework boot framework vdex (android os Looper loop 420)_x000D_
2020 05 02 20:28:44 373 13115 13115 com example demo A example interco: java vm ext cc:542    native:  53 pc 001c610b   system lib libart so ( ZN3art11interpreterL7ExecuteEPNS 6ThreadERKNS 20CodeItemDataAccessorERNS 11ShadowFrameENS 6JValueEb llvm 1192137911 378)_x000D_
2020 05 02 20:28:44 373 13115 13115 com example demo A example interco: java vm ext cc:542    native:  54 pc 001ca7f1   system lib libart so (art::interpreter::ArtInterpreterToInterpreterBridge(art::Thread   art::CodeItemDataAccessor const   art::ShadowFrame   art::JValue ) 152)_x000D_
2020 05 02 20:28:44 373 13115 13115 com example demo A example interco: java vm ext cc:542    native:  55 pc 001e1977   system lib libart so (bool art::interpreter::DoCall false  false (art::ArtMethod   art::Thread   art::ShadowFrame   art::Instruction const   unsigned short  art::JValue ) 790)_x000D_
2020 05 02 20:28:44 373 13115 13115 com example demo A example interco: java vm ext cc:542    native:  56 pc 003e88db   system lib libart so (MterpInvokeStatic 130)_x000D_
2020 05 02 20:28:44 373 13115 13115 com example demo A example interco: java vm ext cc:542    native:  57 pc 00406214   system lib libart so (ExecuteMterpImpl 14612)_x000D_
2020 05 02 20:28:44 373 13115 13115 com example demo A example interco: java vm ext cc:542    native:  58 pc 0043de86   system framework boot framework vdex (android app ActivityThread main 214)_x000D_
2020 05 02 20:28:44 373 13115 13115 com example demo A example interco: java vm ext cc:542    native:  59 pc 001c610b   system lib libart so ( ZN3art11interpreterL7ExecuteEPNS 6ThreadERKNS 20CodeItemDataAccessorERNS 11ShadowFrameENS 6JValueEb llvm 1192137911 378)_x000D_
2020 05 02 20:28:44 373 13115 13115 com example demo A example interco: java vm ext cc:542    native:  60 pc 001ca737   system lib libart so (art::interpreter::EnterInterpreterFromEntryPoint(art::Thread   art::CodeItemDataAccessor const   art::ShadowFrame ) 82)_x000D_
2020 05 02 20:28:44 373 13115 13115 com example demo A example interco: java vm ext cc:542    native:  61 pc 003db401   system lib libart so (artQuickToInterpreterBridge 880)_x000D_
2020 05 02 20:28:44 373 13115 13115 com example demo A example interco: java vm ext cc:542    native:  62 pc 004178ff   system lib libart so (art quick to interpreter bridge 30)_x000D_
2020 05 02 20:28:44 373 13115 13115 com example demo A example interco: java vm ext cc:542    native:  63 pc 00413375   system lib libart so (art quick invoke stub internal 68)_x000D_
2020 05 02 20:28:44 373 13115 13115 com example demo A example interco: java vm ext cc:542    native:  64 pc 003ecda3   system lib libart so (art quick invoke static stub 222)_x000D_
2020 05 02 20:28:44 373 13115 13115 com example demo A example interco: java vm ext cc:542    native:  65 pc 000a1c9f   system lib libart so (art::ArtMethod::Invoke(art::Thread   unsigned int   unsigned int  art::JValue   char const ) 154)_x000D_
2020 05 02 20:28:44 373 13115 13115 com example demo A example interco: java vm ext cc:542    native:  66 pc 00349d4d   system lib libart so (art::(anonymous namespace)::InvokeWithArgArray(art::ScopedObjectAccessAlreadyRunnable const   art::ArtMethod   art::(anonymous namespace)::ArgArray   art::JValue   char const ) 52)_x000D_
2020 05 02 20:28:44 373 13115 13115 com example demo A example interco: java vm ext cc:542    native:  67 pc 0034b19d   system lib libart so (art::InvokeMethod(art::ScopedObjectAccessAlreadyRunnable const    jobject    jobject    jobject   unsigned int) 1024)_x000D_
2020 05 02 20:28:44 373 13115 13115 com example demo A example interco: java vm ext cc:542    native:  68 pc 002fcf75   system lib libart so (art::Method invoke( JNIEnv    jobject    jobject    jobjectArray ) 40)_x000D_
2020 05 02 20:28:44 373 13115 13115 com example demo A example interco: java vm ext cc:542    native:  69 pc 006abee7   system framework arm boot core oj oat (offset 2ca000) (java lang Class getDeclaredMethodInternal  DEDUPED  110)_x000D_
2020 05 02 20:28:44 373 13115 13115 com example demo A example interco: java vm ext cc:542    native:  70 pc 00413375   system lib libart so (art quick invoke stub internal 68)_x000D_
2020 05 02 20:28:44 373 13115 13115 com example demo A example interco: java vm ext cc:542    native:  71 pc 003ecca1   system lib libart so (art quick invoke stub 224)_x000D_
2020 05 02 20:28:44 373 13115 13115 com example demo A example interco: java vm ext cc:542    native:  72 pc 000a1c8d   system lib libart so (art::ArtMethod::Invoke(art::Thread   unsigned int   unsigned int  art::JValue   char const ) 136)_x000D_
2</t>
  </si>
  <si>
    <t>vehiloco-crypto-checker-4</t>
  </si>
  <si>
    <t>Crash when running with wigle-wifi-wardriving.</t>
  </si>
  <si>
    <t xml:space="preserve">If use Checker Framework 3 3 0  it will crash when running with  wigle wifi wardriving (https:  github com xwt benchmarks wigle wifi wardriving) _x000D_
_x000D_
Travis log: https:  travis ci org github vehiloco crypto checker jobs 671024587_x000D_
_x000D_
TODO: come up with a minimum test case  then report to typetools checker framework </t>
  </si>
  <si>
    <t>nextcloud-android-5995</t>
  </si>
  <si>
    <t>Crash when autouploading</t>
  </si>
  <si>
    <t xml:space="preserve">    Steps to reproduce_x000D_
1  Set large folder to auto upload_x000D_
2  See the app crash continuosly_x000D_
_x000D_
    Expected behaviour_x000D_
  The folder should fully upload_x000D_
_x000D_
    Actual behaviour_x000D_
  The app has been crashing for days and the amount of conflicts keeps increasing too  which makes the crashing worse_x000D_
_x000D_
             CAUSE OF ERROR             _x000D_
_x000D_
java lang IllegalStateException: Couldn t read row 1918  col 1 from CursorWindow   Make sure the Cursor is initialized correctly before accessing data from it _x000D_
	at android database CursorWindow nativeGetString(Native Method)_x000D_
	at android database CursorWindow getString(CursorWindow java:469)_x000D_
	at android database AbstractWindowedCursor getString(AbstractWindowedCursor java:53)_x000D_
	at android database CursorWrapper getString(CursorWrapper java:141)_x000D_
	at com owncloud android datamodel UploadsStorageManager createOCUploadFromCursor(UploadsStorageManager java:321)_x000D_
	at com owncloud android datamodel UploadsStorageManager getUploads(UploadsStorageManager java:302)_x000D_
	at com owncloud android datamodel UploadsStorageManager getFailedUploads(UploadsStorageManager java:368)_x000D_
	at com owncloud android files services FileUploader retryFailedUploads(FileUploader java:1005)_x000D_
	at com owncloud android utils FilesSyncHelper lambda restartJobsIfNeeded 0(FilesSyncHelper java:232)_x000D_
	at com owncloud android utils    Lambda FilesSyncHelper fa2LBpPOxRVQOm4F Glue5u4hdM run(Unknown Source:10)_x000D_
	at java lang Thread run(Thread java:919)_x000D_
_x000D_
             APP INFORMATION             _x000D_
ID: com nextcloud client_x000D_
Version: 30110190_x000D_
Build flavor: gplay_x000D_
_x000D_
             DEVICE INFORMATION             _x000D_
Brand: OnePlus_x000D_
Device: OnePlus7Pro_x000D_
Model: GM1913_x000D_
Id: QKQ1 190716 003_x000D_
Product: OnePlus7Pro EEA_x000D_
_x000D_
             FIRMWARE             _x000D_
SDK: 29_x000D_
Release: 10_x000D_
Incremental: 2003131900_x000D_
</t>
  </si>
  <si>
    <t>TeamNewPipe-NewPipe-3512</t>
  </si>
  <si>
    <t>Too Much Recaptcha</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</si>
  <si>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2_x000D_
_x000D_
    Steps to reproduce the bug_x000D_
    _x000D_
1  Do anything that interacts with YouTube _x000D_
   _x000D_
Do anything that interacts with YouTube_x000D_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 expect to be able to watch videos and view channels and refresh feeds etc_x000D_
    Actual behaviour_x000D_
     Tell us what happens instead     _x000D_
I get shown a Recaptcha but once doing it nothing happens_x000D_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It didn t crash or break or recognise a bug so I have no logs</t>
  </si>
  <si>
    <t>inaturalist-iNaturalistAndroid-818</t>
  </si>
  <si>
    <t>NullPointerException in ACTION_GET_USER_OBSERVATIONS</t>
  </si>
  <si>
    <t xml:space="preserve">https:  console firebase google com u 2 project inaturalist ios crashlytics app android:org inaturalist android issues 922edbcc4ac8218ab434fa7e4dab0eb3 time last seven days sessionId 5EABCD99014400013B67E2E0F3C6D439 DNE 0 v2_x000D_
_x000D_
   _x000D_
Fatal Exception: java lang NullPointerException: Attempt to invoke virtual method  org json JSONObject org inaturalist android BetterJSONObject getJSONObject()  on a null object reference_x000D_
       at org inaturalist android INaturalistService onHandleIntentWorker(INaturalistService java:1308)_x000D_
       at org inaturalist android INaturalistService 1 run(INaturalistService java:613)_x000D_
       at java lang Thread run(Thread java:764)_x000D_
   </t>
  </si>
  <si>
    <t>doublesymmetry-react-native-track-player-924</t>
  </si>
  <si>
    <t>Crash when in the url there is no streaming content</t>
  </si>
  <si>
    <t xml:space="preserve">  Describe the bug  _x000D_
The app crashes when i put an url that has no streaming content (like www google com) in IOS on release  If i use an invalid url like  hello  it doesnt happen_x000D_
  To Reproduce  _x000D_
Use the code and run the app on release mode on IOS_x000D_
_x000D_
  Environment (please complete the following information):  _x000D_
_x000D_
  System:_x000D_
      OS: macOS 10 15 3_x000D_
      CPU: (8) x64 Intel(R) Core(TM) i7 4870HQ CPU   2 50GHz_x000D_
      Memory: 786 83 MB   16 00 GB_x000D_
      Shell: 5 7 1    bin zsh_x000D_
    Binaries:_x000D_
      Node: 13 10 1      nvm versions node v13 10 1 bin node_x000D_
      Yarn: 1 22 1      nvm versions node v13 10 1 bin yarn_x000D_
      npm: 6 13 7      nvm versions node v13 10 1 bin npm_x000D_
      Watchman: 4 9 0    usr local bin watchman_x000D_
    Managers:_x000D_
      CocoaPods: 1 9 1    usr local bin pod_x000D_
    SDKs:_x000D_
      iOS SDK:_x000D_
        Platforms: iOS 13 4  DriverKit 19 0  macOS 10 15  tvOS 13 4  watchOS 6 2_x000D_
      Android SDK:_x000D_
        Android NDK: 21 1 6352462_x000D_
    IDEs:_x000D_
      Android Studio: 3 6 AI 192 7142 36 36 6392135_x000D_
      Xcode: 11 4 1 11E503a    usr bin xcodebuild_x000D_
    Languages:_x000D_
      Java: javac 12    usr bin javac_x000D_
      Python: 2 7 16    usr bin python_x000D_
    npmPackages:_x000D_
       react native community cli: Not Found_x000D_
      react: 16 11 0    16 11 0_x000D_
      react native: 0 62 2    0 62 2_x000D_
    npmGlobalPackages:_x000D_
       react native : Not Found_x000D_
_x000D_
What  react native track player  version are you using _x000D_
Im using the 1 2 3 version_x000D_
Are you testing on a real device or in the simulator  Which OS version are you running _x000D_
It happens on real device and in the simulator_x000D_
_x000D_
  Code  _x000D_
   _x000D_
const prueba    _x000D_
      id: 1 _x000D_
      artwork:  https:  softfabrics com mx images galleria factura 01 jpg  _x000D_
      title:  prueba  _x000D_
      artist:  artist  _x000D_
      url:  www google com _x000D_
      _x000D_
    await TrackPlayer add(prueba) _x000D_
    await TrackPlayer play() _x000D_
   </t>
  </si>
  <si>
    <t>ElderDrivers-EdXposed-526</t>
  </si>
  <si>
    <t>[BUG] Invalid monitor state ForwardingAddress</t>
  </si>
  <si>
    <t xml:space="preserve">       What happened   _x000D_
These crashes occur quite often in  random  packages apps _x000D_
The stack trace seem pretty much useless but they do have one thing in common:_x000D_
The app wanted to access one of its resources stored in its apk (like strings  layouts    ) and failed_x000D_
   _x000D_
Fatal signal 6 (SIGABRT)  code  6 (SI TKILL) in tid 2838 (Binder:2732 1)  pid 2732_x000D_
                                                               _x000D_
LineageOS Version:  16 0 20200427 NIGHTLY klte _x000D_
Build fingerprint:  samsung kltexx klte:6 0 1 MMB29M G900FXXU1CRH1:user release keys _x000D_
Revision:  14 _x000D_
ABI:  arm _x000D_
pid: 2732  tid: 2838  name: Binder:2732 1_x000D_
signal 6 (SIGABRT)  code  6 (SI TKILL)  fault addr         _x000D_
Abort message:  monitor cc:1120  Invalid monitor state ForwardingAddress _x000D_
    r0  00000000  r1  00000b16  r2  00000006  r3  00000008_x000D_
    r4  00000aac  r5  00000b16  r6  8900a1b4  r7  0000010c_x000D_
    r8  00000002  r9  00000000  r10 cfffffff  r11 a36f28a8_x000D_
    ip  00000041  sp  8900a1a0  lr  a5273125  pc  a526ae4a_x000D_
   _x000D_
_x000D_
  Xposed     Xposed Module List  _x000D_
_x000D_
   _x000D_
com alex193a gmdtenabler_x000D_
com aviraxp messagingnoquickreply_x000D_
com ceco pie gravitybox_x000D_
com crossbowffs noautoshortcut_x000D_
com fifsource android noplaygames_x000D_
com hazemam InstantScreenOff_x000D_
com marz instaprefs_x000D_
com mayulive swiftkeyexi_x000D_
de Maxr1998 xposed maxlock_x000D_
de binarynoise logfailedxsharedpreferences_x000D_
de defim apk howgivelolli_x000D_
eu faircode xlua_x000D_
me rapperskull burnttoastrevived_x000D_
net darkion uniformedtransitions_x000D_
org meowcat edxposed manager_x000D_
tk wasdennnoch scoop_x000D_
tw fatminmin xposed minminguard_x000D_
tw idv palatis xappdebug_x000D_
   _x000D_
_x000D_
  Magisk     Magisk Module List  _x000D_
   _x000D_
acp_x000D_
aml_x000D_
busybox ndk_x000D_
disable screenshot camera sounds_x000D_
hosts_x000D_
magisk whatsapp emojis_x000D_
mm_x000D_
riru core_x000D_
riru edxposed sandhook_x000D_
ssh_x000D_
   _x000D_
_x000D_
  EdXposed Riru   Versions of EdXposed and Riru  _x000D_
_x000D_
EdXposed: v0 4 6 3 (4545)  installed thru magager (had similar issues with v0 4 5 1  see  432)_x000D_
_x000D_
Riru: v19 7_x000D_
_x000D_
    Logcat Logcat  _x000D_
see above_x000D_
</t>
  </si>
  <si>
    <t>fossasia-phimpme-android-3043</t>
  </si>
  <si>
    <t>Crashes on launch on Android Q</t>
  </si>
  <si>
    <t>Downloaded from Google Play  tap the app icon to launch it  immediately crashes _x000D_
_x000D_
Phone: Oneplus 7 Pro_x000D_
OS: LineageOS 17 1_x000D_
Appver: 1 10 0 13</t>
  </si>
  <si>
    <t>iNPUTmice-Conversations-3682</t>
  </si>
  <si>
    <t>App crashes on tablet when audio calling</t>
  </si>
  <si>
    <t xml:space="preserve">     General information_x000D_
_x000D_
    Version:   2 8 0_x000D_
    Device:   Samsung Tab A 2016 SM T580_x000D_
    Android Version:    Android 9 (LineageOS)_x000D_
    Server name:   jabber de_x000D_
    Conversations source:   PlayStore_x000D_
_x000D_
     Steps to reproduce_x000D_
_x000D_
when calling via the app on 2 tablets  the completely crashes and closes  the app crashes when the called party accepts the call  Video calls work without problems  Calling also works on mobile phones (with LineageOS)  has any other similar problems _x000D_
_x000D_
i would also like to be able to switch the calls to speakers  an associated button is of course also missing  I would also find it good if a call sign could be heard for the caller  now all you have to do is look at the display to see if the call has already been answered _x000D_
_x000D_
I know that the function is only new  there may be a bug or two</t>
  </si>
  <si>
    <t>morenoh149-react-native-contacts-516</t>
  </si>
  <si>
    <t>Contacts.getAll() crashes Android app when permissions are not granted</t>
  </si>
  <si>
    <t xml:space="preserve">  Expected Behaviour:_x000D_
_x000D_
If permissions are not granted  the callback should be called  with the  error  field being non null undefined _x000D_
_x000D_
   _x000D_
    Contacts getAll((err  contacts)     _x000D_
           err should be defined_x000D_
     )_x000D_
   _x000D_
_x000D_
  Actual Behaviour:_x000D_
_x000D_
App crashes completely  React Native does not even have the chance to catch the error _x000D_
_x000D_
  My code:_x000D_
_x000D_
   typescript_x000D_
async function requestPermissions()  _x000D_
  let status   await PermissionsAndroid request(PermissionsAndroid PERMISSIONS READ CONTACTS)_x000D_
  console log( status   status)_x000D_
 _x000D_
_x000D_
async function contactsGetAll(): Promise Contact     _x000D_
  await requestPermissions()_x000D_
  console log( permissions )_x000D_
  return new Promise((res  rej)     _x000D_
    Contacts getAll((err  contacts)     _x000D_
      console log( err   err)_x000D_
      if (err)    rej(err)   _x000D_
     else   res(contacts)  _x000D_
     )_x000D_
   )_x000D_
 _x000D_
_x000D_
contacts: Contact     await contactsGetAll()_x000D_
   _x000D_
_x000D_
  console log output:_x000D_
_x000D_
   typescript_x000D_
status: never ask again_x000D_
permissions_x000D_
   crashes_x000D_
   _x000D_
_x000D_
  Workaround fix:_x000D_
_x000D_
Check permissions before calling  Contacts getAll() _x000D_
_x000D_
   typescript_x000D_
  let status   await PermissionsAndroid request(PermissionsAndroid PERMISSIONS READ CONTACTS)_x000D_
  if (status      denied     status      never ask again )  _x000D_
    throw Error( Permissions not granted to access Contacts )_x000D_
   _x000D_
Contacts getAll((err  contacts)      )_x000D_
   </t>
  </si>
  <si>
    <t>ankidroid-Anki-Android-6089</t>
  </si>
  <si>
    <t>Crash when clicking on deck options</t>
  </si>
  <si>
    <t xml:space="preserve">       Reproduction Steps_x000D_
_x000D_
1  Press and hold on a deck _x000D_
2  Click on  Options _x000D_
_x000D_
       Expected Result_x000D_
_x000D_
Should go to the options menu for that deck  I have a couple of decks that do not exhibit this behaviour and they are in the same options group _x000D_
_x000D_
       Actual Result_x000D_
_x000D_
The program crashes _x000D_
_x000D_
       Debug info_x000D_
_x000D_
AnkiDroid Version   2 9 6_x000D_
Android Version   6 0 1_x000D_
ACRA UUID   2715152f 1201 4c3b 882e 8b2535d4be30_x000D_
_x000D_
       Research_x000D_
 Enter an   x   character to confirm the points below: _x000D_
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t>
  </si>
  <si>
    <t>google-ExoPlayer-7306</t>
  </si>
  <si>
    <t>Not allowed to start service, app is in background</t>
  </si>
  <si>
    <t xml:space="preserve">     REQUIRED  Issue description_x000D_
When disable foreground service  DownloadService restarting will trigger IllegalStateException  since app is in background  invoking startService is not permitted _x000D_
_x000D_
     REQUIRED  Reproduction steps_x000D_
  There is downloads in queue because of network requirement is not met_x000D_
  app is in background_x000D_
  network requirement is met_x000D_
  restartService() trigger crash_x000D_
_x000D_
     REQUIRED  Link to test content_x000D_
None_x000D_
_x000D_
    A full bug report captured from the device_x000D_
   _x000D_
java lang IllegalStateException: Not allowed to start service Intent   act com google android exoplayer downloadService action INIT cmp app podcast cosmos io iftech android podcast player remote ffcache FFDownloadService  : app is in background uid UidRecord 8df726c u0a474 RCVR bg: 1h7m27s763ms idle change:uncached procs:3 seq(0 0 0) _x000D_
    at android app ContextImpl startServiceCommon(ContextImpl java:1720)_x000D_
    at android app ContextImpl startService(ContextImpl java:1675)_x000D_
    at android content ContextWrapper startService(ContextWrapper java:669)_x000D_
    at com google android exoplayer2 offline DownloadService DownloadManagerHelper onDownloadsPausedChanged(DownloadService java:18)_x000D_
    at com google android exoplayer2 offline DownloadService DownloadManagerHelper onWaitingForRequirementsChanged(DownloadService java:14)_x000D_
    at com google android exoplayer2 offline DownloadManager notifyWaitingForRequirementsChanged(DownloadManager java:2)_x000D_
    at com google android exoplayer2 offline DownloadManager lambda 9oihGmKoXEDrfeODE3DbaHprOHM(DownloadManager java:45)_x000D_
    at com google android exoplayer2 offline DownloadManager lambda 9oihGmKoXEDrfeODE3DbaHprOHM_x000D_
    at com google android exoplayer2 offline    Lambda DownloadManager 9oihGmKoXEDrfeODE3DbaHprOHM onRequirementsStateChanged_x000D_
    at com google android exoplayer2 scheduler RequirementsWatcher checkRequirements(RequirementsWatcher java:4)_x000D_
    at com google android exoplayer2 scheduler RequirementsWatcher access 200(RequirementsWatcher java:1)_x000D_
    at com google android exoplayer2 scheduler RequirementsWatcher NetworkCallback lambda onNetworkCallback 0(RequirementsWatcher java:2)_x000D_
    at com google android exoplayer2 scheduler    Lambda RequirementsWatcher NetworkCallback 791AAbo2y2AoEG LWG4fQV9 Ibc run_x000D_
    at android os Handler handleCallback(Handler java:888)_x000D_
    at android os Handler dispatchMessage(Handler java:100)_x000D_
    at android os Looper loop(Looper java:213)_x000D_
    at android app ActivityThread main(ActivityThread java:8169)_x000D_
    at java lang reflect Method invoke(Method java)_x000D_
    at com android internal os RuntimeInit MethodAndArgsCaller run(RuntimeInit java:513)_x000D_
    at com android internal os ZygoteInit main(ZygoteInit java:1101)_x000D_
   _x000D_
_x000D_
     REQUIRED  Version of ExoPlayer being used_x000D_
2 11 4_x000D_
_x000D_
     REQUIRED  Device(s) and version(s) of Android being used_x000D_
ONEPLUS A6000_x000D_
_x000D_
_x000D_
    Suggests_x000D_
_x000D_
Can you wrap restartService() s code in  DownloadService java (https:  github com google ExoPlayer blob release v2 library core src main java com google android exoplayer2 offline DownloadService java) with catching IllegalStateException to prevent from start service in background crash  like below:_x000D_
_x000D_
   _x000D_
private void restartService()  _x000D_
      if (foregroundAllowed)  _x000D_
        Intent intent   getIntent(context  serviceClass  DownloadService ACTION RESTART) _x000D_
        Util startForegroundService(context  intent) _x000D_
        else  _x000D_
           The service is background only  Use ACTION INIT rather than ACTION RESTART because_x000D_
           ACTION RESTART is handled as though KEY FOREGROUND is set to true _x000D_
        try  _x000D_
          Intent intent   getIntent(context  serviceClass  DownloadService ACTION INIT) _x000D_
          context startService(intent) _x000D_
          catch (IllegalArgumentException e)  _x000D_
             The process is classed as idle by the platform  Starting a background service is not_x000D_
             allowed in this state _x000D_
          Log w(TAG   Failed to restart DownloadService (process is idle)  ) _x000D_
          catch (IllegalStateException e)  _x000D_
             The app is in background  starting service is disallow_x000D_
          Log w(TAG   Failed to restart DownloadService (app is in background  foregroundAllowed    false) )_x000D_
         _x000D_
       _x000D_
     _x000D_
   _x000D_
</t>
  </si>
  <si>
    <t>andOTP-andOTP-533</t>
  </si>
  <si>
    <t xml:space="preserve">Files app frequently crashing when trying to create backup </t>
  </si>
  <si>
    <t xml:space="preserve">I am trying to make a local backup of all my tokens  The app crashes as soon as i click backup(encrypted) option  I tried disabling ask for file name option and tried again  It says export successful but there is no file in the directory i listed  _x000D_
_x000D_
Files app crashed </t>
  </si>
  <si>
    <t>dev-labs-bg-fullscreen-video-view-71</t>
  </si>
  <si>
    <t>App Crash on Pre Android 10</t>
  </si>
  <si>
    <t xml:space="preserve">There is a method named  BlendModeColorFilter()  used in  VideoControllerView   This method is available only in Android 10 and the app is crashing on versions below Android 10  Need to use  BlendModelColorFilterCompat() </t>
  </si>
  <si>
    <t>aws-aws-iot-device-sdk-java-v2-53</t>
  </si>
  <si>
    <t>Crash in AWS IoT Device SDK</t>
  </si>
  <si>
    <t xml:space="preserve">Confirm by changing     to  x  below to ensure that it s a bug:_x000D_
   x  I ve searched for  previous similar issues (https:  github com aws aws iot device sdk java v2 issues) and didn t find any solution_x000D_
  _x000D_
  Describe the bug  _x000D_
I am using aws iot device sdk to communicate with AWS IoT Core   I met some crash problem while sending the MQTT message to AWS IoT Core quickly repeatably  Please refer to the steps below:_x000D_
 STEP1  make MQTT message in Java client program _x000D_
 STEP2  send MQTT message repeatably using aws iot device sdk Java version _x000D_
Cycle: 100 MQTT messages per second _x000D_
Sample: _x000D_
 STEP3  The crash appears in my client program  (The crash timing is random but I could reproduce this issue easily)_x000D_
_x000D_
  SDK version number  _x000D_
  https:  github com aws aws iot device sdk java v2_x000D_
_x000D_
  Platform OS Hardware Device  _x000D_
  Hardware: Desktop_x000D_
  OS: Windows 10_x000D_
  Device: Java Sample Application in aws iot device sdk_x000D_
_x000D_
  To Reproduce (observed behavior)  _x000D_
Steps to reproduce the behavior (please share code)_x000D_
1  Just run the sample application of aws iot device sdk_x000D_
2  Send MQTT message quickly repeatably  (100 messages per second)_x000D_
We ve used the sample below:_x000D_
https:  github com aws aws iot device sdk java v2 blob master samples BasicPubSub src main java pubsub PubSub java_x000D_
_x000D_
  int count   0 _x000D_
while (count     messagesToPublish)_x000D_
 _x000D_
                    CompletableFuture Integer  published   connection publish(new MqttMessage(topic  message getBytes())  QualityOfService AT LEAST ONCE  false) _x000D_
                    published get() _x000D_
                    Thread sleep(1000) _x000D_
  _x000D_
_x000D_
  Expected behavior  _x000D_
  It should be run without any problem _x000D_
_x000D_
  Logs output  _x000D_
  Fatal error condition occurred in C: Program Files (x86) Jenkins workspace aws crt java build dll win64 aws crt java aws common runtime aws c common include aws common linked list inl:271: aws linked list node prev is valid(node)_x000D_
Exiting Application_x000D_
at 0x00007FFDFA19F827: Failed to lookup symbol: error 126_x000D_
at 0x00007FFDFA19FD59: Failed to lookup symbol: error 126_x000D_
at 0x00007FFDFA18CC70: Failed to lookup symbol: error 126_x000D_
at 0x00007FFDFA164838: Failed to lookup symbol: error 126_x000D_
at 0x00007FFDFA167F80: Failed to lookup symbol: error 126_x000D_
at 0x00007FFDFA1AA5BC: Failed to lookup symbol: error 126_x000D_
at 0x00007FFDFA1AB126: Failed to lookup symbol: error 126_x000D_
at 0x00007FFDFA1AADF6: Failed to lookup symbol: error 126_x000D_
at 0x00007FFDFA183960: Failed to lookup symbol: error 126_x000D_
at 0x00007FFDFA19F412: Failed to lookup symbol: error 126_x000D_
at 0x7FFE82347930: BaseThreadInitThunk_x000D_
at 0x7FFE8298CE50: RtlUserThreadStart_x000D_
_x000D_
  crash point   271 line  _x000D_
  265_x000D_
266   _x000D_
267   Removes the specified node from the list (prev next point to each other) and_x000D_
268   returns the next node in the list _x000D_
269   _x000D_
270AWS STATIC IMPL void aws linked list remove(struct aws linked list node  node)  _x000D_
271    AWS PRECONDITION(aws linked list node prev is valid(node)) _x000D_
272    AWS PRECONDITION(aws linked list node next is valid(node)) _x000D_
273    node  prev  next   node  next _x000D_
274    node  next  prev   node  prev _x000D_
275    aws linked list node reset(node) _x000D_
276    AWS POSTCONDITION(node  next    NULL    node  prev    NULL) _x000D_
277 _x000D_
278_x000D_
</t>
  </si>
  <si>
    <t>GoogleCloudPlatform-fda-mystudies-252</t>
  </si>
  <si>
    <t>Mobile app crashes when it fails to retrieve resource</t>
  </si>
  <si>
    <t xml:space="preserve">On iOS  when the mobile app attempts to retrieve a study resource  but that resource is unavailable on the server  the mobile app crashes to the home screen  In this particular situation  the app was attempting to retrieve a PDF  This was not tested for app level resources  but the issue likely exists there as well  This was not tested on Android </t>
  </si>
  <si>
    <t>andrzejchm-RESTMock-111</t>
  </si>
  <si>
    <t>Upgrading to OkHttp 4.5.0</t>
  </si>
  <si>
    <t xml:space="preserve">I ve upgraded my app to OkHttp 4 5 0 and I am no longer able to run RestMock tests  The app crashes with this error:_x000D_
_x000D_
 java lang NoSuchMethodError: No static method start default(Lokhttp3 internal http2 Http2Connection ZILjava lang Object )V in class Lokhttp3 internal http2 Http2Connection  or its super classes (declaration of  okhttp3 internal http2 Http2Connection_x000D_
        at okhttp3 internal concurrent TaskRunner runTask(TaskRunner kt:116)_x000D_
        at okhttp3 internal concurrent TaskRunner access runTask(TaskRunner kt:42)_x000D_
        at okhttp3 internal concurrent TaskRunner runnable 1 run(TaskRunner kt:65)_x000D_
        at java util concurrent ThreadPoolExecutor runWorker(ThreadPoolExecutor java:1167)_x000D_
        at java util concurrent ThreadPoolExecutor Worker run(ThreadPoolExecutor java:641)_x000D_
        at java lang Thread run(Thread java:764) </t>
  </si>
  <si>
    <t>TeamNewPipe-NewPipe-3497</t>
  </si>
  <si>
    <t>Some video takes exceptionally long to load (Possibly cannot load)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</si>
  <si>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For These videos (video ID):_x000D_
v 8l0v vXKJWk_x000D_
v fPll9RVxkDo_x000D_
1  Open these video s info page in newpipe_x000D_
2  Click the play button_x000D_
_x000D_
    Expected behavior_x000D_
     Tell us what you expect to happen     _x000D_
Typical video would take less than 2 second to load_x000D_
_x000D_
    Actual behaviour_x000D_
     Tell us what happens instead     _x000D_
I have waited more than several minutes  and nothing has loaded  including the watched time and the total time at the bottom timeline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ScreenRecord 2020 04 27 11 37 04 (https:  user images githubusercontent com 10100995 80391587 74db6600 889d 11ea 9b51 25f5af4787c1 gif)_x000D_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</si>
  <si>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OneBusAway-onebusaway-android-1037</t>
  </si>
  <si>
    <t>Google Maps SDK causing widespread crashes</t>
  </si>
  <si>
    <t xml:space="preserve">  Summary:   _x000D_
_x000D_
Late last week Google pushed an update to a file used by the Maps SDK in all Android and iOS apps that caused widespread crashes  The issue is here:_x000D_
https:  issuetracker google com issues 154855417_x000D_
_x000D_
If a user opened an app while this bad file was live  they are stuck in a crash loop  If the user didn t open the app while the bad file was live  they should be ok _x000D_
_x000D_
Google is working a release for Google Play Services to fix  but in the mean time they are suggesting all developers push out a workaround update to their apps   _x000D_
_x000D_
Here s the latest advice:_x000D_
https:  issuetracker google com issues 154855417 comment457_x000D_
_x000D_
We can tell each user to manually do this:_x000D_
    Clear the affected app s data (not just the cache)  or uninstall then reinstall the affected app(s) _x000D_
_x000D_
Or we can push the following code fix:_x000D_
_x000D_
In  Application onCreate() :_x000D_
_x000D_
   _x000D_
    try  _x000D_
      SharedPreferences hasFixedGoogleBug154855417   getSharedPreferences( google bug 154855417   Context MODE PRIVATE) _x000D_
      if ( hasFixedGoogleBug154855417 contains( fixed ))  _x000D_
        File corruptedZoomTables   new File(getFilesDir()   ZoomTables data ) _x000D_
        File corruptedSavedClientParameters   new File(getFilesDir()   SavedClientParameters data cs ) _x000D_
        File corruptedClientParametersData  _x000D_
            new File(_x000D_
              getFilesDir() _x000D_
               DATA ServerControlledParametersManager data  _x000D_
                    getBaseContext() getPackageName()) _x000D_
        File corruptedClientParametersDataV1  _x000D_
            new File(_x000D_
              getFilesDir() _x000D_
               DATA ServerControlledParametersManager data v1  _x000D_
                    getBaseContext() getPackageName()) _x000D_
        corruptedZoomTables delete() _x000D_
        corruptedSavedClientParameters delete() _x000D_
        corruptedClientParametersData delete() _x000D_
        corruptedClientParametersDataV1 delete() _x000D_
        hasFixedGoogleBug154855417 edit() putBoolean( fixed   true) apply() _x000D_
       _x000D_
      catch (Exception e)  _x000D_
 _x000D_
     _x000D_
   _x000D_
_x000D_
  Steps to reproduce:   _x000D_
_x000D_
Start the app while the bad Google Play Services file was live  and keep trying to restart the app_x000D_
_x000D_
  Expected behavior:   _x000D_
_x000D_
Not crash_x000D_
_x000D_
  Observed behavior:   _x000D_
_x000D_
App is in a crash loop if opened when bad file was live_x000D_
_x000D_
  Device and Android version:   _x000D_
_x000D_
All</t>
  </si>
  <si>
    <t>material-components-material-components-android-1251</t>
  </si>
  <si>
    <t>[catalog-demo] Bottom sheet crashes on api level 17</t>
  </si>
  <si>
    <t xml:space="preserve">  Description:   _x000D_
1  Open catalog demo    Bottom Sheet    Vertically scrollable content demo _x000D_
2  Got a crash on Android 4 2_x000D_
_x000D_
  Android API version:   17_x000D_
_x000D_
  Material Library version:   1 2 0 alpha06_x000D_
_x000D_
  Stacktrace:   _x000D_
   _x000D_
04 27 17:38:55 560 16715 16715 io material catalog E AndroidRuntime: FATAL EXCEPTION: main_x000D_
    android view InflateException: Binary XML file line  26: Error inflating class TextView_x000D_
        at android view LayoutInflater createViewFromTag(LayoutInflater java)_x000D_
        at android view LayoutInflater rInflate(LayoutInflater java)_x000D_
        at android view LayoutInflater rInflate(LayoutInflater java)_x000D_
        at android view LayoutInflater inflate(LayoutInflater java)_x000D_
        at android view LayoutInflater inflate(LayoutInflater java)_x000D_
        at com google android material bottomsheet BottomSheetDialog wrapInBottomSheet(BottomSheetDialog java:203)_x000D_
        at com google android material bottomsheet BottomSheetDialog setContentView(BottomSheetDialog java:75)_x000D_
        at io material catalog bottomsheet BottomSheetScrollableContentDemoFragment onCreateDemoView(BottomSheetScrollableContentDemoFragment java:44)_x000D_
        at io material catalog feature DemoFragment onCreateView(DemoFragment java:107)_x000D_
        at androidx fragment app Fragment performCreateView(Fragment java:2600)_x000D_
        at androidx fragment app FragmentManagerImpl moveToState(FragmentManagerImpl java:881)_x000D_
        at androidx fragment app FragmentManagerImpl moveFragmentToExpectedState(FragmentManagerImpl java:1238)_x000D_
        at androidx fragment app FragmentManagerImpl moveToState(FragmentManagerImpl java:1303)_x000D_
        at androidx fragment app BackStackRecord executeOps(BackStackRecord java:439)_x000D_
        at androidx fragment app FragmentManagerImpl executeOps(FragmentManagerImpl java:2079)_x000D_
        at androidx fragment app FragmentManagerImpl executeOpsTogether(FragmentManagerImpl java:1869)_x000D_
        at androidx fragment app FragmentManagerImpl removeRedundantOperationsAndExecute(FragmentManagerImpl java:1824)_x000D_
        at androidx fragment app FragmentManagerImpl execPendingActions(FragmentManagerImpl java:1727)_x000D_
        at androidx fragment app FragmentManagerImpl 2 run(FragmentManagerImpl java:150)_x000D_
        at android os Handler handleCallback(Handler java)_x000D_
        at android os Handler dispatchMessage(Handler java)_x000D_
        at android os Looper loop(Looper java)_x000D_
        at android app ActivityThread main(ActivityThread java)_x000D_
        at java lang reflect Method invokeNative(Native Method)_x000D_
        at java lang reflect Method invoke(Method java)_x000D_
        at com android internal os ZygoteInit MethodAndArgsCaller run(ZygoteInit java)_x000D_
        at com android internal os ZygoteInit main(ZygoteInit java)_x000D_
        at dalvik system NativeStart main(Native Method)_x000D_
     Caused by: android content res Resources NotFoundException: File res drawable ic person add 24dp xml from drawable resource ID  0x7f0800c3_x000D_
        at android content res Resources loadDrawable(Resources java)_x000D_
        at android content res TypedArray getDrawable(TypedArray java)_x000D_
        at android widget TextView  init (TextView java)_x000D_
        at androidx appcompat widget AppCompatTextView  init (AppCompatTextView java:99)_x000D_
        at com google android material textview MaterialTextView  init (MaterialTextView java:93)_x000D_
        at com google android material textview MaterialTextView  init (MaterialTextView java:88)_x000D_
        at com google android material textview MaterialTextView  init (MaterialTextView java:83)_x000D_
        at com google android material theme MaterialComponentsViewInflater createTextView(MaterialComponentsViewInflater java:61)_x000D_
        at androidx appcompat app AppCompatViewInflater createView(AppCompatViewInflater java:103)_x000D_
        at androidx appcompat app AppCompatDelegateImpl createView(AppCompatDelegateImpl java:1407)_x000D_
        at androidx appcompat app AppCompatDelegateImpl onCreateView(AppCompatDelegateImpl java:1457)_x000D_
        at android view LayoutInflater createViewFromTag(LayoutInflater java) _x000D_
        at android view LayoutInflater rInflate(LayoutInflater java) _x000D_
        at android view LayoutInflater rInflate(LayoutInflater java) _x000D_
        at android view LayoutInflater inflate(LayoutInflater java) _x000D_
        at android view LayoutInflater inflate(LayoutInflater java) _x000D_
        at com google android material bottomsheet BottomSheetDialog wrapInBottomSheet(BottomSheetDialog java:203) _x000D_
        at com google android material bottomsheet BottomSheetDialog setContentView(BottomSheetDialog java:75) _x000D_
        at io material catalog bottomsheet BottomSheetScrollableContentDemoFragment onCreateDemoView(BottomSheetScrollableContentDemoFragment java:44) _x000D_
        at io material catalog feature DemoFragment onCreateView(DemoFragment java:107) _x000D_
        at androidx fragment app Fragment performCreateView(Fragment java:2600) _x000D_
        at androidx fragment app FragmentManagerImpl moveToState(FragmentManagerImpl java:881) _x000D_
        at androidx fragment app FragmentManagerImpl moveFragmentToExpectedState(FragmentManagerImpl java:1238) _x000D_
        at androidx fragment app FragmentManagerImpl moveToState(FragmentManagerImpl java:1303) _x000D_
        at androidx fragment app BackStackRecord executeOps(BackStackRecord java:439) _x000D_
        at androidx fragment app FragmentManagerImpl executeOps(FragmentManagerImpl java:2079) _x000D_
        at androidx fragment app FragmentManagerImpl executeOpsTogether(FragmentManagerImpl java:1869) _x000D_
        at androidx fragment app FragmentManagerImpl removeRedundantOperationsAndExecute(FragmentManagerImpl java:1824) _x000D_
        at androidx fragment app FragmentManagerImpl execPendingActions(FragmentManagerImpl java:1727) _x000D_
        at androidx fragment app FragmentManagerImpl 2 run(FragmentManagerImpl java:150) _x000D_
        at android os Handler handleCallback(Handler java) _x000D_
        at android os Handler dispatchMessage(Handler java) _x000D_
        at android os Looper loop(Looper java) _x000D_
        at android app ActivityThread main(ActivityThread java) _x000D_
        at java lang reflect Method invokeNative(Native Method) _x000D_
        at java lang reflect Method invoke(Method java) _x000D_
        at com android internal os ZygoteInit MethodAndArgsCaller run(ZygoteInit java) _x000D_
        at com android internal os ZygoteInit main(ZygoteInit java) _x000D_
        at dalvik system NativeStart main(Native Method) _x000D_
     Caused by: org xmlpull v1 XmlPullParserException: Binary XML file line  17: invalid drawable tag vector_x000D_
        at android graphics drawable Drawable createFromXmlInner(Drawable java)_x000D_
        at android graphics drawable Drawable createFromXml(Drawable java)_x000D_
        at android content res Resources loadDrawable(Resources java) _x000D_
        at android content res TypedArray getDrawable(TypedArray java) _x000D_
        at android widget TextView  init (TextView java) _x000D_
        at androidx appcompat widget AppCompatTextView  init (AppCompatTextView java:99) _x000D_
        at com google android material textview MaterialTextView  init (MaterialTextView java:93) _x000D_
        at com google android material textview MaterialTextView  init (MaterialTextView java:88) _x000D_
        at com google android material textview MaterialTextView  init (MaterialTextView java:83) _x000D_
        at com google android material theme MaterialComponentsViewInflater createTextView(MaterialComponentsViewInflater java:61) _x000D_
        at androidx appcompat app AppCompatViewInflater createView(AppCompatViewInflater java:103) _x000D_
        at androidx appcompat app AppCompatDelegateImpl createView(AppCompatDelegateImpl java:1407) _x000D_
        at androidx appcompat app AppCompatDelegateImpl onCreateView(AppCompatDelegateImpl java:1457) _x000D_
        at android view LayoutInflater createViewFromTag(LayoutInflater java) _x000D_
        at android view LayoutInflater rInflate(LayoutInflater java) _x000D_
        at android view LayoutInflater rInflate(LayoutInflater java) _x000D_
        at android view LayoutInflater inflate(LayoutInflater java) _x000D_
        at android view LayoutInflater inflate(LayoutInflater java) _x000D_
        at com google android material bottomsheet BottomSheetDialog wrapInBottomSheet(BottomSheetDialog java:203) _x000D_
        at com google android material bottomsheet BottomSheetDialog setContentView(BottomSheetDialog java:75) _x000D_
        at io material catalog bottomsheet BottomSheetScrollableContentDemoFragment onCreateDemoView(BottomSheetScrollableContentDemoFragment java:44) _x000D_
        at io material catalog feature DemoFragment onCreateView(DemoFragment java:107) _x000D_
        at androidx fragment app Fragment performCreateView(Fragment java:2600) _x000D_
        at androidx fragment app FragmentManagerImpl moveToState(FragmentManagerImpl java:881) _x000D_
        at androidx fragment app FragmentManagerImpl moveFragmentToExpectedState(FragmentManagerImpl java:1238) _x000D_
        at androidx fragment app FragmentManagerImpl moveToState(FragmentManagerImpl java:1303) _x000D_
        at androidx fragment app BackStackRecord executeOps(BackStackRecord java:439) _x000D_
        at androidx fragment app FragmentManagerImpl executeOps(FragmentManagerImpl java:2079) _x000D_
        at androidx fragment app FragmentManagerImpl executeOpsTogether(FragmentManagerImpl java:1869) _x000D_
        at androidx fragment app FragmentManagerImpl removeRedundantOperationsAndExecute(FragmentManagerImpl java:1824) _x000D_
        at androidx fragment app FragmentManagerImpl execPendingActions(FragmentManagerImpl java:1727) _x000D_
        at androidx fragment app FragmentManagerImpl 2 run(FragmentManagerImpl java:150) _x000D_
        at android os Handler handleCallback(Handler java) _x000D_
        at android os Handler dispatchMessage(Handler java) _x000D_
        at android os Looper loop(Looper java) _x000D_
        at android app ActivityThread main(ActivityThread java) _x000D_
        at java lang reflect Method invokeNative(Native Method) _x000D_
        at java lang reflect Method invoke(Method java) _x000D_
        at com android internal os ZygoteInit MethodAndArgsCaller run(ZygoteInit java) _x000D_
        at com android internal os ZygoteInit main(ZygoteInit java) _x000D_
        at dalvik system NativeStart main(Native Method) _x000D_
_x000D_
   _x000D_
_x000D_
</t>
  </si>
  <si>
    <t>fennifith-Alarmio-112</t>
  </si>
  <si>
    <t>IllegalStateException at Alarmio.updateTheme - Not attached (Aesthetic)</t>
  </si>
  <si>
    <t xml:space="preserve">    
Please verify that there are no duplicate issues before creating one  and check that you are using the latest version of the app 
For crash reports and other bugs and errors  please use the template below to add your device info so that I can find the cause more easily 
For the angels that are contributing   building the app yourself  please read CONTRIBUTING md (in   github) before reporting any issues as there are certain instructions you must follow to compile a working version of the app 
   Device Info
  Brand:  OPPO Reno 
  Model name:  CPH1917 
 ColorOS version:  V6 0 
  Android version:  Stock  hopefully  
   Steps to Reproduce
  download the app
  set two alarms
  I forgot if I ve close the first one that rings
  it then crashes before the second one rings
   Problem
App crashed 
   Error report
   Java
java lang IllegalStateExceptionat Alarmio java:264
java lang IllegalStateException: Not attached
	at com afollestad aesthetic Aesthetic getSafePrefsEditor(Aesthetic kt:96)
	at com afollestad aesthetic Aesthetic isDark(Aesthetic kt:120)
	at me jfenn alarmio Alarmio updateTheme(Alarmio java:264)
	at me jfenn alarmio data preference ThemePreferenceData bindViewHolder listener 1 onSunriseChanged(ThemePreferenceData kt:80)
	at me jfenn alarmio data preference ThemePreferenceData bindViewHolder(ThemePreferenceData kt:116)
	at me jfenn alarmio data preference ThemePreferenceData bindViewHolder(ThemePreferenceData kt:34)
	at me jfenn alarmio adapters PreferenceAdapter onBindViewHolder(PreferenceAdapter java:26)
	at me jfenn alarmio adapters PreferenceAdapter onBindViewHolder(PreferenceAdapter java:11)
	at androidx recyclerview widget RecyclerView Adapter onBindViewHolder(RecyclerView java:7065)
	at androidx recyclerview widget RecyclerView Adapter bindViewHolder(RecyclerView java:7107)
	at androidx recyclerview widget RecyclerView Recycler tryBindViewHolderByDeadline(RecyclerView java:6012)
	at androidx recyclerview widget RecyclerView Recycler tryGetViewHolderForPositionByDeadline(RecyclerView java:6279)
	at androidx recyclerview widget RecyclerView Recycler getViewForPosition(RecyclerView java:6118)
	at androidx recyclerview widget RecyclerView Recycler getViewForPosition(RecyclerView java:6114)
	at androidx recyclerview widget LinearLayoutManager LayoutState next(LinearLayoutManager java:2303)
	at androidx recyclerview widget GridLayoutManager layoutChunk(GridLayoutManager java:561)
	at androidx recyclerview widget LinearLayoutManager fill(LinearLayoutManager java:1587)
	at androidx recyclerview widget LinearLayoutManager onLayoutChildren(LinearLayoutManager java:665)
	at androidx recyclerview widget GridLayoutManager onLayoutChildren(GridLayoutManager java:170)
	at androidx recyclerview widget RecyclerView dispatchLayoutStep2(RecyclerView java:4134)
	at androidx recyclerview widget RecyclerView dispatchLayout(RecyclerView java:3851)
	at androidx recyclerview widget RecyclerView onLayout(RecyclerView java:4404)
	at android view View layout(View java:20974)
	at android view ViewGroup layout(ViewGroup java:6318)
	at android widget FrameLayout layoutChildren(FrameLayout java:323)
	at android widget FrameLayout onLayout(FrameLayout java:261)
	at android view View layout(View java:20974)
	at android view ViewGroup layout(ViewGroup java:6318)
	at androidx viewpager widget ViewPager onLayout(ViewPager java:1775)
	at android view View layout(View java:20974)
	at android view ViewGroup layout(ViewGroup java:6318)
	at android widget LinearLayout setChildFrame(LinearLayout java:1828)
	at android widget LinearLayout layoutVertical(LinearLayout java:1656)
	at android widget LinearLayout onLayout(LinearLayout java:1565)
	at android view View layout(View java:20974)
	at android view ViewGroup layout(ViewGroup java:6318)
	at androidx coordinatorlayout widget CoordinatorLayout layoutChild(CoordinatorLayout java:1213)
	at androidx coordinatorlayout widget CoordinatorLayout onLayoutChild(CoordinatorLayout java:899)
	at com google android material bottomsheet BottomSheetBehavior onLayoutChild(BottomSheetBehavior java:380)
	at androidx coordinatorlayout widget CoordinatorLayout onLayout(CoordinatorLayout java:918)
	at android view View layout(View java:20974)
	at android view ViewGroup layout(ViewGroup java:6318)
	at android widget FrameLayout layoutChildren(FrameLayout java:323)
	at android widget FrameLayout onLayout(FrameLayout java:261)
	at android view View layout(View java:20974)
	at android view ViewGroup layout(ViewGroup java:6318)
	at android widget FrameLayout layoutChildren(FrameLayout java:323)
	at android widget FrameLayout onLayout(FrameLayout java:261)
	at android view View layout(View java:20974)
	at android view ViewGroup layout(ViewGroup java:6318)
	at android widget LinearLayout setChildFrame(LinearLayout java:1828)
	at android widget LinearLayout layoutVertical(LinearLayout java:1656)
	at android widget LinearLayout onLayout(LinearLayout java:1565)
	at android view View layout(View java:20974)
	at android view ViewGroup layout(ViewGroup java:6318)
	at android widget FrameLayout layoutChildren(FrameLayout java:323)
	at android widget FrameLayout onLayout(FrameLayout java:261)
	at android view View layout(View java:20974)
	at android view ViewGroup layout(ViewGroup java:6318)
	at android widget LinearLayout setChildFrame(LinearLayout java:1828)
	at android widget LinearLayout layoutVertical(LinearLayout java:1656)
	at android widget LinearLayout onLayout(LinearLayout java:1565)
	at android view View layout(View java:20974)
	at android view ViewGroup layout(ViewGroup java:6318)
	at android widget FrameLayout layoutChildren(FrameLayout java:323)
	at android widget FrameLayout onLayout(FrameLayout java:261)
	at com android internal policy DecorView onLayout(DecorView java:880)
	at android view View layout(View java:20974)
	at android view ViewGroup layout(ViewGroup java:6318)
	at android view ViewRootImpl performLayout(ViewRootImpl java:3228)
	at android view ViewRootImpl performTraversals(ViewRootImpl java:2704)
	at android view ViewRootImpl doTraversal(ViewRootImpl java:1764)
	at android view ViewRootImpl TraversalRunnable run(ViewRootImpl java:7992)
	at android view Choreographer CallbackRecord run(Choreographer java:1114)
	at android view Choreographer doCallbacks(Choreographer java:925)
	at android view Choreographer doFrame(Choreographer java:852)
	at android view Choreographer FrameDisplayEventReceiver run(Choreographer java:1100)
	at android os Handler handleCallback(Handler java:873)
	at android os Handler dispatchMessage(Handler java:99)
	at android os Looper loop(Looper java:227)
	at android app ActivityThread main(ActivityThread java:7205)
	at java lang reflect Method invoke(Native Method)
	at com android internal os RuntimeInit MethodAndArgsCaller run(RuntimeInit java:575)
	at com android internal os ZygoteInit main(ZygoteInit java:903
   </t>
  </si>
  <si>
    <t>material-components-material-components-android-1249</t>
  </si>
  <si>
    <t>[MaterialContainerTransform] Shared element transition with PlayerView (Exoplayer2)</t>
  </si>
  <si>
    <t xml:space="preserve">  Description:   _x000D_
Using the latested library with a shared element transition containing in Fragment B a VideoView from Excoplayer crashes sometimes  No Exception is shown in Logcat just always the Signal11  as described later  If I set View as GONE transition works and never crashes  if VideoView is visible (doesn t matter if playing or paused) it crashes sometimes _x000D_
_x000D_
  Expected behavior:  _x000D_
Here is a video where it works sometimes and then crashes _x000D_
https:  we tl t JYL6i18VF7_x000D_
_x000D_
  Source code:   _x000D_
Using Arch Navigation to switch between fragments _x000D_
_x000D_
  Android API version:   29_x000D_
_x000D_
  Material Library version:   com google android material:material:1 2 0 alpha06_x000D_
com google android exoplayer:exoplayer:2 11 0_x000D_
_x000D_
  Device:   Tested on Emulator and Pixel 4_x000D_
_x000D_
A RefBase: decStrong() called on 0xbd102580 too many times_x000D_
          beginning of crash_x000D_
1587902454 929 A libc: Fatal signal 11 (SIGSEGV)  code 1 (SEGV MAPERR)  fault addr 0x4 in tid 15702 (hwuiTask1)  pid 15510 (com megalol app)</t>
  </si>
  <si>
    <t>k9mail-k-9-4697</t>
  </si>
  <si>
    <t>Delete account crash</t>
  </si>
  <si>
    <t xml:space="preserve">I m on current master _x000D_
 img width  961  alt  image  src  https:  user images githubusercontent com 3314607 80302350 d4584980 87a9 11ea 9c86 0e428284a8ee png  _x000D_
_x000D_
and after delete an account I run into this_x000D_
_x000D_
 img width  869  alt  image  src  https:  user images githubusercontent com 3314607 80302336 b0950380 87a9 11ea 8302 e2e1374ac447 png  _x000D_
_x000D_
Now I can start app again  but selection an account I run into next crash_x000D_
_x000D_
 img width  829  alt  image  src  https:  user images githubusercontent com 3314607 80302395 13869a80 87aa 11ea 8009 42ef5ba9a328 png  _x000D_
_x000D_
</t>
  </si>
  <si>
    <t>zhanghai-AndroidFastScroll-18</t>
  </si>
  <si>
    <t>FixItemDecorationRecyclerView crashes in runtime</t>
  </si>
  <si>
    <t xml:space="preserve">If you try to use FixItemDecorationRecyclerView this will definitely crash with ClassCastException in runtime _x000D_
As you can see in the source code:_x000D_
_x000D_
   _x000D_
 Override_x000D_
    protected void dispatchDraw( NonNull Canvas canvas)  _x000D_
        for (int i   0  count   getItemDecorationCount()  i   count    i)  _x000D_
            FixItemDecoration decor   (FixItemDecoration) getItemDecorationAt(i) _x000D_
            decor getItemDecoration() onDraw(canvas  this  decor getState()) _x000D_
         _x000D_
        super dispatchDraw(canvas) _x000D_
        for (int i   0  count   getItemDecorationCount()  i   count    i)  _x000D_
            FixItemDecoration decor   (FixItemDecoration) getItemDecorationAt(i) _x000D_
            decor getItemDecoration() onDrawOver(canvas  this  decor getState()) _x000D_
         _x000D_
     _x000D_
_x000D_
     Override_x000D_
    public void addItemDecoration( NonNull ItemDecoration decor  int index)  _x000D_
        super addItemDecoration(new FixItemDecoration(decor)  index) _x000D_
     _x000D_
_x000D_
     NonNull_x000D_
     Override_x000D_
    public ItemDecoration getItemDecorationAt(int index)  _x000D_
        return ((FixItemDecoration) super getItemDecorationAt(index)) getItemDecoration() _x000D_
     _x000D_
   _x000D_
_x000D_
You wrap ItemDecorations into FixItemDecoration (see addItemDecoration method) and then you cast it in such a way  FixItemDecoration decor   (FixItemDecoration) getItemDecorationAt(i)    (see dispatchDraw method) _x000D_
_x000D_
Please fix this </t>
  </si>
  <si>
    <t>GoogleChrome-android-browser-helper-89</t>
  </si>
  <si>
    <t>Crash on start: Non-browser selected</t>
  </si>
  <si>
    <t xml:space="preserve">  Describe the bug  _x000D_
While the default system browser (where any link opens by default) is set to an actual browser (Brave  also tried setting to Chrome)  for some reason an app that is not a browser and does not appear in the system browser selection (Revolut) is selected as TWA provider which causes a crash on start _x000D_
_x000D_
  To Reproduce  _x000D_
Launching the app on my phone in debug mode returns these logs before the app crashes:_x000D_
_x000D_
   _x000D_
D TWALauncherActivity: Using URL from Manifest (https:  travelfeed io  utm source pwa) _x000D_
D TWAProviderPicker: Found browser: com revolut revolut_x000D_
    Found browser: com revolut revolut_x000D_
D TWAProviderPicker: Found no TWA providers  using first browser: com revolut revolut_x000D_
D AndroidRuntime: Shutting down VM_x000D_
E AndroidRuntime: FATAL EXCEPTION: main_x000D_
    Process: io travelfeed twa  PID: 14612_x000D_
    java lang RuntimeException: Unable to start activity ComponentInfo io travelfeed twa com google androidbrowserhelper trusted LauncherActivity : android content ActivityNotFoundException: No Activity found to handle Intent   act android intent action VIEW dat https:  travelfeed io     pkg com revolut revolut (has extras)  _x000D_
        at android app ActivityThread performLaunchActivity(ActivityThread java:3114)_x000D_
        at android app ActivityThread handleLaunchActivity(ActivityThread java:3257)_x000D_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java:1948)_x000D_
        at android os Handler dispatchMessage(Handler java:106)_x000D_
        at android os Looper loop(Looper java:214)_x000D_
        at android app ActivityThread main(ActivityThread java:7050)_x000D_
        at java lang reflect Method invoke(Native Method)_x000D_
        at com android internal os RuntimeInit MethodAndArgsCaller run(RuntimeInit java:494)_x000D_
        at com android internal os ZygoteInit main(ZygoteInit java:965)_x000D_
     Caused by: android content ActivityNotFoundException: No Activity found to handle Intent   act android intent action VIEW dat https:  travelfeed io     pkg com revolut revolut (has extras)  _x000D_
        at android app Instrumentation checkStartActivityResult(Instrumentation java:2018)_x000D_
        at android app Instrumentation execStartActivity(Instrumentation java:1673)_x000D_
        at android app Activity startActivityForResult(Activity java:4689)_x000D_
        at androidx fragment app FragmentActivity startActivityForResult(FragmentActivity java:767)_x000D_
        at android app Activity startActivityForResult(Activity java:4647)_x000D_
        at androidx fragment app FragmentActivity startActivityForResult(FragmentActivity java:754)_x000D_
        at android app Activity startActivity(Activity java:5008)_x000D_
        at androidx core content ContextCompat startActivity(ContextCompat java:251)_x000D_
        at androidx browser customtabs CustomTabsIntent launchUrl(CustomTabsIntent java:331)_x000D_
        at com google androidbrowserhelper trusted TwaLauncher lambda static 0(TwaLauncher java:51)_x000D_
        at com google androidbrowserhelper trusted    Lambda TwaLauncher yiLzsm37NbSon1 dZ2dCvDJv8wU launch(Unknown Source:0)_x000D_
        at com google androidbrowserhelper trusted TwaLauncher launch(TwaLauncher java:166)_x000D_
        at com google androidbrowserhelper trusted LauncherActivity onCreate(LauncherActivity java:158)_x000D_
        at android app Activity performCreate(Activity java:7327)_x000D_
        at android app Activity performCreate(Activity java:7318)_x000D_
        at android app Instrumentation callActivityOnCreate(Instrumentation java:1271)_x000D_
        at android app ActivityThread performLaunchActivity(ActivityThread java:3094)_x000D_
        at android app ActivityThread handleLaunchActivity(ActivityThread java:3257) _x000D_
        at android app servertransaction LaunchActivityItem execute(LaunchActivityItem java:78) _x000D_
        at android app servertransaction TransactionExecutor executeCallbacks(TransactionExecutor java:108) _x000D_
        at android app servertransaction TransactionExecutor execute(TransactionExecutor java:68) _x000D_
        at android app ActivityThread H handleMessage(ActivityThread java:1948) _x000D_
        at android os Handler dispatchMessage(Handler java:106) _x000D_
        at android os Looper loop(Looper java:214) _x000D_
        at android app ActivityThread main(ActivityThread java:7050) _x000D_
        at java lang reflect Method invoke(Native Method) _x000D_
        at com android internal os RuntimeInit MethodAndArgsCaller run(RuntimeInit java:494) _x000D_
        at com android internal os ZygoteInit main(ZygoteInit java:965) _x000D_
   _x000D_
_x000D_
  Expected behavior  _x000D_
The app should not crash_x000D_
_x000D_
  Smartphone (please complete the following information):  _x000D_
   Device: SM G950F _x000D_
   OS: Android 9 on newest patch (April 1 2020)_x000D_
   Browser: Brave Browser_x000D_
_x000D_
Originally posted at https:  github com GoogleChromeLabs bubblewrap issues 143_x000D_
 tiotdev FYI</t>
  </si>
  <si>
    <t>MrCatDog-JustCalc-3</t>
  </si>
  <si>
    <t>Dot button drops the app.</t>
  </si>
  <si>
    <t xml:space="preserve">Misuse of dot button like  3 5   (double dot in number) or    3  (dot without number) leads to crash _x000D_
Parser should be reworked _x000D_
 MrCatDog do your work or you would be fired </t>
  </si>
  <si>
    <t>TeamNewPipe-NewPipe-3484</t>
  </si>
  <si>
    <t>Could not play this stream</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</si>
  <si>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v0 19 2_x000D_
_x000D_
    Steps to reproduce the bug_x000D_
    _x000D_
   _x000D_
1  Play any videos_x000D_
(might be hard to reproduce)_x000D_
_x000D_
     If you can t cause the bug to show up again reliably (and hence don t have a proper set of steps to give us)  please still try to give as many details as possible on how you think you encountered the bug     _x000D_
_x000D_
    Expected behavior_x000D_
To play video without random errors_x000D_
_x000D_
    Actual behaviour_x000D_
 Could not play this stream  appear randomly even it is cached and connection is fine and fast_x000D_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No screenshot_x000D_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2020 04 25 20 16 15 txt (https:  github com TeamNewPipe NewPipe files 4533765 2020 04 25 20 16 15 txt)_x000D_
</t>
  </si>
  <si>
    <t>cyclestreets-android-368</t>
  </si>
  <si>
    <t>NPE: fatal crash in some circumstances when pressing Back</t>
  </si>
  <si>
    <t xml:space="preserve">Note that this is unrelated to  364 (or the fix for it) _x000D_
_x000D_
This has been seen as a crash scenario in the Play console   I ve figured out how to reproduce it myself _x000D_
_x000D_
Use the Nav menu to go:_x000D_
  Add Photo_x000D_
  Settings_x000D_
  Add Photo_x000D_
Then press Back a couple of times  it crashes _x000D_
_x000D_
Stack trace is:_x000D_
   _x000D_
2020 04 25 18:43:37 686 13847 13847 net cyclestreets E AndroidRuntime: FATAL EXCEPTION: main_x000D_
    Process: net cyclestreets  PID: 13847_x000D_
    kotlin KotlinNullPointerException_x000D_
        at net cyclestreets addphoto AddPhotoFragment prefs(AddPhotoFragment kt:424)_x000D_
        at net cyclestreets addphoto AddPhotoFragment store(AddPhotoFragment kt:366)_x000D_
        at net cyclestreets addphoto AddPhotoFragment onBackPressed(AddPhotoFragment kt:570)_x000D_
        at net cyclestreets MainNavDrawerActivity onBackPressed(MainNavDrawerActivity kt:180)_x000D_
        at android app Activity onKeyUp(Activity java:3641)_x000D_
        at android view KeyEvent dispatch(KeyEvent java:2825)_x000D_
        at android app Activity dispatchKeyEvent(Activity java:3958)_x000D_
        at android support v7 app AppCompatActivity dispatchKeyEvent(AppCompatActivity java:534)_x000D_
        at android support v7 view WindowCallbackWrapper dispatchKeyEvent(WindowCallbackWrapper java:58)_x000D_
        at android support v7 app AppCompatDelegateImplBase AppCompatWindowCallbackBase dispatchKeyEvent(AppCompatDelegateImplBase java:316)_x000D_
        at android support v7 view WindowCallbackWrapper dispatchKeyEvent(WindowCallbackWrapper java:58)_x000D_
        at com android internal policy DecorView dispatchKeyEvent(DecorView java:367)_x000D_
        at android view ViewRootImpl ViewPostImeInputStage processKeyEvent(ViewRootImpl java:5413)_x000D_
        at android view ViewRootImpl ViewPostImeInputStage onProcess(ViewRootImpl java:5281)_x000D_
        at android view ViewRootImpl InputStage deliver(ViewRootImpl java:4788)_x000D_
        at android view ViewRootImpl InputStage onDeliverToNext(ViewRootImpl java:4841)_x000D_
        at android view ViewRootImpl InputStage forward(ViewRootImpl java:4807)_x000D_
        at android view ViewRootImpl AsyncInputStage forward(ViewRootImpl java:4947)_x000D_
        at android view ViewRootImpl InputStage apply(ViewRootImpl java:4815)_x000D_
        at android view ViewRootImpl AsyncInputStage apply(ViewRootImpl java:5004)_x000D_
        at android view ViewRootImpl InputStage deliver(ViewRootImpl java:4788)_x000D_
        at android view ViewRootImpl InputStage onDeliverToNext(ViewRootImpl java:4841)_x000D_
        at android view ViewRootImpl InputStage forward(ViewRootImpl java:4807)_x000D_
        at android view ViewRootImpl InputStage apply(ViewRootImpl java:4815)_x000D_
        at android view ViewRootImpl InputStage deliver(ViewRootImpl java:4788)_x000D_
        at android view ViewRootImpl InputStage onDeliverToNext(ViewRootImpl java:4841)_x000D_
        at android view ViewRootImpl InputStage forward(ViewRootImpl java:4807)_x000D_
        at android view ViewRootImpl AsyncInputStage forward(ViewRootImpl java:4980)_x000D_
        at android view ViewRootImpl ImeInputStage onFinishedInputEvent(ViewRootImpl java:5141)_x000D_
        at android view inputmethod InputMethodManager PendingEvent run(InputMethodManager java:3064)_x000D_
        at android view inputmethod InputMethodManager invokeFinishedInputEventCallback(InputMethodManager java:2607)_x000D_
        at android view inputmethod InputMethodManager finishedInputEvent(InputMethodManager java:2598)_x000D_
        at android view inputmethod InputMethodManager ImeInputEventSender onInputEventFinished(InputMethodManager java:3041)_x000D_
        at android view InputEventSender dispatchInputEventFinished(InputEventSender java:143)_x000D_
        at android os MessageQueue nativePollOnce(Native Method)_x000D_
        at android os MessageQueue next(MessageQueue java:336)_x000D_
        at android os Looper loop(Looper java:174)_x000D_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_x000D_
Looks like in certain pathways the Fragment s Activity is null </t>
  </si>
  <si>
    <t>nextcloud-android-5939</t>
  </si>
  <si>
    <t xml:space="preserve">    Steps to reproduce_x000D_
1  The app is set to send pictures and videos to the server_x000D_
2  Start the app_x000D_
3  Try to change the stettings of the upload_x000D_
_x000D_
    Expected behaviour_x000D_
  should be able to change settings_x000D_
_x000D_
    Actual behaviour_x000D_
  crash_x000D_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CAUSE OF ERROR             _x000D_
_x000D_
java lang RuntimeException: Unable to resume activity  com nextcloud client com owncloud android ui activity FileDisplayActivity : java lang IllegalArgumentException_x000D_
	at android app ActivityThread performResumeActivity(ActivityThread java:3627)_x000D_
	at android app ActivityThread handleResumeActivity(ActivityThread java:3667)_x000D_
	at android app ActivityThread H handleMessage(ActivityThread java:1667)_x000D_
	at android os Handler dispatchMessage(Handler java:106)_x000D_
	at android os Looper loop(Looper java:176)_x000D_
	at android app ActivityThread main(ActivityThread java:6651)_x000D_
	at java lang reflect Method invoke(Native Method)_x000D_
	at com android internal os RuntimeInit MethodAndArgsCaller run(RuntimeInit java:547)_x000D_
	at com android internal os ZygoteInit main(ZygoteInit java:824)_x000D_
Caused by: java lang IllegalArgumentException_x000D_
	at android os Parcel readException(Parcel java:2017)_x000D_
	at android os Parcel readException(Parcel java:1959)_x000D_
	at android app IActivityManager Stub Proxy isTopOfTask(IActivityManager java:8449)_x000D_
	at android app Activity isTopOfTask(Activity java:6369)_x000D_
	at android app Activity onResume(Activity java:1346)_x000D_
	at androidx fragment app FragmentActivity onResume(FragmentActivity java:456)_x000D_
	at com owncloud android ui activity BaseActivity onResume(BaseActivity java:91)_x000D_
	at com owncloud android ui activity DrawerActivity onResume(DrawerActivity java:1274)_x000D_
	at com owncloud android ui activity FileActivity onResume(FileActivity java:218)_x000D_
	at com owncloud android ui activity FileDisplayActivity onResume(FileDisplayActivity java:1206)_x000D_
	at android app Instrumentation callActivityOnResume(Instrumentation java:1356)_x000D_
	at android app Activity performResume(Activity java:7196)_x000D_
	at android app ActivityThread performResumeActivity(ActivityThread java:3602)_x000D_
	    8 more_x000D_
_x000D_
             APP INFORMATION             _x000D_
ID: com nextcloud client_x000D_
Version: 30110190_x000D_
Build flavor: gplay_x000D_
_x000D_
             DEVICE INFORMATION             _x000D_
Brand: xiaomi_x000D_
Device: vince_x000D_
Model: Redmi 5 Plus_x000D_
Id: OPM1 171019 019_x000D_
Product: vince_x000D_
_x000D_
             FIRMWARE             _x000D_
SDK: 27_x000D_
Release: 8 1 0_x000D_
Incremental: V11 0 2 0 OEGMIXM_x000D_
_x000D_
Insert your Nextcloud log here_x000D_
  NOTE:   Be super sure to remove sensitive data like passwords  note that everybody can look here  You can use the Issue Template application to prefill some of the required information: https:  apps nextcloud com apps issuetemplate_x000D_
</t>
  </si>
  <si>
    <t>material-components-material-components-android-1245</t>
  </si>
  <si>
    <t>[BottomAppBar] setting elevation crashes in version 1.1.0 stable material libraray android</t>
  </si>
  <si>
    <t xml:space="preserve">_x000D_
   _x000D_
              beginning of crash_x000D_
2020 04 25 12:05:30 436 27240 27240 com example spabooking E AndroidRuntime: FATAL EXCEPTION: main_x000D_
    Process: com example spabooking  PID: 27240_x000D_
    java lang RuntimeException: Unable to start activity ComponentInfo com example spabooking com example spabooking LandingActivity : android view InflateException: Binary XML file line  33 in com example spabooking:layout activity landing: Binary XML file line  33 in com example spabooking:layout activity landing: Error inflating class com google android material bottomappbar BottomAppBar_x000D_
        at android app ActivityThread performLaunchActivity(ActivityThread java:3374)_x000D_
        at android app ActivityThread handleLaunchActivity(ActivityThread java:3513)_x000D_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java:2109)_x000D_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Caused by: android view InflateException: Binary XML file line  33 in com example spabooking:layout activity landing: Binary XML file line  33 in com example spabooking:layout activity landing: Error inflating class com google android material bottomappbar BottomAppBar_x000D_
     Caused by: android view InflateException: Binary XML file line  33 in com example spabooking:layout activity landing: Error inflating class com google android material bottomappbar BottomAppBar_x000D_
     Caused by: java lang reflect InvocationTargetException_x000D_
        at java lang reflect Constructor newInstance0(Native Method)_x000D_
        at java lang reflect Constructor newInstance(Constructor java:343)_x000D_
        at android view LayoutInflater createView(LayoutInflater java:854)_x000D_
        at android view LayoutInflater createViewFromTag(LayoutInflater java:1006)_x000D_
        at android view LayoutInflater createViewFromTag(LayoutInflater java:961)_x000D_
        at android view LayoutInflater rInflate(LayoutInflater java:1123)_x000D_
        at android view LayoutInflater rInflateChildren(LayoutInflater java:1084)_x000D_
        at android view LayoutInflater inflate(LayoutInflater java:682)_x000D_
        at android view LayoutInflater inflate(LayoutInflater java:534)_x000D_
        at android view LayoutInflater inflate(LayoutInflater java:481)_x000D_
        at androidx appcompat app AppCompatDelegateImpl setContentView(AppCompatDelegateImpl java:555)_x000D_
        at androidx appcompat app AppCompatActivity setContentView(AppCompatActivity java:161)_x000D_
        at com example spabooking LandingActivity onCreate(LandingActivity java:337)_x000D_
        at android app Activity performCreate(Activity java:7815)_x000D_
        at android app Activity performCreate(Activity java:7804)_x000D_
        at android app Instrumentation callActivityOnCreate(Instrumentation java:1318)_x000D_
        at android app ActivityThread performLaunchActivity(ActivityThread java:3349)_x000D_
        at android app ActivityThread handleLaunchActivity(ActivityThread java:3513)_x000D_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java:2109)_x000D_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2020 04 25 12:05:30 436 27240 27240 com example spabooking E AndroidRuntime: Caused by: java lang NullPointerException: Attempt to invoke virtual method  void com google android material shape MaterialShapeDrawable setElevation(float)  on a null object reference_x000D_
        at com google android material bottomappbar BottomAppBar setElevation(BottomAppBar java:410)_x000D_
        at android view View  init (View java:5900)_x000D_
        at android view ViewGroup  init (ViewGroup java:686)_x000D_
        at android view ViewGroup  init (ViewGroup java:682)_x000D_
        at androidx appcompat widget Toolbar  init (Toolbar java:236)_x000D_
        at com google android material bottomappbar BottomAppBar  init (BottomAppBar java:219)_x000D_
        at com google android material bottomappbar BottomAppBar  init (BottomAppBar java:215)_x000D_
        	    28 more_x000D_
   _x000D_
_x000D_
_x000D_
_x000D_
  Description:   setting an android:elevation causes nullpointer exception in material version 1 1 0 stable in bottomAPPbar  _x000D_
_x000D_
_x000D_
  Expected behavior:   it should not crash obviously_x000D_
_x000D_
  Source code:     xml version  1 0  encoding  utf 8   _x000D_
 androidx coordinatorlayout widget CoordinatorLayout xmlns:android  http:  schemas android com apk res android _x000D_
    xmlns:app  http:  schemas android com apk res auto _x000D_
    android:id    id landing container _x000D_
    android:layout width  match parent _x000D_
    app:elevation   dimen dimens 16dp _x000D_
    android:layout height  match parent  _x000D_
_x000D_
_x000D_
     com google android material appbar AppBarLayout_x000D_
        android:id    id appBarLayout _x000D_
        app:elevation   dimen dimens 16dp _x000D_
        android:layout width  match parent _x000D_
        android:layout height  wrap content _x000D_
_x000D_
        android:fitsSystemWindows  true  _x000D_
_x000D_
         com google android material appbar CollapsingToolbarLayout_x000D_
            android:layout width  match parent _x000D_
            app:elevation   dimen dimens 16dp _x000D_
            android:layout height  wrap content  _x000D_
_x000D_
_x000D_
             include layout   layout layout toolbar landing  _x000D_
_x000D_
              include _x000D_
_x000D_
          com google android material appbar CollapsingToolbarLayout _x000D_
      com google android material appbar AppBarLayout _x000D_
_x000D_
_x000D_
_x000D_
     com google android material bottomappbar BottomAppBar_x000D_
        android:id    id bar _x000D_
        android:layout width  match parent _x000D_
        android:layout height  48dp _x000D_
        android:layout gravity  bottom _x000D_
        android:background   color colorBehindCard _x000D_
        android:elevation  24dp _x000D_
        android:foregroundGravity  center _x000D_
        android:gravity  center _x000D_
_x000D_
_x000D_
_x000D_
        app:contentInsetStart  0dp _x000D_
        app:fabAlignmentMode  center _x000D_
        app:fabCradleMargin  10dp _x000D_
        app:fabCradleRoundedCornerRadius  16dp _x000D_
        app:fabCradleVerticalOffset  8dp  _x000D_
_x000D_
         LinearLayout_x000D_
            android:layout width  match parent _x000D_
            android:layout height  50dp _x000D_
            android:background   color colorPrimary _x000D_
            android:elevation  55dp _x000D_
            android:gravity  center  _x000D_
_x000D_
             ImageView_x000D_
                android:id    id iv home icon _x000D_
                android:layout width  0dp _x000D_
                android:layout height   dimen bottom navigation icon height _x000D_
                android:layout gravity  center _x000D_
                android:layout weight  1 _x000D_
_x000D_
                android:background   attr selectableItemBackgroundBorderless _x000D_
                android:src   drawable img home    _x000D_
_x000D_
             ImageView_x000D_
                android:id    id ic icon my order _x000D_
                android:layout width  0dp _x000D_
_x000D_
                android:layout height   dimen bottom navigation icon height _x000D_
                android:layout gravity  center _x000D_
                android:layout marginEnd  50dp _x000D_
                android:layout weight  1 _x000D_
                android:background   attr selectableItemBackgroundBorderless _x000D_
_x000D_
                android:src   drawable img my orders  _x000D_
_x000D_
              ImageView _x000D_
_x000D_
             ImageView_x000D_
                android:id    id iv icon membership _x000D_
                android:layout width  0dp _x000D_
                android:layout height   dimen bottom navigation icon height _x000D_
                android:layout gravity  center _x000D_
                android:layout marginStart  50dp _x000D_
                android:layout weight  1 _x000D_
                android:background   attr selectableItemBackgroundBorderless _x000D_
                android:clickable  true _x000D_
                android:focusable  auto _x000D_
                android:src   drawable img membership  _x000D_
_x000D_
              ImageView _x000D_
_x000D_
_x000D_
             ImageView_x000D_
                android:id    id bottom my membership _x000D_
                android:layout width  0dp _x000D_
                android:layout height   dimen bottom navigation icon height _x000D_
                android:layout gravity  center _x000D_
                android:layout weight  1 _x000D_
                android:background   attr selectableItemBackgroundBorderless _x000D_
                android:src   drawable img my membership  _x000D_
_x000D_
              ImageView _x000D_
_x000D_
          LinearLayout _x000D_
_x000D_
_x000D_
      com google android material bottomappbar BottomAppBar _x000D_
_x000D_
_x000D_
_x000D_
     com google android material floatingactionbutton FloatingActionButton_x000D_
        android:id    id landing offer _x000D_
        android:layout width  wrap content _x000D_
        android:layout height  wrap content _x000D_
        android:backgroundTint   212121 _x000D_
        android:clickable  true _x000D_
        android:focusable  true _x000D_
        app:elevation   dimen dimens 200dp _x000D_
        android:src   drawable ic icon menu offer _x000D_
        app:layout anchor   id bar _x000D_
        app:maxImageSize  50dp    _x000D_
_x000D_
_x000D_
  androidx coordinatorlayout widget CoordinatorLayout _x000D_
_x000D_
  Android API version:   28_x000D_
_x000D_
  Material Library version:   Material Android Library version you are using here (e g   1 1 0 stable)_x000D_
_x000D_
  Device:   OnePlus 6   emulator pixel xl 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</si>
  <si>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NordicSemiconductor-Android-BLE-Library-188</t>
  </si>
  <si>
    <t>Crash in BleManager.onDeviceReady (BleManager.java:2215)</t>
  </si>
  <si>
    <t xml:space="preserve">With v2 1 1  got a crash once on Samsung Galaxy S9 (Android 10) because  mBluetoothGatt  was  null :_x000D_
_x000D_
   java_x000D_
protected void onDeviceReady()  _x000D_
    mCallbacks onDeviceReady(mBluetoothGatt getDevice()) _x000D_
 _x000D_
   _x000D_
_x000D_
Callstack:_x000D_
   _x000D_
Fatal Exception: java lang NullPointerException: Attempt to invoke virtual method  android bluetooth BluetoothDevice android bluetooth BluetoothGatt getDevice()  on a null object reference_x000D_
       at no nordicsemi android ble BleManager BleManagerGattCallback onDeviceReady(BleManager java:2215)_x000D_
       at no nordicsemi android ble BleManager BleManagerGattCallback nextRequest(BleManager java:3158)_x000D_
       at no nordicsemi android ble BleManager BleManagerGattCallback onServicesDiscoveredSafe(BleManager java:2613)_x000D_
       at no nordicsemi android ble MainThreadBluetoothGattCallback lambda onServicesDiscovered 1 MainThreadBluetoothGattCallback(MainThreadBluetoothGattCallback java:112)_x000D_
       at no nordicsemi android ble    Lambda MainThreadBluetoothGattCallback js3Daz29T8D5sg6HeYmRg0i uuU run(:6)_x000D_
       at android os Handler handleCallback(Handler java:883)_x000D_
       at android os Handler dispatchMessage(Handler java:100)_x000D_
       at android os Looper loop(Looper java:237)_x000D_
       at android app ActivityThread main(ActivityThread java:7811)_x000D_
       at java lang reflect Method invoke(Method java)_x000D_
       at com android internal os RuntimeInit MethodAndArgsCaller run(RuntimeInit java:493)_x000D_
       at com android internal os ZygoteInit main(ZygoteInit java:1076)_x000D_
   _x000D_
_x000D_
This looks like a race condition between the main thread runnable and  close()  method </t>
  </si>
  <si>
    <t>nextcloud-android-5936</t>
  </si>
  <si>
    <t>Android crashed</t>
  </si>
  <si>
    <t xml:space="preserve">    Steps to reproduce_x000D_
1  open app_x000D_
2  upload some files_x000D_
3  look at settings_x000D_
_x000D_
    Expected behaviour_x000D_
  normal interface_x000D_
_x000D_
    Actual behaviour_x000D_
  crashed_x000D_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CAUSE OF ERROR             _x000D_
_x000D_
java lang RuntimeException: Error receiving broadcast Intent   act com owncloud android files services FileUploaderUPLOAD FINISH flg 0x80010 pkg com nextcloud client (has extras)   in com owncloud android ui activity FileDisplayActivity UploadFinishReceiver 4f8c9ac_x000D_
	at android app LoadedApk ReceiverDispatcher Args lambda getRunnable 0(LoadedApk java:1540)_x000D_
	at android app    Lambda LoadedApk ReceiverDispatcher Args  BumDX2UKsnxLVrE6UJsJZkotuA run(Unknown Source:2)_x000D_
	at android os Handler handleCallback(Handler java:873)_x000D_
	at android os Handler dispatchMessage(Handler java:99)_x000D_
	at android os Looper loop(Looper java:227)_x000D_
	at android app ActivityThread main(ActivityThread java:7275)_x000D_
	at java lang reflect Method invoke(Native Method)_x000D_
	at com android internal os RuntimeInit MethodAndArgsCaller run(RuntimeInit java:575)_x000D_
	at com android internal os ZygoteInit main(ZygoteInit java:908)_x000D_
Caused by: java lang NullPointerException: Attempt to invoke virtual method  java lang String com owncloud android datamodel OCFile getRemotePath()  on a null object reference_x000D_
	at com owncloud android ui activity FileDisplayActivity UploadFinishReceiver onReceive(FileDisplayActivity java:1473)_x000D_
	at android app LoadedApk ReceiverDispatcher Args lambda getRunnable 0(LoadedApk java:1505)_x000D_
	    8 more_x000D_
_x000D_
             APP INFORMATION             _x000D_
ID: com nextcloud client_x000D_
Version: 30110090_x000D_
Build flavor: gplay_x000D_
_x000D_
             DEVICE INFORMATION             _x000D_
Brand: OPPO_x000D_
Device: OP4679_x000D_
Model: PCGM00_x000D_
Id: PKQ1 190519 001_x000D_
Product: PCGM00_x000D_
_x000D_
             FIRMWARE             _x000D_
SDK: 28_x000D_
Release: 9_x000D_
Incremental: 1578586242_x000D_
_x000D_
   _x000D_
  NOTE:   Be super sure to remove sensitive data like passwords  note that everybody can look here  You can use the Issue Template application to prefill some of the required information: https:  apps nextcloud com apps issuetemplate_x000D_
</t>
  </si>
  <si>
    <t>commons-app-apps-android-commons-3706</t>
  </si>
  <si>
    <t>Crash when trying to upload from camera or gallery</t>
  </si>
  <si>
    <t xml:space="preserve">  Summary:   _x000D_
 s When  access to gallery permission is not given  and attempted to upload from gallery  I experienced this crash:  s _x000D_
It crashes from both gallery and camera wheneverI try to upload_x000D_
_x000D_
   _x000D_
           beginning of crash_x000D_
2020 04 24 12:18:31 382 24348 24348 fr free nrw commons E AndroidRuntime: FATAL EXCEPTION: main_x000D_
    Process: fr free nrw commons  PID: 24348_x000D_
    java lang RuntimeException: Unable to start activity ComponentInfo fr free nrw commons fr free nrw commons contributions MainActivity : java lang RuntimeException: Parcel android os Parcel 12e6e78: Unmarshalling unknown type code 2131296413 at offset 13204_x000D_
        at android app ActivityThread performLaunchActivity(ActivityThread java:3123)_x000D_
        at android app ActivityThread handleLaunchActivity(ActivityThread java:3266)_x000D_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java:1957)_x000D_
        at android os Handler dispatchMessage(Handler java:106)_x000D_
        at android os Looper loop(Looper java:214)_x000D_
        at android app ActivityThread main(ActivityThread java:7099)_x000D_
        at java lang reflect Method invoke(Native Method)_x000D_
        at com android internal os RuntimeInit MethodAndArgsCaller run(RuntimeInit java:494)_x000D_
        at com android internal os ZygoteInit main(ZygoteInit java:965)_x000D_
     Caused by: java lang RuntimeException: Parcel android os Parcel 12e6e78: Unmarshalling unknown type code 2131296413 at offset 13204_x000D_
        at android os Parcel readValue(Parcel java:2763)_x000D_
        at android os Parcel readSparseArrayInternal(Parcel java:3134)_x000D_
        at android os Parcel readSparseArray(Parcel java:2367)_x000D_
        at android os Parcel readValue(Parcel java:2741)_x000D_
        at android os Parcel readArrayMapInternal(Parcel java:3053)_x000D_
        at android os BaseBundle initializeFromParcelLocked(BaseBundle java:288)_x000D_
        at android os BaseBundle unparcel(BaseBundle java:232)_x000D_
        at android os Bundle getSparseParcelableArray(Bundle java:1010)_x000D_
        at androidx fragment app FragmentManagerImpl moveToState(FragmentManagerImpl java:772)_x000D_
        at androidx fragment app FragmentManagerImpl moveFragmentToExpectedState(FragmentManagerImpl java:1238)_x000D_
        at androidx fragment app FragmentManagerImpl moveToState(FragmentManagerImpl java:1303)_x000D_
        at androidx fragment app FragmentManagerImpl dispatchStateChange(FragmentManagerImpl java:2659)_x000D_
        at androidx fragment app FragmentManagerImpl dispatchCreate(FragmentManagerImpl java:2607)_x000D_
        at androidx fragment app FragmentController dispatchCreate(FragmentController java:235)_x000D_
        at androidx fragment app FragmentActivity onCreate(FragmentActivity java:316)_x000D_
        at androidx appcompat app AppCompatActivity onCreate(AppCompatActivity java:106)_x000D_
        at fr free nrw commons di CommonsDaggerAppCompatActivity onCreate(CommonsDaggerAppCompatActivity java:24)_x000D_
        at fr free nrw commons theme BaseActivity onCreate(BaseActivity java:27)_x000D_
        at fr free nrw commons contributions MainActivity onCreate(MainActivity java:83)_x000D_
        at android app Activity performCreate(Activity java:7327)_x000D_
        at android app Activity performCreate(Activity java:7318)_x000D_
        at android app Instrumentation callActivityOnCreate(Instrumentation java:1275)_x000D_
        at android app ActivityThread performLaunchActivity(ActivityThread java:3103)_x000D_
        at android app ActivityThread handleLaunchActivity(ActivityThread java:3266) _x000D_
        at android app servertransaction LaunchActivityItem execute(LaunchActivityItem java:78) _x000D_
        at android app servertransaction TransactionExecutor executeCallbacks(TransactionExecutor java:108) _x000D_
        at android app servertransaction TransactionExecutor execute(TransactionExecutor java:68) _x000D_
        at android app ActivityThread H handleMessage(ActivityThread java:1957) _x000D_
        at android os Handler dispatchMessage(Handler java:106) _x000D_
        at android os Looper loop(Looper java:214) _x000D_
        at android app ActivityThread main(ActivityThread java:7099) _x000D_
        at java lang reflect Method invoke(Native Method) _x000D_
        at com android internal os RuntimeInit MethodAndArgsCaller run(RuntimeInit java:494) _x000D_
        at com android internal os ZygoteInit main(ZygoteInit java:965) _x000D_
2020 04 24 12:18:31 384 24348 24348 fr free nrw commons E ACRA: ACRA caught a RuntimeException for fr free nrw commons_x000D_
    java lang RuntimeException: Unable to start activity ComponentInfo fr free nrw commons fr free nrw commons contributions MainActivity : java lang RuntimeException: Parcel android os Parcel 12e6e78: Unmarshalling unknown type code 2131296413 at offset 13204_x000D_
        at android app ActivityThread performLaunchActivity(ActivityThread java:3123)_x000D_
        at android app ActivityThread handleLaunchActivity(ActivityThread java:3266)_x000D_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java:1957)_x000D_
        at android os Handler dispatchMessage(Handler java:106)_x000D_
        at android os Looper loop(Looper java:214)_x000D_
        at android app ActivityThread main(ActivityThread java:7099)_x000D_
        at java lang reflect Method invoke(Native Method)_x000D_
        at com android internal os RuntimeInit MethodAndArgsCaller run(RuntimeInit java:494)_x000D_
        at com android internal os ZygoteInit main(ZygoteInit java:965)_x000D_
     Caused by: java lang RuntimeException: Parcel android os Parcel 12e6e78: Unmarshalling unknown type code 2131296413 at offset 13204_x000D_
        at android os Parcel readValue(Parcel java:2763)_x000D_
        at android os Parcel readSparseArrayInternal(Parcel java:3134)_x000D_
        at android os Parcel readSparseArray(Parcel java:2367)_x000D_
        at android os Parcel readValue(Parcel java:2741)_x000D_
        at android os Parcel readArrayMapInternal(Parcel java:3053)_x000D_
        at android os BaseBundle initializeFromParcelLocked(BaseBundle java:288)_x000D_
        at android os BaseBundle unparcel(BaseBundle java:232)_x000D_
        at android os Bundle getSparseParcelableArray(Bundle java:1010)_x000D_
        at androidx fragment app FragmentManagerImpl moveToState(FragmentManagerImpl java:772)_x000D_
        at androidx fragment app FragmentManagerImpl moveFragmentToExpectedState(FragmentManagerImpl java:1238)_x000D_
        at androidx fragment app FragmentManagerImpl moveToState(FragmentManagerImpl java:1303)_x000D_
        at androidx fragment app FragmentManagerImpl dispatchStateChange(FragmentManagerImpl java:2659)_x000D_
        at androidx fragment app FragmentManagerImpl dispatchCreate(FragmentManagerImpl java:2607)_x000D_
        at androidx fragment app FragmentController dispatchCreate(FragmentController java:235)_x000D_
        at androidx fragment app FragmentActivity onCreate(FragmentActivity java:316)_x000D_
        at androidx appcompat app AppCompatActivity onCreate(AppCompatActivity java:106)_x000D_
        at fr free nrw commons di CommonsDaggerAppCompatActivity onCreate(CommonsDaggerAppCompatActivity java:24)_x000D_
        at fr free nrw commons theme BaseActivity onCreate(BaseActivity java:27)_x000D_
        at fr free nrw commons contributions MainActivity onCreate(MainActivity java:83)_x000D_
        at android app Activity performCreate(Activity java:7327)_x000D_
        at android app Activity performCreate(Activity java:7318)_x000D_
        at android app Instrumentation callActivityOnCreate(Instrumentation java:1275)_x000D_
   _x000D_
and this_x000D_
   _x000D_
2020 04 24 12:27:32 762 343 343 fr free nrw commons W System err: java lang NullPointerException: Attempt to invoke virtual method  int android view View getVisibility()  on a null object reference_x000D_
2020 04 24 12:27:32 763 343 343 fr free nrw commons W System err:     at android view ViewRootImpl getHostVisibility(ViewRootImpl java:1809)_x000D_
2020 04 24 12:27:32 763 343 343 fr free nrw commons W System err:     at android view ViewRootImpl handleAppVisibility(ViewRootImpl java:1445)_x000D_
2020 04 24 12:27:32 766 343 343 fr free nrw commons W System err:     at android view ViewRootImpl ViewRootHandler handleMessage(ViewRootImpl java:4829)_x000D_
2020 04 24 12:27:32 767 343 343 fr free nrw commons W System err:     at android os Handler dispatchMessage(Handler java:106)_x000D_
2020 04 24 12:27:32 767 343 343 fr free nrw commons W System err:     at android os Looper loop(Looper java:214)_x000D_
2020 04 24 12:27:32 767 343 343 fr free nrw commons W System err:     at android app ActivityThread main(ActivityThread java:7099)_x000D_
2020 04 24 12:27:32 768 343 343 fr free nrw commons W System err:     at java lang reflect Method invoke(Native Method)_x000D_
2020 04 24 12:27:32 768 343 343 fr free nrw commons W System err:     at com android internal os RuntimeInit MethodAndArgsCaller run(RuntimeInit java:494)_x000D_
2020 04 24 12:27:32 768 343 343 fr free nrw commons W System err:     at com android internal os ZygoteInit main(ZygoteInit java:965)_x000D_
2020 04 24 12:27:32 797 343 492 fr free nrw commons W libEGL: EGLNativeWindowType 0x725a451010 disconnect failed_x000D_
   </t>
  </si>
  <si>
    <t>commons-app-apps-android-commons-3705</t>
  </si>
  <si>
    <t>Crash when viewing pic I just uploaded</t>
  </si>
  <si>
    <t xml:space="preserve">Latest macgills 3601 depiction thumbnails (most probably also happens on latest master) _x000D_
Maybe not reproducible _x000D_
Steps:_x000D_
  Upload image (with depiction and no categories)_x000D_
  Tap it_x000D_
  Details activity loads  then crashes_x000D_
   _x000D_
APP VERSION CODE 561_x000D_
APP VERSION NAME 2 12 3 debug macgills 3601 depiction thumbnails_x000D_
ANDROID VERSION 9_x000D_
PHONE MODEL SM G970F_x000D_
STACK TRACE java lang IllegalStateException: The application s PagerAdapter changed the adapter s contents without calling PagerAdapter notifyDataSetChanged  Expected adapter item count: 502  found: 501 Pager id: fr free nrw commons:id mediaDetailsPager Pager class: class androidx viewpager widget ViewPager Problematic adapter: class fr free nrw commons media MediaDetailPagerFragment MediaDetailAdapter_x000D_
	at androidx viewpager widget ViewPager populate(ViewPager java:1143)_x000D_
	at androidx viewpager widget ViewPager populate(ViewPager java:1092)_x000D_
	at androidx viewpager widget ViewPager onMeasure(ViewPager java:1622)_x000D_
	at android view View measure(View java:24967)_x000D_
	at android view ViewGroup measureChildWithMargins(ViewGroup java:7134)_x000D_
	at android widget LinearLayout measureChildBeforeLayout(LinearLayout java:1535)_x000D_
	at android widget LinearLayout measureVertical(LinearLayout java:825)_x000D_
	at android widget LinearLayout onMeasure(LinearLayout java:704)_x000D_
	at android view View measure(View java:24967)_x000D_
	at android view ViewGroup measureChildWithMargins(ViewGroup java:7134)_x000D_
	at android widget FrameLayout onMeasure(FrameLayout java:185)_x000D_
	at android view View measure(View java:24967)_x000D_
	at android view ViewGroup measureChildWithMargins(ViewGroup java:7134)_x000D_
	at android widget LinearLayout measureChildBeforeLayout(LinearLayout java:1535)_x000D_
	at android widget LinearLayout measureVertical(LinearLayout java:825)_x000D_
	at android widget LinearLayout onMeasure(LinearLayout java:704)_x000D_
	at android view View measure(View java:24967)_x000D_
	at androidx viewpager widget ViewPager onMeasure(ViewPager java:1638)_x000D_
	at android view View measure(View java:24967)_x000D_
	at android view ViewGroup measureChildWithMargins(ViewGroup java:7134)_x000D_
	at android widget FrameLayout onMeasure(FrameLayout java:185)_x000D_
	at android view View measure(View java:24967)_x000D_
	at android widget RelativeLayout measureChildHorizontal(RelativeLayout java:715)_x000D_
	at android widget RelativeLayout onMeasure(RelativeLayout java:461)_x000D_
	at android view View measure(View java:24967)_x000D_
	at androidx drawerlayout widget DrawerLayout onMeasure(DrawerLayout java:1119)_x000D_
	at android view View measure(View java:24967)_x000D_
	at android view ViewGroup measureChildWithMargins(ViewGroup java:7134)_x000D_
	at android widget FrameLayout onMeasure(FrameLayout java:185)_x000D_
	at androidx appcompat widget ContentFrameLayout onMeasure(ContentFrameLayout java:143)_x000D_
	at android view View measure(View java:24967)_x000D_
	at android view ViewGroup measureChildWithMargins(ViewGroup java:7134)_x000D_
	at android widget LinearLayout measureChildBeforeLayout(LinearLayout java:1535)_x000D_
	at android widget LinearLayout measureVertical(LinearLayout java:825)_x000D_
	at android widget LinearLayout onMeasure(LinearLayout java:704)_x000D_
	at android view View measure(View java:24967)_x000D_
	at android view ViewGroup measureChildWithMargins(ViewGroup java:7134)_x000D_
	at android widget FrameLayout onMeasure(FrameLayout java:185)_x000D_
	at android view View measure(View java:24967)_x000D_
	at android view ViewGroup measureChildWithMargins(ViewGroup java:7134)_x000D_
	at android widget LinearLayout measureChildBeforeLayout(LinearLayout java:1535)_x000D_
	at android widget LinearLayout measureVertical(LinearLayout java:825)_x000D_
	at android widget LinearLayout onMeasure(LinearLayout java:704)_x000D_
	at android view View measure(View java:24967)_x000D_
	at android view ViewGroup measureChildWithMargins(ViewGroup java:7134)_x000D_
	at android widget FrameLayout onMeasure(FrameLayout java:185)_x000D_
	at com android internal policy DecorView onMeasure(DecorView java:992)_x000D_
	at android view View measure(View java:24967)_x000D_
	at android view ViewRootImpl performMeasure(ViewRootImpl java:3266)_x000D_
	at android view ViewRootImpl measureHierarchy(ViewRootImpl java:1993)_x000D_
	at android view ViewRootImpl performTraversals(ViewRootImpl java:2295)_x000D_
	at android view ViewRootImpl doTraversal(ViewRootImpl java:1853)_x000D_
	at android view ViewRootImpl TraversalRunnable run(ViewRootImpl java:8476)_x000D_
	at android view Choreographer CallbackRecord run(Choreographer java:949)_x000D_
	at android view Choreographer doCallbacks(Choreographer java:761)_x000D_
	at android view Choreographer doFrame(Choreographer java:696)_x000D_
	at android view Choreographer FrameDisplayEventReceiver run(Choreographer java:935)_x000D_
	at android os Handler handleCallback(Handler java:873)_x000D_
	at android os Handler dispatchMessage(Handler java:99)_x000D_
	at android os Looper loop(Looper java:214)_x000D_
	at android app ActivityThread main(ActivityThread java:7032)_x000D_
	at java lang reflect Method invoke(Native Method)_x000D_
	at com android internal os RuntimeInit MethodAndArgsCaller run(RuntimeInit java:494)_x000D_
	at com android internal os ZygoteInit main(ZygoteInit java:965)_x000D_
_x000D_
IS SILENT false_x000D_
USER EMAIL _x000D_
USER CRASH DATE 2020 04 24T16:47:10 709 09:00_x000D_
REPORT ID 4abadeef c5f5 49a0 9164 ad54da062257_x000D_
   </t>
  </si>
  <si>
    <t>nextcloud-android-5928</t>
  </si>
  <si>
    <t>Repeating crash in background</t>
  </si>
  <si>
    <t xml:space="preserve">    Steps to reproduce_x000D_
1  Unfortunately  it has been simply crashing periodically when running in the background  I will attempt to gather more useful feedback _x000D_
2  _x000D_
3  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</si>
  <si>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cgeo-cgeo-8241</t>
  </si>
  <si>
    <t>Google maps crashing</t>
  </si>
  <si>
    <t xml:space="preserve">Quite a lot of reports on all support channels  that c:geo crashes when opening the live map with GMaps _x000D_
Some users additionally reported  that also the native Google Maps app crashes on start  which makes me think its not our problem  _x000D_
_x000D_
I can t reproduce  but lets monitor this _x000D_
_x000D_
_x000D_
           _x000D_
Edit:_x000D_
_x000D_
Seems to be a bug on side of Google Maps  according to their issue tracker: https:  issuetracker google com issues 154855417_x000D_
_x000D_
You may want to set c:geo to use OpenStreetMap (OSM) until that s fixed   see  Settings      Map      Select Map Source      OSM: Map </t>
  </si>
  <si>
    <t>connectbot-connectbot-761</t>
  </si>
  <si>
    <t>ConnectBot crashes when opening new connection</t>
  </si>
  <si>
    <t xml:space="preserve">   Bug description_x000D_
Seemingly out of nowhere on an LG V30  phone the ConnectBot application will force close on a n attempt to establish a connection  The application was working previously fine for months and now no matter what release version (stable or latest GIT) it crashes when trying to initiate a connection_x000D_
_x000D_
I ve installed Android Studio and retrieve the stack trace and attached_x000D_
_x000D_
   Expected behavior_x000D_
Expect the terminal window to pop up  a connection to be established  and then to be prompted for credentials on this portion_x000D_
_x000D_
   Screenshots_x000D_
Video Added  _x000D_
_x000D_
   Android device_x000D_
   Device: LG LS998_x000D_
   OS: Android 8 0_x000D_
   ConnectBot Version: Latest stable but doesnt matter if latest GIT is used_x000D_
_x000D_
   Server information_x000D_
Server is irrelevant_x000D_
_x000D_
   Additional Info_x000D_
Following posts contain a copied stacktrace and video recording_x000D_
</t>
  </si>
  <si>
    <t>nextcloud-android-5926</t>
  </si>
  <si>
    <t>App crashes when opening folder that contains subfolder with many files</t>
  </si>
  <si>
    <t xml:space="preserve">    Steps to reproduce_x000D_
_x000D_
This is what I think happened  I haven t had the chance to try to reliably reproduce yet  but if someone wants me to  I could give it a try  Anyway  here goes:_x000D_
_x000D_
1  Create a folder  foo  and a subfolder  bar  inside it_x000D_
1  Create a huge number of files (4700  in my case  doesn t have to be done on Android) in  bar _x000D_
1  Open  foo  and  bar  in the Android app so it s cached  _x000D_
1  On another device (or in the web GUI)  create a new subfolder in  foo  called  baz  and move  bar  into  baz   _x000D_
1  Open  foo  in the Android app again  and it crashes _x000D_
_x000D_
             CAUSE OF ERROR             _x000D_
_x000D_
   _x000D_
android database sqlite SQLiteBlobTooBigException: Row too big to fit into CursorWindow requiredPos 3157  totalRows 1560_x000D_
	at android database sqlite SQLiteConnection nativeExecuteForCursorWindow(Native Method)_x000D_
	at android database sqlite SQLiteConnection executeForCursorWindow(SQLiteConnection java:942)_x000D_
	at android database sqlite SQLiteSession executeForCursorWindow(SQLiteSession java:838)_x000D_
	at android database sqlite SQLiteQuery fillWindow(SQLiteQuery java:62)_x000D_
	at android database sqlite SQLiteCursor fillWindow(SQLiteCursor java:161)_x000D_
	at android database sqlite SQLiteCursor onMove(SQLiteCursor java:131)_x000D_
	at android database AbstractCursor moveToPosition(AbstractCursor java:249)_x000D_
	at android database AbstractCursor moveToNext(AbstractCursor java:281)_x000D_
	at com owncloud android providers FileContentProvider deleteDirectory(FileContentProvider java:191)_x000D_
	at com owncloud android providers FileContentProvider delete(FileContentProvider java:135)_x000D_
	at com owncloud android providers FileContentProvider deleteDirectory(FileContentProvider java:185)_x000D_
	at com owncloud android providers FileContentProvider delete(FileContentProvider java:135)_x000D_
	at com owncloud android providers FileContentProvider delete(FileContentProvider java:115)_x000D_
	at android content ContentProviderOperation applyInternal(ContentProviderOperation java:342)_x000D_
	at android content ContentProviderOperation apply(ContentProviderOperation java:314)_x000D_
	at com owncloud android providers FileContentProvider applyBatch(FileContentProvider java:671)_x000D_
	at android content ContentProvider applyBatch(ContentProvider java:2179)_x000D_
	at android content ContentProvider Transport applyBatch(ContentProvider java:398)_x000D_
	at android content ContentProviderClient applyBatch(ContentProviderClient java:532)_x000D_
	at android content ContentProviderClient applyBatch(ContentProviderClient java:520)_x000D_
	at android content ContentResolver applyBatch(ContentResolver java:1915)_x000D_
	at com owncloud android datamodel FileDataStorageManager saveFolder(FileDataStorageManager java:407)_x000D_
	at com owncloud android operations RefreshFolderOperation synchronizeData(RefreshFolderOperation java:478)_x000D_
	at com owncloud android operations RefreshFolderOperation fetchAndSyncRemoteFolder(RefreshFolderOperation java:369)_x000D_
	at com owncloud android operations RefreshFolderOperation run(RefreshFolderOperation java:228)_x000D_
	at com owncloud android lib common operations RemoteOperation run(RemoteOperation java:357)_x000D_
	at java lang Thread run(Thread java:919)_x000D_
_x000D_
             APP INFORMATION             _x000D_
ID: com nextcloud client_x000D_
Version: 30110190_x000D_
Build flavor: gplay_x000D_
_x000D_
             DEVICE INFORMATION             _x000D_
Brand: OnePlus_x000D_
Device: OnePlus8Pro_x000D_
Model: IN2023_x000D_
Id: QKQ1 191222 002_x000D_
Product: OnePlus8Pro EEA_x000D_
_x000D_
             FIRMWARE             _x000D_
SDK: 29_x000D_
Release: 10_x000D_
Incremental: 2004111413_x000D_
   _x000D_
_x000D_
    Expected behaviour_x000D_
_x000D_
The app shouldn t crash  _x000D_
_x000D_
    Actual behaviour_x000D_
_x000D_
The app crashes over and over again when opening the  foo  folder  _x000D_
_x000D_
    Environment data_x000D_
Android version: 10_x000D_
_x000D_
Device model: OnePlus 8 Pro_x000D_
_x000D_
Stock or customized system: stock_x000D_
_x000D_
Nextcloud app version: 3 11 1_x000D_
_x000D_
Nextcloud server version: 18 0 3_x000D_
_x000D_
Reverse proxy: nginx</t>
  </si>
  <si>
    <t>Fitbit-bitgatt-25</t>
  </si>
  <si>
    <t>Feature/update upstream</t>
  </si>
  <si>
    <t>Fixes a crash from the system and exposes it to the consumer_x000D_
Removes test code from other build types than debug</t>
  </si>
  <si>
    <t>TeamNewPipe-NewPipe-3473</t>
  </si>
  <si>
    <t>no valid zip file when trying to import old setup</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</si>
  <si>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2_x000D_
_x000D_
    Steps to reproduce the bug_x000D_
1  go to settings_x000D_
2  import a previous new pipe set up_x000D_
3  select the file from your phone_x000D_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for me to have all of my music back so I can keep all of my play lists and my watch history_x000D_
    Actual behaviour_x000D_
     Tell us what happens instead     _x000D_
I get told  no valid zip file  everytime I try to import the setup and my playlists stay the same_x000D_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</si>
  <si>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TeamNewPipe-NewPipe-3470</t>
  </si>
  <si>
    <t>Timestamps are opened in Pop-up mode, even if i'm playing media with backround player.</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</si>
  <si>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19 2_x000D_
 _x000D_
_x000D_
    Steps to reproduce the bug_x000D_
    _x000D_
1  Go to        Any music or video_x000D_
2  Press on  i  _x000D_
3  Swipe down to       _x000D_
     _x000D_
   1  Open any video    Example: https:  www youtube com watch v RLWcYADoV84_x000D_
      2  Play it with backround player _x000D_
      3  Click timestamps on description or comments _x000D_
    4   Now even if you are playing it with backround player  it opens the timestamp on pop up mode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As you already have it playing with backround player  I expect to just open the timestamp with backround player  which means to just forward backward it to the desired timestamp _x000D_
_x000D_
    Actual behaviour_x000D_
     Tell us what happens instead     _x000D_
After clicking the timestamp  it opens on Pop up mode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</si>
  <si>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nextcloud-android-5913</t>
  </si>
  <si>
    <t>Next Nextcloud crash</t>
  </si>
  <si>
    <t xml:space="preserve">    Steps to reproduce_x000D_
1  Mind your own business watching YouTube_x000D_
2  Notice the broadcast is interrupted by Nextcloud app which opened itself by itself only to tell you it has closed itself _x000D_
_x000D_
    Expected behaviour_x000D_
YouTube is watched independently of background apps _x000D_
_x000D_
    Actual behaviour_x000D_
Broadcast is interrupted to display Nextcloud crash information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10_x000D_
_x000D_
Device model: Google Pixel_x000D_
_x000D_
Stock or customized system: stock_x000D_
_x000D_
Nextcloud app version: 3 11 1 RC_x000D_
_x000D_
Nextcloud server version: 18 0 3_x000D_
_x000D_
Reverse proxy:_x000D_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CAUSE OF ERROR             _x000D_
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lang SecurityException: Caller no longer running  last stopped  796ms because: timed out while starting_x000D_
	at android os Parcel createException(Parcel java:2071)_x000D_
	at android os Parcel readException(Parcel java:2039)_x000D_
	at android os Parcel readException(Parcel java:1987)_x000D_
	at android app job IJobCallback Stub Proxy dequeueWork(IJobCallback java:292)_x000D_
	at android app job JobParameters dequeueWork(JobParameters java:248)_x000D_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3 call(AsyncTask java:378)_x000D_
	at java util concurrent FutureTask run(FutureTask java:266)_x000D_
	    3 more_x000D_
Caused by: android os RemoteException: Remote stack trace:_x000D_
	at com android server job JobServiceContext assertCallerLocked(JobServiceContext java:493)_x000D_
	at com android server job JobServiceContext doDequeueWork(JobServiceContext java:371)_x000D_
	at com android server job JobServiceContext JobCallback dequeueWork(JobServiceContext java:160)_x000D_
	at android app job IJobCallback Stub onTransact(IJobCallback java:169)_x000D_
	at android os Binder execTransactInternal(Binder java:1021)</t>
  </si>
  <si>
    <t>google-ExoPlayer-7278</t>
  </si>
  <si>
    <t>How to correctly remove PlayerMessage?</t>
  </si>
  <si>
    <t xml:space="preserve">    Searched documentation and description of the problem _x000D_
I m developing an app where I let user listen to some audio content  My content is built with  ConcatenatingMediaSource  and provided to the user as a playlist  There are advertisements baked into my content  HLS files  In the response from the API I have information when exactly the ad begins  when user reached middle of the ad and the end of the ad  I would like to be able to send send a data to the API in those points in timeline  I have checked all of the possible options in library like  AdsMediaSource    ClippingMediaSource  and nothing matches my requirement as well as  PlayerMessage    It lets me set a  points  in my media files and be notified when user reached one _x000D_
I m using following methods to set a time when message should be sent:_x000D_
   _x000D_
 setPayload(reportingData)_x000D_
 setPosition(positionInPlaylist  (reportingData position   SECONDS TO MILLISECONDS MULTIPLIER) toLong())_x000D_
 setDeleteAfterDelivery(false)_x000D_
 setType(ADVERTISEMENT MESSAGE TYPE)_x000D_
 send()_x000D_
   _x000D_
From what I observed   PlayerMessage  is assigned to  windowIndex  (media on my playlist) and it s great  because when I for example add message to 4th  windowIndex  then remove 3rd item and I m starting playing next one (the on that have message assigned)  the message is delivered _x000D_
User can remove items in playlist and add them again  So ideally it would be to react on  Timeline  change and remove all of the messages and add it again  to make 100  sure that those are added in correct points of timeline  _x000D_
My problem is that when I m trying  cancel  a current messages:_x000D_
   _x000D_
playerMessages forEach   it cancel()  _x000D_
playerMessages clear()_x000D_
   _x000D_
and then I m adding them again in current positions  I m getting following error:_x000D_
   _x000D_
E ExoPlayerImplInternal: Internal runtime error _x000D_
    java lang IndexOutOfBoundsException: Index: 14  Size: 1_x000D_
        at java util ArrayList get(ArrayList java:437)_x000D_
        at com google android exoplayer2 ExoPlayerImplInternal maybeTriggerPendingMessages(ExoPlayerImplInternal java:1081)_x000D_
        at com google android exoplayer2 ExoPlayerImplInternal updatePlaybackPositions(ExoPlayerImplInternal java:553)_x000D_
        at com google android exoplayer2 ExoPlayerImplInternal doSomeWork(ExoPlayerImplInternal java:583)_x000D_
        at com google android exoplayer2 ExoPlayerImplInternal handleMessage(ExoPlayerImplInternal java:329)_x000D_
        at android os Handler dispatchMessage(Handler java:103)_x000D_
        at android os Looper loop(Looper java:214)_x000D_
        at android os HandlerThread run(HandlerThread java:67)_x000D_
   _x000D_
The error is not exactly related to what I m doing  but is always happening when I m deleting a  MediaSource  from the playlist that had  PlayerMessage  and I m adding it again and trying to add its  PlayerMessage s_x000D_
_x000D_
From what I can see in the crash report it says  IndexOutOfBoundsException: Index: 14  Size: 1   so it seems like the messages were removed from the list  but it somehow tries to iterate through them with higher index than the number of the items currently on the list  _x000D_
_x000D_
    Question_x000D_
My question is: is it correct use case of the  PlayerMessage   Maybe there is a better tool for this use case  Ideally it would be if I could add the  points  to  MediaSource  directly and be notified when user reached one  but I didn t find a way to do that _x000D_
It I m not abusing  PlayerMessage   then why I m getting an error when trying to add them more </t>
  </si>
  <si>
    <t>TeamNewPipe-NewPipe-3469</t>
  </si>
  <si>
    <t>Error when searching on SoundCloud</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</si>
  <si>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2_x000D_
_x000D_
    Steps to reproduce the bug_x000D_
Select SoundCloud before mainscreen loads _x000D_
try searching something and error will show up _x000D_
you can search before loading mainscreen by slowing your internet_x000D_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it should show up your searched songs_x000D_
_x000D_
    Actual behaviour_x000D_
     Tell us what happens instead     _x000D_
it shows error_x000D_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img src  https:  user images githubusercontent com 64121209 79943154 cc389b00 8485 11ea 9d10 c11ade4fb37d png  width  200  </t>
  </si>
  <si>
    <t>TeamNewPipe-NewPipe-3468</t>
  </si>
  <si>
    <t>0.19.2</t>
  </si>
  <si>
    <t>sqlcipher-android-database-sqlcipher-507</t>
  </si>
  <si>
    <t>SQLCipher crash on android 5, device oppo</t>
  </si>
  <si>
    <t xml:space="preserve">    Expected Behavior_x000D_
_x000D_
    Actual Behavior_x000D_
_x000D_
    Steps to Reprod_x000D_
_x000D_
Open app and crash_x000D_
_x000D_
SQLCipher version (can be identified by executing  PRAGMA cipher version  ): 4 3 0_x000D_
_x000D_
SQLCipher for Android version: Android oppo 5 0_x000D_
_x000D_
 I get the below info  Hope it helps to fix in android 5 oppo_x000D_
The logcat message:_x000D_
_x000D_
  04 20 04:47:28 845 29231 29231   W linker:  data app net vinid module common sample 2 lib arm64 libcproxy so: unused DT entry: type 0x6ffffffe arg 0x17328_x000D_
_x000D_
04 20 04:47:28 845 29231 29231   W linker:  data app net vinid module common sample 2 lib arm64 libcproxy so: unused DT entry: type 0x6fffffff arg 0x3_x000D_
04 20 04:47:28 875 29231 29274   W GooglePlayServicesUtil: Google Play services out of date  Requires 11925000 but found 8301240_x000D_
04 20 04:47:28 885 29231 29231   W FirebaseRemoteConfig: No value of type  String  exists for parameter key  android cert pinning  _x000D_
04 20 04:47:28 905 975 975   W keystore: Could not read CACERT ALIAS ENCRYPTION KEY_x000D_
04 20 04:47:29 065 29231 29231   W linker:  data app net vinid module common sample 2 lib arm64 libsqlcipher so: unused DT entry: type 0x6ffffef5 arg 0x12d0_x000D_
04 20 04:47:29 065 29231 29231   W linker:  data app net vinid module common sample 2 lib arm64 libsqlcipher so: unused DT entry: type 0x6ffffffe arg 0x8558_x000D_
04 20 04:47:29 065 29231 29231   W linker:  data app net vinid module common sample 2 lib arm64 libsqlcipher so: unused DT entry: type 0x6fffffff arg 0x3_x000D_
_x000D_
After running android elf cleaner  and run the command like  developernotes guides  I get below output_x000D_
_x000D_
    prebuilt darwin x86 64 bin arm linux androideabi readelf   dynamic  Users hiennt98 Desktop libsqlcipher so_x000D_
_x000D_
Dynamic section at offset 0x333d10 contains 27 entries:_x000D_
Tag Type Name Value_x000D_
0x0000000000000001 (NEEDED) Shared library:  liblog so _x000D_
0x0000000000000001 (NEEDED) Shared library:  libc so _x000D_
0x0000000000000001 (NEEDED) Shared library:  libm so _x000D_
0x0000000000000001 (NEEDED) Shared library:  libdl so _x000D_
0x000000000000000e (SONAME) Library soname:  libsqlcipher so _x000D_
0x0000000000000019 (INIT ARRAY) 0x31eff0_x000D_
0x000000000000001b (INIT ARRAYSZ) 8 (bytes)_x000D_
0x000000000000001a (FINI ARRAY) 0x31eff8_x000D_
0x000000000000001c (FINI ARRAYSZ) 16 (bytes)_x000D_
0x0000000000000004 (HASH) 0x228_x000D_
0x000000006ffffef5 (GNU HASH) 0x12d0_x000D_
0x0000000000000005 (STRTAB) 0x5210_x000D_
0x0000000000000006 (SYMTAB) 0x1f28_x000D_
0x000000000000000a (STRSZ) 12036 (bytes)_x000D_
0x000000000000000b (SYMENT) 24 (bytes)_x000D_
0x0000000000000003 (PLTGOT) 0x343f20_x000D_
0x0000000000000002 (PLTRELSZ) 6480 (bytes)_x000D_
0x0000000000000014 (PLTREL) RELA_x000D_
0x0000000000000017 (JMPREL) 0x483e0_x000D_
0x0000000000000007 (RELA) 0x85b8_x000D_
0x0000000000000008 (RELASZ) 261672 (bytes)_x000D_
0x0000000000000009 (RELAENT) 24 (bytes)_x000D_
0x000000000000001e (FLAGS) BIND NOW_x000D_
0x000000006ffffffb (FLAGS 1) Flags: NOW_x000D_
0x000000006ffffff9 (RELACOUNT) 10625_x000D_
0x000000006ffffff0 (VERSYM) 0x8114_x000D_
0x0000000000000000 (NULL) 0x3_x000D_
_x000D_
  _x000D_
 libsqlcipher so zip (https:  github com sqlcipher android database sqlcipher files 4513605 libsqlcipher so zip)_x000D_
  prebuilt darwin x86 64 bin arm linux androideabi readelf   dynamic  Users hiennt98 Desktop libcproxy so_x000D_
_x000D_
Dynamic section at offset 0x195430 contains 27 entries:_x000D_
Tag Type Name Value_x000D_
0x0000000000000001 (NEEDED) Shared library:  libm so _x000D_
0x0000000000000001 (NEEDED) Shared library:  liblog so _x000D_
0x0000000000000001 (NEEDED) Shared library:  libdl so _x000D_
0x0000000000000001 (NEEDED) Shared library:  libc so _x000D_
0x000000000000000e (SONAME) Library soname:  libcproxy so _x000D_
0x0000000000000010 (SYMBOLIC) 0x0_x000D_
0x0000000000000019 (INIT ARRAY) 0x19ccc8_x000D_
0x000000000000001b (INIT ARRAYSZ) 8 (bytes)_x000D_
0x000000000000001a (FINI ARRAY) 0x19ccd0_x000D_
0x000000000000001c (FINI ARRAYSZ) 16 (bytes)_x000D_
0x0000000000000004 (HASH) 0x190_x000D_
0x0000000000000005 (STRTAB) 0xd510_x000D_
0x0000000000000006 (SYMTAB) 0x2da0_x000D_
0x000000000000000a (STRSZ) 36893 (bytes)_x000D_
0x000000000000000b (SYMENT) 24 (bytes)_x000D_
0x0000000000000003 (PLTGOT) 0x1a5640_x000D_
0x0000000000000002 (PLTRELSZ) 3360 (bytes)_x000D_
0x0000000000000014 (PLTREL) RELA_x000D_
0x0000000000000017 (JMPREL) 0x20268_x000D_
0x0000000000000007 (RELA) 0x17388_x000D_
0x0000000000000008 (RELASZ) 36576 (bytes)_x000D_
0x0000000000000009 (RELAENT) 24 (bytes)_x000D_
0x0000000000000018 (BIND NOW)_x000D_
0x000000006ffffffb (FLAGS 1) Flags: NOW_x000D_
0x000000006ffffff9 (RELACOUNT) 1522_x000D_
0x000000006ffffff0 (VERSYM) 0x1652e_x000D_
0x0000000000000000 (NULL) 0x3_x000D_
_x000D_
I attached the libsqlcipher so and http:  libcproxy so  file  which has run with android elf cleaner_x000D_
 libsqlcipher so zip (https:  github com sqlcipher android database sqlcipher files 4513619 libsqlcipher so zip)_x000D_
_x000D_
 libcproxy so zip (https:  github com sqlcipher android database sqlcipher files 4513606 libcproxy so zip)</t>
  </si>
  <si>
    <t>BogdanDinescu-EventiFind-13</t>
  </si>
  <si>
    <t>Stergere eveniment</t>
  </si>
  <si>
    <t xml:space="preserve">Cand stergi un eveniment  acesta figureaza in continuare ca joined la cei care au dat join  Aceasta poate cauza crash atunci cand utilizatorul vrea sa vada evenimentele la care a dat join  In plus ca raman date redundante in baza de date </t>
  </si>
  <si>
    <t>google-ExoPlayer-7273</t>
  </si>
  <si>
    <t>ExoPlayer Looper.myLooper() internal crash on dev-2 branch with DASH Live stream WV L3</t>
  </si>
  <si>
    <t xml:space="preserve">_x000D_
     REQUIRED  Issue description_x000D_
Regarding an already filed issue (https:  github com google ExoPlayer issues 6348) what is happening also with the streams and devices we are working with  we have done some testing with the   dev 2   branch (checked out on 12 of April 2020)  It turned out that the playback of live stream is not starting  Looking into the logs the issue was identified in SampleQueue java function onFormatResult line 800 _x000D_
The crash was because the assertion have failed for Looper myLooper() _x000D_
Replacing it with Looper getMainLooper() didn t crash and playback works nicely _x000D_
_x000D_
     REQUIRED  Reproduction steps_x000D_
This is an application what we develop for one of our clients _x000D_
There are Live DASH streams with protected with WideVine L3 _x000D_
_x000D_
_x000D_
     REQUIRED  Link to test content_x000D_
A test stream and additional will be shared separately in an e mail _x000D_
_x000D_
     REQUIRED  A full bug report captured from the device_x000D_
_x000D_
     REQUIRED  Version of ExoPlayer being used_x000D_
 ExoPlayerLib 2 11 4  from   dev 2   branch  checked out on 18 of April 2020 _x000D_
_x000D_
_x000D_
     REQUIRED  Device(s) and version(s) of Android being used_x000D_
Samsung Galaxy S10 with Android 10 _x000D_
Crash happened in 100 _x000D_
</t>
  </si>
  <si>
    <t>fiskaly-fiskaly-sdk-java-2</t>
  </si>
  <si>
    <t>Random segmentation faults</t>
  </si>
  <si>
    <t xml:space="preserve">Hello  I m getting random JVM segmentation faults when using this client in version 1 1 301 jre with com fiskaly client linux amd64 v1 1 300 so:_x000D_
_x000D_
This happens constantly when running  FiskalyHttpClientTest requestBasic  with OpenJDK 11 and less often but still occasionally when using OpenJDK 8:_x000D_
_x000D_
   _x000D_
  A fatal error has been detected by the Java Runtime Environment:_x000D_
 _x000D_
   SIGSEGV (0xb) at pc 0x00007fc2303f47d8  pid 2233  tid 2260_x000D_
 _x000D_
  JRE version: OpenJDK Runtime Environment (11 0 6 10) (build 11 0 6 10 post Ubuntu 1ubuntu119 10 1)_x000D_
  Java VM: OpenJDK 64 Bit Server VM (11 0 6 10 post Ubuntu 1ubuntu119 10 1  mixed mode  sharing  tiered  compressed oops  g1 gc  linux amd64)_x000D_
  Problematic frame:_x000D_
  J 405 c2 java lang String hashCode()I java base 11 0 6 (49 bytes)   0x00007fc2303f47d8  0x00007fc2303f4620 0x00000000000001b8 _x000D_
   _x000D_
_x000D_
When I remove  Native setProtected(true)   from  ClientLibrary java  it seems to run stable without JVM crashes _x000D_
_x000D_
Please let me know if you need further information such as the JVM error report file </t>
  </si>
  <si>
    <t>material-components-material-components-android-1229</t>
  </si>
  <si>
    <t>[MaterialAlertDialogBuilder] MaterialAlertDialogBuilder crashes because of Theme</t>
  </si>
  <si>
    <t xml:space="preserve">  Description:       java lang IllegalArgumentException: The style on this component requires your app theme to be Theme AppCompat (or a descendant) _x000D_
_x000D_
_x000D_
  Expected behavior:   shouldn t crash_x000D_
_x000D_
  Source code:   MaterialAlertDialogBuilder(activity)_x000D_
                             setTitle(R string logout title)_x000D_
                             setMessage(R string logout message)_x000D_
                             setPositiveButton(R string logout positive btn label  null)_x000D_
                             setNegativeButton(R string logout negative btn label  null)_x000D_
                             create()_x000D_
_x000D_
  Theme:   style name  Theme MyApp  parent  Base Theme MyApp    _x000D_
  item name  materialAlertDialogTheme   style ThemeOverlay App MaterialAlertDialog  item _x000D_
_x000D_
_x000D_
_x000D_
  Android API version:   29_x000D_
_x000D_
  Material Library version:   com google android material:material:1 2 0 alpha06_x000D_
_x000D_
  Device:   Nokia 6 1 plus_x000D_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</si>
  <si>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SubhamTyagi-Last-Launcher-55</t>
  </si>
  <si>
    <t>Backup button makes a crash on android 6</t>
  </si>
  <si>
    <t xml:space="preserve">dear devs the backup button makes a crash on android 6  can you fix it all just give me some advice on that _x000D_
_x000D_
 Originally posted by  wyfhust in https:  github com SubhamTyagi Last Launcher issues 28 issuecomment 615252303 </t>
  </si>
  <si>
    <t>jaychenblue-scout-concordia-290</t>
  </si>
  <si>
    <t>Fix for the app crash on map click immediately after application launch</t>
  </si>
  <si>
    <t xml:space="preserve">Fixes the app crash on map click immediately after application launch _x000D_
_x000D_
Implementation details:_x000D_
   a try catch block to handle nullable exceptions as some resources being set are still at the time of the event as the event to assign them some value has not yet occured </t>
  </si>
  <si>
    <t>jaychenblue-scout-concordia-287</t>
  </si>
  <si>
    <t>D-9 App crash when clicking on map immediately after launch</t>
  </si>
  <si>
    <t xml:space="preserve">  ID  : D 23_x000D_
  Name  : App crashes when clicking on map immediately after launch_x000D_
  Related to issue  :_x000D_
  Reported by  : Manpreet Sohal_x000D_
  Submitted  : 2020 04 19_x000D_
     Environment  _x000D_
  Device  : Galaxy A8_x000D_
  API Version  : API 28_x000D_
     Details  _x000D_
  Summary  : _x000D_
Application crashes after a click on map when application is first launched _x000D_
  Steps to reproduce  :_x000D_
1  Launch the application_x000D_
2  Click anywhere on the map_x000D_
_x000D_
  Expected results  :_x000D_
 Application should handle the click appropriately is to where the on click event happens and should not crash regardless of where the click occurs and whether any event should occur or not _x000D_
  Actual results  :_x000D_
Application crashes _x000D_
     Severity  _x000D_
  Severity  : High_x000D_
  Priority  : High</t>
  </si>
  <si>
    <t>TeamNewPipe-NewPipe-3457</t>
  </si>
  <si>
    <t>Back button when viewing downloads info takes back to home rather than downloads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</si>
  <si>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v0 19 2_x000D_
_x000D_
    Steps to reproduce the bug_x000D_
    _x000D_
1  Go to      _x000D_
2  Press on       _x000D_
3  Swipe down to       _x000D_
   _x000D_
_x000D_
  go to downloads list_x000D_
   show info (https:  i imgur com QZ624wm jpg)_x000D_
   press either back or up button (https:  i imgur com pwXqx3Z jpg)_x000D_
   where I end up (https:  i imgur com bC1YuNr jpg)_x000D_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Expected to end up back in downloads list_x000D_
_x000D_
    Actual behaviour_x000D_
     Tell us what happens instead     _x000D_
ended up home page_x000D_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</si>
  <si>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skynet-im-skynet-android-27</t>
  </si>
  <si>
    <t>Bugfixes</t>
  </si>
  <si>
    <t xml:space="preserve">Again  multiple bugfixes and enhancements:_x000D_
_x000D_
  An old sporadic internal RecyclerView crash_x000D_
  Improve message state reliability by rewriting packet awaiter_x000D_
  Some minor improvements _x000D_
  Issue  26 _x000D_
  Issue  20 _x000D_
  Issue  18 _x000D_
  Issue  30 _x000D_
  Issue  31 </t>
  </si>
  <si>
    <t>nextcloud-android-5900</t>
  </si>
  <si>
    <t>Crashing on launch</t>
  </si>
  <si>
    <t xml:space="preserve">    Steps to reproduce_x000D_
1  Select autoupload_x000D_
2  Reboot phone_x000D_
3  Try to open app_x000D_
_x000D_
    Expected behaviour_x000D_
  Tell us what should happen_x000D_
App should open up _x000D_
    Actual behaviour_x000D_
  Tell us what happens_x000D_
App crashes_x000D_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10_x000D_
Device model: _x000D_
SM N960U_x000D_
Stock or customized system:_x000D_
Stock_x000D_
Nextcloud app version:_x000D_
30110090_x000D_
Nextcloud server version:_x000D_
18 0 1_x000D_
Reverse proxy:_x000D_
_x000D_
    Log _x000D_
             CAUSE OF ERROR             _x000D_
_x000D_
java lang RuntimeException: Unable to resume activity  com nextcloud client com owncloud android ui activity FileDisplayActivity : android database sqlite SQLiteBlobTooBigException: Row too big to fit into CursorWindow requiredPos 9  totalRows 10_x000D_
	at android app ActivityThread performResumeActivity(ActivityThread java:4411)_x000D_
	at android app ActivityThread handleResumeActivity(ActivityThread java:4443)_x000D_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java:2147)_x000D_
	at android os Handler dispatchMessage(Handler java:107)_x000D_
	at android os Looper loop(Looper java:237)_x000D_
	at android app ActivityThread main(ActivityThread java:7811)_x000D_
	at java lang reflect Method invoke(Native Method)_x000D_
	at com android internal os RuntimeInit MethodAndArgsCaller run(RuntimeInit java:493)_x000D_
	at com android internal os ZygoteInit main(ZygoteInit java:1076)_x000D_
Caused by: android database sqlite SQLiteBlobTooBigException: Row too big to fit into CursorWindow requiredPos 9  totalRows 10_x000D_
	at android database sqlite SQLiteConnection nativeExecuteForCursorWindow(Native Method)_x000D_
	at android database sqlite SQLiteConnection executeForCursorWindow(SQLiteConnection java:1196)_x000D_
	at android database sqlite SQLiteSession executeForCursorWindow(SQLiteSession java:838)_x000D_
	at android database sqlite SQLiteQuery fillWindow(SQLiteQuery java:62)_x000D_
	at android database sqlite SQLiteCursor fillWindow(SQLiteCursor java:173)_x000D_
	at android database sqlite SQLiteCursor onMove(SQLiteCursor java:134)_x000D_
	at android database AbstractCursor moveToPosition(AbstractCursor java:249)_x000D_
	at android database AbstractCursor moveToNext(AbstractCursor java:281)_x000D_
	at android database CursorWrapper moveToNext(CursorWrapper java:206)_x000D_
	at com owncloud android datamodel FileDataStorageManager getFolderContent(FileDataStorageManager java:880)_x000D_
	at com owncloud android datamodel FileDataStorageManager getFolderContent(FileDataStorageManager java:158)_x000D_
	at com owncloud android ui adapter OCFileListAdapter swapDirectory(OCFileListAdapter java:803)_x000D_
	at com owncloud android ui fragment OCFileListFragment listDirectory(OCFileListFragment java:1249)_x000D_
	at com owncloud android ui fragment OCFileListFragment listDirectory(OCFileListFragment java:1194)_x000D_
	at com owncloud android ui fragment OCFileListFragment listDirectory(OCFileListFragment java:1183)_x000D_
	at com owncloud android ui activity FileDisplayActivity updateListOfFilesFragment(FileDisplayActivity java:699)_x000D_
	at com owncloud android ui activity FileDisplayActivity onResume(FileDisplayActivity java:1218)_x000D_
	at android app Instrumentation callActivityOnResume(Instrumentation java:1454)_x000D_
	at android app Activity performResume(Activity java:8103)_x000D_
	at android app ActivityThread performResumeActivity(ActivityThread java:4401)_x000D_
	    11 more_x000D_
_x000D_
             APP INFORMATION             _x000D_
ID: com nextcloud client_x000D_
Version: 30110090_x000D_
Build flavor: gplay_x000D_
_x000D_
             DEVICE INFORMATION             _x000D_
Brand: samsung_x000D_
Device: crownqltesq_x000D_
Model: SM N960U_x000D_
Id: QP1A 190711 020_x000D_
Product: crownqltesq_x000D_
_x000D_
             FIRMWARE             _x000D_
SDK: 29_x000D_
Release: 10_x000D_
Incremental: N960USQS3DTB1_x000D_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</si>
  <si>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inaturalist-iNaturalistAndroid-816</t>
  </si>
  <si>
    <t>NullPointerException in ObservationViewerActivity.refreshDataQuality</t>
  </si>
  <si>
    <t>https:  console firebase google com u 2 project inaturalist ios crashlytics app android:org inaturalist android issues 9a91c3465060527670425fc2e7fe7689 time last seven days sessionId 5E9B132B03130002336B8BCDA75DA889 DNE 0 v2_x000D_
_x000D_
   _x000D_
Caused by java lang NullPointerException: Attempt to read from field  java lang Integer org inaturalist android Observation id  on a null object reference_x000D_
       at org inaturalist android ObservationViewerActivity refreshDataQuality(ObservationViewerActivity java:1583)_x000D_
       at org inaturalist android ObservationViewerActivity onCreate(ObservationViewerActivity java:781)_x000D_
       at android app Activity performCreate(Activity java:7458)_x000D_
       at android app Activity performCreate(Activity java:7448)_x000D_
       at android app Instrumentation callActivityOnCreate(Instrumentation java:1286)_x000D_
       at android app ActivityThread performLaunchActivity(ActivityThread java:3409)_x000D_
       at android app ActivityThread handleLaunchActivity(ActivityThread java:3614)_x000D_
       at android app servertransaction LaunchActivityItem execute(LaunchActivityItem java:86)_x000D_
       at android app servertransaction TransactionExecutor executeCallbacks(TransactionExecutor java:108)_x000D_
       at android app servertransaction TransactionExecutor execute(TransactionExecutor java:68)_x000D_
       at android app ActivityThread H handleMessage(ActivityThread java:2199)_x000D_
   _x000D_
_x000D_
1 18 5 (411)</t>
  </si>
  <si>
    <t>inaturalist-iNaturalistAndroid-815</t>
  </si>
  <si>
    <t>NullPointerException in ObservationListActivity$UserDetailsReceiver</t>
  </si>
  <si>
    <t>https:  console firebase google com u 2 project inaturalist ios crashlytics app android:org inaturalist android issues a00a4d774dad57a465bc682a84502360 time last seven days sessionId 5E99C8EA01310001076A54737368C0D0 DNE 0 v2_x000D_
_x000D_
   _x000D_
Caused by java lang NullPointerException: Attempt to invoke virtual method  boolean java lang String equals(java lang Object)  on a null object reference_x000D_
       at org inaturalist android ObservationListActivity UserDetailsReceiver onReceive(ObservationListActivity java:1641)_x000D_
       at android app LoadedApk ReceiverDispatcher Args lambda  android app LoadedApk ReceiverDispatcher Args 52226(LoadedApk java:1319)_x000D_
       at android app   Lambda FilBqgnXJrN9Mgyks1XHeAxzSTk  m 0(:4)_x000D_
       at android app   Lambda FilBqgnXJrN9Mgyks1XHeAxzSTk run()_x000D_
       at android os Handler handleCallback(Handler java:789)_x000D_
       at android os Handler dispatchMessage(Handler java:98)_x000D_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_x000D_
_x000D_
1 18 5 (411)</t>
  </si>
  <si>
    <t>inaturalist-iNaturalistAndroid-814</t>
  </si>
  <si>
    <t>IndexOutOfBoundsException in ObservationPhotosViewer</t>
  </si>
  <si>
    <t>https:  console firebase google com u 2 project inaturalist ios crashlytics app android:org inaturalist android issues 5a384a3d088a50aadd3c7694b5e4ba4b time last seven days sessionId 5E9B37A3035D0001611647652BA567DC DNE 0 v2_x000D_
_x000D_
   _x000D_
Caused by java lang IndexOutOfBoundsException: Index: 1  Size: 1_x000D_
       at java util ArrayList set(ArrayList java:453)_x000D_
       at org inaturalist android ObservationPhotosViewer onActivityResult(ObservationPhotosViewer java:230)_x000D_
       at android app Activity dispatchActivityResult(Activity java:7762)_x000D_
       at android app ActivityThread deliverResults(ActivityThread java:4603)_x000D_
       at android app ActivityThread handleSendResult(ActivityThread java:4652)_x000D_
       at android app servertransaction ActivityResultItem execute(ActivityResultItem java:49)_x000D_
       at android app servertransaction TransactionExecutor executeCallbacks(TransactionExecutor java:108)_x000D_
       at android app servertransaction TransactionExecutor execute(TransactionExecutor java:68)_x000D_
       at android app ActivityThread H handleMessage(ActivityThread java:1948)_x000D_
       at android os Handler dispatchMessage(Handler java:106)_x000D_
       at android os Looper loop(Looper java:214)_x000D_
   _x000D_
_x000D_
In  1 18 5</t>
  </si>
  <si>
    <t>cgeo-cgeo-8226</t>
  </si>
  <si>
    <t>android.os.BadParcelableException in cgeo.geocaching.maps.routing</t>
  </si>
  <si>
    <t xml:space="preserve">Reported as new crash with 2020 04 15 RC on Google Play _x000D_
Several devices running Android 9 or 10 _x000D_
_x000D_
   _x000D_
java lang RuntimeException: _x000D_
 _x000D_
  at android app ActivityThread performLaunchActivity (ActivityThread java:3488)_x000D_
 _x000D_
  at android app ActivityThread handleLaunchActivity (ActivityThread java:3635)_x000D_
 _x000D_
  at android app servertransaction LaunchActivityItem execute (LaunchActivityItem java:83)_x000D_
 _x000D_
  at android app servertransaction TransactionExecutor executeCallbacks (TransactionExecutor java:135)_x000D_
 _x000D_
  at android app servertransaction TransactionExecutor execute (TransactionExecutor java:95)_x000D_
 _x000D_
  at android app ActivityThread H handleMessage (ActivityThread java:2175)_x000D_
 _x000D_
  at android os Handler dispatchMessage (Handler java:107)_x000D_
 _x000D_
  at android os Looper loop (Looper java:237)_x000D_
 _x000D_
  at android app ActivityThread main (ActivityThread java:7857)_x000D_
 _x000D_
  at java lang reflect Method invoke (Native Method)_x000D_
 _x000D_
  at com android internal os RuntimeInit MethodAndArgsCaller run (RuntimeInit java:493)_x000D_
 _x000D_
  at com android internal os ZygoteInit main (ZygoteInit java:1076)_x000D_
Caused by: android os BadParcelableException: _x000D_
 _x000D_
  at android os Parcel readParcelableCreator (Parcel java:3059)_x000D_
 _x000D_
  at android os Parcel readParcelable (Parcel java:2981)_x000D_
 _x000D_
  at android os Parcel readValue (Parcel java:2883)_x000D_
 _x000D_
  at android os Parcel readListInternal (Parcel java:3324)_x000D_
 _x000D_
  at android os Parcel readArrayList (Parcel java:2467)_x000D_
 _x000D_
  at cgeo geocaching maps routing Route  init  (Route java:261)_x000D_
 _x000D_
  at cgeo geocaching maps routing Route 1 createFromParcel (Route java:250)_x000D_
 _x000D_
  at cgeo geocaching maps routing Route 1 createFromParcel (Route java:246)_x000D_
 _x000D_
  at android os Parcel readParcelable (Parcel java:2990)_x000D_
 _x000D_
  at android os Parcel readValue (Parcel java:2883)_x000D_
 _x000D_
  at android os Parcel readArrayMapInternal (Parcel java:3261)_x000D_
 _x000D_
  at android os BaseBundle initializeFromParcelLocked (BaseBundle java:292)_x000D_
 _x000D_
  at android os BaseBundle unparcel (BaseBundle java:236)_x000D_
 _x000D_
  at android os BaseBundle getBoolean (BaseBundle java:899)_x000D_
 _x000D_
  at android app Activity restoreHasCurrentPermissionRequest (Activity java:8279)_x000D_
 _x000D_
  at android app Activity performCreate (Activity java:7951)_x000D_
 _x000D_
  at android app Activity performCreate (Activity java:7944)_x000D_
 _x000D_
  at android app Instrumentation callActivityOnCreate (Instrumentation java:1307)_x000D_
 _x000D_
  at android app ActivityThread performLaunchActivity (ActivityThread java:3463)_x000D_
   </t>
  </si>
  <si>
    <t>TeamNewPipe-NewPipe-3453</t>
  </si>
  <si>
    <t>Video Restarts when copying the link to the clipboard</t>
  </si>
  <si>
    <t xml:space="preserve">When watching a video if you try to copy the link to the clipboard  the video itself actually restarts and instead of resuming from where you left it goes back to the very beginning of the video_x000D_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2_x000D_
_x000D_
    Steps to reproduce the bug_x000D_
    _x000D_
1  Go to      _x000D_
2  Press on       _x000D_
3  Swipe down to       _x000D_
   _x000D_
Play a video  Pause it  Try sharing it by copying it trough the clipboard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The video should ve resumed from the point I was watching  _x000D_
    Actual behaviour_x000D_
     Tell us what happens instead     _x000D_
The video came back to the start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t>
  </si>
  <si>
    <t>TeamNewPipe-NewPipe-3451</t>
  </si>
  <si>
    <t xml:space="preserve">Can't some play videos at 720/ 480p </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</si>
  <si>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19 2_x000D_
_x000D_
    Steps to reproduce the bug_x000D_
_x000D_
1  Go to  https:  youtu be 7q12 f3UM9g _x000D_
2  Select the 480p Quality from either the Downoad or Play Option_x000D_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the video should be playing in 480p_x000D_
_x000D_
    Actual behaviour_x000D_
     Tell us what happens instead     _x000D_
the video isnt playing in 480p but im getting  black loading screen_x000D_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Screenshot 20200418 112707 (https:  user images githubusercontent com 29801315 79629478 ca11cc00 8167 11ea 88d8 42ce5c9e14be png)_x000D_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</si>
  <si>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JuergenKleck-android-lwp-fishes-2</t>
  </si>
  <si>
    <t>Refactor rendering engine</t>
  </si>
  <si>
    <t>The LWP settings currently cause a crash when directly embedding in the xml with the rendering engine _x000D_
Therefore it is a custom activity as of now _x000D_
Either fix the crash in the GameEngine when calling unlockCanvasAndPost() or rewrite the engine to use OpenGLES 2</t>
  </si>
  <si>
    <t>TeamNewPipe-NewPipe-3447</t>
  </si>
  <si>
    <t>UI crash when resuming the about activity</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</si>
  <si>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v0 19 2_x000D_
_x000D_
    Steps to reproduce the bug_x000D_
    _x000D_
1  Go to      _x000D_
2  Press on       _x000D_
3  Swipe down to       _x000D_
   _x000D_
1  Open the app_x000D_
2  Select about from the hamburger menu_x000D_
3  (Maybe not necessery) scroll down a bit_x000D_
4  Open a resource heavy app (like snapchat) so it pauses the NewPipe activity_x000D_
5  Re open the NewPipe app_x000D_
6   Crashes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Resume the about activity app or redirect to the home activity _x000D_
_x000D_
    Actual behaviour_x000D_
     Tell us what happens instead     _x000D_
An exception occured_x000D_
_x000D_
    Device information   exception information_x000D_
_x000D_
  Key   Value  _x000D_
         _x000D_
  Action   UI Error  _x000D_
  Content Language   nl NL  _x000D_
  Service   None  _x000D_
  Package   org schabi newpipe  _x000D_
  Version   0 19 2  _x000D_
  OS   Linux samsung starltexx starlte:10 QP1A 190711 020 G960FXXU7DTAA:user release keys 10   29  _x000D_
  Device   Samsung Galaxy S9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_x000D_
java lang RuntimeException: Unable to start activity ComponentInfo org schabi newpipe org schabi newpipe about AboutActivity : java lang ClassCastException: android os Parcelable   cannot be cast to org schabi newpipe about SoftwareComponent  _x000D_
	at android app ActivityThread performLaunchActivity(ActivityThread java:3448)_x000D_
	at android app ActivityThread handleLaunchActivity(ActivityThread java:3595)_x000D_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java:2147)_x000D_
	at android os Handler dispatchMessage(Handler java:107)_x000D_
	at android os Looper loop(Looper java:237)_x000D_
	at android app ActivityThread main(ActivityThread java:7811)_x000D_
	at java lang reflect Method invoke(Native Method)_x000D_
	at com android internal os RuntimeInit MethodAndArgsCaller run(RuntimeInit java:493)_x000D_
	at com android internal os ZygoteInit main(ZygoteInit java:1076)_x000D_
Caused by: java lang ClassCastException: android os Parcelable   cannot be cast to org schabi newpipe about SoftwareComponent  _x000D_
	at org schabi newpipe about LicenseFragment onCreate(LicenseFragment java:49)_x000D_
	at androidx fragment app Fragment performCreate(Fragment java:2586)_x000D_
	at androidx fragment app FragmentManagerImpl moveToState(FragmentManagerImpl java:838)_x000D_
	at androidx fragment app FragmentManagerImpl moveFragmentToExpectedState(FragmentManagerImpl java:1238)_x000D_
	at androidx fragment app FragmentManagerImpl moveToState(FragmentManagerImpl java:1303)_x000D_
	at androidx fragment app FragmentManagerImpl dispatchStateChange(FragmentManagerImpl java:2659)_x000D_
	at androidx fragment app FragmentManagerImpl dispatchCreate(FragmentManagerImpl java:2607)_x000D_
	at androidx fragment app FragmentController dispatchCreate(FragmentController java:235)_x000D_
	at androidx fragment app FragmentActivity onCreate(FragmentActivity java:316)_x000D_
	at androidx appcompat app AppCompatActivity onCreate(AppCompatActivity java:106)_x000D_
	at org schabi newpipe about AboutActivity onCreate(AboutActivity java:70)_x000D_
	at android app Activity performCreate(Activity java:7955)_x000D_
	at android app Activity performCreate(Activity java:7944)_x000D_
	at android app Instrumentation callActivityOnCreate(Instrumentation java:1307)_x000D_
	at android app ActivityThread performLaunchActivity(ActivityThread java:3423)_x000D_
	    11 more_x000D_
java lang ClassCastException: android os Parcelable   cannot be cast to org schabi newpipe about SoftwareComponent  _x000D_
	at org schabi newpipe about LicenseFragment onCreate(LicenseFragment java:49)_x000D_
	at androidx fragment app Fragment performCreate(Fragment java:2586)_x000D_
	at androidx fragment app FragmentManagerImpl moveToState(FragmentManagerImpl java:838)_x000D_
	at androidx fragment app FragmentManagerImpl moveFragmentToExpectedState(FragmentManagerImpl java:1238)_x000D_
	at androidx fragment app FragmentManagerImpl moveToState(FragmentManagerImpl java:1303)_x000D_
	at androidx fragment app FragmentManagerImpl dispatchStateChange(FragmentManagerImpl java:2659)_x000D_
	at androidx fragment app FragmentManagerImpl dispatchCreate(FragmentManagerImpl java:2607)_x000D_
	at androidx fragment app FragmentController dispatchCreate(FragmentController java:235)_x000D_
	at androidx fragment app FragmentActivity onCreate(FragmentActivity java:316)_x000D_
	at androidx appcompat app AppCompatActivity onCreate(AppCompatActivity java:106)_x000D_
	at org schabi newpipe about AboutActivity onCreate(AboutActivity java:70)_x000D_
	at android app Activity performCreate(Activity java:7955)_x000D_
	at android app Activity performCreate(Activity java:7944)_x000D_
	at android app Instrumentation callActivityOnCreate(Instrumentation java:1307)_x000D_
	at android app ActivityThread performLaunchActivity(ActivityThread java:3423)_x000D_
	at android app ActivityThread handleLaunchActivity(ActivityThread java:3595)_x000D_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java:2147)_x000D_
	at android os Handler dispatchMessage(Handler java:107)_x000D_
	at android os Looper loop(Looper java:237)_x000D_
	at android app ActivityThread main(ActivityThread java:7811)_x000D_
	at java lang reflect Method invoke(Native Method)_x000D_
	at com android internal os RuntimeInit MethodAndArgsCaller run(RuntimeInit java:493)_x000D_
	at com android internal os ZygoteInit main(ZygoteInit java:1076)_x000D_
   _x000D_
</t>
  </si>
  <si>
    <t>NordicSemiconductor-Android-DFU-Library-229</t>
  </si>
  <si>
    <t>NegativeArraySizeException crash in SecureDfuImpl.java</t>
  </si>
  <si>
    <t xml:space="preserve">  Information  _x000D_
_x000D_
  DFU Bootloader version (please complete the following information):  _x000D_
   SDK version: SDK 15 3_x000D_
   Bonding used: no_x000D_
   Library version: 1 10 1_x000D_
_x000D_
  Device information (please complete the following information):  _x000D_
   Device: Xiaomi Mi A3_x000D_
   OS: Android 9_x000D_
_x000D_
  Describe the bug  _x000D_
_x000D_
Ran into a negative array size exception crash while performing a series of DFU operations  one after the other  This doesn t happen all the time  but we run into it a few times while upgrading hundreds of devices_x000D_
_x000D_
Some background:_x000D_
_x000D_
I am using the DFU library in an application that upgrades a series of nRF52832 based devices  The app picks one badge at a time  moves it into DFU mode and then starts a DFU operation  The mechanism for moving the badge to DFU mode is proprietary and doesn t use the standard buttonless service  The app does  not  establish its own GATT connection before handing off to the DFU operation _x000D_
_x000D_
  Logs  _x000D_
   _x000D_
Fatal Exception: java lang NegativeArraySizeException:  16117760_x000D_
       at no nordicsemi android dfu SecureDfuImpl sendFirmware(SecureDfuImpl java:640)_x000D_
       at no nordicsemi android dfu SecureDfuImpl performDfu(SecureDfuImpl java:275)_x000D_
       at no nordicsemi android dfu DfuBaseService onHandleIntent(DfuBaseService java:1371)_x000D_
       at android app IntentService ServiceHandler handleMessage(IntentService java:76)_x000D_
       at android os Handler dispatchMessage(Handler java:106)_x000D_
       at android os Looper loop(Looper java:193)_x000D_
       at android os HandlerThread run(HandlerThread java:65)_x000D_
   _x000D_
</t>
  </si>
  <si>
    <t>nextcloud-android-5891</t>
  </si>
  <si>
    <t>UploadsStorageManager: Couldn't read row 1872, col 1 from CursorWindow.</t>
  </si>
  <si>
    <t>_x000D_
    Steps to reproduce_x000D_
1   Open the app_x000D_
_x000D_
    Actual behaviour_x000D_
  The app crashes_x000D_
_x000D_
    Environment data_x000D_
Android version: 9_x000D_
_x000D_
Device model: OnePlus 6T_x000D_
_x000D_
Stock or customized system: Stock_x000D_
_x000D_
Nextcloud app version: 30110090_x000D_
_x000D_
Nextcloud server version: 18 0 3_x000D_
_x000D_
Reverse proxy: nginx_x000D_
_x000D_
_x000D_
             CAUSE OF ERROR             _x000D_
_x000D_
_x000D_
java lang IllegalStateException: Couldn t read row 1872  col 1 from CursorWindow  Make sure the Cursor is initialized correctly before accessing data from it _x000D_
at android database CursorWindow nativeGetString(Native Method)_x000D_
at android database CursorWindow getString(CursorWindow java:465)_x000D_
at android database AbstractWindowedCursor getString(AbstractWindowedCursor java:51)_x000D_
at android database CursorWrapper getString(CursorWrapper java:137)_x000D_
at com owncloud android datamodel UploadsStorageManager createOCUploadFromCursor(UploadsStorageManager java:321)_x000D_
at com owncloud android datamodel UploadsStorageManager getUploads(UploadsStorageManager java:302)_x000D_
at com owncloud android datamodel UploadsStorageManager getFailedUploads(UploadsStorageManager java:368)_x000D_
at com owncloud android files services FileUploader retryFailedUploads(FileUploader java:1005)_x000D_
at com owncloud android utils FilesSyncHelper lambda restartJobsIfNeeded 0(FilesSyncHelper java:222)_x000D_
at com owncloud android utils    Lambda FilesSyncHelper fa2LBpPOxRVQOm4F Glue5u4hdM run(Unknown Source:10)_x000D_
at java lang Thread run(Thread java:764)_x000D_
_x000D_
_x000D_
             APP INFORMATION             _x000D_
ID: com nextcloud client_x000D_
Version: 30110090_x000D_
Build flavor: generic_x000D_
_x000D_
_x000D_
             DEVICE INFORMATION             _x000D_
Brand: OnePlus_x000D_
Device: OnePlus6T_x000D_
Model: ONEPLUS A6013_x000D_
Id: PKQ1 180716 001_x000D_
Product: OnePlus6T_x000D_
_x000D_
_x000D_
             FIRMWARE             _x000D_
SDK: 28_x000D_
Release: 9_x000D_
Incremental: 1909112330</t>
  </si>
  <si>
    <t>ankidroid-Anki-Android-6028</t>
  </si>
  <si>
    <t>Fatal crash - NullPointerException - Attempt to invoke virtual method 'long java.lang.Long.longValue()' on a null object reference</t>
  </si>
  <si>
    <t xml:space="preserve">       Reproduction Steps_x000D_
_x000D_
The steps were reported by my testing tool (note these steps may not be complete or shortest  but it could lead to the crash)  I annotated the action on some key steps  and hope they are useful to help you diagonise the root cause   I tried to manually reproduce this issue  but it is not easy for me to come up the valid trace  Maybe you folks are more familiar with the code and can identify the root cause more quickly :)_x000D_
_x000D_
Step 1:_x000D_
  Selection 216 (https:  user images githubusercontent com 3156978 79448849 775ad780 7fe2 11ea 9feb 51c6ce91cf52 png)_x000D_
_x000D_
Step 2 (click   Empty  ):_x000D_
  Selection 217 (https:  user images githubusercontent com 3156978 79448871 7fb31280 7fe2 11ea 988b e1bbd0a86170 png)_x000D_
_x000D_
Step 3:_x000D_
  Selection 218 (https:  user images githubusercontent com 3156978 79448960 a3765880 7fe2 11ea 8948 ee9c3863de67 png)_x000D_
_x000D_
Step 4:_x000D_
  Selection 219 (https:  user images githubusercontent com 3156978 79448969 a83b0c80 7fe2 11ea 9cc9 0981bbed41a8 png)_x000D_
_x000D_
Step 5:_x000D_
  Selection 220 (https:  user images githubusercontent com 3156978 79448982 ac672a00 7fe2 11ea 9676 c9acec319f14 png)_x000D_
_x000D_
Step 6:_x000D_
  Selection 221 (https:  user images githubusercontent com 3156978 79448989 affab100 7fe2 11ea 9ca5 e3a28ac0c081 png)_x000D_
_x000D_
Step 7:_x000D_
  Selection 222 (https:  user images githubusercontent com 3156978 79448994 b1c47480 7fe2 11ea 9241 690e13d04899 png)_x000D_
_x000D_
Step 8:_x000D_
  Selection 223 (https:  user images githubusercontent com 3156978 79448999 b4bf6500 7fe2 11ea 8772 605231ad117d png)_x000D_
_x000D_
Step 9  (click the   undo   icon):_x000D_
  Selection 224 (https:  user images githubusercontent com 3156978 79449005 b721bf00 7fe2 11ea 9519 d7d832a389f5 png)_x000D_
_x000D_
Step 10:_x000D_
  Selection 225 (https:  user images githubusercontent com 3156978 79449008 b8eb8280 7fe2 11ea 8050 eef18ae9bf23 png)_x000D_
_x000D_
Step 11 (click   Empty Cards  ):_x000D_
  Selection 226 (https:  user images githubusercontent com 3156978 79449012 bb4ddc80 7fe2 11ea 8c54 1c8e358970ab png)_x000D_
_x000D_
_x000D_
       Expected Result_x000D_
_x000D_
No crash_x000D_
_x000D_
       Actual Result_x000D_
_x000D_
Crash happens_x000D_
_x000D_
       Debug info_x000D_
_x000D_
This crash was found in the recent released version 2 9 6 on an Android 6 0 device _x000D_
_x000D_
   _x000D_
 FATAL EXCEPTION: AsyncTask  1_x000D_
 Process: com ichi2 anki  PID: 4195_x000D_
 java lang RuntimeException: An error occurred while executing doInBackground()_x000D_
 	at android os AsyncTask 3 done(AsyncTask java:309)_x000D_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java:234)_x000D_
 	at java util concurrent ThreadPoolExecutor runWorker(ThreadPoolExecutor java:1113)_x000D_
 	at java util concurrent ThreadPoolExecutor Worker run(ThreadPoolExecutor java:588)_x000D_
 	at java lang Thread run(Thread java:818)_x000D_
 Caused by: java lang NullPointerException: Attempt to invoke virtual method  long java lang Long longValue()  on a null object reference_x000D_
 	at com ichi2 libanki Collection genCards(Collection java:761)_x000D_
 	at com ichi2 libanki Collection genCards(Collection java:708)_x000D_
 	at com ichi2 libanki Collection emptyCids(Collection java:966)_x000D_
 	at com ichi2 async DeckTask doInBackGroundFindEmptyCards(DeckTask java:1500)_x000D_
 	at com ichi2 async DeckTask doInBackground(DeckTask java:346)_x000D_
 	at com ichi2 async DeckTask doInBackground(DeckTask java:70)_x000D_
 	at android os AsyncTask 2 call(AsyncTask java:295)_x000D_
 	at java util concurrent FutureTask run(FutureTask java:237)_x000D_
 	    4 more_x000D_
   _x000D_
_x000D_
       Research_x000D_
 Enter an   x   character to confirm the points below: _x000D_
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t>
  </si>
  <si>
    <t>nextcloud-android-5889</t>
  </si>
  <si>
    <t>App ist suddenly crashing when running in background</t>
  </si>
  <si>
    <t xml:space="preserve">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QIafJp8i 2P9nNAtRqp PA   base apk   nativeLibraryDirectories   data app com nextcloud client QIafJp8i 2P9nNAtRqp PA   lib arm64   data app com nextcloud client QIafJp8i 2P9nNAtRqp PA   base apk  lib arm64 v8a   system lib64   vendor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30110090_x000D_
Build flavor: gplay_x000D_
_x000D_
             DEVICE INFORMATION             _x000D_
Brand: bq_x000D_
Device: zangyapro sprout_x000D_
Model: Aquaris X2 Pro_x000D_
Id: PKQ1 190723 001_x000D_
Product: zangyapro bq_x000D_
_x000D_
             FIRMWARE             _x000D_
SDK: 28_x000D_
Release: 9_x000D_
Incremental: 1221_x000D_
_x000D_
    Steps to reproduce_x000D_
Unknown   the Nextcloud app is just running in the background   and when I switch my Screen on I see the crash message   _x000D_
_x000D_
    Expected behaviour_x000D_
  no crash should happen_x000D_
_x000D_
    Environment data_x000D_
Android version:_x000D_
See above_x000D_
_x000D_
Device model: _x000D_
See  above_x000D_
Stock or customized system:_x000D_
customized (Magisk)_x000D_
_x000D_
Nextcloud app version:_x000D_
See above_x000D_
_x000D_
Nextcloud server version:_x000D_
17 0 5_x000D_
</t>
  </si>
  <si>
    <t>commons-app-apps-android-commons-3663</t>
  </si>
  <si>
    <t>App crashes due to network issue</t>
  </si>
  <si>
    <t xml:space="preserve">Studies have shown that mobile apps are prone to crashes due to a network issue  mainly because successful network calls return unexpected or no data  And we found that when the field of the app(version 243) s network return data (JSON format) is null or the network request fails (status code is 404)  the app has crashed  the specific crash information is as follows:_x000D_
_x000D_
1  _x000D_
_x000D_
  java lang NullPointerException: Attempt to read from field  java lang String android accounts Account name  on a null object reference_x000D_
      at fr free nrw commons contributions ContributionsFragment setUploadCount(ContributionsFragment java:455)_x000D_
      at fr free nrw commons contributions ContributionsFragment onCreateView(ContributionsFragment java:173)_x000D_
_x000D_
_x000D_
2  _x000D_
_x000D_
  java lang IllegalArgumentException: No suitable parent found from the given view  Please provide a valid view _x000D_
	at android support design widget Snackbar make(Snackbar java:137)_x000D_
	at android support design widget Snackbar make(Snackbar java:170)_x000D_
	at fr free nrw commons utils ViewUtil lambda showShortSnackbar 0 ViewUtil(ViewUtil java:28)_x000D_
_x000D_
_x000D_
3  _x000D_
_x000D_
  io reactivex exceptions OnErrorNotImplementedException: org xml sax SAXParseException: Unexpected token (position:TEXT error 1:6 in java io InputStreamReader c82005a) _x000D_
	at io reactivex internal functions Functions OnErrorMissingConsumer accept(Functions java:704)_x000D_
	at io reactivex internal functions Functions OnErrorMissingConsumer accept(Functions java:701)_x000D_
	at io reactivex internal observers LambdaObserver onError(LambdaObserver java:77)_x000D_
	at io reactivex internal operators observable ObservableObserveOn ObserveOnObserver checkTerminated(ObservableObserveOn java:276)_x000D_
	at io reactivex internal operators observable ObservableObserveOn ObserveOnObserver drainNormal(ObservableObserveOn java:172)_x000D_
	at io reactivex internal operators observable ObservableObserveOn ObserveOnObserver run(ObservableObserveOn java:252)_x000D_
	at io reactivex android schedulers HandlerScheduler ScheduledRunnable run(HandlerScheduler java:119)_x000D_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io IOError: org xml sax SAXParseException: Unexpected token (position:TEXT error 1:6 in java io InputStreamReader c82005a) _x000D_
	at fr free nrw commons mwapi CustomApiResult fromRequestBuilder(CustomApiResult java:60)_x000D_
	at fr free nrw commons mwapi CustomMwApi makeRequest(CustomMwApi java:177)_x000D_
	at fr free nrw commons mwapi CustomMwApi access 000(CustomMwApi java:18)_x000D_
	at fr free nrw commons mwapi CustomMwApi RequestBuilder post(CustomMwApi java:38)_x000D_
	at fr free nrw commons mwapi ApacheHttpClientMediaWikiApi login(ApacheHttpClientMediaWikiApi java:121)_x000D_
	at fr free nrw commons auth LoginActivity login(LoginActivity java:237)_x000D_
	at fr free nrw commons auth LoginActivity lambda performLogin 8 LoginActivity(LoginActivity java:228)_x000D_
	at fr free nrw commons auth LoginActivity  Lambda 6 call(dalvik source frfreenrwcommons 243 apk)_x000D_
	at io reactivex internal operators observable ObservableFromCallable subscribeActual(ObservableFromCallable java:42)_x000D_
	at io reactivex Observable subscribe(Observable java:12030)_x000D_
	at io reactivex internal operators observable ObservableSubscribeOn SubscribeTask run(ObservableSubscribeOn java:96)_x000D_
	at io reactivex Scheduler DisposeTask run(Scheduler java:579)_x000D_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run(ScheduledThreadPoolExecutor java:269)_x000D_
	at java util concurrent ThreadPoolExecutor runWorker(ThreadPoolExecutor java:1113)_x000D_
	at java util concurrent ThreadPoolExecutor Worker run(ThreadPoolExecutor java:588)_x000D_
	at java lang Thread run(Thread java:818)_x000D_
Caused by: org xml sax SAXParseException: Unexpected token (position:TEXT error 1:6 in java io InputStreamReader c82005a) _x000D_
	at org apache harmony xml parsers DocumentBuilderImpl parse(DocumentBuilderImpl java:146)_x000D_
	at javax xml parsers DocumentBuilder parse(DocumentBuilder java:107)_x000D_
	at fr free nrw commons mwapi CustomApiResult fromRequestBuilder(CustomApiResult java:42)_x000D_
	    18 more_x000D_
_x000D_
</t>
  </si>
  <si>
    <t>martykan-forecastie-466</t>
  </si>
  <si>
    <t xml:space="preserve">Studies have shown that mobile apps are prone to crashes due to a network issue  mainly because successful network calls return unexpected or no data  And we found that when this app (version 21) s network returned data is null or empty(JSON format)  the app has crashed  the specific crash information is as follows:_x000D_
_x000D_
  java lang RuntimeException: Unable to start activity ComponentInfo cz martykan forecastie cz martykan forecastie activities MainActivity : java lang NullPointerException: Attempt to invoke virtual method  java lang String java lang String trim()  on a null object reference_x000D_
	at android app ActivityThread performLaunchActivity(ActivityThread java:2416)_x000D_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NullPointerException: Attempt to invoke virtual method  java lang String java lang String trim()  on a null object reference_x000D_
	at java lang StringToReal parseDouble(StringToReal java:263)_x000D_
	at java lang Double parseDouble(Double java:301)_x000D_
	at cz martykan forecastie activities MainActivity updateTodayWeatherUI(MainActivity java:498)_x000D_
	at cz martykan forecastie activities MainActivity onStart(MainActivity java:183)_x000D_
	at android app Instrumentation callActivityOnStart(Instrumentation java:1237)_x000D_
	at android app Activity performStart(Activity java:6253)_x000D_
	at android app ActivityThread performLaunchActivity(ActivityThread java:2379)_x000D_
	    9 more_x000D_
java lang NullPointerException: Attempt to invoke virtual method  java lang String java lang String trim()  on a null object reference_x000D_
	at java lang StringToReal parseDouble(StringToReal java:263)_x000D_
	at java lang Double parseDouble(Double java:301)_x000D_
	at cz martykan forecastie activities MainActivity updateTodayWeatherUI(MainActivity java:498)_x000D_
	at cz martykan forecastie activities MainActivity onStart(MainActivity java:183)_x000D_
	at android app Instrumentation callActivityOnStart(Instrumentation java:1237)_x000D_
	at android app Activity performStart(Activity java:6253)_x000D_
	at android app ActivityThread performLaunchActivity(ActivityThread java:2379)_x000D_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t>
  </si>
  <si>
    <t>GoogleChrome-android-browser-helper-86</t>
  </si>
  <si>
    <t>Links from Gmail mobile app are opening in micro-browser or crashing</t>
  </si>
  <si>
    <t xml:space="preserve">  Describe the bug  _x000D_
After recent update to last stable version of android browser helper we started to observe a bug across many devices that caused crashes or improper behavior that happens when people are opening specific links on the up to date Gmail mobile Android app  It is a problem only concerning this mobile mail client  it doesn t appear on Outlook mobile or other clients   there links are opening properly as TWA _x000D_
_x000D_
  To Reproduce  _x000D_
Steps to reproduce the behavior:_x000D_
1  Receive an e mail on Gmail mobile app that contains a link to TWA bundled app_x000D_
2  Click on that link_x000D_
3  Either website will be opened in Chrome micro browser or it will crash at that point  it won t open it as TWA_x000D_
_x000D_
  Expected behavior  _x000D_
When TWA app is installed on device  such links should always open as existing or new TWA instance _x000D_
_x000D_
  Did this ever used to work  _x000D_
Earlier android browser helper versions and Gmail mobile client app _x000D_
_x000D_
  Smartphone (please complete the following information):  _x000D_
   Device: OnePlus 7 Pro_x000D_
   OS: Android 10_x000D_
   Browsers Installed: Chrome_x000D_
   Browser Versions: latest_x000D_
   android browser helper library version: latest stable_x000D_
   Gmail Android client app version: latest stable_x000D_
</t>
  </si>
  <si>
    <t>jaychenblue-scout-concordia-267</t>
  </si>
  <si>
    <t>Bug fix directions</t>
  </si>
  <si>
    <t xml:space="preserve">     Identification  _x000D_
  ID  : D 19_x000D_
  Name  : Program crashes when getting directions if the searchMarker is never specified _x000D_
  Related to issue  :  27_x000D_
  Reported by  : Vincent Cerri_x000D_
  Submitted  : 2020 04 15_x000D_
     Environment  _x000D_
  Device  : Pixel 3_x000D_
  API Version  : API 29_x000D_
     Details  _x000D_
  Summary  : There is a variable called searchMarker in the MapsActivity class  This marker holds the data for the marker that is to be search for when getting directions  The marker gets updated when clicking on different buildings _x000D_
  Steps to reproduce  : _x000D_
1  Open the application_x000D_
2  Click the search bar and type an indoor location e g H 205_x000D_
3  Search for a destination e g H 110_x000D_
  Expected results  : Directions should be displayed from the starting location to the destination  _x000D_
  Actual results  : Crash_x000D_
     Severity  _x000D_
  Severity  : Major _x000D_
  Priority  : Medium_x000D_
_x000D_
_x000D_
_x000D_
  Solution:  _x000D_
To solve this bug  the searchMarker needed to be initialized in the onMapReady method of the mapsActivity class  The bug was specially happening only if you go directly to searching without clicking on anything else when opening the application </t>
  </si>
  <si>
    <t>jaychenblue-scout-concordia-266</t>
  </si>
  <si>
    <t>D-7 Program crashes when getting directions if the searchMarker is never specified.</t>
  </si>
  <si>
    <t xml:space="preserve">     Identification  _x000D_
  ID  : D 7_x000D_
  Name  : Program crashes when getting directions if the searchMarker is never specified _x000D_
  Related to issue  :  27_x000D_
  Reported by  : Vincent Cerri_x000D_
  Submitted  : 2020 04 15_x000D_
     Environment  _x000D_
  Device  : Pixel 3_x000D_
  API Version  : API 29_x000D_
     Details  _x000D_
  Summary  : There is a variable called searchMarker in the MapsActivity class  This marker holds the data for the marker that is to be search for when getting directions  The marker gets updated when clicking on different buildings _x000D_
  Steps to reproduce  : _x000D_
1  Open the application_x000D_
2  Click the search bar and type an indoor location e g H 205_x000D_
3  Search for a destination e g H 110_x000D_
  Expected results  : Directions should be displayed from the starting location to the destination  _x000D_
  Actual results  : Crash_x000D_
     Severity  _x000D_
  Severity  : Major _x000D_
  Priority  : Medium_x000D_
</t>
  </si>
  <si>
    <t>oliexdev-openScale-570</t>
  </si>
  <si>
    <t>Fetching measurements from Sanitas SBF70 suddenly throws an error</t>
  </si>
  <si>
    <t xml:space="preserve">  Describe the bug  _x000D_
I do step on my Sanitas SBF70 here an then accumulate some measurements before I fire up openScale pro to fetch the recent ones  Last time it worked flawlessly was on March  27th 2020 _x000D_
Today I wanted to fetch the past measures (maybe 2 to 4  not sure)  My settings are that the scale is not connected automatically when I open the app  I tap manually on the Bluetooth icon and usually the scale is seen  connected and recent data is fetched without issues  but not so today _x000D_
_x000D_
  To Reproduce  _x000D_
Steps to reproduce the behavior:_x000D_
1  Tap on Bluetooth icon to connect to scale_x000D_
2  As soon as the bubble  Connection established  (I run my version in German language where it says  Verbindung hergestellt ) shows up the app crashes and the helpless bug screen is shown_x000D_
3  This can be reproduced everytime now (a restart of the phone or turning off Bluetooth doesn t change the behavior)_x000D_
4  I haven t had this problem before_x000D_
_x000D_
Reproduced with  latest dev version (https:  github com oliexdev openScale releases tag travis dev build): no_x000D_
_x000D_
  Expected behavior  _x000D_
Normal fetching of stored past measurements as it worked flawlessly before _x000D_
_x000D_
  Additional context  _x000D_
Error details captured from bug screen:_x000D_
Build version: 2 2 0 pro _x000D_
Current date: 2020 04 15 16:59:58 _x000D_
Device: Samsung SM N910F (on LineageOS  Android v9)_x000D_
 _x000D_
Stack trace:  _x000D_
java util UnknownFormatConversionException: Conversion    ) _x000D_
	at java util Formatter FormatSpecifier conversion(Formatter java:2781)_x000D_
	at java util Formatter FormatSpecifier  init (Formatter java:2811)_x000D_
	at java util Formatter FormatSpecifierParser  init (Formatter java:2624)_x000D_
	at java util Formatter parse(Formatter java:2557)_x000D_
	at java util Formatter format(Formatter java:2504)_x000D_
	at java util Formatter format(Formatter java:2458)_x000D_
	at java lang String format(String java:2842)_x000D_
	at com health openscale gui MainActivity 10 handleMessage(MainActivity java:568)_x000D_
	at android os Handler dispatchMessage(Handler java:106)_x000D_
	at android os Looper loop(Looper java:193)_x000D_
	at android app ActivityThread main(ActivityThread java:6724)_x000D_
	at java lang reflect Method invoke(Native Method)_x000D_
	at com android internal os RuntimeInit MethodAndArgsCaller run(RuntimeInit java:495)_x000D_
	at com android internal os ZygoteInit main(ZygoteInit java:858)_x000D_
_x000D_
_x000D_
  Debug log  _x000D_
Attach a debug log (see Settings    About    Save debug log to file) that is captured while reproducing the issue _x000D_
Because the app crashes to the bug screen I don t see much meaningful data in the saved debug log from above procedure  Attached a copy here anyway but removed personal data from it _x000D_
 openScale 2020 04 15 17 06 txt (https:  github com oliexdev openScale files 4482193 openScale 2020 04 15 17 06 txt)_x000D_
</t>
  </si>
  <si>
    <t>TeamNewPipe-NewPipe-3440</t>
  </si>
  <si>
    <t>Popup Player fails to launch on empty playlist</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</si>
  <si>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v0 19 2 (F Droid release)_x000D_
_x000D_
    Steps to reproduce the bug_x000D_
    _x000D_
1  Go to      _x000D_
2  Press on       _x000D_
3  Swipe down to       _x000D_
   _x000D_
1  Pick any of your own playlists _x000D_
2  Make sure it contains one or more videos _x000D_
3  Clear the playlist by long pressing on each video    Delete  _x000D_
4  Once your playlist is empty  repeatedly tap on  Popup  (you must quickly double tap the  Popup  button )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Nothing should ever happen _x000D_
The app must not invoke the popup player unless there are actually some items in that playlist _x000D_
_x000D_
    Actual behaviour_x000D_
     Tell us what happens instead     _x000D_
Newpipe raises a NullPointerException  because ExoPlayer was called on a null object reference (  empty playlist) _x000D_
_x000D_
  Additional note  : If you don t encounter any issues  please follow the instructions again and make sure your playlist initially contains one or more videos  Then clear the playlist  If you call the popup player on a playlist that was already empty before  it won t raise that exception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N A_x000D_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Exception_x000D_
    User Action:   ui error_x000D_
    Request:   App crash  UI failure_x000D_
    Content Language:   GB_x000D_
    Service:   none_x000D_
    Version:   0 19 2_x000D_
    OS:   Linux Android 10   29_x000D_
_x000D_
_x000D_
 details  summary  b Crash log  b   summary  p _x000D_
_x000D_
   _x000D_
java lang RuntimeException: Unable to start service org schabi newpipe player PopupVideoPlayer 95832d8 with Intent   cmp org schabi newpipe  player PopupVideoPlayer (has extras)  : java lang NullPointerException: Attempt to invoke virtual method  com google android exoplayer2 SimpleExoPlayer org schabi newpipe player BasePlayer getPlayer()  on a null object reference_x000D_
	at android app ActivityThread handleServiceArgs(ActivityThread java:4434)_x000D_
	at android app ActivityThread access 2100(ActivityThread java:272)_x000D_
	at android app ActivityThread H handleMessage(ActivityThread java:2087)_x000D_
	at android os Handler dispatchMessage(Handler java:107)_x000D_
	at android os Looper loop(Looper java:237)_x000D_
	at android app ActivityThread main(ActivityThread java:8016)_x000D_
	at java lang reflect Method invoke(Native Method)_x000D_
	at com android internal os RuntimeInit MethodAndArgsCaller run(RuntimeInit java:493)_x000D_
	at com android internal os ZygoteInit main(ZygoteInit java:1076)_x000D_
Caused by: java lang NullPointerException: Attempt to invoke virtual method  com google android exoplayer2 SimpleExoPlayer org schabi newpipe player BasePlayer getPlayer()  on a null object reference_x000D_
	at org schabi newpipe player PopupVideoPlayer onStartCommand(PopupVideoPlayer java:161)_x000D_
	at android app ActivityThread handleServiceArgs(ActivityThread java:4416)_x000D_
	    8 more_x000D_
java lang NullPointerException: Attempt to invoke virtual method  com google android exoplayer2 SimpleExoPlayer org schabi newpipe player BasePlayer getPlayer()  on a null object reference_x000D_
	at org schabi newpipe player PopupVideoPlayer onStartCommand(PopupVideoPlayer java:161)_x000D_
	at android app ActivityThread handleServiceArgs(ActivityThread java:4416)_x000D_
	at android app ActivityThread access 2100(ActivityThread java:272)_x000D_
	at android app ActivityThread H handleMessage(ActivityThread java:2087)_x000D_
	at android os Handler dispatchMessage(Handler java:107)_x000D_
	at android os Looper loop(Looper java:237)_x000D_
	at android app ActivityThread main(ActivityThread java:8016)_x000D_
	at java lang reflect Method invoke(Native Method)_x000D_
	at com android internal os RuntimeInit MethodAndArgsCaller run(RuntimeInit java:493)_x000D_
	at com android internal os ZygoteInit main(ZygoteInit java:1076)_x000D_
_x000D_
   _x000D_
  p   details _x000D_
 hr _x000D_
</t>
  </si>
  <si>
    <t>TeamNewPipe-NewPipe-3439</t>
  </si>
  <si>
    <t>Fails to load some results in what's new screen</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</si>
  <si>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 _x000D_
_x000D_
    Steps to reproduce the bug_x000D_
_x000D_
1  Go to  what s new _x000D_
2  Press on  refresh (refresh button) _x000D_
_x000D_
 says couldn t load 1 result (with snackbar to report the problem)_x000D_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_x000D_
    Actual behaviour_x000D_
     Tell us what happens instead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20200415 120636 cropped (https:  user images githubusercontent com 23421600 79331067 7fe3dd00 7f12 11ea 9ace 6acee2b3ecd3 png)_x000D_
_x000D_
    Logs ( converted  through NPE to Markdown converter)_x000D_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user action :  requested feed  _x000D_
    request :  Loading feed  _x000D_
    content language :  GB  _x000D_
    service :  none  _x000D_
    package :  org schabi newpipe  _x000D_
    version :  0 19 2  _x000D_
    os :  Linux Android 9   28  _x000D_
    time :  2020 04 15 11:03  _x000D_
    exceptions :  _x000D_
       org schabi newpipe local feed service FeedLoadService RequestException: 1:https:    soundcloud com  epicmountain n tat org schabi newpipe local feed service FeedLoadService startLoading 7 apply(FeedLoadService kt:220) n tat org schabi newpipe local feed service FeedLoadService startLoading 7 apply(FeedLoadService kt:63) n tat io reactivex internal operators parallel ParallelMap ParallelMapSubscriber onNext(ParallelMap java:113) n tat io reactivex internal operators parallel ParallelFilter ParallelFilterSubscriber tryOnNext(ParallelFilter java:130) n tat io reactivex internal operators parallel ParallelRunOn RunOnConditionalSubscriber run(ParallelRunOn java:397) n tat io reactivex internal schedulers ScheduledRunnable run(ScheduledRunnable java:66) n tat io reactivex internal schedulers ScheduledRunnable call(ScheduledRunnable java:57) n tat java util concurrent FutureTask run(FutureTask java:266) n tat java util concurrent ScheduledThreadPoolExecutor ScheduledFutureTask run(ScheduledThreadPoolExecutor java:301) n tat java util concurrent ThreadPoolExecutor runWorker(ThreadPoolExecutor java:1167) n tat java util concurrent ThreadPoolExecutor Worker run(ThreadPoolExecutor java:641) n tat java lang Thread run(Thread java:764) nCaused by: java lang RuntimeException: org schabi newpipe extractor exceptions ParsingException: Could not parse json response n tat io reactivex internal util ExceptionHelper wrapOrThrow(ExceptionHelper java:45) n tat io reactivex internal observers BlockingMultiObserver blockingGet(BlockingMultiObserver java:91) n tat io reactivex Single blockingGet(Single java:2700) n tat org schabi newpipe local feed service FeedLoadService startLoading 7 apply(FeedLoadService kt:214) n t    11 more nCaused by: org schabi newpipe extractor exceptions ParsingException: Could not parse json response n tat org schabi newpipe extractor services soundcloud SoundcloudChannelExtractor onFetchPage(SoundcloudChannelExtractor java:42) n tat org schabi newpipe extractor Extractor fetchPage(Extractor java:56) n tat org schabi newpipe extractor channel ChannelInfo getInfo(ChannelInfo java:46) n tat org schabi newpipe util ExtractorHelper lambda getChannelInfo 4(ExtractorHelper java:128) n tat org schabi newpipe util    Lambda ExtractorHelper u5W7VszTe8AoEexIsFM9huQfbkM call(Unknown Source:4) n tat io reactivex internal operators single SingleFromCallable subscribeActual(SingleFromCallable java:44) n tat io reactivex Single subscribe(Single java:3438) n tat io reactivex internal operators single SingleDoOnSuccess subscribeActual(SingleDoOnSuccess java:35) n tat io reactivex Single subscribe(Single java:3438) n tat io reactivex Single blockingGet(Single java:2699) n t    12 more nCaused by: com grack nanojson JsonParserException: Expected JSON value  got EOF on line 1  char 0 n tat com grack nanojson JsonParser createParseException(Unknown Source:44) n tat com grack nanojson JsonParser currentValue(Unknown Source:30) n tat com grack nanojson JsonParser parse(Unknown Source:3) n tat com grack nanojson JsonParser JsonParserContext from(Unknown Source:15) n tat org schabi newpipe extractor services soundcloud SoundcloudChannelExtractor onFetchPage(SoundcloudChannelExtractor java:40) n t    21 more n _x000D_
     _x000D_
    user comment :   _x000D_
 _x000D_
     That s right  here     _x000D_
</t>
  </si>
  <si>
    <t>nextcloud-android-5869</t>
  </si>
  <si>
    <t>NextCloud Android App Crash</t>
  </si>
  <si>
    <t xml:space="preserve">I am creating this at the behest the app after it crashed _x000D_
_x000D_
I simply rebooted my phone  and tried to start NextCloud  The app wouldn t start  then showed me this crash report  This was also the first time I restarted my phone since installing the app  Also  since this error occurred  I have been unable to start NextCloud and my phone has become extremely sluggish and unresponsive _x000D_
_x000D_
Phone: LG H918 (TMobile LG V20)_x000D_
OS: Android 8 0 0_x000D_
Kernel: 3 18 71_x000D_
_x000D_
Let me know if I can provide any other info _x000D_
_x000D_
             CAUSE OF ERROR             _x000D_
_x000D_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java:764)_x000D_
Caused by: java lang SecurityException: Caller no longer running  last stopped  14s12ms because: timed out while starting_x000D_
	at android os Parcel readException(Parcel java:1943)_x000D_
	at android os Parcel readException(Parcel java:1889)_x000D_
	at android app job IJobCallback Stub Proxy dequeueWork(IJobCallback java:191)_x000D_
	at android app job JobParameters dequeueWork(JobParameters java:196)_x000D_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_x000D_
             APP INFORMATION             _x000D_
ID: com nextcloud client_x000D_
Version: 30110090_x000D_
Build flavor: gplay_x000D_
_x000D_
             DEVICE INFORMATION             _x000D_
Brand: lge_x000D_
Device: elsa_x000D_
Model: LG H918_x000D_
Id: OPR1 170623 032_x000D_
Product: elsa tmo us_x000D_
_x000D_
             FIRMWARE             _x000D_
SDK: 26_x000D_
Release: 8 0 0_x000D_
Incremental: 1831917495b33_x000D_
</t>
  </si>
  <si>
    <t>google-ExoPlayer-7234</t>
  </si>
  <si>
    <t>MediaSessionConnector.PlaybackPreparer parameter is not properly annotated with @Nullable</t>
  </si>
  <si>
    <t xml:space="preserve">MediaSessionConnector PlaybackPreparer onPrepareFromUri s parameter  extras  is not annotated with  Nullable  _x000D_
This forces kotlin to override nonnull parameter  _x000D_
As tested  this will crash on api level 19 and 21:  Parameter specified as non null is null: method kotlin jvm internal Intrinsics checkParameterIsNotNull  parameter extras </t>
  </si>
  <si>
    <t>ElderDrivers-EdXposed-512</t>
  </si>
  <si>
    <t>[BUG] OnePlus 6T Chrome based apps crash with any module enabled.</t>
  </si>
  <si>
    <t xml:space="preserve">       What happened   _x000D_
When enabling any module in edXposed it causes any chrome based application to crash  this happenes in both versions _x000D_
_x000D_
           _x000D_
_x000D_
  Xposed     Xposed Module List  _x000D_
_x000D_
     Screenshot allowed_x000D_
_x000D_
  Screenshot 20200414 091540 (https:  user images githubusercontent com 39219859 79229152 8e59c800 7e30 11ea 8caf 5950e803a9f6 jpg)_x000D_
_x000D_
_x000D_
  Magisk     Magisk Module List  _x000D_
_x000D_
     Screenshot allowed_x000D_
  Screenshot 20200414 091610 (https:  user images githubusercontent com 39219859 79229184 9b76b700 7e30 11ea 95e1 c2e8437489ba jpg)_x000D_
_x000D_
_x000D_
  EdXposed Riru   Versions of EdXposed and Riru  _x000D_
_x000D_
EdXposed: 0 4 6 2_x000D_
_x000D_
Riru: 19 8_x000D_
</t>
  </si>
  <si>
    <t>material-components-material-components-android-1207</t>
  </si>
  <si>
    <t xml:space="preserve">[TextInputLayout] Material design is not working for hint /background selectors </t>
  </si>
  <si>
    <t xml:space="preserve">I was using Material design 1 1 0  _x000D_
_x000D_
For tabs with viewpager2 I updated it to  1 2 0 alpha05  Material library version it was working fine for single module but was crashing for another module where I ve developed my custom material designed TextInputLayout  I changed theme from  Theme AppCompat Light NoActionBar  to Theme MaterialComponents Light NoActionBar and crash fixed  After fixing crash and upgrading theme it is showing me white floating label   buttons   indiators etc _x000D_
_x000D_
old file had conflict with material while using  AppCompact  with  parent  Widget MaterialComponents TextInputLayout OutlinedBox Dense   after updating to  1 2 0 alpha05  it was resolved but style background is not working now _x000D_
_x000D_
_x000D_
   _x000D_
_x000D_
  com google android material textfield TextInputLayout_x000D_
        android:id    id textInputLayout _x000D_
        style   style contentInputLayoutStyle _x000D_
        android:layout width  match parent _x000D_
        android:layout height  wrap content _x000D_
        android:layout marginStart   dimen  8dp _x000D_
        android:paddingStart  5dp _x000D_
        android:paddingLeft  5dp _x000D_
        app:helperTextEnabled  true _x000D_
        android:layout marginLeft   dimen  8dp _x000D_
        android:layout marginEnd   dimen  8dp _x000D_
        android:layout marginRight   dimen  8dp _x000D_
        app:errorEnabled  false _x000D_
        app:layout constraintBottom toTopOf    id errorTextView _x000D_
        app:layout constraintEnd toEndOf  parent _x000D_
        app:layout constraintLeft toLeftOf  parent _x000D_
        app:layout constraintStart toStartOf  parent _x000D_
        app:layout constraintTop toTopOf  parent _x000D_
        tools:hint   string EnterMobileNumber  _x000D_
_x000D_
_x000D_
         com google android material textfield TextInputEditText_x000D_
            android:id    id textInputEditText _x000D_
            android:layout width  match parent _x000D_
            android:layout height  wrap content _x000D_
            android:inputType  phone _x000D_
            android:gravity  start _x000D_
            android:textDirection  anyRtl _x000D_
            tools:text  0335510023 _x000D_
            android:background   null _x000D_
            android:paddingEnd   dimen inputFieldPadding 36dp _x000D_
            android:paddingRight   dimen inputFieldPadding 36dp    _x000D_
_x000D_
      com google android material textfield TextInputLayout _x000D_
_x000D_
style xml_x000D_
_x000D_
 style _x000D_
        your app branding color for the app bar    _x000D_
     item name  colorPrimary   color white  item _x000D_
_x000D_
         darker variant for the status bar and contextual app bars    _x000D_
     item name  colorPrimaryDark   color colorPrimary New  item _x000D_
_x000D_
         theme UI controls like checkboxes and text fields also known as secondary color    _x000D_
     item name  colorAccent   color a465661  item _x000D_
  style _x000D_
_x000D_
 style name  AppTheme   parent  Theme MaterialComponents Light NoActionBar   _x000D_
                 Customize your theme here     _x000D_
             item name  colorPrimary   color white  item _x000D_
             item name  colorPrimaryDark   color green  item _x000D_
             item name  colorAccent   color a465661  item _x000D_
          style _x000D_
_x000D_
  style name  contentInputLayoutStyle  parent  Widget MaterialComponents TextInputLayout OutlinedBox Dense  _x000D_
         item name  boxStrokeColor   color border stroke grey  item _x000D_
         item name  android:textColor   color black  item _x000D_
         item name  android:textStyle  normal  item _x000D_
         item name  errorTextAppearance   style error label  item _x000D_
         item name  counterOverflowTextAppearance   style AppTheme TextFloatLabelAppearance  item _x000D_
         item name  android:actionOverflowButtonStyle   style AppTheme TextFloatLabelAppearance_x000D_
          item _x000D_
         item name  hintTextAppearance   style text label  item _x000D_
      style _x000D_
_x000D_
  style name  text label  parent  TextAppearance Design Hint  _x000D_
         item name  android:textSize   dimen title heading 12sp  item _x000D_
         item name  colorControlNormal   color black  item _x000D_
         item name  colorControlActivated   color black  item _x000D_
         item name  colorControlHighlight   color black  item _x000D_
      style _x000D_
_x000D_
     style name  text label green  parent  TextAppearance Design Hint  _x000D_
         item name  android:textSize   dimen title heading 12sp  item _x000D_
         item name  colorControlNormal   color green field  item _x000D_
         item name  android:background   null  item _x000D_
         item name  colorControlActivated   color green field  item _x000D_
         item name  colorControlHighlight   color green field  item _x000D_
      style _x000D_
_x000D_
     style name  AppTheme TextFloatLabelAppearance  parent  text label  _x000D_
             Floating label appearance here    _x000D_
         item name  android:textColor   color label title black  item _x000D_
         item name  android:textSize   dimen title heading 12sp  item _x000D_
         item name  android:background   android:color transparent  item _x000D_
         item name  colorControlNormal   color label title black  item _x000D_
         item name  colorControlHighlight   color label title black  item _x000D_
         item name  colorControlActivated   color label title black  item _x000D_
_x000D_
      style _x000D_
_x000D_
   style name  material edit text  parent  Widget AppCompat EditText  _x000D_
         item name  android:paddingStart  50dp  item _x000D_
         item name  android:paddingLeft  50dp  item _x000D_
         item name  android:background   null  item _x000D_
         item name  android:textSize  16sp  item _x000D_
      style _x000D_
_x000D_
     style name  error label  parent  TextAppearance Design Hint  _x000D_
         item name  android:textSize  0sp  item _x000D_
         item name  android:textColor   color red  item _x000D_
         item name  android:visibility  gone  item _x000D_
      style _x000D_
_x000D_
   style name  BtnCustomStyle  _x000D_
         item name  android:background   drawable btn confirm selector  item _x000D_
         item name  android:textColor   android:color white  item _x000D_
         item name  android:textSize  15dp  item _x000D_
         item name  android:layout width  match parent  item _x000D_
         item name  android:layout height  46dp  item _x000D_
         item name  android:layout marginStart  10dp  item _x000D_
         item name  android:layout marginEnd  10dp  item _x000D_
         item name  android:textAllCaps  false  item _x000D_
         item name  android:foreground  android:attr selectableItemBackground  item _x000D_
      style _x000D_
_x000D_
   _x000D_
  de4c1 (https:  user images githubusercontent com 9381006 79140899 2aa0b200 7dd2 11ea 8b19 190bb0bd2786 png)_x000D_
_x000D_
_x000D_
_x000D_
_x000D_
</t>
  </si>
  <si>
    <t>dimagi-commcare-android-2219</t>
  </si>
  <si>
    <t>Fabric debug crash - The Crashlytics build ID is missing</t>
  </si>
  <si>
    <t xml:space="preserve"> updating fabric ( https:  github com dimagi commcare android pull 2214) broke the debug builds for me with a crash on application startup   _x000D_
_x000D_
 UnmetDependencyException: The Crashlytics build ID is missing   _x000D_
_x000D_
This was only hapening on debug builds and not release due to fabric not properly shutting down fabric based on  ext enableCrashlytics _x000D_
_x000D_
It seems like the  new recommended way (https:  stackoverflow com a 49836972 3811963) to disable fabric for debug also needs to falsify  firebase crashlytics collection enabled  flag  in manifest  I can confirm that this flag doesn t affect the release builds  here (https:  www fabric io dimagi android apps org commcare dalvik issues f9ee3f15167a7f2bdefb6f49e9bcb97e sessions latest)   </t>
  </si>
  <si>
    <t>nextcloud-android-5861</t>
  </si>
  <si>
    <t xml:space="preserve">    Expected behaviour_x000D_
The application should upload all the selected files _x000D_
_x000D_
    Actual behaviour_x000D_
I navigate to the target folder on the server  then press the upload buttons  Then _x000D_
I select a folder to upload (my camera s images  actually)  I choose  Select all  then I press  Upload   Then  the application crashes _x000D_
_x000D_
    Steps to reproduce_x000D_
1  Have a folder with many files (in my case   8000 )_x000D_
2  Select them for upload_x000D_
3  Press  Upload _x000D_
_x000D_
    Environment data_x000D_
Android version: 10_x000D_
_x000D_
Device model: Samsung Galaxy S10 _x000D_
_x000D_
Stock or customized system: Stock_x000D_
_x000D_
Nextcloud app version: 3 11 0_x000D_
_x000D_
Nextcloud server version: 18 0 3_x000D_
_x000D_
    Logs_x000D_
     Web server error log_x000D_
   _x000D_
no errors_x000D_
   _x000D_
_x000D_
     Nextcloud log (data nextcloud log)_x000D_
   _x000D_
No errors received when the crash happened_x000D_
   _x000D_
_x000D_
</t>
  </si>
  <si>
    <t>Blankj-AndroidUtilCode-1223</t>
  </si>
  <si>
    <t>[BUG] 1.28.x 汇总</t>
  </si>
  <si>
    <t xml:space="preserve">      _x000D_
1 27 x           BUG                1 28 x _x000D_
       1 29 0_x000D_
  1 28 0       : https:  github com Blankj AndroidUtilCode releases tag 1 28 0_x000D_
  1 28 1_x000D_
        ImageUtils getBitmap(final InputStream is  final int maxWidth  final int maxHeight)   OOM    (https:  github com Blankj AndroidUtilCode issues 1225)_x000D_
        PermissionUtils callback    topActivity   TransActivity (https:  github com Blankj AndroidUtilCode issues 1207)_x000D_
       FileUtils listFilesInDir(final String dirPath  Comparator File  comparator)      comparator    _x000D_
  1 28 2_x000D_
       ImageUtils isImage      BUG_x000D_
       UriUtils uri2File       Unknown URI   BUG_x000D_
           SnackbarUtils        _x000D_
       TransActivity       SDK 21   BUG_x000D_
    GsonUtils       _x000D_
  1 28 3_x000D_
       tinker      tinker          Utils init_x000D_
  1 28 4_x000D_
        LanguageUtils applyLanguage(locale)      (https:  github com Blankj AndroidUtilCode issues 1234)_x000D_
       BarUtils isNavBarVisible_x000D_
  1 28 5_x000D_
        FileUtils copyOrMoveDird NPE (https:  github com Blankj AndroidUtilCode issues 1244)_x000D_
     IntentUtils getLaunchAppDetailsSettingsIntent support isNewTask (https:  github com Blankj AndroidUtilCode issues 1239)_x000D_
       ImageUtils save2Album  NetworkUtils getSSID  UtilsTransActivity4MainProcess_x000D_
    Publish bus plugin v2 6  Publish api plugin v1 4 _x000D_
  1 28 6_x000D_
       BusUtils postSticky        tag      post   bug_x000D_
       IntentUtils getInstallAppIntent    uri   _x000D_
  1 29 0_x000D_
       IntentUtils getInstallAppIntent             bug_x000D_
  BUG     _x000D_
_x000D_
               BUG  _x000D_
_x000D_
 pre _x000D_
      Bug_x000D_
_x000D_
       Bug _x000D_
  AndroidUtilCode        utilcode:1 28 0   utilcodex:1 28 0_x000D_
     Bug           Nexus 5X_x000D_
      Android       API 27_x000D_
_x000D_
       _x000D_
_x000D_
   _x000D_
put your code here_x000D_
   _x000D_
_x000D_
       _x000D_
_x000D_
   _x000D_
put the stack of crash here_x000D_
   _x000D_
_x000D_
     _x000D_
_x000D_
                    _x000D_
  pre </t>
  </si>
  <si>
    <t>material-components-material-components-android-1204</t>
  </si>
  <si>
    <t>[MaterialAlertDialogBuilder] Creating MaterialAlertDialogBuilder crashes with ThemeEnforcement when using webview</t>
  </si>
  <si>
    <t xml:space="preserve">  Description:   Creating instance of MaterialAlertDialogBuilder causes the app crash with error message:    java lang IllegalArgumentException: The style on this component requires your app theme to be Theme AppCompat (or a descendant)    _x000D_
_x000D_
Weirdly enough  there are 2 conditions for it:_x000D_
1  Web view in Activity view or fragment _x000D_
2  Using a wrapper for resources in  Activity getResources    Like:_x000D_
   kotlin _x000D_
override fun getResources(): Resources  _x000D_
      return AppResources(super getResources())_x000D_
 _x000D_
class AppResources(res: Resources) : Resources(res assets  res displayMetrics  res configuration)_x000D_
   _x000D_
_x000D_
  Android API version:   8 1 (it doesn t crash in 10 or R)_x000D_
_x000D_
  Material Library version:   1 2 0 alpha05_x000D_
_x000D_
  Device:   Android Emulator Android 8 1_x000D_
_x000D_
 ThemeEnforcementCrash zip (https:  github com material components material components android files 4466503 ThemeEnforcementCrash zip)_x000D_
_x000D_
</t>
  </si>
  <si>
    <t>nextcloud-android-5854</t>
  </si>
  <si>
    <t>Random crash</t>
  </si>
  <si>
    <t xml:space="preserve">    Steps to reproduce_x000D_
1  Once at morning Nextcloud client started for endless asking my pin  Then at the back arrow I got the crash report being shared _x000D_
2  _x000D_
3  Please find the logs from the crash report:_x000D_
_x000D_
             CAUSE OF ERROR             _x000D_
_x000D_
java lang NoClassDefFoundError: Failed resolution of: Lcom google firebase analytics connector AnalyticsConnector _x000D_
	at com google firebase messaging zzo zza(com google firebase:firebase messaging  20 1 3:120)_x000D_
	at com google firebase messaging zzo zza(com google firebase:firebase messaging  20 1 3:1)_x000D_
	at com google firebase messaging FirebaseMessagingService zzc(com google firebase:firebase messaging  20 1 3:50)_x000D_
	at com google firebase messaging zze run(com google firebase:firebase messaging  20 1 3:2)_x000D_
	at java util concurrent ThreadPoolExecutor runWorker(ThreadPoolExecutor java:1167)_x000D_
	at java util concurrent ThreadPoolExecutor Worker run(ThreadPoolExecutor java:641)_x000D_
	at com google android gms common util concurrent zza run(Unknown Source:6)_x000D_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6Pva4imxBpfwY7zp0YYU1w   base apk   nativeLibraryDirectories   data app com nextcloud client 6Pva4imxBpfwY7zp0YYU1w   lib arm64   data app com nextcloud client 6Pva4imxBpfwY7zp0YYU1w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30110090_x000D_
Build flavor: gplay_x000D_
_x000D_
             DEVICE INFORMATION             _x000D_
Brand: samsung_x000D_
Device: a40_x000D_
Model: SM A405FN_x000D_
Id: PPR1 180610 011_x000D_
Product: a40eea_x000D_
_x000D_
             FIRMWARE             _x000D_
SDK: 28_x000D_
Release: 9_x000D_
Incremental: A405FNXXU3ATA4_x000D_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</si>
  <si>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aws-amplify-amplify-android-377</t>
  </si>
  <si>
    <t>ApiException: Could not retrieve the response body from the returned JSON</t>
  </si>
  <si>
    <t xml:space="preserve">Greetings _x000D_
_x000D_
When my computer is connected to the network  but doesn t have accessibility to the internet  the following Amplify error crashes the application _x000D_
_x000D_
https:  pastebin com 6w3vPjQg_x000D_
   _x000D_
04 11 15:50:58 539 6579 6608 ai deepseed sandbox E AndroidRuntime: FATAL EXCEPTION: pool 3 thread 2_x000D_
    Process: ai deepseed sandbox  PID: 6579_x000D_
    java lang RuntimeException: com amplifyframework datastore DataStoreException: Failure performing sync query to AppSync _x000D_
        at io reactivex internal util ExceptionHelper wrapOrThrow(ExceptionHelper java:46)_x000D_
        at io reactivex internal observers BlockingMultiObserver blockingGet(BlockingMultiObserver java:93)_x000D_
        at io reactivex Completable blockingAwait(Completable java:1227)_x000D_
        at com amplifyframework datastore syncengine Orchestrator lambda start 0 Orchestrator(Orchestrator java:3)_x000D_
        at com amplifyframework datastore syncengine    Lambda Orchestrator sXOpGcCGs9ZiNIMKtTT6tZMPTQU run(lambda)_x000D_
        at io reactivex internal operators completable CompletableFromAction subscribeActual(CompletableFromAction java:35)_x000D_
        at io reactivex Completable subscribe(Completable java:2309)_x000D_
        at io reactivex internal operators completable CompletableAndThenCompletable SourceObserver onComplete(CompletableAndThenCompletable java:67)_x000D_
        at io reactivex internal operators completable CompletableCreate Emitter onComplete(CompletableCreate java:64)_x000D_
        at com amplifyframework datastore AWSDataStorePlugin lambda null 2(AWSDataStorePlugin java:1)_x000D_
        at com amplifyframework datastore    Lambda AWSDataStorePlugin KzWoRbIa5fAf opMJmvpcYTLpM4 accept(lambda)_x000D_
        at com amplifyframework datastore storage sqlite SQLiteStorageAdapter lambda null 0 SQLiteStorageAdapter(SQLiteStorageAdapter java:3)_x000D_
        at com amplifyframework datastore storage sqlite    Lambda SQLiteStorageAdapter w4lkRK7kn70UKyGuaWOFqFrETHI run(lambda)_x000D_
        at io reactivex internal observers CallbackCompletableObserver onComplete(CallbackCompletableObserver java:53)_x000D_
        at io reactivex internal operators completable CompletableFromSingle CompletableFromSingleObserver onSuccess(CompletableFromSingle java:51)_x000D_
        at io reactivex internal operators single SingleFlatMap SingleFlatMapCallback FlatMapSingleObserver onSuccess(SingleFlatMap java:111)_x000D_
        at io reactivex internal operators single SingleCreate Emitter onSuccess(SingleCreate java:67)_x000D_
        at com amplifyframework datastore storage sqlite PersistentModelVersion lambda null 1(PersistentModelVersion java:1)_x000D_
        at com amplifyframework datastore storage sqlite    Lambda PersistentModelVersion 3EIFYsUxnq4w1GB5yAimLeipvmc accept(lambda)_x000D_
        at com amplifyframework datastore storage sqlite SQLiteStorageAdapter lambda save 3 SQLiteStorageAdapter(SQLiteStorageAdapter java:59)_x000D_
        at com amplifyframework datastore storage sqlite    Lambda SQLiteStorageAdapter JhGtXoPGeJ7lbNvRHxROfLs WmE run(lambda)_x000D_
        at java util concurrent Executors RunnableAdapter call(Executors java:422)_x000D_
        at java util concurrent FutureTask run(FutureTask java:237)_x000D_
        at java util concurrent ThreadPoolExecutor runWorker(ThreadPoolExecutor java:1112)_x000D_
        at java util concurrent ThreadPoolExecutor Worker run(ThreadPoolExecutor java:587)_x000D_
        at java lang Thread run(Thread java:818)_x000D_
     Caused by: com amplifyframework datastore DataStoreException: Failure performing sync query to AppSync _x000D_
        at com amplifyframework datastore appsync AppSyncClient lambda sync 1(AppSyncClient java:1)_x000D_
        at com amplifyframework datastore appsync    Lambda AppSyncClient suvEma05s p8v 66iE4cswLKYac accept(lambda)_x000D_
        at com amplifyframework api aws SingleArrayResultOperation OkHttpCallback onFailure(SingleArrayResultOperation java:3)_x000D_
        at okhttp3 internal connection RealCall AsyncCall run(RealCall kt:510)_x000D_
        at java util concurrent ThreadPoolExecutor runWorker(ThreadPoolExecutor java:1112) _x000D_
        at java util concurrent ThreadPoolExecutor Worker run(ThreadPoolExecutor java:587) _x000D_
        at java lang Thread run(Thread java:818) _x000D_
     Caused by: com amplifyframework api ApiException: Could not retrieve the response body from the returned JSON_x000D_
        at com amplifyframework api aws SingleArrayResultOperation OkHttpCallback onFailure(SingleArrayResultOperation java:3) _x000D_
        at okhttp3 internal connection RealCall AsyncCall run(RealCall kt:510) _x000D_
        at java util concurrent ThreadPoolExecutor runWorker(ThreadPoolExecutor java:1112) _x000D_
        at java util concurrent ThreadPoolExecutor Worker run(ThreadPoolExecutor java:587) _x000D_
        at java lang Thread run(Thread java:818) _x000D_
     Caused by: javax net ssl SSLHandshakeException: Connection closed by peer_x000D_
        at com android org conscrypt NativeCrypto SSL do handshake(Native Method)_x000D_
        at com android org conscrypt OpenSSLSocketImpl startHandshake(OpenSSLSocketImpl java:318)_x000D_
        at okhttp3 internal connection RealConnection connectTls(RealConnection kt:367)_x000D_
        at okhttp3 internal connection RealConnection establishProtocol(RealConnection kt:325)_x000D_
        at okhttp3 internal connection RealConnection connect(RealConnection kt:197)_x000D_
    	at okhttp3 internal connection ExchangeFinder findCo_x000D_
04 11 15:51:28 060 6579 6612 ai deepseed sandbox W amplify:aws datastore: Error enqueuing mutation from subscription _x000D_
    com amplifyframework datastore DataStoreException: Error during subscription _x000D_
        at com amplifyframework datastore appsync AppSyncClient lambda subscription 3(AppSyncClient java:1)_x000D_
        at com amplifyframework datastore appsync    Lambda AppSyncClient 8gXTT9bgLZGP51blif6hkh7EwIc accept(lambda)_x000D_
        at com amplifyframework api aws SubscriptionEndpoint requestSubscription(SubscriptionEndpoint java:27)_x000D_
        at com amplifyframework api aws SubscriptionOperation lambda start 0 SubscriptionOperation(SubscriptionOperation java:4)_x000D_
        at com amplifyframework api aws    Lambda SubscriptionOperation FXgdmzMG9ubNhC1f2NTwXyG53uo run(lambda)_x000D_
        at java util concurrent Executors RunnableAdapter call(Executors java:422)_x000D_
        at java util concurrent FutureTask run(FutureTask java:237)_x000D_
        at java util concurrent ThreadPoolExecutor runWorker(ThreadPoolExecutor java:1112)_x000D_
        at java util concurrent ThreadPoolExecutor Worker run(ThreadPoolExecutor java:587)_x000D_
        at java lang Thread run(Thread java:818)_x000D_
     Caused by: com amplifyframework api ApiException: Subscription timed out waiting for acknowledgement_x000D_
        at com amplifyframework api aws SubscriptionEndpoint requestSubscription(SubscriptionEndpoint java:27) _x000D_
        at com amplifyframework api aws SubscriptionOperation lambda start 0 SubscriptionOperation(SubscriptionOperation java:4) _x000D_
        at com amplifyframework api aws    Lambda SubscriptionOperation FXgdmzMG9ubNhC1f2NTwXyG53uo run(lambda) _x000D_
        at java util concurrent Executors RunnableAdapter call(Executors java:422) _x000D_
        at java util concurrent FutureTask run(FutureTask java:237) _x000D_
        at java util concurrent ThreadPoolExecutor runWorker(ThreadPoolExecutor java:1112) _x000D_
        at java util concurrent ThreadPoolExecutor Worker run(ThreadPoolExecutor java:587) _x000D_
        at java lang Thread run(Thread java:818) _x000D_
   _x000D_
_x000D_
Thanks </t>
  </si>
  <si>
    <t>nextcloud-android-5849</t>
  </si>
  <si>
    <t>android client crash when open local markdown file</t>
  </si>
  <si>
    <t xml:space="preserve">    Steps to reproduce_x000D_
1   modify a markdown file outside the app_x000D_
2  open the app and locate the file_x000D_
3  the app show an error flag on the file_x000D_
4  open the file in the app_x000D_
5  crash_x000D_
_x000D_
    Expected behaviour_x000D_
  Tell us what should happen_x000D_
_x000D_
_x000D_
_x000D_
_x000D_
    Logs_x000D_
_x000D_
             CAUSE OF ERROR             _x000D_
_x000D_
java lang RuntimeException: Unable to start activity ComponentInfo com nextcloud android beta com owncloud android ui activity ConflictsResolveActivity : java lang ClassCastException: com nextcloud client account RegisteredUser cannot be cast to android accounts Account_x000D_
	at android app ActivityThread performLaunchActivity(ActivityThread java:3448)_x000D_
	at android app ActivityThread handleLaunchActivity(ActivityThread java:3595)_x000D_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java:2147)_x000D_
	at android os Handler dispatchMessage(Handler java:107)_x000D_
	at android os Looper loop(Looper java:237)_x000D_
	at android app ActivityThread main(ActivityThread java:7811)_x000D_
	at java lang reflect Method invoke(Native Method)_x000D_
	at com android internal os RuntimeInit MethodAndArgsCaller run(RuntimeInit java:493)_x000D_
	at com android internal os ZygoteInit main(ZygoteInit java:1076)_x000D_
Caused by: java lang ClassCastException: com nextcloud client account RegisteredUser cannot be cast to android accounts Account_x000D_
	at com owncloud android ui activity FileActivity onCreate(FileActivity java:182)_x000D_
	at com owncloud android ui activity ConflictsResolveActivity onCreate(ConflictsResolveActivity java:74)_x000D_
	at android app Activity performCreate(Activity java:7955)_x000D_
	at android app Activity performCreate(Activity java:7944)_x000D_
	at android app Instrumentation callActivityOnCreate(Instrumentation java:1307)_x000D_
	at android app ActivityThread performLaunchActivity(ActivityThread java:3423)_x000D_
	    11 more_x000D_
_x000D_
             APP INFORMATION             _x000D_
ID: com nextcloud android beta_x000D_
Version: 20200410_x000D_
Build flavor: versionDev_x000D_
_x000D_
             DEVICE INFORMATION             _x000D_
Brand: samsung_x000D_
Model: SM G9650_x000D_
_x000D_
             FIRMWARE             _x000D_
SDK: 29_x000D_
Release: 10_x000D_
_x000D_
      _x000D_
server: nextcloud 18 0 3_x000D_
_x000D_
</t>
  </si>
  <si>
    <t>nikita36078-J2ME-Loader-653</t>
  </si>
  <si>
    <t>Crash when start mission in game Tenchu</t>
  </si>
  <si>
    <t xml:space="preserve">  Emulator version:   v1 5 6 open_x000D_
_x000D_
  Game version:   Tenchu v1 0 9 ((c) 2005 From Software)_x000D_
_x000D_
I used to play this game with Sony Ericsson Mobile K800i_x000D_
_x000D_
  image (https:  user images githubusercontent com 5492542 79040912 7b6fa980 7c1e 11ea 991c 53016fb7e01b png)_x000D_
  image (https:  user images githubusercontent com 5492542 79040931 8e827980 7c1e 11ea 81c7 81ea8a93c95e png)_x000D_
  image (https:  user images githubusercontent com 5492542 79040904 74e13200 7c1e 11ea 976b 6c2fd68883b8 png)_x000D_
_x000D_
_x000D_
  Game resolution:   240x320_x000D_
_x000D_
  Device:   XIAOMI 6_x000D_
_x000D_
  Android version:   Android 9_x000D_
_x000D_
  Description of the issue:  _x000D_
When select start mission in game  then the game exit _x000D_
_x000D_
game file: _x000D_
 Tenchu jar zip (https:  github com nikita36078 J2ME Loader files 4464373 Tenchu jar zip)_x000D_
_x000D_
_x000D_
log_x000D_
_x000D_
   _x000D_
          beginning of main_x000D_
04 11 17:41:05 076  1981  2055 V MediaPlayer: cleanDrmObj: mDrmObj null mDrmSessionId null_x000D_
04 11 17:41:05 084  1981  2055 V MediaPlayer: resetDrmState:  mDrmInfo null mDrmProvisioningThread null mPrepareDrmInProgress false mActiveDrmScheme false_x000D_
04 11 17:41:05 084  1981  2055 V MediaPlayer: cleanDrmObj: mDrmObj null mDrmSessionId null_x000D_
04 11 17:41:05 087  1981  2055 D javax microedition media InternalDataSource: Temp file deleted:  storage emulated 0 Android data ru playsoftware j2meloader cache media934240277430229291 mid_x000D_
04 11 17:41:08 205  1981  2055 D javax microedition util ContextHolder: CUSTOM GET RES CALLED WITH PATH:  map 00 dat_x000D_
04 11 17:41:16 077  1981  2055 D javax microedition util ContextHolder: CUSTOM GET RES CALLED WITH PATH:  0 pal_x000D_
04 11 17:41:16 079  1981  2055 D javax microedition util ContextHolder: CUSTOM GET RES CALLED WITH PATH:  pbar a png_x000D_
04 11 17:41:16 083  1981  2055 D javax microedition util ContextHolder: CUSTOM GET RES CALLED WITH PATH:  pbar c png_x000D_
04 11 17:41:16 086  1981  2055 D javax microedition util ContextHolder: CUSTOM GET RES CALLED WITH PATH:  pbar d png_x000D_
04 11 17:41:16 088  1981  2055 D javax microedition util ContextHolder: CUSTOM GET RES CALLED WITH PATH:  pbar e png_x000D_
04 11 17:41:16 090  1981  2055 D javax microedition util ContextHolder: CUSTOM GET RES CALLED WITH PATH:  pbar f png_x000D_
04 11 17:41:16 092  1981  2055 D javax microedition util ContextHolder: CUSTOM GET RES CALLED WITH PATH:  ebar a png_x000D_
04 11 17:41:16 095  1981  2055 D javax microedition util ContextHolder: CUSTOM GET RES CALLED WITH PATH:  ebar b png_x000D_
04 11 17:41:16 097  1981  2055 D javax microedition util ContextHolder: CUSTOM GET RES CALLED WITH PATH:  carel png_x000D_
04 11 17:41:16 102  1981  2055 D javax microedition util ContextHolder: CUSTOM GET RES CALLED WITH PATH:  carem png_x000D_
04 11 17:41:16 103  1981  2055 D javax microedition util ContextHolder: CUSTOM GET RES CALLED WITH PATH:  cares png_x000D_
          beginning of crash_x000D_
04 11 17:41:16 249  1981  2055 E AndroidRuntime: FATAL EXCEPTION: Thread 3_x000D_
04 11 17:41:16 249  1981  2055 E AndroidRuntime: Process: ru playsoftware j2meloader:midlet  PID: 1981_x000D_
04 11 17:41:16 249  1981  2055 E AndroidRuntime: java lang ArithmeticException: divide by zero_x000D_
04 11 17:41:16 249  1981  2055 E AndroidRuntime: 	at c aQ(Unknown Source:82)_x000D_
04 11 17:41:16 249  1981  2055 E AndroidRuntime: 	at c an(Unknown Source:54)_x000D_
04 11 17:41:16 249  1981  2055 E AndroidRuntime: 	at c f(Unknown Source:195)_x000D_
04 11 17:41:16 249  1981  2055 E AndroidRuntime: 	at h run(Unknown Source:189)_x000D_
04 11 17:41:16 249  1981  2055 E AndroidRuntime: 	at java lang Thread run(Thread java:764)_x000D_
          beginning of system_x000D_
04 11 17:41:16 256  1981  2055 D OOMEventManagerFK: checkEventAndDumpForJE: 0_x000D_
04 11 17:41:16 258  1981  2055 E ACRA    : ACRA caught a ArithmeticException for ru playsoftware j2meloader_x000D_
04 11 17:41:16 258  1981  2055 E ACRA    : java lang ArithmeticException: divide by zero_x000D_
04 11 17:41:16 258  1981  2055 E ACRA    : 	at c aQ(Unknown Source:82)_x000D_
04 11 17:41:16 258  1981  2055 E ACRA    : 	at c an(Unknown Source:54)_x000D_
04 11 17:41:16 258  1981  2055 E ACRA    : 	at c f(Unknown Source:195)_x000D_
04 11 17:41:16 258  1981  2055 E ACRA    : 	at h run(Unknown Source:189)_x000D_
04 11 17:41:16 258  1981  2055 E ACRA    : 	at java lang Thread run(Thread java:764)_x000D_
04 11 17:41:16 566  1981  2244 I Timeline: Timeline: Activity launch request time:1000739526_x000D_
04 11 17:41:16 596  1981  2055 I Process : Sending signal  PID: 1981 SIG: 9_x000D_
04 11 17:41:16 614  2247  2247 E j2meloader:acr: Not starting debugger since process cannot load the jdwp agent _x000D_
04 11 17:41:16 670  2247  2247 I Perf    : Connecting to perf service _x000D_
04 11 17:41:16 720  2247  2265 I j2meloader:acr: The ClassLoaderContext is a special shared library _x000D_
04 11 17:41:16 720  2247  2265 W j2meloader:acr: miui dex2oat: oat file of  system app MiuiContentCatcher MiuiContentCatcher apk is not exists_x000D_
04 11 17:41:16 747  2247  2265 D ViewContentFactory: initViewContentFetcherClass_x000D_
04 11 17:41:16 747  2247  2265 D ViewContentFactory: getInterceptorPackageInfo_x000D_
04 11 17:41:16 747  2247  2265 D ViewContentFactory: getInitialApplication took 1ms_x000D_
04 11 17:41:16 747  2247  2265 D ViewContentFactory: packageInfo packageName: com miui catcherpatch_x000D_
04 11 17:41:16 749  2247  2265 W j2meloader:acr: miui dex2oat: oat file of  system app CatcherPatch CatcherPatch apk is not exists_x000D_
04 11 17:41:16 752  2247  2265 D ViewContentFactory: initViewContentFetcherClass took 5ms_x000D_
04 11 17:41:16 752  2247  2265 I ContentCatcher: ViewContentFetcher : ViewContentFetcher_x000D_
04 11 17:41:16 752  2247  2265 D ViewContentFactory: createInterceptor took 5ms_x000D_
04 11 17:41:16 754  2247  2265 I ContentCatcher: Interceptor : Catcher list invalid for ru playsoftware j2meloader org acra dialog CrashReportDialog 9511968_x000D_
04 11 17:41:16 754  2247  2265 I ContentCatcher: Interceptor : Get featureInfo from config pick mode_x000D_
04 11 17:41:16 798  2247  2266 I Adreno  : QUALCOMM build                   : 2c6a1c7  I1490fecf6e_x000D_
04 11 17:41:16 798  2247  2266 I Adreno  : Build Date                       : 02 04 19_x000D_
04 11 17:41:16 798  2247  2266 I Adreno  : OpenGL ES Shader Compiler Version: EV031 25 03 02_x000D_
04 11 17:41:16 798  2247  2266 I Adreno  : Local Branch                     : _x000D_
04 11 17:41:16 798  2247  2266 I Adreno  : Remote Branch                    : _x000D_
04 11 17:41:16 798  2247  2266 I Adreno  : Remote Branch                    : _x000D_
04 11 17:41:16 798  2247  2266 I Adreno  : Reconstruct Branch               : _x000D_
04 11 17:41:16 798  2247  2266 I Adreno  : Build Config                     : S L 6 0 7 AArch32_x000D_
04 11 17:41:16 798  2247  2266 D vndksupport: Loading  vendor lib hw gralloc msm8998 so from current namespace instead of sphal namespace _x000D_
04 11 17:41:16 800  2247  2266 I Adreno  : PFP: 0x005ff112  ME: 0x005ff066_x000D_
04 11 17:41:16 803  2247  2266 I ConfigStore: android::hardware::configstore::V1 0::ISurfaceFlingerConfigs::hasWideColorDisplay retrieved: 0_x000D_
04 11 17:41:16 803  2247  2266 I ConfigStore: android::hardware::configstore::V1 0::ISurfaceFlingerConfigs::hasHDRDisplay retrieved: 0_x000D_
04 11 17:41:16 803  2247  2266 I OpenGLRenderer: Initialized EGL  version 1 4_x000D_
04 11 17:41:16 803  2247  2266 D OpenGLRenderer: Swap behavior 2_x000D_
04 11 17:41:16 834  2247  2266 D vndksupport: Loading  vendor lib hw android hardware graphics mapper 2 0 impl so from current namespace instead of sphal namespace _x000D_
04 11 17:41:16 835  2247  2266 D vndksupport: Loading  vendor lib hw gralloc msm8998 so from current namespace instead of sphal namespace _x000D_
04 11 17:41:21 213  2247  2266 D OpenGLRenderer: endAllActiveAnimators on 0xd24f5480 (RippleDrawable) with handle 0xd1d5a200_x000D_
04 11 17:41:21 272  2247  2273 I ACRA    : Sending report  data user 0 ru playsoftware j2meloader app ACRA approved 2020 04 11T17:41:16 449 08:00 stacktrace_x000D_
04 11 17:41:21 286  2247  2277 D NetworkSecurityConfig: No Network Security Config specified  using platform default_x000D_
04 11 17:41:24 707  2247  2262 I j2meloader:acr: ProcessProfilingInfo new methods 168 is saved saved to disk 1 resolve classes delay 8000_x000D_
04 11 17:41:27 248 32368 32368 I Timeline: Timeline: Activity launch request time:1000750208_x000D_
04 11 17:41:27 304  2288  2288 E meloader:midle: Not starting debugger since process cannot load the jdwp agent _x000D_
04 11 17:41:27 349  2288  2288 I Perf    : Connecting to perf service _x000D_
04 11 17:41:27 362  2247  2277 D Volley  :  29069  c a: HTTP response for request      https:  in appcenter ms logs Api Version 1 0 0 0x8b46cf07 NORMAL 1   lifetime 6080    size 129    rc 200    retryCount 1 _x000D_
04 11 17:41:27 379  2288  2288 I ACRA    : ACRA is enabled for ru playsoftware j2meloader  initializing   _x000D_
04 11 17:41:27 407  2288  2308 I meloader:midle: The ClassLoaderContext is a special shared library _x000D_
04 11 17:41:27 408  2288  2308 W meloader:midle: miui dex2oat: oat file of  system app MiuiContentCatcher MiuiContentCatcher apk is not exists_x000D_
04 11 17:41:27 412  2288  2288 W Binder:intercep: type 1400 audit(0 0:3565925): avc: denied   getattr   for path   data data com miui contentcatcher  dev  sda17  ino 1835025 scontext u:r:untrusted app:s0:c108 c257 c512 c768 tcontext u:object r:system app data file:s0 tclass dir permissive 0_x000D_
04 11 17:41:27 435  2288  2308 D ViewContentFactory: initViewContentFetcherClass_x000D_
04 11 17:41:27 435  2288  2308 D ViewContentFactory: getInterceptorPackageInfo_x000D_
04 11 17:41:27 435  2288  2308 D ViewContentFactory: getInitialApplication took 1ms_x000D_
04 11 17:41:27 435  2288  2308 D ViewContentFactory: packageInfo packageName: com miui catcherpatch_x000D_
04 11 17:41:27 435  2288  2288 W meloader:midle: Unsupported class loader_x000D_
04 11 17:41:27 436  2288  2288 I meloader:midle: Speed up secondary dex load for  data user 0 ru playsoftware j2meloader tmp dex oat arm converted odex_x000D_
04 11 17:41:27 442  2288  2308 W meloader:midle: miui dex2oat: oat file of  system app CatcherPatch CatcherPatch apk is not exists_x000D_
04 11 17:41:27 432  2288  2288 W Binder:intercep: type 1400 audit(0 0:3565926): avc: denied   getattr   for path   data data com miui catcherpatch  dev  sda17  ino 1841100 scontext u:r:untrusted app:s0:c108 c257 c512 c768 tcontext u:object r:system app data file:s0 tclass dir permissive 0_x000D_
04 11 17:41:27 446  2288  2308 D ViewContentFactory: initViewContentFetcherClass took 11ms_x000D_
04 11 17:41:27 446  2288  2308 I ContentCatcher: ViewContentFetcher : ViewContentFetcher_x000D_
04 11 17:41:27 446  2288  2308 D ViewContentFactory: createInterceptor took 12ms_x000D_
04 11 17:41:27 448  2288  2308 I ContentCatcher: Interceptor : Catcher list invalid for ru playsoftware j2meloader javax microedition shell MicroActivity 249884826_x000D_
04 11 17:41:27 448  2288  2308 I ContentCatcher: Interceptor : Get featureInfo from config pick mode_x000D_
04 11 17:41:27 470  2311  2311 I dex2oat : The ClassLoaderContext is a special shared library _x000D_
04 11 17:41:27 470  2311  2311 I dex2oat :  system bin dex2oat  j6   dex file  data user 0 ru playsoftware j2meloader tmp dex converted dex   output vdex fd 53   oat fd 54   oat location  data user 0 ru playsoftware j2meloader tmp dex oat arm converted odex   compiler filter verify   class loader context  _x000D_
04 11 17:41:27 569  2311  2311 I dex2oat : dex2oat took 99 888ms (109 945ms cpu) (threads: 6) arena alloc 0B (0B) java alloc 96KB (98320B) native alloc 1400KB (1433928B) free 2MB (2760376B)_x000D_
04 11 17:41:27 571  2288  2288 W meloader:midle: Skipping duplicate class check due to unsupported classloader_x000D_
04 11 17:41:27 572  2288  2288 I javax microedition shell MicroLoader: loadMIDletList main: TenchuMidlet from dex: data user 0 ru playsoftware j2meloader tmp dex converted dex_x000D_
04 11 17:41:27 572  2288  2288 I javax microedition shell MicroLoader: MIDlet Name: Tenchu_x000D_
04 11 17:41:27 596  2288  2319 I Adreno  : QUALCOMM build                   : 2c6a1c7  I1490fecf6e_x000D_
04 11 17:41:27 596  2288  2319 I Adreno  : Build Date                       : 02 04 19_x000D_
04 11 17:41:27 596  2288  2319 I Adreno  : OpenGL ES Shader Compiler Version: EV031 25 03 02_x000D_
04 11 17:41:27 596  2288  2319 I Adreno  : Local Branch                     : _x000D_
04 11 17:41:27 596  2288  2319 I Adreno  : Remote Branch                    : _x000D_
04 11 17:41:27 596  2288  2319 I Adreno  : Remote Branch                    : _x000D_
04 11 17:41:27 596  2288  2319 I Adreno  : Reconstruct Branch               : _x000D_
04 11 17:41:27 596  2288  2319 I Adreno  : Build Config                     : S L 6 0 7 AArch32_x000D_
04 11 17:41:27 597  2288  2319 D vndksupport: Loading  vendor lib hw gralloc msm8998 so from current namespace instead of sphal namespace _x000D_
04 11 17:41:27 599  2288  2319 I Adreno  : PFP: 0x005ff112  ME: 0x005ff066_x000D_
04 11 17:41:27 602  2288  2319 I ConfigStore: android::hardware::configstore::V1 0::ISurfaceFlingerConfigs::hasWideColorDisplay retrieved: 0_x000D_
04 11 17:41:27 602  2288  2319 I ConfigStore: android::hardware::configstore::V1 0::ISurfaceFlingerConfigs::hasHDRDisplay retrieved: 0_x000D_
04 11 17:41:27 602  2288  2318 D Canvas  : Constructor  w 1080 h 1920_x000D_
04 11 17:41:27 602  2288  2319 I OpenGLRenderer: Initialized EGL  version 1 4_x000D_
04 11 17:41:27 602  2288  2319 D OpenGLRenderer: Swap behavior 2_x000D_
04 11 17:41:27 611  2288  2319 D vndksupport: Loading  vendor lib hw android hardware graphics mapper 2 0 impl so from current namespace instead of sphal namespace _x000D_
04 11 17:41:27 612  2288  2319 D vndksupport: Loading  vendor lib hw gralloc msm8998 so from current namespace instead of sphal namespace _x000D_
04 11 17:41:27 670  2288  2288 W InputMethodManager: Ignoring onBind: cur seq 31279  given seq 31278_x000D_
04 11 17:41:34 299  2288  2320 D javax microedition util ContextHolder: CUSTOM GET RES CALLED WITH PATH:  l wad_x000D_
04 11 17:41:34 468  2288  2320 D javax microedition util ContextHolder: CUSTOM GET RES CALLED WITH PATH:  0 pal_x000D_
04 11 17:41:34 474  2288  2320 D javax microedition util ContextHolder: CUSTOM GET RES CALLED WITH PATH:  font png_x000D_
04 11 17:41:34 481  2288  2320 D javax microedition util ContextHolder: CUSTOM GET RES CALLED WITH PATH:  font dat_x000D_
04 11 17:41:34 483  2288  2320 D javax microedition util ContextHolder: CUSTOM GET RES CALLED WITH PATH:  map 00 dat_x000D_
04 11 17:41:34 484  2288  2320 D javax microedition util ContextHolder: CUSTOM GET RES CALLED WITH PATH:  map 01 dat_x000D_
04 11 17:41:34 485  2288  2320 D javax microedition util ContextHolder: CUSTOM GET RES CALLED WITH PATH:  map 02 dat_x000D_
04 11 17:41:34 486  2288  2320 D javax microedition util ContextHolder: CUSTOM GET RES CALLED WITH PATH:  map 03 dat_x000D_
04 11 17:41:34 487  2288  2320 D javax microedition util ContextHolder: CUSTOM GET RES CALLED WITH PATH:  map 04 dat_x000D_
04 11 17:41:34 488  2288  2320 D javax microedition util ContextHolder: CUSTOM GET RES CALLED WITH PATH:  map 05 dat_x000D_
04 11 17:41:34 489  2288  2320 D javax microedition util ContextHolder: CUSTOM GET RES CALLED WITH PATH:  map 06 dat_x000D_
04 11 17:41:34 489  2288  2320 D javax microedition util ContextHolder: Can t load res: map 06 dat_x000D_
04 11 17:41:34 492  2288  2320 D javax microedition rms RecordStore: RecordStore r opened_x000D_
04 11 17:41:34 493  2288  2320 D javax microedition rms impl RecordStoreImpl: RecordStore r closed_x000D_
04 11 17:41:34 494  2288  2320 D javax microedition util ContextHolder: CUSTOM GET RES CALLED WITH PATH:  0 pal_x000D_
04 11 17:41:34 496  2288  2320 D javax microedition util ContextHolder: CUSTOM GET RES CALLED WITH PATH:  ls bn png_x000D_
04 11 17:41:34 498  2288  2320 D javax microedition util ContextHolder: CUSTOM GET RES CALLED WITH PATH:  titlebkb png_x000D_
04 11 17:41:34 508  2288  2320 D javax microedition util ContextHolder: CUSTOM GET RES CALLED WITH PATH:  shurikan png_x000D_
04 11 17:41:34 509  2288  2320 D javax microedition util ContextHolder: CUSTOM GET RES CALLED WITH PATH:  cursor png_x000D_
04 11 17:41:34 510  2288  2320 D javax microedition util ContextHolder: CUSTOM GET RES CALLED WITH PATH:  arrows png_x000D_
04 11 17:41:34 510  2288  2320 D javax microedition util ContextHolder: CUSTOM GET RES CALLED WITH PATH:  stars png_x000D_
04 11 17:41:34 553  2288  2320 D javax microedition util ContextHolder: CUSTOM GET RES CALLED WITH PATH:  0 pal_x000D_
04 11 17:41:34 554  2288  2320 D javax microedition util ContextHolder: CUSTOM GET RES CALLED WITH PATH:  titlebka png_x000D_
04 11 17:41:34 561  2288  2320 D javax microedition util ContextHolder: CUSTOM GET RES CALLED WITH PATH:  titlelogo png_x000D_
04 11 17:41:34 563  2288  2320 D javax microedition util ContextHolder: CUSTOM GET RES CALLED WITH PATH:  titlecr png_x000D_
04 11 17:41:34 720  2288  2320 D javax microedition util ContextHolder: CUSTOM GET RES CALLED WITH PATH:  tc 2d bmp_x000D_
04 11 17:41:35 361  2288  2304 I meloader:midle: ProcessProfilingInfo new methods 0 is saved saved to disk 0 resolve classes delay 8000_x000D_
04 11 17:41:35 477  2288  2320 D javax microedition util ContextHolder: CUSTOM GET RES CALLED WITH PATH: obj tex bmp_x000D_
04 11 17:41:35 483  2288  2320 D javax microedition util ContextHolder: CUSTOM GET RES CALLED WITH PATH: enemy dif act_x000D_
04 11 17:41:35 486  2288  2320 D javax microedition util ContextHolder: CUSTOM GET RES CALLED WITH PATH: map tex bmp_x000D_
04 11 17:41:35 560  2288  2320 D javax microedition util ContextHolder: CUSTOM GET RES CALLED WITH PATH:  ayame mbac_x000D_
04 11 17:41:35 561  2288  2320 D javax microedition util ContextHolder: CUSTOM GET RES CALLED WITH PATH:  rounin mbac_x000D_
04 11 17:41:35 562  2288  2320 D javax microedition util ContextHolder: CUSTOM GET RES CALLED WITH PATH:  ninjya mbac_x000D_
04 11 17:41:35 563  2288  2299 W System  : A resource failed to call close  _x000D_
04 11 17:41:35 646  2288  2320 D javax microedition util ContextHolder: CUSTOM GET RES CALLED WITH PATH:  a motion mtra_x000D_
04 11 17:41:35 648  2288  2320 D javax microedition util ContextHolder: CUSTOM GET RES CALLED WITH PATH:  rounin mtra_x000D_
04 11 17:41:35 650  2288  2320 D javax microedition util ContextHolder: CUSTOM GET RES CALLED WITH PATH:  ninjya mtra_x000D_
04 11 17:41:35 730  2288  2320 D javax microedition util ContextHolder: CUSTOM GET RES CALLED WITH PATH:  prim pdat_x000D_
04 11 17:41:35 897  2288  2320 D javax microedition util ContextHolder: CUSTOM GET RES CALLED WITH PATH:  0 pal_x000D_
04 11 17:41:35 899  2288  2320 D javax microedition util ContextHolder: CUSTOM GET RES CALLED WITH PATH:  ls bn png_x000D_
04 11 17:41:35 902  2288  2320 D javax microedition util ContextHolder: CUSTOM GET RES CALLED WITH PATH:  titlebkb png_x000D_
04 11 17:41:35 905  2288  2320 D javax microedition util ContextHolder: CUSTOM GET RES CALLED WITH PATH:  shurikan png_x000D_
04 11 17:41:35 907  2288  2320 D javax microedition util ContextHolder: CUSTOM GET RES CALLED WITH PATH:  cursor png_x000D_
04 11 17:41:35 909  2288  2320 D javax microedition util ContextHolder: CUSTOM GET RES CALLED WITH PATH:  arrows png_x000D_
04 11 17:41:35 911  2288  2320 D javax microedition util ContextHolder: CUSTOM GET RES CALLED WITH PATH:  stars png_x000D_
04 11 17:41:35 945  2288  2320 D javax microedition util ContextHolder: CUSTOM GET RES CALLED WITH PATH:  ui bgm mid_x000D_
04 11 17:41:35 954  2288  2320 D javax microedition media InternalDataSource: Starting media pipe: media2887809279152730324 mid_x000D_
04 11 17:41:35 954  2288  2320 D javax microedition media InternalDataSource: Changing file size to 4699 bytes: media2887809279152730324 mid_x000D_
04 11 17:41:35 954  2288  2320 D javax microedition media InternalDataSource: Media pipe closed: media2887809279152730324 mid_x000D_
04 11 17:41:40 046  2288  2320 V MediaPlayer: resetDrmState:  mDrmInfo null mDrmProvisioningThread null mPrepareDrmInProgress false mActiveDrmScheme false_x000D_
04 11 17:41:40 046  2288  2320 V MediaPlayer: cleanDrmObj: mDrmObj null mDrmSessionId null_x000D_
04 11 17:41:40 051  2288  2320 V MediaPlayer: resetDrmState:  mDrmInfo null mDrmProvisioningThread null mPrepareDrmInProgress false mActiveDrmScheme false_x000D_
04 11 17:41:40 051  2288  2320 V MediaPlayer: cleanDrmObj: mDrmObj null mDrmSessionId null_x000D_
04 11 17:41:40 106  2288  2320 D javax microedition media InternalDataSource: Temp file deleted:  storage emulated 0 Android data ru playsoftware j2meloader cache media2887809279152730324 mid_x000D_
04 11 17:41:41 547  2288  2320 D javax microedition util ContextHolder: CUSTOM GET RES CALLED WITH PATH:  map 00 dat_x000D_
04 11 17:41:44 158  2288  2320 D javax microedition util ContextHolder: CUSTOM GET RES CALLED WITH PATH:  0 pal_x000D_
04 11 17:41:44 160  2288  2320 D javax microedition util ContextHolder: CUSTOM GET RES CALLED WITH PATH:  pbar a png_x000D_
04 11 17:41:44 163  2288  2320 D javax microedition util ContextHolder: CUSTOM GET RES CALLED WITH PATH:  pbar c png_x000D_
04 11 17:41:44 166  2288  2320 D javax microedition util ContextHolder: CUSTOM GET RES CALLED WITH PATH:  pbar d png_x000D_
04 11 17:41:44 168  2288  2320 D javax microedition util ContextHolder: CUSTOM GET RES CALLED WITH PATH:  pbar e png_x000D_
04 11 17:41:44 170  2288  2320 D javax microedition util ContextHolder: CUSTOM GET RES CALLED WITH PATH:  pbar f png_x000D_
04 11 17:41:44 172  2288  2320 D javax microedition util ContextHolder: CUSTOM GET RES CALLED WITH PATH:  ebar a png_x000D_
04 11 17:41:44 174  2288  2320 D javax microedition util ContextHolder: CUSTOM GET RES CALLED WITH PATH:  ebar b png_x000D_
04 11 17:41:44 176  2288  2320 D javax microedition util ContextHolder: CUSTOM GET RES CALLED WITH PATH:  carel png_x000D_
04 11 17:41:44 179  2288  2320 D javax microedition util ContextHolder: CUSTOM GET RES CALLED WITH PATH:  carem png_x000D_
04 11 17:41:44 182  2288  2320 D javax microedition util ContextHolder: CUSTOM GET RES CALLED WITH PATH:  cares png_x000D_
04 11 17:41:44 327  2288  2320 E AndroidRuntime: FATAL EXCEPTION: Thread 3_x000D_
04 11 17:41:44 327  2288  2320 E AndroidRuntime: Process: ru playsoftware j2meloader:midlet  PID: 2288_x000D_
04 11 17:41:44 327  2288  2320 E AndroidRuntime: java lang ArithmeticException: divide by zero_x000D_
04 11 17:41:44 327  2288  2320 E AndroidRuntime: 	at c aQ(Unknown Source:82)_x000D_
04 11 17:41:44 327  2288  2320 E AndroidRuntime: 	at c an(Unknown Source:54)_x000D_
04 11 17:41:44 327  2288  2320 E AndroidRuntime: 	at c f(Unknown Source:195)_x000D_
04 11 17:41:44 327  2288  2320 E AndroidRuntime: 	at h run(Unknown Source:189)_x000D_
04 11 17:41:44 327  2288  2320 E AndroidRuntime: 	at java lang Thread run(Thread java:764)_x000D_
04 11 17:41:44 336  2288  2320 D OOMEventManagerFK: checkEventAndDumpForJE: 0_x000D_
04 11 17:41:44 337  2288  2320 E ACRA    : ACRA caught a ArithmeticException for ru playsoftware j2meloader_x000D_
04 11 17:41:44 337  2288  2320 E ACRA    : java lang ArithmeticException: divide by zero_x000D_
04 11 17:41:44 337  2288  2320 E ACRA    : 	at c aQ(Unknown Source:82)_x000D_
04 11 17:41:44 337  2288  2320 E ACRA    : 	at c an(Unknown Source:54)_x000D_
04 11 17:41:44 337  2288  2320 E ACRA    : 	at c f(Unknown Source:195)_x000D_
04 11 17:41:44 337  2288  2320 E ACRA    : 	at h run(Unknown Source:189)_x000D_
04 11 17:41:44 337  2288  2320 E ACRA    : 	at java lang Thread run(Thread java:764)_x000D_
04 11 17:41:44 663  2288  2371 I Timeline: Timeline: Activity launch request time:1000767623_x000D_
04 11 17:41:44 684  2288  2320 I Process : Sending signal  PID: 2288 SIG: 9_x000D_
04 11 17:41:44 686  2247  2247 W ActivityThread: handleWindowVisibility: no activity for token android os BinderProxy dcf50c4_x000D_
04 11 17:41:44 697  2247  2265 D ViewContentFactory: initViewContentFetcherClass_x000D_
04 11 17:41:44 697  2247  2265 I ContentCatcher: ViewContentFetcher : ViewContentFetcher_x000D_
04 11 17:41:44 697  2247  2265 D ViewContentFactory: createInterceptor took 0ms_x000D_
04 11 17:41:44 698  2247  2265 I ContentCatcher: Interceptor : Catcher list invalid for ru playsoftware j2meloader org acra dialog CrashReportDialog 142745314_x000D_
04 11 17:41:44 698  2247  2265 I ContentCatcher: Interceptor : Get featureInfo from config pick mode_x000D_
04 11 17:41:49 171  2247  2266 D OpenGLRenderer: endAllActiveAnimators on 0xd1917b80 (RippleDrawable) with handle 0xd1deae70_x000D_
04 11 17:41:51 414 32368 32368 I Timeline: Timeline: Activity launch request time:1000774373_x000D_
04 11 17:41:51 488  2384  2384 E meloader:midle: Not starting debugger since process cannot load the jdwp agent _x000D_
04 11 17:41:51 536  2384  2384 I Perf    : Connecting to perf service _x000D_
04 11 17:41:51 566  2384  2384 I ACRA    : ACRA is enabled for ru playsoftware j2meloader  initializing   _x000D_
04 11 17:41:51 595  2384  2403 I meloader:midle: The ClassLoaderContext is a special shared library _x000D_
04 11 17:41:51 595  2384  2403 W meloader:midle: miui dex2oat: oat file of  system app MiuiContentCatcher MiuiContentCatcher apk is not exists_x000D_
04 11 17:41:51 622  2384  2403 D ViewContentFactory: initViewContentFetcherClass_x000D_
04 11 17:41:51 622  2384  2403 D ViewContentFactory: getInterceptorPackageInfo_x000D_
04 11 17:41:51 622  2384  2403 D ViewContentFactory: getInitialApplication took 1ms_x000D_
04 11 17:41:51 623  2384  2403 D ViewContentFactory: packageInfo packageName: com miui catcherpatch_x000D_
04 11 17:41:51 624  2384  2403 W meloader:midle: miui dex2oat: oat file of  system app CatcherPatch CatcherPatch apk is not exists_x000D_
04 11 17:41:51 625  2384  2384 W meloader:midle: Unsupported class loader_x000D_
04 11 17:41:51 625  2384  2384 I meloader:midle: Speed up secondary dex load for  data user 0 ru playsoftware j2meloader tmp dex oat arm converted odex_x000D_
04 11 17:41:51 634  2384  2403 D ViewContentFactory: initViewContentFetcherClass took 13ms_x000D_
04 11 17:41:51 634  2384  2403 I ContentCatcher: ViewContentFetcher : ViewContentFetcher_x000D_
04 11 17:41:51 635  2384  2403 D ViewContentFactory: createInterceptor took 13ms_x000D_
04 11 17:41:51 637  2384  2403 I ContentCatcher: Interceptor : Catcher list invalid for ru playsoftware j2meloader javax microedition shell MicroActivity 249884826_x000D_
04 11 17:41:51 637  2384  2403 I ContentCatcher: Interceptor : Get featureInfo from config pick mode_x000D_
04 11 17:41:51 658  2406  2406 I dex2oat : The ClassLoaderContext is a special shared library _x000D_
04 11 17:41:51 658  2406  2406 I dex2oat :  system bin dex2oat  j6   dex file  data user 0 ru playsoftware j2meloader tmp dex converted dex   output vdex fd 53   oat fd 54   oat location  data user 0 ru playsoftware j2meloader tmp dex oat arm converted odex   compiler filter verify   class loader context  _x000D_
04 11 17:41:51 759  2406  2406 I dex2oat : dex2oat took 101 834ms (111 285ms cpu) (threads: 6) arena alloc 0B (0B) java alloc 96KB (98320B) native alloc 1489KB (1525448B) free 2MB (2144568B)_x000D_
04 11 17:41:51 762  2384  2384 W meloader:midle: Skipping duplicate class check due to unsupported classloader_x000D_
04 11 17:41:51 762  2384  2384 I javax microedition shell MicroLoader: loadMIDletList main: TenchuMidlet from dex: data user 0 ru playsoftware j2meloader tmp dex converted dex_x000D_
04 11 17:41:51 762  2384  2384 I javax microedition shell MicroLoader: MIDlet Name: Tenchu_x000D_
04 11 17:41:51 792  2384  2414 D Canvas  : Constructor  w 1080 h 1920_x000D_
04 11 17:41:51 796  2384  2415 I Adreno  : QUALCOMM build                   : 2c6a1c7  I1490fecf6e_x000D_
04 11 17:41:51 796  2384  2415 I Adreno  : Build Date                       : 02 04 19_x000D_
04 11 17:41:51 796  2384  2415 I Adreno  : OpenGL ES Shader Compiler Version: EV031 25 03 02_x000D_
04 11 17:41:51 796  2384  2415 I Adreno  : Local Branch                     : _x000D_
04 11 17:41:51 796  2384  2415 I Adreno  : Remote Branch                    : _x000D_
04 11 17:41:51 796  2384  2415 I Adreno  : Remote Branch                    : _x000D_
04 11 17:41:51 796  2384  2415 I Adreno  : Reconstruct Branch               : _x000D_
04 11 17:41:51 796  2384  2415 I Adreno  : Build Config                     : S L 6 0 7 AArch32_x000D_
04 11 17:41:51 796  2384  2415 D vndksupport: Loading  vendor lib hw gralloc msm8998 so from current namespace instead of sphal namespace _x000D_
04 11 17:41:51 799  2384  2415 I Adreno  : PFP: 0x005ff112  ME: 0x005ff066_x000D_
04 11 17:41:51 801  2384  2415 I ConfigStore: android::hardware::configstore::V1 0::ISurfaceFlingerConfigs::hasWideColorDisplay retrieved: 0_x000D_
04 11 17:41:51 801  2384  2415 I ConfigStore: android::hardware::configstore::V1 0::ISurfaceFlingerConfigs::hasHDRDisplay retrieved: 0_x000D_
04 11 17:41:51 802  2384  2415 I OpenGLRenderer: Initialized EGL  version 1 4_x000D_
04 11 17:41:51 802  2384  2415 D OpenGLRenderer: Swap behavior 2_x000D_
04 11 17:41:51 810  2384  2415 D vndksupport: Loading  vendor lib hw android hardware graphics mapper 2 0 impl so from current namespace instead of sphal namespace _x000D_
04 11 17:41:51 811  2384  2415 D vndksupport: Loading  vendor lib hw gralloc msm8998 so from current namespace instead of sphal namespace _x000D_
04 11 17:41:53 389  2384  2416 D javax microedition util ContextHolder: CUSTOM GET RES CALLED WITH PATH:  l wad_x000D_
04 11 17:41:53 556  2384  2416 D javax microedition util ContextHolder: CUSTOM GET RES CALLED WITH PATH:  0 pal_x000D_
04 11 17:41:53 558  2384  2416 D javax microedition util ContextHolder: CUSTOM GET RES CALLED WITH PATH:  font png_x000D_
04 11 17:41:53 560  2384  2416 D javax microedition util ContextHolder: CUSTOM GET RES CALLED WITH PATH:  font dat_x000D_
04 11 17:41:53 560  2384  2416 D javax microedition util ContextHolder: CUSTOM GET RES CALLED WITH PATH:  map 00 dat_x000D_
04 11 17:41:53 561  2384  2416 D javax microedition util ContextHolder: CUSTOM GET RES CALLED WITH PATH:  map 01 dat_x000D_
04 11 17:41:53 562  2384  2416 D javax microedition util ContextHolder: CUSTOM GET RES CALLED WITH PATH:  map 02 dat_x000D_
04 11 17:41:53 563  2384  2416 D javax microedition util ContextHolder: CUSTOM GET RES CALLED WITH PATH:  map 03 dat_x000D_
04 11 17:41:53 564  2384  2416 D javax microedition util ContextHolder: CUSTOM GET RES CALLED WITH PATH:  map 04 dat_x000D_
04 11 17:41:53 565  2384  2416 D javax microedition util ContextHolder: CUSTOM GET RES CALLED WITH PATH:  map 05 dat_x000D_
04 11 17:41:53 566  2384  2416 D javax microedition util ContextHolder: CUSTOM GET RES CALLED WITH PATH:  map 06 dat_x000D_
04 11 17:41:53 566  2384  2416 D javax microedition util ContextHolder: Can t load res: map 06 dat_x000D_
04 11 17:41:53 568  2384  2416 D javax microedition rms RecordStore: RecordStore r opened_x000D_
04 11 17:41:53 568  2384  2416 D javax microedition rms impl RecordStoreImpl: RecordStore r closed_x000D_
04 11 17:41:53 569  2384  2416 D javax microedition util ContextHolder: CUSTOM GET RES CALLED WITH PATH:  0 pal_x000D_
04 11 17:41:53 570  2384  2416 D javax microedition util ContextHolder: CUSTOM GET RES CALLED WITH PATH:  ls bn png_x000D_
04 11 17:41:53 571  2384  2416 D javax microedition util ContextHolder: CUSTOM GET RES CALLED WITH PATH:  titlebkb png_x000D_
04 11 17:41:53 573  2384  2416 D javax microedition util ContextHolder: CUSTOM GET RES CALLED WITH PATH:  shurikan png_x000D_
04 11 17:41:53 577  2384  2416 D javax microedition util ContextHolder: CUSTOM GET RES CALLED WITH PATH:  cursor png_x000D_
04 11 17:41:53 579  2384  2416 D javax microedition util ContextHolder: CUSTOM GET RES CALLED WITH PATH:  arrows png_x000D_
04 11 17:41:53 581  2384  2416 D javax microedition util ContextHolder: CUSTOM GET RES CALLED WITH PATH:  stars png_x000D_
04 11 17:41:53 639  2384  2416 D javax microedition util ContextHolder: CUSTOM GET RES CALLED WITH PATH:  0 pal_x000D_
04 11 17:41:53 640  2384  2416 D javax microedition util ContextHolder: CUSTOM GET RES CALLED WITH PATH:  titlebka png_x000D_
04 11 17:41:53 645  2384  2416 D javax microedition util ContextHolder: CUSTOM GET RES CALLED WITH PATH:  titlelogo png_x000D_
04 11 17:41:53 646  2384  2416 D javax microedition util ContextHolder: CUSTOM GET RES CALLED WITH PATH:  titlecr png_x000D_
04 11 17:41:53 807  2384  2416 D javax microedition util ContextHolder: CUSTOM GET RES CALLED WITH PATH:  tc 2d bmp_x000D_
04 11 17:41:54 563  2384  2416 D javax microedition util ContextHolder: CUSTOM GET RES CALLED WITH PATH: obj tex bmp_x000D_
04 11 17:41:54 571  2384  2416 D javax microedition util ContextHolder: CUSTOM GET RES CALLED WITH PATH: enemy dif act_x000D_
04 11 17:41:54 575  2384  2416 D javax microedition util ContextHolder: CUSTOM GET RES CALLED WITH PATH: map tex bmp_x000D_
04 11 17:41:54 645  2384  2394 W System  : A resource failed to call close  _x000D_
04 11 17:41:54 645  2384  2416 D javax microedition util ContextHolder: CUSTOM GET RES CALLED WITH PATH:  ayame mbac_x000D_
04 11 17:41:54 646  2384  2416 D javax microedition util ContextHolder: CUSTOM GET RES CALLED WITH PATH:  rounin mbac_x000D_
04 11 17:41:54 647  2384  2416 D javax microedition util ContextHolder: CUSTOM GET RES CALLED WITH PATH:  ninjya mbac_x000D_
04 11 17:41:54 731  2384  2416 D javax microedition util ContextHolder: CUSTOM GET RES CALLED WITH PATH:  a motion mtra_x000D_
04 11 17:41:54 733  2384  2416 D javax microedition util ContextHolder: CUSTOM GET RES CALLED WITH PATH:  rounin mtra_x000D_
04 11 17:41:54 734  2384  2416 D javax microedition util ContextHolder: CUSTOM GET RES CALLED WITH PATH:  ninjya mtra_x000D_
04 11 17:41:54 817  2384  2416 D javax microedition util ContextHolder: CUSTOM GET RES CALLED WITH PATH:  prim pdat_x000D_
04 11 17:41:54 991  2384  2416 D javax microedition util ContextHolder: CUSTOM GET RES CALLED WITH PATH:  0 pal_x000D_
04 11 17:41:54 994  2384  2416 D javax microedition util ContextHolder: CUSTOM GET RES CALLED WITH PATH:  ls bn png_x000D_
04 11 17:41:54 996  2384  2416 D javax microedition util ContextHolder: CUSTOM GET RES CALLED WITH PATH:  titlebkb png_x000D_
04 11 17:41:54 999  2384  2416 D javax microedition util ContextHolder: CUSTOM GET RE</t>
  </si>
  <si>
    <t>commons-app-apps-android-commons-3639</t>
  </si>
  <si>
    <t>[2.13-release] Crash when trying to upload images</t>
  </si>
  <si>
    <t xml:space="preserve">  Summary:   _x000D_
I face the following crash whenever I try to upload a picture using the app build from the  2 13 release  branch pointing at c961099013a19b91c46763216331795c36957b5d_x000D_
_x000D_
  Steps to reproduce:  _x000D_
 Pre requisite : Ensure that  Don t keep activities  is turned on in the device s developer options _x000D_
1  Build an app from the  2 13 release  branch_x000D_
2  Open the app_x000D_
3  Tap on the   button_x000D_
4  Choose the  Gallery  or  Camera  option_x000D_
5  Complete the action for the corresponding action_x000D_
6  Observe the crash_x000D_
_x000D_
  System logs:  _x000D_
_x000D_
   _x000D_
04 10 22:43:56 314 32368 32368   E MotionRecognitionManager: motionService   null_x000D_
04 10 22:43:56 394 189 189   E BufferQueueCore:  Starting fr free nrw commons  setDefaultMaxBufferCount: setting count to 3  previous is 2 _x000D_
04 10 22:43:56 955 32107 32107   E ACRA: ACRA caught a RuntimeException for fr free nrw commons_x000D_
    java lang RuntimeException: Unable to start activity ComponentInfo fr free nrw commons fr free nrw commons contributions MainActivity : java lang RuntimeException: Parcel android os Parcel 3e9300bc: Unmarshalling unknown type code 2131296410 at offset 7596_x000D_
        at android app ActivityThread performLaunchActivity(ActivityThread java:3150)_x000D_
        at android app ActivityThread handleLaunchActivity(ActivityThread java:3260)_x000D_
        at android app ActivityThread access 1000(ActivityThread java:218)_x000D_
        at android app ActivityThread H handleMessage(ActivityThread java:1734)_x000D_
        at android os Handler dispatchMessage(Handler java:102)_x000D_
        at android os Looper loop(Looper java:145)_x000D_
        at android app ActivityThread main(ActivityThread java:6934)_x000D_
        at java lang reflect Method invoke(Native Method)_x000D_
        at java lang reflect Method invoke(Method java:372)_x000D_
        at com android internal os ZygoteInit MethodAndArgsCaller run(ZygoteInit java:1404)_x000D_
        at com android internal os ZygoteInit main(ZygoteInit java:1199)_x000D_
     Caused by: java lang RuntimeException: Parcel android os Parcel 3e9300bc: Unmarshalling unknown type code 2131296410 at offset 7596_x000D_
        at android os Parcel readValue(Parcel java:2228)_x000D_
        at android os Parcel readSparseArrayInternal(Parcel java:2546)_x000D_
        at android os Parcel readSparseArray(Parcel java:1874)_x000D_
        at android os Parcel readValue(Parcel java:2209)_x000D_
        at android os Parcel readArrayMapInternal(Parcel java:2485)_x000D_
        at android os BaseBundle unparcel(BaseBundle java:221)_x000D_
        at android os Bundle getSparseParcelableArray(Bundle java:822)_x000D_
        at androidx fragment app FragmentManagerImpl moveToState(FragmentManagerImpl java:772)_x000D_
        at androidx fragment app FragmentManagerImpl moveFragmentToExpectedState(FragmentManagerImpl java:1238)_x000D_
        at androidx fragment app FragmentManagerImpl moveToState(FragmentManagerImpl java:1303)_x000D_
        at androidx fragment app FragmentManagerImpl dispatchStateChange(FragmentManagerImpl java:2659)_x000D_
        at androidx fragment app FragmentManagerImpl dispatchCreate(FragmentManagerImpl java:2607)_x000D_
        at androidx fragment app FragmentController dispatchCreate(FragmentController java:235)_x000D_
        at androidx fragment app FragmentActivity onCreate(FragmentActivity java:316)_x000D_
        at androidx appcompat app AppCompatActivity onCreate(AppCompatActivity java:106)_x000D_
        at fr free nrw commons di CommonsDaggerAppCompatActivity onCreate(CommonsDaggerAppCompatActivity java:24)_x000D_
        at fr free nrw commons theme BaseActivity onCreate(BaseActivity java:27)_x000D_
        at fr free nrw commons contributions MainActivity onCreate(MainActivity java:83)_x000D_
        at android app Activity performCreate(Activity java:6609)_x000D_
        at android app Instrumentation callActivityOnCreate(Instrumentation java:1134)_x000D_
        at android app ActivityThread performLaunchActivity(ActivityThread java:3103)_x000D_
        at android app ActivityThread handleLaunchActivity(ActivityThread java:3260) _x000D_
        at android app ActivityThread access 1000(ActivityThread java:218) _x000D_
        at android app ActivityThread H handleMessage(ActivityThread java:1734) _x000D_
        at android os Handler dispatchMessage(Handler java:102) _x000D_
        at android os Looper loop(Looper java:145) _x000D_
        at android app ActivityThread main(ActivityThread java:6934) _x000D_
        at java lang reflect Method invoke(Native Method) _x000D_
        at java lang reflect Method invoke(Method java:372) _x000D_
        at com android internal os ZygoteInit MethodAndArgsCaller run(ZygoteInit java:1404) _x000D_
        at com android internal os ZygoteInit main(ZygoteInit java:1199)_x000D_
   _x000D_
_x000D_
  Device and Android version:   _x000D_
Samsung SM J111F  Android 5 1 1_x000D_
_x000D_
  Commons app version:   _x000D_
2 13 reelase branch   c961099013a19b91c46763216331795c36957b5d_x000D_
prodDebug variant_x000D_
</t>
  </si>
  <si>
    <t>TeamNewPipe-NewPipe-3411</t>
  </si>
  <si>
    <t>Feed fragment crash when reloading multiple times</t>
  </si>
  <si>
    <t xml:space="preserve">    Version_x000D_
  0 19 1 on F Droid_x000D_
  0 19 2 on GitHub_x000D_
_x000D_
    Steps to reproduce the bug_x000D_
Hitting multiple times the refresh button in the new feed fragment leads to this crash  mauriciocolli _x000D_
This bug was sent to me by a user  _x000D_
_x000D_
    Logs_x000D_
    User Action:   ui error_x000D_
    Request:   App crash  UI failure_x000D_
    Content Language:   IN_x000D_
    Service:   none_x000D_
    Version:   0 19 1_x000D_
    OS:   Linux realme RMX1971 RMX1971:10 QKQ1 190918 001 1579185288:user release keys 10   29_x000D_
_x000D_
_x000D_
 details  summary  b Crash log  b   summary  p _x000D_
_x000D_
   _x000D_
java lang IllegalArgumentException: Receiver not registered: org schabi newpipe local feed service FeedLoadService setupBroadcastReceiver 1 2f310a9_x000D_
	at android app LoadedApk forgetReceiverDispatcher(LoadedApk java:1469)_x000D_
	at android app ContextImpl unregisterReceiver(ContextImpl java:1568)_x000D_
	at android content ContextWrapper unregisterReceiver(ContextWrapper java:675)_x000D_
	at org schabi newpipe local feed service FeedLoadService disposeAll(FeedLoadService kt:134)_x000D_
	at org schabi newpipe local feed service FeedLoadService stopService(FeedLoadService kt:143)_x000D_
	at org schabi newpipe local feed service FeedLoadService access stopService(FeedLoadService kt:63)_x000D_
	at org schabi newpipe local feed service FeedLoadService resultSubscriber 1 onComplete(FeedLoadService kt:264)_x000D_
	at io reactivex internal util HalfSerializer onComplete(HalfSerializer java:90)_x000D_
	at io reactivex internal subscribers StrictSubscriber onComplete(StrictSubscriber java:109)_x000D_
	at io reactivex internal operators flowable FlowableObserveOn BaseObserveOnSubscriber checkTerminated(FlowableObserveOn java:215)_x000D_
	at io reactivex internal operators flowable FlowableObserveOn ObserveOnSubscriber runAsync(FlowableObserveOn java:399)_x000D_
	at io reactivex internal operators flowable FlowableObserveOn BaseObserveOnSubscriber run(FlowableObserveOn java:176)_x000D_
	at io reactivex android schedulers HandlerScheduler ScheduledRunnable run(HandlerScheduler java:119)_x000D_
	at android os Handler handleCallback(Handler java:883)_x000D_
	at android os Handler dispatchMessage(Handler java:100)_x000D_
	at android os Looper loop(Looper java:228)_x000D_
	at android app ActivityThread main(ActivityThread java:7782)_x000D_
	at java lang reflect Method invoke(Native Method)_x000D_
	at com android internal os RuntimeInit MethodAndArgsCaller run(RuntimeInit java:492)_x000D_
	at com android internal os ZygoteInit main(ZygoteInit java:981)_x000D_
_x000D_
   _x000D_
  p   details _x000D_
 hr _x000D_
_x000D_
</t>
  </si>
  <si>
    <t>android-tv-samples-25</t>
  </si>
  <si>
    <t>Previous and next video button for first and last video respectively  on the Video Player results in crash</t>
  </si>
  <si>
    <t>For reference the logs of the crash are as follows:_x000D_
_x000D_
2020 04 10 11:24:00 174 8649 8649 com example android tvleanback E AndroidRuntime: FATAL EXCEPTION: main_x000D_
    Process: com example android tvleanback  PID: 8649_x000D_
    java lang NullPointerException: Attempt to read from field  java lang String com example android tvleanback model Video title  on a null object reference_x000D_
        at com example android tvleanback ui PlaybackFragment play(PlaybackFragment java:174)_x000D_
        at com example android tvleanback ui PlaybackFragment access 400(PlaybackFragment java:72)_x000D_
        at com example android tvleanback ui PlaybackFragment PlaylistActionListener onPrevious(PlaybackFragment java:345)_x000D_
        at com example android tvleanback player VideoPlayerGlue previous(VideoPlayerGlue java:165)_x000D_
        at androidx leanback media PlaybackTransportControlGlue dispatchAction(PlaybackTransportControlGlue java:263)_x000D_
        at androidx leanback media PlaybackTransportControlGlue onActionClicked(PlaybackTransportControlGlue java:194)_x000D_
        at com example android tvleanback player VideoPlayerGlue onActionClicked(VideoPlayerGlue java:119)_x000D_
        at androidx leanback app PlaybackSupportFragmentGlueHost 1 onItemClicked(PlaybackSupportFragmentGlueHost java:64)_x000D_
        at androidx leanback app PlaybackSupportFragmentGlueHost 1 onItemClicked(PlaybackSupportFragmentGlueHost java:59)_x000D_
        at androidx leanback app PlaybackSupportFragment 1 onItemClicked(PlaybackSupportFragment java:159)_x000D_
        at androidx leanback widget PlaybackTransportRowPresenter 2 onControlClicked(PlaybackTransportRowPresenter java:573)_x000D_
        at androidx leanback widget ControlBarPresenter ViewHolder 3 onClick(ControlBarPresenter java:164)_x000D_
        at android view View performClick(View java:5609)_x000D_
        at android view View onKeyUp(View java:10580)_x000D_
        at android view KeyEvent dispatch(KeyEvent java:2699)_x000D_
        at android view View dispatchKeyEvent(View java:9879)_x000D_
        at android view ViewGroup dispatchKeyEvent(ViewGroup java:1667)_x000D_
        at android view ViewGroup dispatchKeyEvent(ViewGroup java:1667)_x000D_
        at android view ViewGroup dispatchKeyEvent(ViewGroup java:1667)_x000D_
        at android view ViewGroup dispatchKeyEvent(ViewGroup java:1667)_x000D_
        at androidx leanback widget PlaybackTransportRowView dispatchKeyEvent(PlaybackTransportRowView java:71)_x000D_
        at android view ViewGroup dispatchKeyEvent(ViewGroup java:1667)_x000D_
        at android view ViewGroup dispatchKeyEvent(ViewGroup java:1667)_x000D_
        at androidx leanback widget BaseGridView dispatchKeyEvent(BaseGridView java:1015)_x000D_
        at android view ViewGroup dispatchKeyEvent(ViewGroup java:1667)_x000D_
        at android view ViewGroup dispatchKeyEvent(ViewGroup java:1667)_x000D_
        at android view ViewGroup dispatchKeyEvent(ViewGroup java:1667)_x000D_
        at android view ViewGroup dispatchKeyEvent(ViewGroup java:1667)_x000D_
        at android view ViewGroup dispatchKeyEvent(ViewGroup java:1667)_x000D_
        at com android internal policy DecorView superDispatchKeyEvent(DecorView java:403)_x000D_
        at com android internal policy PhoneWindow superDispatchKeyEvent(PhoneWindow java:1800)_x000D_
        at androidx core view KeyEventDispatcher activitySuperDispatchKeyEventPre28(KeyEventDispatcher java:130)_x000D_
        at androidx core view KeyEventDispatcher dispatchKeyEvent(KeyEventDispatcher java:87)_x000D_
        at androidx core app ComponentActivity dispatchKeyEvent(ComponentActivity java:133)_x000D_
        at com example android tvleanback ui LeanbackActivity dispatchKeyEvent(LeanbackActivity java:76)_x000D_
        at com example android tvleanback ui PlaybackActivity dispatchKeyEvent(PlaybackActivity java:89)_x000D_
        at com android internal policy DecorView dispatchKeyEvent(DecorView java:317)_x000D_
        at android view ViewRootImpl ViewPostImeInputStage processKeyEvent(ViewRootImpl java:4327)_x000D_
        at android view ViewRootImpl ViewPostImeInputStage onProcess(ViewRootImpl java:4298)_x000D_
        at android view ViewRootImpl InputStage deliver(ViewRootImpl java:3849)_x000D_
        at android view ViewRootImpl InputStage onDeliverToNext(ViewRootImpl java:3902)_x000D_
        at android view ViewRootImpl InputStage forward(ViewRootImpl java:3868)_x000D_
        at android view ViewRootImpl AsyncInputStage forward(ViewRootImpl java:3995)_x000D_
        at android view ViewRootImpl InputStage apply(ViewRootImpl java:3876)_x000D_
        at android view ViewRootImpl AsyncInputStage apply(ViewRootImpl java:4052)_x000D_
        at android view ViewRootImpl InputStage deliver(ViewRootImpl java:3849)_x000D_
2020 04 10 11:24:00 174 8649 8649 com example android tvleanback E AndroidRuntime:     at android view ViewRootImpl InputStage onDeliverToNext(ViewRootImpl java:3902)_x000D_
        at android view ViewRootImpl InputStage forward(ViewRootImpl java:3868)_x000D_
        at android view ViewRootImpl InputStage apply(ViewRootImpl java:3876)_x000D_
        at android view ViewRootImpl InputStage deliver(ViewRootImpl java:3849)_x000D_
        at android view ViewRootImpl InputStage onDeliverToNext(ViewRootImpl java:3902)_x000D_
        at android view ViewRootImpl InputStage forward(ViewRootImpl java:3868)_x000D_
        at android view ViewRootImpl AsyncInputStage forward(ViewRootImpl java:4028)_x000D_
        at android view ViewRootImpl ImeInputStage onFinishedInputEvent(ViewRootImpl java:4189)_x000D_
        at android view inputmethod InputMethodManager PendingEvent run(InputMethodManager java:2365)_x000D_
        at android view inputmethod InputMethodManager invokeFinishedInputEventCallback(InputMethodManager java:1961)_x000D_
        at android view inputmethod InputMethodManager finishedInputEvent(InputMethodManager java:1952)_x000D_
        at android view inputmethod InputMethodManager ImeInputEventSender onInputEventFinished(InputMethodManager java:2342)_x000D_
        at android view InputEventSender dispatchInputEventFinished(InputEventSender java:141)_x000D_
        at android os MessageQueue nativePollOnce(Native Method)_x000D_
        at android os MessageQueue next(MessageQueue java:323)_x000D_
        at android os Looper loop(Looper java:136)_x000D_
        at android app ActivityThread main(ActivityThread java:6077)_x000D_
        at java lang reflect Method invoke(Native Method)_x000D_
        at com android internal os ZygoteInit MethodAndArgsCaller run(ZygoteInit java:865)_x000D_
        at com android internal os ZygoteInit main(ZygoteInit java:755)</t>
  </si>
  <si>
    <t>Concordia-Campus-Guide-Concordia-Campus-Guide-272</t>
  </si>
  <si>
    <t>Null Pointer Exception on ZoomInLocation in LocationFragment</t>
  </si>
  <si>
    <t xml:space="preserve">  Describe the bug  _x000D_
A clear and concise description of what the bug is _x000D_
When toggling the French translation button  the application crashes due to a NPE_x000D_
_x000D_
  User Story Reference (Optional)  _x000D_
 158 : Since the French translation button triggers the main activity to be recreated  the map may not always be loaded right away  Therefore  at the moment of the zoom in  it would require a null check  _x000D_
_x000D_
  Priority  _x000D_
High_x000D_
_x000D_
  Severity  _x000D_
High_x000D_
_x000D_
  To Reproduce  _x000D_
Steps to reproduce the behavior:_x000D_
Tap on the French translation toggle button_x000D_
_x000D_
  Expected behavior  _x000D_
A clear and concise description of what you expected to happen _x000D_
When French translation button is toggle  the application should not crash_x000D_
_x000D_
  Screenshots  _x000D_
_x000D_
 img width  1178  alt  Screen Shot 2020 04 09 at 12 40 38 PM  src  https:  user images githubusercontent com 32281531 78919607 271ecb00 7a60 11ea 85b6 e163c9b7d8d1 png  _x000D_
</t>
  </si>
  <si>
    <t>TeamNewPipe-NewPipe-3403</t>
  </si>
  <si>
    <t>The player controls don't hide when using external controls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</si>
  <si>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2_x000D_
_x000D_
    Steps to reproduce the bug_x000D_
    _x000D_
1  Go to      _x000D_
2  Press on       _x000D_
3  Swipe down to       _x000D_
   _x000D_
_x000D_
     If you can t cause the bug to show up again reliably (and hence don t have a proper set of steps to give us)  please still try to give as many details as possible on how you think you encountered the bug     _x000D_
_x000D_
1  Play video with a bluetooth speaker connected_x000D_
2  Press  pause  on the bluetooth speaker_x000D_
3  Press  play  on the bluetooth speaker_x000D_
4  The video starts playing again_x000D_
_x000D_
    Expected behavior_x000D_
     Tell us what you expect to happen     _x000D_
The player controls should hide after a few seconds_x000D_
    Actual behaviour_x000D_
     Tell us what happens instead     _x000D_
The player controls remain on screen and disappear only when it is tapped  This means that the play pause controls on the bluetooth speaker become useless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</si>
  <si>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ElderDrivers-EdXposed-508</t>
  </si>
  <si>
    <t xml:space="preserve">[BUG] Amazon Fire HD 10 - Fire OS maverick - null pointer reference on Magisk hiding </t>
  </si>
  <si>
    <t xml:space="preserve">  What happened   _x000D_
Installed Magisk 20 4   MagiskManager 7 5   _x000D_
Have a temporary root with mtk su based on this topic https:  forum xda developers com showpost php p 82081703 postcount 1001_x000D_
_x000D_
After adding Riru Core   riru edxposed sandooh modules on magisk boot it freezes  Only reboot helps_x000D_
_x000D_
  Xposed Module List  _x000D_
none_x000D_
_x000D_
  Magisk Magisk Module List  _x000D_
_x000D_
Riru Core_x000D_
Riru EdXposed SandHook_x000D_
CloudFlare_x000D_
ainur narsil_x000D_
font Changer_x000D_
adb ndk_x000D_
terminal mods_x000D_
single user_x000D_
nano ndk_x000D_
busybox_x000D_
systemizer_x000D_
_x000D_
  EdXposed Riru   Versions of EdXposed and Riru  _x000D_
_x000D_
EdXposed:_x000D_
EdXposed: 0 4 6 2_x000D_
EdXposedApi 91 0_x000D_
RiruCore 19 7_x000D_
_x000D_
    Logcat Logcat  _x000D_
   _x000D_
          beginning of crash_x000D_
04 08 22:48:51 602  1661  1661 E AndroidRuntime: FATAL EXCEPTION: main_x000D_
04 08 22:48:51 602  1661  1661 E AndroidRuntime: Process: com mgoogle android gms  PID: 1661_x000D_
04 08 22:48:51 602  1661  1661 E AndroidRuntime: java lang RuntimeException: Unable to start receiver org microg gms gcm TriggerReceiver: java lang IllegalStateException: Not allowed to start service Intent   act org microg gms gcm mcs CONNECT cmp com mgoogle android gms org microg gms gcm McsService (has extras)  : app is in background uid UidRecord bec17a8 u0a185 RCVR idle change:uncached procs:1 seq(0 0 0) _x000D_
04 08 22:48:51 602  1661  1661 E AndroidRuntime: 	at android app ActivityThread handleReceiver(ActivityThread java:3409)_x000D_
04 08 22:48:51 602  1661  1661 E AndroidRuntime: 	at android app ActivityThread access 1200(ActivityThread java:207)_x000D_
04 08 22:48:51 602  1661  1661 E AndroidRuntime: 	at android app ActivityThread H handleMessage(ActivityThread java:1671)_x000D_
04 08 22:48:51 602  1661  1661 E AndroidRuntime: 	at android os Handler dispatchMessage(Handler java:106)_x000D_
04 08 22:48:51 602  1661  1661 E AndroidRuntime: 	at android os Looper loop(Looper java:193)_x000D_
04 08 22:48:51 602  1661  1661 E AndroidRuntime: 	at android app ActivityThread main(ActivityThread java:6734)_x000D_
04 08 22:48:51 602  1661  1661 E AndroidRuntime: 	at java lang reflect Method invoke(Native Method)_x000D_
04 08 22:48:51 602  1661  1661 E AndroidRuntime: 	at com android internal os RuntimeInit MethodAndArgsCaller run(RuntimeInit java:493)_x000D_
04 08 22:48:51 602  1661  1661 E AndroidRuntime: 	at com android internal os ZygoteInit main(ZygoteInit java:893)_x000D_
04 08 22:48:51 602  1661  1661 E AndroidRuntime: Caused by: java lang IllegalStateException: Not allowed to start service Intent   act org microg gms gcm mcs CONNECT cmp com mgoogle android gms org microg gms gcm McsService (has extras)  : app is in background uid UidRecord bec17a8 u0a185 RCVR idle change:uncached procs:1 seq(0 0 0) _x000D_
04 08 22:48:51 602  1661  1661 E AndroidRuntime: 	at android app ContextImpl startServiceCommon(ContextImpl java:1613)_x000D_
04 08 22:48:51 602  1661  1661 E AndroidRuntime: 	at android app ContextImpl startService(ContextImpl java:1568)_x000D_
04 08 22:48:51 602  1661  1661 E AndroidRuntime: 	at android content ContextWrapper startService(ContextWrapper java:664)_x000D_
04 08 22:48:51 602  1661  1661 E AndroidRuntime: 	at android content ContextWrapper startService(ContextWrapper java:664)_x000D_
04 08 22:48:51 602  1661  1661 E AndroidRuntime: 	at android support v4 content WakefulBroadcastReceiver startWakefulService(WakefulBroadcastReceiver java:102)_x000D_
04 08 22:48:51 602  1661  1661 E AndroidRuntime: 	at org microg gms gcm TriggerReceiver onReceive(TriggerReceiver java:88)_x000D_
04 08 22:48:51 602  1661  1661 E AndroidRuntime: 	at android app ActivityThread handleReceiver(ActivityThread java:3400)_x000D_
04 08 22:48:51 602  1661  1661 E AndroidRuntime: 	    8 more_x000D_
04 08 22:48:52 030   639   666 W Looper  : Slow dispatch took 270ms android ui h android view Choreographer FrameHandler c android view Choreographer FrameDisplayEventReceiver 97ce8f5 m 0_x000D_
04 08 22:48:52 030   639   666 W Looper  : Slow delivery took 271ms android ui h android view ViewRootImpl ViewRootHandler c android widget Editor 1 ba8068a m 0_x000D_
04 08 22:48:52 032   639   666 W Looper  : Drained_x000D_
04 08 22:48:54 531  4619  4619 F libc    : Fatal signal 11 (SIGSEGV)  code 1 (SEGV MAPERR)  fault addr 0x0 in tid 4619 (main)  pid 4619 (main)_x000D_
04 08 22:48:54 596  4619  4619 F libc    : crash dump helper failed to exec_x000D_
04 08 22:48:58 434  4678  4678 F libc    : Fatal signal 11 (SIGSEGV)  code 1 (SEGV MAPERR)  fault addr 0x0 in tid 4678 (main)  pid 4678 (main)_x000D_
04 08 22:48:58 510  4740  4740 F DEBUG   :                                                                _x000D_
04 08 22:48:58 511  4740  4740 F DEBUG   : Build fingerprint:  Amazon maverick maverick:7 0 PS7310 940N:user amz p release keys _x000D_
04 08 22:48:58 511  4740  4740 F DEBUG   : Revision:  0 _x000D_
04 08 22:48:58 511  4740  4740 F DEBUG   : ABI:  arm _x000D_
04 08 22:48:58 511  4740  4740 F DEBUG   : pid: 4678  tid: 4678  name: main      zygote    _x000D_
04 08 22:48:58 511  4740  4740 F DEBUG   : signal 11 (SIGSEGV)  code 1 (SEGV MAPERR)  fault addr 0x0_x000D_
04 08 22:48:58 511  4740  4740 F DEBUG   : Cause: null pointer dereference_x000D_
04 08 22:48:58 511  4740  4740 F DEBUG   :     r0  00000000  r1  00000000  r2  6fc973f4  r3  f28d7d80_x000D_
04 08 22:48:58 511  4740  4740 F DEBUG   :     r4  f5cedd8c  r5  f286b46c  r6  00000000  r7  fff44ce8_x000D_
04 08 22:48:58 511  4740  4740 F DEBUG   :     r8  00000000  r9  f28da000  r10 00000000  r11 fff44d84_x000D_
04 08 22:48:58 511  4740  4740 F DEBUG   :     ip  f281dded  sp  fff44cd8  lr  f281de13  pc  f281de1e_x000D_
04 08 22:48:58 513  4740  4740 F DEBUG   : _x000D_
04 08 22:48:58 513  4740  4740 F DEBUG   : backtrace:_x000D_
04 08 22:48:58 513  4740  4740 F DEBUG   :      00 pc 00034e1e   system lib libriru edxp so_x000D_
04 08 22:48:58 513  4740  4740 F DEBUG   :      01 pc 00003831   data dalvik cache arm system framework edxp jar classes dex (offset 0x3000)_x000D_
04 08 22:49:03 476  4744  4744 F libc    : Fatal signal 11 (SIGSEGV)  code 1 (SEGV MAPERR)  fault addr 0x0 in tid 4744 (main)  pid 4744 (main)_x000D_
04 08 22:49:03 565  4799  4799 F DEBUG   :                                                                _x000D_
04 08 22:49:03 565  4799  4799 F DEBUG   : Build fingerprint:  Amazon maverick maverick:7 0 PS7310 940N:user amz p release keys _x000D_
04 08 22:49:03 565  4799  4799 F DEBUG   : Revision:  0 _x000D_
04 08 22:49:03 565  4799  4799 F DEBUG   : ABI:  arm _x000D_
04 08 22:49:03 565  4799  4799 F DEBUG   : pid: 4744  tid: 4744  name: main      zygote    _x000D_
04 08 22:49:03 565  4799  4799 F DEBUG   : signal 11 (SIGSEGV)  code 1 (SEGV MAPERR)  fault addr 0x0_x000D_
04 08 22:49:03 565  4799  4799 F DEBUG   : Cause: null pointer dereference_x000D_
04 08 22:49:03 565  4799  4799 F DEBUG   :     r0  00000000  r1  00000000  r2  6fc973f4  r3  e47d7d80_x000D_
04 08 22:49:03 565  4799  4799 F DEBUG   :     r4  e4a6ed8c  r5  e474f46c  r6  00000000  r7  ffd5ab18_x000D_
04 08 22:49:03 565  4799  4799 F DEBUG   :     r8  00000000  r9  e47da000  r10 00000000  r11 ffd5abb4_x000D_
04 08 22:49:03 565  4799  4799 F DEBUG   :     ip  e4701ded  sp  ffd5ab08  lr  e4701e13  pc  e4701e1e_x000D_
04 08 22:49:03 566  4799  4799 F DEBUG   : _x000D_
04 08 22:49:03 566  4799  4799 F DEBUG   : backtrace:_x000D_
04 08 22:49:03 566  4799  4799 F DEBUG   :      00 pc 00034e1e   system lib libriru edxp so_x000D_
04 08 22:49:03 566  4799  4799 F DEBUG   :      01 pc 00003831   data dalvik cache arm system framework edxp jar classes dex (offset 0x3000)_x000D_
04 08 22:49:08 453  4803  4803 F libc    : Fatal signal 11 (SIGSEGV)  code 1 (SEGV MAPERR)  fault addr 0x0 in tid 4803 (main)  pid 4803 (main)_x000D_
04 08 22:49:08 540  4861  4861 F DEBUG   :                                                                _x000D_
   _x000D_
</t>
  </si>
  <si>
    <t>commons-app-apps-android-commons-3632</t>
  </si>
  <si>
    <t>Crash report from Play store: RuntimeException at org.wikipedia.AppAdapter.get</t>
  </si>
  <si>
    <t xml:space="preserve">  Summary:   _x000D_
_x000D_
Runtime exception from google play store  There are 4 reports of this crash  _x000D_
_x000D_
  System logs:  _x000D_
_x000D_
   _x000D_
java lang RuntimeException: _x000D_
  at android app ActivityThread handleCreateService (ActivityThread java:3491)_x000D_
  at android app ActivityThread  wrap6 (ActivityThread java)_x000D_
  at android app ActivityThread H handleMessage (ActivityThread java:1721)_x000D_
  at android os Handler dispatchMessage (Handler java:102)_x000D_
  at android os Looper loop (Looper java:154)_x000D_
  at android app ActivityThread main (ActivityThread java:6682)_x000D_
  at java lang reflect Method invoke (Native Method)_x000D_
  at com android internal os ZygoteInit MethodAndArgsCaller run (ZygoteInit java:1520)_x000D_
  at com android internal os ZygoteInit main (ZygoteInit java:1410)_x000D_
Caused by: java lang RuntimeException: _x000D_
  at org wikipedia AppAdapter get (AppAdapter java:34)_x000D_
  at org wikipedia dataclient ServiceFactory createRetrofit (ServiceFactory java:60)_x000D_
  at org wikipedia dataclient ServiceFactory get (ServiceFactory java:39)_x000D_
  at fr free nrw commons di NetworkingModule provideWikidataInterface (NetworkingModule java:216)_x000D_
  at fr free nrw commons di NetworkingModule ProvideWikidataInterfaceFactory proxyProvideWikidataInterface (NetworkingModule ProvideWikidataInterfaceFactory java:35)_x000D_
  at fr free nrw commons di NetworkingModule ProvideWikidataInterfaceFactory get (NetworkingModule ProvideWikidataInterfaceFactory java:24)_x000D_
  at fr free nrw commons di NetworkingModule ProvideWikidataInterfaceFactory get (NetworkingModule ProvideWikidataInterfaceFactory java:10)_x000D_
  at dagger internal DoubleCheck get (DoubleCheck java:47)_x000D_
  at fr free nrw commons wikidata WikidataClient Factory get (WikidataClient Factory java:16)_x000D_
  at fr free nrw commons wikidata WikidataClient Factory get (WikidataClient Factory java:7)_x000D_
  at dagger internal DoubleCheck get (DoubleCheck java:47)_x000D_
  at fr free nrw commons wikidata WikidataEditService Factory get (WikidataEditService Factory java:35)_x000D_
  at fr free nrw commons wikidata WikidataEditService Factory get (WikidataEditService Factory java:9)_x000D_
  at dagger internal DoubleCheck get (DoubleCheck java:47)_x000D_
  at fr free nrw commons di DaggerCommonsApplicationComponent UploadServiceSubcomponentImpl injectUploadService (DaggerCommonsApplicationComponent java:3099)_x000D_
  at fr free nrw commons di DaggerCommonsApplicationComponent UploadServiceSubcomponentImpl inject (DaggerCommonsApplicationComponent java:3094)_x000D_
  at fr free nrw commons di DaggerCommonsApplicationComponent UploadServiceSubcomponentImpl inject (DaggerCommonsApplicationComponent java:3083)_x000D_
  at dagger android DispatchingAndroidInjector maybeInject (DispatchingAndroidInjector java:113)_x000D_
  at dagger android DispatchingAndroidInjector inject (DispatchingAndroidInjector java:134)_x000D_
  at fr free nrw commons di CommonsDaggerService inject (CommonsDaggerService java:28)_x000D_
  at fr free nrw commons di CommonsDaggerService onCreate (CommonsDaggerService java:15)_x000D_
  at fr free nrw commons HandlerService onCreate (HandlerService java:55)_x000D_
  at fr free nrw commons upload UploadService onCreate (UploadService java:119)_x000D_
  at android app ActivityThread handleCreateService (ActivityThread java:3481)_x000D_
   _x000D_
_x000D_
  Device and Android version:   _x000D_
_x000D_
Samsung Galaxy S6 (zeroflte)  2816MB RAM  Android 7 0_x000D_
 _x000D_
  Commons app version:   _x000D_
_x000D_
2 12 3 (v561)_x000D_
_x000D_
  Would you like to work on the issue   _x000D_
_x000D_
Yes</t>
  </si>
  <si>
    <t>react-native-camera-react-native-camera-2780</t>
  </si>
  <si>
    <t>Android Camera1 race condition crash</t>
  </si>
  <si>
    <t xml:space="preserve">  Bug Report_x000D_
_x000D_
  To Do First  _x000D_
_x000D_
   X  Did you try latest release _x000D_
   X  Did you try master _x000D_
   X  Did you look for existing matching issues _x000D_
_x000D_
  Platforms  _x000D_
_x000D_
    Comment in the related ones   _x000D_
Android_x000D_
    iOS   _x000D_
_x000D_
  Versions  _x000D_
_x000D_
    Please add the used versions branches or leave blank and comment in the optionals if used   _x000D_
_x000D_
  Android: 9_x000D_
  react native camera: 3 21 0_x000D_
  react native: 0 61 5_x000D_
  react: 16 13 1_x000D_
       react navigation:   _x000D_
_x000D_
  Description Current Behaviour  _x000D_
_x000D_
    place your bug description below   _x000D_
_x000D_
Looks like if the camera is unmounted stopped at the same time a capture event happens  a race condition can trigger the following crash:_x000D_
   _x000D_
java lang RuntimeException Camera is being used after Camera release() was called _x000D_
    Camera java: 2 android hardware Camera startPreview_x000D_
    Camera1 java:764 com google android cameraview Camera1 7 onPictureTaken_x000D_
    Camera java:1207 android hardware Camera EventHandler handleMessage_x000D_
    Handler java:106 android os Handler dispatchMessage_x000D_
    Looper java:214 android os Looper loop_x000D_
    HandlerThread java:65 android os HandlerThread run_x000D_
   _x000D_
_x000D_
_x000D_
  Expected Behaviour  _x000D_
No crash _x000D_
_x000D_
    place your expected behaviour below   _x000D_
_x000D_
  Steps to Reproduce  _x000D_
_x000D_
    describe how to produce the error below   _x000D_
Could not directly reproduce the issue myself since it comes from a race condition  but if we review the code  the race condition is quite obvious _x000D_
_x000D_
The following code will still execute after camera unmount: https:  github com react native community react native camera blob master android src main java com google android cameraview Camera1 java L763_x000D_
_x000D_
Looking at the above crash   startPreview  was called after the camera was stopped (https:  github com react native community react native camera blob master android src main java com google android cameraview Camera1 java L262)_x000D_
_x000D_
Possible fix: Add a synchronized   null checks on the take picture callback  Our camera object should be null after being stopped as long was use the synchronized block _x000D_
_x000D_
 sibelius  what do you think about this  I will be working on the crash fix shortly since we ve been receiving a few crashes from this in the past week _x000D_
_x000D_
      Does it work with Expo Camera      _x000D_
    Check usage with Expo and comment in this section  https:  github com react native community react native camera blob master docs Expo Usage md_x000D_
You should open an issue there as well  so we can cooperate in a solution    _x000D_
_x000D_
  Additionals  _x000D_
_x000D_
    place screenshots suggestions and other additional infos below   _x000D_
_x000D_
  Love react native camera  Please consider supporting our collective:   https:  opencollective com react native camera donate_x000D_
  Want this issue to be resolved faster  Please consider adding a bounty to it https:  issuehunt io repos 33218414_x000D_
</t>
  </si>
  <si>
    <t>react-native-share-react-native-share-757</t>
  </si>
  <si>
    <t>App crashed when calling the Share.open()</t>
  </si>
  <si>
    <t xml:space="preserve">    Steps to reproduce_x000D_
 const url    data:image png base64   base64FileString   _x000D_
_x000D_
    const shareOptions    _x000D_
      title:  Test Title  _x000D_
      message:  Test message  _x000D_
      url: url _x000D_
      failOnCancel: false _x000D_
      _x000D_
_x000D_
    try  _x000D_
      Share open(shareOptions) _x000D_
      catch (err)  _x000D_
      console log(err) _x000D_
      _x000D_
_x000D_
    Expected behaviour_x000D_
Open share action sheet on iPhone_x000D_
_x000D_
    Actual behaviour_x000D_
App crashed before open the share action sheet  Only on iOS  works perfectly on android _x000D_
Edit: Log message from Xcode_x000D_
_x000D_
      Terminating app due to uncaught exception  NSInvalidArgumentException   reason:    NSURLResponse allHeaderFields : unrecognized selector sent to instance 0x2818c8e80 _x000D_
_x000D_
    Environment_x000D_
    React Native version  : 0 62 0_x000D_
    React Native platform   platform version  : iOS 13 4_x000D_
_x000D_
    react native share_x000D_
  Version  : 3 1 2_x000D_
_x000D_
_x000D_
</t>
  </si>
  <si>
    <t>pushbots-pushbots-react-native-8</t>
  </si>
  <si>
    <t>NetInfo.isConnected.fetch() undefined is not a function</t>
  </si>
  <si>
    <t>In latest version of NetInfo package fetch()  addeventlistener and removeeventlistner are directly called from NetInfo  So please update your package as it is making the app crash _x000D_
Using _x000D_
react native v0 62 0_x000D_
 react native community netinfo: v5 7 0</t>
  </si>
  <si>
    <t>nextcloud-android-5831</t>
  </si>
  <si>
    <t>Netxcloud Error crash on CAT S52</t>
  </si>
  <si>
    <t xml:space="preserve">    Steps to reproduce_x000D_
1  open the app_x000D_
2  type in server_x000D_
3  sign n with credentials_x000D_
_x000D_
    Expected behaviour_x000D_
  open the app to work with it_x000D_
_x000D_
    Actual behaviour_x000D_
  the app crashes_x000D_
_x000D_
    Environment data_x000D_
Android version: _x000D_
Android 9_x000D_
_x000D_
Device model: CAT S52_x000D_
Brand: Cat_x000D_
Device: CatS52_x000D_
Model: S52_x000D_
Id: PPR1 180610 011_x000D_
Product: S52 EEA_x000D_
SDK: 28_x000D_
Release: 9_x000D_
Incremental: LTE D0201121 E S52 0 020 01_x000D_
_x000D_
Nextcloud app version:_x000D_
ID: com nextcloud client_x000D_
Version: 30110090_x000D_
Build flavor: gplay_x000D_
_x000D_
Nextcloud server version:_x000D_
17 0 2_x000D_
_x000D_
    Logs_x000D_
_x000D_
     Nextcloud log (data nextcloud log)_x000D_
   _x000D_
_x000D_
java lang RuntimeException: Error receiving broadcast Intent   act com owncloud android operations RefreshFolderOperation EVENT SINGLE FOLDER CONTENTS SYNCED flg 0x10 pkg com nextcloud client (has extras)   in com owncloud android ui activity FileDisplayActivity SyncBroadcastReceiver b026e1f_x000D_
at android app LoadedApk ReceiverDispatcher Args lambda getRunnable 0(LoadedApk java:1401)_x000D_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java:6702)_x000D_
at java lang reflect Method invoke(Native Method)_x000D_
at com android internal os RuntimeInit MethodAndArgsCaller run(RuntimeInit java:511)_x000D_
at com android internal os ZygoteInit main(ZygoteInit java:911)_x000D_
Caused by: java lang SecurityException: Permission Denial: unbroadcastIntent() from pid 11498  uid 1110123 requires android permission BROADCAST STICKY_x000D_
at android os Parcel createException(Parcel java:1950)_x000D_
at android os Parcel readException(Parcel java:1918)_x000D_
at android os Parcel readException(Parcel java:1868)_x000D_
at android app IActivityManager Stub Proxy unbroadcastIntent(IActivityManager java:3896)_x000D_
at android app ContextImpl removeStickyBroadcast(ContextImpl java:1347)_x000D_
at android content ContextWrapper removeStickyBroadcast(ContextWrapper java:588)_x000D_
at android content ContextWrapper removeStickyBroadcast(ContextWrapper java:588)_x000D_
at com owncloud android ui activity FileDisplayActivity SyncBroadcastReceiver onReceive(FileDisplayActivity java:1408)_x000D_
at android app LoadedApk ReceiverDispatcher Args lambda getRunnable 0(LoadedApk java:1391)_x000D_
    8 more_x000D_
Caused by: android os RemoteException: Remote stack trace:_x000D_
at com android server am ActivityManagerService unbroadcastIntent(ActivityManagerService java:22264)_x000D_
at android app IActivityManager Stub onTransact(IActivityManager java:183)_x000D_
at com android server am ActivityManagerService onTransact(ActivityManagerService java:3350)_x000D_
at android os Binder execTransact(Binder java:731)_x000D_
_x000D_
   _x000D_
  NOTE:   Be super sure to remove sensitive data like passwords  note that everybody can look here  You can use the Issue Template application to prefill some of the required information: https:  apps nextcloud com apps issuetemplate_x000D_
</t>
  </si>
  <si>
    <t>TeamNewPipe-NewPipe-3387</t>
  </si>
  <si>
    <t>Can't open or subscribe to channels from other regions</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</si>
  <si>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 0 19 2_x000D_
_x000D_
     Which version are you using  Hopefully the latest  We just told you that above     _x000D_
_x000D_
    Steps to reproduce the bug_x000D_
_x000D_
1  Open Adult Swim_x000D_
2  Try to open both  the UK channel and the Deutschland (germany) channel_x000D_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should be able to subscribe to both or at least view both_x000D_
    Actual behaviour_x000D_
Clicking on adult swim (regular) forwards to adult swim deutschland (germany)_x000D_
     If applicable  add screenshots or a screen recording to help explain your problem  GitHub supports uploading them directly in the issue text box  If your file is too big for Github to accept  feel free to paste a link from an image video hoster here instead     _x000D_
_x000D_
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</si>
  <si>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leondeklerk-SmartController-13</t>
  </si>
  <si>
    <t>Refactor view binder</t>
  </si>
  <si>
    <t xml:space="preserve">  Description  _x000D_
Implemented view and data binding  reducing the overall amount of code and boilerplate code _x000D_
Fixed an issue where a list longer than the device screen could fit would crash the application _x000D_
Added some more JavaDoc and comments _x000D_
_x000D_
_x000D_
</t>
  </si>
  <si>
    <t>twilio-video-quickstart-android-493</t>
  </si>
  <si>
    <t>Crash when switching cameras on Samsung "plus" phones (Tab, S20)</t>
  </si>
  <si>
    <t xml:space="preserve">    Description_x000D_
_x000D_
Customers are getting crashes on particular Samsung models:_x000D_
_x000D_
SM G988U_x000D_
SM N975U_x000D_
SM G986U_x000D_
SM N976V_x000D_
_x000D_
We have bugsnag reports and one customer reported that it crashed every time he switched cameras (from the front camera to the back) _x000D_
_x000D_
Possibly related to  419 or  431 _x000D_
_x000D_
    Steps to Reproduce_x000D_
_x000D_
We don t have one of these devices ATM  but customer reported that switching cameras immediately crashed the app _x000D_
_x000D_
     Code_x000D_
_x000D_
We can provide more code  but our cameracompat code is probably the most relevant:_x000D_
https:  gist github com mcorner 2670dc6a7ef8957e2a0557600005f4fb_x000D_
_x000D_
     Expected Behavior_x000D_
_x000D_
Not crash_x000D_
_x000D_
     Actual Behavior_x000D_
_x000D_
Crash with NPE_x000D_
_x000D_
     Reproduces how Often_x000D_
_x000D_
We don t know exactly  but customer reported 100  _x000D_
_x000D_
     Logs_x000D_
_x000D_
   _x000D_
java lang NullPointerException   Attempt to get length of null array_x000D_
Camera2Enumerator java:231org webrtc Camera2Enumerator convertSizes	_x000D_
Camera2Enumerator java:146org webrtc Camera2Enumerator getSupportedSizes	_x000D_
Camera2Session java:355org webrtc Camera2Session findCaptureFormat	_x000D_
Camera2Session java:343org webrtc Camera2Session start	_x000D_
Camera2Session java:326org webrtc Camera2Session  init 	_x000D_
Camera2Session java:302org webrtc Camera2Session create	_x000D_
Camera2Capturer java:36org webrtc Camera2Capturer createCameraSession	_x000D_
CameraCapturer java:306org webrtc CameraCapturer 5 run	_x000D_
Handler java:883android os Handler handleCallback	_x000D_
Handler java:100android os Handler dispatchMessage	_x000D_
Looper java:237android os Looper loop	_x000D_
HandlerThread java:67android os HandlerThread run_x000D_
   _x000D_
_x000D_
    Versions_x000D_
_x000D_
Android 10_x000D_
_x000D_
     Video Android SDK_x000D_
_x000D_
    implementation  com twilio:video android:5 0 0 beta2 _x000D_
_x000D_
     Android API_x000D_
_x000D_
    compileSdkVersion 28_x000D_
    buildToolsVersion  28 0 3 _x000D_
        minSdkVersion 21_x000D_
        targetSdkVersion 28_x000D_
_x000D_
     Android Device_x000D_
_x000D_
See description </t>
  </si>
  <si>
    <t>TeamNewPipe-NewPipe-3385</t>
  </si>
  <si>
    <t>Scrolling Too Fast When Reordering The Background Queue</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</si>
  <si>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Version 0 19 2_x000D_
_x000D_
    Steps to reproduce the bug_x000D_
1  Enqueue enough videos or songs in the background such that you need to scroll down to see everything _x000D_
2  On the first item only  attempting to drag it lower in the queue will cause it to scroll faster than anyone could reasonably react to _x000D_
3  For other items  drag it down far enough that the scrollbar has to move  then drag up enough such that the scrollbar has to move again  Trying to drag the item down again will cause it to move incredibly quickly like the first item in step 2 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I would expect the speed at which items move up and down in the queue to be identical to each other _x000D_
_x000D_
    Actual behaviour_x000D_
     Tell us what happens instead     _x000D_
Downward scrolling when reordering the background queue is too fast to control  I regularly have items hit the bottom of the queue when the bug happens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If the NewPipe team is unable to recreate the bug using the steps I provided I will get a screen recorder and see about providing a video 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_x000D_
     That s right  here     _x000D_
</t>
  </si>
  <si>
    <t>dimagi-commcare-android-2212</t>
  </si>
  <si>
    <t>Fix for NPE while De-regestering Form</t>
  </si>
  <si>
    <t xml:space="preserve"> Crash Trace (https:  console firebase google com u 1 project commcare a57e4 crashlytics app android:org commcare lts issues 4337c9ddc534f7eb6281f642f91edf72 time last seven days sessionId )_x000D_
_x000D_
</t>
  </si>
  <si>
    <t>ElderDrivers-EdXposed-506</t>
  </si>
  <si>
    <t>[BUG] Installation Failure. Boot to Fastboot(ALP-AL00/8.1)</t>
  </si>
  <si>
    <t xml:space="preserve"> Edit: I tried alpha release and canary one again today  and rewrote this issue to English Only  _x000D_
 I ve read the log and searched the net for some tips and the most related result is telling me to install the customized version of Magisk from Riru  which is said to be already fixed in 20 2  Magisk  _x000D_
_x000D_
HUAWEI Mate 10(ALP AL00)  EMUI 8 1 0 351(Android 8 1)  Mostly the stock ROM(Only installed Magisk)  TWRP using 3 2 1 0 Build for Huawei from xda _x000D_
_x000D_
  What happened   _x000D_
_x000D_
Actual Type: Installation Failure _x000D_
After installed Edxposed Zip from Edxposed Manager using Magisk or TWRP  it   boot to fastboot    And reboot it would still enter fastboot until you uninstall Edxposed from TWRP _x000D_
_x000D_
Fastboot screen shows_x000D_
   _x000D_
Android Reboot Reason_x000D_
BFM S NATIVE DATA FAIL 195_x000D_
no_x000D_
NA_x000D_
reboot panic and wdt process func_x000D_
   _x000D_
_x000D_
  Xposed Module List  _x000D_
_x000D_
   NO Xposed MODULE EVER INSTALLED   _x000D_
_x000D_
  Magisk Module List  _x000D_
_x000D_
Module   Version_x000D_
       _x000D_
Riru Core   19 8_x000D_
DnsCrypt Proxy2   2 9 5_x000D_
BusyBox for Android NDK   1 31 1_x000D_
AD Hosts   4 2 2_x000D_
_x000D_
BTW the time I opened this issue  that is_x000D_
_x000D_
Module   Version_x000D_
       _x000D_
Riru Core   19 8_x000D_
_x000D_
  Versions of EdXposed and Riru  _x000D_
_x000D_
I ve already tried alpha release 4510 4529  and also canary release 4543 4545  Both YAHFA and SandHook doesn t work_x000D_
_x000D_
Riru: 19 8_x000D_
_x000D_
Magisk: 20400 20401(Currently I m using 20401)_x000D_
_x000D_
  Logcat  _x000D_
_x000D_
The log below is from Edxposed Manager  Verbose Version _x000D_
_x000D_
  I ve uploaded the logcat from LiveBoot  picked it out when uninstall Edxposed to reboot successfully in TWRP  The link is on the comment below   _x000D_
   _x000D_
          beginning of head_x000D_
EdXposed Log_x000D_
Powered by Log Catcher_x000D_
QQ support group: 855219808_x000D_
Telegram support group:  Code Of MeowCat_x000D_
Telegram channel:  EdXposed_x000D_
          beginning of information_x000D_
Manufacturer: HUAWEI_x000D_
Brand: HUAWEI_x000D_
Device: HWALP_x000D_
Product: ALP_x000D_
Model: ALP AL00_x000D_
Fingerprint: HUAWEI ALP AL00 HWALP:8 1 0 HUAWEIALP AL00 351(C00):user release keys_x000D_
ROM description: ALP AL00 user 8 1 0 HUAWEIALP AL00 351(C00) release keys_x000D_
Architecture: arm64 v8a_x000D_
Android build: HUAWEIALP AL00_x000D_
Android version: 8 1 0_x000D_
Android sdk: 27_x000D_
EdXposed version: v0 4 6 3 (4545) (YAHFA)_x000D_
EdXposed api: 91 0_x000D_
Riru version: v19 8 (30)_x000D_
Riru api: 4_x000D_
Magisk: ef9d077c (20401)_x000D_
          beginning of main_x000D_
          beginning of system_x000D_
04 11 12:41:25 440   653   653 I EdXposed: onModuleLoaded: welcome to EdXposed _x000D_
04 11 12:41:25 440   653   653 I EdXposed: Start to install inline hooks_x000D_
04 11 12:41:25 440   653   653 I EdXposed: Using api level 27_x000D_
04 11 12:41:25 440   653   653 I EdXposed: Start to install Riru hook_x000D_
04 11 12:41:25 449   653   653 I EdXposed: Riru hooks installed_x000D_
04 11 12:41:25 454   653   653 I EdXposed: using installer org meowcat edxposed manager_x000D_
04 11 12:41:25 454   653   653 I EdXposed: data path prefix:  data user de 0 _x000D_
04 11 12:41:25 454   653   653 I EdXposed:   application list mode: false_x000D_
04 11 12:41:25 454   653   653 I EdXposed:     using whitelist: false_x000D_
04 11 12:41:25 454   653   653 I EdXposed:   dynamic modules mode: false_x000D_
04 11 12:41:25 454   653   653 I EdXposed:   resources hook: true_x000D_
04 11 12:41:25 454   653   653 I EdXposed:   deopt boot image: false_x000D_
04 11 12:41:25 454   653   653 I EdXposed:   no module log: false_x000D_
04 11 12:41:25 454   653   653 I EdXposed:   hidden api bypass: true_x000D_
04 11 12:41:25 455   653   653 I EdXposed: ART hooks installed_x000D_
04 11 12:41:25 456   653   653 W EdXposed:  ZNK23FileDescriptorWhitelist9IsAllowedERKNSt3  112basic stringIcNS0 11char traitsIcEENS0 9allocatorIcEEEE not found_x000D_
04 11 12:41:25 462   653   653 I EdXposed: system property get: dalvik vm dex2oat filter    quicken_x000D_
04 11 12:41:25 462   653   653 I EdXposed: system property get: dalvik vm dex2oat flags      inline max code units 0_x000D_
04 11 12:41:25 599   654   654 I EdXposed: onModuleLoaded: welcome to EdXposed _x000D_
04 11 12:41:25 599   654   654 I EdXposed: Start to install inline hooks_x000D_
04 11 12:41:25 599   654   654 I EdXposed: Using api level 27_x000D_
04 11 12:41:25 599   654   654 I EdXposed: Start to install Riru hook_x000D_
04 11 12:41:25 609   654   654 I EdXposed: Riru hooks installed_x000D_
04 11 12:41:25 616   654   654 I EdXposed: using installer org meowcat edxposed manager_x000D_
04 11 12:41:25 616   654   654 I EdXposed: data path prefix:  data user de 0 _x000D_
04 11 12:41:25 616   654   654 I EdXposed:   application list mode: false_x000D_
04 11 12:41:25 616   654   654 I EdXposed:     using whitelist: false_x000D_
04 11 12:41:25 616   654   654 I EdXposed:   dynamic modules mode: false_x000D_
04 11 12:41:25 616   654   654 I EdXposed:   resources hook: true_x000D_
04 11 12:41:25 616   654   654 I EdXposed:   deopt boot image: false_x000D_
04 11 12:41:25 616   654   654 I EdXposed:   no module log: false_x000D_
04 11 12:41:25 616   654   654 I EdXposed:   hidden api bypass: true_x000D_
04 11 12:41:25 618   654   654 I EdXposed: ART hooks installed_x000D_
04 11 12:41:25 618   654   654 W EdXposed:  ZNK23FileDescriptorWhitelist9IsAllowedERKNSt3  112basic stringIcNS0 11char traitsIcEENS0 9allocatorIcEEEE not found_x000D_
04 11 12:41:25 634   654   654 I EdXposed: system property get: dalvik vm dex2oat filter    quicken_x000D_
04 11 12:41:25 634   654   654 I EdXposed: system property get: dalvik vm dex2oat flags      inline max code units 0_x000D_
          beginning of crash_x000D_
04 11 12:41:30 476  2193  2193 I EdXposed: onModuleLoaded: welcome to EdXposed _x000D_
04 11 12:41:30 476  2193  2193 I EdXposed: Start to install inline hooks_x000D_
04 11 12:41:30 476  2193  2193 I EdXposed: Using api level 27_x000D_
04 11 12:41:30 476  2193  2193 I EdXposed: Start to install Riru hook_x000D_
04 11 12:41:30 487  2193  2193 I EdXposed: Riru hooks installed_x000D_
04 11 12:41:30 493  2193  2193 I EdXposed: using installer org meowcat edxposed manager_x000D_
04 11 12:41:30 493  2193  2193 I EdXposed: data path prefix:  data user de 0 _x000D_
04 11 12:41:30 493  2193  2193 I EdXposed:   application list mode: false_x000D_
04 11 12:41:30 493  2193  2193 I EdXposed:     using whitelist: false_x000D_
04 11 12:41:30 493  2193  2193 I EdXposed:   dynamic modules mode: false_x000D_
04 11 12:41:30 493  2193  2193 I EdXposed:   resources hook: true_x000D_
04 11 12:41:30 493  2193  2193 I EdXposed:   deopt boot image: false_x000D_
04 11 12:41:30 493  2193  2193 I EdXposed:   no module log: false_x000D_
04 11 12:41:30 493  2193  2193 I EdXposed:   hidden api bypass: true_x000D_
04 11 12:41:30 493  2193  2193 I EdXposed: ART hooks installed_x000D_
04 11 12:41:30 494  2193  2193 W EdXposed:  ZNK23FileDescriptorWhitelist9IsAllowedERKNSt3  112basic stringIcNS0 11char traitsIcEENS0 9allocatorIcEEEE not found_x000D_
04 11 12:41:30 501  2193  2193 I EdXposed: system property get: dalvik vm dex2oat filter    quicken_x000D_
04 11 12:41:30 501  2193  2193 I EdXposed: system property get: dalvik vm dex2oat flags      inline max code units 0_x000D_
04 11 12:41:35 430  3805  3805 I EdXposed: onModuleLoaded: welcome to EdXposed _x000D_
04 11 12:41:35 430  3805  3805 I EdXposed: Start to install inline hooks_x000D_
04 11 12:41:35 430  3805  3805 I EdXposed: Using api level 27_x000D_
04 11 12:41:35 430  3805  3805 I EdXposed: Start to install Riru hook_x000D_
04 11 12:41:35 439  3805  3805 I EdXposed: Riru hooks installed_x000D_
04 11 12:41:35 442  3805  3805 I EdXposed: data path prefix:  data user de 0 _x000D_
04 11 12:41:35 442  3805  3805 I EdXposed:   application list mode: false_x000D_
04 11 12:41:35 443  3805  3805 I EdXposed:     using whitelist: false_x000D_
04 11 12:41:35 443  3805  3805 I EdXposed:   dynamic modules mode: false_x000D_
04 11 12:41:35 443  3805  3805 I EdXposed:   resources hook: true_x000D_
04 11 12:41:35 443  3805  3805 I EdXposed:   deopt boot image: false_x000D_
04 11 12:41:35 443  3805  3805 I EdXposed:   no module log: false_x000D_
04 11 12:41:35 443  3805  3805 I EdXposed:   hidden api bypass: true_x000D_
04 11 12:41:35 443  3805  3805 I EdXposed: ART hooks installed_x000D_
04 11 12:41:35 443  3805  3805 W EdXposed:  ZNK23FileDescriptorWhitelist9IsAllowedERKNSt3  112basic stringIcNS0 11char traitsIcEENS0 9allocatorIcEEEE not found_x000D_
04 11 12:41:35 450  3805  3805 I EdXposed: system property get: dalvik vm dex2oat filter    quicken_x000D_
04 11 12:41:35 450  3805  3805 I EdXposed: system property get: dalvik vm dex2oat flags      inline max code units 0_x000D_
04 11 12:41:40 429  5637  5637 I EdXposed: onModuleLoaded: welcome to EdXposed _x000D_
04 11 12:41:40 429  5637  5637 I EdXposed: Start to install inline hooks_x000D_
04 11 12:41:40 429  5637  5637 I EdXposed: Using api level 27_x000D_
04 11 12:41:40 429  5637  5637 I EdXposed: Start to install Riru hook_x000D_
04 11 12:41:40 439  5637  5637 I EdXposed: Riru hooks installed_x000D_
04 11 12:41:40 444  5637  5637 I EdXposed: ART hooks installed_x000D_
04 11 12:41:40 445  5637  5637 W EdXposed:  ZNK23FileDescriptorWhitelist9IsAllowedERKNSt3  112basic stringIcNS0 11char traitsIcEENS0 9allocatorIcEEEE not found_x000D_
04 11 12:41:40 452  5637  5637 I EdXposed: system property get: dalvik vm dex2oat filter    quicken_x000D_
04 11 12:41:40 452  5637  5637 I EdXposed: system property get: dalvik vm dex2oat flags      inline max code units 0_x000D_
04 11 12:41:45 463  7483  7483 I EdXposed: onModuleLoaded: welcome to EdXposed _x000D_
04 11 12:41:45 463  7483  7483 I EdXposed: Start to install inline hooks_x000D_
04 11 12:41:45 463  7483  7483 I EdXposed: Using api level 27_x000D_
04 11 12:41:45 463  7483  7483 I EdXposed: Start to install Riru hook_x000D_
04 11 12:41:45 471  7483  7483 I EdXposed: Riru hooks installed_x000D_
04 11 12:41:45 474  7483  7483 I EdXposed: using installer org meowcat edxposed manager_x000D_
04 11 12:41:45 474  7483  7483 I EdXposed: data path prefix:  data user de 0 _x000D_
04 11 12:41:45 474  7483  7483 I EdXposed:   application list mode: false_x000D_
04 11 12:41:45 474  7483  7483 I EdXposed:     using whitelist: false_x000D_
04 11 12:41:45 474  7483  7483 I EdXposed:   dynamic modules mode: false_x000D_
04 11 12:41:45 474  7483  7483 I EdXposed:   resources hook: true_x000D_
04 11 12:41:45 474  7483  7483 I EdXposed:   deopt boot image: false_x000D_
04 11 12:41:45 474  7483  7483 I EdXposed:   no module log: false_x000D_
04 11 12:41:45 474  7483  7483 I EdXposed:   hidden api bypass: true_x000D_
04 11 12:41:45 475  7483  7483 I EdXposed: ART hooks installed_x000D_
04 11 12:41:45 475  7483  7483 W EdXposed:  ZNK23FileDescriptorWhitelist9IsAllowedERKNSt3  112basic stringIcNS0 11char traitsIcEENS0 9allocatorIcEEEE not found_x000D_
04 11 12:41:45 482  7483  7483 I EdXposed: system property get: dalvik vm dex2oat filter    quicken_x000D_
04 11 12:41:45 482  7483  7483 I EdXposed: system property get: dalvik vm dex2oat flags      inline max code units 0_x000D_
   _x000D_
</t>
  </si>
  <si>
    <t>square-okhttp-5923</t>
  </si>
  <si>
    <t>java.lang.ArrayIndexOutOfBoundsException Util.checkOffsetAndCount(Util.java:30)</t>
  </si>
  <si>
    <t xml:space="preserve">We are using OkHttpp version com squareup okhttp3:okhttp  3 14 2  and getting following crash for some users  We could not reproduce  but as traced from crashlytics we get this crash_x000D_
_x000D_
Fatal Exception: java lang ArrayIndexOutOfBoundsException: size 0 offset 0 byteCount 2048_x000D_
at com android okhttp okio Util checkOffsetAndCount(Util java:30)_x000D_
at com android okhttp okio Buffer write(Buffer java:1178)_x000D_
at com android okhttp okio Buffer read(Buffer java:1221)_x000D_
at com android okhttp okio RealBufferedSource read(RealBufferedSource java:55)_x000D_
at com android okhttp internal http Http1xStream FixedLengthSource read(Http1xStream java:393)_x000D_
at com android okhttp internal Util skipAll(Util java:159)_x000D_
at com android okhttp internal Util discard(Util java:141)_x000D_
at com android okhttp internal http Http1xStream FixedLengthSource close(Http1xStream java:410)_x000D_
at com android okhttp okio RealBufferedSource close(RealBufferedSource java:396)_x000D_
at com android okhttp okio RealBufferedSource 1 close(RealBufferedSource java:384)_x000D_
at com google android gms internal firebase messaging zzk zza(zzk java:4)_x000D_
at com google firebase messaging zzm close(zzm java:37)_x000D_
at com google firebase messaging zzd zza(zzd java:51)_x000D_
at com google firebase messaging FirebaseMessagingService zzc(FirebaseMessagingService java:69)_x000D_
at com google firebase messaging zze run(zze java:2)_x000D_
at java util concurrent ThreadPoolExecutor runWorker(ThreadPoolExecutor java:1167)_x000D_
at java util concurrent ThreadPoolExecutor Worker run(ThreadPoolExecutor java:641)_x000D_
at com google android gms common util concurrent zza run(zza java:6)_x000D_
at java lang Thread run(Thread java:764)_x000D_
</t>
  </si>
  <si>
    <t>TeamNewPipe-NewPipe-3381</t>
  </si>
  <si>
    <t>Broken title in drawer</t>
  </si>
  <si>
    <t xml:space="preserve">    _x000D_
Oh no  a bug  It happens  Thanks for reporting an issue with NewPipe  If this is your first bug report  read the following information before proceeding:_x000D_
_x000D_
Please note  we only support the latest version of NewPipe  In order to check your app version  open the left drawer and click on  About   If you don t have the latest version  upgrade to it and reproduce the problem before opening the issue  The release page (https:  github com TeamNewPipe NewPipe releases latest) is where you can get it _x000D_
_x000D_
P S : Our contribution guidelines might be a nice document to read before you fill out the report :) You can find it at https:  github com TeamNewPipe NewPipe blob HEAD  github CONTRIBUTING md_x000D_
_x000D_
To make it easier for us to help you please enter detailed information in the template we have provided below  If a section isn t relevant  just delete it  though it would be helpful to still provide as much detail as possible _x000D_
   _x000D_
_x000D_
     The comments between these brackets won t show up in the submitted issue (as you can see in the preview)     _x000D_
_x000D_
    Version_x000D_
     Which version are you using  Hopefully the latest  We just told you that above     _x000D_
  0 19 2_x000D_
_x000D_
    Steps to reproduce the bug_x000D_
    _x000D_
1  Go to      _x000D_
2  Press on       _x000D_
3  Swipe down to       _x000D_
   _x000D_
1  Open drawer menu_x000D_
_x000D_
     If you can t cause the bug to show up again reliably (and hence don t have a proper set of steps to give us)  please still try to give as many details as possible on how you think you encountered the bug     _x000D_
_x000D_
    Expected behavior_x000D_
     Tell us what you expect to happen     _x000D_
Normal logo _x000D_
_x000D_
    Actual behaviour_x000D_
     Tell us what happens instead     _x000D_
Broken logo as_x000D_
   _x000D_
NewPip_x000D_
e_x000D_
   _x000D_
_x000D_
    Screenshots Screen recordings_x000D_
     If applicable  add screenshots or a screen recording to help explain your problem  GitHub supports uploading them directly in the issue text box  If your file is too big for Github to accept  feel free to paste a link from an image video hoster here instead     _x000D_
  Screenshot 20200407 004109 (https:  user images githubusercontent com 10882576 78608300 54555880 7869 11ea 839f ea110d3d2cab png)_x000D_
_x000D_
    Logs_x000D_
     If your bug includes a crash (where you re shown the Error Report page with a bunch of info)  copy it to the clipboard (there is a share button for this)  head over to our bug report to markdown converter at https:  teamnewpipe github io CrashReportToMarkdown  and paste it  Copy the converted text (it is MUCH easier to read this way) from there and paste it here:    _x000D_
none_x000D_
     That s right  here     _x000D_
    Phone info_x000D_
Xiaomi Mi A1  Android 7 1 2 AOSP_x000D_
  Installed custom font from further version of Android   Google font  </t>
  </si>
  <si>
    <t>hzi-braunschweig-SORMAS-Project-1765</t>
  </si>
  <si>
    <t>HTTPS not working in payara 5.192 with Open JDK 8u241</t>
  </si>
  <si>
    <t xml:space="preserve">    TLDR: Workaround_x000D_
Do not use a JDK above 8u202 to avoid Exceptions with  Handshaker  _x000D_
_x000D_
    Bug Description_x000D_
This is not relevant for production servers  Those are using HTTPS with Apache and forward the request to the internal HTTP ports _x000D_
_x000D_
Trying to open SORMAS UI via HTTPS gives the following exception_x000D_
_x000D_
  _x000D_
  java lang NoSuchMethodError: sun security ssl SignatureAndHashAlgorithm getPreferableAlgorithm(Ljava util Collection Ljava lang String )Lsun security ssl SignatureAndHashAlgorithm _x000D_
  	at sun security ssl ServerHandshaker trySetCipherSuite(ServerHandshaker java:1431)_x000D_
  	at sun security ssl ServerHandshaker chooseCipherSuite(ServerHandshaker java:1197)_x000D_
  	at sun security ssl ServerHandshaker clientHello(ServerHandshaker java:891)_x000D_
  	at sun security ssl ServerHandshaker processMessage(ServerHandshaker java:238)_x000D_
  	at sun security ssl Handshaker processLoop(Handshaker java:1062)_x000D_
  	at sun security ssl Handshaker 1 run(Handshaker java:995)_x000D_
  	at sun security ssl Handshaker 1 run(Handshaker java:992)_x000D_
  	at java security AccessController doPrivileged(Native Method)_x000D_
  	at sun security ssl Handshaker DelegatedTask run(Handshaker java:1490)_x000D_
  	at org glassfish grizzly ssl SSLUtils executeDelegatedTask(SSLUtils java:250)_x000D_
  	at org glassfish grizzly ssl SSLBaseFilter doHandshakeStep(SSLBaseFilter java:683)_x000D_
  	at org glassfish grizzly ssl SSLBaseFilter doHandshakeStep(SSLBaseFilter java:598)_x000D_
  	at org glassfish grizzly ssl SSLBaseFilter handleRead(SSLBaseFilter java:310)_x000D_
  	at org glassfish grizzly filterchain ExecutorResolver 9 execute(ExecutorResolver java:95)_x000D_
  	at org glassfish grizzly filterchain DefaultFilterChain executeFilter(DefaultFilterChain java:260)_x000D_
  	at org glassfish grizzly filterchain DefaultFilterChain executeChainPart(DefaultFilterChain java:177)_x000D_
  	at org glassfish grizzly filterchain DefaultFilterChain execute(DefaultFilterChain java:109)_x000D_
  	at org glassfish grizzly filterchain DefaultFilterChain process(DefaultFilterChain java:88)_x000D_
  	at org glassfish grizzly ProcessorExecutor execute(ProcessorExecutor java:53)_x000D_
  	at org glassfish grizzly nio transport TCPNIOTransport fireIOEvent(TCPNIOTransport java:524)_x000D_
  	at org glassfish grizzly strategies AbstractIOStrategy fireIOEvent(AbstractIOStrategy java:89)_x000D_
  	at org glassfish grizzly strategies WorkerThreadIOStrategy run0(WorkerThreadIOStrategy java:94)_x000D_
  	at org glassfish grizzly strategies WorkerThreadIOStrategy access 100(WorkerThreadIOStrategy java:33)_x000D_
  	at org glassfish grizzly strategies WorkerThreadIOStrategy WorkerThreadRunnable run(WorkerThreadIOStrategy java:114)_x000D_
  	at org glassfish grizzly threadpool AbstractThreadPool Worker doWork(AbstractThreadPool java:569)_x000D_
  	at org glassfish grizzly threadpool AbstractThreadPool Worker run(AbstractThreadPool java:549)_x000D_
  	at java lang Thread run(Thread java:748)_x000D_
_x000D_
    Steps to Reproduce_x000D_
1  Use JDK 8 241 (Zulu OpenJDK)  E g JDK 8 201 is working fine for me_x000D_
2  Use payara 5 192 (looks like newer versions that still use grizzly npn 1 8 1 still face the same issue)_x000D_
3  Deploy the ear and UI war to the server_x000D_
4  Try to open the web app via HTTPS_x000D_
_x000D_
    Expected Behavior_x000D_
Should not crash_x000D_
_x000D_
    System Details_x000D_
  Device: PC_x000D_
  SORMAS version:  _x000D_
  Android version Browser: Firefox_x000D_
_x000D_
    Additional Details_x000D_
We should check whether using the latest payara with a higher JDK version (e g  13) works </t>
  </si>
  <si>
    <t>proyecto26-react-native-inappbrowser-150</t>
  </si>
  <si>
    <t>Crash ChromeTabsManagerActivity.java line 52</t>
  </si>
  <si>
    <t xml:space="preserve">10 crashes affecting 6 users in the last 30 days_x000D_
Android 9 and 10 _x000D_
HUAWEI_x000D_
Google_x000D_
LGE_x000D_
motorola_x000D_
_x000D_
_x000D_
   _x000D_
ChromeTabsManagerActivity java line 52_x000D_
com proyecto26 inappbrowser ChromeTabsManagerActivity onCreate_x000D_
   _x000D_
_x000D_
    Which platform(s) does your issue occur on _x000D_
  Android _x000D_
_x000D_
    Please  provide the following version numbers that your issue occurs with:_x000D_
_x000D_
  react native: 61 5_x000D_
  react native app auth: 5 1 1_x000D_
  react native inappbrowser reborn: 3 3 4_x000D_
_x000D_
  ChromeTabsBug (https:  user images githubusercontent com 5473183 78564428 693ed700 77ea 11ea 822e dcdb7088534d png)_x000D_
</t>
  </si>
  <si>
    <t>hzi-braunschweig-SORMAS-Project-1759</t>
  </si>
  <si>
    <t>Request time-out seems to crash server</t>
  </si>
  <si>
    <t xml:space="preserve">    _x000D_
If you ve never submitted an issue to the SORMAS repository before or this is your first time using this template  please read the Contributing guidelines (accessible in the right sidebar) for an explanation about the information we d like you to provide _x000D_
   _x000D_
    Bug Description_x000D_
See below _x000D_
_x000D_
    Steps to Reproduce_x000D_
1  Open configruation developer in web UI and generate 1000 cases_x000D_
2  The request takes too long and will time out_x000D_
3    No other user can connect to the server now   (e g  delete browser cookies to try) _x000D_
_x000D_
In contrast  when you do the following the server does not crash_x000D_
1  Open configruation developer in web UI and generate 1000 cases_x000D_
2  Close the browser window or delete the cookies for the active page and reload_x000D_
3  You can still connect to the server  even though the process is still running and takes a lot of CPU time _x000D_
_x000D_
    Expected Behavior_x000D_
Even when a request takes a lot of time and a time out happens  other users should still be able to connect to the server _x000D_
_x000D_
    System Details_x000D_
  Device: PC_x000D_
  SORMAS version: 1 37 2_x000D_
  Android version Browser: Firefox 74 0_x000D_
_x000D_
_x000D_
    Review_x000D_
 StefanKock _x000D_
</t>
  </si>
  <si>
    <t>Blankj-AndroidUtilCode-1215</t>
  </si>
  <si>
    <t xml:space="preserve">   Describe the bug_x000D_
_x000D_
A clear and concise description of what the bug is _x000D_
_x000D_
  The version of AndroidUtilCode: utilcodex:1 27 2_x000D_
  The device: Emulator Pixel2_x000D_
  The version of device: API 29_x000D_
_x000D_
   The code of bug_x000D_
Before I use this code_x000D_
_x000D_
   java_x000D_
private static final int MULTIPLE PERMISSIONS   1 _x000D_
    private static final String   permissions   new String   _x000D_
            Manifest permission WRITE EXTERNAL STORAGE  Manifest permission READ EXTERNAL STORAGE_x000D_
      _x000D_
_x000D_
private void permissions()  _x000D_
if (Build VERSION SDK INT    Build VERSION CODES M)  _x000D_
            if (ContextCompat checkSelfPermission(this  Manifest permission READ EXTERNAL STORAGE)  _x000D_
                    ContextCompat checkSelfPermission(this  Manifest permission WRITE EXTERNAL STORAGE)    PackageManager PERMISSION GRANTED)                  _x000D_
                new RunProgram(this) execute() _x000D_
              else                  _x000D_
                if (checkPermissions())  _x000D_
                    new RunProgram(this) execute() _x000D_
                 _x000D_
             _x000D_
         _x000D_
_x000D_
private boolean checkPermissions()  _x000D_
           int result _x000D_
           List String  listPermissionsNeeded   new ArrayList  () _x000D_
           for (String p : permissions)  _x000D_
               result   ContextCompat checkSelfPermission(getApplication()  p) _x000D_
               if (result    PackageManager PERMISSION GRANTED)  _x000D_
                   listPermissionsNeeded add(p) _x000D_
                _x000D_
            _x000D_
           if ( listPermissionsNeeded isEmpty())  _x000D_
               ActivityCompat requestPermissions(this  listPermissionsNeeded toArray(new String 0 )  MULTIPLE PERMISSIONS) _x000D_
               return false _x000D_
            _x000D_
           return true _x000D_
        _x000D_
_x000D_
        Override_x000D_
       public void onRequestPermissionsResult(int requestCode   NonNull String   permissionsList   NonNull int   grantResults)  _x000D_
           if (requestCode    MULTIPLE PERMISSIONS)  _x000D_
               if (grantResults 0     PackageManager PERMISSION GRANTED)  _x000D_
                   new RunProgram(this) execute() _x000D_
                 else  _x000D_
                   StringBuilder permissionsDenied   new StringBuilder() _x000D_
                   for (String per : permissionsList)  _x000D_
                       if (grantResults 0     PackageManager PERMISSION DENIED)  _x000D_
                           permissionsDenied append(  n ) append(per) _x000D_
                        _x000D_
                    _x000D_
                   ToastUtils showLong( Please allow the permission for app works properly ) _x000D_
                _x000D_
               return _x000D_
            _x000D_
           super onRequestPermissionsResult(requestCode  permissions  grantResults) _x000D_
        _x000D_
   _x000D_
After using your PermissionUtils:_x000D_
   java_x000D_
private void permissions()  _x000D_
        PermissionUtils permission(PermissionConstants STORAGE) rationale(new PermissionUtils OnRationaleListener()  _x000D_
             Override_x000D_
            public void rationale(UtilsTransActivity activity  ShouldRequest shouldRequest)  _x000D_
                shouldRequest again(true)                _x000D_
             _x000D_
         ) callback(new PermissionUtils FullCallback()  _x000D_
             Override_x000D_
            public void onGranted(List String  permissionsGranted)  _x000D_
                new RunProgram(SplashActivity this) execute() _x000D_
             _x000D_
_x000D_
             Override_x000D_
            public void onDenied(List String  permissionsDeniedForever  List String  permissionsDenied)  _x000D_
                if ( permissionsDenied isEmpty()     permissionsDeniedForever isEmpty())  _x000D_
                    finish() _x000D_
                 _x000D_
             _x000D_
         ) theme(new PermissionUtils ThemeCallback()  _x000D_
             Override_x000D_
            public void onActivityCreate(Activity activity)  _x000D_
                ScreenUtils setFullScreen(activity) _x000D_
             _x000D_
         ) request() _x000D_
   _x000D_
And Manifest:_x000D_
   java_x000D_
 activity android:name   activity SplashActivity _x000D_
            android:theme   style AppTheme NoActionBar  _x000D_
             intent filter _x000D_
                 action android:name  android intent action MAIN    _x000D_
_x000D_
                 category android:name  android intent category LAUNCHER    _x000D_
              intent filter _x000D_
          activity _x000D_
   _x000D_
   The stack of crash_x000D_
I m facing this issue  I twice checked every things but no effect_x000D_
   _x000D_
          beginning of crash_x000D_
2020 04 06 14:03:00 905 6734 6734 com ahmer whatsapp E AndroidRuntime: FATAL EXCEPTION: main_x000D_
    Process: com ahmer whatsapp  PID: 6734_x000D_
    java lang IllegalStateException: You need to use a Theme AppCompat theme (or descendant) with this activity _x000D_
        at androidx appcompat app AppCompatDelegateImpl createSubDecor(AppCompatDelegateImpl java:842)_x000D_
        at androidx appcompat app AppCompatDelegateImpl ensureSubDecor(AppCompatDelegateImpl java:805)_x000D_
        at androidx appcompat app AppCompatDelegateImpl onPostCreate(AppCompatDelegateImpl java:528)_x000D_
        at androidx appcompat app AppCompatActivity onPostCreate(AppCompatActivity java:127)_x000D_
        at android app Instrumentation callActivityOnPostCreate(Instrumentation java:1373)_x000D_
        at android app ActivityThread handleStartActivity(ActivityThread java:3321)_x000D_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Please help_x000D_
</t>
  </si>
  <si>
    <t>TeamNewPipe-NewPipe-3378</t>
  </si>
  <si>
    <t>After a longer pause, playing audio in background stops after a few minutes</t>
  </si>
  <si>
    <t xml:space="preserve">    Version_x000D_
0 19 2_x000D_
    Steps to reproduce the bug_x000D_
1  Start any video audio on the background_x000D_
2  Pause it and left the notification item on the notification bar_x000D_
3   I used to let it in this state for a few hours _x000D_
4  Press the play button to continue the stream_x000D_
_x000D_
    Expected behavior_x000D_
The stream just goes on_x000D_
_x000D_
    Actual behaviour_x000D_
It stops after a few minutes  feels like this amount of video is just remained in the cache_x000D_
_x000D_
    Screenshots Screen records_x000D_
N A_x000D_
_x000D_
    Logs_x000D_
No crash</t>
  </si>
  <si>
    <t>ElderDrivers-EdXposed-504</t>
  </si>
  <si>
    <t>[BUG] MOTO G7 Plus - unofficial Lineage OS 16.1 - null pointer dereference during boot within zygote64</t>
  </si>
  <si>
    <t xml:space="preserve">  What happened   _x000D_
_x000D_
Since 4 6 X I get stuck during the boot process  zygote64 crash again and again  Devices doesn t reboot but keep trying to start zygote64  Didn t have any problems with 4 5 x and the crash happen with or without any module enabled  Dalvik cache cleaned for the logcat test _x000D_
_x000D_
  Xposed Module List  _x000D_
_x000D_
  Greenify_x000D_
  Statusbar Download Progress_x000D_
  NoQSInLockScreen_x000D_
_x000D_
  Magisk Module List  _x000D_
_x000D_
  Fdroid Priv_x000D_
  busybox ndk_x000D_
  Vanced_x000D_
  mm (recovery script)_x000D_
  riru_x000D_
  riru edxposed (sandyhook but same problem with YAHFA)_x000D_
  riru storage redirect_x000D_
  Single User_x000D_
_x000D_
  Versions of EdXposed and Riru  _x000D_
_x000D_
EdXposed: 0 4 6 2 (0 4 6 1 as well)_x000D_
_x000D_
Riru: 19 8 (19 7 as well)_x000D_
_x000D_
  Logcat  _x000D_
_x000D_
          beginning of crash_x000D_
04 06 06:19:27 117   789   789 F libc    : Fatal signal 11 (SIGSEGV)  code 1 (SEGV MAPERR)  fault addr 0x0 in tid 789 (main)  pid 789 (main)_x000D_
04 06 06:19:27 161  1603  1603 I chatty  : uid 0(root) crash dump64 expire 3 lines_x000D_
04 06 06:19:27 162  1011  1011 I  system bin tombstoned: received crash request for pid 789_x000D_
04 06 06:19:27 175  1603  1603 F DEBUG   :                                                                _x000D_
04 06 06:19:27 175  1603  1603 F DEBUG   : LineageOS Version:  16 0 20200201 UNOFFICIAL lake _x000D_
04 06 06:19:27 176  1603  1603 F DEBUG   : Build fingerprint:  motorola lake lake:9 PPWS29 98 111 9 d601:user release keys _x000D_
04 06 06:19:27 176  1603  1603 F DEBUG   : Revision:  pvt _x000D_
04 06 06:19:27 176  1603  1603 F DEBUG   : ABI:  arm64 _x000D_
04 06 06:19:27 176  1603  1603 F DEBUG   : pid: 789  tid: 789  name: main      zygote64    _x000D_
04 06 06:19:27 176  1603  1603 F DEBUG   : signal 11 (SIGSEGV)  code 1 (SEGV MAPERR)  fault addr 0x0_x000D_
04 06 06:19:27 176  1603  1603 F DEBUG   : Cause: null pointer dereference_x000D_
04 06 06:19:27 176  1603  1603 F DEBUG   :     x0  00000000707242e0  x1  0000007fc0dfe7d8  x2  0000007fc0dfe7d8  x3  000000792e814c00_x000D_
04 06 06:19:27 176  1603  1603 F DEBUG   :     x4  0000007fc0dfec10  x5  0000007927e901fa  x6  0000000000008000  x7  23ff3a71646a6d68_x000D_
04 06 06:19:27 176  1603  1603 F DEBUG   :     x8  0000000000000000  x9  0000000000000000  x10 0000000000430000  x11 0000000000000000_x000D_
04 06 06:19:27 176  1603  1603 F DEBUG   :     x12 000000792e3ba530  x13 000000792e3ba584  x14 000000792e3ba5e4  x15 0000000000000000_x000D_
04 06 06:19:27 176  1603  1603 F DEBUG   :     x16 0000007fc0dfe7d8  x17 0000000000000000  x18 0000000000000000  x19 00000000707242e0_x000D_
04 06 06:19:27 176  1603  1603 F DEBUG   :     x20 00000079b429e5e0  x21 000000792e7fb000  x22 0000007fc0dfea70  x23 0000007927e901fa_x000D_
04 06 06:19:27 176  1603  1603 F DEBUG   :     x24 0000000000000004  x25 00000079b429e5e0  x26 000000792e814ca0  x27 0000000000000001_x000D_
04 06 06:19:27 176  1603  1603 F DEBUG   :     x28 0000000000000000  x29 0000007fc0dfe7b0_x000D_
04 06 06:19:27 176  1603  1603 F DEBUG   :     sp  0000007fc0dfe780  lr  000000792e766cec  pc  000000792e766d50_x000D_
04 06 06:19:27 177  1603  1603 F DEBUG   : _x000D_
04 06 06:19:27 177  1603  1603 F DEBUG   : backtrace:_x000D_
04 06 06:19:27 177  1603  1603 F DEBUG   :      00 pc 0000000000045d50   system lib64 libriru edxp so_x000D_
04 06 06:19:27 177  1603  1603 F DEBUG   :      01 pc 0000000000003cec   data dalvik cache arm64 system framework edxp jar classes dex (offset 0x3000)_x000D_
     _x000D_
04 06 06:19:29 103  1852  1852 F DEBUG   :                                                                _x000D_
04 06 06:19:29 103  1852  1852 F DEBUG   : LineageOS Version:  16 0 20200201 UNOFFICIAL lake _x000D_
04 06 06:19:29 103  1852  1852 F DEBUG   : Build fingerprint:  motorola lake lake:9 PPWS29 98 111 9 d601:user release keys _x000D_
04 06 06:19:29 103  1852  1852 F DEBUG   : Revision:  pvt _x000D_
04 06 06:19:29 103  1852  1852 F DEBUG   : ABI:  arm64 _x000D_
04 06 06:19:29 103  1852  1852 F DEBUG   : pid: 1644  tid: 1644  name: main      zygote64    _x000D_
04 06 06:19:29 103  1852  1852 F DEBUG   : signal 11 (SIGSEGV)  code 1 (SEGV MAPERR)  fault addr 0x0_x000D_
04 06 06:19:29 103  1852  1852 F DEBUG   : Cause: null pointer dereference_x000D_
04 06 06:19:29 103  1852  1852 F DEBUG   :     x0  00000000707242e0  x1  0000007fe3098578  x2  0000007fe3098578  x3  0000007b9e414c00_x000D_
04 06 06:19:29 103  1852  1852 F DEBUG   :     x4  0000007fe30989b0  x5  0000007b97b181fa  x6  0000000000008000  x7  23ff3a71646a6d68_x000D_
04 06 06:19:29 103  1852  1852 F DEBUG   :     x8  0000000000000000  x9  0000000000000000  x10 0000000000430000  x11 0000000000000000_x000D_
04 06 06:19:29 103  1852  1852 F DEBUG   :     x12 0000007b9e0bc530  x13 0000007b9e0bc584  x14 0000007b9e0bc5e4  x15 0000000000000000_x000D_
04 06 06:19:29 103  1852  1852 F DEBUG   :     x16 0000007fe3098578  x17 0000000000000000  x18 0000000000000000  x19 00000000707242e0_x000D_
04 06 06:19:29 103  1852  1852 F DEBUG   :     x20 0000007c23f4c5e0  x21 0000007b9e3e0000  x22 0000007fe3098810  x23 0000007b97b181fa_x000D_
04 06 06:19:29 103  1852  1852 F DEBUG   :     x24 0000000000000004  x25 0000007c23f4c5e0  x26 0000007b9e414ca0  x27 0000000000000001_x000D_
04 06 06:19:29 103  1852  1852 F DEBUG   :     x28 0000000000000000  x29 0000007fe3098550_x000D_
04 06 06:19:29 103  1852  1852 F DEBUG   :     sp  0000007fe3098520  lr  0000007b9e34bcec  pc  0000007b9e34bd50_x000D_
04 06 06:19:29 104  1852  1852 F DEBUG   : _x000D_
04 06 06:19:29 104  1852  1852 F DEBUG   : backtrace:_x000D_
04 06 06:19:29 104  1852  1852 F DEBUG   :      00 pc 0000000000045d50   system lib64 libriru edxp so_x000D_
04 06 06:19:29 104  1852  1852 F DEBUG   :      01 pc 0000000000003cec   data dalvik cache arm64 system framework edxp jar classes dex (offset 0x3000)_x000D_
</t>
  </si>
  <si>
    <t>iatenine-Social-Distancing-App-4</t>
  </si>
  <si>
    <t>Notification method in service class seems to crash newer phones</t>
  </si>
  <si>
    <t>Get this error and app crash when  start broadcast  button is pushed on Oreo phone_x000D_
_x000D_
 Process: com example locationtestproject  PID: 8419_x000D_
    android app RemoteServiceException: Bad notification for startForeground: java lang RuntimeException: invalid channel for service notification: Notification(channel ForegroundServiceChannel pri 0 contentView null vibrate null sound null defaults 0x0 flags 0x40 color 0x00000000 vis PRIVATE)_x000D_
        at android app ActivityThread H handleMessage(ActivityThread java:1821)_x000D_
        at android os Handler dispatchMessage(Handler java:106)_x000D_
        at android os Looper loop(Looper java:164)_x000D_
        at android app ActivityThread main(ActivityThread java:6626)_x000D_
        at java lang reflect Method invoke(Native Method)_x000D_
        at com android internal os RuntimeInit MethodAndArgsCaller run(RuntimeInit java:438)_x000D_
        at com android internal os ZygoteInit main(ZygoteInit java:811)_x000D_
 _x000D_
_x000D_
Older Android versions such as Nougat don t seem to care</t>
  </si>
  <si>
    <t>condog190-5E-Initiative-Tracker-129</t>
  </si>
  <si>
    <t>Resize background image for compatibility</t>
  </si>
  <si>
    <t>Background image is too large and is causing crashes with lower (25) android api versions</t>
  </si>
  <si>
    <t>nextcloud-android-5809</t>
  </si>
  <si>
    <t>Conf of auto upload leads to crash</t>
  </si>
  <si>
    <t xml:space="preserve">One plus 6 T  android 10 (oxygen os 10 3 2_x000D_
Nextcloud app crash when configuring automatic upload  _x000D_
Settings get registered but app needs force shutdown  _x000D_
Lots of other problems : long delais when changing other settings in the app  </t>
  </si>
  <si>
    <t>TeamNewPipe-NewPipe-3368</t>
  </si>
  <si>
    <t>Instead of crashing, or showing an error, can Newpipe just... not scroll?</t>
  </si>
  <si>
    <t xml:space="preserve">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0 21 9 (earlier 0 19 1)_x000D_
_x000D_
    Steps to reproduce the bug_x000D_
     If you can t reproduce it  please try to give as many details as possible on how you think you got to the bug     _x000D_
1  Search something _x000D_
2  Turn off internet _x000D_
3  Scroll down the list _x000D_
_x000D_
    Expected behavior_x000D_
Since Newpipe can t load new items in the list without internet  it should just not scroll after the last already loaded one  You could mention the network error and show the retry button in the space  below  the last list item _x000D_
_x000D_
    Actual behaviour_x000D_
Screen clears and shows Network Error with a Retry button _x000D_
_x000D_
In rare cases like I just got  crash  UI error  It seems to involve the AndroidX RecyclerView _x000D_
_x000D_
Interestingly  with this error page  tapping back takes you to the home screen  but you can open Newpipe from its launcher and use it without any error  If you tap back from there  though  you re taken to the error page again  It s in the backstack or something _x000D_
_x000D_
If you turn internet back on and then open Newpipe  it removes the error page from the backstack _x000D_
_x000D_
    Logs_x000D_
   Exception_x000D_
    User Action:   ui error_x000D_
    Request:   App crash  UI failure_x000D_
    Content Language:   en IN_x000D_
    Service:   none_x000D_
    Version:   0 19 1_x000D_
    OS:   Linux Android 9   28_x000D_
_x000D_
_x000D_
 details  summary  b Crash log  b   summary  p _x000D_
_x000D_
   _x000D_
java lang IllegalArgumentException: Called attach on a child which is not detached: ViewHolder 7611833 position 20 id  1  oldPos  1  pLpos: 1 not recyclable(1)  androidx recyclerview widget RecyclerView 42907f0 VFED V          ID 0 0 1080 1728  7f090150 app:id items list   adapter:org schabi newpipe info list InfoListAdapter 983b169  layout:androidx recyclerview widget LinearLayoutManager d56b7ee  context:org schabi newpipe MainActivity 88466a3_x000D_
	at androidx recyclerview widget RecyclerView 5 attachViewToParent(RecyclerView java:915)_x000D_
	at androidx recyclerview widget ChildHelper attachViewToParent(ChildHelper java:239)_x000D_
	at androidx recyclerview widget RecyclerView addAnimatingView(RecyclerView java:1431)_x000D_
	at androidx recyclerview widget RecyclerView animateDisappearance(RecyclerView java:4161)_x000D_
	at androidx recyclerview widget RecyclerView 4 processDisappeared(RecyclerView java:612)_x000D_
	at androidx recyclerview widget ViewInfoStore process(ViewInfoStore java:240)_x000D_
	at androidx recyclerview widget RecyclerView dispatchLayoutStep3(RecyclerView java:3994)_x000D_
	at androidx recyclerview widget RecyclerView dispatchLayout(RecyclerView java:3652)_x000D_
	at androidx recyclerview widget RecyclerView consumePendingUpdateOperations(RecyclerView java:1888)_x000D_
	at androidx recyclerview widget RecyclerView ViewFlinger run(RecyclerView java:5044)_x000D_
	at android view Choreographer CallbackRecord run(Choreographer java:949)_x000D_
	at android view Choreographer doCallbacks(Choreographer java:761)_x000D_
	at android view Choreographer doFrame(Choreographer java:693)_x000D_
	at android view Choreographer FrameDisplayEventReceiver run(Choreographer java:935)_x000D_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_x000D_
   _x000D_
  p   details _x000D_
 hr _x000D_
</t>
  </si>
  <si>
    <t>k9mail-k-9-4639</t>
  </si>
  <si>
    <t>K9 crashes on every start, and crashes SystemUI with notification</t>
  </si>
  <si>
    <t xml:space="preserve">Possibly the same as  4592  but that issue was closed without resolution _x000D_
_x000D_
    Expected behavior_x000D_
K9 Mail starts_x000D_
_x000D_
    Actual behavior_x000D_
K9 Mail crashes on every start  even after rebooting_x000D_
_x000D_
    Steps to reproduce_x000D_
I am not sure how to reproduce at this point  But I will write all I know below  and maybe you can give me leads to follow on in order to pinpoint the issue_x000D_
_x000D_
    Environment_x000D_
K 9 Mail version: 5 6 (F droid  Suggested ) but also after upgrade to 5 707_x000D_
_x000D_
Android version:_x000D_
8 0 0 (ShiftOS with February 2020 update)_x000D_
_x000D_
Account type (IMAP  POP3  WebDAV Exchange):_x000D_
POP3_x000D_
_x000D_
What I did:_x000D_
1) Installed K9 fresh on a new phone from F droid (that was 5 6)_x000D_
2) Imported a backup from a previous phone_x000D_
3) Provided account password and could receive email_x000D_
4) Could open and use K9 mail multiple times_x000D_
5) Put phone to airplane mode for the night_x000D_
6) Disabled airplane mode in the morning_x000D_
7) Received an email notification but dismissed it_x000D_
8) Later tried to open K9 via shortcut in order to read email_x000D_
9) Crash  also on retry_x000D_
10) Rebooted phone_x000D_
11) K9 keeps crashing_x000D_
12) Updated to 5 707 (newest on F droid)_x000D_
13) K9 keeps crashing_x000D_
_x000D_
Question: I can t find any data folder (searching for  K9  in storage  could not find info in FAQ)  because I suspect that K9 hiccups on something in the data files  and I would like to rule that out  Obviously  I cannot enable debug logs _x000D_
</t>
  </si>
  <si>
    <t>wiglenet-wigle-wifi-wardriving-415</t>
  </si>
  <si>
    <t>[FIX] preventing crash on data fragment detatched</t>
  </si>
  <si>
    <t>crash from reporting on  2 51 _x000D_
   _x000D_
java lang IllegalStateException: Fragment DataFragment 4339e188 (99ef820b 7ce2 4e39 a7fd 9b8ba67fc079)  not attached to a context _x000D_
at androidx fragment app Fragment requireContext(Fragment java:774)_x000D_
at androidx fragment app Fragment getResources(Fragment java:838)_x000D_
at androidx fragment app Fragment getString(Fragment java:860)_x000D_
at net wigle wigleandroid DataFragment BackupTask onProgressUpdate(DataFragment java:630)_x000D_
at net wigle wigleandroid DataFragment BackupTask onProgressUpdate(DataFragment java:542)_x000D_
   _x000D_
_x000D_
we COULD try and re attach to the running activity  but I suspect this is happening when someone shuts the app down or a crash in mid backup</t>
  </si>
  <si>
    <t>nextcloud-android-5807</t>
  </si>
  <si>
    <t>Sharing image without signing in (Crash)</t>
  </si>
  <si>
    <t xml:space="preserve">    Steps to reproduce_x000D_
1  Just downloaded the app without opening it_x000D_
2  Open default Samsung gallery_x000D_
3  Try to share an image via the share context menu to Nextcloud_x000D_
4  Nextcloud app opens with a crash_x000D_
_x000D_
    Expected behaviour_x000D_
  Some warning should appear  that I have not added a Server yet_x000D_
_x000D_
    Actual behaviour_x000D_
  App crashed with the error log below_x000D_
_x000D_
    Can you reproduce this problem on https:  try nextcloud com _x000D_
Is an android app  so no_x000D_
_x000D_
    Environment data_x000D_
Android version: 10_x000D_
_x000D_
Device model: SM G970F (Samsungs S10e)_x000D_
_x000D_
Stock or customized system: Stock_x000D_
_x000D_
Nextcloud app version: 30110090_x000D_
_x000D_
Nextcloud server version:  _x000D_
_x000D_
    Logs_x000D_
     Nextcloud log (data nextcloud log)_x000D_
   _x000D_
             CAUSE OF ERROR             _x000D_
_x000D_
java lang IllegalStateException: Do not call this method before initializing mStorageManager_x000D_
	at com owncloud android ui activity ReceiveExternalFilesActivity initTargetFolder(ReceiveExternalFilesActivity java:992)_x000D_
	at com owncloud android ui activity ReceiveExternalFilesActivity onStart(ReceiveExternalFilesActivity java:241)_x000D_
	at android app Instrumentation callActivityOnStart(Instrumentation java:1433)_x000D_
	at android app Activity performStart(Activity java:8004)_x000D_
	at android app ActivityThread handleStartActivity(ActivityThread java:3471)_x000D_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java:2146)_x000D_
	at android os Handler dispatchMessage(Handler java:107)_x000D_
	at android os Looper loop(Looper java:237)_x000D_
	at android app ActivityThread main(ActivityThread java:7777)_x000D_
	at java lang reflect Method invoke(Native Method)_x000D_
	at com android internal os RuntimeInit MethodAndArgsCaller run(RuntimeInit java:493)_x000D_
	at com android internal os ZygoteInit main(ZygoteInit java:1047)_x000D_
_x000D_
             APP INFORMATION             _x000D_
ID: com nextcloud client_x000D_
Version: 30110090_x000D_
Build flavor: gplay_x000D_
_x000D_
             DEVICE INFORMATION             _x000D_
Brand: samsung_x000D_
Device: beyond0_x000D_
Model: SM G970F_x000D_
Id: QP1A 190711 020_x000D_
Product: beyond0lteeea_x000D_
_x000D_
             FIRMWARE             _x000D_
SDK: 29_x000D_
Release: 10_x000D_
Incremental: G970FXXS4BTB3_x000D_
   </t>
  </si>
  <si>
    <t>AEFeinstein-mtg-familiar-511</t>
  </si>
  <si>
    <t>Investigate Decklist Crashes</t>
  </si>
  <si>
    <t xml:space="preserve">Investigate these three crash reports  which all deal with the decklist_x000D_
   _x000D_
java lang ArrayIndexOutOfBoundsException:_x000D_
  at com gelakinetic mtgfam helpers MtgCard fromWishlistString (MtgCard java:552)_x000D_
  at com gelakinetic mtgfam helpers DecklistHelpers ReadDecklist (DecklistHelpers java:143)_x000D_
  at com gelakinetic mtgfam fragments DecklistFragment readAndCompressDecklist (DecklistFragment java:464)_x000D_
  at com gelakinetic mtgfam fragments DecklistFragment onResume (DecklistFragment java:403)_x000D_
   _x000D_
   _x000D_
java lang StringIndexOutOfBoundsException:_x000D_
  at java lang String charAt (Native Method)_x000D_
  at com gelakinetic mtgfam helpers database CardDbAdapter sanitizeString (CardDbAdapter java:2501)_x000D_
  at com gelakinetic mtgfam helpers database CardDbAdapter fetchCardByNamesAndSets (CardDbAdapter java:663)_x000D_
  at com gelakinetic mtgfam helpers MtgCard initCardListFromDb (MtgCard java:331)_x000D_
  at com gelakinetic mtgfam helpers DecklistHelpers ReadDecklist (DecklistHelpers java:153)_x000D_
  at com gelakinetic mtgfam fragments DecklistFragment readAndCompressDecklist (DecklistFragment java:464)_x000D_
  at com gelakinetic mtgfam fragments dialogs DecklistDialogFragment lambda onCreateDialog 3 DecklistDialogFragment (DecklistDialogFragment java:211)_x000D_
  at com gelakinetic mtgfam fragments dialogs    Lambda DecklistDialogFragment vfXDAlTE0zf08i6wr1G3rgMYPvg onSelection (Unknown Source:8)_x000D_
   _x000D_
   _x000D_
java lang StringIndexOutOfBoundsException:_x000D_
  at java lang String charAt (Native Method)_x000D_
  at com gelakinetic mtgfam helpers database CardDbAdapter sanitizeString (CardDbAdapter java:2501)_x000D_
  at com gelakinetic mtgfam helpers database CardDbAdapter fetchCardByName (CardDbAdapter java:506)_x000D_
  at com gelakinetic mtgfam helpers MtgCard  init  (MtgCard java:169)_x000D_
  at com gelakinetic mtgfam fragments DecklistFragment addCardToDeck (DecklistFragment java:328)_x000D_
  at com gelakinetic mtgfam fragments DecklistFragment lambda onCreateView 2 DecklistFragment (DecklistFragment java:223)_x000D_
  at com gelakinetic mtgfam fragments    Lambda DecklistFragment bfcc1cK8ygFRWz6mnjQR7NDfkoU onClick (Unknown Source:2)_x000D_
   </t>
  </si>
  <si>
    <t>nextcloud-android-5805</t>
  </si>
  <si>
    <t>Caused by: java.lang.SecurityException: Caller no longer running</t>
  </si>
  <si>
    <t xml:space="preserve">    Steps to reproduce_x000D_
When Nextcloud synchronise my mobile it crashes sometimes _x000D_
_x000D_
    Expected behaviour_x000D_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java lang SecurityException: Caller no longer running  last stopped  2s161ms because: timed out while starting_x000D_
	at android os Parcel createException(Parcel java:1950)_x000D_
	at android os Parcel readException(Parcel java:1918)_x000D_
	at android os Parcel readException(Parcel java:1868)_x000D_
	at android app job IJobCallback Stub Proxy dequeueWork(IJobCallback java:195)_x000D_
	at android app job JobParameters dequeueWork(JobParameters java:243)_x000D_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Caused by: android os RemoteException: Remote stack trace:_x000D_
	at com android server job JobServiceContext assertCallerLocked(JobServiceContext java:481)_x000D_
	at com android server job JobServiceContext doDequeueWork(JobServiceContext java:359)_x000D_
	at com android server job JobServiceContext JobCallback dequeueWork(JobServiceContext java:160)_x000D_
	at android app job IJobCallback Stub onTransact(IJobCallback java:83)_x000D_
	at android os Binder execTransact(Binder java:731)_x000D_
_x000D_
_x000D_
             APP INFORMATION             _x000D_
ID: com nextcloud client_x000D_
Version: 30110090_x000D_
Build flavor: gplay_x000D_
_x000D_
             DEVICE INFORMATION             _x000D_
Brand: Nokia_x000D_
Device: A1N sprout_x000D_
Model: Nokia 8 Sirocco_x000D_
Id: PPR1 180610 011_x000D_
Product: Avenger 00WW_x000D_
_x000D_
             FIRMWARE             _x000D_
SDK: 28_x000D_
Release: 9_x000D_
Incremental: 00WW 4 14M</t>
  </si>
  <si>
    <t>jssosa10-miso4208-6</t>
  </si>
  <si>
    <t>Bug MyExpenses: Error fatal al importar un archivo en una cuenta que esta cerrada</t>
  </si>
  <si>
    <t xml:space="preserve">Si se exporta una cuenta a QIF   CSV  luego esta cuenta se   cierra   y despu s se procede a importar el archivo QIF   CSV la aplicaci n crashea _x000D_
_x000D_
  Screenshot 20200404 084004 (https:  user images githubusercontent com 42921713 78453743 4df09200 7659 11ea 85ad 3710d0ac56c5 png)_x000D_
_x000D_
  Screenshot 20200404 085115 (https:  user images githubusercontent com 42921713 78453753 5fd23500 7659 11ea 9b00 f83156e5360d png)_x000D_
</t>
  </si>
  <si>
    <t>nextcloud-android-library-421</t>
  </si>
  <si>
    <t>Cannot compile anymore with gradle 3.6.2</t>
  </si>
  <si>
    <t xml:space="preserve">The recent update to gradle 3 6 2 added a new lint check that now blocks using the nextcloud android library because of the  commons httpclient  library conflict (see  411) _x000D_
Error output is:_x000D_
_x000D_
    _x000D_
Error: httpclient defines classes that conflict with classes now provided by Android  Solutions include finding newer versions or alternative libraries that don t have the same problem (for example  for httpclient use HttpUrlConnection or okhttp instead)  or repackaging the library using something like jarjar   DuplicatePlatformClasses _x000D_
    implementation  commons httpclient:commons httpclient:3 1 jar     remove after entire switch to lib v2_x000D_
                                      _x000D_
_x000D_
   Explanation for issues of type  DuplicatePlatformClasses :_x000D_
   There are a number of libraries that duplicate not just functionality of_x000D_
   the Android platform but using the exact same class names as the ones_x000D_
   provided in Android    for example the apache http classes  This can lead_x000D_
   to unexpected crashes _x000D_
_x000D_
   To solve this  you need to either find a newer version of the library which_x000D_
   no longer has this problem  or to repackage the library (and all of its_x000D_
   dependencies) using something like the jarjar tool  or finally  rewriting_x000D_
   the code to use different APIs (for example  for http code  consider using_x000D_
   HttpUrlConnection or a library like okhttp) _x000D_
_x000D_
2 errors  0 warnings_x000D_
    _x000D_
_x000D_
Only workarounds so far is to stay with the old gradle 3 6 1 or switch off the lint errors  Both are no long term solutions for production code </t>
  </si>
  <si>
    <t>TeamNewPipe-NewPipe-3354</t>
  </si>
  <si>
    <t xml:space="preserve">missing videos in feed group </t>
  </si>
  <si>
    <t xml:space="preserve">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19 2_x000D_
_x000D_
_x000D_
    Steps to reproduce the bug_x000D_
     If you can t reproduce it  please try to give as many details as possible on how you think you got to the bug     _x000D_
Steps to reproduce the behavior:_x000D_
  Screenshot 20200404 060920 (https:  user images githubusercontent com 63132171 78417459 dad82300 763a 11ea 97bb db24dd83ec12 png)_x000D_
_x000D_
Go to a feed group that has old channels_x000D_
    Expected behavior_x000D_
Tell us what you expected to happen _x000D_
see new videos from those channels_x000D_
    Actual behaviour_x000D_
Tell us what happens instead _x000D_
missing videos from those channels or a completely empty group_x000D_
    Screenshots Screen records_x000D_
If applicable  add screenshots or a screen recording to help explain your problem  GitHub should support uploading them directly in the issue field  If your file is too big  feel free to paste a link from an image video hoster here instead _x000D_
_x000D_
    Logs_x000D_
If your bug includes a crash  please head over to the  incredible bugreport to markdown converter (https:  teamnewpipe github io CrashReportToMarkdown )  Copy the result  Paste it here:_x000D_
_x000D_
     That s right  here     _x000D_
</t>
  </si>
  <si>
    <t>AmazMod-AmazMod-847</t>
  </si>
  <si>
    <t>Watch in DND, custom notifications are not saved</t>
  </si>
  <si>
    <t xml:space="preserve">When watch is DND  notifications are send  user is not disturbed  notification counter is updated however  custom notifications are not stored in the notification list  I prepared part of the code in commit b1804b2ee9578727994a094011a7895a94c6eaa7 however a change still needs to be make because app crashes when opening notifications list (more info in code) _x000D_
_x000D_
My code is in comment to avoid the crashes </t>
  </si>
  <si>
    <t>TeamNewPipe-NewPipe-3350</t>
  </si>
  <si>
    <t>UI crash when searching for 'Live TV' and app language set to Hindi</t>
  </si>
  <si>
    <t xml:space="preserve">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0 19 2_x000D_
_x000D_
_x000D_
    Steps to reproduce the bug_x000D_
     If you can t reproduce it  please try to give as many details as possible on how you think you got to the bug     _x000D_
1  Change the App Language to Hindi_x000D_
2  Search for  live tv  from the home screen_x000D_
_x000D_
    Expected behavior_x000D_
List of live streams currently airing_x000D_
_x000D_
    Actual behaviour_x000D_
Sudden UI crash_x000D_
_x000D_
    Screenshots Screen records_x000D_
  Screenshot 20200404 025421 (https:  user images githubusercontent com 8397144 78407423 6a250c80 7622 11ea 9863 45086ab955a7 png)_x000D_
_x000D_
    Logs_x000D_
   Exception_x000D_
    User Action:   ui error_x000D_
    Request:   App crash  UI failure_x000D_
    Content Language:   IN_x000D_
    Service:   none_x000D_
    Version:   0 19 2_x000D_
    OS:   Linux Android 9   28_x000D_
_x000D_
_x000D_
 details  summary  b Crash log  b   summary  p _x000D_
_x000D_
   _x000D_
java util FormatFlagsConversionMismatchException: Conversion   s  Flags    _x000D_
	at java util Formatter FormatSpecifier failMismatch(Formatter java:4398)_x000D_
	at java util Formatter FormatSpecifier checkBadFlags(Formatter java:3091)_x000D_
	at java util Formatter FormatSpecifier checkGeneral(Formatter java:3049)_x000D_
	at java util Formatter FormatSpecifier  init (Formatter java:2816)_x000D_
	at java util Formatter FormatSpecifierParser  init (Formatter java:2624)_x000D_
	at java util Formatter parse(Formatter java:2557)_x000D_
	at java util Formatter format(Formatter java:2504)_x000D_
	at java util Formatter format(Formatter java:2458)_x000D_
	at java lang String format(String java:2883)_x000D_
	at android content res Resources getQuantityString(Resources java:499)_x000D_
	at org schabi newpipe util Localization getQuantity(Localization java:190)_x000D_
	at org schabi newpipe util Localization shortWatchingCount(Localization java:173)_x000D_
	at org schabi newpipe info list holder StreamInfoItemHolder getStreamInfoDetailLine(StreamInfoItemHolder java:67)_x000D_
	at org schabi newpipe info list holder StreamInfoItemHolder updateFromItem(StreamInfoItemHolder java:58)_x000D_
	at org schabi newpipe info list InfoListAdapter onBindViewHolder(InfoListAdapter java:302)_x000D_
	at org schabi newpipe info list InfoListAdapter onBindViewHolder(InfoListAdapter java:321)_x000D_
	at androidx recyclerview widget RecyclerView Adapter bindViewHolder(RecyclerView java:6823)_x000D_
	at androidx recyclerview widget RecyclerView Recycler tryBindViewHolderByDeadline(RecyclerView java:5752)_x000D_
	at androidx recyclerview widget RecyclerView Recycler tryGetViewHolderForPositionByDeadline(RecyclerView java:6019)_x000D_
	at androidx recyclerview widget RecyclerView Recycler getViewForPosition(RecyclerView java:5858)_x000D_
	at androidx recyclerview widget RecyclerView Recycler getViewForPosition(RecyclerView java:5854)_x000D_
	at androidx recyclerview widget LinearLayoutManager LayoutState next(LinearLayoutManager java:2230)_x000D_
	at androidx recyclerview widget LinearLayoutManager layoutChunk(LinearLayoutManager java:1557)_x000D_
	at androidx recyclerview widget LinearLayoutManager fill(LinearLayoutManager java:1517)_x000D_
	at androidx recyclerview widget LinearLayoutManager onLayoutChildren(LinearLayoutManager java:612)_x000D_
	at androidx recyclerview widget RecyclerView dispatchLayoutStep2(RecyclerView java:3924)_x000D_
	at androidx recyclerview widget RecyclerView dispatchLayout(RecyclerView java:3641)_x000D_
	at androidx recyclerview widget RecyclerView onLayout(RecyclerView java:4194)_x000D_
	at android view View layout(View java:21354)_x000D_
	at android view ViewGroup layout(ViewGroup java:6302)_x000D_
	at android widget RelativeLayout onLayout(RelativeLayout java:1083)_x000D_
	at android view View layout(View java:21354)_x000D_
	at android view ViewGroup layout(ViewGroup java:6302)_x000D_
	at android widget FrameLayout layoutChildren(FrameLayout java:323)_x000D_
	at android widget FrameLayout onLayout(FrameLayout java:261)_x000D_
	at android view View layout(View java:21354)_x000D_
	at android view ViewGroup layout(ViewGroup java:6302)_x000D_
	at android widget FrameLayout layoutChildren(FrameLayout java:323)_x000D_
	at android widget FrameLayout onLayout(FrameLayout java:261)_x000D_
	at android view View layout(View java:21354)_x000D_
	at android view ViewGroup layout(ViewGroup java:6302)_x000D_
	at androidx drawerlayout widget DrawerLayout onLayout(DrawerLayout java:1231)_x000D_
	at android view View layout(View java:21354)_x000D_
	at android view ViewGroup layout(ViewGroup java:6302)_x000D_
	at android widget FrameLayout layoutChildren(FrameLayout java:323)_x000D_
	at android widget FrameLayout onLayout(FrameLayout java:261)_x000D_
	at android view View layout(View java:21354)_x000D_
	at android view ViewGroup layout(ViewGroup java:6302)_x000D_
	at android widget LinearLayout setChildFrame(LinearLayout java:1812)_x000D_
	at android widget LinearLayout layoutVertical(LinearLayout java:1656)_x000D_
	at android widget LinearLayout onLayout(LinearLayout java:1565)_x000D_
	at android view View layout(View java:21354)_x000D_
	at android view ViewGroup layout(ViewGroup java:6302)_x000D_
	at android widget FrameLayout layoutChildren(FrameLayout java:323)_x000D_
	at android widget FrameLayout onLayout(FrameLayout java:261)_x000D_
	at android view View layout(View java:21354)_x000D_
	at android view ViewGroup layout(ViewGroup java:6302)_x000D_
	at android widget LinearLayout setChildFrame(LinearLayout java:1812)_x000D_
	at android widget LinearLayout layoutVertical(LinearLayout java:1656)_x000D_
	at android widget LinearLayout onLayout(LinearLayout java:1565)_x000D_
	at android view View layout(View java:21354)_x000D_
	at android view ViewGroup layout(ViewGroup java:6302)_x000D_
	at android widget FrameLayout layoutChildren(FrameLayout java:323)_x000D_
	at android widget FrameLayout onLayout(FrameLayout java:261)_x000D_
	at com android internal policy DecorView onLayout(DecorView java:758)_x000D_
	at android view View layout(View java:21354)_x000D_
	at android view ViewGroup layout(ViewGroup java:6302)_x000D_
	at android view ViewRootImpl performLayout(ViewRootImpl java:2956)_x000D_
	at android view ViewRootImpl performTraversals(ViewRootImpl java:2467)_x000D_
	at android view ViewRootImpl doTraversal(ViewRootImpl java:1554)_x000D_
	at android view ViewRootImpl TraversalRunnable run(ViewRootImpl java:7507)_x000D_
	at android view Choreographer CallbackRecord run(Choreographer java:977)_x000D_
	at android view Choreographer doCallbacks(Choreographer java:785)_x000D_
	at android view Choreographer doFrame(Choreographer java:717)_x000D_
	at android view Choreographer FrameDisplayEventReceiver run(Choreographer java:963)_x000D_
	at android os Handler handleCallback(Handler java:873)_x000D_
	at android os Handler dispatchMessage(Handler java:99)_x000D_
	at android os Looper loop(Looper java:193)_x000D_
	at android app ActivityThread main(ActivityThread java:6819)_x000D_
	at java lang reflect Method invoke(Native Method)_x000D_
	at com android internal os RuntimeInit MethodAndArgsCaller run(RuntimeInit java:497)_x000D_
	at com android internal os ZygoteInit main(ZygoteInit java:912)_x000D_
_x000D_
   _x000D_
  p   details _x000D_
 hr _x000D_
_x000D_
</t>
  </si>
  <si>
    <t>TeamNewPipe-NewPipe-3348</t>
  </si>
  <si>
    <t>Background play crash</t>
  </si>
  <si>
    <t xml:space="preserve">I ve had this problem for like half a year and I ve expected someone else to have it too and report it  really no one  I m using android 4 4 4 and (before that update half a year ago) the background player worked just fine  I can use VLC for external player for background and that works  it s just really crusty and I really liked the default background player so I wondered if anyone knew something on this issue  Did it start taking up more ram at that point or something  My device (i9070) only has about 640 megs _x000D_
_x000D_
    Version_x000D_
0 19 2_x000D_
_x000D_
    Steps to reproduce the bug_x000D_
Push  Background  on any video_x000D_
_x000D_
    Expected behavior_x000D_
The background play to work as intended_x000D_
_x000D_
    Actual behaviour_x000D_
The onscreen message  Playing in background  appears  and never goes away until the app has crashed _x000D_
The background player notification appears  but with the video duration and elapsed time both showing 00:00  the audio plays for about 15 seconds during which the app slowly grinds to a halt (can t scroll anything or do anything at all)  After being fully frozen for a few seconds it crashes with just  Newpipe has stopped  no error report thing _x000D_
</t>
  </si>
  <si>
    <t>mapbox-mapbox-events-android-472</t>
  </si>
  <si>
    <t>Modify error reporting for API &gt;= 26</t>
  </si>
  <si>
    <t xml:space="preserve">We are experiencing crashes within  JobIntentService  on  and above API 26  Linking the Google issue  here (https:  issuetracker google com issues 63622293)  As a workaround  we will continue to use  JobIntentService  below API 26 (Android O) and use a network request to report errors on or above API 26  </t>
  </si>
  <si>
    <t>nextcloud-android-5801</t>
  </si>
  <si>
    <t>Crash on restoring old version in preview</t>
  </si>
  <si>
    <t xml:space="preserve">    Steps to reproduce_x000D_
1  Open app_x000D_
2  Go to Photos_x000D_
3  View several photos in full screen_x000D_
4  Open a photo detail menu_x000D_
5  Restore older version_x000D_
6  Error occurs (Nextcloud does seem to restore the older version _x000D_
_x000D_
    Expected behaviour_x000D_
  The app should not crash_x000D_
_x000D_
    Actual behaviour_x000D_
  the app crashes and most be restarted_x000D_
_x000D_
    Can you reproduce this problem on https:  try nextcloud com _x000D_
  Not applicable as this is an error in the Android app _x000D_
_x000D_
    Environment data_x000D_
Android version: 10_x000D_
_x000D_
Device model: pixel 3a_x000D_
_x000D_
Stock or customized system: stock_x000D_
_x000D_
Nextcloud app version: 3 11 0_x000D_
_x000D_
Nextcloud server version: Nextcloud 18 0 3 Build:2020 03 31T23:01:59 00:00 b2c616cc607c9f9894ec3a92f620588f4a9d0e37_x000D_
_x000D_
    Logs_x000D_
    Android App Log_x000D_
             CAUSE OF ERROR             _x000D_
_x000D_
java lang NullPointerException: Attempt to invoke virtual method  java lang String com owncloud android datamodel OCFile getRemotePath()  on a null object reference_x000D_
	at com owncloud android operations RefreshFolderOperation run(RefreshFolderOperation java:219)_x000D_
	at com owncloud android lib common operations RemoteOperation run(RemoteOperation java:357)_x000D_
	at java lang Thread run(Thread java:919)_x000D_
_x000D_
             APP INFORMATION             _x000D_
ID: com nextcloud client_x000D_
Version: 30110090_x000D_
Build flavor: gplay_x000D_
_x000D_
             DEVICE INFORMATION             _x000D_
Brand: google_x000D_
Device: sargo_x000D_
Model: Pixel 3a_x000D_
Id: QQ2A 200305 002_x000D_
Product: sargo_x000D_
_x000D_
             FIRMWARE             _x000D_
SDK: 29_x000D_
Release: 10_x000D_
Incremental: 6138846_x000D_
_x000D_
_x000D_
     Web server error log_x000D_
   _x000D_
Will update when I am at computer  currently on smartphone _x000D_
Insert your webserver log here_x000D_
   _x000D_
_x000D_
     Nextcloud log (data nextcloud log)_x000D_
   _x000D_
Will update when I am at computer  currently on smartphone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</si>
  <si>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nextcloud-android-5799</t>
  </si>
  <si>
    <t>Android app is crashing.</t>
  </si>
  <si>
    <t xml:space="preserve">    Steps to reproduce_x000D_
1  Install nextcloud on Android  _x000D_
2   Enable auto upload of photos _x000D_
3  Observe that nextcloud is crashing often trying to upload photos _x000D_
_x000D_
Bug report:_x000D_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java lang SecurityException: Caller no longer running  last stopped  15s721ms because: timed out while starting_x000D_
	at android os Parcel createException(Parcel java:1966)_x000D_
	at android os Parcel readException(Parcel java:1934)_x000D_
	at android os Parcel readException(Parcel java:1884)_x000D_
	at android app job IJobCallback Stub Proxy dequeueWork(IJobCallback java:195)_x000D_
	at android app job JobParameters dequeueWork(JobParameters java:243)_x000D_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Caused by: android os RemoteException: Remote stack trace:_x000D_
	at com android server job JobServiceContext assertCallerLocked(JobServiceContext java:481)_x000D_
	at com android server job JobServiceContext doDequeueWork(JobServiceContext java:359)_x000D_
	at com android server job JobServiceContext JobCallback dequeueWork(JobServiceContext java:160)_x000D_
	at android app job IJobCallback Stub onTransact(IJobCallback java:83)_x000D_
	at android os Binder execTransact(Binder java:739)_x000D_
_x000D_
_x000D_
             APP INFORMATION             _x000D_
ID: com nextcloud client_x000D_
Version: 30110090_x000D_
Build flavor: gplay_x000D_
_x000D_
             DEVICE INFORMATION             _x000D_
Brand: samsung_x000D_
Device: dreamlte_x000D_
Model: SM G950F_x000D_
Id: PPR1 180610 011_x000D_
Product: dreamltexx_x000D_
_x000D_
             FIRMWARE             _x000D_
SDK: 28_x000D_
Release: 9_x000D_
Incremental: G950FXXS8DTC1_x000D_
_x000D_
    Expected behaviour_x000D_
  Tell us what should happen_x000D_
_x000D_
    Actual behaviour_x000D_
  Tell us what happens_x000D_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</si>
  <si>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ECE493-Group5-adjustable-audio-114</t>
  </si>
  <si>
    <t>Song randomly disappears from playlist after some time outside of the app.</t>
  </si>
  <si>
    <t xml:space="preserve">Steps to reproduce:_x000D_
_x000D_
Queue a song into the playlist but don t play it _x000D_
Exit from the app to the home screen _x000D_
Wait about 30 seconds to a minute _x000D_
Open up the app again  Notice that song disappears from the playlist _x000D_
Now try adding a song again to the playlist _x000D_
Notice that application crashes _x000D_
_x000D_
The reason the application crashes is because mediaPlayer is set to null in the adapter  This implies that the MusicService calls  onDestroy()  for some reason  More investigation is required </t>
  </si>
  <si>
    <t>react-native-share-react-native-share-746</t>
  </si>
  <si>
    <t>Crash on Android with url: file://</t>
  </si>
  <si>
    <t xml:space="preserve">I m trying to share a file using the following options:_x000D_
_x000D_
   js_x000D_
const options    _x000D_
 title:  My title  _x000D_
 subject:  My Subject _x000D_
 message:  My Message _x000D_
 url:  file:   data user 0 com example files 38d252c8 bdef 49c3 809e 3360e006de5b _x000D_
 _x000D_
_x000D_
Share open(options)_x000D_
   then(res     _x000D_
    console log( Shared:    res) _x000D_
   )_x000D_
   catch(err     _x000D_
    err    console log( Share failed:    err) _x000D_
   ) _x000D_
   _x000D_
When the Share open is called the app crashes crashes and looking at logcat the following error is logged:_x000D_
_x000D_
    : Key android intent extra TEXT expected ArrayList CharSequence  but value was a java lang String   The default value  null  was returned _x000D_
    : Attempt to cast generated internal exception:_x000D_
    : java lang ClassCastException: java lang String cannot be cast to java util ArrayList_x000D_
    : 	at android os BaseBundle getCharSequenceArrayList(BaseBundle java:1307)_x000D_
    : 	at android os Bundle getCharSequenceArrayList(Bundle java:1095)_x000D_
    : 	at android content Intent getCharSequenceArrayListExtra(Intent java:8016)_x000D_
    : 	at android content Intent migrateExtraStreamToClipData(Intent java:10962)_x000D_
    : 	at android content Intent migrateExtraStreamToClipData(Intent java:10925)_x000D_
    : 	at android app Instrumentation execStartActivity(Instrumentation java:1702)_x000D_
    : 	at android app Activity startActivityForResult(Activity java:5192)_x000D_
    : 	at androidx fragment app FragmentActivity startActivityForResult(FragmentActivity java:675)_x000D_
    : 	at android app Activity startActivityForResult(Activity java:5150)_x000D_
    : 	at androidx fragment app FragmentActivity startActivityForResult(FragmentActivity java:662)_x000D_
    : 	at cl json social ShareIntent openIntentChooser(ShareIntent java:258)_x000D_
    : 	at cl json social GenericShare open(GenericShare java:20)_x000D_
    : 	at cl json RNShareModule open(RNShareModule java:134)_x000D_
    : 	at java lang reflect Method invoke(Native Method)_x000D_
    : 	at com facebook react bridge JavaMethodWrapper invoke(JavaMethodWrapper java:371)_x000D_
    : 	at com facebook react bridge JavaModuleWrapper invoke(JavaModuleWrapper java:150)_x000D_
    : 	at com facebook react bridge queue NativeRunnable run(Native Method)_x000D_
    : 	at android os Handler handleCallback(Handler java:883)_x000D_
    : 	at android os Handler dispatchMessage(Handler java:100)_x000D_
    : 	at com facebook react bridge queue MessageQueueThreadHandler dispatchMessage(MessageQueueThreadHandler java:26)_x000D_
    : 	at android os Looper loop(Looper java:214)_x000D_
    : 	at com facebook react bridge queue MessageQueueThreadImpl 4 run(MessageQueueThreadImpl java:225)_x000D_
    : 	at java lang Thread run(Thread java:919)_x000D_
_x000D_
    Expected behaviour_x000D_
Share with the file_x000D_
_x000D_
    Actual behaviour_x000D_
Application Crashed_x000D_
_x000D_
    Environment_x000D_
    React Native version  : 0 61 5_x000D_
_x000D_
    react native share_x000D_
  Version  : npm version 3 1 2_x000D_
_x000D_
</t>
  </si>
  <si>
    <t>CMPUT301W20T07-arrival-157</t>
  </si>
  <si>
    <t>Crashing on startup when accepting permissions</t>
  </si>
  <si>
    <t xml:space="preserve">App seems to crash the first time a user accepts permissions </t>
  </si>
  <si>
    <t>CMPUT301W20T07-arrival-156</t>
  </si>
  <si>
    <t>Crashing if there is more than one request on an account - Rider Side</t>
  </si>
  <si>
    <t xml:space="preserve">If a rider has more than one request the app is not setting the one with open status to current so the app is crashing since it does not know which request to select for the current request </t>
  </si>
  <si>
    <t>TeamNewPipe-NewPipe-3336</t>
  </si>
  <si>
    <t>"This live event has ended" - Crash</t>
  </si>
  <si>
    <t xml:space="preserve">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0 19 1_x000D_
_x000D_
    Steps to reproduce the bug_x000D_
Open https:  www youtube com watch v x2hDMrb4E8I and you re shown the error report _x000D_
_x000D_
    Expected behavior_x000D_
Since you can see the video duration and  streamed x time ago   you would think it would play like any other such video _x000D_
_x000D_
    Actual behaviour_x000D_
Newpipe crashes _x000D_
_x000D_
On opening this URL in the browser  Youtube can play it  but Invidious shows an error page which says  This live event has ended  
  From  3992
There seems to be some website parse error specific to some videos  _x000D_
I attach the error log here  Interestingly  most other videos work fine _x000D_
_x000D_
                                                _x000D_
   Exception_x000D_
    User Action:   requested stream_x000D_
    Request:   https:  www youtube com watch v qQ99wbHnrAI_x000D_
    Content Country:   US_x000D_
    Content Language:   en_x000D_
    App Language:   en GB_x000D_
    Service:   YouTube_x000D_
    Version:   0 19 8_x000D_
    OS:   Linux Android 8 1 0   27_x000D_
 details  summary  b Crash log   b   summary  p _x000D_
_x000D_
   _x000D_
org schabi newpipe extractor stream StreamInfo StreamExtractException: Could not get any stream  See error variable to get further details _x000D_
	at org schabi newpipe extractor stream StreamInfo extractStreams(StreamInfo java:194)_x000D_
	at org schabi newpipe extractor stream StreamInfo getInfo(StreamInfo java:72)_x000D_
	at org schabi newpipe extractor stream StreamInfo getInfo(StreamInfo java:64)_x000D_
	at org schabi newpipe util ExtractorHelper lambda getStreamInfo 3(ExtractorHelper java:116)_x000D_
	at org schabi newpipe util    Lambda ExtractorHelper 5fJcha6Sq5APJBLdG6osaJby mc call(Unknown Source:4)_x000D_
	at io reactivex internal operators single SingleFromCallable subscribeActual(SingleFromCallable java:44)_x000D_
	at io reactivex Single subscribe(Single java:3666)_x000D_
	at io reactivex internal operators single SingleDoOnSuccess subscribeActual(SingleDoOnSuccess java:35)_x000D_
	at io reactivex Single subscribe(Single java:3666)_x000D_
	at io reactivex internal operators maybe MaybeFromSingle subscribeActual(MaybeFromSingle java:41)_x000D_
	at io reactivex Maybe subscribe(Maybe java:4290)_x000D_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java:14935)_x000D_
	at io reactivex internal operators flowable FlowableElementAtMaybe subscribeActual(FlowableElementAtMaybe java:36)_x000D_
	at io reactivex Maybe subscribe(Maybe java:4290)_x000D_
	at io reactivex internal operators maybe MaybeToSingle subscribeActual(MaybeToSingle java:46)_x000D_
	at io reactivex Single subscribe(Single java:3666)_x000D_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_x000D_
   _x000D_
  details _x000D_
 hr </t>
  </si>
  <si>
    <t>mosaicnetworks-babble-android-59</t>
  </si>
  <si>
    <t>App crashes after back press</t>
  </si>
  <si>
    <t xml:space="preserve">When restarting the app after pressing the back button  the app crashes  Stacktrace:_x000D_
_x000D_
   _x000D_
Caused by: java lang RuntimeException: BabbleConstants already initialised_x000D_
        at io mosaicnetworks babble node BabbleConstants initialise(BabbleConstants java:120)_x000D_
        at io mosaicnetworks babble configure BaseConfigActivity onCreate(BaseConfigActivity java:137)_x000D_
        at io mosaicnetworks sample MainActivity onCreate(MainActivity java:55)_x000D_
        at android app Activity performCreate(Activity java:6855)_x000D_
        at android app Instrumentation callActivityOnCreate(Instrumentation java:1119)_x000D_
        at android app ActivityThread performLaunchActivity(ActivityThread java:2656)_x000D_
   _x000D_
_x000D_
The underlying issue is that the activities are re created when the app is re started however static variables persist _x000D_
</t>
  </si>
  <si>
    <t>Haptic-Apps-Slide-3148</t>
  </si>
  <si>
    <t>Hitting select image when going to image crashes app</t>
  </si>
  <si>
    <t xml:space="preserve">Slide version: 6 3_x000D_
Android version: 10 BLD  : QQ2A 200305 003_x000D_
When going through slide to post image  the app crashes when you click on select image button  You can post and image you if you go through Google photos app and share that way as a work around  _x000D_
</t>
  </si>
  <si>
    <t>SmartDeviceLink-Examples-example_weather_app_android-18</t>
  </si>
  <si>
    <t>WeatherService sending errorupdate broadcast for location and network even though both are available</t>
  </si>
  <si>
    <t xml:space="preserve">  Bug Report  _x000D_
When the sdlservice is sets up the correct ErrorUpdate broadcast receiver and is tested with an emulator the network and location services are not flagged as unavailable in the WeatherService and therefore sends a ErrorUpdate broadcast before the sdlManager is initialized  this causes the sdlService to trhow a null pointer exception_x000D_
_x000D_
  Reproduction Steps  _x000D_
Update the intent filter in OnCreate of SdlService from  com ford mobileweather ErrorUpdate  to  com sdl mobileweather ErrorUpdate _x000D_
Run the application against manticore using an emulator with google play services_x000D_
_x000D_
  Expected Behavior  _x000D_
Application should run  establish connection to manticore  and weather data should appear on manticore_x000D_
_x000D_
  Observed Behavior  _x000D_
applicaiton crashes due to a nullpointerexception on screenManager getState within the sdlManager</t>
  </si>
  <si>
    <t>hzi-braunschweig-SORMAS-Project-1724</t>
  </si>
  <si>
    <t>App crashes when postponing install of update from 1.36.1 to 1.37.0</t>
  </si>
  <si>
    <t xml:space="preserve">    _x000D_
If you ve never submitted an issue to the SORMAS repository before or this is your first time using this template  please read the Contributing guidelines (accessible in the right sidebar) for an explanation about the information we d like you to provide _x000D_
   _x000D_
    Bug Description_x000D_
App crashes when user wishes to download the latest version but install it later _x000D_
_x000D_
    Steps to Reproduce_x000D_
1  Pre requiste: User has to be using 1 36 1 version of Sormas android app_x000D_
2  Open the Sormas app  an alert indicating to download a new version is shown  Click on Download_x000D_
3  Another alert asking to install is displayed  Click on Cancel_x000D_
4  Try Reopening the app if the app is closed _x000D_
_x000D_
    Expected Behavior_x000D_
The app should not crash and should ask the user to install to proceed further or only install option must be provided to the user if it is mandatory to update the app _x000D_
_x000D_
    Screenshots_x000D_
  AppCrash (https:  user images githubusercontent com 62763628 78249781 31d0e180 74ef 11ea 9f80 9b285270e6f5 jpg)_x000D_
_x000D_
    System Details_x000D_
  Device: Samsung Galaxy S 10_x000D_
  SORMAS version: 1 36 1 updated to 1 37_x000D_
  Android version Browser: Android version 10_x000D_
_x000D_
    Additional Information_x000D_
Adb logs attached _x000D_
 appCrashWhileUpdating txt (https:  github com hzi braunschweig SORMAS Project files 4421052 appCrashWhileUpdating txt)_x000D_
</t>
  </si>
  <si>
    <t>TeamNewPipe-NewPipe-3333</t>
  </si>
  <si>
    <t>Crash when launching background player,v0.19.1</t>
  </si>
  <si>
    <t xml:space="preserve">After choosing to start background playback  clicking the notification bar crashes when bringing up the background player Android 4 4 v0 19 1 Thank you _x000D_
</t>
  </si>
  <si>
    <t>ZieIony-RandomData-12</t>
  </si>
  <si>
    <t>Possible NPE in DateGenerator</t>
  </si>
  <si>
    <t xml:space="preserve">Hello  the DateGenerator class would benefit from additional null check:_x000D_
_x000D_
   _x000D_
     Override_x000D_
    protected Matcher getDefaultMatcher()  _x000D_
        return f    f getName() equals( date ) _x000D_
     _x000D_
   _x000D_
_x000D_
to_x000D_
_x000D_
   _x000D_
     Override_x000D_
    protected Matcher getDefaultMatcher()  _x000D_
        return f    f getName()    null    f getName() contains( date ) _x000D_
     _x000D_
   _x000D_
_x000D_
Currently it would crash when no  RandomValue  annotation is provided to some of the fields or default values are supplied in a data class constructor </t>
  </si>
  <si>
    <t>Blankj-AndroidUtilCode-1213</t>
  </si>
  <si>
    <t>[BUG] 1.27.x 汇总</t>
  </si>
  <si>
    <t xml:space="preserve">      _x000D_
    1 27 x              bug                        : )_x000D_
       1 27 6_x000D_
  1 27 0       : https:  github com Blankj AndroidUtilCode releases tag 1 27 0_x000D_
  1 27 1:_x000D_
       ActivityUtils finish        BUG_x000D_
       PathUtils     SD        BUG_x000D_
  1 27 2:_x000D_
       UtilsActivityLifecycleImpl   HashMap remove IllegalStateException Bug_x000D_
       ShadowUtils        _x000D_
  1 27 3:_x000D_
       GsonUtils getGson()   public_x000D_
       LogUtils         _x000D_
       CrashUtils     DefaultUncaughtExceptionHandler        _x000D_
       Utils getApp           _x000D_
  1 27 4_x000D_
        CleanUtils cleanInternalCache()    (https:  github com Blankj AndroidUtilCode issues 1216)_x000D_
       FileUtils isFileExists    File     _x000D_
  1 27 5_x000D_
       ActivityUtils finish      BUG_x000D_
  1 27 6_x000D_
       FileUtils isFileExists_x000D_
       FragmentUtils getTop_x000D_
_x000D_
_x000D_
  BUG     _x000D_
_x000D_
               BUG  _x000D_
_x000D_
 pre _x000D_
      Bug_x000D_
_x000D_
       Bug _x000D_
  AndroidUtilCode        utilcode:1 27 0   utilcodex:1 27 0_x000D_
     Bug           Nexus 5X_x000D_
      Android       API 27_x000D_
_x000D_
       _x000D_
_x000D_
   _x000D_
put your code here_x000D_
   _x000D_
_x000D_
       _x000D_
_x000D_
   _x000D_
put the stack of crash here_x000D_
   _x000D_
_x000D_
     _x000D_
_x000D_
                    _x000D_
  pre </t>
  </si>
  <si>
    <t>nextcloud-android-5789</t>
  </si>
  <si>
    <t>Crash on conflict resolution</t>
  </si>
  <si>
    <t xml:space="preserve">    Steps to reproduce_x000D_
1  Create file X on server_x000D_
2  Create different file X locally_x000D_
3  Trigger a sync_x000D_
4  Wait until the conflict is detected_x000D_
5  Tap the dots menu next to the conflicting file_x000D_
6   Downloading server version  message appears_x000D_
7  Crash_x000D_
_x000D_
    Expected behaviour_x000D_
_x000D_
  I imagine there s some activity that shows the files and allows you to pick between them_x000D_
_x000D_
    Actual behaviour_x000D_
_x000D_
  App crash_x000D_
_x000D_
    Can you reproduce this problem on https:  try nextcloud com _x000D_
_x000D_
I m sorry but I don t have time right now _x000D_
_x000D_
    App log_x000D_
_x000D_
   _x000D_
             CAUSE OF ERROR             _x000D_
_x000D_
java lang RuntimeException: Can t toast on a thread that has not called Looper prepare()_x000D_
	at android widget Toast TN  init (Toast java:432)_x000D_
	at android widget Toast  init (Toast java:126)_x000D_
	at android widget Toast makeText(Toast java:297)_x000D_
	at android widget Toast makeText(Toast java:287)_x000D_
	at android widget Toast makeText(Toast java:324)_x000D_
	at com owncloud android ui activity ConflictsResolveActivity showErrorAndFinish(ConflictsResolveActivity java:229)_x000D_
	at com owncloud android ui activity ConflictsResolveActivity lambda onStart 0 ConflictsResolveActivity(ConflictsResolveActivity java:192)_x000D_
	at com owncloud android ui activity    Lambda ConflictsResolveActivity EM0Z1Vrhvmim7X4XXFnNqL4vK1A run(Unknown Source:4)_x000D_
	at java lang Thread run(Thread java:919)_x000D_
_x000D_
             APP INFORMATION             _x000D_
ID: com nextcloud client_x000D_
Version: 30110090_x000D_
Build flavor: gplay_x000D_
_x000D_
             DEVICE INFORMATION             _x000D_
Brand: motorola_x000D_
Device: troika sprout_x000D_
Model: motorola one action_x000D_
Id: QSBS30 62 17 4_x000D_
Product: troika reteu_x000D_
_x000D_
             FIRMWARE             _x000D_
SDK: 29_x000D_
Release: 10_x000D_
Incremental: 6d5df_x000D_
   _x000D_
_x000D_
Nextcloud server version is 18 0 3</t>
  </si>
  <si>
    <t>ubergeek42-weechat-android-439</t>
  </si>
  <si>
    <t>Activities appear black or “hang” when switching the theme in preferences on Android 5 &amp; 6</t>
  </si>
  <si>
    <t xml:space="preserve">the  hung  activities are not actually hung but they don t receive keypresses or react to the back button  can be mitigated by minimizing and restoring the activity twice _x000D_
_x000D_
the issue is  in the library (https:  issuetracker google com issues 131851825)   1 2 0 alpha03  seems to be fixing it for android 6  at least  using this alpha results in a crash here that happens after switching to the light theme:_x000D_
_x000D_
https:  github com ubergeek42 weechat android blob 31514b540303aad6518e5a5ebdc55095ecc80d65 app src main java com ubergeek42 WeechatAndroid utils ToolbarController java L115_x000D_
_x000D_
as this is a rather minor issue and only affects a few old android versions i suggest waiting for a  1 2 0 </t>
  </si>
  <si>
    <t>TeamNewPipe-NewPipe-3323</t>
  </si>
  <si>
    <t>Background music open newpipe background player bug</t>
  </si>
  <si>
    <t xml:space="preserve">   Exception_x000D_
    User Action:   ui error_x000D_
    Request:   App crash  UI failure_x000D_
    Content Language:   it IT_x000D_
    Service:   none_x000D_
    Version:   0 19 1_x000D_
    OS:   Linux Android 4 4 4   19_x000D_
_x000D_
_x000D_
 details  summary  b Crash log  b   summary  p _x000D_
_x000D_
   _x000D_
android content res Resources NotFoundException: File res drawable ic volume up white 24dp xml from drawable resource ID  0x7f08015c  If the resource you are trying to use is a vector resource  you may be referencing it in an unsupported way  See AppCompatDelegate setCompatVectorFromResourcesEnabled() for more info _x000D_
	at android content res Resources loadDrawable(Resources java:1993)_x000D_
	at android content res Resources getDrawable(Resources java:673)_x000D_
	at org schabi newpipe player ServicePlayerActivity getThemedDrawable(ServicePlayerActivity java:706)_x000D_
	at org schabi newpipe player ServicePlayerActivity onMaybeMuteChanged(ServicePlayerActivity java:701)_x000D_
	at org schabi newpipe player ServicePlayerActivity onCreateOptionsMenu(ServicePlayerActivity java:156)_x000D_
	at android app Activity onCreatePanelMenu(Activity java:2508)_x000D_
	at androidx fragment app FragmentActivity onCreatePanelMenu(FragmentActivity java:325)_x000D_
	at androidx appcompat view WindowCallbackWrapper onCreatePanelMenu(WindowCallbackWrapper java:94)_x000D_
	at androidx appcompat app AppCompatDelegateImpl AppCompatWindowCallback onCreatePanelMenu(AppCompatDelegateImpl java:2830)_x000D_
	at androidx appcompat view WindowCallbackWrapper onCreatePanelMenu(WindowCallbackWrapper java:94)_x000D_
	at androidx appcompat app ToolbarActionBar populateOptionsMenu(ToolbarActionBar java:455)_x000D_
	at androidx appcompat app ToolbarActionBar 1 run(ToolbarActionBar java:56)_x000D_
	at android os Handler handleCallback(Handler java:725)_x000D_
	at android os Handler dispatchMessage(Handler java:92)_x000D_
	at android os Looper loop(Looper java:153)_x000D_
	at android app ActivityThread main(ActivityThread java:5297)_x000D_
	at java lang reflect Method invokeNative(Native Method)_x000D_
	at java lang reflect Method invoke(Method java:511)_x000D_
	at com android internal os ZygoteInit MethodAndArgsCaller run(ZygoteInit java:833)_x000D_
	at com android internal os ZygoteInit main(ZygoteInit java:600)_x000D_
	at dalvik system NativeStart main(Native Method)_x000D_
Caused by: org xmlpull v1 XmlPullParserException: Binary XML file line  1: invalid drawable tag vector_x000D_
	at android graphics drawable Drawable createFromXmlInner(Drawable java:881)_x000D_
	at android graphics drawable Drawable createFromXml(Drawable java:822)_x000D_
	at android content res Resources loadDrawable(Resources java:1990)_x000D_
	    20 more_x000D_
org xmlpull v1 XmlPullParserException: Binary XML file line  1: invalid drawable tag vector_x000D_
	at android graphics drawable Drawable createFromXmlInner(Drawable java:881)_x000D_
	at android graphics drawable Drawable createFromXml(Drawable java:822)_x000D_
	at android content res Resources loadDrawable(Resources java:1990)_x000D_
	at android content res Resources getDrawable(Resources java:673)_x000D_
	at org schabi newpipe player ServicePlayerActivity getThemedDrawable(ServicePlayerActivity java:706)_x000D_
	at org schabi newpipe player ServicePlayerActivity onMaybeMuteChanged(ServicePlayerActivity java:701)_x000D_
	at org schabi newpipe player ServicePlayerActivity onCreateOptionsMenu(ServicePlayerActivity java:156)_x000D_
	at android app Activity onCreatePanelMenu(Activity java:2508)_x000D_
	at androidx fragment app FragmentActivity onCreatePanelMenu(FragmentActivity java:325)_x000D_
	at androidx appcompat view WindowCallbackWrapper onCreatePanelMenu(WindowCallbackWrapper java:94)_x000D_
	at androidx appcompat app AppCompatDelegateImpl AppCompatWindowCallback onCreatePanelMenu(AppCompatDelegateImpl java:2830)_x000D_
	at androidx appcompat view WindowCallbackWrapper onCreatePanelMenu(WindowCallbackWrapper java:94)_x000D_
	at androidx appcompat app ToolbarActionBar populateOptionsMenu(ToolbarActionBar java:455)_x000D_
	at androidx appcompat app ToolbarActionBar 1 run(ToolbarActionBar java:56)_x000D_
	at android os Handler handleCallback(Handler java:725)_x000D_
	at android os Handler dispatchMessage(Handler java:92)_x000D_
	at android os Looper loop(Looper java:153)_x000D_
	at android app ActivityThread main(ActivityThread java:5297)_x000D_
	at java lang reflect Method invokeNative(Native Method)_x000D_
	at java lang reflect Method invoke(Method java:511)_x000D_
	at com android internal os ZygoteInit MethodAndArgsCaller run(ZygoteInit java:833)_x000D_
	at com android internal os ZygoteInit main(ZygoteInit java:600)_x000D_
	at dalvik system NativeStart main(Native Method)_x000D_
_x000D_
   _x000D_
  p   details _x000D_
 hr _x000D_
I found this bug  when I put the music or a video in the background and I press on the notification to open the player the app crash </t>
  </si>
  <si>
    <t>TeamNewPipe-NewPipe-3322</t>
  </si>
  <si>
    <t>Fix mute button causing crashes on API 19</t>
  </si>
  <si>
    <t xml:space="preserve">     What is it _x000D_
   x  Bug fix :fire:_x000D_
      Feature_x000D_
_x000D_
     Long description of the changes in your PR_x000D_
Fixes crashes when instantiating the background and popup queues  due to a problem in obtaining and setting the drawable to the menu icon on API 19 _x000D_
Note: using rootView getContext() because getApplicationContext() didn t work (it was probably missing information about theme)_x000D_
_x000D_
     Fixes the following issue(s)_x000D_
  Fixes  3320_x000D_
_x000D_
     Testing apk_x000D_
I tested this fix on Android 4 4 (API 19  emulator) and Android 7 1 (phone)   AnotherLife could you test this apk _x000D_
 app debug zip (https:  github com TeamNewPipe NewPipe files 4414294 app debug zip)_x000D_
_x000D_
     Agreement_x000D_
   x  I carefully read the  contribution guidelines (https:  github com TeamNewPipe NewPipe blob HEAD  github CONTRIBUTING md) and agree to them _x000D_
</t>
  </si>
  <si>
    <t>google-ExoPlayer-7168</t>
  </si>
  <si>
    <t>Getting NullPointerException when calling DrmSessionManager.release()</t>
  </si>
  <si>
    <t xml:space="preserve">     REQUIRED  Issue description_x000D_
Judging by stacktraces we see in Crashlytics  the crash occurs while ExoPlayer releases itself  most likely when finishig an Activity  We weren t able to reproduce it  as it occurrs on devices we don t have _x000D_
_x000D_
     REQUIRED  Reproduction steps_x000D_
We don t have any details about it yet  as Crashlytics log is all we have right now  _x000D_
It most likely occurrs after calling  SimpleExoPlayer release()  on one of devices mentioned at the bottom of the page _x000D_
_x000D_
     REQUIRED  A full bug report captured from the device_x000D_
   _x000D_
Fatal Exception: java lang NullPointerException_x000D_
Attempt to invoke interface method  void com google android exoplayer2 drm DrmSessionManager release()  on a null object reference_x000D_
com google android exoplayer2 source dash DashMediaSource releaseSourceInternal (DashMediaSource java:730)_x000D_
com google android exoplayer2 source BaseMediaSource releaseSource (BaseMediaSource java:186)_x000D_
com google android exoplayer2 ExoPlayerImplInternal resetInternal (ExoPlayerImplInternal java:957)_x000D_
com google android exoplayer2 ExoPlayerImplInternal stopInternal (ExoPlayerImplInternal java:850)_x000D_
com google android exoplayer2 ExoPlayerImplInternal handleMessage (ExoPlayerImplInternal java:402)_x000D_
android os Handler dispatchMessage (Handler java:98)_x000D_
android os Looper loop (Looper java:148)_x000D_
android os HandlerThread run (HandlerThread java:61)_x000D_
   _x000D_
     REQUIRED  Version of ExoPlayer being used_x000D_
 2 11 1 _x000D_
_x000D_
     REQUIRED  Device(s) and version(s) of Android being used_x000D_
Devices: OnePlus One  OnePlus5  Intel T2101L2B1C  Blackview BV7000  rockchip X99 02 3 01 d32  Xiaomi MIX  Nubia NX531J  JSR Innos D6000_x000D_
Android Versions: 5 1  5 1 1  6 0 1  7 0  7 1 2  10</t>
  </si>
  <si>
    <t>CMPUT301W20T07-arrival-147</t>
  </si>
  <si>
    <t xml:space="preserve">Crash When Sending Notifications </t>
  </si>
  <si>
    <t xml:space="preserve">Version:  Development  (https:  github com CMPUT301W20T07 arrival tree 42116abdf5d2d09022f21470d5cecef73669b0ef)_x000D_
Device: Huawei _x000D_
_x000D_
When accepting a ride request as a driver  the app crashes with the following error: _x000D_
_x000D_
  Process: com example android arrival  PID: 21322_x000D_
    android app RemoteServiceException: Bad notification posted from package com example android arrival: Couldn t create icon: Icon(typ RESOURCE pkg com example android arrival id 0x7f090046)_x000D_
        at android app ActivityThread H handleMessage(ActivityThread java:1751)_x000D_
        at android os Handler dispatchMessage(Handler java:105)_x000D_
        at android os Looper loop(Looper java:156)_x000D_
        at android app ActivityThread main(ActivityThread java:6617)_x000D_
        at java lang reflect Method invoke(Native Method)_x000D_
        at com android internal os ZygoteInit MethodAndArgsCaller run(ZygoteInit java:942)_x000D_
        at com android internal os ZygoteInit main(ZygoteInit java:832) _x000D_
_x000D_
This is caused by line  getRiderToken()  in  AcceptRequestConfFrag   </t>
  </si>
  <si>
    <t>TeamNewPipe-NewPipe-3320</t>
  </si>
  <si>
    <t>Crash when trying to switch to my currently playing playlist</t>
  </si>
  <si>
    <t xml:space="preserve">This is a super frequent crash that happens when I am playing a video on popup (that I have started from the What s New tab) and I tap on the Notification in order to get to the playlist I am currently watching  I don t mean a normal playlist  I mean the videos I have been enqeuing and watching _x000D_
_x000D_
   _x000D_
 _x000D_
    user action :  ui error  _x000D_
    exceptions :  _x000D_
       android content res Resources NotFoundException: File res  drawable  ic volume up white 24dp xml from drawable resource ID  0x7f08015c  If the resource you are trying to use is a vector resource  you may be referencing it in an unsupported way  See AppCompatDelegate setCompatVectorFromResourcesEnabled() for more info  n tat android content res Resources loadDrawable(Resources java:2103) n tat android content res Resources getDrawable(Resources java:700) n tat org schabi newpipe player ServicePlayerActivity getThemedDrawable(ServicePlayerActivity java:706) n tat org schabi newpipe player ServicePlayerActivity onMaybeMuteChanged(ServicePlayerActivity java:701) n tat org schabi newpipe player ServicePlayerActivity onCreateOptionsMenu(ServicePlayerActivity java:156) n tat android app Activity onCreatePanelMenu(Activity java:2538) n tat androidx fragment app FragmentActivity onCreatePanelMenu(FragmentActivity java:325) n tat androidx appcompat view WindowCallbackWrapper onCreatePanelMenu(WindowCallbackWrapper java:94) n tat androidx appcompat app AppCompatDelegateImpl AppCompatWindowCallback onCreatePanelMenu(AppCompatDelegateImpl java:2830) n tat androidx appcompat view WindowCallbackWrapper onCreatePanelMenu(WindowCallbackWrapper java:94) n tat androidx appcompat app ToolbarActionBar populateOptionsMenu(ToolbarActionBar java:455) n tat androidx appcompat app ToolbarActionBar 1 run(ToolbarActionBar java:56) n tat android os Handler handleCallback(Handler java:733) n tat android os Handler dispatchMessage(Handler java:95) n tat android os Looper loop(Looper java:136) n tat android app ActivityThread main(ActivityThread java:5133) n tat java lang reflect Method invokeNative(Native Method) n tat java lang reflect Method invoke(Method java:515) n tat com android internal os ZygoteInit MethodAndArgsCaller run(ZygoteInit java:786) n tat com android internal os ZygoteInit main(ZygoteInit java:602) n tat dalvik system NativeStart main(Native Method) nCaused by: org xmlpull v1 XmlPullParserException: Binary XML file line  1: invalid drawable tag vector n tat android graphics drawable Drawable createFromXmlInner(Drawable java:933) n tat android graphics drawable Drawable createFromXml(Drawable java:877) n tat android content res Resources loadDrawable(Resources java:2099) n t    20 more norg xmlpull v1 XmlPullParserException: Binary XML file line  1: invalid drawable tag vector n tat android graphics drawable Drawable createFromXmlInner(Drawable java:933) n tat android graphics drawable Drawable createFromXml(Drawable java:877) n tat android content res Resources loadDrawable(Resources java:2099) n tat android content res Resources getDrawable(Resources java:700) n tat org schabi newpipe player ServicePlayerActivity getThemedDrawable(ServicePlayerActivity java:706) n tat org schabi newpipe player ServicePlayerActivity onMaybeMuteChanged(ServicePlayerActivity java:701) n tat org schabi newpipe player ServicePlayerActivity onCreateOptionsMenu(ServicePlayerActivity java:156) n tat android app Activity onCreatePanelMenu(Activity java:2538) n tat androidx fragment app FragmentActivity onCreatePanelMenu(FragmentActivity java:325) n tat androidx appcompat view WindowCallbackWrapper onCreatePanelMenu(WindowCallbackWrapper java:94) n tat androidx appcompat app AppCompatDelegateImpl AppCompatWindowCallback onCreatePanelMenu(AppCompatDelegateImpl java:2830) n tat androidx appcompat view WindowCallbackWrapper onCreatePanelMenu(WindowCallbackWrapper java:94) n tat androidx appcompat app ToolbarActionBar populateOptionsMenu(ToolbarActionBar java:455) n tat androidx appcompat app ToolbarActionBar 1 run(ToolbarActionBar java:56) n tat android os Handler handleCallback(Handler java:733) n tat android os Handler dispatchMessage(Handler java:95) n tat android os Looper loop(Looper java:136) n tat android app ActivityThread main(ActivityThread java:5133) n tat java lang reflect Method invokeNative(Native Method) n tat java lang reflect Method invoke(Method java:515) n tat com android internal os ZygoteInit MethodAndArgsCaller run(ZygoteInit java:786) n tat com android internal os ZygoteInit main(ZygoteInit java:602) n tat dalvik system NativeStart main(Native Method) n _x000D_
     _x000D_
    os :  Linux Android 4 4 4   19  _x000D_
    time :  2020 03 31 22:33  _x000D_
    request :  App crash  UI failure  _x000D_
    package :  org schabi newpipe  _x000D_
    service :  none  _x000D_
    content language :  GB  _x000D_
    user comment :    _x000D_
    version :  0 19 1 _x000D_
 _x000D_
   _x000D_
_x000D_
What causes this error  And why are there backslashes and forward slashes there in that filename </t>
  </si>
  <si>
    <t>PojavLauncherTeam-PojavLauncher-33</t>
  </si>
  <si>
    <t>The versions 1.8,1.9,1.10,1.11 is not working</t>
  </si>
  <si>
    <t>On 1 8 when you jump or fly game freeze and crash on 1 9 1 10 1 11 when you load a world and when you move game crash and I am using android 8 oreo</t>
  </si>
  <si>
    <t>PojavLauncherTeam-PojavLauncher-32</t>
  </si>
  <si>
    <t>Preview 9 makes all versions unplayable</t>
  </si>
  <si>
    <t>In the new Preview 9 basically you cannot play any version from 1 7 10 onwards it cannot be played  when starting any version it launches a crash report</t>
  </si>
  <si>
    <t>ankidroid-Anki-Android-5883</t>
  </si>
  <si>
    <t xml:space="preserve">WebView Renderer OOM - kills application if triggered on startup </t>
  </si>
  <si>
    <t xml:space="preserve">If Anki Logcat doesn t display a line  then a WebView Renderer crash has the possibility to take down the process even if we hook  onRenderProcessGone   This doesn t appear to be any of our WebViews  and might be due to bloatware in my OS  or an unexpected WebView in a dependency _x000D_
_x000D_
Phone does not crash if the following appears:_x000D_
_x000D_
 2020 03 31 11:45:10 978 24674 24674 com ichi2 anki E chromium:  ERROR:aw browser terminator cc(125)  Renderer process (24741) crash detected (code  1)  _x000D_
_x000D_
Phone OS: Honor 9 Lite_x000D_
_x000D_
Description below is a bit rough as it s copy pasted _x000D_
_x000D_
    _x000D_
_x000D_
Had a long debug session for this yesterday  It takes a long time to occur  but once it does  it happens with regularity _x000D_
_x000D_
I could only get it to crash on the first instance  After that  it seemed stable  _x000D_
_x000D_
   HEAD is now at 9c12b9aac Gracefully handle WebView Crashes   _x000D_
_x000D_
Steps (repeat 2 6 until crash): _x000D_
_x000D_
1  Modify  displayCardAnswer()  to crash chrome_x000D_
2  Open Android  Current App  screen and swipe Anki away to kill it_x000D_
3  Open Anki_x000D_
4  Open a deck with cards_x000D_
5  Display Answer_x000D_
6  Anki Crashes_x000D_
_x000D_
   _x000D_
2020 03 31 09:28:27 989 6955 6955 com ichi2 anki A chromium:  FATAL:crashpad client linux cc(552)  Render process (7023) s crash wasn t handled by all associated  webviews  triggering application crash _x000D_
2020 03 31 09:28:27 989 6955 6955 com ichi2 anki A libc: Fatal signal 5 (SIGTRAP)  code  6 (SI TKILL) in tid 6955 (com ichi2 anki)  pid 6955 (com ichi2 anki)_x000D_
   _x000D_
_x000D_
    _x000D_
_x000D_
No clue about the cause _x000D_
_x000D_
Fix:_x000D_
_x000D_
1  Open Anki_x000D_
2  While on the deck screen  switch to Chrome_x000D_
3  Press  Back  in Chrome_x000D_
4  See Log Line:  2020 03 31 11:45:10 978 24674 24674 com ichi2 anki E chromium:  ERROR:aw browser terminator cc(125)  Renderer process (24741) crash detected (code  1)  _x000D_
5  Back to Anki_x000D_
6  Review as normal  crashes occur and are fixed by onRenderProcessGone_x000D_
_x000D_
_x000D_
 Originally posted by  david allison 1 in https:  github com ankidroid Anki Android issues 5780 issuecomment 606481534 </t>
  </si>
  <si>
    <t>nextcloud-android-5785</t>
  </si>
  <si>
    <t>App Crashes on start and bringes app to foreground</t>
  </si>
  <si>
    <t xml:space="preserve">    Steps to reproduce_x000D_
1  Open the App_x000D_
2  _x000D_
3  _x000D_
_x000D_
Similar Problems here:_x000D_
https:  github com nextcloud android issues 4702_x000D_
https:  github com nextcloud android issues 4919_x000D_
_x000D_
    Expected behaviour_x000D_
  Open the App without crash_x000D_
_x000D_
    Actual behaviour_x000D_
  App Crashes directly after start_x000D_
_x000D_
_x000D_
Nextcloud server version: 18 0 3_x000D_
_x000D_
_x000D_
_x000D_
     CAUSE OF ERROR     _x000D_
_x000D_
 android database AbstractWindowedCursor getString(AbstractWindowedCursor java:51)_x000D_
	at android database CursorWrapper getString(CursorWrapper java:137)_x000D_
	at com owncloud android datamodel UploadsStorageManager createOCUploadFromCursor(UploadsStorageManager java:321)_x000D_
	at com owncloud android datamodel UploadsStorageManager getUploads(UploadsStorageManager java:302)_x000D_
	at com owncloud android datamodel UploadsStorageManager getFailedUploads(UploadsStorageManager java:368)_x000D_
	at com owncloud android files services FileUploader retryFailedUploads(FileUploader java:1005)_x000D_
	at com owncloud android utils FilesSyncHelper lambda restartJobsIfNeeded 0(FilesSyncHelper java:222)_x000D_
	at com owncloud android utils    Lambda FilesSyncHelper fa2LBpPOxRVQOm4F Glue5u4hdM run(Unknown Source:10)_x000D_
	at java lang Thread run(Thread java:764)_x000D_
_x000D_
     APP INFORMATION     _x000D_
ID: com nextcloud client_x000D_
Version: 30110090_x000D_
Build flavor: gplay_x000D_
_x000D_
     DEVICE INFORMATION     _x000D_
Brand: OnePlus_x000D_
Device: OnePlus5_x000D_
Model: ONEPLUS A5000_x000D_
Id: PKQ1 180716 001_x000D_
Product: OnePlus5_x000D_
_x000D_
     FIRMWARE     _x000D_
SDK: 28_x000D_
Release: 9_x000D_
Incremental: 2002242003</t>
  </si>
  <si>
    <t>TeamNewPipe-NewPipe-3317</t>
  </si>
  <si>
    <t>Albums from Youtube Music are crashing after that the app is killed</t>
  </si>
  <si>
    <t xml:space="preserve">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0 19 0  and also 0 19 1_x000D_
_x000D_
    Steps to reproduce the bug_x000D_
     If you can t reproduce it  please try to give as many details as possible on how you think you got to the bug     _x000D_
Steps to reproduce the behavior:_x000D_
1  Pick an album from music youtube com  save it  For example (because i ll add the crash report)   Future nostalgia (https:  music youtube com playlist list OLAK5uy nQ PpYn5QCPzEy6bLDHa001g6oruRlBmg)  or you can go on music youtube com and search by album _x000D_
2  Force close the app  or wait until Android will automatically do this_x000D_
3  Now open it again  from the bookmarked playlist  not from the link  It will produce the crash (if the app was indeed killed) _x000D_
_x000D_
    Expected behavior_x000D_
It s expected not to crash_x000D_
_x000D_
    Actual behaviour_x000D_
It crashes_x000D_
_x000D_
    More context_x000D_
I ve noticed that NewPipe converts the playlist  from music youtube com link: https:  music youtube com playlist list OLAK5uy nQ PpYn5QCPzEy6bLDHa001g6oruRlBmg   to a youtube com link: https:  www youtube com playlist list OLAK5uy nQ PpYn5QCPzEy6bLDHa001g6oruRlBmg_x000D_
maybe it is related _x000D_
Reopening the playlist from the link debug and doesn t produce the crash anymore  but as soon as you force stop the app  it does again that _x000D_
_x000D_
It doesn t happen with playlist mixes like TOP 50  Trending 20  which start with RDCLAK_x000D_
Neither with user created playlists  it seems to be only albums _x000D_
_x000D_
    Logs_x000D_
_x000D_
   Exception_x000D_
    User Action:   requested playlist_x000D_
    Request:   https:  www youtube com playlist list OLAK5uy nQ PpYn5QCPzEy6bLDHa001g6oruRlBmg_x000D_
    Content Language:   FR_x000D_
    Service:   YouTube_x000D_
    Version:   0 19 0_x000D_
    OS:   Linux Android 9   28_x000D_
_x000D_
_x000D_
 details  summary  b Crash log  b   summary  p _x000D_
_x000D_
   _x000D_
java lang NullPointerException: Attempt to invoke virtual method  com grack nanojson JsonObject com grack nanojson JsonObject getObject(java lang String)  on a null object reference_x000D_
	at org schabi newpipe extractor services youtube linkHandler YoutubeParsingHelper defaultAlertsCheck(YoutubeParsingHelper java:404)_x000D_
	at org schabi newpipe extractor services youtube extractors YoutubePlaylistExtractor onFetchPage(YoutubePlaylistExtractor java:43)_x000D_
	at org schabi newpipe extractor Extractor fetchPage(Extractor java:56)_x000D_
	at org schabi newpipe extractor playlist PlaylistInfo getInfo(PlaylistInfo java:29)_x000D_
	at org schabi newpipe util ExtractorHelper lambda getPlaylistInfo 9(ExtractorHelper java:176)_x000D_
	at org schabi newpipe util    Lambda ExtractorHelper  QwiJvTe SoIGFHJ5lSdqLNGnh8 call(Unknown Source:4)_x000D_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maybe MaybeFromSingle subscribeActual(MaybeFromSingle java:41)_x000D_
	at io reactivex Maybe subscribe(Maybe java:4154)_x000D_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java:14479)_x000D_
	at io reactivex internal operators flowable FlowableElementAtMaybe subscribeActual(FlowableElementAtMaybe java:36)_x000D_
	at io reactivex Maybe subscribe(Maybe java:4154)_x000D_
	at io reactivex internal operators maybe MaybeToSingle subscribeActual(MaybeToSingle java:46)_x000D_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p   details _x000D_
 hr </t>
  </si>
  <si>
    <t>CMPUT301W20T22-EasyRide-58</t>
  </si>
  <si>
    <t>Rider home screen</t>
  </si>
  <si>
    <t xml:space="preserve">Add three different requests_x000D_
_x000D_
Click on the third request  The app will crash  _x000D_
_x000D_
</t>
  </si>
  <si>
    <t>CMPUT301W20T22-EasyRide-56</t>
  </si>
  <si>
    <t>Delete request</t>
  </si>
  <si>
    <t>Once the request is deleted  the request still shows up _x000D_
_x000D_
If the request is pressed  the app crashes</t>
  </si>
  <si>
    <t>amahi-android-529</t>
  </si>
  <si>
    <t>App Crash in settings</t>
  </si>
  <si>
    <t xml:space="preserve">The app crashes when changing between light and dark theme_x000D_
_x000D_
  Screenshot 2020 03 30 20 54 05 484 com miui home (https:  user images githubusercontent com 41450463 77959652 3c189300 72d7 11ea 99cf ae5df640362c jpg)_x000D_
</t>
  </si>
  <si>
    <t>commons-app-apps-android-commons-3607</t>
  </si>
  <si>
    <t>App keeps crashing on opening</t>
  </si>
  <si>
    <t xml:space="preserve">  Summary:   _x000D_
_x000D_
App keeps crashing on opening _x000D_
_x000D_
  Steps to reproduce:   _x000D_
_x000D_
I cloned the repo from GitHub and tried to compile it  Can t open the app now _x000D_
_x000D_
  System logs:  _x000D_
_x000D_
   _x000D_
2020 03 30 22:05:52 054 13692 13692 fr free nrw commons beta E LoadedApk: Unable to instantiate appComponentFactory_x000D_
    java lang ClassNotFoundException: Didn t find class  fr free nrw commons beta commons  on path: DexPathList  zip file   system framework org apache http legacy boot jar   zip file   data app fr free nrw commons beta YxpmNSMHaflmNsRTrCV tw   base apk   nativeLibraryDirectories   data app fr free nrw commons beta YxpmNSMHaflmNsRTrCV tw   lib arm64   data app fr free nrw commons beta YxpmNSMHaflmNsRTrCV tw   base apk  lib arm64 v8a   system lib64  _x000D_
        at dalvik system BaseDexClassLoader findClass(BaseDexClassLoader java:134)_x000D_
        at java lang ClassLoader loadClass(ClassLoader java:379)_x000D_
        at java lang ClassLoader loadClass(ClassLoader java:312)_x000D_
        at android app LoadedApk createAppFactory(LoadedApk java:228)_x000D_
        at android app LoadedApk createOrUpdateClassLoaderLocked(LoadedApk java:733)_x000D_
        at android app LoadedApk getClassLoader(LoadedApk java:812)_x000D_
        at android app LoadedApk getResources(LoadedApk java:1034)_x000D_
        at android app ContextImpl createAppContext(ContextImpl java:2357)_x000D_
        at android app ActivityThread handleBindApplication(ActivityThread java:5821)_x000D_
        at android app ActivityThread access 1200(ActivityThread java:200)_x000D_
        at android app ActivityThread H handleMessage(ActivityThread java:1673)_x000D_
        at android os Handler dispatchMessage(Handler java:106)_x000D_
        at android os Looper loop(Looper java:201)_x000D_
        at android app ActivityThread main(ActivityThread java:6810)_x000D_
        at java lang reflect Method invoke(Native Method)_x000D_
        at com android internal os RuntimeInit MethodAndArgsCaller run(RuntimeInit java:547)_x000D_
        at com android internal os ZygoteInit main(ZygoteInit java:873)_x000D_
_x000D_
   _x000D_
_x000D_
   _x000D_
2020 03 30 23:19:13 076 28318 28375 fr free nrw commons D OkHttp:     GET https:  commons wikimedia org w api php format json formatversion 2 errorformat plaintext action query list logevents letype upload leprop title timestamp ids lelimit 500 leuser Anmol1311_x000D_
2020 03 30 23:19:13 077 28318 28318 fr free nrw commons E ContributionsFragment: onFragmentResumed fr free nrw commons contributions ContributionsListFragment_x000D_
2020 03 30 23:19:13 084 28318 28373 fr free nrw commons E AndroidRuntime: FATAL EXCEPTION: arch disk io 0_x000D_
    Process: fr free nrw commons  PID: 28318_x000D_
    java lang RuntimeException: Exception while computing database live data _x000D_
        at androidx room RoomTrackingLiveData 1 run(RoomTrackingLiveData java:92)_x000D_
        at java util concurrent ThreadPoolExecutor runWorker(ThreadPoolExecutor java:1167)_x000D_
        at java util concurrent ThreadPoolExecutor Worker run(ThreadPoolExecutor java:641)_x000D_
        at java lang Thread run(Thread java:764)_x000D_
     Caused by: java lang IllegalStateException: Room cannot verify the data integrity  Looks like you ve changed schema but forgot to update the version number  You can simply fix this by increasing the version number _x000D_
        at androidx room RoomOpenHelper checkIdentity(RoomOpenHelper java:154)_x000D_
        at androidx room RoomOpenHelper onOpen(RoomOpenHelper java:135)_x000D_
        at androidx sqlite db framework FrameworkSQLiteOpenHelper OpenHelper onOpen(FrameworkSQLiteOpenHelper java:142)_x000D_
        at android database sqlite SQLiteOpenHelper getDatabaseLocked(SQLiteOpenHelper java:409)_x000D_
        at android database sqlite SQLiteOpenHelper getWritableDatabase(SQLiteOpenHelper java:298)_x000D_
        at androidx sqlite db framework FrameworkSQLiteOpenHelper OpenHelper getWritableSupportDatabase(FrameworkSQLiteOpenHelper java:92)_x000D_
        at androidx sqlite db framework FrameworkSQLiteOpenHelper getWritableDatabase(FrameworkSQLiteOpenHelper java:53)_x000D_
        at androidx room RoomDatabase inTransaction(RoomDatabase java:476)_x000D_
        at androidx room RoomDatabase assertNotSuspendingTransaction(RoomDatabase java:281)_x000D_
        at androidx room RoomDatabase query(RoomDatabase java:324)_x000D_
        at androidx room util DBUtil query(DBUtil java:83)_x000D_
        at fr free nrw commons contributions ContributionDao Impl 10 call(ContributionDao Impl java:666)_x000D_
        at fr free nrw commons contributions ContributionDao Impl 10 call(ContributionDao Impl java:663)_x000D_
        at androidx room RoomTrackingLiveData 1 run(RoomTrackingLiveData java:90)_x000D_
        at java util concurrent ThreadPoolExecutor runWorker(ThreadPoolExecutor java:1167) _x000D_
        at java util concurrent ThreadPoolExecutor Worker run(ThreadPoolExecutor java:641) _x000D_
        at java lang Thread run(Thread java:764) _x000D_
2020 03 30 23:19:13 085 28318 28375 fr free nrw commons D CookieManager: Domain:commons wikimedia org_x000D_
2020 03 30 23:19:13 090 28318 28373 fr free nrw commons E ACRA: ACRA caught a RuntimeException for fr free nrw commons_x000D_
    java lang RuntimeException: Exception while computing database live data _x000D_
        at androidx room RoomTrackingLiveData 1 run(RoomTrackingLiveData java:92)_x000D_
        at java util concurrent ThreadPoolExecutor runWorker(ThreadPoolExecutor java:1167)_x000D_
        at java util concurrent ThreadPoolExecutor Worker run(ThreadPoolExecutor java:641)_x000D_
        at java lang Thread run(Thread java:764)_x000D_
     Caused by: java lang IllegalStateException: Room cannot verify the data integrity  Looks like you ve changed schema but forgot to update the version number  You can simply fix this by increasing the version number _x000D_
        at androidx room RoomOpenHelper checkIdentity(RoomOpenHelper java:154)_x000D_
        at androidx room RoomOpenHelper onOpen(RoomOpenHelper java:135)_x000D_
        at androidx sqlite db framework FrameworkSQLiteOpenHelper OpenHelper onOpen(FrameworkSQLiteOpenHelper java:142)_x000D_
        at android database sqlite SQLiteOpenHelper getDatabaseLocked(SQLiteOpenHelper java:409)_x000D_
        at android database sqlite SQLiteOpenHelper getWritableDatabase(SQLiteOpenHelper java:298)_x000D_
        at androidx sqlite db framework FrameworkSQLiteOpenHelper OpenHelper getWritableSupportDatabase(FrameworkSQLiteOpenHelper java:92)_x000D_
        at androidx sqlite db framework FrameworkSQLiteOpenHelper getWritableDatabase(FrameworkSQLiteOpenHelper java:53)_x000D_
        at androidx room RoomDatabase inTransaction(RoomDatabase java:476)_x000D_
        at androidx room RoomDatabase assertNotSuspendingTransaction(RoomDatabase java:281)_x000D_
        at androidx room RoomDatabase query(RoomDatabase java:324)_x000D_
        at androidx room util DBUtil query(DBUtil java:83)_x000D_
        at fr free nrw commons contributions ContributionDao Impl 10 call(ContributionDao Impl java:666)_x000D_
        at fr free nrw commons contributions ContributionDao Impl 10 call(ContributionDao Impl java:663)_x000D_
        at androidx room RoomTrackingLiveData 1 run(RoomTrackingLiveData java:90)_x000D_
        at java util concurrent ThreadPoolExecutor runWorker(ThreadPoolExecutor java:1167) _x000D_
        at java util concurrent ThreadPoolExecutor Worker run(ThreadPoolExecutor java:641) _x000D_
        at java lang Thread run(Thread java:764) _x000D_
   _x000D_
_x000D_
  Device and Android version:   _x000D_
_x000D_
Redmi Note 5 Pro_x000D_
MIUI version 11_x000D_
Android 9_x000D_
 _x000D_
  Commons app version:   _x000D_
_x000D_
master betaDebug_x000D_
</t>
  </si>
  <si>
    <t>eduvpn-android-262</t>
  </si>
  <si>
    <t>eduVPN app crashes if no profile is available for user</t>
  </si>
  <si>
    <t xml:space="preserve">I use ACLs to check the logged in user s permissions in the eduVPN profile configuration  If no profile is available (ACL check fails for user)  the app crashes instead of displaying an error message </t>
  </si>
  <si>
    <t>TeamNewPipe-NewPipe-3303</t>
  </si>
  <si>
    <t>v0.19.0 crashes as soon I open the app</t>
  </si>
  <si>
    <t xml:space="preserve">I was previously using v0 18 5 which was working fine for me  now after updating the app crashes as soon as I open it  I m unable to even get into the app to backup my data  Please help _x000D_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v0 19 0_x000D_
_x000D_
_x000D_
    Steps to reproduce the bug_x000D_
     If you can t reproduce it  please try to give as many details as possible on how you think you got to the bug     _x000D_
Steps to reproduce the behavior:_x000D_
1  Open app_x000D_
_x000D_
    Expected behavior_x000D_
Open the app without it crashing _x000D_
_x000D_
    Actual behaviour_x000D_
The app crashes as soon as I open it _x000D_
_x000D_
    Screenshots Screen records_x000D_
None _x000D_
_x000D_
    Logs_x000D_
If your bug includes a crash  please head over to the  incredible bugreport to markdown converter (https:  teamnewpipe github io CrashReportToMarkdown )  Copy the result  Paste it here:_x000D_
   Exception_x000D_
    User Action:   ui error_x000D_
    Request:   App crash  UI failure_x000D_
    Content Language:   US_x000D_
    Service:   none_x000D_
    Version:   0 19 0_x000D_
    OS:   Linux samsung d2qsq d2q:10 QP1A 190711 020 N975USQU2BTA9:user release keys 10   29_x000D_
_x000D_
_x000D_
 details  summary  b Crash log  b   summary  p _x000D_
_x000D_
   _x000D_
io reactivex exceptions OnErrorNotImplementedException: The exception was not handled due to missing onError handler in the subscribe() method call  Further reading: https:  github com ReactiveX RxJava wiki Error Handling   NOT NULL constraint failed: streams new uploader (code 1299 SQLITE CONSTRAINT NOTNULL 1299 )_x000D_
	at io reactivex internal functions Functions OnErrorMissingConsumer accept(Functions java:704)_x000D_
	at io reactivex internal functions Functions OnErrorMissingConsumer accept(Functions java:701)_x000D_
	at io reactivex internal subscribers LambdaSubscriber onError(LambdaSubscriber java:79)_x000D_
	at io reactivex internal operators flowable FlowableObserveOn BaseObserveOnSubscriber checkTerminated(FlowableObserveOn java:209)_x000D_
	at io reactivex internal operators flowable FlowableObserveOn ObserveOnSubscriber runAsync(FlowableObserveOn java:399)_x000D_
	at io reactivex internal operators flowable FlowableObserveOn BaseObserveOnSubscriber run(FlowableObserveOn java:176)_x000D_
	at io reactivex android schedulers HandlerScheduler ScheduledRunnable run(HandlerScheduler java:119)_x000D_
	at android os Handler handleCallback(Handler java:883)_x000D_
	at android os Handler dispatchMessage(Handler java:100)_x000D_
	at android os Looper loop(Looper java:237)_x000D_
	at android app ActivityThread main(ActivityThread java:7770)_x000D_
	at java lang reflect Method invoke(Native Method)_x000D_
	at com android internal os RuntimeInit MethodAndArgsCaller run(RuntimeInit java:493)_x000D_
	at com android internal os ZygoteInit main(ZygoteInit java:1047)_x000D_
Caused by: android database sqlite SQLiteConstraintException: NOT NULL constraint failed: streams new uploader (code 1299 SQLITE CONSTRAINT NOTNULL 1299 )_x000D_
	at android database sqlite SQLiteConnection nativeExecuteForChangedRowCount(Native Method)_x000D_
	at android database sqlite SQLiteConnection executeForChangedRowCount(SQLiteConnection java:1066)_x000D_
	at android database sqlite SQLiteSession executeForChangedRowCount(SQLiteSession java:756)_x000D_
	at android database sqlite SQLiteStatement executeUpdateDelete(SQLiteStatement java:66)_x000D_
	at android database sqlite SQLiteDatabase executeSql(SQLiteDatabase java:2322)_x000D_
	at android database sqlite SQLiteDatabase execSQL(SQLiteDatabase java:2249)_x000D_
	at androidx sqlite db framework FrameworkSQLiteDatabase execSQL(FrameworkSQLiteDatabase java:242)_x000D_
	at org schabi newpipe database Migrations 2 migrate(Migrations java:84)_x000D_
	at androidx room RoomOpenHelper onUpgrade(RoomOpenHelper java:87)_x000D_
	at androidx sqlite db framework FrameworkSQLiteOpenHelper OpenHelper onUpgrade(FrameworkSQLiteOpenHelper java:124)_x000D_
	at android database sqlite SQLiteOpenHelper getDatabaseLocked(SQLiteOpenHelper java:493)_x000D_
	at android database sqlite SQLiteOpenHelper getWritableDatabase(SQLiteOpenHelper java:391)_x000D_
	at androidx sqlite db framework FrameworkSQLiteOpenHelper OpenHelper getWritableSupportDatabase(FrameworkSQLiteOpenHelper java:92)_x000D_
	at androidx sqlite db framework FrameworkSQLiteOpenHelper getWritableDatabase(FrameworkSQLiteOpenHelper java:53)_x000D_
	at androidx room RoomDatabase inTransaction(RoomDatabase java:452)_x000D_
	at androidx room RoomDatabase assertNotSuspendingTransaction(RoomDatabase java:275)_x000D_
	at androidx room RoomDatabase query(RoomDatabase java:304)_x000D_
	at androidx room util DBUtil query(DBUtil java:54)_x000D_
	at org schabi newpipe database feed dao FeedDAO Impl 10 call(FeedDAO Impl java:499)_x000D_
	at org schabi newpipe database feed dao FeedDAO Impl 10 call(FeedDAO Impl java:496)_x000D_
	at io reactivex internal operators maybe MaybeFromCallable subscribeActual(MaybeFromCallable java:46)_x000D_
	at io reactivex Maybe subscribe(Maybe java:4154)_x000D_
	at io reactivex internal operators flowable FlowableFlatMapMaybe FlatMapMaybeSubscriber onNext(FlowableFlatMapMaybe java:132)_x000D_
	at io reactivex internal operators flowable FlowableObserveOn ObserveOnSubscriber runAsync(FlowableObserveOn java:407)_x000D_
	at io reactivex internal operators flowable FlowableObserveOn BaseObserveOnSubscriber run(FlowableObserveOn java:176)_x000D_
	at io reactivex internal schedulers ExecutorScheduler ExecutorWorker BooleanRunnable run(ExecutorScheduler java:260)_x000D_
	at io reactivex internal schedulers ExecutorScheduler ExecutorWorker run(ExecutorScheduler java:225)_x000D_
	at java util concurrent ThreadPoolExecutor runWorker(ThreadPoolExecutor java:1167)_x000D_
	at java util concurrent ThreadPoolExecutor Worker run(ThreadPoolExecutor java:641)_x000D_
	at java lang Thread run(Thread java:919)_x000D_
android database sqlite SQLiteConstraintException: NOT NULL constraint failed: streams new uploader (code 1299 SQLITE CONSTRAINT NOTNULL 1299 )_x000D_
	at android database sqlite SQLiteConnection nativeExecuteForChangedRowCount(Native Method)_x000D_
	at android database sqlite SQLiteConnection executeForChangedRowCount(SQLiteConnection java:1066)_x000D_
	at android database sqlite SQLiteSession executeForChangedRowCount(SQLiteSession java:756)_x000D_
	at android database sqlite SQLiteStatement executeUpdateDelete(SQLiteStatement java:66)_x000D_
	at android database sqlite SQLiteDatabase executeSql(SQLiteDatabase java:2322)_x000D_
	at android database sqlite SQLiteDatabase execSQL(SQLiteDatabase java:2249)_x000D_
	at androidx sqlite db framework FrameworkSQLiteDatabase execSQL(FrameworkSQLiteDatabase java:242)_x000D_
	at org schabi newpipe database Migrations 2 migrate(Migrations java:84)_x000D_
	at androidx room RoomOpenHelper onUpgrade(RoomOpenHelper java:87)_x000D_
	at androidx sqlite db framework FrameworkSQLiteOpenHelper OpenHelper onUpgrade(FrameworkSQLiteOpenHelper java:124)_x000D_
	at android database sqlite SQLiteOpenHelper getDatabaseLocked(SQLiteOpenHelper java:493)_x000D_
	at android database sqlite SQLiteOpenHelper getWritableDatabase(SQLiteOpenHelper java:391)_x000D_
	at androidx sqlite db framework FrameworkSQLiteOpenHelper OpenHelper getWritableSupportDatabase(FrameworkSQLiteOpenHelper java:92)_x000D_
	at androidx sqlite db framework FrameworkSQLiteOpenHelper getWritableDatabase(FrameworkSQLiteOpenHelper java:53)_x000D_
	at androidx room RoomDatabase inTransaction(RoomDatabase java:452)_x000D_
	at androidx room RoomDatabase assertNotSuspendingTransaction(RoomDatabase java:275)_x000D_
	at androidx room RoomDatabase query(RoomDatabase java:304)_x000D_
	at androidx room util DBUtil query(DBUtil java:54)_x000D_
	at org schabi newpipe database feed dao FeedDAO Impl 10 call(FeedDAO Impl java:499)_x000D_
	at org schabi newpipe database feed dao FeedDAO Impl 10 call(FeedDAO Impl java:496)_x000D_
	at io reactivex internal operators maybe MaybeFromCallable subscribeActual(MaybeFromCallable java:46)_x000D_
	at io reactivex Maybe subscribe(Maybe java:4154)_x000D_
	at io reactivex internal operators flowable FlowableFlatMapMaybe FlatMapMaybeSubscriber onNext(FlowableFlatMapMaybe java:132)_x000D_
	at io reactivex internal operators flowable FlowableObserveOn ObserveOnSubscriber runAsync(FlowableObserveOn java:407)_x000D_
	at io reactivex internal operators flowable FlowableObserveOn BaseObserveOnSubscriber run(FlowableObserveOn java:176)_x000D_
	at io reactivex internal schedulers ExecutorScheduler ExecutorWorker BooleanRunnable run(ExecutorScheduler java:260)_x000D_
	at io reactivex internal schedulers ExecutorScheduler ExecutorWorker run(ExecutorScheduler java:225)_x000D_
	at java util concurrent ThreadPoolExecutor runWorker(ThreadPoolExecutor java:1167)_x000D_
	at java util concurrent ThreadPoolExecutor Worker run(ThreadPoolExecutor java:641)_x000D_
	at java lang Thread run(Thread java:919)_x000D_
_x000D_
   _x000D_
  p   details _x000D_
 hr _x000D_
_x000D_
_x000D_
     That s right  here     _x000D_
</t>
  </si>
  <si>
    <t>bumptech-glide-4165</t>
  </si>
  <si>
    <t>In 4.11.0 crash generating thumbnails of big sized videos</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</si>
  <si>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_x000D_
_x000D_
     What version of Glide you re running  for example: 3 7 1   3 8 0 SNAPSHOT   4 0 0 SNAPSHOT_x000D_
It s essentially the version number from your build gradle:  dependencies   compile     :x y z        _x000D_
  Glide Version  : 4 11 0_x000D_
_x000D_
     Do you use any integration library  like OkHttp3 or Volley  For example:_x000D_
Fails to display with stock networking  but works with okhttp3 1 4 0    _x000D_
  Integration libraries  : Default installation_x000D_
_x000D_
     What devices you managed to get the issue to come up on  For example:_x000D_
fails on Galaxy S4 GT I9500 4 4 2  works fine on Nexus 6P 5 1 and Genymotion Nexus 5 5 0 1    _x000D_
  Device Android Version  : Huawei p30 Android 10_x000D_
_x000D_
     Share the details of your issue in prose  detailing actual and expected behavior  It also helps if you give some info   why   you are trying to do something as opposed to   what   is not working     _x000D_
  Issue details   Repro steps   Use case background  : _x000D_
Closes (crashes) the activity when try to load a big sized video file into an imageview  Running well with previous versions (4 10 0) Tested with 2Gb video file _x000D_
     How do you use Glide _x000D_
Make sure you include everything as is in your app s code:_x000D_
Changing a single method parameter can yield totally different results _x000D_
Please clarify any magic variables that appear in the code  for example:      this  is a Fragment _x000D_
   _x000D_
  Glide load line    GlideModule  (if any)   list Adapter code (if any)  :_x000D_
   java_x000D_
Glide with(mActivity)_x000D_
                     load(video data getContentUri())_x000D_
                     apply(options)_x000D_
                     transition(DrawableTransitionOptions withCrossFade())_x000D_
                     centerCrop()_x000D_
                     into(holder image view picture) _x000D_
   _x000D_
_x000D_
    _x000D_
What is the error message that you got in the log _x000D_
You can find some help on diagnosing issues here: https:  github com bumptech glide wiki Debugging and Error Handling_x000D_
   _x000D_
  Stack trace   LogCat  :_x000D_
   ruby_x000D_
2020 03 30 16:15:43 677 1248 1364 cast to big A libc: FORTIFY: read: count 18446744071704558641   SSIZE MAX_x000D_
2020 03 30 16:15:43 677 1248 1364 cast to big A libc: Fatal signal 6 (SIGABRT)  code  1 (SI QUEUE) in tid 1364 (glide source th)  pid 1248 (cast to big)_x000D_
   _x000D_
_x000D_
It runs great if we use 4 10 0 Glide version instance of 4 11 0_x000D_
     Bonus points if you attach a relevant screenshot  screen recording or a small demo project    _x000D_
</t>
  </si>
  <si>
    <t>react-native-camera-react-native-camera-2773</t>
  </si>
  <si>
    <t>Crash when pass codec and bitrate</t>
  </si>
  <si>
    <t xml:space="preserve">  Crash in iOS 10 3 4_x000D_
_x000D_
This is my code for record Options _x000D_
_x000D_
 const options      _x000D_
        const dim   Dimensions get( window ) _x000D_
_x000D_
        if (Platform OS      ios )  _x000D_
            options  videoBitrate     0 8   1000   1000_x000D_
            options  quality     RNCamera Constants VideoQuality  4:3  _x000D_
_x000D_
            const majorVersionIOS   parseInt(Platform Version  10)_x000D_
_x000D_
            if (majorVersionIOS    11)  _x000D_
                if (dim width    800)  _x000D_
                    options  codec     RNCamera Constants VideoCodec  HVEC  _x000D_
                  else  _x000D_
                    options  codec     RNCamera Constants VideoCodec  H264  _x000D_
                 _x000D_
              else  _x000D_
                options  codec     RNCamera Constants VideoCodec  H264  _x000D_
             _x000D_
_x000D_
          else  _x000D_
            options  quality     RNCamera Constants VideoQuality  720p  _x000D_
            options  videoBitrate     3   1000   1000_x000D_
         _x000D_
_x000D_
It work fine in Android but when I run this in iOS app got crashed   Here are the logs from Xcode_x000D_
_x000D_
    Terminating app due to uncaught exception  NSInvalidArgumentException   reason:        AVCaptureMovieFileOutput setOutputSettings:forConnection:  The only supported key is AVVideoCodecKey   the following keys are illegal:  (_x000D_
    AVVideoCompressionPropertiesKey_x000D_
)  _x000D_
    First throw call stack:_x000D_
(0x1c0f3b3d 0x1b37b067 0x22a1d3bd 0x2f2acd 0xb75467 0xb8166f 0xb78a39 0xb8376b 0xb83471 0x1b97687d 0x1b97645c)_x000D_
libc  abi dylib: terminating with uncaught exception of type NSException_x000D_
</t>
  </si>
  <si>
    <t>classapp-react-native-video-helper-24</t>
  </si>
  <si>
    <t>Crash in Android</t>
  </si>
  <si>
    <t xml:space="preserve">Hi _x000D_
_x000D_
I am facing crash issue in android  here is my code :_x000D_
_x000D_
   _x000D_
const sourceUri    content:  com miui gallery open raw  2Fstorage 2Femulated 2F0 2FDCIM 2FCamera 2FVID 20200326 201545 mp4  _x000D_
_x000D_
RNVideoHelper compress(sourceUri   _x000D_
    startTime: 0  _x000D_
    endTime: 300  _x000D_
    quality:  high  _x000D_
    defaultOrientation: 0 _x000D_
 ) progress(value     _x000D_
    console warn( progress   value) _x000D_
 ) then(compressedUri     _x000D_
    console warn( compressedUri   compressedUri)  _x000D_
 ) _x000D_
   _x000D_
can anyone help me in fixing this issue_x000D_
_x000D_
Thanks </t>
  </si>
  <si>
    <t>condog190-5E-Initiative-Tracker-115</t>
  </si>
  <si>
    <t>Add error handling for custom NPC entry</t>
  </si>
  <si>
    <t xml:space="preserve">Custom NPCs can be added in through the Combatants Activity but there should be error handling of some sort on the fields to prevent crashes  Currently the fields can be left empty and the app will crash when clicking the next button </t>
  </si>
  <si>
    <t>TeamNewPipe-NewPipe-3298</t>
  </si>
  <si>
    <t>Some videos load forever with WebM for some reason</t>
  </si>
  <si>
    <t xml:space="preserve">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0 19 0_x000D_
_x000D_
_x000D_
    Steps to reproduce the bug_x000D_
     If you can t reproduce it  please try to give as many details as possible on how you think you got to the bug     _x000D_
Steps to reproduce the behavior:_x000D_
1  Set the default video format to WebM_x000D_
2  Open an affected video like  this one (https:  www youtube com watch v kh9NUF6X21U)_x000D_
3  Open the player_x000D_
_x000D_
    Expected behavior_x000D_
Tell us what you expected to happen _x000D_
_x000D_
I would expect it to load the video and  if it fails that  try to fall back to the highest quality MPEG 4 stream or  if that doesn t work either  even less desirable ones like the 360p vp8 streams or 3GP streams _x000D_
_x000D_
    Actual behaviour_x000D_
Tell us what happens instead _x000D_
_x000D_
It just sits there and  loads  forever with no visible network activity _x000D_
_x000D_
The 360p MPEG 4 stream in the dropdown works and even the 1080p60 MPEG 4 stream works when the default video format is set to MPEG 4 _x000D_
_x000D_
The YouTube app loads the highest quality MPEG 4 stream (299) by default _x000D_
_x000D_
    Screenshots Screen records_x000D_
If applicable  add screenshots or a screen recording to help explain your problem  GitHub should support uploading them directly in the issue field  If your file is too big  feel free to paste a link from an image video hoster here instead _x000D_
_x000D_
    Logs_x000D_
If your bug includes a crash  please head over to the  incredible bugreport to markdown converter (https:  teamnewpipe github io CrashReportToMarkdown )  Copy the result  Paste it here:_x000D_
_x000D_
     That s right  here     _x000D_
</t>
  </si>
  <si>
    <t>cgeo-cgeo-8167</t>
  </si>
  <si>
    <t>Crash when modifying filtered list</t>
  </si>
  <si>
    <t>To Reproduce:
  Open a list with many caches
  Set a filter so that a subset is remaining (I used: Status archived)
  On the filtered list  select Menu   Manage caches   Delete all
Result:
Filtered caches are deleted as expected  but app crashes immediately afterwards
Expected:
No crash  filtered caches deleted
Version:
2020 03 29 NB1</t>
  </si>
  <si>
    <t>google-ExoPlayer-7160</t>
  </si>
  <si>
    <t xml:space="preserve"> java.lang.UnsupportedOperationException in maybeUpdateMediaTimeHistory method</t>
  </si>
  <si>
    <t xml:space="preserve">     REQUIRED  Issue description_x000D_
_x000D_
I am playing around with the new PlaybackStatsListener_x000D_
_x000D_
When setting the keepHistory boolean to false the exception will be fired and app will crash_x000D_
When setting the keepHistory boolean to true the exception will be fired and app will  not  crash_x000D_
_x000D_
seems like that keepHistory should be conditioned before calling the add method in maybeUpdateMediaTimeHistory  since the operation cannot be done on the  Collections emptyList() _x000D_
_x000D_
   _x000D_
   private void maybeUpdateMediaTimeHistory(long realtimeMs  long mediaTimeMs)  _x000D_
      if (currentPlaybackState    PlaybackStats PLAYBACK STATE PLAYING)  _x000D_
        if (mediaTimeMs    C TIME UNSET)  _x000D_
          return _x000D_
         _x000D_
        if ( mediaTimeHistory isEmpty())  _x000D_
          long previousMediaTimeMs   mediaTimeHistory get(mediaTimeHistory size()   1) 1  _x000D_
          if (previousMediaTimeMs    mediaTimeMs)  _x000D_
            mediaTimeHistory add(new long    realtimeMs  previousMediaTimeMs ) _x000D_
           _x000D_
         _x000D_
       _x000D_
      _x000D_
      mediaTimeHistory add(_x000D_
          mediaTimeMs    C TIME UNSET_x000D_
                guessMediaTimeBasedOnElapsedRealtime(realtimeMs)_x000D_
              : new long    realtimeMs  mediaTimeMs ) _x000D_
     _x000D_
   _x000D_
_x000D_
      My Code_x000D_
   _x000D_
 player  _x000D_
          new SimpleExoPlayer Builder(   context     this  renderersFactory)_x000D_
               setTrackSelector(trackSelector)_x000D_
               build() _x000D_
_x000D_
      PlaybackStatsListener playbackStatsListener   new PlaybackStatsListener(false _x000D_
          (eventTime  playbackStats)     _x000D_
_x000D_
           ) _x000D_
_x000D_
      player addAnalyticsListener(playbackStatsListener) _x000D_
_x000D_
      player addListener(new PlayerEventListener()) _x000D_
   _x000D_
_x000D_
_x000D_
2020 03 29 18:08:44 834 2810 2810 com google android exoplayer2 demo E AndroidRuntime: FATAL EXCEPTION: main_x000D_
    Process: com google android exoplayer2 demo  PID: 2810_x000D_
    java lang UnsupportedOperationException_x000D_
        at java util AbstractList add(AbstractList java:148)_x000D_
        at java util AbstractList add(AbstractList java:108)_x000D_
        at com google android exoplayer2 analytics PlaybackStatsListener PlaybackStatsTracker maybeUpdateMediaTimeHistory(PlaybackStatsListener java:945)_x000D_
        at com google android exoplayer2 analytics PlaybackStatsListener PlaybackStatsTracker onPlaybackSpeedChanged(PlaybackStatsListener java:706)_x000D_
        at com google android exoplayer2 analytics PlaybackStatsListener onSessionCreated(PlaybackStatsListener java:174)_x000D_
        at com google android exoplayer2 analytics DefaultPlaybackSessionManager updateSessions(DefaultPlaybackSessionManager java:96)_x000D_
        at com google android exoplayer2 analytics PlaybackStatsListener onPlayerStateChanged(PlaybackStatsListener java:242)_x000D_
        at com google android exoplayer2 analytics AnalyticsCollector onPlayerStateChanged(AnalyticsCollector java:447)_x000D_
        at com google android exoplayer2 ExoPlayerImpl lambda setPlayWhenReady 0(ExoPlayerImpl java:277)_x000D_
        at com google android exoplayer2    Lambda ExoPlayerImpl fmq0mZ64J x eCNhM7DubT3eF70 invokeListener(Unknown Source:15)_x000D_
        at com google android exoplayer2 BasePlayer ListenerHolder invoke(BasePlayer java:182)_x000D_
        at com google android exoplayer2 ExoPlayerImpl invokeAll(ExoPlayerImpl java:845)_x000D_
        at com google android exoplayer2 ExoPlayerImpl lambda notifyListeners 6(ExoPlayerImpl java:726)_x000D_
        at com google android exoplayer2    Lambda ExoPlayerImpl DrcaME6RvvSdC72wmoYPUB4uP5w run(Unknown Source:4)_x000D_
        at com google android exoplayer2 ExoPlayerImpl notifyListeners(ExoPlayerImpl java:736)_x000D_
        at com google android exoplayer2 ExoPlayerImpl notifyListeners(ExoPlayerImpl java:726)_x000D_
        at com google android exoplayer2 ExoPlayerImpl setPlayWhenReady(ExoPlayerImpl java:274)_x000D_
        at com google android exoplayer2 SimpleExoPlayer updatePlayWhenReady(SimpleExoPlayer java:1526)_x000D_
        at com google android exoplayer2 SimpleExoPlayer setPlayWhenReady(SimpleExoPlayer java:1201)_x000D_
        at com google android exoplayer2 demo PlayerActivity initializePlayer(PlayerActivity java:398)_x000D_
        at com google android exoplayer2 demo PlayerActivity onStart(PlayerActivity java:238)_x000D_
        at android app Instrumentation callActivityOnStart(Instrumentation java:1391)_x000D_
        at android app Activity performStart(Activity java:7348)_x000D_
        at android app ActivityThread handleStartActivity(ActivityThread java:3137)_x000D_
        at android app servertransaction TransactionExecutor performLifecycleSequence(TransactionExecutor java:180)_x000D_
        at android app servertransaction TransactionExecutor cycleToPath(TransactionExecutor java:165)_x000D_
        at android app servertransaction TransactionExecutor executeLifecycleState(TransactionExecutor java:142)_x000D_
        at android app servertransaction TransactionExecutor execute(TransactionExecutor java:70)_x000D_
        at android app ActivityThread H handleMessage(ActivityThread java:1947)_x000D_
        at android os Handler dispatchMessage(Handler java:106)_x000D_
        at android os Looper loop(Looper java:214)_x000D_
        at android app ActivityThread main(ActivityThread java:7037)_x000D_
        at java lang reflect Method invoke(Native Method)_x000D_
        at com android internal os RuntimeInit MethodAndArgsCaller run(RuntimeInit java:494)_x000D_
        at com android internal os ZygoteInit main(ZygoteInit java:965)_x000D_
_x000D_
_x000D_
     REQUIRED  Reproduction steps_x000D_
Describe how the issue can be reproduced  ideally using the ExoPlayer demo app_x000D_
or a small sample app that you re able to share as source code on GitHub _x000D_
_x000D_
     REQUIRED  Link to test content_x000D_
Provide a JSON snippet for the demo app s media exolist json file  or a link to_x000D_
media that reproduces the issue  If you don t wish to post it publicly  please_x000D_
submit the issue  then email the link to dev exoplayer gmail com using a subject_x000D_
in the format  Issue  1234   where   1234  should be replaced with your issue_x000D_
number  Provide all the metadata we d need to play the content like drm license_x000D_
urls or similar  If the content is accessible only in certain countries or_x000D_
regions  please say so _x000D_
_x000D_
_x000D_
     REQUIRED  Version of ExoPlayer being used_x000D_
_x000D_
2 11 3_x000D_
_x000D_
     REQUIRED  Device(s) and version(s) of Android being used_x000D_
Galaxy s10e Android 9_x000D_
</t>
  </si>
  <si>
    <t>TeamNewPipe-NewPipe-3292</t>
  </si>
  <si>
    <t>Fix UI crash in Settings, Content (chinese language)</t>
  </si>
  <si>
    <t xml:space="preserve">     Hey there  Thank you so much for improving NewPipe  Please take a moment to fill out the following suggestion on how to structure this PR description  Having roughly the same layout helps everyone considerably :)   _x000D_
_x000D_
     What is it _x000D_
   X  Bug fix_x000D_
_x000D_
     Fixes the following issue(s)_x000D_
     Also add reddit or other links which are relevant to your change     _x000D_
  Fix UI crash in Settings  Content (chinese language)_x000D_
_x000D_
     Agreement_x000D_
   X  I carefully read the  contribution guidelines (https:  github com TeamNewPipe NewPipe blob HEAD  github CONTRIBUTING md) and agree to them _x000D_
</t>
  </si>
  <si>
    <t>ankidroid-Anki-Android-5873</t>
  </si>
  <si>
    <t>[ACRA 2.9] - deleteNotesWithWrongFieldCounts - Couldn't read row</t>
  </si>
  <si>
    <t xml:space="preserve">Follow on from  5852 _x000D_
_x000D_
I believe this is no longer a crashing issue as we re using  sendExceptionReport   but we should stabilise the check _x000D_
_x000D_
Looks to be consistently from the same ACRA ID: https:  couchdb ankidroid org acralyzer  design acralyzer index html  reports browser user 587e1d6b 1f93 4b4d af94 6d50a351fc8e_x000D_
_x000D_
https:  couchdb ankidroid org acralyzer  design acralyzer index html  report details c7c1c0e2 35ca 45c1 a7f1 874612f8e508_x000D_
_x000D_
CustomData:_x000D_
   _x000D_
deleteNotesWithWrongFieldCounts row: 8281 col: 2_x000D_
   _x000D_
_x000D_
   _x000D_
java lang IllegalStateException: Couldn t read row_x000D_
at io requery android database CursorWindow nativeGetString(Native Method)_x000D_
at io requery android database CursorWindow getString(CursorWindow java:1)_x000D_
at io requery android database AbstractWindowedCursor getString(AbstractWindowedCursor java:2)_x000D_
at com ichi2 libanki Collection deleteNotesWithWrongFieldCounts(Collection java:8)_x000D_
at com ichi2 libanki Collection b(Collection java:1)_x000D_
at com ichi2 libanki n apply(lambda)_x000D_
at com ichi2 libanki Collection a(Collection java:3)_x000D_
at com ichi2 libanki i consume(lambda)_x000D_
at com ichi2 libanki Collection fixIntegrity(Collection java:17)_x000D_
at com ichi2 async DeckTask doInBackgroundCheckDatabase(DeckTask java:5)_x000D_
at com ichi2 async DeckTask doInBackground(DeckTask java:45)_x000D_
at com ichi2 async DeckTask doInBackground(DeckTask java:1)_x000D_
at android os AsyncTask 2 call(AsyncTask java:305)_x000D_
at java util concurrent FutureTask run(FutureTask java:237)_x000D_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java:761)_x000D_
   </t>
  </si>
  <si>
    <t>X-dea-flutter_vpn-45</t>
  </si>
  <si>
    <t>doesn't work on devices like pixel 2</t>
  </si>
  <si>
    <t>I added the ndk filters as described on read me _x000D_
_x000D_
However when I build appbundle and run it on pixel 2   it crashes on start up_x000D_
_x000D_
drops java lang UnsatisfiedLinkError coudln t find libflutter so</t>
  </si>
  <si>
    <t>nextcloud-android-5753</t>
  </si>
  <si>
    <t xml:space="preserve">Android app crash log </t>
  </si>
  <si>
    <t xml:space="preserve">Android app crash:_x000D_
_x000D_
             CAUSE OF ERROR             _x000D_
_x000D_
java lang NullPointerException: Attempt to invoke virtual method  long com owncloud android datamodel OCFile getParentId()  on a null object reference_x000D_
	at com owncloud android operations RefreshFolderOperation synchronizeData(RefreshFolderOperation java:410)_x000D_
	at com owncloud android operations RefreshFolderOperation fetchAndSyncRemoteFolder(RefreshFolderOperation java:369)_x000D_
	at com owncloud android operations RefreshFolderOperation run(RefreshFolderOperation java:228)_x000D_
	at com owncloud android lib common operations RemoteOperation execute(RemoteOperation java:181)_x000D_
	at com owncloud android syncadapter FileSyncAdapter synchronizeFolder(FileSyncAdapter java:268)_x000D_
	at com owncloud android syncadapter FileSyncAdapter syncChildren(FileSyncAdapter java:344)_x000D_
	at com owncloud android syncadapter FileSyncAdapter synchronizeFolder(FileSyncAdapter java:288)_x000D_
	at com owncloud android syncadapter FileSyncAdapter syncChildren(FileSyncAdapter java:344)_x000D_
	at com owncloud android syncadapter FileSyncAdapter synchronizeFolder(FileSyncAdapter java:288)_x000D_
	at com owncloud android syncadapter FileSyncAdapter syncChildren(FileSyncAdapter java:344)_x000D_
	at com owncloud android syncadapter FileSyncAdapter synchronizeFolder(FileSyncAdapter java:288)_x000D_
	at com owncloud android syncadapter FileSyncAdapter syncChildren(FileSyncAdapter java:344)_x000D_
	at com owncloud android syncadapter FileSyncAdapter synchronizeFolder(FileSyncAdapter java:288)_x000D_
	at com owncloud android syncadapter FileSyncAdapter syncChildren(FileSyncAdapter java:344)_x000D_
	at com owncloud android syncadapter FileSyncAdapter synchronizeFolder(FileSyncAdapter java:288)_x000D_
	at com owncloud android syncadapter FileSyncAdapter syncChildren(FileSyncAdapter java:344)_x000D_
	at com owncloud android syncadapter FileSyncAdapter synchronizeFolder(FileSyncAdapter java:288)_x000D_
	at com owncloud android syncadapter FileSyncAdapter onPerformSync(FileSyncAdapter java:180)_x000D_
	at android content AbstractThreadedSyncAdapter SyncThread run(AbstractThreadedSyncAdapter java:334)_x000D_
_x000D_
             APP INFORMATION             _x000D_
ID: com nextcloud client_x000D_
Version: 30110090_x000D_
Build flavor: gplay_x000D_
_x000D_
             DEVICE INFORMATION             _x000D_
Brand: Xiaomi_x000D_
Device: davinci_x000D_
Model: Mi 9T_x000D_
Id: QKQ1 190825 002_x000D_
Product: davinci_x000D_
_x000D_
             FIRMWARE             _x000D_
SDK: 29_x000D_
Release: 10_x000D_
Incremental: V11 0 4 0 QFJMIXM_x000D_
</t>
  </si>
  <si>
    <t>TeamNewPipe-NewPipe-3280</t>
  </si>
  <si>
    <t>Background player randomly closes (stops playing)</t>
  </si>
  <si>
    <t xml:space="preserve">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0 18 7 (Updated today)_x000D_
_x000D_
_x000D_
    Steps to reproduce the bug_x000D_
     If you can t reproduce it  please try to give as many details as possible on how you think you got to the bug     _x000D_
Steps to reproduce the behavior:_x000D_
1  Select a saved playlist (Skip this for single song)_x000D_
2  Select a song to play in background  or start a playlist to play in background _x000D_
_x000D_
    Expected behavior_x000D_
The music should play as normal and without any issues _x000D_
_x000D_
    Actual behaviour_x000D_
The music randomly stops _x000D_
_x000D_
    Screenshots Screen records_x000D_
If applicable  add screenshots or a screen recording to help explain your problem  GitHub should support uploading them directly in the issue field  If your file is too big  feel free to paste a link from an image video hoster here instead _x000D_
_x000D_
    Logs_x000D_
If your bug includes a crash  please head over to the  incredible bugreport to markdown converter (https:  teamnewpipe github io CrashReportToMarkdown )  Copy the result  Paste it here:_x000D_
_x000D_
     That s right  here     _x000D_
_x000D_
    Additional information_x000D_
It happens with pretty much any song and is completely random  when it stops  Sometimes does it stop after only a few seconds  sometimes does it work for a few minutes _x000D_
This issue also occured before updating to newest version  which made me check  if there is an update and after updating did it still occur _x000D_
_x000D_
The player doesn t just stop but rather completely close _x000D_
No crashes  or any kind of error messages shown _x000D_
_x000D_
This happens no matter if you use any other apps (including some which don t even require use audio features) or just have the player itself open (NewPipe app closed) </t>
  </si>
  <si>
    <t>material-components-material-components-android-1159</t>
  </si>
  <si>
    <t>[DatePicker] Date May 31 not showing up, causes crash</t>
  </si>
  <si>
    <t xml:space="preserve">  Description:  _x000D_
_x000D_
May 31 is not shown in the calendar unless you open May and   scroll down    This causes crashes  No other month or date seems to have this problem _x000D_
_x000D_
Test Steps:_x000D_
    _x000D_
1  Open calendar (will open in March since it s March today)_x000D_
2  Use arrows to go to May_x000D_
_x000D_
Actual Result: May 31 is not shown (you have to scroll down to see it)_x000D_
Expected Result: May 31 is shown_x000D_
_x000D_
Here are the ways I ve found to make May 31 show up without scrolling down:_x000D_
_x000D_
  Go to May  Go to March  Go to May _x000D_
  Go to July  Go to May _x000D_
  Select a start date _x000D_
  Open the edit dates view (by pressing the pen)  Close it _x000D_
  Change year to 2021  Change back to 2020  Go to May _x000D_
_x000D_
Steps to make the calendar crash:_x000D_
_x000D_
1  Open calendar_x000D_
2  Select range including May 31_x000D_
3  Apply_x000D_
4  Open calendar_x000D_
5  Go to May_x000D_
_x000D_
Actual Result: Crash_x000D_
_x000D_
  Expected behavior:   _x000D_
_x000D_
May 31 not shown_x000D_
  Screenshot 2020 03 27 at 11 50 00 (https:  user images githubusercontent com 49907258 77749767 def4b700 7022 11ea 861e 35e95ff7b91b png)_x000D_
_x000D_
May 31 shown after start date has been selected_x000D_
  Screenshot 2020 03 27 at 11 50 09 (https:  user images githubusercontent com 49907258 77749773 e1571100 7022 11ea 9a05 56ff00ef93cd png)_x000D_
_x000D_
_x000D_
  Crash  _x000D_
Open the calendar_x000D_
  Screenshot 2020 03 27 at 12 06 20 (https:  user images githubusercontent com 49907258 77750306 d0f36600 7023 11ea 8311 920bc83ea4b9 png)_x000D_
_x000D_
Select a start date before May 31_x000D_
  Screenshot 2020 03 27 at 12 06 27 (https:  user images githubusercontent com 49907258 77750343 e1a3dc00 7023 11ea 94d2 c39a16c2acaf png)_x000D_
_x000D_
May 31 is shown because a date has been selected_x000D_
  Screenshot 2020 03 27 at 12 06 39 (https:  user images githubusercontent com 49907258 77750373 eff1f800 7023 11ea 99f8 483b8819e064 png)_x000D_
_x000D_
Select an and date after and including May 31  so that May 31 is part of the range_x000D_
  Screenshot 2020 03 27 at 12 06 50 (https:  user images githubusercontent com 49907258 77750403 026c3180 7024 11ea 8500 31c607864028 png)_x000D_
_x000D_
Apply the filter  Open the calendar again _x000D_
  Screenshot 2020 03 27 at 12 06 50 (https:  user images githubusercontent com 49907258 77750493 2f204900 7024 11ea 9036 dadf8a5f9c08 png)_x000D_
_x000D_
Go to May using the arrows  When in April and you press the right arrow to try to go to May  the app crashes _x000D_
  Screenshot red circle (https:  user images githubusercontent com 49907258 77750556 495a2700 7024 11ea 9e9d 47577659ecd9 png)_x000D_
_x000D_
Crash_x000D_
  Screenshot 2020 03 27 at 12 07 15 (https:  user images githubusercontent com 49907258 77751870 c1c1e780 7026 11ea 9261 4fde708a502b png)_x000D_
_x000D_
  Source code:   _x000D_
_x000D_
   _x000D_
override fun onViewCreated(view: View  savedInstanceState: Bundle )  _x000D_
        super onViewCreated(view  savedInstanceState)_x000D_
        setDatePickerBuilder()_x000D_
        setDatePickerButton()_x000D_
           _x000D_
     _x000D_
_x000D_
override fun onResume()  _x000D_
        super onResume()_x000D_
        setDatePickerSelection()_x000D_
        setDatePicker()_x000D_
           _x000D_
     _x000D_
_x000D_
private fun setDatePickerBuilder()  _x000D_
        builder   MaterialDatePicker Builder dateRangePicker()_x000D_
        builder  apply  _x000D_
            setInputMode(MaterialDatePicker INPUT MODE CALENDAR)_x000D_
            setTitleText(getString(R string time frame ger))_x000D_
            val theme   resolveOrThrow(requireContext()  R attr materialCalendarTheme)_x000D_
            setTheme(theme)_x000D_
_x000D_
            val constraintsBuilder   CalendarConstraints Builder()_x000D_
            constraintsBuilder setValidator(DateValidatorPointForward now())_x000D_
_x000D_
            val calendar   Calendar getInstance(TimeZone getTimeZone( UTC ))_x000D_
            constraintsBuilder setStart(calendar timeInMillis)_x000D_
            calendar add(Calendar YEAR  1)_x000D_
            constraintsBuilder setEnd(calendar timeInMillis)_x000D_
_x000D_
            setCalendarConstraints(constraintsBuilder build())_x000D_
            setDatePickerSelection()_x000D_
         _x000D_
        setDatePicker()_x000D_
     _x000D_
_x000D_
private fun setDatePicker()  _x000D_
        picker   builder  build()_x000D_
        picker  apply  _x000D_
            addOnPositiveButtonClickListener  _x000D_
                val result   it as Pair      _x000D_
                val startDate   Date(result first as Long)_x000D_
                val endDate   Date(result second as Long)_x000D_
                experiencesViewModel setFilterDataRange(startDate  endDate)_x000D_
                loadExperiences(true)_x000D_
             _x000D_
            addOnNegativeButtonClickListener  _x000D_
                experiencesViewModel resetFilterDataDateRange()_x000D_
                loadExperiences(true)_x000D_
                setDatePickerBuilder()_x000D_
             _x000D_
            addOnDismissListener  _x000D_
                dateButton isEnabled   true_x000D_
             _x000D_
         _x000D_
     _x000D_
_x000D_
private fun setDatePickerSelection()  _x000D_
        val filterDate   experiencesViewModel filterData filterDate_x000D_
        val filterEndDate   experiencesViewModel filterData filterEndDate_x000D_
_x000D_
           Add an offset of 10 hours to prevent timezone daylight saving causing the calendar to show one day earlier than the selected one_x000D_
        val dayOffset   1000   60   60   10_x000D_
        if (filterDate    null)  _x000D_
            if (filterEndDate    null)  _x000D_
                val selectedDate   Date(filterDate time   dayOffset)_x000D_
                builder  setSelection(Pair(selectedDate time  selectedDate time))_x000D_
              else  _x000D_
                builder  setSelection(Pair(filterDate time  filterEndDate time))_x000D_
             _x000D_
         _x000D_
     _x000D_
_x000D_
private fun setDatePickerButton()  _x000D_
        dateButton setOnClickListener  _x000D_
            dateButton isEnabled   false_x000D_
            startDatePicker()_x000D_
         _x000D_
     _x000D_
_x000D_
private fun startDatePicker()  _x000D_
        picker  show(childFragmentManager  picker toString())_x000D_
     _x000D_
   _x000D_
_x000D_
  Android API version:   27 in emulator_x000D_
_x000D_
  Material Library version:   1 2 0 alpha05_x000D_
_x000D_
  Device:   Pixel 3 emulator_x000D_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</si>
  <si>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TeamNewPipe-NewPipe-3279</t>
  </si>
  <si>
    <t>Handle content not available exception more comprehensively</t>
  </si>
  <si>
    <t xml:space="preserve">     What is it _x000D_
   x  Bug fix_x000D_
      Feature_x000D_
_x000D_
     Long description of the changes in your PR_x000D_
_x000D_
Some fragments were not handling these types of exceptions _x000D_
_x000D_
We should improve the display of  ContentNotAvailableException  exceptions in the future by showing more specific details  like not found _x000D_
_x000D_
For now  a  Content unavailable  is better than a crash _x000D_
_x000D_
     Relates to the following issue(s)_x000D_
   3277</t>
  </si>
  <si>
    <t>nextcloud-android-5749</t>
  </si>
  <si>
    <t>Android client crashes on opening a folder that contained a folder transferred to another user</t>
  </si>
  <si>
    <t xml:space="preserve">    Steps to reproduce_x000D_
1  Open client _x000D_
2  Enter InstantUpload  which housed the folder transfered to another user_x000D_
3  Wait for client to finish loading InstantUpload  where it crashes_x000D_
_x000D_
    Expected behaviour_x000D_
  Tell us what should happen _x000D_
Folder should load without client crashing _x000D_
_x000D_
_x000D_
    Actual behaviour_x000D_
  Tell us what happens_x000D_
Client shows a seemingly cached view of the InstantUpload folder  I see a folder called  tmp  which had been transferred to another user 1 or 2 weeks prior  The loading animation starts to drop frames until the client crashes  _x000D_
_x000D_
    Can you reproduce this problem on https:  try nextcloud com _x000D_
  Please create a test demo account and see if this still happens there _x000D_
  If yes  please open up a bug report_x000D_
  If not  please verify server setup and ask for help on forum_x000D_
_x000D_
    Environment data_x000D_
Android version: 9_x000D_
_x000D_
Device model: oneplus 5_x000D_
_x000D_
Stock or customized system: stock _x000D_
_x000D_
Nextcloud app version: f droid 3 10 1_x000D_
_x000D_
Nextcloud server version: 18 0 3_x000D_
_x000D_
    Logs_x000D_
     Web server error log_x000D_
   _x000D_
Insert your webserver log here_x000D_
   _x000D_
_x000D_
     Nextcloud log (data nextcloud log)_x000D_
   _x000D_
             CAUSE OF ERROR             _x000D_
_x000D_
android database sqlite SQLiteBlobTooBigException: Row too big to fit into CursorWindow requiredPos 3555  totalRows 1041_x000D_
	at android database sqlite SQLiteConnection nativeExecuteForCursorWindow(Native Method)_x000D_
	at android database sqlite SQLiteConnection executeForCursorWindow(SQLiteConnection java:859)_x000D_
	at android database sqlite SQLiteSession executeForCursorWindow(SQLiteSession java:836)_x000D_
	at android database sqlite SQLiteQuery fillWindow(SQLiteQuery java:62)_x000D_
	at android database sqlite SQLiteCursor fillWindow(SQLiteCursor java:157)_x000D_
	at android database sqlite SQLiteCursor onMove(SQLiteCursor java:128)_x000D_
	at android database AbstractCursor moveToPosition(AbstractCursor java:237)_x000D_
	at android database AbstractCursor moveToNext(AbstractCursor java:269)_x000D_
	at com owncloud android providers FileContentProvider deleteDirectory(FileContentProvider java:190)_x000D_
	at com owncloud android providers FileContentProvider delete(FileContentProvider java:134)_x000D_
	at com owncloud android providers FileContentProvider delete(FileContentProvider java:114)_x000D_
	at android content ContentProviderOperation apply(ContentProviderOperation java:327)_x000D_
	at com owncloud android providers FileContentProvider applyBatch(FileContentProvider java:669)_x000D_
	at android content ContentProvider Transport applyBatch(ContentProvider java:344)_x000D_
	at android content ContentProviderClient applyBatch(ContentProviderClient java:474)_x000D_
	at android content ContentResolver applyBatch(ContentResolver java:1705)_x000D_
	at com owncloud android datamodel FileDataStorageManager saveFolder(FileDataStorageManager java:407)_x000D_
	at com owncloud android operations RefreshFolderOperation synchronizeData(RefreshFolderOperation java:478)_x000D_
	at com owncloud android operations RefreshFolderOperation fetchAndSyncRemoteFolder(RefreshFolderOperation java:369)_x000D_
	at com owncloud android operations RefreshFolderOperation run(RefreshFolderOperation java:228)_x000D_
	at com owncloud android lib common operations RemoteOperation run(RemoteOperation java:357)_x000D_
	at java lang Thread run(Thread java:764)_x000D_
_x000D_
             APP INFORMATION             _x000D_
ID: com nextcloud client_x000D_
Version: 30100190_x000D_
Build flavor: generic_x000D_
_x000D_
             DEVICE INFORMATION             _x000D_
Brand: OnePlus_x000D_
Device: OnePlus5_x000D_
Model: ONEPLUS A5000_x000D_
Id: PKQ1 180716 001_x000D_
Product: OnePlus5_x000D_
_x000D_
             FIRMWARE             _x000D_
SDK: 28_x000D_
Release: 9_x000D_
Incremental: 2002242003_x000D_
   _x000D_
  NOTE:   Be super sure to remove sensitive data like passwords  note that everybody can look here  You can use the Issue Template application to prefill some of the required information: https:  apps nextcloud com apps issuetemplate_x000D_
</t>
  </si>
  <si>
    <t>TeamNewPipe-NewPipe-3277</t>
  </si>
  <si>
    <t>Crash when sharing a certain playlist to Newpipe</t>
  </si>
  <si>
    <t xml:space="preserve">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0 18 7_x000D_
    Steps to reproduce the bug_x000D_
     If you can t reproduce it  please try to give as many details as possible on how you think you got to the bug     _x000D_
Steps to reproduce the behavior:_x000D_
Share this playlist with Newpipe: https:  www youtube com playlist list PLoHg1UZiy8oG j8mN7byXpybTONmYDXt _x000D_
    Expected behavior_x000D_
Newpipe should open the playlist normally  (It opens normally if you paste this URL into the search bar )_x000D_
_x000D_
    Actual behaviour_x000D_
Error _x000D_
_x000D_
    Logs_x000D_
If your bug includes a crash  please head over to the  incredible bugreport to markdown converter (https:  teamnewpipe github io CrashReportToMarkdown )  Copy the result  Paste it here:_x000D_
_x000D_
     That s right  here     _x000D_
_x000D_
   Exception_x000D_
    User Action:   requested playlist_x000D_
    Request:   https:  www youtube com playlist list PLoHg1UZiy8oGj8mN7byXpybTONmYDXt_x000D_
    Content Language:   en IN_x000D_
    Service:   YouTube_x000D_
    Version:   0 18 7_x000D_
    OS:   Linux Android 9   28_x000D_
_x000D_
_x000D_
 details  summary  b Crash log  b   summary  p _x000D_
_x000D_
   _x000D_
org schabi newpipe extractor exceptions ContentNotAvailableException: Got error:  The playlist does not exist  _x000D_
	at org schabi newpipe extractor services youtube linkHandler YoutubeParsingHelper defaultAlertsCheck(YoutubeParsingHelper java:402)_x000D_
	at org schabi newpipe extractor services youtube extractors YoutubePlaylistExtractor onFetchPage(YoutubePlaylistExtractor java:43)_x000D_
	at org schabi newpipe extractor Extractor fetchPage(Extractor java:56)_x000D_
	at org schabi newpipe extractor playlist PlaylistInfo getInfo(PlaylistInfo java:29)_x000D_
	at org schabi newpipe util ExtractorHelper lambda getPlaylistInfo 8(ExtractorHelper java:155)_x000D_
	at org schabi newpipe util    Lambda ExtractorHelper oXX6037sP0Rn784EpEbKFh6xH48 call(Unknown Source:4)_x000D_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maybe MaybeFromSingle subscribeActual(MaybeFromSingle java:41)_x000D_
	at io reactivex Maybe subscribe(Maybe java:4154)_x000D_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java:14479)_x000D_
	at io reactivex internal operators flowable FlowableElementAtMaybe subscribeActual(FlowableElementAtMaybe java:36)_x000D_
	at io reactivex Maybe subscribe(Maybe java:4154)_x000D_
	at io reactivex internal operators maybe MaybeToSingle subscribeActual(MaybeToSingle java:46)_x000D_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_x000D_
   _x000D_
  p   details _x000D_
 hr _x000D_
_x000D_
</t>
  </si>
  <si>
    <t>X-dea-flutter_vpn-44</t>
  </si>
  <si>
    <t>When pressing back button on the app brings to home screen and crash</t>
  </si>
  <si>
    <t>When pressing back button on the app brings to home screen and crash _x000D_
_x000D_
It says:_x000D_
_x000D_
App keeps stopping_x000D_
_x000D_
Unable to destroy activity com myapp testvpn com example testvpn MainActivity):_x000D_
java lang IllegalArgumentException: Service not registered: io xdea flutter vpn FlutterVpnPlugin _x000D_
_x000D_
 serviceConnection</t>
  </si>
  <si>
    <t>Concordia-Campus-Guide-Concordia-Campus-Guide-155</t>
  </si>
  <si>
    <t>App crashes when selecting a building on the search page</t>
  </si>
  <si>
    <t xml:space="preserve">  Describe the bug  _x000D_
When clicking on search icon  we are taken to the search page  Once there  we click on a building like CL index and it crashes most of the time _x000D_
_x000D_
  Priority  _x000D_
High_x000D_
_x000D_
  Severity  _x000D_
High_x000D_
_x000D_
  To Reproduce  _x000D_
  click on search _x000D_
  click on cl index_x000D_
_x000D_
  Expected behavior  _x000D_
should show the route page_x000D_
_x000D_
  Screenshots  _x000D_
  ezgif com video to gif (2) (https:  user images githubusercontent com 34817695 77609915 ab693e00 6ef7 11ea 8dfa 137ef243d3d0 gif)_x000D_
_x000D_
_x000D_
</t>
  </si>
  <si>
    <t>ionic-team-capacitor-2639</t>
  </si>
  <si>
    <t>bug: Example App crashes on repeating local notifications</t>
  </si>
  <si>
    <t xml:space="preserve">  Bug Report_x000D_
_x000D_
   Capacitor Version_x000D_
_x000D_
Cloned from master and built as decribed in example README_x000D_
_x000D_
_x000D_
   Affected Platform(s)_x000D_
     Leave these checkboxes EMPTY until after the issue is created  Once the issue is created  check one or more boxes for the platform(s) this bug affects     _x000D_
_x000D_
   x  Android_x000D_
      iOS_x000D_
      Electron_x000D_
      Web_x000D_
_x000D_
   Current Behavior_x000D_
     Describe how the bug manifests  Be specific     _x000D_
_x000D_
App crashes when hitting one of the repeating local notification buttons _x000D_
_x000D_
   Expected Behavior_x000D_
     Describe what the behavior would be without the bug     _x000D_
_x000D_
App shall not crash and notifications shall be repeated _x000D_
_x000D_
   Sample Code or Sample Application Repo_x000D_
_x000D_
This repositorie s example app _x000D_
_x000D_
   Reproduction Steps_x000D_
_x000D_
Build the example app as describe in the example README  (Skip the electron parts  because the build generates errors and does not work as described in the README)_x000D_
_x000D_
   Other Technical Details_x000D_
_x000D_
Tested on Android 9_x000D_
_x000D_
     Please provide the following information with your request  and any other relevant technical details (versions of IDEs  local environment info  plugin information or links  etc)     _x000D_
_x000D_
 npm   version  output:_x000D_
6 13 7_x000D_
_x000D_
 node   version  output:_x000D_
v10 15 0_x000D_
</t>
  </si>
  <si>
    <t>ankidroid-Anki-Android-5864</t>
  </si>
  <si>
    <t>[ACRA 2.9] Preferences: Crash selecting "Third Party Apps" when no browser installed</t>
  </si>
  <si>
    <t xml:space="preserve">Seen this crash a few times in a row on 2 9 5  I d guess this is from an automated testing tool or modified hardware  Should be simple to fix though _x000D_
_x000D_
 details _x000D_
 summary Crash 1  summary _x000D_
_x000D_
https:  couchdb ankidroid org acralyzer  design acralyzer index html  reports browser user 77f0cc91 e9fb 4c85 966f d51de152a2ff_x000D_
_x000D_
   _x000D_
android content ActivityNotFoundException: No Activity found to handle Intent   act android intent action VIEW dat https:  github com      _x000D_
at android app Instrumentation checkStartActivityResult(Instrumentation java:2007)_x000D_
at android app Instrumentation execStartActivity(Instrumentation java:1673)_x000D_
at android app Activity startActivityForResult(Activity java:4586)_x000D_
at android app Activity startActivityForResult(Activity java:4544)_x000D_
at android app Activity startActivity(Activity java:4905)_x000D_
at android app Activity startActivity(Activity java:4873)_x000D_
at android preference Preference performClick(Preference java:1153)_x000D_
at android preference PreferenceScreen onItemClick(PreferenceScreen java:249)_x000D_
at android widget AdapterView performItemClick(AdapterView java:318)_x000D_
at android widget AbsListView performItemClick(AbsListView java:1159)_x000D_
at android widget AbsListView PerformClick run(AbsListView java:3136)_x000D_
at android widget AbsListView 3 run(AbsListView java:4052)_x000D_
at android os Handler handleCallback(Handler java:873)_x000D_
at android os Handler dispatchMessage(Handler java:99)_x000D_
at android os Looper loop(Looper java:193)_x000D_
at android app ActivityThread main(ActivityThread java:6702)_x000D_
at java lang reflect Method invoke(Native Method)_x000D_
at com android internal os RuntimeInit MethodAndArgsCaller run(RuntimeInit java:493)_x000D_
at com android internal os ZygoteInit main(ZygoteInit java:911)_x000D_
at android view ViewGroup dispatchTransformedTouchEvent(ViewGroup java:3083)_x000D_
at android view ViewGroup dispatchTouchEvent(ViewGroup java:2741)_x000D_
at android view ViewGroup dispatchTransformedTouchEvent(ViewGroup java:3083)_x000D_
at android view ViewGroup dispatchTouchEvent(ViewGroup java:2741)_x000D_
at android view ViewGroup dispatchTransformedTouchEvent(ViewGroup java:3083)_x000D_
at android view ViewGroup dispatchTouchEvent(ViewGroup java:2741)_x000D_
at android view ViewGroup dispatchTransformedTouchEvent(ViewGroup java:3083)_x000D_
at android view ViewGroup dispatchTouchEvent(ViewGroup java:2741)_x000D_
at android view ViewGroup dispatchTransformedTouchEvent(ViewGroup java:3083)_x000D_
at android view ViewGroup dispatchTouchEvent(ViewGroup java:2741)_x000D_
at android view ViewGroup dispatchTransformedTouchEvent(ViewGroup java:3083)_x000D_
at android view ViewGroup dispatchTouchEvent(ViewGroup java:2741)_x000D_
at android view ViewGroup dispatchTransformedTouchEvent(ViewGroup java:3083)_x000D_
at android view ViewGroup dispatchTouchEvent(ViewGroup java:2741)_x000D_
at android view ViewGroup dispatchTransformedTouchEvent(ViewGroup java:3083)_x000D_
at android view ViewGroup dispatchTouchEvent(ViewGroup java:2741)_x000D_
at android view ViewGroup dispatchTransformedTouchEvent(ViewGroup java:3083)_x000D_
at android view ViewGroup dispatchTouchEvent(ViewGroup java:2741)_x000D_
at android view ViewGroup dispatchTransformedTouchEvent(ViewGroup java:3083)_x000D_
at android view ViewGroup dispatchTouchEvent(ViewGroup java:2741)_x000D_
at android view ViewRootImpl InputStage deliver(ViewRootImpl java:4598)_x000D_
at android view ViewRootImpl InputStage onDeliverToNext(ViewRootImpl java:4651)_x000D_
at android view ViewRootImpl InputStage forward(ViewRootImpl java:4617)_x000D_
at android view ViewRootImpl InputStage apply(ViewRootImpl java:4625)_x000D_
at android view ViewRootImpl InputStage deliver(ViewRootImpl java:4598)_x000D_
   _x000D_
  details _x000D_
_x000D_
 details  summary Crash 2  summary _x000D_
_x000D_
https:  couchdb ankidroid org acralyzer  design acralyzer index html  report details 2e4b2d93 04c3 47e5 94c2 29a1dcde5655_x000D_
_x000D_
   _x000D_
android content ActivityNotFoundException: No Activity found to handle Intent   act android intent action VIEW dat https:  github com      _x000D_
at android app Instrumentation checkStartActivityResult(Instrumentation java:2007)_x000D_
at android app Instrumentation execStartActivity(Instrumentation java:1673)_x000D_
at android app Activity startActivityForResult(Activity java:4586)_x000D_
at android app Activity startActivityForResult(Activity java:4544)_x000D_
at android app Activity startActivity(Activity java:4905)_x000D_
at android app Activity startActivity(Activity java:4873)_x000D_
at android preference Preference performClick(Preference java:1153)_x000D_
at android preference PreferenceScreen onItemClick(PreferenceScreen java:249)_x000D_
at android widget AdapterView performItemClick(AdapterView java:318)_x000D_
at android widget AbsListView performItemClick(AbsListView java:1159)_x000D_
at android widget AbsListView PerformClick run(AbsListView java:3136)_x000D_
at android widget AbsListView 3 run(AbsListView java:4052)_x000D_
at android os Handler handleCallback(Handler java:873)_x000D_
at android os Handler dispatchMessage(Handler java:99)_x000D_
at android os Looper loop(Looper java:193)_x000D_
at android app ActivityThread main(ActivityThread java:6702)_x000D_
at java lang reflect Method invoke(Native Method)_x000D_
at com android internal os RuntimeInit MethodAndArgsCaller run(RuntimeInit java:493)_x000D_
at com android internal os ZygoteInit main(ZygoteInit java:911)_x000D_
   _x000D_
  details </t>
  </si>
  <si>
    <t>SkyTubeTeam-SkyTube-702</t>
  </si>
  <si>
    <t>Fatal crash - Fragment ChannelBrowserFragment has not been attached yet.</t>
  </si>
  <si>
    <t xml:space="preserve">  I have searched the history issue list  and have not found a similar bug  _x000D_
_x000D_
  The bug was found in the latest release version 2 971 (SkyTube Oss 2 971 apk) and also the previous version 2 97  and were reproduciable on both a Google Plxel 3 and an Android emulator 6 0 device_x000D_
_x000D_
  Repro Steps: _x000D_
_x000D_
1  go to the subscribe page of an video  _x000D_
2  quickly press the back icon on the top of the page (before the subscribe page finishes the loading)_x000D_
3  scroll the video list_x000D_
4  the app crashes_x000D_
_x000D_
  Reproducing video _x000D_
_x000D_
  20200325 113143 (https:  user images githubusercontent com 3156978 77527641 c9e61f80 6e8c 11ea 9043 08717fee73bb gif)_x000D_
_x000D_
_x000D_
 Crash stack (from the latest release version 2 971 (2020 03 23 21:22) )_x000D_
_x000D_
   _x000D_
 Process: free rm skytube oss  PID: 4224_x000D_
 java lang IllegalStateException: Fragment ChannelBrowserFragment ca4270d (6120b9bc 445f 40e4 8384 f5355d9d306f)  has not been attached yet _x000D_
 	at androidx fragment app Fragment getChildFragmentManager(Fragment java:923)_x000D_
 	at free rm skytube gui fragments ChannelBrowserFragment initViews(ChannelBrowserFragment java:202)_x000D_
 	at free rm skytube gui fragments ChannelBrowserFragment access 400(ChannelBrowserFragment java:60)_x000D_
 	at free rm skytube gui fragments ChannelBrowserFragment ProcessChannel onGetYouTubeChannel(ChannelBrowserFragment java:267)_x000D_
 	at free rm skytube businessobjects db Tasks GetChannelInfo onPostExecute(GetChannelInfo java:107)_x000D_
 	at free rm skytube businessobjects db Tasks GetChannelInfo onPostExecute(GetChannelInfo java:40)_x000D_
 	at android os AsyncTask finish(AsyncTask java:651)_x000D_
 	at android os AsyncTask  wrap1(AsyncTask java)_x000D_
 	at android os AsyncTask InternalHandler handleMessage(AsyncTask java:668)_x000D_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_x000D_
</t>
  </si>
  <si>
    <t>BiglySoftware-BiglyBT-Android-135</t>
  </si>
  <si>
    <t>Crash when folding up a group of torrents</t>
  </si>
  <si>
    <t xml:space="preserve">When the torrent list has multiple items  grouping rows will appear allowing you to collapse a section   For example  if you sort by State  torrents downloading will be under one header  seeding will be in another  etc _x000D_
_x000D_
Sometimes  when clicking on the button in the header to collapse the section  the app will stall and crash   This happens usually on the bottom most grouping  and when one of the torrents is removed before the header is updated to reflect it </t>
  </si>
  <si>
    <t>react-native-webrtc-react-native-webrtc-764</t>
  </si>
  <si>
    <t>RTCPeerConnection: NoSuchKeyException sdpMLineIndex on Android devices</t>
  </si>
  <si>
    <t xml:space="preserve">     Expected behavior_x000D_
The app shouldn t crash if an exception is thrown in the bridge _x000D_
_x000D_
     Observed behavior_x000D_
When I connect my Android version of the application for the first time there are no issues with the plugin and everything is working as expected  Then the call is ended but User A wants to call User B again (or presumably someone else)  The user provides the pin to connect once again (this is a new pin since the previous one is already released by our signal server) but then the app crashes with the above mentioned exception found in my error reporting tool  Below is the stack trace found in the error tool _x000D_
_x000D_
  Schermafbeelding 2020 03 24 om 20 15 21 (https:  user images githubusercontent com 3715598 77467403 3ff67200 6e0c 11ea 880d 2bcd5391d4d5 png)_x000D_
_x000D_
     Steps to reproduce the problem_x000D_
_x000D_
Below steps are tested on both Android 9 and 10 using separate physical devices_x000D_
_x000D_
1) Create RTCPeerConnection in our case using a pin_x000D_
2) Connect and send messages (this is working fine)_x000D_
3) Disconnect   terminate the connection between the two devices_x000D_
4) Connect once again our signal server release the pin already so we had to use a new one_x000D_
5) Enter the pin to initiate the connection once again _x000D_
6) App crashes with the NoSuchKeyException being reported to error tool_x000D_
_x000D_
     Platform information_x000D_
_x000D_
    React Native version  :  0 61 5_x000D_
    Plugin version  : 1 75 3_x000D_
    OS  : Android _x000D_
    OS version  : Observed on both Android 9 and 10_x000D_
_x000D_
If any code is required in order to complete this bug report  feel free to reach out and I ll be able to add the code  At the current stage  we only have a connection to share messages using the channels and we are not yet streaming anything _x000D_
</t>
  </si>
  <si>
    <t>inaturalist-iNaturalistAndroid-804</t>
  </si>
  <si>
    <t>NullPointerException in ObservationViewerActivity.getCommentIdList</t>
  </si>
  <si>
    <t>https:  console firebase google com u 2 project inaturalist ios crashlytics app android:org inaturalist android issues 9146e4dd3f9d0614697dba086d229c0a time last seven days sessionId 5E7A3453001300014ECAC72ACABEB2B0 DNE 0 v2_x000D_
_x000D_
   _x000D_
Caused by java lang NullPointerException: Attempt to read from field  java lang Integer org inaturalist android Observation id  on a null object reference_x000D_
       at org inaturalist android ObservationViewerActivity getCommentIdList(ObservationViewerActivity java:1528)_x000D_
       at org inaturalist android ObservationViewerActivity onCreate(ObservationViewerActivity java:753)_x000D_
       at android app Activity performCreate(Activity java:6857)_x000D_
       at android app Instrumentation callActivityOnCreate(Instrumentation java:1119)_x000D_
       at android app ActivityThread performLaunchActivity(ActivityThread java:2676)_x000D_
       at android app ActivityThread handleLaunchActivity(ActivityThread java:2784)_x000D_
       at android app ActivityThread  wrap12(ActivityThread java)_x000D_
       at android app ActivityThread H handleMessage(ActivityThread java:1523)_x000D_
       at android os Handler dispatchMessage(Handler java:102)_x000D_
       at android os Looper loop(Looper java:163)_x000D_
       at android app ActivityThread main(ActivityThread java:6238)_x000D_
       at java lang reflect Method invoke(Method java)_x000D_
       at com android internal os ZygoteInit MethodAndArgsCaller run(ZygoteInit java:933)_x000D_
       at com android internal os ZygoteInit main(ZygoteInit java:823)_x000D_
   _x000D_
_x000D_
1 17 12 (401)   1 17 16 (405)</t>
  </si>
  <si>
    <t>nextcloud-android-5735</t>
  </si>
  <si>
    <t>java.lang.RuntimeException: Error receiving broadcast Intent</t>
  </si>
  <si>
    <t xml:space="preserve">    Steps to reproduce_x000D_
1  First off: I do not remember all my steps and cannot reproduce this error_x000D_
2  Navigate to file which is not downloaded yet_x000D_
3  Select the file_x000D_
4  I don t think i saw the Opening dialog_x000D_
5  the App crashed_x000D_
_x000D_
    Expected behaviour_x000D_
  The App does not crash_x000D_
_x000D_
    Actual behaviour_x000D_
  App crashed_x000D_
_x000D_
    Environment data_x000D_
Android version: Android 8 0 0_x000D_
_x000D_
Nextcloud app version: 3 10 1_x000D_
_x000D_
Nextcloud server version: 15 0 14_x000D_
_x000D_
    Logs_x000D_
_x000D_
     Nextcloud log (data nextcloud log)_x000D_
   _x000D_
             CAUSE OF ERROR             _x000D_
_x000D_
java lang RuntimeException: Error receiving broadcast Intent   act com owncloud android files services FileDownloaderDOWNLOAD FINISH flg 0x10 pkg com nextcloud client (has extras)   in com owncloud android ui activity FileDisplayActivity DownloadFinishReceiver 1fbf637_x000D_
	at android app LoadedApk ReceiverDispatcher Args lambda  android app LoadedApk ReceiverDispatcher Args 51615(LoadedApk java:1314)_x000D_
	at android app   Lambda FilBqgnXJrN9Mgyks1XHeAxzSTk  m 0(Unknown Source:4)_x000D_
	at android app   Lambda FilBqgnXJrN9Mgyks1XHeAxzSTk run(Unknown Source:0)_x000D_
	at android os Handler handleCallback(Handler java:789)_x000D_
	at android os Handler dispatchMessage(Handler java:98)_x000D_
	at android os Looper loop(Looper java:164)_x000D_
	at android app ActivityThread main(ActivityThread java:6592)_x000D_
	at java lang reflect Method invoke(Native Method)_x000D_
	at com android internal os Zygote MethodAndArgsCaller run(Zygote java:240)_x000D_
	at com android internal os ZygoteInit main(ZygoteInit java:769)_x000D_
Caused by: java lang NullPointerException: Attempt to invoke interface method  com owncloud android datamodel FileDataStorageManager com owncloud android ui fragment FileFragment ContainerActivity getStorageManager()  on a null object reference_x000D_
	at com owncloud android ui fragment FileDetailFragment updateFileDetails(FileDetailFragment java:555)_x000D_
	at com owncloud android ui activity FileDisplayActivity refreshSecondFragment(FileDisplayActivity java:754)_x000D_
	at com owncloud android ui activity FileDisplayActivity DownloadFinishReceiver onReceive(FileDisplayActivity java:1555)_x000D_
	at android app LoadedApk ReceiverDispatcher Args lambda  android app LoadedApk ReceiverDispatcher Args 51615(LoadedApk java:1304)_x000D_
	    9 more_x000D_
_x000D_
             APP INFORMATION             _x000D_
ID: com nextcloud client_x000D_
Version: 30100190_x000D_
Build flavor: gplay_x000D_
_x000D_
             DEVICE INFORMATION             _x000D_
Brand: motorola_x000D_
Device: addison_x000D_
Model: XT1635 02_x000D_
Id: OPNS27 76 12 22 9_x000D_
Product: addison_x000D_
_x000D_
             FIRMWARE             _x000D_
SDK: 26_x000D_
Release: 8 0 0_x000D_
Incremental: 10_x000D_
   _x000D_
</t>
  </si>
  <si>
    <t>nextcloud-android-5731</t>
  </si>
  <si>
    <t>Nextcloud Android Client crashes when editing a text file.</t>
  </si>
  <si>
    <t xml:space="preserve">    Steps to reproduce_x000D_
1  I added some text to a textfile stored in Nextcloud on my laptop_x000D_
2  I removed that text after viewing the longer file on my phone_x000D_
3  After editing the file on my laptop  I tried to open it on my phone  crashing nextcloud _x000D_
_x000D_
    Expected behaviour_x000D_
  It should not crash  Nextcloud mobile shows the correct expected filesize _x000D_
_x000D_
    Actual behaviour_x000D_
  It crashes everytime I attempt to open the new text file _x000D_
_x000D_
    Can you reproduce this problem on https:  try nextcloud com _x000D_
I m unsure of how to link the trial server to my phone to reproduce    I m not sure what the passcode to link the two is _x000D_
_x000D_
    Environment data_x000D_
Android version: 10_x000D_
_x000D_
_x000D_
Device model: OnePlus 6T_x000D_
_x000D_
Stock or customized system:_x000D_
_x000D_
Nextcloud app version: 3 10 1_x000D_
_x000D_
Nextcloud server version: Version 2 6 4stable Win64 (build 20200303) _x000D_
_x000D_
    Logs_x000D_
     Web server error log_x000D_
   _x000D_
Insert your webserver log here_x000D_
   _x000D_
_x000D_
     Nextcloud log (data nextcloud log)_x000D_
Android data com nextcloud client is empty  There seems to be an expert mode that exposed logs  but may have been removed _x000D_
_x000D_
             CAUSE OF ERROR             _x000D_
_x000D_
java lang NullPointerException: Attempt to invoke virtual method  void androidx appcompat widget SearchView setOnQueryTextListener(androidx appcompat widget SearchView OnQueryTextListener)  on a null object reference_x000D_
	at com owncloud android ui preview PreviewTextFileFragment TextLoadAsyncTask onPostExecute(PreviewTextFileFragment java:216)_x000D_
	at com owncloud android ui preview PreviewTextFileFragment TextLoadAsyncTask onPostExecute(PreviewTextFileFragment java:149)_x000D_
	at android os AsyncTask finish(AsyncTask java:755)_x000D_
	at android os AsyncTask access 900(AsyncTask java:192)_x000D_
	at android os AsyncTask InternalHandler handleMessage(AsyncTask java:772)_x000D_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30100190_x000D_
Build flavor: gplay_x000D_
_x000D_
             DEVICE INFORMATION             _x000D_
Brand: OnePlus_x000D_
Device: OnePlus6T_x000D_
Model: ONEPLUS A6013_x000D_
Id: QKQ1 190716 003_x000D_
Product: OnePlus6TSingle_x000D_
_x000D_
             FIRMWARE             _x000D_
SDK: 29_x000D_
Release: 10_x000D_
Incremental: 2001151848_x000D_
_x000D_
</t>
  </si>
  <si>
    <t>grpc-grpc-java-6850</t>
  </si>
  <si>
    <t>Port is bound if start is Interrupted</t>
  </si>
  <si>
    <t xml:space="preserve">    What version of gRPC Java are you using _x000D_
_x000D_
GRPC 1 25 0  but the problem can be found also in master_x000D_
Netty 4 1 43 Final_x000D_
_x000D_
    What is your environment _x000D_
_x000D_
Linux  OpenJDK 11_x000D_
_x000D_
    What did you expect to see _x000D_
_x000D_
I expected GRPC server not to keep a bound port if the start fails due to interruption _x000D_
_x000D_
    What did you see instead _x000D_
_x000D_
When I interrupt the start of server during binding to a port (https:  github com grpc grpc java blob 74cde7e8b4d4b8e59d6b8383b1557dddbada9f67 netty src main java io grpc netty NettyServer java L248)  the server fails correctly but the port is still bound _x000D_
_x000D_
When the server is starting for the second time  the port is still bound which leads to a failure _x000D_
_x000D_
    Steps to reproduce the bug_x000D_
_x000D_
A little background story: I have nothing to do with GRPC  I am trying to implement restarting Spring Application Context on a signal (HTTP REST call) due to reloading the whole app (the main reason is that the database structures have changed)  The signal can come at any point when the web server is alive  which can be even before the application context is fully refreshed  If the signal comes and there is a thread creating an application context  we interrupt it  discard its result  and start a new context  I hope this explains the role of interruption in my use case _x000D_
_x000D_
One of the beans is a GRpcServerStarter which encloses Server (NettyServer)  If the initialization of this bean is interrupted at the wrong stage (server is binding to a port)  then the future await() is interrupted  server crashes  bean is not created  application context is closed  This however still leads to the port being bound  and the binding leaking _x000D_
_x000D_
   _x000D_
java lang RuntimeException: Interrupted waiting for bind_x000D_
        at io grpc netty NettyServer start(NettyServer java:244)   grpc netty 1 25 0 jar:1 25 0 _x000D_
        at io grpc internal ServerImpl start(ServerImpl java:184)   grpc core 1 25 0 jar:1 25 0 _x000D_
        at io grpc internal ServerImpl start(ServerImpl java:90)   grpc core 1 25 0 jar:1 25 0 _x000D_
        at com ataccama dpe grpc GRpcServerStarter init(GRpcServerStarter java:76)   grpc 0 2 1 jar:0 2 1 _x000D_
        at java base jdk internal reflect NativeMethodAccessorImpl invoke0(Native Method)   na:na _x000D_
        at java base jdk internal reflect NativeMethodAccessorImpl invoke(NativeMethodAccessorImpl java:62)   na:na _x000D_
        at java base jdk internal reflect DelegatingMethodAccessorImpl invoke(DelegatingMethodAccessorImpl java:43)   na:na _x000D_
        at java base java lang reflect Method invoke(Method java:566)   na:na _x000D_
        at org springframework context event ApplicationListenerMethodAdapter doInvoke(ApplicationListenerMethodAdapter java:300)   spring context 5 2 1 RELEASE jar:5 2 1 RELEASE _x000D_
        at org springframework context event ApplicationListenerMethodAdapter processEvent(ApplicationListenerMethodAdapter java:190)   spring context 5 2 1 RELEASE jar:5 2 1 RELEASE _x000D_
        at org springframework context event ApplicationListenerMethodAdapter onApplicationEvent(ApplicationListenerMethodAdapter java:153)   spring context 5 2 1 RELEASE jar:5 2 1 RELEASE _x000D_
        at org springframework context event SimpleApplicationEventMulticaster doInvokeListener(SimpleApplicationEventMulticaster java:172)   spring context 5 2 1 RELEASE jar:5 2 1 RELEASE _x000D_
        at org springframework context event SimpleApplicationEventMulticaster invokeListener(SimpleApplicationEventMulticaster java:165)   spring context 5 2 1 RELEASE jar:5 2 1 RELEASE _x000D_
        at org springframework context event SimpleApplicationEventMulticaster multicastEvent(SimpleApplicationEventMulticaster java:139)   spring context 5 2 1 RELEASE jar:5 2 1 RELEASE _x000D_
        at org springframework context support AbstractApplicationContext publishEvent(AbstractApplicationContext java:403)   spring context 5 2 1 RELEASE jar:5 2 1 RELEASE _x000D_
        at org springframework context support AbstractApplicationContext publishEvent(AbstractApplicationContext java:360)   spring context 5 2 1 RELEASE jar:5 2 1 RELEASE _x000D_
        at org springframework boot context event EventPublishingRunListener started(EventPublishingRunListener java:98)   spring boot 2 2 1 RELEASE jar:2 2 1 RELEASE _x000D_
        at org springframework boot SpringApplicationRunListeners started(SpringApplicationRunListeners java:71)   spring boot 2 2 1 RELEASE jar:2 2 1 RELEASE _x000D_
        at org springframework boot SpringApplication run(SpringApplication java:321)   spring boot 2 2 1 RELEASE jar:2 2 1 RELEASE _x000D_
        at org springframework boot builder SpringApplicationBuilder run(SpringApplicationBuilder java:140)   spring boot 2 2 1 RELEASE jar:2 2 1 RELEASE _x000D_
        at com ataccama one metadata MetadataServerApplication restartApplicationContext(MetadataServerApplication java:78)   app 0 0 0 restart app context SNAPSHOT jar:0 0 0 restart app context SNAPSHOT _x000D_
        at java base java lang Thread run(Thread java:834)   na:na _x000D_
   _x000D_
_x000D_
After this interruption  there is no way to create a new server as the port is used _x000D_
_x000D_
   _x000D_
java lang reflect UndeclaredThrowableException: Failed to invoke event listener method_x000D_
HandlerMethod details: _x000D_
Bean  com ataccama dpe grpc GRpcServerStarter _x000D_
Method  public void com ataccama dpe grpc GRpcServerStarter init() throws java lang Exception _x000D_
Resolved arguments: _x000D_
_x000D_
        at org springframework context event ApplicationListenerMethodAdapter doInvoke(ApplicationListenerMethodAdapter java:317)   spring context 5 2 1 RELEASE jar:5 2 1 RELEASE _x000D_
        at org springframework context event ApplicationListenerMethodAdapter processEvent(ApplicationListenerMethodAdapter java:190)   spring context 5 2 1 RELEASE jar:5 2 1 RELEASE _x000D_
        at org springframework context event ApplicationListenerMethodAdapter onApplicationEvent(ApplicationListenerMethodAdapter java:153)   spring context 5 2 1 RELEASE jar:5 2 1 RELEASE _x000D_
        at org springframework context event SimpleApplicationEventMulticaster doInvokeListener(SimpleApplicationEventMulticaster java:172)   spring context 5 2 1 RELEASE jar:5 2 1 RELEASE _x000D_
        at org springframework context event SimpleApplicationEventMulticaster invokeListener(SimpleApplicationEventMulticaster java:165)   spring context 5 2 1 RELEASE jar:5 2 1 RELEASE _x000D_
        at org springframework context event SimpleApplicationEventMulticaster multicastEvent(SimpleApplicationEventMulticaster java:139)   spring context 5 2 1 RELEASE jar:5 2 1 RELEASE _x000D_
        at org springframework context support AbstractApplicationContext publishEvent(AbstractApplicationContext java:403)   spring context 5 2 1 RELEASE jar:5 2 1 RELEASE _x000D_
        at org springframework context support AbstractApplicationContext publishEvent(AbstractApplicationContext java:360)   spring context 5 2 1 RELEASE jar:5 2 1 RELEASE _x000D_
        at org springframework boot context event EventPublishingRunListener started(EventPublishingRunListener java:98)   spring boot 2 2 1 RELEASE jar:2 2 1 RELEASE _x000D_
        at org springframework boot SpringApplicationRunListeners started(SpringApplicationRunListeners java:71)   spring boot 2 2 1 RELEASE jar:2 2 1 RELEASE _x000D_
        at org springframework boot SpringApplication run(SpringApplication java:321)   spring boot 2 2 1 RELEASE jar:2 2 1 RELEASE _x000D_
        at org springframework boot builder SpringApplicationBuilder run(SpringApplicationBuilder java:140)   spring boot 2 2 1 RELEASE jar:2 2 1 RELEASE _x000D_
        at com ataccama one metadata MetadataServerApplication restartApplicationContext(MetadataServerApplication java:78)   app 0 0 0 restart app context SNAPSHOT jar:0 0 0 restart app context SNAPSHOT _x000D_
        at java base java lang Thread run(Thread java:834)   na:na _x000D_
Caused by: java io IOException: Failed to bind_x000D_
        at io grpc netty NettyServer start(NettyServer java:247)   grpc netty 1 25 0 jar:1 25 0 _x000D_
        at io grpc internal ServerImpl start(ServerImpl java:184)   grpc core 1 25 0 jar:1 25 0 _x000D_
        at io grpc internal ServerImpl start(ServerImpl java:90)   grpc core 1 25 0 jar:1 25 0 _x000D_
        at com ataccama dpe grpc GRpcServerStarter init(GRpcServerStarter java:76)   grpc 0 2 1 jar:0 2 1 _x000D_
        at java base jdk internal reflect NativeMethodAccessorImpl invoke0(Native Method)   na:na _x000D_
        at java base jdk internal reflect NativeMethodAccessorImpl invoke(NativeMethodAccessorImpl java:62)   na:na _x000D_
        at java base jdk internal reflect DelegatingMethodAccessorImpl invoke(DelegatingMethodAccessorImpl java:43)   na:na _x000D_
        at java base java lang reflect Method invoke(Method java:566)   na:na _x000D_
        at org springframework context event ApplicationListenerMethodAdapter doInvoke(ApplicationListenerMethodAdapter java:300)   spring context 5 2 1 RELEASE jar:5 2 1 RELEASE _x000D_
            13 common frames omitted_x000D_
Caused by: java net BindException: Address already in use_x000D_
        at java base sun nio ch Net bind0(Native Method)   na:na _x000D_
        at java base sun nio ch Net bind(Net java:461)   na:na _x000D_
        at java base sun nio ch Net bind(Net java:453)   na:na _x000D_
        at java base sun nio ch ServerSocketChannelImpl bind(ServerSocketChannelImpl java:227)   na:na _x000D_
        at io netty channel socket nio NioServerSocketChannel doBind(NioServerSocketChannel java:134)   netty transport 4 1 43 Final jar:4 1 43 Final _x000D_
        at io netty channel AbstractChannel AbstractUnsafe bind(AbstractChannel java:551)   netty transport 4 1 43 Final jar:4 1 43 Final _x000D_
        at io netty channel DefaultChannelPipeline HeadContext bind(DefaultChannelPipeline java:1346)   netty transport 4 1 43 Final jar:4 1 43 Final _x000D_
        at io netty channel AbstractChannelHandlerContext invokeBind(AbstractChannelHandlerContext java:503)   netty transport 4 1 43 Final jar:4 1 43 Final _x000D_
        at io netty channel AbstractChannelHandlerContext bind(AbstractChannelHandlerContext java:488)   netty transport 4 1 43 Final jar:4 1 43 Final _x000D_
        at io netty channel DefaultChannelPipeline bind(DefaultChannelPipeline java:985)   netty transport 4 1 43 Final jar:4 1 43 Final _x000D_
        at io netty channel AbstractChannel bind(AbstractChannel java:247)   netty transport 4 1 43 Final jar:4 1 43 Final _x000D_
        at io netty bootstrap AbstractBootstrap 2 run(AbstractBootstrap java:344)   netty transport 4 1 43 Final jar:4 1 43 Final _x000D_
        at io netty util concurrent AbstractEventExecutor safeExecute(AbstractEventExecutor java:163)   netty common 4 1 43 Final jar:4 1 43 Final _x000D_
        at io netty util concurrent SingleThreadEventExecutor runAllTasks(SingleThreadEventExecutor java:510)   netty common 4 1 43 Final jar:4 1 43 Final _x000D_
        at io netty channel nio NioEventLoop run(NioEventLoop java:518)   netty transport 4 1 43 Final jar:4 1 43 Final _x000D_
        at io netty util concurrent SingleThreadEventExecutor 6 run(SingleThreadEventExecutor java:1050)   netty common 4 1 43 Final jar:4 1 43 Final _x000D_
        at io netty util internal ThreadExecutorMap 2 run(ThreadExecutorMap java:74)   netty common 4 1 43 Final jar:4 1 43 Final _x000D_
        at io netty util concurrent FastThreadLocalRunnable run(FastThreadLocalRunnable java:30)   netty common 4 1 43 Final jar:4 1 43 Final _x000D_
            1 common frames omitted_x000D_
   _x000D_
_x000D_
I assume that a fix should handle better the InterruptedException by trying to unbind the port  I guess that this bug could be fixed in Netty  however from theit point of view  the binding can still succeed  you were just not patient enough to wait for the result  and it is your problem that you crash </t>
  </si>
  <si>
    <t>TeamNewPipe-NewPipe-3261</t>
  </si>
  <si>
    <t xml:space="preserve">App loops in null pointer with bookmarks exception. </t>
  </si>
  <si>
    <t xml:space="preserve">    _x000D_
Oh no  a bug  It happens  Thanks for reporting an issue with NewPipe _x000D_
_x000D_
Use this template to notify us if you found a bug _x000D_
_x000D_
To make it easier for us to help you please enter detailed information below _x000D_
_x000D_
Please note  we only support the latest version of NewPipe and the master branch  Make sure you have that version installed  If you don t  upgrade   reproduce the problem before opening the issue  The release page (https:  github com TeamNewPipe NewPipe releases latest) is the go to place to get this version  In order to check your app version  open the left drawer and click on  About  _x000D_
_x000D_
P S : Our contribution guidelines might be a nice document to read before you fill out the report :) You can find it at https:  github com TeamNewPipe NewPipe blob HEAD  github CONTRIBUTING md_x000D_
   _x000D_
    Version_x000D_
     Which version are you using     _x000D_
  0 18 7_x000D_
_x000D_
_x000D_
    Steps to reproduce the bug_x000D_
     If you can t reproduce it  please try to give as many details as possible on how you think you got to the bug     _x000D_
Steps to reproduce the behavior:_x000D_
1  Go to  Bookmarks  tab in customized option  _x000D_
2  Press on  Open a video   _x000D_
3  This exception is encountered  _x000D_
4  This loops every time once encountered when the app is opened and does not let you use the app  Back option loops back  App opens with same exception _x000D_
_x000D_
Workaround: Delete application data _x000D_
_x000D_
    Expected behavior_x000D_
Application to recover once error is encountered  _x000D_
_x000D_
    Actual behaviour_x000D_
App opens with an exception each time  _x000D_
   Exception_x000D_
    User Action:   something_x000D_
    Request:   Bookmark_x000D_
    Content Language:   US_x000D_
    Service:   none_x000D_
    Version:   0 18 6_x000D_
    OS:   Linux Android 10   29_x000D_
_x000D_
_x000D_
 details  summary  b Crash log  b   summary  p _x000D_
_x000D_
   _x000D_
java lang NullPointerException: Attempt to invoke virtual method  int java lang String compareToIgnoreCase(java lang String)  on a null object reference_x000D_
	at org schabi newpipe local bookmark BookmarkFragment lambda merge 5(BookmarkFragment java:318)_x000D_
	at org schabi newpipe local bookmark    Lambda BookmarkFragment xyICh5nkFcv vlmtOC6D7 wKbpc compare(Unknown Source:4)_x000D_
	at java util TimSort countRunAndMakeAscending(TimSort java:356)_x000D_
	at java util TimSort sort(TimSort java:220)_x000D_
	at java util Arrays sort(Arrays java:1492)_x000D_
	at java util ArrayList sort(ArrayList java:1470)_x000D_
	at java util Collections sort(Collections java:206)_x000D_
	at org schabi newpipe local bookmark BookmarkFragment merge(BookmarkFragment java:317)_x000D_
	at org schabi newpipe local bookmark BookmarkFragment lambda 5fzG24vJKYacvKjzZORX8tBl ak(Unknown Source:0)_x000D_
	at org schabi newpipe local bookmark    Lambda BookmarkFragment 5fzG24vJKYacvKjzZORX8tBl ak apply(Unknown Source:4)_x000D_
	at io reactivex internal functions Functions Array2Func apply(Functions java:529)_x000D_
	at io reactivex internal functions Functions Array2Func apply(Functions java:516)_x000D_
	at io reactivex internal operators flowable FlowableCombineLatest CombineLatestCoordinator drainAsync(FlowableCombineLatest java:362)_x000D_
	at io reactivex internal operators flowable FlowableCombineLatest CombineLatestCoordinator drain(FlowableCombineLatest java:406)_x000D_
	at io reactivex internal operators flowable FlowableCombineLatest CombineLatestCoordinator innerValue(FlowableCombineLatest java:250)_x000D_
	at io reactivex internal operators flowable FlowableCombineLatest CombineLatestInnerSubscriber onNext(FlowableCombineLatest java:521)_x000D_
	at io reactivex internal operators flowable FlowableSubscribeOn SubscribeOnSubscriber onNext(FlowableSubscribeOn java:97)_x000D_
	at io reactivex internal operators flowable FlowableFlatMapMaybe FlatMapMaybeSubscriber innerSuccess(FlowableFlatMapMaybe java:175)_x000D_
	at io reactivex internal operators flowable FlowableFlatMapMaybe FlatMapMaybeSubscriber InnerObserver onSuccess(FlowableFlatMapMaybe java:397)_x000D_
	at io reactivex internal operators maybe MaybeFromCallable subscribeActual(MaybeFromCallable java:61)_x000D_
	at io reactivex Maybe subscribe(Maybe java:4154)_x000D_
	at io reactivex internal operators flowable FlowableFlatMapMaybe FlatMapMaybeSubscriber onNext(FlowableFlatMapMaybe java:132)_x000D_
	at io reactivex internal operators flowable FlowableObserveOn ObserveOnSubscriber runAsync(FlowableObserveOn java:407)_x000D_
	at io reactivex internal operators flowable FlowableObserveOn BaseObserveOnSubscriber run(FlowableObserveOn java:176)_x000D_
	at io reactivex internal schedulers ExecutorScheduler ExecutorWorker BooleanRunnable run(ExecutorScheduler java:260)_x000D_
	at io reactivex internal schedulers ExecutorScheduler ExecutorWorker run(ExecutorScheduler java:225)_x000D_
	at androidx room TransactionExecutor 1 run(TransactionExecutor java:45)_x000D_
	at java util concurrent ThreadPoolExecutor runWorker(ThreadPoolExecutor java:1167)_x000D_
	at java util concurrent ThreadPoolExecutor Worker run(ThreadPoolExecutor java:641)_x000D_
	at java lang Thread run(Thread java:919)_x000D_
_x000D_
   _x000D_
  p   details _x000D_
 hr _x000D_
_x000D_
_x000D_
    Screenshots Screen records_x000D_
If applicable  add screenshots or a screen recording to help explain your problem  GitHub should support uploading them directly in the issue field  If your file is too big  feel free to paste a link from an image video hoster here instead _x000D_
_x000D_
    Logs_x000D_
If your bug includes a crash  please head over to the  incredible bugreport to markdown converter (https:  teamnewpipe github io CrashReportToMarkdown )  Copy the result  Paste it here:_x000D_
_x000D_
     That s right  here     _x000D_
</t>
  </si>
  <si>
    <t>PhenoApps-Field-Book-121</t>
  </si>
  <si>
    <t>[BUG] CassavaBase BrAPI date formatting issue</t>
  </si>
  <si>
    <t xml:space="preserve">  Describe the bug  _x000D_
App crashes when attempting to connect to CassavaBase and download list of fields  The issue is related to the date formatting used for certain fields in Cassavabase _x000D_
_x000D_
  To Reproduce  _x000D_
1  Authorize Field Book to connect to BrAPI_x000D_
2  Attempt to import new field from BrAPI source_x000D_
_x000D_
  Questions  _x000D_
1  Is this an issue that can be solved by making changes to the javalib PhenoApp library _x000D_
2  Does should BrAPI require a certain format for times dates _x000D_
_x000D_
  LogCat  _x000D_
   _x000D_
2020 03 22 17:56:55 147 30993 31056 com fieldbook tracker E AndroidRuntime: FATAL EXCEPTION: OkHttp Dispatcher_x000D_
    Process: com fieldbook tracker  PID: 30993_x000D_
    org threeten bp format DateTimeParseException: Text  2000 April 11  could not be parsed at index 5_x000D_
        at org threeten bp format DateTimeFormatter parseToBuilder(DateTimeFormatter java:1588)_x000D_
        at org threeten bp format DateTimeFormatter parse(DateTimeFormatter java:1491)_x000D_
        at org threeten bp LocalDate parse(LocalDate java:367)_x000D_
        at io swagger client JSON LocalDateTypeAdapter read(JSON java:235)_x000D_
        at io swagger client JSON LocalDateTypeAdapter read(JSON java:202)_x000D_
        at com google gson internal bind ReflectiveTypeAdapterFactory 1 read(ReflectiveTypeAdapterFactory java:131)_x000D_
        at com google gson internal bind ReflectiveTypeAdapterFactory Adapter read(ReflectiveTypeAdapterFactory java:222)_x000D_
        at com google gson internal bind TypeAdapterRuntimeTypeWrapper read(TypeAdapterRuntimeTypeWrapper java:41)_x000D_
        at com google gson internal bind CollectionTypeAdapterFactory Adapter read(CollectionTypeAdapterFactory java:82)_x000D_
        at com google gson internal bind CollectionTypeAdapterFactory Adapter read(CollectionTypeAdapterFactory java:61)_x000D_
        at com google gson internal bind ReflectiveTypeAdapterFactory 1 read(ReflectiveTypeAdapterFactory java:131)_x000D_
        at com google gson internal bind ReflectiveTypeAdapterFactory Adapter read(ReflectiveTypeAdapterFactory java:222)_x000D_
        at com google gson internal bind ReflectiveTypeAdapterFactory 1 read(ReflectiveTypeAdapterFactory java:131)_x000D_
        at com google gson internal bind ReflectiveTypeAdapterFactory Adapter read(ReflectiveTypeAdapterFactory java:222)_x000D_
        at com google gson Gson fromJson(Gson java:932)_x000D_
        at com google gson Gson fromJson(Gson java:897)_x000D_
        at com google gson Gson fromJson(Gson java:846)_x000D_
        at io swagger client JSON deserialize(JSON java:144)_x000D_
        at io swagger client ApiClient deserialize(ApiClient java:710)_x000D_
        at io swagger client ApiClient handleResponse(ApiClient java:913)_x000D_
        at io swagger client ApiClient 1 onResponse(ApiClient java:879)_x000D_
        at com squareup okhttp Call AsyncCall execute(Call java:177)_x000D_
        at com squareup okhttp internal NamedRunnable run(NamedRunnable java:33)_x000D_
        at java util concurrent ThreadPoolExecutor runWorker(ThreadPoolExecutor java:1167)_x000D_
        at java util concurrent ThreadPoolExecutor Worker run(ThreadPoolExecutor java:641)_x000D_
        at java lang Thread run(Thread java:919)_x000D_
   _x000D_
_x000D_
 ctucker3  nickpalladino  lukasmueller  BrapiCoordinatorSelby  peterrosario </t>
  </si>
  <si>
    <t>Concordia-Campus-Guide-Concordia-Campus-Guide-141</t>
  </si>
  <si>
    <t>Center Coordinates Attribute Null for Some Buildings</t>
  </si>
  <si>
    <t xml:space="preserve">  Describe the bug  _x000D_
When I click on  CI Annex  from the search results in the Search Activity  the app crashes    I believe it is because some buildings are missing the  center coordinates  attributes in the JSON file   _x000D_
_x000D_
  Priority  _x000D_
Medium_x000D_
_x000D_
  Severity  _x000D_
Medium_x000D_
_x000D_
  User Story Reference (Optional)  _x000D_
 21 _x000D_
_x000D_
  To Reproduce  _x000D_
Main Activity     Click on  Geolocalisation button      Click on Search button     Search Activity page     Click on building  Henry F  Hall Building      Routes Activity page     Click on the text field of  From      Search Activity page     Click on  CI Annex      App crashes_x000D_
_x000D_
  Expected behavior  _x000D_
If I click on  Ci Annex   I should be able to then call the Google Directions Map API to get directions from or to that place depending on which text field I clicked on the Routes Activity page _x000D_
_x000D_
  Screenshots  _x000D_
  image (https:  user images githubusercontent com 32084900 77261777 68913700 6c67 11ea 9c71 a135c4a230d8 png)_x000D_
_x000D_
</t>
  </si>
  <si>
    <t>ECE493-Group5-adjustable-audio-67</t>
  </si>
  <si>
    <t>Permissions not handled correctly</t>
  </si>
  <si>
    <t xml:space="preserve">We only check for the read and write external storage  We don t check for the rest of the permissions  This caused an issue on the emulator when only those permissions were enabled  the microphone service crashed and the app failed  </t>
  </si>
  <si>
    <t>nextcloud-android-5709</t>
  </si>
  <si>
    <t>App crashes on first use start  as secondary user/profile</t>
  </si>
  <si>
    <t xml:space="preserve">    Steps to reproduce_x000D_
1  Open app_x000D_
2  Sign in_x000D_
_x000D_
    Expected behaviour_x000D_
  Get into folders view_x000D_
_x000D_
_x000D_
    Actual behaviour_x000D_
  It crashes_x000D_
_x000D_
    Environment data_x000D_
Android version:_x000D_
9_x000D_
_x000D_
Device model: _x000D_
Leenovo YT X705F_x000D_
_x000D_
Nextcloud app version:_x000D_
3 10 1_x000D_
_x000D_
    Logs_x000D_
      App error log_x000D_
   _x000D_
             CAUSE OF ERROR             _x000D_
_x000D_
java lang RuntimeException: Error receiving broadcast Intent   act com owncloud android operations RefreshFolderOperation EVENT SINGLE FOLDER CONTENTS SYNCED flg 0x10 pkg com nextcloud client (has extras)   in com owncloud android ui activity FileDisplayActivity SyncBroadcastReceiver ad71f3e_x000D_
	at android app LoadedApk ReceiverDispatcher Args lambda getRunnable 0(LoadedApk java:1410)_x000D_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java:6859)_x000D_
	at java lang reflect Method invoke(Native Method)_x000D_
	at com android internal os RuntimeInit MethodAndArgsCaller run(RuntimeInit java:493)_x000D_
	at com android internal os ZygoteInit main(ZygoteInit java:858)_x000D_
Caused by: java lang SecurityException: Permission Denial: unbroadcastIntent() from pid 8814  uid 1010171 requires android permission BROADCAST STICKY_x000D_
	at android os Parcel createException(Parcel java:1950)_x000D_
	at android os Parcel readException(Parcel java:1918)_x000D_
	at android os Parcel readException(Parcel java:1868)_x000D_
	at android app IActivityManager Stub Proxy unbroadcastIntent(IActivityManager java:3904)_x000D_
	at android app ContextImpl removeStickyBroadcast(ContextImpl java:1346)_x000D_
	at android content ContextWrapper removeStickyBroadcast(ContextWrapper java:588)_x000D_
	at com owncloud android ui activity FileDisplayActivity SyncBroadcastReceiver onReceive(FileDisplayActivity java:1411)_x000D_
	at android app LoadedApk ReceiverDispatcher Args lambda getRunnable 0(LoadedApk java:1400)_x000D_
	    8 more_x000D_
Caused by: android os RemoteException: Remote stack trace:_x000D_
	at com android server am ActivityManagerService unbroadcastIntent(ActivityManagerService java:22219)_x000D_
	at android app IActivityManager Stub onTransact(IActivityManager java:183)_x000D_
	at com android server am ActivityManagerService onTransact(ActivityManagerService java:3323)_x000D_
	at com android server am WosActivityManagerService onTransact(WosActivityManagerService java:89)_x000D_
	at android os Binder execTransact(Binder java:731)_x000D_
_x000D_
_x000D_
             APP INFORMATION             _x000D_
ID: com nextcloud client_x000D_
Version: 30100190_x000D_
Build flavor: generic_x000D_
_x000D_
             DEVICE INFORMATION             _x000D_
Brand: Lenovo_x000D_
Device: YT X705F_x000D_
Model: Lenovo YT X705F_x000D_
Id: PKQ1 181218 001_x000D_
Product: YT X705F EEA_x000D_
_x000D_
             FIRMWARE             _x000D_
SDK: 28_x000D_
Release: 9_x000D_
Incremental: X705F S001032 191119 ROW_x000D_
   _x000D_
_x000D_
</t>
  </si>
  <si>
    <t>TeamNewPipe-NewPipe-3255</t>
  </si>
  <si>
    <t>Phone crashes when opening "What's New" in the latest two versions</t>
  </si>
  <si>
    <t xml:space="preserve">First of : Awesome app for any phone especially for phones without those Google Bloatware Apps _x000D_
_x000D_
Today I updated from 0 18 4 to 0 18 7 and immediately ran into issues opening the  What s New  tab  Every time I try to do so  the loading circle starts (as usual)  after a second or two the animation stops moving but stays visible  again a few seconds later my phone (not just the app) crashes completely and automatically reboots _x000D_
_x000D_
As you can see  I m not able to submit any regular crash reports  because the app never shows me one  instead the phone shuts down completely  But if you know things I can test to further narrow down the problem  please tell me _x000D_
_x000D_
I use NewPipe for a few months now and this error never occurred previously  The described behavior also happens with the version 0 18 6 (I tried it out  too) that I had skipped (because not updating f droid that often)  I haven t tried 0 18 5 yet as it isn t listed in f droid  Do you thing  is it worth testing this version _x000D_
_x000D_
I m running a Fairphone model 2 with Android 7 1 2 </t>
  </si>
  <si>
    <t>material-components-material-components-android-1130</t>
  </si>
  <si>
    <t>[AppBarLayout] Not detecting Material Theme enforcement in Android 7.0</t>
  </si>
  <si>
    <t xml:space="preserve">  Description:   AppBarLayout crashing on init with  IllegalArgumentException: The style on this component requires your app theme to be Theme AppCompat (or a descendant)   only on Android 7   when the AppBarLayout have a MaterialComponents theme  and the only child is a TabLayout _x000D_
_x000D_
A workaround is to remove the theme attr _x000D_
_x000D_
Following the Exception it seems that only on Android 7 the code is not detecting the enforce material theme attr _x000D_
_x000D_
  imagen (https:  user images githubusercontent com 6831873 77238850 b17aba00 6b99 11ea 99e0 a95f3d86e4c1 png)_x000D_
_x000D_
  Expected behavior:   No problems expected  other parts of my app uses AppBarLayout with Toolbar  and other with Toolbar and TabsLayout without problem using the same MaterialComponets theme _x000D_
_x000D_
  Source code:   _x000D_
_x000D_
   _x000D_
Caused by: java lang IllegalArgumentException: The style on this component requires your app theme to be Theme AppCompat (or a descendant) _x000D_
        at com google android material internal ThemeEnforcement checkTheme(ThemeEnforcement java:243)_x000D_
        at com google android material internal ThemeEnforcement checkAppCompatTheme(ThemeEnforcement java:213)_x000D_
        at com google android material internal ThemeEnforcement checkCompatibleTheme(ThemeEnforcement java:148)_x000D_
        at com google android material internal ThemeEnforcement obtainStyledAttributes(ThemeEnforcement java:76)_x000D_
        at com google android material appbar ViewUtilsLollipop setStateListAnimatorFromAttrs(ViewUtilsLollipop java:46)_x000D_
        at com google android material appbar AppBarLayout  init (AppBarLayout java:215)_x000D_
        at com google android material appbar AppBarLayout  init (AppBarLayout java:199)_x000D_
   _x000D_
_x000D_
   _x000D_
 com google android material appbar AppBarLayout_x000D_
        android:layout width  match parent _x000D_
        android:layout height  wrap content _x000D_
        android:theme   style ThemeOverlay MaterialComponents Dark  _x000D_
_x000D_
         com google android material tabs TabLayout_x000D_
            android:id    id tabs _x000D_
            android:layout width  match parent _x000D_
            android:layout height  wrap content _x000D_
            android:background   android:color transparent _x000D_
            app:tabMode  auto  _x000D_
          com google android material tabs TabLayout _x000D_
      com google android material appbar AppBarLayout _x000D_
   _x000D_
_x000D_
  Android API version:   Android 7 0 (SDK 24)_x000D_
_x000D_
  Material Library version:   1 2 0 alpha05_x000D_
_x000D_
  Device:   Any device with Android 7 0_x000D_
</t>
  </si>
  <si>
    <t>Fr4gorSoftware-SecScanQR-145</t>
  </si>
  <si>
    <t>[BUG] When scanning Data Matrix code SecScanQR crashes</t>
  </si>
  <si>
    <t>I ve tried to scan a data matrix code which contains obviously non ASCII characters (scanned with another scanner) then SecScanQR crashes with the error message  No valid input for this format  _x000D_
Used device: Fairphone 3_x000D_
Example data matrix: https:  www irishapps com wp content uploads 2014 04 Other  2 D  Code  Types 05 jpg</t>
  </si>
  <si>
    <t>k9mail-k-9-4620</t>
  </si>
  <si>
    <t>Crash when saving attachment because no Activity found for CREATE_DOCUMENT Intent</t>
  </si>
  <si>
    <t xml:space="preserve">  I have set up an account with pgp (most messages like the one from logcat are only encrypted  not signed)
  The message text is not shown but a file to show or save is presented
  pressing save crashes 
  open only suggests openkeychain
  Version is 5 707 from f droid
  thunderbird opens the mail inline
    log count   45    
 03 21 10:32:12 109 914:997 I ActivityManager 
Start proc 14095:com fsck k9 u0a272 for service com fsck k9 androidx work impl background systemjob SystemJobService
 03 21 10:32:12 116 14095:14095 E com fsck k9 
Not starting debugger since process cannot load the jdwp agent 
 03 21 10:32:13 396 914:6215 I ActivityManager 
START u0  act android intent action MAIN cat  android intent category LAUNCHER  flg 0x10200000 cmp com fsck k9  activity MessageList bnds  40 1240  312 1616   from uid 10227
 03 21 10:32:13 699 914:993 I ActivityManager 
Displayed com fsck k9  activity MessageList:  276ms
 03 21 10:32:13 830 480:1182 W SurfaceFlinger 
Attempting to set client state on removed layer: Splash Screen com fsck k9 0
 03 21 10:32:13 830 480:1182 W SurfaceFlinger 
Attempting to destroy on removed layer: Splash Screen com fsck k9 0
 03 21 10:32:16 281 14095:14095 I com fsck k9 
The ClassLoaderContext is a special shared library 
 03 21 10:32:16 351 914:997 I ActivityManager 
Start proc 14155:com android webview:sandboxed process0 u0i20 for webview service com fsck k9 org chromium content app SandboxedProcessService0
 03 21 10:32:17 568 914:7800 I ActivityManager 
START u0  act android intent action VIEW dat content:  com fsck k9 tempfileprovider temp 9ca99f367b8b669c80ba814d052dbb6d73a0c320 mime type application octet stream typ application octet stream flg 0x10080001 cmp android com android internal app ResolverActivity  from uid 10272
 03 21 10:32:18 348 14095:14103 I chatty 
uid 10272(com fsck k9) FinalizerDaemon identical 1 line
 03 21 10:32:19 640 14095:14095 E AndroidRuntime 
FATAL EXCEPTION: main
Process: com fsck k9  PID: 14095
android content ActivityNotFoundException: No Activity found to handle Intent   act android intent action CREATE DOCUMENT cat  android intent category OPENABLE  typ  (has extras)  
	at android app Instrumentation checkStartActivityResult(Instrumentation java:2007)
	at android app Instrumentation execStartActivity(Instrumentation java:1673)
	at android app Activity startActivityForResult(Activity java:4587)
	at androidx fragment app FragmentActivity startActivityForResult(FragmentActivity java:675)
	at androidx core app ActivityCompat startActivityForResult(ActivityCompat java:234)
	at androidx fragment app FragmentActivity startActivityFromFragment(FragmentActivity java:795)
	at androidx fragment app FragmentActivity HostCallbacks onStartActivityFromFragment(FragmentActivity java:932)
	at androidx fragment app Fragment startActivityForResult(Fragment java:1278)
	at androidx fragment app Fragment startActivityForResult(Fragment java:1266)
	at com fsck k9 ui messageview MessageViewFragment onSaveAttachment(MessageViewFragment java:818)
	at com fsck k9 ui messageview AttachmentView onSaveButtonClick(AttachmentView java:105)
	at com fsck k9 ui messageview AttachmentView onClick(AttachmentView java:96)
	at android view View performClick(View java:6597)
	at android view View performClickInternal(View java:6574)
	at android view View access 3100(View java:778)
	at android view View PerformClick run(View java:25906)
	at android os Handler handleCallback(Handler java:873)
	at android os Handler dispatchMessage(Handler java:99)
	at android os Looper loop(Looper java:193)
	at android app ActivityThread main(ActivityThread java:6718)
	at java lang reflect Method invoke(Native Method)
	at com android internal os RuntimeInit MethodAndArgsCaller run(RuntimeInit java:491)
	at com android internal os ZygoteInit main(ZygoteInit java:858)
 03 21 10:32:19 646 914:3338 W ActivityManager 
  Force finishing activity com fsck k9  activity MessageList
 03 21 10:32:19 654 914:995 I ActivityManager 
Showing crash dialog for package com fsck k9 u0
 03 21 10:32:20 149 914:994 W ActivityManager 
Activity pause timeout for ActivityRecord 8bc72c4 u0 com fsck k9  activity MessageList t50 f 
 03 21 10:32:21 259 914:3338 W ActivityManager 
  Force finishing activity com fsck k9  activity MessageList
 03 21 10:32:21 263 914:3338 I ActivityManager 
Killing 14095:com fsck k9 u0a272 (adj 0): crash
 03 21 10:32:21 270 480:1902 W SurfaceFlinger 
Attempting to destroy on removed layer: 9fc3519 com fsck k9 com fsck k9 activity MessageList 0
 03 21 10:32:21 333 914:997 I ActivityManager 
Start proc 14216:com fsck k9 u0a272 for broadcast com fsck k9  widget list MessageListWidgetProvider
 03 21 10:32:21 335 14216:14216 E com fsck k9 
Not starting debugger since process cannot load the jdwp agent 
 03 21 10:32:21 454 480:1902 W SurfaceFlinger 
Attempting to destroy on removed layer: 3a0ad17 Application Error: com fsck k9 0
 03 21 10:32:23 912 1434:1434 W NotificationEntryMgr 
removeNotification for unknown key: 0 com fsck k9 5 null 10272
 03 21 10:32:26 428 14216:14229 I com fsck k9 
Waiting for a blocking GC ProfileSaver
 03 21 10:32:26 439 14216:14229 I com fsck k9 
WaitForGcToComplete blocked ProfileSaver on HeapTrim for 11 418ms
 03 21 10:32:29 961 1434:1434 W NotificationEntryMgr 
removeNotification for unknown key: 0 com fsck k9 5 null 10272
 03 21 10:32:50 803 914:914 I NotificationService 
Cannot find enqueued record for key: 0 com fsck k9 5 null 10272
 03 21 10:32:50 813 1434:1434 W NotificationEntryMgr 
removeNotification for unknown key: 0 com fsck k9 5 null 10272
 03 21 10:32:52 834 1434:1434 W NotificationEntryMgr 
removeNotification for unknown key: 0 com fsck k9 5 null 10272
 03 21 10:32:52 856 14216:14238 I WM WorkerWrapper 
Worker result SUCCESS for Work   id af96888a 282c 4d28 b868 08a0560ce31f  tags   com fsck k9 job MailSyncWorker  MailSync    
 03 21 10:35:54 955 914:13084 I ActivityManager 
START u0  act android intent action MAIN cat  android intent category LAUNCHER  flg 0x10200000 cmp com fsck k9  activity MessageList bnds  40 1240  312 1616   from uid 10227
 03 21 10:35:55 315 914:993 I ActivityManager 
Displayed com fsck k9  activity MessageList:  339ms
 03 21 10:35:55 455 480:572 W SurfaceFlinger 
Attempting to set client state on removed layer: Splash Screen com fsck k9 0
 03 21 10:35:55 455 480:572 W SurfaceFlinger 
Attempting to destroy on removed layer: Splash Screen com fsck k9 0
 03 21 10:35:57 746 14216:14216 I com fsck k9 
The ClassLoaderContext is a special shared library 
 03 21 10:35:57 820 914:997 I ActivityManager 
Start proc 14534:com android webview:sandboxed process0 u0i22 for webview service com fsck k9 org chromium content app SandboxedProcessService0
 03 21 10:35:59 285 914:11057 I ActivityManager 
START u0  act android intent action VIEW dat content:  com fsck k9 tempfileprovider temp c7066efdfc06ce2bdf4c7aea9f03be3aab55a3f4 mime type application octet stream typ application octet stream flg 0x10080001 cmp android com android internal app ResolverActivity  from uid 10272
 03 21 10:36:06 446 14216:14224 I chatty 
uid 10272(com fsck k9) FinalizerDaemon identical 1 line
 03 21 10:41:01 212 914:3324 I ActivityManager 
START u0  act android intent action SEND dat content:  com dp logcatapp file provider logs logcat 03 21 2020 10 40 53 txt typ text plain flg 0xb080001 cmp com fsck k9  activity MessageCompose clip  text plain U:content:  com dp logcatapp file provider logs logcat 03 21 2020 10 40 53 txt  (has extras)  from uid 10104
 03 21 10:41:01 583 914:993 I ActivityManager 
Displayed com fsck k9  activity MessageCompose:  331ms
 03 21 10:41:01 708 480:514 W SurfaceFlinger 
Attempting to set client state on removed layer: Splash Screen com fsck k9 0
 03 21 10:41:01 708 480:514 W SurfaceFlinger 
Attempting to destroy on removed layer: Splash Screen com fsck k9 0
 03 21 10:41:01 709 480:1182 W SurfaceFlinger 
Attempting to set client state on removed layer: Surface(name 1c390bc Splash Screen com fsck k9)  0xf2def08   animation leash 0
 03 21 10:41:01 709 480:1182 W SurfaceFlinger 
Attempting to destroy on removed layer: Surface(name 1c390bc Splash Screen com fsck k9)  0xf2def08   animation leash 0
 03 21 10:41:10 470 480:1182 W SurfaceFlinger 
Attempting to set client state on removed layer: com fsck k9 com fsck k9 activity MessageCompose 0
 03 21 10:41:10 470 480:1182 W SurfaceFlinger 
Attempting to destroy on removed layer: com fsck k9 com fsck k9 activity MessageCompose 0
 03 21 10:41:13 984 914:8761 W NotificationService 
Toast already killed  pkg com fsck k9 callback android app ITransientNotification Stub Proxy 2383cd4
   </t>
  </si>
  <si>
    <t>CMPUT301W20T17-BeepBeep-43</t>
  </si>
  <si>
    <t>Confirm a ride when no location is selected will crash the app</t>
  </si>
  <si>
    <t xml:space="preserve">  Describe the bug  _x000D_
Confirm a ride when no location is selected will crash the app_x000D_
</t>
  </si>
  <si>
    <t>inaturalist-iNaturalistAndroid-800</t>
  </si>
  <si>
    <t>NumberFormatException in AndroidStateBundlers</t>
  </si>
  <si>
    <t>https:  console firebase google com u 2 project inaturalist ios crashlytics app android:org inaturalist android issues f7540d84208d27ff2aae9271f995d4cf time last seven days sessionId 5E73AF2D02E600011A7D2460BA2E5085 DNE 0 v2_x000D_
_x000D_
   _x000D_
Caused by java lang NumberFormatException: For input string:   _x000D_
       at java lang Long parseLong(Long java:606)_x000D_
       at java lang Long valueOf(Long java:808)_x000D_
       at org inaturalist android AndroidStateBundlers SetBundler get(AndroidStateBundlers java:69)_x000D_
       at org inaturalist android AndroidStateBundlers SetBundler get(AndroidStateBundlers java:55)_x000D_
       at com evernote android state InjectionHelper getWithBundler(InjectionHelper java:36)_x000D_
       at org inaturalist android ObservationListActivity  StateSaver restore(ObservationListActivity  StateSaver java:75)_x000D_
       at org inaturalist android ObservationListActivity  StateSaver restore(ObservationListActivity  StateSaver java:40)_x000D_
       at com evernote android state StateSaverImpl restoreInstanceState(StateSaverImpl java:85)_x000D_
       at com evernote android state StateSaver restoreInstanceState(StateSaver java:52)_x000D_
       at org inaturalist android INaturalistApp 1 restoreInstanceState(INaturalistApp java:212)_x000D_
       at com livefront bridge BridgeDelegate restoreInstanceState(BridgeDelegate java:145)_x000D_
       at com livefront bridge Bridge restoreInstanceState(Bridge java:68)_x000D_
       at org inaturalist android ObservationListActivity onCreate(ObservationListActivity java:386)_x000D_
       at android app Activity performCreate(Activity java:7136)_x000D_
       at android app Activity performCreate(Activity java:7127)_x000D_
       at android app Instrumentation callActivityOnCreate(Instrumentation java:1272)_x000D_
       at android app ActivityThread performLaunchActivity(ActivityThread java:2899)_x000D_
       at android app ActivityThread handleLaunchActivity(ActivityThread java:3054)_x000D_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java:1814)_x000D_
       at android os Handler dispatchMessage(Handler java:106)_x000D_
       at android os Looper loop(Looper java:280)_x000D_
       at android app ActivityThread main(ActivityThread java:6710)_x000D_
       at java lang reflect Method invoke(Method java)_x000D_
       at com android internal os RuntimeInit MethodAndArgsCaller run(RuntimeInit java:493)_x000D_
       at com android internal os ZygoteInit main(ZygoteInit java:858)_x000D_
   _x000D_
_x000D_
Seems restricted to 1 17 15 (404)</t>
  </si>
  <si>
    <t>ankidroid-Anki-Android-5836</t>
  </si>
  <si>
    <t>Probable Race Condition in Database Commit Code</t>
  </si>
  <si>
    <t xml:space="preserve">Copied from https:  github com ankidroid Anki Android issues 5656 issuecomment 599170516_x000D_
_x000D_
    _x000D_
_x000D_
Probable race conditions during normal operation causing partial writes of JSONObject to the database (tearing)  This would cause hard to quantify data corruption issues _x000D_
_x000D_
 details _x000D_
 summary  b Relevant code  b   summary _x000D_
_x000D_
See:  Database Structure (https:  github com ankidroid Anki Android wiki Database Structure decks jsonobjects) _x000D_
_x000D_
https:  github com ankidroid Anki Android blob 0904169051eae3969402ba3f67dba9629748b515 AnkiDroid src main java com ichi2 libanki Sched java L181 L197_x000D_
  details _x000D_
_x000D_
 details  summary  b Walking through the code  b   summary _x000D_
_x000D_
1  We update an in memory copy of  col decks _x000D_
_x000D_
https:  github com ankidroid Anki Android blob 0904169051eae3969402ba3f67dba9629748b515 AnkiDroid src main java com ichi2 libanki Sched java L181_x000D_
_x000D_
2  We update a database copy of  cards _x000D_
_x000D_
https:  github com ankidroid Anki Android blob 0904169051eae3969402ba3f67dba9629748b515 AnkiDroid src main java com ichi2 libanki Sched java L197_x000D_
_x000D_
  details _x000D_
_x000D_
As seen above  we have an in memory copy of  col decks   whereas  cards  is persisted _x000D_
_x000D_
On crash  this becomes permanent_x000D_
_x000D_
 details  summary  b Why does this work in the happy path   b   summary _x000D_
_x000D_
 Reviewer  performs a  save   onStop() : _x000D_
_x000D_
https:  github com ankidroid Anki Android blob 0904169051eae3969402ba3f67dba9629748b515 AnkiDroid src main java com ichi2 anki Reviewer java L566 L573_x000D_
_x000D_
  details _x000D_
_x000D_
 details  summary  b What are the problems   b   summary _x000D_
_x000D_
   col  needs to be consistent  for example:  col mod   col models   col dconf  depend on data in  col decks  _x000D_
   col  does not support delta based updates due to all fields being JSON  (you can t just update  newToday _x000D_
   col  can be large (mine is  300KB of text)  Desktop addons use it to store arbitrary data  and it contains all the HTML templates _x000D_
  Our use of AsyncTask means that updates to the JSONObjects are nonatomic  We can  and most likely already do experience bugs due to JSON tearing_x000D_
_x000D_
  details _x000D_
_x000D_
 details  summary  b How does Anki deal with it   b   summary _x000D_
_x000D_
Anki takes out a long running transaction over the database  It loses reviews  but stays consistent if the application is killed _x000D_
_x000D_
  details _x000D_
_x000D_
 details  summary  b What can we do   b   summary _x000D_
_x000D_
Assuming  don t crash the application  so we don t need to deal with this  isn t an acceptable answer and that we shouldn t allow for JSON tearing _x000D_
_x000D_
  1   _x000D_
_x000D_
  Convert all operations over  col  to be atomic  _x000D_
  We can now save  col  at an arbitrary time without bugs _x000D_
  Determine a strategy to synchronise the saving of  col  and  cards  which won t kill performance _x000D_
_x000D_
  2   _x000D_
_x000D_
Investigate whether we can do the same as Anki and implement  DB commit()  _x000D_
_x000D_
I don t know why we don t  Perhaps: _x000D_
_x000D_
  Didn t want the risk of the Android lifecycle losing work  onDestroy()  _x000D_
  Multithreading issues_x000D_
  The API didn t support it at the time  _x000D_
  We never got around to it_x000D_
_x000D_
 nobnago appears to have made the commits  and hasn t been active for a long time _x000D_
_x000D_
https:  github com ankidroid Anki Android commit dc75d1b44b01d80ac4657d87605dc99cec48b11f diff ccc5a0b819c0b77e6993c497931a9c6bR82_x000D_
_x000D_
  details _x000D_
_x000D_
    _x000D_
_x000D_
I imagine it s going to be complex and time intensive to solve this  It d be useful to know the historic context behind  DB commit()  not being implemented </t>
  </si>
  <si>
    <t>CMPUT301W20T17-BeepBeep-39</t>
  </si>
  <si>
    <t>App crash when viewing driver profile in order history when the order have no drive</t>
  </si>
  <si>
    <t xml:space="preserve">  Describe the bug  _x000D_
App crash when viewing driver profile in order history when the order have no drive_x000D_
_x000D_
  Expected behavior  _x000D_
Should hide view button when no driver is associated with the order_x000D_
</t>
  </si>
  <si>
    <t>CMPUT301W20T17-BeepBeep-38</t>
  </si>
  <si>
    <t>App crash when trying to view Order History</t>
  </si>
  <si>
    <t xml:space="preserve">  Describe the bug  _x000D_
App crash when trying to view Order History_x000D_
_x000D_
  Error Message _x000D_
    2020 03 18 23:37:44 473 10531 10531 com example beepbeep E AndroidRuntime: FATAL _x000D_
    EXCEPTION: main_x000D_
        Process: com example beepbeep  PID: 10531_x000D_
        java lang RuntimeException: Could not deserialize object  Class com example beepbeep Order _x000D_
    does not define a no argument constructor  If you are using ProGuard  make sure these constructors are not stripped_x000D_
            at com google firebase firestore util CustomClassMapper deserializeError(com google firebase:firebase firestore  21 4 0:563)_x000D_
        at com google firebase firestore util CustomClassMapper access 200(com google firebase:firebase firestore  21 4 0:54)_x000D_
        at com google firebase firestore util CustomClassMapper BeanMapper deserialize(com google firebase:firebase firestore  21 4 0:749)_x000D_
        at com google firebase firestore util CustomClassMapper BeanMapper deserialize(com google firebase:firebase firestore  21 4 0:741)_x000D_
        at com google firebase firestore util CustomClassMapper convertBean(com google firebase:firebase firestore  21 4 0:542)_x000D_
        at com google firebase firestore util CustomClassMapper deserializeToClass(com google firebase:firebase firestore  21 4 0:253)_x000D_
        at com google firebase firestore util CustomClassMapper convertToCustomClass(com google firebase:firebase firestore  21 4 0:100)_x000D_
        at com google firebase firestore DocumentSnapshot toObject(com google firebase:firebase firestore  21 4 0:210)_x000D_
        at com google firebase firestore DocumentSnapshot toObject(com google firebase:firebase firestore  21 4 0:188)_x000D_
        at com example beepbeep OrderHistoryActivity 1 1 onComplete(OrderHistoryActivity java:74)_x000D_
        at com google android gms tasks zzj run(Unknown Source:4)_x000D_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t>
  </si>
  <si>
    <t>Concordia-Campus-Guide-Concordia-Campus-Guide-117</t>
  </si>
  <si>
    <t>Application is open before user permissions are given.</t>
  </si>
  <si>
    <t xml:space="preserve">  Describe the bug  _x000D_
The application starts running before the user gave permission for google calendar and his location which leads to a crash of the whole app_x000D_
_x000D_
  Priority  _x000D_
High_x000D_
_x000D_
  Severity  _x000D_
High_x000D_
_x000D_
  To Reproduce  _x000D_
1   reinstall the application from scratch (first time)_x000D_
2   click on allow all the time for the location_x000D_
3   exit the app_x000D_
4  reopen the app_x000D_
5  the app crashes _x000D_
_x000D_
  Expected behavior  _x000D_
the user should be asked for the current location and then calendar and then it should allow the user to use the application _x000D_
</t>
  </si>
  <si>
    <t>nextcloud-android-5686</t>
  </si>
  <si>
    <t xml:space="preserve">crash when creating new folders on cloud </t>
  </si>
  <si>
    <t xml:space="preserve">app crashes when creating new folder on cloud within instant upload dialog _x000D_
_x000D_
_x000D_
             CAUSE OF ERROR             _x000D_
_x000D_
java lang NullPointerException: Attempt to invoke virtual method  java lang String com owncloud android datamodel OCFile getRemotePath()  on a null object reference_x000D_
	at com owncloud android ui dialog CreateFolderDialogFragment onClick(CreateFolderDialogFragment java:140)_x000D_
	at androidx appcompat app AlertController ButtonHandler handleMessage(AlertController java:167)_x000D_
	at android os Handler dispatchMessage(Handler java:107)_x000D_
	at android os Looper loop(Looper java:237)_x000D_
	at android app ActivityThread main(ActivityThread java:7811)_x000D_
	at java lang reflect Method invoke(Native Method)_x000D_
	at com android internal os RuntimeInit MethodAndArgsCaller run(RuntimeInit java:493)_x000D_
	at com android internal os ZygoteInit main(ZygoteInit java:1076)_x000D_
_x000D_
             APP INFORMATION             _x000D_
ID: com nextcloud client_x000D_
Version: 30100190_x000D_
Build flavor: gplay_x000D_
_x000D_
             DEVICE INFORMATION             _x000D_
Brand: samsung_x000D_
Device: starlte_x000D_
Model: SM G960F_x000D_
Id: QP1A 190711 020_x000D_
Product: starltexx_x000D_
_x000D_
             FIRMWARE             _x000D_
SDK: 29_x000D_
Release: 10_x000D_
Incremental: G960FXXS7DTB5_x000D_
</t>
  </si>
  <si>
    <t>JakeWharton-dagger-reflect-188</t>
  </si>
  <si>
    <t>Cumbersome injection with generics</t>
  </si>
  <si>
    <t xml:space="preserve">As an exercise purpose  I m trying to add Dagger Reflect to  Plaid (https:  github com android plaid) project  After all necessary changes to make project compile I got runtime crash _x000D_
_x000D_
The issue is that    HomeActivity   (https:  github com android plaid blob master app src main java io plaidapp ui HomeActivity kt) should be injected by    HomeComponent   (https:  github com android plaid blob master app src main java io plaidapp dagger HomeComponent kt)  The issue is that   HomeComponent   doesn t declare the inject method directly but rather implements generic injector interface    BaseActivityComponent   (https:  github com android plaid blob master core src main java io plaidapp core dagger BaseComponent kt)   Which implements    BaseComponent   (https:  github com android plaid blob master core src main java io plaidapp core dagger BaseComponent kt) that has generic method _x000D_
   _x000D_
fun inject(target: T)_x000D_
   _x000D_
_x000D_
During debug  I see that reflection is looking to parameter type of the method declaration which is resoled to   Object    rather than taking the type of the passed parameter   HomeActivity   _x000D_
_x000D_
I wonder what are you thoughts about the issue and the approach taken in the plaid app </t>
  </si>
  <si>
    <t>inaturalist-iNaturalistAndroid-797</t>
  </si>
  <si>
    <t>ArrayIndexOutOfBoundsException in ObservationEditor</t>
  </si>
  <si>
    <t>https:  console firebase google com u 2 project inaturalist ios crashlytics app android:org inaturalist android issues 6d6fb344b967d8cba148353e089ed983 time last seven days sessionId 5E7138BF00510001458A53BDA7F8D7EE DNE 0 v2_x000D_
_x000D_
   _x000D_
Caused by java lang ArrayIndexOutOfBoundsException: length 1  index 1_x000D_
       at org inaturalist android ObservationEditor onActivityResult(ObservationEditor java:2212)_x000D_
       at android app Activity dispatchActivityResult(Activity java:6539)_x000D_
       at android app ActivityThread deliverResults(ActivityThread java:3936)_x000D_
       at android app ActivityThread handleSendResult(ActivityThread java:3983)_x000D_
       at android app ActivityThread  wrap16(ActivityThread java)_x000D_
       at android app ActivityThread H handleMessage(ActivityThread java:1548)_x000D_
       at android os Handler dispatchMessage(Handler java:111)_x000D_
       at android os Looper loop(Looper java:207)_x000D_
       at android app ActivityThread main(ActivityThread java:5765)_x000D_
       at java lang reflect Method invoke(Method java)_x000D_
       at com android internal os ZygoteInit MethodAndArgsCaller run(ZygoteInit java:798)_x000D_
       at com android internal os ZygoteInit main(ZygoteInit java:688)_x000D_
   _x000D_
_x000D_
Seems restricted to 1 17 12 (401)</t>
  </si>
  <si>
    <t>getodk-collect-3716</t>
  </si>
  <si>
    <t>Crash on showing dialog in `FormEntryActivity`</t>
  </si>
  <si>
    <t xml:space="preserve">     Software and hardware versions_x000D_
_x000D_
Collect v1 26 0_x000D_
_x000D_
     Problem description_x000D_
_x000D_
Crash seen here: https:  console firebase google com u 0 project api project 322300403941 crashlytics app android:org odk collect android issues bf051feb273e3d30681ddb9a2ddd904e time last seven days sessionId 5E708A2A032800013C6E3F1318645699 DNE 2 v2_x000D_
_x000D_
   _x000D_
Fatal Exception: java lang RuntimeException: Failure delivering result ResultInfo who  android:requestPermissions:  request 42  result  1  data Intent   act android content pm action REQUEST PERMISSIONS (has extras)    to activity  org odk collect android com karumi dexter DexterActivity : java lang IllegalStateException: Can not perform this action after onSaveInstanceState_x000D_
       at android app ActivityThread deliverResults(ActivityThread java:5004)_x000D_
       at android app ActivityThread handleSendResult(ActivityThread java:5047)_x000D_
       at android app ActivityThread access 1600(ActivityThread java:229)_x000D_
       at android app ActivityThread H handleMessage(ActivityThread java:1875)_x000D_
       at android os Handler dispatchMessage(Handler java:102)_x000D_
       at android os Looper loop(Looper java:148)_x000D_
       at android app ActivityThread main(ActivityThread java:7406)_x000D_
       at java lang reflect Method invoke(Method java)_x000D_
       at com android internal os ZygoteInit MethodAndArgsCaller run(ZygoteInit java:1230)_x000D_
       at com android internal os ZygoteInit main(ZygoteInit java:1120)_x000D_
_x000D_
Caused by java lang IllegalStateException: Can not perform this action after onSaveInstanceState_x000D_
       at androidx fragment app FragmentManagerImpl checkStateLoss(FragmentManagerImpl java:1536)_x000D_
       at androidx fragment app FragmentManagerImpl enqueueAction(FragmentManagerImpl java:1558)_x000D_
       at androidx fragment app BackStackRecord commitInternal(BackStackRecord java:317)_x000D_
       at androidx fragment app BackStackRecord commit(BackStackRecord java:282)_x000D_
       at androidx fragment app DialogFragment show(DialogFragment java:172)_x000D_
       at org odk collect android utilities DialogUtils showIfNotShowing(DialogUtils java:159)_x000D_
       at org odk collect android activities FormEntryActivity loadFromIntent(FormEntryActivity java:628)_x000D_
       at org odk collect android activities FormEntryActivity loadForm(FormEntryActivity java:504)_x000D_
       at org odk collect android activities FormEntryActivity access 200(FormEntryActivity java:202)_x000D_
       at org odk collect android activities FormEntryActivity 9 granted(FormEntryActivity java:2339)_x000D_
       at org odk collect android utilities PermissionUtils 8 granted(PermissionUtils java:233)_x000D_
       at org odk collect android utilities PermissionUtils 10 onPermissionGranted(PermissionUtils java:283)_x000D_
       at com karumi dexter MultiplePermissionsListenerToPermissionListenerAdapter onPermissionsChecked(MultiplePermissionsListenerToPermissionListenerAdapter java)_x000D_
       at com karumi dexter MultiplePermissionListenerThreadDecorator 1 run(MultiplePermissionListenerThreadDecorator java)_x000D_
       at com karumi dexter MainThread execute(MainThread java)_x000D_
       at com karumi dexter MultiplePermissionListenerThreadDecorator onPermissionsChecked(MultiplePermissionListenerThreadDecorator java)_x000D_
       at com karumi dexter DexterInstance onPermissionsChecked(DexterInstance java)_x000D_
       at com karumi dexter DexterInstance updatePermissionsAsGranted(DexterInstance java)_x000D_
       at com karumi dexter DexterInstance onPermissionRequestGranted(DexterInstance java)_x000D_
       at com karumi dexter Dexter onPermissionsRequested(Dexter java)_x000D_
       at com karumi dexter DexterActivity onRequestPermissionsResult(DexterActivity java)_x000D_
       at android app Activity dispatchRequestPermissionsResult(Activity java:7291)_x000D_
       at android app Activity dispatchActivityResult(Activity java:7169)_x000D_
       at android app ActivityThread deliverResults(ActivityThread java:5000)_x000D_
       at android app ActivityThread handleSendResult(ActivityThread java:5047)_x000D_
       at android app ActivityThread access 1600(ActivityThread java:229)_x000D_
       at android app ActivityThread H handleMessage(ActivityThread java:1875)_x000D_
       at android os Handler dispatchMessage(Handler java:102)_x000D_
       at android os Looper loop(Looper java:148)_x000D_
       at android app ActivityThread main(ActivityThread java:7406)_x000D_
       at java lang reflect Method invoke(Method java)_x000D_
       at com android internal os ZygoteInit MethodAndArgsCaller run(ZygoteInit java:1230)_x000D_
       at com android internal os ZygoteInit main(ZygoteInit java:1120)_x000D_
   _x000D_
_x000D_
     Steps to reproduce the problem_x000D_
_x000D_
Will investigate and see if I can work out a way to repoduce _x000D_
_x000D_
     Expected behavior_x000D_
_x000D_
No crash _x000D_
</t>
  </si>
  <si>
    <t>jaychenblue-scout-concordia-170</t>
  </si>
  <si>
    <t>D-5 Bug when accessing Google calendar after removing Google account form device</t>
  </si>
  <si>
    <t xml:space="preserve">  ID  : D 5_x000D_
  Name  : Application crashes upon user visiting the CalendarActivity after having previosuly accessed their calendar  not signing out and then removing their Google account from the device _x000D_
  Related to issue  :  165 _x000D_
  Reported by  : Averynder _x000D_
  Submitted  : 16 03 2020_x000D_
     Environment  _x000D_
  Device  : Galaxy A8_x000D_
  API Version  : Api 28_x000D_
     Details  _x000D_
  Summary  : When user has previously accessed their Google calendar and did not sign out  the application will crash if they remove their account from the device and the try to access the calendar on the ScoutConcordia application  The application works fine if Google account is not removed from the device _x000D_
_x000D_
  Steps to reproduce  :_x000D_
   1  Access Google Calendar on the ScoutConcordia app_x000D_
   2  Remove Google account from the device_x000D_
   3  Try to access the Google Calendar again on the ScoutConcorda ap_x000D_
  Expected results  :_x000D_
    User should be asked to sign in again when the try to access their calendar after removing their account from the device and have not set up their account again _x000D_
  Actual results  :_x000D_
   The application crashes_x000D_
_x000D_
     Severity  _x000D_
  Severity  : Critical_x000D_
  Priority  : High_x000D_
  image (https:  user images githubusercontent com 46825370 76804885 ce874580 67b3 11ea 9d4e c5dda51b1f5c png)_x000D_
</t>
  </si>
  <si>
    <t>commons-app-apps-android-commons-3531</t>
  </si>
  <si>
    <t>Application crashes when clicking the GridView adapter of Bookmarks.</t>
  </si>
  <si>
    <t xml:space="preserve">  Summary:   _x000D_
Application crashes when clicking the grid view after changing the theme in Bookmarks _x000D_
_x000D_
  Steps to reproduce:   _x000D_
_x000D_
  Go to the bookmarks section_x000D_
  Change the theme by going to the navigation drawer_x000D_
  Go back to the Bookmarks section_x000D_
  Select one image view in the Grid view_x000D_
_x000D_
  System logs:  _x000D_
_x000D_
   _x000D_
    java lang NullPointerException: Attempt to invoke virtual method  android widget ListAdapter android widget GridView getAdapter()  on a null object reference_x000D_
        at fr free nrw commons bookmarks pictures BookmarkPicturesFragment getAdapter(BookmarkPicturesFragment java:228)_x000D_
        at fr free nrw commons bookmarks BookmarksPagerAdapter getMediaAdapter(BookmarksPagerAdapter java:57)_x000D_
        at fr free nrw commons bookmarks BookmarksActivity getTotalMediaCount(BookmarksActivity java:137)_x000D_
        at fr free nrw commons media MediaDetailPagerFragment MediaDetailAdapter getCount(MediaDetailPagerFragment java:384)_x000D_
        at androidx viewpager widget ViewPager setAdapter(ViewPager java:532)_x000D_
        at fr free nrw commons media MediaDetailPagerFragment onCreateView(MediaDetailPagerFragment java:100)_x000D_
        at androidx fragment app Fragment performCreateView(Fragment java:2440)_x000D_
        at androidx fragment app FragmentManagerImpl moveToState(FragmentManagerImpl java:885)_x000D_
        at androidx fragment app FragmentManagerImpl moveFragmentToExpectedState(FragmentManagerImpl java:1229)_x000D_
        at androidx fragment app FragmentManagerImpl moveToState(FragmentManagerImpl java:1295)_x000D_
        at androidx fragment app BackStackRecord executeOps(BackStackRecord java:686)_x000D_
        at androidx fragment app FragmentManagerImpl executeOps(FragmentManagerImpl java:2057)_x000D_
        at androidx fragment app FragmentManagerImpl executeOpsTogether(FragmentManagerImpl java:1847)_x000D_
        at androidx fragment app FragmentManagerImpl removeRedundantOperationsAndExecute(FragmentManagerImpl java:1802)_x000D_
        at androidx fragment app FragmentManagerImpl execPendingActions(FragmentManagerImpl java:1709)_x000D_
        at androidx fragment app FragmentManagerImpl executePendingTransactions(FragmentManagerImpl java:229)_x000D_
        at fr free nrw commons bookmarks BookmarksActivity onItemClick(BookmarksActivity java:96)_x000D_
        at android widget AdapterView performItemClick(AdapterView java:330)_x000D_
        at android widget AbsListView performItemClick(AbsListView java:1190)_x000D_
        at android widget AbsListView PerformClick run(AbsListView java:3198)_x000D_
        at android widget AbsListView 3 run(AbsListView java:4116)_x000D_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_x000D_
  Device and Android version:   _x000D_
_x000D_
Device name   Pixel 3a XL_x000D_
Android version   Android 10_x000D_
API level   29_x000D_
 _x000D_
  Commons app version:   _x000D_
2 12 3_x000D_
_x000D_
_x000D_
_x000D_
  Would you like to work on the issue   _x000D_
yes_x000D_
</t>
  </si>
  <si>
    <t>wiglenet-wigle-wifi-wardriving-410</t>
  </si>
  <si>
    <t>[FIX] m8b exception from cluster 25369553</t>
  </si>
  <si>
    <t>someone had a bad MAC address passed to m8b gen in crashlogs</t>
  </si>
  <si>
    <t>nextcloud-android-5669</t>
  </si>
  <si>
    <t>App crash when connecting DAVx5</t>
  </si>
  <si>
    <t xml:space="preserve">    Steps to reproduce_x000D_
Not entirely sure  I was setting up DAVx5  OpenTasks  and Etar for the first time  I started the connection process in Davx5  then spent some time customizing the connection  When I backed out of the app  whatever it returned to crashed apparently _x000D_
_x000D_
    Environment data_x000D_
Android version: 9 0_x000D_
_x000D_
Device model: NOOK Tablet 10 1 _x000D_
_x000D_
Stock or customized system: Phh Treble 9 0_x000D_
_x000D_
Nextcloud app version: 3 10 1_x000D_
_x000D_
Nextcloud server version: 15 0 5_x000D_
_x000D_
    Logs_x000D_
     Web server error log_x000D_
 Nothing for today s date _x000D_
_x000D_
     Nextcloud log (data nextcloud log)_x000D_
 Unsure of what log this is   _x000D_
_x000D_
  See below for app generated error message:  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Caused by: java lang IllegalArgumentException: Trying to execute a remote operation with a NULL Context_x000D_
	at com owncloud android lib common operations RemoteOperation execute(RemoteOperation java:125)_x000D_
	at com owncloud android ui fragment contactsbackup ContactsBackupFragment 2 doInBackground(ContactsBackupFragment java:225)_x000D_
	at com owncloud android ui fragment contactsbackup ContactsBackupFragment 2 doInBackground(ContactsBackupFragment java:213)_x000D_
	at android os AsyncTask 2 call(AsyncTask java:333)_x000D_
	at java util concurrent FutureTask run(FutureTask java:266)_x000D_
	    4 more_x000D_
_x000D_
             APP INFORMATION             _x000D_
ID: com nextcloud client_x000D_
Version: 30100190_x000D_
Build flavor: generic_x000D_
_x000D_
             DEVICE INFORMATION             _x000D_
Brand: Android_x000D_
Device: phhgsi arm64 a_x000D_
Model: Phh Treble with GApps_x000D_
Id: PQ3B 190801 002_x000D_
Product: treble arm64 agS_x000D_
_x000D_
             FIRMWARE             _x000D_
SDK: 28_x000D_
Release: 9_x000D_
Incremental: 191210_x000D_
</t>
  </si>
  <si>
    <t>jaychenblue-scout-concordia-167</t>
  </si>
  <si>
    <t>D-# Bug when trying to display a calendar with events with no start and end dates (reminders)</t>
  </si>
  <si>
    <t xml:space="preserve">  ID  : x_x000D_
  Name  : Bug when trying to display a calendar with events with no start and end dates (reminders)_x000D_
  Related to issue  :  7   34    130  related to pull request  165 _x000D_
  Reported by  : Jennifer Younanian_x000D_
  Submitted  : 15 03 2020_x000D_
     Environment   _x000D_
  Device  : Pixel 3_x000D_
  API Version  : 28_x000D_
     Details  _x000D_
  Summary  : when trying to open a calendar  if it has events with no start and end dates  for example  reminders  _x000D_
  Steps to reproduce  :_x000D_
1  Sign in to google account_x000D_
2  Select a calendar with reminders or whole day events_x000D_
(will attach pictures in comments below)_x000D_
  Expected results  :_x000D_
Reminders and tasks are not displayed and a message is displayed notifying the user of the fact that reminders are not displayed  _x000D_
  Actual results  :_x000D_
Application crashes  _x000D_
     Severity  _x000D_
  Severity  : High_x000D_
  Priority  : High</t>
  </si>
  <si>
    <t>opensrp-opensrp-client-chw-hf-55</t>
  </si>
  <si>
    <t>Ensure a child profile can be opened on the HF Child profile</t>
  </si>
  <si>
    <t xml:space="preserve">      When you click on child profile from Child register on the HF side  it should take you to the child  It now results in app crashing_x000D_
_x000D_
Replicate:_x000D_
  Log in_x000D_
  Open child register_x000D_
  Click a child record_x000D_
  Error:  Unfortunately  Kituoni has stopped </t>
  </si>
  <si>
    <t>opensrp-opensrp-client-chw-family-planning-62</t>
  </si>
  <si>
    <t>CMPUT301W20T07-arrival-83</t>
  </si>
  <si>
    <t>Empty Fare Crashes App</t>
  </si>
  <si>
    <t xml:space="preserve">App Version: at least  81_x000D_
Device: HUAWEI MediaPad T3 10_x000D_
Android Version: 7 0_x000D_
_x000D_
What happened: If the fare is left empty in the RideRequestConfFrag java dialog and the user pressed OK  the app will crash  _x000D_
_x000D_
Expected: At the very least  the app shouldn t crash  Ideally  it should display that I need to enter a fare with an icon _x000D_
_x000D_
</t>
  </si>
  <si>
    <t>CMPUT301W20T07-arrival-82</t>
  </si>
  <si>
    <t>RiderMapActivity Crashes W/ Empty Destination</t>
  </si>
  <si>
    <t xml:space="preserve">App Version: at least  81 _x000D_
Device: HUAWEI MediaPad T3 10_x000D_
Android Version: 7 0_x000D_
_x000D_
What happened: If the destination field is left black on the RiderMapActivity  and the user pressed the btnRequestRide button  the app crashes  Throws an indexOutOfBoundsExcpetion at RideRequestConfFrag java:72_x000D_
_x000D_
Expected: At the very least  the app shouldn t crash  Ideally  it should display that I need to enter a destination with an icon  </t>
  </si>
  <si>
    <t>MakerStation-FabCatApp-4</t>
  </si>
  <si>
    <t>Reset all threads not working</t>
  </si>
  <si>
    <t xml:space="preserve">It just crashes  we need to investigate </t>
  </si>
  <si>
    <t>MakerStation-FabCatApp-3</t>
  </si>
  <si>
    <t>Error during bluetooth disconnection</t>
  </si>
  <si>
    <t xml:space="preserve">If the remote device disconnects and the warning popup isn t triggered  if you press disconnect the app will crash _x000D_
We probably need to add some null checks </t>
  </si>
  <si>
    <t>inaturalist-iNaturalistAndroid-796</t>
  </si>
  <si>
    <t>NullPointerException in ObservationEditor.revertPhotosAndSounds</t>
  </si>
  <si>
    <t>https:  console firebase google com u 2 project inaturalist ios crashlytics app android:org inaturalist android issues 15200c2ef2581779ac7f49867b3935ea time last seven days sessionId 5E6B6A7F03A80001249332223D9D67E1 DNE 0 v2_x000D_
_x000D_
   _x000D_
Fatal Exception: java lang NullPointerException: Attempt to invoke virtual method  java util Iterator java util ArrayList iterator()  on a null object reference_x000D_
       at org inaturalist android ObservationEditor revertPhotosAndSounds(ObservationEditor java:1150)_x000D_
       at org inaturalist android ObservationEditor access 2700(ObservationEditor java:135)_x000D_
       at org inaturalist android ObservationEditor 20 run(ObservationEditor java:1136)_x000D_
       at org inaturalist android ObservationEditor 39 onClick(ObservationEditor java:3647)_x000D_
       at com android internal app AlertController ButtonHandler handleMessage(AlertController java:177)_x000D_
       at android os Handler dispatchMessage(Handler java:105)_x000D_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_x000D_
_x000D_
Restricted to 1 17 12 (401)</t>
  </si>
  <si>
    <t>inaturalist-iNaturalistAndroid-795</t>
  </si>
  <si>
    <t>NullPointerException in ObservationEditor.getOutputMediaFileUri</t>
  </si>
  <si>
    <t>https:  console firebase google com u 2 project inaturalist ios crashlytics app android:org inaturalist android issues 325c173141b41c0130d635c82aee4b78 time last seven days sessionId 5E6ADBCC0104000108A3EEDF6D485E22 DNE 0 v2_x000D_
_x000D_
   _x000D_
Caused by java lang NullPointerException: Attempt to invoke virtual method  long java sql Timestamp getTime()  on a null object reference_x000D_
       at org inaturalist android ObservationEditor getOutputMediaFileUri(ObservationEditor java:1715)_x000D_
       at org inaturalist android ObservationEditor choosePhoto(ObservationEditor java:1062)_x000D_
       at org inaturalist android ObservationEditor onCreate(ObservationEditor java:683)_x000D_
       at android app Activity performCreate(Activity java:6757)_x000D_
       at android app Instrumentation callActivityOnCreate(Instrumentation java:1119)_x000D_
       at android app ActivityThread performLaunchActivity(ActivityThread java:2703)_x000D_
       at android app ActivityThread handleLaunchActivity(ActivityThread java:2811)_x000D_
       at android app ActivityThread  wrap12(ActivityThread java)_x000D_
       at android app ActivityThread H handleMessage(ActivityThread java:1528)_x000D_
       at android os Handler dispatchMessage(Handler java:102)_x000D_
       at android os Looper loop(Looper java:154)_x000D_
       at android app ActivityThread main(ActivityThread java:6316)_x000D_
       at java lang reflect Method invoke(Method java)_x000D_
       at com android internal os ZygoteInit MethodAndArgsCaller run(ZygoteInit java:872)_x000D_
       at com android internal os ZygoteInit main(ZygoteInit java:762)_x000D_
   _x000D_
_x000D_
Seems restricted to 1 17 12 (401)</t>
  </si>
  <si>
    <t>commons-app-apps-android-commons-3507</t>
  </si>
  <si>
    <t>App Crashes in MediaDetailsFragment with ClassCastException</t>
  </si>
  <si>
    <t xml:space="preserve">  Summary:   _x000D_
_x000D_
Open MediaDetails from the MainActivity and Swipe the ViewPager till it reaches it s end  the app crashes_x000D_
_x000D_
_x000D_
  Steps to reproduce:   _x000D_
Open MediaDetails from the MainActivity and Swipe the ViewPager till it reaches it s end_x000D_
_x000D_
_x000D_
  System logs:  _x000D_
_x000D_
   _x000D_
 java lang ClassCastException: fr free nrw commons contributions MainActivity cannot be cast to fr free nrw commons category CategoryImagesCallback_x000D_
        at fr free nrw commons media MediaDetailPagerFragment onPageScrolled(MediaDetailPagerFragment java:333)_x000D_
        at androidx viewpager widget ViewPager dispatchOnPageScrolled(ViewPager java:1930)_x000D_
        at androidx viewpager widget ViewPager onPageScrolled(ViewPager java:1904)_x000D_
        at androidx viewpager widget ViewPager pageScrolled(ViewPager java:1842)_x000D_
        at androidx viewpager widget ViewPager computeScroll(ViewPager java:1802)_x000D_
        at android view View updateDisplayListIfDirty(View java:17289)_x000D_
        at android view View draw(View java:18086)_x000D_
        at android view ViewGroup drawChild(ViewGroup java:3966)_x000D_
        at android view ViewGroup dispatchDraw(ViewGroup java:3752)_x000D_
        at android view View updateDisplayListIfDirty(View java:17297)_x000D_
        at android view ViewGroup recreateChildDisplayList(ViewGroup java:3950)_x000D_
        at android view ViewGroup dispatchGetDisplayList(ViewGroup java:3930)_x000D_
        at android view View updateDisplayListIfDirty(View java:17265)_x000D_
        at android view ViewGroup recreateChildDisplayList(ViewGroup java:3950)_x000D_
        at android view ViewGroup dispatchGetDisplayList(ViewGroup java:3930)_x000D_
        at android view View updateDisplayListIfDirty(View java:17265)_x000D_
        at android view ViewGroup recreateChildDisplayList(ViewGroup java:3950)_x000D_
        at android view ViewGroup dispatchGetDisplayList(ViewGroup java:3930)_x000D_
        at android view View updateDisplayListIfDirty(View java:17265)_x000D_
        at android view ViewGroup recreateChildDisplayList(ViewGroup java:3950)_x000D_
        at android view ViewGroup dispatchGetDisplayList(ViewGroup java:3930)_x000D_
        at android view View updateDisplayListIfDirty(View java:17265)_x000D_
        at android view View draw(View java:18086)_x000D_
        at android view ViewGroup drawChild(ViewGroup java:3966)_x000D_
        at android view ViewGroup dispatchDraw(ViewGroup java:3752)_x000D_
        at android view View updateDisplayListIfDirty(View java:17297)_x000D_
        at android view View draw(View java:18086)_x000D_
        at android view ViewGroup drawChild(ViewGroup java:3966)_x000D_
        at androidx drawerlayout widget DrawerLayout drawChild(DrawerLayout java:1426)_x000D_
        at android view ViewGroup dispatchDraw(ViewGroup java:3752)_x000D_
        at android view View draw(View java:18327)_x000D_
        at android view View updateDisplayListIfDirty(View java:17302)_x000D_
        at android view View draw(View java:18086)_x000D_
        at android view ViewGroup drawChild(ViewGroup java:3966)_x000D_
        at android view ViewGroup dispatchDraw(ViewGroup java:3752)_x000D_
        at android view View updateDisplayListIfDirty(View java:17297)_x000D_
        at android view View draw(View java:18086)_x000D_
        at android view ViewGroup drawChild(ViewGroup java:3966)_x000D_
        at android view ViewGroup dispatchDraw(ViewGroup java:3752)_x000D_
        at android view View updateDisplayListIfDirty(View java:17297)_x000D_
        at android view View draw(View java:18086)_x000D_
        at android view ViewGroup drawChild(ViewGroup java:3966)_x000D_
        at android view ViewGroup dispatchDraw(ViewGroup java:3752)_x000D_
        at android view View updateDisplayListIfDirty(View java:17297)_x000D_
        at android view View draw(View java:18086)_x000D_
        at android view ViewGroup drawChild(ViewGroup java:3966)_x000D_
        at android view ViewGroup dispatchDraw(ViewGroup java:3752)_x000D_
        at android view View updateDisplayListIfDirty(View java:17297)_x000D_
        at android view View draw(View java:18086)_x000D_
        at android view ViewGroup drawChild(ViewGroup java:3966)_x000D_
        at android view ViewGroup dispatchDraw(ViewGroup java:3752)_x000D_
        at android view View draw(View java:18327)_x000D_
        at com android internal policy DecorView draw(DecorView java:923)_x000D_
        at android view View updateDisplayListIfDirty(View java:17302)_x000D_
        at android view ThreadedRenderer updateViewTreeDisplayList(ThreadedRenderer java:692)_x000D_
        at android view ThreadedRenderer updateRootDisplayList(ThreadedRenderer java:698)_x000D_
        at android view ThreadedRenderer draw(ThreadedRenderer java:806)_x000D_
        at android view ViewRootImpl draw(ViewRootImpl java:3135)_x000D_
        at android view ViewRootImpl performDraw(ViewRootImpl java:2931)_x000D_
        at android view ViewRootImpl performTraversals(ViewRootImpl java:2523)_x000D_
   _x000D_
_x000D_
  Device and Android version:   _x000D_
_x000D_
Samsung S6_x000D_
 _x000D_
  Commons app version:   _x000D_
_x000D_
Current master_x000D_
_x000D_
_x000D_
_x000D_
  Would you like to work on the issue   _x000D_
Preferably not_x000D_
_x000D_
</t>
  </si>
  <si>
    <t>connectbot-connectbot-751</t>
  </si>
  <si>
    <t>FileUriExposedException : cannot import SSH key</t>
  </si>
  <si>
    <t xml:space="preserve">   Bug description_x000D_
_x000D_
Application crash when I try to import key file_x000D_
_x000D_
   Steps to reproduce_x000D_
     Steps to reproduce the behavior:    _x000D_
1  Go to      Menu_x000D_
2  Click on  Manage Pubkeys _x000D_
3  Click on folder icon to import a key_x000D_
4  Application crash_x000D_
_x000D_
   Expected behavior_x000D_
Open a file explorer_x000D_
_x000D_
   Android device_x000D_
_x000D_
   Device: Motorola G4 Plus_x000D_
   OS: Android 8 1 0 OPJ28 111 22 1_x000D_
   ConnectBot Version: 1 9 6 oss_x000D_
_x000D_
_x000D_
   Additional context_x000D_
_x000D_
Error log:_x000D_
   _x000D_
_x000D_
03 12 12:05:26 084 11237 11237 D AndroidRuntime: Shutting down VM_x000D_
03 12 12:05:26 086 11237 11237 E AndroidRuntime: FATAL EXCEPTION: main_x000D_
03 12 12:05:26 086 11237 11237 E AndroidRuntime: Process: org connectbot  PID: 11237_x000D_
03 12 12:05:26 086 11237 11237 E AndroidRuntime: android os FileUriExposedException: file:   storage emulated 0 exposed beyond app through Intent getData()_x000D_
03 12 12:05:26 086 11237 11237 E AndroidRuntime: 	at android os StrictMode onFileUriExposed(StrictMode java:1969)_x000D_
03 12 12:05:26 086 11237 11237 E AndroidRuntime: 	at android net Uri checkFileUriExposed(Uri java:2364)_x000D_
03 12 12:05:26 086 11237 11237 E AndroidRuntime: 	at android content Intent prepareToLeaveProcess(Intent java:9892)_x000D_
03 12 12:05:26 086 11237 11237 E AndroidRuntime: 	at android content Intent prepareToLeaveProcess(Intent java:9846)_x000D_
03 12 12:05:26 086 11237 11237 E AndroidRuntime: 	at android app Instrumentation execStartActivity(Instrumentation java:1680)_x000D_
03 12 12:05:26 086 11237 11237 E AndroidRuntime: 	at android app Activity startActivityForResult(Activity java:4506)_x000D_
03 12 12:05:26 086 11237 11237 E AndroidRuntime: 	at androidx fragment app FragmentActivity startActivityForResult(FragmentActivity java:676)_x000D_
03 12 12:05:26 086 11237 11237 E AndroidRuntime: 	at android app Activity startActivityForResult(Activity java:4464)_x000D_
03 12 12:05:26 086 11237 11237 E AndroidRuntime: 	at androidx fragment app FragmentActivity startActivityForResult(FragmentActivity java:663)_x000D_
03 12 12:05:26 086 11237 11237 E AndroidRuntime: 	at org connectbot PubkeyListActivity importExistingKeyOpenIntents(PubkeyListActivity java:213)_x000D_
03 12 12:05:26 086 11237 11237 E AndroidRuntime: 	at org connectbot PubkeyListActivity importExistingKey(PubkeyListActivity java:173)_x000D_
03 12 12:05:26 086 11237 11237 E AndroidRuntime: 	at org connectbot PubkeyListActivity onOptionsItemSelected(PubkeyListActivity java:159)_x000D_
03 12 12:05:26 086 11237 11237 E AndroidRuntime: 	at android app Activity onMenuItemSelected(Activity java:3469)_x000D_
03 12 12:05:26 086 11237 11237 E AndroidRuntime: 	at androidx fragment app FragmentActivity onMenuItemSelected(FragmentActivity java:384)_x000D_
03 12 12:05:26 086 11237 11237 E AndroidRuntime: 	at androidx appcompat app AppCompatActivity onMenuItemSelected(AppCompatActivity java:219)_x000D_
03 12 12:05:26 086 11237 11237 E AndroidRuntime: 	at androidx appcompat view WindowCallbackWrapper onMenuItemSelected(WindowCallbackWrapper java:109)_x000D_
03 12 12:05:26 086 11237 11237 E AndroidRuntime: 	at androidx appcompat app AppCompatDelegateImpl onMenuItemSelected(AppCompatDelegateImpl java:1030)_x000D_
03 12 12:05:26 086 11237 11237 E AndroidRuntime: 	at androidx appcompat view menu MenuBuilder dispatchMenuItemSelected(MenuBuilder java:840)_x000D_
03 12 12:05:26 086 11237 11237 E AndroidRuntime: 	at androidx appcompat view menu MenuItemImpl invoke(MenuItemImpl java:158)_x000D_
03 12 12:05:26 086 11237 11237 E AndroidRuntime: 	at androidx appcompat view menu MenuBuilder performItemAction(MenuBuilder java:991)_x000D_
03 12 12:05:26 086 11237 11237 E AndroidRuntime: 	at androidx appcompat view menu MenuBuilder performItemAction(MenuBuilder java:981)_x000D_
03 12 12:05:26 086 11237 11237 E AndroidRuntime: 	at androidx appcompat widget ActionMenuView invokeItem(ActionMenuView java:625)_x000D_
03 12 12:05:26 086 11237 11237 E AndroidRuntime: 	at androidx appcompat view menu ActionMenuItemView onClick(ActionMenuItemView java:151)_x000D_
03 12 12:05:26 086 11237 11237 E AndroidRuntime: 	at android view View performClick(View java:6297)_x000D_
03 12 12:05:26 086 11237 11237 E AndroidRuntime: 	at android view View PerformClick run(View java:24797)_x000D_
03 12 12:05:26 086 11237 11237 E AndroidRuntime: 	at android os Handler handleCallback(Handler java:790)_x000D_
03 12 12:05:26 086 11237 11237 E AndroidRuntime: 	at android os Handler dispatchMessage(Handler java:99)_x000D_
03 12 12:05:26 086 11237 11237 E AndroidRuntime: 	at android os Looper loop(Looper java:164)_x000D_
03 12 12:05:26 086 11237 11237 E AndroidRuntime: 	at android app ActivityThread main(ActivityThread java:6647)_x000D_
03 12 12:05:26 086 11237 11237 E AndroidRuntime: 	at java lang reflect Method invoke(Native Method)_x000D_
03 12 12:05:26 086 11237 11237 E AndroidRuntime: 	at com android internal os RuntimeInit MethodAndArgsCaller run(RuntimeInit java:438)_x000D_
03 12 12:05:26 086 11237 11237 E AndroidRuntime: 	at com android internal os ZygoteInit main(ZygoteInit java:811)_x000D_
03 12 12:05:26 093  1114  5336 W ActivityManager:   Force finishing activity org connectbot  PubkeyListActivity_x000D_
03 12 12:05:26 105  1114  1189 I ActivityManager: Showing crash dialog for package org connectbot u0_x000D_
   _x000D_
_x000D_
It seems to be the same error fixed here : https:  stackoverflow com a 38858040</t>
  </si>
  <si>
    <t>trojan-gfw-igniter-117</t>
  </si>
  <si>
    <t>a crash, would you like to fix it ?</t>
  </si>
  <si>
    <t xml:space="preserve">I using your latest code to compile  on master branch  After connect to server successfully  I stop the client manually  Then it crash  here s the log below  By the way  would you like to release the latest apk that base on the latest code _x000D_
   _x000D_
2020 03 12 18:33:26 380 29394 29428   A libc: Fatal signal 6 (SIGABRT)  code  6 (SI TKILL) in tid 29428 (jan gfw igniter)  pid 29394 (jan gfw igniter)_x000D_
2020 03 12 18:33:22 481 1435 1566   E BatteryExternalStatsWorker: no controller energy info supplied for bluetooth_x000D_
2020 03 12 18:33:26 601 30001 30001   A DEBUG:                                                                _x000D_
2020 03 12 18:33:26 601 30001 30001   A DEBUG: Build fingerprint:  Xiaomi cepheus cepheus:9 PKQ1 181121 001 V10 2 35 0 PFACNXM:user release keys _x000D_
2020 03 12 18:33:26 601 30001 30001   A DEBUG: Revision:  0 _x000D_
2020 03 12 18:33:26 601 30001 30001   A DEBUG: ABI:  arm64 _x000D_
2020 03 12 18:33:26 601 30001 30001   A DEBUG: pid: 29394  tid: 29428  name: jan gfw igniter      io github trojan gfw igniter    _x000D_
2020 03 12 18:33:26 601 30001 30001   A DEBUG: signal 6 (SIGABRT)  code  6 (SI TKILL)  fault addr         _x000D_
2020 03 12 18:33:26 601 30001 30001   A DEBUG:     x0  0000000000000000  x1  00000000000072f4  x2  0000000000000006  x3  0000000000000008_x000D_
2020 03 12 18:33:26 601 30001 30001   A DEBUG:     x4  0000000000000001  x5  00000070700d0f08  x6  000000000000003f  x7  0000000000000030_x000D_
2020 03 12 18:33:26 601 30001 30001   A DEBUG:     x8  0000000000000083  x9  000000000000008e  x10 000000000000000c  x11 000000707051b6d4_x000D_
2020 03 12 18:33:26 601 30001 30001   A DEBUG:     x12 0000000000000000  x13 0000000000000000  x14 0000000000000000  x15 0000000000000001_x000D_
2020 03 12 18:33:26 601 30001 30001   A DEBUG:     x16 000000706fdbb4b3  x17 000000706fdbb4b0  x18 0000000000000000  x19 00000000000072d2_x000D_
2020 03 12 18:33:26 601 30001 30001   A DEBUG:     x20 000000706fb41f60  x21 0000007070572bc0  x22 000000000000005a  x23 000000707059dbd5_x000D_
2020 03 12 18:33:26 601 30001 30001   A DEBUG:     x24 0000007070570d40  x25 0000000000000018  x26 0000004000328c68  x27 00000000000001b0_x000D_
2020 03 12 18:33:26 601 30001 30001   A DEBUG:     x28 00000040002a1200  x29 0000000000000000_x000D_
2020 03 12 18:33:26 601 30001 30001   A DEBUG:     sp  0000004000328c10  lr  000000706fda35d0  pc  000000706fdbc218_x000D_
2020 03 12 18:33:26 602 30001 30001   A DEBUG: backtrace:_x000D_
2020 03 12 18:33:26 602 30001 30001   A DEBUG:      00 pc 0000000000279218   data app io github trojan gfw igniter 5rAl1hP3Mt63eBaNZgcPQA   lib arm64 libgojni so_x000D_
2020 03 12 18:33:26 856 30001 30001   E crash dump64: cannot open libmiuindbg so: No such file or directory_x000D_
2020 03 12 18:33:26 863 1000 1000   E  system bin tombstoned: Tombstone written to:  data tombstones tombstone 00_x000D_
2020 03 12 18:33:26 976 28359 28411   E chromium:  ERROR:ssl client socket impl cc(1013)  handshake failed  returned  1  SSL error code 1  net error  103_x000D_
2020 03 12 18:33:26 977 30577 30704   E MSF D MonitorSocket: SocketException _x000D_
    java net SocketException: Software caused connection abort_x000D_
        at java net SocketInputStream socketRead0(Native Method)_x000D_
        at java net SocketInputStream socketRead(SocketInputStream java:119)_x000D_
        at java net SocketInputStream read(SocketInputStream java:176)_x000D_
        at java net SocketInputStream read(SocketInputStream java:144)_x000D_
        at com tencent mobileqq msf sdk utils MonitorSocketInputStream read(P:57)_x000D_
        at com tencent qphone base util MsfSocketInputBuffer fillBuffer(P:135)_x000D_
        at com tencent qphone base util MsfSocketInputBuffer isDataAvailable(P:74)_x000D_
        at com tencent mobileqq msf core net m b run(P:462)_x000D_
2020 03 12 18:33:26 979 2655 29994   E WakeLock: GCM HB ALARM release without a matched acquire _x000D_
2020 03 12 18:33:26 981 2655 29994   E WakeLock: GCM CONN ALARM release without a matched acquire _x000D_
2020 03 12 18:33:27 066 16568 16568   E com tencent component network module common NetworkState: NetworkStateReceiver        android net conn CONNECTIVITY CHANGE_x000D_
2020 03 12 18:33:27 067 12556 12556   E WhiteListUtils: checkIsInWhiteList_x000D_
2020 03 12 18:33:27 067 12556 12556   E WhiteListUtils: time  0 or time   TIME GAP so do not send request_x000D_
2020 03 12 18:33:27 092 1435 1539   E GnssLocationProvider: updateNetworkAvailability failed_x000D_
2020 03 12 18:33:27 097 1435 2091   E InputDispatcher: channel  9433e60 io github trojan gfw igniter io github trojan gfw igniter MainActivity (server)    Channel is unrecoverably broken and will be disposed _x000D_
2020 03 12 18:33:27 098 591 591   E SELinux: avc:  denied    find   for service isub pid 27670 uid 10033 scontext u:r:mediaprovider:s0:c512 c768 tcontext u:object r:radio service:s0 tclass service manager permissive 0_x000D_
2020 03 12 18:33:27 101 591 591   E SELinux: avc:  denied    find   for service iphonesubinfo pid 27670 uid 10033 scontext u:r:mediaprovider:s0:c512 c768 tcontext u:object r:radio service:s0 tclass service manager permissive 0_x000D_
2020 03 12 18:33:27 111 729 799   E ANDR PERF MPCTL: Invalid profile no  0  total profiles 0 only_x000D_
2020 03 12 18:33:27 201 6113 6113   E TelephonyEventHandler: Received network connection action_x000D_
2020 03 12 18:33:27 201 6113 6113   E TelephonyEventHandler: Received network connection action currentNwType 1_x000D_
2020 03 12 18:33:27 444 12556 12556   E Launcher: changeViewByFsGestureState   view FitSystemWindowView   alpha 1 0   scale 1 0_x000D_
2020 03 12 18:33:27 444 12556 12556   E Launcher: changeViewByFsGestureState   view ShortcutMenuLayer   alpha 1 0   scale 1 0_x000D_
2020 03 12 18:33:30 116 635 662   E Parcel: Reading a NULL string not supported here _x000D_
2020 03 12 18:33:30 117 635 662   E Parcel: Reading a NULL string not supported here _x000D_
2020 03 12 18:33:32 127 24648 25701   E PaySafetyCheckManager: start wifi scan task    _x000D_
2020 03 12 18:33:40 409 956 1110   E storaged: getDiskStats failed with result NOT SUPPORTED and size 0_x000D_
2020 03 12 18:33:47 136 2655 30085   E WakeLock: GCM CONN ALARM release without a matched acquire _x000D_
   </t>
  </si>
  <si>
    <t>k3b-APhotoManager-168</t>
  </si>
  <si>
    <t>Incremental Photo Backup to Zip-File not working anymore</t>
  </si>
  <si>
    <t xml:space="preserve">In  Backup to Zip File  after setting the backup parameters and starting the Backup the app crashes _x000D_
_x000D_
Bu8g since app Version 0 8 1 200212 (45)_x000D_
</t>
  </si>
  <si>
    <t>broken-shotgun-run-lines-16</t>
  </si>
  <si>
    <t>On remove actor, popup dialog to replace actor or remove lines for entire script</t>
  </si>
  <si>
    <t xml:space="preserve">  Describe the bug  _x000D_
The current  Remove Actor  behavior only removes an actor from the current scene   If the script has multiple scenes  the character still exists  but is missing from the main script object which is causing a lot of unintended bugs and crashes _x000D_
_x000D_
  To Reproduce  _x000D_
Steps to reproduce the behavior:_x000D_
1  Go to Edit Scene activity_x000D_
2  Long click on a character line to bring up Edit Line menu_x000D_
3  Click  Remove Actor   notice lines for actor are all set to Actions in current scene_x000D_
4  Save changes_x000D_
5  Go to another scene where that character has lines and notice Character is still there_x000D_
_x000D_
  Expected behavior  _x000D_
Removing a character should remove it from the entire script and give some options to the user if they would like to remove the lines or change all the lines to another actor _x000D_
_x000D_
  Additional context  _x000D_
Add any other context about the problem here _x000D_
</t>
  </si>
  <si>
    <t>SanojPunchihewa-f5n-136</t>
  </si>
  <si>
    <t>App crash in MinItActivity</t>
  </si>
  <si>
    <t xml:space="preserve">  Describe the bug  _x000D_
In the MinIt mode  app crashes when canceled the compress files popup in the upload results state _x000D_
_x000D_
  To Reproduce  _x000D_
Steps to reproduce the behavior:_x000D_
1  Process a job in MinIt_x000D_
2  Go to upload result state in MinIt_x000D_
3  Press  Compress Files  and cancel it _x000D_
4  App crashes_x000D_
_x000D_
  Expected behavior  _x000D_
Popup should close without crashing the app_x000D_
_x000D_
  Screenshots  _x000D_
 _x000D_
_x000D_
  Smartphone (please complete the following information):  _x000D_
   Device: LG X Screen_x000D_
   OS: Android 6_x000D_
   App Version: _x000D_
_x000D_
  Additional context  _x000D_
  ArrayIndexOutOfBounds Exception_x000D_
</t>
  </si>
  <si>
    <t>nextcloud-android-5615</t>
  </si>
  <si>
    <t>App crashes, if share button is pressed</t>
  </si>
  <si>
    <t xml:space="preserve">    Steps to reproduce_x000D_
1  Nginx (1 17 9) with reverse proxy_x000D_
2  ssl protocols TLSv1 3  ssl ciphers HIGH: aNULL: MD5 _x000D_
3  http2 enabled_x000D_
4  Open App  hit share button on any file_x000D_
_x000D_
    Expected behaviour_x000D_
  Hit share button_x000D_
  Get share view_x000D_
  Share file_x000D_
_x000D_
    Actual behaviour_x000D_
  Hit share button_x000D_
  Opens view where I can see the share view for two seconds_x000D_
  App crashes with exception_x000D_
_x000D_
    Environment data_x000D_
Android version: 10_x000D_
_x000D_
Device model: star2lte (Samsung S9 )_x000D_
_x000D_
Stock or customized system: Stock_x000D_
_x000D_
Nextcloud app version: 30100190_x000D_
_x000D_
Nextcloud server version: 18 0 0_x000D_
_x000D_
Nginx reverse proxy: 1 17 9_x000D_
_x000D_
    Logs_x000D_
     Android App Exception log_x000D_
   _x000D_
             CAUSE OF ERROR             _x000D_
_x000D_
javax net ssl SSLHandshakeException: Handshake failed_x000D_
at com google android gms org conscrypt ConscryptFileDescriptorSocket startHandshake(:com google android gms 200616037 20 06 16 (120400 296104215):38)_x000D_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kt:84)_x000D_
at com owncloud android lib resources activities GetActivitiesRemoteOperation run(GetActivitiesRemoteOperation java:131)_x000D_
at com nextcloud common NextcloudClient execute(NextcloudClient kt:80)_x000D_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java:919)_x000D_
Caused by: javax net ssl SSLProtocolException: SSL handshake aborted: ssl 0x758fbf6448: Failure in SSL library  usually a protocol error_x000D_
error:1000042e:SSL routines:OPENSSL internal:TLSV1 ALERT PROTOCOL VERSION (third party openssl boringssl src ssl tls record cc:592 0x762f6a1908:0x00000001)_x000D_
at com google android gms org conscrypt NativeCrypto SSL do handshake(Native Method)_x000D_
at com google android gms org conscrypt NativeSsl doHandshake(:com google android gms 200616037 20 06 16 (120400 296104215):6)_x000D_
at com google android gms org conscrypt ConscryptFileDescriptorSocket startHandshake(:com google android gms 200616037 20 06 16 (120400 296104215):14)_x000D_
    26 more_x000D_
_x000D_
             APP INFORMATION             _x000D_
ID: com nextcloud client_x000D_
Version: 30100190_x000D_
Build flavor: gplay_x000D_
_x000D_
             DEVICE INFORMATION             _x000D_
Brand: samsung_x000D_
Device: star2lte_x000D_
Model: SM G965F_x000D_
Id: QP1A 190711 020_x000D_
Product: star2ltexx_x000D_
_x000D_
             FIRMWARE             _x000D_
SDK: 29_x000D_
Release: 10_x000D_
Incremental: G965FXXS7DTAD_x000D_
   _x000D_
_x000D_
     Web server error log_x000D_
   _x000D_
Nothing shown  not hitting log area_x000D_
   _x000D_
_x000D_
     Nextcloud log (data nextcloud log)_x000D_
   _x000D_
Nothing shown  not hitting log area_x000D_
   _x000D_
</t>
  </si>
  <si>
    <t>react-native-geolocation-react-native-geolocation-97</t>
  </si>
  <si>
    <t>Fatal Exception: java.lang.SecurityException. Looks like the app doesn't have the permission to access location.  Add the following line to your app's AndroidManifest.xml: &lt;uses-permission android:name="android.permission.ACCESS_FINE_LOCATION" /&gt;</t>
  </si>
  <si>
    <t xml:space="preserve">   Environment_x000D_
     Run  react native info  in your terminal and paste its contents here     _x000D_
   _x000D_
System:_x000D_
    OS: macOS 10 14 6_x000D_
    CPU: (4) x64 Intel(R) Core(TM) i5 6360U CPU   2 00GHz_x000D_
    Memory: 734 45 MB   16 00 GB_x000D_
    Shell: 5 3    bin zsh_x000D_
  Binaries:_x000D_
    Node: 12 13 0      nvm versions node v12 13 0 bin node_x000D_
    Yarn: 1 21 1    usr local bin yarn_x000D_
    npm: 6 12 0      nvm versions node v12 13 0 bin npm_x000D_
    Watchman: 4 9 0    usr local bin watchman_x000D_
  SDKs:_x000D_
    iOS SDK:_x000D_
      Platforms: iOS 13 2  DriverKit 19 0  macOS 10 15  tvOS 13 2  watchOS 6 1_x000D_
    Android SDK:_x000D_
      API Levels: 23  24  25  26  27  28  29_x000D_
      Build Tools: 23 0 1  25 0 0  25 0 1  25 0 2  25 0 3  26 0 1  26 0 2  26 0 3  27 0 1  27 0 3  28 0 3  29 0 2_x000D_
      System Images: android 26   Google APIs Intel x86 Atom  android 27   Google Play Intel x86 Atom  android 29   Google Play Intel x86 Atom_x000D_
  IDEs:_x000D_
    Xcode: 11 3 11C29    usr bin xcodebuild_x000D_
  npmPackages:_x000D_
    react: 16 12 0    16 12 0_x000D_
    react native:  0 61 5    0 61 5_x000D_
   _x000D_
_x000D_
   Platforms_x000D_
     Is this issue related to Android  iOS  or both     _x000D_
Android_x000D_
_x000D_
   Versions_x000D_
     Please add the used versions branches    _x000D_
  Android: 6  7   8_x000D_
  react native geolocation:  2 0 2_x000D_
  react native: 0 61 5_x000D_
  react: 16 12 0_x000D_
_x000D_
   Description_x000D_
     Describe your issue in detail  Include screenshots if needed  If this is a regression  let us know     _x000D_
Hi there   Thanks for the great lib   _x000D_
_x000D_
Getting a crash in production on different versions of Android :_x000D_
  Fatal Exception: java lang SecurityException  Looks like the app doesn t have the permission to access location   Add the following line to your app s AndroidManifest xml:  uses permission android:name  android permission ACCESS FINE LOCATION    _x000D_
_x000D_
Although I do have the permissions in my  android app src main AndroidManifest xml :_x000D_
   _x000D_
 manifest xmlns:android  http:  schemas android com apk res android _x000D_
  package  xxxxxxxxxx appmobile  _x000D_
_x000D_
     uses permission android:name  android permission INTERNET    _x000D_
     uses permission android:name  android permission ACCESS NETWORK STATE    _x000D_
     uses permission android:name  android permission ACCESS COARSE LOCATION    _x000D_
     uses permission android:name  android permission ACCESS FINE LOCATION    _x000D_
     application_x000D_
      android:name   MainApplication _x000D_
      android:label   string app name _x000D_
      android:icon   mipmap ic launcher _x000D_
      android:roundIcon   mipmap ic launcher _x000D_
      android:allowBackup  false _x000D_
      android:theme   style AppTheme _x000D_
      android:networkSecurityConfig   xml network security config  _x000D_
       meta data_x000D_
        android:name  com google android maps v2 API KEY _x000D_
        android:value   string ANDROID GOOGLE MAPS API KEY   _x000D_
       activity_x000D_
        android:name   MainActivity _x000D_
        android:label   string app name _x000D_
        android:configChanges  keyboard keyboardHidden orientation screenSize _x000D_
        android:windowSoftInputMode  adjustResize  _x000D_
         intent filter _x000D_
             action android:name  android intent action MAIN    _x000D_
             category android:name  android intent category LAUNCHER    _x000D_
          intent filter _x000D_
        activity _x000D_
       activity android:name  com facebook react devsupport DevSettingsActivity    _x000D_
       meta data_x000D_
          android:name  com facebook sdk ApplicationId _x000D_
          android:value   string facebook app id _x000D_
        _x000D_
       meta data_x000D_
        android:name  io fabric ApiKey _x000D_
        android:value  xxxxxxxxxxxxxxxx _x000D_
        _x000D_
      application _x000D_
_x000D_
  manifest _x000D_
   _x000D_
_x000D_
I m using https:  github com react native community react native permissions to request permissions _x000D_
_x000D_
Any idea why that would happen or how to debug _x000D_
_x000D_
Can I see the  AndroidManifest xml  file once built to check if it does actually not include the permissions     _x000D_
_x000D_
   Reproducible Demo_x000D_
_x000D_
Can t reproduce in dev  Happens only in production   _x000D_
_x000D_
     Let us know how to reproduce the issue  Include a code sample or share a project that reproduces the issue     _x000D_
     Please follow the guidelines for providing a minimal example: https:  stackoverflow com help mcve    _x000D_
</t>
  </si>
  <si>
    <t>condog190-5E-Initiative-Tracker-98</t>
  </si>
  <si>
    <t>Add Error handling ensuring that the API is not called on invalid or duplicate monsters</t>
  </si>
  <si>
    <t>Error handling should be put in place to ensure the user does not put in any non correct monster names into the monster picker as this causes the API to crash</t>
  </si>
  <si>
    <t>condog190-5E-Initiative-Tracker-95</t>
  </si>
  <si>
    <t>Imputing no value in the damage/heal field causes the app to crash</t>
  </si>
  <si>
    <t>In the heal damage input field the user could remove the default 0 in the field and hit damage or heal  Doing so causes the app to crash  Should use a try catch to fix and default to 0</t>
  </si>
  <si>
    <t>UCSD-CSE-110-2020-team-project-team-25-193</t>
  </si>
  <si>
    <t>App Crashes when adding new run.</t>
  </si>
  <si>
    <t xml:space="preserve">Add a run  app crashes </t>
  </si>
  <si>
    <t>oliexdev-openScale-557</t>
  </si>
  <si>
    <t>Crash when saving table row.</t>
  </si>
  <si>
    <t xml:space="preserve">  bug  _x000D_
When editing a table row and pressing save the app crashes (attach a different user to row)_x000D_
_x000D_
  To Reproduce  _x000D_
Nokia 7 plus  Android 10_x000D_
1  Open app _x000D_
2  menu_x000D_
3  table_x000D_
4  open row you want to edit_x000D_
5  press pencil icon_x000D_
6  change name_x000D_
7  press ok_x000D_
8  press save icon _x000D_
App should now crash_x000D_
_x000D_
Reproduced with  latest dev version (https:  github com oliexdev openScale releases tag travis dev build): no just the app store version _x000D_
_x000D_
  Expected behavior  _x000D_
Save the row and not crash _x000D_
_x000D_
  Additional context  _x000D_
N A_x000D_
_x000D_
  Debug log  _x000D_
Build version: 2 2 0 pro_x000D_
Current date: 2020 03 08 11:07:06_x000D_
Device: HMD Global Nokia 7 plus_x000D_
 _x000D_
Stack trace:  _x000D_
android database sqlite SQLiteConstraintException: UNIQUE constraint failed: scaleMeasurements userId  scaleMeasurements datetime (code 2067 SQLITE CONSTRAINT UNIQUE)_x000D_
at android database sqlite SQLiteConnection nativeExecuteForChangedRowCount(Native Method)_x000D_
at android database sqlite SQLiteConnection executeForChangedRowCount(SQLiteConnection java:831)_x000D_
at android database sqlite SQLiteSession executeForChangedRowCount(SQLiteSession java:756)_x000D_
at android database sqlite SQLiteStatement executeUpdateDelete(SQLiteStatement java:66)_x000D_
at androidx sqlite db framework FrameworkSQLiteStatement executeUpdateDelete(FrameworkSQLiteStatement java:46)_x000D_
at androidx room EntityDeletionOrUpdateAdapter handle(EntityDeletionOrUpdateAdapter java:70)_x000D_
at com health openscale core database ScaleMeasurementDAO Impl update(ScaleMeasurementDAO Impl java:171)_x000D_
at com health openscale core OpenScale updateScaleData(OpenScale java:382)_x000D_
at com health openscale gui activities DataEntryActivity saveScaleData(DataEntryActivity java:395)_x000D_
at com health openscale gui activities DataEntryActivity onOptionsItemSelected(DataEntryActivity java:218)_x000D_
at android app Activity onMenuItemSelected(Activity java:4137)_x000D_
at androidx fragment app FragmentActivity onMenuItemSelected(FragmentActivity java:384)_x000D_
at androidx appcompat app AppCompatActivity onMenuItemSelected(AppCompatActivity java:219)_x000D_
at androidx appcompat view WindowCallbackWrapper onMenuItemSelected(WindowCallbackWrapper java:109)_x000D_
at androidx appcompat view WindowCallbackWrapper onMenuItemSelected(WindowCallbackWrapper java:109)_x000D_
at androidx appcompat app ToolbarActionBar 2 onMenuItemClick(ToolbarActionBar java:64)_x000D_
at androidx appcompat widget Toolbar 1 onMenuItemClick(Toolbar java:207)_x000D_
at androidx appcompat widget ActionMenuView MenuBuilderCallback onMenuItemSelected(ActionMenuView java:781)_x000D_
at androidx appcompat view menu MenuBuilder dispatchMenuItemSelected(MenuBuilder java:840)_x000D_
at androidx appcompat view menu MenuItemImpl invoke(MenuItemImpl java:158)_x000D_
at androidx appcompat view menu MenuBuilder performItemAction(MenuBuilder java:991)_x000D_
at androidx appcompat view menu MenuBuilder performItemAction(MenuBuilder java:981)_x000D_
at androidx appcompat widget ActionMenuView invokeItem(ActionMenuView java:625)_x000D_
at androidx appcompat view menu ActionMenuItemView onClick(ActionMenuItemView java:151)_x000D_
at android view View performClick(View java:7125)_x000D_
at android view View performClickInternal(View java:7102)_x000D_
at android view View access 3500(View java:801)_x000D_
at android view View PerformClick run(View java:27340)_x000D_
at android os Handler handleCallback(Handler java:883)_x000D_
at android os Handler dispatchMessage(Handler java:100)_x000D_
at android os Looper loop(Looper java:214)_x000D_
at android app ActivityThread main(ActivityThread java:7397)_x000D_
at java lang reflect Method invoke(Native Method)_x000D_
at com android internal os RuntimeInit MethodAndArgsCaller run(RuntimeInit java:492)_x000D_
at com android internal os ZygoteInit main(ZygoteInit java:935)_x000D_
</t>
  </si>
  <si>
    <t>applivery-applivery-android-sdk-57</t>
  </si>
  <si>
    <t xml:space="preserve"> [BUG] App crashing due to UserFeedBackView trying to be added multiple times</t>
  </si>
  <si>
    <t xml:space="preserve">  Account information  _x000D_
Organization Owner email address: alvaro bl91 gmail com_x000D_
App ID:_x000D_
_x000D_
  Describe the bug  _x000D_
Due to a race condition  sometimes when taking a screenshoot the SDK is notified multiple times as per registered MediaStore s ContentObserver design  which leads towards trying to show UserFeedbackView on every notification  As UserFeedback is stored as a static field  the FragmentManager throws an Exception when trying to add the same exact Fragment more than once _x000D_
_x000D_
  To Reproduce  _x000D_
Steps to reproduce the behavior:_x000D_
1  Go to Sample App_x000D_
2  Enable screenshot feedback_x000D_
3  Take a screenshot_x000D_
4  Eventually the crash will appear_x000D_
_x000D_
  Expected behavior  _x000D_
The app should handle this situation and provides some type of mutual exclusion strategy when between screenshots processing _x000D_
Also  UserFeedbackView should no be stored a static field because it is a memory leak _x000D_
_x000D_
  Smartphone (please complete the following information):  _x000D_
   Device: Pixel 2XL_x000D_
   OS: Android 10_x000D_
_x000D_
  Additional context  _x000D_
Crash stacktrace_x000D_
   _x000D_
 Process: com applivery sample  PID: 4914_x000D_
    java lang IllegalStateException: Fragment already added: UserFeedbackView 198bf  7  _x000D_
        at android app FragmentManagerImpl addFragment(FragmentManager java:1714)_x000D_
        at android app BackStackRecord executeOps(BackStackRecord java:770)_x000D_
        at android app FragmentManagerImpl executeOps(FragmentManager java:2410)_x000D_
        at android app FragmentManagerImpl executeOpsTogether(FragmentManager java:2205)_x000D_
        at android app FragmentManagerImpl removeRedundantOperationsAndExecute(FragmentManager java:2166)_x000D_
        at android app FragmentManagerImpl execPendingActions(FragmentManager java:2067)_x000D_
        at android app FragmentManagerImpl 1 run(FragmentManager java:742)_x000D_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t>
  </si>
  <si>
    <t>LSPosed-LSPosed-1893</t>
  </si>
  <si>
    <t>[Bug] Module not working on Android 13 public beta 1</t>
  </si>
  <si>
    <t xml:space="preserve">    Steps to reproduce     _x000D_
_x000D_
1  Update to Android 13 public beta 1_x000D_
2  Install Zygisk   LSPosed (clean install  or from prior to update)_x000D_
_x000D_
    Expected behaviour     _x000D_
_x000D_
On reboot  option to create icon present _x000D_
Using dialer to open menu to work _x000D_
_x000D_
    Actual behaviour     _x000D_
_x000D_
No icon option is present_x000D_
Dialer not able to open menu_x000D_
Icon from prior to update prompts to send bug report_x000D_
_x000D_
    Xposed Module List Xposed     _x000D_
_x000D_
   shell_x000D_
Not applicable_x000D_
   _x000D_
_x000D_
_x000D_
    Magisk Module List Magisk     _x000D_
_x000D_
   shell_x000D_
Systemless Hosts_x000D_
USNF 2 2 1_x000D_
Zygisk LSPosed 1 8 2_x000D_
   _x000D_
_x000D_
_x000D_
    LSPosed version LSPosed   _x000D_
_x000D_
1 8 2_x000D_
_x000D_
    Android version Android   _x000D_
_x000D_
TB1 220310 029_x000D_
_x000D_
    Magisk version Magisk   _x000D_
_x000D_
24306_x000D_
_x000D_
    Riru version Riru   _x000D_
_x000D_
N A_x000D_
_x000D_
    Version requirement     _x000D_
_x000D_
   x  I am using latest debug CI version of LSPosed and enable verbose log         CI            _x000D_
_x000D_
    Logs   _x000D_
_x000D_
Unable to generate  Seems to crash before generating log _x000D_
Here s the bug report: _x000D_
 bugreport coral TPB1 220310 029 2022 04 26 19 49 12 1  zip (https:  github com LSPosed LSPosed files 8567382 bugreport coral TPB1 220310 029 2022 04 26 19 49 12 1 zip)_x000D_
</t>
  </si>
  <si>
    <t>rodit-SnapMod-64</t>
  </si>
  <si>
    <t>Snapchat crashing after 1.5 update</t>
  </si>
  <si>
    <t xml:space="preserve">Phone: Xiaomi Mi9_x000D_
ROM: PixelExperience 12_x000D_
Xposed: Riru Lsposed (Magisk 23 0)_x000D_
_x000D_
Snapchat starter to crash after 1 5 update  I ve tried clean installing it but it didn t helped  Cleaning Snapchat and or SnapMod data didn t worked _x000D_
_x000D_
Lsposed log:_x000D_
 modules 2022 04 26T17:58:40 586 log (https:  github com rodit SnapMod files 8564981 modules 2022 04 26T17 58 40 586 log)_x000D_
_x000D_
</t>
  </si>
  <si>
    <t>PojavLauncherTeam-PojavLauncher-3141</t>
  </si>
  <si>
    <t xml:space="preserve">[BUG] Random crashes during gameplay. </t>
  </si>
  <si>
    <t xml:space="preserve">    Describe the bug
When playing version 1 8 9  crashes randomly happen during gameplay without any set condition  Current settings are:_x000D_
  2584 MB RAM_x000D_
  Renderer: GL4ES 1 1 5_x000D_
  Runtime Manager: Java 8_x000D_
  Forge 1 8 9_x000D_
The crashes seem to happen on any settings  as I ve tried most possible combinations like with Java 17  vgpu  GL4ES 1 1 4  as well as lower RAM settings (900 MB) _x000D_
_x000D_
The crashes occur on Forge 1 8 9  vanilla 1 8 9 and Optifine 1 8 9 (all tested) usually between 10 minutes to an hour into playing _x000D_
_x000D_
(Used forge mods: Essential  Patcher  Optifine) _x000D_
_x000D_
An important information may also be that the server I m joining is Hypixel and gamemode Skyblock  which might have some part in these crashes since no crashes outside the specific gamemode have been encountered  
    The log file and images videos
 latestlog txt (https:  github com PojavLauncherTeam PojavLauncher files 8561300 latestlog txt)_x000D_
    Steps To Reproduce
   markdown
1  Start Pojav Launcher_x000D_
2  Pick version 1 8 9 _x000D_
3  Playing on hypixel net and Skyblock gamemode_x000D_
Then  the game crashes at random times 
    Expected Behavior
I expect being able to play longer amounts of time without crashes occuring  
    Platform
   markdown
  Device model: Xiaomi Redmi Note 8 Pro 6 128_x000D_
  CPU architecture: aarch64_x000D_
  Android version: 10_x000D_
  PojavLauncher version: Latest Release
    Anything else 
 No response </t>
  </si>
  <si>
    <t>TeamNewPipe-NewPipe-8293</t>
  </si>
  <si>
    <t>Newpipe crashes after exiting fullscreen mode while buffering</t>
  </si>
  <si>
    <t xml:space="preserve">    Checklist
   X  I am able to reproduce the bug with the  latest version (https:  github com TeamNewPipe NewPipe releases latest) 
   X  I made sure that there are  no existing issues     open (https:  github com TeamNewPipe NewPipe issues) or  closed (https:  github com TeamNewPipe NewPipe issues q is 3Aissue is 3Aclosed)   which I could contribute my information to 
   X  I have taken the time to fill in all the required details  I understand that the bug report will be dismissed otherwise 
   X  This issue contains only one bug 
   X  I have read and understood the  contribution guidelines (https:  github com TeamNewPipe NewPipe blob dev  github CONTRIBUTING md) 
    Affected version
0 22 2
    Steps to reproduce the bug
1  Open any video with a long playtime  A 2 hour video at 720p   should   work just fine_x000D_
2  Enter full screen mode_x000D_
3  Make the video buffer  can be acomplished by skipping to different parts of the video_x000D_
4  While its buffering  exit full screen mode_x000D_
5  The crash will occur after atleast 1 attempt of trying to reproduce this error _x000D_
Note: This bug doesn t work on all videos  I m not sure why
    Expected behavior
The video should keep playing
    Actual behavior
Newpipe crashes  resulting an App UI error
    Screenshots Screen recordings
https:  user images githubusercontent com 84872543 165238349 210bd267 f213 4bf7 81f1 5675b7626a1c mp4
    Logs
   Exception_x000D_
    User Action:   ui error_x000D_
    Request:   ACRA report_x000D_
    Content Country:   GB_x000D_
    Content Language:   en GB_x000D_
    App Language:   en GB_x000D_
    Service:   none_x000D_
    Version:   0 22 2_x000D_
    OS:   Linux samsung j5x3gjv j5x3g:7 1 1 NMF26X J510HXXU3BSD1:user release keys 7 1 1   25_x000D_
 details  summary  b Crash log   b   summary  p _x000D_
_x000D_
   _x000D_
java lang RuntimeException: Unable to destroy activity  org schabi newpipe org schabi newpipe MainActivity : java lang NullPointerException: Attempt to invoke interface method  void android view IWindowSession finishDrawing(android view IWindow)  on a null object reference_x000D_
	at android app ActivityThread performDestroyActivity(ActivityThread java:4670)_x000D_
	at android app ActivityThread handleDestroyActivity(ActivityThread java:4697)_x000D_
	at android app ActivityThread handleRelaunchActivity(ActivityThread java:4982)_x000D_
	at android app ActivityThread  wrap21(ActivityThread java)_x000D_
	at android app ActivityThread H handleMessage(ActivityThread java:1665)_x000D_
	at android os Handler dispatchMessage(Handler java:102)_x000D_
	at android os Looper loop(Looper java:154)_x000D_
	at android app ActivityThread main(ActivityThread java:6816)_x000D_
	at java lang reflect Method invoke(Native Method)_x000D_
	at com android internal os ZygoteInit MethodAndArgsCaller run(ZygoteInit java:1563)_x000D_
	at com android internal os ZygoteInit main(ZygoteInit java:1451)_x000D_
Caused by: java lang NullPointerException: Attempt to invoke interface method  void android view IWindowSession finishDrawing(android view IWindow)  on a null object reference_x000D_
	at android view SurfaceView updateWindow(SurfaceView java:696)_x000D_
	at android view SurfaceView onWindowVisibilityChanged(SurfaceView java:258)_x000D_
	at android view View dispatchDetachedFromWindow(View java:16937)_x000D_
	at android view ViewGroup dispatchDetachedFromWindow(ViewGroup java:3398)_x000D_
	at android view ViewGroup dispatchDetachedFromWindow(ViewGroup java:3398)_x000D_
	at android view ViewGroup dispatchDetachedFromWindow(ViewGroup java:3398)_x000D_
	at android view ViewGroup dispatchDetachedFromWindow(ViewGroup java:3398)_x000D_
	at android view ViewGroup dispatchDetachedFromWindow(ViewGroup java:3398)_x000D_
	at android view ViewGroup dispatchDetachedFromWindow(ViewGroup java:3398)_x000D_
	at android view ViewGroup dispatchDetachedFromWindow(ViewGroup java:3398)_x000D_
	at android view ViewGroup removeViewInternal(ViewGroup java:4936)_x000D_
	at android view ViewGroup removeViewInternal(ViewGroup java:4910)_x000D_
	at android view ViewGroup removeView(ViewGroup java:4841)_x000D_
	at androidx fragment app FragmentContainerView removeView(FragmentContainerView java:350)_x000D_
	at androidx fragment app SpecialEffectsController Operation State applyState(SpecialEffectsController java:452)_x000D_
	at androidx fragment app SpecialEffectsController 1 run(SpecialEffectsController java:211)_x000D_
	at androidx fragment app SpecialEffectsController Operation complete(SpecialEffectsController java:695)_x000D_
	at androidx fragment app SpecialEffectsController FragmentStateManagerOperation complete(SpecialEffectsController java:744)_x000D_
	at androidx fragment app SpecialEffectsController Operation cancel(SpecialEffectsController java:597)_x000D_
	at androidx fragment app SpecialEffectsController forceCompleteAllOperations(SpecialEffectsController java:332)_x000D_
	at androidx fragment app FragmentManager dispatchStateChange(FragmentManager java:3132)_x000D_
	at androidx fragment app FragmentManager dispatchDestroy(FragmentManager java:3107)_x000D_
	at androidx fragment app FragmentController dispatchDestroy(FragmentController java:334)_x000D_
	at androidx fragment app FragmentActivity onDestroy(FragmentActivity java:330)_x000D_
	at androidx appcompat app AppCompatActivity onDestroy(AppCompatActivity java:278)_x000D_
	at org schabi newpipe MainActivity onDestroy(MainActivity java:446)_x000D_
	at android app Activity performDestroy(Activity java:7255)_x000D_
	at android app Instrumentation callActivityOnDestroy(Instrumentation java:1161)_x000D_
	at android app ActivityThread performDestroyActivity(ActivityThread java:4657)_x000D_
	    10 more_x000D_
_x000D_
   _x000D_
  details _x000D_
 hr _x000D_
    Affected Android Custom ROM version
OS: Android 7 1 1  Version: Linux samsung j5x3gjv j5x3g:7 1 1 NMF26X J510HXXU3BSD1:user release keys 7 1 1   25
    Affected device model
Samsung Galaxy J5 2016 (SM J510H)
    Additional information
I have all animations disabled on my device</t>
  </si>
  <si>
    <t>google-ExoPlayer-10221</t>
  </si>
  <si>
    <t>Randome Crash in AdTagLoader</t>
  </si>
  <si>
    <t xml:space="preserve">    ExoPlayer Version_x000D_
_x000D_
2 16 1_x000D_
_x000D_
    Devices that reproduce the issue_x000D_
_x000D_
Xiomi Redmi 9A running android 10_x000D_
Oppo A5 running android 8 1 0_x000D_
Xiomi Redmi 7 running android 10_x000D_
Xiomi Redmi note 9 Pro running android 10_x000D_
Samsung Galaxy A10 running android 9_x000D_
Xiomi Poco M2 running android 10_x000D_
Vivo 1904 running android 9_x000D_
Xiomi Redmi Y2 running android 9_x000D_
Vivo 1820 running android 8 1 0_x000D_
Oppo A1K running android 9_x000D_
Samsung Galaxy S7 running android 8_x000D_
Opposition CPH1909 running android 8 1 0_x000D_
_x000D_
_x000D_
    Devices that do not reproduce the issue_x000D_
_x000D_
Pixeel 4a running android 12 _x000D_
OnePlus 7T running android 11_x000D_
OnePlus 8T running android 11_x000D_
Lenovo Tablet running android 10_x000D_
Samsung Tab A series running android 10_x000D_
_x000D_
_x000D_
    Reproducible in the demo app _x000D_
_x000D_
Not tested_x000D_
_x000D_
    Reproduction steps_x000D_
_x000D_
Player is randomly crashing while playing vast ads_x000D_
_x000D_
    Expected result_x000D_
_x000D_
Ads Should play successfully _x000D_
_x000D_
    Actual result_x000D_
_x000D_
Playback crashes with below stack trace _x000D_
   _x000D_
Fatal Exception: java lang NullPointerException_x000D_
       at java util Objects requireNonNull(Objects java:203)_x000D_
       at com google android exoplayer2 util Assertions checkNotNull(Assertions java:154)_x000D_
       at com google android exoplayer2 ext ima AdTagLoader handlePlayerStateChanged(AdTagLoader java:804)_x000D_
       at com google android exoplayer2 ext ima AdTagLoader onPlaybackStateChanged(AdTagLoader java:492)_x000D_
       at com google android exoplayer2 ExoPlayerImpl lambda updatePlaybackInfo 19(ExoPlayerImpl java:1335)_x000D_
       at com google android exoplayer2 ExoPlayerImpl  r8 lambda AB64kYhFun tYwwYaOXrDXesNBw(ExoPlayerImpl java)_x000D_
       at com google android exoplayer2 ExoPlayerImpl  InternalSyntheticLambda 0 1d3756c78b6d6b7ece141d7c1e9a6465b69ea5798e59ea3803cb705ea4cacb60 10 invoke(ExoPlayerImpl java:4)_x000D_
       at com google android exoplayer2 util ListenerSet ListenerHolder invoke(ListenerSet java:261)_x000D_
       at com google android exoplayer2 util ListenerSet lambda queueEvent 0(ListenerSet java:170)_x000D_
       at com google android exoplayer2 util ListenerSet  r8 lambda NbKDn9xtItiyMgYZmjIx Sv1FFQ(ListenerSet java)_x000D_
       at com google android exoplayer2 util ListenerSet  InternalSyntheticLambda 1 4aa6d67c50ced20c53fd0cecd314136314e77eb5e787a34f9137864aa48c8e5a 0 run(ListenerSet java:6)_x000D_
       at com google android exoplayer2 util ListenerSet flushEvents(ListenerSet java:191)_x000D_
       at com google android exoplayer2 ExoPlayerImpl updatePlaybackInfo(ExoPlayerImpl java:1366)_x000D_
       at com google android exoplayer2 ExoPlayerImpl handlePlaybackInfo(ExoPlayerImpl java:1202)_x000D_
       at com google android exoplayer2 ExoPlayerImpl lambda new 1(ExoPlayerImpl java:242)_x000D_
       at com google android exoplayer2 ExoPlayerImpl  r8 lambda nOBJYkeEQ2uz3sBKLToLWmzrgZk(ExoPlayerImpl java)_x000D_
       at com google android exoplayer2 ExoPlayerImpl  InternalSyntheticLambda 1 c21d15d1115b763b806454db59b3e976fd0126920652a5d519869fbd815a1094 0 run(ExoPlayerImpl java:4)_x000D_
       at android os Handler handleCallback(Handler java:790)_x000D_
       at android os Handler dispatchMessage(Handler java:99)_x000D_
       at android os Looper loop(Looper java:200)_x000D_
       at android app ActivityThread main(ActivityThread java:6971)_x000D_
       at java lang reflect Method invoke(Method java)_x000D_
       at com android internal os RuntimeInit MethodAndArgsCaller run(RuntimeInit java:524)_x000D_
       at com android internal os ZygoteInit main(ZygoteInit java:858)_x000D_
   _x000D_
_x000D_
    Media_x000D_
_x000D_
Not Applicable _x000D_
_x000D_
    Bug Report_x000D_
_x000D_
      You will email the zip file produced by  adb bugreport  to dev exoplayer gmail com after filing this issue </t>
  </si>
  <si>
    <t>PojavLauncherTeam-PojavLauncher-3135</t>
  </si>
  <si>
    <t>[BUG] The mode NEU keeps crashing my game for some reason</t>
  </si>
  <si>
    <t xml:space="preserve">    Describe the bug
The bug is that my game runs fine for the first five minutes of joining hypixel (a server) then crashes out of nowhere
    The log file and images videos
     Minecraft Crash Report     _x000D_
_x000D_
WARNING: coremods are present:_x000D_
  LoadingPlugin (ChunkAnimator MC1 8 8 1 1 jar)_x000D_
Contact their authors BEFORE contacting forge_x000D_
_x000D_
   Surprise  Haha  Well  this is awkward _x000D_
_x000D_
Time: 4 25 22 2:07 PM_x000D_
Description: Unexpected error_x000D_
_x000D_
java lang NullPointerException: Unexpected error_x000D_
	at io github moulberry notenoughupdates core BackgroundBlur processBlurs(BackgroundBlur java:107)_x000D_
	at io github moulberry notenoughupdates core BackgroundBlur onScreenRender(BackgroundBlur java:122)_x000D_
	at net minecraftforge fml common eventhandler ASMEventHandler 84 BackgroundBlur onScreenRender Pre invoke( dynamic)_x000D_
	at net minecraftforge fml common eventhandler ASMEventHandler invoke(ASMEventHandler java:49)_x000D_
	at net minecraftforge fml common eventhandler EventBus post(EventBus java:140)_x000D_
	at net minecraftforge client GuiIngameForge pre(GuiIngameForge java:847)_x000D_
	at net minecraftforge client GuiIngameForge func 175180 a(GuiIngameForge java:98)_x000D_
	at net minecraft client renderer EntityRenderer func 181560 a(EntityRenderer java:1401)_x000D_
	at net minecraft client Minecraft func 71411 J(Minecraft java:1051)_x000D_
	at net minecraft client Minecraft func 99999 d(Minecraft java:349)_x000D_
	at net minecraft client main Main main(SourceFile:124)_x000D_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net minecraft launchwrapper Launch launch(Launch java:135)_x000D_
	at net minecraft launchwrapper Launch main(Launch java:28)_x000D_
_x000D_
_x000D_
A detailed walkthrough of the error  its code path and all known details is as follows:_x000D_
                                                                                       _x000D_
_x000D_
   Head   _x000D_
Stacktrace:_x000D_
	at io github moulberry notenoughupdates core BackgroundBlur processBlurs(BackgroundBlur java:107)_x000D_
	at io github moulberry notenoughupdates core BackgroundBlur onScreenRender(BackgroundBlur java:122)_x000D_
	at net minecraftforge fml common eventhandler ASMEventHandler 84 BackgroundBlur onScreenRender Pre invoke( dynamic)_x000D_
	at net minecraftforge fml common eventhandler ASMEventHandler invoke(ASMEventHandler java:49)_x000D_
	at net minecraftforge fml common eventhandler EventBus post(EventBus java:140)_x000D_
	at net minecraftforge client GuiIngameForge pre(GuiIngameForge java:847)_x000D_
	at net minecraftforge client GuiIngameForge func 175180 a(GuiIngameForge java:98)_x000D_
_x000D_
   Affected level   _x000D_
Details:_x000D_
	Level name: MpServer_x000D_
	All players: 22 total   EntityPlayerSP  Fu ad   39171  l  MpServer   x  10 91  y 70 00  z  60 65   EntityOtherPlayerMP  Treyman315  39174  l  MpServer   x  10 94  y 82 57  z  60 66   EntityOtherPlayerMP  713vbizw12  320  l  MpServer   x  31 00  y 73 00  z  95 50   EntityOtherPlayerMP  qm8tcqv0e3  148  l  MpServer   x 27 50  y 71 00  z  43 50   EntityOtherPlayerMP  m6oazig0ew  149  l  MpServer   x 25 00  y 64 00  z  41 00   EntityOtherPlayerMP  m1fm4l64wk  204  l  MpServer   x  41 50  y 70 00  z  64 50   EntityOtherPlayerMP  1rzt8jcs91  158  l  MpServer   x  24 50  y 71 00  z  58 50   EntityOtherPlayerMP  b08z3yq569  350  l  MpServer   x 23 00  y 77 00  z  69 50   EntityOtherPlayerMP  iad49vmo94  237  l  MpServer   x  10 00  y 70 00  z  67 00   EntityOtherPlayerMP  7fqv7hn522  295  l  MpServer   x 8 50  y 71 00  z  94 50   EntityOtherPlayerMP  t74yvpw19y  318  l  MpServer   x  31 00  y 73 00  z  85 50   EntityOtherPlayerMP  e074n198db  319  l  MpServer   x  36 00  y 73 00  z  85 50   EntityOtherPlayerMP  g050nu7733  321  l  MpServer   x  36 00  y 73 00  z  95 50   EntityOtherPlayerMP  kv09lti1xd  348  l  MpServer   x 15 50  y 70 00  z  71 81   EntityOtherPlayerMP  z168u59a77  349  l  MpServer   x 23 00  y 71 00  z  69 00   EntityOtherPlayerMP  uvo38726zw  363  l  MpServer   x  32 50  y 71 00  z  76 50   EntityOtherPlayerMP  tae14d5s24  364  l  MpServer   x  39 50  y 70 00  z  78 91   EntityOtherPlayerMP  7ee21f2064  294  l  MpServer   x 7 00  y 70 00  z  85 00   EntityOtherPlayerMP  cro31uvq46  162  l  MpServer   x  47 00  y 74 00  z  30 50   EntityOtherPlayerMP  qx8wdr2qmd  296  l  MpServer   x  46 50  y 73 00  z  90 50   EntityOtherPlayerMP  gm8473h82b  203  l  MpServer   x  49 50  y 70 00  z  68 50   EntityOtherPlayerMP  mri611pw1k  239  l  MpServer   x 15 50  y 72 00  z  21 50  _x000D_
	Chunk stats: MultiplayerChunkCache: 441  441_x000D_
	Level seed: 0_x000D_
	Level generator: ID 01   flat  ver 0  Features enabled: false_x000D_
	Level generator options: _x000D_
	Level spawn location:  3 00 70 00  70 00   World: ( 3 70  70)  Chunk: (at 13 4 10 in  1  5  contains blocks  16 0  80 to  1 255  65)  Region: ( 1  1  contains chunks  32  32 to  1  1  blocks  512 0  512 to  1 255  1)_x000D_
	Level time: 766135843 game time  632531 day time_x000D_
	Level dimension: 0_x000D_
	Level storage version: 0x00000   Unknown _x000D_
	Level weather: Rain time: 0 (now: false)  thunder time: 0 (now: false)_x000D_
	Level game mode: Game mode: survival (ID 0)  Hardcore: false  Cheats: false_x000D_
	Forced entities: 522 total   EntityArmorStand  Armor Stand  7168  l  MpServer   x 0 00  y 71 53  z  101 00   EntityArmorStand  Armor Stand  1024  l  MpServer   x 12 56  y 62 66  z  2 22   EntityArmorStand  Armor Stand  1025  l  MpServer   x 12 56  y 61 97  z  2 47   EntityArmorStand  Armor Stand  1026  l  MpServer   x 12 56  y 60 31  z  0 88   EntityArmorStand  Armor Stand  1027  l  MpServer   x 11 31  y 60 31  z  0 88   EntityArmorStand  Armor Stand  1028  l  MpServer   x 11 28  y 60 31  z  1 50   EntityArmorStand  Armor Stand  15365  l  MpServer   x  30 50  y 59 94  z  88 50   EntityArmorStand  Armor Stand  1029  l  MpServer   x 11 94  y 60 31  z  1 50   EntityArmorStand  Armor Stand  15366  l  MpServer   x  30 50  y 59 56  z  88 50   EntityArmorStand  Armor Stand  1030  l  MpServer   x 11 91  y 60 31  z  0 91   EntityArmorStand  Armor Stand  1031  l  MpServer   x 12 56  y 60 31  z  1 50   EntityArmorStand  Armor Stand  1032  l  MpServer   x 12 53  y 61 59  z  0 88   EntityArmorStand  Armor Stand  1033  l  MpServer   x 11 22  y 61 59  z  0 84   EntityArmorStand  Armor Stand  1034  l  MpServer   x 11 22  y 61 59  z  1 75   EntityArmorStand  Armor Stand  1035  l  MpServer   x 11 22  y 61 59  z  1 28   EntityArmorStand  Armor Stand  1036  l  MpServer   x 11 66  y 61 59  z  0 84   EntityArmorStand  Armor Stand  15373  l  MpServer   x  42 50  y 59 94  z  90 50   EntityArmorStand  Armor Stand  7181  l  MpServer   x 52 50  y 68 00  z  82 50   EntityArmorStand  Armor Stand  1037  l  MpServer   x 12 09  y 61 59  z  0 84   EntityArmorStand  Armor Stand  15374  l  MpServer   x  42 50  y 59 56  z  90 50   EntityArmorStand  Armor Stand  7182  l  MpServer   x 52 50  y 67 75  z  82 50   EntityArmorStand  Armor Stand  1038  l  MpServer   x 11 22  y 62 03  z  0 84   EntityArmorStand  Armor Stand  15375  l  MpServer   x  48 50  y 59 94  z  88 50   EntityArmorStand  Armor Stand  1039  l  MpServer   x 11 22  y 62 03  z  1 28   EntityArmorStand  Armor Stand  15376  l  MpServer   x  48 50  y 59 56  z  88 50   EntityArmorStand  Armor Stand  1040  l  MpServer   x 11 66  y 62 03  z  0 84   EntityArmorStand  Armor Stand  15377  l  MpServer   x  45 50  y 59 94  z  80 50   EntityArmorStand  Armor Stand  1041  l  MpServer   x 12 09  y 62 03  z  0 84   EntityArmorStand  Armor Stand  15378  l  MpServer   x  45 50  y 59 56  z  80 50   EntityArmorStand  Armor Stand  1042  l  MpServer   x 12 53  y 62 03  z  0 88   EntityArmorStand  Armor Stand  15379  l  MpServer   x  48 50  y 59 94  z  83 50   EntityArmorStand  Armor Stand  1043  l  MpServer   x 11 22  y 62 03  z  1 75   EntityArmorStand  Armor Stand  15380  l  MpServer   x  48 50  y 59 56  z  83 50   EntityArmorStand  Armor Stand  1044  l  MpServer   x 11 91  y 61 69  z  1 50   EntityArmorStand  Armor Stand  15381  l  MpServer   x  42 50  y 59 94  z  86 50   EntityArmorStand  Armor Stand  1045  l  MpServer   x 12 53  y 61 69  z  1 50   EntityArmorStand  Armor Stand  15382  l  MpServer   x  42 50  y 59 56  z  86 50   EntityArmorStand  Armor Stand  1046  l  MpServer   x 11 31  y 61 69  z  1 50   EntityArmorStand  Armor Stand  1047  l  MpServer   x 12 56  y 61 69  z  0 91   EntityArmorStand  Armor Stand  1048  l  MpServer   x 11 31  y 61 69  z  0 88   EntityArmorStand  Armor Stand  1049  l  MpServer   x 11 94  y 60 81  z  1 50   EntityArmorStand  Armor Stand  1050  l  MpServer   x 11 97  y 61 59  z  1 97   EntityArmorStand  Armor Stand  1051  l  MpServer   x 12 00  y 61 59  z  1 03   EntityArmorStand  Armor Stand  1052  l  MpServer   x 12 00  y 62 00  z  1 28   EntityArmorStand  Armor Stand  1053  l  MpServer   x 12 00  y 62 00  z  1 75   EntityArmorStand  Armor Stand  1054  l  MpServer   x 11 91  y 61 69  z  0 91   EntityArmorStand  Armor Stand  1055  l  MpServer   x 12 66  y 61 59  z  1 31   EntityArmorStand  Armor Stand  1056  l  MpServer   x 12 63  y 61 59  z  1 75   EntityArmorStand  Armor Stand  15393  l  MpServer   x  30 50  y 59 94  z  92 50   EntityArmorStand  Armor Stand  1057  l  MpServer   x 11 19  y 62 81  z  0 72   EntityArmorStand  Armor Stand  15394  l  MpServer   x  30 50  y 59 56  z  92 50   EntityArmorStand  Armor Stand  1058  l  MpServer   x 11 19  y 62 75  z  1 94   EntityArmorStand  Armor Stand  15395  l  MpServer   x  36 50  y 59 94  z  90 50   EntityArmorStand  Armor Stand  1059  l  MpServer   x 11 19  y 62 75  z  1 09   EntityArmorStand  Armor Stand  15396  l  MpServer   x  36 50  y 59 56  z  90 50   EntityArmorStand  Armor Stand  1060  l  MpServer   x 11 22  y 62 75  z  1 50   EntityArmorStand  Armor Stand  15397  l  MpServer   x  33 50  y 59 94  z  100 50   EntityArmorStand  Armor Stand  1061  l  MpServer   x 10 47  y 62 19  z  1 31   EntityArmorStand  Armor Stand  15398  l  MpServer   x  33 50  y 59 56  z  100 50   EntityArmorStand  Armor Stand  1062  l  MpServer   x 10 53  y 62 16  z  1 44   EntityArmorStand  Armor Stand  15399  l  MpServer   x  36 50  y 59 94  z  94 50   EntityArmorStand  Armor Stand  1063  l  MpServer   x 12 56  y 62 66  z  0 88   EntityArmorStand  Armor Stand  15400  l  MpServer   x  36 50  y 59 56  z  94 50   EntityArmorStand  Armor Stand  1064  l  MpServer   x 12 56  y 62 66  z  1 31   EntityArmorStand  Armor Stand  15401  l  MpServer   x  30 50  y 59 94  z  97 50   EntityArmorStand  Armor Stand  1065  l  MpServer   x 12 53  y 62 66  z  1 75   EntityArmorStand  Armor Stand  15402  l  MpServer   x  30 50  y 59 56  z  97 50   EntityArmorStand  Armor Stand  1066  l  MpServer   x 12 53  y 62 66  z  0 81   EntityArmorStand  Armor Stand  15403  l  MpServer   x  39 50  y 59 94  z  100 50   EntityArmorStand  Armor Stand  1067  l  MpServer   x 12 56  y 62 41  z  0 59   EntityArmorStand  Armor Stand  15404  l  MpServer   x  39 50  y 59 56  z  100 50   EntityArmorStand  Armor Stand  1068  l  MpServer   x 12 56  y 61 97  z  0 63   EntityArmorStand  Armor Stand  15409  l  MpServer   x  42 50  y 59 94  z  94 50   EntityArmorStand  Armor Stand  15410  l  MpServer   x  42 50  y 59 56  z  94 50   EntityArmorStand  Armor Stand  15411  l  MpServer   x  48 50  y 59 94  z  92 50   EntityArmorStand  Armor Stand  15412  l  MpServer   x  48 50  y 59 56  z  92 50   EntityArmorStand  Armor Stand  15413  l  MpServer   x  45 50  y 59 94  z  100 50   EntityArmorStand  Armor Stand  15414  l  MpServer   x  45 50  y 59 56  z  100 50   EntityArmorStand  Armor Stand  1087  l  MpServer   x 12 50  y 60 63  z  4 28   EntityArmorStand  Armor Stand  1088  l  MpServer   x 12 50  y 60 63  z  4 88   EntityArmorStand  Armor Stand  1089  l  MpServer   x 12 50  y 60 63  z  5 50   EntityArmorStand  Armor Stand  1090  l  MpServer   x 12 50  y 60 63  z  6 75   EntityArmorStand  Armor Stand  1091  l  MpServer   x 12 50  y 60 63  z  6 13   EntityArmorStand  Armor Stand  1092  l  MpServer   x 12 50  y 61 19  z  6 84   EntityArmorStand  Armor Stand  1093  l  MpServer   x 12 50  y 61 19  z  4 19   EntityArmorStand  Armor Stand  1094  l  MpServer   x 12 50  y 61 56  z  4 28   EntityArmorStand  Armor Stand  1095  l  MpServer   x 12 50  y 61 56  z  4 88   EntityArmorStand  Armor Stand  1096  l  MpServer   x 12 50  y 61 56  z  5 50   EntityArmorStand  Armor Stand  1097  l  MpServer   x 12 50  y 61 56  z  6 16   EntityArmorStand  Armor Stand  1098  l  MpServer   x 12 50  y 61 56  z  6 78   EntityArmorStand  Armor Stand  1099  l  MpServer   x 12 47  y 60 88  z  4 56   EntityArmorStand  Armor Stand  1100  l  MpServer   x 12 50  y 61 19  z  5 09   EntityArmorStand  Armor Stand  1101  l  MpServer   x 12 44  y 60 88  z  6 50   EntityArmorStand  Armor Stand  1102  l  MpServer   x 12 50  y 61 19  z  6 16   EntityArmorStand  Armor Stand  1103  l  MpServer   x 12 56  y 61 56  z  5 28   EntityArmorStand  Armor Stand  80  l  MpServer   x 11 44  y 74 50  z  110 25   EntityArmorStand  Armor Stand  1104  l  MpServer   x 12 53  y 61 56  z  5 75   EntityArmorStand  Armor Stand  81  l  MpServer   x 11 69  y 74 47  z  110 16   EntityItemFrame  entity ItemFrame name  1106  l  MpServer   x 18 50  y 73 50  z  48 03   EntityArmorStand  Armor Stand  82  l  MpServer   x 11 56  y 73 81  z  110 09   EntityItemFrame  entity ItemFrame name  1107  l  MpServer   x 16 50  y 73 50  z  48 03   EntityArmorStand  Armor Stand  83  l  MpServer   x 12 44  y 74 03  z  110 38   EntityArmorStand  Armor Stand  84  l  MpServer   x 11 97  y 73 78  z  107 66   EntityArmorStand  Armor Stand  85  l  MpServer   x 11 56  y 74 00  z  110 25   EntityArmorStand  Armor Stand  86  l  MpServer   x 12 50  y 74 47  z  106 94   EntityArmorStand  Armor Stand  87  l  MpServer   x 12 44  y 73 56  z  106 81   EntityArmorStand  Armor Stand  88  l  MpServer   x 11 56  y 73 56  z  110 22   EntityArmorStand  Armor Stand  89  l  MpServer   x 12 38  y 74 31  z  107 78   EntityArmorStand  Armor Stand  90  l  MpServer   x 12 34  y 74 19  z  109 50   EntityArmorStand  Armor Stand  91  l  MpServer   x 12 16  y 74 00  z  109 78   EntityArmorStand  Armor Stand  92  l  MpServer   x 12 47  y 74 22  z  109 50   EntityOtherPlayerMP  mri611pw1k  239  l  MpServer   x 15 50  y 72 00  z  21 50   EntityArmorStand  Armor Stand  93  l  MpServer   x 12 41  y 74 53  z  106 94   EntityArmorStand  Armor Stand  94  l  MpServer   x 12 00  y 73 56  z  110 22   EntityArmorStand  Armor Stand  95  l  MpServer   x 11 75  y 73 75  z  107 69   EntityArmorStand  Armor Stand  96  l  MpServer   x 12 44  y 73 34  z  109 81   EntityArmorStand  Armor Stand  97  l  MpServer   x 12 03  y 74 31  z  107 81   EntityArmorStand  Armor Stand  98  l  MpServer   x 12 09  y 73 63  z  107 56   EntityArmorStand  Armor Stand  99  l  MpServer   x 12 44  y 73 34  z  106 81   EntityArmorStand  Armor Stand  100  l  MpServer   x 12 00  y 73 34  z  106 81   EntityArmorStand  Armor Stand  101  l  MpServer   x 11 69  y 74 50  z  110 22   EntityArmorStand  Armor Stand  102  l  MpServer   x 12 41  y 73 78  z  107 66   EntityArmorStand  Armor Stand  103  l  MpServer   x 12 00  y 73 34  z  110 22   EntityArmorStand  Armor Stand  104  l  MpServer   x 12 53  y 74 50  z  109 91   EntityArmorStand  Armor Stand  105  l  MpServer   x 12 41  y 73 56  z  109 38   EntityArmorStand  Armor Stand  106  l  MpServer   x 12 44  y 74 22  z  109 28   EntityArmorStand  Armor Stand  107  l  MpServer   x 12 09  y 74 63  z  107 56   EntityArmorStand  Armor Stand  108  l  MpServer   x 12 41  y 74 53  z  109 94   EntityArmorStand  Armor Stand  7276  l  MpServer   x  59 50  y 89 00  z  16 50   EntityArmorStand  Armor Stand  109  l  MpServer   x 11 91  y 74 22  z  107 78   EntityArmorStand  Armor Stand  7277  l  MpServer   x  59 50  y 88 75  z  16 50   EntityArmorStand  Armor Stand  110  l  MpServer   x 12 31  y 74 03  z  107 22   EntityArmorStand  Armor Stand  111  l  MpServer   x 12 28  y 73 81  z  109 41   EntityArmorStand  Armor Stand  112  l  MpServer   x 12 53  y 74 19  z  109 50   EntityArmorStand  Armor Stand  113  l  MpServer   x 11 97  y 73 34  z  107 69   EntityArmorStand  Armor Stand  114  l  MpServer   x 12 34  y 74 50  z  109 91   EntityArmorStand  Armor Stand  115  l  MpServer   x 12 00  y 74 00  z  106 81   EntityArmorStand  Armor Stand  116  l  MpServer   x 12 78  y 74 97  z  107 84   EntityArmorStand  Armor Stand  117  l  MpServer   x 11 66  y 74 47  z  110 31   EntityArmorStand  Armor Stand  118  l  MpServer   x 12 09  y 74 13  z  107 56   EntityArmorStand  Armor Stand  119  l  MpServer   x 12 09  y 74 88  z  107 56   EntityArmorStand  Armor Stand  120  l  MpServer   x 11 88  y 73 84  z  107 22   EntityArmorStand  Armor Stand  121  l  MpServer   x 12 31  y 74 09  z  107 22   EntityArmorStand  Armor Stand  122  l  MpServer   x 11 97  y 74 03  z  110 38   EntityArmorStand  Armor Stand  123  l  MpServer   x 12 41  y 73 56  z  110 25   EntityArmorStand  Armor Stand  124  l  MpServer   x 11 56  y 74 00  z  109 97   EntityArmorStand  Armor Stand  125  l  MpServer   x 12 19  y 74 00  z  109 41   EntityArmorStand  Armor Stand  126  l  MpServer   x 12 00  y 74 53  z  106 91   EntityArmorStand  Armor Stand  127  l  MpServer   x 11 94  y 74 47  z  106 94   EntityArmorStand  Armor Stand  128  l  MpServer   x 12 25  y 73 81  z  109 81   EntityArmorStand  Armor Stand  129  l  MpServer   x 12 22  y 73 56  z  107 25   EntityArmorStand  Armor Stand  130  l  MpServer   x 12 41  y 74 00  z  109 81   EntityArmorStand  Armor Stand  131  l  MpServer   x 12 44  y 74 00  z  106 81   EntityArmorStand  Armor Stand  132  l  MpServer   x 12 09  y 73 38  z  107 56   EntityArmorStand  Armor Stand  133  l  MpServer   x 11 56  y 73 34  z  110 25   EntityArmorStand  Armor Stand  134  l  MpServer   x 12 13  y 74 22  z  107 81   EntityArmorStand  Armor Stand  135  l  MpServer   x 12 47  y 74 22  z  107 78   EntityArmorStand  Armor Stand  136  l  MpServer   x 12 41  y 73 56  z  109 78   EntityArmorStand  Armor Stand  137  l  MpServer   x 12 44  y 73 34  z  109 38   EntityArmorStand  Armor Stand  138  l  MpServer   x 12 22  y 73 34  z  107 25   EntityArmorStand  Armor Stand  3210  l  MpServer   x  9 00  y 68 00  z  125 00   EntityArmorStand  Armor Stand  139  l  MpServer   x 12 22  y 74 47  z  106 94   EntityArmorStand  Armor Stand  3211  l  MpServer   x  9 00  y 67 75  z  125 00   EntityArmorStand  Armor Stand  3212  l  MpServer   x  3 00  y 72 63  z  108 50   EntityArmorStand  Armor Stand  140  l  MpServer   x 12 00  y 73 56  z  106 81   EntityArmorStand  Armor Stand  141  l  MpServer   x 12 41  y 73 34  z  107 66   EntityArmorStand  Armor Stand  142  l  MpServer   x 12 41  y 73 72  z  109 38   EntityArmorStand  Armor Stand  143  l  MpServer   x 12 41  y 73 34  z  110 25   EntityArmorStand  Armor Stand  144  l  MpServer   x 12 09  y 73 88  z  107 56   EntityArmorStand  Armor Stand  145  l  MpServer   x 12 41  y 74 53  z  109 69   EntityArmorStand  Armor Stand  3218  l  MpServer   x  3 00  y 72 94  z  108 50   EntityArmorStand  Armor Stand  146  l  MpServer   x 12 09  y 74 38  z  107 56   EntityArmorStand  Armor Stand  3219  l  MpServer   x 4 50  y 72 13  z  114 50   EntityOtherPlayerMP  qm8tcqv0e3  148  l  MpServer   x 27 50  y 71 00  z  43 50   EntityOtherPlayerMP  m6oazig0ew  149  l  MpServer   x 25 00  y 64 00  z  41 00   EntityArmorStand  Armor Stand  3227  l  MpServer   x 2 00  y 72 38  z  110 50   EntityArmorStand  Armor Stand  3228  l  MpServer   x 2 00  y 72 00  z  110 50   EntityArmorStand  Armor Stand  3229  l  MpServer   x 2 00  y 71 63  z  110 50   EntityOtherPlayerMP  1rzt8jcs91  158  l  MpServer   x  24 50  y 71 00  z  58 50   EntityArmorStand  Armor Stand  39072  l  MpServer   x 46 56  y 69 20  z  41 72   EntityArmorStand  Armor Stand  3234  l  MpServer   x  21 50  y 68 09  z  124 50   EntityOtherPlayerMP  cro31uvq46  162  l  MpServer   x  47 00  y 74 00  z  30 50   EntityArmorStand  Armor Stand  3235  l  MpServer   x  21 50  y 67 84  z  124 50   EntityArmorStand  Armor Stand  12453  l  MpServer   x  64 50  y 70 09  z  116 50   EntityArmorStand  Armor Stand  12454  l  MpServer   x  64 50  y 69 75  z  116 50   EntityArmorStand  Armor Stand  12455  l  MpServer   x  35 50  y 69 09  z  112 50   EntityArmorStand  Armor Stand  12456  l  MpServer   x  35 50  y 68 84  z  112 50   EntityArmorStand  Armor Stand  3240  l  MpServer   x  28 50  y 69 09  z  125 50   EntityArmorStand  Armor Stand  3241  l  MpServer   x  28 50  y 68 84  z  125 50   EntityArmorStand  Armor Stand  3255  l  MpServer   x  49 50  y 70 00  z  68 50   EntityArmorStand  Armor Stand  3256  l  MpServer   x  49 50  y 69 75  z  68 50   EntityArmorStand  Armor Stand  3257  l  MpServer   x  36 00  y 73 00  z  95 50   EntityArmorStand  Armor Stand  3258  l  MpServer   x  36 00  y 72 75  z  95 50   EntityArmorStand  Armor Stand  3259  l  MpServer   x  41 50  y 70 00  z  64 50   EntityArmorStand  Armor Stand  3260  l  MpServer   x  41 50  y 69 75  z  64 50   EntityArmorStand  Armor Stand  3261  l  MpServer   x  46 50  y 73 00  z  90 50   EntityArmorStand  Armor Stand  3262  l  MpServer   x  46 50  y 72 75  z  90 50   EntityArmorStand  Armor Stand  3263  l  MpServer   x  39 50  y 70 00  z  78 91   EntityArmorStand  Armor Stand  3264  l  MpServer   x  39 50  y 69 75  z  78 91   EntityArmorStand  Armor Stand  3265  l  MpServer   x  31 00  y 73 00  z  85 50   EntityArmorStand  Armor Stand  3266  l  MpServer   x  31 00  y 72 75  z  85 50   EntityArmorStand  Armor Stand  3267  l  MpServer   x  31 00  y 73 00  z  95 50   EntityArmorStand  Armor Stand  3268  l  MpServer   x  31 00  y 72 75  z  95 50   EntityArmorStand  Armor Stand  3269  l  MpServer   x  32 50  y 71 00  z  76 50   EntityArmorStand  Armor Stand  3270  l  MpServer   x  32 50  y 70 75  z  76 50   EntityArmorStand  Armor Stand  3271  l  MpServer   x  36 00  y 73 00  z  85 50   EntityArmorStand  Armor Stand  3272  l  MpServer   x  36 00  y 72 75  z  85 50   EntityOtherPlayerMP  gm8473h82b  203  l  MpServer   x  49 50  y 70 00  z  68 50   EntityOtherPlayerMP  m1fm4l64wk  204  l  MpServer   x  41 50  y 70 00  z  64 50   EntityArmorStand  Armor Stand  3284  l  MpServer   x 25 00  y 64 00  z  41 00   EntityArmorStand  Armor Stand  3285  l  MpServer   x 25 00  y 63 75  z  41 00   EntityArmorStand  Armor Stand  3286  l  MpServer   x 25 50  y 71 00  z  64 50   EntityVillager  Villager  214  l  MpServer   x  7 50  y 70 00  z  75 50   EntityArmorStand  Armor Stand  3287  l  MpServer   x 25 50  y 70 63  z  64 50   EntityArmorStand  Armor Stand  3288  l  MpServer   x 27 50  y 71 00  z  43 50   EntityVillager  Villager  216  l  MpServer   x 28 50  y 69 00  z  57 50   EntityArmorStand  Armor Stand  3289  l  MpServer   x 27 50  y 70 75  z  43 50   EntityArmorStand  Armor Stand  3290  l  MpServer   x 28 50  y 69 09  z  57 50   EntityArmorStand  Armor Stand  3291  l  MpServer   x 28 50  y 68 84  z  57 50   EntityVillager  Villager  222  l  MpServer   x  16 50  y 70 00  z  81 50   EntityVillager  Villager  226  l  MpServer   x 17 50  y 70 00  z  100 00   EntityVillager  Villager  228  l  MpServer   x  0 50  y 70 00  z  54 50   EntityArmorStand   8  7Lv30 8   cCrypt Ghoul r  a2000 f  a2000 c   31974  l  MpServer   x  65 75  y 52 09  z  116 75   EntityArmorStand  Armor Stand  3304  l  MpServer   x 52 00  y 69 00  z  43 00   EntityVillager  Villager  232  l  MpServer   x  6 50  y 70 00  z  89 50   EntityArmorStand  Armor Stand  3305  l  MpServer   x 52 00  y 68 75  z  43 00   EntityArmorStand  Armor Stand  3306  l  MpServer   x 38 50  y 68 09  z  46 50   EntityVillager  Villager  234  l  MpServer   x  35 50  y 70 00  z  36 50   EntityArmorStand  Armor Stand  3307  l  MpServer   x 38 50  y 67 84  z  46 50   EntityArmorStand  Armor Stand  3308  l  MpServer   x 46 50  y 69 47  z  34 50   EntityArmorStand  Armor Stand  3309  l  MpServer   x 46 50  y 69 09  z  34 50   EntityOtherPlayerMP  iad49vmo94  237  l  MpServer   x  10 00  y 70 00  z  67 00   EntityArmorStand  Armor Stand  3310  l  MpServer   x 46 50  y 68 72  z  34 50   EntityArmorStand  Armor Stand  3311  l  MpServer   x 41 50  y 70 00  z  39 50   EntityOtherPlayerMP  mri611pw1k  239  l  MpServer   x 15 50  y 72 00  z  21 50   EntityArmorStand  Armor Stand  3312  l  MpServer   x 41 50  y 69 75  z  39 50   EntityArmorStand  Armor Stand  3315  l  MpServer   x 41 50  y 70 50  z  63 50   EntityArmorStand  Armor Stand  3316  l  MpServer   x 41 50  y 70 25  z  63 50   EntityArmorStand  Armor Stand  39172  l  MpServer   x  10 66  y 70 25  z  61 47   EntityArmorStand   8  7Lv64 8   9Fu ad  s Lion  39173  l  MpServer   x  11 19  y 71 06  z  61 75   EntityOtherPlayerMP  Treyman315  39174  l  MpServer   x  10 94  y 82 57  z  60 66   EntityArmorStand  Armor Stand  262  l  MpServer   x 15 41  y 72 00  z  13 25   EntityArmorStand  Armor Stand  263  l  MpServer   x 14 94  y 72 00  z  13 22   EntityArmorStand  Armor Stand  264  l  MpServer   x 14 53  y 72 00  z  13 25   EntityArmorStand  Armor Stand  265  l  MpServer   x 14 09  y 72 00  z  13 22   EntityArmorStand  Armor Stand  266  l  MpServer   x 13 66  y 72 00  z  13 22   EntityArmorStand  Armor Stand  267  l  MpServer   x 14 97  y 72 00  z  13 66   EntityArmorStand  Armor Stand  268  l  MpServer   x 13 63  y 72 00  z  13 66   EntityOtherPlayerMP  713vbizw12  320  l  MpServer   x  31 00  y 73 00  z  95 50   EntityArmorStand  Armor Stand  269  l  MpServer   x 14 06  y 72 00  z  13 66   EntityOtherPlayerMP  j3f9pk414d  11  l  MpServer   x 11 50  y 71 00  z  101 00   EntityArmorStand  Armor Stand  270  l  MpServer   x 14 53  y 72 00  z  13 66   EntityOtherPlayerMP  3t5a70p404  12  l  MpServer   x 0 00  y 71 00  z  101 00   EntityArmorStand  Armor Stand  271  l  MpServer   x 15 38  y 72 00  z  13 69   EntityOtherPlayerMP  qm8tcqv0e3  148  l  MpServer   x 27 50  y 71 00  z  43 50   EntityArmorStand  Armor Stand  272  l  MpServer   x 15 34  y 71 41  z  13 44   EntityOtherPlayerMP  m6oazig0ew  149  l  MpServer   x 25 00  y 64 00  z  41 00   EntityArmorStand  Armor Stand  273  l  MpServer   x 15 31  y 71 84  z  13 44   EntityOtherPlayerMP  m1fm4l64wk  204  l  MpServer   x  41 50  y 70 00  z  64 50   EntityArmorStand  Armor Stand  274  l  MpServer   x 13 84  y 70 28  z  13 44   EntityOtherPlayerMP  73628l5q58  209  l  MpServer   x 30 50  y 70 00  z  90 50   EntityArmorStand  Armor Stand  275  l  MpServer   x 13 84  y 70 91  z  13 44   EntityOtherPlayerMP  e9475omei4  212  l  MpServer   x 34 50  y 71 00  z  100 50   EntityArmorStand  Armor Stand  276  l  MpServer   x 14 53  y 72 13  z  13 25   EntityOtherPlayerMP  1rzt8jcs91  158  l  MpServer   x  24 50  y 71 00  z  58 50   EntityArmorStand  Armor Stand  3349  l  MpServer   x 34 50  y 71 09  z  100 50   EntityArmorStand  Armor Stand  277  l  MpServer   x 14 31  y 72 13  z  13 81   EntityArmorStand  Armor Stand  3350  l  MpServer   x 34 50  y 70 72  z  100 50   EntityArmorStand  Armor Stand  278  l  MpServer   x 14 19  y 71 50  z  14 34   EntityArmorStand  Armor Stand  279  l  MpServer   x 15 31  y 72 13  z  13 44   EntityOtherPlayerMP  7fqv7hn522  295  l  MpServer   x 8 50  y 71 00  z  94 50   EntityArmorStand  Armor Stand  280  l  MpServer   x 13 81  y 71 72  z  13 59   EntityOtherPlayerMP  t74yvpw19y  318  l  MpServer   x  31 00  y 73 00  z  85 50   EntityArmorStand  Armor Stand  281  l  MpServer   x 13 81  y 71 38  z  13 59   EntityOtherPlayerMP  e074n198db  319  l  MpServer   x  36 00  y 73 00  z  85 50   EntityOtherPlayerMP  g050nu7733  321  l  MpServer   x  36 00  y 73 00  z  95 50   EntityOtherPlayerMP  kv09lti1xd  348  l  MpServer   x 15 50  y 70 00  z  71 81   EntityArmorStand  Armor Stand  8476  l  MpServer   x 51 50  y 79 00  z  13 50   EntityOtherPlayerMP  z168u59a77  349  l  MpServer   x 23 00  y 71 00  z  69 00   EntityItemFrame  entity ItemFrame name  1309  l  MpServer   x  20 50  y 73 50  z  38 03   EntityArmorStand  Armor Stand  8477  l  MpServer   x 51 50  y 78 75  z  13 50   EntityOtherPlayerMP  uvo38726zw  363  l  MpServer   x  32 50  y 71 00  z  76 50   EntityItemFrame  entity ItemFrame name  1310  l  MpServer   x  18 50  y 73 50  z  38 03   EntityOtherPlayerMP  tae14d5s24  364  l  MpServer   x  39 50  y 70 00  z  78 91   EntityOtherPlayerMP  7ee21f2064  294  l  MpServer   x 7 00  y 70 00  z  85 00   EntityOtherPlayerMP  069uj5u7k1  210  l  MpServer   x 33 50  y 70 00  z  95 50   EntityOtherPlayerMP  hc132rtdl7  211  l  MpServer   x 32 50  y 77 00  z  93 50   EntityOtherPlayerMP  7ee21f2064  294  l  MpServer   x 7 00  y 70 00  z  85 00   EntityOtherPlayerMP  7fqv7hn522  295  l  MpServer   x 8 50  y 71 00  z  94 50   EntityOtherPlayerMP  qx8wdr2qmd  296  l  MpServer   x  46 50  y 73 00  z  90 50   EntityArmorStand  Armor Stand  297  l  MpServer   x  45 50  y 59 63  z  100 50   EntityArmorStand  Armor Stand  298  l  MpServer   x  39 50  y 59 63  z  100 50   EntityArmorStand  Armor Stand  299  l  MpServer   x  33 50  y 59 63  z  100 50   EntityArmorStand  Armor Stand  300  l  MpServer   x  30 50  y 59 63  z  97 50   EntityItemFrame  entity ItemFrame name  301  l  MpServer   x  16 97  y 73 50  z  83 50   EntityItemFrame  entity ItemFrame name  302  l  MpServer   x  16 97  y 73 50  z  85 50   EntityArmorStand  Armor Stand  303  l  MpServer   x  30 50  y 59 63  z  92 50   EntityArmorStand  Armor Stand  304  l  MpServer   x  30 50  y 59 63  z  88 50   EntityArmorStand  Armor Stand  305  l  MpServer   x  30 50  y 59 63  z  83 50   EntityArmorStand  Armor Stand  1330  l  MpServer   x 15 50  y 70 00  z  71 78   EntityArmorStand  Armor Stand  306  l  MpServer   x  33 50  y 59 63  z  80 50   EntityItem  item item swordIron  37170  l  MpServer   x  42 50  y 61 00  z  90 50   EntityArmorStand  Armor Stand  1331  l  MpServer   x 15 50  y 69 75  z  71 78   EntityArmorStand  Armor Stand  307  l  MpServer   x  36 50  y 59 63  z  86 50   EntityItem  item item swordIron  37171  l  MpServer   x  42 50  y 61 00  z  86 50   EntityArmorStand  Armor Stand  1332  l  MpServer   x 7 00  y 70 25  z  85 00   EntityArmorStand  Armor Stand  308  l  MpServer   x  36 50  y 59 63  z  90 50   EntityItem  item item fishingRod  37172  l  MpServer   x  39 50  y 61 00  z  80 50   EntityArmorStand  Armor Stand  1333  l  MpServer   x 7 00  y 70 00  z  85 00   EntityArmorStand  Armor Stand  309  l  MpServer   x  36 50  y 59 63  z  94 50   EntityArmorStand  Armor Stand  1334  l  MpServer   x 7 00  y 69 75  z  85 00   EntityArmorStand  Armor Stand  310  l  MpServer   x  42 50  y 59 63  z  94 50   EntityArmorStand   bTravel to:  1335  l  MpServer   x  2 50  y 70 44  z  62 50   EntityArmorStand  Armor Stand  311  l  MpServer   x  42 50  y 59 63  z  90 50   EntityArmorStand   aYour Island  1336  l  MpServer   x  2 50  y 70 06  z  62 50   EntityArmorStand  Armor Stand  312  l  MpServer   x  42 50  y 59 63  z  86 50   EntityArmorStand  Hub Selector  1337  l  MpServer   x  10 00  y 70 00  z  67 00   EntityArmorStand  Armor Stand  313  l  MpServer   x  39 50  y 59 63  z  80 50   EntityArmorStand   e lCLICK  1338  l  MpServer   x  10 00  y 69 75  z  67 00   EntityArmorStand  Armor Stand  314  l  MpServer   x  45 50  y 59 63  z  80 50   EntityArmorStand  Vex  1339  l  MpServer   x  16 50  y 70 09  z  81 50   EntityArmorStand  Armor Stand  8507  l  MpServer   x 5 50  y 32 13  z  106 50   EntityArmorStand  Armor Stand  315  l  MpServer   x  48 50  y 59 63  z  83 50   EntityArmorStand   e lCLICK  1340  l  MpServer   x  16 50  y 69 84  z  81 50   EntityArmorStand  Armor Stand  316  l  MpServer   x  48 50  y 59 63  z  88 50   EntityArmorStand  Armor Stand  8508  l  MpServer   x 5 50  y 33 72  z  119 50   EntityArmorStand  Banker  1341  l  MpServer   x  24 50  y 71 00  z  58 50   EntityArmorStand  Armor Stand  317  l  MpServer   x  48 50  y 59 63  z  92 50   EntityArmorStand  Armor Stand  8509  l  MpServer   x 5 50  y 33 34  z  119 50   EntityArmorStand   e lCLICK  1342  l  MpServer   x  24 50  y 70 75  z  58 50   EntityArmorStand  Armor Stand  8510  l  MpServer   x 5 50  y 32 97  z  119 50   EntityOtherPlayerMP  t74yvpw19y  318  l  MpServer   x  31 00  y 73 00  z  85 50   EntityArmorStand  Armor Stand  1343  l  MpServer   x  6 50  y 70 09  z  89 50   EntityArmorStand  Armor Stand  8511  l  MpServer   x 5 50  y 32 59  z  119 50   EntityOtherPlayerMP  e074n198db  319  l  MpServer   x  36 00  y 73 00  z  85 50   EntityArmorStand  Armor Stand  1344  l  MpServer   x  6 50  y 69 84  z  89 50   EntityArmorStand  Armor Stand  8512  l  MpServer   x 17 50  y 33 53  z  119 50   EntityOtherPlayerMP  713vbizw12  320  l  MpServer   x  31 00  y 73 00  z  95 50   EntityArmorStand  Jack  1345  l  MpServer   x  0 50  y 70 09  z  54 50   EntityArmorStand  Armor Stand  8513  l  MpServer   x 17 50  y 33 16  z  119 50   EntityOtherPlayerMP  g050nu7733  321  l  MpServer   x  36 00  y 73 00  z  95 50   EntityArmorStand   e lCLICK  1346  l  MpServer   x  0 50  y 69 84  z  54 50   Entity</t>
  </si>
  <si>
    <t>broken-shotgun-run-lines-12</t>
  </si>
  <si>
    <t>fix dialog crash</t>
  </si>
  <si>
    <t xml:space="preserve">  Describe the bug  _x000D_
Attempting to background app during a lengthy import (most PDF imports are long) can cause app to crash _x000D_
_x000D_
  To Reproduce  _x000D_
https:  stackoverflow com questions 22924825 view not attached to window manager crash_x000D_
1  Enable this option on your device: Settings    Developer Options    Don t keep Activities _x000D_
2  Press Home button while the AsyncTask is executing and the ProgressDialog is showing _x000D_
_x000D_
  Expected behavior  _x000D_
Dialogs should be handled properly and be handled properly when the app is background  event during an asynchronous operation _x000D_
</t>
  </si>
  <si>
    <t>ankidroid-Anki-Android-5794</t>
  </si>
  <si>
    <t>Crash with no user warning when WebView updates Android 5.x</t>
  </si>
  <si>
    <t xml:space="preserve">       Reproduction Steps_x000D_
_x000D_
1  Remove Android System Webview updates on Samsung galaxy phone (mostly) Android 5 x_x000D_
2  Open AnkiDroid_x000D_
3  Run Play Store updates (to update the Android System WebView)_x000D_
_x000D_
_x000D_
       Expected Result_x000D_
_x000D_
The App  should  reload (part of the webview update) and worst case notify the user the webview is not available_x000D_
_x000D_
_x000D_
       Actual Result_x000D_
_x000D_
The App is reloaded but because it touches the WebView immediately on startup and the WebView is not there  it crashes_x000D_
_x000D_
Explanation here:_x000D_
https:  bugs chromium org p chromium issues detail id 506369 c3_x000D_
_x000D_
Crashes here:_x000D_
https:  play google com apps publish  account 5338425030304417978 AndroidMetricsErrorsPlace:p com ichi2 anki appid 4973711737547064258 appVersion 20904300 lastReportedRange LAST 14 DAYS installSource INSTALLED FROM ANYWHERE clusterName apps com ichi2 anki clusters d261ebbd detailsAppVersion 20904300 detailsSpan 14 detailsInstallSource INSTALLED FROM ANYWHERE_x000D_
_x000D_
_x000D_
Normally I would say ignore it but we will support 5 x for a while longer and this crashes people a lot  2 3 day so it makes our top 10 crash list _x000D_
_x000D_
Also  it should be an easy fix  with the proper fix being to catch this exception bubbling up  test if the webview is available ourselves  and if it is not then throw a dialog with a translated error message telling the user  AnkiDroid relies on the System WebView which is unavailable  This can happen if the system is installing updates  Please try again in a few minutes  and then an app close (since we can t work without a webview anyway)_x000D_
_x000D_
_x000D_
_x000D_
       Debug info_x000D_
Refer to the  support page (https:  ankidroid org docs help html) if you are unsure where to get the  debug info  _x000D_
_x000D_
       Research_x000D_
 Enter an   x   character to confirm the points below: _x000D_
_x000D_
     I have read the  support page (https:  ankidroid org docs help html) and am reporting a bug or enhancement request specific to AnkiDroid_x000D_
_x000D_
     I have checked the  manual (https:  ankidroid org docs manual html) and the  FAQ (https:  github com ankidroid Anki Android wiki FAQ) and could not find a solution to my issue_x000D_
_x000D_
     I have searched for similar existing issues here and on the user forum_x000D_
_x000D_
</t>
  </si>
  <si>
    <t>castle-castle-android-26</t>
  </si>
  <si>
    <t>[CRASH] App crashes when using Biometric Api</t>
  </si>
  <si>
    <t xml:space="preserve">Castle integration causes a crash due to the fact that  DeviceCredentialHandlerActivity  sets its title to null _x000D_
_x000D_
_x000D_
Reference:_x000D_
https:  android googlesource com platform frameworks support   refs heads androidx recyclerview release biometric src main java androidx biometric DeviceCredentialHandlerActivity java 54_x000D_
_x000D_
  Device  : Samsung S7 Edge (SM G935F)_x000D_
  Android  : 8 0 0_x000D_
_x000D_
Stacktrace:_x000D_
   _x000D_
E AndroidRuntime: FATAL EXCEPTION: main_x000D_
    Process: com stash stashinvest  PID: 10195_x000D_
    java lang RuntimeException: Unable to start activity ComponentInfo com stash stashinvest androidx biometric DeviceCredentialHandlerActivity : java lang NullPointerException: Attempt to invoke interface method  java lang String java lang CharSequence toString()  on a null object reference_x000D_
        at android app ActivityThread performLaunchActivity(ActivityThread java:2957)_x000D_
        at android app ActivityThread handleLaunchActivity(ActivityThread java:3032)_x000D_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interface method  java lang String java lang CharSequence toString()  on a null object reference_x000D_
        at io castle android api model ScreenEvent  init (ScreenEvent java:30)_x000D_
        at io castle android Castle screen(Castle java:276)_x000D_
        at io castle android CastleActivityLifecycleCallbacks onActivityStarted(CastleActivityLifecycleCallbacks java:18)_x000D_
        at android app Application dispatchActivityStarted(Application java:231)_x000D_
        at android app Activity onStart(Activity java:1296)_x000D_
        at androidx fragment app FragmentActivity onStart(FragmentActivity java:536)_x000D_
        at androidx appcompat app AppCompatActivity onStart(AppCompatActivity java:201)_x000D_
        at android app Instrumentation callActivityOnStart(Instrumentation java:1340)_x000D_
        at android app Activity performStart(Activity java:7200)_x000D_
        at android app ActivityThread performLaunchActivity(ActivityThread java:2920)_x000D_
        at android app ActivityThread handleLaunchActivity(ActivityThread java:3032) _x000D_
        at android app ActivityThread  wrap11(Unknown Source:0) _x000D_
        at android app ActivityThread H handleMessage(ActivityThread java:1696) _x000D_
        at android os Handler dispatchMessage(Handler java:105) _x000D_
        at android os Looper loop(Looper java:164) _x000D_
        at android app ActivityThread main(ActivityThread java:6944) _x000D_
        at java lang reflect Method invoke(Native Method) _x000D_
        at com android internal os Zygote MethodAndArgsCaller run(Zygote java:327) _x000D_
        at com android internal os ZygoteInit main(ZygoteInit java:1374) _x000D_
   </t>
  </si>
  <si>
    <t>AthulKrishna14310-inlens_official-43</t>
  </si>
  <si>
    <t>Invite Link Crashing</t>
  </si>
  <si>
    <t>Suggested solutions_x000D_
  if the person already present in album check the reason for crashing_x000D_
  I am able to rejoin the expired album that is quit by the Admin _x000D_
  Rejoin Alert should be made with CFAlert dialogue _x000D_
 Check if all album procedures are stating on invite link click</t>
  </si>
  <si>
    <t>andOTP-andOTP-500</t>
  </si>
  <si>
    <t>App crashes if incorrect secret is entered</t>
  </si>
  <si>
    <t xml:space="preserve">     General information_x000D_
_x000D_
    App version:   0 7 0_x000D_
    App source:   built from sources_x000D_
    Android Version:   Android 9_x000D_
    Custom ROM:   emulator_x000D_
_x000D_
Same crash on actual devices with app 0 7 0 and 0 6 3 1 from F Droid _x000D_
_x000D_
     Expected result_x000D_
  What is expected    _x000D_
An error message is displayed _x000D_
_x000D_
  What does happen instead   _x000D_
App crashes _x000D_
_x000D_
     Logcat_x000D_
   _x000D_
org shadowice flocke andotp dev E AndroidRuntime: FATAL EXCEPTION: main_x000D_
    Process: org shadowice flocke andotp dev  PID: 3414_x000D_
    java lang IllegalArgumentException: Last encoded character (before the paddings if any) is a valid base 32 alphabet but not a possible value  Expected the discarded bits to be zero _x000D_
        at org apache commons codec binary Base32 validateCharacter(Base32 java:577)_x000D_
        at org apache commons codec binary Base32 decode(Base32 java:404)_x000D_
        at org apache commons codec binary BaseNCodec decode(BaseNCodec java:482)_x000D_
        at org apache commons codec binary BaseNCodec decode(BaseNCodec java:465)_x000D_
        at org shadowice flocke andotp Database Entry  init (Entry java:90)_x000D_
        at org shadowice flocke andotp Dialogs ManualEntryDialog 7 onClick(ManualEntryDialog java:210)_x000D_
        at com android internal app AlertController ButtonHandler handleMessage(AlertController java:172)_x000D_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_x000D_
_x000D_
     Steps to reproduce_x000D_
 _x000D_
   Open entry creation dialog (       Enter details) _x000D_
   Enter  test  in the  Secret  field (and fill other required fields) _x000D_
   Press  Save  </t>
  </si>
  <si>
    <t>AdguardTeam-ContentBlocker-220</t>
  </si>
  <si>
    <t>Fix crashes from the Play store</t>
  </si>
  <si>
    <t xml:space="preserve">So  we found a few crashes related to old class FilterRuleDaoImpl  few Activity classes  etc 
We need to fix them asap </t>
  </si>
  <si>
    <t>k9mail-k-9-4592</t>
  </si>
  <si>
    <t>K9 crashes on start after Androidupdate</t>
  </si>
  <si>
    <t xml:space="preserve">    Expected behavior_x000D_
The app should work as before _x000D_
_x000D_
    Actual behavior_x000D_
When I open the app it crashes and closes several times _x000D_
_x000D_
    What changed _x000D_
I ve installed the security update for my shiftphone _x000D_
It is the security update for the wireless lan chip issue _x000D_
_x000D_
    Steps to reproduce_x000D_
1  Open the app_x000D_
2  crashes_x000D_
3  reopen it  and it crashes again_x000D_
_x000D_
    Environment_x000D_
K 9 Mail version: 5 705 and 5 600 happens on both _x000D_
_x000D_
Android version: 8 0 0_x000D_
Shiftphone SHIFT6M SOS 1 1 G 20200214_x000D_
_x000D_
Account type (IMAP  POP3  WebDAV Exchange): IMAP_x000D_
</t>
  </si>
  <si>
    <t>CMPUT301W20T17-BeepBeep-9</t>
  </si>
  <si>
    <t>App crash after sign out</t>
  </si>
  <si>
    <t xml:space="preserve">  Describe the bug  _x000D_
After signout  if we don t log back in immediately  the app will crash_x000D_
_x000D_
  To Reproduce  _x000D_
Steps to reproduce the behavior:_x000D_
1  open app_x000D_
2  login_x000D_
3  sign out_x000D_
4  quit app_x000D_
5  reopen app_x000D_
6  crash</t>
  </si>
  <si>
    <t>CMPUT301W20T17-BeepBeep-7</t>
  </si>
  <si>
    <t>App stop working after closing</t>
  </si>
  <si>
    <t xml:space="preserve">  Describe the bug  _x000D_
After login  if you quit the app 2 times  the app will stop working_x000D_
_x000D_
  To Reproduce  _x000D_
Steps to reproduce the behavior:_x000D_
1  open app_x000D_
2  login_x000D_
3  quit_x000D_
4  open app_x000D_
5  quit_x000D_
6  open app_x000D_
6  app crash_x000D_
</t>
  </si>
  <si>
    <t>nextcloud-android-5590</t>
  </si>
  <si>
    <t>3.11.0 RC1: Upload existing files makes app hang</t>
  </si>
  <si>
    <t xml:space="preserve">    Steps to reproduce_x000D_
_x000D_
1  Go to automatic uploads_x000D_
2  Choose a folder with a lot of existing files and enable  Upload existing files _x000D_
3  Close the dialog_x000D_
_x000D_
    Expected behaviour_x000D_
_x000D_
Existing files should be uploaded if they are not uploaded already _x000D_
_x000D_
    Actual behaviour_x000D_
_x000D_
App hangs and crashes _x000D_
_x000D_
    Environment data_x000D_
_x000D_
The folder has a lot of files (10 000  images)  A folder with not so many files seems to work  at least the app does not hang _x000D_
_x000D_
Android version: 10_x000D_
_x000D_
Device model: Pixel 4XL_x000D_
_x000D_
Stock or customized system: Stock_x000D_
_x000D_
Nextcloud app version: 3 11 0 RC1_x000D_
_x000D_
Nextcloud server version: 18 0 1</t>
  </si>
  <si>
    <t>barbeau-gpstest-386</t>
  </si>
  <si>
    <t>Crash when selecting log file on root directory</t>
  </si>
  <si>
    <t xml:space="preserve">  Summary:   _x000D_
_x000D_
Seen on the Google Play console   if the user tries to pick a log file to share that has been stored in the root directory  you ll get the following crash:_x000D_
_x000D_
   _x000D_
    java lang RuntimeException: Failure delivering result ResultInfo who null  request 101  result  1  data Intent   dat content:  com android externalstorage documents document primary:CellSignalVisual dream2qltesq samsung 1 kmz flg 0x1    to activity  com android gpstest com android gpstest GpsTestActivity : java lang ArrayIndexOutOfBoundsException: length 1  index 1_x000D_
        at android app ActivityThread deliverResults(ActivityThread java:4633)_x000D_
        at android app ActivityThread handleSendResult(ActivityThread java:4675)_x000D_
        at android app servertransaction ActivityResultItem execute(ActivityResultItem java:49)_x000D_
        at android app servertransaction TransactionExecutor executeCallbacks(TransactionExecutor java:108)_x000D_
        at android app servertransaction TransactionExecutor execute(TransactionExecutor java:68)_x000D_
        at android app ActivityThread H handleMessage(ActivityThread java:1950)_x000D_
        at android os Handler dispatchMessage(Handler java:106)_x000D_
        at android os Looper loop(Looper java:214)_x000D_
        at android app ActivityThread main(ActivityThread java:7073)_x000D_
        at java lang reflect Method invoke(Native Method)_x000D_
        at com android internal os RuntimeInit MethodAndArgsCaller run(RuntimeInit java:494)_x000D_
        at com android internal os ZygoteInit main(ZygoteInit java:964)_x000D_
     Caused by: java lang ArrayIndexOutOfBoundsException: length 1  index 1_x000D_
        at com android gpstest util UIUtils createShareDialog(UIUtils java:641)_x000D_
        at com android gpstest GpsTestActivity onActivityResult(GpsTestActivity java:361)_x000D_
        at android app Activity dispatchActivityResult(Activity java:7759)_x000D_
        at android app ActivityThread deliverResults(ActivityThread java:4626)_x000D_
        at android app ActivityThread handleSendResult(ActivityThread java:4675) _x000D_
        at android app servertransaction ActivityResultItem execute(ActivityResultItem java:49) _x000D_
        at android app servertransaction TransactionExecutor executeCallbacks(TransactionExecutor java:108) _x000D_
        at android app servertransaction TransactionExecutor execute(TransactionExecutor java:68) _x000D_
        at android app ActivityThread H handleMessage(ActivityThread java:1950) _x000D_
        at android os Handler dispatchMessage(Handler java:106) _x000D_
        at android os Looper loop(Looper java:214) _x000D_
        at android app ActivityThread main(ActivityThread java:7073) _x000D_
        at java lang reflect Method invoke(Native Method) _x000D_
        at com android internal os RuntimeInit MethodAndArgsCaller run(RuntimeInit java:494) _x000D_
        at com android internal os ZygoteInit main(ZygoteInit java:964) _x000D_
   _x000D_
_x000D_
GPSTest stores files in a hard coded  gnss log  directory so the user must be trying to share a file not logged via GPSTest  so this is a corner case  but it would still be nice to not crash _x000D_
_x000D_
  Steps to reproduce:   _x000D_
_x000D_
1  Enable logging (e g   NMEA) in Settings_x000D_
1  Tap on Share file_x000D_
1  Use your file manager to browse to the root directory of your phone and pick  file there_x000D_
_x000D_
  Expected behavior:   _x000D_
_x000D_
Share the file you picked_x000D_
_x000D_
  Observed behavior:   _x000D_
_x000D_
Crash_x000D_
_x000D_
  Device and Android version:   _x000D_
_x000D_
N A</t>
  </si>
  <si>
    <t>defold-extension-iap-18</t>
  </si>
  <si>
    <t>iOS crash, empty IAPProduct</t>
  </si>
  <si>
    <t>Sometimes  when developer create new purchase  AppStore returns IAPProduct with empty fields (except productIdentifier) and app crash on the following line: _x000D_
https:  github com defold extension iap blob 8d9ea79d7ddef8bc94035f510907008db938c233 extension iap src iap ios mm L122_x000D_
_x000D_
I think extension should check if this field empty and provide debug message  _x000D_
_x000D_
I found that after a few renaming of purchases (yes  just rename purchase in App Store Connect  and then rename it back)  I start receiving valid purchase info _x000D_
_x000D_
More info here: https:  github com defold editor2 issues issues 2908</t>
  </si>
  <si>
    <t>commons-app-apps-android-commons-3466</t>
  </si>
  <si>
    <t>No crash information in crash email (Gmail)</t>
  </si>
  <si>
    <t xml:space="preserve">  Summary:   _x000D_
_x000D_
Since a rather long time  ACRA seems to not attach logs to the crash report email _x000D_
For instance  I just got a crash and after the ACRA screen  Gmail opens on this screen:_x000D_
  Screenshot 20200305 225033 Gmail (https:  user images githubusercontent com 99590 75987872 054b9900 5f34 11ea 82f5 7527e2d49587 jpg)_x000D_
As you can see  the email is empty  so there is no point sending it _x000D_
_x000D_
Fortunately I had logcat running this time  here it is  hopefully it can explain why the crash info is not included in the email:_x000D_
 empty acra txt (https:  github com commons app apps android commons files 4293249 empty acra txt)_x000D_
</t>
  </si>
  <si>
    <t>Instabug-Instabug-Android-285</t>
  </si>
  <si>
    <t>IllegalStateException in FeatureRequestsDetailsFragment on version 8.7.2</t>
  </si>
  <si>
    <t xml:space="preserve">    Steps to Reproduce the Problem_x000D_
I m getting the crash report in Crashlytics but I can t reproduce this issue_x000D_
    Expected Behavior_x000D_
App doesn t crash_x000D_
    Actual Behavior_x000D_
App crashes with log:_x000D_
_x000D_
   _x000D_
Fatal Exception: java lang IllegalStateException: Fragment a 5a41f42  not attached to a context _x000D_
       at androidx fragment app Fragment requireContext   696(Fragment java:696)_x000D_
       at androidx fragment app Fragment getResources   760(Fragment java:760)_x000D_
       at androidx fragment app Fragment getString   795(Fragment java:795)_x000D_
       at com instabug featuresrequest ui c a 4 run   202(FeatureRequestsDetailsFragment java:202)_x000D_
       at android os Handler handleCallback   790(Handler java:790)_x000D_
       at android os Handler dispatchMessage   99(Handler java:99)_x000D_
       at android os Looper loop   198(Looper java:198)_x000D_
       at android app ActivityThread main   7055(ActivityThread java:7055)_x000D_
       at java lang reflect Method invoke(Method java)_x000D_
       at com android internal os RuntimeInit MethodAndArgsCaller run   523(RuntimeInit java:523)_x000D_
       at com android internal os ZygoteInit main   836(ZygoteInit java:836)_x000D_
   _x000D_
    Instabug integration code_x000D_
   _x000D_
    public void showFeatureRequest()  _x000D_
        FeatureRequests show() _x000D_
     _x000D_
   _x000D_
_x000D_
    SDK Version_x000D_
8 7 2_x000D_
    Android Version   Device Model_x000D_
  image (https:  user images githubusercontent com 56651169 75873980 7d866180 5e43 11ea 9219 460ed7f92a6d png)_x000D_
_x000D_
  image (https:  user images githubusercontent com 56651169 75874904 44e78780 5e45 11ea 8d77 fc00a221ce31 png)_x000D_
_x000D_
</t>
  </si>
  <si>
    <t>square-okhttp-5844</t>
  </si>
  <si>
    <t>ConnectionPool.cleanup has ConcurrentModificationException</t>
  </si>
  <si>
    <t xml:space="preserve">I use okhttp 3 12 3 and found this crash:_x000D_
java util ConcurrentModificationException	ArrayDeque java	625_x000D_
java util ConcurrentModificationException_x000D_
	at java util ArrayDeque DeqIterator next(ArrayDeque java:625)_x000D_
	at okhttp3 ConnectionPool cleanup(SourceFile:208)_x000D_
	at okhttp3 ConnectionPool 1 run(SourceFile:60)_x000D_
	at java util concurrent ThreadPoolExecutor runWorker(ThreadPoolExecutor java:1167)_x000D_
	at java util concurrent ThreadPoolExecutor Worker run(ThreadPoolExecutor java:641)_x000D_
	at java lang Thread run(Thread java:764)_x000D_
</t>
  </si>
  <si>
    <t>Simerjit-developer-Team2-11</t>
  </si>
  <si>
    <t xml:space="preserve">app crashes when we navigate to terms and conditions page </t>
  </si>
  <si>
    <t>From Menu  when I select  Terms   Conditions   app crashes</t>
  </si>
  <si>
    <t>k9mail-k-9-4584</t>
  </si>
  <si>
    <t>Crash after deleting currently opened folder</t>
  </si>
  <si>
    <t>K9 crashes after deleting the currently opened folder _x000D_
_x000D_
    Expected behavior_x000D_
Switch to the inbox instead of trying to show non existing folder_x000D_
_x000D_
    Actual behavior_x000D_
_x000D_
 details _x000D_
 summary Crash (Click to expand)  summary _x000D_
_x000D_
   _x000D_
03 03 21:29:37 586 19365 19406 I MessagingController:  Command  refreshFolderList  completed_x000D_
03 03 21:29:39 050  2228  2318 D AutofillManagerService: onBackKeyPressed()_x000D_
03 03 21:29:39 090 19365 19406 I MessagingController: Running command  getFolderUnread:HaPe:Test   seq   11 (foreground priority)_x000D_
03 03 21:29:39 096 19365 19406 E MessagingController: Count not get unread count for account HaPe_x000D_
03 03 21:29:39 096 19365 19406 E MessagingController: com fsck k9 mail MessagingException: LocalFolder open(): Folder not found: Test ( 1)_x000D_
03 03 21:29:39 096 19365 19406 E MessagingController:   at com fsck k9 mailstore LocalFolder 1 doDbWork(LocalFolder java:193)_x000D_
03 03 21:29:39 096 19365 19406 E MessagingController:   at com fsck k9 mailstore LocalFolder 1 doDbWork(LocalFolder java:172)_x000D_
03 03 21:29:39 096 19365 19406 E MessagingController:   at com fsck k9 mailstore LockableDatabase execute(LockableDatabase java:273)_x000D_
03 03 21:29:39 096 19365 19406 E MessagingController:   at com fsck k9 mailstore LocalFolder open(LocalFolder java:172)_x000D_
03 03 21:29:39 096 19365 19406 E MessagingController:   at com fsck k9 mailstore LocalFolder getUnreadMessageCount(LocalFolder java:354)_x000D_
03 03 21:29:39 096 19365 19406 E MessagingController:   at com fsck k9 controller MessagingController getFolderUnreadMessageCount(MessagingController java:1658)_x000D_
03 03 21:29:39 096 19365 19406 E MessagingController:   at com fsck k9 controller MessagingController 19 run(MessagingController java:1643)_x000D_
03 03 21:29:39 096 19365 19406 E MessagingController:   at com fsck k9 controller MessagingController runInBackground(MessagingController java:220)_x000D_
03 03 21:29:39 096 19365 19406 E MessagingController:   at com fsck k9 controller MessagingController access 000(MessagingController java:113)_x000D_
03 03 21:29:39 096 19365 19406 E MessagingController:   at com fsck k9 controller MessagingController 1 run(MessagingController java:163)_x000D_
03 03 21:29:39 096 19365 19406 E MessagingController:   at java lang Thread run(Thread java:764)_x000D_
03 03 21:29:39 097 19365 19406 I MessagingController:  Command  getFolderUnread:HaPe:Test  completed_x000D_
03 03 21:29:39 101 19365 19500 W System err: com fsck k9 mail MessagingException: LocalFolder open(): Folder not found: Test ( 1)_x000D_
03 03 21:29:39 105 19365 19500 W System err:    at com fsck k9 mailstore LocalFolder 1 doDbWork(LocalFolder java:193)_x000D_
03 03 21:29:39 105 19365 19500 W System err:    at com fsck k9 mailstore LocalFolder 1 doDbWork(LocalFolder java:172)_x000D_
03 03 21:29:39 106 19365 19500 W System err:    at com fsck k9 mailstore LockableDatabase execute(LockableDatabase java:273)_x000D_
03 03 21:29:39 106 19365 19500 W System err:    at com fsck k9 mailstore LocalFolder open(LocalFolder java:172)_x000D_
03 03 21:29:39 107 19365 19500 W System err:    at com fsck k9 search SqlQueryBuilder getFolderId(SqlQueryBuilder java:114)_x000D_
03 03 21:29:39 107 19365 19500 W System err:    at com fsck k9 search SqlQueryBuilder buildWhereClauseInternal(SqlQueryBuilder java:37)_x000D_
03 03 21:29:39 107 19365 19500 W System err:    at com fsck k9 search SqlQueryBuilder buildWhereClause(SqlQueryBuilder java:21)_x000D_
03 03 21:29:39 107 19365 19500 W System err:    at com fsck k9 ui messagelist MessageListLoader loadMessageListForAccount(MessageListLoader kt:102)_x000D_
03 03 21:29:39 107 19365 19500 W System err:    at com fsck k9 ui messagelist MessageListLoader getMessageList(MessageListLoader kt:41)_x000D_
03 03 21:29:39 107 19365 19500 W System err:    at com fsck k9 ui messagelist MessageListLiveData loadMessageListAsync 1 1 invokeSuspend(MessageListLiveData kt:33)_x000D_
03 03 21:29:39 107 19365 19500 W System err:    at kotlin coroutines jvm internal BaseContinuationImpl resumeWith(ContinuationImpl kt:33)_x000D_
03 03 21:29:39 107 19365 19500 W System err:    at kotlinx coroutines DispatchedTask run(Dispatched kt:241)_x000D_
03 03 21:29:39 107 19365 19500 W System err:    at kotlinx coroutines scheduling CoroutineScheduler runSafely(CoroutineScheduler kt:594)_x000D_
03 03 21:29:39 107 19365 19500 W System err:    at kotlinx coroutines scheduling CoroutineScheduler access runSafely(CoroutineScheduler kt:60)_x000D_
03 03 21:29:39 108 19365 19500 W System err:    at kotlinx coroutines scheduling CoroutineScheduler Worker run(CoroutineScheduler kt:740)_x000D_
03 03 21:29:39 173 19365 19365 E AndroidRuntime: FATAL EXCEPTION: main_x000D_
03 03 21:29:39 173 19365 19365 E AndroidRuntime: Process: com fsck k9 debug  PID: 19365_x000D_
03 03 21:29:39 173 19365 19365 E AndroidRuntime: com fsck k9 mail MessagingException: LocalFolder open(): Folder not found: Test ( 1)_x000D_
03 03 21:29:39 173 19365 19365 E AndroidRuntime:        at com fsck k9 mailstore LocalFolder 1 doDbWork(LocalFolder java:193)_x000D_
03 03 21:29:39 173 19365 19365 E AndroidRuntime:        at com fsck k9 mailstore LocalFolder 1 doDbWork(LocalFolder java:172)_x000D_
03 03 21:29:39 173 19365 19365 E AndroidRuntime:        at com fsck k9 mailstore LockableDatabase execute(LockableDatabase java:273)_x000D_
03 03 21:29:39 173 19365 19365 E AndroidRuntime:        at com fsck k9 mailstore LocalFolder open(LocalFolder java:172)_x000D_
03 03 21:29:39 173 19365 19365 E AndroidRuntime:        at com fsck k9 ui messagelist MessageListLoader loadHasMoreMessages(MessageListLoader kt:181)_x000D_
03 03 21:29:39 173 19365 19365 E AndroidRuntime:        at com fsck k9 ui messagelist MessageListLoader getMessageList(MessageListLoader kt:61)_x000D_
03 03 21:29:39 173 19365 19365 E AndroidRuntime:        at com fsck k9 ui messagelist MessageListLiveData loadMessageListAsync 1 1 invokeSuspend(MessageListLiveData kt:33)_x000D_
03 03 21:29:39 173 19365 19365 E AndroidRuntime:        at kotlin coroutines jvm internal BaseContinuationImpl resumeWith(ContinuationImpl kt:33)_x000D_
03 03 21:29:39 173 19365 19365 E AndroidRuntime:        at kotlinx coroutines DispatchedTask run(Dispatched kt:241)_x000D_
03 03 21:29:39 173 19365 19365 E AndroidRuntime:        at kotlinx coroutines scheduling CoroutineScheduler runSafely(CoroutineScheduler kt:594)_x000D_
03 03 21:29:39 173 19365 19365 E AndroidRuntime:        at kotlinx coroutines scheduling CoroutineScheduler access runSafely(CoroutineScheduler kt:60)_x000D_
03 03 21:29:39 173 19365 19365 E AndroidRuntime:        at kotlinx coroutines scheduling CoroutineScheduler Worker run(CoroutineScheduler kt:740)_x000D_
03 03 21:29:39 180  2228  2257 W ActivityManager:   Force finishing activity com fsck k9 debug com fsck k9 activity MessageList_x000D_
03 03 21:29:39 192  2228  2318 I ActivityManager: Showing crash dialog for package com fsck k9 debug u0_x000D_
   _x000D_
_x000D_
  details _x000D_
_x000D_
    Steps to reproduce_x000D_
1  Open folder in K9_x000D_
2  Visit folder manager_x000D_
3  Delete folder from other device_x000D_
4  Refresh folder manager_x000D_
5  Press back button to go back to message list_x000D_
_x000D_
    Environment_x000D_
K 9 Mail version: 5 707 master (9d536163e08acb30833e1bc6dbc0b4e8c8f8ef0d)_x000D_
Android version: LineageOS 16 0_x000D_
Account type (IMAP  POP3  WebDAV Exchange): IMAP</t>
  </si>
  <si>
    <t>nextcloud-android-5568</t>
  </si>
  <si>
    <t>App crashed</t>
  </si>
  <si>
    <t xml:space="preserve">    Steps to reproduce_x000D_
1  Install Nexcloud app from Google Play store_x000D_
2  Launch the app_x000D_
_x000D_
    Expected behaviour_x000D_
  App should open at least_x000D_
_x000D_
    Actual behaviour_x000D_
  Series of system message that the app crashed_x000D_
_x000D_
    Environment data_x000D_
Android version: 6 0 1_x000D_
_x000D_
Device model: Samsung SM G906K_x000D_
_x000D_
Stock or customized system: Stock_x000D_
_x000D_
Nextcloud app version: 3 10 1_x000D_
_x000D_
Nextcloud server version:  _x000D_
_x000D_
    Logs_x000D_
     Web server error log_x000D_
   _x000D_
Inser your Nextcloud server log here_x000D_
   _x000D_
_x000D_
     Nextcloud log (data nextcloud log)_x000D_
   _x000D_
             CAUSE OF ERROR             _x000D_
_x000D_
java lang IncompatibleClassChangeError: Class  java util Collections EmptyMap  does not implement interface  dagger android AndroidInjector  in call to  void dagger android AndroidInjector inject(java lang Object)  (declaration of  dagger android AndroidInjection  appears in  data app com nextcloud client 1 base apk)_x000D_
	at dagger android AndroidInjection inject(AndroidInjection java:181)_x000D_
	at dagger android AndroidInjection inject(AndroidInjection java:173)_x000D_
	at com owncloud android providers DiskLruImageCacheFileProvider onCreate(DiskLruImageCacheFileProvider java:60)_x000D_
	at android content ContentProvider attachInfo(ContentProvider java:1789)_x000D_
	at android content ContentProvider attachInfo(ContentProvider java:1764)_x000D_
	at android app ActivityThread installProvider(ActivityThread java:6768)_x000D_
	at android app ActivityThread installContentProviders(ActivityThread java:6363)_x000D_
	at android app ActivityThread handleBindApplication(ActivityThread java:6303)_x000D_
	at android app ActivityThread access 1800(ActivityThread java:222)_x000D_
	at android app ActivityThread H handleMessage(ActivityThread java:1862)_x000D_
	at android os Handler dispatchMessage(Handler java:102)_x000D_
	at android os Looper loop(Looper java:158)_x000D_
	at android app ActivityThread main(ActivityThread java:7230)_x000D_
	at java lang reflect Method invoke(Native Method)_x000D_
	at com android internal os ZygoteInit MethodAndArgsCaller run(ZygoteInit java:1230)_x000D_
	at com android internal os ZygoteInit main(ZygoteInit java:1120)_x000D_
_x000D_
             APP INFORMATION             _x000D_
ID: com nextcloud client_x000D_
Version: 30100190_x000D_
Build flavor: gplay_x000D_
_x000D_
             DEVICE INFORMATION             _x000D_
Brand: samsung_x000D_
Device: lentisltektt_x000D_
Model: SM G906K_x000D_
Id: MMB29M_x000D_
Product: lentisltektt_x000D_
_x000D_
             FIRMWARE             _x000D_
SDK: 23_x000D_
Release: 6 0 1_x000D_
Incremental: G906KKTU1CPL1_x000D_
_x000D_
   _x000D_
  NOTE:   Be super sure to remove sensitive data like passwords  note that everybody can look here  You can use the Issue Template application to prefill some of the required information: https:  apps nextcloud com apps issuetemplate_x000D_
</t>
  </si>
  <si>
    <t>square-okhttp-5840</t>
  </si>
  <si>
    <t>Crash on Android 10 with underscore in subdomain</t>
  </si>
  <si>
    <t xml:space="preserve">Crash on OkHttp 3 12 9 and 3 12 10 when a URL subdomain contains underscores  Reproducible on API 29 (Android 10) emulator but not API 28 (Android 9) _x000D_
_x000D_
On OkHttp 3 12 8 it errors but does not crash  Similarly OkHttp 3 12 10 errors but does not crash on Android 9 _x000D_
_x000D_
Reproduce by making a GET request to an HTTPS URL with underscore in subdomain _x000D_
_x000D_
I saw old issue  242 closed saying underscores aren t allowed in hostnames  which may be technically true  but they are sometimes seen in the wild  Examples:_x000D_
_x000D_
  https:  open nsfw gitlab io  (which was highly circulated on the web a few years ago)_x000D_
  https:  example underscore 123 s3 amazonaws com _x000D_
  https:  instant regret reddit com _x000D_
_x000D_
Logcats:_x000D_
_x000D_
OkHttp 3 12 10 on Android 10:_x000D_
_x000D_
              beginning of crash_x000D_
    E AndroidRuntime: FATAL EXCEPTION: OkHttp Dispatcher_x000D_
    Process: com talklittle testokhttpunderscoresubdomain  PID: 10321_x000D_
    java lang IllegalArgumentException: Invalid input to toASCII: example underscore s3 amazonaws com_x000D_
        at java net IDN toASCII(IDN java:115)_x000D_
        at javax net ssl SNIHostName  init (SNIHostName java:99)_x000D_
        at com android org conscrypt Platform getSSLParameters(Platform java:153)_x000D_
        at com android org conscrypt ConscryptFileDescriptorSocket getSSLParameters(ConscryptFileDescriptorSocket java:1117)_x000D_
        at okhttp3 internal platform Android10Platform configureTlsExtensions(Android10Platform java:40)_x000D_
        at okhttp3 internal connection RealConnection connectTls(RealConnection java:315)_x000D_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AsyncCall execute(RealCall java:201)_x000D_
        at okhttp3 internal NamedRunnable run(NamedRunnable java:32)_x000D_
        at java util concurrent ThreadPoolExecutor runWorker(ThreadPoolExecutor java:1167)_x000D_
        at java util concurrent ThreadPoolExecutor Worker run(ThreadPoolExecutor java:641)_x000D_
        at java lang Thread run(Thread java:919)_x000D_
     Caused by: The input does not conform to the STD 3 ASCII rules  line:  0  preContext:    postContext: e underscore_x000D_
    _x000D_
        at android icu impl IDNA2003 convertToASCII(IDNA2003 java:219)_x000D_
        at android icu impl IDNA2003 convertIDNToASCII(IDNA2003 java:277)_x000D_
        at android icu text IDNA convertIDNToASCII(IDNA java:654)_x000D_
        at java net IDN toASCII(IDN java:108)_x000D_
        at javax net ssl SNIHostName  init (SNIHostName java:99) _x000D_
        at com android org conscrypt Platform getSSLParameters(Platform java:153) _x000D_
        at com android org conscrypt ConscryptFileDescriptorSocket getSSLParameters(ConscryptFileDescriptorSocket java:1117) _x000D_
        at okhttp3 internal platform Android10Platform configureTlsExtensions(Android10Platform java:40) _x000D_
        at okhttp3 internal connection RealConnection connectTls(RealConnection java:315) _x000D_
        at okhttp3 internal connection RealConnection establishProtocol(RealConnection java:284) _x000D_
        at okhttp3 internal connection RealConnection connect(RealConnection java:169) _x000D_
        at okhttp3 internal connection StreamAllocation findConnection(StreamAllocation java:258) _x000D_
        at okhttp3 internal connection StreamAllocation findHealthyConnection(StreamAllocation java:135) _x000D_
        at okhttp3 internal connection StreamAllocation newStream(StreamAllocation java:114) _x000D_
        at okhttp3 internal connection ConnectInterceptor intercept(ConnectInterceptor java:42) _x000D_
        at okhttp3 internal http RealInterceptorChain proceed(RealInterceptorChain java:147) _x000D_
        at okhttp3 internal http RealInterceptorChain proceed(RealInterceptorChain java:121) _x000D_
        at okhttp3 internal cache CacheInterceptor intercept(CacheInterceptor java:93) _x000D_
        at okhttp3 internal http RealInterceptorChain proceed(RealInterceptorChain java:147) _x000D_
        at okhttp3 internal http RealInterceptorChain proceed(RealInterceptorChain java:121) _x000D_
        at okhttp3 internal http BridgeInterceptor intercept(BridgeInterceptor java:93) _x000D_
        at okhttp3 internal http RealInterceptorChain proceed(RealInterceptorChain java:147) _x000D_
        at okhttp3 internal http RetryAndFollowUpInterceptor intercept(RetryAndFollowUpInterceptor java:127) _x000D_
        at okhttp3 internal http RealInterceptorChain proceed(RealInterceptorChain java:147) _x000D_
        at okhttp3 internal http RealInterceptorChain proceed(RealInterceptorChain java:121) _x000D_
        at okhttp3 RealCall getResponseWithInterceptorChain(RealCall java:257) _x000D_
        at okhttp3 RealCall AsyncCall execute(RealCall java:201) _x000D_
        at okhttp3 internal NamedRunnable run(NamedRunnable java:32) _x000D_
        at java util concurrent ThreadPoolExecutor runWorker(ThreadPoolExecutor java:1167) _x000D_
        at java util concurrent ThreadPoolExecutor Worker run(ThreadPoolExecutor java:641) _x000D_
        at java lang Thread run(Thread java:919) _x000D_
_x000D_
OkHttp 3 12 8 on Android 10  error but no crash:_x000D_
_x000D_
    javax net ssl SSLHandshakeException: java lang IllegalArgumentException: Invalid input to toASCII: example underscore s3 amazonaws com_x000D_
        at com android org conscrypt ConscryptFileDescriptorSocket startHandshake(ConscryptFileDescriptorSocket java:231)_x000D_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AsyncCall execute(RealCall java:201)_x000D_
        at okhttp3 internal NamedRunnable run(NamedRunnable java:32)_x000D_
        at java util concurrent ThreadPoolExecutor runWorker(ThreadPoolExecutor java:1167)_x000D_
        at java util concurrent ThreadPoolExecutor Worker run(ThreadPoolExecutor java:641)_x000D_
        at java lang Thread run(Thread java:919)_x000D_
    Caused by: java security cert CertificateException: java lang IllegalArgumentException: Invalid input to toASCII: example underscore s3 amazonaws com_x000D_
        at com android org conscrypt ConscryptFileDescriptorSocket verifyCertificateChain(ConscryptFileDescriptorSocket java:415)_x000D_
        at com android org conscrypt NativeCrypto SSL do handshake(Native Method)_x000D_
        at com android org conscrypt NativeSsl doHandshake(NativeSsl java:387)_x000D_
        at com android org conscrypt ConscryptFileDescriptorSocket startHandshake(ConscryptFileDescriptorSocket java:226)_x000D_
                23 more_x000D_
    Caused by: java lang IllegalArgumentException: Invalid input to toASCII: example underscore s3 amazonaws com_x000D_
        at java net IDN toASCII(IDN java:115)_x000D_
        at javax net ssl SNIHostName  init (SNIHostName java:99)_x000D_
        at com android org conscrypt Platform getSSLParameters(Platform java:153)_x000D_
        at com android org conscrypt ConscryptFileDescriptorSocket getSSLParameters(ConscryptFileDescriptorSocket java:1117)_x000D_
        at com android org conscrypt TrustManagerImpl getTrustedChainForServer(TrustManagerImpl java:352)_x000D_
        at android security net config NetworkSecurityTrustManager checkServerTrusted(NetworkSecurityTrustManager java:94)_x000D_
        at android security net config RootTrustManager checkServerTrusted(RootTrustManager java:89)_x000D_
        at com android org conscrypt Platform checkServerTrusted(Platform java:224)_x000D_
        at com android org conscrypt ConscryptFileDescriptorSocket verifyCertificateChain(ConscryptFileDescriptorSocket java:407)_x000D_
                26 more_x000D_
    Caused by: The input does not conform to the STD 3 ASCII rules  line:  0  preContext:    postContext: e underscore_x000D_
        at android icu impl IDNA2003 convertToASCII(IDNA2003 java:219)_x000D_
        at android icu impl IDNA2003 convertIDNToASCII(IDNA2003 java:277)_x000D_
        at android icu text IDNA convertIDNToASCII(IDNA java:654)_x000D_
        at java net IDN toASCII(IDN java:108)_x000D_
                34 more_x000D_
</t>
  </si>
  <si>
    <t>square-okhttp-5837</t>
  </si>
  <si>
    <t>okhttp3 is throwing java.net.ConnectException when calling .intercept()</t>
  </si>
  <si>
    <t xml:space="preserve">Here the code I am using_x000D_
_x000D_
   _x000D_
class VerificationInterceptor(private val helper: RequestHelper) : Interceptor  _x000D_
_x000D_
    override fun intercept(chain: Interceptor Chain): Response  _x000D_
        chain proceed(chain request()) apply  _x000D_
            if (code    200_x000D_
                    chain request() url toString() contains(BuildConfig root)_x000D_
                    chain request() url toString() contains(LOCAL HOST BASE)_x000D_
            )  _x000D_
                if ( helper getResponseCryptoVerification(_x000D_
                        headers _x000D_
                        peekBody(Long MAX VALUE) string()_x000D_
                    )_x000D_
                )  _x000D_
                    throw IOException( Error while generating Hmac for Response JSON )_x000D_
                 _x000D_
             _x000D_
         _x000D_
_x000D_
 _x000D_
   _x000D_
_x000D_
This line here  chain proceed(chain request()) apply    is crashing with this stack trace_x000D_
_x000D_
   _x000D_
java net ConnectException: Connection refused_x000D_
	at java net PlainSocketImpl socketConnect()(PlainSocketImpl java: 2)_x000D_
	at java net AbstractPlainSocketImpl doConnect()(AbstractPlainSocketImpl java:334)_x000D_
	at java net AbstractPlainSocketImpl connectToAddress()(AbstractPlainSocketImpl java:196)_x000D_
	at java net AbstractPlainSocketImpl connect()(AbstractPlainSocketImpl java:178)_x000D_
	at java net SocksSocketImpl connect()(SocksSocketImpl java:356)_x000D_
	at java net Socket connect()(Socket java:605)_x000D_
	at okhttp3 internal platform AndroidPlatform connectSocket()(AndroidPlatform kt:58)_x000D_
	at okhttp3 internal connection RealConnection connectSocket()(RealConnection kt:268)_x000D_
	at okhttp3 internal connection RealConnection connect()(RealConnection kt:176)_x000D_
	at okhttp3 internal connection ExchangeFinder findConnection()(ExchangeFinder kt:236)_x000D_
	at okhttp3 internal connection ExchangeFinder findHealthyConnection()(ExchangeFinder kt:109)_x000D_
	at okhttp3 internal connection ExchangeFinder find()(ExchangeFinder kt:77)_x000D_
	at okhttp3 internal connection Transmitter newExchange okhttp()(Transmitter kt:162)_x000D_
	at okhttp3 internal connection ConnectInterceptor intercept()(ConnectInterceptor kt:35)_x000D_
	at okhttp3 internal http RealInterceptorChain proceed()(RealInterceptorChain kt:112)_x000D_
	at okhttp3 internal http RealInterceptorChain proceed()(RealInterceptorChain kt:87)_x000D_
	at okhttp3 internal cache CacheInterceptor intercept()(CacheInterceptor kt:82)_x000D_
	at okhttp3 internal http RealInterceptorChain proceed()(RealInterceptorChain kt:112)_x000D_
	at okhttp3 internal http RealInterceptorChain proceed()(RealInterceptorChain kt:87)_x000D_
	at okhttp3 internal http BridgeInterceptor intercept()(BridgeInterceptor kt:84)_x000D_
   _x000D_
_x000D_
I am unsure of what can be causing that  </t>
  </si>
  <si>
    <t>koral---android-gif-drawable-729</t>
  </si>
  <si>
    <t xml:space="preserve">Android 10 </t>
  </si>
  <si>
    <t xml:space="preserve"> imageView setImageResource(imgResId) _x000D_
_x000D_
2020 03 02 14:50:11 309 12755 12755 com xxx xxx W xx xxx: Accessing hidden field Ljava io   FileDescriptor     descriptor:I (greylist  JNI  allowed)_x000D_
    _x000D_
              beginning of crash</t>
  </si>
  <si>
    <t>nextcloud-android-5556</t>
  </si>
  <si>
    <t>nextcloud android application crash</t>
  </si>
  <si>
    <t xml:space="preserve">    Steps to reproduce_x000D_
1  _x000D_
2  _x000D_
3  _x000D_
_x000D_
    Expected behaviour_x000D_
  Nextcloud android application should not crash while opening or downloading pdf files from cloud server _x000D_
_x000D_
    Actual behaviour_x000D_
  Tell us what happens   Nextcloud android application crashed while opening or downloading pdf files from cloud server _x000D_
_x000D_
    Environment data_x000D_
Android version: 8 1_x000D_
_x000D_
Device model: Samsung Note 9_x000D_
_x000D_
Stock or customized system: Stock_x000D_
_x000D_
Nextcloud app version: 3 10 1_x000D_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CAUSE OF ERROR             _x000D_
_x000D_
java net SocketTimeoutException: timeout_x000D_
	at okhttp3 internal http2 Http2Stream StreamTimeout newTimeoutException(Http2Stream java:671)_x000D_
	at okhttp3 internal http2 Http2Stream StreamTimeout exitAndThrowIfTimedOut(Http2Stream java:679)_x000D_
	at okhttp3 internal http2 Http2Stream takeHeaders(Http2Stream java:153)_x000D_
	at okhttp3 internal http2 Http2Codec readResponseHeaders(Http2Codec java:131)_x000D_
	at okhttp3 internal http CallServerInterceptor intercept(CallServerInterceptor java:88)_x000D_
	at okhttp3 internal http RealInterceptorChain proceed(RealInterceptorChain java:147)_x000D_
	at okhttp3 internal connection ConnectInterceptor intercept(ConnectInterceptor java:45)_x000D_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kt:84)_x000D_
	at com owncloud android lib resources activities GetActivitiesRemoteOperation run(GetActivitiesRemoteOperation java:131)_x000D_
	at com nextcloud common NextcloudClient execute(NextcloudClient kt:80)_x000D_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java:764)_x000D_
_x000D_
             APP INFORMATION             _x000D_
ID: com nextcloud client_x000D_
Version: 30100190_x000D_
Build flavor: gplay_x000D_
_x000D_
             DEVICE INFORMATION             _x000D_
Brand: samsung_x000D_
Device: crownlte_x000D_
Model: SM N960F_x000D_
Id: M1AJQ_x000D_
Product: crownltexx_x000D_
_x000D_
             FIRMWARE             _x000D_
SDK: 27_x000D_
Release: 8 1 0_x000D_
Incremental: N960FXXS2ARL4_x000D_
</t>
  </si>
  <si>
    <t>matomo-org-matomo-sdk-android-287</t>
  </si>
  <si>
    <t>Crash found in EventDiskCache</t>
  </si>
  <si>
    <t xml:space="preserve">I found this crash with version  4 1 1 _x000D_
I hope you find the reason easily _x000D_
_x000D_
  image (https:  user images githubusercontent com 3314607 75648773 63852d00 5c51 11ea 89f8 aed27f5884ef png)_x000D_
_x000D_
These are the meta data_x000D_
 img width  435  alt  image  src  https:  user images githubusercontent com 3314607 75648692 1dc86480 5c51 11ea 905a 5b06572bebc6 png  _x000D_
</t>
  </si>
  <si>
    <t>deltachat-deltachat-android-1259</t>
  </si>
  <si>
    <t>reproducible crash when generating a qr-code with core1.26</t>
  </si>
  <si>
    <t>trying to generate a qr code with unreleased android 1 2 1 using core1 26 crashes reliably  not sure  where it comes from  maybe also an build failure or so _x000D_
_x000D_
 log (https:  gist github com r10s 8cf5802c67e5e2edcb3108f9483a465c) (the log does not say much  i should try over with RUSTFLAGS  g)</t>
  </si>
  <si>
    <t>ramack-ActivityDiary-292</t>
  </si>
  <si>
    <t>``NumberFormatException`` when updating distance and can never open the setting page anymore</t>
  </si>
  <si>
    <t xml:space="preserve">This exception was found on the master (v1 4 0  the latest code version) and a Google Android phone   This crash issue is similar to  285 but was caused from another function _x000D_
_x000D_
STR:  Go to setting  click   Location Service    choose   Network    open   Update distance    delete the default value   50   (leave the EditText empty)  and click   OK   _x000D_
_x000D_
The exception trace:_x000D_
_x000D_
   _x000D_
 Process: de rampro activitydiary debug  PID: 30606_x000D_
 java lang NumberFormatException: Invalid int:   _x000D_
 	at java lang Integer invalidInt(Integer java:138)_x000D_
 	at java lang Integer parseInt(Integer java:358)_x000D_
 	at java lang Integer parseInt(Integer java:334)_x000D_
 	at de rampro activitydiary ui settings SettingsActivity updateLocationDist(SettingsActivity java:215)_x000D_
 	at de rampro activitydiary ui settings SettingsActivity onSharedPreferenceChanged(SettingsActivity java:137)_x000D_
 	at android app SharedPreferencesImpl EditorImpl notifyListeners(SharedPreferencesImpl java:479)_x000D_
 	at android app SharedPreferencesImpl EditorImpl apply(SharedPreferencesImpl java:387)_x000D_
 	at android support v7 preference Preference tryCommit(Preference java:1613)_x000D_
 	at android support v7 preference Preference persistString(Preference java:1644)_x000D_
 	at android support v7 preference EditTextPreference setText(EditTextPreference java:69)_x000D_
 	at android support v7 preference EditTextPreferenceDialogFragmentCompat onDialogClosed(EditTextPreferenceDialogFragmentCompat java:96)_x000D_
 	at android support v7 preference PreferenceDialogFragmentCompat onDismiss(PreferenceDialogFragmentCompat java:270)_x000D_
 	at android app Dialog ListenersHandler handleMessage(Dialog java:1323)_x000D_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_x000D_
Once this issue happens  the   setting   page cannot be opened  and the app crashes with the exception trace below _x000D_
_x000D_
   _x000D_
FATAL EXCEPTION: main_x000D_
 Process: de rampro activitydiary debug  PID: 30734_x000D_
 java lang RuntimeException: Unable to start activity ComponentInfo de rampro activitydiary debug de rampro activitydiary ui settings SettingsActivity : java lang NumberFormatException: Invalid int:   _x000D_
 	at android app ActivityThread performLaunchActivity(ActivityThread java:2416)_x000D_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NumberFormatException: Invalid int:   _x000D_
 	at java lang Integer invalidInt(Integer java:138)_x000D_
 	at java lang Integer parseInt(Integer java:358)_x000D_
 	at java lang Integer parseInt(Integer java:334)_x000D_
 	at de rampro activitydiary ui settings SettingsActivity updateLocationDist(SettingsActivity java:215)_x000D_
 	at de rampro activitydiary ui settings SettingsActivity onCreate(SettingsActivity java:479)_x000D_
 	at android app Activity performCreate(Activity java:6237)_x000D_
 	at android app Instrumentation callActivityOnCreate(Instrumentation java:1107)_x000D_
 	at android app ActivityThread performLaunchActivity(ActivityThread java:2369)_x000D_
 	    9 more_x000D_
   </t>
  </si>
  <si>
    <t>druit-Wallet-Analyzer-19</t>
  </si>
  <si>
    <t>OCR Library Error</t>
  </si>
  <si>
    <t xml:space="preserve">Tesseract OCR Library crashes after reading bmp image with error:_x000D_
_x000D_
 A libc: Fatal signal 11 (SIGSEGV)  code 1 (SEGV MAPERR)  fault addr 0xc in tid 14860 (Thread 2)  pid 14144 (wallet analyzer) </t>
  </si>
  <si>
    <t>commons-app-apps-android-commons-3442</t>
  </si>
  <si>
    <t>Mapbox localization related crash on app start</t>
  </si>
  <si>
    <t xml:space="preserve">  Summary:   _x000D_
_x000D_
App crashes on start if using the  en gb  locale  I think this is because the mapbox dependency was updated but the corresponding localization plugin was not _x000D_
_x000D_
  Steps to reproduce:   _x000D_
_x000D_
Set the system language to  en gb   Open the app _x000D_
_x000D_
  System logs:  _x000D_
_x000D_
   _x000D_
E AndroidRuntime: FATAL EXCEPTION: main_x000D_
    Process: fr free nrw commons beta  PID: 6023_x000D_
    java lang UnsatisfiedLinkError: No implementation found for void com mapbox mapboxsdk net NativeConnectivityListener initialize() (tried Java com mapbox mapboxsdk net NativeConnectivityListener initialize and Java com mapbox mapboxsdk net NativeConnectivityListener initialize  )_x000D_
        at com mapbox mapboxsdk net NativeConnectivityListener initialize(Native Method)_x000D_
        at com mapbox mapboxsdk net NativeConnectivityListener  init (NativeConnectivityListener java:27)_x000D_
        at com mapbox mapboxsdk net ConnectivityReceiver instance(ConnectivityReceiver java:43)_x000D_
        at com mapbox mapboxsdk Mapbox getInstance(Mapbox java:67)_x000D_
        at fr free nrw commons CommonsApplication onCreate(CommonsApplication java:138)_x000D_
        at android app Instrumentation callApplicationOnCreate(Instrumentation java:1154)_x000D_
        at android app ActivityThread handleBindApplication(ActivityThread java:5871)_x000D_
        at android app ActivityThread access 1100(ActivityThread java:199)_x000D_
        at android app ActivityThread H handleMessage(ActivityThread java:1650)_x000D_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E ACRA: ACRA caught a UnsatisfiedLinkError for fr free nrw commons beta_x000D_
    java lang UnsatisfiedLinkError: No implementation found for void com mapbox mapboxsdk net NativeConnectivityListener initialize() (tried Java com mapbox mapboxsdk net NativeConnectivityListener initialize and Java com mapbox mapboxsdk net NativeConnectivityListener initialize  )_x000D_
        at com mapbox mapboxsdk net NativeConnectivityListener initialize(Native Method)_x000D_
        at com mapbox mapboxsdk net NativeConnectivityListener  init (NativeConnectivityListener java:27)_x000D_
        at com mapbox mapboxsdk net ConnectivityReceiver instance(ConnectivityReceiver java:43)_x000D_
        at com mapbox mapboxsdk Mapbox getInstance(Mapbox java:67)_x000D_
        at fr free nrw commons CommonsApplication onCreate(CommonsApplication java:138)_x000D_
        at android app Instrumentation callApplicationOnCreate(Instrumentation java:1154)_x000D_
        at android app ActivityThread handleBindApplication(ActivityThread java:5871)_x000D_
        at android app ActivityThread access 1100(ActivityThread java:199)_x000D_
        at android app ActivityThread H handleMessage(ActivityThread java:1650)_x000D_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_x000D_
_x000D_
  Device and Android version:   _x000D_
_x000D_
What make and model device (e g   Samsung J7) did you encounter this on  Simulator_x000D_
What Android version (e g   Android 4 0 Ice Cream Sandwich or Android 6 0 Marshmallow) are you running  API 28_x000D_
 _x000D_
  Commons app version:   _x000D_
_x000D_
7da5d13_x000D_
_x000D_
  Would you like to work on the issue   _x000D_
_x000D_
Yep  I think the fix is simply matching the major versions again </t>
  </si>
  <si>
    <t>sc4v3ng3r-flutter_audio_query-16</t>
  </si>
  <si>
    <t>getSongsById</t>
  </si>
  <si>
    <t xml:space="preserve">crash application if memberIds contain only one song title </t>
  </si>
  <si>
    <t>TeamNewPipe-NewPipe-legacy-23</t>
  </si>
  <si>
    <t>Replace StandardCharsets</t>
  </si>
  <si>
    <t xml:space="preserve">Hey _x000D_
I wanted to remind you that we use  StandardCharsets (https:  developer android com reference java nio charset StandardCharsets) in the downloader  StandardCharsets have been introduced with KitKat  You need to replace this with   utf 8   to not get crashes </t>
  </si>
  <si>
    <t>nextcloud-android-5551</t>
  </si>
  <si>
    <t>Nextcloud crashed</t>
  </si>
  <si>
    <t xml:space="preserve">    Steps to reproduce_x000D_
0  Create a new group and a user in that group_x000D_
0  This user logs in on his mobile device_x000D_
1  He Uses a subfolder of  Photos  (a folder that existed when I finished my Nextcloud setup) to upload all photos from his mobile device with the app_x000D_
2  Login in as admin on your pc and download the  group folder  app  _x000D_
3  Create a group folder  Photos  and give the new group writing permission  The admin also gets all permissions in the new group  _x000D_
4  The earlier created user looks into his app again and sees his folder replaced by the group folder_x000D_
5  He decides to upload his stuff to another folder which he newly creates  He clciks on  ok  and the app crashes  _x000D_
_x000D_
    Expected behaviour_x000D_
  I would have expected to either have normal folders and group folders distinguished or to be warned when I create a folder with the same name_x000D_
  app not crashing_x000D_
_x000D_
    Actual behaviour_x000D_
  i wasn t warned _x000D_
  the other folder disappeared_x000D_
  the app crashed_x000D_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CAUSE OF ERROR             _x000D_
_x000D_
java lang NullPointerException: Attempt to invoke virtual method  java lang String com owncloud android datamodel OCFile getRemotePath()  on a null object reference_x000D_
	at com owncloud android ui dialog CreateFolderDialogFragment onClick(CreateFolderDialogFragment java:140)_x000D_
	at androidx appcompat app AlertController ButtonHandler handleMessage(AlertController java:167)_x000D_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30100190_x000D_
Build flavor: gplay_x000D_
_x000D_
             DEVICE INFORMATION             _x000D_
Brand: OnePlus_x000D_
Device: OnePlus6_x000D_
Model: ONEPLUS A6003_x000D_
Id: QKQ1 190716 003_x000D_
Product: OnePlus6_x000D_
_x000D_
             FIRMWARE             _x000D_
SDK: 29_x000D_
Release: 10_x000D_
Incremental: 2001151848_x000D_
_x000D_
   _x000D_
  NOTE:   Be super sure to remove sensitive data like passwords  note that everybody can look here  You can use the Issue Template application to prefill some of the required information: https:  apps nextcloud com apps issuetemplate_x000D_
</t>
  </si>
  <si>
    <t>TeamNewPipe-NewPipe-3163</t>
  </si>
  <si>
    <t>Crash when share video to download</t>
  </si>
  <si>
    <t xml:space="preserve">Steps to reproduce:_x000D_
  Share a video to newpipe and select download _x000D_
  Share another video to newpipe and click download_x000D_
  open newpipe from notification  before title to save appears (it usually takes a few seconds before dialog appears)_x000D_
   (https:  i imgur com IX0T67N png)_x000D_
this dialogue_x000D_
   (https:  i imgur com mMAanP2 png)_x000D_
_x000D_
   Exception_x000D_
    User Action:   ui error_x000D_
    Request:   App crash  UI failure_x000D_
    Content Language:   GB_x000D_
    Service:   none_x000D_
    Version:   0 18 5_x000D_
    OS:   Linux Android 7 1 1   25_x000D_
_x000D_
_x000D_
 details  summary  b Crash log  b   summary  p _x000D_
_x000D_
   _x000D_
java lang IllegalStateException: Can not perform this action after onSaveInstanceState_x000D_
	at androidx fragment app FragmentManagerImpl checkStateLoss(FragmentManagerImpl java:1536)_x000D_
	at androidx fragment app FragmentManagerImpl enqueueAction(FragmentManagerImpl java:1558)_x000D_
	at androidx fragment app BackStackRecord commitInternal(BackStackRecord java:317)_x000D_
	at androidx fragment app BackStackRecord commit(BackStackRecord java:282)_x000D_
	at androidx fragment app DialogFragment show(DialogFragment java:155)_x000D_
	at org schabi newpipe RouterActivity lambda openDownloadDialog 10 RouterActivity(RouterActivity java:443)_x000D_
	at org schabi newpipe    Lambda RouterActivity xUnqF5q9vTU7PVoyXeI1RNn0Etg accept(lambda)_x000D_
	at io reactivex internal observers ConsumerSingleObserver onSuccess(ConsumerSingleObserver java:62)_x000D_
	at io reactivex internal operators single SingleObserveOn ObserveOnSingleObserver run(SingleObserveOn java:81)_x000D_
	at io reactivex android schedulers HandlerScheduler ScheduledRunnable run(HandlerScheduler java:119)_x000D_
	at android os Handler handleCallback(Handler java:751)_x000D_
	at android os Handler dispatchMessage(Handler java:95)_x000D_
	at android os Looper loop(Looper java:154)_x000D_
	at android app ActivityThread main(ActivityThread java:6334)_x000D_
	at java lang reflect Method invoke(Native Method)_x000D_
	at com android internal os ZygoteInit MethodAndArgsCaller run(ZygoteInit java:886)_x000D_
	at com android internal os ZygoteInit main(ZygoteInit java:776)_x000D_
_x000D_
   _x000D_
  p   details _x000D_
 hr _x000D_
</t>
  </si>
  <si>
    <t>ankidroid-Anki-Android-5780</t>
  </si>
  <si>
    <t>Soft crash to decklist during reviews.</t>
  </si>
  <si>
    <t xml:space="preserve">Every day when I review my deck  I get a  soft crash  where I get dumped back to the deck list  When this happens  the  new cards  also resets  so I get 5 more new cards for that day  even if I went through my 5 for the day _x000D_
_x000D_
This happens every day  so I should be able to capture this behaviour while logging or something  if neeed _x000D_
_x000D_
       Reproduction Steps_x000D_
_x000D_
1  Review cards_x000D_
2  Until crash_x000D_
3  The end_x000D_
_x000D_
_x000D_
       Expected Result_x000D_
_x000D_
Complete reviews as normal_x000D_
_x000D_
       Actual Result_x000D_
_x000D_
As noted above  I crash back to the deck list _x000D_
_x000D_
       Debug info_x000D_
AnkiDroid Version   2 10alpha41_x000D_
_x000D_
Android Version   10_x000D_
_x000D_
ACRA UUID   e2ba917d 92ec 4989 9467 4b211c9f2952_x000D_
_x000D_
       Research_x000D_
 Enter an   x   character to confirm the points below: _x000D_
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Edit: This bug was present at the latest version on Play Store as well </t>
  </si>
  <si>
    <t>catalinghita8-android-mvvm-rxjava2-dagger2-1</t>
  </si>
  <si>
    <t>Clicking Quake fragment causes app to crash</t>
  </si>
  <si>
    <t xml:space="preserve">very helpful pedagogical example  it seems to crash when attempting to click a single quake fragment and be redirected tot he URL specified </t>
  </si>
  <si>
    <t>nextcloud-android-5543</t>
  </si>
  <si>
    <t>NC Crash report on android app</t>
  </si>
  <si>
    <t xml:space="preserve">    Steps to reproduce_x000D_
1  Tried to open sample  pdf_x000D_
2  It prompts to select  odd viewer_x000D_
3  Crashes prior to selection _x000D_
_x000D_
    Expected behaviour_x000D_
  Tell us what should happen_x000D_
I shod be able to select a pdf viewer and the file should open _x000D_
    Actual behaviour_x000D_
  Tell us what happens_x000D_
The app crashes and displays a crash report and prompts to send the Nextcloud on github _x000D_
    Environment data_x000D_
Android version:_x000D_
6 0 1_x000D_
Device model: _x000D_
Asus Z00XS_x000D_
Stock or customized system:_x000D_
Stock_x000D_
Nextcloud app version:_x000D_
3 10 1_x000D_
Nextcloud server version:_x000D_
18 0 1_x000D_
    Logs_x000D_
     Web server error log_x000D_
   no access to server right now_x000D_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CAUSE OF ERROR             _x000D_
_x000D_
java net SocketTimeoutException: timeout_x000D_
	at okhttp3 internal http2 Http2Stream StreamTimeout newTimeoutException(Http2Stream java:671)_x000D_
	at okhttp3 internal http2 Http2Stream StreamTimeout exitAndThrowIfTimedOut(Http2Stream java:679)_x000D_
	at okhttp3 internal http2 Http2Stream takeHeaders(Http2Stream java:153)_x000D_
	at okhttp3 internal http2 Http2Codec readResponseHeaders(Http2Codec java:131)_x000D_
	at okhttp3 internal http CallServerInterceptor intercept(CallServerInterceptor java:88)_x000D_
	at okhttp3 internal http RealInterceptorChain proceed(RealInterceptorChain java:147)_x000D_
	at okhttp3 internal connection ConnectInterceptor intercept(ConnectInterceptor java:45)_x000D_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kt:84)_x000D_
	at com owncloud android lib resources activities GetActivitiesRemoteOperation run(GetActivitiesRemoteOperation java:131)_x000D_
	at com nextcloud common NextcloudClient execute(NextcloudClient kt:80)_x000D_
	at com owncloud android ui fragment FileDetailActivitiesFragment lambda fetchAndSetData 5 FileDetailActivitiesFragment(FileDetailActivitiesFragment java:331)_x000D_
	at com owncloud android ui fragment    Lambda FileDetailActivitiesFragment N7POe6TZvoGcuV2qP niPxY 7t4 run(lambda)_x000D_
	at java lang Thread run(Thread java:818)_x000D_
_x000D_
             APP INFORMATION             _x000D_
ID: com nextcloud client_x000D_
Version: 30100190_x000D_
Build flavor: gplay_x000D_
_x000D_
             DEVICE INFORMATION             _x000D_
Brand: asus_x000D_
Device: Z00X_x000D_
Model: ASUS Z00XS_x000D_
Id: MMB29P_x000D_
Product: WW Z00X_x000D_
_x000D_
             FIRMWARE             _x000D_
SDK: 23_x000D_
Release: 6 0 1_x000D_
Incremental: WW Z00X WW 4 21 40 209 20161216 7978 user rel user 20161216_x000D_
</t>
  </si>
  <si>
    <t>CaptainSpam-geohashdroid-73</t>
  </si>
  <si>
    <t>Globalhashes crash if the date isn't in the stock cache</t>
  </si>
  <si>
    <t xml:space="preserve">There s reports of crashes when requesting Globalhashes   Tracing it down  it looks like it happens if the stock price hasn t been fetched yet  and more to the point  a logging statement is trying to dereference a null Graticule object   This should be a simple fix </t>
  </si>
  <si>
    <t>square-okhttp-5831</t>
  </si>
  <si>
    <t>SSLSocketFactory is not used for redirects in 4.4.0</t>
  </si>
  <si>
    <t xml:space="preserve">OkHttp 4 4 0_x000D_
Android Studio 4 0 Beta 1_x000D_
Android 9_x000D_
_x000D_
I have configured my OkHttp client in development versions to accept all certificates:_x000D_
   kotlin_x000D_
private fun buildOkHttpClient(): OkHttpClient  _x000D_
    val builder   OkHttpClient Builder()_x000D_
_x000D_
    val unsafeTrustManager   createUnsafeTrustManager()_x000D_
    val sslContext   SSLContext getInstance( SSL )_x000D_
    sslContext init(null  arrayOf(unsafeTrustManager)  null)_x000D_
    builder sslSocketFactory(sslContext socketFactory  unsafeTrustManager)_x000D_
_x000D_
    builder hostnameVerifier(HostnameVerifier   hostname  session    true  )_x000D_
_x000D_
    return builder build()_x000D_
 _x000D_
_x000D_
private fun createUnsafeTrustManager(): X509TrustManager   object : X509TrustManager  _x000D_
    override fun checkClientTrusted(chain: Array out X509Certificate    authType: String )   _x000D_
    override fun checkServerTrusted(chain: Array out X509Certificate    authType: String )   _x000D_
    override fun getAcceptedIssuers(): Array out X509Certificate     emptyArray()_x000D_
 _x000D_
   _x000D_
_x000D_
Unfortunately  it doesn t seem to apply to HTTP 301 redirects on v4 4 0:_x000D_
_x000D_
   kotlin_x000D_
private suspend fun makeRequest(url: String)   withContext(Dispatchers IO)  _x000D_
    val okHttp   buildOkHttpClient()_x000D_
    val request   Request Builder() url(url) build()_x000D_
    okHttp newCall(request) execute()_x000D_
 _x000D_
_x000D_
makeRequest( https:  bit ly 2PwiDfE )_x000D_
   _x000D_
_x000D_
The above will fail with a SSLPeerUnverifiedException on v4 4 0 (even though the client has been configured to accept all certificates)  but it will work fine with v4 3 1:_x000D_
_x000D_
   _x000D_
2020 02 28 01:56:24 632 5249 5249 com example okhttpcrash E AndroidRuntime: FATAL EXCEPTION: main_x000D_
    Process: com example okhttpcrash  PID: 5249_x000D_
    javax net ssl SSLPeerUnverifiedException: Failed to find a trusted cert that signed Certificate:_x000D_
        Data:_x000D_
                 _x000D_
        at okhttp3 internal tls BasicCertificateChainCleaner clean(BasicCertificateChainCleaner kt:91)_x000D_
        at okhttp3 internal connection RealConnection connectTls 1 invoke(RealConnection kt:393)_x000D_
        at okhttp3 internal connection RealConnection connectTls 1 invoke(RealConnection kt:73)_x000D_
        at kotlin SynchronizedLazyImpl getValue(LazyJVM kt:74)_x000D_
        at okhttp3 Handshake peerCertificates(Unknown Source:7)_x000D_
        at okhttp3 internal connection RealConnection supportsUrl(RealConnection kt:581)_x000D_
        at okhttp3 internal connection ExchangeFinder findConnection(ExchangeFinder kt:147)_x000D_
        at okhttp3 internal connection ExchangeFinder findHealthyConnection(ExchangeFinder kt:107)_x000D_
        at okhttp3 internal connection ExchangeFinder find(ExchangeFinder kt:75)_x000D_
        at okhttp3 internal connection RealCall initExchange okhttp(RealCall kt:245)_x000D_
        at okhttp3 internal connection ConnectInterceptor intercept(ConnectInterceptor kt:32)_x000D_
        at okhttp3 internal http RealInterceptorChain proceed(RealInterceptorChain kt:100)_x000D_
        at okhttp3 internal cache CacheInterceptor intercept(CacheInterceptor kt:82)_x000D_
        at okhttp3 internal http RealInterceptorChain proceed(RealInterceptorChain kt:100)_x000D_
        at okhttp3 internal http BridgeInterceptor intercept(BridgeInterceptor kt:83)_x000D_
2020 02 28 01:56:24 634 5249 5249 com example okhttpcrash E AndroidRuntime:     at okhttp3 internal http RealInterceptorChain proceed(RealInterceptorChain kt:100)_x000D_
        at okhttp3 internal http RetryAndFollowUpInterceptor intercept(RetryAndFollowUpInterceptor kt:74)_x000D_
        at okhttp3 internal http RealInterceptorChain proceed(RealInterceptorChain kt:100)_x000D_
        at okhttp3 internal connection RealCall getResponseWithInterceptorChain okhttp(RealCall kt:197)_x000D_
        at okhttp3 internal connection RealCall execute(RealCall kt:148)_x000D_
        at com example okhttpcrash MainActivity makeRequest 2 invokeSuspend(MainActivity kt:54)_x000D_
        at kotlin coroutines jvm internal BaseContinuationImpl resumeWith(ContinuationImpl kt:33)_x000D_
        at kotlinx coroutines DispatchedTask run(DispatchedTask kt:56)_x000D_
        at kotlinx coroutines scheduling CoroutineScheduler runSafely(CoroutineScheduler kt:561)_x000D_
        at kotlinx coroutines scheduling CoroutineScheduler Worker executeTask(CoroutineScheduler kt:727)_x000D_
        at kotlinx coroutines scheduling CoroutineScheduler Worker runWorker(CoroutineScheduler kt:667)_x000D_
        at kotlinx coroutines scheduling CoroutineScheduler Worker run(CoroutineScheduler kt:655)_x000D_
   _x000D_
_x000D_
However  doing the same thing with a link that doesn t redirect you works fine:_x000D_
   kotlin_x000D_
makeRequest( https:  github com square okhttp )_x000D_
   </t>
  </si>
  <si>
    <t>trojan-gfw-igniter-95</t>
  </si>
  <si>
    <t>Crash on Android 5.0</t>
  </si>
  <si>
    <t xml:space="preserve">  Android 7 1 1      _x000D_
Android 5 0           _x000D_
   _x000D_
D ResourcesManager( 1193): creating new AssetManager and set to  data app io github trojan gfw igniter 2 base apk_x000D_
W ResourceType( 1193): Failure getting entry for 0x7f070056 (t 6 e 86) (error  75)_x000D_
I Choreographer( 7747): Skipped 33 frames   The application may be doing too much work on its main thread _x000D_
W ContextImpl( 1037): Calling a method in the system process without a qualified user: android app ContextImpl sendBroadcast:1699 com android server InputMethodManagerService 6 run:2733 java lang Thread run:818  bottom of call stack   bottom of call stack _x000D_
W StatusBarIconView( 1193): Icon not found in 2131165270: 7f070056_x000D_
W StatusBarIconView( 1193): No icon for slot io github trojan gfw igniter 0x0_x000D_
W StatusBar( 1193): removeNotification for unknown key: 0 io github trojan gfw igniter 0 null 10507_x000D_
D NotificationService( 1037): onNotification error pkg io github trojan gfw igniter tag null id 0  will crashApplication(uid 10507  pid 7747)_x000D_
_x000D_
W StatusBar( 1193): removeNotification for unknown key: 0 io github trojan gfw igniter 0 null 10507_x000D_
D AndroidRuntime( 7747): Shutting down VM_x000D_
E AndroidRuntime( 7747): FATAL EXCEPTION: main_x000D_
E AndroidRuntime( 7747): Process: io github trojan gfw igniter  PID: 7747_x000D_
E AndroidRuntime( 7747): android app RemoteServiceException: Bad notification posted from package io github trojan gfw igniter: Couldn t create icon: StatusBarIcon(pkg io github trojan gfw igniteruser 0 id 0x7f070056 level 0 visible true num 0 )_x000D_
E AndroidRuntime( 7747):        at android app ActivityThread H handleMessage(ActivityThread java:1622)_x000D_
E AndroidRuntime( 7747):        at android os Handler dispatchMessage(Handler java:102)_x000D_
E AndroidRuntime( 7747):        at android os Looper loop(Looper java:145)_x000D_
E AndroidRuntime( 7747):        at android app ActivityThread main(ActivityThread java:5942)_x000D_
E AndroidRuntime( 7747):        at java lang reflect Method invoke(Native Method)_x000D_
E AndroidRuntime( 7747):        at java lang reflect Method invoke(Method java:372)_x000D_
E AndroidRuntime( 7747):        at com android internal os ZygoteInit MethodAndArgsCaller run(ZygoteInit java:1400)_x000D_
E AndroidRuntime( 7747):        at com android internal os ZygoteInit main(ZygoteInit java:1195)_x000D_
V ApplicationPolicy( 1037): isApplicationStateBlocked userId 0 pkgname io github trojan gfw igniter_x000D_
W ActivityManager( 1037):   Force finishing activity io github trojan gfw igniter  MainActivity_x000D_
   </t>
  </si>
  <si>
    <t>jellyfin-jellyfin-androidtv-365</t>
  </si>
  <si>
    <t>% symbol in episode title (metadata) crashes player</t>
  </si>
  <si>
    <t xml:space="preserve">Just ran into this with the most recent Better Call Saul episode  50  Off   _x000D_
_x000D_
Using either of the two built in players would crash the app (there were some bug reports sent)  and using the external player would just stop the app with the show s backdrop (i e  never transferring to the external app) _x000D_
_x000D_
I removed the   from the filename and the issue persisted  I then removed the   from the episode title metadata  making the title display in my library as  50 Off   and the episode played immediately _x000D_
_x000D_
I honestly haven t checked this with another file  but it was a pretty clear change from not working to working only after I took out the  </t>
  </si>
  <si>
    <t>kalaspuffar-secure-quick-reliable-login-467</t>
  </si>
  <si>
    <t>App crashes on non-SQRL QR codes</t>
  </si>
  <si>
    <t xml:space="preserve">    Issue or error solving _x000D_
_x000D_
The app crashes when scanning non SQRL barcodes like this one:_x000D_
_x000D_
  sqrl sample (https:  user images githubusercontent com 4005543 75426787 a4c1c800 5945 11ea 8adb 8a5a835017c4 png)_x000D_
_x000D_
</t>
  </si>
  <si>
    <t>MozillaReality-FirefoxReality-2881</t>
  </si>
  <si>
    <t>Crash on pause/resume on HTC</t>
  </si>
  <si>
    <t xml:space="preserve">   Configuration_x000D_
_x000D_
      State the version number and build ID affected     _x000D_
      The build ID is obtained by clicking on the build date in settings     _x000D_
Firefox Reality version: c64365e3783a6124cbe49ce3eb8661653669a980_x000D_
Firefox Reality build ID: v9_x000D_
_x000D_
      Include the name and version of the hardware VR headset you experienced the bug in     _x000D_
Hardware: HTC_x000D_
_x000D_
   Steps to Reproduce_x000D_
      For bugs  please provide a link to a live web site  test page  or a rough set of    _x000D_
      steps to reproduce this bug  If relevant  include code to reproduce     _x000D_
      Feel free to attach images and GIFs of screen captures     _x000D_
1  Launch FxR_x000D_
2  Pause_x000D_
3  Resume_x000D_
4  Goto 2 _x000D_
_x000D_
   Current Behavior_x000D_
      If describing a bug  tell us what happens instead of the expected behavior     _x000D_
      If suggesting a change improvement  explain the difference from current behavior     _x000D_
FxR will eventually fail to launch and only shows a blank screen  Eventually it will crash with the following stack trace:_x000D_
https:  crash stats mozilla com report index d63799c9 dcf7 46c4 b46b 616930200227_x000D_
_x000D_
   Expected Behavior_x000D_
      If you re describing a bug  tell us what should happen     _x000D_
      If you re suggesting a change improvement  tell us how it should work     _x000D_
FxR should not crash _x000D_
_x000D_
   Notes_x000D_
I have been able to reproduce this in v8 1  It seems to happen quicker when you run other applications between pausing and resuming FxR  I used FxR 1 3 2 and would play videos in it between pausing and resuming </t>
  </si>
  <si>
    <t>TeamNewPipe-NewPipe-3147</t>
  </si>
  <si>
    <t>Crash after importing Youtube subscriptions</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</si>
  <si>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Exception_x000D_
    User Action:   ui error_x000D_
    Request:   App crash  UI failure_x000D_
    Content Language:   en GB_x000D_
    Service:   none_x000D_
    Version:   0 18 5_x000D_
    OS:   Linux samsung beyond2lteeea beyond2:10 QP1A 190711 020 G975FXXU3BSKO:user release keys 10   29_x000D_
_x000D_
_x000D_
 details  summary  b Crash log  b   summary  p _x000D_
_x000D_
   _x000D_
java lang NullPointerException: Attempt to invoke virtual method  int java lang String compareToIgnoreCase(java lang String)  on a null object reference_x000D_
	at org schabi newpipe local subscription SubscriptionFragment lambda getSubscriptionItems 7(SubscriptionFragment java:541)_x000D_
	at org schabi newpipe local subscription    Lambda SubscriptionFragment eFd3y39Ymdl4aGqv994n0BdEByk compare(Unknown Source:4)_x000D_
	at java util TimSort binarySort(TimSort java:296)_x000D_
	at java util TimSort sort(TimSort java:239)_x000D_
	at java util Arrays sort(Arrays java:1492)_x000D_
	at java util ArrayList sort(ArrayList java:1470)_x000D_
	at java util Collections sort(Collections java:206)_x000D_
	at org schabi newpipe local subscription SubscriptionFragment getSubscriptionItems(SubscriptionFragment java:539)_x000D_
	at org schabi newpipe local subscription SubscriptionFragment handleResult(SubscriptionFragment java:522)_x000D_
	at org schabi newpipe local subscription SubscriptionFragment 4 onNext(SubscriptionFragment java:498)_x000D_
	at org schabi newpipe local subscription SubscriptionFragment 4 onNext(SubscriptionFragment java:489)_x000D_
	at io reactivex internal operators observable ObservableObserveOn ObserveOnObserver drainNormal(ObservableObserveOn java:201)_x000D_
	at io reactivex internal operators observable ObservableObserveOn ObserveOnObserver run(ObservableObserveOn java:255)_x000D_
	at io reactivex android schedulers HandlerScheduler ScheduledRunnable run(HandlerScheduler java:119)_x000D_
	at android os Handler handleCallback(Handler java:883)_x000D_
	at android os Handler dispatchMessage(Handler java:100)_x000D_
	at android os Looper loop(Looper java:237)_x000D_
	at android app ActivityThread main(ActivityThread java:7762)_x000D_
	at java lang reflect Method invoke(Native Method)_x000D_
	at com android internal os RuntimeInit MethodAndArgsCaller run(RuntimeInit java:493)_x000D_
	at com android internal os ZygoteInit main(ZygoteInit java:1047)_x000D_
_x000D_
   _x000D_
  p   details _x000D_
 hr  _x000D_
This crash happens when you re importing Youtube subsciption list and leaving the page with the youtube link using the back key  It crashes and never opens again_x000D_
</t>
  </si>
  <si>
    <t>inaturalist-iNaturalistAndroid-785</t>
  </si>
  <si>
    <t>NullPointerException on ObservationViewer</t>
  </si>
  <si>
    <t xml:space="preserve">https:  console firebase google com u 2 project inaturalist ios crashlytics app android:org inaturalist android issues 199ee4c968e061281c39b99f4324b95d time last seven days sessionId 5E565C480230000128E59BF9EE5A1656 DNE 0 v2_x000D_
_x000D_
   _x000D_
Caused by java lang NullPointerException: Attempt to read from field  java lang Integer org inaturalist android Observation id  on a null object reference_x000D_
       at org inaturalist android ObservationViewerActivity PhotosViewPagerAdapter  init (ObservationViewerActivity java:350)_x000D_
       at org inaturalist android ObservationViewerActivity reloadPhotos(ObservationViewerActivity java:2444)_x000D_
       at org inaturalist android ObservationViewerActivity onCreate(ObservationViewerActivity java:751)_x000D_
       at android app Activity performCreate(Activity java:6915)_x000D_
       at android app Instrumentation callActivityOnCreate(Instrumentation java:1123)_x000D_
       at android app ActivityThread performLaunchActivity(ActivityThread java:2746)_x000D_
       at android app ActivityThread handleLaunchActivity(ActivityThread java:2864)_x000D_
       at android app ActivityThread  wrap12(ActivityThread java)_x000D_
       at android app ActivityThread H handleMessage(ActivityThread java:1567)_x000D_
       at android os Handler dispatchMessage(Handler java:105)_x000D_
       at android os Looper loop(Looper java:156)_x000D_
       at android app ActivityThread main(ActivityThread java:6517)_x000D_
       at java lang reflect Method invoke(Method java)_x000D_
       at com android internal os ZygoteInit MethodAndArgsCaller run(ZygoteInit java:942)_x000D_
       at com android internal os ZygoteInit main(ZygoteInit java:832)_x000D_
   </t>
  </si>
  <si>
    <t>MozillaReality-FirefoxReality-2875</t>
  </si>
  <si>
    <t>Crash when pausing the activity with suggestions bar visible</t>
  </si>
  <si>
    <t>https:  crash stats mozilla com report index 90c31fdc 75ae 4604 a2be 0e01d0200226</t>
  </si>
  <si>
    <t>barbeau-gpstest-381</t>
  </si>
  <si>
    <t>NPE in UIUtils.formatLocationForDisplay()</t>
  </si>
  <si>
    <t xml:space="preserve">  Summary:   _x000D_
_x000D_
From Google Play console:_x000D_
_x000D_
   _x000D_
java lang NullPointerException: _x000D_
  at com android gpstest util UIUtils formatLocationForDisplay (UIUtils java:697)_x000D_
  at com android gpstest util UIUtils createShareDialog (UIUtils java:531)_x000D_
  at com android gpstest GpsTestActivity share (GpsTestActivity java:1529)_x000D_
  at com android gpstest GpsTestActivity onOptionsItemSelected (GpsTestActivity java:1387)_x000D_
  at android app Activity onMenuItemSelected (Activity java:3742)_x000D_
  at androidx fragment app FragmentActivity onMenuItemSelected (FragmentActivity java:384)_x000D_
  at androidx appcompat app AppCompatActivity onMenuItemSelected (AppCompatActivity java:219)_x000D_
  at androidx appcompat view WindowCallbackWrapper onMenuItemSelected (WindowCallbackWrapper java:109)_x000D_
  at androidx appcompat view WindowCallbackWrapper onMenuItemSelected (WindowCallbackWrapper java:109)_x000D_
  at androidx appcompat app ToolbarActionBar 2 onMenuItemClick (ToolbarActionBar java:64)_x000D_
  at androidx appcompat widget Toolbar 1 onMenuItemClick (Toolbar java:207)_x000D_
  at androidx appcompat widget ActionMenuView MenuBuilderCallback onMenuItemSelected (ActionMenuView java:781)_x000D_
  at androidx appcompat view menu MenuBuilder dispatchMenuItemSelected (MenuBuilder java:840)_x000D_
  at androidx appcompat view menu MenuItemImpl invoke (MenuItemImpl java:158)_x000D_
  at androidx appcompat view menu MenuBuilder performItemAction (MenuBuilder java:991)_x000D_
  at androidx appcompat view menu MenuBuilder performItemAction (MenuBuilder java:981)_x000D_
  at androidx appcompat widget ActionMenuView invokeItem (ActionMenuView java:625)_x000D_
  at androidx appcompat view menu ActionMenuItemView onClick (ActionMenuItemView java:151)_x000D_
  at android view View performClick (View java:6659)_x000D_
  at android view View performClickInternal (View java:6631)_x000D_
  at android view View access 3100 (View java:790)_x000D_
  at android view View PerformClick run (View java:26187)_x000D_
  at android os Handler handleCallback (Handler java:907)_x000D_
  at android os Handler dispatchMessage (Handler java:105)_x000D_
  at android os Looper loop (Looper java:216)_x000D_
  at android app ActivityThread main (ActivityThread java:7625)_x000D_
  at java lang reflect Method invoke (Native Method)_x000D_
  at com android internal os RuntimeInit MethodAndArgsCaller run (RuntimeInit java:524)_x000D_
  at com android internal os ZygoteInit main (ZygoteInit java:987)_x000D_
   _x000D_
_x000D_
  Steps to reproduce:   _x000D_
_x000D_
Unknown_x000D_
_x000D_
  Expected behavior:   _x000D_
_x000D_
Not crash_x000D_
_x000D_
  Observed behavior:   _x000D_
_x000D_
Crash_x000D_
_x000D_
  Device and Android version:   _x000D_
_x000D_
11 reports on console   P20 lite (HWANE)  OnePlus6T (OnePlus6T)</t>
  </si>
  <si>
    <t>barbeau-gpstest-380</t>
  </si>
  <si>
    <t>NPE in UIUtils.createShareDialog()</t>
  </si>
  <si>
    <t xml:space="preserve">  Summary:   _x000D_
_x000D_
From user report and Google Play console   crash when sharing location:_x000D_
_x000D_
   _x000D_
java lang NullPointerException: _x000D_
  at com android gpstest util UIUtils createShareDialog (UIUtils java:627)_x000D_
  at com android gpstest GpsTestActivity share (GpsTestActivity java:1529)_x000D_
  at com android gpstest GpsTestActivity onOptionsItemSelected (GpsTestActivity java:1387)_x000D_
  at android app Activity onMenuItemSelected (Activity java:3630)_x000D_
  at androidx fragment app FragmentActivity onMenuItemSelected (FragmentActivity java:384)_x000D_
  at androidx appcompat app AppCompatActivity onMenuItemSelected (AppCompatActivity java:219)_x000D_
  at androidx appcompat view WindowCallbackWrapper onMenuItemSelected (WindowCallbackWrapper java:109)_x000D_
  at androidx appcompat view WindowCallbackWrapper onMenuItemSelected (WindowCallbackWrapper java:109)_x000D_
  at androidx appcompat app ToolbarActionBar 2 onMenuItemClick (ToolbarActionBar java:64)_x000D_
  at androidx appcompat widget Toolbar 1 onMenuItemClick (Toolbar java:207)_x000D_
  at androidx appcompat widget ActionMenuView MenuBuilderCallback onMenuItemSelected (ActionMenuView java:781)_x000D_
  at androidx appcompat view menu MenuBuilder dispatchMenuItemSelected (MenuBuilder java:840)_x000D_
  at androidx appcompat view menu MenuItemImpl invoke (MenuItemImpl java:158)_x000D_
  at androidx appcompat view menu MenuBuilder performItemAction (MenuBuilder java:991)_x000D_
  at androidx appcompat view menu MenuBuilder performItemAction (MenuBuilder java:981)_x000D_
  at androidx appcompat widget ActionMenuView invokeItem (ActionMenuView java:625)_x000D_
  at androidx appcompat view menu ActionMenuItemView onClick (ActionMenuItemView java:151)_x000D_
  at android view View performClick (View java:7359)_x000D_
  at android widget TextView performClick (TextView java:14230)_x000D_
  at android view View performClickInternal (View java:7325)_x000D_
  at android view View access 3200 (View java:846)_x000D_
  at android view View PerformClick run (View java:27807)_x000D_
  at android os Handler handleCallback (Handler java:873)_x000D_
  at android os Handler dispatchMessage (Handler java:99)_x000D_
  at android os Looper loop (Looper java:214)_x000D_
  at android app ActivityThread main (ActivityThread java:7073)_x000D_
  at java lang reflect Method invoke (Native Method)_x000D_
  at com android internal os RuntimeInit MethodAndArgsCaller run (RuntimeInit java:494)_x000D_
  at com android internal os ZygoteInit main (ZygoteInit java:965)_x000D_
   _x000D_
_x000D_
  Steps to reproduce:   _x000D_
_x000D_
1  Enable logging in Settings_x000D_
1  Deny file storage permission_x000D_
1  Tap on share location_x000D_
_x000D_
  Expected behavior:   _x000D_
_x000D_
Not crash_x000D_
_x000D_
  Observed behavior:   _x000D_
_x000D_
Crash_x000D_
_x000D_
  Device and Android version:   _x000D_
_x000D_
App version: v3 5 5 (61 google)_x000D_
Model: SM N950F (Samsung Galaxy Note8 (greatlte))_x000D_
Android version: 9   28_x000D_
GNSS HW Year: 2016_x000D_
Raw measurements: SUPPORTED_x000D_
Navigation messages: SUPPORTED_x000D_
NMEA: SUPPORTED</t>
  </si>
  <si>
    <t>iBotPeaches-Apktool-2300</t>
  </si>
  <si>
    <t>NullPointerException on v2.4.1</t>
  </si>
  <si>
    <t xml:space="preserve">    Information_x000D_
1    Apktool Version ( apktool  version )     v2 4 1_x000D_
2    Operating System (Mac  Linux  Windows)     Linux Ubu18 04_x000D_
3    APK From  (Playstore  ROM  Other)     https:  play google com store apps details id com nhnpixelcube fishislandII hl en (Chinese protected apk with AppGuard)_x000D_
_x000D_
    Stacktrace Logcat_x000D_
   sh_x000D_
    apktool d  tmp crash apk _x000D_
I: Using Apktool 2 4 1 on crash apk_x000D_
I: Loading resource table   _x000D_
I: Decoding AndroidManifest xml with resources   _x000D_
I: Loading resource table from file:  home edu  local share apktool framework 1 apk_x000D_
Exception in thread  main  java lang NullPointerException_x000D_
	at java base java io Writer write(Writer java:249)_x000D_
	at org xmlpull renamed MXSerializer attribute(MXSerializer java:631)_x000D_
	at org xmlpull v1 wrapper classic XmlSerializerDelegate attribute(XmlSerializerDelegate java:106)_x000D_
	at org xmlpull v1 wrapper classic StaticXmlSerializerWrapper writeStartTag(StaticXmlSerializerWrapper java:267)_x000D_
	at org xmlpull v1 wrapper classic StaticXmlSerializerWrapper event(StaticXmlSerializerWrapper java:211)_x000D_
	at brut androlib res decoder XmlPullStreamDecoder 1 event(XmlPullStreamDecoder java:84)_x000D_
	at brut androlib res decoder XmlPullStreamDecoder decode(XmlPullStreamDecoder java:142)_x000D_
	at brut androlib res decoder XmlPullStreamDecoder decodeManifest(XmlPullStreamDecoder java:154)_x000D_
	at brut androlib res decoder ResFileDecoder decodeManifest(ResFileDecoder java:162)_x000D_
	at brut androlib res AndrolibResources decodeManifestWithResources(AndrolibResources java:204)_x000D_
	at brut androlib Androlib decodeManifestWithResources(Androlib java:134)_x000D_
	at brut androlib ApkDecoder decode(ApkDecoder java:122)_x000D_
	at brut apktool Main cmdDecode(Main java:170)_x000D_
	at brut apktool Main main(Main java:76)_x000D_
_x000D_
   _x000D_
Include stacktrace here_x000D_
_x000D_
    APK_x000D_
https:  play google com store apps details id com nhnpixelcube fishislandII hl en_x000D_
</t>
  </si>
  <si>
    <t>nextcloud-android-5513</t>
  </si>
  <si>
    <t>App crashes when accepting login notification</t>
  </si>
  <si>
    <t xml:space="preserve">    Steps to reproduce_x000D_
1  Open app_x000D_
2  Open sidebar and tap on notifications _x000D_
3  Accept the displayed login notification _x000D_
_x000D_
    Expected behaviour_x000D_
  Notification is accepted and the app does not crash_x000D_
_x000D_
    Actual behaviour_x000D_
  The notification is accepted and the login is made possible but the app crashes immediately _x000D_
_x000D_
    Environment data_x000D_
Android version: 10_x000D_
_x000D_
Device model: Oneplus 6_x000D_
_x000D_
Stock or customized system: stock oxygenos_x000D_
_x000D_
Nextcloud app version: 3 10 1_x000D_
_x000D_
Nextcloud server version: 18 0 1_x000D_
_x000D_
    Logs_x000D_
     App log_x000D_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java:919)_x000D_
Caused by: java lang ClassNotFoundException: com google firebase analytics connector AnalyticsConnector_x000D_
	    8 more_x000D_
_x000D_
             APP INFORMATION             _x000D_
ID: com nextcloud client_x000D_
Version: 30100190_x000D_
Build flavor: gplay_x000D_
_x000D_
             DEVICE INFORMATION             _x000D_
Brand: OnePlus_x000D_
Device: OnePlus6_x000D_
Model: ONEPLUS A6000_x000D_
Id: QKQ1 190716 003_x000D_
Product: OnePlus6_x000D_
_x000D_
             FIRMWARE             _x000D_
SDK: 29_x000D_
Release: 10_x000D_
Incremental: 2001151848_x000D_
   </t>
  </si>
  <si>
    <t>Bartekm1996-Invi-20</t>
  </si>
  <si>
    <t>Zxing crashes on rare ocassions</t>
  </si>
  <si>
    <t>Zxing crashes on rare occasions  _x000D_
_x000D_
Reasons:_x000D_
Can t access the device s camera</t>
  </si>
  <si>
    <t>material-components-material-components-android-1054</t>
  </si>
  <si>
    <t>[MaterialCardView] Inflation crash when used with android:onClick in 1.1.0</t>
  </si>
  <si>
    <t xml:space="preserve">  Description:   Null pointer exception when inflating MaterialCardView with android:onClick set in xml_x000D_
_x000D_
  Expected behavior:   MaterialCardView should inflate as expected_x000D_
_x000D_
  Source code:  _x000D_
_x000D_
 com google android material card MaterialCardView_x000D_
                android:id    id card view _x000D_
                android:layout gravity  center _x000D_
                android:layout width  match parent _x000D_
                android:layout height  wrap content _x000D_
                android:onClick  onClickHandler _x000D_
                tools:ignore  OnClick  _x000D_
_x000D_
  Android API version:   29_x000D_
_x000D_
  Material Library version:   1 1 0_x000D_
_x000D_
  Device:   Pixel 2 XL_x000D_
_x000D_
Note  this works in 1 0 0 but crashes in 1 1 0 with this trace as cardViewHelper is null _x000D_
_x000D_
 java lang NullPointerException: Attempt to invoke virtual method  void com google android material card a p()  on a null object reference_x000D_
        at com google android material card MaterialCardView setClickable(:293)_x000D_
        at android view View setOnClickListener(View java:7065)_x000D_
        at android view View  init (View java:5666)_x000D_
        at android view ViewGroup  init (ViewGroup java:675)_x000D_
        at android widget FrameLayout  init (FrameLayout java:99)_x000D_
        at android widget FrameLayout  init (FrameLayout java:94)_x000D_
        at a d f a  init (:121)_x000D_
        at com google android material card MaterialCardView  init (:118)_x000D_
        at com google android material card MaterialCardView  init (:114)_x000D_
        	    33 more</t>
  </si>
  <si>
    <t>SecUSo-privacy-friendly-circuit-training-exercises-16</t>
  </si>
  <si>
    <t>Can't run without exercise set</t>
  </si>
  <si>
    <t xml:space="preserve">Hello :)_x000D_
_x000D_
On the  Main  screen when I press start with  use exercise sets  disabled  I get a toast  chosen exercise set has no exercises  _x000D_
_x000D_
When I enable and then disable  use exercise sets  (so it is disabled again)  and press start  the app crashes _x000D_
_x000D_
I would be happy to provide additional information (but don t know what would be useful to you) _x000D_
Cheers </t>
  </si>
  <si>
    <t>tanguyantoine-react-native-music-control-319</t>
  </si>
  <si>
    <t>Certain Android devices...Couldn't expand RemoteViews for: StatusBarNotification</t>
  </si>
  <si>
    <t xml:space="preserve">When using the Music Control on certain Android devices it crashes the app  Some versions of Android work fine  Customers reported this to me on Version 7 1 of Android and I was able to reproduce _x000D_
_x000D_
Googling this error there seems like many suggestions such as this one  although it seems like there are a variety of things that cause the problem _x000D_
https:  stackoverflow com questions 6209631 bad notification posted couldnt expand remoteviews for statusbarnotification_x000D_
_x000D_
1  Error getting in logcat_x000D_
2020 02 22 16:12:30 750 28918 28918 com miracheckcopilot E AndroidRuntime: FATAL EXCEPTION: main_x000D_
    Process: com miracheckcopilot  PID: 28918_x000D_
    android app RemoteServiceException: Bad notification posted from package com miracheckcopilot: Couldn t expand RemoteViews for: StatusBarNotification(pkg com miracheckcopilot user UserHandle 0  id 100 tag null key 0 com miracheckcopilot 100 null 10087: Notification(pri 1 contentView null vibrate null sound null defaults 0x0 flags 0x0 color 0x00000000 category transport actions 2 vis PUBLIC))_x000D_
        at android app ActivityThread H handleMessage(ActivityThread java:1650)_x000D_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replace the balnk space within backets by a x so that it checks the box   )    _x000D_
_x000D_
2  Platform  _x000D_
         iOS_x000D_
      x  Android_x000D_
   _x000D_
3  Device_x000D_
     X  Simulator_x000D_
     X  Real device_x000D_
</t>
  </si>
  <si>
    <t>CatalystCode-react-native-azurenotificationhub-100</t>
  </si>
  <si>
    <t xml:space="preserve">Upgrade from 0.9.1 to 0.9.3 requires devices to re-register with Azure Notification Hubs </t>
  </si>
  <si>
    <t xml:space="preserve">   Report_x000D_
_x000D_
   x  I have searched  existing issues (https:  github com CatalystCode react native azurenotificationhub issues) and this is not a duplicate _x000D_
_x000D_
   Environment_x000D_
_x000D_
     Which platforms does this issue apply (Android iOS Windows)     _x000D_
  Platforms: Android_x000D_
      Android  Which version of Android     _x000D_
  Android version: Android 8 and Android 10_x000D_
_x000D_
   Issues and Steps to Reproduce_x000D_
1  Register device with push notifications and version  0 9 1 _x000D_
2  Send push notifications to device with registered tag_x000D_
3  Update package to  0 9 3  and make necessary changes to  AndroidManifest xml  and  build gradle _x000D_
4  Run    gradlew clean  _x000D_
5  Send push notification to tag registered with version  0 9 1 _x000D_
6  Application crashes _x000D_
_x000D_
Note after re registering with tags push notifications work as normal_x000D_
_x000D_
   Expected Behavior_x000D_
App should be able to use existing tag registrations with new package _x000D_
_x000D_
   Actual Behavior_x000D_
App crashes when push notification received until tags are re registered _x000D_
_x000D_
   Android Logs_x000D_
I think the error corresponding to this is this part however all logs are attached:_x000D_
_x000D_
   _x000D_
          beginning of crash_x000D_
02 22 09:29:58 324 11850 11850 E AndroidRuntime: FATAL EXCEPTION: main_x000D_
02 22 09:29:58 324 11850 11850 E AndroidRuntime: Process: com XXXXXXX mobiledev  PID: 11850_x000D_
02 22 09:29:58 324 11850 11850 E AndroidRuntime: java lang RuntimeException: Unable to instantiate receiver com microsoft windowsazure notifications NotificationsBroadcastReceiver: java lang ClassNotFoundException: Didn t find class  com microsoft windowsazure notifications NotificationsBroadcastReceiver  on path: DexPathList  zip file   data app com XXXXXXX mobiledev MtI2itLaNYncL2q8iAi2 A   base apk   nativeLibraryDirectories   data app com XXXXXXX mobiledev MtI2itLaNYncL2q8iAi2 A   lib x86   data app com XXXXXXX mobiledev MtI2itLaNYncL2q8iAi2 A   base apk  lib x86   system lib   system product lib  _x000D_
02 22 09:29:58 324 11850 11850 E AndroidRuntime: 	at android app ActivityThread handleReceiver(ActivityThread java:3774)_x000D_
02 22 09:29:58 324 11850 11850 E AndroidRuntime: 	at android app ActivityThread access 1400(ActivityThread java:219)_x000D_
02 22 09:29:58 324 11850 11850 E AndroidRuntime: 	at android app ActivityThread H handleMessage(ActivityThread java:1870)_x000D_
02 22 09:29:58 324 11850 11850 E AndroidRuntime: 	at android os Handler dispatchMessage(Handler java:107)_x000D_
02 22 09:29:58 324 11850 11850 E AndroidRuntime: 	at android os Looper loop(Looper java:214)_x000D_
02 22 09:29:58 324 11850 11850 E AndroidRuntime: 	at android app ActivityThread main(ActivityThread java:7356)_x000D_
02 22 09:29:58 324 11850 11850 E AndroidRuntime: 	at java lang reflect Method invoke(Native Method)_x000D_
02 22 09:29:58 324 11850 11850 E AndroidRuntime: 	at com android internal os RuntimeInit MethodAndArgsCaller run(RuntimeInit java:492)_x000D_
02 22 09:29:58 324 11850 11850 E AndroidRuntime: 	at com android internal os ZygoteInit main(ZygoteInit java:930)_x000D_
02 22 09:29:58 324 11850 11850 E AndroidRuntime: Caused by: java lang ClassNotFoundException: Didn t find class  com microsoft windowsazure notifications NotificationsBroadcastReceiver  on path: DexPathList  zip file   data app com XXXXXXX mobiledev MtI2itLaNYncL2q8iAi2 A   base apk   nativeLibraryDirectories   data app com XXXXXXX mobiledev MtI2itLaNYncL2q8iAi2 A   lib x86   data app com XXXXXXX mobiledev MtI2itLaNYncL2q8iAi2 A   base apk  lib x86   system lib   system product lib  _x000D_
02 22 09:29:58 324 11850 11850 E AndroidRuntime: 	at dalvik system BaseDexClassLoader findClass(BaseDexClassLoader java:196)_x000D_
02 22 09:29:58 324 11850 11850 E AndroidRuntime: 	at java lang ClassLoader loadClass(ClassLoader java:379)_x000D_
02 22 09:29:58 324 11850 11850 E AndroidRuntime: 	at java lang ClassLoader loadClass(ClassLoader java:312)_x000D_
02 22 09:29:58 324 11850 11850 E AndroidRuntime: 	at android app AppComponentFactory instantiateReceiver(AppComponentFactory java:110)_x000D_
02 22 09:29:58 324 11850 11850 E AndroidRuntime: 	at androidx core app CoreComponentFactory instantiateReceiver(CoreComponentFactory java:60)_x000D_
02 22 09:29:58 324 11850 11850 E AndroidRuntime: 	at android app ActivityThread handleReceiver(ActivityThread java:3767)_x000D_
02 22 09:29:58 324 11850 11850 E AndroidRuntime: 	    8 more_x000D_
02 22 09:29:58 401  2099 12034 I DropBoxManagerService: add tag data app crash isTagEnabled true flags 0x2_x000D_
02 22 09:29:58 415  2099  3087 W ActivityTaskManager:   Force finishing activity com XXXXXXX mobiledev  MainActivity_x000D_
02 22 09:29:58 417  2099  3087 W InputReader: Device has associated  but no associated display id _x000D_
02 22 09:29:58 445  2099  2138 W BroadcastQueue: Background execution not allowed: receiving Intent   act android intent action DROPBOX ENTRY ADDED flg 0x10 (has extras)   to com google android gms  stats service DropBoxEntryAddedReceiver_x000D_
02 22 09:29:58 449  2099  2138 W BroadcastQueue: Background execution not allowed: receiving Intent   act android intent action DROPBOX ENTRY ADDED flg 0x10 (has extras)   to com google android gms  chimera GmsIntentOperationService PersistentTrustedReceiver_x000D_
02 22 09:29:58 418  2099  3087 I chatty  : uid 1000(system) Binder:2099 A identical 8 lines_x000D_
02 22 09:29:58 418  2099  3087 W InputReader: Device has associated  but no associated display id _x000D_
02 22 09:29:58 449  2293  2293 W GCM     : broadcast intent callback: result CANCELLED forIntent   act com google android c2dm intent RECEIVE pkg com XXXXXXX mobiledev (has extras)  _x000D_
02 22 09:29:58 452 11850 11850 I Process : Sending signal  PID: 11850 SIG: 9_x000D_
02 22 09:29:58 511  2099  2229 W InputDispatcher: channel  fafb745 com XXXXXXX mobiledev com XXXXXXX mobiledev MainActivity (server)    Consumer closed input channel or an error occurred   events 0x9_x000D_
02 22 09:29:58 511  2099  2229 E InputDispatcher: channel  fafb745 com XXXXXXX mobiledev com XXXXXXX mobiledev MainActivity (server)    Channel is unrecoverably broken and will be disposed _x000D_
   _x000D_
 logCat txt (https:  github com CatalystCode react native azurenotificationhub files 4239765 logCat txt)_x000D_
_x000D_
Looking at the error I think this might be related to the configuration change around  removing the following (https:  github com CatalystCode react native azurenotificationhub pull 94 files diff 6d84edcdf2726a601a321395bf7a0f54L28) in the Android Manifest without re registering with Azure Notification Hubs:_x000D_
_x000D_
   xml_x000D_
       receiver	_x000D_
        android:name  com microsoft windowsazure notifications NotificationsBroadcastReceiver 	_x000D_
        android:permission  com google android c2dm permission SEND  	_x000D_
         intent filter 	_x000D_
           action android:name  com google android c2dm intent RECEIVE    	_x000D_
          intent filter 	_x000D_
        receiver _x000D_
   </t>
  </si>
  <si>
    <t>nextcloud-android-5505</t>
  </si>
  <si>
    <t>App crash while viewing images</t>
  </si>
  <si>
    <t xml:space="preserve">    Steps to reproduce_x000D_
1  Open Nextcloud App_x000D_
2  Open a folder with at least 200 300 photos (2 3MB per photo)_x000D_
3  Tap on a photo to see the preview_x000D_
4  Swipe right to see the next photo preview_x000D_
5  Wait until you see the preview and then do point 4 again (repeat until app crash)_x000D_
_x000D_
    Expected behaviour_x000D_
  App not crash and I can see the other photo previews_x000D_
_x000D_
    Actual behaviour_x000D_
  App crash_x000D_
_x000D_
    Environment data_x000D_
   _x000D_
             CAUSE OF ERROR             _x000D_
_x000D_
java lang OutOfMemoryError: Failed to allocate a 50331660 byte allocation with 16777216 free bytes and 36MB until OOM_x000D_
	at dalvik system VMRuntime newNonMovableArray(Native Method)_x000D_
	at android graphics BitmapFactory nativeDecodeStream(Native Method)_x000D_
	at android graphics BitmapFactory decodeStreamInternal(BitmapFactory java:650)_x000D_
	at android graphics BitmapFactory decodeStream(BitmapFactory java:626)_x000D_
	at android graphics BitmapFactory decodeStream(BitmapFactory java:664)_x000D_
	at com owncloud android ui adapter DiskLruImageCache getBitmap(DiskLruImageCache java:121)_x000D_
	at com owncloud android datamodel ThumbnailsCacheManager getBitmapFromDiskCache(ThumbnailsCacheManager java:225)_x000D_
	at com owncloud android ui preview PreviewImageFragment onStart(PreviewImageFragment java:254)_x000D_
	at androidx fragment app Fragment performStart(Fragment java:2632)_x000D_
	at androidx fragment app FragmentManagerImpl moveToState(FragmentManagerImpl java:915)_x000D_
	at androidx fragment app FragmentManagerImpl performPendingDeferredStart(FragmentManagerImpl java:713)_x000D_
	at androidx fragment app FragmentManagerImpl startPendingDeferredFragments(FragmentManagerImpl java:1325)_x000D_
	at androidx fragment app FragmentManagerImpl doPendingDeferredStart(FragmentManagerImpl java:2178)_x000D_
	at androidx fragment app FragmentManagerImpl execSingleAction(FragmentManagerImpl java:1703)_x000D_
	at androidx fragment app BackStackRecord commitNowAllowingStateLoss(BackStackRecord java:299)_x000D_
	at androidx fragment app FragmentStatePagerAdapter finishUpdate(FragmentStatePagerAdapter java:259)_x000D_
	at androidx viewpager widget ViewPager populate(ViewPager java:1244)_x000D_
	at androidx viewpager widget ViewPager populate(ViewPager java:1092)_x000D_
	at androidx viewpager widget ViewPager onInterceptTouchEvent(ViewPager java:2130)_x000D_
	at com owncloud android ui components CustomViewPager onInterceptTouchEvent(CustomViewPager java:35)_x000D_
	at android view ViewGroup dispatchTouchEvent(ViewGroup java:2175)_x000D_
	at android view ViewGroup dispatchTransformedTouchEvent(ViewGroup java:2634)_x000D_
	at android view ViewGroup dispatchTouchEvent(ViewGroup java:2264)_x000D_
	at android view ViewGroup dispatchTransformedTouchEvent(ViewGroup java:2634)_x000D_
	at android view ViewGroup dispatchTouchEvent(ViewGroup java:2264)_x000D_
	at android view ViewGroup dispatchTransformedTouchEvent(ViewGroup java:2634)_x000D_
	at android view ViewGroup dispatchTouchEvent(ViewGroup java:2264)_x000D_
	at android view ViewGroup dispatchTransformedTouchEvent(ViewGroup java:2634)_x000D_
	at android view ViewGroup dispatchTouchEvent(ViewGroup java:2264)_x000D_
	at android view ViewGroup dispatchTransformedTouchEvent(ViewGroup java:2634)_x000D_
	at android view ViewGroup dispatchTouchEvent(ViewGroup java:2264)_x000D_
	at android view ViewGroup dispatchTransformedTouchEvent(ViewGroup java:2634)_x000D_
	at android view ViewGroup dispatchTouchEvent(ViewGroup java:2264)_x000D_
	at com android internal policy DecorView superDispatchTouchEvent(DecorView java:417)_x000D_
	at com android internal policy PhoneWindow superDispatchTouchEvent(PhoneWindow java:1808)_x000D_
	at android app Activity dispatchTouchEvent(Activity java:3194)_x000D_
	at androidx appcompat view WindowCallbackWrapper dispatchTouchEvent(WindowCallbackWrapper java:69)_x000D_
	at com android internal policy DecorView dispatchTouchEvent(DecorView java:379)_x000D_
	at android view View dispatchPointerEvent(View java:10261)_x000D_
	at android view ViewRootImpl ViewPostImeInputStage processPointerEvent(ViewRootImpl java:4503)_x000D_
	at android view ViewRootImpl ViewPostImeInputStage onProcess(ViewRootImpl java:4368)_x000D_
	at android view ViewRootImpl InputStage deliver(ViewRootImpl java:3908)_x000D_
	at android view ViewRootImpl InputStage onDeliverToNext(ViewRootImpl java:3961)_x000D_
	at android view ViewRootImpl InputStage forward(ViewRootImpl java:3927)_x000D_
	at android view ViewRootImpl AsyncInputStage forward(ViewRootImpl java:4054)_x000D_
	at android view ViewRootImpl InputStage apply(ViewRootImpl java:3935)_x000D_
	at android view ViewRootImpl AsyncInputStage apply(ViewRootImpl java:4111)_x000D_
	at android view ViewRootImpl InputStage deliver(ViewRootImpl java:3908)_x000D_
	at android view ViewRootImpl InputStage onDeliverToNext(ViewRootImpl java:3961)_x000D_
	at android view ViewRootImpl InputStage forward(ViewRootImpl java:3927)_x000D_
	at android view ViewRootImpl InputStage apply(ViewRootImpl java:3935)_x000D_
	at android view ViewRootImpl InputStage deliver(ViewRootImpl java:3908)_x000D_
	at android view ViewRootImpl deliverInputEvent(ViewRootImpl java:6346)_x000D_
	at android view ViewRootImpl doProcessInputEvents(ViewRootImpl java:6320)_x000D_
	at android view ViewRootImpl enqueueInputEvent(ViewRootImpl java:6281)_x000D_
	at android view ViewRootImpl WindowInputEventReceiver onInputEvent(ViewRootImpl java:6452)_x000D_
	at android view InputEventReceiver dispatchInputEvent(InputEventReceiver java:187)_x000D_
	at android os MessageQueue nativePollOnce(Native Method)_x000D_
	at android os MessageQueue next(MessageQueue java:323)_x000D_
	at android os Looper loop(Looper java:142)_x000D_
	at android app ActivityThread main(ActivityThread java:6238)_x000D_
	at java lang reflect Method invoke(Native Method)_x000D_
	at com android internal os ZygoteInit MethodAndArgsCaller run(ZygoteInit java:933)_x000D_
	at com android internal os ZygoteInit main(ZygoteInit java:823)_x000D_
_x000D_
             APP INFORMATION             _x000D_
ID: com nextcloud client_x000D_
Version: 30100090_x000D_
Build flavor: gplay_x000D_
_x000D_
             DEVICE INFORMATION             _x000D_
Brand: Xiaomi_x000D_
Device: santoni_x000D_
Model: Redmi 4X_x000D_
Id: N2G47H_x000D_
Product: santoni_x000D_
_x000D_
             FIRMWARE             _x000D_
SDK: 25_x000D_
Release: 7 1 2_x000D_
Incremental: V11 0 2 0 NAMMIXM_x000D_
_x000D_
   _x000D_
</t>
  </si>
  <si>
    <t>nextcloud-android-5504</t>
  </si>
  <si>
    <t>Crash: Toast.makeText() in Activities</t>
  </si>
  <si>
    <t xml:space="preserve">    Steps to reproduce_x000D_
1  Disable WiFi and Mobile data_x000D_
2  Open Activities tab_x000D_
3  Bang _x000D_
_x000D_
Extra: Unable to recreate in the current PlayStore version_x000D_
_x000D_
    Expected behaviour_x000D_
  Toast text should appear_x000D_
_x000D_
    Actual behaviour_x000D_
  App crash_x000D_
_x000D_
    More info_x000D_
_x000D_
https:  stackoverflow com questions 48152659 toast maketext giving error inflating class textview exception_x000D_
_x000D_
https:  issuetracker google com issues 64053344_x000D_
_x000D_
    Environment data_x000D_
Android version: 10_x000D_
_x000D_
Device model: Pixel 2_x000D_
_x000D_
Stock or customized system: Stock_x000D_
_x000D_
Nextcloud app version: 3 11 0 alpha1_x000D_
_x000D_
Nextcloud server version: Unkwon_x000D_
_x000D_
    Logs_x000D_
   _x000D_
2020 02 22 15:04:48 211 27840 27840 com nextcloud client E AndroidRuntime: FATAL EXCEPTION: main_x000D_
    Process: com nextcloud client  PID: 27840_x000D_
    android view InflateException: Binary XML file line  27 in android:layout transient notification: Binary XML file line  27 in android:layout transient notification: Error inflating class android widget TextView_x000D_
    Caused by: android view InflateException: Binary XML file line  27 in android:layout transient notification: Error inflating class android widget TextView_x000D_
    Caused by: java lang reflect InvocationTargetException_x000D_
        at java lang reflect Constructor newInstance0(Native Method)_x000D_
        at java lang reflect Constructor newInstance(Constructor java:343)_x000D_
        at android view LayoutInflater createView(LayoutInflater java:854)_x000D_
        at android view LayoutInflater createView(LayoutInflater java:776)_x000D_
        at com android internal policy PhoneLayoutInflater onCreateView(PhoneLayoutInflater java:58)_x000D_
        at android view LayoutInflater onCreateView(LayoutInflater java:930)_x000D_
        at android view LayoutInflater onCreateView(LayoutInflater java:950)_x000D_
        at android view LayoutInflater createViewFromTag(LayoutInflater java:1004)_x000D_
        at android view LayoutInflater createViewFromTag(LayoutInflater java:961)_x000D_
        at android view LayoutInflater rInflate(LayoutInflater java:1123)_x000D_
        at android view LayoutInflater rInflateChildren(LayoutInflater java:1084)_x000D_
        at android view LayoutInflater inflate(LayoutInflater java:682)_x000D_
        at android view LayoutInflater inflate(LayoutInflater java:534)_x000D_
        at android view LayoutInflater inflate(LayoutInflater java:481)_x000D_
        at android widget Toast makeText(Toast java:290)_x000D_
        at android widget Toast makeText(Toast java:276)_x000D_
        at com owncloud android ui activities ActivitiesActivity showActivitiesLoadError(ActivitiesActivity java:263)_x000D_
        at com owncloud android ui activities ActivitiesPresenter 1 onActivitiesLoadedError(ActivitiesPresenter java:66)_x000D_
        at com owncloud android ui activities data activities RemoteActivitiesRepository 1 onError(RemoteActivitiesRepository java:47)_x000D_
        at com owncloud android ui activities data activities ActivitiesServiceApiImpl GetActivityListTask onPostExecute(ActivitiesServiceApiImpl java:143)_x000D_
        at com owncloud android ui activities data activities ActivitiesServiceApiImpl GetActivityListTask onPostExecute(ActivitiesServiceApiImpl java:67)_x000D_
        at android os AsyncTask finish(AsyncTask java:755)_x000D_
        at android os AsyncTask access 900(AsyncTask java:192)_x000D_
        at android os AsyncTask InternalHandler handleMessage(AsyncTask java:772)_x000D_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Caused by: java lang UnsupportedOperationException: Failed to resolve attribute at index 6: TypedValue t 0x2 d 0x101009b a 1 _x000D_
        at android content res TypedArray getColorStateList(TypedArray java:596)_x000D_
        at android widget TextView readTextAppearance(TextView java:3972)_x000D_
        at android widget TextView  init (TextView java:1032)_x000D_
        at android widget TextView  init (TextView java:970)_x000D_
        at android widget TextView  init (TextView java:966)_x000D_
        at java lang reflect Constructor newInstance0(Native Method) _x000D_
        at java lang reflect Constructor newInstance(Constructor java:343) _x000D_
        at android view LayoutInflater createView(LayoutInflater java:854) _x000D_
        at android view LayoutInflater createView(LayoutInflater java:776) _x000D_
        at com android internal policy PhoneLayoutInflater onCreateView(PhoneLayoutInflater java:58) _x000D_
        at android view LayoutInflater onCreateView(LayoutInflater java:930) _x000D_
        at android view LayoutInflater onCreateView(LayoutInflater java:950) _x000D_
        at android view LayoutInflater createViewFromTag(LayoutInflater java:1004) _x000D_
        at android view LayoutInflater createViewFromTag(LayoutInflater java:961) _x000D_
        at android view LayoutInflater rInflate(LayoutInflater java:1123) _x000D_
        at android view LayoutInflater rInflateChildren(LayoutInflater java:1084) _x000D_
        at android view LayoutInflater inflate(LayoutInflater java:682) _x000D_
        at android view LayoutInflater inflate(LayoutInflater java:534) _x000D_
        at android view LayoutInflater inflate(LayoutInflater java:481) _x000D_
        at android widget Toast makeText(Toast java:290) _x000D_
        at android widget Toast makeText(Toast java:276) _x000D_
        at com owncloud android ui activities ActivitiesActivity showActivitiesLoadError(ActivitiesActivity java:263) _x000D_
        at com owncloud android ui activities ActivitiesPresenter 1 onActivitiesLoadedError(ActivitiesPresenter java:66) _x000D_
        at com owncloud android ui activities data activities RemoteActivitiesRepository 1 onError(RemoteActivitiesRepository java:47) _x000D_
        at com owncloud android ui activities data activities ActivitiesServiceApiImpl GetActivityListTask onPostExecute(ActivitiesServiceApiImpl java:143) _x000D_
        at com owncloud android ui activities data activities ActivitiesServiceApiImpl GetActivityListTask onPostExecute(ActivitiesServiceApiImpl java:67) _x000D_
        at android os AsyncTask finish(AsyncTask java:755) _x000D_
        at android os AsyncTask access 900(AsyncTask java:192) _x000D_
        at android os AsyncTask InternalHandler handleMessage(AsyncTask java:772) _x000D_
        at android os Handler dispatchMessage(Handler java:107) _x000D_
        at android os Looper loop(Looper java:214) _x000D_
        at android app ActivityThread main(ActivityThread java:7356) _x000D_
        at java lang reflect Method invoke(Native Method) _x000D_
        at com android internal os RuntimeInit MethodAndArgsCaller run(RuntimeInit java:492) _x000D_
        at com android internal os ZygoteInit main(ZygoteInit java:930) _x000D_
   </t>
  </si>
  <si>
    <t>inaturalist-iNaturalistAndroid-781</t>
  </si>
  <si>
    <t>Prompt for storage permission when recording a new sound in an external app</t>
  </si>
  <si>
    <t xml:space="preserve">To replicate _x000D_
_x000D_
1  Get a fresh install of iNat  no permissions granted_x000D_
1  Install an external audio recorder like RecForge II_x000D_
1  Start a new obs by recording a new sound  choose to record with the external recorder_x000D_
1  Record the sound and save to return to iNat_x000D_
1  iNat will either crash or fail to get the sound_x000D_
_x000D_
We should be prompting the user to grant us storage access  probably in  prepareCapturedSound  as we seem to be doing in  prepareCapturedPhoto </t>
  </si>
  <si>
    <t>nextcloud-android-5500</t>
  </si>
  <si>
    <t>dev version crashed</t>
  </si>
  <si>
    <t xml:space="preserve">    Steps to reproduce_x000D_
1  _x000D_
2  _x000D_
3  _x000D_
_x000D_
    Expected behaviour_x000D_
  Tell us what should happen_x000D_
_x000D_
    Actual behaviour_x000D_
  Tell us what happens_x000D_
crashed_x000D_
    Environment data_x000D_
Android version:_x000D_
_x000D_
Device model: _x000D_
_x000D_
Stock or customized system:_x000D_
_x000D_
Nextcloud app version:_x000D_
latest dev version_x000D_
Nextcloud server version:_x000D_
_x000D_
    Logs_x000D_
     Web server error log_x000D_
   _x000D_
Insert your webserver log here_x000D_
   _x000D_
_x000D_
     Nextcloud log (data nextcloud log)_x000D_
   _x000D_
Insert your Nextcloud log here_x000D_
             CAUSE OF ERROR             _x000D_
_x000D_
java lang IndexOutOfBoundsException: Inconsistency detected  Invalid item position 1(offset:1) state:2 com owncloud android ui EmptyRecyclerView ba205c7 GFED            ID 0 0 720 1112  7f0901b0 app:id list root   adapter:com owncloud android ui adapter OCFileListAdapter a947f4  layout:androidx recyclerview widget LinearLayoutManager 6b82b1d  context:com owncloud android ui activity FileDisplayActivity b3d22f9_x000D_
	at androidx recyclerview widget RecyclerView Recycler tryGetViewHolderForPositionByDeadline(RecyclerView java:6183)_x000D_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java:19055)_x000D_
	at android view ViewGroup layout(ViewGroup java:5935)_x000D_
	at androidx swiperefreshlayout widget SwipeRefreshLayout onLayout(SwipeRefreshLayout java:625)_x000D_
	at android view View layout(View java:19055)_x000D_
	at android view ViewGroup layout(ViewGroup java:5935)_x000D_
	at androidx coordinatorlayout widget CoordinatorLayout layoutChild(CoordinatorLayout java:1213)_x000D_
	at androidx coordinatorlayout widget CoordinatorLayout onLayoutChild(CoordinatorLayout java:899)_x000D_
	at androidx coordinatorlayout widget CoordinatorLayout onLayout(CoordinatorLayout java:919)_x000D_
	at android view View layout(View java:19055)_x000D_
	at android view ViewGroup layout(ViewGroup java:5935)_x000D_
	at android widget RelativeLayout onLayout(RelativeLayout java:1079)_x000D_
	at android view View layout(View java:19055)_x000D_
	at android view ViewGroup layout(ViewGroup java:5935)_x000D_
	at android widget FrameLayout layoutChildren(FrameLayout java:323)_x000D_
	at android widget FrameLayout onLayout(FrameLayout java:261)_x000D_
	at android view View layout(View java:19055)_x000D_
	at android view ViewGroup layout(ViewGroup java:5935)_x000D_
	at android widget LinearLayout setChildFrame(LinearLayout java:1741)_x000D_
	at android widget LinearLayout layoutHorizontal(LinearLayout java:1730)_x000D_
	at android widget LinearLayout onLayout(LinearLayout java:1496)_x000D_
	at android view View layout(View java:19055)_x000D_
	at android view ViewGroup layout(ViewGroup java:5935)_x000D_
	at android widget LinearLayout setChildFrame(LinearLayout java:1741)_x000D_
	at android widget LinearLayout layoutVertical(LinearLayout java:1585)_x000D_
	at android widget LinearLayout onLayout(LinearLayout java:1494)_x000D_
	at android view View layout(View java:19055)_x000D_
	at android view ViewGroup layout(ViewGroup java:5935)_x000D_
	at androidx drawerlayout widget DrawerLayout onLayout(DrawerLayout java:1231)_x000D_
	at android view View layout(View java:19055)_x000D_
	at android view ViewGroup layout(ViewGroup java:5935)_x000D_
	at android widget FrameLayout layoutChildren(FrameLayout java:323)_x000D_
	at android widget FrameLayout onLayout(FrameLayout java:261)_x000D_
	at android view View layout(View java:19055)_x000D_
	at android view ViewGroup layout(ViewGroup java:5935)_x000D_
	at android widget FrameLayout layoutChildren(FrameLayout java:323)_x000D_
	at android widget FrameLayout onLayout(FrameLayout java:261)_x000D_
	at android view View layout(View java:19055)_x000D_
	at android view ViewGroup layout(ViewGroup java:5935)_x000D_
	at android widget FrameLayout layoutChildren(FrameLayout java:323)_x000D_
	at android widget FrameLayout onLayout(FrameLayout java:261)_x000D_
	at android view View layout(View java:19055)_x000D_
	at android view ViewGroup layout(ViewGroup java:5935)_x000D_
	at android widget LinearLayout setChildFrame(LinearLayout java:1741)_x000D_
	at android widget LinearLayout layoutVertical(LinearLayout java:1585)_x000D_
	at android widget LinearLayout onLayout(LinearLayout java:1494)_x000D_
	at android view View layout(View java:19055)_x000D_
	at android view ViewGroup layout(ViewGroup java:5935)_x000D_
	at android widget FrameLayout layoutChildren(FrameLayout java:323)_x000D_
	at android widget FrameLayout onLayout(FrameLayout java:261)_x000D_
	at com android internal policy DecorView onLayout(DecorView java:954)_x000D_
	at android view View layout(View java:19055)_x000D_
	at android view ViewGroup layout(ViewGroup java:5935)_x000D_
	at android view ViewRootImpl performLayout(ViewRootImpl java:2716)_x000D_
	at android view ViewRootImpl performTraversals(ViewRootImpl java:2431)_x000D_
	at android view ViewRootImpl doTraversal(ViewRootImpl java:1569)_x000D_
	at android view ViewRootImpl TraversalRunnable run(ViewRootImpl java:7301)_x000D_
	at android view Choreographer CallbackRecord run(Choreographer java:930)_x000D_
	at android view Choreographer doCallbacks(Choreographer java:705)_x000D_
	at android view Choreographer doFrame(Choreographer java:640)_x000D_
	at android view Choreographer FrameDisplayEventReceiver run(Choreographer java:916)_x000D_
	at android os Handler handleCallback(Handler java:751)_x000D_
	at android os Handler dispatchMessage(Handler java:95)_x000D_
	at android os Looper loop(Looper java:154)_x000D_
	at android app ActivityThread main(ActivityThread java:6816)_x000D_
	at java lang reflect Method invoke(Native Method)_x000D_
	at com android internal os ZygoteInit MethodAndArgsCaller run(ZygoteInit java:1563)_x000D_
	at com android internal os ZygoteInit main(ZygoteInit java:1451)_x000D_
_x000D_
             APP INFORMATION             _x000D_
ID: com nextcloud android beta_x000D_
Version: 20200219_x000D_
Build flavor: versionDev_x000D_
_x000D_
             DEVICE INFORMATION             _x000D_
Brand: samsung_x000D_
Device: j5xnlte_x000D_
Model: SM J510FN_x000D_
Id: NMF26X_x000D_
Product: j5xnltexx_x000D_
_x000D_
             FIRMWARE             _x000D_
SDK: 25_x000D_
Release: 7 1 1_x000D_
Incremental: J510FNXXS3BSH6_x000D_
 NOTE:   Be super sure to remove sensitive data like passwords  note that everybody can look here  You can use the Issue Template application to prefill some of the required information: https:  apps nextcloud com apps issuetemplate_x000D_
</t>
  </si>
  <si>
    <t>nextcloud-android-5499</t>
  </si>
  <si>
    <t>App crash by opening synced files</t>
  </si>
  <si>
    <t xml:space="preserve">    Steps to reproduce_x000D_
1  Sync files from cloud e g  pdf_x000D_
2  Open pdf or show details_x000D_
_x000D_
    Expected behaviour_x000D_
  opens file with system app_x000D_
_x000D_
    Actual behaviour_x000D_
  crashes when opening downloaded files out of nextcloud app_x000D_
_x000D_
    Environment data_x000D_
Android version: 5 1 1_x000D_
_x000D_
Device model: Samsung P600_x000D_
_x000D_
Stock or customized system:_x000D_
_x000D_
Nextcloud app version: 3 10 0_x000D_
_x000D_
Nextcloud server version: latest_x000D_
_x000D_
    Logs_x000D_
             CAUSE OF ERROR             _x000D_
_x000D_
javax net ssl SSLHandshakeException: java security cert CertPathValidatorException: Trust anchor for certification path not found _x000D_
	at com google android gms org conscrypt ConscryptFileDescriptorSocket startHandshake(:com google android gms 20104008 20 1 04 (020306 288960190):27)_x000D_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run(lambda)_x000D_
	at java lang Thread run(Thread java:818)_x000D_
Caused by: java security cert CertificateException: java security cert CertPathValidatorException: Trust anchor for certification path not found _x000D_
	at com android org conscrypt TrustManagerImpl checkTrusted(TrustManagerImpl java:324)_x000D_
	at com android org conscrypt TrustManagerImpl checkServerTrusted(TrustManagerImpl java:225)_x000D_
	at java lang reflect Method invoke(Native Method)_x000D_
	at java lang reflect Method invoke(Method java:372)_x000D_
	at com google android gms org conscrypt Platform checkTrusted(:com google android gms 20104008 20 1 04 (020306 288960190):2)_x000D_
	at com google android gms org conscrypt Platform checkServerTrusted(:com google android gms 20104008 20 1 04 (020306 288960190):3)_x000D_
	at com google android gms org conscrypt ConscryptFileDescriptorSocket verifyCertificateChain(:com google android gms 20104008 20 1 04 (020306 288960190):7)_x000D_
	at com google android gms org conscrypt NativeCrypto SSL do handshake(Native Method)_x000D_
	at com google android gms org conscrypt NativeSsl doHandshake(:com google android gms 20104008 20 1 04 (020306 288960190):6)_x000D_
	at com google android gms org conscrypt ConscryptFileDescriptorSocket startHandshake(:com google android gms 20104008 20 1 04 (020306 288960190):14)_x000D_
	    26 more_x000D_
Caused by: java security cert CertPathValidatorException: Trust anchor for certification path not found _x000D_
	    36 more_x000D_
_x000D_
             APP INFORMATION             _x000D_
ID: com nextcloud client_x000D_
Version: 30100090_x000D_
Build flavor: gplay_x000D_
_x000D_
             DEVICE INFORMATION             _x000D_
Brand: samsung_x000D_
Device: lt03wifi_x000D_
Model: SM P600_x000D_
Id: LMY47X_x000D_
Product: lt03wifixx_x000D_
_x000D_
             FIRMWARE             _x000D_
SDK: 22_x000D_
Release: 5 1 1_x000D_
Incremental: P600XXSDRI1</t>
  </si>
  <si>
    <t>react-native-geolocation-react-native-geolocation-94</t>
  </si>
  <si>
    <t>Error on requestAuthorization that lead to crash on Android</t>
  </si>
  <si>
    <t xml:space="preserve">   Environment_x000D_
   _x000D_
System:_x000D_
    OS: macOS 10 14 6_x000D_
    CPU: (8) x64 Intel(R) Core(TM) i5 8259U CPU   2 30GHz_x000D_
    Memory: 196 51 MB   8 00 GB_x000D_
    Shell: 3 2 57    bin bash_x000D_
  Binaries:_x000D_
    Node: 13 5 0    usr local bin node_x000D_
    npm: 6 13 4    usr local bin npm_x000D_
    Watchman: 4 9 0    usr local bin watchman_x000D_
  SDKs:_x000D_
    iOS SDK:_x000D_
      Platforms: iOS 13 2  DriverKit 19 0  macOS 10 15  tvOS 13 2  watchOS 6 1_x000D_
    Android SDK:_x000D_
      API Levels: 23  28  29_x000D_
      Build Tools: 28 0 3  29 0 3_x000D_
      System Images: android 28   Intel x86 Atom  android 28   Intel x86 Atom 64  android 28   Google Play Intel x86 Atom  android 29   Google Play Intel x86 Atom_x000D_
  IDEs:_x000D_
    Android Studio: 3 5 AI 191 8026 42 35 6010548_x000D_
    Xcode: 11 3 11C29    usr bin xcodebuild_x000D_
  npmPackages:_x000D_
    react: 16 8 6    16 8 6 _x000D_
    react native: 0 60 4    0 60 4_x000D_
   _x000D_
   Platforms_x000D_
Android_x000D_
_x000D_
_x000D_
   Versions_x000D_
     Please add the used versions branches    _x000D_
  Android:_x000D_
  iOS:_x000D_
  react native geolocation:2 0 2_x000D_
  react native:0 60 4_x000D_
  react:16 8 6_x000D_
_x000D_
   Description_x000D_
_x000D_
the app is working fine on IOS  but in android it crashes with an error _x000D_
    _x000D_
RNCGeolocation requestAuthorization() is not a function_x000D_
   _x000D_
_x000D_
when i have debugged the code it turned out that the function     RNCGeolocation requestAuthorization()   _x000D_
_x000D_
is undefined and thats why it throws the exception  i have went over the instructions many times  but i couldn t get it fixed _x000D_
</t>
  </si>
  <si>
    <t>ankidroid-Anki-Android-5764</t>
  </si>
  <si>
    <t>Avoid crash on audio clip w/no extension or mime type</t>
  </si>
  <si>
    <t xml:space="preserve">   Pull Request template_x000D_
_x000D_
   Purpose   Description_x000D_
 5755 was a major improvement in audio clip handling but there was still a crash  this time related to my attempt to debug log the mime type information_x000D_
_x000D_
Turns out that can be null which will throw an exception in the Android implementation: https:  developer android com reference android database Cursor html getString(int)_x000D_
_x000D_
   _x000D_
java lang RuntimeException: Failure delivering result ResultInfo who null  request 1  result  1  data Intent   dat content:  com mi android globalFileexplorer myprovider external files Download Cloakroom mp3 flg 0x1    to activity  com ichi2 anki com ichi2 anki multimediacard activity MultimediaEditFieldActivity : java lang IllegalStateException: Couldn t read row 0  col 2 from CursorWindow  Make sure the Cursor is initialized correctly before accessing data from it _x000D_
at android app ActivityThread deliverResults(ActivityThread java:4285)_x000D_
at android app ActivityThread handleSendResult(ActivityThread java:4329)_x000D_
at android app ActivityThread  wrap20(Unknown Source:0)_x000D_
at android app ActivityThread H handleMessage(ActivityThread java:1657)_x000D_
at android os Handler dispatchMessage(Handler java:106)_x000D_
at android os Looper loop(Looper java:164)_x000D_
at android app ActivityThread main(ActivityThread java:6543)_x000D_
at java lang reflect Method invoke(Native Method)_x000D_
at com android internal os RuntimeInit MethodAndArgsCaller run(RuntimeInit java:438)_x000D_
at com android internal os ZygoteInit main(ZygoteInit java:807)_x000D_
Caused by: java lang IllegalStateException: Couldn t read row 0  col 2 from CursorWindow  Make sure the Cursor is initialized correctly before accessing data from it _x000D_
at android database CursorWindow nativeGetString(Native Method)_x000D_
at android database CursorWindow getString(CursorWindow java:438)_x000D_
at android database AbstractWindowedCursor getString(AbstractWindowedCursor java:51)_x000D_
at android database CursorWrapper getString(CursorWrapper java:137)_x000D_
at com ichi2 anki multimediacard fields BasicAudioClipFieldController onActivityResult(BasicAudioClipFieldController java:7)_x000D_
at com ichi2 anki multimediacard activity MultimediaEditFieldActivity onActivityResult(MultimediaEditFieldActivity java:3)_x000D_
at android app Activity dispatchActivityResult(Activity java:7290)_x000D_
at android app ActivityThread deliverResults(ActivityThread java:4281)_x000D_
   _x000D_
_x000D_
_x000D_
   Approach_x000D_
Hard to win on this one _x000D_
So I removed the debug logging which accessed the possibly null and will throw column_x000D_
I added extra logging about what was happening and send an error report now so we can see how often it happens and with what kinds of data  but we will not crash anymore_x000D_
_x000D_
   How Has This Been Tested _x000D_
Same as previous PR I tested a file that has an extension and one that has only a MIME type from google drive  but I don t know what content provider to use that won t provide mime type information so I can t reproduce the fail path yet  I can guarantee we don t crash on it now though at least_x000D_
_x000D_
   Learning (optional  can help others)_x000D_
You just never know when an API will throw a RuntimeException   _x000D_
_x000D_
   Checklist_x000D_
 Please  go through these checks before submitting the PR  _x000D_
_x000D_
      You have not changed whitespace unnecessarily (it makes diffs hard to read)_x000D_
      You have a descriptive commit message with a short title (first line  max 50 chars) _x000D_
      Your code follows the style of the project (e g  never omit braces in  if  statements) _x000D_
      You have commented your code  particularly in hard to understand areas_x000D_
      You have performed a self review of your own code_x000D_
</t>
  </si>
  <si>
    <t>inaturalist-iNaturalistAndroid-778</t>
  </si>
  <si>
    <t>NullPointerException in refreshFavorites</t>
  </si>
  <si>
    <t xml:space="preserve">https:  console firebase google com u 2 project inaturalist ios crashlytics app android:org inaturalist android issues c909583c69f87b4964f74aac5ee50f9e time last seven days sessionId 5E4B5E9F008A00013BC7B93079823171 DNE 0 v2_x000D_
_x000D_
   _x000D_
Caused by java lang NullPointerException: Attempt to read from field  java lang Integer org inaturalist android Observation id  on a null object reference_x000D_
       at org inaturalist android ObservationViewerActivity refreshFavorites(ObservationViewerActivity java:900)_x000D_
       at org inaturalist android ObservationViewerActivity onCreate(ObservationViewerActivity java:749)_x000D_
       at android app Activity performCreate(Activity java:7327)_x000D_
       at android app Activity performCreate(Activity java:7318)_x000D_
       at android app Instrumentation callActivityOnCreate(Instrumentation java:1271)_x000D_
       at android app ActivityThread performLaunchActivity(ActivityThread java:3096)_x000D_
       at android app ActivityThread handleLaunchActivity(ActivityThread java:3259)_x000D_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java:1950)_x000D_
       at android os Handler dispatchMessage(Handler java:106)_x000D_
       at android os Looper loop(Looper java:214)_x000D_
       at android app ActivityThread main(ActivityThread java:7073)_x000D_
       at java lang reflect Method invoke(Method java)_x000D_
       at com android internal os RuntimeInit MethodAndArgsCaller run(RuntimeInit java:494)_x000D_
       at com android internal os ZygoteInit main(ZygoteInit java:964)_x000D_
   </t>
  </si>
  <si>
    <t>Karumi-Dexter-251</t>
  </si>
  <si>
    <t xml:space="preserve">    Expected behaviour_x000D_
I am getting this error on my release on play store for some users  I don t know the exact behavior _x000D_
Here are crash report:_x000D_
_x000D_
Fatal Exception: java lang RuntimeException: Unknown exception code: 1 msg null_x000D_
       at android os Parcel readException(Parcel java:1477)_x000D_
       at android os Parcel readException(Parcel java:1419)_x000D_
       at android app ActivityManagerProxy checkPermission(ActivityManagerProxy java:3516)_x000D_
       at android app ContextImpl checkPermission(ContextImpl java:1770)_x000D_
       at android content ContextWrapper checkPermission(ContextWrapper java:562)_x000D_
       at androidx core content PermissionChecker checkPermission(PermissionChecker java:97)_x000D_
       at androidx core content PermissionChecker checkSelfPermission(PermissionChecker java:134)_x000D_
       at com karumi dexter AndroidPermissionService checkSelfPermission(AndroidPermissionService java)_x000D_
       at com karumi dexter DexterInstance isEveryPermissionGranted(DexterInstance java)_x000D_
       at com karumi dexter DexterInstance checkMultiplePermissions(DexterInstance java)_x000D_
       at com karumi dexter DexterInstance checkPermissions(DexterInstance java)_x000D_
       at com karumi dexter Dexter check(Dexter java)_x000D_
       at com allbackup ui activity InnerHomeActivity setupListeners 2 onClick(HomeActivity java:236)_x000D_
       at android view View performClick(View java:4562)_x000D_
       at android view View PerformClick run(View java:18918)_x000D_
       at android os Handler handleCallback(Handler java:808)_x000D_
       at android os Handler dispatchMessage(Handler java:103)_x000D_
       at android os Looper loop(Looper java:193)_x000D_
       at android app ActivityThread main(ActivityThread java:5388)_x000D_
       at java lang reflect Method invokeNative(Method java)_x000D_
       at java lang reflect Method invoke(Method java:515)_x000D_
       at com android internal os ZygoteInit MethodAndArgsCaller run(ZygoteInit java:839)_x000D_
       at com android internal os ZygoteInit main(ZygoteInit java:655)_x000D_
       at dalvik system NativeStart main(NativeStart java)_x000D_
_x000D_
_x000D_
    Actual behaviour_x000D_
_x000D_
_x000D_
    Steps to reproduce_x000D_
_x000D_
_x000D_
    Version of the library_x000D_
Version: 6 0 1_x000D_
_x000D_
</t>
  </si>
  <si>
    <t>nextcloud-android-5490</t>
  </si>
  <si>
    <t xml:space="preserve">    Steps to reproduce_x000D_
1  Random crash_x000D_
_x000D_
    Actual behaviour_x000D_
  Tell us what happens_x000D_
_x000D_
    Environment data_x000D_
Android version: 9_x000D_
_x000D_
Device model: Xiaomi mi a2 lite_x000D_
_x000D_
Stock or customized system: stock_x000D_
_x000D_
Nextcloud app version: 3 10 1_x000D_
_x000D_
Nextcloud server version:_x000D_
_x000D_
    Logs_x000D_
_x000D_
https:  pastebin com GKF22XWb </t>
  </si>
  <si>
    <t>Haptic-Apps-Slide-3124</t>
  </si>
  <si>
    <t>Opening "Link handling" or trying to search Settings when multiple browsers with the same name are installed causes crash</t>
  </si>
  <si>
    <t xml:space="preserve">Slide version: 6 2 2_x000D_
Android version: 10_x000D_
Logcat (Link handling): https:  pastebin com raw DAfSypZc_x000D_
Logcat (Search): https:  pastebin com raw vUYCChay_x000D_
_x000D_
Steps to reproduce:_x000D_
1  Install Slide_x000D_
2  Open Slide and navigate to Link handling (or try to search anything in the Settings page) It should work fine  _x000D_
3  Install  Firefox Nightly (https:  play google com store apps details id org mozilla fennec aurora) _x000D_
4  Install  Firefox Preview Nightly (https:  play google com store apps details id org mozilla fenix nightly) (when installed  this is also named Firefox Nightly)_x000D_
5  Open Slide and navigate to Link handling (or search settings) again  It should crash _x000D_
6  Uninstall either browser (or both  but only need to remove one)_x000D_
7  Open Link handling or search one last time  It should work again  _x000D_
_x000D_
For settings search: the search bar can be opened  but typing anything crashes  For link handling  it crashes immediately when you open it  </t>
  </si>
  <si>
    <t>opensrp-opensrp-client-chw-hf-48</t>
  </si>
  <si>
    <t>App crashes on opening child profile</t>
  </si>
  <si>
    <t xml:space="preserve">The App crashes on opening child profile from any register </t>
  </si>
  <si>
    <t>nextcloud-android-library-404</t>
  </si>
  <si>
    <t>SocketTimeoutException on library v2</t>
  </si>
  <si>
    <t xml:space="preserve">   _x000D_
java net SocketTimeoutException: _x000D_
 _x000D_
  at libcore io IoBridge connectErrno (IoBridge java:191)_x000D_
 _x000D_
  at libcore io IoBridge connect (IoBridge java:135)_x000D_
 _x000D_
  at java net PlainSocketImpl socketConnect (PlainSocketImpl java:142)_x000D_
 _x000D_
  at java net AbstractPlainSocketImpl doConnect (AbstractPlainSocketImpl java:390)_x000D_
 _x000D_
  at java net AbstractPlainSocketImpl connectToAddress (AbstractPlainSocketImpl java:230)_x000D_
 _x000D_
  at java net AbstractPlainSocketImpl connect (AbstractPlainSocketImpl java:212)_x000D_
 _x000D_
  at java net SocksSocketImpl connect (SocksSocketImpl java:436)_x000D_
 _x000D_
  at java net Socket connect (Socket java:621)_x000D_
 _x000D_
  at okhttp3 internal platform AndroidPlatform connectSocket (AndroidPlatform java:73)_x000D_
 _x000D_
  at okhttp3 internal connection RealConnection connectSocket (RealConnection java:247)_x000D_
 _x000D_
  at okhttp3 internal connection RealConnection connect (RealConnection java:167)_x000D_
 _x000D_
  at okhttp3 internal connection StreamAllocation findConnection (StreamAllocation java:258)_x000D_
 _x000D_
  at okhttp3 internal connection StreamAllocation findHealthyConnection (StreamAllocation java:135)_x000D_
 _x000D_
  at okhttp3 internal connection StreamAllocation newStream (StreamAllocation java:114)_x000D_
 _x000D_
  at okhttp3 internal connection ConnectInterceptor intercept (ConnectInterceptor java:42)_x000D_
 _x000D_
  at okhttp3 internal http RealInterceptorChain proceed (RealInterceptorChain java:147)_x000D_
 _x000D_
  at okhttp3 internal http RealInterceptorChain proceed (RealInterceptorChain java:121)_x000D_
 _x000D_
  at okhttp3 internal cache CacheInterceptor intercept (CacheInterceptor java:93)_x000D_
 _x000D_
  at okhttp3 internal http RealInterceptorChain proceed (RealInterceptorChain java:147)_x000D_
 _x000D_
  at okhttp3 internal http RealInterceptorChain proceed (RealInterceptorChain java:121)_x000D_
 _x000D_
  at okhttp3 internal http BridgeInterceptor intercept (BridgeInterceptor java:93)_x000D_
 _x000D_
  at okhttp3 internal http RealInterceptorChain proceed (RealInterceptorChain java:147)_x000D_
 _x000D_
  at okhttp3 internal http RetryAndFollowUpInterceptor intercept (RetryAndFollowUpInterceptor java:127)_x000D_
 _x000D_
  at okhttp3 internal http RealInterceptorChain proceed (RealInterceptorChain java:147)_x000D_
 _x000D_
  at okhttp3 internal http RealInterceptorChain proceed (RealInterceptorChain java:121)_x000D_
 _x000D_
  at okhttp3 RealCall getResponseWithInterceptorChain (RealCall java:257)_x000D_
 _x000D_
  at okhttp3 RealCall execute (RealCall java:93)_x000D_
 _x000D_
  at com nextcloud common OkHttpMethodBase execute (OkHttpMethodBase kt:126)_x000D_
 _x000D_
  at com nextcloud common NextcloudClient execute (NextcloudClient kt:84)_x000D_
 _x000D_
  at com owncloud android lib resources activities GetActivitiesRemoteOperation run (GetActivitiesRemoteOperation java:131)_x000D_
   _x000D_
_x000D_
 ezaquarii  AndyScherzinger have you experienced that on your devices _x000D_
This is a high crash rate on google dev console  so we should try to fix it _x000D_
_x000D_
It seems we have default of 10s set  but on old library we only use 5s for connect _x000D_
So I hesitate to  stupidly  increase the timeout  but wonder why it takes more than double the time to get a connection </t>
  </si>
  <si>
    <t>amahi-android-507</t>
  </si>
  <si>
    <t>App crashed with landscape as well as Query issue(Myntra)</t>
  </si>
  <si>
    <t>App crashed on reopening as there was a problem in setDelay method as far as i can judge plus there is some problem with sql querry _x000D_
error in generating contents from myntra com</t>
  </si>
  <si>
    <t>ankidroid-Anki-Android-5760</t>
  </si>
  <si>
    <t>Use application-level resources for Async fragments</t>
  </si>
  <si>
    <t xml:space="preserve">   Pull Request template_x000D_
_x000D_
   Purpose   Description_x000D_
_x000D_
ImportDialog was still crashing after  5743 _x000D_
_x000D_
https:  couchdb ankidroid org acralyzer  design acralyzer index html  report details 4a0ab280 d1bc 4265 bba5 2fd175004c3d_x000D_
_x000D_
   _x000D_
java lang IllegalStateException: Fragment ImportDialog 59c7f45 (0ccc9642 1fda 4aed b165 c4fdd4b1ee02) dialog  not attached to a context _x000D_
at androidx fragment app Fragment requireContext(Fragment java:2)_x000D_
at androidx fragment app Fragment getResources(Fragment java:1)_x000D_
at com ichi2 anki dialogs ImportDialog getNotificationTitle(ImportDialog java:1)_x000D_
at com ichi2 anki AnkiActivity showAsyncDialogFragment(AnkiActivity java:4)_x000D_
at com ichi2 anki AnkiActivity showAsyncDialogFragment(AnkiActivity java:1)_x000D_
at com ichi2 anki DeckPicker showImportDialog(DeckPicker java:13)_x000D_
at com ichi2 anki dialogs DialogHandler handleMessage(DialogHandler java:6)_x000D_
at android os Handler dispatchMessage(Handler java:107)_x000D_
at android os Looper loop(Looper java:237)_x000D_
at android app ActivityThread main(ActivityThread java:7811)_x000D_
at java lang reflect Method invoke(Native Method)_x000D_
at com android internal os RuntimeInit MethodAndArgsCaller run(RuntimeInit java:493)_x000D_
at com android internal os ZygoteInit main(ZygoteInit java:1076)_x000D_
   _x000D_
_x000D_
Turns out my initial fix was  almost  correct but not quite  I was accessing the resources non idiomatically compared with the other AsyncDialogFragments  _x000D_
_x000D_
Now I use the built in function as opposed to attempting to access the resources via the context_x000D_
_x000D_
_x000D_
   Approach_x000D_
Use the methods that exist   they exist for a reason of course  Learning they exist so I use them is on me_x000D_
_x000D_
   How Has This Been Tested _x000D_
_x000D_
local jacocoTestReport to make sure it worked  then an import of a deck on an API28 emulator  Everything is still fine on the happy path but this is an exception fix of course_x000D_
_x000D_
I will continue watching acralyzer until I nail this one  it s our most frequent crash at the moment _x000D_
</t>
  </si>
  <si>
    <t>TeamNewPipe-NewPipe-3105</t>
  </si>
  <si>
    <t>Crash during share from Downloads inside app</t>
  </si>
  <si>
    <t xml:space="preserve">  photo 2020 02 17 09 45 34 (https:  user images githubusercontent com 6388034 74633427 4ee16900 516a 11ea 8878 5b6e34b7cb0e jpg)_x000D_
_x000D_
Steps to reproduce:_x000D_
_x000D_
1  Go to Downloads folder inside app via three dot button_x000D_
2  Click Share on any video_x000D_
  Inkedphoto 2020 02 17 09 49 18 LI (https:  user images githubusercontent com 6388034 74633726 f52d6e80 516a 11ea 8cac b6353a6373d5 jpg)_x000D_
3  Crash _x000D_
_x000D_
   Exception_x000D_
    User Action:   ui error_x000D_
    Request:   App crash  UI failure_x000D_
    Content Language:   GB_x000D_
    Service:   none_x000D_
    Version:   v0 18 3_x000D_
    OS:   Linux xiaomi onc onc:9 PKQ1 181021 001 V11 0 2 0 PFLMIXM:user release keys 9   28_x000D_
_x000D_
_x000D_
 details  summary  b Crash log  b   summary  p _x000D_
_x000D_
   _x000D_
android os FileUriExposedException: file:   storage emulated 0 Movies NewPipe  D0 9D D1 83 20 D0 B7 D0 B0 D1 87 D0 B5 D0 BC 20 D1 82 D1 8B 20 D0 BD D0 B0 20 D0 BD D0 BE D1 87 D1 8C 20 D0 B6 D1 80 D0 B5 D1 88 D1 8C 20  mp4 exposed beyond app through ClipData Item getUri()_x000D_
	at android os StrictMode onFileUriExposed(StrictMode java:1978)_x000D_
	at android net Uri checkFileUriExposed(Uri java:2371)_x000D_
	at android content ClipData prepareToLeaveProcess(ClipData java:963)_x000D_
	at android content Intent prepareToLeaveProcess(Intent java:10252)_x000D_
	at android content Intent prepareToLeaveProcess(Intent java:10258)_x000D_
	at android content Intent prepareToLeaveProcess(Intent java:10237)_x000D_
	at android app Instrumentation execStartActivity(Instrumentation java:1669)_x000D_
	at android app Activity startActivityForResult(Activity java:4651)_x000D_
	at androidx fragment app FragmentActivity startActivityForResult(FragmentActivity java:676)_x000D_
	at android app Activity startActivityForResult(Activity java:4609)_x000D_
	at androidx fragment app FragmentActivity startActivityForResult(FragmentActivity java:663)_x000D_
	at android app Activity startActivity(Activity java:4970)_x000D_
	at android app Activity startActivity(Activity java:4938)_x000D_
	at us shandian giga ui adapter MissionAdapter shareFile(MissionAdapter java:384)_x000D_
	at us shandian giga ui adapter MissionAdapter handlePopupItem(MissionAdapter java:661)_x000D_
	at us shandian giga ui adapter MissionAdapter access 200(MissionAdapter java:85)_x000D_
	at us shandian giga ui adapter MissionAdapter ViewHolderItem lambda buildPopup 3 MissionAdapter ViewHolderItem(MissionAdapter java:934)_x000D_
	at us shandian giga ui adapter    Lambda MissionAdapter ViewHolderItem RgJD8t6gH83XiFLVb3LGB9 h96A onMenuItemClick(Unknown Source:2)_x000D_
	at android widget PopupMenu 1 onMenuItemSelected(PopupMenu java:105)_x000D_
	at com android internal view menu MenuBuilder dispatchMenuItemSelected(MenuBuilder java:776)_x000D_
	at com android internal view menu MenuItemImpl invoke(MenuItemImpl java:148)_x000D_
	at com android internal view menu MenuBuilder performItemAction(MenuBuilder java:923)_x000D_
	at com android internal view menu MenuBuilder performItemAction(MenuBuilder java:913)_x000D_
	at com android internal view menu MenuPopup onItemClick(MenuPopup java:128)_x000D_
	at android widget AdapterView performItemClick(AdapterView java:318)_x000D_
	at android widget AbsListView performItemClick(AbsListView java:1198)_x000D_
	at android widget AbsListView PerformClick run(AbsListView java:3178)_x000D_
	at android widget AbsListView 3 run(AbsListView java:4132)_x000D_
	at android os Handler handleCallback(Handler java:873)_x000D_
	at android os Handler dispatchMessage(Handler java:99)_x000D_
	at android os Looper loop(Looper java:201)_x000D_
	at android app ActivityThread main(ActivityThread java:6810)_x000D_
	at java lang reflect Method invoke(Native Method)_x000D_
	at com android internal os RuntimeInit MethodAndArgsCaller run(RuntimeInit java:547)_x000D_
	at com android internal os ZygoteInit main(ZygoteInit java:873)_x000D_
_x000D_
   _x000D_
  p   details _x000D_
 hr _x000D_
 _x000D_
</t>
  </si>
  <si>
    <t>tinode-tindroid-78</t>
  </si>
  <si>
    <t>Nine patch drawable is sometimes missing</t>
  </si>
  <si>
    <t>Full description of the problem:_x000D_
https:  stackoverflow com questions 60251558 crash due to missing nine patch when the nine patch is present</t>
  </si>
  <si>
    <t>k3b-APhotoManager-167</t>
  </si>
  <si>
    <t>[CRASH] on removing an image</t>
  </si>
  <si>
    <t xml:space="preserve">  Describe the bug  _x000D_
delete image  inside Image Detail View  leads to immediate crash  It wasn t so before upgrade to 0 8 1 200212_x000D_
_x000D_
  Smartphone (please complete the following information):  _x000D_
   Android version : Android 7 1_x000D_
    A Photo Manager Version (https:  github com k3b APhotoManager releases) : 0 8 1 200212 F Droid_x000D_
_x000D_
  Crash Report  _x000D_
 androFotofinder logcat 20200217 045724 txt (https:  github com k3b APhotoManager files 4211931 androFotofinder logcat 20200217 045724 txt)_x000D_
</t>
  </si>
  <si>
    <t>ankidroid-Anki-Android-5758</t>
  </si>
  <si>
    <t xml:space="preserve">Filter Deck crashes </t>
  </si>
  <si>
    <t xml:space="preserve">       Reproduction Steps_x000D_
_x000D_
1   Tap on filtered deck _x000D_
2  Program crashes_x000D_
3  _x000D_
_x000D_
_x000D_
       Expected Result_x000D_
Deck to open_x000D_
(Last apk without this issue was 2 9 3 b1)_x000D_
_x000D_
       Actual Result_x000D_
_x000D_
_x000D_
_x000D_
       Debug info_x000D_
Refer to the  support page (https:  ankidroid org docs help html) if you are unsure where to get the  debug info  _x000D_
_x000D_
       Research_x000D_
 Enter an   x   character to confirm the points below: _x000D_
_x000D_
     I have read the  support page (https:  ankidroid org docs help html) and am reporting a bug or enhancement request specific to AnkiDroid_x000D_
_x000D_
     I have checked the  manual (https:  ankidroid org docs manual html) and the  FAQ (https:  github com ankidroid Anki Android wiki FAQ) and could not find a solution to my issue_x000D_
_x000D_
     I have searched for similar existing issues here and on the user forum_x000D_
_x000D_
</t>
  </si>
  <si>
    <t>material-components-material-components-android-1026</t>
  </si>
  <si>
    <t>When i update to 1.1.0 all my input layouts go wrong and crash app</t>
  </si>
  <si>
    <t xml:space="preserve">When i update to 1 1 0 all my input layouts go wrong and crash app  can anybody explain whats going on </t>
  </si>
  <si>
    <t>ankidroid-Anki-Android-5756</t>
  </si>
  <si>
    <t>Crash on preview of card added to dynamic deck</t>
  </si>
  <si>
    <t xml:space="preserve">_x000D_
Saw our first google auto test lab on new release crash report in a long time_x000D_
_x000D_
https:  play google com apps publish  account 5338425030304417978 pli 1 PreLaunchReportPlace:p com ichi2 anki plrtab CRASH plrvc 21000136_x000D_
_x000D_
_x000D_
       Reproduction Steps_x000D_
_x000D_
1  create a dynamic deck based on previewing ahead 1 day_x000D_
2  click the FAB button to add a note (should go to current   dynamic deck)_x000D_
3  in note editor click the the cards button at bottom to open template editor_x000D_
4  in template editor click the eyeball at the top to open the preview_x000D_
_x000D_
_x000D_
       Expected Result_x000D_
_x000D_
You should see a preview_x000D_
_x000D_
_x000D_
       Actual Result_x000D_
_x000D_
   _x000D_
2020 02 16 15:01:38 837 16674 16674 com ichi2 anki E AbstractFlashcardViewer: Unable to restoreCollectionPreferences_x000D_
    org json JSONException: No value for rev_x000D_
        at org json JSONObject get(JSONObject java:392)_x000D_
        at org json JSONObject getJSONObject(JSONObject java:612)_x000D_
        at com ichi2 anki AbstractFlashcardViewer restoreCollectionPreferences(AbstractFlashcardViewer java:1782)_x000D_
        at com ichi2 anki AbstractFlashcardViewer onCollectionLoaded(AbstractFlashcardViewer java:844)_x000D_
        at com ichi2 anki Previewer onCollectionLoaded(Previewer java:65)_x000D_
        at com ichi2 anki AnkiActivity startLoadingCollection(AnkiActivity java:261)_x000D_
        at com ichi2 anki Previewer onCreate(Previewer java:60)_x000D_
   _x000D_
_x000D_
_x000D_
So here s the questions:_x000D_
_x000D_
1  is it legal to add a card to a dynamic deck  seems like no  If no  should the FAB   add card actions toast that you can t add to a dynamic deck _x000D_
_x000D_
_x000D_
_x000D_
       Debug info_x000D_
Refer to the  support page (https:  ankidroid org docs help html) if you are unsure where to get the  debug info  _x000D_
_x000D_
       Research_x000D_
 Enter an   x   character to confirm the points below: _x000D_
_x000D_
     I have read the  support page (https:  ankidroid org docs help html) and am reporting a bug or enhancement request specific to AnkiDroid_x000D_
_x000D_
     I have checked the  manual (https:  ankidroid org docs manual html) and the  FAQ (https:  github com ankidroid Anki Android wiki FAQ) and could not find a solution to my issue_x000D_
_x000D_
     I have searched for similar existing issues here and on the user forum_x000D_
_x000D_
</t>
  </si>
  <si>
    <t>nextcloud-android-5481</t>
  </si>
  <si>
    <t>Continuous crashes (SQLiteBlobTooBigException) in FileSyncAdapter</t>
  </si>
  <si>
    <t xml:space="preserve">Many crashes  every day _x000D_
Started with client version   30090290   (if I remember well)  still occuring with version   30100190   _x000D_
_x000D_
Sync ing involves about   2300 files  dispersed over   260 folders  for a total of   4GB _x000D_
_x000D_
_x000D_
May be related to issues  3358    4409    4414  _x000D_
(all these issues were closed due to  staleness   but the problem is clearly not fixed) _x000D_
_x000D_
_x000D_
   _x000D_
             CAUSE OF ERROR             _x000D_
_x000D_
android database sqlite SQLiteBlobTooBigException: Row too big to fit into CursorWindow requiredPos 6758  totalRows 5122_x000D_
	at android database sqlite SQLiteConnection nativeExecuteForCursorWindow(Native Method)_x000D_
	at android database sqlite SQLiteConnection executeForCursorWindow(SQLiteConnection java:895)_x000D_
	at android database sqlite SQLiteSession executeForCursorWindow(SQLiteSession java:836)_x000D_
	at android database sqlite SQLiteQuery fillWindow(SQLiteQuery java:62)_x000D_
	at android database sqlite SQLiteCursor fillWindow(SQLiteCursor java:157)_x000D_
	at android database sqlite SQLiteCursor onMove(SQLiteCursor java:128)_x000D_
	at android database AbstractCursor moveToPosition(AbstractCursor java:237)_x000D_
	at android database AbstractCursor moveToNext(AbstractCursor java:269)_x000D_
	at com owncloud android providers FileContentProvider deleteDirectory(FileContentProvider java:190)_x000D_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deleteDirectory(FileContentProvider java:184)_x000D_
	at com owncloud android providers FileContentProvider delete(FileContentProvider java:134)_x000D_
	at com owncloud android providers FileContentProvider delete(FileContentProvider java:114)_x000D_
	at android content ContentProviderOperation apply(ContentProviderOperation java:299)_x000D_
	at com owncloud android providers FileContentProvider applyBatch(FileContentProvider java:669)_x000D_
	at android content ContentProvider Transport applyBatch(ContentProvider java:320)_x000D_
	at android content ContentProviderClient applyBatch(ContentProviderClient java:474)_x000D_
	at com owncloud android datamodel FileDataStorageManager saveFolder(FileDataStorageManager java:410)_x000D_
	at com owncloud android operations RefreshFolderOperation synchronizeData(RefreshFolderOperation java:478)_x000D_
	at com owncloud android operations RefreshFolderOperation fetchAndSyncRemoteFolder(RefreshFolderOperation java:369)_x000D_
	at com owncloud android operations RefreshFolderOperation run(RefreshFolderOperation java:228)_x000D_
	at com owncloud android lib common operations RemoteOperation execute(RemoteOperation java:181)_x000D_
	at com owncloud android syncadapter FileSyncAdapter synchronizeFolder(FileSyncAdapter java:268)_x000D_
	at com owncloud android syncadapter FileSyncAdapter syncChildren(FileSyncAdapter java:344)_x000D_
	at com owncloud android syncadapter FileSyncAdapter synchronizeFolder(FileSyncAdapter java:288)_x000D_
	at com owncloud android syncadapter FileSyncAdapter syncChildren(FileSyncAdapter java:344)_x000D_
	at com owncloud android syncadapter FileSyncAdapter synchronizeFolder(FileSyncAdapter java:288)_x000D_
	at com owncloud android syncadapter FileSyncAdapter syncChildren(FileSyncAdapter java:344)_x000D_
	at com owncloud android syncadapter FileSyncAdapter synchronizeFolder(FileSyncAdapter java:288)_x000D_
	at com owncloud android syncadapter FileSyncAdapter syncChildren(FileSyncAdapter java:344)_x000D_
	at com owncloud android syncadapter FileSyncAdapter synchronizeFolder(FileSyncAdapter java:288)_x000D_
	at com owncloud android syncadapter FileSyncAdapter onPerformSync(FileSyncAdapter java:180)_x000D_
	at android content AbstractThreadedSyncAdapter SyncThread run(AbstractThreadedSyncAdapter java:334)_x000D_
_x000D_
             APP INFORMATION             _x000D_
ID: com nextcloud client_x000D_
Version: 30100190_x000D_
Build flavor: generic_x000D_
_x000D_
             DEVICE INFORMATION             _x000D_
Brand: Xiaomi_x000D_
Device: davinci_x000D_
Model: Mi 9T_x000D_
Id: PQ3A 190801 002_x000D_
Product: lineage davinci_x000D_
_x000D_
             FIRMWARE             _x000D_
SDK: 28_x000D_
Release: 9_x000D_
Incremental: eng append 20191021 233716_x000D_
   _x000D_
 </t>
  </si>
  <si>
    <t>Firefds-FirefdsKit-7</t>
  </si>
  <si>
    <t xml:space="preserve">  Describe the bug  _x000D_
The app crashes after 3 seconds of being in it  despite the fact that the functions I enabled work  the standard phone app  settings  also crashes  All applications that are changed  as if they see that they are doing something indecent and fly out  The camera shows errors in the background  although it takes photos and saves them  Well  in the end  I note that the new reboot icons are a little out of style  although they are made very nicely_x000D_
_x000D_
  Device:  _x000D_
   Device:  Galaxy Note 10  _x000D_
   Chipset:  Exynos _x000D_
   Model:  SM G975F </t>
  </si>
  <si>
    <t>k9mail-k-9-4539</t>
  </si>
  <si>
    <t>Main UI constantly crash after updated to 5.704</t>
  </si>
  <si>
    <t xml:space="preserve">The notification and background sync still works  I can see folder check notices  But the UI won t open   always  unfortunately     has stopped   _x000D_
I am using F Droid build 5 704 _x000D_
Just updated to 5 705  this issue persists _x000D_
_x000D_
If I try to downgrade   I always get the  failed to  install  error after the package installer screen  Looks like I am stuck _x000D_
_x000D_
_x000D_
The crash log says:_x000D_
_x000D_
 _x000D_
2020 02 16 05:09:31_x000D_
PD1415D A 1 22 1_x000D_
versionName   5 705 versionCode   27005_x000D_
android content res Resources NotFoundException	String resource ID  0x2040003_x000D_
Resources java	338_x000D_
java lang RuntimeException: Unable to start activity ComponentInfo com fsck k9 com fsck k9 activity MessageList : android content res Resources NotFoundException: String resource ID  0x2040003 _x000D_
	at android app ActivityThread performLaunchActivity(ActivityThread java:2585)_x000D_
	at android app ActivityThread handleLaunchActivity(ActivityThread java:2659)_x000D_
	at android app ActivityThread access 900(ActivityThread java:188)_x000D_
	at android app ActivityThread H handleMessage(ActivityThread java:1521)_x000D_
	at android os Handler dispatchMessage(Handler java:111)_x000D_
	at android os Looper loop(Looper java:194)_x000D_
	at android app ActivityThread main(ActivityThread java:5714)_x000D_
	at java lang reflect Method invoke(Native Method)_x000D_
	at java lang reflect Method invoke(Method java:372)_x000D_
	at com android internal os ZygoteInit MethodAndArgsCaller run(ZygoteInit java:984)_x000D_
	at com android internal os ZygoteInit main(ZygoteInit java:779)_x000D_
Caused by: android content res Resources NotFoundException: String resource ID  0x2040003_x000D_
	at android content res Resources getText(Resources java:338)_x000D_
	at android content res VivoResources getText(VivoResources java:123)_x000D_
	at android content res Resources getString(Resources java:436)_x000D_
	at com android org chromium content browser ContentViewCore setContainerView(ContentViewCore java:694)_x000D_
	at com android org chromium content browser ContentViewCore initialize(ContentViewCore java:618)_x000D_
	at com android org chromium android webview AwContents createAndInitializeContentViewCore(AwContents java:674)_x000D_
	at com android org chromium android webview AwContents setNewAwContents(AwContents java:823)_x000D_
	at com android org chromium android webview AwContents  init (AwContents java:662)_x000D_
	at com android org chromium android webview AwContents  init (AwContents java:597)_x000D_
	at com android webview chromium WebViewChromium initForReal(WebViewChromium java:319)_x000D_
	at com android webview chromium WebViewChromium access 100(WebViewChromium java:104)_x000D_
	at com android webview chromium WebViewChromium 1 run(WebViewChromium java:271)_x000D_
	at com android webview chromium WebViewChromium WebViewChromiumRunQueue drainQueue(WebViewChromium java:131)_x000D_
	at com android webview chromium WebViewChromium WebViewChromiumRunQueue 1 run(WebViewChromium java:118)_x000D_
	at com android org chromium base ThreadUtils runOnUiThread(ThreadUtils java:144)_x000D_
	at com android webview chromium WebViewChromium WebViewChromiumRunQueue addTask(WebViewChromium java:115)_x000D_
	at com android webview chromium WebViewChromium init(WebViewChromium java:268)_x000D_
	at android webkit WebView  init (WebView java:591)_x000D_
	at android webkit WebView  init (WebView java:526)_x000D_
	at android webkit WebView  init (WebView java:509)_x000D_
	at android webkit WebView  init (WebView java:496)_x000D_
	at android webkit WebView  init (WebView java:486)_x000D_
	at de cketti library changelog ChangeLog getDialog(ChangeLog java:285)_x000D_
	at de cketti library changelog ChangeLog getLogDialog(ChangeLog java:263)_x000D_
	at com fsck k9 activity MessageList onCreate(MessageList java:268)_x000D_
	at android app Activity performCreate(Activity java:6176)_x000D_
	at android app Instrumentation callActivityOnCreate(Instrumentation java:1115)_x000D_
	at android app ActivityThread performLaunchActivity(ActivityThread java:2532)_x000D_
	    10 more_x000D_
_x000D_
 _x000D_
        </t>
  </si>
  <si>
    <t>ankidroid-Anki-Android-5755</t>
  </si>
  <si>
    <t>Fix add audio crashes</t>
  </si>
  <si>
    <t xml:space="preserve">   Pull Request template_x000D_
_x000D_
   Purpose   Description_x000D_
_x000D_
Add audio clips was a highly requested feature  and it worked structurally but failed when confronted with unexpected audio clip names or unexpected content resolver states (like  no results   it always expected one)_x000D_
_x000D_
Also the error handling and implementation of file copies were non standard_x000D_
_x000D_
   Fixes_x000D_
Fixes  5509 _x000D_
_x000D_
   Approach_x000D_
_x000D_
Best to review each commit separately as they are discrete and independently useful_x000D_
_x000D_
1  generalize the ability to show toasts (so we can inform users of audio clip issues)_x000D_
1  standardize the content file copy and error handling using existing helper function_x000D_
1  improve content resolver results handling in case results are empty or contain an audio clip with no file extensions_x000D_
_x000D_
_x000D_
   How Has This Been Tested _x000D_
_x000D_
I used an API29 emulator attached to a google play account so I could use my Google Drive as a source of audio files that would not be resolved to file paths _x000D_
_x000D_
I added two audio files  one with extension and one without to my google drive_x000D_
_x000D_
I verified crashes when attempting to add the audio file without an extension_x000D_
_x000D_
I verified everything works for both files after all the changes_x000D_
_x000D_
_x000D_
   Checklist_x000D_
_x000D_
   x  You have not changed whitespace unnecessarily (it makes diffs hard to read)_x000D_
   x  You have a descriptive commit message with a short title (first line  max 50 chars) _x000D_
   x  Your code follows the style of the project (e g  never omit braces in  if  statements) _x000D_
   x  You have commented your code  particularly in hard to understand areas_x000D_
   x  You have performed a self review of your own code_x000D_
</t>
  </si>
  <si>
    <t>fossasia-open-event-organizer-android-2076</t>
  </si>
  <si>
    <t>Deleted profile picture reappears</t>
  </si>
  <si>
    <t xml:space="preserve">  Describe the bug  _x000D_
     A clear and concise description of what the bug is     _x000D_
A deleted profile picture reappears after clicking the hamburger menu icon and is visible when going into My Account _x000D_
_x000D_
  To Reproduce  _x000D_
    Steps to reproduce the behavior:_x000D_
1  Go to      _x000D_
2  Click on       _x000D_
3  Scroll down to       _x000D_
4  See error    _x000D_
1  Go to My Account and add a profile picture _x000D_
2  Delete that profile picture _x000D_
3  Go back to the home page _x000D_
4  Click on the hamburger menu icon and go to my account _x000D_
_x000D_
  Expected behavior  _x000D_
     A clear and concise description of what you expected to happen     _x000D_
_x000D_
Profile picture should be deleted properly _x000D_
_x000D_
  Logs  _x000D_
     Please add logs in case of any crash or applicable error     _x000D_
_x000D_
  Screenshots  _x000D_
     If applicable  add screenshots to help explain your problem     _x000D_
_x000D_
  Peek 2020 02 15 20 01 (https:  user images githubusercontent com 32578617 74589788 687d9600 502e 11ea 8c72 91d2bd4d735a gif)_x000D_
_x000D_
  Smartphone Info:  _x000D_
     Please complete the following information    _x000D_
                   _x000D_
                   _x000D_
 Device                e g  Moto G5 Plus     Pixel 3 emulator _x000D_
 Android Version       e g  Oreo 8 1        Android 10  _x000D_
_x000D_
  Additional context  _x000D_
     Add any other context about the problem here     _x000D_
_x000D_
  Would you like to work on the issue   _x000D_
     Please let us know if you can work on it or the issue should be assigned to someone else     _x000D_
      Yes_x000D_
      No_x000D_
  Other: _x000D_
</t>
  </si>
  <si>
    <t>nextcloud-android-5479</t>
  </si>
  <si>
    <t>NC - Android client crashes when swiping images during full-img download</t>
  </si>
  <si>
    <t xml:space="preserve">    Steps to reproduce_x000D_
1  Open image folder and enlarge images  (Switch to full screen slide show)_x000D_
2  Swipe left and right_x000D_
3  If client offers to download original version of image as no smaller version is stored  do not answer  but swipe to another image  (Also had crashes w o step 3)_x000D_
4  Repeat a couple of times and client crashes_x000D_
_x000D_
    Expected behaviour_x000D_
Client should discard message  and display next image _x000D_
_x000D_
    Actual behaviour_x000D_
Client crashes  displays  cause of error  and dies  Error report says  out of memory  _x000D_
Ram never drops below 40    1 7 Gb free  (checked with RAM monitoring tool)_x000D_
_x000D_
    Environment data_x000D_
Android version: 6 01_x000D_
_x000D_
Device model: Lenovo YT3 X90F_x000D_
_x000D_
Stock or customized system: stock_x000D_
_x000D_
Nextcloud app version: 3 10 1_x000D_
_x000D_
Nextcloud server version: 17 0 2_x000D_
_x000D_
    Logs_x000D_
      Client error report_x000D_
Interesting (IMHO) information marked bold_x000D_
             CAUSE OF ERROR             _x000D_
_x000D_
java lang OutOfMemoryError: Failed to allocate a   44744716 byte   allocation with   12068672 free bytes   and 11MB until OOM_x000D_
	at dalvik system VMRuntime newNonMovableArray(Native Method)_x000D_
	at android graphics BitmapFactory nativeDecodeStream(Native Method)_x000D_
	at android graphics BitmapFactory decodeStreamInternal(BitmapFactory java:686)_x000D_
	at android graphics BitmapFactory decodeStream(BitmapFactory java:633)_x000D_
	at android graphics BitmapFactory decodeStream(BitmapFactory java:708)_x000D_
	at com owncloud android ui adapter DiskLruImageCache getBitmap(DiskLruImageCache java:121)_x000D_
	at com owncloud android datamodel ThumbnailsCacheManager getBitmapFromDiskCache(ThumbnailsCacheManager java:225)_x000D_
	at com owncloud android ui preview PreviewImageFragment onStart(PreviewImageFragment java:254)_x000D_
	at androidx fragment app Fragment performStart(Fragment java:2632)_x000D_
	at androidx fragment app FragmentManagerImpl moveToState(FragmentManagerImpl java:915)_x000D_
	at androidx fragment app FragmentManagerImpl performPendingDeferredStart(FragmentManagerImpl java:713)_x000D_
	at androidx fragment app FragmentManagerImpl startPendingDeferredFragments(FragmentManagerImpl java:1325)_x000D_
	at androidx fragment app FragmentManagerImpl doPendingDeferredStart(FragmentManagerImpl java:2178)_x000D_
	at androidx fragment app FragmentManagerImpl execSingleAction(FragmentManagerImpl java:1703)_x000D_
	at androidx fragment app BackStackRecord commitNowAllowingStateLoss(BackStackRecord java:299)_x000D_
	at androidx fragment app FragmentStatePagerAdapter finishUpdate(FragmentStatePagerAdapter java:259)_x000D_
	at androidx viewpager widget ViewPager populate(ViewPager java:1244)_x000D_
	at androidx viewpager widget ViewPager populate(ViewPager java:1092)_x000D_
	at androidx viewpager widget ViewPager 3 run(ViewPager java:273)_x000D_
	at androidx viewpager widget ViewPager completeScroll(ViewPager java:2005)_x000D_
	at androidx viewpager widget ViewPager scrollToItem(ViewPager java:692)_x000D_
	at androidx viewpager widget ViewPager setCurrentItemInternal(ViewPager java:670)_x000D_
	at androidx viewpager widget ViewPager setCurrentItemInternal(ViewPager java:631)_x000D_
	at androidx viewpager widget ViewPager dataSetChanged(ViewPager java:1086)_x000D_
	at androidx viewpager widget ViewPager PagerObserver onChanged(ViewPager java:3097)_x000D_
	at androidx viewpager widget PagerAdapter notifyDataSetChanged(PagerAdapter java:291)_x000D_
	at com owncloud android ui preview PreviewImageActivity DownloadFinishReceiver onReceive(PreviewImageActivity java:503)_x000D_
	at android app LoadedApk ReceiverDispatcher Args run(LoadedApk java:881)_x000D_
	at android os Handler handleCallback(Handler java:739)_x000D_
	at android os Handler dispatchMessage(Handler java:95)_x000D_
	at android os Looper loop(Looper java:148)_x000D_
	at android app ActivityThread main(ActivityThread java:5609)_x000D_
	at java lang reflect Method invoke(Native Method)_x000D_
	at com android internal os ZygoteInit MethodAndArgsCaller run(ZygoteInit java:746)_x000D_
	at com android internal os ZygoteInit main(ZygoteInit java:636)_x000D_
_x000D_
             APP INFORMATION             _x000D_
ID: com nextcloud client_x000D_
Version: 30100190_x000D_
Build flavor: gplay_x000D_
_x000D_
             DEVICE INFORMATION             _x000D_
Brand: Lenovo_x000D_
Device: YT3_x000D_
Model: Lenovo YT3 X90F_x000D_
Id: MMB29M_x000D_
Product: YT3 10 row wifi_x000D_
_x000D_
             FIRMWARE             _x000D_
SDK: 23_x000D_
Release: 6 0 1_x000D_
Incremental: YT3 X90F USR S200322 1706140050 WW17 BP ROW_x000D_
</t>
  </si>
  <si>
    <t>ElderDrivers-EdXposed-465</t>
  </si>
  <si>
    <t>[BUG] [OnePlus7TProNR] Cannot activate EdXposed: null java.lang.Class java.lang.Object.getClass()</t>
  </si>
  <si>
    <t xml:space="preserve">       What happened   _x000D_
EdXposed won t activate under YAFHA or SandHook on OnePlus 7T Pro McLaren T Mo running canary latest   YAFHA reports this logcat error  SandHook reports  458  _x000D_
           _x000D_
_x000D_
  Xposed     Xposed Module List  _x000D_
Fingerface (not enabled)_x000D_
Greenify (not enabled)_x000D_
_x000D_
     Screenshot allowed_x000D_
_x000D_
  Magisk     Magisk Module List  _x000D_
AOSP Pill v1 0_x000D_
QuickSwitch v3 0 8_x000D_
Riru v19 7_x000D_
EdXposed v0 4 6 1 (4504) tdgptedc YAFHA_x000D_
Substratum One Thousand Twenty Two_x000D_
_x000D_
     Screenshot allowed_x000D_
_x000D_
  EdXposed Riru   Versions of EdXposed and Riru  _x000D_
_x000D_
EdXposed: 0 4 6 1 4504 tdgptedc_x000D_
_x000D_
Riru: v19 7_x000D_
_x000D_
    Logcat Logcat  _x000D_
_x000D_
               log       It can help us to locate issue  must use our logcat module_x000D_
          beginning of head_x000D_
EdXposed Log_x000D_
Powered by Log Catcher_x000D_
QQ support group: 855219808_x000D_
Telegram support group:  Code Of MeowCat_x000D_
Telegram channel:  EdXposed_x000D_
          beginning of information_x000D_
Manufacturer: OnePlus_x000D_
Brand: OnePlus_x000D_
Device: OnePlus7TProNR_x000D_
Product: OnePlus7TProNR_x000D_
Model: HD1925_x000D_
Fingerprint: OnePlus OnePlus7TProNR OnePlus7TProNR:10 QKQ1 190716 003 2001101147:user release keys_x000D_
ROM description: OnePlus7TProNR user 10 QKQ1 190716 003 2001101147 release keys_x000D_
Architecture: arm64 v8a_x000D_
Android build: QKQ1 190716 003_x000D_
Android version: 10_x000D_
Android sdk: 29_x000D_
EdXposed version: v0 4 6 1 (4504) tdgptedc (YAHFA)_x000D_
EdXposed api: 90 0_x000D_
Riru version: v19 7 (29)_x000D_
Riru api: 4_x000D_
Magisk: 20 3:MAGISKSU (20300)_x000D_
          beginning of main_x000D_
          beginning of system_x000D_
02 14 16:27:25 857   859   859 I EdXposed: onModuleLoaded: welcome to EdXposed _x000D_
02 14 16:27:25 857   859   859 I EdXposed: Start to install inline hooks_x000D_
02 14 16:27:25 857   859   859 I EdXposed: Using api level 29_x000D_
02 14 16:27:25 857   859   859 I EdXposed: Start to install Riru hook_x000D_
02 14 16:27:25 867   859   859 I EdXposed: Riru hooks installed_x000D_
02 14 16:27:26 008   859   859 I EdXposed: ART hooks installed_x000D_
02 14 16:27:26 009   859   859 I EdXposed: system property get: dalvik vm dex2oat filter    quicken_x000D_
02 14 16:27:26 009   859   859 I EdXposed: system property get: dalvik vm dex2oat flags      inline max code units 0_x000D_
02 14 16:27:26 093   860   860 I EdXposed: onModuleLoaded: welcome to EdXposed _x000D_
02 14 16:27:26 093   860   860 I EdXposed: Start to install inline hooks_x000D_
02 14 16:27:26 093   860   860 I EdXposed: Using api level 29_x000D_
02 14 16:27:26 093   860   860 I EdXposed: Start to install Riru hook_x000D_
02 14 16:27:26 132   860   860 I EdXposed: Riru hooks installed_x000D_
02 14 16:27:26 307   860   860 I EdXposed: ART hooks installed_x000D_
02 14 16:27:26 307   860   860 I EdXposed: system property get: dalvik vm dex2oat filter    quicken_x000D_
02 14 16:27:26 307   860   860 I EdXposed: system property get: dalvik vm dex2oat flags      inline max code units 0_x000D_
02 14 16:27:26 389   859   859 I EdXposed: using installer org meowcat edxposed manager_x000D_
02 14 16:27:26 390   859   859 I EdXposed: application list mode: false  using whitelist: false_x000D_
02 14 16:27:26 390   859   859 I EdXposed: dynamic modules mode: false_x000D_
02 14 16:27:26 390   859   859 I EdXposed: resources hook: true_x000D_
02 14 16:27:26 390   859   859 I EdXposed: deopt boot image: false_x000D_
02 14 16:27:26 390   859   859 I EdXposed: no module log: false_x000D_
02 14 16:27:26 505   860   860 I EdXposed: using installer org meowcat edxposed manager_x000D_
02 14 16:27:26 505   860   860 I EdXposed: application list mode: false  using whitelist: false_x000D_
02 14 16:27:26 505   860   860 I EdXposed: dynamic modules mode: false_x000D_
02 14 16:27:26 505   860   860 I EdXposed: resources hook: true_x000D_
02 14 16:27:26 505   860   860 I EdXposed: deopt boot image: false_x000D_
02 14 16:27:26 505   860   860 I EdXposed: no module log: false_x000D_
          beginning of crash_x000D_
02 14 16:29:09 169 10524 10524 E EdXposed Bridge: java lang NullPointerException: Attempt to invoke virtual method  java lang Class java lang Object getClass()  on a null object reference_x000D_
02 14 16:29:09 169 10524 10524 E EdXposed Bridge: 	at de robv android xposed XposedHelpers getObjectField(XposedHelpers java:894)_x000D_
02 14 16:29:09 169 10524 10524 E EdXposed Bridge: 	at com elderdrivers riru edxp hooker XposedInstallerHooker 1 beforeHookedMethod(XposedInstallerHooker java:32)_x000D_
02 14 16:29:09 169 10524 10524 E EdXposed Bridge: 	at de robv android xposed XC MethodHook callBeforeHookedMethod(XC MethodHook java:51)_x000D_
02 14 16:29:09 169 10524 10524 E EdXposed Bridge: 	at EdHooker  hook(Unknown Source:87)_x000D_
02 14 16:29:09 169 10524 10524 E EdXposed Bridge: 	at org meowcat edxposed manager XposedApp onCreate(XposedApp java:187)_x000D_
02 14 16:29:09 169 10524 10524 E EdXposed Bridge: 	at org meowcat bugcatcher MeowCatApplication onCreate(MeowCatApplication java:20)_x000D_
02 14 16:29:09 169 10524 10524 E EdXposed Bridge: 	at android app Instrumentation callApplicationOnCreate(Instrumentation java:1197)_x000D_
02 14 16:29:09 169 10524 10524 E EdXposed Bridge: 	at android app ActivityThread handleBindApplication(ActivityThread java:6647)_x000D_
02 14 16:29:09 169 10524 10524 E EdXposed Bridge: 	at com elderdrivers riru edxp  hooker yahfa HandleBindAppHooker hook(HandleBindAppHooker java:21)_x000D_
02 14 16:29:09 169 10524 10524 E EdXposed Bridge: 	at android app ActivityThread access 1600(ActivityThread java:231)_x000D_
02 14 16:29:09 169 10524 10524 E EdXposed Bridge: 	at android app ActivityThread H handleMessage(ActivityThread java:1952)_x000D_
02 14 16:29:09 169 10524 10524 E EdXposed Bridge: 	at android os Handler dispatchMessage(Handler java:107)_x000D_
02 14 16:29:09 169 10524 10524 E EdXposed Bridge: 	at android os Looper loop(Looper java:214)_x000D_
02 14 16:29:09 169 10524 10524 E EdXposed Bridge: 	at android app ActivityThread main(ActivityThread java:7682)_x000D_
02 14 16:29:09 169 10524 10524 E EdXposed Bridge: 	at java lang reflect Method invoke(Native Method)_x000D_
02 14 16:29:09 169 10524 10524 E EdXposed Bridge: 	at com android internal os RuntimeInit MethodAndArgsCaller run(RuntimeInit java:516)_x000D_
02 14 16:29:09 169 10524 10524 E EdXposed Bridge: 	at com android internal os ZygoteInit main(ZygoteInit java:950)_x000D_
02 14 16:29:09 259 10524 10524 D EdXposedManager: EdXposed is not active_x000D_
02 14 16:29:09 259 10524 10524 D EdXposedManager: EdXposed is not active_x000D_
02 14 16:29:09 512 10524 10524 D EdXposedManager: EdXposed is not active_x000D_
</t>
  </si>
  <si>
    <t>MarquisLP-World-Scribe-43</t>
  </si>
  <si>
    <t>App crashes after selecting a storage location on some Android 10 devices</t>
  </si>
  <si>
    <t xml:space="preserve">Several users have said that the app crashes after they ve selected the app s storage location on the Permissions page _x000D_
_x000D_
I ve checked the Play Console logs and it would appear this is the culprit:_x000D_
   _x000D_
java lang RuntimeException: _x000D_
 _x000D_
  at android app ActivityThread deliverResults (ActivityThread java:5097)_x000D_
 _x000D_
  at android app ActivityThread handleSendResult (ActivityThread java:5138)_x000D_
 _x000D_
  at android app servertransaction ActivityResultItem execute (ActivityResultItem java:51)_x000D_
 _x000D_
  at android app servertransaction TransactionExecutor executeCallbacks (TransactionExecutor java:135)_x000D_
 _x000D_
  at android app servertransaction TransactionExecutor execute (TransactionExecutor java:95)_x000D_
 _x000D_
  at android app ActivityThread H handleMessage (ActivityThread java:2147)_x000D_
 _x000D_
  at android os Handler dispatchMessage (Handler java:107)_x000D_
 _x000D_
  at android os Looper loop (Looper java:237)_x000D_
 _x000D_
  at android app ActivityThread main (ActivityThread java:7811)_x000D_
 _x000D_
  at java lang reflect Method invoke (Native Method)_x000D_
 _x000D_
  at com android internal os RuntimeInit MethodAndArgsCaller run (RuntimeInit java:493)_x000D_
 _x000D_
  at com android internal os ZygoteInit main (ZygoteInit java:1076)_x000D_
_x000D_
Caused by: java lang NullPointerException: _x000D_
 _x000D_
  at com balda flipper DocumentFileCompat peekSubFolder (DocumentFileCompat java:85)_x000D_
 _x000D_
  at com averi worldscribe utilities ExternalReader worldAlreadyExists (ExternalReader java:74)_x000D_
 _x000D_
  at com averi worldscribe activities PermissionActivity goToNextActivity (PermissionActivity java:183)_x000D_
 _x000D_
  at com averi worldscribe activities PermissionActivity onActivityResult (PermissionActivity java:141)_x000D_
 _x000D_
  at android app Activity dispatchActivityResult (Activity java:8292)_x000D_
 _x000D_
  at android app ActivityThread deliverResults (ActivityThread java:5090)_x000D_
   _x000D_
_x000D_
So this is an issue either with Flipper  how the Permissions page calls it  or the way we retrieve the root tree URI on Android 10  devices  Given that the error is a  NullPointerException   it seems the latter might be true and causing us to get a null tree URI  As such  it might be worth looking into tree URIs in more detail </t>
  </si>
  <si>
    <t>ankidroid-Anki-Android-5752</t>
  </si>
  <si>
    <t>Avoid crashing if initialization of CustomTabs fails</t>
  </si>
  <si>
    <t xml:space="preserve">   Pull Request template_x000D_
_x000D_
   Purpose   Description_x000D_
_x000D_
Apparently you can get a SecurityException now when trying to use CustomTabs_x000D_
_x000D_
https:  couchdb ankidroid org acralyzer  design acralyzer index html  report details 42d35713 087d 43dd abfd e3f7a82ea8f2_x000D_
_x000D_
   _x000D_
java lang SecurityException: Not allowed to bind to service Intent   act android support customtabs action CustomTabsService pkg com chrome canary  _x000D_
at android app ContextImpl bindServiceCommon(ContextImpl java:1740)_x000D_
at android app ContextImpl bindService(ContextImpl java:1650)_x000D_
at android content ContextWrapper bindService(ContextWrapper java:705)_x000D_
at androidx browser customtabs CustomTabsClient bindCustomTabsService(CustomTabsClient java:3)_x000D_
at com ichi2 compat customtabs CustomTabActivityHelper bindCustomTabsService(CustomTabActivityHelper java:4)_x000D_
at com ichi2 anki AnkiActivity onStart(AnkiActivity java:2)_x000D_
at android app Instrumentation callActivityOnStart(Instrumentation java:1432)_x000D_
at android app Activity performStart(Activity java:7847)_x000D_
at android app ActivityThread handleStartActivity(ActivityThread java:3294)_x000D_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_x000D_
_x000D_
   Approach_x000D_
In the area the SecurityException would be thrown now  I catch it  de initialize the CustomTabs helper objects and set a static flag that init failed_x000D_
_x000D_
When callers try to open a custom tab later  this flag is consulted and results in using the fallback if there was a failure_x000D_
_x000D_
   How Has This Been Tested _x000D_
_x000D_
emulator API28   I was able to open the help link etc from within AnkiDroid after the changes  so normal CustomTabsClient things are working (the logcat contained evidence that CustomTabs was in use)_x000D_
_x000D_
hard to replicate the crash but I know fallback was working  so re using the fallback in the case of the exception should be safe_x000D_
_x000D_
   Learning (optional  can help others)_x000D_
_x000D_
There is no documentation anywhere that a SecurityException can be thrown there  Frustrating_x000D_
_x000D_
   Checklist_x000D_
 Please  go through these checks before submitting the PR  _x000D_
_x000D_
   x  You have not changed whitespace unnecessarily (it makes diffs hard to read)_x000D_
   x  You have a descriptive commit message with a short title (first line  max 50 chars) _x000D_
   x  Your code follows the style of the project (e g  never omit braces in  if  statements) _x000D_
   x  You have commented your code  particularly in hard to understand areas_x000D_
   x  You have performed a self review of your own code_x000D_
</t>
  </si>
  <si>
    <t>ankidroid-Anki-Android-5749</t>
  </si>
  <si>
    <t>Replace apache http remnant / Beolingus parse fix</t>
  </si>
  <si>
    <t xml:space="preserve">   Pull Request template_x000D_
_x000D_
   Purpose   Description_x000D_
_x000D_
I noticed a crash in 2 9 related to Apache HTTP client and it led me to discover there was one more Apache HTTP remnant in the HttpFetcher used to download pronunciation and translations _x000D_
_x000D_
https:  couchdb ankidroid org acralyzer  design acralyzer index html  report details 33a4184e c3d7 4b60 af73 ca68b02fdfbb_x000D_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Caused by: java lang IncompatibleClassChangeError: Class  org apache http conn ssl SSLSocketFactory  does not implement interface  org apache http conn scheme SchemeSocketFactory  in call to  java net Socket org apache http conn scheme SchemeSocketFactory createSocket(org apache http params HttpParams)  (declaration of  org apache http impl conn DefaultClientConnectionOperator  appears in base apk)_x000D_
at org apache http impl conn DefaultClientConnectionOperator openConnection(DefaultClientConnectionOperator java:13)_x000D_
at org apache http impl conn ManagedClientConnectionImpl open(ManagedClientConnectionImpl java:11)_x000D_
at org apache http impl client DefaultRequestDirector tryConnect(DefaultRequestDirector java:5)_x000D_
at org apache http impl client DefaultRequestDirector execute(DefaultRequestDirector java:31)_x000D_
at org apache http impl client AbstractHttpClient doExecute(AbstractHttpClient java:29)_x000D_
at org apache http impl client CloseableHttpClient execute(CloseableHttpClient java:7)_x000D_
at org apache http impl client CloseableHttpClient execute(CloseableHttpClient java:4)_x000D_
at com ichi2 anki web HttpFetcher fetchThroughHttp(HttpFetcher java:8)_x000D_
at com ichi2 anki multimediacard activity LoadPronounciationActivity BackgroundPost doInBackground(LoadPronounciationActivity java:2)_x000D_
at com ichi2 anki multimediacard activity LoadPronounciationActivity BackgroundPost doInBackground(LoadPronounciationActivity java:1)_x000D_
at android os AsyncTask 2 call(AsyncTask java:333)_x000D_
at java util concurrent FutureTask run(FutureTask java:266)_x000D_
   _x000D_
_x000D_
I additionally discovered  while testing  that Beolingus had changed their response text to include extra information after the word  so our pronunciation downloader was no longer matching it correctly  so no pronunciations were ever found for words that definitely had matches_x000D_
_x000D_
   Fixes_x000D_
Fixes  5376 by altering beolingus match to  contains  vs  equals _x000D_
_x000D_
   Approach_x000D_
Converts HttpFetcher to OkHTTP_x000D_
Converts online requests to HTTPS_x000D_
Fixes the matcher so beolingus works_x000D_
_x000D_
   How Has This Been Tested _x000D_
API28 emulator  it easily reproduced all the problems  and worked after making these changes_x000D_
_x000D_
   Learning (optional  can help others)_x000D_
 Describe the research stage _x000D_
_x000D_
 Links to blog posts  patterns  libraries or addons used to solve this problem _x000D_
_x000D_
   Checklist_x000D_
 Please  go through these checks before submitting the PR  _x000D_
_x000D_
   x  You have not changed whitespace unnecessarily (it makes diffs hard to read)_x000D_
   x  You have a descriptive commit message with a short title (first line  max 50 chars) _x000D_
   x  Your code follows the style of the project (e g  never omit braces in  if  statements) _x000D_
   x  You have commented your code  particularly in hard to understand areas_x000D_
   x  You have performed a self review of your own code_x000D_
</t>
  </si>
  <si>
    <t>ankidroid-Anki-Android-5748</t>
  </si>
  <si>
    <t>Avoid crash if collection closes while reminder is building</t>
  </si>
  <si>
    <t xml:space="preserve">https:  couchdb ankidroid org acralyzer  design acralyzer index html  report details 95855f86 64b7 4b29 be03 776c63135b1c_x000D_
_x000D_
   _x000D_
java lang RuntimeException: Unable to start receiver com ichi2 anki services ReminderService: java lang IllegalStateException: Cannot perform this operation because the connection pool has been closed _x000D_
at android app ActivityThread handleReceiver(ActivityThread java:3194)_x000D_
at android app ActivityThread  wrap17(Unknown Source:0)_x000D_
at android app ActivityThread H handleMessage(ActivityThread java:1672)_x000D_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Caused by: java lang IllegalStateException: Cannot perform this operation because the connection pool has been closed _x000D_
at io requery android database sqlite SQLiteConnectionPool throwIfClosedLocked(SQLiteConnectionPool java:2)_x000D_
at io requery android database sqlite SQLiteConnectionPool waitForConnection(SQLiteConnectionPool java:2)_x000D_
at io requery android database sqlite SQLiteConnectionPool acquireConnection(SQLiteConnectionPool java:1)_x000D_
at io requery android database sqlite SQLiteSession acquireConnection(SQLiteSession java:2)_x000D_
at io requery android database sqlite SQLiteSession executeForCursorWindow(SQLiteSession java:3)_x000D_
at io requery android database sqlite SQLiteQuery fillWindow(SQLiteQuery java:5)_x000D_
at io requery android database sqlite SQLiteCursor fillWindow(SQLiteCursor java:4)_x000D_
at io requery android database sqlite SQLiteCursor getCount(SQLiteCursor java:2)_x000D_
at io requery android database AbstractCursor moveToPosition(AbstractCursor java:1)_x000D_
at io requery android database AbstractCursor moveToNext(AbstractCursor java:1)_x000D_
at com ichi2 libanki DB queryScalar(DB java:3)_x000D_
at com ichi2 libanki DB queryScalar(DB java:1)_x000D_
at com ichi2 libanki Sched  lrnForDeck(Sched java:4)_x000D_
at com ichi2 libanki Sched deckDueList(Sched java:10)_x000D_
at com ichi2 libanki Sched deckDueTree(Sched java:1)_x000D_
at com ichi2 anki services ReminderService onReceive(ReminderService java:8)_x000D_
at android app ActivityThread handleReceiver(ActivityThread java:3187)_x000D_
   _x000D_
_x000D_
This shows up in the crash database for people with auto sync on startup _x000D_
that closes the database when it is done  at the same time the reminder could_x000D_
still be in process of being built _x000D_
_x000D_
Simple extract method refactor for the part of reminder build that touches_x000D_
the collection  and we give it one more try on reminder notification_x000D_
_x000D_
If that doesn t work  we at least don t crash now_x000D_
_x000D_
_x000D_
   How Has This Been Tested _x000D_
_x000D_
Difficult to reproduce because it is timing related  but the alteration still functions correctly on the happy path  and by visual inspection I m not sure how it could make things worse  while it should stop the crash_x000D_
_x000D_
   Learning (optional  can help others)_x000D_
_x000D_
_x000D_
_x000D_
   Checklist_x000D_
 Please  go through these checks before submitting the PR  _x000D_
_x000D_
      You have not changed whitespace unnecessarily (it makes diffs hard to read)_x000D_
      You have a descriptive commit message with a short title (first line  max 50 chars) _x000D_
      Your code follows the style of the project (e g  never omit braces in  if  statements) _x000D_
      You have commented your code  particularly in hard to understand areas_x000D_
      You have performed a self review of your own code_x000D_
</t>
  </si>
  <si>
    <t>barbeau-gpstest-373</t>
  </si>
  <si>
    <t>Crash on legacy GpsStatus devices</t>
  </si>
  <si>
    <t xml:space="preserve">  Summary:   _x000D_
_x000D_
On pre N devices  or if you uncheck  Settings  Use GNSS API   you ll get a crash:_x000D_
_x000D_
   _x000D_
java util MissingFormatArgumentException: _x000D_
  at java util Formatter format (Formatter java:2528)_x000D_
  at java util Formatter format (Formatter java:2458)_x000D_
  at java lang String format (String java:2814)_x000D_
  at android content res Resources getString (Resources java:467)_x000D_
  at com android gpstest GpsStatusFragment updateLegacyStatus (GpsStatusFragment java:647)_x000D_
  at com android gpstest GpsStatusFragment onGpsStatusChanged (GpsStatusFragment java:482)_x000D_
  at com android gpstest GpsTestActivity 4 onGpsStatusChanged (GpsTestActivity java:1063)_x000D_
  at android location LocationManager GnssStatusListenerTransport 1 onSatelliteStatusChanged (LocationManager java:1541)_x000D_
  at android location LocationManager GnssStatusListenerTransport GnssHandler handleMessage (LocationManager java:1490)_x000D_
  at android os Handler dispatchMessage (Handler java:106)_x000D_
  at android os Looper loop (Looper java:175)_x000D_
  at android app ActivityThread main (ActivityThread java:6724)_x000D_
  at java lang reflect Method invoke (Native Method)_x000D_
  at com android internal os RuntimeInit MethodAndArgsCaller run (RuntimeInit java:438)_x000D_
  at com android internal os ZygoteInit main (ZygoteInit java:810)_x000D_
   _x000D_
_x000D_
  Steps to reproduce:   _x000D_
_x000D_
On pre Android N device start app_x000D_
_x000D_
  Expected behavior:   _x000D_
_x000D_
Not crash_x000D_
_x000D_
  Observed behavior:   _x000D_
_x000D_
Crash_x000D_
_x000D_
  Device and Android version:   _x000D_
_x000D_
Pre Android N devices</t>
  </si>
  <si>
    <t>cgeo-cgeo-8126</t>
  </si>
  <si>
    <t>[Nightly] Live Map crash with OSM and OpenAndroMaps</t>
  </si>
  <si>
    <t xml:space="preserve">  Describe the bug:  _x000D_
When Live Map shows a reasonable amount of caches  moving the map around crashes the map _x000D_
_x000D_
  To Reproduce:  _x000D_
Steps to reproduce the behavior:_x000D_
1  open e  g  GC7NDVZ_x000D_
2  open map view by e  g  clicking listing page s compass rose_x000D_
3  select an offline map (I tested OSM and two different OpenAndroMaps)_x000D_
4  zoom out to a scale of 2 km_x000D_
5  activate  update map  (as for me I see 364 caches right now)_x000D_
6  move the map around a bit     (500 m west then 1000 back east is sufficient over here)_x000D_
7  crash     then listing page will be shown_x000D_
_x000D_
  Version of c:geo used:  _x000D_
2020 02 14 NB 7d86095_x000D_
_x000D_
  Is the problem reproducible:  _x000D_
Yes_x000D_
_x000D_
  System information:  _x000D_
   _x000D_
    System information    _x000D_
Device: VOG L29 (VOG L29EEA  HUAWEI)_x000D_
Android version: 10_x000D_
Android build: VOG L29 10 0 0 178(C431E19R2P5)_x000D_
c:geo version: 2020 02 14 NB 7d86095_x000D_
Google Play services: disabled   20 04 14 (120400 294335909)_x000D_
Low power mode: inactive_x000D_
Compass capabilities: yes_x000D_
Rotation vector sensor: present_x000D_
Orientation sensor: present_x000D_
Magnetometer   Accelerometer sensor: present_x000D_
Direction sensor used: rotation vector_x000D_
Hide own found: true_x000D_
HW acceleration: enabled (default state)_x000D_
System language: de DE_x000D_
System date format: dd MM yy_x000D_
Debug mode active: no_x000D_
System internal c:geo dir:  data user 0 cgeo geocaching (24 4 GB free) internal_x000D_
User storage c:geo dir:  storage emulated 0 cgeo (24 4 GB free) external non removable_x000D_
Geocache data:  storage emulated 0 Android data cgeo geocaching files GeocacheData (24 4 GB free) external non removable_x000D_
Database:  data user 0 cgeo geocaching databases data (263 9 MB) on system internal storage_x000D_
Fine location permission: granted_x000D_
Write external storage permission: granted_x000D_
Geocaching sites enabled:_x000D_
   geocaching com: Logged in (Anmeldung OK)   PREMIUM_x000D_
   extremcaching com: Logged in (Anmeldung OK)_x000D_
Geocaching com date format: dd MMM yy_x000D_
Installed c:geo plugins: contacts_x000D_
    End of system information    _x000D_
   _x000D_
_x000D_
  Additional context:  _x000D_
Maps used are current OSM (online) and OpenAndroMaps  Germany South  and  Baden Wuerttemberg  (offline) as of June 2019  as well as current BaW   freshly downloaded at http:  download openandromaps org mapsV4 Germany baden wuerttemberg zip (as of 29 01 2020)   the latter takes some more moves  but crashes at the end  too  The more caches are displayed  the sooner the map crashes </t>
  </si>
  <si>
    <t>StringCare-AndroidLibrary-75</t>
  </si>
  <si>
    <t>Gradle crash</t>
  </si>
  <si>
    <t>Gradle always crashes while using this obfuscator:_x000D_
Gradle build daemon disappeared unexpectedly (it may have been killed or may have crashed)</t>
  </si>
  <si>
    <t>opentok-opentok-react-native-382</t>
  </si>
  <si>
    <t>iOS Crash When Disconnecting</t>
  </si>
  <si>
    <t xml:space="preserve">On our iOS as soon as we end our call  it crashes  Has anyone experienced this </t>
  </si>
  <si>
    <t>opensrp-opensrp-client-giz-malawi-204</t>
  </si>
  <si>
    <t>App crashing when a user clicks on a child</t>
  </si>
  <si>
    <t xml:space="preserve">  Reproduction steps  _x000D_
_x000D_
  Create a user_x000D_
  Register BCG _x000D_
  Turn off BCG Scar reminder_x000D_
_x000D_
  Logs  _x000D_
   _x000D_
02 14 12:24:36 887 21904 21904 D AndroidRuntime: Shutting down VM_x000D_
02 14 12:24:36 887 21904 21904 E AndroidRuntime: FATAL EXCEPTION: main_x000D_
02 14 12:24:36 887 21904 21904 E AndroidRuntime: Process: org smartregister giz  PID: 21904_x000D_
02 14 12:24:36 887 21904 21904 E AndroidRuntime: java lang NullPointerException: Attempt to invoke virtual method  java lang String org smartregister child view LocationActionView getSelectedItem()  on a null object reference_x000D_
02 14 12:24:36 887 21904 21904 E AndroidRuntime: 	at org smartregister child toolbar LocationSwitcherToolbar getCurrentLocation(LocationSwitcherToolbar java:52)_x000D_
02 14 12:24:36 887 21904 21904 E AndroidRuntime: 	at org smartregister child activity BaseChildImmunizationActivity createDummyVaccine(BaseChildImmunizationActivity java:854)_x000D_
02 14 12:24:36 887 21904 21904 E AndroidRuntime: 	at org smartregister child activity BaseChildImmunizationActivity updateVaccinationViews(BaseChildImmunizationActivity java:791)_x000D_
02 14 12:24:36 887 21904 21904 E AndroidRuntime: 	at org smartregister child activity BaseChildImmunizationActivity access 2100(BaseChildImmunizationActivity java:125)_x000D_
02 14 12:24:36 887 21904 21904 E AndroidRuntime: 	at org smartregister child activity BaseChildImmunizationActivity UpdateViewTask onPostExecute(BaseChildImmunizationActivity java:1903)_x000D_
02 14 12:24:36 887 21904 21904 E AndroidRuntime: 	at org smartregister child activity BaseChildImmunizationActivity UpdateViewTask onPostExecute(BaseChildImmunizationActivity java:1804)_x000D_
02 14 12:24:36 887 21904 21904 E AndroidRuntime: 	at android os AsyncTask finish(AsyncTask java:695)_x000D_
02 14 12:24:36 887 21904 21904 E AndroidRuntime: 	at android os AsyncTask access 600(AsyncTask java:180)_x000D_
02 14 12:24:36 887 21904 21904 E AndroidRuntime: 	at android os AsyncTask InternalHandler handleMessage(AsyncTask java:712)_x000D_
02 14 12:24:36 887 21904 21904 E AndroidRuntime: 	at android os Handler dispatchMessage(Handler java:106)_x000D_
02 14 12:24:36 887 21904 21904 E AndroidRuntime: 	at android os Looper loop(Looper java:214)_x000D_
02 14 12:24:36 887 21904 21904 E AndroidRuntime: 	at android app ActivityThread main(ActivityThread java:7179)_x000D_
02 14 12:24:36 887 21904 21904 E AndroidRuntime: 	at java lang reflect Method invoke(Native Method)_x000D_
02 14 12:24:36 887 21904 21904 E AndroidRuntime: 	at com android internal os RuntimeInit MethodAndArgsCaller run(RuntimeInit java:494)_x000D_
02 14 12:24:36 887 21904 21904 E AndroidRuntime: 	at com android internal os ZygoteInit main(ZygoteInit java:975)_x000D_
02 14 12:24:36 960  3165  3165 D CustomFrequencyManagerService: releaseDVFSLockLocked : Getting Lock type frm List : DVFS MIN LIMIT  frequency : 1482000  uid : 1000  pid : 3165  tag : AMS RESUME TAIL CPU MIN 22_x000D_
02 14 12:24:37 000  3165 17599 D ConnectivityService: filterNetworkStateForUid() uid: 10616  pid: 21904_x000D_
02 14 12:24:37 000  3165 17599 D ConnectivityService: filterNetworkStateForUid() uid: 10616  pid: 21904  networkInfo:  type: WIFI    state: CONNECTED CONNECTED  reason: (unspecified)  extra: (none)  failover: false  available: true  roaming: false _x000D_
02 14 12:24:37 002 21904 21936 I System out: (HTTPLog) Static: isSBSettingEnabled false_x000D_
02 14 12:24:37 002 21904 21936 I System out: (HTTPLog) Static: isSBSettingEnabled false_x000D_
02 14 12:24:37 002  3165 13208 D Debug   :   DumpState : SHIP_x000D_
02 14 12:24:37 002  3165 13208 D Debug   :   DumpState : debug level:0x4f4c_x000D_
02 14 12:24:37 002  3165 13208 D Debug   :   Dumpstate : Finally  system will skip dumpstate_x000D_
02 14 12:24:37 003  3165 13208 W ActivityManager: crash : org smartregister giz 0_x000D_
02 14 12:24:37 005  2893  2990 D EnterpriseController: netId is 0_x000D_
02 14 12:24:37 005  3165 13208 W ActivityManager:   Force finishing activity org smartregister giz  activity ChildImmunizationActivity_x000D_
   </t>
  </si>
  <si>
    <t>readrops-Readrops-51</t>
  </si>
  <si>
    <t>Crash of the application on startup</t>
  </si>
  <si>
    <t xml:space="preserve">After installing from F droid  I managed to run the application one time  got the welcome screen where I selected add a local RSS  The application crashed  Since then  I can t even open it anymore  it crashes directly on startup _x000D_
_x000D_
Issue experienced on Android 6 0 1 with standard manufacturer ROM (Sony) _x000D_
_x000D_
Here s the  adb logcat  v threadtime  after a crash:_x000D_
_x000D_
   _x000D_
02 14 02:06:16 110  3822  3822 I Timeline: Timeline: Activity launch request id:com readrops app time:172667849_x000D_
02 14 02:06:16 111   925  4438 I ActivityManager: START u0  act android intent action MAIN cat  android intent category LAUNCHER  flg 0x10200000 cmp com readrops app  activities SplashActivity bnds  192 742  360 938   from uid 10110 on display 0_x000D_
02 14 02:06:16 156   925  3837 V BoostFramework: BoostFramework() : mPerf   com qualcomm qti Performance 1aa0df0_x000D_
02 14 02:06:16 156   925  3837 I ActivityManager: Start proc 4801:com readrops app u0a471 for activity com readrops app  activities SplashActivity_x000D_
02 14 02:06:16 248  4801  4801 W System  : ClassLoader referenced unknown path:  data app com readrops app 1 lib arm_x000D_
02 14 02:06:16 545  4801  4829 D OpenGLRenderer: Use EGL SWAP BEHAVIOR PRESERVED: true_x000D_
02 14 02:06:16 574  4801  4829 I Adreno EGL:  qeglDrvAPI eglInitialize:379 : EGL 1 4 QUALCOMM build: Nondeterministic AU msm8974 LA BF 1 1 3 RB1  release AU (I741a3d36ca)_x000D_
02 14 02:06:16 574  4801  4829 I Adreno EGL: OpenGL ES Shader Compiler Version: E031 29 00 00_x000D_
02 14 02:06:16 574  4801  4829 I Adreno EGL: Build Date: 04 04 16 Mon_x000D_
02 14 02:06:16 574  4801  4829 I Adreno EGL: Local Branch: mybranch19053788_x000D_
02 14 02:06:16 574  4801  4829 I Adreno EGL: Remote Branch: quic LA BF 1 1 3 rb1 12_x000D_
02 14 02:06:16 574  4801  4829 I Adreno EGL: Local Patches: NONE_x000D_
02 14 02:06:16 574  4801  4829 I Adreno EGL: Reconstruct Branch: NOTHING_x000D_
02 14 02:06:16 577  4801  4829 I OpenGLRenderer: Initialized EGL  version 1 4_x000D_
02 14 02:06:16 618  4801  4801 I Timeline: Timeline: Activity launch request id:com readrops app time:172668356_x000D_
02 14 02:06:16 618   925  3317 I ActivityManager: START u0  cmp com readrops app  activities MainActivity  from uid 10471 on display 0_x000D_
02 14 02:06:16 627   925  3848 W InputMethodManagerService: Focus gain on non focused client com android internal view IInputMethodClient Stub Proxy bbff487 (uid 10471 pid 4801)_x000D_
02 14 02:06:16 669   925   989 I Timeline: Timeline: Activity windows visible id: ActivityRecord 116b4a u0 com readrops app  activities SplashActivity t6284 f  time:172668408_x000D_
02 14 02:06:16 918  4801  4801 I art     : Rejecting re init on previously failed class java lang Class i l0 h b b _x000D_
02 14 02:06:16 918  4801  4801 I art     : Rejecting re init on previously failed class java lang Class i l0 h b b _x000D_
02 14 02:06:17 030  4801  4801 W ResourceType: Failure getting entry for 0x7f08006f (t 7 e 111) (error  75)_x000D_
02 14 02:06:17 030  4801  4801 D AndroidRuntime: Shutting down VM_x000D_
02 14 02:06:17 033  4801  4801 E AndroidRuntime: FATAL EXCEPTION: main_x000D_
02 14 02:06:17 033  4801  4801 E AndroidRuntime: Process: com readrops app  PID: 4801_x000D_
02 14 02:06:17 033  4801  4801 E AndroidRuntime: android content res Resources NotFoundException: Resource ID  0x7f08006f_x000D_
02 14 02:06:17 033  4801  4801 E AndroidRuntime: 	at android content res Resources getValue(Resources java:1358)_x000D_
02 14 02:06:17 033  4801  4801 E AndroidRuntime: 	at androidx appcompat widget i0 e()_x000D_
02 14 02:06:17 033  4801  4801 E AndroidRuntime: 	at androidx appcompat widget i0 a()_x000D_
02 14 02:06:17 033  4801  4801 E AndroidRuntime: 	at androidx appcompat widget i0 a()_x000D_
02 14 02:06:17 033  4801  4801 E AndroidRuntime: 	at d a k a a c()_x000D_
02 14 02:06:17 033  4801  4801 E AndroidRuntime: 	at androidx appcompat widget m a()_x000D_
02 14 02:06:17 033  4801  4801 E AndroidRuntime: 	at androidx appcompat widget AppCompatImageView setImageResource()_x000D_
02 14 02:06:17 033  4801  4801 E AndroidRuntime: 	at e c d p d a()_x000D_
02 14 02:06:17 033  4801  4801 E AndroidRuntime: 	at e c e k c a()_x000D_
02 14 02:06:17 033  4801  4801 E AndroidRuntime: 	at e c d b a()_x000D_
02 14 02:06:17 033  4801  4801 E AndroidRuntime: 	at com readrops app utils b c()_x000D_
02 14 02:06:17 033  4801  4801 E AndroidRuntime: 	at com readrops app utils b a()_x000D_
02 14 02:06:17 033  4801  4801 E AndroidRuntime: 	at com readrops app activities MainActivity a()_x000D_
02 14 02:06:17 033  4801  4801 E AndroidRuntime: 	at com readrops app activities s a(lambda)_x000D_
02 14 02:06:17 033  4801  4801 E AndroidRuntime: 	at androidx lifecycle LiveData b()_x000D_
02 14 02:06:17 033  4801  4801 E AndroidRuntime: 	at androidx lifecycle LiveData a()_x000D_
02 14 02:06:17 033  4801  4801 E AndroidRuntime: 	at androidx lifecycle LiveData b()_x000D_
02 14 02:06:17 033  4801  4801 E AndroidRuntime: 	at androidx lifecycle LiveData a run()_x000D_
02 14 02:06:17 033  4801  4801 E AndroidRuntime: 	at android os Handler handleCallback(Handler java:739)_x000D_
02 14 02:06:17 033  4801  4801 E AndroidRuntime: 	at android os Handler dispatchMessage(Handler java:95)_x000D_
02 14 02:06:17 033  4801  4801 E AndroidRuntime: 	at android os Looper loop(Looper java:234)_x000D_
02 14 02:06:17 033  4801  4801 E AndroidRuntime: 	at android app ActivityThread main(ActivityThread java:5526)_x000D_
02 14 02:06:17 033  4801  4801 E AndroidRuntime: 	at java lang reflect Method invoke(Native Method)_x000D_
02 14 02:06:17 033  4801  4801 E AndroidRuntime: 	at com android internal os ZygoteInit MethodAndArgsCaller run(ZygoteInit java:726)_x000D_
02 14 02:06:17 033  4801  4801 E AndroidRuntime: 	at com android internal os ZygoteInit main(ZygoteInit java:616)_x000D_
   </t>
  </si>
  <si>
    <t>SecUSo-privacy-friendly-solitaire-20</t>
  </si>
  <si>
    <t>Crash when clicked on empty card pile</t>
  </si>
  <si>
    <t xml:space="preserve">When the top card pile has no revealed card  clicking on that empty space crashes the game and returns to main menu </t>
  </si>
  <si>
    <t>nextcloud-android-5460</t>
  </si>
  <si>
    <t>crash in search</t>
  </si>
  <si>
    <t xml:space="preserve">    Steps to reproduce_x000D_
1  Open Nextcloud dev_x000D_
2  Open the subfolder  Documents _x000D_
3  Search_x000D_
_x000D_
    Expected behaviour_x000D_
  search the folder_x000D_
_x000D_
    Actual behaviour_x000D_
  The app crashes_x000D_
_x000D_
    Environment data_x000D_
Android version: 10 _x000D_
_x000D_
Device model: Xiaomi Mi 9SE_x000D_
_x000D_
Stock or customized system: Customized  Bliss Rom 12 3 (lineage based)_x000D_
_x000D_
Nextcloud app version: Version 20200212 dev_x000D_
_x000D_
Nextcloud server version: 17 02_x000D_
_x000D_
    Logs_x000D_
             CAUSE OF ERROR             _x000D_
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lang ClassCastException: java lang Object   cannot be cast to java lang Void  _x000D_
	at com owncloud android ui fragment OCFileListFragment 3 doInBackground(OCFileListFragment java:1537)_x000D_
	at android os AsyncTask 3 call(AsyncTask java:378)_x000D_
	at java util concurrent FutureTask run(FutureTask java:266)_x000D_
	    3 more_x000D_
_x000D_
             APP INFORMATION             _x000D_
ID: com nextcloud android beta_x000D_
Version: 20200212_x000D_
Build flavor: versionDev_x000D_
_x000D_
             DEVICE INFORMATION             _x000D_
Brand: Xiaomi_x000D_
Device: grus_x000D_
Model: MI 9 SE_x000D_
Id: QQ1D 200205 002_x000D_
Product: grus_x000D_
_x000D_
             FIRMWARE             _x000D_
SDK: 29_x000D_
Release: 10_x000D_
Incremental: eddcb44350_x000D_
</t>
  </si>
  <si>
    <t>opensrp-opensrp-client-reveal-644</t>
  </si>
  <si>
    <t>RVL-719: Hierarchy error messages after crash   Attach</t>
  </si>
  <si>
    <t xml:space="preserve">This has been seen across multiple release versions:_x000D_
_x000D_
After the app crashes  when the user tries to login again  they get the following error messages:_x000D_
_x000D_
   Fetching Structure: This operational area has not been defined in the system  Please try to sync your device  Please contact the system admin if that doesn t solve the issue noting the operational area number    Thailand test site BVBD1     _x000D_
_x000D_
  image (https:  user images githubusercontent com 25123762 74416961 fc950500 4e56 11ea 834b 911e7c055777 png)_x000D_
_x000D_
   Error Processing Locations Hierarchy: Error Processing Locations Hierarchy Log off to download location hierarchy again  _x000D_
  image (https:  user images githubusercontent com 25123762 74416950 f69f2400 4e56 11ea 97ef 9a970cf1fcf4 png)_x000D_
_x000D_
Once the user logs off and clears the data from the tablet  they are able to login again  However  they should not have to clear the data _x000D_
_x000D_
_x000D_
_x000D_
</t>
  </si>
  <si>
    <t>prebid-prebid-mobile-android-170</t>
  </si>
  <si>
    <t>Prebid SDK Crashes - g.b.a.s$a.run (PrebidServerSettings.java:1)</t>
  </si>
  <si>
    <t xml:space="preserve">  Fatal Exception: android content res Resources NotFoundException_x000D_
String resource ID  0x3040005  _x000D_
_x000D_
   _x000D_
android content res HwResources getText (HwResources java:1299)_x000D_
android content res Resources getString (Resources java:406)_x000D_
com android org chromium content browser ContentViewCore setContainerView (ContentViewCore java:733)_x000D_
com android org chromium content browser ContentViewCore initialize (ContentViewCore java:657)_x000D_
com android org chromium android webview AwContents createAndInitializeContentViewCore (AwContents java:649)_x000D_
com android org chromium android webview AwContents setNewAwContents (AwContents java:798)_x000D_
com android org chromium android webview AwContents  init  (AwContents java:634)_x000D_
com android org chromium android webview AwContents  init  (AwContents java:571)_x000D_
com android webview chromium WebViewChromium initForReal (WebViewChromium java:333)_x000D_
com android webview chromium WebViewChromium access 100 (WebViewChromium java:102)_x000D_
com android webview chromium WebViewChromium 1 run (WebViewChromium java:285)_x000D_
com android webview chromium WebViewChromium WebViewChromiumRunQueue drainQueue (WebViewChromium java:129)_x000D_
com android webview chromium WebViewChromium WebViewChromiumRunQueue 1 run (WebViewChromium java:116)_x000D_
com android org chromium base ThreadUtils runOnUiThread (ThreadUtils java:144)_x000D_
com android webview chromium WebViewChromium WebViewChromiumRunQueue addTask (WebViewChromium java:113)_x000D_
com android webview chromium WebViewChromium init (WebViewChromium java:282)_x000D_
android webkit WebView  init  (WebView java:554)_x000D_
android webkit WebView  init  (WebView java:489)_x000D_
android webkit WebView  init  (WebView java:472)_x000D_
android webkit WebView  init  (WebView java:459)_x000D_
android webkit WebView  init  (WebView java:449)_x000D_
  g b a s a run (PrebidServerSettings java:1)  _x000D_
android os Handler handleCallback (Handler java:739)_x000D_
android os Handler dispatchMessage (Handler java:95)_x000D_
android os Looper loop (Looper java:135)_x000D_
android app ActivityThread main (ActivityThread java:5593)_x000D_
java lang reflect Method invoke (Method java)_x000D_
java lang reflect Method invoke (Method java:372)_x000D_
com android internal os ZygoteInit MethodAndArgsCaller run (ZygoteInit java:960)_x000D_
com android internal os ZygoteInit main (ZygoteInit java:755)_x000D_
   _x000D_
_x000D_
  crash1 (https:  user images githubusercontent com 1017981 74409892 09eec700 4e38 11ea 9018 87951a250950 png)_x000D_
</t>
  </si>
  <si>
    <t>TeamNewPipe-NewPipe-3091</t>
  </si>
  <si>
    <t>java.net.MalformedURLException: unknown protocol: vnd.youtube</t>
  </si>
  <si>
    <t xml:space="preserve">If i click a YouTube link or thumbnail in an app like FeedMe or other RSS reader  NewPipe starts but crashes instantly with the error  org schabi newpipe extractor exceptions ParsingException: Malformed url: vnd youtube:thi73589  or some similar error  If I open the same link with standard YouTube app  the right video is opened  </t>
  </si>
  <si>
    <t>raphaelmue-travlyn-22</t>
  </si>
  <si>
    <t>Error handling on client side</t>
  </si>
  <si>
    <t xml:space="preserve">When an exception is thrown on client side (e g  when the server is not available)  the whole app crashed  An solution would be to implement a logic  that when e g  the class  ApiClient  raises an exception  this exception is caught  redirected to the respective Activity and the user is informed about the problem  _x000D_
Every activity implements the  Application  interface  which has a method  showErrrorDialog   This has to be called from the  ApiClient  class _x000D_
For each Exception class there has to be some kind of Formatter  that formats the exception message into an error message that the user can read  This might be implemented using polymorphism </t>
  </si>
  <si>
    <t>ankidroid-Anki-Android-5744</t>
  </si>
  <si>
    <t>Mathjax wrong api crash</t>
  </si>
  <si>
    <t xml:space="preserve">   Pull Request template_x000D_
_x000D_
   Purpose   Description_x000D_
_x000D_
The crash database had a good number of crashes like this:_x000D_
_x000D_
   _x000D_
java lang RuntimeException: An error occurred while executing doInBackground()_x000D_
at android os AsyncTask 3 done(AsyncTask java:309)_x000D_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java:234)_x000D_
at java util concurrent ThreadPoolExecutor runWorker(ThreadPoolExecutor java:1113)_x000D_
at java util concurrent ThreadPoolExecutor Worker run(ThreadPoolExecutor java:588)_x000D_
at java lang Thread run(Thread java:818)_x000D_
Caused by: java lang NoSuchMethodError: No virtual method group(Ljava lang String )Ljava lang String  in class Ljava util regex Matcher  or its super classes (declaration of  java util regex Matcher  appears in  system framework core libart jar)_x000D_
at com ichi2 libanki template Template removeFormattingFromMathjax(Template java:12)_x000D_
at com ichi2 libanki template Template clozeText(Template java:2)_x000D_
   _x000D_
_x000D_
Turns out PR  5673 used an API26 regex API and I we did not catch it_x000D_
_x000D_
_x000D_
   Approach_x000D_
I added a lint job that will fail NewApi lint violations_x000D_
I modified the regex API usage to use numbered matches_x000D_
_x000D_
   How Has This Been Tested _x000D_
_x000D_
I demonstrated the NewApi failure first: https:  travis ci com mikehardy Anki Android jobs 286172124_x000D_
There is a unit test for the mathjax code  which is very helpful  so I verified that failed modifying the regex in a deliberately incorrect way  then verified it worked after what I believe is the appropriate edit to use numbered groups_x000D_
_x000D_
 agentydragon   it would be nice if you looked at the modified regex to make sure I didn t do anything braindead  I m handy enough with regex to know that I am no master</t>
  </si>
  <si>
    <t>ankidroid-Anki-Android-5743</t>
  </si>
  <si>
    <t>Fix ImportDialog IllegalStateException crash</t>
  </si>
  <si>
    <t xml:space="preserve">_x000D_
   _x000D_
java lang IllegalStateException: Can not perform this action after onSaveInstanceState_x000D_
at androidx fragment app FragmentManagerImpl checkStateLoss(FragmentManagerImpl java:2)_x000D_
at androidx fragment app FragmentManagerImpl enqueueAction(FragmentManagerImpl java:1)_x000D_
at androidx fragment app BackStackRecord commitInternal(BackStackRecord java:12)_x000D_
at androidx fragment app BackStackRecord commit(BackStackRecord java:1)_x000D_
at androidx fragment app DialogFragment show(DialogFragment java:10)_x000D_
at com ichi2 anki AnkiActivity showDialogFragment(AnkiActivity java:5)_x000D_
at com ichi2 anki DeckPicker showImportDialog(DeckPicker java:13)_x000D_
at com ichi2 anki dialogs DialogHandler handleMessage(DialogHandler java:6)_x000D_
at android os Handler dispatchMessage(Handler java:106)_x000D_
at android os Looper loop(Looper java:201)_x000D_
at android app ActivityThread main(ActivityThread java:6820)_x000D_
   _x000D_
_x000D_
It appears ImportDialog can be requested in an async manner now from the_x000D_
system file picker  and attempting to show the dialog when the Activity_x000D_
has gone away results in a crash _x000D_
_x000D_
This is a simple conversion to an AsyncDialogFragment so we can gracefully_x000D_
toast a message instead of crashing_x000D_
_x000D_
I am unable to reproduce this but the crash reporting system is littered with it  and all the async infrastructure exists  so it seems sensible to fix_x000D_
_x000D_
   How Has This Been Tested _x000D_
_x000D_
On an API28 emulator I exported and imported a bunch of times to make sure normal imports still worked _x000D_
</t>
  </si>
  <si>
    <t>Blockstream-green_android-80</t>
  </si>
  <si>
    <t>Scanning invalid BIP21 QR code will crash the app</t>
  </si>
  <si>
    <t xml:space="preserve">    Description_x000D_
_x000D_
Scanning invalid BIP21 QR code will crash the app_x000D_
_x000D_
    Version_x000D_
_x000D_
3 3 3 _x000D_
_x000D_
    Steps to reproduce_x000D_
_x000D_
Try scanning this_x000D_
_x000D_
  image (https:  user images githubusercontent com 7997682 74275038 2a583d80 4ce1 11ea 9c57 fadb93d2d2b8 png)_x000D_
_x000D_
From: liquidnetwork:VJL7E61zyx4M93gPgWMZvKEDrYssZqikmkYxoehKmzbJXeXP7DCRETbvnbmomxrEG942RKTkkhCrRHG6 amount 0 00000001 assetid L BTC_x000D_
_x000D_
    Expected behaviour_x000D_
_x000D_
Was expecting  Invalid Address _x000D_
_x000D_
    Actual behaviour_x000D_
_x000D_
Pop up appears every time_x000D_
 Green keeps stopping  _x000D_
  App Info_x000D_
  Close app_x000D_
  Send feedback _x000D_
_x000D_
    Device or machine_x000D_
_x000D_
Pixel 3_x000D_
_x000D_
    Additional info_x000D_
_x000D_
This other invalid URI gave me  invalid address   but the above URI just makes the app crash_x000D_
_x000D_
liquidnetwork: VJL7E61zyx4M93gPgWMZvKEDrYssZqikmkYxoehKmzbJXeXP7DCRETbvnbmomxrEG942RKTkkhCrRHG6  amount 0 0000001 assetid  6f0279e9ed041c3d710a9f57d0c02928416460c4b722ae3457a11eec381c526d _x000D_
</t>
  </si>
  <si>
    <t>nextcloud-android-5456</t>
  </si>
  <si>
    <t>Crash app version dev</t>
  </si>
  <si>
    <t>After entering  Favorites  or  Shared  the app crashes _x000D_
   _x000D_
             CAUSE OF ERROR             _x000D_
_x000D_
java lang RuntimeException: An error occurred while executing doInBackground()_x000D_
	at android os AsyncTask 3 done(AsyncTask java:309)_x000D_
	at java util concurrent FutureTask finishCompletion(FutureTask java:354)_x000D_
	at java util concurrent FutureTask setException(FutureTask java:223)_x000D_
	at java util concurrent FutureTask run(FutureTask java:242)_x000D_
	at java util concurrent ThreadPoolExecutor runWorker(ThreadPoolExecutor java:1113)_x000D_
	at java util concurrent ThreadPoolExecutor Worker run(ThreadPoolExecutor java:588)_x000D_
	at java lang Thread run(Thread java:818)_x000D_
Caused by: java lang ClassCastException: java lang Object   cannot be cast to java lang Void  _x000D_
	at com owncloud android ui fragment OCFileListFragment 3 doInBackground(OCFileListFragment java:1537)_x000D_
	at android os AsyncTask 2 call(AsyncTask java:295)_x000D_
	at java util concurrent FutureTask run(FutureTask java:237)_x000D_
	    3 more_x000D_
_x000D_
             APP INFORMATION             _x000D_
ID: com nextcloud android beta_x000D_
Version: 20200211_x000D_
Build flavor: versionDev_x000D_
   _x000D_
_x000D_
    Environment data_x000D_
Android version: 6_x000D_
_x000D_
Nextcloud app version: dev 20200211_x000D_
_x000D_
Nextcloud server version: 18 0 0</t>
  </si>
  <si>
    <t>getodk-collect-3635</t>
  </si>
  <si>
    <t>Error when form with reference to last-saved instance is downloaded</t>
  </si>
  <si>
    <t xml:space="preserve">     Software and hardware versions _x000D_
Collect v1 25 1_x000D_
_x000D_
     Problem description_x000D_
When a form with a reference to the last saved instance is downloaded  the last saved instance isn t created so there s a crash when Collect tries to build a FormDef to get the geo coordinate for mapping _x000D_
_x000D_
See  user report (https:  forum opendatakit org t xlsform spec proposal add syntax to make it easy to use a value from the last saved instance 18814 37 u ln) _x000D_
_x000D_
     Steps to reproduce the problem_x000D_
1  Create a form with a reference to the last saved instance such as _x000D_
 neighborhood last saved xlsx (https:  github com opendatakit collect files 4187385 neighborhood last saved xlsx)_x000D_
1  Upload it to a server_x000D_
1  Download it from Collect_x000D_
_x000D_
     Expected behavior_x000D_
Downloading form with last saved works _x000D_
</t>
  </si>
  <si>
    <t>nextcloud-android-5454</t>
  </si>
  <si>
    <t>(Auto sync) App crashes when trying to create a folder for auto upload</t>
  </si>
  <si>
    <t>Hi _x000D_
_x000D_
When you want to automatically synchronize your files in  Auto upload   and specify you want to create a folder instead of using default  remote folder   it opens an  explorer instance  in which you can create or choose a folder _x000D_
_x000D_
If you try to create a folder  the app crashes and indicates this error :_x000D_
_x000D_
   _x000D_
2020 02 11 18:27:43 753 19347 19347 com nextcloud client E AndroidRuntime: FATAL EXCEPTION: main_x000D_
    Process: com nextcloud client  PID: 19347_x000D_
    java lang NullPointerException: Attempt to invoke virtual method  java lang String com owncloud android datamodel OCFile getRemotePath()  on a null object reference_x000D_
        at com owncloud android ui dialog CreateFolderDialogFragment onClick(CreateFolderDialogFragment java:140)_x000D_
        at androidx appcompat app AlertController ButtonHandler handleMessage(AlertController java:167)_x000D_
        at android os Handler dispatchMessage(Handler java:106)_x000D_
        at android os Looper loop(Looper java:214)_x000D_
        at android app ActivityThread main(ActivityThread java:7050)_x000D_
        at java lang reflect Method invoke(Native Method)_x000D_
        at com android internal os RuntimeInit MethodAndArgsCaller run(RuntimeInit java:494)_x000D_
        at com android internal os ZygoteInit main(ZygoteInit java:965)_x000D_
    _x000D_
_x000D_
So  you can t create a folder in which auto sync your pictures</t>
  </si>
  <si>
    <t>nextcloud-android-5453</t>
  </si>
  <si>
    <t>App crashes when trying to login with 2FA notifications enabled</t>
  </si>
  <si>
    <t xml:space="preserve">    Steps to reproduce_x000D_
1  Open Nextcloud Android App_x000D_
2  Start Login Process in a new browser window with 2FA activated and notifications activated_x000D_
3  See what happens to the android app_x000D_
_x000D_
    Expected behaviour_x000D_
  App should not crash  but show the notification to accept the login_x000D_
_x000D_
    Actual behaviour_x000D_
  App Crashes_x000D_
_x000D_
    Environment data_x000D_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java:919)_x000D_
Caused by: java lang ClassNotFoundException: com google firebase analytics connector AnalyticsConnector_x000D_
	    8 more_x000D_
_x000D_
             APP INFORMATION             _x000D_
ID: com nextcloud client_x000D_
Version: 30100190_x000D_
Build flavor: gplay_x000D_
_x000D_
             DEVICE INFORMATION             _x000D_
Brand: Xiaomi_x000D_
Device: dipper_x000D_
Model: MI 8_x000D_
Id: QQ1D 200105 002_x000D_
Product: dipper_x000D_
_x000D_
             FIRMWARE             _x000D_
SDK: 29_x000D_
Release: 10_x000D_
Incremental: eng zenix 20200201 164126_x000D_
_x000D_
Nextcloud server version: 17 0 2_x000D_
_x000D_
    Logs_x000D_
     Web server error log_x000D_
   _x000D_
 notifications  Info: GuzzleHttp Exception ClientException: Client error:  POST https:  push notifications nextcloud com notifications  resulted in a  400 Bad Request  response:_x000D_
_x000D_
_x000D_
 at   closure  _x000D_
_x000D_
 0   var www html 3rdparty guzzlehttp guzzle src Middleware php line 66_x000D_
    GuzzleHttp Exception RequestException::create(GuzzleHttp Psr7 Request          sensitive parameter replaced     )_x000D_
 1   var www html 3rdparty guzzlehttp promises src Promise php line 203_x000D_
    GuzzleHttp Middleware::GuzzleHttp  closure (     sensitive parameters replaced     )_x000D_
 2   var www html 3rdparty guzzlehttp promises src Promise php line 156_x000D_
    GuzzleHttp Promise Promise::callHandler(1       sensitive parameter replaced        GuzzleHttp Prom     l )_x000D_
 3   var www html 3rdparty guzzlehttp promises src TaskQueue php line 47_x000D_
    GuzzleHttp Promise Promise::GuzzleHttp Promise  closure (     sensitive parameters replaced     )_x000D_
 4   var www html 3rdparty guzzlehttp promises src Promise php line 246_x000D_
    GuzzleHttp Promise TaskQueue  run(true)_x000D_
 5   var www html 3rdparty guzzlehttp promises src Promise php line 223_x000D_
    GuzzleHttp Promise Promise  invokeWaitFn()_x000D_
 6   var www html 3rdparty guzzlehttp promises src Promise php line 267_x000D_
    GuzzleHttp Promise Promise  waitIfPending()_x000D_
 7   var www html 3rdparty guzzlehttp promises src Promise php line 225_x000D_
    GuzzleHttp Promise Promise  invokeWaitList()_x000D_
 8   var www html 3rdparty guzzlehttp promises src Promise php line 62_x000D_
    GuzzleHttp Promise Promise  waitIfPending()_x000D_
 9   var www html 3rdparty guzzlehttp guzzle src Client php line 131_x000D_
    GuzzleHttp Promise Promise  wait()_x000D_
10   var www html lib private Http Client Client php line 212_x000D_
    GuzzleHttp Client  request( post    https:  push no     s    proxy: null ver     e )_x000D_
11   var www html apps notifications lib Push php line 143_x000D_
    OC Http Client Client  post( https:  push no     s    form params:  n       )_x000D_
12   var www html apps notifications lib App php line 50_x000D_
    OCA Notifications Push  pushToDevice(78  OC Notification Notification   )_x000D_
13   var www html lib private Notification Manager php line 214_x000D_
    OCA Notifications App  notify(OC Notification Notification   )_x000D_
14   var www html custom apps twofactor nextcloud notification lib Service NotificationManager php line 62_x000D_
    OC Notification Manager  notify(OC Notification Notification   )_x000D_
15   var www html custom apps twofactor nextcloud notification lib Service TokenManager php line 99_x000D_
    OCA TwoFactorNextcloudNotification Service NotificationManager  newNotification(OCA TwoFactorNex     1 )_x000D_
16   var www html custom apps twofactor nextcloud notification lib Provider NotificationProvider php line 98_x000D_
    OCA TwoFactorNextcloudNotification Service TokenManager  generate(      )_x000D_
17   var www html core Controller TwoFactorChallengeController php line 158_x000D_
    OCA TwoFactorNextcloudNotification Provider NotificationProvider  getTemplate(OC User User   )_x000D_
18   var www html lib private AppFramework Http Dispatcher php line 170_x000D_
    OC Core Controller TwoFactorChallengeController  showChallenge( twofactor nextcloud notification   null)_x000D_
19   var www html lib private AppFramework Http Dispatcher php line 99_x000D_
    OC AppFramework Http Dispatcher  executeController(OC Core Controll          showChallenge )_x000D_
20   var www html lib private AppFramework App php line 126_x000D_
    OC AppFramework Http Dispatcher  dispatch(OC Core Controll          showChallenge )_x000D_
21   var www html lib private AppFramework Routing RouteActionHandler php line 47_x000D_
    OC AppFramework App::main( OC  Core  Contr     r    showChallenge   OC AppFramework           challengeProvid       )_x000D_
22    closure  _x000D_
    OC AppFramework Routing RouteActionHandler    invoke( challengeProvid       )_x000D_
23   var www html lib private Route Router php line 297_x000D_
    undefinedundefinedcall user func(OC AppFramework           challengeProvid       )_x000D_
24   var www html lib base php line 997_x000D_
    OC Route Router  match(  login challeng     n )_x000D_
25   var www html index php line 42_x000D_
    OC::handleRequest()_x000D_
_x000D_
GET  login challenge twofactor nextcloud notification_x000D_
from 94 114 48 226 by      at 2020 02 11T17:05:23 00:00_x000D_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</si>
  <si>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nextcloud-android-5452</t>
  </si>
  <si>
    <t>concerning #5331</t>
  </si>
  <si>
    <t xml:space="preserve">    Steps to reproduce_x000D_
1  _x000D_
2  _x000D_
3  _x000D_
_x000D_
    Expected behaviour_x000D_
  Tell us what should happen_x000D_
stable version_x000D_
    Actual behaviour_x000D_
  Tell us what happens_x000D_
app crashed_x000D_
    Environment data_x000D_
Android version:_x000D_
7 1_x000D_
Device model: _x000D_
SM J510FN  successor of Medion Tablet of case  5331_x000D_
Stock or customized system:_x000D_
_x000D_
Nextcloud app version:_x000D_
dev version installed with reference to bug  5331  parallel installation with version 3 9  as Tobias suggested in his response mail of 11 2 2020_x000D_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</si>
  <si>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ramack-ActivityDiary-285</t>
  </si>
  <si>
    <t>``NumberFormatException`` and can never open the setting page anymore</t>
  </si>
  <si>
    <t xml:space="preserve">This exception was found on the master (v1 4 0  the latest code version) and a Google Android phone  _x000D_
_x000D_
STR:  Go to setting  click   Location Service    choose   Network    open   Update period    delete the default value  5  (leave the EditText empty)  and click   OK   _x000D_
_x000D_
The exception trace:_x000D_
_x000D_
   _x000D_
java lang NumberFormatException: Invalid int:   _x000D_
 	at java lang Integer invalidInt(Integer java:138)_x000D_
 	at java lang Integer parseInt(Integer java:358)_x000D_
 	at java lang Integer parseInt(Integer java:334)_x000D_
 	at de rampro activitydiary ui settings SettingsActivity updateLocationAge(SettingsActivity java:238)_x000D_
 	at de rampro activitydiary ui settings SettingsActivity onSharedPreferenceChanged(SettingsActivity java:135)_x000D_
 	at android app SharedPreferencesImpl EditorImpl notifyListeners(SharedPreferencesImpl java:479)_x000D_
 	at android app SharedPreferencesImpl EditorImpl apply(SharedPreferencesImpl java:387)_x000D_
 	at android support v7 preference Preference tryCommit(Preference java:1613)_x000D_
 	at android support v7 preference Preference persistString(Preference java:1644)_x000D_
 	at android support v7 preference EditTextPreference setText(EditTextPreference java:69)_x000D_
 	at android support v7 preference EditTextPreferenceDialogFragmentCompat onDialogClosed(EditTextPreferenceDialogFragmentCompat java:96)_x000D_
 	at android support v7 preference PreferenceDialogFragmentCompat onDismiss(PreferenceDialogFragmentCompat java:270)_x000D_
 	at android app Dialog ListenersHandler handleMessage(Dialog java:1323)_x000D_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_x000D_
Once this issue happens  the   setting   page cannot be opened  and the app crashes with the exception trace below _x000D_
_x000D_
   _x000D_
java lang RuntimeException: Unable to start activity ComponentInfo de rampro activitydiary debug de rampro activitydiary ui settings SettingsActivity : java lang NumberFormatException: Invalid int:   _x000D_
 	at android app ActivityThread performLaunchActivity(ActivityThread java:2416)_x000D_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NumberFormatException: Invalid int:   _x000D_
 	at java lang Integer invalidInt(Integer java:138)_x000D_
 	at java lang Integer parseInt(Integer java:358)_x000D_
 	at java lang Integer parseInt(Integer java:334)_x000D_
 	at de rampro activitydiary ui settings SettingsActivity updateLocationAge(SettingsActivity java:238)_x000D_
 	at de rampro activitydiary ui settings SettingsActivity onCreate(SettingsActivity java:471)_x000D_
 	at android app Activity performCreate(Activity java:6237)_x000D_
 	at android app Instrumentation callActivityOnCreate(Instrumentation java:1107)_x000D_
 	at android app ActivityThread performLaunchActivity(ActivityThread java:2369)_x000D_
 	    9 more_x000D_
   </t>
  </si>
  <si>
    <t>maks-MGit-500</t>
  </si>
  <si>
    <t>Unable to init  empty local folder as Repo</t>
  </si>
  <si>
    <t xml:space="preserve">Dear Sir_x000D_
_x000D_
i use   Google Player Version    laster one master version   _x000D_
 commit : 17cb611e1b1b70c0fc402263ace10211dfb0478d_x000D_
_x000D_
when i finish install app_x000D_
_x000D_
PS  use default root folder path      storage emulated 0 _x000D_
_x000D_
i   Google Play   Version :  click  setting ( right up   three points )       Clone      Local ptah     input abc (abc is repo folder name)     select  Init Local      click  INIT      _x000D_
_x000D_
or _x000D_
_x000D_
Git master branch  Version :  click           Local ptah     input abc (abc is repo folder name)     select  Init Local      click  INIT      _x000D_
_x000D_
wait GUI processing finish           the git debug version  logcat show :  error crash _x000D_
_x000D_
Repo: org eclipse jgit api errors NoHeadException: No HEAD exists and no explicit starting revision was specified  _x000D_
_x000D_
I click the  local repo icon   _x000D_
_x000D_
get  error  _x000D_
_x000D_
i click report the error  the mail body is     No HEAD exists and no explicit starting revision was specified     _x000D_
_x000D_
THX_x000D_
</t>
  </si>
  <si>
    <t>nextcloud-android-5448</t>
  </si>
  <si>
    <t>Crash when auto uploading camera roll from android pie</t>
  </si>
  <si>
    <t xml:space="preserve">    Steps to reproduce_x000D_
1  Fresh install of nextcloud on a raspberry pi 3_x000D_
2  SSL via cloudflare_x000D_
3  Access through the internet  NOT LAN _x000D_
_x000D_
    Expected behaviour_x000D_
  pretty much not what happened_x000D_
_x000D_
    Actual behaviour_x000D_
  immediate crash_x000D_
_x000D_
    Environment data_x000D_
Android version: pie_x000D_
_x000D_
     phone log report_x000D_
   _x000D_
             CAUSE OF ERROR             _x000D_
_x000D_
java lang NullPointerException: Attempt to invoke virtual method  java lang String com owncloud android datamodel OCFile getRemotePath()  on a null object reference_x000D_
	at com owncloud android ui dialog CreateFolderDialogFragment onClick(CreateFolderDialogFragment java:140)_x000D_
	at androidx appcompat app AlertController ButtonHandler handleMessage(AlertController java:167)_x000D_
	at android os Handler dispatchMessage(Handler java:106)_x000D_
	at android os Looper loop(Looper java:201)_x000D_
	at android app ActivityThread main(ActivityThread java:6882)_x000D_
	at java lang reflect Method invoke(Native Method)_x000D_
	at com android internal os RuntimeInit MethodAndArgsCaller run(RuntimeInit java:547)_x000D_
	at com android internal os ZygoteInit main(ZygoteInit java:873)_x000D_
_x000D_
             APP INFORMATION             _x000D_
ID: com nextcloud client_x000D_
Version: 30100190_x000D_
Build flavor: gplay_x000D_
_x000D_
             DEVICE INFORMATION             _x000D_
Brand: Xiaomi_x000D_
Device: raphael_x000D_
Model: Mi 9T Pro_x000D_
Id: PKQ1 181121 001_x000D_
Product: raphael eea_x000D_
_x000D_
             FIRMWARE             _x000D_
SDK: 28_x000D_
Release: 9_x000D_
Incremental: V10 3 4 0 PFKEUXM_x000D_
   _x000D_
</t>
  </si>
  <si>
    <t>TeamNewPipe-NewPipe-3072</t>
  </si>
  <si>
    <t xml:space="preserve">[Soundcloud] NewPipe crashes when searching </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</si>
  <si>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Any attempt made to make searches or return search suggestions causes NewPipe to crash  See crash logs _x000D_
_x000D_
When returning search suggestions:_x000D_
   Exception_x000D_
    User Action:   get suggestions_x000D_
    Request:   _x000D_
    Content Language:   US_x000D_
    Service:   SoundCloud_x000D_
    Version:   0 18 2_x000D_
    OS:   Linux Android 10   29_x000D_
_x000D_
_x000D_
 details  summary  b Crash log  b   summary  p _x000D_
_x000D_
   _x000D_
org schabi newpipe extractor exceptions ParsingException: Could not parse json response_x000D_
	at org schabi newpipe extractor services soundcloud SoundcloudSuggestionExtractor suggestionList(SoundcloudSuggestionExtractor java:47)_x000D_
	at org schabi newpipe util ExtractorHelper lambda suggestionsFor 2(ExtractorHelper java:105)_x000D_
	at org schabi newpipe util    Lambda ExtractorHelper kAwiU5Tjeit NCwHTWhD3V6UHS8 call(Unknown Source:4)_x000D_
	at io reactivex internal operators single SingleFromCallable subscribeActual(SingleFromCallable java:44)_x000D_
	at io reactivex Single subscribe(Single java:3438)_x000D_
	at io reactivex internal operators single SingleToObservable subscribeActual(SingleToObservable java:35)_x000D_
	at io reactivex Observable subscribe(Observable java:12090)_x000D_
	at io reactivex internal operators observable ObservableMap subscribeActual(ObservableMap java:32)_x000D_
	at io reactivex Observable subscribe(Observable java:12090)_x000D_
	at io reactivex internal operators observable ObservableZip ZipCoordinator subscribe(ObservableZip java:110)_x000D_
	at io reactivex internal operators observable ObservableZip subscribeActual(ObservableZip java:72)_x000D_
	at io reactivex Observable subscribe(Observable java:12090)_x000D_
	at io reactivex internal operators observable ObservableMaterialize subscribeActual(ObservableMaterialize java:28)_x000D_
	at io reactivex Observable subscribe(Observable java:12090)_x000D_
	at io reactivex internal operators observable ObservableSwitchMap SwitchMapObserver onNext(ObservableSwitchMap java:127)_x000D_
	at io reactivex internal operators observable ObservableFilter FilterObserver onNext(ObservableFilter java:52)_x000D_
	at io reactivex internal operators observable ObservableConcatMap ConcatMapDelayErrorObserver DelayErrorInnerObserver onNext(ObservableConcatMap java:506)_x000D_
	at io reactivex observers SerializedObserver onNext(SerializedObserver java:111)_x000D_
	at io reactivex internal operators observable ObservableDebounceTimed DebounceTimedObserver emit(ObservableDebounceTimed java:143)_x000D_
	at io reactivex internal operators observable ObservableDebounceTimed DebounceEmitter run(ObservableDebounceTimed java:168)_x000D_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com grack nanojson JsonParserException: Expected JSON value  got EOF on line 1  char 0_x000D_
	at com grack nanojson JsonParser createParseException(Unknown Source:44)_x000D_
	at com grack nanojson JsonParser currentValue(Unknown Source:30)_x000D_
	at com grack nanojson JsonParser parse(Unknown Source:3)_x000D_
	at com grack nanojson JsonParser JsonParserContext from(Unknown Source:15)_x000D_
	at org schabi newpipe extractor services soundcloud SoundcloudSuggestionExtractor suggestionList(SoundcloudSuggestionExtractor java:40)_x000D_
	    26 more_x000D_
_x000D_
   _x000D_
  p   details _x000D_
 hr _x000D_
_x000D_
When executing a search:_x000D_
   Exception_x000D_
    User Action:   searched_x000D_
    Request:   sschafi1_x000D_
    Content Language:   US_x000D_
    Service:   SoundCloud_x000D_
    Version:   0 18 2_x000D_
    OS:   Linux Android 10   29_x000D_
_x000D_
_x000D_
 details  summary  b Crash log  b   summary  p _x000D_
_x000D_
   _x000D_
org schabi newpipe extractor exceptions ParsingException: Could not parse json response_x000D_
	at org schabi newpipe extractor services soundcloud SoundcloudSearchExtractor onFetchPage(SoundcloudSearchExtractor java:69)_x000D_
	at org schabi newpipe extractor Extractor fetchPage(Extractor java:54)_x000D_
	at org schabi newpipe extractor search SearchInfo getInfo(SearchInfo java:29)_x000D_
	at org schabi newpipe util ExtractorHelper lambda searchFor 0(ExtractorHelper java:77)_x000D_
	at org schabi newpipe util    Lambda ExtractorHelper BBduYDeZ vXMQYaemaggmTPtqvA call(Unknown Source:8)_x000D_
	at io reactivex internal operators single SingleFromCallable subscribeActual(SingleFromCallable java:44)_x000D_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Caused by: com grack nanojson JsonParserException: Expected JSON value  got EOF on line 1  char 0_x000D_
	at com grack nanojson JsonParser createParseException(Unknown Source:44)_x000D_
	at com grack nanojson JsonParser currentValue(Unknown Source:30)_x000D_
	at com grack nanojson JsonParser parse(Unknown Source:3)_x000D_
	at com grack nanojson JsonParser JsonParserContext from(Unknown Source:15)_x000D_
	at org schabi newpipe extractor services soundcloud SoundcloudSearchExtractor onFetchPage(SoundcloudSearchExtractor java:67)_x000D_
	    15 more_x000D_
_x000D_
   _x000D_
  p   details _x000D_
 hr _x000D_
_x000D_
_x000D_
</t>
  </si>
  <si>
    <t>nextcloud-android-5446</t>
  </si>
  <si>
    <t>Client chrashes right after installing</t>
  </si>
  <si>
    <t xml:space="preserve">    Steps to reproduce_x000D_
1  Install from F Droid_x000D_
2  Try to launch_x000D_
_x000D_
    Expected behaviour_x000D_
  Working app_x000D_
_x000D_
    Actual behaviour_x000D_
  App crashes after splash screen_x000D_
_x000D_
    Environment data_x000D_
Android version: 5 1_x000D_
_x000D_
Device model: Meizu M3_x000D_
_x000D_
Stock or customized system: CM 12 1_x000D_
_x000D_
Nextcloud app version: 3 9 2_x000D_
_x000D_
Nextcloud server version: not matter_x000D_
_x000D_
    Logs_x000D_
     Web server error log_x000D_
   _x000D_
I even not logged in _x000D_
   _x000D_
_x000D_
     Nextcloud log (data nextcloud log) (i don t know where is should be file  here is logcat output instead)_x000D_
   _x000D_
F libc    (17940): Fatal signal 6 (SIGABRT)  code  6 in tid 17940 (extcloud client)_x000D_
I DEBUG   (  341):                                                                _x000D_
I DEBUG   (  341): Build fingerprint:  Meizu cm m3 m3:5 1 1 LMY49J d8b08cdf85:userdebug test keys _x000D_
I DEBUG   (  341): Revision:  0 _x000D_
I DEBUG   (  341): ABI:  arm64 _x000D_
I DEBUG   (  341): pid: 17940  tid: 17940  name: extcloud client      com nextcloud client    _x000D_
I DEBUG   (  341): signal 6 (SIGABRT)  code  6 (SI TKILL)  fault addr         _x000D_
I DEBUG   (  341):     x0   0000000000000000  x1   0000000000004614  x2   0000000000000006  x3   0000007f8294fea0_x000D_
I DEBUG   (  341):     x4   0000007f8294fea0  x5   0000000000000005  x6   0000000000000001  x7   0000000000000020_x000D_
I DEBUG   (  341):     x8   0000000000000083  x9   0000000000000003  x10  0000007f826d8000  x11  0000000000000001_x000D_
I DEBUG   (  341):     x12  0000000000000001  x13  0000007f82712748  x14  e98d3fb902a84978  x15  e98d3fb902a84978_x000D_
I DEBUG   (  341):     x16  0000007f67ed2a70  x17  0000000000000001  x18  0000000000000000  x19  0000007f8294fea0_x000D_
I DEBUG   (  341):     x20  0000007f82950160  x21  0000007f82712000  x22  0000000000000002  x23  0000000000000006_x000D_
I DEBUG   (  341):     x24  000000001324e8e0  x25  0000000012e16c00  x26  00000000132fdd80  x27  0000000012c49100_x000D_
I DEBUG   (  341):     x28  0000000013476220  x29  0000007ffffaa9e0  x30  0000007f82668cd0_x000D_
I DEBUG   (  341):     sp   0000007ffffaa9e0  pc   0000007f826aaaf8  pstate 0000000060000000_x000D_
I DEBUG   (  341): _x000D_
I DEBUG   (  341): backtrace:_x000D_
I DEBUG   (  341):      00 pc 000000000005daf8   system lib64 libc so (tgkill 8)_x000D_
I DEBUG   (  341):      01 pc 000000000001bccc   system lib64 libc so (pthread kill 160)_x000D_
I DEBUG   (  341):      02 pc 000000000001d470   system lib64 libc so (raise 28)_x000D_
I DEBUG   (  341):      03 pc 00000000000169fc   system lib64 libc so (abort 60)_x000D_
I DEBUG   (  341):      04 pc 00000000000ea2ec   data app com nextcloud client 1 lib arm64 libconscrypt jni so_x000D_
I DEBUG   (  341):      05 pc 000000000001c6fc   system lib64 libc so (pthread once 168)_x000D_
I DEBUG   (  341):      06 pc 000000000012c700   data app com nextcloud client 1 lib arm64 libconscrypt jni so (CRYPTO once 8)_x000D_
I DEBUG   (  341):      07 pc 00000000000e9f58   data app com nextcloud client 1 lib arm64 libconscrypt jni so_x000D_
I DEBUG   (  341):      08 pc 00000000000d4920   data app com nextcloud client 1 lib arm64 libconscrypt jni so_x000D_
I DEBUG   (  341):      09 pc 00000000000d45b0   data app com nextcloud client 1 lib arm64 libconscrypt jni so (RAND bytes 16)_x000D_
I DEBUG   (  341):      10 pc 0000000000074628   data app com nextcloud client 1 lib arm64 libconscrypt jni so_x000D_
I DEBUG   (  341):      11 pc 000000000106e110   data dalvik cache arm64 data app com nextcloud client 1 base apk classes dex_x000D_
   _x000D_
  NOTE:   Be super sure to remove sensitive data like passwords  note that everybody can look here  You can use the Issue Template application to prefill some of the required information: https:  apps nextcloud com apps issuetemplate_x000D_
</t>
  </si>
  <si>
    <t>nextcloud-android-5441</t>
  </si>
  <si>
    <t>Random crashes on more than one device</t>
  </si>
  <si>
    <t xml:space="preserve">    Steps to reproduce_x000D_
This crash occurs without app interaction _x000D_
_x000D_
The same crash occurs on a OnePlus 6T running OxygenOS and a 6T running LineageOS 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BTjtDF dtYx3reOWB ccDw   base apk   nativeLibraryDirectories   data app com nextcloud client BTjtDF dtYx3reOWB ccDw   lib arm64   data app com nextcloud client BTjtDF dtYx3reOWB ccDw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30100190_x000D_
Build flavor: gplay_x000D_
_x000D_
             DEVICE INFORMATION             _x000D_
Brand: OnePlus_x000D_
Device: OnePlus6T_x000D_
Model: ONEPLUS A6013_x000D_
Id: PQ3A 190801 002_x000D_
Product: OnePlus6T_x000D_
_x000D_
             FIRMWARE             _x000D_
SDK: 28_x000D_
Release: 9_x000D_
Incremental: 20c8fda321_x000D_
_x000D_
_x000D_
    Expected behaviour_x000D_
  No crash_x000D_
_x000D_
    Actual behaviour_x000D_
  Random crashes in background_x000D_
_x000D_
    Environment data_x000D_
Android version:  Pie (OxygenOS and LineageOS)_x000D_
_x000D_
Device model:  OnrPlus 6T_x000D_
_x000D_
Stock or customized system:  both_x000D_
_x000D_
Nextcloud app version:  see above_x000D_
_x000D_
Nextcloud server version:  18_x000D_
_x000D_
    Logs_x000D_
     Web server error log_x000D_
   _x000D_
will check and update ticket_x000D_
   _x000D_
_x000D_
     Nextcloud log (data nextcloud log)_x000D_
   _x000D_
Will check and update ticket_x000D_
   _x000D_
  NOTE:   Be super sure to remove sensitive data like passwords  note that everybody can look here  You can use the Issue Template application to prefill some of the required information: https:  apps nextcloud com apps issuetemplate_x000D_
</t>
  </si>
  <si>
    <t>nextcloud-android-5439</t>
  </si>
  <si>
    <t xml:space="preserve">Random crash </t>
  </si>
  <si>
    <t xml:space="preserve">    Steps to reproduce_x000D_
1  Random crash_x000D_
2  _x000D_
3  _x000D_
_x000D_
    Expected behaviour_x000D_
  Tell us what should happen_x000D_
_x000D_
    Actual behaviour_x000D_
  Tell us what happens_x000D_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</si>
  <si>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jellyfin-jellyfin-androidtv-325</t>
  </si>
  <si>
    <t>Crash on re-entring the app if its process has been killed by Android in the meantime (aka The Clock Crash)</t>
  </si>
  <si>
    <t xml:space="preserve">Currently  the app crashes when re entered after its process got killed by the system _x000D_
_x000D_
To force this crash for debugging purposes  set  Developer Options    Background Process Limit  to  No background processes _x000D_
_x000D_
Stack traces look something like this_x000D_
   _x000D_
2020 02 09 16:59:56 728 15398 15398   E AndroidRuntime: FATAL EXCEPTION: main_x000D_
    Process: org jellyfin androidtv debug  PID: 15398_x000D_
    java lang NullPointerException: Attempt to invoke virtual method  java lang String org jellyfin apiclient model dto UserDto getName()  on a null object reference_x000D_
        at org jellyfin androidtv ui ClockUserView init(ClockUserView java:42)_x000D_
        at org jellyfin androidtv ui ClockUserView  init (ClockUserView java:25)_x000D_
        at org jellyfin androidtv browsing StdBrowseFragment setupUIElements(StdBrowseFragment java:300)_x000D_
        at org jellyfin androidtv browsing StdBrowseFragment onActivityCreated(StdBrowseFragment java:111)_x000D_
        at org jellyfin androidtv ui home HomeFragment onActivityCreated(HomeFragment java:90)_x000D_
        at androidx fragment app Fragment performActivityCreated(Fragment java:2460)_x000D_
        at androidx fragment app FragmentManagerImpl moveToState(FragmentManager java:1483)_x000D_
        at androidx fragment app FragmentManagerImpl moveFragmentToExpectedState(FragmentManager java:1784)_x000D_
        at androidx fragment app FragmentManagerImpl moveToState(FragmentManager java:1852)_x000D_
        at androidx fragment app FragmentManagerImpl dispatchStateChange(FragmentManager java:3269)_x000D_
        at androidx fragment app FragmentManagerImpl dispatchActivityCreated(FragmentManager java:3229)_x000D_
        at androidx fragment app FragmentController dispatchActivityCreated(FragmentController java:201)_x000D_
        at androidx fragment app FragmentActivity onStart(FragmentActivity java:620)_x000D_
        at android app Instrumentation callActivityOnStart(Instrumentation java:1391)_x000D_
        at android app Activity performStart(Activity java:7157)_x000D_
        at android app ActivityThread handleStartActivity(ActivityThread java:2937)_x000D_
        at android app servertransaction TransactionExecutor performLifecycleSequence(TransactionExecutor java:180)_x000D_
        at android app servertransaction TransactionExecutor cycleToPath(TransactionExecutor java:165)_x000D_
        at android app servertransaction TransactionExecutor executeLifecycleState(TransactionExecutor java:142)_x000D_
        at android app servertransaction TransactionExecutor execute(TransactionExecutor java:70)_x000D_
        at android app ActivityThread H handleMessage(ActivityThread java:1808)_x000D_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_x000D_
_x000D_
Fixing this will probably require rather involved refactoring </t>
  </si>
  <si>
    <t>nextcloud-android-5437</t>
  </si>
  <si>
    <t>Timeout exception is not catched</t>
  </si>
  <si>
    <t xml:space="preserve">    Steps to reproduce_x000D_
1  do something on a slow server_x000D_
_x000D_
    Expected behaviour_x000D_
  an toast should be displayed  but please add a settings option to set the waitingtime_x000D_
_x000D_
    Actual behaviour_x000D_
  an exception is raised and the app crashed_x000D_
_x000D_
    Environment data_x000D_
Android version:_x000D_
_x000D_
Device model: _x000D_
_x000D_
Stock or customized system:_x000D_
_x000D_
Nextcloud app version:_x000D_
3 10 1_x000D_
_x000D_
Nextcloud server version:_x000D_
_x000D_
    Logs_x000D_
     Android Exception message _x000D_
   _x000D_
             CAUSE OF ERROR             _x000D_
_x000D_
java net SocketTimeoutException: timeout_x000D_
	at okio SocketAsyncTimeout newTimeoutException(Okio kt:149)_x000D_
	at okio AsyncTimeout access newTimeoutException(AsyncTimeout kt:162)_x000D_
	at okio AsyncTimeout source 1 read(AsyncTimeout kt:340)_x000D_
	at okio RealBufferedSource indexOf(RealBufferedSource kt:449)_x000D_
	at okio RealBufferedSource readUtf8LineStrict(RealBufferedSource kt:333)_x000D_
	at okhttp3 internal http1 Http1Codec readHeaderLine(Http1Codec java:215)_x000D_
	at okhttp3 internal http1 Http1Codec readResponseHeaders(Http1Codec java:189)_x000D_
	at okhttp3 internal http CallServerInterceptor intercept(CallServerInterceptor java:88)_x000D_
	at okhttp3 internal http RealInterceptorChain proceed(RealInterceptorChain java:147)_x000D_
	at okhttp3 internal connection ConnectInterceptor intercept(ConnectInterceptor java:45)_x000D_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kt:84)_x000D_
	at com owncloud android lib resources activities GetActivitiesRemoteOperation run(GetActivitiesRemoteOperation java:131)_x000D_
	at com nextcloud common NextcloudClient execute(NextcloudClient kt:80)_x000D_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java:764)_x000D_
Caused by: java net SocketException: socket is closed_x000D_
	at com google android gms org conscrypt ConscryptFileDescriptorSocket SSLInputStream read(:com google android gms 20104028 20 1 04 (100400 288960190):8)_x000D_
	at okio InputStreamSource read(Okio kt:93)_x000D_
	at okio AsyncTimeout source 1 read(AsyncTimeout kt:129)_x000D_
	    26 more_x000D_
_x000D_
             APP INFORMATION             _x000D_
ID: com nextcloud client_x000D_
Version: 30100190_x000D_
Build flavor: gplay_x000D_
_x000D_
             DEVICE INFORMATION             _x000D_
Brand: OnePlus_x000D_
Device: OnePlus6_x000D_
Model: ONEPLUS A6003_x000D_
Id:_x000D_
Product: OnePlus6_x000D_
_x000D_
             FIRMWARE             _x000D_
SDK: 28_x000D_
Release: 9_x000D_
Incremental: 1909112330_x000D_
_x000D_
   _x000D_
_x000D_
_x000D_
</t>
  </si>
  <si>
    <t>wallabag-android-app-918</t>
  </si>
  <si>
    <t>App crashes immediately if installed on SD card</t>
  </si>
  <si>
    <t xml:space="preserve">Version 2 3 0 crashes immediately if it is installed on the SD card  but functions normally otherwise   I have tried clearing cache  clearing data  uninstalling reinstalling the app  and changing the database location in settings   I don t know where to find logs  otherwise I would include them   Device is a Samsung Galaxy Tab A with SD card  Android 9 </t>
  </si>
  <si>
    <t>nextcloud-android-5430</t>
  </si>
  <si>
    <t>crash when opening conflicted file</t>
  </si>
  <si>
    <t xml:space="preserve">    Steps to reproduce_x000D_
1  Create file conflict between phone and server_x000D_
2  Sync phone_x000D_
3  Open file with conflict_x000D_
_x000D_
    Expected behaviour_x000D_
  no crash_x000D_
_x000D_
    Actual behaviour_x000D_
  crash with error report_x000D_
    Logs_x000D_
     Web server error log_x000D_
   _x000D_
Insert your webserver log here_x000D_
_x000D_
             CAUSE OF ERROR             _x000D_
_x000D_
java lang NullPointerException: Attempt to invoke virtual method  void androidx appcompat widget SearchView setOnQueryTextListener(androidx appcompat widget SearchView OnQueryTextListener)  on a null object reference_x000D_
	at com owncloud android ui preview PreviewTextFragment TextLoadAsyncTask onPostExecute(PreviewTextFragment java:375)_x000D_
	at com owncloud android ui preview PreviewTextFragment TextLoadAsyncTask onPostExecute(PreviewTextFragment java:308)_x000D_
	at android os AsyncTask finish(AsyncTask java:755)_x000D_
	at android os AsyncTask access 900(AsyncTask java:192)_x000D_
	at android os AsyncTask InternalHandler handleMessage(AsyncTask java:772)_x000D_
	at android os Handler dispatchMessage(Handler java:107)_x000D_
	at android os Looper loop(Looper java:237)_x000D_
	at android app ActivityThread main(ActivityThread java:7762)_x000D_
	at java lang reflect Method invoke(Native Method)_x000D_
	at com android internal os RuntimeInit MethodAndArgsCaller run(RuntimeInit java:493)_x000D_
	at com android internal os ZygoteInit main(ZygoteInit java:1047)_x000D_
_x000D_
             APP INFORMATION             _x000D_
ID: com nextcloud client_x000D_
Version: 30090290_x000D_
Build flavor: generic_x000D_
_x000D_
             DEVICE INFORMATION             _x000D_
Brand: samsung_x000D_
Device: beyond1q_x000D_
Model: SM G973U_x000D_
Id: QP1A 190711 020_x000D_
Product: beyond1qltesq_x000D_
_x000D_
             FIRMWARE             _x000D_
SDK: 29_x000D_
Release: 10_x000D_
Incremental: G973USQS2CSL1_x000D_
   _x000D_
</t>
  </si>
  <si>
    <t>nextcloud-android-5427</t>
  </si>
  <si>
    <t>Nextcloud crashes</t>
  </si>
  <si>
    <t xml:space="preserve">    Steps to reproduce_x000D_
1  Attempt to open an existing file from on server with android phone _x000D_
2  After waiting for a few seconds  Nextcloud app on Android crashes _x000D_
3  Repeated attempts yield the same results _x000D_
_x000D_
    Expected behaviour_x000D_
  Tell us what should happen_x000D_
_x000D_
    Actual behaviour_x000D_
  Tell us what happens_x000D_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</si>
  <si>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sambatech-player_sdk_android-86</t>
  </si>
  <si>
    <t>Correção Live SDK Android</t>
  </si>
  <si>
    <t xml:space="preserve">   O que est  sendo entregue_x000D_
_x000D_
Existia um problema na em transmiss es Live no SDK Android  O erro era replic vel e seguia um padr o:_x000D_
_x000D_
1  A Live come a a tocar_x000D_
2  Toca exatamente 30 segundos_x000D_
3  Fica carregando (trocando para URL de Backup)_x000D_
4  Se estiver transmitindo para a URL de Backup ele toca mais 30 segundos e crasha_x000D_
5  Se n o estiver transmitindo para URL de Backup ele crasha_x000D_
_x000D_
A raiz do problema era a implementa  o de Cache para download de conte do para assitir Offline  Esta funcionalidade entra em conflito com a forma que a Live toca o conte do  Assim  foi adicionado uma tratativa para n o habilitar cache quando o contexto   live _x000D_
_x000D_
  Issue relacionada:   https:  github com sambatech webops issues 4062</t>
  </si>
  <si>
    <t>sambatech-player_sdk_android-85</t>
  </si>
  <si>
    <t>jellyfin-jellyfin-androidtv-312</t>
  </si>
  <si>
    <t>Changing Languages Crashes App</t>
  </si>
  <si>
    <t xml:space="preserve">From u nibill1d on  Reddit (https:  www reddit com r jellyfin comments ezgy3q new android tv release v0110 improved video fgoos8f):_x000D_
_x000D_
 Did this also fix the bug that when you change the language  at first it doesn t change anything and if you try again the whole app crashes  </t>
  </si>
  <si>
    <t>applivery-applivery-android-sdk-56</t>
  </si>
  <si>
    <t>[BUG] Control the exception for Object Expected</t>
  </si>
  <si>
    <t xml:space="preserve">  Account information  _x000D_
Organization Owner email address: Gigigo_x000D_
App ID: McDonalds : D_x000D_
_x000D_
  Describe the bug  _x000D_
The application crashed yesterday afternoon and it was because the response of the request that arrived was not a string instead of an object as expected  It would be necessary to control the exception of the request library for when the object cannot be parsed to have a controllable generic error _x000D_
_x000D_
  To Reproduce  _x000D_
Steps to reproduce the behavior:_x000D_
1  Go to      _x000D_
2  Click on       _x000D_
3  Scroll down to       _x000D_
4  See error_x000D_
_x000D_
  Expected behavior  _x000D_
Fatal Exception: com google gson JsonSyntaxExceptionjava lang IllegalStateException: Expected BEGIN OBJECT but was STRING at line 1 column 1 path   Raw Text_x000D_
  _x000D_
    com google gson internal bind ReflectiveTypeAdapterFactory Adapter read   226 (ReflectiveTypeAdapterFactory java:226)_x000D_
    com google gson Gson fromJson   927 (Gson java:927)_x000D_
    com google gson Gson fromJson   892 (Gson java:892)_x000D_
    com google gson Gson fromJson   841 (Gson java:841)_x000D_
    com google gson Gson fromJson   813 (Gson java:813)_x000D_
    com applivery applvsdklib network api model ErrorDataEntityResponse Companion parseError   37 (AppliveryErrorEntity kt:37)_x000D_
    com applivery applvsdklib network api requests ServerRequest performRequest   53 (ServerRequest java:53)_x000D_
    com applivery applvsdklib network api requests ObtainAppConfigRequest performRequest   41 (ObtainAppConfigRequest java:41)_x000D_
    com applivery applvsdklib network api requests ServerRequest execute   31 (ServerRequest java:31)_x000D_
    com applivery applvsdklib domain appconfig ObtainAppConfigInteractor performRequest   63 (ObtainAppConfigInteractor java:63)_x000D_
    com applivery applvsdklib domain BaseInteractor run   54 (BaseInteractor java:54)_x000D_
    java util concurrent ThreadPoolExecutor runWorker   1133 (ThreadPoolExecutor java:1133)_x000D_
    java util concurrent ThreadPoolExecutor Worker run   607 (ThreadPoolExecutor java:607)_x000D_
    java lang Thread run   776 (Thread java:776)</t>
  </si>
  <si>
    <t>applivery-applivery-android-sdk-55</t>
  </si>
  <si>
    <t>App crashing on startup (Applivery initalization) [BUG]</t>
  </si>
  <si>
    <t xml:space="preserve">  Account information  _x000D_
Organization Owner email address:  mobile supermercato24 it _x000D_
App ID: (all apps)_x000D_
_x000D_
  Describe the bug  _x000D_
The app crashes when it s opened _x000D_
This error is reported in the stacktrace:_x000D_
_x000D_
   _x000D_
Fatal Exception: com google gson JsonSyntaxException: java lang IllegalStateException: Expected BEGIN OBJECT but was STRING at line 1 column 1 path  _x000D_
       at com google gson internal bind ReflectiveTypeAdapterFactory Adapter read   226(ReflectiveTypeAdapterFactory java:226)_x000D_
       at com google gson Gson fromJson   927(Gson java:927)_x000D_
       at com google gson Gson fromJson   892(Gson java:892)_x000D_
       at com google gson Gson fromJson   841(Gson java:841)_x000D_
       at com google gson Gson fromJson   813(Gson java:813)_x000D_
       at com applivery applvsdklib network api model ErrorDataEntityResponse Companion parseError   37(AppliveryErrorEntity kt:37)_x000D_
       at com applivery applvsdklib network api requests ServerRequest performRequest   53(ServerRequest java:53)_x000D_
       at com applivery applvsdklib network api requests ObtainAppConfigRequest performRequest   41(ObtainAppConfigRequest java:41)_x000D_
       at com applivery applvsdklib network api requests ServerRequest execute   31(ServerRequest java:31)_x000D_
       at com applivery applvsdklib domain appconfig ObtainAppConfigInteractor performRequest   63(ObtainAppConfigInteractor java:63)_x000D_
       at com applivery applvsdklib domain BaseInteractor run   54(BaseInteractor java:54)_x000D_
       at java util concurrent ThreadPoolExecutor processTask   1187(ThreadPoolExecutor java:1187)_x000D_
       at java util concurrent ThreadPoolExecutor runWorker   1152(ThreadPoolExecutor java:1152)_x000D_
       at java util concurrent ThreadPoolExecutor Worker run   641(ThreadPoolExecutor java:641)_x000D_
       at java lang Thread run   784(Thread java:784)_x000D_
Caused by java lang IllegalStateException: Expected BEGIN OBJECT but was STRING at line 1 column 1 path  _x000D_
       at com google gson stream JsonReader beginObject   385(JsonReader java:385)_x000D_
       at com google gson internal bind ReflectiveTypeAdapterFactory Adapter read   215(ReflectiveTypeAdapterFactory java:215)_x000D_
       at com google gson Gson fromJson   927(Gson java:927)_x000D_
       at com google gson Gson fromJson   892(Gson java:892)_x000D_
       at com google gson Gson fromJson   841(Gson java:841)_x000D_
       at com google gson Gson fromJson   813(Gson java:813)_x000D_
       at com applivery applvsdklib network api model ErrorDataEntityResponse Companion parseError   37(AppliveryErrorEntity kt:37)_x000D_
       at com applivery applvsdklib network api requests ServerRequest performRequest   53(ServerRequest java:53)_x000D_
       at com applivery applvsdklib network api requests ObtainAppConfigRequest performRequest   41(ObtainAppConfigRequest java:41)_x000D_
       at com applivery applvsdklib network api requests ServerRequest execute   31(ServerRequest java:31)_x000D_
       at com applivery applvsdklib domain appconfig ObtainAppConfigInteractor performRequest   63(ObtainAppConfigInteractor java:63)_x000D_
       at com applivery applvsdklib domain BaseInteractor run   54(BaseInteractor java:54)_x000D_
       at java util concurrent ThreadPoolExecutor processTask   1187(ThreadPoolExecutor java:1187)_x000D_
       at java util concurrent ThreadPoolExecutor runWorker   1152(ThreadPoolExecutor java:1152)_x000D_
       at java util concurrent ThreadPoolExecutor Worker run   641(ThreadPoolExecutor java:641)_x000D_
       at java lang Thread run   784(Thread java:784)_x000D_
   _x000D_
_x000D_
  To Reproduce  _x000D_
Steps to reproduce the behavior:_x000D_
Open the app and wait for the SDK initalization_x000D_
_x000D_
  Smartphone (please complete the following information):  _x000D_
   Device: all devices_x000D_
   OS: Android  all versions_x000D_
_x000D_
  Additional context  _x000D_
_x000D_
  Additional information  _x000D_
</t>
  </si>
  <si>
    <t>material-components-material-components-android-990</t>
  </si>
  <si>
    <t>HTML Option crashes the WebView on Android 6</t>
  </si>
  <si>
    <t xml:space="preserve">  Description:   On Android 6  within a WebView  using com google android material:material_x000D_
 version    1 1 0  the render of an html option will crash the app _x000D_
This doesn t happen on Android   6 _x000D_
_x000D_
  Expected behaviour:   HTML Option should be rendered without crashing the app _x000D_
_x000D_
  Source code:   _x000D_
   _x000D_
 form _x000D_
	 select _x000D_
		 option Option One  option _x000D_
		 option Option Two  option _x000D_
	  select _x000D_
  form _x000D_
   _x000D_
_x000D_
_x000D_
  Android API version:   23_x000D_
_x000D_
  Material Library version:   1 1 0 alpha06  1 2 0 alpha04  any   1 0 0 _x000D_
_x000D_
  Device:   SAMSUNG SM G900V (or any running Android 6) _x000D_
_x000D_
  Stacktrace:  _x000D_
02 06 14:18:31 467 930 930 com ft news E AndroidRuntime: FATAL EXCEPTION: main_x000D_
    Process: com ft news  PID: 930_x000D_
    android content res Resources NotFoundException: Resource ID  0x0_x000D_
        at android content res Resources getValue(Resources java:2558)_x000D_
        at android content res Resources loadXmlResourceParser(Resources java:4360)_x000D_
        at android content res Resources getLayout(Resources java:2372)_x000D_
        at android view LayoutInflater inflate(LayoutInflater java:427)_x000D_
        at android widget ArrayAdapter createViewFromResource(ArrayAdapter java:378)_x000D_
        at android widget ArrayAdapter getView(ArrayAdapter java:369)_x000D_
        at Hv getView(PG:13)_x000D_
        at android widget AbsListView obtainView(AbsListView java:2929)_x000D_
        at android widget ListView measureHeightOfChildren(ListView java:1305)_x000D_
        at android widget ListView onMeasure(ListView java:1212)_x000D_
        at android view View measure(View java:20151)_x000D_
        at android view ViewGroup measureChildWithMargins(ViewGroup java:6330)_x000D_
        at android widget FrameLayout onMeasure(FrameLayout java:194)_x000D_
        at android view View measure(View java:20151)_x000D_
        at android view ViewGroup measureChildWithMargins(ViewGroup java:6330)_x000D_
        at android widget FrameLayout onMeasure(FrameLayout java:194)_x000D_
        at android view View measure(View java:20151)_x000D_
        at android view ViewGroup measureChildWithMargins(ViewGroup java:6330)_x000D_
        at android widget LinearLayout measureChildBeforeLayout(LinearLayout java:1464)_x000D_
        at android widget LinearLayout measureVertical(LinearLayout java:747)_x000D_
        at android widget LinearLayout onMeasure(LinearLayout java:629)_x000D_
        at android view View measure(View java:20151)_x000D_
        at android view ViewGroup measureChildWithMargins(ViewGroup java:6330)_x000D_
        at android widget FrameLayout onMeasure(FrameLayout java:194)_x000D_
        at android view View measure(View java:20151)_x000D_
        at android view ViewGroup measureChildWithMargins(ViewGroup java:6330)_x000D_
        at android widget FrameLayout onMeasure(FrameLayout java:194)_x000D_
        at android view View measure(View java:20151)_x000D_
        at android view ViewGroup measureChildWithMargins(ViewGroup java:6330)_x000D_
        at android widget FrameLayout onMeasure(FrameLayout java:194)_x000D_
        at com android internal policy PhoneWindow DecorView onMeasure(PhoneWindow java:3158)_x000D_
        at android view View measure(View java:20151)_x000D_
        at android view ViewRootImpl performMeasure(ViewRootImpl java:2594)_x000D_
        at android view ViewRootImpl measureHierarchy(ViewRootImpl java:1524)_x000D_
        at android view ViewRootImpl performTraversals(ViewRootImpl java:1841)_x000D_
        at android view ViewRootImpl doTraversal(ViewRootImpl java:1437)_x000D_
        at android view ViewRootImpl TraversalRunnable run(ViewRootImpl java:7397)_x000D_
        at android view Choreographer CallbackRecord run(Choreographer java:920)_x000D_
        at android view Choreographer doCallbacks(Choreographer java:695)_x000D_
        at android view Choreographer doFrame(Choreographer java:631)_x000D_
        at android view Choreographer FrameDisplayEventReceiver run(Choreographer java:906)_x000D_
        at android os Handler handleCallback(Handler java:739)_x000D_
        at android os Handler dispatchMessage(Handler java:95)_x000D_
        at android os Looper loop(Looper java:158)_x000D_
        at android app ActivityThread main(ActivityThread java:7224)_x000D_
        at java lang reflect Method invoke(Native Method)_x000D_
        at com android internal os ZygoteInit MethodAndArgsCaller run(ZygoteInit java:1230)_x000D_
        at com android internal os ZygoteInit main(ZygoteInit java:1120)_x000D_
_x000D_
_x000D_
</t>
  </si>
  <si>
    <t>jellyfin-jellyfin-androidtv-296</t>
  </si>
  <si>
    <t>Crash when signing into server</t>
  </si>
  <si>
    <t xml:space="preserve">This is from a user crash report in tracepot  Not sure if this is actually an issue here or in the apiclient _x000D_
_x000D_
Stack trace:_x000D_
   _x000D_
java lang IllegalArgumentException: address_x000D_
	at org jellyfin apiclient interaction connectionmanager ConnectionManager NormalizeAddress(ConnectionManager java:386)_x000D_
	at org jellyfin apiclient interaction connectionmanager ConnectionManager Connect(ConnectionManager java:214)_x000D_
	at org jellyfin androidtv util apiclient AuthenticationHelper signInToServer(AuthenticationHelper java:143)_x000D_
	at org jellyfin androidtv util apiclient AuthenticationHelper 1 onClick(AuthenticationHelper java:54)_x000D_
	at com android internal app AlertController ButtonHandler handleMessage(AlertController java:166)_x000D_
	at android os Handler dispatchMessage(Handler java:102)_x000D_
	at android os Looper loop(Looper java:154)_x000D_
	at android app ActivityThread main(ActivityThread java:6188)_x000D_
	at java lang reflect Method invoke(Native Method)_x000D_
	at com android internal os ZygoteInit MethodAndArgsCaller run(ZygoteInit java:911)_x000D_
	at com android internal os ZygoteInit main(ZygoteInit java:801)_x000D_
   </t>
  </si>
  <si>
    <t>aprsworld-awat-6</t>
  </si>
  <si>
    <t>GPS resetting</t>
  </si>
  <si>
    <t xml:space="preserve">Installed the test version (apk I have is from Dec 18) and noticed GPS seemed to be crashing repeatedly   (ie  GPS Status would pop up and disappear over and over)   Restarted the app and issue went away   Need to do some further testing and make sure this is not going to be happening in the field   </t>
  </si>
  <si>
    <t>TeamNewPipe-NewPipe-3059</t>
  </si>
  <si>
    <t>DeadSystemException</t>
  </si>
  <si>
    <t xml:space="preserve">searched a video  clicked the  40 result  app crash  repeated  same  force close clean install  same  reboot  same  _x000D_
_x000D_
_x000D_
   Exception_x000D_
    User Action:   ui error_x000D_
    Request:   App crash  UI failure_x000D_
    Content Language:   GB_x000D_
    Service:   none_x000D_
    Version:   0 18 2_x000D_
    OS:   Linux Android 9   28_x000D_
_x000D_
_x000D_
 details  summary  b Crash log  b   summary  p _x000D_
_x000D_
   _x000D_
java lang RuntimeException: android os DeadSystemException_x000D_
	at android app servertransaction PendingTransactionActions StopInfo run(PendingTransactionActions java:160)_x000D_
	at android os Handler handleCallback(Handler java:873)_x000D_
	at android os Handler dispatchMessage(Handler java:99)_x000D_
	at android os Looper loop(Looper java:214)_x000D_
	at android app ActivityThread main(ActivityThread java:7078)_x000D_
	at java lang reflect Method invoke(Native Method)_x000D_
	at com android internal os RuntimeInit MethodAndArgsCaller run(RuntimeInit java:494)_x000D_
	at com android internal os ZygoteInit main(ZygoteInit java:965)_x000D_
Caused by: android os DeadSystemException_x000D_
	    8 more_x000D_
android os DeadSystemException_x000D_
	at android app servertransaction PendingTransactionActions StopInfo run(PendingTransactionActions java:160)_x000D_
	at android os Handler handleCallback(Handler java:873)_x000D_
	at android os Handler dispatchMessage(Handler java:99)_x000D_
	at android os Looper loop(Looper java:214)_x000D_
	at android app ActivityThread main(ActivityThread java:7078)_x000D_
	at java lang reflect Method invoke(Native Method)_x000D_
	at com android internal os RuntimeInit MethodAndArgsCaller run(RuntimeInit java:494)_x000D_
	at com android internal os ZygoteInit main(ZygoteInit java:965)_x000D_
_x000D_
   _x000D_
  p   details _x000D_
 hr _x000D_
</t>
  </si>
  <si>
    <t>material-components-material-components-android-980</t>
  </si>
  <si>
    <t>[MaterialDatePicker] Crash - Scroll to Min Year of CalendarConstraint</t>
  </si>
  <si>
    <t xml:space="preserve">  Description:  _x000D_
_x000D_
I have a calendar set up that requires a user to enter their DOB_x000D_
_x000D_
   _x000D_
        val datePicker   MaterialDatePicker Builder datePicker()_x000D_
             setTitleText(getString(R string birthdate))_x000D_
             setCalendarConstraints(_x000D_
                CalendarConstraints Builder()_x000D_
                     setStart(start)_x000D_
                     setEnd(end)_x000D_
                     setOpenAt(currentDate)_x000D_
                     build()_x000D_
            )_x000D_
             setSelection(currentDate)_x000D_
             build()_x000D_
   _x000D_
_x000D_
The constraints are in reference to   TODAY   and require a user to be within 18 and 100 years of age _x000D_
_x000D_
   _x000D_
        val calendar   Calendar getInstance(TimeZone getTimeZone( UTC ))_x000D_
        val currentYear   calendar get(Calendar YEAR)_x000D_
_x000D_
        calendar set(Calendar YEAR  currentYear   100)_x000D_
        val start   calendar timeInMillis_x000D_
_x000D_
        calendar set(Calendar YEAR  currentYear   18)_x000D_
        val end   calendar timeInMillis_x000D_
   _x000D_
_x000D_
If the   current   selection of the calendar is set to  January 1st  1975  which is within the valid range  and the user changes the active  YEAR  to 1920   the app crashes with the following stack trace _x000D_
_x000D_
The calendar is attempting to scroll to  JANUARY OF 1920  which is an invalid target position ( 1) as the minimum date is in  FEBRUARY of 1920   This scenario works just fine when scrolling to the  MAXIMUM  end_x000D_
_x000D_
  Stack Trace:  _x000D_
_x000D_
   _x000D_
java lang IllegalArgumentException: Invalid target position_x000D_
        at androidx recyclerview widget RecyclerView SmoothScroller start(RecyclerView java:11807)_x000D_
        at androidx recyclerview widget RecyclerView LayoutManager startSmoothScroll(RecyclerView java:8470)_x000D_
        at com google android material datepicker SmoothCalendarLayoutManager smoothScrollToPosition(SmoothCalendarLayoutManager java:49)_x000D_
        at androidx recyclerview widget RecyclerView smoothScrollToPosition(RecyclerView java:1790)_x000D_
        at com google android material datepicker MaterialCalendar 10 run(MaterialCalendar java:453)_x000D_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_x000D_
_x000D_
  Expected behavior:  _x000D_
The calendar should scroll to  February of 1920   i e  the minimum allowed date within that year _x000D_
_x000D_
  Source code:  _x000D_
See above_x000D_
_x000D_
  Android API version:   Android API version here_x000D_
28_x000D_
_x000D_
  Material Library version:  _x000D_
1 1 0_x000D_
_x000D_
  Device:  _x000D_
Pixel_x000D_
_x000D_
To help us triage faster  please check to make sure you are using the  latest version (https:  github com material components material components android releases) of the library _x000D_
Confirmed on latest stable release   _x000D_
_x000D_
We also happily accept  pull requests (https:  github com material components material components android pulls) _x000D_
 pekingme Please let me know if you d like some support on this  Since this scenario works just fine scrolling to the maximum constraint  I anticipate the fix should be a quick one _x000D_
</t>
  </si>
  <si>
    <t>nextcloud-android-5394</t>
  </si>
  <si>
    <t>cant open pdf without previous downloading it from TLS1.3 only server</t>
  </si>
  <si>
    <t xml:space="preserve">    Steps to reproduce_x000D_
1  Set server to tls 1 3 only_x000D_
2  try to open remote pdf file in android client_x000D_
3  _x000D_
_x000D_
    Expected behaviour_x000D_
  not a crash_x000D_
_x000D_
    Actual behaviour_x000D_
  client app crashes_x000D_
_x000D_
    Environment data_x000D_
Android version:_x000D_
10_x000D_
Device model: _x000D_
xiaomi mi 9t_x000D_
Stock or customized system:_x000D_
tried on both_x000D_
Nextcloud app version:_x000D_
Tried both 3 10 0 and 3 10 1 RC1_x000D_
Nextcloud server version:_x000D_
same was on 16 x and now on latest stable 17 x_x000D_
    Logs_x000D_
_x000D_
             CAUSE OF ERROR             _x000D_
_x000D_
javax net ssl SSLHandshakeException: Handshake failed_x000D_
	at com google android gms org conscrypt ConscryptFileDescriptorSocket startHandshake(:com google android gms 20104037 20 1 04 (120400 288960190):38)_x000D_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kt:84)_x000D_
	at com owncloud android lib resources activities GetActivitiesRemoteOperation run(GetActivitiesRemoteOperation java:131)_x000D_
	at com nextcloud common NextcloudClient execute(NextcloudClient kt:80)_x000D_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java:919)_x000D_
Caused by: javax net ssl SSLProtocolException: SSL handshake aborted: ssl 0x7e6d9fd048: Failure in SSL library  usually a protocol error_x000D_
error:1000042e:SSL routines:OPENSSL internal:TLSV1 ALERT PROTOCOL VERSION (third party openssl boringssl src ssl tls record cc:592 0x7e6d9e7d48:0x00000001)_x000D_
	at com google android gms org conscrypt NativeCrypto SSL do handshake(Native Method)_x000D_
	at com google android gms org conscrypt NativeSsl doHandshake(:com google android gms 20104037 20 1 04 (120400 288960190):6)_x000D_
	at com google android gms org conscrypt ConscryptFileDescriptorSocket startHandshake(:com google android gms 20104037 20 1 04 (120400 288960190):14)_x000D_
	    26 more_x000D_
_x000D_
             APP INFORMATION             _x000D_
ID: com nextcloud client_x000D_
Version: 30100151_x000D_
Build flavor: gplay_x000D_
_x000D_
             DEVICE INFORMATION             _x000D_
Brand: Xiaomi_x000D_
Device: raphael_x000D_
Model: Mi 9T Pro_x000D_
Id: QQ1B 200105 004_x000D_
Product: raphael eea_x000D_
_x000D_
             FIRMWARE             _x000D_
SDK: 29_x000D_
Release: 10_x000D_
Incremental: eng abhish 20200125 124652_x000D_
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</si>
  <si>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opensrp-opensrp-client-opd-68</t>
  </si>
  <si>
    <t>App crashes when Patient Image is added or updated</t>
  </si>
  <si>
    <t>Registration of a patient with a photo forces the app to crash</t>
  </si>
  <si>
    <t>square-okhttp-5770</t>
  </si>
  <si>
    <t>DefaultProxySelector: IllegalArgumentException: protocol = https host = null</t>
  </si>
  <si>
    <t xml:space="preserve">Okhttp version: 4 3 1_x000D_
_x000D_
When using okhttp request an URL  https:      it crashes:_x000D_
_x000D_
   _x000D_
Fatal Exception: java lang IllegalArgumentException: protocol   https host   null_x000D_
       at sun net spi DefaultProxySelector select   183(DefaultProxySelector java:183)_x000D_
       at okhttp3 internal connection RouteSelector resetNextProxy   103(RouteSelector java:103)_x000D_
       at okhttp3 internal connection RouteSelector  init    53(RouteSelector java:53)_x000D_
       at okhttp3 internal connection ExchangeFinder  init    61(ExchangeFinder java:61)_x000D_
       at okhttp3 internal connection Transmitter prepareToConnect   134(Transmitter java:134)_x000D_
       at okhttp3 internal http RetryAndFollowUpInterceptor intercept   62(RetryAndFollowUpInterceptor java:62)_x000D_
       at okhttp3 internal http RealInterceptorChain proceed   112(RealInterceptorChain java:112)_x000D_
       at okhttp3 internal http RealInterceptorChain proceed   87(RealInterceptorChain java:87)_x000D_
       at okhttp3 RealCall getResponseWithInterceptorChain   194(RealCall java:194)_x000D_
       at okhttp3 RealCall AsyncCall run   138(RealCall java:138)_x000D_
       at java util concurrent ThreadPoolExecutor runWorker   1167(ThreadPoolExecutor java:1167)_x000D_
       at java util concurrent ThreadPoolExecutor Worker run   641(ThreadPoolExecutor java:641)_x000D_
       at java lang Thread run   764(Thread java:764)_x000D_
   </t>
  </si>
  <si>
    <t>ankidroid-Anki-Android-5736</t>
  </si>
  <si>
    <t>Okhttp interrupted crash</t>
  </si>
  <si>
    <t xml:space="preserve">   Pull Request template_x000D_
_x000D_
   Purpose   Description_x000D_
_x000D_
https:  couchdb ankidroid org acralyzer  design acralyzer index html  report details 950f7ab5 1e97 44a2 b58a e56f15d08e72_x000D_
_x000D_
OkHTTP uses slightly different errors to percolate timeouts and connection interruptions vs the apache http library  so we are now misinterpreting relatively harmless errors has something we should crash on_x000D_
_x000D_
_x000D_
   Approach_x000D_
_x000D_
I added the two okio (okhttp underlying library) messages to our connection error logic_x000D_
_x000D_
https:  github com square okio blob 1bed1bc104c19a673ad86fbe7e8eed859131a5ee okio src main java okio Timeout java L220 L226_x000D_
_x000D_
   How Has This Been Tested _x000D_
_x000D_
Installed and used on API28 and API29 emulators to do a conflict full sync  a no op sync  then to sync the results of a small review between them  it all still worked  I also checked interrupting data while a full sync was happening and it threw an error message instead of crashing_x000D_
_x000D_
After the one commit with what should be the crash fix there is a second separate one which delints the file a bit  Look at the commits separately for easy review_x000D_
_x000D_
   Learning (optional  can help others)_x000D_
_x000D_
googled for the error present in the stack trace after stepping through the control flow in our connection code to see how the error was circulating_x000D_
_x000D_
   Checklist_x000D_
 Please  go through these checks before submitting the PR  _x000D_
_x000D_
   x  You have not changed whitespace unnecessarily (it makes diffs hard to read)_x000D_
   x  You have a descriptive commit message with a short title (first line  max 50 chars) _x000D_
   x  Your code follows the style of the project (e g  never omit braces in  if  statements) _x000D_
   x  You have commented your code  particularly in hard to understand areas_x000D_
   x  You have performed a self review of your own code_x000D_
</t>
  </si>
  <si>
    <t>nextcloud-android-5391</t>
  </si>
  <si>
    <t>Nextcloud Android Client crash on accessing file details</t>
  </si>
  <si>
    <t xml:space="preserve">    Steps to reproduce_x000D_
1  Open Nextcloud_x000D_
2  Select any file or folder detail_x000D_
3  The app crash_x000D_
_x000D_
    Expected behaviour_x000D_
  File detail view should be seen_x000D_
_x000D_
    Actual behaviour_x000D_
  The app crashs offering debug info_x000D_
_x000D_
    Environment data_x000D_
Android version: 6 0 1_x000D_
_x000D_
Device model: Samsung S5 Neo_x000D_
_x000D_
Stock or customized system: Stock_x000D_
_x000D_
Nextcloud app version: 3 10 0_x000D_
_x000D_
Nextcloud server version: Nextcloud Hub 18_x000D_
_x000D_
    Logs_x000D_
_x000D_
     Web server error log_x000D_
   _x000D_
No error on web server error log_x000D_
   _x000D_
_x000D_
     Nextcloud log (data nextcloud log)_x000D_
   _x000D_
         CAUSE OF ERROR         _x000D_
_x000D_
javax net ssl SSLHandshakeException: java security cert CertPathValidatorException: Trust anchor for certification path not found _x000D_
 at com google android gms org conscrypt ConscryptFileDescriptorSocket startHandshake(:com google android gms 20104018 20 1 04 (040308 288960190):27)_x000D_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run(lambda)_x000D_
 at java lang Thread run(Thread java:818)_x000D_
Caused by: java security cert CertificateException: java security cert CertPathValidatorException: Trust anchor for certification path not found _x000D_
 at com android org conscrypt TrustManagerImpl checkTrusted(TrustManagerImpl java:324)_x000D_
 at com android org conscrypt TrustManagerImpl checkServerTrusted(TrustManagerImpl java:225)_x000D_
 at java lang reflect Method invoke(Native Method)_x000D_
 at com google android gms org conscrypt Platform checkTrusted(:com google android gms 20104018 20 1 04 (040308 288960190):2)_x000D_
 at com google android gms org conscrypt Platform checkServerTrusted(:com google android gms 20104018 20 1 04 (040308 288960190):3)_x000D_
 at com google android gms org conscrypt ConscryptFileDescriptorSocket verifyCertificateChain(:com google android gms 20104018 20 1 04 (040308 288960190):7)_x000D_
 at com google android gms org conscrypt NativeCrypto SSL do handshake(Native Method)_x000D_
 at com google android gms org conscrypt NativeSsl doHandshake(:com google android gms 20104018 20 1 04 (040308 288960190):6)_x000D_
 at com google android gms org conscrypt ConscryptFileDescriptorSocket startHandshake(:com google android gms 20104018 20 1 04 (040308 288960190):14)_x000D_
     26 more_x000D_
Caused by: java security cert CertPathValidatorException: Trust anchor for certification path not found _x000D_
     35 more_x000D_
_x000D_
         APP INFORMATION         _x000D_
ID: com nextcloud client_x000D_
Version: 30100090_x000D_
Build flavor: gplay_x000D_
_x000D_
         DEVICE INFORMATION         _x000D_
Brand: samsung_x000D_
Device: s5neolte_x000D_
Model: SM G903M_x000D_
Id: MMB29K_x000D_
Product: s5neolteub_x000D_
_x000D_
         FIRMWARE         _x000D_
SDK: 23_x000D_
Release: 6 0 1_x000D_
Incremental: G903MUBS1BSB1_x000D_
   _x000D_
  NOTE:   Be super sure to remove sensitive data like passwords  note that everybody can look here  You can use the Issue Template application to prefill some of the required information: https:  apps nextcloud com apps issuetemplate_x000D_
</t>
  </si>
  <si>
    <t>nextcloud-android-5390</t>
  </si>
  <si>
    <t>Nextcloud crashes on attempting to open a text file.</t>
  </si>
  <si>
    <t xml:space="preserve">    Steps to reproduce_x000D_
1  Tap a text file ( txt) that has not been downloaded_x000D_
2  Wait  and crash_x000D_
3  _x000D_
_x000D_
    Expected behaviour_x000D_
  Tell us what should happen_x000D_
Text file should download and display on the screen_x000D_
    Actual behaviour_x000D_
  Tell us what happens_x000D_
Error log appears  Text file has actually been downloaded and after restarting Nextcloud on the Android device will open as expected with a single tap _x000D_
    Environment data_x000D_
Android version:_x000D_
6 0 1_x000D_
Device model: _x000D_
SM N916S_x000D_
Stock or customized system:_x000D_
STOCK_x000D_
Nextcloud app version:_x000D_
3 10 0_x000D_
Nextcloud server version:_x000D_
17 0 2_x000D_
    Logs_x000D_
     Web server error log_x000D_
   _x000D_
Insert your webserver log here_x000D_
   _x000D_
_x000D_
     Nextcloud log (data nextcloud log)_x000D_
   _x000D_
  reqId : o5e491HdzRmNTixm5AaE   level :3  time : 2020 02 05T02:07:21 00:00   remoteAddr : rrr rrr rrr rrr   user : some user   app : core   method : GET   url :   index php  apps  files  api  v1  thumbnail  512  512  Documents  SOME DIR  McGuffeys pdf   message :  Exception : ImagickException   Message : not authorized    var  www  nextcloud  data  some user  files  Documents  SOME DIR  McGuffeys pdf    error  constitute c  ReadImage  412   Code :499  Trace :   file :   var  www  nextcloud  lib  private  Preview  Bitmap php   line :86  function : readimage   class : Imagick   type :      args :    var  www  nextcloud  data  some user  files  Documents  SOME DIR  McGuffeys pdf 0       file :   var  www  nextcloud  lib  private  Preview  Bitmap php   line :49  function : getResizedPreview   class : OC  Preview  Bitmap   type :      args :    var  www  nextcloud  data  some user  files  Documents  SOME DIR  McGuffeys pdf  1024 1024     file :   var  www  nextcloud  lib  private  Preview  GeneratorHelper php   line :59  function : getThumbnail   class : OC  Preview  Bitmap   type :      args :     class   : OC  Files  Node  File   1024 1024     file :   var  www  nextcloud  lib  private  Preview  Generator php   line :204  function : getThumbnail   class : OC  Preview  GeneratorHelper   type :      args :     class   : OC  Preview  PDF       class   : OC  Files  Node  File   1024 1024     file :   var  www  nextcloud  lib  private  Preview  Generator php   line :126  function : getMaxPreview   class : OC  Preview  Generator   type :      args :     class   : OC  Files  SimpleFS  SimpleFolder       class   : OC  Files  Node  File    application  pdf         file :   var  www  nextcloud  lib  private  PreviewManager php   line :210  function : getPreview   class : OC  Preview  Generator   type :      args :     class   : OC  Files  Node  File   512 512 true  fill   application  pdf      file :   var  www  nextcloud  apps  files  lib  Controller  ApiController php   line :123  function : getPreview   class : OC  PreviewManager   type :      args :     class   : OC  Files  Node  File   512 512 true     file :   var  www  nextcloud  lib  private  AppFramework  Http  Dispatcher php   line :170  function : getThumbnail   class : OCA  Files  Controller  ApiController   type :      args : 512 512     class   : OC  Files  Node  File       file :   var  www  nextcloud  lib  private  AppFramework  Http  Dispatcher php   line :99  function : executeController   class : OC  AppFramework  Http  Dispatcher   type :      args :     class   : OCA  Files  Controller  ApiController    getThumbnail      file :   var  www  nextcloud  lib  private  AppFramework  App php   line :126  function : dispatch   class : OC  AppFramework  Http  Dispatcher   type :      args :     class   : OCA  Files  Controller  ApiController    getThumbnail      file :   var  www  nextcloud  lib  private  AppFramework  Routing  RouteActionHandler php   line :47  function : main   class : OC  AppFramework  App   type : ::   args :  APIController   getThumbnail      class   : OC  AppFramework  DependencyInjection  DIContainer     x : 512   y : 512   file : Documents  SOME DIR  McGuffeys pdf    route : files API getThumbnail       function :   invoke   class : OC  AppFramework  Routing  RouteActionHandler   type :      args :   x : 512   y : 512   file : Documents  SOME DIR  McGuffeys pdf    route : files API getThumbnail       file :   var  www  nextcloud  lib  private  Route  Router php   line :297  function : call user func   args :     class   : OC  AppFramework  Routing  RouteActionHandler     x : 512   y : 512   file : Documents  SOME DIR  McGuffeys pdf    route : files API getThumbnail       file :   var  www  nextcloud  lib  base php   line :997  function : match   class : OC  Route  Router   type :      args :    apps  files  api  v1  thumbnail  512  512  Documents  SOME DIR  McGuffeys pdf      file :   var  www  nextcloud  index php   line :42  function : handleRequest   class : OC   type : ::   args :      File :   var  www  nextcloud  lib  private  Preview  Bitmap php   Line :86  CustomMessage : File:   some user  files  Documents  SOME DIR  McGuffeys pdf Imagick says:    userAgent : Mozilla  5 0 (Android) Nextcloud android  3 10 0   version : 17 0 2 1  _x000D_
  reqId : Xgan8HtLkvolIraq0xCG   level :3  time : 2020 02 05T02:07:23 00:00   remoteAddr : rrr rrr rrr rrr   user : some user   app : core   method : GET   url :   index php  apps  files  api  v1  thumbnail  512  512  Documents  SOME DIR  McGuffeys pdf   message :  Exception : ImagickException   Message : not authorized    var  www  nextcloud  data  some user  files  Documents  SOME DIR  McGuffeys pdf    error  constitute c  ReadImage  412   Code :499  Trace :   file :   var  www  nextcloud  lib  private  Preview  Bitmap php   line :86  function : readimage   class : Imagick   type :      args :    var  www  nextcloud  data  some user  files  Documents  SOME DIR  McGuffeys pdf 0       file :   var  www  nextcloud  lib  private  Preview  Bitmap php   line :49  function : getResizedPreview   class : OC  Preview  Bitmap   type :      args :    var  www  nextcloud  data  some user  files  Documents  SOME DIR  McGuffeys pdf  1024 1024     file :   var  www  nextcloud  lib  private  Preview  GeneratorHelper php   line :59  function : getThumbnail   class : OC  Preview  Bitmap   type :      args :     class   : OC  Files  Node  File   1024 1024     file :   var  www  nextcloud  lib  private  Preview  Generator php   line :204  function : getThumbnail   class : OC  Preview  GeneratorHelper   type :      args :     class   : OC  Preview  PDF       class   : OC  Files  Node  File   1024 1024     file :   var  www  nextcloud  lib  private  Preview  Generator php   line :126  function : getMaxPreview   class : OC  Preview  Generator   type :      args :     class   : OC  Files  SimpleFS  SimpleFolder       class   : OC  Files  Node  File    application  pdf         file :   var  www  nextcloud  lib  private  PreviewManager php   line :210  function : getPreview   class : OC  Preview  Generator   type :      args :     class   : OC  Files  Node  File   512 512 true  fill   application  pdf      file :   var  www  nextcloud  apps  files  lib  Controller  ApiController php   line :123  function : getPreview   class : OC  PreviewManager   type :      args :     class   : OC  Files  Node  File   512 512 true     file :   var  www  nextcloud  lib  private  AppFramework  Http  Dispatcher php   line :170  function : getThumbnail   class : OCA  Files  Controller  ApiController   type :      args : 512 512     class   : OC  Files  Node  File       file :   var  www  nextcloud  lib  private  AppFramework  Http  Dispatcher php   line :99  function : executeController   class : OC  AppFramework  Http  Dispatcher   type :      args :     class   : OCA  Files  Controller  ApiController    getThumbnail      file :   var  www  nextcloud  lib  private  AppFramework  App php   line :126  function : dispatch   class : OC  AppFramework  Http  Dispatcher   type :      args :     class   : OCA  Files  Controller  ApiController    getThumbnail      file :   var  www  nextcloud  lib  private  AppFramework  Routing  RouteActionHandler php   line :47  function : main   class : OC  AppFramework  App   type : ::   args :  APIController   getThumbnail      class   : OC  AppFramework  DependencyInjection  DIContainer     x : 512   y : 512   file : Documents  SOME DIR  McGuffeys pdf    route : files API getThumbnail       function :   invoke   class : OC  AppFramework  Routing  RouteActionHandler   type :      args :   x : 512   y : 512   file : Documents  SOME DIR  McGuffeys pdf    route : files API getThumbnail       file :   var  www  nextcloud  lib  private  Route  Router php   line :297  function : call user func   args :     class   : OC  AppFramework  Routing  RouteActionHandler     x : 512   y : 512   file : Documents  SOME DIR  McGuffeys pdf    route : files API getThumbnail       file :   var  www  nextcloud  lib  base php   line :997  function : match   class : OC  Route  Router   type :      args :    apps  files  api  v1  thumbnail  512  512  Documents  SOME DIR  McGuffeys pdf      file :   var  www  nextcloud  index php   line :42  function : handleRequest   class : OC   type : ::   args :      File :   var  www  nextcloud  lib  private  Preview  Bitmap php   Line :86  CustomMessage : File:   some user  files  Documents  SOME DIR  McGuffeys pdf Imagick says:    userAgent : Mozilla  5 0 (Android) Nextcloud android  3 10 0   version : 17 0 2 1  _x000D_
  reqId : B3PlWY5uDuO8VYVaK1Ih   level :3  time : 2020 02 05T02:07:24 00:00   remoteAddr : rrr rrr rrr rrr   user : some user   app : core   method : GET   url :   index php  apps  files  api  v1  thumbnail  512  512  Documents  SOME DIR  McGuffeys pdf   message :  Exception : ImagickException   Message : not authorized    var  www  nextcloud  data  some user  files  Documents  SOME DIR  McGuffeys pdf    error  constitute c  ReadImage  412   Code :499  Trace :   file :   var  www  nextcloud  lib  private  Preview  Bitmap php   line :86  function : readimage   class : Imagick   type :      args :    var  www  nextcloud  data  some user  files  Documents  SOME DIR  McGuffeys pdf 0       file :   var  www  nextcloud  lib  private  Preview  Bitmap php   line :49  function : getResizedPreview   class : OC  Preview  Bitmap   type :      args :    var  www  nextcloud  data  some user  files  Documents  SOME DIR  McGuffeys pdf  1024 1024     file :   var  www  nextcloud  lib  private  Preview  GeneratorHelper php   line :59  function : getThumbnail   class : OC  Preview  Bitmap   type :      args :     class   : OC  Files  Node  File   1024 1024     file :   var  www  nextcloud  lib  private  Preview  Generator php   line :204  function : getThumbnail   class : OC  Preview  GeneratorHelper   type :      args :     class   : OC  Preview  PDF       class   : OC  Files  Node  File   1024 1024     file :   var  www  nextcloud  lib  private  Preview  Generator php   line :126  function : getMaxPreview   class : OC  Preview  Generator   type :      args :     class   : OC  Files  SimpleFS  SimpleFolder       class   : OC  Files  Node  File    application  pdf         file :   var  www  nextcloud  lib  private  PreviewManager php   line :210  function : getPreview   class : OC  Preview  Generator   type :      args :     class   : OC  Files  Node  File   512 512 true  fill   application  pdf      file :   var  www  nextcloud  apps  files  lib  Controller  ApiController php   line :123  function : getPreview   class : OC  PreviewManager   type :      args :     class   : OC  Files  Node  File   512 512 true     file :   var  www  nextcloud  lib  private  AppFramework  Http  Dispatcher php   line :170  function : getThumbnail   class : OCA  Files  Controller  ApiController   type :      args : 512 512     class   : OC  Files  Node  File       file :   var  www  nextcloud  lib  private  AppFramework  Http  Dispatcher php   line :99  function : executeController   class : OC  AppFramework  Http  Dispatcher   type :      args :     class   : OCA  Files  Controller  ApiController    getThumbnail      file :   var  www  nextcloud  lib  private  AppFramework  App php   line :126  function : dispatch   class : OC  AppFramework  Http  Dispatcher   type :      args :     class   : OCA  Files  Controller  ApiController    getThumbnail      file :   var  www  nextcloud  lib  private  AppFramework  Routing  RouteActionHandler php   line :47  function : main   class : OC  AppFramework  App   type : ::   args :  APIController   getThumbnail      class   : OC  AppFramework  DependencyInjection  DIContainer     x : 512   y : 512   file : Documents  SOME DIR  McGuffeys pdf    route : files API getThumbnail       function :   invoke   class : OC  AppFramework  Routing  RouteActionHandler   type :      args :   x : 512   y : 512   file : Documents  SOME DIR  McGuffeys pdf    route : files API getThumbnail       file :   var  www  nextcloud  lib  private  Route  Router php   line :297  function : call user func   args :     class   : OC  AppFramework  Routing  RouteActionHandler     x : 512   y : 512   file : Documents  SOME DIR  McGuffeys pdf    route : files API getThumbnail       file :   var  www  nextcloud  lib  base php   line :997  function : match   class : OC  Route  Router   type :      args :    apps  files  api  v1  thumbnail  512  512  Documents  SOME DIR  McGuffeys pdf      file :   var  www  nextcloud  index php   line :42  function : handleRequest   class : OC   type : ::   args :      File :   var  www  nextcloud  lib  private  Preview  Bitmap php   Line :86  CustomMessage : File:   some user  files  Documents  SOME DIR  McGuffeys pdf Imagick says:    userAgent : Mozilla  5 0 (Android) Nextcloud android  3 10 0   version : 17 0 2 1  _x000D_
  reqId : Vir5rxAUhHntnJjQOzCl   level :3  time : 2020 02 05T02:08:28 00:00   remoteAddr : rrr rrr rrr rrr   user :      app : PHP   method : GET   url :   index php  204   message : Directive  track errors  is deprecated at Unknown 0   userAgent : Mozilla  5 0 (Android) Nextcloud android  3 10 0   version : 17 0 2 1  _x000D_
  reqId : rgYg6FKyE1vibO8HeTQQ   level :3  time : 2020 02 05T02:08:28 00:00   remoteAddr : rrr rrr rrr rrr   user :      app : PHP   method : GET   url :   index php  204   message : Directive  track errors  is deprecated at Unknown 0   userAgent : Mozilla  5 0 (Android) Nextcloud android  3 10 0   version : 17 0 2 1  _x000D_
  reqId : QjfPKkntfLtMwzKWYwI8   level :3  time : 2020 02 05T02:11:41 00:00   remoteAddr : rrr rrr rrr rrr   user :      app : PHP   method : GET   url :   index php  204   message : Directive  track errors  is deprecated at Unknown 0   userAgent : Mozilla  5 0 (Android) Nextcloud android  3 10 0   version : 17 0 2 1  _x000D_
  reqId : 7i0KHTkyUFM5Cc4PPoJq   level :3  time : 2020 02 05T02:11:41 00:00   remoteAddr : rrr rrr rrr rrr   user :      app : PHP   method : GET   url :   index php  204   message : Directive  track errors  is deprecated at Unknown 0   userAgent : Mozilla  5 0 (Android) Nextcloud android  3 10 0   version : 17 0 2 1  _x000D_
  reqId : X0KAJaVueDuvkKYGRWHT   level :3  time : 2020 02 05T02:12:01 00:00   remoteAddr : rrr rrr rrr rrr   user : some user   app : core   method : GET   url :   index php  apps  files  api  v1  thumbnail  512  512  Documents  SOME DIR  McGuffeys pdf   message :  Exception : ImagickException   Message : not authorized    var  www  nextcloud  data  some user  files  Documents  SOME DIR  McGuffeys pdf    error  constitute c  ReadImage  412   Code :499  Trace :   file :   var  www  nextcloud  lib  private  Preview  Bitmap php   line :86  function : readimage   class : Imagick   type :      args :    var  www  nextcloud  data  some user  files  Documents  SOME DIR  McGuffeys pdf 0       file :   var  www  nextcloud  lib  private  Preview  Bitmap php   line :49  function : getResizedPreview   class : OC  Preview  Bitmap   type :      args :    var  www  nextcloud  data  some user  files  Documents  SOME DIR  McGuffeys pdf  1024 1024     file :   var  www  nextcloud  lib  private  Preview  GeneratorHelper php   line :59  function : getThumbnail   class : OC  Preview  Bitmap   type :      args :     class   : OC  Files  Node  File   1024 1024     file :   var  www  nextcloud  lib  private  Preview  Generator php   line :204  function : getThumbnail   class : OC  Preview  GeneratorHelper   type :      args :     class   : OC  Preview  PDF       class   : OC  Files  Node  File   1024 1024     file :   var  www  nextcloud  lib  private  Preview  Generator php   line :126  function : getMaxPreview   class : OC  Preview  Generator   type :      args :     class   : OC  Files  SimpleFS  SimpleFolder       class   : OC  Files  Node  File    application  pdf         file :   var  www  nextcloud  lib  private  PreviewManager php   line :210  function : getPreview   class : OC  Preview  Generator   type :      args :     class   : OC  Files  Node  File   512 512 true  fill   application  pdf      file :   var  www  nextcloud  apps  files  lib  Controller  ApiController php   line :123  function : getPreview   class : OC  PreviewManager   type :      args :     class   : OC  Files  Node  File   512 512 true     file :   var  www  nextcloud  lib  private  AppFramework  Http  Dispatcher php   line :170  function : getThumbnail   class : OCA  Files  Controller  ApiController   type :      args : 512 512     class   : OC  Files  Node  File       file :   var  www  nextcloud  lib  private  AppFramework  Http  Dispatcher php   line :99  function : executeController   class : OC  AppFramework  Http  Dispatcher   type :      args :     class   : OCA  Files  Controller  ApiController    getThumbnail      file :   var  www  nextcloud  lib  private  AppFramework  App php   line :126  function : dispatch   class : OC  AppFramework  Http  Dispatcher   type :      args :     class   : OCA  Files  Controller  ApiController    getThumbnail      file :   var  www  nextcloud  lib  private  AppFramework  Routing  RouteActionHandler php   line :47  function : main   class : OC  AppFramework  App   type : ::   args :  APIController   getThumbnail      class   : OC  AppFramework  DependencyInjection  DIContainer     x : 512   y : 512   file : Documents  SOME DIR  McGuffeys pdf    route : files API getThumbnail       function :   invoke   class : OC  AppFramework  Routing  RouteActionHandler   type :      args :   x : 512   y : 512   file : Documents  SOME DIR  McGuffeys pdf    route : files API getThumbnail       file :   var  www  nextcloud  lib  private  Route  Router php   line :297  function : call user func   args :     class   : OC  AppFramework  Routing  RouteActionHandler     x : 512   y : 512   file : Documents  SOME DIR  McGuffeys pdf    route : files API getThumbnail       file :   var  www  nextcloud  lib  base php   line :997  function : match   class : OC  Route  Router   type :      args :    apps  files  api  v1  thumbnail  512  512  Documents  SOME DIR  McGuffeys pdf      file :   var  www  nextcloud  index php   line :42  function : handleRequest   class : OC   type : ::   args :      File :   var  www  nextcloud  lib  private  Preview  Bitmap php   Line :86  CustomMessage : File:   some user  files  Documents  SOME DIR  McGuffeys pdf Imagick says:    userAgent : Mozilla  5 0 (Android) Nextcloud android  3 10 0   version : 17 0 2 1  _x000D_
  reqId : U4ovkEpoiH0np5TURPuo   level :3  time : 2020 02 05T02:12:04 00:00   remoteAddr : rrr rrr rrr rrr   user : some user   app : core   method : GET   url :   index php  apps  files  api  v1  thumbnail  512  512  Documents  SOME DIR  McGuffeys pdf   message :  Exception : ImagickException   Message : not authorized    var  www  nextcloud  data  some user  files  Documents  SOME DIR  McGuffeys pdf    error  constitute c  ReadImage  412   Code :499  Trace :   file :   var  www  nextcloud  lib  private  Preview  Bitmap php   line :86  function : readimage   class : Imagick   type :      args :    var  www  nextcloud  data  some user  files  Documents  SOME DIR  McGuffeys pdf 0       file :   var  www  nextcloud  lib  private  Preview  Bitmap php   line :49  function : getResizedPreview   class : OC  Preview  Bitmap   type :      args :    var  www  nextcloud  data  some user  files  Documents  SOME DIR  McGuffeys pdf  1024 1024     file :   var  www  nextcloud  lib  private  Preview  GeneratorHelper php   line :59  function : getThumbnail   class : OC  Preview  Bitmap   type :      args :     class   : OC  Files  Node  File   1024 1024     file :   var  www  nextcloud  lib  private  Preview  Generator php   line :204  function : getThumbnail   class : OC  Preview  GeneratorHelper   type :      args :     class   : OC  Preview  PDF       class   : OC  Files  Node  File   1024 1024     file :   var  www  nextcloud  lib  private  Preview  Generator php   line :126  function : getMaxPreview   class : OC  Preview  Generator   type :      args :     class   : OC  Files  SimpleFS  SimpleFolder       class   : OC  Files  Node  File    application  pdf         file :   var  www  nextcloud  lib  private  PreviewManager php   line :210  function : getPreview   class : OC  Preview  Generator   type :      args :     class   : OC  Files  Node  File   512 512 true  fill   application  pdf      file :   var  www  nextcloud  apps  files  lib  Controller  ApiController php   line :123  function : getPreview   class : OC  PreviewManager   type :      args :     class   : OC  Files  Node  File   512 512 true     file :   var  www  nextcloud  lib  private  AppFramework  Http  Dispatcher php   line :170  function : getThumbnail   class : OCA  Files  Controller  ApiController   type :      args : 512 512     class   : OC  Files  Node  File       file :   var  www  nextcloud  lib  private  AppFramework  Http  Dispatcher php   line :99  function : executeController   class : OC  AppFramework  Http  Dispatcher   type :      args :     class   : OCA  Files  Controller  ApiController    getThumbnail      file :   var  www  nextcloud  lib  private  AppFramework  App php   line :126  function : dispatch   class : OC  AppFramework  Http  Dispatcher   type :      args :     class   : OCA  Files  Controller  ApiController    getThumbnail      file :   var  www  nextcloud  lib  private  AppFramework  Routing  RouteActionHandler php   line :47  function : main   class : OC  AppFramework  App   type : ::   args :  APIController   getThumbnail      class   : OC  AppFramework  DependencyInjection  DIContainer     x : 512   y : 512   file : Documents  SOME DIR  McGuffeys pdf    route : files API getThumbnail       function :   invoke   class : OC  AppFramework  Routing  RouteActionHandler   type :      args :   x : 512   y : 512   file : Documents  SOME DIR  McGuffeys pdf    route : files API getThumbnail       file :   var  www  nextcloud  lib  private  Route  Router php   line :297  function : call user func   args :     class   : OC  AppFramework  Routing  RouteActionHandler     x : 512   y : 512   file : Documents  SOME DIR  McGuffeys pdf    route : files API getThumbnail       file :   var  www  nextcloud  lib  base php   line :997  function : match   class : OC  Route  Router   type :      args :    apps  files  api  v1  thumbnail  512  512  Documents  SOME DIR  McGuffeys pdf      file :   var  www  nextcloud  index php   line :42  function : handleRequest   class : OC   type : ::   args :      File :   var  www  nextcloud  lib  private  Preview  Bitmap php   Line :86  CustomMessage : File:   some user  files  Documents  SOME DIR  McGuffeys pdf Imagick says:    userAgent : Mozilla  5 0 (Android) Nextcloud android  3 10 0   version : 17 0 2 1  _x000D_
  reqId : 8SelRz7K6nywlFcc11Wm   level :3  time : 2020 02 05T02:12:04 00:00   remoteAddr : rrr rrr rrr rrr   user : some user   app : core   method : GET   url :   index php  apps  files  api  v1  thumbnail  512  512  Documents  SOME DIR  McGuffeys pdf   message :  Exception : ImagickException   Message : not authorized    var  www  nextcloud  data  some user  files  Documents  SOME DIR  McGuffeys pdf    error  constitute c  ReadImage  412   Code :499  Trace :   file :   var  www  nextcloud  lib  private  Preview  Bitmap php   line :86  function : readimage   class : Imagick   type :      args :    var  www  nextcloud  data  some user  files  Documents  SOME DIR  McGuffeys pdf 0       file :   var  www  nextcloud  lib  private  Preview  Bitmap php   line :49  function : getResizedPreview   class : OC  Preview  Bitmap   type :      args :    var  www  nextcloud  data  some user  files  Documents  SOME DIR  McGuffeys pdf  1024 1024     file :   var  www  nextcloud  lib  private  Preview  GeneratorHelper php   line :59  function : getThumbnail   class : OC  Preview  Bitmap   type :      args :     class   : OC  Files  Node  File   1024 1024     file :   var  www  nextcloud  lib  private  Preview  Generator php   line :204  function : getThumbnail   class : OC  Preview  GeneratorHelper   type :      args :     class   : OC  Preview  PDF       class   : OC  Files  Node  File   1024 1024     file :   var  www  nextcloud  lib  private  Preview  Generator php   line :126  function : getMaxPreview   class : OC  Preview  Generator   type :      args :     class   : OC  Files  SimpleFS  SimpleFolder       class   : OC  Files  Node  File    application  pdf         file :   var  www  nextcloud  lib  private  PreviewManager php   line :210  function : getPreview   class : OC  Preview  Generator   type :      args :     class   : OC  Files  Node  File   512 512 true  fill   application  pdf      file :   var  www  nextcloud  apps  files  lib  Controller  ApiController php   line :123  function : getPreview   class : OC  PreviewManager   type :      args :     class   : OC  Files  Node  File   512 512 true     file :   var  www  nextcloud  lib  private  AppFramework  Http  Dispatcher php   line :170  function : getThumbnail   class : OCA  Files  Controller  ApiController   type :      args : 512 512     class   : OC  Files  Node  File       file :   var  www  nextcloud  lib  private  AppFramework  Http  Dispatcher php   line :99  function : executeController   class : OC  AppFramework  Http  Dispatcher   type :      args :     class   : OCA  Files  Controller  ApiController    getThumbnail      file :   var  www  nextcloud  lib  private  AppFramework  App php   line :126  function : dispatch   class : OC  AppFramework  Http  Dispatcher   type :      args :     class   : OCA  Files  Controller  ApiController    getThumbnail      file :   var  www  nextcloud  lib  private  AppFramework  Routing  RouteActionHandler php   line :47  function : main   class : OC  AppFramework  App   type : ::   args :  APIController   getThumbnail      class   : OC  AppFramework  DependencyInjection  DIContainer     x : 512   y : 512   file : Documents  SOME DIR  McGuffeys pdf    route : files API getThumbnail       function :   invoke   class : OC  AppFramework  Routing  RouteActionHandler   type :      args :   x : 512   y : 512   file : Documents  SOME DIR  McGuffeys pdf    route : files API getThumbnail       file :   var  www  nextcloud  lib  private  Route  Router php   line :297  function : call user func   args :     class   : OC  AppFramework  Routing  RouteActionHandler     x : 512   y : 512   file : Documents  SOME DIR  McGuffeys pdf    route : files API getThumbnail       file :   var  www  nextcloud  lib  base php   line :997  function : match   class : OC  Route  Router   type :      args :    apps  files  api  v1  thumbnail  512  512  Documents  SOME DIR  McGuffeys pdf      file :   var  www  nextcloud  index php   line :42  function : handleRequest   class : OC   type : ::   args :      File :   var  www  nextcloud  lib  private  Preview  Bitmap php   Line :86  CustomMessage : File:   some user  files  Documents  SOME DIR  McGuffeys pdf Imagick says:    userAgent : Mozilla  5 0 (Android) Nextcloud android  3 10 0   version : 17 0 2 1  _x000D_
  reqId : nz4rVGH0twLR8UmS6gya   level :3  time : 2020 02 05T02:12:30 00:00   remoteAddr : rrr rrr rrr rrr   user :      app : PHP   method : GET   url :   index php  204   message : Directive  track errors  is deprecated at Unknown 0   userAgent : Mozilla  5 0 (Android) Nextcloud android  3 10 0   version : 17 0 2 1  _x000D_
some user GuHwa Cloud:   _x000D_
_x000D_
     Android Nextcloud log_x000D_
   _x000D_
Nextcloud crashed                CAUSE OF ERROR             _x000D_
_x000D_
javax net ssl SSLPeerUnverifiedException: Hostname nnn nnn nnn nnn not verified:_x000D_
    certificate: sha256 mmmmmmmmmmmmmmmmmmmmmmmmmmmmmmmmmmmmmmmmmmmmmmm _x000D_
    DN: 1 2 840 113549 1 9 1  16166b656c6c6e6572704065617274686c696e6b2e6e6574 CN nnn nnn nnn nnn sha256 O zzzz L zzzz ST zzC zz_x000D_
    subjectAltNames:   _x000D_
	at okhttp3 internal connection RealConnection connectTls(RealConnection java:334)_x000D_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run(lambda)_x000D_
	at java lang Thread run(Thread java:818)_x000D_
_x000D_
             APP INFORMATION             _x000D_
ID: com nextcloud client_x000D_
Version: 30100090_x000D_
Build flavor: gplay_x000D_
_x000D_
             DEVICE INFORMATION             _x000D_
Brand: samsung_x000D_
Device: tre3calteskt_x000D_
Model: SM N916S_x000D_
Id: MMB29K_x000D_
Product: tre3calteskt_x000D_
_x000D_
             FIRMWARE             _x000D_
SDK: 23_x000D_
Release: 6 0 1_x000D_
Incremental: N916SKSU2DSA1_x000D_
   _x000D_
  NOTE:   Be super sure to remove sensitive data like passwords  note that everybody can look here  You can use the Issue Template application to prefill some of the required information: https:  apps nextcloud com apps issuetemplate_x000D_
</t>
  </si>
  <si>
    <t>nextcloud-android-5380</t>
  </si>
  <si>
    <t>Creating a folder when setting remote sync folder from Android phone crashes app</t>
  </si>
  <si>
    <t xml:space="preserve">    Steps to reproduce_x000D_
1  Set up sync folder _x000D_
2  Configure local folder on SD card_x000D_
3  Start setting destination folder_x000D_
4  Create new folder from within this_x000D_
5  Set to this folder _x000D_
6  Watch it crash_x000D_
_x000D_
    Expected behaviour_x000D_
  Tell us what should happen_x000D_
_x000D_
    Actual behaviour_x000D_
  Tell us what happens_x000D_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CAUSE OF ERROR             _x000D_
_x000D_
java lang NullPointerException: Attempt to invoke virtual method  java lang String com owncloud android datamodel OCFile getRemotePath()  on a null object reference_x000D_
	at com owncloud android ui dialog CreateFolderDialogFragment onClick(CreateFolderDialogFragment java:140)_x000D_
	at androidx appcompat app AlertController ButtonHandler handleMessage(AlertController java:167)_x000D_
	at android os Handler dispatchMessage(Handler java:102)_x000D_
	at android os Looper loop(Looper java:154)_x000D_
	at android app ActivityThread main(ActivityThread java:6123)_x000D_
	at java lang reflect Method invoke(Native Method)_x000D_
	at com android internal os ZygoteInit MethodAndArgsCaller run(ZygoteInit java:867)_x000D_
	at com android internal os ZygoteInit main(ZygoteInit java:757)_x000D_
_x000D_
             APP INFORMATION             _x000D_
ID: com nextcloud client_x000D_
Version: 30100090_x000D_
Build flavor: gplay_x000D_
_x000D_
             DEVICE INFORMATION             _x000D_
Brand: motorola_x000D_
Device: athene_x000D_
Model: Moto G (4)_x000D_
Id: NPJS25 93 14 18_x000D_
Product: athene_x000D_
_x000D_
             FIRMWARE             _x000D_
SDK: 24_x000D_
Release: 7 0_x000D_
Incremental: 3_x000D_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</si>
  <si>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nextcloud-android-5377</t>
  </si>
  <si>
    <t>Error while using App or/and syncing</t>
  </si>
  <si>
    <t xml:space="preserve">Hi  _x000D_
_x000D_
If i Sync items or browse in the App  it crashes sometimes  While syncing the App often freeze  _x000D_
_x000D_
             CAUSE OF ERROR             _x000D_
_x000D_
android app RemoteServiceException: Context startForegroundService() did not then call Service startForeground(): ServiceRecord e1b2b07 u0 com nextcloud client com owncloud android services OperationsService _x000D_
	at android app ActivityThread H handleMessage(ActivityThread java:2038)_x000D_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30100090_x000D_
Build flavor: gplay_x000D_
_x000D_
             DEVICE INFORMATION             _x000D_
Brand: OnePlus_x000D_
Device: OnePlus7TPro_x000D_
Model: HD1913_x000D_
Id: QKQ1 190716 003_x000D_
Product: OnePlus7TPro_x000D_
_x000D_
             FIRMWARE             _x000D_
SDK: 29_x000D_
Release: 10_x000D_
Incremental: 1912060020_x000D_
_x000D_
Nextcloud Server Version_x000D_
17 0 2_x000D_
_x000D_
Nothing in Server logs  _x000D_
_x000D_
If you need more Information  Tell me  _x000D_
</t>
  </si>
  <si>
    <t>TeamNewPipe-NewPipe-3045</t>
  </si>
  <si>
    <t>Share a download from NewPipe creates an error. v18.2</t>
  </si>
  <si>
    <t xml:space="preserve">   Exception_x000D_
    User Action:   ui error_x000D_
    Request:   App crash  UI failure_x000D_
    Content Language:   GB_x000D_
    Service:   none_x000D_
    Version:   0 18 2_x000D_
    OS:   Linux Android 9   28_x000D_
_x000D_
_x000D_
 details  summary  b Crash log  b   summary  p _x000D_
_x000D_
   _x000D_
android os FileUriExposedException: file:   storage emulated 0 Download Irish Dancing Flashmob in Essex by Aer Lingus Regional and London Southend Airport mp4 exposed beyond app through ClipData Item getUri()_x000D_
	at android os StrictMode onFileUriExposed(StrictMode java:1978)_x000D_
	at android net Uri checkFileUriExposed(Uri java:2371)_x000D_
	at android content ClipData prepareToLeaveProcess(ClipData java:966)_x000D_
	at android content Intent prepareToLeaveProcess(Intent java:10917)_x000D_
	at android content Intent prepareToLeaveProcess(Intent java:10923)_x000D_
	at android content Intent prepareToLeaveProcess(Intent java:10902)_x000D_
	at android app Instrumentation execStartActivity(Instrumentation java:1671)_x000D_
	at android app Activity startActivityForResult(Activity java:4701)_x000D_
	at androidx fragment app FragmentActivity startActivityForResult(FragmentActivity java:676)_x000D_
	at android app Activity startActivityForResult(Activity java:4659)_x000D_
	at androidx fragment app FragmentActivity startActivityForResult(FragmentActivity java:663)_x000D_
	at android app Activity startActivity(Activity java:5020)_x000D_
	at android app Activity startActivity(Activity java:4988)_x000D_
	at us shandian giga ui adapter MissionAdapter shareFile(MissionAdapter java:384)_x000D_
	at us shandian giga ui adapter MissionAdapter handlePopupItem(MissionAdapter java:661)_x000D_
	at us shandian giga ui adapter MissionAdapter access 200(MissionAdapter java:85)_x000D_
	at us shandian giga ui adapter MissionAdapter ViewHolderItem lambda buildPopup 3 MissionAdapter ViewHolderItem(MissionAdapter java:934)_x000D_
	at us shandian giga ui adapter    Lambda MissionAdapter ViewHolderItem RgJD8t6gH83XiFLVb3LGB9 h96A onMenuItemClick(Unknown Source:2)_x000D_
	at android widget PopupMenu 1 onMenuItemSelected(PopupMenu java:105)_x000D_
	at com android internal view menu MenuBuilder dispatchMenuItemSelected(MenuBuilder java:776)_x000D_
	at com android internal view menu MenuItemImpl invoke(MenuItemImpl java:155)_x000D_
	at com android internal view menu MenuBuilder performItemAction(MenuBuilder java:923)_x000D_
	at com android internal view menu MenuBuilder performItemAction(MenuBuilder java:913)_x000D_
	at com android internal view menu MenuPopup onItemClick(MenuPopup java:128)_x000D_
	at android widget AdapterView performItemClick(AdapterView java:362)_x000D_
	at android widget AbsListView performItemClick(AbsListView java:1689)_x000D_
	at android widget AbsListView PerformClick run(AbsListView java:4130)_x000D_
	at android widget AbsListView 7 run(AbsListView java:6612)_x000D_
	at android os Handler handleCallback(Handler java:873)_x000D_
	at android os Handler dispatchMessage(Handler java:99)_x000D_
	at android os Looper loop(Looper java:214)_x000D_
	at android app ActivityThread main(ActivityThread java:7078)_x000D_
	at java lang reflect Method invoke(Native Method)_x000D_
	at com android internal os RuntimeInit MethodAndArgsCaller run(RuntimeInit java:494)_x000D_
	at com android internal os ZygoteInit main(ZygoteInit java:965)_x000D_
_x000D_
   _x000D_
  p   details _x000D_
 hr _x000D_
</t>
  </si>
  <si>
    <t>nextcloud-android-5373</t>
  </si>
  <si>
    <t>Cannot open any file from my nextcloud server</t>
  </si>
  <si>
    <t xml:space="preserve">    Steps to reproduce_x000D_
1  _x000D_
2  _x000D_
3  _x000D_
_x000D_
    Expected behaviour_x000D_
  Tell us what should happen_x000D_
After update to actual version(3 10) of android client i cannot open any file from my nextcloud server with previous version(3 9 2) everything works fine_x000D_
    Actual behaviour_x000D_
  Tell us what happens_x000D_
when i try to download a file apps crashes and i reveive an java error and app crashes_x000D_
    Environment data_x000D_
Android version:_x000D_
Android 9_x000D_
Device model: _x000D_
Motorola Moto x4_x000D_
Stock or customized system:_x000D_
Stock_x000D_
Nextcloud app version:_x000D_
3 10_x000D_
Nextcloud server version:_x000D_
17 0 3_x000D_
    Logs_x000D_
     Web server error log_x000D_
   _x000D_
Insert your webserver log here_x000D_
   _x000D_
_x000D_
     Nextcloud log (data nextcloud log)_x000D_
     CAUSE OF ERROR     _x000D_
_x000D_
javax net ssl SSLHandshakeException: java security cert CertPathValidatorException: Trust anchor for certification path not found _x000D_
	at com google android gms org conscrypt ConscryptFileDescriptorSocket startHandshake(:com google android gms 20104030 20 1 04 (100408 288960190):27)_x000D_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java:764)_x000D_
Caused by: java security cert CertificateException: java security cert CertPathValidatorException: Trust anchor for certification path not found _x000D_
	at com android org conscrypt TrustManagerImpl verifyChain(TrustManagerImpl java:661)_x000D_
	at com android org conscrypt TrustManagerImpl checkTrustedRecursive(TrustManagerImpl java:539)_x000D_
	at com android org conscrypt TrustManagerImpl checkTrusted(TrustManagerImpl java:495)_x000D_
	at com android org conscrypt TrustManagerImpl checkTrusted(TrustManagerImpl java:418)_x000D_
	at com android org conscrypt TrustManagerImpl getTrustedChainForServer(TrustManagerImpl java:339)_x000D_
	at android security net config NetworkSecurityTrustManager checkServerTrusted(NetworkSecurityTrustManager java:94)_x000D_
	at android security net config RootTrustManager checkServerTrusted(RootTrustManager java:88)_x000D_
	at java lang reflect Method invoke(Native Method)_x000D_
	at com google android gms org conscrypt Platform checkTrusted(:com google android gms 20104030 20 1 04 (100408 288960190):2)_x000D_
	at com google android gms org conscrypt Platform checkServerTrusted(:com google android gms 20104030 20 1 04 (100408 288960190):1)_x000D_
	at com google android gms org conscrypt ConscryptFileDescriptorSocket verifyCertificateChain(:com google android gms 20104030 20 1 04 (100408 288960190):7)_x000D_
	at com google android gms org conscrypt NativeCrypto SSL do handshake(Native Method)_x000D_
	at com google android gms org conscrypt NativeSsl doHandshake(:com google android gms 20104030 20 1 04 (100408 288960190):6)_x000D_
	at com google_x000D_
_x000D_
</t>
  </si>
  <si>
    <t>material-components-material-components-android-969</t>
  </si>
  <si>
    <t>[MaterialAlertDialogBuilder] Crash building dialog with Material Components app theme</t>
  </si>
  <si>
    <t xml:space="preserve">  Description:   Attempting to build a AlertDialog using the MaterialAlertDialogBuilder causes the app to crash in a AppCompatActivity  even though the application theme is set to a Material Components theme _x000D_
_x000D_
Stacktrace_x000D_
   text_x000D_
java lang IllegalArgumentException: The style on this component requires your app theme to be Theme AppCompat (or a descendant) _x000D_
        at com google android material internal ThemeEnforcement checkTheme(ThemeEnforcement java:243)_x000D_
        at com google android material internal ThemeEnforcement checkAppCompatTheme(ThemeEnforcement java:213)_x000D_
        at com google android material internal ThemeEnforcement checkCompatibleTheme(ThemeEnforcement java:148)_x000D_
        at com google android material internal ThemeEnforcement obtainStyledAttributes(ThemeEnforcement java:76)_x000D_
        at com google android material dialog MaterialDialogs getDialogBackgroundInsets(MaterialDialogs java:60)_x000D_
        at com google android material dialog MaterialAlertDialogBuilder  init (MaterialAlertDialogBuilder java:117)_x000D_
        at com google android material dialog MaterialAlertDialogBuilder  init (MaterialAlertDialogBuilder java:103)_x000D_
        at ninja hassie uni todo MainActivity 2 handleFault(MainActivity java:69)_x000D_
        at com backendless Persistence 1 handleFault(Persistence java:189)_x000D_
   _x000D_
_x000D_
  Expected behavior:   The dialog should build as the app theme is set to a Material Components theme _x000D_
_x000D_
  Source code:  _x000D_
styles xml_x000D_
   xml_x000D_
 resources _x000D_
         Base application theme     _x000D_
     style name  AppTheme  parent  Theme MaterialComponents Light DarkActionBar  _x000D_
             Customize your theme here     _x000D_
         item name  colorPrimary   color colorPrimary  item _x000D_
         item name  colorPrimaryDark   color colorPrimaryDark  item _x000D_
         item name  colorSecondary   color colorAccent  item _x000D_
      style _x000D_
  resources _x000D_
   _x000D_
_x000D_
MainActivity java_x000D_
   java_x000D_
public class MainActivity extends AppCompatActivity  _x000D_
       _x000D_
    new MaterialAlertDialogBuilder(getApplicationContext())_x000D_
          setMessage( Successfully added task )_x000D_
          setPositiveButton(android R string ok  null)_x000D_
          show() _x000D_
   _x000D_
_x000D_
  Android API version:   9 Pie_x000D_
_x000D_
  Material Library version:   1 2 0 alpha04_x000D_
_x000D_
  Device:   OnePlus 5T</t>
  </si>
  <si>
    <t>nextcloud-android-5372</t>
  </si>
  <si>
    <t>Crash when viewing a pdf file</t>
  </si>
  <si>
    <t xml:space="preserve">    Steps to reproduce_x000D_
1  Click on pdf file to view  Pdf file when not previously down loaded generates crash  Way to circumvent this problem is to force the downloas first _x000D_
_x000D_
2               CAUSE OF ERROR             _x000D_
_x000D_
javax net ssl SSLHandshakeException: java security cert CertPathValidatorException: Trust anchor for certification path not found _x000D_
	at com google android gms org conscrypt ConscryptFileDescriptorSocket startHandshake(:com google android gms 20104006 20 1 04 (020300 288960190):27)_x000D_
	at com google android gms org conscrypt KitKatPlatformOpenSSLSocketImplAdapter startHandshake(:com google android gms 20104006 20 1 04 (020300 288960190))_x000D_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run(lambda)_x000D_
	at java lang Thread run(Thread java:818)_x000D_
Caused by: java security cert CertificateException: java security cert CertPathValidatorException: Trust anchor for certification path not found _x000D_
	at com android org conscrypt TrustManagerImpl checkTrusted(TrustManagerImpl java:318)_x000D_
	at com android org conscrypt TrustManagerImpl checkServerTrusted(TrustManagerImpl java:219)_x000D_
	at java lang reflect Method invoke(Native Method)_x000D_
	at java lang reflect Method invoke(Method java:372)_x000D_
	at com google android gms org conscrypt Platform checkTrusted(:com google android gms 20104006 20 1 04 (020300 288960190):2)_x000D_
	at com google android gms org conscrypt Platform checkServerTrusted(:com google android gms 20104006 20 1 04 (020300 288960190):3)_x000D_
	at com google android gms org conscrypt ConscryptFileDescriptorSocket verifyCertificateChain(:com google android gms 20104006 20 1 04 (020300 288960190):7)_x000D_
	at com google android gms org conscrypt NativeCrypto SSL do handshake(Native Method)_x000D_
	at com google android gms org conscrypt NativeSsl doHandshake(:com google android gms 20104006 20 1 04 (020300 288960190):6)_x000D_
	at com google android gms org conscrypt ConscryptFileDescriptorSocket startHandshake(:com google android gms 20104006 20 1 04 (020300 288960190):14)_x000D_
	    27 more_x000D_
Caused by: java security cert CertPathValidatorException: Trust anchor for certification path not found _x000D_
	    37 more_x000D_
_x000D_
             APP INFORMATION             _x000D_
ID: com nextcloud client_x000D_
Version: 30100090_x000D_
Build flavor: gplay_x000D_
_x000D_
             DEVICE INFORMATION             _x000D_
Brand: lge_x000D_
Device: e9wifi_x000D_
Model: LG V700_x000D_
Id: LRX22G_x000D_
Product: e9wifi open com_x000D_
_x000D_
             FIRMWARE             _x000D_
SDK: 21_x000D_
Release: 5 0 2_x000D_
Incremental: 15286143492ab_x000D_
_x000D_
3  _x000D_
_x000D_
    Expected behaviour_x000D_
  Tell us what should happen_x000D_
_x000D_
    Actual behaviour_x000D_
  Tell us what happens_x000D_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</si>
  <si>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commons-app-apps-android-commons-3364</t>
  </si>
  <si>
    <t>Crash: Application crashes on uploading a large image</t>
  </si>
  <si>
    <t xml:space="preserve">  Summary:   _x000D_
_x000D_
The application crashes on uploading a very large image  In this case  the image size was 28 69MB _x000D_
_x000D_
_x000D_
  Steps to reproduce:   _x000D_
_x000D_
1  Find an image which has a large size _x000D_
2  Try uploading it  _x000D_
_x000D_
  System logs:  _x000D_
   _x000D_
java lang RuntimeException: Canvas: trying to draw too large(192000000bytes) bitmap _x000D_
        2020 02 02 05:35:10 603 30429 30429 fr free nrw commons beta E AndroidRuntime: FATAL EXCEPTION: main_x000D_
    Process: fr free nrw commons beta  PID: 30429_x000D_
    java lang RuntimeException: Canvas: trying to draw too large(192000000bytes) bitmap _x000D_
        at android view DisplayListCanvas throwIfCannotDraw(DisplayListCanvas java:229)_x000D_
        at android view RecordingCanvas drawBitmap(RecordingCanvas java:98)_x000D_
        at android graphics drawable BitmapDrawable draw(BitmapDrawable java:545)_x000D_
        at android widget ImageView onDraw(ImageView java:1360)_x000D_
        at android view View draw(View java:20238)_x000D_
        at android view View updateDisplayListIfDirty(View java:19113)_x000D_
        at android view View draw(View java:19966)_x000D_
        at android view ViewGroup drawChild(ViewGroup java:4337)_x000D_
        at android view ViewGroup dispatchDraw(ViewGroup java:4114)_x000D_
        at android view View updateDisplayListIfDirty(View java:19104)_x000D_
        at android view View draw(View java:19966)_x000D_
        at android view ViewGroup drawChild(ViewGroup java:4337)_x000D_
        at android view ViewGroup dispatchDraw(ViewGroup java:4114)_x000D_
        at android view View draw(View java:20241)_x000D_
        at androidx viewpager widget ViewPager draw(ViewPager java:2426)_x000D_
        at android view View updateDisplayListIfDirty(View java:19113)_x000D_
        at android view View draw(View java:19966)_x000D_
        at android view ViewGroup drawChild(ViewGroup java:4337)_x000D_
        at android view ViewGroup dispatchDraw(ViewGroup java:4114)_x000D_
        at android view View updateDisplayListIfDirty(View java:19104)_x000D_
        at android view View draw(View java:19966)_x000D_
        at android view ViewGroup drawChild(ViewGroup java:4337)_x000D_
        at android view ViewGroup dispatchDraw(ViewGroup java:4114)_x000D_
        at android view View updateDisplayListIfDirty(View java:19104)_x000D_
        at android view View draw(View java:19966)_x000D_
        at android view ViewGroup drawChild(ViewGroup java:4337)_x000D_
        at android view ViewGroup dispatchDraw(ViewGroup java:4114)_x000D_
        at android view View updateDisplayListIfDirty(View java:19104)_x000D_
        at android view View draw(View java:19966)_x000D_
        at android view ViewGroup drawChild(ViewGroup java:4337)_x000D_
        at android view ViewGroup dispatchDraw(ViewGroup java:4114)_x000D_
        at android view View updateDisplayListIfDirty(View java:19104)_x000D_
        at android view View draw(View java:19966)_x000D_
        at android view ViewGroup drawChild(ViewGroup java:4337)_x000D_
        at android view ViewGroup dispatchDraw(ViewGroup java:4114)_x000D_
        at android view View updateDisplayListIfDirty(View java:19104)_x000D_
        at android view View draw(View java:19966)_x000D_
        at android view ViewGroup drawChild(ViewGroup java:4337)_x000D_
        at android view ViewGroup dispatchDraw(ViewGroup java:4114)_x000D_
        at android view View draw(View java:20241)_x000D_
        at com android internal policy DecorView draw(DecorView java:784)_x000D_
        at android view View updateDisplayListIfDirty(View java:19113)_x000D_
        at android view ThreadedRenderer updateViewTreeDisplayList(ThreadedRenderer java:686)_x000D_
        at android view ThreadedRenderer updateRootDisplayList(ThreadedRenderer java:692)_x000D_
        at android view ThreadedRenderer draw(ThreadedRenderer java:801)_x000D_
        at android view ViewRootImpl draw(ViewRootImpl java:3403)_x000D_
        at android view ViewRootImpl performDraw(ViewRootImpl java:3193)_x000D_
        at android view ViewRootImpl performTraversals(ViewRootImpl java:2562)_x000D_
        at android view ViewRootImpl doTraversal(ViewRootImpl java:1532)_x000D_
        at android view ViewRootImpl TraversalRunnable run(ViewRootImpl java:7406)_x000D_
        at android view Choreographer CallbackRecord run(Choreographer java:1092)_x000D_
        at android view Choreographer doCallbacks(Choreographer java:888)_x000D_
        at android view Choreographer doFrame(Choreographer java:819)_x000D_
        at android view Choreographer FrameDisplayEventReceiver run(Choreographer java:1078)_x000D_
        at android os Handler handleCallback(Handler java:873)_x000D_
        at android os Handler dispatchMessage(Handler java:99)_x000D_
        at android os Looper loop(Looper java:201)_x000D_
        at android app ActivityThread main(ActivityThread java:6823)_x000D_
        at java lang reflect Method invoke(Native Method)_x000D_
        at com android internal os RuntimeInit MethodAndArgsCaller run(RuntimeInit java:547)_x000D_
        at com android internal os ZygoteInit main(ZygoteInit java:873)_x000D_
_x000D_
_x000D_
   _x000D_
_x000D_
  Device and Android version:   _x000D_
_x000D_
What make and model device: Redmi Note 7 Pro_x000D_
What Android version: Android 9_x000D_
_x000D_
 _x000D_
  Commons app version:   _x000D_
version: 2 12 2 debug_x000D_
branch: master_x000D_
_x000D_
  Would you like to work on the issue   _x000D_
_x000D_
Yes  I would like to work on this issue _x000D_
</t>
  </si>
  <si>
    <t>nextcloud-android-5370</t>
  </si>
  <si>
    <t>App crashes on 2FA notification approve when Google analytics is blocked</t>
  </si>
  <si>
    <t xml:space="preserve">    Steps to reproduce_x000D_
1  Enable 2FA via Notification_x000D_
2  Block all ad traffic with a pihole in your network_x000D_
3  Login in Website_x000D_
4  Open Android App_x000D_
5  Open notifications_x000D_
6  Approve     login works_x000D_
7  app crashes because Google analytics is not reachable_x000D_
_x000D_
    Expected behaviour_x000D_
  app does not crash_x000D_
_x000D_
    Actual behaviour_x000D_
  app crashes_x000D_
_x000D_
    Environment data_x000D_
Android version: 10_x000D_
_x000D_
Device model: OnePlus 7T pro_x000D_
_x000D_
Stock or customized system:_x000D_
_x000D_
Nextcloud app version: latest_x000D_
_x000D_
Nextcloud server version: 18_x000D_
_x000D_
    Logs_x000D_
     App error log_x000D_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java:919)_x000D_
Caused by: java lang ClassNotFoundException: com google firebase analytics connector AnalyticsConnector_x000D_
	    8 more_x000D_
_x000D_
             APP INFORMATION             _x000D_
ID: com nextcloud client_x000D_
Version: 30100090_x000D_
Build flavor: gplay_x000D_
_x000D_
             DEVICE INFORMATION             _x000D_
Brand: OnePlus_x000D_
Device: OnePlus7TPro_x000D_
Model: HD1913_x000D_
Id: QKQ1 190716 003_x000D_
Product: OnePlus7TPro EEA_x000D_
_x000D_
             FIRMWARE             _x000D_
SDK: 29_x000D_
Release: 10_x000D_
Incremental: 1912060020_x000D_
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</si>
  <si>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aws-amplify-aws-sdk-android-1510</t>
  </si>
  <si>
    <t>getIdentityId() returns null the first time after Sign In in Android, crashes app but if reopened behaves normally</t>
  </si>
  <si>
    <t xml:space="preserve">  Describe the bug  _x000D_
_x000D_
 getIdentityId()  returns  null  the first time after signing in  This will_x000D_
crashes the app  But when the app is reopened  things behave normally  _x000D_
_x000D_
Here s the code that I have tried:_x000D_
   java_x000D_
CognitoCachingCredentialsProvider credentialsProvider  _x000D_
    new CognitoCachingCredentialsProvider(_x000D_
        getApplicationContext()     Context_x000D_
         IDENTITY POOL ID      replaced by Identity Pool ID of mine _x000D_
        Regions AP SOUTH 1   Region_x000D_
    ) _x000D_
new Thread(new Runnable()  _x000D_
     Override_x000D_
    public void run()  _x000D_
       String identityId   credentialsProvider getIdentityId() _x000D_
     _x000D_
 ) start() _x000D_
   _x000D_
_x000D_
Had to start a new thread as it was giving error about using the main thread _x000D_
Another thing I tried:_x000D_
   java_x000D_
new Thread(new Runnable()  _x000D_
      Override_x000D_
     public void run()  _x000D_
         final AWSCredentials credentials   AWSMobileClient getInstance() getCredentials() _x000D_
      _x000D_
 ) start() _x000D_
String identityId   AWSMobileClient getInstance() getIdentityId() _x000D_
   _x000D_
_x000D_
Here s the error that shows up in Logcat:_x000D_
  Caused by: com amazonaws services s3 model AmazonS3Exception: Access Denied (Service: Amazon S3  Status Code: 403  Error Code: AccessDenied _x000D_
_x000D_
I get this same result every time _x000D_
_x000D_
  Expected behavior  _x000D_
Normal  smooth login_x000D_
_x000D_
  Desktop (please complete the following information):  _x000D_
   OS:  Android Oreo _x000D_
_x000D_
Thank you for your valuable time _x000D_
_x000D_
                        _x000D_
_x000D_
Update:_x000D_
_x000D_
Actually  the issue is that the identity ID I am getting from these methods_x000D_
calls the  getIdentityId()  2 or 3 times within few seconds  If it is called 3_x000D_
times  then one time it mostly comes  null   One is right  and one is wrong _x000D_
This crashes the app  but when restarted it behaves normal  I somehow took the_x000D_
ID in a  final  String and it s currently works but please solve the bug _x000D_
_x000D_
Thank you </t>
  </si>
  <si>
    <t>zoontek-react-native-bootsplash-58</t>
  </si>
  <si>
    <t>ViewGroup.removeView on null object reference</t>
  </si>
  <si>
    <t xml:space="preserve">Hi  Thanks for this awesome lib  Today I found a  weird  crash report coming from bootsplash  It has only been reported by a specific device so far  here are the details:_x000D_
_x000D_
      My environment_x000D_
_x000D_
  react native bootsplash version: 1 2 1_x000D_
  react native version: 0 61 5_x000D_
  Platform: Android_x000D_
  OS version: 5 0_x000D_
  Device: Samsung Galaxy Note 3_x000D_
  Android buildToolsVersion:  _x000D_
_x000D_
          Reproducing the issue_x000D_
I m not sure  how   but I think it s kinda my fault but perhaps it should also be addressed by this library if it hasn t already  I got two places where I call the method to hide the bootsplash:_x000D_
_x000D_
   js_x000D_
       somewhere in my boot  sequence _x000D_
useEffect(()     _x000D_
     If for some reason we take more than 2 seconds to boot_x000D_
     this hides bootsplash and shows a spinner_x000D_
  setTimeout(()    RNBootSplash hide(200)  2000) _x000D_
     ) _x000D_
_x000D_
useEffect(()     _x000D_
     Wait until we re ready to show the splashscreen_x000D_
  if (platformReady)  _x000D_
    RNBootSplash hide(200) _x000D_
   _x000D_
    platformReady ) _x000D_
   _x000D_
_x000D_
I m guessing that the second call to  RNBootSplash hide  could fail in this particular config because the  View  no longer exists and bootsplash doesn t handle that case  I wasn t handling that particular case because    well  I assumed it would just do nothing  _x000D_
_x000D_
This problem doesn t seem to affect any other device  yet   but I ll keep an eye on it _x000D_
_x000D_
 details _x000D_
 summary Stacktrace  summary _x000D_
_x000D_
   _x000D_
Fatal Exception: java lang NullPointerException: Attempt to invoke virtual method  void android view ViewGroup removeView(android view View)  on a null object reference_x000D_
       at com zoontek rnbootsplash RNBootSplashModule 1 1 onAnimationEnd(RNBootSplashModule java)_x000D_
       at android view ViewPropertyAnimator AnimatorEventListener onAnimationEnd(ViewPropertyAnimator java:1116)_x000D_
       at android animation ValueAnimator endAnimation(ValueAnimator java:1089)_x000D_
       at android animation ValueAnimator AnimationHandler doAnimationFrame(ValueAnimator java:666)_x000D_
       at android animation ValueAnimator AnimationHandler run(ValueAnimator java:682)_x000D_
       at android view Choreographer CallbackRecord run(Choreographer java:777)_x000D_
       at android view Choreographer doCallbacks(Choreographer java:590)_x000D_
       at android view Choreographer doFrame(Choreographer java:559)_x000D_
       at android view Choreographer FrameDisplayEventReceiver run(Choreographer java:763)_x000D_
       at android os Handler handleCallback(Handler java:739)_x000D_
       at android os Handler dispatchMessage(Handler java:95)_x000D_
       at android os Looper loop(Looper java:145)_x000D_
       at android app ActivityThread main(ActivityThread java:5942)_x000D_
       at java lang reflect Method invoke(Method java)_x000D_
       at java lang reflect Method invoke(Method java:372)_x000D_
       at com android internal os ZygoteInit MethodAndArgsCaller run(ZygoteInit java:1399)_x000D_
       at com android internal os ZygoteInit main(ZygoteInit java:1194)_x000D_
   _x000D_
  details _x000D_
_x000D_
     Solution_x000D_
_x000D_
I m not sure  Perhaps checking if the reference is not null before calling  removeView   I ll try to add a check on the React side to avoid calling  RNBootSplash hide  twice and see if this fixes the issue for me _x000D_
_x000D_
I m not an Android dev  so I haven t checked the code to see if perhaps that s exactly what happened here </t>
  </si>
  <si>
    <t>ElderDrivers-EdXposed-456</t>
  </si>
  <si>
    <t>[BUG]  'java.lang.Class java.lang.Object.getClass()' on a null object reference on Sandhook version</t>
  </si>
  <si>
    <t xml:space="preserve">       What happened   _x000D_
_x000D_
On Samsung S8 with latest Android 9  when opening contacts app the app crashes _x000D_
This happens when using my Firefds Kit module with this code:_x000D_
 try  _x000D_
            XposedHelpers findAndHookMethod(CSC FEATURE UTIL _x000D_
                    classLoader _x000D_
                     getDisablePhoneNumberFormatting  _x000D_
                    XC MethodReplacement returnConstant(prefs_x000D_
                             getBoolean(PREF DISABLE NUMBER FORMATTING  false))) _x000D_
          catch (Throwable e)  _x000D_
            XposedBridge log(e) _x000D_
          _x000D_
_x000D_
The method the module is trying to hook to is:_x000D_
 public static boolean getDisablePhoneNumberFormatting()_x000D_
   _x000D_
    return sCscFeatureDataSource h() _x000D_
    _x000D_
_x000D_
This crash only happens on EdXposed Sandhook version  When using YAHFA version this crash doesn t happen_x000D_
_x000D_
  Xposed     Xposed Module List  _x000D_
_x000D_
Firefds Kit  Pie _x000D_
Gravity Box  P _x000D_
NoAds For Youtube_x000D_
YouTube Background Player_x000D_
_x000D_
  Magisk     Magisk Module List  _x000D_
_x000D_
Magisk 20 3_x000D_
Magisk Manager 7 5 1_x000D_
_x000D_
  EdXposed Riru   Versions of EdXposed and Riru  _x000D_
_x000D_
EdXposed:_x000D_
0 4 5 1 beta Sandhook_x000D_
Riru:_x000D_
19 6_x000D_
_x000D_
    Logcat Logcat  _x000D_
2020 01 31 23:25:27 661 14435 14458   E AndroidRuntime: FATAL EXCEPTION: RxSingleScheduler 1_x000D_
    Process: com samsung android contacts  PID: 14435_x000D_
    a a c h: Attempt to invoke virtual method  java lang Class java lang Object getClass()  on a null object reference_x000D_
        at a a e d h a (EmptyCompletableObserver java:51)_x000D_
        at a a e e a v a (CompletableSubscribeOn java:74)_x000D_
        at a a e e a l b(CompletableFromAction java:38)_x000D_
        at a a b a(Completable java:1686)_x000D_
        at a a e e a v run(CompletableSubscribeOn java:64)_x000D_
        at a a e g v a(ScheduledDirectTask java:38)_x000D_
        at a a e g v call(ScheduledDirectTask java:26)_x000D_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java lang NullPointerException: Attempt to invoke virtual method  java lang Class java lang Object getClass()  on a null object reference_x000D_
        at com samsung android dialtacts util c c a(AppLogDataSource java:156)_x000D_
        at com samsung android dialtacts util c c k(AppLogDataSource java:133)_x000D_
        at com samsung android dialtacts util b k(AppLog java:94)_x000D_
        at com samsung android dialtacts model internal datasource kr k(TelephonyDataSource java:310)_x000D_
        at com samsung android dialtacts model ak a b(SimModel java:128)_x000D_
        at com samsung android contacts ContactApplication a(ContactApplication java:75)_x000D_
        at com samsung android contacts a run(Unknown Source:2)_x000D_
        at a a e e a l b(CompletableFromAction java:34)_x000D_
        at a a b a(Completable java:1686) _x000D_
        at a a e e a v run(CompletableSubscribeOn java:64) _x000D_
        at a a e g v a(ScheduledDirectTask java:38) _x000D_
        at a a e g v call(ScheduledDirectTask java:26) _x000D_
        at java util concurrent FutureTask run(FutureTask java:266) _x000D_
        at java util concurrent ScheduledThreadPoolExecutor ScheduledFutureTask run(ScheduledThreadPoolExecutor java:301) _x000D_
        at java util concurrent ThreadPoolExecutor runWorker(ThreadPoolExecutor java:1167) _x000D_
        at java util concurrent ThreadPoolExecutor Worker run(ThreadPoolExecutor java:641) _x000D_
        at java lang Thread run(Thread java:764) </t>
  </si>
  <si>
    <t>nextcloud-android-5366</t>
  </si>
  <si>
    <t>crash after login during accsess filesystem</t>
  </si>
  <si>
    <t xml:space="preserve">    Steps to reproduce_x000D_
1  downlod nextcloud app form fdroid_x000D_
2  Start the APP and login_x000D_
3  Grant accsess to the filesystem_x000D_
_x000D_
    Expected behaviour_x000D_
  Tell us what should happen_x000D_
APP crashs_x000D_
    Actual behaviour_x000D_
  Tell us what happens_x000D_
_x000D_
    Environment data_x000D_
Android version:_x000D_
9_x000D_
Device model: _x000D_
_x000D_
Stock or customized system:_x000D_
lineage os 16 0_x000D_
Nextcloud app version:_x000D_
3 9 2_x000D_
Nextcloud server version:_x000D_
17 0 1_x000D_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Nextcloud app log:_x000D_
   _x000D_
             CAUSE OF ERROR             _x000D_
_x000D_
java lang RuntimeException: Error receiving broadcast Intent   act com owncloud android operations RefreshFolderOperation EVENT SINGLE FOLDER CONTENTS SYNCED flg 0x10 pkg com nextcloud client (has extras)   in com owncloud android ui activity FileDisplayActivity SyncBroadcastReceiver 5f8a131_x000D_
at android app LoadedApk ReceiverDispatcher Args lambda getRunnable 0(LoadedApk java:1401)_x000D_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java:491)_x000D_
at com android internal os ZygoteInit main(ZygoteInit java:858)_x000D_
Caused by: java lang SecurityException: Permission Denial: unbroadcastIntent() from pid 9153  uid 1010109 requires android permission BROADCAST STICKY_x000D_
at android os Parcel createException(Parcel java:1950)_x000D_
at android os Parcel readException(Parcel java:1918)_x000D_
at android os Parcel readException(Parcel java:1868)_x000D_
at android app IActivityManager Stub Proxy unbroadcastIntent(IActivityManager java:3920)_x000D_
at android app ContextImpl removeStickyBroadcast(ContextImpl java:1346)_x000D_
at android content ContextWrapper removeStickyBroadcast(ContextWrapper java:588)_x000D_
at com owncloud android ui activity FileDisplayActivity SyncBroadcastReceiver onReceive(FileDisplayActivity java:1415)_x000D_
at android app LoadedApk ReceiverDispatcher Args lambda getRunnable 0(LoadedApk java:1391)_x000D_
    8 more_x000D_
Caused by: android os RemoteException: Remote stack trace:_x000D_
at com android server am ActivityManagerService unbroadcastIntent(ActivityManagerService java:22177)_x000D_
at android app IActivityManager Stub onTransact(IActivityManager java:183)_x000D_
at com android server am ActivityManagerService onTransact(ActivityManagerService java:3377)_x000D_
at android os Binder execTransact(Binder java:731)_x000D_
_x000D_
             APP INFORMATION             _x000D_
ID: com nextcloud client_x000D_
Version: 30090290_x000D_
Build flavor: generic_x000D_
_x000D_
             DEVICE INFORMATION             _x000D_
Brand: samsung_x000D_
Device: gts28vewifi_x000D_
Model: SM T713_x000D_
Id: PQ3A 190801 002_x000D_
Product: gts28vewifixx_x000D_
_x000D_
             FIRMWARE             _x000D_
SDK: 28_x000D_
Release: 9_x000D_
Incremental: c7b85eec51 _x000D_
   </t>
  </si>
  <si>
    <t>armpatch-TrainingLog-13</t>
  </si>
  <si>
    <t>Cannot add exercises to other days</t>
  </si>
  <si>
    <t xml:space="preserve">crashes when you try to add an exercise to another day </t>
  </si>
  <si>
    <t>nextcloud-android-5364</t>
  </si>
  <si>
    <t>Nextcloud App crashs after upgrade to 17</t>
  </si>
  <si>
    <t xml:space="preserve">Not similar to Issue  5305_x000D_
    Steps to reproduce_x000D_
1  Every time I start the app Nextcloud client (3 10 0) on Samsung Galaxy S9  immedately the app crash with report CAUSE OF ERROR   no access to Nextcloud server  This status is after I ve initialed the access from app to server  In server log I find the authorization for the device Samsung Galaxy  _x000D_
_x000D_
    What happened before the issue    _x000D_
2  the same Nextcloud App works fine to server Nextcloud 16 0 7_x000D_
3  I upgrade manually the server to 17 0 2_x000D_
4  Access to Nextcloud with webgui (Mozilla  Chrome  Edge etc) and Nextcloud app iOS (iPhone) works fine  like the desktop client too (Windows 10)_x000D_
5  Only the app Nextcloud client (3 10 0) crashs  Two times app uninstalled und re installed   no benefice  _x000D_
_x000D_
    Actual behaviour_x000D_
  see point  1_x000D_
_x000D_
    Environment data_x000D_
_x000D_
             APP INFORMATION             _x000D_
ID: com nextcloud client_x000D_
Version: 30100090_x000D_
Build flavor: gplay_x000D_
_x000D_
             DEVICE INFORMATION             _x000D_
Brand: samsung_x000D_
Device: star2lte_x000D_
Model: SM G965F_x000D_
Id: xxxx xxxxxx xxx_x000D_
Product: star2ltexx_x000D_
_x000D_
             FIRMWARE             _x000D_
SDK: 28_x000D_
Release: 9_x000D_
Incremental: G965FXxxxxxxx_x000D_
_x000D_
_x000D_
Android version:  9_x000D_
_x000D_
Stock or customized system:_x000D_
_x000D_
Nextcloud app version: 3 10 0 (January  17  2020)_x000D_
_x000D_
Nextcloud server version: 17 0 2_x000D_
_x000D_
    Logs_x000D_
     Web server error log_x000D_
   _x000D_
Insert your webserver log here_x000D_
   _x000D_
_x000D_
     Nextcloud log (data nextcloud log)_x000D_
    this appare after I start the Nextcloud App Android_x000D_
_x000D_
             CAUSE OF ERROR             _x000D_
_x000D_
java lang ArrayIndexOutOfBoundsException: length 1  index 1_x000D_
	at com owncloud android ui adapter OCFileListAdapter showFederatedShareAvatar(OCFileListAdapter java:558)_x000D_
	at com owncloud android ui adapter OCFileListAdapter onBindViewHolder(OCFileListAdapter java:433)_x000D_
	at androidx recyclerview widget RecyclerView Adapter onBindViewHolder(RecyclerView java:7065)_x000D_
	at androidx recyclerview widget RecyclerView Adapter bindViewHolder(RecyclerView java:7107)_x000D_
	at androidx recyclerview widget RecyclerView Recycler tryBindViewHolderByDeadline(RecyclerView java:6012)_x000D_
	at androidx recyclerview widget RecyclerView Recycler tryGetViewHolderForPositionByDeadline(RecyclerView java:6279)_x000D_
	at androidx recyclerview widget RecyclerView Recycler getViewForPosition(RecyclerView java:6118)_x000D_
	at androidx recyclerview widget RecyclerView Recycler getViewForPosition(RecyclerView java:6114)_x000D_
	at androidx recyclerview widget LinearLayoutManager LayoutState next(LinearLayoutManager java:2303)_x000D_
	at androidx recyclerview widget LinearLayoutManager layoutChunk(LinearLayoutManager java:1627)_x000D_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java:4134)_x000D_
	at androidx recyclerview widget RecyclerView dispatchLayout(RecyclerView java:3851)_x000D_
	at androidx recyclerview widget RecyclerView onLayout(RecyclerView java:4404)_x000D_
	at android view View layout(View java:22398)_x000D_
	at android view ViewGroup layout(ViewGroup java:6577)_x000D_
	at androidx swiperefreshlayout widget SwipeRefreshLayout onLayout(SwipeRefreshLayout java:625)_x000D_
	at android view View layout(View java:22398)_x000D_
	at android view ViewGroup layout(ViewGroup java:6577)_x000D_
	at androidx coordinatorlayout widget CoordinatorLayout layoutChild(CoordinatorLayout java:1213)_x000D_
	at androidx coordinatorlayout widget CoordinatorLayout onLayoutChild(CoordinatorLayout java:899)_x000D_
	at androidx coordinatorlayout widget CoordinatorLayout onLayout(CoordinatorLayout java:919)_x000D_
	at android view View layout(View java:22398)_x000D_
	at android view ViewGroup layout(ViewGroup java:6577)_x000D_
	at android widget RelativeLayout onLayout(RelativeLayout java:1083)_x000D_
	at android view View layout(View java:22398)_x000D_
	at android view ViewGroup layout(ViewGroup java:6577)_x000D_
	at android widget FrameLayout layoutChildren(FrameLayout java:323)_x000D_
	at android widget FrameLayout onLayout(FrameLayout java:261)_x000D_
	at android view View layout(View java:22398)_x000D_
	at android view ViewGroup layout(ViewGroup java:6577)_x000D_
	at android widget LinearLayout setChildFrame(LinearLayout java:1812)_x000D_
	at android widget LinearLayout layoutHorizontal(LinearLayout java:1801)_x000D_
	at android widget LinearLayout onLayout(LinearLayout java:1567)_x000D_
	at android view View layout(View java:22398)_x000D_
	at android view ViewGroup layout(ViewGroup java:6577)_x000D_
	at android widget LinearLayout setChildFrame(LinearLayout java:1812)_x000D_
	at android widget LinearLayout layoutVertical(LinearLayout java:1656)_x000D_
	at android widget LinearLayout onLayout(LinearLayout java:1565)_x000D_
	at android view View layout(View java:22398)_x000D_
	at android view ViewGroup layout(ViewGroup java:6577)_x000D_
	at androidx drawerlayout widget DrawerLayout onLayout(DrawerLayout java:1231)_x000D_
	at android view View layout(View java:22398)_x000D_
	at android view ViewGroup layout(ViewGroup java:6577)_x000D_
	at android widget FrameLayout layoutChildren(FrameLayout java:323)_x000D_
	at android widget FrameLayout onLayout(FrameLayout java:261)_x000D_
	at android view View layout(View java:22398)_x000D_
	at android view ViewGroup layout(ViewGroup java:6577)_x000D_
	at android widget FrameLayout layoutChildren(FrameLayout java:323)_x000D_
	at android widget FrameLayout onLayout(FrameLayout java:261)_x000D_
	at android view View layout(View java:22398)_x000D_
	at android view ViewGroup layout(ViewGroup java:6577)_x000D_
	at android widget FrameLayout layoutChildren(FrameLayout java:323)_x000D_
	at android widget FrameLayout onLayout(FrameLayout java:261)_x000D_
	at android view View layout(View java:22398)_x000D_
	at android view ViewGroup layout(ViewGroup java:6577)_x000D_
	at android widget LinearLayout setChildFrame(LinearLayout java:1812)_x000D_
	at android widget LinearLayout layoutVertical(LinearLayout java:1656)_x000D_
	at android widget LinearLayout onLayout(LinearLayout java:1565)_x000D_
	at android view View layout(View java:22398)_x000D_
	at android view ViewGroup layout(ViewGroup java:6577)_x000D_
	at android widget FrameLayout layoutChildren(FrameLayout java:323)_x000D_
	at android widget FrameLayout onLayout(FrameLayout java:261)_x000D_
	at com android internal policy DecorView onLayout(DecorView java:1042)_x000D_
	at android view View layout(View java:22398)_x000D_
	at android view ViewGroup layout(ViewGroup java:6577)_x000D_
	at android view ViewRootImpl performLayout(ViewRootImpl java:3363)_x000D_
	at android view ViewRootImpl performTraversals(ViewRootImpl java:2827)_x000D_
	at android view ViewRootImpl doTraversal(ViewRootImpl java:1873)_x000D_
	at android view ViewRootImpl TraversalRunnable run(ViewRootImpl java:8478)_x000D_
	at android view Choreographer CallbackRecord run(Choreographer java:949)_x000D_
	at android view Choreographer doCallbacks(Choreographer java:761)_x000D_
	at android view Choreographer doFrame(Choreographer java:696)_x000D_
	at android view Choreographer FrameDisplayEventReceiver run(Choreographer java:935)_x000D_
	at android os Handler handleCallback(Handler java:873)_x000D_
	at android os Handler dispatchMessage(Handler java:99)_x000D_
	at android os Looper loop(Looper java:214)_x000D_
	at android app ActivityThread main(ActivityThread java:6986)_x000D_
	at java lang reflect Method invoke(Native Method)_x000D_
	at com android internal os RuntimeInit MethodAndArgsCaller run(RuntimeInit java:494)_x000D_
	at com android internal os ZygoteInit main(ZygoteInit java:1445)_x000D_
   _x000D_
_x000D_
Thanks for your help _x000D_
Bye_x000D_
_x000D_
  NOTE:   Be super sure to remove sensitive data like passwords  note that everybody can look here  You can use the Issue Template application to prefill some of the required information: https:  apps nextcloud com apps issuetemplate_x000D_
</t>
  </si>
  <si>
    <t>nextcloud-android-5362</t>
  </si>
  <si>
    <t>Webview on lolilop crashes</t>
  </si>
  <si>
    <t xml:space="preserve">Hi _x000D_
_x000D_
When a user wants to connect on Lolipop (API 22) through web view  the client crashes _x000D_
Here is the stacktrace : _x000D_
_x000D_
   _x000D_
01 31 16:04:31 432 4817 4817 com nextcloud client E AndroidRuntime: FATAL EXCEPTION: main_x000D_
    Process: com nextcloud client  PID: 4817_x000D_
    android view InflateException: Binary XML file line  7: Error inflating class android webkit WebView_x000D_
        at android view LayoutInflater createView(LayoutInflater java:633)_x000D_
        at com android internal policy impl PhoneLayoutInflater onCreateView(PhoneLayoutInflater java:55)_x000D_
        at android view LayoutInflater onCreateView(LayoutInflater java:682)_x000D_
        at android view LayoutInflater createViewFromTag(LayoutInflater java:741)_x000D_
        at android view LayoutInflater rInflate(LayoutInflater java:806)_x000D_
        at android view LayoutInflater inflate(LayoutInflater java:504)_x000D_
        at android view LayoutInflater inflate(LayoutInflater java:414)_x000D_
        at android view LayoutInflater inflate(LayoutInflater java:365)_x000D_
        at androidx appcompat app AppCompatDelegateImpl setContentView(AppCompatDelegateImpl java:555)_x000D_
        at androidx appcompat app AppCompatActivity setContentView(AppCompatActivity java:161)_x000D_
        at com owncloud android authentication AuthenticatorActivity onGetServerInfoFinish(AuthenticatorActivity java:1319)_x000D_
        at com owncloud android authentication AuthenticatorActivity onRemoteOperationFinish(AuthenticatorActivity java:1218)_x000D_
        at com owncloud android services OperationsService lambda dispatchResultToOperationListeners 0(OperationsService java:716)_x000D_
        at com owncloud android services    Lambda OperationsService 2BVgsxDpOpa4JqgzeD7OGZBLSiI run(lambda)_x000D_
        at android os Handler handleCallback(Handler java:739)_x000D_
        at android os Handler dispatchMessage(Handler java:95)_x000D_
        at android os Looper loop(Looper java:135)_x000D_
        at android app ActivityThread main(ActivityThread java:5254)_x000D_
        at java lang reflect Method invoke(Native Method)_x000D_
        at java lang reflect Method invoke(Method java:372)_x000D_
        at com android internal os ZygoteInit MethodAndArgsCaller run(ZygoteInit java:903)_x000D_
        at com android internal os ZygoteInit main(ZygoteInit java:698)_x000D_
   _x000D_
_x000D_
It happens only on lolipop (api 22)  on all nc versions _x000D_
</t>
  </si>
  <si>
    <t>nextcloud-android-5356</t>
  </si>
  <si>
    <t>Frequent Crashes on Nokia 7.2</t>
  </si>
  <si>
    <t xml:space="preserve">    Steps to reproduce_x000D_
1  I don t know what causes it  The app simply crashes sporadically _x000D_
2  I am pretty sure it only happens when the screen is off _x000D_
_x000D_
    Expected behaviour_x000D_
  No crashes_x000D_
_x000D_
    Actual behaviour_x000D_
  Full screen crash notification appears_x000D_
  Stack trace:_x000D_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sFUCr3tcpzZGIGXhx9vFIA   base apk   nativeLibraryDirectories   data app com nextcloud client sFUCr3tcpzZGIGXhx9vFIA   lib arm64   data app com nextcloud client sFUCr3tcpzZGIGXhx9vFIA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30100090_x000D_
Build flavor: gplay_x000D_
_x000D_
             DEVICE INFORMATION             _x000D_
Brand: Nokia_x000D_
Device: DDV sprout_x000D_
Model: Nokia 7 2_x000D_
Id: PKQ1 190118 001_x000D_
Product: Daredevil 00EEA_x000D_
_x000D_
             FIRMWARE             _x000D_
SDK: 28_x000D_
Release: 9_x000D_
Incremental: 00WW 1 400_x000D_
_x000D_
</t>
  </si>
  <si>
    <t>aws-amplify-aws-sdk-android-1461</t>
  </si>
  <si>
    <t>Number format exception Transfer Record</t>
  </si>
  <si>
    <t xml:space="preserve">Sharing the crash logs_x000D_
_x000D_
AWS s3 transfer utility causes crash  Have seen similar bug _x000D_
https:  github com aws amplify aws sdk android issues 1093 in which it was suggested to remove  awss3transfertable db which i have not tried  But I have tried updating to the latest version but still issues are reported  _x000D_
_x000D_
Caused by java lang NumberFormatException_x000D_
For input string:  ANY _x000D_
_x000D_
sun misc FloatingDecimal readJavaFormatString (FloatingDecimal java:2043)_x000D_
sun misc FloatingDecimal parseDouble (FloatingDecimal java:110)_x000D_
java lang Double parseDouble (Double java:538)_x000D_
com google gson stream JsonReader nextInt (JsonReader java:186)_x000D_
com google gson internal bind TypeAdapters 7 a (TypeAdapters java:13)_x000D_
com google gson internal bind TypeAdapters 7 read (TypeAdapters java)_x000D_
com google gson internal bind ReflectiveTypeAdapterFactory 1 a (ReflectiveTypeAdapterFactory java:2)_x000D_
com google gson internal bind ReflectiveTypeAdapterFactory Adapter a (ReflectiveTypeAdapterFactory java:47)_x000D_
com google gson Gson a (Gson java:20)_x000D_
com google gson Gson a (Gson java:4)_x000D_
com google gson Gson a (Gson java:9)_x000D_
com google gson Gson assertFullConsumption (Gson java)_x000D_
_x000D_
com amazonaws mobileconnectors s3 transferutility TransferRecord a (TransferRecord java:422)_x000D_
com amazonaws mobileconnectors s3 transferutility TransferDBUtil getTransferById (TransferDBUtil java:16)_x000D_
com amazonaws mobileconnectors s3 transferutility TransferUtility a (TransferUtility java:20)_x000D_
com amazonaws mobileconnectors s3 transferutility TransferUtility a (TransferUtility java:2)_x000D_
com amazonaws mobileconnectors s3 transferutility TransferUtility a (TransferUtility java:23)_x000D_
_x000D_
_x000D_
   AWS Android SDK Version:  e g  2 16 6  older versions also _x000D_
   Device:  e g  Galaxy S9 and many devices _x000D_
   Android Version:  9 _x000D_
_x000D_
_x000D_
</t>
  </si>
  <si>
    <t>fossasia-open-event-organizer-android-2065</t>
  </si>
  <si>
    <t>bug: crash when describe event left empty and back pressed</t>
  </si>
  <si>
    <t xml:space="preserve">  Describe the bug  _x000D_
App crashes in Update Event Fragment when describing the event text view is left empty and back _x000D_
the button is pressed _x000D_
_x000D_
  To Reproduce  _x000D_
1  Go to any event _x000D_
2  Click Update Event _x000D_
3  Briefly describe the event editor left empty _x000D_
4  Back Button is pressed _x000D_
_x000D_
  Expected behavior  _x000D_
Crash Must Not Happen if no changes or text view is empty _x000D_
_x000D_
_x000D_
  Logs  _x000D_
FATAL EXCEPTION: main_x000D_
    Process: com eventyay organizer  PID: 13204_x000D_
    java lang NullPointerException: Attempt to invoke virtual method  boolean java lang String equals(java lang Object)  on a null object reference_x000D_
        at com eventyay organizer ui editor RichEditorActivity onBackPressed(RichEditorActivity java:116)_x000D_
        at com eventyay organizer ui editor RichEditorActivity onOptionsItemSelected(RichEditorActivity java:103)_x000D_
        at android app Activity onMenuItemSelected(Activity java:3208)_x000D_
        at androidx fragment app FragmentActivity onMenuItemSelected(FragmentActivity java:383)_x000D_
        at androidx appcompat app AppCompatActivity onMenuItemSelected(AppCompatActivity java:219)_x000D_
        at androidx appcompat view WindowCallbackWrapper onMenuItemSelected(WindowCallbackWrapper java:109)_x000D_
        at androidx appcompat view WindowCallbackWrapper onMenuItemSelected(WindowCallbackWrapper java:109)_x000D_
        at androidx appcompat widget ToolbarWidgetWrapper 1 onClick(ToolbarWidgetWrapper java:188)_x000D_
        at android view View performClick(View java:5637)_x000D_
        at android view View PerformClick run(View java:22433)_x000D_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_x000D_
  Screenshots  _x000D_
     If applicable  add screenshots to help explain your problem     _x000D_
  GIF 200130 205531 (https:  user images githubusercontent com 38184186 73463360 22c09c80 43a3 11ea 8910 5e03e03e1a8a gif)_x000D_
_x000D_
_x000D_
_x000D_
  Smartphone Info:  _x000D_
     Please complete the following information    _x000D_
                   _x000D_
                   _x000D_
 Device           Moto E2  _x000D_
 Android Version  7 1 2 Nougat   _x000D_
_x000D_
_x000D_
_x000D_
  Would you like to work on the issue   _x000D_
     Please let us know if you can work on it or the issue should be assigned to someone else     _x000D_
   x  Yes</t>
  </si>
  <si>
    <t>ElderDrivers-EdXposed-454</t>
  </si>
  <si>
    <t>[BUG] EdXposed is installed but not active</t>
  </si>
  <si>
    <t xml:space="preserve">       What happened   _x000D_
_x000D_
          SELinux        _x000D_
_x000D_
  Xposed     Xposed Module List  _x000D_
_x000D_
     Screenshot allowed_x000D_
_x000D_
  Magisk     Magisk Module List  _x000D_
_x000D_
     Screenshot allowed_x000D_
_x000D_
  EdXposed Riru   Versions of EdXposed and Riru  _x000D_
_x000D_
EdXposed:4504 sandhook yahfa   _x000D_
_x000D_
Riru:19 6_x000D_
_x000D_
    Logcat Logcat  _x000D_
_x000D_
               log       It can help us to locate issue  must use our logcat module_x000D_
          beginning of head_x000D_
EdXposed Log_x000D_
Powered by Log Catcher_x000D_
QQ support group: 855219808_x000D_
Telegram support group:  Code Of MeowCat_x000D_
Telegram channel:  EdXposed_x000D_
          beginning of information_x000D_
Manufacturer: OnePlus_x000D_
Brand: OnePlus_x000D_
Device: OnePlus7_x000D_
Product: OnePlus7_x000D_
Model: GM1900_x000D_
Fingerprint: OnePlus OnePlus7 OnePlus7:10 QKQ1 190716 003 1912141900:user release keys_x000D_
ROM description: OnePlus7 user 10 QKQ1 190716 003 1912141900 release keys_x000D_
Architecture: arm64 v8a_x000D_
Android build: QKQ1 190716 003_x000D_
Android version: 10_x000D_
Android sdk: 29_x000D_
EdXposed version: v0 4 6 1 (4504) tdgptedc (SandHook)_x000D_
EdXposed api: 90 0_x000D_
Riru version: v19 6 (28)_x000D_
Riru api: 4_x000D_
Magisk: 20 3:MAGISKSU (20300)_x000D_
          beginning of main_x000D_
          beginning of system_x000D_
01 30 21:24:05 091   819   819 I EdXposed: onModuleLoaded: welcome to EdXposed _x000D_
01 30 21:24:05 091   819   819 I EdXposed: Start to install inline hooks_x000D_
01 30 21:24:05 091   819   819 I EdXposed: Using api level 29_x000D_
01 30 21:24:05 091   819   819 I EdXposed: Start to install Riru hook_x000D_
01 30 21:24:05 098   819   819 I EdXposed: Riru hooks installed_x000D_
01 30 21:24:05 154   820   820 I EdXposed: onModuleLoaded: welcome to EdXposed _x000D_
01 30 21:24:05 154   820   820 I EdXposed: Start to install inline hooks_x000D_
01 30 21:24:05 154   820   820 I EdXposed: Using api level 29_x000D_
01 30 21:24:05 154   820   820 I EdXposed: Start to install Riru hook_x000D_
01 30 21:24:05 165   820   820 I EdXposed: Riru hooks installed_x000D_
01 30 21:24:05 178   819   819 I EdXposed: ART hooks installed_x000D_
01 30 21:24:05 179   819   819 I EdXposed: system property get: dalvik vm dex2oat filter    quicken_x000D_
01 30 21:24:05 179   819   819 I EdXposed: system property get: dalvik vm dex2oat flags      inline max code units 0_x000D_
01 30 21:24:05 269   820   820 I EdXposed: ART hooks installed_x000D_
01 30 21:24:05 269   820   820 I EdXposed: system property get: dalvik vm dex2oat filter    quicken_x000D_
01 30 21:24:05 269   820   820 I EdXposed: system property get: dalvik vm dex2oat flags      inline max code units 0_x000D_
01 30 21:24:05 387   819   819 I EdXposed: using installer org meowcat edxposed manager_x000D_
01 30 21:24:05 388   819   819 I EdXposed: application list mode: false  using whitelist: false_x000D_
01 30 21:24:05 388   819   819 I EdXposed: dynamic modules mode: false_x000D_
01 30 21:24:05 388   819   819 I EdXposed: resources hook: true_x000D_
01 30 21:24:05 388   819   819 I EdXposed: deopt boot image: false_x000D_
01 30 21:24:05 388   819   819 I EdXposed: no module log: false_x000D_
01 30 21:24:05 440   820   820 I EdXposed: using installer org meowcat edxposed manager_x000D_
01 30 21:24:05 441   820   820 I EdXposed: application list mode: false  using whitelist: false_x000D_
01 30 21:24:05 441   820   820 I EdXposed: dynamic modules mode: false_x000D_
01 30 21:24:05 441   820   820 I EdXposed: resources hook: true_x000D_
01 30 21:24:05 441   820   820 I EdXposed: deopt boot image: false_x000D_
01 30 21:24:05 441   820   820 I EdXposed: no module log: false_x000D_
          beginning of crash_x000D_
01 30 21:24:33 182  6500  6500 D EdXposedManager: EdXposed is not active_x000D_
01 30 21:24:33 458  6500  6500 D EdXposedManager: EdXposed is not active_x000D_
01 30 21:25:46 533 12335 12335 D EdXposedManager: EdXposed is not active_x000D_
01 30 21:25:46 809 12335 12335 D EdXposedManager: EdXposed is not active_x000D_
</t>
  </si>
  <si>
    <t>renyuneyun-Easer-322</t>
  </si>
  <si>
    <t>App crash after saveing in battery level condition</t>
  </si>
  <si>
    <t xml:space="preserve">  Describe the bug  _x000D_
App crashed after clicking on save button in battery level condition dialog_x000D_
_x000D_
  To Reproduce  _x000D_
Steps to reproduce the behavior:_x000D_
1  Add new Condition_x000D_
2  Select Battery Level Condition_x000D_
3  Click on button save_x000D_
4  See App Crash_x000D_
_x000D_
  Expected behavior  _x000D_
Message about wrong input _x000D_
</t>
  </si>
  <si>
    <t>getodk-collect-3615</t>
  </si>
  <si>
    <t>Collect crashes after minimizing an app when Rank widget popup displayed.</t>
  </si>
  <si>
    <t xml:space="preserve">     Software and hardware versions _x000D_
Collect v1 25 1  Android v4 2 10  device used   _x000D_
_x000D_
     Problem description_x000D_
Collect crashes after minimizing extinguishing an app when Rank widget popup displayed _x000D_
_x000D_
     Steps to reproduce the problem_x000D_
1  Open Rank widget_x000D_
2  Click Rank items button_x000D_
3  Minimize extinguish the app_x000D_
_x000D_
     Expected behavior_x000D_
The app should not crash  User should be able to restore the app from the background  _x000D_
_x000D_
     Other information _x000D_
I have used All widgets form with rank widget  _x000D_
</t>
  </si>
  <si>
    <t>OpenArchive-Save-app-android-204</t>
  </si>
  <si>
    <t>Pausing upload crashes app half the time</t>
  </si>
  <si>
    <t xml:space="preserve">Save 0 2 2 RC 1_x000D_
_x000D_
Dropbox server (rr s personal account) and Good Cloud server_x000D_
_x000D_
GalaxyS7_x000D_
MotoG_x000D_
_x000D_
1  Upload multiple files_x000D_
2  Click on circled number to go to Uploads view_x000D_
3  Click  Edit  in upper right corner_x000D_
4    Expected result   upload pauses_x000D_
  Actual result   some of the time (maybe half)  it behaves as expected  but the other half of the time  the app crashes to the main android screen </t>
  </si>
  <si>
    <t>ElderDrivers-EdXposed-453</t>
  </si>
  <si>
    <t>[BUG]  app和框架冲突，每次都卡死</t>
  </si>
  <si>
    <t xml:space="preserve">       What happened   _x000D_
       app     app                               _x000D_
_x000D_
  Xposed     Xposed Module List  _x000D_
     Screenshot allowed_x000D_
    _x000D_
_x000D_
  Magisk     Magisk Module List  _x000D_
     Screenshot allowed_x000D_
1 Riru Core v19 5_x000D_
2 Riru Edxposed v0 4 6 0 beta(4471)(YAHFA)_x000D_
_x000D_
  EdXposed Riru   Versions of EdXposed and Riru  _x000D_
EdXposed: Riru Edxposed v0 4 6 0 beta(4471)(YAHFA)_x000D_
Riru: Riru Core v19 5_x000D_
_x000D_
    Logcat Logcat  _x000D_
                 _x000D_
01 28 14:49:13 049: W NotificationService(1587): Toast already cancelled  pkg com pingan aftercarmarket callback android app ITransientNotification Stub Proxy f3965bd_x000D_
01 28 14:49:13 049: E LocationManagerService(1587): request 5348303 gps Request ACCURACY FINE gps requested  900ms fastest  900ms  from com pingan aftercarmarket(10225)_x000D_
01 28 14:49:15 028: W AppOps(1587): Finishing op nesting under run: uid 10225 pkg com pingan aftercarmarket code 45 time 1579317009983 duration 2352 nesting 0_x000D_
01 28 14:50:38 493: E ActivityTrigger(1587): activityResumeTrigger: not whiteListedcom pingan aftercarmarket com pingan aftercarmarket inner activity OneInnerActivity 1121_x000D_
01 28 14:50:40 687: E ActivityTrigger(1587): activityStartTrigger: not whiteListedcom pingan aftercarmarket com pingan aftercarmarket activity WebViewActivity 1121_x000D_
01 28 14:50:40 688: E ActivityTrigger(1587): activityResumeTrigger: not whiteListedcom pingan aftercarmarket com pingan aftercarmarket activity WebViewActivity 1121_x000D_
01 28 14:50:40 703: E ActivityTrigger(1587): activityResumeTrigger: not whiteListedcom pingan aftercarmarket com pingan aftercarmarket activity WebViewActivity 1121_x000D_
01 28 14:50:50 151: W ActivityManager(1587): Missing app error report  app   com pingan aftercarmarket crashing   false notResponding   true_x000D_
01 28 14:50:50 355: W ActivityManager(1587): Missing app error report  app   com pingan aftercarmarket crashing   false notResponding   true_x000D_
01 28 14:50:50 406: W ActivityManager(1587): Missing app error report  app   com pingan aftercarmarket crashing   false notResponding   true_x000D_
01 28 14:50:50 561: W ActivityManager(1587): Missing app error report  app   com pingan aftercarmarket crashing   false notResponding   true_x000D_
01 28 14:50:50 614: W ActivityManager(1587): Missing app error report  app   com pingan aftercarmarket crashing   false notResponding   true_x000D_
01 28 14:50:50 630: W ActivityManager(1587): Missing app error report  app   com pingan aftercarmarket crashing   false notResponding   true_x000D_
01 28 14:50:50 666: W ActivityManager(1587): Missing app error report  app   com pingan aftercarmarket crashing   false notResponding   true_x000D_
01 28 14:50:50 825: W ActivityManager(1587): Missing app error report  app   com pingan aftercarmarket crashing   false notResponding   true_x000D_
01 28 14:50:51 681: W ActivityManager(1587): Missing app error report  app   com pingan aftercarmarket crashing   false notResponding   true_x000D_
01 28 14:50:51 710: W ActivityManager(1587): Missing app error report  app   com pingan aftercarmarket crashing   false notResponding   true_x000D_
01 28 14:50:53 843: W ActivityManager(1587): Missing app error report  app   com pingan aftercarmarket crashing   false notResponding   true_x000D_
01 28 14:50:53 895: W ActivityManager(1587): Missing app error report  app   com pingan aftercarmarket crashing   false notResponding   true_x000D_
01 28 14:50:53 946: W ActivityManager(1587): Missing app error report  app   com pingan aftercarmarket crashing   false notResponding   true_x000D_
01 28 14:50:53 998: W ActivityManager(1587): Missing app error report  app   com pingan aftercarmarket crashing   false notResponding   true_x000D_
01 28 14:50:54 127: W ActivityManager(1587): Missing app error report  app   com pingan aftercarmarket crashing   false notResponding   true_x000D_
01 28 14:50:54 179: W ActivityManager(1587): Missing app error report  app   com pingan aftercarmarket crashing   false notResponding   true_x000D_
01 28 14:50:54 206: E ActivityManager(1587): ANR in com pingan aftercarmarket (com pingan aftercarmarket  activity WebViewActivity)_x000D_
01 28 14:50:54 206: E ActivityManager(1587): Reason: Input dispatching timed out (com pingan aftercarmarket com pingan aftercarmarket inner activity OneInnerActivity  Waiting to send non key event because the touched window has not finished processing certain input events that were delivered to it over 500 0ms ago   Wait queue length: 8   Wait queue head age: 8793 1ms )_x000D_
01 28 14:50:54 206: E ActivityManager(1587): Parent: com pingan aftercarmarket  inner activity OneInnerActivity_x000D_
01 28 14:50:54 206: E ActivityManager(1587):   10  25802 com pingan aftercarmarket: 7 9  user   2 4  kernel   faults: 35748 minor 5 major_x000D_
01 28 14:50:54 206: E ActivityManager(1587):   0 3  7890 com pingan aftercarmarket:push: 0 1  user   0 1  kernel   faults: 989 minor_x000D_
01 28 14:50:54 257: W InputTransport(1587): Slow Input: 9695ms so far  channel  e5800c4 Application Not Responding: com pingan aftercarmarket (server)  publisher   publishMotionEvent: seq 13058  deviceId 7  source 0x1002  action 0x0  actionButton 0x00000000  flags 0x0  edgeFlags 0x0  metaState 0x0  buttonState 0x0  xOffset 0 000000  yOffset  1474 000000  xPrecision 1 000000  yPrecision 1 000000  downTime 2239022134000  eventTime 2239022134000  pointerCount 1_x000D_
01 28 14:50:54 257: W InputTransport(1587): Slow Input: 9681ms so far  channel  e5800c4 Application Not Responding: com pingan aftercarmarket (server)  publisher   publishMotionEvent: seq 13060  deviceId 7  source 0x1002  action 0x2  actionButton 0x00000000  flags 0x0  edgeFlags 0x0  metaState 0x0  buttonState 0x0  xOffset 0 000000  yOffset  1474 000000  xPrecision 1 000000  yPrecision 1 000000  downTime 2239022134000  eventTime 2239036255000  pointerCount 1_x000D_
01 28 14:50:54 257: W InputTransport(1587): Slow Input: 9649ms so far  channel  e5800c4 Application Not Responding: com pingan aftercarmarket (server)  publisher   publishMotionEvent: seq 13062  deviceId 7  source 0x1002  action 0x2  actionButton 0x00000000  flags 0x0  edgeFlags 0x0  metaState 0x0  buttonState 0x0  xOffset 0 000000  yOffset  1474 000000  xPrecision 1 000000  yPrecision 1 000000  downTime 2239022134000  eventTime 2239068996000  pointerCount 1_x000D_
01 28 14:50:54 257: W InputTransport(1587): Slow Input: 9640ms so far  channel  e5800c4 Application Not Responding: com pingan aftercarmarket (server)  publisher   publishMotionEvent: seq 13064  deviceId 7  source 0x1002  action 0x2  actionButton 0x00000000  flags 0x0  edgeFlags 0x0  metaState 0x0  buttonState 0x0  xOffset 0 000000  yOffset  1474 000000  xPrecision 1 000000  yPrecision 1 000000  downTime 2239022134000  eventTime 2239078192000  pointerCount 1_x000D_
01 28 14:50:54 257: W InputTransport(1587): Slow Input: 9632ms so far  channel  e5800c4 Application Not Responding: com pingan aftercarmarket (server)  publisher   publishMotionEvent: seq 13066  deviceId 7  source 0x1002  action 0x2  actionButton 0x00000000  flags 0x0  edgeFlags 0x0  metaState 0x0  buttonState 0x0  xOffset 0 000000  yOffset  1474 000000  xPrecision 1 000000  yPrecision 1 000000  downTime 2239022134000  eventTime 2239085599000  pointerCount 1_x000D_
01 28 14:50:54 258: W InputTransport(1587): Slow Input: 9624ms so far  channel  e5800c4 Application Not Responding: com pingan aftercarmarket (server)  publisher   publishMotionEvent: seq 13068  deviceId 7  source 0x1002  action 0x1  actionButton 0x00000000  flags 0x0  edgeFlags 0x0  metaState 0x0  buttonState 0x0  xOffset 0 000000  yOffset  1474 000000  xPrecision 1 000000  yPrecision 1 000000  downTime 2239022134000  eventTime 2239094193000  pointerCount 1_x000D_
01 28 14:50:54 258: W InputTransport(1587): Slow Input: 9253ms so far  channel  e5800c4 Application Not Responding: com pingan aftercarmarket (server)  publisher   publishMotionEvent: seq 13071  deviceId 7  source 0x1002  action 0x0  actionButton 0x00000000  flags 0x0  edgeFlags 0x0  metaState 0x0  buttonState 0x0  xOffset 0 000000  yOffset  1474 000000  xPrecision 1 000000  yPrecision 1 000000  downTime 2239464703000  eventTime 2239464703000  pointerCount 1_x000D_
01 28 14:50:54 261: W InputTransport(1587): Slow Input: 9192ms so far  channel  e5800c4 Application Not Responding: com pingan aftercarmarket (server)  publisher   publishMotionEvent: seq 13073  deviceId 7  source 0x1002  action 0x1  actionButton 0x00000000  flags 0x0  edgeFlags 0x0  metaState 0x0  buttonState 0x0  xOffset 0 000000  yOffset  1474 000000  xPrecision 1 000000  yPrecision 1 000000  downTime 2239464703000  eventTime 2239529881000  pointerCount 1</t>
  </si>
  <si>
    <t>ankidroid-Anki-Android-5731</t>
  </si>
  <si>
    <t>Avoid RuntimeException crash in Sound</t>
  </si>
  <si>
    <t xml:space="preserve">   Pull Request template_x000D_
_x000D_
   Purpose   Description_x000D_
_x000D_
It is not documented  but in AOSP source RuntimeException may be_x000D_
thrown for a variety of reasons while retrieving media metadata_x000D_
_x000D_
   Fixes_x000D_
Not logged  but was brought up in play store review and has associated crash UUID URL https:  couchdb ankidroid org acralyzer  design acralyzer index html  report details a572b30b 82d6 454d b587 4e20b83a5d5e_x000D_
_x000D_
   Approach_x000D_
_x000D_
This fix expands the catch to handle those RuntimeExceptions  even_x000D_
though we can t really recover from them  The method is only responsible_x000D_
for returning the duration of the sound  and it will now default to 0_x000D_
in these cases _x000D_
_x000D_
This media duration method itself is only used when AnkiDroid is_x000D_
configured for auto advancing review  to calculate the delay correctly _x000D_
Since the file is likely inaccessible anyway  waiting for 0 duration in_x000D_
that case seems correct anyway_x000D_
_x000D_
   How Has This Been Tested _x000D_
_x000D_
Local run of the app on simulator API28  plus CI should check it  That said  having a stack trace with only one possible way it can happen based on inspection of AOSP source gives me confidence_x000D_
_x000D_
   Learning (optional  can help others)_x000D_
_x000D_
Here s the source for the Java file  where RuntimeException is not documented  but you can see where the  setDataSource(Context  URI) code goes native:_x000D_
_x000D_
https:  github com aosp mirror platform frameworks base blob master media java android media MediaMetadataRetriever java_x000D_
_x000D_
Here s the native code where it will chuck a RuntimeException if there are any problems: https:  github com aosp mirror platform frameworks base blob master media jni android media MediaMetadataRetriever cpp L189_x000D_
_x000D_
Since it s obvious it can happen  and the consequence is light  seems best to catch it vs crashing _x000D_
_x000D_
   Checklist_x000D_
 Please  go through these checks before submitting the PR  _x000D_
_x000D_
   x  You have not changed whitespace unnecessarily (it makes diffs hard to read)_x000D_
   x  You have a descriptive commit message with a short title (first line  max 50 chars) _x000D_
   x  Your code follows the style of the project (e g  never omit braces in  if  statements) _x000D_
   x  You have commented your code  particularly in hard to understand areas_x000D_
   x  You have performed a self review of your own code_x000D_
</t>
  </si>
  <si>
    <t>enviroCar-enviroCar-app-389</t>
  </si>
  <si>
    <t>App crash on export track</t>
  </si>
  <si>
    <t xml:space="preserve">  Describe the bug  _x000D_
App crashes on Export track  _x000D_
_x000D_
  To Reproduce  _x000D_
Steps to reproduce the behavior:_x000D_
1  Goto My Tracks Fragment_x000D_
2   Select the menu of the track to be exported _x000D_
3  Select export track _x000D_
_x000D_
  Why app is crashing  _x000D_
getUser() is null _x000D_
_x000D_
  How i will fix  _x000D_
Check if user logged in or not in case not logged in show snackbar showing message login to export_x000D_
</t>
  </si>
  <si>
    <t>particle-iot-particle-android-94</t>
  </si>
  <si>
    <t>Device setup: App crash</t>
  </si>
  <si>
    <t>Hi _x000D_
_x000D_
I had an app crash on a Moto G (5th Gen) (cedric) with Android 8 1  The app came with this error when setting the Wi Fi connection  _x000D_
_x000D_
   java lang RuntimeException: _x000D_
  at androidx loader content ModernAsyncTask 3 done (ModernAsyncTask java:33)_x000D_
  at java util concurrent FutureTask finishCompletion (FutureTask java:383)_x000D_
  at java util concurrent FutureTask setException (FutureTask java:252)_x000D_
  at java util concurrent FutureTask run (FutureTask java:271)_x000D_
  at java util concurrent ThreadPoolExecutor runWorker (ThreadPoolExecutor java:1162)_x000D_
  at java util concurrent ThreadPoolExecutor Worker run (ThreadPoolExecutor java:636)_x000D_
  at java lang Thread run (Thread java:764)_x000D_
Caused by: java lang NullPointerException: _x000D_
  at java util Objects requireNonNull (Objects java:203)_x000D_
  at java util Arrays ArrayList  init  (Arrays java:3741)_x000D_
  at java util Arrays asList (Arrays java:3728)_x000D_
  at io particle android sdk devicesetup commands ScanApCommand Response getScans (ScanApCommand java:2)_x000D_
  at io particle android sdk devicesetup loaders ScanApCommandLoader v (ScanApCommandLoader java:17)_x000D_
  at io particle android sdk devicesetup loaders ScanApCommandLoader loadInBackground (ScanApCommandLoader java)_x000D_
  at io particle android sdk devicesetup loaders ScanApCommandLoader loadInBackground (ScanApCommandLoader java)_x000D_
  at androidx loader content AsyncTaskLoader onLoadInBackground (AsyncTaskLoader java)_x000D_
  at androidx loader content AsyncTaskLoader LoadTask a (AsyncTaskLoader java:2)_x000D_
  at androidx loader content AsyncTaskLoader LoadTask a (AsyncTaskLoader java:2)_x000D_
  at androidx loader content ModernAsyncTask 2 call (ModernAsyncTask java:18)_x000D_
  at java util concurrent FutureTask run (FutureTask java:266)_x000D_
  at java util concurrent ThreadPoolExecutor runWorker (ThreadPoolExecutor java:1162)_x000D_
  at java util concurrent ThreadPoolExecutor Worker run (ThreadPoolExecutor java:636)_x000D_
  at java lang Thread run (Thread java:764)   _x000D_
_x000D_
Have you ever seen this error before  what can be the reason which triggered it _x000D_
_x000D_
I am looking forward to your reply _x000D_
_x000D_
Thanks in advance _x000D_
Nacho</t>
  </si>
  <si>
    <t>nextcloud-android-5348</t>
  </si>
  <si>
    <t xml:space="preserve">    Steps to reproduce_x000D_
1  Phone was in flight mode energy safe mode during night_x000D_
2  Disabled themin the morning  It connected to the Wi Fi and mobile network _x000D_
3  Nextcloud crash just popped up   _x000D_
_x000D_
    Expected behaviour_x000D_
  Tell us what should happen_x000D_
_x000D_
_x000D_
    Actual behaviour_x000D_
  Tell us what happens_x000D_
_x000D_
    Environment data_x000D_
Android version:_x000D_
10 (Havoc 3 0)_x000D_
Device model: _x000D_
Oneplus 6_x000D_
Stock or customized system:_x000D_
Yes  _x000D_
Nextcloud app version:_x000D_
3 10 0_x000D_
Nextcloud server version:_x000D_
17 0 2_x000D_
    Logs_x000D_
     Web server error log_x000D_
   _x000D_
Insert your webserver log here_x000D_
   _x000D_
_x000D_
     Nextcloud log (data nextcloud log)_x000D_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java:919)_x000D_
Caused by: java lang ClassNotFoundException: com google firebase analytics connector AnalyticsConnector_x000D_
	    8 more_x000D_
_x000D_
             APP INFORMATION             _x000D_
ID: com nextcloud client_x000D_
Version: 30100090_x000D_
Build flavor: gplay_x000D_
_x000D_
             DEVICE INFORMATION             _x000D_
Brand: OnePlus_x000D_
Device: OnePlus6_x000D_
Model: ONEPLUS A6003_x000D_
Id: QQ1B 191205 011_x000D_
Product: OnePlus6_x000D_
_x000D_
             FIRMWARE             _x000D_
SDK: 29_x000D_
Release: 10_x000D_
Incremental: eng havoc 20191223 154159_x000D_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</si>
  <si>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nextcloud-android-5344</t>
  </si>
  <si>
    <t>pdf crash mobile app</t>
  </si>
  <si>
    <t xml:space="preserve">_x000D_
             CAUSE OF ERROR             _x000D_
_x000D_
javax net ssl SSLHandshakeException: java security cert CertPathValidatorException: Trust anchor for certification path not found _x000D_
	at com google android gms org conscrypt ConscryptFileDescriptorSocket startHandshake(:com google android gms 20104020 20 1 04 (040406 288960190):27)_x000D_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run(lambda)_x000D_
	at java lang Thread run(Thread java:818)_x000D_
Caused by: java security cert CertificateException: java security cert CertPathValidatorException: Trust anchor for certification path not found _x000D_
	at com android org conscrypt TrustManagerImpl checkTrusted(TrustManagerImpl java:324)_x000D_
	at com android org conscrypt TrustManagerImpl checkServerTrusted(TrustManagerImpl java:225)_x000D_
	at java lang reflect Method invoke(Native Method)_x000D_
	at com google android gms org conscrypt Platform checkTrusted(:com google android gms 20104020 20 1 04 (040406 288960190):2)_x000D_
	at com google android gms org conscrypt Platform checkServerTrusted(:com google android gms 20104020 20 1 04 (040406 288960190):3)_x000D_
	at com google android gms org conscrypt ConscryptFileDescriptorSocket verifyCertificateChain(:com google android gms 20104020 20 1 04 (040406 288960190):7)_x000D_
	at com google android gms org conscrypt NativeCrypto SSL do handshake(Native Method)_x000D_
	at com google android gms org conscrypt NativeSsl doHandshake(:com google android gms 20104020 20 1 04 (040406 288960190):6)_x000D_
	at com google android gms org conscrypt ConscryptFileDescriptorSocket startHandshake(:com google android gms 20104020 20 1 04 (040406 288960190):14)_x000D_
	    26 more_x000D_
Caused by: java security cert CertPathValidatorException: Trust anchor for certification path not found _x000D_
	    35 more_x000D_
_x000D_
             APP INFORMATION             _x000D_
ID: com nextcloud client_x000D_
Version: 30100090_x000D_
Build flavor: gplay_x000D_
_x000D_
             DEVICE INFORMATION             _x000D_
Brand: ruggear_x000D_
Device: rg730_x000D_
Model: RugGear RG730_x000D_
Id: MRA58K_x000D_
Product: full rg730_x000D_
_x000D_
             FIRMWARE             _x000D_
SDK: 23_x000D_
Release: 6 0_x000D_
Incremental: 0165_x000D_
_x000D_
_x000D_
_x000D_
    Steps to reproduce_x000D_
1  Open pdf_x000D_
2  _x000D_
3  _x000D_
_x000D_
    Expected behaviour_x000D_
  it should open_x000D_
_x000D_
    Actual behaviour_x000D_
  app crash_x000D_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</si>
  <si>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k9mail-k-9-4488</t>
  </si>
  <si>
    <t>K9 email completion crashes compose without saving</t>
  </si>
  <si>
    <t>This was tested in both K9 5 600 and 5 704 _x000D_
_x000D_
I have more than 7000 contacts on my android device  Most have one email  some have multiple _x000D_
When I try to insert email addresses sometimes K9 compose crashes before showing the list of email completion  Not all prefixes lead to a crash but some crash consistently in a reproducible manner  (e g  typing  ma  crashes but if I type  matt  quick enough it works fine)  This makes me assume that the problem is either some attribute in a subset of the contacts or the list of possible matches being too large  I have not yet managed to isolate if that s the cause of the crash though _x000D_
_x000D_
I usually write the body of the message first and provide the emails in the end so the crash often leads to loss of the message that was just typed _x000D_
_x000D_
K9 5 704 seems to be a bit more resilient to this bug  In 5 600 being faster at typing the desired match doesn t actually help _x000D_
_x000D_
    Expected behavior_x000D_
Email completion should not crash the interface app _x000D_
_x000D_
    Actual behavior_x000D_
Compose closes crashes without saving a draft and I m sent back to the initial inbox _x000D_
_x000D_
    Steps to reproduce_x000D_
1  Have a large number of contacts emails (10 000)_x000D_
2  Start a new email message_x000D_
3  In the  To:    CC  or  BCC  sections  type a common 2 letter pattern  an    ma  or something shared by a large number of contacts  _x000D_
_x000D_
    Environment_x000D_
K 9 Mail version: 5 704_x000D_
Android version: 9_x000D_
Account type (IMAP  POP3  WebDAV Exchange): IMAP_x000D_
_x000D_
Please take some time to  retrieve logs (https:  github com k9mail k 9 wiki LoggingErrors) and attach them here: (  will try to get logs as soon as possible  )</t>
  </si>
  <si>
    <t>TeamNewPipe-NewPipe-3023</t>
  </si>
  <si>
    <t>Recaptcha crash on app open</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</si>
  <si>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_x000D_
_x000D_
   Exception_x000D_
    User Action:   ui error_x000D_
    Request:   App crash  UI failure_x000D_
    Content Language:   GB_x000D_
    Service:   none_x000D_
    Version:   0 18 2_x000D_
    OS:   Linux Android 10   29_x000D_
_x000D_
_x000D_
 details  summary  b Crash log  b   summary  p _x000D_
_x000D_
   _x000D_
java lang NullPointerException: Attempt to invoke virtual method  java lang String   java lang String split(java lang String)  on a null object reference_x000D_
	at org schabi newpipe ReCaptchaActivity ReCaptchaWebViewClient find access cookies(ReCaptchaActivity java:128)_x000D_
	at org schabi newpipe ReCaptchaActivity ReCaptchaWebViewClient onPageFinished(ReCaptchaActivity java:113)_x000D_
	at e6 b(PG:2)_x000D_
	at on handleMessage(PG:63)_x000D_
	at android os Handler dispatchMessage(Handler java:107)_x000D_
	at android os Looper loop(Looper java:213)_x000D_
	at android app ActivityThread main(ActivityThread java:8147)_x000D_
	at java lang reflect Method invoke(Native Method)_x000D_
	at com android internal os RuntimeInit MethodAndArgsCaller run(RuntimeInit java:513)_x000D_
	at com android internal os ZygoteInit main(ZygoteInit java:1101)_x000D_
_x000D_
   _x000D_
  p   details _x000D_
 hr _x000D_
</t>
  </si>
  <si>
    <t>commons-app-apps-android-commons-3352</t>
  </si>
  <si>
    <t>App Crashing when changing theme when an uploaded image is already viewed</t>
  </si>
  <si>
    <t xml:space="preserve">  Summary:   _x000D_
_x000D_
The application is crashing _x000D_
If one clicks on an uploaded picture from the home screen then tries to change the theme of the application(dark light) then returning to the previous activity the application will crash _x000D_
_x000D_
  Steps to reproduce:   _x000D_
_x000D_
1  Upload a picture _x000D_
2  Go settings by swiping from left to right to open the Navigation Drawer _x000D_
3  Switch between the themes _x000D_
4  Press the back button _x000D_
_x000D_
  System logs:  _x000D_
_x000D_
   _x000D_
Add logcat files here (if possible) _x000D_
_x000D_
2020 01 28 06:25:37 837 20244 20244 fr free nrw commons beta E AndroidRuntime: FATAL EXCEPTION: main_x000D_
    Process: fr free nrw commons beta  PID: 20244_x000D_
    java lang NullPointerException: Attempt to invoke virtual method  void android widget ProgressBar setVisibility(int)  on a null object reference_x000D_
        at fr free nrw commons contributions ContributionsListFragment showProgress(ContributionsListFragment java:174)_x000D_
        at fr free nrw commons contributions ContributionsFragment showProgress(ContributionsFragment java:567)_x000D_
        at fr free nrw commons contributions ContributionsPresenter onLoadFinished(ContributionsPresenter java:76)_x000D_
        at fr free nrw commons contributions ContributionsPresenter onLoadFinished(ContributionsPresenter java:26)_x000D_
        at androidx loader app LoaderManagerImpl LoaderObserver onChanged(LoaderManagerImpl java:250)_x000D_
        at androidx lifecycle LiveData considerNotify(LiveData java:113)_x000D_
        at androidx lifecycle LiveData dispatchingValue(LiveData java:131)_x000D_
        at androidx lifecycle LiveData setValue(LiveData java:289)_x000D_
        at androidx lifecycle MutableLiveData setValue(MutableLiveData java:33)_x000D_
        at androidx loader app LoaderManagerImpl LoaderInfo setValue(LoaderManagerImpl java:189)_x000D_
        at androidx loader app LoaderManagerImpl LoaderInfo onLoadComplete(LoaderManagerImpl java:174)_x000D_
        at androidx loader content Loader deliverResult(Loader java:132)_x000D_
        at androidx loader content CursorLoader deliverResult(CursorLoader java:109)_x000D_
        at androidx loader content CursorLoader onStartLoading(CursorLoader java:155)_x000D_
        at androidx loader content Loader startLoading(Loader java:285)_x000D_
        at androidx loader app LoaderManagerImpl LoaderInfo onActive(LoaderManagerImpl java:77)_x000D_
        at androidx lifecycle LiveData ObserverWrapper activeStateChanged(LiveData java:418)_x000D_
        at androidx lifecycle LiveData LifecycleBoundObserver onStateChanged(LiveData java:376)_x000D_
        at androidx lifecycle LifecycleRegistry ObserverWithState dispatchEvent(LifecycleRegistry java:355)_x000D_
        at androidx lifecycle LifecycleRegistry forwardPass(LifecycleRegistry java:293)_x000D_
        at androidx lifecycle LifecycleRegistry sync(LifecycleRegistry java:333)_x000D_
        at androidx lifecycle LifecycleRegistry moveToState(LifecycleRegistry java:138)_x000D_
        at androidx lifecycle LifecycleRegistry handleLifecycleEvent(LifecycleRegistry java:124)_x000D_
        at androidx lifecycle ReportFragment dispatch(ReportFragment java:122)_x000D_
        at androidx lifecycle ReportFragment onStart(ReportFragment java:82)_x000D_
        at android app Fragment performStart(Fragment java:2548)_x000D_
        at android app FragmentManagerImpl moveToState(FragmentManager java:1334)_x000D_
        at android app FragmentManagerImpl moveFragmentToExpectedState(FragmentManager java:1581)_x000D_
        at android app FragmentManagerImpl moveToState(FragmentManager java:1642)_x000D_
        at android app FragmentManagerImpl dispatchMoveToState(FragmentManager java:3051)_x000D_
        at android app FragmentManagerImpl dispatchStart(FragmentManager java:3008)_x000D_
        at android app FragmentController dispatchStart(FragmentController java:193)_x000D_
        at android app Activity performStart(Activity java:7264)_x000D_
        at android app ActivityThread handleStartActivity(ActivityThread java:2970)_x000D_
        at android app servertransaction TransactionExecutor performLifecycleSequence(TransactionExecutor java:180)_x000D_
        at android app servertransaction TransactionExecutor cycleToPath(TransactionExecutor java:165)_x000D_
        at android app servertransaction TransactionExecutor executeLifecycleState(TransactionExecutor java:142)_x000D_
        at android app servertransaction TransactionExecutor execute(TransactionExecutor java:70)_x000D_
        at android app ClientTransactionHandler executeTransaction(ClientTransactionHandler java:55)_x000D_
        at android app ActivityThread handleRelaunchActivityLocally(ActivityThread java:4806)_x000D_
        at android app ActivityThread access 3300(ActivityThread java:200)_x000D_
        at android app ActivityThread H handleMessage(ActivityThread java:1841)_x000D_
        at android os Handler dispatchMessage(Handler java:106)_x000D_
        at android os Looper loop(Looper java:201)_x000D_
        at android app ActivityThread main(ActivityThread java:6823)_x000D_
        at java lang reflect Method invoke(Native Method)_x000D_
        at com android internal os RuntimeInit MethodAndArgsCaller run(RuntimeInit java:547)_x000D_
2020 01 28 06:25:37 837 20244 20244 fr free nrw commons beta E AndroidRuntime:     at com android internal os ZygoteInit main(ZygoteInit java:873)_x000D_
2020 01 28 06:25:37 845 20244 20244 fr free nrw commons beta E ACRA: ACRA caught a NullPointerException for fr free nrw commons beta_x000D_
    java lang NullPointerException: Attempt to invoke virtual method  void android widget ProgressBar setVisibility(int)  on a null object reference_x000D_
        at fr free nrw commons contributions ContributionsListFragment showProgress(ContributionsListFragment java:174)_x000D_
        at fr free nrw commons contributions ContributionsFragment showProgress(ContributionsFragment java:567)_x000D_
        at fr free nrw commons contributions ContributionsPresenter onLoadFinished(ContributionsPresenter java:76)_x000D_
        at fr free nrw commons contributions ContributionsPresenter onLoadFinished(ContributionsPresenter java:26)_x000D_
        at androidx loader app LoaderManagerImpl LoaderObserver onChanged(LoaderManagerImpl java:250)_x000D_
        at androidx lifecycle LiveData considerNotify(LiveData java:113)_x000D_
        at androidx lifecycle LiveData dispatchingValue(LiveData java:131)_x000D_
        at androidx lifecycle LiveData setValue(LiveData java:289)_x000D_
        at androidx lifecycle MutableLiveData setValue(MutableLiveData java:33)_x000D_
        at androidx loader app LoaderManagerImpl LoaderInfo setValue(LoaderManagerImpl java:189)_x000D_
        at androidx loader app LoaderManagerImpl LoaderInfo onLoadComplete(LoaderManagerImpl java:174)_x000D_
        at androidx loader content Loader deliverResult(Loader java:132)_x000D_
        at androidx loader content CursorLoader deliverResult(CursorLoader java:109)_x000D_
        at androidx loader content CursorLoader onStartLoading(CursorLoader java:155)_x000D_
        at androidx loader content Loader startLoading(Loader java:285)_x000D_
        at androidx loader app LoaderManagerImpl LoaderInfo onActive(LoaderManagerImpl java:77)_x000D_
        at androidx lifecycle LiveData ObserverWrapper activeStateChanged(LiveData java:418)_x000D_
        at androidx lifecycle LiveData LifecycleBoundObserver onStateChanged(LiveData java:376)_x000D_
        at androidx lifecycle LifecycleRegistry ObserverWithState dispatchEvent(LifecycleRegistry java:355)_x000D_
        at androidx lifecycle LifecycleRegistry forwardPass(LifecycleRegistry java:293)_x000D_
        at androidx lifecycle LifecycleRegistry sync(LifecycleRegistry java:333)_x000D_
        at androidx lifecycle LifecycleRegistry moveToState(LifecycleRegistry java:138)_x000D_
        at androidx lifecycle LifecycleRegistry handleLifecycleEvent(LifecycleRegistry java:124)_x000D_
        at androidx lifecycle ReportFragment dispatch(ReportFragment java:122)_x000D_
        at androidx lifecycle ReportFragment onStart(ReportFragment java:82)_x000D_
        at android app Fragment performStart(Fragment java:2548)_x000D_
        at android app FragmentManagerImpl moveToState(FragmentManager java:1334)_x000D_
        at android app FragmentManagerImpl moveFragmentToExpectedState(FragmentManager java:1581)_x000D_
        at android app FragmentManagerImpl moveToState(FragmentManager java:1642)_x000D_
        at android app FragmentManagerImpl dispatchMoveToState(FragmentManager java:3051)_x000D_
        at android app FragmentManagerImpl dispatchStart(FragmentManager java:3008)_x000D_
        at android app FragmentController dispatchStart(FragmentController java:193)_x000D_
        at android app Activity performStart(Activity java:7264)_x000D_
        at android app ActivityThread handleStartActivity(ActivityThread java:2970)_x000D_
        at android app servertransaction TransactionExecutor performLifecycleSequence(TransactionExecutor java:180)_x000D_
        at android app servertransaction TransactionExecutor cycleToPath(TransactionExecutor java:165)_x000D_
        at android app servertransaction TransactionExecutor executeLifecycleState(TransactionExecutor java:142)_x000D_
        at android app servertransaction TransactionExecutor execute(TransactionExecutor java:70)_x000D_
        at android app ClientTransactionHandler executeTransaction(ClientTransactionHandler java:55)_x000D_
        at android app ActivityThread handleRelaunchActivityLocally(ActivityThread java:4806)_x000D_
        at android app ActivityThread access 3300(ActivityThread java:200)_x000D_
        at android app ActivityThread H handleMessage(ActivityThread java:1841)_x000D_
        at android os Handler dispatchMessage(Handler java:106)_x000D_
        at android os Looper loop(Looper java:201)_x000D_
        at android app ActivityThread main(ActivityThread java:6823)_x000D_
        at java lang reflect Method invoke(Native Method)_x000D_
        at com android internal os RuntimeInit MethodAndArgsCaller run(RuntimeInit java:547)_x000D_
2020 01 28 06:25:37 846 20244 20244 fr free nrw commons beta E ACRA:     at com android internal os ZygoteInit main(ZygoteInit java:873)_x000D_
_x000D_
   _x000D_
_x000D_
  Device and Android version:   _x000D_
_x000D_
Device Model: Redmi Note 7 Pro_x000D_
Version: Android 9_x000D_
Is it the stock version from the manufacturer or a custom ROM   Yes_x000D_
 _x000D_
  Commons app version:   _x000D_
_x000D_
version: 2 12 2 debug_x000D_
branch: master_x000D_
  Screen shots:   _x000D_
_x000D_
  ezgif com video to gif min (https:  user images githubusercontent com 32506591 73227843 de62b000 419a 11ea 90d6 9891d53ce09e gif)_x000D_
_x000D_
_x000D_
_x000D_
  Would you like to work on the issue   _x000D_
_x000D_
Yes  I would like to work on the issue _x000D_
</t>
  </si>
  <si>
    <t>inaturalist-iNaturalistAndroid-773</t>
  </si>
  <si>
    <t>StringIndexOutOfBoundsException on ObservationPhotosViewer</t>
  </si>
  <si>
    <t>https:  console firebase google com u 2 project inaturalist ios crashlytics app android:org inaturalist android issues 2c1ae4c1b12282bd14e3a247036674b1 time last seven days sessionId 5E2F5E1001E90001563776BA2D561C9E DNE 0 v2_x000D_
_x000D_
   _x000D_
Caused by java lang StringIndexOutOfBoundsException: String index out of range:  6_x000D_
       at java lang String substring(String java:2064)_x000D_
       at org inaturalist android AndroidStateBundlers ListPairBundler get(AndroidStateBundlers java:39)_x000D_
       at org inaturalist android AndroidStateBundlers ListPairBundler get(AndroidStateBundlers java:24)_x000D_
       at com evernote android state InjectionHelper getWithBundler(InjectionHelper java:36)_x000D_
       at org inaturalist android ObservationPhotosViewer  StateSaver restore(ObservationPhotosViewer  StateSaver java:73)_x000D_
       at org inaturalist android ObservationPhotosViewer  StateSaver restore(ObservationPhotosViewer  StateSaver java:40)_x000D_
       at com evernote android state StateSaverImpl restoreInstanceState(StateSaverImpl java:85)_x000D_
       at com evernote android state StateSaver restoreInstanceState(StateSaver java:52)_x000D_
       at org inaturalist android INaturalistApp 1 restoreInstanceState(INaturalistApp java:205)_x000D_
   _x000D_
_x000D_
Seems new as of 1 17 1 (390)</t>
  </si>
  <si>
    <t>nextcloud-android-5334</t>
  </si>
  <si>
    <t>Crash when syncing with ~40gb music folder</t>
  </si>
  <si>
    <t>Seems to happen when trying to sync any folder of more than a gb or so_x000D_
_x000D_
    Steps to reproduce_x000D_
1  Have a folder with 10 GB of files on your nextcloud server_x000D_
2  Open your android app that is paired with your nextcloud server_x000D_
3  Press the three dots next to the folder from step 1  and press  sync _x000D_
4  The window with  this app has stopped responding  keeps popping up even if you press  wait _x000D_
_x000D_
    Expected behaviour_x000D_
  I would expect nextcloud to sync the local folder with the remote one and keep both folders in sync after the initial download_x000D_
_x000D_
    Actual behaviour_x000D_
  The aforementioned  this app has stopped responding  pops up  If I don t press  wait  within a few seconds  the entire app closes  If I press  wait  enough times it seems to eventually start downloading something but will still pop up with that dialog and if I don t press  wait  it ll crash mid download_x000D_
_x000D_
    Environment data_x000D_
Android version: OxygenOS 9 0 9_x000D_
_x000D_
Device model: _x000D_
Brand: OnePlus_x000D_
Device: OnePlus6_x000D_
Model: ONEPLUS A6003_x000D_
Id: PKQ1 180716 001_x000D_
Product: OnePlus6_x000D_
_x000D_
Stock or customized system: Stock_x000D_
_x000D_
Nextcloud app version:_x000D_
ID: com nextcloud client_x000D_
Version: 30100090_x000D_
Build flavor: gplay_x000D_
_x000D_
Nextcloud server version:_x000D_
17 0 2 1 running on NextcloudPi v1 20 1 on an RPI3_x000D_
_x000D_
    Logs_x000D_
     Stack trace_x000D_
   _x000D_
android app RemoteServiceException: Context startForegroundService() did not then call Service startForeground(): ServiceRecord 9343191 u0 com nextcloud client com owncloud android services OperationsService _x000D_
    at android app ActivityThread H handleMessage(ActivityThread java:1845)_x000D_
    at android os Handler dispatchMessage(Handler java:106)_x000D_
    at android os Looper loop(Looper java:193)_x000D_
    at android app ActivityThread main(ActivityThread java:6898)_x000D_
    at java lang reflect Method invoke(Native Method)_x000D_
    at com android internal os RuntimeInit MethodAndArgsCaller run(RuntimeInit java:537)_x000D_
    at com android internal os ZygoteInit main(ZygoteInit java:858)_x000D_
   _x000D_
     Nextcloud log (data nextcloud log)_x000D_
 nextcloud log (https:  github com nextcloud android files 4119384 nextcloud log)</t>
  </si>
  <si>
    <t>MiKinshu-SilverBook-28</t>
  </si>
  <si>
    <t>App crashing.</t>
  </si>
  <si>
    <t xml:space="preserve">The app crashes when no input in given in the  Enter classes attended  and  Enter total no of classes till today  fields of Add subject fragment  </t>
  </si>
  <si>
    <t>TeamNewPipe-NewPipe-3015</t>
  </si>
  <si>
    <t>FireTV wonky aspect ratio: far too wide</t>
  </si>
  <si>
    <t xml:space="preserve">Of the functions I have tested the most problematic is emailing a crash report  There is no email client available  I m researching a side load option  Popup video always crashes on my 4k stick   I am using a USB ethernet bridge for throughput _x000D_
_x000D_
I am able to navigate with fire remote _x000D_
_x000D_
I had hoped to watch (skim) 8 daily hours of senate trial video  After a frustrating 9 minutes of searching the video does play full screen but the aspect ratio is extremely wonky  It fills the screen width but the height is not commensurate  I selected 720p video _x000D_
_x000D_
https:  github com TeamNewPipe NewPipe issues 899_x000D_
Comment moved </t>
  </si>
  <si>
    <t>nextcloud-android-5319</t>
  </si>
  <si>
    <t>Android App Crash when clicking on a document file. (No online office installed)</t>
  </si>
  <si>
    <t xml:space="preserve">    Steps to reproduce_x000D_
1  Click in the app on a  doc file _x000D_
2  On the NextCloud Server Onlyoffice isn t install _x000D_
3  App crashes_x000D_
_x000D_
    Expected behaviour_x000D_
  The file should open in an extern Office App on the Phone_x000D_
_x000D_
    Actual behaviour_x000D_
  App crash_x000D_
_x000D_
    Environment data_x000D_
Android version: 9_x000D_
_x000D_
Device model: moto G6_x000D_
_x000D_
Stock or customized system: Stock_x000D_
_x000D_
Nextcloud app version: 3 10 0_x000D_
_x000D_
Nextcloud server version: 17 0 2_x000D_
_x000D_
    Log_x000D_
   App Log_x000D_
             CAUSE OF ERROR             _x000D_
_x000D_
javax net ssl SSLHandshakeException: java security cert CertPathValidatorException: Trust anchor for certification path not found _x000D_
	at com google android gms org conscrypt ConscryptFileDescriptorSocket startHandshake(:com google android gms 19831027 19 8 31 (100308 284611645):27)_x000D_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java:764)_x000D_
Caused by: java security cert CertificateException: java security cert CertPathValidatorException: Trust anchor for certification path not found _x000D_
	at com android org conscrypt TrustManagerImpl verifyChain(TrustManagerImpl java:661)_x000D_
	at com android org conscrypt TrustManagerImpl checkTrustedRecursive(TrustManagerImpl java:539)_x000D_
	at com android org conscrypt TrustManagerImpl checkTrusted(TrustManagerImpl java:495)_x000D_
	at com android org conscrypt TrustManagerImpl checkTrusted(TrustManagerImpl java:418)_x000D_
	at com android org conscrypt TrustManagerImpl getTrustedChainForServer(TrustManagerImpl java:339)_x000D_
	at android security net config NetworkSecurityTrustManager checkServerTrusted(NetworkSecurityTrustManager java:94)_x000D_
	at android security net config RootTrustManager checkServerTrusted(RootTrustManager java:88)_x000D_
	at java lang reflect Method invoke(Native Method)_x000D_
	at com google android gms org conscrypt Platform checkTrusted(:com google android gms 19831027 19 8 31 (100308 284611645):2)_x000D_
	at com google android gms org conscrypt Platform checkServerTrusted(:com google android gms 19831027 19 8 31 (100308 284611645):1)_x000D_
	at com google android gms org conscrypt ConscryptFileDescriptorSocket verifyCertificateChain(:com google android gms 19831027 19 8 31 (100308 284611645):7)_x000D_
	at com google android gms org conscrypt NativeCrypto SSL do handshake(Native Method)_x000D_
	at com google android gms org conscrypt NativeSsl doHandshake(:com google android gms 19831027 19 8 31 (100308 284611645):6)_x000D_
	at com google android gms org conscrypt ConscryptFileDescriptorSocket startHandshake(:com google android gms 19831027 19 8 31 (100308 284611645):14)_x000D_
	    26 more_x000D_
Caused by: java security cert CertPathValidatorException: Trust anchor for certification path not found _x000D_
	    40 more_x000D_
_x000D_
             APP INFORMATION             _x000D_
ID: com nextcloud client_x000D_
Version: 30100090_x000D_
Build flavor: gplay_x000D_
_x000D_
             DEVICE INFORMATION             _x000D_
Brand: motorola_x000D_
Device: ali n_x000D_
Model: moto g(6)_x000D_
Id: PPSS29 55 37 7 2_x000D_
Product: ali n_x000D_
_x000D_
             FIRMWARE             _x000D_
SDK: 28_x000D_
Release: 9_x000D_
Incremental: 924b9_x000D_
</t>
  </si>
  <si>
    <t>nextcloud-android-5318</t>
  </si>
  <si>
    <t>Crash when deleting locally only</t>
  </si>
  <si>
    <t xml:space="preserve">    Steps to reproduce_x000D_
1  From a folder shared with you_x000D_
2  Select a (video) file (60 MB)_x000D_
3  Select delete locally only_x000D_
_x000D_
    Expected behaviour_x000D_
  Remove file from my device_x000D_
_x000D_
    Actual behaviour_x000D_
  The app crash_x000D_
_x000D_
    Environment data_x000D_
Android version: 10 (OxygenOS 10 3 0)_x000D_
_x000D_
Device model: OnePlus 6T_x000D_
_x000D_
Stock or customized system: stock_x000D_
_x000D_
Nextcloud app version: 3 9 2_x000D_
_x000D_
Nextcloud server version: 17 0 2_x000D_
_x000D_
    Logs_x000D_
_x000D_
     Nextcloud log (data nextcloud log)_x000D_
   _x000D_
             CAUSE OF ERROR             _x000D_
_x000D_
java lang OutOfMemoryError_x000D_
	at android graphics Bitmap nativeCreate(Native Method)_x000D_
	at android graphics Bitmap createBitmap(Bitmap java:1129)_x000D_
	at android graphics Bitmap createBitmap(Bitmap java:959)_x000D_
	at android media ThumbnailUtils transform(ThumbnailUtils java:521)_x000D_
	at android media ThumbnailUtils extractThumbnail(ThumbnailUtils java:413)_x000D_
	at android media ThumbnailUtils extractThumbnail(ThumbnailUtils java:388)_x000D_
	at com owncloud android datamodel ThumbnailsCacheManager addThumbnailToCache(ThumbnailsCacheManager java:191)_x000D_
	at com owncloud android datamodel ThumbnailsCacheManager generateResizedImage(ThumbnailsCacheManager java:1196)_x000D_
	at com owncloud android operations RemoveFileOperation run(RemoveFileOperation java:95)_x000D_
	at com owncloud android lib common operations RemoteOperation execute(RemoteOperation java:138)_x000D_
	at com owncloud android operations common SyncOperation execute(SyncOperation java:87)_x000D_
	at com owncloud android services OperationsService ServiceHandler nextOperation(OperationsService java:463)_x000D_
	at com owncloud android services OperationsService ServiceHandler handleMessage(OperationsService java:417)_x000D_
	at android os Handler dispatchMessage(Handler java:107)_x000D_
	at android os Looper loop(Looper java:214)_x000D_
	at android os HandlerThread run(HandlerThread java:67)_x000D_
_x000D_
             APP INFORMATION             _x000D_
ID: com nextcloud client_x000D_
Version: 30090290_x000D_
Build flavor: generic_x000D_
_x000D_
             DEVICE INFORMATION             _x000D_
Brand: OnePlus_x000D_
Device: OnePlus6T_x000D_
Model: ONEPLUS A6013_x000D_
Id: QKQ1 190716 003_x000D_
Product: OnePlus6T_x000D_
_x000D_
             FIRMWARE             _x000D_
SDK: 29_x000D_
Release: 10_x000D_
Incremental: 1912142009_x000D_
   _x000D_
</t>
  </si>
  <si>
    <t>nextcloud-android-5317</t>
  </si>
  <si>
    <t>app crashing when reciving notfication</t>
  </si>
  <si>
    <t xml:space="preserve">    Steps to reproduce_x000D_
1  login on a new device_x000D_
2  choose  Two Factor Authentication via Nextcloud notification  as second factor_x000D_
3  watch the app crash    _x000D_
_x000D_
    Expected behaviour_x000D_
  show notification or similar to allow reject login_x000D_
_x000D_
    Actual behaviour_x000D_
  App crashed_x000D_
_x000D_
    Environment data_x000D_
Android version: 7 1 2_x000D_
_x000D_
Device model: SM G920F _x000D_
_x000D_
Stock or customized system: lineage OS 14 1_x000D_
_x000D_
Nextcloud app version: 3 10 0_x000D_
_x000D_
Nextcloud server version: 17 0 2_x000D_
_x000D_
    Logs_x000D_
     Web server error log_x000D_
   _x000D_
Insert your webserver log here_x000D_
   _x000D_
_x000D_
     Nextcloud log (data nextcloud log)_x000D_
   _x000D_
             CAUSE OF ERROR             _x000D_
_x000D_
java lang NoClassDefFoundError: Failed resolution of: Lcom google firebase analytics connector AnalyticsConnector _x000D_
	at com google firebase messaging MessagingAnalytics zza(Unknown Source)_x000D_
	at com google firebase messaging MessagingAnalytics logNotificationReceived(Unknown Source)_x000D_
	at com google firebase messaging FirebaseMessagingService zzd(Unknown Source)_x000D_
	at com google firebase iid zzc run(Unknown Source)_x000D_
	at java util concurrent ThreadPoolExecutor runWorker(ThreadPoolExecutor java:1133)_x000D_
	at java util concurrent ThreadPoolExecutor Worker run(ThreadPoolExecutor java:607)_x000D_
	at com google android gms common util concurrent zza run(Unknown Source)_x000D_
	at java lang Thread run(Thread java:761)_x000D_
Caused by: java lang ClassNotFoundException: Didn t find class  com google firebase analytics connector AnalyticsConnector  on path: DexPathList  zip file   data app com nextcloud client 2 base apk   nativeLibraryDirectories   data app com nextcloud client 2 lib arm64   data app com nextcloud client 2 base apk  lib arm64 v8a   system lib64   vendor lib64  _x000D_
	at dalvik system BaseDexClassLoader findClass(BaseDexClassLoader java:56)_x000D_
	at java lang ClassLoader loadClass(ClassLoader java:380)_x000D_
	at java lang ClassLoader loadClass(ClassLoader java:312)_x000D_
	    8 more_x000D_
_x000D_
             APP INFORMATION             _x000D_
ID: com nextcloud client_x000D_
Version: 30100090_x000D_
Build flavor: gplay_x000D_
_x000D_
             DEVICE INFORMATION             _x000D_
Brand: Samsung_x000D_
Device: zeroflte_x000D_
Model: SM G920F_x000D_
Id: NJH47F_x000D_
Product: zerofltexx_x000D_
_x000D_
             FIRMWARE             _x000D_
SDK: 25_x000D_
Release: 7 1 2_x000D_
Incremental: e0d6ab2e56_x000D_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</si>
  <si>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nextcloud-android-5309</t>
  </si>
  <si>
    <t xml:space="preserve">    Steps to reproduce_x000D_
1  Create work profile in Android_x000D_
2  Install Nextcloud (from F Droid or Aptoide)_x000D_
3  Input server URL and credentials_x000D_
_x000D_
    Expected behaviour_x000D_
  Nextcloud app opens normally  displaying the File tab _x000D_
_x000D_
    Actual behaviour_x000D_
  App crashes with error report_x000D_
_x000D_
    Environment data_x000D_
Android version:_x000D_
_x000D_
Device model: _x000D_
_x000D_
Stock or customized system:_x000D_
_x000D_
Nextcloud app version:_x000D_
_x000D_
Nextcloud server version:_x000D_
_x000D_
    Logs_x000D_
_x000D_
             CAUSE OF ERROR             _x000D_
_x000D_
java lang RuntimeException: Error receiving broadcast Intent   act com owncloud android operations RefreshFolderOperation EVENT SINGLE FOLDER CONTENTS SYNCED flg 0x10 pkg com nextcloud client (has extras)   in com owncloud android ui activity FileDisplayActivity SyncBroadcastReceiver b06a43c_x000D_
at android app LoadedApk ReceiverDispatcher Args lambda getRunnable 0(LoadedApk java:1394)_x000D_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java:6762)_x000D_
at java lang reflect Method invoke(Native Method)_x000D_
at com android internal os RuntimeInit MethodAndArgsCaller run(RuntimeInit java:493)_x000D_
at com android internal os ZygoteInit main(ZygoteInit java:858)_x000D_
Caused by: java lang SecurityException: Permission Denial: unbroadcastIntent() from pid 4253  uid 1010169 requires android permission BROADCAST STICKY_x000D_
at android os Parcel createException(Parcel java:1950)_x000D_
at android os Parcel readException(Parcel java:1918)_x000D_
at android os Parcel readException(Parcel java:1868)_x000D_
at android app IActivityManager Stub Proxy unbroadcastIntent(IActivityManager java:3919)_x000D_
at android app ContextImpl removeStickyBroadcast(ContextImpl java:1346)_x000D_
at android content ContextWrapper removeStickyBroadcast(ContextWrapper java:588)_x000D_
at com owncloud android ui activity FileDisplayActivity SyncBroadcastReceiver onReceive(FileDisplayActivity java:1411)_x000D_
at android app LoadedApk ReceiverDispatcher Args lambda getRunnable 0(LoadedApk java:1384)_x000D_
    8 more_x000D_
Caused by: android os RemoteException: Remote stack trace:_x000D_
at com android server am ActivityManagerService unbroadcastIntent(ActivityManagerService java:22222)_x000D_
at android app IActivityManager Stub onTransact(IActivityManager java:183)_x000D_
at com android server am ActivityManagerService onTransact(ActivityManagerService java:3346)_x000D_
at android os Binder execTransact(Binder java:731)_x000D_
_x000D_
_x000D_
             APP INFORMATION             _x000D_
ID: com nextcloud client_x000D_
Version: 30100090_x000D_
Build flavor: gplay_x000D_
_x000D_
             DEVICE INFORMATION             _x000D_
Brand: xiaomi_x000D_
Device: tissot sprout_x000D_
Model: Mi A1_x000D_
Id: PKQ1 180917 001_x000D_
Product: tissot_x000D_
_x000D_
             FIRMWARE             _x000D_
SDK: 28_x000D_
Release: 9_x000D_
Incremental: V10 0 17 0 PDHMIXM_x000D_
_x000D_
     Web server error log_x000D_
   _x000D_
  reqId : XXX   level :3  time : 2020 01 25T13:18:55 00:00   remoteAddr : XXX   user : XXX   app : PHP   method : DELETE   url :  ocs v2 php apps notifications api v2 push   message : Zend OPcache can t be temporary enabled (it may be only disabled till the end of request) at Unknown 0   userAgent : Mozilla 5 0 (Android) Nextcloud android 3 10 0   version : 17 0 2 1   id : XXX  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</si>
  <si>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nextcloud-android-5308</t>
  </si>
  <si>
    <t xml:space="preserve">exception when opening PDF </t>
  </si>
  <si>
    <t xml:space="preserve">    Steps to reproduce_x000D_
1  Click on a listed PDF file to open _x000D_
2   Unfortunately  Nextcloud has stopped  message_x000D_
3  An exception log appears  Nextcloud crashed  _x000D_
4  The file starts downloading in the background _x000D_
_x000D_
    Expected behaviour_x000D_
  The PDF should (start downloading or) open (or you should have to choice to select an app to open with)_x000D_
_x000D_
    Actual behaviour_x000D_
  An exception happens and the log appears _x000D_
_x000D_
_x000D_
     Web server error log_x000D_
See next comment</t>
  </si>
  <si>
    <t>nextcloud-android-5305</t>
  </si>
  <si>
    <t>Nextcloud App crashes on android</t>
  </si>
  <si>
    <t xml:space="preserve">    Steps to reproduce_x000D_
1  Start downloding a file from your nextcloud  App crashes  _x000D_
2  Possibly an invalid cert could cause this problem  Browsing the directory hierarchies does work but downloading a file does not  _x000D_
3  _x000D_
_x000D_
_x000D_
    Environment data_x000D_
Android version:9 _x000D_
_x000D_
Device model: S8_x000D_
_x000D_
Stock or customized system:_x000D_
_x000D_
Nextcloud app version:_x000D_
3 10_x000D_
_x000D_
_x000D_
             CAUSE OF ERROR             _x000D_
_x000D_
javax net ssl SSLPeerUnverifiedException: Hostname owncloud fritz box not verified:_x000D_
    certificate: sha256 aMkcz 3MsJPJhiMiYOf1199DcZNSj9Ava m3JRoqVmQ _x000D_
    DN: CN         _x000D_
    subjectAltNames: _x000D_
	at okhttp3 internal connection RealConnection connectTls(RealConnection java:334)_x000D_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java:764)_x000D_
_x000D_
             APP INFORMATION             _x000D_
ID: com nextcloud client_x000D_
Version: 30100090_x000D_
Build flavor: gplay_x000D_
_x000D_
             DEVICE INFORMATION             _x000D_
Brand: samsung_x000D_
Device: dreamlte_x000D_
Model: SM G950F_x000D_
Id: PPR1 180610 011_x000D_
Product: dreamltexx_x000D_
_x000D_
             FIRMWARE             _x000D_
SDK: 28_x000D_
Release: 9_x000D_
Incremental: G950FXXS6DSL2_x000D_
_x000D_
_x000D_
_x000D_
</t>
  </si>
  <si>
    <t>react-native-share-react-native-share-687</t>
  </si>
  <si>
    <t>My android release app crash, is it possible to work without changing file path provider?</t>
  </si>
  <si>
    <t xml:space="preserve">    Steps to reproduce_x000D_
  Implement react native share without changing the file path provider    crash on release build_x000D_
_x000D_
  Implement react native share and changing the file path provider    it works for sharing but making capture from camera with  react native image picker (https:  github com react native community react native image picker) not work_x000D_
_x000D_
    Expected behaviour_x000D_
Release build should not crashing when using react native share and should not make other library not working_x000D_
_x000D_
    Actual behaviour_x000D_
I know there is solution by changing file path provider to make release build not crashing on  200_x000D_
_x000D_
if I change the file path provider it works  but it will make  react native image picker (https:  github com react native community react native image picker) not able to pick image_x000D_
_x000D_
    Environment_x000D_
    React Native version  : 0 61 5_x000D_
    React Native platform   platform version  : Android 7 0_x000D_
_x000D_
    react native share_x000D_
  Version  : 3 0 0_x000D_
_x000D_
    Link to repo (highly encouraged)_x000D_
https:  github com _x000D_
</t>
  </si>
  <si>
    <t>nextcloud-android-5302</t>
  </si>
  <si>
    <t>Dev version crashes on startup</t>
  </si>
  <si>
    <t xml:space="preserve">    Steps to reproduce_x000D_
1  Open App_x000D_
2  Necxtcloud dev keeps stopping_x000D_
_x000D_
    Expected behaviour_x000D_
  It should not crash_x000D_
_x000D_
    Actual behaviour_x000D_
  It crashes_x000D_
_x000D_
    Environment data_x000D_
Android version: 9_x000D_
_x000D_
Device model:  Google Pixel 3 XL_x000D_
_x000D_
Stock or customized system: Stock rooted (Magisk)_x000D_
_x000D_
Nextcloud app version: 20200110_x000D_
_x000D_
Nextcloud server version: Unknown_x000D_
_x000D_
    Logs_x000D_
     Web server error log_x000D_
   _x000D_
Insert your webserver log here_x000D_
   _x000D_
_x000D_
     Nextcloud log (data nextcloud log)_x000D_
_x000D_
   _x000D_
: data ssh root   cat  data nextcloud log_x000D_
cat:  data nextcloud log: No such file or directory_x000D_
   _x000D_
Logcat:_x000D_
   _x000D_
01 24 15:26:48 738 17206 18379 I ActivityManager: START u0  act android intent action MAIN cat  android intent category LAUNCHER  flg 0x10200000 cmp com nextcloud android beta com owncloud android ui activity FileDisplayActivity  from uid 10209_x000D_
01 24 15:26:48 745   862   862 D android hardware power 1 3 service crosshatch libperfmgr: LAUNCH ON_x000D_
01 24 15:26:48 781 17206 17223 I ActivityManager: Start proc 3758:com nextcloud android beta u0a177 for activity com nextcloud android beta com owncloud android ui activity FileDisplayActivity_x000D_
01 24 15:26:48 793  3758  3758 E ud android bet: Not starting debugger since process cannot load the jdwp agent _x000D_
01 24 15:26:48 800  3758  3758 V Riru    : hook removed_x000D_
01 24 15:26:48 800  3758  3758 V Riru    : edxp: forkAndSpecializePost_x000D_
01 24 15:26:48 800  3758  3758 V Riru    : storage redirect: forkAndSpecializePost_x000D_
01 24 15:26:48 800  3758  3758 V StorageRedirectInject: nativeForkAndSpecialize: package com nextcloud android beta  uid 10177_x000D_
01 24 15:26:48 800  3758  3758 V StorageRedirectInject: install hook: package com nextcloud android beta  user 0_x000D_
01 24 15:26:48 809  3758  3758 V StorageRedirectInject: install hook finished_x000D_
01 24 15:26:48 809  3758  3758 V StorageRedirectInject: install hook: fix app interaction is disabled_x000D_
01 24 15:26:48 825  3758  3758 I ud android bet: The ClassLoaderContext is a special shared library _x000D_
01 24 15:26:48 953   639  1638 W SurfaceFlinger: Attempting to set client state on removed layer: Autofill UI 0_x000D_
01 24 15:26:48 953   639  1638 W SurfaceFlinger: Attempting to destroy on removed layer: Autofill UI 0_x000D_
01 24 15:26:49 070  3758  3758 I MultiDex: VM with version 2 1 0 has multidex support_x000D_
01 24 15:26:49 070  3758  3758 I MultiDex: Installing application_x000D_
01 24 15:26:49 070  3758  3758 I MultiDex: VM has multidex support  MultiDex support library is disabled _x000D_
01 24 15:26:49 222  3758  3758 I ud android bet: Waiting for a blocking GC None_x000D_
01 24 15:26:49 231  3758  3758 I ud android bet: WaitForGcToComplete blocked None on AddRemoveAppImageSpace for 9 628ms_x000D_
01 24 15:26:49 356  3758  3758 V NativeCrypto: Registering org conscrypt NativeCrypto s 286 native methods   _x000D_
01 24 15:26:49 367  3758  3758 I MainApp : Using Conscrypt 2 2 1 for TLS_x000D_
01 24 15:26:49 372  3758  3758 D NetworkSecurityConfig: Using Network Security Config from resource network security config debugBuild: false_x000D_
01 24 15:26:49 376  3758  3758 I MainApp : Enabled protocols:  TLSv1  TLSv1 1  TLSv1 2  TLSv1 3   _x000D_
01 24 15:26:49 376  3758  3758 I MainApp : Enabled ciphers:  TLS AES 128 GCM SHA256  TLS AES 256 GCM SHA384  TLS CHACHA20 POLY1305 SHA256  TLS ECDHE ECDSA WITH AES 128 GCM SHA256  TLS ECDHE ECDSA WITH AES 256 GCM SHA384  TLS ECDHE ECDSA WITH CHACHA20 POLY1305 SHA256  TLS ECDHE RSA WITH AES 128 GCM SHA256  TLS ECDHE RSA WITH AES 256 GCM SHA384  TLS ECDHE RSA WITH CHACHA20 POLY1305 SHA256  TLS ECDHE ECDSA WITH AES 128 CBC SHA  TLS ECDHE ECDSA WITH AES 256 CBC SHA  TLS ECDHE RSA WITH AES 128 CBC SHA  TLS ECDHE RSA WITH AES 256 CBC SHA  TLS RSA WITH AES 128 GCM SHA256  TLS RSA WITH AES 256 GCM SHA384  TLS RSA WITH AES 128 CBC SHA  TLS RSA WITH AES 256 CBC SHA  TLS EMPTY RENEGOTIATION INFO SCSV   _x000D_
01 24 15:26:49 391  3758  3758 E DisplayUtils: Failed to use reflection to enable proper vector scaling_x000D_
01 24 15:26:49 392  3758  3758 D Debug   : start logging_x000D_
01 24 15:26:49 393  3758  3784 D skia    :     Failed to create image decoder with message  unimplemented _x000D_
01 24 15:26:49 393  3758  3784 D skia    :     Failed to create image decoder with message  unimplemented _x000D_
01 24 15:26:49 393  3758  3784 D ThumbnailsCacheManager: thumbnail cache dir:  data user 0 com nextcloud android beta cache thumbnailCache_x000D_
01 24 15:26:49 401  3758  3758 I JobManager: Found pending job request id 46883  tag FilesSyncJob  transient false   canceling_x000D_
01 24 15:26:49 411  3758  3758 D JobProxy26: Schedule periodic jobInfo success  request id 46884  tag FilesSyncJob  transient false   interval 00:15:00  flex 00:05:00_x000D_
01 24 15:26:49 418  3758  3758 I SQL     : Entering in onUpgrade_x000D_
01 24 15:26:49 421  3758  3758 I SQL     : OUT of the ADD in onUpgrade  oldVersion    52  newVersion    53_x000D_
01 24 15:26:49 422  3758  3758 I chatty  : uid 10177(com nextcloud android beta) identical 45 lines_x000D_
01 24 15:26:49 422  3758  3758 I SQL     : OUT of the ADD in onUpgrade  oldVersion    52  newVersion    53_x000D_
01 24 15:26:49 422  3758  3758 I SQL     : Entering in the  53 add rich workspace to file table_x000D_
01 24 15:26:49 423  3758  3758 E SQLiteLog: (1) duplicate column name: rich workspace_x000D_
01 24 15:26:49 423  3758  3758 D AndroidRuntime: Shutting down VM_x000D_
01 24 15:26:49 425  3758  3758 E AndroidRuntime: FATAL EXCEPTION: main_x000D_
01 24 15:26:49 425  3758  3758 E AndroidRuntime: Process: com nextcloud android beta  PID: 3758_x000D_
01 24 15:26:49 425  3758  3758 E AndroidRuntime: java lang RuntimeException: Unable to create application com owncloud android MainApp: android database sqlite SQLiteException: duplicate column name: rich workspace (code 1 SQLITE ERROR):   while compiling: ALTER TABLE filelist ADD COLUMN rich workspace TEXT_x000D_
01 24 15:26:49 425  3758  3758 E AndroidRuntime:        at android app ActivityThread handleBindApplication(ActivityThread java:5925)_x000D_
01 24 15:26:49 425  3758  3758 E AndroidRuntime:        at com elderdrivers riru edxp  hooker yahfa HandleBindAppHooker hook(HandleBindAppHooker java:21)_x000D_
01 24 15:26:49 425  3758  3758 E AndroidRuntime:        at android app ActivityThread access 1100(ActivityThread java:200)_x000D_
01 24 15:26:49 425  3758  3758 E AndroidRuntime:        at android app ActivityThread H handleMessage(ActivityThread java:1656)_x000D_
01 24 15:26:49 425  3758  3758 E AndroidRuntime:        at android os Handler dispatchMessage(Handler java:106)_x000D_
01 24 15:26:49 425  3758  3758 E AndroidRuntime:        at android os Looper loop(Looper java:193)_x000D_
01 24 15:26:49 425  3758  3758 E AndroidRuntime:        at android app ActivityThread main(ActivityThread java:6718)_x000D_
01 24 15:26:49 425  3758  3758 E AndroidRuntime:        at java lang reflect Method invoke(Native Method)_x000D_
01 24 15:26:49 425  3758  3758 E AndroidRuntime:        at com android internal os RuntimeInit MethodAndArgsCaller run(RuntimeInit java:493)_x000D_
01 24 15:26:49 425  3758  3758 E AndroidRuntime:        at com android internal os ZygoteInit main(ZygoteInit java:858)_x000D_
01 24 15:26:49 425  3758  3758 E AndroidRuntime: Caused by: android database sqlite SQLiteException: duplicate column name: rich workspace (code 1 SQLITE ERROR):   while compiling: ALTER TABLE filelist ADD COLUMN rich workspace TEXT_x000D_
01 24 15:26:49 425  3758  3758 E AndroidRuntime:        at android database sqlite SQLiteConnection nativePrepareStatement(Native Method)_x000D_
01 24 15:26:49 425  3758  3758 E AndroidRuntime:        at android database sqlite SQLiteConnection acquirePreparedStatement(SQLiteConnection java:939)_x000D_
01 24 15:26:49 425  3758  3758 E AndroidRuntime:        at android database sqlite SQLiteConnection prepare(SQLiteConnection java:550)_x000D_
01 24 15:26:49 425  3758  3758 E AndroidRuntime:        at android database sqlite SQLiteSession prepare(SQLiteSession java:588)_x000D_
01 24 15:26:49 425  3758  3758 E AndroidRuntime:        at android database sqlite SQLiteProgram  init (SQLiteProgram java:58)_x000D_
01 24 15:26:49 425  3758  3758 E AndroidRuntime:        at android database sqlite SQLiteStatement  init (SQLiteStatement java:31)_x000D_
01 24 15:26:49 425  3758  3758 E AndroidRuntime:        at android database sqlite SQLiteDatabase executeSql(SQLiteDatabase java:1770)_x000D_
01 24 15:26:49 425  3758  3758 E AndroidRuntime:        at android database sqlite SQLiteDatabase execSQL(SQLiteDatabase java:1698)_x000D_
01 24 15:26:49 425  3758  3758 E AndroidRuntime:        at com owncloud android providers FileContentProvider DataBaseHelper onUpgrade(FileContentProvider java:2092)_x000D_
01 24 15:26:49 425  3758  3758 E AndroidRuntime:        at android database sqlite SQLiteOpenHelper getDatabaseLocked(SQLiteOpenHelper java:398)_x000D_
01 24 15:26:49 425  3758  3758 E AndroidRuntime:        at android database sqlite SQLiteOpenHelper getReadableDatabase(SQLiteOpenHelper java:322)_x000D_
01 24 15:26:49 425  3758  3758 E AndroidRuntime:        at com owncloud android providers FileContentProvider query(FileContentProvider java:471)_x000D_
01 24 15:26:49 425  3758  3758 E AndroidRuntime:        at android content ContentProvider query(ContentProvider java:1058)_x000D_
01 24 15:26:49 425  3758  3758 E AndroidRuntime:        at android content ContentProvider query(ContentProvider java:1150)_x000D_
01 24 15:26:49 425  3758  3758 E AndroidRuntime:        at android content ContentProvider Transport query(ContentProvider java:242)_x000D_
01 24 15:26:49 425  3758  3758 E AndroidRuntime:        at android content ContentResolver query(ContentResolver java:803)_x000D_
01 24 15:26:49 425  3758  3758 E AndroidRuntime:        at android content ContentResolver query(ContentResolver java:753)_x000D_
01 24 15:26:49 425  3758  3758 E AndroidRuntime:        at android content ContentResolver query(ContentResolver java:711)_x000D_
01 24 15:26:49 425  3758  3758 E AndroidRuntime:        at com owncloud android datamodel UploadsStorageManager getUploads(UploadsStorageManager java:289)_x000D_
01 24 15:26:49 425  3758  3758 E AndroidRuntime:        at com owncloud android datamodel UploadsStorageManager getFailedUploads(UploadsStorageManager java:368)_x000D_
01 24 15:26:49 425  3758  3758 E AndroidRuntime:        at com owncloud android utils FilesSyncHelper restartJobsIfNeeded(FilesSyncHelper java:194)_x000D_
01 24 15:26:49 425  3758  3758 E AndroidRuntime:        at com owncloud android MainApp initSyncOperations(MainApp java:492)_x000D_
01 24 15:26:49 425  3758  3758 E AndroidRuntime:        at com owncloud android MainApp onCreate(MainApp java:309)_x000D_
01 24 15:26:49 425  3758  3758 E AndroidRuntime:        at android app Instrumentation callApplicationOnCreate(Instrumentation java:1154)_x000D_
01 24 15:26:49 425  3758  3758 E AndroidRuntime:        at android app ActivityThread handleBindApplication(ActivityThread java:5920)_x000D_
01 24 15:26:49 425  3758  3758 E AndroidRuntime:            9 more_x000D_
01 24 15:26:49 427 17206 18379 I ActivityManager: START u0  flg 0x10000000 cmp com nextcloud android beta com nextcloud client errorhandling ShowErrorActivity (has extras)  from uid 10177_x000D_
01 24 15:26:49 433   862   862 D android hardware power 1 3 service crosshatch libperfmgr: LAUNCH ON_x000D_
01 24 15:26:49 438 17206 18379 W ActivityManager:   Force finishing activity com nextcloud android beta com owncloud android ui activity FileDisplayActivity_x000D_
01 24 15:26:49 440  3758  3758 I Process : Sending signal  PID: 3758 SIG: 9_x000D_
01 24 15:26:49 444 17206 17221 W BroadcastQueue: Background execution not allowed: receiving Intent   act android intent action DROPBOX ENTRY ADDED flg 0x10 (has extras)   to com google android gms  stats service DropBoxEntryAddedReceiver_x000D_
01 24 15:26:49 444 17206 17221 W BroadcastQueue: Background execution not allowed: receiving Intent   act android intent action DROPBOX ENTRY ADDED flg 0x10 (has extras)   to com google android gms  chimera GmsIntentOperationService PersistentTrustedReceiver_x000D_
01 24 15:26:49 453 17206 18379 I ActivityManager: Process com nextcloud android beta (pid 3758) has died: fore TOP_x000D_
01 24 15:26:49 453 17206 18379 W ActivityManager: Scheduling restart of crashed service com nextcloud android beta com evernote android job JobRescheduleService in 1000ms_x000D_
01 24 15:26:49 453 17082 17082 I Zygote  : Process 3758 exited due to signal (9)_x000D_
01 24 15:26:49 453 17206 17224 W libprocessgroup: kill( 3758  9) failed: No such process_x000D_
01 24 15:26:49 453 17206 17224 I libprocessgroup: Successfully killed process cgroup uid 10177 pid 3758 in 0ms_x000D_
01 24 15:26:49 454   639   663 D SurfaceFlinger: duplicate layer name: changing Splash Screen com nextcloud android beta to Splash Screen com nextcloud android beta 1_x000D_
01 24 15:26:49 471 17206 18268 I OpenGLRenderer: Initialized EGL  version 1 4_x000D_
01 24 15:26:49 471 17206 18268 D OpenGLRenderer: Swap behavior 2_x000D_
01 24 15:26:49 494 17206 17223 I ActivityManager: Start proc 3797:com nextcloud android beta:crash u0a177 for activity com nextcloud android beta com nextcloud client errorhandling ShowErrorActivity_x000D_
01 24 15:26:49 515  3797  3797 E roid beta:cras: Not starting debugger since process cannot load the jdwp agent _x000D_
01 24 15:26:49 522  3797  3797 V Riru    : hook removed_x000D_
01 24 15:26:49 522  3797  3797 V Riru    : edxp: forkAndSpecializePost_x000D_
01 24 15:26:49 523  3797  3797 V Riru    : storage redirect: forkAndSpecializePost_x000D_
01 24 15:26:49 523  3797  3797 V StorageRedirectInject: nativeForkAndSpecialize: package com nextcloud android beta  uid 10177_x000D_
01 24 15:26:49 523  3797  3797 V StorageRedirectInject: install hook: package com nextcloud android beta  user 0_x000D_
01 24 15:26:49 532  3797  3797 V StorageRedirectInject: install hook finished_x000D_
01 24 15:26:49 532  3797  3797 V StorageRedirectInject: install hook: fix app interaction is disabled_x000D_
01 24 15:26:49 553   639   663 W SurfaceFlinger: Attempting to destroy on removed layer: AppWindowToken 95def70 token Token 142edb3 ActivityRecord c6dbf22 u0 com nextcloud android beta com owncloud android ui activity FileDisplayActivity t15481    0_x000D_
01 24 15:26:49 553   639   663 W SurfaceFlinger: Attempting to destroy on removed layer: Task 15481 0_x000D_
01 24 15:26:49 558  3797  3797 I roid beta:cras: The ClassLoaderContext is a special shared library _x000D_
01 24 15:26:49 718 17206 17215 I system server: NativeAlloc concurrent copying GC freed 160531(8MB) AllocSpace objects  54(3MB) LOS objects  25  free  70MB 94MB  paused 67us total 154 468ms_x000D_
01 24 15:26:49 793  3797  3797 I MultiDex: VM with version 2 1 0 has multidex support_x000D_
01 24 15:26:49 793  3797  3797 I MultiDex: Installing application_x000D_
01 24 15:26:49 793  3797  3797 I MultiDex: VM has multidex support  MultiDex support library is disabled _x000D_
01 24 15:26:50 061  3797  3797 V NativeCrypto: Registering org conscrypt NativeCrypto s 286 native methods   _x000D_
01 24 15:26:50 071  3797  3797 I MainApp : Using Conscrypt 2 2 1 for TLS_x000D_
01 24 15:26:50 076  3797  3797 D NetworkSecurityConfig: Using Network Security Config from resource network security config debugBuild: false_x000D_
01 24 15:26:50 080  3797  3797 I MainApp : Enabled protocols:  TLSv1  TLSv1 1  TLSv1 2  TLSv1 3   _x000D_
01 24 15:26:50 080  3797  3797 I MainApp : Enabled ciphers:  TLS AES 128 GCM SHA256  TLS AES 256 GCM SHA384  TLS CHACHA20 POLY1305 SHA256  TLS ECDHE ECDSA WITH AES 128 GCM SHA256  TLS ECDHE ECDSA WITH AES 256 GCM SHA384  TLS ECDHE ECDSA WITH CHACHA20 POLY1305 SHA256  TLS ECDHE RSA WITH AES 128 GCM SHA256  TLS ECDHE RSA WITH AES 256 GCM SHA384  TLS ECDHE RSA WITH CHACHA20 POLY1305 SHA256  TLS ECDHE ECDSA WITH AES 128 CBC SHA  TLS ECDHE ECDSA WITH AES 256 CBC SHA  TLS ECDHE RSA WITH AES 128 CBC SHA  TLS ECDHE RSA WITH AES 256 CBC SHA  TLS RSA WITH AES 128 GCM SHA256  TLS RSA WITH AES 256 GCM SHA384  TLS RSA WITH AES 128 CBC SHA  TLS RSA WITH AES 256 CBC SHA  TLS EMPTY RENEGOTIATION INFO SCSV   _x000D_
01 24 15:26:50 090  3797  3797 E DisplayUtils: Failed to use reflection to enable proper vector scaling_x000D_
01 24 15:26:50 091  3797  3797 D Debug   : start logging_x000D_
01 24 15:26:50 091  3797  3831 D skia    :     Failed to create image decoder with message  unimplemented _x000D_
01 24 15:26:50 091  3797  3831 D skia    :     Failed to create image decoder with message  unimplemented _x000D_
01 24 15:26:50 091  3797  3831 D ThumbnailsCacheManager: thumbnail cache dir:  data user 0 com nextcloud android beta cache thumbnailCache_x000D_
01 24 15:26:50 097  3797  3797 I JobManager: Found pending job request id 46884  tag FilesSyncJob  transient false   canceling_x000D_
01 24 15:26:50 106  3797  3797 D JobProxy26: Schedule periodic jobInfo success  request id 46885  tag FilesSyncJob  transient false   interval 00:15:00  flex 00:05:00_x000D_
01 24 15:26:50 122 17206 17223 I ActivityManager: Start proc 3838:com nextcloud android beta u0a177 for content provider com nextcloud android beta com owncloud android providers FileContentProvider_x000D_
01 24 15:26:50 131  3838  3838 E ud android bet: Not starting debugger since process cannot load the jdwp agent _x000D_
01 24 15:26:50 138  3838  3838 V Riru    : hook removed_x000D_
01 24 15:26:50 138  3838  3838 V Riru    : edxp: forkAndSpecializePost_x000D_
01 24 15:26:50 138  3838  3838 V Riru    : storage redirect: forkAndSpecializePost_x000D_
01 24 15:26:50 138  3838  3838 V StorageRedirectInject: nativeForkAndSpecialize: package com nextcloud android beta  uid 10177_x000D_
01 24 15:26:50 138  3838  3838 V StorageRedirectInject: install hook: package com nextcloud android beta  user 0_x000D_
01 24 15:26:50 147  3838  3838 V StorageRedirectInject: install hook finished_x000D_
01 24 15:26:50 147  3838  3838 V StorageRedirectInject: install hook: fix app interaction is disabled_x000D_
01 24 15:26:50 162  3838  3838 I ud android bet: The ClassLoaderContext is a special shared library _x000D_
01 24 15:26:50 270  3838  3838 I ud android bet: Waiting for a blocking GC None_x000D_
01 24 15:26:50 278  3838  3838 I ud android bet: WaitForGcToComplete blocked None on AddRemoveAppImageSpace for 7 449ms_x000D_
01 24 15:26:50 356  3838  3838 I MultiDex: VM with version 2 1 0 has multidex support_x000D_
01 24 15:26:50 356  3838  3838 I MultiDex: Installing application_x000D_
01 24 15:26:50 356  3838  3838 I MultiDex: VM has multidex support  MultiDex support library is disabled _x000D_
01 24 15:26:50 406  3838  3851 I SQL     : Entering in onUpgrade_x000D_
01 24 15:26:50 408  3838  3851 I SQL     : OUT of the ADD in onUpgrade  oldVersion    52  newVersion    53_x000D_
01 24 15:26:50 409  3838  3851 I chatty  : uid 10177(com nextcloud android beta) Binder:3838 3 identical 45 lines_x000D_
01 24 15:26:50 409  3838  3851 I SQL     : OUT of the ADD in onUpgrade  oldVersion    52  newVersion    53_x000D_
01 24 15:26:50 409  3838  3851 I SQL     : Entering in the  53 add rich workspace to file table_x000D_
01 24 15:26:50 410  3838  3851 E SQLiteLog: (1) duplicate column name: rich workspace_x000D_
01 24 15:26:50 411  3838  3851 E DatabaseUtils: Writing exception to parcel_x000D_
01 24 15:26:50 411  3838  3851 E DatabaseUtils: android database sqlite SQLiteException: duplicate column name: rich workspace (code 1 SQLITE ERROR):   while compiling: ALTER TABLE filelist ADD COLUMN rich workspace TEXT_x000D_
01 24 15:26:50 411  3838  3851 E DatabaseUtils:         at android database sqlite SQLiteConnection nativePrepareStatement(Native Method)_x000D_
01 24 15:26:50 411  3838  3851 E DatabaseUtils:         at android database sqlite SQLiteConnection acquirePreparedStatement(SQLiteConnection java:939)_x000D_
01 24 15:26:50 411  3838  3851 E DatabaseUtils:         at android database sqlite SQLiteConnection prepare(SQLiteConnection java:550)_x000D_
01 24 15:26:50 411  3838  3851 E DatabaseUtils:         at android database sqlite SQLiteSession prepare(SQLiteSession java:588)_x000D_
01 24 15:26:50 411  3838  3851 E DatabaseUtils:         at android database sqlite SQLiteProgram  init (SQLiteProgram java:58)_x000D_
01 24 15:26:50 411  3838  3851 E DatabaseUtils:         at android database sqlite SQLiteStatement  init (SQLiteStatement java:31)_x000D_
01 24 15:26:50 411  3838  3851 E DatabaseUtils:         at android database sqlite SQLiteDatabase executeSql(SQLiteDatabase java:1770)_x000D_
01 24 15:26:50 411  3838  3851 E DatabaseUtils:         at android database sqlite SQLiteDatabase execSQL(SQLiteDatabase java:1698)_x000D_
01 24 15:26:50 411  3838  3851 E DatabaseUtils:         at com owncloud android providers FileContentProvider DataBaseHelper onUpgrade(FileContentProvider java:2092)_x000D_
01 24 15:26:50 411  3838  3851 E DatabaseUtils:         at android database sqlite SQLiteOpenHelper getDatabaseLocked(SQLiteOpenHelper java:398)_x000D_
01 24 15:26:50 411  3838  3851 E DatabaseUtils:         at android database sqlite SQLiteOpenHelper getReadableDatabase(SQLiteOpenHelper java:322)_x000D_
01 24 15:26:50 411  3838  3851 E DatabaseUtils:         at com owncloud android providers FileContentProvider query(FileContentProvider java:471)_x000D_
01 24 15:26:50 411  3838  3851 E DatabaseUtils:         at android content ContentProvider query(ContentProvider java:1058)_x000D_
01 24 15:26:50 411  3838  3851 E DatabaseUtils:         at android content ContentProvider query(ContentProvider java:1150)_x000D_
01 24 15:26:50 411  3838  3851 E DatabaseUtils:         at android content ContentProvider Transport query(ContentProvider java:242)_x000D_
01 24 15:26:50 411  3838  3851 E DatabaseUtils:         at android content ContentProviderNative onTransact(ContentProviderNative java:102)_x000D_
01 24 15:26:50 411  3838  3851 E DatabaseUtils:         at android os Binder execTransact(Binder java:731)_x000D_
01 24 15:26:50 412  3797  3797 D AndroidRuntime: Shutting down VM_x000D_
01 24 15:26:50 412  3797  3797 E AndroidRuntime: FATAL EXCEPTION: main_x000D_
01 24 15:26:50 412  3797  3797 E AndroidRuntime: Process: com nextcloud android beta:crash  PID: 3797_x000D_
01 24 15:26:50 412  3797  3797 E AndroidRuntime: java lang RuntimeException: Unable to create application com owncloud android MainApp: android database sqlite SQLiteException: duplicate column name: rich workspace (code 1 SQLITE ERROR):   while compiling: ALTER TABLE filelist ADD COLUMN rich workspace TEXT_x000D_
01 24 15:26:50 412  3797  3797 E AndroidRuntime:        at android app ActivityThread handleBindApplication(ActivityThread java:5925)_x000D_
01 24 15:26:50 412  3797  3797 E AndroidRuntime:        at com elderdrivers riru edxp  hooker yahfa HandleBindAppHooker hook(HandleBindAppHooker java:21)_x000D_
01 24 15:26:50 412  3797  3797 E AndroidRuntime:        at android app ActivityThread access 1100(ActivityThread java:200)_x000D_
01 24 15:26:50 412  3797  3797 E AndroidRuntime:        at android app ActivityThread H handleMessage(ActivityThread java:1656)_x000D_
01 24 15:26:50 412  3797  3797 E AndroidRuntime:        at android os Handler dispatchMessage(Handler java:106)_x000D_
01 24 15:26:50 412  3797  3797 E AndroidRuntime:        at android os Looper loop(Looper java:193)_x000D_
01 24 15:26:50 412  3797  3797 E AndroidRuntime:        at android app ActivityThread main(ActivityThread java:6718)_x000D_
01 24 15:26:50 412  3797  3797 E AndroidRuntime:        at java lang reflect Method invoke(Native Method)_x000D_
01 24 15:26:50 412  3797  3797 E AndroidRuntime:        at com android internal os RuntimeInit MethodAndArgsCaller run(RuntimeInit java:493)_x000D_
01 24 15:26:50 412  3797  3797 E AndroidRuntime:        at com android internal os ZygoteInit main(ZygoteInit java:858)_x000D_
01 24 15:26:50 412  3797  3797 E AndroidRuntime: Caused by: android database sqlite SQLiteException: duplicate column name: rich workspace (code 1 SQLITE ERROR):   while compiling: ALTER TABLE filelist ADD COLUMN rich workspace TEXT_x000D_
01 24 15:26:50 412  3797  3797 E AndroidRuntime:        at android database DatabaseUtils readExceptionFromParcel(DatabaseUtils java:179)_x000D_
01 24 15:26:50 412  3797  3797 E AndroidRuntime:        at android database DatabaseUtils readExceptionFromParcel(DatabaseUtils java:135)_x000D_
01 24 15:26:50 412  3797  3797 E AndroidRuntime:        at android content ContentProviderProxy query(ContentProviderNative java:418)_x000D_
01 24 15:26:50 412  3797  3797 E AndroidRuntime:        at android content ContentResolver query(ContentResolver java:803)_x000D_
01 24 15:26:50 412  3797  3797 E AndroidRuntime:        at android content ContentResolver query(ContentResolver java:753)_x000D_
01 24 15:26:50 412  3797  3797 E AndroidRuntime:        at android content ContentResolver query(ContentResolver java:711)_x000D_
01 24 15:26:50 412  3797  3797 E AndroidRuntime:        at com owncloud android datamodel UploadsStorageManager getUploads(UploadsStorageManager java:289)_x000D_
01 24 15:26:50 412  3797  3797 E AndroidRuntime:        at com owncloud android datamodel UploadsStorageManager getFailedUploads(UploadsStorageManager java:368)_x000D_
01 24 15:26:50 412  3797  3797 E AndroidRuntime:        at com owncloud android utils FilesSyncHelper restartJobsIfNeeded(FilesSyncHelper java:194)_x000D_
01 24 15:26:50 412  3797  3797 E AndroidRuntime:        at com owncloud android MainApp initSyncOperations(MainApp java:492)_x000D_
01 24 15:26:50 412  3797  3797 E AndroidRuntime:        at com owncloud android MainApp onCreate(MainApp java:309)_x000D_
01 24 15:26:50 412  3797  3797 E AndroidRuntime:        at android app Instrumentation callApplicationOnCreate(Instrumentation java:1154)_x000D_
01 24 15:26:50 412  3797  3797 E AndroidRuntime:        at android app ActivityThread handleBindApplication(ActivityThread java:5920)_x000D_
01 24 15:26:50 412  3797  3797 E AndroidRuntime:            9 more_x000D_
01 24 15:26:50 415 17206 19882 W ActivityManager:   Force finishing activity com nextcloud android beta com nextcloud client errorhandling ShowErrorActivity_x000D_
01 24 15:26:50 421 17206 17222 I ActivityManager: Showing crash dialog for package com nextcloud android beta u0_x000D_
01 24 15:26:50 428 17206 17221 W BroadcastQueue: Background execution not allowed: receiving Intent   act android intent action DROPBOX ENTRY ADDED flg 0x10 (has extras)   to com google android gms  stats service DropBoxEntryAddedReceiver_x000D_
01 24 15:26:50 429 17206 17221 W BroadcastQueue: Background execution not allowed: receiving Intent   act android intent action DROPBOX ENTRY ADDED flg 0x10 (has extras)   to com google android gms  chimera GmsIntentOperationService PersistentTrustedReceiver_x000D_
01 24 15:26:50 457 17206 18268 I OpenGLRenderer: Initialized EGL  version 1 4_x000D_
01 24 15:26:50 457 17206 18268 D OpenGLRenderer: Swap behavior 2_x000D_
01 24 15:26:50 464 17206 18268 E libc    : Access denied finding property  vendor debug egl changepixelformat _x000D_
01 24 15:26:50 476 17206 18268 E libc    : Access denied finding property  vendor debug egl swapinterval _x000D_
01 24 15:26:50 487 17206 18268 E libc    : Access denied finding property  vendor debug egl swapinterval _x000D_
01 24 15:26:50 522 18741 18796 E s nexuslaunche: No package ID ff found for ID 0xffffffff _x000D_
01 24 15:26:50 522 18741 18796 E s nexuslaunche: No package ID ff found for ID 0xffffffff _x000D_
01 24 15:26:50 522 18741 18796 E IconLoader: Could not find icon drawable from resource_x000D_
01 24 15:26:50 522 18741 18796 E IconLoader: android content res Resources NotFoundException: Resource ID  0xffffffff_x000D_
01 24 15:26:50 522 18741 18796 E IconLoader:    at android content res ResourcesImpl getValueForDensity(ResourcesImpl java:225)_x000D_
01 24 15:26:50 522 18741 18796 E IconLoader:    at android content res Resources getDrawableForDensity(Resources java:887)_x000D_
01 24 15:26:50 522 18741 18796 E IconLoader:    at EdHooker  hook(Unknown Source:162)_x000D_
01 24 15:26:50 522 18741 18796 E IconLoader:    at android content res XResources getDrawableForDensity(XResources java:871)_x000D_
01 24 15:26:50 522 18741 18796 E IconLoader:    at android content res Resources getDrawable(Resources java:827)_x000D_
01 24 15:26:50 522 18741 18796 E IconLoader:    at android content res XResources getDrawable(XResources java:793)_x000D_
01 24 15:26:50 522 18741 18796 E IconLoader:    at com android systemui shared recents model IconLoader createNewIconForTask(SourceFile:118)_x000D_
01 24 15:26:50 522 18741 18796 E IconLoader:    at com android systemui shared recents model IconLoader getAndInvalidateIfModified(SourceFile:94)_x000D_
01 24 15:26:50 522 18741 18796 E IconLoader:    at com android systemui shared recents model RecentsTaskLoader getAndUpdateActivityIcon(SourceFile:325)_x000D_
01 24 15:26:50 522 18741 18796 E IconLoader:    at com android systemui shared recents model RecentsTaskLoadPlan executePlan(SourceFile:188)_x000D_
01 24 15:26:50 522 18741 18796 E IconLoader:    at com android systemui shared recents model RecentsTaskLoader loadTasks(SourceFile:173)_x000D_
01 24 15:26:50 522 18741 18796 E IconLoader:    at com android quickstep RecentsModel onTaskStackChangedBackground(SourceFile:214)_x000D_
01 24 15:26:50 522 18741 18796 E IconLoader:    at com android systemui shared system TaskStackChangeListeners onTaskStackChanged(SourceFile:80)_x000D_
01 24 15:26:50 522 18741 18796 E IconLoader:    at android app ITaskStackListener Stub onTransact(ITaskStackListener java:50)_x000D_
01 24 15:26:50 522 18741 18796 E IconLoader:    at android os Binder execTransact(Binder java:731)_x000D_
01 24 15:26:50 576  3838  3838 I ud android bet: Waiting for a blocking GC None_x000D_
01 24 15:26:50 637  3838  3838 V NativeCrypto: Registering org conscrypt NativeCrypto s 286 native methods   _x000D_
01 24 15:26:50 642  3838  3838 I MainApp : Using Conscrypt 2 2 1 for TLS_x000D_
01 24 15:26:50 645  3838  3838 D NetworkSecurityConfig: Using Network Security Config from resource network security config debugBuild: false_x000D_
01 24 15:26:50 647  3838  3838 I MainApp : Enabled protocols:  TLSv1  TLSv1 1  TLSv1 2  TLSv1 3   _x000D_
01 24 15:26:50 647  3838  3838 I MainApp : Enabled ciphers:  TLS AES 128 GCM SHA256  TLS AES 256 GCM SHA384  TLS CHACHA20 POLY1305 SHA256  TLS ECDHE ECDSA WITH AES 128 GCM SHA256  TLS ECDHE ECDSA WITH AES 256 GCM SHA384  TLS ECDHE ECDSA WITH CHACHA20 POLY1305 SHA256  TLS ECDHE RSA WITH AES 128 GCM SHA256  TLS ECDHE RSA WITH AES 256 GCM SHA384  TLS ECDHE RSA WITH CHACHA20 POLY1305 SHA256  TLS ECDHE ECDSA WITH AES 128 CBC SHA  TLS ECDHE ECDSA WITH AES 256 CBC SHA  TLS ECDHE RSA WITH AES 128 CBC SHA  TLS ECDHE RSA WITH AES 256 CBC SHA  TLS RSA WITH AES 128 GCM SHA256  TLS RSA WITH AES 256 GCM SHA384  TLS RSA WITH AES 128 CBC SHA  TLS RSA WITH AES 256 CBC SHA  TLS EMPTY RENEGOTIATION INFO SCSV   _x000D_
01 24 15:26:50 654  3838  3838 E DisplayUtils: Failed to use reflection to enable proper vector scaling_x000D_
01 24 15:26:50 655  3838  3838 D Debug   : start logging_x000D_
01 24 15:26:50 656  3838  3876 D skia    :     Failed to create image decoder with message  unimplemented _x000D_
01 24 15:26:50 656  3838  3876 D skia    :     Failed to create image decoder with message  unimplemented _x000D_
01 24 15:26:50 656  3838  3876 D ThumbnailsCacheManager: thumbnail cache dir:  data user 0 com nextcloud android beta cache thumbnailCache_x000D_
01 24 15:26:50 661  3838  3838 I JobManager: Found pending job request id 46885  tag FilesSyncJob  transient false   canceling_x000D_
01 24 15:26:50 669  3838  3838 D JobProxy26: Schedule periodic jobInfo success  request id 46886  tag FilesSyncJob  transient false   interval 00:15:00  flex 00:05:00_x000D_
01 24 15:26:50 677  3838  3838 I SQL     : Entering in onUpgrade_x000D_
01 24 15:26:50 677  3838  3838 I SQL     : OUT of the ADD in onUpgrade  oldVersion    52  newVersion    53_x000D_
01 24 15:26:50 678  3838  3838 I chatty  : uid 10177(com nextcloud android beta) identical 45 lines_x000D_
01 24 15:26:50 678  3838  3838 I SQL     : OUT of the ADD in onUpgrade  oldVersion    52  newVersion    53_x000D_
01 24 15:26:50 678  3838  3838 I SQL     : Entering in the  53 add rich workspace to file table_x000D_
01 24 15:26:50 678  3838  3838 E SQLiteLog: (1) duplicate column name: rich workspace_x000D_
01 24 15:26:50 679  3838  3838 D AndroidRuntime: Shutting down VM_x000D_
01 24 15:26:50 680  3838  3838 E AndroidRuntime: FATAL EXCEPTION: main_x000D_
01 24 15:26:50 680  3838  3838 E AndroidRuntime: Process: com nextcloud android beta  PID: 3838_x000D_
01 24 15:26:50 680  3838  3838 E AndroidRuntime: java lang RuntimeException: Unable to create application com owncloud android MainApp: android database sqlite SQLiteException: duplicate column name: rich workspace (code 1 SQLITE ERROR):   while compiling: ALTER TABLE filelist ADD COLUMN rich workspace TEXT_x000D_
01 24 15:26:50 680  3838  3838 E AndroidRuntime:        at android app ActivityThread handleBindApplication(ActivityThread java:5925)_x000D_
01 24 15:26:50 680  3838  3838 E AndroidRuntime:        at com elderdrivers riru edxp  hooker yahfa HandleBindAppHooker hook(HandleBindAppHooker java:21)_x000D_
01 24 15:26:50 680  3838  3838 E AndroidRuntime:        at android app ActivityThread access 1100(ActivityThread java:200)_x000D_
01 24 15:26:50 680  3838  3838 E AndroidRuntime:        at android app ActivityThread H handleMessage(ActivityThread java:1656)_x000D_
01 24 15:26:50 680  3838  3838 E AndroidRuntime:        at android os Handler dispatchMessage(Handler java:106)_x000D_
01 24 15:26:50 680  3838  3838 E AndroidRuntime:        at android os Looper loop(Looper java:193)_x000D_
01 24 15:26:50 680  3838  3838 E AndroidRuntime:        at android app ActivityThread main(ActivityThread java:6718)_x000D_
01 24 15:26:50 680  3838  3838 E AndroidRuntime:        at java lang reflect Method invoke(Native Method)_x000D_
01 24 15:26:50 680  3838  3838 E AndroidRuntime:        at </t>
  </si>
  <si>
    <t>GrapheneOS-Auditor-64</t>
  </si>
  <si>
    <t>Auditor app crashes on initial device pairing</t>
  </si>
  <si>
    <t xml:space="preserve">The Auditor app keeps stopping when attempting to perform the initial pairing between a phone and tablet  _x000D_
_x000D_
Auditor: Google Pixel 3a XL  Model: G020B _x000D_
Auditee: Galaxy Tab A 10 1 2019 (Wi Fi)  Model: SM T510 _x000D_
_x000D_
Both devices are running Auditor version 17  _x000D_
_x000D_
Steps to reproduce issue: _x000D_
1  Launch Auditor on both devices _x000D_
2  Tap  auditor (device performing verification)  on the Pixel _x000D_
3  Tap  auditee (device being verified)  on the Tab A _x000D_
4  Scan QR code shown on the other device _x000D_
5  The app crashes  _x000D_
_x000D_
No issues when auditor and auditee are switched  pairing and verification are successful  _x000D_
_x000D_
Please let me know if additional information is needed  _x000D_
</t>
  </si>
  <si>
    <t>fossasia-phimpme-android-2991</t>
  </si>
  <si>
    <t>App crashes when Pinterest is clicked in account section.</t>
  </si>
  <si>
    <t xml:space="preserve">  Describe the bug  _x000D_
When user clicks on Pinterest  app crashes _x000D_
_x000D_
  To Reproduce  _x000D_
_x000D_
1  Go to Accounts section _x000D_
2  Click on Pinterest_x000D_
_x000D_
  Would you like to work on the issue   _x000D_
Open to all _x000D_
</t>
  </si>
  <si>
    <t>HarvestProfit-react-native-rectangle-scanner-8</t>
  </si>
  <si>
    <t>Crashes on iPhones with multiple back cameras</t>
  </si>
  <si>
    <t xml:space="preserve">This is the only details I get from Sentry Production Error Handling but it looks like any iPhone with multiple cameras will lead to a crash  _x000D_
_x000D_
   _x000D_
EXC BAD ACCESS_x000D_
Exception 1  Code 19923264  Subcode 8  _x000D_
Attempted to dereference garbage pointer 0x130013001300140 _x000D_
   </t>
  </si>
  <si>
    <t>material-components-material-components-android-937</t>
  </si>
  <si>
    <t>[MaterialShapeDrawable] Crash on Android 4.4.4 - java.lang.IllegalArgumentException: radius must be &gt; 0</t>
  </si>
  <si>
    <t xml:space="preserve">I m currently using 1 1 0 beta02_x000D_
_x000D_
We have this stacktrace on Crashlytics:_x000D_
 _x000D_
Fatal Exception: java lang IllegalArgumentException: radius must be   0_x000D_
       at android graphics RadialGradient  init (RadialGradient java:53)_x000D_
       at com google android material shadow ShadowRenderer drawCornerShadow(ShadowRenderer java:160)_x000D_
       at com google android material shape ShapePath ArcShadowOperation draw(ShapePath java:385)_x000D_
       at com google android material shape ShapePath 1 draw(ShapePath java:226)_x000D_
       at com google android material shape ShapePath ShadowCompatOperation draw(ShapePath java:323)_x000D_
       at com google android material shape MaterialShapeDrawable drawCompatShadow(MaterialShapeDrawable java:1055)_x000D_
       at com google android material shape MaterialShapeDrawable draw(MaterialShapeDrawable java:958)_x000D_
       at android graphics drawable LayerDrawable draw(LayerDrawable java:349)_x000D_
       at android graphics drawable InsetDrawable draw(InsetDrawable java:158)_x000D_
       at android view View draw(View java:14450)_x000D_
       at android view View getDisplayList(View java:13362)_x000D_
       at android view View getDisplayList(View java:13404)_x000D_
       at android view ViewGroup dispatchGetDisplayList(ViewGroup java:3077)_x000D_
       at android view View getDisplayList(View java:13300)_x000D_
       at android view View getDisplayList(View java:13404)_x000D_
          _x000D_
 _x000D_
_x000D_
There are 0 references to my application code so I think this is caused by something out of our control and is randomly given out on some devices with 4 4 4 _x000D_
_x000D_
Apparently the cause is  here (https:  github com material components material components android blob 1 1 0 beta02 lib java com google android material shadow ShadowRenderer java L160)_x000D_
where  bounds width  is 0 or negative and is passed as the radius parameter to the  RadialGradient   which crashes  here (https:  cs android com android platform superproject   master:frameworks base graphics java android graphics RadialGradient java l 104 q RadialGradient) because a radius of 0 or less is not allowed _x000D_
_x000D_
Any hint or workaround possible  Maybe we could fix a wrong width providing a default value in  MaterialShapeDrawable drawCompatShadow (https:  github com material components material components android blob 1 1 0 beta02 lib java com google android material shape MaterialShapeDrawable java L1055) or not trying to draw the shadow at all  _x000D_
_x000D_
_x000D_
</t>
  </si>
  <si>
    <t>nextcloud-android-5295</t>
  </si>
  <si>
    <t>Crash when inspecting an image's properties</t>
  </si>
  <si>
    <t xml:space="preserve">    Steps to reproduce_x000D_
Android client I did left to right swipe then  images   I selected an image s then selected  properties  (second down in the list)  The crash was mediate  _x000D_
_x000D_
_x000D_
    Actual behaviour_x000D_
             CAUSE OF ERROR             _x000D_
_x000D_
javax net ssl SSLHandshakeException: java security cert CertPathValidatorException: Trust anchor for certification path not found _x000D_
	at com google android gms org conscrypt ConscryptFileDescriptorSocket startHandshake(:com google android gms 19831030 19 8 31 (100408 284611645):27)_x000D_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java:784)_x000D_
Caused by: java security cert CertificateException: java security cert CertPathValidatorException: Trust anchor for certification path not found _x000D_
	at com android org conscrypt TrustManagerImpl verifyChain(TrustManagerImpl java:661)_x000D_
	at com android org conscrypt TrustManagerImpl checkTrustedRecursive(TrustManagerImpl java:539)_x000D_
	at com android org conscrypt TrustManagerImpl checkTrusted(TrustManagerImpl java:495)_x000D_
	at com android org conscrypt TrustManagerImpl checkTrusted(TrustManagerImpl java:418)_x000D_
	at com android org conscrypt TrustManagerImpl getTrustedChainForServer(TrustManagerImpl java:339)_x000D_
	at android security net config NetworkSecurityTrustManager checkServerTrusted(NetworkSecurityTrustManager java:94)_x000D_
	at android security net config RootTrustManager checkServerTrusted(RootTrustManager java:88)_x000D_
	at java lang reflect Method invoke(Native Method)_x000D_
	at com google android gms org conscrypt Platform checkTrusted(:com google android gms 19831030 19 8 31 (100408 284611645):2)_x000D_
	at com google android gms org conscrypt Platform checkServerTrusted(:com google android gms 19831030 19 8 31 (100408 284611645):1)_x000D_
	at com google android gms org conscrypt ConscryptFileDescriptorSocket verifyCertificateChain(:com google android gms 19831030 19 8 31 (100408 284611645):7)_x000D_
	at com google android gms org conscrypt NativeCrypto SSL do handshake(Native Method)_x000D_
	at com google android gms org conscrypt NativeSsl doHandshake(:com google android gms 19831030 19 8 31 (100408 284611645):6)_x000D_
	at com google android gms org conscrypt ConscryptFileDescriptorSocket startHandshake(:com google android gms 19831030 19 8 31 (100408 284611645):14)_x000D_
	    26 more_x000D_
Caused by: java security cert CertPathValidatorException: Trust anchor for certification path not found _x000D_
	    40 more_x000D_
_x000D_
             APP INFORMATION             _x000D_
ID: com nextcloud client_x000D_
Version: 30100090_x000D_
Build flavor: gplay_x000D_
_x000D_
             DEVICE INFORMATION             _x000D_
Brand: HONOR_x000D_
Device: HWBKL_x000D_
Model: BKL L09_x000D_
Id: HUAWEIBKL L09S_x000D_
Product: BKL L09_x000D_
_x000D_
             FIRMWARE             _x000D_
SDK: 28_x000D_
Release: 9_x000D_
Incremental: 9 1 0 361C432_x000D_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</si>
  <si>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fossasia-phimpme-android-2990</t>
  </si>
  <si>
    <t>Doesn't show media in folder</t>
  </si>
  <si>
    <t xml:space="preserve">  Describe the bug  _x000D_
     A clear and concise description of what the bug is     _x000D_
When I open the app  The folder is having media in it but when I open it  the folder doesn t shows any media_x000D_
  To Reproduce  _x000D_
    Steps to reproduce the behavior:_x000D_
1  Go to      _x000D_
2  Click on       _x000D_
3  Scroll down to       _x000D_
4  See error    _x000D_
Go to hidden folders   Open a folder_x000D_
_x000D_
  Expected behavior  _x000D_
     A clear and concise description of what you expected to happen     _x000D_
The media should be showed_x000D_
_x000D_
     Please add logs in case of any crash or applicable error     _x000D_
_x000D_
  Screenshots  _x000D_
     If applicable  add screenshots to help explain your problem     _x000D_
  GIF 200123 104539 (https:  user images githubusercontent com 40761012 72976518 c389e780 3df8 11ea 82ce 4e4844815203 gif)_x000D_
_x000D_
_x000D_
  Smartphone Info:  _x000D_
     Please complete the following information    _x000D_
                   _x000D_
                   _x000D_
 Device                e g  Moto G5 Plus        Oppo Realme 1    _x000D_
 Android Version       e g  Oreo 8 1       Pie 9 0     _x000D_
_x000D_
_x000D_
     Add any other context about the problem here     _x000D_
_x000D_
  Would you like to work on the issue   _x000D_
     Please let us know if you can work on it or the issue should be assigned to someone else     _x000D_
        No_x000D_
</t>
  </si>
  <si>
    <t>fossasia-phimpme-android-2989</t>
  </si>
  <si>
    <t>Image takes time to get loaded</t>
  </si>
  <si>
    <t xml:space="preserve">  Describe the bug  _x000D_
     A clear and concise description of what the bug is     _x000D_
When opening an image  It takes a lot of time to load the image as compared to another apps _x000D_
_x000D_
  To Reproduce  _x000D_
    Steps to reproduce the behavior:_x000D_
1  Go to      _x000D_
2  Click on       _x000D_
3  Scroll down to       _x000D_
4  See error    _x000D_
Open an image in the app _x000D_
_x000D_
  Expected behavior  _x000D_
     A clear and concise description of what you expected to happen     _x000D_
The image should load immediately within a second after clicking the image _x000D_
_x000D_
  Logs  _x000D_
     Please add logs in case of any crash or applicable error     _x000D_
No_x000D_
_x000D_
  Screenshots  _x000D_
     If applicable  add screenshots to help explain your problem     _x000D_
_x000D_
  GIF 200123 103447 (https:  user images githubusercontent com 40761012 72958095 041f3c00 3dcc 11ea 99c1 e2403754de0c gif)_x000D_
_x000D_
_x000D_
  Smartphone Info:  _x000D_
     Please complete the following information    _x000D_
                   _x000D_
                   _x000D_
 Device                e g  Moto G5 Plus        Oppo Realme 1   _x000D_
 Android Version       e g  Oreo 8 1       Pie 9 0      _x000D_
_x000D_
     Add any other context about the problem here     _x000D_
_x000D_
  Would you like to work on the issue   _x000D_
     Please let us know if you can work on it or the issue should be assigned to someone else     _x000D_
        No_x000D_
</t>
  </si>
  <si>
    <t>TeamNewPipe-NewPipe-2979</t>
  </si>
  <si>
    <t>NPE on reCAPTCHA challenge</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</si>
  <si>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Exception_x000D_
    User Action:   ui error_x000D_
    Request:   App crash  UI failure_x000D_
    Content Language:   FR_x000D_
    Service:   none_x000D_
    Version:   0 18 1_x000D_
    OS:   Linux Android 8 1 0   27_x000D_
_x000D_
_x000D_
 details  summary  b Crash log  b   summary  p _x000D_
_x000D_
   _x000D_
java lang NullPointerException: Attempt to invoke virtual method  java lang String   java lang String split(java lang String)  on a null object reference_x000D_
	at org schabi newpipe ReCaptchaActivity ReCaptchaWebViewClient find access cookies(ReCaptchaActivity java:128)_x000D_
	at org schabi newpipe ReCaptchaActivity ReCaptchaWebViewClient onPageFinished(ReCaptchaActivity java:113)_x000D_
	at t6 b(PG:15)_x000D_
	at ld handleMessage(PG:43)_x000D_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p   details _x000D_
 hr _x000D_
I was scrolling what s new in peertube co uk instance  It happens everytime I scroll to look at a few videos</t>
  </si>
  <si>
    <t>Piwigo-Piwigo-Android-243</t>
  </si>
  <si>
    <t>Very strange behavior on edit account</t>
  </si>
  <si>
    <t xml:space="preserve">  Describe the bug and how to reproduce  _x000D_
local database appears to get corrupt on editing account_x000D_
_x000D_
Steps to reproduce:_x000D_
  add tg1 kulow org as guest_x000D_
  you see Public gallery_x000D_
  edit the account to be seessmall:seessmall_x000D_
_x000D_
   on api 29 you actually see  Public  twice_x000D_
   on api 26 the app crashes_x000D_
_x000D_
</t>
  </si>
  <si>
    <t>amzn-exoplayer-amazon-port-99</t>
  </si>
  <si>
    <t>Player runtime exception when opening a prime video using Alexa on FireOS 7.2</t>
  </si>
  <si>
    <t xml:space="preserve">    Issue description_x000D_
When playing a HLS Stream on FireTV devices using FireOS 7 and then switch to a Prime video with Alexa a non recoverable exception occurs and the player is reset and therefore must be then reinitialised   This only happens if the app used is Prime Video  devices running FireOS 5 and 6 are behaving correctly _x000D_
_x000D_
Expected behaviour:_x000D_
After clicking back from the Prime Video content the player should be able to resume without reinitialisation  _x000D_
_x000D_
Observed behaviour: _x000D_
The ExoPlayer throws a Runtime Exception and the player is reset  (In the case for the App it tries to show a dialog after onSavedInstanceState is called and crashes  fixed in upcoming version)_x000D_
_x000D_
     Reproduction steps_x000D_
_x000D_
1  Open the App and go to a Video _x000D_
2  Play for some seconds_x000D_
3  Open a Prime Video by using Alexa  For example Bosch_x000D_
4  Waiting until the prime video is loaded _x000D_
5  Click back  the exception happens and the player is reset (or previous page shown due to crash) _x000D_
_x000D_
     Link to test content_x000D_
Install_x000D_
https:  www amazon com ARTE G E I E dp B00AML8D24 ref sr 1 1 keywords arte qid 1579705046 s mobile apps sr 1 1_x000D_
_x000D_
I was also able to reproduce this with other media apps like ZDF  _x000D_
_x000D_
    A full bug report captured from the device_x000D_
   _x000D_
2020 01 22 15:29:23 240 23847 24352  E ExoPlayerImplInternal: Internal runtime error _x000D_
    android media MediaCodec CodecException: Error 0xffffffe0_x000D_
        at android media MediaCodec native dequeueInputBuffer(Native Method)_x000D_
        at android media MediaCodec dequeueInputBuffer(MediaCodec java:2635)_x000D_
        at com google android exoplayer2 mediacodec MediaCodecRenderer feedInputBuffer(MediaCodecRenderer java:994)_x000D_
        at com google android exoplayer2 mediacodec MediaCodecRenderer render(MediaCodecRenderer java:671)_x000D_
        at com google android exoplayer2 ExoPlayerImplInternal doSomeWork(ExoPlayerImplInternal java:575)_x000D_
        at com google android exoplayer2 ExoPlayerImplInternal handleMessage(ExoPlayerImplInternal java:326)_x000D_
        at android os Handler dispatchMessage(Handler java:102)_x000D_
        at android os Looper loop(Looper java:193)_x000D_
        at android os HandlerThread run(HandlerThread java:65)_x000D_
_x000D_
MediaCodec: MediaCodec looper is gone  skip reclaim_x000D_
2020 01 22 13:31:05 652 6158 6193 E libc: Access denied finding property  media metrics enabled _x000D_
2020 01 22 13:31:05 654 6158 6574 E ExoPlayerImplInternal: Reset failed _x000D_
    java lang IllegalStateException_x000D_
        at android media MediaCodec native stop(Native Method)_x000D_
        at android media MediaCodec stop(MediaCodec java:2084)_x000D_
        at com google android exoplayer2 mediacodec MediaCodecRenderer releaseCodec(MediaCodecRenderer java:613)_x000D_
        at com google android exoplayer2 video MediaCodecVideoRenderer releaseCodec(MediaCodecVideoRenderer java:596)_x000D_
        at com google android exoplayer2 mediacodec MediaCodecRenderer onReset(MediaCodecRenderer java:591)_x000D_
        at com google android exoplayer2 video MediaCodecVideoRenderer onReset(MediaCodecVideoRenderer java:460)_x000D_
        at com google android exoplayer2 BaseRenderer reset(BaseRenderer java:164)_x000D_
        at com google android exoplayer2 ExoPlayerImplInternal resetInternal(ExoPlayerImplInternal java:860)_x000D_
        at com google android exoplayer2 ExoPlayerImplInternal stopInternal(ExoPlayerImplInternal java:813)_x000D_
        at com google android exoplayer2 ExoPlayerImplInternal handleMessage(ExoPlayerImplInternal java:399)_x000D_
        at android os Handler dispatchMessage(Handler java:102)_x000D_
        at android os Looper loop(Looper java:193)_x000D_
        at android os HandlerThread run(HandlerThread java:65)_x000D_
   _x000D_
_x000D_
     Version of ExoPlayer being used_x000D_
Using version 2 10 6_x000D_
_x000D_
    Device(s) and version(s) of Android being used_x000D_
Fire Cube 2nd Generation  FireOS 7 2 0 6  Can be reproduced 100  of the time _x000D_
</t>
  </si>
  <si>
    <t>commons-app-apps-android-commons-3335</t>
  </si>
  <si>
    <t>Hotfix: Crash on startup</t>
  </si>
  <si>
    <t>To fix  VojtechDostal  s crash on startup</t>
  </si>
  <si>
    <t>OpenArchive-Save-app-android-199</t>
  </si>
  <si>
    <t>Crashes to Android desktop when waiting</t>
  </si>
  <si>
    <t xml:space="preserve">Save 0 2 2 beta 7_x000D_
_x000D_
Galaxy S7_x000D_
_x000D_
Good Cloud server_x000D_
_x000D_
_x000D_
When I let the galaxyS7 just sit while uploading is slow or crashed  _x000D_
_x000D_
1  Select and upload a bunch of images_x000D_
2  Set down phone with upload screen open _x000D_
3  Wait for uploads to finish_x000D_
4    Expected Results   uploads finish and the app is still open_x000D_
4    Actual Results   uploads either do or don t finish and the Android desktop is open instead of the app_x000D_
_x000D_
I found this while testing  stuff related to uploads and I don t have a full description  will add more details   I don t have timing info yet and I haven t finished testing if this also happens on other screens or with other phones  This happened at least three times as described above  </t>
  </si>
  <si>
    <t>Zhuinden-simple-stack-215</t>
  </si>
  <si>
    <t>Starting navigation from inside `ScopedService.Activated` is not safe</t>
  </si>
  <si>
    <t xml:space="preserve">During activation dispatch  calling  backstack setHistory(SomeTotallyOtherKey create())  immediately destroys the scope hierarchy BEFORE the dispatch is complete _x000D_
_x000D_
Gives you this beautiful crash that I was totally hoping to never see  surprised to have actually triggered it myself _x000D_
_x000D_
   _x000D_
    java lang AssertionError: The previous scope should exist  but it doesn t  This shouldn t happen  If you see this error  this functionality is broken _x000D_
        at com zhuinden simplestack ScopeManager dispatchActivation(ScopeManager java:615)_x000D_
        at com zhuinden simplestack Backstack 1 1 stateChangeComplete(Backstack java:161)_x000D_
        at com zhuinden simplestacktutorials utils SimpleStateChanger handleStateChange(SimpleStateChanger kt:20)_x000D_
        at com zhuinden simplestack Backstack 1 handleStateChange(Backstack java:95)_x000D_
        at com zhuinden simplestack NavigationCore changeState(NavigationCore java:652)_x000D_
        at com zhuinden simplestack NavigationCore beginStateChangeIfPossible(NavigationCore java:616)_x000D_
        at com zhuinden simplestack NavigationCore enqueueStateChange(NavigationCore java:598)_x000D_
        at com zhuinden simplestack NavigationCore executeOrConsumeNavigationOp(NavigationCore java:484)_x000D_
        at com zhuinden simplestack NavigationCore setHistory(NavigationCore java:473)_x000D_
        at com zhuinden simplestack Backstack setHistory(Backstack java:983)_x000D_
   _x000D_
_x000D_
A possible solution would be to detach and re attach the StateChanger while the dispatching is active _x000D_
_x000D_
But this is quite a pain in the ass and I ll write unit tests for this when I can  It s kinda past 4 AM  :thinking: _x000D_
_x000D_
The quick fix solution (in the code where  onActive()  calls  backstack setHistory ) will be a  Handler post     _x000D_
_x000D_
This is not as scary as it looks though  I ve built stuff on  onScopeActive  before and apparently the  race  is only between actually triggering navigation that destroys scopes right there and then  That navigation action  should  be enqueued  but currently it is not </t>
  </si>
  <si>
    <t>nextcloud-android-5258</t>
  </si>
  <si>
    <t xml:space="preserve">Dev build is crashing </t>
  </si>
  <si>
    <t xml:space="preserve">Hi_x000D_
_x000D_
I am using the Fdroid version of the dev build and I just upgraded it to  20200110  Prior to the upgrade I have experienced no crashes  I cant tell what the version was propbably it was the one before _x000D_
_x000D_
I am using it on LineageOS 14 1_x000D_
_x000D_
I open the app  and it crashes right away  I was able to capture the log below  PLease let me know if you need more log stuff_x000D_
_x000D_
_x000D_
_x000D_
   _x000D_
_x000D_
1 20 11:25:25 321  9730  9730 I SQL     : Entering in the  53 add rich workspace to file table_x000D_
01 20 11:25:25 322  9730  9730 E SQLiteLog: (1) duplicate column name: rich workspace_x000D_
01 20 11:25:25 323  9730  9730 D AndroidRuntime: Shutting down VM_x000D_
01 20 11:25:25 328  3374 10025 I ActivityManager: START u0  flg 0x10000000 cmp com nextcloud android beta com nextcloud client errorhandling ShowErrorActivity (has extras)  from uid 10470 on display 0_x000D_
01 20 11:25:25 340  9730  9730 E AndroidRuntime: FATAL EXCEPTION: main_x000D_
01 20 11:25:25 340  9730  9730 E AndroidRuntime: Process: com nextcloud android beta  PID: 9730_x000D_
01 20 11:25:25 340  9730  9730 E AndroidRuntime: java lang RuntimeException: Unable to create application com owncloud android MainApp: android database sqlite SQLiteException: duplicate column name: rich workspace (code 1):   while compiling: ALTER TABLE filelist ADD COLUMN rich workspace TEXT_x000D_
01 20 11:25:25 340  9730  9730 E AndroidRuntime: 	at android app ActivityThread handleBindApplication(ActivityThread java:5451)_x000D_
01 20 11:25:25 340  9730  9730 E AndroidRuntime: 	at de robv android xposed XposedBridge invokeOriginalMethodNative(Native Method)_x000D_
01 20 11:25:25 340  9730  9730 E AndroidRuntime: 	at de robv android xposed XposedBridge handleHookedMethod(XposedBridge java:360)_x000D_
01 20 11:25:25 340  9730  9730 E AndroidRuntime: 	at android app ActivityThread handleBindApplication( Xposed )_x000D_
01 20 11:25:25 340  9730  9730 E AndroidRuntime: 	at android app ActivityThread  wrap2(ActivityThread java)_x000D_
01 20 11:25:25 340  9730  9730 E AndroidRuntime: 	at android app ActivityThread H handleMessage(ActivityThread java:1564)_x000D_
01 20 11:25:25 340  9730  9730 E AndroidRuntime: 	at android os Handler dispatchMessage(Handler java:102)_x000D_
01 20 11:25:25 340  9730  9730 E AndroidRuntime: 	at android os Looper loop(Looper java:154)_x000D_
01 20 11:25:25 340  9730  9730 E AndroidRuntime: 	at android app ActivityThread main(ActivityThread java:6186)_x000D_
01 20 11:25:25 340  9730  9730 E AndroidRuntime: 	at java lang reflect Method invoke(Native Method)_x000D_
01 20 11:25:25 340  9730  9730 E AndroidRuntime: 	at com android internal os ZygoteInit MethodAndArgsCaller run(ZygoteInit java:889)_x000D_
01 20 11:25:25 340  9730  9730 E AndroidRuntime: 	at com android internal os ZygoteInit main(ZygoteInit java:779)_x000D_
01 20 11:25:25 340  9730  9730 E AndroidRuntime: 	at de robv android xposed XposedBridge main(XposedBridge java:107)_x000D_
01 20 11:25:25 340  9730  9730 E AndroidRuntime: Caused by: android database sqlite SQLiteException: duplicate column name: rich workspace (code 1):   while compiling: ALTER TABLE filelist ADD COLUMN rich workspace TEXT_x000D_
01 20 11:25:25 340  9730  9730 E AndroidRuntime: 	at android database sqlite SQLiteConnection nativePrepareStatement(Native Method)_x000D_
01 20 11:25:25 340  9730  9730 E AndroidRuntime: 	at android database sqlite SQLiteConnection acquirePreparedStatement(SQLiteConnection java:889)_x000D_
01 20 11:25:25 340  9730  9730 E AndroidRuntime: 	at android database sqlite SQLiteConnection prepare(SQLiteConnection java:500)_x000D_
01 20 11:25:25 340  9730  9730 E AndroidRuntime: 	at android database sqlite SQLiteSession prepare(SQLiteSession java:588)_x000D_
01 20 11:25:25 340  9730  9730 E AndroidRuntime: 	at android database sqlite SQLiteProgram  init (SQLiteProgram java:58)_x000D_
01 20 11:25:25 340  9730  9730 E AndroidRuntime: 	at android database sqlite SQLiteStatement  init (SQLiteStatement java:31)_x000D_
01 20 11:25:25 340  9730  9730 E AndroidRuntime: 	at android database sqlite SQLiteDatabase executeSql(SQLiteDatabase java:1677)_x000D_
01 20 11:25:25 340  9730  9730 E AndroidRuntime: 	at android database sqlite SQLiteDatabase execSQL(SQLiteDatabase java:1608)_x000D_
01 20 11:25:25 340  9730  9730 E AndroidRuntime: 	at com owncloud android providers FileContentProvider DataBaseHelper onUpgrade(FileContentProvider java:2092)_x000D_
01 20 11:25:25 340  9730  9730 E AndroidRuntime: 	at android database sqlite SQLiteOpenHelper getDatabaseLocked(SQLiteOpenHelper java:256)_x000D_
01 20 11:25:25 340  9730  9730 E AndroidRuntime: 	at android database sqlite SQLiteOpenHelper getReadableDatabase(SQLiteOpenHelper java:187)_x000D_
01 20 11:25:25 340  9730  9730 E AndroidRuntime: 	at com owncloud android providers FileContentProvider query(FileContentProvider java:471)_x000D_
01 20 11:25:25 340  9730  9730 E AndroidRuntime: 	at android content ContentProvider query(ContentProvider java:1020)_x000D_
01 20 11:25:25 340  9730  9730 E AndroidRuntime: 	at android content ContentProvider Transport query(ContentProvider java:239)_x000D_
01 20 11:25:25 340  9730  9730 E AndroidRuntime: 	at android content ContentResolver query(ContentResolver java:534)_x000D_
01 20 11:25:25 340  9730  9730 E AndroidRuntime: 	at android content ContentResolver query(ContentResolver java:475)_x000D_
01 20 11:25:25 340  9730  9730 E AndroidRuntime: 	at com owncloud android datamodel UploadsStorageManager getUploads(UploadsStorageManager java:289)_x000D_
01 20 11:25:25 340  9730  9730 E AndroidRuntime: 	at com owncloud android datamodel UploadsStorageManager getFailedUploads(UploadsStorageManager java:368)_x000D_
01 20 11:25:25 340  9730  9730 E AndroidRuntime: 	at com owncloud android utils FilesSyncHelper restartJobsIfNeeded(FilesSyncHelper java:194)_x000D_
01 20 11:25:25 340  9730  9730 E AndroidRuntime: 	at com owncloud android MainApp initSyncOperations(MainApp java:492)_x000D_
01 20 11:25:25 340  9730  9730 E AndroidRuntime: 	at com owncloud android MainApp onCreate(MainApp java:309)_x000D_
01 20 11:25:25 340  9730  9730 E AndroidRuntime: 	at android app Instrumentation callApplicationOnCreate(Instrumentation java:1025)_x000D_
01 20 11:25:25 340  9730  9730 E AndroidRuntime: 	at android app ActivityThread handleBindApplication(ActivityThread java:5448)_x000D_
01 20 11:25:25 340  9730  9730 E AndroidRuntime: 	    12 more_x000D_
01 20 11:25:25 348  3374  9762 W DropBoxManagerService: Dropping: data app crash (3410   0 bytes)_x000D_
01 20 11:25:25 444  3374 13402 I OpenGLRenderer: Initialized EGL  version 1 4_x000D_
01 20 11:25:25 444  3374 13402 D OpenGLRenderer: Swap behavior 1_x000D_
01 20 11:25:25 451  3374 13402 D mali winsys: EGLint new window surface(egl winsys display   void   EGLSurface  EGLConfig  egl winsys surface    egl color buffer format   EGLBoolean) returns 0x3000    1590x733  format:1_x000D_
01 20 11:25:25 838  3374  3387 W ActivityManager: Activity pause timeout for ActivityRecord ad144d8 u0 com nextcloud android beta com owncloud android ui activity FileDisplayActivity t56366 _x000D_
01 20 11:25:25 881  3374  3387 I ActivityManager: Start proc 9763:com nextcloud android beta:crash u0a470 for activity com nextcloud android beta com nextcloud client errorhandling ShowErrorActivity_x000D_
_x000D_
_x000D_
_x000D_
   </t>
  </si>
  <si>
    <t>nextcloud-android-5250</t>
  </si>
  <si>
    <t>Nextcloud App crashing creating directory in Autoupload menu</t>
  </si>
  <si>
    <t xml:space="preserve">    Steps to reproduce_x000D_
1  Select Auto upload and Open the menu to select the folder to sync_x000D_
2  Create a folder as the prefered path does not exist yet_x000D_
3  Confirm folder creation and the App will crash_x000D_
_x000D_
    Expected behaviour_x000D_
  Tell us what should happen_x000D_
_x000D_
    Actual behaviour_x000D_
  Tell us what happens_x000D_
_x000D_
    Environment data_x000D_
Android version: See below_x000D_
_x000D_
Device model: See below_x000D_
_x000D_
Stock or customized system: stock_x000D_
_x000D_
Nextcloud app version: See below_x000D_
_x000D_
Nextcloud server version: 17_x000D_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_x000D_
             CAUSE OF ERROR             _x000D_
_x000D_
java lang NullPointerException: Attempt to invoke virtual method  java lang String com owncloud android datamodel OCFile getRemotePath()  on a null object reference_x000D_
	at com owncloud android ui dialog CreateFolderDialogFragment onClick(CreateFolderDialogFragment java:140)_x000D_
	at androidx appcompat app AlertController ButtonHandler handleMessage(AlertController java:167)_x000D_
	at android os Handler dispatchMessage(Handler java:106)_x000D_
	at android os Looper loop(Looper java:193)_x000D_
	at android app ActivityThread main(ActivityThread java:6692)_x000D_
	at java lang reflect Method invoke(Native Method)_x000D_
	at com android internal os RuntimeInit MethodAndArgsCaller run(RuntimeInit java:493)_x000D_
	at com android internal os ZygoteInit main(ZygoteInit java:858)_x000D_
_x000D_
             APP INFORMATION             _x000D_
ID: com nextcloud client_x000D_
Version: 30100090_x000D_
Build flavor: gplay_x000D_
_x000D_
             DEVICE INFORMATION             _x000D_
Brand: xiaomi_x000D_
Device: jasmine sprout_x000D_
Model: Mi A2_x000D_
Id: PKQ1 180904 001_x000D_
Product: jasmine_x000D_
_x000D_
             FIRMWARE             _x000D_
SDK: 28_x000D_
Release: 9_x000D_
Incremental: V10 0 18 0 PDIMIXM_x000D_
</t>
  </si>
  <si>
    <t>material-components-material-components-android-925</t>
  </si>
  <si>
    <t>Received some reports java.lang.IllegalArgumentException: Illegal state argument: 5</t>
  </si>
  <si>
    <t xml:space="preserve">We have received some reports about this stacktrace _x000D_
_x000D_
   _x000D_
Fatal Exception: java lang IllegalArgumentException: Illegal state argument: 5_x000D_
       at com google android material bottomsheet BottomSheetBehavior startSettlingAnimation   755(BottomSheetBehavior java:755)_x000D_
       at com google android material bottomsheet BottomSheetBehavior 1 run   646(BottomSheetBehavior java:646)_x000D_
       at android os Handler handleCallback   739(Handler java:739)_x000D_
       at android os Handler dispatchMessage   95(Handler java:95)_x000D_
       at android os Looper loop   135(Looper java:135)_x000D_
       at android app ActivityThread main   5376(ActivityThread java:5376)_x000D_
       at java lang reflect Method invoke(Method java)_x000D_
       at java lang reflect Method invoke   372(Method java:372)_x000D_
       at com android internal os ZygoteInit MethodAndArgsCaller run   908(ZygoteInit java:908)_x000D_
       at com android internal os ZygoteInit main   703(ZygoteInit java:703)_x000D_
   _x000D_
_x000D_
I have read and analyze the problem it seems as the view is not hideable  but it isn t true  the view is hideable as you can see in the next code _x000D_
_x000D_
This is the function use for hide view _x000D_
_x000D_
   _x000D_
 Override_x000D_
    public void hidePlayer()  _x000D_
        if (bottomSheet getState()    BottomSheetBehavior STATE HIDDEN)  _x000D_
            mContentFrame setPadding(0  0  0  0) _x000D_
            bottomSheetLayout setVisibility(View GONE) _x000D_
            bottomSheetLayout post(()     _x000D_
                try  _x000D_
                    bottomSheet setHideable(true) _x000D_
                    bottomSheet setState(BottomSheetBehavior STATE HIDDEN) _x000D_
                    bottomSheet setHideable(false) _x000D_
                  catch (Exception e)  _x000D_
                    bottomSheet setHideable(false) _x000D_
                    Timber e(e   Workaround fabric random crash ) _x000D_
                 _x000D_
             ) _x000D_
            userPreferences setMiniplayerHidden(true) _x000D_
         _x000D_
     _x000D_
_x000D_
   _x000D_
_x000D_
Devices report by version:_x000D_
Android 9: 33 _x000D_
Android 8: 22 _x000D_
Android 7: 16 _x000D_
android 6: 12 _x000D_
_x000D_
Devices report by brands:_x000D_
Samsung: 38 _x000D_
Huawei: 25 _x000D_
Xiaomi 22 _x000D_
Motorola: 7 _x000D_
_x000D_
Version library:_x000D_
com google android material:material: strictly 1 0 0     1 0 0 (c)_x000D_
</t>
  </si>
  <si>
    <t>nextcloud-android-5245</t>
  </si>
  <si>
    <t>crash displying a pdf file</t>
  </si>
  <si>
    <t xml:space="preserve">    Steps to reproduce_x000D_
1  Create pdf file using pdflatex in Nextcloud folder on Ubuntu 18 04_x000D_
2  Open said pdf file in Android on Samsung Galaxy Note 4_x000D_
3  Crash_x000D_
_x000D_
    Expected behaviour_x000D_
  Tell us what should happen_x000D_
Pdf file should display_x000D_
    Actual behaviour_x000D_
  Tell us what happens_x000D_
Flashes pdf as a text file then complains of internal error then crashes _x000D_
    Environment data_x000D_
Android version:_x000D_
6 01_x000D_
Device model: _x000D_
SM N916S_x000D_
Stock or customized system:_x000D_
STOCK_x000D_
Nextcloud app version:_x000D_
3 10 0_x000D_
Nextcloud server version:_x000D_
17_x000D_
    Logs_x000D_
     Web server error log_x000D_
N A   _x000D_
Insert your webserver log here_x000D_
   _x000D_
_x000D_
     Nextcloud log (data nextcloud log)_x000D_
N A   _x000D_
Insert your Nextcloud log here_x000D_
_x000D_
             CAUSE OF ERROR             _x000D_
_x000D_
javax net ssl SSLPeerUnverifiedException: Hostname 45 x x x not verified:_x000D_
    certificate: sha256 xxxxxxxxxcc_x000D_
    DN: 1 2 840 113549 1 9 1  16166b656c6c6e6572704065617274686c696e6b2e6e6574 CN 45 x x x O xx L xxx ST xx C xx_x000D_
    subjectAltNames:   _x000D_
at okhttp3 internal connection RealConnection connectTls(RealConnection java:334)_x000D_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run(lambda)_x000D_
at java lang Thread run(Thread java:818)_x000D_
_x000D_
             APP INFORMATION             _x000D_
ID: com nextcloud client_x000D_
Version: 30100090_x000D_
Build flavor: gplay_x000D_
_x000D_
             DEVICE INFORMATION             _x000D_
Brand: samsung_x000D_
Device: tre3calteskt_x000D_
Model: SM N916S_x000D_
Id: MMB29K_x000D_
Product: tre3calteskt_x000D_
_x000D_
             FIRMWARE             _x000D_
SDK: 23_x000D_
Release: 6 0 1_x000D_
Incremental: N916SKSU2DSA1_x000D_
_x000D_
_x000D_
_x000D_
_x000D_
Sent from my Samsung device_x000D_
  NOTE:   Be super sure to remove sensitive data like passwords  note that everybody can look here  You can use the Issue Template application to prefill some of the required information: https:  apps nextcloud com apps issuetemplate_x000D_
</t>
  </si>
  <si>
    <t>nextcloud-android-5241</t>
  </si>
  <si>
    <t>App 3.10.0 crashes when tryimg to share a folder</t>
  </si>
  <si>
    <t xml:space="preserve">    Steps to reproduce_x000D_
1  Try to share a folder with a user_x000D_
2  app crashes_x000D_
3  _x000D_
_x000D_
    Expected behaviour_x000D_
  app doesn  crash_x000D_
_x000D_
    Actual behaviour_x000D_
  Tell us what happens_x000D_
_x000D_
    Environment data_x000D_
Android version: 9 0_x000D_
_x000D_
Device model: _x000D_
_x000D_
Stock or customized system:_x000D_
_x000D_
Nextcloud app version:_x000D_
3 10 0_x000D_
Nextcloud server version:_x000D_
18 0_x000D_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</si>
  <si>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material-components-material-components-android-923</t>
  </si>
  <si>
    <t xml:space="preserve">[Slider] Xml valueFrom and valueTo order problem </t>
  </si>
  <si>
    <t xml:space="preserve">  Description:   When using Slider like this in layout:_x000D_
 com google android material slider Slider_x000D_
            android:layout width  match parent _x000D_
            android:layout height  wrap content _x000D_
            android:valueTo  10 _x000D_
            android:valueFrom  5     _x000D_
everything works well  but when I switch places of  android:valueTo  10  and  android:valueFrom  5 _x000D_
while coding or using built in studio code formatter  app crashes with error _x000D_
_x000D_
java lang IllegalArgumentException: valueFrom must be smaller than valueTo_x000D_
        at com google android material slider Slider validateValueFrom(Slider java:397)_x000D_
        at com google android material slider Slider setValueFrom(Slider java:441)_x000D_
_x000D_
  Expected behavior:   I thing order of those two attributes shouldn t matter_x000D_
_x000D_
  Source code:   _x000D_
 com google android material slider Slider_x000D_
            android:layout width  match parent _x000D_
            android:layout height  wrap content _x000D_
            android:valueFrom  5  _x000D_
            android:valueTo  10    _x000D_
_x000D_
  Android API version:   28_x000D_
_x000D_
  Material Library version:   1 2 0 alpha03_x000D_
_x000D_
  Device:   Pocophone f1_x000D_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</si>
  <si>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nextcloud-android-5240</t>
  </si>
  <si>
    <t>Crash on open document</t>
  </si>
  <si>
    <t xml:space="preserve">Pasting crash report here  Hope its useful  I tried to open a markdown file locally on Android from the NC interface  Possibly there were unsynced changes  though they should have been synced as the device had a working Internet connection  _x000D_
_x000D_
             CAUSE OF ERROR             _x000D_
_x000D_
java lang NullPointerException: Attempt to invoke virtual method  void androidx appcompat widget SearchView setOnQueryTextListener(androidx appcompat widget SearchView OnQueryTextListener)  on a null object reference_x000D_
	at com owncloud android ui preview PreviewTextFragment TextLoadAsyncTask onPostExecute(PreviewTextFragment java:375)_x000D_
	at com owncloud android ui preview PreviewTextFragment TextLoadAsyncTask onPostExecute(PreviewTextFragment java:308)_x000D_
	at android os AsyncTask finish(AsyncTask java:692)_x000D_
	at android os AsyncTask  wrap1(AsyncTask java)_x000D_
	at android os AsyncTask InternalHandler handleMessage(AsyncTask java:709)_x000D_
	at android os Handler dispatchMessage(Handler java:105)_x000D_
	at android os Looper loop(Looper java:156)_x000D_
	at android app ActivityThread main(ActivityThread java:6517)_x000D_
	at java lang reflect Method invoke(Native Method)_x000D_
	at com android internal os ZygoteInit MethodAndArgsCaller run(ZygoteInit java:942)_x000D_
	at com android internal os ZygoteInit main(ZygoteInit java:832)_x000D_
_x000D_
             APP INFORMATION             _x000D_
ID: com nextcloud client_x000D_
Version: 30090290_x000D_
Build flavor: gplay_x000D_
_x000D_
             DEVICE INFORMATION             _x000D_
Brand: HUAWEI_x000D_
Device: hwbeethoven_x000D_
Model: BTV DL09_x000D_
Id: HUAWEIBEETHOVEN DL09_x000D_
Product: BEETHOVEN_x000D_
_x000D_
             FIRMWARE             _x000D_
SDK: 24_x000D_
Release: 7 0_x000D_
Incremental: C100B311_x000D_
</t>
  </si>
  <si>
    <t>nextcloud-android-5239</t>
  </si>
  <si>
    <t>App crashes randomly</t>
  </si>
  <si>
    <t xml:space="preserve">    Steps to reproduce_x000D_
1  Do nothing  it just appears from time to time when the app is in background_x000D_
_x000D_
    Expected behaviour_x000D_
  no crashes_x000D_
_x000D_
    Actual behaviour_x000D_
  crashing_x000D_
  seems like there is something wrong with the tracking_x000D_
_x000D_
    Environment data_x000D_
I currently cleaned the notifications table in the database and logged of from this device in order to get rid of the HTTP 400 errors from Nextcloud push service  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MaVKqs ei3mvgK0aIWFrFA   base apk   nativeLibraryDirectories   data app com nextcloud client MaVKqs ei3mvgK0aIWFrFA   lib arm64   data app com nextcloud client MaVKqs ei3mvgK0aIWFrFA   base apk  lib arm64 v8a   system lib64   system product lib64   system vendor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30100090_x000D_
Build flavor: gplay_x000D_
_x000D_
             DEVICE INFORMATION             _x000D_
Brand: lge_x000D_
Device: joan_x000D_
Model: LG H930_x000D_
Id: PKQ1 190414 001_x000D_
Product: joan global com_x000D_
_x000D_
             FIRMWARE             _x000D_
SDK: 28_x000D_
Release: 9_x000D_
Incremental: 193091504cde8_x000D_
_x000D_
</t>
  </si>
  <si>
    <t>nextcloud-android-5237</t>
  </si>
  <si>
    <t xml:space="preserve">Nextcloud dev crashes while downloading a document </t>
  </si>
  <si>
    <t xml:space="preserve">    Steps to reproduce_x000D_
1  Start Nextcloud dev_x000D_
2  Navigate to the document to download_x000D_
3  Tap on the document _x000D_
_x000D_
    Expected behaviour_x000D_
Document is downloaded and options to open displayed _x000D_
_x000D_
    Actual behaviour_x000D_
Download begins  Nextcloud dev crashes and is restarted by Android _x000D_
_x000D_
    Environment data_x000D_
Android version: 8 0 0_x000D_
_x000D_
Device model: Samsung SM A320FL_x000D_
_x000D_
Stock or customized system: Stock_x000D_
_x000D_
Nextcloud app version: 20191221_x000D_
_x000D_
Nextcloud server version: 16 0 3_x000D_
_x000D_
    Logs_x000D_
_x000D_
     Web server error log_x000D_
   _x000D_
Insert your webserver log here_x000D_
   _x000D_
_x000D_
     Nextcloud log (data nextcloud log)_x000D_
   _x000D_
             CAUSE OF ERROR             _x000D_
_x000D_
kotlin UninitializedPropertyAccessException: lateinit property response has not been initialized_x000D_
	at com nextcloud common OkHttpMethodBase releaseConnection(OkHttpMethodBase kt:68)_x000D_
	at com owncloud android lib resources activities GetActivitiesRemoteOperation run(GetActivitiesRemoteOperation java:158)_x000D_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java:764)_x000D_
_x000D_
             APP INFORMATION             _x000D_
ID: com nextcloud android beta_x000D_
Version: 20191221_x000D_
Build flavor: versionDev_x000D_
_x000D_
             DEVICE INFORMATION             _x000D_
Brand: samsung_x000D_
Device: a3y17lte_x000D_
Model: SM A320FL_x000D_
Id: R16NW_x000D_
Product: a3y17ltexc_x000D_
_x000D_
             FIRMWARE             _x000D_
SDK: 26_x000D_
Release: 8 0 0_x000D_
Incremental: A320FLXXS5CSK1_x000D_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</si>
  <si>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nextcloud-android-5236</t>
  </si>
  <si>
    <t>Nextcloud crashing when accessing pdf file</t>
  </si>
  <si>
    <t xml:space="preserve">    Steps to reproduce_x000D_
1  Pickt any pdf not cached locally _x000D_
2  _x000D_
3  _x000D_
_x000D_
    Expected behaviour_x000D_
Download and visualize pdf_x000D_
_x000D_
    Actual behaviour_x000D_
  Tell us what happens_x000D_
Shows the download screen and then crashes_x000D_
_x000D_
    Environment data_x000D_
Android version: 9_x000D_
_x000D_
_x000D_
Device model: Samsung galaxy tab s6 SM T 860_x000D_
Stock or customized system:_x000D_
_x000D_
Nextcloud app version: 3 0 0_x000D_
_x000D_
Nextcloud server version: _x000D_
_x000D_
    Logs_x000D_
     Web server error log_x000D_
   _x000D_
Insert your webserver log here_x000D_
   _x000D_
_x000D_
     Nextcloud log (data nextcloud log)_x000D_
             CAUSE OF ERROR             _x000D_
_x000D_
javax net ssl SSLHandshakeException: java security cert CertPathValidatorException: Trust anchor for certification path not found _x000D_
	at com google android gms org conscrypt ConscryptFileDescriptorSocket startHandshake(:com google android gms 19831028 19 8 31 (100400 284611645):27)_x000D_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java:764)_x000D_
Caused by: java security cert CertificateException: java security cert CertPathValidatorException: Trust anchor for certification path not found _x000D_
	at com android org conscrypt TrustManagerImpl verifyChain(TrustManagerImpl java:673)_x000D_
	at com android org conscrypt TrustManagerImpl checkTrustedRecursive(TrustManagerImpl java:543)_x000D_
	at com android org conscrypt TrustManagerImpl checkTrusted(TrustManagerImpl java:499)_x000D_
	at com android org conscrypt TrustManagerImpl checkTrusted(TrustManagerImpl java:422)_x000D_
	at com android org conscrypt TrustManagerImpl getTrustedChainForServer(TrustManagerImpl java:343)_x000D_
	at android security net config NetworkSecurityTrustManager checkServerTrusted(NetworkSecurityTrustManager java:94)_x000D_
	at android security net config RootTrustManager checkServerTrusted(RootTrustManager java:88)_x000D_
	at java lang reflect Method invoke(Native Method)_x000D_
	at com google android gms org conscrypt Platform checkTrusted(:com google android gms 19831028 19 8 31 (100400 284611645):2)_x000D_
	at com google android gms org conscrypt Platform checkServerTrusted(:com google android gms 19831028 19 8 31 (100400 284611645):1)_x000D_
	at com google android gms org conscrypt ConscryptFileDescriptorSocket verifyCertificateChain(:com google android gms 19831028 19 8 31 (100400 284611645):7)_x000D_
	at com google android gms org conscrypt NativeCrypto SSL do handshake(Native Method)_x000D_
	at com google android gms org conscrypt NativeSsl doHandshake(:com google android gms 19831028 19 8 31 (100400 284611645):6)_x000D_
	at com google android gms org conscrypt ConscryptFileDescriptorSocket startHandshake(:com google android gms 19831028 19 8 31 (100400 284611645):14)_x000D_
	    26 more_x000D_
Caused by: java security cert CertPathValidatorException: Trust anchor for certification path not found _x000D_
	    40 more_x000D_
_x000D_
             APP INFORMATION             _x000D_
ID: com nextcloud client_x000D_
Version: 30100090_x000D_
Build flavor: gplay_x000D_
_x000D_
             DEVICE INFORMATION             _x000D_
Brand: samsung_x000D_
Device: gts6lwifi_x000D_
Model: SM T860_x000D_
Id: PPR1 180610 011_x000D_
Product: gts6lwifieea_x000D_
_x000D_
             FIRMWARE             _x000D_
SDK: 28_x000D_
Release: 9_x000D_
Incremental: T860XXU1ASL3_x000D_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</si>
  <si>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nextcloud-android-5235</t>
  </si>
  <si>
    <t xml:space="preserve">Show file/folder sharing details </t>
  </si>
  <si>
    <t xml:space="preserve">    Steps to reproduce_x000D_
0  Self signed server certificate_x000D_
1  Click on sharing symbol of preshared folder file in app_x000D_
_x000D_
    Expected behaviour_x000D_
  Show details  modify sharing options_x000D_
_x000D_
    Actual behaviour_x000D_
  App crashes with error message_x000D_
_x000D_
    Environment data_x000D_
Android version:_x000D_
10_x000D_
Device model: _x000D_
Oneplus 7 Pro_x000D_
Stock or customized system:_x000D_
Stock_x000D_
Nextcloud app version:_x000D_
3 10 0_x000D_
Nextcloud server version:_x000D_
_x000D_
    Logs_x000D_
     Web server error log_x000D_
   _x000D_
Insert your webserver log here_x000D_
   _x000D_
 _x000D_
_x000D_
     Nextcloud log (data nextcloud log)_x000D_
   _x000D_
             CAUSE OF ERROR             _x000D_
_x000D_
javax net ssl SSLHandshakeException: java security cert CertPathValidatorException: Trust anchor for certification path not found _x000D_
	at com google android gms org conscrypt ConscryptFileDescriptorSocket startHandshake(:com google android gms 19831037 19 8 31 (120400 284611645):27)_x000D_
	at okhttp3 internal connection RealConnection connectTls(RealConnection java:320)_x000D_
	at okhttp3 internal connection RealConnection establishProtocol(RealConnection java:284)_x000D_
	at okhttp3 internal connection RealConnection connect(RealConnection java:169)_x000D_
	at okhttp3 internal connection StreamAllocation findConnection(StreamAllocation java:258)_x000D_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java:127)_x000D_
	at okhttp3 internal http RealInterceptorChain proceed(RealInterceptorChain java:147)_x000D_
	at okhttp3 internal http RealInterceptorChain proceed(RealInterceptorChain java:121)_x000D_
	at okhttp3 RealCall getResponseWithInterceptorChain(RealCall java:257)_x000D_
	at okhttp3 RealCall execute(RealCall java:93)_x000D_
	at com nextcloud common OkHttpMethodBase execute(OkHttpMethodBase kt:126)_x000D_
	at com nextcloud common NextcloudClient execute(NextcloudClient kt:67)_x000D_
	at com owncloud android lib resources activities GetActivitiesRemoteOperation run(GetActivitiesRemoteOperation java:131)_x000D_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java:919)_x000D_
Caused by: java security cert CertificateException: java security cert CertPathValidatorException: Trust anchor for certification path not found _x000D_
	at com android org conscrypt TrustManagerImpl verifyChain(TrustManagerImpl java:674)_x000D_
	at com android org conscrypt TrustManagerImpl checkTrustedRecursive(TrustManagerImpl java:551)_x000D_
	at com android org conscrypt TrustManagerImpl checkTrusted(TrustManagerImpl java:507)_x000D_
	at com android org conscrypt TrustManagerImpl checkTrusted(TrustManagerImpl java:426)_x000D_
	at com android org conscrypt TrustManagerImpl getTrustedChainForServer(TrustManagerImpl java:354)_x000D_
	at android security net config NetworkSecurityTrustManager checkServerTrusted(NetworkSecurityTrustManager java:94)_x000D_
	at android security net config RootTrustManager checkServerTrusted(RootTrustManager java:89)_x000D_
	at java lang reflect Method invoke(Native Method)_x000D_
	at com google android gms org conscrypt Platform checkTrusted(:com google android gms 19831037 19 8 31 (120400 284611645):2)_x000D_
	at com google android gms org conscrypt Platform checkServerTrusted(:com google android gms 19831037 19 8 31 (120400 284611645):1)_x000D_
	at com google android gms org conscrypt ConscryptFileDescriptorSocket verifyCertificateChain(:com google android gms 19831037 19 8 31 (120400 284611645):7)_x000D_
	at com google android gms org conscrypt NativeCrypto SSL do handshake(Native Method)_x000D_
	at com google android gms org conscrypt NativeSsl doHandshake(:com google android gms 19831037 19 8 31 (120400 284611645):6)_x000D_
	at com google android gms org conscrypt ConscryptFileDescriptorSocket startHandshake(:com google android gms 19831037 19 8 31 (120400 284611645):14)_x000D_
	    26 more_x000D_
Caused by: java security cert CertPathValidatorException: Trust anchor for certification path not found _x000D_
	    40 more_x000D_
_x000D_
             APP INFORMATION             _x000D_
ID: com nextcloud client_x000D_
Version: 30100090_x000D_
Build flavor: gplay_x000D_
_x000D_
             DEVICE INFORMATION             _x000D_
Brand: OnePlus_x000D_
Device: OnePlus7Pro_x000D_
Model: GM1913_x000D_
_x000D_
             FIRMWARE             _x000D_
SDK: 29_x000D_
Release: 10_x000D_
Incremental: 1912061900_x000D_
_x000D_
   _x000D_
  NOTE:   Be super sure to remove sensitive data like passwords  note that everybody can look here  You can use the Issue Template application to prefill some of the required information: https:  apps nextcloud com apps issuetemplate_x000D_
</t>
  </si>
  <si>
    <t>mgks-Android-SmartWebView-131</t>
  </si>
  <si>
    <t>Html select crashes the App</t>
  </si>
  <si>
    <t xml:space="preserve">Android 6 0 1_x000D_
Html select crashes the App _x000D_
I tried many support libraries   _x000D_
17501 17501 mgks os webview E AndroidRuntime: FATAL EXCEPTION: main_x000D_
    Process: mgks os webview  PID: 17501_x000D_
    Theme: themes: default overlay:system  iconPack:system  fontPkg:system  com android systemui overlay:system  com android systemui navbar overlay:system _x000D_
    android content res   Resources NotFoundException  : Resource ID  0x0_x000D_
    _x000D_
_x000D_
</t>
  </si>
  <si>
    <t>inaturalist-iNaturalistAndroid-769</t>
  </si>
  <si>
    <t>Crash when returning to sound player</t>
  </si>
  <si>
    <t xml:space="preserve">To replicate:_x000D_
_x000D_
1  Find an obs with a sound and go to its obs detail view_x000D_
1  Start playing the sound_x000D_
1  While the sound is playing  tap the taxon to go to the taxon detail view_x000D_
1  Tap back to return to the obs detail view_x000D_
1  The sound is not playing but the pause icon is visible as if it was playing  If you tap the pause icon  the app crashes _x000D_
_x000D_
This was on Android 10  Pixel 3  iNat 1 17 0 (389)  This might be the same ashttps:  console firebase google com u 2 project inaturalist ios crashlytics app android:org inaturalist android issues 4765f48a96f3bddaab51b24461a3e71d time last seven days sessionId 5E21F1BC024F000164704BF1E8D1C54C DNE 0 v2:_x000D_
_x000D_
   _x000D_
Fatal Exception: java lang IllegalStateException_x000D_
       at android media MediaPlayer isPlaying(MediaPlayer java)_x000D_
       at org inaturalist android SoundPlayer 1 onClick(SoundPlayer java:122)_x000D_
       at android view View performClick(View java:6663)_x000D_
       at android view View performClickInternal(View java:6635)_x000D_
       at android view View access 3100(View java:794)_x000D_
       at android view View PerformClick run(View java:26199)_x000D_
       at android os Handler handleCallback(Handler java:907)_x000D_
       at android os Handler dispatchMessage(Handler java:105)_x000D_
       at android os Looper loop(Looper java:216)_x000D_
       at android app ActivityThread main(ActivityThread java:7625)_x000D_
   </t>
  </si>
  <si>
    <t>renyuneyun-Easer-310</t>
  </si>
  <si>
    <t>Crash pivot-menu</t>
  </si>
  <si>
    <t xml:space="preserve">  Describe the bug  _x000D_
Open the Povit Menu will end in a crash  it doesn t matter if I clear cache or something else  Errorlog is always 100  the same  _x000D_
_x000D_
  To Reproduce  _x000D_
Steps to reproduce the behavior:_x000D_
1  Go to main screen_x000D_
2  Click on bacon icon_x000D_
3  Click on Povit Menu_x000D_
4  See errorlog_x000D_
_x000D_
  Expected behavior  _x000D_
Open the Povit Menu  _x000D_
_x000D_
  Error log:  _x000D_
 2020 01 17 16 40 35 log (https:  github com renyuneyun Easer files 4078400 2020 01 17 16 40 35 log)_x000D_
_x000D_
  Extra phone information:  _x000D_
   ROM: DerpFest 10 Beta Official raphael 20191218_x000D_
   Build Number: QQ1B 191205 011_x000D_
   Kernel: 4 14 159 iMMENSITY   5 Wed Dec 18 23:15:49 IST 2019</t>
  </si>
  <si>
    <t>material-components-material-components-android-917</t>
  </si>
  <si>
    <t>[BaseTransientBottomBar] 1.1.0-rc01 causes View.invalidate(boolean) NullPointerException</t>
  </si>
  <si>
    <t xml:space="preserve">  Description:   _x000D_
After updating from Material 1 0 0 to 1 1 0 rc01 I saw multiple reports of crashes with BaseTransientBottomBar (and no app specific code in stacktrace) _x000D_
Stacktraces look like:_x000D_
Huawei Android 7_x000D_
   _x000D_
Fatal Exception: java lang NullPointerException: Attempt to invoke virtual method  void android view View invalidate(boolean)  on a null object reference_x000D_
       at android view View setFlags   11550(View java:11550)_x000D_
       at android view View setVisibility   8046(View java:8046)_x000D_
       at com google android material snackbar BaseTransientBottomBar 9 run   849(BaseTransientBottomBar java:849)_x000D_
       at android os Handler handleCallback   761(Handler java:761)_x000D_
       at android os Handler dispatchMessage   98(Handler java:98)_x000D_
       at android os Looper loop   156(Looper java:156)_x000D_
       at android app ActivityThread main   6617(ActivityThread java:6617)_x000D_
       at java lang reflect Method invoke(Method java)_x000D_
       at com android internal os ZygoteInit MethodAndArgsCaller run   942(ZygoteInit java:942)_x000D_
       at com android internal os ZygoteInit main   832(ZygoteInit java:832)_x000D_
   _x000D_
Samsung Android 9_x000D_
   _x000D_
Fatal Exception: java lang NullPointerException: Attempt to invoke virtual method  void android view View invalidate(boolean)  on a null object reference_x000D_
       at android view View setFlags   15721(View java:15721)_x000D_
       at android view View setVisibility   10789(View java:10789)_x000D_
       at com google android material snackbar BaseTransientBottomBar 9 run   849(BaseTransientBottomBar java:849)_x000D_
       at android os Handler handleCallback   873(Handler java:873)_x000D_
       at android os Handler dispatchMessage   99(Handler java:99)_x000D_
       at android os Looper loop   214(Looper java:214)_x000D_
       at android app ActivityThread main   7094(ActivityThread java:7094)_x000D_
       at java lang reflect Method invoke(Method java)_x000D_
       at com android internal os RuntimeInit MethodAndArgsCaller run   494(RuntimeInit java:494)_x000D_
       at com android internal os ZygoteInit main   975(ZygoteInit java:975)_x000D_
   _x000D_
Xiaomi Android 9_x000D_
   _x000D_
Fatal Exception: java lang NullPointerException: Attempt to invoke virtual method  void android view View invalidate(boolean)  on a null object reference_x000D_
       at android view View setFlags   14186(View java:14186)_x000D_
       at android view View setVisibility   10007(View java:10007)_x000D_
       at com google android material snackbar BaseTransientBottomBar 9 run   849(BaseTransientBottomBar java:849)_x000D_
       at android os Handler handleCallback   873(Handler java:873)_x000D_
       at android os Handler dispatchMessage   99(Handler java:99)_x000D_
       at android os Looper loop   201(Looper java:201)_x000D_
       at android app ActivityThread main   6823(ActivityThread java:6823)_x000D_
       at java lang reflect Method invoke(Method java)_x000D_
       at com android internal os RuntimeInit MethodAndArgsCaller run   547(RuntimeInit java:547)_x000D_
       at com android internal os ZygoteInit main   873(ZygoteInit java:873)_x000D_
   _x000D_
LGE Android 9_x000D_
   _x000D_
Fatal Exception: java lang NullPointerException: Attempt to invoke virtual method  void android view View invalidate(boolean)  on a null object reference_x000D_
       at android view View setFlags   14222(View java:14222)_x000D_
       at android view View setVisibility   10027(View java:10027)_x000D_
       at com google android material snackbar BaseTransientBottomBar 9 run   849(BaseTransientBottomBar java:849)_x000D_
       at android os Handler handleCallback   873(Handler java:873)_x000D_
       at android os Handler dispatchMessage   99(Handler java:99)_x000D_
       at android os Looper loop   193(Looper java:193)_x000D_
       at android app ActivityThread main   6854(ActivityThread java:6854)_x000D_
       at java lang reflect Method invoke(Method java)_x000D_
       at com android internal os RuntimeInit MethodAndArgsCaller run   493(RuntimeInit java:493)_x000D_
       at com android internal os ZygoteInit main   860(ZygoteInit java:860)_x000D_
   _x000D_
(if needed I can find few more stacktrace  but they seem to differ just by line numbers)_x000D_
_x000D_
_x000D_
  Expected behavior:   BaseTransientBottomBar should not cause crashes NPE_x000D_
_x000D_
Steps to reproduce are unfortunately unknown  it seems to be relatively rare _x000D_
The issue did not happen in 1 0 0_x000D_
_x000D_
_x000D_
  Material Library version:   1 1 0 rc01_x000D_
_x000D_
  Device:   Multiple Devices Android OS versions affected </t>
  </si>
  <si>
    <t>cgeo-WhereYouGo-28</t>
  </si>
  <si>
    <t>NullPointerException at MediaActivity.setMedia</t>
  </si>
  <si>
    <t xml:space="preserve">Took a first look into Google Play crash reporting _x000D_
This is the crash report with highest occurence _x000D_
_x000D_
Android 9 and 10_x000D_
_x000D_
   _x000D_
java lang RuntimeException: _x000D_
 _x000D_
  at android app ActivityThread performLaunchActivity (ActivityThread java:3430)_x000D_
 _x000D_
  at android app ActivityThread handleLaunchActivity (ActivityThread java:3614)_x000D_
 _x000D_
  at android app servertransaction LaunchActivityItem execute (LaunchActivityItem java:86)_x000D_
 _x000D_
  at android app servertransaction TransactionExecutor executeCallbacks (TransactionExecutor java:108)_x000D_
 _x000D_
  at android app servertransaction TransactionExecutor execute (TransactionExecutor java:68)_x000D_
 _x000D_
  at android app ActivityThread H handleMessage (ActivityThread java:2199)_x000D_
 _x000D_
  at android os Handler dispatchMessage (Handler java:112)_x000D_
 _x000D_
  at android os Looper loop (Looper java:216)_x000D_
 _x000D_
  at android app ActivityThread main (ActivityThread java:7625)_x000D_
 _x000D_
  at java lang reflect Method invoke (Native Method)_x000D_
 _x000D_
  at com android internal os RuntimeInit MethodAndArgsCaller run (RuntimeInit java:524)_x000D_
 _x000D_
  at com android internal os ZygoteInit main (ZygoteInit java:987)_x000D_
Caused by: java lang NullPointerException: _x000D_
 _x000D_
  at menion android whereyougo gui extension activity MediaActivity setMedia (MediaActivity java:72)_x000D_
 _x000D_
  at menion android whereyougo gui activity wherigo PushDialogActivity nextPage (PushDialogActivity java:82)_x000D_
 _x000D_
  at menion android whereyougo gui activity wherigo PushDialogActivity onCreate (PushDialogActivity java:124)_x000D_
 _x000D_
  at android app Activity performCreate (Activity java:7458)_x000D_
 _x000D_
  at android app Activity performCreate (Activity java:7448)_x000D_
 _x000D_
  at android app Instrumentation callActivityOnCreate (Instrumentation java:1286)_x000D_
 _x000D_
  at android app ActivityThread performLaunchActivity (ActivityThread java:3409)_x000D_
   </t>
  </si>
  <si>
    <t>nextcloud-android-5219</t>
  </si>
  <si>
    <t>App crashes in background</t>
  </si>
  <si>
    <t xml:space="preserve">Hi there _x000D_
since a few days my Nextcloud app constantly crashes in background  It happens frequently if the app is not opened _x000D_
_x000D_
I am using a OnePlus 3 running HavocOS on Android 10 and Nextcloud Version 3 10 0 RC3 _x000D_
The error message is always the same:_x000D_
_x000D_
   _x000D_
time: 1579197628440_x000D_
msg: java lang SecurityException: Remote stack trace:_x000D_
	at com android server job JobServiceContext assertCallerLocked(JobServiceContext java:493)_x000D_
	at com android server job JobServiceContext doDequeueWork(JobServiceContext java:371)_x000D_
	at com android server job JobServiceContext JobCallback dequeueWork(JobServiceContext java:160)_x000D_
	at android app job IJobCallback Stub onTransact(IJobCallback java:169)_x000D_
	at android os Binder execTransactInternal(Binder java:1021)_x000D_
_x000D_
stacktrace: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lang SecurityException: Caller no longer running  last stopped  4s683ms because: timed out while starting_x000D_
	at android os Parcel createException(Parcel java:2071)_x000D_
	at android os Parcel readException(Parcel java:2039)_x000D_
	at android os Parcel readException(Parcel java:1987)_x000D_
	at android app job IJobCallback Stub Proxy dequeueWork(IJobCallback java:292)_x000D_
	at android app job JobParameters dequeueWork(JobParameters java:248)_x000D_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3 call(AsyncTask java:378)_x000D_
	at java util concurrent FutureTask run(FutureTask java:266)_x000D_
	    3 more_x000D_
Caused by: android os RemoteException: Remote stack trace:_x000D_
	at com android server job JobServiceContext assertCallerLocked(JobServiceContext java:493)_x000D_
	at com android server job JobServiceContext doDequeueWork(JobServiceContext java:371)_x000D_
	at com android server job JobServiceContext JobCallback dequeueWork(JobServiceContext java:160)_x000D_
	at android app job IJobCallback Stub onTransact(IJobCallback java:169)_x000D_
	at android os Binder execTransactInternal(Binder java:1021)_x000D_
   _x000D_
_x000D_
Hopefully there is somebody to help me with this problem </t>
  </si>
  <si>
    <t>wordpress-mobile-WordPressMocks-16</t>
  </si>
  <si>
    <t>Update cocoapods to the latest version</t>
  </si>
  <si>
    <t xml:space="preserve">     Proposed Changes_x000D_
Updates CocoaPods to the latest version   this fixes a bug that was making it impossible to release a new version via the command line _x000D_
_x000D_
     To Test_x000D_
The only real way to test this would be to do a new release  You can try making a new release (on  develop ) by running  bundle exec pod trunk push    it ll crash  If you try again on this branch  it ll fail saying  this version already exists    that means the crash is fixed  _x000D_
_x000D_
You can also see that this PR fixes the issue by taking a look at  the release I was able to do yesterday (https:  github com wordpress mobile WordPressMocks releases tag 0 0 7) after applying this fix locally   _x000D_
_x000D_
cc  wordpress mobile platform 9 _x000D_
</t>
  </si>
  <si>
    <t>fossasia-phimpme-android-2979</t>
  </si>
  <si>
    <t>App crashing on deleting images</t>
  </si>
  <si>
    <t xml:space="preserve">  Describe the bug  _x000D_
The app crashes when we press the delete icon in the action bar inside any folder  I have observed that some files get deleted while some not  Also  there is no problem if one image is present _x000D_
_x000D_
  To Reproduce  _x000D_
_x000D_
1  Go to Gallery_x000D_
2  Click on any folder_x000D_
3  Click on delete icon on action bar_x000D_
4  App crashes_x000D_
_x000D_
  Expected behavior  _x000D_
All the photos should get deleted _x000D_
_x000D_
  Logs  _x000D_
     Please add logs in case of any crash or applicable error     _x000D_
2020 01 16 14:52:41 181 11408 11901 org fossasia phimpme E AndroidRuntime: FATAL EXCEPTION: AsyncTask 5_x000D_
    Process: org fossasia phimpme  PID: 11408_x000D_
    java lang RuntimeException: An error occurred while executing doInBackground()_x000D_
        at android os AsyncTask 3 done(AsyncTask java:325)_x000D_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java:760)_x000D_
     Caused by: io realm exceptions RealmPrimaryKeyConstraintException: Primary key value already exists:  storage emulated 0  nomedia IMG 20200116 WA0000 jpg  _x000D_
    ( Users cm Realm realm java release realm realm library src main cpp io realm internal OsObject cpp:237)_x000D_
        at io realm internal OsObject nativeCreateNewObjectWithStringPrimaryKey(Native Method)_x000D_
        at io realm internal OsObject createWithPrimaryKey(OsObject java:202)_x000D_
        at io realm Realm createObjectInternal(Realm java:1049)_x000D_
        at io realm Realm createObject(Realm java:1024)_x000D_
        at org fossasia phimpme gallery activities LFMainActivity addTrashObjectsToRealm(LFMainActivity java:3546)_x000D_
        at org fossasia phimpme gallery activities LFMainActivity access 4300(LFMainActivity java:146)_x000D_
        at org fossasia phimpme gallery activities LFMainActivity 1DeletePhotos doInBackground(LFMainActivity java:2159)_x000D_
        at org fossasia phimpme gallery activities LFMainActivity 1DeletePhotos doInBackground(LFMainActivity java:2034)_x000D_
        at android os AsyncTask 2 call(AsyncTask java:305)_x000D_
        at java util concurrent FutureTask run(FutureTask java:237)_x000D_
        	    4 more_x000D_
_x000D_
  Screenshots  _x000D_
     If applicable  add screenshots to help explain your problem     _x000D_
  delete (https:  user images githubusercontent com 34706326 72510810 16e7bd00 3870 11ea 90d6 21aa3f93856a gif)_x000D_
_x000D_
  Smartphone Info:  _x000D_
     Please complete the following information    _x000D_
_x000D_
Device: Redmi 4_x000D_
Android Version: Android Nougat_x000D_
_x000D_
  Would you like to work on the issue   _x000D_
     Please let us know if you can work on it or the issue should be assigned to someone else     _x000D_
   X  Yes_x000D_
      No_x000D_
  Other: _x000D_
</t>
  </si>
  <si>
    <t>react-native-cookies-cookies-9</t>
  </si>
  <si>
    <t>[iOS] CookieManager.get with useWebKit crash if argument is not a url</t>
  </si>
  <si>
    <t xml:space="preserve">  Bug_x000D_
_x000D_
This crashes _x000D_
_x000D_
   typescript_x000D_
CookieManager get( google com   true) _x000D_
   _x000D_
    _x000D_
  Please provide a clear and concise description of what the bug is _x000D_
  Include screenshots if needed _x000D_
  Please test using the latest release of the library  as maybe said bug has been already fixed _x000D_
  If the library has multiple install methods  describe installation method (e g   pod  not pod  with jetifier etc)_x000D_
   _x000D_
_x000D_
   Environment info_x000D_
_x000D_
    _x000D_
  Run  react native info  in your terminal and copy the results here  Also  include the  precise  version number of this library that you are using in the project_x000D_
   _x000D_
_x000D_
React native info output:_x000D_
_x000D_
   bash_x000D_
System:_x000D_
    OS: macOS 10 15 2_x000D_
    CPU: (8) x64 Intel(R) Core(TM) i7 4980HQ CPU   2 80GHz_x000D_
    Memory: 539 84 MB   16 00 GB_x000D_
    Shell: 5 7 1    bin zsh_x000D_
  Binaries:_x000D_
    Node: 13 6 0    var folders z1 7nfybp6x3ns9gzz58cm53m480000gn T yarn  1579114313928 0 6154963038500227 node_x000D_
    Yarn: 1 21 1    var folders z1 7nfybp6x3ns9gzz58cm53m480000gn T yarn  1579114313928 0 6154963038500227 yarn_x000D_
    npm: 6 13 4    usr local bin npm_x000D_
    Watchman: 4 9 0    usr local bin watchman_x000D_
  SDKs:_x000D_
    iOS SDK:_x000D_
      Platforms: iOS 13 2  DriverKit 19 0  macOS 10 15  tvOS 13 2  watchOS 6 1_x000D_
    Android SDK:_x000D_
      API Levels: 23  27  28  29_x000D_
      Build Tools: 27 0 3  28 0 3  29 0 2_x000D_
      System Images: android 23   Intel x86 Atom  android 23   Google APIs Intel x86 Atom  android 24   Google Play Intel x86 Atom  android 27   Google Play Intel x86 Atom  android 28   Intel x86 Atom 64  android 28   Google APIs Intel x86 Atom  android 28   Google Play Intel x86 Atom  android 29   Google APIs Intel x86 Atom_x000D_
  IDEs:_x000D_
    Android Studio: 3 5 AI 191 8026 42 35 6010548_x000D_
    Xcode: 11 3 1 11C504    usr bin xcodebuild_x000D_
  npmPackages:_x000D_
    react: 16 9 0    16 9 0 _x000D_
    react native: 0 61 5    0 61 5_x000D_
   _x000D_
_x000D_
Library version: 1 0 1_x000D_
_x000D_
   Steps To Reproduce_x000D_
_x000D_
Run this and crash  Won t crash if it s a url like  https:  google com _x000D_
_x000D_
   typescript_x000D_
CookieManager get( google com   true) _x000D_
   _x000D_
_x000D_
   Reproducible sample code_x000D_
_x000D_
    _x000D_
 Please add to your issue a repro  a fresh codebase with the minimal changes so that the bug can be tested in isolation_x000D_
   _x000D_
   typescript_x000D_
CookieManager get( google com   true) _x000D_
   </t>
  </si>
  <si>
    <t>nextcloud-talk-android-707</t>
  </si>
  <si>
    <t>App crashes on shutdown</t>
  </si>
  <si>
    <t xml:space="preserve">  Sometimes   when the application is turned off  an app crash occurs _x000D_
_x000D_
Steps:_x000D_
_x000D_
1  Receiving a new message _x000D_
2  Read the message by push notification _x000D_
3  Close the app _x000D_
4    Sometimes   the application crashes _x000D_
_x000D_
App:_x000D_
Android 6_x000D_
Android Talk 7 0 8 and v8 0 0beta3_x000D_
_x000D_
Below the stack trace from the system:_x000D_
   _x000D_
2020 01 15 14:05:43 data app crash (text  1361 bytes)_x000D_
    Process: com nextcloud talk2 Flags: 0x38d8be44 Package: com nextcloud     _x000D_
   _x000D_
   _x000D_
01 15 14:05:43 796  8538  8538 E AndroidRuntime: FATAL EXCEPTION: main_x000D_
01 15 14:05:43 796  8538  8538 E AndroidRuntime: Process: com nextcloud talk2  PID: 8538_x000D_
01 15 14:05:43 796  8538  8538 E AndroidRuntime: kotlin KotlinNullPointerException_x000D_
01 15 14:05:43 796  8538  8538 E AndroidRuntime: 	at com nextcloud talk controllers ChatController setupMentionAutocomplete(ChatController kt:561)_x000D_
01 15 14:05:43 796  8538  8538 E AndroidRuntime: 	at com nextcloud talk controllers ChatController access setupMentionAutocomplete(ChatController kt:116)_x000D_
01 15 14:05:43 796  8538  8538 E AndroidRuntime: 	at com nextcloud talk controllers ChatController getRoomInfo 1 onNext(ChatController kt:245)_x000D_
01 15 14:05:43 796  8538  8538 E AndroidRuntime: 	at com nextcloud talk controllers ChatController getRoomInfo 1 onNext(ChatController kt:235)_x000D_
01 15 14:05:43 796  8538  8538 E AndroidRuntime: 	at io reactivex internal operators observable ObservableObserveOn ObserveOnObserver drainNormal(ObservableObserveOn java:201)_x000D_
01 15 14:05:43 796  8538  8538 E AndroidRuntime: 	at io reactivex internal operators observable ObservableObserveOn ObserveOnObserver run(ObservableObserveOn java:255)_x000D_
01 15 14:05:43 796  8538  8538 E AndroidRuntime: 	at io reactivex android schedulers HandlerScheduler ScheduledRunnable run(HandlerScheduler java:124)_x000D_
01 15 14:05:43 796  8538  8538 E AndroidRuntime: 	at android os Handler handleCallback(Handler java:739)_x000D_
01 15 14:05:43 796  8538  8538 E AndroidRuntime: 	at android os Handler dispatchMessage(Handler java:95)_x000D_
01 15 14:05:43 796  8538  8538 E AndroidRuntime: 	at android os Looper loop(Looper java:148)_x000D_
01 15 14:05:43 796  8538  8538 E AndroidRuntime: 	at android app ActivityThread main(ActivityThread java:5530)_x000D_
01 15 14:05:43 796  8538  8538 E AndroidRuntime: 	at java lang reflect Method invoke(Native Method)_x000D_
01 15 14:05:43 796  8538  8538 E AndroidRuntime: 	at com android internal os ZygoteInit MethodAndArgsCaller run(ZygoteInit java:734)_x000D_
01 15 14:05:43 796  8538  8538 E AndroidRuntime: 	at com android internal os ZygoteInit main(ZygoteInit java:624)_x000D_
   </t>
  </si>
  <si>
    <t>4Q-s-r-o-ota_update-24</t>
  </si>
  <si>
    <t>App closes when starts installing</t>
  </si>
  <si>
    <t xml:space="preserve">Since I updated to Flutter 1 12  ota update doesn t work  When I call it  it downloads the new APK  and when the Status   INSTALLING the app crashes  It logs nothing neither with nor without verbose </t>
  </si>
  <si>
    <t>nextcloud-talk-android-704</t>
  </si>
  <si>
    <t>Crash app 8.0.0b2 - push notifications</t>
  </si>
  <si>
    <t>When you try to read a message by push notification  an app crash occurs 
App:
Android 6
Talk Android 8 0 0b2</t>
  </si>
  <si>
    <t>nextcloud-android-5204</t>
  </si>
  <si>
    <t>App crashes when attempting to move a file</t>
  </si>
  <si>
    <t xml:space="preserve">    Steps to reproduce_x000D_
1  Tap on  move  for one or more files_x000D_
2  Crash_x000D_
_x000D_
    Expected behaviour_x000D_
Files moved _x000D_
_x000D_
    Actual behaviour_x000D_
App crashes _x000D_
_x000D_
    Environment data_x000D_
Android version: 8_x000D_
_x000D_
Device model: Sony Xperia x compact _x000D_
_x000D_
Stock or customized system: stock _x000D_
_x000D_
Nextcloud app version:3 1  Rc2_x000D_
_x000D_
Nextcloud server version:  _x000D_
_x000D_
    Logs_x000D_
_x000D_
             CAUSE OF ERROR             _x000D_
_x000D_
java lang NullPointerException: Attempt to invoke interface method  android view MenuItem android view MenuItem setVisible(boolean)  on a null object reference_x000D_
	at com owncloud android ui fragment OCFileListFragment onPrepareOptionsMenu(OCFileListFragment java:796)_x000D_
	at androidx fragment app Fragment performPrepareOptionsMenu(Fragment java:2723)_x000D_
	at androidx fragment app FragmentManagerImpl dispatchPrepareOptionsMenu(FragmentManagerImpl java:2743)_x000D_
	at androidx fragment app FragmentController dispatchPrepareOptionsMenu(FragmentController java:398)_x000D_
	at androidx fragment app FragmentActivity onPreparePanel(FragmentActivity java:489)_x000D_
	at androidx appcompat view WindowCallbackWrapper onPreparePanel(WindowCallbackWrapper java:99)_x000D_
	at androidx appcompat app AppCompatDelegateImpl AppCompatWindowCallback onPreparePanel(AppCompatDelegateImpl java:2857)_x000D_
	at androidx appcompat view WindowCallbackWrapper onPreparePanel(WindowCallbackWrapper java:99)_x000D_
	at androidx appcompat app ToolbarActionBar ToolbarCallbackWrapper onPreparePanel(ToolbarActionBar java:522)_x000D_
	at androidx appcompat app ToolbarActionBar populateOptionsMenu(ToolbarActionBar java:456)_x000D_
	at androidx appcompat app ToolbarActionBar 1 run(ToolbarActionBar java:56)_x000D_
	at android os Handler handleCallback(Handler java:789)_x000D_
	at android os Handler dispatchMessage(Handler java:98)_x000D_
	at android os Looper loop(Looper java:251)_x000D_
	at android app ActivityThread main(ActivityThread java:6589)_x000D_
	at java lang reflect Method invoke(Native Method)_x000D_
	at com android internal os Zygote MethodAndArgsCaller run(Zygote java:240)_x000D_
	at com android internal os ZygoteInit main(ZygoteInit java:767)_x000D_
_x000D_
             APP INFORMATION             _x000D_
ID: com nextcloud client_x000D_
Version: 30100052_x000D_
Build flavor: gplay_x000D_
_x000D_
             DEVICE INFORMATION             _x000D_
Brand: Sony_x000D_
Device: F5321_x000D_
Model: F5321_x000D_
Id: 34 4 A 2 118_x000D_
Product: F5321_x000D_
_x000D_
             FIRMWARE             _x000D_
SDK: 26_x000D_
Release: 8 0 0_x000D_
Incremental: 1631208121_x000D_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</si>
  <si>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federicoiosue-Omni-Notes-741</t>
  </si>
  <si>
    <t>Crash while choosing category</t>
  </si>
  <si>
    <t xml:space="preserve">In current develop branch is issue with nullpointer exception while choosing the category _x000D_
   Fresh install of ON_x000D_
   create new note  add category     All OK  (New category is created)_x000D_
   Current editing note is still opened    Now tap again on the category icon in menu bar     app crash_x000D_
_x000D_
The problem is in  CategoryRecyclerViewAdapter java          txtTitle    is NULL_x000D_
_x000D_
_x000D_
     _x000D_
 Override_x000D_
  public void onBindViewHolder ( NonNull CategoryViewHolder holder  int position)  _x000D_
    Category category   categories get(position) _x000D_
_x000D_
    holder txtTitle setText(category getName())          crash here_x000D_
_x000D_
   _x000D_
_x000D_
LOG_x000D_
   _x000D_
E ACRA: ACRA caught a NullPointerException for it feio android omninotes alpha_x000D_
    java lang NullPointerException: Attempt to invoke virtual method  void com neopixl pixlui components textview TextView setText(java lang CharSequence)  on a null object reference_x000D_
        at it feio android omninotes models adapters CategoryRecyclerViewAdapter onBindViewHolder(CategoryRecyclerViewAdapter java:74)_x000D_
        at it feio android omninotes models adapters CategoryRecyclerViewAdapter onBindViewHolder(CategoryRecyclerViewAdapter java:41)_x000D_
        at androidx recyclerview widget RecyclerView Adapter onBindViewHolder(RecyclerView java:6781)_x000D_
        at androidx recyclerview widget RecyclerView Adapter bindViewHolder(RecyclerView java:6823)_x000D_
        at androidx recyclerview widget RecyclerView Recycler tryBindViewHolderByDeadline(RecyclerView java:5752)_x000D_
        at androidx recyclerview widget RecyclerView Recycler tryGetViewHolderForPositionByDeadline(RecyclerView java:6019)_x000D_
        at androidx recyclerview widget RecyclerView Recycler getViewForPosition(RecyclerView java:5858)_x000D_
        at androidx recyclerview widget RecyclerView Recycler getViewForPosition(RecyclerView java:5854)_x000D_
        at androidx recyclerview widget LinearLayoutManager LayoutState next(LinearLayoutManager java:2230)_x000D_
        at androidx recyclerview widget LinearLayoutManager layoutChunk(LinearLayoutManager java:1557)_x000D_
        at androidx recyclerview widget LinearLayoutManager fill(LinearLayoutManager java:1517)_x000D_
        at androidx recyclerview widget LinearLayoutManager onLayoutChildren(LinearLayoutManager java:612)_x000D_
        at androidx recyclerview widget RecyclerView dispatchLayoutStep2(RecyclerView java:3924)_x000D_
        at androidx recyclerview widget RecyclerView onMeasure(RecyclerView java:3336)_x000D_
        at android view View measure(View java:22216)_x000D_
_x000D_
   </t>
  </si>
  <si>
    <t>Simperium-simperium-android-216</t>
  </si>
  <si>
    <t>Ignore corrupted ghosts</t>
  </si>
  <si>
    <t xml:space="preserve">There are occasions where the stored contents of a ghost may be corrupted_x000D_
outside of the control of this library  One such occasion was discovered when_x000D_
sqlite was improperly converting malformed UTF 16 data into UTF 8  In these_x000D_
cases we risk treating corrupted data as valid and causing more harm to the_x000D_
ghost and bucket value  Additionally we risk corrupting the JSON structure_x000D_
stored in the database which can lead to crashes when reading or using it _x000D_
_x000D_
In this patch we re performing one simple validation to make sure that we don t_x000D_
attempt to use a ghost which we cannot parse as JSON  Should the occasion arise_x000D_
then the library should attempt to retrieve the latest ghost from the server_x000D_
and start fresh with its processing _x000D_
_x000D_
Although it looks like this patch may introduce a vector for losing changes it s_x000D_
actually closing a vector for an app crash  the data would have never made it in_x000D_
the first place </t>
  </si>
  <si>
    <t>nextcloud-android-5199</t>
  </si>
  <si>
    <t>Trying to copy a file crahes the app</t>
  </si>
  <si>
    <t xml:space="preserve">    Steps to reproduce_x000D_
1  Go to a folder_x000D_
2  Select a file with a long tap_x000D_
3  Select Copy_x000D_
_x000D_
    Expected behaviour_x000D_
  A prompt is open to chose where to copy the file_x000D_
_x000D_
    Actual behaviour_x000D_
  the app crashes_x000D_
_x000D_
    Environment data_x000D_
Android version: 9 (may patch)_x000D_
_x000D_
Device model: lg g6_x000D_
_x000D_
Stock or customized system: stock plus magisk_x000D_
_x000D_
Nextcloud app version: 3 10 0 RC2_x000D_
_x000D_
Nextcloud server version: 16 0 6_x000D_
_x000D_
    Logs_x000D_
     Web server error log_x000D_
   _x000D_
Insert your webserver log here_x000D_
   _x000D_
_x000D_
     Nextcloud log (data nextcloud log)_x000D_
Can t find it_x000D_
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</si>
  <si>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material-components-material-components-android-906</t>
  </si>
  <si>
    <t>[BottomAppBar] Crash with anchored FAB</t>
  </si>
  <si>
    <t xml:space="preserve">  Description:   When FAB is anchored to a bottom bar  the app crashes with the following error:_x000D_
_x000D_
java lang IllegalArgumentException: width and height must be   0_x000D_
        at android graphics Bitmap createBitmap(Bitmap java:969)_x000D_
        at android graphics Bitmap createBitmap(Bitmap java:948)_x000D_
        at android graphics Bitmap createBitmap(Bitmap java:915)_x000D_
        at com google android material shape MaterialShapeDrawable maybeDrawCompatShadow(MaterialShapeDrawable java:978)_x000D_
        at com google android material shape MaterialShapeDrawable draw(MaterialShapeDrawable java:945)_x000D_
_x000D_
Bottom bar without FAB works great _x000D_
FAB anchored to any other view (or without anchor at all) works great _x000D_
FAB anchored to bottom bar and invisible works great _x000D_
I suspect it s caused by bottom bar cradle _x000D_
_x000D_
  Expected behavior:   FAB should be anchored and cradled without issues_x000D_
_x000D_
  Source code:   Layout file is in the attachment (had to use  txt instead of  xml_x000D_
 activity read article txt (https:  github com material components material components android files 4059562 activity read article txt)_x000D_
)_x000D_
_x000D_
  Android API version:   SDK 29_x000D_
_x000D_
  Material Library version:   1 2 0 alpha03_x000D_
_x000D_
  Device:   AVD API 28 with Google Play  Samsung SM T355 with Android 7 1 1_x000D_
_x000D_
</t>
  </si>
  <si>
    <t>ElderDrivers-EdXposed-443</t>
  </si>
  <si>
    <t>[BUG] Exposed Framework is installed, but not active</t>
  </si>
  <si>
    <t xml:space="preserve">       What happened   _x000D_
_x000D_
Exposed Framework is installed  but not active_x000D_
_x000D_
  Xposed     Xposed Module List  _x000D_
_x000D_
No module active_x000D_
_x000D_
  Magisk     Magisk Module List  _x000D_
_x000D_
ADB SDK_x000D_
Busybox_x000D_
Riru core_x000D_
Riru edxposed_x000D_
Riru storage redirect_x000D_
Font_x000D_
_x000D_
  EdXposed Riru   Versions of EdXposed and Riru  _x000D_
_x000D_
EdXposed:0 4 6 1(4497)_x000D_
_x000D_
Riru:19 6_x000D_
_x000D_
    Logcat Logcat  _x000D_
_x000D_
          beginning of crash_x000D_
01 14 14:22:14 645  6013  6013 E EdXposed Bridge: java lang NullPointerException: Attempt to invoke virtual method  java lang Class java lang Object getClass()  on a null object reference_x000D_
01 14 14:22:14 645  6013  6013 E EdXposed Bridge: 	at de robv android xposed XposedHelpers getObjectField(XposedHelpers java:894)_x000D_
01 14 14:22:14 645  6013  6013 E EdXposed Bridge: 	at com elderdrivers riru edxp hooker XposedInstallerHooker 1 beforeHookedMethod(XposedInstallerHooker java:32)_x000D_
01 14 14:22:14 645  6013  6013 E EdXposed Bridge: 	at de robv android xposed XC MethodHook callBeforeHookedMethod(XC MethodHook java:51)_x000D_
01 14 14:22:14 645  6013  6013 E EdXposed Bridge: 	at EdHooker  hook(Unknown Source:87)_x000D_
01 14 14:22:14 645  6013  6013 E EdXposed Bridge: 	at org meowcat edxposed manager XposedApp onCreate(XposedApp java:187)_x000D_
01 14 14:22:14 645  6013  6013 E EdXposed Bridge: 	at org meowcat bugcatcher MeowCatApplication onCreate(MeowCatApplication java:20)_x000D_
01 14 14:22:14 645  6013  6013 E EdXposed Bridge: 	at android app Instrumentation callApplicationOnCreate(Instrumentation java:1197)_x000D_
01 14 14:22:14 645  6013  6013 E EdXposed Bridge: 	at android app ActivityThread handleBindApplication(ActivityThread java:6647)_x000D_
01 14 14:22:14 645  6013  6013 E EdXposed Bridge: 	at com elderdrivers riru edxp  hooker yahfa HandleBindAppHooker hook(HandleBindAppHooker java:21)_x000D_
01 14 14:22:14 645  6013  6013 E EdXposed Bridge: 	at android app ActivityThread access 1600(ActivityThread java:231)_x000D_
01 14 14:22:14 645  6013  6013 E EdXposed Bridge: 	at android app ActivityThread H handleMessage(ActivityThread java:1952)_x000D_
01 14 14:22:14 645  6013  6013 E EdXposed Bridge: 	at android os Handler dispatchMessage(Handler java:107)_x000D_
01 14 14:22:14 645  6013  6013 E EdXposed Bridge: 	at android os Looper loop(Looper java:214)_x000D_
01 14 14:22:14 645  6013  6013 E EdXposed Bridge: 	at android app ActivityThread main(ActivityThread java:7682)_x000D_
01 14 14:22:14 645  6013  6013 E EdXposed Bridge: 	at java lang reflect Method invoke(Native Method)_x000D_
01 14 14:22:14 645  6013  6013 E EdXposed Bridge: 	at com android internal os RuntimeInit MethodAndArgsCaller run(RuntimeInit java:516)_x000D_
01 14 14:22:14 645  6013  6013 E EdXposed Bridge: 	at com android internal os ZygoteInit main(ZygoteInit java:950)</t>
  </si>
  <si>
    <t>nextcloud-android-5182</t>
  </si>
  <si>
    <t>App crash on photos tab open</t>
  </si>
  <si>
    <t xml:space="preserve">    Steps to reproduce_x000D_
1  Open app_x000D_
2  Open photos tab_x000D_
3  App crashed_x000D_
_x000D_
    Expected behaviour_x000D_
  Tell us what should happen_x000D_
_x000D_
    Actual behaviour_x000D_
  Tell us what happens_x000D_
_x000D_
    Environment data_x000D_
             CAUSE OF ERROR             _x000D_
_x000D_
java lang NullPointerException: Attempt to invoke virtual method  java lang String com owncloud android datamodel OCFile getRichWorkspace()  on a null object reference_x000D_
	at com owncloud android ui fragment OCFileListFragment onPrepareOptionsMenu(OCFileListFragment java:796)_x000D_
	at androidx fragment app Fragment performPrepareOptionsMenu(Fragment java:2723)_x000D_
	at androidx fragment app FragmentManagerImpl dispatchPrepareOptionsMenu(FragmentManagerImpl java:2743)_x000D_
	at androidx fragment app FragmentController dispatchPrepareOptionsMenu(FragmentController java:398)_x000D_
	at androidx fragment app FragmentActivity onPreparePanel(FragmentActivity java:489)_x000D_
	at androidx appcompat view WindowCallbackWrapper onPreparePanel(WindowCallbackWrapper java:99)_x000D_
	at androidx appcompat app AppCompatDelegateImpl AppCompatWindowCallback onPreparePanel(AppCompatDelegateImpl java:2857)_x000D_
	at androidx appcompat view WindowCallbackWrapper onPreparePanel(WindowCallbackWrapper java:99)_x000D_
	at androidx appcompat app ToolbarActionBar ToolbarCallbackWrapper onPreparePanel(ToolbarActionBar java:522)_x000D_
	at androidx appcompat app ToolbarActionBar populateOptionsMenu(ToolbarActionBar java:456)_x000D_
	at androidx appcompat app ToolbarActionBar 1 run(ToolbarActionBar java:56)_x000D_
	at android view Choreographer CallbackRecord run(Choreographer java:967)_x000D_
	at android view Choreographer doCallbacks(Choreographer java:791)_x000D_
	at android view Choreographer doFrame(Choreographer java:722)_x000D_
	at android view Choreographer FrameDisplayEventReceiver run(Choreographer java:952)_x000D_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APP INFORMATION             _x000D_
ID: com nextcloud client_x000D_
Version: 30100052_x000D_
Build flavor: gplay_x000D_
_x000D_
             DEVICE INFORMATION             _x000D_
Brand: google_x000D_
Device: walleye_x000D_
Model: Pixel 2_x000D_
Id: QQ1A 191205 008_x000D_
Product: walleye_x000D_
_x000D_
             FIRMWARE             _x000D_
SDK: 29_x000D_
Release: 10_x000D_
Incremental: 5974827_x000D_
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</si>
  <si>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material-components-material-components-android-903</t>
  </si>
  <si>
    <t>[TabLayout] Binary incompatible change in OnTabSelectedListener between 1.0.0 and 1.1.0-rc1</t>
  </si>
  <si>
    <t xml:space="preserve">Description: There appears to be an binary incompatible change with OnTabSelectedListener between 1 0 0 and 1 1 0 rc1 causing a runtime crash when using a lib compiled with the previous version on the later one _x000D_
_x000D_
  Expected behavior: A lib compiled against 1 0 0 will continue to work with 1 1 0 _x000D_
_x000D_
  Source code:_x000D_
_x000D_
The lib has a class:  Foo implements OnTabSelectedListener  and is compiled against 1 0 0_x000D_
The app uses version 1 1 0 rc1_x000D_
_x000D_
Expected: The app doesn t crash_x000D_
Actual: The app crashes with_x000D_
_x000D_
java lang IncompatibleClassChangeError: Class  Foo  does not implement interface  com google android material tabs TabLayout BaseOnTabSelectedListener  in call to  void com google android material tabs TabLayout BaseOnTabSelectedListener onTabUnselected(com google android material tabs TabLayout Tab)  (declaration of  com google android material tabs TabLayout 1  appears in  data app app base apk)_x000D_
_x000D_
  Android API version: N A_x000D_
_x000D_
  Device: N A_x000D_
</t>
  </si>
  <si>
    <t>nextcloud-android-5176</t>
  </si>
  <si>
    <t>Synchronize a big folder causes some bugs</t>
  </si>
  <si>
    <t xml:space="preserve">Hi _x000D_
_x000D_
When you want to synchronize a folder (of 150GB ) manually (by click on contextual menu of the folder  then  Synchronize )  after   30s there is a  Nextcloud isn t responding  message asking for killing keeping the process _x000D_
_x000D_
1) Why does the app show a message asking to kill or continue the process  if this one is able to finish crash without any  damage  (because it s an async task)  _x000D_
2) Why does the app allow to synchronize 150GB  if the device doesn t have 150GB of memory  _x000D_
3) Why cannot we abort the operation  _x000D_
_x000D_
Thank you for your answers :) _x000D_
 </t>
  </si>
  <si>
    <t>nextcloud-android-5174</t>
  </si>
  <si>
    <t>can't login</t>
  </si>
  <si>
    <t xml:space="preserve">    Steps to reproduce_x000D_
1 installed nextcloud app_x000D_
2  Enter the server address_x000D_
3  Crashed_x000D_
_x000D_
    Expected behaviour_x000D_
  Authorize login_x000D_
_x000D_
    Actual behaviour_x000D_
  crashed_x000D_
_x000D_
    Environment data_x000D_
Android version: 9_x000D_
_x000D_
Device model:Huawei  p20 lite_x000D_
_x000D_
Stock or customized system: custom rom (Omni 9 2 from openkirin_x000D_
_x000D_
Nextcloud app version: _x000D_
_x000D_
Nextcloud server version:_x000D_
_x000D_
             CAUSE OF ERROR             _x000D_
_x000D_
android view InflateException: Binary XML file line  7: Binary XML file line  7: Error inflating class android webkit WebView_x000D_
Caused by: android view InflateException: Binary XML file line  7: Error inflating class android webkit WebView_x000D_
Caused by: java lang reflect InvocationTargetException_x000D_
	at java lang reflect Constructor newInstance0(Native Method)_x000D_
	at java lang reflect Constructor newInstance(Constructor java:343)_x000D_
	at android view LayoutInflater createView(LayoutInflater java:647)_x000D_
	at com android internal policy PhoneLayoutInflater onCreateView(PhoneLayoutInflater java:58)_x000D_
	at android view LayoutInflater onCreateView(LayoutInflater java:720)_x000D_
	at android view LayoutInflater createViewFromTag(LayoutInflater java:788)_x000D_
	at android view LayoutInflater createViewFromTag(LayoutInflater java:730)_x000D_
	at android view LayoutInflater rInflate(LayoutInflater java:863)_x000D_
	at android view LayoutInflater rInflateChildren(LayoutInflater java:824)_x000D_
	at android view LayoutInflater inflate(LayoutInflater java:515)_x000D_
	at android view LayoutInflater inflate(LayoutInflater java:423)_x000D_
	at android view LayoutInflater inflate(LayoutInflater java:374)_x000D_
	at androidx appcompat app AppCompatDelegateImpl setContentView(AppCompatDelegateImpl java:555)_x000D_
	at androidx appcompat app AppCompatActivity setContentView(AppCompatActivity java:161)_x000D_
	at com owncloud android authentication AuthenticatorActivity onGetServerInfoFinish(AuthenticatorActivity java:1310)_x000D_
	at com owncloud android authentication AuthenticatorActivity onRemoteOperationFinish(AuthenticatorActivity java:1209)_x000D_
	at com owncloud android services OperationsService lambda dispatchResultToOperationListeners 0(OperationsService java:727)_x000D_
	at com owncloud android services    Lambda OperationsService 2BVgsxDpOpa4JqgzeD7OGZBLSiI run(Unknown Source:6)_x000D_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Caused by: android util AndroidRuntimeException: android webkit WebViewFactory MissingWebViewPackageException: Failed to load WebView provider: No WebView installed_x000D_
	at android webkit WebViewFactory getProviderClass(WebViewFactory java:471)_x000D_
	at android webkit WebViewFactory getProvider(WebViewFactory java:251)_x000D_
	at android webkit WebView getFactory(WebView java:2424)_x000D_
	at android webkit WebView ensureProviderCreated(WebView java:2419)_x000D_
	at android webkit WebView setOverScrollMode(WebView java:2484)_x000D_
	at android view View  init (View java:4807)_x000D_
	at android view View  init (View java:4948)_x000D_
	at android view ViewGroup  init (ViewGroup java:659)_x000D_
	at android widget AbsoluteLayout  init (AbsoluteLayout java:55)_x000D_
	at android webkit WebView  init (WebView java:403)_x000D_
	at android webkit WebView  init (WebView java:348)_x000D_
	at android webkit WebView  init (WebView java:331)_x000D_
	at android webkit WebView  init (WebView java:318)_x000D_
	    25 more_x000D_
Caused by: android webkit WebViewFactory MissingWebViewPackageException: Failed to load WebView provider: No WebView installed_x000D_
	at android webkit WebViewFactory getWebViewContextAndSetProvider(WebViewFactory java:376)_x000D_
	at android webkit WebViewFactory getProviderClass(WebViewFactory java:439)_x000D_
	    37 more_x000D_
_x000D_
             APP INFORMATION             _x000D_
ID: com nextcloud client_x000D_
Version: 30090290_x000D_
Build flavor: generic_x000D_
_x000D_
             DEVICE INFORMATION             _x000D_
Brand: HUAWEI_x000D_
Device: HWANE_x000D_
Model: ANE AL00_x000D_
Id: PQ3A 190705 003_x000D_
Product: ANE AL00_x000D_
_x000D_
             FIRMWARE             _x000D_
SDK: 28_x000D_
Release: 9_x000D_
Incremental: eng chris 20190721 140716_x000D_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</si>
  <si>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nextcloud-android-5173</t>
  </si>
  <si>
    <t>Fc app on selecting storage folder auto uploaded</t>
  </si>
  <si>
    <t xml:space="preserve">    Steps to reproduce_x000D_
1  Clicking on auto upload_x000D_
2  Selecting folder_x000D_
3  Select Configure_x000D_
4  Trying to change the Remote folder _x000D_
nextcloud crashes afterwards_x000D_
_x000D_
    Expected behaviour_x000D_
  nextcloud remote structure should show up to change the remote folder _x000D_
_x000D_
    Actual behaviour_x000D_
  App instantly force closes _x000D_
_x000D_
    Environment data_x000D_
Android version: 10  Miui11_x000D_
_x000D_
Device model: Xiaomi mi 9_x000D_
_x000D_
Stock or customized system: MiuiMix 11 2_x000D_
_x000D_
Nextcloud app version: 3 10 0 RC2_x000D_
_x000D_
Nextcloud server version: 17 0 2_x000D_
_x000D_
    Logs_x000D_
     Web server error log_x000D_
   _x000D_
Insert your webserver log here_x000D_
   _x000D_
             CAUSE OF ERROR             _x000D_
_x000D_
java lang NullPointerException: Attempt to invoke interface method  android view MenuItem android view MenuItem setVisible(boolean)  on a null object reference_x000D_
	at com owncloud android ui fragment OCFileListFragment onPrepareOptionsMenu(OCFileListFragment java:796)_x000D_
	at androidx fragment app Fragment performPrepareOptionsMenu(Fragment java:2723)_x000D_
	at androidx fragment app FragmentManagerImpl dispatchPrepareOptionsMenu(FragmentManagerImpl java:2743)_x000D_
	at androidx fragment app FragmentController dispatchPrepareOptionsMenu(FragmentController java:398)_x000D_
	at androidx fragment app FragmentActivity onPreparePanel(FragmentActivity java:489)_x000D_
	at androidx appcompat view WindowCallbackWrapper onPreparePanel(WindowCallbackWrapper java:99)_x000D_
	at androidx appcompat app AppCompatDelegateImpl AppCompatWindowCallback onPreparePanel(AppCompatDelegateImpl java:2857)_x000D_
	at androidx appcompat view WindowCallbackWrapper onPreparePanel(WindowCallbackWrapper java:99)_x000D_
	at androidx appcompat app ToolbarActionBar ToolbarCallbackWrapper onPreparePanel(ToolbarActionBar java:522)_x000D_
	at androidx appcompat app ToolbarActionBar populateOptionsMenu(ToolbarActionBar java:456)_x000D_
	at androidx appcompat app ToolbarActionBar 1 run(ToolbarActionBar java:56)_x000D_
	at android os Handler handleCallback(Unknown Source:2)_x000D_
	at android os Handler dispatchMessage(Unknown Source:4)_x000D_
	at android os Looper loop(Unknown Source:242)_x000D_
	at android app ActivityThread main(Unknown Source:98)_x000D_
	at java lang reflect Method invoke(Native Method)_x000D_
	at com android internal os RuntimeInit MethodAndArgsCaller run(Unknown Source:11)_x000D_
	at com android internal os ZygoteInit main(Unknown Source:275)_x000D_
_x000D_
             APP INFORMATION             _x000D_
ID: com nextcloud client_x000D_
Version: 30100052_x000D_
Build flavor: gplay_x000D_
_x000D_
             DEVICE INFORMATION             _x000D_
Brand: Xiaomi_x000D_
Device: cepheus_x000D_
Model: MI 9_x000D_
Id: QKQ1 190825 002_x000D_
Product: cepheus_x000D_
_x000D_
             FIRMWARE             _x000D_
SDK: 29_x000D_
Release: 10_x000D_
Incremental: 20 1 9_x000D_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</si>
  <si>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avluis-Hentoid-447</t>
  </si>
  <si>
    <t>Build issues with ObjectBox 2.5.0 + Glide 4.11.0</t>
  </si>
  <si>
    <t>When I include both ObjectBox 2 5 0 and Glide 4 11 0 on my app  it crashes at startup _x000D_
_x000D_
Changing either :_x000D_
_x000D_
    Objectbox to v2 4 1_x000D_
    or Glide to v4 10 0_x000D_
_x000D_
makes the app start again properly_x000D_
_x000D_
See https:  github com objectbox objectbox java issues 810 for details</t>
  </si>
  <si>
    <t>nextcloud-android-5171</t>
  </si>
  <si>
    <t>crash when opening markdown file details</t>
  </si>
  <si>
    <t xml:space="preserve">    Steps to reproduce_x000D_
1  Visit a markdown file and open it_x000D_
2  Open the details field from the available options on the upper right_x000D_
_x000D_
_x000D_
    Expected behaviour_x000D_
  View file details_x000D_
    Actual behaviour_x000D_
  Nextcloud crashes_x000D_
    Environment data_x000D_
Android version: 7 1 1_x000D_
_x000D_
Device model: J5 2016_x000D_
_x000D_
Stock or customized system: Stock_x000D_
_x000D_
Nextcloud app version:_x000D_
_x000D_
Nextcloud server version: 15_x000D_
_x000D_
    Logs_x000D_
_x000D_
             CAUSE OF ERROR             _x000D_
_x000D_
java lang NullPointerException: Attempt to invoke virtual method  android content res Resources android content Context getResources()  on a null object reference_x000D_
	at com owncloud android utils ThemeUtils primaryColor(ThemeUtils java:139)_x000D_
	at com owncloud android utils ThemeUtils primaryColor(ThemeUtils java:125)_x000D_
	at com owncloud android ui preview PreviewTextFragment getRenderedMarkdownText(PreviewTextFragment java:284)_x000D_
	at com owncloud android ui preview PreviewTextFragment setText(PreviewTextFragment java:562)_x000D_
	at com owncloud android ui preview PreviewTextFragment lambda performSearch 0 PreviewTextFragment(PreviewTextFragment java:270)_x000D_
	at com owncloud android ui preview    Lambda PreviewTextFragment 8cnNMZfHrJC BSC1jdHMw1eFOds run(lambda)_x000D_
	at android os Handler handleCallback(Handler java:751)_x000D_
	at android os Handler dispatchMessage(Handler java:95)_x000D_
	at android os Looper loop(Looper java:154)_x000D_
	at android app ActivityThread main(ActivityThread java:6816)_x000D_
	at java lang reflect Method invoke(Native Method)_x000D_
	at com android internal os ZygoteInit MethodAndArgsCaller run(ZygoteInit java:1563)_x000D_
	at com android internal os ZygoteInit main(ZygoteInit java:1451)_x000D_
_x000D_
             APP INFORMATION             _x000D_
ID: com nextcloud client_x000D_
Version: 30090290_x000D_
Build flavor: generic_x000D_
_x000D_
             DEVICE INFORMATION             _x000D_
Brand: samsung_x000D_
Device: j5xnlte_x000D_
Model: SM J510FN_x000D_
Id: NMF26X_x000D_
Product: j5xnltexx_x000D_
_x000D_
             FIRMWARE             _x000D_
SDK: 25_x000D_
Release: 7 1 1_x000D_
Incremental: J510FNXXS3BSH2</t>
  </si>
  <si>
    <t>nextcloud-android-5170</t>
  </si>
  <si>
    <t xml:space="preserve">Unexpected Crash </t>
  </si>
  <si>
    <t xml:space="preserve">    Steps to reproduce_x000D_
1  Don t know exactly  App opened the crash log automatically _x000D_
2  _x000D_
3  _x000D_
_x000D_
    Expected behaviour_x000D_
  Tell us what should happen_x000D_
_x000D_
    Actual behaviour_x000D_
  Tell us what happens_x000D_
App opened the log window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Nextcloud android app logs_x000D_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java:1162)_x000D_
	at java util concurrent ThreadPoolExecutor Worker run(ThreadPoolExecutor java:636)_x000D_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data app com nextcloud client 0Un1KqLaHTXQZseztMLqSg   base apk   nativeLibraryDirectories   data app com nextcloud client 0Un1KqLaHTXQZseztMLqSg   lib arm64   data app com nextcloud client 0Un1KqLaHTXQZseztMLqSg   base apk  lib arm64 v8a   system lib64   system vendor lib64  _x000D_
	at dalvik system BaseDexClassLoader findClass(BaseDexClassLoader java:93)_x000D_
	at java lang ClassLoader loadClass(ClassLoader java:379)_x000D_
	at java lang ClassLoader loadClass(ClassLoader java:312)_x000D_
	    8 more_x000D_
_x000D_
             APP INFORMATION             _x000D_
ID: com nextcloud client_x000D_
Version: 30090290_x000D_
Build flavor: gplay_x000D_
_x000D_
             DEVICE INFORMATION             _x000D_
Brand: samsung_x000D_
Device: hero2lte_x000D_
Model: SM G935F_x000D_
Id: R16NW_x000D_
Product: hero2ltexx_x000D_
_x000D_
             FIRMWARE             _x000D_
SDK: 26_x000D_
Release: 8 0 0_x000D_
Incremental: G935FXXS7ESK7_x000D_
_x000D_
   _x000D_
  NOTE:   Be super sure to remove sensitive data like passwords  note that everybody can look here  You can use the Issue Template application to prefill some of the required information: https:  apps nextcloud com apps issuetemplate_x000D_
</t>
  </si>
  <si>
    <t>ElderDrivers-EdXposed-442</t>
  </si>
  <si>
    <t>[BUG] Unfortunately installed 0.4.6.0.</t>
  </si>
  <si>
    <t xml:space="preserve">  What happened   _x000D_
_x000D_
EdXposed Manager offered to update the Xposed Framework to 0 4 6 0 from 0 4 5 1 through Magisk Manager  No mention of needing a custom Magisk install there so I m now stuck  My device (marlin   Pixel XL running LineageOS version 16 0 20191029 NIGHTLY marlin) keeps crashing during the boot  and for some reason it isn t a critical crash so it gets stuck on the boot animation for LineageOS and never actually boots into the system  nor reboot at all unless I press and hold the power button  I did an  adb logcat   logcat txt  for a little while and posted the results below to show  I can boot into the bootloader  but I ve attempted several times to boot into the latest twrp img or to run the flash all file from the factory image  and in either case  fastboot freezes if it gets asked anything besides   help or devices  meaning I m still stuck _x000D_
_x000D_
I have read through  384 and it doesn t appear that any of the solutions offered there work at all  I cannot install the custom Magisk if I cannot boot into anything to flash it using Magisk Manager  Further  the release for 0 4 6 0 mentions that the custom Magisk is only required because https:  github com topjohnwu Magisk pull 1685 isn t merged yet  however  a quick look at it shows it closed  and  merged   Someone said the following solution:_x000D_
_x000D_
  Next time  you can boot into the loading screen  connect via adb and then do:_x000D_
 _x000D_
      adb shell_x000D_
      su_x000D_
      touch  cache  disable magisk_x000D_
_x000D_
I have attempted to do this  but the su command doesn t actually work  it freezes for a little while and eventually returns  Permission denied     after all I cannot give adb root permissions for the first time if I cannot get into the system to get asked to do so  I don t know what to do to get out of this  Help me please _x000D_
_x000D_
  Xposed Module List  _x000D_
_x000D_
Due to the above issue of not being able to boot into anything besides bootloader  I can t actually give this information because I don t know exactly which modules I had installed _x000D_
_x000D_
  Magisk Module List  _x000D_
_x000D_
Due to the above issue of not being able to boot into anything besides bootloader  I can t actually give this information because I don t know exactly which modules I had installed _x000D_
_x000D_
  Versions of EdXposed and Riru  _x000D_
_x000D_
EdXposed: 0 4 6 0_x000D_
_x000D_
Riru: 19 6_x000D_
_x000D_
  Logcat  _x000D_
_x000D_
 It can help us to locate issue  must use our logcat module _x000D_
_x000D_
I do not know what logcat module this is talking about  and doubt I could somehow manage to install it currently  Still  the attachment is the result of  adb logcat  so perhaps it will help _x000D_
_x000D_
 logcat txt (https:  github com ElderDrivers EdXposed files 4051944 logcat txt)</t>
  </si>
  <si>
    <t>cgeo-cgeo-8069</t>
  </si>
  <si>
    <t>Settings.getDefaultNavigationTool() fails</t>
  </si>
  <si>
    <t xml:space="preserve">During research for  8067 I ve stumbled upon  Settings getDefaultNavigationTool()  crashing  It tries to read a string from c:geo settings and to convert the value to an integer _x000D_
_x000D_
If the value returned is an empty string  converting to integer fails with an exception  leading to c:geo crashing _x000D_
_x000D_
For me this happened after uninstalling c:geo  reinstalling dev version and reading a backup database  thus never having set any preference  I haven t tested if it s reproducible yet  but the code should be able to cope with this conversion correctly anyway </t>
  </si>
  <si>
    <t>nextcloud-android-5166</t>
  </si>
  <si>
    <t>[3.10.0 RC2] Crash upon entering Photos tab (OnePlus 7T)</t>
  </si>
  <si>
    <t xml:space="preserve">    Steps to reproduce_x000D_
1  Launch Nextcloud Android app_x000D_
2  Tap the three line icon on upper left corner_x000D_
3  Tap Photos_x000D_
_x000D_
    Expected behaviour_x000D_
  Entering photos gallery on app_x000D_
_x000D_
    Actual behaviour_x000D_
  App crashes (Nextcloud has stopped)_x000D_
_x000D_
    Environment data_x000D_
Android version: 10_x000D_
Oxygen OS 10 0 7 HD65AA_x000D_
_x000D_
Device model: _x000D_
OnePlus 7T_x000D_
_x000D_
Stock or customized system:_x000D_
Stock_x000D_
_x000D_
Nextcloud app version:_x000D_
3 10 0 RC2_x000D_
(Happens to stable release as well)_x000D_
_x000D_
Nextcloud server version:_x000D_
16 0 5 1_x000D_
(Server side should be fine  Tried web browser and iOS app and both entered gallery normally)_x000D_
_x000D_
    Logs_x000D_
     Web server error log_x000D_
   _x000D_
Insert your webserver log here_x000D_
   _x000D_
_x000D_
     Nextcloud log (data nextcloud log)_x000D_
             CAUSE OF ERROR             _x000D_
_x000D_
java lang NullPointerException: Attempt to invoke virtual method  java lang String com owncloud android datamodel OCFile getRichWorkspace()  on a null object reference_x000D_
	at com owncloud android ui fragment OCFileListFragment onPrepareOptionsMenu(OCFileListFragment java:796)_x000D_
	at androidx fragment app Fragment performPrepareOptionsMenu(Fragment java:2723)_x000D_
	at androidx fragment app FragmentManagerImpl dispatchPrepareOptionsMenu(FragmentManagerImpl java:2743)_x000D_
	at androidx fragment app FragmentController dispatchPrepareOptionsMenu(FragmentController java:398)_x000D_
	at androidx fragment app FragmentActivity onPreparePanel(FragmentActivity java:489)_x000D_
	at androidx appcompat view WindowCallbackWrapper onPreparePanel(WindowCallbackWrapper java:99)_x000D_
	at androidx appcompat app AppCompatDelegateImpl AppCompatWindowCallback onPreparePanel(AppCompatDelegateImpl java:2857)_x000D_
	at androidx appcompat view WindowCallbackWrapper onPreparePanel(WindowCallbackWrapper java:99)_x000D_
	at androidx appcompat app ToolbarActionBar ToolbarCallbackWrapper onPreparePanel(ToolbarActionBar java:522)_x000D_
	at androidx appcompat app ToolbarActionBar populateOptionsMenu(ToolbarActionBar java:456)_x000D_
	at androidx appcompat app ToolbarActionBar 1 run(ToolbarActionBar java:56)_x000D_
	at android view Choreographer CallbackRecord run(Choreographer java:1163)_x000D_
	at android view Choreographer doCallbacks(Choreographer java:986)_x000D_
	at android view Choreographer doFrame(Choreographer java:894)_x000D_
	at android view Choreographer FrameDisplayEventReceiver run(Choreographer java:1148)_x000D_
	at android os Handler handleCallback(Handler java:883)_x000D_
	at android os Handler dispatchMessage(Handler java:100)_x000D_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30100052_x000D_
Build flavor: generic_x000D_
_x000D_
             DEVICE INFORMATION             _x000D_
Brand: OnePlus_x000D_
Device: OnePlus7T_x000D_
Model: HD1900_x000D_
Id: _x000D_
Product: OnePlus7T_x000D_
_x000D_
             FIRMWARE             _x000D_
SDK: 29_x000D_
Release: 10_x000D_
Incremental: 1912060025_x000D_
_x000D_
  NOTE:   Be super sure to remove sensitive data like passwords  note that everybody can look here  You can use the Issue Template application to prefill some of the required information: https:  apps nextcloud com apps issuetemplate_x000D_
</t>
  </si>
  <si>
    <t>nextcloud-android-5165</t>
  </si>
  <si>
    <t>The client crashes every time when trying to change the remote directory under automatic upload</t>
  </si>
  <si>
    <t>_x000D_
    Actual behaviour_x000D_
The client crashes every time when trying to change the remote directory under automatic upload_x000D_
    Environment data_x000D_
_x000D_
             APP INFORMATION             _x000D_
ID: com nextcloud client_x000D_
Version: 30100052_x000D_
Build flavor: gplay_x000D_
_x000D_
             DEVICE INFORMATION             _x000D_
Brand: Lenovo_x000D_
Device: TB2 X30F_x000D_
Model: Lenovo TB2 X30F_x000D_
Id: LenovoTB2 X30F_x000D_
Product: TB2 X30F_x000D_
_x000D_
             FIRMWARE             _x000D_
SDK: 23_x000D_
Release: 6 0 1_x000D_
Incremental: TB2 X30F S000113 160816 ROW_x000D_
_x000D_
Nextcloud app version: 3 10 0 RC2_x000D_
_x000D_
Nextcloud server version: 17 0 2_x000D_
_x000D_
             CAUSE OF ERROR             _x000D_
_x000D_
java lang NullPointerException: Attempt to invoke interface method  android view MenuItem android view MenuItem setVisible(boolean)  on a null object reference_x000D_
	at com owncloud android ui fragment OCFileListFragment onPrepareOptionsMenu(OCFileListFragment java:796)_x000D_
	at androidx fragment app Fragment performPrepareOptionsMenu(Fragment java:2723)_x000D_
	at androidx fragment app FragmentManagerImpl dispatchPrepareOptionsMenu(FragmentManagerImpl java:2743)_x000D_
	at androidx fragment app FragmentController dispatchPrepareOptionsMenu(FragmentController java:398)_x000D_
	at androidx fragment app FragmentActivity onPreparePanel(FragmentActivity java:489)_x000D_
	at androidx appcompat view WindowCallbackWrapper onPreparePanel(WindowCallbackWrapper java:99)_x000D_
	at androidx appcompat app AppCompatDelegateImpl AppCompatWindowCallback onPreparePanel(AppCompatDelegateImpl java:2857)_x000D_
	at androidx appcompat view WindowCallbackWrapper onPreparePanel(WindowCallbackWrapper java:99)_x000D_
	at androidx appcompat app ToolbarActionBar ToolbarCallbackWrapper onPreparePanel(ToolbarActionBar java:522)_x000D_
	at androidx appcompat app ToolbarActionBar populateOptionsMenu(ToolbarActionBar java:456)_x000D_
	at androidx appcompat app ToolbarActionBar 1 run(ToolbarActionBar java:56)_x000D_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t>
  </si>
  <si>
    <t>nextcloud-android-5162</t>
  </si>
  <si>
    <t>App dev crashes on startup</t>
  </si>
  <si>
    <t xml:space="preserve">When starting the app  it crashes from versions dev 20200110 e0b77f9102f20980cabd2dbdd7b0ccc68f1bd51b and dev 20200112 09d98e16c5a252961867cbd7f6da0ca6b0caf021 _x000D_
_x000D_
    Environment data_x000D_
Android version: 6_x000D_
_x000D_
Nextcloud app version:_x000D_
dev 20200110 _x000D_
dev 20200112 </t>
  </si>
  <si>
    <t>nextcloud-android-5161</t>
  </si>
  <si>
    <t>[3.10 RC2] Trying to move folder crashes app</t>
  </si>
  <si>
    <t xml:space="preserve">    Steps to reproduce_x000D_
1  Press dots right from folder_x000D_
2  Choose Move _x000D_
3  App crashes_x000D_
_x000D_
    Expected behaviour_x000D_
  Folder choose dialog should appear_x000D_
_x000D_
    Actual behaviour_x000D_
  app crashes_x000D_
_x000D_
    Environment data_x000D_
Android version:_x000D_
9_x000D_
Device model: _x000D_
OnePlus 3T_x000D_
Stock or customized system:_x000D_
Stock_x000D_
Nextcloud app version:_x000D_
3 10 0 RC2_x000D_
Nextcloud server version:_x000D_
_x000D_
    Logs_x000D_
     App error log_x000D_
   _x000D_
             CAUSE OF ERROR             _x000D_
_x000D_
java lang NullPointerException: Attempt to invoke interface method  android view MenuItem android view MenuItem setVisible(boolean)  on a null object reference_x000D_
	at com owncloud android ui fragment OCFileListFragment onPrepareOptionsMenu(OCFileListFragment java:796)_x000D_
	at androidx fragment app Fragment performPrepareOptionsMenu(Fragment java:2723)_x000D_
	at androidx fragment app FragmentManagerImpl dispatchPrepareOptionsMenu(FragmentManagerImpl java:2743)_x000D_
	at androidx fragment app FragmentController dispatchPrepareOptionsMenu(FragmentController java:398)_x000D_
	at androidx fragment app FragmentActivity onPreparePanel(FragmentActivity java:489)_x000D_
	at androidx appcompat view WindowCallbackWrapper onPreparePanel(WindowCallbackWrapper java:99)_x000D_
	at androidx appcompat app AppCompatDelegateImpl AppCompatWindowCallback onPreparePanel(AppCompatDelegateImpl java:2857)_x000D_
	at androidx appcompat view WindowCallbackWrapper onPreparePanel(WindowCallbackWrapper java:99)_x000D_
	at androidx appcompat app ToolbarActionBar ToolbarCallbackWrapper onPreparePanel(ToolbarActionBar java:522)_x000D_
	at androidx appcompat app ToolbarActionBar populateOptionsMenu(ToolbarActionBar java:456)_x000D_
	at androidx appcompat app ToolbarActionBar 1 run(ToolbarActionBar java:56)_x000D_
	at android os Handler handleCallback(Handler java:873)_x000D_
	at android os Handler dispatchMessage(Handler java:99)_x000D_
	at android os Looper loop(Looper java:193)_x000D_
	at android app ActivityThread main(ActivityThread java:6863)_x000D_
	at java lang reflect Method invoke(Native Method)_x000D_
	at com android internal os RuntimeInit MethodAndArgsCaller run(RuntimeInit java:537)_x000D_
	at com android internal os ZygoteInit main(ZygoteInit java:858)_x000D_
_x000D_
             APP INFORMATION             _x000D_
ID: com nextcloud client_x000D_
Version: 30100052_x000D_
Build flavor: gplay_x000D_
_x000D_
             DEVICE INFORMATION             _x000D_
Brand: OnePlus_x000D_
Device: OnePlus3T_x000D_
Model: ONEPLUS A3010_x000D_
Id: PKQ1 181203 001_x000D_
Product: OnePlus3_x000D_
_x000D_
             FIRMWARE             _x000D_
SDK: 28_x000D_
Release: 9_x000D_
Incremental: 1911042108_x000D_
_x000D_
   </t>
  </si>
  <si>
    <t>nextcloud-android-5160</t>
  </si>
  <si>
    <t>Crash after changing themes</t>
  </si>
  <si>
    <t xml:space="preserve">    Steps to reproduce_x000D_
1  Open Nextcloud android sync client v3 10 0 rc2  _x000D_
2  Set theme to dark  then check how it looks  _x000D_
3  Change theme to follow system  it s still dark  _x000D_
4  Go to settings again and press theme   the client crashes  _x000D_
_x000D_
    Expected behaviour_x000D_
  Not crashing  _x000D_
_x000D_
    Actual behaviour_x000D_
  The client crashes  _x000D_
_x000D_
    Environment data_x000D_
Android version: Android 6  patch level may 5th 2017 _x000D_
_x000D_
Device model: Lenovo Tab 2 A10 70F_x000D_
_x000D_
Stock or customized system: Stock_x000D_
_x000D_
Nextcloud app version: 3 10 0 rc2_x000D_
_x000D_
Nextcloud server version: 17 0  2_x000D_
_x000D_
    Logs_x000D_
     Web server error log_x000D_
   _x000D_
Insert your webserver log here_x000D_
   _x000D_
_x000D_
     Nextcloud log (data nextcloud log)_x000D_
   _x000D_
             CAUSE OF ERROR             _x000D_
_x000D_
java lang RuntimeException: Unable to pause activity  com nextcloud client com owncloud android ui activity FileDisplayActivity : java lang IllegalArgumentException: Receiver not registered: de cotech hw internal transport usb UsbConnectionDispatcher 1 ee4640d_x000D_
	at android app ActivityThread performPauseActivity(ActivityThread java:3607)_x000D_
	at android app ActivityThread performPauseActivity(ActivityThread java:3562)_x000D_
	at android app ActivityThread handlePauseActivity(ActivityThread java:3537)_x000D_
	at android app ActivityThread  wrap13(ActivityThread java)_x000D_
	at android app ActivityThread H handleMessage(ActivityThread java:1510)_x000D_
	at android os Handler dispatchMessage(Handler java:111)_x000D_
	at android os Looper loop(Looper java:207)_x000D_
	at android app ActivityThread main(ActivityThread java:5765)_x000D_
	at java lang reflect Method invoke(Native Method)_x000D_
	at com android internal os ZygoteInit MethodAndArgsCaller run(ZygoteInit java:789)_x000D_
	at com android internal os ZygoteInit main(ZygoteInit java:679)_x000D_
Caused by: java lang IllegalArgumentException: Receiver not registered: de cotech hw internal transport usb UsbConnectionDispatcher 1 ee4640d_x000D_
	at android app LoadedApk forgetReceiverDispatcher(LoadedApk java:789)_x000D_
	at android app ContextImpl unregisterReceiver(ContextImpl java:1200)_x000D_
	at android content ContextWrapper unregisterReceiver(ContextWrapper java:576)_x000D_
	at de cotech hw internal transport usb UsbConnectionDispatcher onPause(UsbConnectionDispatcher java:118)_x000D_
	at de cotech hw SecurityKeyManager DispatcherActivityLifecycleCallbacks onActivityPaused(SecurityKeyManager java:289)_x000D_
	at android app Application dispatchActivityPaused(Application java:223)_x000D_
	at android app Activity onPause(Activity java:1475)_x000D_
	at androidx fragment app FragmentActivity onPause(FragmentActivity java:418)_x000D_
	at com owncloud android ui activity BaseActivity onPause(BaseActivity java:96)_x000D_
	at com owncloud android ui activity FileActivity onPause(FileActivity java:230)_x000D_
	at com owncloud android ui activity FileDisplayActivity onPause(FileDisplayActivity java:1286)_x000D_
	at android app Activity performPause(Activity java:6420)_x000D_
	at android app Instrumentation callActivityOnPause(Instrumentation java:1322)_x000D_
	at android app ActivityThread performPauseActivity(ActivityThread java:3589)_x000D_
	    10 more_x000D_
_x000D_
             APP INFORMATION             _x000D_
ID: com nextcloud client_x000D_
Version: 30100052_x000D_
Build flavor: gplay_x000D_
_x000D_
             DEVICE INFORMATION             _x000D_
Brand: Lenovo_x000D_
Device: A10 70F_x000D_
Model: Lenovo TAB 2 A10 70F_x000D_
Id: MRA58K_x000D_
Product: LenovoTAB2A10 70F_x000D_
_x000D_
             FIRMWARE             _x000D_
SDK: 23_x000D_
Release: 6 0_x000D_
Incremental: A10 70F S000216 170601 ROW_x000D_
_x000D_
   _x000D_
  NOTE:   Be super sure to remove sensitive data like passwords  note that everybody can look here  You can use the Issue Template application to prefill some of the required information: https:  apps nextcloud com apps issuetemplate_x000D_
</t>
  </si>
  <si>
    <t>rosenpin-always-on-amoled-2431</t>
  </si>
  <si>
    <t>transaction too large on notification posted</t>
  </si>
  <si>
    <t xml:space="preserve">I should probably not pass the notification drawable  I might need to pass the package name and infer the icon from that _x000D_
This is not the best solution since notification icons could not match the app icon but it will solve this crash _x000D_
_x000D_
   _x000D_
Caused by android os TransactionTooLargeException_x000D_
data parcel size 1141736 bytes_x000D_
android os BinderProxy transactNative (BinderProxy java)_x000D_
android content ContextWrapper sendBroadcast (ContextWrapper java:442)_x000D_
com tomer alwayson services NotificationListener onNotificationPosted (NotificationListener java:210)_x000D_
android service notification NotificationListenerService onNotificationPosted (NotificationListenerService java:317)_x000D_
   </t>
  </si>
  <si>
    <t>DigitalCampus-oppia-mobile-android-982</t>
  </si>
  <si>
    <t>App crashing when using back icon in course page</t>
  </si>
  <si>
    <t>I ve been testing v7 0 3 of the Academy app  and I keep getting an error message when I use the back arrow in the top left corner to navigate back to the home page from the course list  The error says  Unfortunately  Academy has stopped   When I click  Ok  I m taken back to the home page  so the app isn t crashing  but I tried restarting the app and the phone and continue to see the error message every time I try to navigate back from the course list _x000D_
_x000D_
      fix the bug_x000D_
      add a test for this</t>
  </si>
  <si>
    <t>martykan-forecastie-422</t>
  </si>
  <si>
    <t>App crash on opening graphs near Montreal, CA</t>
  </si>
  <si>
    <t xml:space="preserve">The app crashes whenever opening the charts for cities around Montreal  Canada  Cities tested so far are_x000D_
Montreal  CA_x000D_
Longueuil  CA_x000D_
Brossard  CA_x000D_
_x000D_
The charts have worked fine brfore  so I think this is related to the actual weather prediction _x000D_
There is a forecast of heavy icing rain in the coming days in that region  I m wondering if the predictions are causing the routine that plots the graphs to trigger a bug  _x000D_
The charts for Sherbrooke  CA are fine and that city appears to be slightly out of the impacted zone  </t>
  </si>
  <si>
    <t>nextcloud-android-5153</t>
  </si>
  <si>
    <t>Crash after start</t>
  </si>
  <si>
    <t xml:space="preserve">    Steps to reproduce_x000D_
0  Uninstall to get rid off old settings_x000D_
1  Install it_x000D_
2  Set it up_x000D_
3  Start it and wait a few seconds (scrolling triggers it too) _x000D_
4  Using the same server on a Huawei Mate 9 works_x000D_
_x000D_
    Expected behaviour_x000D_
  not crashing_x000D_
_x000D_
    Actual behaviour_x000D_
  crash_x000D_
_x000D_
    Dump_x000D_
             CAUSE OF ERROR             _x000D_
_x000D_
java lang IllegalStateException: Couldn t read row 985  col 0 from CursorWindow   Make sure the Cursor is initialized correctly before accessing data from it _x000D_
	at android database CursorWindow nativeGetLong(Native Method)_x000D_
	at android database CursorWindow getLong(CursorWindow java:513)_x000D_
	at android database AbstractWindowedCursor getLong(AbstractWindowedCursor java:75)_x000D_
	at com owncloud android providers FileContentProvider deleteDirectory(FileContentProvider java:173)_x000D_
	at com owncloud android providers FileContentProvider delete(FileContentProvider java:128)_x000D_
	at com owncloud android providers FileContentProvider deleteDirectory(FileContentProvider java:178)_x000D_
	at com owncloud android providers FileContentProvider delete(FileContentProvider java:128)_x000D_
	at com owncloud android providers FileContentProvider delete(FileContentProvider java:108)_x000D_
	at android content ContentProviderOperation apply(ContentProviderOperation java:299)_x000D_
	at com owncloud android providers FileContentProvider applyBatch(FileContentProvider java:662)_x000D_
	at android content ContentProvider Transport applyBatch(ContentProvider java:321)_x000D_
	at android content ContentProviderClient applyBatch(ContentProviderClient java:465)_x000D_
	at android content ContentResolver applyBatch(ContentResolver java:1599)_x000D_
	at com owncloud android datamodel FileDataStorageManager saveFolder(FileDataStorageManager java:408)_x000D_
	at com owncloud android operations RefreshFolderOperation synchronizeData(RefreshFolderOperation java:445)_x000D_
	at com owncloud android operations RefreshFolderOperation fetchAndSyncRemoteFolder(RefreshFolderOperation java:339)_x000D_
	at com owncloud android operations RefreshFolderOperation run(RefreshFolderOperation java:224)_x000D_
	at com owncloud android lib common operations RemoteOperation run(RemoteOperation java:299)_x000D_
	at java lang Thread run(Thread java:784)_x000D_
_x000D_
             APP INFORMATION             _x000D_
ID: com nextcloud client_x000D_
Version: 30090290_x000D_
Build flavor: gplay_x000D_
_x000D_
             DEVICE INFORMATION             _x000D_
Brand: HUAWEI_x000D_
Device: HWRNE_x000D_
Model: RNE L21_x000D_
Id: HUAWEIRNE L21_x000D_
Product: RNE L21_x000D_
_x000D_
             FIRMWARE             _x000D_
SDK: 26_x000D_
Release: 8 0 0_x000D_
Incremental: 346(C432)_x000D_
</t>
  </si>
  <si>
    <t>k9mail-k-9-4437</t>
  </si>
  <si>
    <t>[message rendering] IllegalStateException: Unable to create layer for FrameLayout</t>
  </si>
  <si>
    <t xml:space="preserve">    Expected behavior_x000D_
Show mail content_x000D_
_x000D_
    Actual behavior_x000D_
App crash_x000D_
_x000D_
    Steps to reproduce_x000D_
1  Open  buggy  mail _x000D_
2  If doesnt work open second time same mail _x000D_
3  App crash  Done_x000D_
_x000D_
    Environment_x000D_
K 9 Mail version:_x000D_
5 704_x000D_
Android version:_x000D_
9 0(GO EDITION)_x000D_
Account type :_x000D_
IMAP_x000D_
_x000D_
 k9 log txt (https:  github com k9mail k 9 files 4047766 k9 log txt)_x000D_
_x000D_
   Wybrane z tygodnia (aktualizacja) txt (https:  github com k9mail k 9 files 4047910 Wybrane z tygodnia aktualizacja txt)_x000D_
Changed from eml to txt </t>
  </si>
  <si>
    <t>microsoft-appcenter-sdk-android-1348</t>
  </si>
  <si>
    <t>Crash: StackOverflowError in CryptoUtils.java</t>
  </si>
  <si>
    <t xml:space="preserve">We are seeing a few crashes from our users that seem to be coming from within the AppCenter SDK   It seems to happen only on Android 6 0 1 _x000D_
_x000D_
In the  CryptoUtils java  file I do see the possibility for unlimited recursion  Perhaps it could be updated to put an artificial limit on the number of recursion steps _x000D_
_x000D_
Here is the stack trace:_x000D_
_x000D_
   _x000D_
android os Parcel nativeReadStrongBinder Parcel java_x000D_
android os Parcel readStrongBinder Parcel java:1687_x000D_
android os ServiceManagerProxy getService ServiceManagerNative java:124_x000D_
android os ServiceManager getService ServiceManager java:55_x000D_
android security KeyStore getInstance KeyStore java:173_x000D_
android security keystore AndroidKeyStoreCipherSpiBase  init  AndroidKeyStoreCipherSpiBase java:95_x000D_
android security keystore AndroidKeyStoreUnauthenticatedAESCipherSpi  init  AndroidKeyStoreUnauthenticatedAESCipherSpi java:107_x000D_
android security keystore AndroidKeyStoreUnauthenticatedAESCipherSpi CBC  init  AndroidKeyStoreUnauthenticatedAESCipherSpi java:64_x000D_
android security keystore AndroidKeyStoreUnauthenticatedAESCipherSpi CBC PKCS7Padding  init  AndroidKeyStoreUnauthenticatedAESCipherSpi java:75_x000D_
java lang Class newInstance Class java_x000D_
java security Provider Service newInstanceNoParameter Provider java:1126_x000D_
java security Provider Service newInstance Provider java:1095_x000D_
org apache harmony security fortress Engine getInstance Engine java:151_x000D_
javax crypto Cipher tryTransformWithProvider Cipher java:587_x000D_
javax crypto Cipher tryCombinations Cipher java:521_x000D_
javax crypto Cipher getCipher Cipher java:347_x000D_
javax crypto Cipher getInstance Cipher java:325_x000D_
javax crypto Cipher getInstance Cipher java:297_x000D_
com microsoft appcenter utils crypto CryptoUtils 1 getCipher CryptoUtils java:66_x000D_
com microsoft appcenter utils crypto CryptoAesHandler encrypt CryptoAesHandler java:51_x000D_
com microsoft appcenter utils crypto CryptoUtils encrypt CryptoUtils java:296_x000D_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crypto CryptoUtils encrypt CryptoUtils java:322_x000D_
com microsoft appcenter utils context AuthTokenContext setHistory AuthTokenContext java:385_x000D_
com microsoft appcenter utils context AuthTokenContext addTokenHistory AuthTokenContext java:225_x000D_
com microsoft appcenter utils context AuthTokenContext setAuthToken AuthTokenContext java:163_x000D_
com microsoft appcenter utils context AuthTokenContext finishInitialization AuthTokenContext java:146_x000D_
com microsoft appcenter AppCenter finishStartServices AppCenter java:961_x000D_
com microsoft appcenter AppCenter access 700 AppCenter java:60_x000D_
com microsoft appcenter AppCenter 8 run AppCenter java:871_x000D_
android os Handler handleCallback Handler java:739_x000D_
android os Handler dispatchMessage Handler java:95_x000D_
android os Looper loop Looper java:158_x000D_
android os HandlerThread run HandlerThread java:61_x000D_
   </t>
  </si>
  <si>
    <t>getsentry-sentry-java-809</t>
  </si>
  <si>
    <t>New version 1.7.29 doesn't work on API lower than 19</t>
  </si>
  <si>
    <t>On low level APIs it crashes on line _x000D_
   _x000D_
 io sentry Sentry init(AndroidSentryClientFactory(this))_x000D_
   _x000D_
With java lang NoClassDefFoundError: java util Objects</t>
  </si>
  <si>
    <t>nextcloud-android-5146</t>
  </si>
  <si>
    <t>Nextcloud app crash in background</t>
  </si>
  <si>
    <t xml:space="preserve">    Steps to reproduce_x000D_
1  Random background crash_x000D_
_x000D_
    Environment data_x000D_
Android version: 9_x000D_
_x000D_
Device model: Samsung Galaxy A50_x000D_
_x000D_
Stock or customized system: stock_x000D_
_x000D_
Nextcloud app version: 3 9 2_x000D_
_x000D_
Nextcloud server version: 13 0_x000D_
_x000D_
    Stacktrace_x000D_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hN 7vkQ1NjD 9540wVL9nw   base apk   nativeLibraryDirectories   data app com nextcloud client hN 7vkQ1NjD 9540wVL9nw   lib arm64   data app com nextcloud client hN 7vkQ1NjD 9540wVL9nw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30090290_x000D_
Build flavor: gplay_x000D_
_x000D_
             DEVICE INFORMATION             _x000D_
Brand: samsung_x000D_
Device: a50_x000D_
Model: SM A505FM_x000D_
Id: PPR1 180610 011_x000D_
Product: a50ser_x000D_
_x000D_
             FIRMWARE             _x000D_
SDK: 28_x000D_
Release: 9_x000D_
Incremental: A505FMPUU3ASL6_x000D_
   </t>
  </si>
  <si>
    <t>android-tv-samples-19</t>
  </si>
  <si>
    <t>[Leanback] Header State initialized with `HEADERS_HIDDEN` cause Fragment.getView() to not be null</t>
  </si>
  <si>
    <t xml:space="preserve">      Provide a general summary of the issue in the Title above    _x000D_
_x000D_
   Expected Behavior_x000D_
      If you re describing a bug  tell us what should happen    _x000D_
      If you re suggesting a change improvement  tell us how it should work    _x000D_
Reference:_x000D_
    Leanback  Android Application project (https:  github com android tv samples tree master Leanback)_x000D_
    com example android tvleanback ui MainFragment java  (https:  github com android tv samples blob master Leanback app src main java com example android tvleanback ui MainFragment java L146)_x000D_
_x000D_
App launched with  setHeaderState(HEADERS HIDDEN)  should hide the header and still display the rows _x000D_
_x000D_
   Current Behavior_x000D_
      If describing a bug  tell us what happens instead of the expected behavior    _x000D_
      If suggesting a change improvement  explain the difference from current behavior    _x000D_
On app launched  it is not displaying any items in the  MainFragment java  _x000D_
_x000D_
Pressing anything else on the D pad (e g  Press down)  it will crash the app with the logs below: _x000D_
_x000D_
   _x000D_
2020 01 10 18:23:40 662 32294 32294 com example android tvleanback E AndroidRuntime: FATAL EXCEPTION: main_x000D_
    Process: com example android tvleanback  PID: 32294_x000D_
    java lang NullPointerException: Attempt to invoke virtual method  android view View androidx fragment app Fragment getView()  on a null object reference_x000D_
        at androidx leanback app BrowseSupportFragment 4 onFocusSearch(BrowseSupportFragment java:1096)_x000D_
        at androidx leanback widget BrowseFrameLayout focusSearch(BrowseFrameLayout java:118)_x000D_
        at android view ViewGroup focusSearch(ViewGroup java:967)_x000D_
        at android view View focusSearch(View java:10171)_x000D_
        at android view ViewRootImpl ViewPostImeInputStage performFocusNavigation(ViewRootImpl java:4664)_x000D_
        at android view ViewRootImpl ViewPostImeInputStage processKeyEvent(ViewRootImpl java:4782)_x000D_
        at android view ViewRootImpl ViewPostImeInputStage onProcess(ViewRootImpl java:4605)_x000D_
        at android view ViewRootImpl InputStage deliver(ViewRootImpl java:4147)_x000D_
        at android view ViewRootImpl InputStage onDeliverToNext(ViewRootImpl java:4200)_x000D_
        at android view ViewRootImpl InputStage forward(ViewRootImpl java:4166)_x000D_
        at android view ViewRootImpl AsyncInputStage forward(ViewRootImpl java:4293)_x000D_
        at android view ViewRootImpl InputStage apply(ViewRootImpl java:4174)_x000D_
        at android view ViewRootImpl AsyncInputStage apply(ViewRootImpl java:4350)_x000D_
        at android view ViewRootImpl InputStage deliver(ViewRootImpl java:4147)_x000D_
        at android view ViewRootImpl InputStage onDeliverToNext(ViewRootImpl java:4200)_x000D_
        at android view ViewRootImpl InputStage forward(ViewRootImpl java:4166)_x000D_
        at android view ViewRootImpl InputStage apply(ViewRootImpl java:4174)_x000D_
        at android view ViewRootImpl InputStage deliver(ViewRootImpl java:4147)_x000D_
        at android view ViewRootImpl InputStage onDeliverToNext(ViewRootImpl java:4200)_x000D_
        at android view ViewRootImpl InputStage forward(ViewRootImpl java:4166)_x000D_
        at android view ViewRootImpl AsyncInputStage forward(ViewRootImpl java:4326)_x000D_
        at android view ViewRootImpl ImeInputStage onFinishedInputEvent(ViewRootImpl java:4487)_x000D_
        at android view inputmethod InputMethodManager PendingEvent run(InputMethodManager java:2435)_x000D_
        at android view inputmethod InputMethodManager invokeFinishedInputEventCallback(InputMethodManager java:1998)_x000D_
        at android view inputmethod InputMethodManager finishedInputEvent(InputMethodManager java:1989)_x000D_
        at android view inputmethod InputMethodManager ImeInputEventSender onInputEventFinished(InputMethodManager java:2412)_x000D_
        at android view InputEventSender dispatchInputEventFinished(InputEventSender java:141)_x000D_
        at android os MessageQueue nativePollOnce(Native Method)_x000D_
        at android os MessageQueue next(MessageQueue java:325)_x000D_
        at android os Looper loop(Looper java:142)_x000D_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Note_x000D_
Pressing left D pad will open the Header and start to display the items _x000D_
_x000D_
   Possible Solution_x000D_
      Not obligatory  but suggest a fix reason for the bug     _x000D_
      or ideas how to implement the addition or change    _x000D_
_x000D_
   Steps to Reproduce (for bugs)_x000D_
      Provide a link to a live example  or an unambiguous set of steps to    _x000D_
      reproduce this bug  Include code to reproduce  if relevant    _x000D_
In https:  github com android tv samples blob master Leanback app src main java com example android tvleanback ui MainFragment java L146_x000D_
_x000D_
Change  setHeadersState(HEADERS ENABLED)   to  setHeadersState(HEADERS HIDDEN)  _x000D_
_x000D_
   diff_x000D_
    private void setupUIElements()  _x000D_
        setBadgeDrawable(_x000D_
                getActivity() getResources() getDrawable(R drawable videos by google banner  null)) _x000D_
        setTitle(getString(R string browse title))     Badge  when set  takes precedent over title_x000D_
        setHeadersState(HEADERS ENABLED) _x000D_
        setHeadersState(HEADERS HIDDEN) _x000D_
        setHeadersTransitionOnBackEnabled(true) _x000D_
   _x000D_
_x000D_
   Context_x000D_
      How has this issue affected you  What are you trying to accomplish     _x000D_
      Providing context helps us come up with a solution that is most useful in the real world    _x000D_
_x000D_
We would like to launch the App without the header _x000D_
_x000D_
   Your Environment_x000D_
      Include as many relevant details about the environment you experienced the bug in    _x000D_
Build_x000D_
  Compiled Android SDK version 28_x000D_
   androidx leanback:leanback:1 0 0 _x000D_
_x000D_
Running on_x000D_
  Android version 8 1 0_x000D_
  Xiaomi TV box (Android TV)_x000D_
</t>
  </si>
  <si>
    <t>nextcloud-android-5142</t>
  </si>
  <si>
    <t>Crash when sharing directory on External storage</t>
  </si>
  <si>
    <t xml:space="preserve">    Steps to reproduce_x000D_
1  Tried share a folder  The folder is on a Nas external drive_x000D_
2  The app crashes_x000D_
3  _x000D_
_x000D_
    Expected behaviour_x000D_
  Tell us what should happen_x000D_
Allows me to share by link_x000D_
    Actual behaviour_x000D_
  Tell us what happens_x000D_
Crash_x000D_
    Environment data_x000D_
Android version:_x000D_
9_x000D_
Device model: _x000D_
Huawei p30 pro_x000D_
_x000D_
Stock or customized system:_x000D_
Stock_x000D_
_x000D_
Nextcloud app version:_x000D_
3 10 0 rc1_x000D_
_x000D_
Nextcloud server version:_x000D_
17 0 1_x000D_
    Logs_x000D_
             APP INFORMATION             _x000D_
ID: com nextcloud client_x000D_
Version: 30100051_x000D_
Build flavor: gplay_x000D_
_x000D_
             DEVICE INFORMATION             _x000D_
Brand: HUAWEI_x000D_
Device: HWVOG_x000D_
Model: VOG L29_x000D_
Id: HUAWEIVOG L29_x000D_
Product: VOG L29EEA_x000D_
_x000D_
             FIRMWARE             _x000D_
SDK: 28_x000D_
Release: 9_x000D_
Incremental: 9 1 0 260C431_x000D_
_x000D_
             CAUSE OF ERROR             _x000D_
_x000D_
kotlin UninitializedPropertyAccessException: lateinit property response has not been initialized_x000D_
	at com nextcloud common OkHttpMethodBase releaseConnection(OkHttpMethodBase kt:68)_x000D_
	at com owncloud android lib resources activities GetActivitiesRemoteOperation run(GetActivitiesRemoteOperation java:158)_x000D_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run(Unknown Source:12)_x000D_
	at java lang Thread run(Thread java:784)_x000D_
_x000D_
             APP INFORMATION             _x000D_
ID: com nextcloud client_x000D_
Version: 30100051_x000D_
Build flavor: gplay_x000D_
_x000D_
             DEVICE INFORMATION             _x000D_
Brand: HUAWEI_x000D_
Device: HWVOG_x000D_
Model: VOG L29_x000D_
Id: HUAWEIVOG L29_x000D_
Product: VOG L29EEA_x000D_
_x000D_
             FIRMWARE             _x000D_
SDK: 28_x000D_
Release: 9_x000D_
Incremental: 9 1 0 260C431_x000D_
_x000D_
</t>
  </si>
  <si>
    <t>nextcloud-android-5137</t>
  </si>
  <si>
    <t>Error at starting the app</t>
  </si>
  <si>
    <t xml:space="preserve">    Steps to reproduce_x000D_
1  I ve just started my app (using it for some months now)_x000D_
_x000D_
    Expected behaviour_x000D_
I expect my app to start but it crashes while trying to update content from the server _x000D_
_x000D_
    Actual behaviour_x000D_
The app crashes while trying to update the content from server _x000D_
_x000D_
    Server version_x000D_
17 0 1_x000D_
_x000D_
    Mobile info and logs_x000D_
   _x000D_
             CAUSE OF ERROR             _x000D_
_x000D_
java lang NullPointerException: Attempt to invoke virtual method  android os Message android os MessageQueue next()  on a null object reference_x000D_
	at android os Looper loop(Looper java:135)_x000D_
	at android app ActivityThread main(ActivityThread java:5525)_x000D_
	at java lang reflect Method invoke(Native Method)_x000D_
	at com android internal os ZygoteInit MethodAndArgsCaller run(ZygoteInit java:730)_x000D_
	at com android internal os ZygoteInit main(ZygoteInit java:620)_x000D_
_x000D_
             APP INFORMATION             _x000D_
ID: com nextcloud client_x000D_
Version: 30090290_x000D_
Build flavor: gplay_x000D_
_x000D_
             DEVICE INFORMATION             _x000D_
Brand: lge_x000D_
Device: p1_x000D_
Model: LG H812_x000D_
Id: MRA58K_x000D_
Product: p1 vtr ca_x000D_
_x000D_
             FIRMWARE             _x000D_
SDK: 23_x000D_
Release: 6 0_x000D_
Incremental: 162351557bde6_x000D_
   _x000D_
_x000D_
</t>
  </si>
  <si>
    <t>nextcloud-android-5131</t>
  </si>
  <si>
    <t>Nextcloud app crashes under work profile on Huawei P30 with EMUI 9.1</t>
  </si>
  <si>
    <t xml:space="preserve">    Steps to reproduce_x000D_
1  open nextcloud app_x000D_
2  login_x000D_
3  app crashes_x000D_
_x000D_
    Expected behaviour_x000D_
  Tell us what should happen_x000D_
the app should show the server content_x000D_
    Actual behaviour_x000D_
  Tell us what happens_x000D_
App crashes_x000D_
    Environment data_x000D_
Android version: 9 1_x000D_
_x000D_
Device model: Huawei P30_x000D_
_x000D_
Stock or customized system: EMUI 9 1_x000D_
_x000D_
Nextcloud app version: 3 9 2_x000D_
_x000D_
Nextcloud server version: 12_x000D_
_x000D_
    Logs_x000D_
     Web server error log_x000D_
   _x000D_
Insert your webserver log here_x000D_
   _x000D_
_x000D_
     Nextcloud log (data nextcloud log)_x000D_
   _x000D_
             CAUSE OF ERROR             _x000D_
_x000D_
java lang RuntimeException: Error receiving broadcast Intent   act com owncloud android operations RefreshFolderOperation EVENT SINGLE FOLDER CONTENTS SYNCED flg 0x2010 pkg com nextcloud client (has extras)   in com owncloud android ui activity FileDisplayActivity SyncBroadcastReceiver f3222db_x000D_
	at android app LoadedApk ReceiverDispatcher Args lambda getRunnable 0(LoadedApk java:1546)_x000D_
	at android app    Lambda LoadedApk ReceiverDispatcher Args  BumDX2UKsnxLVrE6UJsJZkotuA run(Unknown Source:2)_x000D_
	at android os Handler handleCallback(Handler java:907)_x000D_
	at android os Handler dispatchMessage(Handler java:105)_x000D_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Caused by: java lang SecurityException: Permission Denial: unbroadcastIntent() from pid 3426  uid 1010340 requires android permission BROADCAST STICKY_x000D_
	at android os Parcel createException(Parcel java:1953)_x000D_
	at android os Parcel readException(Parcel java:1921)_x000D_
	at android os Parcel readException(Parcel java:1871)_x000D_
	at android app IActivityManager Stub Proxy unbroadcastIntent(IActivityManager java:3897)_x000D_
	at android app ContextImpl removeStickyBroadcast(ContextImpl java:1556)_x000D_
	at android content ContextWrapper removeStickyBroadcast(ContextWrapper java:588)_x000D_
	at com owncloud android ui activity FileDisplayActivity SyncBroadcastReceiver onReceive(FileDisplayActivity java:1415)_x000D_
	at android app LoadedApk ReceiverDispatcher Args lambda getRunnable 0(LoadedApk java:1533)_x000D_
	    8 more_x000D_
_x000D_
             APP INFORMATION             _x000D_
ID: com nextcloud client_x000D_
Version: 30090290_x000D_
Build flavor: gplay_x000D_
_x000D_
             DEVICE INFORMATION             _x000D_
Brand: HUAWEI_x000D_
Device: HWELE_x000D_
Model: ELE L29_x000D_
Id: HUAWEIELE L29_x000D_
Product: ELE L29EEA_x000D_
_x000D_
             FIRMWARE             _x000D_
SDK: 28_x000D_
Release: 9_x000D_
Incremental: 9 1 0 260C431_x000D_
_x000D_
   _x000D_
  NOTE:   Be super sure to remove sensitive data like passwords  note that everybody can look here  You can use the Issue Template application to prefill some of the required information: https:  apps nextcloud com apps issuetemplate_x000D_
</t>
  </si>
  <si>
    <t>TeamNewPipe-NewPipe-2940</t>
  </si>
  <si>
    <t>Formatter crash due to urdu alphabet</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</si>
  <si>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Urdu strings import soundcloud instructions and did you mean are causing crash _x000D_
Here is the crash log : _x000D_
_x000D_
   Exception_x000D_
    User Action:   ui error_x000D_
    Request:   App crash  UI failure_x000D_
    Content Language:   GB_x000D_
    Service:   none_x000D_
    Version:   0 18 0_x000D_
    OS:   Linux Android 8 1 0   27_x000D_
_x000D_
_x000D_
 details  summary  b Crash log  b   summary  p _x000D_
_x000D_
   _x000D_
java util UnknownFormatConversionException: Conversion    End of String _x000D_
	at java util Formatter FormatSpecifierParser peek(Formatter java:2641)_x000D_
	at java util Formatter FormatSpecifierParser  init (Formatter java:2602)_x000D_
	at java util Formatter parse(Formatter java:2557)_x000D_
	at java util Formatter format(Formatter java:2504)_x000D_
	at java util Formatter format(Formatter java:2458)_x000D_
	at java lang String format(String java:2770)_x000D_
	at androidx preference ListPreference getSummary(ListPreference java:178)_x000D_
	at androidx preference Preference onBindViewHolder(Preference java:584)_x000D_
	at androidx preference PreferenceGroupAdapter onBindViewHolder(PreferenceGroupAdapter java:381)_x000D_
	at androidx preference PreferenceGroupAdapter onBindViewHolder(PreferenceGroupAdapter java:45)_x000D_
	at androidx recyclerview widget RecyclerView Adapter onBindViewHolder(RecyclerView java:6781)_x000D_
	at androidx recyclerview widget RecyclerView Adapter bindViewHolder(RecyclerView java:6823)_x000D_
	at androidx recyclerview widget RecyclerView Recycler tryBindViewHolderByDeadline(RecyclerView java:5752)_x000D_
	at androidx recyclerview widget RecyclerView Recycler tryGetViewHolderForPositionByDeadline(RecyclerView java:6019)_x000D_
	at androidx recyclerview widget GapWorker prefetchPositionWithDeadline(GapWorker java:286)_x000D_
	at androidx recyclerview widget GapWorker flushTaskWithDeadline(GapWorker java:343)_x000D_
	at androidx recyclerview widget GapWorker flushTasksWithDeadline(GapWorker java:359)_x000D_
	at androidx recyclerview widget GapWorker prefetch(GapWorker java:366)_x000D_
	at androidx recyclerview widget GapWorker run(GapWorker java:397)_x000D_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p   details _x000D_
 hr _x000D_
I exactly know why it s crashing  but can t fix it (alphabet weirdies)_x000D_
_x000D_
The string in english :     string name  did you mean  Did you mean:  1 s    string    _x000D_
In urdu :     string name  did you mean                    :  1 s     string    _x000D_
as you can see  1 s is not in the right order_x000D_
_x000D_
same for import soundcloud instructions : _x000D_
English :     string name  import soundcloud instructions  Import a SoundCloud profile by typing either the URL or your ID: n n1  Enable   desktop mode   in a web browser (the site is not available for mobile devices) n2  Go to this URL:  1 s n3  Log in when asked n4  Copy the profile URL you were redirected to   string    _x000D_
Urdu : _x000D_
    string name  import soundcloud instructions  URL          ID               SoundCloud                   :_x000D_
 n_x000D_
 n1                                               (                                      )_x000D_
 n2     URL         :  1   s_x000D_
 n3                           _x000D_
 n4                                                          string    _x000D_
_x000D_
If someone succes to make  1 s in the right order  it will be fixed </t>
  </si>
  <si>
    <t>nextcloud-android-5126</t>
  </si>
  <si>
    <t>Crash Log</t>
  </si>
  <si>
    <t>A few months ago  NC crashed with the  message below _x000D_
I don t use NC anymore  so I don t care if you fix it  but I thought it might the helpful to you _x000D_
             CAUSE OF ERROR             _x000D_
_x000D_
java lang IllegalStateException: Can not perform this action after onSaveInstanceState_x000D_
	at androidx fragment app FragmentManagerImpl checkStateLoss(FragmentManagerImpl java:1536)_x000D_
	at androidx fragment app FragmentManagerImpl enqueueAction(FragmentManagerImpl java:1558)_x000D_
	at androidx fragment app BackStackRecord commitInternal(BackStackRecord java:317)_x000D_
	at androidx fragment app BackStackRecord commit(BackStackRecord java:282)_x000D_
	at androidx fragment app DialogFragment show(DialogFragment java:172)_x000D_
	at com owncloud android ui activity FileActivity showLoadingDialog(FileActivity java:501)_x000D_
	at com owncloud android ui helpers FileOperationsHelper lambda syncFile 1 FileOperationsHelper(FileOperationsHelper java:239)_x000D_
	at com owncloud android ui helpers    Lambda FileOperationsHelper 6veiwPPVcnDkYiDbC hH1dHAJ4s run(Unknown Source:2)_x000D_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_x000D_
             APP INFORMATION             _x000D_
ID: com nextcloud client_x000D_
Version: 30090290_x000D_
Build flavor: gplay_x000D_
_x000D_
             DEVICE INFORMATION             _x000D_
Brand: OnePlus_x000D_
Device: OnePlus3_x000D_
Model: ONEPLUS A3003_x000D_
Id: PQ3A 190801 002_x000D_
Product: lineage oneplus3_x000D_
_x000D_
             FIRMWARE             _x000D_
SDK: 28_x000D_
Release: 9_x000D_
Incremental: 2c68844f02</t>
  </si>
  <si>
    <t>ostrya-PresencePublisher-21</t>
  </si>
  <si>
    <t>v2.0.0 crashes on startup</t>
  </si>
  <si>
    <t xml:space="preserve">It says I must enable location services (which wasn t necessary before) and then crashes   I would add some logs  but it doesn t stay up long enough to get any _x000D_
Sony Z5 Compact   Android 5 1 1_x000D_
</t>
  </si>
  <si>
    <t>stefan-niedermann-nextcloud-notes-669</t>
  </si>
  <si>
    <t>App crashes when select folder</t>
  </si>
  <si>
    <t xml:space="preserve">Since the last two updates everytime I choose a folder the app crashed _x000D_
It leaves a message as follows:_x000D_
_x000D_
   _x000D_
Version: 2 4 0_x000D_
_x000D_
java lang NullPointerException: Attempt to invoke virtual method  boolean java lang Object equals(java lang Object)  on a null object reference_x000D_
	at it niedermann owncloud notes android activity NotesListViewActivity 3 selectItem(NotesListViewActivity java:391)_x000D_
	at it niedermann owncloud notes android activity NotesListViewActivity 3 onItemClick(NotesListViewActivity java:380)_x000D_
	at it niedermann owncloud notes model NavigationAdapter ViewHolder lambda new 1 NavigationAdapter ViewHolder(NavigationAdapter java:77)_x000D_
	at it niedermann owncloud notes model    Lambda NavigationAdapter ViewHolder OkYHxuu6q bonF1t PKsj8z8N5U onClick(Unknown Source:4)_x000D_
	at android view View performClick(View java:6597)_x000D_
	at android view View performClickInternal(View java:6574)_x000D_
	at android view View access 3100(View java:778)_x000D_
	at android view View PerformClick run(View java:25889)_x000D_
	at android os Handler handleCallback(Handler java:873)_x000D_
	at android os Handler dispatchMessage(Handler java:99)_x000D_
	at android os Looper loop(Looper java:193)_x000D_
	at android app ActivityThread main(ActivityThread java:6692)_x000D_
	at java lang reflect Method invoke(Native Method)_x000D_
	at com android internal os RuntimeInit MethodAndArgsCaller run(RuntimeInit java:493)_x000D_
	at com android internal os ZygoteInit main(ZygoteInit java:858)_x000D_
   (null)_x000D_
   </t>
  </si>
  <si>
    <t>stefan-niedermann-nextcloud-notes-668</t>
  </si>
  <si>
    <t>Empty two-digit numbered-list item crashes application</t>
  </si>
  <si>
    <t xml:space="preserve">This is a curious bug    The application reproducibly crashes when previewing a note that contains a numbered list  given the following two constraints:_x000D_
  The number of the last list item has at least two digits _x000D_
  That last list item contains no actual text _x000D_
_x000D_
    Affected version_x000D_
Nextcloud Notes 2 4 0 from F Droid_x000D_
_x000D_
    How to reproduce_x000D_
1  Create a new note _x000D_
2  Insert the following text into the note (yes  that s only three characters  ):_x000D_
   md_x000D_
10 _x000D_
   _x000D_
3  Tap the preview button ( ) _x000D_
4  Witness the application go down in flames _x000D_
_x000D_
The above text is a minimal example  The crash is reproducible with arbitrary numbered lists as long as the aforementioned constraints are fulfilled _x000D_
_x000D_
    Stack trace_x000D_
   _x000D_
Version: 2 4 0_x000D_
_x000D_
java lang StringIndexOutOfBoundsException: length 3  index 3_x000D_
	at java lang String charAt(Native Method)_x000D_
	at com yydcdut markdown syntax text ListSyntax checkOrderLegal(ListSyntax java:120)_x000D_
	at com yydcdut markdown syntax text ListSyntax isMatch(ListSyntax java:48)_x000D_
	at com yydcdut markdown chain MultiSyntaxChain handleSyntax(MultiSyntaxChain java:45)_x000D_
	at com yydcdut markdown syntax text TextFactory parseTotal(TextFactory java:205)_x000D_
	at com yydcdut markdown syntax text TextFactory parse(TextFactory java:199)_x000D_
	at com yydcdut markdown MarkdownProcessor parse(MarkdownProcessor java:47)_x000D_
	at it niedermann owncloud notes android fragment NotePreviewFragment onActivityCreated(NotePreviewFragment java:121)_x000D_
	at android app Fragment performActivityCreated(Fragment java:2362)_x000D_
	at android app FragmentManagerImpl moveToState(FragmentManager java:1014)_x000D_
	at android app FragmentManagerImpl moveToState(FragmentManager java:1171)_x000D_
	at android app BackStackRecord run(BackStackRecord java:816)_x000D_
	at android app FragmentManagerImpl execPendingActions(FragmentManager java:1578)_x000D_
	at android app FragmentManagerImpl 1 run(FragmentManager java:483)_x000D_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_x000D_
   </t>
  </si>
  <si>
    <t>cgeo-cgeo-8062</t>
  </si>
  <si>
    <t>changing storage location crashes with android.view.InflateException: Binary XML file line #44: Error inflating class &lt;unknown&gt;</t>
  </si>
  <si>
    <t xml:space="preserve">  Describe the bug:  _x000D_
cgeo crashes when I try to move data to the SD Card_x000D_
_x000D_
  To Reproduce:  _x000D_
Steps to reproduce the behavior:_x000D_
_x000D_
Go to Settings    Offline Data    Select Geocache data directory and select the SD Card_x000D_
_x000D_
  Actual behavior state after performing these steps:  _x000D_
_x000D_
_x000D_
   _x000D_
01 07 18:23:17 369 11803 11803 D AndroidRuntime: Shutting down VM_x000D_
01 07 18:23:17 374 11803 11803 E AndroidRuntime: FATAL EXCEPTION: main_x000D_
01 07 18:23:17 374 11803 11803 E AndroidRuntime: Process: cgeo geocaching  PID: 11803_x000D_
01 07 18:23:17 374 11803 11803 E AndroidRuntime: android view InflateException: Binary XML file line  26: Binary XML file line  44: Error inflating class  unknown _x000D_
01 07 18:23:17 374 11803 11803 E AndroidRuntime: Caused by: android view InflateException: Binary XML file line  44: Error inflating class  unknown _x000D_
01 07 18:23:17 374 11803 11803 E AndroidRuntime: Caused by: java lang reflect InvocationTargetException_x000D_
01 07 18:23:17 374 11803 11803 E AndroidRuntime: 	at java lang reflect Constructor newInstance0(Native Method)_x000D_
01 07 18:23:17 374 11803 11803 E AndroidRuntime: 	at java lang reflect Constructor newInstance(Constructor java:430)_x000D_
01 07 18:23:17 374 11803 11803 E AndroidRuntime: 	at android view LayoutInflater createView(LayoutInflater java:645)_x000D_
01 07 18:23:17 374 11803 11803 E AndroidRuntime: 	at android view LayoutInflater createViewFromTag(LayoutInflater java:787)_x000D_
01 07 18:23:17 374 11803 11803 E AndroidRuntime: 	at android view LayoutInflater createViewFromTag(LayoutInflater java:727)_x000D_
01 07 18:23:17 374 11803 11803 E AndroidRuntime: 	at android view LayoutInflater rInflate(LayoutInflater java:858)_x000D_
01 07 18:23:17 374 11803 11803 E AndroidRuntime: 	at android view LayoutInflater rInflateChildren(LayoutInflater java:821)_x000D_
01 07 18:23:17 374 11803 11803 E AndroidRuntime: 	at android view LayoutInflater rInflate(LayoutInflater java:861)_x000D_
01 07 18:23:17 374 11803 11803 E AndroidRuntime: 	at android view LayoutInflater rInflateChildren(LayoutInflater java:821)_x000D_
01 07 18:23:17 374 11803 11803 E AndroidRuntime: 	at android view LayoutInflater parseInclude(LayoutInflater java:994)_x000D_
01 07 18:23:17 374 11803 11803 E AndroidRuntime: 	at android view LayoutInflater rInflate(LayoutInflater java:854)_x000D_
01 07 18:23:17 374 11803 11803 E AndroidRuntime: 	at android view LayoutInflater rInflateChildren(LayoutInflater java:821)_x000D_
01 07 18:23:17 374 11803 11803 E AndroidRuntime: 	at android view LayoutInflater inflate(LayoutInflater java:518)_x000D_
01 07 18:23:17 374 11803 11803 E AndroidRuntime: 	at android view LayoutInflater inflate(LayoutInflater java:426)_x000D_
01 07 18:23:17 374 11803 11803 E AndroidRuntime: 	at android view LayoutInflater inflate(LayoutInflater java:377)_x000D_
01 07 18:23:17 374 11803 11803 E AndroidRuntime: 	at com android internal policy PhoneWindow setContentView(PhoneWindow java:412)_x000D_
01 07 18:23:17 374 11803 11803 E AndroidRuntime: 	at com android internal app AlertController installContent(AlertController java:252)_x000D_
01 07 18:23:17 374 11803 11803 E AndroidRuntime: 	at android app AlertDialog onCreate(AlertDialog java:423)_x000D_
01 07 18:23:17 374 11803 11803 E AndroidRuntime: 	at android app ProgressDialog onCreate(ProgressDialog java:198)_x000D_
01 07 18:23:17 374 11803 11803 E AndroidRuntime: 	at android app Dialog dispatchOnCreate(Dialog java:395)_x000D_
01 07 18:23:17 374 11803 11803 E AndroidRuntime: 	at android app Dialog show(Dialog java:294)_x000D_
01 07 18:23:17 374 11803 11803 E AndroidRuntime: 	at cgeo geocaching activity Progress show(Progress java:55)_x000D_
01 07 18:23:17 374 11803 11803 E AndroidRuntime: 	at cgeo geocaching storage LocalStorage changeExternalPrivateCgeoDir(LocalStorage java:340)_x000D_
01 07 18:23:17 374 11803 11803 E AndroidRuntime: 	at cgeo geocaching settings SettingsActivity lambda null 4 SettingsActivity(SettingsActivity java:334)_x000D_
01 07 18:23:17 374 11803 11803 E AndroidRuntime: 	at cgeo geocaching settings    Lambda SettingsActivity xe5YyUxpWGDqicGAfhf2okVoqDw onClick(lambda)_x000D_
01 07 18:23:17 374 11803 11803 E AndroidRuntime: 	at com android internal app AlertController ButtonHandler handleMessage(AlertController java:166)_x000D_
01 07 18:23:17 374 11803 11803 E AndroidRuntime: 	at android os Handler dispatchMessage(Handler java:102)_x000D_
01 07 18:23:17 374 11803 11803 E AndroidRuntime: 	at android os Looper loop(Looper java:154)_x000D_
01 07 18:23:17 374 11803 11803 E AndroidRuntime: 	at android app ActivityThread main(ActivityThread java:6119)_x000D_
01 07 18:23:17 374 11803 11803 E AndroidRuntime: 	at java lang reflect Method invoke(Native Method)_x000D_
01 07 18:23:17 374 11803 11803 E AndroidRuntime: 	at com android internal os ZygoteInit MethodAndArgsCaller run(ZygoteInit java:886)_x000D_
01 07 18:23:17 374 11803 11803 E AndroidRuntime: 	at com android internal os ZygoteInit main(ZygoteInit java:776)_x000D_
01 07 18:23:17 374 11803 11803 E AndroidRuntime: Caused by: java lang UnsupportedOperationException: Failed to resolve attribute at index 3: TypedValue t 0x2 d 0x1010036 a 1 _x000D_
01 07 18:23:17 374 11803 11803 E AndroidRuntime: 	at android content res TypedArray getColorStateList(TypedArray java:528)_x000D_
01 07 18:23:17 374 11803 11803 E AndroidRuntime: 	at android widget TextView  init (TextView java:775)_x000D_
01 07 18:23:17 374 11803 11803 E AndroidRuntime: 	at android widget TextView  init (TextView java:704)_x000D_
01 07 18:23:17 374 11803 11803 E AndroidRuntime: 	at android widget TextView  init (TextView java:700)_x000D_
01 07 18:23:17 374 11803 11803 E AndroidRuntime: 	at com android internal widget DialogTitle  init (DialogTitle java:41)_x000D_
01 07 18:23:17 374 11803 11803 E AndroidRuntime: 	    32 more_x000D_
01 07 18:23:17 384  2774 18032 W ActivityManager:   Force finishing activity cgeo geocaching  settings SettingsActivity_x000D_
01 07 18:23:17 405  2774 18032 D ActivityTrigger: ActivityTrigger activityPauseTrigger _x000D_
01 07 18:23:17 406  2774 11996 W DropBoxManagerService: Dropping: data app crash (3148   0 bytes)_x000D_
_x000D_
   _x000D_
_x000D_
_x000D_
  Expected behavior state after performing these steps:  _x000D_
_x000D_
I expected the app to do anything but crash _x000D_
_x000D_
  Version of c:geo used:  _x000D_
_x000D_
2019 12 30 from f droid_x000D_
_x000D_
  Is the problem reproducible:  _x000D_
Yes  100   all the time _x000D_
_x000D_
_x000D_
  System information:  _x000D_
   _x000D_
    System information    _x000D_
Device: Aquaris X5 Plus (Aquaris X5 Plus  bq)_x000D_
Android version: 7 1 1_x000D_
Android build: 2 7 0 20181002 1711_x000D_
c:geo version: 2019 12 30_x000D_
Google Play services: enabled   19 8 31 (040308 284611645)_x000D_
Low power mode: inactive_x000D_
Compass capabilities: yes_x000D_
Rotation vector sensor: present_x000D_
Orientation sensor: present_x000D_
Magnetometer   Accelerometer sensor: present_x000D_
Direction sensor used: rotation vector_x000D_
Hide own found: false_x000D_
HW acceleration: enabled (default state)_x000D_
System language: en GB_x000D_
System date format: dd MM y_x000D_
Debug mode active: no_x000D_
System internal c:geo dir:  data user 0 cgeo geocaching (629 2 MB free) internal_x000D_
User storage c:geo dir:  storage emulated 0 cgeo (629 2 MB free) external non removable_x000D_
Geocache data:  storage emulated 0 Android data cgeo geocaching files GeocacheData (629 2 MB free) external non removable_x000D_
Database:  storage emulated 0 Android data cgeo geocaching files databases data (4 6 MB) on user storage_x000D_
Fine location permission: granted_x000D_
Write external storage permission: granted_x000D_
Geocaching sites enabled:_x000D_
   geocaching com: Logged in (Login OK)   BASIC_x000D_
   opencaching de: Logged in (Login OK)_x000D_
Geocaching com date format: d  M  yyyy_x000D_
Installed c:geo plugins:  none_x000D_
    End of system information    _x000D_
   _x000D_
_x000D_
  Additional context:  _x000D_
</t>
  </si>
  <si>
    <t>aws-amplify-amplify-android-221</t>
  </si>
  <si>
    <t>[API] Gson serializer does not handle timezone offset in seconds</t>
  </si>
  <si>
    <t xml:space="preserve"> AWSDate  supports seconds field in the timezone offset  which is not supported by ISO8601 format  This causes Gson to fail to parse date such as  1970 01 01 01:00:00   _x000D_
_x000D_
Sample code to reproduce:_x000D_
   _x000D_
Gson gson   new Gson() _x000D_
gson fromJson(   1970 01 01 01:00:00     Date class) _x000D_
   _x000D_
_x000D_
logcat report from integration test (breaks CircleCI workflow):_x000D_
   _x000D_
              beginning of crash_x000D_
2020 01 06 16:59:13 548 31371 31406 com amplifyframework api aws test E AndroidRuntime: FATAL EXCEPTION: OkHttp Dispatcher_x000D_
    Process: com amplifyframework api aws test  PID: 31371_x000D_
    com google gson JsonSyntaxException: 1970 01 01 07:00:39_x000D_
        at com google gson internal bind DateTypeAdapter deserializeToDate(DateTypeAdapter java:87)_x000D_
        at com google gson internal bind DateTypeAdapter read(DateTypeAdapter java:75)_x000D_
        at com google gson internal bind DateTypeAdapter read(DateTypeAdapter java:46)_x000D_
        at com google gson internal bind ReflectiveTypeAdapterFactory 1 read(ReflectiveTypeAdapterFactory java:131)_x000D_
        at com google gson internal bind ReflectiveTypeAdapterFactory Adapter read(ReflectiveTypeAdapterFactory java:222)_x000D_
        at com google gson Gson fromJson(Gson java:932)_x000D_
        at com google gson Gson fromJson(Gson java:1003)_x000D_
        at com google gson Gson fromJson(Gson java:975)_x000D_
        at com amplifyframework api aws GsonGraphQLResponseFactory parseDataAsList(GsonGraphQLResponseFactory java:198)_x000D_
        at com amplifyframework api aws GsonGraphQLResponseFactory buildSingleArrayResponse(GsonGraphQLResponseFactory java:132)_x000D_
        at com amplifyframework api graphql GraphQLOperation wrapMultiResultResponse(GraphQLOperation java:71)_x000D_
        at com amplifyframework api aws SingleArrayResultOperation access 100(SingleArrayResultOperation java:47)_x000D_
        at com amplifyframework api aws SingleArrayResultOperation OkHttpCallback onResponse(SingleArrayResultOperation java:140)_x000D_
        at okhttp3 RealCall AsyncCall run(RealCall kt:138)_x000D_
        at java util concurrent ThreadPoolExecutor runWorker(ThreadPoolExecutor java:1167)_x000D_
        at java util concurrent ThreadPoolExecutor Worker run(ThreadPoolExecutor java:641)_x000D_
        at java lang Thread run(Thread java:764)_x000D_
     Caused by: java text ParseException: Failed to parse date   1970 01 01 07:00:39  : Mismatching time zone indicator: GMT 07:00:39 given  resolves to GMT_x000D_
        at com google gson internal bind util ISO8601Utils parse(ISO8601Utils java:274)_x000D_
        at com google gson internal bind DateTypeAdapter deserializeToDate(DateTypeAdapter java:85)_x000D_
        at com google gson internal bind DateTypeAdapter read(DateTypeAdapter java:75) _x000D_
        at com google gson internal bind DateTypeAdapter read(DateTypeAdapter java:46) _x000D_
        at com google gson internal bind ReflectiveTypeAdapterFactory 1 read(ReflectiveTypeAdapterFactory java:131) _x000D_
        at com google gson internal bind ReflectiveTypeAdapterFactory Adapter read(ReflectiveTypeAdapterFactory java:222) _x000D_
        at com google gson Gson fromJson(Gson java:932) _x000D_
        at com google gson Gson fromJson(Gson java:1003) _x000D_
        at com google gson Gson fromJson(Gson java:975) _x000D_
        at com amplifyframework api aws GsonGraphQLResponseFactory parseDataAsList(GsonGraphQLResponseFactory java:198) _x000D_
        at com amplifyframework api aws GsonGraphQLResponseFactory buildSingleArrayResponse(GsonGraphQLResponseFactory java:132) _x000D_
        at com amplifyframework api graphql GraphQLOperation wrapMultiResultResponse(GraphQLOperation java:71) _x000D_
        at com amplifyframework api aws SingleArrayResultOperation access 100(SingleArrayResultOperation java:47) _x000D_
        at com amplifyframework api aws SingleArrayResultOperation OkHttpCallback onResponse(SingleArrayResultOperation java:140) _x000D_
        at okhttp3 RealCall AsyncCall run(RealCall kt:138) _x000D_
        at java util concurrent ThreadPoolExecutor runWorker(ThreadPoolExecutor java:1167) _x000D_
        at java util concurrent ThreadPoolExecutor Worker run(ThreadPoolExecutor java:641) _x000D_
        at java lang Thread run(Thread java:764) _x000D_
     Caused by: java lang IndexOutOfBoundsException: Mismatching time zone indicator: GMT 07:00:39 given  resolves to GMT_x000D_
        at com google gson internal bind util ISO8601Utils parse(ISO8601Utils java:240)_x000D_
        at com google gson internal bind DateTypeAdapter deserializeToDate(DateTypeAdapter java:85) _x000D_
        at com google gson internal bind DateTypeAdapter read(DateTypeAdapter java:75) _x000D_
        at com google gson internal bind DateTypeAdapter read(DateTypeAdapter java:46) _x000D_
        at com google gson internal bind ReflectiveTypeAdapterFactory 1 read(ReflectiveTypeAdapterFactory java:131) _x000D_
        at com google gson internal bind ReflectiveTypeAdapterFactory Adapter read(ReflectiveTypeAdapterFactory java:222) _x000D_
        at com google gson Gson fromJson(Gson java:932) _x000D_
        at com google gson Gson fromJson(Gson java:1003) _x000D_
        at com google gson Gson fromJson(Gson java:975) _x000D_
        at com amplifyframework api aws GsonGraphQLResponseFactory parseDataAsList(GsonGraphQLResponseFactory java:198) _x000D_
        at com amplifyframework api aws GsonGraphQLResponseFactory buildSingleArrayResponse(GsonGraphQLResponseFactory java:132) _x000D_
        at com amplifyframework api graphql GraphQLOperation wrapMultiResultResponse(GraphQLOperation java:71) _x000D_
        at com amplifyframework api aws SingleArrayResultOperation access 100(SingleArrayResultOperation java:47) _x000D_
        at com amplifyframework api aws SingleArrayResultOperation OkHttpCallback onResponse(SingleArrayResultOperation java:140) _x000D_
        at okhttp3 RealCall AsyncCall run(RealCall kt:138) _x000D_
        at java util concurrent ThreadPoolExecutor runWorker(ThreadPoolExecutor java:1167) _x000D_
        at java util concurrent ThreadPoolExecutor Worker run(ThreadPoolExecutor java:641) _x000D_
        at java lang Thread run(Thread java:764) _x000D_
   </t>
  </si>
  <si>
    <t>nextcloud-android-5106</t>
  </si>
  <si>
    <t>App crashing on new folder creation</t>
  </si>
  <si>
    <t xml:space="preserve">    Steps to reproduce_x000D_
1  Go to automatic upload  _x000D_
2  Add own folder (custom) _x000D_
3  When selecting folder on Nextcloud choose creat new  _x000D_
4  After entering new folder name  Rozmowy  app crashing  _x000D_
_x000D_
    Expected behaviour_x000D_
Creat folder  _x000D_
_x000D_
    Actual behaviour_x000D_
App crashing with many errors:_x000D_
_x000D_
             CAUSE OF ERROR             _x000D_
_x000D_
java lang NullPointerException: Attempt to invoke virtual method  java lang String com owncloud android datamodel OCFile getRemotePath()  on a null object reference_x000D_
 at com owncloud android ui dialog CreateFolderDialogFragment onClick(CreateFolderDialogFragment java:139)_x000D_
 at androidx appcompat app AlertController ButtonHandler handleMessage(AlertController java:167)_x000D_
 at android os Handler dispatchMessage(Handler java:107)_x000D_
 at android os Looper loop(Looper java:224)_x000D_
 at android app ActivityThread main(ActivityThread java:7520)_x000D_
 at java lang reflect Method invoke(Native Method)_x000D_
 at com android internal os RuntimeInit MethodAndArgsCaller run(RuntimeInit java:539)_x000D_
 at com android internal os ZygoteInit main(ZygoteInit java:950)_x000D_
_x000D_
             APP INFORMATION             _x000D_
ID: com nextcloud client_x000D_
Version: 30090290_x000D_
Build flavor: gplay_x000D_
_x000D_
             DEVICE INFORMATION             _x000D_
Brand: Xiaomi_x000D_
Device: cepheus_x000D_
Model: MI 9 Transparent Edition_x000D_
Id: QKQ1 190825 002_x000D_
Product: cepheus eea_x000D_
_x000D_
             FIRMWARE             _x000D_
SDK: 29_x000D_
Release: 10_x000D_
Incremental: V11 0 6 0 QFAEUXM_x000D_
_x000D_
    Environment data_x000D_
Android version: 10_x000D_
_x000D_
Device model: Xiaomi Mi9 _x000D_
_x000D_
Stock or customized system: MIUI 11 Global EU_x000D_
_x000D_
Nextcloud app version: 3 9 2_x000D_
_x000D_
Nextcloud server version: 17 0 2_x000D_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</si>
  <si>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square-okhttp-5706</t>
  </si>
  <si>
    <t>Android AGP 4.0, R8 - Http2Writer NPE Okhttp v4.3.0</t>
  </si>
  <si>
    <t xml:space="preserve">Seeing the following crashes on Android with Okhttp v4 3 0  not happening on v4 2 2_x000D_
_x000D_
  Using http2 rest endpoints with retrofit and rxjava _x000D_
_x000D_
   _x000D_
Fatal Exception: m0 a_x000D_
       at okio Buffer writableSegment okio(Buffer java:1812)_x000D_
       at okio Buffer writeByte(Buffer java:1662)_x000D_
       at okio RealBufferedSink writeByte(RealBufferedSink java:197)_x000D_
       at okhttp3 internal Util writeMedium(Util java:309)_x000D_
       at okhttp3 internal http2 Http2Writer frameHeader(Http2Writer java:261)_x000D_
       at okhttp3 internal http2 Http2Writer settings(Http2Writer java:173)_x000D_
       at okhttp3 internal http2 Http2Connection start(Http2Connection java:496)_x000D_
       at okhttp3 internal http2 Http2Connection start default(Http2Connection java:493)_x000D_
       at okhttp3 internal connection RealConnection startHttp2(RealConnection java:329)_x000D_
       at okhttp3 internal connection RealConnection establishProtocol(RealConnection java:312)_x000D_
       at okhttp3 internal connection RealConnection connect(RealConnection java:182)_x000D_
       at okhttp3 internal connection ExchangeFinder findConnection(ExchangeFinder java:238)_x000D_
       at okhttp3 internal connection ExchangeFinder findHealthyConnection(ExchangeFinder java:111)_x000D_
       at okhttp3 internal connection ExchangeFinder find(ExchangeFinder java:79)_x000D_
       at okhttp3 internal connection Transmitter newExchange okhttp(Transmitter java:163)_x000D_
       at okhttp3 internal connection ConnectInterceptor intercept(ConnectInterceptor java:35)_x000D_
       at okhttp3 internal http RealInterceptorChain proceed(RealInterceptorChain java:112)_x000D_
       at okhttp3 internal http RealInterceptorChain proceed(RealInterceptorChain java:87)_x000D_
       at okhttp3 internal cache CacheInterceptor intercept(CacheInterceptor java:82)_x000D_
       at okhttp3 internal http RealInterceptorChain proceed(RealInterceptorChain java:112)_x000D_
       at okhttp3 internal http RealInterceptorChain proceed(RealInterceptorChain java:87)_x000D_
       at okhttp3 internal http BridgeInterceptor intercept(BridgeInterceptor java:84)_x000D_
       at okhttp3 internal http RealInterceptorChain proceed(RealInterceptorChain java:112)_x000D_
       at okhttp3 internal http RetryAndFollowUpInterceptor intercept(RetryAndFollowUpInterceptor java:71)_x000D_
       at okhttp3 internal http RealInterceptorChain proceed(RealInterceptorChain java:112)_x000D_
       at okhttp3 internal http RealInterceptorChain proceed(RealInterceptorChain java:87)_x000D_
       at okhttp3 RealCall getResponseWithInterceptorChain(RealCall java:194)_x000D_
       at okhttp3 RealCall AsyncCall run(RealCall java:138)_x000D_
       at java util concurrent ThreadPoolExecutor runWorker(ThreadPoolExecutor java:1167)_x000D_
       at java util concurrent ThreadPoolExecutor Worker run(ThreadPoolExecutor java:641)_x000D_
       at java lang Thread run(Thread java:919)_x000D_
   _x000D_
_x000D_
and _x000D_
_x000D_
   _x000D_
Fatal Exception: m0 a_x000D_
       at okio Segment pop(Segment java:89)_x000D_
       at okio Buffer skip(Buffer java:1478)_x000D_
       at okio RealBufferedSource skip(RealBufferedSource java:431)_x000D_
       at okhttp3 internal http2 Http2Connection ReaderRunnable data(Http2Connection java:643)_x000D_
       at okhttp3 internal http2 Http2Reader readData(Http2Reader java:178)_x000D_
       at okhttp3 internal http2 Http2Reader nextFrame(Http2Reader java:117)_x000D_
       at okhttp3 internal http2 Http2Connection ReaderRunnable run(Http2Connection java:614)_x000D_
       at java lang Thread run(Thread java:919)_x000D_
   _x000D_
</t>
  </si>
  <si>
    <t>Technion236272-2020a-Cue-61</t>
  </si>
  <si>
    <t>Fix: trying to log out from a client account causes a crash</t>
  </si>
  <si>
    <t xml:space="preserve"> BenSiso I include the crash log below_x000D_
_x000D_
  image (https:  user images githubusercontent com 22217583 71835559 87494e00 30ba 11ea 88fa 0cb5ad9dc445 png)_x000D_
</t>
  </si>
  <si>
    <t>material-components-material-components-android-871</t>
  </si>
  <si>
    <t xml:space="preserve">[Shrine] Apache Library Not Found </t>
  </si>
  <si>
    <t xml:space="preserve">  Description:   When the Shrine demo app launches  it immediately crashes with a stacktrace of such:_x000D_
   java 2020 01 06 09:09:19 109 10436 10487 io material demo shrine E AndroidRuntime: FATAL EXCEPTION: Thread 10_x000D_
    Process: io material demo shrine  PID: 10436_x000D_
    java lang NoClassDefFoundError: Failed resolution of: Lorg apache http ProtocolVersion _x000D_
        at com android volley toolbox HurlStack performRequest(HurlStack java:109)_x000D_
        at com android volley toolbox BasicNetwork performRequest(BasicNetwork java:96)_x000D_
        at com android volley NetworkDispatcher run(NetworkDispatcher java:112)_x000D_
     Caused by: java lang ClassNotFoundException: Didn t find class  org apache http ProtocolVersion  on path: DexPathList  zip file   data app io material demo shrine xb1JxPl7PAAZBgPbh7DWgA   base apk   nativeLibraryDirectories   data app io material demo shrine xb1JxPl7PAAZBgPbh7DWgA   lib arm64   system lib64   product lib64  _x000D_
        at dalvik system BaseDexClassLoader findClass(BaseDexClassLoader java:196)_x000D_
        at java lang ClassLoader loadClass(ClassLoader java:379)_x000D_
        at java lang ClassLoader loadClass(ClassLoader java:312)_x000D_
        at com android volley toolbox HurlStack performRequest(HurlStack java:109) _x000D_
        at com android volley toolbox BasicNetwork performRequest(BasicNetwork java:96) _x000D_
        at com android volley NetworkDispatcher run(NetworkDispatcher java:112)_x000D_
   _x000D_
_x000D_
  Expected behavior:   The app should run_x000D_
_x000D_
  Source code:      api  com android volley:volley:1 0 0     _x000D_
_x000D_
  Android API version:   29_x000D_
_x000D_
  Material Library version:   Latest open source update as of January 6th 2019_x000D_
_x000D_
  Device:   Pixel 3_x000D_
</t>
  </si>
  <si>
    <t>nextcloud-android-5103</t>
  </si>
  <si>
    <t>App Crash at creating new folder at server</t>
  </si>
  <si>
    <t xml:space="preserve">Hi there _x000D_
_x000D_
_x000D_
    Steps to reproduce_x000D_
1  I successfully installed nextcloud installed nextcloud to my mobile _x000D_
2  I tried to create a custom sync path from local to server  ( storage emulated 0 WhatsApp)_x000D_
3  Clicked choose remote path and there I want to create a new folder  At this point it will crash _x000D_
_x000D_
    Expected behaviour_x000D_
  a new folder should be created_x000D_
_x000D_
    Actual behaviour_x000D_
  crashed with log file_x000D_
_x000D_
    Environment data_x000D_
Android version: 10_x000D_
_x000D_
Device model: OnePlus 6T_x000D_
_x000D_
Stock or customized system: Stock   OOS 10 3 0_x000D_
_x000D_
Nextcloud app version:_x000D_
_x000D_
Nextcloud server version:_x000D_
_x000D_
    Logs_x000D_
     Web server error log_x000D_
   _x000D_
No error there_x000D_
   _x000D_
_x000D_
     Nextcloud log (data nextcloud log)_x000D_
   _x000D_
             CAUSE OF ERROR             _x000D_
_x000D_
java lang NullPointerException: Attempt to invoke virtual method  java lang String com owncloud android datamodel OCFile getRemotePath()  on a null object reference_x000D_
 at com owncloud android ui dialog CreateFolderDialogFragment onClick(CreateFolderDialogFragment java:139)_x000D_
 at androidx appcompat app AlertController ButtonHandler handleMessage(AlertController java:167)_x000D_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30090290_x000D_
Build flavor: gplay_x000D_
_x000D_
             DEVICE INFORMATION             _x000D_
Brand: OnePlus_x000D_
Device: OnePlus6T_x000D_
Model: ONEPLUS A6013_x000D_
Id: QKQ1 190716 003_x000D_
Product: OnePlus6T_x000D_
_x000D_
             FIRMWARE             _x000D_
SDK: 29_x000D_
Release: 10_x000D_
Incremental: 1912142009_x000D_
   _x000D_
  NOTE:   Be super sure to remove sensitive data like passwords  note that everybody can look here  You can use the Issue Template application to prefill some of the required information: https:  apps nextcloud com apps issuetemplate_x000D_
</t>
  </si>
  <si>
    <t>square-okhttp-5705</t>
  </si>
  <si>
    <t>RealWebSocket send throws writerTask NPE</t>
  </si>
  <si>
    <t xml:space="preserve"> okhttp 4 3 0 throws NPE each time I try to send command via websocket _x000D_
 writerTask  is null in  RealWebSocket::runWriter _x000D_
   kotlin_x000D_
  private fun runWriter()  _x000D_
    this assertThreadHoldsLock()_x000D_
_x000D_
    taskQueue schedule(writerTask  )    crashes in this line_x000D_
   _x000D_
   _x000D_
Stacktrace:_x000D_
   _x000D_
Caused by kotlin KotlinNullPointerException_x000D_
       at okhttp3 internal ws RealWebSocket runWriter   398(RealWebSocket java:398)_x000D_
       at okhttp3 internal ws RealWebSocket send   352(RealWebSocket java:352)_x000D_
       at okhttp3 internal ws RealWebSocket send   332(RealWebSocket java:332)_x000D_
   _x000D_
_x000D_
test:_x000D_
   kotlin_x000D_
import okhttp3 OkHttpClient_x000D_
import okhttp3 Request_x000D_
import okhttp3 WebSocketListener_x000D_
import okhttp3 mockwebserver MockWebServer_x000D_
import org junit Rule_x000D_
import org junit Test_x000D_
_x000D_
_x000D_
class OkHttpBug  _x000D_
     get:Rule_x000D_
    val server   MockWebServer()_x000D_
_x000D_
     Test_x000D_
    fun test()  _x000D_
        val request   Request Builder()_x000D_
             url(server url(  path ))_x000D_
             header( User Agent    Test Case )_x000D_
             build()_x000D_
        val client   OkHttpClient()_x000D_
        val listener   object : WebSocketListener()  _x000D_
_x000D_
         _x000D_
        val command         id :  file      _x000D_
        val webSocket   client newWebSocket(request  listener)_x000D_
        webSocket send(command)_x000D_
        webSocket close(1000   RealWebSocket crashes with runWriter writerTask   NPE )_x000D_
     _x000D_
 _x000D_
   _x000D_
_x000D_
This seems to be 100  reproducible in 4 3 0  Had about 1000 crashes on that version on small amount of sessions _x000D_
This (almost) does not happen with the same code on okhttp 4 2 2 (2 crashes in 1000x user count in much longer period)_x000D_
</t>
  </si>
  <si>
    <t>nextcloud-android-5100</t>
  </si>
  <si>
    <t>App crashed when try to view details or open file</t>
  </si>
  <si>
    <t xml:space="preserve">    Steps to reproduce_x000D_
1   select directory_x000D_
2   select files_x000D_
3   Choose details or click file_x000D_
_x000D_
    Expected behaviour_x000D_
  Appear info details  regarding file   file content appear for read_x000D_
_x000D_
    Actual behaviour_x000D_
  Apps crashed_x000D_
_x000D_
    Environment data_x000D_
Android version: 6 0 1_x000D_
_x000D_
Device model:  Samsung SM J700F_x000D_
_x000D_
Stock or customized system:_x000D_
_x000D_
Nextcloud app version: 11_x000D_
_x000D_
Nextcloud server version: 11_x000D_
_x000D_
    Logs_x000D_
     Web server error log_x000D_
   _x000D_
Insert your webserver log here_x000D_
   _x000D_
_x000D_
     Nextcloud log (data nextcloud log)_x000D_
_x000D_
Insert your Nextcloud log here_x000D_
01 06 14:25:52 194 6041 8710 com nextcloud client E AndroidRuntime: FATAL EXCEPTION: Thread 10075_x000D_
    Process: com nextcloud client  PID: 6041_x000D_
    kotlin UninitializedPropertyAccessException: lateinit property response has not been initialized_x000D_
        at com nextcloud common OkHttpMethodBase releaseConnection(OkHttpMethodBase kt:68)_x000D_
        at com owncloud android lib resources activities GetActivitiesRemoteOperation run(GetActivitiesRemoteOperation java:158)_x000D_
        at com nextcloud common NextcloudClient execute(NextcloudClient kt:63)_x000D_
        at com owncloud android ui fragment FileDetailActivitiesFragment lambda fetchAndSetData 5 FileDetailActivitiesFragment(FileDetailActivitiesFragment java:331)_x000D_
        at com owncloud android ui fragment    Lambda FileDetailActivitiesFragment N7POe6TZvoGcuV2qP niPxY 7t4 run(lambda)_x000D_
        at java lang Thread run(Thread java:818)_x000D_
_x000D_
   _x000D_
  NOTE:   Be super sure to remove sensitive data like passwords  note that everybody can look here  You can use the Issue Template application to prefill some of the required information: https:  apps nextcloud com apps issuetemplate_x000D_
</t>
  </si>
  <si>
    <t>brarcher-loyalty-card-locker-340</t>
  </si>
  <si>
    <t>App crashes when loading About dialog on Android 5 devices</t>
  </si>
  <si>
    <t xml:space="preserve">Due to a  bug (https:  issuetracker google com issues 141132133) in androidx appcompat:appcompat versions 1 1 0 through 1 2 0 alpha01  loading the About dialog on Android 5 devices results in a crash:_x000D_
_x000D_
   _x000D_
FATAL EXCEPTION: ControllerMessenger_x000D_
Process: protect card locker  PID: 14560_x000D_
android content res Resources NotFoundException: String resource ID  0x3040002_x000D_
	at android content res HwResources getText(HwResources java:1252)_x000D_
	at android content res Resources getString(Resources java:374)_x000D_
	at com android org chromium content browser ContentViewCore setContainerView(ContentViewCore java:948)_x000D_
	at com android org chromium content browser ContentViewCore initialize(ContentViewCore java:848)_x000D_
	at com android org chromium android webview AwContents createAndInitializeContentViewCore(AwContents java:649)_x000D_
	at com android org chromium android webview AwContents setNewAwContents(AwContents java:788)_x000D_
	at com android org chromium android webview AwContents  init (AwContents java:635)_x000D_
	at com android org chromium android webview AwContents  init (AwContents java:573)_x000D_
	at com android webview chromium WebViewChromium initForReal(WebViewChromium java:315)_x000D_
	at com android webview chromium WebViewChromium access 100(WebViewChromium java:100)_x000D_
	at com android webview chromium WebViewChromium 1 run(WebViewChromium java:267)_x000D_
	at com android webview chromium WebViewChromium WebViewChromiumRunQueue drainQueue(WebViewChromium java:127)_x000D_
	at com android webview chromium WebViewChromium WebViewChromiumRunQueue 1 run(WebViewChromium java:114)_x000D_
	at com android org chromium base ThreadUtils runOnUiThread(ThreadUtils java:144)_x000D_
	at com android webview chromium WebViewChromium WebViewChromiumRunQueue addTask(WebViewChromium java:111)_x000D_
	at com android webview chromium WebViewChromium init(WebViewChromium java:264)_x000D_
	at android webkit WebView  init (WebView java:548)_x000D_
	at android webkit WebView  init (WebView java:483)_x000D_
	at android webkit WebView  init (WebView java:466)_x000D_
	at android webkit WebView  init (WebView java:453)_x000D_
	at android webkit WebView  init (WebView java:443)_x000D_
	at protect card locker MainActivity displayAboutDialog(MainActivity java:343)_x000D_
	at protect card locker MainActivity onOptionsItemSelected(MainActivity java:291)_x000D_
   _x000D_
_x000D_
The root cause of the bug is this change: https:  android googlesource com platform frameworks support   26079d87c79a64829f036236353fac1dae4e0613 5E 21  F2_x000D_
_x000D_
sAlwaysOverrideConfiguration forces updating the Resources configuration and thereby messes up the webview inflation on older devices _x000D_
_x000D_
A fix in appcompat will be available in 1 2 0 alpha02  As of this writing  that version has not yet been released _x000D_
_x000D_
</t>
  </si>
  <si>
    <t>wallabag-android-app-896</t>
  </si>
  <si>
    <t>App crashes when during start</t>
  </si>
  <si>
    <t xml:space="preserve">Hi_x000D_
_x000D_
I am moving the bug entry from  890 to here  _x000D_
_x000D_
Environment details_x000D_
_x000D_
    wallabag app version:_x000D_
    2 3 0_x000D_
_x000D_
    wallabag app installation source (e g  Gplay  F Droid  manual):_x000D_
    Fdroid_x000D_
_x000D_
    Android OS version:_x000D_
    LineageOS 14 1_x000D_
_x000D_
    Android ROM (e g  stock  LineageOS  SlimRom  ):_x000D_
    LineageOS 14 1_x000D_
_x000D_
    Android hardware:_x000D_
    Samsung_x000D_
_x000D_
    wallabag server version:_x000D_
    Version: 2 3 8_x000D_
_x000D_
    Do you have Two Factor Authentication enabled : yes no_x000D_
    No_x000D_
_x000D_
_x000D_
_x000D_
The app keeps crashing afterward a full sync  even when it is a fresh new setup  I was able to load all the articles and browse couple articles  Then I restart the app now it constantly crashes _x000D_
_x000D_
I tracked this issue down to huge articles I added recently  Deleting those articles from the server makes the app stable again  Please see the link below for the article list  I do not know which one causing it  but by removing those from my instance I was able to make the app work properly again   beware  some of those articles are very large _x000D_
_x000D_
_x000D_
App logs_x000D_
_x000D_
https:  paste debian net hidden 442fe10b _x000D_
_x000D_
Url list (use  wallabagapp  as the password)_x000D_
_x000D_
https:  bin privacytools io  bf06ba86a3e2cd6d xxek7y9 M5XBnhclOb1qANzznvUHMRBLR4N6L31JOQY _x000D_
</t>
  </si>
  <si>
    <t>nextcloud-android-5095</t>
  </si>
  <si>
    <t>Crash on notification</t>
  </si>
  <si>
    <t xml:space="preserve">    Steps to reproduce_x000D_
1  Receive notification_x000D_
_x000D_
    Expected behaviour_x000D_
  Tell us what should happen_x000D_
Notification shown_x000D_
_x000D_
    Actual behaviour_x000D_
  Tell us what happens_x000D_
Crash  _x000D_
_x000D_
    Environment data_x000D_
Android version: 9_x000D_
_x000D_
Device model: Nokia 7 Plus_x000D_
_x000D_
Stock or customized system: Stock_x000D_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Mobile crash info 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b 6xG60FNLcO X4nKtgHIg   base apk   nativeLibraryDirectories   data app com nextcloud client b 6xG60FNLcO X4nKtgHIg   lib arm64   data app com nextcloud client b 6xG60FNLcO X4nKtgHIg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30090290_x000D_
Build flavor: gplay_x000D_
_x000D_
             DEVICE INFORMATION             _x000D_
Brand: Nokia_x000D_
Device: B2N sprout_x000D_
Model: Nokia 7 plus_x000D_
Id: PPR1 180610 011_x000D_
Product: Onyx 00WW_x000D_
_x000D_
             FIRMWARE             _x000D_
SDK: 28_x000D_
Release: 9_x000D_
Incremental: 00WW 3 54P_x000D_
</t>
  </si>
  <si>
    <t>stefan-niedermann-nextcloud-notes-662</t>
  </si>
  <si>
    <t>ACCOUNT_ID was not created on upgrade</t>
  </si>
  <si>
    <t>A while ago the Notes App crashes at every startup  Therefore it is quite useless as it is _x000D_
_x000D_
I am using a OnePlus 3 with Havoc OS on Android 10 _x000D_
_x000D_
The Error is following:_x000D_
   _x000D_
Version: 2 3 0_x000D_
_x000D_
java lang RuntimeException: Unable to start activity ComponentInfo it niedermann owncloud notes it niedermann owncloud notes android activity NotesListViewActivity : android database sqlite SQLiteException: no such column: ACCOUNT ID (code 1 SQLITE ERROR):   while compiling: CREATE INDEX IF NOT EXISTS NOTES ACCOUNT ID idx ON NOTES(ACCOUNT ID)_x000D_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java:491)_x000D_
	at com android internal os ZygoteInit main(ZygoteInit java:930)_x000D_
Caused by: android database sqlite SQLiteException: no such column: ACCOUNT ID (code 1 SQLITE ERROR):   while compiling: CREATE INDEX IF NOT EXISTS NOTES ACCOUNT ID idx ON NOTES(ACCOUNT ID)_x000D_
	at android database sqlite SQLiteConnection nativePrepareStatement(Native Method)_x000D_
	at android database sqlite SQLiteConnection acquirePreparedStatement(SQLiteConnection java:986)_x000D_
	at android database sqlite SQLiteConnection prepare(SQLiteConnection java:593)_x000D_
	at android database sqlite SQLiteSession prepare(SQLiteSession java:590)_x000D_
	at android database sqlite SQLiteProgram  init (SQLiteProgram java:61)_x000D_
	at android database sqlite SQLiteStatement  init (SQLiteStatement java:33)_x000D_
	at android database sqlite SQLiteDatabase executeSql(SQLiteDatabase java:1814)_x000D_
	at android database sqlite SQLiteDatabase execSQL(SQLiteDatabase java:1742)_x000D_
	at it niedermann owncloud notes util DatabaseIndexUtil createIndex(DatabaseIndexUtil java:26)_x000D_
	at it niedermann owncloud notes util DatabaseIndexUtil createIndex(DatabaseIndexUtil java:19)_x000D_
	at it niedermann owncloud notes persistence NoteSQLiteOpenHelper createNotesIndexes(NoteSQLiteOpenHelper java:285)_x000D_
	at it niedermann owncloud notes persistence NoteSQLiteOpenHelper createNotesTable(NoteSQLiteOpenHelper java:127)_x000D_
	at it niedermann owncloud notes persistence NoteSQLiteOpenHelper onUpgrade(NoteSQLiteOpenHelper java:166)_x000D_
	at android database sqlite SQLiteOpenHelper getDatabaseLocked(SQLiteOpenHelper java:417)_x000D_
	at android database sqlite SQLiteOpenHelper getReadableDatabase(SQLiteOpenHelper java:341)_x000D_
	at it niedermann owncloud notes persistence NoteSQLiteOpenHelper getAccounts(NoteSQLiteOpenHelper java:788)_x000D_
	at it niedermann owncloud notes android activity NotesListViewActivity setupHeader(NotesListViewActivity java:295)_x000D_
	at it niedermann owncloud notes android activity NotesListViewActivity onCreate(NotesListViewActivity java:216)_x000D_
	at android app Activity performCreate(Activity java:7824)_x000D_
	at android app Activity performCreate(Activity java:7813)_x000D_
	at android app Instrumentation callActivityOnCreate(Instrumentation java:1306)_x000D_
	at android app ActivityThread performLaunchActivity(ActivityThread java:3245)_x000D_
	    11 more_x000D_
   _x000D_
I hope somebody can help me  _x000D_
With best regards_x000D_
Lukas</t>
  </si>
  <si>
    <t>brarcher-budget-watch-204</t>
  </si>
  <si>
    <t>NullPointerException: Unable to start ReceiptViewActivity</t>
  </si>
  <si>
    <t xml:space="preserve">       Reproduction Steps_x000D_
This crash is triggered with this shell instruction_x000D_
_x000D_
adb shell am start  n protect budgetwatch protect budgetwatch ReceiptViewActivity_x000D_
_x000D_
       Stack Trace_x000D_
_x000D_
E AndroidRuntime( 4274): FATAL EXCEPTION: main_x000D_
E AndroidRuntime( 4274): Process: protect budgetwatch  PID: 4274_x000D_
E AndroidRuntime( 4274): java lang RuntimeException: Unable to start activity ComponentInfo protect budgetwatch protect budgetwatch ReceiptViewActivity : java lang NullPointerException_x000D_
E AndroidRuntime( 4274): 	at android app ActivityThread performLaunchActivity(ActivityThread java:2184)_x000D_
E AndroidRuntime( 4274): 	at android app ActivityThread handleLaunchActivity(ActivityThread java:2233)_x000D_
E AndroidRuntime( 4274): 	at android app ActivityThread access 800(ActivityThread java:135)_x000D_
E AndroidRuntime( 4274): 	at android app ActivityThread H handleMessage(ActivityThread java:1196)_x000D_
E AndroidRuntime( 4274): 	at android os Handler dispatchMessage(Handler java:102)_x000D_
E AndroidRuntime( 4274): 	at android os Looper loop(Looper java:136)_x000D_
E AndroidRuntime( 4274): 	at android app ActivityThread main(ActivityThread java:5001)_x000D_
E AndroidRuntime( 4274): 	at java lang reflect Method invokeNative(Native Method)_x000D_
E AndroidRuntime( 4274): 	at java lang reflect Method invoke(Method java:515)_x000D_
E AndroidRuntime( 4274): 	at com android internal os ZygoteInit MethodAndArgsCaller run(ZygoteInit java:785)_x000D_
E AndroidRuntime( 4274): 	at com android internal os ZygoteInit main(ZygoteInit java:601)_x000D_
E AndroidRuntime( 4274): 	at dalvik system NativeStart main(Native Method)_x000D_
E AndroidRuntime( 4274): Caused by: java lang NullPointerException_x000D_
E AndroidRuntime( 4274): 	at protect budgetwatch ReceiptViewActivity onCreate(ReceiptViewActivity java:43)_x000D_
E AndroidRuntime( 4274): 	at android app Activity performCreate(Activity java:5231)_x000D_
E AndroidRuntime( 4274): 	at android app Instrumentation callActivityOnCreate(Instrumentation java:1087)_x000D_
E AndroidRuntime( 4274): 	at android app ActivityThread performLaunchActivity(ActivityThread java:2148)_x000D_
E AndroidRuntime( 4274): 	    11 more_x000D_
_x000D_
       Debug info_x000D_
App Version   0 21 4_x000D_
_x000D_
Android Version   7 1 0_x000D_
</t>
  </si>
  <si>
    <t>TeamNewPipe-NewPipe-2922</t>
  </si>
  <si>
    <t>Op7/Android 10 This permission is needed to open in popup mode.</t>
  </si>
  <si>
    <t xml:space="preserve">   x   I carefully read the  contribution guidelines (https:  github com TeamNewPipe NewPipe blob HEAD  github CONTRIBUTING md) and agree to them _x000D_
   x  I checked if the issue feature exists in the latest version _x000D_
    n a I did use the  incredible bugreport to markdown converter (https:  teamnewpipe github io CrashReportToMarkdown ) to paste bug reports _x000D_
_x000D_
One a oneplus 7 Pro running the latest Android 10 international firmware if set to minimize to the popup player when you hit home a small message appears over the home button saying  This permission is needed to open in popup mode  but it doesn t identify what permission   Additionally I went into the permissions for Newpipe and the only one available is Storage which has already been allowed   I assume you need permission to overdraw screens but it doesn t say that nor give me opportunity to enable it    Since the app did not crash I didn t include that   Reasonably certain it s either an oxygenos or Android 10 issue but figured I would provide the heads up _x000D_
_x000D_
Additionally when I chose the option to play in background it worked after a brief pause in the music however even after the song ended newpipe continued to cause excessive battery drain until Oxygenos flagged it and prompted me to force kill it _x000D_
_x000D_
_x000D_
  Screenshot 20200104 232707 (https:  user images githubusercontent com 4558832 71775225 09b30000 2f4b 11ea 9d73 e2d027fdf32c jpg)_x000D_
</t>
  </si>
  <si>
    <t>nextcloud-android-5091</t>
  </si>
  <si>
    <t>client crashing on load</t>
  </si>
  <si>
    <t xml:space="preserve">    Steps to reproduce_x000D_
1  Open Nextcloud app_x000D_
2  Wait for sync to complete_x000D_
_x000D_
    Expected behaviour_x000D_
  it should complete and allow me to browse my Nextcloud files  _x000D_
_x000D_
    Actual behaviour_x000D_
  It crashes  _x000D_
_x000D_
    Environment data_x000D_
_x000D_
   _x000D_
             CAUSE OF ERROR             _x000D_
_x000D_
android database sqlite SQLiteBlobTooBigException: Row too big to fit into CursorWindow requiredPos 2788  totalRows 385_x000D_
	at android database sqlite SQLiteConnection nativeExecuteForCursorWindow(Native Method)_x000D_
	at android database sqlite SQLiteConnection executeForCursorWindow(SQLiteConnection java:859)_x000D_
	at android database sqlite SQLiteSession executeForCursorWindow(SQLiteSession java:836)_x000D_
	at android database sqlite SQLiteQuery fillWindow(SQLiteQuery java:62)_x000D_
	at android database sqlite SQLiteCursor fillWindow(SQLiteCursor java:157)_x000D_
	at android database sqlite SQLiteCursor onMove(SQLiteCursor java:128)_x000D_
	at android database AbstractCursor moveToPosition(AbstractCursor java:237)_x000D_
	at android database AbstractCursor moveToNext(AbstractCursor java:269)_x000D_
	at com owncloud android providers FileContentProvider deleteDirectory(FileContentProvider java:184)_x000D_
	at com owncloud android providers FileContentProvider delete(FileContentProvider java:128)_x000D_
	at com owncloud android providers FileContentProvider deleteDirectory(FileContentProvider java:178)_x000D_
	at com owncloud android providers FileContentProvider delete(FileContentProvider java:128)_x000D_
	at com owncloud android providers FileContentProvider delete(FileContentProvider java:108)_x000D_
	at android content ContentProviderOperation apply(ContentProviderOperation java:299)_x000D_
	at com owncloud android providers FileContentProvider applyBatch(FileContentProvider java:662)_x000D_
	at android content ContentProvider Transport applyBatch(ContentProvider java:319)_x000D_
	at android content ContentProviderClient applyBatch(ContentProviderClient java:474)_x000D_
	at android content ContentResolver applyBatch(ContentResolver java:1629)_x000D_
	at com owncloud android datamodel FileDataStorageManager saveFolder(FileDataStorageManager java:408)_x000D_
	at com owncloud android operations RefreshFolderOperation synchronizeData(RefreshFolderOperation java:445)_x000D_
	at com owncloud android operations RefreshFolderOperation fetchAndSyncRemoteFolder(RefreshFolderOperation java:339)_x000D_
	at com owncloud android operations RefreshFolderOperation run(RefreshFolderOperation java:224)_x000D_
	at com owncloud android lib common operations RemoteOperation run(RemoteOperation java:299)_x000D_
	at java lang Thread run(Thread java:764)_x000D_
_x000D_
             APP INFORMATION             _x000D_
ID: com nextcloud client_x000D_
Version: 30090290_x000D_
Build flavor: gplay_x000D_
_x000D_
             DEVICE INFORMATION             _x000D_
Brand: Nokia_x000D_
Device: DDV sprout_x000D_
Model: Nokia 7 2_x000D_
Id: PKQ1 190118 001_x000D_
Product: Daredevil 00WW_x000D_
_x000D_
             FIRMWARE             _x000D_
SDK: 28_x000D_
Release: 9_x000D_
Incremental: 00WW 1 390_x000D_
   _x000D_
_x000D_
Android version: 9_x000D_
_x000D_
Device model: Nokia 7 2_x000D_
_x000D_
Stock or customized system: Stock (Android One)_x000D_
_x000D_
Nextcloud app version: 3 9 2_x000D_
_x000D_
Nextcloud server version: 16 0 5_x000D_
_x000D_
    Logs_x000D_
     Web server error log_x000D_
_x000D_
None_x000D_
_x000D_
     Nextcloud log (data nextcloud log)_x000D_
_x000D_
See above_x000D_
_x000D_
</t>
  </si>
  <si>
    <t>ElderDrivers-EdXposed-432</t>
  </si>
  <si>
    <t>[BUG] system-ui crashes in libart.so</t>
  </si>
  <si>
    <t xml:space="preserve">       What happened   _x000D_
_x000D_
my System UI crashed once again  _x000D_
The guys from GravityBox told me its EdXposed related (see  my issue at GB (https:  github com GravityBox GravityBox issues 2044))_x000D_
The crashes seem random  Usually after some seconds the lockscreen re appears  sometimes the crash causes a soft boot (but without boot animation)_x000D_
_x000D_
  Xposed     Xposed Module List  _x000D_
_x000D_
   de Maxr1998 xposed maxlock_x000D_
   tw fatminmin xposed minminguard_x000D_
   eu faircode xlua_x000D_
   com fifsource android noplaygames_x000D_
   net darkion uniformedtransitions_x000D_
   com tremendo unclutterig_x000D_
   de defim apk howgivelolli_x000D_
   top fols aapp eternalprocessxposed_x000D_
   kmod xposed_x000D_
   com ceco pie gravitybox_x000D_
   com crossbowffs noautoshortcut_x000D_
   com mayulive swiftkeyexi_x000D_
   com hazemam InstantScreenOff_x000D_
   tk wasdennnoch scoop_x000D_
   me rapperskull burnttoastrevived_x000D_
   com marz instaprefs_x000D_
_x000D_
but it does not seem module  but core related_x000D_
_x000D_
  Magisk     Magisk Module List  _x000D_
   BusyBox for Android NDK_x000D_
   Magisk Manager for Recovery Mode (mm)_x000D_
   Riru   Core_x000D_
   Riru   EdXposed_x000D_
_x000D_
  EdXposed Riru   Versions of EdXposed and Riru  _x000D_
EdXposed: v0 4 5 1 beta Sandhook_x000D_
Riru: v19 5_x000D_
_x000D_
    Logcat Logcat  _x000D_
   _x000D_
          beginning of system_x000D_
          beginning of crash_x000D_
01 01 11:41:24 039  9798  9798 F libc    : Fatal signal 6 (SIGABRT)  code  6 (SI TKILL) in tid 9798 (ndroid systemui)  pid 9798 (ndroid systemui)_x000D_
01 01 11:41:24 209 32090 32090 F DEBUG   :                                                                _x000D_
01 01 11:41:24 212 32090 32090 F DEBUG   : LineageOS Version:  16 0 20191228 NIGHTLY klte _x000D_
01 01 11:41:24 212 32090 32090 F DEBUG   : Build fingerprint:  samsung kltexx klte:6 0 1 MMB29M G900FXXU1CRH1:user release keys _x000D_
01 01 11:41:24 212 32090 32090 F DEBUG   : Revision:  14 _x000D_
01 01 11:41:24 212 32090 32090 F DEBUG   : ABI:  arm _x000D_
01 01 11:41:24 212 32090 32090 F DEBUG   : pid: 9798  tid: 9798  name: ndroid systemui      com android systemui    _x000D_
01 01 11:41:24 212 32090 32090 F DEBUG   : signal 6 (SIGABRT)  code  6 (SI TKILL)  fault addr         _x000D_
01 01 11:41:24 212 32090 32090 F DEBUG   : Abort message:  object cc:223  Invalid state during hashcode ForwardingAddress _x000D_
01 01 11:41:24 212 32090 32090 F DEBUG   :     r0  00000000  r1  00002646  r2  00000006  r3  00000008_x000D_
01 01 11:41:24 212 32090 32090 F DEBUG   :     r4  00002646  r5  00002646  r6  bee1f95c  r7  0000010c_x000D_
01 01 11:41:24 212 32090 32090 F DEBUG   :     r8  0000000b  r9  aff3c834  r10 00003039  r11 00000003_x000D_
01 01 11:41:24 212 32090 32090 F DEBUG   :     ip  00000041  sp  bee1f948  lr  b2d6d125  pc  b2d64e4a_x000D_
01 01 11:41:24 241 32090 32090 F DEBUG   : _x000D_
01 01 11:41:24 241 32090 32090 F DEBUG   : backtrace:_x000D_
01 01 11:41:24 241 32090 32090 F DEBUG   :      00 pc 0001ce4a   system lib libc so (abort 58)_x000D_
01 01 11:41:24 241 32090 32090 F DEBUG   :      01 pc 00357253   system lib libart so (offset 0x34b000) (art::Runtime::Abort(char const ) 950)_x000D_
01 01 11:41:24 241 32090 32090 F DEBUG   :      02 pc 000071c3   system lib libbase so (android::base::LogMessage:: LogMessage() 506)_x000D_
01 01 11:41:24 241 32090 32090 F DEBUG   :      03 pc 002ce051   system lib libart so (offset 0x2b6000) (art::mirror::Object::IdentityHashCode() 164)_x000D_
01 01 11:41:24 241 32090 32090 F DEBUG   :      04 pc 001060b1   system framework arm boot oat (offset 0x106000) (java lang Object identityHashCodeNative  DEDUPED  112)_x000D_
01 01 11:41:24 241 32090 32090 F DEBUG   :      05 pc 00158a7d   system framework arm boot oat (offset 0x106000) (java lang Object hashCode 60)_x000D_
01 01 11:41:24 241 32090 32090 F DEBUG   :      06 pc 00038a9b   data dalvik cache arm system priv app SystemUI SystemUI apk classes dex (deleted) (offset 0xac000)_x000D_
          beginning of main_x000D_
01 01 11:46:53 731 32125 32376 F libc    : Fatal signal 6 (SIGABRT)  code  6 (SI TKILL) in tid 32376 (InflaterThread )  pid 32125 (ndroid systemui)_x000D_
01 01 11:46:54 490  3002  3002 F DEBUG   :                                                                _x000D_
01 01 11:46:54 490  3002  3002 F DEBUG   : LineageOS Version:  16 0 20191228 NIGHTLY klte _x000D_
01 01 11:46:54 490  3002  3002 F DEBUG   : Build fingerprint:  samsung kltexx klte:6 0 1 MMB29M G900FXXU1CRH1:user release keys _x000D_
01 01 11:46:54 490  3002  3002 F DEBUG   : Revision:  14 _x000D_
01 01 11:46:54 490  3002  3002 F DEBUG   : ABI:  arm _x000D_
01 01 11:46:54 490  3002  3002 F DEBUG   : pid: 32125  tid: 32376  name: InflaterThread      com android systemui    _x000D_
01 01 11:46:54 490  3002  3002 F DEBUG   : signal 6 (SIGABRT)  code  6 (SI TKILL)  fault addr         _x000D_
01 01 11:46:54 491  3002  3002 F DEBUG   : Abort message:  monitor cc:1120  Invalid monitor state ForwardingAddress _x000D_
01 01 11:46:54 491  3002  3002 F DEBUG   :     r0  00000000  r1  00007e78  r2  00000006  r3  00000008_x000D_
01 01 11:46:54 491  3002  3002 F DEBUG   :     r4  00007d7d  r5  00007e78  r6  893399f4  r7  0000010c_x000D_
01 01 11:46:54 491  3002  3002 F DEBUG   :     r8  0000000b  r9  00000000  r10 cfffffff  r11 aff3c8a8_x000D_
01 01 11:46:54 491  3002  3002 F DEBUG   :     ip  00000041  sp  893399e0  lr  b2d6d125  pc  b2d64e4a_x000D_
01 01 11:46:54 861  3002  3002 F DEBUG   : _x000D_
01 01 11:46:54 861  3002  3002 F DEBUG   : backtrace:_x000D_
01 01 11:46:54 861  3002  3002 F DEBUG   :      00 pc 0001ce4a   system lib libc so (abort 58)_x000D_
01 01 11:46:54 861  3002  3002 F DEBUG   :      01 pc 00357253   system lib libart so (offset 0x34b000) (art::Runtime::Abort(char const ) 950)_x000D_
01 01 11:46:54 861  3002  3002 F DEBUG   :      02 pc 000071c3   system lib libbase so (android::base::LogMessage:: LogMessage() 506)_x000D_
01 01 11:46:54 861  3002  3002 F DEBUG   :      03 pc 002dec9d   system lib libart so (offset 0x2b6000) (art::Monitor::MonitorEnter(art::Thread   art::mirror::Object   bool) 532)_x000D_
01 01 11:46:54 861  3002  3002 F DEBUG   :      04 pc 003df413   system lib libart so (offset 0x34c000) (artLockObjectFromCode 14)_x000D_
01 01 11:46:54 861  3002  3002 F DEBUG   :      05 pc 004182f7   system lib libart so (offset 0x34c000) (art quick lock object 102)_x000D_
01 01 11:46:54 862  3002  3002 F DEBUG   :      06 pc 00aeb635   system framework arm boot framework oat (offset 0x383000) (android util Pools SynchronizedPool release 52)_x000D_
01 01 11:46:54 862  3002  3002 F DEBUG   :      07 pc 006b8a01   system framework arm boot framework oat (offset 0x383000) (android content res TypedArray recycle 96)_x000D_
01 01 11:46:54 862  3002  3002 F DEBUG   :      08 pc 00b0e611   system framework arm boot framework oat (offset 0x383000) (android view ViewStub  init  192)_x000D_
01 01 11:46:54 862  3002  3002 F DEBUG   :      09 pc 00b0e525   system framework arm boot framework oat (offset 0x383000) (android view ViewStub  init  60)_x000D_
01 01 11:46:54 862  3002  3002 F DEBUG   :      10 pc 00418175   system lib libart so (offset 0x34c000) (art quick invoke stub internal 68)_x000D_
01 01 11:46:54 862  3002  3002 F DEBUG   :      11 pc 003f16e5   system lib libart so (offset 0x34c000) (art quick invoke stub 224)_x000D_
01 01 11:46:54 862  3002  3002 F DEBUG   :      12 pc 000a100d   system lib libart so (art::ArtMethod::Invoke(art::Thread   unsigned int   unsigned int  art::JValue   char const ) 136)_x000D_
01 01 11:46:54 862  3002  3002 F DEBUG   :      13 pc 00351131   system lib libart so (offset 0x2b6000) (art::(anonymous namespace)::InvokeWithArgArray(art::ScopedObjectAccessAlreadyRunnable const   art::ArtMethod   art::(anonymous namespace)::ArgArray   art::JValue   char const ) 52)_x000D_
01 01 11:46:54 862  3002  3002 F DEBUG   :      14 pc 00352583   system lib libart so (offset 0x2b6000) (art::InvokeMethod(art::ScopedObjectAccessAlreadyRunnable const    jobject    jobject    jobject   unsigned int) 962)_x000D_
01 01 11:46:54 862  3002  3002 F DEBUG   :      15 pc 002fa21d   system lib libart so (offset 0x2b6000) (art::Constructor newInstance0( JNIEnv    jobject    jobjectArray ) 368)_x000D_
01 01 11:46:54 862  3002  3002 F DEBUG   :      16 pc 0010aee5   system framework arm boot oat (offset 0x106000) (java lang String concat  DEDUPED  92)_x000D_
01 01 11:46:54 862  3002  3002 F DEBUG   :      17 pc 0032e1f9   system framework arm boot oat (offset 0x106000) (java lang reflect Constructor newInstance 64)_x000D_
01 01 11:46:54 862  3002  3002 F DEBUG   :      18 pc 0099df1f   system framework arm boot framework oat (offset 0x383000) (android view LayoutInflater createView 1494)_x000D_
01 01 11:46:54 862  3002  3002 F DEBUG   :      19 pc 00aba7d1   system framework arm boot framework oat (offset 0x383000) (com android internal policy PhoneLayoutInflater onCreateView 120)_x000D_
01 01 11:46:54 862  3002  3002 F DEBUG   :      20 pc 0099f61d   system framework arm boot framework oat (offset 0x383000) (android view LayoutInflater onCreateView 44)_x000D_
01 01 11:46:54 862  3002  3002 F DEBUG   :      21 pc 0099e7ed   system framework arm boot framework oat (offset 0x383000) (android view LayoutInflater createViewFromTag 644)_x000D_
01 01 11:46:54 862  3002  3002 F DEBUG   :      22 pc 0099d569   system framework arm boot framework oat (offset 0x383000) (android view LayoutInflater parseInclude 952)_x000D_
01 01 11:46:54 862  3002  3002 F DEBUG   :      23 pc 00418175   system lib libart so (offset 0x34c000) (art quick invoke stub internal 68)_x000D_
01 01 11:46:54 862  3002  3002 F DEBUG   :      24 pc 003f16e5   system lib libart so (offset 0x34c000) (art quick invoke stub 224)_x000D_
01 01 11:46:54 862  3002  3002 F DEBUG   :      25 pc 000a100d   system lib libart so (art::ArtMethod::Invoke(art::Thread   unsigned int   unsigned int  art::JValue   char const ) 136)_x000D_
01 01 11:46:54 863  3002  3002 F DEBUG   :      26 pc 00351131   system lib libart so (offset 0x2b6000) (art::(anonymous namespace)::InvokeWithArgArray(art::ScopedObjectAccessAlreadyRunnable const   art::ArtMethod   art::(anonymous namespace)::ArgArray   art::JValue   char const ) 52)_x000D_
01 01 11:46:54 863  3002  3002 F DEBUG   :      27 pc 00352583   system lib libart so (offset 0x2b6000) (art::InvokeMethod(art::ScopedObjectAccessAlreadyRunnable const    jobject    jobject    jobject   unsigned int) 962)_x000D_
01 01 11:46:54 863  3002  3002 F DEBUG   :      28 pc 00303251   system lib libart so (offset 0x2b6000) (art::Method invoke( JNIEnv    jobject    jobject    jobjectArray ) 40)_x000D_
01 01 11:46:54 863  3002  3002 F DEBUG   :      29 pc 0010c1f7   system framework arm boot oat (offset 0x106000) (java lang Class getDeclaredMethodInternal  DEDUPED  110)_x000D_
01 01 11:46:54 863  3002  3002 F DEBUG   :      30 pc 0000a2e7   dev ashmem dalvik jit code cache (deleted)_x000D_
01 01 11:46:57 064  3032  3032 F ndroid systemu: runtime cc:558      group    sCount 1 dsCount 0 flags 1 obj 0x13880020 self 0xaa1af800_x000D_
01 01 11:46:57 064  3032  3032 F ndroid systemu: runtime cc:558      sysTid 3056 nice 0 cgrp default sched 0 0 handle 0x95a37970_x000D_
01 01 11:46:57 064  3032  3032 F ndroid systemu: runtime cc:558      state S schedstat ( 546303 2937239 4 ) utm 0 stm 0 core 2 HZ 100_x000D_
01 01 11:46:57 064  3032  3032 F ndroid systemu: runtime cc:558      stack 0x9593c000 0x9593e000 stackSize 1010KB_x000D_
01 01 11:46:57 064  3032  3032 F ndroid systemu: runtime cc:558      held mutexes _x000D_
01 01 11:46:57 064  3032  3032 F ndroid systemu: runtime cc:558    native:  00 pc 00054d10   system lib libc so (  ioctl 8)_x000D_
01 01 11:46:57 064  3032  3032 F ndroid systemu: runtime cc:558    native:  01 pc 00021c4b   system lib libc so (ioctl 38)_x000D_
01 01 11:46:57 064  3032  3032 F ndroid systemu: runtime cc:558    native:  02 pc 0003d49b   system lib libbinder so (android::IPCThreadState::talkWithDriver(bool) 206)_x000D_
01 01 11:46:57 064  3032  3032 F ndroid systemu: runtime cc:558    native:  03 pc 0003d5eb   system lib libbinder so (android::IPCThreadState::getAndExecuteCommand() 10)_x000D_
01 01 11:46:57 064  3032  3032 F ndroid systemu: runtime cc:558    native:  04 pc 0003db73   system lib libbinder so (android::IPCThreadState::joinThreadPool(bool) 38)_x000D_
01 01 11:46:57 064  3032  3032 F ndroid systemu: runtime cc:558    native:  05 pc 0005466d   system lib libbinder so (android::PoolThread::threadLoop() 12)_x000D_
01 01 11:46:57 064  3032  3032 F ndroid systemu: runtime cc:558    native:  06 pc 0000c0b7   system lib libutils so (android::Thread:: threadLoop(void ) 170)_x000D_
01 01 11:46:57 064  3032  3032 F ndroid systemu: runtime cc:558    native:  07 pc 0006f1f3   system lib libandroid runtime so (android::AndroidRuntime::javaThreadShell(void ) 82)_x000D_
01 01 11:46:57 064  3032  3032 F ndroid systemu: runtime cc:558    native:  08 pc 00064ac3   system lib libc so (  pthread start(void ) 22)_x000D_
01 01 11:46:57 064  3032  3032 F ndroid systemu: runtime cc:558    native:  09 pc 0001e061   system lib libc so (  start thread 32)_x000D_
01 01 11:46:57 064  3032  3032 F ndroid systemu: runtime cc:558    (no managed stack frames)_x000D_
01 01 11:46:57 064  3032  3032 F ndroid systemu: runtime cc:558  _x000D_
01 01 11:46:57 064  3032  3032 F ndroid systemu: runtime cc:558   Profile Saver  prio 5 tid 11 Native_x000D_
01 01 11:46:57 064  3032  3032 F ndroid systemu: runtime cc:558      group    sCount 1 dsCount 0 flags 1 obj 0x13900020 self 0xa8711400_x000D_
01 01 11:46:57 064  3032  3032 F ndroid systemu: runtime cc:558      sysTid 3058 nice 9 cgrp default sched 0 0 handle 0x95939970_x000D_
01 01 11:46:57 064  3032  3032 F ndroid systemu: runtime cc:558      state S schedstat ( 624792 5105572 2 ) utm 0 stm 0 core 3 HZ 100_x000D_
01 01 11:46:57 064  3032  3032 F ndroid systemu: runtime cc:558      stack 0x9583e000 0x95840000 stackSize 1010KB_x000D_
01 01 11:46:57 064  3032  3032 F ndroid systemu: runtime cc:558      held mutexes _x000D_
01 01 11:46:57 064  3032  3032 F ndroid systemu: runtime cc:558    native:  00 pc 00019e2c   system lib libc so (syscall 32)_x000D_
01 01 11:46:57 064  3032  3032 F ndroid systemu: runtime cc:558    native:  01 pc 000a6fbb   system lib libart so (art::ConditionVariable::TimedWait(art::Thread   long long  int) 106)_x000D_
01 01 11:46:57 064  3032  3032 F ndroid systemu: runtime cc:558    native:  02 pc 0026199f   system lib libart so (offset 1a6000) (art::ProfileSaver::Run() 142)_x000D_
01 01 11:46:57 064  3032  3032 F ndroid systemu: runtime cc:558    native:  03 pc 002643b9   system lib libart so (offset 1a6000) (art::ProfileSaver::RunProfileSaverThread(void ) 52)_x000D_
01 01 11:46:57 064  3032  3032 F ndroid systemu: runtime cc:558    native:  04 pc 00064ac3   system lib libc so (  pthread start(void ) 22)_x000D_
01 01 11:46:57 064  3032  3032 F ndroid systemu: runtime cc:558    native:  05 pc 0001e061   system lib libc so (  start thread 32)_x000D_
01 01 11:46:57 064  3032  3032 F ndroid systemu: runtime cc:558    (no managed stack frames)_x000D_
01 01 11:46:57 064  3032  3032 F ndroid systemu: runtime cc:558  _x000D_
01 01 11:46:57 064  3032  3032 F ndroid systemu: runtime cc:558  Aborting thread:_x000D_
01 01 11:46:57 064  3032  3032 F ndroid systemu: runtime cc:558   main  prio 5 tid 1 Runnable_x000D_
01 01 11:46:57 064  3032  3032 F ndroid systemu: runtime cc:558      group    sCount 1 dsCount 0 flags 9 obj 0x73feb1f0 self 0xb0099000_x000D_
01 01 11:46:57 064  3032  3032 F ndroid systemu: runtime cc:558      sysTid 3032 nice 0 cgrp default sched 0 0 handle 0xb3e39494_x000D_
01 01 11:46:57 064  3032  3032 F ndroid systemu: runtime cc:558      state R schedstat ( 783517291 155727919 543 ) utm 57 stm 20 core 2 HZ 100_x000D_
01 01 11:46:57 064  3032  3032 F ndroid systemu: runtime cc:558      stack 0xbe623000 0xbe625000 stackSize 8MB_x000D_
01 01 11:46:57 064  3032  3032 F ndroid systemu: runtime cc:558      held mutexes   abort lock   mutator lock (shared held)_x000D_
01 01 11:46:57 064  3032  3032 F ndroid systemu: runtime cc:558    native:  00 pc 002e1263   system lib libart so (offset 2b6000) (art::DumpNativeStack(std::  1::basic ostream char  std::  1::char traits char     int  BacktraceMap   char const   art::ArtMethod   void   bool) 134)_x000D_
01 01 11:46:57 064  3032  3032 F ndroid systemu: runtime cc:558    native:  01 pc 00378bf9   system lib libart so (offset 34c000) (art::Thread::DumpStack(std::  1::basic ostream char  std::  1::char traits char     bool  BacktraceMap   bool) const 212)_x000D_
01 01 11:46:57 064  3032  3032 F ndroid systemu: runtime cc:558    native:  02 pc 00375207   system lib libart so (offset 34c000) (art::Thread::Dump(std::  1::basic ostream char  std::  1::char traits char     bool  BacktraceMap   bool) const 34)_x000D_
01 01 11:46:57 064  3032  3032 F ndroid systemu: runtime cc:558    native:  03 pc 0036324f   system lib libart so (offset 34c000) (art::AbortState::DumpThread(std::  1::basic ostream char  std::  1::char traits char     art::Thread ) const 30)_x000D_
01 01 11:46:57 064  3032  3032 F ndroid systemu: runtime cc:558    native:  04 pc 0035725b   system lib libart so (offset 34b000) (art::Runtime::Abort(char const ) 958)_x000D_
01 01 11:46:57 064  3032  3032 F ndroid systemu: runtime cc:558    native:  05 pc 000071c3   system lib libbase so (android::base::LogMessage:: LogMessage() 506)_x000D_
01 01 11:46:57 064  3032  3032 F ndroid systemu: runtime cc:558    native:  06 pc 003dedf5   system lib libart so (offset 34c000) ( ZN3artL12GoToRunnableEPNS 6ThreadE llvm 176016913 264)_x000D_
01 01 11:46:57 064  3032  3032 F ndroid systemu: runtime cc:558    native:  07 pc 003decc5   system lib libart so (offset 34c000) (art::JniMethodEnd(unsigned int  art::Thread ) 8)_x000D_
01 01 11:46:57 065  3032  3032 F ndroid systemu: runtime cc:558    native:  08 pc 00003bdd   data dalvik cache arm system framework edxp jar classes dex (offset 3000) (Java com swift sandhook SandHook hookMethod  Ljava lang reflect Member 2Ljava lang reflect Method 2Ljava lang reflect Method 2I 180)_x000D_
01 01 11:46:57 065  3032  3032 F ndroid systemu: runtime cc:558    at com swift sandhook SandHook hookMethod(Native method)_x000D_
01 01 11:46:57 065  3032  3032 F ndroid systemu: runtime cc:558    at com swift sandhook SandHook hook(SandHook java:114)_x000D_
01 01 11:46:57 065  3032  3032 F ndroid systemu: runtime cc:558      locked  0x0c3a538d  (a java lang Class com swift sandhook SandHook )_x000D_
01 01 11:46:57 065  3032  3032 F ndroid systemu: runtime cc:558    at com swift sandhook xposedcompat methodgen SandHookXposedBridge hookMethod(SandHookXposedBridge java:70)_x000D_
01 01 11:46:57 065  3032  3032 F ndroid systemu: runtime cc:558      locked  0x0658b942  (a java lang Class com swift sandhook xposedcompat methodgen SandHookXposedBridge )_x000D_
01 01 11:46:57 065  3032  3032 F ndroid systemu: runtime cc:558    at com swift sandhook xposedcompat XposedCompat hookMethod(XposedCompat java:64)_x000D_
01 01 11:46:57 065  3032  3032 F ndroid systemu: runtime cc:558      locked  0x07452d53  (a java lang Class com swift sandhook xposedcompat XposedCompat )_x000D_
01 01 11:46:57 065  3032  3032 F ndroid systemu: runtime cc:558    at com elderdrivers riru edxp sandhook config SandHookProvider hookMethod(SandHookProvider java:28)_x000D_
01 01 11:46:57 065  3032  3032 F ndroid systemu: runtime cc:558    at de robv android xposed XposedBridge hookMethodNative(XposedBridge java:461)_x000D_
01 01 11:46:57 065  3032  3032 F ndroid systemu: runtime cc:558      locked  0x0d75c690  (a java lang Class de robv android xposed XposedBridge )_x000D_
01 01 11:46:57 065  3032  3032 F ndroid systemu: runtime cc:558    at de robv android xposed XposedBridge hookMethod(XposedBridge java:238)_x000D_
01 01 11:46:57 065  3032  3032 F ndroid systemu: runtime cc:558    at de robv android xposed XposedHelpers findAndHookMethod(XposedHelpers java:187)_x000D_
01 01 11:46:57 065  3032  3032 F ndroid systemu: runtime cc:558    at com ceco pie gravitybox ModLockscreen init(ModLockscreen java:342)_x000D_
01 01 11:46:57 065  3032  3032 F ndroid systemu: runtime cc:558    at com ceco pie gravitybox GravityBox handleLoadPackage(GravityBox java:191)_x000D_
01 01 11:46:57 065  3032  3032 F ndroid systemu: runtime cc:558    at de robv android xposed IXposedHookLoadPackage Wrapper handleLoadPackage(IXposedHookLoadPackage java:37)_x000D_
01 01 11:46:57 065  3032  3032 F ndroid systemu: runtime cc:558    at de robv android xposed callbacks XC LoadPackage call(XC LoadPackage java:61)_x000D_
01 01 11:46:57 065  3032  3032 F ndroid systemu: runtime cc:558    at de robv android xposed callbacks XCallback callAll(XCallback java:117)_x000D_
01 01 11:46:57 065  3032  3032 F ndroid systemu: runtime cc:558    at com elderdrivers riru edxp  hooker impl HandleBindApp beforeHookedMethod(HandleBindApp java:70)_x000D_
01 01 11:46:57 065  3032  3032 F ndroid systemu: runtime cc:558    at de robv android xposed XC MethodHook callBeforeHookedMethod(XC MethodHook java:51)_x000D_
01 01 11:46:57 065  3032  3032 F ndroid systemu: runtime cc:558    at com swift sandhook xposedcompat hookstub HookStubManager hookBridge(HookStubManager java:276)_x000D_
01 01 11:46:57 065  3032  3032 F ndroid systemu: runtime cc:558    at com swift sandhook xposedcompat hookstub MethodHookerStubs32 stub hook 0(MethodHookerStubs32 java:198)_x000D_
01 01 11:46:57 065  3032  3032 F ndroid systemu: runtime cc:558    at android app ActivityThread access 1100(ActivityThread java:200)_x000D_
01 01 11:46:57 065  3032  3032 F ndroid systemu: runtime cc:558    at android app ActivityThread H handleMessage(ActivityThread java:1656)_x000D_
01 01 11:46:57 065  3032  3032 F ndroid systemu: runtime cc:558    at android os Handler dispatchMessage(Handler java:106)_x000D_
01 01 11:46:57 065  3032  3032 F ndroid systemu: runtime cc:558    at android os Looper loop(Looper java:193)_x000D_
01 01 11:46:57 065  3032  3032 F ndroid systemu: runtime cc:558    at android app ActivityThread main(ActivityThread java:6718)_x000D_
01 01 11:46:57 065  3032  3032 F ndroid systemu: runtime cc:558    at java lang reflect Method invoke(Native method)_x000D_
01 01 11:46:57 065  3032  3032 F ndroid systemu: runtime cc:558    at com android internal os RuntimeInit MethodAndArgsCaller run(RuntimeInit java:491)_x000D_
01 01 11:46:57 065  3032  3032 F ndroid systemu: runtime cc:558    at com android internal os ZygoteInit main(ZygoteInit java:858)_x000D_
01 01 11:46:57 065  3032  3032 F ndroid systemu: runtime cc:558  _x000D_
01 01 11:46:57 066  3032  3032 F libc    : Fatal signal 6 (SIGABRT)  code  6 (SI TKILL) in tid 3032 (re initialized )  pid 3032 (re initialized )_x000D_
01 01 11:46:57 166  3063  3063 F DEBUG   :                                                                _x000D_
01 01 11:46:57 166  3063  3063 F DEBUG   : LineageOS Version:  16 0 20191228 NIGHTLY klte _x000D_
01 01 11:46:57 166  3063  3063 F DEBUG   : Build fingerprint:  samsung kltexx klte:6 0 1 MMB29M G900FXXU1CRH1:user release keys _x000D_
01 01 11:46:57 166  3063  3063 F DEBUG   : Revision:  14 _x000D_
01 01 11:46:57 166  3063  3063 F DEBUG   : ABI:  arm _x000D_
01 01 11:46:57 166  3063  3063 F DEBUG   : pid: 3032  tid: 3032  name: re initialized        pre initialized     _x000D_
01 01 11:46:57 166  3063  3063 F DEBUG   : signal 6 (SIGABRT)  code  6 (SI TKILL)  fault addr         _x000D_
01 01 11:46:57 166  3063  3063 F DEBUG   : Abort message:  thread inl h:267  Transitioning to runnable with checkpoint flag   flags 2 state 67 _x000D_
01 01 11:46:57 166  3063  3063 F DEBUG   :     r0  00000000  r1  00000bd8  r2  00000006  r3  00000008_x000D_
01 01 11:46:57 166  3063  3063 F DEBUG   :     r4  00000bd8  r5  00000bd8  r6  bee1dee4  r7  0000010c_x000D_
01 01 11:46:57 166  3063  3063 F DEBUG   :     r8  00000002  r9  bee1dfa0  r10 aff3b374  r11 afeebe48_x000D_
01 01 11:46:57 166  3063  3063 F DEBUG   :     ip  00000041  sp  bee1ded0  lr  b2d6d125  pc  b2d64e4a_x000D_
01 01 11:46:57 173  3063  3063 F DEBUG   : _x000D_
01 01 11:46:57 173  3063  3063 F DEBUG   : backtrace:_x000D_
01 01 11:46:57 173  3063  3063 F DEBUG   :      00 pc 0001ce4a   system lib libc so (abort 58)_x000D_
01 01 11:46:57 173  3063  3063 F DEBUG   :      01 pc 00357253   system lib libart so (offset 0x34b000) (art::Runtime::Abort(char const ) 950)_x000D_
01 01 11:46:57 173  3063  3063 F DEBUG   :      02 pc 000071c3   system lib libbase so (android::base::LogMessage:: LogMessage() 506)_x000D_
01 01 11:46:57 173  3063  3063 F DEBUG   :      03 pc 003dedf5   system lib libart so (offset 0x34c000) ( ZN3artL12GoToRunnableEPNS 6ThreadE llvm 176016913 264)_x000D_
01 01 11:46:57 173  3063  3063 F DEBUG   :      04 pc 003decc5   system lib libart so (offset 0x34c000) (art::JniMethodEnd(unsigned int  art::Thread ) 8)_x000D_
01 01 11:46:57 173  3063  3063 F DEBUG   :      05 pc 00003bdd   data dalvik cache arm system framework edxp jar classes dex (offset 0x3000)_x000D_
   </t>
  </si>
  <si>
    <t>LawnchairLauncher-lawnchair-1895</t>
  </si>
  <si>
    <t>Home widget doesn't show time, weather</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</si>
  <si>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When I first installed lawnchair  the weather showed up  but I couldn t get the time to show up   I reset the phone and then neither the time or the weather showed up _x000D_
_x000D_
_x000D_
   Expected Behavior_x000D_
time weather shoud show up_x000D_
_x000D_
_x000D_
   Actual Behavior_x000D_
I see the date and the  now playing   or a greeting _x000D_
_x000D_
_x000D_
   Steps to Reproduce_x000D_
Install the home widget_x000D_
_x000D_
_x000D_
   Environment_x000D_
moto g3 marshmallow_x000D_
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your log here_x000D_
   _x000D_
</t>
  </si>
  <si>
    <t>k9mail-k-9-4423</t>
  </si>
  <si>
    <t>Many crashes</t>
  </si>
  <si>
    <t xml:space="preserve">Since some months the app doesn t work at all  It crashes  with the message  the app unexpectedly closed  _x000D_
    Environment_x000D_
K 9 Mail version: 5 205_x000D_
_x000D_
Android version: 8 1 0_x000D_
_x000D_
Account type (IMAP  POP3  WebDAV Exchange): POP3_x000D_
_x000D_
Please take some time to  retrieve logs (https:  github com k9mail k 9 wiki LoggingErrors) and attach them here:_x000D_
</t>
  </si>
  <si>
    <t>UriahShaulMandel-BaldPhone-181</t>
  </si>
  <si>
    <t>AppsActivity crashes on phones with lineageOS installed (and some others)</t>
  </si>
  <si>
    <t xml:space="preserve">  Describe the bug  _x000D_
The AppsActivity crashes on phones with lineageOS installed (and some others)_x000D_
_x000D_
  To Reproduce  _x000D_
Install lineageOS_x000D_
Open AppsActivity_x000D_
_x000D_
  Expected behavior  _x000D_
To not crash lol   to add the picture to the database successfully_x000D_
_x000D_
   _x000D_
java lang NullPointerException: Attempt to get length of null array_x000D_
	at com bald uriah baldphone utils S byteArrayToBitmap(S java:161)_x000D_
	at com bald uriah baldphone databases apps AppsDatabaseHelper loadPic(AppsDatabaseHelper java:165)_x000D_
	at com bald uriah baldphone adapters AppsRecyclerViewAdapter AppViewHolder update(AppsRecyclerViewAdapter java:184)_x000D_
	at com bald uriah baldphone adapters AppsRecyclerViewAdapter onBindViewHolder(AppsRecyclerViewAdapter java:113)_x000D_
   _x000D_
_x000D_
Also  quite sure it has something to do with these two:_x000D_
_x000D_
https:  github com UriahShaulMandel BaldPhone blob afd53e0d0789a03989c47ae78024208c7272eaf7 app src main java com bald uriah baldphone utils S java L160 L162_x000D_
_x000D_
https:  github com UriahShaulMandel BaldPhone blob afd53e0d0789a03989c47ae78024208c7272eaf7 app src main java com bald uriah baldphone databases apps AppsDatabaseHelper java L123 L127_x000D_
_x000D_
</t>
  </si>
  <si>
    <t>MCMrARM-revolution-irc-236</t>
  </si>
  <si>
    <t>inputbox becomes weird after pasting text from clipboard</t>
  </si>
  <si>
    <t>inputbox is going crazy after pasting text from clipboard (input lag  autocomplete clears word completely and after undetermined time app crashes   _x000D_
it is possible that this is not client bug_x000D_
Android 7 0  Revolution IRC 0 5 2  Keyboard: Gboard 5 1 18</t>
  </si>
  <si>
    <t>deltachat-deltachat-android-1205</t>
  </si>
  <si>
    <t>importing an old backup leads to ANRs</t>
  </si>
  <si>
    <t>I ve imported a backup that was some months old _x000D_
_x000D_
After the initial import the UI became unresponsable and after a while the app crashed _x000D_
The core seems to struggle with duplicated database entries:_x000D_
https:  gist github com cyBerta 5a7c6c64b44f1fc05e43853961da1302_x000D_
_x000D_
Tested on a Samsung Galaxy S4 mini  Android 9  latest deltachat master branch (a6f9110a85b0df5da4fb00ed34ddfd21aa93be25)</t>
  </si>
  <si>
    <t>nextcloud-android-5090</t>
  </si>
  <si>
    <t>Crash on Mobile Device</t>
  </si>
  <si>
    <t>Created a text document with an image _x000D_
  image (png) isn t displayed if you open the file _x000D_
  If you click on details the nextcloud app crashes _x000D_
_x000D_
Working on desktop _x000D_
Nextcloud 17 0 2_x000D_
Text 1 1 1</t>
  </si>
  <si>
    <t>square-okhttp-5682</t>
  </si>
  <si>
    <t>okhttp 4.3.0 crash with custom X509TrustManager</t>
  </si>
  <si>
    <t xml:space="preserve">Android 10 specific _x000D_
_x000D_
Custom  X509TrustManager  in use  extending from  X509ExtendedTrustManager   installed with  OkHttpClient Builder sslSocketFactory()  _x000D_
_x000D_
Updating okhttp from 4 2 2 to 4 3 0 causes a crash when installing the trust manager:_x000D_
_x000D_
   _x000D_
java lang IllegalArgumentException: Required method checkServerTrusted(X509Certificate    String  String  String) missing        _x000D_
        at android net http X509TrustManagerExtensions  init (X509TrustManagerExtensions java:71)_x000D_
        at okhttp3 internal platform android Android10CertificateChainCleaner  init (Android10CertificateChainCleaner kt:36)_x000D_
        at okhttp3 internal platform Android10Platform buildCertificateChainCleaner(Android10Platform kt:62)_x000D_
        at okhttp3 internal tls CertificateChainCleaner Companion get(CertificateChainCleaner kt:42)_x000D_
        at okhttp3 OkHttpClient Builder sslSocketFactory(OkHttpClient kt:735)_x000D_
   _x000D_
_x000D_
Looking up the commits this seems to be introduced by https:  github com square okhttp commit a41361efcb0d4ed2e7f09313c9e9fcc3d72e837b that cut down on reflective calls on the trust manager _x000D_
_x000D_
Fixed this by adding an implementation of the missing method in the custom trust manager  Note the Android platform exception message is off by one  String  arg _x000D_
_x000D_
   _x000D_
        private X509ExtendedTrustManager delegate _x000D_
        private Method checkServerTrusted _x000D_
_x000D_
        CustomExtendedTrustManager( NonNull X509ExtendedTrustManager delegate)  _x000D_
            this delegate   delegate _x000D_
_x000D_
            try  _x000D_
                checkServerTrusted   delegate getClass() getMethod( checkServerTrusted  _x000D_
                        X509Certificate   class _x000D_
                        String class _x000D_
                        String class) _x000D_
              catch (NoSuchMethodException ignored)  _x000D_
             _x000D_
         _x000D_
_x000D_
         SuppressWarnings( unused )_x000D_
         Keep_x000D_
        public List X509Certificate  checkServerTrusted(X509Certificate   chain  String authType  String host) throws CertificateException  _x000D_
            if (checkServerTrusted    null)  _x000D_
                throw new CertificateException( checkServerTrusted(X509Certificate    String  String) not implemented in delegate ) _x000D_
             _x000D_
_x000D_
            List X509Certificate  list _x000D_
            try  _x000D_
                  noinspection unchecked_x000D_
                list   (List X509Certificate ) checkServerTrusted invoke(delegate  chain  authType  host) _x000D_
              catch (IllegalAccessException e)  _x000D_
                throw new CertificateException( Failed to call checkServerTrusted   e) _x000D_
              catch (InvocationTargetException e)  _x000D_
                if (e getCause() instanceof CertificateException)  _x000D_
                    throw (CertificateException) e getCause() _x000D_
                 _x000D_
                if (e getCause() instanceof RuntimeException)  _x000D_
                    throw (RuntimeException) e getCause() _x000D_
                 _x000D_
                throw new CertificateException( checkServerTrusted failed   e getCause()) _x000D_
             _x000D_
_x000D_
            return list _x000D_
         _x000D_
   _x000D_
_x000D_
With this in place the app is no longer crashing and not really expecting okhttp to change here  Posting this issue as a reference to others who might have the same issue _x000D_
</t>
  </si>
  <si>
    <t>ElderDrivers-EdXposed-426</t>
  </si>
  <si>
    <t>Oneplus 6t Module list not found</t>
  </si>
  <si>
    <t xml:space="preserve">          beginning of head_x000D_
EdXposed Log_x000D_
Powered by Log Catcher_x000D_
QQ chat group 855219808_x000D_
          beginning of system info_x000D_
Android version: 10_x000D_
Android sdk: 29_x000D_
Android build: QKQ1 190716 003_x000D_
Fingerprint: OnePlus OnePlus6T OnePlus6T:10 QKQ1 190716 003 1912142009:user release keys_x000D_
ROM build description: OnePlus6T user 10 QKQ1 190716 003 1912142009 release keys_x000D_
EdXposed Version: v0 4 6 0 beta(4471) (Yahfa)_x000D_
Architecture: arm64 v8a_x000D_
Device: OnePlus6T_x000D_
Manufacture: OnePlus_x000D_
Brand: OnePlus_x000D_
Product: OnePlus6T_x000D_
          beginning of main_x000D_
          beginning of system_x000D_
01 02 18:54:56 163   775   775 I EdXposed: onModuleLoaded: welcome to EdXposed _x000D_
01 02 18:54:56 163   775   775 I EdXposed: Start to install inline hooks_x000D_
01 02 18:54:56 163   775   775 I EdXposed: Using api level 29_x000D_
01 02 18:54:56 163   775   775 I EdXposed: Start to install Riru hook_x000D_
01 02 18:54:56 175   775   775 I EdXposed: Riru hooks installed_x000D_
01 02 18:54:56 316   776   776 I EdXposed: onModuleLoaded: welcome to EdXposed _x000D_
01 02 18:54:56 316   776   776 I EdXposed: Start to install inline hooks_x000D_
01 02 18:54:56 316   776   776 I EdXposed: Using api level 29_x000D_
01 02 18:54:56 316   776   776 I EdXposed: Start to install Riru hook_x000D_
01 02 18:54:56 328   776   776 I EdXposed: Riru hooks installed_x000D_
01 02 18:54:56 364   775   775 I EdXposed: ART hooks installed_x000D_
01 02 18:54:56 365   775   775 I EdXposed: system property get: dalvik vm dex2oat filter    quicken_x000D_
01 02 18:54:56 365   775   775 I EdXposed: system property get: dalvik vm dex2oat flags      inline max code units 0_x000D_
01 02 18:54:56 522   776   776 I EdXposed: ART hooks installed_x000D_
01 02 18:54:56 523   776   776 I EdXposed: system property get: dalvik vm dex2oat filter    quicken_x000D_
01 02 18:54:56 523   776   776 I EdXposed: system property get: dalvik vm dex2oat flags      inline max code units 0_x000D_
01 02 18:54:56 648   775   775 I EdXposed: using installer org meowcat edxposed manager_x000D_
01 02 18:54:56 648   775   775 I EdXposed: black white list mode: false  using whitelist: false_x000D_
01 02 18:54:56 648   775   775 I EdXposed: dynamic modules mode: false_x000D_
01 02 18:54:56 648   775   775 I EdXposed: resources hook: true_x000D_
01 02 18:54:56 648   775   775 I EdXposed: deopt boot image: false_x000D_
01 02 18:54:56 692   776   776 I EdXposed: using installer org meowcat edxposed manager_x000D_
01 02 18:54:56 693   776   776 I EdXposed: black white list mode: false  using whitelist: false_x000D_
01 02 18:54:56 693   776   776 I EdXposed: dynamic modules mode: false_x000D_
01 02 18:54:56 693   776   776 I EdXposed: resources hook: true_x000D_
01 02 18:54:56 693   776   776 I EdXposed: deopt boot image: false_x000D_
01 02 18:54:58 271   775   775 E EdXposed Bridge: Cannot load any modules because  data user de 0 org meowcat edxposed manager conf modules list was not found_x000D_
01 02 18:54:59 165  1217  1217 E EdXposed: mmap failed  errno   Permission denied_x000D_
01 02 18:54:59 165  1217  1217 E EdXposed: cannot hook method_x000D_
01 02 18:54:59 169  1217  1217 E EdXposed: error when hooking com elderdrivers riru edxp  hooker yahfa StartBootstrapServicesHooker_x000D_
01 02 18:54:59 169  1217  1217 E EdXposed: java lang RuntimeException: Failed to hook private void com android server SystemServer startBootstrapServices() with public static void com elderdrivers riru edxp  hooker yahfa StartBootstrapServicesHooker hook(java lang Object) throws java lang Throwable_x000D_
01 02 18:54:59 169  1217  1217 E EdXposed: 	at com elderdrivers riru edxp core yahfa HookMain backupAndHook(HookMain java:127)_x000D_
01 02 18:54:59 169  1217  1217 E EdXposed: 	at com elderdrivers riru edxp core yahfa HookMain doHookDefault(HookMain java:3088)_x000D_
01 02 18:54:59 169  1217  1217 E EdXposed: 	at com elderdrivers riru edxp proxy BaseRouter startSystemServerHook(BaseRouter java:134)_x000D_
01 02 18:54:59 169  1217  1217 E EdXposed: 	at com elderdrivers riru edxp  hooker impl SystemMain afterHookedMethod(SystemMain java:27)_x000D_
01 02 18:54:59 169  1217  1217 E EdXposed: 	at de robv android xposed XC MethodHook callAfterHookedMethod(XC MethodHook java:68)_x000D_
01 02 18:54:59 169  1217  1217 E EdXposed: 	at com elderdrivers riru edxp  hooker yahfa SystemMainHooker hook(SystemMainHooker java:25)_x000D_
01 02 18:54:59 169  1217  1217 E EdXposed: 	at com android server SystemServer createSystemContext(SystemServer java:637)_x000D_
01 02 18:54:59 169  1217  1217 E EdXposed: 	at com android server SystemServer run(SystemServer java:522)_x000D_
01 02 18:54:59 169  1217  1217 E EdXposed: 	at com android server SystemServer main(SystemServer java:377)_x000D_
01 02 18:54:59 169  1217  1217 E EdXposed: 	at java lang reflect Method invoke(Native Method)_x000D_
01 02 18:54:59 169  1217  1217 E EdXposed: 	at com android internal os RuntimeInit MethodAndArgsCaller run(RuntimeInit java:516)_x000D_
01 02 18:54:59 169  1217  1217 E EdXposed: 	at com android internal os ZygoteInit main(ZygoteInit java:928)_x000D_
01 02 18:55:02 220  1217  1217 E EdXposed: mmap failed  errno   Permission denied_x000D_
01 02 18:55:02 220  1217  1217 E EdXposed: cannot hook method_x000D_
01 02 18:55:02 220  1217  1217 E EdXposed: error occur when generating dex  dexDir null_x000D_
01 02 18:55:02 220  1217  1217 E EdXposed: java lang RuntimeException: Failed to hook public java lang ClassLoader android app LoadedApk getClassLoader() with public static java lang Object EdHooker  hook(java lang Object)_x000D_
01 02 18:55:02 220  1217  1217 E EdXposed: 	at com elderdrivers riru edxp core yahfa HookMain backupAndHook(HookMain java:127)_x000D_
01 02 18:55:02 220  1217  1217 E EdXposed: 	at com elderdrivers riru edxp yahfa dexmaker DynamicBridge hookMethod(DynamicBridge java:6225)_x000D_
01 02 18:55:02 220  1217  1217 E EdXposed: 	at com elderdrivers riru edxp yahfa config YahfaHookProvider hookMethod(YahfaHookProvider java:19)_x000D_
01 02 18:55:02 220  1217  1217 E EdXposed: 	at de robv android xposed XposedBridge hookMethodNative(XposedBridge java:458)_x000D_
01 02 18:55:02 220  1217  1217 E EdXposed: 	at de robv android xposed XposedBridge hookMethod(XposedBridge java:235)_x000D_
01 02 18:55:02 220  1217  1217 E EdXposed: 	at de robv android xposed XposedHelpers findAndHookMethod(XposedHelpers java:187)_x000D_
01 02 18:55:02 220  1217  1217 E EdXposed: 	at com elderdrivers riru edxp  hooker impl LoadedApkCstr afterHookedMethod(LoadedApkCstr java:64)_x000D_
01 02 18:55:02 220  1217  1217 E EdXposed: 	at de robv android xposed XC MethodHook callAfterHookedMethod(XC MethodHook java:68)_x000D_
01 02 18:55:02 220  1217  1217 E EdXposed: 	at com elderdrivers riru edxp  hooker yahfa LoadedApkConstructorHooker hook(LoadedApkConstructorHooker java:35)_x000D_
01 02 18:55:02 220  1217  1217 E EdXposed: 	at android app ActivityThread getPackageInfo(ActivityThread java:2413)_x000D_
01 02 18:55:02 220  1217  1217 E EdXposed: 	at android app ActivityThread getPackageInfo(ActivityThread java:2356)_x000D_
01 02 18:55:02 220  1217  1217 E EdXposed: 	at android app ActivityThread getPackageInfo(ActivityThread java:2327)_x000D_
01 02 18:55:02 220  1217  1217 E EdXposed: 	at android app ContextImpl createPackageContextAsUser(ContextImpl java:2217)_x000D_
01 02 18:55:02 220  1217  1217 E EdXposed: 	at android app ContextImpl createPackageContext(ContextImpl java:2204)_x000D_
01 02 18:55:02 220  1217  1217 E EdXposed: 	at android content ContextWrapper createPackageContext(ContextWrapper java:876)_x000D_
01 02 18:55:02 220  1217  1217 E EdXposed: 	at android app ActivityThread installProvider(ActivityThread java:7208)_x000D_
01 02 18:55:02 220  1217  1217 E EdXposed: 	at android app ActivityThread installContentProviders(ActivityThread java:6764)_x000D_
01 02 18:55:02 220  1217  1217 E EdXposed: 	at android app ActivityThread installSystemProviders(ActivityThread java:7495)_x000D_
01 02 18:55:02 220  1217  1217 E EdXposed: 	at com android server am ActivityManagerService installSystemProviders(ActivityManagerService java:8379)_x000D_
01 02 18:55:02 220  1217  1217 E EdXposed: 	at com android server SystemServer startOtherServices(SystemServer java:1013)_x000D_
01 02 18:55:02 220  1217  1217 E EdXposed: 	at com android server SystemServer run(SystemServer java:540)_x000D_
01 02 18:55:02 220  1217  1217 E EdXposed: 	at com android server SystemServer main(SystemServer java:377)_x000D_
01 02 18:55:02 220  1217  1217 E EdXposed: 	at java lang reflect Method invoke(Native Method)_x000D_
01 02 18:55:02 220  1217  1217 E EdXposed: 	at com android internal os RuntimeInit MethodAndArgsCaller run(RuntimeInit java:516)_x000D_
01 02 18:55:02 220  1217  1217 E EdXposed: 	at com android internal os ZygoteInit main(ZygoteInit java:928)_x000D_
          beginning of crash_x000D_
01 02 18:55:28 771   776   776 E EdXposed Bridge: Cannot load any modules because  data user de 0 org meowcat edxposed manager conf modules list was not found_x000D_
01 02 18:56:42 783 15301 15693 I XposedInstaller: updating modules list_x000D_
</t>
  </si>
  <si>
    <t>ElderDrivers-EdXposed-424</t>
  </si>
  <si>
    <t>[BUG] 安卓10，edxp管理器启动闪退</t>
  </si>
  <si>
    <t xml:space="preserve">       What happened   _x000D_
edxp    sandhook v0 4 5 1           edxp          installer manager    _x000D_
_x000D_
  Xposed     Xposed Module List  _x000D_
 _x000D_
_x000D_
  Magisk     Magisk Module List  _x000D_
magisk manager for recovery mode_x000D_
riru core(v19 5)_x000D_
riru edxposed(sandhook v0 4 5 1)_x000D_
riru mipushfake_x000D_
YouTube Vanced_x000D_
_x000D_
  EdXposed Riru   Versions of EdXposed and Riru(v19 5)_x000D_
riru edxposed(sandhook v0 4 5 1)_x000D_
_x000D_
    Logcat Logcat  _x000D_
time: 1577958509422_x000D_
msg: Native crash: Segmentation fault_x000D_
stacktrace:                                                                _x000D_
Build fingerprint:  OnePlus OnePlus5T OnePlus5T:9 PKQ1 180716 001 1907311828:user release keys _x000D_
Revision:  0 _x000D_
ABI:  arm64 _x000D_
Timestamp: 2020 01 02 17:48:29 0800_x000D_
pid: 5132  tid: 5155  name: Profile Saver      com solohsu android edxp manager    _x000D_
uid: 10199_x000D_
signal 11 (SIGSEGV)  code 2 (SEGV ACCERR)  fault addr 0x130e5648_x000D_
    x0  0000007dba49c9a0  x1  0000007ea602e440  x2  00000000000026a5  x3  0000007e0afa20d0_x000D_
    x4  0000007e0afa20e8  x5  0000007e167571e0  x6  0000007e1675718c  x7  0000007e16757190_x000D_
    x8  0000000000000000  x9  00000000130e5608  x10 0000007e0afa4c68  x11 0000007e0afa4cd8_x000D_
    x12 0000007e0afa4d28  x13 0000007e0afa4d2c  x14 0000000000001910  x15 000121eab9213600_x000D_
    x16 0000007e210b6748  x17 0000007ea5abc370  x18 0000007db93be000  x19 0000007e16403c18_x000D_
    x20 0000007e0afa3440  x21 0000000000000028  x22 0000007e16401008  x23 0000000000002f80_x000D_
    x24 0000007e0afa3c88  x25 0000000000000001  x26 0000000000002c10  x27 0000007dba49c9f8_x000D_
    x28 0000007dba49c9f8  x29 0000007dba49cc10_x000D_
    sp  0000007dba49c870  lr  0000007e20e3456c  pc  0000007e20e344ec_x000D_
_x000D_
backtrace:_x000D_
       00 pc 00000000003484ec   apex com android runtime lib64 libart so libart so (offset 0x295000) (art::ProfileSaver::FetchAndCacheResolvedClassesAndMethods(bool) 3332) (BuildId: ceec57a57c04c27d67e23d0a3c2022b8)_x000D_
       01 pc 0000000000347584   apex com android runtime lib64 libart so libart so (offset 0x295000) (art::ProfileSaver::Run() 244) (BuildId: ceec57a57c04c27d67e23d0a3c2022b8)_x000D_
       02 pc 000000000034b278   apex com android runtime lib64 libart so libart so (offset 0x295000) (art::ProfileSaver::RunProfileSaverThread(void ) 88) (BuildId: ceec57a57c04c27d67e23d0a3c2022b8)_x000D_
       03 pc 00000000000ec5f4   apex com android runtime lib64 bionic libc so (  pthread start(void ) 36) (BuildId: be5ae329674fe482354cf835b4a27603)_x000D_
       04 pc 0000000000085350   apex com android runtime lib64 bionic libc so (  start thread 64) (BuildId: be5ae329674fe482354cf835b4a27603)_x000D_
</t>
  </si>
  <si>
    <t>Technion236272-2020a-QuickThumbs-127</t>
  </si>
  <si>
    <t>Bug-sounds-make-game-crash-on-old-versions</t>
  </si>
  <si>
    <t xml:space="preserve">The game crashes on calling setUpSoundOnComplete on the cat sound  in api 23 24 at least  we need to figure out the exact problem and find other sound libraries if needed </t>
  </si>
  <si>
    <t>stefan-niedermann-nextcloud-notes-652</t>
  </si>
  <si>
    <t>App crashes on sync</t>
  </si>
  <si>
    <t xml:space="preserve">Android 6 0 1_x000D_
Nextcloud Notes 2 2 0_x000D_
Nextcloud app 3 9 2_x000D_
_x000D_
Nextcloud Notes continuously crashes  this has started happening with new Nextcloud app update _x000D_
_x000D_
This is the error:_x000D_
   _x000D_
 01 01 18:46:55 819 31167:31190 E AndroidRuntime _x000D_
FATAL EXCEPTION: AsyncTask  2_x000D_
Process: it niedermann owncloud notes  PID: 31167_x000D_
Theme: themes: default   fontPkg:org mmk2410 cyngn theme fira _x000D_
java lang RuntimeException: An error occurred while executing doInBackground()_x000D_
	at android os AsyncTask 3 done(AsyncTask java:309)_x000D_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java:234)_x000D_
	at java util concurrent ThreadPoolExecutor runWorker(ThreadPoolExecutor java:1113)_x000D_
	at java util concurrent ThreadPoolExecutor Worker run(ThreadPoolExecutor java:588)_x000D_
	at java lang Thread run(Thread java:818)_x000D_
Caused by: java lang NullPointerException: Attempt to invoke virtual method  int java lang String length()  on a null object reference_x000D_
	at org json JSONTokener nextCleanInternal(JSONTokener java:116)_x000D_
	at org json JSONTokener nextValue(JSONTokener java:94)_x000D_
	at org json JSONArray  init (JSONArray java:92)_x000D_
	at org json JSONArray  init (JSONArray java:108)_x000D_
	at it niedermann owncloud notes util ServerResponse NotesResponse getNotes(ServerResponse java:37)_x000D_
	at it niedermann owncloud notes persistence NoteServerSyncHelper SyncTask pullRemoteChanges(NoteServerSyncHelper java:351)_x000D_
	at it niedermann owncloud notes persistence NoteServerSyncHelper SyncTask doInBackground(NoteServerSyncHelper java:277)_x000D_
	at it niedermann owncloud notes persistence NoteServerSyncHelper SyncTask doInBackground(NoteServerSyncHelper java:248)_x000D_
	at android os AsyncTask 2 call(AsyncTask java:295)_x000D_
	at java util concurrent FutureTask run(FutureTask java:237)_x000D_
	    4 more_x000D_
   </t>
  </si>
  <si>
    <t>Fr4gorSoftware-SecScanQR-127</t>
  </si>
  <si>
    <t>Scanning existing images via Share button not working</t>
  </si>
  <si>
    <t xml:space="preserve">Sharing an existing image via the Share button in any image viewing app is not working _x000D_
_x000D_
   Steps to reproduce_x000D_
_x000D_
1  Open an image containing a QR code in any image viewer app _x000D_
1  Tap the Share button  and in the list of apps select SeqScanQR _x000D_
_x000D_
    Expected result_x000D_
The QR code is decoded _x000D_
_x000D_
    Actual result_x000D_
The regular SeqScanQR UI is displayed and the image is not processed _x000D_
_x000D_
Exception thrown (and swallowed) in  de t dankworth secscanqr activities MainActivity handleSendPicture():425 :_x000D_
   stacktrace_x000D_
com google zxing NotFoundException_x000D_
   _x000D_
The  Toast  text from the catch block is   not   displayed because   show()  is missing:_x000D_
_x000D_
I e  Instead of _x000D_
   java_x000D_
Toast makeText(activity  _x000D_
    getResources() getText(R string error code not found)  _x000D_
    Toast LENGTH LONG) _x000D_
   _x000D_
_x000D_
should be_x000D_
   java_x000D_
    Toast makeText(activity  getResources() getText(R string error code not found)  _x000D_
    Toast LENGTH LONG) show() _x000D_
   _x000D_
_x000D_
  the toast is just a cosmetic thing  has nothing to do with the image not being decoded _x000D_
_x000D_
    NOTES_x000D_
The same QR code is successfully decoded when the camera is used _x000D_
_x000D_
    Dirty workaround_x000D_
 Fr4gorSoftware: Made a  pull request ( Fr4gorSoftware SecScanQR issues 128) which   does not   fix the way zxing is decoding the file from the image sharing intent  Instead it is relying on google  com google android gms:play services vision  API to decode the image  This will crash on devices without GMS  This is not a proper solution  and something cleaner should be used  Or maybe the presence of GMS should be detected via reflection and used as a fallback when zxing cannot do the decoding </t>
  </si>
  <si>
    <t>niclabs-adkintunmobile-androidclient-214</t>
  </si>
  <si>
    <t>ConnectivityTestDialog.java line 37</t>
  </si>
  <si>
    <t xml:space="preserve">     in 
  Number of crashes: 1
  Impacted devices: 1
There s a lot more information about this crash on crashlytics com:
 https:  fabric io niclabs android apps cl niclabs adkintunmobile issues 22999cdea8c9f56a832b2deef4b5ece8 utm medium service hooks github utm source issue impact (https:  fabric io niclabs android apps cl niclabs adkintunmobile issues 22999cdea8c9f56a832b2deef4b5ece8 utm medium service hooks github utm source issue impact)</t>
  </si>
  <si>
    <t>opensrp-opensrp-client-core-397</t>
  </si>
  <si>
    <t>Use one reference for SQLite database</t>
  </si>
  <si>
    <t xml:space="preserve">   x  Use one reference for SQLite database _x000D_
_x000D_
   x  Each repository that extends org smartregister repository BaseRepository stores its reference to the SQLite database  This leaves a chance where the repository object can be null which causes failures in the repositories _x000D_
_x000D_
   x  Catch all exceptions when populating additional columns on the event table  currently exceptions such as numberFormat and dateParse errors are not being handled_x000D_
_x000D_
Crashlytics link https:  console firebase google com project opensrp production crashlytics app android:org smartregister reveal issues 032dab1ba5abc2aec8aca0963ea1a4f4 time last ninety days sessionId 5DF5394801B60001341DAF796180C5C5 DNE 7 v2</t>
  </si>
  <si>
    <t>bspinner-amiberry-android-14</t>
  </si>
  <si>
    <t>Crash on restart after Quit button in amiberry was used</t>
  </si>
  <si>
    <t xml:space="preserve">The app crashes when the user uses the quit button in amiberry and tries to restart it afterwards via proceed button in Android UI  </t>
  </si>
  <si>
    <t>ElderDrivers-EdXposed-420</t>
  </si>
  <si>
    <t>短信相关模块不工作</t>
  </si>
  <si>
    <t xml:space="preserve">       What happened   _x000D_
pixel4    android 10   12    OTA    Hook                   hook      OTA                          _x000D_
https:  github com apsun NekoSMS_x000D_
https:  github com tianma8023 XposedSmsCode_x000D_
_x000D_
  Xposed     Xposed Module List  _x000D_
Fingerface_x000D_
NekoSMS_x000D_
  Screenshot 20191229 222012 (https:  user images githubusercontent com 8017380 71558222 b1cc5300 2a8b 11ea 8f07 ca4abf8696b2 png)_x000D_
  Screenshot 20191229 222017 (https:  user images githubusercontent com 8017380 71558223 b42ead00 2a8b 11ea 985a 3f6445593ffa png)_x000D_
_x000D_
  Magisk     Magisk Module List  _x000D_
EnablePixel4VolteForCU_x000D_
EnableSoli_x000D_
Riru   Core_x000D_
Riru  EdXposed_x000D_
Riru   Location Report Enabler_x000D_
Riru   Storage Redirect(Enhanced mode)_x000D_
Systemless Hosts_x000D_
  Screenshot 20191229 221954 (https:  user images githubusercontent com 8017380 71558231 c0b30580 2a8b 11ea 972b 0c3d369197dc png)_x000D_
  Screenshot 20191229 222003 (https:  user images githubusercontent com 8017380 71558234 c3155f80 2a8b 11ea 9ae3 abd897c0cddb png)_x000D_
_x000D_
  EdXposed Riru   Versions of EdXposed and Riru  _x000D_
_x000D_
EdXposed: Riru  EdXposed v0 4 5 5 beta(4470)(YAHFA)_x000D_
Riru: Riru   Core v19 5_x000D_
_x000D_
    Logcat Logcat  _x000D_
          beginning of head_x000D_
EdXposed Log_x000D_
Powered by Log Catcher_x000D_
QQ chat group 855219808_x000D_
          beginning of system info_x000D_
Android version: 10_x000D_
Android sdk: 29_x000D_
Android build: QQ1C 191205 016 A1_x000D_
Fingerprint: google flame flame:10 QQ1C 191205 016 A1 6015682:user release keys_x000D_
ROM build description: flame user 10 QQ1C 191205 016 A1 6015682 release keys_x000D_
EdXposed Version: v0 4 5 5 beta(4470) (Yahfa)_x000D_
Architecture: arm64 v8a_x000D_
Device: flame_x000D_
Manufacture: Google_x000D_
Brand: google_x000D_
Product: flame_x000D_
          beginning of system_x000D_
          beginning of main_x000D_
12 29 22:27:36 190  1707  1707 I EdXposed: onModuleLoaded: welcome to EdXposed _x000D_
12 29 22:27:36 190  1707  1707 I EdXposed: Start to install inline hooks_x000D_
12 29 22:27:36 190  1707  1707 I EdXposed: Using api level 29_x000D_
12 29 22:27:36 190  1707  1707 I EdXposed: Start to install Riru hook_x000D_
12 29 22:27:36 197  1708  1708 I EdXposed: onModuleLoaded: welcome to EdXposed _x000D_
12 29 22:27:36 197  1708  1708 I EdXposed: Start to install inline hooks_x000D_
12 29 22:27:36 197  1708  1708 I EdXposed: Using api level 29_x000D_
12 29 22:27:36 197  1708  1708 I EdXposed: Start to install Riru hook_x000D_
12 29 22:27:36 197  1707  1707 I EdXposed: Riru hooks installed_x000D_
12 29 22:27:36 206  1708  1708 I EdXposed: Riru hooks installed_x000D_
12 29 22:27:36 207  1707  1707 I EdXposed: ART hooks installed_x000D_
12 29 22:27:36 207  1707  1707 I EdXposed: system property get: dalvik vm dex2oat filter    quicken_x000D_
12 29 22:27:36 207  1707  1707 I EdXposed: system property get: dalvik vm dex2oat flags      inline max code units 0_x000D_
12 29 22:27:36 212  1708  1708 I EdXposed: ART hooks installed_x000D_
12 29 22:27:36 212  1708  1708 I EdXposed: system property get: dalvik vm dex2oat filter    quicken_x000D_
12 29 22:27:36 212  1708  1708 I EdXposed: system property get: dalvik vm dex2oat flags      inline max code units 0_x000D_
12 29 22:27:36 240  1707  1707 I EdXposed: using installer org meowcat edxposed manager_x000D_
12 29 22:27:36 241  1708  1708 I EdXposed: using installer org meowcat edxposed manager_x000D_
12 29 22:27:36 242  1708  1708 I EdXposed: black white list mode: true  using whitelist: false_x000D_
12 29 22:27:36 242  1708  1708 I EdXposed: dynamic modules mode: false_x000D_
12 29 22:27:36 242  1708  1708 I EdXposed: resources hook: true_x000D_
12 29 22:27:36 242  1708  1708 I EdXposed: deopt boot image: false_x000D_
12 29 22:27:36 242  1707  1707 I EdXposed: black white list mode: true  using whitelist: false_x000D_
12 29 22:27:36 242  1707  1707 I EdXposed: dynamic modules mode: false_x000D_
12 29 22:27:36 242  1707  1707 I EdXposed: resources hook: true_x000D_
12 29 22:27:36 242  1707  1707 I EdXposed: deopt boot image: false_x000D_
12 29 22:27:36 243  1707  1707 I EdXposed: blacklist: com google android gsf_x000D_
12 29 22:27:36 243  1707  1707 I EdXposed: blacklist: com google android gms_x000D_
12 29 22:27:36 243  1707  1707 I EdXposed: blacklist: com android vending_x000D_
12 29 22:27:36 243  1707  1707 I EdXposed: blacklist: com google android apps walletnfcrel_x000D_
12 29 22:27:36 243  1708  1708 I EdXposed: blacklist: com google android gsf_x000D_
12 29 22:27:36 243  1708  1708 I EdXposed: blacklist: com google android gms_x000D_
12 29 22:27:36 243  1708  1708 I EdXposed: blacklist: com android vending_x000D_
12 29 22:27:36 243  1708  1708 I EdXposed: blacklist: com google android apps walletnfcrel_x000D_
12 29 22:27:36 625  1707  1707 I EdXposed Bridge: Loading modules from  data app com crossbowffs nekosms mDW4JU1erTvFnhMW8NBxGg   base apk_x000D_
12 29 22:27:36 686  1707  1707 I EdXposed Bridge:   Loading class com crossbowffs nekosms xposed SmsHandlerHook_x000D_
12 29 22:27:36 687  1707  1707 I EdXposed Bridge:   Loading class com crossbowffs nekosms xposed XposedUtilsHook_x000D_
12 29 22:27:36 688  1707  1707 I EdXposed Bridge: Loading modules from  data app com edison fingerface 7gNYWM iae9nxw eGJ7tWg   base apk_x000D_
12 29 22:27:36 694  1707  1707 I EdXposed Bridge:   Loading class com edison fingerface XposedHandler_x000D_
12 29 22:27:39 461  2235  2235 E EdXposed: can t access config path  using snapshot use white list:  data user de 0 vendor qti hardware cacert server_x000D_
12 29 22:27:39 461  2235  2235 E EdXposed: can t access config path  using snapshot black list:  data user de 0 vendor qti hardware cacert server_x000D_
12 29 22:27:40 143  2291  2291 E EdXposed Bridge: java lang NoSuchMethodError: com android internal telephony InboundSmsHandler dispatchIntent(android content Intent java lang String int android os Bundle android content BroadcastReceiver android os UserHandle) exact_x000D_
12 29 22:27:40 143  2291  2291 E EdXposed Bridge: 	at de robv android xposed XposedHelpers findMethodExact(XposedHelpers java:344)_x000D_
12 29 22:27:40 143  2291  2291 E EdXposed Bridge: 	at de robv android xposed XposedHelpers findAndHookMethod(XposedHelpers java:185)_x000D_
12 29 22:27:40 143  2291  2291 E EdXposed Bridge: 	at de robv android xposed XposedHelpers findAndHookMethod(XposedHelpers java:260)_x000D_
12 29 22:27:40 143  2291  2291 E EdXposed Bridge: 	at com crossbowffs nekosms xposed SmsHandlerHook hookDispatchIntent23(SmsHandlerHook java:290)_x000D_
12 29 22:27:40 143  2291  2291 E EdXposed Bridge: 	at com crossbowffs nekosms xposed SmsHandlerHook hookDispatchIntent(SmsHandlerHook java:310)_x000D_
12 29 22:27:40 143  2291  2291 E EdXposed Bridge: 	at com crossbowffs nekosms xposed SmsHandlerHook hookSmsHandler(SmsHandlerHook java:320)_x000D_
12 29 22:27:40 143  2291  2291 E EdXposed Bridge: 	at com crossbowffs nekosms xposed SmsHandlerHook handleLoadPackage(SmsHandlerHook java:337)_x000D_
12 29 22:27:40 143  2291  2291 E EdXposed Bridge: 	at de robv android xposed IXposedHookLoadPackage Wrapper handleLoadPackage(IXposedHookLoadPackage java:37)_x000D_
12 29 22:27:40 143  2291  2291 E EdXposed Bridge: 	at de robv android xposed callbacks XC LoadPackage call(XC LoadPackage java:61)_x000D_
12 29 22:27:40 143  2291  2291 E EdXposed Bridge: 	at de robv android xposed callbacks XCallback callAll(XCallback java:117)_x000D_
12 29 22:27:40 143  2291  2291 E EdXposed Bridge: 	at com elderdrivers riru edxp  hooker impl LoadedApkGetCL afterHookedMethod(LoadedApkGetCL java:68)_x000D_
12 29 22:27:40 143  2291  2291 E EdXposed Bridge: 	at de robv android xposed XC MethodHook callAfterHookedMethod(XC MethodHook java:68)_x000D_
12 29 22:27:40 143  2291  2291 E EdXposed Bridge: 	at EdHooker  hook(Unknown Source:130)_x000D_
12 29 22:27:40 143  2291  2291 E EdXposed Bridge: 	at android app LoadedApk getResources(LoadedApk java:1188)_x000D_
12 29 22:27:40 143  2291  2291 E EdXposed Bridge: 	at android app ContextImpl createAppContext(ContextImpl java:2462)_x000D_
12 29 22:27:40 143  2291  2291 E EdXposed Bridge: 	at android app ContextImpl createAppContext(ContextImpl java:2454)_x000D_
12 29 22:27:40 143  2291  2291 E EdXposed Bridge: 	at android app ActivityThread handleBindApplication(ActivityThread java:6343)_x000D_
12 29 22:27:40 143  2291  2291 E EdXposed Bridge: 	at com elderdrivers riru edxp  hooker yahfa HandleBindAppHooker hook(HandleBindAppHooker java:21)_x000D_
12 29 22:27:40 143  2291  2291 E EdXposed Bridge: 	at android app ActivityThread access 1300(ActivityThread java:219)_x000D_
12 29 22:27:40 143  2291  2291 E EdXposed Bridge: 	at android app ActivityThread H handleMessage(ActivityThread java:1859)_x000D_
12 29 22:27:40 143  2291  2291 E EdXposed Bridge: 	at android os Handler dispatchMessage(Handler java:107)_x000D_
12 29 22:27:40 143  2291  2291 E EdXposed Bridge: 	at android os Looper loop(Looper java:214)_x000D_
12 29 22:27:40 143  2291  2291 E EdXposed Bridge: 	at android app ActivityThread main(ActivityThread java:7356)_x000D_
12 29 22:27:40 143  2291  2291 E EdXposed Bridge: 	at java lang reflect Method invoke(Native Method)_x000D_
12 29 22:27:40 143  2291  2291 E EdXposed Bridge: 	at com android internal os RuntimeInit MethodAndArgsCaller run(RuntimeInit java:492)_x000D_
12 29 22:27:40 143  2291  2291 E EdXposed Bridge: 	at com android internal os ZygoteInit main(ZygoteInit java:930)_x000D_
          beginning of crash_x000D_
12 29 22:27:52 967  3716  3716 E EdXposed: can t access config path  using snapshot use white list:  data user 0 com android nfc_x000D_
12 29 22:27:52 967  3716  3716 E EdXposed: can t access config path  using snapshot black list:  data user 0 com android nfc_x000D_
12 29 22:27:53 242  3785  3785 E EdXposed: can t access config path  using snapshot use white list:  data user 0 com google SSRestartDetector_x000D_
12 29 22:27:53 242  3785  3785 E EdXposed: can t access config path  using snapshot black list:  data user 0 com google SSRestartDetector_x000D_
12 29 22:27:59 156  5141  5141 E EdXposed: can t access config path  using snapshot use white list:  data user de 0 com android bluetooth_x000D_
12 29 22:27:59 156  5141  5141 E EdXposed: can t access config path  using snapshot black list:  data user de 0 com android bluetooth_x000D_
12 29 22:28:08 256  1708  1708 I EdXposed Bridge: Loading modules from  data app com crossbowffs nekosms mDW4JU1erTvFnhMW8NBxGg   base apk_x000D_
12 29 22:28:08 389  1708  1708 I EdXposed Bridge:   Loading class com crossbowffs nekosms xposed SmsHandlerHook_x000D_
12 29 22:28:08 392  1708  1708 I EdXposed Bridge:   Loading class com crossbowffs nekosms xposed XposedUtilsHook_x000D_
12 29 22:28:08 392  1708  1708 I EdXposed Bridge: Loading modules from  data app com edison fingerface 7gNYWM iae9nxw eGJ7tWg   base apk_x000D_
12 29 22:28:08 400  1708  1708 I EdXposed Bridge:   Loading class com edison fingerface XposedHandler_x000D_
12 29 22:28:23 171  7700  7700 E EdXposed: can t access config path  using snapshot use white list:  data user 0 com google RilConfigService_x000D_
12 29 22:28:23 171  7700  7700 E EdXposed: can t access config path  using snapshot black list:  data user 0 com google RilConfigService_x000D_
12 29 22:30:22 402 14578 14578 E EdXposed: niceName:com android chrome zygote  procName:zygote  appDataDir is null  blacklisted _x000D_
12 29 22:31:12 881 16738 16738 E EdXposed: can t parse  data system_x000D_
12 29 22:31:28 639 17329 17329 E EdXposed: niceName:com android chrome zygote  procName:zygote  appDataDir is null  blacklisted _x000D_
</t>
  </si>
  <si>
    <t>Technion236272-2020a-Cue-48</t>
  </si>
  <si>
    <t>after sign in fix: requires android.permission.READ_EXTERNAL_STORAGE</t>
  </si>
  <si>
    <t xml:space="preserve">hi sahar  _x000D_
we have a problem with the business logo _x000D_
_x000D_
i did a new sign up that is longer that the last one  and the user should choose a logo image from his phone gallery to be the logo of his business _x000D_
_x000D_
then  in BOSignUp3  which is the last sign up stage  the user sign up with email and password  i create the business and insert it to the firebase and then i call load logo() which load the logo to the firebase _x000D_
but then it crashes with the error  requires android permission READ EXTERNAL STORAGE _x000D_
i deleted from the manifest the request for READ  and also read on the internet that if the min API is lower then 23  you can t ask permission (or don t have to ) so i can t understand why it still crashes and how can we fix it _x000D_
_x000D_
appriciate if you can help </t>
  </si>
  <si>
    <t>ElderDrivers-EdXposed-419</t>
  </si>
  <si>
    <t>[BUG]hook play商店64位应用存在bug  微信国内64位能正常hook play版64位就hook不了</t>
  </si>
  <si>
    <t xml:space="preserve">          beginning of head_x000D_
EdXposed Log_x000D_
Powered by Log Catcher_x000D_
QQ chat group 855219808_x000D_
          beginning of system info_x000D_
Android version: 8 1 0_x000D_
Android sdk: 27_x000D_
Android build: OPM7 181205 001_x000D_
Fingerprint: Android osborn osborn:7 1 1 NGI77B 1540814905:user dev keys_x000D_
ROM build description: osborn user 7 1 1 NGI77B 1 dev keys_x000D_
EdXposed Version: v0 4 6 0 beta(4471) (Yahfa)_x000D_
Architecture: arm64 v8a_x000D_
Device: osborn_x000D_
Manufacture: smartisan_x000D_
Brand: Smartisan_x000D_
Product: osborn_x000D_
          beginning of main_x000D_
          beginning of system_x000D_
12 29 13:52:23 920   693   693 I EdXposed Bridge:   Loading class com fkzhang wechatxposed XposedInit_x000D_
12 29 13:52:23 924   693   693 I EdXposed Bridge: Loading modules from  data app me dannyit wechat chum 9xM uZi0vTBYI2tST5nl w   base apk_x000D_
12 29 13:52:24 048   693   693 I EdXposed Bridge:   Loading class me dannyit wechat chum backend WechatHook_x000D_
12 29 13:52:40 117  3103  3103 I EdXposed Bridge: com tencent mm loading com fkzhang wechatxposed_x000D_
12 29 13:52:41 331  3103  3103 E EdXposed Bridge: de robv android xposed XposedHelpers ClassNotFoundError: parameter type must not be null_x000D_
12 29 13:52:41 331  3103  3103 E EdXposed Bridge: 	at de robv android xposed XposedHelpers getParameterClasses(XposedHelpers java:498)_x000D_
12 29 13:52:41 331  3103  3103 E EdXposed Bridge: 	at de robv android xposed XposedHelpers findAndHookMethod(XposedHelpers java:185)_x000D_
12 29 13:52:41 331  3103  3103 E EdXposed Bridge: 	at com fkzhang wechatxposedhooks         (Unknown Source:36)_x000D_
12 29 13:52:41 331  3103  3103 E EdXposed Bridge: 	at com fkzhang wechatxposedhooks         (Unknown Source:21)_x000D_
12 29 13:52:41 331  3103  3103 E EdXposed Bridge: 	at com fkzhang wechatxposedhooks         (Unknown Source:760)_x000D_
12 29 13:52:41 331  3103  3103 E EdXposed Bridge: 	at com fkzhang wechatxposedhooks         (Unknown Source:27)_x000D_
12 29 13:52:41 331  3103  3103 E EdXposed Bridge: 	at com fkzhang wechatxposedhooks         (Unknown Source:36)_x000D_
12 29 13:52:41 331  3103  3103 E EdXposed Bridge: 	at com fkzhang wechatxposedhooks       hook(Unknown Source:103)_x000D_
12 29 13:52:41 331  3103  3103 E EdXposed Bridge: 	at com fkzhang wechatxposedhooks         (Unknown Source:55)_x000D_
12 29 13:52:41 331  3103  3103 E EdXposed Bridge: 	at com fkzhang wechatxposedhooks       hook(Unknown Source:0)_x000D_
12 29 13:52:41 331  3103  3103 E EdXposed Bridge: 	at java lang reflect Method invoke(Native Method)_x000D_
12 29 13:52:41 331  3103  3103 E EdXposed Bridge: 	at de robv android xposed XposedHelpers callMethod(XposedHelpers java:1263)_x000D_
12 29 13:52:41 331  3103  3103 E EdXposed Bridge: 	at com fkzhang xposed hook      (Unknown Source:54)_x000D_
12 29 13:52:41 331  3103  3103 E EdXposed Bridge: 	at com fkzhang xposed hook      (Unknown Source:1)_x000D_
12 29 13:52:41 331  3103  3103 E EdXposed Bridge: 	at com fkzhang xposed hook WxCoreLoader   (Unknown Source:14)_x000D_
12 29 13:52:41 331  3103  3103 E EdXposed Bridge: 	at com fkzhang wechatxposed      (Unknown Source:2)_x000D_
12 29 13:52:41 331  3103  3103 E EdXposed Bridge: 	at com fkzhang xposed hook       run(Unknown Source:175)_x000D_
12 29 13:52:41 331  3103  3103 E EdXposed Bridge: 	at android os Handler handleCallback(Handler java:790)_x000D_
12 29 13:52:41 331  3103  3103 E EdXposed Bridge: 	at android os Handler dispatchMessage(Handler java:99)_x000D_
12 29 13:52:41 331  3103  3103 E EdXposed Bridge: 	at android os Looper loop(Looper java:164)_x000D_
12 29 13:52:41 331  3103  3103 E EdXposed Bridge: 	at android app ActivityThread main(ActivityThread java:6499)_x000D_
12 29 13:52:41 331  3103  3103 E EdXposed Bridge: 	at java lang reflect Method invoke(Native Method)_x000D_
12 29 13:52:41 331  3103  3103 E EdXposed Bridge: 	at com android internal os RuntimeInit MethodAndArgsCaller run(RuntimeInit java:440)_x000D_
12 29 13:52:41 331  3103  3103 E EdXposed Bridge: 	at com android internal os ZygoteInit main(ZygoteInit java:807)_x000D_
12 29 13:52:41 931  3103  3103 E EdXposed Bridge: java lang NoSuchMethodError: com tencent mm pluginsdk ui chat ChatFooter 2 onClick(android view View) exact_x000D_
12 29 13:52:41 931  3103  3103 E EdXposed Bridge: 	at de robv android xposed XposedHelpers findMethodExact(XposedHelpers java:344)_x000D_
12 29 13:52:41 931  3103  3103 E EdXposed Bridge: 	at de robv android xposed XposedHelpers findAndHookMethod(XposedHelpers java:185)_x000D_
12 29 13:52:41 931  3103  3103 E EdXposed Bridge: 	at com fkzhang wechatxposedhooks         (Unknown Source:36)_x000D_
12 29 13:52:41 931  3103  3103 E EdXposed Bridge: 	at com fkzhang wechatxposedhooks         (Unknown Source:21)_x000D_
12 29 13:52:41 931  3103  3103 E EdXposed Bridge: 	at com fkzhang wechatxposedhooks         (Unknown Source:760)_x000D_
12 29 13:52:41 931  3103  3103 E EdXposed Bridge: 	at com fkzhang wechatxposedhooks         (Unknown Source:27)_x000D_
12 29 13:52:41 931  3103  3103 E EdXposed Bridge: 	at com fkzhang wechatxposedhooks         (Unknown Source:36)_x000D_
12 29 13:52:41 931  3103  3103 E EdXposed Bridge: 	at com fkzhang wechatxposedhooks       hook(Unknown Source:103)_x000D_
12 29 13:52:41 931  3103  3103 E EdXposed Bridge: 	at com fkzhang wechatxposedhooks         (Unknown Source:55)_x000D_
12 29 13:52:41 931  3103  3103 E EdXposed Bridge: 	at com fkzhang wechatxposedhooks       hook(Unknown Source:0)_x000D_
12 29 13:52:41 931  3103  3103 E EdXposed Bridge: 	at java lang reflect Method invoke(Native Method)_x000D_
12 29 13:52:41 931  3103  3103 E EdXposed Bridge: 	at de robv android xposed XposedHelpers callMethod(XposedHelpers java:1263)_x000D_
12 29 13:52:41 931  3103  3103 E EdXposed Bridge: 	at com fkzhang xposed hook      (Unknown Source:54)_x000D_
12 29 13:52:41 931  3103  3103 E EdXposed Bridge: 	at com fkzhang xposed hook      (Unknown Source:1)_x000D_
12 29 13:52:41 931  3103  3103 E EdXposed Bridge: 	at com fkzhang xposed hook WxCoreLoader   (Unknown Source:14)_x000D_
12 29 13:52:41 931  3103  3103 E EdXposed Bridge: 	at com fkzhang wechatxposed      (Unknown Source:2)_x000D_
12 29 13:52:41 931  3103  3103 E EdXposed Bridge: 	at com fkzhang xposed hook       run(Unknown Source:175)_x000D_
12 29 13:52:41 931  3103  3103 E EdXposed Bridge: 	at android os Handler handleCallback(Handler java:790)_x000D_
12 29 13:52:41 931  3103  3103 E EdXposed Bridge: 	at android os Handler dispatchMessage(Handler java:99)_x000D_
12 29 13:52:41 931  3103  3103 E EdXposed Bridge: 	at android os Looper loop(Looper java:164)_x000D_
12 29 13:52:41 931  3103  3103 E EdXposed Bridge: 	at android app ActivityThread main(ActivityThread java:6499)_x000D_
12 29 13:52:41 931  3103  3103 E EdXposed Bridge: 	at java lang reflect Method invoke(Native Method)_x000D_
12 29 13:52:41 931  3103  3103 E EdXposed Bridge: 	at com android internal os RuntimeInit MethodAndArgsCaller run(RuntimeInit java:440)_x000D_
12 29 13:52:41 931  3103  3103 E EdXposed Bridge: 	at com android internal os ZygoteInit main(ZygoteInit java:807)_x000D_
12 29 13:52:42 082  3103  3103 E EdXposed Bridge: java lang NoSuchMethodError: com tencent mm ui LauncherUI a(java lang String android os Bundle boolean) exact_x000D_
12 29 13:52:42 082  3103  3103 E EdXposed Bridge: 	at de robv android xposed XposedHelpers findMethodExact(XposedHelpers java:344)_x000D_
12 29 13:52:42 082  3103  3103 E EdXposed Bridge: 	at de robv android xposed XposedHelpers findAndHookMethod(XposedHelpers java:185)_x000D_
12 29 13:52:42 082  3103  3103 E EdXposed Bridge: 	at com fkzhang wechatxposedhooks         (Unknown Source:36)_x000D_
12 29 13:52:42 082  3103  3103 E EdXposed Bridge: 	at com fkzhang wechatxposedhooks         (Unknown Source:21)_x000D_
12 29 13:52:42 082  3103  3103 E EdXposed Bridge: 	at com fkzhang wechatxposedhooks         (Unknown Source:760)_x000D_
12 29 13:52:42 082  3103  3103 E EdXposed Bridge: 	at com fkzhang wechatxposedhooks         (Unknown Source:27)_x000D_
12 29 13:52:42 082  3103  3103 E EdXposed Bridge: 	at com fkzhang wechatxposedhooks         (Unknown Source:36)_x000D_
12 29 13:52:42 082  3103  3103 E EdXposed Bridge: 	at com fkzhang wechatxposedhooks       hook(Unknown Source:103)_x000D_
12 29 13:52:42 082  3103  3103 E EdXposed Bridge: 	at com fkzhang wechatxposedhooks         (Unknown Source:55)_x000D_
12 29 13:52:42 082  3103  3103 E EdXposed Bridge: 	at com fkzhang wechatxposedhooks       hook(Unknown Source:0)_x000D_
12 29 13:52:42 082  3103  3103 E EdXposed Bridge: 	at java lang reflect Method invoke(Native Method)_x000D_
12 29 13:52:42 082  3103  3103 E EdXposed Bridge: 	at de robv android xposed XposedHelpers callMethod(XposedHelpers java:1263)_x000D_
12 29 13:52:42 082  3103  3103 E EdXposed Bridge: 	at com fkzhang xposed hook      (Unknown Source:54)_x000D_
12 29 13:52:42 082  3103  3103 E EdXposed Bridge: 	at com fkzhang xposed hook      (Unknown Source:1)_x000D_
12 29 13:52:42 082  3103  3103 E EdXposed Bridge: 	at com fkzhang xposed hook WxCoreLoader   (Unknown Source:14)_x000D_
12 29 13:52:42 082  3103  3103 E EdXposed Bridge: 	at com fkzhang wechatxposed      (Unknown Source:2)_x000D_
12 29 13:52:42 082  3103  3103 E EdXposed Bridge: 	at com fkzhang xposed hook       run(Unknown Source:175)_x000D_
12 29 13:52:42 082  3103  3103 E EdXposed Bridge: 	at android os Handler handleCallback(Handler java:790)_x000D_
12 29 13:52:42 082  3103  3103 E EdXposed Bridge: 	at android os Handler dispatchMessage(Handler java:99)_x000D_
12 29 13:52:42 082  3103  3103 E EdXposed Bridge: 	at android os Looper loop(Looper java:164)_x000D_
12 29 13:52:42 082  3103  3103 E EdXposed Bridge: 	at android app ActivityThread main(ActivityThread java:6499)_x000D_
12 29 13:52:42 082  3103  3103 E EdXposed Bridge: 	at java lang reflect Method invoke(Native Method)_x000D_
12 29 13:52:42 082  3103  3103 E EdXposed Bridge: 	at com android internal os RuntimeInit MethodAndArgsCaller run(RuntimeInit java:440)_x000D_
12 29 13:52:42 082  3103  3103 E EdXposed Bridge: 	at com android internal os ZygoteInit main(ZygoteInit java:807)_x000D_
12 29 13:52:42 310  3103  3103 I EdXposed Bridge: com fkzhang wechatxposed  WechatXposed (2 5 46): wechat version 7 0 9(1545)_x000D_
12 29 13:52:42 310  3103  3103 I EdXposed Bridge: com fkzhang wechatxposed load time: 2467_x000D_
12 29 13:52:42 872  3103  3371 I EdXposed Bridge:  X   2 5 2 5 (4 25) p_x000D_
12 29 13:52:50 101   694   694 I EdXposed Bridge: Loading modules from  data app com fkzhang wechatxposed zWbZYJ378aChyuMxham5og   base apk_x000D_
12 29 13:52:50 143   694   694 I EdXposed Bridge:   Loading class com fkzhang wechatxposed XposedInit_x000D_
12 29 13:52:50 147   694   694 I EdXposed Bridge: Loading modules from  data app me dannyit wechat chum 9xM uZi0vTBYI2tST5nl w   base apk_x000D_
12 29 13:52:51 027   694   694 I EdXposed Bridge:   Loading class me dannyit wechat chum backend WechatHook_x000D_
          beginning of crash_x000D_
12 29 13:53:33 430  3103  3370 I EdXposed Bridge: wexposed params file update success _x000D_
12 29 13:53:33 796  3103  3370 I EdXposed Bridge: wexposed metadata file update success _x000D_
12 29 13:53:33 798  3103  3370 I EdXposed Bridge: wexposed strings file update success _x000D_
12 29 13:53:33 833  3103  3370 I EdXposed Bridge: wexposed core file update success _x000D_
12 29 13:53:33 848  3103  3373 I EdXposed Bridge: load transcoder 3_x000D_
12 29 13:53:34 849  3103  3373 I EdXposed Bridge: feature loaded: base 49_x000D_
12 29 13:53:35 805  3103  3373 I EdXposed Bridge: feature loaded: themes 16_x000D_
_x000D_
      x             play hook           hook _x000D_
</t>
  </si>
  <si>
    <t>nextcloud-android-5072</t>
  </si>
  <si>
    <t>Crash on create folder, method custom folder</t>
  </si>
  <si>
    <t xml:space="preserve">    Steps to reproduce_x000D_
1  In auto uploads  setup custom folder_x000D_
2  Pick local sync source_x000D_
3  When choosing destination folder  create a new folder and the app crashes after folder name is given _x000D_
_x000D_
    Expected behaviour_x000D_
  create new destination folder_x000D_
_x000D_
    Actual behaviour_x000D_
  app crashes_x000D_
_x000D_
    Environment data_x000D_
             CAUSE OF ERROR             _x000D_
_x000D_
java lang NullPointerException: Attempt to invoke virtual method  java lang String com owncloud android datamodel OCFile getRemotePath()  on a null object reference_x000D_
	at com owncloud android ui dialog CreateFolderDialogFragment onClick(CreateFolderDialogFragment java:139)_x000D_
	at androidx appcompat app AlertController ButtonHandler handleMessage(AlertController java:167)_x000D_
	at android os Handler dispatchMessage(Handler java:106)_x000D_
	at android os Looper loop(Looper java:214)_x000D_
	at android app ActivityThread main(ActivityThread java:6990)_x000D_
	at java lang reflect Method invoke(Native Method)_x000D_
	at com android internal os RuntimeInit MethodAndArgsCaller run(RuntimeInit java:493)_x000D_
	at com android internal os ZygoteInit main(ZygoteInit java:1445)_x000D_
_x000D_
             APP INFORMATION             _x000D_
ID: com nextcloud client_x000D_
Version: 30090290_x000D_
Build flavor: gplay_x000D_
_x000D_
             DEVICE INFORMATION             _x000D_
Brand: samsung_x000D_
Device: crownqltesq_x000D_
Model: SM N960U_x000D_
Id: PPR1 180610 011_x000D_
Product: crownqltesq_x000D_
_x000D_
             FIRMWARE             _x000D_
SDK: 28_x000D_
Release: 9_x000D_
Incremental: N960USQS3CSK1_x000D_
</t>
  </si>
  <si>
    <t>nextcloud-android-5071</t>
  </si>
  <si>
    <t>App crashes when trying to upload file without setting up an account first</t>
  </si>
  <si>
    <t xml:space="preserve">    Steps to reproduce_x000D_
1  Install nextcloud files app_x000D_
2  Do not open or setup nextcloud files app_x000D_
3  Go to the gallery  open a photo  click on share  select nextcloud_x000D_
_x000D_
    Expected behaviour_x000D_
  show the login page_x000D_
_x000D_
    Actual behaviour_x000D_
  app crashes_x000D_
_x000D_
    Logs_x000D_
_x000D_
   _x000D_
             CAUSE OF ERROR             _x000D_
_x000D_
java lang IllegalStateException: Do not call this method before initializing mStorageManager_x000D_
 at com owncloud android ui activity ReceiveExternalFilesActivity initTargetFolder(ReceiveExternalFilesActivity java:990)_x000D_
 at com owncloud android ui activity ReceiveExternalFilesActivity onStart(ReceiveExternalFilesActivity java:241)_x000D_
 at android app Instrumentation callActivityOnStart(Instrumentation java:1514)_x000D_
 at android app Activity performStart(Activity java:7838)_x000D_
 at android app ActivityThread handleStartActivity(ActivityThread java:3398)_x000D_
 at android app servertransaction TransactionExecutor performLifecycleSequence(TransactionExecutor java:221)_x000D_
 at android app servertransaction TransactionExecutor cycleToPath(TransactionExecutor java:201)_x000D_
 at android app servertransaction TransactionExecutor executeLifecycleState(TransactionExecutor java:173)_x000D_
 at android app servertransaction TransactionExecutor execute(TransactionExecutor java:97)_x000D_
 at android app ActivityThread H handleMessage(ActivityThread java:2109)_x000D_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APP INFORMATION             _x000D_
ID: com nextcloud client_x000D_
Version: 30090290_x000D_
Build flavor: gplay_x000D_
_x000D_
             DEVICE INFORMATION             _x000D_
Brand: OnePlus_x000D_
Device: OnePlus7T_x000D_
Model: HD1903_x000D_
Id: QKQ1 190716 003_x000D_
Product: OnePlus7T EEA_x000D_
_x000D_
             FIRMWARE             _x000D_
SDK: 29_x000D_
Release: 10_x000D_
Incremental: 1912060025_x000D_
   </t>
  </si>
  <si>
    <t>TeamNewPipe-NewPipe-2900</t>
  </si>
  <si>
    <t xml:space="preserve">Most YouTube videos is unavailable even though video is available in Youtube. </t>
  </si>
  <si>
    <t xml:space="preserve">Various videos have sent the prompt   Content Unavailable   even though the video is playable in YouTube app  No other information such as description  next video etc is missing  However comment section is present  I didn t bother to give out a screenshot as it is a normal prompt and there is no crash  Hope the problem is fixed </t>
  </si>
  <si>
    <t>nextcloud-android-5070</t>
  </si>
  <si>
    <t>Crash after syncing</t>
  </si>
  <si>
    <t xml:space="preserve">    Steps to reproduce_x000D_
1  Syncing a bigger folder_x000D_
2  Leaving the Nextcloud App (not really reproducable)_x000D_
_x000D_
    Expected behaviour_x000D_
  No crash_x000D_
_x000D_
    Actual behaviour_x000D_
Crash:_x000D_
             CAUSE OF ERROR             _x000D_
_x000D_
android app RemoteServiceException: Context startForegroundService() did not then call Service startForeground()_x000D_
	at android app ActivityThread H handleMessage(ActivityThread java:1881)_x000D_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_x000D_
             APP INFORMATION             _x000D_
ID: com nextcloud client_x000D_
Version: 30090290_x000D_
Build flavor: gplay_x000D_
_x000D_
             DEVICE INFORMATION             _x000D_
Brand: samsung_x000D_
Device: herolte_x000D_
Model: SM G930F_x000D_
Id: R16NW_x000D_
Product: heroltexx_x000D_
_x000D_
             FIRMWARE             _x000D_
SDK: 26_x000D_
Release: 8 0 0_x000D_
Incremental: G930FXXS7ESK7</t>
  </si>
  <si>
    <t>react-native-camera-react-native-camera-2656</t>
  </si>
  <si>
    <t>Android crash - java.lang.NullPointerException</t>
  </si>
  <si>
    <t xml:space="preserve">  Bug Report_x000D_
_x000D_
  To Do First  _x000D_
_x000D_
   X  Did you try latest release _x000D_
   X  Did you try master _x000D_
   X  Did you look for existing matching issues _x000D_
_x000D_
  Platforms  _x000D_
_x000D_
    Comment in the related ones   _x000D_
Android_x000D_
_x000D_
  Versions   _x000D_
_x000D_
    Please add the used versions branches or leave blank and comment in the optionals if used   _x000D_
_x000D_
  Android: Android 9   Xioami Redmi Note 5 Pro_x000D_
  react native camera: 3 15 0_x000D_
  react native: 0 61 5_x000D_
_x000D_
  Description Current Behaviour  _x000D_
Just got this crash from the error reporting too:_x000D_
_x000D_
   _x000D_
java lang NullPointerException Attempt to invoke interface method  java lang Object java util SortedSet last()  on a null object reference _x000D_
    Camera1 java:948 com google android cameraview Camera1 adjustCameraParameters_x000D_
    Camera1 java:162 com google android cameraview Camera1 2 run_x000D_
    Handler java:873 android os Handler handleCallback_x000D_
    Handler java:99 android os Handler dispatchMessage_x000D_
    Looper java:201 android os Looper loop_x000D_
    HandlerThread java:65 android os HandlerThread run_x000D_
   _x000D_
_x000D_
Which traces back to https:  github com react native community react native camera blob master android src main java com google android cameraview Camera1 java L948_x000D_
_x000D_
Not entirely sure what s the issue  but looks like a missing null check  Why the picture sizes would be null is unknown  but I suspect an unsupported aspect ratio or something  It would be good for the code to not crash and rather fallback to some value _x000D_
_x000D_
    place your bug description below   _x000D_
_x000D_
  Expected Behaviour  _x000D_
_x000D_
    place your expected behaviour below   _x000D_
No Crash_x000D_
_x000D_
_x000D_
  Steps to Reproduce  _x000D_
Mount camera and capture  Possibly with an unsupported aspect ratio (e g   1:1)_x000D_
_x000D_
    describe how to produce the error below   _x000D_
_x000D_
      Does it work with Expo Camera      _x000D_
    Check usage with Expo and comment in this section  https:  github com react native community react native camera blob master docs Expo Usage md_x000D_
You should open an issue there as well  so we can cooperate in a solution    _x000D_
_x000D_
  Additionals  _x000D_
_x000D_
    place screenshots suggestions and other additional infos below   _x000D_
_x000D_
  Love react native camera  Please consider supporting our collective:   https:  opencollective com react native camera donate_x000D_
  Want this issue to be resolved faster  Please consider adding a bounty to it https:  issuehunt io repos 33218414_x000D_
</t>
  </si>
  <si>
    <t>nextcloud-android-5068</t>
  </si>
  <si>
    <t>PreviewTextFragment crashes :(</t>
  </si>
  <si>
    <t>Hi _x000D_
_x000D_
After the commit : https:  github com nextcloud android commit ec2cfef13867a31d0f5e2336451520fe0a898fe1 (Direct editing support) the PreviewTextFragment creates an error when instanciated (so the app crashes)  here is an error : _x000D_
_x000D_
   _x000D_
Caused by: androidx fragment app Fragment InstantiationException: Unable to instantiate fragment com owncloud android ui preview PreviewTextFragment: make sure class name exists  is public  and has an empty constructor that is public_x000D_
        at androidx fragment app Fragment instantiate(Fragment java:530)_x000D_
        at com owncloud android ui activity FileDisplayActivity startTextPreview(FileDisplayActivity java:2373)_x000D_
        at com owncloud android ui activity FileDisplayActivity refreshSecondFragment(FileDisplayActivity java:745)_x000D_
        at com owncloud android ui activity FileDisplayActivity DownloadFinishReceiver onReceive(FileDisplayActivity java:1555)_x000D_
        at android app LoadedApk ReceiverDispatcher Args lambda getRunnable 0(LoadedApk java:1483)_x000D_
        at android app    Lambda LoadedApk ReceiverDispatcher Args  BumDX2UKsnxLVrE6UJsJZkotuA run(Unknown Source:2) _x000D_
        at android os Handler handleCallback(Handler java:873) _x000D_
        at android os Handler dispatchMessage(Handler java:99) _x000D_
        at android os Looper loop(Looper java:214) _x000D_
        at android app ActivityThread main(ActivityThread java:7050) _x000D_
        at java lang reflect Method invoke(Native Method) _x000D_
        at com android internal os RuntimeInit MethodAndArgsCaller run(RuntimeInit java:494) _x000D_
        at com android internal os ZygoteInit main(ZygoteInit java:965) _x000D_
    _x000D_
This happens when I click on a text file on  master  branch _x000D_
_x000D_
 tobiasKaminsky do you know how to fix that  _x000D_
Thanks</t>
  </si>
  <si>
    <t>requery-sqlite-android-123</t>
  </si>
  <si>
    <t>Native Crash with R8 - NoSuchMethodError SQLiteConnection.nativeLoadExtensions</t>
  </si>
  <si>
    <t>Using version 3 30 1 of this library  I get the following crash when opening the app on a release build that uses R8 _x000D_
_x000D_
If I add this to my rules then there is no crash:_x000D_
_x000D_
   _x000D_
 keep public class io requery android database sqlite SQLiteConnection  _x000D_
  native  methods  _x000D_
  public  init (   ) _x000D_
 _x000D_
   _x000D_
_x000D_
In my app I depend on this library  and call  ReLinker loadLibrary(context   sqlite3x ) :_x000D_
_x000D_
   _x000D_
       class  Lio requery android database sqlite SQLiteConnection   cl 0x12c4c060      _x000D_
   objectSize 452 (224 from super)_x000D_
   access 0x8000 0011_x000D_
   super  java lang Class java lang Object   (cl 0x0)_x000D_
   interfaces (1):_x000D_
      0: java lang Class N7  (cl 0x12c4c060)_x000D_
   vtable (29 entries  11 in super):_x000D_
      0: io requery android database sqlite SQLiteConnection PreparedStatement io requery android database sqlite SQLiteConnection acquirePreparedStatement(java lang String)_x000D_
      1: void io requery android database sqlite SQLiteConnection applyBlockGuardPolicy(io requery android database sqlite SQLiteConnection PreparedStatement)_x000D_
      2: void io requery android database sqlite SQLiteConnection attachCancellationSignal(O7)_x000D_
      3: void io requery android database sqlite SQLiteConnection bindArguments(io requery android database sqlite SQLiteConnection PreparedStatement  java lang Object  )_x000D_
      4: void io requery android database sqlite SQLiteConnection collectDbStats(java util ArrayList)_x000D_
      5: void io requery android database sqlite SQLiteConnection detachCancellationSignal(O7)_x000D_
      6: void io requery android database sqlite SQLiteConnection dispose(boolean)_x000D_
      7: void io requery android database sqlite SQLiteConnection dumpUnsafe(android util Printer  boolean)_x000D_
      8: void io requery android database sqlite SQLiteConnection execute(java lang String  java lang Object    O7)_x000D_
      9: android os ParcelFileDescriptor io requery android database sqlite SQLiteConnection executeForBlobFileDescriptor(java lang String  java lang Object    O7)_x000D_
     10: int io requery android database sqlite SQLiteConnection executeForChangedRowCount(java lang String  java lang Object    O7)_x000D_
     11: int io requery android database sqlite SQLiteConnection executeForCursorWindow(java lang String  java lang Object    io requery android database CursorWindow  int  int  boolean  O7)_x000D_
     12: long io requery android database sqlite SQLiteConnection executeForLastInsertedRowId(java lang String  java lang Object    O7)_x000D_
     13: long io requery android database sqlite SQLiteConnection executeForLong(java lang String  java lang Object    O7)_x000D_
     14: java lang String io requery android database sqlite SQLiteConnection executeForString(java lang String  java lang Object    O7)_x000D_
     15: void io requery android database sqlite SQLiteConnection finalize()_x000D_
     16: io requery android database sqlite SQLiteDebug DbStats io requery android database sqlite SQLiteConnection getMainDbStatsUnsafe(int  long  long)_x000D_
     17: void io requery android database sqlite SQLiteConnection onCancel()_x000D_
     18: void io requery android database sqlite SQLiteConnection open()_x000D_
     19: void io requery android database sqlite SQLiteConnection prepare(java lang String  io requery android database sqlite SQLiteStatementInfo)_x000D_
     20: void io requery android database sqlite SQLiteConnection reconfigure(io requery android database sqlite SQLiteDatabaseConfiguration)_x000D_
     21: void io requery android database sqlite SQLiteConnection releasePreparedStatement(io requery android database sqlite SQLiteConnection PreparedStatement)_x000D_
     22: void io requery android database sqlite SQLiteConnection setForeignKeyModeFromConfiguration()_x000D_
     23: void io requery android database sqlite SQLiteConnection setJournalMode(java lang String)_x000D_
     24: void io requery android database sqlite SQLiteConnection setLocaleFromConfiguration()_x000D_
     25: void io requery android database sqlite SQLiteConnection setSyncMode(java lang String)_x000D_
     26: void io requery android database sqlite SQLiteConnection setWalModeFromConfiguration()_x000D_
     27: void io requery android database sqlite SQLiteConnection throwIfStatementForbidden(io requery android database sqlite SQLiteConnection PreparedStatement)_x000D_
     28: java lang String io requery android database sqlite SQLiteConnection toString()_x000D_
   direct methods (31 entries):_x000D_
      0: void io requery android database sqlite SQLiteConnection  clinit ()_x000D_
      1: void io requery android database sqlite SQLiteConnection  init (io requery android database sqlite SQLiteConnectionPool  io requery android database sqlite SQLiteDatabaseConfiguration  int  boolean)_x000D_
      2: java lang String io requery android database sqlite SQLiteConnection canonicalizeSyncMode(java lang String)_x000D_
      3: void io requery android database sqlite SQLiteConnection nativeBindBlob(long  long  int  byte  )_x000D_
      4: void io requery android database sqlite SQLiteConnection nativeBindDouble(long  long  int  double)_x000D_
      5: void io requery android database sqlite SQLiteConnection nativeBindLong(long  long  int  long)_x000D_
      6: void io requery android database sqlite SQLiteConnection nativeBindNull(long  long  int)_x000D_
      7: void io requery android database sqlite SQLiteConnection nativeBindString(long  long  int  java lang String)_x000D_
      8: void io requery android database sqlite SQLiteConnection nativeCancel(long)_x000D_
      9: void io requery android database sqlite SQLiteConnection nativeClose(long)_x000D_
     10: void io requery android database sqlite SQLiteConnection nativeExecute(long  long)_x000D_
     11: int io requery android database sqlite SQLiteConnection nativeExecuteForBlobFileDescriptor(long  long)_x000D_
     12: int io requery android database sqlite SQLiteConnection nativeExecuteForChangedRowCount(long  long)_x000D_
     13: long io requery android database sqlite SQLiteConnection nativeExecuteForCursorWindow(long  long  long  int  int  boolean)_x000D_
     14: long io requery android database sqlite SQLiteConnection nativeExecuteForLastInsertedRowId(long  long)_x000D_
     15: long io requery android database sqlite SQLiteConnection nativeExecuteForLong(long  long)_x000D_
     16: java lang String io requery android database sqlite SQLiteConnection nativeExecuteForString(long  long)_x000D_
     17: void io requery android database sqlite SQLiteConnection nativeFinalizeStatement(long  long)_x000D_
     18: int io requery android database sqlite SQLiteConnection nativeGetColumnCount(long  long)_x000D_
     19: java lang String io requery android database sqlite SQLiteConnection nativeGetColumnName(long  long  int)_x000D_
     20: int io requery android database sqlite SQLiteConnection nativeGetDbLookaside(long)_x000D_
     21: int io requery android database sqlite SQLiteConnection nativeGetParameterCount(long  long)_x000D_
     22: boolean io requery android database sqlite SQLiteConnection nativeHasCodec()_x000D_
     23: boolean io requery android database sqlite SQLiteConnection nativeIsReadOnly(long  long)_x000D_
     24: long io requery android database sqlite SQLiteConnection nativeOpen(java lang String  int  java lang String  boolean  boolean)_x000D_
     25: long io requery android database sqlite SQLiteConnection nativePrepareStatement(long  java lang String)_x000D_
     26: void io requery android database sqlite SQLiteConnection nativeRegisterCustomFunction(long  io requery android database sqlite SQLiteCustomFunction)_x000D_
     27: void io requery android database sqlite SQLiteConnection nativeRegisterFunction(long  io requery android database sqlite SQLiteFunction)_x000D_
     28: void io requery android database sqlite SQLiteConnection nativeRegisterLocalizedCollators(long  java lang String)_x000D_
     29: void io requery android database sqlite SQLiteConnection nativeResetCancel(long  boolean)_x000D_
     30: void io requery android database sqlite SQLiteConnection nativeResetStatementAndClearBindings(long  long)_x000D_
   static fields (3 entries):_x000D_
      0: byte   io requery android database sqlite SQLiteConnection EMPTY BYTE ARRAY_x000D_
      1: java lang String   io requery android database sqlite SQLiteConnection EMPTY STRING ARRAY_x000D_
      2: java util regex Pattern io requery android database sqlite SQLiteConnection TRIM SQL PATTERN_x000D_
   instance fields (12 entries):_x000D_
      0: int io requery android database sqlite SQLiteConnection mCancellationSignalAttachCount_x000D_
      1: io requery android database sqlite CloseGuard io requery android database sqlite SQLiteConnection mCloseGuard_x000D_
      2: io requery android database sqlite SQLiteDatabaseConfiguration io requery android database sqlite SQLiteConnection mConfiguration_x000D_
      3: int io requery android database sqlite SQLiteConnection mConnectionId_x000D_
      4: long io requery android database sqlite SQLiteConnection mConnectionPtr_x000D_
      5: boolean io requery android database sqlite SQLiteConnection mIsPrimaryConnection_x000D_
      6: boolean io requery android database sqlite SQLiteConnection mIsReadOnlyConnection_x000D_
      7: boolean io requery android database sqlite SQLiteConnection mOnlyAllowReadOnlyOperations_x000D_
      8: io requery android database sqlite SQLiteConnectionPool io requery android database sqlite SQLiteConnection mPool_x000D_
      9: io requery android database sqlite SQLiteConnection PreparedStatementCache io requery android database sqlite SQLiteConnection mPreparedStatementCache_x000D_
     10: io requery android database sqlite SQLiteConnection PreparedStatement io requery android database sqlite SQLiteConnection mPreparedStatementPool_x000D_
     11: io requery android database sqlite SQLiteConnection OperationLog io requery android database sqlite SQLiteConnection mRecentOperations_x000D_
 Failed to register native method io requery android database sqlite SQLiteConnection nativeLoadExtension(JLjava lang String Ljava lang String )V in base apk classes2 dex_x000D_
A  myapp androi: jni internal cc:811  JNI FatalError called: RegisterNatives failed for  io requery android database sqlite SQLiteConnection   aborting   _x000D_
A  myapp androi: thread cc:2348  No pending exception expected: java lang NoSuchMethodError: no static or non static method  Lio requery android database sqlite SQLiteConnection  nativeLoadExtension(JLjava lang String Ljava lang String )V _x000D_
A  myapp androi: thread cc:2348    at java lang String java lang Runtime nativeLoad(java lang String  java lang ClassLoader  java lang Class) (Runtime java: 2)_x000D_
A  myapp androi: thread cc:2348    at java lang String java lang Runtime nativeLoad(java lang String  java lang ClassLoader) (Runtime java:1115)_x000D_
A  myapp androi: thread cc:2348    at void java lang Runtime loadLibrary0(java lang ClassLoader  java lang Class  java lang String) (Runtime java:1069)_x000D_
A  myapp androi: thread cc:2348    at void java lang Runtime loadLibrary0(java lang Class  java lang String) (Runtime java:1007)_x000D_
A  myapp androi: thread cc:2348    at void java lang System loadLibrary(java lang String) (System java:1667)_x000D_
A  myapp androi: thread cc:2348    at void un0 b(android content Context  java lang String  java lang String) (ReLinkerInstance java:4)_x000D_
A  myapp androi: thread cc:2348    at void un0 a(android content Context  java lang String  java lang String  rn0) (ReLinkerInstance java:3)_x000D_
A  myapp androi: thread cc:2348    at java lang Object X00 invoke() (myappDatabaseHelper kt:3)_x000D_
A  myapp androi: thread cc:2348    at java lang Object Ak1 getValue() (LazyJVM kt:6)_x000D_
A  myapp androi: thread cc:2348    at java lang Object U70 c(java lang Object) (sqldelight module kt:5)_x000D_
A  myapp androi: thread cc:2348    at java lang Object E0 invoke() (com android tools r8 jetbrains kotlin style lambda group:5)_x000D_
A  myapp androi: thread cc:2348    at jB1 sB1 a(Kl1) (references kt:1)_x000D_
A  myapp androi: thread cc:2348    at java lang Object pB1 invoke() (standardBindings kt:3)_x000D_
A  myapp androi: thread cc:2348    at java lang Object tB1 a(java lang Object  boolean  Kl1) (scopes kt:10)_x000D_
A  myapp androi: thread cc:2348    at java lang Object qB1 c(java lang Object) (standardBindings kt:5)_x000D_
A  myapp androi: thread cc:2348    at java lang Object aA1 invoke() (curry kt:2)_x000D_
A  myapp androi: thread cc:2348    at java lang Object AB1 b(vA1  java lang Object) (DKodeinJVMImpl kt:7)_x000D_
A  myapp androi: thread cc:2348    at java lang Object Ia0 a(java lang Class  Fz1  java lang Object) (outline: 1)_x000D_
A  myapp androi: thread cc:2348    at java lang Object x00 c(java lang Object) (model module kt:3)_x000D_
A  myapp androi: thread cc:2348    at java lang Object PA1 a(Fk1) (standardBindings kt:12)_x000D_
A  myapp androi: thread cc:2348    at java lang Object PA1 c(java lang Object) (standardBindings kt:1)_x000D_
A  myapp androi: thread cc:2348    at java lang Object NA1 c(java lang Object) (standardBindings kt:4)_x000D_
A  myapp androi: thread cc:2348    at void PB1  init (IB1  java util List  boolean  boolean) (KodeinContainerImpl kt:15)_x000D_
A  myapp androi: thread cc:2348    at void SB1  init (boolean  Ol1) (KodeinImpl kt:7)_x000D_
A  myapp androi: thread cc:2348    at java lang Object Mz1 invoke() (Kodein kt:1)_x000D_
A  myapp androi: thread cc:2348    at java lang Object Ak1 getValue() (LazyJVM kt:6)_x000D_
A  myapp androi: thread cc:2348    at bA1 nA1 s() (lateinit kt:1)_x000D_
A  myapp androi: thread cc:2348    at Fz1 Fg1 a(Wz1) (ShortNumbersRegionCodeSet java:730)_x000D_
A  myapp androi: thread cc:2348    at boolean co myapp AppInitProvider onCreate() (AppInitProvider kt:15)_x000D_
A  myapp androi: thread cc:2348    at void android content ContentProvider attachInfo(android content Context  android content pm ProviderInfo  boolean) (ContentProvider java:2092)_x000D_
A  myapp androi: thread cc:2348    at void android content ContentProvider attachInfo(android content Context  android content pm ProviderInfo) (ContentProvider java:2066)_x000D_
A  myapp androi: thread cc:2348    at android app ContentProviderHolder android app ActivityThread installProvider(android content Context  android app ContentProviderHolder  android content pm ProviderInfo  boolean  boolean  boolean) (ActivityThread java:6983)_x000D_
A  myapp androi: thread cc:2348    at void android app ActivityThread installContentProviders(android content Context  java util List) (ActivityThread java:6528)_x000D_
A  myapp androi: thread cc:2348    at void android app ActivityThread handleBindApplication(android app ActivityThread AppBindData) (ActivityThread java:6445)_x000D_
A  myapp androi: thread cc:2348    at void android app ActivityThread access 1300(android app ActivityThread  android app ActivityThread AppBindData) (ActivityThread java:219)_x000D_
A  myapp androi: thread cc:2348    at void android app ActivityThread H handleMessage(android os Message) (ActivityThread java:1859)_x000D_
A  myapp androi: thread cc:2348    at void android os Handler dispatchMessage(android os Message) (Handler java:107)_x000D_
A  myapp androi: thread cc:2348    at void android os Looper loop() (Looper java:214)_x000D_
A  myapp androi: thread cc:2348    at void android app ActivityThread main(java lang String  ) (ActivityThread java:7356)_x000D_
A  myapp androi: thread cc:2348    at java lang Object java lang reflect Method invoke(java lang Object  java lang Object  ) (Method java: 2)_x000D_
A  myapp androi: thread cc:2348    at void com android internal os RuntimeInit MethodAndArgsCaller run() (RuntimeInit java:492)_x000D_
A  myapp androi: thread cc:2348    at void com android internal os ZygoteInit main(java lang String  ) (ZygoteInit java:930)_x000D_
A  myapp androi: thread cc:2348  _x000D_
A  myapp androi: runtime cc:630  Runtime aborting     recursively  so no thread specific detail _x000D_
A  myapp androi: runtime cc:630   00 pc 00000000004123cc   apex com android runtime lib64 libart so (art::DumpNativeStack(std::  1::basic ostream char  std::  1::char traits char     int  BacktraceMap   char const   art::ArtMethod   void   bool) 140)_x000D_
A  myapp androi: runtime cc:630   01 pc 00000000004b8ea0   apex com android runtime lib64 libart so (art::Runtime::Abort(char const ) 1272)_x000D_
A  myapp androi: runtime cc:630   02 pc 000000000000c650   system lib64 libbase so (android::base::LogMessage:: LogMessage() 608)_x000D_
A  myapp androi: runtime cc:630   03 pc 00000000004fe328   apex com android runtime lib64 libart so (art::Thread::AssertNoPendingException() const 1144)_x000D_
A  myapp androi: runtime cc:630   04 pc 00000000001656e0   apex com android runtime lib64 libart so (art::ClassLinker::FindClass(art::Thread   char const   art::Handle art::mirror::ClassLoader ) 64)_x000D_
A  myapp androi: runtime cc:630   05 pc 00000000001526f8   apex com android runtime lib64 libart so (art::ClassLinker::DoResolveType(art::dex::TypeIndex  art::Handle art::mirror::DexCache   art::Handle art::mirror::ClassLoader ) 184)_x000D_
A  myapp androi: runtime cc:630   06 pc 0000000000525e24   apex com android runtime lib64 libart so ( ZN3art8verifier4impl12 GLOBAL  N 114MethodVerifierILb0EE6VerifyEv 09bf97eb2c0d684adb6d215f7005036e 1532)_x000D_
A  myapp androi: runtime cc:630   07 pc 0000000000529a8c   apex com android runtime lib64 libart so (art::verifier::MethodVerifier::FindLocksAtDexPc(art::ArtMethod   unsigned int  std::  1::vector art::verifier::MethodVerifier::DexLockInfo  std::  1::allocator art::verifier::MethodVerifier::DexLockInfo     unsigned int) 644)_x000D_
A  myapp androi: runtime cc:630   08 pc 000000000040fb9c   apex com android runtime lib64 libart so (art::Monitor::VisitLocks(art::StackVisitor   void ( )(art::ObjPtr art::mirror::Object   void )  void   bool) 820)_x000D_
A  myapp androi: runtime cc:630   09 pc 0000000000410b64   apex com android runtime lib64 libart so (art::MonitorObjectsStackVisitor::VisitFrame() 164)_x000D_
A  myapp androi: runtime cc:630   10 pc 00000000004dba18   apex com android runtime lib64 libart so ( ZN3art12StackVisitor9WalkStackILNS0 16CountTransitionsE0EEEvb 1592)_x000D_
A  myapp androi: runtime cc:630   11 pc 00000000004fd05c   apex com android runtime lib64 libart so (art::Thread::DumpJavaStack(std::  1::basic ostream char  std::  1::char traits char     bool  bool) const 444)_x000D_
A  myapp androi: runtime cc:630   12 pc 00000000004f8e88   apex com android runtime lib64 libart so (art::Thread::DumpStack(std::  1::basic ostream char  std::  1::char traits char     bool  BacktraceMap   bool) const 528)_x000D_
A  myapp androi: runtime cc:630   13 pc 0000000000513594   apex com android runtime lib64 libart so (art::DumpCheckpoint::Run(art::Thread ) 820)_x000D_
A  myapp androi: runtime cc:630   14 pc 000000000050c924   apex com android runtime lib64 libart so (art::ThreadList::RunCheckpoint(art::Closure   art::Closure ) 1348)_x000D_
A  myapp androi: runtime cc:630   15 pc 000000000050b9b0   apex com android runtime lib64 libart so (art::ThreadList::Dump(std::  1::basic ostream char  std::  1::char traits char     bool) 1792)_x000D_
A  myapp androi: runtime cc:630   16 pc 00000000004b8ef0   apex com android runtime lib64 libart so (art::Runtime::Abort(char const ) 1352)_x000D_
A  myapp androi: runtime cc:630   17 pc 000000000000c650   system lib64 libbase so (android::base::LogMessage:: LogMessage() 608)_x000D_
A  myapp androi: runtime cc:630   18 pc 0000000000385724   apex com android runtime lib64 libart so (art::JNI::FatalError( JNIEnv   char const ) 196)_x000D_
A  myapp androi: runtime cc:630   19 pc 0000000000022b68   data app co myapp android TISTHV 5WERpM JMhThnLA   split config arm64 v8a apk libsqlite3x so (offset 894000) (jniRegisterNativeMethods 180)_x000D_
A  myapp androi: runtime cc:630   20 pc 000000000001ea48   data app co myapp android TISTHV 5WERpM JMhThnLA   split config arm64 v8a apk libsqlite3x so (offset 894000) (JNI OnLoad 68)_x000D_
A  myapp androi: runtime cc:630   21 pc 000000000037b7fc   apex com android runtime lib64 libart so (art::JavaVMExt::LoadNativeLibrary( JNIEnv   std::  1::basic string char  std::  1::char traits char   std::  1::allocator char   const    jobject    jclass   std::  1::basic string char  std::  1::char traits char   std::  1::allocator char   ) 3228)_x000D_
A  myapp androi: runtime cc:630   22 pc 0000000000005184   apex com android runtime lib64 libopenjdkjvm so (JVM NativeLoad 412)_x000D_
A  myapp androi: runtime cc:630   23 pc 00000000000b9af4   system framework arm64 boot oat (art jni trampoline 228)_x000D_
A  myapp androi: runtime cc:630   24 pc 00000000000d6bfc   system framework arm64 boot oat (java lang Runtime loadLibrary0 236)_x000D_
A  myapp androi: runtime cc:630   25 pc 00000000000d7be4   system framework arm64 boot oat (java lang Runtime loadLibrary0 180)_x000D_
A  myapp androi: runtime cc:630   26 pc 00000000000dc7c0   system framework arm64 boot oat (java lang System loadLibrary 96)_x000D_
A  myapp androi: runtime cc:630   27 pc 00000000001365b8   apex com android runtime lib64 libart so (art quick invoke static stub 568)_x000D_
A  myapp androi: runtime cc:630   28 pc 00000000001450cc   apex com android runtime lib64 libart so (art::ArtMethod::Invoke(art::Thread   unsigned int   unsigned int  art::JValue   char const ) 276)_x000D_
A  myapp androi: runtime cc:630   29 pc 00000000002e2698   apex com android runtime lib64 libart so (art::interpreter::ArtInterpreterToCompiledCodeBridge(art::Thread   art::ArtMethod   art::ShadowFrame   unsigned short  art::JValue ) 384)_x000D_
A  myapp androi: runtime cc:630   30 pc 00000000002de790   apex com android runtime lib64 libart so (bool art::interpreter::DoCall true  false (art::ArtMethod   art::Thread   art::ShadowFrame   art::Instruction const   unsigned short  art::JValue ) 656)_x000D_
A  myapp androi: runtime cc:630   31 pc 00000000005a630c   apex com android runtime lib64 libart so (MterpInvokeStaticRange 236)_x000D_
A  myapp androi: runtime cc:630   32 pc 0000000000130c94   apex com android runtime lib64 libart so (mterp op invoke static range 20)_x000D_
A  myapp androi: runtime cc:630   33 pc 0000000000cd0c58   data app co myapp android TISTHV 5WERpM JMhThnLA   oat arm64 base vdex (un0 b 64)_x000D_
A  myapp androi: runtime cc:630   34 pc 00000000005a6e28   apex com android runtime lib64 libart so (MterpInvokeVirtualQuick 1368)_x000D_
A  myapp androi: runtime cc:630   35 pc 0000000000134594   apex com android runtime lib64 libart so (mterp op invoke virtual quick 20)_x000D_
A  myapp androi: runtime cc:630   36 pc 0000000000cd0bc2   data app co myapp android TISTHV 5WERpM JMhThnLA   oat arm64 base vdex (un0 a 46)_x000D_
A  myapp androi: runtime cc:630   37 pc 00000000005a6e28   apex com android runtime lib64 libart so (MterpInvokeVirtualQuick 1368)_x000D_
A  myapp androi: runtime cc:630   38 pc 0000000000134594   apex com android runtime lib64 libart so (mterp op invoke virtual quick 20)_x000D_
A  myapp androi: runtime cc:630   39 pc 0000000000abcc3c   data app co myapp android TISTHV 5WERpM JMhThnLA   oat arm64 base vdex (X00 invoke 24)_x000D_
A  myapp androi: runtime cc:630   40 pc 00000000005a23fc   apex com android runtime lib64 libart so (MterpInvokeInterface 1740)_x000D_
A  myapp androi: runtime cc:630   41 pc 0000000000130a14   apex com android runtime lib64 libart so (mterp op invoke interface 20)_x000D_
A  myapp androi: runtime cc:630   42 pc 0000000000488f14   data app co myapp android TISTHV 5WERpM JMhThnLA   oat arm64 base vdex (Ak1 getValue 44)_x000D_
A  myapp androi: runtime cc:630   43 pc 00000000005a23fc   apex com android runtime lib64 libart so (MterpInvokeInterface 1740)_x000D_
A  myapp androi: runtime cc:630   44 pc 0000000000130a14   apex com android runtime lib64 libart so (mterp op invoke interface 20)_x000D_
A  myapp androi: runtime cc:630   45 pc 0000000000adbde8   data app co myapp android TISTHV 5WERpM JMhThnLA   oat arm64 base vdex (U70 c 60)_x000D_
A  myapp androi: runtime cc:630   46 pc 00000000005a23fc   apex com android runtime lib64 libart so (MterpInvokeInterface 1740)_x000D_
A  myapp androi: runtime cc:630   47 pc 0000000000130a14   apex com android runtime lib64 libart so (mterp op invoke interface 20)_x000D_
A  myapp androi: runtime cc:630   48 pc 0000000000c890ee   data app co myapp android TISTHV 5WERpM JMhThnLA   oat arm64 base vdex (E0 invoke 94)_x000D_
A  myapp androi: runtime cc:630   49 pc 00000000005a23fc   apex com android runtime lib64 libart so (MterpInvokeInterface 1740)_x000D_
A  myapp androi: runtime cc:630   50 pc 0000000000130a14   apex com android runtime lib64 libart so (mterp op invoke interface 20)_x000D_
A  myapp androi: runtime cc:630   51 pc 0000000000933924   data app co myapp android TISTHV 5WERpM JMhThnLA   oat arm64 base vdex (sB1 a 4)_x000D_
A  myapp androi: runtime cc:630   52 pc 00000000005a6e28   apex com android runtime lib64 libart so (MterpInvokeVirtualQuick 1368)_x000D_
A  myapp androi: runtime cc:630   53 pc 0000000000134594   apex com android runtime lib64 libart so (mterp op invoke virtual quick 20)_x000D_
A  myapp androi: runtime cc:630   54 pc 000000000093385c   data app co myapp android TISTHV 5WERpM JMhThnLA   oat arm64 base vdex (pB1 invoke 28)_x000D_
A  myapp androi: runtime cc:630   55 pc 00000000005a23fc   apex com android runtime lib64 libart so (MterpInvokeInterface 1740)_x000D_
A  myapp androi: runtime cc:630   56 pc 0000000000130a14   apex com android runtime lib64 libart so (mterp op invoke interface 20)_x000D_
A  myapp androi: runtime cc:630   57 pc 0000000000933d56   data app co myapp android TISTHV 5WERpM JMhThnLA   oat arm64 base vdex (tB1 a 170)_x000D_
A  myapp androi: runtime cc:630   58 pc 00000000005a6e28   apex com android runtime lib64 libart so (MterpInvokeVirtualQuick 1368)_x000D_
A  myapp androi: runtime cc:630   59 pc 0000000000134594   apex com android runtime lib64 libart so (mterp op invoke virtual quick 20)_x000D_
A  myapp androi: runtime cc:630   60 pc 00000000009338ba   data app co myapp android TISTHV 5WERpM JMhThnLA   oat arm64 base vdex (qB1 c 34)_x000D_
A  myapp androi: runtime cc:630   61 pc 00000000005a23fc   apex com android runtime lib64 libart so (MterpInvokeInterface 1740)_x000D_
A  myapp androi: runtime cc:630   62 pc 0000000000130a14   apex com android runtime lib64 libart so (mterp op invoke interface 20)_x000D_
A  myapp androi: runtime cc:630   63 pc 000000000067f0e8   data app co myapp android TISTHV 5WERpM JMhThnLA   oat arm64 base vdex (aA1 invoke 8)_x000D_
A  myapp androi: runtime cc:630   64 pc 00000000005a6e28   apex com android runtime lib64 libart so (MterpInvokeVirtualQuick 1368)_x000D_
A  myapp androi: runtime cc:630   65 pc 0000000000134594   apex com android runtime lib64 libart so (mterp op invoke virtual quick 20)_x000D_
A  myapp androi: runtime cc:630   66 pc 00000000009344d0   data app co myapp android TISTHV 5WERpM JMhThnLA   oat arm64 base vdex (AB1 b 68)_x000D_
A  myapp androi: runtime cc:630   67 pc 00000000005a23fc   apex com android runtime lib64 libart so (MterpInvokeInterface 1740)_x000D_
A  myapp androi: runtime cc:630   68 pc 0000000000130a14   apex com android runtime lib64 libart so (mterp op invoke interface 20)_x000D_
A  myapp androi: runtime cc:630   69 pc 0000000000c98e3a   data app co myapp android TISTHV 5WERpM JMhThnLA   oat arm64 base vdex (Ia0 a 10)_x000D_
A  myapp androi: runtime cc:630   70 pc 00000000005a37a0   apex com android runtime lib64 libart so (MterpInvokeStatic 1136)_x000D_
A  myapp androi: runtime cc:630   71 pc 0000000000130994   apex com android runtime lib64 libart so (mterp op invoke static 20)_x000D_
A  myapp androi: runtime cc:630   72 pc 0000000000ab712a   data app co myapp android TISTHV 5WERpM JMhThnLA   oat arm64 base vdex (x00 c 30)_x000D_
A  myapp androi: runtime cc:630   73 pc 00000000005a23fc   apex com android runtime lib64 libart so (MterpInvokeInterface 1740)_x000D_
A  myapp androi: runtime cc:630   74 pc 0000000000130a14   apex com android runtime lib64 libart so (mterp op invoke interface 20)_x000D_
A  myapp androi: runtime cc:630   75 pc 00000000009327fa   data app co myapp android TISTHV 5WERpM JMhThnLA   oat arm64 base vdex (PA1 a 114)_x000D_
A  myapp androi: runtime cc:630   76 pc 00000000005a6e28   apex com android runtime lib64 libart so (MterpInvokeVirtualQuick 1368)_x000D_
A  myapp androi: runtime cc:630   77 pc 0000000000134594   apex com android runtime lib64 libart so (mterp op invoke virtual quick 20)_x000D_
A  myapp androi: runtime cc:630   78 pc 000000000093276c   data app co myapp android TISTHV 5WERpM JMhThnLA   oat arm64 base vdex (PA1 c 4)_x000D_
A  myapp androi: runtime cc:630   79 pc 00000000005a6e28   apex com android runtime lib64 libart so (MterpInvokeVirtualQuick 1368)_x000D_
A  myapp androi: runtime cc:630   80 pc 0000000000134594   apex com android runtime lib64 libart so (mterp op invoke virtual quick 20)_x000D_
A  myapp androi: runtime cc:630   81 pc 00000000009326b8   data app co myapp android TISTHV 5WERpM JMhThnLA   oat arm64 base vdex (NA1 c 48)_x000D_
A  myapp androi: runtime cc:630   82 pc 00000000005a23fc   apex com android runtime lib64 libart so (MterpInvokeInterface 1740)_x000D_
A  myapp androi: runtime cc:630   83 pc 0000000000130a14   apex com android runtime lib64 libart so (mterp op invoke interface 20)_x000D_
A  myapp androi: runtime cc:630   84 pc 0000000000935572   data app co myapp android TISTHV 5WERpM JMhThnLA   oat arm64 base vdex (PB1  init  134)_x000D_
A  myapp androi: runtime cc:630   85 pc 00000000005a2f98   apex com android runtime lib64 libart so (MterpInvokeDirect 1168)_x000D_
A  myapp androi: runtime cc:630   86 pc 0000000000130914   apex com android runtime lib64 libart so (mterp op invoke direct 20)_x000D_
A  myapp androi: runtime cc:630   87 pc 000000000093574c   data app co myapp android TISTHV 5WERpM JMhThnLA   oat arm64 base vdex (SB1  init  48)_x000D_
A  myapp androi: runtime cc:630   88 pc 00000000005a2f98   apex com android runtime lib64 libart so (MterpInvokeDirect 1168)_x000D_
A  myapp androi: runtime cc:630   89 pc 0000000000130914   apex com android runtime lib64 libart so (mterp op invoke direct 20)_x000D_
A  myapp androi: runtime cc:630   90 pc 000000000067e66c   data app co myapp android TISTHV 5WERpM JMhThnLA   oat arm64 base vdex (Mz1 invoke 12)_x000D_
A  myapp androi: runtime cc:630   91 pc 00000000005a23fc   apex com android runtime lib64 libart so (MterpInvokeInterface 1740)_x000D_
A  myapp androi: runtime cc:630   92 pc 0000000000130a14   apex com android runtime lib64 libart so (mterp op invoke interface 20)_x000D_
A  myapp androi: runtime cc:630   93 pc 0000000000488f14   data app co myapp android TISTHV 5WERpM JMhThnLA   oat arm64 base vdex (Ak1 getValue 44)_x000D_
A  myapp androi: runtime cc:630   94 pc 00000000005a23fc   apex com android runtime lib64 libart so (MterpInvokeInterface 1740)_x000D_
A  myapp androi: runtime cc:630   95 pc 0000000000130a14   apex com android runtime lib64 libart so (mterp op invoke interface 20)_x000D_
A  myapp androi: runtime cc:630   96 pc 000000000067fa76   data app co myapp android TISTHV 5WERpM JMhThnLA   oat arm64 base vdex (nA1 s 14)_x000D_
A  myapp androi: runtime cc:630   97 pc 00000000005a23fc   apex com android runtime lib64 libart so (MterpInvokeInterface 1740)_x000D_
A  myapp androi: runtime cc:630   98 pc 0000000000130a14   apex com android runtime lib64 libart so (mterp op invoke interface 20)_x000D_
A  myapp androi: runtime cc:630   99 pc 000000000047310c   data app co myapp android TISTHV 5WERpM JMhThnLA   oat arm64 base vdex (Fg1 a 16)_x000D_
A  myapp androi: runtime cc:630   100 pc 00000000005a37a0   apex com android runtime lib64 libart so (MterpInvokeStatic 1136)_x000D_
A  myapp androi: runtime cc:630   101 pc 0000000000130994   apex com android runtime lib64 libart so (mterp op invoke static 20)_x000D_
A  myapp androi: runtime cc:630   102 pc 00000000001d5a16   data app co myapp android TISTHV 5WERpM JMhThnLA   oat arm64 base vdex (co myapp AppInitProvider onCreate 214)_x000D_
A  myapp androi: runtime cc:630   103 pc 00000000002b2fc8   apex com android runtime lib64 libart so ( ZN3art11interpreterL7ExecuteEPNS 6ThreadERKNS 20CodeItemDataAccessorERNS 11ShadowFrameENS 6JValueEbb llvm 2102722076887518264 240)_x000D_
A  myapp androi: runtime cc:630   104 pc 0000000000591d98   apex com android runtime lib64 libart so (artQuickToInterpreterBridge 1024)_x000D_
A  myapp androi: runtime cc:630   105 pc 000000000013f468   apex com android runtime lib64 libart so (art quick to interpreter bridge 88)_x000D_
A  myapp androi: runtime cc:630   106 pc 0000000000648770   system framework arm64 boot framework oat (android content ContentProvider attachInfo 544)_x000D_
A  myapp androi: runtime cc:630   107 pc 0000000000649188   system framework arm64 boot framework oat (android content ContentProvider attachInfo 56)_x000D_
A  myapp androi: runtime cc:630   108 pc 00000000004c4a88   system framework arm64 boot framework oat (android app ActivityThread installProvider 1752)_x000D_
A  myapp androi: runtime cc:630   109 pc 00000000004c4238   system framework arm64 boot framework oat (android app ActivityThread installContentProviders 280)_x000D_
A  myapp androi: runtime cc:630   110 pc 00000000004bf400   system framework arm64 boot framework oat (android app ActivityThread handleBindApplication 7120)_x000D_
A  myapp androi: runtime cc:630   111 pc 00000000004b6970   system framework arm64 boot framework oat (android app ActivityThread H handleMessage 6976)_x000D_
A  myapp androi: runtime cc:630   112 pc 00000000007331f4   system framework arm64 boot framework oat (android os Handler dispatchMessage 180)_x000D_
A  myapp androi: runtime cc:630   113 pc 00000000007367a0   system framework arm64 boot framework oat (android os Looper loop 1440)_x000D_
A  myapp androi: runtime cc:630   114 pc 00000000004c5cd4   system framework arm64 boot framework oat (android app ActivityThread main 756)_x000D_
A  mya</t>
  </si>
  <si>
    <t>nextcloud-android-5067</t>
  </si>
  <si>
    <t>Crash on multiple files upload</t>
  </si>
  <si>
    <t xml:space="preserve">             CAUSE OF ERROR             _x000D_
_x000D_
java lang IllegalStateException: Can not perform this action after onSaveInstanceState_x000D_
	at androidx fragment app FragmentManagerImpl checkStateLoss(FragmentManagerImpl java:1536)_x000D_
	at androidx fragment app FragmentManagerImpl enqueueAction(FragmentManagerImpl java:1558)_x000D_
	at androidx fragment app BackStackRecord commitInternal(BackStackRecord java:317)_x000D_
	at androidx fragment app BackStackRecord commit(BackStackRecord java:282)_x000D_
	at androidx fragment app DialogFragment dismissInternal(DialogFragment java:250)_x000D_
	at androidx fragment app DialogFragment dismiss(DialogFragment java:202)_x000D_
	at com owncloud android ui activity UploadFilesActivity onCheckAvailableSpaceFinish(UploadFilesActivity java:471)_x000D_
	at com owncloud android ui asynctasks CheckAvailableSpaceTask onPostExecute(CheckAvailableSpaceTask java:72)_x000D_
	at com owncloud android ui asynctasks CheckAvailableSpaceTask onPostExecute(CheckAvailableSpaceTask java:34)_x000D_
	at android os AsyncTask finish(AsyncTask java:695)_x000D_
	at android os AsyncTask  wrap1(Unknown Source:0)_x000D_
	at android os AsyncTask InternalHandler handleMessage(AsyncTask java:712)_x000D_
	at android os Handler dispatchMessage(Handler java:106)_x000D_
	at android os Looper loop(Looper java:164)_x000D_
	at android app ActivityThread main(ActivityThread java:6753)_x000D_
	at java lang reflect Method invoke(Native Method)_x000D_
	at com android internal os RuntimeInit MethodAndArgsCaller run(RuntimeInit java:482)_x000D_
	at com android internal os ZygoteInit main(ZygoteInit java:807)_x000D_
_x000D_
             APP INFORMATION             _x000D_
ID: com nextcloud client_x000D_
Version: 30090290_x000D_
Build flavor: gplay_x000D_
_x000D_
             DEVICE INFORMATION             _x000D_
Brand: OnePlus_x000D_
Device: OnePlus5T_x000D_
Model: ONEPLUS A5010_x000D_
Id: OPM1 171019 011_x000D_
Product: OnePlus5T_x000D_
_x000D_
             FIRMWARE             _x000D_
SDK: 27_x000D_
Release: 8 1 0_x000D_
Incremental: 1811051726_x000D_
_x000D_
_x000D_
    Steps to reproduce_x000D_
1  Upload multiple files at same time to nextcloud_x000D_
2  Switch to a different app while spinner is visible _x000D_
3  Ensure everything is happening on a slow upload connection _x000D_
_x000D_
    Expected behaviour_x000D_
  no crash _x000D_
_x000D_
    Actual behaviour_x000D_
  repeatedly requested fingerprint  when I changed to a different app  it crashed_x000D_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</si>
  <si>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segler-alex-RadioDroid-641</t>
  </si>
  <si>
    <t>App Crashes with Off-Wi-Fi Warning Enabled</t>
  </si>
  <si>
    <t xml:space="preserve">With   off Wi Fi warning   enabled  click any station under mobile data  the app crashes </t>
  </si>
  <si>
    <t>fossasia-phimpme-android-2951</t>
  </si>
  <si>
    <t>Trash Bin Bug</t>
  </si>
  <si>
    <t xml:space="preserve">  Describe the bug  _x000D_
No images appear in the trash bin after deletion _x000D_
_x000D_
  To Reproduce  _x000D_
Steps to reproduce the behavior:_x000D_
1  Click on any image  _x000D_
2  Click the delete option _x000D_
3  Click on the open button next to the prompt _x000D_
4  No images appear in the trash bin_x000D_
_x000D_
  Expected behavior  _x000D_
     Images    _x000D_
_x000D_
  Logs  _x000D_
     Please add logs in case of any crash or applicable error     _x000D_
_x000D_
  Screenshots  _x000D_
     If applicable  add screenshots to help explain your problem     _x000D_
_x000D_
  Screenshot 2019 12 26 01 17 32 22 e9fa3137047667733754e6d84fae6a64 (https:  user images githubusercontent com 34763983 71449957 4712d300 277e 11ea 9837 d585b73f781b png)_x000D_
_x000D_
_x000D_
  Screenshot 2019 12 26 01 19 01 81 (https:  user images githubusercontent com 34763983 71449967 60b41a80 277e 11ea 9bd5 a916a469bd59 png)_x000D_
_x000D_
_x000D_
_x000D_
  Screenshot 2019 12 26 01 17 40 69 e9fa3137047667733754e6d84fae6a64 (https:  user images githubusercontent com 34763983 71449969 69a4ec00 277e 11ea 9986 ce6ce2b81141 png)_x000D_
_x000D_
_x000D_
_x000D_
_x000D_
_x000D_
_x000D_
  Smartphone Info:  _x000D_
     Please complete the following information    _x000D_
                   _x000D_
                   _x000D_
 Device          Realme 5 Pro _x000D_
 Android Version Android 9 Pie   _x000D_
_x000D_
  Additional context  _x000D_
     Add any other context about the problem here     _x000D_
_x000D_
  Would you like to work on the issue   _x000D_
     Please let us know if you can work on it or the issue should be assigned to someone else     _x000D_
      Yes_x000D_
      No_x000D_
  Other: _x000D_
</t>
  </si>
  <si>
    <t>libgdx-libgdx-5870</t>
  </si>
  <si>
    <t>ArrayIndexOutOfBoundsException at AndroidMultiTouchHandler</t>
  </si>
  <si>
    <t xml:space="preserve">     Issue details_x000D_
From time to time I see this crash reported on my live wallpaper apps  It is impossible for me to reproduce _x000D_
_x000D_
     Version of LibGDX and or relevant dependencies_x000D_
1 9 10_x000D_
_x000D_
     Stacktrace_x000D_
   _x000D_
Fatal Exception: java lang ArrayIndexOutOfBoundsException: length 20  index 20_x000D_
       at com badlogic gdx backends android AndroidMultiTouchHandler onTouch(AndroidMultiTouchHandler java:90)_x000D_
       at com badlogic gdx backends android AndroidInput onTouch(AndroidInput java:460)_x000D_
       at com badlogic gdx backends android AndroidLiveWallpaperService AndroidWallpaperEngine onTouchEvent(AndroidLiveWallpaperService java:521)_x000D_
       at android service wallpaper WallpaperService IWallpaperEngineWrapper executeMessage(WallpaperService java:1404)_x000D_
       at com android internal os HandlerCaller MyHandler handleMessage(HandlerCaller java:37)_x000D_
       at android os Handler dispatchMessage(Handler java:112)_x000D_
       at android os Looper loop(Looper java:216)_x000D_
       at android app ActivityThread main(ActivityThread java:7625)_x000D_
       at java lang reflect Method invoke(Method java)_x000D_
       at com android internal os RuntimeInit MethodAndArgsCaller run(RuntimeInit java:524)_x000D_
       at com android internal os ZygoteInit main(ZygoteInit java:987)nTC I0EOPv wWck3RUbSCS8HgSGqFCI8roz_x000D_
   _x000D_
     Please select the affected platforms_x000D_
   X  Android_x000D_
_x000D_
It looks like the problem resides in  this line (https:  github com libgdx libgdx blob 0d5021844c4f8e555f5ccb570ba3a07488c25dff backends gdx backend android src com badlogic gdx backends android AndroidMultiTouchHandler java L90) where it seems that the input realId length is bigger than input pressure length while they must be equal (but I can be wrong)  Thanks for your support _x000D_
_x000D_
</t>
  </si>
  <si>
    <t>fossasia-phimpme-android-2950</t>
  </si>
  <si>
    <t xml:space="preserve">  Describe the bug  _x000D_
Crash_x000D_
_x000D_
  To Reproduce  _x000D_
Steps to reproduce the behavior:_x000D_
In the phimpme app_x000D_
1  Go to  Gallery option _x000D_
2  Click on  Any photo from any media _x000D_
3  Then click on compress feature and select any one of the two in features available_x000D_
4 Sometimes the feature gets executed and then the crash happens or else directly the crash happens when the feature button is clicked_x000D_
5  Then the app gets crashed _x000D_
_x000D_
  Expected behavior  _x000D_
To finish compressing and move on to other features_x000D_
_x000D_
  Logs  _x000D_
_x000D_
  Screenshot 2019 12 25 14 12 02 060 com miui bugreport (https:  user images githubusercontent com 58425876 71441405 561a6680 2727 11ea 99bf 4fd2ca69f366 png)_x000D_
_x000D_
_x000D_
_x000D_
_x000D_
  Screenshots  _x000D_
_x000D_
  Screenshot 2019 12 25 14 43 40 087 org fossasia phimpme (https:  user images githubusercontent com 58425876 71441529 d0e38180 2727 11ea 86a0 3858560347a6 png)_x000D_
_x000D_
_x000D_
_x000D_
  Smartphone Info:  _x000D_
Device  Redmi Note4         _x000D_
Android Version   7 0 NRD90M_x000D_
_x000D_
_x000D_
_x000D_
</t>
  </si>
  <si>
    <t>google-conscrypt-797</t>
  </si>
  <si>
    <t>/lib/arm64/libconscrypt_jni.so [arm64-v8a] crash</t>
  </si>
  <si>
    <t xml:space="preserve">I am an Android developer  And we face the crash on specify device ( All of crash happen on Android 5 1 API 22)_x000D_
I already update conscrypt android SDK version to  2 2 1_x000D_
_x000D_
Crash log is below_x000D_
_x000D_
  _x000D_
_x000D_
 00 pc 0000000000060284  system lib64 libc so (tgkill 8)  arm64 v8a _x000D_
  _x000D_
2  01 pc 00000000000202bc  system lib64 libc so (pthread kill 160)  arm64 v8a _x000D_
3  02 pc 00000000000217f0  system lib64 libc so (raise 28)  arm64 v8a _x000D_
4  03 pc 000000000001b0fc  system lib64 libc so (abort 60)  arm64 v8a _x000D_
5  04 pc 00000000000e0114  data app com sogou translator 1 lib arm64 libconscrypt jni so  arm64 v8a _x000D_
6  05 pc 0000000000020cc8  system lib64 libc so (pthread once 160)  arm64 v8a _x000D_
7  06 pc 0000000000118f4c  data app com sogou translator 1 lib arm64 libconscrypt jni so (CRYPTO once 8)  arm64 v8a _x000D_
8  07 pc 00000000000dfd8c  data app com sogou translator 1 lib arm64 libconscrypt jni so  arm64 v8a _x000D_
9  08 pc 00000000000ca388  data app com sogou translator 1 lib arm64 libconscrypt jni so  arm64 v8a _x000D_
10  09 pc 00000000000ca00c  data app com sogou translator 1 lib arm64 libconscrypt jni so (RAND bytes 16)  arm64 v8a _x000D_
11  10 pc 00000000000aaad0  data app com sogou translator 1 lib arm64 libconscrypt jni so  arm64 v8a _x000D_
12  11 pc 00000000000a9fa8  data app com sogou translator 1 lib arm64 libconscrypt jni so  arm64 v8a _x000D_
13  12 pc 000000000008e914  data app com sogou translator 1 lib arm64 libconscrypt jni so (SSL do handshake 92)  arm64 v8a _x000D_
14  13 pc 0000000000077e48  data app com sogou translator 1 lib arm64 libconscrypt jni so  arm64 v8a _x000D_
15  14 pc 0000000001c54e68  data dalvik cache arm64 data app com sogou translator 1 base apk classes dex (oatexec 7478888)   _x000D_
16 java:_x000D_
17 org conscrypt NativeSsl doHandshake(SourceFile:3)_x000D_
18 org conscrypt ConscryptFileDescriptorSocket startHandshake(SourceFile:28)_x000D_
19 com android okhttp Connection upgradeToTls(Connection java:201)_x000D_
20 com android okhttp Connection connect(Connection java:155)_x000D_
21 com android okhttp internal http HttpEngine connect(HttpEngine java:282)_x000D_
22 com android okhttp internal http HttpEngine sendRequest(HttpEngine java:216)_x000D_
23 com android okhttp internal http HttpURLConnectionImpl execute(HttpURLConnectionImpl java:392)_x000D_
24 com android okhttp internal http HttpURLConnectionImpl connect(HttpURLConnectionImpl java:107)_x000D_
25 com android okhttp internal http HttpURLConnectionImpl getOutputStream(HttpURLConnectionImpl java:218)_x000D_
26 com android okhttp internal http DelegatingHttpsURLConnection getOutputStream(DelegatingHttpsURLConnection java:218)_x000D_
27 com android okhttp internal http HttpsURLConnectionImpl getOutputStream(HttpsURLConnectionImpl java:25)_x000D_
28 com umeng commonsdk stateless e a(SourceFile:24)_x000D_
29 com umeng commonsdk stateless d e(SourceFile:8)_x000D_
30 com umeng commonsdk stateless d c(SourceFile:1)_x000D_
31 com umeng commonsdk stateless d 2 handleMessage(SourceFile:3)_x000D_
32 android os Handler dispatchMessage(Handler java:111)_x000D_
33 android os Looper loop(Looper java:194)_x000D_
34 android os HandlerThread run(HandlerThread java:61)_x000D_
_x000D_
</t>
  </si>
  <si>
    <t>nextcloud-android-5058</t>
  </si>
  <si>
    <t>Error when you try to connect on an already logged server/user</t>
  </si>
  <si>
    <t>Hi _x000D_
_x000D_
When you re connected on a server and want to connect on the SAME server with the SAME user  AND ONLY if you use a  webview login url  by default  the app will crash because  mAuthStatusView  is not defined in AuthenticatorActivity _x000D_
_x000D_
A  solution  would be to create a try catch in  showAuthStatus  method  but it s ugly because the AuthenticatorActivity musts show the login input to show the error message _x000D_
_x000D_
If a webview login url is defined  the wanted behaviour is ALWAYS to connect through this specified URL and we don t want to show the URL input Activity for login  _x000D_
_x000D_
So what I suggest  is to create a Toast containing the error  and if the login fail  we finish Authenticator Activity (only if a  webview login url  is defined) _x000D_
_x000D_
 AndyScherzinger  tobiasKaminsky I ve figured out that everything related to branding was really not necessary  are you  interested  in this kind of issue or not  Thanks for your answer and have a happy holiday :D</t>
  </si>
  <si>
    <t>AppsFlyerSDK-appsflyer-react-native-plugin-134</t>
  </si>
  <si>
    <t>API docs for sendDeepLinkData are incorrect</t>
  </si>
  <si>
    <t xml:space="preserve">  Report_x000D_
_x000D_
The docs for the function sendDeepLinkData are incorrect and instead of saying it accepts a callback function it should say that it accepts a string as the url of the deep link _x000D_
_x000D_
In fact  attempting to provide a function would cause the app to crash _x000D_
_x000D_
I have a small PR to fix this although I don t seem to have permissions to push to this repo _x000D_
</t>
  </si>
  <si>
    <t>SecUSo-privacy-friendly-notes-78</t>
  </si>
  <si>
    <t>crash when editing reminder</t>
  </si>
  <si>
    <t xml:space="preserve">       Reproduction Steps_x000D_
When a reminder has been set:_x000D_
_x000D_
1  select the note_x000D_
2  tap  set reminder _x000D_
3  tap  Edit reminder _x000D_
_x000D_
_x000D_
       Stack Trace_x000D_
E AndroidRuntime: FATAL EXCEPTION: main_x000D_
                                                 Process: org secuso privacyfriendlynotes  PID: 5041_x000D_
                                                 java lang IllegalArgumentException: fromDate: Sun Dec 22 03:11:27 EST 2019 does not precede toDate: Sun Dec 22 03:11:27 EST 2019_x000D_
                                                     at android widget CalendarView getWeeksSinceMinDate(CalendarView java:1272)_x000D_
                                                     at android widget CalendarView access 1500(CalendarView java:76)_x000D_
                                                     at android widget CalendarView WeeksAdapter init(CalendarView java:1356)_x000D_
                                                     at android widget CalendarView WeeksAdapter access 500(CalendarView java:1337)_x000D_
                                                     at android widget CalendarView setMinDate(CalendarView java:753)_x000D_
                                                     at android widget DatePicker setMinDate(DatePicker java:323)_x000D_
                                                     at org secuso privacyfriendlynotes SketchActivity onMenuItemClick(SketchActivity java:503)_x000D_
                                                     at android widget PopupMenu onMenuItemSelected(PopupMenu java:201)_x000D_
                                                     at com android internal view menu MenuBuilder dispatchMenuItemSelected(MenuBuilder java:741)_x000D_
                                                     at com android internal view menu MenuItemImpl invoke(MenuItemImpl java:152)_x000D_
                                                     at com android internal view menu MenuBuilder performItemAction(MenuBuilder java:884)_x000D_
                                                     at com android internal view menu MenuBuilder performItemAction(MenuBuilder java:874)_x000D_
                                                     at com android internal view menu MenuPopupHelper onItemClick(MenuPopupHelper java:177)_x000D_
                                                     at android widget AdapterView performItemClick(AdapterView java:299)_x000D_
                                                     at android widget AbsListView performItemClick(AbsListView java:1113)_x000D_
                                                     at android widget AbsListView PerformClick run(AbsListView java:2911)_x000D_
                                                     at android widget AbsListView 3 run(AbsListView java:3645)_x000D_
                                                     at android os Handler handleCallback(Handler java:733)_x000D_
                                                     at android os Handler dispatchMessage(Handler java:95)_x000D_
                                                     at android os Looper loop(Looper java:136)_x000D_
                                                     at android app ActivityThread main(ActivityThread java:5001)_x000D_
                                                     at java lang reflect Method invokeNative(Native Method)_x000D_
                                                     at java lang reflect Method invoke(Method java:515)_x000D_
                                                     at com android internal os ZygoteInit MethodAndArgsCaller run(ZygoteInit java:785)_x000D_
                                                     at com android internal os ZygoteInit main(ZygoteInit java:601)_x000D_
                                                     at dalvik system NativeStart main(Native Method)_x000D_
_x000D_
       Screen Shot_x000D_
_x000D_
screen shot before crash:_x000D_
_x000D_
  image (https:  user images githubusercontent com 46981872 71319267 c1212e80 24d6 11ea 9113 2bec917ac4a7 png)_x000D_
_x000D_
_x000D_
       Debug info_x000D_
App Version   1 0 1_x000D_
_x000D_
Android Version   4 4 4_x000D_
</t>
  </si>
  <si>
    <t>SecUSo-privacy-friendly-notes-77</t>
  </si>
  <si>
    <t>crash when adding reminder</t>
  </si>
  <si>
    <t xml:space="preserve">       Reproduction Steps_x000D_
_x000D_
1  select a note_x000D_
2  tap  set reminder _x000D_
3  tap  Done _x000D_
4  tap  Done _x000D_
_x000D_
_x000D_
       Stack Trace_x000D_
_x000D_
E AndroidRuntime: FATAL EXCEPTION: IntentService Notification service _x000D_
                                                 Process: org secuso privacyfriendlynotes  PID: 4944_x000D_
                                                 android database CursorIndexOutOfBoundsException: Index 0 requested  with a size of 0_x000D_
                                                     at android database AbstractCursor checkPosition(AbstractCursor java:426)_x000D_
                                                     at android database AbstractWindowedCursor checkPosition(AbstractWindowedCursor java:136)_x000D_
                                                     at android database AbstractWindowedCursor getInt(AbstractWindowedCursor java:68)_x000D_
                                                     at org secuso privacyfriendlynotes NotificationService onHandleIntent(NotificationService java:28)_x000D_
                                                     at android app IntentService ServiceHandler handleMessage(IntentService java:65)_x000D_
                                                     at android os Handler dispatchMessage(Handler java:102)_x000D_
                                                     at android os Looper loop(Looper java:136)_x000D_
                                                     at android os HandlerThread run(HandlerThread java:61)_x000D_
_x000D_
_x000D_
       Screen Shot_x000D_
_x000D_
screen shot before crash:_x000D_
  image (https:  user images githubusercontent com 46981872 71319251 8d460900 24d6 11ea 8513 bd11af3a20f5 png)_x000D_
_x000D_
_x000D_
       Debug info_x000D_
App Version   1 0 1_x000D_
_x000D_
Android Version   4 4 4_x000D_
</t>
  </si>
  <si>
    <t>square-reader-sdk-flutter-plugin-42</t>
  </si>
  <si>
    <t>Production builds break with Flutter 1.12</t>
  </si>
  <si>
    <t xml:space="preserve">    Describe the issue_x000D_
    _x000D_
  A clear and concise description of what the issue is _x000D_
_x000D_
  For example   When I try to authorize my Reader with a valid location and_x000D_
  OAuth access token  the plugin returns an exception with message_x000D_
   authorization failed unexpectedly  _x000D_
_x000D_
  Error log details:_x000D_
     _x000D_
     paste your error log here_x000D_
     _x000D_
   _x000D_
Flutter 1 12 just added the breaking change of adding  android enableR8 true  which obfuscates libraries  This causes the Square Reader SDK to stop functioning _x000D_
_x000D_
Each time you open the app  it immediately crashes and logcat outputs this error:_x000D_
_x000D_
 Unable to create application com example test MainApplication: java lang RuntimeException: java lang ClassNotFoundException: Didn t find class  com squareup AppBootstrapFactory  on path: DexPathList _x000D_
_x000D_
_x000D_
    To Reproduce_x000D_
    _x000D_
  Steps to reproduce the issue _x000D_
_x000D_
  For example   _x000D_
  1  Initialize the SDK_x000D_
  1  Get a valid authz code_x000D_
  1  Call  await ReaderSdk authorize(authCode)   and failed_x000D_
_x000D_
  Here is the piece of code that reproduce the issue _x000D_
_x000D_
     dart_x000D_
    void authorize(String authCode) async  _x000D_
      try  _x000D_
        setState(()  _x000D_
           isLoading   true _x000D_
         ) _x000D_
        await ReaderSdk authorize(authCode) _x000D_
        Navigator pushNamed(context    checkout ) _x000D_
        on ReaderSdkException catch (e)  _x000D_
           _x000D_
        finally  _x000D_
        setState(()  _x000D_
           isLoading   false _x000D_
         ) _x000D_
       _x000D_
     _x000D_
     _x000D_
   _x000D_
_x000D_
Upgrade to flutter 1 12 13 hotfix6 (or any of the 1 12 13 releases)  run  flutter build apk   release  and you will notice that automatically  android enableR8 true  is added to your  gradle properties  file _x000D_
</t>
  </si>
  <si>
    <t>inaturalist-iNaturalistAndroid-762</t>
  </si>
  <si>
    <t>java.lang.Object[] cannot be cast to android.util.Pair[]</t>
  </si>
  <si>
    <t xml:space="preserve">https:  console firebase google com u 2 project inaturalist ios crashlytics app android:org inaturalist android issues 06d0582e580bbad9ee9fa8050fa7a8c3 time last seven days sessionId 5DF484290115000132CB0581DBDC9AD4 DNE 0 v2_x000D_
_x000D_
   _x000D_
Fatal Exception: java lang ClassCastException: java lang Object   cannot be cast to android util Pair  _x000D_
       at org inaturalist android ObservationPhotosViewer checkForReplacedPhotos(ObservationPhotosViewer java:269)_x000D_
       at org inaturalist android ObservationPhotosViewer onOptionsItemSelected(ObservationPhotosViewer java:281)_x000D_
       at android app Activity onMenuItemSelected(Activity java:4139)_x000D_
       at androidx fragment app FragmentActivity onMenuItemSelected(FragmentActivity java:384)_x000D_
       at androidx appcompat app AppCompatActivity onMenuItemSelected(AppCompatActivity java:219)_x000D_
       at androidx appcompat view WindowCallbackWrapper onMenuItemSelected(WindowCallbackWrapper java:109)_x000D_
       at androidx appcompat widget ToolbarWidgetWrapper 1 onClick(ToolbarWidgetWrapper java:188)_x000D_
       at android view View performClick(View java:7259)_x000D_
       at android view View performClickInternal(View java:7236)_x000D_
       at android view View access 3600(View java:801)_x000D_
       at android view View PerformClick run(View java:27881)_x000D_
       at android os Handler handleCallback(Handler java:883)_x000D_
       at android os Handler dispatchMessage(Handler java:100)_x000D_
       at android os Looper loop(Looper java:214)_x000D_
       at android app ActivityThread main(ActivityThread java:7356)_x000D_
       at java lang reflect Method invoke(Method java)_x000D_
       at com android internal os RuntimeInit MethodAndArgsCaller run(RuntimeInit java:492)_x000D_
       at com android internal os ZygoteInit main(ZygoteInit java:930)_x000D_
   </t>
  </si>
  <si>
    <t>aws-amplify-aws-sdk-android-1387</t>
  </si>
  <si>
    <t>S3 TransferUtility Upload part interrupted: time out and socket is closed</t>
  </si>
  <si>
    <t xml:space="preserve">Hello everyone _x000D_
_x000D_
I have an app in which uploads videos to S3 using TransferUtility _x000D_
It works in most cases  but in Xiomi MI 8 Lite  it crashes _x000D_
_x000D_
I thought it was a max size issue  but is not _x000D_
_x000D_
I appreciate any suggestions on how to fix it _x000D_
_x000D_
SDK version_x000D_
   _x000D_
    implementation  com amazonaws:aws android sdk core:2 16 5 _x000D_
    implementation  com amazonaws:aws android sdk s3:2 16 5 _x000D_
    implementation  com amazonaws:aws android sdk cognito:2 16 5 _x000D_
   _x000D_
_x000D_
Here is my code:_x000D_
_x000D_
   _x000D_
private void uploadFile()  _x000D_
_x000D_
        spinProgress setVisibility(View VISIBLE) _x000D_
_x000D_
        CognitoCachingCredentialsProvider credentialsProvider   new CognitoCachingCredentialsProvider(_x000D_
                getApplicationContext() _x000D_
                 XXX  _x000D_
                Regions US EAST 1    Region_x000D_
        ) _x000D_
_x000D_
           get file to upload_x000D_
        prepend    android     interviewId         String valueOf(questionId)     mp4  _x000D_
_x000D_
        videoToUpload   CamRecordActivity getOutputMediaFile(_x000D_
                interviewId _x000D_
                questionId _x000D_
                this_x000D_
        ) _x000D_
_x000D_
        TransferNetworkLossHandler getInstance(getApplicationContext()) _x000D_
          TransferNetworkLossHandler getInstance(getApplicationContext()) onReceive(getApplicationContext()  new Intent() setAction(ConnectivityManager CONNECTIVITY ACTION)) _x000D_
_x000D_
        AmazonS3Client s3   new AmazonS3Client(credentialsProvider) _x000D_
        s3 setRegion(Region getRegion(Regions US EAST 1)) _x000D_
_x000D_
        final TransferUtility transferUtility   new TransferUtility(s3  getApplicationContext()) _x000D_
_x000D_
           connection timeout_x000D_
        ClientConfiguration clientConfiguration   new ClientConfiguration() _x000D_
           30 seconds_x000D_
        clientConfiguration setConnectionTimeout(30000) _x000D_
           5 min_x000D_
        clientConfiguration setSocketTimeout(300000) _x000D_
_x000D_
        final TransferObserver transferObserver   transferUtility upload(_x000D_
                 mobvideosappin          The bucket to upload to   _x000D_
                prepend        The key for the uploaded object   _x000D_
                videoToUpload           The file where the data to upload exists   _x000D_
        ) _x000D_
_x000D_
        transferObserver setTransferListener(new TransferListener() _x000D_
_x000D_
             Override_x000D_
            public void onStateChanged(int id  TransferState state)  _x000D_
                Log i( STATE:    String valueOf(state)) _x000D_
_x000D_
                if (state equals(TransferState COMPLETED))  _x000D_
                    Log i( DONE:    String valueOf(state)) _x000D_
                    spinProgress setVisibility(View INVISIBLE) _x000D_
                    postAnswer start() _x000D_
                    transferUtility cancel(id) _x000D_
                 _x000D_
_x000D_
                if (state equals(TransferState FAILED))  _x000D_
                    showToast(getString(R string tryagain)) _x000D_
_x000D_
                    Thread th   new Thread((Runnable) transferUtility resume(id)) _x000D_
                    th start() _x000D_
_x000D_
                      finish() _x000D_
                      startActivity(getIntent()) _x000D_
                 _x000D_
_x000D_
                if (state equals(TransferState WAITING)    state equals(TransferState WAITING FOR NETWORK))  _x000D_
                    showToast(getString(R string waiting)) _x000D_
                 _x000D_
_x000D_
                if (state equals(TransferState CANCELED))  _x000D_
                    showToast(getString(R string tryagain)) _x000D_
_x000D_
                    finish() _x000D_
                    startActivity(getIntent()) _x000D_
                 _x000D_
_x000D_
             _x000D_
_x000D_
             Override_x000D_
            public void onProgressChanged(int id  long bytesCurrent  long bytesTotal)  _x000D_
_x000D_
                Log i( BYTES   String valueOf(transferObserver getBytesTransferred())) _x000D_
_x000D_
                float  percent   ((float)bytesCurrent (float)bytesTotal) 100 0f _x000D_
                final int percentage   (int)  percent _x000D_
_x000D_
                mProgress setMax(100) _x000D_
                mProgress setProgress(percentage) _x000D_
                textProgress setText(String valueOf(percentage)      ) _x000D_
_x000D_
             _x000D_
_x000D_
             Override_x000D_
            public void onError(int id  Exception ex)  _x000D_
                textProgress setText(getString(R string tryagain)) _x000D_
_x000D_
                ex printStackTrace() _x000D_
_x000D_
                finish() _x000D_
                startActivity(getIntent()) _x000D_
_x000D_
             _x000D_
_x000D_
         ) _x000D_
_x000D_
_x000D_
     _x000D_
   _x000D_
_x000D_
_x000D_
And here is the log:_x000D_
_x000D_
   _x000D_
I BYTES: 16777216_x000D_
2019 12 20 17:20:46 053 3272 3937 com jobconvo entrevistanew E UploadPartTask: Upload part interrupted: com amazonaws AmazonClientException: Unable to execute HTTP request: timeout_x000D_
2019 12 20 17:20:46 056 3272 3272 com jobconvo entrevistanew I BYTES: 17190538_x000D_
_x000D_
   _x000D_
_x000D_
I BYTES: 8388608_x000D_
2019 12 20 17:23:54 273 4672 4994 com jobconvo entrevistanew E UploadPartTask: Upload part interrupted: com amazonaws AmazonClientException: Unable to execute HTTP request: timeout_x000D_
2019 12 20 17:23:54 286 4672 4672 com jobconvo entrevistanew I BYTES: 8696079_x000D_
2019 12 20 17:23:54 302 4672 4994 com jobconvo entrevistanew E UploadPartTask: Encountered error uploading part _x000D_
    com amazonaws AmazonClientException: Unable to execute HTTP request: timeout_x000D_
        at com amazonaws http AmazonHttpClient executeHelper(AmazonHttpClient java:441)_x000D_
        at com amazonaws http AmazonHttpClient execute(AmazonHttpClient java:212)_x000D_
        at com amazonaws services s3 AmazonS3Client invoke(AmazonS3Client java:4913)_x000D_
        at com amazonaws services s3 AmazonS3Client uploadPart(AmazonS3Client java:3887)_x000D_
        at com amazonaws mobileconnectors s3 transferutility UploadPartTask call(UploadPartTask java:60)_x000D_
        at com amazonaws mobileconnectors s3 transferutility UploadPartTask call(UploadPartTask java:30)_x000D_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java:764)_x000D_
     Caused by: java net SocketTimeoutException: timeout_x000D_
        at com android okhttp okio Okio 3 newTimeoutException(Okio java:212)_x000D_
        at com android okhttp okio AsyncTimeout exit(AsyncTimeout java:261)_x000D_
        at com android okhttp okio AsyncTimeout 2 read(AsyncTimeout java:215)_x000D_
        at com android okhttp okio RealBufferedSource indexOf(RealBufferedSource java:306)_x000D_
        at com android okhttp okio RealBufferedSource indexOf(RealBufferedSource java:300)_x000D_
        at com android okhttp okio RealBufferedSource readUtf8LineStrict(RealBufferedSource java:196)_x000D_
        at com android okhttp internal http Http1xStream readResponse(Http1xStream java:186)_x000D_
        at com android okhttp internal http Http1xStream readResponseHeaders(Http1xStream java:127)_x000D_
        at com android okhttp internal http HttpEngine readNetworkResponse(HttpEngine java:737)_x000D_
        at com android okhttp internal http HttpEngine readResponse(HttpEngine java:609)_x000D_
        at com android okhttp internal huc HttpURLConnectionImpl execute(HttpURLConnectionImpl java:471)_x000D_
        at com android okhttp internal huc HttpURLConnectionImpl getResponse(HttpURLConnectionImpl java:407)_x000D_
        at com android okhttp internal huc HttpURLConnectionImpl getResponseMessage(HttpURLConnectionImpl java:534)_x000D_
        at com android okhttp internal huc DelegatingHttpsURLConnection getResponseMessage(DelegatingHttpsURLConnection java:109)_x000D_
        at com android okhttp internal huc HttpsURLConnectionImpl getResponseMessage(HttpsURLConnectionImpl java:26)_x000D_
        at com amazonaws http UrlHttpClient createHttpResponse(UrlHttpClient java:92)_x000D_
        at com amazonaws http UrlHttpClient execute(UrlHttpClient java:85)_x000D_
        at com amazonaws http AmazonHttpClient executeHelper(AmazonHttpClient java:371)_x000D_
        at com amazonaws http AmazonHttpClient execute(AmazonHttpClient java:212) _x000D_
        at com amazonaws services s3 AmazonS3Client invoke(AmazonS3Client java:4913) _x000D_
        at com amazonaws services s3 AmazonS3Client uploadPart(AmazonS3Client java:3887) _x000D_
        at com amazonaws mobileconnectors s3 transferutility UploadPartTask call(UploadPartTask java:60) _x000D_
        at com amazonaws mobileconnectors s3 transferutility UploadPartTask call(UploadPartTask java:30)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java:764) _x000D_
     Caused by: java net SocketException: socket is closed_x000D_
        at com android org conscrypt ConscryptFileDescriptorSocket SSLInputStream read(ConscryptFileDescriptorSocket java:551)_x000D_
        at com android okhttp okio Okio 2 read(Okio java:136)_x000D_
        at com android okhttp okio AsyncTimeout 2 read(AsyncTimeout java:211)_x000D_
        at com android okhttp okio RealBufferedSource indexOf(RealBufferedSource java:306) _x000D_
        at com android okhttp okio RealBufferedSource indexOf(RealBufferedSource java:300) _x000D_
        at com android okhttp okio RealBufferedSource readUtf8LineStrict(RealBufferedSource java:196) _x000D_
        at com android okhttp internal http Http1xStream readResponse(Http1xStream java:186) _x000D_
        at com android okhttp internal http Http1xStream readResponseHeaders(Http1xStream java:127) _x000D_
        at com android okhttp internal http HttpEngine readNetworkResponse(HttpEngine java:737) _x000D_
        at com android okhttp internal http HttpEngine readResponse(HttpEngine java:609) _x000D_
        at com android okhttp internal huc HttpURLConnectionImpl execute(HttpURLConnectionImpl java:471) _x000D_
        at com android okhttp internal huc HttpURLConnectionImpl getResponse(HttpURLConnectionImpl java:407) _x000D_
        at com android okhttp internal huc HttpURLConnectionImpl getResponseMessage(HttpURLConnectionImpl java:534) _x000D_
        at com android okhttp internal huc DelegatingHttpsURLConnection getResponseMessage(DelegatingHttpsURLConnection java:109) _x000D_
        at com android okhttp internal huc HttpsURLConnectionImpl getResponseMessage(HttpsURLConnectionImpl java:26) _x000D_
        at com amazonaws http UrlHttpClient createHttpResponse(UrlHttpClient java:92) _x000D_
        at com amazonaws http UrlHttpClient execute(UrlHttpClient java:85) _x000D_
        at com amazonaws http AmazonHttpClient executeHelper(AmazonHttpClient java:371) _x000D_
        at com amazonaws http AmazonHttpClient execute(AmazonHttpClient java:212) _x000D_
        at com amazonaws services s3 AmazonS3Client invoke(AmazonS3Client java:4913) _x000D_
        at com amazonaws services s3 AmazonS3Client uploadPart(AmazonS3Client java:3887) _x000D_
        at com amazonaws mobileconnectors s3 transferutility UploadPartTask call(UploadPartTask java:60) _x000D_
        at com amazonaws mobileconnectors s3 transferutility UploadPartTask call(UploadPartTask java:30) _x000D_
        at java util concurrent FutureTask run(FutureTask java:266) _x000D_
        at java util concurrent ThreadPoolExecutor runWorker(ThreadPoolExecutor java:1167) _x000D_
        at java util concurrent ThreadPoolExecutor Worker run(ThreadPoolExecutor java:641) _x000D_
        at java lang Thread run(Thread java:764) _x000D_
   </t>
  </si>
  <si>
    <t>OpenTracksApp-OpenTracks-107</t>
  </si>
  <si>
    <t>Bug: crash on show import dialog</t>
  </si>
  <si>
    <t xml:space="preserve">Reported via Google Play store crash analytics _x000D_
Affected version code: 3175_x000D_
Android version: 6 0 (Samsung)_x000D_
_x000D_
Stacktrace:_x000D_
_x000D_
   _x000D_
java lang RuntimeException: _x000D_
   at android app ActivityThread deliverResults (ActivityThread java:4998)_x000D_
   at android app ActivityThread handleSendResult (ActivityThread java:5041)_x000D_
   at android app ActivityThread access 1600 (ActivityThread java:229)_x000D_
   at android app ActivityThread H handleMessage (ActivityThread java:1875)_x000D_
   at android os Handler dispatchMessage (Handler java:102)_x000D_
   at android os Looper loop (Looper java:148)_x000D_
   at android app ActivityThread main (ActivityThread java:7325)_x000D_
   at java lang reflect Method invoke (Native Method)_x000D_
   at com android internal os ZygoteInit MethodAndArgsCaller run (ZygoteInit java:1230)_x000D_
   at com android internal os ZygoteInit main (ZygoteInit java:1120)_x000D_
_x000D_
Caused by: java lang IllegalStateException: _x000D_
  at androidx fragment app FragmentManagerImpl checkStateLoss (FragmentManagerImpl java:1536)_x000D_
  at androidx fragment app FragmentManagerImpl enqueueAction (FragmentManagerImpl java:1558)_x000D_
  at androidx fragment app BackStackRecord commitInternal (BackStackRecord java:317)_x000D_
  at androidx fragment app BackStackRecord commit (BackStackRecord java:282)_x000D_
  at androidx fragment app DialogFragment show (DialogFragment java:155)_x000D_
  at de dennisguse opentracks fragments FileTypeDialogFragment showDialog (FileTypeDialogFragment java:55)_x000D_
  at de dennisguse opentracks io file importer ImportActivity fileTypeDialogStart (ImportActivity java:88)_x000D_
  at de dennisguse opentracks io file importer ImportActivity onRequestPermissionsResult (ImportActivity java:80)_x000D_
  at android app Activity dispatchRequestPermissionsResult (Activity java:7291)_x000D_
  at android app Activity dispatchActivityResult (Activity java:7169)_x000D_
  at android app ActivityThread deliverResults (ActivityThread java:4994)_x000D_
   _x000D_
_x000D_
Seems to be related to a state loss of the activity: https:  stackoverflow com questions 44699944 activity state loss illegal state exception in some devices_x000D_
</t>
  </si>
  <si>
    <t>NightscoutFoundation-xDrip-1139</t>
  </si>
  <si>
    <t>libre status crash when sensor stopped</t>
  </si>
  <si>
    <t xml:space="preserve">  use Libre_x000D_
  stop sensor_x000D_
  open Status page_x000D_
  the application will crash</t>
  </si>
  <si>
    <t>nextcloud-android-5036</t>
  </si>
  <si>
    <t>Crash at leaving the app</t>
  </si>
  <si>
    <t xml:space="preserve">    Actual behaviour_x000D_
  The App crashed_x000D_
_x000D_
    Expected behaviour_x000D_
  It should not crash at leaving the app_x000D_
 _x000D_
    Steps to reproduce_x000D_
1  _x000D_
2  _x000D_
3  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</si>
  <si>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google-ExoPlayer-6785</t>
  </si>
  <si>
    <t>IllegalStateException at DefaultDownloadIndex.getDownloadForCurrentRow</t>
  </si>
  <si>
    <t xml:space="preserve">    Issue description_x000D_
The following crash is being seen in Crashlytics_x000D_
_x000D_
   _x000D_
Fatal Exception: java lang IllegalStateException_x000D_
       at com google android exoplayer2 util Assertions checkState(Assertions java:81)_x000D_
       at com google android exoplayer2 offline Download  init (Download java:133)_x000D_
       at com google android exoplayer2 offline DefaultDownloadIndex getDownloadForCurrentRow(DefaultDownloadIndex java:359)_x000D_
       at com google android exoplayer2 offline DefaultDownloadIndex access 100(DefaultDownloadIndex java:35)_x000D_
       at com google android exoplayer2 offline DefaultDownloadIndex DownloadCursorImpl getDownload(DefaultDownloadIndex java:409)_x000D_
       at com google android exoplayer2 offline DownloadManager InternalHandler initialize(DownloadManager java:697)_x000D_
       at com google android exoplayer2 offline DownloadManager InternalHandler handleMessage(DownloadManager java:630)_x000D_
       at android os Handler dispatchMessage(Handler java:106)_x000D_
       at android os Looper loop(Looper java:216)_x000D_
       at android os HandlerThread run(HandlerThread java:65)_x000D_
   _x000D_
It appears that the download progress is  null  which is failing the assertion   From what I can see this progress is returned from the database _x000D_
_x000D_
Over the last 90 days: This issue has 1070 crashes affecting 110 users _x000D_
_x000D_
    Reproduction steps_x000D_
We have not been able to reproduce this issue ourselves  but it is currently our biggest crash in Crashlytics and has recently generated a velocity alert _x000D_
_x000D_
    Link to test content_x000D_
If required please let us know and we can try to provide access to a test user account_x000D_
_x000D_
     A full bug report captured from the device_x000D_
As above this is an issue from Crashlytics so unable to capture a bug report ourselves_x000D_
_x000D_
    Version of ExoPlayer being used_x000D_
v2 10 4_x000D_
_x000D_
    Device(s) and version(s) of Android being used_x000D_
80  Samsung (Galaxy S8  S9  S8 )_x000D_
5  Huawei (p20 lite  Y7 Prime 2019  P smart 2019)_x000D_
4  OnePlus (A6000  7T Pro  5T)_x000D_
4  OPPO (CPH1725)_x000D_
56  Other_x000D_
_x000D_
65  Android 9_x000D_
23  Android 8_x000D_
6  Android 7_x000D_
3  Android 5_x000D_
3  Other_x000D_
_x000D_
25  In background_x000D_
0  Rooted_x000D_
93  Proximity On</t>
  </si>
  <si>
    <t>opensrp-opensrp-client-giz-malawi-164</t>
  </si>
  <si>
    <t>QA Bugs and Issues v0.2.4</t>
  </si>
  <si>
    <t xml:space="preserve">   x  The mother created from the Child s Registration still appears in ANC  The app does not crash anymore  but that record should not be there _x000D_
  Screenshot 1576742651 (https:  user images githubusercontent com 18394882 71155684 501c1580 224f 11ea 8c19 4cf7b804f021 png)_x000D_
_x000D_
   x  When the user logs in and they set the site characteristics  they land on the ANC page  The same was also noted where sometimes when you login it lands you on the child register instead of the all clients register  The recommendation is to have a setting which has the default register view  so that if this is set  it goes to that as a landing page else it takes the normal behaviour _x000D_
_x000D_
      In OPD  When registering a new patient  and using the national ID lookup  you go to an existing person s profile  when you choose to check in  it gives the form but does not save the information and it does not open the diagnose and treat form _x000D_
_x000D_
   x  The vaccine due column:BCG scar is not confirmed (after the 14 weeks   not 3 months or 12 weeks    interval) and the HW acknowledges that fact in the reminder that persistently appears (until BCG expiry in 1 year)  Change the schedule of BCG Repeated dose to start at 14weeks _x000D_
_x000D_
   x  Increase mother match lookup to 60seconds</t>
  </si>
  <si>
    <t>ElderDrivers-EdXposed-413</t>
  </si>
  <si>
    <t>[BUG] module doesn't load on Android 10 Samsung note 9 /note 10</t>
  </si>
  <si>
    <t xml:space="preserve">       What happened   _x000D_
Module doesn t load  No error but module not working and log shoeing module doesn t load _x000D_
           _x000D_
_x000D_
  Xposed     Xposed Module List  _x000D_
_x000D_
     Screenshot allowed_x000D_
_x000D_
  Magisk     Magisk Module List  _x000D_
_x000D_
     Screenshot allowed_x000D_
_x000D_
  EdXposed Riru   Versions of EdXposed and Riru  _x000D_
_x000D_
EdXposed:4 6 0_x000D_
_x000D_
Riru:_x000D_
_x000D_
    Logcat Logcat  _x000D_
 CODE  _x000D_
          beginning of head_x000D_
EdXposed Log_x000D_
Powered by Log Catcher_x000D_
QQ chat group 855219808_x000D_
          beginning of system info_x000D_
Android version: 10_x000D_
Android sdk: 29_x000D_
Android build: QP1A 190711 020_x000D_
Fingerprint: samsung d2sxx d2s:10 QP1A 190711 020 N975FXXU1BSL7:user release keys_x000D_
ROM build description: d2sxx user 10 QP1A 190711 020 N975FXXU1BSL7 release keys_x000D_
EdXposed Version: v0 4 6 0 beta(4471) (Yahfa)_x000D_
Architecture: arm64 v8a_x000D_
Device: d2s_x000D_
Manufacture: samsung_x000D_
Brand: samsung_x000D_
Product: d2s_x000D_
          beginning of main_x000D_
          beginning of system_x000D_
12 19 01:18:06 508  5498  5498 I EdXposed: onModuleLoaded: welcome to EdXposed _x000D_
12 19 01:18:06 508  5498  5498 I EdXposed: Start to install inline hooks_x000D_
12 19 01:18:06 508  5498  5498 I EdXposed: Using api level 29_x000D_
12 19 01:18:06 508  5498  5498 I EdXposed: Start to install Riru hook_x000D_
12 19 01:18:06 528  5498  5498 I EdXposed: Riru hooks installed_x000D_
12 19 01:18:06 540  5499  5499 I EdXposed: onModuleLoaded: welcome to EdXposed _x000D_
12 19 01:18:06 540  5499  5499 I EdXposed: Start to install inline hooks_x000D_
12 19 01:18:06 540  5499  5499 I EdXposed: Using api level 29_x000D_
12 19 01:18:06 540  5499  5499 I EdXposed: Start to install Riru hook_x000D_
12 19 01:18:06 559  5499  5499 I EdXposed: Riru hooks installed_x000D_
12 19 01:18:06 561  5498  5498 I EdXposed: ART hooks installed_x000D_
12 19 01:18:06 561  5498  5498 I EdXposed: system property get: dalvik vm dex2oat filter    quicken_x000D_
12 19 01:18:06 561  5498  5498 I EdXposed: system property get: dalvik vm dex2oat flags      inline max code units 0_x000D_
12 19 01:18:06 586  5499  5499 I EdXposed: ART hooks installed_x000D_
12 19 01:18:06 587  5499  5499 I EdXposed: system property get: dalvik vm dex2oat filter    quicken_x000D_
12 19 01:18:06 587  5499  5499 I EdXposed: system property get: dalvik vm dex2oat flags      inline max code units 0_x000D_
12 19 01:18:06 702  5498  5498 I EdXposed: using installer com solohsu android edxp manager_x000D_
12 19 01:18:06 703  5498  5498 I EdXposed: black white list mode: false  using whitelist: false_x000D_
12 19 01:18:06 703  5498  5498 I EdXposed: dynamic modules mode: false_x000D_
12 19 01:18:06 703  5498  5498 I EdXposed: resources hook: true_x000D_
12 19 01:18:06 703  5498  5498 I EdXposed: deopt boot image: false_x000D_
12 19 01:18:06 704  5499  5499 I EdXposed: using installer com solohsu android edxp manager_x000D_
12 19 01:18:06 704  5499  5499 I EdXposed: black white list mode: false  using whitelist: false_x000D_
12 19 01:18:06 704  5499  5499 I EdXposed: dynamic modules mode: false_x000D_
12 19 01:18:06 704  5499  5499 I EdXposed: resources hook: true_x000D_
12 19 01:18:06 704  5499  5499 I EdXposed: deopt boot image: false_x000D_
12 19 01:18:13 643  5498  5498 E EdXposed Bridge: Cannot load any modules because  data user de 0 com solohsu android edxp manager conf modules list was not found_x000D_
12 19 01:18:20 985  5499  5499 E EdXposed Bridge: Cannot load any modules because  data user de 0 com solohsu android edxp manager conf modules list was not found_x000D_
          beginning of crash_x000D_
_x000D_
  Code  _x000D_
               log       It can help us to locate issue  must use our logcat module_x000D_
</t>
  </si>
  <si>
    <t>fossasia-open-event-organizer-android-2007</t>
  </si>
  <si>
    <t>Multiple CreateEventActivities open on multiple taps</t>
  </si>
  <si>
    <t xml:space="preserve">  Describe the bug  _x000D_
Multiple CreateEventActivity open up when the add(   ) is pressed multiple times simultaneously _x000D_
Similar bug is found on tapping the profile icon(found in navigation drawer) multiple times _x000D_
_x000D_
  To Reproduce  _x000D_
1  Go to the App_x000D_
2  Tap on add Event button or the profile icon multiple times _x000D_
3  Now  as you press the backPress button  you land up in CreateEvent Activity or Profile Activity_x000D_
 respectively depending on what you tap _x000D_
_x000D_
  Expected behavior  _x000D_
You should have reached the home screen instead of the CreateEvent Activity _x000D_
_x000D_
  Logs  _x000D_
     Please add logs in case of any crash or applicable error     _x000D_
_x000D_
  Screenshots  _x000D_
     If applicable  add screenshots to help explain your problem     _x000D_
_x000D_
  Smartphone Info:  _x000D_
     Please complete the following information    _x000D_
                   _x000D_
                   _x000D_
 Device          Samsung Galaxy J8 _x000D_
 Android Version Pie 9 0 _x000D_
_x000D_
  Additional context  _x000D_
     Add any other context about the problem here     _x000D_
_x000D_
  Would you like to work on the issue   _x000D_
     Please let us know if you can work on it or the issue should be assigned to someone else     _x000D_
   X  Yes_x000D_
      No_x000D_
  Other: _x000D_
</t>
  </si>
  <si>
    <t>segler-alex-RadioDroid-634</t>
  </si>
  <si>
    <t>Most happening crash from google console</t>
  </si>
  <si>
    <t>does anybody know how to handle this crash _x000D_
it happened over 400 times last 7 days on peoples devices according to google console _x000D_
_x000D_
Context startForegroundService() did not then call Service startForeground(): ServiceRecord 774908e u0 net programmierecke radiodroid2  PlayerService _x000D_
_x000D_
 main  tid 1 Native_x000D_
 main  prio 5 tid 1 Native_x000D_
    group  main  sCount 1 dsCount 0 flags 1 obj 0x78c45870 self 0x7021e14c00_x000D_
    sysTid 30273 nice 0 cgrp default sched 0 0 handle 0x70a7cb2548_x000D_
    state S schedstat ( 218301665 33115884 291 ) utm 13 stm 8 core 6 HZ 100_x000D_
    stack 0x7fcf23e000 0x7fcf240000 stackSize 8MB_x000D_
    held mutexes _x000D_
 _x000D_
   00  pc 000000000007c94c   system lib64 libc so (  epoll pwait 8)_x000D_
 _x000D_
   01  pc 0000000000014d48   system lib64 libutils so (android::Looper::pollInner(int) 148)_x000D_
 _x000D_
   02  pc 0000000000014c18   system lib64 libutils so (android::Looper::pollOnce(int  int   int   void  ) 60)_x000D_
 _x000D_
   03  pc 0000000000126964   system lib64 libandroid runtime so (android::android os MessageQueue nativePollOnce( JNIEnv    jobject   long  int) 44)_x000D_
 _x000D_
  at android os MessageQueue nativePollOnce (Native method)_x000D_
 _x000D_
  at android os MessageQueue next (MessageQueue java:326)_x000D_
 _x000D_
  at android os Looper loop (Looper java:160)_x000D_
 _x000D_
  at android app ActivityThread main (ActivityThread java:6762)_x000D_
 _x000D_
  at java lang reflect Method invoke (Native method)_x000D_
 _x000D_
  at com android internal os RuntimeInit MethodAndArgsCaller run (RuntimeInit java:493)_x000D_
 _x000D_
  at com android internal os ZygoteInit main (ZygoteInit java:858)</t>
  </si>
  <si>
    <t>google-ExoPlayer-6776</t>
  </si>
  <si>
    <t>IndexOutOfBoundsException during playback</t>
  </si>
  <si>
    <t xml:space="preserve">     REQUIRED  Issue description_x000D_
I get the following exception and crash while playing audio _x000D_
_x000D_
   _x000D_
Fatal Exception: java lang IndexOutOfBoundsException_x000D_
       at com google android exoplayer2 util Assertions checkIndex(Assertions java:68)_x000D_
       at com google android exoplayer2 source SinglePeriodTimeline getWindow(SinglePeriodTimeline java:175)_x000D_
       at com google android exoplayer2 source MaskingMediaSource MaskingTimeline getWindow(MaskingMediaSource java:266)_x000D_
       at com google android exoplayer2 source AbstractConcatenatedTimeline getWindow(AbstractConcatenatedTimeline java:199)_x000D_
       at com google android exoplayer2 Timeline getWindow(Timeline java:668)_x000D_
       at com google android exoplayer2 analytics AnalyticsCollector generateEventTime(AnalyticsCollector java:612)_x000D_
       at com google android exoplayer2 analytics AnalyticsCollector generateEventTime(AnalyticsCollector java:636)_x000D_
       at com google android exoplayer2 analytics AnalyticsCollector generateMediaPeriodEventTime(AnalyticsCollector java:662)_x000D_
       at com google android exoplayer2 analytics AnalyticsCollector onMediaPeriodCreated(AnalyticsCollector java:318)_x000D_
       at com google android exoplayer2 source MediaSourceEventListener EventDispatcher lambda mediaPeriodCreated 0 MediaSourceEventListener EventDispatcher(MediaSourceEventListener java:371)_x000D_
       at com google android exoplayer2 source    Lambda MediaSourceEventListener EventDispatcher N EOPAK5UK0  YMNjezq7UM3UNI run(:6)_x000D_
       at android os Handler handleCallback(Handler java:883)_x000D_
       at android os Handler dispatchMessage(Handler java:100)_x000D_
       at android os Looper loop(Looper java:214)_x000D_
       at android os HandlerThread run(HandlerThread java:67)_x000D_
   _x000D_
_x000D_
     REQUIRED  Reproduction steps_x000D_
I cannot reliably reproduce this issue  but I suspect that it might be caused by multiple calls to ConcatenatingMediaSource addMediaSouce() Rough application flow is as follows   _x000D_
_x000D_
  Add single MediaSource to a ConcatenatingMediaSource_x000D_
  Prepare player with that ConcatenatingMediaSource_x000D_
  Once the timeline has changed set speed and playWhenReady to true_x000D_
  Add multiple (variable number of) additional MediaSources to the ConcatenatingMediaSource_x000D_
_x000D_
     REQUIRED  Link to test content_x000D_
Do not have any of this right now _x000D_
_x000D_
     REQUIRED  A full bug report captured from the device_x000D_
Will do if necessary _x000D_
_x000D_
     REQUIRED  Version of ExoPlayer being used_x000D_
2 11 0_x000D_
_x000D_
     REQUIRED  Device(s) and version(s) of Android being used_x000D_
Pixel 3   Android 10_x000D_
</t>
  </si>
  <si>
    <t>google-ExoPlayer-6775</t>
  </si>
  <si>
    <t>HLS playback fails if chunk requests returns HTTP 416 status code</t>
  </si>
  <si>
    <t xml:space="preserve">    Issue description_x000D_
_x000D_
Exoplayer is crashed and doesn t switch to another stream (variant) if the new position in the stream is out of range _x000D_
   _x000D_
Caused by: com google android exoplayer2 upstream DataSourceException_x000D_
        at com google android exoplayer2 upstream DefaultHttpDataSource open(DefaultHttpDataSource java:314)_x000D_
        at com google android exoplayer2 upstream DefaultDataSource open(DefaultDataSource java:257) _x000D_
        at com google android exoplayer2 upstream StatsDataSource open(StatsDataSource java:83) _x000D_
        at com google android exoplayer2 source hls HlsMediaChunk prepareExtraction(HlsMediaChunk java:369) _x000D_
        at com google android exoplayer2 source hls HlsMediaChunk feedDataToExtractor(HlsMediaChunk java:350) _x000D_
        at com google android exoplayer2 source hls HlsMediaChunk loadMedia(HlsMediaChunk java:325) _x000D_
        at com google android exoplayer2 source hls HlsMediaChunk load(HlsMediaChunk java:301) _x000D_
        at com google android exoplayer2 upstream Loader LoadTask run(Loader java:394) _x000D_
        at java util concurrent ThreadPoolExecutor runWorker(ThreadPoolExecutor java:1167) _x000D_
        at java util concurrent ThreadPoolExecutor Worker run(ThreadPoolExecutor java:641) _x000D_
        at java lang Thread run(Thread java:764) _x000D_
_x000D_
   _x000D_
    Reproduction steps_x000D_
_x000D_
1  Provide a playlist with several streams (  ts extension)_x000D_
    For example in my case  there are streams: _x000D_
               stream song name high quality ts   (some chunks in the stream are broken)_x000D_
               stream song name low quality ts   (works propertly)_x000D_
_x000D_
2  Play the playlist_x000D_
_x000D_
For example  playback starts from     stream song name low quality ts  and after a period of time  the current stream will be switched to more high quality video which is broken since some chunks are not accessible _x000D_
_x000D_
     Actual behavior_x000D_
Exoplayer crashes with error  DataSourceException POSITION OUT OF RANGE _x000D_
_x000D_
     Excepted behaviour_x000D_
Current stream should be change to proper stream  In above case the current stream should be changed to    stream song name low quality ts _x000D_
_x000D_
    Exoplayer Version_x000D_
https:  github com google ExoPlayer commits r2 10 8</t>
  </si>
  <si>
    <t>material-components-material-components-android-835</t>
  </si>
  <si>
    <t>[BottomSheetBehavior] Crash when `dimen` is provided</t>
  </si>
  <si>
    <t xml:space="preserve">  Description:   At  BottomSheetBehavior  if you set a  dimen  as a value for the  behavior expandedOffset  attribute it will crash at runtime as it s trying to parse it as an  int  _x000D_
_x000D_
  Expected behavior:   We should be able to set  dimen  values in this attribute _x000D_
_x000D_
  Source code:  _x000D_
   xml_x000D_
app:layout behavior  com google android material bottomsheet BottomSheetBehavior _x000D_
app:behavior expandedOffset   actionBarSize _x000D_
   _x000D_
   java_x000D_
setExpandedOffset(a getInt(R styleable BottomSheetBehavior Layout behavior expandedOffset  0)) _x000D_
   _x000D_
_x000D_
  Android API version:   Any_x000D_
_x000D_
  Material Library version:   1 2 0 alpha02_x000D_
_x000D_
  Device:   Any_x000D_
</t>
  </si>
  <si>
    <t>nextcloud-android-5023</t>
  </si>
  <si>
    <t>Crashed on login notification</t>
  </si>
  <si>
    <t xml:space="preserve">    Actual behaviour_x000D_
  Tell us what happens_x000D_
_x000D_
Crash on receiving 2factor login notification  _x000D_
_x000D_
    Expected behaviour_x000D_
  Tell us what should happen_x000D_
 _x000D_
    Steps to reproduce_x000D_
1  _x000D_
2  _x000D_
3  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crashed_x000D_
             CAUSE OF ERROR  Nextcloud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b 6xG60FNLcO X4nKtgHIg   base apk   nativeLibraryDirectories   data app com nextcloud client b 6xG60FNLcO X4nKtgHIg   lib arm64   data app com nextcloud client b 6xG60FNLcO X4nKtgHIg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30090290_x000D_
Build flavor: gplay_x000D_
_x000D_
             DEVICE INFORMATION             _x000D_
Brand: Nokia_x000D_
Device: B2N sprout_x000D_
Model: Nokia 7 plus_x000D_
Id: PPR1 180610 011_x000D_
Product: Onyx 00WW_x000D_
_x000D_
             FIRMWARE             _x000D_
SDK: 28_x000D_
Release: 9_x000D_
Incremental: 00WW 3 54P_x000D_
_x000D_
</t>
  </si>
  <si>
    <t>Tencent-tinker-1309</t>
  </si>
  <si>
    <t xml:space="preserve">tinker 打patch包 报错 </t>
  </si>
  <si>
    <t xml:space="preserve">   Issue     _x000D_
     issue                  issue        (https:  github com Tencent tinker wiki Tinker  E5 B8 B8 E8 A7 81 E9 97 AE E9 A2 98)   issue        issue                (      Patch  ) issue           _x000D_
_x000D_
   _x000D_
     app          _x000D_
_x000D_
      :Nexus 5(            )_x000D_
_x000D_
        :Android 5 0 (            )_x000D_
_x000D_
tinker    :1 7 7_x000D_
_x000D_
gradle    :2 10_x000D_
_x000D_
       SDK    TinkerPatch SDK    Bugly SDK_x000D_
_x000D_
    :Mac_x000D_
_x000D_
      _x000D_
  Task :app:tinkerPatchProductRelease_x000D_
                       Tinker patch begin                       _x000D_
configuration: _x000D_
oldApk:D: work shop android app build bakApk app 1217 15 51 31 product CreditU v1 3 1 product 12 17 apk_x000D_
newApk:D: work shop android app build outputs apk product release CreditU v1 3 1 product 12 17 apk_x000D_
outputFolder:D: work shop android app build outputs apk product tinkerPatch product release_x000D_
isIgnoreWarning:false_x000D_
isAllowLoaderClassInAnyDex:false_x000D_
isRemoveLoaderForAllDex:false_x000D_
isProtectedApp:false_x000D_
7 ZipPath:C: Users LN  gradle caches modules 2 files 2 1 com tencent mm SevenZip 1 1 10 4786999cf29d8e3b0c39a80359b5127bda36132a SevenZip 1 1 10 windows x86 64 exe_x000D_
useSignAPk:true_x000D_
package meta fields: _x000D_
dex configs: _x000D_
dexMode: jar_x000D_
dexPattern:assets secondary dex    jar_x000D_
dexPattern:classes    dex_x000D_
dex loader:com tencent tinker loader  _x000D_
dex loader:co credityou shop MainApplication_x000D_
lib configs: _x000D_
libPattern:lib        so_x000D_
resource configs: _x000D_
resPattern:r   _x000D_
resPattern:res   _x000D_
resPattern:resources  arsc_x000D_
resPattern:assets   _x000D_
resPattern:AndroidManifest  xml_x000D_
resIgnore change:assets    meta  txt_x000D_
largeModSize:100kb_x000D_
useApplyResource:true_x000D_
_x000D_
Analyze old and new apk files:_x000D_
old apk: CreditU v1 3 1 product 12 17 apk  size 43888881  md5 28ab5c643f7bc31372fa4a260c5664e1_x000D_
new apk: CreditU v1 3 1 product 12 17 apk  size 43889469  md5 42e0c8031181ec886143842200e4eeda_x000D_
_x000D_
_x000D_
Manifest was changed  while there s no any new components added  Make sure if such changes were all you expected _x000D_
_x000D_
UnZipping apk to D: work shop android app build outputs apk product tinkerPatch product release CreditU v1 3 1 product 12 17 old_x000D_
UnZipping apk to D: work shop android app build outputs apk product tinkerPatch product release CreditU v1 3 1 product 12 17 new_x000D_
found modify resource: AndroidManifest xml  but it is AndroidManifest xml  just ignore _x000D_
Found modify resource: assets crashlytics build properties_x000D_
Check for loader classes in dex: classes dex_x000D_
Check for loader classes in dex: classes2 dex_x000D_
Warning:ignoreWarning is false  but we found loader classes are found in old secondary dex  Found classes:  Lcom tencent tinker loader hotplug ActivityStubs SIStub 01  Lcom tencent tinker loader shareutil ShareResPatchInfo  Lcom tencent tinker loader SystemClassLoaderAdder V23  Lcom tencent tinker loader hotplug ActivityStubManager  Lcom tencent tinker loader shareutil ShareOatUtil 1  Lcom tencent tinker loader shareutil ShareOatUtil  Lcom tencent tinker loader shareutil SharePatchFileUtil  Lcom tencent tinker loader shareutil ShareFileLockHelper  Lcom tencent tinker loader hotplug ActivityStubs SGTKStub 04  Lcom tencent tinker loader TinkerDexOptimizer StreamConsumer 1  Lcom tencent tinker loader TinkerDexLoader  Lcom tencent tinker loader hotplug ActivityStubs STDStub 06  Lcom tencent tinker loader TinkerDexOptimizer 1  Lcom tencent tinker loader TinkerDexOptimizer StreamConsumer  Lcom tencent tinker loader hotplug IncrementComponentManager  Lcom tencent tinker loader AndroidNClassLoader  Lcom tencent tinker loader TinkerResourcesKey  Lcom tencent tinker loader app ITinkerInlineFenceBridge  Lcom tencent tinker loader hotplug ActivityStubs SIStub 09  Lcom tencent tinker loader hotplug interceptor ServiceBinderInterceptor  Lcom tencent tinker loader hotplug ActivityStubs SGTStub 07  Lcom tencent tinker loader shareutil ShareIntentUtil  Lcom tencent tinker loader hotplug ActivityStubs SIStub 00  Lcom tencent tinker loader TinkerResourcesKey V24  Lcom tencent tinker loader hotplug ActivityStubs SGTKStub 05  Lcom tencent tinker loader TinkerTestAndroidNClassLoader  Lcom tencent tinker loader hotplug ActivityStubs STDStub 01 T  Lcom tencent tinker loader hotplug ActivityStubs SIStub 01 T  Lcom tencent tinker loader hotplug ActivityStubs SGTStub 01 T  Lcom tencent tinker loader hotplug ActivityStubs STDStub 07  Lcom tencent tinker loader hotplug ActivityStubs SGTKStub 00 T  Lcom tencent tinker loader hotplug handler MHMessageHandler  Lcom tencent tinker loader shareutil ShareElfFile SectionHeader  Lcom tencent tinker loader TinkerDexOptimizer ResultCallback  Lcom tencent tinker loader TinkerResourceLoader  Lcom tencent tinker loader SystemClassLoaderAdder V19  Lcom tencent tinker loader hotplug ActivityStubs SGTStub 06  Lcom tencent tinker loader hotplug interceptor ServiceBinderInterceptor 1  Lcom tencent tinker loader hotplug ActivityStubs SIStub 08  Lcom tencent tinker loader hotplug interceptor ServiceBinderInterceptor BinderInvocationHandler  Lcom tencent tinker loader shareutil ShareResPatchInfo LargeModeInfo  Lcom tencent tinker loader hotplug ActivityStubs  Lcom tencent tinker loader hotplug interceptor TinkerHackInstrumentation  Lcom tencent tinker loader TinkerResourcesKey V19  Lcom tencent tinker loader hotplug ActivityStubs SGTKStub 02  Lcom tencent tinker loader hotplug ActivityStubs SGTStub 09  Lcom tencent tinker loader hotplug ActivityStubs STDStub 00  Lcom tencent tinker loader shareutil ShareElfFile 1  Lcom tencent tinker loader hotplug ActivityStubs STDStub 02 T  Lcom tencent tinker loader TinkerTestDexLoad  Lcom tencent tinker loader shareutil ShareElfFile ProgramHeader  Lcom tencent tinker loader TinkerSoLoader  Lcom tencent tinker loader hotplug interceptor HandlerMessageInterceptor CallbackWrapper  Lcom tencent tinker loader hotplug ActivityStubs SGTKStub 01 T  Lcom tencent tinker loader hotplug ActivityStubs STDStub 08  Lcom tencent tinker loader shareutil ShareElfFile ElfHeader  Lcom tencent tinker loader TinkerResourcePatcher  Lcom tencent tinker loader hotplug ComponentHotplug  Lcom tencent tinker loader shareutil ShareTinkerInternals  Lcom tencent tinker loader R  Lcom tencent tinker loader hotplug ActivityStubs SIStub 07  Lcom tencent tinker loader TinkerDexOptimizer OptimizeWorker  Lcom tencent tinker loader hotplug interceptor InterceptFailedException  Lcom tencent tinker loader hotplug ActivityStubs SGTStub 01  Lcom tencent tinker loader BuildConfig  Lcom tencent tinker loader hotplug ActivityStubs SGTKStub 03  Lcom tencent tinker loader TinkerLoader  Lcom tencent tinker loader hotplug ActivityStubs STDStub 01  Lcom tencent tinker loader SystemClassLoaderAdder V4  Lcom tencent tinker loader hotplug interceptor Interceptor ITinkerHotplugProxy  Lcom tencent tinker loader shareutil ShareSecurityCheck  Lcom tencent tinker loader hotplug ActivityStubs STDStub 09  Lcom tencent tinker loader hotplug ActivityStubs SGTStub 00  Lcom tencent tinker loader hotplug interceptor ServiceBinderInterceptor FakeInterfaceHandler  Lcom tencent tinker loader SystemClassLoaderAdder  Lcom tencent tinker loader hotplug ActivityStubs SGTStub 08  Lcom tencent tinker loader hotplug ActivityStubs SIStub 06  Lcom tencent tinker loader TinkerResourcesKey V17  Lcom tencent tinker loader hotplug ActivityStubs SGTKStub 00  Lcom tencent tinker loader shareutil ShareBsDiffPatchInfo  Lcom tencent tinker loader hotplug interceptor HandlerMessageInterceptor  Lcom tencent tinker loader shareutil ShareReflectUtil  Lcom tencent tinker loader hotplug ActivityStubs SGTStub 00 T  Lcom tencent tinker loader hotplug ActivityStubs STDStub 00 T  Lcom tencent tinker loader hotplug ActivityStubs STDStub 02  Lcom tencent tinker loader TinkerUncaughtHandler  Lcom tencent tinker loader hotplug ActivityStubs SIStub 02 T  Lcom tencent tinker loader TinkerDexOptimizer  Lcom tencent tinker loader shareutil ShareArkHotDiffPatchInfo  Lcom tencent tinker loader shareutil ShareConstants  Lcom tencent tinker loader TinkerArkHotLoader  Lcom tencent tinker loader shareutil SharePatchInfo  Lcom tencent tinker loader hotplug ActivityStubs SGTKStub 09  Lcom tencent tinker loader hotplug handler PMSInterceptHandler  Lcom tencent tinker loader hotplug ActivityStubs SIStub 05  Lcom tencent tinker loader hotplug ActivityStubs SGTStub 03  Lcom tencent tinker loader hotplug ActivityStubs SGTKStub 01  Lcom tencent tinker loader SystemClassLoaderAdder V14  Lcom tencent tinker loader hotplug ActivityStubs STDStub 03  Lcom tencent tinker loader hotplug IncrementComponentManager AttrTranslator  Lcom tencent tinker loader shareutil ShareOatUtil InstructionSet  Lcom tencent tinker loader app TinkerApplication  Lcom tencent tinker loader hotplug interceptor ServiceBinderInterceptor FakeClientBinderHandler  Lcom tencent tinker loader hotplug ActivityStubs SGTStub 02  Lcom tencent tinker loader hotplug UnsupportedEnvironmentException  Lcom tencent tinker loader TinkerRuntimeException  Lcom tencent tinker loader hotplug ActivityStubs SIStub 04  Lcom tencent tinker loader hotplug interceptor HandlerMessageInterceptor MessageHandler  Lcom tencent tinker loader hotplug ActivityStubs SGTKStub 06  Lcom tencent tinker loader TinkerDexLoader 1  Lcom tencent tinker loader hotplug ActivityStubs SIStub 00 T  Lcom tencent tinker loader hotplug ActivityStubs SGTStub 02 T  Lcom tencent tinker loader hotplug ActivityStubs STDStub 04  Lcom tencent tinker loader hotplug IncrementComponentManager 1  Lcom tencent tinker loader hotplug EnvConsts  Lcom tencent tinker loader hotplug handler AMSInterceptHandler  Lcom tencent tinker loader hotplug ActivityStubs SGTStub 05  Lcom tencent tinker loader hotplug ActivityStubs SIStub 03  Lcom tencent tinker loader hotplug ActivityStubs SIStub 02  Lcom tencent tinker loader SystemClassLoaderAdder ArkHot  Lcom tencent tinker loader hotplug ActivityStubs SGTKStub 07  Lcom tencent tinker loader hotplug ActivityStubs STDStub 05  Lcom tencent tinker loader AbstractTinkerLoader  Lcom tencent tinker loader hotplug ActivityStubs SGTKStub 02 T  Lcom tencent tinker loader SystemClassLoaderAdder 1  Lcom tencent tinker loader TinkerResourcesKey V7  Lcom tencent tinker loader shareutil ShareDexDiffPatchInfo  Lcom tencent tinker loader shareutil ShareElfFile  Lcom tencent tinker loader hotplug ActivityStubs SGTKStub 08  Lcom tencent tinker loader hotplug ActivityStubs SGTStub 04  Lcom tencent tinker loader hotplug interceptor Interceptor  _x000D_
java lang RuntimeException: com tencent tinker build util TinkerPatchException: loader classes are found in old secondary dex  Found classes:  Lcom tencent tinker loader hotplug ActivityStubs SIStub 01  Lcom tencent tinker loader shareutil ShareResPatchInfo  Lcom tencent tinker loader SystemClassLoaderAdder V23  Lcom tencent tinker loader hotplug ActivityStubManager  Lcom tencent tinker loader shareutil ShareOatUtil 1  Lcom tencent tinker loader shareutil ShareOatUtil  Lcom tencent tinker loader shareutil SharePatchFileUtil  Lcom tencent tinker loader shareutil ShareFileLockHelper  Lcom tencent tinker loader hotplug ActivityStubs SGTKStub 04  Lcom tencent tinker loader TinkerDexOptimizer StreamConsumer 1  Lcom tencent tinker loader TinkerDexLoader  Lcom tencent tinker loader hotplug ActivityStubs STDStub 06  Lcom tencent tinker loader TinkerDexOptimizer 1  Lcom tencent tinker loader TinkerDexOptimizer StreamConsumer  Lcom tencent tinker loader hotplug IncrementComponentManager  Lcom tencent tinker loader AndroidNClassLoader  Lcom tencent tinker loader TinkerResourcesKey  Lcom tencent tinker loader app ITinkerInlineFenceBridge  Lcom tencent tinker loader hotplug ActivityStubs SIStub 09  Lcom tencent tinker loader hotplug interceptor ServiceBinderInterceptor  Lcom tencent tinker loader hotplug ActivityStubs SGTStub 07  Lcom tencent tinker loader shareutil ShareIntentUtil  Lcom tencent tinker loader hotplug ActivityStubs SIStub 00  Lcom tencent tinker loader TinkerResourcesKey V24  Lcom tencent tinker loader hotplug ActivityStubs SGTKStub 05  Lcom tencent tinker loader TinkerTestAndroidNClassLoader  Lcom tencent tinker loader hotplug ActivityStubs STDStub 01 T  Lcom tencent tinker loader hotplug ActivityStubs SIStub 01 T  Lcom tencent tinker loader hotplug ActivityStubs SGTStub 01 T  Lcom tencent tinker loader hotplug ActivityStubs STDStub 07  Lcom tencent tinker loader hotplug ActivityStubs SGTKStub 00 T  Lcom tencent tinker loader hotplug handler MHMessageHandler  Lcom tencent tinker loader shareutil ShareElfFile SectionHeader  Lcom tencent tinker loader TinkerDexOptimizer ResultCallback  Lcom tencent tinker loader TinkerResourceLoader  Lcom tencent tinker loader SystemClassLoaderAdder V19  Lcom tencent tinker loader hotplug ActivityStubs SGTStub 06  Lcom tencent tinker loader hotplug interceptor ServiceBinderInterceptor 1  Lcom tencent tinker loader hotplug ActivityStubs SIStub 08  Lcom tencent tinker loader hotplug interceptor ServiceBinderInterceptor BinderInvocationHandler  Lcom tencent tinker loader shareutil ShareResPatchInfo LargeModeInfo  Lcom tencent tinker loader hotplug ActivityStubs  Lcom tencent tinker loader hotplug interceptor TinkerHackInstrumentation  Lcom tencent tinker loader TinkerResourcesKey V19  Lcom tencent tinker loader hotplug ActivityStubs SGTKStub 02  Lcom tencent tinker loader hotplug ActivityStubs SGTStub 09  Lcom tencent tinker loader hotplug ActivityStubs STDStub 00  Lcom tencent tinker loader shareutil ShareElfFile 1  Lcom tencent tinker loader hotplug ActivityStubs STDStub 02 T  Lcom tencent tinker loader TinkerTestDexLoad  Lcom tencent tinker loader shareutil ShareElfFile ProgramHeader  Lcom tencent tinker loader TinkerSoLoader  Lcom tencent tinker loader hotplug interceptor HandlerMessageInterceptor CallbackWrapper  Lcom tencent tinker loader hotplug ActivityStubs SGTKStub 01 T  Lcom tencent tinker loader hotplug ActivityStubs STDStub 08  Lcom tencent tinker loader shareutil ShareElfFile ElfHeader  Lcom tencent tinker loader TinkerResourcePatcher  Lcom tencent tinker loader hotplug ComponentHotplug  Lcom tencent tinker loader shareutil ShareTinkerInternals  Lcom tencent tinker loader R  Lcom tencent tinker loader hotplug ActivityStubs SIStub 07  Lcom tencent tinker loader TinkerDexOptimizer OptimizeWorker  Lcom tencent tinker loader hotplug interceptor InterceptFailedException  Lcom tencent tinker loader hotplug ActivityStubs SGTStub 01  Lcom tencent tinker loader BuildConfig  Lcom tencent tinker loader hotplug ActivityStubs SGTKStub 03  Lcom tencent tinker loader TinkerLoader  Lcom tencent tinker loader hotplug ActivityStubs STDStub 01  Lcom tencent tinker loader SystemClassLoaderAdder V4  Lcom tencent tinker loader hotplug interceptor Interceptor ITinkerHotplugProxy  Lcom tencent tinker loader shareutil ShareSecurityCheck  Lcom tencent tinker loader hotplug ActivityStubs STDStub 09  Lcom tencent tinker loader hotplug ActivityStubs SGTStub 00  Lcom tencent tinker loader hotplug interceptor ServiceBinderInterceptor FakeInterfaceHandler  Lcom tencent tinker loader SystemClassLoaderAdder  Lcom tencent tinker loader hotplug ActivityStubs SGTStub 08  Lcom tencent tinker loader hotplug ActivityStubs SIStub 06  Lcom tencent tinker loader TinkerResourcesKey V17  Lcom tencent tinker loader hotplug ActivityStubs SGTKStub 00  Lcom tencent tinker loader shareutil ShareBsDiffPatchInfo  Lcom tencent tinker loader hotplug interceptor HandlerMessageInterceptor  Lcom tencent tinker loader shareutil ShareReflectUtil  Lcom tencent tinker loader hotplug ActivityStubs SGTStub 00 T  Lcom tencent tinker loader hotplug ActivityStubs STDStub 00 T  Lcom tencent tinker loader hotplug ActivityStubs STDStub 02  Lcom tencent tinker loader TinkerUncaughtHandler  Lcom tencent tinker loader hotplug ActivityStubs SIStub 02 T  Lcom tencent tinker loader TinkerDexOptimizer  Lcom tencent tinker loader shareutil ShareArkHotDiffPatchInfo  Lcom tencent tinker loader shareutil ShareConstants  Lcom tencent tinker loader TinkerArkHotLoader  Lcom tencent tinker loader shareutil SharePatchInfo  Lcom tencent tinker loader hotplug ActivityStubs SGTKStub 09  Lcom tencent tinker loader hotplug handler PMSInterceptHandler  Lcom tencent tinker loader hotplug ActivityStubs SIStub 05  Lcom tencent tinker loader hotplug ActivityStubs SGTStub 03  Lcom tencent tinker loader hotplug ActivityStubs SGTKStub 01  Lcom tencent tinker loader SystemClassLoaderAdder V14  Lcom tencent tinker loader hotplug ActivityStubs STDStub 03  Lcom tencent tinker loader hotplug IncrementComponentManager AttrTranslator  Lcom tencent tinker loader shareutil ShareOatUtil InstructionSet  Lcom tencent tinker loader app TinkerApplication  Lcom tencent tinker loader hotplug interceptor ServiceBinderInterceptor FakeClientBinderHandler  Lcom tencent tinker loader hotplug ActivityStubs SGTStub 02  Lcom tencent tinker loader hotplug UnsupportedEnvironmentException  Lcom tencent tinker loader TinkerRuntimeException  Lcom tencent tinker loader hotplug ActivityStubs SIStub 04  Lcom tencent tinker loader hotplug interceptor HandlerMessageInterceptor MessageHandler  Lcom tencent tinker loader hotplug ActivityStubs SGTKStub 06  Lcom tencent tinker loader TinkerDexLoader 1  Lcom tencent tinker loader hotplug ActivityStubs SIStub 00 T  Lcom tencent tinker loader hotplug ActivityStubs SGTStub 02 T  Lcom tencent tinker loader hotplug ActivityStubs STDStub 04  Lcom tencent tinker loader hotplug IncrementComponentManager 1  Lcom tencent tinker loader hotplug EnvConsts  Lcom tencent tinker loader hotplug handler AMSInterceptHandler  Lcom tencent tinker loader hotplug ActivityStubs SGTStub 05  Lcom tencent tinker loader hotplug ActivityStubs SIStub 03  Lcom tencent tinker loader hotplug ActivityStubs SIStub 02  Lcom tencent tinker loader SystemClassLoaderAdder ArkHot  Lcom tencent tinker loader hotplug ActivityStubs SGTKStub 07  Lcom tencent tinker loader hotplug ActivityStubs STDStub 05  Lcom tencent tinker loader AbstractTinkerLoader  Lcom tencent tinker loader hotplug ActivityStubs SGTKStub 02 T  Lcom tencent tinker loader SystemClassLoaderAdder 1  Lcom tencent tinker loader TinkerResourcesKey V7  Lcom tencent tinker loader shareutil ShareDexDiffPatchInfo  Lcom tencent tinker loader shareutil ShareElfFile  Lcom tencent tinker loader hotplug ActivityStubs SGTKStub 08  Lcom tencent tinker loader hotplug ActivityStubs SGTStub 04  Lcom tencent tinker loader hotplug interceptor Interceptor  _x000D_
	at com tencent tinker build decoder ApkDecoder ApkFilesVisitor visitFile(ApkDecoder java:178)_x000D_
	at com tencent tinker build decoder ApkDecoder ApkFilesVisitor visitFile(ApkDecoder java:138)_x000D_
	at java nio file Files walkFileTree(Files java:2670)_x000D_
	at java nio file Files walkFileTree(Files java:2742)_x000D_
	at com tencent tinker build decoder ApkDecoder patch(ApkDecoder java:113)_x000D_
	at com tencent tinker build patch Runner tinkerPatch(Runner java:65)_x000D_
	at com tencent tinker build patch Runner run(Runner java:48)_x000D_
	at com tencent tinker build patch Runner gradleRun(Runner java:41)_x000D_
	at com tencent tinker build patch Runner gradleRun call(Unknown Source)_x000D_
	at org codehaus groovy runtime callsite CallSiteArray defaultCall(CallSiteArray java:47)_x000D_
	at org codehaus groovy runtime callsite AbstractCallSite call(AbstractCallSite java:116)_x000D_
	at org codehaus groovy runtime callsite AbstractCallSite call(AbstractCallSite java:128)_x000D_
	at com tencent tinker build gradle task TinkerPatchSchemaTask tinkerPatch(TinkerPatchSchemaTask groovy:90)_x000D_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org gradle internal reflect JavaMethod invoke(JavaMethod java:73)_x000D_
	at org gradle api internal project taskfactory StandardTaskAction doExecute(StandardTaskAction java:46)_x000D_
	at org gradle api internal project taskfactory StandardTaskAction execute(StandardTaskAction java:39)_x000D_
	at org gradle api internal project taskfactory StandardTaskAction execute(StandardTaskAction java:26)_x000D_
	at org gradle api internal AbstractTask TaskActionWrapper execute(AbstractTask java:801)_x000D_
	at org gradle api internal AbstractTask TaskActionWrapper execute(AbstractTask java:768)_x000D_
	at org gradle api internal tasks execution ExecuteActionsTaskExecuter 1 run(ExecuteActionsTaskExecuter java:131)_x000D_
	at org gradle internal operations DefaultBuildOperationExecutor RunnableBuildOperationWorker execute(DefaultBuildOperationExecutor java:300)_x000D_
	at org gradle internal operations DefaultBuildOperationExecutor RunnableBuildOperationWorker execute(DefaultBuildOperationExecutor java:292)_x000D_
	at org gradle internal operations DefaultBuildOperationExecutor execute(DefaultBuildOperationExecutor java:174)_x000D_
	at org gradle internal operations DefaultBuildOperationExecutor run(DefaultBuildOperationExecutor java:90)_x000D_
	at org gradle internal operations DelegatingBuildOperationExecutor run(DelegatingBuildOperationExecutor java:31)_x000D_
	at org gradle api internal tasks execution ExecuteActionsTaskExecuter executeAction(ExecuteActionsTaskExecuter java:120)_x000D_
	at org gradle api internal tasks execution ExecuteActionsTaskExecuter executeActions(ExecuteActionsTaskExecuter java:99)_x000D_
	at org gradle api internal tasks execution ExecuteActionsTaskExecuter execute(ExecuteActionsTaskExecuter java:77)_x000D_
	at org gradle api internal tasks execution OutputDirectoryCreatingTaskExecuter execute(OutputDirectoryCreatingTaskExecuter java:51)_x000D_
	at org gradle api internal tasks execution SkipUpToDateTaskExecuter execute(SkipUpToDateTaskExecuter java:59)_x000D_
	at org gradle api internal tasks execution ResolveTaskOutputCachingStateExecuter execute(ResolveTaskOutputCachingStateExecuter java:54)_x000D_
	at org gradle api internal tasks execution ValidatingTaskExecuter execute(ValidatingTaskExecuter java:59)_x000D_
	at org gradle api internal tasks execution SkipEmptySourceFilesTaskExecuter execute(SkipEmptySourceFilesTaskExecuter java:101)_x000D_
	at org gradle api internal tasks execution FinalizeInputFilePropertiesTaskExecuter execute(FinalizeInputFilePropertiesTaskExecuter java:44)_x000D_
	at org gradle api internal tasks execution CleanupStaleOutputsExecuter execute(CleanupStaleOutputsExecuter java:91)_x000D_
	at org gradle api internal tasks execution ResolveTaskArtifactStateTaskExecuter execute(ResolveTaskArtifactStateTaskExecuter java:62)_x000D_
	at org gradle api internal tasks execution SkipTaskWithNoActionsExecuter execute(SkipTaskWithNoActionsExecuter java:59)_x000D_
	at org gradle api internal tasks execution SkipOnlyIfTaskExecuter execute(SkipOnlyIfTaskExecuter java:54)_x000D_
	at org gradle api internal tasks execution ExecuteAtMostOnceTaskExecuter execute(ExecuteAtMostOnceTaskExecuter java:43)_x000D_
	at org gradle api internal tasks execution CatchExceptionTaskExecuter execute(CatchExceptionTaskExecuter java:34)_x000D_
	at org gradle api internal tasks execution EventFiringTaskExecuter 1 run(EventFiringTaskExecuter java:51)_x000D_
	at org gradle internal operations DefaultBuildOperationExecutor RunnableBuildOperationWorker execute(DefaultBuildOperationExecutor java:300)_x000D_
	at org gradle internal operations DefaultBuildOperationExecutor RunnableBuildOperationWorker execute(DefaultBuildOperationExecutor java:292)_x000D_
	at org gradle internal operations DefaultBuildOperationExecutor execute(DefaultBuildOperationExecutor java:174)_x000D_
	at org gradle internal operations DefaultBuildOperationExecutor run(DefaultBuildOperationExecutor java:90)_x000D_
	at org gradle internal operations DelegatingBuildOperationExecutor run(DelegatingBuildOperationExecutor java:31)_x000D_
	at org gradle api internal tasks execution EventFiringTaskExecuter execute(EventFiringTaskExecuter java:46)_x000D_
	at org gradle execution taskgraph LocalTaskInfoExecutor execute(LocalTaskInfoExecutor java:42)_x000D_
	at org gradle execution taskgraph DefaultTaskExecutionGraph BuildOperationAwareWorkItemExecutor execute(DefaultTaskExecutionGraph java:277)_x000D_
	at org gradle execution taskgraph DefaultTaskExecutionGraph BuildOperationAwareWorkItemExecutor execute(DefaultTaskExecutionGraph java:262)_x000D_
	at org gradle execution taskgraph DefaultTaskPlanExecutor ExecutorWorker 1 execute(DefaultTaskPlanExecutor java:135)_x000D_
	at org gradle execution taskgraph DefaultTaskPlanExecutor ExecutorWorker 1 execute(DefaultTaskPlanExecutor java:130)_x000D_
	at org gradle execution taskgraph DefaultTaskPlanExecutor ExecutorWorker execute(DefaultTaskPlanExecutor java:200)_x000D_
	at org gradle execution taskgraph DefaultTaskPlanExecutor ExecutorWorker executeWithWork(DefaultTaskPlanExecutor java:191)_x000D_
	at org gradle execution taskgraph DefaultTaskPlanExecutor ExecutorWorker run(DefaultTaskPlanExecutor java:130)_x000D_
	at org gradle internal concurrent ExecutorPolicy CatchAndRecordFailures onExecute(ExecutorPolicy java:63)_x000D_
	at org gradle internal concurrent ManagedExecutorImpl 1 run(ManagedExecutorImpl java:46)_x000D_
	at java util concurrent ThreadPoolExecutor runWorker(ThreadPoolExecutor java:1142)_x000D_
	at java util concurrent ThreadPoolExecutor Worker run(ThreadPoolExecutor java:617)_x000D_
	at org gradle internal concurrent ThreadFactoryImpl ManagedThreadRunnable run(ThreadFactoryImpl java:55)_x000D_
	at java lang Thread run(Thread java:745)_x000D_
Caused by: com tencent tinker build util TinkerPatchException: loader classes are found in old secondary dex  Found classes:  Lcom tencent tinker loader hotplug ActivityStubs SIStub 01  Lcom tencent tinker loader shareutil ShareResPatchInfo  Lcom tencent tinker loader SystemClassLoaderAdder V23  Lcom tencent tinker loader hotplug ActivityStubManager  Lcom tencent tinker loader shareutil ShareOatUtil 1  Lcom tencent tinker loader shareutil ShareOatUtil  Lcom tencent tinker loader shareutil SharePatchFileUtil  Lcom tencent tinker loader shareutil ShareFileLockHelper  Lcom tencent tinker loader hotplug ActivityStubs SGTKStub 04  Lcom tencent tinker loader TinkerDexOptimizer StreamConsumer 1  Lcom tencent tinker loader TinkerDexLoader  Lcom tencent tinker loader hotplug ActivityStubs STDStub 06  Lcom tencent tinker loader TinkerDexOptimizer 1  Lcom tencent tinker loader TinkerDexOptimizer StreamConsumer  Lcom tencent tinker loader hotplug IncrementComponentManager  Lcom tencent tinker loader AndroidNClassLoader  Lcom tencent tinker loader TinkerResourcesKey  Lcom tencent tinker loader app ITinkerInlineFenceBridge  Lcom tencent tinker loader hotplug ActivityStubs SIStub 09  Lcom tencent tinker loader hotplug interceptor ServiceBinderInterceptor  Lcom tencent tinker loader hotplug ActivityStubs SGTStub 07  Lcom tencent tinker loader shareutil ShareIntentUtil  Lcom tencent tinker loader hotplug ActivityStubs SIStub 00  Lcom tencent tinker loader TinkerResourcesKey V24  Lcom tencent tinker loader hotplug ActivityStubs SGTKStub 05  Lcom tencent tinker loader TinkerTestAndroidNClassLoader  Lcom tencent tinker loader hotplug ActivityStubs STDStub 01 T  Lcom tencent tinker loader hotplug ActivityStubs SIStub 01 T  Lcom tencent tinker loader hotplug ActivityStubs SGTStub 01 T  Lcom tencent tinker loader hotplug ActivityStubs STDStub 07  Lcom tencent tinker loader hotplug ActivityStubs SGTKStub 00 T  Lcom tencent tinker loader hotplug handler MHMessageHandler  Lcom tencent tinker loader shareutil ShareElfFile SectionHeader  Lcom tencent tinker loader TinkerDexOptimizer ResultCallback  Lcom tencent tinker loader TinkerResourceLoader  Lcom tencent tinker loader SystemClassLoaderAdder V19  Lcom tencent tinker loader hotplug ActivityStubs SGTStub 06  Lcom tencent tinker loader hotplug interceptor ServiceBinderInterceptor 1  Lcom tencent tinker loader hotplug ActivityStubs SIStub 08  Lcom tencent tinker loader hotplug interceptor ServiceBinderInterceptor BinderInvocationHandler  Lcom tencent tinker loader shareutil ShareResPatchInfo LargeModeInfo  Lcom tencent tinker loader hotplug ActivityStubs  Lcom tencent tinker loader hotplug interceptor TinkerHackInstrumentation  Lcom tencent tinker loader TinkerResourcesKey V19  Lcom tencent tinker loader hotplug ActivityStubs SGTKStub 02  Lcom tencent tinker loader hotplug ActivityStubs SGTStub 09  Lcom tencent tinker loader hotplug ActivityStubs STDStub 00  Lcom tencent tinker loader shareutil ShareElfFile 1  Lcom tencent tinker loader hotplug ActivityStubs STDStub 02 T  Lcom tencent tinker loader TinkerTestDexLoad  Lcom tencent tinker loader shareutil ShareElfFile ProgramHeader  Lcom tencent tinker loader TinkerSoLoader  Lcom tencent tinker loader hotplug interceptor HandlerMessageInterceptor CallbackWrapper  Lcom tencent tinker loader hotplug ActivityStubs SGTKStub 01 T  Lcom tencent tinker loader hotplug ActivityStubs STDStub 08  Lcom tencent tinker loader shareutil ShareElfFile ElfHeader  Lcom tencent tinker loader TinkerResourcePatcher  Lcom tencent tinker loader hotplug ComponentHotplug  Lcom tencent tinker loader shareutil ShareTinkerInternals  Lcom tencent tinker loader R  Lcom tencent tinker loader hotplug ActivityStubs SIStub 07  Lcom tencent tinker loader TinkerDexOptimizer OptimizeWorker  Lcom tencent tinker loader hotplug interceptor InterceptFailedException  Lcom tencent tinker loader hotplug ActivityStubs SGTStub 01  Lcom tencent tinker loader BuildConfig  Lcom tencent tinker loader hotplug ActivityStubs SGTKStub 03  Lcom tencent tinker loader TinkerLoader  Lcom tencent tinker loader hotplug ActivityStubs STDStub 01  Lcom tencent tinker loader SystemClassLoaderAdder V4  Lcom tencent tinker loader hotplug interceptor Interceptor ITinkerHotplugProxy  Lcom tencent tinker loader shareutil ShareSecurityCheck  Lcom tencent tinker loader hotplug ActivityStubs STDStub 09  Lcom tencent tinker loader hotplug ActivityStubs SGTStub 00  Lcom tencent tinker loader hotplug interceptor ServiceBinderInterceptor FakeInterfaceHandler  Lcom tencent tinker loader SystemClassLoaderAdder  Lcom tencent tinker loader hotplug ActivityStubs SGTStub 08  Lcom tencent tinker loader hotplug ActivityStubs SIStub 06  Lcom tencent tinker loader TinkerResourcesKey V17  Lcom tencent tinker loader hotplug ActivityStubs SGTKStub 00  Lcom tencent tinker loader shareutil ShareBsDiffPatchInfo  Lcom tencent tinker loader hotplug interceptor HandlerMessageInterceptor  Lcom tencent tinker loader shareutil ShareReflectUtil  Lcom tencent tinker loader hotplug ActivityStubs SGTStub 00 T  Lcom tencent tinker loader hotplug ActivityStubs STDStub 00 T  Lcom tencent tinker loader hotplug ActivityStubs STDStub 02  Lcom tencent tinker loader TinkerUncaughtHandler  Lcom tencent tinker loader hotplug ActivityStubs SIStub 02 T  Lcom tencent tinker loader TinkerDexOptimizer  Lcom tencent tinker loader shareutil ShareArkHotDiffPatchInfo  Lcom tencent tinker loader shareutil ShareConstants  Lcom tencent tinker loader TinkerArkHotLoader  Lcom tencent tinker loader shareutil SharePatchInfo  Lcom tencent tinker loader hotplug ActivityStubs SGTKStub 09  Lcom tencent tinker loader hotplug handler PMSInterceptHandler  Lcom tencent tinker loader hotplug ActivityStubs SIStub 05  Lcom tencent tinker loader hotplug ActivityStubs SGTStub 03  Lcom tencent tinker loader hotplug ActivityStubs SGTKStub 01  Lcom tencent tinker loader SystemClassLoaderAdder V14  Lcom tencent tinker loader hotplug ActivityStubs STDStub 03  Lcom tencent tinker loader hotplug IncrementComponentManager AttrTranslator  Lcom tencent tinker loader shareutil ShareOatUtil InstructionSet  Lcom tencent tinker loader app TinkerApplication  Lcom tencent tinker loader hotplug interceptor ServiceBinderInterceptor FakeClientBinderHandler  Lcom tencent tinker loader hotplug ActivityStubs SGTStub 02  Lcom tencent tinker loader hotplug UnsupportedEnvironmentException  Lcom tencent tinker loader TinkerRuntimeException  Lcom tencent tinker loader hotplug ActivityStubs SIStub 04  Lcom tencent tinker loader hotplug interceptor HandlerMessageInterceptor MessageHandler  Lcom tencent tinker loader hotplug ActivityStubs SGTKStub 06  Lcom tencent tinker loader TinkerDexLoader 1  Lcom tencent tinker loader hotplug ActivityStubs SIStub 00 T  Lcom tencent tinker loader hotplug ActivityStubs SGTStub 02 T  Lcom tencent tinker loader hotplug ActivityStubs STDStub 04  Lcom tencent tinker loader hotplug IncrementComponentManager 1  Lcom tencent tinker loader hotplug EnvConsts  Lcom tencent tinker loader hotplug handler AMSInterceptHandler  Lcom tencent tinker loader hotplug ActivityStubs SGTStub 05  Lcom tencent tinker loader hotplug ActivityStubs SIStub 03  Lcom tencent tinker loader hotplug ActivityStubs SIStub 02  Lcom tencent tinker loader SystemClassLoaderAdder ArkHot  Lcom tencent tinker loader hotplug ActivityStubs SGTKStub 07  Lcom tencent tinker loader hotplug ActivityStubs STDStub 05  Lcom tencent tinker loader AbstractTinkerLoader  Lcom tencent tinker loader hotplug ActivityStubs SGTKStub 02 T  Lcom tencent tinker loader</t>
  </si>
  <si>
    <t>applivery-applivery-android-sdk-52</t>
  </si>
  <si>
    <t>Android App crashing on release builds [BUG]</t>
  </si>
  <si>
    <t xml:space="preserve">  Account information  _x000D_
Organization Owner email address: max lapides tonal com_x000D_
App ID:_x000D_
_x000D_
  Describe the bug  _x000D_
I am building a flutter app and trying to set up the Android SDK with my project  The app will crash on start when a release build is running on a device  I have reproduced this behavior in a sample project: https:  github com natalieeeflores applivery crash  I have been trying to debug the issue by building the app onto my phone  I run  flutter build apk  to generate the apk and  flutter install  d  device id   to install the app on my device _x000D_
_x000D_
Below are the main files that I modified _x000D_
app build grade_x000D_
_x000D_
   _x000D_
def localProperties   new Properties()_x000D_
def localPropertiesFile   rootProject file( local properties )_x000D_
if (localPropertiesFile exists())  _x000D_
    localPropertiesFile withReader( UTF 8 )   reader   _x000D_
        localProperties load(reader)_x000D_
     _x000D_
 _x000D_
_x000D_
def flutterRoot   localProperties getProperty( flutter sdk )_x000D_
if (flutterRoot    null)  _x000D_
    throw new GradleException( Flutter SDK not found  Define location with flutter sdk in the local properties file  )_x000D_
 _x000D_
_x000D_
def flutterVersionCode   localProperties getProperty( flutter versionCode )_x000D_
if (flutterVersionCode    null)  _x000D_
    flutterVersionCode    1 _x000D_
 _x000D_
_x000D_
def flutterVersionName   localProperties getProperty( flutter versionName )_x000D_
if (flutterVersionName    null)  _x000D_
    flutterVersionName    1 0 _x000D_
 _x000D_
_x000D_
apply plugin:  com android application _x000D_
apply plugin:  kotlin android _x000D_
apply from:   flutterRoot packages flutter tools gradle flutter gradle _x000D_
_x000D_
android  _x000D_
    compileSdkVersion 28_x000D_
_x000D_
    sourceSets  _x000D_
        main java srcDirs     src main kotlin _x000D_
     _x000D_
_x000D_
    lintOptions  _x000D_
        disable  InvalidPackage _x000D_
     _x000D_
_x000D_
    defaultConfig  _x000D_
           TODO: Specify your own unique Application ID (https:  developer android com studio build application id html) _x000D_
        applicationId  com example hello world _x000D_
        minSdkVersion 16_x000D_
        targetSdkVersion 28_x000D_
        versionCode flutterVersionCode toInteger()_x000D_
        versionName flutterVersionName_x000D_
        testInstrumentationRunner  androidx test runner AndroidJUnitRunner _x000D_
     _x000D_
_x000D_
    buildTypes  _x000D_
        release  _x000D_
               TODO: Add your own signing config for the release build _x000D_
               Signing with the debug keys for now  so  flutter run   release  works _x000D_
            signingConfig signingConfigs debug_x000D_
         _x000D_
     _x000D_
 _x000D_
_x000D_
flutter  _x000D_
    source        _x000D_
 _x000D_
_x000D_
dependencies  _x000D_
    implementation  org jetbrains kotlin:kotlin stdlib jdk7: kotlin version _x000D_
    testImplementation  junit:junit:4 12 _x000D_
    androidTestImplementation  androidx test:runner:1 1 1 _x000D_
    androidTestImplementation  androidx test espresso:espresso core:3 1 1 _x000D_
    implementation  com applivery:applivery sdk:3 1 0 _x000D_
 _x000D_
   _x000D_
_x000D_
AppliveryApplication kt_x000D_
   _x000D_
package com example hello world_x000D_
_x000D_
import io flutter app FlutterApplication _x000D_
import com applivery applvsdklib Applivery_x000D_
_x000D_
class AppliveryApplication : FlutterApplication()  _x000D_
_x000D_
    override fun onCreate()  _x000D_
        super onCreate()_x000D_
        _x000D_
        Applivery init(this   APP TOKEN   false)_x000D_
     _x000D_
 _x000D_
   _x000D_
_x000D_
MainActivity kt_x000D_
   _x000D_
package com example hello world_x000D_
_x000D_
import androidx annotation NonNull _x000D_
import io flutter embedding android FlutterActivity_x000D_
import io flutter embedding engine FlutterEngine_x000D_
import io flutter plugins GeneratedPluginRegistrant_x000D_
import com applivery applvsdklib Applivery_x000D_
import io flutter plugin common MethodChannel_x000D_
_x000D_
_x000D_
class MainActivity: FlutterActivity()  _x000D_
    private val CHANNEL    applivery _x000D_
    _x000D_
    override fun configureFlutterEngine( NonNull flutterEngine: FlutterEngine)  _x000D_
        GeneratedPluginRegistrant registerWith(flutterEngine) _x000D_
_x000D_
        MethodChannel(flutterEngine getDartExecutor()  CHANNEL) setMethodCallHandler   call  result   _x000D_
           Note: this method is invoked on the main thread _x000D_
           TODO_x000D_
            if (call method equals( checkForUpdate ))  _x000D_
                Applivery checkForUpdates()_x000D_
             _x000D_
         _x000D_
     _x000D_
 _x000D_
   _x000D_
_x000D_
  To Reproduce  _x000D_
Steps to reproduce the behavior:_x000D_
1  Open app _x000D_
_x000D_
  Expected behavior  _x000D_
The App does not crash  instead a user is prompted by a dialog to update their app if they are on an old version _x000D_
_x000D_
  Smartphone (please complete the following information):  _x000D_
   Device: Samsung Galaxy 9_x000D_
   OS: Android 9_x000D_
_x000D_
  Additional context  _x000D_
The app works as expected when it is being run in debug mode _x000D_
_x000D_
  Additional information  _x000D_
In the case of non sensitive or private content  please:_x000D_
1  Provide a copy of your  manifes xml  file_x000D_
   _x000D_
 manifest xmlns:android  http:  schemas android com apk res android _x000D_
    package  com example hello world  _x000D_
         io flutter app FlutterApplication is an android app Application that_x000D_
         calls FlutterMain startInitialization(this)  in its onCreate method _x000D_
         In most cases you can leave this as is  but you if you want to provide_x000D_
         additional functionality it is fine to subclass or reimplement_x000D_
         FlutterApplication and put your custom class here     _x000D_
     application_x000D_
        android:name   AppliveryApplication _x000D_
        android:label  hello world _x000D_
        android:icon   mipmap ic launcher  _x000D_
         activity_x000D_
            android:name   MainActivity _x000D_
            android:launchMode  singleTop _x000D_
            android:theme   style LaunchTheme _x000D_
            android:configChanges  orientation keyboardHidden keyboard screenSize smallestScreenSize locale layoutDirection fontScale screenLayout density uiMode _x000D_
            android:hardwareAccelerated  true _x000D_
            android:windowSoftInputMode  adjustResize  _x000D_
             intent filter _x000D_
                 action android:name  android intent action MAIN   _x000D_
                 category android:name  android intent category LAUNCHER   _x000D_
              intent filter _x000D_
          activity _x000D_
             Don t delete the meta data below _x000D_
             This is used by the Flutter tool to generate GeneratedPluginRegistrant java    _x000D_
         meta data_x000D_
            android:name  flutterEmbedding _x000D_
            android:value  2    _x000D_
      application _x000D_
  manifest _x000D_
_x000D_
   _x000D_
2  Attach the generated  APK  file_x000D_
</t>
  </si>
  <si>
    <t>nextcloud-android-5016</t>
  </si>
  <si>
    <t>What should we do about scoped storage in android 10?</t>
  </si>
  <si>
    <t xml:space="preserve">Following  5014  tobiasKaminsky  ezaquarii  AndyScherzinger _x000D_
_x000D_
    Actual behaviour_x000D_
  In android 10  scoped storage prevents the Nextcloud app from reading files in external storages_x000D_
  Note that it s able to detect presence of files in the special media storages  but it fails to create thumbnails_x000D_
_x000D_
    Expected behaviour_x000D_
  It shouldn t fail to read access external files_x000D_
 _x000D_
    Steps to reproduce_x000D_
1  Have some newly created images in media folders_x000D_
2  Open auto upload tab  thumbnails fail to appear_x000D_
_x000D_
There are probably other crashes and bugs related to this _x000D_
_x000D_
_x000D_
    Environment data_x000D_
Android version: 10_x000D_
_x000D_
Device model: emulator_x000D_
_x000D_
Stock or customized system: stock with play store_x000D_
_x000D_
Nextcloud app version: latest master (3 10 0 alpha)_x000D_
_x000D_
Nextcloud server version: latest stable (17 x)_x000D_
_x000D_
    Access failing logs_x000D_
   _x000D_
D SyncedFoldersActivity: onResume() starting_x000D_
D FileActivity: Operations service connected_x000D_
E BitmapFactory: Unable to decode stream: java io FileNotFoundException:  storage emulated 0 DCIM Camera IMG 20191216 113726 jpg: open failed: EACCES (Permission denied)_x000D_
    Unable to decode stream: java io FileNotFoundException:  storage emulated 0 DCIM Camera IMG 20191216 113726 jpg: open failed: EACCES (Permission denied)_x000D_
E BitmapFactory: Unable to decode stream: java io FileNotFoundException:  storage emulated 0 DCIM Camera IMG 20191216 113104 jpg: open failed: EACCES (Permission denied)_x000D_
     _x000D_
   _x000D_
_x000D_
_x000D_
Edit: of course  now that the PR is merged  these problems don t happen anymore  but there might be something important to do with scoped storage  Any input help would be appreciated </t>
  </si>
  <si>
    <t>square-okhttp-5649</t>
  </si>
  <si>
    <t>Apps crash on OkHttp  (serious problem！)</t>
  </si>
  <si>
    <t xml:space="preserve">The problem arises after booting up the Android P device _x000D_
This bug caused lots of Apps which use OkHttp library to connect to their servers crashed _x000D_
It is a low probability of random events _x000D_
_x000D_
   _x000D_
          beginning of crash_x000D_
12 10 16:44:33 267 1319 1375 F libc : Fatal signal 4 (SIGILL)  code 1 (ILL ILLOPC)  fault addr 0x72ac593a in tid 1375 (Thread 7)  pid 1319 (com xxx xxxxx)_x000D_
12 10 16:44:33 401 1382 1382 F DEBUG :                                                                _x000D_
12 10 16:44:33 401 1382 1382 F DEBUG : Build fingerprint:  xxxxx:9 PPR2 180905 006 A1 xxxxxxxxx12052144:userdebug dev keys _x000D_
12 10 16:44:33 401 1382 1382 F DEBUG : Revision:  1234 _x000D_
12 10 16:44:33 401 1382 1382 F DEBUG : ABI:  arm _x000D_
12 10 16:44:33 401 1382 1382 F DEBUG : pid: 1319  tid: 1375  name: Thread 7     com xxx xxxxx    _x000D_
12 10 16:44:33 401 1382 1382 F DEBUG : signal 4 (SIGILL)  code 1 (ILL ILLOPC)  fault addr 0x72ac593a_x000D_
12 10 16:44:33 401 1382 1382 F DEBUG : r0 00000001 r1 70d26df0 r2 70d26df0 r3 00000004_x000D_
12 10 16:44:33 401 1382 1382 F DEBUG : r4 00000000 r5 13204438 r6 70d26df0 r7 70d26df0_x000D_
12 10 16:44:33 401 1382 1382 F DEBUG : r8 00000000 r9 e65c9c00 r10 70d26df0 r11 000001bb_x000D_
12 10 16:44:33 401 1382 1382 F DEBUG : ip 00000000 sp ce478b50 lr 72ac589f pc 72ac593a_x000D_
12 10 16:44:33 453 1382 1382 F DEBUG :_x000D_
12 10 16:44:33 453 1382 1382 F DEBUG : backtrace:_x000D_
12 10 16:44:33 453 1382 1382 F DEBUG :  00 pc 0002593a  system framework arm boot okhttp oat (offset 0x1a000) (com android okhttp HttpUrl Builder scheme 250)_x000D_
12 10 16:44:33 453 1382 1382 F DEBUG :  01 pc 0001c2e3  system framework arm boot okhttp oat (offset 0x1a000) (com android okhttp Address  init  218)_x000D_
12 10 16:44:33 453 1382 1382 F DEBUG :  02 pc 00032de3  system framework arm boot okhttp oat (offset 0x1a000) (com android okhttp internal http HttpEngine createAddress 426)_x000D_
12 10 16:44:33 453 1382 1382 F DEBUG : 0000003 pc 000323a7  system framework arm boot okhttp oat (offset 0x1a000) (com android okhttp internal http HttpEngine  init  166)_x000D_
12 10 16:44:33 453 1382 1382 F DEBUG : 0000004 pc 0003b8c7  system framework arm boot okhttp oat (offset 0x1a000) (com android okhttp internal huc HttpURLConnectionImpl newHttpEngine 1398)_x000D_
12 10 16:44:33 454 1382 1382 F DEBUG : 0000005 pc 0003b2ed  system framework arm boot okhttp oat (offset 0x1a000) (com android okhttp internal huc HttpURLConnectionImpl initHttpEngine 420)_x000D_
12 10 16:44:33 454 1382 1382 F DEBUG : 0000006 pc 0003c673  system framework arm boot okhttp oat (offset 0x1a000) (com android okhttp internal huc HttpURLConnectionImpl getOutputStream 42)_x000D_
12 10 16:44:33 454 1382 1382 F DEBUG : 0000007 pc 00043e87  system framework arm boot okhttp oat (offset 0x1a000) (com android okhttp internal huc HttpsURLConnectionImpl getOutputStream 54)_x000D_
   </t>
  </si>
  <si>
    <t>nextcloud-android-5003</t>
  </si>
  <si>
    <t>Background job keep crashing</t>
  </si>
  <si>
    <t xml:space="preserve">    Actual behaviour_x000D_
  Randomly  like each 5min or 10 or 20   a background job crash  Whatever I was doing (like firefox)  the nextcloud app keeps getting focus to show me the error  _x000D_
_x000D_
    Expected behaviour_x000D_
  No crash_x000D_
 _x000D_
    Steps to reproduce_x000D_
Hard to reproduce _x000D_
_x000D_
_x000D_
    Environment data_x000D_
Android version:_x000D_
9_x000D_
Device model: _x000D_
One plus 3t_x000D_
Stock or customized system:_x000D_
Custom lineageos_x000D_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Nextcloud crash log from Android_x000D_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java lang SecurityException: Caller no longer running  last stopped  3s819ms because: timed out while starting_x000D_
	at android os Parcel createException(Parcel java:1950)_x000D_
	at android os Parcel readException(Parcel java:1918)_x000D_
	at android os Parcel readException(Parcel java:1868)_x000D_
	at android app job IJobCallback Stub Proxy dequeueWork(IJobCallback java:195)_x000D_
	at android app job JobParameters dequeueWork(JobParameters java:243)_x000D_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Caused by: android os RemoteException: Remote stack trace:_x000D_
	at com android server job JobServiceContext assertCallerLocked(JobServiceContext java:481)_x000D_
	at com android server job JobServiceContext doDequeueWork(JobServiceContext java:359)_x000D_
	at com android server job JobServiceContext JobCallback dequeueWork(JobServiceContext java:160)_x000D_
	at android app job IJobCallback Stub onTransact(IJobCallback java:83)_x000D_
	at android os Binder execTransact(Binder java:731)_x000D_
_x000D_
_x000D_
             APP INFORMATION             _x000D_
ID: com nextcloud client_x000D_
Version: 30090290_x000D_
Build flavor: generic_x000D_
_x000D_
             DEVICE INFORMATION             _x000D_
Brand: OnePlus_x000D_
Device: OnePlus3T_x000D_
Model: ONEPLUS A3003_x000D_
Id: PQ3A 190801 002_x000D_
Product: lineage oneplus3_x000D_
_x000D_
             FIRMWARE             _x000D_
SDK: 28_x000D_
Release: 9_x000D_
Incremental: 476454725d_x000D_
_x000D_
   _x000D_
</t>
  </si>
  <si>
    <t>Neamar-KISS-1312</t>
  </si>
  <si>
    <t>Crash when icons goes into each other + lock favorite</t>
  </si>
  <si>
    <t>Sometimes  when I swipe accidentally one of my favorite app into one other the application crash (see  gif) _x000D_
_x000D_
Fix this bug would be nice  but add the possibility to lock freeze favorites apps docker is greater _x000D_
_x000D_
  app version_x000D_
3 11 2_x000D_
  android version_x000D_
8 1_x000D_
  device used_x000D_
Oneplus 5_x000D_
_x000D_
  crash (https:  user images githubusercontent com 13817999 70850393 ffd93800 1e89 11ea 8c0d 5ac23389fa8c gif)</t>
  </si>
  <si>
    <t>ElderDrivers-EdXposed-410</t>
  </si>
  <si>
    <t xml:space="preserve">I can t get edxposed to work on my newly upgraded pixel 3 xl  Now with Dec 2019 android Q_x000D_
_x000D_
Here s my logcat  Logcat is also attached  which might be easier to read  What do I do about the file that is missing _x000D_
_x000D_
_x000D_
_x000D_
          beginning of head_x000D_
EdXposed Log_x000D_
Powered by Log Catcher_x000D_
QQ chat group 855219808_x000D_
          beginning of system info_x000D_
Android version: 10_x000D_
Android sdk: 29_x000D_
Android build: QQ1A 191205 008_x000D_
Fingerprint: google crosshatch crosshatch:10 QQ1A 191205 008 5974827:user release keys_x000D_
ROM build description: crosshatch user 10 QQ1A 191205 008 5974827 release keys_x000D_
EdXposed Version: v0 4 6 0 beta(4471) (Yahfa)_x000D_
Architecture: arm64 v8a_x000D_
Device: crosshatch_x000D_
Manufacture: Google_x000D_
Brand: google_x000D_
Product: crosshatch_x000D_
          beginning of main_x000D_
          beginning of system_x000D_
12 14 01:57:02 464   972   972 I EdXposed: onModuleLoaded: welcome to EdXposed _x000D_
12 14 01:57:02 464   972   972 I EdXposed: Start to install inline hooks_x000D_
12 14 01:57:02 464   972   972 I EdXposed: Using api level 29_x000D_
12 14 01:57:02 464   972   972 I EdXposed: Start to install Riru hook_x000D_
12 14 01:57:02 470   972   972 I EdXposed: Riru hooks installed_x000D_
12 14 01:57:02 582   972   972 I EdXposed: ART hooks installed_x000D_
12 14 01:57:02 582   972   972 I EdXposed: system property get: dalvik vm dex2oat filter    quicken_x000D_
12 14 01:57:02 582   972   972 I EdXposed: system property get: dalvik vm dex2oat flags      inline max code units 0_x000D_
12 14 01:57:02 865   973   973 I EdXposed: onModuleLoaded: welcome to EdXposed _x000D_
12 14 01:57:02 865   973   973 I EdXposed: Start to install inline hooks_x000D_
12 14 01:57:02 865   973   973 I EdXposed: Using api level 29_x000D_
12 14 01:57:02 865   973   973 I EdXposed: Start to install Riru hook_x000D_
12 14 01:57:02 874   973   973 I EdXposed: Riru hooks installed_x000D_
12 14 01:57:02 964   973   973 I EdXposed: ART hooks installed_x000D_
12 14 01:57:02 964   973   973 I EdXposed: system property get: dalvik vm dex2oat filter    quicken_x000D_
12 14 01:57:02 965   973   973 I EdXposed: system property get: dalvik vm dex2oat flags      inline max code units 0_x000D_
12 14 01:57:02 969   972   972 I EdXposed: using installer org meowcat edxposed manager_x000D_
12 14 01:57:02 969   972   972 I EdXposed: black white list mode: false  using whitelist: false_x000D_
12 14 01:57:02 969   972   972 I EdXposed: dynamic modules mode: false_x000D_
12 14 01:57:02 969   972   972 I EdXposed: resources hook: true_x000D_
12 14 01:57:02 969   972   972 I EdXposed: deopt boot image: false_x000D_
12 14 01:57:03 127   973   973 I EdXposed: using installer org meowcat edxposed manager_x000D_
12 14 01:57:03 127   973   973 I EdXposed: black white list mode: false  using whitelist: false_x000D_
12 14 01:57:03 127   973   973 I EdXposed: dynamic modules mode: false_x000D_
12 14 01:57:03 127   973   973 I EdXposed: resources hook: true_x000D_
12 14 01:57:03 127   973   973 I EdXposed: deopt boot image: false_x000D_
12 14 01:57:04 515   972   972 E EdXposed Bridge: Cannot load any modules because  data user de 0 org meowcat edxposed manager conf modules list was not found_x000D_
12 14 01:57:04 758  1489  1489 E EdXposed: mmap failed  errno   Permission denied_x000D_
12 14 01:57:04 759  1489  1489 E EdXposed: cannot hook method_x000D_
12 14 01:57:04 759  1489  1489 E EdXposed: error when hooking com elderdrivers riru edxp  hooker yahfa StartBootstrapServicesHooker_x000D_
12 14 01:57:04 759  1489  1489 E EdXposed: java lang RuntimeException: Failed to hook private void com android server SystemServer startBootstrapServices() with public static void com elderdrivers riru edxp  hooker yahfa StartBootstrapServicesHooker hook(java lang Object) throws java lang Throwable_x000D_
12 14 01:57:04 759  1489  1489 E EdXposed: 	at com elderdrivers riru edxp core yahfa HookMain backupAndHook(HookMain java:127)_x000D_
12 14 01:57:04 759  1489  1489 E EdXposed: 	at com elderdrivers riru edxp core yahfa HookMain doHookDefault(HookMain java:3088)_x000D_
12 14 01:57:04 759  1489  1489 E EdXposed: 	at com elderdrivers riru edxp proxy BaseRouter startSystemServerHook(BaseRouter java:134)_x000D_
12 14 01:57:04 759  1489  1489 E EdXposed: 	at com elderdrivers riru edxp  hooker impl SystemMain afterHookedMethod(SystemMain java:27)_x000D_
12 14 01:57:04 759  1489  1489 E EdXposed: 	at de robv android xposed XC MethodHook callAfterHookedMethod(XC MethodHook java:68)_x000D_
12 14 01:57:04 759  1489  1489 E EdXposed: 	at com elderdrivers riru edxp  hooker yahfa SystemMainHooker hook(SystemMainHooker java:25)_x000D_
12 14 01:57:04 759  1489  1489 E EdXposed: 	at com android server SystemServer createSystemContext(SystemServer java:610)_x000D_
12 14 01:57:04 759  1489  1489 E EdXposed: 	at com android server SystemServer run(SystemServer java:495)_x000D_
12 14 01:57:04 759  1489  1489 E EdXposed: 	at com android server SystemServer main(SystemServer java:350)_x000D_
12 14 01:57:04 759  1489  1489 E EdXposed: 	at java lang reflect Method invoke(Native Method)_x000D_
12 14 01:57:04 759  1489  1489 E EdXposed: 	at com android internal os RuntimeInit MethodAndArgsCaller run(RuntimeInit java:492)_x000D_
12 14 01:57:04 759  1489  1489 E EdXposed: 	at com android internal os ZygoteInit main(ZygoteInit java:908)_x000D_
12 14 01:57:06 500  1489  1489 E EdXposed: mmap failed  errno   Permission denied_x000D_
12 14 01:57:06 501  1489  1489 E EdXposed: cannot hook method_x000D_
12 14 01:57:06 501  1489  1489 E EdXposed: error occur when generating dex  dexDir null_x000D_
12 14 01:57:06 501  1489  1489 E EdXposed: java lang RuntimeException: Failed to hook public java lang ClassLoader android app LoadedApk getClassLoader() with public static java lang Object EdHooker  hook(java lang Object)_x000D_
12 14 01:57:06 501  1489  1489 E EdXposed: 	at com elderdrivers riru edxp core yahfa HookMain backupAndHook(HookMain java:127)_x000D_
12 14 01:57:06 501  1489  1489 E EdXposed: 	at com elderdrivers riru edxp yahfa dexmaker DynamicBridge hookMethod(DynamicBridge java:6225)_x000D_
12 14 01:57:06 501  1489  1489 E EdXposed: 	at com elderdrivers riru edxp yahfa config YahfaHookProvider hookMethod(YahfaHookProvider java:19)_x000D_
12 14 01:57:06 501  1489  1489 E EdXposed: 	at de robv android xposed XposedBridge hookMethodNative(XposedBridge java:458)_x000D_
12 14 01:57:06 501  1489  1489 E EdXposed: 	at de robv android xposed XposedBridge hookMethod(XposedBridge java:235)_x000D_
12 14 01:57:06 501  1489  1489 E EdXposed: 	at de robv android xposed XposedHelpers findAndHookMethod(XposedHelpers java:187)_x000D_
12 14 01:57:06 501  1489  1489 E EdXposed: 	at com elderdrivers riru edxp  hooker impl LoadedApkCstr afterHookedMethod(LoadedApkCstr java:64)_x000D_
12 14 01:57:06 501  1489  1489 E EdXposed: 	at de robv android xposed XC MethodHook callAfterHookedMethod(XC MethodHook java:68)_x000D_
12 14 01:57:06 501  1489  1489 E EdXposed: 	at com elderdrivers riru edxp  hooker yahfa LoadedApkConstructorHooker hook(LoadedApkConstructorHooker java:35)_x000D_
12 14 01:57:06 501  1489  1489 E EdXposed: 	at android app ActivityThread getPackageInfo(ActivityThread java:2309)_x000D_
12 14 01:57:06 501  1489  1489 E EdXposed: 	at android app ActivityThread getPackageInfo(ActivityThread java:2252)_x000D_
12 14 01:57:06 501  1489  1489 E EdXposed: 	at android app ActivityThread getPackageInfo(ActivityThread java:2223)_x000D_
12 14 01:57:06 501  1489  1489 E EdXposed: 	at android app ContextImpl createPackageContextAsUser(ContextImpl java:2183)_x000D_
12 14 01:57:06 501  1489  1489 E EdXposed: 	at android app ContextImpl createPackageContext(ContextImpl java:2170)_x000D_
12 14 01:57:06 501  1489  1489 E EdXposed: 	at android content ContextWrapper createPackageContext(ContextWrapper java:876)_x000D_
12 14 01:57:06 501  1489  1489 E EdXposed: 	at android app ActivityThread installProvider(ActivityThread java:6942)_x000D_
12 14 01:57:06 501  1489  1489 E EdXposed: 	at android app ActivityThread installContentProviders(ActivityThread java:6528)_x000D_
12 14 01:57:06 501  1489  1489 E EdXposed: 	at android app ActivityThread installSystemProviders(ActivityThread java:7169)_x000D_
12 14 01:57:06 501  1489  1489 E EdXposed: 	at com android server am ActivityManagerService installSystemProviders(ActivityManagerService java:7555)_x000D_
12 14 01:57:06 501  1489  1489 E EdXposed: 	at com android server SystemServer startOtherServices(SystemServer java:983)_x000D_
12 14 01:57:06 501  1489  1489 E EdXposed: 	at com android server SystemServer run(SystemServer java:513)_x000D_
12 14 01:57:06 501  1489  1489 E EdXposed: 	at com android server SystemServer main(SystemServer java:350)_x000D_
12 14 01:57:06 501  1489  1489 E EdXposed: 	at java lang reflect Method invoke(Native Method)_x000D_
12 14 01:57:06 501  1489  1489 E EdXposed: 	at com android internal os RuntimeInit MethodAndArgsCaller run(RuntimeInit java:492)_x000D_
12 14 01:57:06 501  1489  1489 E EdXposed: 	at com android internal os ZygoteInit main(ZygoteInit java:908)_x000D_
          beginning of crash_x000D_
12 14 01:57:16 598   973   973 E EdXposed Bridge: Cannot load any modules because  data user de 0 org meowcat edxposed manager conf modules list was not found_x000D_
</t>
  </si>
  <si>
    <t>ostrya-PresencePublisher-19</t>
  </si>
  <si>
    <t>Release 1.7.0 is missing Paho library</t>
  </si>
  <si>
    <t xml:space="preserve">For some reason  something has gone wrong in building the release  This causes the app to crash with a ClassNotFoundException </t>
  </si>
  <si>
    <t>fossasia-open-event-organizer-android-2001</t>
  </si>
  <si>
    <t>Bug: App crashes after selecting a local image for new event</t>
  </si>
  <si>
    <t xml:space="preserve">  Describe the bug  _x000D_
The app crashes after selecting a graphic from the phone storage _x000D_
_x000D_
  To Reproduce  _x000D_
1  Go to New Event_x000D_
2  Fill event details and reach Step 3_x000D_
3  Click on the camera icon to select a graphic from phone _x000D_
4  As soon as you select an image  the app crashes_x000D_
_x000D_
  Expected behavior  _x000D_
The image should be selected and loaded in the specified space _x000D_
_x000D_
  Logs  _x000D_
PID: 23932_x000D_
    java lang RuntimeException: Failure delivering result ResultInfo who null  request 65538  result  1  data Intent   dat content:  com android providers media documents document image:58274 flg 0x1    to activity  com eventyay organizer com eventyay organizer core event create CreateEventActivity : java lang RuntimeException: StrictMode ThreadPolicy violation_x000D_
        at android app ActivityThread deliverResults(ActivityThread java:4617)_x000D_
        at android app ActivityThread handleSendResult(ActivityThread java:4659)_x000D_
        at android app servertransaction ActivityResultItem execute(ActivityResultItem java:49)_x000D_
        at android app servertransaction TransactionExecutor executeCallbacks(TransactionExecutor java:108)_x000D_
        at android app servertransaction TransactionExecutor execute(TransactionExecutor java:68)_x000D_
        at android app ActivityThread H handleMessage(ActivityThread java:1955)_x000D_
        at android os Handler dispatchMessage(Handler java:106)_x000D_
        at android os Looper loop(Looper java:214)_x000D_
        at android app ActivityThread main(ActivityThread java:7078)_x000D_
        at java lang reflect Method invoke(Native Method)_x000D_
        at com android internal os RuntimeInit MethodAndArgsCaller run(RuntimeInit java:494)_x000D_
        at com android internal os ZygoteInit main(ZygoteInit java:974)_x000D_
     Caused by: java lang RuntimeException: StrictMode ThreadPolicy violation_x000D_
        at android os StrictMode AndroidBlockGuardPolicy onThreadPolicyViolation(StrictMode java:1705)_x000D_
        at android os StrictMode AndroidBlockGuardPolicy handleViolationWithTimingAttempt(StrictMode java:1562)_x000D_
        at android os StrictMode readAndHandleBinderCallViolations(StrictMode java:2141)_x000D_
        at android os Parcel readExceptionCode(Parcel java:1912)_x000D_
        at android database DatabaseUtils readExceptionWithFileNotFoundExceptionFromParcel(DatabaseUtils java:140)_x000D_
        at android content ContentProviderProxy openTypedAssetFile(ContentProviderNative java:698)_x000D_
        at android content ContentResolver openTypedAssetFileDescriptor(ContentResolver java:1465)_x000D_
        at android content ContentResolver openAssetFileDescriptor(ContentResolver java:1302)_x000D_
        at android content ContentResolver openInputStream(ContentResolver java:1022)_x000D_
        at com eventyay organizer core event create EventDetailsStepThree onActivityResult(EventDetailsStepThree java:108)_x000D_
        at androidx fragment app FragmentActivity onActivityResult(FragmentActivity java:170)_x000D_
        at android app Activity dispatchActivityResult(Activity java:7762)_x000D_
        at android app ActivityThread deliverResults(ActivityThread java:4610)_x000D_
        at android app ActivityThread handleSendResult(ActivityThread java:4659) _x000D_
        at android app servertransaction ActivityResultItem execute(ActivityResultItem java:49) _x000D_
        at android app servertransaction TransactionExecutor executeCallbacks(TransactionExecutor java:108) _x000D_
        at android app servertransaction TransactionExecutor execute(TransactionExecutor java:68) _x000D_
        at android app ActivityThread H handleMessage(ActivityThread java:1955) _x000D_
        at android os Handler dispatchMessage(Handler java:106) _x000D_
        at android os Looper loop(Looper java:214) _x000D_
        at android app ActivityThread main(ActivityThread java:7078) _x000D_
        at java lang reflect Method invoke(Native Method) _x000D_
        at com android internal os RuntimeInit MethodAndArgsCaller run(RuntimeInit java:494) _x000D_
        at com android internal os ZygoteInit main(ZygoteInit java:974) _x000D_
     Caused by: android os strictmode DiskWriteViolation_x000D_
        at android os StrictMode AndroidBlockGuardPolicy onWriteToDisk(StrictMode java:1460)_x000D_
        at android database sqlite SQLiteConnection applyBlockGuardPolicy(SQLiteConnection java:1383)_x000D_
        at android database sqlite SQLiteConnection executeForChangedRowCount(SQLiteConnection java:943)_x000D_
        at android database sqlite SQLiteSession executeForChangedRowCount(SQLiteSession java:754)_x000D_
        at android database sqlite SQLiteStatement executeUpdateDelete(SQLiteStatement java:64)_x000D_
        at android database sqlite SQLiteDatabase updateWithOnConflict(SQLiteDatabase java:2126)_x000D_
        at android database sqlite SQLiteDatabase update(SQLiteDatabase java:2072)_x000D_
        at com android providers media MediaProvider queryForDataFile(MediaProvider java:6259)_x000D_
        at com android providers media MediaProvider openFileAndEnforcePathPermissionsHelper(MediaProvider java:6281)_x000D_
        at com android providers media MediaProvider openFile(MediaProvider java:6115)_x000D_
        at android content ContentProvider openAssetFile(ContentProvider java:1566)_x000D_
        at android content ContentProvider openTypedAssetFile(ContentProvider java:1746)_x000D_
        at android content ContentProvider openTypedAssetFile(ContentProvider java:1812)_x000D_
        at android content ContentProvider Transport openTypedAssetFile(ContentProvider java:425)_x000D_
        at android content ContentResolver openTypedAssetFileDescriptor(ContentResolver java:1465)_x000D_
        at android content ContentResolver openAssetFileDescriptor(ContentResolver java:1302)_x000D_
2019 12 13 20:29:29 186 23932 23932 com eventyay organizer E AndroidRuntime:     at android content ContentResolver openFileDescriptor(ContentResolver java:1155)_x000D_
        at android content ContentResolver openFileDescriptor(ContentResolver java:1109)_x000D_
        at com android providers media MediaDocumentsProvider openDocument(MediaDocumentsProvider java:754)_x000D_
        at android provider DocumentsProvider openAssetFile(DocumentsProvider java:1200)_x000D_
        at android provider DocumentsProvider openTypedAssetFileImpl(DocumentsProvider java:1310)_x000D_
        at android provider DocumentsProvider openTypedAssetFile(DocumentsProvider java:1242)_x000D_
        at android content ContentProvider Transport openTypedAssetFile(ContentProvider java:425)_x000D_
        at android content ContentProviderNative onTransact(ContentProviderNative java:302)_x000D_
        at android os Binder execTransact(Binder java:739)_x000D_
_x000D_
  Screenshots  _x000D_
     If applicable  add screenshots to help explain your problem     _x000D_
_x000D_
  Smartphone Info:  _x000D_
 Device          Samsung Galaxy J8 _x000D_
 Android Version Pie 9 0 _x000D_
_x000D_
  Additional context  _x000D_
The problem appears to be due to the StrictMode Policies_x000D_
_x000D_
  Would you like to work on the issue   _x000D_
   x  Yes_x000D_
      No_x000D_
  Other: _x000D_
</t>
  </si>
  <si>
    <t>facebook-SoLoader-55</t>
  </si>
  <si>
    <t>SoLoader 0.8.0 couldn't find DSO to load - issue on .apk build</t>
  </si>
  <si>
    <t xml:space="preserve">MyApp is crashing while performing tests on Firebase Test lab emulators (x86) _x000D_
Downgrading to 0 6 1 is fixing the problem _x000D_
_x000D_
   _x000D_
java lang UnsatisfiedLinkError: couldn t find DSO to load: libyoga so caused by: APK was built for a different platform_x000D_
	at com facebook soloader SoLoader doLoadLibraryBySoName(SoLoader java:789)_x000D_
	at com facebook soloader SoLoader loadLibraryBySoName(SoLoader java:639)_x000D_
	at com facebook soloader SoLoader loadLibrary(SoLoader java:577)_x000D_
	at com facebook soloader SoLoader loadLibrary(SoLoader java:525)_x000D_
	at com facebook yoga YogaNative  clinit (YogaNative java:15)_x000D_
	at com facebook yoga YogaConfig  init (YogaConfig java:20)_x000D_
	at com facebook yoga YogaConfigFactory create(YogaConfigFactory java:5)_x000D_
	at com facebook litho yoga LithoYogaFactory createYogaConfig(LithoYogaFactory java:26)_x000D_
	at com facebook litho NodeConfig  clinit (NodeConfig java:45)_x000D_
   </t>
  </si>
  <si>
    <t>nextcloud-android-4999</t>
  </si>
  <si>
    <t>Only trigger media scanner for media files</t>
  </si>
  <si>
    <t xml:space="preserve">There s several places in the app where   triggerMediaScan()  is called (https:  github com nextcloud android search q triggerMediaScan type Code)  This happens irrespective of the mimeType which is available in some of these places _x000D_
_x000D_
For huge non media files  this can slow down the system significantly and even crash with OOM errors  Furthermore when writing these files with a DocumentsProvider  maybe the user doesn t want these files get indexed by the media scanner _x000D_
_x000D_
Anyway  a simple fix would be to check the mimetype for media files and only trigger a scan for those </t>
  </si>
  <si>
    <t>opensrp-opensrp-client-immunization-113</t>
  </si>
  <si>
    <t>Add Null check when populating Vaccine Schedule Map</t>
  </si>
  <si>
    <t xml:space="preserve">   x  For special vaccines included in the Vaccine Repo Enum and not present in the  vaccines json  configuration file  null values are added to the  vaccineSchedules  map which causes a crash when processing offline alert schedules</t>
  </si>
  <si>
    <t>MartyrPher-SMAPI-Android-Installer-39</t>
  </si>
  <si>
    <t>0.9.2 - No Stardew Valley folder causes installer to crash</t>
  </si>
  <si>
    <t xml:space="preserve">If the user did not create a save file for Stardew Valley  the Stardew Valley folder will not exist  The Installer tries to create the  Mods  folder into a directory that doesn t exist  Causing a crash  Very bad </t>
  </si>
  <si>
    <t>nextcloud-android-4993</t>
  </si>
  <si>
    <t>Weird state management in FirstRunActivity</t>
  </si>
  <si>
    <t>Hi _x000D_
_x000D_
On the first start (without being connected)  The FirstRunActivity is launched after a few Intents  _x000D_
And  when you access this Activity  and lock your phone  and reopen it  you should go back to this  FirstRunActivity   but instead you re redirected directly to login and a thread crashes _x000D_
_x000D_
So why don t we redirect immediatly to FirstRunActivity through MainApp instead of passing from FileDisplayActivity  and why we don t relaunch this activity onRestart   And why is it a MediaFolder detection before ANY connection (which fails and kill the thread)  : _x000D_
_x000D_
    _x000D_
2019 12 12 16:47:53 267 16477 25164 XXXXXXXXX E JobExecutor: Crashed job id 27  finished true  result FAILURE  canceled false  periodic true  class MediaFoldersDetectionJob  tag MediaFoldersDetectionJob _x000D_
    java lang SecurityException: Permission Denial: reading com android providers media MediaProvider uri content:  media external images media from pid 16477  uid 10468 requires android permission READ EXTERNAL STORAGE  or grantUriPermission()_x000D_
        at android os Parcel createException(Parcel      _x000D_
    _x000D_
_x000D_
So  what is the  wanted  behaviour for the first launch   And why do we pass through FileDisplayActivity without being connected  _x000D_
_x000D_
V  3 9 2</t>
  </si>
  <si>
    <t>ElderDrivers-EdXposed-409</t>
  </si>
  <si>
    <t>[BUG] 一加7p新系统无法工作，貌似是权限有问题</t>
  </si>
  <si>
    <t xml:space="preserve">       What happened   _x000D_
    _x000D_
_x000D_
  EdXposed Riru   Versions of EdXposed and Riru  _x000D_
_x000D_
EdXposed:4 6_x000D_
_x000D_
Riru:19 5_x000D_
_x000D_
    Logcat Logcat  _x000D_
          beginning of head_x000D_
EdXposed Log_x000D_
Powered by Log Catcher_x000D_
QQ chat group 855219808_x000D_
          beginning of system info_x000D_
Android version: 10_x000D_
Android sdk: 29_x000D_
Android build: QKQ1 190716 003_x000D_
Fingerprint: OnePlus OnePlus7Pro CH OnePlus7Pro:10 QKQ1 190716 003 1911250200:user release keys_x000D_
ROM build description: OnePlus7Pro user 10 QKQ1 190716 003 1911250200 release keys_x000D_
EdXposed Version: v0 4 6 0 beta(4471) (Yahfa)_x000D_
Architecture: arm64 v8a_x000D_
Device: OnePlus7Pro_x000D_
Manufacture: OnePlus_x000D_
Brand: OnePlus_x000D_
Product: OnePlus7Pro_x000D_
          beginning of main_x000D_
          beginning of system_x000D_
12 12 23:19:15 314   771   771 I EdXposed: onModuleLoaded: welcome to EdXposed _x000D_
12 12 23:19:15 314   771   771 I EdXposed: Start to install inline hooks_x000D_
12 12 23:19:15 314   771   771 I EdXposed: Using api level 29_x000D_
12 12 23:19:15 314   771   771 I EdXposed: Start to install Riru hook_x000D_
12 12 23:19:15 324   771   771 I EdXposed: Riru hooks installed_x000D_
12 12 23:19:15 390   772   772 I EdXposed: onModuleLoaded: welcome to EdXposed _x000D_
12 12 23:19:15 390   772   772 I EdXposed: Start to install inline hooks_x000D_
12 12 23:19:15 390   772   772 I EdXposed: Using api level 29_x000D_
12 12 23:19:15 390   772   772 I EdXposed: Start to install Riru hook_x000D_
12 12 23:19:15 400   772   772 I EdXposed: Riru hooks installed_x000D_
12 12 23:19:15 405   771   771 I EdXposed: ART hooks installed_x000D_
12 12 23:19:15 405   771   771 I EdXposed: system property get: dalvik vm dex2oat filter    quicken_x000D_
12 12 23:19:15 405   771   771 I EdXposed: system property get: dalvik vm dex2oat flags      inline max code units 0_x000D_
12 12 23:19:15 531   772   772 I EdXposed: ART hooks installed_x000D_
12 12 23:19:15 532   772   772 I EdXposed: system property get: dalvik vm dex2oat filter    quicken_x000D_
12 12 23:19:15 532   772   772 I EdXposed: system property get: dalvik vm dex2oat flags      inline max code units 0_x000D_
12 12 23:19:15 629   771   771 I EdXposed: using installer com solohsu android edxp manager_x000D_
12 12 23:19:15 629   771   771 I EdXposed: black white list mode: false  using whitelist: false_x000D_
12 12 23:19:15 629   771   771 I EdXposed: dynamic modules mode: false_x000D_
12 12 23:19:15 629   771   771 I EdXposed: resources hook: true_x000D_
12 12 23:19:15 629   771   771 I EdXposed: deopt boot image: false_x000D_
12 12 23:19:15 743   772   772 I EdXposed: using installer com solohsu android edxp manager_x000D_
12 12 23:19:15 743   772   772 I EdXposed: black white list mode: false  using whitelist: false_x000D_
12 12 23:19:15 743   772   772 I EdXposed: dynamic modules mode: false_x000D_
12 12 23:19:15 743   772   772 I EdXposed: resources hook: true_x000D_
12 12 23:19:15 743   772   772 I EdXposed: deopt boot image: false_x000D_
12 12 23:19:17 653   771   771 E EdXposed Bridge: Cannot load any modules because  data user de 0 com solohsu android edxp manager conf modules list was not found_x000D_
12 12 23:19:17 930  1471  1471 E EdXposed: mmap failed  errno   Permission denied_x000D_
12 12 23:19:17 930  1471  1471 E EdXposed: cannot hook method_x000D_
12 12 23:19:17 932  1471  1471 E EdXposed: error when hooking com elderdrivers riru edxp  hooker yahfa StartBootstrapServicesHooker_x000D_
12 12 23:19:17 932  1471  1471 E EdXposed: java lang RuntimeException: Failed to hook private void com android server SystemServer startBootstrapServices() with public static void com elderdrivers riru edxp  hooker yahfa StartBootstrapServicesHooker hook(java lang Object) throws java lang Throwable_x000D_
12 12 23:19:17 932  1471  1471 E EdXposed: 	at com elderdrivers riru edxp core yahfa HookMain backupAndHook(HookMain java:127)_x000D_
12 12 23:19:17 932  1471  1471 E EdXposed: 	at com elderdrivers riru edxp core yahfa HookMain doHookDefault(HookMain java:3088)_x000D_
12 12 23:19:17 932  1471  1471 E EdXposed: 	at com elderdrivers riru edxp proxy BaseRouter startSystemServerHook(BaseRouter java:134)_x000D_
12 12 23:19:17 932  1471  1471 E EdXposed: 	at com elderdrivers riru edxp  hooker impl SystemMain afterHookedMethod(SystemMain java:27)_x000D_
12 12 23:19:17 932  1471  1471 E EdXposed: 	at de robv android xposed XC MethodHook callAfterHookedMethod(XC MethodHook java:68)_x000D_
12 12 23:19:17 932  1471  1471 E EdXposed: 	at com elderdrivers riru edxp  hooker yahfa SystemMainHooker hook(SystemMainHooker java:25)_x000D_
12 12 23:19:17 932  1471  1471 E EdXposed: 	at com android server SystemServer createSystemContext(SystemServer java:637)_x000D_
12 12 23:19:17 932  1471  1471 E EdXposed: 	at com android server SystemServer run(SystemServer java:522)_x000D_
12 12 23:19:17 932  1471  1471 E EdXposed: 	at com android server SystemServer main(SystemServer java:377)_x000D_
12 12 23:19:17 932  1471  1471 E EdXposed: 	at java lang reflect Method invoke(Native Method)_x000D_
12 12 23:19:17 932  1471  1471 E EdXposed: 	at com android internal os RuntimeInit MethodAndArgsCaller run(RuntimeInit java:516)_x000D_
12 12 23:19:17 932  1471  1471 E EdXposed: 	at com android internal os ZygoteInit main(ZygoteInit java:928)_x000D_
12 12 23:19:20 245  1471  1471 E EdXposed: mmap failed  errno   Permission denied_x000D_
12 12 23:19:20 245  1471  1471 E EdXposed: cannot hook method_x000D_
12 12 23:19:20 245  1471  1471 E EdXposed: error occur when generating dex  dexDir null_x000D_
12 12 23:19:20 245  1471  1471 E EdXposed: java lang RuntimeException: Failed to hook public java lang ClassLoader android app LoadedApk getClassLoader() with public static java lang Object EdHooker  hook(java lang Object)_x000D_
12 12 23:19:20 245  1471  1471 E EdXposed: 	at com elderdrivers riru edxp core yahfa HookMain backupAndHook(HookMain java:127)_x000D_
12 12 23:19:20 245  1471  1471 E EdXposed: 	at com elderdrivers riru edxp yahfa dexmaker DynamicBridge hookMethod(DynamicBridge java:6225)_x000D_
12 12 23:19:20 245  1471  1471 E EdXposed: 	at com elderdrivers riru edxp yahfa config YahfaHookProvider hookMethod(YahfaHookProvider java:19)_x000D_
12 12 23:19:20 245  1471  1471 E EdXposed: 	at de robv android xposed XposedBridge hookMethodNative(XposedBridge java:458)_x000D_
12 12 23:19:20 245  1471  1471 E EdXposed: 	at de robv android xposed XposedBridge hookMethod(XposedBridge java:235)_x000D_
12 12 23:19:20 245  1471  1471 E EdXposed: 	at de robv android xposed XposedHelpers findAndHookMethod(XposedHelpers java:187)_x000D_
12 12 23:19:20 245  1471  1471 E EdXposed: 	at com elderdrivers riru edxp  hooker impl LoadedApkCstr afterHookedMethod(LoadedApkCstr java:64)_x000D_
12 12 23:19:20 245  1471  1471 E EdXposed: 	at de robv android xposed XC MethodHook callAfterHookedMethod(XC MethodHook java:68)_x000D_
12 12 23:19:20 245  1471  1471 E EdXposed: 	at com elderdrivers riru edxp  hooker yahfa LoadedApkConstructorHooker hook(LoadedApkConstructorHooker java:35)_x000D_
12 12 23:19:20 245  1471  1471 E EdXposed: 	at android app ActivityThread getPackageInfo(ActivityThread java:2413)_x000D_
12 12 23:19:20 245  1471  1471 E EdXposed: 	at android app ActivityThread getPackageInfo(ActivityThread java:2356)_x000D_
12 12 23:19:20 245  1471  1471 E EdXposed: 	at android app ActivityThread getPackageInfo(ActivityThread java:2327)_x000D_
12 12 23:19:20 245  1471  1471 E EdXposed: 	at android app ContextImpl createPackageContextAsUser(ContextImpl java:2217)_x000D_
12 12 23:19:20 245  1471  1471 E EdXposed: 	at android app ContextImpl createPackageContext(ContextImpl java:2204)_x000D_
12 12 23:19:20 245  1471  1471 E EdXposed: 	at android content ContextWrapper createPackageContext(ContextWrapper java:876)_x000D_
12 12 23:19:20 245  1471  1471 E EdXposed: 	at android app ActivityThread installProvider(ActivityThread java:7208)_x000D_
12 12 23:19:20 245  1471  1471 E EdXposed: 	at android app ActivityThread installContentProviders(ActivityThread java:6764)_x000D_
12 12 23:19:20 245  1471  1471 E EdXposed: 	at android app ActivityThread installSystemProviders(ActivityThread java:7495)_x000D_
12 12 23:19:20 245  1471  1471 E EdXposed: 	at com android server am ActivityManagerService installSystemProviders(ActivityManagerService java:8392)_x000D_
12 12 23:19:20 245  1471  1471 E EdXposed: 	at com android server SystemServer startOtherServices(SystemServer java:1013)_x000D_
12 12 23:19:20 245  1471  1471 E EdXposed: 	at com android server SystemServer run(SystemServer java:540)_x000D_
12 12 23:19:20 245  1471  1471 E EdXposed: 	at com android server SystemServer main(SystemServer java:377)_x000D_
12 12 23:19:20 245  1471  1471 E EdXposed: 	at java lang reflect Method invoke(Native Method)_x000D_
12 12 23:19:20 245  1471  1471 E EdXposed: 	at com android internal os RuntimeInit MethodAndArgsCaller run(RuntimeInit java:516)_x000D_
12 12 23:19:20 245  1471  1471 E EdXposed: 	at com android internal os ZygoteInit main(ZygoteInit java:928)_x000D_
          beginning of crash_x000D_
12 12 23:19:30 672   772   772 E EdXposed Bridge: Cannot load any modules because  data user de 0 com solohsu android edxp manager conf modules list was not found_x000D_
_x000D_
               log       It can help us to locate issue  must use our logcat module_x000D_
</t>
  </si>
  <si>
    <t>hzi-braunschweig-SORMAS-Project-1419</t>
  </si>
  <si>
    <t>Error in POE user account</t>
  </si>
  <si>
    <t xml:space="preserve">This error occurs when the user tries to move from case information to person information in the edit mode  The app crashes or an error message pops up _x000D_
_x000D_
  WhatsApp Image 2019 12 12 at 14 11 57 (https:  user images githubusercontent com 50739609 70715115 e39e9500 1ce9 11ea 9dab f8a987560339 jpeg)_x000D_
</t>
  </si>
  <si>
    <t>niranjan-nagaraju-notification-center-7</t>
  </si>
  <si>
    <t>App crashes when a penultimate card is swiped, and subsequently the last card is clicked</t>
  </si>
  <si>
    <t xml:space="preserve">App crashes when a penultimate card is swiped  and then subsequently when the next card s header is clicked to expand  the adapter crashes with an IndexOutOfBoundsException _x000D_
   _x000D_
12 12 17:05:05 746  8987  8987 E AndroidRuntime: Process: com vinithepooh notifier  PID: 8987_x000D_
12 12 17:05:05 746  8987  8987 E AndroidRuntime: java lang IndexOutOfBoundsException: Index: 18  Size: 18_x000D_
12 12 17:05:05 746  8987  8987 E AndroidRuntime: 	at java util ArrayList get(ArrayList java:437)_x000D_
12 12 17:05:05 746  8987  8987 E AndroidRuntime: 	at com vinithepooh notifier Ntfcns adapter 1 onClick(Ntfcns adapter java:175)_x000D_
12 12 17:05:05 746  8987  8987 E AndroidRuntime: 	at android view View performClick(View java:6669)_x000D_
12 12 17:05:05 746  8987  8987 E AndroidRuntime: 	at android view View performClickInternal(View java:6638)_x000D_
12 12 17:05:05 746  8987  8987 E AndroidRuntime: 	at android view View access 3100(View java:789)_x000D_
12 12 17:05:05 746  8987  8987 E AndroidRuntime: 	at android view View PerformClick run(View java:26145)_x000D_
12 12 17:05:05 746  8987  8987 E AndroidRuntime: 	at android os Handler handleCallback(Handler java:873)_x000D_
12 12 17:05:05 746  8987  8987 E AndroidRuntime: 	at android os Handler dispatchMessage(Handler java:99)_x000D_
12 12 17:05:05 746  8987  8987 E AndroidRuntime: 	at android os Looper loop(Looper java:193)_x000D_
12 12 17:05:05 746  8987  8987 E AndroidRuntime: 	at android app ActivityThread main(ActivityThread java:6863)_x000D_
12 12 17:05:05 746  8987  8987 E AndroidRuntime: 	at java lang reflect Method invoke(Native Method)_x000D_
12 12 17:05:05 746  8987  8987 E AndroidRuntime: 	at com android internal os RuntimeInit MethodAndArgsCaller run(RuntimeInit java:537)_x000D_
12 12 17:05:05 746  8987  8987 E AndroidRuntime: 	at com android internal os ZygoteInit main(ZygoteInit java:858)_x000D_
   _x000D_
Other times  the crash is due to a NullPointerException_x000D_
_x000D_
   _x000D_
12 12 14:42:13 004  7236  7236 E AndroidRuntime: Process: com vinithepooh notifier  PID: 7236_x000D_
12 12 14:42:13 004  7236  7236 E AndroidRuntime: java lang NullPointerException: Attempt to invoke virtual method  android app Notification android service notification StatusBarNotification getNotification()  on a null object reference_x000D_
12 12 14:42:13 004  7236  7236 E AndroidRuntime: 	at com vinithepooh notifier Ntfcns adapter 1 onClick(Ntfcns adapter java:174)_x000D_
12 12 14:42:13 004  7236  7236 E AndroidRuntime: 	at android view View performClick(View java:6669)_x000D_
12 12 14:42:13 004  7236  7236 E AndroidRuntime: 	at android view View performClickInternal(View java:6638)_x000D_
12 12 14:42:13 004  7236  7236 E AndroidRuntime: 	at android view View access 3100(View java:789)_x000D_
12 12 14:42:13 004  7236  7236 E AndroidRuntime: 	at android view View PerformClick run(View java:26145)_x000D_
12 12 14:42:13 004  7236  7236 E AndroidRuntime: 	at android os Handler handleCallback(Handler java:873)_x000D_
12 12 14:42:13 004  7236  7236 E AndroidRuntime: 	at android os Handler dispatchMessage(Handler java:99)_x000D_
12 12 14:42:13 004  7236  7236 E AndroidRuntime: 	at android os Looper loop(Looper java:193)_x000D_
12 12 14:42:13 004  7236  7236 E AndroidRuntime: 	at android app ActivityThread main(ActivityThread java:6863)_x000D_
12 12 14:42:13 004  7236  7236 E AndroidRuntime: 	at java lang reflect Method invoke(Native Method)_x000D_
12 12 14:42:13 004  7236  7236 E AndroidRuntime: 	at com android internal os RuntimeInit MethodAndArgsCaller run(RuntimeInit java:537)_x000D_
12 12 14:42:13 004  7236  7236 E AndroidRuntime: 	at com android internal os ZygoteInit main(ZygoteInit java:858)_x000D_
   </t>
  </si>
  <si>
    <t>forrestguice-SuntimesWidget-376</t>
  </si>
  <si>
    <t>crash when time zone does not exist</t>
  </si>
  <si>
    <t xml:space="preserve">       Reproduction Steps_x000D_
_x000D_
1  tap  Location  and set a wrong name in setting location dialog_x000D_
2  tap  Update _x000D_
3  tap  set timezone  where the default time zone will be none_x000D_
4  tap  set _x000D_
_x000D_
_x000D_
       Expected Result_x000D_
A dialog with some information that the location is wrong_x000D_
_x000D_
_x000D_
       Actual Result_x000D_
crash  the stack trace is:_x000D_
E AndroidRuntime: FATAL EXCEPTION: main_x000D_
                                                 Process: com forrestguice suntimeswidget  PID: 8615_x000D_
                                                 java lang NullPointerException_x000D_
                                                     at com forrestguice suntimeswidget TimeZoneDialog saveSettings(TimeZoneDialog java:580)_x000D_
                                                     at com forrestguice suntimeswidget TimeZoneDialog 2 onClick(TimeZoneDialog java:151)_x000D_
                                                     at android support v7 app AlertController ButtonHandler handleMessage(AlertController java:161)_x000D_
                                                     at android os Handler dispatchMessage(Handler java:102)_x000D_
                                                     at android os Looper loop(Looper java:136)_x000D_
                                                     at android app ActivityThread main(ActivityThread java:5001)_x000D_
                                                     at java lang reflect Method invokeNative(Native Method)_x000D_
                                                     at java lang reflect Method invoke(Method java:515)_x000D_
                                                     at com android internal os ZygoteInit MethodAndArgsCaller run(ZygoteInit java:785)_x000D_
                                                     at com android internal os ZygoteInit main(ZygoteInit java:601)_x000D_
                                                     at dalvik system NativeStart main(Native Method)_x000D_
_x000D_
       Debug info_x000D_
Android Version   4 4 4_x000D_
</t>
  </si>
  <si>
    <t>bilde2910-Hauk-100</t>
  </si>
  <si>
    <t>Catch large values for duration</t>
  </si>
  <si>
    <t xml:space="preserve">1 5 2 app server_x000D_
_x000D_
Duration 99999999 minutes    Share period is too long _x000D_
_x000D_
Duration 99999999 hours or days      Connection established   but the   Your location share has expired   pops up right away    OK    OK again in the  established  dialogue_x000D_
_x000D_
In the error dialogue do state what are the min max values _x000D_
_x000D_
 _x000D_
And the crashes eg  Duration 9999999999999999999999999 minutes   _x000D_
   _x000D_
12 12:44:38 455  6101  6101 D AndroidRuntime: Shutting down VM_x000D_
12 12 12:44:38 456  6101  6101 E AndroidRuntime: FATAL EXCEPTION: main_x000D_
12 12 12:44:38 456  6101  6101 E AndroidRuntime: Process: info varden hauk  PID: 6101_x000D_
12 12 12:44:38 456  6101  6101 E AndroidRuntime: java lang IllegalStateException: Could not execute method for android:onClick_x000D_
12 12 12:44:38 456  6101  6101 E AndroidRuntime: 	at androidx appcompat app AppCompatViewInflater DeclaredOnClickListener onClick(AppCompatViewInflater java:402)_x000D_
12 12 12:44:38 456  6101  6101 E AndroidRuntime: 	at android view View performClick(Unknown Source:17)_x000D_
12 12 12:44:38 456  6101  6101 E AndroidRuntime: 	at android view View performClickInternal(Unknown Source:3)_x000D_
12 12 12:44:38 456  6101  6101 E AndroidRuntime: 	at android view View access 3500(Unknown Source:0)_x000D_
12 12 12:44:38 456  6101  6101 E AndroidRuntime: 	at android view View PerformClick run(Unknown Source:8)_x000D_
12 12 12:44:38 456  6101  6101 E AndroidRuntime: 	at android os Handler handleCallback(Unknown Source:2)_x000D_
12 12 12:44:38 456  6101  6101 E AndroidRuntime: 	at android os Handler dispatchMessage(Unknown Source:4)_x000D_
12 12 12:44:38 456  6101  6101 E AndroidRuntime: 	at android os Looper loop(Unknown Source:242)_x000D_
12 12 12:44:38 456  6101  6101 E AndroidRuntime: 	at android app ActivityThread main(Unknown Source:98)_x000D_
12 12 12:44:38 456  6101  6101 E AndroidRuntime: 	at java lang reflect Method invoke(Native Method)_x000D_
12 12 12:44:38 456  6101  6101 E AndroidRuntime: 	at com android internal os RuntimeInit MethodAndArgsCaller run(Unknown Source:11)_x000D_
12 12 12:44:38 456  6101  6101 E AndroidRuntime: 	at com android internal os ZygoteInit main(Unknown Source:275)_x000D_
12 12 12:44:38 456  6101  6101 E AndroidRuntime: Caused by: java lang reflect InvocationTargetException_x000D_
12 12 12:44:38 456  6101  6101 E AndroidRuntime: 	at java lang reflect Method invoke(Native Method)_x000D_
12 12 12:44:38 456  6101  6101 E AndroidRuntime: 	at androidx appcompat app AppCompatViewInflater DeclaredOnClickListener onClick(AppCompatViewInflater java:397)_x000D_
12 12 12:44:38 456  6101  6101 E AndroidRuntime: 	    11 more_x000D_
12 12 12:44:38 456  6101  6101 E AndroidRuntime: Caused by: java lang NumberFormatException: For input string:  99999999999999999999999999 _x000D_
12 12 12:44:38 456  6101  6101 E AndroidRuntime: 	at java lang Integer parseInt(Integer java:618)_x000D_
12 12 12:44:38 456  6101  6101 E AndroidRuntime: 	at java lang Integer parseInt(Integer java:650)_x000D_
12 12 12:44:38 456  6101  6101 E AndroidRuntime: 	at info varden hauk ui MainActivity startSharing(MainActivity java:180)_x000D_
12 12 12:44:38 456  6101  6101 E AndroidRuntime: 	    13 more_x000D_
   </t>
  </si>
  <si>
    <t>deltachat-deltachat-android-1158</t>
  </si>
  <si>
    <t>crash after login with nexus4/android kitkat</t>
  </si>
  <si>
    <t xml:space="preserve">the app starts up  shows login dialog  but crashes during config _x000D_
completely reproducible in the android emulator   log (https:  gist github com r10s 059f3dbca6ab087381d05aa56393e652)_x000D_
_x000D_
i am pretty sure  this has worked one or two weeks ago </t>
  </si>
  <si>
    <t>fossasia-phimpme-android-2939</t>
  </si>
  <si>
    <t>Unable to login</t>
  </si>
  <si>
    <t xml:space="preserve">  Describe the bug  _x000D_
     A clear and concise description of what the bug is     _x000D_
I m unable to login to my Twitter account   Pinterest_x000D_
  To Reproduce  _x000D_
Steps to reproduce the behavior:_x000D_
1  Go to  social media section _x000D_
2  Click on  Twitter or Pinterest to login _x000D_
3  See error _x000D_
No account logged in and the app eventually crashes _x000D_
  Expected behavior  _x000D_
     A clear and concise description of what you expected to happen     _x000D_
I should be able to login _x000D_
  Logs  _x000D_
     Please add logs in case of any crash or applicable error     _x000D_
_x000D_
  Screenshots  _x000D_
     If applicable  add screenshots to help explain your problem     _x000D_
  Y4WTMPXE7uMlclspT9 (https:  user images githubusercontent com 34577844 70692508 830b5a00 1ce1 11ea 9f8a d41b68cf2475 gif)_x000D_
_x000D_
  Smartphone Info:  _x000D_
     Please complete the following information    _x000D_
                   _x000D_
                   _x000D_
 Device          Redmi 5A _x000D_
 Android Version Oreo 8 1     _x000D_
_x000D_
  Additional context  _x000D_
     Add any other context about the problem here     _x000D_
_x000D_
  Would you like to work on the issue   _x000D_
     Please let us know if you can work on it or the issue should be assigned to someone else     _x000D_
      Yes_x000D_
      No_x000D_
  Other: _x000D_
</t>
  </si>
  <si>
    <t>k9mail-k-9-4359</t>
  </si>
  <si>
    <t>Attempting to create new identity crashes app</t>
  </si>
  <si>
    <t>K 9 mail configured with single IMAP account with just the default identity   Attempting to add a new identity crashes the app and brings up  K 9 Mail keeps stopping  dialog box _x000D_
_x000D_
    Expected behavior_x000D_
Settings  Account  Sending Mail  Manage Identities  New identity should allow adding a new identity _x000D_
_x000D_
    Actual behavior_x000D_
Click the New Identity button once brings you back to Sending Mail page   Going into  Manage Identities  and clicking new identity again brings up the   K 9 Mail keeps stopping  dialog box _x000D_
_x000D_
    Steps to reproduce_x000D_
See above_x000D_
_x000D_
    Environment_x000D_
K 9 Mail version: 5 701_x000D_
_x000D_
Android version:  10_x000D_
_x000D_
Account type (IMAP  POP3  WebDAV Exchange): IMAP</t>
  </si>
  <si>
    <t>nextcloud-android-4986</t>
  </si>
  <si>
    <t>Crash in background</t>
  </si>
  <si>
    <t xml:space="preserve">    Actual behaviour_x000D_
  Tell us what happens_x000D_
Crash_x000D_
    Expected behaviour_x000D_
  Tell us what should happen_x000D_
Not crash_x000D_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MYXVk8dcIRxfyLmdfqRViQ   base apk   nativeLibraryDirectories   data app com nextcloud client MYXVk8dcIRxfyLmdfqRViQ   lib arm64   data app com nextcloud client MYXVk8dcIRxfyLmdfqRViQ   base apk  lib arm64 v8a   system lib64   vendor lib64  _x000D_
	at dalvik system BaseDexClassLoader findClass(BaseDexClassLoader java:171)_x000D_
	at java lang ClassLoader loadClass(ClassLoader java:379)_x000D_
	at java lang ClassLoader loadClass(ClassLoader java:312)_x000D_
	    8 more_x000D_
_x000D_
             APP INFORMATION             _x000D_
ID: com nextcloud client_x000D_
Version: 30090290_x000D_
Build flavor: gplay_x000D_
_x000D_
             DEVICE INFORMATION             _x000D_
Brand: Xiaomi_x000D_
Device: dipper_x000D_
Model: MI 8_x000D_
Id: PKQ1 180729 001_x000D_
Product: dipper_x000D_
_x000D_
             FIRMWARE             _x000D_
SDK: 28_x000D_
Release: 9_x000D_
Incremental: V11 0 6 0 PEAMIXM_x000D_
</t>
  </si>
  <si>
    <t>nextcloud-android-4985</t>
  </si>
  <si>
    <t xml:space="preserve">Android nextcloud crashing repeatedly </t>
  </si>
  <si>
    <t xml:space="preserve">    Actual behaviour_x000D_
  Tell us what happens_x000D_
Nextcloud client randomly crashes while doing background tasks   I m doing something else  unrelated  and the crash report interrupts what I m doing _x000D_
    Expected behaviour_x000D_
  Tell us what should happen_x000D_
 Nextcloud should do its thing without crashing   _x000D_
    Steps to reproduce_x000D_
1  Install nextcloud client_x000D_
2  Setup sync folders_x000D_
3  Go about your other business_x000D_
_x000D_
_x000D_
    Environment data_x000D_
Android version:_x000D_
9_x000D_
Device model: _x000D_
Moto G6_x000D_
Stock or customized system:_x000D_
Stock_x000D_
Nextcloud app version:_x000D_
3 9 2_x000D_
Nextcloud server version:_x000D_
Don t know  _x000D_
    Logs_x000D_
     Web server error log_x000D_
   _x000D_
Insert your webserver log here_x000D_
   _x000D_
_x000D_
     Nextcloud log (data nextcloud log)_x000D_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java:798)_x000D_
Caused by: java lang SecurityException: Caller no longer running  last stopped  11s458ms because: timed out while starting_x000D_
	at android os Parcel createException(Parcel java:1950)_x000D_
	at android os Parcel readException(Parcel java:1918)_x000D_
	at android os Parcel readException(Parcel java:1868)_x000D_
	at android app job IJobCallback Stub Proxy dequeueWork(IJobCallback java:195)_x000D_
	at android app job JobParameters dequeueWork(JobParameters java:243)_x000D_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Caused by: android os RemoteException: Remote stack trace:_x000D_
	at com android server job JobServiceContext assertCallerLocked(JobServiceContext java:481)_x000D_
	at com android server job JobServiceContext doDequeueWork(JobServiceContext java:359)_x000D_
	at com android server job JobServiceContext JobCallback dequeueWork(JobServiceContext java:160)_x000D_
	at android app job IJobCallback Stub onTransact(IJobCallback java:83)_x000D_
	at android os Binder execTransact(Binder java:746)_x000D_
_x000D_
_x000D_
             APP INFORMATION             _x000D_
ID: com nextcloud client_x000D_
Version: 30090290_x000D_
Build flavor: gplay_x000D_
_x000D_
             DEVICE INFORMATION             _x000D_
Brand: motorola_x000D_
Device: ali_x000D_
Model: moto g(6)_x000D_
Id: PPSS29 118 15 11 2_x000D_
Product: ali_x000D_
_x000D_
             FIRMWARE             _x000D_
SDK: 28_x000D_
Release: 9_x000D_
Incremental: 76e712_x000D_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</si>
  <si>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nextcloud-android-4984</t>
  </si>
  <si>
    <t>app not syncing auto upload folder and crashing sometimes</t>
  </si>
  <si>
    <t xml:space="preserve">    Actual behaviour_x000D_
  Tell us what happens_x000D_
app not syncing auto upload folder and crashing sometimes_x000D_
_x000D_
    Expected behaviour_x000D_
  Tell us what should happen_x000D_
 autosync camera folder_x000D_
    Steps to reproduce_x000D_
1  Open app_x000D_
2  click on folder_x000D_
3      sync now_x000D_
_x000D_
_x000D_
    Environment data_x000D_
Android version: 9_x000D_
_x000D_
Device model: a5y17lte_x000D_
Stock or customized system: ressurection remix 7 0 0_x000D_
_x000D_
Nextcloud app version: 3 9 2_x000D_
_x000D_
Nextcloud server version: 17 0 1_x000D_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CAUSE OF ERROR             _x000D_
_x000D_
android app RemoteServiceException: Context startForegroundService() did not then call Service startForeground(): ServiceRecord 1121196 u0 com nextcloud client com owncloud android services OperationsService _x000D_
	at android app ActivityThread H handleMessage(ActivityThread java:1746)_x000D_
	at android os Handler dispatchMessage(Handler java:106)_x000D_
	at android os Looper loop(Looper java:193)_x000D_
	at android app ActivityThread main(ActivityThread java:6723)_x000D_
	at java lang reflect Method invoke(Native Method)_x000D_
	at com android internal os RuntimeInit MethodAndArgsCaller run(RuntimeInit java:495)_x000D_
	at com android internal os ZygoteInit main(ZygoteInit java:858)_x000D_
_x000D_
             APP INFORMATION             _x000D_
ID: com nextcloud client_x000D_
Version: 30090290_x000D_
Build flavor: gplay_x000D_
_x000D_
             DEVICE INFORMATION             _x000D_
Brand: samsung_x000D_
Device: a5y17lte_x000D_
Model: SM A520F_x000D_
Id: PQ2A 190205 001_x000D_
Product: a5y17ltexx_x000D_
_x000D_
             FIRMWARE             _x000D_
SDK: 28_x000D_
Release: 9_x000D_
Incremental: eng faham 20190210 021912_x000D_
</t>
  </si>
  <si>
    <t>ankidroid-Anki-Android-5654</t>
  </si>
  <si>
    <t>Couldn't mkdirs</t>
  </si>
  <si>
    <t xml:space="preserve">       Reproduction Steps_x000D_
_x000D_
1  Tap  more options _x000D_
2  Tap  restore from backup _x000D_
3  Tap  continue _x000D_
4  select a backup_x000D_
_x000D_
_x000D_
       Expected Result_x000D_
succeed with no error_x000D_
_x000D_
_x000D_
       Actual Result_x000D_
AnkiDroid does not crash  but an error arises_x000D_
E SQLiteDatabase: Couldn t mkdirs  sdcard AnkiDroid tmpzip collection media ad db2_x000D_
_x000D_
_x000D_
       Debug info_x000D_
Refer to the  support page (https:  ankidroid org docs help html) if you are unsure where to get the  debug info  _x000D_
_x000D_
AnkiDroid Version   2 9alpha25_x000D_
_x000D_
Android Version   4 4 4_x000D_
_x000D_
ACRA UUID   aafe0f30 e91d 4478 9f8e 310ab576ea9b_x000D_
_x000D_
       Research_x000D_
 Enter an   x   character to confirm the points below: _x000D_
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t>
  </si>
  <si>
    <t>nextcloud-android-4981</t>
  </si>
  <si>
    <t>OOM crash when browsing pictures.</t>
  </si>
  <si>
    <t xml:space="preserve">My picture collection must be around 40k photos  I was swiping the images  I was just a few pictures in when it crashed </t>
  </si>
  <si>
    <t>nextcloud-android-4972</t>
  </si>
  <si>
    <t>Netxcloud Dev app crashes when trying to open settings</t>
  </si>
  <si>
    <t xml:space="preserve">    Actual behaviour_x000D_
  App crashes when trying to open the settings page  Standard app works fine  Only the Dev version crashes  Tried clearing cache and data with no effect _x000D_
_x000D_
    Expected behaviour_x000D_
  Expecting the settings page to show _x000D_
 _x000D_
    Steps to reproduce_x000D_
1  Open app_x000D_
2  Tap menu icon_x000D_
3  Tap Settings_x000D_
_x000D_
_x000D_
    Environment data_x000D_
Android version:_x000D_
Pie_x000D_
Device model: _x000D_
KLTE TMO_x000D_
Stock or customized system:_x000D_
Lineage ROM_x000D_
Nextcloud app version:_x000D_
_x000D_
Nextcloud server version:_x000D_
15 and 17_x000D_
    Logs_x000D_
     App Crash Report Log_x000D_
             CAUSE OF ERROR             _x000D_
_x000D_
java lang RuntimeException: Unable to start activity ComponentInfo com nextcloud android beta com owncloud android ui activity SettingsActivity : java lang NullPointerException: Attempt to invoke interface method  int java lang CharSequence length()  on a null object reference_x000D_
	at android app ActivityThread performLaunchActivity(ActivityThread java:2951)_x000D_
	at android app ActivityThread handleLaunchActivity(ActivityThread java:3086)_x000D_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java:1816)_x000D_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Caused by: java lang NullPointerException: Attempt to invoke interface method  int java lang CharSequence length()  on a null object reference_x000D_
	at com owncloud android ui activity SettingsActivity setupGeneralCategory(SettingsActivity java:712)_x000D_
	at com owncloud android ui activity SettingsActivity onCreate(SettingsActivity java:168)_x000D_
	at android app Activity performCreate(Activity java:7144)_x000D_
	at android app Activity performCreate(Activity java:7135)_x000D_
	at android app Instrumentation callActivityOnCreate(Instrumentation java:1271)_x000D_
	at android app ActivityThread performLaunchActivity(ActivityThread java:2931)_x000D_
	    11 more_x000D_
_x000D_
             APP INFORMATION             _x000D_
ID: com nextcloud android beta_x000D_
Version: 20191206_x000D_
Build flavor: versionDev_x000D_
_x000D_
             DEVICE INFORMATION             _x000D_
Brand: samsung_x000D_
Device: kltetmo_x000D_
Model: SM G900T_x000D_
Id: PQ3A 190801 002_x000D_
Product: lineage klte_x000D_
_x000D_
             FIRMWARE             _x000D_
SDK: 28_x000D_
Release: 9_x000D_
Incremental: cc929d24cb_x000D_
</t>
  </si>
  <si>
    <t>fossasia-pslab-android-2019</t>
  </si>
  <si>
    <t>Crashing of the App while using the Logged Data</t>
  </si>
  <si>
    <t xml:space="preserve">  Actual Behaviour  _x000D_
On pressing the icon next to the delete option in the logged data(images provided below) the app crashes followed by complete blacking out of the phone screen _x000D_
_x000D_
  Steps to reproduce it  _x000D_
1) Use any of the gadgets present in PSLab such as the oscilloscope or the lux meter _x000D_
2) Record the data observed by the instrument _x000D_
3) Go to the drop down menu and select the logged data option _x000D_
4) Press the icon to the left of the bin delete icon _x000D_
5) The app crashes on doing so _x000D_
_x000D_
  Screenshots of the issue  _x000D_
  Screenshot 2019 12 09 22 38 49 367 io pslab (https:  user images githubusercontent com 58459496 70457215 c1342e00 1ad5 11ea 81bf 5929e7bc3906 jpg)_x000D_
  Screenshot 2019 12 09 22 38 49 367 io pslab 2 (https:  user images githubusercontent com 58459496 70457484 41f32a00 1ad6 11ea 8b23 6b61093e12a8 jpg)_x000D_
  Screenshot 2019 12 09 22 38 20 495 io pslab (https:  user images githubusercontent com 58459496 70457241 cdb88680 1ad5 11ea 9627 daa49c72fddc jpg)_x000D_
  Screenshot 2019 12 09 22 38 28 929 io pslab (https:  user images githubusercontent com 58459496 70457246 d01ae080 1ad5 11ea 9b81 7861c9494e95 jpg)_x000D_
_x000D_
_x000D_
_x000D_
  Would you like to work on the issue   _x000D_
Yes if given the option I would like to work on the problem _x000D_
_x000D_
_x000D_
_x000D_
</t>
  </si>
  <si>
    <t>commons-app-apps-android-commons-3288</t>
  </si>
  <si>
    <t>Crash on image upload</t>
  </si>
  <si>
    <t xml:space="preserve">  Summary:   _x000D_
_x000D_
Some logs has sent from a user  it says during the upload  it crashes _x000D_
_x000D_
  Steps to reproduce:   _x000D_
_x000D_
Try to upload some images  A wild idea this issue should only be reproducible for some android versions  prpobably  11  For our reports they are:  ANDROID VERSION 8 0 0 and 9 _x000D_
_x000D_
  System logs:  _x000D_
_x000D_
   _x000D_
APP VERSION CODE 475_x000D_
APP VERSION NAME 2 11 0_x000D_
ANDROID VERSION 8 0 0_x000D_
STACK TRACE java lang NullPointerException: Attempt to invoke virtual method  android graphics Rect android graphics drawable Drawable getBounds()  on a null object reference_x000D_
at fr free nrw commons upload mediaDetails UploadMediaDetailFragment lambda addEtTitleTouchListener 1 UploadMediaDetailFragment(UploadMediaDetailFragment java:185)_x000D_
at fr free nrw commons upload mediaDetails    Lambda UploadMediaDetailFragment b9r0xnPBA0dlhVOVH D0 KQrnHs onTouch(Unknown Source:2)_x000D_
at android view View dispatchTouchEvent(View java:12539)_x000D_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android view ViewGroup dispatchTransformedTouchEvent(ViewGroup java:3159)_x000D_
at android view ViewGroup dispatchTouchEvent(ViewGroup java:2844)_x000D_
at com android internal policy DecorView superDispatchTouchEvent(DecorView java:601)_x000D_
at com android internal policy PhoneWindow superDispatchTouchEvent(PhoneWindow java:1871)_x000D_
at android app Activity dispatchTouchEvent(Activity java:3384)_x000D_
at androidx appcompat view WindowCallbackWrapper dispatchTouchEvent(WindowCallbackWrapper java:69)_x000D_
at com android internal policy DecorView dispatchTouchEvent(DecorView java:563)_x000D_
at android view View dispatchPointerEvent(View java:12791)_x000D_
at android view ViewRootImpl ViewPostImeInputStage processPointerEvent(ViewRootImpl java:5670)_x000D_
at android view ViewRootImpl ViewPostImeInputStage onProcess(ViewRootImpl java:5465)_x000D_
at android view ViewRootImpl InputStage deliver(ViewRootImpl java:4958)_x000D_
at android view ViewRootImpl InputStage onDeliverToNext(ViewRootImpl java:5011)_x000D_
at android view ViewRootImpl InputStage forward(ViewRootImpl java:4977)_x000D_
at android view ViewRootImpl AsyncInputStage forward(ViewRootImpl java:5114)_x000D_
at android view ViewRootImpl InputStage apply(ViewRootImpl java:4985)_x000D_
at android view ViewRootImpl AsyncInputStage apply(ViewRootImpl java:5171)_x000D_
at android view ViewRootImpl InputStage deliver(ViewRootImpl java:4958)_x000D_
at android view ViewRootImpl InputStage onDeliverToNext(ViewRootImpl java:5011)_x000D_
at android view ViewRootImpl InputStage forward(ViewRootImpl java:4977)_x000D_
at android view ViewRootImpl InputStage apply(ViewRootImpl java:4985)_x000D_
at android view ViewRootImpl InputStage deliver(ViewRootImpl java:4958)_x000D_
at android view ViewRootImpl deliverInputEvent(ViewRootImpl java:7736)_x000D_
at android view ViewRootImpl doProcessInputEvents(ViewRootImpl java:7676)_x000D_
at android view ViewRootImpl enqueueInputEvent(ViewRootImpl java:7637)_x000D_
at android view ViewRootImpl WindowInputEventReceiver onInputEvent(ViewRootImpl java:7847)_x000D_
at android view InputEventReceiver dispatchInputEvent(InputEventReceiver java:197)_x000D_
at android os MessageQueue nativePollOnce(Native Method)_x000D_
at android os MessageQueue next(MessageQueue java:325)_x000D_
at android os Looper loop(Looper java:142)_x000D_
at android app ActivityThread main(ActivityThread java:6944)_x000D_
at java lang reflect Method invoke(Native Method)_x000D_
at com android internal os Zygote MethodAndArgsCaller run(Zygote java:327)_x000D_
at com android internal os ZygoteInit main(ZygoteInit java:1374)_x000D_
   _x000D_
_x000D_
</t>
  </si>
  <si>
    <t>fossasia-pslab-android-2017</t>
  </si>
  <si>
    <t xml:space="preserve">    App crashes when recording oscilloscope_x000D_
_x000D_
    I opened oscilloscope in pslab  _x000D_
_x000D_
  Screenshot 20191209 134848 1 (https:  user images githubusercontent com 39716499 70419491 8c9b8480 1a8b 11ea 8c39 482ee1ebcdc9 png)_x000D_
_x000D_
    And I selected In Built Mic  _x000D_
_x000D_
  Screenshot 20191209 134827 1 (https:  user images githubusercontent com 39716499 70419581 b94f9c00 1a8b 11ea 8459 47a359f4d8de png)_x000D_
_x000D_
    when I try to record it the app crashes  _x000D_
_x000D_
  Screenshot 20191209 134832 1 (https:  user images githubusercontent com 39716499 70419775 2ebb6c80 1a8c 11ea 93cd 7f9d9216d191 png)_x000D_
_x000D_
_x000D_
_x000D_
</t>
  </si>
  <si>
    <t>google-ExoPlayer-6738</t>
  </si>
  <si>
    <t>Getting java.lang.AbstractMethodError: abstract method "void com.google.android.exoplayer2.analytics.AnalyticsListener.onLoadStarted</t>
  </si>
  <si>
    <t xml:space="preserve">I am using exoplayer version 2 10 4 with androidX and gradle version 3 5 3 _x000D_
_x000D_
I am getting runtime crash_x000D_
_x000D_
java lang AbstractMethodError: abstract method  void com google android exoplayer2 analytics AnalyticsListener onLoadStarted(com google android exoplayer2 analytics AnalyticsListener EventTime  com google android exoplayer2 source MediaSourceEventListener LoadEventInfo  com google android exoplayer2 source MediaSourceEventListener MediaLoadData) _x000D_
        at com google android exoplayer2 analytics AnalyticsCollector onLoadStarted(AnalyticsCollector java:364)_x000D_
        at com google android exoplayer2 source MediaSourceEventListener EventDispatcher lambda loadStarted 2 MediaSourceEventListener EventDispatcher(MediaSourceEventListener java:435)_x000D_
        at com google android exoplayer2 source    Lambda MediaSourceEventListener EventDispatcher WQKVpIh5ilpOizOGmbnyUThugMU run(Unknown Source:8)_x000D_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_x000D_
The crash appears after updating the gradle version to 3 5 _x000D_
_x000D_
The flag _x000D_
android enableDexingArtifactTransform false_x000D_
works very well and no runtime error  But without this flag  the app crashes _x000D_
_x000D_
As I observed  the gradle code shrinking tool doesn t work well if the interface has any optional method _x000D_
_x000D_
The proguard as follows_x000D_
 keep class com google android exoplayer2          _x000D_
 keep class androidx core app CoreComponentFactory       _x000D_
_x000D_
Dependencies as follows _x000D_
implementation  com google android exoplayer:exoplayer core: rootProject exoVersion _x000D_
    implementation  com google android exoplayer:exoplayer hls: rootProject exoVersion _x000D_
    implementation  com google android exoplayer:exoplayer dash: rootProject exoVersion _x000D_
    implementation  com google android exoplayer:extension okhttp: rootProject exoOkhttpVersion _x000D_
    compileOnly  org checkerframework:checker qual:2 5 3 _x000D_
    implementation  com google android exoplayer:extension ima: rootProject exoOkhttpVersion _x000D_
    implementation  androidx work:work runtime:2 2 0 _x000D_
    implementation  androidx concurrent:concurrent futures: rootProject concurrentVersion _x000D_
    implementation  androidx localbroadcastmanager:localbroadcastmanager:1 0 0 _x000D_
    implementation  androidx media:media:1 1 0 _x000D_
</t>
  </si>
  <si>
    <t>usabilla-usabilla-u4a-react-native-87</t>
  </si>
  <si>
    <t>Send event after form dismissing crashes then app (iOS)</t>
  </si>
  <si>
    <t xml:space="preserve">How to reproduce: _x000D_
1  Send event (to trigger active form to open)_x000D_
2  Dismiss the form_x000D_
3  Reset campaign data_x000D_
4  Send event again_x000D_
 Then app crashes _x000D_
_x000D_
I tried this with the sample app  _x000D_
_x000D_
Note: This only happens when (active) form was dismissed  </t>
  </si>
  <si>
    <t>libgdx-libgdx-5857</t>
  </si>
  <si>
    <t>IndexOutOfBounds in com.badlogic.gdx.controllers.desktop.ois.OisJoystick.buttonPressed</t>
  </si>
  <si>
    <t xml:space="preserve">see https:  github com libgdx libgdx blob b036f0521c2e98a40fdc44f8224e18534a5a9f75 extensions gdx controllers gdx controllers desktop src com badlogic gdx controllers desktop ois OisJoystick java L52 (plus probably the function following that one) _x000D_
_x000D_
crashes in games like PokeMMO and (according to google) Slay the Spire (found this report when looking for the issue: https:  steamcommunity com app 646570 discussions 1 1751232561619087220 )  when tools like ckb next (required for corsair input devices on linux) or xboxdrv are being used _x000D_
_x000D_
Error message I m getting in PokeMMO:_x000D_
   _x000D_
 ERROR 2019 12 08 18 31 36 CET  LWJGL Application  f Vv:    Fatal render error _x000D_
java lang ArrayIndexOutOfBoundsException: 271_x000D_
        at com badlogic gdx controllers desktop ois OisJoystick buttonPressed(Unknown Source)_x000D_
        at com badlogic gdx controllers desktop ois OisJoystick update(Native Method)_x000D_
        at com badlogic gdx controllers desktop ois OisJoystick update(Unknown Source)_x000D_
        at com badlogic gdx controllers desktop ois Ois update(Unknown Source)_x000D_
        at com badlogic gdx controllers desktop OisControllers 1 run(Unknown Source)_x000D_
        at com badlogic gdx backends lwjgl LwjglApplication executeRunnables(Unknown Source)_x000D_
        at com badlogic gdx backends lwjgl LwjglApplication mainLoop(Unknown Source)_x000D_
        at com badlogic gdx backends lwjgl LwjglApplication 1 run(Unknown Source)_x000D_
   </t>
  </si>
  <si>
    <t>Foodies-cs262-client-57</t>
  </si>
  <si>
    <t>App crushing when navigating from search result</t>
  </si>
  <si>
    <t xml:space="preserve">From the search result page if you use the button on the action bar to navigate back to the app then it will crash  </t>
  </si>
  <si>
    <t>fossasia-open-event-organizer-android-1990</t>
  </si>
  <si>
    <t>App crashes on selecting NAME or TICKET option in CheckIn(Attendees)</t>
  </si>
  <si>
    <t xml:space="preserve">  Describe the bug  _x000D_
App closes suddenly when selecting option Name or Ticket from the menu items(top right corner) in Attendees window _x000D_
  To Reproduce  _x000D_
1 Create a event _x000D_
2  Open the created event _x000D_
3  Select to CHECK IN option(Attendees activity will open up)_x000D_
4  From the top right options Select either Name or Ticket _x000D_
Here  the app crashes _x000D_
_x000D_
  Expected behavior  _x000D_
     A clear and concise description of what you expected to happen     _x000D_
_x000D_
  Logs  _x000D_
     Please add logs in case of any crash or applicable error     _x000D_
_x000D_
  Screenshots  _x000D_
  WhatsApp Image 2019 12 06 at 7 37 36 PM (https:  user images githubusercontent com 48832748 70328993 562df180 1860 11ea 908f 2faf5cc50143 jpeg)_x000D_
_x000D_
_x000D_
  Smartphone Info:  _x000D_
     Please complete the following information    _x000D_
                   _x000D_
                   _x000D_
 Device                e g  Moto G5 Plus      _x000D_
 Android Version       e g  Oreo 8 1          _x000D_
_x000D_
  Additional context  _x000D_
     Add any other context about the problem here     _x000D_
_x000D_
  Would you like to work on the issue   _x000D_
     Please let us know if you can work on it or the issue should be assigned to someone else     _x000D_
   x  Yes_x000D_
      No_x000D_
  Other: _x000D_
</t>
  </si>
  <si>
    <t>nextcloud-android-4955</t>
  </si>
  <si>
    <t>Nextcloud Dev settings crashed</t>
  </si>
  <si>
    <t xml:space="preserve">    Actual behaviour_x000D_
  when i try to open the settings the app crash_x000D_
_x000D_
    Expected behaviour_x000D_
  _x000D_
 _x000D_
    Steps to reproduce_x000D_
1  open the app_x000D_
2  go into settings_x000D_
3  _x000D_
_x000D_
_x000D_
    Environment data_x000D_
Android version: 9_x000D_
_x000D_
Device model: Samsung j5 2016_x000D_
_x000D_
Stock or customized system: LineageOS 16_x000D_
_x000D_
Nextcloud app version: com nextcloud android beta_x000D_
Version: 20191206_x000D_
_x000D_
Nextcloud server version:_x000D_
_x000D_
    Logs_x000D_
     Web server error log_x000D_
   _x000D__x000D_
             CAUSE OF ERROR             _x000D_
_x000D_
java lang RuntimeException: Unable to start activity ComponentInfo com nextcloud android beta com owncloud android ui activity SettingsActivity : java lang ClassCastException: java lang Boolean cannot be cast to java lang String_x000D_
 at android app ActivityThread performLaunchActivity(ActivityThread java:2951)_x000D_
 at android app ActivityThread handleLaunchActivity(ActivityThread java:3086)_x000D_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java:1816)_x000D_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Caused by: java lang ClassCastException: java lang Boolean cannot be cast to java lang String_x000D_
 at android app SharedPreferencesImpl getString(SharedPreferencesImpl java:283)_x000D_
 at android preference Preference getPersistedString(Preference java:1650)_x000D_
 at android preference ListPreference onSetInitialValue(ListPreference java:295)_x000D_
 at android preference Preference dispatchSetInitialValue(Preference java:1560)_x000D_
 at android preference Preference onAttachedToHierarchy(Preference java:1328)_x000D_
 at android preference PreferenceGroup addPreference(PreferenceGroup java:163)_x000D_
 at android preference PreferenceGroup addItemFromInflater(PreferenceGroup java:105)_x000D_
 at android preference PreferenceGroup addItemFromInflater(PreferenceGroup java:42)_x000D_
 at android preference GenericInflater rInflate(GenericInflater java:490)_x000D_
 at android preference GenericInflater rInflate(GenericInflater java:495)_x000D_
 at android preference GenericInflater inflate(GenericInflater java:327)_x000D_
 at android preference GenericInflater inflate(GenericInflater java:264)_x000D_
 at android preference PreferenceManager inflateFromResource(PreferenceManager java:324)_x000D_
 at android preference PreferenceActivity addPreferencesFromResource(PreferenceActivity java:1549)_x000D_
 at com owncloud android ui activity SettingsActivity onCreate(SettingsActivity java:151)_x000D_
 at android app Activity performCreate(Activity java:7144)_x000D_
 at android app Activity performCreate(Activity java:7135)_x000D_
 at android app Instrumentation callActivityOnCreate(Instrumentation java:1271)_x000D_
 at android app ActivityThread performLaunchActivity(ActivityThread java:2931)_x000D_
     11 more_x000D_
_x000D_
             APP INFORMATION             _x000D_
ID: com nextcloud android beta_x000D_
Version: 20191206_x000D_
Build flavor: versionDev_x000D_
_x000D_
             DEVICE INFORMATION             _x000D_
Brand: samsung_x000D_
Device: j5xnlte_x000D_
Model: SM J510FN_x000D_
Id: PQ3A 190801 002_x000D_
Product: lineage j5xnlte_x000D_
_x000D_
             FIRMWARE             _x000D_
SDK: 28_x000D_
Release: 9_x000D_
Incremental: eng exodus 20191113 204659_x000D_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</si>
  <si>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nextcloud-android-4951</t>
  </si>
  <si>
    <t>Mobile app 3.9.0 crashed looking at file details</t>
  </si>
  <si>
    <t xml:space="preserve">    Actual behaviour_x000D_
Android app crashed when chevking file details_x000D_
_x000D_
    Expected behaviour_x000D_
look at details_x000D_
 _x000D_
    Steps to reproduce_x000D_
1  open app_x000D_
2  check file details_x000D_
_x000D_
_x000D_
    Environment data_x000D_
see below for bug output copy pasted on mobile  contact me for more details_x000D_
_x000D_
    Logs_x000D_
     Web server error log_x000D_
   _x000D_
Insert your webserver log here_x000D_
   _x000D_
_x000D_
     Nextcloud log (data nextcloud log)_x000D_
             CAUSE OF ERROR             _x000D_
_x000D_
java lang NullPointerException: Attempt to invoke virtual method  android content res Resources android content Context getResources()  on a null object reference_x000D_
	at com owncloud android utils ThemeUtils primaryColor(ThemeUtils java:139)_x000D_
	at com owncloud android utils ThemeUtils primaryColor(ThemeUtils java:125)_x000D_
	at com owncloud android ui preview PreviewTextFragment getRenderedMarkdownText(PreviewTextFragment java:284)_x000D_
	at com owncloud android ui preview PreviewTextFragment setText(PreviewTextFragment java:562)_x000D_
	at com owncloud android ui preview PreviewTextFragment lambda performSearch 0 PreviewTextFragment(PreviewTextFragment java:270)_x000D_
	at com owncloud android ui preview    Lambda PreviewTextFragment 8cnNMZfHrJC BSC1jdHMw1eFOds run(lambda)_x000D_
	at android os Handler handleCallback(Handler java:739)_x000D_
	at android os Handler dispatchMessage(Handler java:95)_x000D_
	at android os Looper loop(Looper java:158)_x000D_
	at android app ActivityThread main(ActivityThread java:7224)_x000D_
	at java lang reflect Method invoke(Native Method)_x000D_
	at com android internal os ZygoteInit MethodAndArgsCaller run(ZygoteInit java:1230)_x000D_
	at com android internal os ZygoteInit main(ZygoteInit java:1120)_x000D_
_x000D_
             APP INFORMATION             _x000D_
ID: com nextcloud client_x000D_
Version: 30090090_x000D_
Build flavor: gplay_x000D_
_x000D_
             DEVICE INFORMATION             _x000D_
Brand: samsung_x000D_
Device: klteatt_x000D_
Model: SAMSUNG SM G900A_x000D_
Id: MMB29M_x000D_
Product: klteuc_x000D_
_x000D_
             FIRMWARE             _x000D_
SDK: 23_x000D_
Release: 6 0 1_x000D_
Incremental: G900AUCS4DQD1_x000D_
_x000D_
  NOTE:   Be super sure to remove sensitive data like passwords  note that everybody can look here  You can use the Issue Template application to prefill some of the required information: https:  apps nextcloud com apps issuetemplate_x000D_
</t>
  </si>
  <si>
    <t>andOTP-andOTP-437</t>
  </si>
  <si>
    <t>After OS loss, can't enable keystore</t>
  </si>
  <si>
    <t xml:space="preserve">     General information_x000D_
_x000D_
    App version:   0 6 3 1_x000D_
    App source:   F Droid_x000D_
    Android Version:   10 (Pixel 2)_x000D_
    Custom ROM:   No_x000D_
_x000D_
     Expected result_x000D_
  What is expected    _x000D_
_x000D_
Should be able to setdatabase encryption to  Android KeyStore  _x000D_
_x000D_
  What does happen instead   _x000D_
_x000D_
   _x000D_
Encryption key not loaded_x000D_
   _x000D_
_x000D_
message  followed by_x000D_
_x000D_
  _x000D_
Failed to change database encryption _x000D_
falling back to original state _x000D_
   _x000D_
_x000D_
message _x000D_
_x000D_
     Logcat_x000D_
_x000D_
I m not set up to capture logs with ADB _x000D_
_x000D_
     Steps to reproduce_x000D_
 _x000D_
Android crashed and I had to perform a hard reset  so I lost the DB on the device   I do sync exports to desktop when adding new keys  so I had a JSON export to reload  However  for a reason I can t recall (but I  believe  was a similar message)  I was unable to load the JSON into the keystore when I recreated the DB  so I used a pin _x000D_
_x000D_
Now I m unable to change the DB type  which  of course is preventing me from using fingerprint login  I m not having this issue with any other app that uses the fingerprint auth mechanism  e g  Keepass2Android  however  none of those come from F Droid </t>
  </si>
  <si>
    <t>marksuth-indigenous-android-264</t>
  </si>
  <si>
    <t>Check crashes report</t>
  </si>
  <si>
    <t>There are some crashes in some places  let s try and fix them  especially those with the highest impact_x000D_
_x000D_
  security exception getting all accounts_x000D_
  sqlite exception when saving style_x000D_
  A couple of nullpointer exceptions in various places</t>
  </si>
  <si>
    <t>k9mail-k-9-4343</t>
  </si>
  <si>
    <t>A NullPointerException caused by intent handling</t>
  </si>
  <si>
    <t xml:space="preserve">_x000D_
 I noticed a crash in logs in the latest released version 5 7 0 1 _x000D_
Activity: com fsck k9 activity Search_x000D_
_x000D_
    Exception trace:_x000D_
FATAL EXCEPTION: main_x000D_
java lang RuntimeException: Unable to start activity ComponentInfo com fsck k9 com fsck k9 activity Search : java lang NullPointerException: Attempt to invoke interface method  java util Iterator java util Set iterator()  on a null object reference_x000D_
 at android app ActivityThread performLaunchActivity(ActivityThread java:2957)_x000D_
 at android app ActivityThread handleLaunchActivity(ActivityThread java:3032)_x000D_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interface method  java util Iterator java util Set iterator()  on a null object reference_x000D_
 at com fsck k9 search LocalSearch getFolderNames(LocalSearch java:254)_x000D_
 at com fsck k9 activity MessageList decodeExtras(MessageList java:478)_x000D_
 at com fsck k9 activity MessageList onCreate(MessageList java:224)_x000D_
 at android app Activity performCreate(Activity java:7183)_x000D_
 at android app Instrumentation callActivityOnCreate(Instrumentation java:1220)_x000D_
 at android app ActivityThread performLaunchActivity(ActivityThread java:2910)_x000D_
     9 more_x000D_
_x000D_
    Test Case_x000D_
action: android intent action VIEW_x000D_
extra: byteArray  search bytes  new Byte 1 _x000D_
extra: boolean  no threading  false_x000D_
</t>
  </si>
  <si>
    <t>OpenArchive-Save-app-android-173</t>
  </si>
  <si>
    <t>App crashed when adding item to queue that was uploading</t>
  </si>
  <si>
    <t>Phone: Moto G_x000D_
OS: Android 5 1_x000D_
Server: GoodCloud_x000D_
_x000D_
1  Upload 5 files to goodcloud folder_x000D_
2  add 2 files to upload in batch_x000D_
3  one begins to upload_x000D_
4  App crashes_x000D_
_x000D_
Could not reproduce  will add if happens again</t>
  </si>
  <si>
    <t>inaturalist-iNaturalistAndroid-756</t>
  </si>
  <si>
    <t>NullPointerException in ObservationViewerActivity</t>
  </si>
  <si>
    <t xml:space="preserve">https:  console firebase google com u 2 project inaturalist ios crashlytics app android:org inaturalist android issues 5b664c74ccb2ae821ff7d8cc73b54e91 time last seven days sessionId 5DE831170228000113F61176410FFD14 DNE 0 v2_x000D_
_x000D_
New in 1 15 1_x000D_
_x000D_
   _x000D_
Caused by java lang NullPointerException: Attempt to read from field  java lang Integer org inaturalist android Observation id  on a null object reference_x000D_
       at org inaturalist android ObservationViewerActivity refreshActivity(ObservationViewerActivity java:944)_x000D_
       at org inaturalist android ObservationViewerActivity onCreate(ObservationViewerActivity java:663)_x000D_
       at android app Activity performCreate(Activity java:7149)_x000D_
       at android app Activity performCreate(Activity java:7140)_x000D_
       at android app Instrumentation callActivityOnCreate(Instrumentation java:1288)_x000D_
       at android app ActivityThread performLaunchActivity(ActivityThread java:3017)_x000D_
       at android app ActivityThread handleLaunchActivity(ActivityThread java:3172)_x000D_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java:1906)_x000D_
   </t>
  </si>
  <si>
    <t>nextcloud-android-4942</t>
  </si>
  <si>
    <t xml:space="preserve">NexCloud crashed. </t>
  </si>
  <si>
    <t xml:space="preserve">NextCloud app crashed and asked me to leave this here _x000D_
_x000D_
             CAUSE OF ERROR             _x000D_
_x000D_
android app RemoteServiceException: Context startForegroundService() did not then call Service startForeground(): ServiceRecord 6ea255a u0 com nextcloud client com owncloud android services OperationsService _x000D_
	at android app ActivityThread H handleMessage(ActivityThread java:1745)_x000D_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_x000D_
             APP INFORMATION             _x000D_
ID: com nextcloud client_x000D_
Version: 30090090_x000D_
Build flavor: gplay_x000D_
_x000D_
             DEVICE INFORMATION             _x000D_
Brand: Xiaomi_x000D_
Device: markw_x000D_
Model: Redmi 4 Prime_x000D_
Id: PQ3A 190801 002_x000D_
Product: aosp markw_x000D_
_x000D_
             FIRMWARE             _x000D_
SDK: 28_x000D_
Release: 9_x000D_
Incremental: eng granra 20190925 010525_x000D_
</t>
  </si>
  <si>
    <t>onaio-kujaku-326</t>
  </si>
  <si>
    <t>Crashing on Android api &gt; 24 when trying to start MapboxOfflineDownloaderService.</t>
  </si>
  <si>
    <t xml:space="preserve">Hi  I m having this crash in several devices with Android 8:_x000D_
_x000D_
   _x000D_
Fatal Exception: java lang RuntimeException: Error receiving broadcast Intent   act android net conn CONNECTIVITY CHANGE flg 0x4200010 (has extras)   in io ona kujaku receivers KujakuNetworkChangeReceiver 39ceec7_x000D_
       at android app LoadedApk ReceiverDispatcher Args lambda getRunnable 0(LoadedApk java:1401)_x000D_
       at android app    Lambda LoadedApk ReceiverDispatcher Args  BumDX2UKsnxLVrE6UJsJZkotuA run(:2)_x000D_
       at android os Handler handleCallback(Handler java:873)_x000D_
       at android os Handler dispatchMessage(Handler java:99)_x000D_
       at android os Looper loop(Looper java:193)_x000D_
       at android app ActivityThread main(ActivityThread java:6746)_x000D_
       at java lang reflect Method invoke(Method java)_x000D_
       at com android internal os RuntimeInit MethodAndArgsCaller run(RuntimeInit java:493)_x000D_
       at com android internal os ZygoteInit main(ZygoteInit java:858)_x000D_
   _x000D_
   _x000D_
Caused by java lang IllegalStateException: Not allowed to start service Intent   cmp com dhis2 debug io ona kujaku services MapboxOfflineDownloaderService (has extras)  : app is in background uid UidRecord 7159e69 u0a161 TPSL bg: 17m38s556ms idle procs:1 seq(0 0 0) _x000D_
       at android app ContextImpl startServiceCommon(ContextImpl java:1577)_x000D_
       at android app ContextImpl startService(ContextImpl java:1532)_x000D_
       at android content ContextWrapper startService(ContextWrapper java:664)_x000D_
       at io ona kujaku receivers KujakuNetworkChangeReceiver resumeMapDownload(KujakuNetworkChangeReceiver java:40)_x000D_
       at io ona kujaku receivers KujakuNetworkChangeReceiver onReceive(KujakuNetworkChangeReceiver java:33)_x000D_
       at android app LoadedApk ReceiverDispatcher Args lambda getRunnable 0(LoadedApk java:1391)_x000D_
       at android app    Lambda LoadedApk ReceiverDispatcher Args  BumDX2UKsnxLVrE6UJsJZkotuA run(:2)_x000D_
       at android os Handler handleCallback(Handler java:873)_x000D_
       at android os Handler dispatchMessage(Handler java:99)_x000D_
       at android os Looper loop(Looper java:193)_x000D_
       at android app ActivityThread main(ActivityThread java:6746)_x000D_
       at java lang reflect Method invoke(Method java)_x000D_
       at com android internal os RuntimeInit MethodAndArgsCaller run(RuntimeInit java:493)_x000D_
       at com android internal os ZygoteInit main(ZygoteInit java:858)_x000D_
   _x000D_
_x000D_
It is happening when trying to start the MapboxOfflineowloaderService as it is using the  startService instead of  startForegroundService _x000D_
_x000D_
Don t know if I am missing something _x000D_
This is how we init the library:_x000D_
_x000D_
   _x000D_
        KujakuLibrary setEnableMapDownloadResume(true) _x000D_
        KujakuLibrary init(this) _x000D_
   _x000D_
_x000D_
Thank you </t>
  </si>
  <si>
    <t>alipay-SoloPi-120</t>
  </si>
  <si>
    <t>[BUG]录制用例过程中点击“截图断言”或“根据截图点击”时crash</t>
  </si>
  <si>
    <t xml:space="preserve">  Describe the bug         _x000D_
A clear and concise description of what the bug is           _x000D_
_x000D_
  To Reproduce         _x000D_
Steps to reproduce the behavior:         _x000D_
1             pi                              solopi app crash_x000D_
_x000D_
If possible  please use video to reproduce the behavior                  _x000D_
_x000D_
  Error Stack       _x000D_
Error stacks related to this bug  You can find this in   sdcard solopi error  and   sdcard Android data com alipay hulu cache logs                       sdcard solopi error      sdcard Android data com alipay hulu cache logs      _x000D_
   _x000D_
 2019124 0 log (https:  github com alipay SoloPi files 3920884 2019124 0 log)_x000D_
 1575445895359 log (https:  github com alipay SoloPi files 3920891 1575445895359 log)_x000D_
_x000D_
  Screenshots       _x000D_
If applicable  add screenshots to help explain your problem                    _x000D_
_x000D_
  Device Info            Redmi 8A_x000D_
   Manufacturer     :  e g  Huawei  : Redmi_x000D_
   Device   :  e g  Huawei P30 : Redmi 8A_x000D_
   OS     :  e g  Android 9 0 : Android 9_x000D_
   CPU Structure CPU  :  e g  arm64 v8a :  ARMv7 Processor rev 4 (v7l)_x000D_
   SoloPi Version SoloPi    e g  0 9 2 : 0 9 2_x000D_
_x000D_
  Additional context       _x000D_
Add any other context about the problem here              _x000D_
</t>
  </si>
  <si>
    <t>ElderDrivers-EdXposed-402</t>
  </si>
  <si>
    <t>[BUG] modules.list 不存在</t>
  </si>
  <si>
    <t xml:space="preserve">       What happened   _x000D_
xposed       _x000D_
_x000D_
  Xposed     Xposed Module List  _x000D_
_x000D_
     Screenshot allowed_x000D_
_x000D_
  Magisk     Magisk Module List  _x000D_
riru_x000D_
edxp_x000D_
storage redirect_x000D_
     Screenshot allowed_x000D_
_x000D_
  EdXposed Riru   Versions of EdXposed and Riru  _x000D_
_x000D_
EdXposed:4 6 0(4478)_x000D_
_x000D_
Riru:19 5_x000D_
_x000D_
    Logcat Logcat  _x000D_
_x000D_
               log       It can help us to locate issue  must use our logcat module_x000D_
12 21 11:49:43 053   708   708 E EdXposed Bridge: Cannot load any modules because  data user de 0 org meowcat edxposed manager conf modules list was not found_x000D_
12 04 17:32:50 055   951   951 E EdXposed: mmap failed  errno   Permission denied_x000D_
12 04 17:32:50 055   951   951 E EdXposed: cannot hook method_x000D_
12 04 17:32:50 056   951   951 E EdXposed: error when hooking com elderdrivers riru edxp  hooker yahfa StartBootstrapServicesHooker_x000D_
12 04 17:32:50 056   951   951 E EdXposed: java lang RuntimeException: Failed to hook private void com android server SystemServer startBootstrapServices() with public static void com elderdrivers riru edxp  hooker yahfa StartBootstrapServicesHooker hook(java lang Object) throws java lang Throwable_x000D_
12 04 17:32:50 056   951   951 E EdXposed: 	at com elderdrivers riru edxp core yahfa HookMain backupAndHook(HookMain java:136)_x000D_
12 04 17:32:50 056   951   951 E EdXposed: 	at com elderdrivers riru edxp core yahfa HookMain doHookDefault(HookMain java:3097)_x000D_
12 04 17:32:50 056   951   951 E EdXposed: 	at com elderdrivers riru edxp proxy BaseRouter startSystemServerHook(BaseRouter java:134)_x000D_
12 04 17:32:50 056   951   951 E EdXposed: 	at com elderdrivers riru edxp  hooker impl SystemMain afterHookedMethod(SystemMain java:27)_x000D_
12 04 17:32:50 056   951   951 E EdXposed: 	at de robv android xposed XC MethodHook callAfterHookedMethod(XC MethodHook java:68)_x000D_
12 04 17:32:50 056   951   951 E EdXposed: 	at com elderdrivers riru edxp  hooker yahfa SystemMainHooker hook(SystemMainHooker java:25)_x000D_
12 04 17:32:50 056   951   951 E EdXposed: 	at com android server SystemServer createSystemContext(SystemServer java:609)_x000D_
12 04 17:32:50 056   951   951 E EdXposed: 	at com android server SystemServer run(SystemServer java:494)_x000D_
12 04 17:32:50 056   951   951 E EdXposed: 	at com android server SystemServer main(SystemServer java:349)_x000D_
12 04 17:32:50 056   951   951 E EdXposed: 	at java lang reflect Method invoke(Native Method)_x000D_
12 04 17:32:50 056   951   951 E EdXposed: 	at com android internal os RuntimeInit MethodAndArgsCaller run(RuntimeInit java:492)_x000D_
12 04 17:32:50 056   951   951 E EdXposed: 	at com android internal os ZygoteInit main(ZygoteInit java:908)_x000D_
12 04 17:32:52 130   951   951 E EdXposed: mmap failed  errno   Permission denied_x000D_
12 04 17:32:52 130   951   951 E EdXposed: cannot hook method_x000D_
12 04 17:32:52 130   951   951 E EdXposed: error occur when generating dex  dexDir null_x000D_
12 04 17:32:52 130   951   951 E EdXposed: java lang RuntimeException: Failed to hook public java lang ClassLoader android app LoadedApk getClassLoader() with public static java lang Object EdHooker  hook(java lang Object)_x000D_
12 04 17:32:52 130   951   951 E EdXposed: 	at com elderdrivers riru edxp core yahfa HookMain backupAndHook(HookMain java:136)_x000D_
12 04 17:32:52 130   951   951 E EdXposed: 	at com elderdrivers riru edxp yahfa dexmaker DynamicBridge hookMethod(DynamicBridge java:6225)_x000D_
12 04 17:32:52 130   951   951 E EdXposed: 	at com elderdrivers riru edxp yahfa config YahfaHookProvider hookMethod(YahfaHookProvider java:19)_x000D_
12 04 17:32:52 130   951   951 E EdXposed: 	at de robv android xposed XposedBridge hookMethodNative(XposedBridge java:458)_x000D_
12 04 17:32:52 130   951   951 E EdXposed: 	at de robv android xposed XposedBridge hookMethod(XposedBridge java:235)_x000D_
12 04 17:32:52 130   951   951 E EdXposed: 	at de robv android xposed XposedHelpers findAndHookMethod(XposedHelpers java:187)_x000D_
12 04 17:32:52 130   951   951 E EdXposed: 	at com elderdrivers riru edxp  hooker impl LoadedApkCstr afterHookedMethod(LoadedApkCstr java:64)_x000D_
12 04 17:32:52 130   951   951 E EdXposed: 	at de robv android xposed XC MethodHook callAfterHookedMethod(XC MethodHook java:68)_x000D_
12 04 17:32:52 130   951   951 E EdXposed: 	at com elderdrivers riru edxp  hooker yahfa LoadedApkConstructorHooker hook(LoadedApkConstructorHooker java:35)_x000D_
12 04 17:32:52 130   951   951 E EdXposed: 	at android app ActivityThread getPackageInfo(ActivityThread java:2309)_x000D_
12 04 17:32:52 130   951   951 E EdXposed: 	at android app ActivityThread getPackageInfo(ActivityThread java:2252)_x000D_
12 04 17:32:52 130   951   951 E EdXposed: 	at android app ActivityThread getPackageInfo(ActivityThread java:2223)_x000D_
12 04 17:32:52 130   951   951 E EdXposed: 	at android app ContextImpl createPackageContextAsUser(ContextImpl java:2183)_x000D_
12 04 17:32:52 130   951   951 E EdXposed: 	at android app ContextImpl createPackageContext(ContextImpl java:2170)_x000D_
12 04 17:32:52 130   951   951 E EdXposed: 	at android content ContextWrapper createPackageContext(ContextWrapper java:876)_x000D_
12 04 17:32:52 130   951   951 E EdXposed: 	at android app ActivityThread installProvider(ActivityThread java:6942)_x000D_
12 04 17:32:52 130   951   951 E EdXposed: 	at android app ActivityThread installContentProviders(ActivityThread java:6528)_x000D_
12 04 17:32:52 130   951   951 E EdXposed: 	at android app ActivityThread installSystemProviders(ActivityThread java:7169)_x000D_
12 04 17:32:52 130   951   951 E EdXposed: 	at com android server am ActivityManagerService installSystemProviders(ActivityManagerService java:7553)_x000D_
12 04 17:32:52 130   951   951 E EdXposed: 	at com android server SystemServer startOtherServices(SystemServer java:982)_x000D_
12 04 17:32:52 130   951   951 E EdXposed: 	at com android server SystemServer run(SystemServer java:512)_x000D_
12 04 17:32:52 130   951   951 E EdXposed: 	at com android server SystemServer main(SystemServer java:349)_x000D_
12 04 17:32:52 130   951   951 E EdXposed: 	at java lang reflect Method invoke(Native Method)_x000D_
12 04 17:32:52 130   951   951 E EdXposed: 	at com android internal os RuntimeInit MethodAndArgsCaller run(RuntimeInit java:492)_x000D_
12 04 17:32:52 130   951   951 E EdXposed: 	at com android internal os ZygoteInit main(ZygoteInit java:908)_x000D_
          beginning of crash_x000D_
12 04 17:33:21 770   709   709 E EdXposed Bridge: Cannot load any modules because  data user de 0 org meowcat edxposed manager conf modules list was not found_x000D_
12 04 17:33:48 287  9009  9009 I EdXposedManager: ModuleUtil    updating modules list</t>
  </si>
  <si>
    <t>k9mail-k-9-4341</t>
  </si>
  <si>
    <t>Changing theme crashes settings</t>
  </si>
  <si>
    <t xml:space="preserve">    Actual behavior_x000D_
Changing the theme in settings makes the app crash  This was not an issue when implementing  4279  Caused by  4305 _x000D_
_x000D_
    Environment_x000D_
K 9 Mail version: 5 701 SNAPSHOT_x000D_
_x000D_
Android version: LineageOS 16 0 _x000D_
_x000D_
Please take some time to  retrieve logs (https:  github com k9mail k 9 wiki LoggingErrors) and attach them here:_x000D_
_x000D_
   _x000D_
12 04 08:37:55 650  1993  1993 D AndroidRuntime: Shutting down VM_x000D_
12 04 08:37:55 652  1993  1993 E AndroidRuntime: FATAL EXCEPTION: main_x000D_
12 04 08:37:55 652  1993  1993 E AndroidRuntime: Process: com fsck k9 debug  PID: 1993_x000D_
12 04 08:37:55 652  1993  1993 E AndroidRuntime: kotlin UninitializedPropertyAccessException: lateinit property searchPreferenceActionView has not been initialized_x000D_
12 04 08:37:55 652  1993  1993 E AndroidRuntime: 	at com fsck k9 ui settings general GeneralSettingsActivity onSaveInstanceState(GeneralSettingsActivity kt:50)_x000D_
12 04 08:37:55 652  1993  1993 E AndroidRuntime: 	at android app Activity performSaveInstanceState(Activity java:1550)_x000D_
12 04 08:37:55 652  1993  1993 E AndroidRuntime: 	at android app Instrumentation callActivityOnSaveInstanceState(Instrumentation java:1443)_x000D_
12 04 08:37:55 652  1993  1993 E AndroidRuntime: 	at android app ActivityThread callActivityOnSaveInstanceState(ActivityThread java:4848)_x000D_
12 04 08:37:55 652  1993  1993 E AndroidRuntime: 	at android app ActivityThread callActivityOnStop(ActivityThread java:4195)_x000D_
12 04 08:37:55 652  1993  1993 E AndroidRuntime: 	at android app ActivityThread handleRelaunchActivityInner(ActivityThread java:4796)_x000D_
12 04 08:37:55 652  1993  1993 E AndroidRuntime: 	at android app ActivityThread handleRelaunchActivity(ActivityThread java:4732)_x000D_
12 04 08:37:55 652  1993  1993 E AndroidRuntime: 	at android app servertransaction ActivityRelaunchItem execute(ActivityRelaunchItem java:69)_x000D_
12 04 08:37:55 652  1993  1993 E AndroidRuntime: 	at android app servertransaction TransactionExecutor executeCallbacks(TransactionExecutor java:108)_x000D_
12 04 08:37:55 652  1993  1993 E AndroidRuntime: 	at android app servertransaction TransactionExecutor execute(TransactionExecutor java:68)_x000D_
12 04 08:37:55 652  1993  1993 E AndroidRuntime: 	at android app ClientTransactionHandler executeTransaction(ClientTransactionHandler java:55)_x000D_
12 04 08:37:55 652  1993  1993 E AndroidRuntime: 	at android app ActivityThread handleRelaunchActivityLocally(ActivityThread java:4782)_x000D_
12 04 08:37:55 652  1993  1993 E AndroidRuntime: 	at android app ActivityThread access 3200(ActivityThread java:200)_x000D_
12 04 08:37:55 652  1993  1993 E AndroidRuntime: 	at android app ActivityThread H handleMessage(ActivityThread java:1826)_x000D_
12 04 08:37:55 652  1993  1993 E AndroidRuntime: 	at android os Handler dispatchMessage(Handler java:106)_x000D_
12 04 08:37:55 652  1993  1993 E AndroidRuntime: 	at android os Looper loop(Looper java:193)_x000D_
12 04 08:37:55 652  1993  1993 E AndroidRuntime: 	at android app ActivityThread main(ActivityThread java:6718)_x000D_
12 04 08:37:55 652  1993  1993 E AndroidRuntime: 	at java lang reflect Method invoke(Native Method)_x000D_
12 04 08:37:55 652  1993  1993 E AndroidRuntime: 	at com android internal os RuntimeInit MethodAndArgsCaller run(RuntimeInit java:493)_x000D_
12 04 08:37:55 652  1993  1993 E AndroidRuntime: 	at com android internal os ZygoteInit main(ZygoteInit java:858)_x000D_
12 04 08:37:55 657 20235 28140 W ActivityManager:   Force finishing activity com fsck k9 debug com fsck k9 ui settings general GeneralSettingsActivity_x000D_
12 04 08:37:55 665 20235 20336 I ActivityManager: Showing crash dialog for package com fsck k9 debug u0_x000D_
_x000D_
   </t>
  </si>
  <si>
    <t>android-tv-samples-13</t>
  </si>
  <si>
    <t>SettingsExampleFragment.PrefFragment must be a public static class to be  properly recreated from instance state</t>
  </si>
  <si>
    <t xml:space="preserve">Hello _x000D_
_x000D_
I was running the LeanbackShowcase app in an Android 10 (or Q) emulator _x000D_
Suddently when I have clicked on the Settings item  the app just crashed with the following error:_x000D_
_x000D_
   _x000D_
E AndroidRuntime: FATAL EXCEPTION: main_x000D_
    Process: com example android persistence  PID: 15502_x000D_
    java lang RuntimeException: Unable to start activity ComponentInfo com example android persistence androidx leanback leanbackshowcase app settings SettingsExampleActivity : android view InflateException: Binary XML file line  20: Binary XML file line  20: Error inflating class fragment_x000D_
        at android app ActivityThread performLaunchActivity(ActivityThread java:3102)_x000D_
        at android app ActivityThread handleLaunchActivity(ActivityThread java:3237)_x000D_
        at android app servertransaction LaunchActivityItem execute(LaunchActivityItem java:81)_x000D_
        at android app servertransaction TransactionExecutor executeCallbacks(TransactionExecutor java:135)_x000D_
        at android app servertransaction TransactionExecutor execute(TransactionExecutor java:95)_x000D_
        at android app ActivityThread H handleMessage(ActivityThread java:1929)_x000D_
        at android os Handler dispatchMessage(Handler java:106)_x000D_
        at android os Looper loop(Looper java:209)_x000D_
        at android app ActivityThread main(ActivityThread java:7021)_x000D_
        at java lang reflect Method invoke(Native Method)_x000D_
        at com android internal os RuntimeInit MethodAndArgsCaller run(RuntimeInit java:486)_x000D_
        at com android internal os ZygoteInit main(ZygoteInit java:872)_x000D_
     Caused by: android view InflateException: Binary XML file line  20: Binary XML file line  20: Error inflating class fragment_x000D_
     Caused by: android view InflateException: Binary XML file line  20: Error inflating class fragment_x000D_
     Caused by: java lang IllegalStateException: Fragment androidx leanback leanbackshowcase app settings SettingsExampleFragment PrefFragment must be a public static class to be  properly recreated from instance state _x000D_
        at android app BackStackRecord doAddOp(BackStackRecord java:429)_x000D_
        at android app BackStackRecord add(BackStackRecord java:419)_x000D_
        at androidx leanback preference LeanbackSettingsFragment startPreferenceFragment(LeanbackSettingsFragment java:153)_x000D_
        at androidx leanback leanbackshowcase app settings SettingsExampleFragment onPreferenceStartInitialScreen(SettingsExampleFragment java:38)_x000D_
        at androidx leanback preference LeanbackSettingsFragment onViewCreated(LeanbackSettingsFragment java:78)_x000D_
        at android app FragmentManagerImpl ensureInflatedFragmentView(FragmentManager java:1496)_x000D_
        at android app FragmentManagerImpl moveToState(FragmentManager java:1274)_x000D_
        at android app FragmentManagerImpl moveToState(FragmentManager java:1486)_x000D_
        at android app FragmentManagerImpl addFragment(FragmentManager java:1728)_x000D_
        at android app FragmentManagerImpl onCreateView(FragmentManager java:3562)_x000D_
        at android app FragmentController onCreateView(FragmentController java:104)_x000D_
        at android app Activity onCreateView(Activity java:6804)_x000D_
        at android view LayoutInflater tryCreateView(LayoutInflater java:987)_x000D_
        at android view LayoutInflater createViewFromTag(LayoutInflater java:917)_x000D_
        at android view LayoutInflater createViewFromTag(LayoutInflater java:881)_x000D_
        at android view LayoutInflater rInflate(LayoutInflater java:1041)_x000D_
        at android view LayoutInflater rInflateChildren(LayoutInflater java:1002)_x000D_
        at android view LayoutInflater inflate(LayoutInflater java:665)_x000D_
        at android view LayoutInflater inflate(LayoutInflater java:517)_x000D_
        at android view LayoutInflater inflate(LayoutInflater java:464)_x000D_
        at com android internal policy PhoneWindow setContentView(PhoneWindow java:429)_x000D_
        at android app Activity setContentView(Activity java:3238)_x000D_
        at androidx leanback leanbackshowcase app settings SettingsExampleActivity onCreate(SettingsExampleActivity java:28)_x000D_
        at android app Activity performCreate(Activity java:7650)_x000D_
        at android app Activity performCreate(Activity java:7639)_x000D_
        at android app Instrumentation callActivityOnCreate(Instrumentation java:1295)_x000D_
        at android app ActivityThread performLaunchActivity(ActivityThread java:3077)_x000D_
        at android app ActivityThread handleLaunchActivity(ActivityThread java:3237)_x000D_
        at android app servertransaction LaunchActivityItem execute(LaunchActivityItem java:81)_x000D_
        at android app servertransaction TransactionExecutor executeCallbacks(TransactionExecutor java:135)_x000D_
        at android app servertransaction TransactionExecutor execute(TransactionExecutor java:95)_x000D_
        at android app ActivityThread H handleMessage(ActivityThread java:1929)_x000D_
        at android os Handler dispatchMessage(Handler java:106)_x000D_
        at android os Looper loop(Looper java:209)_x000D_
        at android app ActivityThread main(ActivityThread java:7021)_x000D_
        at java lang reflect Method invoke(Native Method)_x000D_
        at com android internal os RuntimeInit MethodAndArgsCaller run(RuntimeInit java:486)_x000D_
        at com android internal os ZygoteInit main(ZygoteInit java:872)_x000D_
   </t>
  </si>
  <si>
    <t>nextcloud-android-4931</t>
  </si>
  <si>
    <t>Huawei p30 work profile - crash</t>
  </si>
  <si>
    <t xml:space="preserve">    Actual behaviour_x000D_
  Tell us what happens_x000D_
I have nextcloud app installed in my android work profile  I launch the app and I insert username and password  After looking for files in the Cloud  it crashes unexpectedly  _x000D_
_x000D_
    Expected behaviour_x000D_
  Tell us what should happen_x000D_
 It should get my files in the Cloud  _x000D_
_x000D_
    Steps to reproduce_x000D_
1  Launch app_x000D_
2  Get access by username and password_x000D_
3  Wait for loading_x000D_
_x000D_
_x000D_
    Environment data_x000D_
Android version: 9 pie_x000D_
_x000D_
Device model: huawei p30_x000D_
_x000D_
Stock or customized system:_x000D_
_x000D_
Nextcloud app version: 3 9 0_x000D_
_x000D_
Nextcloud server version: 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CAUSE OF ERROR             _x000D_
_x000D_
java lang RuntimeException: Error receiving broadcast Intent   act com owncloud android operations RefreshFolderOperation EVENT SINGLE FOLDER CONTENTS SYNCED flg 0x10 pkg com nextcloud client (has extras)   in com owncloud android ui activity FileDisplayActivity SyncBroadcastReceiver 2411b77_x000D_
	at android app LoadedApk ReceiverDispatcher Args lambda getRunnable 0(LoadedApk java:1546)_x000D_
	at android app    Lambda LoadedApk ReceiverDispatcher Args  BumDX2UKsnxLVrE6UJsJZkotuA run(Unknown Source:2)_x000D_
	at android os Handler handleCallback(Handler java:907)_x000D_
	at android os Handler dispatchMessage(Handler java:105)_x000D_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Caused by: java lang SecurityException: Permission Denial: unbroadcastIntent() from pid 3451  uid 1010340 requires android permission BROADCAST STICKY_x000D_
	at android os Parcel createException(Parcel java:1953)_x000D_
	at android os Parcel readException(Parcel java:1921)_x000D_
	at android os Parcel readException(Parcel java:1871)_x000D_
	at android app IActivityManager Stub Proxy unbroadcastIntent(IActivityManager java:3897)_x000D_
	at android app ContextImpl removeStickyBroadcast(ContextImpl java:1556)_x000D_
	at android content ContextWrapper removeStickyBroadcast(ContextWrapper java:588)_x000D_
	at com owncloud android ui activity FileDisplayActivity SyncBroadcastReceiver onReceive(FileDisplayActivity java:1415)_x000D_
	at android app LoadedApk ReceiverDispatcher Args lambda getRunnable 0(LoadedApk java:1533)_x000D_
	    8 more_x000D_
Caused by: android os RemoteException: Remote stack trace:_x000D_
	at com android server am ActivityManagerService unbroadcastIntent(ActivityManagerService java:24004)_x000D_
	at android app IActivityManager Stub onTransact(IActivityManager java:183)_x000D_
	at com android server am ActivityManagerService onTransact(ActivityManagerService java:3654)_x000D_
	at com android server am HwActivityManagerService onTransact(HwActivityManagerService java:609)_x000D_
	at android os Binder execTransact(Binder java:739)_x000D_
_x000D_
_x000D_
             APP INFORMATION             _x000D_
ID: com nextcloud client_x000D_
Version: 30090090_x000D_
Build flavor: gplay_x000D_
_x000D_
             DEVICE INFORMATION             _x000D_
Brand: HUAWEI_x000D_
Device: HWELE_x000D_
Model: ELE L29_x000D_
Id: HUAWEIELE L29_x000D_
Product: ELE L29EEA_x000D_
_x000D_
             FIRMWARE             _x000D_
SDK: 28_x000D_
Release: 9_x000D_
Incremental: 9 1 0 240C431_x000D_
_x000D_
</t>
  </si>
  <si>
    <t>inaturalist-iNaturalistAndroid-755</t>
  </si>
  <si>
    <t>ActivityNotFoundException in ActivityHelper.java</t>
  </si>
  <si>
    <t xml:space="preserve">https:  console firebase google com u 2 project inaturalist ios crashlytics app android:org inaturalist android issues b7d7d7c1bb7af64cfcb1acf2592ff894 time last seven days sessionId 5DE68689034800012FC936ED3AFFF2A4 DNE 0 v2_x000D_
_x000D_
Looks like our attempts to get a browser intent doesn t always result in a usable browser package _x000D_
_x000D_
   _x000D_
Fatal Exception: android content ActivityNotFoundException: No Activity found to handle Intent   act android intent action VIEW dat https:  www inaturalist org     pkg android  _x000D_
       at android app Instrumentation checkStartActivityResult(Instrumentation java:1827)_x000D_
       at android app Instrumentation execStartActivity(Instrumentation java:1536)_x000D_
       at android app Activity startActivityForResult(Activity java:4297)_x000D_
       at androidx fragment app FragmentActivity startActivityForResult(FragmentActivity java:767)_x000D_
       at android app Activity startActivityForResult(Activity java:4255)_x000D_
       at androidx fragment app FragmentActivity startActivityForResult(FragmentActivity java:754)_x000D_
       at android app Activity startActivity(Activity java:4595)_x000D_
       at android app Activity startActivity(Activity java:4562)_x000D_
       at org inaturalist android ActivityHelper openUrlInBrowser(ActivityHelper java:665)_x000D_
       at org inaturalist android ObservationViewerActivity 19 1 onClick(ObservationViewerActivity java:1717)_x000D_
       at org inaturalist android ObservationViewerActivity 19 2 onMenuItemClick(ObservationViewerActivity java:1729)_x000D_
       at android widget PopupMenu 1 onMenuItemSelected(PopupMenu java:107)_x000D_
       at com android internal view menu MenuBuilder dispatchMenuItemSelected(MenuBuilder java:761)_x000D_
       at com android internal view menu MenuItemImpl invoke(MenuItemImpl java:152)_x000D_
       at com android internal view menu MenuBuilder performItemAction(MenuBuilder java:904)_x000D_
       at com android internal view menu MenuBuilder performItemAction(MenuBuilder java:894)_x000D_
       at com android internal view menu MenuPopup onItemClick(MenuPopup java:128)_x000D_
       at android widget AdapterView performItemClick(AdapterView java:310)_x000D_
       at android widget AbsListView performItemClick(AbsListView java:1251)_x000D_
       at android widget AbsListView PerformClick run(AbsListView java:3292)_x000D_
       at android widget AbsListView onTouchUp(AbsListView java:4256)_x000D_
       at android widget AbsListView onTouchEvent(AbsListView java:4008)_x000D_
       at android widget ListView onTouchEvent(ListView java:4403)_x000D_
       at android widget DropDownListView onTouchEvent(DropDownListView java:116)_x000D_
       at android view View dispatchTouchEvent(View java:10097)_x000D_
       at android view ViewGroup dispatchTransformedTouchEvent(ViewGroup java:2626)_x000D_
       at android view ViewGroup dispatchTouchEvent(ViewGroup java:2307)_x000D_
       at android view ViewGroup dispatchTransformedTouchEvent(ViewGroup java:2632)_x000D_
       at android view ViewGroup dispatchTouchEvent(ViewGroup java:2321)_x000D_
       at android view ViewGroup dispatchTransformedTouchEvent(ViewGroup java:2632)_x000D_
       at android view ViewGroup dispatchTouchEvent(ViewGroup java:2321)_x000D_
       at android widget PopupWindow PopupDecorView dispatchTouchEvent(PopupWindow java:2358)_x000D_
       at android view View dispatchPointerEvent(View java:10317)_x000D_
       at android view ViewRootImpl ViewPostImeInputStage processPointerEvent(ViewRootImpl java:4552)_x000D_
       at android view ViewRootImpl ViewPostImeInputStage onProcess(ViewRootImpl java:4390)_x000D_
       at android view ViewRootImpl InputStage deliver(ViewRootImpl java:3898)_x000D_
       at android view ViewRootImpl InputStage onDeliverToNext(ViewRootImpl java:3951)_x000D_
       at android view ViewRootImpl InputStage forward(ViewRootImpl java:3917)_x000D_
       at android view ViewRootImpl AsyncInputStage forward(ViewRootImpl java:4044)_x000D_
       at android view ViewRootImpl InputStage apply(ViewRootImpl java:3925)_x000D_
       at android view ViewRootImpl AsyncInputStage apply(ViewRootImpl java:4101)_x000D_
       at android view ViewRootImpl InputStage deliver(ViewRootImpl java:3898)_x000D_
       at android view ViewRootImpl InputStage onDeliverToNext(ViewRootImpl java:3951)_x000D_
       at android view ViewRootImpl InputStage forward(ViewRootImpl java:3917)_x000D_
       at android view ViewRootImpl InputStage apply(ViewRootImpl java:3925)_x000D_
       at android view ViewRootImpl InputStage deliver(ViewRootImpl java:3898)_x000D_
       at android view ViewRootImpl deliverInputEvent(ViewRootImpl java:6387)_x000D_
       at android view ViewRootImpl doProcessInputEvents(ViewRootImpl java:6361)_x000D_
       at android view ViewRootImpl enqueueInputEvent(ViewRootImpl java:6322)_x000D_
       at android view ViewRootImpl WindowInputEventReceiver onInputEvent(ViewRootImpl java:6499)_x000D_
       at android view InputEventReceiver dispatchInputEvent(InputEventReceiver java:191)_x000D_
       at android os MessageQueue nativePollOnce(MessageQueue java)_x000D_
       at android os MessageQueue next(MessageQueue java:323)_x000D_
       at android os Looper loop(Looper java:136)_x000D_
       at android app ActivityThread main(ActivityThread java:6377)_x000D_
       at java lang reflect Method invoke(Method java)_x000D_
       at com android internal os ZygoteInit MethodAndArgsCaller run(ZygoteInit java:939)_x000D_
       at com android internal os ZygoteInit main(ZygoteInit java:829)_x000D_
   </t>
  </si>
  <si>
    <t>TeamNewPipe-NewPipe-2838</t>
  </si>
  <si>
    <t>Bad behavior when downloading videos through native YouTube app share function</t>
  </si>
  <si>
    <t xml:space="preserve">   x  I carefully read the  contribution guidelines (https:  github com TeamNewPipe NewPipe blob HEAD  github CONTRIBUTING md) and agree to them _x000D_
   x  I checked if the issue feature exists in the latest version _x000D_
It does_x000D_
      I did use the  incredible bugreport to markdown converter (https:  teamnewpipe github io CrashReportToMarkdown ) to paste bug reports _x000D_
It isn t a crash _x000D_
_x000D_
I will post a video since I think it is self explanatory  but I ll summary the few issues _x000D_
_x000D_
https:  streamable com 4jyw7_x000D_
_x000D_
  After selecting a video for download  NewPipe stays opened  frozen  with the youtube screen you had opened (00:23)  You have to manually switch from NewPipe to YouTube again _x000D_
_x000D_
  After downloading a video  when choosing another one  it brings again the latest video you already downloaded instead the one you are fetching  (00:37)  You have to repeat the steps in order to get the actual video you want to download _x000D_
Ironically when you cancel  the floating window disappears correctly (so NewPipe doesn t stay open  frozen) and you can continue to browse YouTube _x000D_
_x000D_
This behavior wasn t present in past versions  I ve been using this feature for as long as I can remember using the app _x000D_
I m using the latest stable version from Github _x000D_
Samsung Galaxy J7 2018 (j737a) with android 8 0</t>
  </si>
  <si>
    <t>nextcloud-android-4914</t>
  </si>
  <si>
    <t>Crash after synchronize folder</t>
  </si>
  <si>
    <t xml:space="preserve">3 4  mp4 (each  100kB) and 2 300  jpg (each a few kB) were in the folder  After sync comoleted  app crashed _x000D_
_x000D_
   _x000D_
             CAUSE OF ERROR             _x000D_
_x000D_
android app RemoteServiceException: Context startForegroundService() did not then call Service startForeground(): ServiceRecord a0740f3 u0 com nextcloud client com owncloud android services OperationsService _x000D_
	at android app ActivityThread H handleMessage(ActivityThread java:1745)_x000D_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_x000D_
             APP INFORMATION             _x000D_
ID: com nextcloud client_x000D_
Version: 30090090_x000D_
Build flavor: generic_x000D_
_x000D_
             DEVICE INFORMATION             _x000D_
Brand: Xiaomi_x000D_
Device: beryllium_x000D_
Model: POCO F1_x000D_
Id: PQ3A 190705 003_x000D_
Product: beryllium_x000D_
_x000D_
             FIRMWARE             _x000D_
SDK: 28_x000D_
Release: 9_x000D_
Incremental: 5d3e3c161a_x000D_
   </t>
  </si>
  <si>
    <t>0us-IE303911-Klubbhuset-145</t>
  </si>
  <si>
    <t>Repair develop</t>
  </si>
  <si>
    <t xml:space="preserve">  Proper response on create new user_x000D_
  App doesn t crash if there are no organizations to load _x000D_
  No longer squeezes the fields when keyboard pops up when creating new account_x000D_
Closes  142 </t>
  </si>
  <si>
    <t>CordelleNeufeld-FitBrosApp-85</t>
  </si>
  <si>
    <t>Fix calculate button to handle no data entry</t>
  </si>
  <si>
    <t xml:space="preserve">The app crashes if calculate button is clicked for BMI   RFA calculators if no data is entered by the user </t>
  </si>
  <si>
    <t>nextcloud-android-4905</t>
  </si>
  <si>
    <t>Illegal argument exception: ActivityRecord not found</t>
  </si>
  <si>
    <t xml:space="preserve">    Actual behaviour_x000D_
  photo upload with large backlog ( 3000 photos) on slow network keeps crashing _x000D_
It starts syncing some files  but every so often crashes _x000D_
_x000D_
    Expected behaviour_x000D_
  no exception raised_x000D_
 _x000D_
    Steps to reproduce_x000D_
1  _x000D_
2  _x000D_
3  _x000D_
_x000D_
_x000D_
    Environment data_x000D_
Android version:_x000D_
 9  kernel 3 18 120_x000D_
_x000D_
Device model: _x000D_
OnePlus3 A3003_x000D_
_x000D_
Stock or customized system:_x000D_
OxygenOS 9 0 5_x000D_
_x000D_
Nextcloud app version:_x000D_
3 9 0_x000D_
_x000D_
Nextcloud server version:_x000D_
 _x000D_
_x000D_
    Logs_x000D_
     Web server error log_x000D_
   _x000D_
Insert your webserver log here_x000D_
   _x000D_
_x000D_
     Nextcloud log (data nextcloud log)_x000D_
   _x000D_
_x000D_
             CAUSE OF ERROR             _x000D_
_x000D_
java lang IllegalArgumentException: reportSizeConfigurations: ActivityRecord not found for: Token 1c1dfab ActivityRecord 2d9ddfa u0 com nextcloud client com owncloud android ui activity UploadListActivity t 1 f  _x000D_
at android os Parcel createException(Parcel java:1954)_x000D_
at android os Parcel readException(Parcel java:1918)_x000D_
at android os Parcel readException(Parcel java:1868)_x000D_
at android app IActivityManager Stub Proxy reportSizeConfigurations(IActivityManager java:8673)_x000D_
at android app ActivityThread reportSizeConfigurations(ActivityThread java:3217)_x000D_
at android app ActivityThread handleLaunchActivity(ActivityThread java:3176)_x000D_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java:1906)_x000D_
at android os Handler dispatchMessage(Handler java:106)_x000D_
at android os Looper loop(Looper java:193)_x000D_
at android app ActivityThread main(ActivityThread java:6863)_x000D_
at java lang reflect Method invoke(Native Method)_x000D_
at com android internal os RuntimeInit MethodAndArgsCaller run(RuntimeInit java:537)_x000D_
at com android internal os ZygoteInit main(ZygoteInit java:858)_x000D_
Caused by: android os RemoteException: Remote stack trace:_x000D_
at com android server am ActivityManagerService reportSizeConfigurations(ActivityManagerService java:9770)_x000D_
at android app IActivityManager Stub onTransact reportSizeConfigurations (IActivityManager java:11382)_x000D_
at android app IActivityManager Stub onTransact(IActivityManager java:2772)_x000D_
at com android server am ActivityManagerService onTransact(ActivityManagerService java:3826)_x000D_
at android os Binder execTransact(Binder java:752)_x000D_
_x000D_
_x000D_
             APP INFORMATION             _x000D_
ID: com nextcloud client_x000D_
Version: 30090090_x000D_
Build flavor: gplay_x000D_
_x000D_
             DEVICE INFORMATION             _x000D_
Brand: OnePlus_x000D_
Device: OnePlus3_x000D_
Model: ONEPLUS A3003_x000D_
Id: PKQ1 181203 001_x000D_
Product: OnePlus3_x000D_
_x000D_
             FIRMWARE             _x000D_
SDK: 28_x000D_
Release: 9_x000D_
Incremental: 1907311932_x000D_
_x000D_
   _x000D_
  NOTE:   Be super sure to remove sensitive data like passwords  note that everybody can look here  You can use the Issue Template application to prefill some of the required information: https:  apps nextcloud com apps issuetemplate_x000D_
</t>
  </si>
  <si>
    <t>commons-app-apps-android-commons-3244</t>
  </si>
  <si>
    <t>All uploads crash in prodRelease, 2.11.0~1c470241e</t>
  </si>
  <si>
    <t xml:space="preserve">  Summary:   _x000D_
_x000D_
When testing prodRelease on current master  all uploads crash as soon as I select the photo to upload_x000D_
_x000D_
  Steps to reproduce:   _x000D_
_x000D_
Clean install app on prodRelease build  select picture to upload_x000D_
_x000D_
  System logs:  _x000D_
_x000D_
   _x000D_
USER COMMENT  upload from Nearby_x000D_
APP VERSION CODE 475_x000D_
APP VERSION NAME 2 11 0_x000D_
ANDROID VERSION 9_x000D_
PHONE MODEL SM G960F_x000D_
STACK TRACE java lang RuntimeException: Unable to start activity ComponentInfo fr free nrw commons fr free nrw commons upload UploadActivity : java lang RuntimeException: Parcel android os Parcel ad06b10: Unmarshalling unknown type code 7077996 at offset 712_x000D_
at android app ActivityThread performLaunchActivity(ActivityThread java:3092)_x000D_
at android app ActivityThread handleLaunchActivity(ActivityThread java:3235)_x000D_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java:1926)_x000D_
at android os Handler dispatchMessage(Handler java:106)_x000D_
at android os Looper loop(Looper java:214)_x000D_
at android app ActivityThread main(ActivityThread java:6986)_x000D_
at java lang reflect Method invoke(Native Method)_x000D_
at com android internal os RuntimeInit MethodAndArgsCaller run(RuntimeInit java:494)_x000D_
at com android internal os ZygoteInit main(ZygoteInit java:1445)_x000D_
Caused by: java lang RuntimeException: Parcel android os Parcel ad06b10: Unmarshalling unknown type code 7077996 at offset 712_x000D_
at android os Parcel readValue(Parcel java:2763)_x000D_
at android os Parcel readArrayMapInternal(Parcel java:3053)_x000D_
at android os BaseBundle initializeFromParcelLocked(BaseBundle java:288)_x000D_
at android os BaseBundle unparcel(BaseBundle java:232)_x000D_
at android os BaseBundle containsKey(BaseBundle java:504)_x000D_
at android content Intent hasExtra(Intent java:7923)_x000D_
at fr free nrw commons upload UploadActivity receiveInternalSharedItems(UploadActivity java:385)_x000D_
at fr free nrw commons upload UploadActivity receiveSharedItems(UploadActivity java:309)_x000D_
at fr free nrw commons upload UploadActivity lambda uFmJNhak7opat5jgMvaezcNPkNM(Unknown Source:0)_x000D_
at fr free nrw commons upload    Lambda UploadActivity uFmJNhak7opat5jgMvaezcNPkNM run(Unknown Source:2)_x000D_
at fr free nrw commons utils PermissionUtils 1 onPermissionGranted(PermissionUtils java:114)_x000D_
at com karumi dexter MultiplePermissionsListenerToPermissionListenerAdapter onPermissionsChecked(Unknown Source:35)_x000D_
at com karumi dexter DexterInstance 1 run(Unknown Source:43)_x000D_
at com karumi dexter MainThread execute(Unknown Source:6)_x000D_
at com karumi dexter DexterInstance checkMultiplePermissions(Unknown Source:56)_x000D_
at com karumi dexter DexterInstance checkPermissions(Unknown Source:0)_x000D_
at com karumi dexter Dexter check(Unknown Source:10)_x000D_
at fr free nrw commons utils PermissionUtils checkPermissionsAndPerformAction(PermissionUtils java:144)_x000D_
at fr free nrw commons utils PermissionUtils checkPermissionsAndPerformAction(PermissionUtils java:82)_x000D_
at fr free nrw commons upload UploadActivity onCreate(UploadActivity java:129)_x000D_
at android app Activity performCreate(Activity java:7326)_x000D_
at android app Activity performCreate(Activity java:7317)_x000D_
at android app Instrumentation callActivityOnCreate(Instrumentation java:1271)_x000D_
at android app ActivityThread performLaunchActivity(ActivityThread java:3072)_x000D_
    11 more_x000D_
_x000D_
IS SILENT false_x000D_
USER EMAIL _x000D_
USER CRASH DATE 2019 11 30T02:53:27 923 10:00_x000D_
REPORT ID 9e27a0c3 bb36 4c0e aa67 00f151b85742_x000D_
   _x000D_
_x000D_
_x000D_
</t>
  </si>
  <si>
    <t>react-native-camera-react-native-camera-2612</t>
  </si>
  <si>
    <t>Hardware issue from customer</t>
  </si>
  <si>
    <t xml:space="preserve">  Question_x000D_
_x000D_
  To Do First  _x000D_
   x  Take a look in the  README (https:  github com react native community react native camera blob master README md)_x000D_
   x  Take a look in the  docs (https:  github com react native community react native camera blob master docs RNCamera md)_x000D_
   x  Take a look in the  QA (https:  github com react native community react native camera blob master docs QA md)_x000D_
_x000D_
  Ask your Question  _x000D_
Hi I m using RNCamera in my product but I m getting hardware errors from my customers in Sentry like this_x000D_
_x000D_
  LegacyExceptionUtils java line 73_x000D_
android hardware camera2 legacy LegacyExceptionUtils throwOnError_x000D_
_x000D_
  Camera2 java line 970_x000D_
com google android cameraview Camera2 chooseOptimalSize_x000D_
_x000D_
My question is: Can RNCamera is cause this issue _x000D_
not every customer has this issue only this devices crashes:_x000D_
SM G930F_x000D_
SM J730F_x000D_
Galaxy Tab A 10 1_x000D_
_x000D_
</t>
  </si>
  <si>
    <t>commons-app-apps-android-commons-3237</t>
  </si>
  <si>
    <t>App crashes if user taps my location button while the map is loading.</t>
  </si>
  <si>
    <t xml:space="preserve">  Summary:   _x000D_
_x000D_
Tap  my location  button while map loading  the app crashes  Reported by  nicolas raoul _x000D_
_x000D_
  Steps to reproduce:   _x000D_
_x000D_
Tap  my location  button while map loading_x000D_
_x000D_
  System logs:  _x000D_
_x000D_
   _x000D_
USER COMMENT tap  my location  button while map loading_x000D_
APP VERSION CODE 500_x000D_
APP VERSION NAME 2 11 0 500_x000D_
ANDROID VERSION 9_x000D_
PHONE MODEL SM G970F_x000D_
STACK TRACE java lang NullPointerException: Attempt to invoke virtual method  long com mapbox mapboxsdk annotations Annotation getId()  on a null object reference_x000D_
at com mapbox mapboxsdk maps AnnotationContainer removeBy(AnnotationContainer java:50)_x000D_
at com mapbox mapboxsdk maps AnnotationManager removeAnnotation(AnnotationManager java:114)_x000D_
at com mapbox mapboxsdk maps MapboxMap removeMarker(MapboxMap java:1039)_x000D_
at fr free nrw commons nearby fragments NearbyMapFragment removeCurrentLocationMarker(NearbyMapFragment java:339)_x000D_
at fr free nrw commons nearby fragments NearbyParentFragment recenterMap(NearbyParentFragment java:835)_x000D_
at fr free nrw commons nearby presenter NearbyParentFragmentPresenter lambda setActionListeners 1 NearbyParentFragmentPresenter(NearbyParentFragmentPresenter java:165)_x000D_
at fr free nrw commons nearby presenter    Lambda NearbyParentFragmentPresenter SsMTyquU  0wTkhYYQ8nWV2foSc onClick(Unknown Source:2)_x000D_
at android view View performClick(View java:7352)_x000D_
at android view View performClickInternal(View java:7318)_x000D_
at android view View access 3200(View java:846)_x000D_
at android view View PerformClick run(View java:27801)_x000D_
at android os Handler handleCallback(Handler java:873)_x000D_
at android os Handler dispatchMessage(Handler java:99)_x000D_
at android os Looper loop(Looper java:214)_x000D_
at android app ActivityThread main(ActivityThread java:7032)_x000D_
at java lang reflect Method invoke(Native Method)_x000D_
at com android internal os RuntimeInit MethodAndArgsCaller run(RuntimeInit java:494)_x000D_
at com android internal os ZygoteInit main(ZygoteInit java:965)_x000D_
_x000D_
IS SILENT false_x000D_
USER EMAIL _x000D_
USER CRASH DATE 2019 11 29T18:20:26 646 09:00_x000D_
REPORT ID cf1a14db 1009 4086 8bd3 b0398e0568e3_x000D_
   _x000D_
_x000D_
  Device and Android version:   _x000D_
ANDROID VERSION 9_x000D_
PHONE MODEL SM G970F_x000D_
_x000D_
  Commons app version:   _x000D_
_x000D_
APP VERSION NAME 2 11 0 500_x000D_
_x000D_
_x000D_
  Would you like to work on the issue   _x000D_
_x000D_
yes_x000D_
</t>
  </si>
  <si>
    <t>commons-app-apps-android-commons-3228</t>
  </si>
  <si>
    <t>App crashes at start on current master, beta debug</t>
  </si>
  <si>
    <t xml:space="preserve">  Summary:   _x000D_
I fetched upstream and app does not start anymore  After being logged in it crashes _x000D_
_x000D_
  Steps to reproduce:   _x000D_
Start the app with current master_x000D_
_x000D_
  System logs:  _x000D_
   _x000D_
2019 11 28 15:11:54 309 31899 31899 fr free nrw commons beta E ACRA: ACRA caught a RuntimeException for fr free nrw commons beta_x000D_
    java lang RuntimeException: Unable to create service fr free nrw commons upload UploadService: java lang IllegalArgumentException: baseUrl must end in  : https:  www  wikidata org_x000D_
        at android app ActivityThread handleCreateService(ActivityThread java:3414)_x000D_
        at android app ActivityThread  wrap4(Unknown Source:0)_x000D_
        at android app ActivityThread H handleMessage(ActivityThread java:1683)_x000D_
        at android os Handler dispatchMessage(Handler java:105)_x000D_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Caused by: java lang IllegalArgumentException: baseUrl must end in  : https:  www  wikidata org_x000D_
        at retrofit2 Retrofit Builder baseUrl(Retrofit java:515)_x000D_
        at retrofit2 Retrofit Builder baseUrl(Retrofit java:458)_x000D_
        at org wikipedia dataclient ServiceFactory createRetrofit(ServiceFactory java:61)_x000D_
        at org wikipedia dataclient ServiceFactory get(ServiceFactory java:39)_x000D_
        at fr free nrw commons di NetworkingModule provideWikidataInterface(NetworkingModule java:216)_x000D_
        at fr free nrw commons di NetworkingModule ProvideWikidataInterfaceFactory proxyProvideWikidataInterface(NetworkingModule ProvideWikidataInterfaceFactory java:35)_x000D_
        at fr free nrw commons di NetworkingModule ProvideWikidataInterfaceFactory get(NetworkingModule ProvideWikidataInterfaceFactory java:24)_x000D_
        at fr free nrw commons di NetworkingModule ProvideWikidataInterfaceFactory get(NetworkingModule ProvideWikidataInterfaceFactory java:10)_x000D_
        at dagger internal DoubleCheck get(DoubleCheck java:47)_x000D_
        at fr free nrw commons wikidata WikidataClient Factory get(WikidataClient Factory java:16)_x000D_
        at fr free nrw commons wikidata WikidataClient Factory get(WikidataClient Factory java:7)_x000D_
        at dagger internal DoubleCheck get(DoubleCheck java:47)_x000D_
        at fr free nrw commons wikidata WikidataEditService Factory get(WikidataEditService Factory java:35)_x000D_
        at fr free nrw commons wikidata WikidataEditService Factory get(WikidataEditService Factory java:9)_x000D_
        at dagger internal DoubleCheck get(DoubleCheck java:47)_x000D_
        at fr free nrw commons di DaggerCommonsApplicationComponent UploadServiceSubcomponentImpl injectUploadService(DaggerCommonsApplicationComponent java:3095)_x000D_
        at fr free nrw commons di DaggerCommonsApplicationComponent UploadServiceSubcomponentImpl inject(DaggerCommonsApplicationComponent java:3090)_x000D_
        at fr free nrw commons di DaggerCommonsApplicationComponent UploadServiceSubcomponentImpl inject(DaggerCommonsApplicationComponent java:3079)_x000D_
        at dagger android DispatchingAndroidInjector maybeInject(DispatchingAndroidInjector java:113)_x000D_
        at dagger android DispatchingAndroidInjector inject(DispatchingAndroidInjector java:134)_x000D_
        at fr free nrw commons di CommonsDaggerService inject(CommonsDaggerService java:28)_x000D_
        at fr free nrw commons di CommonsDaggerService onCreate(CommonsDaggerService java:15)_x000D_
        at fr free nrw commons HandlerService onCreate(HandlerService java:55)_x000D_
        at fr free nrw commons upload UploadService onCreate(UploadService java:119)_x000D_
   _x000D_
_x000D_
  Device and Android version:   _x000D_
_x000D_
API 21 Emulator_x000D_
 _x000D_
  Commons app version:   _x000D_
betaDebug_x000D_
</t>
  </si>
  <si>
    <t>k9mail-k-9-4301</t>
  </si>
  <si>
    <t>Unified folders crash K9</t>
  </si>
  <si>
    <t xml:space="preserve">    Expected behavior_x000D_
Opening the  Spam    any folder in the unified account shows the (spam) folder merged for all accounts in one place _x000D_
_x000D_
    Actual behavior_x000D_
Clicking on  Spam  or any other folder crashes the app  when the unified account is selected _x000D_
_x000D_
    Steps to reproduce_x000D_
1  Switch to the unified account_x000D_
2  Open the drawer_x000D_
3  Click on  Spam  or any other folder_x000D_
_x000D_
    Environment_x000D_
K 9 Mail version:_x000D_
5 700_x000D_
_x000D_
Android version:_x000D_
Android 9_x000D_
_x000D_
   _x000D_
11 28 09:45:08 420 10717 10717 D AndroidRuntime: Shutting down VM_x000D_
11 28 09:45:08 421 10717 10717 E AndroidRuntime: FATAL EXCEPTION: main_x000D_
11 28 09:45:08 421 10717 10717 E AndroidRuntime: Process: com fsck k9  PID: 10717_x000D_
11 28 09:45:08 421 10717 10717 E AndroidRuntime: java lang NullPointerException: Attempt to invoke virtual method  java lang String com fsck k9 Account getUuid()  on a null object reference_x000D_
11 28 09:45:08 421 10717 10717 E AndroidRuntime:        at com fsck k9 activity MessageList openFolder(MessageList java:632)_x000D_
11 28 09:45:08 421 10717 10717 E AndroidRuntime:        at com fsck k9 ui K9Drawer createItemClickListener 1 onItemClick(K9Drawer kt:204)_x000D_
11 28 09:45:08 421 10717 10717 E AndroidRuntime:        at com mikepenz materialdrawer DrawerBuilder 6 onClick(DrawerBuilder java:1786)_x000D_
11 28 09:45:08 421 10717 10717 E AndroidRuntime:        at com mikepenz materialdrawer DrawerBuilder 6 onClick(DrawerBuilder java:1760)_x000D_
11 28 09:45:08 421 10717 10717 E AndroidRuntime:        at com mikepenz fastadapter FastAdapter 1 onClick(FastAdapter java:609)_x000D_
11 28 09:45:08 421 10717 10717 E AndroidRuntime:        at com mikepenz fastadapter utils EventHookUtil 1 onClick(EventHookUtil java:72)_x000D_
11 28 09:45:08 421 10717 10717 E AndroidRuntime:        at android view View performClick(View java:6597)_x000D_
11 28 09:45:08 421 10717 10717 E AndroidRuntime:        at android view View performClickInternal(View java:6574)_x000D_
11 28 09:45:08 421 10717 10717 E AndroidRuntime:        at android view View access 3100(View java:778)_x000D_
11 28 09:45:08 421 10717 10717 E AndroidRuntime:        at android view View PerformClick run(View java:25906)_x000D_
11 28 09:45:08 421 10717 10717 E AndroidRuntime:        at android os Handler handleCallback(Handler java:873)_x000D_
11 28 09:45:08 421 10717 10717 E AndroidRuntime:        at android os Handler dispatchMessage(Handler java:99)_x000D_
11 28 09:45:08 421 10717 10717 E AndroidRuntime:        at android os Looper loop(Looper java:193)_x000D_
11 28 09:45:08 421 10717 10717 E AndroidRuntime:        at android app ActivityThread main(ActivityThread java:6718)_x000D_
11 28 09:45:08 421 10717 10717 E AndroidRuntime:        at java lang reflect Method invoke(Native Method)_x000D_
11 28 09:45:08 421 10717 10717 E AndroidRuntime:        at com android internal os RuntimeInit MethodAndArgsCaller run(RuntimeInit java:493)_x000D_
11 28 09:45:08 421 10717 10717 E AndroidRuntime:        at com android internal os ZygoteInit main(ZygoteInit java:858)_x000D_
11 28 09:45:08 130   908   908 I NotificationService: Cannot find enqueued record for key: 0 com fsck k9 35 null 10194_x000D_
11 28 09:45:08 428   908  2195 W ActivityManager:   Force finishing activity com fsck k9  activity MessageList_x000D_
11 28 09:45:08 435 10717 10717 I Process : Sending signal  PID: 10717 SIG: 9_x000D_
   _x000D_
_x000D_
Edit: I have now discovered that this issue is not restricted to the spam folder and I have changed the text and headline accordingly _x000D_
It is also very inconsistent if the unified folders are shown in the drawer or not </t>
  </si>
  <si>
    <t>0us-IE303911-Klubbhuset-115</t>
  </si>
  <si>
    <t>App: Repair QR-Scanner + styling</t>
  </si>
  <si>
    <t xml:space="preserve">   x  The QR scanner is not working as it should  when a member gets retrieved from server  the app never tries to retrieve another one _x000D_
_x000D_
   x   The QR scanner needs some better styling _x000D_
_x000D_
   x   The QR Scanner crashes when scanning a qr code without token</t>
  </si>
  <si>
    <t>MozillaReality-FirefoxReality-2383</t>
  </si>
  <si>
    <t>IllegalStateException when capturing snapshot</t>
  </si>
  <si>
    <t>This is one of the top crashers in v7 crash stats_x000D_
https:  crash stats mozilla com report index 0451006b 4be4 47c7 97e9 749950191127</t>
  </si>
  <si>
    <t>fieldsight-fieldsight-mobile-495</t>
  </si>
  <si>
    <t>Stops instance-sync-task (#494)</t>
  </si>
  <si>
    <t xml:space="preserve">Closes  494 _x000D_
_x000D_
     _x000D_
Thank you for contributing to FieldSight _x000D_
_x000D_
   _x000D_
_x000D_
     What has been done to verify that this works as intended _x000D_
  Opened Edit and upload screens and it did not crash_x000D_
_x000D_
     Why is this the best possible solution  Were any other approaches considered _x000D_
  We do not use InstanceSyncTask but we would like to extened ODKs screens for upload and edit  _x000D_
So  I just exited (Killed) that task _x000D_
_x000D_
  We could make changes in how InstanceSyncTask work  so that it does not crash or We could remove all the places that InstanceSyncTask is being called but this would require large amount of unneeded changes _x000D_
_x000D_
     How does this change affect users  Describe intentional changes to behavior and behavior that could have accidentally been affected by code changes  In other words  what are the regression risks _x000D_
_x000D_
     Do we need any specific form for testing your changes  If so  please attach one _x000D_
Yes  Instructions are on  494 _x000D_
_x000D_
     Before submitting this PR  please make sure you have:_x000D_
      run    gradlew checkAll  and confirmed all checks still pass OR confirm CircleCI build passes and run    gradlew connectedDebugAndroidTest  locally _x000D_
</t>
  </si>
  <si>
    <t>inaturalist-react-native-inat-camera-30</t>
  </si>
  <si>
    <t>Crash in INatCameraView.onLayout</t>
  </si>
  <si>
    <t xml:space="preserve">There s a crash that has affected 270 users to date (mostly on Samsung Galaxy devices)  The crash log says this is happening in the  INatCameraView onLayout  method _x000D_
_x000D_
Here s the  Logcat file (https:  github com inaturalist react native inat camera files 3894808 logcat 9 txt) for this crash _x000D_
_x000D_
And also  here are a few additional descriptions of the crash from Google Play:_x000D_
_x000D_
   _x000D_
java lang IllegalStateException: Can not perform this action after onSaveInstanceState_x000D_
FATAL EXCEPTION: main_x000D_
Process: org inaturalist seek  PID: 13094_x000D_
   _x000D_
_x000D_
   _x000D_
java lang IllegalStateException: _x000D_
  at android app FragmentManagerImpl checkStateLoss (FragmentManager java:1870)_x000D_
  at android app FragmentManagerImpl enqueueAction (FragmentManager java:1893)_x000D_
  at android app BackStackRecord commitInternal (BackStackRecord java:688)_x000D_
  at android app BackStackRecord commit (BackStackRecord java:646)_x000D_
  at org inaturalist inatcamera nativecamera INatCameraView onLayout (INatCameraView java:144)_x000D_
  at android view View layout (View java:20857)_x000D_
  at android view ViewGroup layout (ViewGroup java:6401)_x000D_
  at com facebook react uimanager NativeViewHierarchyManager updateLayout (NativeViewHierarchyManager java:251)_x000D_
  at com facebook react uimanager NativeViewHierarchyManager updateLayout (NativeViewHierarchyManager java:219)_x000D_
  at com facebook react uimanager UIViewOperationQueue UpdateLayoutOperation execute (UIViewOperationQueue java:154)_x000D_
  at com facebook react uimanager UIViewOperationQueue 1 run (UIViewOperationQueue java:779)_x000D_
  at com facebook react uimanager UIViewOperationQueue flushPendingBatches (UIViewOperationQueue java:888)_x000D_
  at com facebook react uimanager UIViewOperationQueue access 2200 (UIViewOperationQueue java:42)_x000D_
  at com facebook react uimanager UIViewOperationQueue 2 runGuarded (UIViewOperationQueue java:846)_x000D_
  at com facebook react bridge GuardedRunnable run (GuardedRunnable java:29)_x000D_
  at android os Handler handleCallback (Handler java:789)_x000D_
  at android os Handler dispatchMessage (Handler java:98)_x000D_
  at android os Looper loop (Looper java:164)_x000D_
  at android app ActivityThread main (ActivityThread java:6944)_x000D_
  at java lang reflect Method invoke (Native Method)_x000D_
  at com android internal os Zygote MethodAndArgsCaller run (Zygote java:327)_x000D_
  at com android internal os ZygoteInit main (ZygoteInit java:1374)_x000D_
   _x000D_
_x000D_
</t>
  </si>
  <si>
    <t>smartdevicelink-sdl_java_suite-1237</t>
  </si>
  <si>
    <t>Potential NPE in TextAndGraphicManager</t>
  </si>
  <si>
    <t xml:space="preserve">    Bug Report_x000D_
 BaseTextAndGraphicManager  could crash with NPE if the HU sends display capability with no text fields  The manager should handle that correctly because  textFields  is an optional field in the new  WindowCapability _x000D_
_x000D_
      Reproduction Steps_x000D_
1  Update the display capability in HMI and remove all textFields_x000D_
2  Use the  screenManager  to set the text fields_x000D_
_x000D_
      Expected Behavior_x000D_
App should not set the text fields but shouldn t crash_x000D_
_x000D_
      Observed Behavior_x000D_
App crashes with an NPE exception _x000D_
_x000D_
      OS   Version Information_x000D_
  Android Version: 10 0_x000D_
  SDL Android Version: 4 10 1_x000D_
  Testing Against: Core  Generic HMI develop branches _x000D_
</t>
  </si>
  <si>
    <t>opensrp-opensrp-client-giz-malawi-153</t>
  </si>
  <si>
    <t>App crash when click back from Settings</t>
  </si>
  <si>
    <t>App crashes or closes when you click back from Settings after  opening from the All Clients Register</t>
  </si>
  <si>
    <t>nextcloud-android-4888</t>
  </si>
  <si>
    <t>Nextcloud crashes randomly on Android 10</t>
  </si>
  <si>
    <t xml:space="preserve">    Actual behaviour_x000D_
  The app crashes randomly  and also when unlocking an account using 2FA notification method_x000D_
_x000D_
    Expected behaviour_x000D_
  Well  just normally work_x000D_
 _x000D_
    Steps to reproduce_x000D_
1  Log in from another device_x000D_
2  Select notification 2FA methods_x000D_
3  And you get an android pop up warning you that nextcloud crashes _x000D_
_x000D_
_x000D_
    Environment data_x000D_
             APP INFORMATION             _x000D_
ID: com nextcloud client_x000D_
Version: 30090090_x000D_
Build flavor: gplay_x000D_
_x000D_
             DEVICE INFORMATION             _x000D_
Brand: Xiaomi_x000D_
Device: beryllium_x000D_
Model: POCO F1_x000D_
Id: QD1A 190821 014_x000D_
Product: beryllium_x000D_
_x000D_
             FIRMWARE             _x000D_
SDK: 29_x000D_
Release: 10_x000D_
Incremental: eng ninad 20191124 152630_x000D_
_x000D_
Nextcloud server version: 17 0 0 1_x000D_
_x000D_
    Logs_x000D_
     Nextcloud log (data nextcloud log)_x000D_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java:919)_x000D_
Caused by: java lang ClassNotFoundException: com google firebase analytics connector AnalyticsConnector_x000D_
     8 more_x000D_
   _x000D_
</t>
  </si>
  <si>
    <t>deltachat-deltachat-android-1128</t>
  </si>
  <si>
    <t>qr code scanning crashes on 64bit</t>
  </si>
  <si>
    <t xml:space="preserve">scanning any qr code crashes on 64bit android _x000D_
_x000D_
probably an issue somewhere in the wrapper </t>
  </si>
  <si>
    <t>TrackerControl-tracker-control-android-10</t>
  </si>
  <si>
    <t>java.lang.RuntimeException: InputChannel is not initialized.</t>
  </si>
  <si>
    <t xml:space="preserve">There seem to be a weird error within the leading  sometimes leading to the following crashing with the error message in  1 0 0 alpha7 :_x000D_
_x000D_
 java lang RuntimeException: InputChannel is not initialized _x000D_
at android view InputEventReceiver nativeInit(Native Method)_x000D_
at android view InputEventReceiver  init (InputEventReceiver java:71)_x000D_
at android view ViewRootImpl WindowInputEventReceiver  init (ViewRootImpl java:7605)_x000D_
at android view ViewRootImpl setView(ViewRootImpl java:956)_x000D_
at android view WindowManagerGlobal addView(WindowManagerGlobal java:387)_x000D_
at android view WindowManagerImpl addView(WindowManagerImpl java:95)_x000D_
at android app ActivityThread handleResumeActivity(ActivityThread java:4296)_x000D_
at android app servertransaction ResumeActivityItem execute(ResumeActivityItem java:52)_x000D_
at android app servertransaction TransactionExecutor executeLifecycleState(TransactionExecutor java:176)_x000D_
at android app servertransaction TransactionExecutor execute(TransactionExecutor java:97)_x000D_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 _x000D_
_x000D_
This issue is known by Google  but has no fix  see  here (https:  issuetracker google com issues 37018931)  Device restart  might help (https:  stackoverflow com questions 34039657 what might be the reason for this exception java lang runtimeexception inputch) </t>
  </si>
  <si>
    <t>artyomd-Injector-107</t>
  </si>
  <si>
    <t>Not working android version 19</t>
  </si>
  <si>
    <t>Good bug reports include a failing test  Creating a minimal project for reproducing the issue will help us to fix it fast _x000D_
Android kitkat crash when load from dex  Show class not found exception  Other android   19 is working fine  Can you please solved this problem Thanks for awesome library</t>
  </si>
  <si>
    <t>commons-app-apps-android-commons-3217</t>
  </si>
  <si>
    <t>NullPointerException at ContributionsFragment.onAuthCookieAcquire when starting the app after a few hours</t>
  </si>
  <si>
    <t xml:space="preserve">I have noticed this kind of crashes recently:_x000D_
1) Use the app_x000D_
2) Do other things_x000D_
3) The next day  tap the Commons icon to launch it_x000D_
4) Immediate crash_x000D_
_x000D_
   _x000D_
APP VERSION CODE 494_x000D_
APP VERSION NAME 2 11 0 494_x000D_
ANDROID VERSION 9_x000D_
PHONE MODEL SM G970F_x000D_
STACK TRACE java lang RuntimeException: Unable to start activity ComponentInfo fr free nrw commons fr free nrw commons contributions MainActivity : java lang NullPointerException: Attempt to invoke virtual method  android content ComponentName android content Intent getComponent()  on a null object reference_x000D_
at android app ActivityThread performLaunchActivity(ActivityThread java:3107)_x000D_
at android app ActivityThread handleLaunchActivity(ActivityThread java:3250)_x000D_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java:1947)_x000D_
at android os Handler dispatchMessage(Handler java:106)_x000D_
at android os Looper loop(Looper java:214)_x000D_
at android app ActivityThread main(ActivityThread java:7032)_x000D_
at java lang reflect Method invoke(Native Method)_x000D_
at com android internal os RuntimeInit MethodAndArgsCaller run(RuntimeInit java:494)_x000D_
at com android internal os ZygoteInit main(ZygoteInit java:965)_x000D_
Caused by: java lang NullPointerException: Attempt to invoke virtual method  android content ComponentName android content Intent getComponent()  on a null object reference_x000D_
at android app ContextImpl validateServiceIntent(ContextImpl java:1596)_x000D_
at android app ContextImpl bindServiceCommon(ContextImpl java:1752)_x000D_
at android app ContextImpl bindService(ContextImpl java:1701)_x000D_
at android content ContextWrapper bindService(ContextWrapper java:711)_x000D_
at fr free nrw commons contributions ContributionsFragment onAuthCookieAcquire_x000D_
   </t>
  </si>
  <si>
    <t>renyuneyun-Easer-292</t>
  </si>
  <si>
    <t>TCP Trip Event → System.err: android.os.NetworkOnMainThreadException</t>
  </si>
  <si>
    <t xml:space="preserve">  Describe the bug  _x000D_
I have a TCP Trip Event which seems to be crashing Easer 0 7 9  I have configured the event to send the text  fred  to 192 168 0 8 but do not check the reply  Easer then starts crashing and restarting in a loop  I do not have time to stop Easer before it crashes again  I can only get control of Easer again by switching my phone into airplane mode _x000D_
_x000D_
  To Reproduce  _x000D_
Remove and reinstall Easer 0 7 9  Create a TCP Trip Event that depends on the condition that the WiFi is on  Use  adb logcat  to watch the exceptions pass by _x000D_
   _x000D_
11 23 14:59:44 389 16314 16314 V PRETTY LOGGER:   Thread: main_x000D_
11 23 14:59:44 389 16314 16314 V PRETTY LOGGER:                                                                                                                  _x000D_
11 23 14:59:44 389 16314 16314 V PRETTY LOGGER:   w d  (EventLotus java:1)_x000D_
11 23 14:59:44 389 16314 16314 V PRETTY LOGGER:      e a  (TcpTripSlot java:3)_x000D_
11 23 14:59:44 389 16314 16314 V PRETTY LOGGER:                                                                                                                  _x000D_
11 23 14:59:44 389 16314 16314 V PRETTY LOGGER:   sending TCP packet_x000D_
11 23 14:59:44 389 16314 16314 V PRETTY LOGGER:                                                                                                                  _x000D_
11 23 14:59:44 390 16314 16314 W System err: android os NetworkOnMainThreadException_x000D_
11 23 14:59:44 390 16314 16314 W System err: 	at android os StrictMode AndroidBlockGuardPolicy onNetwork(StrictMode java:1513)_x000D_
11 23 14:59:44 390 16314 16314 W System err: 	at java net Inet6AddressImpl lookupHostByName(Inet6AddressImpl java:117)_x000D_
11 23 14:59:44 390 16314 16314 W System err: 	at java net Inet6AddressImpl lookupAllHostAddr(Inet6AddressImpl java:105)_x000D_
11 23 14:59:44 390 16314 16314 W System err: 	at java net InetAddress getByName(InetAddress java:1108)_x000D_
11 23 14:59:44 390 16314 16314 W System err: 	at ryey easer j f h e a(TcpTripSlot java:4)_x000D_
11 23 14:59:44 390 16314 16314 W System err: 	at ryey easer core w d(EventLotus java:1)_x000D_
11 23 14:59:44 390 16314 16314 W System err: 	at ryey easer core x b(Lotus java:2)_x000D_
11 23 14:59:44 390 16314 16314 W System err: 	at ryey easer core EHService c d(EHService java:3)_x000D_
11 23 14:59:44 390 16314 16314 W System err: 	at ryey easer core EHService c(EHService java:16)_x000D_
11 23 14:59:44 390 16314 16314 W System err: 	at ryey easer core EHService b(EHService java:17)_x000D_
11 23 14:59:44 390 16314 16314 W System err: 	at ryey easer core x a(Lotus java:20)_x000D_
11 23 14:59:44 390 16314 16314 W System err: 	at ryey easer core x a(Lotus java:10)_x000D_
11 23 14:59:44 391 16314 16314 W System err: 	at ryey easer core x a(Lotus java:8)_x000D_
11 23 14:59:44 391 16314 16314 W System err: 	at ryey easer core r b(ConditionLotus java:3)_x000D_
11 23 14:59:44 391 16314 16314 W System err: 	at ryey easer core d a(Unknown Source:4)_x000D_
11 23 14:59:44 391 16314 16314 W System err: 	at ryey easer core o b(AsyncHelper java:1)_x000D_
11 23 14:59:44 391 16314 16314 W System err: 	at ryey easer core b call(Unknown Source:4)_x000D_
11 23 14:59:44 391 16314 16314 W System err: 	at ryey easer core p a(AsyncHelper java:5)_x000D_
11 23 14:59:44 391 16314 16314 W System err: 	at ryey easer core o a(AsyncHelper java:6)_x000D_
11 23 14:59:44 391 16314 16314 W System err: 	at ryey easer core r d(ConditionLotus java:1)_x000D_
11 23 14:59:44 391 16314 16314 W System err: 	at ryey easer core x b(Lotus java:2)_x000D_
11 23 14:59:44 391 16314 16314 W System err: 	at ryey easer core EHService c d(EHService java:3)_x000D_
11 23 14:59:44 391 16314 16314 W System err: 	at ryey easer core EHService c(EHService java:16)_x000D_
11 23 14:59:44 391 16314 16314 W System err: 	at ryey easer core EHService c(EHService java:10)_x000D_
11 23 14:59:44 391 16314 16314 W System err: 	at ryey easer core EHService c(EHService java:1)_x000D_
11 23 14:59:44 391 16314 16314 W System err: 	at ryey easer core EHService a a(EHService java:1)_x000D_
11 23 14:59:44 391 16314 16314 W System err: 	at ryey easer core h call(Unknown Source:2)_x000D_
11 23 14:59:44 391 16314 16314 W System err: 	at ryey easer core p a(AsyncHelper java:5)_x000D_
11 23 14:59:44 391 16314 16314 W System err: 	at ryey easer core EHService a onServiceConnected(EHService java:4)_x000D_
11 23 14:59:44 391 16314 16314 W System err: 	at android app LoadedApk ServiceDispatcher doConnected(LoadedApk java:1730)_x000D_
11 23 14:59:44 391 16314 16314 W System err: 	at android app LoadedApk ServiceDispatcher RunConnection run(LoadedApk java:1762)_x000D_
11 23 14:59:44 391 16314 16314 W System err: 	at android os Handler handleCallback(Handler java:873)_x000D_
11 23 14:59:44 391 16314 16314 W System err: 	at android os Handler dispatchMessage(Handler java:99)_x000D_
11 23 14:59:44 391 16314 16314 W System err: 	at android os Looper loop(Looper java:193)_x000D_
11 23 14:59:44 391 16314 16314 W System err: 	at android app ActivityThread main(ActivityThread java:6718)_x000D_
11 23 14:59:44 391 16314 16314 W System err: 	at java lang reflect Method invoke(Native Method)_x000D_
11 23 14:59:44 391 16314 16314 W System err: 	at com android internal os RuntimeInit MethodAndArgsCaller run(RuntimeInit java:493)_x000D_
11 23 14:59:44 391 16314 16314 W System err: 	at com android internal os ZygoteInit main(ZygoteInit java:858)_x000D_
_x000D_
   _x000D_
_x000D_
  Expected behavior  _x000D_
Easer should not crash _x000D_
_x000D_
  Error log:  _x000D_
   _x000D_
BUILD CONFIG:   _x000D_
APP VERSION CODE: 121_x000D_
USER CRASH DATE: 2019 11 23T15:08:45 671 01:00_x000D_
ANDROID VERSION: 9_x000D_
BRAND: HONOR_x000D_
PHONE MODEL: KIW L21_x000D_
PRODUCT: lineage kiwi_x000D_
STACK TRACE: java lang RuntimeException: Error receiving broadcast Intent   act ryey easer triggerlotus action SLOT SATISFIED cat  ryey easer triggerlotus category NOTIFY LOTUS  dat lotus:  144243690 flg 0x10 (has extras)   in ryey easer core x a 6e0bedb_x000D_
	at android app LoadedApk ReceiverDispatcher Args lambda getRunnable 0(LoadedApk java:1401)_x000D_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Caused by: android os NetworkOnMainThreadException_x000D_
	at android os StrictMode AndroidBlockGuardPolicy onNetwork(StrictMode java:1513)_x000D_
	at java net Inet6AddressImpl lookupHostByName(Inet6AddressImpl java:117)_x000D_
	at java net Inet6AddressImpl lookupAllHostAddr(Inet6AddressImpl java:105)_x000D_
	at java net InetAddress getByName(InetAddress java:1108)_x000D_
	at ryey easer j f h e a(TcpTripSlot java:4)_x000D_
	at ryey easer core w d(EventLotus java:1)_x000D_
	at ryey easer core x b(Lotus java:2)_x000D_
	at ryey easer core EHService c d(EHService java:3)_x000D_
	at ryey easer core EHService c(EHService java:16)_x000D_
	at ryey easer core EHService b(EHService java:17)_x000D_
	at ryey easer core x a(Lotus java:20)_x000D_
	at ryey easer core x a(Lotus java:10)_x000D_
	at ryey easer core x a onReceive(Lotus java:3)_x000D_
	at android app LoadedApk ReceiverDispatcher Args lambda getRunnable 0(LoadedApk java:1391)_x000D_
	    8 more_x000D_
android os NetworkOnMainThreadException_x000D_
	at android os StrictMode AndroidBlockGuardPolicy onNetwork(StrictMode java:1513)_x000D_
	at java net Inet6AddressImpl lookupHostByName(Inet6AddressImpl java:117)_x000D_
	at java net Inet6AddressImpl lookupAllHostAddr(Inet6AddressImpl java:105)_x000D_
	at java net InetAddress getByName(InetAddress java:1108)_x000D_
	at ryey easer j f h e a(TcpTripSlot java:4)_x000D_
	at ryey easer core w d(EventLotus java:1)_x000D_
	at ryey easer core x b(Lotus java:2)_x000D_
	at ryey easer core EHService c d(EHService java:3)_x000D_
	at ryey easer core EHService c(EHService java:16)_x000D_
	at ryey easer core EHService b(EHService java:17)_x000D_
	at ryey easer core x a(Lotus java:20)_x000D_
	at ryey easer core x a(Lotus java:10)_x000D_
	at ryey easer core x a onReceive(Lotus java:3)_x000D_
	at android app LoadedApk ReceiverDispatcher Args lambda getRunnable 0(LoadedApk java:1391)_x000D_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_x000D_
_x000D_
   _x000D_
BUILD CONFIG:   _x000D_
APP VERSION CODE: 121_x000D_
USER CRASH DATE: 2019 11 23T15:10:45 898 01:00_x000D_
ANDROID VERSION: 9_x000D_
BRAND: HONOR_x000D_
PHONE MODEL: KIW L21_x000D_
PRODUCT: lineage kiwi_x000D_
STACK TRACE: java lang RuntimeException: Error receiving broadcast Intent   act ryey easer triggerlotus action SLOT SATISFIED cat  ryey easer triggerlotus category NOTIFY LOTUS  dat lotus:  124273151 flg 0x10 (has extras)   in ryey easer core x a 5b9fbcc_x000D_
	at android app LoadedApk ReceiverDispatcher Args lambda getRunnable 0(LoadedApk java:1401)_x000D_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Caused by: android os NetworkOnMainThreadException_x000D_
	at android os StrictMode AndroidBlockGuardPolicy onNetwork(StrictMode java:1513)_x000D_
	at java net AbstractPlainSocketImpl doConnect(AbstractPlainSocketImpl java:389)_x000D_
	at java net AbstractPlainSocketImpl connectToAddress(AbstractPlainSocketImpl java:230)_x000D_
	at java net AbstractPlainSocketImpl connect(AbstractPlainSocketImpl java:212)_x000D_
	at java net SocksSocketImpl connect(SocksSocketImpl java:436)_x000D_
	at java net Socket connect(Socket java:621)_x000D_
	at java net Socket connect(Socket java:570)_x000D_
	at java net Socket  init (Socket java:450)_x000D_
	at java net Socket  init (Socket java:250)_x000D_
	at ryey easer j f h e a(TcpTripSlot java:5)_x000D_
	at ryey easer core w d(EventLotus java:1)_x000D_
	at ryey easer core x b(Lotus java:2)_x000D_
	at ryey easer core EHService c d(EHService java:3)_x000D_
	at ryey easer core EHService c(EHService java:16)_x000D_
	at ryey easer core EHService b(EHService java:17)_x000D_
	at ryey easer core x a(Lotus java:20)_x000D_
	at ryey easer core x a(Lotus java:10)_x000D_
	at ryey easer core x a onReceive(Lotus java:3)_x000D_
	at android app LoadedApk ReceiverDispatcher Args lambda getRunnable 0(LoadedApk java:1391)_x000D_
	    8 more_x000D_
android os NetworkOnMainThreadException_x000D_
	at android os StrictMode AndroidBlockGuardPolicy onNetwork(StrictMode java:1513)_x000D_
	at java net AbstractPlainSocketImpl doConnect(AbstractPlainSocketImpl java:389)_x000D_
	at java net AbstractPlainSocketImpl connectToAddress(AbstractPlainSocketImpl java:230)_x000D_
	at java net AbstractPlainSocketImpl connect(AbstractPlainSocketImpl java:212)_x000D_
	at java net SocksSocketImpl connect(SocksSocketImpl java:436)_x000D_
	at java net Socket connect(Socket java:621)_x000D_
	at java net Socket connect(Socket java:570)_x000D_
	at java net Socket  init (Socket java:450)_x000D_
	at java net Socket  init (Socket java:250)_x000D_
	at ryey easer j f h e a(TcpTripSlot java:5)_x000D_
	at ryey easer core w d(EventLotus java:1)_x000D_
	at ryey easer core x b(Lotus java:2)_x000D_
	at ryey easer core EHService c d(EHService java:3)_x000D_
	at ryey easer core EHService c(EHService java:16)_x000D_
	at ryey easer core EHService b(EHService java:17)_x000D_
	at ryey easer core x a(Lotus java:20)_x000D_
	at ryey easer core x a(Lotus java:10)_x000D_
	at ryey easer core x a onReceive(Lotus java:3)_x000D_
	at android app LoadedApk ReceiverDispatcher Args lambda getRunnable 0(LoadedApk java:1391)_x000D_
	at android app    Lambda LoadedApk ReceiverDispatcher Args  BumDX2UKsnxLVrE6UJsJZkotuA run(Unknown Source:2)_x000D_
	at android os Handler handleCallback(Handler java:873)_x000D_
	at android os Handler dispatchMessage(Handler java:99)_x000D_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_x000D_
  Extra phone info:  _x000D_
   ROM: LineageOS 16 0 20191114 NIGHTLY kiwi_x000D_
   Device Name: KIW L21 (Huawei Honor 5X)_x000D_
_x000D_
  Extra logs (optional):  _x000D_
   _x000D_
1574518170786 2019 11 23 15:09:30 786 ASSERT PRETTY LOGGER       Easer started      _x000D_
1574518170815 2019 11 23 15:09:30 815 DEBUG PRETTY LOGGER queryPlugin size 0_x000D_
1574518176039 2019 11 23 15:09:36 039 ASSERT PRETTY LOGGER       Easer started      _x000D_
1574518177468 2019 11 23 15:09:37 468 ASSERT PRETTY LOGGER       Easer started      _x000D_
1574518177763 2019 11 23 15:09:37 763 INFO PRETTY LOGGER NotificationEventListenerService onCreate()_x000D_
1574518177865 2019 11 23 15:09:37 865 VERBOSE PRETTY LOGGER  EHService  onCreate()_x000D_
1574518178344 2019 11 23 15:09:38 344 INFO PRETTY LOGGER  EHService  created_x000D_
1574518178444 2019 11 23 15:09:38 444 INFO PRETTY LOGGER InterruptionFilterSwitcherService onCreate()_x000D_
1574518178690 2019 11 23 15:09:38 690 DEBUG PRETTY LOGGER  battery power status _x000D_
1574518178706 2019 11 23 15:09:38 706 DEBUG PRETTY LOGGER  battery power status _x000D_
1574518178717 2019 11 23 15:09:38 717 DEBUG PRETTY LOGGER  battery power status _x000D_
1574518178814 2019 11 23 15:09:38 814 DEBUG PRETTY LOGGER  battery power status _x000D_
1574518178830 2019 11 23 15:09:38 830 VERBOSE PRETTY LOGGER ProfileLoaderService onCreate()_x000D_
1574518178838 2019 11 23 15:09:38 838 DEBUG PRETTY LOGGER  RemotePluginCommunicationHelper  begin()_x000D_
1574518178967 2019 11 23 15:09:38 967 DEBUG PRETTY LOGGER SSID:   BSSID: 02:00:00:00:00:00  MAC: 02:00:00:00:00:00  Supplicant state: COMPLETED  RSSI:  52  Link speed: 72Mbps  Frequency: 2422MHz  Net ID: 42  Metered hint: false  score: 60_x000D_
1574518178974 2019 11 23 15:09:38 974 VERBOSE PRETTY LOGGER  EHService   onServiceConnected: ComponentInfo ryey easer ryey easer core ConditionHolderService _x000D_
1574518178979 2019 11 23 15:09:38 979 VERBOSE PRETTY LOGGER  EHService:mSetTriggers  setting triggers_x000D_
1574518179086 2019 11 23 15:09:39 086 DEBUG PRETTY LOGGER  battery power status _x000D_
1574518179107 2019 11 23 15:09:39 107 DEBUG PRETTY LOGGER  battery power status _x000D_
1574518179134 2019 11 23 15:09:39 134 DEBUG PRETTY LOGGER  battery power status _x000D_
1574518179136 2019 11 23 15:09:39 136 VERBOSE PRETTY LOGGER  EHService:mSetTriggers  setting trigger for  at home _x000D_
1574518179143 2019 11 23 15:09:39 143 INFO PRETTY LOGGER Lotus for  at home  satisfied_x000D_
1574518179262 2019 11 23 15:09:39 262 VERBOSE PRETTY LOGGER sending TCP packet_x000D_
1574518179289 2019 11 23 15:09:39 289 VERBOSE PRETTY LOGGER  EHService:mSetTriggers  trigger for script node  at home  is set_x000D_
1574518179290 2019 11 23 15:09:39 290 DEBUG PRETTY LOGGER  EHService:mSetTriggers  triggers have been set_x000D_
1574518179291 2019 11 23 15:09:39 291 VERBOSE PRETTY LOGGER  EHService   onServiceConnected: ComponentInfo ryey easer ryey easer core ProfileLoaderService _x000D_
1574518179314 2019 11 23 15:09:39 314 INFO PRETTY LOGGER Lotus for  at home  satisfied_x000D_
1574518179321 2019 11 23 15:09:39 321 VERBOSE PRETTY LOGGER sending TCP packet_x000D_
1574518181153 2019 11 23 15:09:41 153 ASSERT PRETTY LOGGER       Easer started      _x000D_
1574518181458 2019 11 23 15:09:41 458 DEBUG PRETTY LOGGER queryPlugin size 0_x000D_
   _x000D_
_x000D_
  Additional context  _x000D_
   _x000D_
kiwi: sdcard logger error   sort      uniq  c   sort  n_x000D_
      1 STACK TRACE: java lang RuntimeException: Error receiving broadcast Intent   act ryey easer triggerlotus action SLOT SATISFIED cat  ryey easer triggerlotus category NOTIFY LOTUS  dat lotus:  124273151 flg 0x10 (has extras)   in ryey easer core x a 5b9fbcc_x000D_
      1 STACK TRACE: java lang RuntimeException: Error receiving broadcast Intent   act ryey easer triggerlotus action SLOT SATISFIED cat  ryey easer triggerlotus category NOTIFY LOTUS  dat lotus:  144243690 flg 0x10 (has extras)   in ryey easer core x a 6e0bedb_x000D_
      1 STACK TRACE: java lang RuntimeException: Error receiving broadcast Intent   act ryey easer triggerlotus action SLOT SATISFIED cat  ryey easer triggerlotus category NOTIFY LOTUS  dat lotus:  185138971 flg 0x10 (has extras)   in ryey easer core x a a7108b8_x000D_
      1 USER CRASH DATE: 2019 11 23T15:08:45 671 01:00_x000D_
      1 USER CRASH DATE: 2019 11 23T15:09:09 978 01:00_x000D_
      1 USER CRASH DATE: 2019 11 23T15:09:30 565 01:00_x000D_
      1 USER CRASH DATE: 2019 11 23T15:09:49 733 01:00_x000D_
      1 USER CRASH DATE: 2019 11 23T15:09:57 179 01:00_x000D_
      1 USER CRASH DATE: 2019 11 23T15:10:01 211 01:00_x000D_
      1 USER CRASH DATE: 2019 11 23T15:10:08 197 01:00_x000D_
      1 USER CRASH DATE: 2019 11 23T15:10:27 154 01:00_x000D_
      1 USER CRASH DATE: 2019 11 23T15:10:35 175 01:00_x000D_
      1 USER CRASH DATE: 2019 11 23T15:10:38 397 01:00_x000D_
      1 USER CRASH DATE: 2019 11 23T15:10:41 560 01:00_x000D_
      1 USER CRASH DATE: 2019 11 23T15:10:45 898 01:00_x000D_
      2 	at java net Inet6AddressImpl lookupAllHostAddr(Inet6AddressImpl java:105)_x000D_
      2 	at java net Inet6AddressImpl lookupHostByName(Inet6AddressImpl java:117)_x000D_
      2 	at java net InetAddress getByName(InetAddress java:1108)_x000D_
      2 	at ryey easer j f h e a(TcpTripSlot java:4)_x000D_
      2 STACK TRACE: java lang RuntimeException: Error receiving broadcast Intent   act ryey easer triggerlotus action SLOT SATISFIED cat  ryey easer triggerlotus category NOTIFY LOTUS  dat lotus:  106081966 flg 0x10 (has extras)   in ryey easer core x a b01944f_x000D_
      2 STACK TRACE: java lang RuntimeException: Error receiving broadcast Intent   act ryey easer triggerlotus action SLOT SATISFIED cat  ryey easer triggerlotus category NOTIFY LOTUS  dat lotus:  216716306 flg 0x10 (has extras)   in ryey easer core x a 485f7e3_x000D_
      5 STACK TRACE: java lang RuntimeException: Error receiving broadcast Intent   act ryey easer triggerlotus action SLOT SATISFIED cat  ryey easer triggerlotus category NOTIFY LOTUS  dat lotus:  251029468 flg 0x10 (has extras)   in ryey easer core x a 2b770e5_x000D_
     12 _x000D_
     12 	    8 more_x000D_
     12 	at android app LoadedApk ReceiverDispatcher Args lambda getRunnable 0(LoadedApk java:1401)_x000D_
     12 ANDROID VERSION: 9_x000D_
     12 APP VERSION CODE: 121_x000D_
     12 BRAND: HONOR_x000D_
     12 BUILD CONFIG:   _x000D_
     12 Caused by: android os NetworkOnMainThreadException_x000D_
     12 PHONE MODEL: KIW L21_x000D_
     12 PRODUCT: lineage kiwi_x000D_
     12 android os NetworkOnMainThreadException_x000D_
     22 	at java net AbstractPlainSocketImpl connect(AbstractPlainSocketImpl java:212)_x000D_
     22 	at java net AbstractPlainSocketImpl connectToAddress(AbstractPlainSocketImpl java:230)_x000D_
     22 	at java net AbstractPlainSocketImpl doConnect(AbstractPlainSocketImpl java:389)_x000D_
     22 	at java net Socket  init (Socket java:250)_x000D_
     22 	at java net Socket  init (Socket java:450)_x000D_
     22 	at java net Socket connect(Socket java:570)_x000D_
     22 	at java net Socket connect(Socket java:621)_x000D_
     22 	at java net SocksSocketImpl connect(SocksSocketImpl java:436)_x000D_
     22 	at ryey easer j f h e a(TcpTripSlot java:5)_x000D_
     24 	at android app    Lambda LoadedApk ReceiverDispatcher Args  BumDX2UKsnxLVrE6UJsJZkotuA run(Unknown Source:2)_x000D_
     24 	at android app ActivityThread main(ActivityThread java:6718)_x000D_
     24 	at android app LoadedApk ReceiverDispatcher Args lambda getRunnable 0(LoadedApk java:1391)_x000D_
     24 	at android os Handler dispatchMessage(Handler java:99)_x000D_
     24 	at android os Handler handleCallback(Handler java:873)_x000D_
     24 	at android os Looper loop(Looper java:193)_x000D_
     24 	at android os StrictMode AndroidBlockGuardPolicy onNetwork(StrictMode java:1513)_x000D_
     24 	at com android internal os RuntimeInit MethodAndArgsCaller run(RuntimeInit java:493)_x000D_
     24 	at com android internal os ZygoteInit main(ZygoteInit java:858)_x000D_
     24 	at java lang reflect Method invoke(Native Method)_x000D_
     24 	at ryey easer core EHService c d(EHService java:3)_x000D_
     24 	at ryey easer core EHService b(EHService java:17)_x000D_
     24 	at ryey easer core EHService c(EHService java:16)_x000D_
     24 	at ryey easer core w d(EventLotus java:1)_x000D_
     24 	at ryey easer core x a onReceive(Lotus java:3)_x000D_
     24 	at ryey easer core x a(Lotus java:10)_x000D_
     24 	at ryey easer core x a(Lotus java:20)_x000D_
     24 	at ryey easer core x b(Lotus java:2)_x000D_
   </t>
  </si>
  <si>
    <t>nextcloud-android-4877</t>
  </si>
  <si>
    <t>Crash application</t>
  </si>
  <si>
    <t xml:space="preserve">    Actual behaviour_x000D_
  The application crashed while running in a background  _x000D_
_x000D_
    Expected behaviour_x000D_
  It should not have any issues with connection to Firebase (due to log data) and should work as usual_x000D_
 _x000D_
    Steps to reproduce_x000D_
I don t know exact reason of this crash  but it probably was_x000D_
0  Install Android app  just use it  nothing special_x000D_
1  Install Ubuntu desktop client  log in onto it  synchronize your files_x000D_
2  Unlock your phone (the app just ran in a background  it was NOT opened)_x000D_
3  See this error _x000D_
_x000D_
    Logs_x000D_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nG9XDiE0GYrZMU00edbFWQ   base apk   nativeLibraryDirectories   data app com nextcloud client nG9XDiE0GYrZMU00edbFWQ   lib arm64   data app com nextcloud client nG9XDiE0GYrZMU00edbFWQ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30090090_x000D_
Build flavor: gplay_x000D_
_x000D_
             DEVICE INFORMATION             _x000D_
Brand: samsung_x000D_
Device: beyond2q_x000D_
Model: SM G9750_x000D_
Id: PPR1 180610 011_x000D_
Product: beyond2qltezh_x000D_
_x000D_
             FIRMWARE             _x000D_
SDK: 28_x000D_
Release: 9_x000D_
Incremental: G9750ZHS2ASJU_x000D_
_x000D_
     Nextcloud log (data nextcloud log)_x000D_
_x000D_
   _x000D_
no nextcloud log in data and any subfllder of com nextcloud client_x000D_
   _x000D_
  NOTE:   Be super sure to remove sensitive data like passwords  note that everybody can look here  You can use the Issue Template application to prefill some of the required information: https:  apps nextcloud com apps issuetemplate_x000D_
</t>
  </si>
  <si>
    <t>Lindronics-flir_app-2</t>
  </si>
  <si>
    <t>Crash in Android emulator</t>
  </si>
  <si>
    <t xml:space="preserve">The application crashes upon startup in the Android emulator _x000D_
USB debugging seems fine </t>
  </si>
  <si>
    <t>react-native-svg-react-native-svg-1201</t>
  </si>
  <si>
    <t>iOS crashes when offset is set to a large number</t>
  </si>
  <si>
    <t xml:space="preserve">I ve experienced this by accidentally setting the value of the  offset  property to  750   and the iOS app would just crash _x000D_
_x000D_
   ts_x000D_
 LinearGradient id  gradient2  _x000D_
   Stop offset  50   stopColor  stepThree    _x000D_
   Stop offset  750   stopColor  stepFour    _x000D_
  LinearGradient _x000D_
   _x000D_
_x000D_
While the value in question is something that would probably never be used for the  offset  I still believe that it should not hard crash the app _x000D_
_x000D_
p s _x000D_
I ve used the  LinearGradient  in combination with a  Circle _x000D_
   ts_x000D_
 Circle_x000D_
  r  circleDiameter _x000D_
  strokeWidth  strokeWidth _x000D_
  strokeDasharray  45 200 _x000D_
  strokeDashoffset   55 _x000D_
  transform    rotation: 63   _x000D_
  fill  none _x000D_
  stroke  url( gradient0) _x000D_
  strokeLinecap  round _x000D_
  _x000D_
   </t>
  </si>
  <si>
    <t>nextcloud-android-4875</t>
  </si>
  <si>
    <t>Player service: illegal state exception</t>
  </si>
  <si>
    <t xml:space="preserve"> _x000D_
java lang IllegalStateException: _x000D_
  at android app ContextImpl startServiceCommon (ContextImpl java:1650)_x000D_
  at android app ContextImpl startService (ContextImpl java:1605)_x000D_
  at android content ContextWrapper startService (ContextWrapper java:669)_x000D_
  at com nextcloud client media PlayerServiceConnection stop (PlayerServiceConnection kt:72)_x000D_
  at com owncloud android ui preview PreviewMediaFragment stopAudio (PreviewMediaFragment java:331)_x000D_
  at com owncloud android ui preview PreviewMediaFragment onStart (PreviewMediaFragment java:324)_x000D_
  at androidx fragment app Fragment performStart (Fragment java:2632)_x000D_
  at androidx fragment app FragmentManagerImpl moveToState (FragmentManagerImpl java:915)_x000D_
  at androidx fragment app FragmentManagerImpl moveFragmentToExpectedState (FragmentManagerImpl java:1238)_x000D_
  at androidx fragment app FragmentManagerImpl moveToState (FragmentManagerImpl java:1303)_x000D_
  at androidx fragment app FragmentManagerImpl dispatchStateChange (FragmentManagerImpl java:2659)_x000D_
 _x000D_
_x000D_
 ezaquarii I found this in gplay crash reports  which are automatically created _x000D_
Unfortunately there is no further info _x000D_
Can you have a look into this  If you cannot find a cause  then just close it : )_x000D_
It only happened to 5 users right now  so it should be no big issue </t>
  </si>
  <si>
    <t>nextcloud-android-4874</t>
  </si>
  <si>
    <t>Fresh installation: share file to app</t>
  </si>
  <si>
    <t xml:space="preserve">    Actual behaviour_x000D_
  crash  but without shown to user_x000D_
  app starts_x000D_
_x000D_
    Expected behaviour_x000D_
  good question : _x000D_
 _x000D_
    Steps to reproduce_x000D_
1  fresh installation_x000D_
2  share a file to nc app_x000D_
_x000D_
 _x000D_
E AndroidRuntime: FATAL EXCEPTION: main_x000D_
    Process: com nextcloud client  PID: 28601_x000D_
    java lang IllegalStateException: Do not call this method before initializing mStorageManager_x000D_
        at com owncloud android ui activity ReceiveExternalFilesActivity initTargetFolder(ReceiveExternalFilesActivity java:991)_x000D_
        at com owncloud android ui activity ReceiveExternalFilesActivity onStart(ReceiveExternalFilesActivity java:241)_x000D_
        at android app Instrumentation callActivityOnStart(Instrumentation java:1425)_x000D_
        at android app Activity performStart(Activity java:7825)_x000D_
        at android app ActivityThread handleStartActivity(ActivityThread java:3294)_x000D_
        at android app servertransaction TransactionExecutor performLifecycleSequence(TransactionExecutor java:221)_x000D_
        at android app servertransaction TransactionExecutor cycleToPath(TransactionExecutor java:201)_x000D_
 _x000D_
This leads to crash reports on google dev console _x000D_
_x000D_
My first idea is to check if we have an account and only then throw the error  otherwise just return with a toast( ) </t>
  </si>
  <si>
    <t>opensrp-opensrp-client-reveal-579</t>
  </si>
  <si>
    <t>Random App Crashing on Thailand v2.6.2</t>
  </si>
  <si>
    <t xml:space="preserve">The tablet crashes at random times when I leave the tablet sitting idle for some time  _x000D_
_x000D_
APK version: 2 6 2 (filename: opensrp reveal release 2 6 2 th en apk)_x000D_
user: bvbd mhealth_x000D_
_x000D_
There s a sync intent service being called from the togo library that s causing the crash  Below is the logcat:_x000D_
_x000D_
 _x000D_
2019 11 21 11:01:36 132 16197 27034 org smartregister chw togo E JobExecutor: Crashed job id 3  finished true  result FAILURE  canceled false  periodic true  class ImageUploadServiceJob  tag ImageUploadServiceJob _x000D_
    java lang IllegalStateException: Not allowed to start service Intent   cmp org smartregister chw togo org smartregister service ImageUploadSyncService  : app is in background uid UidRecord 74d52d1 u0a1 TRNB idle change:uncached procs:1 seq(0 0 0) _x000D_
        at android app ContextImpl startServiceCommon(ContextImpl java:1521)_x000D_
        at android app ContextImpl startService(ContextImpl java:1477)_x000D_
        at android content ContextWrapper startService(ContextWrapper java:650)_x000D_
        at org smartregister job ImageUploadServiceJob onRunJob(ImageUploadServiceJob java:20)_x000D_
        at com evernote android job Job runJob(Job java:124)_x000D_
        at com evernote android job JobExecutor JobCallable runJob(JobExecutor java:181)_x000D_
        at com evernote android job JobExecutor JobCallable call(JobExecutor java:166)_x000D_
        at com evernote android job JobExecutor JobCallable call(JobExecutor java:149)_x000D_
        at java util concurrent FutureTask run(FutureTask java:266)_x000D_
        at java util concurrent ThreadPoolExecutor runWorker(ThreadPoolExecutor java:1162)_x000D_
        at java util concurrent ThreadPoolExecutor Worker run(ThreadPoolExecutor java:636)_x000D_
        at java lang Thread run(Thread java:764)_x000D_
2019 11 21 11:01:36 148 16197 27035 org smartregister chw togo E JobExecutor: Crashed job id 4  finished true  result FAILURE  canceled false  periodic true  class PullUniqueIdsServiceJob  tag PullUniqueIdsServiceJob _x000D_
    java lang IllegalStateException: Not allowed to start service Intent   cmp org smartregister chw togo org smartregister sync intent PullUniqueIdsIntentService  : app is in background uid UidRecord 74d52d1 u0a1 TRNB idle change:uncached procs:1 seq(0 0 0) _x000D_
        at android app ContextImpl startServiceCommon(ContextImpl java:1521)_x000D_
        at android app ContextImpl startService(ContextImpl java:1477)_x000D_
        at android content ContextWrapper startService(ContextWrapper java:650)_x000D_
        at org smartregister job PullUniqueIdsServiceJob onRunJob(PullUniqueIdsServiceJob java:20)_x000D_
        at com evernote android job Job runJob(Job java:124)_x000D_
        at com evernote android job JobExecutor JobCallable runJob(JobExecutor java:181)_x000D_
        at com evernote android job JobExecutor JobCallable call(JobExecutor java:166)_x000D_
        at com evernote android job JobExecutor JobCallable call(JobExecutor java:149)_x000D_
        at java util concurrent FutureTask run(FutureTask java:266)_x000D_
        at java util concurrent ThreadPoolExecutor runWorker(ThreadPoolExecutor java:1162)_x000D_
        at java util concurrent ThreadPoolExecutor Worker run(ThreadPoolExecutor java:636)_x000D_
        at java lang Thread run(Thread java:764)_x000D_
2019 11 21 11:01:36 162 16197 27034 org smartregister chw togo E JobExecutor: Crashed job id 5  finished true  result FAILURE  canceled false  periodic true  class ChwIndicatorGeneratingJob  tag IndicatorGeneratingJob _x000D_
    java lang IllegalStateException: Not allowed to start service Intent   cmp org smartregister chw togo org smartregister reporting service IndicatorGeneratorIntentService  : app is in background uid UidRecord 74d52d1 u0a1 TRNB idle change:uncached procs:1 seq(0 0 0) _x000D_
        at android app ContextImpl startServiceCommon(ContextImpl java:1521)_x000D_
        at android app ContextImpl startService(ContextImpl java:1477)_x000D_
        at android content ContextWrapper startService(ContextWrapper java:650)_x000D_
        at org smartregister reporting job RecurringIndicatorGeneratingJob onRunJob(RecurringIndicatorGeneratingJob java:19)_x000D_
        at org smartregister chw core job ChwIndicatorGeneratingJob onRunJob(ChwIndicatorGeneratingJob java:10)_x000D_
        at com evernote android job Job runJob(Job java:124)_x000D_
        at com evernote android job JobExecutor JobCallable runJob(JobExecutor java:181)_x000D_
        at com evernote android job JobExecutor JobCallable call(JobExecutor java:166)_x000D_
        at com evernote android job JobExecutor JobCallable call(JobExecutor java:149)_x000D_
        at java util concurrent FutureTask run(FutureTask java:266)_x000D_
        at java util concurrent ThreadPoolExecutor runWorker(ThreadPoolExecutor java:1162)_x000D_
        at java util concurrent ThreadPoolExecutor Worker run(ThreadPoolExecutor java:636)_x000D_
        at java lang Thread run(Thread java:764)_x000D_
2019 11 21 11:01:36 184 16197 27034 org smartregister chw togo E JobExecutor: Crashed job id 1  finished true  result FAILURE  canceled false  periodic true  class SyncServiceJob  tag SyncServiceJob _x000D_
    java lang IllegalStateException: Not allowed to start service Intent   cmp org smartregister chw togo org smartregister sync intent SyncIntentService  : app is in background uid UidRecord 74d52d1 u0a1 TRNB idle change:uncached procs:1 seq(0 0 0) _x000D_
        at android app ContextImpl startServiceCommon(ContextImpl java:1521)_x000D_
        at android app ContextImpl startService(ContextImpl java:1477)_x000D_
        at android content ContextWrapper startService(ContextWrapper java:650)_x000D_
        at org smartregister job SyncServiceJob onRunJob(SyncServiceJob java:26)_x000D_
        at com evernote android job Job runJob(Job java:124)_x000D_
        at com evernote android job JobExecutor JobCallable runJob(JobExecutor java:181)_x000D_
        at com evernote android job JobExecutor JobCallable call(JobExecutor java:166)_x000D_
        at com evernote android job JobExecutor JobCallable call(JobExecutor java:149)_x000D_
        at java util concurrent FutureTask run(FutureTask java:266)_x000D_
        at java util concurrent ThreadPoolExecutor runWorker(ThreadPoolExecutor java:1162)_x000D_
        at java util concurrent ThreadPoolExecutor Worker run(ThreadPoolExecutor java:636)_x000D_
        at java lang Thread run(Thread java:764)_x000D_
 </t>
  </si>
  <si>
    <t>nextcloud-android-4869</t>
  </si>
  <si>
    <t xml:space="preserve">share PDF file exception </t>
  </si>
  <si>
    <t xml:space="preserve">    Actual behaviour_x000D_
  Tell us what happens_x000D_
Java exception when sharing PDF file with nextcloud client _x000D_
    Expected behaviour_x000D_
  expected upload PDF file into nextcloud_x000D_
 _x000D_
    Steps to reproduce_x000D_
1  use a android v8 0 0 device Samsung A5(2017) _x000D_
2  android app  Dateimanager  V 2 3 1 _x000D_
3  android app  Nextcloud V3 9 0 _x000D_
4  select device local PDF file in Dateimanager _x000D_
5  select share with    nextcloud_x000D_
6  crash_x000D_
_x000D_
_x000D_
    Environment data_x000D_
Android version: 8 0_x000D_
_x000D_
Device model: Samsung A5(2017)  _x000D_
_x000D_
Stock or customized system:_x000D_
_x000D_
Nextcloud app version:  V3 9 0_x000D_
_x000D_
Nextcloud server version: 14 0 4 2_x000D_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</si>
  <si>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ethand91-mediasoup-android-sample-3</t>
  </si>
  <si>
    <t xml:space="preserve">Application crash after sometime,  when more then 3-4 users are joined a room. </t>
  </si>
  <si>
    <t xml:space="preserve">Hello  ethand91 _x000D_
_x000D_
Application crash after joining in a room by more then 3 4 users _x000D_
_x000D_
Scenario: Run application in a mobile  After that i am opening url into more then three browser tab  _x000D_
_x000D_
2019 11 21 19:14:47 857 14064 14163 com example mediasoupandroidsample E org webrtc Logging: CameraStatistics: Camera freezed _x000D_
2019 11 21 19:15:00 667 14064 14163 com example mediasoupandroidsample E org webrtc Logging: Camera2Session: Error: Camera device has encountered a fatal error _x000D_
2019 11 21 19:15:00 668 14064 14163 com example mediasoupandroidsample E CameraCaptureSession: Session 0: Exception while stopping repeating: _x000D_
    android hardware camera2 CameraAccessException: CAMERA ERROR (3): The camera device has encountered a serious error_x000D_
        at android hardware camera2 impl CameraDeviceImpl checkIfCameraClosedOrInError(CameraDeviceImpl java:2406)_x000D_
        at android hardware camera2 impl CameraDeviceImpl stopRepeating(CameraDeviceImpl java:1104)_x000D_
        at android hardware camera2 impl CameraCaptureSessionImpl close(CameraCaptureSessionImpl java:526)_x000D_
        at org webrtc Camera2Session stopInternal(Camera2Session java:380)_x000D_
        at org webrtc Camera2Session reportError(Camera2Session java:401)_x000D_
        at org webrtc Camera2Session access 600(Camera2Session java:35)_x000D_
        at org webrtc Camera2Session CameraStateCallback onError(Camera2Session java:114)_x000D_
        at android hardware camera2 impl CameraDeviceImpl CameraDeviceCallbacks notifyError(CameraDeviceImpl java:1900)_x000D_
        at android hardware camera2 impl CameraDeviceImpl CameraDeviceCallbacks lambda Sm85frAzwGZVMAK NE gwckYXVQ(Unknown Source:0)_x000D_
        at android hardware camera2 impl    Lambda CameraDeviceImpl CameraDeviceCallbacks Sm85frAzwGZVMAK NE gwckYXVQ accept(Unknown Source:8)_x000D_
        at com android internal util function pooled PooledLambdaImpl doInvoke(PooledLambdaImpl java:258)_x000D_
        at com android internal util function pooled PooledLambdaImpl invoke(PooledLambdaImpl java:182)_x000D_
        at com android internal util function pooled OmniFunction run(OmniFunction java:77)_x000D_
        at android os Handler handleCallback(Handler java:873)_x000D_
        at android os Handler dispatchMessage(Handler java:99)_x000D_
        at android os Looper loop(Looper java:193)_x000D_
        at android os HandlerThread run(HandlerThread java:65)_x000D_
2019 11 21 19:15:01 703 14064 14163 com example mediasoupandroidsample E MediaCapturer: onCameraError s Camera device has encountered a fatal error </t>
  </si>
  <si>
    <t>dariuszseweryn-RxAndroidBle-648</t>
  </si>
  <si>
    <t>crash in stopLeScan because "BT Adapter is not turned ON"</t>
  </si>
  <si>
    <t xml:space="preserve">With RxAndroidBle v1 10 4   any advice on how to deal with this crash _x000D_
_x000D_
   _x000D_
E e: Uncaught exception in thread Thread pool 1 thread 1 5 main _x000D_
    java lang IllegalStateException: BT Adapter is not turned ON_x000D_
        at android bluetooth le BluetoothLeUtils checkAdapterStateOn(BluetoothLeUtils java:136)_x000D_
        at android bluetooth le BluetoothLeScanner stopScan(BluetoothLeScanner java:266)_x000D_
        at com polidea rxandroidble2 internal util RxBleAdapterWrapper stopLeScan(RxBleAdapterWrapper java:75)_x000D_
        at com polidea rxandroidble2 internal operations ScanOperationApi21 stopScan(ScanOperationApi21 java:113)_x000D_
        at com polidea rxandroidble2 internal operations ScanOperationApi21 stopScan(ScanOperationApi21 java:28)_x000D_
        at com polidea rxandroidble2 internal operations ScanOperation 1 cancel(ScanOperation java:39)_x000D_
        at io reactivex internal disposables CancellableDisposable dispose(CancellableDisposable java:48)_x000D_
        at io reactivex internal disposables DisposableHelper dispose(DisposableHelper java:124)_x000D_
        at io reactivex internal operators observable ObservableCreate CreateEmitter dispose(ObservableCreate java:121)_x000D_
        at io reactivex internal disposables DisposableHelper dispose(DisposableHelper java:124)_x000D_
        at io reactivex internal operators observable ObservableSubscribeOn SubscribeOnObserver dispose(ObservableSubscribeOn java:73)_x000D_
        at io reactivex internal operators observable ObservableUnsubscribeOn UnsubscribeObserver DisposeTask run(ObservableUnsubscribeOn java:95)_x000D_
        at io reactivex internal schedulers ScheduledDirectTask call(ScheduledDirectTask java:38)_x000D_
        at io reactivex internal schedulers ScheduledDirectTask call(ScheduledDirectTask java:26)_x000D_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java:919)_x000D_
   </t>
  </si>
  <si>
    <t>htl-anichstrasse-htl-catcher-9</t>
  </si>
  <si>
    <t>Game sometimes crashes on "New Game"</t>
  </si>
  <si>
    <t xml:space="preserve">When in game over activity  the game sometimes crashes seemingly without any reason  Try to reproduce the issue and check the logs </t>
  </si>
  <si>
    <t>google-ExoPlayer-6674</t>
  </si>
  <si>
    <t>NPE in MediaCodecAudioRenderer</t>
  </si>
  <si>
    <t xml:space="preserve">     REQUIRED  Issue description_x000D_
I m seeing small amount of NullPointerException in crashlytics related to ExoPlayer _x000D_
_x000D_
     REQUIRED  Reproduction steps_x000D_
it s reported automatically  I do not own stream source or device to reproduce_x000D_
_x000D_
     REQUIRED  Link to test content_x000D_
it s reported automatically  I do not own stream source or device to reproduce_x000D_
_x000D_
_x000D_
     REQUIRED  A full bug report captured from the device_x000D_
Here is exoplayer log with partially deobfuscated callstack _x000D_
Checking the source code  there are multiple code paths where  MimeTypes getEncoding  can be called with null from  MediaCodecAudioRenderer  _x000D_
   _x000D_
323 18:13:28 989 main D  EventLogger: decoderDisabled  eventTime 101 62  mediaPos 0 00  window 0  period 0  video _x000D_
323 18:13:28 994 main D  EventLogger: decoderDisabled  eventTime 101 63  mediaPos 0 00  window 0  period 0  audio _x000D_
323 18:13:29 076 main D  EventLogger: mediaPeriodReleased  eventTime 101 71  mediaPos 0 00  window 0  period 0 _x000D_
323 18:13:29 078 main D  BandwidthLogger: Bandwidth stats: elapsed: 408 ms  data: 1 MB  bitrate: 21Mbit s_x000D_
323 18:13:29 086 main E  EventLogger: playerFailed  eventTime 101 72  mediaPos 0 00  window 0  period 0 _x000D_
com google android exoplayer2 ExoPlaybackException: java lang NullPointerException: Attempt to invoke virtual method  int java lang String hashCode()  on a null object reference_x000D_
	at com google android exoplayer2 ExoPlayerImplInternal handleMessage(ExoPlayerImplInternal java:24)_x000D_
	at android os Handler dispatchMessage(Handler java:102)_x000D_
	at android os Looper loop(Looper java:193)_x000D_
	at android os HandlerThread run(HandlerThread java:65)_x000D_
Caused by: java lang NullPointerException: Attempt to invoke virtual method  int java lang String hashCode()  on a null object reference_x000D_
	at com google android exoplayer2 util MimeTypes getEncoding(MimeTypes java:1)_x000D_
	at com google android exoplayer2 audio MediaCodecAudioRenderer onAudioSessionId(MediaCodecAudioRenderer java:4)_x000D_
                                                                getPassthroughEncoding_x000D_
	at com google android exoplayer2 audio MediaCodecAudioRenderer onAudioTrackUnderrun(MediaCodecAudioRenderer java:31)_x000D_
                                                                allowPassthrough_x000D_
	at com google android exoplayer2 audio MediaCodecAudioRenderer onAudioTrackUnderrun(MediaCodecAudioRenderer java:20)_x000D_
                                                                getDecoderInfos_x000D_
	at com google android exoplayer2 mediacodec MediaCodecRenderer onQueueInputBuffer(MediaCodecRenderer java:2)_x000D_
                                                                getAvailableCodecInfos_x000D_
	at com google android exoplayer2 mediacodec MediaCodecRenderer canKeepCodec(MediaCodecRenderer java:31)_x000D_
                                                                configureCodec_x000D_
                                                                getCodecOperatingRateV23_x000D_
                                                                getDecoderInfos_x000D_
                                                                handleInputBufferSupplementalData_x000D_
                                                                onCodecInitialized_x000D_
                                                                onOutputFormatChanged_x000D_
                                                                processOutputBuffer_x000D_
                                                                shouldInitCodec_x000D_
                                                                supportsFormat_x000D_
                                                                maybeInitCodecWithFallback_x000D_
	at com google android exoplayer2 mediacodec MediaCodecRenderer maybeInitCodec(MediaCodecRenderer java:15)_x000D_
	at com google android exoplayer2 mediacodec MediaCodecRenderer reinitializeCodec(MediaCodecRenderer java:2)_x000D_
	at com google android exoplayer2 mediacodec MediaCodecRenderer drainAndReinitializeCodec(MediaCodecRenderer java:4)_x000D_
	at com google android exoplayer2 mediacodec MediaCodecRenderer canKeepCodec(MediaCodecRenderer java:139)_x000D_
                                                                configureCodec_x000D_
                                                                getCodecOperatingRateV23_x000D_
                                                                getDecoderInfos_x000D_
                                                                handleInputBufferSupplementalData_x000D_
                                                                onCodecInitialized_x000D_
                                                                onOutputFormatChanged_x000D_
                                                                processOutputBuffer_x000D_
                                                                shouldInitCodec_x000D_
                                                                supportsFormat_x000D_
                                                                onInputFormatChanged_x000D_
	at com google android exoplayer2 audio MediaCodecAudioRenderer onAudioTrackUnderrun(MediaCodecAudioRenderer java:51)_x000D_
                                                                onInputFormatChanged_x000D_
	at com google android exoplayer2 mediacodec MediaCodecRenderer feedInputBuffer(MediaCodecRenderer java:32)_x000D_
   _x000D_
_x000D_
_x000D_
     REQUIRED  Version of ExoPlayer being used_x000D_
d874656e8a7668a83c6702413f094f6a1f509070_x000D_
_x000D_
     REQUIRED  Device(s) and version(s) of Android being used_x000D_
  Xiaomi MIBOX4_x000D_
  OS Level 28</t>
  </si>
  <si>
    <t>zood-george-59</t>
  </si>
  <si>
    <t>Crash:  java.lang.IllegalStateException: Fragment MainFragment not attached to a context.</t>
  </si>
  <si>
    <t xml:space="preserve">Stack trace:_x000D_
   _x000D_
2019 11 18 17:02:21 890 17338 20798   E AndroidRuntime: FATAL EXCEPTION: pool 3 thread 27_x000D_
    Process: xyz zood george  PID: 17338_x000D_
    java lang IllegalStateException: Fragment MainFragment e2ba704 (8b401f5c 2fe3 4016 bcc7 8f3d5356e755)  not attached to a context _x000D_
        at androidx fragment app Fragment requireContext(Fragment java:774)_x000D_
        at xyz zood george MainFragment 24 onPackageReceived(MainFragment java:1180)_x000D_
        at io pijun george api OscarSocket 4 run(OscarSocket java:155)_x000D_
        at java util concurrent ThreadPoolExecutor runWorker(ThreadPoolExecutor java:1167)_x000D_
        at java util concurrent ThreadPoolExecutor Worker run(ThreadPoolExecutor java:641)_x000D_
        at java lang Thread run(Thread java:919)_x000D_
   _x000D_
_x000D_
The crash is a result of the call to  requireContext() :_x000D_
   _x000D_
         Override_x000D_
        public void onPushNotificationReceived( NonNull PushNotification notification)  _x000D_
            L i( MF onPushNotificationReceived ) _x000D_
            MessageProcessor Result result   MessageProcessor decryptAndProcess(requireContext() _x000D_
                    notification senderId _x000D_
                    notification cipherText _x000D_
                    notification nonce) _x000D_
            if (result    MessageProcessor Result Success)  _x000D_
                L i( MF error decrypting processing push notification:     result) _x000D_
             _x000D_
_x000D_
               Was this a transient message _x000D_
            if (notification id    null    notification id equals( 0 ))  _x000D_
                return _x000D_
             _x000D_
   </t>
  </si>
  <si>
    <t>opensrp-opensrp-client-chw-1019</t>
  </si>
  <si>
    <t>Fix App crash when you use search on top of due only filter - Test Me ChaFam Family</t>
  </si>
  <si>
    <t>Stage server   moa login  V1 0 10  built on Nov 14th_x000D_
_x000D_
  Family register list page  tap the due only filter_x000D_
  With filter still on  search for  Test Me  in the search bar_x000D_
  The app crashes</t>
  </si>
  <si>
    <t>opensrp-opensrp-client-chw-anc-369</t>
  </si>
  <si>
    <t>Fix app crashing in ANC register when you tap on newly registered ANC woman</t>
  </si>
  <si>
    <t xml:space="preserve">Stage server   moa login  V1 0 10  built on Nov 14th_x000D_
_x000D_
I registered a new ANC woman   Dora Marie Smith   as ANC  I completed an ANC home visit  and now the app crashes every time I tap on her record in the ANC register list _x000D_
_x000D_
I don t remember any remarkable action steps that led to this  as I was demoing the app and not specifically testing anything  but I can hand over the device to see what the crash logs are saying _x000D_
_x000D_
_x000D_
</t>
  </si>
  <si>
    <t>k3b-APhotoManager-155</t>
  </si>
  <si>
    <t>Unuseable On Android 10, sql error -&gt; un</t>
  </si>
  <si>
    <t xml:space="preserve">  Describe the bug  _x000D_
A clear and concise description of what the bug is _x000D_
_x000D_
  To Reproduce  _x000D_
Steps to reproduce the behavior:_x000D_
1  Have Android 10 installed with latest (Nov) patchlevel_x000D_
2  Start app_x000D_
4  See error   multiple popups with the following error message_x000D_
_x000D_
 Invalid SQL   use default instead _x000D_
SQL error  Invalid column max(width  height) as col width  _x000D_
_x000D_
SELECT  id  data AS disp text  max(width  height) AS col width  longitude  datetaken   data  orientation_x000D_
FROM content:  media external file_x000D_
WHERE (( media type 1))  _x000D_
_x000D_
The app has to be killed with the app switcher  There is no log written  _x000D_
_x000D_
_x000D_
  Expected behavior  _x000D_
Start of App showing map with photos  _x000D_
_x000D_
  Smartphone (please complete the following information):  _x000D_
   Android version  e g  Android 7 1  : 10_x000D_
    A Photo Manager Version (https:  github com k3b APhotoManager releases) (i e  0 4 6 160304) : latest Version from fdroid_x000D_
_x000D_
  Additional context  _x000D_
Add any other context about the problem here _x000D_
_x000D_
  Crash Report  _x000D_
If you report an app crash: Can you add the crash logfile to this ticket _x000D_
_x000D_
When APhotoManager crashes it tries to write a crash log file in the    Error Log Folder   (https:  github com k3b APhotoManager wiki settings logfolder) _x000D_
_x000D_
   ExternalStorageDirectory  copy log androFotofinder logcat 2017    txt_x000D_
    i e   storage sdcard0 copy log androFotofinder logcat 20170728 135704 txt_x000D_
      crash data from 2017 07 28 13:57_x000D_
    _x000D_
For more details on Error Loging see  diagnostic settings (https:  github com k3b APhotoManager wiki settings Diagnostics) _x000D_
_x000D_
       _x000D_
 Update 2020 04 13 _x000D_
_x000D_
  Technical Problem  _x000D_
_x000D_
Android 10 (api29) prevents apps from using sql functions on media content provider colums where APhotoManager heavily depends on _x000D_
_x000D_
To achive android 10 compatibility i have seperated all database access logic into a seperate layer where there are two implementations for:_x000D_
_x000D_
  A Contentprovider implementation for android 9 and below _x000D_
   is used since APhotoManager 0 8 1_x000D_
  A database implementation that works with a data clone of media contentprovider_x000D_
   will be used in android 10 and up  when finished_x000D_
   done: code to one time copy all data from media contentprovider to database_x000D_
   done: code to query database_x000D_
   done: datachanges from within APhotoManager are written to media contentprovider and to database_x000D_
   open todo: when changes are done to media contentprovider outside APhotoManager (i e  when camera shoots a photo) the changes must be transfered to database  too_x000D_
_x000D_
Currently work on this ticket is stopped  because i work on sd card support  169 to make APhotoManager run on my new android 9 device _x000D_
_x000D_
 Update k3b 20210122 _x000D_
_x000D_
since android 10 it is not allowed to query the media database  for latitude longitude any more ( https:  developer android com reference android provider MediaStore Images ImageColumns LATITUDE ) : (_x000D_
_x000D_
As consequence APhotoManager needs _x000D_
_x000D_
  its own local copy of the media database_x000D_
  a full media rescan (or the import of the gps data through a csv file) </t>
  </si>
  <si>
    <t>geopaparazzi-geopaparazzi-641</t>
  </si>
  <si>
    <t>From ACRA - LayerManager.setEnabled</t>
  </si>
  <si>
    <t xml:space="preserve">   _x000D_
Was fiddling with layers  Had just re added an OSM layer and was turning another off  I think  Not entirely sure _x000D_
_x000D_
LOGCAT           beginning of main_x000D_
          beginning of crash_x000D_
APP VERSION CODE 96_x000D_
PHONE MODEL Pixel 3a XL_x000D_
APP VERSION NAME 6 0 0_x000D_
CUSTOM DATA _x000D_
ANDROID VERSION 10_x000D_
STACK TRACE java lang IndexOutOfBoundsException: Index: 3  Size: 2_x000D_
        at java util ArrayList get(ArrayList java:437)_x000D_
        at eu geopaparazzi map layers LayerManager setEnabled(LayerManager java:711)_x000D_
        at eu geopaparazzi map gui MapLayerAdapter lambda onBindViewHolder 0(MapLayerAdapter java:111)_x000D_
        at eu geopaparazzi map gui    Lambda MapLayerAdapter qXBKSwLZ9s8i7t45UycDZIFK8FI onCheckedChanged(Unknown Source:4)_x000D_
        at android widget CompoundButton setChecked(CompoundButton java:180)_x000D_
        at android widget CompoundButton toggle(CompoundButton java:135)_x000D_
        at android widget CompoundButton performClick(CompoundButton java:140)_x000D_
        at android view View performClickInternal(View java:7117)_x000D_
        at android view View access 3500(View java:801)_x000D_
        at android view View PerformClick run(View java:27351)_x000D_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t>
  </si>
  <si>
    <t>fossasia-phimpme-android-2926</t>
  </si>
  <si>
    <t>App Crash On Search</t>
  </si>
  <si>
    <t xml:space="preserve">  Describe the bug  _x000D_
Clicking on Search Icon in the Toolbar Crash Terminate the App_x000D_
_x000D_
  To Reproduce  _x000D_
1  Store an image in the root directory or root of internal i e  sdcard_x000D_
2  Run the App_x000D_
3  Click on Search Icon on the Toolbar or Actionbar_x000D_
4  App Crash_x000D_
_x000D_
  Expected behavior  _x000D_
Should work normally without crashing the App _x000D_
_x000D_
  Logs  _x000D_
   _x000D_
2019 11 19 05:13:05 307 12660 12660 org fossasia phimpme E AndroidRuntime: FATAL EXCEPTION: main_x000D_
    Process: org fossasia phimpme  PID: 12660_x000D_
    java lang NullPointerException: Attempt to invoke virtual method  java lang String java lang String toLowerCase()  on a null object reference_x000D_
        at org fossasia phimpme gallery activities LFMainActivity searchTitle(LFMainActivity java:1712)_x000D_
        at org fossasia phimpme gallery activities LFMainActivity 33 onQueryTextChange(LFMainActivity java:1645)_x000D_
        at androidx appcompat widget SearchView onTextChanged(SearchView java:1182)_x000D_
        at androidx appcompat widget SearchView 10 onTextChanged(SearchView java:1720)_x000D_
        at android widget TextView sendOnTextChanged(TextView java:10567)_x000D_
        at android widget TextView setText(TextView java:6304)_x000D_
        at android widget TextView setText(TextView java:6129)_x000D_
        at android widget EditText setText(EditText java:122)_x000D_
        at android widget TextView setText(TextView java:6081)_x000D_
        at androidx appcompat widget SearchView onActionViewExpanded(SearchView java:1296)_x000D_
        at androidx appcompat widget Toolbar ExpandedActionViewMenuPresenter expandItemActionView(Toolbar java:2535)_x000D_
        at androidx appcompat view menu MenuBuilder expandItemActionView(MenuBuilder java:1366)_x000D_
        at androidx appcompat view menu MenuItemImpl expandActionView(MenuItemImpl java:830)_x000D_
        at androidx appcompat view menu MenuBuilder performItemAction(MenuBuilder java:996)_x000D_
        at androidx appcompat view menu MenuBuilder performItemAction(MenuBuilder java:981)_x000D_
        at androidx appcompat widget ActionMenuView invokeItem(ActionMenuView java:625)_x000D_
        at androidx appcompat view menu ActionMenuItemView onClick(ActionMenuItemView java:151)_x000D_
        at android view View performClick(View java:7201)_x000D_
        at android view View performClickInternal(View java:7170)_x000D_
        at android view View access 3500(View java:806)_x000D_
        at android view View PerformClick run(View java:27562)_x000D_
        at android os Handler handleCallback(Handler java:883)_x000D_
        at android os Handler dispatchMessage(Handler java:100)_x000D_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_x000D_
  GIF  _x000D_
  ezgif com video to gif (https:  user images githubusercontent com 41864109 69103475 810bfd80 0a8b 11ea 810a efb5d8eba3a9 gif)_x000D_
_x000D_
  Screenshots  _x000D_
  Screenshot 20191119 050705 (https:  user images githubusercontent com 41864109 69103569 c0d2e500 0a8b 11ea 88e5 a700e2c8ebef jpg)_x000D_
_x000D_
_x000D_
  Smartphone Info:  _x000D_
     Please complete the following information    _x000D_
                   _x000D_
                   _x000D_
 Device          OnePlus7  _x000D_
 Android Version Android 10 OxygenOS 10 0 2     _x000D_
_x000D_
  Additional context  _x000D_
The Crash is caused only because album item is returning null when an image is stored in root directory i e  sdcard   _x000D_
_x000D_
  Would you like to work on the issue   _x000D_
     Please let us know if you can work on it or the issue should be assigned to someone else     _x000D_
   x  Yes_x000D_
      No_x000D_
</t>
  </si>
  <si>
    <t>triniwiz-nativescript-image-cache-it-62</t>
  </si>
  <si>
    <t>Handler broken image error</t>
  </si>
  <si>
    <t>Hi _x000D_
_x000D_
My app works fine using this plug in but if the image is corrupted over http the app crashes  Is there a way to handler broken image  0k size  wrong extension and so on errors  _x000D_
_x000D_
See below stacktrace on Android  _x000D_
_x000D_
An uncaught Exception occurred on  pool 9 thread 1  thread _x000D_
com bumptech glide load resource gif GifDrawable cannot be cast to android graphics drawable BitmapDrawable_x000D_
_x000D_
StackTrace:_x000D_
java lang ClassCastException: com bumptech glide load resource gif GifDrawable cannot be cast to android graphics drawable BitmapDrawable_x000D_
	at com github triniwiz imagecacheit ImageView 1 1 run(ImageView java:407)_x000D_
	at java util concurrent ThreadPoolExecutor runWorker(ThreadPoolExecutor java:1113)_x000D_
	at java util concurrent ThreadPoolExecutor Worker run(ThreadPoolExecutor java:588)_x000D_
	at java lang Thread run(Thread java:818)</t>
  </si>
  <si>
    <t>nextcloud-android-4842</t>
  </si>
  <si>
    <t>Crash in image viewer</t>
  </si>
  <si>
    <t>STR:_x000D_
1  Download an image_x000D_
2  Open the downloaded image by clicking it_x000D_
3  Tap anywhere in the image area to hide nav bar_x000D_
4  Wait 1s to not trigger double tap to zoom_x000D_
5  Tap again to reshow nav bar    crash_x000D_
_x000D_
             CAUSE OF ERROR             _x000D_
_x000D_
   _x000D_
android content res Resources NotFoundException: Drawable com nextcloud client:drawable backrepeat with resource ID  0x7f08021b_x000D_
Caused by: android content res Resources NotFoundException: File res drawable backrepeat xml from drawable resource ID  0x7f08021b_x000D_
	at android content res ResourcesImpl loadDrawableForCookie(ResourcesImpl java:854)_x000D_
	at android content res ResourcesImpl loadDrawable(ResourcesImpl java:634)_x000D_
	at android content res Resources getDrawableForDensity(Resources java:902)_x000D_
	at android content res Resources getDrawable(Resources java:841)_x000D_
	at android content res Resources getDrawable(Resources java:816)_x000D_
	at com owncloud android ui preview PreviewImageFragment toggleImageBackground(PreviewImageFragment java:771)_x000D_
	at com owncloud android ui preview PreviewImageFragment togglePreviewImageFullScreen(PreviewImageFragment java:754)_x000D_
	at com owncloud android ui preview PreviewImageFragment lambda onCreateView 1 PreviewImageFragment(PreviewImageFragment java:197)_x000D_
	at com owncloud android ui preview    Lambda PreviewImageFragment grkrZeoYp6ERIY3D7bncEWhFG8g onClick(Unknown Source:2)_x000D_
	at com github chrisbanes photoview PhotoViewAttacher 3 onSingleTapConfirmed(PhotoViewAttacher java:197)_x000D_
	at android view GestureDetector GestureHandler handleMessage(GestureDetector java:300)_x000D_
	at android os Handler dispatchMessage(Handler java:106)_x000D_
	at android os Looper loop(Looper java:201)_x000D_
	at android app ActivityThread main(ActivityThread java:6882)_x000D_
	at java lang reflect Method invoke(Native Method)_x000D_
	at com android internal os RuntimeInit MethodAndArgsCaller run(RuntimeInit java:547)_x000D_
	at com android internal os ZygoteInit main(ZygoteInit java:873)_x000D_
Caused by: org xmlpull v1 XmlPullParserException: Binary XML file line  2:  bitmap  requires a valid  src  attribute_x000D_
	at android graphics drawable BitmapDrawable updateStateFromTypedArray(BitmapDrawable java:849)_x000D_
	at android graphics drawable BitmapDrawable inflate(BitmapDrawable java:770)_x000D_
	at android graphics drawable DrawableInflater inflateFromXmlForDensity(DrawableInflater java:142)_x000D_
	at android graphics drawable Drawable createFromXmlInnerForDensity(Drawable java:1332)_x000D_
	at android graphics drawable Drawable createFromXmlForDensity(Drawable java:1291)_x000D_
	at android content res ResourcesImpl createFromXmlForDensity(ResourcesImpl java:1506)_x000D_
	at android content res ResourcesImpl loadDrawableForCookie(ResourcesImpl java:838)_x000D_
	    17 more_x000D_
   _x000D_
_x000D_
             APP INFORMATION             _x000D_
ID: com nextcloud client_x000D_
Version: 30090090_x000D_
Build flavor: gplay_x000D_
_x000D_
             FIRMWARE             _x000D_
SDK: 28_x000D_
Release: 9</t>
  </si>
  <si>
    <t>Intelehealth-Android-Mobile-Client-776</t>
  </si>
  <si>
    <t>App crashes while creating patient in Odiya in identification screen</t>
  </si>
  <si>
    <t xml:space="preserve">App is crashing when patient changes the language to Odiya and selects date of birth in patient identification screen while creating a patient </t>
  </si>
  <si>
    <t>martykan-forecastie-395</t>
  </si>
  <si>
    <t>IllegalArgumentException when Android AVD does not provide ''network"</t>
  </si>
  <si>
    <t xml:space="preserve">Hi  I am using my home made automatic testing tool for forecastie (a quite old version)  on the official AVD emulator of Galaxy Nexus  API 19  _x000D_
_x000D_
The AVD crashes when setting preference  updateLocationAutomatically   with the call trace here :_x000D_
   _x000D_
E AndroidRuntime(10298): FATAL EXCEPTION: main_x000D_
E AndroidRuntime(10298): Process: cz martykan forecastie  PID: 10298_x000D_
E AndroidRuntime(10298): java lang IllegalArgumentException: provider doesn t exist: network_x000D_
E AndroidRuntime(10298): 	at android os Parcel readException(Parcel java:1469)_x000D_
E AndroidRuntime(10298): 	at android os Parcel readException(Parcel java:1419)_x000D_
E AndroidRuntime(10298): 	at android location ILocationManager Stub Proxy requestLocationUpdates(ILocationManager java:540)_x000D_
E AndroidRuntime(10298): 	at android location LocationManager requestLocationUpdates(LocationManager java:860)_x000D_
E AndroidRuntime(10298): 	at android location LocationManager requestLocationUpdates(LocationManager java:454)_x000D_
E AndroidRuntime(10298): 	at cz martykan forecastie activities SettingsActivity privacyGuardWorkaround(SettingsActivity java:155)_x000D_
E AndroidRuntime(10298): 	at cz martykan forecastie activities SettingsActivity requestReadLocationPermission(SettingsActivity java:134)_x000D_
E AndroidRuntime(10298): 	at cz martykan forecastie activities SettingsActivity onSharedPreferenceChanged(SettingsActivity java:112)_x000D_
E AndroidRuntime(10298): 	at android app SharedPreferencesImpl EditorImpl notifyListeners(SharedPreferencesImpl java:475)_x000D_
E AndroidRuntime(10298): 	at android app SharedPreferencesImpl EditorImpl apply(SharedPreferencesImpl java:385)_x000D_
E AndroidRuntime(10298): 	at android preference Preference tryCommit(Preference java:1372)_x000D_
E AndroidRuntime(10298): 	at android preference Preference persistBoolean(Preference java:1638)_x000D_
E AndroidRuntime(10298): 	at android preference TwoStatePreference setChecked(TwoStatePreference java:84)_x000D_
E AndroidRuntime(10298): 	at android preference TwoStatePreference onClick(TwoStatePreference java:70)_x000D_
E AndroidRuntime(10298): 	at android preference Preference performClick(Preference java:952)_x000D_
E AndroidRuntime(10298): 	at android preference PreferenceScreen onItemClick(PreferenceScreen java:215)_x000D_
E AndroidRuntime(10298): 	at android widget AdapterView performItemClick(AdapterView java:299)_x000D_
E AndroidRuntime(10298): 	at android widget AbsListView performItemClick(AbsListView java:1113)_x000D_
E AndroidRuntime(10298): 	at android widget AbsListView PerformClick run(AbsListView java:2904)_x000D_
E AndroidRuntime(10298): 	at android widget AbsListView 3 run(AbsListView java:3638)_x000D_
E AndroidRuntime(10298): 	at android os Handler handleCallback(Handler java:733)_x000D_
E AndroidRuntime(10298): 	at android os Handler dispatchMessage(Handler java:95)_x000D_
E AndroidRuntime(10298): 	at android os Looper loop(Looper java:136)_x000D_
E AndroidRuntime(10298): 	at android app ActivityThread main(ActivityThread java:5017)_x000D_
E AndroidRuntime(10298): 	at java lang reflect Method invokeNative(Native Method)_x000D_
E AndroidRuntime(10298): 	at java lang reflect Method invoke(Method java:515)_x000D_
E AndroidRuntime(10298): 	at com android internal os ZygoteInit MethodAndArgsCaller run(ZygoteInit java:779)_x000D_
E AndroidRuntime(10298): 	at com android internal os ZygoteInit main(ZygoteInit java:595)_x000D_
E AndroidRuntime(10298): 	at dalvik system NativeStart main(Native Method)_x000D_
   _x000D_
I search on google and find the reason lies in that forecastie is requesting updates from the network provider when that provider does not exist on the device  and I find that the problem still exists in the lastest version  Would you please fix it  such as adding a checking before the request  like https:  stackoverflow com questions 20660561 illegalargumentexception provider doesnt exisit null on maps v1  _x000D_
_x000D_
</t>
  </si>
  <si>
    <t>ionic-team-capacitor-2186</t>
  </si>
  <si>
    <t>bug: App crashes while geolocation is disabled and user grants permission</t>
  </si>
  <si>
    <t xml:space="preserve">  Bug Report_x000D_
_x000D_
   Capacitor Version_x000D_
 npx cap doctor  output:_x000D_
Latest Dependencies:_x000D_
_x000D_
   capacitor cli: 1 3 0_x000D_
_x000D_
   capacitor core: 1 3 0_x000D_
_x000D_
   capacitor android: 1 3 0_x000D_
_x000D_
   capacitor ios: 1 3 0_x000D_
_x000D_
Installed Dependencies:_x000D_
_x000D_
   capacitor cli 1 3 0_x000D_
_x000D_
   capacitor core 1 3 0_x000D_
_x000D_
   capacitor ios 1 3 0_x000D_
_x000D_
   capacitor android 1 3 0_x000D_
_x000D_
_x000D_
 success  Android looking great   _x000D_
_x000D_
   Affected Platform(s)_x000D_
_x000D_
   x  Android_x000D_
      iOS_x000D_
      Electron_x000D_
      Web_x000D_
_x000D_
   Current Behavior_x000D_
When device the GPS service is turned off_x000D_
And perrmissions are granted_x000D_
Then the application crashes_x000D_
_x000D_
   Expected Behavior_x000D_
The application does not crash _x000D_
_x000D_
   Reproduction Steps_x000D_
_x000D_
Call watchPosition or getCurrentPosition from the Geolocation plugin while the GPS service is turned off  After the user grants permission in the permission popup  the app will crash _x000D_
_x000D_
   Other Information_x000D_
 Caused by: java lang IllegalArgumentException: invalid provider: null_x000D_
        at android location LocationManager checkProvider(LocationManager java:2337)_x000D_
        at android location LocationManager requestLocationUpdates(LocationManager java:553)_x000D_
        at com getcapacitor plugin Geolocation startWatch(Geolocation java:97)_x000D_
        at com getcapacitor plugin Geolocation handleRequestPermissionsResult(Geolocation java:190)_x000D_
        at com getcapacitor Bridge onRequestPermissionsResult(Bridge java:746)_x000D_
        at com getcapacitor BridgeActivity onRequestPermissionsResult(BridgeActivity java:201)_x000D_
        at android app Activity dispatchRequestPermissionsResult(Activity java:8264)_x000D_
        at android app Activity dispatchActivityResult(Activity java:8114)_x000D_
        at android app ActivityThread deliverResults(ActivityThread java:4838)_x000D_
        at android app ActivityThread handleSendResult(ActivityThread java:4886) _x000D_
        at android app servertransaction ActivityResultItem execute(ActivityResultItem java:51) _x000D_
        at android app servertransaction TransactionExecutor executeCallbacks(TransactionExecutor java:135) _x000D_
        at android app servertransaction TransactionExecutor execute(TransactionExecutor java:95) _x000D_
        at android app ActivityThread H handleMessage(ActivityThread java:2016) _x000D_
        at android os Handler dispatchMessage(Handler java:107) _x000D_
        at android os Looper loop(Looper java:214) _x000D_
        at android app ActivityThread main(ActivityThread java:7356) _x000D_
        at java lang reflect Method invoke(Native Method) _x000D_
        at com android internal os RuntimeInit MethodAndArgsCaller run(RuntimeInit java:492) _x000D_
        at com android internal os ZygoteInit main(ZygoteInit java:930)  _x000D_
</t>
  </si>
  <si>
    <t>square-okhttp-5605</t>
  </si>
  <si>
    <t>Fatal Exception: java.util.NoSuchElementException</t>
  </si>
  <si>
    <t xml:space="preserve">Hey  some of users getting this weird crash _x000D_
_x000D_
The crash stack trace from crashlytics:_x000D_
_x000D_
  Fatal Exception: java util NoSuchElementException at okhttp3 internal connection RouteSelector next(RouteSelector java:75) at okhttp3 internal connection ExchangeFinder findConnection(ExchangeFinder java:187) at okhttp3 internal connection ExchangeFinder findHealthyConnection(ExchangeFinder java:107) at okhttp3 internal connection ExchangeFinder find(ExchangeFinder java:87) at okhttp3 internal connection Transmitter newExchange(Transmitter java:169) at okhttp3 internal connection ConnectInterceptor intercept(ConnectInterceptor java:41) at okhttp3 internal http RealInterceptorChain proceed(RealInterceptorChain java:142) at okhttp3 internal http RealInterceptorChain proceed(RealInterceptorChain java:117) at okhttp3 internal cache CacheInterceptor intercept(CacheInterceptor java:94) at okhttp3 internal http RealInterceptorChain proceed(RealInterceptorChain java:142) at okhttp3 internal http RealInterceptorChain proceed(RealInterceptorChain java:117) at okhttp3 internal http BridgeInterceptor intercept(BridgeInterceptor java:93) at okhttp3 internal http RealInterceptorChain proceed(RealInterceptorChain java:142) at okhttp3 internal http RetryAndFollowUpInterceptor intercept(RetryAndFollowUpInterceptor java:88) at okhttp3 internal http RealInterceptorChain proceed(RealInterceptorChain java:142) at okhttp3 internal http RealInterceptorChain proceed(RealInterceptorChain java:117) at  network ConnectivityInterceptor intercept(ConnectivityInterceptor java:20) at okhttp3 internal http RealInterceptorChain proceed(RealInterceptorChain java:142) at okhttp3 internal http RealInterceptorChain proceed(RealInterceptorChain java:117) at okhttp3 RealCall getResponseWithInterceptorChain(RealCall java:221) at okhttp3 RealCall AsyncCall execute(RealCall java:172) at okhttp3 internal NamedRunnable run(NamedRunnable java:32) at java util concurrent ThreadPoolExecutor runWorker(ThreadPoolExecutor java:1162) at java util concurrent ThreadPoolExecutor Worker run(ThreadPoolExecutor java:636) at java lang Thread run(Thread java:764)   _x000D_
_x000D_
OkHttp version: 3 14 1_x000D_
_x000D_
I m using the following dependencies:_x000D_
_x000D_
com squareup retrofit2:retrofit:2 5 0_x000D_
com squareup retrofit2:converter gson:2 5 0_x000D_
com squareup okhttp3:logging interceptor:3 14 1_x000D_
com squareup retrofit2:converter scalars:2 5 0_x000D_
_x000D_
Base requestsClient code:_x000D_
_x000D_
  _x000D_
private long DEFUALT CALL TIMEOUT   15 _x000D_
private long DEFUALT CONNECT TIMEOUT   5 _x000D_
_x000D_
OkHttpClient Builder okHttpClientBuilder   new OkHttpClient Builder()_x000D_
 callTimeout(DEFUALT CALL TIMEOUT TimeUnit SECONDS)_x000D_
 connectTimeout(DEFUALT CONNECT TIMEOUT  TimeUnit SECONDS) _x000D_
_x000D_
if (BuildConfig DEBUG)  _x000D_
HttpLoggingInterceptor logging   new HttpLoggingInterceptor() _x000D_
logging setLevel(HttpLoggingInterceptor Level BODY) _x000D_
okHttpClientBuilder addInterceptor(logging) _x000D_
 _x000D_
okHttpClientBuilder addInterceptor(new ConnectivityInterceptor()) _x000D_
_x000D_
retrofit   new Retrofit Builder()_x000D_
 baseUrl(AppConstants SERVER URL)_x000D_
 addConverterFactory(GsonConverterFactory create())_x000D_
 client(okHttpClientBuilder build())_x000D_
 build() _x000D_
  </t>
  </si>
  <si>
    <t>nextcloud-android-4838</t>
  </si>
  <si>
    <t>Background app crash</t>
  </si>
  <si>
    <t xml:space="preserve">    Actual behaviour_x000D_
When closing the background apps  Nextcloud reported a crash _x000D_
_x000D_
    Expected behaviour_x000D_
  No crashing _x000D_
 _x000D_
    Steps to reproduce_x000D_
1  Open Nextcloud Dev (fdroid  v20191108)_x000D_
2  Set a folder to sync _x000D_
3  Close app _x000D_
4  Use other apps _x000D_
5  Close allbackground apps _x000D_
6  Crash _x000D_
_x000D_
    Pasted crashdump provided by my device_x000D_
             CAUSE OF ERROR             _x000D_
_x000D_
android app RemoteServiceException: Context startForegroundService() did not then call Service startForeground()_x000D_
	at android app ActivityThread H handleMessage(ActivityThread java:1788)_x000D_
	at android os Handler dispatchMessage(Handler java:105)_x000D_
	at android os Looper loop(Looper java:169)_x000D_
	at android app ActivityThread main(ActivityThread java:6595)_x000D_
	at java lang reflect Method invoke(Native Method)_x000D_
	at com android internal os Zygote MethodAndArgsCaller run(Zygote java:240)_x000D_
	at com android internal os ZygoteInit main(ZygoteInit java:767)_x000D_
_x000D_
             APP INFORMATION             _x000D_
ID: com nextcloud android beta_x000D_
Version: 20191108_x000D_
Build flavor: versionDev_x000D_
_x000D_
             DEVICE INFORMATION             _x000D_
Brand: asus_x000D_
Device: ASUS Z01H 1_x000D_
Model: ASUS Z01HD_x000D_
Id: OPR1 170623 026_x000D_
Product: WW Z01H_x000D_
_x000D_
             FIRMWARE             _x000D_
SDK: 26_x000D_
Release: 8 0 0_x000D_
Incremental: WW 80 30 76 74 20190319_x000D_
</t>
  </si>
  <si>
    <t>nextcloud-android-4836</t>
  </si>
  <si>
    <t>App v3.9.0 crashes when trying to view "Details" of *.md files</t>
  </si>
  <si>
    <t xml:space="preserve">    Actual behaviour_x000D_
  App crashes when trying to view  Details  of   md files _x000D_
_x000D_
    Expected behaviour_x000D_
  A new view with the well known details should be shown _x000D_
 _x000D_
    Steps to reproduce_x000D_
1  Open Android App version 3 9 0_x000D_
2  Go into the  Notes  folder_x000D_
3  Tap on a   md file so that it gets displayed_x000D_
4  Tap on the 3 dot kontext menu in the upper right corner and choose  Details _x000D_
5      CRASH _x000D_
_x000D_
_x000D_
    Environment data_x000D_
Android version: 6 0 1_x000D_
_x000D_
Device model: Motorola G3_x000D_
_x000D_
Stock or customized system: stock_x000D_
_x000D_
Nextcloud app version: 3 9 0_x000D_
_x000D_
Nextcloud server version: 16 0 4 1 (owncube com)_x000D_
_x000D_
    Logs_x000D_
     Web server error log_x000D_
   _x000D_
Insert your webserver log here_x000D_
   _x000D_
_x000D_
     Nextcloud log (data nextcloud log)_x000D_
   _x000D_
             CAUSE OF ERROR             _x000D_
_x000D_
java lang NullPointerException: Attempt to invoke virtual method _x000D_
 android content res Resources android content Context getResources()  _x000D_
on a null object reference at _x000D_
com owncloud android utils ThemeUtils primaryColor(ThemeUtils java:139) at _x000D_
com owncloud android utils ThemeUtils primaryColor(ThemeUtils java:125) at _x000D_
com owncloud android ui preview PreviewTextFragment getRenderedMarkdownText(PreviewTextFragment java:284) at _x000D_
com owncloud android ui preview PreviewTextFragment setText(PreviewTextFragment java:562) at _x000D_
com owncloud android ui preview PreviewTextFragment lambda performSearch 0 PreviewTextFragment(PreviewTextFragment java:270) at com owncloud android ui preview    Lambda PreviewTextFragment 8cnNMZfHrJC BSC1jdHMw1eFOds run(lambda) at android os Handler handleCallback(Handler java:746) at _x000D_
android os Handler dispatchMessage(Handler java:95) at android os Looper loop(Looper java:148) at _x000D_
android app ActivityThread main(ActivityThread java:5443) at java lang reflect Method invoke(Native Method) at com android internal os ZygoteInit MethodAndArgsCaller run(ZygoteInit java:728) at _x000D_
com android internal os ZygoteInit main(ZygoteInit java:618)_x000D_
_x000D_
             APP INFORMATION             _x000D_
ID: com nextcloud client _x000D_
Version: 30090090 _x000D_
Build flavor: generic_x000D_
_x000D_
             DEVICE INFORMATION              _x000D_
Brand: motorola _x000D_
Device: osprey u2 _x000D_
Model: MotoG3 _x000D_
Id: MPIS24 107 55 2 17 _x000D_
Product: osprey reteu 2gb_x000D_
_x000D_
             FIRMWARE              _x000D_
SDK: 23 _x000D_
Release: 6 0 1 _x000D_
Incremental: 19_x000D_
   </t>
  </si>
  <si>
    <t>SecUSo-privacy-friendly-sketching-2</t>
  </si>
  <si>
    <t xml:space="preserve">App crashes when pressing "Share" </t>
  </si>
  <si>
    <t xml:space="preserve">Steps to reproduce :
1  Open app
2  Add sketch
3  Sketch
4  Press three dots in the upper right corner
5  Press  Share  
6  See the app crash
100  reproducible  every time  </t>
  </si>
  <si>
    <t>square-react-native-square-reader-sdk-101</t>
  </si>
  <si>
    <t>SOLVED: authorizeAsync(authCode) crashes iPad, but not simulator.</t>
  </si>
  <si>
    <t xml:space="preserve">When I run the authorizeAsync method on an iPad  the app crashes and cannot restart  The code runs  as I am able to log the value after the await  however the app crashes (stops and force exits) right after  To run again  it needs to be reinstalled (deleted and rebuilt in xcode)  The app only crashes with a valid authcode  Invalid codes return proper error messages and the app continues running fine  _x000D_
_x000D_
It works as expected in the simulator however  _x000D_
_x000D_
Device permissions are working fine and handled in previous screens  _x000D_
_x000D_
    To Reproduce_x000D_
  For example   _x000D_
  1  Connect iPad device to Xcode and build app to that device_x000D_
  1  Call authorizeAsync(authCode)_x000D_
_x000D_
_x000D_
  Here the piece of code that reproduce the issue _x000D_
_x000D_
     javascript_x000D_
   import   authorizeAsync   from  react native square reader sdk  _x000D_
_x000D_
    authorizeReader   async (authCode)     _x000D_
        try  _x000D_
               using a generated mobile auth code for quick start_x000D_
            const authorizedLocation   await authorizeAsync(authCode) _x000D_
            console log(authorizedLocation) _x000D_
          catch(error)  _x000D_
            console log(error)_x000D_
         _x000D_
     _x000D_
     _x000D_
_x000D_
    Expected behavior_x000D_
Authorization method resolves and the app continues running  _x000D_
_x000D_
_x000D_
  Environment (please complete the following information):  _x000D_
_x000D_
    platform: iOS_x000D_
    OS and version: target iOS 11 1 _x000D_
    dev environment: MacOS 10 15_x000D_
    Reader SDK version: 1 3 0_x000D_
_x000D_
  React Native Environment Info:_x000D_
    System:_x000D_
      OS: macOS 10 15_x000D_
      CPU: (4) x64 Intel(R) Core(TM) i7 6567U CPU   3 30GHz_x000D_
      Memory: 440 02 MB   16 00 GB_x000D_
      Shell: 3 2 57    bin bash_x000D_
    Binaries:_x000D_
      Node: 8 16 1      nvm versions node v8 16 1 bin node_x000D_
      Yarn: 1 17 3    usr local bin yarn_x000D_
      npm: 6 11 3    usr local bin npm_x000D_
    SDKs:_x000D_
      iOS SDK:_x000D_
        Platforms: iOS 13 2  DriverKit 19 0  macOS 10 15  tvOS 13 2  watchOS 6 1_x000D_
    IDEs:_x000D_
      Xcode: 11 2 1 11B500    usr bin xcodebuild_x000D_
    npmPackages:_x000D_
      react: 16 8 3    16 8 3 _x000D_
      react native: https:  github com expo react native archive sdk 35 0 0 tar gz    0 59 8 _x000D_
_x000D_
Device:_x000D_
iPad Pro (9 7 inch)_x000D_
iOS 13 2 2_x000D_
_x000D_
_x000D_
    UPDATE:_x000D_
I added an exception breakpoint  and then called  bt  after the  (lldb)  in the console and this is what I got: _x000D_
   _x000D_
  thread  15  queue    com apple root default qos   stop reason   signal SIGABRT_x000D_
    frame  0: 0x000000018285a930 libsystem kernel dylib   abort with payload   8_x000D_
    frame  1: 0x000000018285ef24 libsystem kernel dylib abort with payload wrapper internal   100_x000D_
    frame  2: 0x000000018285ef54 libsystem kernel dylib abort with payload   12_x000D_
    frame  3: 0x0000000188c43cc8 TCC   CRASHING DUE TO PRIVACY VIOLATION     192_x000D_
    frame  4: 0x0000000188c43c08 TCC   TCCAccessRequest block invoke 124   540_x000D_
    frame  5: 0x0000000188c47b28 TCC   tccd send message block invoke   256_x000D_
    frame  6: 0x000000018263cc84 libxpc dylib  xpc connection reply callout   60_x000D_
    frame  7: 0x0000000182630f18 libxpc dylib  xpc connection call reply async   76_x000D_
    frame  8: 0x0000000108cfec58 libdispatch dylib  dispatch client callout3   16_x000D_
    frame  9: 0x0000000108d1a29c libdispatch dylib  dispatch mach msg async reply invoke   388_x000D_
    frame  10: 0x0000000108d1103c libdispatch dylib  dispatch kevent worker thread   1376_x000D_
    frame  11: 0x0000000182780fc0 libsystem pthread dylib  pthread wqthread   332_x000D_
   _x000D_
Frame 3 says     CRASHING DUE TO PRIVACY VIOLATION     however I followed the instructions for updating info plist  Here s a snippet of what I added for square in case I missed something:_x000D_
_x000D_
   _x000D_
	 key NSBluetoothPeripheralUsageDescription  key _x000D_
	 string This app integrates with Square for card processing  Square uses Bluetooth to connect your device to compatible hardware   string _x000D_
	 key NSCalendarsUsageDescription  key _x000D_
	 string Allow Buddy Kiosk2 to access your calendar  string _x000D_
	 key NSCameraUsageDescription  key _x000D_
	 string This app integrates with Square for card processing  Upload your account logo  feature photo and product images with the photos stored on your mobile device   string _x000D_
	 key NSContactsUsageDescription  key _x000D_
	 string Allow Buddy Kiosk2 to access your contacts  string _x000D_
	 key NSLocationWhenInUseUsageDescription  key _x000D_
	 string This app integrates with Square for card processing  To protect buyers and sellers  Square requires your location to process payments   string _x000D_
	 key NSMicrophoneUsageDescription  key _x000D_
	 string This app integrates with Square for card processing  To swipe magnetic cards via the headphone jack  Square requires access to the microphone   string _x000D_
	 key NSMotionUsageDescription  key _x000D_
	 string Allow Buddy Kiosk2 to access your device s accelerometer  string _x000D_
	 key NSPhotoLibraryAddUsageDescription  key _x000D_
	 string Give Buddy Kiosk2 permission to save photos  string _x000D_
	 key NSPhotoLibraryUsageDescription  key _x000D_
	 string This app integrates with Square for card processing  Upload your account logo  feature photo and product images with the photos stored on your mobile device   string _x000D_
	 key NSRemindersUsageDescription  key _x000D_
	 string Allow Buddy Kiosk2 to access your reminders  string _x000D_
   </t>
  </si>
  <si>
    <t>fossasia-pslab-android-2008</t>
  </si>
  <si>
    <t>App crash on Creating Config File</t>
  </si>
  <si>
    <t xml:space="preserve">  Actual Behaviour  _x000D_
When we try to Create Config File the app crashes _x000D_
_x000D_
  Expected Behaviour  _x000D_
Config File should be created_x000D_
_x000D_
  Steps to reproduce it  _x000D_
1 Open Generate Config File from Navigation Drawer_x000D_
2 Give some value to time interval_x000D_
3 Click on Create Config File_x000D_
_x000D_
  LogCat for the issue  _x000D_
 E AndroidRuntime: FATAL EXCEPTION: main_x000D_
    Process: io pslab  PID: 20018_x000D_
    java lang NoSuchMethodError: No static method join(Ljava lang CharSequence Ljava lang Iterable )Ljava lang String  in class Ljava lang String  or its super classes (declaration of  java lang String  appears in  system framework core oj jar)_x000D_
        at io pslab activity CreateConfigActivity createConfigFile(CreateConfigActivity java:187)_x000D_
        at io pslab activity CreateConfigActivity access 800(CreateConfigActivity java:31)_x000D_
        at io pslab activity CreateConfigActivity 3 onClick(CreateConfigActivity java:111)_x000D_
        at android view View performClick(View java:5619)_x000D_
        at android view View PerformClick run(View java:22298)_x000D_
        at android os Handler handleCallback(Handler java:754)_x000D_
        at android os Handler dispatchMessage(Handler java:95)_x000D_
        at android os Looper loop(Looper java:165)_x000D_
        at android app ActivityThread main(ActivityThread java:6375)_x000D_
        at java lang reflect Method invoke(Native Method)_x000D_
        at com android internal os ZygoteInit MethodAndArgsCaller run(ZygoteInit java:912)_x000D_
        at com android internal os ZygoteInit main(ZygoteInit java:802) _x000D_
_x000D_
  Would you like to work on the issue   _x000D_
Yes  but please guide me for the actual behaviour for this_x000D_
</t>
  </si>
  <si>
    <t>material-components-material-components-android-765</t>
  </si>
  <si>
    <t>[MaterialCheckBox] Crash with .Bridge theme and checkBoxStyle</t>
  </si>
  <si>
    <t xml:space="preserve">  Description:   App crashes when these 3 conditions are met:_x000D_
  layout features a MaterialCheckBox_x000D_
    Bridge  theme is used_x000D_
   checkBoxStyle  is set and inherits from  Widget MaterialComponents CompoundButton CheckBox _x000D_
_x000D_
  Expected behavior:   App doesn t crash_x000D_
_x000D_
  Android API version:   29_x000D_
_x000D_
  Material Library version:    1 1 0 beta01 _x000D_
_x000D_
  Device:   Emulator x86_x000D_
_x000D_
  Stack trace:  _x000D_
   _x000D_
2019 11 15 16:29:12 941 18783 18783 com test app E AndroidRuntime: FATAL EXCEPTION: main_x000D_
    Process: com test app  PID: 18783_x000D_
    android view InflateException: Binary XML file line  51 in com test app:layout registration page 1: Binary XML file line  51 in com test app:layout registration page 1: Error inflating class com google android material checkbox MaterialCheckBox_x000D_
    Caused by: android view InflateException: Binary XML file line  51 in com test app:layout registration page 1: Error inflating class com google android material checkbox MaterialCheckBox_x000D_
    Caused by: java lang reflect InvocationTargetException_x000D_
        at java lang reflect Constructor newInstance0(Native Method)_x000D_
        at java lang reflect Constructor newInstance(Constructor java:343)_x000D_
        at android view LayoutInflater createView(LayoutInflater java:854)_x000D_
        at android view LayoutInflater createViewFromTag(LayoutInflater java:1006)_x000D_
        at android view LayoutInflater createViewFromTag(LayoutInflater java:961)_x000D_
        at android view LayoutInflater rInflate(LayoutInflater java:1123)_x000D_
        at android view LayoutInflater rInflateChildren(LayoutInflater java:1084)_x000D_
        at android view LayoutInflater inflate(LayoutInflater java:682)_x000D_
        at android view LayoutInflater inflate(LayoutInflater java:534)_x000D_
        at androidx fragment app Fragment onCreateView(Fragment java:1737)_x000D_
        at androidx fragment app Fragment performCreateView(Fragment java:2695)_x000D_
        at androidx fragment app FragmentStateManager createView(FragmentStateManager java:286)_x000D_
        at androidx fragment app FragmentManager moveToState(FragmentManager java:1232)_x000D_
        at androidx fragment app FragmentManager moveToState(FragmentManager java:1398)_x000D_
        at androidx fragment app FragmentManager moveFragmentToExpectedState(FragmentManager java:1476)_x000D_
        at androidx fragment app BackStackRecord executeOps(BackStackRecord java:442)_x000D_
        at androidx fragment app FragmentManager executeOps(FragmentManager java:2333)_x000D_
        at androidx fragment app FragmentManager executeOpsTogether(FragmentManager java:2120)_x000D_
        at androidx fragment app FragmentManager removeRedundantOperationsAndExecute(FragmentManager java:2075)_x000D_
        at androidx fragment app FragmentManager execSingleAction(FragmentManager java:1946)_x000D_
        at androidx fragment app BackStackRecord commitNow(BackStackRecord java:297)_x000D_
        at androidx viewpager2 adapter FragmentStateAdapter placeFragmentInViewHolder(FragmentStateAdapter java:341)_x000D_
        at androidx viewpager2 adapter FragmentStateAdapter onViewAttachedToWindow(FragmentStateAdapter java:276)_x000D_
        at androidx viewpager2 adapter FragmentStateAdapter onViewAttachedToWindow(FragmentStateAdapter java:67)_x000D_
        at androidx recyclerview widget RecyclerView dispatchChildAttached(RecyclerView java:7547)_x000D_
        at androidx recyclerview widget RecyclerView 5 addView(RecyclerView java:860)_x000D_
        at androidx recyclerview widget ChildHelper addView(ChildHelper java:107)_x000D_
        at androidx recyclerview widget RecyclerView LayoutManager addViewInt(RecyclerView java:8592)_x000D_
        at androidx recyclerview widget RecyclerView LayoutManager addView(RecyclerView java:8550)_x000D_
        at androidx recyclerview widget RecyclerView LayoutManager addView(RecyclerView java:8538)_x000D_
        at androidx recyclerview widget LinearLayoutManager layoutChunk(LinearLayoutManager java:1641)_x000D_
        at androidx recyclerview widget LinearLayoutManager fill(LinearLayoutManager java:1587)_x000D_
        at androidx recyclerview widget LinearLayoutManager onLayoutChildren(LinearLayoutManager java:665)_x000D_
        at androidx recyclerview widget RecyclerView dispatchLayoutStep2(RecyclerView java:4132)_x000D_
        at androidx recyclerview widget RecyclerView dispatchLayout(RecyclerView java:3849)_x000D_
        at androidx recyclerview widget RecyclerView onLayout(RecyclerView java:4402)_x000D_
        at android view View layout(View java:21912)_x000D_
        at android view ViewGroup layout(ViewGroup java:6260)_x000D_
        at androidx viewpager2 widget ViewPager2 onLayout(ViewPager2 java:514)_x000D_
        at android view View layout(View java:21912)_x000D_
        at android view ViewGroup layout(ViewGroup java:6260)_x000D_
        at androidx constraintlayout widget ConstraintLayout onLayout(ConstraintLayout java:1656)_x000D_
        at android view View layout(View java:21912)_x000D_
2019 11 15 16:29:12 943 18783 18783 com test app E AndroidRuntime:     at android view ViewGroup layout(ViewGroup java:6260)_x000D_
        at android widget LinearLayout setChildFrame(LinearLayout java:1829)_x000D_
        at android widget LinearLayout layoutVertical(LinearLayout java:1673)_x000D_
        at android widget LinearLayout onLayout(LinearLayout java:1582)_x000D_
        at android view View layout(View java:21912)_x000D_
        at android view ViewGroup layout(ViewGroup java:6260)_x000D_
        at android widget FrameLayout layoutChildren(FrameLayout java:332)_x000D_
        at android widget FrameLayout onLayout(FrameLayout java:270)_x000D_
        at android view View layout(View java:21912)_x000D_
        at android view ViewGroup layout(ViewGroup java:6260)_x000D_
        at androidx constraintlayout widget ConstraintLayout onLayout(ConstraintLayout java:1656)_x000D_
        at android view View layout(View java:21912)_x000D_
        at android view ViewGroup layout(ViewGroup java:6260)_x000D_
        at android widget FrameLayout layoutChildren(FrameLayout java:332)_x000D_
        at android widget FrameLayout onLayout(FrameLayout java:270)_x000D_
        at android view View layout(View java:21912)_x000D_
        at android view ViewGroup layout(ViewGroup java:6260)_x000D_
        at androidx drawerlayout widget DrawerLayout onLayout(DrawerLayout java:1231)_x000D_
        at android view View layout(View java:21912)_x000D_
        at android view ViewGroup layout(ViewGroup java:6260)_x000D_
        at android widget FrameLayout layoutChildren(FrameLayout java:332)_x000D_
        at android widget FrameLayout onLayout(FrameLayout java:270)_x000D_
        at android view View layout(View java:21912)_x000D_
        at android view ViewGroup layout(ViewGroup java:6260)_x000D_
        at android widget LinearLayout setChildFrame(LinearLayout java:1829)_x000D_
        at android widget LinearLayout layoutVertical(LinearLayout java:1673)_x000D_
        at android widget LinearLayout onLayout(LinearLayout java:1582)_x000D_
        at android view View layout(View java:21912)_x000D_
        at android view ViewGroup layout(ViewGroup java:6260)_x000D_
        at android widget FrameLayout layoutChildren(FrameLayout java:332)_x000D_
        at android widget FrameLayout onLayout(FrameLayout java:270)_x000D_
        at android view View layout(View java:21912)_x000D_
        at android view ViewGroup layout(ViewGroup java:6260)_x000D_
        at android widget LinearLayout setChildFrame(LinearLayout java:1829)_x000D_
        at android widget LinearLayout layoutVertical(LinearLayout java:1673)_x000D_
        at android widget LinearLayout onLayout(LinearLayout java:1582)_x000D_
        at android view View layout(View java:21912)_x000D_
        at android view ViewGroup layout(ViewGroup java:6260)_x000D_
        at android widget FrameLayout layoutChildren(FrameLayout java:332)_x000D_
        at android widget FrameLayout onLayout(FrameLayout java:270)_x000D_
        at com android internal policy DecorView onLayout(DecorView java:779)_x000D_
        at android view View layout(View java:21912)_x000D_
        at android view ViewGroup layout(ViewGroup java:6260)_x000D_
        at android view ViewRootImpl performLayout(ViewRootImpl java:3080)_x000D_
        at android view ViewRootImpl performTraversals(ViewRootImpl java:2590)_x000D_
        at android view ViewRootImpl doTraversal(ViewRootImpl java:1721)_x000D_
        at android view ViewRootImpl TraversalRunnable run(ViewRootImpl java:7598)_x000D_
        at android view Choreographer CallbackRecord run(Choreographer java:966)_x000D_
        at android view Choreographer doCallbacks(Choreographer java:790)_x000D_
        at android view Choreographer doFrame(Choreographer java:725)_x000D_
        at android view Choreographer FrameDisplayEventReceiver run(Choreographer java:951)_x000D_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Caused by: java lang UnsupportedOperationException: Failed to resolve attribute at index 36: TypedValue t 0x2 d 0x7f030263 a 6 _x000D_
        at android content res TypedArray getDimensionPixelSize(TypedArray java:781)_x000D_
        at android view View  init (View java:5519)_x000D_
        at android widget TextView  init (TextView java:974)_x000D_
        at android widget Button  init (Button java:166)_x000D_
        at android widget CompoundButton  init (CompoundButton java:100)_x000D_
2019 11 15 16:29:12 943 18783 18783 com test app E AndroidRuntime:     at android widget CheckBox  init (CheckBox java:69)_x000D_
        at android widget CheckBox  init (CheckBox java:65)_x000D_
        at androidx appcompat widget AppCompatCheckBox  init (AppCompatCheckBox java:69)_x000D_
        at com google android material checkbox MaterialCheckBox  init (MaterialCheckBox java:65)_x000D_
        at com google android material checkbox MaterialCheckBox  init (MaterialCheckBox java:61)_x000D_
        	    101 more_x000D_
   _x000D_
_x000D_
Same happens when I use  CheckBox  directly instead of  com google android material checkbox MaterialCheckBox </t>
  </si>
  <si>
    <t>inaturalist-iNaturalistAndroid-751</t>
  </si>
  <si>
    <t>https:  console firebase google com u 2 project inaturalist ios crashlytics app android:org inaturalist android issues 4c4dc0fe90a1f495156bb87038619d14 time last seven days sessionId 5DCCA973010200015DC6F1BEA0901B0C DNE 0 v2_x000D_
_x000D_
   _x000D_
Fatal Exception: java lang NullPointerException: Attempt to invoke virtual method  boolean java util ArrayList add(java lang Object)  on a null object reference_x000D_
       at org inaturalist android ObservationEditor 34 run(ObservationEditor java:2694)_x000D_
       at java lang Thread run(Thread java:919)_x000D_
   _x000D_
_x000D_
Seems restricted to build 381</t>
  </si>
  <si>
    <t>react-native-camera-react-native-camera-2587</t>
  </si>
  <si>
    <t>[Android] RNCamera crashes/freezes occasionally</t>
  </si>
  <si>
    <t xml:space="preserve">  Bug Report_x000D_
_x000D_
  To Do First  _x000D_
_x000D_
   x  Did you try latest release _x000D_
   x  Did you try master _x000D_
   x  Did you look for existing matching issues _x000D_
_x000D_
  Platforms  _x000D_
_x000D_
    Comment in the related ones   _x000D_
Android_x000D_
    iOS   _x000D_
_x000D_
  Versions  _x000D_
_x000D_
    Please add the used versions branches or leave blank and comment in the optionals if used   _x000D_
_x000D_
  Android:_x000D_
  react native camera: 3 9 0_x000D_
  react native: 0 61 4_x000D_
  react: 16 11 0_x000D_
  react navigation: 4 0 10_x000D_
_x000D_
  Description Current Behaviour  _x000D_
I have an app that uses  react navigation tabs  (picture shown below)  One of the tab displays a  RNCamera  and used as a barcode scanner  The problem I m running into is the tab with  RNCamera  will occasionally freezes crashes the app completely  _x000D_
_x000D_
I ran  adb logcat  to see what s going on but I m not very efficient with Android native to tell so I m going to post here _x000D_
_x000D_
When the  RNCamera  is working  here s what shown in the  adb logcat _x000D_
  image (https:  user images githubusercontent com 25516557 68874225 7554bb80 06c6 11ea 809a d164eab395b0 png)_x000D_
and here s the screen of a simulator:_x000D_
  image (https:  user images githubusercontent com 25516557 68874253 83a2d780 06c6 11ea 8cd5 ac5782d0011a png)_x000D_
_x000D_
When the  RNCamera  isn t working:_x000D_
  image (https:  user images githubusercontent com 25516557 68874286 91f0f380 06c6 11ea 98ef 15f23d35d880 png)_x000D_
and here s the screen:_x000D_
  image (https:  user images githubusercontent com 25516557 68874807 6a4e5b00 06c7 11ea 95a8 7314ed79349c png)_x000D_
_x000D_
I noticed the difference between two  logcat  is  Camera3 Device  related logs are nowhere to be found in the logcat when  RNCamera is not working  _x000D_
_x000D_
More detail:_x000D_
1  The screen (1) that contains the  RNCamera  is a StackNavigator _x000D_
2  Upon mount  (1) will check for CAMERA permission and request CAMERA permission if appropriate _x000D_
_x000D_
  image (https:  user images githubusercontent com 25516557 68874570 0b88e180 06c7 11ea 94e5 150390fc6589 png)_x000D_
  Scanner    is a regular component (not a React Navigation Component) that houses the  RNCamera   I tried leaving just the  RNCamera  there without any parent or child  the issue is still happening  _x000D_
_x000D_
  image (https:  user images githubusercontent com 25516557 68874667 36733580 06c7 11ea 8b4a a9b71aa2545e png)_x000D_
This is the Navigation Screen that houses the  Scanner  (which in turns render  RNCamera )  _x000D_
_x000D_
  Expected Behaviour  _x000D_
Should not crash freeze_x000D_
_x000D_
  Steps to Reproduce  _x000D_
TBA</t>
  </si>
  <si>
    <t>classapp-react-native-video-helper-16</t>
  </si>
  <si>
    <t>Without rotated property crash on compress.</t>
  </si>
  <si>
    <t xml:space="preserve">Try compress a video recorded in some devices who don t save in metadata rotated property  When try compress app crash </t>
  </si>
  <si>
    <t>jordanbyron-react-native-quick-actions-90</t>
  </si>
  <si>
    <t>userInfo &amp; userInfo.url required for Android when calling setShortcutItems</t>
  </si>
  <si>
    <t xml:space="preserve">On Android  the only way to get my Android build to work is to specify the  userInfo  property with a  url  field _x000D_
_x000D_
This works:_x000D_
   _x000D_
QuickActions setShortcutItems( _x000D_
       _x000D_
        type:  my type  _x000D_
        title:  Action title  _x000D_
        icon:  my icon  _x000D_
        userInfo:  _x000D_
           url:       for some reason this is required_x000D_
         _x000D_
        _x000D_
 )_x000D_
   _x000D_
_x000D_
But this crashes the app:_x000D_
   _x000D_
QuickActions setShortcutItems( _x000D_
       _x000D_
        type:  my type  _x000D_
        title:  Action title  _x000D_
        icon:  my icon _x000D_
        _x000D_
 )_x000D_
   _x000D_
_x000D_
Is userInfo url required on Android  If so  the readme could be updated to say that  I m just curious and making sure i m not doing anything wrong  Thanks for the awesome library </t>
  </si>
  <si>
    <t>commons-app-apps-android-commons-3203</t>
  </si>
  <si>
    <t>Review: App crash when rotating the Peer Review screen</t>
  </si>
  <si>
    <t xml:space="preserve">  Summary:   _x000D_
_x000D_
Summarize your issue in one sentence (what goes wrong  what did you expect to happen)_x000D_
_x000D_
App is getting crash when I rotate the screen for  Is this correctly categorized   title _x000D_
_x000D_
_x000D_
  Steps to reproduce:   _x000D_
_x000D_
How can we reproduce the issue  _x000D_
What did you expect the app to do  and what did you see instead _x000D_
_x000D_
Steps to reproduce_x000D_
_x000D_
1  Go to the Navigation Drawer and click on  Review  _x000D_
2   Click  seems fine  2 times for the image _x000D_
3  Now  Is this correctly categorized   title will come _x000D_
4  Rotate the screen  app will crash _x000D_
 _x000D_
  Screenshot 2019 11 13 17 43 59 (https:  user images githubusercontent com 24900514 68792392 1b89be00 0600 11ea 8e4d ec145f3aa52a png)_x000D_
  Screenshot 2019 11 13 17 44 11 (https:  user images githubusercontent com 24900514 68792396 1fb5db80 0600 11ea 8ebc 3939fe40a114 png)_x000D_
_x000D_
_x000D_
_x000D_
  Device and Android version:   _x000D_
_x000D_
SONY XPERIA Android version 5_x000D_
_x000D_
_x000D_
 _x000D_
  Commons app version:   _x000D_
_x000D_
2 11 0_x000D_
_x000D_
  Screen shots:   _x000D_
_x000D_
_x000D_
  Would you like to work on the issue   _x000D_
_x000D_
YES_x000D_
</t>
  </si>
  <si>
    <t>renyuneyun-Easer-290</t>
  </si>
  <si>
    <t xml:space="preserve">  Describe the bug  _x000D_
Easer crashes when I save a new script _x000D_
_x000D_
  To Reproduce  _x000D_
Steps to reproduce the behavior:_x000D_
1  Install Easer 0 7 9beta from F Droid_x000D_
2  Start Easer_x000D_
3   Turn on External logging  (Grant access   )_x000D_
4  Stop Easer_x000D_
5  Start Easer_x000D_
6  Create Event: Timer: Longer Time   Inexact   1 Minutes   One Time_x000D_
7  Create Profile: WiFi On_x000D_
8  Create Script: Profile as above  Event as above   Repeatable   Volatile_x000D_
9  Save   Crash_x000D_
_x000D_
  Expected behavior  _x000D_
Well  it should not crash _x000D_
_x000D_
  Error log:  _x000D_
   _x000D_
BUILD CONFIG:   _x000D_
APP VERSION CODE: 121001_x000D_
USER CRASH DATE: 2019 11 13T10:20:21 344 01:00_x000D_
ANDROID VERSION: 8 1 0_x000D_
BRAND: Unihertz_x000D_
PHONE MODEL: Jelly Pro_x000D_
PRODUCT: Jelly Pro_x000D_
STACK TRACE: java lang NullPointerException: Attempt to invoke interface method  int java util Set size()  on a null object reference_x000D_
	at ryey easer core a a a a d d a(ScriptSerializer java:7)_x000D_
	at ryey easer core a a a a d d a(ScriptSerializer java:1)_x000D_
	at ryey easer core a a a d a(FileDataStorageBackendHelper java:8)_x000D_
	at ryey easer core a a a a d b a(JsonScriptDataStorageBackend java:7)_x000D_
	at ryey easer core a a a a d b a(JsonScriptDataStorageBackend java:1)_x000D_
	at ryey easer core a a a a(AbstractDataStorage java:10)_x000D_
	at ryey easer core ui a f c(AbstractEditDataActivity java:14)_x000D_
	at ryey easer core ui a f onOptionsItemSelected(AbstractEditDataActivity java:3)_x000D_
	at ryey easer core ui data script EditScriptActivity onOptionsItemSelected(EditScriptActivity java:2)_x000D_
	at android app Activity onMenuItemSelected(Activity java:3464)_x000D_
	at b j a k onMenuItemSelected(FragmentActivity java:1)_x000D_
	at androidx appcompat app o onMenuItemSelected(AppCompatActivity java:1)_x000D_
	at b a d j onMenuItemSelected(WindowCallbackWrapper java:1)_x000D_
	at androidx appcompat app z a(AppCompatDelegateImpl java:47)_x000D_
	at androidx appcompat view menu l a(MenuBuilder java:48)_x000D_
	at androidx appcompat view menu p g(MenuItemImpl java:2)_x000D_
	at androidx appcompat view menu l a(MenuBuilder java:84)_x000D_
	at androidx appcompat view menu l a(MenuBuilder java:81)_x000D_
	at androidx appcompat widget ActionMenuView a(ActionMenuView java:16)_x000D_
	at androidx appcompat view menu ActionMenuItemView onClick(ActionMenuItemView java:2)_x000D_
	at android view View performClick(View java:6306)_x000D_
	at android view View PerformClick run(View java:24957)_x000D_
	at android os Handler handleCallback(Handler java:790)_x000D_
	at android os Handler dispatchMessage(Handler java:99)_x000D_
	at android os Looper loop(Looper java:164)_x000D_
	at android app ActivityThread main(ActivityThread java:6548)_x000D_
	at java lang reflect Method invoke(Native Method)_x000D_
	at com android internal os RuntimeInit MethodAndArgsCaller run(RuntimeInit java:438)_x000D_
	at com android internal os ZygoteInit main(ZygoteInit java:857)_x000D_
   _x000D_
_x000D_
  Extra phone info (please complete the following information):  _x000D_
   ROM: Android 8 1 0  security patch level 5 9 2019_x000D_
</t>
  </si>
  <si>
    <t>CMPUT301F19T09-vibes-102</t>
  </si>
  <si>
    <t>Database initialization for unit/intent testing</t>
  </si>
  <si>
    <t xml:space="preserve">Database is not initialized correctly for testing  Thus when a test gets to the point where it tries to work with the user class (which will inevitably make a call to the database) the test crashes _x000D_
_x000D_
Below is an example stack trace:_x000D_
   _x000D_
java lang ExceptionInInitializerError_x000D_
	at com google firebase FirebaseApp  clinit (com google firebase:firebase common  19 2 0:97)_x000D_
	at com google firebase firestore FirebaseFirestore getInstance(com google firebase:firebase firestore  21 2 1:87)_x000D_
	at com cmput301f19t09 vibes models User  init (User java:93)_x000D_
	at com cmput301f19t09 vibes models UserManager registerUser(UserManager java:44)_x000D_
	at com cmput301f19t09 vibes UserManagerTest testRegisterUser(UserManagerTest java:21)_x000D_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org junit platform commons util ReflectionUtils invokeMethod(ReflectionUtils java:389)_x000D_
	at org junit jupiter engine execution ExecutableInvoker invoke(ExecutableInvoker java:115)_x000D_
	at org junit jupiter engine descriptor TestMethodTestDescriptor lambda invokeTestMethod 6(TestMethodTestDescriptor java:167)_x000D_
	at org junit jupiter engine execution ThrowableCollector execute(ThrowableCollector java:40)_x000D_
	at org junit jupiter engine descriptor TestMethodTestDescriptor invokeTestMethod(TestMethodTestDescriptor java:163)_x000D_
	at org junit jupiter engine descriptor TestMethodTestDescriptor execute(TestMethodTestDescriptor java:110)_x000D_
	at org junit jupiter engine descriptor TestMethodTestDescriptor execute(TestMethodTestDescriptor java:57)_x000D_
	at org junit platform engine support hierarchical HierarchicalTestExecutor lambda execute 3(HierarchicalTestExecutor java:83)_x000D_
	at org junit platform engine support hierarchical SingleTestExecutor executeSafely(SingleTestExecutor java:66)_x000D_
	at org junit platform engine support hierarchical HierarchicalTestExecutor execute(HierarchicalTestExecutor java:77)_x000D_
	at org junit platform engine support hierarchical HierarchicalTestExecutor lambda null 2(HierarchicalTestExecutor java:92)_x000D_
	at java util stream ForEachOps ForEachOp OfRef accept(ForEachOps java:184)_x000D_
	at java util stream ReferencePipeline 2 1 accept(ReferencePipeline java:175)_x000D_
	at java util Iterator forEachRemaining(Iterator java:116)_x000D_
	at java util Spliterators IteratorSpliterator forEachRemaining(Spliterators java:1801)_x000D_
	at java util stream AbstractPipeline copyInto(AbstractPipeline java:481)_x000D_
	at java util stream AbstractPipeline wrapAndCopyInto(AbstractPipeline java:471)_x000D_
	at java util stream ForEachOps ForEachOp evaluateSequential(ForEachOps java:151)_x000D_
	at java util stream ForEachOps ForEachOp OfRef evaluateSequential(ForEachOps java:174)_x000D_
	at java util stream AbstractPipeline evaluate(AbstractPipeline java:234)_x000D_
	at java util stream ReferencePipeline forEach(ReferencePipeline java:418)_x000D_
	at org junit platform engine support hierarchical HierarchicalTestExecutor lambda execute 3(HierarchicalTestExecutor java:92)_x000D_
	at org junit platform engine support hierarchical SingleTestExecutor executeSafely(SingleTestExecutor java:66)_x000D_
	at org junit platform engine support hierarchical HierarchicalTestExecutor execute(HierarchicalTestExecutor java:77)_x000D_
	at org junit platform engine support hierarchical HierarchicalTestExecutor lambda null 2(HierarchicalTestExecutor java:92)_x000D_
	at java util stream ForEachOps ForEachOp OfRef accept(ForEachOps java:184)_x000D_
	at java util stream ReferencePipeline 2 1 accept(ReferencePipeline java:175)_x000D_
	at java util Iterator forEachRemaining(Iterator java:116)_x000D_
	at java util Spliterators IteratorSpliterator forEachRemaining(Spliterators java:1801)_x000D_
	at java util stream AbstractPipeline copyInto(AbstractPipeline java:481)_x000D_
	at java util stream AbstractPipeline wrapAndCopyInto(AbstractPipeline java:471)_x000D_
	at java util stream ForEachOps ForEachOp evaluateSequential(ForEachOps java:151)_x000D_
	at java util stream ForEachOps ForEachOp OfRef evaluateSequential(ForEachOps java:174)_x000D_
	at java util stream AbstractPipeline evaluate(AbstractPipeline java:234)_x000D_
	at java util stream ReferencePipeline forEach(ReferencePipeline java:418)_x000D_
	at org junit platform engine support hierarchical HierarchicalTestExecutor lambda execute 3(HierarchicalTestExecutor java:92)_x000D_
	at org junit platform engine support hierarchical SingleTestExecutor executeSafely(SingleTestExecutor java:66)_x000D_
	at org junit platform engine support hierarchical HierarchicalTestExecutor execute(HierarchicalTestExecutor java:77)_x000D_
	at org junit platform engine support hierarchical HierarchicalTestExecutor execute(HierarchicalTestExecutor java:51)_x000D_
	at org junit platform engine support hierarchical HierarchicalTestEngine execute(HierarchicalTestEngine java:43)_x000D_
	at org junit platform launcher core DefaultLauncher execute(DefaultLauncher java:170)_x000D_
	at org junit platform launcher core DefaultLauncher execute(DefaultLauncher java:154)_x000D_
	at org junit platform launcher core DefaultLauncher execute(DefaultLauncher java:90)_x000D_
	at com intellij junit5 JUnit5IdeaTestRunner startRunnerWithArgs(JUnit5IdeaTestRunner java:69)_x000D_
	at com intellij rt execution junit IdeaTestRunner Repeater startRunnerWithArgs(IdeaTestRunner java:47)_x000D_
	at com intellij rt execution junit JUnitStarter prepareStreamsAndStart(JUnitStarter java:242)_x000D_
	at com intellij rt execution junit JUnitStarter main(JUnitStarter java:70)_x000D_
Caused by: java lang RuntimeException: Method getMainLooper in android os Looper not mocked  See http:  g co androidstudio not mocked for details _x000D_
	at android os Looper getMainLooper(Looper java)_x000D_
	at com google firebase FirebaseApp UiExecutor  clinit (com google firebase:firebase common  19 2 0:672)_x000D_
	    56 more_x000D_
_x000D_
_x000D_
java lang NullPointerException_x000D_
	at com cmput301f19t09 vibes models User readData(User java:163)_x000D_
	at com cmput301f19t09 vibes models UserManager registerUser(UserManager java:47)_x000D_
	at com cmput301f19t09 vibes UserManagerTest testGetUser(UserManagerTest java:55)_x000D_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org junit platform commons util ReflectionUtils invokeMethod(ReflectionUtils java:389)_x000D_
	at org junit jupiter engine execution ExecutableInvoker invoke(ExecutableInvoker java:115)_x000D_
	at org junit jupiter engine descriptor TestMethodTestDescriptor lambda invokeTestMethod 6(TestMethodTestDescriptor java:167)_x000D_
	at org junit jupiter engine execution ThrowableCollector execute(ThrowableCollector java:40)_x000D_
	at org junit jupiter engine descriptor TestMethodTestDescriptor invokeTestMethod(TestMethodTestDescriptor java:163)_x000D_
	at org junit jupiter engine descriptor TestMethodTestDescriptor execute(TestMethodTestDescriptor java:110)_x000D_
	at org junit jupiter engine descriptor TestMethodTestDescriptor execute(TestMethodTestDescriptor java:57)_x000D_
	at org junit platform engine support hierarchical HierarchicalTestExecutor lambda execute 3(HierarchicalTestExecutor java:83)_x000D_
	at org junit platform engine support hierarchical SingleTestExecutor executeSafely(SingleTestExecutor java:66)_x000D_
	at org junit platform engine support hierarchical HierarchicalTestExecutor execute(HierarchicalTestExecutor java:77)_x000D_
	at org junit platform engine support hierarchical HierarchicalTestExecutor lambda null 2(HierarchicalTestExecutor java:92)_x000D_
	at java util stream ForEachOps ForEachOp OfRef accept(ForEachOps java:184)_x000D_
	at java util stream ReferencePipeline 2 1 accept(ReferencePipeline java:175)_x000D_
	at java util Iterator forEachRemaining(Iterator java:116)_x000D_
	at java util Spliterators IteratorSpliterator forEachRemaining(Spliterators java:1801)_x000D_
	at java util stream AbstractPipeline copyInto(AbstractPipeline java:481)_x000D_
	at java util stream AbstractPipeline wrapAndCopyInto(AbstractPipeline java:471)_x000D_
	at java util stream ForEachOps ForEachOp evaluateSequential(ForEachOps java:151)_x000D_
	at java util stream ForEachOps ForEachOp OfRef evaluateSequential(ForEachOps java:174)_x000D_
	at java util stream AbstractPipeline evaluate(AbstractPipeline java:234)_x000D_
	at java util stream ReferencePipeline forEach(ReferencePipeline java:418)_x000D_
	at org junit platform engine support hierarchical HierarchicalTestExecutor lambda execute 3(HierarchicalTestExecutor java:92)_x000D_
	at org junit platform engine support hierarchical SingleTestExecutor executeSafely(SingleTestExecutor java:66)_x000D_
	at org junit platform engine support hierarchical HierarchicalTestExecutor execute(HierarchicalTestExecutor java:77)_x000D_
	at org junit platform engine support hierarchical HierarchicalTestExecutor lambda null 2(HierarchicalTestExecutor java:92)_x000D_
	at java util stream ForEachOps ForEachOp OfRef accept(ForEachOps java:184)_x000D_
	at java util stream ReferencePipeline 2 1 accept(ReferencePipeline java:175)_x000D_
	at java util Iterator forEachRemaining(Iterator java:116)_x000D_
	at java util Spliterators IteratorSpliterator forEachRemaining(Spliterators java:1801)_x000D_
	at java util stream AbstractPipeline copyInto(AbstractPipeline java:481)_x000D_
	at java util stream AbstractPipeline wrapAndCopyInto(AbstractPipeline java:471)_x000D_
	at java util stream ForEachOps ForEachOp evaluateSequential(ForEachOps java:151)_x000D_
	at java util stream ForEachOps ForEachOp OfRef evaluateSequential(ForEachOps java:174)_x000D_
	at java util stream AbstractPipeline evaluate(AbstractPipeline java:234)_x000D_
	at java util stream ReferencePipeline forEach(ReferencePipeline java:418)_x000D_
	at org junit platform engine support hierarchical HierarchicalTestExecutor lambda execute 3(HierarchicalTestExecutor java:92)_x000D_
	at org junit platform engine support hierarchical SingleTestExecutor executeSafely(SingleTestExecutor java:66)_x000D_
	at org junit platform engine support hierarchical HierarchicalTestExecutor execute(HierarchicalTestExecutor java:77)_x000D_
	at org junit platform engine support hierarchical HierarchicalTestExecutor execute(HierarchicalTestExecutor java:51)_x000D_
	at org junit platform engine support hierarchical HierarchicalTestEngine execute(HierarchicalTestEngine java:43)_x000D_
	at org junit platform launcher core DefaultLauncher execute(DefaultLauncher java:170)_x000D_
	at org junit platform launcher core DefaultLauncher execute(DefaultLauncher java:154)_x000D_
	at org junit platform launcher core DefaultLauncher execute(DefaultLauncher java:90)_x000D_
	at com intellij junit5 JUnit5IdeaTestRunner startRunnerWithArgs(JUnit5IdeaTestRunner java:69)_x000D_
	at com intellij rt execution junit IdeaTestRunner Repeater startRunnerWithArgs(IdeaTestRunner java:47)_x000D_
	at com intellij rt execution junit JUnitStarter prepareStreamsAndStart(JUnitStarter java:242)_x000D_
	at com intellij rt execution junit JUnitStarter main(JUnitStarter java:70)_x000D_
_x000D_
_x000D_
java lang NullPointerException_x000D_
	at com cmput301f19t09 vibes models User readData(User java:163)_x000D_
	at com cmput301f19t09 vibes models UserManager registerUser(UserManager java:47)_x000D_
	at com cmput301f19t09 vibes UserManagerTest testUnregisterUser(UserManagerTest java:41)_x000D_
	at sun reflect NativeMethodAccessorImpl invoke0(Native Method)_x000D_
	at sun reflect NativeMethodAccessorImpl invoke(NativeMethodAccessorImpl java:62)_x000D_
	at sun reflect DelegatingMethodAccessorImpl invoke(DelegatingMethodAccessorImpl java:43)_x000D_
	at java lang reflect Method invoke(Method java:498)_x000D_
	at org junit platform commons util ReflectionUtils invokeMethod(ReflectionUtils java:389)_x000D_
	at org junit jupiter engine execution ExecutableInvoker invoke(ExecutableInvoker java:115)_x000D_
	at org junit jupiter engine descriptor TestMethodTestDescriptor lambda invokeTestMethod 6(TestMethodTestDescriptor java:167)_x000D_
	at org junit jupiter engine execution ThrowableCollector execute(ThrowableCollector java:40)_x000D_
	at org junit jupiter engine descriptor TestMethodTestDescriptor invokeTestMethod(TestMethodTestDescriptor java:163)_x000D_
	at org junit jupiter engine descriptor TestMethodTestDescriptor execute(TestMethodTestDescriptor java:110)_x000D_
	at org junit jupiter engine descriptor TestMethodTestDescriptor execute(TestMethodTestDescriptor java:57)_x000D_
	at org junit platform engine support hierarchical HierarchicalTestExecutor lambda execute 3(HierarchicalTestExecutor java:83)_x000D_
	at org junit platform engine support hierarchical SingleTestExecutor executeSafely(SingleTestExecutor java:66)_x000D_
	at org junit platform engine support hierarchical HierarchicalTestExecutor execute(HierarchicalTestExecutor java:77)_x000D_
	at org junit platform engine support hierarchical HierarchicalTestExecutor lambda null 2(HierarchicalTestExecutor java:92)_x000D_
	at java util stream ForEachOps ForEachOp OfRef accept(ForEachOps java:184)_x000D_
	at java util stream ReferencePipeline 2 1 accept(ReferencePipeline java:175)_x000D_
	at java util Iterator forEachRemaining(Iterator java:116)_x000D_
	at java util Spliterators IteratorSpliterator forEachRemaining(Spliterators java:1801)_x000D_
	at java util stream AbstractPipeline copyInto(AbstractPipeline java:481)_x000D_
	at java util stream AbstractPipeline wrapAndCopyInto(AbstractPipeline java:471)_x000D_
	at java util stream ForEachOps ForEachOp evaluateSequential(ForEachOps java:151)_x000D_
	at java util stream ForEachOps ForEachOp OfRef evaluateSequential(ForEachOps java:174)_x000D_
	at java util stream AbstractPipeline evaluate(AbstractPipeline java:234)_x000D_
	at java util stream ReferencePipeline forEach(ReferencePipeline java:418)_x000D_
	at org junit platform engine support hierarchical HierarchicalTestExecutor lambda execute 3(HierarchicalTestExecutor java:92)_x000D_
	at org junit platform engine support hierarchical SingleTestExecutor executeSafely(SingleTestExecutor java:66)_x000D_
	at org junit platform engine support hierarchical HierarchicalTestExecutor execute(HierarchicalTestExecutor java:77)_x000D_
	at org junit platform engine support hierarchical HierarchicalTestExecutor lambda null 2(HierarchicalTestExecutor java:92)_x000D_
	at java util stream ForEachOps ForEachOp OfRef accept(ForEachOps java:184)_x000D_
	at java util stream ReferencePipeline 2 1 accept(ReferencePipeline java:175)_x000D_
	at java util Iterator forEachRemaining(Iterator java:116)_x000D_
	at java util Spliterators IteratorSpliterator forEachRemaining(Spliterators java:1801)_x000D_
	at java util stream AbstractPipeline copyInto(AbstractPipeline java:481)_x000D_
	at java util stream AbstractPipeline wrapAndCopyInto(AbstractPipeline java:471)_x000D_
	at java util stream ForEachOps ForEachOp evaluateSequential(ForEachOps java:151)_x000D_
	at java util stream ForEachOps ForEachOp OfRef evaluateSequential(ForEachOps java:174)_x000D_
	at java util stream AbstractPipeline evaluate(AbstractPipeline java:234)_x000D_
	at java util stream ReferencePipeline forEach(ReferencePipeline java:418)_x000D_
	at org junit platform engine support hierarchical HierarchicalTestExecutor lambda execute 3(HierarchicalTestExecutor java:92)_x000D_
	at org junit platform engine support hierarchical SingleTestExecutor executeSafely(SingleTestExecutor java:66)_x000D_
	at org junit platform engine support hierarchical HierarchicalTestExecutor execute(HierarchicalTestExecutor java:77)_x000D_
	at org junit platform engine support hierarchical HierarchicalTestExecutor execute(HierarchicalTestExecutor java:51)_x000D_
	at org junit platform engine support hierarchical HierarchicalTestEngine execute(HierarchicalTestEngine java:43)_x000D_
	at org junit platform launcher core DefaultLauncher execute(DefaultLauncher java:170)_x000D_
	at org junit platform launcher core DefaultLauncher execute(DefaultLauncher java:154)_x000D_
	at org junit platform launcher core DefaultLauncher execute(DefaultLauncher java:90)_x000D_
	at com intellij junit5 JUnit5IdeaTestRunner startRunnerWithArgs(JUnit5IdeaTestRunner java:69)_x000D_
	at com intellij rt execution junit IdeaTestRunner Repeater startRunnerWithArgs(IdeaTestRunner java:47)_x000D_
	at com intellij rt execution junit JUnitStarter prepareStreamsAndStart(JUnitStarter java:242)_x000D_
	at com intellij rt execution junit JUnitStarter main(JUnitStarter java:70)_x000D_
   </t>
  </si>
  <si>
    <t>niccokunzmann-mundraub-android-312</t>
  </si>
  <si>
    <t>Error: file not found - changelog not in release</t>
  </si>
  <si>
    <t xml:space="preserve">     If you report an app crash  please attach the eu quelltext mundraub log txt file_x000D_
     from the root of your phone s file system     _x000D_
_x000D_
The release which is distributed by F Droid seems to not contain the changelog file _x000D_
When I open the changelog menu  I see that the file is not found _x000D_
_x000D_
In deed  it seems the file is not committed to the tag: https:  github com niccokunzmann mundraub android tree v1 229 app src main assets changelog</t>
  </si>
  <si>
    <t>OpenArchive-Save-app-android-153</t>
  </si>
  <si>
    <t>App crashes when proofmode enabled</t>
  </si>
  <si>
    <t>Device: Moto E4_x000D_
OS: Android 7 1 1_x000D_
_x000D_
1  enabled proofmode in app settings   data usage_x000D_
2  went to active project_x000D_
3  selected a photo_x000D_
4  hit add(1) in lower right_x000D_
5  app crashed_x000D_
6  reopened app_x000D_
7  deselected proofmode_x000D_
8  went to active project_x000D_
9  selected a photo_x000D_
10  hit add(1) in lower right_x000D_
11  app crashed_x000D_
12  had to reinstall app</t>
  </si>
  <si>
    <t>k9mail-k-9-4248</t>
  </si>
  <si>
    <t>master branch crashes on start when trying to add an IMAP account</t>
  </si>
  <si>
    <t xml:space="preserve">    Expected behavior_x000D_
k9 should allow to create an IMAP account without crashing_x000D_
_x000D_
    Actual behavior_x000D_
After entering the details for the incoming server  the screen for outgoing server settings appears shortly  but then k9 crashes with following errors:_x000D_
_x000D_
   _x000D_
E AndroidRuntime: FATAL EXCEPTION: MessagingController_x000D_
    Process: com fsck k9 debug  PID: 24126_x000D_
    java lang AssertionError: Tried to create folder  Junk  that already exists in the database as  Junk  (8)_x000D_
        at com fsck k9 mailstore LocalStore 19 doDbWork(LocalStore java:897)_x000D_
        at com fsck k9 mailstore LocalStore 19 doDbWork(LocalStore java:880)_x000D_
        at com fsck k9 mailstore LockableDatabase execute(LockableDatabase java:273)_x000D_
        at com fsck k9 mailstore LocalStore createFolders(LocalStore java:880)_x000D_
        at com fsck k9 mailstore K9BackendStorage createFolders(K9BackendStorage kt:41)_x000D_
        at com fsck k9 backend imap CommandRefreshFolderList refreshFolderList(CommandRefreshFolderList kt:25)_x000D_
        at com fsck k9 backend imap ImapBackend refreshFolderList(ImapBackend java:112)_x000D_
        at com fsck k9 controller MessagingController refreshRemoteSynchronous(MessagingController java:454)_x000D_
        at com fsck k9 controller MessagingController 5 run(MessagingController java:444)_x000D_
        at com fsck k9 controller MessagingController runInBackground(MessagingController java:222)_x000D_
        at com fsck k9 controller MessagingController access 000(MessagingController java:115)_x000D_
        at com fsck k9 controller MessagingController 1 run(MessagingController java:165)_x000D_
        at java lang Thread run(Thread java:761)_x000D_
   _x000D_
_x000D_
    Steps to reproduce_x000D_
1  Clone git repository  open the project in Android studio  Build  start debug  wait for the start screen ( welcome to K 9 Mail) to appear_x000D_
2  Click on  Next   then the screen  Set up a new account  shows up_x000D_
3  enter email address and Password_x000D_
4  Click on  MANUAL SETUP   then  Account type  shows up_x000D_
5  click on  IMAP   then  Incoming server settings  shows up_x000D_
6  Enter your server details_x000D_
7  Click on  NEXT   then a screen appears with  checking incoming server settings    _x000D_
8  When the outgoing server settings screen appears  the app crashes_x000D_
_x000D_
    Environment_x000D_
K 9 Mail version: 5 700 SNAPSHOT  master on 2019 11 12_x000D_
_x000D_
Android version: 7 1 2_x000D_
_x000D_
Account type (IMAP  POP3  WebDAV Exchange): IMAP_x000D_
_x000D_
</t>
  </si>
  <si>
    <t>nextcloud-android-4818</t>
  </si>
  <si>
    <t>App crashes when resizing image</t>
  </si>
  <si>
    <t xml:space="preserve">    Actual behaviour_x000D_
  App just crashed when resizing image_x000D_
_x000D_
    Expected behaviour_x000D_
  expected image resized  as suggested by app message_x000D_
 _x000D_
    Steps to reproduce_x000D_
1  Open an image in mobile app (Android)_x000D_
2  When appears a message suggesting resize the image to view better  the app just crashes_x000D_
_x000D_
_x000D_
_x000D_
    Environment data_x000D_
Android version:_x000D_
_x000D_
Device model: _x000D_
LG G6_x000D_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CAUSE OF ERROR             _x000D_
_x000D_
java lang IllegalStateException: Fragment PreviewImageFragment 7d2edbf  not attached to a context _x000D_
	at androidx fragment app Fragment requireContext(Fragment java:696)_x000D_
	at androidx fragment app Fragment getResources(Fragment java:760)_x000D_
	at com owncloud android ui preview PreviewImageFragment lambda setErrorPreviewMessage 2 PreviewImageFragment(PreviewImageFragment java:706)_x000D_
	at com owncloud android ui preview    Lambda PreviewImageFragment kydRNo kMJ0Oklsv9f 06NSEUic onClick(Unknown Source:2)_x000D_
	at com google android material snackbar Snackbar 1 onClick(Snackbar java:317)_x000D_
	at android view View performClick(View java:6615)_x000D_
	at android view View performClickInternal(View java:6587)_x000D_
	at android view View access 3500(View java:784)_x000D_
	at android view View PerformClick run(View java:26048)_x000D_
	at android os Handler handleCallback(Handler java:873)_x000D_
	at android os Handler dispatchMessage(Handler java:99)_x000D_
	at android os Looper loop(Looper java:205)_x000D_
	at android app ActivityThread main(ActivityThread java:6991)_x000D_
	at java lang reflect Method invoke(Native Method)_x000D_
	at com android internal os RuntimeInit MethodAndArgsCaller run(RuntimeInit java:493)_x000D_
	at com android internal os ZygoteInit main(ZygoteInit java:884)_x000D_
_x000D_
             APP INFORMATION             _x000D_
ID: com nextcloud client_x000D_
Version: 30080190_x000D_
Build flavor: gplay_x000D_
_x000D_
             DEVICE INFORMATION             _x000D_
Brand: lge_x000D_
Device: lucye_x000D_
Model: LG H873_x000D_
Id: PKQ1 190522 001_x000D_
Product: lucye global ca_x000D_
_x000D_
             FIRMWARE             _x000D_
SDK: 28_x000D_
Release: 9_x000D_
Incremental: 192602009a6ae_x000D_
_x000D_
_x000D_
   _x000D_
  NOTE:   Be super sure to remove sensitive data like passwords  note that everybody can look here  You can use the Issue Template application to prefill some of the required information: https:  apps nextcloud com apps issuetemplate_x000D_
</t>
  </si>
  <si>
    <t>CordelleNeufeld-FitBrosApp-28</t>
  </si>
  <si>
    <t>Fix BMI calculator button crashing app</t>
  </si>
  <si>
    <t xml:space="preserve">If the input fields are left empty on the BMI calculator  the calculate button will crash the app </t>
  </si>
  <si>
    <t>applivery-applivery-android-sdk-50</t>
  </si>
  <si>
    <t xml:space="preserve"> Showing Dialog with Title Applivery Exception </t>
  </si>
  <si>
    <t xml:space="preserve">  image (https:  user images githubusercontent com 15669922 68586644 1f57fc00 04ab 11ea 918d d946c0408988 png)_x000D_
_x000D_
We suspects It opens a dialogue everytime there is an exception  We are monitoring the crashes and we dont want the appliverly dialogue to come everytime there is no internet or an unhandled exception</t>
  </si>
  <si>
    <t>nextcloud-android-4816</t>
  </si>
  <si>
    <t>nextcloud Android app crashing when sync a big folder (10Gb)</t>
  </si>
  <si>
    <t xml:space="preserve">    Actual behaviour_x000D_
  sync of a big folder  Freese several tomes then crash_x000D_
_x000D_
    Expected behaviour_x000D_
     _x000D_
 _x000D_
    Steps to reproduce_x000D_
1  _x000D_
2  _x000D_
3  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</si>
  <si>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GoogleChrome-android-browser-helper-38</t>
  </si>
  <si>
    <t>NullPointerException - CustomTabsSession is required for launching a TWA</t>
  </si>
  <si>
    <t xml:space="preserve">We recently launched our TWA application and saw a few of these crashes come in  We are using   0 1 0 alpha1    I have not experienced this issue myself so I have no way of reproducing it _x000D_
_x000D_
   _x000D_
java lang NullPointerException: CustomTabsSession is required for launching a TWA_x000D_
    at androidx browser trusted TrustedWebActivityIntentBuilder build(TrustedWebActivityIntentBuilder java:15)_x000D_
    at com google androidbrowserhelper trusted TwaLauncher launchWhenSplashScreenReady(TwaLauncher java:2)_x000D_
    at com google androidbrowserhelper trusted TwaLauncher lambda launchWhenSessionEstablished 2(TwaLauncher java:1)_x000D_
    at com google androidbrowserhelper trusted    Lambda TwaLauncher wy2yMaTyWzqDYy88T6GKCwq94sM run_x000D_
    at com google androidbrowserhelper trusted splashscreens PwaWrapperSplashScreenStrategy onSplashImageTransferred(PwaWrapperSplashScreenStrategy java:2)_x000D_
    at com google androidbrowserhelper trusted splashscreens    Lambda PwaWrapperSplashScreenStrategy w9o5iqMEy62ZZ2i sMAmRiQ7IGw onFinished_x000D_
    at com google androidbrowserhelper trusted splashscreens SplashImageTransferTask 1 onPostExecute(SplashImageTransferTask java:3)_x000D_
    at android os AsyncTask finish(AsyncTask java:695)_x000D_
    at android os AsyncTask access 600(AsyncTask java:180)_x000D_
    at android os AsyncTask InternalHandler handleMessage(AsyncTask java:712)_x000D_
    at android os Handler dispatchMessage(Handler java:106)_x000D_
    at android os Looper loop(Looper java:214)_x000D_
    at android app ActivityThread main(ActivityThread java:7050)_x000D_
    at java lang reflect Method invoke(Method java)_x000D_
    at com android internal os RuntimeInit MethodAndArgsCaller run(RuntimeInit java:493)_x000D_
    at com android internal os ZygoteInit main(ZygoteInit java:965)_x000D_
   _x000D_
</t>
  </si>
  <si>
    <t>nextcloud-android-4813</t>
  </si>
  <si>
    <t xml:space="preserve">Crash report </t>
  </si>
  <si>
    <t xml:space="preserve">Nextcloud crashed_x000D_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processTask(ThreadPoolExecutor java:1187)_x000D_
	at java util concurrent ThreadPoolExecutor runWorker(ThreadPoolExecutor java:1152)_x000D_
	at java util concurrent ThreadPoolExecutor Worker run(ThreadPoolExecutor java:641)_x000D_
	at com google android gms common util concurrent zza run(Unknown Source:7)_x000D_
	at java lang Thread run(Thread java:784)_x000D_
Caused by: java lang ClassNotFoundException: Didn t find class  com google firebase analytics connector AnalyticsConnector  on path: DexPathList  zip file   system framework org apache http legacy boot jar   zip file   data app com nextcloud client oYj 8zQy5NIbRMkDK Rb A   base apk   nativeLibraryDirectories   data app com nextcloud client oYj 8zQy5NIbRMkDK Rb A   lib arm64   data app com nextcloud client oYj 8zQy5NIbRMkDK Rb A   base apk  lib arm64 v8a   system lib64   product lib64  _x000D_
	at dalvik system BaseDexClassLoader findClass(BaseDexClassLoader java:134)_x000D_
	at java lang ClassLoader loadClass(ClassLoader java:379)_x000D_
	at java lang ClassLoader loadClass(ClassLoader java:312)_x000D_
	    9 more_x000D_
_x000D_
             APP INFORMATION             _x000D_
ID: com nextcloud client_x000D_
Version: 30080190_x000D_
Build flavor: gplay_x000D_
_x000D_
             DEVICE INFORMATION             _x000D_
Brand: HUAWEI_x000D_
Device: HWCLT_x000D_
Model: CLT L29_x000D_
Id: HUAWEICLT L29_x000D_
Product: CLT L29_x000D_
_x000D_
             FIRMWARE             _x000D_
SDK: 28_x000D_
Release: 9_x000D_
Incremental: 328C432_x000D_
</t>
  </si>
  <si>
    <t>nextcloud-android-4811</t>
  </si>
  <si>
    <t>mobile client keeps crashing once a day</t>
  </si>
  <si>
    <t xml:space="preserve">The client does work but i get a crash report_x000D_
_x000D_
    Actual behaviour_x000D_
  crash of client about once a day_x000D_
_x000D_
    Expected behaviour_x000D_
  not crashing_x000D_
 _x000D_
    Steps to reproduce_x000D_
1  Just have the client open_x000D_
2  Do have gpslogger installed_x000D_
3  And talk and passwords_x000D_
_x000D_
_x000D_
    Environment data_x000D_
Android version: latest_x000D_
_x000D_
Device model: samsung s9_x000D_
_x000D_
Stock or customized system: stock_x000D_
_x000D_
Nextcloud app version: latest_x000D_
_x000D_
Nextcloud server version: 17 1_x000D_
_x000D_
    Logs_x000D_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ROlkwQsdMw HC9OO k01fA   base apk   nativeLibraryDirectories   data app com nextcloud client ROlkwQsdMw HC9OO k01fA   lib arm64   data app com nextcloud client ROlkwQsdMw HC9OO k01fA   base apk  lib arm64 v8a   system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30080190_x000D_
Build flavor: gplay_x000D_
_x000D_
             DEVICE INFORMATION             _x000D_
Brand: samsung_x000D_
Device: starlte_x000D_
Model: SM G960F_x000D_
Id: PPR1 180610 011_x000D_
Product: starltexx_x000D_
_x000D_
             FIRMWARE             _x000D_
SDK: 28_x000D_
Release: 9_x000D_
Incremental: G960FXXS7CSJ3_x000D_
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</si>
  <si>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galbertsson-EdgeLight-6</t>
  </si>
  <si>
    <t>Null pointer expection, getAppSetting</t>
  </si>
  <si>
    <t xml:space="preserve">ACRA reports crash_x000D_
_x000D_
   _x000D_
11 08 19:27:51 674 E ACRA    (25468): ACRA caught a NullPointerException for com example edgelight_x000D_
11 08 19:27:51 674 E ACRA    (25468): java lang NullPointerException: Attempt to invoke interface method  com example edgelight model AppSetting com example edgelight controller AppSettingDao getSetting(java lang String)  on a null object reference_x000D_
11 08 19:27:51 674 E ACRA    (25468):  tat com example edgelight NotificationListener onNotificationPosted(NotificationListener java:67)_x000D_
   </t>
  </si>
  <si>
    <t>react-native-share-react-native-share-627</t>
  </si>
  <si>
    <t>Illegal callback invocation from native module. This callback type only permits a single invocation from native code.</t>
  </si>
  <si>
    <t xml:space="preserve">That is different from  583 _x000D_
_x000D_
    Steps to reproduce_x000D_
1  Open share dialog_x000D_
2  Choose an app and cancel_x000D_
3  While the dialog is still open  choose another app_x000D_
4  Crash_x000D_
_x000D_
    Expected behaviour_x000D_
Choose another app and successfully share_x000D_
_x000D_
    Actual behaviour_x000D_
Trying to share through different app crashes if you previously cancelled_x000D_
_x000D_
    Environment_x000D_
    React Native version  : 0 59 10_x000D_
    React Native platform   platform version  : iOS 13 1 3 _x000D_
Does not reproduce on Android  since Android closes share dialog once you choose the app_x000D_
_x000D_
    react native share_x000D_
  Version  : 1 2 1_x000D_
_x000D_
    Link to repo (highly encouraged)_x000D_
https:  github com _x000D_
</t>
  </si>
  <si>
    <t>CMPUT301F19T09-vibes-60</t>
  </si>
  <si>
    <t>Crashes on Map Button on start up</t>
  </si>
  <si>
    <t xml:space="preserve">When the Map Button is pressed too quickly on start up  the application will crash  Others buttons do not have this issue </t>
  </si>
  <si>
    <t>CMPUT301F19T09-vibes-59</t>
  </si>
  <si>
    <t>Network issues lead to app crash</t>
  </si>
  <si>
    <t xml:space="preserve">When there are network conectivity issues the app crashes and this should be handled more gracefully </t>
  </si>
  <si>
    <t>iamraf-IEE-Apps-1</t>
  </si>
  <si>
    <t>Fatal Exception: io.reactivex.exceptions.OnErrorNotImplementedException</t>
  </si>
  <si>
    <t xml:space="preserve">https:  github com h01d IEE blob 7cda1d5941765b04b1e8f7d8eee815f0a337bb3c app src main java gr teithe it it app ui announcements AnnouncementsViewModel java L90_x000D_
_x000D_
Need to handle the exception with empty body to prevent application from crashing_x000D_
</t>
  </si>
  <si>
    <t>nextcloud-android-4805</t>
  </si>
  <si>
    <t xml:space="preserve">Crash after deleting my Account </t>
  </si>
  <si>
    <t xml:space="preserve">    Actual behaviour_x000D_
  Tell us what happens_x000D_
I deleted my Account in the App to add a new one  But after I deleted my actual Account the App crashes and dont let me type in a new Account  _x000D_
_x000D_
    Expected behaviour_x000D_
  Tell us what should happen_x000D_
 I think the App should Start and act like a fresh installed App  _x000D_
_x000D_
    Steps to reproduce_x000D_
1 deleting an active Account _x000D_
2  Try to add a new Account _x000D_
3  _x000D_
_x000D_
_x000D_
    Environment data_x000D_
Android version:_x000D_
_x000D_
Android 9_x000D_
_x000D_
Device model: _x000D_
_x000D_
Brand: OnePlus_x000D_
Device: OnePlus6_x000D_
Model: ONEPLUS A6003_x000D_
Id: PKQ1 180716 001_x000D_
Product: OnePlus6_x000D_
_x000D_
Stock or customized system:_x000D_
_x000D_
STOCK_x000D_
_x000D_
Nextcloud app version:_x000D_
3 8 1_x000D_
Nextcloud server version:_x000D_
16 0 4_x000D_
    Logs_x000D_
     Web server error log_x000D_
   _x000D_
Insert your webserver log here_x000D_
   _x000D_
_x000D_
     Nextcloud log (data nextcloud log)_x000D_
   _x000D_
Insert your Nextcloud log here_x000D_
   _x000D_
_x000D_
             CAUSE OF ERROR             _x000D_
_x000D_
java lang IllegalArgumentException: reportSizeConfigurations: ActivityRecord not found for: Token 6060326 null _x000D_
	at android os Parcel createException(Parcel java:1954)_x000D_
	at android os Parcel readException(Parcel java:1918)_x000D_
	at android os Parcel readException(Parcel java:1868)_x000D_
	at android app IActivityManager Stub Proxy reportSizeConfigurations(IActivityManager java:8673)_x000D_
	at android app ActivityThread reportSizeConfigurations(ActivityThread java:3227)_x000D_
	at android app ActivityThread handleLaunchActivity(ActivityThread java:3186)_x000D_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java:1916)_x000D_
	at android os Handler dispatchMessage(Handler java:106)_x000D_
	at android os Looper loop(Looper java:193)_x000D_
	at android app ActivityThread main(ActivityThread java:6898)_x000D_
	at java lang reflect Method invoke(Native Method)_x000D_
	at com android internal os RuntimeInit MethodAndArgsCaller run(RuntimeInit java:537)_x000D_
	at com android internal os ZygoteInit main(ZygoteInit java:858)_x000D_
Caused by: android os RemoteException: Remote stack trace:_x000D_
	at com android server am ActivityManagerService reportSizeConfigurations(ActivityManagerService java:9790)_x000D_
	at android app IActivityManager Stub onTransact reportSizeConfigurations (IActivityManager java:11386)_x000D_
	at android app IActivityManager Stub onTransact(IActivityManager java:2772)_x000D_
	at com android server am ActivityManagerService onTransact(ActivityManagerService java:3829)_x000D_
	at android os Binder execTransact(Binder java:752)_x000D_
_x000D_
_x000D_
             APP INFORMATION             _x000D_
ID: com nextcloud client_x000D_
Version: 30080190_x000D_
Build flavor: gplay_x000D_
_x000D_
             DEVICE INFORMATION             _x000D_
Brand: OnePlus_x000D_
Device: OnePlus6_x000D_
Model: ONEPLUS A6003_x000D_
Id: PKQ1 180716 001_x000D_
Product: OnePlus6_x000D_
_x000D_
             FIRMWARE             _x000D_
SDK: 28_x000D_
Release: 9_x000D_
Incremental: 1909112330_x000D_
_x000D_
_x000D_
  NOTE:   Be super sure to remove sensitive data like passwords  note that everybody can look here  You can use the Issue Template application to prefill some of the required information: https:  apps nextcloud com apps issuetemplate_x000D_
_x000D_
FIXED:_x000D_
deleting All the app data in my Phone (cache and used space from the App) _x000D_
After this the App let me type in my New Account data  _x000D_
</t>
  </si>
  <si>
    <t>GoogleChrome-android-browser-helper-36</t>
  </si>
  <si>
    <t>Library crashes when used with androidx.browser latest version</t>
  </si>
  <si>
    <t xml:space="preserve">This library crashes when used with  androidx browser (https:  developer android com jetpack androidx releases browser) latest version (as of today  v1 2 0 alpha09) _x000D_
_x000D_
    Steps to reproduce_x000D_
1   Configure the  app build gradle  with the latest versions of both androidx browser and android browser helper:_x000D_
   _x000D_
api  androidx browser:browser:1 2 0 alpha09 _x000D_
implementation  com google androidbrowserhelper:androidbrowserhelper:0 1 0 alpha1 _x000D_
   _x000D_
_x000D_
2  Launch a Chrome Custom Tab like in the demo example:_x000D_
   _x000D_
TrustedWebActivityIntentBuilder builder   new TrustedWebActivityIntentBuilder(Uri parse( https:  www google com ))_x000D_
	 setNavigationBarColor(Color RED)_x000D_
	 setToolbarColor(Color RED) _x000D_
_x000D_
new TwaLauncher(this) launch(builder  null  null) _x000D_
   _x000D_
_x000D_
    Expected result_x000D_
The tab should open without any error  This is the case if we use androidx browser version 1 2 0 alpha08 _x000D_
_x000D_
    Actual result_x000D_
An exception is thrown  Stack trace:_x000D_
   _x000D_
java lang NoSuchMethodError: No virtual method getUrl()Landroid net Uri  in class Landroidx browser trusted TrustedWebActivityIntentBuilder  or its super classes (declaration of  androidx browser trusted TrustedWebActivityIntentBuilder  appears in  data app org example customtabsdemo 1 base apk)_x000D_
        at com google androidbrowserhelper trusted TwaLauncher launchCct(TwaLauncher java:139)_x000D_
        at com google androidbrowserhelper trusted TwaLauncher launch(TwaLauncher java:127)_x000D_
        at org example customtabsdemo android ui AppListActivity showWebBrowser(AppListActivity java:193)_x000D_
        at org example customtabsdemo android ui AppListActivity openApplication(AppListActivity java:171)_x000D_
        at org example customtabsdemo android ui AppListActivity access 600(AppListActivity java:40)_x000D_
        at org example customtabsdemo android ui AppListActivity 1 onRowClicked(AppListActivity java:116)_x000D_
        at org example customtabsdemo android ui adapters AppDescriptorAdapter lambda onBindViewHolder 1 AppDescriptorAdapter(AppDescriptorAdapter java:92)_x000D_
        at org example customtabsdemo android ui adapters    Lambda AppDescriptorAdapter lOIWUz164uqu7oQSxw09vNIC5 8 onClick(lambda)_x000D_
        at android view View performClick(View java:5246)_x000D_
        at android view View PerformClick run(View java:21256)_x000D_
        at android os Handler handleCallback(Handler java:739)_x000D_
        at android os Handler dispatchMessage(Handler java:95)_x000D_
        at android os Looper loop(Looper java:145)_x000D_
        at android app ActivityThread main(ActivityThread java:6914)_x000D_
        at java lang reflect Method invoke(Native Method)_x000D_
        at java lang reflect Method invoke(Method java:372)_x000D_
        at com android internal os ZygoteInit MethodAndArgsCaller run(ZygoteInit java:1404)_x000D_
        at com android internal os ZygoteInit main(ZygoteInit java:1199)_x000D_
   _x000D_
_x000D_
    Proposed fix_x000D_
 TwaLauncher  should be modified so that it no longer calls  TrustedWebActivityIntentBuilder getUrl()   That method no longer exists  It was removed in androidx browser v1 2 0 alpha09 _x000D_
</t>
  </si>
  <si>
    <t>Catfriend1-syncthing-android-538</t>
  </si>
  <si>
    <t>Insta-Crash on 1.3.1.3 on Android 10 (no crash with flightmode!)</t>
  </si>
  <si>
    <t xml:space="preserve">Good morning :)_x000D_
Today i installed 1 3 1 3 and got an instant crash  When I enable flight mode  the app doesnt crash _x000D_
Im using only the wifi run condition _x000D_
Hope this helps to solve the issue  )_x000D_
Thanks _x000D_
_x000D_
_x000D_
_x000D_
    Description of the issue_x000D_
see title_x000D_
    Reproducer_x000D_
_x000D_
    Version Information_x000D_
    App Version: 1 3 1 3_x000D_
    Syncthing Version: v1 3 1_x000D_
    Android Version: Android 10 _x000D_
    Device manufacturer: Oneplus 6_x000D_
_x000D_
_x000D_
_x000D_
_x000D_
_x000D_
06:44:36E AndroidRuntime FATAL EXCEPTION: Thread 3_x000D_
06:44:36E AndroidRuntime Process: com github catfriend1 syncthingandroid  PID: 21095_x000D_
06:44:36E AndroidRuntime java lang RuntimeException:  data app com github catfriend1 syncthingandroid Fx59Ta8unTbGPhM S9cBGw   lib arm64 libsyncthing so_x000D_
06:44:36E AndroidRuntime at com nutomic syncthingandroid service SyncthingRunnable run(SyncthingRunnable java:121)_x000D_
06:44:36E AndroidRuntime at java lang Thread run(Thread java:919)_x000D_
07:03:29E AndroidRuntime FATAL EXCEPTION: Thread 3_x000D_
07:03:29E AndroidRuntime Process: com github catfriend1 syncthingandroid  PID: 21647_x000D_
07:03:29E AndroidRuntime java lang RuntimeException:  data app com github catfriend1 syncthingandroid Fx59Ta8unTbGPhM S9cBGw   lib arm64 libsyncthing so_x000D_
07:03:29E AndroidRuntime at com nutomic syncthingandroid service SyncthingRunnable run(SyncthingRunnable java:121)_x000D_
07:03:29E AndroidRuntime at java lang Thread run(Thread java:919)_x000D_
07:03:33E AndroidRuntime FATAL EXCEPTION: Thread 3_x000D_
07:03:33E AndroidRuntime Process: com github catfriend1 syncthingandroid  PID: 21727_x000D_
07:03:33E AndroidRuntime java lang RuntimeException:  data app com github catfriend1 syncthingandroid Fx59Ta8unTbGPhM S9cBGw   lib arm64 libsyncthing so_x000D_
07:03:33E AndroidRuntime at com nutomic syncthingandroid service SyncthingRunnable run(SyncthingRunnable java:121)_x000D_
07:03:33E AndroidRuntime at java lang Thread run(Thread java:919)_x000D_
07:03:37E AndroidRuntime FATAL EXCEPTION: Thread 3_x000D_
07:03:37E AndroidRuntime Process: com github catfriend1 syncthingandroid  PID: 21799_x000D_
07:03:37E AndroidRuntime java lang RuntimeException:  data app com github catfriend1 syncthingandroid Fx59Ta8unTbGPhM S9cBGw   lib arm64 libsyncthing so_x000D_
07:03:37E AndroidRuntime at com nutomic syncthingandroid service SyncthingRunnable run(SyncthingRunnable java:121)_x000D_
07:03:37E AndroidRuntime at java lang Thread run(Thread java:919)_x000D_
07:03:46E AndroidRuntime FATAL EXCEPTION: Thread 3_x000D_
07:03:46E AndroidRuntime Process: com github catfriend1 syncthingandroid  PID: 22015_x000D_
07:03:46E AndroidRuntime java lang RuntimeException:  data app com github catfriend1 syncthingandroid Fx59Ta8unTbGPhM S9cBGw   lib arm64 libsyncthing so_x000D_
07:03:46E AndroidRuntime at com nutomic syncthingandroid service SyncthingRunnable run(SyncthingRunnable java:121)_x000D_
07:03:46E AndroidRuntime at java lang Thread run(Thread java:919)_x000D_
07:37:16E AndroidRuntime FATAL EXCEPTION: Thread 3_x000D_
07:37:16E AndroidRuntime Process: com github catfriend1 syncthingandroid  PID: 22547_x000D_
07:37:16E AndroidRuntime java lang RuntimeException:  data app com github catfriend1 syncthingandroid Fx59Ta8unTbGPhM S9cBGw   lib arm64 libsyncthing so_x000D_
07:37:16E AndroidRuntime at com nutomic syncthingandroid service SyncthingRunnable run(SyncthingRunnable java:121)_x000D_
07:37:16E AndroidRuntime at java lang Thread run(Thread java:919)_x000D_
07:39:25E AndroidRuntime FATAL EXCEPTION: Thread 3_x000D_
07:39:25E AndroidRuntime Process: com github catfriend1 syncthingandroid  PID: 24778_x000D_
07:39:25E AndroidRuntime java lang RuntimeException:  data app com github catfriend1 syncthingandroid Fx59Ta8unTbGPhM S9cBGw   lib arm64 libsyncthing so_x000D_
07:39:25E AndroidRuntime at com nutomic syncthingandroid service SyncthingRunnable run(SyncthingRunnable java:121)_x000D_
07:39:25E AndroidRuntime at java lang Thread run(Thread java:919)_x000D_
07:39:29E AndroidRuntime FATAL EXCEPTION: Thread 3_x000D_
07:39:29E AndroidRuntime Process: com github catfriend1 syncthingandroid  PID: 24855_x000D_
07:39:29E AndroidRuntime java lang RuntimeException:  data app com github catfriend1 syncthingandroid Fx59Ta8unTbGPhM S9cBGw   lib arm64 libsyncthing so_x000D_
07:39:29E AndroidRuntime at com nutomic syncthingandroid service SyncthingRunnable run(SyncthingRunnable java:121)_x000D_
07:39:29E AndroidRuntime at java lang Thread run(Thread java:919)_x000D_
07:39:36E AndroidRuntime FATAL EXCEPTION: Thread 3_x000D_
07:39:36E AndroidRuntime Process: com github catfriend1 syncthingandroid  PID: 24910_x000D_
07:39:36E AndroidRuntime java lang RuntimeException:  data app com github catfriend1 syncthingandroid Fx59Ta8unTbGPhM S9cBGw   lib arm64 libsyncthing so_x000D_
07:39:36E AndroidRuntime at com nutomic syncthingandroid service SyncthingRunnable run(SyncthingRunnable java:121)_x000D_
07:39:36E AndroidRuntime at java lang Thread run(Thread java:919)_x000D_
07:39:38E AndroidRuntime FATAL EXCEPTION: Thread 3_x000D_
07:39:38E AndroidRuntime Process: com github catfriend1 syncthingandroid  PID: 25003_x000D_
07:39:38E AndroidRuntime java lang RuntimeException:  data app com github catfriend1 syncthingandroid Fx59Ta8unTbGPhM S9cBGw   lib arm64 libsyncthing so_x000D_
07:39:38E AndroidRuntime at com nutomic syncthingandroid service SyncthingRunnable run(SyncthingRunnable java:121)_x000D_
07:39:38E AndroidRuntime at java lang Thread run(Thread java:919)_x000D_
07:56:57E AndroidRuntime FATAL EXCEPTION: Thread 3_x000D_
07:56:57E AndroidRuntime Process: com github catfriend1 syncthingandroid  PID: 25344_x000D_
07:56:57E AndroidRuntime java lang RuntimeException:  data app com github catfriend1 syncthingandroid Fx59Ta8unTbGPhM S9cBGw   lib arm64 libsyncthing so_x000D_
07:56:57E AndroidRuntime at com nutomic syncthingandroid service SyncthingRunnable run(SyncthingRunnable java:121)_x000D_
07:56:57E AndroidRuntime at java lang Thread run(Thread java:919)_x000D_
08:11:13E AndroidRuntime FATAL EXCEPTION: Thread 3_x000D_
08:11:13E AndroidRuntime Process: com github catfriend1 syncthingandroid  PID: 26897_x000D_
08:11:13E AndroidRuntime java lang RuntimeException:  data app com github catfriend1 syncthingandroid Bq TBPhbVkk3tlOhpdO1hA   lib arm64 libsyncthing so_x000D_
08:11:13E AndroidRuntime at com nutomic syncthingandroid service SyncthingRunnable run(SyncthingRunnable java:121)_x000D_
08:11:13E AndroidRuntime at java lang Thread run(Thread java:919)_x000D_
08:12:41E AndroidRuntime FATAL EXCEPTION: Thread 3_x000D_
08:12:41E AndroidRuntime Process: com github catfriend1 syncthingandroid  PID: 27065_x000D_
08:12:41E AndroidRuntime java lang RuntimeException:  data app com github catfriend1 syncthingandroid Bq TBPhbVkk3tlOhpdO1hA   lib arm64 libsyncthing so_x000D_
08:12:41E AndroidRuntime at com nutomic syncthingandroid service SyncthingRunnable run(SyncthingRunnable java:121)_x000D_
08:12:41E AndroidRuntime at java lang Thread run(Thread java:919)_x000D_
08:12:44E AndroidRuntime FATAL EXCEPTION: Thread 3_x000D_
08:12:44E AndroidRuntime Process: com github catfriend1 syncthingandroid  PID: 27155_x000D_
08:12:44E AndroidRuntime java lang RuntimeException:  data app com github catfriend1 syncthingandroid Bq TBPhbVkk3tlOhpdO1hA   lib arm64 libsyncthing so_x000D_
08:12:44E AndroidRuntime at com nutomic syncthingandroid service SyncthingRunnable run(SyncthingRunnable java:121)_x000D_
08:12:44E AndroidRuntime at java lang Thread run(Thread java:919)_x000D_
08:13:02E AndroidRuntime FATAL EXCEPTION: Thread 3_x000D_
08:13:02E AndroidRuntime Process: com github catfriend1 syncthingandroid  PID: 27252_x000D_
08:13:02E AndroidRuntime java lang RuntimeException:  data app com github catfriend1 syncthingandroid Bq TBPhbVkk3tlOhpdO1hA   lib arm64 libsyncthing so_x000D_
08:13:02E AndroidRuntime at com nutomic syncthingandroid service SyncthingRunnable run(SyncthingRunnable java:121)_x000D_
08:13:02E AndroidRuntime at java lang Thread run(Thread java:919)_x000D_
08:13:07E AndroidRuntime FATAL EXCEPTION: Thread 3_x000D_
08:13:07E AndroidRuntime Process: com github catfriend1 syncthingandroid  PID: 27342_x000D_
08:13:07E AndroidRuntime java lang RuntimeException:  data app com github catfriend1 syncthingandroid Bq TBPhbVkk3tlOhpdO1hA   lib arm64 libsyncthing so_x000D_
08:13:07E AndroidRuntime at com nutomic syncthingandroid service SyncthingRunnable run(SyncthingRunnable java:121)_x000D_
08:13:07E AndroidRuntime at java lang Thread run(Thread java:919)_x000D_
08:35:00W Gralloc3 mapper 3 x is not supported_x000D_
08:35:00I SyncthingService shouldRun decision changed to true according to configured run conditions _x000D_
08:35:00W netstat  type 1400 audit(0 0:31513): avc: denied   read   for name  tcp  dev  proc  ino 4026532114 scontext u:r:untrusted app:s0:c203 c256 c512 c768 tcontext u:object r:proc net tcp udp:s0 tclass file permissive 0_x000D_
08:35:00W netstat  type 1400 audit(0 0:31514): avc: denied   read   for name  tcp6  dev  proc  ino 4026533083 scontext u:r:untrusted app:s0:c203 c256 c512 c768 tcontext u:object r:proc net tcp udp:s0 tclass file permissive 0_x000D_
08:35:00I Util     runShellCommandGetOutput: Exited with code 0_x000D_
08:35:00I SyncthingService onServiceStateChange: from DISABLED to STARTING_x000D_
08:35:00I SyncthingService Web GUI will be available at https:  127 0 0 1:8384_x000D_
08:35:00I Util     runShellCommandGetOutput: Exited with code 0_x000D_
08:35:00I PollWebGuiAvailableTask Starting to poll for web gui availability_x000D_
08:35:00I JobUtils Scheduled SyncTriggerJobService to run in 300( 120) seconds _x000D_
08:35:00I DpmTcmClient RegisterTcmMonitor from:  Proxy0_x000D_
08:35:00E SyncthingRunnable CRITICAL   Syncthing core binary is missing in APK package location  data app com github catfriend1 syncthingandroid Bq TBPhbVkk3tlOhpdO1hA   lib arm64 libsyncthing so_x000D_
08:35:00E AndroidRuntime FATAL EXCEPTION: Thread 3_x000D_
08:35:00E AndroidRuntime Process: com github catfriend1 syncthingandroid  PID: 27648_x000D_
08:35:00E AndroidRuntime java lang RuntimeException:  data app com github catfriend1 syncthingandroid Bq TBPhbVkk3tlOhpdO1hA   lib arm64 libsyncthing so_x000D_
08:35:00E AndroidRuntime at com nutomic syncthingandroid service SyncthingRunnable run(SyncthingRunnable java:121)_x000D_
08:35:00E AndroidRuntime at java lang Thread run(Thread java:919)_x000D_
08:35:27E yncthingandroi Not starting debugger since process cannot load the jdwp agent _x000D_
08:35:27W yncthingandroi JIT profile information will not be recorded: profile file does not exits _x000D_
08:35:27W yncthingandroi JIT profile information will not be recorded: profile file does not exits _x000D_
08:35:27E Perf     Fail to get file list com github catfriend1 syncthingandroid_x000D_
08:35:27E Perf     getFolderSize() : Exception 1   java lang NullPointerException: Attempt to get length of null array_x000D_
08:35:27E Perf     Fail to get file list oat_x000D_
08:35:27E Perf     getFolderSize() : Exception 1   java lang NullPointerException: Attempt to get length of null array_x000D_
08:35:27W Gralloc3 mapper 3 x is not supported_x000D_
08:35:27I SyncthingService shouldRun decision changed to true according to configured run conditions _x000D_
08:35:27W netstat  type 1400 audit(0 0:31515): avc: denied   read   for name  tcp  dev  proc  ino 4026532114 scontext u:r:untrusted app:s0:c203 c256 c512 c768 tcontext u:object r:proc net tcp udp:s0 tclass file permissive 0_x000D_
08:35:27W netstat  type 1400 audit(0 0:31516): avc: denied   read   for name  tcp6  dev  proc  ino 4026533083 scontext u:r:untrusted app:s0:c203 c256 c512 c768 tcontext u:object r:proc net tcp udp:s0 tclass file permissive 0_x000D_
08:35:27I Util     runShellCommandGetOutput: Exited with code 0_x000D_
08:35:27I SyncthingService onServiceStateChange: from DISABLED to STARTING_x000D_
08:35:27I SyncthingService Web GUI will be available at https:  127 0 0 1:8384_x000D_
08:35:27I Util     runShellCommandGetOutput: Exited with code 0_x000D_
08:35:27I PollWebGuiAvailableTask Starting to poll for web gui availability_x000D_
08:35:27I JobUtils Scheduled SyncTriggerJobService to run in 300( 120) seconds _x000D_
08:35:27I DpmTcmClient RegisterTcmMonitor from:  Proxy0_x000D_
08:35:27E SyncthingRunnable CRITICAL   Syncthing core binary is missing in APK package location  data app com github catfriend1 syncthingandroid Bq TBPhbVkk3tlOhpdO1hA   lib arm64 libsyncthing so_x000D_
08:35:27E AndroidRuntime FATAL EXCEPTION: Thread 3_x000D_
08:35:27E AndroidRuntime Process: com github catfriend1 syncthingandroid  PID: 28626_x000D_
08:35:27E AndroidRuntime java lang RuntimeException:  data app com github catfriend1 syncthingandroid Bq TBPhbVkk3tlOhpdO1hA   lib arm64 libsyncthing so_x000D_
08:35:27E AndroidRuntime at com nutomic syncthingandroid service SyncthingRunnable run(SyncthingRunnable java:121)_x000D_
08:35:27E AndroidRuntime at java lang Thread run(Thread java:919)_x000D_
08:35:34E yncthingandroi Not starting debugger since process cannot load the jdwp agent _x000D_
08:35:34W yncthingandroi JIT profile information will not be recorded: profile file does not exits _x000D_
08:35:34W yncthingandroi JIT profile information will not be recorded: profile file does not exits _x000D_
08:35:34E Perf     Fail to get file list com github catfriend1 syncthingandroid_x000D_
08:35:34E Perf     getFolderSize() : Exception 1   java lang NullPointerException: Attempt to get length of null array_x000D_
08:35:34E Perf     Fail to get file list oat_x000D_
08:35:34E Perf     getFolderSize() : Exception 1   java lang NullPointerException: Attempt to get length of null array_x000D_
08:35:34W Gralloc3 mapper 3 x is not supported_x000D_
08:35:34I SyncthingService shouldRun decision changed to true according to configured run conditions _x000D_
08:35:34W netstat  type 1400 audit(0 0:31517): avc: denied   read   for name  tcp  dev  proc  ino 4026532114 scontext u:r:untrusted app:s0:c203 c256 c512 c768 tcontext u:object r:proc net tcp udp:s0 tclass file permissive 0_x000D_
08:35:34W netstat  type 1400 audit(0 0:31518): avc: denied   read   for name  tcp6  dev  proc  ino 4026533083 scontext u:r:untrusted app:s0:c203 c256 c512 c768 tcontext u:object r:proc net tcp udp:s0 tclass file permissive 0_x000D_
08:35:34I Util     runShellCommandGetOutput: Exited with code 0_x000D_
08:35:34I SyncthingService onServiceStateChange: from DISABLED to STARTING_x000D_
08:35:34I SyncthingService Web GUI will be available at https:  127 0 0 1:8384_x000D_
08:35:34I Util     runShellCommandGetOutput: Exited with code 0_x000D_
08:35:34I PollWebGuiAvailableTask Starting to poll for web gui availability_x000D_
08:35:34I JobUtils Scheduled SyncTriggerJobService to run in 300( 120) seconds _x000D_
08:35:34I DpmTcmClient RegisterTcmMonitor from:  Proxy0_x000D_
08:35:34E SyncthingRunnable CRITICAL   Syncthing core binary is missing in APK package location  data app com github catfriend1 syncthingandroid Bq TBPhbVkk3tlOhpdO1hA   lib arm64 libsyncthing so_x000D_
08:35:34E AndroidRuntime FATAL EXCEPTION: Thread 3_x000D_
08:35:34E AndroidRuntime Process: com github catfriend1 syncthingandroid  PID: 28707_x000D_
08:35:34E AndroidRuntime java lang RuntimeException:  data app com github catfriend1 syncthingandroid Bq TBPhbVkk3tlOhpdO1hA   lib arm64 libsyncthing so_x000D_
08:35:34E AndroidRuntime at com nutomic syncthingandroid service SyncthingRunnable run(SyncthingRunnable java:121)_x000D_
08:35:34E AndroidRuntime at java lang Thread run(Thread java:919)_x000D_
08:35:37I Process  Sending signal  PID: 28707 SIG: 9_x000D_
08:35:38E yncthingandroi Not starting debugger since process cannot load the jdwp agent _x000D_
08:35:38W yncthingandroi JIT profile information will not be recorded: profile file does not exits _x000D_
08:35:38W yncthingandroi JIT profile information will not be recorded: profile file does not exits _x000D_
08:35:38E Perf     Fail to get file list com github catfriend1 syncthingandroid_x000D_
08:35:38E Perf     getFolderSize() : Exception 1   java lang NullPointerException: Attempt to get length of null array_x000D_
08:35:38E Perf     Fail to get file list oat_x000D_
08:35:38E Perf     getFolderSize() : Exception 1   java lang NullPointerException: Attempt to get length of null array_x000D_
08:35:38W netstat  type 1400 audit(0 0:31519): avc: denied   read   for name  tcp  dev  proc  ino 4026532114 scontext u:r:untrusted app:s0:c203 c256 c512 c768 tcontext u:object r:proc net tcp udp:s0 tclass file permissive 0_x000D_
08:35:38W netstat  type 1400 audit(0 0:31520): avc: denied   read   for name  tcp6  dev  proc  ino 4026533083 scontext u:r:untrusted app:s0:c203 c256 c512 c768 tcontext u:object r:proc net tcp udp:s0 tclass file permissive 0_x000D_
08:35:38I SyncthingService shouldRun decision changed to true according to configured run conditions _x000D_
08:35:38I Util     runShellCommandGetOutput: Exited with code 0_x000D_
08:35:38I SyncthingService onServiceStateChange: from DISABLED to STARTING_x000D_
08:35:38I SyncthingService Web GUI will be available at https:  127 0 0 1:8384_x000D_
08:35:38I Util     runShellCommandGetOutput: Exited with code 0_x000D_
08:35:38I PollWebGuiAvailableTask Starting to poll for web gui availability_x000D_
08:35:38I DpmTcmClient RegisterTcmMonitor from:  Proxy0_x000D_
08:35:38I JobUtils Scheduled SyncTriggerJobService to run in 300( 120) seconds _x000D_
08:35:38E SyncthingRunnable CRITICAL   Syncthing core binary is missing in APK package location  data app com github catfriend1 syncthingandroid Bq TBPhbVkk3tlOhpdO1hA   lib arm64 libsyncthing so_x000D_
08:35:38E AndroidRuntime FATAL EXCEPTION: Thread 3_x000D_
08:35:38E AndroidRuntime Process: com github catfriend1 syncthingandroid  PID: 28785_x000D_
08:35:38E AndroidRuntime java lang RuntimeException:  data app com github catfriend1 syncthingandroid Bq TBPhbVkk3tlOhpdO1hA   lib arm64 libsyncthing so_x000D_
08:35:38E AndroidRuntime at com nutomic syncthingandroid service SyncthingRunnable run(SyncthingRunnable java:121)_x000D_
08:35:38E AndroidRuntime at java lang Thread run(Thread java:919)_x000D_
08:36:33E yncthingandroi Not starting debugger since process cannot load the jdwp agent _x000D_
08:36:33W yncthingandroi JIT profile information will not be recorded: profile file does not exits _x000D_
08:36:33W yncthingandroi JIT profile information will not be recorded: profile file does not exits _x000D_
08:36:33E Perf     Fail to get file list com github catfriend1 syncthingandroid_x000D_
08:36:33E Perf     getFolderSize() : Exception 1   java lang NullPointerException: Attempt to get length of null array_x000D_
08:36:33E Perf     Fail to get file list oat_x000D_
08:36:33E Perf     getFolderSize() : Exception 1   java lang NullPointerException: Attempt to get length of null array_x000D_
08:36:33W Gralloc3 mapper 3 x is not supported_x000D_
08:36:34I JobUtils Scheduled SyncTriggerJobService to run in 300( 120) seconds _x000D_
08:36:38I Surface  opservice is null false_x000D_
08:36:38I Util     runShellCommandGetOutput: Exited with code 0_x000D_
08:36:38I Util     runShellCommandGetOutput: Exited with code 0_x000D_
08:36:46I Surface  opservice is null false_x000D_
08:36:51I Surface  opservice is null false_x000D_
</t>
  </si>
  <si>
    <t>Catfriend1-syncthing-android-537</t>
  </si>
  <si>
    <t>Systematic crash on launch of Syncthing-fork's latest version on Nokia 8.1 with Android 10</t>
  </si>
  <si>
    <t xml:space="preserve">    Description of the issue_x000D_
I just installed the latest version of Syncthing fork on my Nokia 8 1 with an up to date system (Android 10)  and I cannot launch it anymore: it systematically crashes at once  Just to be sure  I restarted the phone  but it didn t solve anything: Syncthing fork still crashes on launch  I tried to send feedback using Android  but I m not sure if it ll reach you  so I prefer to post an issue here  I did include the system log in the feedback I sent  not sure how I can include the same info here (I could see the system log while sending it  but for some stupid reason  it seems I can t copy anything to paste it elsewhere   )  Please tell me if you need any more info and how to get it   _x000D_
_x000D_
    Version Information_x000D_
    Syncthing Version: v1 3 1 2_x000D_
    Android Version: Android 10  security patch level dated Sep 5th  2019_x000D_
    Device manufacturer: Nokia_x000D_
    Device model: 8 1_x000D_
</t>
  </si>
  <si>
    <t>zhanghai-MaterialRatingBar-63</t>
  </si>
  <si>
    <t>Crash on Android 10 &amp; Samsung</t>
  </si>
  <si>
    <t xml:space="preserve">Hi  We began facing that crash:_x000D_
_x000D_
   _x000D_
Caused by java lang NullPointerException: Attempt to read from field  android content res ColorStateList me zhanghai android materialratingbar MaterialRatingBar c a  on a null object reference_x000D_
       at me zhanghai android materialratingbar MaterialRatingBar getSupportProgressTintList   1(SourceFile:1)_x000D_
       at me zhanghai android materialratingbar MaterialRatingBar getProgressTintList   2(SourceFile:2)_x000D_
       at android widget AbsSeekBar  init    245(AbsSeekBar java:245)_x000D_
       at android widget RatingBar  init    92(RatingBar java:92)_x000D_
       at android widget RatingBar  init    88(RatingBar java:88)_x000D_
       at android widget RatingBar  init    124(RatingBar java:124)_x000D_
       at me zhanghai android materialratingbar MaterialRatingBar  init    4(SourceFile:4)_x000D_
       at java lang reflect Constructor newInstance0(Constructor java)_x000D_
       at java lang reflect Constructor newInstance   343(Constructor java:343)_x000D_
       at android view LayoutInflater createView   854(LayoutInflater java:854)_x000D_
       at android view LayoutInflater createView   776(LayoutInflater java:776)_x000D_
   _x000D_
(unfortunately we lost proguard mappings for that build)_x000D_
_x000D_
It fires only on 10th of Android and as far as we can see in crashlytic only on samsung yet _x000D_
_x000D_
We have following usage:_x000D_
   _x000D_
 me zhanghai android materialratingbar MaterialRatingBar_x000D_
                    style   style RatingBarSmall _x000D_
                    android:id    id film details rating bar _x000D_
                    android:layout width  wrap content _x000D_
                    android:layout height  wrap content _x000D_
                    android:layout below   id film details rating title _x000D_
                    tools:rating  5 4 _x000D_
                    android:layout marginTop  8dp _x000D_
                    android:layout marginBottom  8dp    _x000D_
   _x000D_
_x000D_
And the style is:_x000D_
   _x000D_
 style name  RatingBarSmall  parent  Widget MaterialRatingBar RatingBar Indicator Small  _x000D_
         item name  android:clickable  false  item _x000D_
         item name  android:focusable  false  item _x000D_
         item name  android:isIndicator  true  item _x000D_
         item name  android:max  10  item _x000D_
         item name  android:numStars  10  item _x000D_
         item name  android:stepSize  0 1  item _x000D_
         item name  android:progressTint  tools:ignore  NewApi   F5BC00  item _x000D_
         item name  android:secondaryProgressTint  tools:ignore  NewApi   00000000  item _x000D_
      style _x000D_
   </t>
  </si>
  <si>
    <t>ankidroid-Anki-Android-5613</t>
  </si>
  <si>
    <t>Re-factor Application init to avoid ContentProvider issues</t>
  </si>
  <si>
    <t xml:space="preserve">       Reproduction Steps_x000D_
_x000D_
1  Use AnkiDroid API via ContentProvider without AnkiDroid running_x000D_
2  Observe behavior  maybe crash _x000D_
3  _x000D_
_x000D_
_x000D_
       Expected Result_x000D_
_x000D_
AnkiDroid should be correctly initialized whether it was started itself or via the ContentProvider_x000D_
_x000D_
       Actual Result_x000D_
_x000D_
The ContentProvider is started before the Application  so it s possible the ContentProvider users receive AnkiDroid API services in an undefined state prior the application starting up completely_x000D_
_x000D_
Discovered in  5465 and discussed with a simple  good for now  fix in  5557 _x000D_
_x000D_
_x000D_
       Research_x000D_
_x000D_
Most relevant documentation from https:  github com ankidroid Anki Android pull 5557 issuecomment 547739308_x000D_
_x000D_
  When an Android app process is first started  there is well defined order of operations:_x000D_
 _x000D_
  1  Each ContentProvider declared in the manifest is created  in priority order _x000D_
  2  The Application class (or custom subclass) is created _x000D_
  3  If another component that was invoked via some Intent  that is created _x000D_
_x000D_
Suggested sketch of a solution from https:  github com ankidroid Anki Android pull 5557 issuecomment 548019443 and https:  github com ankidroid Anki Android pull 5557 issuecomment 548145195:_x000D_
_x000D_
  it seems like there should be one object doing all the init things and exported an init method very publicly documented to synchronize so anyone calling in to it would init or wait  then return only when init was valid or attempted but impossible (inaccessible database or whatever)  That would go a long ways towards making the Application class less of a behemoth as well_x000D_
_x000D_
and _x000D_
_x000D_
  For readability purpose we could (and probably should) have a singleton that inits the application state and is called in both the application class and the content provider  but the former would basically be a no op _x000D_
_x000D_
_x000D_
_x000D_
     I have read the  support page (https:  ankidroid org docs help html) and am reporting a bug or enhancement request specific to AnkiDroid_x000D_
_x000D_
     I have checked the  manual (https:  ankidroid org docs manual html) and the  FAQ (https:  github com ankidroid Anki Android wiki FAQ) and could not find a solution to my issue_x000D_
_x000D_
     I have searched for similar existing issues here and on the user forum_x000D_
_x000D_
</t>
  </si>
  <si>
    <t>aws-amplify-aws-sdk-android-1298</t>
  </si>
  <si>
    <t>Pinpoint initialisation crash</t>
  </si>
  <si>
    <t xml:space="preserve">I am using  com amazonaws:aws android sdk pinpoint:2 14 1  _x000D_
_x000D_
I don t know how to reproduce the crash but I get this report in Google Play:_x000D_
_x000D_
   _x000D_
java lang RuntimeException: _x000D_
  at android app ActivityThread handleBindApplication (ActivityThread java:4556)_x000D_
  at android app ActivityThread access 1500 (ActivityThread java:151)_x000D_
  at android app ActivityThread H handleMessage (ActivityThread java:1364)_x000D_
  at android os Handler dispatchMessage (Handler java:102)_x000D_
  at android os Looper loop (Looper java:135)_x000D_
  at android app ActivityThread main (ActivityThread java:5254)_x000D_
  at java lang reflect Method invoke (Native Method)_x000D_
  at java lang reflect Method invoke (Method java:372)_x000D_
  at com android internal os ZygoteInit MethodAndArgsCaller run (ZygoteInit java:904)_x000D_
  at com android internal os ZygoteInit main (ZygoteInit java:699)_x000D_
_x000D_
Caused by: java lang IllegalStateException: _x000D_
  at com amazonaws auth CognitoCachingCredentialsProvider initialize (CognitoCachingCredentialsProvider java:434)_x000D_
  at com amazonaws auth CognitoCachingCredentialsProvider  init  (CognitoCachingCredentialsProvider java:417)_x000D_
  at com amazonaws mobile auth core IdentityManager createCredentialsProvider (IdentityManager java:932)_x000D_
  at com amazonaws mobile auth core IdentityManager  init  (IdentityManager java:228)_x000D_
     _x000D_
  at android app Instrumentation callApplicationOnCreate (Instrumentation java:1012)_x000D_
  at android app ActivityThread handleBindApplication (ActivityThread java:4553)_x000D_
_x000D_
Caused by: java lang IllegalStateException: _x000D_
  at com amazonaws internal keyvaluestore KeyProvider18 getKey (KeyProvider18 java:108)_x000D_
  at com amazonaws internal keyvaluestore AWSKeyValueStore setPersistenceEnabled (AWSKeyValueStore java:138)_x000D_
  at com amazonaws internal keyvaluestore AWSKeyValueStore  init  (AWSKeyValueStore java:108)_x000D_
  at com amazonaws auth CognitoCachingCredentialsProvider initialize (CognitoCachingCredentialsProvider java:425)_x000D_
_x000D_
Caused by: java lang IllegalArgumentException: _x000D_
  at javax crypto spec SecretKeySpec  init  (SecretKeySpec java:59)_x000D_
  at com amazonaws internal keyvaluestore KeyProvider18 getKey (KeyProvider18 java:90)_x000D_
   _x000D_
_x000D_
Any idea </t>
  </si>
  <si>
    <t>square-okhttp-5587</t>
  </si>
  <si>
    <t>MockWebserver crashing with ssl negotiation error</t>
  </si>
  <si>
    <t xml:space="preserve">Hi _x000D_
_x000D_
We are still not sure about the root cause but our acceptance tests execution phase is failing sometimes due to  MockWebserver  (  4 2 1  ) crashing when the following error happens in  acceptConnections() :_x000D_
_x000D_
   _x000D_
11 05 11:53:36 557  5607 23163 E AndroidRuntime: FATAL EXCEPTION: MockWebServer_x000D_
11 05 11:53:36 557  5607 23163 E AndroidRuntime: Process: com xxx xxx xxx  PID: 5607_x000D_
11 05 11:53:36 557  5607 23163 E AndroidRuntime: java lang AssertionError: java lang reflect InvocationTargetException_x000D_
11 05 11:53:36 557  5607 23163 E AndroidRuntime: 	at okhttp3 internal platform android AndroidSocketAdapter a(SourceFile:86)_x000D_
11 05 11:53:36 557  5607 23163 E AndroidRuntime: 	at okhttp3 internal platform AndroidPlatform b(SourceFile:86)_x000D_
11 05 11:53:36 557  5607 23163 E AndroidRuntime: 	at okhttp3 mockwebserver MockWebServer SocketHandler handle(MockWebServer kt:516)_x000D_
11 05 11:53:36 557  5607 23163 E AndroidRuntime: 	at okhttp3 mockwebserver MockWebServer serveConnection  inlined execute 1 run(Util kt:580)_x000D_
11 05 11:53:36 557  5607 23163 E AndroidRuntime: 	at java util concurrent ThreadPoolExecutor runWorker(ThreadPoolExecutor java:1167)_x000D_
11 05 11:53:36 557  5607 23163 E AndroidRuntime: 	at java util concurrent ThreadPoolExecutor Worker run(ThreadPoolExecutor java:641)_x000D_
11 05 11:53:36 557  5607 23163 E AndroidRuntime: 	at java lang Thread run(Thread java:764)_x000D_
11 05 11:53:36 557  5607 23163 E AndroidRuntime: Caused by: java lang reflect InvocationTargetException_x000D_
11 05 11:53:36 557  5607 23163 E AndroidRuntime: 	at java lang reflect Method invoke(Native Method)_x000D_
11 05 11:53:36 557  5607 23163 E AndroidRuntime: 	at okhttp3 internal platform android AndroidSocketAdapter a(SourceFile:81)_x000D_
11 05 11:53:36 557  5607 23163 E AndroidRuntime: 	    6 more_x000D_
11 05 11:53:36 557  5607 23163 E AndroidRuntime: Caused by: java lang NullPointerException: ssl    null_x000D_
11 05 11:53:36 557  5607 23163 E AndroidRuntime: 	at com android org conscrypt NativeCrypto getApplicationProtocol(Native Method)_x000D_
11 05 11:53:36 557  5607 23163 E AndroidRuntime: 	at com android org conscrypt NativeSsl getApplicationProtocol(NativeSsl java:568)_x000D_
11 05 11:53:36 557  5607 23163 E AndroidRuntime: 	at com android org conscrypt ConscryptFileDescriptorSocket getApplicationProtocol(ConscryptFileDescriptorSocket java:1085)_x000D_
11 05 11:53:36 557  5607 23163 E AndroidRuntime: 	at com android org conscrypt OpenSSLSocketImpl getAlpnSelectedProtocol(OpenSSLSocketImpl java:134)_x000D_
11 05 11:53:36 557  5607 23163 E AndroidRuntime: 	    8 more_x000D_
   _x000D_
_x000D_
Any ideas about this  Shouldn t this be handled by  MockWebserver  _x000D_
_x000D_
Thanks in advance </t>
  </si>
  <si>
    <t>fieldsight-fieldsight-mobile-472</t>
  </si>
  <si>
    <t xml:space="preserve">Forms list screen crashing in few samsung, oppo devices </t>
  </si>
  <si>
    <t xml:space="preserve">Stacktrace from firebase _x000D_
https:  console firebase google com project fieldsight 2906f crashlytics app android:org bcss collect android issues b9a7e48888cc8e9e4b8434b61f4f1a42 time last twenty four hours sessionId 5DC273F903D200013FE1DEB9E63B20A6 DNE 0 v2_x000D_
_x000D_
_x000D_
   _x000D_
Caused by androidx fragment app Fragment InstantiationException: Unable to instantiate fragment org fieldsight naxa forms ui FieldSightFormListFragment: could not find Fragment constructor_x000D_
       at androidx fragment app Fragment instantiate(Fragment java:519)_x000D_
       at androidx fragment app FragmentContainer instantiate(FragmentContainer java:57)_x000D_
       at androidx fragment app FragmentManagerImpl 5 instantiate(FragmentManagerImpl java:2788)_x000D_
       at androidx fragment app FragmentState instantiate(FragmentState java:78)_x000D_
       at androidx fragment app FragmentManagerImpl restoreSaveState(FragmentManagerImpl java:2471)_x000D_
       at androidx fragment app FragmentController restoreSaveState(FragmentController java:195)_x000D_
       at androidx fragment app FragmentActivity onCreate(FragmentActivity java:292)_x000D_
       at androidx appcompat app AppCompatActivity onCreate(AppCompatActivity java:106)_x000D_
       at org odk collect android activities CollectAbstractActivity onCreate(CollectAbstractActivity java:53)_x000D_
       at org fieldsight naxa site FragmentHostActivity onCreate(FragmentHostActivity java:66)_x000D_
       at android app Activity performCreate(Activity java:7326)_x000D_
       at android app Activity performCreate(Activity java:7317)_x000D_
       at android app Instrumentation callActivityOnCreate(Instrumentation java:1271)_x000D_
       at android app ActivityThread performLaunchActivity(ActivityThread java:3072)_x000D_
       at android app ActivityThread handleLaunchActivity(ActivityThread java:3235)_x000D_
       at android app ActivityThread handleRelaunchActivityInner(ActivityThread java:5013)_x000D_
       at android app ActivityThread handleRelaunchActivity(ActivityThread java:4922)_x000D_
       at android app servertransaction ActivityRelaunchItem execute(ActivityRelaunchItem java:69)_x000D_
       at android app servertransaction TransactionExecutor executeCallbacks(TransactionExecutor java:108)_x000D_
       at android app servertransaction TransactionExecutor execute(TransactionExecutor java:68)_x000D_
       at android app ActivityThread H handleMessage(ActivityThread java:1926)_x000D_
       at android os Handler dispatchMessage(Handler java:106)_x000D_
       at android os Looper loop(Looper java:214)_x000D_
       at android app ActivityThread main(ActivityThread java:6986)_x000D_
       at java lang reflect Method invoke(Method java)_x000D_
       at com android internal os RuntimeInit MethodAndArgsCaller run(RuntimeInit java:493)_x000D_
       at com android internal os ZygoteInit main(ZygoteInit java:1445)_x000D_
   </t>
  </si>
  <si>
    <t>redsolution-xabber-android-911</t>
  </si>
  <si>
    <t>Battery drain by endlessly repeating ClassCastException: org.jivesoftware.smack.packet.EmptyResultIQ cannot be cast to org.jivesoftware.smackx.disco.packet.DiscoverInfo</t>
  </si>
  <si>
    <t xml:space="preserve">I really like Xabber 2 6 6 644 open (from F Droid)  but unfortunately  I can t use it with my Prosody server (prosody 0 11 2 2 on FreeBSD 11 3 RELEASE p3) because Xabber is unresponsive  crashes from time to time and consumes a lot of battery even when it s not used  Debug logs show this message  a few times per second :_x000D_
_x000D_
   _x000D_
2019 11 04 16 50 17 E com xabber android data extension capability CapabilitiesManager 1 9c4baa5  java lang ClassCastException: org jivesoftware smack packet EmptyResultIQ cannot be cast to org jivesoftware smackx disco packet DiscoverInfo_x000D_
2019 11 04 16 50 17 E com xabber android data extension capability CapabilitiesManager 1 9c4baa5  org jivesoftware smackx disco ServiceDiscoveryManager discoverInfo(Unknown Source:28)_x000D_
2019 11 04 16 50 17 E com xabber android data extension capability CapabilitiesManager 1 9c4baa5  org jivesoftware smackx disco ServiceDiscoveryManager discoverInfo(Unknown Source:25)_x000D_
2019 11 04 16 50 17 E com xabber android data extension capability CapabilitiesManager 1 9c4baa5  com xabber android data extension capability CapabilitiesManager updateClientInfo(Unknown Source:26)_x000D_
2019 11 04 16 50 17 E com xabber android data extension capability CapabilitiesManager 1 9c4baa5  com xabber android data extension capability CapabilitiesManager 1 run(Unknown Source:6)_x000D_
2019 11 04 16 50 17 E com xabber android data extension capability CapabilitiesManager 1 9c4baa5  com xabber android data Application 9 run(Unknown Source:2)_x000D_
2019 11 04 16 50 17 E com xabber android data extension capability CapabilitiesManager 1 9c4baa5  java util concurrent Executors RunnableAdapter call(Executors java:457)_x000D_
2019 11 04 16 50 17 E com xabber android data extension capability CapabilitiesManager 1 9c4baa5  java util concurrent FutureTask run(FutureTask java:266)_x000D_
2019 11 04 16 50 17 E com xabber android data extension capability CapabilitiesManager 1 9c4baa5  java util concurrent ThreadPoolExecutor runWorker(ThreadPoolExecutor java:1162)_x000D_
2019 11 04 16 50 17 E com xabber android data extension capability CapabilitiesManager 1 9c4baa5  java util concurrent ThreadPoolExecutor Worker run(ThreadPoolExecutor java:636)_x000D_
2019 11 04 16 50 17 E com xabber android data extension capability CapabilitiesManager 1 9c4baa5  java lang Thread run(Thread java:764)_x000D_
2019 11 04 16 50 17 D Smack  SENT (0):  iq to  steam my server  id  2RO4y 37528  type  get   query xmlns  http:  jabber org protocol disco info    query   iq _x000D_
2019 11 04 16 50 17 D Smack  RECV (0):  r xmlns  urn:xmpp:sm:3   _x000D_
2019 11 04 16 50 17 D Smack  SENT (0):  a xmlns  urn:xmpp:sm:3  h  19053   _x000D_
2019 11 04 16 50 17 D Smack  RECV (0):  iq type  result  from  steam my server  to  myjid my server mobile  id  2RO4y 37528   _x000D_
2019 11 04 16 50 17 W com xabber android data extension capability CapabilitiesManager 1 43de62b: java lang ClassCastException: org jivesoftware smack packet EmptyResultIQ cannot be cast to org jivesoftware smackx disco packet DiscoverInfo_x000D_
	at org jivesoftware smackx disco ServiceDiscoveryManager discoverInfo(Unknown Source:28)_x000D_
	at org jivesoftware smackx disco ServiceDiscoveryManager discoverInfo(Unknown Source:25)_x000D_
	at com xabber android data extension capability CapabilitiesManager updateClientInfo(Unknown Source:26)_x000D_
	at com xabber android data extension capability CapabilitiesManager 1 run(Unknown Source:6)_x000D_
	at com xabber android data Application 9 run(Unknown Source:2)_x000D_
	at java util concurrent Executors RunnableAdapter call(Executors java:457)_x000D_
	at java util concurrent FutureTask run(FutureTask java:266)_x000D_
	at java util concurrent ThreadPoolExecutor runWorker(ThreadPoolExecutor java:1162)_x000D_
	at java util concurrent ThreadPoolExecutor Worker run(ThreadPoolExecutor java:636)_x000D_
	at java lang Thread run(Thread java:764)_x000D_
   _x000D_
_x000D_
There s a Steam transport running at  steam my server  which I have made myself (using SleekXMPP)  Maybe it behaves somehow incorrect  However  I think it shouldn t cause such problems for Xabber   it it doesn t understand something  it should ignore it _x000D_
_x000D_
Can you imagine where the problem comes from and what I can do about it  Can I somehow assist in fixing that  Meanwhile  I will investigate on the transport server side  but I think the client should ignore the problem  too (if there even is one) </t>
  </si>
  <si>
    <t>ElderDrivers-EdXposed-385</t>
  </si>
  <si>
    <t>[BUG] actived but all modules can't work (Solved by customized EdXposed file)</t>
  </si>
  <si>
    <t xml:space="preserve">       What happened   _x000D_
oenplus7 pro Android q  _x000D_
bootloop at 4463_x000D_
now I tried updating 4471 4476 yahfa handbook _x000D_
exposed manager  installer _x000D_
same situation that are all actived but modules can not work after somedays ago_x000D_
(maybe after updating magisk 20 1 I m not sure)_x000D_
managers installer                    xposed)_x000D_
_x000D_
uupdated:try rollback (re flash) magisik 20 0_x000D_
it s not worked yet_x000D_
_x000D_
  EdXposed Riru   Versions of EdXposed and Riru  _x000D_
_x000D_
Magisk 20 1 20 0_x000D_
Magisk Manager 7 4 0_x000D_
Riru:19 5_x000D_
EdXposed:4471 4476 4477_x000D_
edXposed Manager 4 5 1 4 5 2_x000D_
_x000D_
    Logcat Logcat  _x000D_
_x000D_
          beginning of head_x000D_
EdXposed Log_x000D_
Powered by Log Catcher_x000D_
QQ chat group 855219808_x000D_
          beginning of system info_x000D_
Android version: 10_x000D_
Android sdk: 29_x000D_
Android build: QKQ1 190716 003_x000D_
Fingerprint: OnePlus OnePlus7Pro EEA OnePlus7Pro:10 QKQ1 190716 003 1910071200:user release keys_x000D_
ROM build description: OnePlus7Pro user 10 QKQ1 190716 003 1910071200 release keys_x000D_
EdXposed Version: v0 4 6 0 beta(4471) (Sandhook)_x000D_
Architecture: arm64 v8a_x000D_
Device: OnePlus7Pro_x000D_
Manufacture: OnePlus_x000D_
Brand: OnePlus_x000D_
Product: OnePlus7Pro_x000D_
          beginning of main_x000D_
          beginning of system_x000D_
11 05 11:22:48 008   772   772 E EdXposed Bridge: Cannot load any modules because  data user de 0 com solohsu android edxp manager conf modules list was not found_x000D_
          beginning of crash_x000D_
11 05 11:23:19 882   773   773 E EdXposed Bridge: Cannot load any modules because  data user de 0 com solohsu android edxp manager conf modules list was not found_x000D_
_x000D_
</t>
  </si>
  <si>
    <t>MozillaReality-FirefoxReality-2144</t>
  </si>
  <si>
    <t>Fix crash in onLoadRequest()</t>
  </si>
  <si>
    <t>Fix for the following crash: https:  crash stats mozilla com report index 99d87b4e 5135 4b2c 8930 1f69f0191104</t>
  </si>
  <si>
    <t>fossasia-neurolab-android-526</t>
  </si>
  <si>
    <t xml:space="preserve">The app crashes when you try to navigate out of it </t>
  </si>
  <si>
    <t xml:space="preserve">  Describe the bug  _x000D_
_x000D_
The app crashes on second back press when you try to navigate away from it _x000D_
_x000D_
  Expected Behavior  _x000D_
_x000D_
The app should successfully exit on pressing the back button second time _x000D_
_x000D_
  Steps to reproduce it  _x000D_
_x000D_
  Open the app_x000D_
  Try to close the app by pressing back button twice _x000D_
_x000D_
  LogCat for the issue  _x000D_
_x000D_
   _x000D_
java lang IllegalArgumentException: Receiver not registered: io neurolab main NeuroLab 2 8bb47b1_x000D_
        at android app LoadedApk forgetReceiverDispatcher(LoadedApk java:1184)_x000D_
        at android app ContextImpl unregisterReceiver(ContextImpl java:1448)_x000D_
        at android content ContextWrapper unregisterReceiver(ContextWrapper java:639)_x000D_
        at io neurolab main NeuroLab onBackPressed(NeuroLab java:274)_x000D_
        at android app Activity onKeyUp(Activity java:2970)_x000D_
        at android view KeyEvent dispatch(KeyEvent java:2751)_x000D_
        at android support v4 view KeyEventDispatcher activitySuperDispatchKeyEventPre28(KeyEventDispatcher java:137)_x000D_
        at android support v4 view KeyEventDispatcher dispatchKeyEvent(KeyEventDispatcher java:87)_x000D_
        at android support v4 app SupportActivity dispatchKeyEvent(ComponentActivity java:126)_x000D_
        at android support v7 app AppCompatActivity dispatchKeyEvent(AppCompatActivity java:535)_x000D_
        at android support v7 view WindowCallbackWrapper dispatchKeyEvent(WindowCallbackWrapper java:59)_x000D_
        at android support v7 app AppCompatDelegateImpl AppCompatWindowCallback dispatchKeyEvent(AppCompatDelegateImpl java:2533)_x000D_
        at android support v7 view WindowCallbackWrapper dispatchKeyEvent(WindowCallbackWrapper java:59)_x000D_
        at com android internal policy DecorView dispatchKeyEvent(DecorView java:363)_x000D_
        at android view ViewRootImpl ViewPostImeInputStage processKeyEvent(ViewRootImpl java:5244)_x000D_
        at android view ViewRootImpl ViewPostImeInputStage onProcess(ViewRootImpl java:5110)_x000D_
        at android view ViewRootImpl InputStage deliver(ViewRootImpl java:4612)_x000D_
        at android view ViewRootImpl InputStage onDeliverToNext(ViewRootImpl java:4665)_x000D_
        at android view ViewRootImpl InputStage forward(ViewRootImpl java:4631)_x000D_
        at android view ViewRootImpl AsyncInputStage forward(ViewRootImpl java:4778)_x000D_
        at android view ViewRootImpl InputStage apply(ViewRootImpl java:4639)_x000D_
        at android view ViewRootImpl AsyncInputStage apply(ViewRootImpl java:4835)_x000D_
        at android view ViewRootImpl InputStage deliver(ViewRootImpl java:4612)_x000D_
        at android view ViewRootImpl InputStage onDeliverToNext(ViewRootImpl java:4665)_x000D_
        at android view ViewRootImpl InputStage forward(ViewRootImpl java:4631)_x000D_
        at android view ViewRootImpl InputStage apply(ViewRootImpl java:4639)_x000D_
        at android view ViewRootImpl InputStage deliver(ViewRootImpl java:4612)_x000D_
        at android view ViewRootImpl InputStage onDeliverToNext(ViewRootImpl java:4665)_x000D_
        at android view ViewRootImpl InputStage forward(ViewRootImpl java:4631)_x000D_
        at android view ViewRootImpl AsyncInputStage forward(ViewRootImpl java:4811)_x000D_
        at android view ViewRootImpl ImeInputStage onFinishedInputEvent(ViewRootImpl java:4981)_x000D_
        at android view inputmethod InputMethodManager PendingEvent run(InputMethodManager java:2461)_x000D_
        at android view inputmethod InputMethodManager invokeFinishedInputEventCallback(InputMethodManager java:2024)_x000D_
        at android view inputmethod InputMethodManager finishedInputEvent(InputMethodManager java:2015)_x000D_
        at android view inputmethod InputMethodManager ImeInputEventSender onInputEventFinished(InputMethodManager java:2438)_x000D_
        at android view InputEventSender dispatchInputEventFinished(InputEventSender java:141)_x000D_
        at android os MessageQueue nativePollOnce(Native Method)_x000D_
        at android os MessageQueue next(MessageQueue java:326)_x000D_
        at android os Looper loop(Looper java:147)_x000D_
        at android app ActivityThread main(ActivityThread java:6784)_x000D_
        at java lang reflect Method invoke(Native Method)_x000D_
        at com android internal os Zygote MethodAndArgsCaller run(Zygote java:240)_x000D_
        at com android internal os ZygoteInit main(ZygoteInit java:852)_x000D_
   _x000D_
_x000D_
  System Information  _x000D_
_x000D_
 table _x000D_
 tr _x000D_
   td Device  td  td Lenovo K8 Note  td _x000D_
  tr _x000D_
 tr _x000D_
   td Android version OS  td  td  8 0  td _x000D_
  tr _x000D_
  table _x000D_
_x000D_
  Would you like to work on the issue   _x000D_
_x000D_
Yes</t>
  </si>
  <si>
    <t>galbertsson-EdgeLight-2</t>
  </si>
  <si>
    <t>'null' is shown in notification</t>
  </si>
  <si>
    <t xml:space="preserve">Sometimes  null  is shown in a notification without the application crashing  _x000D_
This problem is able to be reproduced by showing the contents of a Snapchat notification _x000D_
_x000D_
Something must be done with how things are rendered when they do not exist  Alternatively this could be a problem with notification return   null   rather than  null  when copying the contents of the notification </t>
  </si>
  <si>
    <t>jroal-a2dpvolume-286</t>
  </si>
  <si>
    <t>Crash on Connect widget when device not paired</t>
  </si>
  <si>
    <t xml:space="preserve">Iy you use the connect widget with a device that is no longer paired the app will crash   This happened after I reset the  network settings reset  on a Moto Z2 Play   Pairing the device fixed the issue but there should be a check to prevent crashing  and it should bring up the pairing settings to guide the user through correcting the problem </t>
  </si>
  <si>
    <t>Piwigo-Piwigo-Android-185</t>
  </si>
  <si>
    <t>SDK version &lt; 21 (pre Lollipop) not supported</t>
  </si>
  <si>
    <t xml:space="preserve">received via ACRA crash report email:_x000D_
   APP VERSION CODE 102_x000D_
APP VERSION NAME 1 0 2_x000D_
ANDROID VERSION 4 4 4_x000D_
STACK TRACE java lang ExceptionInInitializerError_x000D_
	at okhttp3 internal platform Platform Companion findPlatform(Platform kt:211)_x000D_
	at okhttp3 internal platform Platform Companion access findPlatform(Platform kt:179)_x000D_
	at okhttp3 internal platform Platform  clinit (Platform kt:180)_x000D_
	at okhttp3 OkHttpClient  init (OkHttpClient kt:219)_x000D_
	at okhttp3 OkHttpClient Builder build(OkHttpClient kt:955)_x000D_
	at org piwigo io RestServiceFactory buildOkHttpClient(RestServiceFactory java:80)_x000D_
	at org piwigo io RestServiceFactory createForUrl(RestServiceFactory java:50)_x000D_
	at org piwigo io repository UserRepository login(UserRepository java:52)_x000D_
	at org piwigo ui login LoginViewModel testConnection(LoginViewModel java:124)_x000D_
	at org piwigo ui login LoginViewModel lambda onLoginClick 0 LoginViewModel(LoginViewModel java:112)_x000D_
	at org piwigo ui login    Lambda LoginViewModel aUrhbc Az2qHasSLzvhjaTczlw0 processFinish(lambda)_x000D_
	at org piwigo helper URLHelper onPostExecute(URLHelper java:57)_x000D_
	at org piwigo helper URLHelper onPostExecute(URLHelper java:14)_x000D_
	at android os AsyncTask finish(AsyncTask java:632)_x000D_
	at android os AsyncTask access 600(AsyncTask java:177)_x000D_
	at android os AsyncTask InternalHandler handleMessage(AsyncTask java:645)_x000D_
	at android os Handler dispatchMessage(Handler java:102)_x000D_
	at android os Looper loop(Looper java:136)_x000D_
	at android app ActivityThread main(ActivityThread java:5426)_x000D_
	at java lang reflect Method invokeNative(Native Method)_x000D_
	at java lang reflect Method invoke(Method java:515)_x000D_
	at com android internal os ZygoteInit MethodAndArgsCaller run(ZygoteInit java:1268)_x000D_
	at com android internal os ZygoteInit main(ZygoteInit java:1084)_x000D_
	at dalvik system NativeStart main(Native Method)_x000D_
Caused by: java lang IllegalStateException: Expected Android API level 21  but was 19_x000D_
	at okhttp3 internal platform AndroidPlatform  clinit (AndroidPlatform kt:232)_x000D_
	    24 more_x000D_
   _x000D_
So as it turns out  one of the dependencies we use (okhttp) depends on Android 5 (or later)  That s why I propose to follow this  even if it cuts a few percent of potential users  Lollipop is out for  5 years and even with the good will to support old devices we should care more about a few more important features for the majority of users instead of investing too much time in supporting old stuff </t>
  </si>
  <si>
    <t>processing-processing-android-575</t>
  </si>
  <si>
    <t>Monoscopic renderer in VR library is broken</t>
  </si>
  <si>
    <t>Calling    fullScreen(MONO)    crashes the sketch in version 4 1</t>
  </si>
  <si>
    <t>aws-amplify-aws-sdk-android-1289</t>
  </si>
  <si>
    <t>TransferNetworkLossHandler can crash the thread when using a poor network connection</t>
  </si>
  <si>
    <t xml:space="preserve">  Describe the bug  _x000D_
TransferNetworkLossHandler is crashing on an illegal state exception when the network connection is poor _x000D_
   _x000D_
java lang IllegalStateException_x000D_
Couldn t read row 988  col 0 from CursorWindow  Make sure the Cursor is initialized correctly before accessing data from it _x000D_
android database CursorWindow nativeGetLong (CursorWindow java)_x000D_
android database CursorWindow getLong   511 (CursorWindow java:511)_x000D_
android database CursorWindow getInt   578 (CursorWindow java:578)_x000D_
android database AbstractWindowedCursor getInt   84 (AbstractWindowedCursor java:84)_x000D_
com amazonaws mobileconnectors s3 transferutility TransferNetworkLossHandler resumeAllTransfersOnNetworkAvailability   171 (TransferNetworkLossHandler java:171)_x000D_
com amazonaws mobileconnectors s3 transferutility TransferNetworkLossHandler access 000   37 (TransferNetworkLossHandler java:37)_x000D_
com amazonaws mobileconnectors s3 transferutility TransferNetworkLossHandler 1 run   123 (TransferNetworkLossHandler java:123)_x000D_
java lang Thread run   761 (Thread java:761)_x000D_
   _x000D_
  To Reproduce  _x000D_
1  Use a slow network connection ( 100kbps)_x000D_
1  Attempt to upload files to s3 _x000D_
1  on upload failure  terminate TransferUtility and create a new instance for when the network reconnects _x000D_
_x000D_
  Which AWS service(s) are affected   _x000D_
S3_x000D_
_x000D_
  Expected behavior  _x000D_
Failures in the TransferUtility should not terminate the thread via an uncaught exception  The transfer utility should close gracefully  _x000D_
_x000D_
  Screenshots  _x000D_
N A_x000D_
_x000D_
  Environment Information:  _x000D_
   AWS Android SDK Version: 2 16 1_x000D_
   Android Version: 7 0_x000D_
   Specific to simulators:  Unknown_x000D_
_x000D_
  Additional context  _x000D_
The exception is being caught with:_x000D_
   _x000D_
 Thread setDefaultUncaughtExceptionHandler(Thread UncaughtExceptionHandler) _x000D_
   _x000D_
</t>
  </si>
  <si>
    <t>Haptic-Apps-Slide-3086</t>
  </si>
  <si>
    <t>java.lang.OutOfMemoryError</t>
  </si>
  <si>
    <t xml:space="preserve">Slide version:6 2 2_x000D_
Android version:5_x000D_
I get this error often   The only App Slide crashed with this error on my phone  Best Wishes </t>
  </si>
  <si>
    <t>SanojPunchihewa-f5n-71</t>
  </si>
  <si>
    <t>Unexpected behaviour when switched to another app when f5n is running</t>
  </si>
  <si>
    <t xml:space="preserve">  Describe the bug  _x000D_
While a command is running  if I switch to another app (eg: messenger) and later come back to f5n  the log outputs of f5n are missing (see screenshot)  Then if I go back  the app crashes (see screenshot)_x000D_
_x000D_
  To Reproduce  _x000D_
Steps to reproduce the behavior:_x000D_
1  Run minimap2 on a dataset which takes around 1 minute to run  I tried a small dataset on chr22 _x000D_
2  While the command is running  goto messenger or any other app_x000D_
3  After around 2 minutes come back to f5c_x000D_
4  See that log output is missing_x000D_
5  then try to go back a few times (the back button in Android)_x000D_
6  f5n crashes_x000D_
_x000D_
_x000D_
  Screenshots  _x000D_
_x000D_
command run:_x000D_
  Screenshot 2019 11 01 11 59 02 (https:  user images githubusercontent com 12987163 67996029 a33b0880 fca1 11e9 83b7 84d56846eafe png)_x000D_
_x000D_
after going to another app and coming back things are missing:_x000D_
  Screenshot 2019 11 01 12 01 02 (https:  user images githubusercontent com 12987163 67996055 b64dd880 fca1 11e9 94f2 d34236aa05f0 png)_x000D_
_x000D_
Press back button few times:_x000D_
  Screenshot 2019 11 01 12 01 14 (https:  user images githubusercontent com 12987163 67996060 c1a10400 fca1 11e9 8930 4f5b93900a0b png)_x000D_
_x000D_
_x000D_
  Smartphone (please complete the following information):  _x000D_
   Device: LG Q6_x000D_
   OS: Android 8 1 0_x000D_
_x000D_
_x000D_
</t>
  </si>
  <si>
    <t>onaio-rdt-standard-211</t>
  </si>
  <si>
    <t>Fix bugs</t>
  </si>
  <si>
    <t xml:space="preserve">  Fix bug which causes app to crash after manual capture_x000D_
  Fix test compile error</t>
  </si>
  <si>
    <t>andreynovikov-trekarta-89</t>
  </si>
  <si>
    <t>Missing build resources (affects runtime!)</t>
  </si>
  <si>
    <t xml:space="preserve">Somewhere before the VTM update building broke here   probably the new 3D building update _x000D_
_x000D_
Current head builds  but the app crashes (in the emulator)   I did wipe data on the image  clean  rebuild everything in the app  Is it my configuration _x000D_
_x000D_
I have to checkout commit 094420a6cc1ea216c9d2aa24a44b0419240f3e00 (tag: 2019 09fix1)  just before  amenities can be tapped  commit to get a running app _x000D_
_x000D_
Logcat gives this error   maybe you can tell something from this _x000D_
_x000D_
   _x000D_
Launching  app  on Unihertz Atom _x000D_
  adb shell am start  n  mobi maptrek mobi maptrek MainActivity   a android intent action MAIN  c android intent category LAUNCHER_x000D_
Waiting for process to come online   _x000D_
Connected to process 4021 on device  emulator 5554  _x000D_
Capturing and displaying logcat messages from application  This behavior can be disabled in the  Logcat output  section of the  Debugger  settings page _x000D_
E MapTrek: mobi maptrek MapTrek Has SD card: null_x000D_
I TwilightManager: Could not get last known location  This is probably because the app does not have any location permissions  Falling back to hardcoded sunrise sunset values _x000D_
    Could not get last known location  This is probably because the app does not have any location permissions  Falling back to hardcoded sunrise sunset values _x000D_
E MapTrek: mobi maptrek MainActivity ES: null_x000D_
    mobi maptrek MainActivity New ES: null_x000D_
D AndroidRuntime: Shutting down VM_x000D_
E AndroidRuntime: FATAL EXCEPTION: main_x000D_
    Process: mobi maptrek  PID: 4021_x000D_
    java lang ExceptionInInitializerError_x000D_
        at com ibm icu text IDNA getUTS46Instance(IDNA java:153)_x000D_
        at mobi maptrek maps maptrek MapTrekDatabaseHelper  clinit (MapTrekDatabaseHelper java:309)_x000D_
        at mobi maptrek MapTrek getDetailedMapDatabase(MapTrek java:243)_x000D_
        at mobi maptrek MapTrek getMapIndex(MapTrek java:303)_x000D_
        at mobi maptrek MainActivity onCreate(MainActivity java:456)_x000D_
        at android app Activity performCreate(Activity java:7009)_x000D_
        at android app Activity performCreate(Activity java:7000)_x000D_
        at android app Instrumentation callActivityOnCreate(Instrumentation java:1214)_x000D_
        at android app ActivityThread performLaunchActivity(ActivityThread java:2731)_x000D_
        at android app ActivityThread handleLaunchActivity(ActivityThread java:2856)_x000D_
        at android app ActivityThread  wrap11(Unknown Source:0)_x000D_
        at android app ActivityThread H handleMessage(ActivityThread java:1589)_x000D_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Caused by: java util MissingResourceException: could not locate data _x000D_
        at com ibm icu impl ICUData getStream(ICUData java:143)_x000D_
        at com ibm icu impl ICUBinary getData(ICUBinary java:496)_x000D_
        at com ibm icu impl ICUBinary getRequiredData(ICUBinary java:450)_x000D_
        at com ibm icu impl Normalizer2Impl load(Normalizer2Impl java:510)_x000D_
        at com ibm icu impl Norm2AllModes 1 createInstance(Norm2AllModes java:349)_x000D_
        at com ibm icu impl Norm2AllModes 1 createInstance(Norm2AllModes java:344)_x000D_
        at com ibm icu impl SoftCache getInstance(SoftCache java:69)_x000D_
        at com ibm icu impl Norm2AllModes getInstance(Norm2AllModes java:341)_x000D_
        at com ibm icu text Normalizer2 getInstance(Normalizer2 java:202)_x000D_
        at com ibm icu impl UTS46  clinit (UTS46 java:69)_x000D_
        at com ibm icu text IDNA getUTS46Instance(IDNA java:153) _x000D_
        at mobi maptrek maps maptrek MapTrekDatabaseHelper  clinit (MapTrekDatabaseHelper java:309) _x000D_
        at mobi maptrek MapTrek getDetailedMapDatabase(MapTrek java:243) _x000D_
        at mobi maptrek MapTrek getMapIndex(MapTrek java:303) _x000D_
        at mobi maptrek MainActivity onCreate(MainActivity java:456) _x000D_
        at android app Activity performCreate(Activity java:7009) _x000D_
        at android app Activity performCreate(Activity java:7000) _x000D_
        at android app Instrumentation callActivityOnCreate(Instrumentation java:1214) _x000D_
        at android app ActivityThread performLaunchActivity(ActivityThread java:2731) _x000D_
        at android app ActivityThread handleLaunchActivity(ActivityThread java:2856) _x000D_
        at android app ActivityThread  wrap11(Unknown Source:0) _x000D_
        at android app ActivityThread H handleMessage(ActivityThread java:1589) _x000D_
        at android os Handler dispatchMessage(Handler java:106) _x000D_
        at android os Looper loop(Looper java:164) _x000D_
        at android app ActivityThread main(ActivityThread java:6494) _x000D_
        at java lang reflect Method invoke(Native Method) _x000D_
        at com android internal os RuntimeInit MethodAndArgsCaller run(RuntimeInit java:438) _x000D_
        at com android internal os ZygoteInit main(ZygoteInit java:807) _x000D_
Process 4021 terminated _x000D_
   </t>
  </si>
  <si>
    <t>jellyfin-jellyfin-androidtv-177</t>
  </si>
  <si>
    <t>Crash when adding server</t>
  </si>
  <si>
    <t xml:space="preserve">I installed the 0 10 apk for Android TV on my Philips Android TV _x000D_
The app crash and exit when adding a server   </t>
  </si>
  <si>
    <t>leancloud-java-unified-sdk-78</t>
  </si>
  <si>
    <t>第三方登录 failOnNotExist 参数使用报错</t>
  </si>
  <si>
    <t xml:space="preserve"> Android           (https:  leancloud cn docs leanstorage guide java html hash774465870)        failOnNotExist           _x000D_
_x000D_
             v6 0 3  _x000D_
   _x000D_
   Map String  Object  authData   new HashMap String  Object () _x000D_
        authData put( expires in   7200) _x000D_
        authData put( openid    1234567890 ) _x000D_
        authData put( access token    ACCESS TOKEN1 ) _x000D_
        authData put( refresh token    REFRESH TOKEN2 ) _x000D_
        authData put( scope    SCOPE ) _x000D_
        AVUser user   new AVUser() _x000D_
        user loginWithAuthData(authData  weixin  true) subscribe(new Observer AVUser ()  _x000D_
             Override_x000D_
            public void onSubscribe(Disposable d)  _x000D_
             _x000D_
             Override_x000D_
            public void onNext(AVUser avUser)  _x000D_
                System out println(              ) _x000D_
             _x000D_
             Override_x000D_
            public void onError(Throwable e)  _x000D_
                AVException avException   new AVException(e) _x000D_
                int code   avException getCode() _x000D_
                if (code    211) _x000D_
                                           _x000D_
                  else  _x000D_
                    System out println(     :    e getMessage()) _x000D_
                 _x000D_
             _x000D_
             Override_x000D_
            public void onComplete()  _x000D_
             _x000D_
         ) _x000D_
   _x000D_
       _x000D_
_x000D_
   _x000D_
_x000D_
             beginning of crash_x000D_
2019 10 31 11:54:29 031 4688 4688 com example myapplicationtest E AndroidRuntime: FATAL EXCEPTION: main_x000D_
    Process: com example myapplicationtest  PID: 4688_x000D_
    java lang RuntimeException: Unable to start activity ComponentInfo com example myapplicationtest com example myapplicationtest MainActivity : java lang IllegalArgumentException: URL   1 1 users  does not contain   failOnNotExist    (parameter  2)_x000D_
        for method APIService signup_x000D_
        at android app ActivityThread performLaunchActivity(ActivityThread java:2913)_x000D_
        at android app ActivityThread handleLaunchActivity(ActivityThread java:3048)_x000D_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java:1808)_x000D_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Caused by: java lang IllegalArgumentException: URL   1 1 users  does not contain   failOnNotExist    (parameter  2)_x000D_
        for method APIService signup_x000D_
        at retrofit2 Utils methodError(Utils java:52)_x000D_
        at retrofit2 Utils methodError(Utils java:42)_x000D_
        at retrofit2 Utils parameterError(Utils java:61)_x000D_
        at retrofit2 RequestFactory Builder validatePathName(RequestFactory java:776)_x000D_
        at retrofit2 RequestFactory Builder parseParameterAnnotation(RequestFactory java:395)_x000D_
        at retrofit2 RequestFactory Builder parseParameter(RequestFactory java:306)_x000D_
        at retrofit2 RequestFactory Builder build(RequestFactory java:193)_x000D_
        at retrofit2 RequestFactory parseAnnotations(RequestFactory java:67)_x000D_
        at retrofit2 ServiceMethod parseAnnotations(ServiceMethod java:26)_x000D_
        at retrofit2 Retrofit loadServiceMethod(Retrofit java:170)_x000D_
        at retrofit2 Retrofit 1 invoke(Retrofit java:149)_x000D_
        at java lang reflect Proxy invoke(Proxy java:1006)_x000D_
        at  Proxy1 signup(Unknown Source)_x000D_
        at cn leancloud core StorageClient signUpWithFlag(StorageClient java:322)_x000D_
        at cn leancloud AVUser loginWithAuthData(AVUser java:482)_x000D_
        at com example myapplicationtest MainActivity onCreate(MainActivity java:41)_x000D_
        at android app Activity performCreate(Activity java:7136)_x000D_
        at android app Activity performCreate(Activity java:7127)_x000D_
        at android app Instrumentation callActivityOnCreate(Instrumentation java:1271)_x000D_
        at android app ActivityThread performLaunchActivity(ActivityThread java:2893)_x000D_
        	    11 more_x000D_
   </t>
  </si>
  <si>
    <t>denzilferreira-aware-client-281</t>
  </si>
  <si>
    <t>Battery Sensor issues</t>
  </si>
  <si>
    <t xml:space="preserve">During analysis of the battery sensor data we have noticed that data in the battery charges and battery discharges tables isn t accurate in certain situations  We have identified some events that would cause the sensor to record an incorrect battery end and double end timestamp and thus give an inaccurate entry in the respective tables:_x000D_
_x000D_
1  The app crashes or is force closed by the user and the user restarts it some time later  The time before the app stopped should be considered the end of the last charging discharging period and a new period should be started from the time that the app restarted  For example if the battery was in a discharging period before the app stopped working and the user charges the phone before restarting the app the battery end could be higher than the battery start and the double end timestamp could be hours or days after the starting timestamp  This would give an extremely inaccurate discharge rate  _x000D_
_x000D_
2  The user or OS shuts down restarts the phone  The next time the app starts should be the beginning of a new charge or discharge period and the most recent recording should be the end of the last period  _x000D_
_x000D_
Basically we want to avoid an incorrect delta battery level or an incorrect delta time  _x000D_
_x000D_
The same issue is present on the iOS client and has been reported to Yuuki  </t>
  </si>
  <si>
    <t>wallabag-android-app-863</t>
  </si>
  <si>
    <t>Wallabag crashes immediately after fresh install (Samsung Note 10+)</t>
  </si>
  <si>
    <t xml:space="preserve">  Issue details_x000D_
_x000D_
    Duplicate _x000D_
No_x000D_
_x000D_
    Actual behaviour_x000D_
The app crashes immediately after starting _x000D_
_x000D_
    Expected behaviour_x000D_
The app should start _x000D_
_x000D_
    What have you tried to resolve the issue _x000D_
  Reinstall the app_x000D_
_x000D_
  Steps to reproduce the issue_x000D_
1  Install the app on a Samsung Note10 _x000D_
2  Start the app_x000D_
_x000D_
  Environment details_x000D_
    wallabag app version  : latest 2 2 4_x000D_
    wallabag app installation source   (e g  Gplay  F Droid  manual): Google Play Store_x000D_
    Android OS version  : 9_x000D_
    Android ROM   (e g  stock  LineageOS  SlimRom  ): Stock_x000D_
    Android hardware  : Samsung Note 10 _x000D_
    wallabag server version  :  Version: 2 3 3_x000D_
    Do you have Two Factor Authentication enabled   : no_x000D_
_x000D_
  Logs_x000D_
   adb logcat_x000D_
 logcat zip (https:  github com wallabag android app files 3790556 logcat zip)_x000D_
_x000D_
  Your experience with wallabag Android app_x000D_
I switched my phone this week and put all the effort into getting the log file  Wallabag has become essential in organizing my reading material  I would hate to switch to another product because I m unable to use the app  Keep up the good work _x000D_
_x000D_
Thanks _x000D_
Glenn_x000D_
_x000D_
_x000D_
</t>
  </si>
  <si>
    <t>fieldsight-fieldsight-mobile-428</t>
  </si>
  <si>
    <t>Crashes when refresh button in pressed in suvey from screen</t>
  </si>
  <si>
    <t xml:space="preserve">Taken from https:  console firebase google com project fieldsight 2906f crashlytics app android:org bcss collect android issues e9e54488fdf86d7c0a379d74e2631bc0 time last seven days sessionId 5DB83D0F019C0001682455A7E5D2D84A DNE 8 v2_x000D_
_x000D_
   _x000D_
Fatal Exception: java lang NullPointerException: Attempt to invoke virtual method  java lang String org fieldsight naxa login model Site getProject()  on a null object reference_x000D_
       at org fieldsight naxa site FragmentHostActivity onOptionsItemSelected(FragmentHostActivity java:145)_x000D_
       at android app Activity onMenuItemSelected(Activity java:3742)_x000D_
       at androidx fragment app FragmentActivity onMenuItemSelected(FragmentActivity java:386)_x000D_
       at androidx appcompat app AppCompatActivity onMenuItemSelected(AppCompatActivity java:219)_x000D_
       at androidx appcompat view WindowCallbackWrapper onMenuItemSelected(WindowCallbackWrapper java:109)_x000D_
       at androidx appcompat view WindowCallbackWrapper onMenuItemSelected(WindowCallbackWrapper java:109)_x000D_
       at androidx appcompat app ToolbarActionBar 2 onMenuItemClick(ToolbarActionBar java:64)_x000D_
       at androidx appcompat widget Toolbar 1 onMenuItemClick(Toolbar java:207)_x000D_
       at androidx appcompat widget ActionMenuView MenuBuilderCallback onMenuItemSelected(ActionMenuView java:781)_x000D_
       at androidx appcompat view menu MenuBuilder dispatchMenuItemSelected(MenuBuilder java:840)_x000D_
       at androidx appcompat view menu MenuItemImpl invoke(MenuItemImpl java:158)_x000D_
       at androidx appcompat view menu MenuBuilder performItemAction(MenuBuilder java:991)_x000D_
       at androidx appcompat view menu MenuBuilder performItemAction(MenuBuilder java:981)_x000D_
       at androidx appcompat widget ActionMenuView invokeItem(ActionMenuView java:625)_x000D_
       at androidx appcompat view menu ActionMenuItemView onClick(ActionMenuItemView java:151)_x000D_
       at android view View performClick(View java:6663)_x000D_
       at android view View performClickInternal(View java:6635)_x000D_
       at android view View access 3100(View java:794)_x000D_
       at android view View PerformClick run(View java:26199)_x000D_
       at android os Handler handleCallback(Handler java:907)_x000D_
       at android os Handler dispatchMessage(Handler java:105)_x000D_
       at android os Looper loop(Looper java:216)_x000D_
       at android app ActivityThread main(ActivityThread java:7625)_x000D_
       at java lang reflect Method invoke(Method java)_x000D_
       at com android internal os RuntimeInit MethodAndArgsCaller run(RuntimeInit java:524)_x000D_
       at com android internal os ZygoteInit main(ZygoteInit java:987)_x000D_
   </t>
  </si>
  <si>
    <t>gini-gini-vision-lib-android-256</t>
  </si>
  <si>
    <t>Pia 375 open application settings crash</t>
  </si>
  <si>
    <t xml:space="preserve">When the camera screen is launched without having camera permissions we ask the user to grant camera permissions by tapping a button to open the application details in the android settings app _x000D_
_x000D_
This caused a crash because  startActivity()  was called on the  Application  instance instead of the  Activity  instance _x000D_
_x000D_
Lots of files were touched in order to pass the  Activity  instance around instead of the  Application  one  The actual fix is  here (https:  github com gini gini vision lib android blob 9513b3f8de2d9f4332b3cdfb61f3b54e64e2581b ginivision src main java net gini android vision internal util ApplicationHelper java L27 L31) _x000D_
_x000D_
    Ticket _x000D_
 PIA 375 (https:  ginis atlassian net browse PIA 375)_x000D_
</t>
  </si>
  <si>
    <t>SkyTubeTeam-SkyTube-594</t>
  </si>
  <si>
    <t>App crashes when switching to "Feed" tab</t>
  </si>
  <si>
    <t xml:space="preserve">Hi _x000D_
_x000D_
Just updated to SkyTube Extra v2 966 and noticed that when navigating switching to  Feed  tab  the app crashes _x000D_
_x000D_
  Device:   Asus Zenfone Max Pro M1_x000D_
  OS Version:   Android 9_x000D_
_x000D_
Thanks  </t>
  </si>
  <si>
    <t>google-ExoPlayer-6588</t>
  </si>
  <si>
    <t>Crash when using CacheDataSource</t>
  </si>
  <si>
    <t xml:space="preserve">     REQUIRED  Issue description_x000D_
Thanks for developing such a great app  I learned a lot from it _x000D_
But now I suffered a crash with it after using the  CacheDataSource  and related class_x000D_
_x000D_
This is the code I use for adding cache for player:_x000D_
   _x000D_
fun buildCacheDataSourceFactory(context: Context  bandwidthMeter: DefaultBandwidthMeter ): DataSource Factory  _x000D_
            val httpDataSourceFactory  _x000D_
                    DefaultHttpDataSourceFactory(Util getUserAgent(context  APPLICATION NAME)  bandwidthMeter)_x000D_
            val cache   getCacheSingleInstance(context)_x000D_
            return CacheDataSourceFactory(cache  httpDataSourceFactory  CacheDataSource FLAG IGNORE CACHE ON ERROR)_x000D_
         _x000D_
        _x000D_
        private fun getCacheSingleInstance(context: Context): Cache   _x000D_
            var cache: Cache    null_x000D_
            val cachePath   context cacheDir absolutePath   File separator   PLAYER CACHE SUBDIRECTORY_x000D_
            val cacheFile   File(cachePath)_x000D_
            val isLocked   SimpleCache isCacheFolderLocked(cacheFile)_x000D_
            if ( isLocked)  _x000D_
                cache  _x000D_
                        SimpleCache(cacheFile  LeastRecentlyUsedCacheEvictor(DEFAULT MAX CACHE SIZE)  ExoDatabaseProvider(context))_x000D_
             _x000D_
            return cache_x000D_
         _x000D_
   _x000D_
_x000D_
     REQUIRED  Reproduction steps_x000D_
This is an occasional crash  I haven t reproduced this crash yet  but from the crashlytics of the fabric  more than 600 users suffered it with more than 1800 times in the past 7 days _x000D_
_x000D_
     REQUIRED  A full bug report captured from the device_x000D_
Here below are the detailed crash message:_x000D_
Crash 1  happened on multiple devices with system version 4  5  and 6 _x000D_
   _x000D_
Fatal Exception: java lang StackOverflowError_x000D_
       at java util WeakHashMap Entry  init    71(WeakHashMap java:71)_x000D_
       at java util WeakHashMap put   611(WeakHashMap java:611)_x000D_
       at android database sqlite SQLiteConnectionPool finishAcquireConnectionLocked   911(SQLiteConnectionPool java:911)_x000D_
       at android database sqlite SQLiteConnectionPool tryAcquirePrimaryConnectionLocked   847(SQLiteConnectionPool java:847)_x000D_
       at android database sqlite SQLiteConnectionPool waitForConnection   613(SQLiteConnectionPool java:613)_x000D_
       at android database sqlite SQLiteConnectionPool acquireConnection   348(SQLiteConnectionPool java:348)_x000D_
       at android database sqlite SQLiteSession acquireConnection   894(SQLiteSession java:894)_x000D_
       at android database sqlite SQLiteSession prepare   586(SQLiteSession java:586)_x000D_
       at android database sqlite SQLiteProgram  init    58(SQLiteProgram java:58)_x000D_
       at android database sqlite SQLiteStatement  init    31(SQLiteStatement java:31)_x000D_
       at android database sqlite SQLiteDatabase insertWithOnConflict   1467(SQLiteDatabase java:1467)_x000D_
       at android database sqlite SQLiteDatabase replaceOrThrow   1411(SQLiteDatabase java:1411)_x000D_
       at com google android exoplayer2 upstream cache CacheFileMetadataIndex set   166(CacheFileMetadataIndex java:166)_x000D_
       at com google android exoplayer2 upstream cache SimpleCache startReadWriteNonBlocking   422(SimpleCache java:422)_x000D_
       at com google android exoplayer2 upstream cache SimpleCache startReadWriteNonBlocking   49(SimpleCache java:49)_x000D_
       at com google android exoplayer2 upstream cache CacheDataSource openNextSource   384(CacheDataSource java:384)_x000D_
       at com google android exoplayer2 upstream cache CacheDataSource read   317(CacheDataSource java:317)_x000D_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_x000D_
Crashed: Loader:HlsSampleStreamWrapper_x000D_
       at java util WeakHashMap Entry  init    71(WeakHashMap java:71)_x000D_
       at java util WeakHashMap put   611(WeakHashMap java:611)_x000D_
       at android database sqlite SQLiteConnectionPool finishAcquireConnectionLocked   911(SQLiteConnectionPool java:911)_x000D_
       at android database sqlite SQLiteConnectionPool tryAcquirePrimaryConnectionLocked   847(SQLiteConnectionPool java:847)_x000D_
       at android database sqlite SQLiteConnectionPool waitForConnection   613(SQLiteConnectionPool java:613)_x000D_
       at android database sqlite SQLiteConnectionPool acquireConnection   348(SQLiteConnectionPool java:348)_x000D_
       at android database sqlite SQLiteSession acquireConnection   894(SQLiteSession java:894)_x000D_
       at android database sqlite SQLiteSession prepare   586(SQLiteSession java:586)_x000D_
       at android database sqlite SQLiteProgram  init    58(SQLiteProgram java:58)_x000D_
       at android database sqlite SQLiteStatement  init    31(SQLiteStatement java:31)_x000D_
       at android database sqlite SQLiteDatabase insertWithOnConflict   1467(SQLiteDatabase java:1467)_x000D_
       at android database sqlite SQLiteDatabase replaceOrThrow   1411(SQLiteDatabase java:1411)_x000D_
       at com google android exoplayer2 upstream cache CacheFileMetadataIndex set   166(CacheFileMetadataIndex java:166)_x000D_
       at com google android exoplayer2 upstream cache SimpleCache startReadWriteNonBlocking   422(SimpleCache java:422)_x000D_
       at com google android exoplayer2 upstream cache SimpleCache startReadWriteNonBlocking   49(SimpleCache java:49)_x000D_
       at com google android exoplayer2 upstream cache CacheDataSource openNextSource   384(CacheDataSource java:384)_x000D_
       at com google android exoplayer2 upstream cache CacheDataSource read   317(CacheDataSource java:317)_x000D_
       at com google android exoplayer2 upstream cache CacheDataSource read   318(CacheDataSource java:318)_x000D_
       at com google android exoplayer2 upstream cache CacheDataSource read   318(CacheDataSource java:318)_x000D_
   _x000D_
Crash 2  happened on multiple devices with system version 8 9 and 10 _x000D_
   _x000D_
Fatal Exception: java lang StackOverflowError: stack size 1042KB_x000D_
       at libcore io Linux fstat(Linux java)_x000D_
       at libcore io BlockGuardOs fstat   146(BlockGuardOs java:146)_x000D_
       at libcore io IoBridge open   474(IoBridge java:474)_x000D_
       at java io RandomAccessFile  init    288(RandomAccessFile java:288)_x000D_
       at java io RandomAccessFile  init    151(RandomAccessFile java:151)_x000D_
       at com google android exoplayer2 upstream FileDataSource open   65(FileDataSource java:65)_x000D_
       at com google android exoplayer2 upstream cache CacheDataSource openNextSource   455(CacheDataSource java:455)_x000D_
       at com google android exoplayer2 upstream cache CacheDataSource read   317(CacheDataSource java:317)_x000D_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StatsDataSource read   91(StatsDataSource java:91)_x000D_
       at com google android exoplayer2 extractor DefaultExtractorInput readFromDataSource   260(DefaultExtractorInput java:260)_x000D_
       at com google android exoplayer2 extractor DefaultExtractorInput read   61(DefaultExtractorInput java:61)_x000D_
       at com google android exoplayer2 extractor ts TsExtractor fillBufferWithAtLeastOnePacket   386(TsExtractor java:386)_x000D_
       at com google android exoplayer2 extractor ts TsExtractor read   276(TsExtractor java:276)_x000D_
       at com google android exoplayer2 source hls HlsMediaChunk feedDataToExtractor   357(HlsMediaChunk java:357)_x000D_
       at com google android exoplayer2 source hls HlsMediaChunk loadMedia   325(HlsMediaChunk java:325)_x000D_
       at com google android exoplayer2 source hls HlsMediaChunk load   301(HlsMediaChunk java:301)_x000D_
       at com google android exoplayer2 upstream Loader LoadTask run   381(Loader java:381)_x000D_
       at java util concurrent ThreadPoolExecutor runWorker   1167(ThreadPoolExecutor java:1167)_x000D_
       at java util concurrent ThreadPoolExecutor Worker run   641(ThreadPoolExecutor java:641)_x000D_
       at java lang Thread run   764(Thread java:764)_x000D_
_x000D_
 0  Crashed: Loader:HlsSampleStreamWrapper_x000D_
       at libcore io Linux fstat(Linux java)_x000D_
       at libcore io BlockGuardOs fstat   146(BlockGuardOs java:146)_x000D_
       at libcore io IoBridge open   474(IoBridge java:474)_x000D_
       at java io RandomAccessFile  init    288(RandomAccessFile java:288)_x000D_
       at java io RandomAccessFile  init    151(RandomAccessFile java:151)_x000D_
       at com google android exoplayer2 upstream FileDataSource open   65(FileDataSource java:65)_x000D_
       at com google android exoplayer2 upstream cache CacheDataSource openNextSource   455(CacheDataSource java:455)_x000D_
       at com google android exoplayer2 upstream cache CacheDataSource read   317(CacheDataSource java:317)_x000D_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StatsDataSource read   91(StatsDataSource java:91)_x000D_
       at com google android exoplayer2 extractor DefaultExtractorInput readFromDataSource   260(DefaultExtractorInput java:260)_x000D_
       at com google android exoplayer2 extractor DefaultExtractorInput read   61(DefaultExtractorInput java:61)_x000D_
       at com google android exoplayer2 extractor ts TsExtractor fillBufferWithAtLeastOnePacket   386(TsExtractor java:386)_x000D_
       at com google android exoplayer2 extractor ts TsExtractor read   276(TsExtractor java:276)_x000D_
       at com google android exoplayer2 source hls HlsMediaChunk feedDataToExtractor   357(HlsMediaChunk java:357)_x000D_
       at com google android exoplayer2 source hls HlsMediaChunk loadMedia   325(HlsMediaChunk java:325)_x000D_
       at com google android exoplayer2 source hls HlsMediaChunk load   301(HlsMediaChunk java:301)_x000D_
       at com google android exoplayer2 upstream Loader LoadTask run   381(Loader java:381)_x000D_
       at java util concurrent ThreadPoolExecutor runWorker   1167(ThreadPoolExecutor java:1167)_x000D_
       at java util concurrent ThreadPoolExecutor Worker run   641(ThreadPoolExecutor java:641)_x000D_
       at java lang Thread run   764(Thread java:764)_x000D_
   _x000D_
Crash 3  happened on multiple devices with system version 5  6 and 7 _x000D_
   _x000D_
Fatal Exception: java lang StackOverflowError: stack size 1038KB_x000D_
       at libcore io Posix fstat(Posix java)_x000D_
       at libcore io BlockGuardOs fstat   134(BlockGuardOs java:134)_x000D_
       at libcore io IoBridge open   444(IoBridge java:444)_x000D_
       at java io RandomAccessFile  init    247(RandomAccessFile java:247)_x000D_
       at java io RandomAccessFile  init    128(RandomAccessFile java:128)_x000D_
       at com google android exoplayer2 upstream FileDataSource open   65(FileDataSource java:65)_x000D_
       at com google android exoplayer2 upstream cache CacheDataSource openNextSource   455(CacheDataSource java:455)_x000D_
       at com google android exoplayer2 upstream cache CacheDataSource read   317(CacheDataSource java:317)_x000D_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StatsDataSource read   91(StatsDataSource java:91)_x000D_
       at com google android exoplayer2 extractor DefaultExtractorInput readFromDataSource   260(DefaultExtractorInput java:260)_x000D_
       at com google android exoplayer2 extractor DefaultExtractorInput read   61(DefaultExtractorInput java:61)_x000D_
       at com google android exoplayer2 extractor ts TsExtractor fillBufferWithAtLeastOnePacket   386(TsExtractor java:386)_x000D_
       at com google android exoplayer2 extractor ts TsExtractor read   276(TsExtractor java:276)_x000D_
       at com google android exoplayer2 source hls HlsMediaChunk feedDataToExtractor   357(HlsMediaChunk java:357)_x000D_
       at com google android exoplayer2 source hls HlsMediaChunk loadMedia   325(HlsMediaChunk java:325)_x000D_
       at com google android exoplayer2 source hls HlsMediaChunk load   301(HlsMediaChunk java:301)_x000D_
       at com google android exoplayer2 upstream Loader LoadTask run   381(Loader java:381)_x000D_
       at java util concurrent ThreadPoolExecutor runWorker   1133(ThreadPoolExecutor java:1133)_x000D_
       at java util concurrent ThreadPoolExecutor Worker run   607(ThreadPoolExecutor java:607)_x000D_
       at java lang Thread run   761(Thread java:761)_x000D_
_x000D_
 0  Crashed: Loader:HlsSampleStreamWrapper_x000D_
       at libcore io Posix fstat(Posix java)_x000D_
       at libcore io BlockGuardOs fstat   134(BlockGuardOs java:134)_x000D_
       at libcore io IoBridge open   444(IoBridge java:444)_x000D_
       at java io RandomAccessFile  init    247(RandomAccessFile java:247)_x000D_
       at java io RandomAccessFile  init    128(RandomAccessFile java:128)_x000D_
       at com google android exoplayer2 upstream FileDataSource open   65(FileDataSource java:65)_x000D_
       at com google android exoplayer2 upstream cache CacheDataSource openNextSource   455(CacheDataSource java:455)_x000D_
       at com google android exoplayer2 upstream cache CacheDataSource read   317(CacheDataSource java:317)_x000D_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cache CacheDataSource read   318(CacheDataSource java:318)_x000D_
       at com google android exoplayer2 upstream StatsDataSource read   91(StatsDataSource java:91)_x000D_
       at com google android exoplayer2 extractor DefaultExtractorInput readFromDataSource   260(DefaultExtractorInput java:260)_x000D_
       at com google android exoplayer2 extractor DefaultExtractorInput read   61(DefaultExtractorInput java:61)_x000D_
       at com google android exoplayer2 extractor ts TsExtractor fillBufferWithAtLeastOnePacket   386(TsExtractor java:386)_x000D_
       at com google android exoplayer2 extractor ts TsExtractor read   276(TsExtractor java:276)_x000D_
       at com google android exoplayer2 source hls HlsMediaChunk feedDataToExtractor   357(HlsMediaChunk java:357)_x000D_
       at com google android exoplayer2 source hls HlsMediaChunk loadMedia   325(HlsMediaChunk java:325)_x000D_
       at com google android exoplayer2 source hls HlsMediaChunk load   301(HlsMediaChunk java:301)_x000D_
       at com google android exoplayer2 upstream Loader LoadTask run   381(Loader java:381)_x000D_
       at java util concurrent ThreadPoolExecutor runWorker   1133(ThreadPoolExecutor java:1133)_x000D_
       at java util concurrent ThreadPoolExecutor Worker run   607(ThreadPoolExecutor java:607)_x000D_
       at java lang Thread run   761(Thread java:761)_x000D_
   _x000D_
_x000D_
     REQUIRED  Version of ExoPlayer being used_x000D_
2 10 1_x000D_
_x000D_
     REQUIRED  Device(s) and version(s) of Android being used_x000D_
The crashes happened on multiple devices and multiple system versions _x000D_
I can t repro the crash by myself </t>
  </si>
  <si>
    <t>square-okhttp-5575</t>
  </si>
  <si>
    <t xml:space="preserve">App crashes on throwing the exception from the Interceptor </t>
  </si>
  <si>
    <t xml:space="preserve">  There are the implementations i have been using  _x000D_
_x000D_
    implementation  com squareup retrofit2:retrofit:2 6 0 _x000D_
    implementation  com google code gson:gson:2 8 5 _x000D_
    implementation  com squareup retrofit2:converter gson:2 6 0 _x000D_
    implementation  com squareup okhttp3:okhttp:4 2 1 _x000D_
    implementation  com squareup okhttp3:logging interceptor:3 10 0 _x000D_
_x000D_
_x000D_
  This is the network interceptor class  _x000D_
_x000D_
   _x000D_
class NetworkConnectionInterceptor(_x000D_
    context: Context_x000D_
) : Interceptor  _x000D_
_x000D_
_x000D_
    private val applicationContext   context applicationContext_x000D_
_x000D_
    override fun intercept(chain: Interceptor Chain): Response  _x000D_
        return if ( isConnectionOn())  _x000D_
            throw NoConnectivityException()_x000D_
          else if( isInternetAvailable())  _x000D_
            throw NoInternetException()_x000D_
          else  _x000D_
            chain proceed(chain request())_x000D_
         _x000D_
     _x000D_
_x000D_
    private fun isInternetAvailable(): Boolean  _x000D_
        return try  _x000D_
            val timeoutMs   1500_x000D_
            val sock   Socket()_x000D_
            val sockaddr   InetSocketAddress( 8 8 8 8   53)_x000D_
_x000D_
            sock connect(sockaddr  timeoutMs)_x000D_
            sock close()_x000D_
_x000D_
            true_x000D_
          catch (e: IOException)  _x000D_
            false_x000D_
         _x000D_
     _x000D_
_x000D_
    private fun isConnectionOn(): Boolean  _x000D_
        val connectivityManager  _x000D_
            applicationContext getSystemService(Context CONNECTIVITY SERVICE) as_x000D_
                    ConnectivityManager_x000D_
_x000D_
        return if (android os Build VERSION SDK INT   _x000D_
            android os Build VERSION CODES M)  _x000D_
            postAndroidMInternetCheck(connectivityManager)_x000D_
          else  _x000D_
            preAndroidMInternetCheck(connectivityManager)_x000D_
         _x000D_
     _x000D_
_x000D_
     RequiresApi(Build VERSION CODES M)_x000D_
    private fun postAndroidMInternetCheck(_x000D_
        connectivityManager: ConnectivityManager): Boolean  _x000D_
        val network   connectivityManager activeNetwork_x000D_
        val connection  _x000D_
            connectivityManager getNetworkCapabilities(network)_x000D_
_x000D_
        return connection    null    (_x000D_
                connection hasTransport(NetworkCapabilities TRANSPORT WIFI)   _x000D_
                        connection hasTransport(NetworkCapabilities TRANSPORT CELLULAR))_x000D_
     _x000D_
_x000D_
    private fun preAndroidMInternetCheck(_x000D_
        connectivityManager: ConnectivityManager): Boolean  _x000D_
        val activeNetwork   connectivityManager activeNetworkInfo_x000D_
        if (activeNetwork    null)  _x000D_
             Suppress( DEPRECATION )_x000D_
            return (activeNetwork type    ConnectivityManager TYPE WIFI   _x000D_
                    activeNetwork type    ConnectivityManager TYPE MOBILE)_x000D_
         _x000D_
        return false_x000D_
     _x000D_
_x000D_
 _x000D_
   _x000D_
_x000D_
  My Retrofit client  _x000D_
_x000D_
   _x000D_
operator fun invoke(_x000D_
            networkConnectionInterceptor: NetworkConnectionInterceptor_x000D_
        ): ApiUtil  _x000D_
_x000D_
            val builder   OkHttpClient Builder()_x000D_
            builder connectTimeout(5  TimeUnit SECONDS)_x000D_
            builder writeTimeout(10  TimeUnit SECONDS)_x000D_
_x000D_
            val interceptor   HttpLoggingInterceptor()_x000D_
            interceptor level   HttpLoggingInterceptor Level BODY_x000D_
_x000D_
            val client   OkHttpClient Builder()_x000D_
                 addInterceptor(interceptor)_x000D_
                 addInterceptor(networkConnectionInterceptor)_x000D_
                 build()_x000D_
_x000D_
_x000D_
            builder cache(null)_x000D_
_x000D_
            val gson   GsonBuilder()_x000D_
                 setLenient()_x000D_
                 create()_x000D_
_x000D_
            val retrofit   Retrofit Builder()_x000D_
                 baseUrl(BASE URL)_x000D_
                 addConverterFactory(GsonConverterFactory create(gson))_x000D_
                 client(client)_x000D_
                 build()_x000D_
_x000D_
            return retrofit create(ApiUtil::class java)_x000D_
            _x000D_
         _x000D_
   _x000D_
_x000D_
this is how i am calling the api s_x000D_
_x000D_
   _x000D_
fun onGetNationalities()  _x000D_
        try  _x000D_
            responseCallback  onStarted()_x000D_
            Coroutines main  _x000D_
                val nationalitiesResponse   repository getNationalities()_x000D_
                nationalitiesResponse  let  _x000D_
                    if (it success)  _x000D_
                        responseCallback  onSuccess(it)_x000D_
                      else  _x000D_
                        responseCallback  onFailure(it errorMessage)_x000D_
                     _x000D_
                 _x000D_
             _x000D_
          catch (e: Exception)  _x000D_
            responseCallback  onAlert(_x000D_
                e cause  localizedMessage_x000D_
                     : MessageUtils SOMETHING WENT WRONG_x000D_
            )_x000D_
          catch (e: NoInternetException)  _x000D_
            responseCallback  onAlert(e message  )_x000D_
         catch (e: NoConnectivityException)  _x000D_
            responseCallback  onAlert(e message  )_x000D_
         _x000D_
     _x000D_
   _x000D_
_x000D_
  NoInternetException and NoConnectivityException are two exception classes  _x000D_
_x000D_
   _x000D_
class NoConnectivityException : IOException()  _x000D_
    override val message: String_x000D_
        get()  _x000D_
             No network available  please check your WiFi or Data connection _x000D_
 _x000D_
   _x000D_
_x000D_
   _x000D_
class NoInternetException() : IOException()  _x000D_
    override val message: String_x000D_
        get()  _x000D_
             No internet available  please check your connected WIFi or Data _x000D_
 _x000D_
   _x000D_
_x000D_
This is not happening everytime for example if i am calling an api on button click and internet is not active  exception thrown from the intercepor will be caught in the function from where i am calling the api but if i call an api on the start on e g signup form so i can get the nationalities for signup as in my example the interceptor will crash while throwing the exception plus it also crash sometime on the chain proceed with the Sockettimeoutexception etc  The crash is reproducible _x000D_
_x000D_
_x000D_
</t>
  </si>
  <si>
    <t>project-travel-mate-Travel-Mate-779</t>
  </si>
  <si>
    <t>[BUG] Crash right after app startup</t>
  </si>
  <si>
    <t xml:space="preserve">  Describe the bug  _x000D_
I just pulled the repository and launched a build  the application instantly crashed _x000D_
See the  Additional context  for error logs _x000D_
_x000D_
  To Reproduce  _x000D_
Steps to reproduce the behavior:_x000D_
1  Run the application (debug variant)_x000D_
2  See the application crash_x000D_
_x000D_
  Expected behavior  _x000D_
The application runs normally _x000D_
_x000D_
  Device Information (please complete the following information):  _x000D_
   Device: Nexus 6P (emulator)   Pixel 3 XL (emulator)_x000D_
   OS: Android 8 1_x000D_
   App Version: 5 6 2_x000D_
_x000D_
  Additional context  _x000D_
Error logs : _x000D_
E AndroidRuntime: FATAL EXCEPTION: main_x000D_
    Process: io github project travel mate  PID: 6699_x000D_
    java lang RuntimeException: Canvas: trying to draw too large(112896000bytes) bitmap _x000D_
        at android view DisplayListCanvas throwIfCannotDraw(DisplayListCanvas java:229)_x000D_
        at android view RecordingCanvas drawBitmap(RecordingCanvas java:97)_x000D_
        at android graphics drawable BitmapDrawable draw(BitmapDrawable java:529)_x000D_
        at android widget ImageView onDraw(ImageView java:1367)_x000D_
        at android view View draw(View java:19192)_x000D_
        at android view View updateDisplayListIfDirty(View java:18142)_x000D_
        at android view View draw(View java:18920)_x000D_
        at android view ViewGroup drawChild(ViewGroup java:4236)_x000D_
        at android view ViewGroup dispatchDraw(ViewGroup java:4022)_x000D_
        at android view View draw(View java:19195)_x000D_
        at android view View updateDisplayListIfDirty(View java:18142)_x000D_
_x000D_
I d like to work on this issue </t>
  </si>
  <si>
    <t>aws-amplify-aws-sdk-android-1275</t>
  </si>
  <si>
    <t>Crash of AWS IoT SDK v2.16.1 on Android 5.1</t>
  </si>
  <si>
    <t xml:space="preserve">  Describe the bug  _x000D_
   _x000D_
AndroidRuntime  E  FATAL EXCEPTION: MQTT Con: 200853_x000D_
                E  Process: com chargedup largestation dev debug  PID: 10664_x000D_
                E  java lang NoClassDefFoundError: Failed resolution of: Ljavax net ssl SNIHostName _x000D_
                E      at org eclipse paho client mqttv3 internal SSLNetworkModule start(SSLNetworkModule java:139)_x000D_
                E      at org eclipse paho client mqttv3 internal ClientComms ConnectBG run(ClientComms java:722)_x000D_
                E      at java lang Thread run(Thread java:818)_x000D_
                E  Caused by: java lang ClassNotFoundException: Didn t find class  javax net ssl SNIHostName  on path: DexPathList  _x000D_
                zip file   data app com chargedup largestation dev debug 1 base apk   nativeLibraryDirectories   data app com cha_x000D_
                                                                                                                rgedup largestation dev debug 1 lib arm   vendor lib   system lib  _x000D_
                E      at dalvik system BaseDexClassLoader findClass(BaseDexClassLoader java:56)_x000D_
                E      at java lang ClassLoader loadClass(ClassLoader java:511)_x000D_
                E      at java lang ClassLoader loadClass(ClassLoader java:469)_x000D_
                E          3 more_x000D_
                E      Suppressed: java lang ClassNotFoundException: javax net ssl SNIHostName_x000D_
                E          at java lang Class classForName(Native Method)_x000D_
                E          at java lang BootClassLoader findClass(ClassLoader java:781)_x000D_
                E          at java lang BootClassLoader loadClass(ClassLoader java:841)_x000D_
                E          at java lang ClassLoader loadClass(ClassLoader java:504)_x000D_
                E              4 more_x000D_
                E      Caused by: java lang NoClassDefFoundError: Class not found using the boot class loader  no stack available_x000D_
   _x000D_
  To Reproduce  _x000D_
A code sample or steps:_x000D_
   _x000D_
provided AWS sample code_x000D_
   _x000D_
_x000D_
  Which AWS service(s) are affected   _x000D_
IoT_x000D_
_x000D_
  Expected behavior  _x000D_
No crashes on launch _x000D_
_x000D_
  Screenshots  _x000D_
No screenshots _x000D_
_x000D_
  Environment Information (please complete the following information):  _x000D_
   AWS Android SDK Version: 2 16 1_x000D_
   Device: Custom Device_x000D_
   Android Version: 5 1_x000D_
   Specific to simulators: No_x000D_
_x000D_
  Additional context  _x000D_
Happens in 2 16 1  when you introduced  org eclipse paho:org eclipse paho client mqttv3  _x000D_
2 16 0 works fine _x000D_
</t>
  </si>
  <si>
    <t>Yalantis-uCrop-584</t>
  </si>
  <si>
    <t>Crash with NotFoundException on the API 16 or lower</t>
  </si>
  <si>
    <t xml:space="preserve">  current behavior  _x000D_
If the option of  setToolbarCancelDrawable  doesn t set or set with a vector drawable_x000D_
It will crash on the API 16 or lower_x000D_
_x000D_
  Evidence  _x000D_
 com yalantis ucrop UCropActivity : android content res Resources NotFoundException: File res drawable ucrop ic cross xml from drawable resource ID  0x7f08022d _x000D_
_x000D_
  Version:   2 2 4_x000D_
_x000D_
  Device Info  _x000D_
Name: GT I8200_x000D_
Android version: 4 2 2</t>
  </si>
  <si>
    <t>warmshowers-wsandroid-342</t>
  </si>
  <si>
    <t>Crash when rotating with dialog open</t>
  </si>
  <si>
    <t xml:space="preserve">  Describe the bug  _x000D_
Crash when rotating with dialog open _x000D_
_x000D_
  To Reproduce  _x000D_
1  Click user marker on map  Popup with user info opens_x000D_
2  Rotating phone crashes app_x000D_
_x000D_
  Please complete the following information  _x000D_
   Device: Google Pixel (Emulator)_x000D_
   OS: Android 9_x000D_
   App version: 3 1 3_x000D_
   Reported in the forum: https:  www warmshowers org node 343324_x000D_
_x000D_
_x000D_
_x000D_
</t>
  </si>
  <si>
    <t>renyuneyun-Easer-284</t>
  </si>
  <si>
    <t xml:space="preserve">When switching the app to active it crashes after the todays FDroid update 0 7 9 beta _x000D_
_x000D_
  To Reproduce  _x000D_
Steps to reproduce the behavior:_x000D_
1  Go to red  x  button_x000D_
2  Click on  x  to activate app_x000D_
3  a few seconds later app crashes_x000D_
_x000D_
  Error log:  _x000D_
 _x000D_
BUILD CONFIG:   _x000D_
APP VERSION CODE: 121001_x000D_
USER CRASH DATE: 2019 10 26T08:52:38 621 02:00_x000D_
ANDROID VERSION: 8 0 0_x000D_
BRAND: SHIFT_x000D_
PHONE MODEL: SHIFT6m_x000D_
PRODUCT: SHIFT6m EEA_x000D_
STACK TRACE: android app RemoteServiceException: Context startForegroundService() did not then call Service startForeground()_x000D_
	at android app ActivityThread H handleMessage(ActivityThread java:1840)_x000D_
	at android os Handler dispatchMessage(Handler java:108)_x000D_
	at android os Looper loop(Looper java:206)_x000D_
	at android app ActivityThread main(ActivityThread java:6735)_x000D_
	at java lang reflect Method invoke(Native Method)_x000D_
	at com android internal os Zygote MethodAndArgsCaller run(Zygote java:240)_x000D_
	at com android internal os ZygoteInit main(ZygoteInit java:845)_x000D_
 _x000D_
_x000D_
</t>
  </si>
  <si>
    <t>ElderDrivers-EdXposed-376</t>
  </si>
  <si>
    <t>[BUG] zygote64 boot loop caused by signal 11 (SIGSEGV), code 2 (SEGV_ACCERR)</t>
  </si>
  <si>
    <t xml:space="preserve">       What happened   _x000D_
_x000D_
zygote64 crash    boot loop    zygote32   _x000D_
  app process32   zygote        app process64   zygote    Segmentation fault _x000D_
_x000D_
  Xposed     Xposed Module List  _x000D_
_x000D_
   Magisk      riru riru edxposed yahfa _x000D_
_x000D_
  Magisk     Magisk Module List  _x000D_
_x000D_
 _x000D_
_x000D_
  EdXposed Riru   Versions of EdXposed and Riru  _x000D_
_x000D_
EdXposed: https:  github com ElderDrivers EdXposed releases tag v0 4 6 0_x000D_
_x000D_
Riru: https:  github com RikkaApps Riru releases tag v19 5_x000D_
_x000D_
Android Version _x000D_
 ro build version preview sdk :  0 _x000D_
 ro build version release :  9 _x000D_
 ro build version sdk :  28 _x000D_
_x000D_
    Logcat Logcat  _x000D_
_x000D_
   linker log_x000D_
   _x000D_
10 26 03:41:57 436 13875 13875 D linker  : dlopen(name  libnetd client so   flags 0x2  extinfo (null)  caller   system lib64 libc so   caller ns (default) 0x7a56be5f4438)    _x000D_
10 26 03:41:57 437 13875 13875 D linker  :     dlopen calling constructors: realpath   system lib64 libnetd client so   soname  libnetd client so   handle 0x44b9c394ae10a599_x000D_
10 26 03:41:57 437 13875 13875 D linker  :     dlopen successful: realpath   system lib64 libnetd client so   soname  libnetd client so   handle 0x44b9c394ae10a599_x000D_
10 26 03:41:57 438 13875 13875 D linker  : dlsym(handle 0x44b9c394ae10a599(  system lib64 libnetd client so )  sym name  netdClientInitAccept4   sym ver  (null)   caller   system lib64 libc so   caller ns (default) 0x7a56be5f4438)    _x000D_
10 26 03:41:57 439 13875 13875 D linker  :     dlsym successful: sym name  netdClientInitAccept4   sym ver  (null)   found in  libnetd client so   address 0x7a56bdd6dfe0_x000D_
10 26 03:41:57 439 13875 13875 D linker  : dlsym(handle 0x44b9c394ae10a599(  system lib64 libnetd client so )  sym name  netdClientInitConnect   sym ver  (null)   caller   system lib64 libc so   caller ns (default) 0x7a56be5f4438)    _x000D_
10 26 03:41:57 439 13875 13875 D linker  :     dlsym successful: sym name  netdClientInitConnect   sym ver  (null)   found in  libnetd client so   address 0x7a56bdd6e0f0_x000D_
10 26 03:41:57 439 13875 13875 D linker  : dlsym(handle 0x44b9c394ae10a599(  system lib64 libnetd client so )  sym name  netdClientInitNetIdForResolv   sym ver  (null)   caller   system lib64 libc so   caller ns (default) 0x7a56be5f4438)    _x000D_
10 26 03:41:57 439 13875 13875 D linker  :     dlsym successful: sym name  netdClientInitNetIdForResolv   sym ver  (null)   found in  libnetd client so   address 0x7a56bdd6e3a0_x000D_
10 26 03:41:57 439 13875 13875 D linker  : dlsym(handle 0x44b9c394ae10a599(  system lib64 libnetd client so )  sym name  netdClientInitSocket   sym ver  (null)   caller   system lib64 libc so   caller ns (default) 0x7a56be5f4438)    _x000D_
10 26 03:41:57 439 13875 13875 D linker  :     dlsym successful: sym name  netdClientInitSocket   sym ver  (null)   found in  libnetd client so   address 0x7a56bdd6e2b0_x000D_
10 26 03:41:57 446 13875 13875 I Riru    : Riru v19 5 in zygote64_x000D_
10 26 03:41:57 446 13875 13875 I Riru    : config dir is  data misc riru_x000D_
10 26 03:41:57 446 13875 13875 I Riru    : system version 9 (api 28  preview sdk 0)_x000D_
10 26 03:41:57 447 13875 13875 D linker  : dlsym(handle 0xffffffffffffffff( n a )  sym name  sigaction   sym ver  (null)   caller   system bin app process64   caller ns (default) 0x7a56be5f4438)    _x000D_
10 26 03:41:57 447 13875 13875 D linker  :     dlsym successful: sym name  sigaction   sym ver  (null)   found in  libc so   address 0x7a56b97379f0_x000D_
10 26 03:41:57 447 13875 13875 D linker  : dlsym(handle 0xffffffffffffffff( n a )  sym name  sigprocmask   sym ver  (null)   caller   system bin app process64   caller ns (default) 0x7a56be5f4438)    _x000D_
10 26 03:41:57 447 13875 13875 D linker  :     dlsym successful: sym name  sigprocmask   sym ver  (null)   found in  libc so   address 0x7a56b97386b0_x000D_
10 26 03:41:57 447 13875 13875 D linker  : dlsym(handle 0xffffffffffffffff( n a )  sym name  sigaction64   sym ver  (null)   caller   system bin app process64   caller ns (default) 0x7a56be5f4438)    _x000D_
10 26 03:41:57 447 13875 13875 D linker  :     dlsym successful: sym name  sigaction64   sym ver  (null)   found in  libc so   address 0x7a56b97379f0_x000D_
10 26 03:41:57 448 13875 13875 D linker  : dlsym(handle 0xffffffffffffffff( n a )  sym name  sigprocmask64   sym ver  (null)   caller   system bin app process64   caller ns (default) 0x7a56be5f4438)    _x000D_
10 26 03:41:57 448 13875 13875 D linker  :     dlsym successful: sym name  sigprocmask64   sym ver  (null)   found in  libc so   address 0x7a56b9738740_x000D_
10 26 03:41:57 452 13875 13875 I Riru    : hook installed_x000D_
10 26 03:41:57 453 13875 13875 D linker  : dlopen(name   system lib64 libriru edxp so   flags 0x102  extinfo (null)  caller   system lib64 libmemtrack so   caller ns (default) 0x7a56be5f4438)    _x000D_
10 26 03:41:57 454 13875 13875 D linker  :     dlopen calling constructors: realpath   system lib64 libriru edxp so   soname  libriru edxp so   handle 0xc799b41eabcb61cb_x000D_
10 26 03:41:57 457 13875 13875 D linker  :     dlopen successful: realpath   system lib64 libriru edxp so   soname  libriru edxp so   handle 0xc799b41eabcb61cb_x000D_
10 26 03:41:57 457 13875 13875 D linker  : dlsym(handle 0xc799b41eabcb61cb(  system lib64 libriru edxp so )  sym name  onModuleLoaded   sym ver  (null)   caller   system lib64 libmemtrack so   caller ns (default) 0x7a56be5f4438)    _x000D_
10 26 03:41:57 457 13875 13875 D linker  :     dlsym successful: sym name  onModuleLoaded   sym ver  (null)   found in  libriru edxp so   address 0x7a563930ee10_x000D_
10 26 03:41:57 457 13875 13875 D linker  : dlsym(handle 0xc799b41eabcb61cb(  system lib64 libriru edxp so )  sym name  nativeForkAndSpecializePre   sym ver  (null)   caller   system lib64 libmemtrack so   caller ns (default) 0x7a56be5f4438)    _x000D_
10 26 03:41:57 457 13875 13875 D linker  :     dlsym successful: sym name  nativeForkAndSpecializePre   sym ver  (null)   found in  libriru edxp so   address 0x7a563930eef0_x000D_
10 26 03:41:57 457 13875 13875 D linker  : dlsym(handle 0xc799b41eabcb61cb(  system lib64 libriru edxp so )  sym name  nativeForkAndSpecializePost   sym ver  (null)   caller   system lib64 libmemtrack so   caller ns (default) 0x7a56be5f4438)    _x000D_
10 26 03:41:57 457 13875 13875 D linker  :     dlsym successful: sym name  nativeForkAndSpecializePost   sym ver  (null)   found in  libriru edxp so   address 0x7a563930efa0_x000D_
10 26 03:41:57 457 13875 13875 D linker  : dlsym(handle 0xc799b41eabcb61cb(  system lib64 libriru edxp so )  sym name  nativeForkSystemServerPre   sym ver  (null)   caller   system lib64 libmemtrack so   caller ns (default) 0x7a56be5f4438)    _x000D_
10 26 03:41:57 457 13875 13875 D linker  :     dlsym successful: sym name  nativeForkSystemServerPre   sym ver  (null)   found in  libriru edxp so   address 0x7a563930efd0_x000D_
10 26 03:41:57 457 13875 13875 D linker  : dlsym(handle 0xc799b41eabcb61cb(  system lib64 libriru edxp so )  sym name  nativeForkSystemServerPost   sym ver  (null)   caller   system lib64 libmemtrack so   caller ns (default) 0x7a56be5f4438)    _x000D_
10 26 03:41:57 457 13875 13875 D linker  :     dlsym successful: sym name  nativeForkSystemServerPost   sym ver  (null)   found in  libriru edxp so   address 0x7a563930f040_x000D_
10 26 03:41:57 457 13875 13875 D linker  : dlsym(handle 0xc799b41eabcb61cb(  system lib64 libriru edxp so )  sym name  specializeAppProcessPre   sym ver  (null)   caller   system lib64 libmemtrack so   caller ns (default) 0x7a56be5f4438)    _x000D_
10 26 03:41:57 457 13875 13875 D linker  :     dlsym successful: sym name  specializeAppProcessPre   sym ver  (null)   found in  libriru edxp so   address 0x7a563930f070_x000D_
10 26 03:41:57 457 13875 13875 D linker  : dlsym(handle 0xc799b41eabcb61cb(  system lib64 libriru edxp so )  sym name  specializeAppProcessPost   sym ver  (null)   caller   system lib64 libmemtrack so   caller ns (default) 0x7a56be5f4438)    _x000D_
10 26 03:41:57 457 13875 13875 D linker  :     dlsym successful: sym name  specializeAppProcessPost   sym ver  (null)   found in  libriru edxp so   address 0x7a563930f140_x000D_
10 26 03:41:57 457 13875 13875 D linker  : dlsym(handle 0xc799b41eabcb61cb(  system lib64 libriru edxp so )  sym name  shouldSkipUid   sym ver  (null)   caller   system lib64 libmemtrack so   caller ns (default) 0x7a56be5f4438)    _x000D_
10 26 03:41:57 457 13875 13875 D linker  :     dlsym successful: sym name  shouldSkipUid   sym ver  (null)   found in  libriru edxp so   address 0x7a563930eee0_x000D_
10 26 03:41:57 457 13875 13875 D linker  : dlsym(handle 0xc799b41eabcb61cb(  system lib64 libriru edxp so )  sym name  riru set module name   sym ver  (null)   caller   system lib64 libmemtrack so   caller ns (default) 0x7a56be5f4438)    _x000D_
10 26 03:41:57 457 13875 13875 D linker  :     dlsym failed: undefined symbol: riru set module name_x000D_
10 26 03:41:57 457 13875 13875 D linker  : dlerror set to  undefined symbol: riru set module name _x000D_
10 26 03:41:57 457 13875 13875 I Riru    : module loaded: edxp (api 4)_x000D_
10 26 03:41:57 457 13875 13875 V Riru    : edxp: onModuleLoaded_x000D_
10 26 03:41:57 458 13875 13875 I EdXposed: onModuleLoaded: welcome to EdXposed _x000D_
10 26 03:41:57 458 13875 13875 I EdXposed: Start to install inline hooks_x000D_
10 26 03:41:57 458 13875 13875 I EdXposed: Using api level 28_x000D_
10 26 03:41:57 458 13875 13875 I EdXposed: Start to install Riru hook_x000D_
10 26 03:41:57 458 13875 13875 D linker  : dlopen(name   system lib64 libmemtrack so   flags 0x102  extinfo (null)  caller   system lib64 libriru edxp so   caller ns (default) 0x7a56be5f4438)    _x000D_
10 26 03:41:57 458 13875 13875 D linker  :     dlopen calling constructors: realpath   system lib64 libmemtrack so   soname  libmemtrack so   handle 0x15ceeecfdad572f5_x000D_
10 26 03:41:57 458 13875 13875 D linker  :     dlopen successful: realpath   system lib64 libmemtrack so   soname  libmemtrack so   handle 0x15ceeecfdad572f5_x000D_
10 26 03:41:57 458 13875 13875 D linker  : dlsym(handle 0x15ceeecfdad572f5(  system lib64 libmemtrack so )  sym name  riru get version   sym ver  (null)   caller   system lib64 libriru edxp so   caller ns (default) 0x7a56be5f4438)    _x000D_
10 26 03:41:57 458 13875 13875 D linker  :     dlsym successful: sym name  riru get version   sym ver  (null)   found in  libmemtrack so   address 0x7a56ba1e7ab0_x000D_
10 26 03:41:57 458 13875 13875 D linker  : dlsym(handle 0x15ceeecfdad572f5(  system lib64 libmemtrack so )  sym name  riru get func   sym ver  (null)   caller   system lib64 libriru edxp so   caller ns (default) 0x7a56be5f4438)    _x000D_
10 26 03:41:57 458 13875 13875 D linker  :     dlsym successful: sym name  riru get func   sym ver  (null)   found in  libmemtrack so   address 0x7a56ba1e7e90_x000D_
10 26 03:41:57 458 13875 13875 D linker  : dlsym(handle 0x15ceeecfdad572f5(  system lib64 libmemtrack so )  sym name  riru set func   sym ver  (null)   caller   system lib64 libriru edxp so   caller ns (default) 0x7a56be5f4438)    _x000D_
10 26 03:41:57 458 13875 13875 D linker  :     dlsym successful: sym name  riru set func   sym ver  (null)   found in  libmemtrack so   address 0x7a56ba1e8300_x000D_
10 26 03:41:57 470 13875 13875 I EdXposed: Riru hooks installed_x000D_
10 26 03:41:57 470 13875 13875 D linker  : dlopen(name   system lib64 libwhale edxp so   flags 0x101  extinfo (null)  caller   system lib64 libriru edxp so   caller ns (default) 0x7a56be5f4438)    _x000D_
10 26 03:41:57 477 13875 13875 D linker  :     dlopen calling constructors: realpath   system lib64 libwhale edxp so   soname  libwhale so   handle 0x46c1cec13d70b76d_x000D_
10 26 03:41:57 478 13875 13875 D linker  :     dlopen successful: realpath   system lib64 libwhale edxp so   soname  libwhale so   handle 0x46c1cec13d70b76d_x000D_
10 26 03:41:57 478 13875 13875 D linker  : dlsym(handle 0x46c1cec13d70b76d(  system lib64 libwhale edxp so )  sym name  WInlineHookFunction   sym ver  (null)   caller   system lib64 libriru edxp so   caller ns (default) 0x7a56be5f4438)    _x000D_
10 26 03:41:57 481 13875 13875 D linker  :     dlsym successful: sym name  WInlineHookFunction   sym ver  (null)   found in  libwhale so   address 0x7a5638d4c5d0_x000D_
10 26 03:41:57 482 13875 13875 D linker  : dlopen(name   system lib64 libdl so   flags 0x101  extinfo (null)  caller   system lib64 libriru edxp so   caller ns (default) 0x7a56be5f4438)    _x000D_
10 26 03:41:57 483 13875 13875 D linker  :     dlopen calling constructors: realpath   system lib64 libdl so   soname  libdl so   handle 0xb923274b09a365a7_x000D_
10 26 03:41:57 483 13875 13875 D linker  :     dlopen successful: realpath   system lib64 libdl so   soname  libdl so   handle 0xb923274b09a365a7_x000D_
10 26 03:41:57 483 13875 13875 D linker  : dlsym(handle 0xb923274b09a365a7(  system lib64 libdl so )  sym name    loader dlopen   sym ver  (null)   caller   system lib64 libriru edxp so   caller ns (default) 0x7a56be5f4438)    _x000D_
10 26 03:41:57 484 13875 13875 D linker  :     dlsym successful: sym name    loader dlopen   sym ver  (null)   found in  ld android so   address 0x7a56be4bafd0_x000D_
10 26 03:41:57 484 13875 13875 D linker  : dlclose(handle 0xb923274b09a365a7  realpath   system lib64 libdl so  0x7a56be3b2d30)    _x000D_
10 26 03:41:57 484 13875 13875 D linker  :     dlclose(realpath   system lib64 libdl so  0x7a56be3b2d30)     load group root is   system bin app process64  0x7a56be450240_x000D_
10 26 03:41:57 484 13875 13875 D linker  :     dlclose(root   system bin app process64  0x7a56be450240)     not unloading   decrementing ref count to 10_x000D_
10 26 03:41:57 484 13875 13875 D linker  : dlclose(handle 0xb923274b09a365a7)     done_x000D_
10 26 03:41:57 484 13875 13875 F libc    : Fatal signal 11 (SIGSEGV)  code 2 (SEGV ACCERR)  fault addr 0x7a56be53c030 in tid 13875 (app process64)  pid 13875 (app process64)_x000D_
10 26 03:41:57 519 13880 13880 I crash dump64: obtaining output fd from tombstoned  type: kDebuggerdTombstone_x000D_
10 26 03:41:57 519 13880 13880 E libc    : failed to connect to tombstoned: No such file or directory_x000D_
10 26 03:41:57 519 13880 13880 I crash dump64: performing dump of process 13875 (target tid   13875)_x000D_
10 26 03:41:57 521 13880 13880 F DEBUG   :                                                                _x000D_
10 26 03:41:57 523 13880 13880 F DEBUG   : Revision:  0 _x000D_
10 26 03:41:57 523 13880 13880 F DEBUG   : ABI:  x86 64 _x000D_
10 26 03:41:57 523 13880 13880 F DEBUG   : pid: 13875  tid: 13875  name: app process64       system bin app process64    _x000D_
10 26 03:41:57 523 13880 13880 F DEBUG   : signal 11 (SIGSEGV)  code 2 (SEGV ACCERR)  fault addr 0x7a56be53c030_x000D_
10 26 03:41:57 523 13880 13880 F DEBUG   :     rax 0000000000000000  rbx 00007a5638e28360  rcx 0000000000000000  rdx 0000000000000001_x000D_
10 26 03:41:57 523 13880 13880 F DEBUG   :     r8  0000000000000001  r9  000000000041ce0a  r10 00000000ffffffc0  r11 0000000000000203_x000D_
10 26 03:41:57 523 13880 13880 F DEBUG   :     r12 00007a56be4bafe3  r13 00007a56ba208616  r14 00007a563930f408  r15 46c1cec13d70b76d_x000D_
10 26 03:41:57 523 13880 13880 F DEBUG   :     rdi 00007a56be53c030  rsi 0000000000000101_x000D_
10 26 03:41:57 523 13880 13880 F DEBUG   :     rbp 0000000000000101  rsp 00007fff1b00af78  rip 00007a56be58e7fa_x000D_
10 26 03:41:57 525 13880 13880 F DEBUG   : _x000D_
10 26 03:41:57 525 13880 13880 F DEBUG   : backtrace:_x000D_
10 26 03:41:57 525 13880 13880 F DEBUG   :      00 pc 00000000000e67fa   system bin linker64 (offset 0x14000) (  dl pthread mutex lock 26)_x000D_
10 26 03:41:57 525 13880 13880 F DEBUG   :      01 pc 0000000000012fe7   system bin linker64 (offset 0x12000) (  loader dlopen 23)_x000D_
10 26 03:41:57 525 13880 13880 F DEBUG   :      02 pc 00000000000495f4   system lib64 libriru edxp so_x000D_
10 26 03:41:57 525 13880 13880 F DEBUG   :      03 pc 0000000000049407   system lib64 libriru edxp so_x000D_
10 26 03:41:57 525 13880 13880 F DEBUG   :      04 pc 0000000000048e34   system lib64 libriru edxp so (onModuleLoaded 36)_x000D_
10 26 03:41:57 525 13880 13880 F DEBUG   :      05 pc 0000000000010210   system lib64 libmemtrack so_x000D_
10 26 03:41:57 525 13880 13880 F DEBUG   :      06 pc 000000000002d91f   system bin linker64 (offset 0x14000) (  dl  ZL10call arrayIPFviPPcS1 EEvPKcPT mbS5  255)_x000D_
10 26 03:41:57 525 13880 13880 F DEBUG   :      07 pc 000000000002db5b   system bin linker64 (offset 0x14000) (  dl  ZN6soinfo17call constructorsEv 427)_x000D_
10 26 03:41:57 525 13880 13880 F DEBUG   :      08 pc 000000000002da48   system bin linker64 (offset 0x14000) (  dl  ZN6soinfo17call constructorsEv 152)_x000D_
10 26 03:41:57 525 13880 13880 F DEBUG   :      09 pc 000000000002da48   system bin linker64 (offset 0x14000) (  dl  ZN6soinfo17call constructorsEv 152)_x000D_
10 26 03:41:57 525 13880 13880 F DEBUG   :      10 pc 0000000000029830   system bin linker64 (offset 0x14000) (  dl   linker init 3760)_x000D_
10 26 03:41:57 525 13880 13880 F DEBUG   :      11 pc 000000000002ffd7   system bin linker64 (offset 0x14000) (  dl  start 7)_x000D_
10 26 03:41:57 606 13880 13880 E crash dump64: unable to connect to activity manager: No such file or directory_x000D_
10 26 03:41:58 113    52    59 W ServiceManagement: Waited one second for vendor google arc arcbridge 1 0::IArcBridgeService default  Waiting another   _x000D_
   </t>
  </si>
  <si>
    <t>nextcloud-android-4732</t>
  </si>
  <si>
    <t>crash when trying to switch sorting while moving a file</t>
  </si>
  <si>
    <t xml:space="preserve">    Actual behaviour_x000D_
  app crashes displaying an error log_x000D_
_x000D_
    Expected behaviour_x000D_
  I should be able to change sorting of files in a folder while moving a file_x000D_
 _x000D_
    Steps to reproduce_x000D_
1  move a file_x000D_
2  go to an other directory where you have a large amount of folders where you want the alphabetical last folder_x000D_
3  select sorting from the menu and click on Z A_x000D_
4  see the app crashing_x000D_
_x000D_
_x000D_
    Environment data_x000D_
Android version: 9_x000D_
_x000D_
Device model: HTC U12 _x000D_
_x000D_
Stock or customized system: stock_x000D_
_x000D_
Nextcloud app version: 3 8 1_x000D_
_x000D_
Nextcloud server version: 16 0 5_x000D_
_x000D_
    Logs_x000D_
     Crash log_x000D_
   _x000D_
             CAUSE OF ERROR             _x000D_
_x000D_
java lang ClassCastException: com owncloud android ui activity FolderPickerActivity cannot be cast to com owncloud android ui dialog SortingOrderDialogFragment OnSortingOrderListener_x000D_
	at com owncloud android ui dialog SortingOrderDialogFragment OnSortOrderClickListener onClick(SortingOrderDialogFragment java:180)_x000D_
	at android view View performClick(View java:6600)_x000D_
	at android view View performClickInternal(View java:6577)_x000D_
	at android view View access 3100(View java:781)_x000D_
	at android view View PerformClick run(View java:25966)_x000D_
	at android os Handler handleCallback(Handler java:873)_x000D_
	at android os Handler dispatchMessage(Handler java:99)_x000D_
	at android os Looper loop(Looper java:210)_x000D_
	at android app ActivityThread main(ActivityThread java:7124)_x000D_
	at java lang reflect Method invoke(Native Method)_x000D_
	at com android internal os RuntimeInit MethodAndArgsCaller run(RuntimeInit java:493)_x000D_
	at com android internal os ZygoteInit main(ZygoteInit java:898)_x000D_
_x000D_
             APP INFORMATION             _x000D_
ID: com nextcloud client_x000D_
Version: 30080190_x000D_
Build flavor: generic_x000D_
_x000D_
             DEVICE INFORMATION             _x000D_
Brand: htc_x000D_
Device: htc imeuhl_x000D_
Model: HTC U12 _x000D_
Id: PQ2A 190205 003_x000D_
Product: imeuhl 00401_x000D_
_x000D_
             FIRMWARE             _x000D_
SDK: 28_x000D_
Release: 9_x000D_
Incremental: 1088647 1_x000D_
   </t>
  </si>
  <si>
    <t>opensrp-opensrp-client-giz-malawi-137</t>
  </si>
  <si>
    <t>Release v 0.2.0 QA Bugs</t>
  </si>
  <si>
    <t xml:space="preserve">   x  Cannot create an ANC contact  App crashes _x000D_
_x000D_
      When the user logs in and they set the site characteristics  they land on the ANC page  The same was also noted where sometimes when you login it lands you on the child register instead of the all clients register  The recommendation is to have a setting which has the default register view  so that if this is set  it goes to that as a landing page else it takes the normal behaviour _x000D_
_x000D_
      On click of the service bar button that is shown below  it should show the service locations  It works when you click on the area where the name is  but not on the drop down button_x000D_
_x000D_
   x  On the OPD profile of a patient  remove the current options under the kebab menu OR Put generic placeholders e g  menu1   We shall add the menu items later  It currently has Switch Language and Logout  _x000D_
_x000D_
      When a client is created through the mother details when registering a child  it created in the ANC register which should not be the case  On click on the ANC profile it crashed the app  Find a way of removing this entry from the ANC register_x000D_
_x000D_
   x  The lookup on National ID works but crashes instead of re directing to the persons profile within that register _x000D_
_x000D_
   x  Lookup on lastname works  though it does not take you to the profile within that register_x000D_
_x000D_
   x  Once the first user sets the site characteristics  it still shows up for the second user within the same location  This is not the expected behaviour _x000D_
_x000D_
   x  OPD Registration form should have the title as  OPD Registration  not  Opd Registration </t>
  </si>
  <si>
    <t>getodk-collect-3415</t>
  </si>
  <si>
    <t>Out of bounds exception when FormEntryActivity paused</t>
  </si>
  <si>
    <t xml:space="preserve">From Crashlytics  here (https:  console firebase google com u 1 project api project 322300403941 crashlytics app android:org odk collect android issues c5d7c1215851b612333ff89d81058618 time last seven days sessionId 5DB07082019900015007CE32A5365F65 DNE 1 v2) (requires auth) _x000D_
_x000D_
   java_x000D_
Fatal Exception: java lang RuntimeException: Unable to pause activity  org odk collect android org odk collect android activities FormEntryActivity : java lang IndexOutOfBoundsException: Index: 0  Size: 0_x000D_
       at android app ActivityThread performPauseActivityIfNeeded(ActivityThread java:4126)_x000D_
       at android app ActivityThread performPauseActivity(ActivityThread java:4092)_x000D_
       at android app ActivityThread performPauseActivity(ActivityThread java:4066)_x000D_
       at android app ActivityThread handlePauseActivity(ActivityThread java:4040)_x000D_
       at android app ActivityThread  wrap16(ActivityThread java)_x000D_
       at android app ActivityThread H handleMessage(ActivityThread java:1717)_x000D_
       at android os Handler dispatchMessage(Handler java:105)_x000D_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Caused by java lang IndexOutOfBoundsException: Index: 0  Size: 0_x000D_
       at java util ArrayList get(ArrayList java:437)_x000D_
       at org odk collect android views ODKView stopAudio(ODKView java:621)_x000D_
       at org odk collect android activities FormEntryActivity onPause(FormEntryActivity java:2143)_x000D_
       at android app Activity performPause(Activity java:7408)_x000D_
       at android app Instrumentation callActivityOnPause(Instrumentation java:1414)_x000D_
       at android app ActivityThread performPauseActivityIfNeeded(ActivityThread java:4115)_x000D_
       at android app ActivityThread performPauseActivity(ActivityThread java:4092)_x000D_
       at android app ActivityThread performPauseActivity(ActivityThread java:4066)_x000D_
       at android app ActivityThread handlePauseActivity(ActivityThread java:4040)_x000D_
       at android app ActivityThread  wrap16(ActivityThread java)_x000D_
       at android app ActivityThread H handleMessage(ActivityThread java:1717)_x000D_
       at android os Handler dispatchMessage(Handler java:105)_x000D_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t>
  </si>
  <si>
    <t>andOTP-andOTP-406</t>
  </si>
  <si>
    <t>Crash when clicking away BitWarden safe dialog</t>
  </si>
  <si>
    <t xml:space="preserve">     General information_x000D_
_x000D_
    App version:   0 6 3 1 play_x000D_
    App source:   Google Play   F Droid   GitHub       Google Play_x000D_
    Android Version:   9_x000D_
    Custom ROM:   ThouchWiz_x000D_
_x000D_
     Expected result_x000D_
  What is expected   _x000D_
no crash_x000D_
_x000D_
  What does happen instead    _x000D_
crash_x000D_
_x000D_
     Logcat_x000D_
   _x000D_
10 23 15:08:53 556 E AndroidRuntime(19809): Process: org shadowice flocke andotp  PID: 19809_x000D_
10 23 15:08:53 556 E AndroidRuntime(19809): 	at org shadowice flocke andotp View EntriesCardAdapter updateLastUsed(EntriesCardAdapter java:348)_x000D_
10 23 15:08:53 556 E AndroidRuntime(19809): 	at org shadowice flocke andotp View EntriesCardAdapter hideEntry(EntriesCardAdapter java:291)_x000D_
10 23 15:08:53 556 E AndroidRuntime(19809): 	at org shadowice flocke andotp View EntriesCardAdapter access 800(EntriesCardAdapter java:74)_x000D_
10 23 15:08:53 556 E AndroidRuntime(19809): 	at org shadowice flocke andotp View EntriesCardAdapter 1 1 run(EntriesCardAdapter java:245)_x000D_
   _x000D_
_x000D_
     Steps to reproduce_x000D_
 _x000D_
  open app_x000D_
  enter pin_x000D_
  click somewhere except on the BitWarden safe dialog_x000D_
  andOTP crashes</t>
  </si>
  <si>
    <t>ElderDrivers-EdXposed-373</t>
  </si>
  <si>
    <t>[BUG] crash in nativeForkAndSpecialize after normal boot (4471 YAHFA)</t>
  </si>
  <si>
    <t xml:space="preserve">  What happened   _x000D_
The first normal boot often ends up with soft reboot shortly after booting  After such soft reboot  often no further crashes are observed and system runs normally _x000D_
_x000D_
  Device  _x000D_
OnePlus 7 Pro running Oxygen OS 10 0 1_x000D_
_x000D_
  Xposed Module List  _x000D_
GravityBox  Q _x000D_
_x000D_
  Magisk Module List  _x000D_
  Riru v19 5_x000D_
  EdXposed v0 4 6 0 beta 4471 (YAHFA)_x000D_
(using custom Magisk v20 from https:  github com solohsu magisk files)_x000D_
_x000D_
  Logcat  _x000D_
 crash yahfa txt (https:  github com ElderDrivers EdXposed files 3754147 crash yahfa txt)_x000D_
</t>
  </si>
  <si>
    <t>ElderDrivers-EdXposed-372</t>
  </si>
  <si>
    <t>[BUG] system_server crash using SandHook-v0.4.6.0_beta.4471</t>
  </si>
  <si>
    <t xml:space="preserve">  What happened   _x000D_
  Always soft reboots immediately after booting (log attached)  Seems to be GC related (similar we had in the past) _x000D_
  Also I can see some errors related to SElinux relabeling but not sure if they play any role or could have another negative side effects (log attached) _x000D_
_x000D_
  Device  _x000D_
OnePlus 7 Pro running Oxygen OS 10 0 1_x000D_
_x000D_
  Xposed Module List  _x000D_
GravityBox  Q _x000D_
_x000D_
  Magisk Module List  _x000D_
  Riru v19 5_x000D_
  EdXposed v0 4 6 0 beta 4471 (Sandhook)_x000D_
(using custom Magisk v20 from https:  github com solohsu magisk files)_x000D_
_x000D_
  Logs  _x000D_
 crash sandhook txt (https:  github com ElderDrivers EdXposed files 3754065 crash sandhook txt)_x000D_
 avc denied sandhook txt (https:  github com ElderDrivers EdXposed files 3754068 avc denied sandhook txt)_x000D_
</t>
  </si>
  <si>
    <t>Piwigo-Piwigo-Android-167</t>
  </si>
  <si>
    <t>NullPointerException ProgressArcView.stop() on LoginFailed</t>
  </si>
  <si>
    <t xml:space="preserve">  Describe the bug and how to reproduce  _x000D_
ACRA crash report by mail_x000D_
   _x000D_
APP VERSION CODE 100_x000D_
APP VERSION NAME 1 0 0_x000D_
ANDROID VERSION 6 0 1_x000D_
CUSTOM DATA _x000D_
STACK TRACE java lang RuntimeException: Unable to start activity ComponentInfo org piwigo android org piwigo ui login LoginActivity : java lang NullPointerException: Attempt to invoke virtual method  void com github jorgecastilloprz progressarc ProgressArcView stop()  on a null object reference_x000D_
	at android app ActivityThread performLaunchActivity(ActivityThread java:2416)_x000D_
	at android app ActivityThread handleLaunchActivity(ActivityThread java:2476)_x000D_
	at android app ActivityThread handleRelaunchActivity(ActivityThread java:4077)_x000D_
	at android app ActivityThread  wrap15(ActivityThread java)_x000D_
	at android app ActivityThread H handleMessage(ActivityThread java:1350)_x000D_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NullPointerException: Attempt to invoke virtual method  void com github jorgecastilloprz progressarc ProgressArcView stop()  on a null object reference_x000D_
	at com github jorgecastilloprz FABProgressCircle hide(FABProgressCircle java:166)_x000D_
	at org piwigo ui login LoginActivity loginError(LoginActivity java:145)_x000D_
	at org piwigo ui login LoginActivity lambda cvhGC3Mv9TzM8IjVDnu38ao367Q(LoginActivity java)_x000D_
	at org piwigo ui login    Lambda LoginActivity cvhGC3Mv9TzM8IjVDnu38ao367Q onChanged(lambda)_x000D_
	at androidx lifecycle LiveData considerNotify(LiveData java:131)_x000D_
	at androidx lifecycle LiveData dispatchingValue(LiveData java:144)_x000D_
	at androidx lifecycle LiveData ObserverWrapper activeStateChanged(LiveData java:442)_x000D_
	at androidx lifecycle LiveData LifecycleBoundObserver onStateChanged(LiveData java:394)_x000D_
	at androidx lifecycle LifecycleRegistry ObserverWithState dispatchEvent(LifecycleRegistry java:361)_x000D_
	at androidx lifecycle LifecycleRegistry forwardPass(LifecycleRegistry java:300)_x000D_
	at androidx lifecycle LifecycleRegistry sync(LifecycleRegistry java:339)_x000D_
	at androidx lifecycle LifecycleRegistry moveToState(LifecycleRegistry java:145)_x000D_
	at androidx lifecycle LifecycleRegistry handleLifecycleEvent(LifecycleRegistry java:131)_x000D_
	at androidx lifecycle ReportFragment dispatch(ReportFragment java:123)_x000D_
	at androidx lifecycle ReportFragment onStart(ReportFragment java:83)_x000D_
	at android app Fragment performStart(Fragment java:2244)_x000D_
	at android app FragmentManagerImpl moveToState(FragmentManager java:1002)_x000D_
	at android app FragmentManagerImpl moveToState(FragmentManager java:1148)_x000D_
	at android app FragmentManagerImpl moveToState(FragmentManager java:1130)_x000D_
	at android app FragmentManagerImpl dispatchStart(FragmentManager java:1958)_x000D_
	at android app FragmentController dispatchStart(FragmentController java:163)_x000D_
	at android app Activity performStart(Activity java:6274)_x000D_
	at android app ActivityThread performLaunchActivity(ActivityThread java:2379)_x000D_
	    10 more_x000D_
_x000D_
   </t>
  </si>
  <si>
    <t>OpenTracksApp-OpenTracks-49</t>
  </si>
  <si>
    <t>Crash when opening Settings activity</t>
  </si>
  <si>
    <t xml:space="preserve">Thanks for this great app _x000D_
_x000D_
I have searched open issues but didn t find this one  sorry if i have missed it _x000D_
_x000D_
For some reason  after a while  settings stopped working   when i try to open settings screen  app crashes _x000D_
_x000D_
Version V3 2 1  from F Droid _x000D_
Samsung S7 Edge  Android 8 _x000D_
_x000D_
Below is adb shell logcat_x000D_
_x000D_
thank you_x000D_
_x000D_
   _x000D_
10 21 19:04:03 697  3671 14055 D ActivityManager: isScaleDownAnimationEnabled() : false_x000D_
10 21 19:04:03 698  3671 14055 V WindowManager: rotationForOrientationLw(orient  1  last 0)  user 0  sensorRotation  1 mLidState  1 mDockMode 0 mHdmiPlugged false_x000D_
10 21 19:04:03 702  3671 14055 D PersonaManagerService: Current focused persona service handled id set to : 0_x000D_
10 21 19:04:03 702  3671 14055 D InputDispatcher: Focused application set to: xxxx_x000D_
10 21 19:04:03 705  3671 14055 D InputDispatcher: Focus left window: 18097_x000D_
10 21 19:04:03 707  3671  3962 D GameManagerService: handleForegroundChange()  pkgName: de dennisguse opentracks  clsName: de dennisguse opentracks settings SettingsActivity FgActivityName:de dennisguse opentracks  settings SettingsActivity_x000D_
10 21 19:04:03 707  3671  3962 D GameManagerService:   handleForegroundChange()  same package with Prev KILL YOURSELF  ignore_x000D_
10 21 19:04:03 708  3671 14055 D MARsPolicyManager: onPackageResumedFG pkgName   de dennisguse opentracks  userId   0_x000D_
10 21 19:04:03 716 18097 18097 D ViewRootImpl 4a19370 TrackDetailActivity : MSG WINDOW FOCUS CHANGED 1_x000D_
10 21 19:04:03 717  3671 14055 D InputMethodManagerService: startInputOrWindowGainedFocus : windowGainedFocus _x000D_
10 21 19:04:03 717  3671 14055 D InputMethodManagerService: windowGainedFocus: destinationUserId (getCallingUid)   0_x000D_
10 21 19:04:03 717  3671 14055 D InputMethodManagerService: windowGainedFocus: currentUserId 0_x000D_
10 21 19:04:03 717  3671 14055 D InputMethodManagerService: windowGainedFocus: mCurrentFocusedUserId 0_x000D_
10 21 19:04:03 718  3671 14055 D InputMethodManagerService: windowGainedFocus : lock   currentUserId   0 destinationUserId   0_x000D_
10 21 19:04:03 718  3671 14055 D InputMethodManagerService: windowGainedFocus : mCurrentFocusedUserId   0 and mSecureKeypadEnabled   false  userSwitched   false_x000D_
10 21 19:04:03 718  3671 14055 W InputMethodManagerService: Focus gain on non focused client com android internal view IInputMethodClient Stub Proxy cba9bf4 (uid 10041 pid 18097)_x000D_
10 21 19:04:03 718  3671 14055 W InputMethodManagerService: calledFromValidUser : true  (mCurFocusedWindow    windowToken) : true  (attribute    null) : false_x000D_
10 21 19:04:03 718  3671 14055 W InputMethodManagerService: (mCurClient    cs) : false  mCurFocusedWindow : android os BinderProxy 4c83c2  windowToken : android os BinderProxy 4c83c2_x000D_
10 21 19:04:03 718 18097 18097 E ViewRootImpl: sendUserActionEvent() returned _x000D_
10 21 19:04:03 730 18097 18097 D AndroidRuntime: Shutting down VM_x000D_
10 21 19:04:03 731 18097 18097 E AndroidRuntime: FATAL EXCEPTION: main_x000D_
10 21 19:04:03 731 18097 18097 E AndroidRuntime: Process: de dennisguse opentracks  PID: 18097_x000D_
10 21 19:04:03 731 18097 18097 E AndroidRuntime: java lang RuntimeException: Unable to start activity ComponentInfo de dennisguse opentracks de dennisguse opentracks settings SettingsActivity : java lang ClassCastException: java lang Integer cannot be cast to java lang String_x000D_
10 21 19:04:03 731 18097 18097 E AndroidRuntime: 	at android app ActivityThread performLaunchActivity(ActivityThread java:2957)_x000D_
10 21 19:04:03 731 18097 18097 E AndroidRuntime: 	at android app ActivityThread handleLaunchActivity(ActivityThread java:3032)_x000D_
10 21 19:04:03 731 18097 18097 E AndroidRuntime: 	at android app ActivityThread  wrap11(Unknown Source:0)_x000D_
10 21 19:04:03 731 18097 18097 E AndroidRuntime: 	at android app ActivityThread H handleMessage(ActivityThread java:1696)_x000D_
10 21 19:04:03 731 18097 18097 E AndroidRuntime: 	at android os Handler dispatchMessage(Handler java:105)_x000D_
10 21 19:04:03 731 18097 18097 E AndroidRuntime: 	at android os Looper loop(Looper java:164)_x000D_
10 21 19:04:03 731 18097 18097 E AndroidRuntime: 	at android app ActivityThread main(ActivityThread java:6944)_x000D_
10 21 19:04:03 731 18097 18097 E AndroidRuntime: 	at java lang reflect Method invoke(Native Method)_x000D_
10 21 19:04:03 731 18097 18097 E AndroidRuntime: 	at com android internal os Zygote MethodAndArgsCaller run(Zygote java:327)_x000D_
10 21 19:04:03 731 18097 18097 E AndroidRuntime: 	at com android internal os ZygoteInit main(ZygoteInit java:1374)_x000D_
10 21 19:04:03 731 18097 18097 E AndroidRuntime: Caused by: java lang ClassCastException: java lang Integer cannot be cast to java lang String_x000D_
10 21 19:04:03 731 18097 18097 E AndroidRuntime: 	at android app SharedPreferencesImpl getString(SharedPreferencesImpl java:255)_x000D_
10 21 19:04:03 731 18097 18097 E AndroidRuntime: 	at androidx preference Preference getPersistedString(Preference java:1686)_x000D_
10 21 19:04:03 731 18097 18097 E AndroidRuntime: 	at androidx preference ListPreference onSetInitialValue(ListPreference java:255)_x000D_
10 21 19:04:03 731 18097 18097 E AndroidRuntime: 	at androidx preference Preference onSetInitialValue(Preference java:1614)_x000D_
10 21 19:04:03 731 18097 18097 E AndroidRuntime: 	at androidx preference Preference dispatchSetInitialValue(Preference java:1587)_x000D_
10 21 19:04:03 731 18097 18097 E AndroidRuntime: 	at androidx preference Preference onAttachedToHierarchy(Preference java:1311)_x000D_
10 21 19:04:03 731 18097 18097 E AndroidRuntime: 	at androidx preference Preference onAttachedToHierarchy(Preference java:1326)_x000D_
10 21 19:04:03 731 18097 18097 E AndroidRuntime: 	at androidx preference PreferenceGroup addPreference(PreferenceGroup java:249)_x000D_
10 21 19:04:03 731 18097 18097 E AndroidRuntime: 	at androidx preference PreferenceGroup addItemFromInflater(PreferenceGroup java:170)_x000D_
10 21 19:04:03 731 18097 18097 E AndroidRuntime: 	at androidx preference PreferenceInflater rInflate(PreferenceInflater java:345)_x000D_
10 21 19:04:03 731 18097 18097 E AndroidRuntime: 	at androidx preference PreferenceInflater rInflate(PreferenceInflater java:346)_x000D_
10 21 19:04:03 731 18097 18097 E AndroidRuntime: 	at androidx preference PreferenceInflater inflate(PreferenceInflater java:157)_x000D_
10 21 19:04:03 731 18097 18097 E AndroidRuntime: 	at androidx preference PreferenceInflater inflate(PreferenceInflater java:109)_x000D_
10 21 19:04:03 731 18097 18097 E AndroidRuntime: 	at androidx preference PreferenceManager inflateFromResource(PreferenceManager java:216)_x000D_
10 21 19:04:03 731 18097 18097 E AndroidRuntime: 	at androidx preference PreferenceFragment addPreferencesFromResource(PreferenceFragment java:386)_x000D_
10 21 19:04:03 731 18097 18097 E AndroidRuntime: 	at de dennisguse opentracks settings SettingsActivity PrefsFragment onCreatePreferences(SettingsActivity java:65)_x000D_
10 21 19:04:03 731 18097 18097 E AndroidRuntime: 	at androidx preference PreferenceFragment onCreate(PreferenceFragment java:167)_x000D_
10 21 19:04:03 731 18097 18097 E AndroidRuntime: 	at android app Fragment performCreate(Fragment java:2593)_x000D_
10 21 19:04:03 731 18097 18097 E AndroidRuntime: 	at android app FragmentManagerImpl moveToState(FragmentManager java:1234)_x000D_
10 21 19:04:03 731 18097 18097 E AndroidRuntime: 	at android app FragmentManagerImpl addAddedFragments(FragmentManager java:2421)_x000D_
10 21 19:04:03 731 18097 18097 E AndroidRuntime: 	at android app FragmentManagerImpl executeOpsTogether(FragmentManager java:2200)_x000D_
10 21 19:04:03 731 18097 18097 E AndroidRuntime: 	at android app FragmentManagerImpl removeRedundantOperationsAndExecute(FragmentManager java:2154)_x000D_
10 21 19:04:03 731 18097 18097 E AndroidRuntime: 	at android app FragmentManagerImpl execPendingActions(FragmentManager java:2055)_x000D_
10 21 19:04:03 731 18097 18097 E AndroidRuntime: 	at android app FragmentManagerImpl dispatchMoveToState(FragmentManager java:3050)_x000D_
10 21 19:04:03 731 18097 18097 E AndroidRuntime: 	at android app FragmentManagerImpl dispatchActivityCreated(FragmentManager java:2997)_x000D_
10 21 19:04:03 731 18097 18097 E AndroidRuntime: 	at android app FragmentController dispatchActivityCreated(FragmentController java:179)_x000D_
10 21 19:04:03 731 18097 18097 E AndroidRuntime: 	at android app Activity performCreateCommon(Activity java:7177)_x000D_
10 21 19:04:03 731 18097 18097 E AndroidRuntime: 	at android app Activity performCreate(Activity java:7185)_x000D_
10 21 19:04:03 731 18097 18097 E AndroidRuntime: 	at android app Instrumentation callActivityOnCreate(Instrumentation java:1220)_x000D_
10 21 19:04:03 731 18097 18097 E AndroidRuntime: 	at android app ActivityThread performLaunchActivity(ActivityThread java:2910)_x000D_
10 21 19:04:03 731 18097 18097 E AndroidRuntime: 	    9 more_x000D_
10 21 19:04:03 737  3671 14055 D Debug   :   DumpState : SHIP_x000D_
10 21 19:04:03 738  3671 14055 D Debug   :   DumpState : debug level:0x4f4c_x000D_
10 21 19:04:03 738  3671 14055 D Debug   :   Dumpstate : Finally  system will skip dumpstate_x000D_
10 21 19:04:03 738  3671 14055 W ActivityManager: crash : de dennisguse opentracks 0_x000D_
10 21 19:04:03 739  3671 14055 W ActivityManager:   Force finishing activity de dennisguse opentracks  settings SettingsActivity_x000D_
10 21 19:04:03 748  3671 14055 W ActivityManager:   Force finishing activity de dennisguse opentracks  TrackDetailActivity_x000D_
   </t>
  </si>
  <si>
    <t>denzilferreira-aware-client-276</t>
  </si>
  <si>
    <t>SQLiteCantOpenDatabaseException - Android 10</t>
  </si>
  <si>
    <t xml:space="preserve">I am experiencing app crashes on every app startup (OnePlus 7t Pro   Google Pixel 3a  both Android 10)  The app is failing to create (and therefore not load) the AWARE databases  On fresh app installs (uninstall the app and delete the AWARE folder)  the app crashes immediately after AWARE requests contacts and storage permissions _x000D_
_x000D_
Development context background:_x000D_
  I have been developing with AWARE for months without a problem  I came back to the project recently with fresh new phones and am now facing problems _x000D_
  I am using the AWARE framework as suggested in the documentation:  api  com github denzilferreira:aware client:master SNAPSHOT   (though also explicitly tried versions  4 0 820  and  4 0 821 )_x000D_
  I have stripped my app back to bare minimum and only call the following during the app s  onCreate() :  Aware startAWARE(this) _x000D_
_x000D_
Reproducing the issue:_x000D_
  Bizzarely  the app works fine (loads the AWARE DBs) when using two Google Pixel 3a (Android 9) phones  so perhaps it may be an Android 10 issue  I can confirm my app does have Storage permission on all devices _x000D_
  I just updated one of the Google Pixel 3a s to Android 10  The app now also crashes on that phone in the same way _x000D_
_x000D_
  Stacktrace_x000D_
Logcat stacktrace:  stack txt (https:  github com denzilferreira aware client files 3751192 stack txt)_x000D_
_x000D_
This is a stacktrace of the OnePlus 7T Pro (Android 10)  with a fresh install of my app  and checked that the AWARE folder did not exist before (and still does not after the app crashed) _x000D_
_x000D_
Relevant error stacktraces start at:  2019 10 21 14:50:28 066 _x000D_
_x000D_
I have copied what I believe to be the pertinent errors from Logcat  to give you somewhere to jump to in the trace file  _x000D_
_x000D_
  2019 10 21 14:50:28 069 31891 31891   E SQLiteLog: (14) cannot open file at line 36683 of  c255889bd9 _x000D_
2019 10 21 14:50:28 069 31891 31891   E SQLiteLog: (14) os unix c:36683: (2) open( storage emulated 0 AWARE aware db)   _x000D_
2019 10 21 14:50:28 069 31891 31891   E SQLiteDatabase: Failed to open database   storage emulated 0 AWARE aware db  _x000D_
    android database sqlite SQLiteCantOpenDatabaseException: unknown error (code 14 SQLITE CANTOPEN): Could not open database_x000D_
_x000D_
Main crash occurs here:_x000D_
_x000D_
            beginning of crash_x000D_
  2019 10 21 14:50:28 299 31891 31891   E AndroidRuntime: FATAL EXCEPTION: main_x000D_
      Process: uk ac lancaster spaceapp  PID: 31891_x000D_
      java lang RuntimeException: Unable to start service com aware utils Scheduler cbacc2c with Intent   cmp uk ac lancaster spaceapp com aware utils Scheduler  : java lang NullPointerException: Attempt to invoke virtual method  void android database sqlite SQLiteDatabase validateSql(java lang String  android os CancellationSignal)  on a null object reference_x000D_
          at android app ActivityThread handleServiceArgs(ActivityThread java:4222)_x000D_
          at android app ActivityThread access 2100(ActivityThread java:231)_x000D_
          at android app ActivityThread H handleMessage(ActivityThread java:1984)_x000D_
          at android os Handler dispatchMessage(Handler java:107)_x000D_
          at android os Looper loop(Looper java:214)_x000D_
          at android app ActivityThread main(ActivityThread java:7682)_x000D_
          at java lang reflect Method invoke(Native Method)_x000D_
          at com android internal os RuntimeInit MethodAndArgsCaller run(RuntimeInit java:516)_x000D_
          at com android internal os ZygoteInit main(ZygoteInit java:950)_x000D_
       Caused by: java lang NullPointerException: Attempt to invoke virtual method  void _x000D_
  android database sqlite SQLiteDatabase validateSql(java lang String  android os CancellationSignal)   on a null object reference_x000D_
          at android database sqlite SQLiteQueryBuilder query(SQLiteQueryBuilder java:496)_x000D_
          at android database sqlite SQLiteQueryBuilder query(SQLiteQueryBuilder java:392)_x000D_
          at com aware providers Scheduler Provider query(Scheduler Provider java:198)_x000D_
          at android content ContentProvider query(ContentProvider java:1276)_x000D_
          at android content ContentProvider query(ContentProvider java:1369)_x000D_
          at android content ContentProvider Transport query(ContentProvider java:275)_x000D_
          at android content ContentResolver query(ContentResolver java:962)_x000D_
          at android content ContentResolver query(ContentResolver java:890)_x000D_
          at android content ContentResolver query(ContentResolver java:846)_x000D_
          at com aware utils Scheduler onStartCommand(Scheduler java:635)_x000D_
          at android app ActivityThread handleServiceArgs(ActivityThread java:4204)_x000D_
          at android app ActivityThread access 2100(ActivityThread java:231) _x000D_
          at android app ActivityThread H handleMessage(ActivityThread java:1984) _x000D_
          at android os Handler dispatchMessage(Handler java:107) _x000D_
          at android os Looper loop(Looper java:214) _x000D_
          at android app ActivityThread main(ActivityThread java:7682) _x000D_
          at java lang reflect Method invoke(Native Method) _x000D_
          at com android internal os RuntimeInit MethodAndArgsCaller run(RuntimeInit java:516) _x000D_
          at com android internal os ZygoteInit main(ZygoteInit java:950) _x000D_
_x000D_
Note: All devices (Android 9 and 10) spew out the first batch of SQLiteCantOpenDatabaseException errors during the first app load after a fresh install  but presumably the applications that launch successfully (Android 9) are able to eventually create the AWARE DBs </t>
  </si>
  <si>
    <t>pwittchen-ReactiveNetwork-387</t>
  </si>
  <si>
    <t>Rare DeadSystemException when device (AndroidTV) goes to sleep</t>
  </si>
  <si>
    <t xml:space="preserve">  Describe the bug  _x000D_
I m seeing rare crashes in Crashlytics with callstack:_x000D_
   _x000D_
java lang RuntimeException: android os DeadSystemException_x000D_
	at android net ConnectivityManager getActiveNetworkInfo(ConnectivityManager java:797)_x000D_
	at com github pwittchen reactivenetwork library rx2 Connectivity create(Connectivity java:65)_x000D_
	at com github pwittchen reactivenetwork library rx2 Connectivity create(Connectivity java:50)_x000D_
	at com github pwittchen reactivenetwork library rx2 network observing strategy MarshmallowNetworkObservingStrategy 5 onLost(MarshmallowNetworkObservingStrategy java:165)_x000D_
	at android net ConnectivityManager CallbackHandler handleMessage(ConnectivityManager java:2845)_x000D_
	at android os Handler dispatchMessage(Handler java:102)_x000D_
	at android os Looper loop(Looper java:154)_x000D_
	at android os HandlerThread run(HandlerThread java:61)_x000D_
   _x000D_
_x000D_
Most probably device is going to sleep or power off  And there is network notification dispatched while VM is dying _x000D_
_x000D_
  Expected behavior  _x000D_
It would be nice to catch those errors and route with  onError _x000D_
_x000D_
  Device:  _x000D_
  Android: 7 0_x000D_
  Android Build: SVP4KDTV15 EU user 7 0 NRD91N S34 5 433 release keys_x000D_
  Manufacturer: Sony_x000D_
  Model: BRAVIA 4K 2015_x000D_
  Thread: ConnectivityManager 797_x000D_
_x000D_
   _x000D_
implementation  com github pwittchen:reactivenetwork rx2:3 0 6 _x000D_
   _x000D_
</t>
  </si>
  <si>
    <t>miguelpruivo-flutter_file_picker-161</t>
  </si>
  <si>
    <t>onActivityResult edge case</t>
  </si>
  <si>
    <t xml:space="preserve">  Describe the bug  _x000D_
There seems to be an edge case in https:  github com miguelpruivo flutter file picker blob ff017dd457d4c5d5bf4605d0f0a45cecc617853c android src main java com mr flutter plugin filepicker FilePickerPlugin java L108 _x000D_
where the object  Result  could be null  This crash has been registered from Google Play _x000D_
_x000D_
  File picker version: 1 4 2  _x000D_
_x000D_
  Issue details  _x000D_
Motorola Moto G (5S) Plus (sanders nt)  Android 8 1     Samsung Galaxy A20 (a20p)  Android 9_x000D_
_x000D_
  Error Log  _x000D_
   _x000D_
java lang RuntimeException: _x000D_
  at android app ActivityThread performResumeActivity (ActivityThread java:4035)_x000D_
  at android app ActivityThread handleResumeActivity (ActivityThread java:4067)_x000D_
  at android app servertransaction ResumeActivityItem execute (ResumeActivityItem java:51)_x000D_
  at android app servertransaction TransactionExecutor executeLifecycleState (TransactionExecutor java:145)_x000D_
  at android app servertransaction TransactionExecutor execute (TransactionExecutor java:70)_x000D_
  at android app ActivityThread H handleMessage (ActivityThread java:1969)_x000D_
  at android os Handler dispatchMessage (Handler java:106)_x000D_
  at android os Looper loop (Looper java:214)_x000D_
  at android app ActivityThread main (ActivityThread java:7124)_x000D_
  at java lang reflect Method invoke (Native Method)_x000D_
  at com android internal os RuntimeInit MethodAndArgsCaller run (RuntimeInit java:494)_x000D_
  at com android internal os ZygoteInit main (ZygoteInit java:975)_x000D_
Caused by: java lang RuntimeException: _x000D_
  at android app ActivityThread deliverResults (ActivityThread java:4639)_x000D_
  at android app ActivityThread performResumeActivity (ActivityThread java:4024)_x000D_
Caused by: java lang NullPointerException: _x000D_
  at com mr flutter plugin filepicker FilePickerPlugin 1 onActivityResult (FilePickerPlugin java:108)_x000D_
  at io flutter app FlutterPluginRegistry onActivityResult (FlutterPluginRegistry java:204)_x000D_
  at io flutter app FlutterActivityDelegate onActivityResult (FlutterActivityDelegate java:132)_x000D_
  at io flutter app FlutterActivity onActivityResult (FlutterActivity java:142)_x000D_
  at android app Activity dispatchActivityResult (Activity java:7754)_x000D_
  at android app ActivityThread deliverResults (ActivityThread java:4632)_x000D_
   _x000D_
_x000D_
  Flutter Version details  _x000D_
Flutter v1 9 1 hotfix 4</t>
  </si>
  <si>
    <t>square-okhttp-5562</t>
  </si>
  <si>
    <t>Crash: Unexpected TLS version: NONE In Android 9.0</t>
  </si>
  <si>
    <t xml:space="preserve">Hello  _x000D_
_x000D_
My Android app use okhttp 3 10 0 for almost 1year  and it is stable   Just last month  we switch http to https  then many crash occur  In Android 9 0 _x000D_
blew is the stacktrace _x000D_
   _x000D_
java lang IllegalArgumentException Unexpected TLS version NONE_x000D_
at okhttp3 TlsVersion forJavaName(SourceFile 53)_x000D_
at okhttp3 Handshake get(SourceFile 56)_x000D_
at okhttp3 internal connection RealConnection connectTls(SourceFile 308)_x000D_
at okhttp3 internal connection RealConnection establishProtocol(SourceFile 270)_x000D_
at okhttp3 internal connection RealConnection connect(SourceFile 162)_x000D_
at okhttp3 internal connection StreamAllocation findConnection(SourceFile 257)_x000D_
at okhttp3 internal connection StreamAllocation findHealthyConnection(SourceFile 135)_x000D_
at okhttp3 internal connection StreamAllocation newStream(SourceFile 114)_x000D_
at okhttp3 internal connection ConnectInterceptor intercept(SourceFile 42)_x000D_
at okhttp3 internal http RealInterceptorChain proceed(SourceFile 147)_x000D_
at okhttp3 internal http RealInterceptorChain proceed(SourceFile 121)_x000D_
at okhttp3 internal cache CacheInterceptor intercept(SourceFile 93)_x000D_
at okhttp3 internal http RealInterceptorChain proceed(SourceFile 147)_x000D_
at okhttp3 internal http RealInterceptorChain proceed(SourceFile 121)_x000D_
at okhttp3 internal http BridgeInterceptor intercept(SourceFile 93)_x000D_
at okhttp3 internal http RealInterceptorChain proceed(SourceFile 147)_x000D_
at okhttp3 internal http RetryAndFollowUpInterceptor intercept(SourceFile 126)_x000D_
at okhttp3 internal http RealInterceptorChain proceed(SourceFile 147)_x000D_
at okhttp3 internal http RealInterceptorChain proceed(SourceFile 121)_x000D_
at com iflytek common lib net interceptor BlcInterceptor intercept(SourceFile 76)_x000D_
at okhttp3 internal http RealInterceptorChain proceed(SourceFile 147)_x000D_
at okhttp3 internal http RealInterceptorChain proceed(SourceFile 121)_x000D_
at com iflytek common lib net interceptor BlcInterceptor intercept(SourceFile 76)_x000D_
at okhttp3 internal http RealInterceptorChain proceed(SourceFile 147)_x000D_
at okhttp3 internal http RealInterceptorChain proceed(SourceFile 121)_x000D_
at com iflytek common lib net interceptor BlcInterceptor intercept(SourceFile 76)_x000D_
at okhttp3 internal http RealInterceptorChain proceed(SourceFile 147)_x000D_
at okhttp3 internal http RealInterceptorChain proceed(SourceFile 121)_x000D_
at com iflytek common lib net interceptor CatchExceptionInterceptor intercept(SourceFile 23)_x000D_
at okhttp3 internal http RealInterceptorChain proceed(SourceFile 147)_x000D_
at okhttp3 internal http RealInterceptorChain proceed(SourceFile 121)_x000D_
at com iflytek eagleeye e c d intercept(SourceFile 52)_x000D_
at okhttp3 internal http RealInterceptorChain proceed(SourceFile 147)_x000D_
at okhttp3 internal http RealInterceptorChain proceed(SourceFile 121)_x000D_
at okhttp3 RealCall getResponseWithInterceptorChain(SourceFile 200)_x000D_
at okhttp3 RealCall AsyncCall execute(SourceFile 147)_x000D_
at okhttp3 internal NamedRunnable run(SourceFile 32)_x000D_
at java util concurrent ThreadPoolExecutor runWorker(ThreadPoolExecutor java 1167)_x000D_
at java util concurrent ThreadPoolExecutor Worker run(ThreadPoolExecutor java 641)_x000D_
at java lang Thread run(Thread java 764)_x000D_
   _x000D_
Anyone get some ideas about this crash _x000D_
_x000D_
_x000D_
</t>
  </si>
  <si>
    <t>fennifith-Alarmio-82</t>
  </si>
  <si>
    <t>[Pie+] timer crashes when page not in foreground</t>
  </si>
  <si>
    <t xml:space="preserve">User report:_x000D_
_x000D_
  After setting and starting the timer  if I try to leave the timer page  the app crashes and the timer therefore stops  Timer works fine if I stay on the timer page  Samsung s10   stock Android 9 _x000D_
_x000D_
Likely a background restriction problem  Need to do some testing   debugging to try and reproduce the issue myself </t>
  </si>
  <si>
    <t>bitstadium-HockeySDK-Android-435</t>
  </si>
  <si>
    <t>Java.Lang.RuntimeException: Adding window failed ---&gt; Java.Lang.Exception: Transaction failed on small parcel; remote process probably died</t>
  </si>
  <si>
    <t xml:space="preserve">Getting this runtime crash and its recorded by Hockey app  _x000D_
  Android: 8 0 0_x000D_
Android Build: R16NW G930R4TYSACSG1_x000D_
Manufacturer: samsung_x000D_
Model: SM G930R4_x000D_
Thread: main 2_x000D_
Start Date: 2019 10 18T13:00:55 876Z_x000D_
Date: 2019 10 18T16:31:21 763Z_x000D_
Format: Xamarin  _x000D_
_x000D_
_x000D_
   _x000D_
java lang RuntimeException: Adding window failed_x000D_
	at android view ViewRootImpl setView(ViewRootImpl java:931)_x000D_
	at android view WindowManagerGlobal addView(WindowManagerGlobal java:381)_x000D_
	at android view WindowManagerImpl addView(WindowManagerImpl java:100)_x000D_
	at android app Dialog show(Dialog java:420)_x000D_
	at net hockeyapp android CrashManager showDialog(CrashManager java:637)_x000D_
	at net hockeyapp android CrashManager access 100(CrashManager java:49)_x000D_
	at net hockeyapp android CrashManager 2 onPostExecute(CrashManager java:243)_x000D_
	at net hockeyapp android CrashManager 2 onPostExecute(CrashManager java:216)_x000D_
	at android os AsyncTask finish(AsyncTask java:695)_x000D_
	at android os AsyncTask  wrap1(Unknown Source:0)_x000D_
	at android os AsyncTask InternalHandler handleMessage(AsyncTask java:712)_x000D_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android os DeadObjectException: Transaction failed on small parcel  remote process probably died_x000D_
	at android os BinderProxy transactNative(Native Method)_x000D_
	at android os BinderProxy transact(Binder java:761)_x000D_
	at android view IWindowSession Stub Proxy addToDisplay(IWindowSession java:841)_x000D_
	at android view ViewRootImpl setView(ViewRootImpl java:918)_x000D_
	    16 more_x000D_
Xamarin caused by: Java Lang RuntimeException: Adding window failed      Java Lang Exception: Transaction failed on small parcel  remote process probably died_x000D_
       End of inner exception stack trace    _x000D_
      End of managed Java Lang RuntimeException stack trace    _x000D_
java lang RuntimeException: Adding window failed_x000D_
	at android view ViewRootImpl setView(ViewRootImpl java:931)_x000D_
	at android view WindowManagerGlobal addView(WindowManagerGlobal java:381)_x000D_
	at android view WindowManagerImpl addView(WindowManagerImpl java:100)_x000D_
	at android app Dialog show(Dialog java:420)_x000D_
	at net hockeyapp android CrashManager showDialog(CrashManager java:637)_x000D_
	at net hockeyapp android CrashManager access 100(CrashManager java:49)_x000D_
	at net hockeyapp android CrashManager 2 onPostExecute(CrashManager java:243)_x000D_
	at net hockeyapp android CrashManager 2 onPostExecute(CrashManager java:216)_x000D_
	at android os AsyncTask finish(AsyncTask java:695)_x000D_
	at android os AsyncTask  wrap1(Unknown Source:0)_x000D_
	at android os AsyncTask InternalHandler handleMessage(AsyncTask java:712)_x000D_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android os DeadObjectException: Transaction failed on small parcel  remote process probably died_x000D_
	at android os BinderProxy transactNative(Native Method)_x000D_
	at android os BinderProxy transact(Binder java:761)_x000D_
	at android view IWindowSession Stub Proxy addToDisplay(IWindowSession java:841)_x000D_
	at android view ViewRootImpl setView(ViewRootImpl java:918)_x000D_
	    16 more_x000D_
   </t>
  </si>
  <si>
    <t>inaturalist-iNaturalistAndroid-722</t>
  </si>
  <si>
    <t>Going back while recording sound causes endless loading (or crash)</t>
  </si>
  <si>
    <t xml:space="preserve">  Pixel 3_x000D_
  _x000D_
  Create new observation _x000D_
  Record a sound_x000D_
  record the sound _x000D_
  Don t press done  but go back (eg because the sound was not good and you want to re record) _x000D_
  try to record a new sound_x000D_
  press done_x000D_
  get an endless Loading screen _x000D_
  unable to go back_x000D_
  have to force close iNat app_x000D_
  _x000D_
  Same issue if you have an existing observation _x000D_
  Record a sound  but don t press done  just go back to re record  _x000D_
  Record the sound  press done  and endless Loading screen  _x000D_
_x000D_
Note that I believe she is using the built in sound recorder  There are some large crash logs in slack: https:  inaturalist slack com archives G041A2Z1W p1571388239011300_x000D_
_x000D_
When I try to replicate given the steps above (on a Pixel 3)  I just get a crash immediately after tapping the back button in the left side of the header </t>
  </si>
  <si>
    <t>svenmeier-coxswain-93</t>
  </si>
  <si>
    <t xml:space="preserve">6.2 app crash </t>
  </si>
  <si>
    <t>app crash after plug in usb cable and start a training  i downloaded 6 1 from github and installed it  works without issues again_x000D_
_x000D_
thxs for this great app  hopefully you can find the rc for the crash</t>
  </si>
  <si>
    <t>MozillaReality-FirefoxReality-2020</t>
  </si>
  <si>
    <t>App crashes on window.open (tabs)</t>
  </si>
  <si>
    <t xml:space="preserve">   Configuration_x000D_
_x000D_
      State the version number and build ID affected     _x000D_
      The build ID is obtained by clicking on the build date in settings     _x000D_
Firefox Reality version: 6_x000D_
Firefox Reality build ID: 94c6c127e8bac27bd1c8a99537c5d13dc433052a_x000D_
_x000D_
      Include the name and version of the hardware VR headset you experienced the bug in     _x000D_
Hardware: _x000D_
_x000D_
   Steps to Reproduce_x000D_
      For bugs  please provide a link to a live web site  test page  or a rough set of    _x000D_
      steps to reproduce this bug  If relevant  include code to reproduce     _x000D_
      Feel free to attach images and GIFs of screen captures     _x000D_
1  Go to https:  www w3schools com jsref met win prompt asp_x000D_
2  Click on  Try it yourself _x000D_
_x000D_
   Current Behavior_x000D_
      If describing a bug  tell us what happens instead of the expected behavior     _x000D_
      If suggesting a change improvement  explain the difference from current behavior     _x000D_
App crashes_x000D_
_x000D_
   Expected Behavior_x000D_
      If you re describing a bug  tell us what should happen     _x000D_
      If you re suggesting a change improvement  tell us how it should work     _x000D_
A new session should be opened _x000D_
_x000D_
   Possible Solution_x000D_
       Optional     _x000D_
      Feel free to suggest a fix reason for the bug     _x000D_
      or ideas how to implement the addition or change     _x000D_
_x000D_
   Context_x000D_
       Optional     _x000D_
      How has this issue affected you  What are you trying to accomplish     _x000D_
      Providing context helps us come up with a solution that is most useful in the real world  :)    _x000D_
_x000D_
This only happens in the feature tabs branch _x000D_
_x000D_
   Error Logs and Stack Traces_x000D_
       Optional     _x000D_
      These are very useful for quickly identifying the causes for bug fixes     _x000D_
      In Developer Mode  run  adb logcat  to capture potentially useful logs     _x000D_
 details open _x000D_
_x000D_
      DO NOT REMOVE THIS LINE     _x000D_
   _x000D_
2019 10 18 17:48:20 883 6589 6589 org mozilla vrbrowser dev E GeckoCrashHandler:     REPORTING UNCAUGHT EXCEPTION FROM THREAD 1 ( main )_x000D_
    java lang IllegalArgumentException: Must use an unopened GeckoSession instance_x000D_
        at org mozilla geckoview GeckoSession 3 lambda handleMessage 4 GeckoSession 3(GeckoSession java:653)_x000D_
        at org mozilla geckoview    Lambda GeckoSession 3 W gnbhMMaqAcPHnPyqZS4Yh6QAs accept(lambda)_x000D_
        at org mozilla geckoview GeckoResult lambda accept 0(GeckoResult java:382)_x000D_
        at org mozilla geckoview    Lambda GeckoResult I3k4K0DCRrX6z4p5VGaRoaRBTZM onValue(lambda)_x000D_
        at org mozilla geckoview GeckoResult lambda thenInternal 2 GeckoResult(GeckoResult java:431)_x000D_
        at org mozilla geckoview    Lambda GeckoResult gwCgOUK EYQn2g6GolfZvo6A WE run(lambda)_x000D_
        at android os Handler handleCallback(Handler java:751)_x000D_
        at android os Handler dispatchMessage(Handler java:95)_x000D_
        at android os Looper loop(Looper java:154)_x000D_
        at android app ActivityThread main(ActivityThread java:6144)_x000D_
        at java lang reflect Method invoke(Native Method)_x000D_
        at com android internal os ZygoteInit MethodAndArgsCaller run(ZygoteInit java:886)_x000D_
        at com android internal os ZygoteInit main(ZygoteInit java:776)_x000D_
   _x000D_
      DO NOT REMOVE THIS LINE     _x000D_
_x000D_
  details _x000D_
</t>
  </si>
  <si>
    <t>material-components-material-components-android-688</t>
  </si>
  <si>
    <t>[BottomNavigationView] Crash when inflating Menu</t>
  </si>
  <si>
    <t xml:space="preserve">  Description:   When using app:menu attribute  app crashes  When its empty  app runs normally _x000D_
_x000D_
  Expected behavior:   Expects to correct inflate menu _x000D_
_x000D_
  Source code:   _x000D_
 _x000D_
 androidx constraintlayout widget ConstraintLayout xmlns:android  http:  schemas android com apk res android _x000D_
                                                   xmlns:app  http:  schemas android com apk res auto _x000D_
                                                   xmlns:tools  http:  schemas android com tools _x000D_
                                                   android:id    id doors activity id _x000D_
                                                   android:layout width  match parent _x000D_
                                                   android:layout height  match parent  _x000D_
_x000D_
     com google android material appbar AppBarLayout_x000D_
        android:id    id appBarLayout _x000D_
        android:layout width  match parent _x000D_
        android:layout height  wrap content _x000D_
        android:theme   style AppTheme AppBarOverlay _x000D_
        app:elevation  0dp _x000D_
        app:layout constraintEnd toEndOf  parent _x000D_
        app:layout constraintStart toStartOf  parent _x000D_
        app:layout constraintTop toTopOf  parent  _x000D_
_x000D_
         androidx appcompat widget Toolbar_x000D_
            android:id    id toolbar _x000D_
            android:layout width  match parent _x000D_
            android:layout height  wrap content _x000D_
            android:background   color mainBackground _x000D_
              _x000D_
      com google android material appbar AppBarLayout _x000D_
_x000D_
     FrameLayout_x000D_
        android:id    id frameContainer _x000D_
        android:layout width  0dp _x000D_
        android:layout height  0dp _x000D_
        android:layout marginBottom  8dp _x000D_
        app:layout constraintBottom toTopOf    id bottomNavigationView _x000D_
        app:layout constraintEnd toEndOf  parent _x000D_
        app:layout constraintStart toStartOf  parent _x000D_
        app:layout constraintTop toBottomOf    id appBarLayout  _x000D_
_x000D_
      FrameLayout _x000D_
_x000D_
     com google android material bottomnavigation BottomNavigationView_x000D_
        android:id    id bottomNavigationView _x000D_
        android:layout width  match parent _x000D_
        android:layout height  wrap content _x000D_
        app:layout constraintBottom toBottomOf  parent _x000D_
        app:layout constraintEnd toEndOf  parent _x000D_
        app:layout constraintStart toStartOf  parent _x000D_
        app:menu   menu bottom navigation menu   _x000D_
_x000D_
  androidx constraintlayout widget ConstraintLayout  _x000D_
_x000D_
  Android API version:   Api 28_x000D_
_x000D_
  Material Library version:   Material Android Library version you are using here (e g   1 1 0 Beta01)_x000D_
_x000D_
  Device:   Occurs on Simulator and on Physical Device_x000D_
Stacktrack:_x000D_
 E AndroidRuntime: FATAL EXCEPTION: main_x000D_
    Process: br com loopkey indigo  PID: 6621_x000D_
    java lang NoSuchFieldError: No static field smallLabel of type I in class Lcom google android material R id  or its superclasses (declaration of  com google android material R id  appears in  data app br com loopkey indigo cXAvVjFvNTsdqhGXDjsjMw   base apk classes2 dex)_x000D_
        at com google android material bottomnavigation BottomNavigationItemView  init (BottomNavigationItemView java:97)_x000D_
        at com google android material bottomnavigation BottomNavigationItemView  init (BottomNavigationItemView java:84)_x000D_
        at com google android material bottomnavigation BottomNavigationItemView  init (BottomNavigationItemView java:80)_x000D_
        at com google android material bottomnavigation BottomNavigationMenuView getNewItem(BottomNavigationMenuView java:588)_x000D_
        at com google android material bottomnavigation BottomNavigationMenuView buildMenuView(BottomNavigationMenuView java:520)_x000D_
        at com google android material bottomnavigation BottomNavigationPresenter updateMenuView(BottomNavigationPresenter java:67)_x000D_
        at com google android material bottomnavigation BottomNavigationView inflateMenu(BottomNavigationView java:343)_x000D_
        at br com loopkey indigo presentation view activity DoorActivity  setupBottomNavigation(DoorActivity kt:78)_x000D_
        at br com loopkey indigo presentation view activity DoorActivity onCreate(DoorActivity kt:43)_x000D_
        at android app Activity performCreate(Activity java:7224)_x000D_
        at android app Activity performCreate(Activity java:7213)_x000D_
        at android app Instrumentation callActivityOnCreate(Instrumentation java:1272)_x000D_
        at android app ActivityThread performLaunchActivity(ActivityThread java:2926)_x000D_
        at android app ActivityThread handleLaunchActivity(ActivityThread java:3081)_x000D_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java:1831)_x000D_
        at android os Handler dispatchMessage(Handler java:106)_x000D_
        at android os Looper loop(Looper java:201)_x000D_
        at android app ActivityThread main(ActivityThread java:6806)_x000D_
        at java lang reflect Method invoke(Native Method)_x000D_
        at com android internal os RuntimeInit MethodAndArgsCaller run(RuntimeInit java:547)_x000D_
        at com android internal os ZygoteInit main(ZygoteInit java:873) </t>
  </si>
  <si>
    <t>AChep-AcDisplay-161</t>
  </si>
  <si>
    <t>Application crashes when Clicking a Notification that has Actions</t>
  </si>
  <si>
    <t xml:space="preserve">Simply enable application as normal and have a notification that has action buttons  click one of them when in the lockscreen and the app will crash _x000D_
_x000D_
Tested in my own device Xiaomi A2 Lite with Android Pie 9 _x000D_
_x000D_
Version  4 0 debug </t>
  </si>
  <si>
    <t>nextcloud-android-4702</t>
  </si>
  <si>
    <t>App keeps crashing while syncing</t>
  </si>
  <si>
    <t xml:space="preserve">    Actual behaviour_x000D_
While syncing (back  or foreground) the app keeps on crashing due to an uninitialized database cursor_x000D_
_x000D_
    Expected behaviour_x000D_
Files should be synced to my server_x000D_
 _x000D_
    Steps to reproduce_x000D_
Enable file syncing_x000D_
_x000D_
_x000D_
    Environment data_x000D_
   _x000D_
             CAUSE OF ERROR             _x000D_
_x000D_
java lang IllegalStateException: Couldn t read row 1984  col 1 from CursorWindow   Make sure the Cursor is initialized correctly before accessing data from it _x000D_
	at android database CursorWindow nativeGetString(Native Method)_x000D_
	at android database CursorWindow getString(CursorWindow java:465)_x000D_
	at android database AbstractWindowedCursor getString(AbstractWindowedCursor java:51)_x000D_
	at android database CursorWrapper getString(CursorWrapper java:137)_x000D_
	at com owncloud android datamodel UploadsStorageManager createOCUploadFromCursor(UploadsStorageManager java:320)_x000D_
	at com owncloud android datamodel UploadsStorageManager getUploads(UploadsStorageManager java:301)_x000D_
	at com owncloud android datamodel UploadsStorageManager getFailedUploads(UploadsStorageManager java:372)_x000D_
	at com owncloud android files services FileUploader UploadRequester retryFailedUploads(FileUploader java:405)_x000D_
	at com owncloud android utils FilesSyncHelper lambda restartJobsIfNeeded 0(FilesSyncHelper java:251)_x000D_
	at com owncloud android utils    Lambda FilesSyncHelper kKNrggliFpEukU1kV4bap8ektCs run(Unknown Source:12)_x000D_
	at java lang Thread run(Thread java:764)_x000D_
_x000D_
             APP INFORMATION             _x000D_
ID: com nextcloud client_x000D_
Version: 30080190_x000D_
Build flavor: gplay_x000D_
_x000D_
             DEVICE INFORMATION             _x000D_
Brand: OnePlus_x000D_
Device: OnePlus6T_x000D_
Model: ONEPLUS A6013_x000D_
Id: PKQ1 180716 001_x000D_
Product: OnePlus6T_x000D_
_x000D_
             FIRMWARE             _x000D_
SDK: 28_x000D_
Release: 9_x000D_
Incremental: 1909112330_x000D_
_x000D_
   _x000D_
_x000D_
</t>
  </si>
  <si>
    <t>ukanth-afwall-1025</t>
  </si>
  <si>
    <t>App fc on applying rules</t>
  </si>
  <si>
    <t xml:space="preserve">The new beta2 crashes on applying iptables and won t reopen (therefore no logs) on a Moto G5s running Android 9 ViperOS  Radium kernel  Magisk 20  EdXposed  Adguard default DNS  Clean installation of afwall _x000D_
_x000D_
No issues on previous beta build  </t>
  </si>
  <si>
    <t>react-native-camera-react-native-camera-2549</t>
  </si>
  <si>
    <t>RNCamera crash on Android when Expo Unimodules installed</t>
  </si>
  <si>
    <t xml:space="preserve">  Bug Report_x000D_
_x000D_
  To Do First  _x000D_
_x000D_
   x  Did you try latest release _x000D_
      Did you try master _x000D_
   x  Did you look for existing matching issues _x000D_
_x000D_
  Platforms  _x000D_
_x000D_
    Comment in the related ones   _x000D_
    Android   _x000D_
Android version crashes after Unimodules installed for other Expo packages _x000D_
    iOS   _x000D_
iOS version crashes after Unimodules installed for other Expo packages _x000D_
_x000D_
  Versions  _x000D_
_x000D_
    Please add the used versions branches or leave blank and comment in the optionals if used   _x000D_
_x000D_
  Android: 9_x000D_
  iOS: 12 4 1_x000D_
  react native camera: 3 7 2_x000D_
  react native: 0 61 2_x000D_
  react: 19 9 0_x000D_
  react navigation: 3 12 1_x000D_
_x000D_
  Description Current Behaviour  _x000D_
_x000D_
    place your bug description below   _x000D_
After installing react native unimodules (0 7 0 rc 1) for other Expo libraries  RNCamera started to crash the App _x000D_
_x000D_
  Expected Behaviour  _x000D_
_x000D_
    place your expected behaviour below   _x000D_
_x000D_
  Steps to Reproduce  _x000D_
_x000D_
    describe how to produce the error below   _x000D_
_x000D_
      Does it work with Expo Camera      _x000D_
    Check usage with Expo and comment in this section  https:  github com react native community react native camera blob master docs Expo Usage md_x000D_
You should open an issue there as well  so we can cooperate in a solution    _x000D_
_x000D_
  Additionals  _x000D_
_x000D_
This bug can be related with React Native 0 61  _x000D_
_x000D_
It looks like the packages below works okay for iOS (not tested on Android)_x000D_
  react native camera: 3 6 0_x000D_
  react native: 0 60 5_x000D_
  react: 16 8 6_x000D_
  react navigation: 3 12 1_x000D_
  react native unimodules: 0 7 0 rc 1_x000D_
_x000D_
Also i tried with removing react native unimodules  problem seems persisting with 0 61    so I think it s not really related with unimodules but 0 61   upgrade _x000D_
_x000D_
    place screenshots suggestions and other additional infos below   _x000D_
_x000D_
  Love react native camera  Please consider supporting our collective:   https:  opencollective com react native camera donate_x000D_
  Want this issue to be resolved faster  Please consider adding a bounty to it https:  issuehunt io repos 33218414_x000D_
</t>
  </si>
  <si>
    <t>microsoft-appcenter-sdk-android-1282</t>
  </si>
  <si>
    <t>Crash when starting download of update</t>
  </si>
  <si>
    <t xml:space="preserve">      Description  _x000D_
_x000D_
Sometimes we get a crash when the AppCenter SDK tries to download an app update  _x000D_
_x000D_
   _x000D_
     Caused by: java lang NullPointerException: println needs a message_x000D_
        at android util Log println native(Native Method)_x000D_
        at android util Log e(Log java:249)_x000D_
        at com microsoft appcenter utils AppCenterLog error(AppCenterLog java:169)_x000D_
        at com microsoft appcenter distribute ReleaseDownloadListener onError(ReleaseDownloadListener java:116)_x000D_
        at com microsoft appcenter distribute download manager DownloadManagerReleaseDownloader onDownloadError(DownloadManagerReleaseDownloader java:205)_x000D_
    _x000D_
_x000D_
_x000D_
     If making a feature request  remove the below information    _x000D_
_x000D_
      Repro Steps  _x000D_
_x000D_
Please list the steps used to reproduce your issue _x000D_
_x000D_
1  Freshly installed an old release of the app_x000D_
2  Update dialog is shown  option to download the app update is selected_x000D_
3  Download should start  but the app crashes_x000D_
_x000D_
      Details  _x000D_
_x000D_
1  Which SDK version are you using _x000D_
      2 4 0_x000D_
2  Which OS version did you experience the issue on _x000D_
      Android 10_x000D_
3  What device version did you see this error on   Were you using an emulator or a physical device _x000D_
      Google Pixel 1 physical device_x000D_
_x000D_
   _x000D_
2019 10 17 17:26:35 850 9434 9434   D AppCenterCrashes: The memory running level (20) was saved _x000D_
2019 10 17 17:26:37 291 9434 9434   I AppCenterDistribute: Launcher activity restarted _x000D_
2019 10 17 17:26:37 322 9434 9434   D AppCenterUtil: Initialize AppCenter with secret     8160ad6c_x000D_
2019 10 17 17:26:37 325 9434 9434   W AppCenter: App Center may only be configured once _x000D_
2019 10 17 17:26:37 326 9434 9485   I AppCenterCrashes: Crashes service has already been enabled _x000D_
2019 10 17 17:26:37 360 9434 9434   D AppCenterDistribute: Get latest release details   _x000D_
2019 10 17 17:26:37 360 9434 9434   D AppCenterDistribute: Check if we need to report release installation  _x000D_
2019 10 17 17:26:37 361 9434 9434   D AppCenterDistribute: Current release was already reported  skip reporting _x000D_
2019 10 17 17:26:37 361 9434 9498   V AppCenterDistribute: Calling https:  api appcenter ms v0 1 sdk apps                             8160ad6c releases latest release hash       _x000D_
2019 10 17 17:26:37 361 9434 9498   V AppCenterDistribute: Headers:  x api token                                 195e9ca3 _x000D_
2019 10 17 17:26:38 626 9434 9498   V AppCenter: HTTP response status 200 payload   app name :      _x000D_
2019 10 17 17:26:38 628 9434 9434   D AppCenterDistribute: Check if latest release is more recent _x000D_
2019 10 17 17:26:38 628 9434 9434   D AppCenterDistribute: Latest release more recent true_x000D_
2019 10 17 17:26:38 629 9434 9434   D AppCenterDistribute: Latest release is more recent _x000D_
2019 10 17 17:26:38 629 9434 9434   D AppCenterDistribute: Show default update dialog _x000D_
2019 10 17 17:26:38 881 9434 9434   D AppCenterDistribute: Show default update dialog _x000D_
2019 10 17 17:26:38 891 9434 9434   V AppCenterDistribute: Already checking or checked latest release _x000D_
2019 10 17 17:27:01 218 9434 9434   D AppCenterDistribute: Schedule download   _x000D_
2019 10 17 17:27:01 220 9434 9942   D AppCenterDistribute: Start downloading new release from https:  rink hockeyapp net api 2 apps     app versions 3 format apk avtoken     download origin hockeyapp mctoken    _x000D_
2019 10 17 17:27:01 299 9434 9942   D AppCenterDistribute: Start download 2 0 (200102) update _x000D_
2019 10 17 17:27:02 618 9434 9942   D AppCenterDistribute: Check download id 437_x000D_
2019 10 17 17:27:02 633 9434 9930   E AppCenterDistribute: Failed to download update id 437_x000D_
    java lang IllegalStateException_x000D_
        at com microsoft appcenter distribute download manager DownloadManagerUpdateTask doInBackground(DownloadManagerUpdateTask java:52)_x000D_
        at com microsoft appcenter distribute download manager DownloadManagerUpdateTask doInBackground(DownloadManagerUpdateTask java:20)_x000D_
        at android os AsyncTask 3 call(AsyncTask java:378)_x000D_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java:919)_x000D_
    _x000D_
    _x000D_
              beginning of crash_x000D_
2019 10 17 17:27:02 635 9434 9930   E AndroidRuntime: FATAL EXCEPTION: AsyncTask  5_x000D_
    Process:      PID: 9434_x000D_
    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lang NullPointerException: println needs a message_x000D_
        at android util Log println native(Native Method)_x000D_
        at android util Log e(Log java:249)_x000D_
        at com microsoft appcenter utils AppCenterLog error(AppCenterLog java:169)_x000D_
        at com microsoft appcenter distribute ReleaseDownloadListener onError(ReleaseDownloadListener java:116)_x000D_
        at com microsoft appcenter distribute download manager DownloadManagerReleaseDownloader onDownloadError(DownloadManagerReleaseDownloader java:205)_x000D_
        at com microsoft appcenter distribute download manager DownloadManagerUpdateTask doInBackground(DownloadManagerUpdateTask java:65)_x000D_
        at com microsoft appcenter distribute download manager DownloadManagerUpdateTask doInBackground(DownloadManagerUpdateTask java:20)_x000D_
        at android os AsyncTask 3 call(AsyncTask java:378)_x000D_
        at java util concurrent FutureTask run(FutureTask java:266)_x000D_
        at java util concurrent ThreadPoolExecutor runWorker(ThreadPoolExecutor java:1167) _x000D_
        at java util concurrent ThreadPoolExecutor Worker run(ThreadPoolExecutor java:641) _x000D_
        at java lang Thread run(Thread java:919) _x000D_
2019 10 17 17:27:02 730 9434 9930   D AppCenterCrashes: Saving uncaught exception _x000D_
2019 10 17 17:27:02 738 9434 9930   D AppCenterCrashes: Saved JSON content for ingestion into  data user 0     files error 079f03d8 5155 45c8 8d50 3e6eecef6f2d json_x000D_
2019 10 17 17:27:02 739 9434 9930   D AppCenterCrashes: Saved stack trace as is for client side inspection in  data user 0     files error 079f03d8 5155 45c8 8d50 3e6eecef6f2d throwable stack trace:java lang RuntimeException: An error occurred while executing doInBackground()_x000D_
        at android os AsyncTask 4 done(AsyncTask java:399)_x000D_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java:919)_x000D_
     Caused by: java lang NullPointerException: println needs a message_x000D_
        at android util Log println native(Native Method)_x000D_
        at android util Log e(Log java:249)_x000D_
        at com microsoft appcenter utils AppCenterLog error(AppCenterLog java:169)_x000D_
        at com microsoft appcenter distribute ReleaseDownloadListener onError(ReleaseDownloadListener java:116)_x000D_
        at com microsoft appcenter distribute download manager DownloadManagerReleaseDownloader onDownloadError(DownloadManagerReleaseDownloader java:205)_x000D_
        at com microsoft appcenter distribute download manager DownloadManagerUpdateTask doInBackground(DownloadManagerUpdateTask java:65)_x000D_
        at com microsoft appcenter distribute download manager DownloadManagerUpdateTask doInBackground(DownloadManagerUpdateTask java:20)_x000D_
        at android os AsyncTask 3 call(AsyncTask java:378)_x000D_
        at java util concurrent FutureTask run(FutureTask java:266)_x000D_
        at java util concurrent ThreadPoolExecutor runWorker(ThreadPoolExecutor java:1167) _x000D_
        at java util concurrent ThreadPoolExecutor Worker run(ThreadPoolExecutor java:641) _x000D_
        at java lang Thread run(Thread java:919) _x000D_
2019 10 17 17:27:02 739 9434 9485   D AppCenter: Cleared pending log states_x000D_
2019 10 17 17:27:02 740 9434 9485   D AppCenter: Channel completed shutdown _x000D_
   </t>
  </si>
  <si>
    <t>square-okhttp-5558</t>
  </si>
  <si>
    <t xml:space="preserve">IndexOutOfBoundsException when unverifiedHandshake.peerCertificates().get(0) in Okhttp 3.13.1 </t>
  </si>
  <si>
    <t xml:space="preserve">I have been testing HTTP2 with Glide with Okhttp  both running on 16 threads  Glide has been downloading images from our server through Charles proxy  All from the same endpoint  We are using:  Okhttp 3 13 1  The crash happened randomly while downloading Nth element _x000D_
_x000D_
this line has a problem: _x000D_
X509Certificate cert   (X509Certificate) unverifiedHandshake peerCertificates() get(0)_x000D_
In below case there was no peerCertificates_x000D_
   _x000D_
 AndroidRuntime: FATAL EXCEPTION: OkHttp Dispatcher_x000D_
    Process: com unitedinternet portal android onlinestorage gmx debug  PID: 11010_x000D_
    java lang IndexOutOfBoundsException: Index: 0_x000D_
        at java util Collections EmptyList get(Collections java:4511)_x000D_
        at okhttp3 internal connection RealConnection connectTls(RealConnection java:326)_x000D_
        at okhttp3 internal connection RealConnection establishProtocol(RealConnection java:283)_x000D_
        at okhttp3 internal connection RealConnection connect(RealConnection java:168)_x000D_
        at okhttp3 internal connection StreamAllocation findConnection(StreamAllocation java:257)_x000D_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java:126)_x000D_
        at okhttp3 internal http RealInterceptorChain proceed(RealInterceptorChain java:147)_x000D_
        at okhttp3 internal http RealInterceptorChain proceed(RealInterceptorChain java:121)_x000D_
        at okhttp3 RealCall getResponseWithInterceptorChain(RealCall java:254)_x000D_
        at okhttp3 RealCall AsyncCall execute(RealCall java:200)_x000D_
        at okhttp3 internal NamedRunnable run(NamedRunnable java:32)_x000D_
        at java util concurrent ThreadPoolExecutor runWorker(ThreadPoolExecutor java:1167)_x000D_
        at java util concurrent ThreadPoolExecutor Worker run(ThreadPoolExecutor java:641)_x000D_
        at java lang Thread run(Thread java:919)_x000D_
_x000D_
   </t>
  </si>
  <si>
    <t>material-components-material-components-android-685</t>
  </si>
  <si>
    <t>Shape Theming crash</t>
  </si>
  <si>
    <t xml:space="preserve">Shape Theming crash on android 9 in honor 8 pro </t>
  </si>
  <si>
    <t>ankidroid-Anki-Android-5524</t>
  </si>
  <si>
    <t>[2.9 ACRA] crash in Collection.addNote - null DB reference?</t>
  </si>
  <si>
    <t xml:space="preserve">_x000D_
There are a couple similar crashes related to null references in DeckTask working in the background  and one already referencing the DB object  but this stack is different   might be the same root cause  might be different_x000D_
_x000D_
https:  couchdb ankidroid org acralyzer  design acralyzer index html  report details 5d9185ba 44ef 4892 95ee 0906951368ce_x000D_
_x000D_
   _x000D_
java lang NullPointerException: Attempt to invoke virtual method  int com ichi2 libanki DB queryScalar(java lang String)  on a null object reference_x000D_
at com ichi2 libanki Note  preFlush(Note java:1)_x000D_
at com ichi2 libanki Note flush(Note java:3)_x000D_
at com ichi2 libanki Note flush(Note java:2)_x000D_
at com ichi2 libanki Note flush(Note java:1)_x000D_
at com ichi2 libanki Collection addNote(Collection java:3)_x000D_
at com ichi2 async DeckTask doInBackgroundAddNote(DeckTask java:6)_x000D_
at com ichi2 async DeckTask doInBackground(DeckTask java:51)_x000D_
at com ichi2 async DeckTask doInBackground(DeckTask java:1)_x000D_
at android os AsyncTask 2 call(AsyncTask java:333)_x000D_
at java util concurrent FutureTask run(FutureTask java:266)_x000D_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t>
  </si>
  <si>
    <t>ankidroid-Anki-Android-5519</t>
  </si>
  <si>
    <t>[2.9 ACRA] Syncer crash on null DB object?</t>
  </si>
  <si>
    <t xml:space="preserve">_x000D_
Not sure how the app can get in this state but it crashes here:_x000D_
_x000D_
https:  couchdb ankidroid org acralyzer  design acralyzer index html  report details ca0b7820 cad7 4e1c 9bde 07d68a7f31ab_x000D_
_x000D_
   _x000D_
java lang NullPointerException: Attempt to invoke virtual method  androidx sqlite db SupportSQLiteDatabase com ichi2 libanki DB getDatabase()  on a null object reference_x000D_
at com ichi2 libanki sync Syncer sync(Syncer java:7)_x000D_
at com ichi2 async Connection doInBackgroundSync(Connection java:15)_x000D_
at com ichi2 async Connection doOneInBackground(Connection java:2)_x000D_
at com ichi2 async Connection doInBackground(Connection java:4)_x000D_
at com ichi2 async Connection doInBackground(Connection java:1)_x000D_
at android os AsyncTask 2 call(AsyncTask java:305)_x000D_
at java util concurrent FutureTask run(FutureTask java:237)_x000D_
at android os AsyncTask SerialExecutor 1 run(AsyncTask java:243)_x000D_
   _x000D_
_x000D_
logcat was _x000D_
_x000D_
   _x000D_
_x000D_
0          beginning of main110 14 23:09:27 711 E AnkiDroid(15289): Preferences  Preferences: no preference found for the key: syncAccount210 14 23:11:15 323 I AnkiDroid(15289): Sync   starting sync310 14 23:11:15 364 I AnkiDroid(15289): closeCollection410 14 23:11:15 367 I AnkiDroid(15289): Collection closed510 14 23:11:15 368 I AnkiDroid(15289): AnkiActivity    restartActivityInvalidateBackstack()610 14 23:11:15 502 I AnkiDroid(15289): openCollection:  sdcard AnkiDroid collection anki2710 14 23:11:16 970 E AnkiDroid(15289): Connection  doInBackgroundSync error8   0             beginning of main   1   10 14 23:09:27 711 E AnkiDroid(15289): Preferences  Preferences: no preference found for the key: syncAccount   2   10 14 23:11:15 323 I AnkiDroid(15289): Sync   starting sync   3   10 14 23:11:15 364 I AnkiDroid(15289): closeCollection   4   10 14 23:11:15 367 I AnkiDroid(15289): Collection closed   5   10 14 23:11:15 368 I AnkiDroid(15289): AnkiActivity    restartActivityInvalidateBackstack()   6   10 14 23:11:15 502 I AnkiDroid(15289): openCollection:  sdcard AnkiDroid collection anki2   7   10 14 23:11:16 970 E AnkiDroid(15289): Connection  doInBackgroundSync error   8_x000D_
                                                                                       _x000D_
_x000D_
0             beginning of main_x000D_
1   10 14 23:09:27 711 E AnkiDroid(15289): Preferences  Preferences: no preference found for the key: syncAccount_x000D_
2   10 14 23:11:15 323 I AnkiDroid(15289): Sync   starting sync_x000D_
3   10 14 23:11:15 364 I AnkiDroid(15289): closeCollection_x000D_
4   10 14 23:11:15 367 I AnkiDroid(15289): Collection closed_x000D_
5   10 14 23:11:15 368 I AnkiDroid(15289): AnkiActivity    restartActivityInvalidateBackstack()_x000D_
6   10 14 23:11:15 502 I AnkiDroid(15289): openCollection:  sdcard AnkiDroid collection anki2_x000D_
7   10 14 23:11:16 970 E AnkiDroid(15289): Connection  doInBackgroundSync error_x000D_
8_x000D_
_x000D_
_x000D_
   </t>
  </si>
  <si>
    <t>ankidroid-Anki-Android-5508</t>
  </si>
  <si>
    <t>[2.9 ACRA] media recording stop failure can cause a crash</t>
  </si>
  <si>
    <t xml:space="preserve">_x000D_
This looks like a runtime crash we could catch and message better to the user _x000D_
_x000D_
https:  couchdb ankidroid org acralyzer  design acralyzer index html  report details 23c723a7 e244 4ede ba8b f5988cdc31f3_x000D_
_x000D_
   _x000D_
java lang RuntimeException: stop failed _x000D_
at android media MediaRecorder stop(Native Method)_x000D_
at com ichi2 anki multimediacard AudioView notifyStopRecord(AudioView java:2)_x000D_
at com ichi2 anki multimediacard AudioView RecordButton 1 onClick(AudioView java:4)_x000D_
at android view View performClick(View java:5232)_x000D_
at android view View PerformClick run(View java:21258)_x000D_
at android os Handler handleCallback(Handler java:739)_x000D_
at android os Handler dispatchMessage(Handler java:95)_x000D_
at android os Looper loop(Looper java:179)_x000D_
at android app ActivityThread main(ActivityThread java:5650)_x000D_
at java lang reflect Method invoke(Native Method)_x000D_
at com android internal os ZygoteInit MethodAndArgsCaller run(ZygoteInit java:791)_x000D_
at com android internal os ZygoteInit main(ZygoteInit java:681)_x000D_
at android view View measure(View java:17611)_x000D_
at android view ViewGroup measureChildWithMargins(ViewGroup java:5547)_x000D_
at android widget LinearLayout measureChildBeforeLayout(LinearLayout java:1467)_x000D_
at android widget LinearLayout measureVertical(LinearLayout java:747)_x000D_
at android widget LinearLayout onMeasure(LinearLayout java:638)_x000D_
at android view View measure(View java:17611)_x000D_
at android view ViewGroup measureChildWithMargins(ViewGroup java:5547)_x000D_
at android view View measure(View java:17611)_x000D_
at android view View measure(View java:17611)_x000D_
at android view ViewGroup measureChildWithMargins(ViewGroup java:5547)_x000D_
at android widget FrameLayout onMeasure(FrameLayout java:436)_x000D_
at android view View measure(View java:17611)_x000D_
at android view ViewGroup measureChildWithMargins(ViewGroup java:5547)_x000D_
at android widget FrameLayout onMeasure(FrameLayout java:436)_x000D_
at android view View measure(View java:17611)_x000D_
at android view ViewGroup measureChildWithMargins(ViewGroup java:5547)_x000D_
at android widget FrameLayout onMeasure(FrameLayout java:436)_x000D_
at android view View measure(View java:17611)_x000D_
at android view ViewGroup measureChildWithMargins(ViewGroup java:5547)_x000D_
at android view View measure(View java:17611)_x000D_
at android view LayoutInflater rInflate(LayoutInflater java:809)_x000D_
   </t>
  </si>
  <si>
    <t>ankidroid-Anki-Android-5505</t>
  </si>
  <si>
    <t>[2.9 ACRA] Could not import apkg from ContentProvider</t>
  </si>
  <si>
    <t xml:space="preserve">_x000D_
The root cause of this one might be permissions or similar that we cannot solve  but it should probably be handled with a good user message if it is not already  And then if it has a good user message it should not be a crash report in ACRA_x000D_
_x000D_
https:  couchdb ankidroid org acralyzer  design acralyzer index html  report details 0b7b06d3 3274 44d7 a7f0 d636357e31e7_x000D_
_x000D_
   _x000D_
java lang RuntimeException: Could not import apkg from ContentProvider_x000D_
at com ichi2 utils ImportUtils handleFileImport(ImportUtils java:11)_x000D_
at com ichi2 anki IntentHandler onCreate(IntentHandler java:10)_x000D_
at android app Activity performCreate(Activity java:7458)_x000D_
at android app Activity performCreate(Activity java:7448)_x000D_
at android app Instrumentation callActivityOnCreate(Instrumentation java:1286)_x000D_
at android app ActivityThread performLaunchActivity(ActivityThread java:3409)_x000D_
at android app ActivityThread handleLaunchActivity(ActivityThread java:3614)_x000D_
at android app servertransaction LaunchActivityItem execute(LaunchActivityItem java:86)_x000D_
at android app servertransaction TransactionExecutor executeCallbacks(TransactionExecutor java:108)_x000D_
at android app servertransaction TransactionExecutor execute(TransactionExecutor java:68)_x000D_
at android app ActivityThread H handleMessage(ActivityThread java:2199)_x000D_
at android os Handler dispatchMessage(Handler java:112)_x000D_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t>
  </si>
  <si>
    <t>nethesis-nethcti-app-android-5</t>
  </si>
  <si>
    <t>Many fix</t>
  </si>
  <si>
    <t>This pr fix some problems about the login e logged accounts:
1  Now after the first login  the login menu item is removed and added the logout menu item  so a user can be logged with only one account 
2  The back button from assistant go to Linphone Activity if in login and in login in in qr code scan 
3  Now the login view is more material design friendly  this process can be done in all the application 
4  Some minor layout fixes about spacing  padding  useless layout and styles
5  Fixed an error when scanning a fake qr code that may cause the application crash
6  Now the Login in progress view appear correctlly in both login mode  login view and qr code scanning</t>
  </si>
  <si>
    <t>eclipse-keyple-java-153</t>
  </si>
  <si>
    <t>pcsc : jvm crash with a pcsc example on MacOs</t>
  </si>
  <si>
    <t xml:space="preserve">_x000D_
OS : macOs 10 12 6_x000D_
_x000D_
Random crash while running Demo ObservableReaderNotification Pcsc on MacOs Sierra 10 12 6_x000D_
_x000D_
_x000D_
see attached dump _x000D_
_x000D_
_x000D_
A fatal error has been detected by the Java Runtime Environment:_x000D_
SIGILL (0x4) at pc 0x00007fff905587cd  pid 6190  tid 22531_x000D_
_x000D_
JRE version: Java(TM) SE Runtime Environment (8 0 40 b27) (build 1 8 0 40 b27)_x000D_
Java VM: Java HotSpot(TM) 64 Bit Server VM (25 40 b25 mixed mode bsd amd64 compressed oops)_x000D_
Problematic frame:_x000D_
C   libdispatch dylib 0x17cd    os object release 0x31_x000D_
_x000D_
_x000D_
 hs err pid6190 log txt (https:  github com eclipse keyple java files 3728088 hs err pid6190 log txt)_x000D_
</t>
  </si>
  <si>
    <t>SanojPunchihewa-f5n-32</t>
  </si>
  <si>
    <t>App crashes when clipboard is empty</t>
  </si>
  <si>
    <t>If nothing is copied to the clipboard the app crashes when  PASTE PATH  button is clicked</t>
  </si>
  <si>
    <t>denzilferreira-aware-client-275</t>
  </si>
  <si>
    <t>App crashes when trying to open Contacts plugin</t>
  </si>
  <si>
    <t xml:space="preserve">After enabling the Contacts plugin  opening the settings for this plugin caused the app to crash _x000D_
_x000D_
This problem was present on at least 1 of 4 Android devices during our test </t>
  </si>
  <si>
    <t>nextcloud-android-4680</t>
  </si>
  <si>
    <t>App crash - v3.8.1</t>
  </si>
  <si>
    <t>Application crashes while running in the caching process:_x000D_
_x000D_
   _x000D_
             CAUSE OF ERROR             _x000D_
_x000D_
java lang RuntimeException: java lang NullPointerException: Attempt to invoke virtual method  int com android server job controllers JobStatus getUid()  on a null object reference_x000D_
	at android app job JobService JobHandler handleMessage(JobService java:130)_x000D_
	at android os Handler dispatchMessage(Handler java:102)_x000D_
	at android os Looper loop(Looper java:148)_x000D_
	at android app ActivityThread main(ActivityThread java:5530)_x000D_
	at java lang reflect Method invoke(Native Method)_x000D_
	at com android internal os ZygoteInit MethodAndArgsCaller run(ZygoteInit java:734)_x000D_
	at com android internal os ZygoteInit main(ZygoteInit java:624)_x000D_
Caused by: java lang NullPointerException: Attempt to invoke virtual method  int com android server job controllers JobStatus getUid()  on a null object reference_x000D_
	at android os Parcel readException(Parcel java:1605)_x000D_
	at android os Parcel readException(Parcel java:1552)_x000D_
	at android app job IJobCallback Stub Proxy acknowledgeStartMessage(IJobCallback java:122)_x000D_
	at android app job JobService JobHandler ackStartMessage(JobService java:167)_x000D_
	at android app job JobService JobHandler handleMessage(JobService java:127)_x000D_
	    6 more_x000D_
_x000D_
             APP INFORMATION             _x000D_
ID: com nextcloud client_x000D_
Version: 30080190_x000D_
Build flavor: gplay_x000D_
_x000D_
   _x000D_
    Environment data_x000D_
Android version: 6_x000D_
_x000D_
Nextcloud app version: 3 8 1_x000D_
_x000D_
Nextcloud server version: 17 0 0</t>
  </si>
  <si>
    <t>oliexdev-openScale-508</t>
  </si>
  <si>
    <t>No connection to the Sanitas SBF70</t>
  </si>
  <si>
    <t xml:space="preserve">I m using Openscale until version 2 1 0 with Sanitas SBF70 without problems  _x000D_
After updating to 2 1 1 I did not got connections to the scale with the comment  maximale Anzahl_x000D_
gleichzeitiger Benutzer erreicht   I reseted the scale and after I had connected for the first time to the scale datasets were transfered _x000D_
With the next connection to the scale Openscale gives me the same user message:  maximale Anzahl gleichzeitiger Benutzer erreicht  _x000D_
_x000D_
In the debug log I finded the same comment:_x000D_
   _x000D_
2019 10 07 14:22:47 491 Debug  1  BluetoothBeurerSanitas: Cannot create additional scale user (error 0x03)_x000D_
2019 10 07 14:22:47 497 Debug  1  BluetoothBeurerSanitas: Send disconnect command to scale_x000D_
   _x000D_
_x000D_
One time Openscale also crashed with the followed error messages:_x000D_
_x000D_
Build version: 2 1 1 _x000D_
Build date: 1980 01 01 00:00:00 _x000D_
Current date: 2019 10 11 19:47:34 _x000D_
Device: Samsung SM G900F _x000D_
 _x000D_
Stack trace:  _x000D_
java lang IllegalArgumentException: callback cannot be null_x000D_
	at android bluetooth le BluetoothLeScanner stopScan(BluetoothLeScanner java:185)_x000D_
	at com welie blessed BluetoothCentral stopScan(BluetoothCentral java:509)_x000D_
	at com health openscale core bluetooth BluetoothCommunication disconnect(BluetoothCommunication java:235)_x000D_
	at com health openscale core bluetooth BluetoothCommunication 4 run(BluetoothCommunication java:428)_x000D_
	at android os Handler handleCallback(Handler java:739)_x000D_
	at android os Handler dispatchMessage(Handler java:95)_x000D_
	at android os Looper loop(Looper java:158)_x000D_
	at android app ActivityThread main(ActivityThread java:7224)_x000D_
	at java lang reflect Method invoke(Native Method)_x000D_
	at com android internal os ZygoteInit MethodAndArgsCaller run(ZygoteInit java:1230)_x000D_
	at com android internal os ZygoteInit main(ZygoteInit java:1120)_x000D_
	_x000D_
On F Droid a downgrade to version 2 1 0 was not possible 	</t>
  </si>
  <si>
    <t>oliexdev-openScale-507</t>
  </si>
  <si>
    <t>Openscale crashes to error message after every reading</t>
  </si>
  <si>
    <t xml:space="preserve">  Describhe bug  _x000D_
_x000D_
  To Reproduce _x000D_
1  Open app and wait for scale to recognise user _x000D_
2  Take reading _x000D_
3  As soon as Bluetooth connection closes app crashes wit an image of a dead bug _x000D_
_x000D_
_x000D_
  Debug log  _x000D_
Build version: 2 1 1 pro _x000D_
Build date: 1979 11 30 00:00:00 _x000D_
Current date: 2019 10 14 08:34:24 _x000D_
Device: Samsung SM G920F _x000D_
 _x000D_
Stack trace:  _x000D_
java lang IllegalArgumentException: callback cannot be null_x000D_
	at android bluetooth le BluetoothLeScanner stopScan(BluetoothLeScanner java:226)_x000D_
	at com welie blessed BluetoothCentral stopScan(BluetoothCentral java:509)_x000D_
	at com health openscale core bluetooth BluetoothCommunication disconnect(BluetoothCommunication java:235)_x000D_
	at com health openscale core bluetooth BluetoothCommunication 4 run(BluetoothCommunication java:428)_x000D_
	at android os Handler handleCallback(Handler java:751)_x000D_
	at android os Handler dispatchMessage(Handler java:95)_x000D_
	at android os Looper loop(Looper java:154)_x000D_
	at android app ActivityThread main(ActivityThread java:6682)_x000D_
	at java lang reflect Method invoke(Native Method)_x000D_
	at com android internal os ZygoteInit MethodAndArgsCaller run(ZygoteInit java:1520)_x000D_
	at com android internal os ZygoteInit main(ZygoteInit java:1410)_x000D_
_x000D_
</t>
  </si>
  <si>
    <t>nextcloud-android-4671</t>
  </si>
  <si>
    <t>Nextcloud android crash</t>
  </si>
  <si>
    <t xml:space="preserve">    Actual behaviour_x000D_
  Tell us what happens_x000D_
Application crash when clicking on a notification dismiss_x000D_
_x000D_
    Expected behaviour_x000D_
  Tell us what should happen_x000D_
Continue to main screen of nextcloud app_x000D_
 _x000D_
    Steps to reproduce_x000D_
1   Open notification screen_x000D_
2   Click on  notify later  (deny) _x000D_
3  App crash_x000D_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_x000D_
             CAUSE OF ERROR             _x000D_
_x000D_
java lang IllegalStateException: Cannot execute task: the task has already been executed (a task can be executed only once)_x000D_
	at android os AsyncTask executeOnExecutor(AsyncTask java:640)_x000D_
	at android os AsyncTask execute(AsyncTask java:595)_x000D_
	at com owncloud android ui adapter NotificationListAdapter lambda onBindViewHolder 2 NotificationListAdapter(NotificationListAdapter java:182)_x000D_
	at com owncloud android ui adapter    Lambda NotificationListAdapter TXM0JwRxGeq8tl4SIWzikYjFQ k onClick(Unknown Source:8)_x000D_
	at android view View performClick(View java:7352)_x000D_
	at android widget TextView performClick(TextView java:14177)_x000D_
	at android view View performClickInternal(View java:7318)_x000D_
	at android view View access 3200(View java:846)_x000D_
	at android view View PerformClick run(View java:27800)_x000D_
	at android os Handler handleCallback(Handler java:873)_x000D_
	at android os Handler dispatchMessage(Handler java:99)_x000D_
	at android os Looper loop(Looper java:214)_x000D_
	at android app ActivityThread main(ActivityThread java:7050)_x000D_
	at java lang reflect Method invoke(Native Method)_x000D_
	at com android internal os RuntimeInit MethodAndArgsCaller run(RuntimeInit java:493)_x000D_
	at com android internal os ZygoteInit main(ZygoteInit java:964)_x000D_
_x000D_
             APP INFORMATION             _x000D_
ID: com nextcloud client_x000D_
Version: 30080190_x000D_
Build flavor: gplay_x000D_
_x000D_
             DEVICE INFORMATION             _x000D_
Brand: samsung_x000D_
Device: dreamqltecan_x000D_
Model: SM G950W_x000D_
Id: PPR1 180610 011_x000D_
Product: dreamqltevl_x000D_
_x000D_
             FIRMWARE             _x000D_
SDK: 28_x000D_
Release: 9_x000D_
Incremental: G950WVLS6CSH1_x000D_
_x000D_
</t>
  </si>
  <si>
    <t>LawnchairLauncher-lawnchair-1775</t>
  </si>
  <si>
    <t>Folders only containing hidden apps are wrongly displayed &amp; crash Lawnchair</t>
  </si>
  <si>
    <t xml:space="preserve">   Description_x000D_
An app folder only containing hidden apps is wrongly displayed in the app drawer and opening it will reliably crash Lawnchair  I have checked  that there are no similar issues reported before _x000D_
_x000D_
   Expected Behavior_x000D_
  Folders that don t contain any visible apps should not be displayed in the app drawer_x000D_
  No reasonable action such as opening a folder should crash Lawnchair_x000D_
_x000D_
   Actual Behavior_x000D_
  Folder that don t contain any visible apps but only hidden ones are displayed in the app drawer_x000D_
  Opening that empty folder will crash Lawnchair_x000D_
_x000D_
   Steps to Reproduce_x000D_
1  In settings  enable categorization and use the folder feature_x000D_
2  Create a new folder and add a single app that is hidden from view in the app drawer_x000D_
3  Check your app drawer_x000D_
4  The folder is displayed (bug)_x000D_
5  Opening that folder will crash Lawnchair (bug)_x000D_
_x000D_
   Environment_x000D_
  Device: BQ Aquaris X_x000D_
  Android version: 8 1 0_x000D_
  Launcher version: 2 0 2497_x000D_
  Rom: Stock</t>
  </si>
  <si>
    <t>nextcloud-android-4667</t>
  </si>
  <si>
    <t>crash single sign on with news</t>
  </si>
  <si>
    <t xml:space="preserve">    Actual behaviour_x000D_
I try to use single sign in for the android News app  _x000D_
When i select my account and press ok it crashes _x000D_
Using an unofficial build of AospExtended _x000D_
_x000D_
    Expected behaviour_x000D_
  Tell us what should happen_x000D_
 _x000D_
    Steps to reproduce_x000D_
1  _x000D_
2  _x000D_
_x000D_
             CAUSE OF ERROR             _x000D_
_x000D_
java lang RuntimeException: Unable to start activity ComponentInfo com nextcloud client com owncloud android ui activity SsoGrantPermissionActivity : java lang NullPointerException: Attempt to read from field  java lang String android accounts Account name  on a null object reference_x000D_
	at android app ActivityThread performLaunchActivity(ActivityThread java)_x000D_
	at android app ActivityThread handleLaunchActivity(ActivityThread java)_x000D_
	at android app ActivityThread  wrap12(ActivityThread java)_x000D_
	at android app ActivityThread H handleMessage(ActivityThread java)_x000D_
	at android os Handler dispatchMessage(Handler java)_x000D_
	at android os Looper loop(Looper java)_x000D_
	at android app ActivityThread main(ActivityThread java)_x000D_
	at java lang reflect Method invoke(Native Method)_x000D_
	at com android internal os ZygoteInit MethodAndArgsCaller run(ZygoteInit java)_x000D_
	at com android internal os ZygoteInit main(ZygoteInit java)_x000D_
	at de robv android xposed XposedBridge main(XposedBridge java:107)_x000D_
Caused by: java lang NullPointerException: Attempt to read from field  java lang String android accounts Account name  on a null object reference_x000D_
	at com owncloud android ui activity SsoGrantPermissionActivity onCreate(SsoGrantPermissionActivity java:108)_x000D_
	at android app Activity performCreate(Activity java)_x000D_
	at android app Instrumentation callActivityOnCreate(Instrumentation java)_x000D_
	    11 more_x000D_
_x000D_
             APP INFORMATION             _x000D_
ID: com nextcloud client_x000D_
Version: 30080090_x000D_
Build flavor: generic_x000D_
_x000D_
             DEVICE INFORMATION             _x000D_
Brand: HUAWEI_x000D_
Device: HWY360 U_x000D_
Model: HUAWEI Y360 U23_x000D_
Id: NJH47F_x000D_
Product: Y360 U23_x000D_
_x000D_
             FIRMWARE             _x000D_
SDK: 25_x000D_
Release: 7 1 2_x000D_
Incremental: eng root 20180105 092900_x000D_
_x000D_
3  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</si>
  <si>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nextcloud-android-4666</t>
  </si>
  <si>
    <t>nextcloud crashes when opening a photo from photo view with a green check mark</t>
  </si>
  <si>
    <t xml:space="preserve">    Actual behaviour_x000D_
  app crashes_x000D_
_x000D_
    Expected behaviour_x000D_
  photo should be shown_x000D_
 _x000D_
    Steps to reproduce_x000D_
1  Auto upload is activated with  move to app folder _x000D_
2  Tap on a photo that has a green check mark_x000D_
3  Crash_x000D_
_x000D_
_x000D_
    Environment data_x000D_
Android version:9_x000D_
_x000D_
Device model: pixel 2 xl_x000D_
_x000D_
Stock or customized system: customized  carbonrom  nextcloud installed via fdroid_x000D_
_x000D_
Nextcloud app version:_x000D_
See below_x000D_
Nextcloud server version:_x000D_
_x000D_
    Logs_x000D_
     Web server error log_x000D_
   _x000D_
   _x000D_
_x000D_
     Nextcloud log (data nextcloud log)_x000D_
   _x000D_
             CAUSE OF ERROR             _x000D_
_x000D_
java lang NullPointerException: Attempt to invoke virtual method  long com owncloud android datamodel OCFile getLastSyncDateForData()  on a null object reference_x000D_
	at com owncloud android ui helpers FileOperationsHelper lambda startSyncForFileAndIntent 0 FileOperationsHelper(FileOperationsHelper java:209)_x000D_
	at com owncloud android ui helpers    Lambda FileOperationsHelper Q56PsCgyFZxef IG4gCdZEuyyO8 run(Unknown Source:6)_x000D_
	at java lang Thread run(Thread java:764)_x000D_
_x000D_
             APP INFORMATION             _x000D_
ID: com nextcloud client_x000D_
Version: 30080090_x000D_
Build flavor: generic_x000D_
_x000D_
             DEVICE INFORMATION             _x000D_
Brand: google_x000D_
Device: taimen_x000D_
Model: Pixel 2 XL_x000D_
Id: PQ3A 190801 002_x000D_
Product: taimen_x000D_
_x000D_
             FIRMWARE             _x000D_
SDK: 28_x000D_
Release: 9_x000D_
Incremental: d4d12b460c_x000D_
_x000D_
   _x000D_
</t>
  </si>
  <si>
    <t>stefan-niedermann-nextcloud-notes-604</t>
  </si>
  <si>
    <t>Crash upon cutting the last item of a bullet list</t>
  </si>
  <si>
    <t xml:space="preserve">Notes version: 1 0 0_x000D_
Android version: 9 0_x000D_
_x000D_
Reproduceability:_x000D_
  make a list of items  using     notation for each list item_x000D_
  select last item_x000D_
  cut_x000D_
   Notes  crashes with following log_x000D_
_x000D_
Log:_x000D_
Version: 1 0 0_x000D_
_x000D_
   _x000D_
java lang IndexOutOfBoundsException: charAt: 469    length 469_x000D_
	at android text SpannableStringBuilder charAt(SpannableStringBuilder java:123)_x000D_
	at android text CharSequenceCharacterIterator current(CharSequenceCharacterIterator java:58)_x000D_
	at android text CharSequenceCharacterIterator setIndex(CharSequenceCharacterIterator java:83)_x000D_
	at android icu text RuleBasedBreakIterator CISetIndex32(RuleBasedBreakIterator java:1126)_x000D_
	at android icu text RuleBasedBreakIterator isBoundary(RuleBasedBreakIterator java:503)_x000D_
	at android text method WordIterator isBoundary(WordIterator java:95)_x000D_
	at android widget Editor SelectionHandleView positionAtCursorOffset(Editor java:5467)_x000D_
	at android widget Editor HandleView invalidate(Editor java:4577)_x000D_
	at android widget Editor SelectionModifierCursorController invalidateHandles(Editor java:6145)_x000D_
	at android widget Editor invalidateHandlesAndActionMode(Editor java:1985)_x000D_
	at android widget TextView spanChange(TextView java:9926)_x000D_
	at android widget TextView ChangeWatcher onSpanRemoved(TextView java:12548)_x000D_
	at android text SpannableStringBuilder sendSpanRemoved(SpannableStringBuilder java:1292)_x000D_
	at android text SpannableStringBuilder removeSpan(SpannableStringBuilder java:500)_x000D_
	at android text SpannableStringBuilder removeSpan(SpannableStringBuilder java:799)_x000D_
	at android text SpannableStringBuilder removeSpan(SpannableStringBuilder java:787)_x000D_
	at com yydcdut markdown live ListLive updateListSpanBeginning(ListLive java:641)_x000D_
	at com yydcdut markdown live ListLive onTextChanged(ListLive java:149)_x000D_
	at com yydcdut markdown live LivePrepare onTextChanged(LivePrepare java:81)_x000D_
	at com yydcdut markdown MarkdownEditText onTextChanged4Controller(MarkdownEditText java:252)_x000D_
	at com yydcdut markdown MarkdownEditText access 700(MarkdownEditText java:44)_x000D_
	at com yydcdut markdown MarkdownEditText EditTextWatcher onTextChanged(MarkdownEditText java:176)_x000D_
	at android widget TextView sendOnTextChanged(TextView java:9754)_x000D_
	at android widget TextView handleTextChanged(TextView java:9851)_x000D_
	at android widget TextView ChangeWatcher onTextChanged(TextView java:12509)_x000D_
	at android text SpannableStringBuilder sendTextChanged(SpannableStringBuilder java:1263)_x000D_
	at android text SpannableStringBuilder replace(SpannableStringBuilder java:575)_x000D_
	at android text SpannableStringBuilder delete(SpannableStringBuilder java:229)_x000D_
	at android text SpannableStringBuilder delete(SpannableStringBuilder java:36)_x000D_
	at android widget TextView deleteText internal(TextView java:12018)_x000D_
	at android widget TextView onTextContextMenuItem(TextView java:11284)_x000D_
	at android widget Editor TextActionModeCallback onActionItemClicked(Editor java:4181)_x000D_
	at com android internal policy DecorView ActionModeCallback2Wrapper onActionItemClicked(DecorView java:2392)_x000D_
	at com android internal view FloatingActionMode 3 onMenuItemSelected(FloatingActionMode java:98)_x000D_
	at com android internal view menu MenuBuilder dispatchMenuItemSelected(MenuBuilder java:776)_x000D_
	at com android internal view menu MenuItemImpl invoke(MenuItemImpl java:148)_x000D_
	at com android internal view menu MenuBuilder performItemAction(MenuBuilder java:923)_x000D_
	at com android internal view menu MenuBuilder performItemAction(MenuBuilder java:913)_x000D_
	at com android internal view FloatingActionMode lambda setFloatingToolbar 0(FloatingActionMode java:123)_x000D_
	at com android internal view    Lambda FloatingActionMode LU5MpPuKYDtwlFAuYhXYfzgLNLE onMenuItemClick(Unknown Source:2)_x000D_
	at com android internal widget FloatingToolbar FloatingToolbarPopup 2 onClick(FloatingToolbar java:443)_x000D_
	at android view View performClick(View java:6605)_x000D_
	at android view View performClickInternal(View java:6582)_x000D_
	at android view View access 3100(View java:778)_x000D_
	at android view View PerformClick run(View java:25897)_x000D_
	at android os Handler handleCallback(Handler java:873)_x000D_
	at android os Handler dispatchMessage(Handler java:99)_x000D_
	at android os Looper loop(Looper java:193)_x000D_
	at android app ActivityThread main(ActivityThread java:6762)_x000D_
	at java lang reflect Method invoke(Native Method)_x000D_
	at com android internal os RuntimeInit MethodAndArgsCaller run(RuntimeInit java:493)_x000D_
	at com android internal os ZygoteInit main(ZygoteInit java:858)_x000D_
   </t>
  </si>
  <si>
    <t>forrestguice-SuntimesWidget-365</t>
  </si>
  <si>
    <t>full moon allarm/notification</t>
  </si>
  <si>
    <t xml:space="preserve">if i set alarm for full moon   with offset before 2d and 2h or more   the app crash </t>
  </si>
  <si>
    <t>mukeshsolanki-country-picker-android-84</t>
  </si>
  <si>
    <t>Crash by rotating the screen with BottomSheet style</t>
  </si>
  <si>
    <t xml:space="preserve">    Subject of the issue_x000D_
A crash occurs by rotating the screen with BottomSheet dialog while it is opened_x000D_
_x000D_
    Steps to reproduce_x000D_
1) Using BottomSheet style open the picker_x000D_
2) Rotate the screen_x000D_
_x000D_
    Expected behaviour_x000D_
Picker remains open_x000D_
_x000D_
    Actual behaviour_x000D_
Npe during initiateUi( )_x000D_
_x000D_
 2019 10 11 17:46:06 733 1571 1571 com mukeshsolanki countrypickerexample E AndroidRuntime: FATAL EXCEPTION: main_x000D_
    Process: com mukeshsolanki countrypickerexample  PID: 1571_x000D_
    java lang RuntimeException: Unable to start activity ComponentInfo com mukeshsolanki countrypickerexample com mukeshsolanki countrypickerexample MainActivity : java lang NullPointerException: Attempt to invoke interface method  void com mukesh countrypicker listeners BottomSheetInteractionListener initiateUi(android view View)  on a null object reference_x000D_
        at android app ActivityThread performLaunchActivity(ActivityThread java:2955)_x000D_
        at android app ActivityThread handleLaunchActivity(ActivityThread java:3030)_x000D_
        at android app ActivityThread handleRelaunchActivity(ActivityThread java:4919)_x000D_
        at android app ActivityThread  wrap19(Unknown Source:0)_x000D_
        at android app ActivityThread H handleMessage(ActivityThread java:1702)_x000D_
        at android os Handler dispatchMessage(Handler java:105)_x000D_
        at android os Looper loop(Looper java:164)_x000D_
        at android app ActivityThread main(ActivityThread java:6938)_x000D_
        at java lang reflect Method invoke(Native Method)_x000D_
        at com android internal os Zygote MethodAndArgsCaller run(Zygote java:327)_x000D_
        at com android internal os ZygoteInit main(ZygoteInit java:1374)_x000D_
     Caused by: java lang NullPointerException: Attempt to invoke interface method  void com mukesh countrypicker listeners BottomSheetInteractionListener initiateUi(android view View)  on a null object reference_x000D_
        at com mukesh countrypicker BottomSheetDialogView onViewCreated(BottomSheetDialogView java:50)_x000D_
        at android support v4 app FragmentManagerImpl moveToState(FragmentManager java:1471)_x000D_
        at android support v4 app FragmentManagerImpl moveFragmentToExpectedState(FragmentManager java:1784)_x000D_
        at android support v4 app FragmentManagerImpl moveToState(FragmentManager java:1852)_x000D_
        at android support v4 app FragmentManagerImpl dispatchStateChange(FragmentManager java:3269)_x000D_
        at android support v4 app FragmentManagerImpl dispatchActivityCreated(FragmentManager java:3229)_x000D_
        at android support v4 app FragmentController dispatchActivityCreated(FragmentController java:201)_x000D_
        at android support v4 app FragmentActivity onStart(FragmentActivity java:620)_x000D_
        at android support v7 app AppCompatActivity onStart(AppCompatActivity java:178)_x000D_
        at android app Instrumentation callActivityOnStart(Instrumentation java:1340)_x000D_
        at android app Activity performStart(Activity java:7200)_x000D_
        at android app ActivityThread performLaunchActivity(ActivityThread java:2918)_x000D_
        at android app ActivityThread handleLaunchActivity(ActivityThread java:3030) _x000D_
        at android app ActivityThread handleRelaunchActivity(ActivityThread java:4919) _x000D_
        at android app ActivityThread  wrap19(Unknown Source:0) _x000D_
        at android app ActivityThread H handleMessage(ActivityThread java:1702) _x000D_
        at android os Handler dispatchMessage(Handler java:105) _x000D_
        at android os Looper loop(Looper java:164) _x000D_
        at android app ActivityThread main(ActivityThread java:6938) _x000D_
        at java lang reflect Method invoke(Native Method) _x000D_
        at com android internal os Zygote MethodAndArgsCaller run(Zygote java:327) _x000D_
        at com android internal os ZygoteInit main(ZygoteInit java:1374)  _x000D_
</t>
  </si>
  <si>
    <t>nextcloud-android-4662</t>
  </si>
  <si>
    <t>Crash on opening conflicting markdown file</t>
  </si>
  <si>
    <t xml:space="preserve">    Actual behaviour_x000D_
  edited a file  tmr md  from my notes folder with the markor app_x000D_
  on opening in nextcloud app afterwards nextcloud app briefly showed conflict dialog  then crashed_x000D_
_x000D_
    Expected behaviour_x000D_
  no crash _x000D_
 _x000D_
    Steps to reproduce_x000D_
1  see above_x000D_
_x000D_
    Environment data_x000D_
Android version: 6_x000D_
_x000D_
Device model: P024_x000D_
_x000D_
Stock or customized system: stock_x000D_
_x000D_
Nextcloud app version: unsure_x000D_
_x000D_
Nextcloud server version: 16_x000D_
_x000D_
    Logs_x000D_
This is from the app crash report:_x000D_
_x000D_
   _x000D_
             CAUSE OF ERROR             _x000D_
_x000D_
java lang NullPointerException: Attempt to invoke virtual method  void androidx appcompat widget SearchView setOnQueryTextListener(androidx appcompat widget SearchView OnQueryTextListener)  on a null object reference_x000D_
	at com owncloud android ui preview PreviewTextFragment TextLoadAsyncTask onPostExecute(PreviewTextFragment java:326)_x000D_
	at com owncloud android ui preview PreviewTextFragment TextLoadAsyncTask onPostExecute(PreviewTextFragment java:259)_x000D_
	at android os AsyncTask finish(AsyncTask java:651)_x000D_
	at android os AsyncTask access 500(AsyncTask java:180)_x000D_
	at android os AsyncTask InternalHandler handleMessage(AsyncTask java:668)_x000D_
	at android os Handler dispatchMessage(Handler java:102)_x000D_
	at android os Looper loop(Looper java:148)_x000D_
	at android app ActivityThread main(ActivityThread java:5484)_x000D_
	at java lang reflect Method invoke(Native Method)_x000D_
	at com android internal os ZygoteInit MethodAndArgsCaller run(ZygoteInit java:726)_x000D_
	at com android internal os ZygoteInit main(ZygoteInit java:616)_x000D_
_x000D_
             APP INFORMATION             _x000D_
ID: com nextcloud client_x000D_
Version: 30080090_x000D_
Build flavor: generic_x000D_
_x000D_
             DEVICE INFORMATION             _x000D_
Brand: asus_x000D_
Device: P024 1_x000D_
Model: P024_x000D_
Id: MMB29M_x000D_
Product: WW P024_x000D_
_x000D_
             FIRMWARE             _x000D_
SDK: 23_x000D_
Release: 6 0 1_x000D_
Incremental: WW P024 V5 9 4 20170613_x000D_
   _x000D_
</t>
  </si>
  <si>
    <t>nextcloud-android-4660</t>
  </si>
  <si>
    <t>App crashes on login</t>
  </si>
  <si>
    <t xml:space="preserve">    Actual behaviour_x000D_
Keeps crashing afer I logged in on my Nextcloud server  Worked fine before I updated the server from 16 to 17 _x000D_
_x000D_
Note:_x000D_
Dev version also crashes_x000D_
_x000D_
    Expected behaviour_x000D_
I hoped it would not crash_x000D_
 _x000D_
    Steps to reproduce_x000D_
1   Install android app_x000D_
2   Login into your account_x000D_
3  Wait for 1 2 sec_x000D_
_x000D_
    Environment data_x000D_
Android version:_x000D_
9_x000D_
Device model: _x000D_
Xiaomi Redmi 7_x000D_
Stock or customized system:_x000D_
Stock_x000D_
Nextcloud app version:_x000D_
3 8 0_x000D_
Nextcloud server version:_x000D_
Stable17_x000D_
_x000D_
    Logs_x000D_
     Web server error log_x000D_
   _x000D_
There was nothing in the logs_x000D_
   _x000D_
_x000D_
     Nextcloud log (data nextcloud log)_x000D_
   _x000D_
Nothing of relevance here either_x000D_
   _x000D_
_x000D_
App crash report_x000D_
   _x000D_
             CAUSE OF ERROR             _x000D_
_x000D_
java lang NullPointerException: Attempt to invoke virtual method  java lang String java lang String substring(int  int)  on a null object reference_x000D_
	at com owncloud android datamodel OCFile getLocalId(OCFile java:493)_x000D_
	at com owncloud android utils EncryptionUtils downloadFolderMetadata(EncryptionUtils java:221)_x000D_
	at com owncloud android operations RefreshFolderOperation getDecryptedFolderMetadata(RefreshFolderOperation java:450)_x000D_
	at com owncloud android operations RefreshFolderOperation synchronizeData(RefreshFolderOperation java:395)_x000D_
	at com owncloud android operations RefreshFolderOperation fetchAndSyncRemoteFolder(RefreshFolderOperation java:339)_x000D_
	at com owncloud android operations RefreshFolderOperation run(RefreshFolderOperation java:224)_x000D_
	at com owncloud android lib common operations RemoteOperation run(RemoteOperation java:299)_x000D_
	at java lang Thread run(Thread java:764)_x000D_
_x000D_
             APP INFORMATION             _x000D_
ID: com nextcloud client_x000D_
Version: 30080090_x000D_
Build flavor: gplay_x000D_
_x000D_
             DEVICE INFORMATION             _x000D_
Brand: xiaomi_x000D_
Device: onc_x000D_
Model: Redmi 7_x000D_
Id: PKQ1 181021 001_x000D_
Product: onc eea_x000D_
_x000D_
             FIRMWARE             _x000D_
SDK: 28_x000D_
Release: 9_x000D_
Incremental: V10 3 4 0 PFLEUXM_x000D_
   _x000D_
</t>
  </si>
  <si>
    <t>material-components-material-components-android-670</t>
  </si>
  <si>
    <t>[EditText] ResourceNotFound Exception design_password_eye.xml</t>
  </si>
  <si>
    <t>This is a very nasty bug since it only happens on some devices in the field _x000D_
I cannot reproduce this on my local development devices _x000D_
Note that our app is deployed as  Android App Bundle  from the Play Store _x000D_
_x000D_
I flagged this as a material library bug because the missing resource is part of the material library _x000D_
_x000D_
We use the following versions:_x000D_
 com google android material:material:1 0 0 _x000D_
 androidx appcompat:appcompat:1 1 0 _x000D_
_x000D_
There are a few similar stackoverflow and github reports:_x000D_
_x000D_
https:  stackoverflow com questions 42789175 textinputlayout crashing in android lollipop and above_x000D_
_x000D_
https:  github com firebase FirebaseUI Android issues 1600_x000D_
_x000D_
Here is a stacktrace from the Firebase Crashlytics console:_x000D_
  Caused by android content res Resources NotFoundException_x000D_
  File res drawable v21 design password eye xml from drawable resource ID  0x7f07011d_x000D_
  android content res ResourcesImpl loadDrawableForCookie (ResourcesImpl java:837)_x000D_
  android content res ResourcesImpl loadDrawable (ResourcesImpl java:659)_x000D_
  android content res Resources getDrawableForDensity (Resources java:891)_x000D_
  android content res Resources getDrawable (Resources java:833)_x000D_
  android content Context getDrawable (Context java:605)_x000D_
  androidx core content ContextCompat c (ContextCompat java:2)_x000D_
  androidx appcompat widget AppCompatDrawableManager getDrawable (AppCompatDrawableManager java:11)_x000D_
  androidx appcompat widget AppCompatDrawableManager c (AppCompatDrawableManager java:2)_x000D_
  androidx appcompat content res AppCompatResources b (AppCompatResources java:4)_x000D_
  androidx appcompat widget TintTypedArray b (TintTypedArray java:19)_x000D_
  com google android material textfield TextInputLayout  init  (TextInputLayout java:3)_x000D_
  com google android material internal ThemeEnforcement obtainTintedStyledAttributes (ThemeEnforcement java:2)_x000D_
  com google android material textfield TextInputLayout  init  (TextInputLayout java:2)_x000D_
  java lang reflect Constructor newInstance0 (Constructor java)_x000D_
  java lang reflect Constructor newInstance (Constructor java:334)_x000D_
  android view LayoutInflater createView (LayoutInflater java:647)_x000D_
  android view LayoutInflater createViewFromTag (LayoutInflater java:790)_x000D_
  android view LayoutInflater createViewFromTag (LayoutInflater java:730)_x000D_
  android view LayoutInflater rInflate (LayoutInflater java:863)_x000D_
  android view LayoutInflater rInflateChildren (LayoutInflater java:824)_x000D_
  android view LayoutInflater rInflate (LayoutInflater java:866)_x000D_
  android view LayoutInflater rInflateChildren (LayoutInflater java:824)_x000D_
  android view LayoutInflater rInflate (LayoutInflater java:866)_x000D_
  android view LayoutInflater rInflateChildren (LayoutInflater java:824)_x000D_
  android view LayoutInflater rInflate (LayoutInflater java:866)_x000D_
  android view LayoutInflater rInflateChildren (LayoutInflater java:824)_x000D_
  android view LayoutInflater rInflate (LayoutInflater java:866)_x000D_
  android view LayoutInflater rInflateChildren (LayoutInflater java:824)_x000D_
  android view LayoutInflater inflate (LayoutInflater java:515)_x000D_
  android view LayoutInflater inflate (LayoutInflater java:423)_x000D_
  androidx databinding DataBindingUtil inflate (DataBindingUtil java:1)</t>
  </si>
  <si>
    <t>SecUSo-privacy-friendly-todo-list-63</t>
  </si>
  <si>
    <t xml:space="preserve"> v2.2 crashes at start</t>
  </si>
  <si>
    <t xml:space="preserve">Hello _x000D_
_x000D_
Like v2 1  v2 2  l app crashes at start _x000D_
https:  github com SecUSo privacy friendly todo list issues 47_x000D_
_x000D_
I would like to find my tasks  Can you give me a method to find them  _x000D_
Where are they  _x000D_
Thanks a lot _x000D_
</t>
  </si>
  <si>
    <t>material-components-material-components-android-668</t>
  </si>
  <si>
    <t>TextInputLayout with TextInputEditText fast input crash</t>
  </si>
  <si>
    <t xml:space="preserve">  Description:  _x000D_
_x000D_
I have a com google android material textfield TextInputLayout containing a com google android material textfield TextInputEditText _x000D_
_x000D_
If I type quickly into the TextInputEditText my app crashes silently (there is no output to Android Studio logcat) _x000D_
However  if I type slowly into the TextInputEditText  there is no crash _x000D_
_x000D_
  Expected behavior:  _x000D_
I would expect that typing quickly into the TextInputEditText does not cause a crash _x000D_
_x000D_
  Source code:   _x000D_
_x000D_
Fragment layout:_x000D_
   _x000D_
  xml version  1 0  encoding  utf 8   _x000D_
 layout xmlns:app  http:  schemas android com apk res auto  _x000D_
_x000D_
     data _x000D_
_x000D_
         variable_x000D_
            name  addCardFragmentViewModel _x000D_
            type  feature cardmanagement AddCardViewModel    _x000D_
      data _x000D_
_x000D_
     LinearLayout xmlns:android  http:  schemas android com apk res android _x000D_
        xmlns:tools  http:  schemas android com tools _x000D_
        android:layout width  match parent _x000D_
        android:layout height  match parent _x000D_
        android:layout marginStart   dimen medium margin _x000D_
        android:layout marginEnd   dimen medium margin _x000D_
        android:orientation  vertical _x000D_
        tools:context   AddCardFragment  _x000D_
_x000D_
         TextView_x000D_
            android:layout width  match parent _x000D_
            android:layout height  wrap content _x000D_
            android:layout marginTop   dimen medium margin _x000D_
            android:layout marginBottom   dimen medium margin _x000D_
            android:gravity  center horizontal _x000D_
            android:text    addCardFragmentViewModel customizationOptions addCardFormTitleText     _x000D_
_x000D_
         com google android material textfield TextInputLayout_x000D_
            android:id    id card number layout _x000D_
            android:layout width  match parent _x000D_
            android:layout height  wrap content _x000D_
            android:hint    addCardFragmentViewModel customizationOptions cardNumberInputHint  _x000D_
            app:endIconDrawable    addCardFragmentViewModel customizationOptions cardNumberEndIconDrawable  _x000D_
            app:endIconMode  custom _x000D_
            app:startIconDrawable    addCardFragmentViewModel customizationOptions cardNumberStartIconDrawable   _x000D_
_x000D_
             com google android material textfield TextInputEditText_x000D_
                android:id    id card number input _x000D_
                android:layout width  match parent _x000D_
                android:layout height  wrap content _x000D_
                android:imeOptions  actionNext _x000D_
                android:inputType  number _x000D_
                android:maxLength    addCardFragmentViewModel cardNumberMaxLength     _x000D_
_x000D_
          com google android material textfield TextInputLayout _x000D_
_x000D_
         LinearLayout_x000D_
            android:layout width  match parent _x000D_
            android:layout height  wrap content _x000D_
            android:gravity  center horizontal _x000D_
            android:orientation  horizontal  _x000D_
_x000D_
             com google android material textfield TextInputLayout_x000D_
                android:id    id card expiry layout _x000D_
                android:layout width   dimen medium text input width _x000D_
                android:layout height  wrap content _x000D_
                android:hint    addCardFragmentViewModel customizationOptions cardExpiryInputHint  _x000D_
                app:counterEnabled  true _x000D_
                app:counterMaxLength    addCardFragmentViewModel cardExpiryDateMaxLength  _x000D_
                app:endIconDrawable    addCardFragmentViewModel customizationOptions cardExpiryIconDrawableRes  _x000D_
                app:endIconMode  custom _x000D_
                app:helperText    addCardFragmentViewModel customizationOptions cardExpiryHelperText   _x000D_
_x000D_
                 com google android material textfield TextInputEditText_x000D_
                    android:id    id card expiry input _x000D_
                    android:layout width  match parent _x000D_
                    android:layout height  wrap content _x000D_
                    android:imeOptions  actionNext _x000D_
                    android:inputType  date _x000D_
                    android:maxLength    addCardFragmentViewModel cardExpiryDateMaxLength     _x000D_
_x000D_
              com google android material textfield TextInputLayout _x000D_
_x000D_
             com google android material textfield TextInputLayout_x000D_
                android:id    id ccv input layout _x000D_
                android:layout width   dimen medium text input width _x000D_
                android:layout height  wrap content _x000D_
                android:hint    addCardFragmentViewModel customizationOptions cardCCVInputHint  _x000D_
                app:counterEnabled  true _x000D_
                app:counterMaxLength    addCardFragmentViewModel ccvMaxLength  _x000D_
                app:endIconDrawable    addCardFragmentViewModel customizationOptions cCVEndIconDrawableRes  _x000D_
                app:endIconMode  custom  _x000D_
_x000D_
                 com google android material textfield TextInputEditText_x000D_
                    android:id    id card ccv input _x000D_
                    android:layout width  match parent _x000D_
                    android:layout height  wrap content _x000D_
                    android:imeOptions  actionDone _x000D_
                    android:inputType  number _x000D_
                    android:maxLength    addCardFragmentViewModel ccvMaxLength     _x000D_
_x000D_
              com google android material textfield TextInputLayout _x000D_
_x000D_
          LinearLayout _x000D_
_x000D_
         Button_x000D_
            android:id    id submit card data button _x000D_
            android:layout width  match parent _x000D_
            android:layout height  wrap content _x000D_
            android:layout marginTop   dimen medium margin _x000D_
            android:text    addCardFragmentViewModel customizationOptions submitButtonText     _x000D_
_x000D_
         TextView_x000D_
            android:layout width  match parent _x000D_
            android:layout height  wrap content _x000D_
            android:layout marginTop   dimen medium margin _x000D_
            android:gravity  center horizontal _x000D_
            android:text    addCardFragmentViewModel customizationOptions faqButtonTitleText     _x000D_
_x000D_
         TextView_x000D_
            android:layout width  match parent _x000D_
            android:layout height  wrap content _x000D_
            android:gravity  center horizontal _x000D_
            android:id    id faq button _x000D_
            android:text    addCardFragmentViewModel customizationOptions faqButtonText     _x000D_
      LinearLayout _x000D_
  layout _x000D_
   _x000D_
_x000D_
AddCardFragment kt_x000D_
_x000D_
   _x000D_
import androidx lifecycle ViewModelProviders_x000D_
import android os Bundle_x000D_
import android text Editable_x000D_
import android util Log_x000D_
import androidx fragment app Fragment_x000D_
import android view LayoutInflater_x000D_
import android view View_x000D_
import android view ViewGroup_x000D_
import android widget TextView_x000D_
import android widget Toast_x000D_
import androidx core widget addTextChangedListener_x000D_
import androidx core widget doAfterTextChanged_x000D_
import androidx core widget doOnTextChanged_x000D_
import androidx databinding DataBindingUtil_x000D_
import androidx lifecycle Observer_x000D_
import com entersekt feature cardmanagement databinding AddCardFragmentBinding_x000D_
_x000D_
class AddCardFragment : Fragment()  _x000D_
_x000D_
    companion object  _x000D_
        private fun newInstance()   AddCardFragment()_x000D_
        private var  customizationOptions: AddCardFragmentCustomizationOptions    null_x000D_
        fun newInstance(addCardFragmentCustomizationOptions: AddCardFragmentCustomizationOptions): AddCardFragment  _x000D_
            val fragmentInstance   newInstance()_x000D_
             customizationOptions   addCardFragmentCustomizationOptions_x000D_
            return fragmentInstance_x000D_
         _x000D_
_x000D_
        const val NO CUSTOMIZATION SUPPLIED  _x000D_
             No customization object has been provided to the AddCardFragment _x000D_
     _x000D_
_x000D_
    private lateinit var viewModel: AddCardViewModel_x000D_
    private lateinit var binding: AddCardFragmentBinding_x000D_
_x000D_
    override fun onCreateView(_x000D_
        inflater: LayoutInflater  container: ViewGroup  _x000D_
        savedInstanceState: Bundle _x000D_
    ): View   _x000D_
        binding  _x000D_
            DataBindingUtil inflate(layoutInflater  R layout add card fragment  container  false)_x000D_
_x000D_
        binding apply  _x000D_
            cardNumberInput doAfterTextChanged  _x000D_
                it  let  _x000D_
                    viewModel setCardNumberData(it toString())_x000D_
                 _x000D_
             _x000D_
            cardCcvInput doAfterTextChanged  _x000D_
                it  let  _x000D_
                    viewModel setCardCCVData(it toString())_x000D_
                 _x000D_
             _x000D_
_x000D_
            cardExpiryInput doAfterTextChanged  _x000D_
                it  let  _x000D_
                    viewModel setCardExpiryData(it toString())_x000D_
                 _x000D_
             _x000D_
         _x000D_
        return binding root_x000D_
     _x000D_
_x000D_
    override fun onActivityCreated(savedInstanceState: Bundle )  _x000D_
        super onActivityCreated(savedInstanceState)_x000D_
        viewModel   ViewModelProviders of(this) get(AddCardViewModel::class java)_x000D_
_x000D_
        if ( customizationOptions    null)  _x000D_
            viewModel customizationOptions    customizationOptions_x000D_
          else  _x000D_
            IllegalArgumentException(NO CUSTOMIZATION SUPPLIED) apply  _x000D_
                throw this_x000D_
             _x000D_
         _x000D_
_x000D_
        binding addCardFragmentViewModel   viewModel_x000D_
_x000D_
        viewModel apply  _x000D_
            cardDataIsValid observe(viewLifecycleOwner  Observer  _x000D_
                binding submitCardDataButton visibility   if (it) View VISIBLE else View GONE_x000D_
             )_x000D_
_x000D_
            customizationOptions  apply  _x000D_
                binding ccvInputLayout setEndIconOnClickListener  _x000D_
                    this cCVEndIconClickListener onClick(it)_x000D_
                 _x000D_
_x000D_
                binding cardNumberLayout setEndIconOnClickListener  _x000D_
                    this cardNumberEndIconClickListener onClick(it)_x000D_
                 _x000D_
_x000D_
                binding cardExpiryLayout setEndIconOnClickListener  _x000D_
                    this cardExpiryEndIconClickListener onClick(it)_x000D_
                 _x000D_
_x000D_
                binding faqButton setOnClickListener  _x000D_
                    this faqButtonClickListener onClick(it)_x000D_
                 _x000D_
_x000D_
                binding faqButton setTextColor(resources getColor(this faqButtonTextColor))_x000D_
             _x000D_
         _x000D_
     _x000D_
 _x000D_
   _x000D_
_x000D_
  Android API version:  _x000D_
API 28_x000D_
_x000D_
  Material Library version:   _x000D_
com google android material:material:1 1 0 beta01_x000D_
_x000D_
However  I have also tried with a number of the 1 1 0 alpha libraries and the issue is still present _x000D_
_x000D_
  Device:  _x000D_
Android Emulator running on a Mac (Pixel 3 API 28) and on Pixel 2 XL physical device running Android 9_x000D_
</t>
  </si>
  <si>
    <t>harshsri2208-MEME-1</t>
  </si>
  <si>
    <t>App stops on sharing</t>
  </si>
  <si>
    <t>When we press the share button after creating the meme   the app crashes</t>
  </si>
  <si>
    <t>react-native-share-react-native-share-604</t>
  </si>
  <si>
    <t>shareSingle Facebook &amp; Twitter on iOS not working</t>
  </si>
  <si>
    <t xml:space="preserve">    Steps to reproduce_x000D_
   _x000D_
      const shareOptions    _x000D_
        url _x000D_
        social: Share Social social _x000D_
            url is base64 data of png and social is  FACEBOOK    TWITTER _x000D_
_x000D_
      const res   await Share shareSingle(shareOptions) _x000D_
   _x000D_
    Expected behaviour_x000D_
It should open the Facebook and Twitter_x000D_
_x000D_
    Actual behaviour_x000D_
App crashes_x000D_
_x000D_
    Environment_x000D_
    React Native version  : 0 60 5_x000D_
    React Native platform   platform version  : iOS 12 3 1_x000D_
_x000D_
    react native share_x000D_
  Version  : 2 0 0_x000D_
  IMG 20191009 200058 (https:  user images githubusercontent com 41055443 66479960 3a97ac00 eaa6 11e9 885d 4ee5c59494cd jpg)_x000D_
_x000D_
</t>
  </si>
  <si>
    <t>nextcloud-android-4634</t>
  </si>
  <si>
    <t xml:space="preserve">android.app.RemoteServiceException: Context.startForegroundService() did not then call </t>
  </si>
  <si>
    <t xml:space="preserve">             CAUSE OF ERROR             _x000D_
_x000D_
android app RemoteServiceException: Context startForegroundService() did not then call Service startForeground(): ServiceRecord 1d139ca u0 com nextcloud client com owncloud android services OperationsService _x000D_
	at android app ActivityThread H handleMessage(ActivityThread java:2126)_x000D_
	at android os Handler dispatchMessage(Handler java:112)_x000D_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_x000D_
             APP INFORMATION             _x000D_
ID: com nextcloud client_x000D_
Version: 30080090_x000D_
Build flavor: gplay_x000D_
_x000D_
             DEVICE INFORMATION             _x000D_
Brand: HONOR_x000D_
Device: HWBKL_x000D_
Model: BKL L09_x000D_
Id: HUAWEIBKL L09S_x000D_
Product: BKL L09_x000D_
_x000D_
             FIRMWARE             _x000D_
SDK: 28_x000D_
Release: 9_x000D_
Incremental: 329C432_x000D_
_x000D_
_x000D_
_x000D_
_x000D_
    Actual behaviour_x000D_
  got error message : Nextcloud crashed_x000D_
_x000D_
    Expected behaviour_x000D_
None in particular_x000D_
 _x000D_
    Steps to reproduce_x000D_
Just happened_x000D_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</si>
  <si>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nextcloud-android-4628</t>
  </si>
  <si>
    <t>Android App crashes on Sync, when Folder was changed</t>
  </si>
  <si>
    <t xml:space="preserve">    Actual behaviour_x000D_
Android APP crashes when synching with Server_x000D_
_x000D_
    Expected behaviour_x000D_
Changed Folder should resync_x000D_
_x000D_
    Steps to reproduce_x000D_
1  Create a Folder with some Files in it_x000D_
2  Open the Android App and open and some files in this Folder and Subfolders _x000D_
3  Change something Outside the Android App in the Folder_x000D_
4  Open App an go again in the Folder or resync it_x000D_
_x000D_
    Environment data_x000D_
Android version: 9_x000D_
Device model: Oneplus A3003_x000D_
_x000D_
Stock or customized system:_x000D_
Customized System with  e  based in Lineage OS_x000D_
_x000D_
Nextcloud app version: 3 8 0_x000D_
Nextcloud server version: 16 0 5_x000D_
    Logs_x000D_
             CAUSE OF ERROR             _x000D_
_x000D_
android database sqlite SQLiteBlobTooBigException: Row too big to fit into CursorWindow requiredPos 3255  totalRows 53_x000D_
	at android database sqlite SQLiteConnection nativeExecuteForCursorWindow(Native Method)_x000D_
	at android database sqlite SQLiteConnection executeForCursorWindow(SQLiteConnection java:895)_x000D_
	at android database sqlite SQLiteSession executeForCursorWindow(SQLiteSession java:836)_x000D_
	at android database sqlite SQLiteQuery fillWindow(SQLiteQuery java:62)_x000D_
	at android database sqlite SQLiteCursor fillWindow(SQLiteCursor java:157)_x000D_
	at android database sqlite SQLiteCursor onMove(SQLiteCursor java:128)_x000D_
	at android database AbstractCursor moveToPosition(AbstractCursor java:237)_x000D_
	at android database AbstractCursor moveToNext(AbstractCursor java:269)_x000D_
	at com owncloud android providers FileContentProvider deleteDirectory(FileContentProvider java:183)_x000D_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delete(FileContentProvider java:107)_x000D_
	at android content ContentProviderOperation apply(ContentProviderOperation java:299)_x000D_
	at com owncloud android providers FileContentProvider applyBatch(FileContentProvider java:661)_x000D_
	at android content ContentProvider Transport applyBatch(ContentProvider java:320)_x000D_
	at android content ContentProviderClient applyBatch(ContentProviderClient java:474)_x000D_
	at android content ContentResolver applyBatch(ContentResolver java:1627)_x000D_
	at com owncloud android datamodel FileDataStorageManager saveFolder(FileDataStorageManager java:399)_x000D_
	at com owncloud android operations RefreshFolderOperation synchronizeData(RefreshFolderOperation java:441)_x000D_
	at com owncloud android operations RefreshFolderOperation fetchAndSyncRemoteFolder(RefreshFolderOperation java:339)_x000D_
	at com owncloud android operations RefreshFolderOperation run(RefreshFolderOperation java:224)_x000D_
	at com owncloud android lib common operations RemoteOperation run(RemoteOperation java:299)_x000D_
	at java lang Thread run(Thread java:764)_x000D_
_x000D_
             APP INFORMATION             _x000D_
ID: com nextcloud client_x000D_
Version: 30080090_x000D_
Build flavor: generic_x000D_
_x000D_
             DEVICE INFORMATION             _x000D_
Brand: OnePlus_x000D_
Device: OnePlus3T_x000D_
Model: ONEPLUS A3003_x000D_
Id: PQ3A 190801 002_x000D_
Product: lineage oneplus3_x000D_
_x000D_
             FIRMWARE             _x000D_
SDK: 28_x000D_
Release: 9_x000D_
Incremental: eng root 20191006 214202_x000D_
</t>
  </si>
  <si>
    <t>react-native-camera-react-native-camera-2525</t>
  </si>
  <si>
    <t>Android random crash on Camera1 setDisplayOrientation</t>
  </si>
  <si>
    <t xml:space="preserve">  Bug Report_x000D_
_x000D_
  To Do First  _x000D_
_x000D_
   X  Did you try latest release _x000D_
   X  Did you try master _x000D_
   X  Did you look for existing matching issues _x000D_
_x000D_
  Platforms  _x000D_
_x000D_
    Comment in the related ones   _x000D_
Android_x000D_
    iOS   _x000D_
_x000D_
  Versions  _x000D_
_x000D_
    Please add the used versions branches or leave blank and comment in the optionals if used   _x000D_
_x000D_
  Android: Android 9_x000D_
  react native camera: 3 7 0_x000D_
_x000D_
  Description Current Behaviour  _x000D_
Our crash reporting have just reported an unhandled exception from Camera1 setDisplayOrientation  _x000D_
The reason of this is quite unknown and random  but I guess we should have a try catch somewhere there  See stack trace below _x000D_
_x000D_
In addition  the error happened after continuously rotating the device in about 15 seconds intervals _x000D_
_x000D_
Any ideas why would Android s API refuse to set the display orientation  I m sorry if the error is not that good  but that s all that was reported _x000D_
From google:_x000D_
_x000D_
  if setting orientation fails  usually this would be because of a hardware or other low level error  or because release() has been called on this Camera instance _x000D_
_x000D_
  Expected Behaviour  _x000D_
No Crash_x000D_
_x000D_
    place your expected behaviour below   _x000D_
_x000D_
  Steps to Reproduce  _x000D_
Steps to reproduce are unknown _x000D_
_x000D_
  Additionals  _x000D_
_x000D_
Stack trace:_x000D_
   _x000D_
java lang RuntimeException set display orientation failed _x000D_
    Camera java: 2 android hardware Camera setDisplayOrientation_x000D_
    Camera1 java:684 com google android cameraview Camera1 setDisplayOrientation_x000D_
    CameraView java:128 com google android cameraview CameraView 1 onDisplayOrientationChanged_x000D_
    DisplayOrientationDetector java:114 com google android cameraview DisplayOrientationDetector dispatchOnDisplayOrientationChanged_x000D_
    DisplayOrientationDetector java:90 com google android cameraview DisplayOrientationDetector 1 onOrientationChanged_x000D_
    OrientationEventListener java:143 android view OrientationEventListener SensorEventListenerImpl onSensorChanged_x000D_
    SystemSensorManager java:833 android hardware SystemSensorManager SensorEventQueue dispatchSensorEvent_x000D_
    MessageQueue java: 2 android os MessageQueue nativePollOnce_x000D_
    MessageQueue java:326 android os MessageQueue next_x000D_
    Looper java:169 android os Looper loop_x000D_
    ActivityThread java:6939 android app ActivityThread main_x000D_
    Method java: 2 java lang reflect Method invoke_x000D_
    RuntimeInit java:493 com android internal os RuntimeInit MethodAndArgsCaller run_x000D_
    ZygoteInit java:870 com android internal os ZygoteInit main_x000D_
   _x000D_
_x000D_
Device: Motorola Moto Z3 Play   Android 9_x000D_
</t>
  </si>
  <si>
    <t>smartdevicelink-sdl_java_suite-1193</t>
  </si>
  <si>
    <t>NPE when using Static Icons in the MenuManager</t>
  </si>
  <si>
    <t xml:space="preserve">    Bug Report_x000D_
When attempting to use a Static Icon via the MenuManager  a NullPointerException occurs with the following stack trace:_x000D_
   _x000D_
_x000D_
2019 10 08 16:57:10 121 16451 16451 io livio sdltestsuite app1 E AndroidRuntime: FATAL EXCEPTION: main_x000D_
    Process: io livio sdltestsuite app1  PID: 16451_x000D_
    java lang NullPointerException: Attempt to invoke virtual method  boolean com smartdevicelink proxy rpc enums FileType equals(java lang Object)  on a null object reference_x000D_
        at com smartdevicelink managers file filetypes SdlArtwork setType(SdlArtwork java:114)_x000D_
        at com smartdevicelink managers file filetypes SdlArtwork clone(SdlArtwork java:167)_x000D_
        at com smartdevicelink managers screen menu MenuCell clone(MenuCell java:336)_x000D_
        at com smartdevicelink managers screen menu BaseMenuManager cloneMenuCellsList(BaseMenuManager java:1339)_x000D_
        at com smartdevicelink managers screen menu BaseMenuManager setMenuCells(BaseMenuManager java:172)_x000D_
        at com smartdevicelink managers screen menu MenuManager setMenuCells(MenuManager java:45)_x000D_
        at com smartdevicelink managers screen BaseScreenManager setMenu(BaseScreenManager java:429)_x000D_
        at com smartdevicelink managers screen ScreenManager setMenu(ScreenManager java:45)_x000D_
   _x000D_
_x000D_
Related  848_x000D_
_x000D_
      Reproduction Steps_x000D_
1  Attempt to create a menu item with a static icon_x000D_
_x000D_
      Expected Behavior_x000D_
The provided static icon appears in the HMI next to the specified menu item_x000D_
_x000D_
      Observed Behavior_x000D_
App crashes with NullPointerException_x000D_
_x000D_
      OS   Version Information_x000D_
  Android Version: 9  Pixel 11 Emulator_x000D_
  SDL Android Version:  develop  branch_x000D_
  Testing Against: Core  develop  branch   Generic HMI  develop  branch_x000D_
_x000D_
      Test Case  Sample Code  and   or Example App_x000D_
   _x000D_
        final MenuCell A   new MenuCell( A   new SdlArtwork(StaticIconName ACCEPT CALL)  null  new MenuSelectionListener()  _x000D_
             Override_x000D_
            public void onTriggered(TriggerSource trigger)  _x000D_
                messageLogger logInfo(TAG   A Triggered   true) _x000D_
             _x000D_
         ) _x000D_
        _x000D_
        sdlManager getScreenManager() setMenu(Arrays asList(A)) _x000D_
   _x000D_
</t>
  </si>
  <si>
    <t>material-components-material-components-android-661</t>
  </si>
  <si>
    <t>[FloatingActionButton] App crashes because of shapeAppearance on FAB</t>
  </si>
  <si>
    <t xml:space="preserve">  Description:   Here is the Demo app https:  github com ashraf patel MaterialComponentsDemo  as described in this  link to the gif (https:  github com ashraf patel MaterialComponentsDemo blob master gifs 30dpCorners gif) you can reproduce the crash  _x000D_
_x000D_
  Expected behavior:   It should not crash _x000D_
_x000D_
  Source code:   _x000D_
_x000D_
Here is the problem  making  cornerSizeTopRight and cornerSizeBottomLeft to 30dp is causing the crash  _x000D_
 link to the Gif (https:  github com ashraf patel MaterialComponentsDemo blob master gifs 30dpCorners gif)_x000D_
   _x000D_
 style name  ShapeAppearance Sunflower FAB  parent  ShapeAppearance MaterialComponents  _x000D_
         item name  cornerFamily  rounded  item _x000D_
         item name  cornerSizeTopLeft  0dp  item _x000D_
         item name  cornerSizeTopRight  30dp  item _x000D_
         item name  cornerSizeBottomRight  0dp  item _x000D_
         item name  cornerSizeBottomLeft  30dp  item _x000D_
  style _x000D_
   _x000D_
Below code works  link to the gif (https:  github com ashraf patel MaterialComponentsDemo blob master gifs 0dpCorners gif)_x000D_
   _x000D_
 style name  ShapeAppearance Sunflower FAB  parent  ShapeAppearance MaterialComponents  _x000D_
         item name  cornerFamily  rounded  item _x000D_
         item name  cornerSizeTopLeft  0dp  item _x000D_
         item name  cornerSizeTopRight  0dp  item _x000D_
         item name  cornerSizeBottomRight  0dp  item _x000D_
         item name  cornerSizeBottomLeft  0dp  item _x000D_
  style _x000D_
    _x000D_
https:  github com ashraf patel MaterialComponentsDemo is the Demo app _x000D_
_x000D_
  Android API version:   OS: 8 0_x000D_
_x000D_
  Material Library version:   1 1 0 beta01_x000D_
_x000D_
  Device:   Device: Pixel 2 XL Emulator_x000D_
_x000D_
  StackOverflow:   https:  stackoverflow com questions 58225921 shapeappearance in material component floatingactionbutton causes a crash_x000D_
_x000D_
  Issue in original repository:   https:  github com android sunflower issues 519_x000D_
</t>
  </si>
  <si>
    <t>TeamNewPipe-NewPipe-2704</t>
  </si>
  <si>
    <t>any video play triggers recaptcha and ui crashes</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</si>
  <si>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Exception_x000D_
    User Action:   ui error_x000D_
    Request:   App crash  UI failure_x000D_
    Content Language:   GB_x000D_
    Service:   none_x000D_
    Version:   0 17 3_x000D_
    OS:   Linux Android 9   28_x000D_
any video play triggers recaptcha and ui crashes_x000D_
_x000D_
 details  summary  b Crash log  b   summary  p _x000D_
_x000D_
   _x000D_
java lang NullPointerException: Attempt to invoke virtual method  java lang String   java lang String split(java lang String)  on a null object reference_x000D_
	at org schabi newpipe ReCaptchaActivity ReCaptchaWebViewClient find access cookies(ReCaptchaActivity java:129)_x000D_
	at org schabi newpipe ReCaptchaActivity ReCaptchaWebViewClient onPageFinished(ReCaptchaActivity java:114)_x000D_
	at com android webview chromium WebViewContentsClientAdapter onPageFinished(WebViewContentsClientAdapter java:224)_x000D_
	at org chromium android webview AwContentsClientCallbackHelper MyHandler handleMessage(AwContentsClientCallbackHelper java:72)_x000D_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_x000D_
   _x000D_
  p   details _x000D_
 hr _x000D_
</t>
  </si>
  <si>
    <t>react-native-camera-react-native-camera-2523</t>
  </si>
  <si>
    <t>crash on iphone 6+, ios 12.2</t>
  </si>
  <si>
    <t xml:space="preserve">_x000D_
  Platforms  _x000D_
  iOS_x000D_
  Versions  _x000D_
  iOS 12 2_x000D_
  react native camera 3 6 0_x000D_
  iphone 6 _x000D_
_x000D_
  Description Current Behaviour  _x000D_
Crash when take photo with takePictureAsync()_x000D_
_x000D_
  Expected Behaviour  _x000D_
I try debug in RNCamera m then i see crash at captureStillImageAsynchronouslyFromConnection_x000D_
</t>
  </si>
  <si>
    <t>martykan-forecastie-361</t>
  </si>
  <si>
    <t>Forced to use "-" in custom date format</t>
  </si>
  <si>
    <t xml:space="preserve">At the moment you are forced to use a     in custom date format to seperate the date and the time  Otherwise the one widget that displays the date won t work and the app will crash as well once the widget is added to the launcher  The problematic line is this one:_x000D_
https:  github com martykan forecastie blob 8dd4fe03c55a93e243f9fde57604b65168be5839 app src main java cz martykan forecastie widgets TimeWidgetProvider java L59_x000D_
Note that the two other widgets work fine (because they don t show the date) and also the app itself works fine without a     in the custom date format  as long as you don t add the mentioned widget to the launcher </t>
  </si>
  <si>
    <t>JakeWharton-dagger-reflect-175</t>
  </si>
  <si>
    <t>dagger-reflect does not resolve Provider/Lazy indirection based dependency cycles</t>
  </si>
  <si>
    <t xml:space="preserve">Running following code:_x000D_
_x000D_
   kotlin_x000D_
 Singleton_x000D_
 Component(modules    MainModule::class )_x000D_
interface MainComponent  _x000D_
    fun provideFactory(): TestFactory_x000D_
 _x000D_
_x000D_
 Module_x000D_
abstract class MainModule  _x000D_
     Binds_x000D_
     IntoMap_x000D_
     ClassKey(TestClassA::class)_x000D_
    abstract fun bindA(testClassA: TestClassA): Any_x000D_
 _x000D_
_x000D_
 Singleton_x000D_
class TestFactory  Inject constructor(_x000D_
    private val providers: Map  JvmSuppressWildcards Class      JvmSuppressWildcards Provider Any  _x000D_
)  _x000D_
    fun createA(): TestClassA  _x000D_
         Suppress( UNCHECKED CAST )_x000D_
        return (providers TestClassA::class java  as Provider TestClassA ) get()_x000D_
     _x000D_
 _x000D_
_x000D_
class TestClassA  Inject constructor(val factory: TestFactory)_x000D_
_x000D_
fun main()  _x000D_
    Dagger create(MainComponent::class java)_x000D_
         provideFactory()_x000D_
 _x000D_
   _x000D_
_x000D_
With:_x000D_
_x000D_
   _x000D_
implementation  com google dagger:dagger:2 24 _x000D_
_x000D_
   Snapshot fetched on Mon Oct 7 2019 8:00:00 UTC _x000D_
implementation  com jakewharton dagger:dagger reflect:0 2 0 SNAPSHOT _x000D_
   _x000D_
_x000D_
Will result in a following crash:_x000D_
_x000D_
   _x000D_
Exception in thread  main  java lang IllegalStateException: Dependency cycle for test TestFactory_x000D_
   Requested: test TestFactory_x000D_
     from dagger reflect UnlinkedScopedBinding 66cd51c3_x000D_
   Requested: java util Map java lang Class     javax inject Provider java lang Object  _x000D_
     from Map class test TestClassA  Binds test MainModule bindA( )  _x000D_
   Requested: test TestClassA_x000D_
     from  Inject test TestClassA  init ( ) _x000D_
   Requested: test TestFactory_x000D_
     which forms a cycle _x000D_
	at dagger reflect Linker failure(Linker java:45)_x000D_
	at dagger reflect Linker link(Linker java:32)_x000D_
	at dagger reflect Scope link(Scope java:145)_x000D_
	at dagger reflect Scope findExistingBinding(Scope java:103)_x000D_
	at dagger reflect Scope findBinding(Scope java:74)_x000D_
	at dagger reflect Linker find(Linker java:27)_x000D_
	at dagger reflect Linker get(Linker java:18)_x000D_
	at dagger reflect UnlinkedJustInTimeBinding link(UnlinkedJustInTimeBinding java:38)_x000D_
	at dagger reflect Linker link(Linker java:35)_x000D_
	at dagger reflect Scope link(Scope java:145)_x000D_
	at dagger reflect Scope putJitBinding(Scope java:138)_x000D_
	at dagger reflect Scope findBinding(Scope java:81)_x000D_
	at dagger reflect Linker find(Linker java:27)_x000D_
	at dagger reflect Linker get(Linker java:18)_x000D_
	at dagger reflect UnlinkedBindsBinding link(UnlinkedBindsBinding java:26)_x000D_
	at dagger reflect UnlinkedMapOfProviderBinding link(UnlinkedMapOfProviderBinding java:20)_x000D_
	at dagger reflect Linker link(Linker java:35)_x000D_
	at dagger reflect Scope link(Scope java:145)_x000D_
	at dagger reflect Scope findExistingBinding(Scope java:103)_x000D_
	at dagger reflect Scope findBinding(Scope java:74)_x000D_
	at dagger reflect Linker find(Linker java:27)_x000D_
	at dagger reflect Linker get(Linker java:18)_x000D_
	at dagger reflect UnlinkedJustInTimeBinding link(UnlinkedJustInTimeBinding java:38)_x000D_
	at dagger reflect UnlinkedScopedBinding link(UnlinkedScopedBinding java:14)_x000D_
	at dagger reflect Linker link(Linker java:35)_x000D_
	at dagger reflect Scope link(Scope java:145)_x000D_
	at dagger reflect Scope putJitBinding(Scope java:138)_x000D_
	at dagger reflect Scope findBinding(Scope java:81)_x000D_
	at dagger reflect Scope getBinding(Scope java:44)_x000D_
	at dagger reflect ComponentInvocationHandler createMethodInvocationHandler(ComponentInvocationHandler java:99)_x000D_
	at dagger reflect ComponentInvocationHandler invoke(ComponentInvocationHandler java:64)_x000D_
	at com sun proxy  Proxy14 provideFactory(Unknown Source)_x000D_
	at test AppComponentKt main(AppComponent kt:38)_x000D_
	at test AppComponentKt main(AppComponent kt)_x000D_
   _x000D_
_x000D_
Kapt dagger handles this code fine _x000D_
</t>
  </si>
  <si>
    <t>skynet-im-skynet-android-8</t>
  </si>
  <si>
    <t>Message selection UI fault</t>
  </si>
  <si>
    <t xml:space="preserve">  Describe the bug  _x000D_
When the user selects messages in a chat the app sometimes doesn t display the correct message as selected but usually one message above   Twometer mentioned that this can even lead to crashes in some cases _x000D_
_x000D_
  Expected behavior  _x000D_
The UI should always show the message a selected that the user clicked on </t>
  </si>
  <si>
    <t>material-components-material-components-android-655</t>
  </si>
  <si>
    <t>[Catalog App] Crash when running Demo of Shape Theming</t>
  </si>
  <si>
    <t xml:space="preserve">  Description:   As described in the title  the demo app intituled   catalog debug   that i ve downloaded from  https:  github com material components material components android releases download 1 1 0 beta01 catalog debug apk (url) crashes when i try to start the Demo or any additional example of Sahpe Theaming _x000D_
_x000D_
  Expected behavior:   N A_x000D_
_x000D_
  Source code:   Crash Log below_x000D_
 E: FATAL EXCEPTION: main_x000D_
    Process: io material catalog  PID: 2061_x000D_
    java lang ClassCastException: androidx appcompat view ContextThemeWrapper cannot be cast to android app Activity_x000D_
        at io material catalog feature DemoUtils shouldApplyBottomInset(DemoUtils java:129)_x000D_
        at io material catalog feature DemoUtils access 000(DemoUtils java:33)_x000D_
        at io material catalog feature DemoUtils 1 onLayoutChange(DemoUtils java:95)_x000D_
        at android view View layout(View java:22416)_x000D_
        at android view ViewGroup layout(ViewGroup java:6577)_x000D_
        at androidx coordinatorlayout widget CoordinatorLayout layoutChild(CoordinatorLayout java:1193)_x000D_
        at androidx coordinatorlayout widget CoordinatorLayout onLayoutChild(CoordinatorLayout java:880)_x000D_
        at androidx coordinatorlayout widget CoordinatorLayout onLayout(CoordinatorLayout java:899)_x000D_
        at android view View layout(View java:22398)_x000D_
        at android view ViewGroup layout(ViewGroup java:6577)_x000D_
        at android widget LinearLayout setChildFrame(LinearLayout java:1812)_x000D_
        at android widget LinearLayout layoutVertical(LinearLayout java:1656)_x000D_
        at android widget LinearLayout onLayout(LinearLayout java:1565)_x000D_
        at android view View layout(View java:22398)_x000D_
        at android view ViewGroup layout(ViewGroup java:6577)_x000D_
        at android widget FrameLayout layoutChildren(FrameLayout java:323)_x000D_
        at android widget FrameLayout onLayout(FrameLayout java:261)_x000D_
        at android view View layout(View java:22398)_x000D_
        at android view ViewGroup layout(ViewGroup java:6577)_x000D_
        at android widget FrameLayout layoutChildren(FrameLayout java:323)_x000D_
        at android widget FrameLayout onLayout(FrameLayout java:261)_x000D_
        at android view View layout(View java:22398)_x000D_
        at android view ViewGroup layout(ViewGroup java:6577)_x000D_
        at android widget FrameLayout layoutChildren(FrameLayout java:323)_x000D_
        at android widget FrameLayout onLayout(FrameLayout java:261)_x000D_
        at android view View layout(View java:22398)_x000D_
        at android view ViewGroup layout(ViewGroup java:6577)_x000D_
        at android widget FrameLayout layoutChildren(FrameLayout java:323)_x000D_
        at android widget FrameLayout onLayout(FrameLayout java:261)_x000D_
        at android view View layout(View java:22398)_x000D_
        at android view ViewGroup layout(ViewGroup java:6577)_x000D_
        at android widget LinearLayout setChildFrame(LinearLayout java:1812)_x000D_
        at android widget LinearLayout layoutVertical(LinearLayout java:1656)_x000D_
        at android widget LinearLayout onLayout(LinearLayout java:1565)_x000D_
        at android view View layout(View java:22398)_x000D_
        at android view ViewGroup layout(ViewGroup java:6577)_x000D_
        at android widget FrameLayout layoutChildren(FrameLayout java:323)_x000D_
        at android widget FrameLayout onLayout(FrameLayout java:261)_x000D_
        at com android internal policy DecorView onLayout(DecorView java:1042)_x000D_
        at android view View layout(View java:22398)_x000D_
        at android view ViewGroup layout(ViewGroup java:6577)_x000D_
        at android view ViewRootImpl performLayout(ViewRootImpl java:3340)_x000D_
        at android view ViewRootImpl performTraversals(ViewRootImpl java:2804)_x000D_
        at android view ViewRootImpl doTraversal(ViewRootImpl java:1850)_x000D_
        at android view ViewRootImpl TraversalRunnable run(ViewRootImpl java:8455)_x000D_
        at android view Choreographer CallbackRecord run(Choreographer java:949)_x000D_
        at android view Choreographer doCallbacks(Choreographer java:761)_x000D_
        at android view Choreographer doFrame(Choreographer java:696)_x000D_
        at android view Choreographer FrameDisplayEventReceiver run(Choreographer java:935)_x000D_
        at android os Handler handleCallback(Handler java:873)_x000D_
        at android os Handler dispatchMessage(Handler java:99)_x000D_
        at android os Looper loop(Looper java:214)_x000D_
        at android app ActivityThread main(ActivityThread java:6981)_x000D_
        at java lang reflect Method invoke(Native Method)_x000D_
        at com android internal os RuntimeInit MethodAndArgsCaller run(RuntimeInit java:493)_x000D_
        at com android internal os ZygoteInit main(ZygoteInit java:1445) _x000D_
_x000D_
  Android API version:   27_x000D_
_x000D_
  Material Library version:   1 1 0 beta01_x000D_
_x000D_
  Device:   Samsung Galaxy S9 </t>
  </si>
  <si>
    <t>getsentry-sentry-java-773</t>
  </si>
  <si>
    <t>Crash in capture method on Huawei devices</t>
  </si>
  <si>
    <t>I have not been able to reproduce yet  but getting a significant amount of crashes reported in Google Play where trying to send a non fatal exception causes a fatal exception to be thrown _x000D_
   _x000D_
java lang RuntimeException: _x000D_
  at huawei android app HwApiCacheMangerEx getPackageInfoAsUser (HwApiCacheMangerEx java:194)_x000D_
  at android app ApplicationPackageManager getPackageInfoAsUser (ApplicationPackageManager java:197)_x000D_
  at android app ApplicationPackageManager getPackageInfo (ApplicationPackageManager java:174)_x000D_
  at io sentry android event helper AndroidEventBuilderHelper getPackageInfo (AndroidEventBuilderHelper java:188)_x000D_
  at io sentry android event helper AndroidEventBuilderHelper helpBuildingEvent (AndroidEventBuilderHelper java:57)_x000D_
  at io sentry SentryClient runBuilderHelpers (SentryClient java:117)_x000D_
  at io sentry SentryClient buildEvent (SentryClient java:196)_x000D_
  at io sentry SentryClient sendEvent (SentryClient java:151)_x000D_
  at io sentry SentryClient sendException (SentryClient java:224)_x000D_
  at io sentry Sentry capture (Sentry java:194)_x000D_
  at com myapp SentryTree log(SentryTree java:69)_x000D_
   _x000D_
_x000D_
Although this is probably a bug in the OS  I think it would be good to not crash the app when trying to report a non fatal crash</t>
  </si>
  <si>
    <t>nextcloud-android-4618</t>
  </si>
  <si>
    <t>Nextcloud client android crashes caller no longer running</t>
  </si>
  <si>
    <t xml:space="preserve">    Actual behaviour_x000D_
  Out of nowhere this morninf  nextcloud client android crashes each time I open it _x000D_
_x000D_
    Expected behaviour_x000D_
  It should open normally _x000D_
 _x000D_
    Steps to reproduce_x000D_
1  Open nextcloud client _x000D_
_x000D_
_x000D_
    Environment data_x000D_
Android version:_x000D_
LineageOs 9_x000D_
Device model: _x000D_
OnePlus 3t_x000D_
Stock or customized system:_x000D_
Custom_x000D_
Nextcloud app version:_x000D_
3 8 0_x000D_
Nextcloud server version:_x000D_
16 0 3_x000D_
_x000D_
Also  I have two nextcloud server  identical in version _x000D_
_x000D_
    Logs_x000D_
     Web server error log_x000D_
   _x000D_
No real log: there are logs relates to my PC nextcloud client but nothing for android when it crashes _x000D_
   _x000D_
_x000D_
     Nextcloud log (data nextcloud log)_x000D_
   _x000D_
_x000D_
   _x000D_
Nextcloud client stacktrace log_x000D_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java lang SecurityException: Caller no longer running  last stopped  2s616ms because: timed out while starting_x000D_
	at android os Parcel createException(Parcel java:1950)_x000D_
	at android os Parcel readException(Parcel java:1918)_x000D_
	at android os Parcel readException(Parcel java:1868)_x000D_
	at android app job IJobCallback Stub Proxy dequeueWork(IJobCallback java:195)_x000D_
	at android app job JobParameters dequeueWork(JobParameters java:243)_x000D_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Caused by: android os RemoteException: Remote stack trace:_x000D_
	at com android server job JobServiceContext assertCallerLocked(JobServiceContext java:481)_x000D_
	at com android server job JobServiceContext doDequeueWork(JobServiceContext java:359)_x000D_
	at com android server job JobServiceContext JobCallback dequeueWork(JobServiceContext java:160)_x000D_
	at android app job IJobCallback Stub onTransact(IJobCallback java:83)_x000D_
	at android os Binder execTransact(Binder java:731)_x000D_
_x000D_
_x000D_
             APP INFORMATION             _x000D_
ID: com nextcloud client_x000D_
Version: 30080090_x000D_
Build flavor: generic_x000D_
_x000D_
             DEVICE INFORMATION             _x000D_
Brand: OnePlus_x000D_
Device: OnePlus3T_x000D_
Model: ONEPLUS A3003_x000D_
Id: PQ3A 190801 002_x000D_
Product: lineage oneplus3_x000D_
_x000D_
             FIRMWARE             _x000D_
SDK: 28_x000D_
Release: 9_x000D_
Incremental: 63bfeb526b_x000D_
_x000D_
   _x000D_
_x000D_
  NOTE:   Be super sure to remove sensitive data like passwords  note that everybody can look here  You can use the Issue Template application to prefill some of the required information: https:  apps nextcloud com apps issuetemplate_x000D_
</t>
  </si>
  <si>
    <t>jMonkeyEngine-jmonkeyengine-1197</t>
  </si>
  <si>
    <t>ClassCastException in LODGeomap.createMesh()</t>
  </si>
  <si>
    <t xml:space="preserve">In recent master branch  jme3test bullet TestIssue1125 crashes with the following stack trace:_x000D_
   _x000D_
SEVERE: Uncaught exception thrown in Thread jME3 Main 5 main _x000D_
java lang ClassCastException: java nio DirectByteBuffer cannot be cast to java nio ShortBuffer_x000D_
	at com jme3 terrain geomipmap LODGeomap createMesh(LODGeomap java:89)_x000D_
	at com jme3 terrain geomipmap LODGeomap createMesh(LODGeomap java:77)_x000D_
	at com jme3 terrain geomipmap TerrainPatch  init (TerrainPatch java:190)_x000D_
	at com jme3 terrain geomipmap TerrainQuad createQuadPatch(TerrainQuad java:709)_x000D_
	at com jme3 terrain geomipmap TerrainQuad split(TerrainQuad java:554)_x000D_
	at com jme3 terrain geomipmap TerrainQuad  init (TerrainQuad java:223)_x000D_
	at com jme3 terrain geomipmap TerrainQuad  init (TerrainQuad java:176)_x000D_
	at com jme3 terrain geomipmap TerrainQuad  init (TerrainQuad java:157)_x000D_
	at jme3test bullet TestIssue1125 addTerrain(TestIssue1125 java:122)_x000D_
	at jme3test bullet TestIssue1125 simpleInitApp(TestIssue1125 java:110)_x000D_
	at com jme3 app SimpleApplication initialize(SimpleApplication java:237)_x000D_
	at com jme3 system lwjgl LwjglAbstractDisplay initInThread(LwjglAbstractDisplay java:130)_x000D_
	at com jme3 system lwjgl LwjglAbstractDisplay run(LwjglAbstractDisplay java:211)_x000D_
	at java lang Thread run(Thread java:748)_x000D_
   _x000D_
_x000D_
A quick glance at the source code suggests this has to do with PR  1136 </t>
  </si>
  <si>
    <t>greenaddress-abcore-98</t>
  </si>
  <si>
    <t>Target Android 9, to allow Android 10 devices to execute binaries from app home dir</t>
  </si>
  <si>
    <t>Android 10 won t allow apps targeting Android 10 to excute binaries from its app home directory  Currently this causes ABCore on Android 10 to fail launching  tor  and  bitcoind  and crash soon afterwards _x000D_
_x000D_
This PR rolls back ABCore to target Android 9 (API level 28) in order to fix this temporarily  See issue  97 for more details and discussion of future options</t>
  </si>
  <si>
    <t>nextcloud-android-4615</t>
  </si>
  <si>
    <t>Crash after granting app permission for login</t>
  </si>
  <si>
    <t xml:space="preserve">    Actual behaviour_x000D_
  app crashes_x000D_
_x000D_
    Expected behaviour_x000D_
  app should show files in account _x000D_
 _x000D_
    Steps to reproduce_x000D_
1  Login to your nextcloud instance _x000D_
2  Grant the permission for app to login_x000D_
3  Grant or prevent file permission (for android system) that app requests from you_x000D_
4  App crashes_x000D_
5  Open app again and app crashes even after force stop and    _x000D_
_x000D_
_x000D_
    Environment data_x000D_
Android version: 9_x000D_
_x000D_
Device model: Honor 10 lite_x000D_
_x000D_
Stock or customized system: stock   work profile _x000D_
_x000D_
Nextcloud app version: latest   3 8 0_x000D_
_x000D_
Nextcloud server version: 16 0 4_x000D_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Crash log:_x000D_
_x000D_
             CAUSE OF ERROR             _x000D_
_x000D_
java lang RuntimeException: Error receiving broadcast Intent   act com owncloud android operations RefreshFolderOperation EVENT SINGLE FOLDER CONTENTS SYNCED flg 0x10 pkg com nextcloud client (has extras)   in com owncloud android ui activity FileDisplayActivity SyncBroadcastReceiver 98aff4e_x000D_
	at android app LoadedApk ReceiverDispatcher Args lambda getRunnable 0(LoadedApk java:1533)_x000D_
	at android app    Lambda LoadedApk ReceiverDispatcher Args  BumDX2UKsnxLVrE6UJsJZkotuA run(Unknown Source:2)_x000D_
	at android os Handler handleCallback(Handler java:891)_x000D_
	at android os Handler dispatchMessage(Handler java:102)_x000D_
	at android os Looper loop(Looper java:207)_x000D_
	at android app ActivityThread main(ActivityThread java:7539)_x000D_
	at java lang reflect Method invoke(Native Method)_x000D_
	at com android internal os RuntimeInit MethodAndArgsCaller run(RuntimeInit java:524)_x000D_
	at com android internal os ZygoteInit main(ZygoteInit java:958)_x000D_
Caused by: java lang SecurityException: Permission Denial: unbroadcastIntent() from pid 12382  uid 1010280 requires android permission BROADCAST STICKY_x000D_
	at android os Parcel createException(Parcel java:1953)_x000D_
	at android os Parcel readException(Parcel java:1921)_x000D_
	at android os Parcel readException(Parcel java:1871)_x000D_
	at android app IActivityManager Stub Proxy unbroadcastIntent(IActivityManager java:3873)_x000D_
	at android app ContextImpl removeStickyBroadcast(ContextImpl java:1552)_x000D_
	at android content ContextWrapper removeStickyBroadcast(ContextWrapper java:588)_x000D_
	at com owncloud android ui activity FileDisplayActivity SyncBroadcastReceiver onReceive(FileDisplayActivity java:1466)_x000D_
	at android app LoadedApk ReceiverDispatcher Args lambda getRunnable 0(LoadedApk java:1520)_x000D_
	    8 more_x000D_
Caused by: android os RemoteException: Remote stack trace:_x000D_
	at com android server am ActivityManagerService unbroadcastIntent(ActivityManagerService java:23812)_x000D_
	at android app IActivityManager Stub onTransact(IActivityManager java:183)_x000D_
	at com android server am ActivityManagerService onTransact(ActivityManagerService java:3632)_x000D_
	at com android server am HwActivityManagerService onTransact(HwActivityManagerService java:628)_x000D_
	at android os Binder execTransact(Binder java:739)_x000D_
_x000D_
_x000D_
             APP INFORMATION             _x000D_
ID: com nextcloud client_x000D_
Version: 30080090_x000D_
Build flavor: gplay_x000D_
_x000D_
             DEVICE INFORMATION             _x000D_
Brand: HONOR_x000D_
Device: HWHRY H_x000D_
Model: HRY LX1MEB_x000D_
Id: HONORHRY LX1MEB_x000D_
Product: HRY LX1MEB_x000D_
_x000D_
             FIRMWARE             _x000D_
SDK: 28_x000D_
Release: 9_x000D_
</t>
  </si>
  <si>
    <t>nextcloud-android-4614</t>
  </si>
  <si>
    <t>[Crash] Couldn't read row 1062</t>
  </si>
  <si>
    <t xml:space="preserve">    Actual behaviour_x000D_
  App crashes when updating files view_x000D_
_x000D_
    Expected behaviour_x000D_
  Should not crash_x000D_
 _x000D_
    Steps to reproduce_x000D_
0  Have a large nextcloud instance _x000D_
1  Open the app_x000D_
2  Swipe down in the files view_x000D_
3  App becomes unresponsive and crashes  (App seems to always crash with  Couldn t read row 1062 )_x000D_
_x000D_
             CAUSE OF ERROR             _x000D_
java lang IllegalStateException: Couldn t read row 1062  col 0 from CursorWindow   Make sure the Cursor is initialized correctly before accessing data from it _x000D_
	at android database CursorWindow nativeGetLong(Native Method)_x000D_
	at android database CursorWindow getLong(CursorWindow java:511)_x000D_
	at android database AbstractWindowedCursor getLong(AbstractWindowedCursor java:75)_x000D_
	at com owncloud android providers FileContentProvider deleteDirectory(FileContentProvider java:172)_x000D_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delete(FileContentProvider java:107)_x000D_
	at android content ContentProviderOperation apply(ContentProviderOperation java:311)_x000D_
	at com owncloud android providers FileContentProvider applyBatch(FileContentProvider java:661)_x000D_
	at android content ContentProvider Transport applyBatch(ContentProvider java:315)_x000D_
	at android content ContentProviderClient applyBatch(ContentProviderClient java:419)_x000D_
	at android content ContentResolver applyBatch(ContentResolver java:1275)_x000D_
	at com owncloud android datamodel FileDataStorageManager saveFolder(FileDataStorageManager java:399)_x000D_
	at com owncloud android operations RefreshFolderOperation synchronizeData(RefreshFolderOperation java:441)_x000D_
	at com owncloud android operations RefreshFolderOperation fetchAndSyncRemoteFolder(RefreshFolderOperation java:339)_x000D_
	at com owncloud android operations RefreshFolderOperation run(RefreshFolderOperation java:224)_x000D_
	at com owncloud android lib common operations RemoteOperation run(RemoteOperation java:299)_x000D_
	at java lang Thread run(Thread java:818)_x000D_
_x000D_
             APP INFORMATION             _x000D_
ID: com nextcloud client_x000D_
Version: 30080090_x000D_
Build flavor: gplay_x000D_
_x000D_
             DEVICE INFORMATION             _x000D_
Brand: oneplus_x000D_
Device: A0001_x000D_
Model: A0001_x000D_
Id: MHC19Q_x000D_
Product: bacon_x000D_
_x000D_
             FIRMWARE             _x000D_
SDK: 23_x000D_
Release: 6 0 1_x000D_
Incremental: 2b5f277d1c_x000D_
</t>
  </si>
  <si>
    <t>IEEE-VIT-calci-android-6</t>
  </si>
  <si>
    <t>Crash on pressing operator buttons</t>
  </si>
  <si>
    <t>App crashed if any operator button in pressed at the very start without entering anything</t>
  </si>
  <si>
    <t>Haptic-Apps-Slide-3076</t>
  </si>
  <si>
    <t>Slide crashes when clicking image of certain post</t>
  </si>
  <si>
    <t xml:space="preserve">Slide version: 6 2 2
Android version: 9 (Huawei P30) 
Slide crashes when I click on the image of this post:
https:  www reddit com r gaming comments ddzc08 uzevediah knows whats up 
This does not happen for other posts </t>
  </si>
  <si>
    <t>nextcloud-android-4610</t>
  </si>
  <si>
    <t>Changing the account/domain does not work</t>
  </si>
  <si>
    <t xml:space="preserve">    Actual behaviour_x000D_
  I changed the domain of my nc install  As In wanted to change the same in the apps account settings  After the basic input I wanted to see the details for the second account but at first the app did not load for a long time and than it crashed _x000D_
_x000D_
    Expected behaviour_x000D_
  App accepts the new domain and lets me proceed _x000D_
 _x000D_
    Steps to reproduce_x000D_
1  Open account setting _x000D_
2  Add new account _x000D_
3  App freezes or quits _x000D_
_x000D_
_x000D_
    Environment data_x000D_
Android version: 8 1_x000D_
_x000D_
Device model: Moto G5_x000D_
_x000D_
Stock or customized system: Stock_x000D_
_x000D_
Nextcloud app version: 3 8 9_x000D_
_x000D_
Nextcloud server version: 16 0 5_x000D_
_x000D_
    Logs_x000D_
     Web server error log_x000D_
Could not find that one : )_x000D_
_x000D_
     Nextcloud log (data nextcloud log)_x000D_
             CAUSE OF ERROR             _x000D_
_x000D_
java lang NullPointerException: Attempt to invoke virtual method  void android widget TextView setText(java lang CharSequence)  on a null object reference_x000D_
	at com owncloud android ui activity UserInfoActivity populateUserInfoUi(UserInfoActivity java:259)_x000D_
	at com owncloud android ui activity UserInfoActivity lambda null 0 UserInfoActivity(UserInfoActivity java:377)_x000D_
	at com owncloud android ui activity    Lambda UserInfoActivity gWBfB6Gsuel8SADkZiTj2AR AJs run(Unknown Source:2)_x000D_
	at android os Handler handleCallback(Handler java:790)_x000D_
	at android os Handler dispatchMessage(Handler java:99)_x000D_
	at android os Looper loop(Looper java:164)_x000D_
	at android app ActivityThread main(ActivityThread java:6626)_x000D_
	at java lang reflect Method invoke(Native Method)_x000D_
	at com android internal os RuntimeInit MethodAndArgsCaller run(RuntimeInit java:438)_x000D_
	at com android internal os ZygoteInit main(ZygoteInit java:811)_x000D_
_x000D_
             APP INFORMATION             _x000D_
ID: com nextcloud client_x000D_
Version: 30080090_x000D_
Build flavor: generic_x000D_
_x000D_
             DEVICE INFORMATION             _x000D_
Brand: motorola_x000D_
Device: sanders n_x000D_
Model: Moto G (5S) Plus_x000D_
Id: OPSS28 65 36 11 4_x000D_
Product: sanders n_x000D_
_x000D_
             FIRMWARE             _x000D_
SDK: 27_x000D_
Release: 8 1 0_x000D_
Incremental: b6557_x000D_
_x000D_
_x000D_
  NOTE:   Be super sure to remove sensitive data like passwords  note that everybody can look here  You can use the Issue Template application to prefill some of the required information: https:  apps nextcloud com apps issuetemplate_x000D_
</t>
  </si>
  <si>
    <t>zood-george-58</t>
  </si>
  <si>
    <t>OscarSocket listener should be mutable</t>
  </si>
  <si>
    <t xml:space="preserve">The MainFragment needs to be able to unsubscribe when it s stopped  or else you may get crashes like the following:_x000D_
_x000D_
   _x000D_
2019 10 05 20:20:54 284 26964 19383   E AndroidRuntime: FATAL EXCEPTION: pool 1 thread 185_x000D_
    Process: xyz zood george  PID: 26964_x000D_
    java lang IllegalStateException: Fragment MainFragment 624016d (e9a4d73c 3d17 4e05 935d ff9392c9e7e8)  not attached to a context _x000D_
        at androidx fragment app Fragment requireContext(Fragment java:774)_x000D_
        at xyz zood george MainFragment 24 onPushNotificationReceived(MainFragment java:1185)_x000D_
        at io pijun george api OscarSocket 5 run(OscarSocket java:173)_x000D_
        at java util concurrent ThreadPoolExecutor runWorker(ThreadPoolExecutor java:1167)_x000D_
        at java util concurrent ThreadPoolExecutor Worker run(ThreadPoolExecutor java:641)_x000D_
        at java lang Thread run(Thread java:919)_x000D_
2019 10 05 20:20:54 284 26964 19385   E AndroidRuntime: FATAL EXCEPTION: pool 1 thread 188_x000D_
    Process: xyz zood george  PID: 26964_x000D_
    java lang IllegalStateException: Fragment MainFragment 624016d (e9a4d73c 3d17 4e05 935d ff9392c9e7e8)  not attached to a context _x000D_
        at androidx fragment app Fragment requireContext(Fragment java:774)_x000D_
        at xyz zood george MainFragment 24 onPushNotificationReceived(MainFragment java:1185)_x000D_
        at io pijun george api OscarSocket 5 run(OscarSocket java:173)_x000D_
        at java util concurrent ThreadPoolExecutor runWorker(ThreadPoolExecutor java:1167)_x000D_
        at java util concurrent ThreadPoolExecutor Worker run(ThreadPoolExecutor java:641)_x000D_
        at java lang Thread run(Thread java:919)_x000D_
   </t>
  </si>
  <si>
    <t>MozillaReality-FirefoxReality-1918</t>
  </si>
  <si>
    <t>Handle exceptions thrown by java.net.URI</t>
  </si>
  <si>
    <t xml:space="preserve">Handles the following crashes from unhandled exceptions:_x000D_
https:  crash stats mozilla com report index a0367f38 55b1 45d4 bcfc 27d150191004_x000D_
https:  crash stats mozilla com report index 1815e4cf c2b3 4630 ab42 c15990191004_x000D_
</t>
  </si>
  <si>
    <t>bluelinelabs-Conductor-567</t>
  </si>
  <si>
    <t>NullPointerException with unregisterForActivityResults</t>
  </si>
  <si>
    <t xml:space="preserve">I am using the 3 0 0 rc2 version of conductor and seeing this crash occasionally when popping a current controller:_x000D_
_x000D_
   _x000D_
java lang NullPointerException: Attempt to invoke virtual method  void com bluelinelabs conductor internal LifecycleHandler unregisterForActivityResults(java lang String)  on a null object reference_x000D_
at com bluelinelabs conductor ActivityHostedRouter unregisterForActivityResults(ActivityHostedRouter java:105)_x000D_
at com bluelinelabs conductor Controller destroy(Controller java:1114)_x000D_
at com bluelinelabs conductor Controller destroy(Controller java:1107)_x000D_
at com bluelinelabs conductor Backstack pop(Backstack java:61)_x000D_
at com bluelinelabs conductor Router popController(Router java:137)_x000D_
at com bluelinelabs conductor Router popCurrentController(Router java:120)_x000D_
   _x000D_
_x000D_
I ve reviewed a few of the previous issues and they are marked as closed from the 2 x version _x000D_
_x000D_
Any suggestions or direction here  </t>
  </si>
  <si>
    <t>openid-AppAuth-Android-499</t>
  </si>
  <si>
    <t>NPE with auth intent</t>
  </si>
  <si>
    <t>We have seen few cases of app crashes due to NPE for authIntent object  _x000D_
_x000D_
Please add a null check for this intent _x000D_
_x000D_
https:  github com openid AppAuth Android blob master library java net openid appauth AuthorizationManagementActivity java L218_x000D_
_x000D_
Requesting team to label it as bug</t>
  </si>
  <si>
    <t>moberwasserlechner-capacitor-oauth2-55</t>
  </si>
  <si>
    <t>Android crash with NullPointerException</t>
  </si>
  <si>
    <t xml:space="preserve">In google console I see a handful of crashes with the following stacktrace attached_x000D_
   _x000D_
Caused by: java lang NullPointerException: _x000D_
 _x000D_
  at com byteowls capacitor oauth2 OAuth2ClientPlugin handleOnActivityResult (OAuth2ClientPlugin java:224)_x000D_
  at com getcapacitor Bridge onActivityResult (Bridge java:748)_x000D_
  at com getcapacitor BridgeActivity onActivityResult (BridgeActivity java:209)_x000D_
  at android app Activity dispatchActivityResult (Activity java:7634)_x000D_
  at android app ActivityThread deliverResults (ActivityThread java:4622)_x000D_
   _x000D_
_x000D_
Any idea what might be causing this _x000D_
_x000D_
Using version 1 0 1 with the following invocation:_x000D_
   ts_x000D_
return from(Plugins OAuth2Client authenticate(_x000D_
       _x000D_
        appId: this  appConfig thirdPartyAPIs googleOAuth clientId web _x000D_
        authorizationBaseUrl:  https:  accounts google com o oauth2 auth  _x000D_
        accessTokenEndpoint:  https:  www googleapis com oauth2 v4 token  _x000D_
        scope:  email profile  _x000D_
        resourceUrl:  https:  www googleapis com userinfo v2 me  _x000D_
        web:  _x000D_
          redirectUrl:  http:  localhost:4200  _x000D_
          windowOptions:  height 600 left 0 top 0 _x000D_
          _x000D_
        android:  _x000D_
          appId: this  appConfig thirdPartyAPIs googleOAuth clientId android _x000D_
          responseType:  code   _x000D_
          customScheme:  com myapp android:  _x000D_
          _x000D_
        ios:  _x000D_
          appId: this  appConfig thirdPartyAPIs googleOAuth clientId ios _x000D_
          responseType:  code   _x000D_
          customScheme:  com myapp myapp:  _x000D_
         _x000D_
       _x000D_
    )_x000D_
   </t>
  </si>
  <si>
    <t>davidohayon669-react-native-youtube-399</t>
  </si>
  <si>
    <t xml:space="preserve">app crashed when place Youtube component inside a pop up modal "Android" </t>
  </si>
  <si>
    <t xml:space="preserve">The component renders fine on IOS pop up modal but on Android it crashes without any errors  </t>
  </si>
  <si>
    <t>cgeo-cgeo-7875</t>
  </si>
  <si>
    <t>cgeo wont run unless you update Google Play Services</t>
  </si>
  <si>
    <t xml:space="preserve">While trying a quick check of current nightlies on different test devices I encountered the following:
Device:
Samsung Galaxy S3 with older Cyanogen Mod running Android 6 0 1
Version:
2019 10 02 NB
Sequence:
  Install nightly
  Enter credentials following first steps
  Start live map
Result:
  Instead of the live map a prompt is shown saying  c:geo won t run unless you update Google Play Services  and an  Update  button below 
  Live map loading indication keeps showins but nothing happens
  Clicking on  Update  makes c:geo crash
  When changing the map source to OSM:Map the live map works normal  Only Google maps affected
Is this message produced by us or some side effect of something else
Probably this device does not have any Google Play Services on board (due to Cyanogen Mod)  but I have to doublecheck 
However this should not prevent the app (especially Google Maps) from working  should it </t>
  </si>
  <si>
    <t>Hack1nFzyz-Hack1nFzyz-5</t>
  </si>
  <si>
    <t>Use onSaveInstanceState() and onRestoreInstanceState()</t>
  </si>
  <si>
    <t xml:space="preserve">    Important    Please update to the latest version and retry before you submit a new issue   _x000D_
_x000D_
                                _x000D_
_x000D_
  Note: Not all of the following are required  As long as the bug is concisely described  your submission is valid and helpful   _x000D_
_x000D_
                                          _x000D_
_x000D_
_x000D_
_x000D_
   1  Describe the bug       _x000D_
_x000D_
A clear and concise description of what the bug is  and label it as  bug  _x000D_
_x000D_
    Use onSaveInstanceState() and onRestoreInstanceState() to save layout when changed _x000D_
_x000D_
_x000D_
_x000D_
   2  To Reproduce     _x000D_
_x000D_
Steps to reproduce the behavior:_x000D_
_x000D_
1  Click button (   )_x000D_
2  Type (   )_x000D_
3  Click button (   )_x000D_
4  (   )_x000D_
5  Error appears App crashes_x000D_
_x000D_
_x000D_
   3  Expected behavior      _x000D_
_x000D_
A clear and concise description of what you expected to happen                   _x000D_
_x000D_
    (Write here   )_x000D_
_x000D_
_x000D_
_x000D_
   4  Environment:      _x000D_
_x000D_
    Android Version  e g   Android 9 0 : (   )_x000D_
_x000D_
    ROM Version  e g   Miui 10 9 6 13   Beta : (   )_x000D_
_x000D_
_x000D_
   5  Additional Context      _x000D_
_x000D_
Add any other context about the problem here _x000D_
_x000D_
    (Write here   )</t>
  </si>
  <si>
    <t>nextcloud-android-4603</t>
  </si>
  <si>
    <t>App crash during sync of folder</t>
  </si>
  <si>
    <t xml:space="preserve">    Actual behaviour_x000D_
  App crashes when syncing a folder in background_x000D_
_x000D_
    Expected behaviour_x000D_
  should sync the folder without crash_x000D_
 _x000D_
    Steps to reproduce_x000D_
1  Sync folder_x000D_
2  Put client into background_x000D_
3  _x000D_
_x000D_
_x000D_
    Environment data_x000D_
Android version:_x000D_
_x000D_
9_x000D_
_x000D_
Device model: _x000D_
_x000D_
OnePlus 5_x000D_
_x000D_
Stock or customized system:_x000D_
_x000D_
Nextcloud app version:_x000D_
_x000D_
30080151_x000D_
_x000D_
Nextcloud server version:_x000D_
_x000D_
16 04_x000D_
_x000D_
    Logs_x000D_
_x000D_
             CAUSE OF ERROR             _x000D_
_x000D_
android app RemoteServiceException: Context startForegroundService() did not then call Service startForeground(): ServiceRecord 61de375 u0 com nextcloud client com owncloud android services OperationsService _x000D_
	at android app ActivityThread H handleMessage(ActivityThread java:1863)_x000D_
	at android os Handler dispatchMessage(Handler java:106)_x000D_
	at android os Looper loop(Looper java:193)_x000D_
	at android app ActivityThread main(ActivityThread java:6940)_x000D_
	at java lang reflect Method invoke(Native Method)_x000D_
	at com android internal os RuntimeInit MethodAndArgsCaller run(RuntimeInit java:537)_x000D_
	at com android internal os ZygoteInit main(ZygoteInit java:858)_x000D_
_x000D_
             APP INFORMATION             _x000D_
ID: com nextcloud client_x000D_
Version: 30080151_x000D_
Build flavor: gplay_x000D_
_x000D_
             DEVICE INFORMATION             _x000D_
Brand: OnePlus_x000D_
Device: OnePlus5_x000D_
Model: ONEPLUS A5000_x000D_
Id: PKQ1 180716 001_x000D_
Product: OnePlus5_x000D_
_x000D_
             FIRMWARE             _x000D_
SDK: 28_x000D_
Release: 9_x000D_
Incremental: 1906100000_x000D_
_x000D_
_x000D_
</t>
  </si>
  <si>
    <t>evernote-android-job-591</t>
  </si>
  <si>
    <t>No virtual method setInitialDelay() with WorkManager 2.2.0</t>
  </si>
  <si>
    <t xml:space="preserve">Using the latest stable releases of android job and WorkManager:_x000D_
_x000D_
   _x000D_
implementation  com evernote:android job:1 4 1 _x000D_
implementation  androidx work:work runtime:2 2 0 _x000D_
   _x000D_
_x000D_
I get this crash when I try to schedule a job:_x000D_
_x000D_
   _x000D_
 Caused by: java lang NoSuchMethodError: No virtual method setInitialDelay(JLjava util concurrent TimeUnit )Landroidx work OneTimeWorkRequest Builder  in class Landroidx work OneTimeWorkRequest Builder  or its super classes (declaration of  androidx work OneTimeWorkRequest Builder  appears in  data app com youneedabudget evergreen app develop Kx7Jp9uBEt29bXoJWoCEcw   base apk)_x000D_
    at com evernote android job work JobProxyWorkManager plantOneOff(JobProxyWorkManager java:50)_x000D_
    at com evernote android job JobManager scheduleWithApi(JobManager java:244)_x000D_
    at com evernote android job JobManager schedule(JobManager java:199)_x000D_
    at com evernote android job JobRequest schedule(JobRequest java:430)_x000D_
   _x000D_
_x000D_
This is the first time I have tried to add the WorkManager dependency  so I don t know if it worked with older (or non AndroidX) WorkManager versions  Previously I was just using android job s default implementation without WorkManager  and that has always worked fine _x000D_
_x000D_
If I remove the WorkManager dependency then everything works _x000D_
_x000D_
I am using Jetifier _x000D_
</t>
  </si>
  <si>
    <t>moagrius-TileView-535</t>
  </si>
  <si>
    <t>App killed in background crashes when returning to foreground</t>
  </si>
  <si>
    <t xml:space="preserve">Steps to reproduce:_x000D_
1  Put  TileView  in layout _x000D_
2  Set layout as content view in Activity_x000D_
3  Background the app _x000D_
4  Kill the process (either system or  Terminate Application  from logcat)_x000D_
5  Foreground the app _x000D_
_x000D_
Expected Results:_x000D_
Does not crash_x000D_
_x000D_
Actual Results:_x000D_
App crashes _x000D_
Stack dump below _x000D_
_x000D_
Note: This does appear to be from the save state from  com moagrius widget ScalingScrollView  _x000D_
_x000D_
 FATAL EXCEPTION: main_x000D_
    Process: com example  PID: 28646_x000D_
    android os BadParcelableException: ClassNotFoundException when unmarshalling: com moagrius widget ScalingScrollView ScrollScaleState_x000D_
        at android os Parcel readParcelableCreator(Parcel java:2839)_x000D_
        at android os Parcel readParcelable(Parcel java:2765)_x000D_
        at android view AbsSavedState  init (AbsSavedState java:67)_x000D_
        at android view View BaseSavedState  init (View java:26247)_x000D_
        at android view View BaseSavedState  init (View java:26236)_x000D_
        at com moagrius widget ScrollView SavedState  init (ScrollView java:991)_x000D_
        at com moagrius widget ScalingScrollView ScrollScaleState  init (ScalingScrollView java:330)_x000D_
        at com moagrius widget ScalingScrollView ScrollScaleState 1 createFromParcel(ScalingScrollView java:347)_x000D_
        at com moagrius widget ScalingScrollView ScrollScaleState 1 createFromParcel(ScalingScrollView java:345)_x000D_
        at android os Parcel readParcelable(Parcel java:2774)_x000D_
        at android os Parcel readValue(Parcel java:2668)_x000D_
        at android os Parcel readSparseArrayInternal(Parcel java:3118)_x000D_
        at android os Parcel readSparseArray(Parcel java:2351)_x000D_
        at android os Parcel readValue(Parcel java:2725)_x000D_
        at android os Parcel readArrayMapInternal(Parcel java:3037)_x000D_
        at android os BaseBundle initializeFromParcelLocked(BaseBundle java:288)_x000D_
        at android os BaseBundle unparcel(BaseBundle java:232)_x000D_
        at android os Bundle getSparseParcelableArray(Bundle java:1010)_x000D_
        at com android internal policy PhoneWindow restoreHierarchyState(PhoneWindow java:2133)_x000D_
        at android app Activity onRestoreInstanceState(Activity java:1135)_x000D_
        at android app Activity performRestoreInstanceState(Activity java:1090)_x000D_
        at android app Instrumentation callActivityOnRestoreInstanceState(Instrumentation java:1317)_x000D_
        at android app ActivityThread handleStartActivity(ActivityThread java:2991)_x000D_
        at android app servertransaction TransactionExecutor performLifecycleSequence(TransactionExecutor java:180)_x000D_
        at android app servertransaction TransactionExecutor cycleToPath(TransactionExecutor java:165)_x000D_
        at android app servertransaction TransactionExecutor executeLifecycleState(TransactionExecutor java:142)_x000D_
        at android app servertransaction TransactionExecutor execute(TransactionExecutor java:70)_x000D_
        at android app ActivityThread H handleMessage(ActivityThread java:1816)_x000D_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 </t>
  </si>
  <si>
    <t>microsoft-appcenter-sdk-android-1265</t>
  </si>
  <si>
    <t>Breakpad Crash uploaded as incorrect version when sent after updating the app</t>
  </si>
  <si>
    <t xml:space="preserve">1  Crash the app_x000D_
2  Update the app to newer version code_x000D_
3  Crash uploaded as incorrect newer version code_x000D_
                                       _x000D_
1  Which SDK version are you using _x000D_
    com microsoft appcenter:appcenter crashes:2 3 0_x000D_
2  Which OS version did you experience the issue on _x000D_
    min 19  compile 29_x000D_
_x000D_
</t>
  </si>
  <si>
    <t>nextcloud-android-4585</t>
  </si>
  <si>
    <t>can't login Android 6.0</t>
  </si>
  <si>
    <t xml:space="preserve">    Actual behaviour_x000D_
  app crashes after tap on login button_x000D_
_x000D_
    Expected behaviour_x000D_
  shows up login screen_x000D_
 _x000D_
    Steps to reproduce_x000D_
1  Open app_x000D_
2  Tap on login button_x000D_
3  App crashes_x000D_
_x000D_
_x000D_
    Environment data_x000D_
Android version: 6 0_x000D_
_x000D_
Device model: Meizu pro 6 (M570H) _x000D_
_x000D_
Stock or customized system:  Flyme 6 3 0 0G_x000D_
_x000D_
Nextcloud app version: 3 8 0_x000D_
_x000D_
Nextcloud server version: 16 0_x000D_
    Logs_x000D_
     Web server error log_x000D_
   _x000D_
I can t even input server address in app_x000D_
   _x000D_
     Nextcloud log (data nextcloud log)_x000D_
   _x000D_
I can t even input server address in app_x000D_
   _x000D_
  NOTE:   Be super sure to remove sensitive data like passwords  note that everybody can look here  You can use the Issue Template application to prefill some of the required information: https:  apps nextcloud com apps issuetemplate_x000D_
</t>
  </si>
  <si>
    <t>fossasia-open-event-organizer-android-1951</t>
  </si>
  <si>
    <t>App crashes when "share" is clicked.</t>
  </si>
  <si>
    <t xml:space="preserve">  Describe the bug  _x000D_
After creating new event  app crashes when  share  option is clicked _x000D_
_x000D_
  To Reproduce  _x000D_
_x000D_
1  Create a new Event _x000D_
2  Open Navigation Drawer _x000D_
3  Click on share option _x000D_
_x000D_
  Smartphone Info:  _x000D_
     Please complete the following information    _x000D_
                   _x000D_
                   _x000D_
 Device           realme x  _x000D_
 Android Version  Pie 9    _x000D_
_x000D_
_x000D_
  Would you like to work on the issue   _x000D_
     Please let us know if you can work on it or the issue should be assigned to someone else     _x000D_
      Yes_x000D_
      No_x000D_
  Other: Open to all _x000D_
</t>
  </si>
  <si>
    <t>oliexdev-openScale-498</t>
  </si>
  <si>
    <t>MQTT Crashes app</t>
  </si>
  <si>
    <t xml:space="preserve">Updated to latest build this morning  I enabled MQTT on Samsung A7 2018 (Android Pie) phone and as soon as I clicked on the username field and press backspace a few times the app crashes    When restarting the app crashes immediatley   I have to uninstall the app completely and reinstall the app to get it to work again _x000D_
_x000D_
Have done it 4 times now and it always crashes when I take away the username _x000D_
_x000D_
Error Log:_x000D_
 _x000D_
Build version: 0 3 _x000D_
Current date: 2019 09 30 12:40:22 _x000D_
Device: Samsung SM A750FN _x000D_
 _x000D_
Stack trace:  _x000D_
java lang IllegalArgumentException_x000D_
at d c a a a c d d(:3)_x000D_
at d c a a a c d a(:2)_x000D_
at d c a a b b b c afterTextChanged(:5)_x000D_
at android widget TextView sendAfterTextChanged(TextView java:10990)_x000D_
at android widget TextView ChangeWatcher afterTextChanged(TextView java:14162)_x000D_
at android text SpannableStringBuilder sendAfterTextChanged(SpannableStringBuilder java:1273)_x000D_
at android text SpannableStringBuilder replace(SpannableStringBuilder java:576)_x000D_
at android text SpannableStringBuilder replace(SpannableStringBuilder java:506)_x000D_
at android text SpannableStringBuilder replace(SpannableStringBuilder java:36)_x000D_
at android view inputmethod BaseInputConnection replaceText(BaseInputConnection java:849)_x000D_
at android view inputmethod BaseInputConnection setComposingText(BaseInputConnection java:618)_x000D_
at com android internal view IInputConnectionWrapper executeMessage(IInputConnectionWrapper java:396)_x000D_
at com android internal view IInputConnectionWrapper MyHandler handleMessage(IInputConnectionWrapper java:85)_x000D_
at android os Handler dispatchMessage(Handler java:106)_x000D_
at android os Looper loop(Looper java:214)_x000D_
at android app ActivityThread main(ActivityThread java:7078)_x000D_
at java lang reflect Method invoke(Native Method)_x000D_
at com android internal os RuntimeInit MethodAndArgsCaller run(RuntimeInit java:493)_x000D_
at com android internal os ZygoteInit main(ZygoteInit java:964)_x000D_
</t>
  </si>
  <si>
    <t>nextcloud-android-4581</t>
  </si>
  <si>
    <t>Crash on conflict</t>
  </si>
  <si>
    <t xml:space="preserve">    Actual behaviour_x000D_
When a file is found to be conflicted there is a null pointer exception once the dialog stating the file is conflicted opens _x000D_
_x000D_
    Expected behaviour_x000D_
It shouldn t crash_x000D_
 _x000D_
    Steps to reproduce_x000D_
1  Edit a file locally that fails sync_x000D_
2  Edit the same file on a different computer device that does successfully sync_x000D_
3  Re try opening the file on the device that failed sync_x000D_
4  Crashes_x000D_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</si>
  <si>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aws-amplify-aws-sdk-android-1226</t>
  </si>
  <si>
    <t>Crashes related to com.amazonaws.internal.keyvaluestore.KeyProvider23.getKey</t>
  </si>
  <si>
    <t xml:space="preserve">  Describe the bug  _x000D_
I am getting such crashes on fabric report and play store s Android Vitals section _x000D_
_x000D_
KeyProvider23 java line 73_x000D_
com amazonaws internal keyvaluestore KeyProvider23 getKey_x000D_
_x000D_
Fatal Exception: java lang RuntimeException: Unable to create service com canlah services KaraokeUploadService: java lang IllegalStateException: Error in initializing the CognitoCachingCredentialsProvider  _x000D_
       at android app ActivityThread handleCreateService   3081(ActivityThread java:3081)_x000D_
       at android app ActivityThread  wrap4(ActivityThread java)_x000D_
       at android app ActivityThread H handleMessage   1575(ActivityThread java:1575)_x000D_
       at android os Handler dispatchMessage   111(Handler java:111)_x000D_
       at android os Looper loop   207(Looper java:207)_x000D_
       at android app ActivityThread main   5737(ActivityThread java:5737)_x000D_
       at java lang reflect Method invoke(Method java)_x000D_
       at com android internal os ZygoteInit MethodAndArgsCaller run   789(ZygoteInit java:789)_x000D_
       at com android internal os ZygoteInit main   679(ZygoteInit java:679)_x000D_
_x000D_
  To Reproduce  _x000D_
A code sample or steps:_x000D_
   _x000D_
Your code_x000D_
   _x000D_
_x000D_
  Which AWS service(s) are affected    S3_x000D_
_x000D_
  Expected behavior  _x000D_
While uploading is being initiated it s crashing cause of CognitoCachingCredentialsProvider_x000D_
_x000D_
  Screenshots  _x000D_
If applicable  add screenshots to help explain your problem _x000D_
_x000D_
  Environment Information (please complete the following information):  _x000D_
   AWS Android SDK Version:  2 14 2 _x000D_
   Device:  Karbon  Nokia _x000D_
   Android Version:  Marshmallow 6 _x000D_
   Specific to simulators:  No _x000D_
_x000D_
  Additional context  _x000D_
I am continuously posting problems but not getting any satisfactory results and not on time  Losing confidence of thousands of users  Hope will get a proper fix _x000D_
_x000D_
Thanks _x000D_
_x000D_
</t>
  </si>
  <si>
    <t>nextcloud-android-4579</t>
  </si>
  <si>
    <t>Moving over 2500 pictures results in crash</t>
  </si>
  <si>
    <t xml:space="preserve">    Actual behaviour_x000D_
  selected over 2500 pictures to move them into a folder  Select  hit move in the menu  app crashed_x000D_
_x000D_
    Expected behaviour_x000D_
  select  hit move select target folder  move all files  _x000D_
 _x000D_
    Steps to reproduce_x000D_
1  Select over 2500 pictures_x000D_
2  Hit move in the menu_x000D_
I over 2500 pictures  don t know which number is the turning point from working to crashing_x000D_
_x000D_
_x000D_
    Environment data_x000D_
_x000D_
 _x000D_
             CAUSE OF ERROR             _x000D_
_x000D_
java lang RuntimeException: Failure from system_x000D_
	at android app Instrumentation execStartActivity(Instrumentation java:1759)_x000D_
	at android app Activity startActivityForResult(Activity java:4803)_x000D_
	at androidx fragment app FragmentActivity startActivityForResult(FragmentActivity java:767)_x000D_
	at android app Activity startActivityForResult(Activity java:4743)_x000D_
	at androidx fragment app FragmentActivity startActivityForResult(FragmentActivity java:754)_x000D_
	at com owncloud android ui fragment OCFileListFragment onFileActionChosen(OCFileListFragment java:1075)_x000D_
	at com owncloud android ui fragment OCFileListFragment MultiChoiceModeListener onActionItemClicked(OCFileListFragment java:635)_x000D_
	at com android internal policy DecorView ActionModeCallback2Wrapper onActionItemClicked(DecorView java:2788)_x000D_
	at androidx appcompat view SupportActionModeWrapper CallbackWrapper onActionItemClicked(SupportActionModeWrapper java:171)_x000D_
	at androidx appcompat app AppCompatDelegateImpl ActionModeCallbackWrapperV9 onActionItemClicked(AppCompatDelegateImpl java:2171)_x000D_
	at androidx appcompat view StandaloneActionMode onMenuItemSelected(StandaloneActionMode java:141)_x000D_
	at androidx appcompat view menu MenuBuilder dispatchMenuItemSelected(MenuBuilder java:840)_x000D_
	at androidx appcompat view menu MenuItemImpl invoke(MenuItemImpl java:158)_x000D_
	at androidx appcompat view menu MenuBuilder performItemAction(MenuBuilder java:991)_x000D_
	at androidx appcompat view menu MenuPopup onItemClick(MenuPopup java:128)_x000D_
	at android widget AdapterView performItemClick(AdapterView java:321)_x000D_
	at android widget AbsListView performItemClick(AbsListView java:1234)_x000D_
	at android widget AbsListView PerformClick run(AbsListView java:3234)_x000D_
	at android widget AbsListView 3 run(AbsListView java:4210)_x000D_
	at android os Handler handleCallback(Handler java:907)_x000D_
	at android os Handler dispatchMessage(Handler java:105)_x000D_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Caused by: android os TransactionTooLargeException: data parcel size 1925340 bytes_x000D_
	at android os BinderProxy transactNative(Native Method)_x000D_
	at android os BinderProxy transact(Binder java:1147)_x000D_
	at android app IActivityManager Stub Proxy startActivity(IActivityManager java:3732)_x000D_
	at android app Instrumentation execStartActivity(Instrumentation java:1753)_x000D_
	    25 more_x000D_
_x000D_
             APP INFORMATION             _x000D_
ID: com nextcloud client_x000D_
Version: 30080090_x000D_
Build flavor: gplay_x000D_
_x000D_
             DEVICE INFORMATION             _x000D_
Brand: HUAWEI_x000D_
Device: HWVOG_x000D_
Model: VOG L29_x000D_
Id: HUAWEIVOG L29_x000D_
Product: VOG L29EEA_x000D_
_x000D_
             FIRMWARE             _x000D_
SDK: 28_x000D_
Release: 9_x000D_
Incremental: 9 1 0 193C431_x000D_
 _x000D_
Android version:_x000D_
_x000D_
Device model: _x000D_
_x000D_
Stock or customized system: stock_x000D_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</si>
  <si>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nextcloud-android-4578</t>
  </si>
  <si>
    <t>Crash in Favorites</t>
  </si>
  <si>
    <t xml:space="preserve">    Actual behaviour_x000D_
  Tell us what happens_x000D_
Nextcloud App crashed when I selected Favorites in the menu  _x000D_
_x000D_
_x000D_
     Nextcloud log (data nextcloud log)_x000D_
   _x000D_
_x000D_
_x000D_
             CAUSE OF ERROR             _x000D_
_x000D_
java lang NullPointerException_x000D_
	at java io File  init (File java:282)_x000D_
	at com owncloud android ui adapter OCFileListAdapter onBindViewHolder(OCFileListAdapter java:433)_x000D_
	at androidx recyclerview widget RecyclerView Adapter onBindViewHolder(RecyclerView java:6781)_x000D_
	at androidx recyclerview widget RecyclerView Adapter bindViewHolder(RecyclerView java:6823)_x000D_
	at androidx recyclerview widget RecyclerView Recycler tryBindViewHolderByDeadline(RecyclerView java:5752)_x000D_
	at androidx recyclerview widget RecyclerView Recycler tryGetViewHolderForPositionByDeadline(RecyclerView java:6019)_x000D_
	at androidx recyclerview widget RecyclerView Recycler getViewForPosition(RecyclerView java:5858)_x000D_
	at androidx recyclerview widget RecyclerView Recycler getViewForPosition(RecyclerView java:5854)_x000D_
	at androidx recyclerview widget LinearLayoutManager LayoutState next(LinearLayoutManager java:2230)_x000D_
	at androidx recyclerview widget LinearLayoutManager layoutChunk(LinearLayoutManager java:1557)_x000D_
	at androidx recyclerview widget LinearLayoutManager fill(LinearLayoutManager java:1517)_x000D_
	at androidx recyclerview widget LinearLayoutManager onLayoutChildren(LinearLayoutManager java:612)_x000D_
	at androidx recyclerview widget RecyclerView dispatchLayoutStep2(RecyclerView java:3924)_x000D_
	at androidx recyclerview widget RecyclerView dispatchLayout(RecyclerView java:3641)_x000D_
	at androidx recyclerview widget RecyclerView onLayout(RecyclerView java:4194)_x000D_
	at android view View layout(View java:19599)_x000D_
	at android view ViewGroup layout(ViewGroup java:6053)_x000D_
	at androidx swiperefreshlayout widget SwipeRefreshLayout onLayout(SwipeRefreshLayout java:625)_x000D_
	at android view View layout(View java:19599)_x000D_
	at android view ViewGroup layout(ViewGroup java:6053)_x000D_
	at androidx coordinatorlayout widget CoordinatorLayout layoutChild(CoordinatorLayout java:1183)_x000D_
	at androidx coordinatorlayout widget CoordinatorLayout onLayoutChild(CoordinatorLayout java:870)_x000D_
	at androidx coordinatorlayout widget CoordinatorLayout onLayout(CoordinatorLayout java:889)_x000D_
	at android view View layout(View java:19599)_x000D_
	at android view ViewGroup layout(ViewGroup java:6053)_x000D_
	at android widget RelativeLayout onLayout(RelativeLayout java:1080)_x000D_
	at android view View layout(View java:19599)_x000D_
	at android view ViewGroup layout(ViewGroup java:6053)_x000D_
	at android widget FrameLayout layoutChildren(FrameLayout java:323)_x000D_
	at android widget FrameLayout onLayout(FrameLayout java:261)_x000D_
	at android view View layout(View java:19599)_x000D_
	at android view ViewGroup layout(ViewGroup java:6053)_x000D_
	at android widget LinearLayout setChildFrame(LinearLayout java:1791)_x000D_
	at android widget LinearLayout layoutHorizontal(LinearLayout java:1780)_x000D_
	at android widget LinearLayout onLayout(LinearLayout java:1546)_x000D_
	at android view View layout(View java:19599)_x000D_
	at android view ViewGroup layout(ViewGroup java:6053)_x000D_
	at android widget LinearLayout setChildFrame(LinearLayout java:1791)_x000D_
	at android widget LinearLayout layoutVertical(LinearLayout java:1635)_x000D_
	at android widget LinearLayout onLayout(LinearLayout java:1544)_x000D_
	at android view View layout(View java:19599)_x000D_
	at android view ViewGroup layout(ViewGroup java:6053)_x000D_
	at androidx drawerlayout widget DrawerLayout onLayout(DrawerLayout java:1231)_x000D_
	at android view View layout(View java:19599)_x000D_
	at android view ViewGroup layout(ViewGroup java:6053)_x000D_
	at android widget FrameLayout layoutChildren(FrameLayout java:323)_x000D_
	at android widget FrameLayout onLayout(FrameLayout java:261)_x000D_
	at android view View layout(View java:19599)_x000D_
	at android view ViewGroup layout(ViewGroup java:6053)_x000D_
	at android widget FrameLayout layoutChildren(FrameLayout java:323)_x000D_
	at android widget FrameLayout onLayout(FrameLayout java:261)_x000D_
	at android view View layout(View java:19599)_x000D_
	at android view ViewGroup layout(ViewGroup java:6053)_x000D_
	at android widget FrameLayout layoutChildren(FrameLayout java:323)_x000D_
	at android widget FrameLayout onLayout(FrameLayout java:261)_x000D_
	at android view View layout(View java:19599)_x000D_
	at android view ViewGroup layout(ViewGroup java:6053)_x000D_
	at android widget LinearLayout setChildFrame(LinearLayout java:1791)_x000D_
	at android widget LinearLayout layoutVertical(LinearLayout java:1635)_x000D_
	at android widget LinearLayout onLayout(LinearLayout java:1544)_x000D_
	at android view View layout(View java:19599)_x000D_
	at android view ViewGroup layout(ViewGroup java:6053)_x000D_
	at android widget FrameLayout layoutChildren(FrameLayout java:323)_x000D_
	at android widget FrameLayout onLayout(FrameLayout java:261)_x000D_
	at com android internal policy DecorView onLayout(DecorView java:767)_x000D_
	at android view View layout(View java:19599)_x000D_
	at android view ViewGroup layout(ViewGroup java:6053)_x000D_
	at android view ViewRootImpl performLayout(ViewRootImpl java:2488)_x000D_
	at android view ViewRootImpl performTraversals(ViewRootImpl java:2204)_x000D_
	at android view ViewRootImpl doTraversal(ViewRootImpl java:1390)_x000D_
	at android view ViewRootImpl TraversalRunnable run(ViewRootImpl java:6754)_x000D_
	at android view Choreographer CallbackRecord run(Choreographer java:966)_x000D_
	at android view Choreographer doCallbacks(Choreographer java:778)_x000D_
	at android view Choreographer doFrame(Choreographer java:713)_x000D_
	at android view Choreographer FrameDisplayEventReceiver run(Choreographer java:952)_x000D_
	at android os Handler handleCallback(Handler java:789)_x000D_
	at android os Handler dispatchMessage(Handler java:98)_x000D_
	at android os Looper loop(Looper java:251)_x000D_
	at android app ActivityThread main(ActivityThread java:6589)_x000D_
	at java lang reflect Method invoke(Native Method)_x000D_
	at com android internal os Zygote MethodAndArgsCaller run(Zygote java:240)_x000D_
	at com android internal os ZygoteInit main(ZygoteInit java:767)_x000D_
_x000D_
             APP INFORMATION             _x000D_
ID: com nextcloud client_x000D_
Version: 30080090_x000D_
Build flavor: gplay_x000D_
_x000D_
             DEVICE INFORMATION             _x000D_
Brand: Sony_x000D_
Device: F5321_x000D_
Model: F5321_x000D_
Id: 34 4 A 2 118_x000D_
Product: F5321_x000D_
_x000D_
             FIRMWARE             _x000D_
SDK: 26_x000D_
Release: 8 0 0_x000D_
Incremental: 1631208121_x000D_
</t>
  </si>
  <si>
    <t>SkyTubeTeam-SkyTube-571</t>
  </si>
  <si>
    <t>[bug] configure channel blocking at the subscribe page leading to fatal crash</t>
  </si>
  <si>
    <t xml:space="preserve">  I have searched the history issue list  and have not found a similar bug  _x000D_
_x000D_
  The bug was found in the latest release version 2 965 and also the previous version 2 964  and were reproduciable on both a Google Plxel 3 and an Android emulator 6 0 device_x000D_
_x000D_
  Bug: go to the subscribe page of an video  and try to configure blocking channels  the app will crash_x000D_
_x000D_
  Reproducing video _x000D_
_x000D_
  SkyTube Extra 2 965 issue crash emulator 6 0 (https:  user images githubusercontent com 3156978 65817168 4cef2b80 e204 11e9 8780 e8af461ad6ff gif)_x000D_
_x000D_
 Crash stack (from the latest release version 2 965)_x000D_
_x000D_
   _x000D_
 FATAL EXCEPTION: main_x000D_
 Process: free rm skytube extra  PID: 28389_x000D_
 java lang IllegalStateException: Fragment ChannelPlaylistsFragment 6a9a89 (7007e6d1 d926 4d60 bb1e 2aa7fcda47e7)  is not currently in the FragmentManager_x000D_
 	at androidx fragment app FragmentManagerImpl putFragment(FragmentManagerImpl java:350)_x000D_
 	at free rm skytube gui fragments ChannelBrowserFragment onSaveInstanceState(ChannelBrowserFragment java:185)_x000D_
 	at androidx fragment app Fragment performSaveInstanceState(Fragment java:2766)_x000D_
 	at androidx fragment app FragmentManagerImpl saveFragmentBasicState(FragmentManagerImpl java:2289)_x000D_
 	at androidx fragment app FragmentManagerImpl saveAllState(FragmentManagerImpl java:2348)_x000D_
 	at androidx fragment app FragmentController saveAllState(FragmentController java:151)_x000D_
 	at androidx fragment app FragmentActivity onSaveInstanceState(FragmentActivity java:513)_x000D_
 	at androidx appcompat app AppCompatActivity onSaveInstanceState(AppCompatActivity java:533)_x000D_
 	at free rm skytube gui activities BaseActivity onSaveInstanceState(BaseActivity java:605)_x000D_
 	at free rm skytube gui activities MainActivity onSaveInstanceState(MainActivity java:172)_x000D_
 	at android app Activity performSaveInstanceState(Activity java:1298)_x000D_
 	at android app Instrumentation callActivityOnSaveInstanceState(Instrumentation java:1289)_x000D_
 	at android app ActivityThread callCallActivityOnSaveInstanceState(ActivityThread java:4088)_x000D_
 	at android app ActivityThread performStopActivityInner(ActivityThread java:3490)_x000D_
 	at android app ActivityThread handleStopActivity(ActivityThread java:3550)_x000D_
 	at android app ActivityThread  wrap20(ActivityThread java)_x000D_
 	at android app ActivityThread H handleMessage(ActivityThread java:1373)_x000D_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Force finishing activity free rm skytube extra free rm skytube gui activities PreferencesActivity_x000D_
   _x000D_
</t>
  </si>
  <si>
    <t>SecUSo-privacy-friendly-qr-scanner-53</t>
  </si>
  <si>
    <t>App crashes when scanning QR code with vcard</t>
  </si>
  <si>
    <t xml:space="preserve">The app crashes when I scan a QR code with a (valid) vcard  The vcard info is shown after the scan for a moment  before the crash message from Android appears _x000D_
I installed the app from Google Play Store and have the latest version installed  I am using Android 9 on a Nokia 6 1 with the latest updates available from Nokia </t>
  </si>
  <si>
    <t>geosolutions-it-smb-android-108</t>
  </si>
  <si>
    <t>Crash when opening available competition</t>
  </si>
  <si>
    <t xml:space="preserve">The app crashes clicking on a comptetition inside the list of  Disponibili  _x000D_
_x000D_
   _x000D_
2019 09 27 12:39:32 013 13982 13982 it geosolutions savemybike E AndroidRuntime: FATAL EXCEPTION: main_x000D_
    Process: it geosolutions savemybike  PID: 13982_x000D_
    java lang NullPointerException: Attempt to read from field  it geosolutions savemybike model competition Competition it geosolutions savemybike model competition CompetitionParticipationInfo competition  on a null object reference_x000D_
        at it geosolutions savemybike ui fragment competition CompetitionFragment onCreateView(CompetitionFragment java:106)_x000D_
        at android support v4 app Fragment performCreateView(Fragment java:2346)_x000D_
        at android support v4 app FragmentManagerImpl moveToState(FragmentManager java:1428)_x000D_
        at android support v4 app FragmentManagerImpl moveFragmentToExpectedState(FragmentManager java:1759)_x000D_
        at android support v4 app FragmentManagerImpl moveToState(FragmentManager java:1827)_x000D_
        at android support v4 app BackStackRecord executeOps(BackStackRecord java:797)_x000D_
        at android support v4 app FragmentManagerImpl executeOps(FragmentManager java:2596)_x000D_
        at android support v4 app FragmentManagerImpl executeOpsTogether(FragmentManager java:2383)_x000D_
        at android support v4 app FragmentManagerImpl removeRedundantOperationsAndExecute(FragmentManager java:2338)_x000D_
        at android support v4 app FragmentManagerImpl execPendingActions(FragmentManager java:2245)_x000D_
        at android support v4 app FragmentManagerImpl 1 run(FragmentManager java:703)_x000D_
        at android os Handler handleCallback(Handler java:907)_x000D_
        at android os Handler dispatchMessage(Handler java:105)_x000D_
        at android os Looper loop(Looper java:216)_x000D_
        at android app ActivityThread main(ActivityThread java:7625)_x000D_
        at java lang reflect Method invoke(Native Method)_x000D_
        at com android internal os RuntimeInit MethodAndArgsCaller run(RuntimeInit java:524)_x000D_
        at com android internal os ZygoteInit main(ZygoteInit java:987)_x000D_
   </t>
  </si>
  <si>
    <t>material-components-material-components-android-632</t>
  </si>
  <si>
    <t>[BottomSheetDialog] Crash when call dimiss()</t>
  </si>
  <si>
    <t xml:space="preserve">  Description:   _x000D_
Implemented BottomSheetDialogFragment and when tried to dimiss the BottomSheetDialogFragment by calling dismiss() its throw error_x000D_
_x000D_
  Expected behavior:   its shouldn t crash_x000D_
_x000D_
  Source code:   The code snippet which is causing this issue  Please consider attaching a minimal sample app that reproduces the issue _x000D_
Crash log :_x000D_
java lang ClassCastException: androidx appcompat app AlertDialog cannot be cast to com google android material bottomsheet BottomSheetDialog at com google android material bottomsheet BottomSheetDialogFragment getDialog(BottomSheetDialogFragment java:64)_x000D_
_x000D_
  Android API version:   23_x000D_
_x000D_
  Material Library version:   1 1 0 alpha10_x000D_
_x000D_
  Device:   Huawei P9 Plus_x000D_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</si>
  <si>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material-components-material-components-android-631</t>
  </si>
  <si>
    <t>[MaterialDatePicker] Crash on SingleDateSelector when erasing typed in date</t>
  </si>
  <si>
    <t xml:space="preserve">  Description:   _x000D_
_x000D_
1  Show the MaterialDatePicker for selecting a single date_x000D_
1  Click on the edit toggle to go to the TextInputEditText view_x000D_
1  Type one digit_x000D_
1  Erase the digit_x000D_
1  A crash will occur_x000D_
_x000D_
  Expected behavior:   The field should be empty with no crash _x000D_
_x000D_
  Source code:   _x000D_
   _x000D_
java lang NullPointerException: Attempt to invoke virtual method  long java lang Long longValue()  on a null object reference_x000D_
        at com google android material datepicker SingleDateSelector 1 onValidDate(SingleDateSelector java:115)_x000D_
        at com google android material datepicker DateFormatTextWatcher onTextChanged(DateFormatTextWatcher java:64)_x000D_
   _x000D_
_x000D_
The issue seems to be that  DateFormatTextWatcher   within  onTextChanged   passes a null into  onValidDate  (line 64)  which  SingleDateSelector  passes into  select  (line 115)  which has the signature  public void select(long selection)  and can t accept null values _x000D_
_x000D_
  Android API version:   Tested on API 29_x000D_
_x000D_
  Material Library version:   1 1 0 alpha10_x000D_
_x000D_
  Device:   Pixel 2 XL_x000D_
</t>
  </si>
  <si>
    <t>nextcloud-android-4562</t>
  </si>
  <si>
    <t>App crash while opening photo</t>
  </si>
  <si>
    <t xml:space="preserve">Opened app  opened sub menu photos  clicked one of the photos  then the app crashed with this:
             CAUSE OF ERROR             
java lang IndexOutOfBoundsException: Inconsistency detected  Invalid view holder adapter positionViewHolder 8ef531a position 28 id  1  oldPos  1  pLpos: 1 no parent  com owncloud android ui EmptyRecyclerView c9f7a9f VFED       F       0 0 1080 1699  7f090162 app:id list root   adapter:com owncloud android ui adapter OCFileListAdapter 7cc6d4  layout:androidx recyclerview widget GridLayoutManager 5ad707d  context:com owncloud android ui activity FileDisplayActivity 893d400
	at androidx recyclerview widget RecyclerView Recycler validateViewHolderForOffsetPosition(RecyclerView java:5715)
	at androidx recyclerview widget RecyclerView Recycler tryGetViewHolderForPositionByDeadline(RecyclerView java:5898)
	at androidx recyclerview widget GapWorker prefetchPositionWithDeadline(GapWorker java:286)
	at androidx recyclerview widget GapWorker flushTaskWithDeadline(GapWorker java:343)
	at androidx recyclerview widget GapWorker flushTasksWithDeadline(GapWorker java:359)
	at androidx recyclerview widget GapWorker prefetch(GapWorker java:366)
	at androidx recyclerview widget GapWorker run(GapWorker java:397)
	at android os Handler handleCallback(Handler java:789)
	at android os Handler dispatchMessage(Handler java:98)
	at android os Looper loop(Looper java:164)
	at android app ActivityThread main(ActivityThread java:6944)
	at java lang reflect Method invoke(Native Method)
	at com android internal os Zygote MethodAndArgsCaller run(Zygote java:327)
	at com android internal os ZygoteInit main(ZygoteInit java:1374)
             APP INFORMATION             
ID: com nextcloud client
Version: 30080090
Build flavor: generic
             DEVICE INFORMATION             
Brand: samsung
Device: herolte
Model: SM G930F
Id: R16NW
Product: heroltexx
             FIRMWARE             
SDK: 26
Release: 8 0 0
Incremental: G930FXXS5ESF1
 </t>
  </si>
  <si>
    <t>opensrp-opensrp-client-giz-malawi-116</t>
  </si>
  <si>
    <t>Disable adding mothers from child registration into the ANC register</t>
  </si>
  <si>
    <t xml:space="preserve">These mothers have incomplete information that causes the app to crash_x000D_
Also create an issue for fixing the crash when the </t>
  </si>
  <si>
    <t>square-okhttp-5497</t>
  </si>
  <si>
    <t>Unknown Error: "???" okhttp3.internal.http2.Http2Writer.data</t>
  </si>
  <si>
    <t xml:space="preserve">Hi _x000D_
_x000D_
I m using retrofit on my Android Project and I got a report from crashlytics but surprisingly has no stack trace:_x000D_
_x000D_
  image (https:  user images githubusercontent com 47604549 65662177 1da2b800 e066 11e9 8293 4235f154a9c3 png)_x000D_
_x000D_
  image (https:  user images githubusercontent com 47604549 65662231 432fc180 e066 11e9 8bd6 111fe059147d png)_x000D_
_x000D_
These are my dependencies concerning this issue _x000D_
_x000D_
   gradle_x000D_
  Retrofit_x000D_
implementation  com squareup retrofit2:retrofit:2 4 0 _x000D_
implementation  com squareup retrofit2:converter gson:2 4 0 _x000D_
implementation  com squareup retrofit2:adapter rxjava2:2 4 0 _x000D_
implementation  com squareup okhttp3:logging interceptor:3 7 0 _x000D_
   _x000D_
_x000D_
Any chance we can identify such occurrence  Device used is Samsung Galaxy Tab A  Android Pie (9)_x000D_
_x000D_
Thanks </t>
  </si>
  <si>
    <t>nextcloud-android-4556</t>
  </si>
  <si>
    <t>App opens itself and crashes then</t>
  </si>
  <si>
    <t xml:space="preserve">Since the last update I get random crashes out of nowhere  the App opens itself and displays this message:_x000D_
_x000D_
             CAUSE OF ERROR             _x000D_
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java lang SecurityException: Caller no longer running  last stopped  3s780ms because: timed out while starting_x000D_
	at android os Parcel createException(Parcel java:1950)_x000D_
	at android os Parcel readException(Parcel java:1918)_x000D_
	at android os Parcel readException(Parcel java:1868)_x000D_
	at android app job IJobCallback Stub Proxy dequeueWork(IJobCallback java:195)_x000D_
	at android app job JobParameters dequeueWork(JobParameters java:243)_x000D_
	at androidx core app JobIntentService JobServiceEngineImpl dequeueWork(JobIntentService java:315)_x000D_
	at androidx core app JobIntentService dequeueWork(JobIntentService java:640)_x000D_
	at androidx core app JobIntentService CommandProcessor doInBackground(JobIntentService java:390)_x000D_
	at androidx core app JobIntentService CommandProcessor doInBackground(JobIntentService java:383)_x000D_
	at android os AsyncTask 2 call(AsyncTask java:333)_x000D_
	at java util concurrent FutureTask run(FutureTask java:266)_x000D_
	    3 more_x000D_
Caused by: android os RemoteException: Remote stack trace:_x000D_
	at com android server job JobServiceContext assertCallerLocked(JobServiceContext java:481)_x000D_
	at com android server job JobServiceContext doDequeueWork(JobServiceContext java:359)_x000D_
	at com android server job JobServiceContext JobCallback dequeueWork(JobServiceContext java:160)_x000D_
	at android app job IJobCallback Stub onTransact(IJobCallback java:83)_x000D_
	at android os Binder execTransact(Binder java:752)_x000D_
_x000D_
_x000D_
             APP INFORMATION             _x000D_
ID: com nextcloud client_x000D_
Version: 30080090_x000D_
Build flavor: gplay_x000D_
_x000D_
             DEVICE INFORMATION             _x000D_
Brand: OnePlus_x000D_
Device: OnePlus3_x000D_
Model: ONEPLUS A3003_x000D_
Id: PKQ1 181203 001_x000D_
Product: OnePlus3_x000D_
_x000D_
             FIRMWARE             _x000D_
SDK: 28_x000D_
Release: 9_x000D_
Incremental: 1907311932_x000D_
_x000D_
Also sometimes the App opens itself to ask for Fingerprint Password  It doesn t accept the password fingerprint though and asks again  This happened 10 times while writing this </t>
  </si>
  <si>
    <t>react-native-camera-react-native-camera-2508</t>
  </si>
  <si>
    <t>Neither onCameraReady nor onMountError is called although camera preview has started.</t>
  </si>
  <si>
    <t xml:space="preserve">  Bug Report_x000D_
_x000D_
  To Do First  _x000D_
_x000D_
   x  Did you try latest release _x000D_
   x  Did you try master _x000D_
   x  Did you look for existing matching issues _x000D_
_x000D_
  Platforms  _x000D_
_x000D_
    Comment in the related ones   _x000D_
    Android   _x000D_
    iOS   _x000D_
_x000D_
  Versions  _x000D_
_x000D_
    Please add the used versions branches or leave blank and comment in the optionals if used   _x000D_
_x000D_
  iOS: 12 3_x000D_
  react native camera: master_x000D_
  react native: 0 60 4_x000D_
  react: 16 8 6_x000D_
       react navigation:   _x000D_
_x000D_
  Description Current Behaviour  _x000D_
Neither onCameraReady nor onMountError is called although camera preview has started _x000D_
    place your bug description below   _x000D_
_x000D_
  Expected Behaviour  _x000D_
If camera is mounted and showing preview then onCameraReady function should have been executed already and otherwise if there is some issue with mounting in that case onMountError should have been called  _x000D_
    place your expected behaviour below   _x000D_
_x000D_
  Steps to Reproduce  _x000D_
Frequently mount and unmount the RNCamera _x000D_
    describe how to produce the error below   _x000D_
Everything happens as expected except if we open and close a View containing RNCamera frequently like 30 40 times within few minutes then camera shows pendingAuthorizationView for a while and then camera preview starts  in this case onCameraReady is not triggered _x000D_
_x000D_
      Does it work with Expo Camera      _x000D_
    Check usage with Expo and comment in this section  https:  github com react native community react native camera blob master docs Expo Usage md_x000D_
You should open an issue there as well  so we can cooperate in a solution    _x000D_
_x000D_
  Additionals  _x000D_
_x000D_
    place screenshots suggestions and other additional infos below   _x000D_
 Before version 3 4 0 our app used to crash in production which was fixed in this issue  2056 _x000D_
but now the app does not crash but without status change I am unable to call takePictureAsync on the camera instance _x000D_
_x000D_
  Love react native camera  Please consider supporting our collective:   https:  opencollective com react native camera donate_x000D_
  Want this issue to be resolved faster  Please consider adding a bounty to it https:  issuehunt io repos 33218414_x000D_
</t>
  </si>
  <si>
    <t>ponewheel-android-ponewheel-98</t>
  </si>
  <si>
    <t xml:space="preserve">Listing ride activities crashes </t>
  </si>
  <si>
    <t>It looks like on the latest release exporting the logs is broken  It likely still is logging the CSV  just crashing when trying to open the activity and or share the logs  And obscure error is obscure  deep in the bad choice decision by me at the time to use databinding for the UI and observables    and might be a result of updating the target SDK  _x000D_
Might also relate to https:  github com ponewheel android ponewheel issues 30_x000D_
_x000D_
   _x000D_
9 25 08:49:34 157  1167  1198 I ActivityManager: Displayed net kwatts powtools  RidesListActivity:  346ms_x000D_
09 25 08:49:34 157 29672 29740 D net kwatts powtools  C:RideListAdapter   M:lambda loadTrack 1   L:122  : loadTrack: rideId   9_x000D_
09 25 08:49:34 164 29672 29740 D net kwatts powtools  C:RideListAdapter   M:lambda loadTrack 1   L:122  : loadTrack: rideId   10_x000D_
09 25 08:49:34 168 29672 29740 D net kwatts powtools  C:RideListAdapter   M:lambda loadTrack 1   L:122  : loadTrack: rideId   11_x000D_
09 25 08:49:34 173 29672 29740 D net kwatts powtools  C:RideListAdapter   M:lambda loadTrack 1   L:122  : loadTrack: rideId   12_x000D_
09 25 08:49:34 177 29672 29740 D net kwatts powtools  C:RideListAdapter   M:lambda loadTrack 1   L:122  : loadTrack: rideId   13_x000D_
09 25 08:49:34 192   806   806 D android hardware power 1 3 service crosshatch libperfmgr: LAUNCH OFF_x000D_
09 25 08:49:34 584   619  2060 W SurfaceFlinger: Attempting to set client state on removed layer: PopupWindow:ce380f1 0_x000D_
09 25 08:49:34 584   619  2060 W SurfaceFlinger: Attempting to destroy on removed layer: PopupWindow:ce380f1 0_x000D_
09 25 08:49:34 751   887   887 E wificond: NL80211 CMD TRIGGER SCAN failed: Device or resource busy_x000D_
09 25 08:49:34 752  1167  1387 E WificondScannerImpl: Failed to start scan  freqs null_x000D_
09 25 08:49:34 758  2490  2526 I QcrilOemhookMsgTunnel:  0 processOemHookIndication length 21_x000D_
09 25 08:49:34 759  2490  2490 D QcrilMsgTunnelIfaceManager: handleMessage what   0_x000D_
09 25 08:49:34 814  1882  1882 D ServiceStateProvider: subId 1_x000D_
09 25 08:49:34 821  1838  1936 I QCNEJ CndHalConnector:    SND notifyWwanSubtypeChanged(13)_x000D_
09 25 08:49:34 823  1838  1936 I QCNEJ CndHalConnector:    SND notifyMobileDataEnabledChanged(true)_x000D_
09 25 08:49:34 834  2416  2416 I CarrierServices:  2  chy onReceive: Received SERVICE STATE intent  clearing cached cell info_x000D_
09 25 08:49:34 849 22532 22532 I Tycho   :  2  bjc a: Ignoring duplicate service state event: In service in US _x000D_
09 25 08:49:34 850 29672 29672 D net kwatts powtools  C:RideListAdapter RideVie   M:bind   L:88  : rideId14 minDate  Thu Sep 12 21:09:09 PDT 2019 max Thu Sep 12 21:09:09 PDT 2019_x000D_
09 25 08:49:34 851 29672 29740 D net kwatts powtools  C:RideListAdapter   M:lambda loadTrack 1   L:122  : loadTrack: rideId   14_x000D_
09 25 08:49:34 862 29672 29672 D net kwatts powtools  C:RideListAdapter RideVie   M:bind   L:88  : rideId15 minDate  Thu Sep 12 21:09:59 PDT 2019 max Thu Sep 12 21:09:59 PDT 2019_x000D_
09 25 08:49:34 863 29672 29740 D net kwatts powtools  C:RideListAdapter   M:lambda loadTrack 1   L:122  : loadTrack: rideId   15_x000D_
09 25 08:49:34 878 29672 29672 D net kwatts powtools  C:RideListAdapter RideVie   M:bind   L:88  : rideId16 minDate  Thu Sep 12 21:15:17 PDT 2019 max Thu Sep 12 21:15:17 PDT 2019_x000D_
09 25 08:49:34 879 29672 29740 D net kwatts powtools  C:RideListAdapter   M:lambda loadTrack 1   L:122  : loadTrack: rideId   16_x000D_
09 25 08:49:34 895 29672 29672 D net kwatts powtools  C:RideListAdapter RideVie   M:bind   L:88  : rideId17 minDate  Thu Sep 12 22:42:15 PDT 2019 max Thu Sep 12 22:42:15 PDT 2019_x000D_
09 25 08:49:34 896 29672 29740 D net kwatts powtools  C:RideListAdapter   M:lambda loadTrack 1   L:122  : loadTrack: rideId   17_x000D_
09 25 08:49:34 905 29672 29672 D net kwatts powtools  C:RideListAdapter RideVie   M:bind   L:88  : rideId18 minDate  Thu Sep 12 22:50:29 PDT 2019 max Thu Sep 12 22:50:29 PDT 2019_x000D_
09 25 08:49:34 906 29672 29740 D net kwatts powtools  C:RideListAdapter   M:lambda loadTrack 1   L:122  : loadTrack: rideId   18_x000D_
09 25 08:49:34 911 29672 29672 D net kwatts powtools  C:RideListAdapter RideVie   M:bind   L:88  : rideId19 minDate  Thu Sep 12 22:57:49 PDT 2019 max Thu Sep 12 22:57:49 PDT 2019_x000D_
09 25 08:49:34 911 29672 29740 D net kwatts powtools  C:RideListAdapter   M:lambda loadTrack 1   L:122  : loadTrack: rideId   19_x000D_
09 25 08:49:34 920 29672 29672 D net kwatts powtools  C:RideListAdapter RideVie   M:bind   L:88  : rideId20 minDate  null max null_x000D_
09 25 08:49:34 920 29672 29740 D net kwatts powtools  C:RideListAdapter   M:lambda loadTrack 1   L:122  : loadTrack: rideId   20_x000D_
09 25 08:49:34 920 29672 29672 D net kwatts powtools  C:Ride   M:getMinuteDuration   L:25  : minDate  null max null_x000D_
09 25 08:49:34 927 29672 29672 D net kwatts powtools  C:RideListAdapter RideVie   M:bind   L:88  : rideId21 minDate  null max null_x000D_
09 25 08:49:34 927 29672 29672 D net kwatts powtools  C:Ride   M:getMinuteDuration   L:25  : minDate  null max null_x000D_
09 25 08:49:34 927 29672 29740 D net kwatts powtools  C:RideListAdapter   M:lambda loadTrack 1   L:122  : loadTrack: rideId   21_x000D_
09 25 08:49:34 932 29672 29672 D net kwatts powtools  C:RideListAdapter RideVie   M:bind   L:88  : rideId22 minDate  null max null_x000D_
09 25 08:49:34 932 29672 29740 D net kwatts powtools  C:RideListAdapter   M:lambda loadTrack 1   L:122  : loadTrack: rideId   22_x000D_
09 25 08:49:34 932 29672 29672 D net kwatts powtools  C:Ride   M:getMinuteDuration   L:25  : minDate  null max null_x000D_
09 25 08:49:34 943 29672 29672 D net kwatts powtools  C:RideListAdapter RideVie   M:bind   L:88  : rideId23 minDate  null max null_x000D_
09 25 08:49:34 944 29672 29672 D net kwatts powtools  C:Ride   M:getMinuteDuration   L:25  : minDate  null max null_x000D_
09 25 08:49:34 944 29672 29740 D net kwatts powtools  C:RideListAdapter   M:lambda loadTrack 1   L:122  : loadTrack: rideId   23_x000D_
09 25 08:49:34 950 29672 29672 D net kwatts powtools  C:RideListAdapter RideVie   M:bind   L:88  : rideId24 minDate  Thu Sep 12 23:00:07 PDT 2019 max Thu Sep 12 23:00:07 PDT 2019_x000D_
09 25 08:49:34 950 29672 29740 D net kwatts powtools  C:RideListAdapter   M:lambda loadTrack 1   L:122  : loadTrack: rideId   24_x000D_
09 25 08:49:34 960 29672 29672 D net kwatts powtools  C:RideListAdapter RideVie   M:bind   L:88  : rideId25 minDate  Thu Sep 12 23:03:01 PDT 2019 max Thu Sep 12 23:03:01 PDT 2019_x000D_
09 25 08:49:34 960 29672 29740 D net kwatts powtools  C:RideListAdapter   M:lambda loadTrack 1   L:122  : loadTrack: rideId   25_x000D_
09 25 08:49:34 967 29672 29672 D net kwatts powtools  C:RideListAdapter RideVie   M:bind   L:88  : rideId26 minDate  Thu Sep 12 23:06:07 PDT 2019 max Thu Sep 12 23:06:07 PDT 2019_x000D_
09 25 08:49:34 968 29672 29740 D net kwatts powtools  C:RideListAdapter   M:lambda loadTrack 1   L:122  : loadTrack: rideId   26_x000D_
09 25 08:49:34 979 29672 29672 D net kwatts powtools  C:RideListAdapter RideVie   M:bind   L:88  : rideId27 minDate  Thu Sep 12 23:13:52 PDT 2019 max Thu Sep 12 23:13:52 PDT 2019_x000D_
09 25 08:49:34 980 29672 29740 D net kwatts powtools  C:RideListAdapter   M:lambda loadTrack 1   L:122  : loadTrack: rideId   27_x000D_
09 25 08:49:34 993 29672 29672 D net kwatts powtools  C:RideListAdapter RideVie   M:bind   L:88  : rideId28 minDate  Thu Sep 12 23:19:29 PDT 2019 max Thu Sep 12 23:19:29 PDT 2019_x000D_
09 25 08:49:34 993 29672 29740 D net kwatts powtools  C:RideListAdapter   M:lambda loadTrack 1   L:122  : loadTrack: rideId   28_x000D_
09 25 08:49:35 003 29672 29672 D net kwatts powtools  C:RideListAdapter RideVie   M:bind   L:88  : rideId29 minDate  Thu Sep 12 23:32:46 PDT 2019 max Thu Sep 12 23:32:46 PDT 2019_x000D_
09 25 08:49:35 003 29672 29740 D net kwatts powtools  C:RideListAdapter   M:lambda loadTrack 1   L:122  : loadTrack: rideId   29_x000D_
09 25 08:49:35 009 29672 29672 D net kwatts powtools  C:RideListAdapter RideVie   M:bind   L:88  : rideId30 minDate  Thu Sep 12 23:47:15 PDT 2019 max Thu Sep 12 23:47:15 PDT 2019_x000D_
09 25 08:49:35 009 29672 29740 D net kwatts powtools  C:RideListAdapter   M:lambda loadTrack 1   L:122  : loadTrack: rideId   30_x000D_
09 25 08:49:35 014 29672 29672 D net kwatts powtools  C:RideListAdapter RideVie   M:bind   L:88  : rideId31 minDate  null max null_x000D_
09 25 08:49:35 014 29672 29740 D net kwatts powtools  C:RideListAdapter   M:lambda loadTrack 1   L:122  : loadTrack: rideId   31_x000D_
09 25 08:49:35 014 29672 29672 D net kwatts powtools  C:Ride   M:getMinuteDuration   L:25  : minDate  null max null_x000D_
09 25 08:49:35 025 29672 29672 D net kwatts powtools  C:RideListAdapter RideVie   M:bind   L:88  : rideId32 minDate  null max null_x000D_
09 25 08:49:35 025 29672 29672 D net kwatts powtools  C:Ride   M:getMinuteDuration   L:25  : minDate  null max null_x000D_
09 25 08:49:35 025 29672 29740 D net kwatts powtools  C:RideListAdapter   M:lambda loadTrack 1   L:122  : loadTrack: rideId   32_x000D_
09 25 08:49:35 030 29672 29672 D net kwatts powtools  C:RideListAdapter RideVie   M:bind   L:88  : rideId33 minDate  null max null_x000D_
09 25 08:49:35 030 29672 29672 D net kwatts powtools  C:Ride   M:getMinuteDuration   L:25  : minDate  null max null_x000D_
09 25 08:49:35 030 29672 29740 D net kwatts powtools  C:RideListAdapter   M:lambda loadTrack 1   L:122  : loadTrack: rideId   33_x000D_
09 25 08:49:35 044 29672 29672 D net kwatts powtools  C:RideListAdapter RideVie   M:bind   L:88  : rideId34 minDate  null max null_x000D_
09 25 08:49:35 045 29672 29672 D net kwatts powtools  C:Ride   M:getMinuteDuration   L:25  : minDate  null max null_x000D_
09 25 08:49:35 045 29672 29740 D net kwatts powtools  C:RideListAdapter   M:lambda loadTrack 1   L:122  : loadTrack: rideId   34_x000D_
09 25 08:49:35 058 29672 29672 D net kwatts powtools  C:RideListAdapter RideVie   M:bind   L:88  : rideId35 minDate  null max null_x000D_
09 25 08:49:35 058 29672 29672 D net kwatts powtools  C:Ride   M:getMinuteDuration   L:25  : minDate  null max null_x000D_
09 25 08:49:35 058 29672 29740 D net kwatts powtools  C:RideListAdapter   M:lambda loadTrack 1   L:122  : loadTrack: rideId   35_x000D_
09 25 08:49:35 063 29672 29672 D net kwatts powtools  C:RideListAdapter RideVie   M:bind   L:88  : rideId36 minDate  null max null_x000D_
09 25 08:49:35 064 29672 29672 D net kwatts powtools  C:Ride   M:getMinuteDuration   L:25  : minDate  null max null_x000D_
09 25 08:49:35 064 29672 29740 D net kwatts powtools  C:RideListAdapter   M:lambda loadTrack 1   L:122  : loadTrack: rideId   36_x000D_
09 25 08:49:35 076 29672 29672 D net kwatts powtools  C:RideListAdapter RideVie   M:bind   L:88  : rideId37 minDate  null max null_x000D_
09 25 08:49:35 076 29672 29740 D net kwatts powtools  C:RideListAdapter   M:lambda loadTrack 1   L:122  : loadTrack: rideId   37_x000D_
09 25 08:49:35 076 29672 29672 D net kwatts powtools  C:Ride   M:getMinuteDuration   L:25  : minDate  null max null_x000D_
09 25 08:49:35 091 29672 29672 D net kwatts powtools  C:RideListAdapter RideVie   M:bind   L:88  : rideId38 minDate  null max null_x000D_
09 25 08:49:35 091 29672 29672 D net kwatts powtools  C:Ride   M:getMinuteDuration   L:25  : minDate  null max null_x000D_
09 25 08:49:35 091 29672 29740 D net kwatts powtools  C:RideListAdapter   M:lambda loadTrack 1   L:122  : loadTrack: rideId   38_x000D_
09 25 08:49:35 095 29672 29672 D net kwatts powtools  C:RideListAdapter RideVie   M:bind   L:88  : rideId39 minDate  null max null_x000D_
09 25 08:49:35 096 29672 29672 D net kwatts powtools  C:Ride   M:getMinuteDuration   L:25  : minDate  null max null_x000D_
09 25 08:49:35 096 29672 29740 D net kwatts powtools  C:RideListAdapter   M:lambda loadTrack 1   L:122  : loadTrack: rideId   39_x000D_
09 25 08:49:35 107 29672 29672 D net kwatts powtools  C:RideListAdapter RideVie   M:bind   L:88  : rideId40 minDate  null max null_x000D_
09 25 08:49:35 107 29672 29740 D net kwatts powtools  C:RideListAdapter   M:lambda loadTrack 1   L:122  : loadTrack: rideId   40_x000D_
09 25 08:49:35 107 29672 29672 D net kwatts powtools  C:Ride   M:getMinuteDuration   L:25  : minDate  null max null_x000D_
09 25 08:49:35 112 29672 29672 D net kwatts powtools  C:RideListAdapter RideVie   M:bind   L:88  : rideId41 minDate  Thu Sep 12 23:59:37 PDT 2019 max Thu Sep 12 23:59:37 PDT 2019_x000D_
09 25 08:49:35 112 29672 29740 D net kwatts powtools  C:RideListAdapter   M:lambda loadTrack 1   L:122  : loadTrack: rideId   41_x000D_
09 25 08:49:35 125 29672 29672 D net kwatts powtools  C:RideListAdapter RideVie   M:bind   L:88  : rideId42 minDate  Fri Sep 13 00:12:12 PDT 2019 max Fri Sep 13 00:12:12 PDT 2019_x000D_
09 25 08:49:35 126 29672 29740 D net kwatts powtools  C:RideListAdapter   M:lambda loadTrack 1   L:122  : loadTrack: rideId   42_x000D_
09 25 08:49:35 140 29672 29672 D net kwatts powtools  C:RideListAdapter RideVie   M:bind   L:88  : rideId43 minDate  Fri Sep 13 00:50:05 PDT 2019 max Fri Sep 13 00:50:05 PDT 2019_x000D_
09 25 08:49:35 141 29672 29740 D net kwatts powtools  C:RideListAdapter   M:lambda loadTrack 1   L:122  : loadTrack: rideId   43_x000D_
09 25 08:49:35 145 29672 29672 D net kwatts powtools  C:RideListAdapter RideVie   M:bind   L:88  : rideId44 minDate  Fri Sep 13 00:56:29 PDT 2019 max Fri Sep 13 00:56:29 PDT 2019_x000D_
09 25 08:49:35 146 29672 29740 D net kwatts powtools  C:RideListAdapter   M:lambda loadTrack 1   L:122  : loadTrack: rideId   44_x000D_
09 25 08:49:35 158 29672 29672 D net kwatts powtools  C:RideListAdapter RideVie   M:bind   L:88  : rideId45 minDate  Fri Sep 13 00:58:56 PDT 2019 max Fri Sep 13 00:58:56 PDT 2019_x000D_
09 25 08:49:35 159 29672 29740 D net kwatts powtools  C:RideListAdapter   M:lambda loadTrack 1   L:122  : loadTrack: rideId   45_x000D_
09 25 08:49:35 173 29672 29672 D net kwatts powtools  C:RideListAdapter RideVie   M:bind   L:88  : rideId46 minDate  Fri Sep 13 01:09:00 PDT 2019 max Fri Sep 13 01:09:00 PDT 2019_x000D_
09 25 08:49:35 173 29672 29740 D net kwatts powtools  C:RideListAdapter   M:lambda loadTrack 1   L:122  : loadTrack: rideId   46_x000D_
09 25 08:49:35 177 29672 29672 D net kwatts powtools  C:RideListAdapter RideVie   M:bind   L:88  : rideId47 minDate  null max null_x000D_
09 25 08:49:35 177 29672 29740 D net kwatts powtools  C:RideListAdapter   M:lambda loadTrack 1   L:122  : loadTrack: rideId   47_x000D_
09 25 08:49:35 177 29672 29672 D net kwatts powtools  C:Ride   M:getMinuteDuration   L:25  : minDate  null max null_x000D_
09 25 08:49:35 191 29672 29672 D net kwatts powtools  C:RideListAdapter RideVie   M:bind   L:88  : rideId48 minDate  Fri Sep 13 01:20:29 PDT 2019 max Fri Sep 13 01:20:29 PDT 2019_x000D_
09 25 08:49:35 191 29672 29740 D net kwatts powtools  C:RideListAdapter   M:lambda loadTrack 1   L:122  : loadTrack: rideId   48_x000D_
09 25 08:49:35 208 29672 29672 D net kwatts powtools  C:RideListAdapter RideVie   M:bind   L:88  : rideId49 minDate  Fri Sep 13 01:21:07 PDT 2019 max Fri Sep 13 01:21:07 PDT 2019_x000D_
09 25 08:49:35 209 29672 29740 D net kwatts powtools  C:RideListAdapter   M:lambda loadTrack 1   L:122  : loadTrack: rideId   49_x000D_
09 25 08:49:35 222 29672 29672 D net kwatts powtools  C:RideListAdapter RideVie   M:bind   L:88  : rideId50 minDate  null max null_x000D_
09 25 08:49:35 222 29672 29672 D net kwatts powtools  C:Ride   M:getMinuteDuration   L:25  : minDate  null max null_x000D_
09 25 08:49:35 222 29672 29740 D net kwatts powtools  C:RideListAdapter   M:lambda loadTrack 1   L:122  : loadTrack: rideId   50_x000D_
09 25 08:49:35 227 29672 29672 D net kwatts powtools  C:RideListAdapter RideVie   M:bind   L:88  : rideId51 minDate  Fri Sep 13 01:29:27 PDT 2019 max Fri Sep 13 01:29:27 PDT 2019_x000D_
09 25 08:49:35 228 29672 29740 D net kwatts powtools  C:RideListAdapter   M:lambda loadTrack 1   L:122  : loadTrack: rideId   51_x000D_
09 25 08:49:35 240 29672 29672 D net kwatts powtools  C:RideListAdapter RideVie   M:bind   L:88  : rideId52 minDate  Fri Sep 13 01:44:38 PDT 2019 max Fri Sep 13 01:44:38 PDT 2019_x000D_
09 25 08:49:35 240 29672 29740 D net kwatts powtools  C:RideListAdapter   M:lambda loadTrack 1   L:122  : loadTrack: rideId   52_x000D_
09 25 08:49:35 256 29672 29672 D net kwatts powtools  C:RideListAdapter RideVie   M:bind   L:88  : rideId53 minDate  null max null_x000D_
09 25 08:49:35 257 29672 29672 D net kwatts powtools  C:Ride   M:getMinuteDuration   L:25  : minDate  null max null_x000D_
09 25 08:49:35 257 29672 29740 D net kwatts powtools  C:RideListAdapter   M:lambda loadTrack 1   L:122  : loadTrack: rideId   53_x000D_
09 25 08:49:35 271 29672 29672 D net kwatts powtools  C:RideListAdapter RideVie   M:bind   L:88  : rideId54 minDate  null max null_x000D_
09 25 08:49:35 271 29672 29740 D net kwatts powtools  C:RideListAdapter   M:lambda loadTrack 1   L:122  : loadTrack: rideId   54_x000D_
09 25 08:49:35 271 29672 29672 D net kwatts powtools  C:Ride   M:getMinuteDuration   L:25  : minDate  null max null_x000D_
09 25 08:49:35 275 29672 29672 D net kwatts powtools  C:RideListAdapter RideVie   M:bind   L:88  : rideId55 minDate  null max null_x000D_
09 25 08:49:35 275 29672 29672 D net kwatts powtools  C:Ride   M:getMinuteDuration   L:25  : minDate  null max null_x000D_
09 25 08:49:35 275 29672 29740 D net kwatts powtools  C:RideListAdapter   M:lambda loadTrack 1   L:122  : loadTrack: rideId   55_x000D_
09 25 08:49:35 290 29672 29672 D net kwatts powtools  C:RideListAdapter RideVie   M:bind   L:88  : rideId56 minDate  Fri Sep 13 01:56:47 PDT 2019 max Fri Sep 13 01:56:47 PDT 2019_x000D_
09 25 08:49:35 290 29672 29740 D net kwatts powtools  C:RideListAdapter   M:lambda loadTrack 1   L:122  : loadTrack: rideId   56_x000D_
09 25 08:49:35 305 29672 29672 D net kwatts powtools  C:RideListAdapter RideVie   M:bind   L:88  : rideId57 minDate  Fri Sep 13 01:58:56 PDT 2019 max Fri Sep 13 01:58:56 PDT 2019_x000D_
09 25 08:49:35 306 29672 29740 D net kwatts powtools  C:RideListAdapter   M:lambda loadTrack 1   L:122  : loadTrack: rideId   57_x000D_
09 25 08:49:35 322 29672 29672 D net kwatts powtools  C:RideListAdapter RideVie   M:bind   L:88  : rideId58 minDate  null max null_x000D_
09 25 08:49:35 322 29672 29672 D net kwatts powtools  C:Ride   M:getMinuteDuration   L:25  : minDate  null max null_x000D_
09 25 08:49:35 322 29672 29740 D net kwatts powtools  C:RideListAdapter   M:lambda loadTrack 1   L:122  : loadTrack: rideId   58_x000D_
09 25 08:49:35 338 29672 29672 D net kwatts powtools  C:RideListAdapter RideVie   M:bind   L:88  : rideId59 minDate  Fri Sep 13 02:02:00 PDT 2019 max Fri Sep 13 02:02:00 PDT 2019_x000D_
09 25 08:49:35 339 29672 29740 D net kwatts powtools  C:RideListAdapter   M:lambda loadTrack 1   L:122  : loadTrack: rideId   59_x000D_
09 25 08:49:35 342 28438 28547 D BluetoothAdapter: isLeEnabled(): ON_x000D_
09 25 08:49:35 354 29672 29672 D net kwatts powtools  C:RideListAdapter RideVie   M:bind   L:88  : rideId60 minDate  Fri Sep 13 10:47:35 PDT 2019 max Fri Sep 13 10:47:35 PDT 2019_x000D_
09 25 08:49:35 355 29672 29740 D net kwatts powtools  C:RideListAdapter   M:lambda loadTrack 1   L:122  : loadTrack: rideId   60_x000D_
09 25 08:49:35 371 29672 29672 D net kwatts powtools  C:RideListAdapter RideVie   M:bind   L:88  : rideId61 minDate  Fri Sep 13 10:48:41 PDT 2019 max Fri Sep 13 10:48:41 PDT 2019_x000D_
09 25 08:49:35 371 29672 29740 D net kwatts powtools  C:RideListAdapter   M:lambda loadTrack 1   L:122  : loadTrack: rideId   61_x000D_
09 25 08:49:35 378   807   950 I CHRE    :   435490 781:  AR CHRE  still: 60_x000D_
09 25 08:49:35 388 29672 29672 D net kwatts powtools  C:RideListAdapter RideVie   M:bind   L:88  : rideId62 minDate  Fri Sep 13 10:53:23 PDT 2019 max Fri Sep 13 10:53:23 PDT 2019_x000D_
09 25 08:49:35 388 29672 29740 D net kwatts powtools  C:RideListAdapter   M:lambda loadTrack 1   L:122  : loadTrack: rideId   62_x000D_
09 25 08:49:35 403 29672 29672 D net kwatts powtools  C:RideListAdapter RideVie   M:bind   L:88  : rideId63 minDate  Fri Sep 13 10:57:15 PDT 2019 max Fri Sep 13 10:57:15 PDT 2019_x000D_
09 25 08:49:35 404 29672 29740 D net kwatts powtools  C:RideListAdapter   M:lambda loadTrack 1   L:122  : loadTrack: rideId   63_x000D_
09 25 08:49:35 420 29672 29672 D net kwatts powtools  C:RideListAdapter RideVie   M:bind   L:88  : rideId64 minDate  Fri Sep 13 10:59:12 PDT 2019 max Fri Sep 13 10:59:12 PDT 2019_x000D_
09 25 08:49:35 420 29672 29740 D net kwatts powtools  C:RideListAdapter   M:lambda loadTrack 1   L:122  : loadTrack: rideId   64_x000D_
09 25 08:49:35 437 29672 29672 D net kwatts powtools  C:RideListAdapter RideVie   M:bind   L:88  : rideId65 minDate  Fri Sep 13 11:03:35 PDT 2019 max Fri Sep 13 11:03:35 PDT 2019_x000D_
09 25 08:49:35 437 29672 29740 D net kwatts powtools  C:RideListAdapter   M:lambda loadTrack 1   L:122  : loadTrack: rideId   65_x000D_
09 25 08:49:35 453 29672 29672 D net kwatts powtools  C:RideListAdapter RideVie   M:bind   L:88  : rideId66 minDate  Fri Sep 13 11:22:23 PDT 2019 max Fri Sep 13 11:22:23 PDT 2019_x000D_
09 25 08:49:35 453 29672 29740 D net kwatts powtools  C:RideListAdapter   M:lambda loadTrack 1   L:122  : loadTrack: rideId   66_x000D_
09 25 08:49:35 469 29672 29672 D net kwatts powtools  C:RideListAdapter RideVie   M:bind   L:88  : rideId67 minDate  null max null_x000D_
09 25 08:49:35 470 29672 29740 D net kwatts powtools  C:RideListAdapter   M:lambda loadTrack 1   L:122  : loadTrack: rideId   67_x000D_
09 25 08:49:35 470 29672 29672 D net kwatts powtools  C:Ride   M:getMinuteDuration   L:25  : minDate  null max null_x000D_
09 25 08:49:35 485 29672 29672 D net kwatts powtools  C:RideListAdapter RideVie   M:bind   L:88  : rideId68 minDate  null max null_x000D_
09 25 08:49:35 486 29672 29672 D net kwatts powtools  C:Ride   M:getMinuteDuration   L:25  : minDate  null max null_x000D_
09 25 08:49:35 486 29672 29740 D net kwatts powtools  C:RideListAdapter   M:lambda loadTrack 1   L:122  : loadTrack: rideId   68_x000D_
09 25 08:49:35 502 29672 29672 D net kwatts powtools  C:RideListAdapter RideVie   M:bind   L:88  : rideId69 minDate  null max null_x000D_
09 25 08:49:35 503 29672 29740 D net kwatts powtools  C:RideListAdapter   M:lambda loadTrack 1   L:122  : loadTrack: rideId   69_x000D_
09 25 08:49:35 503 29672 29672 D net kwatts powtools  C:Ride   M:getMinuteDuration   L:25  : minDate  null max null_x000D_
09 25 08:49:35 518 29672 29672 D net kwatts powtools  C:RideListAdapter RideVie   M:bind   L:88  : rideId70 minDate  null max null_x000D_
09 25 08:49:35 519 29672 29672 D net kwatts powtools  C:Ride   M:getMinuteDuration   L:25  : minDate  null max null_x000D_
09 25 08:49:35 519 29672 29740 D net kwatts powtools  C:RideListAdapter   M:lambda loadTrack 1   L:122  : loadTrack: rideId   70_x000D_
09 25 08:49:35 552 29672 29672 D net kwatts powtools  C:RideListAdapter RideVie   M:bind   L:88  : rideId71 minDate  Fri Sep 13 12:16:43 PDT 2019 max Fri Sep 13 12:16:43 PDT 2019_x000D_
09 25 08:49:35 552 29672 29740 D net kwatts powtools  C:RideListAdapter   M:lambda loadTrack 1   L:122  : loadTrack: rideId   71_x000D_
09 25 08:49:35 568 29672 29672 D net kwatts powtools  C:RideListAdapter RideVie   M:bind   L:88  : rideId72 minDate  Fri Sep 13 12:48:05 PDT 2019 max Fri Sep 13 12:48:05 PDT 2019_x000D_
09 25 08:49:35 568 29672 29740 D net kwatts powtools  C:RideListAdapter   M:lambda loadTrack 1   L:122  : loadTrack: rideId   72_x000D_
09 25 08:49:35 584 29672 29672 D net kwatts powtools  C:RideListAdapter RideVie   M:bind   L:88  : rideId73 minDate  null max null_x000D_
09 25 08:49:35 584 29672 29672 D net kwatts powtools  C:Ride   M:getMinuteDuration   L:25  : minDate  null max null_x000D_
09 25 08:49:35 584 29672 29740 D net kwatts powtools  C:RideListAdapter   M:lambda loadTrack 1   L:122  : loadTrack: rideId   73_x000D_
09 25 08:49:35 618 29672 29672 D net kwatts powtools  C:RideListAdapter RideVie   M:bind   L:88  : rideId74 minDate  Fri Sep 13 13:08:44 PDT 2019 max Fri Sep 13 13:08:44 PDT 2019_x000D_
09 25 08:49:35 618 29672 29740 D net kwatts powtools  C:RideListAdapter   M:lambda loadTrack 1   L:122  : loadTrack: rideId   74_x000D_
09 25 08:49:35 633 29672 29672 D net kwatts powtools  C:RideListAdapter RideVie   M:bind   L:88  : rideId75 minDate  Fri Sep 13 13:18:54 PDT 2019 max Fri Sep 13 13:18:54 PDT 2019_x000D_
09 25 08:49:35 634 29672 29740 D net kwatts powtools  C:RideListAdapter   M:lambda loadTrack 1   L:122  : loadTrack: rideId   75_x000D_
09 25 08:49:35 667 29672 29672 D net kwatts powtools  C:RideListAdapter RideVie   M:bind   L:88  : rideId76 minDate  Fri Sep 13 14:01:36 PDT 2019 max Fri Sep 13 14:01:36 PDT 2019_x000D_
09 25 08:49:35 668 29672 29740 D net kwatts powtools  C:RideListAdapter   M:lambda loadTrack 1   L:122  : loadTrack: rideId   76_x000D_
09 25 08:49:35 750 29672 29672 D net kwatts powtools  C:RideListAdapter RideVie   M:bind   L:88  : rideId77 minDate  Fri Sep 13 14:18:53 PDT 2019 max Fri Sep 13 14:18:53 PDT 2019_x000D_
09 25 08:49:35 751 29672 29740 D net kwatts powtools  C:RideListAdapter   M:lambda loadTrack 1   L:122  : loadTrack: rideId   77_x000D_
09 25 08:49:35 783 29672 29672 D net kwatts powtools  C:RideListAdapter RideVie   M:bind   L:88  : rideId78 minDate  Fri Sep 13 14:27:15 PDT 2019 max Fri Sep 13 14:27:15 PDT 2019_x000D_
09 25 08:49:35 784 29672 29740 D net kwatts powtools  C:RideListAdapter   M:lambda loadTrack 1   L:122  : loadTrack: rideId   78_x000D_
09 25 08:49:35 797 29672 29672 D net kwatts powtools  C:RideListAdapter RideVie   M:bind   L:88  : rideId79 minDate  Fri Sep 13 14:42:28 PDT 2019 max Fri Sep 13 14:42:28 PDT 2019_x000D_
09 25 08:49:35 797 29672 29740 D net kwatts powtools  C:RideListAdapter   M:lambda loadTrack 1   L:122  : loadTrack: rideId   79_x000D_
09 25 08:49:35 814 29672 29672 D net kwatts powtools  C:RideListAdapter RideVie   M:bind   L:88  : rideId80 minDate  Fri Sep 13 14:56:20 PDT 2019 max Fri Sep 13 14:56:20 PDT 2019_x000D_
09 25 08:49:35 814 29672 29740 D net kwatts powtools  C:RideListAdapter   M:lambda loadTrack 1   L:122  : loadTrack: rideId   80_x000D_
09 25 08:49:35 830 29672 29672 D net kwatts powtools  C:RideListAdapter RideVie   M:bind   L:88  : rideId81 minDate  null max null_x000D_
09 25 08:49:35 830 29672 29672 D net kwatts powtools  C:Ride   M:getMinuteDuration   L:25  : minDate  null max null_x000D_
09 25 08:49:35 830 29672 29740 D net kwatts powtools  C:RideListAdapter   M:lambda loadTrack 1   L:122  : loadTrack: rideId   81_x000D_
09 25 08:49:35 846 29672 29672 D net kwatts powtools  C:RideListAdapter RideVie   M:bind   L:88  : rideId82 minDate  Fri Sep 13 15:20:54 PDT 2019 max Fri Sep 13 15:20:54 PDT 2019_x000D_
09 25 08:49:35 847 29672 29740 D net kwatts powtools  C:RideListAdapter   M:lambda loadTrack 1   L:122  : loadTrack: rideId   82_x000D_
09 25 08:49:35 855 29672 29672 D net kwatts powtools  C:RideListAdapter RideVie   M:bind   L:88  : rideId83 minDate  Fri Sep 13 15:30:21 PDT 2019 max Fri Sep 13 15:30:21 PDT 2019_x000D_
09 25 08:49:35 855 29672 29740 D net kwatts powtools  C:RideListAdapter   M:lambda loadTrack 1   L:122  : loadTrack: rideId   83_x000D_
09 25 08:49:35 863 29672 29672 D net kwatts powtools  C:RideListAdapter RideVie   M:bind   L:88  : rideId84 minDate  Fri Sep 13 15:31:57 PDT 2019 max Fri Sep 13 15:31:57 PDT 2019_x000D_
09 25 08:49:35 864 29672 29740 D net kwatts powtools  C:RideListAdapter   M:lambda loadTrack 1   L:122  : loadTrack: rideId   84_x000D_
09 25 08:49:35 879 29672 29672 D net kwatts powtools  C:RideListAdapter RideVie   M:bind   L:88  : rideId85 minDate  null max null_x000D_
09 25 08:49:35 879 29672 29672 D net kwatts powtools  C:Ride   M:getMinuteDuration   L:25  : minDate  null max null_x000D_
09 25 08:49:35 879 29672 29740 D net kwatts powtools  C:RideListAdapter   M:lambda loadTrack 1   L:122  : loadTrack: rideId   85_x000D_
09 25 08:49:35 896 29672 29672 D net kwatts powtools  C:RideListAdapter RideVie   M:bind   L:88  : rideId86 minDate  Fri Sep 13 15:33:03 PDT 2019 max Fri Sep 13 15:33:03 PDT 2019_x000D_
09 25 08:49:35 896 29672 29740 D net kwatts powtools  C:RideListAdapter   M:lambda loadTrack 1   L:122  : loadTrack: rideId   86_x000D_
09 25 08:49:35 912 29672 29672 D net kwatts powtools  C:RideListAdapter RideVie   M:bind   L:88  : rideId87 minDate  Fri Sep 13 15:33:51 PDT 2019 max Fri Sep 13 15:33:51 PDT 2019_x000D_
09 25 08:49:35 913 29672 29740 D net kwatts powtools  C:RideListAdapter   M:lambda loadTrack 1   L:122  : loadTrack: rideId   87_x000D_
09 25 08:49:35 927 29672 29672 D net kwatts powtools  C:RideListAdapter RideVie   M:bind   L:88  : rideId88 minDate  Fri Sep 13 15:38:13 PDT 2019 max Fri Sep 13 15:38:13 PDT 2019_x000D_
09 25 08:49:35 928 29672 29740 D net kwatts powtools  C:RideListAdapter   M:lambda loadTrack 1   L:122  : loadTrack: rideId   88_x000D_
09 25 08:49:35 931 29672 29672 D net kwatts powtools  C:RideListAdapter RideVie   M:bind   L:88  : rideId89 minDate  Fri Sep 13 15:41:26 PDT 2019 max Fri Sep 13 15:41:26 PDT 2019_x000D_
09 25 08:49:35 932 29672 29740 D net kwatts powtools  C:RideListAdapter   M:lambda loadTrack 1   L:122  : loadTrack: rideId   89_x000D_
09 25 08:49:35 945 29672 29672 D net kwatts powtools  C:RideListAdapter RideVie   M:bind   L:88  : rideId90 minDate  Fri Sep 13 15:46:58 PDT 2019 max Fri Sep 13 15:46:58 PDT 2019_x000D_
09 25 08:49:35 946 29672 29740 D net kwatts powtools  C:RideListAdapter   M:lambda loadTrack 1   L:122  : loadTrack: rideId   90_x000D_
09 25 08:49:35 961 29672 29672 D net kwatts powtools  C:RideListAdapter RideVie   M:bind   L:88  : rideId91 minDate  Fri Sep 13 15:50:11 PDT 2019 max Fri Sep 13 15:50:11 PDT 2019_x000D_
09 25 08:49:35 962 29672 29740 D net kwatts powtools  C:RideListAdapter   M:lambda loadTrack 1   L:122  : loadTrack: rideId   91_x000D_
09 25 08:49:35 978 29672 29672 D net kwatts powtools  C:RideListAdapter RideVie   M:bind   L:88  : rideId92 minDate  Fri Sep 13 16:58:17 PDT 2019 max Fri Sep 13 16:58:17 PDT 2019_x000D_
09 25 08:49:35 979 29672 29740 D net kwatts powtools  C:RideListAdapter   M:lambda loadTrack 1   L:122  : loadTrack: rideId   92_x000D_
09 25 08:49:35 994 29672 29672 D net kwatts powtools  C:RideListAdapter RideVie   M:bind   L:88  : rideId93 minDate  Fri Sep 13 17:51:33 PDT 2019 max Fri Sep 13 17:51:33 PDT 2019_x000D_
09 25 08:49:35 995 29672 29740 D net kwatts powtools  C:RideListAdapter   M:lambda loadTrack 1   L:122  : loadTrack: rideId   93_x000D_
09 25 08:49:36 010 29672 29672 D net kwatts powtools  C:RideListAdapter RideVie   M:bind   L:88  : rideId94 minDate  Fri Sep 13 18:27:57 PDT 2019 max Fri Sep 13 18:27:57 PDT 2019_x000D_
09 25 08:49:36 011 29672 29740 D net kwatts powtools  C:RideListAdapter   M:lambda loadTrack 1   L:122  : loadTrack: rideId   94_x000D_
09 25 08:49:36 027 29672 29672 D net kwatts powtools  C:RideListAdapter RideVie   M:bind   L:88  : rideId95 minDate  Sun Sep 15 14:20:00 PDT 2019 max Sun Sep 15 14:20:00 PDT 2019_x000D_
09 25 08:49:36 027 29672 29740 D net kwatts powtools  C:RideListAdapter   M:lambda loadTrack 1   L:122  : loadTrack: rideId   95_x000D_
09 25 08:49:36 043 29672 29672 D net kwatts powtools  C:RideListAdapter RideVie   M:bind   L:88  : rideId96 minDate  Sun Sep 15 14:26:49 PDT 2019 max Sun Sep 15 14:26:49 PDT 2019_x000D_
09 25 08:49:36 044 29672 29740 D net kwatts powtools  C:RideListAdapter   M:lambda loadTrack 1   L:122  : loadTrack: rideId   96_x000D_
09 25 08:49:36 059 29672 29672 D net kwatts powtools  C:RideListAdapter RideVie   M:bind   L:88  : rideId97 minDate  Sun Sep 15 14:52:41 PDT 2019 max Sun Sep 15 14:52:41 PDT 2019_x000D_
09 25 08:49:36 060 29672 29740 D net kwatts powtools  C:RideListAdapter   M:lambda loadTrack 1   L:122  : loadTrack: rideId   97_x000D_
09 25 08:49:36 061  2148 29687 E ctxmgr  :  AppIntervalImpl  closeInterval: ongoing  CONTEXT service id 47  _x000D_
09 25 08:49:36 075   795   795 V ContextHubHal: sendMessageToHub_x000D_
09 25 08:49:36 077   807   950 D CHRE    :   435491 500: Parsed nanoapp message from host: app ID 0x476f6f676c00100b  endpoint 0x0  msgType 0  payload size 10_x000D_
09 25 08:49:36 077  1167  1404 V ContextHubClientManager: Received NanoAppMessage type   1025  length   168 bytes  broadcast  nanoapp   0x476f6f676c00100b (data   0x210000A4 00007200 08E7CAD2 CF011A0C    )_x000D_
09 25 08:49:36 077   807   950 I CHRE    :   435491 500:  NanoMinion  received MSG Type 0x70  Version 1  6 bytes_x000D_
09 25 08:49:36 077   807   950 I CHRE    :   435491 500:  AR CHRE  request flush_x000D_
09 25 08:49:36 077   807   950 I CHRE    :   435491 500:  AR CHRE  send to host  reason 3  sampleSize 9  transitionSize 0  lastAccelTime   435478566  lastAudioTime   0_x000D_
09 25 08:49:36 077   807   950 I CHRE    :   435491 500:  NanoMinion  sent MSG Type 0x72  Version 0  160 bytes  MessageId 2_x000D_
09 25 08:49:36 077  1167  1404 D ContextHubService: Sending message 1025 version 0 from hubHandle 0  appInstance 0  callBackCount 2_x000D_
09 25 08:49:36 089  2148  4820 I Places  :  : PlacesBleScanner stop()_x000D_
09 25 08:49:36 092  2148  2148 I BeaconBle: Places requested to stop scan_x000D_
09 25 08:49:36 092  2148  2148 I BeaconBle: Scan canceled successfully _x000D_
09 25 08:49:36 093 29672 29672 D net kwatts powtools  C:RideListAdapter RideVie   M:bind   L:88  : rideId98 minDate  Tue Sep 17 19:18:05 PDT 2019 max Tue Sep 17 19:18:05 PDT 2019_x000D_
09 25 08:49:36 093 29672 29740 D net kwatts powtools  C:RideListAdapter   M:lambda loadTrack 1   L:122  : loadTrack: rideId   98_x000D_
09 25 08:49:36 098  2148  4820 I PlaceInferenceEngine:  anon  Changed inference mode: 1_x000D_
09 25 08:49:36 098  2148  4820 I PlaceInferenceEngine:  account  29786098  Changed inference mode: 1_x000D_
09 25 08:49:36 098  2148  4820 I PlaceInferenceEngine:  account  44440013  Changed inference mode: 1_x000D_
09 25 08:49:36 110 29672 29672 D net kwatts powtools  C:RideListAdapter RideVie   M:bind   L:88  : rideId99 minDate  Sat Sep 21 11:44:49 PDT 2019 max Sat Sep 21 11:44:49 PDT 2019_x000D_
09 25 08:49:36 111 29672 29740 D net kwatts powtools  C:RideListAdapter   M:lambda loadTrack 1   L:122  : loadTrack: rideId   99_x000D_
09 25 08:49:36 174 2</t>
  </si>
  <si>
    <t>nextcloud-android-4553</t>
  </si>
  <si>
    <t>Start and crash after setup</t>
  </si>
  <si>
    <t xml:space="preserve">    Actual behaviour_x000D_
  start and crash_x000D_
  or if not yet setup  start setup and crash_x000D_
_x000D_
    Expected behaviour_x000D_
  well no crash_x000D_
 _x000D_
    Steps to reproduce_x000D_
See above _x000D_
_x000D_
_x000D_
    Environment data_x000D_
Android version:_x000D_
O_x000D_
Device model: _x000D_
Xperia xa2 (H3113) _x000D_
Stock or customized system:_x000D_
Stock_x000D_
Nextcloud app version:_x000D_
3 8 0_x000D_
Nextcloud server version:_x000D_
16 0 4_x000D_
    Logs_x000D_
     app error log_x000D_
   _x000D_
             CAUSE OF ERROR             _x000D_
_x000D_
java lang RuntimeException: Error receiving broadcast Intent   act com owncloud android files services FileUploaderUPLOAD FINISH flg 0x10 pkg com nextcloud client (has extras)   in com owncloud android ui activity FileDisplayActivity UploadFinishReceiver 2421bcc_x000D_
	at android app LoadedApk ReceiverDispatcher Args lambda getRunnable 0(LoadedApk java:1412)_x000D_
	at android app    Lambda LoadedApk ReceiverDispatcher Args  BumDX2UKsnxLVrE6UJsJZkotuA run(Unknown Source:2)_x000D_
	at android os Handler handleCallback(Handler java:873)_x000D_
	at android os Handler dispatchMessage(Handler java:99)_x000D_
	at android os Looper loop(Looper java:280)_x000D_
	at android app ActivityThread main(ActivityThread java:6706)_x000D_
	at java lang reflect Method invoke(Native Method)_x000D_
	at com android internal os RuntimeInit MethodAndArgsCaller run(RuntimeInit java:493)_x000D_
	at com android internal os ZygoteInit main(ZygoteInit java:858)_x000D_
Caused by: java lang SecurityException: Permission Denial: unbroadcastIntent() from pid 10982  uid 1010298 requires android permission BROADCAST STICKY_x000D_
	at android os Parcel createException(Parcel java:1969)_x000D_
	at android os Parcel readException(Parcel java:1935)_x000D_
	at android os Parcel readException(Parcel java:1885)_x000D_
	at android app IActivityManager Stub Proxy unbroadcastIntent(IActivityManager java:3903)_x000D_
	at android app ContextImpl removeStickyBroadcast(ContextImpl java:1346)_x000D_
	at android content ContextWrapper removeStickyBroadcast(ContextWrapper java:588)_x000D_
	at com owncloud android ui activity FileDisplayActivity UploadFinishReceiver onReceive(FileDisplayActivity java:1575)_x000D_
	at android app LoadedApk ReceiverDispatcher Args lambda getRunnable 0(LoadedApk java:1397)_x000D_
	    8 more_x000D_
Caused by: android os RemoteException: Remote stack trace:_x000D_
	at com android server am ActivityManagerService unbroadcastIntent(ActivityManagerService java:22677)_x000D_
	at android app IActivityManager Stub onTransact(IActivityManager java:183)_x000D_
	at com android server am ActivityManagerService onTransact(ActivityManagerService java:3421)_x000D_
	at android os Binder execTransact(Binder java:731)_x000D_
_x000D_
_x000D_
             APP INFORMATION             _x000D_
ID: com nextcloud client_x000D_
Version: 30080090_x000D_
Build flavor: gplay_x000D_
_x000D_
             DEVICE INFORMATION             _x000D_
Brand: Sony_x000D_
Device: H3113_x000D_
Model: H3113_x000D_
Id: 50 2 A 0 400_x000D_
Product: H3113_x000D_
_x000D_
             FIRMWARE             _x000D_
SDK: 28_x000D_
Release: 9_x000D_
Incremental: 3640285821_x000D_
   </t>
  </si>
  <si>
    <t>TeamNewPipe-NewPipe-2663</t>
  </si>
  <si>
    <t>Impossible to find or play any video</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</si>
  <si>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hr _x000D_
Since 2019 09 20 it is impossible to find or play (open) any video  Infinite loading on trending tab (it caused some UI error once  but can t reproduce it to get crash report)  App reinstalling did not help _x000D_
_x000D_
SoundCloud and MediaCCC services are working without any issues _x000D_
Please inform  if any additional information is needed _x000D_
 hr _x000D_
_x000D_
Unable to find videos  Search suggestions are showing  search results not (error) _x000D_
_x000D_
   Exception_x000D_
    User Action:   searched_x000D_
    Request:   video_x000D_
    Content Language:   GB_x000D_
    Service:   YouTube_x000D_
    Version:   0 17 3_x000D_
    OS:   Linux Android 5 0 1   21_x000D_
_x000D_
_x000D_
 details  summary  b Crash log  b   summary  p _x000D_
_x000D_
   _x000D_
java lang NullPointerException: Attempt to invoke virtual method  org jsoup select Elements org jsoup nodes Element children()  on a null object reference_x000D_
	at org schabi newpipe extractor services youtube extractors YoutubeSearchExtractor collectItems(YoutubeSearchExtractor java:115)_x000D_
	at org schabi newpipe extractor services youtube extractors YoutubeSearchExtractor getInitialPage(YoutubeSearchExtractor java:82)_x000D_
	at org schabi newpipe extractor utils ExtractorHelper getItemsPageOrLogError(ExtractorHelper java:20)_x000D_
	at org schabi newpipe extractor search SearchInfo getInfo(SearchInfo java:51)_x000D_
	at org schabi newpipe extractor search SearchInfo getInfo(SearchInfo java:31)_x000D_
	at org schabi newpipe util ExtractorHelper lambda searchFor 0(ExtractorHelper java:77)_x000D_
	at org schabi newpipe util    Lambda ExtractorHelper BBduYDeZ vXMQYaemaggmTPtqvA call(lambda)_x000D_
	at io reactivex internal operators single SingleFromCallable subscribeActual(SingleFromCallable java:44)_x000D_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access 201(ScheduledThreadPoolExecutor java:152)_x000D_
	at java util concurrent ScheduledThreadPoolExecutor ScheduledFutureTask run(ScheduledThreadPoolExecutor java:265)_x000D_
	at java util concurrent ThreadPoolExecutor runWorker(ThreadPoolExecutor java:1112)_x000D_
	at java util concurrent ThreadPoolExecutor Worker run(ThreadPoolExecutor java:587)_x000D_
	at java lang Thread run(Thread java:818)_x000D_
_x000D_
   _x000D_
  p   details _x000D_
 hr _x000D_
_x000D_
When opening link  any action (show info  open in player  etc ) causing error _x000D_
_x000D_
   Exception_x000D_
    User Action:   requested stream_x000D_
    Request:   https:  www youtube com watch v  cdveCh1kQk  opened with video player_x000D_
    Content Language:   GB_x000D_
    Service:   YouTube_x000D_
    Version:   0 17 3_x000D_
    OS:   Linux Android 5 0 1   21_x000D_
_x000D_
_x000D_
 details  summary  b Crash log  b   summary  p _x000D_
_x000D_
   _x000D_
java lang NullPointerException: Attempt to invoke virtual method  java lang String org jsoup nodes Element text()  on a null object reference_x000D_
	at org schabi newpipe extractor services youtube extractors YoutubeStreamExtractor getErrorMessage(YoutubeStreamExtractor java:578)_x000D_
	at org schabi newpipe extractor services youtube extractors YoutubeStreamExtractor getPlayerConfig(YoutubeStreamExtractor java:666)_x000D_
	at org schabi newpipe extractor services youtube extractors YoutubeStreamExtractor onFetchPage(YoutubeStreamExtractor java:645)_x000D_
	at org schabi newpipe extractor Extractor fetchPage(Extractor java:52)_x000D_
	at org schabi newpipe extractor stream StreamInfo getInfo(StreamInfo java:63)_x000D_
	at org schabi newpipe extractor stream StreamInfo getInfo(StreamInfo java:59)_x000D_
	at org schabi newpipe util ExtractorHelper lambda getStreamInfo 3(ExtractorHelper java:115)_x000D_
	at org schabi newpipe util    Lambda ExtractorHelper 5fJcha6Sq5APJBLdG6osaJby mc call(lambda)_x000D_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maybe MaybeFromSingle subscribeActual(MaybeFromSingle java:41)_x000D_
	at io reactivex Maybe subscribe(Maybe java:4154)_x000D_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java:14479)_x000D_
	at io reactivex internal operators flowable FlowableElementAtMaybe subscribeActual(FlowableElementAtMaybe java:36)_x000D_
	at io reactivex Maybe subscribe(Maybe java:4154)_x000D_
	at io reactivex internal operators maybe MaybeToSingle subscribeActual(MaybeToSingle java:46)_x000D_
	at io reactivex Single subscribe(Single java:3438)_x000D_
	at io reactivex internal operators single SingleObserveOn subscribeActual(SingleObserveOn java:35)_x000D_
	at io reactivex Single subscribe(Single java:3438)_x000D_
	at io reactivex Single subscribe(Single java:3424)_x000D_
	at org schabi newpipe RouterActivity FetcherService handleChoice(RouterActivity java:549)_x000D_
	at org schabi newpipe RouterActivity FetcherService onHandleIntent(RouterActivity java:521)_x000D_
	at android app IntentService ServiceHandler handleMessage(IntentService java:65)_x000D_
	at android os Handler dispatchMessage(Handler java:102)_x000D_
	at android os Looper loop(Looper java:145)_x000D_
	at android os HandlerThread run(HandlerThread java:61)_x000D_
_x000D_
   _x000D_
  p   details </t>
  </si>
  <si>
    <t>defold-extension-iap-3</t>
  </si>
  <si>
    <t>App crashes on Chinese Android device with no Google Play Services (DEF-1702)</t>
  </si>
  <si>
    <t xml:space="preserve">Device: Samsung Galaxy Note 2 med android 4 1 2_x000D_
Stacktrace:_x000D_
03 22 09:47:10 500 24809 24809   E AndroidRuntime: FATAL EXCEPTION: main_x000D_
java lang NullPointerException_x000D_
at com defold iap IapGooglePlay init(IapGooglePlay java:166)_x000D_
at com defold iap IapGooglePlay access 900(IapGooglePlay java:27)_x000D_
at com defold iap IapGooglePlay 6 run(IapGooglePlay java:293)_x000D_
at android os Handler handleCallback(Handler java:615)_x000D_
at android os Handler dispatchMessage(Handler java:92)_x000D_
at android os Looper loop(Looper java:137)_x000D_
at android app ActivityThread main(ActivityThread java:4921)_x000D_
at java lang reflect Method invokeNative(Native Method)_x000D_
at java lang reflect Method invoke(Method java:511)_x000D_
at com android internal os ZygoteInit MethodAndArgsCaller run(ZygoteInit java:1008)_x000D_
at com android internal os ZygoteInit main(ZygoteInit java:775)_x000D_
at dalvik system NativeStart main(Native Method)_x000D_
2016 03 22 09:08:12 (marcus lagerstrom)_x000D_
Comment from   sofia hedlund : Samsung Galaxy Note 2 med android 4 1 2  (det  r en Kinesiskt variant av Google android  de har inte google services p   det ska finnas en likadan i Sthlm_x000D_
2016 03 23 08:09:16 (sofia hedlund)_x000D_
Apparently we have sent two chinese mobiles to LQA team  However  they were two XIAOMI devices which I havent tested on yet _x000D_
I tested on a XIAOMI device here today  It also crashed  If you contact   debra karneman  She has might be able to lend you a XIAOMI device </t>
  </si>
  <si>
    <t>Hack1nFzyz-Hack1nFzyz-3</t>
  </si>
  <si>
    <t>Invalid Class Exception</t>
  </si>
  <si>
    <t xml:space="preserve">    Important    Please update to the latest version and retry before you submit a new issue   _x000D_
_x000D_
                                _x000D_
_x000D_
  Note: Not all of the following are required  As long as the bug is concisely described  your submission is valid and helpful   _x000D_
_x000D_
                                          _x000D_
_x000D_
_x000D_
_x000D_
   1  Describe the bug       _x000D_
_x000D_
A clear and concise description of what the bug is  and label it as  bug  _x000D_
_x000D_
    ICE when deserializing_x000D_
_x000D_
_x000D_
_x000D_
   2  To Reproduce     _x000D_
_x000D_
Steps to reproduce the behavior:_x000D_
_x000D_
1  Click button (   )_x000D_
2  Type (   )_x000D_
3  Click button (   )_x000D_
4  (   )_x000D_
5  Error appears App crashes_x000D_
_x000D_
_x000D_
   3  Expected behavior      _x000D_
_x000D_
A clear and concise description of what you expected to happen                   _x000D_
_x000D_
    (Write here   )_x000D_
_x000D_
_x000D_
_x000D_
   4  Environment:      _x000D_
_x000D_
    Android Version  e g   Android 9 0 : (   )_x000D_
_x000D_
    ROM Version  e g   Miui 10 9 6 13   Beta : (   )_x000D_
_x000D_
_x000D_
   5  Additional Context      _x000D_
_x000D_
Add any other context about the problem here _x000D_
_x000D_
    (Write here   )</t>
  </si>
  <si>
    <t>opensrp-opensrp-client-reveal-460</t>
  </si>
  <si>
    <t>App crashes when registering a family</t>
  </si>
  <si>
    <t xml:space="preserve">Steps to reproduce:  _x000D_
1  Add a Residential structure from the map view _x000D_
2  After structure is added click on it and proceed to register family details _x000D_
3  When Save button is clicked  the app crashes _x000D_
_x000D_
The crashlytics logs can be found at _x000D_
 org smartregister reveal issue crash 5D835751004B000119B409D83A53344F DNE 7 v2 txt (https:  github com OpenSRP opensrp client reveal files 3641998 org smartregister reveal issue crash 5D835751004B000119B409D83A53344F DNE 7 v2 txt)_x000D_
</t>
  </si>
  <si>
    <t>material-components-material-components-android-620</t>
  </si>
  <si>
    <t>[TabLayout]App crashes when badge is created then notifyDataSetChanged is called</t>
  </si>
  <si>
    <t xml:space="preserve">  Description:   When a badge is created then notifyDataSetChanged is called at run time  the app crashes _x000D_
_x000D_
  Stack trace:  _x000D_
   _x000D_
java lang NullPointerException: Attempt to invoke virtual method  android graphics drawable Drawable com google android material tabs TabLayout Tab getIcon()  on a null object reference_x000D_
        at com google android material tabs TabLayout TabView tryUpdateBadgeAnchor(TabLayout java:2634)_x000D_
        at com google android material tabs TabLayout TabView update(TabLayout java:2516)_x000D_
        at com google android material tabs TabLayout TabView setTab(TabLayout java:2446)_x000D_
        at com google android material tabs TabLayout TabView reset(TabLayout java:2451)_x000D_
   _x000D_
   _x000D_
_x000D_
  Expected behavior:   notifyDataSetChanged should not crash the app  whether a badge is set or not _x000D_
_x000D_
  Source code:    See sample project (https:  github com elshadsm simple test application blob master app src main java com example simple test application MainActivity kt)_x000D_
_x000D_
  Android API version:   29_x000D_
_x000D_
  Material Library version:   1 1 0 alpha10_x000D_
_x000D_
  Device:   Pixel 3_x000D_
_x000D_
_x000D_
_x000D_
</t>
  </si>
  <si>
    <t>material-components-material-components-android-619</t>
  </si>
  <si>
    <t>[TabLayout] Widget.MaterialComponents.TabLayout crash in 1.1.0-alpha10</t>
  </si>
  <si>
    <t xml:space="preserve">  Description:   For simple implementation  I use style   style Widget MaterialComponents TabLayout but application will crash in version 1 1 0 alpha01 to 1 1 0 alpha10_x000D_
_x000D_
  Expected behavior:   Can use style   style Widget MaterialComponents TabLayout  in version 1 1 0 alpha1 to 1 1 0 alpha10_x000D_
_x000D_
  Source code:   _x000D_
XML:_x000D_
          com google android material tabs TabLayout_x000D_
                style   style Widget MaterialComponents TabLayout _x000D_
                android:layout width  match parent _x000D_
                android:layout height  wrap content _x000D_
                android:layout gravity  top  _x000D_
_x000D_
             com google android material tabs TabItem_x000D_
                    android:layout height  wrap content _x000D_
                    android:layout width  match parent _x000D_
                    android:text  Tab 1   _x000D_
             com google android material tabs TabItem_x000D_
                    android:layout height  wrap content _x000D_
                    android:layout width  match parent _x000D_
                    android:text  Tab 2   _x000D_
          com google android material tabs TabLayout  _x000D_
_x000D_
Crash Log:_x000D_
 Process: com example myapplication  PID: 20289_x000D_
    java lang RuntimeException: Unable to start activity ComponentInfo com example myapplication com example myapplication MainActivity : android view InflateException: Binary XML file line  23: Binary XML file line  20: Error inflating class com google android material tabs TabLayout_x000D_
        at android app ActivityThread performLaunchActivity(ActivityThread java:2957)_x000D_
        at android app ActivityThread handleLaunchActivity(ActivityThread java:3032)_x000D_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android view InflateException: Binary XML file line  23: Binary XML file line  20: Error inflating class com google android material tabs TabLayout_x000D_
     Caused by: android view InflateException: Binary XML file line  20: Error inflating class com google android material tabs TabLayout _x000D_
_x000D_
  Android API version:   API 28_x000D_
_x000D_
  Material Library version:   1 1 0 alpha01 to 1 1 0 alpha10_x000D_
_x000D_
  Device:   real device Samsung S7  simulator Pixel 2_x000D_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</si>
  <si>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nisrulz-easydeviceinfo-24</t>
  </si>
  <si>
    <t>Invalid External Storage Path</t>
  </si>
  <si>
    <t xml:space="preserve">I got the following crash from an user on a Samsung Galaxy Tab 2 (Android 9 0)_x000D_
_x000D_
   _x000D_
Fatal Exception: java lang IllegalArgumentException_x000D_
Invalid path:  storage emulated 0_x000D_
android os StatFs doStat (StatFs java:51)_x000D_
android os StatFs  init  (StatFs java:41)_x000D_
github nisrulz easydeviceinfo base EasyMemoryMod getAvailableExternalMemorySize (EasyMemoryMod java:147)_x000D_
   _x000D_
_x000D_
   _x000D_
Caused by android system ErrnoException_x000D_
statvfs failed: ENOENT (No such file or directory)_x000D_
libcore io Linux statvfs (Linux java)_x000D_
libcore io BlockGuardOs statvfs (BlockGuardOs java:333)_x000D_
android system Os statvfs (Os java:570)_x000D_
android os StatFs doStat (StatFs java:49)_x000D_
android os StatFs  init  (StatFs java:41)_x000D_
github nisrulz easydeviceinfo base EasyMemoryMod getAvailableExternalMemorySize (EasyMemoryMod java:147)_x000D_
   _x000D_
_x000D_
A quick StackOverflow search shows me that the reason it crashes is because you can t assume that an external storage exists  _x000D_
_x000D_
Currently wrapping  getAvailableExternalMemorySize()  in a try catch to prevent crash </t>
  </si>
  <si>
    <t>fluttercommunity-flutter_webview_plugin-563</t>
  </si>
  <si>
    <t>withLocalUrl() let's whole Flutter-App crash on iOS</t>
  </si>
  <si>
    <t xml:space="preserve">   System info_x000D_
_x000D_
Issue occurs on: iOS maybe on Android too_x000D_
Plugin version: 0 3 8_x000D_
Flutter doctor output:_x000D_
_x000D_
   _x000D_
    Flutter (Channel stable  v1 9 1 hotfix 2  on Mac OS X 10 14 6 18G87  locale de DE)_x000D_
 _x000D_
    Android toolchain   develop for Android devices (Android SDK version 28 0 3)_x000D_
    Xcode   develop for iOS and macOS (Xcode 10 3)_x000D_
    Android Studio (version 3 5)_x000D_
    IntelliJ IDEA Ultimate Edition (version 2018 2 4)_x000D_
    Connected device (1 available)_x000D_
_x000D_
  No issues found _x000D_
   _x000D_
_x000D_
You can easily reproduce use a clean flutter app with flutter create  After that setup the plugin by adding it to pubspec yaml and go to Info plist and make the entry mentioned in the readme  In your code use WebViewScaffold and the the withLocalUrl to true     App crashes_x000D_
</t>
  </si>
  <si>
    <t>cgeo-cgeo-7865</t>
  </si>
  <si>
    <t>Unable to start CacheListActivity from map (targetSDK28)</t>
  </si>
  <si>
    <t xml:space="preserve">  To Reproduce:  _x000D_
  use a version with targetSDK28_x000D_
  open live map_x000D_
  select  show as list _x000D_
_x000D_
  Actual behavior state after performing these steps:  _x000D_
c:geo crashes with LogCat as follows:_x000D_
   _x000D_
2019 09 22 17:31:13 457 5521 5521 cgeo geocaching E AndroidRuntime: FATAL EXCEPTION: main_x000D_
    Process: cgeo geocaching  PID: 5521_x000D_
    java lang RuntimeException: Unable to start activity ComponentInfo cgeo geocaching cgeo geocaching CacheListActivity : java lang IllegalArgumentException: Object returned from onCreateLoader must not be null_x000D_
        at android app ActivityThread performLaunchActivity(ActivityThread java:3270)_x000D_
        at android app ActivityThread handleLaunchActivity(ActivityThread java:3409)_x000D_
     _x000D_
   _x000D_
_x000D_
  Version of c:geo used:  _x000D_
Today s master branch   PR  7653_x000D_
_x000D_
  Is the problem reproducible:  _x000D_
Yes_x000D_
_x000D_
  Additional context:  _x000D_
see https:  github com cgeo cgeo issues 7860 issuecomment 533871209_x000D_
</t>
  </si>
  <si>
    <t>niccokunzmann-mundraub-android-303</t>
  </si>
  <si>
    <t>Map does not show images - sometimes</t>
  </si>
  <si>
    <t xml:space="preserve">     If you report an app crash  please attach the eu quelltext mundraub log txt file_x000D_
     from the root of your phone s file system     _x000D_
_x000D_
Several users of Android 9 have reported that the map does not load  I saw that it does not load the street map and does not load the satellite map  Zooming out does not help and an Internet connection was available _x000D_
_x000D_
Google statistics show that there are many Android 9 users  So  I wonder if it is unusable under all versions _x000D_
  image (https:  user images githubusercontent com 564768 65383497 be1b7400 dd16 11e9 89f9 776fb954f69a png)_x000D_
_x000D_
I do not have Android 9 nor an emulator  so I can not test it at the moment or repair it  Help is welcome _x000D_
_x000D_
How you can help:_x000D_
_x000D_
  Send the log file sdcard eu quelltext mundraub error txt_x000D_
  use some logger to retrieve the log when the map opens or is reloaded_x000D_
   set it up (https:  github com niccokunzmann mundraub android blob master docs setup md) and start development</t>
  </si>
  <si>
    <t>material-components-material-components-android-618</t>
  </si>
  <si>
    <t>[TabLayout] TabLayout crashes randomly.</t>
  </si>
  <si>
    <t xml:space="preserve">  Description:   _x000D_
For simple implementation  I have code that removes all tabs and adds them in one cycle _x000D_
The line  listView removeAllTabs()  crashes intermittently _x000D_
_x000D_
  Expected behavior:   Tabs are updated with the newest list reliable  all the time _x000D_
_x000D_
  Source code:   _x000D_
Code:_x000D_
   kotlin_x000D_
listView removeAllTabs()_x000D_
list forEach  _x000D_
    val tab   listView newTab()_x000D_
    tab text   it_x000D_
    listView addTab(tab)_x000D_
 _x000D_
   _x000D_
_x000D_
XML:_x000D_
   xml_x000D_
 com google android material tabs TabLayout_x000D_
        android:id    id layout currency tab _x000D_
        android:layout width  match parent _x000D_
        android:layout height  32dp _x000D_
        android:overScrollMode  always _x000D_
        app:layout constraintTop toBottomOf   id action bar _x000D_
        app:tabIndicatorColor   color text regular _x000D_
        app:tabIndicatorFullWidth  false _x000D_
        app:tabMode  scrollable _x000D_
        app:tabTextAppearance   style CurrencyCodeTab _x000D_
        app:tabTextColor   color text regular    _x000D_
   _x000D_
_x000D_
_x000D_
_x000D_
Crash log: _x000D_
   _x000D_
2019 09 22 14:40:19 255 7685 7685 myapp dev A t7 myapp de: java vm ext cc:542  JNI DETECTED ERROR IN APPLICATION: JNI NewLocalRef called with pending exception java lang UnsupportedOperationException: Failed to resolve attribute at index 4: TypedValue t 0x2 d 0x1010099 a 1 _x000D_
2019 09 22 14:40:19 255 7685 7685 myapp dev A t7 myapp de: java vm ext cc:542    at int android content res TypedArray getColor(int  int) (TypedArray java:477)_x000D_
2019 09 22 14:40:19 255 7685 7685 myapp dev A t7 myapp de: java vm ext cc:542    at void android widget TextView readTextAppearance(android content Context  android content res TypedArray  android widget TextView TextAppearanceAttributes  boolean) (TextView java:3539)_x000D_
2019 09 22 14:40:19 255 7685 7685 myapp dev A t7 myapp de: java vm ext cc:542    at void android widget TextView setTextAppearance(android content Context  int) (TextView java:3408)_x000D_
2019 09 22 14:40:19 255 7685 7685 myapp dev A t7 myapp de: java vm ext cc:542    at void androidx appcompat widget AppCompatTextView setTextAppearance(android content Context  int) (AppCompatTextView java:185)_x000D_
2019 09 22 14:40:19 255 7685 7685 myapp dev A t7 myapp de: java vm ext cc:542    at void android widget TextView setTextAppearance(int) (TextView java:3395)_x000D_
2019 09 22 14:40:19 255 7685 7685 myapp dev A t7 myapp de: java vm ext cc:542    at void androidx core widget TextViewCompat setTextAppearance(android widget TextView  int) (TextViewCompat java:284)_x000D_
2019 09 22 14:40:19 255 7685 7685 myapp dev A t7 myapp de: java vm ext cc:542    at void com google android material tabs TabLayout TabView update() (TabLayout java:2247)_x000D_
2019 09 22 14:40:19 255 7685 7685 myapp dev A t7 myapp de: java vm ext cc:542    at void com google android material tabs TabLayout TabView setTab(com google android material tabs TabLayout Tab) (TabLayout java:2173)_x000D_
2019 09 22 14:40:19 255 7685 7685 myapp dev A t7 myapp de: java vm ext cc:542    at void com google android material tabs TabLayout TabView reset() (TabLayout java:2178)_x000D_
2019 09 22 14:40:19 255 7685 7685 myapp dev A t7 myapp de: java vm ext cc:542    at void com google android material tabs TabLayout removeTabViewAt(int) (TabLayout java:1503)_x000D_
2019 09 22 14:40:19 255 7685 7685 myapp dev A t7 myapp de: java vm ext cc:542    at void com google android material tabs TabLayout removeAllTabs() (TabLayout java:789)_x000D_
   _x000D_
_x000D_
  Android API version:   API 28_x000D_
_x000D_
  Material Library version:   1 0 0_x000D_
_x000D_
  Device:   Nexus 5X emulator_x000D_
_x000D_
To help us triage faster  please check to make sure you are using the  latest version (https:  github com material components material components android releases) of the library _x000D_
_x000D_
We also happily accept  pull requests (https:  github com material components material components android pulls) _x000D_
</t>
  </si>
  <si>
    <t>material-components-material-components-android-616</t>
  </si>
  <si>
    <t>[TabLayout] TabLayoutMediator crashes if page count decreases</t>
  </si>
  <si>
    <t xml:space="preserve">  Description:   TabLayoutMediator crashes if ViewPager2 adapter item count decreases when last tab was selected _x000D_
_x000D_
  Expected behavior:   Tabs are updated reflecting adapter state (new last tab is selected) _x000D_
_x000D_
  Stack trace:  _x000D_
_x000D_
    java lang NullPointerException: Attempt to invoke virtual method  void com google android material tabs TabLayout Tab select()  on a null object reference_x000D_
        at com google android material tabs TabLayoutMediator populateTabsFromPagerAdapter(TabLayoutMediator java:165)_x000D_
        at com google android material tabs TabLayoutMediator PagerAdapterObserver onChanged(TabLayoutMediator java:265)_x000D_
        at androidx recyclerview widget RecyclerView AdapterDataObservable notifyChanged(RecyclerView java:12244)_x000D_
        at androidx recyclerview widget RecyclerView Adapter notifyDataSetChanged(RecyclerView java:7345)_x000D_
_x000D_
  Source code:    See sample project (https:  github com gmk57 TestViewPager blob master app src main java gmk57 testviewpager MainActivity kt)_x000D_
_x000D_
  Android API version:   25  28_x000D_
_x000D_
  Material Library version:   1 1 0 alpha10_x000D_
ViewPager2 1 0 0 beta04_x000D_
_x000D_
  Device:   Wileyfox Swift  Android Emulator</t>
  </si>
  <si>
    <t>square-react-native-square-reader-sdk-91</t>
  </si>
  <si>
    <t>SQUARE DATA ERROR: Could not add persistent store for LOBLogEventDataStoreController due to Error Domain=NSCocoaErrorDomain Code=256 "The file “LogEvent.sqlite” couldn’t be opened</t>
  </si>
  <si>
    <t xml:space="preserve">    Describe the issue_x000D_
     _x000D_
NSInternalInconsistencyException SQUARE DATA ERROR: Could not add persistent store for LOBLogEventDataStoreController due to Error Domain NSCocoaErrorDomain Code 256  The file  LogEvent sqlite  couldn t be opened   UserInfo  NSFilePath  var mobile Containers Data Application E4EBDB64 9D06 4339 9B49 95CE98220CEC Library Application Support SquareReaderSDK LogEvent sqlite  NSSQLiteErrorDomain 13   _x000D_
    Frameworks CoreFoundation framework CoreFoundation    exceptionPreprocess_x000D_
     usr lib libobjc A dylib  objc exception throw_x000D_
    Frameworks CoreFoundation framework CoreFoundation   NSException raise:format:arguments: _x000D_
    Frameworks Foundation framework Foundation   NSAssertionHandler handleFailureInMethod:object:file:lineNumber:description: 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usr lib system libdispatch dylib   dispatch client callout_x000D_
     usr lib system libdispatch dylib   dispatch once callout_x000D_
    Frameworks SquareReaderSDK framework SquareReaderSDK SQRDCurrencyCodeGetISOCurrencyCode_x000D_
    Frameworks SquareReaderSDK framework SquareReaderSDK SQRDCurrencyCodeGetISOCurrencyCode_x000D_
    Frameworks SquareReaderSDK framework SquareReaderSDK SQRDCurrencyCodeGetISOCurrencyCode_x000D_
    ExampleApp  mh execute header_x000D_
    PrivateFrameworks UIKitCore framework UIKitCore   UIApplication  handleDelegateCallbacksWithOptions:isSuspended:restoreState: _x000D_
    PrivateFrameworks UIKitCore framework UIKitCore   UIApplication  callInitializationDelegatesForMainScene:transitionContext: _x000D_
    PrivateFrameworks UIKitCore framework UIKitCore   UIApplication  runWithMainScene:transitionContext:completion: _x000D_
    PrivateFrameworks UIKitCore framework UIKitCore    111    UICanvasLifecycleMonitor Compatability  scheduleFirstCommitForScene:transition:firstActivation:completion:  block invoke_x000D_
    PrivateFrameworks UIKitCore framework UIKitCore    UICanvas  enqueuePostSettingUpdateTransactionBlock: _x000D_
    PrivateFrameworks UIKitCore framework UIKitCore     UICanvasLifecycleMonitor Compatability  scheduleFirstCommitForScene:transition:firstActivation:completion: _x000D_
    PrivateFrameworks UIKitCore framework UIKitCore     UICanvasLifecycleMonitor Compatability activateEventsOnly:withContext:completion: _x000D_
    PrivateFrameworks UIKitCore framework UIKitCore    82   UIApplicationCanvas  transitionLifecycleStateWithTransitionContext:completion:  block invoke_x000D_
    PrivateFrameworks UIKitCore framework UIKitCore    UIApplicationCanvas  transitionLifecycleStateWithTransitionContext:completion: _x000D_
    PrivateFrameworks UIKitCore framework UIKitCore    125   UICanvasLifecycleSettingsDiffAction performActionsForCanvas:withUpdatedScene:settingsDiff:fromSettings:transitionContext:  block invoke_x000D_
    PrivateFrameworks UIKitCore framework UIKitCore   performActionsWithDelayForTransitionContext_x000D_
    PrivateFrameworks UIKitCore framework UIKitCore    UICanvasLifecycleSettingsDiffAction performActionsForCanvas:withUpdatedScene:settingsDiff:fromSettings:transitionContext: _x000D_
    PrivateFrameworks UIKitCore framework UIKitCore    UICanvas scene:didUpdateWithDiff:transitionContext:completion: _x000D_
    PrivateFrameworks UIKitCore framework UIKitCore   UIApplication workspace:didCreateScene:withTransitionContext:completion: _x000D_
    PrivateFrameworks UIKitCore framework UIKitCore   UIApplicationSceneClientAgent scene:didInitializeWithEvent:completion: _x000D_
    PrivateFrameworks FrontBoardServices framework FrontBoardServices   FBSSceneImpl  didCreateWithTransitionContext:completion: _x000D_
    PrivateFrameworks FrontBoardServices framework FrontBoardServices    56  FBSWorkspace client:handleCreateScene:withCompletion:  block invoke 2_x000D_
    PrivateFrameworks FrontBoardServices framework FrontBoardServices    40  FBSWorkspace  performDelegateCallOut:  block invoke_x000D_
     usr lib system libdispatch dylib   dispatch client callout_x000D_
     usr lib system libdispatch dylib   dispatch block invoke direct VARIANT mp_x000D_
    PrivateFrameworks FrontBoardServices framework FrontBoardServices   FBSSERIALQUEUE IS CALLING OUT TO A BLOCK  _x000D_
    PrivateFrameworks FrontBoardServices framework FrontBoardServices   FBSSerialQueue  performNext _x000D_
    PrivateFrameworks FrontBoardServices framework FrontBoardServices   FBSSerialQueue  performNextFromRunLoopSource _x000D_
    Frameworks CoreFoundation framework CoreFoundation    CFRUNLOOP IS CALLING OUT TO A SOURCE0 PERFORM FUNCTION  _x000D_
    Frameworks CoreFoundation framework CoreFoundation    CFRunLoopDoSource0_x000D_
    Frameworks CoreFoundation framework CoreFoundation    CFRunLoopDoSources0_x000D_
    Frameworks CoreFoundation framework CoreFoundation    CFRunLoopRun_x000D_
    Frameworks CoreFoundation framework CoreFoundation  CFRunLoopRunSpecific_x000D_
    PrivateFrameworks GraphicsServices framework GraphicsServices  GSEventRunModal_x000D_
    PrivateFrameworks UIKitCore framework UIKitCore  UIApplicationMain_x000D_
    ExampleApp  mh execute header_x000D_
     usr lib system libdyld dylib  start_x000D_
     _x000D_
_x000D_
_x000D_
_x000D_
    Expected behavior_x000D_
No crashes_x000D_
_x000D_
  Environment (please complete the following information):  _x000D_
_x000D_
    platform: iOS_x000D_
    OS and version: 12 4 1_x000D_
    dev environment: MacOS_x000D_
    Reader SDK version: (1 2 1) square react native square reader sdk 98e75a0c3ca899f2f3aad7ee805597f65dec5fe5 _x000D_
_x000D_
React Native Environment Info:_x000D_
    System:_x000D_
      OS: macOS 10 14 4_x000D_
      CPU: (12) x64 Intel(R) Core(TM) i7 8750H CPU   2 20GHz_x000D_
      Memory: 486 48 MB   16 00 GB_x000D_
      Shell: 3 2 57    bin bash_x000D_
    Binaries:_x000D_
      Node: 8 12 0      nvm versions node v8 12 0 bin node_x000D_
      Yarn: 1 12 1    usr local bin yarn_x000D_
      npm: 6 4 1      nvm versions node v8 12 0 bin npm_x000D_
      Watchman: 4 9 0    usr local bin watchman_x000D_
    SDKs:_x000D_
      iOS SDK:_x000D_
        Platforms: iOS 12 4  macOS 10 14  tvOS 12 4  watchOS 5 3_x000D_
    IDEs:_x000D_
      Android Studio: 3 4 AI 183 6156 11 34 5692245_x000D_
      Xcode: 10 3 10G8    usr bin xcodebuild_x000D_
    npmPackages:_x000D_
      react: 16 8 3    16 8 3_x000D_
      react native: 0 59 9    0 59 9_x000D_
    npmGlobalPackages:_x000D_
      react native cli: 2 0 1</t>
  </si>
  <si>
    <t>zeroc-ice-ice-demos-86</t>
  </si>
  <si>
    <t>Swift iOS hello threading issues</t>
  </si>
  <si>
    <t xml:space="preserve">I am getting the following stack traces when running the iOS hello demo:_x000D_
_x000D_
   _x000D_
                                                                 _x000D_
Main Thread Checker: UI API called on a background thread:   UISwitch isOn _x000D_
PID: 1611  TID: 381973  Thread name: (none)  Queue name: com zeroc ice client  QoS: 0_x000D_
Backtrace:_x000D_
4   hello                               0x0000000100104800  s5hello14ViewControllerC11requestSentyyF   376_x000D_
5   hello                               0x00000001000fe6d0  s5hello14ViewControllerC8sayHelloyyF10PromiseKit0F0CyytGyXEfU ySbcfU    208_x000D_
6   Ice                                 0x00000001005af604  sSbIegy SbIeyBy TR   40_x000D_
7   IceImpl                             0x0000000100db71a0  ZTv0 n56 NK11IceInternal12LambdaInvoke16handleInvokeSentEbPNS 17OutgoingAsyncBaseE   52_x000D_
8   IceImpl                             0x0000000100db3180  ZN11IceInternal17OutgoingAsyncBase10invokeSentEv   48_x000D_
9   libdispatch dylib                   0x00000001001c477c  dispatch client callout   20_x000D_
10  libdispatch dylib                   0x00000001001d37c0  dispatch sync invoke and complete   160_x000D_
11  IceImpl                             0x0000000100e06aa4  ZN11IceInternal16DispatchWorkItem7executeERNS 17ThreadPoolCurrentE   132_x000D_
12  IceImpl                             0x0000000100e06ccc  ZN11IceInternal19ThreadPoolWorkQueue7messageERNS 17ThreadPoolCurrentE   168_x000D_
13  IceImpl                             0x0000000100e09468  ZN11IceInternal10ThreadPool3runERKN7IceUtil6HandleINS0 18EventHandlerThreadEEE   236_x000D_
14  IceImpl                             0x0000000100e0ae04  ZN11IceInternal10ThreadPool18EventHandlerThread3runEv   264_x000D_
15  IceImpl                             0x0000000100e05778  ZL9startHookPv   104_x000D_
16  libsystem pthread dylib             0x000000018173f908  redacted    132_x000D_
17  libsystem pthread dylib             0x000000018173f864  pthread start   48_x000D_
18  libsystem pthread dylib             0x0000000181747dcc thread start   4_x000D_
2019 09 20 11:51:35 242767 0400 hello 1611:381973   reports  Main Thread Checker: UI API called on a background thread:   UISwitch isOn _x000D_
PID: 1611  TID: 381973  Thread name: (none)  Queue name: com zeroc ice client  QoS: 0_x000D_
Backtrace:_x000D_
4   hello                               0x0000000100104800  s5hello14ViewControllerC11requestSentyyF   376_x000D_
5   hello                               0x00000001000fe6d0  s5hello14ViewControllerC8sayHelloyyF10PromiseKit0F0CyytGyXEfU ySbcfU    208_x000D_
6   Ice                                 0x00000001005af604  sSbIegy SbIeyBy TR   40_x000D_
7   IceImpl                             0x0000000100db71a0  ZTv0 n56 NK11IceInternal12LambdaInvoke16handleInvokeSentEbPNS 17OutgoingAsyncBaseE   52_x000D_
8   IceImpl                             0x0000000100db3180  ZN11IceInternal17OutgoingAsyncBase10invokeSentEv   48_x000D_
9   libdispatch dylib                   0x00000001001c477c  dispatch client callout   20_x000D_
10  libdispatch dylib                   0x00000001001d37c0  dispatch sync invoke and complete   160_x000D_
11  IceImpl                             0x0000000100e06aa4  ZN11IceInternal16DispatchWorkItem7executeERNS 17ThreadPoolCurrentE   132_x000D_
12  IceImpl                             0x0000000100e06ccc  ZN11IceInternal19ThreadPoolWorkQueue7messageERNS 17ThreadPoolCurrentE   168_x000D_
13  IceImpl                             0x0000000100e09468  ZN11IceInternal10ThreadPool3runERKN7IceUtil6HandleINS0 18EventHandlerThreadEEE   236_x000D_
14  IceImpl                             0x0000000100e0ae04  ZN11IceInternal10ThreadPool18EventHandlerThread3runEv   264_x000D_
15  IceImpl                             0x0000000100e05778  ZL9startHookPv   104_x000D_
16  libsystem pthread dylib             0x000000018173f908  redacted    132_x000D_
17  libsystem pthread dylib             0x000000018173f864  pthread start   48_x000D_
18  libsystem pthread dylib             0x0000000181747dcc thread start   4_x000D_
   _x000D_
_x000D_
   _x000D_
2019 09 20 11:53:15 910204 0400 hello 1611:381973  This application is modifying the autolayout engine from a background thread after the engine was accessed from the main thread  This can lead to engine corruption and weird crashes _x000D_
 Stack:(_x000D_
	0   Foundation                          0x00000001826c74cc  redacted    100_x000D_
	1   Foundation                          0x00000001824c30c8  redacted    40_x000D_
	2   UIKitCore                           0x00000001af35976c  redacted    576_x000D_
	3   UIKitCore                           0x00000001af359d68  redacted    80_x000D_
	4   UIKitCore                           0x00000001af3594f8  redacted    236_x000D_
	5   UIKitCore                           0x00000001af401288  redacted    124_x000D_
	6   Foundation                          0x00000001824c3114  redacted    116_x000D_
	7   UIKitCore                           0x00000001af40118c  redacted    820_x000D_
	8   UIKitCore                           0x00000001af410d20  redacted    1744_x000D_
	9   UIKitCore                           0x00000001af22c950  redacted    324_x000D_
	10  UIKitCore                           0x00000001af2133c0  redacted    120_x000D_
	11  UIKitCore                           0x00000001af27bd44  redacted    76_x000D_
	12  UIKitCore                           0x00000001af27bbe0  redacted    444_x000D_
	13  Foundation                          0x00000001825aef5c  redacted    28_x000D_
	14  CoreFoundation                      0x0000000181aa51dc  redacted    28_x000D_
	15  CoreFoundation                      0x0000000181aa519c  redacted    68_x000D_
	16  CoreFoundation                      0x0000000181aa4640  redacted    420_x000D_
	17  CoreFoundation                      0x0000000181aa42cc  redacted    100_x000D_
	18  CoreFoundation                      0x0000000181a1ae78  redacted    1504_x000D_
	19  CoreFoundation                      0x0000000181aa3d74  CFXNotificationPost   716_x000D_
	20  Foundation                          0x00000001824a0194  redacted    72_x000D_
	21  UIFoundation                        0x000000018c45df64  redacted    260_x000D_
	22  UIFoundation                        0x000000018c45e838  redacted    340_x000D_
	23  Foundation                          0x00000001824f7ef4  redacted    352_x000D_
	24  UIFoundation                        0x000000018c4d54b8  redacted    48_x000D_
	25  UIFoundation                        0x000000018c4d50b0  redacted    64_x000D_
	26  UIFoundation                        0x000000018c464834  redacted    88_x000D_
	27  UIKitCore                           0x00000001af263ea8  redacted    328_x000D_
	28  hello                               0x0000000100104cf0  s5hello14ViewControllerC11requestSentyyF   1640_x000D_
	29  hello                               0x00000001000fe6d0  s5hello14ViewControllerC8sayHelloyyF10PromiseKit0F0CyytGyXEfU ySbcfU    208_x000D_
	30  Ice                                 0x00000001005af604  sSbIegy SbIeyBy TR   40_x000D_
	31  IceImpl                             0x0000000100db71a0  ZTv0 n56 NK11IceInternal12LambdaInvoke16handleInvokeSentEbPNS 17OutgoingAsyncBaseE   52_x000D_
	32  IceImpl                             0x0000000100db3180  ZN11IceInternal17OutgoingAsyncBase10invokeSentEv   48_x000D_
	33  libdispatch dylib                   0x00000001001c477c  dispatch client callout   20_x000D_
	34  libdispatch dylib                   0x00000001001d37c0  dispatch sync invoke and complete   160_x000D_
	35  IceImpl                             0x0000000100e06aa4  ZN11IceInternal16DispatchWorkItem7executeERNS 17ThreadPoolCurrentE   132_x000D_
	36  IceImpl                             0x0000000100e06ccc  ZN11IceInternal19ThreadPoolWorkQueue7messageERNS 17ThreadPoolCurrentE   168_x000D_
	37  IceImpl                             0x0000000100e09468  ZN11IceInternal10ThreadPool3runERKN7IceUtil6HandleINS0 18EventHandlerThreadEEE   236_x000D_
	38  IceImpl                             0x0000000100e0ae04  ZN11IceInternal10ThreadPool18EventHandlerThread3runEv   264_x000D_
	39  IceImpl                             0x0000000100e05778  ZL9startHookPv   104_x000D_
	40  libsystem pthread dylib             0x000000018173f908  redacted    132_x000D_
	41  libsystem pthread dylib             0x000000018173f864  pthread start   48_x000D_
	42  libsystem pthread dylib             0x0000000181747dcc thread start   4_x000D_
)   </t>
  </si>
  <si>
    <t>material-components-material-components-android-613</t>
  </si>
  <si>
    <t>[TextInputEditText] Crash with textAllCaps=true</t>
  </si>
  <si>
    <t xml:space="preserve">  Description:   When set textAllCaps true TextInputLayout doesn t move cursor after text changed and crash after start edit pasted text_x000D_
_x000D_
  Expected behavior:   All letters changed to upper case_x000D_
_x000D_
  Source code:   Crash log (after start edit pasted 4 characters word):_x000D_
    java lang IndexOutOfBoundsException: charAt: 4    length 4_x000D_
        at android text SpannableStringBuilder charAt(SpannableStringBuilder java:123)_x000D_
        at android text TextLine handleText(TextLine java:899)_x000D_
        at android text TextLine handleRun(TextLine java:1141)_x000D_
        at android text TextLine drawRun(TextLine java:509)_x000D_
        at android text TextLine draw(TextLine java:244)_x000D_
        at android text Layout drawText(Layout java:581)_x000D_
        at android widget Editor drawHardwareAcceleratedInner(Editor java:2062)_x000D_
        at android widget Editor drawHardwareAccelerated(Editor java:1981)_x000D_
        at android widget Editor onDraw(Editor java:1921)_x000D_
        at android widget TextView onDraw(TextView java:8101)_x000D_
        at android view View draw(View java:21868)_x000D_
        at android view View updateDisplayListIfDirty(View java:20741)_x000D_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ViewGroup recreateChildDisplayList(ViewGroup java:4542)_x000D_
        at android view ViewGroup dispatchGetDisplayList(ViewGroup java:4514)_x000D_
        at android view View updateDisplayListIfDirty(View java:20696)_x000D_
        at android view ThreadedRenderer updateViewTreeDisplayList(ThreadedRenderer java:725)_x000D_
        at android view ThreadedRenderer updateRootDisplayList(ThreadedRenderer java:731)_x000D_
        at android view ThreadedRenderer draw(ThreadedRenderer java:840)_x000D_
        at android view ViewRootImpl draw(ViewRootImpl java:3963)_x000D_
        at android view ViewRootImpl performDraw(ViewRootImpl java:3737)_x000D_
        at android view ViewRootImpl performTraversals(ViewRootImpl java:3048)_x000D_
        at android view ViewRootImpl doTraversal(ViewRootImpl java:1911)_x000D_
        at android view ViewRootImpl TraversalRunnable run(ViewRootImpl java:8526)_x000D_
        at android view Choreographer CallbackRecord run(Choreographer java:949)_x000D_
2019 09 20 10:43:45 279 20529 20529 de autodoc club debug E AndroidRuntime:     at android view Choreographer doCallbacks(Choreographer java:761)_x000D_
        at android view Choreographer doFrame(Choreographer java:696)_x000D_
        at android view Choreographer FrameDisplayEventReceiver run(Choreographer java:935)_x000D_
        at android os Handler handleCallback(Handler java:873)_x000D_
        at android os Handler dispatchMessage(Handler java:99)_x000D_
        at android os Looper loop(Looper java:214)_x000D_
        at android app ActivityThread main(ActivityThread java:7078)_x000D_
        at java lang reflect Method invoke(Native Method)_x000D_
        at com android internal os RuntimeInit MethodAndArgsCaller run(RuntimeInit java:493)_x000D_
        at com android internal os ZygoteInit main(ZygoteInit java:964)_x000D_
_x000D_
  Android API version:   api 28_x000D_
_x000D_
  Material Library version:   lib version 1 1 0 alpha06_x000D_
  Device:   Samsung A9 2018  Pixel 2 (emulator)</t>
  </si>
  <si>
    <t>joielechong-CountryCodePicker-66</t>
  </si>
  <si>
    <t>Error in Inflating view in some device</t>
  </si>
  <si>
    <t xml:space="preserve">I integrate this library in my app  I t is working fine till now  but yesterday it crash in some user s device  _x000D_
Device list is as below:_x000D_
Xioami Redmi 5A_x000D_
Xioami Redmi 3S_x000D_
YuLong 3600i_x000D_
Samsung Galaxy J2 Pro_x000D_
And Android api version is _x000D_
Android 6 0 1_x000D_
Android 8 1 0_x000D_
_x000D_
Issues that is occurs:_x000D_
Caused by android content res Resources NotFoundException_x000D_
Unable to find resource ID  0x7f070175_x000D_
_x000D_
android content res Resources getResourceName (Resources java:3740)_x000D_
android content res Resources loadDrawableForCookie (Resources java:4246)_x000D_
android content res Resources loadDrawable (Resources java:4153)_x000D_
android content res Resources loadDrawable (Resources java:3998)_x000D_
android content res TypedArray getDrawable (TypedArray java:886)_x000D_
android widget ImageView  init  (ImageView java:157)_x000D_
android widget ImageView  init  (ImageView java:145)_x000D_
androidx appcompat widget AppCompatImageView  init  (AppCompatImageView java:72)_x000D_
androidx appcompat widget AppCompatImageView  init  (AppCompatImageView java:68)_x000D_
androidx appcompat app AppCompatViewInflater createImageView (AppCompatViewInflater java:182)_x000D_
androidx appcompat app AppCompatViewInflater createView (AppCompatViewInflater java:106)_x000D_
androidx appcompat app AppCompatDelegateImpl createView (AppCompatDelegateImpl java:1266)_x000D_
androidx appcompat app AppCompatDelegateImpl onCreateView (AppCompatDelegateImpl java:1316)_x000D_
android view LayoutInflater createViewFromTag (LayoutInflater java:758)_x000D_
android view LayoutInflater createViewFromTag (LayoutInflater java:716)_x000D_
android view LayoutInflater rInflate (LayoutInflater java:847)_x000D_
android view LayoutInflater rInflateChildren (LayoutInflater java:810)_x000D_
android view LayoutInflater rInflate (LayoutInflater java:855)_x000D_
android view LayoutInflater rInflateChildren (LayoutInflater java:810)_x000D_
android view LayoutInflater inflate (LayoutInflater java:527)_x000D_
android view LayoutInflater inflate (LayoutInflater java:429)_x000D_
android view LayoutInflater inflate (LayoutInflater java:380)_x000D_
android view View inflate (View java:21232)_x000D_
com rilixtech CountryCodePicker init (CountryCodePicker java:140)_x000D_
com rilixtech CountryCodePicker  init  (CountryCodePicker java:124)_x000D_
java lang reflect Constructor newInstance (Constructor java)_x000D_
android view LayoutInflater createView (LayoutInflater java:631)_x000D_
android view LayoutInflater createViewFromTag (LayoutInflater java:776)_x000D_
android view LayoutInflater createViewFromTag (LayoutInflater java:716)_x000D_
android view LayoutInflater rInflate (LayoutInflater java:847)_x000D_
android view LayoutInflater rInflateChildren (LayoutInflater java:810)_x000D_
android view LayoutInflater rInflate (LayoutInflater java:855)_x000D_
android view LayoutInflater rInflateChildren (LayoutInflater java:810)_x000D_
android view LayoutInflater inflate (LayoutInflater java:527)_x000D_
android view LayoutInflater inflate (LayoutInflater java:429)_x000D_
_x000D_
Please help me to solve this issue </t>
  </si>
  <si>
    <t>nextcloud-android-4525</t>
  </si>
  <si>
    <t>app crashed</t>
  </si>
  <si>
    <t xml:space="preserve">    Actual behaviour_x000D_
  Open Nextcloud app  Click login button crash_x000D_
_x000D_
    Expected behaviour_x000D_
  Be able to use the app without it crashing_x000D_
 _x000D_
    Steps to reproduce_x000D_
1  Install Nextcloud dev app (2019 09 14)_x000D_
2  Login_x000D_
3  Crash_x000D_
_x000D_
_x000D_
    Environment data_x000D_
Android version:7 1 2_x000D_
_x000D_
Device model: _x000D_
_x000D_
Stock or customized system:_x000D_
_x000D_
Nextcloud app version: dev 2019 09 14_x000D_
_x000D_
Nextcloud server version: 16_x000D_
_x000D_
    Android App Crash Logs_x000D_
_x000D_
             CAUSE OF ERROR             _x000D_
_x000D_
java lang NullPointerException: Attempt to invoke virtual method  int android text Layout getLineForOffset(int)  on a null object reference_x000D_
	at android widget Editor updateCursorPositionMz(Editor java:7836)_x000D_
	at android widget Editor updateCursorsPositions(Editor java:1963)_x000D_
	at android widget TextView getUpdatedHighlightPath(TextView java:5783)_x000D_
	at android widget TextView onDraw(TextView java:5969)_x000D_
	at com owncloud android ui components CustomEditText onDraw(CustomEditText java:71)_x000D_
	at android view View draw(View java:17305)_x000D_
	at android view View updateDisplayListIfDirty(View java:16282)_x000D_
	at android view View draw(View java:17066)_x000D_
	at android view ViewGroup drawChild(ViewGroup java:3727)_x000D_
	at android view ViewGroup dispatchDraw(ViewGroup java:3513)_x000D_
	at android view View updateDisplayListIfDirty(View java:16277)_x000D_
	at android view View draw(View java:17066)_x000D_
	at android view ViewGroup drawChild(ViewGroup java:3727)_x000D_
	at android view ViewGroup dispatchDraw(ViewGroup java:3513)_x000D_
	at android view View draw(View java:17308)_x000D_
	at com google android material textfield TextInputLayout draw(TextInputLayout java:1577)_x000D_
	at android view View updateDisplayListIfDirty(View java:16282)_x000D_
	at android view View draw(View java:17066)_x000D_
	at android view ViewGroup drawChild(ViewGroup java:3727)_x000D_
	at android view ViewGroup dispatchDraw(ViewGroup java:3513)_x000D_
	at android view View updateDisplayListIfDirty(View java:16277)_x000D_
	at android view View draw(View java:17066)_x000D_
	at android view ViewGroup drawChild(ViewGroup java:3727)_x000D_
	at android view ViewGroup dispatchDraw(ViewGroup java:3513)_x000D_
	at android view View updateDisplayListIfDirty(View java:16277)_x000D_
	at android view View draw(View java:17066)_x000D_
	at android view ViewGroup drawChild(ViewGroup java:3727)_x000D_
	at android view ViewGroup dispatchDraw(ViewGroup java:3513)_x000D_
	at android view View updateDisplayListIfDirty(View java:16277)_x000D_
	at android view View draw(View java:17066)_x000D_
	at android view ViewGroup drawChild(ViewGroup java:3727)_x000D_
	at android view ViewGroup dispatchDraw(ViewGroup java:3513)_x000D_
	at android view View draw(View java:17308)_x000D_
	at android widget ScrollView draw(ScrollView java:1743)_x000D_
	at android view View updateDisplayListIfDirty(View java:16282)_x000D_
	at android view View draw(View java:17066)_x000D_
	at android view ViewGroup drawChild(ViewGroup java:3727)_x000D_
	at android view ViewGroup dispatchDraw(ViewGroup java:3513)_x000D_
	at android view View updateDisplayListIfDirty(View java:16277)_x000D_
	at android view View draw(View java:17066)_x000D_
	at android view ViewGroup drawChild(ViewGroup java:3727)_x000D_
	at android view ViewGroup dispatchDraw(ViewGroup java:3513)_x000D_
	at android view View updateDisplayListIfDirty(View java:16277)_x000D_
	at android view View draw(View java:17066)_x000D_
	at android view ViewGroup drawChild(ViewGroup java:3727)_x000D_
	at android view ViewGroup dispatchDraw(ViewGroup java:3513)_x000D_
	at android view View updateDisplayListIfDirty(View java:16277)_x000D_
	at android view View draw(View java:17066)_x000D_
	at android view ViewGroup drawChild(ViewGroup java:3727)_x000D_
	at android view ViewGroup dispatchDraw(ViewGroup java:3513)_x000D_
	at android view View updateDisplayListIfDirty(View java:16277)_x000D_
	at android view View draw(View java:17066)_x000D_
	at android view ViewGroup drawChild(ViewGroup java:3727)_x000D_
	at android view ViewGroup dispatchDraw(ViewGroup java:3513)_x000D_
	at android view View draw(View java:17308)_x000D_
	at com android internal policy DecorView draw(DecorView java:786)_x000D_
	at android view View updateDisplayListIfDirty(View java:16282)_x000D_
	at android view ThreadedRenderer updateViewTreeDisplayList(ThreadedRenderer java:661)_x000D_
	at android view ThreadedRenderer updateRootDisplayList(ThreadedRenderer java:667)_x000D_
	at android view ThreadedRenderer draw(ThreadedRenderer java:775)_x000D_
	at android view ViewRootImpl draw(ViewRootImpl java:2837)_x000D_
	at android view ViewRootImpl performDraw(ViewRootImpl java:2639)_x000D_
	at android view ViewRootImpl performTraversals(ViewRootImpl java:2241)_x000D_
	at android view ViewRootImpl doTraversal(ViewRootImpl java:1276)_x000D_
	at android view ViewRootImpl TraversalRunnable run(ViewRootImpl java:6483)_x000D_
	at android view Choreographer CallbackRecord run(Choreographer java:888)_x000D_
	at android view Choreographer doCallbacks(Choreographer java:700)_x000D_
	at android view Choreographer doFrame(Choreographer java:635)_x000D_
	at android view Choreographer FrameDisplayEventReceiver run(Choreographer java:874)_x000D_
	at android os Handler handleCallback(Handler java:751)_x000D_
	at android os Handler dispatchMessage(Handler java:95)_x000D_
	at android os Looper loop(Looper java:154)_x000D_
	at android app ActivityThread main(ActivityThread java:6381)_x000D_
	at java lang reflect Method invoke(Native Method)_x000D_
	at com android internal os ZygoteInit MethodAndArgsCaller run(ZygoteInit java:939)_x000D_
	at com android internal os ZygoteInit main(ZygoteInit java:829)_x000D_
_x000D_
             APP INFORMATION             _x000D_
ID: com nextcloud android beta_x000D_
Version: 20190914_x000D_
Build flavor: versionDev_x000D_
_x000D_
             DEVICE INFORMATION             _x000D_
Brand: Meizu_x000D_
Device: M6Note_x000D_
Model: M6 Note_x000D_
Id: N2G47H_x000D_
Product: meizu M6Note CN_x000D_
_x000D_
             FIRMWARE             _x000D_
SDK: 25_x000D_
Release: 7 1 2_x000D_
Incremental: m1721 Flyme 7 0 1555922707_x000D_
_x000D_
</t>
  </si>
  <si>
    <t>amplitude-Amplitude-Android-201</t>
  </si>
  <si>
    <t>NullPointerException when setting ID (possibly with wrong input)</t>
  </si>
  <si>
    <t>_x000D_
Fatal Exception: java lang NullPointerExceptionAttempt to invoke virtual method  int java lang String length()  on a null object reference Raw Text_x000D_
  _x000D_
    org json JSONTokener nextCleanInternal   116 (JSONTokener java:116)_x000D_
    org json JSONTokener nextValue   94 (JSONTokener java:94)_x000D_
    org json JSONObject  init    159 (JSONObject java:159)_x000D_
    org json JSONObject  init    176 (JSONObject java:176)_x000D_
    com amplitude api DatabaseHelper getEventsFromTable   253 (DatabaseHelper java:253)_x000D_
    com amplitude api DatabaseHelper getEvents   231 (DatabaseHelper java:231)_x000D_
    com amplitude api AmplitudeClient updateServer   1522 (AmplitudeClient java:1522)_x000D_
    com amplitude api AmplitudeClient updateServer   1494 (AmplitudeClient java:1494)_x000D_
    com amplitude api AmplitudeClient 13 run   1485 (AmplitudeClient java:1485)_x000D_
    android os Handler handleCallback   789 (Handler java:789)_x000D_
    android os Handler dispatchMessage   98 (Handler java:98)_x000D_
    android os Looper loop   164 (Looper java:164)_x000D_
    android os HandlerThread run   65 (HandlerThread java:65)_x000D_
_x000D_
I think this error should be caught  currently it crashes android application</t>
  </si>
  <si>
    <t>privacyidea-privacyidea-authenticator-75</t>
  </si>
  <si>
    <t>Application crashes when the keystore is unavailable</t>
  </si>
  <si>
    <t xml:space="preserve">If the android keystore is unavailable the application will crash  The user should get the information that the application does not support the device in that case (without the keystore nothing can be securely saved on the android device) </t>
  </si>
  <si>
    <t>nextcloud-android-4524</t>
  </si>
  <si>
    <t>Nextcloud Android app Crashes after logging in</t>
  </si>
  <si>
    <t xml:space="preserve">    Actual behaviour_x000D_
  Open Nextcloud app  crashes before any action happens_x000D_
_x000D_
    Expected behaviour_x000D_
  Be able to use the app without it crashing_x000D_
 _x000D_
    Steps to reproduce_x000D_
1  Install Nextcloud app_x000D_
2  Connect to Nextcloud server_x000D_
3  Login_x000D_
_x000D_
_x000D_
    Environment data_x000D_
Android version: Android 10_x000D_
_x000D_
Device model: Google Pixel XL 2_x000D_
_x000D_
Stock or customized system: Stock_x000D_
_x000D_
Nextcloud app version: Not sure  Downloaded from play store_x000D_
_x000D_
Nextcloud server version: 16 04_x000D_
_x000D_
    Logs_x000D_
     Web server error log_x000D_
   _x000D_
_x000D_
                CAUSE OF ERROR             _x000D_
_x000D_
java lang IllegalStateException: Couldn t read row 998  col 0 from CursorWindow   Make sure the Cursor is initialized correctly before accessing data from it _x000D_
	at android database CursorWindow nativeGetLong(Native Method)_x000D_
	at android database CursorWindow getLong(CursorWindow java:542)_x000D_
	at android database AbstractWindowedCursor getLong(AbstractWindowedCursor java:77)_x000D_
	at com owncloud android providers FileContentProvider deleteDirectory(FileContentProvider java:172)_x000D_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delete(FileContentProvider java:107)_x000D_
	at android content ContentProviderOperation applyInternal(ContentProviderOperation java:332)_x000D_
	at android content ContentProviderOperation apply(ContentProviderOperation java:309)_x000D_
	at com owncloud android providers FileContentProvider applyBatch(FileContentProvider java:661)_x000D_
	at android content ContentProvider applyBatch(ContentProvider java:2117)_x000D_
	at android content ContentProvider Transport applyBatch(ContentProvider java:371)_x000D_
	at android content ContentProviderClient applyBatch(ContentProviderClient java:532)_x000D_
	at android content ContentProviderClient applyBatch(ContentProviderClient java:520)_x000D_
	at android content ContentResolver applyBatch(ContentResolver java:1875)_x000D_
	at com owncloud android datamodel FileDataStorageManager saveFolder(FileDataStorageManager java:399)_x000D_
	at com owncloud android operations RefreshFolderOperation synchronizeData(RefreshFolderOperation java:441)_x000D_
	at com owncloud android operations RefreshFolderOperation fetchAndSyncRemoteFolder(RefreshFolderOperation java:339)_x000D_
	at com owncloud android operations RefreshFolderOperation run(RefreshFolderOperation java:224)_x000D_
	at com owncloud android lib common operations RemoteOperation run(RemoteOperation java:299)_x000D_
	at java lang Thread run(Thread java:919)_x000D_
_x000D_
             APP INFORMATION             _x000D_
ID: com nextcloud client_x000D_
Version: 30080090_x000D_
Build flavor: gplay_x000D_
_x000D_
             DEVICE INFORMATION             _x000D_
Brand: google_x000D_
Device: taimen_x000D_
Model: Pixel 2 XL_x000D_
Id: QP1A 190711 019_x000D_
Product: taimen_x000D_
_x000D_
             FIRMWARE             _x000D_
SDK: 29_x000D_
Release: 10_x000D_
Incremental: 5790879_x000D_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</si>
  <si>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nisrulz-easydeviceinfo-23</t>
  </si>
  <si>
    <t>android.permission.INTERACT_ACROSS_USERS Crash on Marshmallow (Android 6.1)</t>
  </si>
  <si>
    <t xml:space="preserve">Calling  areFingerprintsEnrolled  causes a crash for Samsung users on Android Marshmallow (6 1) _x000D_
Error:_x000D_
_x000D_
  Caused by java lang SecurityException_x000D_
  Permission Denial: getCurrentUser() from pid 9160  uid 10126 requires android permission INTERACT ACROSS USERS_x000D_
  github nisrulz easydeviceinfo base EasyFingerprintMod areFingerprintsEnrolled_x000D_
  _x000D_
_x000D_
Stacktrace:_x000D_
   _x000D_
android os Parcel readException (Parcel java:1621)_x000D_
android os Parcel readException (Parcel java:1574)_x000D_
android hardware fingerprint IFingerprintService Stub Proxy hasEnrolledFingerprints (IFingerprintService java:503)_x000D_
android hardware fingerprint FingerprintManager hasEnrolledFingerprints (FingerprintManager java:776)_x000D_
github nisrulz easydeviceinfo base EasyFingerprintMod areFingerprintsEnrolled (EasyFingerprintMod java:79)_x000D_
   _x000D_
_x000D_
For now  my solution is to disable fingerprint check for users on Marshmallow  _x000D_
Any ideas what might be happening </t>
  </si>
  <si>
    <t>saulhdev-ZimLX-66</t>
  </si>
  <si>
    <t>Setting app drawer to "Sort by recently installed" instantly crashes the app</t>
  </si>
  <si>
    <t xml:space="preserve">Hi  first of all   thank you so much for making this app  It s brilliant  the only killer feature it s missing is the ability to use gallery pictures as custom icons  I hope you continue to work on it _x000D_
_x000D_
However   Sort by recently installed  seems to instantly crash the app  This took a while to happen at first  but now everything freezes the moment I turn it on _x000D_
_x000D_
I don t know if it s me that screwed something up (one of the logs says something about the disk image being malformed ) or if it s the app that s  de referencing a null pointer or whatever  Most of the time there s no error screen and the app just freezes  but I was able to snatch these two error logs:_x000D_
_x000D_
https:  pastebin com CN6A9R61_x000D_
https:  pastebin com rkVZpMXS_x000D_
_x000D_
I m using a Moto X4 with MicroG LineageOS 16 (04 September 2019)  _x000D_
_x000D_
If someone could also tell me what that  database disk image is malformed (code 11 SQLITE CORRUPT)  message means  that would be great   it sounds scary  </t>
  </si>
  <si>
    <t>nextcloud-android-4521</t>
  </si>
  <si>
    <t xml:space="preserve">    Actual behaviour_x000D_
app crashes_x000D_
 _x000D_
    Steps to reproduce_x000D_
have NextCload app running in the background_x000D_
_x000D_
    Environment data_x000D_
Android version: 9_x000D_
_x000D_
Device model: Samsung SG5_x000D_
_x000D_
Stock or customized system: LineageOS_x000D_
_x000D_
crash report:_x000D_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w61mokhkXge3CqxSSsmsnw   base apk   nativeLibraryDirectories   data app com nextcloud client w61mokhkXge3CqxSSsmsnw   lib arm   data app com nextcloud client w61mokhkXge3CqxSSsmsnw   base apk  lib armeabi v7a   system lib   system vendor lib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30080090_x000D_
Build flavor: gplay_x000D_
_x000D_
             DEVICE INFORMATION             _x000D_
Brand: samsung_x000D_
Device: klte_x000D_
Model: SM G900F_x000D_
Id: PQ3A 190801 002_x000D_
Product: lineage klte_x000D_
_x000D_
             FIRMWARE             _x000D_
SDK: 28_x000D_
Release: 9_x000D_
Incremental: 11a7517746_x000D_
</t>
  </si>
  <si>
    <t>nextcloud-android-4520</t>
  </si>
  <si>
    <t>Crash when deleting on Android app</t>
  </si>
  <si>
    <t xml:space="preserve">    Actual behaviour_x000D_
  When I delete multiple photos from my Nextcloud in my Android app  it crashes _x000D_
_x000D_
    Expected behaviour_x000D_
  Delete witout crash _x000D_
_x000D_
_x000D_
    Environment data_x000D_
Android version: 9 0_x000D_
_x000D_
Device model: Redmi Note 4 SD (mido)_x000D_
_x000D_
Stock or customized system: custom   Syberia OS_x000D_
_x000D_
Nextcloud app version: 3 8 0_x000D_
_x000D_
Nextcloud server version: 15 0 10 (Yunohost)_x000D_
_x000D_
    Logs_x000D_
     Web server error log_x000D_
   _x000D_
Insert your webserver log here_x000D_
   _x000D_
_x000D_
     Nextcloud log (data nextcloud log)_x000D_
   _x000D_
             CAUSE OF ERROR             _x000D_
_x000D_
java lang IllegalStateException: Couldn t read row 987  col 3 from CursorWindow   Make sure the Cursor is initialized correctly before accessing data from it _x000D_
	at android database CursorWindow nativeGetString(Native Method)_x000D_
	at android database CursorWindow getString(CursorWindow java:465)_x000D_
	at android database AbstractWindowedCursor getString(AbstractWindowedCursor java:51)_x000D_
	at android database CursorWrapper getString(CursorWrapper java:137)_x000D_
	at com owncloud android datamodel FileDataStorageManager createFileInstance(FileDataStorageManager java:954)_x000D_
	at com owncloud android datamodel FileDataStorageManager getFolderContent(FileDataStorageManager java:864)_x000D_
	at com owncloud android datamodel FileDataStorageManager getFolderContent(FileDataStorageManager java:157)_x000D_
	at com owncloud android ui adapter OCFileListAdapter swapDirectory(OCFileListAdapter java:719)_x000D_
	at com owncloud android ui fragment OCFileListFragment listDirectory(OCFileListFragment java:1179)_x000D_
	at com owncloud android ui fragment OCFileListFragment listDirectory(OCFileListFragment java:1124)_x000D_
	at com owncloud android ui fragment OCFileListFragment listDirectory(OCFileListFragment java:1113)_x000D_
	at com owncloud android ui activity FileDisplayActivity refreshListOfFilesFragment(FileDisplayActivity java:742)_x000D_
	at com owncloud android ui activity FileDisplayActivity onRemoveFileOperationFinish(FileDisplayActivity java:1909)_x000D_
	at com owncloud android ui activity FileDisplayActivity onRemoteOperationFinish(FileDisplayActivity java:1829)_x000D_
	at com owncloud android services OperationsService lambda dispatchResultToOperationListeners 0(OperationsService java:727)_x000D_
	at com owncloud android services    Lambda OperationsService 2BVgsxDpOpa4JqgzeD7OGZBLSiI run(Unknown Source:6)_x000D_
	at android os Handler handleCallback(Handler java:873)_x000D_
	at android os Handler dispatchMessage(Handler java:99)_x000D_
	at android os Looper loop(Looper java:193)_x000D_
	at android app ActivityThread main(ActivityThread java:6693)_x000D_
	at java lang reflect Method invoke(Native Method)_x000D_
	at com android internal os RuntimeInit MethodAndArgsCaller run(RuntimeInit java:495)_x000D_
	at com android internal os ZygoteInit main(ZygoteInit java:861)_x000D_
_x000D_
             APP INFORMATION             _x000D_
ID: com nextcloud client_x000D_
Version: 30080090_x000D_
Build flavor: gplay_x000D_
_x000D_
             DEVICE INFORMATION             _x000D_
Brand: Xiaomi_x000D_
Device: mido_x000D_
Model: Redmi Note 4_x000D_
Id: PQ3B 190801 002_x000D_
Product: syberia mido_x000D_
_x000D_
             FIRMWARE             _x000D_
SDK: 28_x000D_
Release: 9_x000D_
Incremental: 495_x000D_
_x000D_
   _x000D_
</t>
  </si>
  <si>
    <t>niccokunzmann-mundraub-android-296</t>
  </si>
  <si>
    <t>Changelog does not load issues</t>
  </si>
  <si>
    <t xml:space="preserve">     If you report an app crash  please attach the eu quelltext mundraub log txt file_x000D_
     from the root of your phone s file system     _x000D_
_x000D_
Somehow  the changelog does not display the issues related to the changes _x000D_
This should be the case however and seems to be broken _x000D_
_x000D_
https:  niccokunzmann github io mundraub android docs changelog </t>
  </si>
  <si>
    <t>innoveit-react-native-ble-manager-553</t>
  </si>
  <si>
    <t>[Android] ClassCastException in LollipopScanManager</t>
  </si>
  <si>
    <t xml:space="preserve">    Version_x000D_
_x000D_
  react native ble manager v6 6 8_x000D_
  react native v0 59 4_x000D_
  Android v7 1 2 (SHV40 u  AQUOS sense)_x000D_
_x000D_
    Expected behaviour_x000D_
_x000D_
No Exception  or I can understand why App is Crashed by the logs _x000D_
_x000D_
    Actual behaviour_x000D_
_x000D_
I tried to scan some times  Exception occured and my App crashed _x000D_
In this case  There are no logs in Chrome console when I use  react native run android   _x000D_
_x000D_
    Steps to reproduce_x000D_
_x000D_
1  I kick  BleManager scan  as follow param:_x000D_
   _x000D_
BleManager scan(_x000D_
          UUIDs     string  _x000D_
          180 _x000D_
          false _x000D_
           _x000D_
            matchMode: 1 _x000D_
            scanMode: 2 _x000D_
           )_x000D_
   _x000D_
2  When I failed to scan  retry this  _x000D_
3  The ClassCastException occured after 5 20 seconds from step2   _x000D_
4  App crashed _x000D_
_x000D_
    Stack trace and console log_x000D_
This is in Logcat of Android Studio:_x000D_
_x000D_
   _x000D_
2019 09 18 14:26:12 120 21013 21013  ourApp  E AndroidRuntime: FATAL EXCEPTION: main_x000D_
    Process:  ourApp   PID: 21013_x000D_
    java lang ClassCastException: it innove Peripheral cannot be cast to it innove LollipopPeripheral_x000D_
        at it innove LollipopScanManager 2 1 run(LollipopScanManager java:103)_x000D_
        at android os Handler handleCallback(Handler java:751)_x000D_
        at android os Handler dispatchMessage(Handler java:95)_x000D_
        at android os Looper loop(Looper java:154)_x000D_
        at android app ActivityThread main(ActivityThread java:6242)_x000D_
        at java lang reflect Method invoke(Native Method)_x000D_
        at com android internal os ZygoteInit MethodAndArgsCaller run(ZygoteInit java:889)_x000D_
        at com android internal os ZygoteInit main(ZygoteInit java:779)_x000D_
   _x000D_
_x000D_
This is the first time to submit issue in GitHub _x000D_
If I need to write more information  kindly tell me _x000D_
Thank you </t>
  </si>
  <si>
    <t>oliexdev-openScale-497</t>
  </si>
  <si>
    <t>Unable to sync to google</t>
  </si>
  <si>
    <t xml:space="preserve">  Describe the bug  _x000D_
Unable to use openscale sync  Throws an error_x000D_
_x000D_
  To Reproduce  _x000D_
Steps to reproduce the behavior:_x000D_
1  Go to  openScale sync  _x000D_
2  Click on  manual sync _x000D_
3  See error_x000D_
  Screenshot 20190918 063530 (https:  user images githubusercontent com 1573819 65112056 90fd5780 d9de 11e9 8b0b 595fd53a8ea3 jpg)_x000D_
_x000D_
Reproduced with latest openscale sync version on play store _x000D_
_x000D_
  Expected behavior  _x000D_
Expected to sync_x000D_
_x000D_
  Additional context  _x000D_
I figure it crashed because there is some error in my data _x000D_
_x000D_
  Debug log  _x000D_
Build version: 0 2 _x000D_
Current date: 2019 09 18 06:32:42 _x000D_
Device: OnePlus ONEPLUS A5010 _x000D_
 _x000D_
Stack trace:  _x000D_
java lang IllegalArgumentException: Data point does not have the timestamp set: DataPoint  142 65   0  0 raw 0 insert 0 (r:weight:com health openscale sync: N A) _x000D_
	at d a a a b b s a(:9)_x000D_
	at com google android gms fitness data DataSet a(:16)_x000D_
	at d b a a a b k a(:24)_x000D_
	at d b a a b h onClick(:23)_x000D_
	at android view View performClick(View java:6669)_x000D_
	at android view View performClickInternal(View java:6638)_x000D_
	at android view View access 3100(View java:789)_x000D_
	at android view View PerformClick run(View java:26145)_x000D_
	at android os Handler handleCallback(Handler java:873)_x000D_
	at android os Handler dispatchMessage(Handler java:99)_x000D_
	at android os Looper loop(Looper java:193)_x000D_
	at android app ActivityThread main(ActivityThread java:6898)_x000D_
	at java lang reflect Method invoke(Native Method)_x000D_
	at com android internal os RuntimeInit MethodAndArgsCaller run(RuntimeInit java:537)_x000D_
	at com android internal os ZygoteInit main(ZygoteInit java:858)_x000D_
Attach a debug log (see Settings    About    Save debug log to file) that is captured while reproducing the issue _x000D_
</t>
  </si>
  <si>
    <t>material-components-material-components-android-608</t>
  </si>
  <si>
    <t xml:space="preserve">[DatePicker] Null pointer exception in mobile date picker </t>
  </si>
  <si>
    <t xml:space="preserve">  Description:  _x000D_
1  Launch Material Date Picker in Catalog (Pickers    Demo    Launch Material Date Picker)_x000D_
2  Select any day in the view so that it s highlighted_x000D_
3  Press the edit icon to switch to the TextInput field _x000D_
4  The TextInput field should be populated with the selected date _x000D_
5  Press the backspace key to erase the text _x000D_
6  The app will immediately crash after erasing the last character from the field _x000D_
_x000D_
  Expected behavior:  _x000D_
Erasing the last character in the TextInput field should be erased _x000D_
_x000D_
  Source code:  _x000D_
   _x000D_
    java lang NullPointerException: Attempt to invoke virtual method  long java lang Long longValue()  on a null object reference_x000D_
        at com google android material datepicker SingleDateSelector 1 onValidDate(SingleDateSelector java:113)_x000D_
        at com google android material datepicker DateFormatTextWatcher onTextChanged(DateFormatTextWatcher java:64)_x000D_
   _x000D_
_x000D_
  Android API version:  _x000D_
  compileSdkVersion   29_x000D_
  minSdkVersion   14_x000D_
  targetSdkVersion   27_x000D_
_x000D_
  Material Library version:  _x000D_
1 1 0 alpha10_x000D_
_x000D_
  Device:  _x000D_
Samsung S8 and Pixel 3 XL</t>
  </si>
  <si>
    <t>AnaelMobilia-NextINpact-Unofficial-250</t>
  </si>
  <si>
    <t>Crash lors du retour à l'article</t>
  </si>
  <si>
    <t xml:space="preserve">Crash lorsque l appli est laiss e longtemps sur la vue des commentaires _x000D_
Lorsque retour en arri re (dans l article donc)  l application crashe _x000D_
_x000D_
Cause probable : le context fournit depuis ListeArticlesActivity n est plus valable _x000D_
try   catch et relancer l activit </t>
  </si>
  <si>
    <t>raphw-byte-buddy-732</t>
  </si>
  <si>
    <t>Spaces in executable name causes the program to crash</t>
  </si>
  <si>
    <t>when running mockito (and bytebuddy) in IntelliJ  the test run crashes since the java executable has spaces in the path  The problem anyhow is not spaces  but quoting paths that has spaces  Spaced paths should not be quoted  This fails when running the program _x000D_
_x000D_
problematic lines:_x000D_
_x000D_
https:  github com raphw byte buddy blame 11855e663f21dcc8a6b59dc0133007fd07bb11c0 byte buddy agent src main java net bytebuddy agent ByteBuddyAgent java L717_x000D_
_x000D_
https:  github com raphw byte buddy blob 11855e663f21dcc8a6b59dc0133007fd07bb11c0 byte buddy agent src main java net bytebuddy agent ByteBuddyAgent java L659_x000D_
_x000D_
Minimal repro of quotes in file name:_x000D_
_x000D_
   _x000D_
import java io IOException _x000D_
import java util ArrayList _x000D_
import java util List _x000D_
_x000D_
public class Hello  _x000D_
  _x000D_
  public static void main(String   args) throws IOException  _x000D_
    try  _x000D_
      List String  list   new ArrayList String () _x000D_
      list add(    Applications IntelliJ IDEA 2019 3 EAP app Contents jbr Contents Home bin java   ) _x000D_
      ProcessBuilder builder   new ProcessBuilder(list) _x000D_
      builder start() _x000D_
      System out println( finished ) _x000D_
      catch (Exception e)  _x000D_
      System out println(e) _x000D_
     _x000D_
     _x000D_
 _x000D_
_x000D_
   _x000D_
_x000D_
If I take quotes off  the program runs fine  I believe this might have been a breaking change in some Java version  I m running java 12 0 1 and IntelliJ is running Java 11 0 4 12 b462 3 on macOS _x000D_
_x000D_
Related issue for IntelliJ: https:  youtrack jetbrains com issue IDEA 222903</t>
  </si>
  <si>
    <t>material-components-material-components-android-605</t>
  </si>
  <si>
    <t>[Library] NoClassDefFoundError</t>
  </si>
  <si>
    <t xml:space="preserve">  Description:   Since the alpha 9 included the app crashes with this error:_x000D_
_x000D_
  _x000D_
    java lang NoClassDefFoundError: Failed resolution of: Landroidx localbroadcastmanager content LocalBroadcastManager _x000D_
_x000D_
  Expected behavior:   Screenshots and or description of expected behavior_x000D_
_x000D_
  Source code:   In my case I am using the  AltBeacon Library (https:  altbeacon github io android beacon library )  when I start ranging beacons in Region the app crashes _x000D_
_x000D_
  Material Library version:    1 1 0 alpha09 to alpha10_x000D_
_x000D_
  Device:   Any that has BLE support</t>
  </si>
  <si>
    <t>lfuelling-lrkFM-38</t>
  </si>
  <si>
    <t>App crashes when creating 7z archive</t>
  </si>
  <si>
    <t xml:space="preserve">  Describe the bug  _x000D_
Original description: _x000D_
_x000D_
  Something wrong  App crashes when tap on 7z archive  _x000D_
_x000D_
  Additional context  _x000D_
Bug was sent in via email _x000D_
</t>
  </si>
  <si>
    <t>MozillaReality-FirefoxReality-1844</t>
  </si>
  <si>
    <t>Crash Report [@ java.net.URISyntaxException: at java.net.URI$Parser.fail(URI.java) ]</t>
  </si>
  <si>
    <t xml:space="preserve">   Configuration_x000D_
_x000D_
      State the version number and build ID affected     _x000D_
      The build ID is obtained by clicking on the build date in settings     _x000D_
Firefox Reality version: 1 4 _x000D_
Firefox Reality build ID: e6ec2b6c757f17a5ded6c3225adbbd8db8c6ee85_x000D_
_x000D_
      Include the name and version of the hardware VR headset you experienced the bug in     _x000D_
Hardware: Oculus (maybe others) _x000D_
_x000D_
   Steps to Reproduce_x000D_
This is the second highest crasher on https:  crash stats mozilla org home product FirefoxReality for the FxR 1 4 release _x000D_
_x000D_
   Current Behavior_x000D_
      If describing a bug  tell us what happens instead of the expected behavior     _x000D_
      If suggesting a change improvement  explain the difference from current behavior     _x000D_
https:  crash stats mozilla org report index d16a9ec8 f1cb 4f0c 90e9 c6cdb0190916_x000D_
   Expected Behavior_x000D_
      If you re describing a bug  tell us what should happen     _x000D_
      If you re suggesting a change improvement  tell us how it should work     _x000D_
FxR should not crash _x000D_
</t>
  </si>
  <si>
    <t>google-ar-sceneform-android-sdk-867</t>
  </si>
  <si>
    <t>Android Studio 3.5 not lauching after installing Sceneform Plugin</t>
  </si>
  <si>
    <t xml:space="preserve">   _x000D_
Android Studio 3 5_x000D_
Build  AI 191 8026 42 35 5791312  built on August 9  2019_x000D_
JRE: 1 8 0 202 release 1483 b03 amd64_x000D_
JVM: OpenJDK 64 Bit Server VM by JetBrains s r o_x000D_
Windows 10 10 0_x000D_
_x000D_
   _x000D_
_x000D_
I have problem when I try to install any version of Sceneform plugin in Android Studio  it just crash without any log or message   _x000D_
 https:  plugins jetbrains com plugin 10698 google sceneform tools beta  versions </t>
  </si>
  <si>
    <t>jellyfin-jellyfin-androidtv-157</t>
  </si>
  <si>
    <t>DTS playback downmixed</t>
  </si>
  <si>
    <t>When playing movie with DTS audio on my Philips Android TV or xiaomi Mibox  it is most often downmixed to stereo (AV receiver can t see 5 1 input) and even sometime no sound or app crash _x000D_
Dolby digital audio tracks seem OK_x000D_
direct play is activated in app settings   DTS option also</t>
  </si>
  <si>
    <t>TeamNewPipe-NewPipe-2634</t>
  </si>
  <si>
    <t>App crash when downloading: permission denied (0.17.2)</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</si>
  <si>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Exception_x000D_
    User Action:   ui error_x000D_
    Request:   App crash  UI failure_x000D_
    Content Language:   GB_x000D_
    Service:   none_x000D_
    Version:   0 17 1_x000D_
    OS:   Linux motorola athene athene:7 0 NPJ25 93 14 16:user release keys 7 0   24_x000D_
_x000D_
_x000D_
 details  summary  b Crash log  b   summary  p _x000D_
_x000D_
   _x000D_
java lang RuntimeException: java io IOException: Permission denied_x000D_
	at us shandian giga service DownloadManager startMission(DownloadManager java:211)_x000D_
	at us shandian giga service DownloadManagerService startMission(DownloadManagerService java:437)_x000D_
	at us shandian giga service DownloadManagerService lambda onStartCommand 0(DownloadManagerService java:207)_x000D_
	at us shandian giga service    Lambda DownloadManagerService raq6lDhb Z YwA4Qq9oug ZgyOM run(lambda)_x000D_
	at android os Handler handleCallback(Handler java:751)_x000D_
	at android os Handler dispatchMessage(Handler java:95)_x000D_
	at android os Looper loop(Looper java:154)_x000D_
	at android app ActivityThread main(ActivityThread java:6123)_x000D_
	at java lang reflect Method invoke(Native Method)_x000D_
	at com android internal os ZygoteInit MethodAndArgsCaller run(ZygoteInit java:867)_x000D_
	at com android internal os ZygoteInit main(ZygoteInit java:757)_x000D_
Caused by: java io IOException: Permission denied_x000D_
	at java io UnixFileSystem createFileExclusively0(Native Method)_x000D_
	at java io UnixFileSystem createFileExclusively(UnixFileSystem java:280)_x000D_
	at java io File createNewFile(File java:948)_x000D_
	at us shandian giga service DownloadManager startMission(DownloadManager java:208)_x000D_
	    10 more_x000D_
java io IOException: Permission denied_x000D_
	at java io UnixFileSystem createFileExclusively0(Native Method)_x000D_
	at java io UnixFileSystem createFileExclusively(UnixFileSystem java:280)_x000D_
	at java io File createNewFile(File java:948)_x000D_
	at us shandian giga service DownloadManager startMission(DownloadManager java:208)_x000D_
	at us shandian giga service DownloadManagerService startMission(DownloadManagerService java:437)_x000D_
	at us shandian giga service DownloadManagerService lambda onStartCommand 0(DownloadManagerService java:207)_x000D_
	at us shandian giga service    Lambda DownloadManagerService raq6lDhb Z YwA4Qq9oug ZgyOM run(lambda)_x000D_
	at android os Handler handleCallback(Handler java:751)_x000D_
	at android os Handler dispatchMessage(Handler java:95)_x000D_
	at android os Looper loop(Looper java:154)_x000D_
	at android app ActivityThread main(ActivityThread java:6123)_x000D_
	at java lang reflect Method invoke(Native Method)_x000D_
	at com android internal os ZygoteInit MethodAndArgsCaller run(ZygoteInit java:867)_x000D_
	at com android internal os ZygoteInit main(ZygoteInit java:757)_x000D_
_x000D_
   _x000D_
  p   details _x000D_
 hr _x000D_
_x000D_
 I saw  1544 but that should be fixed in  0 17  according to the linked issue </t>
  </si>
  <si>
    <t>react-native-svg-react-native-svg-1108</t>
  </si>
  <si>
    <t>[iOS][crash]EXC_BAD_ACCESS: countByEnumeratingWithState:objects:count: &gt; setSrc: &gt; Attempted to dereference garbage pointer 0x30.</t>
  </si>
  <si>
    <t xml:space="preserve"> h1 Environment  h1 _x000D_
System: _x000D_
_x000D_
OS: macOS 10 14 5_x000D_
CPU: (4) x64 Intel(R) Core(TM) i5 7500 CPU   3 40GHz_x000D_
Memory: 669 12 MB   16 00 GB_x000D_
Shell: 3 2 57    bin bash_x000D_
Binaries:_x000D_
Node: 10 16 0    usr local bin node_x000D_
Yarn: 1 17 0    usr local bin yarn_x000D_
npm: 6 9 0    usr local bin npm_x000D_
Watchman: 4 9 0    usr local bin watchman_x000D_
_x000D_
SDKs:_x000D_
iOS SDK:_x000D_
Platforms: iOS 12 2  macOS 10 14  tvOS 12 2  watchOS 5 2_x000D_
Android SDK:_x000D_
API Levels: 23  24  25  26  27  28_x000D_
Build Tools: 23 0 1  23 0 3  25 0 1  25 0 2  25 0 3  26 0 1  26 0 2  27 0 3  28 0 2  28 0 3_x000D_
_x000D_
npmPackages:_x000D_
react:  16 8 6    16 8 6_x000D_
react native: 0 59 9    0 59 9_x000D_
_x000D_
 h1 Platforms  h1 _x000D_
iOS_x000D_
 h1 Versions  h1 _x000D_
_x000D_
iOS: 12 3 1_x000D_
react native svg: 9 5 3_x000D_
react native: 0 59 9_x000D_
react: 16 8 6_x000D_
 h1 Description  h1 _x000D_
_x000D_
It crashed when I keep switching pictures multiple times_x000D_
this is error:_x000D_
   (https:  upload images jianshu io upload images 5018455 1dff122118428b38 png imageMogr2 auto orient strip 7CimageView2 2 w 1240)_x000D_
   (https:  upload images jianshu io upload images 5018455 b14100daa40a1b21 png imageMogr2 auto orient strip 7CimageView2 2 w 1240)_x000D_
   (https:  upload images jianshu io upload images 5018455 afdaf047ff7f5f95 png imageMogr2 auto orient strip 7CimageView2 2 w 1240)</t>
  </si>
  <si>
    <t>nextcloud-android-4512</t>
  </si>
  <si>
    <t>App crashes on home folder (during refresh)</t>
  </si>
  <si>
    <t xml:space="preserve">    Actual behaviour_x000D_
  Open the app (already configured)_x000D_
  Wait it crash (if force refresh it will crash sooner_x000D_
_x000D_
    Expected behaviour_x000D_
  Don t crash _x000D_
_x000D_
    Environment data_x000D_
_x000D_
1  Server has server side encryption enabled_x000D_
_x000D_
     Nextcloud log (data nextcloud log)_x000D_
   _x000D_
             CAUSE OF ERROR             _x000D_
_x000D_
java lang NullPointerException: Attempt to invoke virtual method  java lang String java lang String substring(int  int)  on a null object reference_x000D_
	at com owncloud android datamodel OCFile getLocalId(OCFile java:493)_x000D_
	at com owncloud android utils EncryptionUtils downloadFolderMetadata(EncryptionUtils java:221)_x000D_
	at com owncloud android operations RefreshFolderOperation getDecryptedFolderMetadata(RefreshFolderOperation java:450)_x000D_
	at com owncloud android operations RefreshFolderOperation synchronizeData(RefreshFolderOperation java:395)_x000D_
	at com owncloud android operations RefreshFolderOperation fetchAndSyncRemoteFolder(RefreshFolderOperation java:339)_x000D_
	at com owncloud android operations RefreshFolderOperation run(RefreshFolderOperation java:224)_x000D_
	at com owncloud android lib common operations RemoteOperation run(RemoteOperation java:299)_x000D_
	at java lang Thread run(Thread java:764)_x000D_
_x000D_
             APP INFORMATION             _x000D_
ID: com nextcloud android beta_x000D_
Version: 20190906_x000D_
Build flavor: versionDev_x000D_
_x000D_
             DEVICE INFORMATION             _x000D_
Brand: Xiaomi_x000D_
Device: santoni_x000D_
Model: Redmi 4X_x000D_
Id: OPM2 171026 006 C1_x000D_
Product: lineage santoni_x000D_
_x000D_
             FIRMWARE             _x000D_
SDK: 27_x000D_
Release: 8 1 0_x000D_
Incremental: b2e9cae7ac_x000D_
   </t>
  </si>
  <si>
    <t>netmackan-ATimeTracker-138</t>
  </si>
  <si>
    <t>Crashes when toggling activities when sound is enabled</t>
  </si>
  <si>
    <t xml:space="preserve">  Describe the bug  _x000D_
The app crashes when starting or stopping activities after being away from the main view _x000D_
_x000D_
  To Reproduce  _x000D_
Steps to reproduce the behavior:_x000D_
1  Make sound is enabled in Settings of ATimeTracker _x000D_
2  Go to Android main view screen (i e  making sure ATimeTracker is not in the foreground) _x000D_
3  Start ATimeTracker _x000D_
4  Start or stop an existing activity_x000D_
_x000D_
  Expected behavior  _x000D_
The activity state changes _x000D_
_x000D_
  Actual behavior  _x000D_
The app crashes _x000D_
_x000D_
  Smartphone (please complete the following information):  _x000D_
   Samsung Galaxy S5_x000D_
   OS: Android 9 (LineageOS)_x000D_
_x000D_
  Additional context  _x000D_
From adb logcat:_x000D_
   _x000D_
java lang NullPointerException: Attempt to invoke virtual method  void android media MediaPlayer start()  on a null object reference_x000D_
 	at com markuspage android atimetracker Activities onListItemClick(Activities java:1234)_x000D_
 	at android app ListActivity 2 onItemClick(ListActivity java:319)_x000D_
 	at android widget AdapterView performItemClick(AdapterView java:318)_x000D_
   _x000D_
_x000D_
</t>
  </si>
  <si>
    <t>nextcloud-android-4508</t>
  </si>
  <si>
    <t>Crash when navigating away from photos (photo details not opening)</t>
  </si>
  <si>
    <t xml:space="preserve">    Actual behaviour_x000D_
  crash_x000D_
_x000D_
    Expected behaviour_x000D_
  no crash _x000D_
  opening some details fragment  _x000D_
 _x000D_
    Steps to reproduce_x000D_
1  Open photo tab_x000D_
2  Tap on a photo in the list_x000D_
3  Tap on  more  and then  details _x000D_
4  Photo closes  back in the photo list  navigate to  all files _x000D_
5  Receive crash report and submit on GitHub  _x000D_
_x000D_
Nextcloud server version:_x000D_
16 0 4_x000D_
_x000D_
    Logs_x000D_
     Web server error log_x000D_
   _x000D_
Insert your webserver log here_x000D_
   no log entries_x000D_
_x000D_
     Nextcloud log (data nextcloud log)_x000D_
   _x000D_
             CAUSE OF ERROR             _x000D_
_x000D_
java lang NullPointerException: Attempt to invoke virtual method  boolean com owncloud android datamodel OCFile canWrite()  on a null object reference_x000D_
	at com owncloud android ui fragment OCFileListFragment updateLayout(OCFileListFragment java:1221)_x000D_
	at com owncloud android ui fragment OCFileListFragment listDirectory(OCFileListFragment java:1190)_x000D_
	at com owncloud android ui fragment OCFileListFragment listDirectory(OCFileListFragment java:1124)_x000D_
	at com owncloud android ui activity FileDisplayActivity onResume(FileDisplayActivity java:1278)_x000D_
	at android app Instrumentation callActivityOnResume(Instrumentation java:1514)_x000D_
	at android app Activity performResume(Activity java:7305)_x000D_
	at android app ActivityThread performNewIntents(ActivityThread java:3260)_x000D_
	at android app ActivityThread handleNewIntent(ActivityThread java:3275)_x000D_
	at android app servertransaction NewIntentItem execute(NewIntentItem java:49)_x000D_
	at android app servertransaction TransactionExecutor executeCallbacks(TransactionExecutor java:108)_x000D_
	at android app servertransaction TransactionExecutor execute(TransactionExecutor java:68)_x000D_
	at android app ActivityThread H handleMessage(ActivityThread java:1916)_x000D_
	at android os Handler dispatchMessage(Handler java:106)_x000D_
	at android os Looper loop(Looper java:193)_x000D_
	at android app ActivityThread main(ActivityThread java:6898)_x000D_
	at java lang reflect Method invoke(Native Method)_x000D_
	at com android internal os RuntimeInit MethodAndArgsCaller run(RuntimeInit java:537)_x000D_
	at com android internal os ZygoteInit main(ZygoteInit java:858)_x000D_
_x000D_
             APP INFORMATION             _x000D_
ID: com nextcloud client_x000D_
Version: 30080090_x000D_
Build flavor: gplay_x000D_
_x000D_
             DEVICE INFORMATION             _x000D_
Brand: OnePlus_x000D_
Device: OnePlus6T_x000D_
Model: ONEPLUS A6013_x000D_
Product: OnePlus6T_x000D_
_x000D_
             FIRMWARE             _x000D_
SDK: 28_x000D_
Release: 9_x000D_
Incremental: 1908012000_x000D_
_x000D_
   _x000D_
  NOTE:   Be super sure to remove sensitive data like passwords  note that everybody can look here  You can use the Issue Template application to prefill some of the required information: https:  apps nextcloud com apps issuetemplate_x000D_
</t>
  </si>
  <si>
    <t>nextcloud-android-4503</t>
  </si>
  <si>
    <t>Crashes after splash screen</t>
  </si>
  <si>
    <t xml:space="preserve">    Actual behaviour_x000D_
  Tell us what happens_x000D_
The app crashes after splash screen _x000D_
_x000D_
    Expected behaviour_x000D_
  Tell us what should happen_x000D_
The app should start _x000D_
 _x000D_
    Steps to reproduce_x000D_
1  Install app_x000D_
2  Login_x000D_
3  Restart app_x000D_
_x000D_
_x000D_
    Environment data_x000D_
Android version:_x000D_
9_x000D_
Device model: _x000D_
Xiaomi MiPad 4_x000D_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Not found_x000D_
_x000D_
  NOTE:   Be super sure to remove sensitive data like passwords  note that everybody can look here  You can use the Issue Template application to prefill some of the required information: https:  apps nextcloud com apps issuetemplate_x000D_
</t>
  </si>
  <si>
    <t>fossasia-phimpme-android-2868</t>
  </si>
  <si>
    <t>Connect to us on facebook crashes</t>
  </si>
  <si>
    <t xml:space="preserve">  Describe the bug  _x000D_
On clicking connect to us on facebook  the app crashes_x000D_
_x000D_
  To Reproduce  _x000D_
_x000D_
1  Go to  About _x000D_
2  Click on  Connect to facebook  at the bottom_x000D_
3  crash_x000D_
_x000D_
_x000D_
  Expected behavior  _x000D_
_x000D_
Should not crash_x000D_
_x000D_
  Logs  _x000D_
   _x000D_
 android content ActivityNotFoundException: No Activity found to handle Intent   act android intent action VIEW dat fb:  facewebmodal f href https:  www facebook com phimpmeapp  _x000D_
        at android app Instrumentation checkStartActivityResult(Instrumentation java:2007)_x000D_
        at android app Instrumentation execStartActivity(Instrumentation java:1673)_x000D_
        at android app Activity startActivityForResult(Activity java:4762)_x000D_
        at androidx fragment app FragmentActivity startActivityForResult(FragmentActivity java:676)_x000D_
        at android app Activity startActivityForResult(Activity java:4691)_x000D_
        at androidx fragment app FragmentActivity startActivityForResult(FragmentActivity java:663)_x000D_
        at android app Activity startActivity(Activity java:5081)_x000D_
        at android app Activity startActivity(Activity java:5049)_x000D_
        at org fossasia phimpme gallery activities AboutActivity 10 onClick(AboutActivity java:229)_x000D_
        at android view View performClick(View java:6710)_x000D_
        at android view View performClickInternal(View java:6668)_x000D_
        at android view View access 3400(View java:797)_x000D_
        at android view View PerformClick run(View java:26448)_x000D_
        at android os Handler handleCallback(Handler java:873)_x000D_
        at android os Handler dispatchMessage(Handler java:99)_x000D_
        at android os Looper loop(Looper java:226)_x000D_
        at android app ActivityThread main(ActivityThread java:7179)_x000D_
        at java lang reflect Method invoke(Native Method)_x000D_
        at com android internal os RuntimeInit MethodAndArgsCaller run(RuntimeInit java:576)_x000D_
        at com android internal os ZygoteInit main(ZygoteInit java:942)_x000D_
_x000D_
   _x000D_
_x000D_
  Would you like to work on the issue   _x000D_
     Please let us know if you can work on it or the issue should be assigned to someone else     _x000D_
   x  Yes_x000D_
      No_x000D_
  Other: _x000D_
</t>
  </si>
  <si>
    <t>cgeo-cgeo-7841</t>
  </si>
  <si>
    <t>Google Maps v2 crashes on targetSDK 28</t>
  </si>
  <si>
    <t xml:space="preserve">When changing targetDSK to 28 manually on today s master branch  c:geo directly crashes when starting live map with Google Maps enabled _x000D_
_x000D_
Logcat shows:_x000D_
_x000D_
   _x000D_
2019 09 13 18:02:19 681 5282 5370 cgeo geocaching E AndroidRuntime: FATAL EXCEPTION: Thread 4_x000D_
    Process: cgeo geocaching  PID: 5282_x000D_
    java lang NoClassDefFoundError: Failed resolution of: Lorg apache http ProtocolVersion _x000D_
        at bz b(:com google android gms dynamite mapsdynamite 19056100 19 0 56 (120700 262933554):3)_x000D_
        at ca a(:com google android gms dynamite mapsdynamite 19056100 19 0 56 (120700 262933554):3)_x000D_
        at cc a(:com google android gms dynamite mapsdynamite 19056100 19 0 56 (120700 262933554):14)_x000D_
        at com google maps api android lib6 drd ak a(:com google android gms dynamite mapsdynamite 19056100 19 0 56 (120700 262933554):4)_x000D_
        at be a(:com google android gms dynamite mapsdynamite 19056100 19 0 56 (120700 262933554):22)_x000D_
        at be run(:com google android gms dynamite mapsdynamite 19056100 19 0 56 (120700 262933554):8)_x000D_
     Caused by: java lang ClassNotFoundException: Didn t find class  org apache http ProtocolVersion  on path: DexPathList  zip file   data user de 0 com google android gms app chimera m 0000000e MapsDynamite apk   nativeLibraryDirectories   data user de 0 com google android gms app chimera m 0000000e MapsDynamite apk  lib x86   system lib   system product lib  _x000D_
        at dalvik system BaseDexClassLoader findClass(BaseDexClassLoader java:196)_x000D_
        at dalvik system DelegateLastClassLoader loadClass(DelegateLastClassLoader java:137)_x000D_
        at java lang ClassLoader loadClass(ClassLoader java:312)_x000D_
        at bz b(:com google android gms dynamite mapsdynamite 19056100 19 0 56 (120700 262933554):3) _x000D_
        at ca a(:com google android gms dynamite mapsdynamite 19056100 19 0 56 (120700 262933554):3) _x000D_
        at cc a(:com google android gms dynamite mapsdynamite 19056100 19 0 56 (120700 262933554):14) _x000D_
        at com google maps api android lib6 drd ak a(:com google android gms dynamite mapsdynamite 19056100 19 0 56 (120700 262933554):4) _x000D_
        at be a(:com google android gms dynamite mapsdynamite 19056100 19 0 56 (120700 262933554):22) _x000D_
        at be run(:com google android gms dynamite mapsdynamite 19056100 19 0 56 (120700 262933554):8) _x000D_
2019 09 13 18:02:20 102 1897 2006   E InputDispatcher: channel  7d0883 cgeo geocaching cgeo geocaching maps google v2 GoogleMapActivity (server)    Channel is unrecoverably broken and will be disposed _x000D_
2019 09 13 18:02:20 169 1897 2006   E InputDispatcher: channel  3177ec8 cgeo geocaching cgeo geocaching MainActivity (server)    Channel is unrecoverably broken and will be disposed _x000D_
   _x000D_
_x000D_
This is on Android 10  started in an AS emulator session </t>
  </si>
  <si>
    <t>raphw-byte-buddy-723</t>
  </si>
  <si>
    <t>VM crashes when using EmulatedAttachment on Windows 10 with long argument</t>
  </si>
  <si>
    <t xml:space="preserve">When the agent path plus the argument exceeds 272 chars  the VM crashes with the following message:_x000D_
_x000D_
   _x000D_
Process finished with exit code  1073741819 (0xC0000005)_x000D_
   _x000D_
_x000D_
When it s more than 264 chars and less than 273 chars  the  agentmain  method receives a truncated argument string _x000D_
_x000D_
You can reproduce that by modifying this test_x000D_
https:  github com raphw byte buddy blob 2d8040720a603f163891b62f6f61b75ebb56acd3 byte buddy agent src test java net bytebuddy agent VirtualMachineAttachmentTest java L49 L61_x000D_
_x000D_
To use a longer argument  for example   RandomString make(300)  _x000D_
_x000D_
Is that something that can be worked around fixed or is that an inherent Windows restriction  In the latter case  it s probably better to fail fast within Byte Buddy than letting the VM crash _x000D_
_x000D_
A similar restriction seems to apply for the emulated attach on Posix (Mac OS)  as well as the non emulated attach( ByteBuddyAgent AttachmentProvider ForMudularizedVm ) but the limit seems to be around the 1000 char mark </t>
  </si>
  <si>
    <t>fabienli-DokuwikiAndroid-8</t>
  </si>
  <si>
    <t>Crash when trying to sync</t>
  </si>
  <si>
    <t xml:space="preserve">On my Galaxy S2  when selecting the  synchro  item from the main menu  the app always crashes to desktop _x000D_
_x000D_
Screenshot of the stacktrace:_x000D_
_x000D_
  Screenshot 20190913 111732 (https:  user images githubusercontent com 1583479 64851919 aa865400 d618 11e9 8f9a dd8887292ac0 png)_x000D_
_x000D_
Unfortunately that s all the crash report contained regarding the app itself _x000D_
_x000D_
Activating  full debug logs  doesn t give additional info as well  </t>
  </si>
  <si>
    <t>lisawray-groupie-286</t>
  </si>
  <si>
    <t>Occasional crash when expanding/collapsing group while updateAsync is running</t>
  </si>
  <si>
    <t xml:space="preserve">  Describe the bug  _x000D_
When GroupAdapter updateAsync() keeps getting called in the background and I click expand collapse on an expandable item  occasionally I get a crash _x000D_
_x000D_
  To Reproduce  _x000D_
_x000D_
I forked the project and created a branch with a modified example to reproduce the bug: https:  github com scorpeeon groupie tree updateasync expandable bug_x000D_
_x000D_
Steps to reproduce the behavior:_x000D_
_x000D_
When starting the example (non databinding) the code will keep calling updateAsync to update the items  Meanwhile if I keep tapping the expand collapse button on the expandable item  the code will eventually crash  (it might take a while for it to happen  tapping it rapidly tend to give faster results)_x000D_
_x000D_
  Expected behavior  _x000D_
Code should not crash when expanding items while using updateAsync _x000D_
_x000D_
  Library version  _x000D_
2 5 1_x000D_
_x000D_
  Additional context  _x000D_
_x000D_
Example stacktraces here:_x000D_
   _x000D_
09 12 11:18:14 647 9694 9694 com xwray groupie example E AndroidRuntime: FATAL EXCEPTION: main_x000D_
    Process: com xwray groupie example  PID: 9694_x000D_
    java lang IndexOutOfBoundsException: Inconsistency detected  Invalid view holder adapter positionViewHolder 1c8fea59 position 8 id  1  oldPos 1  pLpos:1 scrap  attachedScrap  tmpDetached not recyclable(1) no parent  androidx recyclerview widget RecyclerView 2633c910 VFED      F    ID 0 0 1200 1920  7f090070 app:id recyclerView   adapter:com xwray groupie GroupAdapter 1dafac09  layout:androidx recyclerview widget GridLayoutManager 22d2e0e  context:com xwray groupie example MainActivity 2e895d57_x000D_
        at androidx recyclerview widget RecyclerView Recycler validateViewHolderForOffsetPosition(RecyclerView java:5715)_x000D_
        at androidx recyclerview widget RecyclerView Recycler tryGetViewHolderForPositionByDeadline(RecyclerView java:5898)_x000D_
        at androidx recyclerview widget RecyclerView Recycler getViewForPosition(RecyclerView java:5858)_x000D_
        at androidx recyclerview widget RecyclerView Recycler getViewForPosition(RecyclerView java:5854)_x000D_
        at androidx recyclerview widget LinearLayoutManager LayoutState next(LinearLayoutManager java:2230)_x000D_
        at androidx recyclerview widget GridLayoutManager layoutChunk(GridLayoutManager java:557)_x000D_
        at androidx recyclerview widget LinearLayoutManager fill(LinearLayoutManager java:1517)_x000D_
        at androidx recyclerview widget LinearLayoutManager onLayoutChildren(LinearLayoutManager java:612)_x000D_
        at androidx recyclerview widget GridLayoutManager onLayoutChildren(GridLayoutManager java:171)_x000D_
        at androidx recyclerview widget RecyclerView dispatchLayoutStep1(RecyclerView java:3875)_x000D_
        at androidx recyclerview widget RecyclerView dispatchLayout(RecyclerView java:3639)_x000D_
        at androidx recyclerview widget RecyclerView onLayout(RecyclerView java:4194)_x000D_
        at android view View layout(View java:15693)_x000D_
        at android view ViewGroup layout(ViewGroup java:5038)_x000D_
        at android widget FrameLayout layoutChildren(FrameLayout java:579)_x000D_
        at android widget FrameLayout onLayout(FrameLayout java:514)_x000D_
        at android view View layout(View java:15693)_x000D_
        at android view ViewGroup layout(ViewGroup java:5038)_x000D_
        at android widget FrameLayout layoutChildren(FrameLayout java:579)_x000D_
        at android widget FrameLayout onLayout(FrameLayout java:514)_x000D_
        at android view View layout(View java:15693)_x000D_
        at android view ViewGroup layout(ViewGroup java:5038)_x000D_
        at android widget LinearLayout setChildFrame(LinearLayout java:1703)_x000D_
        at android widget LinearLayout layoutVertical(LinearLayout java:1557)_x000D_
        at android widget LinearLayout onLayout(LinearLayout java:1466)_x000D_
        at android view View layout(View java:15693)_x000D_
        at android view ViewGroup layout(ViewGroup java:5038)_x000D_
        at android widget FrameLayout layoutChildren(FrameLayout java:579)_x000D_
        at android widget FrameLayout onLayout(FrameLayout java:514)_x000D_
        at android view View layout(View java:15693)_x000D_
        at android view ViewGroup layout(ViewGroup java:5038)_x000D_
        at android widget LinearLayout setChildFrame(LinearLayout java:1703)_x000D_
        at android widget LinearLayout layoutVertical(LinearLayout java:1557)_x000D_
        at android widget LinearLayout onLayout(LinearLayout java:1466)_x000D_
        at android view View layout(View java:15693)_x000D_
        at android view ViewGroup layout(ViewGroup java:5038)_x000D_
        at android widget FrameLayout layoutChildren(FrameLayout java:579)_x000D_
        at android widget FrameLayout onLayout(FrameLayout java:514)_x000D_
        at android view View layout(View java:15693)_x000D_
        at android view ViewGroup layout(ViewGroup java:5038)_x000D_
        at android view ViewRootImpl performLayout(ViewRootImpl java:2131)_x000D_
        at android view ViewRootImpl performTraversals(ViewRootImpl java:1888)_x000D_
        at android view ViewRootImpl doTraversal(ViewRootImpl java:1106)_x000D_
        at android view ViewRootImpl TraversalRunnable run(ViewRootImpl java:5965)_x000D_
        at android view Choreographer CallbackRecord run(Choreographer java:767)_x000D_
        at android view Choreographer doCallbacks(Choreographer java:580)_x000D_
        at android view Choreographer doFrame(Choreographer java:550)_x000D_
        at android view Choreographer FrameDisplayEventReceiver run(Choreographer java:753)_x000D_
        at android os Handler handleCallback(Handler java:739)_x000D_
        at android os Handler dispatchMessage(Handler java:95)_x000D_
    	at android_x000D_
   _x000D_
_x000D_
Another one:_x000D_
   _x000D_
09 12 11:10:58 997 9414 9414 com xwray groupie example E AndroidRuntime: FATAL EXCEPTION: main_x000D_
    Process: com xwray groupie example  PID: 9414_x000D_
    java lang IndexOutOfBoundsException: Inconsistency detected  Invalid view holder adapter positionViewHolder 1de4d1b8 position 9 id  1  oldPos 1  pLpos:1 scrap  attachedScrap  tmpDetached not recyclable(1) no parent  androidx recyclerview widget RecyclerView 3c5d1749 VFED      F    ID 0 0 1200 1920  7f090070 app:id recyclerView   adapter:com xwray groupie GroupAdapter 1c31584e  layout:androidx recyclerview widget GridLayoutManager 243e8d6f  context:com xwray groupie example MainActivity 2e895d57_x000D_
        at androidx recyclerview widget RecyclerView Recycler validateViewHolderForOffsetPosition(RecyclerView java:5715)_x000D_
        at androidx recyclerview widget RecyclerView Recycler tryGetViewHolderForPositionByDeadline(RecyclerView java:5898)_x000D_
        at androidx recyclerview widget RecyclerView Recycler getViewForPosition(RecyclerView java:5858)_x000D_
        at androidx recyclerview widget RecyclerView Recycler getViewForPosition(RecyclerView java:5854)_x000D_
        at androidx recyclerview widget LinearLayoutManager LayoutState next(LinearLayoutManager java:2230)_x000D_
        at androidx recyclerview widget GridLayoutManager layoutChunk(GridLayoutManager java:557)_x000D_
        at androidx recyclerview widget LinearLayoutManager fill(LinearLayoutManager java:1517)_x000D_
        at androidx recyclerview widget LinearLayoutManager onLayoutChildren(LinearLayoutManager java:612)_x000D_
        at androidx recyclerview widget GridLayoutManager onLayoutChildren(GridLayoutManager java:171)_x000D_
        at androidx recyclerview widget RecyclerView dispatchLayoutStep1(RecyclerView java:3875)_x000D_
        at androidx recyclerview widget RecyclerView dispatchLayout(RecyclerView java:3639)_x000D_
        at androidx recyclerview widget RecyclerView onLayout(RecyclerView java:4194)_x000D_
        at android view View layout(View java:15693)_x000D_
        at android view ViewGroup layout(ViewGroup java:5038)_x000D_
        at android widget FrameLayout layoutChildren(FrameLayout java:579)_x000D_
        at android widget FrameLayout onLayout(FrameLayout java:514)_x000D_
        at android view View layout(View java:15693)_x000D_
        at android view ViewGroup layout(ViewGroup java:5038)_x000D_
        at android widget FrameLayout layoutChildren(FrameLayout java:579)_x000D_
        at android widget FrameLayout onLayout(FrameLayout java:514)_x000D_
        at android view View layout(View java:15693)_x000D_
        at android view ViewGroup layout(ViewGroup java:5038)_x000D_
        at android widget LinearLayout setChildFrame(LinearLayout java:1703)_x000D_
        at android widget LinearLayout layoutVertical(LinearLayout java:1557)_x000D_
        at android widget LinearLayout onLayout(LinearLayout java:1466)_x000D_
        at android view View layout(View java:15693)_x000D_
        at android view ViewGroup layout(ViewGroup java:5038)_x000D_
        at android widget FrameLayout layoutChildren(FrameLayout java:579)_x000D_
        at android widget FrameLayout onLayout(FrameLayout java:514)_x000D_
        at android view View layout(View java:15693)_x000D_
        at android view ViewGroup layout(ViewGroup java:5038)_x000D_
        at android widget LinearLayout setChildFrame(LinearLayout java:1703)_x000D_
        at android widget LinearLayout layoutVertical(LinearLayout java:1557)_x000D_
        at android widget LinearLayout onLayout(LinearLayout java:1466)_x000D_
        at android view View layout(View java:15693)_x000D_
        at android view ViewGroup layout(ViewGroup java:5038)_x000D_
        at android widget FrameLayout layoutChildren(FrameLayout java:579)_x000D_
        at android widget FrameLayout onLayout(FrameLayout java:514)_x000D_
        at android view View layout(View java:15693)_x000D_
        at android view ViewGroup layout(ViewGroup java:5038)_x000D_
        at android view ViewRootImpl performLayout(ViewRootImpl java:2131)_x000D_
        at android view ViewRootImpl performTraversals(ViewRootImpl java:1888)_x000D_
        at android view ViewRootImpl doTraversal(ViewRootImpl java:1106)_x000D_
        at android view ViewRootImpl TraversalRunnable run(ViewRootImpl java:5965)_x000D_
        at android view Choreographer CallbackRecord run(Choreographer java:767)_x000D_
        at android view Choreographer doCallbacks(Choreographer java:580)_x000D_
        at android view Choreographer doFrame(Choreographer java:550)_x000D_
        at android view Choreographer FrameDisplayEventReceiver run(Choreographer java:753)_x000D_
        at android os Handler handleCallback(Handler java:739)_x000D_
        at android os Handler dispatchMessage(Handler java:95)_x000D_
    	at androi_x000D_
_x000D_
   </t>
  </si>
  <si>
    <t>react-native-share-react-native-share-583</t>
  </si>
  <si>
    <t xml:space="preserve">Crash with error  Illegal callback invocation from native module  This callback type only permits a single invocation from native code  when you cancel sharing_x000D_
_x000D_
    Steps to reproduce_x000D_
1  Use iOS 13_x000D_
2  Open share dialog using Share open_x000D_
3  Tap message for example_x000D_
4  Cancel message_x000D_
5  Cancel share_x000D_
6  Crash_x000D_
_x000D_
    Expected behaviour_x000D_
There should be no crash_x000D_
_x000D_
    Actual behaviour_x000D_
It crashed_x000D_
_x000D_
    Environment_x000D_
    React Native version  : 0 60 5_x000D_
    React Native platform   platform version  : iOS 13 0_x000D_
_x000D_
    react native share_x000D_
  Version  : 2 0 0_x000D_
_x000D_
    Link to repo (highly encouraged)_x000D_
https:  github com _x000D_
</t>
  </si>
  <si>
    <t>applivery-applivery-android-sdk-45</t>
  </si>
  <si>
    <t>Update package download location</t>
  </si>
  <si>
    <t>Hi _x000D_
_x000D_
I saw that you download the update packages in the public download folder  This is not a problem for me right now  but if someone targets Android 10 (29) and does not set  android:requestLegacyExternalStorage  true   in its manifest  this will crash on Android 10 devices  Would it be possible to use internal cache folder of the app instead   It would have multiple benefits :_x000D_
  Does not crash on Android 10 without requestLegacyExternalStorage_x000D_
  Ready for Android 11_x000D_
  No need to ask for the external storage permission_x000D_
  The cache folder can be cleaned by the system if space is needed_x000D_
_x000D_
Programmatically speaking  it means replacing_x000D_
 Environment getExternalStoragePublicDirectory(Environment DIRECTORY DOWNLOADS) _x000D_
by_x000D_
 context getCacheDir() _x000D_
_x000D_
You need to have access to a context  but I think this change is necessary : all user may not want to use requestLegacyExternalStorage  and this is just a temporary solution  as told in the red warning here https:  developer android com training data storage files external scoped opt out of scoped storage</t>
  </si>
  <si>
    <t>material-components-material-components-android-590</t>
  </si>
  <si>
    <t>[MaterialDatePicker] NPE after EditText becomes empty</t>
  </si>
  <si>
    <t xml:space="preserve">  Description:   Setting the string to empty when using the MaterialDatePicker s manual input mode throws an NPE_x000D_
_x000D_
   _x000D_
java lang NullPointerException: Attempt to invoke virtual method  long java lang Long longValue()  on a null object reference_x000D_
        at com google android material picker SingleDateSelector 1 onValidDate(SingleDateSelector java:103)_x000D_
        at com google android material picker DateFormatTextWatcher onTextChanged(DateFormatTextWatcher java:63)_x000D_
        at android widget TextView sendOnTextChanged(TextView java:9754)_x000D_
   _x000D_
_x000D_
  Expected behavior:   It should handle the null value without any crash_x000D_
_x000D_
  Source code:   Here s how I used it:_x000D_
_x000D_
   _x000D_
val datePicker   MaterialDatePicker Builder_x000D_
     datePicker()_x000D_
     build()_x000D_
_x000D_
datePicker addOnPositiveButtonClickListener  _x000D_
    Log d( Test   it toString())_x000D_
 _x000D_
_x000D_
datePicker show(requireFragmentManager()   test )_x000D_
   _x000D_
_x000D_
  Android API version:   29_x000D_
_x000D_
  Material Library version:   1 1 0 alpha10_x000D_
  Device:   Emulator on API 28 _x000D_
</t>
  </si>
  <si>
    <t>google-ExoPlayer-6425</t>
  </si>
  <si>
    <t>ArrayIndexOutOfBoundsException in ImaAdsLoader.updateImaStateForPlayerState</t>
  </si>
  <si>
    <t xml:space="preserve">we have videos with ads in our app  and we have ArrayIndexOutOfBoundsException in the ima extension  We don t have a specific scenario for this crash and it happens randomly on many devices  I attach the stack trace below:_x000D_
   _x000D_
Fatal Exception: java lang ArrayIndexOutOfBoundsException: length 0  index 0_x000D_
       at com google android exoplayer2 ext ima ImaAdsLoader updateImaStateForPlayerState   1186(ImaAdsLoader java:1186)_x000D_
       at com google android exoplayer2 ext ima ImaAdsLoader onTimelineChanged   962(ImaAdsLoader java:962)_x000D_
       at com google android exoplayer2 ExoPlayerImpl PlaybackInfoUpdate lambda run 0 ExoPlayerImpl PlaybackInfoUpdate   790(ExoPlayerImpl java:790)_x000D_
       at com google android exoplayer2    Lambda ExoPlayerImpl PlaybackInfoUpdate N S5kRfhaRTAkH28P5luFgKnFjQ invokeListener   2(:2)_x000D_
       at com google android exoplayer2 BasePlayer ListenerHolder invoke   165(BasePlayer java:165)_x000D_
       at com google android exoplayer2 ExoPlayerImpl invokeAll   823(ExoPlayerImpl java:823)_x000D_
       at com google android exoplayer2 ExoPlayerImpl access 000   43(ExoPlayerImpl java:43)_x000D_
       at com google android exoplayer2 ExoPlayerImpl PlaybackInfoUpdate run   787(ExoPlayerImpl java:787)_x000D_
       at com google android exoplayer2 ExoPlayerImpl notifyListeners   726(ExoPlayerImpl java:726)_x000D_
       at com google android exoplayer2 ExoPlayerImpl updatePlaybackInfo   701(ExoPlayerImpl java:701)_x000D_
       at com google android exoplayer2 ExoPlayerImpl handlePlaybackInfo   648(ExoPlayerImpl java:648)_x000D_
       at com google android exoplayer2 ExoPlayerImpl handleEvent   598(ExoPlayerImpl java:598)_x000D_
       at com google android exoplayer2 ExoPlayerImpl 1 handleMessage   126(ExoPlayerImpl java:126)_x000D_
       at android os Handler dispatchMessage   106(Handler java:106)_x000D_
       at android os Looper loop   193(Looper java:193)_x000D_
       at android app ActivityThread main   6718(ActivityThread java:6718)_x000D_
       at java lang reflect Method invoke(Method java)_x000D_
       at com android internal os RuntimeInit MethodAndArgsCaller run   493(RuntimeInit java:493)_x000D_
       at com android internal os ZygoteInit main   858(ZygoteInit java:858)_x000D_
   _x000D_
_x000D_
my version is 2 10 3 and I used google pixel 3XL android 9 0_x000D_
     DO NOT DELETE_x000D_
validate template true_x000D_
template path  github ISSUE TEMPLATE bug md_x000D_
   _x000D_
</t>
  </si>
  <si>
    <t>tanersener-react-native-ffmpeg-104</t>
  </si>
  <si>
    <t>java.lang.Double cannot be cast to com.facebook.react.bridge.ReadableNativeArray</t>
  </si>
  <si>
    <t xml:space="preserve">  Description  _x000D_
When calling RNFFmpeg getMediaInformation on Android  we re getting a  java lang Double cannot be cast to com facebook react bridge ReadableNativeArray  red screen exception  On Android Studio logcats  I spotted the following exception  _x000D_
   _x000D_
 mobile ffmpeg: content:  com android providers media documents document audio 3A1447: Protocol not found_x000D_
    Did you mean file:content:  com android providers media documents document audio 3A1447 _x000D_
   _x000D_
Same code works as expected on iOS  Android side was linked with  react native link react native ffmpeg  as per instructions _x000D_
_x000D_
  Expected behavior  _x000D_
Media information is retrieved  Or at least a handled exception regarding file  media or codec limitations _x000D_
_x000D_
  Current behavior  _x000D_
App crashes_x000D_
_x000D_
  Screenshots  _x000D_
N A_x000D_
_x000D_
  Logs  _x000D_
   _x000D_
I ReactNativeJS: log level set_x000D_
I ReactNativeJS:  decoded uri    content:  com android providers media documents document audio 3A1447 _x000D_
E unknown:ReactNative: Exception in native call_x000D_
    java lang ClassCastException: java lang Double cannot be cast to com facebook react bridge ReadableNativeArray_x000D_
        at com facebook react bridge ReadableNativeArray getArray(ReadableNativeArray java:145)_x000D_
        at com facebook react bridge ReadableNativeArray getArray(ReadableNativeArray java:24)_x000D_
        at com facebook react bridge JavaMethodWrapper 6 extractArgument(JavaMethodWrapper java:82)_x000D_
        at com facebook react bridge JavaMethodWrapper 6 extractArgument(JavaMethodWrapper java:78)_x000D_
        at com facebook react bridge JavaMethodWrapper invoke(JavaMethodWrapper java:359)_x000D_
        at com facebook react bridge JavaModuleWrapper invoke(JavaModuleWrapper java:158)_x000D_
        at com facebook react bridge queue NativeRunnable run(Native Method)_x000D_
        at android os Handler handleCallback(Handler java:873)_x000D_
        at android os Handler dispatchMessage(Handler java:99)_x000D_
        at com facebook react bridge queue MessageQueueThreadHandler dispatchMessage(MessageQueueThreadHandler java:29)_x000D_
        at android os Looper loop(Looper java:193)_x000D_
        at com facebook react bridge queue MessageQueueThreadImpl 4 run(MessageQueueThreadImpl java:232)_x000D_
        at java lang Thread run(Thread java:764)_x000D_
I ReactNativeJS:  CodePush  Checking for update _x000D_
V FA: Activity resumed  time: 24595599_x000D_
D react native ffmpeg: Getting media information for content:  com android providers media documents document audio 3A1447 with timeout 10000 _x000D_
D ReactNative: CatalystInstanceImpl destroy() start_x000D_
W unknown:ViewManagerPropertyUpdater: Could not find generated setter for class com facebook react views view ReactViewManager_x000D_
W unknown:ReactNative: Invoking JS callback after bridge has been destroyed _x000D_
V FA: Inactivity  disconnecting from the service_x000D_
I mobile ffmpeg: content:  com android providers media documents document audio 3A1447: Protocol not found_x000D_
    Did you mean file:content:  com android providers media documents document audio 3A1447 _x000D_
   _x000D_
_x000D_
  Environment  _x000D_
   React Native Environment Info_x000D_
   _x000D_
 react native :  0 59 4  _x000D_
 react native ffmpeg :   0 3 4  _x000D_
   _x000D_
_x000D_
  Other  _x000D_
File was picked with  react native document picker _x000D_
</t>
  </si>
  <si>
    <t>square-okhttp-5447</t>
  </si>
  <si>
    <t>head after failed put breaks on upgrade from 3.10.0 to 3.14.2</t>
  </si>
  <si>
    <t xml:space="preserve">We have a test that executes the following sequence of actions_x000D_
_x000D_
1  a PUT with a RequestBody that throws an IO exception during writeTo_x000D_
2  a HEAD for the same URI_x000D_
_x000D_
On 3 10 0  the HEAD request is sent over the wire as a HEAD request _x000D_
_x000D_
On 3 14 2 with no changes other than upgrading OkHttp in the build gradle  _x000D_
the HEAD request is sent over the wire as a PUT request as detected both_x000D_
by our HTTP server and by WireShark running on the client _x000D_
_x000D_
Could some state from the failed request be leaking into the subsequent request _x000D_
_x000D_
I tried to create a test to reproduce this issue but ran into a separate bug _x000D_
with MockWebServer  In the same situation  MockWebServer throws:_x000D_
_x000D_
SEVERE: MockWebServer 32987  connection from localhost 127 0 0 1 crashed_x000D_
java lang NumberFormatException: For input string:  HEAD  endpoint HTTP 1 1 _x000D_
	at java base java lang NumberFormatException forInputString(NumberFormatException java:65)_x000D_
	at java base java lang Integer parseInt(Integer java:652)_x000D_
	at okhttp3 mockwebserver MockWebServer readRequest(MockWebServer java:624)_x000D_
_x000D_
The attached test reproduces the MockWebServer issue  If the MockWebServer issue is fixed  _x000D_
I hope the attached test will then reproduce the actual issue of interest _x000D_
  _x000D_
 OkPutHeadTest zip (https:  github com square okhttp files 3602643 OkPutHeadTest zip)_x000D_
_x000D_
</t>
  </si>
  <si>
    <t>square-react-native-square-reader-sdk-86</t>
  </si>
  <si>
    <t>Unable to start receiver com.squareup.queue.QueueService$BootReceiver: java.lang.SecurityException: getSerial: The user 10191 does not meet the requirements to access device identifiers</t>
  </si>
  <si>
    <t xml:space="preserve">    Describe the issue_x000D_
_x000D_
When I try to launch the app on Android Q (10) the app instantly crashes _x000D_
_x000D_
_x000D_
  Error log details:_x000D_
     _x000D_
java lang RuntimeException Unable to start receiver com squareup queue QueueService BootReceiver: java lang SecurityException: getSerial: The user 10191 does not meet the requirements to access device identifiers  _x000D_
    ActivityThread java:3797 android app ActivityThread handleReceiver_x000D_
    ActivityThread java:219 android app ActivityThread access 1400_x000D_
    ActivityThread java:1870 android app ActivityThread H handleMessage_x000D_
    Handler java:107 android os Handler dispatchMessage_x000D_
    Looper java:214 android os Looper loop_x000D_
    ActivityThread java:7356 android app ActivityThread main_x000D_
    Method java: 2 java lang reflect Method invoke_x000D_
    RuntimeInit java:492 com android internal os RuntimeInit MethodAndArgsCaller run_x000D_
    ZygoteInit java:930 com android internal os ZygoteInit main_x000D_
_x000D_
_x000D_
Caused by: java lang SecurityException getSerial: The user 10191 does not meet the requirements to access device identifiers  _x000D_
    Parcel java:2071 android os Parcel createException_x000D_
    Parcel java:2039 android os Parcel readException_x000D_
    Parcel java:1987 android os Parcel readException_x000D_
    IDeviceIdentifiersPolicyService java:159 android os IDeviceIdentifiersPolicyService Stub Proxy getSerialForPackage_x000D_
    Build java:162 android os Build getSerial_x000D_
    AndroidModule java:234 com squareup util AndroidModule provideBuild_x000D_
    AndroidModule ProvideBuildFactory java:32 com squareup util AndroidModule ProvideBuildFactory proxyProvideBuild_x000D_
    AndroidModule ProvideBuildFactory java:23 com squareup util AndroidModule ProvideBuildFactory get_x000D_
    AndroidModule ProvideBuildFactory java:9 com squareup util AndroidModule ProvideBuildFactory get_x000D_
    CrashReportingLogger Factory java:86 com squareup log CrashReportingLogger Factory get_x000D_
    CrashReportingLogger Factory java:11 com squareup log CrashReportingLogger Factory get_x000D_
    DoubleCheck java:47 dagger internal DoubleCheck get_x000D_
    CommonAppModule Real ProvideForegroundServiceStarterFactory java:47 com squareup CommonAppModule Real ProvideForegroundServiceStarterFactory get_x000D_
    CommonAppModule Real ProvideForegroundServiceStarterFactory java:14 com squareup CommonAppModule Real ProvideForegroundServiceStarterFactory get_x000D_
    DoubleCheck java:47 dagger internal DoubleCheck get_x000D_
    QueueService Starter Factory java:27 com squareup queue QueueService Starter Factory get_x000D_
    QueueService Starter Factory java:9 com squareup queue QueueService Starter Factory get_x000D_
    DoubleCheck java:47 dagger internal DoubleCheck get_x000D_
    DaggerReaderSdkReleaseAppComponent java:4357 com squareup DaggerReaderSdkReleaseAppComponent injectBootReceiver_x000D_
    DaggerReaderSdkReleaseAppComponent java:4267 com squareup DaggerReaderSdkReleaseAppComponent inject_x000D_
    QueueService java:412 com squareup queue QueueService BootReceiver onReceive_x000D_
    ActivityThread java:3788 android app ActivityThread handleReceiver_x000D_
    ActivityThread java:219 android app ActivityThread access 1400_x000D_
    ActivityThread java:1870 android app ActivityThread H handleMessage_x000D_
    Handler java:107 android os Handler dispatchMessage_x000D_
    Looper java:214 android os Looper loop_x000D_
    ActivityThread java:7356 android app ActivityThread main_x000D_
    Method java: 2 java lang reflect Method invoke_x000D_
    RuntimeInit java:492 com android internal os RuntimeInit MethodAndArgsCaller run_x000D_
    ZygoteInit java:930 com android internal os ZygoteInit main_x000D_
     _x000D_
_x000D_
_x000D_
_x000D_
_x000D_
_x000D_
_x000D_
  Environment (please complete the following information):  _x000D_
_x000D_
    Platform: Pixel 2 XL on Android Q (10)   device_x000D_
    react native square reader sdk version: https:  github com square react native square reader sdk commit 98e75a0c3ca899f2f3aad7ee805597f65dec5fe5_x000D_
   Android SDK version:  1 3 2_x000D_
_x000D_
   _x000D_
React Native Environment Info:_x000D_
    System:_x000D_
      OS: macOS 10 14 4_x000D_
      CPU: (12) x64 Intel(R) Core(TM) i7 8750H CPU   2 20GHz_x000D_
      Memory: 20 69 MB   16 00 GB_x000D_
      Shell: 3 2 57    bin bash_x000D_
    Binaries:_x000D_
      Node: 8 12 0      nvm versions node v8 12 0 bin node_x000D_
      Yarn: 1 12 1    usr local bin yarn_x000D_
      npm: 6 4 1      nvm versions node v8 12 0 bin npm_x000D_
      Watchman: 4 9 0    usr local bin watchman_x000D_
    SDKs:_x000D_
      iOS SDK:_x000D_
        Platforms: iOS 12 4  macOS 10 14  tvOS 12 4  watchOS 5 3_x000D_
    IDEs:_x000D_
      Android Studio: 3 4 AI 183 6156 11 34 5692245_x000D_
      Xcode: 10 3 10G8    usr bin xcodebuild_x000D_
    npmPackages:_x000D_
      react: 16 8 3    16 8 3_x000D_
      react native: 0 59 9    0 59 9_x000D_
    npmGlobalPackages:_x000D_
      react native cli: 2 0 1_x000D_
   _x000D_
</t>
  </si>
  <si>
    <t>voxeet-voxeet-uxkit-android-4</t>
  </si>
  <si>
    <t>Crash when using camera on SDK levels &lt; 21</t>
  </si>
  <si>
    <t xml:space="preserve">  Describe the bug  _x000D_
_x000D_
Voxeet crashes when turning on video on sdk lower than 21 while readme on repo site states that 16  should be supported  Reproduced on multiple devices in sample app  Attached log from boot up of sample app to crash (Produced on Galaxy S3) _x000D_
 log txt (https:  github com voxeet android sdk toolkit files 3600787 log txt)_x000D_
_x000D_
_x000D_
  Steps to Reproduce the Problem  _x000D_
_x000D_
 1  Join conference _x000D_
 2  Turn on camera _x000D_
_x000D_
  Specifications  _x000D_
_x000D_
    Device: Samsung Galaxy S3 (GT I9300)  LG Nexus 4_x000D_
    OS: Android 4 3  4 4 4_x000D_
    Platform: Android_x000D_
    Version:_x000D_
       voxeetSdkVersion    2 0 49 14 _x000D_
</t>
  </si>
  <si>
    <t>react-native-svg-react-native-svg-1099</t>
  </si>
  <si>
    <t>Application keeps crashing when using svg with xlinkHref</t>
  </si>
  <si>
    <t xml:space="preserve">Everytime I try to import the following svg into the application it crashes and im forced to reinstall it  here s my svg code _x000D_
_x000D_
   javascript_x000D_
import React from  react  _x000D_
import Svg    Defs  LinearGradient  Stop  G  Path   from  react native svg _x000D_
_x000D_
const SvgComponent   (props)    (_x000D_
   Svg viewBox  0 0 340 24 340 22      props  _x000D_
     Defs _x000D_
       LinearGradient_x000D_
        id  prefix  a _x000D_
        x1   2188 73 _x000D_
        y1  3359 76 _x000D_
        x2   1447 38 _x000D_
        y2  3359 76 _x000D_
        gradientTransform  rotate(45 2934 26 4030 054) _x000D_
        gradientUnits  userSpaceOnUse  _x000D_
         Stop offset  0  stopColor   fff  stopOpacity  0    _x000D_
         Stop offset  1  stopColor   fff    _x000D_
        LinearGradient _x000D_
       LinearGradient_x000D_
        id  prefix  b _x000D_
        x1  223 69 _x000D_
        y1   43 81 _x000D_
        x2   0 53 _x000D_
        y2  180 41 _x000D_
        xlinkHref   prefix  a _x000D_
        _x000D_
       LinearGradient_x000D_
        id  prefix  c _x000D_
        x1  419 4 _x000D_
        y1   69 39 _x000D_
        x2  139 18 _x000D_
        y2  210 83 _x000D_
        xlinkHref   prefix  a _x000D_
        _x000D_
      Defs _x000D_
     G data name  Layer 2  _x000D_
       Path_x000D_
        d  M175 192 69a42 08 42 08 0 00 29 86 12 36l 99 99a139 82 139 82 0 0099 29 41 1h199 49l 140 140A42 13 42 13 0 00175 192 69z _x000D_
        transform  translate( 4 88  4 89) _x000D_
        fill  url( prefix  a) _x000D_
        _x000D_
       Path_x000D_
        d  M6 89 4 89l138 22 138 23a42 3 42 3 0 0059 79 0l98 98a139 74 139 74 0 00 98 2 40 23z _x000D_
        transform  translate( 4 88  4 89) _x000D_
        fill  url( prefix  b) _x000D_
        _x000D_
       Path_x000D_
        d  M175 155 48a42 08 42 08 0 01 29 86 12 36L6 89 4 89h 2v199 82A139 8 139 8 0 0046 303 91l 11 1 99 99a42 3 42 3 0 0159 79 0l140 140h 2V145 43A140 140 0 00303 91 46c  32  32  69  6 1  93l 98 98A42 13 42 13 0 01175 155 48z _x000D_
        transform  translate( 4 88  4 89) _x000D_
        fill  url( prefix  c) _x000D_
        _x000D_
      G _x000D_
    Svg _x000D_
) _x000D_
_x000D_
export default SvgComponent _x000D_
   _x000D_
_x000D_
I think the issue is related to   xlinkHref    beucase all the over svg s have worked so far but none had xlinkHref _x000D_
_x000D_
  metro config js  _x000D_
_x000D_
   javascript_x000D_
 const   getDefaultConfig     require( metro config ) _x000D_
_x000D_
module exports   (async ()     _x000D_
  const  _x000D_
    resolver:   sourceExts  assetExts   _x000D_
      await getDefaultConfig() _x000D_
  return  _x000D_
    transformer:  _x000D_
      babelTransformerPath: require resolve( react native svg transformer ) _x000D_
      _x000D_
    resolver:  _x000D_
      assetExts: assetExts filter((ext)    ext      svg ) _x000D_
      sourceExts:     sourceExts   svg   _x000D_
      _x000D_
    _x000D_
 )() _x000D_
   _x000D_
  Versions:  _x000D_
   _x000D_
     react :  16 8 6  _x000D_
     react native :  0 60 5  _x000D_
     react native svg :   9 9 3  _x000D_
     react native svg transformer :   0 13 0  _x000D_
   </t>
  </si>
  <si>
    <t>react-native-camera-react-native-camera-2479</t>
  </si>
  <si>
    <t>MLKit Text Recognition When Using Front Camera</t>
  </si>
  <si>
    <t xml:space="preserve">  Bug Report_x000D_
_x000D_
  To Do First  _x000D_
_x000D_
   x  Did you try latest release _x000D_
   x  Did you try master _x000D_
   x  Did you look for existing matching issues _x000D_
_x000D_
  Platforms  _x000D_
_x000D_
Android_x000D_
_x000D_
  Versions  _x000D_
_x000D_
  Android: 9_x000D_
  react native camera: 3 3 2_x000D_
  react native: 0 59 9_x000D_
  react: 16 8 3_x000D_
_x000D_
  Description Current Behaviour  _x000D_
_x000D_
The issue is when doing  rotateTextX  on  TextRecognizerAsyncTask  for a nested structure as:_x000D_
   _x000D_
 _x000D_
  type:  block  _x000D_
  bounds:  _x000D_
    size:  _x000D_
      height: 33 47142857142857 _x000D_
      width: 206 57142857142856_x000D_
      _x000D_
    origin:  _x000D_
      y: 86 27142857142857 _x000D_
      x: 76 28571428571428_x000D_
     _x000D_
    _x000D_
  value:  COURAGE  _x000D_
  components:   _x000D_
    type:  line  _x000D_
    bounds:  _x000D_
      size:  _x000D_
        height: 33 94285714285714 _x000D_
        width: 206 14285714285714_x000D_
        _x000D_
      origin:  _x000D_
        y: 85 8 _x000D_
        x: 76 28571428571428_x000D_
       _x000D_
      _x000D_
    value:  COURAGE  _x000D_
    components:   _x000D_
      type:  element  _x000D_
      bounds:  _x000D_
        size:  _x000D_
          height: 33 94285714285714 _x000D_
          width: 206 14285714285714_x000D_
          _x000D_
        origin:  _x000D_
          y: 85 8 _x000D_
          x: 76 28571428571428_x000D_
         _x000D_
        _x000D_
      value:  COURAGE _x000D_
      _x000D_
    _x000D_
 _x000D_
   _x000D_
_x000D_
Stack trace:_x000D_
   _x000D_
Fatal Exception: com facebook react bridge NoSuchKeyException_x000D_
components_x000D_
com facebook react bridge ReadableNativeMap getNullableValue (ReadableNativeMap java:137)_x000D_
com facebook react bridge ReadableNativeMap getNullableValue (ReadableNativeMap java:141)_x000D_
com facebook react bridge ReadableNativeMap getArray (ReadableNativeMap java:202)_x000D_
org reactnative camera tasks TextRecognizerAsyncTask rotateTextX (TextRecognizerAsyncTask java:235)_x000D_
org reactnative camera tasks TextRecognizerAsyncTask rotateTextX (TextRecognizerAsyncTask java:240)_x000D_
org reactnative camera tasks TextRecognizerAsyncTask rotateTextX (TextRecognizerAsyncTask java:240)_x000D_
org reactnative camera tasks TextRecognizerAsyncTask serializeEventData (TextRecognizerAsyncTask java:132)_x000D_
org reactnative camera tasks TextRecognizerAsyncTask access 200 (TextRecognizerAsyncTask java:27)_x000D_
org reactnative camera tasks TextRecognizerAsyncTask 2 onSuccess (TextRecognizerAsyncTask java:88)_x000D_
org reactnative camera tasks TextRecognizerAsyncTask 2 onSuccess (TextRecognizerAsyncTask java:84)_x000D_
com google android gms tasks zzn run (Unknown Source:4)_x000D_
android os Handler handleCallback (Handler java:883)_x000D_
android os Handler dispatchMessage (Handler java:100)_x000D_
android os Looper loop (Looper java:214)_x000D_
android app ActivityThread main (ActivityThread java:7356)_x000D_
java lang reflect Method invoke (Method java)_x000D_
com android internal os RuntimeInit MethodAndArgsCaller run (RuntimeInit java:492)_x000D_
com android internal os ZygoteInit main (ZygoteInit java:930)_x000D_
   _x000D_
_x000D_
  Expected Behaviour  _x000D_
_x000D_
When the nested element is of  type  element   skip the components computation _x000D_
_x000D_
  Steps to Reproduce  _x000D_
_x000D_
1  Set RNCamera with  type  RNCamera Constants Type front   and a callback for detecting text  onTextRecognized  this textRecognized   _x000D_
2  Show a text to the camera and it will crash _x000D_
_x000D_
  Additionals  _x000D_
_x000D_
Simply adding validation for type element should be enough _x000D_
</t>
  </si>
  <si>
    <t>Kunzisoft-Android-SwitchDateTimePicker-55</t>
  </si>
  <si>
    <t>App crashes on selecting year</t>
  </si>
  <si>
    <t>When I tried to change year app crashed_x000D_
Below is the crash log_x000D_
No virtual method setCurrentDate(Ljava util Date )V in class Lcom prolificinteractive materialcalendarview MaterialCalendarView  or its super classes (declaration of  com prolificinteractive materialcalendarview MaterialCalendarView  appears in  data app com jobsoid app ejgLntsf4277hMKSeTFgyA   base apk)</t>
  </si>
  <si>
    <t>opensrp-opensrp-client-reveal-431</t>
  </si>
  <si>
    <t>RVL-428 &amp; RVL-429 Namibia spray form validation issues</t>
  </si>
  <si>
    <t xml:space="preserve">There are a few issues with the Namibia spray form that are captured in 3 tickets in Jira  We need to fix these:_x000D_
_x000D_
RVL 428 https:  smartregister atlassian net browse RVL 428_x000D_
We have errors when trying to edit partially sprayed structures and fully sprayed structures _x000D_
_x000D_
Editing Spray Status of Partially Sprayed Structure:_x000D_
   x  No change in existing fields but adding a mop up: Can t save edited form_x000D_
   x  Change in existing fields without adding mop up: App crashes_x000D_
 Editing Spray Status of Fully Sprayed Structure:_x000D_
   x  The Save button doesn t work when you change values from the first visit  (i e  name of head of household) This is the case on both_x000D_
_x000D_
Steps to Reproduce:_x000D_
  Add a point_x000D_
  Complete the spray form with status partially sprayed_x000D_
  Click the form again and try to edit one of the fields from the first visit section _x000D_
  Tap Save and the save button works (because the spray _x000D_
_x000D_
_x000D_
RVL 429 https:  smartregister atlassian net browse RVL 429_x000D_
If there are unsprayed sprayable structures  user needs to specify breakdown by type of structure  Only those types are shown for which sprayable structures exist _x000D_
_x000D_
However  all such types are not showing up in the form when first filling it up  but only show up as errors when user tries to save the form _x000D_
</t>
  </si>
  <si>
    <t>SecUSo-privacy-friendly-food-tracker-64</t>
  </si>
  <si>
    <t>Update UI from the UI thread. Fixes: #54 #55 #58 #59</t>
  </si>
  <si>
    <t xml:space="preserve">This fixes the crash on the GenerateKeyActivity under Android 7 </t>
  </si>
  <si>
    <t>cgeo-cgeo-7824</t>
  </si>
  <si>
    <t>Map crashes on Android 10</t>
  </si>
  <si>
    <t xml:space="preserve">  Describe the bug:  _x000D_
I have a Google Pixel 3 xl running on Android 10  When I switch the map to Gmaps  cgeo crashes with a NoClassDefFound for Apaches Http Client class  _x000D_
I will try to analyze and fix this this evening  but I think it s a good idea to open the issue now  _x000D_
_x000D_
  To Reproduce:  _x000D_
On Android 10 use Gmaps as map provider  _x000D_
_x000D_
  Actual behavior state after performing these steps:  _x000D_
FC caused by a NoClassDefFound exception  _x000D_
_x000D_
  Expected behavior state after performing these steps:  _x000D_
The map showing gmaps  : )_x000D_
_x000D_
  Version of c:geo used:  _x000D_
2019 08 18_x000D_
_x000D_
  Is the problem reproducible:  _x000D_
Yes _x000D_
_x000D_
  System information:  _x000D_
   _x000D_
Device: Pixel 3 XL (crosshatch  google)_x000D_
Android version: 10_x000D_
Android build: QP1A 190711 020_x000D_
c:geo version: 2019 08 18_x000D_
Google Play services: enabled   19 0 56 (120400 262933554)_x000D_
Low power mode: inactive_x000D_
Compass capabilities: yes_x000D_
Rotation vector sensor: present_x000D_
Orientation sensor: present_x000D_
Magnetometer   Accelerometer sensor: present_x000D_
Direction sensor used: rotation vector_x000D_
Hide own found: false_x000D_
HW acceleration: enabled (default state)_x000D_
System language: de DE_x000D_
System date format: dd MM yy_x000D_
Debug mode active: no_x000D_
System internal c:geo dir:  data user 0 cgeo geocaching (12 3 GB free) internal_x000D_
User storage c:geo dir:  storage emulated 0 cgeo (12 3 GB free) external non removable_x000D_
Geocache data:  storage emulated 0 Android data cgeo geocaching files GeocacheData (12 3 GB free) external non removable_x000D_
Database:  data user 0 cgeo geocaching databases data (17 7 MB) on system internal storage_x000D_
Fine location permission: granted_x000D_
Write external storage permission: granted_x000D_
Geocaching sites enabled:_x000D_
   geocaching com: Logged in (Anmeldung OK)   PREMIUM_x000D_
Geocaching com date format: dd MMM yy_x000D_
Installed c:geo plugins:  none   _x000D_
_x000D_
_x000D_
</t>
  </si>
  <si>
    <t>square-react-native-square-reader-sdk-82</t>
  </si>
  <si>
    <t>Αndroid Q (10) crash</t>
  </si>
  <si>
    <t xml:space="preserve">    Describe the issue_x000D_
_x000D_
When I try to launch the app on Android Q (10) the app instantly crashes _x000D_
_x000D_
_x000D_
  Error log details:_x000D_
     _x000D_
  2019 09 07 04:46:52 364 1931 1931   E AndroidRuntime: FATAL EXCEPTION: main_x000D_
    Process: com myapp app android  PID: 1931_x000D_
    io reactivex exceptions OnErrorNotImplementedException: The exception was not handled due to missing onError handler in the subscribe() method call  Further reading: https:  github com ReactiveX RxJava wiki Error Handling   io reactivex exceptions OnErrorNotImplementedException: The exception was not handled due to missing onError handler in the subscribe() method call  Further reading: https:  github com ReactiveX RxJava wiki Error Handling   java lang IllegalArgumentException: Invalid primitive conversion from long to int_x000D_
        at io reactivex internal functions Functions OnErrorMissingConsumer accept(Functions java:704)_x000D_
        at io reactivex internal functions Functions OnErrorMissingConsumer accept(Functions java:701)_x000D_
        at io reactivex internal observers ConsumerSingleObserver onError(ConsumerSingleObserver java:46)_x000D_
        at io reactivex internal operators single SingleFlatMap SingleFlatMapCallback onError(SingleFlatMap java:90)_x000D_
        at io reactivex internal observers ResumeSingleObserver onError(ResumeSingleObserver java:51)_x000D_
        at io reactivex internal disposables EmptyDisposable error(EmptyDisposable java:78)_x000D_
        at io reactivex internal operators single SingleError subscribeActual(SingleError java:42)_x000D_
        at io reactivex Single subscribe(Single java:3438)_x000D_
        at io reactivex internal operators single SingleResumeNext ResumeMainSingleObserver onError(SingleResumeNext java:80)_x000D_
        at io reactivex internal operators single SingleMap MapSingleObserver onError(SingleMap java:69)_x000D_
        at io reactivex internal operators single SingleObserveOn ObserveOnSingleObserver run(SingleObserveOn java:79)_x000D_
        at io reactivex android schedulers HandlerScheduler ScheduledRunnable run(HandlerScheduler java:119)_x000D_
        at android os Handler handleCallback(Handler java:883)_x000D_
        at android os Handler dispatchMessage(Handler java:100)_x000D_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Caused by: io reactivex exceptions OnErrorNotImplementedException: The exception was not handled due to missing onError handler in the subscribe() method call  Further reading: https:  github com ReactiveX RxJava wiki Error Handling   java lang IllegalArgumentException: Invalid primitive conversion from long to int_x000D_
        at com squareup receiving ReceivedResponse Companion receiveFromRetrofit 2 2 apply(ReceivedResponse kt:167)_x000D_
        at com squareup receiving ReceivedResponse Companion receiveFromRetrofit 2 2 apply(ReceivedResponse kt:105)_x000D_
        at io reactivex internal operators single SingleResumeNext ResumeMainSingleObserver onError(SingleResumeNext java:73)_x000D_
        at io reactivex internal operators single SingleMap MapSingleObserver onError(SingleMap java:69) _x000D_
        at io reactivex internal operators single SingleObserveOn ObserveOnSingleObserver run(SingleObserveOn java:79) _x000D_
        at io reactivex android schedulers HandlerScheduler ScheduledRunnable run(HandlerScheduler java:119) _x000D_
        at android os Handler handleCallback(Handler java:883) _x000D_
        at android os Handler dispatchMessage(Handler java:100) _x000D_
        at android os Looper loop(Looper java:214) _x000D_
        at android app ActivityThread main(ActivityThread java:7356) _x000D_
        at java lang reflect Method invoke(Native Method) _x000D_
        at com android internal os RuntimeInit MethodAndArgsCaller run(RuntimeInit java:492) _x000D_
        at com android internal os ZygoteInit main(ZygoteInit java:930) _x000D_
     Caused by: java lang IllegalArgumentException: Invalid primitive conversion from long to int_x000D_
        at java lang reflect Field getInt(Native Method)_x000D_
        at com squareup util Telephony  init (Telephony java:30)_x000D_
        at com squareup util Telephony Factory get(Telephony Factory java:21)_x000D_
        at com squareup util Telephony Factory get(Telephony Factory java:8)_x000D_
        at com squareup util AndroidModule ProvideNetworkTypeFactory get(AndroidModule ProvideNetworkTypeFactory java:21)_x000D_
        at com squareup util AndroidModule ProvideNetworkTypeFactory get(AndroidModule ProvideNetworkTypeFactory java:8)_x000D_
        at dagger internal DoubleCheck get(DoubleCheck java:47)_x000D_
        at com squareup server RegisterHttpInterceptor intercept(RegisterHttpInterceptor java:42)_x000D_
        at shadow okhttp3 internal http RealInterceptorChain proceed(RealInterceptorChain java:147)_x000D_
        at shadow okhttp3 internal http RealInterceptorChain proceed(RealInterceptorChain java:121)_x000D_
        at com squareup server UrlRedirectInterceptor intercept(UrlRedirectInterceptor java:40)_x000D_
        at shadow okhttp3 internal http RealInterceptorChain proceed(RealInterceptorChain java:147)_x000D_
2019 09 07 04:46:52 364 1931 1931   E AndroidRuntime:     at shadow okhttp3 internal http RealInterceptorChain proceed(RealInterceptorChain java:121)_x000D_
        at com squareup server ProfilingInterceptor intercept(ProfilingInterceptor java:24)_x000D_
        at shadow okhttp3 internal http RealInterceptorChain proceed(RealInterceptorChain java:147)_x000D_
        at shadow okhttp3 internal http RealInterceptorChain proceed(RealInterceptorChain java:121)_x000D_
        at com squareup http GzipRequestInterceptor intercept(GzipRequestInterceptor java:32)_x000D_
        at shadow okhttp3 internal http RealInterceptorChain proceed(RealInterceptorChain java:147)_x000D_
        at shadow okhttp3 internal http RealInterceptorChain proceed(RealInterceptorChain java:121)_x000D_
        at shadow okhttp3 RealCall getResponseWithInterceptorChain(RealCall java:254)_x000D_
        at shadow okhttp3 RealCall execute(RealCall java:92)_x000D_
        at shadow retrofit2 OkHttpCall execute(OkHttpCall java:186)_x000D_
        at shadow retrofit2 adapter rxjava2 CallExecuteObservable subscribeActual(CallExecuteObservable java:45)_x000D_
        at io reactivex Observable subscribe(Observable java:12090)_x000D_
        at shadow retrofit2 adapter rxjava2 BodyObservable subscribeActual(BodyObservable java:34)_x000D_
        at io reactivex Observable subscribe(Observable java:12090)_x000D_
        at io reactivex internal operators observable ObservableSubscribeOn SubscribeTask run(ObservableSubscribeOn java:96)_x000D_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java:919)_x000D_
2019 09 07 04:46:52 435 1282 1871   E InputDispatcher: channel  91ada36 com myapp app android com myapp app android MainActivity (server)    Channel is unrecoverably broken and will be disposed _x000D_
2019 09 07 04:47:00 584 2087 2087   E roid apps turb: Not starting debugger since process cannot load the jdwp agent _x000D_
_x000D_
     _x000D_
_x000D_
_x000D_
    To Reproduce_x000D_
_x000D_
    Run any app that contains the SDK on Android Q (10) (API 29)_x000D_
_x000D_
_x000D_
_x000D_
    Expected behavior_x000D_
_x000D_
_x000D_
  Environment (please complete the following information):  _x000D_
_x000D_
    platform: Android 10 device_x000D_
    Reader SDK version: https:  github com square react native square reader sdk commit 98e75a0c3ca899f2f3aad7ee805597f65dec5fe5_x000D_
_x000D_
   _x000D_
React Native Environment Info:_x000D_
    System:_x000D_
      OS: macOS 10 14 4_x000D_
      CPU: (12) x64 Intel(R) Core(TM) i7 8750H CPU   2 20GHz_x000D_
      Memory: 20 69 MB   16 00 GB_x000D_
      Shell: 3 2 57    bin bash_x000D_
    Binaries:_x000D_
      Node: 8 12 0      nvm versions node v8 12 0 bin node_x000D_
      Yarn: 1 12 1    usr local bin yarn_x000D_
      npm: 6 4 1      nvm versions node v8 12 0 bin npm_x000D_
      Watchman: 4 9 0    usr local bin watchman_x000D_
    SDKs:_x000D_
      iOS SDK:_x000D_
        Platforms: iOS 12 4  macOS 10 14  tvOS 12 4  watchOS 5 3_x000D_
    IDEs:_x000D_
      Android Studio: 3 4 AI 183 6156 11 34 5692245_x000D_
      Xcode: 10 3 10G8    usr bin xcodebuild_x000D_
    npmPackages:_x000D_
      react: 16 8 3    16 8 3_x000D_
      react native: 0 59 9    0 59 9_x000D_
    npmGlobalPackages:_x000D_
      react native cli: 2 0 1_x000D_
   _x000D_
</t>
  </si>
  <si>
    <t>material-components-material-components-android-572</t>
  </si>
  <si>
    <t>Catalog App: Shape Theming Demo is Crashing</t>
  </si>
  <si>
    <t xml:space="preserve">  Description:   The  Shape Theming  demo in the Catalog App  in the latest release  is crashing  Both the main demo and additional demos are crashing _x000D_
_x000D_
  Source code:   I ve tried compiling from source and the APK from the release assets as well  Both has the issue _x000D_
_x000D_
  Android API version:   Android 9 0_x000D_
_x000D_
  Material Library version:    1 1 0 alpha10_x000D_
_x000D_
  Device:   Nokia 6 1 Plus_x000D_
</t>
  </si>
  <si>
    <t>nextcloud-android-4476</t>
  </si>
  <si>
    <t>Crash on Huawei Mediapad M5 after login</t>
  </si>
  <si>
    <t xml:space="preserve">    Actual behaviour_x000D_
  Client crashes on File listing right after first login  Unusable after that _x000D_
_x000D_
    Expected behaviour_x000D_
  File view_x000D_
 _x000D_
    Steps to reproduce_x000D_
1  Start App_x000D_
2  Login_x000D_
3  Crash_x000D_
_x000D_
_x000D_
    Environment data_x000D_
Android version: 8_x000D_
_x000D_
Device model: Huawei M5_x000D_
_x000D_
Stock or customized system: Stock  unrooted_x000D_
_x000D_
Nextcloud app version: 3 8 0 RC4_x000D_
_x000D_
Nextcloud server version: 16 0 4_x000D_
_x000D_
    Logs_x000D_
     Web server error log_x000D_
   _x000D_
Insert your webserver log here_x000D_
   _x000D_
_x000D_
     Nextcloud log (data nextcloud log)_x000D_
   _x000D_
             CAUSE OF ERROR             _x000D_
_x000D_
java lang RuntimeException: Error receiving broadcast Intent   act com owncloud android operations RefreshFolderOperation EVENT SINGLE FOLDER CONTENTS SYNCED flg 0x2010 pkg com nextcloud client (has extras)   in com owncloud android ui activity FileDisplayActivity SyncBroadcastReceiver 6170706_x000D_
	at android app LoadedApk ReceiverDispatcher Args lambda getRunnable 0(LoadedApk java:1533)_x000D_
	at android app    Lambda LoadedApk ReceiverDispatcher Args  BumDX2UKsnxLVrE6UJsJZkotuA run(Unknown Source:2)_x000D_
	at android os Handler handleCallback(Handler java:891)_x000D_
	at android os Handler dispatchMessage(Handler java:102)_x000D_
	at android os Looper loop(Looper java:207)_x000D_
	at android app ActivityThread main(ActivityThread java:7539)_x000D_
	at java lang reflect Method invoke(Native Method)_x000D_
	at com android internal os RuntimeInit MethodAndArgsCaller run(RuntimeInit java:524)_x000D_
	at com android internal os ZygoteInit main(ZygoteInit java:958)_x000D_
Caused by: java lang SecurityException: Permission Denial: unbroadcastIntent() from pid 10511  uid 1110183 requires android permission BROADCAST STICKY_x000D_
	at android os Parcel createException(Parcel java:1953)_x000D_
	at android os Parcel readException(Parcel java:1921)_x000D_
	at android os Parcel readException(Parcel java:1871)_x000D_
	at android app IActivityManager Stub Proxy unbroadcastIntent(IActivityManager java:3873)_x000D_
	at android app ContextImpl removeStickyBroadcast(ContextImpl java:1552)_x000D_
	at android content ContextWrapper removeStickyBroadcast(ContextWrapper java:588)_x000D_
	at com owncloud android ui activity FileDisplayActivity SyncBroadcastReceiver onReceive(FileDisplayActivity java:1454)_x000D_
	at android app LoadedApk ReceiverDispatcher Args lambda getRunnable 0(LoadedApk java:1520)_x000D_
	    8 more_x000D_
_x000D_
             APP INFORMATION             _x000D_
ID: com nextcloud client_x000D_
Version: 30080054_x000D_
Build flavor: gplay_x000D_
_x000D_
             DEVICE INFORMATION             _x000D_
Brand: HUAWEI_x000D_
Device: HWCMR09_x000D_
Model: CMR W09_x000D_
Id: HUAWEICMR W09_x000D_
Product: CMR W09_x000D_
_x000D_
             FIRMWARE             _x000D_
SDK: 28_x000D_
Release: 9_x000D_
Incremental: 190C432R1_x000D_
   _x000D_
</t>
  </si>
  <si>
    <t>fossasia-neurolab-android-458</t>
  </si>
  <si>
    <t>Settings screen issue</t>
  </si>
  <si>
    <t xml:space="preserve">  Describe the bug  _x000D_
When the setting screen operated in landscape mode the config fragment kind of collapses _x000D_
_x000D_
  Expected Behavior  _x000D_
The bug must be removed for better user experience _x000D_
_x000D_
  Steps to reproduce it  _x000D_
    Add steps to reproduce the bug    _x000D_
_x000D_
  LogCat for the issue  _x000D_
    Provide logs for the crash here    _x000D_
_x000D_
  Screenshots of the issue  _x000D_
https:  drive google com file d 1jXshJfR 9 CVH3jrAxF7PZWP7Hj3JHtH view usp sharing_x000D_
_x000D_
  System Information  _x000D_
 table _x000D_
 tr _x000D_
   td Device  td  td e g  Mi Note 3  td _x000D_
  tr _x000D_
 tr _x000D_
   td Android version OS  td  td eg: Marshmello   td _x000D_
  tr _x000D_
  table _x000D_
_x000D_
  Would you like to work on the issue   _x000D_
Yes I would like to work_x000D_
</t>
  </si>
  <si>
    <t>fossasia-neurolab-android-457</t>
  </si>
  <si>
    <t>Settings Screen Issue</t>
  </si>
  <si>
    <t xml:space="preserve">  Describe the bug  _x000D_
     When the settings screen operated in landsape mode  the config fragment kind of collapses     _x000D_
_x000D_
  Expected Behavior  _x000D_
     The bug described must be removed or the app should be used in potrait mode   _x000D_
_x000D_
  Steps to reproduce it  _x000D_
    Add steps to reproduce the bug    _x000D_
_x000D_
  LogCat for the issue  _x000D_
    Provide logs for the crash here    _x000D_
_x000D_
  Screenshots of the issue  _x000D_
    Where ever possible add a screenshot of the issue  Use   img src  https:  drive google com file d 1jXshJfR 9 CVH3jrAxF7PZWP7Hj3JHtH view usp sharing  width 200     tag   _x000D_
_x000D_
  System Information  _x000D_
 table _x000D_
 tr _x000D_
   td Device  td  td e g  Moto G5 Plus  td _x000D_
  tr _x000D_
 tr _x000D_
   td Android version OS  td  td eg: Oreo 8 1  td _x000D_
  tr _x000D_
  table _x000D_
_x000D_
  Would you like to work on the issue   _x000D_
      I want to work    _x000D_
</t>
  </si>
  <si>
    <t>opensrp-opensrp-client-giz-malawi-88</t>
  </si>
  <si>
    <t>When BCG Repeated Dose is undone, the app crashes</t>
  </si>
  <si>
    <t xml:space="preserve">  Just give BCG on a kid over 6 weeks and when the BCG scar dialog shows up  click on  No Scar   Click  Create Reminder _x000D_
  Give the   BCG Repeated Dose   and later undo it_x000D_
  Undo the   BCG Dose  _x000D_
  Go to the register page_x000D_
  Go back to the child_x000D_
  Give the   BCG Dose   again and try going to the register page_x000D_
_x000D_
The app starts crashing at this point_x000D_
</t>
  </si>
  <si>
    <t>nextcloud-android-4471</t>
  </si>
  <si>
    <t>Random crashes from app</t>
  </si>
  <si>
    <t xml:space="preserve">    Actual behaviour_x000D_
  Nextcloud pops up and says it crashed  even when I m not using it  The app wants me to report  so I will in case it helps_x000D_
_x000D_
    Expected behaviour_x000D_
  It should not _x000D_
 _x000D_
    Steps to reproduce_x000D_
 _x000D_
I m not sure  it pops up randomly_x000D_
_x000D_
_x000D_
    Environment data_x000D_
Android version:_x000D_
_x000D_
Device model: Xiaomi mi 8_x000D_
_x000D_
Stock or customized system: Lineage OS 16_x000D_
_x000D_
   _x000D_
             CAUSE OF ERROR             _x000D_
_x000D_
java lang NoClassDefFoundError: Failed resolution of: Lcom google firebase analytics connector AnalyticsConnector _x000D_
	at com google firebase messaging MessagingAnalytics zza(Unknown Source:68)_x000D_
	at com google firebase messaging MessagingAnalytics logNotificationReceived(Unknown Source:2)_x000D_
	at com google firebase messaging FirebaseMessagingService zzd(Unknown Source:50)_x000D_
	at com google firebase iid zzg run(Unknown Source:4)_x000D_
	at java util concurrent ThreadPoolExecutor runWorker(ThreadPoolExecutor java:1167)_x000D_
	at java util concurrent ThreadPoolExecutor Worker run(ThreadPoolExecutor java:641)_x000D_
	at com google android gms common util concurrent zza run(Unknown Source:7)_x000D_
	at java lang Thread run(Thread java:764)_x000D_
Caused by: java lang ClassNotFoundException: Didn t find class  com google firebase analytics connector AnalyticsConnector  on path: DexPathList  zip file   system framework org apache http legacy boot jar   zip file   data app com nextcloud client 1 VWsCpT7mrjBLi Ctcnqg   base apk   nativeLibraryDirectories   data app com nextcloud client 1 VWsCpT7mrjBLi Ctcnqg   lib arm64   data app com nextcloud client 1 VWsCpT7mrjBLi Ctcnqg   base apk  lib arm64 v8a   system lib64   vendor lib64  _x000D_
	at dalvik system BaseDexClassLoader findClass(BaseDexClassLoader java:134)_x000D_
	at java lang ClassLoader loadClass(ClassLoader java:379)_x000D_
	at java lang ClassLoader loadClass(ClassLoader java:312)_x000D_
	    8 more_x000D_
_x000D_
             APP INFORMATION             _x000D_
ID: com nextcloud client_x000D_
Version: 30080053_x000D_
Build flavor: gplay_x000D_
_x000D_
             DEVICE INFORMATION             _x000D_
Brand: Xiaomi_x000D_
Device: dipper_x000D_
Model: MI 8_x000D_
Id: PQ3A 190801 002_x000D_
Product: dipper_x000D_
_x000D_
             FIRMWARE             _x000D_
SDK: 28_x000D_
Release: 9_x000D_
Incremental: eng root 20190817 084025_x000D_
_x000D_
_x000D_
   _x000D_
</t>
  </si>
  <si>
    <t>opensrp-opensrp-client-reveal-423</t>
  </si>
  <si>
    <t xml:space="preserve">Fix App Crashes </t>
  </si>
  <si>
    <t>https:  smartregister atlassian net browse RVL 390 _x000D_
_x000D_
The crash is logged on Fabric_x000D_
_x000D_
 https:  fabric io ona systems android apps org smartregister reveal issues f550e893754be8a56d957c0ff41de978</t>
  </si>
  <si>
    <t>JavaCafe01-PdfViewer-41</t>
  </si>
  <si>
    <t>Application crashes on Android 10.</t>
  </si>
  <si>
    <t xml:space="preserve">    Issue Summary_x000D_
_x000D_
Application crashes on Android 10 _x000D_
_x000D_
    Steps to Reproduce the Problem_x000D_
_x000D_
As soon as you try to use the file picker the application crashes  If you try to open a PDF from another program s action it crashes  Uninstalled and reinstalled to no effect _x000D_
_x000D_
    Specifications_x000D_
_x000D_
    App Version: 3 1 via F Droid_x000D_
    Android Version: 10_x000D_
</t>
  </si>
  <si>
    <t>niccokunzmann-mundraub-android-293</t>
  </si>
  <si>
    <t>Own Plants on the map are not updated</t>
  </si>
  <si>
    <t xml:space="preserve">     If you report an app crash  please attach the eu quelltext mundraub log txt file_x000D_
     from the root of your phone s file system     _x000D_
_x000D_
The own plants are not updated  even if the map is reloaded _x000D_
</t>
  </si>
  <si>
    <t>ehwlfk2-Wegloo-67</t>
  </si>
  <si>
    <t xml:space="preserve">Catch Crash 관련 </t>
  </si>
  <si>
    <t xml:space="preserve">              firebase          _x000D_
To do:_x000D_
   1  JAVA file : _x000D_
   2  layout file : x_x000D_
   3  Do it :  firebase catch crash   _x000D_
_x000D_
etc:_x000D_
</t>
  </si>
  <si>
    <t>SkyTubeTeam-SkyTube-548</t>
  </si>
  <si>
    <t>App crashes when pressing the search button and trying to use it</t>
  </si>
  <si>
    <t>Hello  I d like to report a problem on Skytube Extra that I have since v2 963 _x000D_
When I press the search button after the app started up  it always immediately crashes with a dialog saying  Unfortunately  SkyTube Extra has sopped    _x000D_
My phone is Xperia V LT25i (AX) and Android version is 4 3  please help _x000D_
_x000D_
Log file is attached here _x000D_
 Log 2019 09 05 08 05 55 csv txt (https:  github com ram on SkyTube files 3576872 Log 2019 09 05 08 05 55 csv txt)</t>
  </si>
  <si>
    <t>material-components-material-components-android-565</t>
  </si>
  <si>
    <t>[TextView, FloatingActionButton] App crashes when colorAccent not specified</t>
  </si>
  <si>
    <t>I switched one of my apps to  com google android material:material:1 1 0 alpha09  and updated the styles  However  the app started to crash when I removed this from my styles xml:_x000D_
   _x000D_
 item name  colorAccent   color colorAccent  item _x000D_
   _x000D_
_x000D_
As per the logcat  I realized that this code was making it crash:_x000D_
   _x000D_
 com google android material floatingactionbutton FloatingActionButton_x000D_
        android:id    id fab _x000D_
        android:layout width  wrap content _x000D_
        android:layout height  wrap content _x000D_
        android:layout gravity  bottom end _x000D_
        android:layout margin   dimen fab margin _x000D_
        app:srcCompat   android:drawable stat sys data bluetooth   _x000D_
   _x000D_
_x000D_
And also  this code (I commented the above code to test each component):_x000D_
   _x000D_
 TextView_x000D_
    android:id    id tvStatus _x000D_
    android:visibility  gone _x000D_
    android:layout width  match parent _x000D_
    android:layout height  match parent _x000D_
    android:gravity  center    _x000D_
   _x000D_
I understand that I m supposed to use MaterialTextView  However  using material should not break my old TextView s  Also  I think the reason FAB crashes is because there are references to colorAccent within it s codebase  Here s my logcat partial dump if it would help:_x000D_
   _x000D_
          beginning of crash_x000D_
09 04 19:55:29 750 20113 20113 com acme E AndroidRuntime: FATAL EXCEPTION: main_x000D_
Process: com acme  PID: 20113_x000D_
java lang RuntimeException: Unable to start activity ComponentInfo com acme com acme MainActivity : java lang UnsupportedOperationException: Failed to resolve attribute at index 6: TypedValue t 0x2 d 0x101009b a 1 _x000D_
    at android app ActivityThread performLaunchActivity(ActivityThread java:2452)_x000D_
    at android app ActivityThread handleLaunchActivity(ActivityThread java:2535)_x000D_
    at android app ActivityThread access 900(ActivityThread java:155)_x000D_
    at android app ActivityThread H handleMessage(ActivityThread java:1380)_x000D_
    at android os Handler dispatchMessage(Handler java:102)_x000D_
    at android os Looper loop(Looper java:152)_x000D_
    at android app ActivityThread main(ActivityThread java:5497)_x000D_
    at java lang reflect Method invoke(Native Method)_x000D_
    at com android internal os ZygoteInit MethodAndArgsCaller run(ZygoteInit java:726)_x000D_
    at com android internal os ZygoteInit main(ZygoteInit java:616)_x000D_
 Caused by: java lang UnsupportedOperationException: Failed to resolve attribute at index 6: TypedValue t 0x2 d 0x101009b a 1 _x000D_
    at android content res TypedArray getColorStateList(TypedArray java:482)_x000D_
    at android widget TextView  init (TextView java:753)_x000D_
    at android widget TextView  init (TextView java:674)_x000D_
    at android widget TextView  init (TextView java:670)_x000D_
    at android widget TextView  init (TextView java:666)_x000D_
    at android widget Toolbar setTitle(Toolbar java:590)_x000D_
    at com android internal widget ToolbarWidgetWrapper setTitleInt(ToolbarWidgetWrapper java:262)_x000D_
    at com android internal widget ToolbarWidgetWrapper setWindowTitle(ToolbarWidgetWrapper java:244)_x000D_
    at com android internal widget ActionBarOverlayLayout setWindowTitle(ActionBarOverlayLayout java:669)_x000D_
    at com android internal policy PhoneWindow setTitle(PhoneWindow java:504)_x000D_
    at android app Activity onTitleChanged(Activity java:5370)_x000D_
    at android app Activity onPostCreate(Activity java:1114)_x000D_
    at android app Instrumentation callActivityOnPostCreate(Instrumentation java:1210)_x000D_
    at android app ActivityThread performLaunchActivity(ActivityThread java:2434)_x000D_
    at android app ActivityThread handleLaunchActivity(ActivityThread java:2535) _x000D_
    at android app ActivityThread access 900(ActivityThread java:155) _x000D_
    at android app ActivityThread H handleMessage(ActivityThread java:1380) _x000D_
    at android os Handler dispatchMessage(Handler java:102) _x000D_
    at android os Looper loop(Looper java:152) _x000D_
    at android app ActivityThread main(ActivityThread java:5497) _x000D_
    at java lang reflect Method invoke(Native Method) _x000D_
    at com android internal os ZygoteInit MethodAndArgsCaller run(ZygoteInit java:726) _x000D_
    at com android internal os ZygoteInit main(ZygoteInit java:616) _x000D_
   _x000D_
_x000D_
  Android API version:   API 19_x000D_
_x000D_
  Material Library version:   1 1 0 alpha09_x000D_
_x000D_
  Device:   OnePlus 2</t>
  </si>
  <si>
    <t>nextcloud-android-library-336</t>
  </si>
  <si>
    <t>Library crashes at authorization using Android 9</t>
  </si>
  <si>
    <t xml:space="preserve">After I updated my project to Android 9 (API 28) the library no longer works as it crashes_x000D_
due to a class not being to load NTLMScheme_x000D_
_x000D_
I have included the legacy library in the project_x000D_
_x000D_
  useLibrary  org apache http legacy  _x000D_
_x000D_
other clouds (Google Drive api  Dropbox api etc) depending on this library work OK  it s just the authorization that does not work _x000D_
_x000D_
I checked the contents of the legacy  jar and see the class is inside that  jar  but  seems at a different path  Any ide how to fix this _x000D_
_x000D_
   _x000D_
     Caused by: java lang NoClassDefFoundError: org apache commons httpclient auth NTLMScheme_x000D_
        at org apache commons httpclient auth AuthPolicy class (AuthPolicy java:100)_x000D_
        at org apache commons httpclient auth AuthPolicy  clinit (AuthPolicy java:100)_x000D_
        at org apache commons httpclient auth AuthPolicy getAuthScheme(Unknown Source:0)_x000D_
        at org apache commons httpclient auth AuthState setPreemptive(AuthState java:122)_x000D_
        at org apache commons httpclient HttpMethodDirector executeMethod(HttpMethodDirector java:162)_x000D_
        at org apache commons httpclient HttpClient executeMethod(HttpClient java:397)_x000D_
        at org apache commons httpclient HttpClient executeMethod(HttpClient java:323)_x000D_
        at com owncloud android lib common OwnCloudClient executeMethod(OwnCloudClient java:222)_x000D_
        at com owncloud android lib common OwnCloudClient executeMethod(OwnCloudClient java:192)_x000D_
        at com owncloud android lib resources files ExistenceCheckRemoteOperation run(ExistenceCheckRemoteOperation java:91)_x000D_
        at com owncloud android lib common operations RemoteOperation execute(RemoteOperation java:136)_x000D_
   </t>
  </si>
  <si>
    <t>material-components-material-components-android-561</t>
  </si>
  <si>
    <t>[TextInputLayout] TextInputLayout with AutoCompleteTextView makes app crash on recreate</t>
  </si>
  <si>
    <t xml:space="preserve">When opening a  PopupWindow  using an  AutoCompleteTextView  inside a  TextInputLayout  and rotating the device afterwards (therefore recreating the activity)  the application crashes  This is because showing  PopupWindow s is not possible before the activity is visible  however  in its  onRestoreInstanceState  implementation the  TextInputLayout  calls  endIconView performClick()  and makes the  AutoCompleteTextView  try to re open the popup (which is the expected behaviour  but done too early) _x000D_
_x000D_
  Android API version:   28_x000D_
  Material Library version:   1 1 0 alpha09_x000D_
  Device:   Google Pixel 2_x000D_
    StackTrace_x000D_
   _x000D_
Caused by: android view WindowManager BadTokenException: Unable to add window    token null is not valid  is your activity running _x000D_
	at android view ViewRootImpl setView(ViewRootImpl java:765)_x000D_
	at android view WindowManagerGlobal addView(WindowManagerGlobal java:356)_x000D_
	at android view WindowManagerImpl addView(WindowManagerImpl java:93)_x000D_
	at android widget PopupWindow invokePopup(PopupWindow java:1433)_x000D_
	at android widget PopupWindow showAsDropDown(PopupWindow java:1284)_x000D_
	at android widget ListPopupWindow show(ListPopupWindow java:695)_x000D_
	at android widget AutoCompleteTextView showDropDown(AutoCompleteTextView java:1217)_x000D_
	at com google android material textfield DropdownMenuEndIconDelegate showHideDropdown(DropdownMenuEndIconDelegate java:234)_x000D_
	at com google android material textfield DropdownMenuEndIconDelegate access 400(DropdownMenuEndIconDelegate java:62)_x000D_
	at com google android material textfield DropdownMenuEndIconDelegate 4 onClick(DropdownMenuEndIconDelegate java:198)_x000D_
	at android view View performClick(View java:6294)_x000D_
	at com google android material textfield TextInputLayout onRestoreInstanceState(TextInputLayout java:2043)_x000D_
	at android view View dispatchRestoreInstanceState(View java:17706)_x000D_
	at android view ViewGroup dispatchRestoreInstanceState(ViewGroup java:3745)_x000D_
	at com google android material textfield TextInputLayout dispatchRestoreInstanceState(TextInputLayout java:2053)_x000D_
	at android view ViewGroup dispatchRestoreInstanceState(ViewGroup java:3751)_x000D_
	at android view ViewGroup dispatchRestoreInstanceState(ViewGroup java:3751)_x000D_
	at android view ViewGroup dispatchRestoreInstanceState(ViewGroup java:3751)_x000D_
	at android view ViewGroup dispatchRestoreInstanceState(ViewGroup java:3751)_x000D_
	at android view ViewGroup dispatchRestoreInstanceState(ViewGroup java:3751)_x000D_
	at android view ViewGroup dispatchRestoreInstanceState(ViewGroup java:3751)_x000D_
	at android view View restoreHierarchyState(View java:17684)_x000D_
	at com android internal policy PhoneWindow restoreHierarchyState(PhoneWindow java:2131)_x000D_
	at android app Activity onRestoreInstanceState(Activity java:1102)_x000D_
	at android app Activity performRestoreInstanceState(Activity java:1057)_x000D_
	at android app Instrumentation callActivityOnRestoreInstanceState(Instrumentation java:1260)_x000D_
	at android app ActivityThread performLaunchActivity(ActivityThread java:2751)_x000D_
	at android app ActivityThread handleLaunchActivity(ActivityThread java:2856)_x000D_
	at android app ActivityThread handleRelaunchActivity(ActivityThread java:4699)_x000D_
	at android app ActivityThread  wrap18(Unknown Source:0)_x000D_
	at android app ActivityThread H handleMessage(ActivityThread java:1595)_x000D_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t>
  </si>
  <si>
    <t>CleverTap-clevertap-android-sdk-33</t>
  </si>
  <si>
    <t>Null Pointer Exception on DeviceInfo.java on sdk version 3.5.1</t>
  </si>
  <si>
    <t xml:space="preserve">The Logs for the crash is as:_x000D_
_x000D_
   _x000D_
Caused by java lang NullPointerExceptionAttempt to invoke virtual method  void c g a a ac e(java lang String  java lang String)  on a null object reference Raw Text_x000D_
  _x000D_
    com clevertap android sdk DeviceInfo initDeviceID   98 (DeviceInfo java:98)_x000D_
    com clevertap android sdk DeviceInfo  init    54 (DeviceInfo java:54)_x000D_
    com clevertap android sdk CleverTapAPI  init    241 (CleverTapAPI java:241)_x000D_
    com clevertap android sdk CleverTapAPI instanceWithConfig   565 (CleverTapAPI java:565)_x000D_
    com clevertap android sdk CleverTapAPI instanceWithConfig   542 (CleverTapAPI java:542)_x000D_
    com clevertap android sdk CTInAppBasePartialFragment generateListener   25 (CTInAppBasePartialFragment java:25)_x000D_
    com clevertap android sdk CTInAppBaseFragment onAttach   63 (CTInAppBaseFragment java:63)_x000D_
    android app Fragment onAttach   1484 (Fragment java:1484)_x000D_
    androidx appcompat app AppCompatActivity onCreate   85 (AppCompatActivity java:85)_x000D_
    com railyatri in mobile BaseParentActivity onCreate   77 (BaseParentActivity java:77)_x000D_
_x000D_
   _x000D_
</t>
  </si>
  <si>
    <t>niccokunzmann-mundraub-android-289</t>
  </si>
  <si>
    <t>Satellite images not showing up</t>
  </si>
  <si>
    <t xml:space="preserve">     If you report an app crash  please attach the eu quelltext mundraub log txt file_x000D_
     from the root of your phone s file system     _x000D_
_x000D_
At the moment  on my device  Android 9  the Satellite images are not showing up _x000D_
</t>
  </si>
  <si>
    <t>Tencent-tinker-1211</t>
  </si>
  <si>
    <t>按照demo集成 报错Tinker Exception:you must install tinker before get tinker sInstance</t>
  </si>
  <si>
    <t xml:space="preserve">     app     _x000D_
_x000D_
       P9plus_x000D_
_x000D_
        Android 8 0_x000D_
_x000D_
tinker   1 9 13_x000D_
_x000D_
gradle   3 1 4_x000D_
_x000D_
TINKERPATCH VERSION 1 2 13_x000D_
_x000D_
       SDK  TinkerPatch SDK _x000D_
_x000D_
   windows_x000D_
_x000D_
  easy sample                                 demo    _x000D_
   if (BuildConfig TINKER ENABLE)  _x000D_
                             registerActivityLifecycleCallbacks         3           _x000D_
                TinkerPatch init(this)_x000D_
                         reflectPatchLibrary()_x000D_
                         setPatchRollbackOnScreenOff(true)_x000D_
                         setPatchRestartOnSrceenOff(true)_x000D_
                         fetchPatchUpdate(true)_x000D_
                         setFetchPatchIntervalByHours(1) _x000D_
_x000D_
                            _x000D_
                LogUtil e(TAG   current patch version is     TinkerPatch with() getPatchVersion()) _x000D_
_x000D_
                    3                handler       _x000D_
                  TinkerPatch with() fetchPatchUpdateAndPollWithInterval() _x000D_
             _x000D_
          catch (Exception e)  _x000D_
            e printStackTrace() _x000D_
         _x000D_
  : _x000D_
 2019 09 03 10:46:31 273 29682 29682 abc D Tinker DefaultAppLike: onTrimMemory level:20_x000D_
2019 09 03 10:46:35 085 29913 29913   W Tinker TinkerLoader: tryLoadPatchFiles:patch info not exist: data user 0 abc tinker patch info_x000D_
2019 09 03 10:46:35 086 29913 29913   D Tinker DefaultAppLike: onBaseContextAttached:_x000D_
2019 09 03 10:46:35 087 29913 29913   I Tinker ComponentHotplug: method install() is not invoked  ignore ensuring operations _x000D_
2019 09 03 10:46:35 113 29913 29913   W System err:     at com tencent tinker loader app TinkerApplication invokeAppLikeOnCreate(SourceFile:189)_x000D_
2019 09 03 10:46:35 114 29913 29913   W System err:     at com tencent tinker loader app TinkerApplication onCreate(SourceFile:205)_x000D_
2019 09 03 10:46:35 145 29913 29913   D Tinker DefaultAppLike: onCreate_x000D_
2019 09 03 10:46:35 147 29913 29913   I Tinker ServerUtils: with app key from manifest appKey:d98b3d557cf80130_x000D_
2019 09 03 10:46:35 148 29913 29913   I Tinker ServerUtils: with app version from manifest appVersion:5 2 16_x000D_
2019 09 03 10:46:35 149 29913 29913   I Tinker VersionInfo: readVersionInfo file path: data user 0 abc tinker server d98b3d557cf80130 version info  appVersion: 5 2 16  uuid:4833a4cc edc0 440e b6bc 70f79b19000a  abi:armeabi  patchVersion:4  patchMd5:10836a760418005eb0d5e1508506d49f  grayValue:6  crashTimes:0  retryTimes:0  applySuccess:0  patchSuccess:0_x000D_
2019 09 03 10:46:35 152 29913 29913   D Tinker Debugger: debugger not attached cu    null_x000D_
2019 09 03 10:46:35 152 29913 29913   I Tinker ServerClient: installTinkerServer  debug value: false  appVersion: 5 2 16  appKey: d98b3d557cf80130_x000D_
2019 09 03 10:46:35 156 29913 29913   W Tinker Tinker: tinker patch directory:  data user 0 abc tinker_x000D_
2019 09 03 10:46:35 157 29913 29913   I Tinker Tinker: try to install tinker  isEnable: true  version: 1 9 13_x000D_
2019 09 03 10:46:35 158 29913 29913   I Tinker TinkerLoadResult: parseTinkerResult loadCode: 3  process name:abc  main process:true  systemOTA:false  fingerPrint:HUAWEI VIE AL10 HWVIE:8 0 0 HUAWEIVIE AL10 537(C00):user release keys  oatDir:null  useInterpretMode:false_x000D_
2019 09 03 10:46:35 158 29913 29913   W Tinker TinkerLoadResult: can t find patch file  is ok  just return_x000D_
2019 09 03 10:46:35 158 29913 29913   I Tinker DefaultLoadReporter: patch loadReporter onLoadResult: patch load result  path: data user 0 abc tinker  code:  3  cost: 2ms_x000D_
2019 09 03 10:46:35 158 29913 29913   W Tinker Tinker: tinker load fail _x000D_
2019 09 03 10:46:35 158 29913 29913   I Tinker TinkerPatch: Init TinkerPatch sdk success  version:1 2 13_x000D_
2019 09 03 10:46:35 542 29913 29913   W Tinker UpgradePatchRetry: onPatchRetryLoad retry info not exist  just return_x000D_
2019 09 03 10:46:35 546 29913 29913   W Tinker ClientImpl:  retryAllReportFails   there is no fail report  just return_x000D_
2019 09 03 10:46:35 553 29913 29913   I Tinker UrlConnectionFetcher: loadData from url: http:  q tinkerpatch com d98b3d557cf80130 5 2 16 d 4833a4cc edc0 440e b6bc 70f79b19000a v 1567478795551  method:GET  body:null_x000D_
2019 09 03 10:46:35 843 29913 30002   I Tinker UrlConnectionFetcher: response code 200 msg: OK_x000D_
2019 09 03 10:46:35 844 29913 30002   I Tinker ClientImpl: tinker server sync respond:  v : 4  _x000D_
2019 09 03 10:46:35 844 29913 30002   I Tinker VersionInfo: VersionCheck: target version 4 is not latest  current version is 4_x000D_
2019 09 03 10:46:35 845 29913 30002   D Tinker PatchRequestCallback:  beforePatchRequest  have pending patch to install  version: 4  patch: data user 0 abc tinker server 5 2 16 4 apk_x000D_
2019 09 03 10:46:35 845 29913 30002   I Tinker VersionInfo: updateVersionInfo file path: data user 0 abc tinker server d98b3d557cf80130 version info  appVersion: 5 2 16  uuid:4833a4cc edc0 440e b6bc 70f79b19000a  abi:armeabi  patchVersion:4  patchMd5:10836a760418005eb0d5e1508506d49f  grayValue:6  crashTimes:0  retryTimes:1  applySuccess:0  patchSuccess:0_x000D_
2019 09 03 10:46:35 848 29913 30002   I Tinker TinkerServerPatchListener: receive a patch file:  data user 0 abc tinker server 5 2 16 4 apk  file size:2386_x000D_
2019 09 03 10:46:35 850 29913 30002   W Tinker PatchInfo: read property failed  e:java io FileNotFoundException:  data user 0 abc tinker patch info (No such file or directory)_x000D_
2019 09 03 10:46:35 850 29913 30002   W Tinker PatchInfo: read property failed  e:java io FileNotFoundException:  data user 0 abc tinker patch info (No such file or directory)_x000D_
2019 09 03 10:46:35 851 29913 30002   W Tinker UpgradePatchRetry: onPatchListenerCheck retry file is not exist  just return_x000D_
2019 09 03 10:46:35 851 29913 30002   I Tinker TinkerPatchService: run patch service   _x000D_
2019 09 03 10:46:35 851 29913 30002   I Tinker TinkerPatchService: jobId of tinker patch service is: e0cf0128_x000D_
2019 09 03 10:46:35 853 29913 30002   I Tinker ClientImpl: Fetch result: needn t update  gray: 6_x000D_
2019 09 03 10:46:41 407 29913 29913 abc D Tinker DefaultAppLike: onTrimMemory level:20_x000D_
2019 09 03 10:46:46 146 29913 29913 abc D Tinker DefaultAppLike: onTrimMemory level:20_x000D_
2019 09 03 10:46:46 672 1139 1139   D JobServiceContext: Scheduling time out for  com tencent tinker lib service TinkerPatchService  jId:  523304664  in 18 s_x000D_
2019 09 03 10:46:46 705 1139 1139   I ActivityManager: Start proc 30017:abc:patch u0a1105 for service abc com tencent tinker lib service TinkerPatchService_x000D_
2019 09 03 10:46:46 806 30017 30017 abc:patch W Tinker TinkerLoader: tryLoadPatchFiles: we don t load patch with :patch process itself  just return_x000D_
2019 09 03 10:46:46 806 30017 30017 abc:patch D Tinker DefaultAppLike: onBaseContextAttached:_x000D_
2019 09 03 10:46:46 808 30017 30017 abc:patch I Tinker ComponentHotplug: method install() is not invoked  ignore ensuring operations _x000D_
2019 09 03 10:46:46 840 1139 1139   D JobServiceContext: handleServiceBound for 55956ee  u0a1105  523304664 abc com tencent tinker lib service TinkerPatchService_x000D_
2019 09 03 10:46:46 840 1139 1139   D JobServiceContext: Scheduling time out for  com tencent tinker lib service TinkerPatchService  jId:  523304664  in 8 s_x000D_
2019 09 03 10:46:46 846 1139 2140   D JobServiceContext: doCallback of : JobStatus 55956ee  u0a1105  523304664 abc com tencent tinker lib service TinkerPatchService u 0 s 11105 TIME  180ms:none failures 1 READY  v:VERB STARTING_x000D_
2019 09 03 10:46:46 846 1139 2140   D JobServiceContext: Scheduling time out for  com tencent tinker lib service TinkerPatchService  jId:  523304664  in 600 s_x000D_
2019 09 03 10:46:46 849 30017 30038 abc:patch I Tinker TinkerPatchService: for system version    Android O  we just ignore increasingPriority job to avoid crash or toasts _x000D_
    _x000D_
              beginning of crash_x000D_
2019 09 03 10:46:46 861 30017 30038 abc:patch E AndroidRuntime: FATAL EXCEPTION: AsyncTask  1_x000D_
    Process: abc:patch  PID: 30017_x000D_
    java lang RuntimeException: An error occurred while executing doInBackground()_x000D_
        at android os AsyncTask 3 done(AsyncTask java:365)_x000D_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java:784)_x000D_
     Caused by: com tencent tinker loader TinkerRuntimeException: Tinker Exception:you must install tinker before get tinker sInstance_x000D_
        at com tencent tinker lib tinker Tinker with(SourceFile:104)_x000D_
        at com tencent tinker lib service TinkerPatchService doApplyPatch(SourceFile:108)_x000D_
        at com tencent tinker lib service TinkerPatchService onHandleWork(SourceFile:156)_x000D_
        at com tencent tinker lib util TinkerJobIntentService CommandProcessor doInBackground(SourceFile:425)_x000D_
        at com tencent tinker lib util TinkerJobIntentService CommandProcessor doInBackground(SourceFile:408)_x000D_
        at android os AsyncTask 2 call(AsyncTask java:345)_x000D_
        at java util concurrent FutureTask run(FutureTask java:266)_x000D_
        at java util concurrent ThreadPoolExecutor runWorker(ThreadPoolExecutor java:1162) _x000D_
        at java util concurrent ThreadPoolExecutor Worker run(ThreadPoolExecutor java:636) _x000D_
        at java lang Thread run(Thread java:784) _x000D_
2019 09 03 10:46:46 864 30017 30038 abc:patch E Tinker UncaughtHandler: TinkerUncaughtHandler catch exception:java lang RuntimeException: An error occurred while executing doInBackground()_x000D_
        at android os AsyncTask 3 done(AsyncTask java:365)_x000D_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java:784)_x000D_
     Caused by: com tencent tinker loader TinkerRuntimeException: Tinker Exception:you must install tinker before get tinker sInstance_x000D_
        at com tencent tinker lib tinker Tinker with(SourceFile:104)_x000D_
        at com tencent tinker lib service TinkerPatchService doApplyPatch(SourceFile:108)_x000D_
        at com tencent tinker lib service TinkerPatchService onHandleWork(SourceFile:156)_x000D_
        at com tencent tinker lib util TinkerJobIntentService CommandProcessor doInBackground(SourceFile:425)_x000D_
        at com tencent tinker lib util TinkerJobIntentService CommandProcessor doInBackground(SourceFile:408)_x000D_
        at android os AsyncTask 2 call(AsyncTask java:345)_x000D_
        at java util concurrent FutureTask run(FutureTask java:266)_x000D_
        at java util concurrent ThreadPoolExecutor runWorker(ThreadPoolExecutor java:1162) _x000D_
        at java util concurrent ThreadPoolExecutor Worker run(ThreadPoolExecutor java:636) _x000D_
        at java lang Thread run(Thread java:784) _x000D_
2019 09 03 10:46:46 916 1139 1889   W ActivityManager: Scheduling restart of crashed service abc com tencent tinker lib service TinkerPatchService in 1000ms_x000D_
_x000D_
</t>
  </si>
  <si>
    <t>plusonelabs-calendar-widget-318</t>
  </si>
  <si>
    <t>Sometimes after device unlock the widget is stuck at "ToDo Agenda Loading..." view</t>
  </si>
  <si>
    <t xml:space="preserve">Hi  since last update (v3 0)  even recreating the widget from scratch  keeps crashing after a few hours   _x000D_
Xiaomi Mi Mix 3  Android 9  Rootless Launcher_x000D_
_x000D_
  Screenshot 2019 09 02 19 59 47 002 amirz rootless nexuslauncher (https:  user images githubusercontent com 41381350 64129535 eae60680 cdbc 11e9 8e69 1b5fcb00cbcd png)_x000D_
</t>
  </si>
  <si>
    <t>BoardiesITSolutions-FileDirectoryPicker-3</t>
  </si>
  <si>
    <t>Crash when opening DirectoryPicker</t>
  </si>
  <si>
    <t xml:space="preserve">  Describe the bug  _x000D_
Upon starting the activity  the application crashes because of an unhandled NullPointerException by FileDirectoryPicker _x000D_
_x000D_
  StackTrace  _x000D_
   _x000D_
2019 09 02 14:03:04 470 19237 19237 at mycompany app gk D PermissionManager: Got permission request: 1_x000D_
2019 09 02 14:03:04 470 19237 19237 at mycompany app gk D PermissionManager: Requesting permission  android permission READ EXTERNAL STORAGE _x000D_
2019 09 02 14:03:04 475 19237 19237 at mycompany app gk V FileManager: Root Path:  storage emulated 0_x000D_
2019 09 02 14:03:04 476 19237 19237 at mycompany app gk D AndroidRuntime: Shutting down VM_x000D_
2019 09 02 14:03:04 477 19237 19237 at mycompany app gk E AndroidRuntime: FATAL EXCEPTION: main_x000D_
    Process: at mycompany app gk  PID: 19237_x000D_
    java lang RuntimeException: Unable to start activity ComponentInfo at mycompany app gk com BoardiesITSolutions FileDirectoryPicker DirectoryPicker : java lang NullPointerException: Attempt to get length of null array_x000D_
        at android app ActivityThread performLaunchActivity(ActivityThread java:3270)_x000D_
        at android app ActivityThread handleLaunchActivity(ActivityThread java:3409)_x000D_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java:7356)_x000D_
        at java lang reflect Method invoke(Native Method)_x000D_
        at com android internal os RuntimeInit MethodAndArgsCaller run(RuntimeInit java:492)_x000D_
        at com android internal os ZygoteInit main(ZygoteInit java:930)_x000D_
     Caused by: java lang NullPointerException: Attempt to get length of null array_x000D_
        at com BoardiesITSolutions FileExplorer Logic FileManager getFilesAndDirectoryStructure(FileManager java:54)_x000D_
        at com BoardiesITSolutions FileExplorer Logic FileManager getFilesAndDirectoryStructure(FileManager java:32)_x000D_
        at com BoardiesITSolutions FileDirectoryPicker BasePicker retrieveDirectoryListing(BasePicker java:202)_x000D_
        at com BoardiesITSolutions FileDirectoryPicker BasePicker permissionGranted(BasePicker java:435)_x000D_
        at com BoardiesITSolutions FileDirectoryPicker PermissionManager requestPermission(PermissionManager java:72)_x000D_
        at com BoardiesITSolutions FileDirectoryPicker BasePicker init(BasePicker java:193)_x000D_
        at com BoardiesITSolutions FileDirectoryPicker DirectoryPicker onCreate(DirectoryPicker java:20)_x000D_
        at android app Activity performCreate(Activity java:7802)_x000D_
        at android app Activity performCreate(Activity java:7791)_x000D_
        at android app Instrumentation callActivityOnCreate(Instrumentation java:1299)_x000D_
        at android app ActivityThread performLaunchActivity(ActivityThread java:3245)_x000D_
        at android app ActivityThread handleLaunchActivity(ActivityThread java:3409) _x000D_
        at android app servertransaction LaunchActivityItem execute(LaunchActivityItem java:83) _x000D_
        at android app servertransaction TransactionExecutor executeCallbacks(TransactionExecutor java:135) _x000D_
        at android app servertransaction TransactionExecutor execute(TransactionExecutor java:95) _x000D_
        at android app ActivityThread H handleMessage(ActivityThread java:2016) _x000D_
        at android os Handler dispatchMessage(Handler java:107) _x000D_
        at android os Looper loop(Looper java:214) _x000D_
        at android app ActivityThread main(ActivityThread java:7356) _x000D_
        at java lang reflect Method invoke(Native Method) _x000D_
        at com android internal os RuntimeInit MethodAndArgsCaller run(RuntimeInit java:492) _x000D_
        at com android internal os ZygoteInit main(ZygoteInit java:930) _x000D_
   _x000D_
_x000D_
Interestingly this worked in the application  but upon switching flavors  this picker does no longer work  Have you ever tested it with build flavors _x000D_
Any ideas what could be the reason for this library to not be able to retrieve the folders in one flavor  but work fine in the other </t>
  </si>
  <si>
    <t>SelfLender-react-native-biometrics-42</t>
  </si>
  <si>
    <t>iOS Crash</t>
  </si>
  <si>
    <t xml:space="preserve">Hey _x000D_
_x000D_
I am getting a crash on iOS with an error Thread: signal SIGABRT  Basically a thread that runs the package crashes  My app works on android  I am running the package on react native 0 59 8 _x000D_
_x000D_
Here is my stack trace _x000D_
_x000D_
  (_x000D_
  	0   CoreFoundation                      0x0000000115ebc1bb   exceptionPreprocess   331_x000D_
  	1   libobjc A dylib                     0x0000000114fe6735 objc exception throw   48_x000D_
  	2   CoreFoundation                      0x0000000115ebc015   NSException raise:format:    197_x000D_
  	3   LocalAuthentication                 0x0000000117092a08   50  LAContext evaluatePolicy:localizedReason:reply:  block invoke   113_x000D_
  	4   LocalAuthentication                 0x0000000117092c56   50  LAContext evaluatePolicy:localizedReason:reply:  block invoke 108   16_x000D_
  	5   libsystem trace dylib               0x000000011774d742  os activity initiate impl   53_x000D_
  	6   LocalAuthentication                 0x000000011709290b   LAContext evaluatePolicy:localizedReason:reply:    307_x000D_
  	7   RentProfile                         0x000000010f0f560a   56  ReactNativeBiometrics simplePrompt:resolver:rejecter:  block invoke   182_x000D_
  	8   libdispatch dylib                   0x0000000117454595  dispatch call block and release   12_x000D_
  	9   libdispatch dylib                   0x0000000117455602  dispatch client callout   8_x000D_
  	10  libdispatch dylib                   0x0000000117458064  dispatch queue override invoke   1028_x000D_
  	11  libdispatch dylib                   0x000000011746600a  dispatch root queue drain   351_x000D_
  	12  libdispatch dylib                   0x00000001174669af  dispatch worker thread2   130_x000D_
  	13  libsystem pthread dylib             0x000000011783e6b3  pthread wqthread   583_x000D_
  	14  libsystem pthread dylib             0x000000011783e3fd start wqthread   13_x000D_
  )_x000D_
_x000D_
Would appreciate some help with this </t>
  </si>
  <si>
    <t>guardianproject-proofmode-64</t>
  </si>
  <si>
    <t>Crash When Notarize without Internet Access</t>
  </si>
  <si>
    <t xml:space="preserve">APP crashes when notarizing without Internet access (WiFi or LTE)  The following is the error message _x000D_
_x000D_
   _x000D_
2019 09 02 12:56:58 411 7352 7677 org witness proofmode E AndroidRuntime: FATAL EXCEPTION: Thread 3_x000D_
    Process: org witness proofmode  PID: 7352_x000D_
    java lang NullPointerException: Attempt to read from null array_x000D_
        at com eternitywall ots StreamDeserializationContext readVaruint(StreamDeserializationContext java:58)_x000D_
        at com eternitywall ots StreamDeserializationContext readVarbytes(StreamDeserializationContext java:79)_x000D_
        at com eternitywall ots StreamDeserializationContext readVarbytes(StreamDeserializationContext java:75)_x000D_
        at com eternitywall ots attestation TimeAttestation deserialize(TimeAttestation java:47)_x000D_
        at com eternitywall ots Timestamp doTagOrAttestation(Timestamp java:74)_x000D_
        at com eternitywall ots Timestamp deserialize(Timestamp java:67)_x000D_
        at com eternitywall ots Timestamp doTagOrAttestation(Timestamp java:81)_x000D_
        at com eternitywall ots Timestamp deserialize(Timestamp java:67)_x000D_
        at com eternitywall ots Timestamp doTagOrAttestation(Timestamp java:81)_x000D_
        at com eternitywall ots Timestamp deserialize(Timestamp java:67)_x000D_
        at com eternitywall ots DetachedTimestampFile deserialize(DetachedTimestampFile java:91)_x000D_
        at com eternitywall ots OpenTimestamps info(OpenTimestamps java:52)_x000D_
        at org witness proofmode notarization OpenTimestampsNotarizationProvider notarize(OpenTimestampsNotarizationProvider java:22)_x000D_
        at org witness proofmode service MediaWatcher handleIntent(MediaWatcher java:169)_x000D_
        at org witness proofmode service MediaWatcher 1 run(MediaWatcher java:64)_x000D_
   _x000D_
_x000D_
    Environment_x000D_
_x000D_
  Android API 26_x000D_
  Device WiFi and LTE are disabled but GPS sensor is enabled_x000D_
  Preferences  autoNotarize  is enabled but  trackLocation    trackDeviceId  and  trackMobileNetwork  are disabled </t>
  </si>
  <si>
    <t>material-components-material-components-android-558</t>
  </si>
  <si>
    <t>[NavigationView] hangs and stop responding after androidx</t>
  </si>
  <si>
    <t xml:space="preserve">  Description:   _x000D_
When i open activity that has a NavigationView in it everything gone black and hangs and stay like that until i close the app  no crash happening _x000D_
the app was working fine until i migrated  to androidx using android studio _x000D_
_x000D_
  Source code:  _x000D_
That my navigationView :_x000D_
_x000D_
     com google android material navigation NavigationView xmlns:android  http:  schemas android com apk res android _x000D_
        xmlns:app  http:  schemas android com apk res auto _x000D_
        android:id    id drawer layout _x000D_
        android:layout width  wrap content _x000D_
        android:layout height  match parent _x000D_
        android:layout gravity  start _x000D_
        android:fitsSystemWindows  true _x000D_
        app:menu   menu main drawer _x000D_
        app:headerLayout   layout nav header   _x000D_
_x000D_
even when i open new activity with that contain only navigation view using _x000D_
                activity setContentView(R layout navigationview) _x000D_
_x000D_
i also tried to change the navigationview to that one:_x000D_
  xml version  1 0  encoding  utf 8   _x000D_
 com google android material navigation NavigationView android:layout width  match parent _x000D_
    android:layout height  match parent _x000D_
    xmlns:android  http:  schemas android com apk res android    _x000D_
_x000D_
and still have the same problem  screen hangs and nothing happen until i close the app _x000D_
_x000D_
  Android API version:   29_x000D_
_x000D_
  Material Library version:   i tried 1 0 0   1 1 0 alpha07   1 1 0 alpha08   1 1 0 alpha09_x000D_
and i m using java 8:_x000D_
_x000D_
compileOptions  _x000D_
        sourceCompatibility JavaVersion VERSION 1 8_x000D_
        targetCompatibility JavaVersion VERSION 1 8_x000D_
     _x000D_
_x000D_
  Device:   my android device huawei with EMUI 9 1 0 and virtual device with android Q_x000D_
_x000D_
this is the full log from the start :_x000D_
 2019 09 01 20:13:21 612 11621 11621 com novaplay chatunseen W Settings: Setting device provisioned has moved from android provider Settings Secure to android provider Settings Global _x000D_
2019 09 01 20:13:21 815 11621 11621 com novaplay chatunseen I ViewRootImpl: jank removeInvalidNode all the node in jank list is out of time_x000D_
2019 09 01 20:13:21 818 11621 11621 com novaplay chatunseen D ZrHung AppEyeUiProbe: stop checker _x000D_
2019 09 01 20:13:21 833 11621 11621 com novaplay chatunseen W ActivityThread: handleWindowVisibility: no activity for token android os BinderProxy dc86e7d_x000D_
2019 09 01 20:13:21 839 11621 11621 com novaplay chatunseen D ZrHung AppEyeUiProbe: notify runnable to start _x000D_
2019 09 01 20:13:21 853 11621 11657 com novaplay chatunseen D FA: Logging event (FE): user engagement( e)  Bundle  firebase event origin( o) auto  engagement time msec( et) 21200  firebase screen class( sc) SplashActivity  firebase screen id( si) 9131331402901219724  _x000D_
2019 09 01 20:13:21 887 11621 11621 com novaplay chatunseen I HwPhoneWindow: updateLayoutParamsColor false mSpecialSet false  mForcedNavigationBarColor false  navigationBarColor 0  mNavBarShow false  mIsFloating false_x000D_
2019 09 01 20:13:21 888 11621 11621 com novaplay chatunseen I HwPhoneWindow: updateLayoutParamsColor true mSpecialSet true  mForcedNavigationBarColor false  navigationBarColor fffcfcfc  mNavBarShow false  mIsFloating false_x000D_
2019 09 01 20:13:21 909 11621 11621 com novaplay chatunseen I FLTAG FM: loadFeature class:com huawei featurelayer systemfeature HwWidget IHwSplineOverScrollerEx_x000D_
2019 09 01 20:13:21 909 11621 11621 com novaplay chatunseen I FLTAG SFM: getRequireClassLoader() succ   className: com huawei featurelayer systemfeature HwWidget IHwSplineOverScrollerEx_x000D_
2019 09 01 20:13:21 909 11621 11621 com novaplay chatunseen D FeatureFactory: loadFeature() : com huawei featurelayer systemfeature HwWidget IHwSplineOverScrollerEx_x000D_
2019 09 01 20:13:21 909 11621 11621 com novaplay chatunseen D FeatureFactory: loadFeature() new IHwSplineOverScrollerEx()_x000D_
2019 09 01 20:13:21 909 11621 11621 com novaplay chatunseen D HwSplineOverScrollerExImpl: initSplineOverScrollerImpl paras: android widget OverScroller SplineOverScroller 5134304 com novaplay chatunseen main MainActivity 11d12be_x000D_
2019 09 01 20:13:21 909 11621 11621 com novaplay chatunseen D HwSplineOverScrollerExImpl: initSplineOverScrollerImpl: mScrollerVelocity is 0  value is 0_x000D_
2019 09 01 20:13:21 910 11621 11621 com novaplay chatunseen I FLTAG FM: loadFeature class:com huawei featurelayer systemfeature HwWidget IHwSplineOverScrollerEx_x000D_
2019 09 01 20:13:21 910 11621 11621 com novaplay chatunseen I FLTAG SFM: getRequireClassLoader() succ   className: com huawei featurelayer systemfeature HwWidget IHwSplineOverScrollerEx_x000D_
2019 09 01 20:13:21 910 11621 11621 com novaplay chatunseen D FeatureFactory: loadFeature() : com huawei featurelayer systemfeature HwWidget IHwSplineOverScrollerEx_x000D_
2019 09 01 20:13:21 910 11621 11621 com novaplay chatunseen D FeatureFactory: loadFeature() new IHwSplineOverScrollerEx()_x000D_
2019 09 01 20:13:21 910 11621 11621 com novaplay chatunseen D HwSplineOverScrollerExImpl: initSplineOverScrollerImpl paras: android widget OverScroller SplineOverScroller 5038b70 com novaplay chatunseen main MainActivity 11d12be_x000D_
2019 09 01 20:13:21 910 11621 11621 com novaplay chatunseen D HwSplineOverScrollerExImpl: initSplineOverScrollerImpl: mScrollerVelocity is 0  value is 0_x000D_
2019 09 01 20:13:21 911 11621 11621 com novaplay chatunseen I FLTAG FM: loadFeature class:com huawei featurelayer systemfeature HwWidget IHwSplineOverScrollerEx_x000D_
2019 09 01 20:13:21 911 11621 11621 com novaplay chatunseen I FLTAG SFM: getRequireClassLoader() succ   className: com huawei featurelayer systemfeature HwWidget IHwSplineOverScrollerEx_x000D_
2019 09 01 20:13:21 911 11621 11621 com novaplay chatunseen D FeatureFactory: loadFeature() : com huawei featurelayer systemfeature HwWidget IHwSplineOverScrollerEx_x000D_
2019 09 01 20:13:21 911 11621 11621 com novaplay chatunseen D FeatureFactory: loadFeature() new IHwSplineOverScrollerEx()_x000D_
2019 09 01 20:13:21 911 11621 11621 com novaplay chatunseen D HwSplineOverScrollerExImpl: initSplineOverScrollerImpl paras: android widget OverScroller SplineOverScroller 111a76e com novaplay chatunseen main MainActivity 11d12be_x000D_
2019 09 01 20:13:21 911 11621 11621 com novaplay chatunseen D HwSplineOverScrollerExImpl: initSplineOverScrollerImpl: mScrollerVelocity is 0  value is 0_x000D_
2019 09 01 20:13:21 911 11621 11621 com novaplay chatunseen I FLTAG FM: loadFeature class:com huawei featurelayer systemfeature HwWidget IHwSplineOverScrollerEx_x000D_
2019 09 01 20:13:21 911 11621 11621 com novaplay chatunseen I FLTAG SFM: getRequireClassLoader() succ   className: com huawei featurelayer systemfeature HwWidget IHwSplineOverScrollerEx_x000D_
2019 09 01 20:13:21 911 11621 11621 com novaplay chatunseen D FeatureFactory: loadFeature() : com huawei featurelayer systemfeature HwWidget IHwSplineOverScrollerEx_x000D_
2019 09 01 20:13:21 911 11621 11621 com novaplay chatunseen D FeatureFactory: loadFeature() new IHwSplineOverScrollerEx()_x000D_
2019 09 01 20:13:21 911 11621 11621 com novaplay chatunseen D HwSplineOverScrollerExImpl: initSplineOverScrollerImpl paras: android widget OverScroller SplineOverScroller 26dee9c com novaplay chatunseen main MainActivity 11d12be_x000D_
2019 09 01 20:13:21 911 11621 11621 com novaplay chatunseen D HwSplineOverScrollerExImpl: initSplineOverScrollerImpl: mScrollerVelocity is 0  value is 0_x000D_
2019 09 01 20:13:21 961 11621 11621 com novaplay chatunseen I FLTAG FM: loadFeature class:com huawei featurelayer systemfeature HwWidget IHwSplineOverScrollerEx_x000D_
2019 09 01 20:13:21 962 11621 11621 com novaplay chatunseen I FLTAG SFM: getRequireClassLoader() succ   className: com huawei featurelayer systemfeature HwWidget IHwSplineOverScrollerEx_x000D_
2019 09 01 20:13:21 962 11621 11621 com novaplay chatunseen D FeatureFactory: loadFeature() : com huawei featurelayer systemfeature HwWidget IHwSplineOverScrollerEx_x000D_
2019 09 01 20:13:21 962 11621 11621 com novaplay chatunseen D FeatureFactory: loadFeature() new IHwSplineOverScrollerEx()_x000D_
2019 09 01 20:13:21 962 11621 11621 com novaplay chatunseen D HwSplineOverScrollerExImpl: initSplineOverScrollerImpl paras: android widget OverScroller SplineOverScroller 1145221 android view ContextThemeWrapper c246c2b_x000D_
2019 09 01 20:13:21 962 11621 11621 com novaplay chatunseen D HwSplineOverScrollerExImpl: initSplineOverScrollerImpl: mScrollerVelocity is 0  value is 0_x000D_
2019 09 01 20:13:21 962 11621 11621 com novaplay chatunseen I FLTAG FM: loadFeature class:com huawei featurelayer systemfeature HwWidget IHwSplineOverScrollerEx_x000D_
2019 09 01 20:13:21 962 11621 11621 com novaplay chatunseen I FLTAG SFM: getRequireClassLoader() succ   className: com huawei featurelayer systemfeature HwWidget IHwSplineOverScrollerEx_x000D_
2019 09 01 20:13:21 962 11621 11621 com novaplay chatunseen D FeatureFactory: loadFeature() : com huawei featurelayer systemfeature HwWidget IHwSplineOverScrollerEx_x000D_
2019 09 01 20:13:21 962 11621 11621 com novaplay chatunseen D FeatureFactory: loadFeature() new IHwSplineOverScrollerEx()_x000D_
2019 09 01 20:13:21 962 11621 11621 com novaplay chatunseen D HwSplineOverScrollerExImpl: initSplineOverScrollerImpl paras: android widget OverScroller SplineOverScroller 97ba007 android view ContextThemeWrapper c246c2b_x000D_
2019 09 01 20:13:21 962 11621 11621 com novaplay chatunseen D HwSplineOverScrollerExImpl: initSplineOverScrollerImpl: mScrollerVelocity is 0  value is 0_x000D_
2019 09 01 20:13:22 048 11621 11621 com novaplay chatunseen I FLTAG FM: loadFeature class:com huawei featurelayer systemfeature HwWidget IHwSplineOverScrollerEx_x000D_
2019 09 01 20:13:22 048 11621 11621 com novaplay chatunseen I FLTAG SFM: getRequireClassLoader() succ   className: com huawei featurelayer systemfeature HwWidget IHwSplineOverScrollerEx_x000D_
2019 09 01 20:13:22 048 11621 11621 com novaplay chatunseen D FeatureFactory: loadFeature() : com huawei featurelayer systemfeature HwWidget IHwSplineOverScrollerEx_x000D_
2019 09 01 20:13:22 048 11621 11621 com novaplay chatunseen D FeatureFactory: loadFeature() new IHwSplineOverScrollerEx()_x000D_
2019 09 01 20:13:22 048 11621 11621 com novaplay chatunseen D HwSplineOverScrollerExImpl: initSplineOverScrollerImpl paras: android widget OverScroller SplineOverScroller 2c17501 com novaplay chatunseen main MainActivity 11d12be_x000D_
2019 09 01 20:13:22 048 11621 11621 com novaplay chatunseen D HwSplineOverScrollerExImpl: initSplineOverScrollerImpl: mScrollerVelocity is 0  value is 0_x000D_
2019 09 01 20:13:22 049 11621 11621 com novaplay chatunseen I FLTAG FM: loadFeature class:com huawei featurelayer systemfeature HwWidget IHwSplineOverScrollerEx_x000D_
2019 09 01 20:13:22 049 11621 11621 com novaplay chatunseen I FLTAG SFM: getRequireClassLoader() succ   className: com huawei featurelayer systemfeature HwWidget IHwSplineOverScrollerEx_x000D_
2019 09 01 20:13:22 049 11621 11621 com novaplay chatunseen D FeatureFactory: loadFeature() : com huawei featurelayer systemfeature HwWidget IHwSplineOverScrollerEx_x000D_
2019 09 01 20:13:22 049 11621 11621 com novaplay chatunseen D FeatureFactory: loadFeature() new IHwSplineOverScrollerEx()_x000D_
2019 09 01 20:13:22 049 11621 11621 com novaplay chatunseen D HwSplineOverScrollerExImpl: initSplineOverScrollerImpl paras: android widget OverScroller SplineOverScroller a4f603d com novaplay chatunseen main MainActivity 11d12be_x000D_
2019 09 01 20:13:22 049 11621 11621 com novaplay chatunseen D HwSplineOverScrollerExImpl: initSplineOverScrollerImpl: mScrollerVelocity is 0  value is 0_x000D_
2019 09 01 20:13:22 171 11621 11621 com novaplay chatunseen I FLTAG FM: loadFeature class:com huawei featurelayer systemfeature HwWidget IHwSplineOverScrollerEx_x000D_
2019 09 01 20:13:22 172 11621 11621 com novaplay chatunseen I FLTAG SFM: getRequireClassLoader() succ   className: com huawei featurelayer systemfeature HwWidget IHwSplineOverScrollerEx_x000D_
2019 09 01 20:13:22 172 11621 11621 com novaplay chatunseen D FeatureFactory: loadFeature() : com huawei featurelayer systemfeature HwWidget IHwSplineOverScrollerEx_x000D_
2019 09 01 20:13:22 172 11621 11621 com novaplay chatunseen D FeatureFactory: loadFeature() new IHwSplineOverScrollerEx()_x000D_
2019 09 01 20:13:22 172 11621 11621 com novaplay chatunseen D HwSplineOverScrollerExImpl: initSplineOverScrollerImpl paras: android widget OverScroller SplineOverScroller dd35b59 com novaplay chatunseen main MainActivity 11d12be_x000D_
2019 09 01 20:13:22 172 11621 11621 com novaplay chatunseen D HwSplineOverScrollerExImpl: initSplineOverScrollerImpl: mScrollerVelocity is 0  value is 0_x000D_
2019 09 01 20:13:22 173 11621 11621 com novaplay chatunseen I FLTAG FM: loadFeature class:com huawei featurelayer systemfeature HwWidget IHwSplineOverScrollerEx_x000D_
2019 09 01 20:13:22 173 11621 11621 com novaplay chatunseen I FLTAG SFM: getRequireClassLoader() succ   className: com huawei featurelayer systemfeature HwWidget IHwSplineOverScrollerEx_x000D_
2019 09 01 20:13:22 173 11621 11621 com novaplay chatunseen D FeatureFactory: loadFeature() : com huawei featurelayer systemfeature HwWidget IHwSplineOverScrollerEx_x000D_
2019 09 01 20:13:22 173 11621 11621 com novaplay chatunseen D FeatureFactory: loadFeature() new IHwSplineOverScrollerEx()_x000D_
2019 09 01 20:13:22 173 11621 11621 com novaplay chatunseen D HwSplineOverScrollerExImpl: initSplineOverScrollerImpl paras: android widget OverScroller SplineOverScroller dd55415 com novaplay chatunseen main MainActivity 11d12be_x000D_
2019 09 01 20:13:22 173 11621 11621 com novaplay chatunseen D HwSplineOverScrollerExImpl: initSplineOverScrollerImpl: mScrollerVelocity is 0  value is 0_x000D_
2019 09 01 20:13:23 188 11621 11632 com novaplay chatunseen I play chatunsee: Background concurrent copying GC freed 30156(709KB) AllocSpace objects  0(0B) LOS objects  48  free  25MB 49MB  paused 115us total 376 680ms_x000D_
2019 09 01 20:13:25 312 11621 11660 com novaplay chatunseen D IMonitor: Load library imonitor jni_x000D_
2019 09 01 20:13:25 320 11621 11660 com novaplay chatunseen E ZrHungImpl:  sendAppFreezeEvent failed _x000D_
2019 09 01 20:13:25 619 11621 11632 com novaplay chatunseen I play chatunsee: Background concurrent copying GC freed 5731(1423KB) AllocSpace objects  7(3MB) LOS objects  33  free  48MB 72MB  paused 9 447ms total 366 235ms_x000D_
2019 09 01 20:13:27 965 11621 11632 com novaplay chatunseen I play chatunsee: Background concurrent copying GC freed 367(501KB) AllocSpace objects  0(0B) LOS objects  24  free  75MB 99MB  paused 7 997ms total 349 629ms_x000D_
2019 09 01 20:13:28 727 11621 11660 com novaplay chatunseen E ZrHungImpl:  sendAppFreezeEvent failed _x000D_
2019 09 01 20:13:30 375 11621 11632 com novaplay chatunseen I play chatunsee: Background concurrent copying GC freed 1085(508KB) AllocSpace objects  0(0B) LOS objects  19  free  102MB 126MB  paused 8 824ms total 399 422ms_x000D_
2019 09 01 20:13:32 787 11621 11632 com novaplay chatunseen I play chatunsee: Background concurrent copying GC freed 297(485KB) AllocSpace objects  0(0B) LOS objects  15  free  129MB 153MB  paused 8 129ms total 415 590ms_x000D_
2019 09 01 20:13:35 282 11621 11632 com novaplay chatunseen I play chatunsee: Background concurrent copying GC freed 299(488KB) AllocSpace objects  0(0B) LOS objects  13  free  157MB 181MB  paused 7 813ms total 448 718ms_x000D_
2019 09 01 20:13:37 822 11621 11632 com novaplay chatunseen I play chatunsee: Background concurrent copying GC freed 2656(596KB) AllocSpace objects  0(0B) LOS objects  11  free  185MB 209MB  paused 8 588ms total 503 426ms_x000D_
2019 09 01 20:13:40 321 11621 11632 com novaplay chatunseen I play chatunsee: Background concurrent copying GC freed 898(576KB) AllocSpace objects  0(0B) LOS objects  10  free  213MB 237MB  paused 7 695ms total 491 625ms_x000D_
2019 09 01 20:13:42 876 11621 11632 com novaplay chatunseen I play chatunsee: Background concurrent copying GC freed 2762(589KB) AllocSpace objects  0(0B) LOS objects  9  free  241MB 265MB  paused 8 074ms total 528 395ms_x000D_
2019 09 01 20:13:45 170 11621 11650 com novaplay chatunseen I play chatunsee: Waiting for a blocking GC ProfileSaver_x000D_
2019 09 01 20:13:45 442 11621 11632 com novaplay chatunseen I play chatunsee: Background concurrent copying GC freed 519(537KB) AllocSpace objects  0(0B) LOS objects  8  free  270MB 294MB  paused 8 363ms total 530 013ms_x000D_
2019 09 01 20:13:45 443 11621 11650 com novaplay chatunseen I play chatunsee: WaitForGcToComplete blocked ProfileSaver on HeapTrim for 272 538ms_x000D_
2019 09 01 20:13:48 039 11621 11632 com novaplay chatunseen I play chatunsee: Background concurrent copying GC freed 1390(551KB) AllocSpace objects  0(0B) LOS objects  7  free  300MB 324MB  paused 8 503ms total 566 817ms_x000D_
2019 09 01 20:13:50 632 11621 11632 com novaplay chatunseen I play chatunsee: Background concurrent copying GC freed 350(542KB) AllocSpace objects  0(0B) LOS objects  6  free  329MB 353MB  paused 8 376ms total 560 008ms_x000D_
2019 09 01 20:13:53 177 11621 11632 com novaplay chatunseen I play chatunsee: Background concurrent copying GC freed 4264(648KB) AllocSpace objects  0(0B) LOS objects  6  free  357MB 381MB  paused 7 381ms total 571 845ms_x000D_
2019 09 01 20:13:55 819 11621 11632 com novaplay chatunseen I play chatunsee: Background concurrent copying GC freed 336(542KB) AllocSpace objects  0(0B) LOS objects  5  free  387MB 411MB  paused 7 786ms total 604 555ms_x000D_
2019 09 01 20:13:58 454 11621 11632 com novaplay chatunseen I play chatunsee: Background concurrent copying GC freed 1867(673KB) AllocSpace objects  0(0B) LOS objects  5  free  416MB 440MB  paused 7 083ms total 604 710ms_x000D_
2019 09 01 20:14:01 045 11621 11632 com novaplay chatunseen I play chatunsee: Background concurrent copying GC freed 2591(646KB) AllocSpace objects  0(0B) LOS objects  5  free  446MB 470MB  paused 8 514ms total 590 796ms_x000D_
2019 09 01 20:14:03 682 11621 11632 com novaplay chatunseen I play chatunsee: Background concurrent copying GC freed 1820(619KB) AllocSpace objects  0(0B) LOS objects  4  free  475MB 499MB  paused 7 535ms total 610 837ms_x000D_
2019 09 01 20:14:06 325 11621 11632 com novaplay chatunseen I play chatunsee: Clamp target GC heap from 529MB to 512MB_x000D_
2019 09 01 20:14:06 325 11621 11632 com novaplay chatunseen I play chatunsee: Background concurrent copying GC freed 351(543KB) AllocSpace objects  0(0B) LOS objects  1  free  505MB 512MB  paused 7 494ms total 636 569ms_x000D_
2019 09 01 20:14:06 880 11621 11621 com novaplay chatunseen I play chatunsee: Waiting for a blocking GC Alloc_x000D_
2019 09 01 20:14:07 342 11621 11632 com novaplay chatunseen I play chatunsee: Clamp target GC heap from 535MB to 512MB_x000D_
2019 09 01 20:14:07 342 11621 11632 com novaplay chatunseen I play chatunsee: Background concurrent copying GC freed 165(269KB) AllocSpace objects  0(0B) LOS objects  0  free  511MB 512MB  paused 7 174ms total 519 289ms_x000D_
2019 09 01 20:14:07 343 11621 11621 com novaplay chatunseen I play chatunsee: WaitForGcToComplete blocked Alloc on HeapTrim for 463 117ms_x000D_
2019 09 01 20:14:07 343 11621 11621 com novaplay chatunseen I play chatunsee: Starting a blocking GC Alloc_x000D_
2019 09 01 20:14:07 425 11621 11621 com novaplay chatunseen I play chatunsee: Waiting for a blocking GC Alloc_x000D_
2019 09 01 20:14:07 805 11621 11632 com novaplay chatunseen I play chatunsee: Clamp target GC heap from 535MB to 512MB_x000D_
2019 09 01 20:14:07 805 11621 11632 com novaplay chatunseen I play chatunsee: Background concurrent copying GC freed 7(464B) AllocSpace objects  0(0B) LOS objects  0  free  511MB 512MB  paused 8 261ms total 461 386ms_x000D_
2019 09 01 20:14:07 806 11621 11621 com novaplay chatunseen I play chatunsee: WaitForGcToComplete blocked Alloc on HeapTrim for 380 108ms_x000D_
2019 09 01 20:14:07 806 11621 11621 com novaplay chatunseen I play chatunsee: Starting a blocking GC Alloc_x000D_
2019 09 01 20:14:07 806 11621 11621 com novaplay chatunseen I play chatunsee: Starting a blocking GC Alloc_x000D_
2019 09 01 20:14:08 224 11621 11621 com novaplay chatunseen I play chatunsee: Clamp target GC heap from 535MB to 512MB_x000D_
2019 09 01 20:14:08 224 11621 11621 com novaplay chatunseen I play chatunsee: Alloc concurrent copying GC freed 8(504B) AllocSpace objects  0(0B) LOS objects  0  free  511MB 512MB  paused 66us total 418 089ms_x000D_
2019 09 01 20:14:08 224 11621 11621 com novaplay chatunseen I play chatunsee: Starting a blocking GC Alloc_x000D_
2019 09 01 20:14:08 639 11621 11621 com novaplay chatunseen I play chatunsee: Clamp target GC heap from 535MB to 512MB_x000D_
2019 09 01 20:14:08 640 11621 11621 com novaplay chatunseen I play chatunsee: Alloc concurrent copying GC freed 3(72B) AllocSpace objects  0(0B) LOS objects  0  free  511MB 512MB  paused 60us total 414 945ms_x000D_
2019 09 01 20:14:08 640 11621 11621 com novaplay chatunseen I play chatunsee: Forcing collection of SoftReferences for 102KB allocation_x000D_
2019 09 01 20:14:08 640 11621 11621 com novaplay chatunseen I play chatunsee: Starting a blocking GC Alloc_x000D_
2019 09 01 20:14:09 207 11621 11621 com novaplay chatunseen I play chatunsee: Clamp target GC heap from 535MB to 512MB_x000D_
2019 09 01 20:14:09 207 11621 11621 com novaplay chatunseen I play chatunsee: Alloc concurrent copying GC freed 8285(352KB) AllocSpace objects  0(0B) LOS objects  0  free  511MB 512MB  paused 61us total 566 573ms_x000D_
2019 09 01 20:14:09 207 11621 11621 com novaplay chatunseen I play chatunsee: Starting a blocking GC Alloc_x000D_
2019 09 01 20:14:09 207 11621 11621 com novaplay chatunseen I play chatunsee: Starting a blocking GC Alloc_x000D_
2019 09 01 20:14:09 621 11621 11621 com novaplay chatunseen I play chatunsee: Clamp target GC heap from 535MB to 512MB_x000D_
2019 09 01 20:14:09 621 11621 11621 com novaplay chatunseen I play chatunsee: Alloc concurrent copying GC freed 0(15KB) AllocSpace objects  0(0B) LOS objects  0  free  511MB 512MB  paused 391us total 413 826ms_x000D_
2019 09 01 20:14:09 621 11621 11621 com novaplay chatunseen I play chatunsee: Starting a blocking GC Alloc_x000D_
2019 09 01 20:14:10 040 11621 11621 com novaplay chatunseen I play chatunsee: Clamp target GC heap from 535MB to 512MB_x000D_
2019 09 01 20:14:10 040 11621 11621 com novaplay chatunseen I play chatunsee: Alloc concurrent copying GC freed 0(15KB) AllocSpace objects  0(0B) LOS objects  0  free  511MB 512MB  paused 80us total 418 546ms_x000D_
2019 09 01 20:14:10 040 11621 11621 com novaplay chatunseen I play chatunsee: Forcing collection of SoftReferences for 411KB allocation_x000D_
2019 09 01 20:14:10 040 11621 11621 com novaplay chatunseen I play chatunsee: Starting a blocking GC Alloc_x000D_
2019 09 01 20:14:10 593 11621 11621 com novaplay chatunseen I play chatunsee: Clamp target GC heap from 535MB to 512MB_x000D_
2019 09 01 20:14:10 593 11621 11621 com novaplay chatunseen I play chatunsee: Alloc concurrent copying GC freed 9(16KB) AllocSpace objects  0(0B) LOS objects  0  free  511MB 512MB  paused 73us total 552 513ms_x000D_
2019 09 01 20:14:10 593 11621 11632 com novaplay chatunseen I play chatunsee: WaitForGcToComplete blocked Background on HeapTrim for 2 786s_x000D_
2019 09 01 20:14:10 596 11621 11621 com novaplay chatunseen W play chatunsee: Throwing OutOfMemoryError with VmSize  4821432 kB  Failed to allocate a 421520 byte allocation with 357024 free bytes and 348KB until OOM  max allowed footprint 536870912  growth limit 536870912 _x000D_
2019 09 01 20:14:10 604 11621 11621 com novaplay chatunseen I play chatunsee: Starting a blocking GC Alloc_x000D_
2019 09 01 20:14:10 604 11621 11621 com novaplay chatunseen I play chatunsee: Starting a blocking GC Alloc_x000D_
2019 09 01 20:14:11 018 11621 11621 com novaplay chatunseen I play chatunsee: Clamp target GC heap from 535MB to 512MB_x000D_
2019 09 01 20:14:11 018 11621 11621 com novaplay chatunseen I play chatunsee: Alloc concurrent copying GC freed 0(15KB) AllocSpace objects  0(0B) LOS objects  0  free  511MB 512MB  paused 58us total 413 271ms_x000D_
2019 09 01 20:14:11 018 11621 11621 com novaplay chatunseen I play chatunsee: Starting a blocking GC Alloc_x000D_
2019 09 01 20:14:11 434 11621 11621 com novaplay chatunseen I play chatunsee: Clamp target GC heap from 535MB to 512MB_x000D_
2019 09 01 20:14:11 434 11621 11621 com novaplay chatunseen I play chatunsee: Alloc concurrent copying GC freed 1(8B) AllocSpace objects  0(0B) LOS objects  0  free  511MB 512MB  paused 69us total 416 031ms_x000D_
2019 09 01 20:14:11 435 11621 11621 com novaplay chatunseen I play chatunsee: Forcing collection of SoftReferences for 411KB allocation_x000D_
2019 09 01 20:14:11 435 11621 11621 com novaplay chatunseen I play chatunsee: Starting a blocking GC Alloc_x000D_
2019 09 01 20:14:11 986 11621 11621 com novaplay chatunseen I play chatunsee: Clamp target GC heap from 535MB to 512MB_x000D_
2019 09 01 20:14:11 986 11621 11621 com novaplay chatunseen I play chatunsee: Alloc concurrent copying GC freed 6(160B) AllocSpace objects  0(0B) LOS objects  0  free  511MB 512MB  paused 470us total 551 133ms_x000D_
2019 09 01 20:14:11 986 11621 11632 com novaplay chatunseen I play chatunsee: WaitForGcToComplete blocked HeapTrim on HeapTrim for 661 100ms_x000D_
2019 09 01 20:14:11 986 11621 11621 com novaplay chatunseen W play chatunsee: Throwing OutOfMemoryError with VmSize  4821432 kB  Failed to allocate a 421520 byte allocation with 251392 free bytes and 245KB until OOM  max allowed footprint 536870912  growth limit 536870912  (recursive case)_x000D_
2019 09 01 20:14:12 177 11621 11621 com novaplay chatunseen W play chatunsee:  main  prio 5 tid 1 Runnable_x000D_
2019 09 01 20:14:12 177 11621 11621 com novaplay chatunseen W play chatunsee:     group  main  sCount 0 dsCount 0 flags 0 obj 0x76c31b30 self 0x7568015c00_x000D_
2019 09 01 20:14:12 177 11621 11621 com novaplay chatunseen W play chatunsee:     sysTid 11621 nice  10 cgrp default sched 0 0 handle 0x75ee91f548_x000D_
2019 09 01 20:14:12 177 11621 11621 com novaplay chatunseen W play chatunsee:     state R schedstat ( 50859971379 146534889 4704 ) utm 5015 stm 70 core 4 HZ 100_x000D_
2019 09 01 20:14:12 177 11621 11621 com novaplay chatunseen W play chatunsee:     stack 0x7ffc3b5000 0x7ffc3b7000 stackSize 8MB_x000D_
2019 09 01 20:14:12 177 11621 11621 com novaplay chatunseen W play chatunsee:     held mutexes   mutator lock (shared held)_x000D_
2019 09 01 20:14:12 177 11621 11621 com novaplay chatunseen W play chatunsee:   native:  00 pc 00000000003c7d4c   system lib64 libart so (art::DumpNativeStack(std::  1::basic ostream char  std::  1::char traits char     int  BacktraceMap   char const   art::ArtMethod   void   bool) 220)_x000D_
2019 09 01 20:14:12 177 11621 11621 com novaplay chatunseen W play chatunsee:   native:  01 pc 00000000004a5b64   system lib64 libart so (art::Thread::DumpStack(std::  1::basic ostream char  std::  1::char traits char     bool  BacktraceMap   bool) const 352)_x000D_
2019 09 01 20:14:12 177 11621 11621 com novaplay chatunseen W play chatunsee:   native:  02 pc 00000000004a167c   system lib64 libart so (art::Thread::ThrowOutOfMemoryError(char const ) 152)_x000D_
2019 09 01 20:14:12 177 11621 11621 com novaplay chatunseen W play chatunsee:   native:  03 pc 00000000001f6b78   system lib64 libart so (art::gc::Heap::ThrowOutOfMemoryError(art::Thread   unsigned long  art::gc::AllocatorType) 632)_x000D_
2019 09 01 20:14:12 177 11621 11621 com novaplay chatunseen W play chatunsee:   native:  04 pc 00000000001fe470   system lib64 libart so (art::gc::Heap::AllocateInternalWithGc(art::Thread   art::gc::AllocatorType  bool  unsigned long  unsigned long   unsigned long   unsigned long   art::ObjPtr art::mirror::Class  ) 8888)_x000D_
2019 09 01 20:14:12 177 11621 11621 com novaplay chatunseen W play chatunsee:   native:  05 pc 0000000000146010   system lib64 libart so (art::mirror::Object  art::gc::Heap::AllocObjectWithAllocator true  true  art::mirror::SetLengthVisitor (art::Thread   art::ObjPtr art::mirror::Class   unsigned long  art::gc::AllocatorType  art::mirror::SetLengthVisitor const ) 2880)_x000D_
2019 09 01 20:14:12 177 11621 11621 com novaplay chatunseen W play chatunsee:   native:  06 pc 000000000011e89c   system lib64 libart so (art::ClassLinker::AllocPointerArray(art::Thread   unsigned long) 240)_x000D_
2019 09 01 20:14:12 177 11621 11621 com novaplay chatunseen W play chatunsee:   native:  07 pc 000000000049ddfc   system lib64 libart so (art::BuildInternalStackTraceVisitor false ::Init(int) 272)_x000D_
2019 09 01 20:14:12 177 11621 11621 com novaplay chatunseen W play chatunsee:   native:  08 pc 000000000049dc50   system lib64 libart so ( jobject  art::Thread::CreateInternalStackTrace false (art::ScopedObjectAccessAlreadyRunnable const ) const 260)_x000D_
2019 09 01 20:14:12 177 11621 11621 com novaplay chatunseen W play chatunsee:   native:  09 pc 00000000003f6ce0   system lib64 libart so (art::Throwable nativeFillInStackTrace( JNIEnv    jclass ) 48)_x000D_
2019 09 01 20:14:12 177 11621 11621 com novaplay chatunseen W play chatunsee:   native:  10 pc 0000000000143e20   system framework arm64 boot oat (offset 13b000) (java lang Throwable nativeFillInStackTrace 144)_x000D_
2019 09 01 20:14:12 177 11621 11621 com novaplay chatunseen W play chatunsee:   native:  11 pc 000000000003a4c8   dev ashmem dalvik jit code cache (deleted) (java lang Throwable fillInStackTrace 88)_x000D_
2019 09 01 20:14:12 177 11621 11621 com novaplay chatunseen W play chatunsee:   native:  12 pc 000000000056ef88   system lib64 libart so (art quick invoke stub 584)_x000D_
2019 09 01 20:14:12 177 11621 11621 com novaplay chatunseen W play chatunsee:   native:  13 pc 00000000000d4204   system lib64 libart so (art::ArtMethod::Invoke(art::Thread   unsigned int   unsigned int  art::JValue   char const ) 200)_x000D_
2019 09 01 20:14:12 177 11621 11621 com novaplay chatunseen W play chatunsee:   native:  14 pc 0000000000283fa8   system lib64 libart so (art::interpreter::ArtInterpreterToCompiledCodeBridge(art::Thread   art::ArtMethod   art::ShadowFrame   unsigned short  art::JValue ) 344)_x000D_
2019 09 01 20:14:12 177 11621 11621 com novaplay chatunseen W play chatunsee:   native:  15 pc 000000000027dfb0   system lib64 libart so (bool art::interpreter::DoCall false  false (art::ArtMethod   art::Thread   art::ShadowFrame   art::Instruction const   unsigned short  art::JValue ) 968)_x000D_
2019 09 01 20:14:12 177 11621 11621 com novaplay chatunseen W play chatunsee:   native:  16 pc 000000000053ea98   system lib64 libart so (MterpInvokeVirtual 588)_x000D_
2019 09 01 20:14:12 177 11621 11621 com novaplay chatunseen W play chatunsee:   native:  17 pc 0000000000561614   system lib64 libart so (ExecuteMterpImpl 14228)_x000D_
2019 09 01 20:14:12 177 11621 11621 com novaplay chatunseen W play chatunsee:   native:  18 pc 00000000000cd890   system framework boot vdex (java lang Throwable  init  30)_x000D_
2019 09 01 20:14:12 177 11621 11621 com novaplay chatunseen W play chatunsee:   native:  19 pc 0000000000257cb4   system lib64 libart so ( ZN3art11interpreterL7ExecuteEPNS 6ThreadERKNS 20CodeItemDataAccessorERNS 11ShadowFrameENS 6JValueEb llvm 4019025862 488)_x000D_
2019 09 01 20:14:12 178 11621 11621 com novaplay chatunseen W play chatunsee:   native:  20 pc 000000000025d7a8   system lib64 libart so (art::interpreter::ArtInterpreterToInterpreterBridge(art::Thread   art::CodeItemDataAccessor const   art::ShadowFrame   art::JValue ) 216)_x000D_
2019 09 01 20:14:12 178 11621 11621 com novaplay chatunseen W play chatunsee:   native:  21 pc 000000000027df94   system lib64 libart so (bool art::interpreter::DoCall false  false (art::ArtMethod   art::Thread   art::ShadowFrame   art::Instruction const   unsigned short  art::JValue ) 940)_x000D_
2019 09 01 20:14:12 178 11621 11621 com novaplay chatunseen W play chatunsee:   native:  22 pc 000000000053fdd8   system lib64 libart so (MterpInvokeDirect 296)_x000D_
2019 09 01 20:14:12 178 11621 11621 com novaplay chatunseen W play chatunsee:   native:  23 pc 0000000000561714   system lib64 libart so (ExecuteMterpImpl 14484)_x000D_
2019 09 01 20:14:12 178 11621 11621 com novaplay chatunseen W play chatunsee:   native:  24 pc 00000000000c6588   system framework boot vdex (java lang Error  init )_x000D_
2019 09 01 20:14:12 178 11621 11621 com novaplay chatunseen W play chatunsee:   native:  25 pc 0000000000257cb4   system lib64 libart so ( ZN3art11interpreterL7ExecuteEPNS 6ThreadERKNS 20CodeItemDataAccessorERNS 11ShadowFrameENS 6JValueEb llvm 4019025862 488)_x000D_
2019 09 01 20:14:12 178 11621 11621 com novaplay chatunseen W play chatunsee:   native:  26 pc 000000000025d7a8   system lib64 libart so (art::interpreter::ArtInterpreterToInterpreterBridge(art::Thread   art::CodeItemDataAccessor const   art::ShadowFrame   art::JValue ) 216)_x000D_
2019 09 01 20:14:12 178 11621 11621 com novaplay chatunseen W play chatunsee:   native:  27 pc 000000000027df94   system lib64 libart so (bool art::interpreter::DoCall false  false (art::ArtMethod   art::Thread   art::ShadowFrame   art::Instruction const   unsigned short  art::JValue ) 940)_x000D_
2019 09 01 20:14:12 178 11621 11621 com novaplay chatunseen W play chatunsee:   native:  28 pc 000000000053fdd8   system lib64 libart so (MterpInvokeDirect 296)_x000D_
2019 09 01 20:14:12 178 11621 11621 com novaplay chatunseen W play chatunsee:   native:  29 pc 0000000000561714   system lib64 libart so (ExecuteMterpImpl 14484)_x000D_
2019 09 01 20:14:12 178 11621 11621 com novaplay chatunseen W play chatunsee:   native:  30 pc 00000000000c3f62   system framework boot vdex (java lang AssertionError  init )_x000D_
2019 09 01 20:14:12 178 11621 11621 co</t>
  </si>
  <si>
    <t>ThaChillera-CardScore-21</t>
  </si>
  <si>
    <t>Save game restore game crash</t>
  </si>
  <si>
    <t>Game crashes when restoring a game with players that have been deleted_x000D_
_x000D_
Possible solutions: _x000D_
_x000D_
1  check if player is deleted_x000D_
2  don t delete players  just hide them</t>
  </si>
  <si>
    <t>Catfriend1-syncthing-android-477</t>
  </si>
  <si>
    <t>FolderList/DeviceList[Fragment] crash while parsing "config.xml"</t>
  </si>
  <si>
    <t xml:space="preserve">   _x000D_
2019 08 31 17:42:51 793 17139 17139 com github catfriend1 syncthingandroid debug W ConfigXml: Failed to parse config file   data user 0 com github catfriend1 syncthingandroid debug files config xml _x000D_
    org xml sax SAXParseException: expected:  remoteIgnoredDevice read: pendingDevice (position:END TAG   pendingDevice  137:182 in java io InputStreamReader 83cae2) _x000D_
        at org apache harmony xml parsers DocumentBuilderImpl parse(DocumentBuilderImpl java:147)_x000D_
        at com nutomic syncthingandroid util ConfigXml parseConfig(ConfigXml java:197)_x000D_
        at com nutomic syncthingandroid util ConfigXml loadConfig(ConfigXml java:117)_x000D_
        at com nutomic syncthingandroid fragments FolderListFragment updateList(FolderListFragment java:151)_x000D_
        at com nutomic syncthingandroid fragments FolderListFragment lambda  g2ZNTJrwleMWj0fjqGFk1PnxsE(Unknown Source:0)_x000D_
        at com nutomic syncthingandroid fragments    Lambda FolderListFragment  g2ZNTJrwleMWj0fjqGFk1PnxsE run(Unknown Source:2)_x000D_
        at android app Activity runOnUiThread(Activity java:6282)_x000D_
        at com nutomic syncthingandroid fragments FolderListFragment onTimerEvent(FolderListFragment java:131)_x000D_
        at com nutomic syncthingandroid fragments FolderListFragment access 000(FolderListFragment java:36)_x000D_
        at com nutomic syncthingandroid fragments FolderListFragment 1 run(FolderListFragment java:48)_x000D_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2019 08 31 17:42:51 793 17139 17139 com github catfriend1 syncthingandroid debug D AndroidRuntime: Shutting down VM_x000D_
    _x000D_
    _x000D_
              beginning of crash_x000D_
2019 08 31 17:42:51 794 17139 17139 com github catfriend1 syncthingandroid debug E AndroidRuntime: FATAL EXCEPTION: main_x000D_
    Process: com github catfriend1 syncthingandroid debug  PID: 17139_x000D_
    com nutomic syncthingandroid util ConfigXml OpenConfigException_x000D_
        at com nutomic syncthingandroid util ConfigXml parseConfig(ConfigXml java:202)_x000D_
        at com nutomic syncthingandroid util ConfigXml loadConfig(ConfigXml java:117)_x000D_
        at com nutomic syncthingandroid fragments FolderListFragment updateList(FolderListFragment java:151)_x000D_
        at com nutomic syncthingandroid fragments FolderListFragment lambda  g2ZNTJrwleMWj0fjqGFk1PnxsE(Unknown Source:0)_x000D_
        at com nutomic syncthingandroid fragments    Lambda FolderListFragment  g2ZNTJrwleMWj0fjqGFk1PnxsE run(Unknown Source:2)_x000D_
        at android app Activity runOnUiThread(Activity java:6282)_x000D_
        at com nutomic syncthingandroid fragments FolderListFragment onTimerEvent(FolderListFragment java:131)_x000D_
        at com nutomic syncthingandroid fragments FolderListFragment access 000(FolderListFragment java:36)_x000D_
        at com nutomic syncthingandroid fragments FolderListFragment 1 run(FolderListFragment java:48)_x000D_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2019 08 31 17:42:51 808 17139 17139 com github catfriend1 syncthingandroid debug I Process: Sending signal  PID: 17139 SIG: 9_x000D_
   </t>
  </si>
  <si>
    <t>fossasia-neurolab-android-448</t>
  </si>
  <si>
    <t>Density screen crash</t>
  </si>
  <si>
    <t xml:space="preserve">  Describe the bug  _x000D_
Memory graph density screen crash_x000D_
_x000D_
  Expected Behavior  _x000D_
No crash and display proper density graph _x000D_
_x000D_
  Steps to reproduce it  _x000D_
Click on density after data importing in memory graph _x000D_
_x000D_
  LogCat for the issue  _x000D_
N A_x000D_
_x000D_
  Would you like to work on the issue   _x000D_
Yes_x000D_
</t>
  </si>
  <si>
    <t>nextcloud-android-4438</t>
  </si>
  <si>
    <t xml:space="preserve">Nextcloud Android app crashes when selecting a folder, switching into gallery mode and go back </t>
  </si>
  <si>
    <t xml:space="preserve">    Actual behaviour_x000D_
The app crashes instantly_x000D_
_x000D_
    Expected behaviour_x000D_
The app should go back to the normal file browser with the selection still in place _x000D_
 _x000D_
    Steps to reproduce_x000D_
1  Select a folder _x000D_
2  Go into gallery mode _x000D_
3  Click on the back button _x000D_
_x000D_
_x000D_
    Environment data_x000D_
Android version: 9_x000D_
_x000D_
Device model: xiaomi mi 8_x000D_
_x000D_
Stock or customized system: custom rom havoc OS aosp_x000D_
_x000D_
Nextcloud app version: 3 8 0 rc3_x000D_
_x000D_
Nextcloud server version: 16 0 3_x000D_
_x000D_
    Logs_x000D_
     Web server error log_x000D_
   _x000D_
Insert your webserver log here_x000D_
   _x000D_
_x000D_
     Nextcloud log (data nextcloud log)_x000D_
   _x000D_
             CAUSE OF ERROR             _x000D_
_x000D_
java lang NullPointerException: Attempt to invoke virtual method  android view Window androidx fragment app FragmentActivity getWindow()  on a null object reference_x000D_
	at com owncloud android utils ThemeUtils colorStatusBar(ThemeUtils java:430)_x000D_
	at com owncloud android ui fragment OCFileListFragment MultiChoiceModeListener onDestroyActionMode(OCFileListFragment java:642)_x000D_
	at com android internal policy DecorView ActionModeCallback2Wrapper onDestroyActionMode(DecorView java:2409)_x000D_
	at androidx appcompat view SupportActionModeWrapper CallbackWrapper onDestroyActionMode(SupportActionModeWrapper java:177)_x000D_
	at androidx appcompat app AppCompatDelegateImpl ActionModeCallbackWrapperV9 onDestroyActionMode(AppCompatDelegateImpl java:2176)_x000D_
	at androidx appcompat view StandaloneActionMode finish(StandaloneActionMode java:111)_x000D_
	at androidx appcompat app AppCompatDelegateImpl onBackPressed(AppCompatDelegateImpl java:1112)_x000D_
	at androidx appcompat app AppCompatDelegateImpl onKeyUp(AppCompatDelegateImpl java:1206)_x000D_
	at androidx appcompat app AppCompatDelegateImpl dispatchKeyEvent(AppCompatDelegateImpl java:1184)_x000D_
	at androidx appcompat app AppCompatDelegateImpl AppCompatWindowCallback dispatchKeyEvent(AppCompatDelegateImpl java:2532)_x000D_
	at androidx appcompat view WindowCallbackWrapper dispatchKeyEvent(WindowCallbackWrapper java:59)_x000D_
	at com android internal policy DecorView dispatchKeyEvent(DecorView java:342)_x000D_
	at android view ViewRootImpl ViewPostImeInputStage processKeyEvent(ViewRootImpl java:5125)_x000D_
	at android view ViewRootImpl ViewPostImeInputStage onProcess(ViewRootImpl java:4993)_x000D_
	at android view ViewRootImpl InputStage deliver(ViewRootImpl java:4500)_x000D_
	at android view ViewRootImpl InputStage onDeliverToNext(ViewRootImpl java:4553)_x000D_
	at android view ViewRootImpl InputStage forward(ViewRootImpl java:4519)_x000D_
	at android view ViewRootImpl AsyncInputStage forward(ViewRootImpl java:4659)_x000D_
	at android view ViewRootImpl InputStage apply(ViewRootImpl java:4527)_x000D_
	at android view ViewRootImpl AsyncInputStage apply(ViewRootImpl java:4716)_x000D_
	at android view ViewRootImpl InputStage deliver(ViewRootImpl java:4500)_x000D_
	at android view ViewRootImpl InputStage onDeliverToNext(ViewRootImpl java:4553)_x000D_
	at android view ViewRootImpl InputStage forward(ViewRootImpl java:4519)_x000D_
	at android view ViewRootImpl InputStage apply(ViewRootImpl java:4527)_x000D_
	at android view ViewRootImpl InputStage deliver(ViewRootImpl java:4500)_x000D_
	at android view ViewRootImpl InputStage onDeliverToNext(ViewRootImpl java:4553)_x000D_
	at android view ViewRootImpl InputStage forward(ViewRootImpl java:4519)_x000D_
	at android view ViewRootImpl AsyncInputStage forward(ViewRootImpl java:4659)_x000D_
	at android view ViewRootImpl InputStage apply(ViewRootImpl java:4527)_x000D_
	at android view ViewRootImpl AsyncInputStage apply(ViewRootImpl java:4716)_x000D_
	at android view ViewRootImpl InputStage deliver(ViewRootImpl java:4500)_x000D_
	at android view ViewRootImpl InputStage onDeliverToNext(ViewRootImpl java:4553)_x000D_
	at android view ViewRootImpl InputStage forward(ViewRootImpl java:4519)_x000D_
	at android view ViewRootImpl InputStage apply(ViewRootImpl java:4527)_x000D_
	at android view ViewRootImpl InputStage deliver(ViewRootImpl java:4500)_x000D_
	at android view ViewRootImpl InputStage onDeliverToNext(ViewRootImpl java:4553)_x000D_
	at android view ViewRootImpl InputStage forward(ViewRootImpl java:4519)_x000D_
	at android view ViewRootImpl AsyncInputStage forward(ViewRootImpl java:4659)_x000D_
	at android view ViewRootImpl InputStage apply(ViewRootImpl java:4527)_x000D_
	at android view ViewRootImpl AsyncInputStage apply(ViewRootImpl java:4716)_x000D_
	at android view ViewRootImpl InputStage deliver(ViewRootImpl java:4500)_x000D_
	at android view ViewRootImpl deliverInputEvent(ViewRootImpl java:7340)_x000D_
	at android view ViewRootImpl doProcessInputEvents(ViewRootImpl java:7309)_x000D_
	at android view ViewRootImpl enqueueInputEvent(ViewRootImpl java:7270)_x000D_
	at android view ViewRootImpl WindowInputEventReceiver onInputEvent(ViewRootImpl java:7443)_x000D_
	at android view InputEventReceiver dispatchInputEvent(InputEventReceiver java:187)_x000D_
	at android os MessageQueue nativePollOnce(Native Method)_x000D_
	at android os MessageQueue next(MessageQueue java:326)_x000D_
	at android os Looper loop(Looper java:160)_x000D_
	at android app ActivityThread main(ActivityThread java:6698)_x000D_
	at java lang reflect Method invoke(Native Method)_x000D_
	at com android internal os RuntimeInit MethodAndArgsCaller run(RuntimeInit java:495)_x000D_
	at com android internal os ZygoteInit main(ZygoteInit java:859)_x000D_
_x000D_
             APP INFORMATION             _x000D_
ID: com nextcloud client_x000D_
Version: 30080053_x000D_
Build flavor: gplay_x000D_
_x000D_
             DEVICE INFORMATION             _x000D_
Brand: Xiaomi_x000D_
Device: dipper_x000D_
Model: MI 8_x000D_
Id: PQ3B 190801 002_x000D_
Product: dipper_x000D_
_x000D_
             FIRMWARE             _x000D_
SDK: 28_x000D_
Release: 9_x000D_
Incremental: eng zenix 20190828 174321_x000D_
_x000D_
   _x000D_
  NOTE:   Be super sure to remove sensitive data like passwords  note that everybody can look here  You can use the Issue Template application to prefill some of the required information: https:  apps nextcloud com apps issuetemplate_x000D_
</t>
  </si>
  <si>
    <t>square-okhttp-5402</t>
  </si>
  <si>
    <t>IllegasStateException closed</t>
  </si>
  <si>
    <t xml:space="preserve">Hi  I have random IllegalstateException crash in Fabric  But can t reproduce it _x000D_
  Screenshot 31 (https:  user images githubusercontent com 15791158 64016968 18b71b00 cb31 11e9 9059 aecd2e2c41a2 png)_x000D_
_x000D_
Users download file from server  For download I use regular HttpUrlConnection and read bytes from InputStream in while  On some iteration of read this crash happen  I close InputStream only in finally  so it can t be closed before while finish _x000D_
_x000D_
   java_x000D_
    public static Response downloadFile(String url  String tmpFile) throws IOException  _x000D_
        InputStream is   null _x000D_
        OutputStream os   null _x000D_
        Response result _x000D_
        try  _x000D_
            URL urlFile   new URL(url) _x000D_
            HttpURLConnection connection   (HttpURLConnection) urlFile openConnection() _x000D_
            connection connect() _x000D_
_x000D_
            long size   connection getContentLength() _x000D_
            int code   connection getResponseCode() _x000D_
            Map String  List String   responseHeaders   connection getHeaderFields() _x000D_
            result   new Response(code  size  responseHeaders) _x000D_
_x000D_
            if (code    HttpURLConnection HTTP OK)  _x000D_
                return result _x000D_
             _x000D_
_x000D_
            is   connection getInputStream() _x000D_
            os   new FileOutputStream(tmpFile) _x000D_
_x000D_
            final byte   buf   new byte 1024  _x000D_
            int read _x000D_
              This read random crash_x000D_
            while ((read   is read(buf))     1)  _x000D_
                os write(buf  0  read) _x000D_
             _x000D_
            os flush() _x000D_
          finally  _x000D_
            if (is    null)  _x000D_
                is close() _x000D_
             _x000D_
            if (os    null)  _x000D_
                os close() _x000D_
             _x000D_
         _x000D_
        return result _x000D_
     _x000D_
   _x000D_
Looks like 100  Samsung  Android 6  7  8  9  _x000D_
Also looks like this happen always near finish of download  For example from 2738688 bytes was downloaded 2716156 and only 22532  left  Many crashes near the end of download </t>
  </si>
  <si>
    <t>square-okhttp-5401</t>
  </si>
  <si>
    <t>UndeliverableException after update from 3.14.2 to 4.0.0</t>
  </si>
  <si>
    <t xml:space="preserve">After updating okhttp to version 4 0 0   4 1 0 application crashes with UndeliverableException on devices running Android 10_x000D_
_x000D_
Crash log:_x000D_
  NoSuchMethod (https:  user images githubusercontent com 36672705 64016398 31bace80 cb27 11e9 95d4 26257fef0ece png)_x000D_
</t>
  </si>
  <si>
    <t>fieldsight-fieldsight-mobile-375</t>
  </si>
  <si>
    <t xml:space="preserve">Crash on map layer change </t>
  </si>
  <si>
    <t>Crash on map layer change_x000D_
_x000D_
 https:  console firebase google com project fieldsight 2906f crashlytics app android:org bcss collect android issues 83b39c7484a1553cdb50f67d03d7d25f time last seven days sessionId 5D64357E03B3000135F763F2F73D7A91 DNE 0 v2</t>
  </si>
  <si>
    <t>material-components-material-components-android-549</t>
  </si>
  <si>
    <t>[BottomNavigationView] crash when bundling bottomnavigationview</t>
  </si>
  <si>
    <t xml:space="preserve">  Description:   Crashlytics is reporting multiple instances following error  which points a bug at the bottom navigation view   I haven t nailed down the issue  looking through the source code it seems you are making the class loaders correctly  I m unsure of all the states that are being managed here or if there is a state where a parcelable will store a null but will keep digging  In the mean time  hoping someone with insight could help me figure this out  We will be disabling the saving functionality of the bottom nav bar in the mean time  _x000D_
_x000D_
   _x000D_
Fatal Exception: android os BadParcelableException: ClassNotFoundException when unmarshalling: com google android material bottomnavigation BottomNavigationView SavedState_x000D_
       at android os Parcel readParcelableCreator   2855(Parcel java:2855)_x000D_
       at android os Parcel readParcelable   2781(Parcel java:2781)_x000D_
       at android os Parcel readValue   2684(Parcel java:2684)_x000D_
       at android os Parcel readSparseArrayInternal   3134(Parcel java:3134)_x000D_
       at android os Parcel readSparseArray   2367(Parcel java:2367)_x000D_
       at android os Parcel readValue   2741(Parcel java:2741)_x000D_
       at android os Parcel readArrayMapInternal   3053(Parcel java:3053)_x000D_
       at android os BaseBundle initializeFromParcelLocked   288(BaseBundle java:288)_x000D_
       at android os BaseBundle unparcel   232(BaseBundle java:232)_x000D_
       at android os Bundle getSparseParcelableArray   1010(Bundle java:1010)_x000D_
       at com android internal policy PhoneWindow restoreHierarchyState   2204(PhoneWindow java:2204)_x000D_
       at android app Activity onRestoreInstanceState   1204(Activity java:1204)_x000D_
       at android app Activity performRestoreInstanceState   1159(Activity java:1159)_x000D_
       at android app Instrumentation callActivityOnRestoreInstanceState   1317(Instrumentation java:1317)_x000D_
       at android app ActivityThread handleStartActivity   3215(ActivityThread java:3215)_x000D_
       at android app servertransaction TransactionExecutor performLifecycleSequence   185(TransactionExecutor java:185)_x000D_
       at android app servertransaction TransactionExecutor cycleToPath   170(TransactionExecutor java:170)_x000D_
       at android app servertransaction TransactionExecutor executeLifecycleState   147(TransactionExecutor java:147)_x000D_
       at android app servertransaction TransactionExecutor execute   73(TransactionExecutor java:73)_x000D_
       at android app ActivityThread H handleMessage   2038(ActivityThread java:2038)_x000D_
       at android os Handler dispatchMessage   106(Handler java:106)_x000D_
       at android os Looper loop   226(Looper java:226)_x000D_
       at android app ActivityThread main   7183(ActivityThread java:7183)_x000D_
       at java lang reflect Method invoke(Method java)_x000D_
       at com android internal os RuntimeInit MethodAndArgsCaller run   576(RuntimeInit java:576)_x000D_
   _x000D_
_x000D_
  Expected behavior:   If the material design component is saving state for performance reasons  there shouldn t be a reason that the state should cause a crash through normal lifecycle events  _x000D_
_x000D_
  Source code:   We aren t doing anything advanced here _x000D_
_x000D_
In our activity we are using the binding to simply set up with nav controller_x000D_
   _x000D_
        bottomNavigationView   binding bottomNavigation_x000D_
_x000D_
        val navController   Navigation findNavController(this  R id teams nav fragment)_x000D_
        bottomNavigationView setupWithNavController(navController)_x000D_
   _x000D_
_x000D_
In our xml _x000D_
   _x000D_
         LinearLayout_x000D_
            android:layout width  match parent _x000D_
            android:layout height  match parent _x000D_
            android:orientation  vertical  _x000D_
             fragment_x000D_
                android:id    id frag _x000D_
                android:name  androidx navigation fragment NavHostFragment _x000D_
                android:layout width  match parent _x000D_
                android:layout height  0dp _x000D_
                android:layout weight  1 _x000D_
                app:defaultNavHost  true _x000D_
                app:navGraph   navigation nav test    _x000D_
_x000D_
             com google android material bottomnavigation BottomNavigationView_x000D_
                android:id    id bottom navigation _x000D_
                android:layout width  match parent _x000D_
                android:layout height  56dp _x000D_
                android:layout gravity  bottom _x000D_
                android:background   attr bottom nav background _x000D_
                app:elevation  0dp _x000D_
                app:itemIconTint   attr bottom nav selector _x000D_
                app:itemTextColor   attr bottom nav selector _x000D_
                app:menu   menu menu bottom navigation _x000D_
                app:labelVisibilityMode  labeled   _x000D_
          LinearLayout _x000D_
   _x000D_
_x000D_
  Android API version:   Android 9 PIE  api 28_x000D_
  Material Library version:   1 1 0 alpha03_x000D_
_x000D_
  Device:   Pixel 3 </t>
  </si>
  <si>
    <t>opensrp-opensrp-client-chw-717</t>
  </si>
  <si>
    <t>Clicking a family on All Families causes the app to crash</t>
  </si>
  <si>
    <t xml:space="preserve">   x  Clicking a family on the All Families register causes the app to crash </t>
  </si>
  <si>
    <t>gggiovanny-dicas-auditorias-app-1</t>
  </si>
  <si>
    <t>Crasheo general de la aplicacion</t>
  </si>
  <si>
    <t>En la pantalla de auditorias  la app crashea al consultar datos de la api cuando se intenta llenar un campo de la dataclasss cuando esta no existe el el registro</t>
  </si>
  <si>
    <t>nextcloud-android-4433</t>
  </si>
  <si>
    <t>FC while entering a synchronised folder</t>
  </si>
  <si>
    <t xml:space="preserve">I just had my first NC app crash ever  I did sync files which seemes to have succeeded  I just wanted to check and browsed that folder when the app crashed _x000D_
_x000D_
I use the latest Play Store Beta NC app on a OnePlus 6T  official OOS 9 0 16  Android 9 </t>
  </si>
  <si>
    <t>material-components-material-components-android-542</t>
  </si>
  <si>
    <t>[MaterialDatePicker] Crash when not using `viewInflaterClass` in the theme</t>
  </si>
  <si>
    <t xml:space="preserve">  Description:  _x000D_
In my theme I have  viewInflaterClass  set to the  AppCompatLayoutInflater  so I m not getting automatic conversion to  MaterialButton  for  Button  in my xml _x000D_
When trying to use  MaterialDatePicker   it crashes on showing the dialog with the following error:_x000D_
_x000D_
   _x000D_
java lang ClassCastException: androidx appcompat widget AppCompatButton cannot be cast to com google android material button MaterialButton_x000D_
        at com google android material picker MaterialDatePicker onCreateView(MaterialDatePicker java:188)_x000D_
        at androidx fragment app Fragment performCreateView(Fragment java:2595)_x000D_
        at androidx fragment app FragmentManagerImpl moveToState(FragmentManagerImpl java:881)_x000D_
        at androidx fragment app FragmentManagerImpl moveFragmentToExpectedState(FragmentManagerImpl java:1238)_x000D_
        at androidx fragment app FragmentManagerImpl moveToState(FragmentManagerImpl java:1303)_x000D_
        at androidx fragment app BackStackRecord executeOps(BackStackRecord java:439)_x000D_
   _x000D_
_x000D_
This happens because the internal layouts that the date picker uses (like  mtrl picker actions ) reference  Button  in their layouts and assume that these are replaced by  MaterialButton  at runtime _x000D_
_x000D_
Since these layouts are used internally  they should probably use references to  MaterialButton  directly _x000D_
_x000D_
  Expected behavior:  _x000D_
No crash when showing the dialog_x000D_
_x000D_
  Source code:  _x000D_
Easy to reproduce when changing  viewInflaterClass  in the theme to anything but the default in the Material theme  but please let me know if you need a sample to reproduce _x000D_
_x000D_
  Android API version:  _x000D_
Not specific to an API version_x000D_
_x000D_
  Material Library version:   _x000D_
1 1 0 alpha09_x000D_
_x000D_
  Device:   Device on which the bug was encountered here_x000D_
All :)_x000D_
</t>
  </si>
  <si>
    <t>danielR2001-flutter_exoplayer-5</t>
  </si>
  <si>
    <t>Notification Customization</t>
  </si>
  <si>
    <t xml:space="preserve">Hi I would like to ask if its possible to implement the following customizations _x000D_
_x000D_
         A way to show the current progress of the audio in the notification or hide the progressbar and show a text with the current time  _x000D_
   x   A way to show seekPosition buttons to skip for example 5 seconds in the notification  _x000D_
   x   Customize the Icons for example outline icons or fontawesome icons etc _x000D_
   x  Dismiss the notification if the audio was stopped with   audioPlayer stop() _x000D_
      It is dismissed but restarts after some milliseconds and displays the notification again and if I try to play again it crashes because the player was released after the stop methode  _x000D_
      A way to decide between expanded or collapsed notification style if possible _x000D_
      If subtitle is empty    show the title centered vertical on the collapsed notification_x000D_
 _x000D_
_x000D_
_x000D_
</t>
  </si>
  <si>
    <t>inaturalist-iNaturalistAndroid-699</t>
  </si>
  <si>
    <t>okhttp3.internal.platform.AndroidPlatform.buildIfSupported</t>
  </si>
  <si>
    <t xml:space="preserve">https:  fabric io inaturalist android apps org inaturalist android issues e4e869dcb0c4a6d74ccbf90399e47e69 time last thirty days_x000D_
_x000D_
   _x000D_
Caused by java lang IllegalStateException: Expected Android API level 21  but was 19_x000D_
       at okhttp3 internal platform AndroidPlatform buildIfSupported   238(AndroidPlatform java:238)_x000D_
       at okhttp3 internal platform Platform findPlatform   202(Platform java:202)_x000D_
       at okhttp3 internal platform Platform (Platform java:79)_x000D_
       at okhttp3 OkHttpClient newSslSocketFactory   263(OkHttpClient java:263)_x000D_
       at okhttp3 OkHttpClient (OkHttpClient java:229)_x000D_
       at okhttp3 OkHttpClient Builder build   1015(OkHttpClient java:1015)_x000D_
       at com google maps OkHttpRequestHandler Builder build   178(OkHttpRequestHandler java:178)_x000D_
       at com google maps GeoApiContext Builder build   543(GeoApiContext java:543)_x000D_
       at org inaturalist android INaturalistService 12 onLocation   3391(INaturalistService java:3391)_x000D_
       at org inaturalist android INaturalistService 17 1 run   6004(INaturalistService java:6004)_x000D_
       at java lang Thread run   841(Thread java:841)_x000D_
   _x000D_
_x000D_
Pretty recent crash  supposedly hitting folks running Android 4 (how are they even doing that ) and Android 7 _x000D_
_x000D_
https:  fabric io inaturalist android apps org inaturalist android issues 46ef6312a2e188f667eb72002e324fbb time last thirty days might be related  also seems to target Android 4 users    who shouldn t be able to install the app  right </t>
  </si>
  <si>
    <t>wdullaer-MaterialDateTimePicker-609</t>
  </si>
  <si>
    <t>NullPointer if app switcher is opened</t>
  </si>
  <si>
    <t xml:space="preserve">I implemented a simple datepicker with some selectable dates _x000D_
If the picker is open and I open the app switcher on my Samsung S5 mini running 6 0 1 the app crashes with the following log:_x000D_
_x000D_
   _x000D_
java lang NullPointerException: Attempt to invoke virtual method  int java lang Integer intValue()  on a null object reference_x000D_
        at com wdullaer materialdatetimepicker date DatePickerDialog onSaveInstanceState(DatePickerDialog java:299)_x000D_
        at androidx fragment app Fragment performSaveInstanceState(Fragment java:2626)_x000D_
        at androidx fragment app FragmentManagerImpl saveFragmentBasicState(FragmentManager java:2910)_x000D_
        at androidx fragment app FragmentManagerImpl saveAllState(FragmentManager java:2971)_x000D_
        at androidx fragment app FragmentController saveAllState(FragmentController java:134)_x000D_
        at androidx fragment app FragmentActivity onSaveInstanceState(FragmentActivity java:591)_x000D_
        at androidx appcompat app AppCompatActivity onSaveInstanceState(AppCompatActivity java:510)_x000D_
        at android app Activity performSaveInstanceState(Activity java:1487)_x000D_
        at android app Instrumentation callActivityOnSaveInstanceState(Instrumentation java:1318)_x000D_
        at android app ActivityThread callCallActivityOnSaveInstanceState(ActivityThread java:5489)_x000D_
        at android app ActivityThread performStopActivityInner(ActivityThread java:4777)_x000D_
        at android app ActivityThread handleStopActivity(ActivityThread java:4851)_x000D_
        at android app ActivityThread access 1400(ActivityThread java:229)_x000D_
        at android app ActivityThread H handleMessage(ActivityThread java:1850)_x000D_
        at android os Handler dispatchMessage(Handler java:102)_x000D_
        at android os Looper loop(Looper java:148)_x000D_
        at android app ActivityThread main(ActivityThread java:7331)_x000D_
        at java lang reflect Method invoke(Native Method)_x000D_
        at com android internal os ZygoteInit MethodAndArgsCaller run(ZygoteInit java:1230)_x000D_
        at com android internal os ZygoteInit main(ZygoteInit java:1120)_x000D_
   _x000D_
_x000D_
Is there a way to prevent the crash </t>
  </si>
  <si>
    <t>MozillaReality-FirefoxReality-1658</t>
  </si>
  <si>
    <t>The app crashes while navigating on Youtube website</t>
  </si>
  <si>
    <t xml:space="preserve">   Affected Versions :  _x000D_
  Firefox Reality 1 4 32352315 (08 23 2019)_x000D_
_x000D_
   Affected Platforms :  _x000D_
  Oculus Pacific   Android 7 1 2 (Oculus Go)_x000D_
  Oculus Quest   Android 7 1 1_x000D_
  HTC Vive Focus Plus   Android 7 1 2_x000D_
_x000D_
   Prerequisites :  _x000D_
  Have the latest Firefox Reality 1 4 32352315 (08 23 2019) apk  installed _x000D_
  The headset is turned on _x000D_
_x000D_
   Steps to reproduce :  _x000D_
1  Open the app _x000D_
2  Open a recommended video from Youtube _x000D_
3  Scroll through the page and play a second video _x000D_
4  Observe the behavior _x000D_
_x000D_
   Expected results :  _x000D_
  The websites is correctly scrolled navigated _x000D_
_x000D_
   Actual results :  _x000D_
  The app crashes _x000D_
_x000D_
   Notes :  _x000D_
  Attached is a screen recording of the issue:  link (https:  drive google com open id 1wcith9XiF1Jmc9hrGVXrDx6Byi2ilEA ) _x000D_
  Also  here is the  logcat (https:  drive google com open id 1rADbb0 28y E4jsMeX1aRXHzjKQMCMq3) recorded while reproducing this issue </t>
  </si>
  <si>
    <t>opensrp-opensrp-client-chw-668</t>
  </si>
  <si>
    <t>Fix app crashing after tapping on child row in family profile page</t>
  </si>
  <si>
    <t xml:space="preserve">The app crashes when I tap on the child s row in the family profile  You expect the child s profile to open  but the app crashes instead _x000D_
_x000D_
This is the 23 August Togo release </t>
  </si>
  <si>
    <t>opensrp-opensrp-client-chw-anc-243</t>
  </si>
  <si>
    <t xml:space="preserve">The app crashes when I tap on the child s row in the family profile  You expect the child s profile to open  but the app crashes instead _x000D_
_x000D_
This is the 23 August Togo release _x000D_
</t>
  </si>
  <si>
    <t>open-webrtc-toolkit-owt-client-android-141</t>
  </si>
  <si>
    <t>huawei Mate8 publish or subscribe stream with h264 lead crash</t>
  </si>
  <si>
    <t>AlphaWallet-alpha-wallet-android-832</t>
  </si>
  <si>
    <t>Kill the landscape mode switch when asking for fingerprint</t>
  </si>
  <si>
    <t>When I agreed to  Upgrade my security  I was prompt to use fingerprint sensor  Then  while trying to lift up phone to do so  it switches from portrait mode to landscape and caused an error  The app crashed and I had to start the backup process again _x000D_
_x000D_
https:  www dropbox com s tv15b2itakq4n6c 2019 08 26 2011 45 04 mov dl 0</t>
  </si>
  <si>
    <t>Swati4star-Images-to-PDF-789</t>
  </si>
  <si>
    <t>QR code &amp; bar code scanner not working properly</t>
  </si>
  <si>
    <t xml:space="preserve">    Steps to reproduce_x000D_
  on home page  select  QR   Barcodes _x000D_
  Scan a QR code or bar code_x000D_
  Enter PDF name_x000D_
_x000D_
    Expected behaviour_x000D_
  PDF should get created_x000D_
_x000D_
    Actual behaviour_x000D_
  App closes on scanning QR code   crashes on using barcodes </t>
  </si>
  <si>
    <t>nextcloud-android-4414</t>
  </si>
  <si>
    <t>App crash on start and periodically on folder sync</t>
  </si>
  <si>
    <t xml:space="preserve">    Actual behaviour_x000D_
  App crash on start and periodically on folder sync_x000D_
_x000D_
    Expected behaviour_x000D_
  app opened and sync files_x000D_
 _x000D_
    Steps to reproduce_x000D_
1  install app_x000D_
2  login to server_x000D_
_x000D_
_x000D_
_x000D_
    Environment data_x000D_
Android version: 9_x000D_
_x000D_
Device model: SM G965F_x000D_
_x000D_
Stock or customized system: stock_x000D_
_x000D_
Nextcloud app version: 3 8 0 RC2_x000D_
_x000D_
Nextcloud server version: 16 0 4_x000D_
_x000D_
    Logs_x000D_
   _x000D_
             CAUSE OF ERROR             _x000D_
_x000D_
android database sqlite SQLiteBlobTooBigException: Row too big to fit into CursorWindow requiredPos 5701  totalRows 1958_x000D_
 at android database sqlite SQLiteConnection nativeExecuteForCursorWindow(Native Method)_x000D_
 at android database sqlite SQLiteConnection executeForCursorWindow(SQLiteConnection java:1060)_x000D_
 at android database sqlite SQLiteSession executeForCursorWindow(SQLiteSession java:836)_x000D_
 at android database sqlite SQLiteQuery fillWindow(SQLiteQuery java:62)_x000D_
 at android database sqlite SQLiteCursor fillWindow(SQLiteCursor java:169)_x000D_
 at android database sqlite SQLiteCursor onMove(SQLiteCursor java:131)_x000D_
 at android database AbstractCursor moveToPosition(AbstractCursor java:237)_x000D_
 at android database AbstractCursor moveToNext(AbstractCursor java:269)_x000D_
 at com owncloud android providers FileContentProvider deleteDirectory(FileContentProvider java:183)_x000D_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deleteDirectory(FileContentProvider java:177)_x000D_
 at com owncloud android providers FileContentProvider delete(FileContentProvider java:127)_x000D_
 at com owncloud android providers FileContentProvider delete(FileContentProvider java:107)_x000D_
 at android content ContentProviderOperation apply(ContentProviderOperation java:299)_x000D_
 at com owncloud android providers FileContentProvider applyBatch(FileContentProvider java:653)_x000D_
 at android content ContentProvider Transport applyBatch(ContentProvider java:319)_x000D_
 at android content ContentProviderClient applyBatch(ContentProviderClient java:474)_x000D_
 at com owncloud android datamodel FileDataStorageManager saveFolder(FileDataStorageManager java:402)_x000D_
 at com owncloud android operations RefreshFolderOperation synchronizeData(RefreshFolderOperation java:441)_x000D_
 at com owncloud android operations RefreshFolderOperation fetchAndSyncRemoteFolder(RefreshFolderOperation java:339)_x000D_
 at com owncloud android operations RefreshFolderOperation run(RefreshFolderOperation java:224)_x000D_
 at com owncloud android lib common operations RemoteOperation execute(RemoteOperation java:138)_x000D_
 at com owncloud android syncadapter FileSyncAdapter synchronizeFolder(FileSyncAdapter java:268)_x000D_
 at com owncloud android syncadapter FileSyncAdapter onPerformSync(FileSyncAdapter java:180)_x000D_
 at android content AbstractThreadedSyncAdapter SyncThread run(AbstractThreadedSyncAdapter java:334)_x000D_
_x000D_
             APP INFORMATION             _x000D_
ID: com nextcloud client_x000D_
Version: 30080052_x000D_
Build flavor: gplay_x000D_
_x000D_
             DEVICE INFORMATION             _x000D_
Brand: samsung_x000D_
Device: star2lte_x000D_
Model: SM G965F_x000D_
Id: PPR1 180610 011_x000D_
Product: star2lteser_x000D_
_x000D_
             FIRMWARE             _x000D_
SDK: 28_x000D_
Release: 9_x000D_
Incremental: G965FXXU6CSG8_x000D_
   _x000D_
     Web server error log_x000D_
   _x000D_
root Nextcloud pgsql:   cat  var log apache2 error log_x000D_
 Sun Aug 25 06:28:01 659395 2019   http2:warn   pid 221  AH10034: The mpm module (prefork c) is not supported by mod http2  The mpm determines how things are processed in your server  HTTP 2 has more demands in this regard and the currently selected mpm will just not do  This is an advisory warning  Your server will continue to work  but the HTTP 2 protocol will be inactive _x000D_
 Sun Aug 25 06:28:01 685856 2019   mpm prefork:notice   pid 221  AH00163: Apache 2 4 39 (Ubuntu) OpenSSL 1 1 1c configured    resuming normal operations_x000D_
 Sun Aug 25 06:28:01 685888 2019   core:notice   pid 221  AH00094: Command line:   usr sbin apache2 _x000D_
 Sun Aug 25 14:52:03 600703 2019   authz core:error   pid 15079   client 192 168 3 8:53962  AH01630: client denied by server configuration:  var www nextcloud config_x000D_
_x000D_
   _x000D_
_x000D_
     Nextcloud log (data nextcloud log)_x000D_
   _x000D_
nextcloud server logs empty_x000D_
   _x000D_
</t>
  </si>
  <si>
    <t>nextcloud-android-4413</t>
  </si>
  <si>
    <t>Crash after upgrade</t>
  </si>
  <si>
    <t xml:space="preserve">    Actual behaviour_x000D_
  After upgrade  when logging into the server the app crashed_x000D_
_x000D_
    Expected behaviour_x000D_
  It should authorize the device and log in_x000D_
 _x000D_
    Steps to reproduce_x000D_
1  Upgrade the app_x000D_
2  Start the app and supply credentials_x000D_
3  Authorize the device_x000D_
_x000D_
    Exception log_x000D_
_x000D_
             CAUSE OF ERROR             _x000D_
_x000D_
java lang NullPointerException: Attempt to invoke virtual method  boolean java lang String isEmpty()  on a null object reference_x000D_
	at com owncloud android datamodel FileDataStorageManager createFileInstance(FileDataStorageManager java:1002)_x000D_
	at com owncloud android datamodel FileDataStorageManager getFileByPath(FileDataStorageManager java:105)_x000D_
	at com owncloud android ui activity FileDisplayActivity onAccountSet(FileDisplayActivity java:450)_x000D_
	at com owncloud android ui activity BaseActivity onStart(BaseActivity java:197)_x000D_
	at com owncloud android ui activity DrawerActivity onStart(DrawerActivity java:1404)_x000D_
	at com owncloud android ui activity FileActivity onStart(FileActivity java:204)_x000D_
	at com owncloud android ui activity FileDisplayActivity onStart(FileDisplayActivity java:2618)_x000D_
	at android app Instrumentation callActivityOnStart(Instrumentation java:1413)_x000D_
	at android app Activity performStart(Activity java:7169)_x000D_
	at android app ActivityThread handleStartActivity(ActivityThread java:3146)_x000D_
	at android app servertransaction TransactionExecutor performLifecycleSequence(TransactionExecutor java:180)_x000D_
	at android app servertransaction TransactionExecutor cycleToPath(TransactionExecutor java:165)_x000D_
	at android app servertransaction TransactionExecutor executeLifecycleState(TransactionExecutor java:142)_x000D_
	at android app servertransaction TransactionExecutor execute(TransactionExecutor java:70)_x000D_
	at android app ActivityThread H handleMessage(ActivityThread java:1977)_x000D_
	at android os Handler dispatchMessage(Handler java:106)_x000D_
	at android os Looper loop(Looper java:193)_x000D_
	at android app ActivityThread main(ActivityThread java:6923)_x000D_
	at java lang reflect Method invoke(Native Method)_x000D_
	at com android internal os RuntimeInit MethodAndArgsCaller run(RuntimeInit java:493)_x000D_
	at com android internal os ZygoteInit main(ZygoteInit java:870)_x000D_
_x000D_
             APP INFORMATION             _x000D_
ID: com nextcloud client_x000D_
Version: 30080051_x000D_
Build flavor: gplay_x000D_
_x000D_
             DEVICE INFORMATION             _x000D_
Brand: motorola_x000D_
Device: river_x000D_
Model: moto g(7)_x000D_
Id: PPO29 114 134_x000D_
Product: river_x000D_
_x000D_
             FIRMWARE             _x000D_
SDK: 28_x000D_
Release: 9_x000D_
Incremental: fee207_x000D_
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</si>
  <si>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opensrp-opensrp-client-reveal-378</t>
  </si>
  <si>
    <t>Investigate Sync Logout (Every 15 mins)</t>
  </si>
  <si>
    <t xml:space="preserve">The Thailand team has reported that the app logs out users about every 15 minutes while they are using the app  Please investigate this and see if the automatic sync that runs every 15 minutes is causing the user to be logged out or some crash </t>
  </si>
  <si>
    <t>nextcloud-android-4402</t>
  </si>
  <si>
    <t>Crash when opening Foto</t>
  </si>
  <si>
    <t xml:space="preserve">    Actual behaviour_x000D_
  open nextcloud app_x000D_
  select menu Fothis_x000D_
  crash_x000D_
_x000D_
             CAUSE OF ERROR             _x000D_
_x000D_
java lang ArrayIndexOutOfBoundsException: length 0  index 0_x000D_
	at androidx recyclerview widget GridLayoutManager calculateItemBorders(GridLayoutManager java:325)_x000D_
	at androidx recyclerview widget GridLayoutManager calculateItemBorders(GridLayoutManager java:310)_x000D_
	at androidx recyclerview widget GridLayoutManager updateMeasurements(GridLayoutManager java:281)_x000D_
	at androidx recyclerview widget GridLayoutManager onAnchorReady(GridLayoutManager java:356)_x000D_
	at androidx recyclerview widget LinearLayoutManager onLayoutChildren(LinearLayoutManager java:579)_x000D_
	at androidx recyclerview widget GridLayoutManager onLayoutChildren(GridLayoutManager java:171)_x000D_
	at androidx recyclerview widget RecyclerView dispatchLayoutStep2(RecyclerView java:3924)_x000D_
	at androidx recyclerview widget RecyclerView dispatchLayout(RecyclerView java:3641)_x000D_
	at androidx recyclerview widget RecyclerView onLayout(RecyclerView java:4194)_x000D_
	at android view View layout(View java:22419)_x000D_
	at android view ViewGroup layout(ViewGroup java:6584)_x000D_
	at androidx swiperefreshlayout widget SwipeRefreshLayout onLayout(SwipeRefreshLayout java:625)_x000D_
	at android view View layout(View java:22419)_x000D_
	at android view ViewGroup layout(ViewGroup java:6584)_x000D_
	at androidx coordinatorlayout widget CoordinatorLayout layoutChild(CoordinatorLayout java:1183)_x000D_
	at androidx coordinatorlayout widget CoordinatorLayout onLayoutChild(CoordinatorLayout java:870)_x000D_
	at androidx coordinatorlayout widget CoordinatorLayout onLayout(CoordinatorLayout java:889)_x000D_
	at android view View layout(View java:22419)_x000D_
	at android view ViewGroup layout(ViewGroup java:6584)_x000D_
	at android widget RelativeLayout onLayout(RelativeLayout java:1083)_x000D_
	at android view View layout(View java:22419)_x000D_
	at android view ViewGroup layout(ViewGroup java:6584)_x000D_
	at android widget FrameLayout layoutChildren(FrameLayout java:323)_x000D_
	at android widget FrameLayout onLayout(FrameLayout java:261)_x000D_
	at android view View layout(View java:22419)_x000D_
	at android view ViewGroup layout(ViewGroup java:6584)_x000D_
	at android widget LinearLayout setChildFrame(LinearLayout java:1812)_x000D_
	at android widget LinearLayout layoutHorizontal(LinearLayout java:1801)_x000D_
	at android widget LinearLayout onLayout(LinearLayout java:1567)_x000D_
	at android view View layout(View java:22419)_x000D_
	at android view ViewGroup layout(ViewGroup java:6584)_x000D_
	at android widget LinearLayout setChildFrame(LinearLayout java:1812)_x000D_
	at android widget LinearLayout layoutVertical(LinearLayout java:1656)_x000D_
	at android widget LinearLayout onLayout(LinearLayout java:1565)_x000D_
	at android view View layout(View java:22419)_x000D_
	at android view ViewGroup layout(ViewGroup java:6584)_x000D_
	at androidx drawerlayout widget DrawerLayout onLayout(DrawerLayout java:1231)_x000D_
	at android view View layout(View java:22419)_x000D_
	at android view ViewGroup layout(ViewGroup java:6584)_x000D_
	at android widget FrameLayout layoutChildren(FrameLayout java:323)_x000D_
	at android widget FrameLayout onLayout(FrameLayout java:261)_x000D_
	at android view View layout(View java:22419)_x000D_
	at android view ViewGroup layout(ViewGroup java:6584)_x000D_
	at android widget FrameLayout layoutChildren(FrameLayout java:323)_x000D_
	at android widget FrameLayout onLayout(FrameLayout java:261)_x000D_
	at android view View layout(View java:22419)_x000D_
	at android view ViewGroup layout(ViewGroup java:6584)_x000D_
	at android widget FrameLayout layoutChildren(FrameLayout java:323)_x000D_
	at android widget FrameLayout onLayout(FrameLayout java:261)_x000D_
	at android view View layout(View java:22419)_x000D_
	at android view ViewGroup layout(ViewGroup java:6584)_x000D_
	at android widget LinearLayout setChildFrame(LinearLayout java:1812)_x000D_
	at android widget LinearLayout layoutVertical(LinearLayout java:1656)_x000D_
	at android widget LinearLayout onLayout(LinearLayout java:1565)_x000D_
	at android view View layout(View java:22419)_x000D_
	at android view ViewGroup layout(ViewGroup java:6584)_x000D_
	at android widget FrameLayout layoutChildren(FrameLayout java:323)_x000D_
	at android widget FrameLayout onLayout(FrameLayout java:261)_x000D_
	at com android internal policy DecorView onLayout(DecorView java:1041)_x000D_
	at android view View layout(View java:22419)_x000D_
	at android view ViewGroup layout(ViewGroup java:6584)_x000D_
	at android view ViewRootImpl performLayout(ViewRootImpl java:3378)_x000D_
	at android view ViewRootImpl performTraversals(ViewRootImpl java:2842)_x000D_
	at android view ViewRootImpl doTraversal(ViewRootImpl java:1888)_x000D_
	at android view ViewRootImpl TraversalRunnable run(ViewRootImpl java:8511)_x000D_
	at android view Choreographer CallbackRecord run(Choreographer java:949)_x000D_
	at android view Choreographer doCallbacks(Choreographer java:761)_x000D_
	at android view Choreographer doFrame(Choreographer java:696)_x000D_
	at android view Choreographer FrameDisplayEventReceiver run(Choreographer java:935)_x000D_
	at android os Handler handleCallback(Handler java:873)_x000D_
	at android os Handler dispatchMessage(Handler java:99)_x000D_
	at android os Looper loop(Looper java:214)_x000D_
	at android app ActivityThread main(ActivityThread java:7050)_x000D_
	at java lang reflect Method invoke(Native Method)_x000D_
	at com android internal os RuntimeInit MethodAndArgsCaller run(RuntimeInit java:493)_x000D_
	at com android internal os ZygoteInit main(ZygoteInit java:965)_x000D_
_x000D_
             APP INFORMATION             _x000D_
ID: com nextcloud client_x000D_
Version: 30080052_x000D_
Build flavor: gplay_x000D_
_x000D_
             DEVICE INFORMATION             _x000D_
Brand: samsung_x000D_
Device: dreamlte_x000D_
Model: SM G950F_x000D_
Id: PPR1 180610 011_x000D_
Product: dreamltexx_x000D_
_x000D_
             FIRMWARE             _x000D_
SDK: 28_x000D_
Release: 9_x000D_
Incremental: G950FXXU5DSFB_x000D_
_x000D_
    Expected behaviour_x000D_
  show me my pics_x000D_
 _x000D_
    Steps to reproduce_x000D_
1  Open Nextcloud_x000D_
2  Select Menu Fotos_x000D_
3  Crash_x000D_
_x000D_
_x000D_
    Environment data_x000D_
Android version:_x000D_
9_x000D_
_x000D_
Device model: _x000D_
Brand: samsung_x000D_
Device: dreamlte_x000D_
Model: SM G950F_x000D_
_x000D_
Stock or customized system:_x000D_
Stock_x000D_
_x000D_
Nextcloud app version:_x000D_
_x000D_
Nextcloud server version:_x000D_
16 04_x000D_
_x000D_
    Logs_x000D_
See above_x000D_
_x000D_
     Web server error log_x000D_
_x000D_
Insert your webserver log here_x000D_
   _x000D_
_x000D_
     Nextcloud log (data nextcloud log)_x000D_
   Nothing (all levels selected)_x000D_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</si>
  <si>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freshollie-UsbGps4Droid-16</t>
  </si>
  <si>
    <t>v2.1.6 crashes at start but not v2.1.3 on LineageOS 9 possibly due to an issue with notifications</t>
  </si>
  <si>
    <t xml:space="preserve">Thank you for the great app _x000D_
_x000D_
Here is the logcat output which indicates the problem:_x000D_
_x000D_
   _x000D_
08 23 16:08:35 229   285   502 D audio hw primary: out set parameters: enter: usecase(4: audio ull playback) kvpairs: routing 2_x000D_
08 23 16:08:35 233   285  4026 D audio hw primary: start output stream: enter: stream(0xaa057000)usecase(4: audio ull playback) devices(0x2)_x000D_
08 23 16:08:35 233   285  4026 D audio hw primary: start output stream: enter: usecase(4: audio ull playback) devices(0x2)_x000D_
08 23 16:08:35 233   285  4026 D audio hw primary: select devices: out snd device(2: speaker) in snd device(0: )_x000D_
08 23 16:08:35 233   285  4026 W msm8974 platform: Codec backend bitwidth 16  samplerate 48000_x000D_
08 23 16:08:35 233   285  4026 D hardware info: hw info append hw type : device name   speaker_x000D_
08 23 16:08:35 233   285  4026 I msm8974 platform: platform send audio calibration: sending audio calibration for snd device(2) acdb id(15)_x000D_
08 23 16:08:35 233   285  4026 D ACDB LOADER: ACDB    send audio cal  acdb id   15  path    0_x000D_
08 23 16:08:35 233   285  4026 D ACDB LOADER: ACDB    send adm topology_x000D_
08 23 16:08:35 233   285  4026 D ACDB LOADER: ACDB    ACDB CMD GET AUDPROC COMMON TOPOLOGY ID_x000D_
08 23 16:08:35 233   285  4026 D ACDB LOADER: ACDB    send asm topology_x000D_
08 23 16:08:35 233   285  4026 D ACDB LOADER: ACDB    ACDB CMD GET AUDPROC STREAM TOPOLOGY ID_x000D_
08 23 16:08:35 233   285  4026 D ACDB LOADER: ACDB    send audtable_x000D_
08 23 16:08:35 233   285  4026 D ACDB LOADER: ACDB    ACDB CMD GET AUDPROC COMMON TABLE_x000D_
08 23 16:08:35 234   285  4026 D ACDB LOADER: ACDB    AUDIO SET AUDPROC CAL_x000D_
08 23 16:08:35 234   285  4026 D ACDB LOADER: ACDB    send audvoltable_x000D_
08 23 16:08:35 234   285  4026 D ACDB LOADER: ACDB    ACDB CMD GET AUDPROC GAIN DEP STEP TABLE_x000D_
08 23 16:08:35 234   285  4026 D         : Failed to fetch the lookup information of the device 0000000F _x000D_
08 23 16:08:35 234   285  4026 E ACDB LOADER: Error: ACDB AudProc vol returned    19_x000D_
08 23 16:08:35 234   285  4026 D ACDB LOADER: ACDB    AUDIO SET AUDPROC VOL CAL_x000D_
08 23 16:08:35 234   285  4026 D ACDB LOADER: ACDB    send afe cal_x000D_
08 23 16:08:35 234   285  4026 D ACDB LOADER: ACDB    ACDB CMD GET AFE COMMON TABLE_x000D_
08 23 16:08:35 234   285  4026 D         : Failed to fetch the lookup information of the device 0000000F _x000D_
08 23 16:08:35 234   285  4026 E ACDB LOADER: Error: ACDB AFE returned    19_x000D_
08 23 16:08:35 234   285  4026 D ACDB LOADER: ACDB    AUDIO SET AFE CAL_x000D_
08 23 16:08:35 234   285  4026 D audio route: Apply path: speaker_x000D_
08 23 16:08:35 259   285  4026 D audio route: Apply path: audio ull playback_x000D_
08 23 16:08:35 261   285  4026 D audio hw primary: select devices: done_x000D_
08 23 16:08:35 286  9268  9268 D USBGpsManager: Checking all connected devices_x000D_
08 23 16:08:35 288  9268  9268 D USBGpsManager: Checking device: 13097 3725_x000D_
08 23 16:08:35 288  9268  9268 D USBGpsManager: Found correct device_x000D_
08 23 16:08:35 290  9268  9268 D USBGpsManager: USB GPS manager enabled_x000D_
08 23 16:08:35 290  9268  9268 D USBGpsManager: starting connection and reading thread_x000D_
08 23 16:08:35 290  9268  9268 D USBGpsManager: starting connection to socket task_x000D_
08 23 16:08:35 294  9268  9268 D USBGpsManager: enabling mock locations provider: gps_x000D_
08 23 16:08:35 313  9268  9268 W Notification: Use of stream types is deprecated for operations other than volume control_x000D_
08 23 16:08:35 313  9268  9268 W Notification: See the documentation of setSound() for what to use instead with android media AudioAttributes to qualify your playback use case_x000D_
08 23 16:08:35 320   669   696 W ActivityManager: Error showing notification for service_x000D_
08 23 16:08:35 320   669   696 W ActivityManager: java lang RuntimeException: invalid channel for service notification: Notification(channel null pri 0 contentView null vibrate null sound null defaults 0x0 flags 0x50 color 0x00000000 vis PRIVATE)_x000D_
08 23 16:08:35 320   669   696 W ActivityManager: 	at com android server am ServiceRecord 1 run(ServiceRecord java:663)_x000D_
08 23 16:08:35 320   669   696 W ActivityManager: 	at android os Handler handleCallback(Handler java:873)_x000D_
08 23 16:08:35 320   669   696 W ActivityManager: 	at android os Handler dispatchMessage(Handler java:99)_x000D_
08 23 16:08:35 320   669   696 W ActivityManager: 	at android os Looper loop(Looper java:193)_x000D_
08 23 16:08:35 320   669   696 W ActivityManager: 	at android os HandlerThread run(HandlerThread java:65)_x000D_
08 23 16:08:35 320   669   696 W ActivityManager: 	at com android server ServiceThread run(ServiceThread java:44)_x000D_
08 23 16:08:35 336  9268  9268 D AndroidRuntime: Shutting down VM_x000D_
08 23 16:08:35 337  9268  9268 E AndroidRuntime: FATAL EXCEPTION: main_x000D_
08 23 16:08:35 337  9268  9268 E AndroidRuntime: Process: org broeuschmeul android gps usb provider  PID: 9268_x000D_
08 23 16:08:35 337  9268  9268 E AndroidRuntime: android app RemoteServiceException: Bad notification for startForeground: java lang RuntimeException: invalid channel for service notification: Notification(channel null pri 0 contentView null vibrate null sound null defaults 0x0 flags 0x50 color 0x00000000 vis PRIVATE)_x000D_
08 23 16:08:35 337  9268  9268 E AndroidRuntime: 	at android app ActivityThread H handleMessage(ActivityThread java:1745)_x000D_
08 23 16:08:35 337  9268  9268 E AndroidRuntime: 	at android os Handler dispatchMessage(Handler java:106)_x000D_
08 23 16:08:35 337  9268  9268 E AndroidRuntime: 	at android os Looper loop(Looper java:193)_x000D_
08 23 16:08:35 337  9268  9268 E AndroidRuntime: 	at android app ActivityThread main(ActivityThread java:6718)_x000D_
08 23 16:08:35 337  9268  9268 E AndroidRuntime: 	at java lang reflect Method invoke(Native Method)_x000D_
08 23 16:08:35 337  9268  9268 E AndroidRuntime: 	at com android internal os RuntimeInit MethodAndArgsCaller run(RuntimeInit java:493)_x000D_
08 23 16:08:35 337  9268  9268 E AndroidRuntime: 	at com android internal os ZygoteInit main(ZygoteInit java:858)_x000D_
08 23 16:08:35 343   669 16264 W ActivityManager:   Force finishing activity org broeuschmeul android gps usb provider  ui GpsInfoActivity_x000D_
08 23 16:08:35 376  9268  9268 I Process : Sending signal  PID: 9268 SIG: 9_x000D_
08 23 16:08:35 404   669 17182 I WindowManager: WIN DEATH: Window 658d874 u0 org broeuschmeul android gps usb provider org broeuschmeul android gps usb provider ui GpsInfoActivity _x000D_
08 23 16:08:35 404   669  8009 I ActivityManager: Process org broeuschmeul android gps usb provider (pid 9268) has died: fore TOP _x000D_
08 23 16:08:35 405   669  8009 W ActivityManager: Scheduling restart of crashed service org broeuschmeul android gps usb provider  driver USBGpsProviderService in 1000ms_x000D_
08 23 16:08:35 406   669   699 W libprocessgroup: kill( 9268  9) failed: No such process_x000D_
08 23 16:08:35 425   240   240 I Zygote  : Process 9268 exited due to signal (9)_x000D_
08 23 16:08:35 429   306   443 W SurfaceFlinger: Attempting to set client state on removed layer: org broeuschmeul android gps usb provider org broeuschmeul android gps usb provider ui GpsInfoActivity 0_x000D_
08 23 16:08:35 429   306   443 W SurfaceFlinger: Attempting to destroy on removed layer: org broeuschmeul android gps usb provider org broeuschmeul android gps usb provider ui GpsInfoActivity 0_x000D_
08 23 16:08:35 449   669   699 W libprocessgroup: kill( 9268  9) failed: No such process_x000D_
08 23 16:08:35 449   669   699 I libprocessgroup: Successfully killed process cgroup uid 10117 pid 9268 in 43ms_x000D_
08 23 16:08:35 534   669   720 W ActivityManager: setHasOverlayUi called on unknown pid: 9268_x000D_
08 23 16:08:35 537   669  2362 W ActivityManager: Unable to start service Intent   act com android launcher3 WINDOW OVERLAY dat app:  com android launcher3:10035 v 7 cv 9 pkg com google android googlequicksearchbox   U 0: not found_x000D_
08 23 16:08:35 544   669   697 W Looper  : Slow dispatch took 137ms android ui h com android server am ActivityManagerService UiHandler c null m 53_x000D_
08 23 16:08:35 571  3191  3400 W Adreno EGL:  qeglDrvAPI eglGetConfigAttrib:607 : EGL BAD ATTRIBUTE_x000D_
08 23 16:08:35 572  3191  3400 D vndksupport: Loading  vendor lib hw gralloc msm8974 so from current namespace instead of sphal namespace _x000D_
08 23 16:08:38 410   285   502 D audio hw primary: out standby: enter: stream (0xaa057000) usecase(4: audio ull playback)_x000D_
08 23 16:08:38 484   285   502 D hardware info: hw info append hw type : device name   speaker_x000D_
_x000D_
   </t>
  </si>
  <si>
    <t>Omega-R-OmegaRecyclerView-140</t>
  </si>
  <si>
    <t>Crash when using data binding</t>
  </si>
  <si>
    <t xml:space="preserve">First of all  thank your for this library and your work  Really appreciated _x000D_
_x000D_
I have a problem and I could use some help _x000D_
_x000D_
I have the following layout:_x000D_
_x000D_
   _x000D_
  xml version  1 0  encoding  utf 8   _x000D_
 layout xmlns:android  http:  schemas android com apk res android _x000D_
    xmlns:app  http:  schemas android com apk res auto _x000D_
    xmlns:tools  http:  schemas android com tools  _x000D_
_x000D_
     androidx coordinatorlayout widget CoordinatorLayout_x000D_
        android:layout width  match parent _x000D_
        android:layout height  match parent _x000D_
        android:background   color background whitish  _x000D_
_x000D_
         include_x000D_
            android:id    id appbar holder _x000D_
            layout   layout new element appbar collapsing classic    _x000D_
_x000D_
         RelativeLayout_x000D_
            android:layout width  match parent _x000D_
            android:layout height  match parent _x000D_
            app:layout behavior   string appbar scrolling view behavior  _x000D_
_x000D_
             com omega r libs omegarecyclerview OmegaRecyclerView_x000D_
                android:id    id discography tracklist _x000D_
                android:layout width  match parent _x000D_
                android:layout height  match parent _x000D_
                android:scrollbars  vertical _x000D_
                tools:listitem   layout new item discography track  _x000D_
_x000D_
                 include_x000D_
                    android:id    id tracklist header _x000D_
                    app:layout section  header _x000D_
                    layout   layout element tracklist header    _x000D_
_x000D_
                 TextView_x000D_
                    android:layout width  match parent _x000D_
                    android:layout height  100dp _x000D_
                    android:text  Footer _x000D_
                    app:layout section  footer   _x000D_
_x000D_
              com omega r libs omegarecyclerview OmegaRecyclerView _x000D_
_x000D_
             include_x000D_
                android:id    id loading _x000D_
                layout   layout new element loading _x000D_
                android:layout width  match parent _x000D_
                android:layout height  wrap content _x000D_
                android:layout margin   dimen space large _x000D_
                android:visibility  gone   _x000D_
_x000D_
             include_x000D_
                android:id    id error _x000D_
                layout   layout new element error _x000D_
                android:visibility  gone    _x000D_
_x000D_
             include_x000D_
                android:id    id empty _x000D_
                layout   layout new element empty content _x000D_
                android:visibility  gone    _x000D_
_x000D_
          RelativeLayout _x000D_
_x000D_
      androidx coordinatorlayout widget CoordinatorLayout _x000D_
_x000D_
  layout _x000D_
_x000D_
   _x000D_
_x000D_
which contains your recyclerView  a header and a footer  This layout  as well as the header layout are using data binding _x000D_
_x000D_
At the code  I access them like that:_x000D_
_x000D_
    _x000D_
override fun onCreateView(inflater: LayoutInflater  container: ViewGroup   savedInstanceState: Bundle ): View   _x000D_
        binding   DataBindingUtil inflate(inflater  R layout new fragment album  container  false)_x000D_
_x000D_
        return binding root_x000D_
     _x000D_
_x000D_
   _x000D_
_x000D_
 binding tracklistHeader albumDescription text   album   infoEn_x000D_
_x000D_
        binding discographyTracklist hasFixedSize()_x000D_
        binding discographyTracklist addItemDecoration(DividerItemDecoration(context  LinearLayoutManager(context) orientation))_x000D_
        binding discographyTracklist adapter   tracksAdapter_x000D_
        binding discographyTracklist setHeadersVisibility(true)_x000D_
        binding discographyTracklist setFootersVisibility(true)_x000D_
   _x000D_
_x000D_
_x000D_
Unfortunately  it crashes with the following message:_x000D_
_x000D_
_x000D_
   _x000D_
java lang NullPointerException: Attempt to invoke virtual method  void se onemanstudio rammstein databinding ElementTracklistHeaderBinding invalidateAll()  on a null object reference_x000D_
        at se onemanstudio rammstein databinding NewFragmentAlbumBindingImpl invalidateAll(NewFragmentAlbumBindingImpl java:72)_x000D_
        at se onemanstudio rammstein databinding NewFragmentAlbumBindingImpl  init (NewFragmentAlbumBindingImpl java:63)_x000D_
        at se onemanstudio rammstein databinding NewFragmentAlbumBindingImpl  init (NewFragmentAlbumBindingImpl java:44)_x000D_
        at se onemanstudio rammstein DataBinderMapperImpl getDataBinder(DataBinderMapperImpl java:314)_x000D_
        at androidx databinding MergedDataBinderMapper getDataBinder(MergedDataBinderMapper java:74)_x000D_
        at androidx databinding DataBindingUtil bind(DataBindingUtil java:199)_x000D_
        at androidx databinding DataBindingUtil inflate(DataBindingUtil java:130)_x000D_
        at androidx databinding DataBindingUtil inflate(DataBindingUtil java:95)_x000D_
        at se onemanstudio rammstein v3 ui biosandalbums discography AlbumFragment onCreateView(AlbumFragment kt:38)_x000D_
        at androidx fragment app Fragment performCreateView(Fragment java:2600)_x000D_
   _x000D_
_x000D_
_x000D_
Does the library support data binding  What else might be the reason for the crash _x000D_
</t>
  </si>
  <si>
    <t>nextcloud-android-4399</t>
  </si>
  <si>
    <t>Crash when selecting from the app menu</t>
  </si>
  <si>
    <t>When choosing from the menu  Shared    On device    Photos  etc  At one point a crash app occurred _x000D_
_x000D_
_x000D_
               CAUSE OF ERROR             _x000D_
  _x000D_
  java lang NullPointerException: Attempt to invoke virtual method  char   java lang String toCharArray()  on a null object reference_x000D_
  	at java io File fixSlashes(File java:183)_x000D_
  	at java io File  init (File java:130)_x000D_
  	at com owncloud android ui adapter OCFileListAdapter onBindViewHolder(OCFileListAdapter java:433)_x000D_
  	at androidx recyclerview widget RecyclerView Adapter onBindViewHolder(RecyclerView java:6781)_x000D_
  	at androidx recyclerview widget RecyclerView Adapter bindViewHolder(RecyclerView java:6823)_x000D_
  	at androidx recyclerview widget RecyclerView Recycler tryBindViewHolderByDeadline(RecyclerView java:5752)_x000D_
  	at androidx recyclerview widget RecyclerView Recycler tryGetViewHolderForPositionByDeadline(RecyclerView java:6019)_x000D_
  	at androidx recyclerview widget RecyclerView Recycler getViewForPosition(RecyclerView java:5858)_x000D_
  	at androidx recyclerview widget RecyclerView Recycler getViewForPosition(RecyclerView java:5854)_x000D_
  	at androidx recyclerview widget LinearLayoutManager LayoutState next(LinearLayoutManager java:2230)_x000D_
  	at androidx recyclerview widget LinearLayoutManager layoutChunk(LinearLayoutManager java:1557)_x000D_
  	at androidx recyclerview widget LinearLayoutManager fill(LinearLayoutManager java:1517)_x000D_
  	at androidx recyclerview widget LinearLayoutManager onLayoutChildren(LinearLayoutManager java:612)_x000D_
  	at androidx recyclerview widget RecyclerView dispatchLayoutStep2(RecyclerView java:3924)_x000D_
  	at androidx recyclerview widget RecyclerView dispatchLayout(RecyclerView java:3641)_x000D_
  	at androidx recyclerview widget RecyclerView onLayout(RecyclerView java:4194)_x000D_
  	at android view View layout(View java:16694)_x000D_
  	at android view ViewGroup layout(ViewGroup java:5481)_x000D_
  	at androidx swiperefreshlayout widget SwipeRefreshLayout onLayout(SwipeRefreshLayout java:625)_x000D_
  	at android view View layout(View java:16694)_x000D_
  	at android view ViewGroup layout(ViewGroup java:5481)_x000D_
  	at androidx coordinatorlayout widget CoordinatorLayout layoutChild(CoordinatorLayout java:1183)_x000D_
  	at androidx coordinatorlayout widget CoordinatorLayout onLayoutChild(CoordinatorLayout java:870)_x000D_
  	at androidx coordinatorlayout widget CoordinatorLayout onLayout(CoordinatorLayout java:889)_x000D_
  	at android view View layout(View java:16694)_x000D_
  	at android view ViewGroup layout(ViewGroup java:5481)_x000D_
  	at android widget RelativeLayout onLayout(RelativeLayout java:1079)_x000D_
  	at android view View layout(View java:16694)_x000D_
  	at android view ViewGroup layout(ViewGroup java:5481)_x000D_
  	at android widget FrameLayout layoutChildren(FrameLayout java:336)_x000D_
  	at android widget FrameLayout onLayout(FrameLayout java:273)_x000D_
  	at android view View layout(View java:16694)_x000D_
  	at android view ViewGroup layout(ViewGroup java:5481)_x000D_
  	at android widget LinearLayout setChildFrame(LinearLayout java:1743)_x000D_
  	at android widget LinearLayout layoutHorizontal(LinearLayout java:1732)_x000D_
  	at android widget LinearLayout onLayout(LinearLayout java:1497)_x000D_
  	at android view View layout(View java:16694)_x000D_
  	at android view ViewGroup layout(ViewGroup java:5481)_x000D_
  	at android widget LinearLayout setChildFrame(LinearLayout java:1743)_x000D_
  	at android widget LinearLayout layoutVertical(LinearLayout java:1586)_x000D_
  	at android widget LinearLayout onLayout(LinearLayout java:1495)_x000D_
  	at android view View layout(View java:16694)_x000D_
  	at android view ViewGroup layout(ViewGroup java:5481)_x000D_
  	at androidx drawerlayout widget DrawerLayout onLayout(DrawerLayout java:1231)_x000D_
  	at android view View layout(View java:16694)_x000D_
  	at android view ViewGroup layout(ViewGroup java:5481)_x000D_
  	at android widget FrameLayout layoutChildren(FrameLayout java:336)_x000D_
  	at android widget FrameLayout onLayout(FrameLayout java:273)_x000D_
  	at android view View layout(View java:16694)_x000D_
  	at android view ViewGroup layout(ViewGroup java:5481)_x000D_
  	at android widget FrameLayout layoutChildren(FrameLayout java:336)_x000D_
  	at android widget FrameLayout onLayout(FrameLayout java:273)_x000D_
  	at android view View layout(View java:16694)_x000D_
  	at android view ViewGroup layout(ViewGroup java:5481)_x000D_
  	at android widget FrameLayout layoutChildren(FrameLayout java:336)_x000D_
  	at android widget FrameLayout onLayout(FrameLayout java:273)_x000D_
  	at android view View layout(View java:16694)_x000D_
  	at android view ViewGroup layout(ViewGroup java:5481)_x000D_
  	at android widget LinearLayout setChildFrame(LinearLayout java:1743)_x000D_
  	at android widget LinearLayout layoutVertical(LinearLayout java:1586)_x000D_
  	at android widget LinearLayout onLayout(LinearLayout java:1495)_x000D_
  	at android view View layout(View java:16694)_x000D_
  	at android view ViewGroup layout(ViewGroup java:5481)_x000D_
  	at android widget FrameLayout layoutChildren(FrameLayout java:336)_x000D_
  	at android widget FrameLayout onLayout(FrameLayout java:273)_x000D_
  	at com android internal policy PhoneWindow DecorView onLayout(PhoneWindow java:2697)_x000D_
  	at android view View layout(View java:16694)_x000D_
  	at android view ViewGroup layout(ViewGroup java:5481)_x000D_
  	at android view ViewRootImpl performLayout(ViewRootImpl java:2229)_x000D_
  	at android view ViewRootImpl performTraversals(ViewRootImpl java:1982)_x000D_
  	at android view ViewRootImpl doTraversal(ViewRootImpl java:1140)_x000D_
  	at android view ViewRootImpl TraversalRunnable run(ViewRootImpl java:6233)_x000D_
  	at android view Choreographer CallbackRecord run(Choreographer java:858)_x000D_
  	at android view Choreographer doCallbacks(Choreographer java:670)_x000D_
  	at android view Choreographer doFrame(Choreographer java:606)_x000D_
  	at android view Choreographer FrameDisplayEventReceiver run(Choreographer java:844)_x000D_
  	at android os Handler handleCallback(Handler java:739)_x000D_
  	at android os Handler dispatchMessage(Handler java:95)_x000D_
  	at android os Looper loop(Looper java:148)_x000D_
  	at android app ActivityThread main(ActivityThread java:5530)_x000D_
  	at java lang reflect Method invoke(Native Method)_x000D_
  	at com android internal os ZygoteInit MethodAndArgsCaller run(ZygoteInit java:734)_x000D_
  	at com android internal os ZygoteInit main(ZygoteInit java:624)_x000D_
_x000D_
_x000D_
    Environment data_x000D_
Android version: 6_x000D_
_x000D_
Nextcloud app version: dev 20190823_x000D_
_x000D_
Nextcloud server version: 16 0 4</t>
  </si>
  <si>
    <t>commons-app-apps-android-commons-3140</t>
  </si>
  <si>
    <t>IndexOutOfBoundsException when scrolling on Explore items, after a night of not using the app</t>
  </si>
  <si>
    <t xml:space="preserve">Yesterday on the emulator I was scrolling items in the Explore activity  and let the app like this _x000D_
This morning I came back to my computer  scrolled a bit again  and got this crash:_x000D_
   _x000D_
APP VERSION CODE 243_x000D_
APP VERSION NAME 2 10 2 debug upload caption depict_x000D_
ANDROID VERSION 9_x000D_
PHONE MODEL Android SDK built for x86_x000D_
STACK TRACE java lang IndexOutOfBoundsException: Inconsistency detected  Invalid view holder adapter positionViewHolder fa892 position 105 id  1  oldPos  1  pLpos: 1 no parent  androidx recyclerview widget RecyclerView 12c493a VFED V             0 11 1080 1458  7f090124 app:id imagesListBox   adapter:com pedrogomez renderers RVRendererAdapter b0709eb  layout:androidx recyclerview widget LinearLayoutManager dc70348  context:fr free nrw commons explore SearchActivity 4f736b_x000D_
at androidx recyclerview widget RecyclerView Recycler validateViewHolderForOffsetPosition(RecyclerView java:5815)_x000D_
at androidx recyclerview widget RecyclerView Recycler tryGetViewHolderForPositionByDeadline(RecyclerView java:5998)_x000D_
at androidx recyclerview widget GapWorker prefetchPositionWithDeadline(GapWorker java:286)_x000D_
at androidx recyclerview widget GapWorker flushTaskWithDeadline(GapWorker java:343)_x000D_
at androidx recyclerview widget GapWorker flushTasksWithDeadline(GapWorker java:359)_x000D_
at androidx recyclerview widget GapWorker prefetch(GapWorker java:366)_x000D_
at androidx recyclerview widget GapWorker run(GapWorker java:397)_x000D_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t>
  </si>
  <si>
    <t>react-native-cameraroll-react-native-cameraroll-80</t>
  </si>
  <si>
    <t>Intermittent IOS Crash When Fetching Photos</t>
  </si>
  <si>
    <t xml:space="preserve">  Bug_x000D_
_x000D_
Some users of our app are experiencing a crash when trying to retrieve their photos  This is the code used _x000D_
_x000D_
   _x000D_
  const photo opts    _x000D_
            first: 20 _x000D_
            assetType:  Photos _x000D_
    _x000D_
_x000D_
   const photos    await CameraRoll getPhotos(photo opts)_x000D_
_x000D_
   _x000D_
_x000D_
Calling this results in the following error detected from Bugsnag _x000D_
_x000D_
   _x000D_
_x000D_
EXC BREAKPOINT RNCAssetsLibraryRequestHandler m:146_x000D_
_x000D_
node modules  react native community cameraroll ios RNCAssetsLibraryRequestHandler m:146:7  59  RNCAssetsLibraryRequestHandler sendRequest:withDelegate:  block invoke 90_x000D_
_x000D_
    Frameworks CoreFoundation framework CoreFoundation  CFRelease_x000D_
    node modules  react native community cameraroll ios RNCAssetsLibraryRequestHandler m:146:7   59  RNCAssetsLibraryRequestHandler sendRequest:withDelegate:  block invoke 90_x000D_
    Frameworks Photos framework Photos    65  PHImageManager requestImageDataForAsset:options:resultHandler:  block invoke 2_x000D_
     usr lib system libdispatch dylib   dispatch call block and release_x000D_
     usr lib system libdispatch dylib   dispatch client callout_x000D_
     usr lib system libdispatch dylib   dispatch main queue callback 4CF VARIANT armv81_x000D_
    Frameworks CoreFoundation framework CoreFoundation    CFRUNLOOP IS SERVICING THE MAIN DISPATCH QUEUE  _x000D_
    Frameworks CoreFoundation framework CoreFoundation    CFRunLoopRun_x000D_
    Frameworks CoreFoundation framework CoreFoundation  CFRunLoopRunSpecific_x000D_
    PrivateFrameworks GraphicsServices framework GraphicsServices  GSEventRunModal_x000D_
    PrivateFrameworks UIKitCore framework UIKitCore  UIApplicationMain_x000D_
    lawnguruprovider main m:14:12 main_x000D_
     usr lib system libdyld dylib  start_x000D_
   _x000D_
_x000D_
   Environment info_x000D_
_x000D_
React native info output:_x000D_
_x000D_
   _x000D_
  React Native Environment Info:_x000D_
    System:_x000D_
      OS: macOS High Sierra 10 13 6_x000D_
      CPU: (8) x64 Intel(R) Core(TM) i7 4770HQ CPU   2 20GHz_x000D_
      Memory: 5 19 GB   16 00 GB_x000D_
      Shell: 3 2 57    bin bash_x000D_
    Binaries:_x000D_
      Node: 8 11 3    usr local bin node_x000D_
      Yarn: 1 3 2    usr local bin yarn_x000D_
      npm: 5 6 0    usr local bin npm_x000D_
      Watchman: 4 7 0    usr local bin watchman_x000D_
    SDKs:_x000D_
      iOS SDK:_x000D_
        Platforms: iOS 12 1  macOS 10 14  tvOS 12 1  watchOS 5 1_x000D_
      Android SDK:_x000D_
        API Levels: 23  26  27  28_x000D_
        Build Tools: 27 0 3  28 0 3  29 0 1_x000D_
        System Images: android 26   Google APIs Intel x86 Atom  android 28   Google Play Intel x86 Atom_x000D_
    IDEs:_x000D_
      Android Studio: 3 4 AI 183 6156 11 34 5692245_x000D_
      Xcode: 10 1 10B61    usr bin xcodebuild_x000D_
    npmPackages:_x000D_
      react:  16 9 0    16 9 0 _x000D_
      react native: 0 59 5    0 59 5 _x000D_
    npmGlobalPackages:_x000D_
      create react native app: 1 0 0_x000D_
      react native cli: 2 0 1_x000D_
      react native: 0 59 5_x000D_
   _x000D_
_x000D_
Library version: 1 1 1_x000D_
_x000D_
   Steps To Reproduce_x000D_
The issue is not reliably reproducible  However based on our error reports it is only on iOS and only on iOS 12 4  and 12 3_x000D_
   _x000D_
</t>
  </si>
  <si>
    <t>wiglenet-wigle-wifi-wardriving-366</t>
  </si>
  <si>
    <t>[FIX] Fix for old sqlite w/ no instr() function</t>
  </si>
  <si>
    <t xml:space="preserve">this will be slower  but won t crash on old (4 x) Android devices  Notes that instr() support seems to be occasionally present but unreliable on these devices </t>
  </si>
  <si>
    <t>cgeo-cgeo-7804</t>
  </si>
  <si>
    <t>Illegal Argument Exception in mapsforge V6</t>
  </si>
  <si>
    <t xml:space="preserve">  Describe the bug:  _x000D_
Tonight I tried to debug a user problem online on Facebook looking into the real time crash reports _x000D_
The user problem was  that c:geo crashed immediately after invoking any map action (live map  map of a cache)  The user was using an offline map  _x000D_
After changing to Google Maps in settings the problem was gone  After changing back to OSM  no matter if offline or online  the crashes have been back _x000D_
_x000D_
I think I have tracked down the relevant report on Google Play _x000D_
This seems to be a rather special case as it affects only two users at the moment _x000D_
_x000D_
Still I would like to know whats going on here_x000D_
_x000D_
Stack trace:_x000D_
   _x000D_
java lang IllegalArgumentException: _x000D_
 _x000D_
  at org mapsforge core util LatLongUtils validateLongitude (LatLongUtils java:317)_x000D_
 _x000D_
  at org mapsforge core model LatLong  init  (LatLong java:53)_x000D_
 _x000D_
  at cgeo geocaching maps mapsforge v6 layers HistoryLayer draw (HistoryLayer java:78)_x000D_
 _x000D_
  at org mapsforge map layer LayerManager doWork (LayerManager java:94)_x000D_
 _x000D_
  at org mapsforge map util PausableThread run (PausableThread java:147)_x000D_
   _x000D_
  Version of c:geo used:  _x000D_
2019 08 18_x000D_
_x000D_
  Is the problem reproducible:  _x000D_
I cannot reproduce_x000D_
_x000D_
  System information:  _x000D_
Samsung S9_x000D_
Android 9_x000D_
</t>
  </si>
  <si>
    <t>cgeo-cgeo-7800</t>
  </si>
  <si>
    <t>Google maps/satellite use old mapsforge v3?</t>
  </si>
  <si>
    <t xml:space="preserve">When using Google: Map and Google: Satellite  these are shown using  old mapsforge v3  library  apparently  even though this has been disabled in Settings  Map  _x000D_
_x000D_
I deduce this from the following: _x000D_
  map settings menu is the old style menu _x000D_
(AFAIK show circles is not available in the newer library)_x000D_
  the new tile scaling for high res displays is not applied _x000D_
_x000D_
  To Reproduce:  _x000D_
Steps to reproduce the behavior:_x000D_
1  have  old mapsforge v3  disabled in settings  maps_x000D_
2  open map  choose a google layer _x000D_
3  open map settings (for confirmation)_x000D_
_x000D_
  Expected behavior state after performing these steps:  _x000D_
There is room for a lot of discussion and what should be done  I think  _x000D_
  hide unsupported layers according to settings  _x000D_
  it would be a settings consistent behaviour to show only supported layers by selected map library  _x000D_
  it is detrimental to the user to prevent google layers usage if newer library selected (also default setting)  but results in inconsistencies (such as presented here)  _x000D_
  it would mean complicating the life of the user to show him error message and instructions to change library setting to see google layers_x000D_
  it would be vary bad policy towards users to simply hide the google layers and only make some reference in the docs about it (bad PR) _x000D_
_x000D_
I presume this is because the newer library does not support google layers or other technical or legal reasons and solving these problems would automatically resolve this issue as well  _x000D_
 Can it be solved in the not too distant future  _x000D_
_x000D_
I also suspect this mixup has caused many crashes in the previous release  (I experienced and reported some myself) _x000D_
_x000D_
  Version of c:geo used:  _x000D_
2019 08 18_x000D_
_x000D_
  Is the problem reproducible:  _x000D_
Yes _x000D_
_x000D_
  System information:  _x000D_
Same as described for https:  github com cgeo cgeo issues 7799_x000D_
</t>
  </si>
  <si>
    <t>cgeo-cgeo-7799</t>
  </si>
  <si>
    <t>Use compact icons apparently does not always work for waypoint icons</t>
  </si>
  <si>
    <t xml:space="preserve">Just tested against known crashes of previous version release  after upgrade to 2019 08 18 _x000D_
_x000D_
Using map with  old mapsforge v3  disabled  _x000D_
_x000D_
As I switch  map settings      use compact icons   the icons for waypoints do not change  _x000D_
_x000D_
Steps to reproduce: _x000D_
1  open map_x000D_
2  map settings  check  use compact icons  _x000D_
waypoint icons are unchanged _x000D_
_x000D_
if at this point I go back to main menu  then return to map  now all icons are the same (as they should be displayed correctly)  _x000D_
_x000D_
3  uncheck  use compact icons _x000D_
waypoint icons remain unchanged (compact)  _x000D_
_x000D_
again  if I go to main menu  then back to map  now I see icons correctly  _x000D_
_x000D_
  Expected behavior state after performing these steps:  _x000D_
All icons should change consistently  _x000D_
_x000D_
  Version of c:geo used:  _x000D_
2019 08 18_x000D_
_x000D_
  Is the problem reproducible:  _x000D_
Yes_x000D_
_x000D_
  Screenshots:  _x000D_
  Screenshot 20190822 122352 cgeo (https:  user images githubusercontent com 3382777 63503293 dd38a300 c4d7 11e9 900f 1b84a3c5b048 jpg)_x000D_
_x000D_
_x000D_
  System information:  _x000D_
  Screenshot 20190822 122532 cgeo (https:  user images githubusercontent com 3382777 63503343 f5102700 c4d7 11e9 877d 2c37375fc4ba jpg)_x000D_
</t>
  </si>
  <si>
    <t>innoveit-react-native-ble-manager-542</t>
  </si>
  <si>
    <t>App crashes when advertisement data seems to be null</t>
  </si>
  <si>
    <t xml:space="preserve">    Version_x000D_
_x000D_
  react native ble manager v6 6 8_x000D_
  react native v0 60 4_x000D_
  iOS Android: iOS 12 4_x000D_
_x000D_
_x000D_
I got this error from Bugsnag on the production version of my app  It seems like RSSI or the Advertisement data is null and the app crashes _x000D_
_x000D_
   _x000D_
NSInvalidArgumentException         NSPlaceholderDictionary initWithObjects:forKeys:count: : attempt to insert nil object from objects 2  _x000D_
    Frameworks CoreFoundation framework CoreFoundation    exceptionPreprocess_x000D_
     usr lib libobjc A dylib  objc exception throw_x000D_
    Frameworks CoreFoundation framework CoreFoundation   CFThrowFormattedException_x000D_
    Frameworks CoreFoundation framework CoreFoundation     NSPlaceholderDictionary initWithObjects:forKeys:count: _x000D_
    Frameworks CoreFoundation framework CoreFoundation   NSDictionary dictionaryWithObjects:forKeys:count: _x000D_
    node modules react native ble manager ios CBPeripheral Extensions m:280:10 dataToArrayBuffer_x000D_
    node modules react native ble manager ios CBPeripheral Extensions m:114:30   CBPeripheral(com megster ble extension) serializableAdvertisementData: _x000D_
    node modules react native ble manager ios CBPeripheral Extensions m:52:24   CBPeripheral(com megster ble extension) setAdvertisementData:RSSI: _x000D_
    node modules react native ble manager ios BleManager m:381:5   BleManager centralManager:didDiscoverPeripheral:advertisementData:RSSI: _x000D_
    Frameworks CoreBluetooth framework CoreBluetooth   CBCentralManager handlePeripheralDiscovered: _x000D_
    Frameworks CoreBluetooth framework CoreBluetooth   CBCentralManager handleMsg:args: _x000D_
    Frameworks CoreBluetooth framework CoreBluetooth    30  CBXpcConnection  handleMsg:  block invoke_x000D_
     usr lib system libdispatch dylib   dispatch call block and release_x000D_
     usr lib system libdispatch dylib   dispatch client callout_x000D_
     usr lib system libdispatch dylib   dispatch lane serial drain VARIANT mp_x000D_
     usr lib system libdispatch dylib   dispatch lane invoke VARIANT mp_x000D_
     usr lib system libdispatch dylib   dispatch main queue callback 4CF VARIANT mp_x000D_
    Frameworks CoreFoundation framework CoreFoundation    CFRUNLOOP IS SERVICING THE MAIN DISPATCH QUEUE  _x000D_
    Frameworks CoreFoundation framework CoreFoundation    CFRunLoopRun_x000D_
    Frameworks CoreFoundation framework CoreFoundation  CFRunLoopRunSpecific_x000D_
    PrivateFrameworks GraphicsServices framework GraphicsServices  GSEventRunModal_x000D_
    PrivateFrameworks UIKitCore framework UIKitCore  UIApplicationMain_x000D_
    remotecontrol main m:16:12 main_x000D_
     usr lib system libdyld dylib  start_x000D_
   _x000D_
_x000D_
</t>
  </si>
  <si>
    <t>fieldsight-fieldsight-mobile-355</t>
  </si>
  <si>
    <t>Crash while loading Site dashboard from map on some devices</t>
  </si>
  <si>
    <t>Taken from https:  console firebase google com project fieldsight 2906f crashlytics app android:org bcss collect android issues 81bbc69db2812a267015001f9d5bc3db time last seven days sessionId 5D5A4DF900F600013D5CCE631A547D78 DNE 0 v2</t>
  </si>
  <si>
    <t>nextcloud-android-4369</t>
  </si>
  <si>
    <t>Crash when entering external folder</t>
  </si>
  <si>
    <t xml:space="preserve">             CAUSE OF ERROR             _x000D_
_x000D_
java lang NullPointerException: Attempt to invoke virtual method  boolean java lang String isEmpty()  on a null object reference_x000D_
	at com owncloud android datamodel FileDataStorageManager createFileInstance(FileDataStorageManager java:1002)_x000D_
	at com owncloud android datamodel FileDataStorageManager getFolderContent(FileDataStorageManager java:864)_x000D_
	at com owncloud android datamodel FileDataStorageManager getFolderContent(FileDataStorageManager java:157)_x000D_
	at com owncloud android ui adapter OCFileListAdapter swapDirectory(OCFileListAdapter java:719)_x000D_
	at com owncloud android ui fragment OCFileListFragment listDirectory(OCFileListFragment java:1175)_x000D_
	at com owncloud android ui fragment OCFileListFragment listDirectory(OCFileListFragment java:1120)_x000D_
	at com owncloud android ui fragment OCFileListFragment onItemClicked(OCFileListFragment java:894)_x000D_
	at com owncloud android ui adapter OCFileListAdapter lambda onBindViewHolder 0 OCFileListAdapter(OCFileListAdapter java:337)_x000D_
	at com owncloud android ui adapter    Lambda OCFileListAdapter KYFT7zrcMuRQdUdOUJx291OJcIg onClick(Unknown Source:4)_x000D_
	at android view View performClick(Unknown Source:15)_x000D_
	at android view View PerformClick run(Unknown Source:2)_x000D_
	at android os Handler handleCallback(Unknown Source:2)_x000D_
	at android os Handler dispatchMessage(Unknown Source:4)_x000D_
	at android os Looper loop(Unknown Source:206)_x000D_
	at android app ActivityThread main(Unknown Source:113)_x000D_
	at java lang reflect Method invoke(Native Method)_x000D_
	at com android internal os Zygote MethodAndArgsCaller run(Unknown Source:11)_x000D_
	at com android internal os ZygoteInit main(Unknown Source:224)_x000D_
_x000D_
             APP INFORMATION             _x000D_
ID: com nextcloud client_x000D_
Version: 30080051_x000D_
Build flavor: gplay_x000D_
_x000D_
             DEVICE INFORMATION             _x000D_
Brand: htc_x000D_
Device: htc imeuhl_x000D_
Model: HTC U12 _x000D_
Id: OPR1 170623 032_x000D_
Product: imeuhl 00401_x000D_
_x000D_
             FIRMWARE             _x000D_
SDK: 26_x000D_
Release: 8 0 0_x000D_
Incremental: 1050003 2_x000D_
_x000D_
_x000D_
_x000D_
Steps to reproduce: I have several local folders mounted in NC as External storage  Every time app crashes when I try to enter in one specific folder  which is accessible in web portal and webdav  If more info is needed I can provide it </t>
  </si>
  <si>
    <t>MozillaReality-FirefoxReality-1627</t>
  </si>
  <si>
    <t>Crash on resume</t>
  </si>
  <si>
    <t xml:space="preserve">   Configuration_x000D_
_x000D_
      State the version number and build ID affected     _x000D_
      The build ID is obtained by clicking on the build date in settings     _x000D_
Firefox Reality version: 1 4_x000D_
Firefox Reality build ID: fe39b275e69c5621c5e1e0ca3c8b730245a34545_x000D_
_x000D_
      Include the name and version of the hardware VR headset you experienced the bug in     _x000D_
Hardware: NoAPI_x000D_
_x000D_
   Steps to Reproduce_x000D_
      For bugs  please provide a link to a live web site  test page  or a rough set of    _x000D_
      steps to reproduce this bug  If relevant  include code to reproduce     _x000D_
      Feel free to attach images and GIFs of screen captures     _x000D_
1  Resume FxR_x000D_
_x000D_
   Current Behavior_x000D_
      If describing a bug  tell us what happens instead of the expected behavior     _x000D_
      If suggesting a change improvement  explain the difference from current behavior     _x000D_
Intermittent crash _x000D_
   Expected Behavior_x000D_
      If you re describing a bug  tell us what should happen     _x000D_
      If you re suggesting a change improvement  tell us how it should work     _x000D_
FxR shouldn t crash on resume _x000D_
   Possible Solution_x000D_
       Optional     _x000D_
      Feel free to suggest a fix reason for the bug     _x000D_
      or ideas how to implement the addition or change     _x000D_
Looks like the  PermissionDelegate (https:  github com MozillaReality FirefoxReality blob fe39b275e69c5621c5e1e0ca3c8b730245a34545 app src common shared org mozilla vrbrowser browser PermissionDelegate java L165) has a  null   mContext  when called _x000D_
_x000D_
https:  crash stats mozilla com report index 6246f82e 5713 45f5 a2cf 7d7500190821_x000D_
</t>
  </si>
  <si>
    <t>defold-extension-push-4</t>
  </si>
  <si>
    <t>Android app crash in background</t>
  </si>
  <si>
    <t xml:space="preserve">App crashed in background when receiving push that was sended with latest Firebase API _x000D_
Legacy variant from  Defold manual (https:  www defold com manuals push   android setup) works well _x000D_
_x000D_
Tested with Defold versions: 1 2 159  1 2 160 _x000D_
Tested on Samsung Galaxy S10 (Android 9)  LG Nexus 5 (Android 6) _x000D_
_x000D_
Can be reproduced with:_x000D_
  https:  www npmjs com package firebase admin_x000D_
  https:  firebase google com docs reference fcm rest v1 projects messages send_x000D_
  Test message from https:  console firebase google com_x000D_
_x000D_
Logcat:_x000D_
   _x000D_
08 19 22:13:07 349 27697 27838 E AndroidRuntime: FATAL EXCEPTION: Firebase FirebaseMessagingService_x000D_
08 19 22:13:07 349 27697 27838 E AndroidRuntime: Process: com example todo  PID: 27697_x000D_
08 19 22:13:07 349 27697 27838 E AndroidRuntime: java lang NoClassDefFoundError: Failed resolution of: Lcom google firebase messaging R string _x000D_
08 19 22:13:07 349 27697 27838 E AndroidRuntime: 	at com google firebase messaging zza zzh(Unknown Source:165)_x000D_
08 19 22:13:07 349 27697 27838 E AndroidRuntime: 	at com google firebase messaging FirebaseMessagingService zzd(Unknown Source:57)_x000D_
08 19 22:13:07 349 27697 27838 E AndroidRuntime: 	at com google firebase iid zzg run(Unknown Source:4)_x000D_
08 19 22:13:07 349 27697 27838 E AndroidRuntime: 	at java util concurrent ThreadPoolExecutor runWorker(ThreadPoolExecutor java:1167)_x000D_
08 19 22:13:07 349 27697 27838 E AndroidRuntime: 	at java util concurrent ThreadPoolExecutor Worker run(ThreadPoolExecutor java:641)_x000D_
08 19 22:13:07 349 27697 27838 E AndroidRuntime: 	at com google android gms common util concurrent zza run(Unknown Source:6)_x000D_
08 19 22:13:07 349 27697 27838 E AndroidRuntime: 	at java lang Thread run(Thread java:764)_x000D_
08 19 22:13:07 349 27697 27838 E AndroidRuntime: Caused by: java lang ClassNotFoundException: Didn t find class  com google firebase messaging R string  on path: DexPathList  zip file   system framework org apache http legacy boot jar   zip file   data app com example todo 0xL9O0ZR Afd2lJNbMf4cA   base apk   nativeLibraryDirectories   data app com example todo 0xL9O0ZR Afd2lJNbMf4cA   lib arm64   data app com example todo 0xL9O0ZR Afd2lJNbMf4cA   base apk  lib arm64 v8a   system lib64  _x000D_
08 19 22:13:07 349 27697 27838 E AndroidRuntime: 	at dalvik system BaseDexClassLoader findClass(BaseDexClassLoader java:134)_x000D_
08 19 22:13:07 349 27697 27838 E AndroidRuntime: 	at java lang ClassLoader loadClass(ClassLoader java:379)_x000D_
08 19 22:13:07 349 27697 27838 E AndroidRuntime: 	at java lang ClassLoader loadClass(ClassLoader java:312)_x000D_
08 19 22:13:07 349 27697 27838 E AndroidRuntime: 	    7 more_x000D_
   </t>
  </si>
  <si>
    <t>mgks-os-fileup-21</t>
  </si>
  <si>
    <t>App crashes when I take picture from camera</t>
  </si>
  <si>
    <t xml:space="preserve">When I select image from gallery  it works fine but when I select camera option  after taking picture and pressing ok  app crashes  I traced the issue to intent being null  _x000D_
App works fine on emulator but not on real devices </t>
  </si>
  <si>
    <t>sschueller-peertube-android-150</t>
  </si>
  <si>
    <t>Crash with replicant 6</t>
  </si>
  <si>
    <t xml:space="preserve">Hello _x000D_
I know replicant 6 doesn t have video support  but with thorium I can download videos  I search the video  the page of the video opens but normally the video doesn t play  but when I use the hardware back button to return to the homepage it crashes  and make replicant globally crash _x000D_
_x000D_
I know replicant has for now no video support  but thorium is still practical to download videos which can be viewed later on an other device _x000D_
(and I like your software  I thought it can be nice to use it :)_x000D_
_x000D_
 bountysource plugin _x000D_
_x000D_
   _x000D_
Want to back this issue     Post a bounty on it  (https:  www bountysource com issues 79076324 crash with replicant 6 utm campaign plugin utm content tracker 2F89466969 utm medium issues utm source github)   We accept bounties via  Bountysource (https:  www bountysource com  utm campaign plugin utm content tracker 2F89466969 utm medium issues utm source github) _x000D_
  bountysource plugin </t>
  </si>
  <si>
    <t>niccokunzmann-mundraub-android-274</t>
  </si>
  <si>
    <t>small offline areas are not fully captured</t>
  </si>
  <si>
    <t xml:space="preserve">     If you report an app crash  please attach the eu quelltext mundraub log txt file_x000D_
     from the root of your phone s file system     _x000D_
_x000D_
When I select a small area for offline usage  it seems  not all tiles are stored _x000D_
_x000D_
Reproduce:_x000D_
1  go online_x000D_
2  Settings: choose small area  e g  around  Ziegeleipark Mildenberg _x000D_
3  download the area_x000D_
4   go offline_x000D_
5  open the map and see if everything is displayed_x000D_
_x000D_
The log also gives hints about whether the tiles are stored and which tiles are downloaded </t>
  </si>
  <si>
    <t>moberwasserlechner-capacitor-oauth2-52</t>
  </si>
  <si>
    <t>Android: App crashes if Intent data is null</t>
  </si>
  <si>
    <t>OAuth2ClientPlugin java line 222   response   AuthorizationResponse fromIntent(data)  _x000D_
Will crash the application when data is null  _x000D_
_x000D_
When chrome custom tabs(used by AppAuth) redirect back to the application using the uri scheme  the data provided to handleOnActivityResult can be null  _x000D_
Passing this to the AuthorizationReponse fromIntent causes the application to crash  _x000D_
_x000D_
Edit:_x000D_
 The same sort of issue can be found  here (https:  github com FormidableLabs react native app auth issues 130)</t>
  </si>
  <si>
    <t>opensrp-opensrp-client-chw-634</t>
  </si>
  <si>
    <t>Registering family head, child U5, other family member picture crashes app</t>
  </si>
  <si>
    <t xml:space="preserve">   x  When registering a new client on the health facility app and you try to take a picture of the client  the app crashes _x000D_
_x000D_
To replicate:_x000D_
1  Add a new family_x000D_
2  Add the family name information_x000D_
3  Add the family head and try to take a picture   same is true for children U5  other family members_x000D_
4  App crashes</t>
  </si>
  <si>
    <t>nextcloud-android-4353</t>
  </si>
  <si>
    <t>Photo view stops after 95 pictures</t>
  </si>
  <si>
    <t xml:space="preserve">OK  i just tested the 10427 build: no crash to report yet  but still stops after 95 pictures   _x000D_
_x000D_
 Originally posted by  mlaverdiere in https:  github com nextcloud android pull 2250 issuecomment 522237938 </t>
  </si>
  <si>
    <t>TeamNewPipe-NewPipe-2543</t>
  </si>
  <si>
    <t>So I used 0 17 0 and just suddenly I get Network error and the app is actling weird  I cannot access my bookmarks  the inside of them  But sometimes I can but then Newpipe just crashes after looking around  I can search and use the Internet in every other app except Newpipe  Tried 0 17 1 too  nothing  I tried a VPN  nothing  I tried my phone  nothing  Is this an issue for more than just me  I also restarted my WiFi and rebooted my phone  Nothing</t>
  </si>
  <si>
    <t>opensrp-opensrp-client-core-308</t>
  </si>
  <si>
    <t xml:space="preserve">Return error if the server url settings is blank or has incorrect url </t>
  </si>
  <si>
    <t xml:space="preserve">Steps: Go to the kebab menu on the login page  and click settings  then OpenSRP base url  Clear the entry and click ok  There is no response  nothing happens  only cancel can work _x000D_
_x000D_
   x  Give an error underneath the input text with the message  URL cannot be empty  The error message should be in red color_x000D_
_x000D_
   x  Configure crashlytics so that we know when an app crashes  and per the user statement:_x000D_
It was bringing a pop up message  Malawi HIS has stopped   It should provide a message that prompts user to check the url i e   Wrong URL   or  please check and update _x000D_
_x000D_
   x  With a wrong URL configured  the app allows the user to login due to offline support  The sync failed toaster message appears and disappears  If internet is on  then the message should be changed to  Sync Failed  Check server URL configuration _x000D_
_x000D_
   x  With a correct URL configured but it is unreachable or returns an error  If internet is on  then the message should be changed to  Sync Failed  Could not connect to the server </t>
  </si>
  <si>
    <t>MozillaReality-FirefoxReality-1597</t>
  </si>
  <si>
    <t>App crashes when a session is persisted without being fully created</t>
  </si>
  <si>
    <t xml:space="preserve">   Configuration_x000D_
_x000D_
      State the version number and build ID affected     _x000D_
      The build ID is obtained by clicking on the build date in settings     _x000D_
Firefox Reality version: 1 4_x000D_
Firefox Reality build ID: 2744a230_x000D_
_x000D_
      Include the name and version of the hardware VR headset you experienced the bug in     _x000D_
Hardware: All_x000D_
_x000D_
   Steps to Reproduce_x000D_
      For bugs  please provide a link to a live web site  test page  or a rough set of    _x000D_
      steps to reproduce this bug  If relevant  include code to reproduce     _x000D_
      Feel free to attach images and GIFs of screen captures     _x000D_
1  Launch FxR_x000D_
2  Open a new window_x000D_
3  Immediately after opening the window click on the home button and quit the app _x000D_
_x000D_
   Current Behavior_x000D_
      If describing a bug  tell us what happens instead of the expected behavior     _x000D_
      If suggesting a change improvement  explain the difference from current behavior     _x000D_
App crashes _x000D_
_x000D_
   Expected Behavior_x000D_
      If you re describing a bug  tell us what should happen     _x000D_
      If you re suggesting a change improvement  tell us how it should work     _x000D_
App should be quit and the windows state should be persisted _x000D_
_x000D_
   Possible Solution_x000D_
       Optional     _x000D_
      Feel free to suggest a fix reason for the bug     _x000D_
      or ideas how to implement the addition or change     _x000D_
Handle serialization when GeckoSession SessionState is null or is not fully created _x000D_
_x000D_
   Context_x000D_
       Optional     _x000D_
      How has this issue affected you  What are you trying to accomplish     _x000D_
      Providing context helps us come up with a solution that is most useful in the real world  :)    _x000D_
_x000D_
   Error Logs and Stack Traces_x000D_
       Optional     _x000D_
      These are very useful for quickly identifying the causes for bug fixes     _x000D_
      In Developer Mode  run  adb logcat  to capture potentially useful logs     _x000D_
 details open _x000D_
_x000D_
      DO NOT REMOVE THIS LINE     _x000D_
   _x000D_
java lang NullPointerException: Attempt to invoke virtual method  java lang String org mozilla geckoview GeckoSession SessionState toString()  on a null object reference_x000D_
        at org mozilla vrbrowser browser engine SessionState GeckoSessionStateAdapter write(SessionState java:41)_x000D_
        at org mozilla vrbrowser browser engine SessionState GeckoSessionStateAdapter write(SessionState java:38)_x000D_
   _x000D_
      DO NOT REMOVE THIS LINE     _x000D_
_x000D_
  details _x000D_
</t>
  </si>
  <si>
    <t>opensrp-opensrp-client-chw-629</t>
  </si>
  <si>
    <t>App crashes when removing a family head or primary caregiver family member</t>
  </si>
  <si>
    <t xml:space="preserve">      App crashes when you are removing a family member who is also the head of the family_x000D_
      App crashes when you are removing a family member who is also the primary caregiver_x000D_
_x000D_
Replicate:_x000D_
1  Navigate to family profile page_x000D_
2  Select  Remove existing family member _x000D_
3  Select the family head or primary caregiver_x000D_
4  App crashes</t>
  </si>
  <si>
    <t>opensrp-opensrp-client-chw-628</t>
  </si>
  <si>
    <t>App crashes when changing family head</t>
  </si>
  <si>
    <t xml:space="preserve">   x  App crashes when you try to change the family head from the family profile page_x000D_
_x000D_
Replicate:_x000D_
1  Go to a family profile page_x000D_
2  Select  Change family head  from 3 dot drop down_x000D_
3  App crashes</t>
  </si>
  <si>
    <t>opensrp-opensrp-client-chw-627</t>
  </si>
  <si>
    <t>App crashes when changing the primary care giver</t>
  </si>
  <si>
    <t xml:space="preserve">   x  App crashes when you try to change the family primary caregiver _x000D_
_x000D_
Replicate:_x000D_
1  Open a family profile_x000D_
2  Select  Change primary caregiver _x000D_
3  App crashes</t>
  </si>
  <si>
    <t>connectbot-connectbot-710</t>
  </si>
  <si>
    <t>NPE on org.connectbot.service.TerminalBridge#onDraw</t>
  </si>
  <si>
    <t xml:space="preserve">   Bug description_x000D_
_x000D_
  org connectbot service TerminalBridge onDraw  (https:  github com connectbot connectbot blob c4f21c10af8b0abde12ccfc3f20060362fe9e124 app src main java org connectbot service TerminalBridge java L714) can sometimes crash with an NPE while trying to access character attributes at https:  github com connectbot connectbot blob c4f21c10af8b0abde12ccfc3f20060362fe9e124 app src main java org connectbot service TerminalBridge java L733_x000D_
_x000D_
This is caused by   de mud terminal VDUBuffer insertLine(int  int  boolean)  (https:  github com connectbot connectbot blob c4f21c10af8b0abde12ccfc3f20060362fe9e124 app src main java de mud terminal VDUBuffer java L335) not always filling up all character attribute rows _x000D_
_x000D_
   Steps to reproduce_x000D_
_x000D_
1  Connect to a Ubuntu Bionic 18 04 2 LTS host_x000D_
2  Open tmux_x000D_
3  Start fiddling with zoom and scroll until it crashes_x000D_
_x000D_
   Expected behavior_x000D_
_x000D_
It shouldn t crash_x000D_
_x000D_
   Android device_x000D_
_x000D_
   Device: Android emulator (google apis playstore x86)_x000D_
   OS: Android 9 PSR1 180720 075_x000D_
   ConnectBot Version: 1 9 5  as well as master _x000D_
_x000D_
   Server information_x000D_
_x000D_
   OS: Ubuntu Bionic 18 04 2 LTS_x000D_
   SSH Software and Version: OpenSSH 7 6p1_x000D_
   Tmux version: 2 6_x000D_
_x000D_
   Additional context_x000D_
_x000D_
One sample crash trace:_x000D_
_x000D_
   _x000D_
08 17 18:23:40 270 10152  8683  8683 E AndroidRuntime: FATAL EXCEPTION: main_x000D_
08 17 18:23:40 270 10152  8683  8683 E AndroidRuntime: Process: org connectbot  PID: 8683_x000D_
08 17 18:23:40 270 10152  8683  8683 E AndroidRuntime: java lang NullPointerException: Attempt to read from null array_x000D_
08 17 18:23:40 270 10152  8683  8683 E AndroidRuntime: 	at org connectbot service TerminalBridge onDraw(TerminalBridge java:733)_x000D_
08 17 18:23:40 270 10152  8683  8683 E AndroidRuntime: 	at org connectbot TerminalView onDraw(TerminalView java:423)_x000D_
08 17 18:23:40 270 10152  8683  8683 E AndroidRuntime: 	at android view View draw(View java:20207)_x000D_
08 17 18:23:40 270 10152  8683  8683 E AndroidRuntime: 	at android view View buildDrawingCacheImpl(View java:19478)_x000D_
08 17 18:23:40 270 10152  8683  8683 E AndroidRuntime: 	at android view View buildDrawingCache(View java:19338)_x000D_
08 17 18:23:40 270 10152  8683  8683 E AndroidRuntime: 	at android view View updateDisplayListIfDirty(View java:19059)_x000D_
08 17 18:23:40 270 10152  8683  8683 E AndroidRuntime: 	at android view ViewGroup recreateChildDisplayList(ViewGroup java:4317)_x000D_
08 17 18:23:40 270 10152  8683  8683 E AndroidRuntime: 	at android view ViewGroup dispatchGetDisplayList(ViewGroup java:4290)_x000D_
08 17 18:23:40 270 10152  8683  8683 E AndroidRuntime: 	at android view View updateDisplayListIfDirty(View java:19042)_x000D_
08 17 18:23:40 270 10152  8683  8683 E AndroidRuntime: 	at android view ViewGroup recreateChildDisplayList(ViewGroup java:4317)_x000D_
08 17 18:23:40 270 10152  8683  8683 E AndroidRuntime: 	at android view ViewGroup dispatchGetDisplayList(ViewGroup java:4290)_x000D_
08 17 18:23:40 270 10152  8683  8683 E AndroidRuntime: 	at android view View updateDisplayListIfDirty(View java:19042)_x000D_
08 17 18:23:40 270 10152  8683  8683 E AndroidRuntime: 	at android view ViewGroup recreateChildDisplayList(ViewGroup java:4317)_x000D_
08 17 18:23:40 270 10152  8683  8683 E AndroidRuntime: 	at android view ViewGroup dispatchGetDisplayList(ViewGroup java:4290)_x000D_
08 17 18:23:40 270 10152  8683  8683 E AndroidRuntime: 	at android view View updateDisplayListIfDirty(View java:19042)_x000D_
08 17 18:23:40 270 10152  8683  8683 E AndroidRuntime: 	at android view ViewGroup recreateChildDisplayList(ViewGroup java:4317)_x000D_
08 17 18:23:40 270 10152  8683  8683 E AndroidRuntime: 	at android view ViewGroup dispatchGetDisplayList(ViewGroup java:4290)_x000D_
08 17 18:23:40 270 10152  8683  8683 E AndroidRuntime: 	at android view View updateDisplayListIfDirty(View java:19042)_x000D_
08 17 18:23:40 270 10152  8683  8683 E AndroidRuntime: 	at android view ViewGroup recreateChildDisplayList(ViewGroup java:4317)_x000D_
08 17 18:23:40 270 10152  8683  8683 E AndroidRuntime: 	at android view ViewGroup dispatchGetDisplayList(ViewGroup java:4290)_x000D_
08 17 18:23:40 270 10152  8683  8683 E AndroidRuntime: 	at android view View updateDisplayListIfDirty(View java:19042)_x000D_
08 17 18:23:40 270 10152  8683  8683 E AndroidRuntime: 	at android view ViewGroup recreateChildDisplayList(ViewGroup java:4317)_x000D_
08 17 18:23:40 270 10152  8683  8683 E AndroidRuntime: 	at android view ViewGroup dispatchGetDisplayList(ViewGroup java:4290)_x000D_
08 17 18:23:40 270 10152  8683  8683 E AndroidRuntime: 	at android view View updateDisplayListIfDirty(View java:19042)_x000D_
08 17 18:23:40 270 10152  8683  8683 E AndroidRuntime: 	at android view ViewGroup recreateChildDisplayList(ViewGroup java:4317)_x000D_
08 17 18:23:40 270 10152  8683  8683 E AndroidRuntime: 	at android view ViewGroup dispatchGetDisplayList(ViewGroup java:4290)_x000D_
08 17 18:23:40 270 10152  8683  8683 E AndroidRuntime: 	at android view View updateDisplayListIfDirty(View java:19042)_x000D_
08 17 18:23:40 270 10152  8683  8683 E AndroidRuntime: 	at android view ViewGroup recreateChildDisplayList(ViewGroup java:4317)_x000D_
08 17 18:23:40 270 10152  8683  8683 E AndroidRuntime: 	at android view ViewGroup dispatchGetDisplayList(ViewGroup java:4290)_x000D_
08 17 18:23:40 270 10152  8683  8683 E AndroidRuntime: 	at android view View updateDisplayListIfDirty(View java:19042)_x000D_
08 17 18:23:40 270 10152  8683  8683 E AndroidRuntime: 	at android view ThreadedRenderer updateViewTreeDisplayList(ThreadedRenderer java:686)_x000D_
08 17 18:23:40 270 10152  8683  8683 E AndroidRuntime: 	at android view ThreadedRenderer updateRootDisplayList(ThreadedRenderer java:692)_x000D_
08 17 18:23:40 270 10152  8683  8683 E AndroidRuntime: 	at android view ThreadedRenderer draw(ThreadedRenderer java:801)_x000D_
08 17 18:23:40 270 10152  8683  8683 E AndroidRuntime: 	at android view ViewRootImpl draw(ViewRootImpl java:3318)_x000D_
08 17 18:23:40 270 10152  8683  8683 E AndroidRuntime: 	at android view ViewRootImpl performDraw(ViewRootImpl java:3122)_x000D_
08 17 18:23:40 270 10152  8683  8683 E AndroidRuntime: 	at android view ViewRootImpl performTraversals(ViewRootImpl java:2481)_x000D_
08 17 18:23:40 270 10152  8683  8683 E AndroidRuntime: 	at android view ViewRootImpl doTraversal(ViewRootImpl java:1463)_x000D_
08 17 18:23:40 270 10152  8683  8683 E AndroidRuntime: 	at android view ViewRootImpl TraversalRunnable run(ViewRootImpl java:7190)_x000D_
08 17 18:23:40 270 10152  8683  8683 E AndroidRuntime: 	at android view Choreographer CallbackRecord run(Choreographer java:949)_x000D_
08 17 18:23:40 270 10152  8683  8683 E AndroidRuntime: 	at android view Choreographer doCallbacks(Choreographer java:761)_x000D_
08 17 18:23:40 270 10152  8683  8683 E AndroidRuntime: 	at android view Choreographer doFrame(Choreographer java:696)_x000D_
08 17 18:23:40 270 10152  8683  8683 E AndroidRuntime: 	at android view Choreographer FrameDisplayEventReceiver run(Choreographer java:935)_x000D_
08 17 18:23:40 270 10152  8683  8683 E AndroidRuntime: 	at android os Handler handleCallback(Handler java:873)_x000D_
08 17 18:23:40 270 10152  8683  8683 E AndroidRuntime: 	at android os Handler dispatchMessage(Handler java:99)_x000D_
08 17 18:23:40 270 10152  8683  8683 E AndroidRuntime: 	at android os Looper loop(Looper java:193)_x000D_
08 17 18:23:40 270 10152  8683  8683 E AndroidRuntime: 	at android app ActivityThread main(ActivityThread java:6718)_x000D_
08 17 18:23:40 270 10152  8683  8683 E AndroidRuntime: 	at java lang reflect Method invoke(Native Method)_x000D_
08 17 18:23:40 270 10152  8683  8683 E AndroidRuntime: 	at com android internal os RuntimeInit MethodAndArgsCaller run(RuntimeInit java:493)_x000D_
08 17 18:23:40 270 10152  8683  8683 E AndroidRuntime: 	at com android internal os ZygoteInit main(ZygoteInit java:858)_x000D_
08 17 18:23:40 276  1000  1189  3858 W ActivityManager:   Force finishing activity org connectbot  ConsoleActivity</t>
  </si>
  <si>
    <t>google-ExoPlayer-6308</t>
  </si>
  <si>
    <t>ImaAdsLoader null pointer at ImaAdsLoader.stop when trying to call Player.removeListener</t>
  </si>
  <si>
    <t xml:space="preserve">_x000D_
     REQUIRED  Issue description_x000D_
on crashlytics an increasingly large number of the following exception are popping up_x000D_
_x000D_
   _x000D_
Fatal Exception: java lang NullPointerException: Attempt to invoke interface method  void com google android exoplayer2 Player removeListener(com google android exoplayer2 Player EventListener)  on a null object reference_x000D_
       at com google android exoplayer2 ext ima ImaAdsLoader stop   630(ImaAdsLoader java:630)_x000D_
       at com google android exoplayer2 source ads    Lambda yBzHoZM9PK06K3WjH43AIns 6eA run(lambda)_x000D_
       at android os Handler handleCallback   739(Handler java:739)_x000D_
       at android os Handler dispatchMessage   95(Handler java:95)_x000D_
       at android os Looper loop   148(Looper java:148)_x000D_
       at android app ActivityThread main   7406(ActivityThread java:7406)_x000D_
       at java lang reflect Method invoke(Method java)_x000D_
       at com android internal os ZygoteInit MethodAndArgsCaller run   1230(ZygoteInit java:1230)_x000D_
       at com android internal os ZygoteInit main   1120(ZygoteInit java:1120)_x000D_
   _x000D_
_x000D_
the code for stopping and destroying is as follows :_x000D_
   _x000D_
 Override_x000D_
    protected void onStop()  _x000D_
       super onStop() _x000D_
        if(player  null)_x000D_
        player release() _x000D_
 Override_x000D_
    protected void onDestroy()  _x000D_
        super onDestroy() _x000D_
        if (imaAdsLoader    null)_x000D_
            imaAdsLoader release() _x000D_
     _x000D_
   _x000D_
_x000D_
     REQUIRED  Reproduction steps_x000D_
it is unclear when and why the issue occurs so can t be reproduced by us for now_x000D_
but it is normal behavior in our app to pause the player activity then show another activity _x000D_
then return to the video player activity multiple times during content play _x000D_
_x000D_
_x000D_
     REQUIRED  Link to test content_x000D_
_x000D_
     REQUIRED  A full bug report captured from the device_x000D_
_x000D_
_x000D_
     REQUIRED  Version of ExoPlayer being used_x000D_
2 10 0_x000D_
_x000D_
     REQUIRED  Device(s) and version(s) of Android being used_x000D_
mostly it is happening on Samsung Galaxy Grand Prime Plus devices running Android 6 and 8 OS _x000D_
_x000D_
     DO NOT DELETE_x000D_
validate template true_x000D_
template path  github ISSUE TEMPLATE bug md_x000D_
   _x000D_
</t>
  </si>
  <si>
    <t>AlphaWallet-alpha-wallet-android-814</t>
  </si>
  <si>
    <t>Transactions involving ether crash</t>
  </si>
  <si>
    <t xml:space="preserve">Go to WETH tokencard and wrap ether for WETH  it will crash  We need to fix this before the tutorial </t>
  </si>
  <si>
    <t>niccokunzmann-mundraub-android-272</t>
  </si>
  <si>
    <t>static map is not showing up</t>
  </si>
  <si>
    <t xml:space="preserve">     If you report an app crash  please attach the eu quelltext mundraub log txt file_x000D_
     from the root of your phone s file system     _x000D_
_x000D_
Currently  the preview image of the map is not available _x000D_
_x000D_
Related:  53   153 _x000D_
</t>
  </si>
  <si>
    <t>forrestguice-SuntimesWidget-353</t>
  </si>
  <si>
    <t>Intent resolution bugs</t>
  </si>
  <si>
    <t xml:space="preserve">Hello  we find several bugs in the code of 14 activities in version 0 11 3_x000D_
Because all these activities are exported ones  i e   be exposed to outside  they may receive unfriendly commands and then lead to app crash  _x000D_
Please help to confirm whether these crashes are bugs or just because of the misexposure of activities _x000D_
We believe that fixing these bugs will further improve the robustness of this app _x000D_
   1 com forrestguice suntimeswidget SuntimesActivity_x000D_
The exception trace is:_x000D_
 FATAL EXCEPTION: main_x000D_
java lang RuntimeException: Unable to start activity ComponentInfo com forrestguice suntimeswidget com forrestguice suntimeswidget SuntimesActivity : java lang NullPointerException: Attempt to invoke virtual method  boolean java lang String equals(java lang Object)  on a null object reference_x000D_
	at android app ActivityThread performLaunchActivity(ActivityThread java:2957)_x000D_
	at android app ActivityThread handleLaunchActivity(ActivityThread java:3032)_x000D_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boolean java lang String equals(java lang Object)  on a null object reference_x000D_
	at com forrestguice suntimeswidget LocationConfigView bundleData(LocationConfigView java:743)_x000D_
	at com forrestguice suntimeswidget LocationConfigView bundleData(LocationConfigView java:735)_x000D_
	at com forrestguice suntimeswidget LocationConfigView loadSettings(LocationConfigView java:682)_x000D_
	at com forrestguice suntimeswidget LocationConfigDialog onCreateDialog(LocationConfigDialog java:276)_x000D_
	at android support v4 app DialogFragment onGetLayoutInflater(DialogFragment java:310)_x000D_
	at android support v4 app Fragment performGetLayoutInflater(Fragment java:1166)_x000D_
	at android support v4 app FragmentManagerImpl moveToState(FragmentManager java:1340)_x000D_
	at android support v4 app FragmentManagerImpl moveFragmentToExpectedState(FragmentManager java:1569)_x000D_
	at android support v4 app FragmentManagerImpl moveToState(FragmentManager java:1636)_x000D_
	at android support v4 app BackStackRecord executeOps(BackStackRecord java:758)_x000D_
	at android support v4 app FragmentManagerImpl executeOps(FragmentManager java:2415)_x000D_
	at android support v4 app FragmentManagerImpl executeOpsTogether(FragmentManager java:2201)_x000D_
	at android support v4 app FragmentManagerImpl optimizeAndExecuteOps(FragmentManager java:2155)_x000D_
	at android support v4 app FragmentManagerImpl execPendingActions(FragmentManager java:2064)_x000D_
	at android support v4 app FragmentController execPendingActions(FragmentController java:379)_x000D_
	at android support v4 app FragmentActivity onStart(FragmentActivity java:607)_x000D_
	at android support v7 app AppCompatActivity onStart(AppCompatActivity java:178)_x000D_
	at com forrestguice suntimeswidget SuntimesActivity onStart(SuntimesActivity java:348)_x000D_
	at android app Instrumentation callActivityOnStart(Instrumentation java:1340)_x000D_
	at android app Activity performStart(Activity java:7200)_x000D_
	at android app ActivityThread performLaunchActivity(ActivityThread java:2920) _x000D_
_x000D_
    The command to trigger it is: adb shell am start  n com forrestguice suntimeswidget com forrestguice suntimeswidget SuntimesActivity  a aaaaaag  d l_x000D_
_x000D_
   2 com forrestguice suntimeswidget alarmclock ui AlarmDismissActivity_x000D_
The exception trace is:_x000D_
 FATAL EXCEPTION: main_x000D_
java lang RuntimeException: Unable to resume activity  com forrestguice suntimeswidget com forrestguice suntimeswidget alarmclock ui AlarmDismissActivity : java lang NumberFormatException: For input string:   A  _x000D_
	at android app ActivityThread performResumeActivity(ActivityThread java:3790)_x000D_
	at android app ActivityThread handleResumeActivity(ActivityThread java:3830)_x000D_
	at android app ActivityThread handleLaunchActivity(ActivityThread java:3038)_x000D_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NumberFormatException: For input string:   A  _x000D_
	at java lang Long parseLong(Long java:590)_x000D_
	at java lang Long parseLong(Long java:632)_x000D_
	at android content ContentUris parseId(ContentUris java:86)_x000D_
	at com forrestguice suntimeswidget alarmclock ui AlarmDismissActivity onResume(AlarmDismissActivity java:223)_x000D_
	at android app Instrumentation callActivityOnResume(Instrumentation java:1361)_x000D_
	at android app Activity performResume(Activity java:7361)_x000D_
	at android app ActivityThread performResumeActivity(ActivityThread java:3765) _x000D_
    The command to trigger it is: adb shell am start  n com forrestguice suntimeswidget com forrestguice suntimeswidget alarmclock ui AlarmDismissActivity  d A_x000D_
_x000D_
_x000D_
   3 com forrestguice suntimeswidget MoonWidget0ConfigActivity_x000D_
The exception trace is:_x000D_
 FATAL EXCEPTION: main_x000D_
java lang RuntimeException: Unable to destroy activity  com forrestguice suntimeswidget com forrestguice suntimeswidget MoonWidget0ConfigActivity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MoonWidget0ConfigActivity_x000D_
_x000D_
   4 com forrestguice suntimeswidget SuntimesConfigActivity0 2x1_x000D_
The exception trace is:_x000D_
 FATAL EXCEPTION: main_x000D_
java lang RuntimeException: Unable to destroy activity  com forrestguice suntimeswidget com forrestguice suntimeswidget SuntimesConfigActivity0 2x1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SuntimesConfigActivity0 2x1_x000D_
_x000D_
   5 com forrestguice suntimeswidget SuntimesConfigActivity0_x000D_
The exception trace is:_x000D_
 FATAL EXCEPTION: main_x000D_
java lang RuntimeException: Unable to destroy activity  com forrestguice suntimeswidget com forrestguice suntimeswidget SuntimesConfigActivity0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SuntimesConfigActivity0_x000D_
_x000D_
   6 com forrestguice suntimeswidget MoonWidget0ConfigActivity 3x1_x000D_
The exception trace is:_x000D_
 FATAL EXCEPTION: main_x000D_
java lang RuntimeException: Unable to destroy activity  com forrestguice suntimeswidget com forrestguice suntimeswidget MoonWidget0ConfigActivity 3x1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MoonWidget0ConfigActivity 3x1_x000D_
_x000D_
   7 com forrestguice suntimeswidget MoonWidget0ConfigActivity 2x1_x000D_
The exception trace is:_x000D_
 FATAL EXCEPTION: main_x000D_
java lang RuntimeException: Unable to destroy activity  com forrestguice suntimeswidget com forrestguice suntimeswidget MoonWidget0ConfigActivity 2x1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MoonWidget0ConfigActivity 2x1_x000D_
_x000D_
   8 com forrestguice suntimeswidget SuntimesConfigActivity1_x000D_
The exception trace is:_x000D_
 FATAL EXCEPTION: main_x000D_
java lang RuntimeException: Unable to destroy activity  com forrestguice suntimeswidget com forrestguice suntimeswidget SuntimesConfigActivity1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SuntimesConfigActivity1_x000D_
_x000D_
   9 com forrestguice suntimeswidget ClockWidget0ConfigActivity_x000D_
The exception trace is:_x000D_
 FATAL EXCEPTION: main_x000D_
java lang RuntimeException: Unable to destroy activity  com forrestguice suntimeswidget com forrestguice suntimeswidget ClockWidget0ConfigActivity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ClockWidget0ConfigActivity_x000D_
_x000D_
   10 com forrestguice suntimeswidget SuntimesConfigActivity2 3x1_x000D_
The exception trace is:_x000D_
 FATAL EXCEPTION: main_x000D_
java lang RuntimeException: Unable to destroy activity  com forrestguice suntimeswidget com forrestguice suntimeswidget SuntimesConfigActivity2 3x1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SuntimesConfigActivity2 3x1_x000D_
_x000D_
   11 com forrestguice suntimeswidget SuntimesConfigActivity2 3x2_x000D_
The exception trace is:_x000D_
 FATAL EXCEPTION: main_x000D_
java lang RuntimeException: Unable to destroy activity  com forrestguice suntimeswidget com forrestguice suntimeswidget SuntimesConfigActivity2 3x2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SuntimesConfigActivity2 3x2_x000D_
_x000D_
   12 com forrestguice suntimeswidget ClockWidget0ConfigActivity 3x1_x000D_
The exception trace is:_x000D_
 FATAL EXCEPTION: main_x000D_
java lang RuntimeException: Unable to destroy activity  com forrestguice suntimeswidget com forrestguice suntimeswidget ClockWidget0ConfigActivity 3x1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ClockWidget0ConfigActivity 3x1_x000D_
_x000D_
   13 com forrestguice suntimeswidget SuntimesConfigActivity2_x000D_
The exception trace is:_x000D_
 FATAL EXCEPTION: main_x000D_
java lang RuntimeException: Unable to destroy activity  com forrestguice suntimeswidget com forrestguice suntimeswidget SuntimesConfigActivity2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SuntimesConfigActivity2_x000D_
_x000D_
   14 com forrestguice suntimeswidget SolsticeWidget0ConfigActivity_x000D_
The exception trace is:_x000D_
 FATAL EXCEPTION: main_x000D_
java lang RuntimeException: Unable to destroy activity  com forrestguice suntimeswidget com forrestguice suntimeswidget SolsticeWidget0ConfigActivity : java lang NullPointerException: Attempt to invoke virtual method  void com forrestguice suntimeswidget LocationConfigView cancelGetFix()  on a null object reference_x000D_
	at android app ActivityThread performDestroyActivity(ActivityThread java:4605)_x000D_
	at android app ActivityThread handleDestroyActivity(ActivityThread java:4623)_x000D_
	at android app ActivityThread  wrap5(Unknown Source:0)_x000D_
	at android app ActivityThread H handleMessage(ActivityThread java:1757)_x000D_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void com forrestguice suntimeswidget LocationConfigView cancelGetFix()  on a null object reference_x000D_
	at com forrestguice suntimeswidget SuntimesConfigActivity0 onDestroy(SuntimesConfigActivity0 java:191)_x000D_
	at android app Activity performDestroy(Activity java:7479)_x000D_
	at android app Instrumentation callActivityOnDestroy(Instrumentation java:1255)_x000D_
	at android app ActivityThread performDestroyActivity(ActivityThread java:4592) _x000D_
    The command to trigger it is: adb shell am start  n com forrestguice suntimeswidget com forrestguice suntimeswidget SolsticeWidget0ConfigActivity_x000D_
</t>
  </si>
  <si>
    <t>react-native-webrtc-react-native-callkeep-82</t>
  </si>
  <si>
    <t>App crash, android 4.4.4</t>
  </si>
  <si>
    <t xml:space="preserve">what android supported version by this library  _x000D_
i run the app on android V 4 4 4 it crash_x000D_
i run it on android V 5 1 it run s perfectly_x000D_
 manuquentin </t>
  </si>
  <si>
    <t>UweTrottmann-SeriesGuide-662</t>
  </si>
  <si>
    <t>Include Play Core library to help fix sideloaded App Bundle APK</t>
  </si>
  <si>
    <t>SeriesGuide 50 ships as Android App Bundle  Based on crash logs there are many users which sideload the app  Due to the switch to app bundle they only sideload the  master  APK which does not include all resources  leading to crashes _x000D_
_x000D_
Use the Play Core library which can detect broken installs and direct users to download the app from Google Play  Or maybe roll our own detection and hint that a full   sideloadable  APK is available in this repo _x000D_
_x000D_
https:  developer android com guide app bundle sideload check</t>
  </si>
  <si>
    <t>k9mail-k-9-4160</t>
  </si>
  <si>
    <t>The application still has some bugs</t>
  </si>
  <si>
    <t xml:space="preserve">Hello  I noticed some crashes in logs  The corresponding commit version of code is e85e91c  and application version is 5 6 _x000D_
_x000D_
   1 com fsck k9 activity LauncherShortcuts_x000D_
The exception trace is:_x000D_
 FATAL EXCEPTION: main_x000D_
android util SuperNotCalledException: Activity  com fsck k9 com fsck k9 activity LauncherShortcuts  did not call through to super onCreate()_x000D_
	at android app ActivityThread performLaunchActivity(ActivityThread java:2913)_x000D_
	at android app ActivityThread handleLaunchActivity(ActivityThread java:3032)_x000D_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 _x000D_
_x000D_
    The command to trigger it is: adb shell am start  n com fsck k9 com fsck k9 activity LauncherShortcuts_x000D_
_x000D_
   2 com fsck k9 activity MessageList_x000D_
The exception trace is:_x000D_
 FATAL EXCEPTION: main_x000D_
java lang RuntimeException: Unable to start activity ComponentInfo com fsck k9 com fsck k9 activity MessageList : java lang NullPointerException: Attempt to invoke virtual method  boolean java lang String equals(java lang Object)  on a null object reference_x000D_
	at android app ActivityThread performLaunchActivity(ActivityThread java:2957)_x000D_
	at android app ActivityThread handleLaunchActivity(ActivityThread java:3032)_x000D_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boolean java lang String equals(java lang Object)  on a null object reference_x000D_
	at com fsck k9 search LocalSearch addAccountUuid(LocalSearch java:113)_x000D_
	at com fsck k9 activity MessageList decodeExtras(MessageList java:424)_x000D_
	at com fsck k9 activity MessageList onCreate(MessageList java:224)_x000D_
	at android app Activity performCreate(Activity java:7183)_x000D_
	at android app Instrumentation callActivityOnCreate(Instrumentation java:1220)_x000D_
	at android app ActivityThread performLaunchActivity(ActivityThread java:2910) _x000D_
    And this is our test case   action : android intent action SEARCH    category : null    data : null    type : null    extradata : String  query  abcde Bundle  app data  BundleObj ( String  com fsck k9 search folder  abcde )  _x000D_
_x000D_
   3 com fsck k9 activity Search_x000D_
The exception trace is:_x000D_
 FATAL EXCEPTION: main_x000D_
java lang RuntimeException: Unable to start activity ComponentInfo com fsck k9 com fsck k9 activity Search : java lang NullPointerException: Attempt to invoke virtual method  boolean java lang String equals(java lang Object)  on a null object reference_x000D_
	at android app ActivityThread performLaunchActivity(ActivityThread java:2957)_x000D_
	at android app ActivityThread handleLaunchActivity(ActivityThread java:3032)_x000D_
	at android app ActivityThread  wrap11(Unknown Source:0)_x000D_
	at android app ActivityThread H handleMessage(ActivityThread java:1696)_x000D_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boolean java lang String equals(java lang Object)  on a null object reference_x000D_
	at com fsck k9 search LocalSearch addAccountUuid(LocalSearch java:113)_x000D_
	at com fsck k9 activity MessageList decodeExtras(MessageList java:424)_x000D_
	at com fsck k9 activity MessageList onCreate(MessageList java:224)_x000D_
	at android app Activity performCreate(Activity java:7183)_x000D_
	at android app Instrumentation callActivityOnCreate(Instrumentation java:1220)_x000D_
	at android app ActivityThread performLaunchActivity(ActivityThread java:2910) _x000D_
    And this is our test case   action : android intent action SEARCH    category : null    data : null    type : null    extradata : String  query  abcde Bundle  app data  BundleObj ( String  com fsck k9 search folder  abcde )  _x000D_
_x000D_
Because all these activities are exported ones  i e   be exposed to outside  they may receive unfriendly commands and then lead to app crash  After investigation  we found that the missing of null checkers causes those crashes _x000D_
Please help to confirm whether they are true bugs  We believe that fixing these bugs will further improve the robustness of this app </t>
  </si>
  <si>
    <t>deltachat-deltachat-android-1023</t>
  </si>
  <si>
    <t>Crash on missing/not working camera or sensors</t>
  </si>
  <si>
    <t xml:space="preserve">  Platform android:_x000D_
  Device: bq Aquaris U_x000D_
  Delta Chat Version:  0 500 0 _x000D_
  Expected behavior: Start as usual_x000D_
  Actual behavior: Total application crash_x000D_
  Steps to reproduce the problem: Break your sensors   cameraserver firmware_x000D_
  Screenshots:_x000D_
  Logs: tbd</t>
  </si>
  <si>
    <t>niccokunzmann-mundraub-android-264</t>
  </si>
  <si>
    <t>Saved search results are restored in reversed order</t>
  </si>
  <si>
    <t xml:space="preserve">     If you report an app crash  please attach the eu quelltext mundraub log txt file_x000D_
     from the root of your phone s file system     _x000D_
_x000D_
When I open and close the app or the search for places  the saved places change their order </t>
  </si>
  <si>
    <t>zeroc-ice-ice-demos-71</t>
  </si>
  <si>
    <t>cpp11/IceGrid/customLocator failure on macOS high_sierra</t>
  </si>
  <si>
    <t xml:space="preserve">This demo is failing in CI_x000D_
   _x000D_
Running on ice dist macos high sierra test 3 7_x000D_
    running demo 26 37 in  Users vagrant workspace ice dist 3 7 dist utils demoscript ice cpp11 IceGrid customLocator_x000D_
    configuration:   mode release   fast   debug_x000D_
    demo started: 08 14 19 03:49:52_x000D_
  using Ice installation from  usr local  _x000D_
  running demos from  Users vagrant workspace ice dist 3 7 dist utils build ice builds ice demos clang x64 default _x000D_
cleaning databases    ok_x000D_
starting icegridnode    (icegridnode   Ice Config config grid   Ice PrintAdapterReady )_x000D_
ok_x000D_
starting custom locator    (  locator   Ice PrintAdapterReady)_x000D_
ok_x000D_
deploying application    (icegridadmin   Ice Config config grid)_x000D_
ok_x000D_
testing client without context    (  client )_x000D_
ok_x000D_
testing client with context    (  client   context)_x000D_
Traceback (most recent call last):_x000D_
File   Users vagrant workspace ice dist 3 7 dist utils demoscript ice cpp11 IceGrid customLocator expect py   line 73  in  module _x000D_
client expect(     )_x000D_
File   Users vagrant workspace ice dist 3 7 dist utils demoscript demoscript Expect py   line 472  in expect_x000D_
raise e_x000D_
demoscript Expect TIMEOUT: timeout exceeded in match_x000D_
pattern:      _x000D_
buffer:    client: src Ice Network cpp:2714: ::Ice::ConnectionRefusedException:_x000D_
connection refused: Connection refused_x000D_
   _x000D_
_x000D_
I try to manually run the demo in the  VM and saw that the locator is crashing because of a missing symbol_x000D_
   _x000D_
  locator   Ice PrintAdapterReady_x000D_
Locator ready_x000D_
dyld: lazy symbol binding failed: Symbol not found:   ZN3Ice10LocatorPrx19findObjectByIdAsyncERKNS 8IdentityENSt3  18functionIFvNS4 10shared ptrINS 9ObjectPrxEEEEEENS5 IFvSt13exception ptrEEENS5 IFvbEEERKNS4 3mapINS4 12basic stringIcNS4 11char traitsIcEENS4 9allocatorIcEEEESM NS4 4lessISM EENSK INS4 4pairIKSM SM EEEEEE_x000D_
  Referenced from:  Users vagrant workspace ice dist 3 7 dist utils build ice builds ice demos clang x64 default cpp11 IceGrid customLocator   locator_x000D_
  Expected in:  usr local opt ice lib libIce  11 37 dylib_x000D_
   _x000D_
_x000D_
</t>
  </si>
  <si>
    <t>2c-indore-ExploreIndoreAndroid-15</t>
  </si>
  <si>
    <t>App crashes once 100% downloaded</t>
  </si>
  <si>
    <t xml:space="preserve">_x000D_
Bug   App crashes once 100  downloaded_x000D_
       _x000D_
_x000D_
_x000D_
</t>
  </si>
  <si>
    <t>niccokunzmann-mundraub-android-263</t>
  </si>
  <si>
    <t>Plant map does not go places of the search</t>
  </si>
  <si>
    <t xml:space="preserve">     If you report an app crash  please attach the eu quelltext mundraub log txt file_x000D_
     from the root of your phone s file system     _x000D_
_x000D_
When I go to  Find Places  and click on a result  the map does not go to this place _x000D_
</t>
  </si>
  <si>
    <t>twilio-video-quickstart-android-431</t>
  </si>
  <si>
    <t xml:space="preserve">Samsung S10 experiences crash when joining a room or when switching cameras </t>
  </si>
  <si>
    <t xml:space="preserve">Certain Samsung S10 models are currently crashing when switching cameras or joining a room  These models contain more than two cameras and we are currently working to update our SDK to handle this use case   _x000D_
_x000D_
    Description_x000D_
Apps that consume video by Twilio and run on a Samsung S10 will experience a hard crash crash when switching the camera or joining a room _x000D_
_x000D_
    Effected models_x000D_
   SM G977U _x000D_
_x000D_
    Steps to Reproduce_x000D_
_x000D_
1  Install quickStart on Samsung S10_x000D_
2  Switch the camera or join a room_x000D_
3  Crash_x000D_
_x000D_
    Stacktrace_x000D_
   _x000D_
2019 08 13 11:15:00 134 25745 26091 com twilio video app internal debug E AndroidRuntime: FATAL EXCEPTION: Camera SurfaceTextureHelper_x000D_
    Process: com twilio video app internal debug  PID: 25745_x000D_
    java lang IllegalArgumentException: format not available_x000D_
        at android hardware camera2 params StreamConfigurationMap getInternalFormatSizes(StreamConfigurationMap java:1286)_x000D_
        at android hardware camera2 params StreamConfigurationMap getOutputSizes(StreamConfigurationMap java:460)_x000D_
        at org webrtc Camera2Enumerator getSupportedSizes(Camera2Enumerator java:145)_x000D_
        at org webrtc Camera2Session findCaptureFormat(Camera2Session java:355)_x000D_
        at org webrtc Camera2Session start(Camera2Session java:343)_x000D_
        at org webrtc Camera2Session  init (Camera2Session java:326)_x000D_
        at org webrtc Camera2Session create(Camera2Session java:302)_x000D_
        at org webrtc Camera2Capturer createCameraSession(Camera2Capturer java:36)_x000D_
        at org webrtc CameraCapturer 5 run(CameraCapturer java:306)_x000D_
        at android os Handler handleCallback(Handler java:873)_x000D_
        at android os Handler dispatchMessage(Handler java:99)_x000D_
        at android os Looper loop(Looper java:214)_x000D_
        at android os HandlerThread run(HandlerThread java:65)_x000D_
   _x000D_
_x000D_
    Workaround_x000D_
_x000D_
 432 contains a temporary fix in  CameraCapturerCompat  which checks that a camera supports  ImageFormat PRIVATE  before allowing the camera to be used as a capture device  This will prevent the crash  _x000D_
_x000D_
    Fix_x000D_
_x000D_
  We are actively working on a more long term solution and will update this issue as we move forward   </t>
  </si>
  <si>
    <t>mauron85-react-native-background-geolocation-409</t>
  </si>
  <si>
    <t>Occasional issue causing crashes: CursorWindowAllocationException</t>
  </si>
  <si>
    <t xml:space="preserve">     PLEASE DON T DELETE THIS TEMPLATE  OR YOUR ISSUE WILL BE CLOSED IGNORED        _x000D_
      Provide a general summary of the issue in the Title above    _x000D_
_x000D_
   Your Environment_x000D_
Crashlytics   plaintext stacktrace downloaded by Jacob Beasley at Tue  13 Aug 2019 13:14:14 GMT_x000D_
URL: https:  fabric io logistik technologies android apps com logistikapp issues 5247b4e5ac91fdbb3627471789519b7b time last seven days sessions 5D529B3D02AD000129DD21F9D03BA6B8 DNE 0 v2_x000D_
Organization: Logistik Technologies_x000D_
Platform: android_x000D_
Application: Logistik Courier_x000D_
Version: 0 7 29 (41)_x000D_
Bundle Identifier: com logistikapp_x000D_
Issue ID: 5247b4e5ac91fdbb3627471789519b7b_x000D_
Session ID: 5D529B3D02AD000129DD21F9D03BA6B8 DNE 0 v2_x000D_
Date: 2019 08 13T11:21:00Z_x000D_
OS Version: 8 1 0_x000D_
Device: SM T387P_x000D_
RAM Free: 16 _x000D_
Disk Free: 79 4 _x000D_
_x000D_
Library version: 0 8 3_x000D_
_x000D_
_x000D_
   Context_x000D_
While listening in the background as a foreground app  I see a few crashes from my users each day in Fabric io with this stack trace_x000D_
_x000D_
   Expected Behavior_x000D_
Don t crash_x000D_
_x000D_
   Actual Behavior_x000D_
Crashes in the background_x000D_
_x000D_
   Possible Fix_x000D_
I did some googling of this same exception and its possible we aren t dealing with SQLite cursors correctly  Maybe we aren t releasing db cursors  or maybe because it is multi threaded  separate threads are contesting for cursors  If it is a contestation issue  then we may be able to just use an AtomicVariable   in Java to lock and limit one thread to reading writing from SQLite at a time  Just a theory  though  _x000D_
_x000D_
   Steps to Reproduce_x000D_
It is intermittent  which makes it hard to reproduce  _x000D_
_x000D_
   Context_x000D_
We are listening and mapping driver s locations for a logistics app  When the crash occurs  their location tracking stops working until they get to their next stop  _x000D_
_x000D_
   Debug logs_x000D_
_x000D_
 0  Crashed: Thread 67_x000D_
       at android database CursorWindow  init    108(CursorWindow java:108)_x000D_
       at android database AbstractWindowedCursor clearOrCreateWindow   198(AbstractWindowedCursor java:198)_x000D_
       at android database sqlite SQLiteCursor clearOrCreateWindow   309(SQLiteCursor java:309)_x000D_
       at android database sqlite SQLiteCursor fillWindow   147(SQLiteCursor java:147)_x000D_
       at android database sqlite SQLiteCursor getCount   141(SQLiteCursor java:141)_x000D_
       at android content ContentResolver query   779(ContentResolver java:779)_x000D_
       at android content ContentResolver query   710(ContentResolver java:710)_x000D_
       at android content ContentResolver query   668(ContentResolver java:668)_x000D_
       at com marianhello bgloc data provider ContentProviderLocationDAO getLocations   50(ContentProviderLocationDAO java:50)_x000D_
       at com marianhello bgloc data provider ContentProviderLocationDAO getAllLocations   71(ContentProviderLocationDAO java:71)_x000D_
       at com marianhello bgloc BackgroundGeolocationFacade getLocations   272(BackgroundGeolocationFacade java:272)_x000D_
       at com marianhello bgloc react BackgroundGeolocationModule 2 run   207(BackgroundGeolocationModule java:207)_x000D_
       at java lang Thread run   764(Thread java:764)_x000D_
_x000D_
  _x000D_
_x000D_
Fatal Exception: android database CursorWindowAllocationException: Cursor window allocation of 2048 kb failed  _x000D_
       at android database CursorWindow  init    108(CursorWindow java:108)_x000D_
       at android database AbstractWindowedCursor clearOrCreateWindow   198(AbstractWindowedCursor java:198)_x000D_
       at android database sqlite SQLiteCursor clearOrCreateWindow   309(SQLiteCursor java:309)_x000D_
       at android database sqlite SQLiteCursor fillWindow   147(SQLiteCursor java:147)_x000D_
       at android database sqlite SQLiteCursor getCount   141(SQLiteCursor java:141)_x000D_
       at android content ContentResolver query   779(ContentResolver java:779)_x000D_
       at android content ContentResolver query   710(ContentResolver java:710)_x000D_
       at android content ContentResolver query   668(ContentResolver java:668)_x000D_
       at com marianhello bgloc data provider ContentProviderLocationDAO getLocations   50(ContentProviderLocationDAO java:50)_x000D_
       at com marianhello bgloc data provider ContentProviderLocationDAO getAllLocations   71(ContentProviderLocationDAO java:71)_x000D_
       at com marianhello bgloc BackgroundGeolocationFacade getLocations   272(BackgroundGeolocationFacade java:272)_x000D_
       at com marianhello bgloc react BackgroundGeolocationModule 2 run   207(BackgroundGeolocationModule java:207)_x000D_
       at java lang Thread run   764(Thread java:764)_x000D_
_x000D_
 0  Crashed: Thread 67_x000D_
       at android database CursorWindow  init    108(CursorWindow java:108)_x000D_
       at android database AbstractWindowedCursor clearOrCreateWindow   198(AbstractWindowedCursor java:198)_x000D_
       at android database sqlite SQLiteCursor clearOrCreateWindow   309(SQLiteCursor java:309)_x000D_
       at android database sqlite SQLiteCursor fillWindow   147(SQLiteCursor java:147)_x000D_
       at android database sqlite SQLiteCursor getCount   141(SQLiteCursor java:141)_x000D_
       at android content ContentResolver query   779(ContentResolver java:779)_x000D_
       at android content ContentResolver query   710(ContentResolver java:710)_x000D_
       at android content ContentResolver query   668(ContentResolver java:668)_x000D_
       at com marianhello bgloc data provider ContentProviderLocationDAO getLocations   50(ContentProviderLocationDAO java:50)_x000D_
       at com marianhello bgloc data provider ContentProviderLocationDAO getAllLocations   71(ContentProviderLocationDAO java:71)_x000D_
       at com marianhello bgloc BackgroundGeolocationFacade getLocations   272(BackgroundGeolocationFacade java:272)_x000D_
       at com marianhello bgloc react BackgroundGeolocationModule 2 run   207(BackgroundGeolocationModule java:207)_x000D_
       at java lang Thread run   764(Thread java:764)_x000D_
_x000D_
 1  LocationServiceImpl Thread_x000D_
       at android os MessageQueue nativePollOnce(MessageQueue java)_x000D_
       at android os MessageQueue next   325(MessageQueue java:325)_x000D_
       at android os Looper loop   142(Looper java:142)_x000D_
       at android os HandlerThread run   65(HandlerThread java:65)_x000D_
_x000D_
 2  Answers Events Handler1_x000D_
       at java lang Object wait(Object java)_x000D_
       at java lang Thread parkFor    2137(Thread java:2137)_x000D_
       at sun misc Unsafe park   358(Unsafe java:358)_x000D_
       at java util concurrent locks LockSupport parkNanos   230(LockSupport java:230)_x000D_
       at java util concurrent locks AbstractQueuedSynchronizer ConditionObject awaitNanos   2101(AbstractQueuedSynchronizer java:2101)_x000D_
       at java util concurrent ScheduledThreadPoolExecutor DelayedWorkQueue take   1132(ScheduledThreadPoolExecutor java:1132)_x000D_
       at java util concurrent ScheduledThreadPoolExecutor DelayedWorkQueue take   1113(ScheduledThreadPoolExecutor java:1113)_x000D_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io fabric sdk android services common ExecutorUtils 1 1 onRun   75(ExecutorUtils java:75)_x000D_
       at io fabric sdk android services common BackgroundPriorityRunnable run   30(BackgroundPriorityRunnable java:30)_x000D_
       at java lang Thread run   764(Thread java:764)_x000D_
_x000D_
 3  mqt js_x000D_
       at android os MessageQueue nativePollOnce(MessageQueue java)_x000D_
       at android os MessageQueue next   325(MessageQueue java:325)_x000D_
       at android os Looper loop   142(Looper java:142)_x000D_
       at com facebook react bridge queue MessageQueueThreadImpl 4 run   232(MessageQueueThreadImpl java:232)_x000D_
       at java lang Thread run   764(Thread java:764)_x000D_
_x000D_
 4  main_x000D_
       at android os MessageQueue nativePollOnce(MessageQueue java)_x000D_
       at android os MessageQueue next   325(MessageQueue java:325)_x000D_
       at android os Looper loop   142(Looper java:142)_x000D_
       at android app ActivityThread main   7002(ActivityThread java:7002)_x000D_
       at java lang reflect Method invoke(Method java)_x000D_
       at com android internal os RuntimeInit MethodAndArgsCaller run   441(RuntimeInit java:441)_x000D_
       at com android internal os ZygoteInit main   1408(ZygoteInit java:1408)_x000D_
_x000D_
 5  GAC Executor 1 _x000D_
       at java lang Object wait(Object java)_x000D_
       at java lang Thread parkFor    2137(Thread java:2137)_x000D_
       at sun misc Unsafe park   358(Unsafe java:358)_x000D_
       at java util concurrent locks LockSupport park   190(LockSupport java:190)_x000D_
       at java util concurrent locks AbstractQueuedSynchronizer ConditionObject await   2059(AbstractQueuedSynchronizer java:2059)_x000D_
       at java util concurrent LinkedBlockingQueue take   442(LinkedBlockingQueue java:442)_x000D_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com google android gms common util concurrent zza run   6(:6)_x000D_
       at java lang Thread run   764(Thread java:764)_x000D_
_x000D_
 6  HybridData DestructorThread_x000D_
       at java lang Object wait(Object java)_x000D_
       at java lang Object wait   422(Object java:422)_x000D_
       at java lang ref ReferenceQueue remove   188(ReferenceQueue java:188)_x000D_
       at java lang ref ReferenceQueue remove   209(ReferenceQueue java:209)_x000D_
       at com facebook jni DestructorThread 1 run   63(DestructorThread java:63)_x000D_
_x000D_
 7  OkHttp couriersource logistikcourier com Writer_x000D_
       at java lang Object wait(Object java)_x000D_
       at java lang Thread parkFor    2137(Thread java:2137)_x000D_
       at sun misc Unsafe park   358(Unsafe java:358)_x000D_
       at java util concurrent locks LockSupport park   190(LockSupport java:190)_x000D_
       at java util concurrent locks AbstractQueuedSynchronizer ConditionObject await   2059(AbstractQueuedSynchronizer java:2059)_x000D_
       at java util concurrent ScheduledThreadPoolExecutor DelayedWorkQueue take   1120(ScheduledThreadPoolExecutor java:1120)_x000D_
       at java util concurrent ScheduledThreadPoolExecutor DelayedWorkQueue take   1113(ScheduledThreadPoolExecutor java:1113)_x000D_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java lang Thread run   764(Thread java:764)_x000D_
_x000D_
 8  Queue_x000D_
       at java lang Object wait(Object java)_x000D_
       at java lang Thread parkFor    2137(Thread java:2137)_x000D_
       at sun misc Unsafe park   358(Unsafe java:358)_x000D_
       at java util concurrent locks LockSupport park   190(LockSupport java:190)_x000D_
       at java util concurrent locks AbstractQueuedSynchronizer ConditionObject await   2059(AbstractQueuedSynchronizer java:2059)_x000D_
       at java util concurrent PriorityBlockingQueue take   548(PriorityBlockingQueue java:548)_x000D_
       at io fabric sdk android services concurrency DependencyPriorityBlockingQueue performOperation   197(DependencyPriorityBlockingQueue java:197)_x000D_
       at io fabric sdk android services concurrency DependencyPriorityBlockingQueue get   236(DependencyPriorityBlockingQueue java:236)_x000D_
       at io fabric sdk android services concurrency DependencyPriorityBlockingQueue take   65(DependencyPriorityBlockingQueue java:65)_x000D_
       at io fabric sdk android services concurrency DependencyPriorityBlockingQueue take   46(DependencyPriorityBlockingQueue java:46)_x000D_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java lang Thread run   764(Thread java:764)_x000D_
_x000D_
 9  Crashlytics Exception Handler1_x000D_
       at dalvik system VMStack getThreadStackTrace(VMStack java)_x000D_
       at java lang Thread getStackTrace   1538(Thread java:1538)_x000D_
       at java lang Thread getAllStackTraces   1588(Thread java:1588)_x000D_
       at com crashlytics android core CrashlyticsUncaughtExceptionHandler writeSessionEvent   1054(CrashlyticsUncaughtExceptionHandler java:1054)_x000D_
       at com crashlytics android core CrashlyticsUncaughtExceptionHandler writeFatal   807(CrashlyticsUncaughtExceptionHandler java:807)_x000D_
       at com crashlytics android core CrashlyticsUncaughtExceptionHandler handleUncaughtException   271(CrashlyticsUncaughtExceptionHandler java:271)_x000D_
       at com crashlytics android core CrashlyticsUncaughtExceptionHandler access 100   55(CrashlyticsUncaughtExceptionHandler java:55)_x000D_
       at com crashlytics android core CrashlyticsUncaughtExceptionHandler 5 call   247(CrashlyticsUncaughtExceptionHandler java:247)_x000D_
       at com crashlytics android core CrashlyticsUncaughtExceptionHandler 5 call   244(CrashlyticsUncaughtExceptionHandler java:244)_x000D_
       at java util concurrent FutureTask run   266(FutureTask java:266)_x000D_
       at java util concurrent ThreadPoolExecutor runWorker   1162(ThreadPoolExecutor java:1162)_x000D_
       at java util concurrent ThreadPoolExecutor Worker run   636(ThreadPoolExecutor java:636)_x000D_
       at io fabric sdk android services common ExecutorUtils 1 1 onRun   75(ExecutorUtils java:75)_x000D_
       at io fabric sdk android services common BackgroundPriorityRunnable run   30(BackgroundPriorityRunnable java:30)_x000D_
       at java lang Thread run   764(Thread java:764)_x000D_
_x000D_
 10  AsyncTask  6_x000D_
       at java lang Object wait(Object java)_x000D_
       at java lang Thread parkFor    2137(Thread java:2137)_x000D_
       at sun misc Unsafe park   358(Unsafe java:358)_x000D_
       at java util concurrent locks LockSupport parkNanos   230(LockSupport java:230)_x000D_
       at java util concurrent locks AbstractQueuedSynchronizer ConditionObject awaitNanos   2101(AbstractQueuedSynchronizer java:2101)_x000D_
       at java util concurrent LinkedBlockingQueue poll   467(LinkedBlockingQueue java:467)_x000D_
       at java util concurrent ThreadPoolExecutor getTask   1086(ThreadPoolExecutor java:1086)_x000D_
       at java util concurrent ThreadPoolExecutor runWorker   1147(ThreadPoolExecutor java:1147)_x000D_
       at java util concurrent ThreadPoolExecutor Worker run   636(ThreadPoolExecutor java:636)_x000D_
       at java lang Thread run   764(Thread java:764)_x000D_
_x000D_
 11  Queue_x000D_
       at java lang Object wait(Object java)_x000D_
       at java lang Thread parkFor    2137(Thread java:2137)_x000D_
       at sun misc Unsafe park   358(Unsafe java:358)_x000D_
       at java util concurrent locks LockSupport park   190(LockSupport java:190)_x000D_
       at java util concurrent locks AbstractQueuedSynchronizer ConditionObject await   2059(AbstractQueuedSynchronizer java:2059)_x000D_
       at java util concurrent PriorityBlockingQueue take   548(PriorityBlockingQueue java:548)_x000D_
       at io fabric sdk android services concurrency DependencyPriorityBlockingQueue performOperation   197(DependencyPriorityBlockingQueue java:197)_x000D_
       at io fabric sdk android services concurrency DependencyPriorityBlockingQueue get   236(DependencyPriorityBlockingQueue java:236)_x000D_
       at io fabric sdk android services concurrency DependencyPriorityBlockingQueue take   65(DependencyPriorityBlockingQueue java:65)_x000D_
       at io fabric sdk android services concurrency DependencyPriorityBlockingQueue take   46(DependencyPriorityBlockingQueue java:46)_x000D_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java lang Thread run   764(Thread java:764)_x000D_
_x000D_
 12  pool 3 thread 1_x000D_
       at java lang Object wait(Object java)_x000D_
       at java lang Thread parkFor    2137(Thread java:2137)_x000D_
       at sun misc Unsafe park   358(Unsafe java:358)_x000D_
       at java util concurrent locks LockSupport park   190(LockSupport java:190)_x000D_
       at java util concurrent locks AbstractQueuedSynchronizer ConditionObject await   2059(AbstractQueuedSynchronizer java:2059)_x000D_
       at java util concurrent LinkedBlockingQueue take   442(LinkedBlockingQueue java:442)_x000D_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java lang Thread run   764(Thread java:764)_x000D_
_x000D_
 13  FinalizerDaemon_x000D_
       at java lang Object wait(Object java)_x000D_
       at java lang Object wait   422(Object java:422)_x000D_
       at java lang ref ReferenceQueue remove   188(ReferenceQueue java:188)_x000D_
       at java lang ref ReferenceQueue remove   209(ReferenceQueue java:209)_x000D_
       at java lang Daemons FinalizerDaemon runInternal   232(Daemons java:232)_x000D_
       at java lang Daemons Daemon run   103(Daemons java:103)_x000D_
       at java lang Thread run   764(Thread java:764)_x000D_
_x000D_
 14  OkHttp ConnectionPool_x000D_
       at java lang Object wait(Object java)_x000D_
       at okhttp3 ConnectionPool 1 run   67(ConnectionPool java:67)_x000D_
       at java util concurrent ThreadPoolExecutor runWorker   1162(ThreadPoolExecutor java:1162)_x000D_
       at java util concurrent ThreadPoolExecutor Worker run   636(ThreadPoolExecutor java:636)_x000D_
       at java lang Thread run   764(Thread java:764)_x000D_
_x000D_
 15  AsyncTask  10_x000D_
       at java lang Object wait(Object java)_x000D_
       at java lang Thread parkFor    2137(Thread java:2137)_x000D_
       at sun misc Unsafe park   358(Unsafe java:358)_x000D_
       at java util concurrent locks LockSupport parkNanos   230(LockSupport java:230)_x000D_
       at java util concurrent locks AbstractQueuedSynchronizer ConditionObject awaitNanos   2101(AbstractQueuedSynchronizer java:2101)_x000D_
       at java util concurrent LinkedBlockingQueue poll   467(LinkedBlockingQueue java:467)_x000D_
       at java util concurrent ThreadPoolExecutor getTask   1086(ThreadPoolExecutor java:1086)_x000D_
       at java util concurrent ThreadPoolExecutor runWorker   1147(ThreadPoolExecutor java:1147)_x000D_
       at java util concurrent ThreadPoolExecutor Worker run   636(ThreadPoolExecutor java:636)_x000D_
       at java lang Thread run   764(Thread java:764)_x000D_
_x000D_
 16  Queue_x000D_
       at java lang Object wait(Object java)_x000D_
       at java lang Thread parkFor    2137(Thread java:2137)_x000D_
       at sun misc Unsafe park   358(Unsafe java:358)_x000D_
       at java util concurrent locks LockSupport park   190(LockSupport java:190)_x000D_
       at java util concurrent locks AbstractQueuedSynchronizer ConditionObject await   2059(AbstractQueuedSynchronizer java:2059)_x000D_
       at java util concurrent PriorityBlockingQueue take   548(PriorityBlockingQueue java:548)_x000D_
       at io fabric sdk android services concurrency DependencyPriorityBlockingQueue performOperation   197(DependencyPriorityBlockingQueue java:197)_x000D_
       at io fabric sdk android services concurrency DependencyPriorityBlockingQueue get   236(DependencyPriorityBlockingQueue java:236)_x000D_
       at io fabric sdk android services concurrency DependencyPriorityBlockingQueue take   65(DependencyPriorityBlockingQueue java:65)_x000D_
       at io fabric sdk android services concurrency DependencyPriorityBlockingQueue take   46(DependencyPriorityBlockingQueue java:46)_x000D_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java lang Thread run   764(Thread java:764)_x000D_
_x000D_
 17  Queue_x000D_
       at java lang Object wait(Object java)_x000D_
       at java lang Thread parkFor    2137(Thread java:2137)_x000D_
       at sun misc Unsafe park   358(Unsafe java:358)_x000D_
       at java util concurrent locks LockSupport park   190(LockSupport java:190)_x000D_
       at java util concurrent locks AbstractQueuedSynchronizer ConditionObject await   2059(AbstractQueuedSynchronizer java:2059)_x000D_
       at java util concurrent PriorityBlockingQueue take   548(PriorityBlockingQueue java:548)_x000D_
       at io fabric sdk android services concurrency DependencyPriorityBlockingQueue performOperation   197(DependencyPriorityBlockingQueue java:197)_x000D_
       at io fabric sdk android services concurrency DependencyPriorityBlockingQueue get   236(DependencyPriorityBlockingQueue java:236)_x000D_
       at io fabric sdk android services concurrency DependencyPriorityBlockingQueue take   65(DependencyPriorityBlockingQueue java:65)_x000D_
       at io fabric sdk android services concurrency DependencyPriorityBlockingQueue take   46(DependencyPriorityBlockingQueue java:46)_x000D_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java lang Thread run   764(Thread java:764)_x000D_
_x000D_
 18  ReferenceQueueDaemon_x000D_
       at java lang Object wait(Object java)_x000D_
       at java lang Daemons ReferenceQueueDaemon runInternal   178(Daemons java:178)_x000D_
       at java lang Daemons Daemon run   103(Daemons java:103)_x000D_
       at java lang Thread run   764(Thread java:764)_x000D_
_x000D_
 19  Queue_x000D_
       at java lang Object wait(Object java)_x000D_
       at java lang Thread parkFor    2137(Thread java:2137)_x000D_
       at sun misc Unsafe park   358(Unsafe java:358)_x000D_
       at java util concurrent locks LockSupport park   190(LockSupport java:190)_x000D_
       at java util concurrent locks AbstractQueuedSynchronizer ConditionObject await   2059(AbstractQueuedSynchronizer java:2059)_x000D_
       at java util concurrent PriorityBlockingQueue take   548(PriorityBlockingQueue java:548)_x000D_
       at io fabric sdk android services concurrency DependencyPriorityBlockingQueue performOperation   197(DependencyPriorityBlockingQueue java:197)_x000D_
       at io fabric sdk android services concurrency DependencyPriorityBlockingQueue get   236(DependencyPriorityBlockingQueue java:236)_x000D_
       at io fabric sdk android services concurrency DependencyPriorityBlockingQueue take   65(DependencyPriorityBlockingQueue java:65)_x000D_
       at io fabric sdk android services concurrency DependencyPriorityBlockingQueue take   46(DependencyPriorityBlockingQueue java:46)_x000D_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java lang Thread run   764(Thread java:764)_x000D_
_x000D_
 20  OkHttp ConnectionPool_x000D_
       at java lang Object wait(Object java)_x000D_
       at java lang Thread parkFor    2137(Thread java:2137)_x000D_
       at sun misc Unsafe park   358(Unsafe java:358)_x000D_
       at java util concurrent locks LockSupport parkNanos   230(LockSupport java:230)_x000D_
       at java util concurrent locks AbstractQueuedSynchronizer ConditionObject awaitNanos   2101(AbstractQueuedSynchronizer java:2101)_x000D_
       at java util concurrent LinkedBlockingQueue poll   467(LinkedBlockingQueue java:467)_x000D_
       at java util concurrent ThreadPoolExecutor getTask   1086(ThreadPoolExecutor java:1086)_x000D_
       at java util concurrent ThreadPoolExecutor runWorker   1147(ThreadPoolExecutor java:1147)_x000D_
       at java util concurrent ThreadPoolExecutor Worker run   636(ThreadPoolExecutor java:636)_x000D_
       at java lang Thread run   764(Thread java:764)_x000D_
_x000D_
 21  Thread 67_x000D_
       at java lang Object wait(Object java)_x000D_
       at java lang Thread parkFor    2137(Thread java:2137)_x000D_
       at sun misc Unsafe park   358(Unsafe java:358)_x000D_
       at java util concurrent locks LockSupport park   190(LockSupport java:190)_x000D_
       at java util concurrent FutureTask awaitDone   450(FutureTask java:450)_x000D_
       at java util concurrent FutureTask get   192(FutureTask java:192)_x000D_
       at com crashlytics android core CrashlyticsExecutorServiceWrapper executeSyncLoggingException   47(CrashlyticsExecutorServiceWrapper java:47)_x000D_
       at com crashlytics android core CrashlyticsUncaughtExceptionHandler uncaughtException   244(CrashlyticsUncaughtExceptionHandler java:244)_x000D_
       at com marianhello logging UncaughtExceptionLogger uncaughtException   25(UncaughtExceptionLogger java:25)_x000D_
       at java lang ThreadGroup uncaughtException   1068(ThreadGroup java:1068)_x000D_
       at java lang ThreadGroup uncaughtException   1063(ThreadGroup java:1063)_x000D_
       at java lang Thread dispatchUncaughtException   1955(Thread java:1955)_x000D_
_x000D_
 22  queued work looper_x000D_
       at android os MessageQueue nativePollOnce(MessageQueue java)_x000D_
       at android os MessageQueue next   325(MessageQueue java:325)_x000D_
       at android os Looper loop   142(Looper java:142)_x000D_
       at android os HandlerThread run   65(HandlerThread java:65)_x000D_
_x000D_
 23  GAC Executor 0 _x000D_
       at java lang Object wait(Object java)_x000D_
       at java lang Thread parkFor    2137(Thread java:2137)_x000D_
       at sun misc Unsafe park   358(Unsafe java:358)_x000D_
       at java util concurrent locks LockSupport park   190(LockSupport java:190)_x000D_
       at java util concurrent locks AbstractQueuedSynchronizer ConditionObject await   2059(AbstractQueuedSynchronizer java:2059)_x000D_
       at java util concurrent LinkedBlockingQueue take   442(LinkedBlockingQueue java:442)_x000D_
       at java util concurrent ThreadPoolExecutor getTask   1087(ThreadPoolExecutor java:1087)_x000D_
       at java util concurrent ThreadPoolExecutor runWorker   1147(ThreadPoolExecutor java:1147)_x000D_
       at java util concurrent ThreadPoolExecutor Worker run   636(ThreadPoolExecutor java:636)_x000D_
       at com google android gms common util concurrent zza run   6(:6)_x000D_
       at java lang Thread run   764(Thread java:764)_x000D_
_x000D_
 24  mqt native modules_x000D_
       at android os MessageQueue nativePollOnce(MessageQueue java)_x000D_
       at android os MessageQueue next   325(MessageQueue java:325)_x000D_
       at android os Looper loop   142(Looper java:142)_x000D_
       at com facebook react bridge queue MessageQueueThreadImpl 4 run   232(MessageQueueThreadImpl java:232)_x000D_
       at java lang Thread run   764(Thread java:764)_x000D_
_x000D_
 25  FinalizerWatchdogDaemon_x000D_
       at java lang Object wait(Object java)_x000D_
       at java lang Daemons FinalizerWatchdogDaemon sleepUntilNeeded   297(Daemons java:297)_x000D_
       at java lang Daemons FinalizerWatchdogDaemon runInternal   277(Daemons java:277)_x000D_
       at java lang Daemons Daemon run   103(Daemons java:103)_x000D_
       at java lang Thread run   764(Thread java:764)_x000D_
_x000D_
 26  AsyncTask  9_x000D_
       at java lang Object wait(Object java)_x000D_
       at java lang Thread parkFor    2137(Thread java:2137)_x000D_
       at sun misc Unsafe park   358(Unsafe java:358)_x000D_
       at java util concurrent locks LockSupport parkNanos   230(LockSupport java:230)_x000D_
       at java util concurrent locks AbstractQueuedSynchronizer ConditionObject awaitNanos   2101(AbstractQueuedSynchronizer java:2101)_x000D_
       at java util concurrent LinkedBlockingQueue poll   467(LinkedBlockingQueue java:467)_x000D_
       at java util concurrent ThreadPoolExecutor getTask   1086(ThreadPoolExecutor java:1086)_x000D_
       at java util concurrent ThreadPoolExecutor runWorker   1147(ThreadPoolExecutor java:1147)_x000D_
       at java util concurrent ThreadPoolExecutor Worker run   636(ThreadPoolExecutor java:636)_x000D_
       at java lang Thread run   764(Thread java:764)_x000D_
_x000D_
 27  OkHttp Dispatcher_x000D_
       at java lang Object wait(Object java)_x000D_
       at java lang Thread parkFor    2137(Thread java:2137)_x000D_
       at sun misc Unsafe park   358(Unsafe java:358)_x000D_
       at java util concurrent locks LockSupport parkNanos   230(LockSupport java:230)_x000D_
       at java util concurrent SynchronousQueue TransferStack awaitFulfill   461(SynchronousQueue java:461)_x000D_
       at java util concurrent SynchronousQueue TransferStack transfer   362(SynchronousQueue java:362)_x000D_
       at java util concurrent SynchronousQueue poll   937(SynchronousQueue java:937)_x000D_
       at java util concurrent ThreadPoolExecutor getTask   1086(ThreadPoolExecutor java:1086)_x000D_
       at java util concurrent ThreadPoolExecutor runWorker   1147(ThreadPoolExecutor java:1147)_x000D_
       at java util concurrent ThreadPoolExecutor Worker run   636(ThreadPoolExecutor java:636)_x000D_
       at java lang Thread run   764(Thread java:764)_x000D_
_x000D_
 28  OkHttp couriersource logistikcourier com_x000D_
       at com android org conscrypt NativeCrypto SSL read(NativeCrypto java)_x000D_
       at com android org conscrypt SslWrapper read   391(SslWrapper java:391)_x000D_
       at com android org conscrypt ConscryptFileDescriptorSocket SSLInputStream read   567(ConscryptFileDescriptorSocket java:567)_x000D_
       at okio Okio 2 read   140(Okio java:140)_x000D_
       at okio AsyncTimeout 2 read   237(AsyncTimeout java:237)_x000D_
       at okio RealBufferedSource request   68(RealBufferedSource java:68)_x000D_
       at okio RealBufferedSource require   61(RealBufferedSource java:61)_x000D_
       at okhttp3 internal http2 Http2Reader nextFrame   95(Http2Reader java:95)_x000D_
       at okhttp3 internal http2 Http2Connection ReaderRunnable execute   610(Http2Connection java:610)_x000D_
       at okhttp3 internal NamedRunnable run   32(NamedRunnable java:32)_x000D_
       at java lang Thread run   764(Thread java:764)</t>
  </si>
  <si>
    <t>Haptic-Apps-Slide-3050</t>
  </si>
  <si>
    <t>App crash when loading comments in post</t>
  </si>
  <si>
    <t xml:space="preserve">Slide version: 6 2_x000D_
Android version: 8 0_x000D_
_x000D_
It appears some comments from this post causes app to crash and reload:_x000D_
_x000D_
https:  www reddit com r tennis comments cox4jm match thread 2 rafael nadal vs 8 daniil medvedev </t>
  </si>
  <si>
    <t>renyuneyun-Easer-242</t>
  </si>
  <si>
    <t>Error/crash when selecting "extras" in Send Broadcast operation</t>
  </si>
  <si>
    <t xml:space="preserve">When attempting to create a Send Broadcast operation within a profile  Easer crashes when I press on the  extras  button _x000D_
_x000D_
This occurs with version 0 7 7 7 on Android 8 1 0 _x000D_
_x000D_
Here is the stacktrace generated with logging:_x000D_
_x000D_
   _x000D_
BUILD CONFIG:   _x000D_
APP VERSION CODE: 116_x000D_
USER CRASH DATE: 2019 08 11T13:11:46 481 05:00_x000D_
ANDROID VERSION: 8 1 0_x000D_
BRAND: motorola_x000D_
PHONE MODEL: Moto G (5S) Plus_x000D_
PRODUCT: sanders_x000D_
STACK TRACE: java lang IllegalStateException: Fragment ryey easer skills operation EditExtraFragment a must be a public static class to be  properly recreated from instance state _x000D_
	at b j a a a(BackStackRecord java:71)_x000D_
	at b j a a a(BackStackRecord java:56)_x000D_
	at ryey easer skills operation c onClick(EditExtraFragment java:3)_x000D_
	at android view View performClick(View java:6297)_x000D_
	at android view View PerformClick run(View java:24797)_x000D_
	at android os Handler handleCallback(Handler java:790)_x000D_
	at android os Handler dispatchMessage(Handler java:99)_x000D_
	at android os Looper loop(Looper java:164)_x000D_
	at android app ActivityThread main(ActivityThread java:6626)_x000D_
	at java lang reflect Method invoke(Native Method)_x000D_
	at com android internal os RuntimeInit MethodAndArgsCaller run(RuntimeInit java:438)_x000D_
	at com android internal os ZygoteInit main(ZygoteInit java:811)_x000D_
   </t>
  </si>
  <si>
    <t>Swati4star-Images-to-PDF-784</t>
  </si>
  <si>
    <t>Crashes reported on playstore</t>
  </si>
  <si>
    <t xml:space="preserve">Pasting few logs which are causing app (v94) to crash:_x000D_
1 _x000D_
   _x000D_
java lang NullPointerException: _x000D_
  at android preference PreferenceManager getDefaultSharedPreferencesName (PreferenceManager java:537)_x000D_
  at android preference PreferenceManager getDefaultSharedPreferences (PreferenceManager java:526)_x000D_
  at swati4star createpdf util TextToPDFUtils  init  (TextToPDFUtils java:47)_x000D_
  at swati4star createpdf fragment TextToPdfFragment createPdf (TextToPdfFragment java:392)_x000D_
  at swati4star createpdf fragment TextToPdfFragment lambda openCreateTextPdf 8 (TextToPdfFragment java:369)_x000D_
  at swati4star createpdf fragment    Lambda TextToPdfFragment sGqRQYfY61eyJ8xxmbkFiDLQUxo onInput (Unknown Source:2)_x000D_
  at com afollestad materialdialogs MaterialDialog onClick (MaterialDialog java:419)_x000D_
  at android view View performClick (View java:6663)_x000D_
  at android view View performClickInternal (View java:6635)_x000D_
  at android view View access 3100 (View java:794)_x000D_
  at android view View PerformClick run (View java:26199)_x000D_
  at android os Handler handleCallback (Handler java:907)_x000D_
  at android os Handler dispatchMessage (Handler java:105)_x000D_
  at android os Looper loop (Looper java:216)_x000D_
  at android app ActivityThread main (ActivityThread java:7625)_x000D_
  at java lang reflect Method invoke (Native Method)_x000D_
  at com android internal os RuntimeInit MethodAndArgsCaller run (RuntimeInit java:524)_x000D_
  at com android internal os ZygoteInit main (ZygoteInit java:987)_x000D_
   _x000D_
_x000D_
2 _x000D_
   _x000D_
java lang NullPointerException: _x000D_
  at android preference PreferenceManager getDefaultSharedPreferencesName (PreferenceManager java:537)_x000D_
  at android preference PreferenceManager getDefaultSharedPreferences (PreferenceManager java:526)_x000D_
  at swati4star createpdf util TextToPDFUtils  init  (TextToPDFUtils java:47)_x000D_
  at swati4star createpdf fragment QrBarcodeScanFragment createPdf (QrBarcodeScanFragment java:188)_x000D_
  at swati4star createpdf fragment QrBarcodeScanFragment lambda resultToTextPdf 2 (QrBarcodeScanFragment java:165)_x000D_
  at swati4star createpdf fragment    Lambda QrBarcodeScanFragment 2q70sFchKYTGtNA1nNkOsRO9tZE onInput (Unknown Source:4)_x000D_
  at com afollestad materialdialogs MaterialDialog onClick (MaterialDialog java:419)_x000D_
  at android view View performClick (View java:6648)_x000D_
  at android view View performClickInternal (View java:6620)_x000D_
  at android view View access 3100 (View java:787)_x000D_
  at android view View PerformClick run (View java:26167)_x000D_
  at android os Handler handleCallback (Handler java:891)_x000D_
  at android os Handler dispatchMessage (Handler java:102)_x000D_
  at android os Looper loop (Looper java:207)_x000D_
  at android app ActivityThread main (ActivityThread java:7539)_x000D_
  at java lang reflect Method invoke (Native Method)_x000D_
  at com android internal os RuntimeInit MethodAndArgsCaller run (RuntimeInit java:524)_x000D_
  at com android internal os ZygoteInit main (ZygoteInit java:958)_x000D_
   _x000D_
_x000D_
3 _x000D_
   _x000D_
java lang RuntimeException: _x000D_
  at android filterfw core ShaderProgram process (ShaderProgram java:123)_x000D_
  at android filterpacks imageproc AutoFixFilter process (AutoFixFilter java:260)_x000D_
  at android filterfw core Filter performProcess (Filter java:473)_x000D_
  at android filterfw core FilterFunction execute (FilterFunction java:80)_x000D_
  at android filterfw core FilterFunction executeWithArgList (FilterFunction java:97)_x000D_
  at android media effect SingleFilterEffect apply (SingleFilterEffect java:73)_x000D_
  at ja burhanrashid52 photoeditor ImageFilterView applyEffect (ImageFilterView java:263)_x000D_
  at ja burhanrashid52 photoeditor ImageFilterView onDrawFrame (ImageFilterView java:100)_x000D_
  at android opengl GLSurfaceView GLThread guardedRun (GLSurfaceView java:1575)_x000D_
  at android opengl GLSurfaceView GLThread run (GLSurfaceView java:1271)_x000D_
   _x000D_
_x000D_
</t>
  </si>
  <si>
    <t>Neamar-KISS-1253</t>
  </si>
  <si>
    <t>Adding widgets cause a crash for the Settings app</t>
  </si>
  <si>
    <t xml:space="preserve">  app version: 3 10 2_x000D_
  android version: 9 (LineageOS 16 Aug 8 Nightly)_x000D_
  device used: Google Pixel_x000D_
   screenshot (https:  imgur com a n5qYzw0)_x000D_
_x000D_
This prevents me from selecting and adding a widget _x000D_
Selecting widgets in HGLauncher similarly crashes  but no issues with stock launcher based launchers _x000D_
Tried searching through adb logcat  and this seems to be the crash:_x000D_
_x000D_
   _x000D_
08 09 17:36:56 962   936  1216 I ActivityManager: START u0  act android appwidget action APPWIDGET PICK cmp com android settings  AppWidgetPickActivity (has extras)  from uid 10139_x000D_
08 09 17:36:56 966   696   696 D QCOM PowerHAL: LAUNCH HINT: ON_x000D_
08 09 17:36:56 965  2154  2154 W perfd   : type 1400 audit(0 0:193): avc: denied   dac override   for capability 1 scontext u:r:perfd:s0 tcontext u:r:perfd:s0 tclass capability permissive 0 b 77924406_x000D_
08 09 17:36:56 969   696   696 D QCOM PowerHAL: Activity launch hint handled_x000D_
08 09 17:36:56 969  2153  2154 E ANDR PERF RESOURCEQS: Failed to apply optimization  3  2  1 _x000D_
08 09 17:36:56 969  2153  2154 E ANDR PERF RESOURCEQS: Failed to apply optimization  3  2  1 _x000D_
08 09 17:36:56 970  2153  2154 E ANDR PERF OPTSHANDLER: Failed to read  sys class devfreq soc:qcom cpubw min freq_x000D_
08 09 17:36:56 970  2153  2154 E ANDR PERF RESOURCEQS: Failed to apply optimization  32  6  0 _x000D_
08 09 17:36:56 965  2154  2154 W perfd   : type 1400 audit(0 0:194): avc: denied   dac override   for capability 1 scontext u:r:perfd:s0 tcontext u:r:perfd:s0 tclass capability permissive 0 b 77924406_x000D_
08 09 17:36:56 965  2154  2154 W perfd   : type 1400 audit(0 0:195): avc: denied   dac override   for capability 1 scontext u:r:perfd:s0 tcontext u:r:perfd:s0 tclass capability permissive 0 b 77924406_x000D_
08 09 17:36:56 965  2154  2154 W perfd   : type 1400 audit(0 0:196): avc: denied   dac read search   for capability 2 scontext u:r:perfd:s0 tcontext u:r:perfd:s0 tclass capability permissive 0 b 77924406_x000D_
08 09 17:36:56 992  2699  2794 D OpenGLRenderer: endAllActiveAnimators on 0x74aa7d9100 (AlertController RecycleListView) with handle 0x74b2ab8220_x000D_
08 09 17:36:57 021  4742  4742 W ActivityThread: handleWindowVisibility: no activity for token android os BinderProxy d7cc84b_x000D_
08 09 17:36:57 103   498  1036 W SurfaceFlinger: Attempting to set client state on removed layer: AtchDlg:fr neamar kiss fr neamar kiss MainActivity 0_x000D_
08 09 17:36:57 104   498  1036 W SurfaceFlinger: Attempting to destroy on removed layer: AtchDlg:fr neamar kiss fr neamar kiss MainActivity 0_x000D_
08 09 17:36:57 253  4742  4742 D AndroidRuntime: Shutting down VM_x000D_
08 09 17:36:57 255  4742  4742 E AndroidRuntime: FATAL EXCEPTION: main_x000D_
08 09 17:36:57 255  4742  4742 E AndroidRuntime: Process: com android settings  PID: 4742_x000D_
08 09 17:36:57 255  4742  4742 E AndroidRuntime: java lang RuntimeException: Unable to start activity ComponentInfo com android settings com android settings AppWidgetPickActivity : android content res Resources NotFoundException: Drawable com devhd feedly:mipmap ic launcher with resource ID  0x7f0c0000_x000D_
08 09 17:36:57 255  4742  4742 E AndroidRuntime: 	at android app ActivityThread performLaunchActivity(ActivityThread java:2951)_x000D_
08 09 17:36:57 255  4742  4742 E AndroidRuntime: 	at android app ActivityThread handleLaunchActivity(ActivityThread java:3086)_x000D_
08 09 17:36:57 255  4742  4742 E AndroidRuntime: 	at android app servertransaction LaunchActivityItem execute(LaunchActivityItem java:78)_x000D_
08 09 17:36:57 255  4742  4742 E AndroidRuntime: 	at android app servertransaction TransactionExecutor executeCallbacks(TransactionExecutor java:108)_x000D_
08 09 17:36:57 255  4742  4742 E AndroidRuntime: 	at android app servertransaction TransactionExecutor execute(TransactionExecutor java:68)_x000D_
08 09 17:36:57 255  4742  4742 E AndroidRuntime: 	at android app ActivityThread H handleMessage(ActivityThread java:1816)_x000D_
08 09 17:36:57 255  4742  4742 E AndroidRuntime: 	at android os Handler dispatchMessage(Handler java:106)_x000D_
08 09 17:36:57 255  4742  4742 E AndroidRuntime: 	at android os Looper loop(Looper java:193)_x000D_
08 09 17:36:57 255  4742  4742 E AndroidRuntime: 	at android app ActivityThread main(ActivityThread java:6718)_x000D_
08 09 17:36:57 255  4742  4742 E AndroidRuntime: 	at java lang reflect Method invoke(Native Method)_x000D_
08 09 17:36:57 255  4742  4742 E AndroidRuntime: 	at com android internal os RuntimeInit MethodAndArgsCaller run(RuntimeInit java:493)_x000D_
08 09 17:36:57 255  4742  4742 E AndroidRuntime: 	at com android internal os ZygoteInit main(ZygoteInit java:858)_x000D_
08 09 17:36:57 255  4742  4742 E AndroidRuntime: Caused by: android content res Resources NotFoundException: Drawable com devhd feedly:mipmap ic launcher with resource ID  0x7f0c0000_x000D_
08 09 17:36:57 255  4742  4742 E AndroidRuntime: Caused by: android content res Resources NotFoundException: File res mipmap anydpi v26 ic launcher xml from drawable resource ID  0x7f0c0000_x000D_
08 09 17:36:57 255  4742  4742 E AndroidRuntime: 	at android content res ResourcesImpl loadDrawableForCookie(ResourcesImpl java:847)_x000D_
08 09 17:36:57 255  4742  4742 E AndroidRuntime: 	at android content res ResourcesImpl loadDrawable(ResourcesImpl java:631)_x000D_
08 09 17:36:57 255  4742  4742 E AndroidRuntime: 	at android content res Resources getDrawableForDensity(Resources java:888)_x000D_
08 09 17:36:57 255  4742  4742 E AndroidRuntime: 	at android content res Resources getDrawableForDensity(Resources java:862)_x000D_
08 09 17:36:57 255  4742  4742 E AndroidRuntime: 	at com android settings AppWidgetPickActivity createItem(AppWidgetPickActivity java:123)_x000D_
08 09 17:36:57 255  4742  4742 E AndroidRuntime: 	at com android settings AppWidgetPickActivity createItem(AppWidgetPickActivity java:46)_x000D_
08 09 17:36:57 255  4742  4742 E AndroidRuntime: 	at com android settings AppWidgetLoader putAppWidgetItems(AppWidgetLoader java:127)_x000D_
08 09 17:36:57 255  4742  4742 E AndroidRuntime: 	at com android settings AppWidgetLoader putInstalledAppWidgets(AppWidgetLoader java:181)_x000D_
08 09 17:36:57 255  4742  4742 E AndroidRuntime: 	at com android settings AppWidgetLoader getItems(AppWidgetLoader java:154)_x000D_
08 09 17:36:57 255  4742  4742 E AndroidRuntime: 	at com android settings AppWidgetPickActivity getItems(AppWidgetPickActivity java:91)_x000D_
08 09 17:36:57 255  4742  4742 E AndroidRuntime: 	at com android settings ActivityPicker onCreate(ActivityPicker java:103)_x000D_
08 09 17:36:57 255  4742  4742 E AndroidRuntime: 	at com android settings AppWidgetPickActivity onCreate(AppWidgetPickActivity java:69)_x000D_
08 09 17:36:57 255  4742  4742 E AndroidRuntime: 	at android app Activity performCreate(Activity java:7144)_x000D_
08 09 17:36:57 255  4742  4742 E AndroidRuntime: 	at android app Activity performCreate(Activity java:7135)_x000D_
08 09 17:36:57 255  4742  4742 E AndroidRuntime: 	at android app Instrumentation callActivityOnCreate(Instrumentation java:1271)_x000D_
08 09 17:36:57 255  4742  4742 E AndroidRuntime: 	at android app ActivityThread performLaunchActivity(ActivityThread java:2931)_x000D_
08 09 17:36:57 255  4742  4742 E AndroidRuntime: 	at android app ActivityThread handleLaunchActivity(ActivityThread java:3086)_x000D_
08 09 17:36:57 255  4742  4742 E AndroidRuntime: 	at android app servertransaction LaunchActivityItem execute(LaunchActivityItem java:78)_x000D_
08 09 17:36:57 255  4742  4742 E AndroidRuntime: 	at android app servertransaction TransactionExecutor executeCallbacks(TransactionExecutor java:108)_x000D_
08 09 17:36:57 255  4742  4742 E AndroidRuntime: 	at android app servertransaction TransactionExecutor execute(TransactionExecutor java:68)_x000D_
08 09 17:36:57 255  4742  4742 E AndroidRuntime: 	at android app ActivityThread H handleMessage(ActivityThread java:1816)_x000D_
08 09 17:36:57 255  4742  4742 E AndroidRuntime: 	at android os Handler dispatchMessage(Handler java:106)_x000D_
08 09 17:36:57 255  4742  4742 E AndroidRuntime: 	at android os Looper loop(Looper java:193)_x000D_
08 09 17:36:57 255  4742  4742 E AndroidRuntime: 	at android app ActivityThread main(ActivityThread java:6718)_x000D_
08 09 17:36:57 255  4742  4742 E AndroidRuntime: 	at java lang reflect Method invoke(Native Method)_x000D_
08 09 17:36:57 255  4742  4742 E AndroidRuntime: 	at com android internal os RuntimeInit MethodAndArgsCaller run(RuntimeInit java:493)_x000D_
08 09 17:36:57 255  4742  4742 E AndroidRuntime: 	at com android internal os ZygoteInit main(ZygoteInit java:858)_x000D_
08 09 17:36:57 255  4742  4742 E AndroidRuntime: Caused by: android content res Resources NotFoundException: Resource ID  0x7f070098_x000D_
08 09 17:36:57 255  4742  4742 E AndroidRuntime: 	at android content res ResourcesImpl getValueForDensity(ResourcesImpl java:225)_x000D_
08 09 17:36:57 255  4742  4742 E AndroidRuntime: 	at android content res Resources getValueForDensity(Resources java:1349)_x000D_
08 09 17:36:57 255  4742  4742 E AndroidRuntime: 	at android content res TypedArray getDrawableForDensity(TypedArray java:953)_x000D_
08 09 17:36:57 255  4742  4742 E AndroidRuntime: 	at android graphics drawable AdaptiveIconDrawable updateLayerFromTypedArray(AdaptiveIconDrawable java:517)_x000D_
08 09 17:36:57 255  4742  4742 E AndroidRuntime: 	at android graphics drawable AdaptiveIconDrawable inflateLayers(AdaptiveIconDrawable java:481)_x000D_
08 09 17:36:57 255  4742  4742 E AndroidRuntime: 	at android graphics drawable AdaptiveIconDrawable inflate(AdaptiveIconDrawable java:230)_x000D_
08 09 17:36:57 255  4742  4742 E AndroidRuntime: 	at android graphics drawable DrawableInflater inflateFromXmlForDensity(DrawableInflater java:142)_x000D_
08 09 17:36:57 255  4742  4742 E AndroidRuntime: 	at android graphics drawable Drawable createFromXmlInnerForDensity(Drawable java:1332)_x000D_
08 09 17:36:57 255  4742  4742 E AndroidRuntime: 	at android graphics drawable Drawable createFromXmlForDensity(Drawable java:1291)_x000D_
08 09 17:36:57 255  4742  4742 E AndroidRuntime: 	at android content res ResourcesImpl loadDrawableForCookie(ResourcesImpl java:833)_x000D_
08 09 17:36:57 255  4742  4742 E AndroidRuntime: 	    26 more_x000D_
08 09 17:36:57 261   936  2662 W ActivityManager:   Force finishing activity com android settings  applications InstalledAppDetails_x000D_
08 09 17:36:57 273   936  2662 W ActivityManager:   Force finishing activity com android settings  AppWidgetPickActivity_x000D_
08 09 17:36:57 281  4742  4742 I Process : Sending signal  PID: 4742 SIG: 9_x000D_
08 09 17:36:57 289   936  1015 W BroadcastQueue: Background execution not allowed: receiving Intent   act android intent action DROPBOX ENTRY ADDED flg 0x10 (has extras)   to com google android gms  stats service DropBoxEntryAddedReceiver_x000D_
08 09 17:36:57 289   936  1015 W BroadcastQueue: Background execution not allowed: receiving Intent   act android intent action DROPBOX ENTRY ADDED flg 0x10 (has extras)   to com google android gms  chimera GmsIntentOperationService PersistentTrustedReceiver_x000D_
08 09 17:36:57 409   936  5451 I ActivityManager: Process com android settings (pid 4742) has died: fore TOP _x000D_
08 09 17:36:57 411   936  1019 W libprocessgroup: kill( 4742  9) failed: No such process_x000D_
   _x000D_
_x000D_
</t>
  </si>
  <si>
    <t>MozillaReality-FirefoxReality-1545</t>
  </si>
  <si>
    <t>Crash in telemetry</t>
  </si>
  <si>
    <t xml:space="preserve">   Hardware_x000D_
      Include the name and version of the hardware VR headset you experienced the bug in     _x000D_
Quest_x000D_
   Steps to Reproduce_x000D_
1) Launch FxR_x000D_
2) Enter private browsing_x000D_
3) exit private browsing by pressing the private browsing icon in the tray_x000D_
4) Notice the close button is still visible over the window_x000D_
5) click the close button_x000D_
_x000D_
   Current Behavior_x000D_
      If describing a bug  tell us what happens instead of the expected behavior     _x000D_
      If suggesting a change improvement  explain the difference from current behavior     _x000D_
https:  crash stats mozilla com report index 4ab38a12 a12a 49ff b905 f6d920190808_x000D_
_x000D_
   Expected Behavior_x000D_
      If you re describing a bug  tell us what should happen     _x000D_
      If you re suggesting a change improvement  tell us how it should work     _x000D_
Close button should not be visible and telemetry shouldn t crash_x000D_
</t>
  </si>
  <si>
    <t>zeroc-ice-ice-demos-69</t>
  </si>
  <si>
    <t>Android hello demo crash</t>
  </si>
  <si>
    <t xml:space="preserve">Let the demo open on my phone and saw that crash  demo wasn t doing anything _x000D_
   _x000D_
E AndroidRuntime: FATAL EXCEPTION: main_x000D_
    Process: com zeroc hello  PID: 15328_x000D_
    java lang IllegalStateException: Can not perform this action after onSaveInstanceState_x000D_
        at android app FragmentManagerImpl checkStateLoss(FragmentManager java:1877)_x000D_
        at android app FragmentManagerImpl enqueueAction(FragmentManager java:1900)_x000D_
        at android app BackStackRecord commitInternal(BackStackRecord java:688)_x000D_
        at android app BackStackRecord commit(BackStackRecord java:646)_x000D_
        at android app DialogFragment show(DialogFragment java:235)_x000D_
        at com zeroc hello HelloWorld 8 handleMessage(HelloWorld java:282)_x000D_
        at android os Handler dispatchMessage(Handler java:106)_x000D_
        at android os Looper loop(Looper java:193)_x000D_
        at android app ActivityThread main(ActivityThread java:6692)_x000D_
        at java lang reflect Method invoke(Native Method)_x000D_
        at com android internal os RuntimeInit MethodAndArgsCaller run(RuntimeInit java:493)_x000D_
        at com android internal os ZygoteInit main(ZygoteInit java:858)_x000D_
   _x000D_
</t>
  </si>
  <si>
    <t>twilio-video-quickstart-android-430</t>
  </si>
  <si>
    <t>No static method create()Lorg/webrtc/EglBase; in quickStart &amp; quickStartKotlin</t>
  </si>
  <si>
    <t xml:space="preserve">_x000D_
    Description_x000D_
_x000D_
Both quickStart   quickStartAndroid crash immediately after taking camera and mic permissions with the following error log_x000D_
_x000D_
   _x000D_
java lang NoSuchMethodError: No static method create()Lorg webrtc EglBase  in class Lorg webrtc EglBase  or its super classes (declaration of  org webrtc EglBase  appears in  data app com twilio video quickstart kotlin h1xlP3VlqsUneVj80KRxsw   base apk)_x000D_
        at com twilio video EglBaseProvider  init (EglBaseProvider java:93)_x000D_
        at com twilio video EglBaseProvider instance(EglBaseProvider java:37)_x000D_
        at com twilio video MediaFactory instance(MediaFactory java:50)_x000D_
        at com twilio video LocalAudioTrack create(LocalAudioTrack java:99)_x000D_
        at com twilio video LocalAudioTrack create(LocalAudioTrack java:43)_x000D_
        at com twilio video quickstart kotlin VideoActivity createAudioAndVideoTracks(VideoActivity kt:569)_x000D_
        at com twilio video quickstart kotlin VideoActivity onRequestPermissionsResult(VideoActivity kt:437)_x000D_
        at android app Activity dispatchRequestPermissionsResult(Activity java:7954)_x000D_
        at android app Activity dispatchActivityResult(Activity java:7776)_x000D_
        at android app ActivityThread deliverResults(ActivityThread java:4615)_x000D_
        at android app ActivityThread performResumeActivity(ActivityThread java:4015)_x000D_
        at android app ActivityThread handleResumeActivity(ActivityThread java:4058)_x000D_
        at android app servertransaction ResumeActivityItem execute(ResumeActivityItem java:51)_x000D_
        at android app servertransaction TransactionExecutor executeLifecycleState(TransactionExecutor java:145)_x000D_
        at android app servertransaction TransactionExecutor execute(TransactionExecutor java:70)_x000D_
        at android app ActivityThread H handleMessage(ActivityThread java:1960)_x000D_
        at android os Handler dispatchMessage(Handler java:106)_x000D_
        at android os Looper loop(Looper java:214)_x000D_
        at android app ActivityThread main(ActivityThread java:7081)_x000D_
        at java lang reflect Method invoke(Native Method)_x000D_
        at com android internal os RuntimeInit MethodAndArgsCaller run(RuntimeInit java:494)_x000D_
        at com android internal os ZygoteInit main(ZygoteInit java:965)_x000D_
   _x000D_
_x000D_
Tried deleting global and local   gradle  folders but didnt help_x000D_
_x000D_
    Versions_x000D_
_x000D_
All relevant version information for issue _x000D_
_x000D_
     Video Android SDK_x000D_
_x000D_
4 3 0_x000D_
_x000D_
     Android API_x000D_
_x000D_
Android API 28_x000D_
_x000D_
     Android Device_x000D_
_x000D_
Samsung SM J600_x000D_
Emulator image API 28 x86 64_x000D_
One Plus 5_x000D_
</t>
  </si>
  <si>
    <t>niccokunzmann-mundraub-android-261</t>
  </si>
  <si>
    <t>Runtime Exception from Google Play: NanoHTTPServer</t>
  </si>
  <si>
    <t xml:space="preserve">     If you report an app crash  please attach the eu quelltext mundraub log txt file_x000D_
     from the root of your phone s file system     _x000D_
_x000D_
   _x000D_
08 06 17:17:11 719: E AndroidRuntime(25773): java lang RuntimeException: java lang Throwable: A WebView method was called on thread  Timer 0   All WebView methods must be called on the same thread  (Expected Looper Looper (main  tid 2)  7663415  called on null  FYI main Looper is Looper (main  tid 2)  7663415 )_x000D_
08 06 17:17:11 719: E AndroidRuntime(25773): 	at android webkit WebView checkThread(WebView java:2486)_x000D_
08 06 17:17:11 719: E AndroidRuntime(25773): 	at android webkit WebView getUrl(WebView java:1422)_x000D_
08 06 17:17:11 719: E AndroidRuntime(25773): 	at eu quelltext mundraub activities map MapBaseActivity getUrl(MapBaseActivity java:95)_x000D_
08 06 17:17:11 719: E AndroidRuntime(25773): 	at eu quelltext mundraub activities map TestFruitRadarActivity 2 run(TestFruitRadarActivity java:42)_x000D_
08 06 17:17:11 719: E AndroidRuntime(25773): 	at java util TimerThread mainLoop(Timer java:555)_x000D_
08 06 17:17:11 719: E AndroidRuntime(25773): 	at java util TimerThread run(Timer java:505)_x000D_
08 06 17:17:11 719: E AndroidRuntime(25773): Caused by: java lang Throwable: A WebView method was called on thread  Timer 0   All WebView methods must be called on the same thread  (Expected Looper Looper _x000D_
   _x000D_
_x000D_
version 1 186</t>
  </si>
  <si>
    <t>niccokunzmann-mundraub-android-260</t>
  </si>
  <si>
    <t>Runtime exception from google play</t>
  </si>
  <si>
    <t xml:space="preserve">     If you report an app crash  please attach the eu quelltext mundraub log txt file_x000D_
     from the root of your phone s file system     _x000D_
_x000D_
   _x000D_
08 06 17:17:11 719: E AndroidRuntime(25773): java lang RuntimeException: java lang Throwable: A WebView method was called on thread  Timer 0   All WebView methods must be called on the same thread  (Expected Looper Looper (main  tid 2)  7663415  called on null  FYI main Looper is Looper (main  tid 2)  7663415 )_x000D_
08 06 17:17:11 719: E AndroidRuntime(25773): 	at android webkit WebView checkThread(WebView java:2486)_x000D_
08 06 17:17:11 719: E AndroidRuntime(25773): 	at android webkit WebView getUrl(WebView java:1422)_x000D_
08 06 17:17:11 719: E AndroidRuntime(25773): 	at eu quelltext mundraub activities map MapBaseActivity getUrl(MapBaseActivity java:95)_x000D_
08 06 17:17:11 719: E AndroidRuntime(25773): 	at eu quelltext mundraub activities map TestFruitRadarActivity 2 run(TestFruitRadarActivity java:42)_x000D_
08 06 17:17:11 719: E AndroidRuntime(25773): 	at java util TimerThread mainLoop(Timer java:555)_x000D_
08 06 17:17:11 719: E AndroidRuntime(25773): 	at java util TimerThread run(Timer java:505)_x000D_
08 06 17:17:11 719: E AndroidRuntime(25773): Caused by: java lang Throwable: A WebView method was called on thread  Timer 0   All WebView methods must be called on the same thread  (Expected Looper Looper _x000D_
   _x000D_
_x000D_
Version code 1 186</t>
  </si>
  <si>
    <t>pazaan-600SeriesAndroidUploader-254</t>
  </si>
  <si>
    <t>Dot character in basal pattern causes NS crash</t>
  </si>
  <si>
    <t xml:space="preserve">  Uploader Version Number: 0 7   Hungarian default pattern names_x000D_
  Your Android Phone Model Name (e g  Samsung J1 Ace): All_x000D_
  Android Version Number (e g  use 4 4 for 4 4 4): All_x000D_
  Network Connection at the time the issue occurred (Wi Fi  Mobile): All_x000D_
  Nightscout website version: 0 12 3_x000D_
_x000D_
     Brief Explanation of Issue_x000D_
If there is a dot (   ) character in the name of a basal pattern (for example  Day Off  is  Szab nap ) the profile creation causes MongoDB error during profile upload and also all profiles are lost in NS because of the delete command  which is executed before the create command  _x000D_
Heroku log:_x000D_
_x000D_
app web 1: GRANTED:  XXX XXX XXX XXX api secret api:profile:read _x000D_
app web 1: GRANTED:  XXX XXX XXX XXX api secret api:profile:create _x000D_
app web 1: got data received event  requesting reload _x000D_
app web 1:  app node modules mongodb lib utils js:132 _x000D_
app web 1:       throw err  _x000D_
app web 1:         _x000D_
heroku router: at info method GET path   api v1 treatments json find 5Bcreated at 5D 5B 24gte 5D 2017 find 5Bkey600 5D BASAL83852071  host nightscouttst herokuapp com request id d2c0756f 69ac 4d65 84ae d3d1d001aaa9 fwd  XXX XXX XXX XXX  dyno web 1 connect 0ms service 3ms status 200 bytes 398 protocol https _x000D_
heroku router: at info method GET path   api v1 treatments json find 5Bcreated at 5D 5B 24gte 5D 2017 find 5Bkey600 5D BOLUS83851C26  host nightscouttst herokuapp com request id 4af0f5b4 8b84 441a 8645 757db42e8495 fwd  XXX XXX XXX XXX  dyno web 1 connect 1ms service 3ms status 200 bytes 398 protocol https _x000D_
heroku router: at info method GET path   api v1 treatments json find 5Bcreated at 5D 5B 24gte 5D 2017 find 5Bkey600 5D MISC83851303  host xxx herokuapp com request id d5351db7 8d10 43aa 9425 621dd1c8ca10 fwd  XXX XXX XXX XXX  dyno web 1 connect 1ms service 4ms status 200 bytes 398 protocol https _x000D_
heroku web 1: State changed from up to crashed _x000D_
app web 1: TypeError: Cannot read property  ops  of null _x000D_
app web 1:     at  app lib api profile index js:44:38 _x000D_
app web 1:     at  app lib server profile js:9:7 _x000D_
app web 1:     at err ( app node modules mongodb lib utils js:411:14) _x000D_
app web 1:     at session endSession ( app node modules mongodb lib utils js:397:27) _x000D_
app web 1:     at ClientSession endSession ( app node modules mongodb core lib sessions js:134:41) _x000D_
app web 1:     at executeCallback ( app node modules mongodb lib utils js:395:17) _x000D_
app web 1:     at bulkWrite ( app node modules mongodb lib operations collection ops js:926:21) _x000D_
app web 1:     at bulk execute ( app node modules mongodb lib operations collection ops js:133:14) _x000D_
app web 1:     at err ( app node modules mongodb lib utils js:411:14) _x000D_
app web 1:     at executeCallback ( app node modules mongodb lib utils js:401:25) _x000D_
heroku router: at info method GET path   api v1 treatments json find 5Bcreated at 5D 5B 24gte 5D 2017 find 5Bkey600 5D BOLUS838514AD  host xxx herokuapp com request id a52f5373 5478 440d a89b 62b9ba3ab0da fwd  XXX XXX XXX XXX  dyno web 1 connect 0ms service 3ms status 200 bytes 398 protocol https _x000D_
heroku web 1: Process exited with status 1 _x000D_
heroku router: at error code H13 desc  Connection closed without response  method POST path   api v1 profile  host xxx herokuapp com request id cd945b8b 8611 4593 bf31 3137eac8d402 fwd  XXX XXX XXX XXX  dyno web 1 connect 1ms service 14ms status 503 bytes 0 protocol https  _x000D_
_x000D_
     Uploader Error Code_x000D_
(processProfile) Service Unavailable_x000D_
_x000D_
     Steps to Reproduce (for bugs)_x000D_
1  Put a dot character in the name of a basal pattern_x000D_
2  Execute basal pattern update_x000D_
_x000D_
     Severity Score_x000D_
Hungarian version is not working  but I will change the translation so there will be no more dots in the default Hungarian basal pattern names (for exmaple  Day Off  is  Szab nap  in the Hungarian 640G)  however if a user puts a dot in the name of the pattern the error will occur again </t>
  </si>
  <si>
    <t>opentok-opentok-react-native-324</t>
  </si>
  <si>
    <t>Android crash app when change streamId for subscriber component</t>
  </si>
  <si>
    <t xml:space="preserve">  Bug Report_x000D_
_x000D_
  Current behavior  _x000D_
I want to switch to another subscriber stream but it cause the crash in Android  not in iOS _x000D_
_x000D_
  Steps to reproduce  _x000D_
Build a component with a streamId  after that re render with another streamId and it crash with the following error:  The specific child already has a parent  You must call removeView() on the child s parent first  _x000D_
_x000D_
  Example Project  _x000D_
I am following the spinet to custom subscriber view  just 1 subscriber is available at a time _x000D_
_x000D_
   _x000D_
import   OTSubscriberView   from  opentok react native _x000D_
_x000D_
   Render method_x000D_
_x000D_
 OTSubscriber _x000D_
   this renderSubscribers _x000D_
  OTSubscriber _x000D_
_x000D_
   Render prop function_x000D_
_x000D_
renderSubscribers   (subscribers)     _x000D_
  return subscribers map((streamId)    (_x000D_
     TouchableOpacity_x000D_
      onPress  ()    this handleStreamPress(streamId) _x000D_
      key  streamId _x000D_
      style  subscriberWrapperStyle _x000D_
     _x000D_
       OTSubscriberView streamId  streamId  style  subscriberStyle    _x000D_
      TouchableOpacity _x000D_
  )) _x000D_
  _x000D_
   _x000D_
_x000D_
  What is the current  bug  behavior   _x000D_
Cause crash app_x000D_
_x000D_
  What is the expected  correct  behavior   _x000D_
It can switch to another stream correctly like in iOS _x000D_
_x000D_
  Relevant logs and or screenshots  _x000D_
  Screenshot 20190806 183613 (https:  user images githubusercontent com 39950210 62616706 6ed1dd80 b93a 11e9 81ac f01e2d67b214 png)_x000D_
_x000D_
</t>
  </si>
  <si>
    <t>square-okhttp-5331</t>
  </si>
  <si>
    <t>Native Crash in okhttp 3.12.2</t>
  </si>
  <si>
    <t>I got the crash on some devices_x000D_
_x000D_
okhttp3 12 2_x000D_
_x000D_
SIGABRT_x000D_
_x000D_
1  00 pc 0003d4e8  system lib libc so (tgkill 12)  armeabi v8 _x000D_
2  01 pc 000164eb  system lib libc so (pthread kill 66)  armeabi v8 _x000D_
3  02 pc 000170b7  system lib libc so (raise 10)  armeabi v8 _x000D_
4  03 pc 000139a7  system lib libc so (  libc android abort 34)  armeabi v8 _x000D_
5  04 pc 000120d8  system lib libc so (abort 4)  armeabi v8 _x000D_
6  05 pc 00014ba3  system lib libc so (  libc fatal 16)  armeabi v8 _x000D_
7  06 pc 00014bbb  system lib libc so (  fortify chk fail 18)  armeabi v8 _x000D_
8  07 pc 00040f29  system lib libc so (  FD SET chk 24)  armeabi v8 _x000D_
9  08 pc 0000ae15  system lib libjavacrypto so  armeabi v8 _x000D_
10  09 pc 0000f845  system lib libjavacrypto so  armeabi v8 _x000D_
11  10 pc 002f063f  data dalvik cache arm system framework boot oat  armeabi _x000D_
12 java:_x000D_
13 com android org conscrypt OpenSSLSocketImpl startHandshake(OpenSSLSocketImpl java:307)_x000D_
14 okhttp3 internal connection RealConnection connectTls(RealConnection java:320)_x000D_
15 okhttp3 internal connection RealConnection establishProtocol(RealConnection java:284)_x000D_
16 okhttp3 internal connection RealConnection connect(RealConnection java:169)_x000D_
17 okhttp3 internal connection StreamAllocation findConnection(StreamAllocation java:257)_x000D_
18 okhttp3 internal connection StreamAllocation findHealthyConnection(StreamAllocation java:135)_x000D_
19 okhttp3 internal connection StreamAllocation newStream(StreamAllocation java:114)_x000D_
20 okhttp3 internal connection ConnectInterceptor intercept(ConnectInterceptor java:42)_x000D_
21 okhttp3 internal http RealInterceptorChain proceed(RealInterceptorChain java:147)_x000D_
22 okhttp3 internal http RealInterceptorChain proceed(RealInterceptorChain java:121)_x000D_
23 okhttp3 internal cache CacheInterceptor intercept(CacheInterceptor java:93)_x000D_
24 okhttp3 internal http RealInterceptorChain proceed(RealInterceptorChain java:147)_x000D_
25 okhttp3 internal http RealInterceptorChain proceed(RealInterceptorChain java:121)_x000D_
26 okhttp3 internal http BridgeInterceptor intercept(BridgeInterceptor java:93)_x000D_
27 okhttp3 internal http RealInterceptorChain proceed(RealInterceptorChain java:147)_x000D_
28 okhttp3 internal http RetryAndFollowUpInterceptor intercept(RetryAndFollowUpInterceptor java:126)_x000D_
29 okhttp3 internal http RealInterceptorChain proceed(RealInterceptorChain java:147)_x000D_
30 okhttp3 internal http RealInterceptorChain proceed(RealInterceptorChain java:121)_x000D_
31 okhttp3 RealCall getResponseWithInterceptorChain(RealCall java:250)_x000D_
32 okhttp3 RealCall execute(RealCall java:93)</t>
  </si>
  <si>
    <t>RoverPlatform-rover-android-419</t>
  </si>
  <si>
    <t xml:space="preserve">Text Poll Measurement Vote Percentage Text Issue </t>
  </si>
  <si>
    <t>sdk causes crash because margin layout params of VotePercentageText are null after changing what is passed to the  calculateWidthWithoutOptionText  function</t>
  </si>
  <si>
    <t>niccokunzmann-mundraub-android-255</t>
  </si>
  <si>
    <t>Map chooses center as plant location</t>
  </si>
  <si>
    <t xml:space="preserve">     If you report an app crash  please attach the eu quelltext mundraub log txt file_x000D_
     from the root of your phone s file system     _x000D_
_x000D_
When I choose a location for a plant  the location of the center is chosen _x000D_
However  we have a marker to choose the position of the plant and this location should be used </t>
  </si>
  <si>
    <t>niccokunzmann-mundraub-android-253</t>
  </si>
  <si>
    <t>Can not select plant location on edit after search</t>
  </si>
  <si>
    <t xml:space="preserve">     If you report an app crash  please attach the eu quelltext mundraub log txt file_x000D_
     from the root of your phone s file system     _x000D_
_x000D_
When I edit a plant  I would like to use the search _x000D_
I can use it but it always jumps back to the initial position </t>
  </si>
  <si>
    <t>niccokunzmann-mundraub-android-250</t>
  </si>
  <si>
    <t>Can not select offline areas after a search</t>
  </si>
  <si>
    <t xml:space="preserve">     If you report an app crash  please attach the eu quelltext mundraub log txt file_x000D_
     from the root of your phone s file system     _x000D_
_x000D_
Offline areas should be selected even if the map was searched </t>
  </si>
  <si>
    <t>aws-amplify-aws-sdk-android-1115</t>
  </si>
  <si>
    <t>Error in decryption key initializing CognitoCachingCredentialsProvider</t>
  </si>
  <si>
    <t xml:space="preserve">  Describe the bug  _x000D_
Amazon crash on initialization of CognitioCachingCredentialsProvider _x000D_
_x000D_
  To Reproduce  _x000D_
A code sample or steps:_x000D_
   java_x000D_
  I initialize a Handler class which will handle TextToSpeech requests _x000D_
class UtteranceHandler extends Handler  _x000D_
      the context passed to handler is MainActivity _x000D_
    UtteranceHandler(Context context) _x000D_
        this context   new WeakReference  (context) _x000D_
          initialize resources_x000D_
        initPollyClient() _x000D_
     _x000D_
private void initPollyClient()  _x000D_
           Cognito pool ID  Pool needs to be unauthenticated pool with_x000D_
           Amazon Polly permissions _x000D_
        String COGNITO POOL ID         _x000D_
           Region of Amazon Polly _x000D_
        Regions MY REGION       _x000D_
           Initialize the Amazon Cognito credentials provider _x000D_
        CognitoCachingCredentialsProvider credentialsProvider   new CognitoCachingCredentialsProvider(_x000D_
                context get()   program crashes on this line_x000D_
                COGNITO POOL ID _x000D_
                MY REGION_x000D_
        ) _x000D_
           Create a client that supports generation of pre signed URLs _x000D_
        client   new AmazonPollyPresigningClient(credentialsProvider) _x000D_
     _x000D_
   _x000D_
_x000D_
  Which AWS service(s) are affected   _x000D_
I am trying to user the Amazon polly service_x000D_
_x000D_
  Expected behavior  _x000D_
A clear and concise description of what you expected to happen _x000D_
The code shown should initialize a TTS client  _x000D_
_x000D_
  Screenshots  _x000D_
This is the application log:_x000D_
_x000D_
   _x000D_
I AWSKeyValueStore: Detected Android API Level   28_x000D_
I AWSKeyValueStore: Using keyAlias   com amazonaws android auth aesKeyStoreAlias_x000D_
D KeyProvider23: AndroidKeyStore contains keyAlias com amazonaws android auth aesKeyStoreAlias_x000D_
    Loading the encryption key from Android KeyStore _x000D_
I AWSKeyValueStore: Creating the AWSKeyValueStore with key for sharedPreferences   com amazonaws android auth_x000D_
E :  ZeroHung zrhung get config: Get config failed for wp 0x0008 _x000D_
E AWSKeyValueStore: Error in decrypting data  _x000D_
    javax crypto AEADBadTagException_x000D_
        at android security keystore AndroidKeyStoreCipherSpiBase engineDoFinal(AndroidKeyStoreCipherSpiBase java:517)_x000D_
        at javax crypto Cipher doFinal(Cipher java:2055)_x000D_
        at com amazonaws internal keyvaluestore AWSKeyValueStore decrypt(AWSKeyValueStore java:360)_x000D_
        at com amazonaws internal keyvaluestore AWSKeyValueStore get(AWSKeyValueStore java:207)_x000D_
        at com amazonaws auth CognitoCachingCredentialsProvider getCachedIdentityId(CognitoCachingCredentialsProvider java:575)_x000D_
        at com amazonaws auth CognitoCachingCredentialsProvider initialize(CognitoCachingCredentialsProvider java:429)_x000D_
        at com amazonaws auth CognitoCachingCredentialsProvider  init (CognitoCachingCredentialsProvider java:190)_x000D_
        at com felmoreno1726 mobilemigrationapp UtteranceHandler initPollyClient(UtteranceHandler java:117)_x000D_
        at com felmoreno1726 mobilemigrationapp UtteranceHandler  init (UtteranceHandler java:43)_x000D_
        at com felmoreno1726 mobilemigrationapp MainActivity onCreate(MainActivity java:57)_x000D_
        at android app Activity performCreate(Activity java:7436)_x000D_
        at android app Activity performCreate(Activity java:7426)_x000D_
        at android app Instrumentation callActivityOnCreate(Instrumentation java:1286)_x000D_
        at android app ActivityThread performLaunchActivity(ActivityThread java:3279)_x000D_
        at android app ActivityThread handleLaunchActivity(ActivityThread java:3484)_x000D_
        at android app servertransaction LaunchActivityItem execute(LaunchActivityItem java:86)_x000D_
        at android app servertransaction TransactionExecutor executeCallbacks(TransactionExecutor java:108)_x000D_
        at android app servertransaction TransactionExecutor execute(TransactionExecutor java:68)_x000D_
        at android app ActivityThread H handleMessage(ActivityThread java:2123)_x000D_
        at android os Handler dispatchMessage(Handler java:109)_x000D_
        at android os Looper loop(Looper java:207)_x000D_
        at android app ActivityThread main(ActivityThread java:7470)_x000D_
        at java lang reflect Method invoke(Native Method)_x000D_
        at com android internal os RuntimeInit MethodAndArgsCaller run(RuntimeInit java:524)_x000D_
        at com android internal os ZygoteInit main(ZygoteInit java:958)_x000D_
     Caused by: android security KeyStoreException: Signature MAC verification failed_x000D_
        at android security KeyStore getKeyStoreException(KeyStore java:851)_x000D_
        at android security keystore KeyStoreCryptoOperationChunkedStreamer doFinal(KeyStoreCryptoOperationChunkedStreamer java:224)_x000D_
        at android security keystore AndroidKeyStoreAuthenticatedAESCipherSpi BufferAllOutputUntilDoFinalStreamer doFinal(AndroidKeyStoreAuthenticatedAESCipherSpi java:373)_x000D_
        at android security keystore AndroidKeyStoreCipherSpiBase engineDoFinal(AndroidKeyStoreCipherSpiBase java:506)_x000D_
        at javax crypto Cipher doFinal(Cipher java:2055) _x000D_
        at com amazonaws internal keyvaluestore AWSKeyValueStore decrypt(AWSKeyValueStore java:360) _x000D_
        at com amazonaws internal keyvaluestore AWSKeyValueStore get(AWSKeyValueStore java:207) _x000D_
        at com amazonaws auth CognitoCachingCredentialsProvider getCachedIdentityId(CognitoCachingCredentialsProvider java:575) _x000D_
        at com amazonaws auth CognitoCachingCredentialsProvider initialize(CognitoCachingCredentialsProvider java:429) _x000D_
        at com amazonaws auth CognitoCachingCredentialsProvider  init (CognitoCachingCredentialsProvider java:190) _x000D_
        at com felmoreno1726 mobilemigrationapp UtteranceHandler initPollyClient(UtteranceHandler java:117) _x000D_
        at com felmoreno1726 mobilemigrationapp UtteranceHandler  init (UtteranceHandler java:43) _x000D_
        at com felmoreno1726 mobilemigrationapp MainActivity onCreate(MainActivity java:57) _x000D_
        at android app Activity performCreate(Activity java:7436) _x000D_
        at android app Activity performCreate(Activity java:7426) _x000D_
        at android app Instrumentation callActivityOnCreate(Instrumentation java:1286) _x000D_
        at android app ActivityThread performLaunchActivity(ActivityThread java:3279) _x000D_
        at android app ActivityThread handleLaunchActivity(ActivityThread java:3484) _x000D_
        at android app servertransaction LaunchActivityItem execute(LaunchActivityItem java:86) _x000D_
        at android app servertransaction TransactionExecutor executeCallbacks(TransactionExecutor java:108) _x000D_
        at android app servertransaction TransactionExecutor execute(TransactionExecutor java:68) _x000D_
        at android app ActivityThread H handleMessage(ActivityThread java:2123) _x000D_
        at android os Handler dispatchMessage(Handler java:109) _x000D_
        at android os Looper loop(Looper java:207) _x000D_
        at android app ActivityThread main(ActivityThread java:7470) _x000D_
        at java lang reflect Method invoke(Native Method) _x000D_
        at com android internal os RuntimeInit MethodAndArgsCaller run(RuntimeInit java:524) _x000D_
        at com android internal os ZygoteInit main(ZygoteInit java:958) _x000D_
D CognitoCachingCredentialsProvider: Loading credentials from SharedPreferences_x000D_
E AWSKeyValueStore: Error in decrypting data  _x000D_
    javax crypto AEADBadTagException_x000D_
        at android security keystore AndroidKeyStoreCipherSpiBase engineDoFinal(AndroidKeyStoreCipherSpiBase java:517)_x000D_
        at javax crypto Cipher doFinal(Cipher java:2055)_x000D_
        at com amazonaws internal keyvaluestore AWSKeyValueStore decrypt(AWSKeyValueStore java:360)_x000D_
        at com amazonaws internal keyvaluestore AWSKeyValueStore get(AWSKeyValueStore java:207)_x000D_
        at com amazonaws auth CognitoCachingCredentialsProvider loadCachedCredentials(CognitoCachingCredentialsProvider java:588)_x000D_
        at com amazonaws auth CognitoCachingCredentialsProvider initialize(CognitoCachingCredentialsProvider java:430)_x000D_
        at com amazonaws auth CognitoCachingCredentialsProvider  init (CognitoCachingCredentialsProvider java:190)_x000D_
        at com felmoreno1726 mobilemigrationapp UtteranceHandler initPollyClient(UtteranceHandler java:117)_x000D_
        at com felmoreno1726 mobilemigrationapp UtteranceHandler  init (UtteranceHandler java:43)_x000D_
        at com felmoreno1726 mobilemigrationapp MainActivity onCreate(MainActivity java:57)_x000D_
        at android app Activity performCreate(Activity java:7436)_x000D_
        at android app Activity performCreate(Activity java:7426)_x000D_
        at android app Instrumentation callActivityOnCreate(Instrumentation java:1286)_x000D_
        at android app ActivityThread performLaunchActivity(ActivityThread java:3279)_x000D_
        at android app ActivityThread handleLaunchActivity(ActivityThread java:3484)_x000D_
        at android app servertransaction LaunchActivityItem execute(LaunchActivityItem java:86)_x000D_
        at android app servertransaction TransactionExecutor executeCallbacks(TransactionExecutor java:108)_x000D_
        at android app servertransaction TransactionExecutor execute(TransactionExecutor java:68)_x000D_
        at android app ActivityThread H handleMessage(ActivityThread java:2123)_x000D_
        at android os Handler dispatchMessage(Handler java:109)_x000D_
        at android os Looper loop(Looper java:207)_x000D_
        at android app ActivityThread main(ActivityThread java:7470)_x000D_
        at java lang reflect Method invoke(Native Method)_x000D_
        at com android internal os RuntimeInit MethodAndArgsCaller run(RuntimeInit java:524)_x000D_
        at com android internal os ZygoteInit main(ZygoteInit java:958)_x000D_
     Caused by: android security KeyStoreException: Signature MAC verification failed_x000D_
        at android security KeyStore getKeyStoreException(KeyStore java:851)_x000D_
        at android security keystore KeyStoreCryptoOperationChunkedStreamer doFinal(KeyStoreCryptoOperationChunkedStreamer java:224)_x000D_
        at android security keystore AndroidKeyStoreAuthenticatedAESCipherSpi BufferAllOutputUntilDoFinalStreamer doFinal(AndroidKeyStoreAuthenticatedAESCipherSpi java:373)_x000D_
        at android security keystore AndroidKeyStoreCipherSpiBase engineDoFinal(AndroidKeyStoreCipherSpiBase java:506)_x000D_
        at javax crypto Cipher doFinal(Cipher java:2055) _x000D_
        at com amazonaws internal keyvaluestore AWSKeyValueStore decrypt(AWSKeyValueStore java:360) _x000D_
        at com amazonaws internal keyvaluestore AWSKeyValueStore get(AWSKeyValueStore java:207) _x000D_
        at com amazonaws auth CognitoCachingCredentialsProvider loadCachedCredentials(CognitoCachingCredentialsProvider java:588) _x000D_
        at com amazonaws auth CognitoCachingCredentialsProvider initialize(CognitoCachingCredentialsProvider java:430) _x000D_
        at com amazonaws auth CognitoCachingCredentialsProvider  init (CognitoCachingCredentialsProvider java:190) _x000D_
        at com felmoreno1726 mobilemigrationapp UtteranceHandler initPollyClient(UtteranceHandler java:117) _x000D_
        at com felmoreno1726 mobilemigrationapp UtteranceHandler  init (UtteranceHandler java:43) _x000D_
        at com felmoreno1726 mobilemigrationapp MainActivity onCreate(MainActivity java:57) _x000D_
        at android app Activity performCreate(Activity java:7436) _x000D_
        at android app Activity performCreate(Activity java:7426) _x000D_
        at android app Instrumentation callActivityOnCreate(Instrumentation java:1286) _x000D_
        at android app ActivityThread performLaunchActivity(ActivityThread java:3279) _x000D_
        at android app ActivityThread handleLaunchActivity(ActivityThread java:3484) _x000D_
        at android app servertransaction LaunchActivityItem execute(LaunchActivityItem java:86) _x000D_
        at android app servertransaction TransactionExecutor executeCallbacks(TransactionExecutor java:108) _x000D_
        at android app servertransaction TransactionExecutor execute(TransactionExecutor java:68) _x000D_
        at android app ActivityThread H handleMessage(ActivityThread java:2123) _x000D_
        at android os Handler dispatchMessage(Handler java:109) _x000D_
        at android os Looper loop(Looper java:207) _x000D_
        at android app ActivityThread main(ActivityThread java:7470) _x000D_
        at java lang reflect Method invoke(Native Method) _x000D_
        at com android internal os RuntimeInit MethodAndArgsCaller run(RuntimeInit java:524) _x000D_
        at com android internal os ZygoteInit main(ZygoteInit java:958) _x000D_
E AWSKeyValueStore: Error in decrypting data  _x000D_
    javax crypto AEADBadTagException_x000D_
        at android security keystore AndroidKeyStoreCipherSpiBase engineDoFinal(AndroidKeyStoreCipherSpiBase java:517)_x000D_
        at javax crypto Cipher doFinal(Cipher java:2055)_x000D_
        at com amazonaws internal keyvaluestore AWSKeyValueStore decrypt(AWSKeyValueStore java:360)_x000D_
        at com amazonaws internal keyvaluestore AWSKeyValueStore get(AWSKeyValueStore java:207)_x000D_
        at com amazonaws auth CognitoCachingCredentialsProvider loadCachedCredentials(CognitoCachingCredentialsProvider java:605)_x000D_
        at com amazonaws auth CognitoCachingCredentialsProvider initialize(CognitoCachingCredentialsProvider java:430)_x000D_
        at com amazonaws auth CognitoCachingCredentialsProvider  init (CognitoCachingCredentialsProvider java:190)_x000D_
        at com felmoreno1726 mobilemigrationapp UtteranceHandler initPollyClient(UtteranceHandler java:117)_x000D_
        at com felmoreno1726 mobilemigrationapp UtteranceHandler  init (UtteranceHandler java:43)_x000D_
        at com felmoreno1726 mobilemigrationapp MainActivity onCreate(MainActivity java:57)_x000D_
        at android app Activity performCreate(Activity java:7436)_x000D_
        at android app Activity performCreate(Activity java:7426)_x000D_
        at android app Instrumentation callActivityOnCreate(Instrumentation java:1286)_x000D_
        at android app ActivityThread performLaunchActivity(ActivityThread java:3279)_x000D_
        at android app ActivityThread handleLaunchActivity(ActivityThread java:3484)_x000D_
        at android app servertransaction LaunchActivityItem execute(LaunchActivityItem java:86)_x000D_
        at android app servertransaction TransactionExecutor executeCallbacks(TransactionExecutor java:108)_x000D_
        at android app servertransaction TransactionExecutor execute(TransactionExecutor java:68)_x000D_
        at android app ActivityThread H handleMessage(ActivityThread java:2123)_x000D_
        at android os Handler dispatchMessage(Handler java:109)_x000D_
        at android os Looper loop(Looper java:207)_x000D_
        at android app ActivityThread main(ActivityThread java:7470)_x000D_
        at java lang reflect Method invoke(Native Method)_x000D_
        at com android internal os RuntimeInit MethodAndArgsCaller run(RuntimeInit java:524)_x000D_
        at com android internal os ZygoteInit main(ZygoteInit java:958)_x000D_
     Caused by: android security KeyStoreException: Signature MAC verification failed_x000D_
        at android security KeyStore getKeyStoreException(KeyStore java:851)_x000D_
        at android security keystore KeyStoreCryptoOperationChunkedStreamer doFinal(KeyStoreCryptoOperationChunkedStreamer java:224)_x000D_
        at android security keystore AndroidKeyStoreAuthenticatedAESCipherSpi BufferAllOutputUntilDoFinalStreamer doFinal(AndroidKeyStoreAuthenticatedAESCipherSpi java:373)_x000D_
        at android security keystore AndroidKeyStoreCipherSpiBase engineDoFinal(AndroidKeyStoreCipherSpiBase java:506)_x000D_
        at javax crypto Cipher doFinal(Cipher java:2055) _x000D_
        at com amazonaws internal keyvaluestore AWSKeyValueStore decrypt(AWSKeyValueStore java:360) _x000D_
        at com amazonaws internal keyvaluestore AWSKeyValueStore get(AWSKeyValueStore java:207) _x000D_
        at com amazonaws auth CognitoCachingCredentialsProvider loadCachedCredentials(CognitoCachingCredentialsProvider java:605) _x000D_
        at com amazonaws auth CognitoCachingCredentialsProvider initialize(CognitoCachingCredentialsProvider java:430) _x000D_
        at com amazonaws auth CognitoCachingCredentialsProvider  init (CognitoCachingCredentialsProvider java:190) _x000D_
        at com felmoreno1726 mobilemigrationapp UtteranceHandler initPollyClient(UtteranceHandler java:117) _x000D_
        at com felmoreno1726 mobilemigrationapp UtteranceHandler  init (UtteranceHandler java:43) _x000D_
        at com felmoreno1726 mobilemigrationapp MainActivity onCreate(MainActivity java:57) _x000D_
        at android app Activity performCreate(Activity java:7436) _x000D_
        at android app Activity performCreate(Activity java:7426) _x000D_
        at android app Instrumentation callActivityOnCreate(Instrumentation java:1286) _x000D_
        at android app ActivityThread performLaunchActivity(ActivityThread java:3279) _x000D_
        at android app ActivityThread handleLaunchActivity(ActivityThread java:3484) _x000D_
        at android app servertransaction LaunchActivityItem execute(LaunchActivityItem java:86) _x000D_
        at android app servertransaction TransactionExecutor executeCallbacks(TransactionExecutor java:108) _x000D_
        at android app servertransaction TransactionExecutor execute(TransactionExecutor java:68) _x000D_
        at android app ActivityThread H handleMessage(ActivityThread java:2123) _x000D_
        at android os Handler dispatchMessage(Handler java:109) _x000D_
        at android os Looper loop(Looper java:207) _x000D_
        at android app ActivityThread main(ActivityThread java:7470) _x000D_
        at java lang reflect Method invoke(Native Method) _x000D_
        at com android internal os RuntimeInit MethodAndArgsCaller run(RuntimeInit java:524) _x000D_
        at com android internal os ZygoteInit main(ZygoteInit java:958) _x000D_
E AWSKeyValueStore: Error in decrypting data  _x000D_
    javax crypto AEADBadTagException_x000D_
        at android security keystore AndroidKeyStoreCipherSpiBase engineDoFinal(AndroidKeyStoreCipherSpiBase java:517)_x000D_
        at javax crypto Cipher doFinal(Cipher java:2055)_x000D_
        at com amazonaws internal keyvaluestore AWSKeyValueStore decrypt(AWSKeyValueStore java:360)_x000D_
        at com amazonaws internal keyvaluestore AWSKeyValueStore get(AWSKeyValueStore java:207)_x000D_
        at com amazonaws auth CognitoCachingCredentialsProvider loadCachedCredentials(CognitoCachingCredentialsProvider java:606)_x000D_
        at com amazonaws auth CognitoCachingCredentialsProvider initialize(CognitoCachingCredentialsProvider java:430)_x000D_
        at com amazonaws auth CognitoCachingCredentialsProvider  init (CognitoCachingCredentialsProvider java:190)_x000D_
        at com felmoreno1726 mobilemigrationapp UtteranceHandler initPollyClient(UtteranceHandler java:117)_x000D_
        at com felmoreno1726 mobilemigrationapp UtteranceHandler  init (UtteranceHandler java:43)_x000D_
        at com felmoreno1726 mobilemigrationapp MainActivity onCreate(MainActivity java:57)_x000D_
        at android app Activity performCreate(Activity java:7436)_x000D_
        at android app Activity performCreate(Activity java:7426)_x000D_
        at android app Instrumentation callActivityOnCreate(Instrumentation java:1286)_x000D_
        at android app ActivityThread performLaunchActivity(ActivityThread java:3279)_x000D_
        at android app ActivityThread handleLaunchActivity(ActivityThread java:3484)_x000D_
        at android app servertransaction LaunchActivityItem execute(LaunchActivityItem java:86)_x000D_
        at android app servertransaction TransactionExecutor executeCallbacks(TransactionExecutor java:108)_x000D_
        at android app servertransaction TransactionExecutor execute(TransactionExecutor java:68)_x000D_
        at android app ActivityThread H handleMessage(ActivityThread java:2123)_x000D_
        at android os Handler dispatchMessage(Handler java:109)_x000D_
        at android os Looper loop(Looper java:207)_x000D_
        at android app ActivityThread main(ActivityThread java:7470)_x000D_
        at java lang reflect Method invoke(Native Method)_x000D_
        at com android internal os RuntimeInit MethodAndArgsCaller run(RuntimeInit java:524)_x000D_
        at com android internal os ZygoteInit main(ZygoteInit java:958)_x000D_
     Caused by: android security KeyStoreException: Signature MAC verification failed_x000D_
        at android security KeyStore getKeyStoreException(KeyStore java:851)_x000D_
        at android security keystore KeyStoreCryptoOperationChunkedStreamer doFinal(KeyStoreCryptoOperationChunkedStreamer java:224)_x000D_
        at android security keystore AndroidKeyStoreAuthenticatedAESCipherSpi BufferAllOutputUntilDoFinalStreamer doFinal(AndroidKeyStoreAuthenticatedAESCipherSpi java:373)_x000D_
        at android security keystore AndroidKeyStoreCipherSpiBase engineDoFinal(AndroidKeyStoreCipherSpiBase java:506)_x000D_
        at javax crypto Cipher doFinal(Cipher java:2055) _x000D_
        at com amazonaws internal keyvaluestore AWSKeyValueStore decrypt(AWSKeyValueStore java:360) _x000D_
        at com amazonaws internal keyvaluestore AWSKeyValueStore get(AWSKeyValueStore java:207) _x000D_
        at com amazonaws auth CognitoCachingCredentialsProvider loadCachedCredentials(CognitoCachingCredentialsProvider java:606) _x000D_
        at com amazonaws auth CognitoCachingCredentialsProvider initialize(CognitoCachingCredentialsProvider java:430) _x000D_
        at com amazonaws auth CognitoCachingCredentialsProvider  init (CognitoCachingCredentialsProvider java:190) _x000D_
        at com felmoreno1726 mobilemigrationapp UtteranceHandler initPollyClient(UtteranceHandler java:117) _x000D_
        at com felmoreno1726 mobilemigrationapp UtteranceHandler  init (UtteranceHandler java:43) _x000D_
        at com felmoreno1726 mobilemigrationapp MainActivity onCreate(MainActivity java:57) _x000D_
        at android app Activity performCreate(Activity java:7436) _x000D_
        at android app Activity performCreate(Activity java:7426) _x000D_
        at android app Instrumentation callActivityOnCreate(Instrumentation java:1286) _x000D_
        at android app ActivityThread performLaunchActivity(ActivityThread java:3279) _x000D_
        at android app ActivityThread handleLaunchActivity(ActivityThread java:3484) _x000D_
        at android app servertransaction LaunchActivityItem execute(LaunchActivityItem java:86) _x000D_
        at android app servertransaction TransactionExecutor executeCallbacks(TransactionExecutor java:108) _x000D_
        at android app servertransaction TransactionExecutor execute(TransactionExecutor java:68) _x000D_
        at android app ActivityThread H handleMessage(ActivityThread java:2123) _x000D_
        at android os Handler dispatchMessage(Handler java:109) _x000D_
        at android os Looper loop(Looper java:207) _x000D_
        at android app ActivityThread main(ActivityThread java:7470) _x000D_
        at java lang reflect Method invoke(Native Method) _x000D_
        at com android internal os RuntimeInit MethodAndArgsCaller run(RuntimeInit java:524) _x000D_
        at com android internal os ZygoteInit main(ZygoteInit java:958) _x000D_
E AWSKeyValueStore: Error in decrypting data  _x000D_
    javax crypto AEADBadTagException_x000D_
        at android security keystore AndroidKeyStoreCipherSpiBase engineDoFinal(AndroidKeyStoreCipherSpiBase java:517)_x000D_
        at javax crypto Cipher doFinal(Cipher java:2055)_x000D_
        at com amazonaws internal keyvaluestore AWSKeyValueStore decrypt(AWSKeyValueStore java:360)_x000D_
        at com amazonaws internal keyvaluestore AWSKeyValueStore get(AWSKeyValueStore java:207)_x000D_
        at com amazonaws auth CognitoCachingCredentialsProvider loadCachedCredentials(CognitoCachingCredentialsProvider java:607)_x000D_
        at com amazonaws auth CognitoCachingCredentialsProvider initialize(CognitoCachingCredentialsProvider java:430)_x000D_
        at com amazonaws auth CognitoCachingCredentialsProvider  init (CognitoCachingCredentialsProvider java:190)_x000D_
        at com felmoreno1726 mobilemigrationapp UtteranceHandler initPollyClient(UtteranceHandler java:117)_x000D_
        at com felmoreno1726 mobilemigrationapp UtteranceHandler  init (UtteranceHandler java:43)_x000D_
        at com felmoreno1726 mobilemigrationapp MainActivity onCreate(MainActivity java:57)_x000D_
        at android app Activity performCreate(Activity java:7436)_x000D_
        at android app Activity performCreate(Activity java:7426)_x000D_
        at android app Instrumentation callActivityOnCreate(Instrumentation java:1286)_x000D_
        at android app ActivityThread performLaunchActivity(ActivityThread java:3279)_x000D_
        at android app ActivityThread handleLaunchActivity(ActivityThread java:3484)_x000D_
        at android app servertransaction LaunchActivityItem execute(LaunchActivityItem java:86)_x000D_
        at android app servertransaction TransactionExecutor executeCallbacks(TransactionExecutor java:108)_x000D_
        at android app servertransaction TransactionExecutor execute(TransactionExecutor java:68)_x000D_
        at android app ActivityThread H handleMessage(ActivityThread java:2123)_x000D_
        at android os Handler dispatchMessage(Handler java:109)_x000D_
        at android os Looper loop(Looper java:207)_x000D_
        at android app ActivityThread main(ActivityThread java:7470)_x000D_
        at java lang reflect Method invoke(Native Method)_x000D_
        at com android internal os RuntimeInit MethodAndArgsCaller run(RuntimeInit java:524)_x000D_
        at com android internal os ZygoteInit main(ZygoteInit java:958)_x000D_
     Caused by: android security KeyStoreException: Signature MAC verification failed_x000D_
        at android security KeyStore getKeyStoreException(KeyStore java:851)_x000D_
        at android security keystore KeyStoreCryptoOperationChunkedStreamer doFinal(KeyStoreCryptoOperationChunkedStreamer java:224)_x000D_
        at android security keystore AndroidKeyStoreAuthenticatedAESCipherSpi BufferAllOutputUntilDoFinalStreamer doFinal(AndroidKeyStoreAuthenticatedAESCipherSpi java:373)_x000D_
        at android security keystore AndroidKeyStoreCipherSpiBase engineDoFinal(AndroidKeyStoreCipherSpiBase java:506)_x000D_
        at javax crypto Cipher doFinal(Cipher java:2055) _x000D_
        at com amazonaws internal keyvaluestore AWSKeyValueStore decrypt(AWSKeyValueStore java:360) _x000D_
        at com amazonaws internal keyvaluestore AWSKeyValueStore get(AWSKeyValueStore java:207) _x000D_
        at com amazonaws auth CognitoCachingCredentialsProvider loadCachedCredentials(CognitoCachingCredentialsProvider java:607) _x000D_
        at com amazonaws auth CognitoCachingCredentialsProvider initialize(CognitoCachingCredentialsProvider java:430) _x000D_
        at com amazonaws auth CognitoCachingCredentialsProvider  init (CognitoCachingCredentialsProvider java:190) _x000D_
        at com felmoreno1726 mobilemigrationapp UtteranceHandler initPollyClient(UtteranceHandler java:117) _x000D_
        at com felmoreno1726 mobilemigrationapp UtteranceHandler  init (UtteranceHandler java:43) _x000D_
        at com felmoreno1726 mobilemigrationapp MainActivity onCreate(MainActivity java:57) _x000D_
        at android app Activity performCreate(Activity java:7436) _x000D_
        at android app Activity performCreate(Activity java:7426) _x000D_
        at android app Instrumentation callActivityOnCreate(Instrumentation java:1286) _x000D_
        at android app ActivityThread performLaunchActivity(ActivityThread java:3279) _x000D_
        at android app ActivityThread handleLaunchActivity(ActivityThread java:3484) _x000D_
        at android app servertransaction LaunchActivityItem execute(LaunchActivityItem java:86) _x000D_
        at android app servertransaction TransactionExecutor executeCallbacks(TransactionExecutor java:108) _x000D_
        at android app servertransaction TransactionExecutor execute(TransactionExecutor java:68) _x000D_
        at android app ActivityThread H handleMessage(ActivityThread java:2123) _x000D_
        at android os Handler dispatchMessage(Handler java:109) _x000D_
        at android os Looper loop(Looper java:207) _x000D_
        at android app ActivityThread main(ActivityThread java:7470) _x000D_
        at java lang reflect Method invoke(Native Method) _x000D_
        at com android internal os RuntimeInit MethodAndArgsCaller run(RuntimeInit java:524) _x000D_
        at com android internal os ZygoteInit main(ZygoteInit java:958) _x000D_
D CognitoCachingCredentialsProvider: No valid credentials found in SharedPreferences_x000D_
   _x000D_
_x000D_
  Environment Information (please complete the following information):  _x000D_
   AWS Android SDK Version: From gradle_x000D_
    def aws version    2 13   _x000D_
    implementation  com amazonaws:aws android sdk polly: aws version _x000D_
    implementation  com amazonaws:aws android sdk mobile client: aws version _x000D_
   Device: HUAWEI CLT L09_x000D_
   Android Version: Android 9  API 28_x000D_
   Specific to simulators: Yes  This error is not thrown when I try to reproduce on API 27 (Nexus nor Pixel)_x000D_
_x000D_
  Additional context  _x000D_
Weirdly enough I have been able to start and use the service when I create the TTS client from within another Handler class  but not when it is main Activity that creates the UtteranceHandler instance _x000D_
_x000D_
Thanks_x000D_
</t>
  </si>
  <si>
    <t>MozillaReality-FirefoxReality-1505</t>
  </si>
  <si>
    <t>Crash on pause with releas build and clean install.</t>
  </si>
  <si>
    <t xml:space="preserve">   Hardware_x000D_
      Include the name and version of the hardware VR headset you experienced the bug in     _x000D_
Go (could be others)_x000D_
   Steps to Reproduce_x000D_
      For bugs  please provide a link to a live web site  test page  or a rough set of    _x000D_
      steps to reproduce this bug  If relevant  include code to reproduce     _x000D_
      Feel free to attach images and GIFs of screen captures     _x000D_
1  Uninstall FxR_x000D_
2  Install release build _x000D_
3  Run FxR_x000D_
4  Press oculus home button and exit FxR_x000D_
_x000D_
   Current Behavior_x000D_
      If describing a bug  tell us what happens instead of the expected behavior     _x000D_
      If suggesting a change improvement  explain the difference from current behavior     _x000D_
FxR will eventually crash and re launch _x000D_
_x000D_
   Expected Behavior_x000D_
      If you re describing a bug  tell us what should happen     _x000D_
      If you re suggesting a change improvement  tell us how it should work     _x000D_
FxR shouldn t crash _x000D_
_x000D_
</t>
  </si>
  <si>
    <t>TeamNewPipe-NewPipe-2493</t>
  </si>
  <si>
    <t>Popout seems to die when re-opening the main app (or resuming playback)</t>
  </si>
  <si>
    <t xml:space="preserve">   x  I carefully read the  contribution guidelines (https:  github com TeamNewPipe NewPipe blob HEAD  github CONTRIBUTING md) and agree to them _x000D_
   x  I checked if the issue feature exists in the latest version _x000D_
      I did use the  incredible bugreport to markdown converter (https:  teamnewpipe github io CrashReportToMarkdown ) to paste bug reports _x000D_
_x000D_
This has been an issue in NewPipe for a couple of years  but I never got around to sending a bug report (since there was no real  crash  to paste in an issue)  Effectively  the issue is that (seemingly randomly) when you have a popout video playing the popout will die when you re open the main app  This also happens sometimes when you try to resume a paused video some time after you paused it _x000D_
_x000D_
I can try to rustle up a video of it (if I can get a useful reproducer)  but I m opening this issue for visibility to hopefully get some sort of resolution  I ve had this issue on a Pixel 3 XL  Pixel 3a  OnePlus 1  OnePlus 5T  and I ve seen other people hit this issue as well after I recommended they use NewPipe </t>
  </si>
  <si>
    <t>MozillaReality-FirefoxReality-1495</t>
  </si>
  <si>
    <t>Crash report settings label not left-aligned</t>
  </si>
  <si>
    <t xml:space="preserve">   Configuration_x000D_
https:  github com MozillaReality FirefoxReality commit 21217126e6feeb2aca5998e303ae961ece93ab3e_x000D_
_x000D_
   Steps to Reproduce_x000D_
Look at Settings  Privacy and security  label for  Send backlogged crash reports _x000D_
_x000D_
   Current Behavior_x000D_
Label appears to be centred _x000D_
  Screenshot 20190804 214439 (https:  user images githubusercontent com 5752887 62440499 92fbb600 b7a4 11e9 81f2 37b6a4b44edf png)_x000D_
_x000D_
   Expected Behavior_x000D_
Label should be left aligned _x000D_
_x000D_
needed by  1243 </t>
  </si>
  <si>
    <t>fieldsight-fieldsight-mobile-316</t>
  </si>
  <si>
    <t>Crash in getChangedPayload() in site list</t>
  </si>
  <si>
    <t>https:  console firebase google com project fieldsight 2906f crashlytics app android:org bcss collect android issues 5bfa19c7f8b88c296350e1c3 time last seven days sessionId 5D45F0B5023F000103F3FA93B7AA0C45 DNE 0 v2</t>
  </si>
  <si>
    <t>fieldsight-fieldsight-mobile-314</t>
  </si>
  <si>
    <t>Wrong layout cast on educational material screen</t>
  </si>
  <si>
    <t>https:  console firebase google com project fieldsight 2906f crashlytics app android:org bcss collect android issues e344840d58d8d01c51b9fc3e33138148 time last seven days sessionId 5D46EF51010000015E7D45782D3C4257 DNE 0 v2</t>
  </si>
  <si>
    <t>forcedotcom-SalesforceMobileSDK-Android-1958</t>
  </si>
  <si>
    <t>app crashes after authentication</t>
  </si>
  <si>
    <t xml:space="preserve">Our React Native Android app crashes since upgrading to 7 2 0 with a null pointer exception (as below)  We have resolved the problem temporarily by reverting the following commits locally:_x000D_
  https:  github com forcedotcom SalesforceMobileSDK Android commit 088c3590d52736fdf20e1a49c4d4dac3fc37cd38 diff 4857125ec18fbaef2a971a21e7b3e0fa_x000D_
  https:  github com forcedotcom SalesforceMobileSDK Android commit 931a33ad014db6f7af5c2816e79387765d3dd015 diff 4857125ec18fbaef2a971a21e7b3e0fa_x000D_
  https:  github com forcedotcom SalesforceMobileSDK Android commit f5e0c8507ceed232fb3a307b89265448e5926054 diff 4857125ec18fbaef2a971a21e7b3e0fa_x000D_
_x000D_
1  Version of Mobile SDK Used:   7 2 0  _x000D_
2  Issue found in   React Native App  _x000D_
3  OS Version:   Android  _x000D_
4  Device:   Various  _x000D_
5  Steps to reproduce: _x000D_
   Open app  redirects to the Salesforce login screen_x000D_
   Complete login flow (password  2FA etc)_x000D_
6  Actual behavior: upon redirecting back to our app the app crashes with a null pointer exception and does not retain the login or open the app _x000D_
7  Expected Behavior: The app opens with authentication as provided _x000D_
8  Error Log: There was a null pointer exception at  SalesforceSDK src com salesforce androidsdk secruity SalesforceKeyGenerator java  at line 103:  CACHED ENCRYPTION KEYS put(name  encryptionKey)  _x000D_
</t>
  </si>
  <si>
    <t>michael-rapp-AndroidMaterialDialog-37</t>
  </si>
  <si>
    <t>Resource Not Found Exception on some devices</t>
  </si>
  <si>
    <t xml:space="preserve">My App crashed for 2 users when I called the builder for the dialog  The only information I have is that one of them was on Android 8 and other on Android 9  But for the vast majority of users  it works fine   The stack trace for both is below _x000D_
_x000D_
 Caused by android content res Resources NotFoundException_x000D_
Resource ID  0x7f080086_x000D_
de mrapp android dialog decorator MaterialDialogDecorator setWindowBackground (MaterialDialogDecorator java:1122)_x000D_
de mrapp android dialog AbstractMaterialDialog setWindowBackground (AbstractMaterialDialog java:215)_x000D_
de mrapp android dialog builder AbstractMaterialDialogBuilder setWindowBackground (AbstractMaterialDialogBuilder java:508)_x000D_
de mrapp android dialog builder AbstractMaterialDialogBuilder obtainWindowBackground (AbstractMaterialDialogBuilder java:285)_x000D_
de mrapp android dialog builder AbstractMaterialDialogBuilder obtainStyledAttributes (AbstractMaterialDialogBuilder java:440)_x000D_
de mrapp android dialog builder AbstractHeaderDialogBuilder obtainStyledAttributes (AbstractHeaderDialogBuilder java:388)_x000D_
de mrapp android dialog builder AbstractButtonBarDialogBuilder obtainStyledAttributes (AbstractButtonBarDialogBuilder java:357)_x000D_
de mrapp android dialog builder AbstractListDialogBuilder obtainStyledAttributes (AbstractListDialogBuilder java:395)_x000D_
de mrapp android dialog builder AbstractMaterialDialogBuilder initialize (AbstractMaterialDialogBuilder java:82)_x000D_
de mrapp android dialog builder AbstractMaterialDialogBuilder  init  (AbstractMaterialDialogBuilder java:472)_x000D_
de mrapp android dialog builder AbstractHeaderDialogBuilder  init  (AbstractHeaderDialogBuilder java:167)_x000D_
de mrapp android dialog builder AbstractAnimateableDialogBuilder  init  (AbstractAnimateableDialogBuilder java:48)_x000D_
de mrapp android dialog builder AbstractValidateableDialogBuilder  init  (AbstractValidateableDialogBuilder java:51)_x000D_
de mrapp android dialog builder AbstractButtonBarDialogBuilder  init  (AbstractButtonBarDialogBuilder java:89)_x000D_
de mrapp android dialog builder AbstractListDialogBuilder  init  (AbstractListDialogBuilder java:73)_x000D_
de mrapp android dialog MaterialDialog Builder  init  (MaterialDialog java:55)_x000D_
com github yashx bluetoothswitches activity MainActivity onCreate (MainActivity java:164) </t>
  </si>
  <si>
    <t>getodk-collect-3281</t>
  </si>
  <si>
    <t>OkHttp failure when submission filename contains unicode</t>
  </si>
  <si>
    <t xml:space="preserve">     Software and hardware versions _x000D_
Collect v1 23 0_x000D_
_x000D_
     Problem description_x000D_
Submission filenames are based on the form name which can contain unicode  Trying to send a submission with such a form name causes a crash _x000D_
_x000D_
See reproduction steps and full error message at https:  forum opendatakit org t unable to upload odk record to server 21230 _x000D_
</t>
  </si>
  <si>
    <t>MozillaReality-FirefoxReality-1492</t>
  </si>
  <si>
    <t>Crash in VRBrowserActivity.onStop()</t>
  </si>
  <si>
    <t xml:space="preserve">   Hardware_x000D_
      Include the name and version of the hardware VR headset you experienced the bug in     _x000D_
Seen on Go  possibly other devices _x000D_
_x000D_
   Steps to Reproduce_x000D_
      For bugs  please provide a link to a live web site  test page  or a rough set of    _x000D_
      steps to reproduce this bug  If relevant  include code to reproduce     _x000D_
      Feel free to attach images and GIFs of screen captures     _x000D_
1  Launch release build of FxR_x000D_
2  Let device go into sleep mode_x000D_
_x000D_
   Current Behavior_x000D_
      If describing a bug  tell us what happens instead of the expected behavior     _x000D_
      If suggesting a change improvement  explain the difference from current behavior     _x000D_
FxR crashes in  VRBrowserActivity onStop() _x000D_
See: https:  crash stats mozilla com report index c3c976c4 c637 4574 9a30 10a100190802_x000D_
   Expected Behavior_x000D_
      If you re describing a bug  tell us what should happen     _x000D_
      If you re suggesting a change improvement  tell us how it should work     _x000D_
FxR should not crash on stop _x000D_
   Possible Solution_x000D_
       Optional     _x000D_
      Feel free to suggest a fix reason for the bug     _x000D_
      or ideas how to implement the addition or change     _x000D_
Guessing this might be an R8 issue since it is only seen in release builds </t>
  </si>
  <si>
    <t>aws-amplify-aws-sdk-android-1109</t>
  </si>
  <si>
    <t>KeyProvider23.java line 80</t>
  </si>
  <si>
    <t xml:space="preserve">  Describe the bug  _x000D_
We re getting a very high volume of AWS library crashes in Firebase Crashlytics  could you check _x000D_
_x000D_
  Which AWS service(s) are affected   _x000D_
Android SDK 2 13 5_x000D_
 implementation  com amazonaws:aws android sdk core:2 13 5  _x000D_
 implementation  com amazonaws:aws android sdk cognitoidentityprovider:2 13 5  _x000D_
 implementation  com amazonaws:aws android sdk appsync:2 10 0  _x000D_
_x000D_
  Screenshots  _x000D_
  image (https:  user images githubusercontent com 6125289 62375942 ddb3ce80 b515 11e9 94bd 039e4c625774 png)_x000D_
  image (https:  user images githubusercontent com 6125289 62375950 ea382700 b515 11e9 8d8b 45a5fd2314f7 png)_x000D_
_x000D_
  Additional context  _x000D_
Firebase Crashlytics _x000D_
   _x000D_
Fatal Exception: java lang RuntimeException: Unable to create application com pontomobi smiles SmilesApplication: java lang IllegalStateException: Error in initializing the CognitoCachingCredentialsProvider  _x000D_
       at android app ActivityThread handleBindApplication   6499(ActivityThread java:6499)_x000D_
       at android app ActivityThread access 1800   229(ActivityThread java:229)_x000D_
       at android app ActivityThread H handleMessage   1887(ActivityThread java:1887)_x000D_
       at android os Handler dispatchMessage   102(Handler java:102)_x000D_
       at android os Looper loop   148(Looper java:148)_x000D_
       at android app ActivityThread main   7406(ActivityThread java:7406)_x000D_
       at java lang reflect Method invoke(Method java)_x000D_
       at com android internal os ZygoteInit MethodAndArgsCaller run   1230(ZygoteInit java:1230)_x000D_
       at com android internal os ZygoteInit main   1120(ZygoteInit java:1120)_x000D_
   _x000D_
   _x000D_
Caused by java lang IllegalStateException: Error in initializing the CognitoCachingCredentialsProvider  _x000D_
       at com amazonaws auth CognitoCachingCredentialsProvider initialize   434(CognitoCachingCredentialsProvider java:434)_x000D_
       at com amazonaws auth CognitoCachingCredentialsProvider  init    190(CognitoCachingCredentialsProvider java:190)_x000D_
       at com pontomobi smiles SmilesApplication onCreate   152(SmilesApplication java:152)_x000D_
       at android app Instrumentation callApplicationOnCreate   1037(Instrumentation java:1037)_x000D_
       at android app ActivityThread handleBindApplication   6496(ActivityThread java:6496)_x000D_
       at android app ActivityThread access 1800   229(ActivityThread java:229)_x000D_
       at android app ActivityThread H handleMessage   1887(ActivityThread java:1887)_x000D_
       at android os Handler dispatchMessage   102(Handler java:102)_x000D_
       at android os Looper loop   148(Looper java:148)_x000D_
       at android app ActivityThread main   7406(ActivityThread java:7406)_x000D_
       at java lang reflect Method invoke(Method java)_x000D_
       at com android internal os ZygoteInit MethodAndArgsCaller run   1230(ZygoteInit java:1230)_x000D_
       at com android internal os ZygoteInit main   1120(ZygoteInit java:1120)_x000D_
   _x000D_
   _x000D_
Caused by java lang IllegalStateException: java security UnrecoverableKeyException: Failed to obtain information about key_x000D_
       at com amazonaws internal keyvaluestore KeyProvider23 getKey   84(KeyProvider23 java:84)_x000D_
       at com amazonaws internal keyvaluestore AWSKeyValueStore setPersistenceEnabled   131(AWSKeyValueStore java:131)_x000D_
       at com amazonaws internal keyvaluestore AWSKeyValueStore  init    108(AWSKeyValueStore java:108)_x000D_
       at com amazonaws auth CognitoCachingCredentialsProvider initialize   425(CognitoCachingCredentialsProvider java:425)_x000D_
       at com amazonaws auth CognitoCachingCredentialsProvider  init    190(CognitoCachingCredentialsProvider java:190)_x000D_
       at com pontomobi smiles SmilesApplication onCreate   152(SmilesApplication java:152)_x000D_
       at android app Instrumentation callApplicationOnCreate   1037(Instrumentation java:1037)_x000D_
       at android app ActivityThread handleBindApplication   6496(ActivityThread java:6496)_x000D_
       at android app ActivityThread access 1800   229(ActivityThread java:229)_x000D_
       at android app ActivityThread H handleMessage   1887(ActivityThread java:1887)_x000D_
       at android os Handler dispatchMessage   102(Handler java:102)_x000D_
       at android os Looper loop   148(Looper java:148)_x000D_
       at android app ActivityThread main   7406(ActivityThread java:7406)_x000D_
       at java lang reflect Method invoke(Method java)_x000D_
       at com android internal os ZygoteInit MethodAndArgsCaller run   1230(ZygoteInit java:1230)_x000D_
       at com android internal os ZygoteInit main   1120(ZygoteInit java:1120)_x000D_
   _x000D_
   _x000D_
Caused by java security UnrecoverableKeyException: Failed to obtain information about key_x000D_
       at android security keystore AndroidKeyStoreProvider loadAndroidKeyStoreSecretKeyFromKeystore   275(AndroidKeyStoreProvider java:275)_x000D_
       at android security keystore AndroidKeyStoreSpi engineGetKey   97(AndroidKeyStoreSpi java:97)_x000D_
       at java security KeyStore getKey   253(KeyStore java:253)_x000D_
       at com amazonaws internal keyvaluestore KeyProvider23 getKey   80(KeyProvider23 java:80)_x000D_
       at com amazonaws internal keyvaluestore AWSKeyValueStore setPersistenceEnabled   131(AWSKeyValueStore java:131)_x000D_
       at com amazonaws internal keyvaluestore AWSKeyValueStore  init    108(AWSKeyValueStore java:108)_x000D_
       at com amazonaws auth CognitoCachingCredentialsProvider initialize   425(CognitoCachingCredentialsProvider java:425)_x000D_
       at com amazonaws auth CognitoCachingCredentialsProvider  init    190(CognitoCachingCredentialsProvider java:190)_x000D_
       at com pontomobi smiles SmilesApplication onCreate   152(SmilesApplication java:152)_x000D_
       at android app Instrumentation callApplicationOnCreate   1037(Instrumentation java:1037)_x000D_
       at android app ActivityThread handleBindApplication   6496(ActivityThread java:6496)_x000D_
       at android app ActivityThread access 1800   229(ActivityThread java:229)_x000D_
       at android app ActivityThread H handleMessage   1887(ActivityThread java:1887)_x000D_
       at android os Handler dispatchMessage   102(Handler java:102)_x000D_
       at android os Looper loop   148(Looper java:148)_x000D_
       at android app ActivityThread main   7406(ActivityThread java:7406)_x000D_
       at java lang reflect Method invoke(Method java)_x000D_
       at com android internal os ZygoteInit MethodAndArgsCaller run   1230(ZygoteInit java:1230)_x000D_
       at com android internal os ZygoteInit main   1120(ZygoteInit java:1120)_x000D_
   _x000D_
   _x000D_
Caused by android security KeyStoreException:  49_x000D_
       at android security KeyStore getKeyStoreException   945(KeyStore java:945)_x000D_
       at android security keystore AndroidKeyStoreProvider loadAndroidKeyStoreSecretKeyFromKeystore   275(AndroidKeyStoreProvider java:275)_x000D_
       at android security keystore AndroidKeyStoreSpi engineGetKey   97(AndroidKeyStoreSpi java:97)_x000D_
       at java security KeyStore getKey   253(KeyStore java:253)_x000D_
       at com amazonaws internal keyvaluestore KeyProvider23 getKey   80(KeyProvider23 java:80)_x000D_
       at com amazonaws internal keyvaluestore AWSKeyValueStore setPersistenceEnabled   131(AWSKeyValueStore java:131)_x000D_
       at com amazonaws internal keyvaluestore AWSKeyValueStore  init    108(AWSKeyValueStore java:108)_x000D_
       at com amazonaws auth CognitoCachingCredentialsProvider initialize   425(CognitoCachingCredentialsProvider java:425)_x000D_
       at com amazonaws auth CognitoCachingCredentialsProvider  init    190(CognitoCachingCredentialsProvider java:190)_x000D_
       at com pontomobi smiles SmilesApplication onCreate   152(SmilesApplication java:152)_x000D_
       at android app Instrumentation callApplicationOnCreate   1037(Instrumentation java:1037)_x000D_
       at android app ActivityThread handleBindApplication   6496(ActivityThread java:6496)_x000D_
       at android app ActivityThread access 1800   229(ActivityThread java:229)_x000D_
       at android app ActivityThread H handleMessage   1887(ActivityThread java:1887)_x000D_
       at android os Handler dispatchMessage   102(Handler java:102)_x000D_
       at android os Looper loop   148(Looper java:148)_x000D_
       at android app ActivityThread main   7406(ActivityThread java:7406)_x000D_
       at java lang reflect Method invoke(Method java)_x000D_
       at com android internal os ZygoteInit MethodAndArgsCaller run   1230(ZygoteInit java:1230)_x000D_
       at com android internal os ZygoteInit main   1120(ZygoteInit java:1120)_x000D_
   </t>
  </si>
  <si>
    <t>aws-amplify-aws-sdk-android-1108</t>
  </si>
  <si>
    <t>KeyProvider18.java line 90</t>
  </si>
  <si>
    <t xml:space="preserve">  Describe the bug  _x000D_
We re getting a very high volume of AWS library crashes in Firebase Crashlytics  could you check _x000D_
_x000D_
  Which AWS service(s) are affected   _x000D_
Android SDK 2 13 5_x000D_
 implementation  com amazonaws:aws android sdk core:2 13 5  _x000D_
 implementation  com amazonaws:aws android sdk cognitoidentityprovider:2 13 5  _x000D_
 implementation  com amazonaws:aws android sdk appsync:2 10 0  _x000D_
_x000D_
  Screenshots  _x000D_
  image (https:  user images githubusercontent com 6125289 62375159 020eab80 b514 11e9 9241 1d230a4193e7 png)_x000D_
  image (https:  user images githubusercontent com 6125289 62375271 48fca100 b514 11e9 9d59 5edf1de10492 png)_x000D_
_x000D_
  Additional context  _x000D_
Firebase Crashlytics _x000D_
   _x000D_
Fatal Exception: java lang RuntimeException: Unable to create application com pontomobi smiles SmilesApplication: java lang IllegalStateException: Error in initializing the CognitoCachingCredentialsProvider  _x000D_
       at android app ActivityThread handleBindApplication   4592(ActivityThread java:4592)_x000D_
       at android app ActivityThread access 1500   155(ActivityThread java:155)_x000D_
       at android app ActivityThread H handleMessage   1303(ActivityThread java:1303)_x000D_
       at android os Handler dispatchMessage   102(Handler java:102)_x000D_
       at android os Looper loop   136(Looper java:136)_x000D_
       at android app ActivityThread main   5426(ActivityThread java:5426)_x000D_
       at java lang reflect Method invokeNative(Method java)_x000D_
       at java lang reflect Method invoke   515(Method java:515)_x000D_
       at com android internal os ZygoteInit MethodAndArgsCaller run   1268(ZygoteInit java:1268)_x000D_
       at com android internal os ZygoteInit main   1084(ZygoteInit java:1084)_x000D_
       at dalvik system NativeStart main(NativeStart java)_x000D_
   _x000D_
   _x000D_
Caused by java lang IllegalStateException: Error in initializing the CognitoCachingCredentialsProvider  _x000D_
       at com amazonaws auth CognitoCachingCredentialsProvider initialize   434(CognitoCachingCredentialsProvider java:434)_x000D_
       at com amazonaws auth CognitoCachingCredentialsProvider  init    190(CognitoCachingCredentialsProvider java:190)_x000D_
       at com pontomobi smiles SmilesApplication onCreate   152(SmilesApplication java:152)_x000D_
       at android app Instrumentation callApplicationOnCreate   1014(Instrumentation java:1014)_x000D_
       at android app ActivityThread handleBindApplication   4589(ActivityThread java:4589)_x000D_
       at android app ActivityThread access 1500   155(ActivityThread java:155)_x000D_
       at android app ActivityThread H handleMessage   1303(ActivityThread java:1303)_x000D_
       at android os Handler dispatchMessage   102(Handler java:102)_x000D_
       at android os Looper loop   136(Looper java:136)_x000D_
       at android app ActivityThread main   5426(ActivityThread java:5426)_x000D_
       at java lang reflect Method invokeNative(Method java)_x000D_
       at java lang reflect Method invoke   515(Method java:515)_x000D_
       at com android internal os ZygoteInit MethodAndArgsCaller run   1268(ZygoteInit java:1268)_x000D_
       at com android internal os ZygoteInit main   1084(ZygoteInit java:1084)_x000D_
       at dalvik system NativeStart main(NativeStart java)_x000D_
   _x000D_
   _x000D_
Caused by java lang IllegalStateException: java lang IllegalArgumentException: key    null_x000D_
       at com amazonaws internal keyvaluestore KeyProvider18 getKey   108(KeyProvider18 java:108)_x000D_
       at com amazonaws internal keyvaluestore AWSKeyValueStore setPersistenceEnabled   138(AWSKeyValueStore java:138)_x000D_
       at com amazonaws internal keyvaluestore AWSKeyValueStore  init    108(AWSKeyValueStore java:108)_x000D_
       at com amazonaws auth CognitoCachingCredentialsProvider initialize   425(CognitoCachingCredentialsProvider java:425)_x000D_
       at com amazonaws auth CognitoCachingCredentialsProvider  init    190(CognitoCachingCredentialsProvider java:190)_x000D_
       at com pontomobi smiles SmilesApplication onCreate   152(SmilesApplication java:152)_x000D_
       at android app Instrumentation callApplicationOnCreate   1014(Instrumentation java:1014)_x000D_
       at android app ActivityThread handleBindApplication   4589(ActivityThread java:4589)_x000D_
       at android app ActivityThread access 1500   155(ActivityThread java:155)_x000D_
       at android app ActivityThread H handleMessage   1303(ActivityThread java:1303)_x000D_
       at android os Handler dispatchMessage   102(Handler java:102)_x000D_
       at android os Looper loop   136(Looper java:136)_x000D_
       at android app ActivityThread main   5426(ActivityThread java:5426)_x000D_
       at java lang reflect Method invokeNative(Method java)_x000D_
       at java lang reflect Method invoke   515(Method java:515)_x000D_
       at com android internal os ZygoteInit MethodAndArgsCaller run   1268(ZygoteInit java:1268)_x000D_
       at com android internal os ZygoteInit main   1084(ZygoteInit java:1084)_x000D_
       at dalvik system NativeStart main(NativeStart java)_x000D_
   _x000D_
   _x000D_
Caused by java lang IllegalArgumentException: key    null_x000D_
       at javax crypto spec SecretKeySpec  init    59(SecretKeySpec java:59)_x000D_
       at com amazonaws internal keyvaluestore KeyProvider18 getKey   90(KeyProvider18 java:90)_x000D_
       at com amazonaws internal keyvaluestore AWSKeyValueStore setPersistenceEnabled   138(AWSKeyValueStore java:138)_x000D_
       at com amazonaws internal keyvaluestore AWSKeyValueStore  init    108(AWSKeyValueStore java:108)_x000D_
       at com amazonaws auth CognitoCachingCredentialsProvider initialize   425(CognitoCachingCredentialsProvider java:425)_x000D_
       at com amazonaws auth CognitoCachingCredentialsProvider  init    190(CognitoCachingCredentialsProvider java:190)_x000D_
       at com pontomobi smiles SmilesApplication onCreate   152(SmilesApplication java:152)_x000D_
       at android app Instrumentation callApplicationOnCreate   1014(Instrumentation java:1014)_x000D_
       at android app ActivityThread handleBindApplication   4589(ActivityThread java:4589)_x000D_
       at android app ActivityThread access 1500   155(ActivityThread java:155)_x000D_
       at android app ActivityThread H handleMessage   1303(ActivityThread java:1303)_x000D_
       at android os Handler dispatchMessage   102(Handler java:102)_x000D_
       at android os Looper loop   136(Looper java:136)_x000D_
       at android app ActivityThread main   5426(ActivityThread java:5426)_x000D_
       at java lang reflect Method invokeNative(Method java)_x000D_
       at java lang reflect Method invoke   515(Method java:515)_x000D_
       at com android internal os ZygoteInit MethodAndArgsCaller run   1268(ZygoteInit java:1268)_x000D_
       at com android internal os ZygoteInit main   1084(ZygoteInit java:1084)_x000D_
       at dalvik system NativeStart main(NativeStart java)_x000D_
   </t>
  </si>
  <si>
    <t>TeamNewPipe-NewPipe-2484</t>
  </si>
  <si>
    <t>ui crashes when google serves a captcha page</t>
  </si>
  <si>
    <t xml:space="preserve">   yes  I carefully read the  contribution guidelines (https:  github com TeamNewPipe NewPipe blob HEAD  github CONTRIBUTING md) and agree to them _x000D_
    I forgot to capture the crash report  error occurs randomly_x000D_
   yes  I checked if the issue feature exists in the latest version  16 2_x000D_
      I did use the  incredible bugreport to markdown converter  (https:  teamnewpipe github io CrashReportToMarkdown ) to paste bug reports  (next time)_x000D_
_x000D_
I m using orbot  Once in a while newpipe crashes when loading a video  By following the share link to external browser I just found out that google asks to solve a captcha because of high site traffic (last tor exit node heavily in use ) _x000D_
If it happens again I will post the crash report (probably useless) but also the served html (for the extractor to learn to recognize the code) </t>
  </si>
  <si>
    <t>opensrp-opensrp-client-chw-anc-190</t>
  </si>
  <si>
    <t>Cannot access PNC profile from ANC record moved based on pregnancy outcome form with stillbirth</t>
  </si>
  <si>
    <t xml:space="preserve">Reference  82 _x000D_
_x000D_
   x  App crashes when an ANC record is transitioned to PNC record when the pregnancy outcome form is filled _x000D_
_x000D_
To replicate: _x000D_
1  Open an ANC record_x000D_
2  Fill in the pregnancy form and select still birth _x000D_
3  Submit the form _x000D_
4  ANC record has moved to PNC  _x000D_
5  Open the PNC record for same woman  _x000D_
6  App will crash </t>
  </si>
  <si>
    <t>awslabs-aws-mobile-appsync-sdk-android-208</t>
  </si>
  <si>
    <t>AppSync crash</t>
  </si>
  <si>
    <t xml:space="preserve">We are using SDK version 2 8 4_x000D_
_x000D_
We got just a crash in the Crashlitics:_x000D_
_x000D_
_x000D_
   _x000D_
Fatal Exception: java lang IllegalStateException: Expected: TERMINATED  but found  ACTIVE  CANCELED _x000D_
       at com apollographql apollo internal RealAppSyncCall responseCallback   350(RealAppSyncCall java:350)_x000D_
       at com apollographql apollo internal RealAppSyncCall access 000   69(RealAppSyncCall java:69)_x000D_
       at com apollographql apollo internal RealAppSyncCall 1 onResponse   239(RealAppSyncCall java:239)_x000D_
       at com amazonaws mobileconnectors appsync InterceptorCallback onResponse   117(AppSyncOfflineMutationInterceptor java:117)_x000D_
       at com apollographql apollo internal interceptor ApolloCacheInterceptor 1 1 onResponse   102(ApolloCacheInterceptor java:102)_x000D_
       at com apollographql apollo internal interceptor ApolloParseInterceptor 1 onResponse   84(ApolloParseInterceptor java:84)_x000D_
       at com apollographql apollo internal interceptor ApolloServerInterceptor 1 1 onResponse   110(ApolloServerInterceptor java:110)_x000D_
       at okhttp3 RealCall AsyncCall execute   206(RealCall java:206)_x000D_
       at okhttp3 internal NamedRunnable run   32(NamedRunnable java:32)_x000D_
       at java util concurrent ThreadPoolExecutor runWorker   1167(ThreadPoolExecutor java:1167)_x000D_
       at java util concurrent ThreadPoolExecutor Worker run   641(ThreadPoolExecutor java:641)_x000D_
       at java lang Thread run   784(Thread java:784)_x000D_
   _x000D_
_x000D_
I don t know how to reproduce it _x000D_
_x000D_
Android version: 9_x000D_
Devce: Huawei CLT L29_x000D_
_x000D_
I was just wondering if someone else had the same crash </t>
  </si>
  <si>
    <t>mjaun-android-anuto-165</t>
  </si>
  <si>
    <t>Crashing</t>
  </si>
  <si>
    <t xml:space="preserve">The application is crashing if you overcrows an application as a Telegram notification </t>
  </si>
  <si>
    <t>niccokunzmann-mundraub-android-236</t>
  </si>
  <si>
    <t>Accept Android license</t>
  </si>
  <si>
    <t xml:space="preserve">     If you report an app crash  please attach the eu quelltext mundraub log txt file_x000D_
     from the root of your phone s file system     _x000D_
_x000D_
Travis shows this bug when the app is built:_x000D_
https:  travis ci org niccokunzmann mundraub android jobs 484371376 L1375_x000D_
_x000D_
   _x000D_
Checking the license for package Android SDK Build Tools 27 0 3 in  usr local android sdk licenses_x000D_
Warning: License for package Android SDK Build Tools 27 0 3 not accepted _x000D_
FAILURE: Build failed with an exception _x000D_
  What went wrong:_x000D_
A problem occurred configuring project  :app  _x000D_
  Failed to install the following Android SDK packages as some licences have not been accepted _x000D_
     build tools 27 0 3 Android SDK Build Tools 27 0 3_x000D_
  To build this project  accept the SDK license agreements and install the missing components using the Android Studio SDK Manager _x000D_
  Alternatively  to transfer the license agreements from one workstation to another  see http:  d android com r studio ui export licenses html_x000D_
  _x000D_
  Using Android SDK:  usr local android sdk_x000D_
   </t>
  </si>
  <si>
    <t>fossasia-phimpme-android-2845</t>
  </si>
  <si>
    <t>App returns to home page when Screen Locked while editing image.</t>
  </si>
  <si>
    <t xml:space="preserve">  Describe the bug  _x000D_
App returns to home page when screen is locked while editing image  Sometime app crashes doing same thing _x000D_
_x000D_
  To Reproduce  _x000D_
1  Open Any folder_x000D_
2  Click on any image_x000D_
3  Click on edit icon_x000D_
4  Lock the Screen_x000D_
5  Go to app back_x000D_
_x000D_
  Expected behavior  _x000D_
App should go back to same editing state_x000D_
_x000D_
      Logs     _x000D_
      Screenshots     _x000D_
     If applicable  add screenshots to help explain your problem     _x000D_
_x000D_
  Smartphone Info:  _x000D_
Device : ASUS Z01DB     _x000D_
Android Version : 8 0 0_x000D_
_x000D_
     Add any other context about the problem here     _x000D_
_x000D_
  Would you like to work on the issue   _x000D_
     Please let us know if you can work on it or the issue should be assigned to someone else     _x000D_
   x  Yes_x000D_
      No_x000D_
  Other: _x000D_
</t>
  </si>
  <si>
    <t>twilio-video-quickstart-android-424</t>
  </si>
  <si>
    <t>Failed to create EGL context: 0x3003</t>
  </si>
  <si>
    <t>I can t reproduce it by myself  this is log from crashlytics:_x000D_
_x000D_
   _x000D_
Fatal Exception: java lang RuntimeException: java lang RuntimeException: Failed to create EGL context: 0x3003_x000D_
       at org webrtc EglBase14 createEglContext   279(EglBase14 java:279)_x000D_
       at org webrtc EglBase14  init    76(EglBase14 java:76)_x000D_
       at org webrtc EglBase  CC create   91(EglBase java:91)_x000D_
       at org webrtc EglRenderer lambda init 0 EglRenderer   190(EglRenderer java:190)_x000D_
       at org webrtc    Lambda EglRenderer A5MPsBufyTiKpmjvPS46Dr9iaHs run   6(:6)_x000D_
       at org webrtc ThreadUtils 4 call   199(ThreadUtils java:199)_x000D_
       at org webrtc ThreadUtils 4 call   196(ThreadUtils java:196)_x000D_
       at org webrtc ThreadUtils 3 run   173(ThreadUtils java:173)_x000D_
       at android os Handler handleCallback   873(Handler java:873)_x000D_
       at android os Handler dispatchMessage   99(Handler java:99)_x000D_
       at android os Looper loop   214(Looper java:214)_x000D_
       at android os HandlerThread run   65(HandlerThread java:65)_x000D_
       at org webrtc ThreadUtils invokeAtFrontUninterruptibly   184(ThreadUtils java:184)_x000D_
       at org webrtc ThreadUtils invokeAtFrontUninterruptibly   196(ThreadUtils java:196)_x000D_
       at org webrtc EglRenderer init   181(EglRenderer java:181)_x000D_
       at com twilio video VideoTextureView init   222(VideoTextureView java:222)_x000D_
       at com twilio video VideoTextureView init   207(VideoTextureView java:207)_x000D_
       at com twilio video VideoTextureView onAttachedToWindow   108(VideoTextureView java:108)_x000D_
   _x000D_
It happens mostly on Samsung (60 )  Xiaomi(12 )  LG(10 )_x000D_
affected operating systems: 9(60 )  8(23 )  6(9 )  7(6 )</t>
  </si>
  <si>
    <t>gsantner-markor-639</t>
  </si>
  <si>
    <t>Uncheck syntax highlighting making Markor crash</t>
  </si>
  <si>
    <t xml:space="preserve">     General information_x000D_
_x000D_
    App version: v2 0 3(80)   _x000D_
    System: Android 9  Samsung A5 2017  LineageOS   _x000D_
_x000D_
     Description_x000D_
_x000D_
Markor is crashing and won t open anymore when I uncheck  Settings   General   Syntax highlighting   I have to clear storage reset settings to open Markor again  _x000D_
_x000D_
     Log_x000D_
_x000D_
   _x000D_
I ActivityManager( 2702): START u0  act android intent action MAIN cat  android intent category LAUNCHER  flg 0x10200000 cmp net gsantner markor  activity MainActivity bnds  858 1451  1070 1682  (has extras)  from uid 10016_x000D_
I ActivityManager( 2702): Start proc 23089:net gsantner markor u0a148 for activity net gsantner markor  activity MainActivity_x000D_
I ActivityManager( 2702): Start proc 23121:com android webview:sandboxed process0 u0i52 for webview service net gsantner markor org chromium content app SandboxedProcessService0_x000D_
W cr CrashFileManager(23089):  data user 0 net gsantner markor cache WebView Crash Reports does not exist or is not a directory_x000D_
E AndroidRuntime(23089): Process: net gsantner markor  PID: 23089_x000D_
E AndroidRuntime(23089): java lang NullPointerException: Attempt to invoke virtual method  boolean net gsantner markor ui hleditor Highlighter isFirstHighlighting()  on a null object reference_x000D_
E AndroidRuntime(23089):        at net gsantner markor ui hleditor HighlightingEditor 1 afterTextChanged(HighlightingEditor java:65)_x000D_
E AndroidRuntime(23089):        at net gsantner markor activity DocumentEditFragment loadDocumentIntoUi(DocumentEditFragment java:229)_x000D_
E AndroidRuntime(23089):        at net gsantner markor activity DocumentEditFragment onViewCreated(DocumentEditFragment java:139)_x000D_
W ActivityManager( 2702):   Force finishing activity net gsantner markor  activity MainActivity_x000D_
W InputDispatcher( 2702): channel  623aff5 net gsantner markor net gsantner markor activity MainActivity (server)    Consumer closed input channel or an error occurred   events 0x9_x000D_
I ActivityManager( 2702): Process net gsantner markor (pid 23089) has died: vis   99TOP_x000D_
E InputDispatcher( 2702): channel  623aff5 net gsantner markor net gsantner markor activity MainActivity (server)    Channel is unrecoverably broken and will be disposed _x000D_
I WindowManager( 2702): WIN DEATH: Window 623aff5 u0 net gsantner markor net gsantner markor activity MainActivity _x000D_
W InputDispatcher( 2702): Attempted to unregister already unregistered input channel  623aff5 net gsantner markor net gsantner markor activity MainActivity (server) _x000D_
W SurfaceFlinger( 2478): Attempting to set client state on removed layer: Splash Screen net gsantner markor 0_x000D_
W SurfaceFlinger( 2478): Attempting to destroy on removed layer: Splash Screen net gsantner markor 0_x000D_
I ActivityManager( 2702): Displayed net gsantner markor  activity MainActivity:  990ms_x000D_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android contribution guide  packageid net gsantner markor project markor web https:  github com gsantner markor logcat_x000D_
   _x000D_
</t>
  </si>
  <si>
    <t>WycliffeAssociates-translationRecorder-1165</t>
  </si>
  <si>
    <t>App crashes on Login creation page if device is rotated (android 8, 8.1)</t>
  </si>
  <si>
    <t xml:space="preserve">   User Story_x000D_
_x000D_
If you have a device with Android 8 or 8 1  you can reproduce this issue _x000D_
_x000D_
1) Go to Login creation screen_x000D_
2) Accept terms of use_x000D_
3) Rotate the device once_x000D_
4) Try to record a name  app will crash</t>
  </si>
  <si>
    <t>Tencent-Shadow-76</t>
  </si>
  <si>
    <t>demo的test-none-dynamic-host强退</t>
  </si>
  <si>
    <t xml:space="preserve">demo test none dynamic host                                    crash      _x000D_
Caused by: java util concurrent ExecutionException: java lang IllegalStateException:     Component ComponentInfo com tencent shadow test hostapp com tencent shadow test plugin general cases lib usecases service TestStartServiceActivity </t>
  </si>
  <si>
    <t>ttdyce-NHentai-NHViewer-8</t>
  </si>
  <si>
    <t>The app crashed when I tried to add hentai as favorite after exiting the hentai for a few times</t>
  </si>
  <si>
    <t xml:space="preserve">  Describe the bug  _x000D_
When I tried to add hentai as the favorite after exiting the hentai for a few times  then the app crashed _x000D_
_x000D_
  To Reproduce  _x000D_
Steps to reproduce the behavior:_x000D_
1  Open the app _x000D_
2  Open a hentai and press back to exit from it _x000D_
3  Now press  add as your favorite  button to add it as your favorite _x000D_
4  Notice the bug  (If you haven t seen the bug yet then try those steps for a few times to different hentai) _x000D_
_x000D_
  Expected behavior  _x000D_
I Expected that I could add a hentai as the favorite after exiting from it for a few times _x000D_
_x000D_
  Screenshots  _x000D_
  fff (https:  media giphy com media QZIeOFFukm2jaeJL1g giphy gif)_x000D_
_x000D_
  Smartphone (please complete the following information):  _x000D_
   Device: Samsung A5_x000D_
   OS: Android 6 0 1_x000D_
   Version 1 1 0_x000D_
_x000D_
  LogCat  _x000D_
   _x000D_
07 29 12:44:52 222 29897 29897 E AndroidRuntime: FATAL EXCEPTION: main_x000D_
_x000D_
07 29 12:44:52 222 29897 29897 E AndroidRuntime: Process: personal ttd nhviewer  PID: 29897_x000D_
_x000D_
07 29 12:44:52 222 29897 29897 E AndroidRuntime: java lang IllegalArgumentException: You cannot start a load for a destroyed activity_x000D_
_x000D_
07 29 12:44:52 222 29897 29897 E AndroidRuntime: 	at com bumptech glide manager RequestManagerRetriever assertNotDestroyed(RequestManagerRetriever java:323)_x000D_
_x000D_
07 29 12:44:52 222 29897 29897 E AndroidRuntime: 	at com bumptech glide manager RequestManagerRetriever get(RequestManagerRetriever java:132)_x000D_
_x000D_
07 29 12:44:52 222 29897 29897 E AndroidRuntime: 	at com bumptech glide Glide with(Glide java:723)_x000D_
_x000D_
07 29 12:44:52 222 29897 29897 E AndroidRuntime: 	at personal ttd nhviewer glide GlideApp with(GlideApp java:104)_x000D_
_x000D_
07 29 12:44:52 222 29897 29897 E AndroidRuntime: 	at personal ttd nhviewer Controller InnerPageActivity initRecycleView(InnerPageActivity java:140)_x000D_
_x000D_
07 29 12:44:52 222 29897 29897 E AndroidRuntime: 	at personal ttd nhviewer Controller InnerPageActivity lambda initComicShowing 0 InnerPageActivity(InnerPageActivity java:131)_x000D_
_x000D_
07 29 12:44:52 222 29897 29897 E AndroidRuntime: 	at personal ttd nhviewer Controller    Lambda InnerPageActivity qmnv4vEcn ntgmzyIPkgI5PVGCA onResponse(lambda)_x000D_
_x000D_
07 29 12:44:52 222 29897 29897 E AndroidRuntime: 	at personal ttd nhviewer Model api NHTranlator Companion getComicById documentRequest 2 onResponse(NHTranlator kt:224)_x000D_
_x000D_
07 29 12:44:52 222 29897 29897 E AndroidRuntime: 	at personal ttd nhviewer Model api NHTranlator Companion getComicById documentRequest 2 onResponse(NHTranlator kt:215)_x000D_
_x000D_
07 29 12:44:52 222 29897 29897 E AndroidRuntime: 	at com android volley toolbox StringRequest deliverResponse(StringRequest java:78)_x000D_
_x000D_
07 29 12:44:52 222 29897 29897 E AndroidRuntime: 	at com android volley toolbox StringRequest deliverResponse(StringRequest java:30)_x000D_
_x000D_
07 29 12:44:52 222 29897 29897 E AndroidRuntime: 	at com android volley ExecutorDelivery ResponseDeliveryRunnable run(ExecutorDelivery java:106)_x000D_
_x000D_
07 29 12:44:52 222 29897 29897 E AndroidRuntime: 	at android os Handler handleCallback(Handler java:739)_x000D_
_x000D_
07 29 12:44:52 222 29897 29897 E AndroidRuntime: 	at android os Handler dispatchMessage(Handler java:95)_x000D_
_x000D_
07 29 12:44:52 222 29897 29897 E AndroidRuntime: 	at android os Looper loop(Looper java:148)_x000D_
_x000D_
07 29 12:44:52 222 29897 29897 E AndroidRuntime: 	at android app ActivityThread main(ActivityThread java:7325)_x000D_
_x000D_
07 29 12:44:52 222 29897 29897 E AndroidRuntime: 	at java lang reflect Method invoke(Native Method)_x000D_
_x000D_
07 29 12:44:52 222 29897 29897 E AndroidRuntime: 	at com android internal os ZygoteInit MethodAndArgsCaller run(ZygoteInit java:1230)_x000D_
_x000D_
07 29 12:44:52 222 29897 29897 E AndroidRuntime: 	at com android internal os ZygoteInit main(ZygoteInit java:1120)_x000D_
   </t>
  </si>
  <si>
    <t>cgeo-cgeo-7752</t>
  </si>
  <si>
    <t>Crash on Theme options change</t>
  </si>
  <si>
    <t xml:space="preserve">I didn t investigate much of it yet but I noticed that changing anything in  Theme Options  leads to a crash with my current debug build (Mapsforge 0 11)  I will have a closer look and see what s the cause  Just wanted to document my finding </t>
  </si>
  <si>
    <t>ttdyce-NHentai-NHViewer-7</t>
  </si>
  <si>
    <t>The app crashed when I clicked on history after deleting it from the collection menu</t>
  </si>
  <si>
    <t xml:space="preserve">  Describe the bug  _x000D_
When I tried to click on the  history  option after deleting history from the collection option  then the app crashed _x000D_
_x000D_
  To Reproduce  _x000D_
Steps to reproduce the behavior:_x000D_
1  Open the app _x000D_
2  Go to the main menu of the app and click on the  Collection  _x000D_
3  You will see two tabs  Tap and hold the  history  and click on the delete icon to delete it _x000D_
4  Now once again go to the app s main menu and try to go to the  History  option and see an error _x000D_
_x000D_
  Expected behavior  _x000D_
I expected that I could click on history after deleting it from the collection menu without getting any trouble _x000D_
_x000D_
  Screenshots  _x000D_
  v (https:  media giphy com media f3pLexLSM9ljgURyIJ giphy gif)_x000D_
_x000D_
  Information:  _x000D_
   Device: Samsung A5_x000D_
   OS: Android 6 0 1_x000D_
   Version 1 0 3_x000D_
_x000D_
  Logcat  _x000D_
   _x000D_
07 27 12:48:29 182  5007  5007 D AndroidRuntime: Shutting down VM_x000D_
_x000D_
07 27 12:48:29 182  5007  5007 E AndroidRuntime: FATAL EXCEPTION: main_x000D_
_x000D_
07 27 12:48:29 182  5007  5007 E AndroidRuntime: Process: personal ttd nhviewer  PID: 5007_x000D_
_x000D_
07 27 12:48:29 182  5007  5007 E AndroidRuntime: java lang NullPointerException: name    null_x000D_
_x000D_
07 27 12:48:29 182  5007  5007 E AndroidRuntime: 	at java io File  init (File java:146)_x000D_
_x000D_
07 27 12:48:29 182  5007  5007 E AndroidRuntime: 	at java io File  init (File java:118)_x000D_
_x000D_
07 27 12:48:29 182  5007  5007 E AndroidRuntime: 	at personal ttd nhviewer Model Saver JSONSaver getFile(JSONSaver java:411)_x000D_
_x000D_
07 27 12:48:29 182  5007  5007 E AndroidRuntime: 	at personal ttd nhviewer Model Saver JSONSaver getJSONArr(JSONSaver java:269)_x000D_
_x000D_
07 27 12:48:29 182  5007  5007 E AndroidRuntime: 	at personal ttd nhviewer Model Saver JSONSaver getCollection(JSONSaver java:116)_x000D_
_x000D_
07 27 12:48:29 182  5007  5007 E AndroidRuntime: 	at personal ttd nhviewer Model Saver JSONSaver getHistory(JSONSaver java:68)_x000D_
_x000D_
07 27 12:48:29 182  5007  5007 E AndroidRuntime: 	at personal ttd nhviewer Model comic ComicMaker getComicListHistory(ComicMaker java:31)_x000D_
_x000D_
07 27 12:48:29 182  5007  5007 E AndroidRuntime: 	at personal ttd nhviewer Controller fragment HistoryFragment setList(HistoryFragment java:24)_x000D_
_x000D_
07 27 12:48:29 182  5007  5007 E AndroidRuntime: 	at personal ttd nhviewer Controller fragment base BaseListFragment onViewCreated(BaseListFragment java:95)_x000D_
_x000D_
07 27 12:48:29 182  5007  5007 E AndroidRuntime: 	at android support v4 app FragmentManagerImpl moveToState(FragmentManager java:1471)_x000D_
_x000D_
07 27 12:48:29 182  5007  5007 E AndroidRuntime: 	at android support v4 app FragmentManagerImpl moveFragmentToExpectedState(FragmentManager java:1784)_x000D_
_x000D_
07 27 12:48:29 182  5007  5007 E AndroidRuntime: 	at android support v4 app FragmentManagerImpl moveToState(FragmentManager java:1852)_x000D_
_x000D_
07 27 12:48:29 182  5007  5007 E AndroidRuntime: 	at android support v4 app BackStackRecord executeOps(BackStackRecord java:802)_x000D_
_x000D_
07 27 12:48:29 182  5007  5007 E AndroidRuntime: 	at android support v4 app FragmentManagerImpl executeOps(FragmentManager java:2625)_x000D_
_x000D_
07 27 12:48:29 182  5007  5007 E AndroidRuntime: 	at android support v4 app FragmentManagerImpl executeOpsTogether(FragmentManager java:2411)_x000D_
_x000D_
07 27 12:48:29 182  5007  5007 E AndroidRuntime: 	at android support v4 app FragmentManagerImpl removeRedundantOperationsAndExecute(FragmentManager java:2366)_x000D_
_x000D_
07 27 12:48:29 182  5007  5007 E AndroidRuntime: 	at android support v4 app FragmentManagerImpl execPendingActions(FragmentManager java:2273)_x000D_
_x000D_
07 27 12:48:29 182  5007  5007 E AndroidRuntime: 	at android support v4 app FragmentManagerImpl 1 run(FragmentManager java:733)_x000D_
_x000D_
07 27 12:48:29 182  5007  5007 E AndroidRuntime: 	at android os Handler handleCallback(Handler java:739)_x000D_
_x000D_
07 27 12:48:29 182  5007  5007 E AndroidRuntime: 	at android os Handler dispatchMessage(Handler java:95)_x000D_
_x000D_
07 27 12:48:29 182  5007  5007 E AndroidRuntime: 	at android os Looper loop(Looper java:148)_x000D_
_x000D_
07 27 12:48:29 182  5007  5007 E AndroidRuntime: 	at android app ActivityThread main(ActivityThread java:7325)_x000D_
_x000D_
07 27 12:48:29 182  5007  5007 E AndroidRuntime: 	at java lang reflect Method invoke(Native Method)_x000D_
_x000D_
07 27 12:48:29 182  5007  5007 E AndroidRuntime: 	at com android internal os ZygoteInit MethodAndArgsCaller run(ZygoteInit java:1230)_x000D_
_x000D_
07 27 12:48:29 182  5007  5007 E AndroidRuntime: 	at com android internal os ZygoteInit main(ZygoteInit java:1120)_x000D_
_x000D_
07 27 12:48:29 182  2680  3320 W VirtualScreenManagerService: moveTaskBackToDisplayIfNeeded(): root is not base activity_x000D_
   </t>
  </si>
  <si>
    <t>ejsfbu-penny-85</t>
  </si>
  <si>
    <t>Safely remove bank account</t>
  </si>
  <si>
    <t xml:space="preserve">removes bank account from user without deleting object to prevent transactions from crashing </t>
  </si>
  <si>
    <t>aws-amplify-aws-sdk-android-1092</t>
  </si>
  <si>
    <t>Pinpoint crash: "INTERNET permission not granted"</t>
  </si>
  <si>
    <t xml:space="preserve">Customer reports that they see infrequent crashes from the Pinpoint library: _x000D_
_x000D_
   _x000D_
Fatal Exception: com amazonaws AmazonClientException: android permission INTERNET permission is not granted _x000D_
       at com amazonaws mobileconnectors pinpoint PinpointManager  init (Unknown Source:133)_x000D_
       at XXXXXX(Unknown Source:48)_x000D_
       at android os Handler handleCallback(Handler java:869)_x000D_
       at android os Handler dispatchMessage(Handler java:101)_x000D_
       at android os Looper loop(Looper java:206)_x000D_
       at android os HandlerThread run(HandlerThread java:65)_x000D_
   _x000D_
_x000D_
We ve found that the SDK validates if the Internet permission has been granted through the  checkSelfPermission  call which may not work in certain devices manufacturers Custom Android implementations _x000D_
_x000D_
We need to investigate to see if we can remove this validation from the SDK as other SDKs don t do this check </t>
  </si>
  <si>
    <t>ThexXTURBOXx-studip-app-uni-passau-21</t>
  </si>
  <si>
    <t>TODO 0.3</t>
  </si>
  <si>
    <t>For the initial 0 3 release  we need to do those things yet:_x000D_
    x  Fix About Screen Button tints for older Android devices (4a1828504363e8d1a26533aedd0b18d32cbcd588)_x000D_
    x  Only allow to select valid dates in the schedule calendar (8215d53ae3b99f7f4738fad1e1bb0b202387e795)_x000D_
    x  Fix transparency color calculation (02be8eeb60f19edfb8d5a44df9b8c28d03681c11)_x000D_
    x  Fix Navbar and Settings Screen back button (seems to only affect the About screen) (10c07a94ecd6697796af0b91beb5b83d80a636e2)_x000D_
    x  Ask non colorblind people about the colors_x000D_
       Reassure  that all texts buttons and so on use the correct colors_x000D_
    x  Fix Shortcut Icons (377ffb95f66d7f010ee2e10b6e47f09e4cad1e3a)_x000D_
    x  Fix Travis (Fixed itself appearently    Bug maybe )_x000D_
       Fix crash when switching between dark light mode_x000D_
       Reassure  that all Time Zones are set correctly_x000D_
       Add Mensa close time preference_x000D_
_x000D_
For the after releases in the 0 3 series  this is to do:_x000D_
        20 Rewrite Mensa Plan _x000D_
       Include credits in the app as another screen_x000D_
        Maybe  add Horizontal scroll to Schedule</t>
  </si>
  <si>
    <t>itachi1706-SingBuses-178</t>
  </si>
  <si>
    <t>baseride Comodo SSL validation failed</t>
  </si>
  <si>
    <t xml:space="preserve">     in 
  Number of crashes: 1
  Impacted devices: 1
There s a lot more information about this crash on crashlytics com:
 https:  fabric io itachi1706s projects android apps com itachi1706 busarrivalsg issues 91e0ba11552f391a79bbac6415fa7f8c utm medium service hooks github utm source issue impact (https:  fabric io itachi1706s projects android apps com itachi1706 busarrivalsg issues 91e0ba11552f391a79bbac6415fa7f8c utm medium service hooks github utm source issue impact)</t>
  </si>
  <si>
    <t>miguelpruivo-flutter_file_picker-115</t>
  </si>
  <si>
    <t>Crash on Android selecting a PDF file</t>
  </si>
  <si>
    <t xml:space="preserve">I am using the file picker with type set to FileType ANY on a Pixel 3  If I select a file of type PDF then I get a crash as shown below:_x000D_
_x000D_
java lang RuntimeException: Failure delivering result ResultInfo who null  request 33115  result  1  data Intent   dat content:  com android providers downloads documents document msf:2507 flg 0x1    to activity   :_x000D_
java lang NumberFormatException: For input string:  msf:2507 _x000D_
E AndroidRuntime(16157): 	at android app ActivityThread deliverResults(ActivityThread java:4843)_x000D_
E AndroidRuntime(16157): 	at android app ActivityThread handleSendResult(ActivityThread java:4884)_x000D_
E AndroidRuntime(16157): 	at android app servertransaction ActivityResultItem execute(ActivityResultItem java:51)_x000D_
E AndroidRuntime(16157): 	at android app servertransaction TransactionExecutor executeCallbacks(TransactionExecutor java:135)_x000D_
E AndroidRuntime(16157): 	at android app servertransaction TransactionExecutor execute(TransactionExecutor java:95)_x000D_
E AndroidRuntime(16157): 	at android app ActivityThread H handleMessage(ActivityThread java:2016)_x000D_
E AndroidRuntime(16157): 	at android os Handler dispatchMessage(Handler java:107)_x000D_
E AndroidRuntime(16157): 	at android os Looper loop(Looper java:214)_x000D_
E AndroidRuntime(16157): 	at android app ActivityThread main(ActivityThread java:7343)_x000D_
E AndroidRuntime(16157): 	at java lang reflect Method invoke(Native Method)_x000D_
E AndroidRuntime(16157): 	at com android internal os RuntimeInit MethodAndArgsCaller run(RuntimeInit java:492)_x000D_
E AndroidRuntime(16157): 	at com android internal os ZygoteInit main(ZygoteInit java:933)_x000D_
E AndroidRuntime(16157): Caused by: java lang NumberFormatException: For input string:  msf:2507 _x000D_
E AndroidRuntime(16157): 	at java lang Long parseLong(Long java:594)_x000D_
E AndroidRuntime(16157): 	at java lang Long valueOf(Long java:808)_x000D_
E AndroidRuntime(16157): 	at com mr flutter plugin filepicker FileUtils getForApi19(FileUtils java:69)_x000D_
E AndroidRuntime(16157): 	at com mr flutter plugin filepicker FileUtils getPath(FileUtils java:29)_x000D_
E AndroidRuntime(16157): 	at com mr flutter plugin filepicker FilePickerPlugin 1 onActivityResult(FilePickerPlugin java:81)_x000D_
E AndroidRuntime(16157): 	at io flutter app FlutterPluginRegistry onActivityResult(FlutterPluginRegistry java:204)_x000D_
E AndroidRuntime(16157): 	at io flutter app FlutterActivityDelegate onActivityResult(FlutterActivityDelegate java:132)_x000D_
E AndroidRuntime(16157): 	at io flutter app FlutterActivity onActivityResult(FlutterActivity java:142)_x000D_
E AndroidRuntime(16157): 	at android app Activity dispatchActivityResult(Activity java:8110)_x000D_
E AndroidRuntime(16157): 	at android app ActivityThread deliverResults(ActivityThread java:4836)_x000D_
_x000D_
If seems somewhat similar to this issue: https:  github com miguelpruivo plugins flutter file picker issues 7_x000D_
</t>
  </si>
  <si>
    <t>MozillaReality-FirefoxReality-1459</t>
  </si>
  <si>
    <t>Creating a new window causes app to crash</t>
  </si>
  <si>
    <t xml:space="preserve">   Hardware_x000D_
Oculus Quest_x000D_
   Steps to Reproduce_x000D_
Open and close new windows multiple times using the   button in the tray _x000D_
_x000D_
   Current Behavior_x000D_
Viewport doesn t appear and app crashes _x000D_
_x000D_
   Expected Behavior_x000D_
App doesnt crash _x000D_
_x000D_
   Context_x000D_
I ve been able to make this happen pretty reliably  but I can t tell what actually triggers it  Sometimes it s on the second new window and sometimes it s a lot later  I m also not sure if switching to Private Browsing has something to do with it  but the first time it happened that s what I was doing  so I included it in the attached video _x000D_
_x000D_
      DO NOT REMOVE THIS LINE     _x000D_
   _x000D_
   _x000D_
      DO NOT REMOVE THIS LINE     _x000D_
_x000D_
  details _x000D_
</t>
  </si>
  <si>
    <t>avluis-Hentoid-342</t>
  </si>
  <si>
    <t>Updates - App crashes after update download reaches 100%</t>
  </si>
  <si>
    <t xml:space="preserve">  Install one of the release candidates of v1 8_x000D_
  Follow the update notification_x000D_
  App crashes when  downloading update  notification reaches 100 </t>
  </si>
  <si>
    <t>ankidroid-Anki-Android-5393</t>
  </si>
  <si>
    <t>API client app crashes if AnkiDroid does not have storage permissions</t>
  </si>
  <si>
    <t xml:space="preserve">       Reproduction Steps_x000D_
_x000D_
1  Install AnkiDroid but do not run OR remove Storage permissions from existing AnkiDroid app via App Info UI_x000D_
2  Launch  API Sample app (https:  github com ankidroid apisample)_x000D_
3  Select entry  hit share button  select AnkiDroid Instant Add_x000D_
_x000D_
       Expected Result_x000D_
_x000D_
Not sure  Maybe user gets prompted with dialog explaining why Anki cannot be exported to _x000D_
_x000D_
       Actual Result_x000D_
_x000D_
API Sample App crashes due to unhandled  IllegalStateException  in  AnkiDroidHelper::getDeckId  with message  AnkiDroid database inaccessible  Open AnkiDroid to see what s wrong  _x000D_
_x000D_
       Debug info_x000D_
N A (crash is in the app using the AnkiDroid API  not AnkiDroid itself)_x000D_
_x000D_
       Research_x000D_
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Additional Note_x000D_
_x000D_
If  5304 were implemented  this issue would likely go away </t>
  </si>
  <si>
    <t>square-okhttp-5303</t>
  </si>
  <si>
    <t>/system/lib/libssl.so (SSL_is_init_finished+7)</t>
  </si>
  <si>
    <t>_x000D_
1  00 pc 000194f4  system lib libssl so (SSL is init finished 7)  armeabi v7a _x000D_
  _x000D_
2  01 pc 000147cb  system lib libjavacrypto so  armeabi v7a _x000D_
3  02 pc 0000f745  system lib libjavacrypto so  armeabi v7a _x000D_
4  03 pc 0003535f  system framework arm boot conscrypt oat (oatexec 99167)  armeabi _x000D_
5 java:_x000D_
6 com android org conscrypt SslWrapper read(SslWrapper java:384)_x000D_
7 com android org conscrypt ConscryptFileDescriptorSocket SSLInputStream read(ConscryptFileDescriptorSocket java:541)_x000D_
8 okio Okio 2 read(Okio java:140)_x000D_
9 okio AsyncTimeout 2 read(AsyncTimeout java:236)_x000D_
10 okio RealBufferedSource request(RealBufferedSource java:67)_x000D_
11 okio RealBufferedSource require(RealBufferedSource java:59)_x000D_
12 okio RealBufferedSource readHexadecimalUnsignedLong(RealBufferedSource java:297)_x000D_
13 okhttp3 internal http1 Http1Codec ChunkedSource readChunkSize(Http1Codec java:466)_x000D_
14 okhttp3 internal http1 Http1Codec ChunkedSource read(Http1Codec java:446)_x000D_
15 okio RealBufferedSource read(RealBufferedSource java:45)_x000D_
16 okio RealBufferedSource exhausted(RealBufferedSource java:55)_x000D_
17 okio InflaterSource refill(InflaterSource java:101)_x000D_
18 okio InflaterSource read(InflaterSource java:62)_x000D_
19 okio GzipSource read(GzipSource java:80)_x000D_
20 okio RealBufferedSource 1 read(RealBufferedSource java:433)_x000D_
21 java io InputStream read(InputStream java:101)_x000D_
22 com android volley toolbox ResponseUtil stream2Bytes(ResponseUtil java:36)_x000D_
23 com android volley toolbox BasicNetwork performRequest(BasicNetwork java:159)_x000D_
24 com android volley NetworkDispatcher run(NetworkDispatcher java:129)_x000D_
_x000D_
_x000D_
most of crash in os 8 1 0</t>
  </si>
  <si>
    <t>tynmarket-Serenade-27</t>
  </si>
  <si>
    <t>Crash: TweetListAdapter.java line 94</t>
  </si>
  <si>
    <t>https:  console firebase google com u 0 project serenade 197604 crashlytics app android:com tynmarket serenade issues 404fa36e39ecab5fd66f7b70e415195a time last seven days sessionId 5D34617C00D300011D60FBDE9F5211B6 DNE 0 v2</t>
  </si>
  <si>
    <t>b3dgs-warcraft-remake-31</t>
  </si>
  <si>
    <t>Crashes on wood extracting</t>
  </si>
  <si>
    <t xml:space="preserve">   Expected Behavior_x000D_
Peon gather wood _x000D_
_x000D_
   Actual Behavior_x000D_
Game crashes _x000D_
_x000D_
   Steps to Reproduce the Problem_x000D_
_x000D_
Order peon to extract wood _x000D_
_x000D_
   Specifications_x000D_
_x000D_
    Warcraft Remake Version: 0 0 4_x000D_
    JDK: 1 8_x000D_
    OS: Win10_x000D_
</t>
  </si>
  <si>
    <t>dimagi-commcare-android-2127</t>
  </si>
  <si>
    <t>Catches Xpath error in onEntitySelected</t>
  </si>
  <si>
    <t xml:space="preserve">CL: https:  www fabric io dimagi android apps org commcare dalvik issues 5c87e77ff8b88c2963d987c8 time last ninety days_x000D_
_x000D_
https:  www fabric io dimagi android apps org commcare dalvik issues 59dcde5cbe077a4dcc0ef624 time last ninety days_x000D_
_x000D_
Instead of crashing on a XPathException  Catches the XpathException and shows the error to the user  </t>
  </si>
  <si>
    <t>DigitalCampus-oppia-mobile-android-854</t>
  </si>
  <si>
    <t>"java.lang.RuntimeException: Unable to start receiver" error message</t>
  </si>
  <si>
    <t>I m getting a few automated emails with the same error (just on the LMH app though)  Unclear to me if this causes the app to crash too   but it looks like it might just be a background error _x000D_
_x000D_
The full stack trace is:_x000D_
java lang RuntimeException: Unable to start receiver org digitalcampus oppia service TrackerStartServiceReceiver: java lang IllegalStateException: Not allowed to start service Intent   cmp org lastmilehealth oppiamobile org digitalcampus oppia service TrackerService (has extras)  : app is in background uid UidRecord 61ccde6 u0a224 RCVR bg: 3m37s761ms idle change:uncached procs:1 seq(7576 7576 7576) _x000D_
	at android app ActivityThread handleReceiver(ActivityThread java:3523)_x000D_
	at android app ActivityThread access 1400(ActivityThread java:207)_x000D_
	at android app ActivityThread H handleMessage(ActivityThread java:1759)_x000D_
	at android os Handler dispatchMessage(Handler java:106)_x000D_
	at android os Looper loop(Looper java:193)_x000D_
	at android app ActivityThread main(ActivityThread java:6863)_x000D_
	at java lang reflect Method invoke(Native Method)_x000D_
	at com android internal os RuntimeInit MethodAndArgsCaller run(RuntimeInit java:537)_x000D_
	at com android internal os ZygoteInit main(ZygoteInit java:858)_x000D_
Caused by: java lang IllegalStateException: Not allowed to start service Intent   cmp org lastmilehealth oppiamobile org digitalcampus oppia service TrackerService (has extras)  : app is in background uid UidRecord 61ccde6 u0a224 RCVR bg: 3m37s761ms idle change:uncached procs:1 seq(7576 7576 7576) _x000D_
	at android app ContextImpl startServiceCommon(ContextImpl java:1595)_x000D_
	at android app ContextImpl startService(ContextImpl java:1550)_x000D_
	at android content ContextWrapper startService(ContextWrapper java:664)_x000D_
	at android content ContextWrapper startService(ContextWrapper java:664)_x000D_
	at org digitalcampus oppia service TrackerStartServiceReceiver onReceive(TrackerStartServiceReceiver java:44)_x000D_
	at android app ActivityThread handleReceiver(ActivityThread java:3507)_x000D_
	    8 more</t>
  </si>
  <si>
    <t>opentok-opentok-react-native-315</t>
  </si>
  <si>
    <t xml:space="preserve">Hide subscriber view </t>
  </si>
  <si>
    <t xml:space="preserve">I want to hide subscriber view but using  height: 0    height: 0 1  or  display:  none   video does not disappear  Subscriber still on layout: _x000D_
  view (https:  user images githubusercontent com 35509741 61719768 e77e4a80 ad3b 11e9 8833 e45a18898294 png)_x000D_
_x000D_
And when I do a conditional to hide in render app crash:_x000D_
  error (https:  user images githubusercontent com 35509741 61719851 109edb00 ad3c 11e9 9b06 ebda5f1a65de png)_x000D_
_x000D_
</t>
  </si>
  <si>
    <t>k9mail-k-9-4121</t>
  </si>
  <si>
    <t>Openpgp enable crash</t>
  </si>
  <si>
    <t xml:space="preserve">    Actual behavior_x000D_
K9 crashes when enabling openpgp support without having a provider installed _x000D_
_x000D_
    Steps to reproduce_x000D_
Click the following:_x000D_
_x000D_
1  Settings_x000D_
2  Account_x000D_
3  End to end encryption_x000D_
4  Enable_x000D_
5  Install_x000D_
_x000D_
    Environment_x000D_
K 9 Mail version: master_x000D_
_x000D_
Android version:9 0_x000D_
_x000D_
   _x000D_
07 23 15:58:10 701  2290  3255 I ActivityManager: START u0  cmp com fsck k9 debug com fsck k9 ui settings account OpenPgpAppSelectDialog (has extras)  from uid 10101_x000D_
07 23 15:58:10 755 17399 17399 W ActivityThread: handleWindowVisibility: no activity for token android os BinderProxy 17623b1_x000D_
07 23 15:58:10 855   564   605 D SurfaceFlinger: duplicate layer name: changing com fsck k9 debug com fsck k9 ui settings account OpenPgpAppSelectDialog to com fsck k9 debug com fsck k9 ui settings account OpenPgpAppSelectDialog 1_x000D_
07 23 15:58:11 765  2290  3255 I ActivityManager: START u0  act android intent action VIEW dat market:  details id org sufficientlysecure keychain cmp android com android internal app ResolverActivity  from uid 10101_x000D_
07 23 15:58:11 778 17399 17435 D OpenGLRenderer: endAllActiveAnimators on 0x74bec6d500 (RippleDrawable) with handle 0x74c1635480_x000D_
07 23 15:58:11 788 17315 17315 W ActivityThread: handleWindowVisibility: no activity for token android os BinderProxy b317974_x000D_
07 23 15:58:11 799 17399 17399 D AndroidRuntime: Shutting down VM_x000D_
07 23 15:58:11 800 17399 17399 E AndroidRuntime: FATAL EXCEPTION: main_x000D_
07 23 15:58:11 800 17399 17399 E AndroidRuntime: Process: com fsck k9 debug  PID: 17399_x000D_
07 23 15:58:11 800 17399 17399 E AndroidRuntime: java lang NullPointerException: Attempt to invoke virtual method  void androidx fragment app FragmentActivity finish()  on a null object reference_x000D_
07 23 15:58:11 800 17399 17399 E AndroidRuntime: 	at com fsck k9 ui settings account OpenPgpAppSelectDialog OpenKeychainInfoFragment onDismiss(OpenPgpAppSelectDialog java:327)_x000D_
07 23 15:58:11 800 17399 17399 E AndroidRuntime: 	at android app Dialog ListenersHandler handleMessage(Dialog java:1393)_x000D_
07 23 15:58:11 800 17399 17399 E AndroidRuntime: 	at android os Handler dispatchMessage(Handler java:106)_x000D_
07 23 15:58:11 800 17399 17399 E AndroidRuntime: 	at android os Looper loop(Looper java:193)_x000D_
07 23 15:58:11 800 17399 17399 E AndroidRuntime: 	at android app ActivityThread main(ActivityThread java:6718)_x000D_
07 23 15:58:11 800 17399 17399 E AndroidRuntime: 	at java lang reflect Method invoke(Native Method)_x000D_
07 23 15:58:11 800 17399 17399 E AndroidRuntime: 	at com android internal os RuntimeInit MethodAndArgsCaller run(RuntimeInit java:493)_x000D_
07 23 15:58:11 800 17399 17399 E AndroidRuntime: 	at com android internal os ZygoteInit main(ZygoteInit java:858)_x000D_
07 23 15:58:11 805  2290  2396 I ActivityManager: Showing crash dialog for package com fsck k9 debug u0_x000D_
   </t>
  </si>
  <si>
    <t>MozillaReality-FirefoxReality-1446</t>
  </si>
  <si>
    <t>Crash when exiting from immersive mode on Wave</t>
  </si>
  <si>
    <t xml:space="preserve">   Hardware_x000D_
HTC Focus running 64 bit FxR_x000D_
_x000D_
   Steps to Reproduce_x000D_
      For bugs  please provide a link to a live web site  test page  or a rough set of    _x000D_
      steps to reproduce this bug  If relevant  include code to reproduce     _x000D_
      Feel free to attach images and GIFs of screen captures     _x000D_
1  Go to https:  webvr soundboxing co _x000D_
2  enter immersive mode_x000D_
3  Press home button_x000D_
4  Exit to home shell_x000D_
_x000D_
   Current Behavior_x000D_
Intermittent crash: https:  crash stats mozilla com report index abd3cafb 9b14 4833 91db 6895b0190722_x000D_
   Expected Behavior_x000D_
      If you re describing a bug  tell us what should happen     _x000D_
      If you re suggesting a change improvement  tell us how it should work     _x000D_
Should not crash  Only happened once  Not been able to reproduce _x000D_
</t>
  </si>
  <si>
    <t>material-components-material-components-android-460</t>
  </si>
  <si>
    <t>[TextInputLayout] Using endIconTint property causes application to crash</t>
  </si>
  <si>
    <t xml:space="preserve">  Description:   _x000D_
Using the material design   TextInputLayout   and having added the   endIconTint   property to the XML file  the app    crashes    when run  The   endIconMode   property is present and set to  clear text  _x000D_
_x000D_
  Expected behavior:   _x000D_
The app should not crash when endIconTint is used _x000D_
_x000D_
  Source code:   _x000D_
   _x000D_
 com google android material textfield TextInputLayout _x000D_
            android:id    id textInputLayout2 _x000D_
            style   style Widget MaterialComponents TextInputLayout OutlinedBox _x000D_
            android:layout width  match parent _x000D_
            android:layout height  wrap content _x000D_
            android:layout marginStart  32dp _x000D_
            android:layout marginLeft  32dp _x000D_
            android:layout marginTop  128dp _x000D_
            android:layout marginEnd  32dp _x000D_
            android:layout marginRight  32dp _x000D_
            android:layout marginBottom  24dp _x000D_
            android:hint  Enter text here _x000D_
            app:endIconMode  clear text _x000D_
            app:endIconTint   FFFFFF _x000D_
            app:layout constraintBottom toBottomOf  parent _x000D_
            app:layout constraintEnd toEndOf  parent _x000D_
            app:layout constraintHorizontal bias  1 0 _x000D_
            app:layout constraintStart toStartOf  parent _x000D_
            app:layout constraintTop toTopOf  parent _x000D_
            app:layout constraintVertical bias  0 0  _x000D_
_x000D_
             com google android material textfield TextInputEditText_x000D_
                android:textColor   FFFFFF _x000D_
                android:id    id todo input _x000D_
                android:layout width  match parent _x000D_
                android:layout height  62dp _x000D_
                android:textSize  18sp    _x000D_
_x000D_
  com google android material textfield TextInputLayout _x000D_
   _x000D_
_x000D_
  Android API version:   _x000D_
Android API version 28_x000D_
_x000D_
  Material Library version:   _x000D_
Material Android Library version 1 1 0 alpha04_x000D_
_x000D_
  Device:   _x000D_
Samsung Galaxy S10_x000D_
_x000D_
</t>
  </si>
  <si>
    <t>GrapheneOS-PdfViewer-42</t>
  </si>
  <si>
    <t>The application crashes when i Open pdf file</t>
  </si>
  <si>
    <t xml:space="preserve">    Expected behavior:_x000D_
The application should not be crash when i open pdf file _x000D_
_x000D_
    Actual behavior:_x000D_
After configure the application when i open pdf file the application is you can see in bug video proprealy _x000D_
_x000D_
    How to reproduce:_x000D_
1 Download the app_x000D_
2 Open the application _x000D_
3 1st time going my device files_x000D_
4 Then click on document of other _x000D_
5 click on pdf file and open _x000D_
6 Note the Bug _x000D_
_x000D_
    information_x000D_
App version:v1_x000D_
os:Android 8 1 0_x000D_
Device: symphony i72_x000D_
    Recording of the bug_x000D_
https:  youtu be 5O45 DwQbwo_x000D_
_x000D_
_x000D_
    Logcat:_x000D_
 pre  code _x000D_
07 21 14:17:21 905 18839 18839 E AndroidRuntime: FATAL EXCEPTION: main_x000D_
07 21 14:17:21 905 18839 18839 E AndroidRuntime: Process: com kaiserpudding howtheywrite  PID: 18839_x000D_
07 21 14:17:21 905 18839 18839 E AndroidRuntime: java lang IllegalArgumentException: navigation destination com kaiserpudding howtheywrite:id action characterList to characterDetail is unknown to this NavController_x000D_
07 21 14:17:21 905 18839 18839 E AndroidRuntime:   at androidx navigation NavController navigate(NavController java:816)_x000D_
07 21 14:17:21 905 18839 18839 E AndroidRuntime:   at androidx navigation NavController navigate(NavController java:757)_x000D_
07 21 14:17:21 905 18839 18839 E AndroidRuntime:   at androidx navigation NavController navigate(NavController java:743)_x000D_
07 21 14:17:21 905 18839 18839 E AndroidRuntime:   at androidx navigation NavController navigate(NavController java:875)_x000D_
07 21 14:17:21 905 18839 18839 E AndroidRuntime:   at com kaiserpudding howtheywrite main MainActivity onCharacterListItemInteraction(MainActivity kt:99)_x000D_
07 21 14:17:21 905 18839 18839 E AndroidRuntime:   at com kaiserpudding howtheywrite characterList CharacterListFragment onListInteraction(CharacterListFragment kt:113)_x000D_
07 21 14:17:21 905 18839 18839 E AndroidRuntime:   at com kaiserpudding howtheywrite shared multiSelect MultiSelectFragment onMultiSelectAdapterInteraction(MultiSelectFragment kt:86)_x000D_
07 21 14:17:21 905 18839 18839 E AndroidRuntime:   at com kaiserpudding howtheywrite shared multiSelect MultiSelectAdapter MultiSelectViewHolder 1 onClick(MultiSelectAdapter kt:93)_x000D_
07 21 14:17:21 905 18839 18839 E AndroidRuntime:   at android view View performClick(View java:6319)_x000D_
07 21 14:17:21 905 18839 18839 E AndroidRuntime:   at android view View PerformClick run(View java:24837)_x000D_
07 21 14:17:21 905 18839 18839 E AndroidRuntime:   at android os Handler handleCallback(Handler java:790)_x000D_
07 21 14:17:21 905 18839 18839 E AndroidRuntime:   at android os Handler dispatchMessage(Handler java:99)_x000D_
07 21 14:17:21 905 18839 18839 E AndroidRuntime:   at android os Looper loop(Looper java:164)_x000D_
07 21 14:17:21 905 18839 18839 E AndroidRuntime:   at android app ActivityThread main(ActivityThread java:6747)_x000D_
07 21 14:17:21 905 18839 18839 E AndroidRuntime:   at java lang reflect Method invoke(Native Method)_x000D_
07 21 14:17:21 905 18839 18839 E AndroidRuntime:   at com android internal os RuntimeInit MethodAndArgsCaller run(RuntimeInit java:449)_x000D_
07 21 14:17:21 905 18839 18839 E AndroidRuntime:   at com android internal os ZygoteInit main(ZygoteInit java:807)  code   pre _x000D_
</t>
  </si>
  <si>
    <t>skynet-im-skynet-android-4</t>
  </si>
  <si>
    <t>Crash on counterpart nickname update</t>
  </si>
  <si>
    <t xml:space="preserve">  To Reproduce  _x000D_
Steps to reproduce the behavior:_x000D_
1  Let someone else register and login to Skynet  but not enter his nickname_x000D_
2  Create a direct channel together with this account_x000D_
3  Let the other person set his nickname_x000D_
4  Your Skynet app crashes_x000D_
_x000D_
  Expected behavior  _x000D_
The list item should update to show the nickname instead of the email address _x000D_
_x000D_
  Smartphone (please complete the following information):  _x000D_
   Device: Galaxy S6_x000D_
   OS: Android 7 0_x000D_
_x000D_
  Log output  _x000D_
   _x000D_
2019 07 21 16:46:04 393 30551 1762 de vectordata skynet E AndroidRuntime: FATAL EXCEPTION: Thread 197_x000D_
    Process: de vectordata skynet  PID: 30551_x000D_
    android database sqlite SQLiteConstraintException: UNIQUE constraint failed: channelMessages channelId  channelMessages messageId (code 2067)_x000D_
                                                                     _x000D_
    Error Code : 2067 (SQLITE CONSTRAINT UNIQUE)_x000D_
    Caused By : Abort due to constraint violation _x000D_
    	(UNIQUE constraint failed: channelMessages channelId  channelMessages messageId (code 2067))_x000D_
                                                                     _x000D_
        at android database sqlite SQLiteConnection nativeExecuteForLastInsertedRowId(Native Method)_x000D_
        at android database sqlite SQLiteConnection executeForLastInsertedRowId(SQLiteConnection java:865)_x000D_
        at android database sqlite SQLiteSession executeForLastInsertedRowId(SQLiteSession java:788)_x000D_
        at android database sqlite SQLiteStatement executeInsert(SQLiteStatement java:86)_x000D_
        at androidx sqlite db framework FrameworkSQLiteStatement executeInsert(FrameworkSQLiteStatement java:51)_x000D_
        at androidx room EntityInsertionAdapter insert(EntityInsertionAdapter java:80)_x000D_
        at de vectordata skynet data sql dao ChannelMessageDao Impl insert(ChannelMessageDao Impl java:88)_x000D_
        at de vectordata skynet net packet P0BChannelMessage writeToDatabase(P0BChannelMessage java:125)_x000D_
        at de vectordata skynet net PacketHandler handlePacket(PacketHandler java:159)_x000D_
        at de vectordata skynet net packet P0BChannelMessage handlePacket(P0BChannelMessage java:109)_x000D_
        at de vectordata skynet net PacketHandler handlePacket(PacketHandler java:113)_x000D_
        at de vectordata skynet net PacketHandler handlePacket(PacketHandler java:87)_x000D_
        at de vectordata skynet net NetworkManager onPacketReceived(NetworkManager java:131)_x000D_
        at de vectordata libjvsl VSLClient onPacketReceived(VSLClient java:91)_x000D_
        at de vectordata libjvsl net NetworkManager receivePacket AES 256 CBC HMAC SHA 256 CTR(NetworkManager java:174)_x000D_
        at de vectordata libjvsl net NetworkManager receiveData(NetworkManager java:52)_x000D_
        at de vectordata libjvsl net NetworkChannel lambda startReceiverThread 1 NetworkChannel(NetworkChannel java:98)_x000D_
        at de vectordata libjvsl net    Lambda NetworkChannel tsv2U  W a1feLNNFmmVaV1ytCA run(lambda)_x000D_
        at java lang Thread run(Thread java:762)_x000D_
   _x000D_
</t>
  </si>
  <si>
    <t>material-components-material-components-android-455</t>
  </si>
  <si>
    <t>[Dark Theme] Crash WebView api 21</t>
  </si>
  <si>
    <t>When dark theme is enabled on the app  the app crash when inflating the xml of a webview on api 21 or 22  On light theme  the webview works fine _x000D_
 Using the alpha07 version  already tried on alpha08</t>
  </si>
  <si>
    <t>ElderDrivers-EdXposed-329</t>
  </si>
  <si>
    <t>[BUG] EdXposed doesn't load modules with password on boot</t>
  </si>
  <si>
    <t xml:space="preserve">       What happened   _x000D_
_x000D_
I ve enabled password on boot on my OP3 (to be sure that no one will be able to delete my password in TWRP) but EdXposed can t load modules when it s activated _x000D_
When password is on  I ve got this error :   data user de 0 com solohsu android edxp manager conf modules list _x000D_
At first this file was missing  but I created with touch and set the right permission  I ve still have the error  even if now the file exists _x000D_
As soon as I disable password on boot EdXposed loads the modules without any error _x000D_
That s why I think that EdXposed is trying to access the file  modules list  before I enter the password  and so when the storage is still encrypted _x000D_
I d like to have both EdXposed and password on boot  but I can t see how to do so   _x000D_
_x000D_
  Xposed     Xposed Module List  _x000D_
_x000D_
 a href  https:  ibb co ss26kW3   img src  https:  i ibb co Dwt8srK Screenshot 20190720 220018 Ed Xposed Installer png  alt  Screenshot 20190720 220018 Ed Xposed Installer  border  0    a _x000D_
_x000D_
  Magisk     Magisk Module List  _x000D_
 a href  https:  ibb co XL2kq13   img src  https:  i ibb co B3zK9br Screenshot 20190720 220037 Magisk Manager png  alt  Screenshot 20190720 220037 Magisk Manager  border  0    a _x000D_
 a href  https:  ibb co 6n7d5Sc   img src  https:  i ibb co 0DRw3Lp Screenshot 20190720 220043 Magisk Manager png  alt  Screenshot 20190720 220043 Magisk Manager  border  0    a _x000D_
_x000D_
  EdXposed Riru   Versions of EdXposed and Riru  _x000D_
_x000D_
EdXposed: v0 4 5 1 beta(4463) (SandHook)_x000D_
_x000D_
Riru: v19 4_x000D_
_x000D_
  Logs  _x000D_
          beginning of head_x000D_
EdXposed Log_x000D_
Powered by Log Catcher_x000D_
QQ chat group 855219808_x000D_
          beginning of system info_x000D_
Android version: 9_x000D_
Android sdk: 28_x000D_
Android build: PQ3A 190705 003_x000D_
Fingerprint: OnePlus OnePlus3 OnePlus3:9 PKQ1 181203 001 1905251415:user release keys_x000D_
ROM build description: OnePlus3 user 9 PKQ1 181203 001 1905251415 release keys_x000D_
EdXposed Version: v0 4 5 1 beta(4463) (Sandhook)_x000D_
Architecture: arm64 v8a_x000D_
Device: OnePlus3_x000D_
Manufacture: OnePlus_x000D_
Brand: OnePlus_x000D_
Product: OnePlus3_x000D_
          beginning of system_x000D_
          beginning of main_x000D_
          beginning of crash_x000D_
07 20 21:29:03 772  2633  2633 I EdXposed: onModuleLoaded: welcome to EdXposed _x000D_
07 20 21:29:03 772  2633  2633 I EdXposed: Start to install inline hooks_x000D_
07 20 21:29:03 772  2633  2633 I EdXposed: Using api level 28_x000D_
07 20 21:29:03 772  2633  2633 I EdXposed: Start to install Riru hook_x000D_
07 20 21:29:03 794  2633  2633 I EdXposed: Riru hooks installed_x000D_
07 20 21:29:03 819  2633  2633 I EdXposed: ART hooks installed_x000D_
07 20 21:29:03 820  2633  2633 I EdXposed: system property get: dalvik vm dex2oat filter    quicken_x000D_
07 20 21:29:03 820  2633  2633 I EdXposed: system property get: dalvik vm dex2oat flags      inline max code units 0_x000D_
07 20 21:29:03 965  2628  2628 I EdXposed: onModuleLoaded: welcome to EdXposed _x000D_
07 20 21:29:03 965  2628  2628 I EdXposed: Start to install inline hooks_x000D_
07 20 21:29:03 965  2628  2628 I EdXposed: Using api level 28_x000D_
07 20 21:29:03 965  2628  2628 I EdXposed: Start to install Riru hook_x000D_
07 20 21:29:04 008  2628  2628 I EdXposed: Riru hooks installed_x000D_
07 20 21:29:04 052  2628  2628 I EdXposed: ART hooks installed_x000D_
07 20 21:29:04 052  2628  2628 I EdXposed: system property get: dalvik vm dex2oat filter    quicken_x000D_
07 20 21:29:04 052  2628  2628 I EdXposed: system property get: dalvik vm dex2oat flags      inline max code units 0_x000D_
07 20 21:29:04 251  2633  2633 I EdXposed: using installer com solohsu android edxp manager_x000D_
07 20 21:29:04 251  2633  2633 I EdXposed: black white list mode: false  using whitelist: false_x000D_
07 20 21:29:04 251  2633  2633 I EdXposed: dynamic modules mode: false_x000D_
07 20 21:29:04 251  2633  2633 I EdXposed: resources hook: true_x000D_
07 20 21:29:04 251  2633  2633 I EdXposed: deopt boot image: false_x000D_
07 20 21:29:04 630  2628  2628 I EdXposed: using installer com solohsu android edxp manager_x000D_
07 20 21:29:04 630  2628  2628 I EdXposed: black white list mode: false  using whitelist: false_x000D_
07 20 21:29:04 630  2628  2628 I EdXposed: dynamic modules mode: false_x000D_
07 20 21:29:04 630  2628  2628 I EdXposed: resources hook: true_x000D_
07 20 21:29:04 630  2628  2628 I EdXposed: deopt boot image: false_x000D_
07 20 21:29:07 522  2628  2628 I EdXposed: EdxpVariant: 2_x000D_
07 20 21:29:07 831  2628  2628 E EdXposed Bridge: Cannot load any modules because  data user de 0 com solohsu android edxp manager conf modules list was not found_x000D_
07 20 21:29:15 405  3237  3237 I EdXposed: onModuleLoaded: welcome to EdXposed _x000D_
07 20 21:29:15 405  3237  3237 I EdXposed: Start to install inline hooks_x000D_
07 20 21:29:15 405  3237  3237 I EdXposed: Using api level 28_x000D_
07 20 21:29:15 405  3237  3237 I EdXposed: Start to install Riru hook_x000D_
07 20 21:29:15 429  3237  3237 I EdXposed: Riru hooks installed_x000D_
07 20 21:29:15 452  3237  3237 I EdXposed: ART hooks installed_x000D_
07 20 21:29:15 452  3237  3237 I EdXposed: system property get: dalvik vm dex2oat filter    quicken_x000D_
07 20 21:29:15 452  3237  3237 I EdXposed: system property get: dalvik vm dex2oat flags      inline max code units 0_x000D_
07 20 21:29:15 485  3236  3236 I EdXposed: onModuleLoaded: welcome to EdXposed _x000D_
07 20 21:29:15 485  3236  3236 I EdXposed: Start to install inline hooks_x000D_
07 20 21:29:15 485  3236  3236 I EdXposed: Using api level 28_x000D_
07 20 21:29:15 485  3236  3236 I EdXposed: Start to install Riru hook_x000D_
07 20 21:29:15 520  3236  3236 I EdXposed: Riru hooks installed_x000D_
07 20 21:29:15 559  3236  3236 I EdXposed: ART hooks installed_x000D_
07 20 21:29:15 559  3236  3236 I EdXposed: system property get: dalvik vm dex2oat filter    quicken_x000D_
07 20 21:29:15 559  3236  3236 I EdXposed: system property get: dalvik vm dex2oat flags      inline max code units 0_x000D_
07 20 21:29:15 720  3237  3237 I EdXposed: using installer com solohsu android edxp manager_x000D_
07 20 21:29:15 720  3237  3237 I EdXposed: black white list mode: false  using whitelist: false_x000D_
07 20 21:29:15 720  3237  3237 I EdXposed: dynamic modules mode: false_x000D_
07 20 21:29:15 720  3237  3237 I EdXposed: resources hook: true_x000D_
07 20 21:29:15 720  3237  3237 I EdXposed: deopt boot image: false_x000D_
07 20 21:29:15 931  3236  3236 I EdXposed: using installer com solohsu android edxp manager_x000D_
07 20 21:29:15 931  3236  3236 I EdXposed: black white list mode: false  using whitelist: false_x000D_
07 20 21:29:15 931  3236  3236 I EdXposed: dynamic modules mode: false_x000D_
07 20 21:29:15 931  3236  3236 I EdXposed: resources hook: true_x000D_
07 20 21:29:15 932  3236  3236 I EdXposed: deopt boot image: false_x000D_
07 20 21:29:18 665  3236  3236 I EdXposed: EdxpVariant: 2_x000D_
07 20 21:29:18 908  3236  3236 E EdXposed Bridge: Cannot load any modules because  data user de 0 com solohsu android edxp manager conf modules list was not found_x000D_
07 20 21:29:28 964  3237  3237 I EdXposed: EdxpVariant: 2_x000D_
07 20 21:29:50 292  3237  3237 E EdXposed Bridge: Cannot load any modules because  data user de 0 com solohsu android edxp manager conf modules list was not found_x000D_
07 20 21:46:53 494  5323 13574 I XposedInstaller: RepoLoader    Downloaded https:  dl xposed info repo partial 17534 xml gz with status 0 (error: null)  size 66 bytes_x000D_
07 20 21:46:53 496  5323 13574 I XposedInstaller: RepoLoader    Updated repository https:  dl xda xposed info repo full xml gz to version 17534 (0 new   0 removed modules)_x000D_
07 20 21:51:51 367  5323 13742 I XposedInstaller: RepoLoader    Downloaded https:  dl xposed info repo partial 17534 xml gz with status 0 (error: null)  size 66 bytes_x000D_
07 20 21:51:51 369  5323 13742 I XposedInstaller: RepoLoader    Updated repository https:  dl xda xposed info repo full xml gz to version 17534 (0 new   0 removed modules)_x000D_
07 20 21:52:36 079 14248 14272 I XposedInstaller: Downloaded http:  dl xposed info repo full xml gz with status 0 (error: null)  size 1571462 bytes_x000D_
07 20 21:52:38 591 14248 14272 I XposedInstaller: Updated repository http:  dl xposed info repo full xml gz to version 17534 (1401 new   0 removed modules)_x000D_
_x000D_
Thanks  </t>
  </si>
  <si>
    <t>MozillaReality-FirefoxReality-1435</t>
  </si>
  <si>
    <t>Using AndroidStudio Native type debugger can't enter Hubs.mozilla</t>
  </si>
  <si>
    <t xml:space="preserve">This is just a note  and I don t think this is high priority  It looks like running GV in the debug mode will go to unpredictable code path _x000D_
_x000D_
   Hardware_x000D_
      Include the name and version of the hardware VR headset you experienced the bug in     _x000D_
Oculus Go and Wave Focus Plus_x000D_
_x000D_
   Steps to Reproduce_x000D_
      For bugs  please provide a link to a live web site  test page  or a rough set of    _x000D_
      steps to reproduce this bug  If relevant  include code to reproduce     _x000D_
      Feel free to attach images and GIFs of screen captures     _x000D_
1  Go to http:  hubs mozilla com and create a room_x000D_
2  Enter VR_x000D_
_x000D_
   Current Behavior_x000D_
      If describing a bug  tell us what happens instead of the expected behavior     _x000D_
      If suggesting a change improvement  explain the difference from current behavior     _x000D_
1  In Oculus Go  it will show  this browser doesn t support WebAssembly  please use a new browser _x000D_
2  In Wave Focus Plus  it will crash at the first visit (https:  crash stats mozilla com report index a8870c74 e6ec 499d ad21 f1fdc0190716)  after that  it will be good _x000D_
_x000D_
   Expected Behavior_x000D_
      If you re describing a bug  tell us what should happen     _x000D_
      If you re suggesting a change improvement  tell us how it should work     _x000D_
Using Native debug type should work as using Java type to debug  We should be able to enter Hubs mozilla without issues _x000D_
_x000D_
   Possible Solution_x000D_
       Optional     _x000D_
      Feel free to suggest a fix reason for the bug     _x000D_
      or ideas how to implement the addition or change     _x000D_
It is very possible that we disable enable something when we are doing debug with AndroidStudio  Use debugger to dig into it _x000D_
_x000D_
   Context_x000D_
       Optional     _x000D_
      How has this issue affected you  What are you trying to accomplish     _x000D_
Can t run Hubs when we need to debug native code with symbols _x000D_
_x000D_
      Providing context helps us come up with a solution that is most useful in the real world  :)    _x000D_
_x000D_
   Error Logs and Stack Traces_x000D_
       Optional     _x000D_
      These are very useful for quickly identifying the causes for bug fixes     _x000D_
      In Developer Mode  run  adb logcat  to capture potentially useful logs     _x000D_
 details open _x000D_
_x000D_
      DO NOT REMOVE THIS LINE     _x000D_
   _x000D_
   _x000D_
      DO NOT REMOVE THIS LINE     _x000D_
_x000D_
  details _x000D_
</t>
  </si>
  <si>
    <t>b3dgs-warcraft-remake-21</t>
  </si>
  <si>
    <t>LionEngineException: Feature not found: RightClickMove</t>
  </si>
  <si>
    <t xml:space="preserve">   Expected Behavior_x000D_
Peon moves _x000D_
_x000D_
   Actual Behavior_x000D_
Game crashes _x000D_
_x000D_
   Steps to Reproduce the Problem_x000D_
_x000D_
1  Select peon _x000D_
2  Use  Move to  button _x000D_
_x000D_
   Specifications_x000D_
_x000D_
    Warcraft Remake Version: 0 0 3_x000D_
    JDK: 1 8_x000D_
    OS: Win10_x000D_
</t>
  </si>
  <si>
    <t>ttdyce-NHentai-NHViewer-3</t>
  </si>
  <si>
    <t>The app crashed when I tried to open the hentai after removing it from the favorite list.</t>
  </si>
  <si>
    <t xml:space="preserve">  Describe the bug  _x000D_
When I tried to open hentai after removing it from the favorite list  then the app crashed _x000D_
_x000D_
  To Reproduce  _x000D_
Steps to reproduce the behavior:_x000D_
1  Open the app _x000D_
2  Click on the love icon to add it as your favorite _x000D_
3  Now  swipe to the right to see your favorite list _x000D_
4  Then  press the love button again  the app will ask your permission to remove it  Press yes _x000D_
5  At last click on that hentai to open it and notice the crash _x000D_
_x000D_
  Expected behavior  _x000D_
I expected that I could open the hentai after removing it from my favorite list or the hentai would disappear from the favorite list after removing _x000D_
_x000D_
  Screenshots  _x000D_
https:  www youtube com watch v TXvJYyflFLo_x000D_
_x000D_
  Smartphone (please complete the following information):  _x000D_
   Device: Samsung A5_x000D_
   OS: Android 6 0 1_x000D_
   App Version: 1 0 2_x000D_
_x000D_
  Logcat  _x000D_
   _x000D_
E AndroidRuntime: FATAL EXCEPTION: main_x000D_
_x000D_
07 19 11:46:38 275 10688 10688 E AndroidRuntime: Process: personal ttd nhviewer  PID: 10688_x000D_
_x000D_
07 19 11:46:38 275 10688 10688 E AndroidRuntime: java lang IndexOutOfBoundsException: Invalid index 0  size is 0_x000D_
_x000D_
07 19 11:46:38 275 10688 10688 E AndroidRuntime: 	at java util ArrayList throwIndexOutOfBoundsException(ArrayList java:255)_x000D_
_x000D_
07 19 11:46:38 275 10688 10688 E AndroidRuntime: 	at java util ArrayList get(ArrayList java:308)_x000D_
_x000D_
07 19 11:46:38 275 10688 10688 E AndroidRuntime: 	at personal ttd nhviewer Controller fragment base ComicListFragment ComicListAdapter onListItemClick(ComicListFragment java:182)_x000D_
_x000D_
07 19 11:46:38 275 10688 10688 E AndroidRuntime: 	at personal ttd nhviewer Controller fragment base BaseListFragment BaseListAdapter 1 onClick(BaseListFragment java:353)_x000D_
_x000D_
07 19 11:46:38 275 10688 10688 E AndroidRuntime: 	at android view View performClick(View java:5714)_x000D_
_x000D_
07 19 11:46:38 275 10688 10688 E AndroidRuntime: 	at android view View PerformClick run(View java:22589)_x000D_
_x000D_
07 19 11:46:38 275 10688 10688 E AndroidRuntime: 	at android os Handler handleCallback(Handler java:739)_x000D_
_x000D_
07 19 11:46:38 275 10688 10688 E AndroidRuntime: 	at android os Handler dispatchMessage(Handler java:95)_x000D_
_x000D_
07 19 11:46:38 275 10688 10688 E AndroidRuntime: 	at android os Looper loop(Looper java:148)_x000D_
_x000D_
07 19 11:46:38 275 10688 10688 E AndroidRuntime: 	at android app ActivityThread main(ActivityThread java:7325)_x000D_
_x000D_
07 19 11:46:38 275 10688 10688 E AndroidRuntime: 	at java lang reflect Method invoke(Native Method)_x000D_
_x000D_
07 19 11:46:38 275 10688 10688 E AndroidRuntime: 	at com android internal os ZygoteInit MethodAndArgsCaller run(ZygoteInit java:1230)_x000D_
_x000D_
07 19 11:46:38 275 10688 10688 E AndroidRuntime: 	at com android internal os ZygoteInit main(ZygoteInit java:1120)_x000D_
   </t>
  </si>
  <si>
    <t>fossasia-open-event-organizer-android-1821</t>
  </si>
  <si>
    <t>The application crashes when i click on acknowledgement</t>
  </si>
  <si>
    <t xml:space="preserve">    Expected behavior:_x000D_
I expected that the application should not be crash when i click on acknowledgement Option _x000D_
_x000D_
    Actual behavior:_x000D_
After configure the application when i click on acknowledgement option the application is you can see in bug vieo proprealy _x000D_
_x000D_
    How to reproduce:_x000D_
1 Download the app from playstore and open the app _x000D_
2 creat a account_x000D_
2 Then click on account manu icon and setting option _x000D_
3 click on acknowledgement_x000D_
4 Then try to again_x000D_
6 Note the Bug _x000D_
_x000D_
    information_x000D_
App version:v1 4 0_x000D_
os:Android 8 1 0_x000D_
Device: symphony i72_x000D_
    Recording of the bug_x000D_
https:  youtu be 5849fhZWoyA_x000D_
_x000D_
    Logcat:_x000D_
 Pre  code 07 19 09:21:32 466 23023 23023 E AndroidRuntime: FATAL EXCEPTION: main_x000D_
07 19 09:21:32 466 23023 23023 E AndroidRuntime: Process: com eventyay organizer  PID: 23023_x000D_
07 19 09:21:32 466 23023 23023 E AndroidRuntime: java lang NoClassDefFoundError: Failed resolution of: Lcom google android gms R id _x000D_
07 19 09:21:32 466 23023 23023 E AndroidRuntime:   at com google android gms oss licenses OssLicensesMenuActivity a(Unknown Source:6)_x000D_
07 19 09:21:32 466 23023 23023 E AndroidRuntime:   at com google android gms oss licenses OssLicensesMenuActivity onCreate(Unknown Source:5)_x000D_
07 19 09:21:32 466 23023 23023 E AndroidRuntime:   at android app Activity performCreate(Activity java:7025)_x000D_
07 19 09:21:32 466 23023 23023 E AndroidRuntime:   at android app Activity performCreate(Activity java:7016)_x000D_
07 19 09:21:32 466 23023 23023 E AndroidRuntime:   at android app Instrumentation callActivityOnCreate(Instrumentation java:1217)_x000D_
07 19 09:21:32 466 23023 23023 E AndroidRuntime:   at android app ActivityThread performLaunchActivity(ActivityThread java:2812)_x000D_
07 19 09:21:32 466 23023 23023 E AndroidRuntime:   at android app ActivityThread handleLaunchActivity(ActivityThread java:2955)_x000D_
07 19 09:21:32 466 23023 23023 E AndroidRuntime:   at android app ActivityThread  wrap12(Unknown Source:0)_x000D_
07 19 09:21:32 466 23023 23023 E AndroidRuntime:   at android app ActivityThread H handleMessage(ActivityThread java:1650)_x000D_
07 19 09:21:32 466 23023 23023 E AndroidRuntime:   at android os Handler dispatchMessage(Handler java:106)_x000D_
07 19 09:21:32 466 23023 23023 E AndroidRuntime:   at android os Looper loop(Looper java:164)_x000D_
07 19 09:21:32 466 23023 23023 E AndroidRuntime:   at android app ActivityThread main(ActivityThread java:6747)_x000D_
07 19 09:21:32 466 23023 23023 E AndroidRuntime:   at java lang reflect Method invoke(Native Method)_x000D_
07 19 09:21:32 466 23023 23023 E AndroidRuntime:   at com android internal os RuntimeInit MethodAndArgsCaller run(RuntimeInit java:449)_x000D_
07 19 09:21:32 466 23023 23023 E AndroidRuntime:   at com android internal os ZygoteInit main(ZygoteInit java:807)_x000D_
07 19 09:21:32 466 23023 23023 E AndroidRuntime: Caused by: java lang ClassNotFoundException: Didn t find class  com google android gms R id  on path: DexPathList  zip file   data app com eventyay organizer 1NzJzzKp uRe2z2fyTp76g   base apk   zip file   data app com eventyay organizer 1NzJzzKp uRe2z2fyTp76g   split config en apk   zip file   data app com eventyay organizer 1NzJzzKp uRe2z2fyTp76g   split config xhdpi apk   nativeLibraryDirectories   data app com eventyay organizer 1NzJzzKp uRe2z2fyTp76g   lib arm   system lib   vendor lib  _x000D_
07 19 09:21:32 466 23023 23023 E AndroidRuntime:   at dalvik system BaseDexClassLoader findClass(BaseDexClassLoader java:125)_x000D_
07 19 09:21:32 466 23023 23023 E AndroidRuntime:   at java lang ClassLoader loadClass(ClassLoader java:379)_x000D_
07 19 09:21:32 466 23023 23023 E AndroidRuntime:   at java lang ClassLoader loadClass(ClassLoader java:312)_x000D_
07 19 09:21:32 466 23023 23023 E AndroidRuntime:       15 more_x000D_
07 19 09:21:32 466 23023 23023 E AndroidRuntime:   Suppressed: java io IOException: No original dex files found for dex location  data app com eventyay organizer 1NzJzzKp uRe2z2fyTp76g   split config en apk_x000D_
07 19 09:21:32 466 23023 23023 E AndroidRuntime:     at dalvik system DexFile openDexFileNative(Native Method)_x000D_
07 19 09:21:32 466 23023 23023 E AndroidRuntime:     at dalvik system DexFile openDexFile(DexFile java:353)_x000D_
07 19 09:21:32 466 23023 23023 E AndroidRuntime:     at dalvik system DexFile  init (DexFile java:100)_x000D_
07 19 09:21:32 466 23023 23023 E AndroidRuntime:     at dalvik system DexFile  init (DexFile java:74)_x000D_
07 19 09:21:32 466 23023 23023 E AndroidRuntime:     at dalvik system DexPathList loadDexFile(DexPathList java:374)_x000D_
07 19 09:21:32 466 23023 23023 E AndroidRuntime:     at dalvik system DexPathList makeDexElements(DexPathList java:337)_x000D_
07 19 09:21:32 466 23023 23023 E AndroidRuntime:     at dalvik system DexPathList  init (DexPathList java:157)SHADOT HOSSAN:_x000D_
07 19 09:21:32 466 23023 23023 E AndroidRuntime:     at dalvik system BaseDexClassLoader  init (BaseDexClassLoader java:65)_x000D_
07 19 09:21:32 466 23023 23023 E AndroidRuntime:     at dalvik system PathClassLoader  init (PathClassLoader java:64)_x000D_
07 19 09:21:32 466 23023 23023 E AndroidRuntime:     at com android internal os ClassLoaderFactory createClassLoader(ClassLoaderFactory java:73)_x000D_
07 19 09:21:32 466 23023 23023 E AndroidRuntime:     at com android internal os ClassLoaderFactory createClassLoader(ClassLoaderFactory java:88)_x000D_
07 19 09:21:32 466 23023 23023 E AndroidRuntime:     at android app ApplicationLoaders getClassLoader(ApplicationLoaders java:69)_x000D_
07 19 09:21:32 466 23023 23023 E AndroidRuntime:     at android app ApplicationLoaders getClassLoader(ApplicationLoaders java:35)_x000D_
07 19 09:21:32 466 23023 23023 E AndroidRuntime:     at android app LoadedApk createOrUpdateClassLoaderLocked(LoadedApk java:695)_x000D_
07 19 09:21:32 466 23023 23023 E AndroidRuntime:     at android app LoadedApk getClassLoader(LoadedApk java:729)_x000D_
07 19 09:21:32 466 23023 23023 E AndroidRuntime:     at android app LoadedApk getResources(LoadedApk java:956)_x000D_
07 19 09:21:32 466 23023 23023 E AndroidRuntime:     at android app ContextImpl createAppContext(ContextImpl java:2270)_x000D_
07 19 09:21:32 466 23023 23023 E AndroidRuntime:     at android app ActivityThread handleBindApplication(ActivityThread java:5820)_x000D_
07 19 09:21:32 466 23023 23023 E AndroidRuntime:     at android app ActivityThread  wrap2(Unknown Source:0)_x000D_
07 19 09:21:32 466 23023 23023 E AndroidRuntime:     at android app ActivityThread H handleMessage(ActivityThread java:1717)_x000D_
07 19 09:21:32 466 23023 23023 E AndroidRuntime:         6 more_x000D_
07 19 09:21:32 466 23023 23023 E AndroidRuntime:   Suppressed: java io IOException: No original dex files found for dex location  data app com eventyay organizer 1NzJzzKp uRe2z2fyTp76g   split config xhdpi apk_x000D_
07 19 09:21:32 466 23023 23023 E AndroidRuntime:     at dalvik system DexFile openDexFileNative(Native Method)_x000D_
07 19 09:21:32 466 23023 23023 E AndroidRuntime:     at dalvik system DexFile openDexFile(DexFile java:353)_x000D_
07 19 09:21:32 466 23023 23023 E AndroidRuntime:     at dalvik system DexFile  init (DexFile java:100)_x000D_
07 19 09:21:32 466 23023 23023 E AndroidRuntime:     at dalvik system DexFile  init (DexFile java:74)_x000D_
07 19 09:21:32 466 23023 23023 E AndroidRuntime:     at dalvik system DexPathList loadDexFile(DexPathList java:374)_x000D_
07 19 09:21:32 466 23023 23023 E AndroidRuntime:     at dalvik system DexPathList makeDexElements(DexPathList java:337)_x000D_
07 19 09:21:32 466 23023 23023 E AndroidRuntime:     at dalvik system DexPathList  init (DexPathList java:157)_x000D_
07 19 09:21:32 466 23023 23023 E AndroidRuntime:     at dalvik system BaseDexClassLoader  init (BaseDexClassLoader java:65)_x000D_
07 19 09:21:32 466 23023 23023 E AndroidRuntime:     at dalvik system PathClassLoader  init (PathClassLoader java:64)_x000D_
07 19 09:21:32 466 23023 23023 E AndroidRuntime:     at com android internal os ClassLoaderFactory createClassLoader(ClassLoaderFactory java:73)_x000D_
07 19 09:21:32 466 23023 23023 E AndroidRuntime:     at com android internal os ClassLoaderFactory createClassLoader(ClassLoaderFactory java:88)_x000D_
07 19 09:21:32 466 23023 23023 E AndroidRuntime:     at android app ApplicationLoaders getClassLoader(ApplicationLoaders java:69)_x000D_
07 19 09:21:32 466 23023 23023 E AndroidRuntime:     at android app ApplicationLoaders getClassLoader(ApplicationLoaders java:35)_x000D_
07 19 09:21:32 466 23023 23023 E AndroidRuntime:     at android app LoadedApk createOrUpdateClassLoaderLocked(LoadedApk java:695)_x000D_
07 19 09:21:32 466 23023 23023 E AndroidRuntime:     at android app LoadedApk getClassLoader(LoadedApk java:729)_x000D_
07 19 09:21:32 466 23023 23023 E AndroidRuntime:     at android app LoadedApk getResources(LoadedApk java:956)_x000D_
07 19 09:21:32 466 23023 23023 E AndroidRuntime:     at android app ContextImpl createAppContext(ContextImpl java:2270)_x000D_
07 19 09:21:32 466 23023 23023 E AndroidRuntime:     at android app ActivityThread handleBindApplication(ActivityThread java:5820)SHADOT HOSSAN:_x000D_
07 19 09:21:32 466 23023 23023 E AndroidRuntime:     at android app ActivityThread  wrap2(Unknown Source:0)_x000D_
07 19 09:21:32 466 23023 23023 E AndroidRuntime:     at android app ActivityThread H handleMessage(ActivityThread java:1717)_x000D_
07 19 09:21:32 466 23023 23023 E AndroidRuntime:         6 more_x000D_
07 19 09:21:53 711 23698 23698 E AndroidRuntime: FATAL EXCEPTION: main_x000D_
07 19 09:21:53 711 23698 23698 E AndroidRuntime: Process: com eventyay organizer  PID: 23698_x000D_
07 19 09:21:53 711 23698 23698 E AndroidRuntime: java lang NoClassDefFoundError: Failed resolution of: Lcom google android gms R id _x000D_
07 19 09:21:53 711 23698 23698 E AndroidRuntime:   at com google android gms oss licenses OssLicensesMenuActivity a(Unknown Source:6)_x000D_
07 19 09:21:53 711 23698 23698 E AndroidRuntime:   at com google android gms oss licenses OssLicensesMenuActivity onCreate(Unknown Source:5)_x000D_
07 19 09:21:53 711 23698 23698 E AndroidRuntime:   at android app Activity performCreate(Activity java:7025)_x000D_
07 19 09:21:53 711 23698 23698 E AndroidRuntime:   at android app Activity performCreate(Activity java:7016)_x000D_
07 19 09:21:53 711 23698 23698 E AndroidRuntime:   at android app Instrumentation callActivityOnCreate(Instrumentation java:1217)_x000D_
07 19 09:21:53 711 23698 23698 E AndroidRuntime:   at android app ActivityThread performLaunchActivity(ActivityThread java:2812)_x000D_
07 19 09:21:53 711 23698 23698 E AndroidRuntime:   at android app ActivityThread handleLaunchActivity(ActivityThread java:2955)_x000D_
07 19 09:21:53 711 23698 23698 E AndroidRuntime:   at android app ActivityThread  wrap12(Unknown Source:0)_x000D_
07 19 09:21:53 711 23698 23698 E AndroidRuntime:   at android app ActivityThread H handleMessage(ActivityThread java:1650)_x000D_
07 19 09:21:53 711 23698 23698 E AndroidRuntime:   at android os Handler dispatchMessage(Handler java:106)_x000D_
07 19 09:21:53 711 23698 23698 E AndroidRuntime:   at android os Looper loop(Looper java:164)_x000D_
07 19 09:21:53 711 23698 23698 E AndroidRuntime:   at android app ActivityThread main(ActivityThread java:6747)_x000D_
07 19 09:21:53 711 23698 23698 E AndroidRuntime:   at java lang reflect Method invoke(Native Method)_x000D_
07 19 09:21:53 711 23698 23698 E AndroidRuntime:   at com android internal os RuntimeInit MethodAndArgsCaller run(RuntimeInit java:449)_x000D_
07 19 09:21:53 711 23698 23698 E AndroidRuntime:   at com android internal os ZygoteInit main(ZygoteInit java:807)_x000D_
07 19 09:21:53 711 23698 23698 E AndroidRuntime: Caused by: java lang ClassNotFoundException: Didn t find class  com google android gms R id  on path: DexPathList  zip file   data app com eventyay organizer 1NzJzzKp uRe2z2fyTp76g   base apk   zip file   data app com eventyay organizer 1NzJzzKp uRe2z2fyTp76g   split config en apk   zip file   data app com eventyay organizer 1NzJzzKp uRe2z2fyTp76g   split config xhdpi apk   nativeLibraryDirectories   data app com eventyay organizer 1NzJzzKp uRe2z2fyTp76g   lib arm   system lib   vendor lib  _x000D_
07 19 09:21:53 711 23698 23698 E AndroidRuntime:   at dalvik system BaseDexClassLoader findClass(BaseDexClassLoader java:125)_x000D_
07 19 09:21:53 711 23698 23698 E AndroidRuntime:   at java lang ClassLoader loadClass(ClassLoader java:379)_x000D_
07 19 09:21:53 711 23698 23698 E AndroidRuntime:   at java lang ClassLoader loadClass(ClassLoader java:312)_x000D_
07 19 09:21:53 711 23698 23698 E AndroidRuntime:       15 more_x000D_
07 19 09:21:53 711 23698 23698 E AndroidRuntime:   Suppressed: java io IOException: No original dex files found for dex location  data app com eventyay organizer 1NzJzzKp uRe2z2fyTp76g   split config en apk_x000D_
07 19 09:21:53 711 23698 23698 E AndroidRuntime:     at dalvik system DexFile openDexFileNative(Native Method)_x000D_
07 19 09:21:53 711 23698 23698 E AndroidRuntime:     at dalvik system DexFile openDexFile(DexFile java:353)_x000D_
07 19 09:21:53 711 23698 23698 E AndroidRuntime:     at dalvik system DexFile  init (DexFile java:100)_x000D_
07 19 09:21:53 711 23698 23698 E AndroidRuntime:     at dalvik system DexFile  init (DexFile java:74)_x000D_
07 19 09:21:53 711 23698 23698 E AndroidRuntime:     at dalvik system DexPathList loadDexFile(DexPathList java:374)SHADOT HOSSAN:_x000D_
07 19 09:21:53 711 23698 23698 E AndroidRuntime:     at dalvik system DexPathList makeDexElements(DexPathList java:337)_x000D_
07 19 09:21:53 711 23698 23698 E AndroidRuntime:     at dalvik system DexPathList  init (DexPathList java:157)_x000D_
07 19 09:21:53 711 23698 23698 E AndroidRuntime:     at dalvik system BaseDexClassLoader  init (BaseDexClassLoader java:65)_x000D_
07 19 09:21:53 711 23698 23698 E AndroidRuntime:     at dalvik system PathClassLoader  init (PathClassLoader java:64)_x000D_
07 19 09:21:53 711 23698 23698 E AndroidRuntime:     at com android internal os ClassLoaderFactory createClassLoader(ClassLoaderFactory java:73)_x000D_
07 19 09:21:53 711 23698 23698 E AndroidRuntime:     at com android internal os ClassLoaderFactory createClassLoader(ClassLoaderFactory java:88)_x000D_
07 19 09:21:53 711 23698 23698 E AndroidRuntime:     at android app ApplicationLoaders getClassLoader(ApplicationLoaders java:69)_x000D_
07 19 09:21:53 711 23698 23698 E AndroidRuntime:     at android app ApplicationLoaders getClassLoader(ApplicationLoaders java:35)_x000D_
07 19 09:21:53 711 23698 23698 E AndroidRuntime:     at android app LoadedApk createOrUpdateClassLoaderLocked(LoadedApk java:695)_x000D_
07 19 09:21:53 711 23698 23698 E AndroidRuntime:     at android app LoadedApk getClassLoader(LoadedApk java:729)_x000D_
07 19 09:21:53 711 23698 23698 E AndroidRuntime:     at android app LoadedApk getResources(LoadedApk java:956)_x000D_
07 19 09:21:53 711 23698 23698 E AndroidRuntime:     at android app ContextImpl createAppContext(ContextImpl java:2270)_x000D_
07 19 09:21:53 711 23698 23698 E AndroidRuntime:     at android app ActivityThread handleBindApplication(ActivityThread java:5820)_x000D_
07 19 09:21:53 711 23698 23698 E AndroidRuntime:     at android app ActivityThread  wrap2(Unknown Source:0)_x000D_
07 19 09:21:53 711 23698 23698 E AndroidRuntime:     at android app ActivityThread H handleMessage(ActivityThread java:1717)_x000D_
07 19 09:21:53 711 23698 23698 E AndroidRuntime:         6 more_x000D_
07 19 09:21:53 711 23698 23698 E AndroidRuntime:   Suppressed: java io IOException: No original dex files found for dex location  data app com eventyay organizer 1NzJzzKp uRe2z2fyTp76g   split config xhdpi apk_x000D_
07 19 09:21:53 711 23698 23698 E AndroidRuntime:     at dalvik system DexFile openDexFileNative(Native Method)_x000D_
07 19 09:21:53 711 23698 23698 E AndroidRuntime:     at dalvik system DexFile openDexFile(DexFile java:353)_x000D_
07 19 09:21:53 711 23698 23698 E AndroidRuntime:     at dalvik system DexFile  init (DexFile java:100)_x000D_
07 19 09:21:53 711 23698 23698 E AndroidRuntime:     at dalvik system DexFile  init (DexFile java:74)_x000D_
07 19 09:21:53 711 23698 23698 E AndroidRuntime:     at dalvik system DexPathList loadDexFile(DexPathList java:374)_x000D_
07 19 09:21:53 711 23698 23698 E AndroidRuntime:     at dalvik system DexPathList makeDexElements(DexPathList java:337)_x000D_
07 19 09:21:53 711 23698 23698 E AndroidRuntime:     at dalvik system DexPathList  init (DexPathList java:157)_x000D_
07 19 09:21:53 711 23698 23698 E AndroidRuntime:     at dalvik system BaseDexClassLoader  init (BaseDexClassLoader java:65)_x000D_
07 19 09:21:53 711 23698 23698 E AndroidRuntime:     at dalvik system PathClassLoader  init (PathClassLoader java:64)_x000D_
07 19 09:21:53 711 23698 23698 E AndroidRuntime:     at com android internal os ClassLoaderFactory createClassLoader(ClassLoaderFactory java:73)_x000D_
07 19 09:21:53 711 23698 23698 E AndroidRuntime:     at com android internal os ClassLoaderFactory createClassLoader(ClassLoaderFactory java:88)_x000D_
07 19 09:21:53 711 23698 23698 E AndroidRuntime:     at android app ApplicationLoaders getClassLoader(ApplicationLoaders java:69)_x000D_
07 19 09:21:53 711 23698 23698 E AndroidRuntime:     at android app ApplicationLoaders getClassLoader(ApplicationLoaders java:35)_x000D_
07 19 09:21:53 711 23698 23698 E AndroidRuntime:     at android app LoadedApk createOrUpdateClassLoaderLocked(LoadedApk java:695)_x000D_
07 19 09:21:53 711 23698 23698 E AndroidRuntime:     at android app LoadedApk getClassLoader(LoadedApk java:729)_x000D_
07 19 09:21:53 711 23698 23698 E AndroidRuntime:     at android app LoadedApk getResources(LoadedApk java:956)  code   pre _x000D_
</t>
  </si>
  <si>
    <t>Tencent-tinker-1166</t>
  </si>
  <si>
    <t>but we found loader classes are found in old secondary dex.</t>
  </si>
  <si>
    <t xml:space="preserve"> classpath  com tencent bugly:tinker support:1 1 5 _x000D_
classpath  com android tools build:gradle:3 2 1 _x000D_
distributionUrl https :  services gradle org distributions gradle 4 6 all zip_x000D_
_x000D_
_x000D_
 compile  com android support:multidex:1 0 3  _x000D_
    api  com tencent bugly:crashreport upgrade:1 3 6 _x000D_
    api  com tencent tinker:tinker android lib:1 9 9 _x000D_
    api  com tencent bugly:nativecrashreport:3 7 1  _x000D_
_x000D_
    tinker       classes2 dex     classes dex                           _x000D_
_x000D_
   </t>
  </si>
  <si>
    <t>material-components-material-components-android-452</t>
  </si>
  <si>
    <t>[NavigationView] App crashes when using NavigationView in alpha8</t>
  </si>
  <si>
    <t xml:space="preserve">  Description:   App crashes when inflating xml containing NavigationView   Error inflating class com google android material navigation NavigationView _x000D_
_x000D_
  Expected behavior:   No crash  unless I m doing something wrong that should be done differently _x000D_
_x000D_
  Source code:  _x000D_
   xml_x000D_
  xml version  1 0  encoding  utf 8   _x000D_
 androidx drawerlayout widget DrawerLayout xmlns:android  http:  schemas android com apk res android _x000D_
    xmlns:app  http:  schemas android com apk res auto _x000D_
    xmlns:tools  http:  schemas android com tools _x000D_
    android:id    id drawer layout _x000D_
    android:layout width  match parent _x000D_
    android:layout height  match parent _x000D_
    android:fitsSystemWindows  true _x000D_
    tools:context   views activities MainActivity _x000D_
    tools:openDrawer  start  _x000D_
_x000D_
     LinearLayout_x000D_
        android:layout width  match parent _x000D_
        android:layout height  match parent _x000D_
        android:orientation  vertical  _x000D_
_x000D_
         androidx appcompat widget Toolbar_x000D_
            android:id    id toolbar _x000D_
            android:layout width  match parent _x000D_
            android:layout height   attr actionBarSize _x000D_
            android:background   color colorPrimary _x000D_
            android:elevation  4dp _x000D_
            android:theme   style ThemeOverlay AppCompat Dark ActionBar _x000D_
            app:popupTheme   style ThemeOverlay AppCompat Light    _x000D_
_x000D_
         FrameLayout_x000D_
            android:id    id fragment container _x000D_
            android:layout width  match parent _x000D_
            android:layout height  match parent    _x000D_
_x000D_
      LinearLayout _x000D_
_x000D_
     com google android material navigation NavigationView_x000D_
        android:id    id nav view _x000D_
        android:layout width  wrap content _x000D_
        android:layout height  match parent _x000D_
        android:layout gravity  start _x000D_
        app:headerLayout   layout nav header _x000D_
        app:menu   menu drawer menu  _x000D_
_x000D_
      com google android material navigation NavigationView _x000D_
_x000D_
  androidx drawerlayout widget DrawerLayout _x000D_
   _x000D_
   kotlin_x000D_
class MainActivity : androidx core app AppCompatActivity()  _x000D_
      _x000D_
      _x000D_
      _x000D_
_x000D_
    override fun onCreate(savedInstanceState: Bundle )  _x000D_
        super onCreate(savedInstanceState)_x000D_
        setContentView(R layout activity main)         crashes here_x000D_
         _x000D_
         _x000D_
         _x000D_
     _x000D_
 _x000D_
   _x000D_
_x000D_
  Stack Trace  :_x000D_
_x000D_
   _x000D_
E AndroidRuntime: FATAL EXCEPTION: main_x000D_
    Process: shio at jdrop  PID: 5345_x000D_
    java lang RuntimeException: Unable to start activity ComponentInfo shio at jdrop shio at jdrop views activities MainActivity : android view InflateException: Binary XML file line  33: Binary XML file line  33: Error inflating class com google android material navigation NavigationView_x000D_
        at android app ActivityThread performLaunchActivity(ActivityThread java:2913)_x000D_
        at android app ActivityThread handleLaunchActivity(ActivityThread java:3048)_x000D_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java:1808)_x000D_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Caused by: android view InflateException: Binary XML file line  33: Binary XML file line  33: Error inflating class com google android material navigation NavigationView_x000D_
     Caused by: android view InflateException: Binary XML file line  33: Error inflating class com google android material navigation NavigationView_x000D_
     Caused by: java lang reflect InvocationTargetException_x000D_
        at java lang reflect Constructor newInstance0(Native Method)_x000D_
        at java lang reflect Constructor newInstance(Constructor java:343)_x000D_
        at android view LayoutInflater createView(LayoutInflater java:647)_x000D_
        at android view LayoutInflater createViewFromTag(LayoutInflater java:790)_x000D_
        at android view LayoutInflater createViewFromTag(LayoutInflater java:730)_x000D_
        at android view LayoutInflater rInflate(LayoutInflater java:863)_x000D_
        at android view LayoutInflater rInflateChildren(LayoutInflater java:824)_x000D_
        at android view LayoutInflater inflate(LayoutInflater java:515)_x000D_
        at android view LayoutInflater inflate(LayoutInflater java:423)_x000D_
        at android view LayoutInflater inflate(LayoutInflater java:374)_x000D_
        at androidx appcompat app AppCompatDelegateImpl setContentView(AppCompatDelegateImpl java:545)_x000D_
        at androidx appcompat app AppCompatActivity setContentView(AppCompatActivity java:161)_x000D_
        at shio at jdrop views activities MainActivity onCreate(MainActivity kt:40)_x000D_
        at android app Activity performCreate(Activity java:7136)_x000D_
        at android app Activity performCreate(Activity java:7127)_x000D_
        at android app Instrumentation callActivityOnCreate(Instrumentation java:1271)_x000D_
        at android app ActivityThread performLaunchActivity(ActivityThread java:2893)_x000D_
        at android app ActivityThread handleLaunchActivity(ActivityThread java:3048)_x000D_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java:1808)_x000D_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Caused by: java lang BootstrapMethodError: Exception from call site  16 bootstrap method_x000D_
        at com google android material internal ScrimInsetsFrameLayout  init (ScrimInsetsFrameLayout java:67)_x000D_
        at com google android material navigation NavigationView  init (NavigationView java:116)_x000D_
        at com google android material navigation NavigationView  init (NavigationView java:112)_x000D_
        at java lang reflect Constructor newInstance0(Native Method) _x000D_
        at java lang reflect Constructor newInstance(Constructor java:343) _x000D_
        at android view LayoutInflater createView(LayoutInflater java:647) _x000D_
        at android view LayoutInflater createViewFromTag(LayoutInflater java:790) _x000D_
        at android view LayoutInflater createViewFromTag(LayoutInflater java:730) _x000D_
        at android view LayoutInflater rInflate(LayoutInflater java:863) _x000D_
        at android view LayoutInflater rInflateChildren(LayoutInflater java:824) _x000D_
        at android view LayoutInflater inflate(LayoutInflater java:515) _x000D_
        at android view LayoutInflater inflate(LayoutInflater java:423) _x000D_
        at android view LayoutInflater inflate(LayoutInflater java:374) _x000D_
        at androidx appcompat app AppCompatDelegateImpl setContentView(AppCompatDelegateImpl java:545) _x000D_
        at androidx appcompat app AppCompatActivity setContentView(AppCompatActivity java:161) _x000D_
        at shio at jdrop views activities MainActivity onCreate(MainActivity kt:40) _x000D_
        at android app Activity performCreate(Activity java:7136) _x000D_
        at android app Activity performCreate(Activity java:7127) _x000D_
        at android app Instrumentation callActivityOnCreate(Instrumentation java:1271) _x000D_
        at android app ActivityThread performLaunchActivity(ActivityThread java:2893) _x000D_
        at android app ActivityThread handleLaunchActivity(ActivityThread java:3048) _x000D_
        at android app servertransaction LaunchActivityItem execute(LaunchActivityItem java:78) _x000D_
        at android app servertransaction TransactionExecutor executeCallbacks(TransactionExecutor java:108) _x000D_
        at android app servertransaction TransactionExecutor execute(TransactionExecutor java:68) _x000D_
        at android app ActivityThread H handleMessage(ActivityThread java:1808) _x000D_
        at android os Handler dispatchMessage(Handler java:106) _x000D_
        at android os Looper loop(Looper java:193) _x000D_
        at android app ActivityThread main(ActivityThread java:6669) _x000D_
        at java lang reflect Method invoke(Native Method) _x000D_
        at com android internal os RuntimeInit MethodAndArgsCaller run(RuntimeInit java:493) _x000D_
        at com android internal os ZygoteInit main(ZygoteInit java:858) _x000D_
E AndroidRuntime: Caused by: java lang ClassCastException: Bootstrap method returned null_x000D_
    	    31 more_x000D_
   _x000D_
_x000D_
  Android API version:   28_x000D_
_x000D_
  Material Library version:   1 1 0 alpha08 (works with alpha07)_x000D_
_x000D_
  Device:   Emulator</t>
  </si>
  <si>
    <t>osmdroid-osmdroid-1373</t>
  </si>
  <si>
    <t>Bing Maps fatal error</t>
  </si>
  <si>
    <t xml:space="preserve">   Issue Type_x000D_
_x000D_
    Question_x000D_
 X  Bug_x000D_
    Improvement_x000D_
    Build system related_x000D_
    Performance_x000D_
    Documentation_x000D_
_x000D_
_x000D_
   Description and or steps code to reproduce the problem_x000D_
Use Bing Maps Hybrid as a tile source  (with the same environment below)_x000D_
_x000D_
The Issue is an NPE at https:  github com osmdroid osmdroid blob master osmdroid android src main java org osmdroid tileprovider tilesource bing BingMapTileSource java L124_x000D_
_x000D_
I believe the mUrl is null which is throwing the exception  This ends up crashing the app with this stack trace:_x000D_
_x000D_
Fatal Exception: java lang NullPointerException: Attempt to invoke virtual method  int java lang String length()  on a null object reference_x000D_
       at java util Formatter parse   2545(Formatter java:2545)_x000D_
       at java util Formatter format   2504(Formatter java:2504)_x000D_
       at java util Formatter format   2458(Formatter java:2458)_x000D_
       at java lang String format   2770(String java:2770)_x000D_
       at org osmdroid tileprovider tilesource bing BingMapTileSource getTileURLString   124(BingMapTileSource java:124)_x000D_
       at org osmdroid tileprovider modules MapTileDownloader TileLoader loadTile   223(MapTileDownloader java:223)_x000D_
       at org osmdroid tileprovider MapTilePreCache search   125(MapTilePreCache java:125)_x000D_
       at org osmdroid tileprovider MapTilePreCache access 000   30(MapTilePreCache java:30)_x000D_
       at org osmdroid tileprovider MapTilePreCache 1 run   41(MapTilePreCache java:41)_x000D_
       at org osmdroid util GarbageCollector 1 run   31(GarbageCollector java:31)_x000D_
       at java lang Thread run   784(Thread java:784)_x000D_
_x000D_
_x000D_
_x000D_
_x000D_
   Environment_x000D_
Work in an area with bad internet or no internet_x000D_
_x000D_
    If it s a bug  version(s) of android this affects:_x000D_
_x000D_
All_x000D_
_x000D_
    Version of osmdroid the issue relates to:_x000D_
_x000D_
6 1 0_x000D_
_x000D_
_x000D_
_x000D_
</t>
  </si>
  <si>
    <t>fossasia-neurolab-android-366</t>
  </si>
  <si>
    <t>App Crash while directly importing from logger</t>
  </si>
  <si>
    <t xml:space="preserve">  Describe the bug  _x000D_
App Crash while directly importing from logger_x000D_
_x000D_
  Expected Behavior  _x000D_
App should not crash while directly importing from logger_x000D_
_x000D_
  Steps to reproduce it  _x000D_
Install app  import data in a program from data logger _x000D_
_x000D_
  Would you like to work on the issue   _x000D_
Yes_x000D_
</t>
  </si>
  <si>
    <t>LawnchairLauncher-lawnchair-1659</t>
  </si>
  <si>
    <t xml:space="preserve">[BUG] Blur does not work. </t>
  </si>
  <si>
    <t xml:space="preserve">_x000D_
Blur does not work  and makes pixels instead _x000D_
_x000D_
  IMG 20190717 045327 495 (https:  user images githubusercontent com 52997187 61362210 cd320180 a84f 11e9 8584 1d5e563e1781 JPG)_x000D_
_x000D_
   Description_x000D_
I turned the blur on  it did not work and made orange  pink and yellow pixels  _x000D_
It s a bummer  because the blur is one of my favorite Lawnchair features _x000D_
_x000D_
_x000D_
   Expected Behavior_x000D_
The blur should work as normal  _x000D_
_x000D_
_x000D_
   Actual Behavior_x000D_
Did not work and made strange pixels  _x000D_
_x000D_
_x000D_
   Steps to Reproduce_x000D_
      Provide a link to a live example (screenshot recording etc  )  or a set of steps to reproduce the issue    _x000D_
_x000D_
1  All I did was turn on the blur _x000D_
NOTE: I have a normal Wallpaper  it s not live and does not change _x000D_
NOTE: Lawnchair didn t crash  it continued working normally  the blur just didn t work 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Huawei Y5 Lite (2018)_x000D_
  Android version: 8 1 0 (Android Go)_x000D_
  Launcher version: Latest version as of July 17_x000D_
  Rom:_x000D_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your log here_x000D_
   _x000D_
</t>
  </si>
  <si>
    <t>awslabs-aws-mobile-appsync-sdk-android-202</t>
  </si>
  <si>
    <t>Uncaught "Call is cancelled" subscription exception</t>
  </si>
  <si>
    <t xml:space="preserve">  Describe the bug  _x000D_
An uncaught exception in the subscription code is crashing Android apps  There is evidently no way to prevent this from occurring _x000D_
_x000D_
  To Reproduce  _x000D_
Not commonly reproducable  Might be a multithreading problem  However  the code in question is obviously a poor way to handle the problem _x000D_
_x000D_
  Expected behavior  _x000D_
The exception is caught and logged or ignored _x000D_
_x000D_
  Environment  _x000D_
   AppSync SDK Version:  2 10 0 _x000D_
_x000D_
  Device Information  _x000D_
   Device: Pixel 2 API 28 Emulator  29 0 12 5613046 _x000D_
  Android version:  9 0 (Pie)   API 28 _x000D_
_x000D_
  Stacktrace  _x000D_
_x000D_
   _x000D_
java lang RuntimeException: Cancelled_x000D_
        at com apollographql apollo internal RealAppSyncSubscriptionCall 1 run(RealAppSyncSubscriptionCall java:80)_x000D_
        at java lang Thread run(Thread java:764)_x000D_
     Caused by: com apollographql apollo exception ApolloCanceledException: Call is cancelled _x000D_
        at com apollographql apollo internal RealAppSyncSubscriptionCall 1 run(RealAppSyncSubscriptionCall java:80) _x000D_
        at java lang Thread run(Thread java:764) _x000D_
   </t>
  </si>
  <si>
    <t>LawnchairLauncher-lawnchair-1658</t>
  </si>
  <si>
    <t>Square of wallpaper in navbar when scrolling in app drawer</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</si>
  <si>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When I open app drawer and I scroll down up I see a square of my wallpaper on the navigation bar  It  flashes  there  I also tried to reset my settings  and I did not set anything  and the issue persisted _x000D_
_x000D_
   Steps to Reproduce_x000D_
      Provide a link to a live example (screenshot recording etc  )  or a set of steps to reproduce the issue    _x000D_
_x000D_
1  open app drawer_x000D_
2  scroll down or up_x000D_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Nokia 6 1 (2018)_x000D_
  Android version: Pie June patch_x000D_
  Launcher version: 2 0 2319_x000D_
  Rom: Android One_x000D_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sadly I don t have log  but I have screenshot_x000D_
_x000D_
  AirPlay Screenshot 2019 07 16 07 36 49 kopie (https:  user images githubusercontent com 5942380 61317779 faf15900 a803 11e9 9bf3 a7ad6a09749a png)_x000D_
_x000D_
</t>
  </si>
  <si>
    <t>stefan-niedermann-nextcloud-notes-564</t>
  </si>
  <si>
    <t>"TransactionTooLargeException: data parcel size 552920 bytes" with large note on activity lost focus</t>
  </si>
  <si>
    <t xml:space="preserve">Hello  I use nextcloud notes android client 0 24 3 on android 8 _x000D_
_x000D_
1  Create new note_x000D_
2  Put inside some large enough text_x000D_
3  Press  show desktop  or  show opened applications  system button  so the notes activity will lose focus while note editor is opened_x000D_
_x000D_
result: application crash with exception:_x000D_
_x000D_
   _x000D_
java lang RuntimeException: android os TransactionTooLargeException: data parcel size 552920 bytes_x000D_
	at android app ActivityThread StopInfo run(ActivityThread java:4057)_x000D_
	at android os Handler handleCallback(Handler java:793)_x000D_
	at android os Handler dispatchMessage(Handler java:98)_x000D_
	at android os Looper loop(Looper java:176)_x000D_
	at android app ActivityThread main(ActivityThread java:6701)_x000D_
	at java lang reflect Method invoke(Native Method)_x000D_
	at com android internal os Zygote MethodAndArgsCaller run(Zygote java:249)_x000D_
	at com android internal os ZygoteInit main(ZygoteInit java:783)_x000D_
Caused by: android os TransactionTooLargeException: data parcel size 552920 bytes_x000D_
	at android os BinderProxy transactNative(Native Method)_x000D_
	at android os BinderProxy transact(Binder java:758)_x000D_
	at android app IActivityManager Stub Proxy activityStopped(IActivityManager java:4736)_x000D_
	at android app ActivityThread StopInfo run(ActivityThread java:4049)_x000D_
	    7 more_x000D_
   _x000D_
_x000D_
The note itself stays safe  though _x000D_
_x000D_
Evedently  the problem happens when the app activity tries to save its state on activity stop event and exceeds data parcel to save size limit </t>
  </si>
  <si>
    <t>miguelpruivo-flutter_file_picker-107</t>
  </si>
  <si>
    <t>NullPointerException on FilePickerPlugin$1.onActivityResult in certain Android devices</t>
  </si>
  <si>
    <t>My app is crashing in some Android devices with a NullPointerException _x000D_
_x000D_
Unfortunately I ve been unable to reproduce the issue in my device  The crash logs came from Google s Developer Console and points to a NPE in  FilePickerPlugin 1 onActivityResult  but without a line number _x000D_
_x000D_
Taking a look into this method on version 1 3 7 pointed me to this suspect piece of code  On line 59  of  com mr flutter plugin filepicker FilePickerPlugin  you have  if(data getClipData()    null)    yet on line 78 you have an else for that if written as    else if (data    null)     This  else  block won t ever be reached and Android Studio even warns about that _x000D_
_x000D_
I don t know if  data  being null on line 59 is the cause of this NPE but the rest of the code seems fine so I would start taking a look there _x000D_
_x000D_
Below is the stack trace of the crash  If I m able to reproduce this in my device I ll post more details _x000D_
_x000D_
  java lang RuntimeException: _x000D_
    at android app ActivityThread performResumeActivity (ActivityThread java:3469)_x000D_
    at android app ActivityThread handleResumeActivity (ActivityThread java:3509)_x000D_
    at android app ActivityThread handleLaunchActivity (ActivityThread java:2772)_x000D_
    at android app ActivityThread  wrap12 (ActivityThread java)_x000D_
    at android app ActivityThread H handleMessage (ActivityThread java:1507)_x000D_
    at android os Handler dispatchMessage (Handler java:102)_x000D_
    at android os Looper loop (Looper java:154)_x000D_
    at android app ActivityThread main (ActivityThread java:6236)_x000D_
    at java lang reflect Method invoke (Method java)_x000D_
    at com android internal os ZygoteInit MethodAndArgsCaller run (ZygoteInit java:891)_x000D_
    at com android internal os ZygoteInit main (ZygoteInit java:781)_x000D_
  Caused by: java lang RuntimeException: _x000D_
    at android app ActivityThread deliverResults (ActivityThread java:4141)_x000D_
    at android app ActivityThread performResumeActivity (ActivityThread java:3443)_x000D_
    at android app ActivityThread handleResumeActivity (ActivityThread java:3509)_x000D_
    at android app ActivityThread handleLaunchActivity (ActivityThread java:2772)_x000D_
    at android app ActivityThread  wrap12 (ActivityThread java)_x000D_
    at android app ActivityThread H handleMessage (ActivityThread java:1507)_x000D_
    at android os Handler dispatchMessage (Handler java:102)_x000D_
    at android os Looper loop (Looper java:154)_x000D_
    at android app ActivityThread main (ActivityThread java:6236)_x000D_
    at java lang reflect Method invoke (Method java)_x000D_
    at com android internal os ZygoteInit MethodAndArgsCaller run (ZygoteInit java:891)_x000D_
    at com android internal os ZygoteInit main (ZygoteInit java:781)_x000D_
  Caused by: java lang NullPointerException: _x000D_
    at com mr flutter plugin filepicker FilePickerPlugin 1 onActivityResult (FilePickerPlugin java)_x000D_
    at io flutter app FlutterPluginRegistry onActivityResult (FlutterPluginRegistry java)_x000D_
    at io flutter app FlutterActivityDelegate onActivityResult (FlutterActivityDelegate java)_x000D_
    at io flutter app FlutterActivity onActivityResult (FlutterActivity java)_x000D_
    at br com cosmiceffect app cosmiccollection MainActivity onActivityResult (MainActivity java)_x000D_
    at android app Activity dispatchActivityResult (Activity java:6937)_x000D_
    at android app ActivityThread deliverResults (ActivityThread java:4137)_x000D_
    at android app ActivityThread performResumeActivity (ActivityThread java:3443)_x000D_
    at android app ActivityThread handleResumeActivity (ActivityThread java:3509)_x000D_
    at android app ActivityThread handleLaunchActivity (ActivityThread java:2772)_x000D_
    at android app ActivityThread  wrap12 (ActivityThread java)_x000D_
    at android app ActivityThread H handleMessage (ActivityThread java:1507)_x000D_
    at android os Handler dispatchMessage (Handler java:102)_x000D_
    at android os Looper loop (Looper java:154)_x000D_
    at android app ActivityThread main (ActivityThread java:6236)_x000D_
    at java lang reflect Method invoke (Method java)_x000D_
    at com android internal os ZygoteInit MethodAndArgsCaller run (ZygoteInit java:891)_x000D_
    at com android internal os ZygoteInit main (ZygoteInit java:781)</t>
  </si>
  <si>
    <t>nextcloud-android-4229</t>
  </si>
  <si>
    <t>Crasher after giving permission to storage</t>
  </si>
  <si>
    <t xml:space="preserve">  Note:   It is only on my Pixel 3 the NextCloud app does not work everything work on my Nexus 5X_x000D_
_x000D_
    Steps to reproduce_x000D_
1  Uninstall the Nextcloud (Dev) app_x000D_
2  Installing Nextcloud (Dev) from F Droid_x000D_
3  Login in to my NextCloud server_x000D_
4  Get prompt to allow access to storage_x000D_
5  the NextCloud app crasher and keeps doing so every time I start it_x000D_
_x000D_
_x000D_
    Expected behaviour_x000D_
I expected it to show me the files on my server_x000D_
_x000D_
    Actual behaviour_x000D_
After login in to my NextCloud instance  the NextCloud app crasher and keeps doing so every time I start it_x000D_
_x000D_
_x000D_
   Server configuration detail_x000D_
_x000D_
  Operating system:   Linux 4 15 0 54 generic  58 Ubuntu SMP Mon Jun 24 10:55:24 UTC 2019 x86 64_x000D_
_x000D_
  Webserver:   nginx 1 14 0 (fpm fcgi)_x000D_
_x000D_
  Database:   mysql 10 4 6_x000D_
_x000D_
  PHP version:   _x000D_
_x000D_
7 3 7_x000D_
Modules loaded: Core  date  libxml  openssl  pcre  sqlite3  zlib  ctype  curl  dom  fileinfo  filter  ftp  hash  iconv  json  mbstring  SPL  PDO  session  posix  readline  Reflection  standard  SimpleXML  pdo sqlite  Phar  tokenizer  xml  xmlreader  xmlwriter  mysqlnd  cgi fcgi  apcu  exif  gd  imagick  intl  ldap  memcached  pcntl  pdo mysql  pdo pgsql  redis  sodium  zip  Zend OPcache_x000D_
_x000D_
  Nextcloud version:   15 0 10   15 0 10 0_x000D_
_x000D_
  Updated from an older Nextcloud ownCloud or fresh install:   _x000D_
_x000D_
  Where did you install Nextcloud from:   https:  hub docker com   nextcloud_x000D_
_x000D_
 details  summary Signing status  summary _x000D_
_x000D_
Array_x000D_
(_x000D_
)_x000D_
_x000D_
  details _x000D_
_x000D_
 details  summary List of activated apps  summary _x000D_
_x000D_
   _x000D_
Enabled:_x000D_
   accessibility: 1 1 0_x000D_
   activity: 2 8 2_x000D_
   camerarawpreviews: 0 7 0_x000D_
   cloud federation api: 0 1 0_x000D_
   comments: 1 5 0_x000D_
   dav: 1 8 2_x000D_
   federatedfilesharing: 1 5 0_x000D_
   federation: 1 5 0_x000D_
   files: 1 10 0_x000D_
   files external: 1 6 0_x000D_
   files fulltextsearch: 1 2 8_x000D_
   files markdown: 2 0 6_x000D_
   files pdfviewer: 1 4 0_x000D_
   files rightclick: 0 13 0_x000D_
   files sharing: 1 7 0_x000D_
   files texteditor: 2 7 0_x000D_
   files trashbin: 1 5 0_x000D_
   files versions: 1 8 0_x000D_
   files videoplayer: 1 4 0_x000D_
   firstrunwizard: 2 4 0_x000D_
   fulltextsearch: 1 2 9_x000D_
   fulltextsearch elasticsearch: 1 2 6_x000D_
   gallery: 18 2 0_x000D_
   group everyone: 0 1 2_x000D_
   groupfolders: 3 0 2_x000D_
   issuetemplate: 0 5 0_x000D_
   logreader: 2 0 0_x000D_
   lookup server connector: 1 3 0_x000D_
   nextcloud announcements: 1 4 0_x000D_
   notifications: 2 3 0_x000D_
   oauth2: 1 3 0_x000D_
   onlyoffice: 2 4 0_x000D_
   password policy: 1 5 0_x000D_
   previewgenerator: 2 1 0_x000D_
   provisioning api: 1 5 0_x000D_
   richdocuments: 3 3 13_x000D_
   serverinfo: 1 5 0_x000D_
   sharebymail: 1 5 0_x000D_
   support: 1 0 0_x000D_
   survey client: 1 3 0_x000D_
   systemtags: 1 5 0_x000D_
   theming: 1 6 0_x000D_
   twofactor backupcodes: 1 4 1_x000D_
   updatenotification: 1 5 0_x000D_
   workflowengine: 1 5 0_x000D_
Disabled:_x000D_
   admin audit_x000D_
   encryption_x000D_
   user ldap_x000D_
_x000D_
   _x000D_
  details _x000D_
_x000D_
 details  summary Configuration (config config php)  summary _x000D_
_x000D_
   _x000D_
 _x000D_
     memcache local :    OC  Memcache  APCu  _x000D_
     apps paths :  _x000D_
         _x000D_
             path :    var  www  html  apps  _x000D_
             url :    apps  _x000D_
             writable : false_x000D_
          _x000D_
         _x000D_
             path :    var  www  html  custom apps  _x000D_
             url :    custom apps  _x000D_
             writable : true_x000D_
         _x000D_
      _x000D_
     instanceid :     REMOVED SENSITIVE VALUE     _x000D_
     passwordsalt :     REMOVED SENSITIVE VALUE     _x000D_
     secret :     REMOVED SENSITIVE VALUE     _x000D_
     trusted domains :  _x000D_
         nextcloud best aau dk _x000D_
      _x000D_
     datadirectory :     REMOVED SENSITIVE VALUE     _x000D_
     dbtype :  mysql  _x000D_
     version :  15 0 10 0  _x000D_
     overwrite cli url :  https:    nextcloud best aau dk  _x000D_
     dbname :     REMOVED SENSITIVE VALUE     _x000D_
     dbhost :     REMOVED SENSITIVE VALUE     _x000D_
     dbport :    _x000D_
     dbtableprefix :    _x000D_
     mysql utf8mb4 : true _x000D_
     dbuser :     REMOVED SENSITIVE VALUE     _x000D_
     dbpassword :     REMOVED SENSITIVE VALUE     _x000D_
     installed : true _x000D_
     updater release channel :  production  _x000D_
     mail from address :     REMOVED SENSITIVE VALUE     _x000D_
     mail smtpmode :  smtp  _x000D_
     mail domain :     REMOVED SENSITIVE VALUE     _x000D_
     mail smtphost :     REMOVED SENSITIVE VALUE     _x000D_
     mail smtpport :  25  _x000D_
     maintenance : false _x000D_
     loglevel : 2_x000D_
 _x000D_
   _x000D_
  details _x000D_
_x000D_
  Are you using external storage  if yes which one:   local_x000D_
_x000D_
  Are you using encryption:   false_x000D_
_x000D_
  Are you using an external user backend  if yes which one:   _x000D_
_x000D_
   Client configuration_x000D_
_x000D_
  Browser:   Firefox_x000D_
_x000D_
  Operating system:   Linux_x000D_
_x000D_
   Logs_x000D_
_x000D_
 details  summary Web server error log  summary _x000D_
_x000D_
   _x000D_
I am not sure what log you want here  just everything from nginx _x000D_
   _x000D_
  details _x000D_
_x000D_
 details  summary Nextcloud log  summary _x000D_
_x000D_
   _x000D_
  reqId : ycHAlvEIhZoPaywByB6K   level :1  time : 2019 07 12T17:38:57 00:00   remoteAddr :    user :      app : updater   method :    url :      message :   OC  Repair::info: Repair info: 0 tag entries for deleted tags have been removed    userAgent :      version : 15 0 8 1  _x000D_
  reqId : ycHAlvEIhZoPaywByB6K   level :1  time : 2019 07 12T17:38:57 00:00   remoteAddr :    user :      app : updater   method :    url :      message :   OC  Repair::info: Repair info: 0 tags with no entries have been removed    userAgent :      version : 15 0 8 1  _x000D_
  reqId : ycHAlvEIhZoPaywByB6K   level :1  time : 2019 07 12T17:38:57 00:00   remoteAddr :    user :      app : updater   method :    url :      message :   OC  Repair::step: Repair step: Repair invalid shares   userAgent :      version : 15 0 8 1  _x000D_
  reqId : ycHAlvEIhZoPaywByB6K   level :1  time : 2019 07 12T17:38:57 00:00   remoteAddr :    user :      app : updater   method :    url :      message :   OC  Repair::step: Repair step: Remove shares of a users root folder   userAgent :      version : 15 0 8 1  _x000D_
  reqId : ycHAlvEIhZoPaywByB6K   level :1  time : 2019 07 12T17:38:57 00:00   remoteAddr :    user :      app : updater   method :    url :      message :   OC  Repair::step: Repair step: Move  step file of updater to backup location   userAgent :      version : 15 0 8 1  _x000D_
  reqId : ycHAlvEIhZoPaywByB6K   level :1  time : 2019 07 12T17:38:57 00:00   remoteAddr :    user :      app : updater   method :    url :      message :   OC  Repair::step: Repair step: Fix potential broken mount points   userAgent :      version : 15 0 8 1  _x000D_
  reqId : ycHAlvEIhZoPaywByB6K   level :1  time : 2019 07 12T17:38:57 00:00   remoteAddr :    user :      app : updater   method :    url :      message :   OC  Repair::info: Repair info: No mounts updated   userAgent :      version : 15 0 8 1  _x000D_
  reqId : ycHAlvEIhZoPaywByB6K   level :1  time : 2019 07 12T17:38:57 00:00   remoteAddr :    user :      app : updater   method :    url :      message :   OC  Repair::step: Repair step: Repair invalid paths in file cache   userAgent :      version : 15 0 8 1  _x000D_
  reqId : ycHAlvEIhZoPaywByB6K   level :1  time : 2019 07 12T17:38:57 00:00   remoteAddr :    user :      app : updater   method :    url :      message :   OC  Repair::step: Repair step: Add log rotate job   userAgent :      version : 15 0 8 1  _x000D_
  reqId : ycHAlvEIhZoPaywByB6K   level :1  time : 2019 07 12T17:38:57 00:00   remoteAddr :    user :      app : updater   method :    url :      message :   OC  Repair::step: Repair step: Clear frontend caches   userAgent :      version : 15 0 8 1  _x000D_
  reqId : ycHAlvEIhZoPaywByB6K   level :1  time : 2019 07 12T17:38:57 00:00   remoteAddr :    user :      app : updater   method :    url :      message :   OC  Repair::info: Repair info: Image cache cleared   userAgent :      version : 15 0 8 1  _x000D_
  reqId : ycHAlvEIhZoPaywByB6K   level :1  time : 2019 07 12T17:38:59 00:00   remoteAddr :    user :      app : updater   method :    url :      message :   OC  Repair::info: Repair info: SCSS cache cleared   userAgent :      version : 15 0 8 1  _x000D_
  reqId : ycHAlvEIhZoPaywByB6K   level :1  time : 2019 07 12T17:39:00 00:00   remoteAddr :    user :      app : updater   method :    url :      message :   OC  Repair::info: Repair info: JS cache cleared   userAgent :      version : 15 0 8 1  _x000D_
  reqId : ycHAlvEIhZoPaywByB6K   level :1  time : 2019 07 12T17:39:00 00:00   remoteAddr :    user :      app : updater   method :    url :      message :   OC  Repair::step: Repair step: Clear every generated avatar on major updates   userAgent :      version : 15 0 8 1  _x000D_
  reqId : ycHAlvEIhZoPaywByB6K   level :1  time : 2019 07 12T17:39:00 00:00   remoteAddr :    user :      app : updater   method :    url :      message :   OC  Repair::step: Repair step: Add preview background cleanup job   userAgent :      version : 15 0 8 1  _x000D_
  reqId : ycHAlvEIhZoPaywByB6K   level :1  time : 2019 07 12T17:39:00 00:00   remoteAddr :    user :      app : updater   method :    url :      message :   OC  Repair::step: Repair step: Queue a one time job to cleanup old backups of the updater   userAgent :      version : 15 0 8 1  _x000D_
  reqId : ycHAlvEIhZoPaywByB6K   level :1  time : 2019 07 12T17:39:00 00:00   remoteAddr :    user :      app : updater   method :    url :      message :   OC  Repair::step: Repair step: Repair pending cron jobs   userAgent :      version : 15 0 8 1  _x000D_
  reqId : ycHAlvEIhZoPaywByB6K   level :1  time : 2019 07 12T17:39:00 00:00   remoteAddr :    user :      app : updater   method :    url :      message :   OC  Repair::info: Repair info: No need to repair pending cron jobs    userAgent :      version : 15 0 8 1  _x000D_
  reqId : ycHAlvEIhZoPaywByB6K   level :1  time : 2019 07 12T17:39:00 00:00   remoteAddr :    user :      app : updater   method :    url :      message :   OC  Repair::step: Repair step: Extract the vcard uid and store it in the db   userAgent :      version : 15 0 8 1  _x000D_
  reqId : ycHAlvEIhZoPaywByB6K   level :1  time : 2019 07 12T17:39:00 00:00   remoteAddr :    user :      app : updater   method :    url :      message :   OC  Repair::step: Repair step: Remove potentially over exposing share links   userAgent :      version : 15 0 8 1  _x000D_
  reqId : ycHAlvEIhZoPaywByB6K   level :1  time : 2019 07 12T17:39:00 00:00   remoteAddr :    user :      app : updater   method :    url :      message :   OC  Repair::info: Repair info: No need to remove link shares    userAgent :      version : 15 0 8 1  _x000D_
  reqId : ycHAlvEIhZoPaywByB6K   level :1  time : 2019 07 12T17:39:00 00:00   remoteAddr :    user :      app : updater   method :    url :      message :   OC  Updater::startCheckCodeIntegrity: Starting code integrity check      userAgent :      version : 15 0 8 1  _x000D_
  reqId : ycHAlvEIhZoPaywByB6K   level :1  time : 2019 07 12T17:39:14 00:00   remoteAddr :    user :      app : updater   method :    url :      message :   OC  Updater::finishedCheckCodeIntegrity: Finished code integrity check   userAgent :      version : 15 0 8 1  _x000D_
  reqId : ycHAlvEIhZoPaywByB6K   level :1  time : 2019 07 12T17:39:14 00:00   remoteAddr :    user :      app : updater   method :    url :      message :   OC  Updater::updateEnd: Update successful   userAgent :      version : 15 0 10 0  _x000D_
  reqId : ycHAlvEIhZoPaywByB6K   level :1  time : 2019 07 12T17:39:14 00:00   remoteAddr :    user :      app : updater   method :    url :      message :   OC  Updater::maintenanceDisabled: Turned off maintenance mode   userAgent :      version : 15 0 10 0  _x000D_
  reqId : ycHAlvEIhZoPaywByB6K   level :1  time : 2019 07 12T17:39:14 00:00   remoteAddr :    user :      app : updater   method :    url :      message :   OC  Updater::resetLogLevel: Reset log level to Warning(2)   userAgent :      version : 15 0 10 0  _x000D_
  reqId : 9KTiubc5sggpG6wV5dYx   level :2  time : 2019 07 13T18:59:50 00:00   remoteAddr : 10 16 2 1   user :      app : fulltextsearch   method : GET   url :   cron php   message : Exception while cronIndex: OCA  FullTextSearch  Exceptions  RunnerAlreadyUpException   Index is already running   userAgent : Lge Nexus 5X   version : 15 0 10 0  _x000D_
   _x000D_
  details _x000D_
_x000D_
 details  summary Browser log  summary _x000D_
_x000D_
Insert your browser log here  this could for example include:_x000D_
No quite sure how to do this_x000D_
  details _x000D_
_x000D_
</t>
  </si>
  <si>
    <t>fossasia-pslab-android-1872</t>
  </si>
  <si>
    <t>Crash on opening gyroscope configuration menu</t>
  </si>
  <si>
    <t xml:space="preserve">  Actual Behaviour  _x000D_
_x000D_
crash when configuration menu is opened in gyroscope_x000D_
_x000D_
  Expected Behaviour  _x000D_
_x000D_
crash should not happen_x000D_
_x000D_
  Steps to reproduce it  _x000D_
_x000D_
Open gyroscope configuration_x000D_
_x000D_
  LogCat for the issue  _x000D_
_x000D_
 Caused by: java lang NullPointerException: Attempt to invoke virtual method  java lang String android support v7 preference EditTextPreference getText()  on a null object reference_x000D_
        at io pslab fragment GyroscopeSettingsFragment onResume(GyroscopeSettingsFragment java:51)_x000D_
        at android support v4 app Fragment performResume(Fragment java:2498)_x000D_
        at android support v4 app FragmentManagerImpl moveToState(FragmentManager java:1501)_x000D_
        at android support v4 app FragmentManagerImpl moveFragmentToExpectedState(FragmentManager java:1784)_x000D_
        at android support v4 app FragmentManagerImpl moveToState(FragmentManager java:1852)_x000D_
        at android support v4 app FragmentManagerImpl dispatchStateChange(FragmentManager java:3269)_x000D_
        at android support v4 app FragmentManagerImpl dispatchResume(FragmentManager java:3241)_x000D_
        at android support v4 app FragmentController dispatchResume(FragmentController java:223)_x000D_
        at android support v4 app FragmentActivity onResumeFragments(FragmentActivity java:538)_x000D_
        at android support v4 app FragmentActivity onPostResume(FragmentActivity java:527)_x000D_
        at android support v7 app AppCompatActivity onPostResume(AppCompatActivity java:172)_x000D_
        at android app Activity performResume(Activity java:7583)_x000D_
        at android app ActivityThread performResumeActivity(ActivityThread java:4007)_x000D_
        at android app ActivityThread handleResumeActivity(ActivityThread java:4047) _x000D_
        at android app servertransaction ResumeActivityItem execute(ResumeActivityItem java:51) _x000D_
        at android app servertransaction TransactionExecutor executeLifecycleState(TransactionExecutor java:145) _x000D_
        at android app servertransaction TransactionExecutor execute(TransactionExecutor java:70) _x000D_
        at android app ActivityThread H handleMessage(ActivityThread java:1955) _x000D_
        at android os Handler dispatchMessage(Handler java:106) _x000D_
        at android os Looper loop(Looper java:214) _x000D_
        at android app ActivityThread main(ActivityThread java:7073) _x000D_
        at java lang reflect Method invoke(Native Method) _x000D_
        at com android internal os RuntimeInit MethodAndArgsCaller run(RuntimeInit java:493) _x000D_
        at com android internal os ZygoteInit main(ZygoteInit java:974) _x000D_
_x000D_
  Screenshots of the issue  _x000D_
_x000D_
N A_x000D_
_x000D_
  Would you like to work on the issue   _x000D_
_x000D_
Yes_x000D_
</t>
  </si>
  <si>
    <t>nextcloud-android-4227</t>
  </si>
  <si>
    <t>sync crashes if file is added to media dir by other app</t>
  </si>
  <si>
    <t xml:space="preserve">    Actual behaviour_x000D_
  use another app to create a new file in a sync ed dir _x000D_
  tell nextcloud to sync_x000D_
  sync crashes   nextcloud had stopped _x000D_
_x000D_
    Expected behaviour_x000D_
_x000D_
  nextcloud should find the new file and sync it (upload it)  this is how the other sync clients work on desktop_x000D_
 _x000D_
    Steps to reproduce_x000D_
1  Sync a dir_x000D_
2  Use other app to create file in the directory that NC has created and put these sync ed files in_x000D_
3  In NC tap menu by the dir and choose sync_x000D_
4  Wait_x000D_
5  Crashes_x000D_
_x000D_
_x000D_
_x000D_
    Environment data_x000D_
Android version:8 1_x000D_
_x000D_
Device model: Moto g5 _x000D_
_x000D_
Stock or customized system:_x000D_
_x000D_
Nextcloud app version: 3 7_x000D_
_x000D_
Nextcloud server version:15 0 8_x000D_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</si>
  <si>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fennifith-Alarmio-61</t>
  </si>
  <si>
    <t>Snooze</t>
  </si>
  <si>
    <t xml:space="preserve">    _x000D_
Please verify that there are no duplicate issues before creating one  and check that you are using the latest version of the app _x000D_
For crash reports and other bugs and errors  please use the template below to add your device info so that I can find the cause more easily _x000D_
For the angels that are contributing   building the app yourself  please read CONTRIBUTING md (in   github) before reporting any issues as there are certain instructions you must follow to compile a working version of the app _x000D_
   _x000D_
_x000D_
   Device Info_x000D_
_x000D_
  Brand:  Nokia _x000D_
  Model name:  Nokia 6 1 _x000D_
  Android version:  Android 9 _x000D_
_x000D_
   Steps to Reproduce_x000D_
_x000D_
  Add new alarm_x000D_
  Snooze alarm_x000D_
_x000D_
   Expected behaviour_x000D_
Silence for 2 minutes until repeat alarm _x000D_
_x000D_
   Actual behaviour_x000D_
The alarm clock (timer) is still ringing:  video (https:  devtube dev wiki de videos watch 0024fc97 d9bf 45eb a0e8 51ab11aa8a02)_x000D_
Note: This ringing is different than adjusted alarm sound   it is system notification sound _x000D_
</t>
  </si>
  <si>
    <t>MozillaReality-FirefoxReality-1392</t>
  </si>
  <si>
    <t>Crash when showing a choice prompt</t>
  </si>
  <si>
    <t xml:space="preserve">   Hardware_x000D_
All_x000D_
_x000D_
   Steps to Reproduce_x000D_
1  Go to https:  www w3schools com tags tryit asp filename tryhtml optgroup_x000D_
2  Click on the dropdown_x000D_
_x000D_
   Current Behavior_x000D_
      If describing a bug  tell us what happens instead of the expected behavior     _x000D_
      If suggesting a change improvement  explain the difference from current behavior     _x000D_
The app crashes_x000D_
_x000D_
   Expected Behavior_x000D_
      If you re describing a bug  tell us what should happen     _x000D_
      If you re suggesting a change improvement  tell us how it should work     _x000D_
The app should show a dialog with the options _x000D_
_x000D_
   Possible Solution_x000D_
       Optional     _x000D_
      Feel free to suggest a fix reason for the bug     _x000D_
      or ideas how to implement the addition or change     _x000D_
There is a show call that should call the parent method and instead calls itself causing a stack overflow _x000D_
_x000D_
   Context_x000D_
       Optional     _x000D_
      How has this issue affected you  What are you trying to accomplish     _x000D_
      Providing context helps us come up with a solution that is most useful in the real world  :)    _x000D_
_x000D_
   Error Logs and Stack Traces_x000D_
       Optional     _x000D_
      These are very useful for quickly identifying the causes for bug fixes     _x000D_
      In Developer Mode  run  adb logcat  to capture potentially useful logs     _x000D_
 details open _x000D_
_x000D_
      DO NOT REMOVE THIS LINE     _x000D_
   _x000D_
   _x000D_
      DO NOT REMOVE THIS LINE     _x000D_
_x000D_
  details _x000D_
</t>
  </si>
  <si>
    <t>square-okhttp-5286</t>
  </si>
  <si>
    <t>OpenSSLSocketImpl.startHandshake crash</t>
  </si>
  <si>
    <t>on some devices i get the crash below:_x000D_
_x000D_
   the crash info_x000D_
_x000D_
SIGABRT_x000D_
_x000D_
 00 pc 00042364  system lib libc so (tgkill 12)  armeabi v7a _x000D_
 01 pc 0004019d  system lib libc so (pthread kill 32)  armeabi v7a _x000D_
 02 pc 0001c893  system lib libc so (raise 10)  armeabi v7a _x000D_
 03 pc 00019af1  system lib libc so (  libc android abort 34)  armeabi v7a _x000D_
 04 pc 000176b8  system lib libc so (abort 4)  armeabi v7a _x000D_
 05 pc 0001b553  system lib libc so (  libc fatal 16)  armeabi v7a _x000D_
 06 pc 0001b56b  system lib libc so (  fortify chk fail 18)  armeabi v7a _x000D_
 07 pc 000462f5  system lib libc so (  FD SET chk 24)  armeabi v7a _x000D_
 08 pc 000092eb  system lib libjavacrypto so  armeabi v7a _x000D_
java:_x000D_
com android org conscrypt OpenSSLSocketImpl startHandshake(OpenSSLSocketImpl java:324)_x000D_
com android okhttp internal http SocketConnector connectTls(SocketConnector java:103)_x000D_
com android okhttp Connection connect(Connection java:143)_x000D_
com android okhttp Connection connectAndSetOwner(Connection java:185)_x000D_
com android okhttp OkHttpClient 1 connectAndSetOwner(OkHttpClient java:128)_x000D_
com android okhttp internal http HttpEngine nextConnection(HttpEngine java:341)_x000D_
com android okhttp internal http HttpEngine connect(HttpEngine java:330)_x000D_
com android okhttp internal http HttpEngine sendRequest(HttpEngine java:248)_x000D_
com android okhttp internal huc HttpURLConnectionImpl execute(HttpURLConnectionImpl java:433)_x000D_
com android okhttp internal huc HttpURLConnectionImpl connect(HttpURLConnectionImpl java:114)_x000D_
com android okhttp internal huc HttpURLConnectionImpl getOutputStream(HttpURLConnectionImpl java:245)_x000D_
com android okhttp internal huc DelegatingHttpsURLConnection getOutputStream(DelegatingHttpsURLConnection java:218)_x000D_
com android okhttp internal huc HttpsURLConnectionImpl getOutputStream(HttpsURLConnectionImpl java:25)_x000D_
c t m li tsa b a(Unknown Source)_x000D_
c t m li tsa h run(Unknown Source)_x000D_
java util concurrent ThreadPoolExecutor runWorker(ThreadPoolExecutor java:1113)_x000D_
java util concurrent ThreadPoolExecutor Worker run(ThreadPoolExecutor java:588)_x000D_
java lang Thread run(Thread java:833)</t>
  </si>
  <si>
    <t>Tencent-tinker-1158</t>
  </si>
  <si>
    <t>android P出现 Inlined method resolutio</t>
  </si>
  <si>
    <t xml:space="preserve">        upgrade 1 4 1 nativecrashreport 3 7 1      1 9 13 2       _x000D_
_x000D_
2019 07 11 16:15:09 003 22469 22469   A wgj park oldfe: entrypoint utils inl h:95  Inlined method resolution crossed dex file boundary: from void com tencent tinker lib util UpgradePatchRetry  init (android content Context) in  data app com cwgj park oldfee Sae7BmXr1QzAmpdNFnkJVg   base apk 0xeb825020 to java io File com tencent tinker loader shareutil SharePatchFileUtil getPatchTempDirectory(android content Context) in  data app com cwgj park oldfee Sae7BmXr1QzAmpdNFnkJVg   base apk 0xeb823f80  This must be due to duplicate classes or playing wrongly with class loaders  The runtime is in an unsafe state _x000D_
2019 07 11 16:15:09 013 22469 22469   A wgj park oldfe: entrypoint utils inl h:95  Inlined method resolution crossed dex file boundary: from void com tencent tinker lib util UpgradePatchRetry  init (android content Context) in  data app com cwgj park oldfee Sae7BmXr1QzAmpdNFnkJVg   base apk 0xeb825020 to java io File com tencent tinker loader shareutil SharePatchFileUtil getPatchTempDirectory(android content Context) in  data app com cwgj park oldfee Sae7BmXr1QzAmpdNFnkJVg   base apk 0xeb823f80  This must be due to duplicate classes or playing wrongly with class loaders  The runtime is in an unsafe state _x000D_
2019 07 11 16:15:09 165 22469 22469   A wgj park oldfe: runtime cc:565   19 pc 00326b07   data app com cwgj park oldfee Sae7BmXr1QzAmpdNFnkJVg   oat arm base odex (offset 14a000) (com tencent tinker lib util UpgradePatchRetry  init  518)_x000D_
2019 07 11 16:15:09 165 22469 22469   A wgj park oldfe: runtime cc:565   20 pc 0030cf75   data app com cwgj park oldfee Sae7BmXr1QzAmpdNFnkJVg   oat arm base odex (offset 14a000) (com tencent bugly beta tinker TinkerManager installDefaultTinker 644)_x000D_
2019 07 11 16:15:09 165 22469 22469   A wgj park oldfe: runtime cc:565   21 pc 0030d5b9   data app com cwgj park oldfee Sae7BmXr1QzAmpdNFnkJVg   oat arm base odex (offset 14a000) (com tencent bugly beta tinker TinkerManager installTinker 480)_x000D_
2019 07 11 16:15:09 165 22469 22469   A wgj park oldfe: runtime cc:565   22 pc 00305ca9   data app com cwgj park oldfee Sae7BmXr1QzAmpdNFnkJVg   oat arm base odex (offset 14a000) (com tencent bugly beta Beta installTinker 128)_x000D_
2019 07 11 16:15:09 165 22469 22469   A wgj park oldfe: runtime cc:565   30 pc 00000ed2   data data com cwgj park oldfee tinker patch 7441a907 dex oat arm changed classes1 dex vdex (com parkapp ParkApplication attachBaseContext 12)_x000D_
2019 07 11 16:15:09 165 22469 22469   A wgj park oldfe: runtime cc:565   42 pc 00310343   data app com cwgj park oldfee Sae7BmXr1QzAmpdNFnkJVg   oat arm base odex (offset 14a000) (com tencent bugly beta tinker TinkerPatchReflectApplication attachBaseContext 938)_x000D_
2019 07 11 16:15:09 350 22491 22491   A DEBUG:      19 pc 00326b07   data app com cwgj park oldfee Sae7BmXr1QzAmpdNFnkJVg   oat arm base odex (offset 0x14a000) (com tencent tinker lib util UpgradePatchRetry  init  518)_x000D_
2019 07 11 16:15:09 350 22491 22491   A DEBUG:      20 pc 0030cf75   data app com cwgj park oldfee Sae7BmXr1QzAmpdNFnkJVg   oat arm base odex (offset 0x14a000) (com tencent bugly beta tinker TinkerManager installDefaultTinker 644)_x000D_
2019 07 11 16:15:09 350 22491 22491   A DEBUG:      21 pc 0030d5b9   data app com cwgj park oldfee Sae7BmXr1QzAmpdNFnkJVg   oat arm base odex (offset 0x14a000) (com tencent bugly beta tinker TinkerManager installTinker 480)_x000D_
2019 07 11 16:15:09 350 22491 22491   A DEBUG:      22 pc 00305ca9   data app com cwgj park oldfee Sae7BmXr1QzAmpdNFnkJVg   oat arm base odex (offset 0x14a000) (com tencent bugly beta Beta installTinker 128)_x000D_
2019 07 11 16:15:09 350 22491 22491   A DEBUG:      30 pc 00000ed2   data data com cwgj park oldfee tinker patch 7441a907 dex oat arm changed classes1 dex vdex (com parkapp ParkApplication attachBaseContext 12)_x000D_
2019 07 11 16:15:09 350 22491 22491   A DEBUG:      42 pc 00310343   data app com cwgj park oldfee Sae7BmXr1QzAmpdNFnkJVg   oat arm base odex (offset 0x14a000) (com tencent bugly beta tinker TinkerPatchReflectApplication attachBaseContext 938)</t>
  </si>
  <si>
    <t>nextcloud-android-4222</t>
  </si>
  <si>
    <t>Upload trying to kill memory and hang device</t>
  </si>
  <si>
    <t xml:space="preserve">    Actual behaviour_x000D_
When i uploading file  application try to copy file to different folder (like  data data     files)  If file very big  it fails or hang device for few minutes due to high io activity  It even may crash android with ANR_x000D_
    Expected behaviour_x000D_
Upload is going directly to server_x000D_
    Steps to reproduce_x000D_
1  Open upload target_x000D_
2  Select upload in menu_x000D_
3  Start uploading big file_x000D_
_x000D_
_x000D_
    Environment data_x000D_
Android version:_x000D_
5 1_x000D_
Device model: _x000D_
Stark Impress Strong_x000D_
Stock or customized system:_x000D_
Stock_x000D_
Nextcloud app version:_x000D_
3 6 2 f droid</t>
  </si>
  <si>
    <t>square-okhttp-5281</t>
  </si>
  <si>
    <t>Don't leave callbacks hanging when interceptors throw unchecked exceptions</t>
  </si>
  <si>
    <t xml:space="preserve">Currently   Callback onFailure  has an  IOException  param  and is only called when the interceptor chain throws an  IOException   This means that when an unchecked exception is thrown  it bubbles up to the worker thread  and nothing happens with the callback _x000D_
_x000D_
This isn t unknown (see  1482 and others)  but here s a self contained repro anyway: https:  bitbucket org marshallpierce okhttp interceptor repro src master _x000D_
_x000D_
https:  github com square okhttp issues 1482 issuecomment 78042597 indicates that this is intentional:_x000D_
_x000D_
  For async  we shouldn t call onFailure with the unchecked exception  that method is for I O failures only  Instead we re better off crashing to the worker thread s uncaught exception handler _x000D_
_x000D_
However  unchecked exceptions happen in practice  and either way I claim  don t leave callbacks permanently stuck in neither success or failure  is axiomatically a Good Thing _x000D_
_x000D_
  Unchecked exceptions are unavoidable in practice  Any nontrivial code may throw them _x000D_
  I think the above comment is incorrect  and that killing the worker basically does nobody any good  Now another thread has to be started  and the responsible code will never be notified _x000D_
  It s effectively impossible to build reliable code on top of Callback because of this  Retrofit  for instance  produces  CompletableFuture s that never complete when this happens  which is clearly bad  and there s no way for it to do any better  either  because  Callback  won t let it _x000D_
_x000D_
 Async Http Client (https:  github com AsyncHttpClient async http client blob master client src main java org asynchttpclient AsyncHandler java L107) has the right idea  as does the  client (https:  docs oracle com en java javase 11 docs api java net http java net http HttpClient html sendAsync(java net http HttpRequest java net http HttpResponse BodyHandler)) recently added to the JDK _x000D_
_x000D_
Changing the signature of  onFailure  would be a breaking change  so that ll presumably have to wait  but in the meantime it looks like a pragmatic solution would be to wrap throwables in  IOException  so they may be provided to that method  Perhaps a  WrapperIOException  class could be used for just this purpose so that callbacks who care to differentiate could tell the difference between an  unchecked as ioexception  and the usual breed </t>
  </si>
  <si>
    <t>microg-GmsCore-884</t>
  </si>
  <si>
    <t>Error inflating class fragment</t>
  </si>
  <si>
    <t xml:space="preserve">I m trying to use map view in a cheap gps locator app called  365gps   When I run the map view  I get the following exception in logcat:_x000D_
   _x000D_
07 11 18:18:15 534 11837 11837 E AndroidRuntime: FATAL EXCEPTION: main_x000D_
07 11 18:18:15 534 11837 11837 E AndroidRuntime: Process: com zhongxun gps365  PID: 11837_x000D_
07 11 18:18:15 534 11837 11837 E AndroidRuntime: java lang RuntimeException: Unable to start activity ComponentInfo com zhongxun gps365 com zhongxun gps365 menuact RangeActivity : android view InflateException: Binary XML file line  255: Binary XML file line  255: Error inflating class fragment_x000D_
07 11 18:18:15 534 11837 11837 E AndroidRuntime:        at android app ActivityThread performLaunchActivity(ActivityThread java:2951)_x000D_
07 11 18:18:15 534 11837 11837 E AndroidRuntime:        at android app ActivityThread handleLaunchActivity(ActivityThread java:3086)_x000D_
07 11 18:18:15 534 11837 11837 E AndroidRuntime:        at android app servertransaction LaunchActivityItem execute(LaunchActivityItem java:78)_x000D_
07 11 18:18:15 534 11837 11837 E AndroidRuntime:        at android app servertransaction TransactionExecutor executeCallbacks(TransactionExecutor java:108)_x000D_
07 11 18:18:15 534 11837 11837 E AndroidRuntime:        at android app servertransaction TransactionExecutor execute(TransactionExecutor java:68)_x000D_
07 11 18:18:15 534 11837 11837 E AndroidRuntime:        at android app ActivityThread H handleMessage(ActivityThread java:1816)_x000D_
07 11 18:18:15 534 11837 11837 E AndroidRuntime:        at android os Handler dispatchMessage(Handler java:106)_x000D_
07 11 18:18:15 534 11837 11837 E AndroidRuntime:        at android os Looper loop(Looper java:193)_x000D_
07 11 18:18:15 534 11837 11837 E AndroidRuntime:        at android app ActivityThread main(ActivityThread java:6718)_x000D_
07 11 18:18:15 534 11837 11837 E AndroidRuntime:        at java lang reflect Method invoke(Native Method)_x000D_
07 11 18:18:15 534 11837 11837 E AndroidRuntime:        at com android internal os RuntimeInit MethodAndArgsCaller run(RuntimeInit java:493)_x000D_
07 11 18:18:15 534 11837 11837 E AndroidRuntime:        at com android internal os ZygoteInit main(ZygoteInit java:858)_x000D_
07 11 18:18:15 534 11837 11837 E AndroidRuntime: Caused by: android view InflateException: Binary XML file line  255: Binary XML file line  255: Error inflating class fragment_x000D_
07 11 18:18:15 534 11837 11837 E AndroidRuntime: Caused by: android view InflateException: Binary XML file line  255: Error inflating class fragment_x000D_
07 11 18:18:15 534 11837 11837 E AndroidRuntime: Caused by: java lang IllegalArgumentException: Parameter specified as non null is null: method kotlin jvm internal Intrinsics checkParameterIsNotNull  parameter savedInstanceState_x000D_
07 11 18:18:15 534 11837 11837 E AndroidRuntime:        at org microg gms maps mapbox MapFragmentImpl onInflate(Unknown Source:12)_x000D_
07 11 18:18:15 534 11837 11837 E AndroidRuntime:        at com google android gms maps internal IMapFragmentDelegate Stub onTransact(IMapFragmentDelegate java:73)_x000D_
07 11 18:18:15 534 11837 11837 E AndroidRuntime:        at org microg gms maps mapbox MapFragmentImpl onTransact(MapFragment kt:100)_x000D_
07 11 18:18:15 534 11837 11837 E AndroidRuntime:        at android os Binder transact(Binder java:667)_x000D_
07 11 18:18:15 534 11837 11837 E AndroidRuntime:        at com google android gms maps internal IMapFragmentDelegate zza zza onInflate(Unknown Source:53)_x000D_
07 11 18:18:15 534 11837 11837 E AndroidRuntime:        at com google android gms maps MapFragment zza onInflate(Unknown Source:14)_x000D_
07 11 18:18:15 534 11837 11837 E AndroidRuntime:        at com google android gms dynamic zza 2 zzb(Unknown Source:12)_x000D_
07 11 18:18:15 534 11837 11837 E AndroidRuntime:        at com google android gms dynamic zza 1 zza(Unknown Source:33)_x000D_
07 11 18:18:15 534 11837 11837 E AndroidRuntime:        at com google android gms maps MapFragment zzb zzzW(Unknown Source:47)_x000D_
07 11 18:18:15 534 11837 11837 E AndroidRuntime:        at com google android gms maps MapFragment zzb zza(Unknown Source:2)_x000D_
07 11 18:18:15 534 11837 11837 E AndroidRuntime:        at com google android gms dynamic zza zza(Unknown Source:48)_x000D_
07 11 18:18:15 534 11837 11837 E AndroidRuntime:        at com google android gms dynamic zza onInflate(Unknown Source:5)_x000D_
07 11 18:18:15 534 11837 11837 E AndroidRuntime:        at com google android gms maps MapFragment onInflate(Unknown Source:24)_x000D_
07 11 18:18:15 534 11837 11837 E AndroidRuntime:        at android app Fragment onInflate(Fragment java:1443)_x000D_
07 11 18:18:15 534 11837 11837 E AndroidRuntime:        at android app FragmentManagerImpl onCreateView(FragmentManager java:3555)_x000D_
07 11 18:18:15 534 11837 11837 E AndroidRuntime:        at android app FragmentController onCreateView(FragmentController java:102)_x000D_
07 11 18:18:15 534 11837 11837 E AndroidRuntime:        at android app Activity onCreateView(Activity java:6324)_x000D_
07 11 18:18:15 534 11837 11837 E AndroidRuntime:        at android view LayoutInflater createViewFromTag(LayoutInflater java:780)_x000D_
07 11 18:18:15 534 11837 11837 E AndroidRuntime:        at android view LayoutInflater createViewFromTag(LayoutInflater java:730)_x000D_
07 11 18:18:15 534 11837 11837 E AndroidRuntime:        at android view LayoutInflater rInflate(LayoutInflater java:863)_x000D_
07 11 18:18:15 534 11837 11837 E AndroidRuntime:        at android view LayoutInflater rInflateChildren(LayoutInflater java:824)_x000D_
07 11 18:18:15 534 11837 11837 E AndroidRuntime:        at android view LayoutInflater rInflate(LayoutInflater java:866)_x000D_
07 11 18:18:15 534 11837 11837 E AndroidRuntime:        at android view LayoutInflater rInflateChildren(LayoutInflater java:824)_x000D_
07 11 18:18:15 534 11837 11837 E AndroidRuntime:        at android view LayoutInflater rInflate(LayoutInflater java:866)_x000D_
07 11 18:18:15 534 11837 11837 E AndroidRuntime:        at android view LayoutInflater rInflateChildren(LayoutInflater java:824)_x000D_
07 11 18:18:15 534 11837 11837 E AndroidRuntime:        at android view LayoutInflater inflate(LayoutInflater java:515)_x000D_
07 11 18:18:15 534 11837 11837 E AndroidRuntime:        at android view LayoutInflater inflate(LayoutInflater java:423)_x000D_
07 11 18:18:15 534 11837 11837 E AndroidRuntime:        at android view LayoutInflater inflate(LayoutInflater java:374)_x000D_
07 11 18:18:15 534 11837 11837 E AndroidRuntime:        at com android internal policy PhoneWindow setContentView(PhoneWindow java:420)_x000D_
07 11 18:18:15 534 11837 11837 E AndroidRuntime:        at android app Activity setContentView(Activity java:2772)_x000D_
07 11 18:18:15 534 11837 11837 E AndroidRuntime:        at com zhongxun gps365 menuact RangeActivity onCreate(RangeActivity java:118)_x000D_
07 11 18:18:15 534 11837 11837 E AndroidRuntime:        at android app Activity performCreate(Activity java:7144)_x000D_
07 11 18:18:15 534 11837 11837 E AndroidRuntime:        at android app Activity performCreate(Activity java:7135)_x000D_
07 11 18:18:15 534 11837 11837 E AndroidRuntime:        at android app Instrumentation callActivityOnCreate(Instrumentation java:1271)_x000D_
07 11 18:18:15 534 11837 11837 E AndroidRuntime:        at android app ActivityThread performLaunchActivity(ActivityThread java:2931)_x000D_
07 11 18:18:15 534 11837 11837 E AndroidRuntime:        at android app ActivityThread handleLaunchActivity(ActivityThread java:3086)_x000D_
07 11 18:18:15 534 11837 11837 E AndroidRuntime:        at android app servertransaction LaunchActivityItem execute(LaunchActivityItem java:78)_x000D_
07 11 18:18:15 534 11837 11837 E AndroidRuntime:        at android app servertransaction TransactionExecutor executeCallbacks(TransactionExecutor java:108)_x000D_
07 11 18:18:15 534 11837 11837 E AndroidRuntime:        at android app servertransaction TransactionExecutor execute(TransactionExecutor java:68)_x000D_
07 11 18:18:15 534 11837 11837 E AndroidRuntime:        at android app ActivityThread H handleMessage(ActivityThread java:1816)_x000D_
07 11 18:18:15 534 11837 11837 E AndroidRuntime:        at android os Handler dispatchMessage(Handler java:106)_x000D_
07 11 18:18:15 534 11837 11837 E AndroidRuntime:        at android os Looper loop(Looper java:193)_x000D_
07 11 18:18:15 534 11837 11837 E AndroidRuntime:        at android app ActivityThread main(ActivityThread java:6718)_x000D_
07 11 18:18:15 534 11837 11837 E AndroidRuntime:        at java lang reflect Method invoke(Native Method)_x000D_
07 11 18:18:15 534 11837 11837 E AndroidRuntime:        at com android internal os RuntimeInit MethodAndArgsCaller run(RuntimeInit java:493)_x000D_
07 11 18:18:15 534 11837 11837 E AndroidRuntime:        at com android internal os ZygoteInit main(ZygoteInit java:858)_x000D_
07 11 18:18:15 605 11837 11837 W zhongxun gps365: type 1400 audit(0 0:356): avc: denied   search   for name  usb  dev  sysfs  ino 55991 scontext u:r:untrusted app 27:s0:c512 c768 tcontext u:object r:sysfs usb supply:s0 tclass dir permissive 0_x000D_
07 11 18:18:15 605 11837 11837 W zhongxun gps365: type 1400 audit(0 0:357): avc: denied   search   for name  battery  dev  sysfs  ino 56094 scontext u:r:untrusted app 27:s0:c512 c768 tcontext u:object r:sysfs battery supply:s0 tclass dir permissive 0_x000D_
07 11 18:18:16 423  2902  4284 W ActivityManager:   Force finishing activity com zhongxun gps365  menuact RangeActivity_x000D_
07 11 18:18:16 425  2902  4284 W ActivityManager:   Force finishing activity com zhongxun gps365  base BaseContentActivity_x000D_
07 11 18:18:16 427  2902  2933 I ActivityManager: Showing crash dialog for package com zhongxun gps365 u0_x000D_
   _x000D_
_x000D_
Is this microg related or just the far east app is crappy  It works when using proprietary google services </t>
  </si>
  <si>
    <t>square-okhttp-5280</t>
  </si>
  <si>
    <t>KotlinNullPointerException on any network request on old Android 5 phone with new okhttp-logging-interceptor 4.0.0+</t>
  </si>
  <si>
    <t xml:space="preserve">After upgrading from com squareup okhttp3:logging interceptor 3 14 1 to 4 0 0 (or 4 0 1)  with no other code changes  I am getting a KotlinNullPointerException on any network request  when our app installed on HTC One with Android 5 0 2  I am unsure of which other devices also have this issue  It also crashes even if I remove all calls to addInterceptor _x000D_
_x000D_
It crashes because cipherSuites is null in the ConnectionSpec  cipherSuites is null in the connection spec because the code I was using to enable TLS 1 2 on API 21 was calling  allEnabledCipherSuites() on the ConnectionSpec Builder  As far as I can tell  all that allEnabledCipherSuites does is set the cipherSuites to null _x000D_
_x000D_
Is this the expected behavior  Do should I be calling allEnabledCipherSuites() or not _x000D_
_x000D_
   _x000D_
E AndroidRuntime 2 crash: crash in the same process: OkHttp Dispatcher_x000D_
    kotlin KotlinNullPointerException_x000D_
        at okhttp3 ConnectionSpec hashCode(ConnectionSpec kt:186)_x000D_
        at java util ArrayList hashCode(ArrayList java:603)_x000D_
        at java util Collections UnmodifiableList hashCode(Collections java:1054)_x000D_
        at okhttp3 Address hashCode(Address kt:178)_x000D_
        at okhttp3 Route hashCode(Route kt:84)_x000D_
        at java util Collections secondaryHash(Collections java:3405)_x000D_
        at java util HashMap containsKey(HashMap java:325)_x000D_
        at java util HashSet contains(HashSet java:138)_x000D_
        at okhttp3 internal connection RouteDatabase shouldPostpone(RouteDatabase kt:40)_x000D_
        at okhttp3 internal connection RouteSelector next(RouteSelector kt:74)_x000D_
        at okhttp3 internal connection ExchangeFinder findConnection(ExchangeFinder kt:199)_x000D_
        at okhttp3 internal connection ExchangeFinder findHealthyConnection(ExchangeFinder kt:109)_x000D_
        at okhttp3 internal connection ExchangeFinder find(ExchangeFinder kt:77)_x000D_
        at okhttp3 internal connection Transmitter newExchange okhttp(Transmitter kt:162)_x000D_
        at okhttp3 internal connection ConnectInterceptor intercept(ConnectInterceptor kt:35)_x000D_
        at okhttp3 internal http RealInterceptorChain proceed(RealInterceptorChain kt:112)_x000D_
        at okhttp3 internal http RealInterceptorChain proceed(RealInterceptorChain kt:87)_x000D_
        at okhttp3 internal cache CacheInterceptor intercept(CacheInterceptor kt:82)_x000D_
        at okhttp3 internal http RealInterceptorChain proceed(RealInterceptorChain kt:112)_x000D_
        at okhttp3 internal http RealInterceptorChain proceed(RealInterceptorChain kt:87)_x000D_
        at okhttp3 internal http BridgeInterceptor intercept(BridgeInterceptor kt:84)_x000D_
        at okhttp3 internal http RealInterceptorChain proceed(RealInterceptorChain kt:112)_x000D_
        at okhttp3 internal http RetryAndFollowUpInterceptor intercept(RetryAndFollowUpInterceptor kt:71)_x000D_
        at okhttp3 internal http RealInterceptorChain proceed(RealInterceptorChain kt:112)_x000D_
        at okhttp3 internal http RealInterceptorChain proceed(RealInterceptorChain kt:87)_x000D_
        at okhttp3 RealCall getResponseWithInterceptorChain(RealCall kt:184)_x000D_
        at okhttp3 RealCall AsyncCall run(RealCall kt:136)_x000D_
        at java util concurrent ThreadPoolExecutor runWorker(ThreadPoolExecutor java:1112)_x000D_
        at java util concurrent ThreadPoolExecutor Worker run(ThreadPoolExecutor java:587)_x000D_
        at java lang Thread run(Thread java:818)_x000D_
   </t>
  </si>
  <si>
    <t>fossasia-pslab-android-1858</t>
  </si>
  <si>
    <t>Back Press not working properly in multiple instruments</t>
  </si>
  <si>
    <t xml:space="preserve">  Actual Behaviour  _x000D_
_x000D_
infinite loop between logged data screen and lux meter activity _x000D_
_x000D_
  Expected Behaviour  _x000D_
_x000D_
Main Screen should open up when back is pressed on lux meter activity _x000D_
_x000D_
  Steps to reproduce it  _x000D_
_x000D_
Open logged data in luxmeter and press your device s back button _x000D_
_x000D_
  LogCat for the issue  _x000D_
_x000D_
     Provide logs for the crash here    _x000D_
_x000D_
  Screenshots of the issue  _x000D_
_x000D_
  20190711 200753 (https:  user images githubusercontent com 37077735 61060647 7de76d80 a418 11e9 8c6b cfe4feaf1703 gif)_x000D_
_x000D_
_x000D_
  Would you like to work on the issue   _x000D_
_x000D_
Yes_x000D_
</t>
  </si>
  <si>
    <t>getsentry-sentry-java-736</t>
  </si>
  <si>
    <t>Default tags override event tags</t>
  </si>
  <si>
    <t xml:space="preserve">In  SentryClient java   this is the implementation of  sendEvent :_x000D_
_x000D_
   java_x000D_
 public void sendEvent(EventBuilder eventBuilder)  _x000D_
        if ( Util isNullOrEmpty(release))  _x000D_
            eventBuilder withRelease(release trim()) _x000D_
            if ( Util isNullOrEmpty(dist))  _x000D_
                eventBuilder withDist(dist trim()) _x000D_
             _x000D_
         _x000D_
_x000D_
        if ( Util isNullOrEmpty(environment))  _x000D_
            eventBuilder withEnvironment(environment trim()) _x000D_
         _x000D_
_x000D_
        if ( Util isNullOrEmpty(serverName))  _x000D_
            eventBuilder withServerName(serverName trim()) _x000D_
         _x000D_
_x000D_
        for (Map Entry String  String  tagEntry : tags entrySet())  _x000D_
            eventBuilder withTag(tagEntry getKey()  tagEntry getValue()) _x000D_
         _x000D_
_x000D_
        for (Map Entry String  Object  extraEntry : extra entrySet())  _x000D_
            eventBuilder withExtra(extraEntry getKey()  extraEntry getValue()) _x000D_
         _x000D_
_x000D_
        runBuilderHelpers(eventBuilder) _x000D_
        Event event   eventBuilder build() _x000D_
        sendEvent(event) _x000D_
     _x000D_
   _x000D_
_x000D_
In particular   default extras and tags  coming from a parsed DSN for example   seem to override event specific extras and tags with the same key  I d consider this unwanted behaviour  A default is nothing more than a default  i e  a value that is reported when nothing else is there  But  if  there is a specific value  then this specific value should take precedence _x000D_
_x000D_
My use case why I stumbled upon this was that I wanted to have a single tag to distinguish between fatal (reported the built in uncaught exception handler of Sentry) and non fatal (reported by my own machinery) crashes  and to mark them I wanted to introduce a tag  exception type   Since I cannot easily change the implementation of Sentry s uncaught exception handler  I thought I could simply give the tag   tags exception type fatal  as default parameter to my DSN and have this used by the exception handler events  while in my own events I d configure my event   withTag( exception type non fatal )  and that would override the default value </t>
  </si>
  <si>
    <t>RamiJ3mli-PercentageChartView-15</t>
  </si>
  <si>
    <t>Crash into RecyclerView</t>
  </si>
  <si>
    <t xml:space="preserve">I had added ChartView into recycler s cell and received crash on cell updating  _x000D_
_x000D_
_x000D_
_x000D_
  java lang NullPointerException: Attempt to invoke virtual method  void com ramijemli percentagechartview renderer BaseModeRenderer draw(android graphics Canvas)  on a null object reference_x000D_
        at com ramijemli percentagechartview PercentageChartView onDraw(PercentageChartView java:186)_x000D_
        at android view View draw(View java:15114)_x000D_
        at android view View updateDisplayListIfDirty(View java:14048)_x000D_
        at android view View getDisplayList(View java:14071)_x000D_
        at android view View draw(View java:14838)_x000D_
        at android view ViewGroup drawChild(ViewGroup java:3404)_x000D_
        at android view ViewGroup dispatchDraw(ViewGroup java:3198)_x000D_
        at android view View updateDisplayListIfDirty(View java:14043)_x000D_
        at android view View getDisplayList(View java:14071)_x000D_
        at android view View draw(View java:14838)_x000D_
        at android view ViewGroup drawChild(ViewGroup java:3404)_x000D_
        at android view ViewGroup dispatchDraw(ViewGroup java:3198)_x000D_
        at android view View draw(View java:15117)_x000D_
        at android widget FrameLayout draw(FrameLayout java:592)_x000D_
        at android view View updateDisplayListIfDirty(View java:14048)_x000D_
        at android view View getDisplayList(View java:14071)_x000D_
        at android view View draw(View java:14838)_x000D_
        at android view ViewGroup drawChild(ViewGroup java:3404)_x000D_
        at androidx recyclerview widget RecyclerView drawChild(RecyclerView java:4936)_x000D_
        at android view ViewGroup dispatchDraw(ViewGroup java:3198)_x000D_
        at android view View draw(View java:15117)_x000D_
        at androidx recyclerview widget RecyclerView draw(RecyclerView java:4335)_x000D_
        at android view View updateDisplayListIfDirty(View java:14048)_x000D_
        at android view View getDisplayList(View java:14071)_x000D_
        at android view ViewGroup recreateChildDisplayList(ViewGroup java:3388)_x000D_
        at android view ViewGroup dispatchGetDisplayList(ViewGroup java:3367)_x000D_
        at android view View updateDisplayListIfDirty(View java:14008)_x000D_
        at android view View getDisplayList(View java:14071)_x000D_
        at android view ViewGroup recreateChildDisplayList(ViewGroup java:3388)_x000D_
        at android view ViewGroup dispatchGetDisplayList(ViewGroup java:3367)_x000D_
        at android view View updateDisplayListIfDirty(View java:14008)_x000D_
        at android view View getDisplayList(View java:14071)_x000D_
        at android view ViewGroup recreateChildDisplayList(ViewGroup java:3388)_x000D_
        at android view ViewGroup dispatchGetDisplayList(ViewGroup java:3367)_x000D_
        at android view View updateDisplayListIfDirty(View java:14008)_x000D_
        at android view View getDisplayList(View java:14071)_x000D_
        at android view ViewGroup recreateChildDisplayList(ViewGroup java:3388)_x000D_
        at android view ViewGroup dispatchGetDisplayList(ViewGroup java:3367)_x000D_
        at android view View updateDisplayListIfDirty(View java:14008)_x000D_
        at android view View getDisplayList(View java:14071)_x000D_
        at android view ViewGroup recreateChildDisplayList(ViewGroup java:3388)_x000D_
        at android view ViewGroup dispatchGetDisplayList(ViewGroup java:3367)_x000D_
        at android view View updateDisplayListIfDirty(View java:14008)_x000D_
        at android view View getDisplayList(View java:14071)_x000D_
        at android view ViewGroup recreateChildDisplayList(ViewGroup java:3388)_x000D_
        at android view ViewGroup dispatchGetDisplayList(ViewGroup java:3367)_x000D_
        at android view View updateDisplayListIfDirty(View java:14008)_x000D_
        at android view View getDisplayList(View java:14071)_x000D_
        at android view ViewGroup recreateChildDisplayList(ViewGroup java:3388)_x000D_
        at android view ViewGroup dispatchGetDisplayList(ViewGroup java:3367)_x000D_
        at android view View updateDisplayListIfDirty(View java:14008)_x000D_
        at android view View getDisplayList(View java:14071)_x000D_
        at android view ViewGroup recreateChildDisplayList(ViewGroup java:3388)_x000D_
        at android view ViewGroup dispatchGetDisplayList(ViewGroup java:3367)_x000D_
        at android view View updateDisplayListIfDirty(View java:14008)_x000D_
        at android view View getDisplayList(View java:14071)_x000D_
        at android view ViewGroup recreateChildDisplayList(ViewGroup java:3388)_x000D_
        at android view ViewGroup dispatchGetDisplayList(ViewGroup java:3367)_x000D_
        at android view View updateDisplayListIfDirty(View java:14008)_x000D_
        at android view View getDisplayList(View java:14071)_x000D_
    	at android view ThreadedRenderer updateViewTreeDispl _x000D_
_x000D_
  xml:   _x000D_
_x000D_
   com ramijemli percentagechartview PercentageChartView_x000D_
                android:id    id dogProgressView _x000D_
                android:layout width  40dp _x000D_
                android:layout height  40dp _x000D_
                android:layout alignParentRight  true _x000D_
                android:layout centerVertical  true _x000D_
                android:layout marginRight  10dp _x000D_
                app:pcv mode  ring _x000D_
                app:pcv orientation  counter clockwise _x000D_
                app:pcv animDuration  400 _x000D_
                app:pcv textColor   color darkGray _x000D_
                app:pcv textSize  10sp _x000D_
                app:pcv animInterpolator  linear _x000D_
                app:pcv backgroundBarColor   color peachyPinkTranparent _x000D_
                app:pcv progressColor   color peachyPink _x000D_
                app:pcv textStyle  bold _x000D_
                app:pcv progressBarThickness  4dp _x000D_
                app:pcv backgroundBarThickness  4dp _x000D_
                app:pcv startAngle  135    _x000D_
_x000D_
First time Chart draws as expected but crash performs on cell updating  _x000D_
Tested on API 28 and 21  _x000D_
</t>
  </si>
  <si>
    <t>microg-GmsCore-880</t>
  </si>
  <si>
    <t>My Hera crash with OOM (Out of memory)</t>
  </si>
  <si>
    <t xml:space="preserve"> My Hera (https:  play google com store apps details id it gruppohera app) crash with OOM (Out of memory) but it is perfectly reproducible all the times when you click on  Privati  so there must be a different cause _x000D_
_x000D_
Log:  debug log (https:  github com microg android packages apps GmsCore files 3378911 debug log)_x000D_
</t>
  </si>
  <si>
    <t>LawnchairLauncher-lawnchair-1646</t>
  </si>
  <si>
    <t>Got a crash using Lawnchair V2 cause of a null object reference</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</si>
  <si>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I was writing a message on What s App and suddently the launcher crashed  I saw a bug notification saying an error message _x000D_
_x000D_
Here is the link I copied : https:  del dog jotenipavo sql_x000D_
_x000D_
_x000D_
   Expected Behavior_x000D_
      Tell us what should happen    _x000D_
_x000D_
_x000D_
   Actual Behavior_x000D_
      Tell us what happens instead    _x000D_
Everything is back to normal  Lawnchair is still the best launcher on Android   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Lawnchair bug report Jul 10  2019 1:25:53 PM_x000D_
Lawnchair version: 2 0 2233 ci alpha (2233)_x000D_
build brand: OnePlus_x000D_
build device: OnePlus6T_x000D_
build display: ONEPLUS A6013 41 190625_x000D_
build fingerprint: OnePlus OnePlus6T OnePlus6T:9 PKQ1 180716 001 1906251200:user release keys_x000D_
build hardware: qcom_x000D_
build id: PKQ1 180716 001_x000D_
build manufacturer: OnePlus_x000D_
build model: ONEPLUS A6013_x000D_
build product: OnePlus6T_x000D_
build type: user_x000D_
version codename: REL_x000D_
version incremental: 1906251200_x000D_
version release: 9_x000D_
version sdk int: 28_x000D_
_x000D_
error: Uncaught exception_x000D_
_x000D_
          beginning of stacktrace_x000D_
java lang NullPointerException: Attempt to invoke virtual method  java lang String java lang Object toString()  on a null object reference_x000D_
	at ch deletescape lawnchair smartspace NowPlayingProvider getEventCard(NowPlayingProvider kt:51)_x000D_
	at ch deletescape lawnchair smartspace NowPlayingProvider reload(NowPlayingProvider kt:70)_x000D_
	at ch deletescape lawnchair smartspace NowPlayingProvider access reload(NowPlayingProvider kt:30)_x000D_
	at ch deletescape lawnchair smartspace NowPlayingProvider media 1 invoke(NowPlayingProvider kt:34)_x000D_
	at ch deletescape lawnchair smartspace NowPlayingProvider media 1 invoke(NowPlayingProvider kt:30)_x000D_
	at ch deletescape lawnchair smartspace NowPlayingProvider sam java lang Runnable 0 run(Unknown Source:2)_x000D_
	at ch deletescape lawnchair smartspace MediaListener onActiveSessionsChanged(MediaListener java:112)_x000D_
	at ch deletescape lawnchair smartspace MediaListener onPlaybackStateChanged(MediaListener java:167)_x000D_
	at android media session MediaController MessageHandler handleMessage(MediaController java:1156)_x000D_
	at android os Handler dispatchMessage(Handler java:106)_x000D_
	at android os Looper loop(Looper java:193)_x000D_
	at android os HandlerThread run(HandlerThread java:65)   _x000D_
</t>
  </si>
  <si>
    <t>nextcloud-android-4213</t>
  </si>
  <si>
    <t>TXT preview crashes on 3.7.0</t>
  </si>
  <si>
    <t xml:space="preserve">    Actual behaviour_x000D_
Opening a txt file crashes_x000D_
_x000D_
    Expected behaviour_x000D_
Preview opens_x000D_
 _x000D_
    Steps to reproduce_x000D_
1  Put txt with with ASCII text in a folder_x000D_
2  Try opening the preview_x000D_
_x000D_
Device model: _x000D_
OnePlus 6T_x000D_
_x000D_
Stock or customized system:_x000D_
Stock_x000D_
_x000D_
Nextcloud app version:_x000D_
GPlay 3 7 0 _x000D_
_x000D_
Nextcloud server version:_x000D_
16 0 2_x000D_
_x000D_
    Logs_x000D_
   _x000D_
07 09 22:31:57 279  7883  7883 E AndroidRuntime: java lang NullPointerException: Attempt to invoke interface method  boolean com nextcloud client account UserAccountManager isMediaStreamingSupported(android accounts Account)  on a null object reference_x000D_
07 09 22:31:57 279  7883  7883 E AndroidRuntime: 	at com owncloud android ui preview PreviewTextFragment onPrepareOptionsMenu(PreviewTextFragment java:381)_x000D_
07 09 22:31:57 279  7883  7883 E AndroidRuntime: 	at androidx fragment app Fragment performPrepareOptionsMenu(Fragment java:2575)_x000D_
07 09 22:31:57 279  7883  7883 E AndroidRuntime: 	at androidx fragment app FragmentManagerImpl dispatchPrepareOptionsMenu(FragmentManager java:3353)_x000D_
07 09 22:31:57 279  7883  7883 E AndroidRuntime: 	at androidx fragment app FragmentController dispatchPrepareOptionsMenu(FragmentController java:343)_x000D_
07 09 22:31:57 279  7883  7883 E AndroidRuntime: 	at androidx fragment app FragmentActivity onPreparePanel(FragmentActivity java:548)_x000D_
07 09 22:31:57 279  7883  7883 E AndroidRuntime: 	at androidx appcompat view WindowCallbackWrapper onPreparePanel(WindowCallbackWrapper java:99)_x000D_
07 09 22:31:57 279  7883  7883 E AndroidRuntime: 	at androidx appcompat app AppCompatDelegateImpl AppCompatWindowCallback onPreparePanel(AppCompatDelegateImpl java:2576)_x000D_
07 09 22:31:57 279  7883  7883 E AndroidRuntime: 	at androidx appcompat view WindowCallbackWrapper onPreparePanel(WindowCallbackWrapper java:99)_x000D_
07 09 22:31:57 279  7883  7883 E AndroidRuntime: 	at androidx appcompat app ToolbarActionBar ToolbarCallbackWrapper onPreparePanel(ToolbarActionBar java:522)_x000D_
07 09 22:31:57 279  7883  7883 E AndroidRuntime: 	at androidx appcompat app ToolbarActionBar populateOptionsMenu(ToolbarActionBar java:456)_x000D_
07 09 22:31:57 279  7883  7883 E AndroidRuntime: 	at androidx appcompat app ToolbarActionBar 1 run(ToolbarActionBar java:56)_x000D_
07 09 22:31:57 279  7883  7883 E AndroidRuntime: 	at android view Choreographer CallbackRecord run(Choreographer java:1172)_x000D_
07 09 22:31:57 279  7883  7883 E AndroidRuntime: 	at android view Choreographer doCallbacks(Choreographer java:984)_x000D_
07 09 22:31:57 279  7883  7883 E AndroidRuntime: 	at android view Choreographer doFrame(Choreographer java:806)_x000D_
07 09 22:31:57 279  7883  7883 E AndroidRuntime: 	at android view Choreographer FrameDisplayEventReceiver run(Choreographer java:1158)_x000D_
07 09 22:31:57 279  7883  7883 E AndroidRuntime: 	at android os Handler handleCallback(Handler java:873)_x000D_
07 09 22:31:57 279  7883  7883 E AndroidRuntime: 	at android os Handler dispatchMessage(Handler java:99)_x000D_
07 09 22:31:57 279  7883  7883 E AndroidRuntime: 	at android os Looper loop(Looper java:193)_x000D_
07 09 22:31:57 279  7883  7883 E AndroidRuntime: 	at android app ActivityThread main(ActivityThread java:6863)_x000D_
07 09 22:31:57 279  7883  7883 E AndroidRuntime: 	at java lang reflect Method invoke(Native Method)_x000D_
07 09 22:31:57 279  7883  7883 E AndroidRuntime: 	at com android internal os RuntimeInit MethodAndArgsCaller run(RuntimeInit java:537)_x000D_
07 09 22:31:57 279  7883  7883 E AndroidRuntime: 	at com android internal os ZygoteInit main(ZygoteInit java:858)_x000D_
07 09 22:32:28 862  8552  8552 E AndroidRuntime: FATAL EXCEPTION: main_x000D_
07 09 22:32:28 862  8552  8552 E AndroidRuntime: Process: com nextcloud client  PID: 8552_x000D_
07 09 22:32:28 862  8552  8552 E AndroidRuntime: java lang NullPointerException: Attempt to invoke interface method  boolean com nextcloud client account UserAccountManager isMediaStreamingSupported(android accounts Account)  on a null object reference_x000D_
07 09 22:32:28 862  8552  8552 E AndroidRuntime: 	at com owncloud android ui preview PreviewTextFragment onPrepareOptionsMenu(PreviewTextFragment java:381)_x000D_
07 09 22:32:28 862  8552  8552 E AndroidRuntime: 	at androidx fragment app Fragment performPrepareOptionsMenu(Fragment java:2575)_x000D_
07 09 22:32:28 862  8552  8552 E AndroidRuntime: 	at androidx fragment app FragmentManagerImpl dispatchPrepareOptionsMenu(FragmentManager java:3353)_x000D_
07 09 22:32:28 862  8552  8552 E AndroidRuntime: 	at androidx fragment app FragmentController dispatchPrepareOptionsMenu(FragmentController java:343)_x000D_
07 09 22:32:28 862  8552  8552 E AndroidRuntime: 	at androidx fragment app FragmentActivity onPreparePanel(FragmentActivity java:548)_x000D_
07 09 22:32:28 862  8552  8552 E AndroidRuntime: 	at androidx appcompat view WindowCallbackWrapper onPreparePanel(WindowCallbackWrapper java:99)_x000D_
07 09 22:32:28 862  8552  8552 E AndroidRuntime: 	at androidx appcompat app AppCompatDelegateImpl AppCompatWindowCallback onPreparePanel(AppCompatDelegateImpl java:2576)_x000D_
07 09 22:32:28 862  8552  8552 E AndroidRuntime: 	at androidx appcompat view WindowCallbackWrapper onPreparePanel(WindowCallbackWrapper java:99)_x000D_
07 09 22:32:28 862  8552  8552 E AndroidRuntime: 	at androidx appcompat app ToolbarActionBar ToolbarCallbackWrapper onPreparePanel(ToolbarActionBar java:522)_x000D_
07 09 22:32:28 862  8552  8552 E AndroidRuntime: 	at androidx appcompat app ToolbarActionBar populateOptionsMenu(ToolbarActionBar java:456)_x000D_
07 09 22:32:28 862  8552  8552 E AndroidRuntime: 	at androidx appcompat app ToolbarActionBar 1 run(ToolbarActionBar java:56)_x000D_
07 09 22:32:28 862  8552  8552 E AndroidRuntime: 	at android view Choreographer CallbackRecord run(Choreographer java:1172)_x000D_
07 09 22:32:28 862  8552  8552 E AndroidRuntime: 	at android view Choreographer doCallbacks(Choreographer java:984)_x000D_
07 09 22:32:28 862  8552  8552 E AndroidRuntime: 	at android view Choreographer doFrame(Choreographer java:806)_x000D_
07 09 22:32:28 862  8552  8552 E AndroidRuntime: 	at android view Choreographer FrameDisplayEventReceiver run(Choreographer java:1158)_x000D_
07 09 22:32:28 862  8552  8552 E AndroidRuntime: 	at android os Handler handleCallback(Handler java:873)_x000D_
07 09 22:32:28 862  8552  8552 E AndroidRuntime: 	at android os Handler dispatchMessage(Handler java:99)_x000D_
07 09 22:32:28 862  8552  8552 E AndroidRuntime: 	at android os Looper loop(Looper java:193)_x000D_
07 09 22:32:28 862  8552  8552 E AndroidRuntime: 	at android app ActivityThread main(ActivityThread java:6863)_x000D_
07 09 22:32:28 862  8552  8552 E AndroidRuntime: 	at java lang reflect Method invoke(Native Method)_x000D_
07 09 22:32:28 862  8552  8552 E AndroidRuntime: 	at com android internal os RuntimeInit MethodAndArgsCaller run(RuntimeInit java:537)_x000D_
07 09 22:32:28 862  8552  8552 E AndroidRuntime: 	at com android internal os ZygoteInit main(ZygoteInit java:858)_x000D_
   _x000D_
</t>
  </si>
  <si>
    <t>ttdyce-NHentai-NHViewer-2</t>
  </si>
  <si>
    <t>app will crash if we click on tags option</t>
  </si>
  <si>
    <t xml:space="preserve">  Describe the bug  _x000D_
app will crash if we click on  tags option_x000D_
  To Reproduce  _x000D_
Steps to reproduce the behavior:_x000D_
1  install and open the app_x000D_
2  click on 3 line in the left side_x000D_
3  then click on tags  option_x000D_
4  See error_x000D_
  Screenshots  _x000D_
https:  youtu be B0fOBhY0LUk_x000D_
_x000D_
  Smartphone (please complete the following information):  _x000D_
   Device:  e g  oppo neo 5 _x000D_
   OS:  e g  android 6 1 _x000D_
   Version  e g  1 0 1 _x000D_
_x000D_
_x000D_
_x000D_
  Expected behavior  _x000D_
app will show hentai by taggings_x000D_
  Exception thrown  _x000D_
   FATAL EXCEPTION: main_x000D_
Process: personal ttd nhviewer  PID: 30666_x000D_
java lang StringIndexOutOfBoundsException: length 0  index 0_x000D_
	at java lang String indexAndLength(String java:500)_x000D_
	at java lang String charAt(String java:494)_x000D_
	at personal ttd nhviewer Model tag TagManager getTagRequired(TagManager java:30)_x000D_
	at personal ttd nhviewer Controller fragment TagFragment refreshListData(TagFragment java:186)_x000D_
	at personal ttd nhviewer Controller fragment TagFragment initList(TagFragment java:173)_x000D_
	at personal ttd nhviewer Controller fragment TagFragment onViewCreated(TagFragment java:68)_x000D_
	at android support v4 app FragmentManagerImpl moveToState(FragmentManager java:1471)_x000D_
	at android support v4 app FragmentManagerImpl moveFragmentToExpectedState(FragmentManager java:1784)_x000D_
	at android support v4 app FragmentManagerImpl moveToState(FragmentManager java:1852)_x000D_
	at android support v4 app BackStackRecord executeOps(BackStackRecord java:802)_x000D_
	at android support v4 app FragmentManagerImpl executeOps(FragmentManager java:2625)_x000D_
	at android support v4 app FragmentManagerImpl executeOpsTogether(FragmentManager java:2411)_x000D_
	at android support v4 app FragmentManagerImpl removeRedundantOperationsAndExecute(FragmentManager java:2366)_x000D_
	at android support v4 app FragmentManagerImpl execPendingActions(FragmentManager java:2273)_x000D_
	at android support v4 app FragmentManagerImpl 1 run(FragmentManager java:733)_x000D_
	at android os Handler handleCallback(Handler java:815)_x000D_
	at android os Handler dispatchMessage(Handler java:104)_x000D_
	at android os Looper loop(Looper java:218)_x000D_
	at android app ActivityThread main(ActivityThread java:5657)_x000D_
	at java lang reflect Method invoke(Native Method)_x000D_
	at java lang reflect Method invoke(Method java:372)_x000D_
	at com android internal os ZygoteInit MethodAndArgsCaller run(ZygoteInit java:990)_x000D_
	at com android internal os ZygoteInit main(ZygoteInit java:785)   _x000D_
_x000D_
</t>
  </si>
  <si>
    <t>WycliffeAssociates-translationRecorder-1141</t>
  </si>
  <si>
    <t>Crash when hitting record button when creating Profile</t>
  </si>
  <si>
    <t xml:space="preserve">   User Story
When I hit the record button while recording my name  the app will crash 
1) Create new Profile
2) Press recorder to engage microphone
3) Hit record button during the recording 3 second window
</t>
  </si>
  <si>
    <t>amfoss-TempleApp-74</t>
  </si>
  <si>
    <t>Crash: App is crashing when we select donations in readAll Activity</t>
  </si>
  <si>
    <t xml:space="preserve">  Describe the bug  _x000D_
App is crashing when we click on readAll after selecting donations to see all list of donations_x000D_
_x000D_
_x000D_
  To Reproduce  _x000D_
Steps to reproduce the behavior:_x000D_
1  Go to readAll Activity_x000D_
2  Select Donations and click readAll_x000D_
3  See error_x000D_
_x000D_
  Logs  _x000D_
_x000D_
beginning of crash_x000D_
2019 07 08 18:14:09 047 3902 3902 org amfoss templeapp E AndroidRuntime: FATAL EXCEPTION: main_x000D_
Process: org amfoss templeapp  PID: 3902_x000D_
java lang ArrayIndexOutOfBoundsException: length 3  index 3_x000D_
at org amfoss templeapp adapter MyArrayAdapter getView(MyArrayAdapter java:50)_x000D_
_x000D_
_x000D_
  Smartphone (please complete the following information):  _x000D_
   Device: Samsung J8_x000D_
   OS: Android 9 Pie_x000D_
_x000D_
_x000D_
  Would you like to work on the issue    (Yes No)_x000D_
No_x000D_
</t>
  </si>
  <si>
    <t>ZeevoX-MyHome-11</t>
  </si>
  <si>
    <t>(BUG)[ My Home version 1.0 ]When I connect to WiFi Internet, the application is crashing</t>
  </si>
  <si>
    <t xml:space="preserve">     Project Information_x000D_
  Repository           : Here (https:  github com ZeevoX MyHome)_x000D_
  Project Name         :   MyHome (https:  github com ZeevoX MyHome releases)_x000D_
  Publisher            :   Timothy Langer (https:  github com ZeevoX)_x000D_
  My GitHub account    :   Here (https:  github com XAMIR555)_x000D_
_x000D_
     Expected behavior_x000D_
_x000D_
When I connect WiFi and use the application  all application options should be used and the application should not be crash _x000D_
_x000D_
     Actual behavior_x000D_
_x000D_
When I connect to WiFi Internet  the application is crashing And when I close the application again after WiFi connect  the application crashes and does not open _x000D_
_x000D_
     How to reproduce_x000D_
   Download  (https:  github com ZeevoX MyHome releases)the application _x000D_
  open the application _x000D_
  Connect the WiFi_x000D_
  Note the Bug_x000D_
_x000D_
  Browser App version : 1 0_x000D_
  Operating system    : 9 0 0_x000D_
_x000D_
     Recording Of The Bug_x000D_
  20190708 151516 (https:  user images githubusercontent com 49812927 60803076 3a96b180 a12f 11e9 9d1c 86965b902f8d gif)_x000D_
_x000D_
_x000D_
  Logcat_x000D_
_x000D_
 pre  code 07 08 14:59:10 883 20344 20344 E AndroidRuntime: FATAL EXCEPTION: main_x000D_
07 08 14:59:10 883 20344 20344 E AndroidRuntime: Process: net zeevox myhome  PID: 20344_x000D_
07 08 14:59:10 883 20344 20344 E AndroidRuntime: java lang IllegalArgumentException: Expected URL scheme  http  or  https  but no colon was found_x000D_
07 08 14:59:10 883 20344 20344 E AndroidRuntime: 	at okhttp3 HttpUrl Builder parse(HttpUrl java:1332)_x000D_
07 08 14:59:10 883 20344 20344 E AndroidRuntime: 	at okhttp3 HttpUrl get(HttpUrl java:917)_x000D_
07 08 14:59:10 883 20344 20344 E AndroidRuntime: 	at okhttp3 Request Builder url(Request java:165)_x000D_
07 08 14:59:10 883 20344 20344 E AndroidRuntime: 	at net zeevox myhome WebSocketUtils connectWebSocket(WebSocketUtils java:18)_x000D_
07 08 14:59:10 883 20344 20344 E AndroidRuntime: 	at net zeevox myhome ui MainActivity refreshData(MainActivity java:264)_x000D_
07 08 14:59:10 883 20344 20344 E AndroidRuntime: 	at net zeevox myhome ui MainActivity access 000(MainActivity java:54)_x000D_
07 08 14:59:10 883 20344 20344 E AndroidRuntime: 	at net zeevox myhome ui MainActivity 1 run(MainActivity java:72)_x000D_
07 08 14:59:10 883 20344 20344 E AndroidRuntime: 	at android os Handler handleCallback(Handler java:873)_x000D_
07 08 14:59:10 883 20344 20344 E AndroidRuntime: 	at android os Handler dispatchMessage(Handler java:99)_x000D_
07 08 14:59:10 883 20344 20344 E AndroidRuntime: 	at android os Looper loop(Looper java:214)_x000D_
07 08 14:59:10 883 20344 20344 E AndroidRuntime: 	at android app ActivityThread main(ActivityThread java:7091)_x000D_
07 08 14:59:10 883 20344 20344 E AndroidRuntime: 	at java lang reflect Method invoke(Native Method)_x000D_
07 08 14:59:10 883 20344 20344 E AndroidRuntime: 	at com android internal os RuntimeInit MethodAndArgsCaller run(RuntimeInit java:493)_x000D_
07 08 14:59:10 883 20344 20344 E AndroidRuntime: 	at com android internal os ZygoteInit main(ZygoteInit java:965)_x000D_
07 08 14:59:13 334 20449 20449 E AndroidRuntime: FATAL EXCEPTION: main_x000D_
07 08 14:59:13 334 20449 20449 E AndroidRuntime: Process: net zeevox myhome  PID: 20449_x000D_
07 08 14:59:13 334 20449 20449 E AndroidRuntime: java lang IllegalArgumentException: Expected URL scheme  http  or  https  but no colon was found_x000D_
07 08 14:59:13 334 20449 20449 E AndroidRuntime: 	at okhttp3 HttpUrl Builder parse(HttpUrl java:1332)_x000D_
07 08 14:59:13 334 20449 20449 E AndroidRuntime: 	at okhttp3 HttpUrl get(HttpUrl java:917)_x000D_
07 08 14:59:13 334 20449 20449 E AndroidRuntime: 	at okhttp3 Request Builder url(Request java:165)_x000D_
07 08 14:59:13 334 20449 20449 E AndroidRuntime: 	at net zeevox myhome WebSocketUtils connectWebSocket(WebSocketUtils java:18)_x000D_
07 08 14:59:13 334 20449 20449 E AndroidRuntime: 	at net zeevox myhome ui MainActivity refreshData(MainActivity java:264)_x000D_
07 08 14:59:13 334 20449 20449 E AndroidRuntime: 	at net zeevox myhome ui MainActivity access 000(MainActivity java:54)_x000D_
07 08 14:59:13 334 20449 20449 E AndroidRuntime: 	at net zeevox myhome ui MainActivity 1 run(MainActivity java:72)_x000D_
07 08 14:59:13 334 20449 20449 E AndroidRuntime: 	at android os Handler handleCallback(Handler java:873)_x000D_
07 08 14:59:13 334 20449 20449 E AndroidRuntime: 	at android os Handler dispatchMessage(Handler java:99)_x000D_
07 08 14:59:13 334 20449 20449 E AndroidRuntime: 	at android os Looper loop(Looper java:214)_x000D_
07 08 14:59:13 334 20449 20449 E AndroidRuntime: 	at android app ActivityThread main(ActivityThread java:7091)_x000D_
07 08 14:59:13 334 20449 20449 E AndroidRuntime: 	at java lang reflect Method invoke(Native Method)_x000D_
07 08 14:59:13 334 20449 20449 E AndroidRuntime: 	at com android internal os RuntimeInit MethodAndArgsCaller run(RuntimeInit java:493)_x000D_
07 08 14:59:13 334 20449 20449 E AndroidRuntime: 	at com android internal os ZygoteInit main(ZygoteInit java:965)_x000D_
07 08 14:59:16 443 20541 20541 E AndroidRuntime: FATAL EXCEPTION: main_x000D_
07 08 14:59:16 443 20541 20541 E AndroidRuntime: Process: net zeevox myhome  PID: 20541_x000D_
07 08 14:59:16 443 20541 20541 E AndroidRuntime: java lang IllegalArgumentException: Expected URL scheme  http  or  https  but no colon was found_x000D_
07 08 14:59:16 443 20541 20541 E AndroidRuntime: 	at okhttp3 HttpUrl Builder parse(HttpUrl java:1332)_x000D_
07 08 14:59:16 443 20541 20541 E AndroidRuntime: 	at okhttp3 HttpUrl get(HttpUrl java:917)_x000D_
07 08 14:59:16 443 20541 20541 E AndroidRuntime: 	at okhttp3 Request Builder url(Request java:165)_x000D_
07 08 14:59:16 443 20541 20541 E AndroidRuntime: 	at net zeevox myhome WebSocketUtils connectWebSocket(WebSocketUtils java:18)_x000D_
07 08 14:59:16 443 20541 20541 E AndroidRuntime: 	at net zeevox myhome ui MainActivity refreshData(MainActivity java:264)_x000D_
07 08 14:59:16 443 20541 20541 E AndroidRuntime: 	at net zeevox myhome ui MainActivity access 000(MainActivity java:54)_x000D_
07 08 14:59:16 443 20541 20541 E AndroidRuntime: 	at net zeevox myhome ui MainActivity 1 run(MainActivity java:72)_x000D_
07 08 14:59:16 443 20541 20541 E AndroidRuntime: 	at android os Handler handleCallback(Handler java:873)_x000D_
07 08 14:59:16 443 20541 20541 E AndroidRuntime: 	at android os Handler dispatchMessage(Handler java:99)_x000D_
07 08 14:59:16 443 20541 20541 E AndroidRuntime: 	at android os Looper loop(Looper java:214)_x000D_
07 08 14:59:16 443 20541 20541 E AndroidRuntime: 	at android app ActivityThread main(ActivityThread java:7091)_x000D_
07 08 14:59:16 443 20541 20541 E AndroidRuntime: 	at java lang reflect Method invoke(Native Method)_x000D_
07 08 14:59:16 443 20541 20541 E AndroidRuntime: 	at com android internal os RuntimeInit MethodAndArgsCaller run(RuntimeInit java:493)_x000D_
07 08 14:59:16 443 20541 20541 E AndroidRuntime: 	at com android internal os ZygoteInit main(ZygoteInit java:965)_x000D_
07 08 14:59:19 204 20574 20574 E AndroidRuntime: FATAL EXCEPTION: main_x000D_
07 08 14:59:19 204 20574 20574 E AndroidRuntime: Process: net zeevox myhome  PID: 20574_x000D_
07 08 14:59:19 204 20574 20574 E AndroidRuntime: java lang IllegalArgumentException: Expected URL scheme  http  or  https  but no colon was found_x000D_
07 08 14:59:19 204 20574 20574 E AndroidRuntime: 	at okhttp3 HttpUrl Builder parse(HttpUrl java:1332)_x000D_
07 08 14:59:19 204 20574 20574 E AndroidRuntime: 	at okhttp3 HttpUrl get(HttpUrl java:917)_x000D_
07 08 14:59:19 204 20574 20574 E AndroidRuntime: 	at okhttp3 Request Builder url(Request java:165)_x000D_
07 08 14:59:19 204 20574 20574 E AndroidRuntime: 	at net zeevox myhome WebSocketUtils connectWebSocket(WebSocketUtils java:18)_x000D_
07 08 14:59:19 204 20574 20574 E AndroidRuntime: 	at net zeevox myhome ui MainActivity refreshData(MainActivity java:264)_x000D_
07 08 14:59:19 204 20574 20574 E AndroidRuntime: 	at net zeevox myhome ui MainActivity access 000(MainActivity java:54)_x000D_
07 08 14:59:19 204 20574 20574 E AndroidRuntime: 	at net zeevox myhome ui MainActivity 1 run(MainActivity java:72)_x000D_
07 08 14:59:19 204 20574 20574 E AndroidRuntime: 	at android os Handler handleCallback(Handler java:873)_x000D_
07 08 14:59:19 204 20574 20574 E AndroidRuntime: 	at android os Handler dispatchMessage(Handler java:99)_x000D_
07 08 14:59:19 204 20574 20574 E AndroidRuntime: 	at android os Looper loop(Looper java:214)_x000D_
07 08 14:59:19 204 20574 20574 E AndroidRuntime: 	at android app ActivityThread main(ActivityThread java:7091)_x000D_
07 08 14:59:19 204 20574 20574 E AndroidRuntime: 	at java lang reflect Method invoke(Native Method)_x000D_
07 08 14:59:19 204 20574 20574 E AndroidRuntime: 	at com android internal os RuntimeInit MethodAndArgsCaller run(RuntimeInit java:493)_x000D_
07 08 14:59:19 204 20574 20574 E AndroidRuntime: 	at com android internal os ZygoteInit main(ZygoteInit java:965)_x000D_
  code   pre </t>
  </si>
  <si>
    <t>ZeevoX-MyHome-10</t>
  </si>
  <si>
    <t>(BUG)[ My Home version 1.0 ] the application crashes when i click on Welcome home or heater option</t>
  </si>
  <si>
    <t xml:space="preserve">     Project Information_x000D_
  Repository           : Here (https:  github com ZeevoX MyHome)_x000D_
  Project Name         :   MyHome (https:  github com ZeevoX MyHome releases)_x000D_
  Publisher            :   Timothy Langer (https:  github com ZeevoX)_x000D_
  My GitHub account    :   Here (https:  github com XAMIR555)_x000D_
_x000D_
     Expected behavior_x000D_
When you click Welcome home or heater option  more options should appear and the application should not crash_x000D_
_x000D_
     Actual behavior_x000D_
_x000D_
the application crashes when i click on Welcome home or heater option_x000D_
_x000D_
     How to reproduce_x000D_
   Download  (https:  github com ZeevoX MyHome releases)the application _x000D_
  open the application _x000D_
   click on Welcome home or heater option_x000D_
  Note the Bug_x000D_
_x000D_
  Browser App version : 1 0_x000D_
  Operating system    : 9 0 0_x000D_
_x000D_
     Recording Of The Bug_x000D_
_x000D_
  20190708 150006 (https:  user images githubusercontent com 49812927 60802134 1f2aa700 a12d 11e9 81fc 0ee65c9bec7d gif)_x000D_
_x000D_
  Logcat_x000D_
_x000D_
 pre  code 07 08 14:59:10 883 20344 20344 E AndroidRuntime: FATAL EXCEPTION: main_x000D_
07 08 14:59:10 883 20344 20344 E AndroidRuntime: Process: net zeevox myhome  PID: 20344_x000D_
07 08 14:59:10 883 20344 20344 E AndroidRuntime: java lang IllegalArgumentException: Expected URL scheme  http  or  https  but no colon was found_x000D_
07 08 14:59:10 883 20344 20344 E AndroidRuntime: 	at okhttp3 HttpUrl Builder parse(HttpUrl java:1332)_x000D_
07 08 14:59:10 883 20344 20344 E AndroidRuntime: 	at okhttp3 HttpUrl get(HttpUrl java:917)_x000D_
07 08 14:59:10 883 20344 20344 E AndroidRuntime: 	at okhttp3 Request Builder url(Request java:165)_x000D_
07 08 14:59:10 883 20344 20344 E AndroidRuntime: 	at net zeevox myhome WebSocketUtils connectWebSocket(WebSocketUtils java:18)_x000D_
07 08 14:59:10 883 20344 20344 E AndroidRuntime: 	at net zeevox myhome ui MainActivity refreshData(MainActivity java:264)_x000D_
07 08 14:59:10 883 20344 20344 E AndroidRuntime: 	at net zeevox myhome ui MainActivity access 000(MainActivity java:54)_x000D_
07 08 14:59:10 883 20344 20344 E AndroidRuntime: 	at net zeevox myhome ui MainActivity 1 run(MainActivity java:72)_x000D_
07 08 14:59:10 883 20344 20344 E AndroidRuntime: 	at android os Handler handleCallback(Handler java:873)_x000D_
07 08 14:59:10 883 20344 20344 E AndroidRuntime: 	at android os Handler dispatchMessage(Handler java:99)_x000D_
07 08 14:59:10 883 20344 20344 E AndroidRuntime: 	at android os Looper loop(Looper java:214)_x000D_
07 08 14:59:10 883 20344 20344 E AndroidRuntime: 	at android app ActivityThread main(ActivityThread java:7091)_x000D_
07 08 14:59:10 883 20344 20344 E AndroidRuntime: 	at java lang reflect Method invoke(Native Method)_x000D_
07 08 14:59:10 883 20344 20344 E AndroidRuntime: 	at com android internal os RuntimeInit MethodAndArgsCaller run(RuntimeInit java:493)_x000D_
07 08 14:59:10 883 20344 20344 E AndroidRuntime: 	at com android internal os ZygoteInit main(ZygoteInit java:965)_x000D_
07 08 14:59:13 334 20449 20449 E AndroidRuntime: FATAL EXCEPTION: main_x000D_
07 08 14:59:13 334 20449 20449 E AndroidRuntime: Process: net zeevox myhome  PID: 20449_x000D_
07 08 14:59:13 334 20449 20449 E AndroidRuntime: java lang IllegalArgumentException: Expected URL scheme  http  or  https  but no colon was found_x000D_
07 08 14:59:13 334 20449 20449 E AndroidRuntime: 	at okhttp3 HttpUrl Builder parse(HttpUrl java:1332)_x000D_
07 08 14:59:13 334 20449 20449 E AndroidRuntime: 	at okhttp3 HttpUrl get(HttpUrl java:917)_x000D_
07 08 14:59:13 334 20449 20449 E AndroidRuntime: 	at okhttp3 Request Builder url(Request java:165)_x000D_
07 08 14:59:13 334 20449 20449 E AndroidRuntime: 	at net zeevox myhome WebSocketUtils connectWebSocket(WebSocketUtils java:18)_x000D_
07 08 14:59:13 334 20449 20449 E AndroidRuntime: 	at net zeevox myhome ui MainActivity refreshData(MainActivity java:264)_x000D_
07 08 14:59:13 334 20449 20449 E AndroidRuntime: 	at net zeevox myhome ui MainActivity access 000(MainActivity java:54)_x000D_
07 08 14:59:13 334 20449 20449 E AndroidRuntime: 	at net zeevox myhome ui MainActivity 1 run(MainActivity java:72)_x000D_
07 08 14:59:13 334 20449 20449 E AndroidRuntime: 	at android os Handler handleCallback(Handler java:873)_x000D_
07 08 14:59:13 334 20449 20449 E AndroidRuntime: 	at android os Handler dispatchMessage(Handler java:99)_x000D_
07 08 14:59:13 334 20449 20449 E AndroidRuntime: 	at android os Looper loop(Looper java:214)_x000D_
07 08 14:59:13 334 20449 20449 E AndroidRuntime: 	at android app ActivityThread main(ActivityThread java:7091)_x000D_
07 08 14:59:13 334 20449 20449 E AndroidRuntime: 	at java lang reflect Method invoke(Native Method)_x000D_
07 08 14:59:13 334 20449 20449 E AndroidRuntime: 	at com android internal os RuntimeInit MethodAndArgsCaller run(RuntimeInit java:493)_x000D_
07 08 14:59:13 334 20449 20449 E AndroidRuntime: 	at com android internal os ZygoteInit main(ZygoteInit java:965)_x000D_
07 08 14:59:16 443 20541 20541 E AndroidRuntime: FATAL EXCEPTION: main_x000D_
07 08 14:59:16 443 20541 20541 E AndroidRuntime: Process: net zeevox myhome  PID: 20541_x000D_
07 08 14:59:16 443 20541 20541 E AndroidRuntime: java lang IllegalArgumentException: Expected URL scheme  http  or  https  but no colon was found_x000D_
07 08 14:59:16 443 20541 20541 E AndroidRuntime: 	at okhttp3 HttpUrl Builder parse(HttpUrl java:1332)_x000D_
07 08 14:59:16 443 20541 20541 E AndroidRuntime: 	at okhttp3 HttpUrl get(HttpUrl java:917)_x000D_
07 08 14:59:16 443 20541 20541 E AndroidRuntime: 	at okhttp3 Request Builder url(Request java:165)_x000D_
07 08 14:59:16 443 20541 20541 E AndroidRuntime: 	at net zeevox myhome WebSocketUtils connectWebSocket(WebSocketUtils java:18)_x000D_
07 08 14:59:16 443 20541 20541 E AndroidRuntime: 	at net zeevox myhome ui MainActivity refreshData(MainActivity java:264)_x000D_
07 08 14:59:16 443 20541 20541 E AndroidRuntime: 	at net zeevox myhome ui MainActivity access 000(MainActivity java:54)_x000D_
07 08 14:59:16 443 20541 20541 E AndroidRuntime: 	at net zeevox myhome ui MainActivity 1 run(MainActivity java:72)_x000D_
07 08 14:59:16 443 20541 20541 E AndroidRuntime: 	at android os Handler handleCallback(Handler java:873)_x000D_
07 08 14:59:16 443 20541 20541 E AndroidRuntime: 	at android os Handler dispatchMessage(Handler java:99)_x000D_
07 08 14:59:16 443 20541 20541 E AndroidRuntime: 	at android os Looper loop(Looper java:214)_x000D_
07 08 14:59:16 443 20541 20541 E AndroidRuntime: 	at android app ActivityThread main(ActivityThread java:7091)_x000D_
07 08 14:59:16 443 20541 20541 E AndroidRuntime: 	at java lang reflect Method invoke(Native Method)_x000D_
07 08 14:59:16 443 20541 20541 E AndroidRuntime: 	at com android internal os RuntimeInit MethodAndArgsCaller run(RuntimeInit java:493)_x000D_
07 08 14:59:16 443 20541 20541 E AndroidRuntime: 	at com android internal os ZygoteInit main(ZygoteInit java:965)_x000D_
  code   pre </t>
  </si>
  <si>
    <t>LawnchairLauncher-lawnchair-1636</t>
  </si>
  <si>
    <t xml:space="preserve">launcher crashes when setting wallpaper </t>
  </si>
  <si>
    <t xml:space="preserve"> Lawnchair bug report 08 Jul 2019 3 27 32 PM txt (https:  github com LawnchairLauncher Lawnchair files 3367828 Lawnchair bug report 08 Jul 2019 3 27 32 PM txt)_x000D_
      Provide a general summary of the issue in the Title above    _x000D_
      Check if your issue or something similar has been reported before (if yes upvote comment there)    _x000D_
      Please not that we don t accept any bug reports for Versions 1   anymore    _x000D_
_x000D_
   Description_x000D_
launcher crashes when setting wallpaper from the google photos app_x000D_
_x000D_
_x000D_
   Expected Behavior_x000D_
      Tell us what should happen    _x000D_
_x000D_
_x000D_
   Actual Behavior_x000D_
      Tell us what happens instead    _x000D_
_x000D_
_x000D_
   Steps to Reproduce_x000D_
      Provide a link to a live example (screenshot recording etc  )  or a set of steps to reproduce the issue    _x000D_
_x000D_
1 _x000D_
2 _x000D_
3 _x000D_
4 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Device:_x000D_
  Android version:_x000D_
  Launcher version:_x000D_
  Rom:_x000D_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https:  del dog uwovijisuq sql_x000D_
</t>
  </si>
  <si>
    <t>SecUSo-privacy-friendly-food-tracker-55</t>
  </si>
  <si>
    <t>The app  crashed when i wanted to add  a new entry</t>
  </si>
  <si>
    <t>MY SHORT EXPERIENCE ON FOOD TRACKER_x000D_
Not long ago  I was thinking of the best way to start tracking my daily calorie consumption  I searched using Google and after a long search found the food tracker Android application  I went on to read the write up concerning the application and found it very interesting and simple  I was impressed with the functionality  downloaded the application from Fossdroid com_x000D_
After downloading  I installed the food tracker application and immediately opened it after installation  It pops up with a welcome note  I was at first relieved that I have found the right application to help achieve the goal of tracking my daily calorie consumption but to my disbelief  the experience was shocking because it came up with unexpected behavior _x000D_
_x000D_
REPORTING THE BUG_x000D_
Expected Behaviour_x000D_
The application should have open an overview screen for the consumed calories of the chosen date where I can add an entry when I touch the     symbol immediately without taking any time _x000D_
_x000D_
Actual Behaviour_x000D_
When I touch a day on the calendar to input a new entry as a first time user  it crashed saying (Food tracker has stooped) _x000D_
_x000D_
HOW TO REPRODUCE_x000D_
1 Download the Food tracker application_x000D_
2  Open the application_x000D_
It shows a welcome message  Key elements  Github and guide and lastly shows Calendar_x000D_
3   Touch a day to insert a new entry_x000D_
4  Noticing the Bug_x000D_
_x000D_
App version: 1 0 1_x000D_
Smartphone: Tecno WX3_x000D_
Operating System   Android 7 0_x000D_
_x000D_
RECORDING THE BUG_x000D_
https:  www youtube com watch v TWFqEcVjjjQ_x000D_
_x000D_
GITHUB PROFILE:_x000D_
https:  github com adewararilwan</t>
  </si>
  <si>
    <t>applicaster-plugins-ParentLockScreenPlugin-Android-2</t>
  </si>
  <si>
    <t>Fix(crash): Use getFragmentContainerID to get the correct container a…</t>
  </si>
  <si>
    <t xml:space="preserve"> nd avoid crashing_x000D_
_x000D_
Until now  we assumed that the container id is content frame  now we take the correct one every time</t>
  </si>
  <si>
    <t>project-travel-mate-Travel-Mate-691</t>
  </si>
  <si>
    <t>App crashed when i select and crop image for profile.</t>
  </si>
  <si>
    <t xml:space="preserve">Describe the bug _x000D_
When I tried to select an image for my profile I clicked on the upload and the complete action  I selected the image I want to use and click on the crop function immediately I clicked on crop the app crashed _x000D_
_x000D_
    Screen recording _x000D_
https:  youtu be cwIxaIMT6 8_x000D_
_x000D_
    Devices and Versions)_x000D_
_x000D_
  Device:  Gionee  X1 _x000D_
_x000D_
  Version  7 0 _x000D_
_x000D_
  App version  5 5 0 </t>
  </si>
  <si>
    <t>mgks-Android-SmartWebView-92</t>
  </si>
  <si>
    <t>Handle file request cancellation gracefully</t>
  </si>
  <si>
    <t xml:space="preserve">If the file request was cancelled (i e  because the user exited from the camera without taking a photo  or dismissed the intent chooser rather than making a choice)  a null value must be sent in order to prevent future file requests from failing _x000D_
_x000D_
We were finding that although the first request worked fine  and subsequent requests also worked if you d taken a photo   chosen a file  if you cancelled the process instead  the intent chooser simply doesn t show when you subsequently trigger the file input again   This doesn t seem to happen in all cases  I tried to put together a minimal test case  but haven t managed to replicate the issue in a minimal enough form to share yet _x000D_
_x000D_
While debugging the issue  I came across  this StackOverflow post (https:  stackoverflow com a 50606783)  which suggests that it s important to call the callback with a null parameter if the request was cancelled   After adding handling for the  RESULT CANCELED  result in  onActivityResult()   I started getting an app crash when re triggering the file input after the cancellation   until I removed the call to  asw file path onReceiveValue(null)   from  onShowFileChooser()   which I think might have been intended to serve the same purpose as the  RESULT CANCELED  handler  but seems to conflict with it </t>
  </si>
  <si>
    <t>SecUSo-privacy-friendly-food-tracker-54</t>
  </si>
  <si>
    <t>App crashed when I clicked any date on the calendar</t>
  </si>
  <si>
    <t xml:space="preserve">    Describe the bug _x000D_
When I clicked on any date on the calendar  the app crashed_x000D_
_x000D_
    Screen recording _x000D_
_x000D_
https:  youtu be uEmO53goVsM_x000D_
_x000D_
    Devices and Versions)_x000D_
  Device:  Gionee  X1 _x000D_
_x000D_
  Version  7 0 _x000D_
_x000D_
  App version  1 0 1 _x000D_
_x000D_
    Log_x000D_
   07 07 09:07:28 842  8060  8060 E AndroidRuntime: FATAL EXCEPTION: main_x000D_
07 07 09:07:28 842  8060  8060 E AndroidRuntime: Process: org secuso privacyfriendlyfoodtracker  PID: 8060_x000D_
07 07 09:07:28 842  8060  8060 E AndroidRuntime: java lang RuntimeException: Unable to resume activity  org secuso privacyfriendlyfoodtracker org secuso privacyfriendlyfoodtracker activities OverviewActivity : java lang NullPointerException: Attempt to invoke virtual method  org secuso privacyfriendlyfoodtracker activities adapter DatabaseEntry   org secuso privacyfriendlyfoodtracker activities adapter DatabaseFacade getEntriesForDay(java util Date)  on a null object reference_x000D_
07 07 09:07:28 842  8060  8060 E AndroidRuntime: 	at android app ActivityThread performResumeActivity(ActivityThread java:3104)_x000D_
07 07 09:07:28 842  8060  8060 E AndroidRuntime: 	at android app ActivityThread handleResumeActivity(ActivityThread java:3135)_x000D_
07 07 09:07:28 842  8060  8060 E AndroidRuntime: 	at android app ActivityThread handleLaunchActivity(ActivityThread java:2482)_x000D_
07 07 09:07:28 842  8060  8060 E AndroidRuntime: 	at android app ActivityThread  wrap11(ActivityThread java)_x000D_
07 07 09:07:28 842  8060  8060 E AndroidRuntime: 	at android app ActivityThread H handleMessage(ActivityThread java:1345)_x000D_
07 07 09:07:28 842  8060  8060 E AndroidRuntime: 	at android os Handler dispatchMessage(Handler java:102)_x000D_
07 07 09:07:28 842  8060  8060 E AndroidRuntime: 	at android os Looper loop(Looper java:148)_x000D_
07 07 09:07:28 842  8060  8060 E AndroidRuntime: 	at android app ActivityThread main(ActivityThread java:5452)_x000D_
07 07 09:07:28 842  8060  8060 E AndroidRuntime: 	at java lang reflect Method invoke(Native Method)_x000D_
07 07 09:07:28 842  8060  8060 E AndroidRuntime: 	at com android internal os ZygoteInit MethodAndArgsCaller run(ZygoteInit java:781)_x000D_
07 07 09:07:28 842  8060  8060 E AndroidRuntime: 	at com android internal os ZygoteInit main(ZygoteInit java:671)_x000D_
07 07 09:07:28 842  8060  8060 E AndroidRuntime: Caused by: java lang NullPointerException: Attempt to invoke virtual method  org secuso privacyfriendlyfoodtracker activities adapter DatabaseEntry   org secuso privacyfriendlyfoodtracker activities adapter DatabaseFacade getEntriesForDay(java util Date)  on a null object reference_x000D_
07 07 09:07:28 842  8060  8060 E AndroidRuntime: 	at org secuso privacyfriendlyfoodtracker activities OverviewActivity refreshTotalCalorieCounter(OverviewActivity java:276)_x000D_
07 07 09:07:28 842  8060  8060 E AndroidRuntime: 	at org secuso privacyfriendlyfoodtracker activities OverviewActivity onResume(OverviewActivity java:101)_x000D_
07 07 09:07:28 842  8060  8060 E AndroidRuntime: 	at android app Instrumentation callActivityOnResume(Instrumentation java:1261)_x000D_
07 07 09:07:28 842  8060  8060 E AndroidRuntime: 	at android app Activity performResume(Activity java:6381)_x000D_
07 07 09:07:28 842  8060  8060 E AndroidRuntime: 	at android app ActivityThread performResumeActivity(ActivityThread java:3093)   </t>
  </si>
  <si>
    <t>nikita36078-J2ME-Loader-544</t>
  </si>
  <si>
    <t>Siberian Strike (monochrome) bug</t>
  </si>
  <si>
    <t xml:space="preserve">  Emulator version:  _x000D_
1 5 0 open_x000D_
_x000D_
  Game version:  _x000D_
1 1 2_x000D_
_x000D_
  Game resolution:  _x000D_
  96x65  _x000D_
_x000D_
  Device:  _x000D_
  Redmi 5A  _x000D_
_x000D_
  Android version:  _x000D_
7 1 2_x000D_
_x000D_
  Description of the issue:  _x000D_
In game crashes  graphics flashes uncontrollably_x000D_
_x000D_
 log txt (https:  pastebin com 0sP7P1Uj) _x000D_
</t>
  </si>
  <si>
    <t>deltachat-deltachat-android-996</t>
  </si>
  <si>
    <t>Sharing from special app crashed</t>
  </si>
  <si>
    <t xml:space="preserve">    _x000D_
This is a bug report tracker  New features are discussed in the forum: https:  support delta chat_x000D_
_x000D_
Please fill out as much of this form as you can (leaving out stuff that is not applicable is ok) _x000D_
   _x000D_
It crashed by sharing from this app: https:  play google com store apps details id de badischezeitung smart_x000D_
_x000D_
There are also other News Apps who using (probably) the same software as Badische Zeitung _x000D_
So I think this issue also concerns also other Apps _x000D_
_x000D_
  Platform (android blackberry anbox): Android 7_x000D_
  Device: Huawei nova_x000D_
  Delta Chat Version: 0 500 0_x000D_
  Expected behavior: Sharing links to DC_x000D_
  Actual behavior: Chrash of DC_x000D_
</t>
  </si>
  <si>
    <t>nextcloud-android-4205</t>
  </si>
  <si>
    <t>Sticky broadcast giving security exception in Android for work in Android P</t>
  </si>
  <si>
    <t xml:space="preserve">    Actual behaviour_x000D_
  I installed Nextcloud from Play Store in an Android for Work environment  After login and getting access to filesystem the app crashes_x000D_
  every retry to open the app ends directly in an crash _x000D_
_x000D_
    Expected behaviour_x000D_
  It should launch the application correctly_x000D_
 _x000D_
    Steps to reproduce_x000D_
1  Configure Android for Work_x000D_
2  Install Nextcloud android app and configure it_x000D_
3  Launch it one time  _x000D_
_x000D_
_x000D_
    Environment data_x000D_
Android version: 9 patch version 05 05 2019_x000D_
_x000D_
Device model: HUAWEI P20 lite_x000D_
_x000D_
Stock or customized system: stock_x000D_
_x000D_
Nextcloud app version: 3 6 2_x000D_
_x000D_
Nextcloud server version: 15 0 9_x000D_
_x000D_
    Logs_x000D_
     Web server error log_x000D_
Nothing_x000D_
_x000D_
     Nextcloud log (data nextcloud log)_x000D_
_x000D_
  07 05 21:28:46 172 18341 18341 W InputMethodManager: startInputReason   1_x000D_
  07 05 21:28:46 177 18341 18341 D FileDisplayActivity: Received broadcast com owncloud android syncadapter FileSyncAdapter EVENT FULL SYNC START_x000D_
  07 05 21:28:46 179  1138  3469 W ActivityManager: Permission Denial: unbroadcastIntent() from pid 18341  uid 1110168 requires android permission BROADCAST STICKY_x000D_
  07 05 21:28:46 179  1138  3469 W System err: java lang SecurityException: Permission Denial: unbroadcastIntent() from pid 18341  uid 1110168 requires android permission BROADCAST STICKY_x000D_
  07 05 21:28:46 181 18341 18341 D AndroidRuntime: Shutting down VM_x000D_
  07 05 21:28:46 182 18341 18341 E AndroidRuntime: FATAL EXCEPTION: main_x000D_
  07 05 21:28:46 182 18341 18341 E AndroidRuntime: Process: com nextcloud client  PID: 18341_x000D_
  07 05 21:28:46 182 18341 18341 E AndroidRuntime: java lang RuntimeException: Error receiving broadcast Intent   act com owncloud android syncadapter FileSyncAdapter EVENT FULL SYNC START flg 0x10 pkg com nextcloud client (has extras)   in com owncloud android ui activity FileDisplayActivity SyncBroadcastReceiver 4b91581_x000D_
_x000D_
    Workaround_x000D_
_x000D_
after searching for  android permission BROADCAST STICKY  I found this:_x000D_
 Sticky broadcast giving security exception in Android for work in Android P (https:  stackoverflow com questions 53244575 sticky broadcast giving security exception in android for work in android p)_x000D_
_x000D_
so when I installed nextcloud also in normal user space (only install  no launch) the application in work profile will work as expected _x000D_
</t>
  </si>
  <si>
    <t>opensrp-opensrp-client-reveal-289</t>
  </si>
  <si>
    <t>Case Confirmation Form Save Crashes App</t>
  </si>
  <si>
    <t xml:space="preserve">The app crashes when you save the case confirmation form  When you login again  the case confirmation displays as complete  This is likely a crash in a post save action </t>
  </si>
  <si>
    <t>LawnchairLauncher-lawnchair-1632</t>
  </si>
  <si>
    <t>Lawnchair crashes when enabling folder cover</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</si>
  <si>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Video_x000D_
      Tell us what should happen    _x000D_
https:  drive google com file d 1 9cLuX0utrXFerABayjGFh YVcuRk9HT view usp drivesdk_x000D_
_x000D_
   Steps to Reproduce_x000D_
      Provide a link to a live example (screenshot recording etc  )  or a set of steps to reproduce the issue    _x000D_
_x000D_
1  Add icons to folder_x000D_
2  Go to folder settings   enable folder cover_x000D_
3  Hide settings and open they again_x000D_
4  Disable folder cover and set swipe up action_x000D_
5  Hide settings and try to open folder_x000D_
6  Lawnchair will crash_x000D_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Device:_x000D_
  Android version: Pie_x000D_
  Launcher version: 2268_x000D_
  Rom: Pixel Experience_x000D_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https:  del dog fitaseconi_x000D_
</t>
  </si>
  <si>
    <t>LawnchairLauncher-lawnchair-1630</t>
  </si>
  <si>
    <t>Lawnchair crashes when user deletes app search provider</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</si>
  <si>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_x000D_
      Provide a general summary of the issue in the Title above    _x000D_
      Check if your issue or something similar has been reported before (if yes upvote comment there)    _x000D_
      Please not that we don t accept any bug reports for Versions 1   anymore    _x000D_
_x000D_
   Steps to Reproduce_x000D_
      Provide a link to a live example (screenshot recording etc  )  or a set of steps to reproduce the issue    _x000D_
_x000D_
1  Install Sesame (or other search provider)_x000D_
2  Enable Sesame integration   set sesame as search provider   restart lawnchair_x000D_
3  Uninstall Sesame and click on Lawnchair search field_x000D_
4  Lawnchair crashes_x000D_
5  Go to settings and try enter to Search or Integration menu_x000D_
6  Lawnchair crashes_x000D_
_x000D_
   Expected Behavior_x000D_
      Tell us what should happen    _x000D_
Lawnchair should reset search provider to built in (like Google (web)) after user deletes app provider (like sesame  google app)_x000D_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x00t_x000D_
  Android version: Pie_x000D_
  Launcher version: 2268_x000D_
  Rom: Pixel Experience</t>
  </si>
  <si>
    <t>LawnchairLauncher-lawnchair-1629</t>
  </si>
  <si>
    <t>After restoring backup At a glance widget crashes Lawnchair</t>
  </si>
  <si>
    <t xml:space="preserve">      Provide a general summary of the issue in the Title above    _x000D_
      Check if your issue or something similar has been reported before (if yes upvote comment there)    _x000D_
      Please not that we don t accept any bug reports for Versions 1   anymore    _x000D_
  scrrr (https:  user images githubusercontent com 49860671 60737836 b1e10f80 9f8e 11e9 8858 c220d8ad35d7 png)_x000D_
_x000D_
   Description_x000D_
      Provide a more detailed introduction to the issue itself  and why you consider it to be a bug    _x000D_
After cleaning lawnchair data and restoring backup on desktop appears white square with lawnchair logo instead At a glance widget  When i try to move this widget Lawnchair crashes  If I tap widget i ll get message about creating widget but when i click OK nothing happens _x000D_
Also Lawnchair crashes when you try to move any unloaded widget after restoring_x000D_
_x000D_
   Expected Behavior_x000D_
      Tell us what should happen    _x000D_
Restoring backups should also properly restore At a glance widget_x000D_
_x000D_
   Actual Behavior_x000D_
      Tell us what happens instead    _x000D_
Restoring backup did not resetore At a glance widget _x000D_
_x000D_
   Steps to Reproduce_x000D_
      Provide a link to a live example (screenshot recording etc  )  or a set of steps to reproduce the issue    _x000D_
_x000D_
1  Create backup with At a glance widget_x000D_
2  Go to Android Settings and clear data   cache of Lawnchair_x000D_
3  Restore backup_x000D_
4  You ll see a square instead of At a glance_x000D_
5  Try to move resize click_x000D_
6  Lawnchair gets crashed_x000D_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x00t_x000D_
  Android version: Pie_x000D_
  Launcher version: 2268_x000D_
  Rom: Pixel Experience_x000D_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(after trying to move)_x000D_
https:  del dog upolifenuf_x000D_
</t>
  </si>
  <si>
    <t>opentok-opentok-react-native-308</t>
  </si>
  <si>
    <t>Crash when using iOS 13 Beta</t>
  </si>
  <si>
    <t xml:space="preserve">I know iOS 13 is currently still in beta but wanted to bring this up _x000D_
_x000D_
I ve also updated the project to react native 0 60_x000D_
Currently running iOS 13 Beta 3_x000D_
_x000D_
Even crashed on an older react native build that currently works on iOS 12_x000D_
_x000D_
When starting the video chat it immediately crashes  _x000D_
_x000D_
Below is the last few lines in Xcode 11 beta _x000D_
Doesn t really give good direction on what is causing the error  _x000D_
_x000D_
Thanks _x000D_
_x000D_
_x000D_
_x000D_
_x000D_
_x000D_
Please update the following components: OTPublisher_x000D_
_x000D_
Learn more about this warning here:_x000D_
https:  fb me react async component lifecycle hooks_x000D_
2019 07 05 10:21:31 391190 0500 784:140876  Warning: componentWillMount is deprecated and will be removed in the next major version  Use componentDidMount instead  As a temporary workaround  you can rename to UNSAFE componentWillMount _x000D_
_x000D_
Please update the following components: OTPublisher_x000D_
_x000D_
Learn more about this warning here:_x000D_
https:  fb me react async component lifecycle hooks_x000D_
2019 07 05 10:21:31 411  info  tid:com facebook react JavaScript  1_x000D_
2019 07 05 10:21:31 411181 0500 784:140876  1_x000D_
2019 07 05 10:21:31 434694 0500   784:140563  Metal GPU Frame Capture Enabled_x000D_
2019 07 05 10:21:31 440304 0500 784:140563  Metal API Validation Enabled_x000D_
(lldb) _x000D_
</t>
  </si>
  <si>
    <t>microg-GmsCore-869</t>
  </si>
  <si>
    <t>Crash of MOIA app when setting manual address</t>
  </si>
  <si>
    <t xml:space="preserve">I just tested 0 2 8 17785 mapbox (official from website) with MOIA _x000D_
App starts up fine and map is displayed  However when entering an address to start while location is disabled  MOIA crashes _x000D_
It looks similar to  835  however this seems to look for Polyline _x000D_
I found two exceptions in the log _x000D_
_x000D_
The final crash:_x000D_
   _x000D_
07 05 15:44:27 041 10145 10145 D AndroidRuntime: Shutting down VM_x000D_
07 05 15:44:27 042 10145 10145 E AndroidRuntime: FATAL EXCEPTION: main_x000D_
07 05 15:44:27 042 10145 10145 E AndroidRuntime: Process: io moia neptune  PID: 10145_x000D_
07 05 15:44:27 042 10145 10145 E AndroidRuntime: java lang NullPointerException: null reference_x000D_
07 05 15:44:27 042 10145 10145 E AndroidRuntime: 	at com google android gms common internal Preconditions a(Unknown Source:1)_x000D_
07 05 15:44:27 042 10145 10145 E AndroidRuntime: 	at com google android gms maps model Polyline  init (Unknown Source:2)_x000D_
07 05 15:44:27 042 10145 10145 E AndroidRuntime: 	at com google android gms maps GoogleMap a(Unknown Source:8)_x000D_
07 05 15:44:27 042 10145 10145 E AndroidRuntime: 	at com google maps android data Renderer a(Renderer java:98)_x000D_
07 05 15:44:27 042 10145 10145 E AndroidRuntime: 	at com google maps android data Renderer a(Renderer java:52)_x000D_
07 05 15:44:27 042 10145 10145 E AndroidRuntime: 	at com google maps android data Renderer a(Renderer java:33)_x000D_
07 05 15:44:27 042 10145 10145 E AndroidRuntime: 	at com google maps android data geojson GeoJsonRenderer a(GeoJsonRenderer java:1)_x000D_
07 05 15:44:27 042 10145 10145 E AndroidRuntime: 	at com google maps android data geojson GeoJsonRenderer e(GeoJsonRenderer java:4)_x000D_
07 05 15:44:27 042 10145 10145 E AndroidRuntime: 	at com google maps android data Layer a(Layer java:3)_x000D_
07 05 15:44:27 042 10145 10145 E AndroidRuntime: 	at com google maps android data geojson GeoJsonLayer c(GeoJsonLayer java:1)_x000D_
07 05 15:44:27 042 10145 10145 E AndroidRuntime: 	at io moia neptune common map MapHelper b(MapHelper java:27)_x000D_
07 05 15:44:27 042 10145 10145 E AndroidRuntime: 	at io moia neptune trip booking fragment TripBookingFragment b(TripBookingFragment java:9)_x000D_
07 05 15:44:27 042 10145 10145 E AndroidRuntime: 	at io moia neptune trip booking fragment TripBookingFragment onViewStateRestored(TripBookingFragment java:13)_x000D_
07 05 15:44:27 042 10145 10145 E AndroidRuntime: 	at androidx fragment app Fragment restoreViewState(Fragment java:5)_x000D_
07 05 15:44:27 042 10145 10145 E AndroidRuntime: 	at androidx fragment app n a(FragmentManager java:242)_x000D_
07 05 15:44:27 042 10145 10145 E AndroidRuntime: 	at androidx fragment app n i(FragmentManager java:6)_x000D_
07 05 15:44:27 042 10145 10145 E AndroidRuntime: 	at androidx fragment app n a(FragmentManager java:329)_x000D_
07 05 15:44:27 042 10145 10145 E AndroidRuntime: 	at androidx fragment app a b(BackStackRecord java:31)_x000D_
07 05 15:44:27 042 10145 10145 E AndroidRuntime: 	at androidx fragment app n a(FragmentManager java:442)_x000D_
07 05 15:44:27 042 10145 10145 E AndroidRuntime: 	at androidx fragment app n b(FragmentManager java:68)_x000D_
07 05 15:44:27 042 10145 10145 E AndroidRuntime: 	at androidx fragment app n c(FragmentManager java:52)_x000D_
07 05 15:44:27 042 10145 10145 E AndroidRuntime: 	at androidx fragment app n p(FragmentManager java:8)_x000D_
07 05 15:44:27 042 10145 10145 E AndroidRuntime: 	at androidx fragment app h run(FragmentManager java:1)_x000D_
07 05 15:44:27 042 10145 10145 E AndroidRuntime: 	at android os Handler handleCallback(Handler java:873)_x000D_
07 05 15:44:27 042 10145 10145 E AndroidRuntime: 	at android os Handler dispatchMessage(Handler java:99)_x000D_
07 05 15:44:27 042 10145 10145 E AndroidRuntime: 	at android os Looper loop(Looper java:193)_x000D_
07 05 15:44:27 042 10145 10145 E AndroidRuntime: 	at android app ActivityThread main(ActivityThread java:6718)_x000D_
07 05 15:44:27 042 10145 10145 E AndroidRuntime: 	at java lang reflect Method invoke(Native Method)_x000D_
07 05 15:44:27 042 10145 10145 E AndroidRuntime: 	at com android internal os RuntimeInit MethodAndArgsCaller run(RuntimeInit java:493)_x000D_
07 05 15:44:27 042 10145 10145 E AndroidRuntime: 	at com android internal os ZygoteInit main(ZygoteInit java:858)_x000D_
   _x000D_
_x000D_
A bit before there is another exception in the logs  but it seems not to crash the app  Maybe not connected  but nevertheless:_x000D_
   _x000D_
07 05 15:44:14 733 10145 10145 I zzbz    : Making Creator dynamically_x000D_
07 05 15:44:14 745  2803  2815 D GmsChimeraSpoof: query: content:  com google android gms chimera api force staging com google android gms maps dynamite_x000D_
07 05 15:44:14 747 10145 10145 W DynamiteModule: Failed to retrieve remote module version _x000D_
07 05 15:44:14 763 10145 10145 I io moia neptun: The ClassLoaderContext is a special shared library _x000D_
07 05 15:44:14 773 10145 10145 W DynamiteModule: IDynamite loader version   2  falling back to getModuleVersion2_x000D_
07 05 15:44:14 774 10145 10145 D GmsDynamiteLoaderImpl: unimplemented Method: getModuleVersion for com google android gms maps dynamite_x000D_
07 05 15:44:14 776 10145 10145 W DynamiteModule: Local module descriptor class for com google android gms maps dynamite not found _x000D_
07 05 15:44:14 776 10145 10145 I DynamiteModule: Considering local module com google android gms maps dynamite:0 and remote module com google android gms maps dynamite:0_x000D_
07 05 15:44:14 777 10145 10145 E zzbz    : Failed to load maps module  use legacy_x000D_
07 05 15:44:14 777 10145 10145 E zzbz    : com google android gms dynamite DynamiteModule LoadingException: No acceptable module found  Local version is 0 and remote version is 0 _x000D_
07 05 15:44:14 777 10145 10145 E zzbz    : 	at com google android gms dynamite DynamiteModule a(Unknown Source:29)_x000D_
07 05 15:44:14 777 10145 10145 E zzbz    : 	at com google android gms maps internal zzbz c(Unknown Source:2)_x000D_
07 05 15:44:14 777 10145 10145 E zzbz    : 	at com google android gms maps internal zzbz b(Unknown Source:2)_x000D_
07 05 15:44:14 777 10145 10145 E zzbz    : 	at com google android gms maps internal zzbz a(Unknown Source:5)_x000D_
07 05 15:44:14 777 10145 10145 E zzbz    : 	at com google android gms maps MapsInitializer a(Unknown Source:4)_x000D_
07 05 15:44:14 777 10145 10145 E zzbz    : 	at com google android gms maps SupportMapFragment b h(Unknown Source:2)_x000D_
07 05 15:44:14 777 10145 10145 E zzbz    : 	at com google android gms maps SupportMapFragment b a(Unknown Source:2)_x000D_
07 05 15:44:14 777 10145 10145 E zzbz    : 	at com google android gms dynamic DeferredLifecycleHelper a(Unknown Source:11)_x000D_
07 05 15:44:14 777 10145 10145 E zzbz    : 	at com google android gms dynamic DeferredLifecycleHelper a(Unknown Source:12)_x000D_
07 05 15:44:14 777 10145 10145 E zzbz    : 	at com google android gms maps SupportMapFragment onInflate(Unknown Source:9)_x000D_
07 05 15:44:14 777 10145 10145 E zzbz    : 	at androidx fragment app Fragment onInflate(Fragment java:4)_x000D_
07 05 15:44:14 777 10145 10145 E zzbz    : 	at androidx fragment app n onCreateView(FragmentManager java:25)_x000D_
07 05 15:44:14 777 10145 10145 E zzbz    : 	at android view LayoutInflater FactoryMerger onCreateView(LayoutInflater java:186)_x000D_
07 05 15:44:14 777 10145 10145 E zzbz    : 	at android view LayoutInflater createViewFromTag(LayoutInflater java:772)_x000D_
07 05 15:44:14 777 10145 10145 E zzbz    : 	at android view LayoutInflater createViewFromTag(LayoutInflater java:730)_x000D_
07 05 15:44:14 777 10145 10145 E zzbz    : 	at android view LayoutInflater rInflate(LayoutInflater java:863)_x000D_
07 05 15:44:14 777 10145 10145 E zzbz    : 	at android view LayoutInflater parseInclude(LayoutInflater java:963)_x000D_
07 05 15:44:14 777 10145 10145 E zzbz    : 	at android view LayoutInflater rInflate(LayoutInflater java:859)_x000D_
07 05 15:44:14 777 10145 10145 E zzbz    : 	at android view LayoutInflater rInflateChildren(LayoutInflater java:824)_x000D_
07 05 15:44:14 777 10145 10145 E zzbz    : 	at android view LayoutInflater rInflate(LayoutInflater java:866)_x000D_
07 05 15:44:14 777 10145 10145 E zzbz    : 	at android view LayoutInflater rInflateChildren(LayoutInflater java:824)_x000D_
07 05 15:44:14 777 10145 10145 E zzbz    : 	at android view LayoutInflater rInflate(LayoutInflater java:866)_x000D_
07 05 15:44:14 777 10145 10145 E zzbz    : 	at android view LayoutInflater rInflateChildren(LayoutInflater java:824)_x000D_
07 05 15:44:14 777 10145 10145 E zzbz    : 	at android view LayoutInflater rInflate(LayoutInflater java:866)_x000D_
07 05 15:44:14 777 10145 10145 E zzbz    : 	at android view LayoutInflater rInflateChildren(LayoutInflater java:824)_x000D_
07 05 15:44:14 777 10145 10145 E zzbz    : 	at android view LayoutInflater inflate(LayoutInflater java:515)_x000D_
07 05 15:44:14 777 10145 10145 E zzbz    : 	at android view LayoutInflater inflate(LayoutInflater java:423)_x000D_
07 05 15:44:14 777 10145 10145 E zzbz    : 	at androidx databinding DataBindingUtil a(DataBindingUtil java:3)_x000D_
07 05 15:44:14 777 10145 10145 E zzbz    : 	at androidx databinding DataBindingUtil a(DataBindingUtil java:1)_x000D_
07 05 15:44:14 777 10145 10145 E zzbz    : 	at io moia neptune trip booking fragment TripBookingFragment onCreateView(TripBookingFragment java:1)_x000D_
07 05 15:44:14 777 10145 10145 E zzbz    : 	at androidx fragment app Fragment performCreateView(Fragment java:6)_x000D_
07 05 15:44:14 777 10145 10145 E zzbz    : 	at androidx fragment app n a(FragmentManager java:228)_x000D_
07 05 15:44:14 777 10145 10145 E zzbz    : 	at androidx fragment app n i(FragmentManager java:6)_x000D_
07 05 15:44:14 777 10145 10145 E zzbz    : 	at androidx fragment app n a(FragmentManager java:329)_x000D_
07 05 15:44:14 777 10145 10145 E zzbz    : 	at androidx fragment app a g(BackStackRecord java:24)_x000D_
07 05 15:44:14 777 10145 10145 E zzbz    : 	at androidx fragment app n a(FragmentManager java:444)_x000D_
07 05 15:44:14 777 10145 10145 E zzbz    : 	at androidx fragment app n b(FragmentManager java:68)_x000D_
07 05 15:44:14 777 10145 10145 E zzbz    : 	at androidx fragment app n c(FragmentManager java:52)_x000D_
07 05 15:44:14 777 10145 10145 E zzbz    : 	at androidx fragment app n p(FragmentManager java:8)_x000D_
07 05 15:44:14 777 10145 10145 E zzbz    : 	at androidx fragment app n e(FragmentManager java:15)_x000D_
07 05 15:44:14 777 10145 10145 E zzbz    : 	at androidx fragment app n f(FragmentManager java:7)_x000D_
07 05 15:44:14 777 10145 10145 E zzbz    : 	at androidx fragment app FragmentController a(FragmentController java:6)_x000D_
07 05 15:44:14 777 10145 10145 E zzbz    : 	at androidx fragment app FragmentActivity onStart(FragmentActivity java:5)_x000D_
07 05 15:44:14 777 10145 10145 E zzbz    : 	at androidx appcompat app AppCompatActivity onStart(AppCompatActivity java:1)_x000D_
07 05 15:44:14 777 10145 10145 E zzbz    : 	at android app Instrumentation callActivityOnStart(Instrumentation java:1391)_x000D_
07 05 15:44:14 777 10145 10145 E zzbz    : 	at android app Activity performStart(Activity java:7165)_x000D_
07 05 15:44:14 777 10145 10145 E zzbz    : 	at android app ActivityThread handleStartActivity(ActivityThread java:2975)_x000D_
07 05 15:44:14 777 10145 10145 E zzbz    : 	at android app servertransaction TransactionExecutor performLifecycleSequence(TransactionExecutor java:180)_x000D_
07 05 15:44:14 777 10145 10145 E zzbz    : 	at android app servertransaction TransactionExecutor cycleToPath(TransactionExecutor java:165)_x000D_
07 05 15:44:14 777 10145 10145 E zzbz    : 	at android app servertransaction TransactionExecutor executeLifecycleState(TransactionExecutor java:142)_x000D_
07 05 15:44:14 777 10145 10145 E zzbz    : 	at android app servertransaction TransactionExecutor execute(TransactionExecutor java:70)_x000D_
07 05 15:44:14 777 10145 10145 E zzbz    : 	at android app ActivityThread H handleMessage(ActivityThread java:1816)_x000D_
07 05 15:44:14 777 10145 10145 E zzbz    : 	at android os Handler dispatchMessage(Handler java:106)_x000D_
07 05 15:44:14 777 10145 10145 E zzbz    : 	at android os Looper loop(Looper java:193)_x000D_
07 05 15:44:14 777 10145 10145 E zzbz    : 	at android app ActivityThread main(ActivityThread java:6718)_x000D_
07 05 15:44:14 777 10145 10145 E zzbz    : 	at java lang reflect Method invoke(Native Method)_x000D_
07 05 15:44:14 777 10145 10145 E zzbz    : 	at com android internal os RuntimeInit MethodAndArgsCaller run(RuntimeInit java:493)_x000D_
07 05 15:44:14 777 10145 10145 E zzbz    : 	at com android internal os ZygoteInit main(ZygoteInit java:858)_x000D_
07 05 15:44:14 784 10145 10145 D GmsMapCreator: initV2_x000D_
07 05 15:44:14 800 10145 10145 D GmsMapFragment: onInflate: lat lng: (0 0 0 0)_x000D_
07 05 15:44:14 802 10145 10145 D GmsMapFragment: onCreate: lat lng: (0 0 0 0)_x000D_
07 05 15:44:14 818 10145 10145 D GmsMultiArchLoader: Loading mapbox gl from  data user 0 io moia neptune cache  gmscore lib arm64 v8a libmapbox gl so_x000D_
07 05 15:44:14 849 10145 10145 D GmsMapFragment: onCreateView: lat lng: (0 0 0 0)_x000D_
   </t>
  </si>
  <si>
    <t>react-native-art-art-19</t>
  </si>
  <si>
    <t>Metro bundler crashing on RN 0.60.0</t>
  </si>
  <si>
    <t xml:space="preserve">  Bug_x000D_
_x000D_
After running  react native start   metro is crashing _x000D_
_x000D_
  image (https:  user images githubusercontent com 2601363 60688174 288be900 9e79 11e9 96c9 cc0937de4962 png)_x000D_
_x000D_
_x000D_
   Environment info_x000D_
_x000D_
_x000D_
   bash_x000D_
System:_x000D_
    OS: macOS 10 14 4_x000D_
    CPU: (12) x64 Intel(R) Core(TM) i7 8750H CPU   2 20GHz_x000D_
    Memory: 5 64 GB   16 00 GB_x000D_
    Shell: 5 3    bin zsh_x000D_
  Binaries:_x000D_
    Node: 12 6 0      nvm versions node v12 6 0 bin node_x000D_
    Yarn: 1 13 0    usr local bin yarn_x000D_
    npm: 6 9 0      nvm versions node v12 6 0 bin npm_x000D_
    Watchman: 4 9 0    usr local bin watchman_x000D_
  SDKs:_x000D_
    iOS SDK:_x000D_
      Platforms: iOS 12 2  macOS 10 14  tvOS 12 2  watchOS 5 2_x000D_
    Android SDK:_x000D_
      API Levels: 22  23  24  25  26  27  28_x000D_
      Build Tools: 23 0 1  23 0 2  23 0 3  25 0 1  25 0 2  25 0 3  26 0 1  26 0 2  26 0 3  27 0 3  28 0 0  28 0 2  28 0 3  29 0 0_x000D_
      System Images: android 23   Intel x86 Atom 64  android 23   Google APIs Intel x86 Atom  android 23   Google APIs Intel x86 Atom 64  android 24   Google APIs Intel x86 Atom  android 24   Google Play Intel x86 Atom  android 25   Google Play Intel x86 Atom  android 26   Google APIs Intel x86 Atom_x000D_
  IDEs:_x000D_
    Android Studio: 3 4 AI 183 6156 11 34 5522156_x000D_
    Xcode: 10 2 1 10E1001    usr bin xcodebuild_x000D_
  npmPackages:_x000D_
    react: 16 8 6    16 8 6_x000D_
    react native: 0 60 0    0 60 0_x000D_
  npmGlobalPackages:_x000D_
    react native cli: 2 0 1_x000D_
_x000D_
   _x000D_
_x000D_
Library version: 1 0 0_x000D_
_x000D_
   Steps To Reproduce_x000D_
_x000D_
1  Create a new project  run it  check it works _x000D_
2  Install this library  try to run it  See the error _x000D_
   _x000D_
_x000D_
Describe what you expected to happen:_x000D_
_x000D_
1  After installing this app  I should not see the error in the metro console _x000D_
_x000D_
   Reproducible sample code</t>
  </si>
  <si>
    <t>LawnchairLauncher-lawnchair-1626</t>
  </si>
  <si>
    <t>Launcher crashing when using recent apps gesture/button</t>
  </si>
  <si>
    <t>Launcher crashing while using recent apps gesture button_x000D_
_x000D_
Version 2 0 2238 ci alpha_x000D_
_x000D_
https:  del dog tabatewabu</t>
  </si>
  <si>
    <t>vanniktech-Emoji-369</t>
  </si>
  <si>
    <t>The memory of the device will grow up and finally crash.</t>
  </si>
  <si>
    <t xml:space="preserve">Hello_x000D_
I use the last commit of master for my application _x000D_
I build EmojiPopup from onCreate of my fragment _x000D_
My fragment will be created and destroyed much time _x000D_
Problem: The memory of the device will grow up and finally crash _x000D_
The instance of EmojiPopup is not static and does not collect by GC  Why </t>
  </si>
  <si>
    <t>opensrp-opensrp-client-reveal-279</t>
  </si>
  <si>
    <t>Investigate List View Crash in Crashalytics</t>
  </si>
  <si>
    <t xml:space="preserve">The application crashes when accessing the list view  When I access the view when first opening the application or when having been in the application for a few minutes and I attempt to scroll through the list  I see  Reveal application has stopped   This happened at 08:28 CAT July 2 </t>
  </si>
  <si>
    <t>mozilla-mobile-firefox-echo-show-287</t>
  </si>
  <si>
    <t>Autograph signed builds crash when opening any website</t>
  </si>
  <si>
    <t xml:space="preserve">   Steps to reproduce_x000D_
  Build master_x000D_
  Sign using  tools sign release sh _x000D_
  Deploy code_x000D_
  Open any website_x000D_
_x000D_
    Expected behavior_x000D_
  Website loads_x000D_
_x000D_
    Actual behavior_x000D_
  App crashes_x000D_
_x000D_
    Device information_x000D_
  Echo Show device: 2nd gen   Show 5_x000D_
  Latest affected Firefox version: 0a6782925c93e326f1a34dc544a4a445bb1786be (current master)_x000D_
  Earliest affected Firefox version:  _x000D_
_x000D_
    Crash log_x000D_
   _x000D_
07 03 14:52:06 533 17648 17648 org mozilla connect firefox E AndroidRuntime: FATAL EXCEPTION: main_x000D_
    Process: org mozilla connect firefox  PID: 17648_x000D_
    java lang IllegalStateException: Module with the Main dispatcher is missing  Add dependency providing the Main dispatcher  e g   kotlinx coroutines android _x000D_
        at kotlinx coroutines MissingMainCoroutineDispatcher missing(Dispatchers kt:123)_x000D_
        at kotlinx coroutines MissingMainCoroutineDispatcher dispatch(Dispatchers kt:116)_x000D_
        at kotlinx coroutines DispatchedKt resumeCancellable(Dispatched kt:282)_x000D_
        at kotlinx coroutines intrinsics CancellableKt startCoroutineCancellable(Cancellable kt:23)_x000D_
        at kotlinx coroutines CoroutineStart invoke(CoroutineStart kt:109)_x000D_
        at kotlinx coroutines AbstractCoroutine start(AbstractCoroutine kt:160)_x000D_
        at kotlinx coroutines BuildersKt  Builders commonKt launch(Builders common kt:54)_x000D_
        at kotlinx coroutines BuildersKt launch(Unknown Source)_x000D_
        at kotlinx coroutines BuildersKt  Builders commonKt launch default(Builders common kt:47)_x000D_
        at kotlinx coroutines BuildersKt launch default(Unknown Source)_x000D_
        at org mozilla focus toolbar ProgressBarController hideProgressBar(ProgressBarController kt:62)_x000D_
        at org mozilla focus toolbar ProgressBarController onLoadingUpdate(ProgressBarController kt:28)_x000D_
        at org mozilla focus toolbar ToolbarIntegration setup 3 invoke(ToolbarIntegration kt:115)_x000D_
        at org mozilla focus toolbar ToolbarIntegration setup 3 invoke(ToolbarIntegration kt:68)_x000D_
        at org mozilla focus MainActivity onSessionLoadingUpdate(MainActivity kt:193)_x000D_
        at org mozilla focus browser BrowserFragment SessionLoadingObserver onChanged(BrowserFragment kt:227)_x000D_
        at org mozilla focus browser BrowserFragment SessionLoadingObserver onChanged(BrowserFragment kt:224)_x000D_
        at androidx lifecycle LiveData considerNotify(LiveData java:113)_x000D_
        at androidx lifecycle LiveData dispatchingValue(LiveData java:131)_x000D_
        at androidx lifecycle LiveData setValue(LiveData java:289)_x000D_
        at org mozilla focus architecture NonNullLiveData setValue(NonNullLiveData kt:40)_x000D_
        at org mozilla focus architecture NonNullMutableLiveData setValue(NonNullMutableLiveData kt:19)_x000D_
        at org mozilla focus session Session setLoading(Session java:80)_x000D_
        at org mozilla focus session SessionCallbackProxy onPageFinished(SessionCallbackProxy java:39)_x000D_
        at org mozilla focus webview FocusWebViewClient onPageFinished(FocusWebViewClient java:212)_x000D_
        at com amazon webview awvclients AmazonWebViewClient onPageFinished(AmazonWebViewClient java:95)_x000D_
        at com android webview chromium WebViewContentsClientAdapter onPageFinished(WebViewContentsClientAdapter java:546)_x000D_
        at com android webview chromium WebViewExtAmazonContentsClientAdapter onPageFinished(WebViewExtAmazonContentsClientAdapter java:18)_x000D_
        at org chromium android webview AwContentsClientCallbackHelper MyHandler handleMessage(AwContentsClientCallbackHelper java:201)_x000D_
        at android os Handler dispatchMessage(Handler java:102)_x000D_
        at android os Looper loop(Looper java:135)_x000D_
        at android app ActivityThread main(ActivityThread java:5597)_x000D_
        at java lang reflect Method invoke(Native Method)_x000D_
        at java lang reflect Method invoke(Method java:372)_x000D_
        at com android internal os ZygoteInit MethodAndArgsCaller run(ZygoteInit java:984)_x000D_
        at com android internal os ZygoteInit main(ZygoteInit java:779)_x000D_
   _x000D_
_x000D_
    Notes_x000D_
   According to this link (https:  www gitmemory com issue Kotlin kotlinx coroutines 983 492378969)  this can happen when the APKs META INF folder is modified during the signing process_x000D_
  Inspecting the META INF folder of a local build  it contains a lot of AndroidX related files that are not found in our Autograph signed version_x000D_
  We migrated to AndroidX since our last release (which was successfully signed with Autograph)_x000D_
_x000D_
</t>
  </si>
  <si>
    <t>LawnchairLauncher-lawnchair-1623</t>
  </si>
  <si>
    <t>Gmail notifications are crashing launcher with "Unread notifications" enabled in At a Glance widget</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</si>
  <si>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As in the title   with Unread notifications option enabled in At a Glance widget  gmail notifs are crashing when they are cleared (for example by archiving)_x000D_
Happened 2 times in a row now so I think it s actually a bug_x000D_
_x000D_
_x000D_
   Expected Behavior_x000D_
      Tell us what should happen    _x000D_
Clearing gmail notifications with ARCHIVE button inside it should remove info from At a Glance widget without crashing launcher_x000D_
_x000D_
   Actual Behavior_x000D_
      Tell us what happens instead    _x000D_
Launcher crashes when using ARCHIVE option inside gmail notification_x000D_
_x000D_
   Steps to Reproduce_x000D_
      Provide a link to a live example (screenshot recording etc  )  or a set of steps to reproduce the issue    _x000D_
_x000D_
1  Enable  Unread notifications  event source in At a Glance widget options_x000D_
2  Get Gmail notification_x000D_
3  Tap  Archive  in Gmail notification_x000D_
4  Wait until notification disappears by itself (don t swipe it when it shows  UNDO )_x000D_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SONY Xperia X (F5121)_x000D_
  Android version: 9 0_x000D_
  Launcher version: 2 0 2238 ci alpha (2238)_x000D_
  Rom: Custom ROM   AOSPA_x000D_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error: Uncaught exception_x000D_
_x000D_
          beginning of stacktrace_x000D_
java lang IllegalStateException: sbn notification contentIntent must not be null_x000D_
	at ch deletescape lawnchair smartspace LawnchairSmartspaceController NotificationClickListener  init (LawnchairSmartspaceController kt:442)_x000D_
	at ch deletescape lawnchair smartspace NotificationUnreadProvider getEventCard(NotificationUnreadProvider kt:116)_x000D_
	at ch deletescape lawnchair smartspace NotificationUnreadProvider onNotificationsChanged(NotificationUnreadProvider kt:67)_x000D_
	at ch deletescape lawnchair smartspace NotificationsManager onChange 1 invoke(NotificationsManager kt:116)_x000D_
	at ch deletescape lawnchair smartspace NotificationsManager onChange 1 invoke(NotificationsManager kt:34)_x000D_
	at ch deletescape lawnchair LawnchairUtilsKt sam java lang Runnable 0 run(Unknown Source:2)_x000D_
	at android os Handler handleCallback(Handler java:873)_x000D_
	at android os Handler dispatchMessage(Handler java:99)_x000D_
	at android os Looper loop(Looper java:193)_x000D_
	at android app ActivityThread main(ActivityThread java:6697)_x000D_
	at java lang reflect Method invoke(Native Method)_x000D_
	at com android internal os RuntimeInit MethodAndArgsCaller run(RuntimeInit java:493)_x000D_
	at com android internal os ZygoteInit main(ZygoteInit java:858)_x000D_
   _x000D_
Log taken from   https:  del dog yudevohuta sql_x000D_
</t>
  </si>
  <si>
    <t>TeamNewPipe-NewPipe-2442</t>
  </si>
  <si>
    <t>Crashes when opening SoundCloud URLs</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</si>
  <si>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When attempting to open SoundCloud URLs by clicking them and then selecting NewPipe to open it  NewPipe crashes _x000D_
_x000D_
   Exception_x000D_
    User Action:   requested stream_x000D_
    Request:   https:  soundcloud com thathemochemguy born for war planetside 2 community smash theme song  opened with background player_x000D_
    Content Language:   US_x000D_
    Service:   SoundCloud_x000D_
    Version:   0 16 2_x000D_
    OS:   Linux lge lucye nao us lucye:8 0 0 OPR1 170623 032 182541455e902:user release keys 8 0 0   26_x000D_
_x000D_
_x000D_
 details  summary  b Crash log  b   summary  p _x000D_
_x000D_
   _x000D_
org schabi newpipe extractor exceptions ParsingException: timeout_x000D_
	at org schabi newpipe extractor services soundcloud SoundcloudStreamLinkHandlerFactory getId(SoundcloudStreamLinkHandlerFactory java:36)_x000D_
	at org schabi newpipe extractor linkhandler LinkHandlerFactory fromUrl(LinkHandlerFactory java:46)_x000D_
	at org schabi newpipe extractor StreamingService getStreamExtractor(StreamingService java:288)_x000D_
	at org schabi newpipe extractor stream StreamInfo getInfo(StreamInfo java:59)_x000D_
	at org schabi newpipe util ExtractorHelper lambda getStreamInfo 3(ExtractorHelper java:115)_x000D_
	at org schabi newpipe util    Lambda ExtractorHelper 5fJcha6Sq5APJBLdG6osaJby mc call(Unknown Source:4)_x000D_
	at io reactivex internal operators single SingleFromCallable subscribeActual(SingleFromCallable java:44)_x000D_
	at io reactivex Single subscribe(Single java:3438)_x000D_
	at io reactivex internal operators single SingleDoOnSuccess subscribeActual(SingleDoOnSuccess java:35)_x000D_
	at io reactivex Single subscribe(Single java:3438)_x000D_
	at io reactivex internal operators maybe MaybeFromSingle subscribeActual(MaybeFromSingle java:41)_x000D_
	at io reactivex Maybe subscribe(Maybe java:4154)_x000D_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java:14479)_x000D_
	at io reactivex internal operators flowable FlowableElementAtMaybe subscribeActual(FlowableElementAtMaybe java:36)_x000D_
	at io reactivex Maybe subscribe(Maybe java:4154)_x000D_
	at io reactivex internal operators maybe MaybeToSingle subscribeActual(MaybeToSingle java:46)_x000D_
	at io reactivex Single subscribe(Single java:3438)_x000D_
	at io reactivex internal operators single SingleObserveOn subscribeActual(SingleObserveOn java:35)_x000D_
	at io reactivex Single subscribe(Single java:3438)_x000D_
	at io reactivex Single subscribe(Single java:3424)_x000D_
	at org schabi newpipe RouterActivity FetcherService handleChoice(RouterActivity java:545)_x000D_
	at org schabi newpipe RouterActivity FetcherService onHandleIntent(RouterActivity java:517)_x000D_
	at android app IntentService ServiceHandler handleMessage(IntentService java:68)_x000D_
	at android os Handler dispatchMessage(Handler java:105)_x000D_
	at android os Looper loop(Looper java:164)_x000D_
	at android os HandlerThread run(HandlerThread java:65)_x000D_
Caused by: java net SocketTimeoutException: timeout_x000D_
	at okio Okio 4 newTimeoutException(Okio java:232)_x000D_
	at okio AsyncTimeout exit(AsyncTimeout java:275)_x000D_
	at okio AsyncTimeout 2 read(AsyncTimeout java:243)_x000D_
	at okio RealBufferedSource indexOf(RealBufferedSource java:354)_x000D_
	at okio RealBufferedSource readUtf8LineStrict(RealBufferedSource java:226)_x000D_
	at okhttp3 internal http1 Http1Codec readHeaderLine(Http1Codec java:215)_x000D_
	at okhttp3 internal http1 Http1Codec readResponseHeaders(Http1Codec java:189)_x000D_
	at okhttp3 internal http CallServerInterceptor intercept(CallServerInterceptor java:88)_x000D_
	at okhttp3 internal http RealInterceptorChain proceed(RealInterceptorChain java:147)_x000D_
	at okhttp3 internal connection ConnectInterceptor intercept(ConnectInterceptor java:45)_x000D_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java:126)_x000D_
	at okhttp3 internal http RealInterceptorChain proceed(RealInterceptorChain java:147)_x000D_
	at okhttp3 internal http RealInterceptorChain proceed(RealInterceptorChain java:121)_x000D_
	at okhttp3 RealCall getResponseWithInterceptorChain(RealCall java:254)_x000D_
	at okhttp3 RealCall execute(RealCall java:92)_x000D_
	at org schabi newpipe Downloader getBody(Downloader java:163)_x000D_
	at org schabi newpipe Downloader download(Downloader java:135)_x000D_
	at org schabi newpipe Downloader download(Downloader java:187)_x000D_
	at org schabi newpipe extractor services soundcloud SoundcloudParsingHelper resolveIdWithEmbedPlayer(SoundcloudParsingHelper java:114)_x000D_
	at org schabi newpipe extractor services soundcloud SoundcloudStreamLinkHandlerFactory getId(SoundcloudStreamLinkHandlerFactory java:34)_x000D_
	    29 more_x000D_
_x000D_
   _x000D_
  p   details _x000D_
 hr _x000D_
</t>
  </si>
  <si>
    <t>PSPDFKit-react-native-244</t>
  </si>
  <si>
    <t>Fix for PdfView not being rendered</t>
  </si>
  <si>
    <t xml:space="preserve">   Resolves  237 _x000D_
_x000D_
  Details_x000D_
_x000D_
This fixes multiple smaller issues:_x000D_
_x000D_
  The  PSPDFKitView  wouldn t render when no configuration was specified  we now automatically use a default configuration _x000D_
  The  PSPDFKitView  was very picky with the file paths it supported  this tries to improve support for paths _x000D_
  Setting  document  to  undefined  caused a crash  we now just hide the currently displayed document when  undefined  is set _x000D_
  In case there is an error while loading the document the new  onDocumentLoadFailed  will be notified _x000D_
_x000D_
  Acceptance Criteria_x000D_
_x000D_
      When approved  right before merging  rebase with master and increment the package version in  package json    package lock json   and  samples Catalog package json  (see example commit:  https:  github com PSPDFKit react native pull 202 commits 1bf805feef2ac268743e4905d94d6d8c8f16ec59) _x000D_
      Create a new release (and tag) with the new package version (see https:  github com PSPDFKit react native releases) _x000D_
</t>
  </si>
  <si>
    <t>miguelpruivo-flutter_file_picker-104</t>
  </si>
  <si>
    <t>App crashes on Android by thrown java.io.FileNotFoundException: (File name too long)</t>
  </si>
  <si>
    <t xml:space="preserve">I found app crashes on Android when I pick a file named too long _x000D_
_x000D_
In getUriFromRemote() in FileUtils java  when a file has too long name  FileOutputStream throws FileNotFoundException and  fos close()  in the catch statement can throw NullPointerException but it is not catched anywhere so app will crash _x000D_
_x000D_
   java_x000D_
try  _x000D_
    fos   new FileOutputStream(externalFile)      throws FileNotFoundException_x000D_
    try  _x000D_
        BufferedOutputStream out   new BufferedOutputStream(fos) _x000D_
        InputStream in   context getContentResolver() openInputStream(uri) _x000D_
_x000D_
        byte   buffer   new byte 8192  _x000D_
        int len   0 _x000D_
_x000D_
        while ((len   in read(buffer))    0)  _x000D_
            out write(buffer  0  len) _x000D_
         _x000D_
_x000D_
        out flush() _x000D_
      finally  _x000D_
        fos getFD() sync() _x000D_
     _x000D_
  catch (Exception e)  _x000D_
    try  _x000D_
           fos is null so NullPointerException is thrown and app crashes_x000D_
        fos close() _x000D_
      catch(IOException ex)  _x000D_
        Log e(TAG   Failed to close file streams:     e getMessage() null) _x000D_
        return null _x000D_
     _x000D_
    Log e(TAG   Failed to retrieve path:     e getMessage() null) _x000D_
    return null _x000D_
 _x000D_
   _x000D_
_x000D_
Thanks _x000D_
_x000D_
   Logs_x000D_
_x000D_
   _x000D_
           E FilePickerUtils(25796): Getting for API 19 or abovecontent:  com google android apps docs storage document acc 3D1 3Bdoc 3Dencoded 3Dt0pb4SexMA1yevTPlz 2B7NoqLkGJn2bU3DEqYZqCdKxC94 2FjnWXLf3us7aIyx_x000D_
    11 ms  E FilePickerUtils(25796): Document URI_x000D_
           I FilePickerUtils(25796): Caching file from remote external URI_x000D_
    21 ms  D AndroidRuntime(25796): Shutting down VM_x000D_
           E AndroidRuntime(25796): FATAL EXCEPTION: main_x000D_
           E AndroidRuntime(25796): Process: jp co cyberagent detroit dev04  PID: 25796_x000D_
           E AndroidRuntime(25796): java lang RuntimeException: Failure delivering result ResultInfo who null  request 48496  result  1  data Intent   dat content:  com google android apps docs storage document acc 1 doc encoded t0pb4SexMA1yevTPlz 7NoqLkGJn2bU3DEqYZqCdKxC94 jnWXLf3us7aIyx flg 0x1    to activity  jp co cyberagent detroit dev04 detroit requapp MainActivity : java lang NullPointerException: Attempt to invoke virtual method  void java io FileOutputStream close()  on a null object reference_x000D_
           E AndroidRuntime(25796): 	at android app ActivityThread deliverResults(ActivityThread java:4372)_x000D_
     1 ms  E AndroidRuntime(25796): 	at android app ActivityThread handleSendResult(ActivityThread java:4416)_x000D_
           E AndroidRuntime(25796): 	at android app ActivityThread  wrap19(Unknown Source:0)_x000D_
           E AndroidRuntime(25796): 	at android app ActivityThread H handleMessage(ActivityThread java:1655)_x000D_
           E AndroidRuntime(25796): 	at android os Handler dispatchMessage(Handler java:105)_x000D_
           E AndroidRuntime(25796): 	at android os Looper loop(Looper java:251)_x000D_
           E AndroidRuntime(25796): 	at android app ActivityThread main(ActivityThread java:6599)_x000D_
           E AndroidRuntime(25796): 	at java lang reflect Method invoke(Native Method)_x000D_
           E AndroidRuntime(25796): 	at com android internal os Zygote MethodAndArgsCaller run(Zygote java:240)_x000D_
           E AndroidRuntime(25796): 	at com android internal os ZygoteInit main(ZygoteInit java:767)_x000D_
           E AndroidRuntime(25796): Caused by: java lang NullPointerException: Attempt to invoke virtual method  void java io FileOutputStream close()  on a null object reference_x000D_
           E AndroidRuntime(25796): 	at com mr flutter plugin filepicker FileUtils getUriFromRemote(FileUtils java:201)_x000D_
           E AndroidRuntime(25796): 	at com mr flutter plugin filepicker FilePickerPlugin 1 onActivityResult(FilePickerPlugin java:84)_x000D_
     1 ms  E AndroidRuntime(25796): 	at io flutter app FlutterPluginRegistry onActivityResult(FlutterPluginRegistry java:218)_x000D_
     1 ms  E AndroidRuntime(25796): 	at io flutter app FlutterActivityDelegate onActivityResult(FlutterActivityDelegate java:143)_x000D_
           E AndroidRuntime(25796): 	at io flutter app FlutterActivity onActivityResult(FlutterActivity java:142)_x000D_
           E AndroidRuntime(25796): 	at android app Activity dispatchActivityResult(Activity java:7235)_x000D_
           E AndroidRuntime(25796): 	at android app ActivityThread deliverResults(ActivityThread java:4368)_x000D_
           E AndroidRuntime(25796): 	    9 more_x000D_
   _x000D_
_x000D_
   flutter doctor_x000D_
_x000D_
   _x000D_
    Flutter (Channel unknown  v1 3 8  on Mac OS X 10 13 6 17G65  locale ja JP)_x000D_
    Android toolchain   develop for Android devices (Android SDK version 28 0 3)_x000D_
    iOS toolchain   develop for iOS devices (Xcode 10 1)_x000D_
    Android Studio (version 3 4)_x000D_
    IntelliJ IDEA Community Edition (version 2018 1 2)_x000D_
    VS Code (version 1 35 1)_x000D_
    Connected device (3 available)_x000D_
   </t>
  </si>
  <si>
    <t>cohenadair-anglers-log-348</t>
  </si>
  <si>
    <t>Crash loading app</t>
  </si>
  <si>
    <t xml:space="preserve">See email  PDF (https:  github com cohenadair anglers log files 3353163 crash pdf) _x000D_
_x000D_
Likely has to do with 1 3 2 update _x000D_
</t>
  </si>
  <si>
    <t>nextcloud-android-4197</t>
  </si>
  <si>
    <t>Downloading a folder (for offline use) spams a large number of notifications</t>
  </si>
  <si>
    <t xml:space="preserve">    Actual behaviour_x000D_
When syncing a whole folder for offline use  the app spawns download notifications for each and every file in this folder  Thus performing an initial sync of a folder with approximately 50 files  already crashes the app unless you disable this particular type of notification _x000D_
_x000D_
    Expected behaviour_x000D_
I would expect to see one notification showing the overall progress of the download _x000D_
 _x000D_
    Steps to reproduce_x000D_
1  Open the app_x000D_
2  Click on the three dots next to the folder you want to sync_x000D_
3  Click sync and see multiple notifications appear and disappear until the sync is completed_x000D_
_x000D_
    Environment data_x000D_
Android version: 9 0_x000D_
_x000D_
Device model: OnePlus 6T_x000D_
_x000D_
Stock or customized system: Stock  OxygenOS 9 0 14_x000D_
_x000D_
Nextcloud app version: 3 6 2_x000D_
_x000D_
Nextcloud server version: unknown_x000D_
</t>
  </si>
  <si>
    <t>brodeurlv-fastnfitness-76</t>
  </si>
  <si>
    <t>App crashed during import of records if incorrect order of importing files is used.</t>
  </si>
  <si>
    <t xml:space="preserve">Found in version: 0 18 downloaded from F droid _x000D_
_x000D_
Current behavior: exported records  reset application  created new profile  import records  If you import e g  EF xx BodyBuilding xxx csv before first importing EF xx Exercises xxx csv the app crashes _x000D_
_x000D_
Expected behavior: create an error message  Something like  Import error: First import the file EF xx Exercises 2019 07 xxx csv _x000D_
_x000D_
Step to reproduce: see above _x000D_
_x000D_
</t>
  </si>
  <si>
    <t>react-native-camera-react-native-camera-2350</t>
  </si>
  <si>
    <t>Camera view threw an error - component could not be rendered.</t>
  </si>
  <si>
    <t xml:space="preserve">  Bug Report_x000D_
   x  Did you try latest release _x000D_
   x  Did you try master  _x000D_
   x  Did you look for existing matching issues _x000D_
_x000D_
  Platforms  _x000D_
Android 7 0_x000D_
_x000D_
  Android: 7 0_x000D_
  iOS:    _x000D_
  react native camera:2 11 0_x000D_
  react native:0 59 9_x000D_
  react:16 8 3_x000D_
       react navigation:   _x000D_
_x000D_
  Description Current Behaviour  _x000D_
Add react native camera to react native project (after init for example)_x000D_
Run app on device   get error:_x000D_
onMountError       message:  Camera view threw an error   component could not be rendered    _x000D_
Get black screen and crash_x000D_
_x000D_
Related only for Android 7 0   7 1_x000D_
Other ones work good _x000D_
_x000D_
  Expected Behaviour  _x000D_
react native camera worked on Android 7 0  7  1_x000D_
    place your expected behaviour below   _x000D_
_x000D_
  Steps to Reproduce  _x000D_
1) Add react native camera to react native project (after init for example)_x000D_
2) Run app on real device with Android 7 0_x000D_
3) Get black screen and crash</t>
  </si>
  <si>
    <t>inaturalist-iNaturalistAndroid-671</t>
  </si>
  <si>
    <t>UnsatisfiedLinkError w/ smoothrescale</t>
  </si>
  <si>
    <t xml:space="preserve">Two related crashes here  The first:_x000D_
_x000D_
https:  fabric io inaturalist android apps org inaturalist android issues 5bf0b7faf8b88c2963639383 time last thirty days_x000D_
_x000D_
   _x000D_
Fatal Exception: java lang UnsatisfiedLinkError: dlopen failed: could not load library  libavutil so  needed by  libsmoothrescale so   caused by cannot locate symbol  mmap64  referenced by  libavutil so    _x000D_
       at java lang Runtime loadLibrary   364(Runtime java:364)_x000D_
       at java lang System loadLibrary   555(System java:555)_x000D_
       at com schokoladenbrown Smooth (Smooth java:60)_x000D_
       at org inaturalist android ImageUtils resizeImage   403(ImageUtils java:403)_x000D_
       at org inaturalist android INaturalistService onHandleIntentWorker   864(INaturalistService java:864)_x000D_
       at org inaturalist android INaturalistService 1 run   433(INaturalistService java:433)_x000D_
       at java lang Thread run   841(Thread java:841)_x000D_
   _x000D_
_x000D_
This one seems like it s affecting numerous builds and has been happening for a while  but we re getting a significant uptick from build 351 across numerous Android versions and devices _x000D_
_x000D_
_x000D_
The second:_x000D_
_x000D_
https:  fabric io inaturalist android apps org inaturalist android issues 2ec67b59d9bd31af6299f135f3140fc3 time last thirty days_x000D_
_x000D_
   _x000D_
Fatal Exception: java lang UnsatisfiedLinkError: dlopen failed: could not load library  libavutil so  needed by  libsmoothrescale so   caused by cannot locate symbol  mmap64  referenced by  libavutil so    _x000D_
       at java lang Runtime loadLibrary   364(Runtime java:364)_x000D_
       at java lang System loadLibrary   526(System java:526)_x000D_
       at com schokoladenbrown Smooth  clinit    60(Smooth java:60)_x000D_
       at org inaturalist android ImageUtils resizeImage   403(ImageUtils java:403)_x000D_
       at org inaturalist android INaturalistService onHandleIntentWorker   864(INaturalistService java:864)_x000D_
       at org inaturalist android INaturalistService 1 run   433(INaturalistService java:433)_x000D_
       at java lang Thread run   841(Thread java:841)_x000D_
   _x000D_
_x000D_
This one only has a couple crashes from one user  so clearly not widespread  but why would this even happen </t>
  </si>
  <si>
    <t>7LPdWcaW-GrowTracker-Android-97</t>
  </si>
  <si>
    <t>The app crashed when I entered nothing as passphrase to activate the fail safe option</t>
  </si>
  <si>
    <t xml:space="preserve">     Expected behavior_x000D_
I expected that the app would notify me or stop me to do so when I entered nothing as the passphrase to activate the fail safe option _x000D_
_x000D_
     Actual behavior_x000D_
After activating  Encrypt data  by giving the passphrase  when I entered nothing as the passphrase to activate the  fail safe  option  then the app crashed _x000D_
_x000D_
     How to reproduce_x000D_
Here is every possible detail to reproduce the bug _x000D_
1  Open the app _x000D_
2  Go to the settings _x000D_
3  Tap on the  Encrypt data  to enable it and click  ACCEPT  by giving a passphrase twice _x000D_
4  Now tap on the  Fail safe  and accept the warning _x000D_
5  Click on the  ACCEPT  and give nothing in the field twice and notice the bug _x000D_
_x000D_
  App version: 2 5 1_x000D_
  Operating system: Android 6 0 1_x000D_
_x000D_
     Recording Of The Bug_x000D_
https:  www youtube com watch v k kHczL1KzE_x000D_
_x000D_
     LogCat_x000D_
   _x000D_
07 01 23:08:28 537 31430 31430 E AndroidRuntime: FATAL EXCEPTION: main_x000D_
_x000D_
07 01 23:08:28 537 31430 31430 E AndroidRuntime: Process: me anon grow  PID: 31430_x000D_
_x000D_
07 01 23:08:28 537 31430 31430 E AndroidRuntime: java lang NullPointerException: Attempt to invoke virtual method  boolean java lang String equals(java lang Object)  on a null object reference_x000D_
_x000D_
07 01 23:08:28 537 31430 31430 E AndroidRuntime: 	at me anon grow fragment SettingsFragment 7 2 onDialogConfirmed(SettingsFragment java:406)_x000D_
_x000D_
07 01 23:08:28 537 31430 31430 E AndroidRuntime: 	at me anon grow fragment PinDialogFragment 1 onClick(PinDialogFragment java:74)_x000D_
_x000D_
07 01 23:08:28 537 31430 31430 E AndroidRuntime: 	at com android internal app AlertController ButtonHandler handleMessage(AlertController java:174)_x000D_
_x000D_
07 01 23:08:28 537 31430 31430 E AndroidRuntime: 	at android os Handler dispatchMessage(Handler java:102)_x000D_
_x000D_
07 01 23:08:28 537 31430 31430 E AndroidRuntime: 	at android os Looper loop(Looper java:148)_x000D_
_x000D_
07 01 23:08:28 537 31430 31430 E AndroidRuntime: 	at android app ActivityThread main(ActivityThread java:7325)_x000D_
_x000D_
07 01 23:08:28 537 31430 31430 E AndroidRuntime: 	at java lang reflect Method invoke(Native Method)_x000D_
_x000D_
07 01 23:08:28 537 31430 31430 E AndroidRuntime: 	at com android internal os ZygoteInit MethodAndArgsCaller run(ZygoteInit java:1230)_x000D_
_x000D_
07 01 23:08:28 537 31430 31430 E AndroidRuntime: 	at com android internal os ZygoteInit main(ZygoteInit java:1120)_x000D_
   </t>
  </si>
  <si>
    <t>konradrenner-kolabnotes-android-198</t>
  </si>
  <si>
    <t>Kolab Notizen v3.2.0 - Clicking on the widget to enter the application can make this application suddenly stop</t>
  </si>
  <si>
    <t xml:space="preserve">  Actual behaviour_x000D_
It should be  after I add the widget  then click on the widget to enter the application  and delete the notebook   The ability to enter applications through widgets must be done _x000D_
_x000D_
  Expected behaviour_x000D_
This application suddenly stopped when I clicked on the widget to enter the application   Even though I have tried doing it repeatedly  the same problem still occurs _x000D_
_x000D_
  Step to reproduce_x000D_
  Install and open the application _x000D_
_x000D_
  Add a new notebook  click the pencil icon  add a summary  then exit the application _x000D_
_x000D_
  Add a 2x2 sticky notes collage widget _x000D_
_x000D_
  Click on the widget to enter the application  delete the notebook you have created _x000D_
_x000D_
  Exit the application  then click on the widget to enter the application again   Then you will find problems like I have experienced _x000D_
_x000D_
  Information_x000D_
  Device: Nubia n2 lite_x000D_
  Android version: 8 1 0_x000D_
  Application version: 3 2 0_x000D_
_x000D_
  Recording of the bug_x000D_
https:  youtu be zc7kxxzqQXY_x000D_
_x000D_
Beginning of crash_x000D_
https:  cdn steemitimages com DQmU2z8BZVJWu6KYRFEW2uKtoPQJRYvBsPqjhRH6ATGjJTA Screenshot 2019 07 01 23 23 08 png_x000D_
_x000D_
https:  cdn steemitimages com DQmQfY5JwWuGoWxnMScGAD5RGMG4xuBgck4vwGm2n3fp9od Screenshot 2019 07 01 23 23 37 png_x000D_
_x000D_
https:  cdn steemitimages com DQmZTJ98Uu4JeWMtvUkMwqRXVyjmuZEGJ2v9dHVu87EA2sf Screenshot 2019 07 01 23 24 01 png_x000D_
_x000D_
https:  cdn steemitimages com DQmU1JwBbDSLJRDgG3dqwQw3D49VmCt18dEUUgZ8Uo932cB Screenshot 2019 07 01 23 24 33 png</t>
  </si>
  <si>
    <t>LawnchairLauncher-lawnchair-1614</t>
  </si>
  <si>
    <t>Crash on background</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</si>
  <si>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I was in other app (Chrome)  when I got notification that Lawnchair crashed _x000D_
_x000D_
   Steps to Reproduce_x000D_
      Provide a link to a live example (screenshot recording etc  )  or a set of steps to reproduce the issue    _x000D_
_x000D_
I don t know  it happened only once while I was in other app_x000D_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Lenovo Tab 4 8 Plus_x000D_
  Android version: 8 1 0_x000D_
  Launcher version: 2 0 2224_x000D_
  Rom: stock_x000D_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https:  del dog obipizutif_x000D_
</t>
  </si>
  <si>
    <t>the3soundcrafties-SoundboardCrafter-94</t>
  </si>
  <si>
    <t>Sound file deleted...</t>
  </si>
  <si>
    <t xml:space="preserve">Currently when a sound file is deleted (or moved)  the activity crashes _x000D_
_x000D_
The system should handle this gracefully  Instead of crashing the activity the app could silently remove the sound from all soundboards (or simply not play it from the sound list) _x000D_
_x000D_
Perhaps the app could also check all sounds when starting the app (and remove them from the soundboards)   or it could register some kind of listener just in case the user would concurrently move or delete a sound   </t>
  </si>
  <si>
    <t>luaj-luaj-43</t>
  </si>
  <si>
    <t>OP_LOADKX not supported</t>
  </si>
  <si>
    <t xml:space="preserve">OP LOADKX only declared in code  No any real support for it _x000D_
VM can not Handle this op code  compiler not produce it and so on _x000D_
_x000D_
Because of that you can get crash if you code need more than 2 18 (262144) unique constants  Something like that:_x000D_
   _x000D_
org luaj vm2 LuaError: compiler assert failed_x000D_
        at org luaj vm2 compiler Constants  assert(Constants java:64)_x000D_
        at org luaj vm2 compiler FuncState codeABx(FuncState java:1116)_x000D_
        at org luaj vm2 compiler FuncState discharge2reg(FuncState java:588)_x000D_
        at org luaj vm2 compiler FuncState exp2reg(FuncState java:618)_x000D_
        at org luaj vm2 compiler FuncState exp2nextreg(FuncState java:645)_x000D_
        at org luaj vm2 compiler FuncState closelistfield(FuncState java:247)_x000D_
        at org luaj vm2 compiler LexState constructor(LexState java:1214)_x000D_
        at org luaj vm2 compiler LexState simpleexp(LexState java:1472)_x000D_
        at org luaj vm2 compiler LexState subexpr(LexState java:1577)_x000D_
        at org luaj vm2 compiler LexState expr(LexState java:1595)_x000D_
        at org luaj vm2 compiler LexState explist(LexState java:1312)_x000D_
        at org luaj vm2 compiler LexState retstat(LexState java:2028)_x000D_
        at org luaj vm2 compiler LexState statement(LexState java:2100)_x000D_
        at org luaj vm2 compiler LexState statlist(LexState java:2123)_x000D_
        at org luaj vm2 compiler LexState mainfunc(LexState java:2142)_x000D_
        at org luaj vm2 compiler LuaC CompileState luaY parser(LuaC java:129)_x000D_
        at org luaj vm2 compiler LuaC CompileState access 0(LuaC java:120)_x000D_
        at org luaj vm2 compiler LuaC compile(LuaC java:99)_x000D_
        at org luaj vm2 Globals compilePrototype(Globals java:304)_x000D_
        at org luaj vm2 Globals loadPrototype(Globals java:283)_x000D_
        at org luaj vm2 Globals load(Globals java:254)_x000D_
   _x000D_
_x000D_
Code for reproduce issue:_x000D_
   _x000D_
local a     return  0  _x000D_
for i   1  2 18   10 do_x000D_
   a  a   1    i_x000D_
end_x000D_
a  a   1       _x000D_
f   io open( test lua    w )_x000D_
f:write(table concat(a     ))_x000D_
f:close()_x000D_
   _x000D_
It is generate huge test lua  Run it  It must be ok  but produce compiler exception _x000D_
_x000D_
For most cases you not need such huge list of constants (more than 262144)  So this issue maybe not happens for you at all </t>
  </si>
  <si>
    <t>ankidroid-Anki-Android-5354</t>
  </si>
  <si>
    <t>crash: NullPointerException in new versioning startup code</t>
  </si>
  <si>
    <t xml:space="preserve">       Reproduction Steps_x000D_
_x000D_
1  Apparently you can do a few things  But  do a background sync_x000D_
2  Switch back to app after the sync is done_x000D_
3  crash _x000D_
_x000D_
_x000D_
       Expected Result_x000D_
_x000D_
That it works _x000D_
Or that it least generates valid stack traces (no idea what is going on there)_x000D_
_x000D_
Since the stack traces aren t great I can t just snipe it  and I haven t reproduced it yet  but it is prevalent_x000D_
_x000D_
I am tracking this as a high priority since it was my code and it appears to crash across OS versions and devices for folks on alpha75_x000D_
_x000D_
       Actual Result_x000D_
_x000D_
   _x000D_
java lang RuntimeException: Unable to start activity ComponentInfo com ichi2 anki com ichi2 anki DeckPicker : java lang NullPointerException: Attempt to invoke virtual method  long java lang Long longValue()  on a null object reference_x000D_
at android app ActivityThread performLaunchActivity(ActivityThread java:3268)_x000D_
at android app ActivityThread handleLaunchActivity(ActivityThread java:3407)_x000D_
at android app servertransaction LaunchActivityItem execute(LaunchActivityItem java:83)_x000D_
at android app servertransaction TransactionExecutor executeCallbacks(TransactionExecutor java:135)_x000D_
at android app servertransaction TransactionExecutor execute(TransactionExecutor java:95)_x000D_
at android app ActivityThread H handleMessage(ActivityThread java:2016)_x000D_
at android os Handler dispatchMessage(Handler java:107)_x000D_
at android os Looper loop(Looper java:214)_x000D_
at android app ActivityThread main(ActivityThread java:7343)_x000D_
at java lang reflect Method invoke(Native Method)_x000D_
at com android internal os RuntimeInit MethodAndArgsCaller run(RuntimeInit java:492)_x000D_
at com android internal os ZygoteInit main(ZygoteInit java:933)_x000D_
Caused by: java lang NullPointerException: Attempt to invoke virtual method  long java lang Long longValue()  on a null object reference_x000D_
at com ichi2 anki DeckPicker showStartupScreensAndDialogs(DeckPicker java:9)_x000D_
at com ichi2 anki DeckPicker onCreate(DeckPicker java:37)_x000D_
at android app Activity performCreate(Activity java:7802)_x000D_
at android app Activity performCreate(Activity java:7791)_x000D_
at android app Instrumentation callActivityOnCreate(Instrumentation java:1299)_x000D_
at android app ActivityThread performLaunchActivity(ActivityThread java:3243)_x000D_
   _x000D_
_x000D_
       Debug info_x000D_
_x000D_
https:  couchdb ankidroid org acralyzer  design acralyzer index html  report details 69c2044a 79fb 4202 99fd ffc3ed818b5b_x000D_
_x000D_
       Research_x000D_
 Enter an   x   character to confirm the points below: _x000D_
_x000D_
     I have read the  support page (https:  ankidroid org docs help html) and am reporting a bug or enhancement request specific to AnkiDroid_x000D_
_x000D_
     I have checked the  manual (https:  ankidroid org docs manual html) and the  FAQ (https:  github com ankidroid Anki Android wiki FAQ) and could not find a solution to my issue_x000D_
_x000D_
     I have searched for similar existing issues here and on the user forum_x000D_
_x000D_
</t>
  </si>
  <si>
    <t>Haptic-Apps-Slide-3030</t>
  </si>
  <si>
    <t>[Slide][v6.2 ]App failed to open</t>
  </si>
  <si>
    <t xml:space="preserve">    Actual behavior_x000D_
_x000D_
App crashing again and again  can not open the app _x000D_
    Expected behavior_x000D_
_x000D_
Expected that i can open the app and can use successfully_x000D_
_x000D_
    How to reproduce:_x000D_
1 Download the app _x000D_
2 Then Open the application_x000D_
6 Note the Bug _x000D_
_x000D_
    information_x000D_
  App version:v6 2_x000D_
  os:Android 6 0 1_x000D_
  Device:samsung J5_x000D_
    Recording of the bug_x000D_
_x000D_
https:  youtu be CAMYGPPM79w_x000D_
_x000D_
    Logcat:_x000D_
 pre  code 06 29 07:57:24 562  6308  6308 E AndroidRuntime: FATAL EXCEPTION: main_x000D_
06 29 07:57:24 562  6308  6308 E AndroidRuntime: Process: me ccrama redditslide  PID: 6308_x000D_
06 29 07:57:24 562  6308  6308 E AndroidRuntime: android view InflateException: Binary XML file line  10: Binary XML file line  10: Error inflating class ImageView_x000D_
06 29 07:57:24 562  6308  6308 E AndroidRuntime:   at android view LayoutInflater inflate(LayoutInflater java:551)_x000D_
06 29 07:57:24 562  6308  6308 E AndroidRuntime:   at android view LayoutInflater inflate(LayoutInflater java:429)_x000D_
06 29 07:57:24 562  6308  6308 E AndroidRuntime:   at me ccrama redditslide Activities Tutorial Welcome onCreateView(Tutorial java:104)_x000D_
06 29 07:57:24 562  6308  6308 E AndroidRuntime:   at android support v4 app Fragment performCreateView(Fragment java:2439)_x000D_
06 29 07:57:24 562  6308  6308 E AndroidRuntime:   at android support v4 app FragmentManagerImpl moveToState(FragmentManager java:1460)_x000D_
06 29 07:57:24 562  6308  6308 E AndroidRuntime:   at android support v4 app FragmentManagerImpl moveFragmentToExpectedState(FragmentManager java:1784)_x000D_
06 29 07:57:24 562  6308  6308 E AndroidRuntime:   at android support v4 app FragmentManagerImpl moveToState(FragmentManager java:1852)_x000D_
06 29 07:57:24 562  6308  6308 E AndroidRuntime:   at android support v4 app BackStackRecord executeOps(BackStackRecord java:802)_x000D_
06 29 07:57:24 562  6308  6308 E AndroidRuntime:   at android support v4 app FragmentManagerImpl executeOps(FragmentManager java:2625)_x000D_
06 29 07:57:24 562  6308  6308 E AndroidRuntime:   at android support v4 app FragmentManagerImpl executeOpsTogether(FragmentManager java:2411)_x000D_
06 29 07:57:24 562  6308  6308 E AndroidRuntime:   at android support v4 app FragmentManagerImpl removeRedundantOperationsAndExecute(FragmentManager java:2366)_x000D_
06 29 07:57:24 562  6308  6308 E AndroidRuntime:   at android support v4 app FragmentManagerImpl execSingleAction(FragmentManager java:2243)_x000D_
06 29 07:57:24 562  6308  6308 E AndroidRuntime:   at android support v4 app BackStackRecord commitNowAllowingStateLoss(BackStackRecord java:654)_x000D_
06 29 07:57:24 562  6308  6308 E AndroidRuntime:   at android support v4 app FragmentStatePagerAdapter finishUpdate(FragmentStatePagerAdapter java:168)_x000D_
06 29 07:57:24 562  6308  6308 E AndroidRuntime:   at android support v4 view ViewPager populate(ViewPager java:1244)_x000D_
06 29 07:57:24 562  6308  6308 E AndroidRuntime:   at android support v4 view ViewPager populate(ViewPager java:1092)_x000D_
06 29 07:57:24 562  6308  6308 E AndroidRuntime:   at android support v4 view ViewPager onMeasure(ViewPager java:1622)_x000D_
06 29 07:57:24 562  6308  6308 E AndroidRuntime:   at android view View measure(View java:20190)_x000D_
06 29 07:57:24 562  6308  6308 E AndroidRuntime:   at android widget RelativeLayout measureChildHorizontal(RelativeLayout java:716)_x000D_
06 29 07:57:24 562  6308  6308 E AndroidRuntime:   at android widget RelativeLayout onMeasure(RelativeLayout java:462)_x000D_
06 29 07:57:24 562  6308  6308 E AndroidRuntime:   at android view View measure(View java:20190)_x000D_
06 29 07:57:24 562  6308  6308 E AndroidRuntime:   at android view ViewGroup measureChildWithMargins(ViewGroup java:6330)_x000D_
06 29 07:57:24 562  6308  6308 E AndroidRuntime:   at android widget FrameLayout onMeasure(FrameLayout java:194)_x000D_
06 29 07:57:24 562  6308  6308 E AndroidRuntime:   at android support v7 widget ContentFrameLayout onMeasure(ContentFrameLayout java:143)_x000D_
06 29 07:57:24 562  6308  6308 E AndroidRuntime:   at android view View measure(View java:20190)_x000D_
06 29 07:57:24 562  6308  6308 E AndroidRuntime:   at android view ViewGroup measureChildWithMargins(ViewGroup java:6330)_x000D_
06 29 07:57:24 562  6308  6308 E AndroidRuntime:   at android widget LinearLayout measureChildBeforeLayout(LinearLayout java:1464)_x000D_
06 29 07:57:24 562  6308  6308 E AndroidRuntime:   at android widget LinearLayout measureVertical(LinearLayout java:747)_x000D_
06 29 07:57:24 562  6308  6308 E AndroidRuntime:   at android widget LinearLayout onMeasure(LinearLayout java:629)06 29 07:57:24 562  6308  6308 E AndroidRuntime:   at android view View measure(View java:20190)_x000D_
06 29 07:57:24 562  6308  6308 E AndroidRuntime:   at android view ViewGroup measureChildWithMargins(ViewGroup java:6330)_x000D_
06 29 07:57:24 562  6308  6308 E AndroidRuntime:   at android widget FrameLayout onMeasure(FrameLayout java:194)_x000D_
06 29 07:57:24 562  6308  6308 E AndroidRuntime:   at android view View measure(View java:20190)_x000D_
06 29 07:57:24 562  6308  6308 E AndroidRuntime:   at android view ViewGroup measureChildWithMargins(ViewGroup java:6330)_x000D_
06 29 07:57:24 562  6308  6308 E AndroidRuntime:   at android widget LinearLayout measureChildBeforeLayout(LinearLayout java:1464)_x000D_
06 29 07:57:24 562  6308  6308 E AndroidRuntime:   at android widget LinearLayout measureVertical(LinearLayout java:747)_x000D_
06 29 07:57:24 562  6308  6308 E AndroidRuntime:   at android widget LinearLayout onMeasure(LinearLayout java:629)_x000D_
06 29 07:57:24 562  6308  6308 E AndroidRuntime:   at android view View measure(View java:20190)_x000D_
06 29 07:57:24 562  6308  6308 E AndroidRuntime:   at android view ViewGroup measureChildWithMargins(ViewGroup java:6330)_x000D_
06 29 07:57:24 562  6308  6308 E AndroidRuntime:   at android widget FrameLayout onMeasure(FrameLayout java:194)_x000D_
06 29 07:57:24 562  6308  6308 E AndroidRuntime:   at com android internal policy PhoneWindow DecorView onMeasure(PhoneWindow java:3094)_x000D_
06 29 07:57:24 562  6308  6308 E AndroidRuntime:   at android view View measure(View java:20190)_x000D_
06 29 07:57:24 562  6308  6308 E AndroidRuntime:   at android view ViewRootImpl performMeasure(ViewRootImpl java:2643)_x000D_
06 29 07:57:24 562  6308  6308 E AndroidRuntime:   at android view ViewRootImpl measureHierarchy(ViewRootImpl java:1598)_x000D_
06 29 07:57:24 562  6308  6308 E AndroidRuntime:   at android view ViewRootImpl performTraversals(ViewRootImpl java:1890)_x000D_
06 29 07:57:24 562  6308  6308 E AndroidRuntime:   at android view ViewRootImpl doTraversal(ViewRootImpl java:1486)_x000D_
06 29 07:57:24 562  6308  6308 E AndroidRuntime:   at android view ViewRootImpl TraversalRunnable run(ViewRootImpl java:7467)_x000D_
06 29 07:57:24 562  6308  6308 E AndroidRuntime:   at android view Choreographer CallbackRecord run(Choreographer java:920)_x000D_
06 29 07:57:24 562  6308  6308 E AndroidRuntime:   at android view Choreographer doCallbacks(Choreographer java:695)_x000D_
06 29 07:57:24 562  6308  6308 E AndroidRuntime:   at android view Choreographer doFrame(Choreographer java:631)_x000D_
06 29 07:57:24 562  6308  6308 E AndroidRuntime:   at android view Choreographer FrameDisplayEventReceiver run(Choreographer java:906)_x000D_
06 29 07:57:24 562  6308  6308 E AndroidRuntime:   at android os Handler handleCallback(Handler java:739)_x000D_
06 29 07:57:24 562  6308  6308 E AndroidRuntime:   at android os Handler dispatchMessage(Handler java:95)_x000D_
06 29 07:57:24 562  6308  6308 E AndroidRuntime:   at android os Looper loop(Looper java:158)  code   pre </t>
  </si>
  <si>
    <t>projectbuendia-client-366</t>
  </si>
  <si>
    <t>Adding a treatment with 958 days causes patient chart to crash</t>
  </si>
  <si>
    <t xml:space="preserve">Adding a Treatment crashed the app  Log attached  _x000D_
_x000D_
 addtreatment txt (https:  github com projectbuendia client files 3340530 addtreatment txt)_x000D_
</t>
  </si>
  <si>
    <t>projectbuendia-client-365</t>
  </si>
  <si>
    <t>Patient Chart -&gt; Blank Screen</t>
  </si>
  <si>
    <t xml:space="preserve">App version: (the number after  Buendia  on the starting screen)_x000D_
Screen or dialog: Patient Chart_x000D_
_x000D_
     Steps to replicate the problem_x000D_
_x000D_
I saw this on two devices  This did not seem like an internet issue because other websites worked fine at the time  IDs 3333 and 4444_x000D_
_x000D_
1  On device 1  Add a Treatment to a Patient ID 44442  (I m not sure if its add a new patient or add an existing one ) _x000D_
2  Result: the Patient Chart grid is just a white screen  I could see the gray header tiles  but nothing else  _x000D_
In this case  Going to the patient list and pulling to refresh seems to work_x000D_
_x000D_
On Device 2_x000D_
Somehow someone got into a state where they could not see any Patient Grids at all  They did not add Treatment  just observations  This device  I grabbed a log that s Attached  _x000D_
In this case  going back and refreshing did not fix the issue  _x000D_
_x000D_
_x000D_
     Actual behaviour_x000D_
No Patient Grid shown  Just a white screen  _x000D_
_x000D_
     Expected behaviour_x000D_
Expect the Patient Grid to show  _x000D_
_x000D_
 nocrashblankpatients txt (https:  github com projectbuendia client files 3340521 nocrashblankpatients txt)_x000D_
</t>
  </si>
  <si>
    <t>projectbuendia-client-364</t>
  </si>
  <si>
    <t>Crash -&gt; Observation after Copy / Pasting Data</t>
  </si>
  <si>
    <t xml:space="preserve">App version: (the number after  Buendia  on the starting screen)_x000D_
Screen or dialog:_x000D_
_x000D_
     Steps to replicate the problem_x000D_
_x000D_
Could not reproduce reliably  But we have a log from the crash  _x000D_
_x000D_
1  New Observation  Fill some of it out  _x000D_
2  Switch applications to search for something online  _x000D_
3  Come back  _x000D_
4  Fill out  _x000D_
5  Switch apps back and copy text  _x000D_
6  Switch back to form  _x000D_
7  Paste in Notes _x000D_
8  Hit Save  _x000D_
CRASH_x000D_
_x000D_
     Actual behaviour_x000D_
CRASH_x000D_
_x000D_
     Expected behaviour_x000D_
Expected the form to save  Log attached  _x000D_
_x000D_
 copypastesave txt (https:  github com projectbuendia client files 3340508 copypastesave txt)_x000D_
_x000D_
</t>
  </si>
  <si>
    <t>launchdarkly-android-client-sdk-80</t>
  </si>
  <si>
    <t>Crash with launchDarkly 2.7.0</t>
  </si>
  <si>
    <t xml:space="preserve">  Describe the bug  _x000D_
App is crashing on launch_x000D_
_x000D_
  To reproduce  _x000D_
This happens in production only for now_x000D_
_x000D_
  Expected behavior  _x000D_
Not crash    _x000D_
_x000D_
  Logs  _x000D_
   _x000D_
Caused by java lang ClassCastException: java lang Float cannot be cast to java lang String_x000D_
       at com launchdarkly android Migration migrate 2 7 fresh   78(Migration java:78)_x000D_
       at com launchdarkly android Migration migrateWhenNeeded   32(Migration java:32)_x000D_
       at com launchdarkly android LDClient init   129(LDClient java:129)_x000D_
   _x000D_
  SDK version  _x000D_
2 5 4 to 2 7 0_x000D_
_x000D_
  Language version  developer tools  _x000D_
Java kotlin_x000D_
_x000D_
  OS platform  _x000D_
Android 9_x000D_
_x000D_
</t>
  </si>
  <si>
    <t>google-ExoPlayer-6107</t>
  </si>
  <si>
    <t>Decoder init failed in viewpager</t>
  </si>
  <si>
    <t xml:space="preserve">We are receiving a bug  where Exoplayer does not load our MP4 files in the ViewPager after 5th attempt(it is predictable and occurs always)  Here is crash log from ExoPlayer:_x000D_
_x000D_
   _x000D_
2019 06 28 14:11:03 758 30021 31428 com idenfy app new E ExoPlayerImplInternal: Playback error _x000D_
    com google android exoplayer2 ExoPlaybackException_x000D_
        at com google android exoplayer2 mediacodec MediaCodecRenderer throwDecoderInitError(MediaCodecRenderer java:450)_x000D_
        at com google android exoplayer2 mediacodec MediaCodecRenderer maybeInitCodec(MediaCodecRenderer java:437)_x000D_
        at com google android exoplayer2 mediacodec MediaCodecRenderer onInputFormatChanged(MediaCodecRenderer java:929)_x000D_
        at com google android exoplayer2 video MediaCodecVideoRenderer onInputFormatChanged(MediaCodecVideoRenderer java:506)_x000D_
        at com google android exoplayer2 mediacodec MediaCodecRenderer render(MediaCodecRenderer java:566)_x000D_
        at com google android exoplayer2 ExoPlayerImplInternal doSomeWork(ExoPlayerImplInternal java:518)_x000D_
        at com google android exoplayer2 ExoPlayerImplInternal handleMessage(ExoPlayerImplInternal java:301)_x000D_
        at android os Handler dispatchMessage(Handler java:102)_x000D_
        at android os Looper loop(Looper java:193)_x000D_
        at android os HandlerThread run(HandlerThread java:65)_x000D_
     Caused by: com google android exoplayer2 mediacodec MediaCodecRenderer DecoderInitializationException: Decoder init failed: OMX qcom video decoder avc  Format(1  null  video avc   1  null   500  500   1 0     1   1 )_x000D_
        at com google android exoplayer2 mediacodec MediaCodecRenderer maybeInitCodec(MediaCodecRenderer java:437) _x000D_
        at com google android exoplayer2 mediacodec MediaCodecRenderer onInputFormatChanged(MediaCodecRenderer java:929) _x000D_
        at com google android exoplayer2 video MediaCodecVideoRenderer onInputFormatChanged(MediaCodecVideoRenderer java:506) _x000D_
        at com google android exoplayer2 mediacodec MediaCodecRenderer render(MediaCodecRenderer java:566) _x000D_
        at com google android exoplayer2 ExoPlayerImplInternal doSomeWork(ExoPlayerImplInternal java:518) _x000D_
        at com google android exoplayer2 ExoPlayerImplInternal handleMessage(ExoPlayerImplInternal java:301) _x000D_
        at android os Handler dispatchMessage(Handler java:102) _x000D_
        at android os Looper loop(Looper java:193) _x000D_
        at android os HandlerThread run(HandlerThread java:65) _x000D_
   </t>
  </si>
  <si>
    <t>LawnchairLauncher-lawnchair-1608</t>
  </si>
  <si>
    <t>[Bug] Cover issues on folder change</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</si>
  <si>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When you change the folder which has Cover ( 1479) enabled  it doesn t reflect the changes _x000D_
_x000D_
   Expected Behavior_x000D_
      Tell us what should happen    _x000D_
1  Adding a new app into the folder as the first one should change the Cover to this new app _x000D_
2  Removing the first app from the folder (or moving it to the lower position) should change the Cover to the next app by order _x000D_
3  Disabling the Cover feature for the folder should restore its original settings (or reset the folder to the default settings) _x000D_
_x000D_
   Actual Behavior_x000D_
      Tell us what happens instead    _x000D_
1  Cover doesn t change when the new app is added _x000D_
2  There s inconsistency in Cover behavior   sometimes it does change the shortcut to the next app  sometimes it s stuck with the same one _x000D_
3  When the Cover is disabled  folder still has the name of the app which was the Cover applied to  and when you re enable the Cover  it still has the same shortcut (so you re basically unable to reset the folder) _x000D_
_x000D_
   Steps to Reproduce_x000D_
      Provide a link to a live example (screenshot recording etc  )  or a set of steps to reproduce the issue    _x000D_
_x000D_
Described in previous sections 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OnePlus 6T_x000D_
  Android version: 9 0_x000D_
  Launcher version: 2202_x000D_
  Rom: OxygenOS_x000D_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Not acquired yet  will upload if requested </t>
  </si>
  <si>
    <t>ponewheel-android-ponewheel-90</t>
  </si>
  <si>
    <t>pOnewheel v3.4 - Fatal exception after set Logging Frequency</t>
  </si>
  <si>
    <t xml:space="preserve">  Actual behavior_x000D_
Should after user set Logging Frequency  then click Ok to save it  Applications must be stable  and run well on the device _x000D_
_x000D_
  Expected behavior_x000D_
After setting up Logging Frequency  then click OK to save it  Next  press the back button on the device  suddenly the application crashes and stops  And when I want to reenter the app  the app continues to stop  so the ability to get into the app can not be done anymore _x000D_
_x000D_
  How to reproduce_x000D_
  Launch app _x000D_
  Allow application is requesting permission to turn on Bluetooth  Press Yes _x000D_
  Click on three dots in the top right corner of the display screen _x000D_
  Select and open Settings feature _x000D_
  Press or open the Frequency Logging feature _x000D_
  Add 10 zeros  so be 10000000000  then Press OK  _x000D_
  Press the back button on the device  You will get into trouble as I have experienced  _x000D_
_x000D_
  Information_x000D_
  Device: Nubia n2 lite_x000D_
  Android version: 8 1 0_x000D_
  Application version: 3 4_x000D_
_x000D_
  Recording of the bug_x000D_
https:  youtu be 1B ytm2iKFU</t>
  </si>
  <si>
    <t>Bespin-AF-a2d2-android-65</t>
  </si>
  <si>
    <t>Duplicate View Creation</t>
  </si>
  <si>
    <t xml:space="preserve">On the Rider Rules view  after hitting agree and the loading bar is displayed  if the user hits the back button  it will bring the user back to the MainActivity view but still create an instance of the next view  Ride Request Details  This process can be repeated however many times to keep creating multiple instances of the Ride Request Details view _x000D_
_x000D_
Steps to reproduce the behavior:_x000D_
1  Go to the Rider Rules view _x000D_
2  Click on the  Agree  button _x000D_
3  Press the back button _x000D_
4  Repeat however many times you want _x000D_
5  Once on the Ride Request Details  press back and you will see the next instance of the same view created _x000D_
_x000D_
The application should terminate the process of pulling GPS navigation and attempting to push the user to the Ride Request View if the user presses the back button _x000D_
_x000D_
Fixing this bug should also fix the other bug that causes a crash sometimes when the user navigates away from the Rider Rules page via the back or home button </t>
  </si>
  <si>
    <t>square-okhttp-5246</t>
  </si>
  <si>
    <t>HttpHeaders.hasBody removed</t>
  </si>
  <si>
    <t xml:space="preserve">There is no replacement for the old function  HttpHeaders hasBody _x000D_
_x000D_
Therefore it s not binary compatible and crashes using chuck:_x000D_
_x000D_
https:  github com jgilfelt chuck blob 152f9a79f94ea23e9f0542137765961918909a76 library src main java com readystatesoftware chuck ChuckInterceptor java L196_x000D_
_x000D_
Feel free to close as it s in the internal package </t>
  </si>
  <si>
    <t>7LPdWcaW-GrowTracker-Android-94</t>
  </si>
  <si>
    <t>The app crashed when I clicked on settings after deleting my selected default garden in the settings.</t>
  </si>
  <si>
    <t xml:space="preserve">     Expected behavior_x000D_
I expected that I could click on settings after deleting a garden  which was chosen for the default garden in the app settings before _x000D_
_x000D_
     Actual behavior_x000D_
After creating a garden and selecting it as the default garden of the app  When I tried open the settings after deleting that garden  then the app crashed  _x000D_
It crashes every time after that crash and I am not able to use it _x000D_
_x000D_
     How to reproduce_x000D_
Here is every possible detail to reproduce the bug _x000D_
1  Open the app _x000D_
2  Create a new garden _x000D_
3  Go to the settings and select it as your default garden _x000D_
4  After that delete the garden you created and selected in the settings before _x000D_
5  At last  try to go in the settings and notice the crash _x000D_
You can t use this app after this crash  It would crash every time when you try to use the app _x000D_
_x000D_
  App version: 2 5 1_x000D_
  Operating system: Android 6 0 1_x000D_
_x000D_
     Recording Of The Bug_x000D_
Watch the bug on Youtube  It might help you to follow the steps _x000D_
https:  youtu be rgYDQaS Gfk_x000D_
_x000D_
     LogCat_x000D_
   _x000D_
06 27 12:30:55 182  2079  2079 E AndroidRuntime: FATAL EXCEPTION: main_x000D_
_x000D_
06 27 12:30:55 182  2079  2079 E AndroidRuntime: Process: me anon grow  PID: 2079_x000D_
_x000D_
06 27 12:30:55 182  2079  2079 E AndroidRuntime: java lang RuntimeException: Unable to start activity ComponentInfo me anon grow me anon grow MainActivity : java lang NullPointerException: Attempt to invoke interface method  android view MenuItem android view MenuItem setChecked(boolean)  on a null object reference_x000D_
_x000D_
06 27 12:30:55 182  2079  2079 E AndroidRuntime: 	at android app ActivityThread performLaunchActivity(ActivityThread java:3319)_x000D_
_x000D_
06 27 12:30:55 182  2079  2079 E AndroidRuntime: 	at android app ActivityThread handleLaunchActivity(ActivityThread java:3415)_x000D_
_x000D_
06 27 12:30:55 182  2079  2079 E AndroidRuntime: 	at android app ActivityThread access 1100(ActivityThread java:229)_x000D_
_x000D_
06 27 12:30:55 182  2079  2079 E AndroidRuntime: 	at android app ActivityThread H handleMessage(ActivityThread java:1821)_x000D_
_x000D_
06 27 12:30:55 182  2079  2079 E AndroidRuntime: 	at android os Handler dispatchMessage(Handler java:102)_x000D_
_x000D_
06 27 12:30:55 182  2079  2079 E AndroidRuntime: 	at android os Looper loop(Looper java:148)_x000D_
_x000D_
06 27 12:30:55 182  2079  2079 E AndroidRuntime: 	at android app ActivityThread main(ActivityThread java:7325)_x000D_
_x000D_
06 27 12:30:55 182  2079  2079 E AndroidRuntime: 	at java lang reflect Method invoke(Native Method)_x000D_
_x000D_
06 27 12:30:55 182  2079  2079 E AndroidRuntime: 	at com android internal os ZygoteInit MethodAndArgsCaller run(ZygoteInit java:1230)_x000D_
_x000D_
06 27 12:30:55 182  2079  2079 E AndroidRuntime: 	at com android internal os ZygoteInit main(ZygoteInit java:1120)_x000D_
_x000D_
06 27 12:30:55 182  2079  2079 E AndroidRuntime: Caused by: java lang NullPointerException: Attempt to invoke interface method  android view MenuItem android view MenuItem setChecked(boolean)  on a null object reference_x000D_
_x000D_
06 27 12:30:55 182  2079  2079 E AndroidRuntime: 	at me anon grow MainActivity onCreate(MainActivity java:86)_x000D_
_x000D_
06 27 12:30:55 182  2079  2079 E AndroidRuntime: 	at android app Activity performCreate(Activity java:6904)_x000D_
_x000D_
06 27 12:30:55 182  2079  2079 E AndroidRuntime: 	at android app Instrumentation callActivityOnCreate(Instrumentation java:1136)_x000D_
_x000D_
06 27 12:30:55 182  2079  2079 E AndroidRuntime: 	at android app ActivityThread performLaunchActivity(ActivityThread java:3266)_x000D_
_x000D_
06 27 12:30:55 182  2079  2079 E AndroidRuntime: 	    9 more_x000D_
   </t>
  </si>
  <si>
    <t>7LPdWcaW-GrowTracker-Android-93</t>
  </si>
  <si>
    <t>The application crashes when i click on Restore From Backup</t>
  </si>
  <si>
    <t xml:space="preserve">    Expected behavior:_x000D_
I expected that the application should not be crash when i click on Restore from Backup Option _x000D_
_x000D_
    Actual behavior:_x000D_
After configure the application when i click on Restore from backup option the application is you can see in bug vieo proprealy _x000D_
_x000D_
    How to reproduce:_x000D_
1 Download the app from playstore and open the app _x000D_
2 Then click on account manu icon and setting option _x000D_
3 click on  restore backup Naw _x000D_
4 Then try to again _x000D_
6 Note the Bug _x000D_
_x000D_
    information_x000D_
App version:v2 5 1_x000D_
os:Android 6 0 1_x000D_
Device:samsung J5_x000D_
    Recording of the bug_x000D_
https:  youtu be vXEDy1DttLE_x000D_
_x000D_
    Logcat:_x000D_
 pre  code 06 26 23:08:17 986 11900 11900 E AndroidRuntime: FATAL EXCEPTION: main_x000D_
06 26 23:08:17 986 11900 11900 E AndroidRuntime: Process: me anon grow  PID: 11900_x000D_
06 26 23:08:17 986 11900 11900 E AndroidRuntime: java lang NullPointerException: Attempt to invoke virtual method  android content res Resources android content Context getResources()  on a null object reference_x000D_
06 26 23:08:17 986 11900 11900 E AndroidRuntime:   at android text format DateFormat getTimeFormatString(DateFormat java:278)_x000D_
06 26 23:08:17 986 11900 11900 E AndroidRuntime:   at android text format DateFormat getTimeFormatString(DateFormat java:267)_x000D_
06 26 23:08:17 986 11900 11900 E AndroidRuntime:   at android text format DateFormat getTimeFormat(DateFormat java:257)_x000D_
06 26 23:08:17 986 11900 11900 E AndroidRuntime:   at me anon grow fragment SettingsFragment 1BackupData toString(SettingsFragment java:636)_x000D_
06 26 23:08:17 986 11900 11900 E AndroidRuntime:   at java lang StringBuilder append(StringBuilder java:202)_x000D_
06 26 23:08:17 986 11900 11900 E AndroidRuntime:   at me anon grow fragment SettingsFragment 13 onClick(SettingsFragment java:793)_x000D_
06 26 23:08:17 986 11900 11900 E AndroidRuntime:   at com android internal app AlertController AlertParams 3 onItemClick(AlertController java:1229)_x000D_
06 26 23:08:17 986 11900 11900 E AndroidRuntime:   at android widget AdapterView performItemClick(AdapterView java:346)_x000D_
06 26 23:08:17 986 11900 11900 E AndroidRuntime:   at android widget AbsListView performItemClick(AbsListView java:1547)_x000D_
06 26 23:08:17 986 11900 11900 E AndroidRuntime:   at android widget AbsListView PerformClick run(AbsListView java:3826)_x000D_
06 26 23:08:17 986 11900 11900 E AndroidRuntime:   at android widget AbsListView 3 run(AbsListView java:5848)_x000D_
06 26 23:08:17 986 11900 11900 E AndroidRuntime:   at android os Handler handleCallback(Handler java:739)_x000D_
06 26 23:08:17 986 11900 11900 E AndroidRuntime:   at android os Handler dispatchMessage(Handler java:95)_x000D_
06 26 23:08:17 986 11900 11900 E AndroidRuntime:   at android os Looper loop(Looper java:158)_x000D_
06 26 23:08:17 986 11900 11900 E AndroidRuntime:   at android app ActivityThread main(ActivityThread java:7231)_x000D_
06 26 23:08:17 986 11900 11900 E AndroidRuntime:   at java lang reflect Method invoke(Native Method)_x000D_
06 26 23:08:17 986 11900 11900 E AndroidRuntime:   at com android internal os ZygoteInit MethodAndArgsCaller run(ZygoteInit java:1230)_x000D_
06 26 23:08:17 986 11900 11900 E AndroidRuntime:   at com android internal os ZygoteInit main(ZygoteInit java:1120)  code   pre </t>
  </si>
  <si>
    <t>7LPdWcaW-GrowTracker-Android-90</t>
  </si>
  <si>
    <t>[GrowTracker][V2.5.1]The application crashes when i click on backup now</t>
  </si>
  <si>
    <t xml:space="preserve">    Expected behavior:_x000D_
I expected that the application should not be crash when i click on Backup Nawoption _x000D_
_x000D_
    Actual behavior:_x000D_
After configure the application when i click on Backp Naw option the application is you can see in bug vieo proprealy _x000D_
_x000D_
    How to reproduce:_x000D_
1 Download the app from playstore and open the app _x000D_
2 Then click on account manu icon and setting option _x000D_
3 click on backup Naw _x000D_
6 Note the Bug _x000D_
_x000D_
    information_x000D_
App version:v2 5 1_x000D_
os:Android 6 0 1_x000D_
Device:samsung J5_x000D_
    Recording of the bug_x000D_
https:  youtu be VqnHwhnYdt4_x000D_
_x000D_
    Logcat:_x000D_
 pre  code 06 26 23:08:17 986 11900 11900 E AndroidRuntime: FATAL EXCEPTION: main_x000D_
06 26 23:08:17 986 11900 11900 E AndroidRuntime: Process: me anon grow  PID: 11900_x000D_
06 26 23:08:17 986 11900 11900 E AndroidRuntime: java lang NullPointerException: Attempt to invoke virtual method  android content res Resources android content Context getResources()  on a null object reference_x000D_
06 26 23:08:17 986 11900 11900 E AndroidRuntime:   at android text format DateFormat getTimeFormatString(DateFormat java:278)_x000D_
06 26 23:08:17 986 11900 11900 E AndroidRuntime:   at android text format DateFormat getTimeFormatString(DateFormat java:267)_x000D_
06 26 23:08:17 986 11900 11900 E AndroidRuntime:   at android text format DateFormat getTimeFormat(DateFormat java:257)_x000D_
06 26 23:08:17 986 11900 11900 E AndroidRuntime:   at me anon grow fragment SettingsFragment 1BackupData toString(SettingsFragment java:636)_x000D_
06 26 23:08:17 986 11900 11900 E AndroidRuntime:   at java lang StringBuilder append(StringBuilder java:202)_x000D_
06 26 23:08:17 986 11900 11900 E AndroidRuntime:   at me anon grow fragment SettingsFragment 13 onClick(SettingsFragment java:793)_x000D_
06 26 23:08:17 986 11900 11900 E AndroidRuntime:   at com android internal app AlertController AlertParams 3 onItemClick(AlertController java:1229)_x000D_
06 26 23:08:17 986 11900 11900 E AndroidRuntime:   at android widget AdapterView performItemClick(AdapterView java:346)_x000D_
06 26 23:08:17 986 11900 11900 E AndroidRuntime:   at android widget AbsListView performItemClick(AbsListView java:1547)_x000D_
06 26 23:08:17 986 11900 11900 E AndroidRuntime:   at android widget AbsListView PerformClick run(AbsListView java:3826)_x000D_
06 26 23:08:17 986 11900 11900 E AndroidRuntime:   at android widget AbsListView 3 run(AbsListView java:5848)_x000D_
06 26 23:08:17 986 11900 11900 E AndroidRuntime:   at android os Handler handleCallback(Handler java:739)_x000D_
06 26 23:08:17 986 11900 11900 E AndroidRuntime:   at android os Handler dispatchMessage(Handler java:95)_x000D_
06 26 23:08:17 986 11900 11900 E AndroidRuntime:   at android os Looper loop(Looper java:158)_x000D_
06 26 23:08:17 986 11900 11900 E AndroidRuntime:   at android app ActivityThread main(ActivityThread java:7231)_x000D_
06 26 23:08:17 986 11900 11900 E AndroidRuntime:   at java lang reflect Method invoke(Native Method)_x000D_
06 26 23:08:17 986 11900 11900 E AndroidRuntime:   at com android internal os ZygoteInit MethodAndArgsCaller run(ZygoteInit java:1230)_x000D_
06 26 23:08:17 986 11900 11900 E AndroidRuntime:   at com android internal os ZygoteInit main(ZygoteInit java:1120)  code   pre </t>
  </si>
  <si>
    <t>7LPdWcaW-GrowTracker-Android-89</t>
  </si>
  <si>
    <t>[GrowTracker][V2.5.1]The application crashes when i click on backup size limit</t>
  </si>
  <si>
    <t xml:space="preserve">    Expected behavior:_x000D_
I expected that the application should not be crash when i click on Backup size limit option _x000D_
_x000D_
    Actual behavior:_x000D_
After configure the application when i click on Backup Suze limit option the application is you can see in bug vieo proprealy _x000D_
_x000D_
    How to reproduce:_x000D_
1 Download the app from playstore and open the app _x000D_
2 Then click on team conditions accept _x000D_
3 Naw click on account manu icon and setting option _x000D_
4 Then click on backup size   type number _x000D_
5 Click  ok _x000D_
6 Note the Bug _x000D_
_x000D_
    information_x000D_
App version:v2 5 1_x000D_
os:Android 6 0 1_x000D_
Device:samsung J5_x000D_
    Recording of the bug_x000D_
_x000D_
https:  youtu be L07gNX2ykNE_x000D_
_x000D_
    Logcat:_x000D_
 pre  code 06 26 23:01:42 326 10073 10073 E AndroidRuntime: FATAL EXCEPTION: main_x000D_
06 26 23:01:42 326 10073 10073 E AndroidRuntime: Process: me anon grow  PID: 10073_x000D_
06 26 23:01:42 326 10073 10073 E AndroidRuntime: java lang NumberFormatException: Invalid int:  1345   _x000D_
06 26 23:01:42 326 10073 10073 E AndroidRuntime:   at java lang Integer invalidInt(Integer java:138)_x000D_
06 26 23:01:42 326 10073 10073 E AndroidRuntime:   at java lang Integer parse(Integer java:410)_x000D_
06 26 23:01:42 326 10073 10073 E AndroidRuntime:   at java lang Integer parseInt(Integer java:367)_x000D_
06 26 23:01:42 326 10073 10073 E AndroidRuntime:   at java lang Integer parseInt(Integer java:334)_x000D_
06 26 23:01:42 326 10073 10073 E AndroidRuntime:   at me anon lib helper BackupHelper limitBackups(BackupHelper kt:50)_x000D_
06 26 23:01:42 326 10073 10073 E AndroidRuntime:   at me anon lib helper BackupHelper limitBackups default(BackupHelper kt:46)_x000D_
06 26 23:01:42 326 10073 10073 E AndroidRuntime:   at me anon lib helper BackupHelper backupJson(BackupHelper kt:29)_x000D_
06 26 23:01:42 326 10073 10073 E AndroidRuntime:   at me anon grow fragment SettingsFragment onPreferenceClick(SettingsFragment java:620)_x000D_
06 26 23:01:42 326 10073 10073 E AndroidRuntime:   at android preference Preference performClick(Preference java:1230)_x000D_
06 26 23:01:42 326 10073 10073 E AndroidRuntime:   at android preference PreferenceScreen onItemClick(PreferenceScreen java:298)_x000D_
06 26 23:01:42 326 10073 10073 E AndroidRuntime:   at android widget AdapterView performItemClick(AdapterView java:346)_x000D_
06 26 23:01:42 326 10073 10073 E AndroidRuntime:   at android widget AbsListView performItemClick(AbsListView java:1547)_x000D_
06 26 23:01:42 326 10073 10073 E AndroidRuntime:   at android widget AbsListView PerformClick run(AbsListView java:3826)_x000D_
06 26 23:01:42 326 10073 10073 E AndroidRuntime:   at android widget AbsListView 3 run(AbsListView java:5848)_x000D_
06 26 23:01:42 326 10073 10073 E AndroidRuntime:   at android os Handler handleCallback(Handler java:739)_x000D_
06 26 23:01:42 326 10073 10073 E AndroidRuntime:   at android os Handler dispatchMessage(Handler java:95)_x000D_
06 26 23:01:42 326 10073 10073 E AndroidRuntime:   at android os Looper loop(Looper java:158)_x000D_
06 26 23:01:42 326 10073 10073 E AndroidRuntime:   at android app ActivityThread main(ActivityThread java:7231)_x000D_
06 26 23:01:42 326 10073 10073 E AndroidRuntime:   at java lang reflect Method invoke(Native Method)_x000D_
06 26 23:01:42 326 10073 10073 E AndroidRuntime:   at com android internal os ZygoteInit MethodAndArgsCaller run(ZygoteInit java:1230)_x000D_
06 26 23:01:42 326 10073 10073 E AndroidRuntime:   at com android internal os ZygoteInit main(ZygoteInit java:1120)  code   pre </t>
  </si>
  <si>
    <t>projectbuendia-client-352</t>
  </si>
  <si>
    <t>Patient List: Condition colour code not appearing</t>
  </si>
  <si>
    <t xml:space="preserve">Happening on version  62867f7 _x000D_
_x000D_
This is both a bug AND a crash  Check it out_x000D_
_x000D_
Steps to Reproduce: _x000D_
_x000D_
1  Add New Patient   _x000D_
2  Add Observation with Condition 3  Temp 36  Pulse 55  Blood Pressure systolic 12050_x000D_
3  save _x000D_
4  Go back to Triage _x000D_
_x000D_
  Result  : Patient is white  (Has not been 1 minute since server synced)  _x000D_
  Expected  : Patient color code should be Red to correspond with Critical  _x000D_
Note: I waited 2 minutes for any sync to happen and redid the search  _x000D_
_x000D_
1  Close app_x000D_
2  Reopen_x000D_
3  Search for patient_x000D_
4  Result: Color is still white  _x000D_
5  Click patient Crash maybe  _x000D_
6  if not  Click Back  THEN CRASH  _x000D_
_x000D_
  Result  :  Crash  Log coming  _x000D_
</t>
  </si>
  <si>
    <t>Bespin-AF-a2d2-android-64</t>
  </si>
  <si>
    <t>Bad Token Error on Rider Rules Pag</t>
  </si>
  <si>
    <t xml:space="preserve">When a user is on the Rules Agreement view  after clicking on the  Agree  button  if the user navigates away from the view (via the back or home button)  the app crashes _x000D_
_x000D_
Steps to reproduce the behavior:_x000D_
1  Go to the Rules Agreement View _x000D_
2  Click on the  Agree  button _x000D_
3  Press the back or Home button _x000D_
_x000D_
Upon returning to the application  the process completes and allows the user to continue to the Ride Request Details page _x000D_
_x000D_
Recreating this bug successfully has been difficult due to either the app pulling the GPS coordinates too quickly or it still successfully completing the task without crashing upon returning to the application or previous view  This suggests that the bug may only occur if the users  device is experiencing poor network quality or is the product of an older API _x000D_
_x000D_
Here is also the details from the error thrown:_x000D_
   _x000D_
android view WindowManager BadTokenException: _x000D_
  at android view ViewRootImpl setView (ViewRootImpl java:1040)_x000D_
  at android view WindowManagerGlobal addView (WindowManagerGlobal java:381)_x000D_
  at android view WindowManagerImpl addView (WindowManagerImpl java:93)_x000D_
  at android app Dialog show (Dialog java:470)_x000D_
  at android support v7 app AlertDialog Builder show (AlertDialog java:1007)_x000D_
  at af bespin a2d2 utilities ActivityUtils showDialog (ActivityUtils java:87)_x000D_
  at af bespin a2d2 controllers Rider Rules displayOutOfRangeMessage (Rider Rules java:125)_x000D_
  at af bespin a2d2 controllers Rider Rules lambda navigateToRideRequest 0 Rider Rules (Rider Rules java:109)_x000D_
  at af bespin a2d2 controllers    Lambda Rider Rules FlNholubiSBsfGlsXcIuSR88mi4 then (Unknown Source:2)_x000D_
  at af bespin a2d2 utilities LocationUtils 1 onLocationChanged (LocationUtils java:95)_x000D_
  at android location LocationManager ListenerTransport  handleMessage (LocationManager java:388)_x000D_
  at android location LocationManager ListenerTransport access 000 (LocationManager java:300)_x000D_
  at android location LocationManager ListenerTransport 1 handleMessage (LocationManager java:316)_x000D_
  at android os Handler dispatchMessage (Handler java:106)_x000D_
  at android os Looper loop (Looper java:214)_x000D_
  at android app ActivityThread main (ActivityThread java:7045)_x000D_
  at java lang reflect Method invoke (Native Method)_x000D_
  at com android internal os RuntimeInit MethodAndArgsCaller run (RuntimeInit java:493)_x000D_
  at com android internal os ZygoteInit main (ZygoteInit java:964)_x000D_
   </t>
  </si>
  <si>
    <t>7LPdWcaW-GrowTracker-Android-88</t>
  </si>
  <si>
    <t>The app crashed when I clicked "View statistics" after deleting planted action from "View history" option.</t>
  </si>
  <si>
    <t xml:space="preserve">     Expected behavior_x000D_
I expected that I could click on the  View statistics  after deleting planted action from  View history  without getting the app crash _x000D_
_x000D_
     Actual behavior_x000D_
When I clicked on  View statistics  after deleting the planted action from  View history  option  then the app crashed _x000D_
  _x000D_
     How to reproduce_x000D_
Here is every possible detail to reproduce the bug _x000D_
1  Open the app _x000D_
2  Click on a plan to open it _x000D_
3  Then go to  View history  and delete this planted action _x000D_
4  Press back to get back on the plant details and click on  View statistics  _x000D_
5  Notice the crash _x000D_
_x000D_
  App version: 2 5 1_x000D_
  Operating system: Android 6 0 1_x000D_
_x000D_
     Recording Of The Bug_x000D_
  crash (https:  media giphy com media fw2mm1Swz3OJ09Ye6X giphy gif)_x000D_
_x000D_
     LogCat_x000D_
   _x000D_
06 27 01:19:15 089 19209 19209 D AndroidRuntime: Shutting down VM_x000D_
_x000D_
06 27 01:19:15 109 19209 19209 E AndroidRuntime: FATAL EXCEPTION: main_x000D_
_x000D_
06 27 01:19:15 109 19209 19209 E AndroidRuntime: Process: me anon grow  PID: 19209_x000D_
_x000D_
06 27 01:19:15 109 19209 19209 E AndroidRuntime: java lang RuntimeException: Unable to start activity ComponentInfo me anon grow me anon grow StatisticsActivity : java util NoSuchElementException_x000D_
_x000D_
06 27 01:19:15 109 19209 19209 E AndroidRuntime: 	at android app ActivityThread performLaunchActivity(ActivityThread java:3319)_x000D_
_x000D_
06 27 01:19:15 109 19209 19209 E AndroidRuntime: 	at android app ActivityThread handleLaunchActivity(ActivityThread java:3415)_x000D_
_x000D_
06 27 01:19:15 109 19209 19209 E AndroidRuntime: 	at android app ActivityThread access 1100(ActivityThread java:229)_x000D_
_x000D_
06 27 01:19:15 109 19209 19209 E AndroidRuntime: 	at android app ActivityThread H handleMessage(ActivityThread java:1821)_x000D_
_x000D_
06 27 01:19:15 109 19209 19209 E AndroidRuntime: 	at android os Handler dispatchMessage(Handler java:102)_x000D_
_x000D_
06 27 01:19:15 109 19209 19209 E AndroidRuntime: 	at android os Looper loop(Looper java:148)_x000D_
_x000D_
06 27 01:19:15 109 19209 19209 E AndroidRuntime: 	at android app ActivityThread main(ActivityThread java:7325)_x000D_
_x000D_
06 27 01:19:15 109 19209 19209 E AndroidRuntime: 	at java lang reflect Method invoke(Native Method)_x000D_
_x000D_
06 27 01:19:15 109 19209 19209 E AndroidRuntime: 	at com android internal os ZygoteInit MethodAndArgsCaller run(ZygoteInit java:1230)_x000D_
_x000D_
06 27 01:19:15 109 19209 19209 E AndroidRuntime: 	at com android internal os ZygoteInit main(ZygoteInit java:1120)_x000D_
_x000D_
06 27 01:19:15 109 19209 19209 E AndroidRuntime: Caused by: java util NoSuchElementException_x000D_
_x000D_
06 27 01:19:15 109 19209 19209 E AndroidRuntime: 	at java util TreeMap firstKey(TreeMap java:606)_x000D_
_x000D_
06 27 01:19:15 109 19209 19209 E AndroidRuntime: 	at me anon model Plant calculateStageTime(Plant java:374)_x000D_
_x000D_
06 27 01:19:15 109 19209 19209 E AndroidRuntime: 	at me anon grow fragment StatisticsFragment setStatistics(StatisticsFragment java:290)_x000D_
_x000D_
06 27 01:19:15 109 19209 19209 E AndroidRuntime: 	at me anon grow fragment StatisticsFragment onActivityCreated(StatisticsFragment java:136)_x000D_
_x000D_
06 27 01:19:15 109 19209 19209 E AndroidRuntime: 	at android app Fragment performActivityCreated(Fragment java:2289)_x000D_
_x000D_
06 27 01:19:15 109 19209 19209 E AndroidRuntime: 	at android app FragmentManagerImpl moveToState(FragmentManager java:1008)_x000D_
_x000D_
06 27 01:19:15 109 19209 19209 E AndroidRuntime: 	at android app FragmentManagerImpl moveToState(FragmentManager java:1164)_x000D_
_x000D_
06 27 01:19:15 109 19209 19209 E AndroidRuntime: 	at android app BackStackRecord run(BackStackRecord java:793)_x000D_
_x000D_
06 27 01:19:15 109 19209 19209 E AndroidRuntime: 	at android app FragmentManagerImpl execPendingActions(FragmentManager java:1557)_x000D_
_x000D_
06 27 01:19:15 109 19209 19209 E AndroidRuntime: 	at android app FragmentController execPendingActions(FragmentController java:326)_x000D_
_x000D_
06 27 01:19:15 109 19209 19209 E AndroidRuntime: 	at android app Activity performStart(Activity java:6942)_x000D_
_x000D_
06 27 01:19:15 109 19209 19209 E AndroidRuntime: 	at android app ActivityThread performLaunchActivity(ActivityThread java:3276)_x000D_
_x000D_
06 27 01:19:15 109 19209 19209 E AndroidRuntime: 	    9 more_x000D_
   </t>
  </si>
  <si>
    <t>7LPdWcaW-GrowTracker-Android-87</t>
  </si>
  <si>
    <t>The app crashed when I canceled the photo-taking step.</t>
  </si>
  <si>
    <t xml:space="preserve">     Expected behavior_x000D_
The users should be able to cancel the photo taking step before adding a photo to plant details  _x000D_
_x000D_
     Actual behavior_x000D_
When I tried to add a photo in a planted details and canceled the photo taking step  then the app crashed _x000D_
_x000D_
     How to reproduce_x000D_
Here is every possible detail to reproduce the bug _x000D_
1  Open the app _x000D_
2  Add a new plant and save it _x000D_
3  Open that created plant _x000D_
4  Then go to the  Photo  tab and select  From camera  to add a photo in that plant details _x000D_
5  The list of the camera apps would appear on your phone s screen _x000D_
6  Don t click on anything  just press the back button of your phone and notice the crash _x000D_
_x000D_
  App version: 2 5 1_x000D_
  Operating system: Android 6 0 1_x000D_
  Device: Samsung A5_x000D_
_x000D_
     Recording Of The Bug_x000D_
  bug (https:  media giphy com media UWhsCMiU54f20t2nie giphy gif)_x000D_
_x000D_
     LogCat_x000D_
   _x000D_
06 26 23:41:44 812  6155  6155 E AndroidRuntime: FATAL EXCEPTION: main_x000D_
_x000D_
06 26 23:41:44 812  6155  6155 E AndroidRuntime: Process: me anon grow  PID: 6155_x000D_
_x000D_
06 26 23:41:44 812  6155  6155 E AndroidRuntime: java lang RuntimeException: Failure delivering result ResultInfo who android:fragment:1  request 1  result 0  data null  to activity  me anon grow me anon grow PlantDetailsActivity : java lang ArrayIndexOutOfBoundsException: length 12  index  1_x000D_
_x000D_
06 26 23:41:44 812  6155  6155 E AndroidRuntime: 	at android app ActivityThread deliverResults(ActivityThread java:4998)_x000D_
_x000D_
06 26 23:41:44 812  6155  6155 E AndroidRuntime: 	at android app ActivityThread handleSendResult(ActivityThread java:5041)_x000D_
_x000D_
06 26 23:41:44 812  6155  6155 E AndroidRuntime: 	at android app ActivityThread access 1600(ActivityThread java:229)_x000D_
_x000D_
06 26 23:41:44 812  6155  6155 E AndroidRuntime: 	at android app ActivityThread H handleMessage(ActivityThread java:1875)_x000D_
_x000D_
06 26 23:41:44 812  6155  6155 E AndroidRuntime: 	at android os Handler dispatchMessage(Handler java:102)_x000D_
_x000D_
06 26 23:41:44 812  6155  6155 E AndroidRuntime: 	at android os Looper loop(Looper java:148)_x000D_
_x000D_
06 26 23:41:44 812  6155  6155 E AndroidRuntime: 	at android app ActivityThread main(ActivityThread java:7325)_x000D_
_x000D_
06 26 23:41:44 812  6155  6155 E AndroidRuntime: 	at java lang reflect Method invoke(Native Method)_x000D_
_x000D_
06 26 23:41:44 812  6155  6155 E AndroidRuntime: 	at com android internal os ZygoteInit MethodAndArgsCaller run(ZygoteInit java:1230)_x000D_
_x000D_
06 26 23:41:44 812  6155  6155 E AndroidRuntime: 	at com android internal os ZygoteInit main(ZygoteInit java:1120)_x000D_
_x000D_
06 26 23:41:44 812  6155  6155 E AndroidRuntime: Caused by: java lang ArrayIndexOutOfBoundsException: length 12  index  1_x000D_
_x000D_
06 26 23:41:44 812  6155  6155 E AndroidRuntime: 	at java util ArrayList get(ArrayList java:310)_x000D_
_x000D_
06 26 23:41:44 812  6155  6155 E AndroidRuntime: 	at me anon grow fragment PlantDetailsFragment onActivityResult(PlantDetailsFragment java:445)_x000D_
_x000D_
06 26 23:41:44 812  6155  6155 E AndroidRuntime: 	at android app Activity dispatchActivityResult(Activity java:7189)_x000D_
_x000D_
06 26 23:41:44 812  6155  6155 E AndroidRuntime: 	at android app ActivityThread deliverResults(ActivityThread java:4994)_x000D_
_x000D_
06 26 23:41:44 812  6155  6155 E AndroidRuntime: 	    9 more_x000D_
   </t>
  </si>
  <si>
    <t>7LPdWcaW-GrowTracker-Android-86</t>
  </si>
  <si>
    <t xml:space="preserve">Bug: App crashed when I input dots(fraction) in the section to add schedule. </t>
  </si>
  <si>
    <t xml:space="preserve">    Describe the bug _x000D_
I was trying to add a new schedule on the app and I decided to play around it  I click on schedule and I clicked on add new schedule  Then I used dot in the  from and to  column  then the app crashed  _x000D_
_x000D_
    Steps to reproduce _x000D_
  Launch the app _x000D_
_x000D_
  Click on menu icon_x000D_
_x000D_
  Click on the   icon and click on the new schedule_x000D_
 _x000D_
  Then input dot in from date to date _x000D_
_x000D_
  Click the mark icon _x000D_
_x000D_
  And note the bug_x000D_
_x000D_
    Expected Behaviour_x000D_
I expect to get information that I should enter normal figures and not a crash _x000D_
_x000D_
    Screen recording _x000D_
https:  youtu be xVJvuwfOmb8_x000D_
_x000D_
    Devices and Versions _x000D_
Device:  Gionee X1 _x000D_
_x000D_
Version  7 0 _x000D_
_x000D_
App version  2 5 _x000D_
_x000D_
    Log_x000D_
     additionalMessage : java lang NumberFormatException: For input string:       n tat java lang Integer parseInt(Integer java:510) n tat java lang Integer parseInt(Integer java:556) n tat me anon grow fragment ScheduleDateDetailsFragment onActivityCreated 7 onClick(ScheduleDateDetailsFragment kt:113) n tat android view View performClick(View java:5690) n tat android view View PerformClick run(View java:22693) n tat android os Handler handleCallback(Handler java:836) n tat android os Handler dispatchMessage(Handler java:103) n tat android os Looper loop(Looper java:203) n tat android app ActivityThread main(ActivityThread java:6269) n tat java lang reflect Method invoke(Native Method) n tat com android internal os ZygoteInit MethodAndArgsCaller run(ZygoteInit java:1063) n tat com android internal os ZygoteInit main(ZygoteInit java:924) n r n   exception :  detailMessage : For input string:         stackTrace :   declaringClass : java lang Integer   fileName : Integer java   lineNumber :510  methodName : parseInt     declaringClass : java lang Integer   fileName : Integer java   lineNumber :556  methodName : parseInt     declaringClass : me anon grow fragment ScheduleDateDetailsFragment onActivityCreated 7   fileName : ScheduleDateDetailsFragment kt   lineNumber :113  methodName : onClick     declaringClass : android view View   fileName : View java   lineNumber :5690  methodName : performClick     declaringClass : android view View PerformClick   fileName : View java   lineNumber :22693  methodName : run     declaringClass : android os Handler   fileName : Handler java   lineNumber :836  methodName : handleCallback     declaringClass : android os Handler   fileName : Handler java   lineNumber :103  methodName : dispatchMessage     declaringClass : android os Looper   fileName : Looper java   lineNumber :203  methodName : loop     declaringClass : android app ActivityThread   fileName : ActivityThread java   lineNumber :6269  methodName : main     declaringClass : java lang reflect Method   fileName : Method java   lineNumber : 2  methodName : invoke     declaringClass : com android internal os ZygoteInit MethodAndArgsCaller   fileName : ZygoteInit java   lineNumber :1063  methodName : run     declaringClass : com android internal os ZygoteInit   fileName : ZygoteInit java   lineNumber :924  methodName : main     suppressedExceptions :     manufacturer : GIONEE   model : X1   osVersion : 7 0   packageName : me anon grow   timestamp :1561560599299  version : 2 5   versionCode : 21     </t>
  </si>
  <si>
    <t>ongakken-Caffeinator-51</t>
  </si>
  <si>
    <t>About fragment crashing</t>
  </si>
  <si>
    <t xml:space="preserve">The about fragment crashes the app with an low memory error </t>
  </si>
  <si>
    <t>google-ExoPlayer-6093</t>
  </si>
  <si>
    <t>MediaSession extension play() not resuming a player in READY state</t>
  </si>
  <si>
    <t xml:space="preserve">     REQUIRED  Issue description_x000D_
Using the mediasession extension  the play doesnt works if the player is in READY state _x000D_
_x000D_
     REQUIRED  Reproduction steps_x000D_
Prepare the player  and call TransportControls play()_x000D_
nothing is happening because the MediaSessionCompat Callback play() does nothing when the player is in READY state _x000D_
Same goes if you pause() a playing player  Pausing the player works  but it s impossible to resume it _x000D_
_x000D_
     REQUIRED  Link to test content_x000D_
any content will do_x000D_
_x000D_
     REQUIRED  A full bug report captured from the device_x000D_
no crash_x000D_
_x000D_
     REQUIRED  Version of ExoPlayer being used_x000D_
2 10 2_x000D_
_x000D_
     REQUIRED  Device(s) and version(s) of Android being used_x000D_
any device   emulator_x000D_
_x000D_
     DO NOT DELETE_x000D_
validate template true_x000D_
template path  github ISSUE TEMPLATE bug md_x000D_
   _x000D_
</t>
  </si>
  <si>
    <t>StringCare-AndroidLibrary-58</t>
  </si>
  <si>
    <t>Bug: cannot handle build variants properly</t>
  </si>
  <si>
    <t xml:space="preserve">Might be related to  this issue (https:  github com StringCare AndroidLibrary issues 39) _x000D_
_x000D_
I tried to make a sample that uses build variants  and I still fail to do it _x000D_
I used all articles about it  and looked at samples too _x000D_
_x000D_
Even so  what I got to have is either not showing the strings correctly  or crashes (during runtime or errors while building) _x000D_
_x000D_
That s even though without StringCare all works perfectly fine  just like on the samples I ve found _x000D_
_x000D_
I ve made here a very tiny sample with build variants   and without StringCare being used _x000D_
The sample only has a single string that is the only thing (apart from package name and app name) different between the build variants _x000D_
The string is supposed to be protected by StringCare  _x000D_
_x000D_
With StringCare:_x000D_
_x000D_
 MyApplication with StringCare zip (https:  github com StringCare AndroidLibrary files 3328634 MyApplication with StringCare zip)_x000D_
_x000D_
And here is the same sample without StringCare:_x000D_
_x000D_
 MyApplication without StringCare zip (https:  github com StringCare KotlinSample files 3325304 MyApplication without StringCare zip)_x000D_
_x000D_
I ve made a video showing the issues:_x000D_
_x000D_
 2019 06 26 09 45 33 zip (https:  github com StringCare AndroidLibrary files 3328640 2019 06 26 09 45 33 zip)_x000D_
_x000D_
</t>
  </si>
  <si>
    <t>tom-anders-Easy_xkcd-155</t>
  </si>
  <si>
    <t>'new comic' was still displayed after viewing a comic from a notification, lead to crash</t>
  </si>
  <si>
    <t xml:space="preserve">Steps to reproduce the crash:_x000D_
1) Click on comic notification from my notifications pane_x000D_
2) View new comic_x000D_
3) Go back to list view_x000D_
4) Notice that the comic I just viewed is still marked as unread_x000D_
5) View it again and go back to list view_x000D_
6) Notice it is now marked as read  but there is still a ribbon at the bottom indicating there is a new comic_x000D_
7) Click the ribbon  this caused the crash_x000D_
_x000D_
There seem to be two or three bugs:_x000D_
1) Viewing comics from the notification doesn t mark them as read_x000D_
2) The notification ribbon shows up after the new comic has been read_x000D_
3) The notification ribbon causes a crash when there are no new comics_x000D_
_x000D_
   _x000D_
java lang NullPointerException: Attempt to write to field  int de tap easy xkcd Activities MainActivity lastComicNumber  on a null object reference_x000D_
at de tap easy xkcd fragments comics ComicFragment pageSelected(ComicFragment java:726)_x000D_
at de tap easy xkcd fragments comics OfflineFragment pageSelected(OfflineFragment java:107)_x000D_
at de tap easy xkcd fragments comics OfflineFragment 1 onPageSelected(OfflineFragment java:95)_x000D_
at androidx viewpager widget ViewPager dispatchOnPageSelected(ViewPager java:1947)_x000D_
at androidx viewpager widget ViewPager scrollToItem(ViewPager java:690)_x000D_
at androidx viewpager widget ViewPager setCurrentItemInternal(ViewPager java:670)_x000D_
at androidx viewpager widget ViewPager setCurrentItemInternal(ViewPager java:631)_x000D_
at androidx viewpager widget ViewPager setCurrentItem(ViewPager java:623)_x000D_
at de tap easy xkcd fragments comics ComicFragment getLatestComic(ComicFragment java:665)_x000D_
at de tap easy xkcd fragments comics OfflineFragment 2 onClick(OfflineFragment java:167)_x000D_
at com google android material snackbar Snackbar 1 onClick(Snackbar java:317)_x000D_
at android view View performClick(View java:7339)_x000D_
at android widget TextView performClick(TextView java:14177)_x000D_
at android view View performClickInternal(View java:7305)_x000D_
at android view View access 3200(View java:846)_x000D_
at android view View PerformClick run(View java:27788)_x000D_
at android os Handler handleCallback(Handler java:873)_x000D_
at android os Handler dispatchMessage(Handler java:99)_x000D_
at android os Looper loop(Looper java:214)_x000D_
at android app ActivityThread main(ActivityThread java:7045)_x000D_
at java lang reflect Method invoke(Native Method)_x000D_
at com android internal os RuntimeInit MethodAndArgsCaller run(RuntimeInit java:493)_x000D_
at com android internal os ZygoteInit main(ZygoteInit java:964)_x000D_
   </t>
  </si>
  <si>
    <t>LawnchairLauncher-lawnchair-1607</t>
  </si>
  <si>
    <t>OxygenOS gestures broken when quickstep is used</t>
  </si>
  <si>
    <t xml:space="preserve">OxygenOS s full screen gestures do not work properly when the recents provider is Lawnchair (using QuickSwitch) _x000D_
_x000D_
   Description_x000D_
When doing a short swipe up inside other apps  Lawnchair opens the recents menu instead of going home to itself  Also  landscape gestures are completely broken   the recents menu opens and closes immediately _x000D_
_x000D_
Also  as a temporary workaround  I tried changing the gestures inside of Lawnchair s Quickstep settings to open Lawnchair when swiping on the right side of the bottom edge  which crashed my entire phone when I tried closing fullscreen landscape apps _x000D_
_x000D_
   Expected Behavior_x000D_
Exactly the same as the OnePlus Launcher when it comes to the gestures _x000D_
_x000D_
_x000D_
   Actual Behavior_x000D_
The description_x000D_
_x000D_
   Steps to Reproduce_x000D_
1  Have OxygenOS installed_x000D_
2  Use QuickSwitch to use Lawnchair as the recents provider   reboot_x000D_
3  Switch to OnePlus  Gesture navigation_x000D_
_x000D_
_x000D_
   Environment_x000D_
  Device: OnePlus 7 Pro_x000D_
  Android version: 9 0_x000D_
  Launcher version: Alpha 2176_x000D_
  Rom: OxygenOS_x000D_
_x000D_
</t>
  </si>
  <si>
    <t>ElderDrivers-EdXposed-310</t>
  </si>
  <si>
    <t>[BUG] modules.list was not found</t>
  </si>
  <si>
    <t xml:space="preserve">What happened   _x000D_
_x000D_
Modules are not loading_x000D_
_x000D_
Xposed Module List  _x000D_
_x000D_
swiftkeyexi_x000D_
_x000D_
Magisk Module List  _x000D_
_x000D_
youtube vanced _x000D_
_x000D_
  EdXposed Riru   Versions of EdXposed and Riru  _x000D_
_x000D_
EdXposed: v0 4 5 1 beat(4463) Sandhook_x000D_
_x000D_
Riru:v19_x000D_
_x000D_
    Logcat Logcat  _x000D_
          beginning of head_x000D_
EdXposed Log_x000D_
Powered by Log Catcher_x000D_
QQ chat group 855219808_x000D_
          beginning of system info_x000D_
Android version: 8 0 0_x000D_
Android sdk: 26_x000D_
Android build: OPR1 170623 032_x000D_
Fingerprint: lge h1 tmo us h1:8 0 0 OPR1 170623 032 182251913485f:user release keys_x000D_
ROM build description: h1 tmo us user 8 0 0 OPR1 170623 032 182251913485f release keys_x000D_
EdXposed Version: v0 4 5 1 beta(4463) (Sandhook)_x000D_
Architecture: arm64 v8a_x000D_
Device: h1_x000D_
Manufacture: LGE_x000D_
Brand: lge_x000D_
Product: h1_x000D_
          beginning of main_x000D_
          beginning of system_x000D_
          beginning of crash_x000D_
06 24 11:57:55 851  1939  1939 I EdXposed: onModuleLoaded: welcome to EdXposed _x000D_
06 24 11:57:55 851  1939  1939 I EdXposed: Start to install inline hooks_x000D_
06 24 11:57:55 851  1939  1939 I EdXposed: Using api level 26_x000D_
06 24 11:57:55 851  1939  1939 I EdXposed: Start to install Riru hook_x000D_
06 24 11:57:55 864  1939  1939 I EdXposed: Riru hooks installed_x000D_
06 24 11:57:55 879  1939  1939 I EdXposed: ART hooks installed_x000D_
06 24 11:57:55 915  1939  1939 I EdXposed: system property get: dalvik vm dex2oat filter    quicken_x000D_
06 24 11:57:55 915  1939  1939 I EdXposed: system property get: dalvik vm dex2oat flags      inline max code units 0_x000D_
06 24 11:57:56 055  1939  1939 I EdXposed: using installer org meowcat edxposed manager_x000D_
06 24 11:57:56 055  1939  1939 I EdXposed: black white list mode: false  using whitelist: false_x000D_
06 24 11:57:56 055  1939  1939 I EdXposed: dynamic modules mode: false_x000D_
06 24 11:57:56 056  1939  1939 I EdXposed: resources hook: true_x000D_
06 24 11:57:56 056  1939  1939 I EdXposed: deopt boot image: false_x000D_
06 24 11:57:56 082  1940  1940 I EdXposed: onModuleLoaded: welcome to EdXposed _x000D_
06 24 11:57:56 082  1940  1940 I EdXposed: Start to install inline hooks_x000D_
06 24 11:57:56 082  1940  1940 I EdXposed: Using api level 26_x000D_
06 24 11:57:56 082  1940  1940 I EdXposed: Start to install Riru hook_x000D_
06 24 11:57:56 096  1940  1940 I EdXposed: Riru hooks installed_x000D_
06 24 11:57:56 103  1940  1940 I EdXposed: ART hooks installed_x000D_
06 24 11:57:56 171  1940  1940 I EdXposed: system property get: dalvik vm dex2oat filter    quicken_x000D_
06 24 11:57:56 171  1940  1940 I EdXposed: system property get: dalvik vm dex2oat flags      inline max code units 0_x000D_
06 24 11:57:56 322  1940  1940 I EdXposed: using installer org meowcat edxposed manager_x000D_
06 24 11:57:56 323  1940  1940 I EdXposed: black white list mode: false  using whitelist: false_x000D_
06 24 11:57:56 323  1940  1940 I EdXposed: dynamic modules mode: false_x000D_
06 24 11:57:56 323  1940  1940 I EdXposed: resources hook: true_x000D_
06 24 11:57:56 323  1940  1940 I EdXposed: deopt boot image: false_x000D_
06 24 11:57:58 918  1939  1939 I EdXposed: EdxpVariant: 2_x000D_
06 24 11:57:59 102  1939  1939 E EdXposed Bridge: Cannot load any modules because  data user de 0 org meowcat edxposed manager conf modules list was not found_x000D_
06 24 11:58:04 786  1940  1940 I EdXposed: EdxpVariant: 2_x000D_
06 24 11:58:04 864  1940  1940 E EdXposed Bridge: Cannot load any modules because  data user de 0 org meowcat edxposed manager conf modules list was not found_x000D_
06 24 12:02:38 114 13982 13982 I EdXposed: onModuleLoaded: welcome to EdXposed _x000D_
06 24 12:02:38 114 13982 13982 I EdXposed: Start to install inline hooks_x000D_
06 24 12:02:38 114 13982 13982 I EdXposed: Using api level 26_x000D_
06 24 12:02:38 114 13982 13982 I EdXposed: Start to install Riru hook_x000D_
06 24 12:02:38 127 13982 13982 I EdXposed: Riru hooks installed_x000D_
06 24 12:02:38 140 13982 13982 I EdXposed: ART hooks installed_x000D_
06 24 12:02:38 183 13982 13982 I EdXposed: system property get: dalvik vm dex2oat filter    quicken_x000D_
06 24 12:02:38 184 13982 13982 I EdXposed: system property get: dalvik vm dex2oat flags      inline max code units 0_x000D_
06 24 12:02:38 327 13982 13982 I EdXposed: using installer org meowcat edxposed manager_x000D_
06 24 12:02:38 327 13982 13982 I EdXposed: black white list mode: false  using whitelist: false_x000D_
06 24 12:02:38 327 13982 13982 I EdXposed: dynamic modules mode: false_x000D_
06 24 12:02:38 327 13982 13982 I EdXposed: resources hook: true_x000D_
06 24 12:02:38 327 13982 13982 I EdXposed: deopt boot image: false_x000D_
06 24 12:02:40 490 13982 13982 I EdXposed: EdxpVariant: 2_x000D_
06 24 12:02:40 652 13982 13982 E EdXposed Bridge: Cannot load any modules because  data user de 0 org meowcat edxposed manager conf modules list was not found_x000D_
_x000D_
               log       It can help us to locate issue  must use our logcat module_x000D_
</t>
  </si>
  <si>
    <t>nextcloud-android-4176</t>
  </si>
  <si>
    <t>Nextcloud 3.7 beta (f-droid) does not show files from old server</t>
  </si>
  <si>
    <t xml:space="preserve">    Actual behaviour_x000D_
  Tell us what happens_x000D_
Just installed nextcloud from f droid (3 7  beta 4) and connected it to my stackstorage com folder _x000D_
The app reported it is an old server (it is: TransIP has their own spin of from owncloud)_x000D_
After a longer wait  no files show up in the all files section (dutch:  Alle Bestanden ) _x000D_
Mean while it crashed a couple of times _x000D_
_x000D_
    Expected behaviour_x000D_
  Tell us what should happen_x000D_
Removed 3 7beta4 from f droid  Installed the current (3 6 x) from play store an dconnected it to my stackstorage com folder _x000D_
The app reported it is an old server (it is) _x000D_
The  Alle Bestanden  (all files ) show up direct  without any issue _x000D_
 _x000D_
    Steps to reproduce_x000D_
1  install 3 7 beta from f droid_x000D_
2  connect to a stackstorage com webdav share_x000D_
3  accept it is an old server _x000D_
_x000D_
_x000D_
    Environment data_x000D_
Android version:_x000D_
Lineage OS_x000D_
_x000D_
Device model: _x000D_
Samsung Tab 2_x000D_
_x000D_
Stock or customized system:_x000D_
Lineage os with google play store and f droid _x000D_
_x000D_
Nextcloud app version:_x000D_
bug: 3 7 beta (today s f droid)_x000D_
working: 3 6 2 (today s play store)_x000D_
_x000D_
Nextcloud server version:_x000D_
unknown  out of control: stackstorage com from trans ip (https:  www transip nl )_x000D_
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</si>
  <si>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Haptic-Apps-Slide-3028</t>
  </si>
  <si>
    <t>Slide is crashing</t>
  </si>
  <si>
    <t xml:space="preserve">Slide version:6 2_x000D_
Android version:5 0 1_x000D_
_x000D_
Slide is crashing all the time  Especially at discover and searching _x000D_
</t>
  </si>
  <si>
    <t>fossasia-pslab-android-1829</t>
  </si>
  <si>
    <t xml:space="preserve">App crashes when sin wave Logic analyser Analysed with CH3. </t>
  </si>
  <si>
    <t xml:space="preserve">  Actual Behaviour  _x000D_
_x000D_
App is crashing when sin wave analysed with logic analyser on CH3 _x000D_
_x000D_
  Expected Behaviour  _x000D_
_x000D_
     State here what the feature should enable the user to do     _x000D_
_x000D_
  Steps to reproduce it  _x000D_
_x000D_
Open wave generator use Wave 1 and set any freq and view with logic analyser _x000D_
Press analyse on logic analyser _x000D_
_x000D_
  Logs  _x000D_
_x000D_
 java lang NullPointerException: Attempt to invoke virtual method  void android support v4 app FragmentActivity runOnUiThread(java lang Runnable)  on a null object reference_x000D_
        at io pslab fragment LALogicLinesFragment 1 run(LALogicLinesFragment java:134)_x000D_
        at java lang Thread run(Thread java:764)_x000D_
2019 06 25 16:09:07 903 6971 7131 io pslab E AndroidRuntime: FATAL EXCEPTION: Thread 14_x000D_
    Process: io pslab  PID: 6971_x000D_
    java lang NullPointerException: Attempt to invoke virtual method  void android support v4 app FragmentActivity runOnUiThread(java lang Runnable)  on a null object reference_x000D_
        at io pslab fragment LALogicLinesFragment 1 run(LALogicLinesFragment java:134)_x000D_
        at java lang Thread run(Thread java:764)_x000D_
2019 06 25 16:09:07 904 6971 7665 io pslab E AndroidRuntime: FATAL EXCEPTION: Thread 24_x000D_
    Process: io pslab  PID: 6971_x000D_
    java lang NullPointerException: Attempt to invoke virtual method  void android support v4 app FragmentActivity runOnUiThread(java lang Runnable)  on a null object reference_x000D_
        at io pslab fragment LALogicLinesFragment 1 run(LALogicLinesFragment java:134)_x000D_
        at java lang Thread run(Thread java:764) _x000D_
_x000D_
  Would you like to work on the issue   _x000D_
_x000D_
Yes _x000D_
</t>
  </si>
  <si>
    <t>inaturalist-react-native-inat-camera-21</t>
  </si>
  <si>
    <t>Illegal state exception crash</t>
  </si>
  <si>
    <t xml:space="preserve">Here s the only camera related crash I m seeing in the latest production build v2 2 0 39  There are currently 77 reports of this happening in the past week across all Android versions _x000D_
_x000D_
   _x000D_
_x000D_
java lang IllegalStateException: _x000D_
  at android hardware camera2 impl CameraDeviceImpl checkIfCameraClosedOrInError (CameraDeviceImpl java:2432)_x000D_
  at android hardware camera2 impl CameraDeviceImpl createCaptureSessionInternal (CameraDeviceImpl java:646)_x000D_
  at android hardware camera2 impl CameraDeviceImpl createCaptureSession (CameraDeviceImpl java:515)_x000D_
  at org inaturalist inatcamera ui Camera2BasicFragment createCameraPreviewSession (Camera2BasicFragment java:788)_x000D_
  at org inaturalist inatcamera ui Camera2BasicFragment access 400 (Camera2BasicFragment java:64)_x000D_
  at org inaturalist inatcamera ui Camera2BasicFragment 2 onOpened (Camera2BasicFragment java:172)_x000D_
  at android hardware camera2 impl CameraDeviceImpl 1 run (CameraDeviceImpl java:148)_x000D_
  at android os Handler handleCallback (Handler java:873)_x000D_
  at android os Handler dispatchMessage (Handler java:99)_x000D_
  at android os Looper loop (Looper java:214)_x000D_
  at android os HandlerThread run (HandlerThread java:65)_x000D_
   </t>
  </si>
  <si>
    <t>nikita36078-J2ME-Loader-539</t>
  </si>
  <si>
    <t>keyboard + system crash android 9</t>
  </si>
  <si>
    <t xml:space="preserve"> Version of emulator: _x000D_
_x000D_
  1 5 0_x000D_
_x000D_
 Device: _x000D_
_x000D_
  Nokia 6 1 plus_x000D_
_x000D_
 Android version: _x000D_
_x000D_
  Android 9_x000D_
  Screen version: _x000D_
_x000D_
  240x320_x000D_
_x000D_
  Sony Ericcson K800i_x000D_
_x000D_
  Screenshot 2019 06 25 01 18 24 (https:  user images githubusercontent com 52174367 60042129 3017f900 96e7 11e9 8577 2a7fbede6f35 png)_x000D_
_x000D_
  Screenshot 2019 06 25 01 02 29 (https:  user images githubusercontent com 52174367 60041410 8421de00 96e5 11e9 9685 05ec4ea437e9 png)_x000D_
Why the key board alway disorder  u can see at the pic  can u fix that  i try all version of ur emu but it still disorder :( _x000D_
and sometimes it crash android system  and some games doent have sound i try all version of them but i try in mobile it still have sound  can u fix that too  sorry for my bad english  thks so much:(_x000D_
_x000D_
P S: i Tested this emulator on my samsung galaxy j7 Pro   Android 8  it doesnt have any crash or bug like that with the same game version   240x320 Sony Ericsson _x000D_
but the keyboard still disorder when i press both of them at the same time like button 2 and 6  4 and 8 v v   in any phone i tested  i dont know why:( but please fix that</t>
  </si>
  <si>
    <t>7LPdWcaW-GrowTracker-Android-85</t>
  </si>
  <si>
    <t xml:space="preserve">Bug: App crashed when I clicked the settings  function </t>
  </si>
  <si>
    <t xml:space="preserve">    Describe the bug _x000D_
_x000D_
When I clicked on the settings  the app crashed_x000D_
_x000D_
    Steps to reproduce _x000D_
  Launch the app _x000D_
_x000D_
  Click on the 3 dots at the top by the right _x000D_
_x000D_
  Then click settings_x000D_
_x000D_
  And note the bug_x000D_
_x000D_
    Expected Behaviour_x000D_
I was expecting to see the feature inside settings when I clicked the settings function  in the app_x000D_
_x000D_
    Screen recording _x000D_
https:  youtu be T9jP3FFDV5I_x000D_
_x000D_
    Devices and Versions):)_x000D_
  Device:  Gionee X1 _x000D_
_x000D_
  Version  7 0 _x000D_
_x000D_
  App version  2 5 _x000D_
_x000D_
    Log_x000D_
     additionalMessage : java lang RuntimeException: Unable to start activity ComponentInfo me anon grow me anon grow SettingsActivity : java lang IllegalStateException: path listFiles() must not be null n tat android app ActivityThread performLaunchActivity(ActivityThread java:2734) n tat android app ActivityThread handleLaunchActivity(ActivityThread java:2799) n tat android app ActivityThread  wrap12(ActivityThread java) n tat android app ActivityThread H handleMessage(ActivityThread java:1537) n tat android os Handler dispatchMessage(Handler java:110) n tat android os Looper loop(Looper java:203) n tat android app ActivityThread main(ActivityThread java:6269) n tat java lang reflect Method invoke(Native Method) n tat com android internal os ZygoteInit MethodAndArgsCaller run(ZygoteInit java:1063) n tat com android internal os ZygoteInit main(ZygoteInit java:924) nCaused by: java lang IllegalStateException: path listFiles() must not be null n tat me anon lib helper BackupHelper backupSize(BackupHelper kt:41) n tat me anon grow fragment SettingsFragment onActivityCreated(SettingsFragment java:107) n tat android app Fragment performActivityCreated(Fragment java:2361) n tat android app FragmentManagerImpl moveToState(FragmentManager java:1014) n tat android app FragmentManagerImpl moveToState(FragmentManager java:1171) n tat android app BackStackRecord run(BackStackRecord java:815) n tat android app FragmentManagerImpl execPendingActions(FragmentManager java:1578) n tat android app FragmentController execPendingActions(FragmentController java:371) n tat android app Activity performStart(Activity java:6687) n tat android app ActivityThread performLaunchActivity(ActivityThread java:2697) n t    9 more n r n   exception :  cause :  detailMessage : path listFiles() must not be null   stackTrace :   declaringClass : me anon lib helper BackupHelper   fileName : BackupHelper kt   lineNumber :41  methodName : backupSize     declaringClass : me anon grow fragment SettingsFragment   fileName : SettingsFragment java   lineNumber :107  methodName : onActivityCreated     declaringClass : android app Fragment   fileName : Fragment java   lineNumber :2361  methodName : performActivityCreated     declaringClass : android app FragmentManagerImpl   fileName : FragmentManager java   lineNumber :1014  methodName : moveToState     declaringClass : android app FragmentManagerImpl   fileName : FragmentManager java   lineNumber :1171  methodName : moveToState     declaringClass : android app BackStackRecord   fileName : BackStackRecord java   lineNumber :815  methodName : run     declaringClass : android app FragmentManagerImpl   fileName : FragmentManager java   lineNumber :1578  methodName : execPendingActions     declaringClass : android app FragmentController   fileName : FragmentController java   lineNumber :371  methodName : execPendingActions     declaringClass : android app Activity   fileName : Activity java   lineNumber :6687  methodName : performStart     declaringClass : android app ActivityThread   fileName : ActivityThread java   lineNumber :2697  methodName : performLaunchActivity     declaringClass : android app ActivityThread   fileName : ActivityThread java   lineNumber :2799  methodName : handleLaunchActivity     declaringClass : android app ActivityThread   fileName : ActivityThread java   lineNumber : 1  methodName :  wrap12     declaringClass : android app ActivityThread H   fileName : ActivityThread java   lineNumber :1537  methodName : handleMessage     declaringClass : android os Handler   fileName : Handler java   lineNumber :110  methodName : dispatchMessage     declaringClass : android os Looper   fileName : Looper java   lineNumber :203  methodName : loop     declaringClass : android app ActivityThread   fileName : ActivityThread java   lineNumber :6269  methodName : main     declaringClass : java lang reflect Method   fileName : Method java   lineNumber : 2  methodName : invoke     declaringClass : com android internal os ZygoteInit MethodAndArgsCaller   fileName : ZygoteInit java   lineNumber :1063  methodName : run     declaringClass : com android internal os ZygoteInit   fileName : ZygoteInit java   lineNumber :924  methodName : main     suppressedExceptions :     detailMessage : Unable to start activity ComponentInfo me anon grow me anon grow SettingsActivity : java lang IllegalStateException: path listFiles() must not be null   stackTrace :   declaringClass : android app ActivityThread   fileName : ActivityThread java   lineNumber :2734  methodName : performLaunchActivity     declaringClass : android app ActivityThread   fileName : ActivityThread java   lineNumber :2799  methodName : handleLaunchActivity     declaringClass : android app ActivityThread   fileName : ActivityThread java   lineNumber : 1  methodName :  wrap12     declaringClass : android app ActivityThread H   fileName : ActivityThread java   lineNumber :1537  methodName : handleMessage     declaringClass : android os Handler   fileName : Handler java   lineNumber :110  methodName : dispatchMessage     declaringClass : android os Looper   fileName : Looper java   lineNumber :203  methodName : loop     declaringClass : android app ActivityThread   fileName : ActivityThread java   lineNumber :6269  methodName : main     declaringClass : java lang reflect Method   fileName : Method java   lineNumber : 2  methodName : invoke     declaringClass : com android internal os ZygoteInit MethodAndArgsCaller   fileName : ZygoteInit java   lineNumber :1063  methodName : run     declaringClass : com android internal os ZygoteInit   fileName : ZygoteInit java   lineNumber :924  methodName : main     suppressedExceptions :     manufacturer : GIONEE   model : X1   osVersion : 7 0   packageName : me anon grow   timestamp :1561393325239  version : 2 5   versionCode : 21     </t>
  </si>
  <si>
    <t>nextcloud-android-4172</t>
  </si>
  <si>
    <t>Can't open Auto Upload folder -&gt; app crash</t>
  </si>
  <si>
    <t xml:space="preserve">    Actual behaviour_x000D_
  App crashes when opening auto upload folder  There are almost 1500 pics and vids  _x000D_
If I delete app data  it does something for a while before crash  After the first crash it crashes immediately when opening the folder  _x000D_
_x000D_
    Expected behaviour_x000D_
  No crash_x000D_
 _x000D_
    Steps to reproduce_x000D_
1  Open Auto Upload folder _x000D_
2  _x000D_
3  _x000D_
_x000D_
_x000D_
    Environment data_x000D_
Android version: 9_x000D_
_x000D_
Device model: galaxy s8 _x000D_
_x000D_
Stock or customized system:stock_x000D_
_x000D_
Nextcloud app version: 3 7 0 rc3_x000D_
_x000D_
Nextcloud server version: 15 0 8_x000D_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_x000D_
Nothing helpfull in the logs</t>
  </si>
  <si>
    <t>abuch99-SWD-27</t>
  </si>
  <si>
    <t>Phone intent not working in connect fragment</t>
  </si>
  <si>
    <t xml:space="preserve">Phone intent makes the app crash in the connect fragment </t>
  </si>
  <si>
    <t>tynmarket-Serenade-19</t>
  </si>
  <si>
    <t>画像読み込み周りでエラー</t>
  </si>
  <si>
    <t>https:  console firebase google com u 0 project serenade 197604 crashlytics app android:com tynmarket serenade issues 524ce7b708306e855b2927972edd0872 time last seven days sessionId 5D101532026600016F1BFBDE9F5211B6 DNE 0 v2</t>
  </si>
  <si>
    <t>itachi1706-SingBuses-172</t>
  </si>
  <si>
    <t>HelpScreenView.java line 85</t>
  </si>
  <si>
    <t xml:space="preserve">     in 
  Number of crashes: 1
  Impacted devices: 1
There s a lot more information about this crash on crashlytics com:
 https:  fabric io itachi1706s projects android apps com itachi1706 busarrivalsg issues 2f01f2ab4d0f1933cbef75534f41a5ed utm medium service hooks github utm source issue impact (https:  fabric io itachi1706s projects android apps com itachi1706 busarrivalsg issues 2f01f2ab4d0f1933cbef75534f41a5ed utm medium service hooks github utm source issue impact)</t>
  </si>
  <si>
    <t>ElderDrivers-EdXposed-305</t>
  </si>
  <si>
    <t>[BUG] Broken module resources</t>
  </si>
  <si>
    <t xml:space="preserve">Right after module APK is installed  resources are available   activity from module opens  launcher icon is displayed  etc  But as soon as you activate module and reboot none of the resources work _x000D_
I don t experience it on my device (Android 9)  but I get bug reports from users of my module (30  reports with this problem now and counting) and they all have the same error which only happens on Android 8 8 1  Module settings activity cannot be launched because it cannot find the layout xml file in resources  Icon in launchers changes to a default system icon  most likely because original is not available _x000D_
_x000D_
Error happens on a wide range of EdXposed versions up to 0 4 3 7 alpha _x000D_
All devices are Xiaomi devices with MIUI ROMs _x000D_
Xposed logs (from older versions  where they were working) don t contain any errors that could explain what s wrong _x000D_
_x000D_
Activity crash stack trace:_x000D_
   _x000D_
java lang RuntimeException: Unable to start activity ComponentInfo name mikanoshi customiuizer name mikanoshi customiuizer MainActivity : android content res Resources NotFoundException: File res layout activity main xml from xml type layout resource ID  0x7f0b0000_x000D_
	at android app ActivityThread performLaunchActivity(Unknown Source:524)_x000D_
	at android app ActivityThread handleLaunchActivity(Unknown Source:37)_x000D_
	at android app ActivityThread  wrap11(Unknown Source:0)_x000D_
	at android app ActivityThread H handleMessage(Unknown Source:80)_x000D_
	at android os Handler dispatchMessage(Unknown Source:21)_x000D_
	at android os Looper loop(Unknown Source:152)_x000D_
	at android app ActivityThread main(Unknown Source:65)_x000D_
	at java lang reflect Method invoke(Native Method)_x000D_
	at com android internal os RuntimeInit MethodAndArgsCaller run(Unknown Source:11)_x000D_
	at com android internal os ZygoteInit main(Unknown Source:338)_x000D_
Caused by: android content res Resources NotFoundException: File res layout activity main xml from xml type layout resource ID  0x7f0b0000_x000D_
	at android content res ResourcesImpl loadXmlResourceParser(Unknown Source:190)_x000D_
	at android content res Resources loadXmlResourceParser(Unknown Source:23)_x000D_
	at android content res Resources getLayout(Unknown Source:3)_x000D_
	at android content res XResources getLayout(XResources java:962)_x000D_
	at android view LayoutInflater inflate(Unknown Source:16)_x000D_
	at android view LayoutInflater inflate(Unknown Source:3)_x000D_
	at com android internal policy PhoneWindow setContentView(Unknown Source:70)_x000D_
	at android app Activity setContentView(Unknown Source:4)_x000D_
	at name mikanoshi customiuizer MainActivity onCreate(MainActivity java:41)_x000D_
	at android app Activity performCreate(Unknown Source:48)_x000D_
	at android app Activity performCreate(Unknown Source:1)_x000D_
	at android app Instrumentation callActivityOnCreate(Unknown Source:3)_x000D_
	at android app ActivityThread performLaunchActivity(Unknown Source:466)_x000D_
	    9 more_x000D_
Caused by: java io FileNotFoundException: res layout activity main xml_x000D_
	at android content res AssetManager openXmlAssetNative(Native Method)_x000D_
	at android content res AssetManager openXmlBlockAsset(Unknown Source:17)_x000D_
	at android content res ResourcesImpl loadXmlResourceParser(Unknown Source:48)_x000D_
	    21 more_x000D_
   </t>
  </si>
  <si>
    <t>nextcloud-android-4168</t>
  </si>
  <si>
    <t xml:space="preserve">    Actual behaviour_x000D_
  Nextcloud crashes while selecting app drawer entries_x000D_
_x000D_
    Expected behaviour_x000D_
  Nextcloud should not crash_x000D_
 _x000D_
    Steps to reproduce_x000D_
1  Open nextcloud app_x000D_
2  Open app drawer  click on  Activities _x000D_
3   Open app drawer  click on  Favorites _x000D_
_x000D_
_x000D_
    Environment data_x000D_
Android version: 9 0  7 0_x000D_
_x000D_
Device model: _x000D_
Emulator  Moto G_x000D_
_x000D_
Stock or customized system:_x000D_
_x000D_
Nextcloud app version:_x000D_
3 7 RC3_x000D_
_x000D_
Nextcloud server version:_x000D_
_x000D_
    Logs_x000D_
     Web server error log_x000D_
   _x000D_
Insert your webserver log here_x000D_
   _x000D_
_x000D_
     Nextcloud log (data nextcloud log)_x000D_
   _x000D_
              beginning of crash_x000D_
2019 06 21 22:30:30 917 25627 25627 com nextcloud client E AndroidRuntime: FATAL EXCEPTION: main_x000D_
    Process: com nextcloud client  PID: 25627_x000D_
    org parceler ParcelerRuntimeException: Unable to find generated Parcelable class for com owncloud android ui events SearchEvent  verify that your class is configured properly and that the Parcelable class com owncloud android ui events SearchEvent  Parcelable is generated by Parceler _x000D_
        at org parceler Parcels ParcelCodeRepository get(Parcels java:154)_x000D_
        at org parceler Parcels wrap(Parcels java:73)_x000D_
        at org parceler Parcels wrap(Parcels java:57)_x000D_
        at com owncloud android ui activity DrawerActivity handleSearchEvents(DrawerActivity java:536)_x000D_
        at com owncloud android ui activity DrawerActivity selectNavigationItem(DrawerActivity java:450)_x000D_
        at com owncloud android ui activity DrawerActivity access 300(DrawerActivity java:119)_x000D_
        at com owncloud android ui activity DrawerActivity 3 1 run(DrawerActivity java:344)_x000D_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_x000D_
   _x000D_
  NOTE:   Be super sure to remove sensitive data like passwords  note that everybody can look here  You can use the Issue Template application to prefill some of the required information: https:  apps nextcloud com apps issuetemplate_x000D_
</t>
  </si>
  <si>
    <t>fossasia-pslab-android-1815</t>
  </si>
  <si>
    <t>App crashes when user plays a saved gyroscope log</t>
  </si>
  <si>
    <t xml:space="preserve">  Actual Behaviour  _x000D_
App crashes when user plays a saved gyroscope log_x000D_
     Please state here what is currently happening     _x000D_
_x000D_
  Expected Behaviour  _x000D_
App should not crash_x000D_
     State here what the feature should enable the user to do     _x000D_
_x000D_
  Steps to reproduce it  _x000D_
Record gyroscope data  and play it from data logger activity_x000D_
     Add steps to reproduce bugs or add information on the place where the feature should be implemented  Add links to a sample deployment or code     _x000D_
_x000D_
  LogCat for the issue  _x000D_
2019 06 21 22:19:31 751 17761 17761 io pslab E AndroidRuntime: FATAL EXCEPTION: main_x000D_
    Process: io pslab  PID: 17761_x000D_
    java lang NullPointerException: Attempt to invoke virtual method  int java util ArrayList size()  on a null object reference_x000D_
        at io pslab fragment GyroscopeDataFragment playData(GyroscopeDataFragment java:286)_x000D_
        at io pslab models PSLabSensor onOptionsItemSelected(PSLabSensor java:339)_x000D_
        at android app Activity onMenuItemSelected(Activity java:3469)_x000D_
        at android support v4 app FragmentActivity onMenuItemSelected(FragmentActivity java:436)_x000D_
        at android support v7 app AppCompatActivity onMenuItemSelected(AppCompatActivity java:196)_x000D_
        at android support v7 view WindowCallbackWrapper onMenuItemSelected(WindowCallbackWrapper java:109)_x000D_
        at android support v7 view WindowCallbackWrapper onMenuItemSelected(WindowCallbackWrapper java:109)_x000D_
        at android support v7 app ToolbarActionBar 2 onMenuItemClick(ToolbarActionBar java:64)_x000D_
        at android support v7 widget Toolbar 1 onMenuItemClick(Toolbar java:204)_x000D_
        at android support v7 widget ActionMenuView MenuBuilderCallback onMenuItemSelected(ActionMenuView java:781)_x000D_
        at android support v7 view menu MenuBuilder dispatchMenuItemSelected(MenuBuilder java:840)_x000D_
        at android support v7 view menu MenuItemImpl invoke(MenuItemImpl java:158)_x000D_
        at android support v7 view menu MenuBuilder performItemAction(MenuBuilder java:991)_x000D_
        at android support v7 view menu MenuBuilder performItemAction(MenuBuilder java:981)_x000D_
        at android support v7 widget ActionMenuView invokeItem(ActionMenuView java:625)_x000D_
        at android support v7 view menu ActionMenuItemView onClick(ActionMenuItemView java:151)_x000D_
        at android view View performClick(View java:6297)_x000D_
        at android view View PerformClick run(View java:24797)_x000D_
        at android os Handler handleCallback(Handler java:790)_x000D_
        at android os Handler dispatchMessage(Handler java:99)_x000D_
        at android os Looper loop(Looper java:164)_x000D_
        at android app ActivityThread main(ActivityThread java:6626)_x000D_
        at java lang reflect Method invoke(Native Method)_x000D_
        at com android internal os RuntimeInit MethodAndArgsCaller run(RuntimeInit java:438)_x000D_
        at com android internal os ZygoteInit main(ZygoteInit java:811)_x000D_
     Provide logs for the crash here    _x000D_
_x000D_
  Would you like to work on the issue   _x000D_
Yes_x000D_
     Let us know if this issue should be assigned to you or tell us who you think could help to solve this issue     _x000D_
</t>
  </si>
  <si>
    <t>telenordigital-connect-android-sdk-178</t>
  </si>
  <si>
    <t>Fix npe in well known config</t>
  </si>
  <si>
    <t xml:space="preserve">The issue can happen  when this part is called from a different thread _x000D_
however  it s hard to reproduce  The solution is to make a workaround_x000D_
to prevent crashes  while investigating deeply </t>
  </si>
  <si>
    <t>projectbuendia-client-319</t>
  </si>
  <si>
    <t>Cannot add new patients if a patient with no name is on the server - App Crashes</t>
  </si>
  <si>
    <t xml:space="preserve">1  Add a patient with no Given name or no Family Name  _x000D_
2  The app crashes  Select open app again  See  310_x000D_
3  Add a patient with perfect valid data_x000D_
Result: app crashes  _x000D_
Expected: No crash  _x000D_
_x000D_
Now I need to reset the server in order to be able to add patients with no crash  _x000D_
_x000D_
Log attached: _x000D_
 foo txt (https:  github com projectbuendia client files 3311476 foo txt)_x000D_
_x000D_
Same issue  308 also has a log attached  _x000D_
</t>
  </si>
  <si>
    <t>projectbuendia-client-310</t>
  </si>
  <si>
    <t>Add New Patient -&gt; Crashes</t>
  </si>
  <si>
    <t>Form Fields: _x000D_
id  given name  family name  sex  years   months  _x000D_
_x000D_
Not including Months Input crashes the app  _x000D_
Not including gender crashes the app  _x000D_
Not including a Family name crashes the app  _x000D_
Not including a Given name crashes the app  _x000D_
Once a patient without a name is on the server  adding new patients keeps crashing it  _x000D_
_x000D_
_x000D_
Things to consider: _x000D_
  What fields are required  _x000D_
  What happens if each field is blank  _x000D_
  What happens if year is not filled out  but months is  Ex: 40 months  or 11 months_x000D_
  What if months is greater than 11  _x000D_
  What is someone inputs 6 years  13 months _x000D_
  What are character limits for each field  (i e  name: 50)</t>
  </si>
  <si>
    <t>projectbuendia-client-305</t>
  </si>
  <si>
    <t xml:space="preserve">Add New Patient -&gt; ID only crashes app. </t>
  </si>
  <si>
    <t xml:space="preserve">1  Go to Add New Patient  _x000D_
2  Enter ID only  No other data_x000D_
Click ok  _x000D_
_x000D_
Result: Buendia has stopped alert  When I open the app  I do indeed have a patient with no name or info  _x000D_
Expected: An error telling me to fill form data  Or no alert that the app crashed  _x000D_
_x000D_
Note: _x000D_
This also happens for the following cases: _x000D_
  when I have filled out ID and Given Name Only  _x000D_
  when I  have filled out ID and Family Name Only_x000D_
_x000D_
</t>
  </si>
  <si>
    <t>getsentry-sentry-java-728</t>
  </si>
  <si>
    <t>[BUG] Sentry agent crashes program</t>
  </si>
  <si>
    <t>Hi all _x000D_
_x000D_
My team and I ran into a bug using the beta sentry agent where java would crash when trying to inspect certain variables in the stack  I have created a minimal repro of the issue here:_x000D_
_x000D_
https:  github com andykais sentry crash reproduction_x000D_
_x000D_
 edit _x000D_
adding some more environment info_x000D_
_x000D_
sentry agent  v1 7 16 : https:  github com getsentry sentry java releases tag v1 7 16_x000D_
   _x000D_
java  version_x000D_
java version  1 8 0 192 _x000D_
Java(TM) SE Runtime Environment (build 1 8 0 192 b12)_x000D_
Java HotSpot(TM) 64 Bit Server VM (build 25 192 b12  mixed mode)_x000D_
   _x000D_
_x000D_
reproduced on both Ubuntu  16 04 LTS  and macOS High Sierra</t>
  </si>
  <si>
    <t>LawnchairLauncher-lawnchair-1600</t>
  </si>
  <si>
    <t>Can not use AccuWeather source.</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</si>
  <si>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When I choose AccuWeather in settings It s flash back to disable(AccuWeather installed) _x000D_
_x000D_
   Expected Behavior_x000D_
      Tell us what should happen    _x000D_
_x000D_
_x000D_
   Actual Behavior_x000D_
      Tell us what happens instead    _x000D_
_x000D_
_x000D_
   Steps to Reproduce_x000D_
      Provide a link to a live example (screenshot recording etc  )  or a set of steps to reproduce the issue    _x000D_
_x000D_
1  Open settings _x000D_
2  Choose AccuWeather in weather source _x000D_
3 _x000D_
4 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Device: Xiaomi MI 5_x000D_
  Android version: 9_x000D_
  Launcher version: 2 0 2152 ci alpha_x000D_
  Rom: PE_x000D_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your log here_x000D_
   _x000D_
</t>
  </si>
  <si>
    <t>renyuneyun-Easer-228</t>
  </si>
  <si>
    <t>Crash after updating to v0.7.7 (data problem)</t>
  </si>
  <si>
    <t xml:space="preserve">  Describe the bug  _x000D_
v  0 7 7  0 7 7 1 BETA and 0 7 7 1 can t run previous version scripts_x000D_
_x000D_
  To Reproduce  _x000D_
Steps to reproduce the behavior:_x000D_
1  Go to F Droid and update_x000D_
2  Easer will crash  _x000D_
3  Delete all data from Easer_x000D_
4  All permissions granted again _x000D_
5  Import scripts from previous version _x000D_
6  Try to convert to recommended format _x000D_
7  Crash again _x000D_
_x000D_
I currently downgraded Easer to 0 7 6 2</t>
  </si>
  <si>
    <t>miguelpruivo-flutter_file_picker-97</t>
  </si>
  <si>
    <t>Crash on Android when there is no app for file extension</t>
  </si>
  <si>
    <t xml:space="preserve">On Android if the device doesn t have an app that can respond to the generated Intent the plugin will cause the app to crash instead of returning the error to Dart or dealing with the exception itself _x000D_
_x000D_
I m using version 1 3 6 _x000D_
_x000D_
How to reproduce:_x000D_
_x000D_
  Create an emulated device with API 16 and without Google Play Services (or use a device with no apps that can deal with application pdf MIME type) _x000D_
  On the Dart code call  await FilePicker getFilePath(type: FileType CUSTOM  fileExtension:  PDF )  _x000D_
  App will crash with the stack trace bellow_x000D_
_x000D_
   _x000D_
I FilePicker( 3752): Custom file type: application pdf_x000D_
E MethodChannel file picker( 3752): Failed to handle method call_x000D_
E MethodChannel file picker( 3752): android content ActivityNotFoundException: No Activity found to handle Intent   act android intent action PICK cat  android intent category OPENABLE  typ application pdf (has extras)  _x000D_
E MethodChannel file picker( 3752): 	at android app Instrumentation checkStartActivityResult(Instrumentation java:1545)_x000D_
E MethodChannel file picker( 3752): 	at android app Instrumentation execStartActivity(Instrumentation java:1416)_x000D_
E MethodChannel file picker( 3752): 	at android app Activity startActivityForResult(Activity java:3351)_x000D_
E MethodChannel file picker( 3752): 	at android app Activity startActivityForResult(Activity java:3312)_x000D_
E MethodChannel file picker( 3752): 	at com mr flutter plugin filepicker FilePickerPlugin startFileExplorer(FilePickerPlugin java:188)_x000D_
E MethodChannel file picker( 3752): 	at com mr flutter plugin filepicker FilePickerPlugin onMethodCall(FilePickerPlugin java:126)_x000D_
E MethodChannel file picker( 3752): 	at io flutter plugin common MethodChannel IncomingMethodCallHandler onMessage(MethodChannel java:201)_x000D_
E MethodChannel file picker( 3752): 	at io flutter embedding engine dart DartMessenger handleMessageFromDart(DartMessenger java:88)_x000D_
E MethodChannel file picker( 3752): 	at io flutter embedding engine FlutterJNI handlePlatformMessage(FlutterJNI java:219)_x000D_
E MethodChannel file picker( 3752): 	at android os MessageQueue nativePollOnce(Native Method)_x000D_
E MethodChannel file picker( 3752): 	at android os MessageQueue next(MessageQueue java:125)_x000D_
E MethodChannel file picker( 3752): 	at android os Looper loop(Looper java:124)_x000D_
E MethodChannel file picker( 3752): 	at android app ActivityThread main(ActivityThread java:4745)_x000D_
E MethodChannel file picker( 3752): 	at java lang reflect Method invokeNative(Native Method)_x000D_
E MethodChannel file picker( 3752): 	at java lang reflect Method invoke(Method java:511)_x000D_
E MethodChannel file picker( 3752): 	at com android internal os ZygoteInit MethodAndArgsCaller run(ZygoteInit java:786)_x000D_
E MethodChannel file picker( 3752): 	at com android internal os ZygoteInit main(ZygoteInit java:553)_x000D_
E MethodChannel file picker( 3752): 	at dalvik system NativeStart main(Native Method)_x000D_
   </t>
  </si>
  <si>
    <t>square-okhttp-5198</t>
  </si>
  <si>
    <t>invalid address or address of corrupt block</t>
  </si>
  <si>
    <t xml:space="preserve">In last weeks our CI running instrumented tests on Android 4 x has become unstable  I m getting native crashes similar to https:  github com square okhttp issues 1763 and https:  github com square okhttp issues 1632 but with using OkHttp  v3 12 0   (also validated  v3 12 3 ):_x000D_
_x000D_
Symbolicated trace:_x000D_
_x000D_
   _x000D_
           Crash dump:           _x000D_
Build fingerprint:  motorola victara reteu victara:4 4 4 KXE21 187 42 41:user release keys _x000D_
Abort message:  invalid address or address of corrupt block 0x73e738e0 passed to dlfree _x000D_
 00 0x000118b4  system lib libc so (dlfree 1191)_x000D_
 01 0x0000dd4b  system lib libc so (free 10)_x000D_
 02 0x000c5585  system lib libcrypto so (CRYPTO free 24)_x000D_
 03 0x0002f6bf  system lib libssl so (ssl parse serverhello tlsext 738)_x000D_
 04 0x000182c1  system lib libssl so (ssl3 get server hello 1008)_x000D_
 05 0x000176bf  system lib libssl so (ssl3 connect 566)_x000D_
 06 0x00027f4b  system lib libssl so (SSL do handshake 50)_x000D_
 07 0x0000af49  system lib libjavacrypto so_x000D_
 08 0x000203cc  system lib libdvm so (dvmPlatformInvoke 112)_x000D_
 09 0x00050ef3  system lib libdvm so (dvmCallJNIMethod(unsigned int const   JValue   Method const   Thread ) 398)_x000D_
 10 0x00029860  system lib libdvm so_x000D_
 11 0x00030b68  system lib libdvm so (dvmMterpStd(Thread ) 76)_x000D_
 12 0x0002e200  system lib libdvm so (dvmInterpret(Thread   Method const   JValue ) 184)_x000D_
 13 0x00063519  system lib libdvm so (dvmCallMethodV(Thread   Method const   Object   bool  JValue   std::  va list) 336)_x000D_
 14 0x0006353d  system lib libdvm so (dvmCallMethod(Thread   Method const   Object   JValue      ) 20)_x000D_
 15 0x0005820b  system lib libdvm so_x000D_
 16 0x0000d2b0  system lib libc so (  thread entry 72)_x000D_
 17 0x0000d448  system lib libc so (pthread create 240)_x000D_
Crash dump is completed_x000D_
   _x000D_
_x000D_
Any guidance how to resolve workaround this issue </t>
  </si>
  <si>
    <t>itachi1706-SingBuses-170</t>
  </si>
  <si>
    <t>HomeScreenView.kt line 58</t>
  </si>
  <si>
    <t xml:space="preserve">     in 
  Number of crashes: 1
  Impacted devices: 1
There s a lot more information about this crash on crashlytics com:
 https:  fabric io itachi1706s projects android apps com itachi1706 busarrivalsg issues b2473a0e6c72c46d6f639eed6bef57e6 utm medium service hooks github utm source issue impact (https:  fabric io itachi1706s projects android apps com itachi1706 busarrivalsg issues b2473a0e6c72c46d6f639eed6bef57e6 utm medium service hooks github utm source issue impact)</t>
  </si>
  <si>
    <t>dariuszseweryn-RxAndroidBle-592</t>
  </si>
  <si>
    <t>Receiver not registered</t>
  </si>
  <si>
    <t xml:space="preserve">    Summary_x000D_
_x000D_
IllegalArgumentException ( Receiver not registered ) for BleState_x000D_
_x000D_
    Library version_x000D_
 1 10 1 _x000D_
_x000D_
     Preconditions_x000D_
_x000D_
Create  Subscribe and immediately dispose a BleState observable _x000D_
_x000D_
     Steps to reproduce actual result_x000D_
 br   1 Create a RxBleAdapterStateObservable_x000D_
 br   2 Subscribe to it_x000D_
 br   3 Immediately dispose the observable (we are doing this once a specific condition is matched) _x000D_
_x000D_
     Actual result_x000D_
_x000D_
   _x000D_
 java lang IllegalArgumentException: Receiver not registered: com polidea rxandroidble2 RxBleAdapterStateObservable 1 1 715f55_x000D_
 	at android app LoadedApk forgetReceiverDispatcher(LoadedApk java:1402)_x000D_
 	at android app ContextImpl unregisterReceiver(ContextImpl java:1769)_x000D_
 	at android content ContextWrapper unregisterReceiver(ContextWrapper java:659)_x000D_
 	at com polidea rxandroidble2 RxBleAdapterStateObservable 1 2 cancel(RxBleAdapterStateObservable java:73)_x000D_
 	at io reactivex internal disposables CancellableDisposable dispose(CancellableDisposable java:48)_x000D_
 	at io reactivex internal disposables DisposableHelper set(DisposableHelper java:53)_x000D_
 	at io reactivex internal operators observable ObservableCreate CreateEmitter setDisposable(ObservableCreate java:106)_x000D_
 	at io reactivex internal operators observable ObservableCreate CreateEmitter setCancellable(ObservableCreate java:111)_x000D_
 	at com polidea rxandroidble2 RxBleAdapterStateObservable 1 subscribe(RxBleAdapterStateObservable java:70)_x000D_
 	at io reactivex internal operators observable ObservableCreate subscribeActual(ObservableCreate java:40)_x000D_
 	at io reactivex Observable subscribe(Observable java:12267)_x000D_
 	at io reactivex internal operators observable ObservableSubscribeOn SubscribeTask run(ObservableSubscribeOn java:96)_x000D_
 	at io reactivex internal schedulers TrampolineScheduler scheduleDirect(TrampolineScheduler java:52)_x000D_
 	at io reactivex internal operators observable ObservableSubscribeOn subscribeActual(ObservableSubscribeOn java:36)_x000D_
 	at io reactivex Observable subscribe(Observable java:12267)_x000D_
 	at io reactivex internal operators observable ObservableUnsubscribeOn subscribeActual(ObservableUnsubscribeOn java:32)_x000D_
 	at io reactivex Observable subscribe(Observable java:12267)_x000D_
 	at io reactivex internal operators observable ObservablePublish connect(ObservablePublish java:116)_x000D_
 	at io reactivex internal operators observable ObservableRefCount subscribeActual(ObservableRefCount java:87)_x000D_
 	at io reactivex Observable subscribe(Observable java:12267)_x000D_
 	at com polidea rxandroidble2 RxBleAdapterStateObservable subscribeActual(RxBleAdapterStateObservable java:86)_x000D_
 	at io reactivex Observable subscribe(Observable java:12267)_x000D_
 	at io reactivex internal operators observable ObservableConcatMap ConcatMapDelayErrorObserver drain(ObservableConcatMap java:475)_x000D_
 	at io reactivex internal operators observable ObservableConcatMap ConcatMapDelayErrorObserver onSubscribe(ObservableConcatMap java:330)_x000D_
 	at io reactivex internal operators observable ObservableFromArray subscribeActual(ObservableFromArray java:31)_x000D_
 	at io reactivex Observable subscribe(Observable java:12267)_x000D_
 	at io reactivex internal operators observable ObservableConcatMap subscribeActual(ObservableConcatMap java:55)_x000D_
 	at io reactivex Observable subscribe(Observable java:12267)_x000D_
 	at io reactivex internal operators observable ObservableSwitchMap subscribeActual(ObservableSwitchMap java:51)_x000D_
 	at io reactivex Observable subscribe(Observable java:12267)_x000D_
 	at io reactivex internal operators observable ObservableDistinctUntilChanged subscribeActual(ObservableDistinctUntilChanged java:35)_x000D_
 	at io reactivex Observable subscribe(Observable java:12267)_x000D_
 	at io reactivex internal operators observable ObservableSkip subscribeActual(ObservableSkip java:29)_x000D_
 	at io reactivex Observable subscribe(Observable java:12267)_x000D_
 	at io reactivex internal operators mixed SingleFlatMapObservable FlatMapObserver onSuccess(SingleFlatMapObservable java:109)_x000D_
 	at io reactivex internal operators single SingleMap MapSingleObserver onSuccess(SingleMap java:64)_x000D_
 	at io reactivex internal operators observable ObservableCountSingle CountObserver onComplete(ObservableCountSingle java:82)_x000D_
 	at io reactivex internal operators observable ObservableTakeWhile TakeWhileObserver onNext(ObservableTakeWhile java:84)_x000D_
 	at io reactivex internal operators observable ObservableInterval IntervalObserver run(ObservableInterval java:82)_x000D_
 	at io reactivex internal schedulers ScheduledDirectPeriodicTask run(ScheduledDirectPeriodicTask java:38)_x000D_
 	at java util concurrent Executors RunnableAdapter call(Executors java:458)_x000D_
 	at java util concurrent FutureTask runAndReset(FutureTask java:307)_x000D_
 	at java util concurrent ScheduledThreadPoolExecutor ScheduledFutureTask run(ScheduledThreadPoolExecutor java:302)_x000D_
 	at java util concurrent ThreadPoolExecutor runWorker(ThreadPoolExecutor java:1167)_x000D_
 	at java util concurrent ThreadPoolExecutor Worker run(ThreadPoolExecutor java:641)_x000D_
 	at java lang Thread run(Thread java:784)_x000D_
   _x000D_
_x000D_
     Expected result_x000D_
_x000D_
No crashes _x000D_
_x000D_
     Minimum code snippet reproducing the issue_x000D_
_x000D_
N A as I have to extract the code _x000D_
_x000D_
Logs and further info will be added asap  but perhaps this is a easy issue to fix (not the first of it s kind  dariuszseweryn  ) </t>
  </si>
  <si>
    <t>bitstadium-HockeySDK-Android-429</t>
  </si>
  <si>
    <t>Possible crash from hockeyApp Sdk</t>
  </si>
  <si>
    <t xml:space="preserve">Hi  In our app we also have problem that may come from HockeyAppSDK  It would be great if you can help us _x000D_
_x000D_
   _x000D_
Caused by java lang NullPointerException: Attempt to invoke virtual method  com google android gms internal firebase perf na com google firebase perf internal zzq e()  on a null object reference_x000D_
       at com google firebase perf internal zzq zza   5(zzq java:37)_x000D_
       at com google android gms internal firebase perf zzau zzai   3(zzau java:112)_x000D_
       at com google firebase perf network zza close   10(zza java:23)_x000D_
       at java io BufferedInputStream close   485(BufferedInputStream java:485)_x000D_
       at net hockeyapp android utils Util convertStreamToString   43(Util java:366)_x000D_
       at net hockeyapp android tasks CheckUpdateTask doInBackground   11(CheckUpdateTask java:115)_x000D_
       at net hockeyapp android tasks CheckUpdateTask doInBackground   11(CheckUpdateTask java:39)_x000D_
       at android os AsyncTask 2 call   333(AsyncTask java:333)_x000D_
       at java util concurrent FutureTask run   266(FutureTask java:266)_x000D_
       at java util concurrent ThreadPoolExecutor runWorker   1162(ThreadPoolExecutor java:1162)_x000D_
       at java util concurrent ThreadPoolExecutor Worker run   636(ThreadPoolExecutor java:636)_x000D_
       at java lang Thread run   764(Thread java:764)_x000D_
   _x000D_
_x000D_
This crash come after the HockeyApp run the update task _x000D_
_x000D_
I am wondering that the sdk may use some firebase services_x000D_
(like push notifications  among a couple of things) that can cause this crash happen </t>
  </si>
  <si>
    <t>jMonkeyEngine-jmonkeyengine-1126</t>
  </si>
  <si>
    <t xml:space="preserve">TestHoveringTank crashes if acceleration is applied during initial descent </t>
  </si>
  <si>
    <t xml:space="preserve">The  TestHoveringTank  sample application starts with the tank gently descending until its invisible wheels touch down  The app will crash with a stream of execution exceptions and assertion failures if you press the  W  (accelerate) key during this period _x000D_
_x000D_
I think the bug is in  PhysicsHoverControl   Initially  the tank s horizontal velocity is 0  When the  W  key is pressed  the  accelerationValue   0  branch of  prePhysicsTick()  is executed  Projecting  dir  onto a zero vector results in a NaN vector  which is eventually applied to the vehicle as a force </t>
  </si>
  <si>
    <t>TeamNewPipe-NewPipe-2406</t>
  </si>
  <si>
    <t>App crashes whenever I select MPEG-4 (480p) quality for any video download</t>
  </si>
  <si>
    <t xml:space="preserve">    Expected behavior _x000D_
I expected the app to download the video in the quality I selected _x000D_
_x000D_
   _x000D_
_x000D_
    Actual behavior _x000D_
Whenever I select MPEG 4 (480p) quality for any video download  the video starts downloading then the app crashes _x000D_
_x000D_
   _x000D_
_x000D_
    How to reproduce _x000D_
  Download  install and launch the latest version of the app_x000D_
  Click on a video_x000D_
  Click on the download icon_x000D_
  Select the video quality to MPEG 4 (480p)_x000D_
  Click on the OK button (download)_x000D_
  The video starts downloading and the app crashes in the process _x000D_
_x000D_
   _x000D_
_x000D_
Device: Gionee f100s _x000D_
Android version: v6 0_x000D_
App version: v0 16 2_x000D_
_x000D_
   _x000D_
_x000D_
    Recording of the bug_x000D_
  20190617 184924 (https:  user images githubusercontent com 49325171 59628376 70e89e80 9138 11e9 94f6 9fe46bed50da gif)_x000D_
_x000D_
_x000D_
   _x000D_
_x000D_
     Logcat_x000D_
   06 17 18:57:26 587 348 8577   D DrmMtkUtil WhiteList: IsDrmTrustedClient: compare  com android gallery3d:widgetservice  with  org schabi newpipelegacy  _x000D_
06 17 18:57:26 622 32188 32188   I AEE AED: check process 31678 name:i newpipelegacy_x000D_
06 17 18:57:26 624 32188 32188   I AEE AED:  OnPurpose Redunant in void preset info(aed report record   int  int)  pid: 31678  tid: 32186  name: VideoTrackEncod      org schabi newpipelegacy    _x000D_
06 17 18:57:26 675 32188 32188   I AEE AED: pid: 31678  tid: 32186  name: VideoTrackEncod      org schabi newpipelegacy    _x000D_
06 17 18:57:27 702 899 32189   W ActivityManager:   Force finishing activity org schabi newpipelegacy  MainActivity_x000D_
06 17 18:57:27 715 899 958   I WindowManager: Focus moving from Window b8cd646 u0 org schabi newpipelegacy org schabi newpipelegacy MainActivity  to null_x000D_
06 17 18:57:27 715 899 958   I WindowManager: Losing focus: Window b8cd646 u0 org schabi newpipelegacy org schabi newpipelegacy MainActivity _x000D_
06 17 18:57:27 745 899 32190   D AES:     process : org schabi newpipelegacy_x000D_
06 17 18:57:27 745 899 32190   D AES:      module : org schabi newpipelegacy v20 (0 16 2)_x000D_
06 17 18:57:27 760 899 933   D ViewRootImpl: hardware acceleration is enabled  this   ViewRoot b08e424 Application Error: org schabi newpipelegacy ident   145 _x000D_
06 17 18:57:27 761 899 933   D WindowManager: addWindowToListInOrderLocked: win Window a875142 u0 Application Error: org schabi newpipelegacy _x000D_
06 17 18:57:27 761 899 933   D WindowManager: Input focus has changed to Window a875142 u0 Application Error: org schabi newpipelegacy _x000D_
06 17 18:57:27 762 899 958   I WindowManager: Focus moving from null to Window a875142 u0 Application Error: org schabi newpipelegacy _x000D_
06 17 18:57:27 762 899 958   I WindowManager: Gaining focus: Window a875142 u0 Application Error: org schabi newpipelegacy _x000D_
06 17 18:57:27 771 256 256   D BufferQueueDump:  Application Error: org schabi newpipelegacy  this:0xb5bef0e0  value:0xbed28690  iLen:6_x000D_
06 17 18:57:27 788 899 8183   D OpenGLRenderer: CanvasContext() 0x9efe8000 initialize window 0x9d00ee08  title Application Error: org schabi newpipelegacy_x000D_
06 17 18:57:27 861 899 1472   I ActivityManager: Process org schabi newpipelegacy (pid 31678) has died_x000D_
06 17 18:57:27 861 899 1332   D PowerManagerNotifier: onWakeLockReleased: flags 1  tag  LockManager 232649597   packageName org schabi newpipelegacy  ownerUid 10206  ownerPid 31678  workSource null_x000D_
06 17 18:57:27 861 899 1472   D ActivityManager: SVC handleAppDiedLocked: app   ProcessRecord 28d9501 31678:org schabi newpipelegacy u0a206   app pid   31678_x000D_
06 17 18:57:27 862 899 926   I WindowState: WIN DEATH: Window b8cd646 u0 org schabi newpipelegacy org schabi newpipelegacy MainActivity _x000D_
06 17 18:57:27 862 899 1472   W ActivityManager: Scheduling restart of crashed service org schabi newpipelegacy us shandian giga service DownloadManagerService in 1000ms_x000D_
06 17 18:57:27 862 899 1472   D ActivityManager: removeDyingProviderLocked: cpr ContentProviderRecord 89a8ef2 u0 org schabi newpipelegacy android support v4 content FileProvider  always false inLaunching false_x000D_
06 17 18:57:27 862 899 1472   D ActivityManager: finishprocess is:org schabi newpipelegacy pid is:31678 uid is:10206_x000D_
06 17 18:57:27 865 1340 1372   D StatusBar: onNotificationRemoved: StatusBarNotification(pkg org schabi newpipelegacy user UserHandle 0  id 1000 tag null score 0 key 0 org schabi newpipelegacy 1000 null 10206: Notification(pri 0 contentView null vibrate null sound null defaults 0x0 flags 0x62 color 0x00000000 vis PRIVATE))_x000D_
06 17 18:57:27 910 2297 2298   D GasService: FG app changed: from org schabi newpipelegacy to com anddoes launcher_x000D_
06 17 18:57:28 155 256 279   D SurfaceFlinger:     remove: org schabi newpipelegacy org schabi newpipelegacy MainActivity_x000D_
06 17 18:57:30 306 899 958   I WindowManager: Focus moving from Window a875142 u0 Application Error: org schabi newpipelegacy EXITING  to Window 1ad7933 u0 com anddoes launcher com anddoes launcher Launcher _x000D_
06 17 18:57:30 306 899 958   I WindowManager: Losing focus: Window a875142 u0 Application Error: org schabi newpipelegacy EXITING    </t>
  </si>
  <si>
    <t>LawnchairLauncher-lawnchair-1593</t>
  </si>
  <si>
    <t>Status bar does not match feed/search</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</si>
  <si>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Status bar area does not match with the rest of the UI when opening Google search or feed with  desktop   hide status bar  on _x000D_
_x000D_
Status bar off:_x000D_
  20190617 065324 (https:  user images githubusercontent com 11401637 59600237 a9539280 90ce 11e9 8970 563061c58d7f jpg)_x000D_
  20190617 065251 (https:  user images githubusercontent com 11401637 59600238 a9539280 90ce 11e9 8419 69b9cf6b477a jpg)_x000D_
_x000D_
Status bar on:_x000D_
  Screenshot 20190617 065515 Lawnchair (https:  user images githubusercontent com 11401637 59600239 a9539280 90ce 11e9 87a5 4d3e24d83492 jpg)_x000D_
  Screenshot 20190617 065454 Lawnchair (https:  user images githubusercontent com 11401637 59600240 a9539280 90ce 11e9 86ad 68ca92ea6d51 jpg)_x000D_
_x000D_
   Expected Behavior_x000D_
I would expect either for the status bar to appear on these screens regardless of the  desktop   hide status bar  setting  or for their to be some theme aware masking of the status bar area so that the wallpaper does not clash with the rest of the UI _x000D_
_x000D_
_x000D_
   Actual Behavior_x000D_
      Tell us what happens instead    _x000D_
No status bar on these screens and no masking of the status bar area  _x000D_
_x000D_
   Steps to Reproduce_x000D_
Note that this is a little inconsistent: occasionally the status bar does appear in the search feed  but more often than not the above issue occurs _x000D_
1  Toggle on  desktop   hide status bar _x000D_
2  Return to home screen  status bar is hidden as expected _x000D_
3  Open search by tapping search bar  or swipe over to Google feed _x000D_
4  (Usually) observe the above behavior _x000D_
4a  Seemed to happen more consistently if I also toggled on  desktop   top shadow   but can happen when that setting is off _x000D_
_x000D_
   Environment_x000D_
  Device: Samsung Galaxy S10e_x000D_
  Android version: 9 0 0_x000D_
  Launcher version: 2 0 2112 ci alpha_x000D_
  Rom: OneUI 1 1_x000D_
_x000D_
_x000D_
   Logcat_x000D_
      If possible  include a logcat of the issue  otherwise remove this section   _x000D_
      Navigate to Documents   Lawnchair and share the most recent crash log from there      _x000D_
Not crashing  no logs _x000D_
</t>
  </si>
  <si>
    <t>fieldsight-fieldsight-mobile-222</t>
  </si>
  <si>
    <t>Not using fileprovider to get uri</t>
  </si>
  <si>
    <t xml:space="preserve">https:  console firebase google com u 0 project fieldsight 2906f crashlytics app android:org bcss collect android issues 6012ef53bb756cb7df00b025c1997686 time last seven days sessionId 5D0387D603710001260FC374897F51B2 DNE 0 v2_x000D_
_x000D_
   _x000D_
atal Exception: android os FileUriExposedException: file:   storage emulated 0 fieldsight compressed exposed beyond app through ClipData Item getUri()_x000D_
       at android os StrictMode onFileUriExposed(StrictMode java:1796)_x000D_
       at android net Uri checkFileUriExposed(Uri java:2346)_x000D_
       at android content ClipData prepareToLeaveProcess(ClipData java:845)_x000D_
       at android content Intent prepareToLeaveProcess(Intent java:8941)_x000D_
       at android content Intent prepareToLeaveProcess(Intent java:8926)_x000D_
       at android app Instrumentation execStartActivity(Instrumentation java:1517)_x000D_
       at android app Activity startActivityForResult(Activity java:4228)_x000D_
       at android support v4 app FragmentActivity startActivityForResult(FragmentActivity java:767)_x000D_
       at android app Activity startActivityForResult(Activity java:4186)_x000D_
       at android support v4 app FragmentActivity startActivityForResult(FragmentActivity java:754)_x000D_
       at android app Activity startActivity(Activity java:4525)_x000D_
       at android app Activity startActivity(Activity java:4493)_x000D_
       at org bcss collect naxa BackupActivity share(BackupActivity java:141)_x000D_
       at org bcss collect naxa BackupActivity ViewBinding 2 doClick(BackupActivity ViewBinding java:56)_x000D_
       at butterknife internal DebouncingOnClickListener onClick(DebouncingOnClickListener java:22)_x000D_
       at android view View performClick(View java:5637)_x000D_
       at android view View PerformClick run(View java:22429)_x000D_
       at android os Handler handleCallback(Handler java:751)_x000D_
       at android os Handler dispatchMessage(Handler java:95)_x000D_
       at androidx test espresso base Interrogator a(Interrogator java:19)_x000D_
       at androidx test espresso base UiControllerImpl a(UiControllerImpl java:166)_x000D_
       at androidx test espresso base UiControllerImpl a(UiControllerImpl java:158)_x000D_
       at androidx test espresso base UiControllerImpl a(UiControllerImpl java:34)_x000D_
       at androidx test espresso action MotionEvents a(MotionEvents java:77)_x000D_
       at androidx test espresso action MotionEvents a(MotionEvents java:52)_x000D_
       at androidx test espresso action Tap c(Tap java:8)_x000D_
       at androidx test espresso action Tap b(Tap java:18)_x000D_
       at androidx test espresso action Tap 1 a(Tap java:3)_x000D_
       at androidx test espresso action GeneralClickAction perform(GeneralClickAction java:20)_x000D_
       at androidx test espresso ViewInteraction SingleExecutionViewAction perform(ViewInteraction java:9)_x000D_
       at androidx test espresso ViewInteraction a(ViewInteraction java:79)_x000D_
       at androidx test espresso ViewInteraction a(ViewInteraction java:96)_x000D_
       at androidx test espresso ViewInteraction 1 call(ViewInteraction java:3)_x000D_
       at java util concurrent FutureTask run(FutureTask java:237)_x000D_
       at android os Handler handleCallback(Handler java:751)_x000D_
       at android os Handler dispatchMessage(Handler java:95)_x000D_
       at android os Looper loop(Looper java:154)_x000D_
       at android app ActivityThread main(ActivityThread java:6121)_x000D_
       at java lang reflect Method invoke(Method java)_x000D_
       at com android internal os ZygoteInit MethodAndArgsCaller run(ZygoteInit java:889)_x000D_
       at com android internal os ZygoteInit main(ZygoteInit java:779)_x000D_
   </t>
  </si>
  <si>
    <t>kontalk-androidclient-1262</t>
  </si>
  <si>
    <t>Bad database upgrade</t>
  </si>
  <si>
    <t xml:space="preserve">A missing piece in the v10 upgrade part prevented the manual trust column in the keys table to be added  Practically all people upgrading from 4 1 6 got a crash on app startup </t>
  </si>
  <si>
    <t>microg-GmsCore-839</t>
  </si>
  <si>
    <t>MapBox variant crashes when using QuickMap</t>
  </si>
  <si>
    <t xml:space="preserve">It is possible that this is fixed by https:  github com microg android packages apps GmsCore commit 73fd85a8c7ff2762dd615f3a5caa9d9f1db2b6f5_x000D_
_x000D_
But just in case it is a different issue  I am getting a crash when using QuickMap  App opens okay (but with map in wrong location)  If selecting an area of interest via pull down (e g  Los Angeles) the app will crash _x000D_
_x000D_
OS: LineageOS 14 1 for microG_x000D_
microG version: GmsCore v0 2 7 17455 mapbox apk_x000D_
Application: https:  play google com store apps details id gov caltrans quickmap_x000D_
_x000D_
   _x000D_
06 15 16:50:56 449  5570  5588 D SafeParcel: Unknown field num 10 in com google android gms common internal GetServiceRequest  skipping _x000D_
06 15 16:50:56 449  5570  5588 D GmsLocManagerSvc: bound by: GetServiceRequest serviceId LOCATION MANAGER  gmsVersion 11020000  packageName  gov caltrans quickmap   extras Bundle  client name locationServices   _x000D_
06 15 16:50:56 568  3003  3421 I ActivityManager: Displayed gov caltrans quickmap  MapsActivity:  798ms_x000D_
06 15 16:50:56 695 10005 10005 D AndroidRuntime: Shutting down VM_x000D_
06 15 16:50:56 699 10005 10005 E AndroidRuntime: FATAL EXCEPTION: main_x000D_
06 15 16:50:56 699 10005 10005 E AndroidRuntime: Process: gov caltrans quickmap  PID: 10005_x000D_
06 15 16:50:56 699 10005 10005 E AndroidRuntime: java lang NullPointerException: Attempt to invoke virtual method  void com google android gms maps GoogleMap setMyLocationEnabled(boolean)  on a null object reference_x000D_
06 15 16:50:56 699 10005 10005 E AndroidRuntime: 	at gov caltrans quickmap MapsActivity zoomToLocation(MapsActivity java:931)_x000D_
06 15 16:50:56 699 10005 10005 E AndroidRuntime: 	at gov caltrans quickmap MapsActivity onConnected(MapsActivity java:1313)_x000D_
06 15 16:50:56 699 10005 10005 E AndroidRuntime: 	at com google android gms common internal zzac zzn(Unknown Source)_x000D_
06 15 16:50:56 699 10005 10005 E AndroidRuntime: 	at com google android gms internal zzbcp zzm(Unknown Source)_x000D_
06 15 16:50:56 699 10005 10005 E AndroidRuntime: 	at com google android gms internal zzbcd zzpY(Unknown Source)_x000D_
06 15 16:50:56 699 10005 10005 E AndroidRuntime: 	at com google android gms internal zzbcd onConnected(Unknown Source)_x000D_
06 15 16:50:56 699 10005 10005 E AndroidRuntime: 	at com google android gms internal zzbcx onConnected(Unknown Source)_x000D_
06 15 16:50:56 699 10005 10005 E AndroidRuntime: 	at com google android gms internal zzbbi onConnected(Unknown Source)_x000D_
06 15 16:50:56 699 10005 10005 E AndroidRuntime: 	at com google android gms common internal zzaa onConnected(Unknown Source)_x000D_
06 15 16:50:56 699 10005 10005 E AndroidRuntime: 	at com google android gms common internal zzn zzrj(Unknown Source)_x000D_
06 15 16:50:56 699 10005 10005 E AndroidRuntime: 	at com google android gms common internal zze zzs(Unknown Source)_x000D_
06 15 16:50:56 699 10005 10005 E AndroidRuntime: 	at com google android gms common internal zzi zzrk(Unknown Source)_x000D_
06 15 16:50:56 699 10005 10005 E AndroidRuntime: 	at com google android gms common internal zzh handleMessage(Unknown Source)_x000D_
06 15 16:50:56 699 10005 10005 E AndroidRuntime: 	at android os Handler dispatchMessage(Handler java:102)_x000D_
06 15 16:50:56 699 10005 10005 E AndroidRuntime: 	at android os Looper loop(Looper java:154)_x000D_
06 15 16:50:56 699 10005 10005 E AndroidRuntime: 	at android app ActivityThread main(ActivityThread java:6186)_x000D_
06 15 16:50:56 699 10005 10005 E AndroidRuntime: 	at java lang reflect Method invoke(Native Method)_x000D_
06 15 16:50:56 699 10005 10005 E AndroidRuntime: 	at com android internal os ZygoteInit MethodAndArgsCaller run(ZygoteInit java:889)_x000D_
06 15 16:50:56 699 10005 10005 E AndroidRuntime: 	at com android internal os ZygoteInit main(ZygoteInit java:779)_x000D_
06 15 16:50:56 704  3003  4857 W ActivityManager:   Force finishing activity gov caltrans quickmap  MapsActivity_x000D_
_x000D_
   </t>
  </si>
  <si>
    <t>libgdx-gdx-pay-198</t>
  </si>
  <si>
    <t xml:space="preserve">Crash on iOS </t>
  </si>
  <si>
    <t xml:space="preserve">Please ensure you have given all the following requested information in your report _x000D_
_x000D_
We see some crashes in Fabric related to gdx pay  Not got any crashes myself _x000D_
_x000D_
     Issue details  reproduction steps code_x000D_
_x000D_
gdx pay version: 0 12 1_x000D_
_x000D_
We see crashes in Fabric  Most iPhone X (78 )  99  of users has iOS 12 _x000D_
_x000D_
     Version of gdx pay and or relevant dependencies_x000D_
0 12 1_x000D_
_x000D_
     Stacktrace_x000D_
   java_x000D_
Fatal Exception: java lang IllegalArgumentException_x000D_
java lang IllegalArgumentException: No strong ref exists from  SKPaymentQueue: 0x28178e100  (a org robovm apple storekit SKPaymentQueue) to  j com badlogic gdx pay ios apple PurchaseManageriOSApple PromotionTransactionObserver: 0x28178e210  a (com badlogic gdx pay ios apple PurchaseManageriOSApple PromotionTransactionObserver) at org robovm objc ObjCObject AssociatedObjectHelper removeStrongRef(ObjCObject java:689) at org robovm objc ObjCObject removeStrongRef(ObjCObject java:220) at com badlogic gdx pay ios apple PurchaseManageriOSApple IosFetchProductsAndInstallDelegate didReceiveResponse(PurchaseManageriOSApple java:327) at com badlogic gdx pay ios apple PurchaseManageriOSApple IosFetchProductsAndInstallDelegate  cb productsRequest didReceiveResponse (PurchaseManageriOSApple java) at org robovm apple uikit UIApplication main(Native Method) at org robovm apple uikit UIApplication main(UIApplication java:428) at com squins tkl ios common IosLauncher Companion start(IosLauncher kt:280) at com squins tkl ios es IosEsLauncher Companion main(IosEsLauncher kt:22) at com squins tkl ios es IosEsLauncher main(IosEsLauncher kt)_x000D_
   _x000D_
_x000D_
     Please select the affected platforms and payment service implementation_x000D_
   X   apple robovm_x000D_
_x000D_
We have set  shouldProcessPromotionalStorePayment  to false  Kotlin implementation:_x000D_
_x000D_
   kotlin_x000D_
object : PurchaseManageriOSApple()  _x000D_
_x000D_
        override fun shouldProcessPromotionalStorePayment(queue: SKPaymentQueue   payment: SKPayment   product: SKProduct )  _x000D_
                   can only be true if we initialize gdx pay on startup  before doing Dagger _x000D_
                false_x000D_
     _x000D_
   _x000D_
_x000D_
</t>
  </si>
  <si>
    <t>SecUSo-privacy-friendly-passwordgenerator-34</t>
  </si>
  <si>
    <t>Application error occurs when I finish using the Benchmark feature [Privacy Friendly Password Generator v1.0.3]</t>
  </si>
  <si>
    <t xml:space="preserve">    Expected behavior _x000D_
I expected the app to exit the benchmark feature (when I click on  Done ) without crashing _x000D_
_x000D_
   _x000D_
_x000D_
    Actual behavior _x000D_
I clicked on the  START  button and the time was shown  I clicked again and observed the time that was shown got updated  Then I kept clicking on the  START  button so the time would keep updating _x000D_
Afterwards  I clicked on the  DONE  button and there was an application error  _x000D_
I noticed that the application error occurs whenever the time is above 2 seconds _x000D_
_x000D_
   _x000D_
_x000D_
    How to reproduce _x000D_
  Download  install and launch the latest version of the app_x000D_
  Go to settings _x000D_
  Scroll down to the last option  Benchmark: generation  _x000D_
  Click on it_x000D_
  Click on the  START  button and till the time shown is above 2 seconds (maybe 3 seconds) _x000D_
  Click on the  DONE  button_x000D_
  Observe the bug _x000D_
_x000D_
   _x000D_
_x000D_
Device: Gionee f100s _x000D_
Android version: v6 0_x000D_
App version: v1 0 3_x000D_
_x000D_
   _x000D_
_x000D_
    Recording of the bug_x000D_
   (https:  d1vof77qrk4l5q cloudfront net img 0c2dfcc6d1cecfcc0291753a34f5c16772379dc9 gif)_x000D_
_x000D_
   _x000D_
_x000D_
     Logcat_x000D_
_x000D_
    06 15 10:17:30 165 956 2216   W ActivityManager:   Force finishing activity org secuso privacyfriendlypasswordgenerator  activities SettingsActivity_x000D_
06 15 10:17:30 166 956 2216   V WindowManager: findFocusedWindow: Found new focus   3   Window 24d544a u0 org secuso privacyfriendlypasswordgenerator org secuso privacyfriendlypasswordgenerator activities SettingsActivity _x000D_
06 15 10:17:30 168 956 2216   V WindowManager: Set focused app to: AppWindowToken 53f09a8 token Token 69badcb ActivityRecord 21f909a u0 org secuso privacyfriendlypasswordgenerator  activities MainActivity t5150    old focus AppWindowToken 9051dec token Token 30f23fd ActivityRecord f4f1854 u0 org secuso privacyfriendlypasswordgenerator  activities SettingsActivity t5150    moveFocusNow true_x000D_
06 15 10:17:30 169 956 2216   V WindowManager: findFocusedWindow: Found new focus   3   Window 24d544a u0 org secuso privacyfriendlypasswordgenerator org secuso privacyfriendlypasswordgenerator activities SettingsActivity _x000D_
06 15 10:17:30 182 956 27597   D AES:     process : org secuso privacyfriendlypasswordgenerator_x000D_
06 15 10:17:30 182 956 27597   D AES:      module : org secuso privacyfriendlypasswordgenerator v4 (1 0 3)_x000D_
06 15 10:17:30 183 956 27597   D AEE LIBAEE: shell: raise exp(4  27536   1361051648  org secuso privacyfriendlypasswordgenerator  0x0x96a8bbe0  0x0x0)_x000D_
06 15 10:17:30 185 27598 27598   I AEE AED:  OnPurpose Redunant in void preset info(aed report record   int  int)  pid: 27536  tid:  1361051648  name: UNKNOWN      org secuso privacyfriendlypasswordgenerator    _x000D_
06 15 10:17:30 185 27598 27598   V AEE AED: dashboard record update() : rec  module   org secuso privacyfriendlypasswordgenerator _x000D_
06 15 10:17:30 185 27598 27598   D AEE AED: Module: org secuso privacyfriendlypasswordgenerator _x000D_
06 15 10:17:30 188 956 990   D ViewRootImpl: hardware acceleration is enabled  this   ViewRoot b0dc712 Application Error: org secuso privacyfriendlypasswordgenerator ident   73 _x000D_
06 15 10:17:30 188 956 990   D WindowManager: addWindowToListInOrderLocked: win Window 3a790e0 u0 Application Error: org secuso privacyfriendlypasswordgenerator _x000D_
06 15 10:17:30 188 956 990   V WindowManager: Free window: Adding window Window 3a790e0 u0 Application Error: org secuso privacyfriendlypasswordgenerator  at 4 of 10_x000D_
06 15 10:17:30 189 956 990   V WindowManager: findFocusedWindow: Found new focus   4   Window 3a790e0 u0 Application Error: org secuso privacyfriendlypasswordgenerator _x000D_
06 15 10:17:30 189 956 990   V WindowManager: Changing focus from Window 24d544a u0 org secuso privacyfriendlypasswordgenerator org secuso privacyfriendlypasswordgenerator activities SettingsActivity  to Window 3a790e0 u0 Application Error: org secuso privacyfriendlypasswordgenerator _x000D_
06 15 10:17:30 189 956 990   D WindowManager: Input focus has changed to Window 3a790e0 u0 Application Error: org secuso privacyfriendlypasswordgenerator _x000D_
06 15 10:17:30 189 956 1021   I WindowManager: Focus moving from Window 24d544a u0 org secuso privacyfriendlypasswordgenerator org secuso privacyfriendlypasswordgenerator activities SettingsActivity  to Window 3a790e0 u0 Application Error: org secuso privacyfriendlypasswordgenerator _x000D_
06 15 10:17:30 189 956 1021   I WindowManager: Gaining focus: Window 3a790e0 u0 Application Error: org secuso privacyfriendlypasswordgenerator _x000D_
06 15 10:17:30 200 256 256   D BufferQueueDump:  Application Error: org secuso privacyfriendlypasswordgenerator  this:0xb5aee460  value:0xbee3a690  iLen:6_x000D_
06 15 10:17:30 201 956 990   V WindowManager: findFocusedWindow: Found new focus   4   Window 3a790e0 u0 Application Error: org secuso privacyfriendlypasswordgenerator _x000D_
06 15 10:17:30 216 956 3322   D OpenGLRenderer: CanvasContext() 0x9ed85800 initialize window 0x9e524008  title Application Error: org secuso privacyfriendlypasswordgenerator_x000D_
06 15 10:17:30 237 956 1021   I WindowManager: Losing delayed focus: Window 24d544a u0 org secuso privacyfriendlypasswordgenerator org secuso privacyfriendlypasswordgenerator activities SettingsActivity _x000D_
06 15 10:17:30 670 956 989   W ActivityManager: Activity pause timeout for ActivityRecord f4f1854 u0 org secuso privacyfriendlypasswordgenerator  activities SettingsActivity t5150 f     </t>
  </si>
  <si>
    <t>TeamNewPipe-NewPipe-2397</t>
  </si>
  <si>
    <t>Background player stops responding after disconnecting from car bluetooth</t>
  </si>
  <si>
    <t xml:space="preserve">   X   I carefully read the  contribution guidelines (https:  github com TeamNewPipe NewPipe blob HEAD  github CONTRIBUTING md) and agree to them _x000D_
    X  I checked if the issue feature exists in the latest version _x000D_
      I did use the  incredible bugreport to markdown converter (https:  teamnewpipe github io CrashReportToMarkdown ) to paste bug reports _x000D_
_x000D_
If I shut my vehicle off while streaming youtube over bluetooth on the background player  the media stream can no longer be played  The app doesn t crash  and I can navigate  but I cannot resume play on the background player  Tapping play does nothing  Skipping forward or back in a playlist causes it to move to the next or previous item as expected  but does not begin to play  and tapping play still does not work  Tapping along the media progress slider to attempt to force it to load causes the progress indicator to flash and move forward slightly  then return to the beginning  simultaneously a small black rectangle appears momentarily above the play button  _x000D_
_x000D_
Sometimes if I shut my car off only briefly  then turn it back on  media will resume play  suggesting the failure happens over some time </t>
  </si>
  <si>
    <t>aws-amplify-aws-sdk-android-1018</t>
  </si>
  <si>
    <t>Lex sample requires CognitoAuth SDK</t>
  </si>
  <si>
    <t xml:space="preserve">  Describe the bug  _x000D_
Following the instructions on the  Lex Sample App (https:  github com awslabs aws sdk android samples tree master LexSample) in the Android Sample Repo  I ran into two problems attempting to initialize AWSMobileClient:_x000D_
_x000D_
1  The AWS CLI injected an  Auth  section into the generated  awsconfiguration json  file  despite my not using Hosted UI_x000D_
1  The SDK would not properly intialize AWSMobileClient without me adding  aws android sdk cognitoauth  to my build gradle_x000D_
_x000D_
I ve not been able to investigate this deeply to see if this is a bug due to a recent change  or a problem in my local setup _x000D_
_x000D_
  To Reproduce  _x000D_
_x000D_
1  Follow the instructions on the LexSample to spin up a new Lex sample app_x000D_
  1  It may be necessary to perform an additional setup step not documented in the LexSample instructions: The CLI does not create any aliases  and I don t think it publishes the newly created bot  That might need to be done before running the sample  but I haven t investigated closely_x000D_
1  Attempt to build and run the app_x000D_
_x000D_
  Expected behavior  _x000D_
_x000D_
The app builds  runs  and is able to do a  book trip  transaction via TextActivity _x000D_
_x000D_
  Actual Behavior  _x000D_
_x000D_
1  The app fails to initialize AWSMobileClient during the TextActivity  failing to find  AuthProvider   Relevant stack trace:_x000D_
_x000D_
   _x000D_
Caused by: java lang ClassNotFoundException: Didn t find class  com amazonaws mobileconnectors cognitoauth handlers AuthHandler  on path: DexPathList  zip file   data app com amazonaws sample lex JMOmFkHzt2PylpxsL9CcQA   base apk   zip file   data app com amazonaws sample lex JMOmFkHzt2PylpxsL9CcQA   split lib dependencies apk apk   zip file   data app com amazonaws sample lex JMOmFkHzt2PylpxsL9CcQA   split lib resources apk apk   zip file   data app com amazonaws sample lex JMOmFkHzt2PylpxsL9CcQA   split lib slice 0 apk apk   zip file   data app com amazonaws sample lex JMOmFkHzt2PylpxsL9CcQA   split lib slice 1 apk apk   zip file   data app com amazonaws sample lex JMOmFkHzt2PylpxsL9CcQA   split lib slice 2 apk apk   zip file   data app com amazonaws sample lex JMOmFkHzt2PylpxsL9CcQA   split lib slice 3 apk apk   zip file   data app com amazonaws sample lex JMOmFkHzt2PylpxsL9CcQA   split lib slice 4 apk apk   zip file   data app com amazonaws sample lex JMOmFkHzt2PylpxsL9CcQA   split lib slice 5 apk apk   _x000D_
        at java lang Class dalvik system BaseDexClassLoader findClass(java lang String) (BaseDexClassLoader java:125)_x000D_
        at java lang Class java lang ClassLoader loadClass(java lang String  boolean) (ClassLoader java:379)_x000D_
        at java lang Class java lang ClassLoader loadClass(java lang String) (ClassLoader java:312)_x000D_
        at com amazonaws mobile client AWSMobileClient com amazonaws mobile client AWSMobileClient getInstance() (AWSMobileClient java: 1)_x000D_
        at void com amazonaws sample lex TextActivity initializeLexSDK() (TextActivity java:150)_x000D_
        at void com amazonaws sample lex TextActivity init() (TextActivity java:139)_x000D_
        at void com amazonaws sample lex TextActivity onCreate(android os Bundle) (TextActivity java:109)_x000D_
        at void android app Activity performCreate(android os Bundle  android os PersistableBundle) (Activity java:7009)_x000D_
        at void android app Activity performCreate(android os Bundle) (Activity java:7000)_x000D_
        at void android app Instrumentation callActivityOnCreate(android app Activity  android os Bundle) (Instrumentation java:1214)_x000D_
        at android app Activity android app ActivityThread performLaunchActivity(android app ActivityThread ActivityClientRecord  android content Intent) (ActivityThread java:2731)_x000D_
        at void android app ActivityThread handleLaunchActivity(android app ActivityThread ActivityClientRecord  android content Intent  java lang String) (ActivityThread java:2856)_x000D_
        at void android app ActivityThread  wrap11(android app ActivityThread  android app ActivityThread ActivityClientRecord  android content Intent  java lang String) (ActivityThread java: 1)_x000D_
        at void android app ActivityThread H handleMessage(android os Message) (ActivityThread java:1589)_x000D_
        at void android os Handler dispatchMessage(android os Message) (Handler java:106)_x000D_
        at void android os Looper loop() (Looper java:164)_x000D_
        at void android app ActivityThread main(java lang String  ) (ActivityThread java:6494)_x000D_
        at java lang Object java lang reflect Method invoke(java lang Object  java lang Object  ) (Method java: 2)_x000D_
        at void com android internal os RuntimeInit MethodAndArgsCaller run() (RuntimeInit java:438)_x000D_
        at void com android internal os ZygoteInit main(java lang String  ) (ZygoteInit java:807)_x000D_
   _x000D_
_x000D_
1  After working around the above (see below)  the app also logs an error and fails to initialize the AWSMobileClient (but does not crash because of it):_x000D_
_x000D_
   _x000D_
E TextActivity: initialize onError: _x000D_
    java lang RuntimeException: Failed to initialize OAuth  please check your awsconfiguration json_x000D_
        at com amazonaws mobile client AWSMobileClient 2 run(AWSMobileClient java:579)_x000D_
        at com amazonaws mobile client internal InternalCallback 1 run(InternalCallback java:101)_x000D_
        at java lang Thread run(Thread java:764)_x000D_
     Caused by: org json JSONException: No value for Scopes_x000D_
        at org json JSONObject get(JSONObject java:392)_x000D_
        at org json JSONObject getJSONArray(JSONObject java:587)_x000D_
        at com amazonaws mobile client AWSMobileClient  initializeHostedUI(AWSMobileClient java:602)_x000D_
        at com amazonaws mobile client AWSMobileClient access 400(AWSMobileClient java:164)_x000D_
        at com amazonaws mobile client AWSMobileClient 2 run(AWSMobileClient java:576)_x000D_
        at com amazonaws mobile client internal InternalCallback 1 run(InternalCallback java:101) _x000D_
        at java lang Thread run(Thread java:764) _x000D_
   _x000D_
_x000D_
  Workarounds  _x000D_
_x000D_
1  Add to  dependencies  section of  build gradle :_x000D_
_x000D_
   gradle_x000D_
implementation ( com amazonaws:aws android sdk cognitoauth: aws version aar )   transitive true  _x000D_
   _x000D_
_x000D_
1  Remove the  OAuth  section from  awsconfiguration json _x000D_
_x000D_
_x000D_
  Environment Information (please complete the following information):  _x000D_
   AWS Android SDK Version: 2 13 6_x000D_
   Emulator_x000D_
   API 23_x000D_
   Specific to simulators: No_x000D_
</t>
  </si>
  <si>
    <t>fabienli-DokuwikiAndroid-2</t>
  </si>
  <si>
    <t>Internal links crash</t>
  </si>
  <si>
    <t xml:space="preserve">   _x000D_
There is now a new problem  When I click any of the links  the app crashes  I cannot see any logs because of the crash  I have also spun up a new dokuwiki for testing and I m having the same problem there _x000D_
_x000D_
Would you like me to open a new issue for that _x000D_
_x000D_
Thanks again for all your work _x000D_
_x000D_
EDIT: I ve uploaded a recording showing the problem_x000D_
https:  gfycat com unrealisticcomfortableaffenpinscher_x000D_
   </t>
  </si>
  <si>
    <t>BeckSM64-pitch-libgdx-5</t>
  </si>
  <si>
    <t>The app crashes if the next round button is clicked within two seconds of appearing</t>
  </si>
  <si>
    <t>iyegoroff-react-native-image-filter-kit-18</t>
  </si>
  <si>
    <t>App crashes on every device, but works on emulator</t>
  </si>
  <si>
    <t xml:space="preserve">     Please specify your mobile platform(s) and react native   react native image filter kit versions  Also check https:  github com iyegoroff react native image filter kit status if your rnifk version corresponds with your rn version     _x000D_
_x000D_
     Getting  No ViewManager defined for class X  error most likely means that you didn t link the module or something is wrong with your build and or configuration  Try cleaning the project and check if your configuration matches with https:  github com iyegoroff react native image filter kit blob master manual installation md instruction     _x000D_
_x000D_
     If your app crashed due to react native image filter kit  please attach a crash log     _x000D_
_x000D_
I am using this library on my app  and it works totally fine on any android emulator  with any android sdk version over 17  but on a real device  it just crashes  it doesnt show an error  it just closes    and i have tested it  and it is not because i am calling a component the wrong way  it crashes with just simply installing it on my react native project  I tested the app on many android devices  And yes i am doing all the instructions specified  And yes  i already test the app without this library  and works totally fine  THE ONLY different thing that i did was that i put the new ImageFilterKitPackage() on my mainapplication java rather than mainactivity java_x000D_
</t>
  </si>
  <si>
    <t>MozillaReality-FirefoxReality-1315</t>
  </si>
  <si>
    <t>FirefoxReality 69.0a1 Crash Report [@ java.lang.NullPointerException: at org.mozilla.vrbrowser.ui.widgets.dialogs.UIDialog.releaseWidget(UIDialog.java) ]</t>
  </si>
  <si>
    <t>One of the top crashers: https:  crash stats mozilla com report index bca315c6 d4e1 4eed 911a 76f700190606</t>
  </si>
  <si>
    <t>react-native-share-react-native-share-522</t>
  </si>
  <si>
    <t>Sending MMS crashes the message app on Android 5.0</t>
  </si>
  <si>
    <t xml:space="preserve">    Expected behaviour_x000D_
Messaging App should open with the attached file _x000D_
_x000D_
    Actual behaviour_x000D_
Messaging App opens and then crashes _x000D_
_x000D_
    Environment_x000D_
    React Native version  : 0 59 8_x000D_
    React Native platform   platform version  : Android 5 0_x000D_
_x000D_
    react native share_x000D_
  Version  : 1 2 1_x000D_
_x000D_
I am trying to send a vcf file through sms _x000D_
This is how I am doing it _x000D_
_x000D_
   _x000D_
 sendSMS   ()     _x000D_
     const vCard   this createVCard() _x000D_
     RNFS readFile(   vCard     base64 )_x000D_
      then(res     _x000D_
         const shareOptions    _x000D_
             url:  data:text x vcard base64   res   _x000D_
             social:  sms _x000D_
           _x000D_
         Share shareSingle(shareOptions) _x000D_
      ) _x000D_
 _x000D_
   _x000D_
_x000D_
      It is working on Android 9 0 but not in 5 0  _x000D_
_x000D_
I think these are the error lines from my logcat _x000D_
_x000D_
   _x000D_
E AndroidRuntime(12776): FATAL EXCEPTION: addAttachment_x000D_
_x000D_
E AndroidRuntime(12776): Process: com android mms  PID: 12776_x000D_
_x000D_
E AndroidRuntime(12776): java lang IllegalStateException: Couldn t read row 0  col 0 from CursorWindow   Make sure the Cursor is initialized correctly before accessing data from it _x000D_
_x000D_
E AndroidRuntime(12776): 	at android database CursorWindow nativeGetString(Native Method)_x000D_
_x000D_
E AndroidRuntime(12776): 	at android database CursorWindow getString(CursorWindow java:451)_x000D_
_x000D_
E AndroidRuntime(12776): 	at android database AbstractWindowedCursor getString(AbstractWindowedCursor java:51)_x000D_
_x000D_
E AndroidRuntime(12776): 	at android database CursorWrapper getString(CursorWrapper java:114)_x000D_
_x000D_
E AndroidRuntime(12776): 	at com android mms ui MessageUtils getPathFromUri(MessageUtils java:8183)_x000D_
_x000D_
E AndroidRuntime(12776): 	at com android mms ui MessageUtils isDrmUri(MessageUtils java:7260)_x000D_
_x000D_
E AndroidRuntime(12776): 	at com android mms util HandleComposerAttachment 40 run(HandleComposerAttachment java:3349)_x000D_
_x000D_
E AndroidRuntime(12776): 	at java lang Thread run(Thread java:818)_x000D_
   </t>
  </si>
  <si>
    <t>sw19-tug-morning11-61</t>
  </si>
  <si>
    <t>PAINT_030 App crash on tool use "Take picture"</t>
  </si>
  <si>
    <t xml:space="preserve">When starting the app and choosing the  Take picture  functionality from _x000D_
the tool palette the app crashes  _x000D_
_x000D_
   crash log is attached _x000D_
    it looks like there is a permission problem in android security which_x000D_
causes the crash_x000D_
_x000D_
_x000D_
_x000D_
  paintu Bug (https:  user images githubusercontent com 34011017 59329457 32de1b80 8cef 11e9 88b4 789e7f0e8a6c png)_x000D_
</t>
  </si>
  <si>
    <t>LawnchairLauncher-lawnchair-1584</t>
  </si>
  <si>
    <t>Lawnchair will crash if theme is set to "Follow daylight" but system location is turned off</t>
  </si>
  <si>
    <t xml:space="preserve">OnePlus 6  OxygenOS 9 0 3  Lawnchair 2108_x000D_
_x000D_
When  Follow daylight  is set after location permission is granted  Lawnchair would crash if location was turned off  This is probably a bug because showing a warning message would be way more appropriate than crashing the whole launcher _x000D_
_x000D_
Edit: actually  this will happen more than just the first time  I m guessing Lawnchair needs to get location again after a certain amount of time  after an update or after a system restart </t>
  </si>
  <si>
    <t>AEFeinstein-mtg-familiar-469</t>
  </si>
  <si>
    <t>Fix Crash When Searching For All Colors</t>
  </si>
  <si>
    <t xml:space="preserve">  Hello  Love the app  I found a setting that is crashing the app  I ve attached screenshots of my settings_x000D_
  _x000D_
  It seems like having all of the colour identity bubbles active with  may include any colour(s)  is the issue _x000D_
  _x000D_
  Not deal breaking  but an interesting crash _x000D_
  _x000D_
  _x000D_
  Thanks for the great work </t>
  </si>
  <si>
    <t>nikita36078-J2ME-Loader-534</t>
  </si>
  <si>
    <t>Rollercoaster Revolution 99 Tracks bug</t>
  </si>
  <si>
    <t xml:space="preserve">Emulator version: 1 5 0_x000D_
Game version: 1 0 9_x000D_
Game resolution: 240 320_x000D_
_x000D_
1  When cart crashed and show prompt to restart  music won t stop playing _x000D_
In original phone and previous version  music stopped when prompt restart level showed and music play again when choose them _x000D_
_x000D_
2  When playing at third times or restarting level twice  Game become mute completely until exit the game </t>
  </si>
  <si>
    <t>ThomasGaubert-zephyr-58</t>
  </si>
  <si>
    <t>[v2] App crashes without connection set</t>
  </si>
  <si>
    <t>The android app for v2 crashes  when no connection settings are set and I click on the start button on the bottom _x000D_
_x000D_
Version: 2 0 0 beta b45d554</t>
  </si>
  <si>
    <t>Kashish-Sharma-TheNetwork-open-5</t>
  </si>
  <si>
    <t>Good One But Crashes in Many Places.</t>
  </si>
  <si>
    <t xml:space="preserve">  When i use Landscape mode and rotate phone app crashes  _x000D_
  Even after creation of Event it will not show up in the list and app crashes when you open event _x000D_
_x000D_
Will there be any development happening here anytime soon  If maintained actively this will be a good repo  </t>
  </si>
  <si>
    <t>fossasia-pslab-android-1783</t>
  </si>
  <si>
    <t>Robotic Arm: App Constantly Crashes when Hitting Saving Button</t>
  </si>
  <si>
    <t>Trying to save using the saving button results in app crash on Xiaomi Redmi Android 7 1 2</t>
  </si>
  <si>
    <t>niclabs-adkintunmobile-androidclient-205</t>
  </si>
  <si>
    <t>ActiveMeasurementsPreferenceFragment.java line 96</t>
  </si>
  <si>
    <t xml:space="preserve">     in 
  Number of crashes: 1
  Impacted devices: 1
There s a lot more information about this crash on crashlytics com:
 https:  fabric io niclabs android apps cl niclabs adkintunmobile issues dae13d7304b1a08cf81b7527eb9030d5 utm medium service hooks github utm source issue impact (https:  fabric io niclabs android apps cl niclabs adkintunmobile issues dae13d7304b1a08cf81b7527eb9030d5 utm medium service hooks github utm source issue impact)</t>
  </si>
  <si>
    <t>cgeo-cgeo-7668</t>
  </si>
  <si>
    <t>(all) Authorization does not work anymore</t>
  </si>
  <si>
    <t xml:space="preserve">  Describe the bug:  _x000D_
Authorization does not work anymore_x000D_
_x000D_
  To Reproduce:  _x000D_
try to login connect to one of the platforms or services_x000D_
_x000D_
  Actual behavior state after performing these steps:  _x000D_
The login breaks or hangs or c:geo craches_x000D_
(e g  geocaching com  oc de    appcrash  _x000D_
  geokrety org    hang   see screenshot)_x000D_
_x000D_
  Expected behavior state after performing these steps:  _x000D_
login success_x000D_
_x000D_
  Version of c:geo used:  _x000D_
current master_x000D_
_x000D_
  Is the problem reproducible:  _x000D_
Yes _x000D_
_x000D_
  Screenshots:  _x000D_
  20190609 174600 (https:  user images githubusercontent com 32555742 59161560 95170080 8ae4 11e9 932a 9ccd1295b7ba png)_x000D_
_x000D_
  System information:  _x000D_
Samsung S6_x000D_
_x000D_
  Additional information  _x000D_
Maybe a problem with the lambda code form in the  AuthorizationActivity classes _x000D_
_x000D_
Stack trace when reattaching to the hanging app:_x000D_
   _x000D_
E AndroidRuntime: FATAL EXCEPTION: network  1_x000D_
    Process: cgeo geocaching  PID: 4360_x000D_
    java lang AssertionError: impossible_x000D_
        at java lang Enum 1 create(Enum java:269)_x000D_
        at java lang Enum 1 create(Enum java:260)_x000D_
        at libcore util BasicLruCache get(BasicLruCache java:58)_x000D_
        at java lang Enum getSharedConstants(Enum java:286)_x000D_
        at java lang Class getEnumConstantsShared(Class java:2291)_x000D_
        at java lang Class getEnumConstants(Class java:2279)_x000D_
        at com fasterxml jackson databind cfg MapperConfig collectFeatureDefaults(MapperConfig java:99)_x000D_
        at com fasterxml jackson databind cfg MapperConfigBase  clinit (MapperConfigBase java:32)_x000D_
        at com fasterxml jackson databind ObjectMapper  init (ObjectMapper java:565)_x000D_
        at com fasterxml jackson databind ObjectMapper  init (ObjectMapper java:480)_x000D_
        at cgeo geocaching network Network  clinit (Network java:71)_x000D_
        at cgeo geocaching network Network requestJSON(Network java:496)_x000D_
        at cgeo geocaching network StatusUpdater lambda static 0(StatusUpdater java:95)_x000D_
        at cgeo geocaching network    Lambda StatusUpdater Dl9oq5EHQ1l7w5i7L9s1Ft 3XTo run(lambda)_x000D_
        at io reactivex Scheduler PeriodicDirectTask run(Scheduler java:532)_x000D_
        at io reactivex Scheduler Worker PeriodicTask run(Scheduler java:479)_x000D_
        at io reactivex internal schedulers ExecutorScheduler ExecutorWorker BooleanRunnable run(ExecutorScheduler java:288)_x000D_
        at io reactivex internal schedulers ExecutorScheduler ExecutorWorker run(ExecutorScheduler java:253)_x000D_
        at java util concurrent ThreadPoolExecutor runWorker(ThreadPoolExecutor java:1133)_x000D_
        at java util concurrent ThreadPoolExecutor Worker run(ThreadPoolExecutor java:607)_x000D_
        at java lang Thread run(Thread java:762)_x000D_
     Caused by: java lang NoSuchMethodException: values   _x000D_
        at java lang Class getMethod(Class java:1981)_x000D_
        at java lang Class getDeclaredMethod(Class java:1960)_x000D_
        at java lang Enum 1 create(Enum java:265)_x000D_
        at java lang Enum 1 create(Enum java:260) _x000D_
        at libcore util BasicLruCache get(BasicLruCache java:58) _x000D_
        at java lang Enum getSharedConstants(Enum java:286) _x000D_
        at java lang Class getEnumConstantsShared(Class java:2291) _x000D_
        at java lang Class getEnumConstants(Class java:2279) _x000D_
        at com fasterxml jackson databind cfg MapperConfig collectFeatureDefaults(MapperConfig java:99) _x000D_
        at com fasterxml jackson databind cfg MapperConfigBase  clinit (MapperConfigBase java:32) _x000D_
        at com fasterxml jackson databind ObjectMapper  init (ObjectMapper java:565) _x000D_
        at com fasterxml jackson databind ObjectMapper  init (ObjectMapper java:480) _x000D_
        at cgeo geocaching network Network  clinit (Network java:71) _x000D_
        at cgeo geocaching network Network requestJSON(Network java:496) _x000D_
        at cgeo geocaching network StatusUpdater lambda static 0(StatusUpdater java:95) _x000D_
        at cgeo geocaching network    Lambda StatusUpdater Dl9oq5EHQ1l7w5i7L9s1Ft 3XTo run(lambda) _x000D_
        at io reactivex Scheduler PeriodicDirectTask run(Scheduler java:532) _x000D_
        at io reactivex Scheduler Worker PeriodicTask run(Scheduler java:479) _x000D_
        at io reactivex internal schedulers ExecutorScheduler ExecutorWorker BooleanRunnable run(ExecutorScheduler java:288) _x000D_
        at io reactivex internal schedulers ExecutorScheduler ExecutorWorker run(ExecutorScheduler java:253) _x000D_
        at java util concurrent ThreadPoolExecutor runWorker(ThreadPoolExecutor java:1133) _x000D_
        at java util concurrent ThreadPoolExecutor Worker run(ThreadPoolExecutor java:607) _x000D_
        at java lang Thread run(Thread java:762) _x000D_
_x000D_
   _x000D_
</t>
  </si>
  <si>
    <t>fennifith-Alarmio-47</t>
  </si>
  <si>
    <t xml:space="preserve">(BUG) The app gets crashes when I click about &amp; OSS licenses </t>
  </si>
  <si>
    <t xml:space="preserve">  Project Information_x000D_
_x000D_
  Repository: https:  github com fennifith Alarmio_x000D_
  Project Name: Alarmio_x000D_
  My Github Account: https:  github com friendsmobile_x000D_
Download the application :  Here (https:  play google com store apps details id me jfenn alarmio)_x000D_
_x000D_
  Expected behavior_x000D_
_x000D_
When I click on About   OSS Licenses  the application should not be crashed when I click on  About   OSS Licenses should show details of the application _x000D_
_x000D_
  Actual behavior_x000D_
_x000D_
 The app gets crashes when I click about   OSS licenses _x000D_
_x000D_
_x000D_
  How to reproduce_x000D_
_x000D_
  open the application_x000D_
  Go to the setting_x000D_
  click on about   OSS licenses _x000D_
  Note the BUG_x000D_
_x000D_
  Browser App version: 1 0 1_x000D_
  Operating system: 6 0_x000D_
_x000D_
_x000D_
  Recording Of The Bug_x000D_
_x000D_
  20190608 163718 (https:  user images githubusercontent com 51118734 59146792 68a99a00 89a7 11e9 87f5 82f2463bc66b gif)_x000D_
_x000D_
_x000D_
_x000D_
_x000D_
  Logcat_x000D_
_x000D_
 pre  code D AndroidRuntime(32068): Shutting down VM_x000D_
_x000D_
E AndroidRuntime(32068): FATAL EXCEPTION: main_x000D_
_x000D_
E AndroidRuntime(32068): Process: me jfenn alarmio  PID: 32068_x000D_
_x000D_
E AndroidRuntime(32068): android content res Resources NotFoundException: File res drawable ic attribouter github xml from drawable resource ID  0x7f080079_x000D_
_x000D_
E AndroidRuntime(32068): 	at android content res Resources loadDrawableForCookie(Resources java:2946)_x000D_
_x000D_
E AndroidRuntime(32068): 	at android content res Resources loadDrawable(Resources java:2821)_x000D_
_x000D_
E AndroidRuntime(32068): 	at android content res Resources getDrawable(Resources java:1050)_x000D_
_x000D_
E AndroidRuntime(32068): 	at android content res Resources getDrawable(Resources java:1032)_x000D_
_x000D_
E AndroidRuntime(32068): 	at android content Context getDrawable(Context java:403)_x000D_
_x000D_
E AndroidRuntime(32068): 	at androidx core a a a(Unknown Source)_x000D_
_x000D_
E AndroidRuntime(32068): 	at androidx appcompat widget i a(Unknown Source)_x000D_
_x000D_
E AndroidRuntime(32068): 	at androidx appcompat widget i a(Unknown Source)_x000D_
_x000D_
E AndroidRuntime(32068): 	at androidx appcompat a a a b(Unknown Source)_x000D_
_x000D_
E AndroidRuntime(32068): 	at androidx appcompat widget m a(Unknown Source)_x000D_
_x000D_
E AndroidRuntime(32068): 	at androidx appcompat widget n setImageResource(Unknown Source)_x000D_
_x000D_
E AndroidRuntime(32068): 	at me jfenn attribouter f c a(Unknown Source)_x000D_
_x000D_
E AndroidRuntime(32068): 	at me jfenn attribouter wedges link LinkWedge a(Unknown Source)_x000D_
_x000D_
E AndroidRuntime(32068): 	at me jfenn attribouter wedges link LinkWedge a(Unknown Source)_x000D_
_x000D_
E AndroidRuntime(32068): 	at me jfenn attribouter wedges link LinkWedge a(Unknown Source)_x000D_
_x000D_
E AndroidRuntime(32068): 	at me jfenn attribouter a a a(Unknown Source)_x000D_
_x000D_
E AndroidRuntime(32068): 	at me jfenn attribouter a a a(Unknown Source)_x000D_
_x000D_
E AndroidRuntime(32068): 	at androidx recyclerview widget RecyclerView a a(Unknown Source)_x000D_
_x000D_
E AndroidRuntime(32068): 	at androidx recyclerview widget RecyclerView a b(Unknown Source)_x000D_
_x000D_
E AndroidRuntime(32068): 	at androidx recyclerview widget RecyclerView p a(Unknown Source)_x000D_
_x000D_
E AndroidRuntime(32068): 	at androidx recyclerview widget RecyclerView p a(Unknown Source)_x000D_
_x000D_
E AndroidRuntime(32068): 	at androidx recyclerview widget RecyclerView p a(Unknown Source)_x000D_
_x000D_
E AndroidRuntime(32068): 	at androidx recyclerview widget RecyclerView p c(Unknown Source)_x000D_
_x000D_
E AndroidRuntime(32068): 	at com google android flexbox FlexboxLayoutManager o(Unknown Source)_x000D_
_x000D_
E AndroidRuntime(32068): 	at com google android flexbox FlexboxLayoutManager a(Unknown Source)_x000D_
_x000D_
E AndroidRuntime(32068): 	at com google android flexbox d a(Unknown Source)_x000D_
_x000D_
E AndroidRuntime(32068): 	at com google android flexbox d a(Unknown Source)_x000D_
_x000D_
E AndroidRuntime(32068): 	at com google android flexbox FlexboxLayoutManager q(Unknown Source)_x000D_
_x000D_
E AndroidRuntime(32068): 	at com google android flexbox FlexboxLayoutManager c(Unknown Source)_x000D_
_x000D_
E AndroidRuntime(32068): 	at androidx recyclerview widget RecyclerView N(Unknown Source)_x000D_
_x000D_
E AndroidRuntime(32068): 	at androidx recyclerview widget RecyclerView onMeasure(Unknown Source)_x000D_
_x000D_
E AndroidRuntime(32068): 	at android view View measure(View java:17951)_x000D_
_x000D_
E AndroidRuntime(32068): 	at android view ViewGroup measureChildWithMargins(ViewGroup java:5797)_x000D_
_x000D_
E AndroidRuntime(32068): 	at android widget LinearLayout measureChildBeforeLayout(LinearLayout java:1436)_x000D_
_x000D_
E AndroidRuntime(32068): 	at android widget LinearLayout measureVertical(LinearLayout java:722)_x000D_
_x000D_
E AndroidRuntime(32068): 	at android widget LinearLayout onMeasure(LinearLayout java:613)_x000D_
_x000D_
E AndroidRuntime(32068): 	at android view View measure(View java:17951)_x000D_
_x000D_
E AndroidRuntime(32068): 	at androidx recyclerview widget RecyclerView i a (Unknown Source)_x000D_
_x000D_
E AndroidRuntime(32068): 	at androidx recyclerview widget LinearLayoutManager a(Unknown Source)_x000D_
_x000D_
E AndroidRuntime(32068): 	at androidx recyclerview widget LinearLayoutManager a(Unknown Source)_x000D_
_x000D_
E AndroidRuntime(32068): 	at androidx recyclerview widget LinearLayoutManager c(Unknown Source)_x000D_
_x000D_
E AndroidRuntime(32068): 	at androidx recyclerview widget RecyclerView N(Unknown Source)_x000D_
_x000D_
E AndroidRuntime(32068): 	at androidx recyclerview widget RecyclerView q(Unknown Source)_x000D_
_x000D_
E AndroidRuntime(32068): 	at androidx recyclerview widget RecyclerView onLayout(Unknown Source)_x000D_
_x000D_
E AndroidRuntime(32068): 	at android view View layout(View java:16075)_x000D_
_x000D_
E AndroidRuntime(32068): 	at android view ViewGroup layout(ViewGroup java:5300)_x000D_
_x000D_
E AndroidRuntime(32068): 	at android widget FrameLayout layoutChildren(FrameLayout java:579)_x000D_
_x000D_
E AndroidRuntime(32068): 	at android widget FrameLayout onLayout(FrameLayout java:514)_x000D_
_x000D_
E AndroidRuntime(32068): 	at android view View layout(View java:16075)_x000D_
_x000D_
E AndroidRuntime(32068): 	at android view ViewGroup layout(ViewGroup java:5300)_x000D_
_x000D_
E AndroidRuntime(32068): 	at com google android material appbar c b(Unknown Source)_x000D_
_x000D_
E AndroidRuntime(32068): 	at com google android material appbar d a(Unknown Source)_x000D_
_x000D_
E AndroidRuntime(32068): 	at com google android material appbar AppBarLayout ScrollingViewBehavior a(Unknown Source)_x000D_
_x000D_
E AndroidRuntime(32068): 	at androidx coordinatorlayout widget CoordinatorLayout onLayout(Unknown Source)_x000D_
_x000D_
E AndroidRuntime(32068): 	at android view View layout(View java:16075)_x000D_
_x000D_
E AndroidRuntime(32068): 	at android view ViewGroup layout(ViewGroup java:5300)_x000D_
_x000D_
E AndroidRuntime(32068): 	at android widget FrameLayout layoutChildren(FrameLayout java:579)_x000D_
_x000D_
E AndroidRuntime(32068): 	at android widget FrameLayout onLayout(FrameLayout java:514)_x000D_
_x000D_
E AndroidRuntime(32068): 	at android view View layout(View java:16075)_x000D_
_x000D_
E AndroidRuntime(32068): 	at android view ViewGroup layout(ViewGroup java:5300)_x000D_
_x000D_
E AndroidRuntime(32068): 	at android widget LinearLayout setChildFrame(LinearLayout java:1703)_x000D_
_x000D_
E AndroidRuntime(32068): 	at android widget LinearLayout layoutVertical(LinearLayout java:1557)_x000D_
_x000D_
E AndroidRuntime(32068): 	at android widget Li_x000D_
  code   pre _x000D_
_x000D_
_x000D_
</t>
  </si>
  <si>
    <t>nextcloud-android-4129</t>
  </si>
  <si>
    <t>App crashes upon start.</t>
  </si>
  <si>
    <t xml:space="preserve">    Actual behaviour_x000D_
  Tell us what happens  _x000D_
Since update to what seems to be NC 3 7 0 RC2  NC is crashing upon start  I have no way to connect to my servers using the app  and update from my phone obviously cannot be performed _x000D_
I wish there was a way to revert to a state prior to this update _x000D_
In a nutshell  I am in dead water _x000D_
I am thinking  that maybe I should pull out of the Beta testing program if no fall back options is made available _x000D_
_x000D_
    Expected behaviour_x000D_
  Tell us what should happen It should work  Nothing more simple than that _x000D_
 _x000D_
    Steps to reproduce_x000D_
1  Start NC _x000D_
_x000D_
_x000D_
    Environment data_x000D_
Android version:_x000D_
4 4 2_x000D_
Device model: _x000D_
SGH I747M_x000D_
Stock or customized system:_x000D_
Stock_x000D_
Nextcloud app version:_x000D_
3 7 0 RC2_x000D_
Nextcloud server version:_x000D_
16 0 1_x000D_
15 0 8_x000D_
_x000D_
    Logs_x000D_
Not available_x000D_
     Web server error log_x000D_
   _x000D_
Insert your webserver log here_x000D_
   Not relevat as crash does also occur without wifi connection _x000D_
_x000D_
     Nextcloud log (data nextcloud log)_x000D_
   Not relevat as crash does also occur without wifi connection _x000D_
_x000D_
Insert your Nextcloud log here_x000D_
   _x000D_
Report from my phone was sent earlier today _x000D_
</t>
  </si>
  <si>
    <t>fossasia-pslab-android-1779</t>
  </si>
  <si>
    <t>Thermometer crash reported in Google Play Store</t>
  </si>
  <si>
    <t xml:space="preserve">  Actual Behaviour  _x000D_
_x000D_
Google Play Device testing has reported an issue in Thermometer crashing when selecting SHT sensor in thermometer_x000D_
_x000D_
  Expected Behaviour  _x000D_
_x000D_
No crashes_x000D_
_x000D_
  Steps to reproduce it  _x000D_
_x000D_
1  Open app_x000D_
2  Go to Thermometer_x000D_
3  Open configurations_x000D_
4  Set sensor to SHT21 sensor_x000D_
_x000D_
  LogCat for the issue  _x000D_
   _x000D_
FATAL EXCEPTION: ControllerMessenger_x000D_
Process: io pslab  PID: 28552_x000D_
java lang RuntimeException: Unable to resume activity  io pslab io pslab activity ThermometerActivity : java lang ArrayIndexOutOfBoundsException: length 2  index 2_x000D_
	at android app ActivityThread performResumeActivity(ActivityThread java:3788)_x000D_
	at android app ActivityThread handleResumeActivity(ActivityThread java:3828)_x000D_
	at android app ActivityThread H handleMessage(ActivityThread java:1746)_x000D_
	at android os Handler dispatchMessage(Handler java:105)_x000D_
	at androidx test espresso base Interrogator a(Interrogator java:19)_x000D_
	at androidx test espresso base UiControllerImpl a(UiControllerImpl java:166)_x000D_
	at androidx test espresso base UiControllerImpl a(UiControllerImpl java:158)_x000D_
	at androidx test espresso base UiControllerImpl a(UiControllerImpl java:34)_x000D_
	at androidx test espresso action MotionEvents a(MotionEvents java:77)_x000D_
	at androidx test espresso action MotionEvents a(MotionEvents java:52)_x000D_
	at androidx test espresso action Tap c(Tap java:8)_x000D_
	at androidx test espresso action Tap b(Tap java:18)_x000D_
	at androidx test espresso action Tap 1 a(Tap java:3)_x000D_
	at androidx test espresso action GeneralClickAction perform(GeneralClickAction java:22)_x000D_
	at androidx test espresso ViewInteraction SingleExecutionViewAction perform(ViewInteraction java:9)_x000D_
	at androidx test espresso ViewInteraction a(ViewInteraction java:79)_x000D_
	at androidx test espresso ViewInteraction a(ViewInteraction java:96)_x000D_
	at androidx test espresso ViewInteraction 1 call(ViewInteraction java:3)_x000D_
	at java util concurrent FutureTask run(FutureTask java:266)_x000D_
	at android os Handler handleCallback(Handler java:789)_x000D_
	at android os Handler dispatchMessage(Handler java:98)_x000D_
	at android os Looper loop(Looper java:164)_x000D_
	at android app ActivityThread main(ActivityThread java:6938)_x000D_
	at java lang reflect Method invoke(Native Method)_x000D_
	at com android internal os Zygote MethodAndArgsCaller run(Zygote java:327)_x000D_
	at com android internal os ZygoteInit main(ZygoteInit java:1374)_x000D_
Caused by: java lang ArrayIndexOutOfBoundsException: length 2  index 2_x000D_
	at io pslab fragment ThermometerDataFragment initiateThermoSensor(ThermometerDataFragment java:559)_x000D_
	at io pslab fragment ThermometerDataFragment onResume(ThermometerDataFragment java:162)_x000D_
	at android support v4 app Fragment performResume(Fragment java:2498)_x000D_
	at android support v4 app FragmentManagerImpl moveToState(FragmentManager java:1501)_x000D_
	at android support v4 app FragmentManagerImpl moveFragmentToExpectedState(FragmentManager java:1784)_x000D_
	at android support v4 app FragmentManagerImpl moveToState(FragmentManager java:1852)_x000D_
	at android support v4 app FragmentManagerImpl dispatchStateChange(FragmentManager java:3269)_x000D_
	at android support v4 app FragmentManagerImpl dispatchResume(FragmentManager java:3241)_x000D_
	at android support v4 app FragmentController dispatchResume(FragmentController java:223)_x000D_
	at android support v4 app FragmentActivity onResumeFragments(FragmentActivity java:538)_x000D_
	at android support v4 app FragmentActivity onPostResume(FragmentActivity java:527)_x000D_
	at android support v7 app AppCompatActivity onPostResume(AppCompatActivity java:172)_x000D_
	at android app Activity performResume(Activity java:7368)_x000D_
	at android app ActivityThread performResumeActivity(ActivityThread java:3763)_x000D_
   _x000D_
_x000D_
  Screenshots of the issue  _x000D_
_x000D_
  Not available_x000D_
_x000D_
  Would you like to work on the issue   _x000D_
_x000D_
GSoC issue_x000D_
</t>
  </si>
  <si>
    <t>oliexdev-openScale-470</t>
  </si>
  <si>
    <t>Crash with Beurer BF700</t>
  </si>
  <si>
    <t xml:space="preserve">App (v2 1 0 from F droid) crashes with the following stack trace while taking a measurement  I am unable to complete it and it does not get logged   stored:_x000D_
_x000D_
Build version: 2 1 0 _x000D_
Build date: 1979 11 30 01:00:00 _x000D_
Current date: 2019 06 07 00:51:31 _x000D_
Device: OnePlus ONEPLUS A3003 _x000D_
 _x000D_
Stack trace:  _x000D_
java lang NullPointerException: Attempt to read from field  boolean com health openscale core bluetooth BluetoothBeurerSanitas RemoteUser isNew  on a null object reference_x000D_
	at com health openscale core bluetooth BluetoothBeurerSanitas onNextStep(BluetoothBeurerSanitas java:237)_x000D_
	at com health openscale core bluetooth BluetoothCommunication nextMachineStep(BluetoothCommunication java:434)_x000D_
	at com health openscale core bluetooth BluetoothCommunication access 000(BluetoothCommunication java:44)_x000D_
	at com health openscale core bluetooth BluetoothCommunication 1 onCharacteristicWrite(BluetoothCommunication java:327)_x000D_
	at com welie blessed BluetoothPeripheral 1 9 run(BluetoothPeripheral java:563)_x000D_
	at android os Handler handleCallback(Handler java:789)_x000D_
	at android os Handler dispatchMessage(Handler java:98)_x000D_
	at android os Looper loop(Looper java:164)_x000D_
	at android app ActivityThread main(ActivityThread java:6798)_x000D_
	at java lang reflect Method invoke(Native Method)_x000D_
	at com android internal os Zygote MethodAndArgsCaller run(Zygote java:240)_x000D_
	at com android internal os ZygoteInit main(ZygoteInit java:767)_x000D_
_x000D_
Happens all the time  : ( Sometimes it also seems to take quite long until it says  connected       </t>
  </si>
  <si>
    <t>andOTP-andOTP-356</t>
  </si>
  <si>
    <t>Add fokus to pin/password at login</t>
  </si>
  <si>
    <t xml:space="preserve">     General information_x000D_
_x000D_
    App version:   0 6 2_x000D_
    App source:   Google Play and GitHub_x000D_
    Android Version:   API 28 (Emulator Pixel2)  API 23 (Emulator)_x000D_
    Custom ROM:   nope_x000D_
_x000D_
     Expected result_x000D_
  What is expected    _x000D_
When starting the app with password pin protection  I would expect the input field to have focus directly at startup  This would improve the user experience by eliminate unnecessary typing into the input field _x000D_
  What does happen instead   _x000D_
Currently I start this application  Do a tap on the input field to gain focus and enter my pin password  After this I either tap on the login button or the enter key to unlock the application _x000D_
     Logcat_x000D_
Sorry  no logcat since this is a improvement without crash or exception _x000D_
    Steps to reproduce_x000D_
  start the application_x000D_
  tap the input field</t>
  </si>
  <si>
    <t>nextcloud-android-4121</t>
  </si>
  <si>
    <t>mp4 access crashes latest dev App</t>
  </si>
  <si>
    <t xml:space="preserve">Hi nextcloudies _x000D_
_x000D_
ONLY on DEV app try to play mp4 videos crashes the app _x000D_
_x000D_
Logcat    _x000D_
_x000D_
06 06 13:18:45 291 27949  3233 D PlatformJobService: Run job  request id 2  tag OfflineSyncJob  transient false   waited 02:59:55 ( 5 days)  interval 00:15:00  flex 00:05:00_x000D_
06 06 13:18:45 305 27949  3233 I JobExecutor: Executing request id 2  tag OfflineSyncJob  transient false   context PlatformJobService_x000D_
06 06 13:18:45 319 27949  3242 D PlatformJobService: Run job  request id 193  tag MediaFoldersDetectionJob  transient false   waited 04:22:35  interval 00:15:00  flex 00:05:00_x000D_
06 06 13:18:45 320 27949  3242 I JobExecutor: Executing request id 193  tag MediaFoldersDetectionJob  transient false   context PlatformJobService_x000D_
06 06 13:18:45 321 27949  3243 I JobExecutor: Finished job id 2  finished true  result SUCCESS  canceled false  periodic true  class OfflineSyncJob  tag OfflineSyncJob _x000D_
06 06 13:18:45 324 27949  3240 D PlatformJobService: Run job  request id 192  tag FilesSyncJob  transient false   waited 04:22:35  interval 00:15:00  flex 00:05:00_x000D_
06 06 13:18:45 336 27949  3240 I JobExecutor: Executing request id 192  tag FilesSyncJob  transient false   context PlatformJobService_x000D_
06 06 13:18:45 375 27949  3233 D PlatformJobService: Finished job  request id 2  tag OfflineSyncJob  transient false  SUCCESS_x000D_
06 06 13:18:45 426 27949  3248 I JobExecutor: Finished job id 192  finished true  result SUCCESS  canceled false  periodic true  class FilesSyncJob  tag FilesSyncJob _x000D_
06 06 13:18:45 437 27949  3240 D PlatformJobService: Finished job  request id 192  tag FilesSyncJob  transient false  SUCCESS_x000D_
06 06 13:18:45 511 27949  3246 D MediaProvider: Reading images for 06_x000D_
06 06 13:18:45 538 27949  3246 D MediaProvider: Reading images for Camera_x000D_
06 06 13:18:45 564 27949  3246 D MediaProvider: Reading images for PIXEL PIE_x000D_
06 06 13:18:45 596 27949  3246 D MediaProvider: Reading images for Screenshots_x000D_
06 06 13:18:45 637 27949  3246 D MediaProvider: Reading images for WhatsApp Images_x000D_
06 06 13:18:45 673 27949  3246 D MediaProvider: Reading videos for WhatsApp Video_x000D_
06 06 13:18:45 723 27949  3246 V ArbitraryDataProvider: Updating arbitrary data with cloud id: global key: media folders value:   imageMediaFolders :   storage emulated 0 DCIM Camera    storage emulated 0 Pictures PIXEL PIE    storage emulated 0 DCIM Screenshots    storage emulated 0 WhatsApp Media WhatsApp Images    storage emulated 0 WhatsApp Media WhatsApp Video    videoMediaFolders :   _x000D_
06 06 13:18:45 730 27949  3246 I JobExecutor: Finished job id 193  finished true  result SUCCESS  canceled false  periodic true  class MediaFoldersDetectionJob  tag MediaFoldersDetectionJob _x000D_
06 06 13:18:45 735 27949  3242 D PlatformJobService: Finished job  request id 193  tag MediaFoldersDetectionJob  transient false  SUCCESS_x000D_
06 06 13:30:21 772 27949  4594 D PlatformJobService: Run job  request id 192  tag FilesSyncJob  transient false   waited 04:34:11  interval 00:15:00  flex 00:05:00_x000D_
06 06 13:30:21 774 27949  4594 I JobExecutor: Executing request id 192  tag FilesSyncJob  transient false   context PlatformJobService_x000D_
06 06 13:30:21 996 27949  4593 D PlatformJobService: Run job  request id 2  tag OfflineSyncJob  transient false   waited 03:11:32 ( 5 days)  interval 00:15:00  flex 00:05:00_x000D_
06 06 13:30:21 996 27949  4593 I JobExecutor: Executing request id 2  tag OfflineSyncJob  transient false   context PlatformJobService_x000D_
06 06 13:30:22 041 27949  4619 D OwnCloudClient  20: Creating OwnCloudClient_x000D_
06 06 13:30:22 047 27949  4619 D AccountUtils: Restoring cookies for  user id  nextcloud  FQDN _x000D_
06 06 13:30:22 053 27949  4619 D OwnCloudClient  20: REQUEST GET  index php 204_x000D_
06 06 13:30:22 060 27949  4619 V   NativeCrypto: SSL shutdown failed: ssl 0x766729b5c8: I O error during system call  Broken pipe  _x000D_
06 06 13:30:22 062 27949  4619 D AdvancedSslSocketFactory: Creating SSL Socket with remote nextcloud  FQDN :443  local null:0  params: org apache commons httpclient params HttpConnectionParams 87ce254_x000D_
06 06 13:30:22 063 27949  4619 D AdvancedSslSocketFactory:      with connection timeout 60000 and socket timeout 60000_x000D_
06 06 13:30:22 176 27949  4619 I ServerNameIndicator: SSLSocket implementation: com google android gms org conscrypt Java8FileDescriptorSocket_x000D_
06 06 13:30:22 176 27949  4619 I ServerNameIndicator: SNI done  hostname: nextcloud  FQDN _x000D_
06 06 13:30:22 227 27949  4623 D PlatformJobService: Run job  request id 193  tag MediaFoldersDetectionJob  transient false   waited 04:34:12  interval 00:15:00  flex 00:05:00_x000D_
06 06 13:30:22 228 27949  4623 I JobExecutor: Executing request id 193  tag MediaFoldersDetectionJob  transient false   context PlatformJobService_x000D_
06 06 13:30:22 281 27949  4637 D OwnCloudClient  21: Creating OwnCloudClient_x000D_
06 06 13:30:22 288 27949  4637 D AccountUtils: Restoring cookies for  user id  nextcloud  FQDN _x000D_
06 06 13:30:22 290 27949  4637 D OwnCloudClient  21: REQUEST GET  index php 204_x000D_
06 06 13:30:22 315 27949  4637 V NativeCrypto: SSL shutdown failed: ssl 0x766729ce88: I O error during system call  Broken pipe_x000D_
06 06 13:30:22 317 27949  4597 I JobExecutor: Finished job id 192  finished true  result SUCCESS  canceled false  periodic true  class FilesSyncJob  tag FilesSyncJob _x000D_
06 06 13:30:22 320 27949  4637 D AdvancedSslSocketFactory: Creating SSL Socket with remote nextcloud  FQDN :443  local null:0  params: org apache commons httpclient params HttpConnectionParams d5586de_x000D_
06 06 13:30:22 321 27949  4637 D AdvancedSslSocketFactory:      with connection timeout 60000 and socket timeout 60000_x000D_
06 06 13:30:22 322 27949  4637 I ServerNameIndicator: SNI done  hostname: nextcloud  FQDN _x000D_
06 06 13:30:22 417 27949  4594 D PlatformJobService: Finished job  request id 192  tag FilesSyncJob  transient false  SUCCESS_x000D_
06 06 13:30:22 492 27949  4641 D MediaProvider: Reading images for 06_x000D_
06 06 13:30:22 529 27949  4641 D MediaProvider: Reading images for Camera_x000D_
06 06 13:30:22 564 27949  4641 D MediaProvider: Reading images for PIXEL PIE_x000D_
06 06 13:30:22 613 27949  4641 D MediaProvider: Reading images for Screenshots_x000D_
06 06 13:30:22 632 27949  4641 D MediaProvider: Reading images for WhatsApp Images_x000D_
06 06 13:30:22 683 27949  4641 D MediaProvider: Reading videos for WhatsApp Video_x000D_
06 06 13:30:22 778 27949  4641 V ArbitraryDataProvider: Updating arbitrary data with cloud id: global key: media folders value:   imageMediaFolders :   storage emulated 0 DCIM Camera    storage emulated 0 Pictures PIXEL PIE    storage emulated 0 DCIM Screenshots    storage emulated 0 WhatsApp Media WhatsApp Images    storage emulated 0 WhatsApp Media WhatsApp Video    videoMediaFolders :   _x000D_
06 06 13:30:22 905 27949  4641 I JobExecutor: Finished job id 193  finished true  result SUCCESS  canceled false  periodic true  class MediaFoldersDetectionJob  tag MediaFoldersDetectionJob _x000D_
06 06 13:30:23 107 27949  4623 D PlatformJobService: Finished job  request id 193  tag MediaFoldersDetectionJob  transient false  SUCCESS_x000D_
06 06 13:30:23 183 27949  4619 D OfflineSyncJob:  : enter_x000D_
06 06 13:30:23 194 27949  4637 D OwnCloudClient  22: Creating OwnCloudClient_x000D_
06 06 13:30:23 205 27949  4619 D OfflineSyncJob:  : currentEtag: _x000D_
06 06 13:30:23 208 27949  4637 D AccountUtils: Restoring cookies for  user id  nextcloud  FQDN _x000D_
06 06 13:30:23 211 27949  4637 D OwnCloudClient  22: REQUEST GET  index php 204_x000D_
06 06 13:30:23 229 27949  4619 D OwnCloudClient  1: REQUEST PROPFIND  remote php webdav _x000D_
06 06 13:30:23 777 27949  4619 D OfflineSyncJob:  : eTag unchanged_x000D_
06 06 13:30:23 786 27949  4619 I JobExecutor: Finished job id 2  finished true  result SUCCESS  canceled false  periodic true  class OfflineSyncJob  tag OfflineSyncJob _x000D_
06 06 13:30:23 794 27949  4593 D PlatformJobService: Finished job  request id 2  tag OfflineSyncJob  transient false  SUCCESS_x000D_
06 06 13:31:54 767  4861  6240 D ConnectivityService: filterNetworkStateForUid() uid: 10331  pid: 27949_x000D_
06 06 13:31:54 767  4861  6240 D ConnectivityService: filterNetworkStateForUid() uid: 10331  pid: 27949  networkInfo:  type: WIFI    state: CONNECTED CONNECTED  reason: (unspecified)  extra: (none)  failover: false  available: true  roaming: false _x000D_
06 06 13:31:54 770  4861  6500 D ConnectivityService: filterNetworkStateForUid() uid: 10331  pid: 27949_x000D_
</t>
  </si>
  <si>
    <t>jupancs-MailSync-42</t>
  </si>
  <si>
    <t>Laptop missing non-new email caused "Can not hanle IMAP connection"</t>
  </si>
  <si>
    <t xml:space="preserve">As the figure (attached below) is shown if for some reason the laptop doesn t have a non new email (to reproduce: for email B  you downloaded and stored it into the db last time  but you mistakenly cleared the database  then it won t be synchronized to the laptop)  when the laptop tries to fetch the latest email A  the laptop found it is missing email B  it gives you  Can not hanle IMAP connection  error  _x000D_
_x000D_
I attached the log here  From the log  you can see the IMAP went through all emails according to the MailFolder size  when it reached the email B s uid  it found there is no attribute and mimemessage for email B  the IMAP connection was cut off right away  then the program crashed _x000D_
_x000D_
Hope this would give you some hints _x000D_
 _x000D_
   _x000D_
Message:                   OK_x000D_
Message:                   IMAP4rev1 Server GreenMail v replaced  ready_x000D_
C: tag 1  command capability_x000D_
 MAP Line received :  1 capability_x000D_
IMAP Line received :  _x000D_
 _x000D_
    Capability    _x000D_
local service  capability response: CAPABILITY IMAP4rev1 LITERAL  SORT UIDPLUS_x000D_
Message:                   CAPABILITY IMAP4rev1 LITERAL  SORT UIDPLUS QUOTA_x000D_
Message:                   OK_x000D_
Message:                   completed _x000D_
IN THE COMMAND COMPLETE:          null_x000D_
C: tag 3  command login_x000D_
IMAP Line received :  3 login  _x000D_
IMAP Line received :   jupan686 gmail com   pjokk19940722  r n _x000D_
Login: jupan686 gmail com  pjokk19940722_x000D_
Message:                   OK_x000D_
Message:                   completed _x000D_
IN THE COMMAND COMPLETE:          null_x000D_
C: tag 4  command select_x000D_
IMAP Line received :  4 select  _x000D_
IMAP Line received :   INBOX  r n _x000D_
    Select    _x000D_
Message:                   FLAGS_x000D_
Message:                   ( Answered  Deleted  Draft  Flagged  Seen  NotPhishing  Phishing)_x000D_
Message:                   EXISTS_x000D_
Message:                   RECENT_x000D_
Message:                   OK_x000D_
Message:                   OK_x000D_
Select Command   Recent: 63  Exits: 63_x000D_
Message:                   OK_x000D_
Message:                   Message 5 is the first unseen_x000D_
Message:                   FLAGS_x000D_
Message:                   ( Answered  Deleted  Draft  Flagged  Seen  NotPhishing  Phishing)_x000D_
Message:                   OK_x000D_
Message:                   completed _x000D_
IN THE COMMAND COMPLETE:          READ WRITE_x000D_
C: tag 5  command getquotaroot_x000D_
IMAP Line received :  5 getquotaroot  _x000D_
Message:                   QUOTAROOT INBOX_x000D_
Message:                   OK_x000D_
Message:                   completed _x000D_
IN THE COMMAND COMPLETE:          null_x000D_
C: tag 6  command UID_x000D_
IMAP Line received :  6 UID  _x000D_
IMAP Line received :  fetch 1:  (FLAGS) r n _x000D_
    Fetch    _x000D_
Fetch Command   uids size: 63_x000D_
389 NO MimeMessage           _x000D_
389 NO Attibute           _x000D_
UID: 389_x000D_
msgDATA 1               FLAGS ( Seen) UID 389_x000D_
Message:                   FETCH_x000D_
Message:                   (FLAGS ( Seen) UID 389)_x000D_
391 NO MimeMessage           _x000D_
391 NO Attibute           _x000D_
UID: 391_x000D_
msgDATA 1               FLAGS ( Seen) UID 391_x000D_
Message:                   FETCH_x000D_
Message:                   (FLAGS ( Seen) UID 391)_x000D_
407 NO MimeMessage           _x000D_
407 NO Attibute           _x000D_
UID: 407_x000D_
msgDATA 1               FLAGS ( Seen) UID 407_x000D_
Message:                   FETCH_x000D_
Message:                   (FLAGS ( Seen) UID 407)_x000D_
408 NO MimeMessage           _x000D_
408 NO Attibute           _x000D_
UID: 408_x000D_
msgDATA 1               FLAGS ( Seen) UID 408_x000D_
Message:                   FETCH_x000D_
Message:                   (FLAGS ( Seen) UID 408)_x000D_
409 NO MimeMessage           _x000D_
409 NO Attibute           _x000D_
UID: 409_x000D_
msgDATA 1               FLAGS () UID 409_x000D_
Message:                   FETCH_x000D_
Message:                   (FLAGS () UID 409)_x000D_
410 NO MimeMessage           _x000D_
410 NO Attibute           _x000D_
UID: 410_x000D_
msgDATA 1               FLAGS () UID 410_x000D_
Message:                   FETCH_x000D_
Message:                   (FLAGS () UID 410)_x000D_
411 NO MimeMessage           _x000D_
411 NO Attibute           _x000D_
UID: 411_x000D_
msgDATA 1               FLAGS () UID 411_x000D_
Message:                   FETCH_x000D_
Message:                   (FLAGS () UID 411)_x000D_
412 NO MimeMessage           _x000D_
412 NO Attibute           _x000D_
UID: 412_x000D_
msgDATA 1               FLAGS () UID 412_x000D_
Message:                   FETCH_x000D_
Message:                   (FLAGS () UID 412)_x000D_
413 NO MimeMessage           _x000D_
413 NO Attibute           _x000D_
UID: 413_x000D_
msgDATA 1               FLAGS () UID 413_x000D_
Message:                   FETCH_x000D_
Message:                   (FLAGS () UID 413)_x000D_
414 NO MimeMessage           _x000D_
414 NO Attibute           _x000D_
UID: 414_x000D_
msgDATA 1               FLAGS ( Seen) UID 414_x000D_
Message:                   FETCH_x000D_
Message:                   (FLAGS ( Seen) UID 414)_x000D_
415 NO MimeMessage           _x000D_
415 NO Attibute           _x000D_
UID: 415_x000D_
msgDATA 1               FLAGS ( Seen) UID 415_x000D_
Message:                   FETCH_x000D_
Message:                   (FLAGS ( Seen) UID 415)_x000D_
416 NO MimeMessage           _x000D_
416 NO Attibute           _x000D_
UID: 416_x000D_
msgDATA 1               FLAGS ( Seen) UID 416_x000D_
Message:                   FETCH_x000D_
Message:                   (FLAGS ( Seen) UID 416)_x000D_
417 NO MimeMessage           _x000D_
417 NO Attibute           _x000D_
UID: 417_x000D_
msgDATA 1               FLAGS ( Seen) UID 417_x000D_
Message:                   FETCH_x000D_
Message:                   (FLAGS ( Seen) UID 417)_x000D_
418 NO MimeMessage           _x000D_
418 NO Attibute           _x000D_
UID: 418_x000D_
msgDATA 1               FLAGS ( Seen) UID 418_x000D_
Message:                   FETCH_x000D_
Message:                   (FLAGS ( Seen) UID 418)_x000D_
419 NO MimeMessage           _x000D_
419 NO Attibute           _x000D_
UID: 419_x000D_
msgDATA 1               FLAGS ( Seen) UID 419_x000D_
Message:                   FETCH_x000D_
Message:                   (FLAGS ( Seen) UID 419)_x000D_
420 NO MimeMessage           _x000D_
420 NO Attibute           _x000D_
UID: 420_x000D_
msgDATA 1               FLAGS ( Seen) UID 420_x000D_
Message:                   FETCH_x000D_
Message:                   (FLAGS ( Seen) UID 420)_x000D_
421 NO MimeMessage           _x000D_
421 NO Attibute           _x000D_
UID: 421_x000D_
msgDATA 1               FLAGS ( Seen) UID 421_x000D_
Message:                   FETCH_x000D_
Message:                   (FLAGS ( Seen) UID 421)_x000D_
422 NO MimeMessage           _x000D_
422 NO Attibute           _x000D_
UID: 422_x000D_
msgDATA 1               FLAGS ( Seen) UID 422_x000D_
Message:                   FETCH_x000D_
Message:                   (FLAGS ( Seen) UID 422)_x000D_
423 NO MimeMessage           _x000D_
423 NO Attibute           _x000D_
UID: 423_x000D_
msgDATA 1               FLAGS ( Seen) UID 423_x000D_
Message:                   FETCH_x000D_
Message:                   (FLAGS ( Seen) UID 423)_x000D_
424 NO MimeMessage           _x000D_
424 NO Attibute           _x000D_
UID: 424_x000D_
msgDATA 1               FLAGS ( Seen) UID 424_x000D_
Message:                   FETCH_x000D_
Message:                   (FLAGS ( Seen) UID 424)_x000D_
425 NO MimeMessage           _x000D_
425 NO Attibute           _x000D_
UID: 425_x000D_
msgDATA 1               FLAGS ( Seen) UID 425_x000D_
Message:                   FETCH_x000D_
Message:                   (FLAGS ( Seen) UID 425)_x000D_
426 NO MimeMessage           _x000D_
426 NO Attibute           _x000D_
UID: 426_x000D_
msgDATA 1               FLAGS ( Seen) UID 426_x000D_
Message:                   FETCH_x000D_
Message:                   (FLAGS ( Seen) UID 426)_x000D_
427 NO MimeMessage           _x000D_
427 NO Attibute           _x000D_
UID: 427_x000D_
msgDATA 1               FLAGS ( Seen) UID 427_x000D_
Message:                   FETCH_x000D_
Message:                   (FLAGS ( Seen) UID 427)_x000D_
428 NO MimeMessage           _x000D_
428 NO Attibute           _x000D_
UID: 428_x000D_
msgDATA 1               FLAGS ( Seen) UID 428_x000D_
Message:                   FETCH_x000D_
Message:                   (FLAGS ( Seen) UID 428)_x000D_
429 NO MimeMessage           _x000D_
429 NO Attibute           _x000D_
UID: 429_x000D_
msgDATA 1               FLAGS ( Seen) UID 429_x000D_
Message:                   FETCH_x000D_
Message:                   (FLAGS ( Seen) UID 429)_x000D_
430 NO MimeMessage           _x000D_
430 NO Attibute           _x000D_
UID: 430_x000D_
msgDATA 1               FLAGS ( Seen) UID 430_x000D_
Message:                   FETCH_x000D_
Message:                   (FLAGS ( Seen) UID 430)_x000D_
431 NO MimeMessage           _x000D_
431 NO Attibute           _x000D_
UID: 431_x000D_
msgDATA 1               FLAGS ( Seen) UID 431_x000D_
Message:                   FETCH_x000D_
Message:                   (FLAGS ( Seen) UID 431)_x000D_
432 NO MimeMessage           _x000D_
432 NO Attibute           _x000D_
UID: 432_x000D_
msgDATA 1               FLAGS ( Seen) UID 432_x000D_
Message:                   FETCH_x000D_
Message:                   (FLAGS ( Seen) UID 432)_x000D_
433 NO MimeMessage           _x000D_
433 NO Attibute           _x000D_
UID: 433_x000D_
msgDATA 1               FLAGS ( Seen) UID 433_x000D_
Message:                   FETCH_x000D_
Message:                   (FLAGS ( Seen) UID 433)_x000D_
434 NO MimeMessage           _x000D_
434 NO Attibute           _x000D_
UID: 434_x000D_
msgDATA 1               FLAGS ( Seen) UID 434_x000D_
Message:                   FETCH_x000D_
Message:                   (FLAGS ( Seen) UID 434)_x000D_
435 NO MimeMessage           _x000D_
435 NO Attibute           _x000D_
UID: 435_x000D_
msgDATA 1               FLAGS ( Seen) UID 435_x000D_
Message:                   FETCH_x000D_
Message:                   (FLAGS ( Seen) UID 435)_x000D_
436 NO MimeMessage           _x000D_
436 NO Attibute           _x000D_
UID: 436_x000D_
msgDATA 1               FLAGS ( Seen) UID 436_x000D_
Message:                   FETCH_x000D_
Message:                   (FLAGS ( Seen) UID 436)_x000D_
437 NO MimeMessage           _x000D_
437 NO Attibute           _x000D_
UID: 437_x000D_
msgDATA 1               FLAGS ( Seen) UID 437_x000D_
Message:                   FETCH_x000D_
Message:                   (FLAGS ( Seen) UID 437)_x000D_
438 NO MimeMessage           _x000D_
438 NO Attibute           _x000D_
UID: 438_x000D_
msgDATA 1               FLAGS ( Seen) UID 438_x000D_
Message:                   FETCH_x000D_
Message:                   (FLAGS ( Seen) UID 438)_x000D_
439 NO MimeMessage           _x000D_
439 NO Attibute           _x000D_
UID: 439_x000D_
msgDATA 1               FLAGS ( Seen) UID 439_x000D_
Message:                   FETCH_x000D_
Message:                   (FLAGS ( Seen) UID 439)_x000D_
440 NO MimeMessage           _x000D_
440 NO Attibute           _x000D_
UID: 440_x000D_
msgDATA 1               FLAGS ( Seen) UID 440_x000D_
Message:                   FETCH_x000D_
Message:                   (FLAGS ( Seen) UID 440)_x000D_
441 NO MimeMessage           _x000D_
441 NO Attibute           _x000D_
UID: 441_x000D_
msgDATA 1               FLAGS ( Seen) UID 441_x000D_
Message:                   FETCH_x000D_
Message:                   (FLAGS ( Seen) UID 441)_x000D_
442 NO MimeMessage           _x000D_
442 NO Attibute           _x000D_
UID: 442_x000D_
msgDATA 1               FLAGS ( Seen) UID 442_x000D_
Message:                   FETCH_x000D_
Message:                   (FLAGS ( Seen) UID 442)_x000D_
443 NO MimeMessage           _x000D_
443 NO Attibute           _x000D_
UID: 443_x000D_
msgDATA 1               FLAGS ( Seen) UID 443_x000D_
Message:                   FETCH_x000D_
Message:                   (FLAGS ( Seen) UID 443)_x000D_
444 NO MimeMessage           _x000D_
444 NO Attibute           _x000D_
UID: 444_x000D_
msgDATA 1               FLAGS ( Seen) UID 444_x000D_
Message:                   FETCH_x000D_
Message:                   (FLAGS ( Seen) UID 444)_x000D_
445 NO MimeMessage           _x000D_
445 NO Attibute           _x000D_
UID: 445_x000D_
msgDATA 1               FLAGS ( Seen) UID 445_x000D_
Message:                   FETCH_x000D_
Message:                   (FLAGS ( Seen) UID 445)_x000D_
446 NO MimeMessage           _x000D_
446 NO Attibute           _x000D_
UID: 446_x000D_
msgDATA 1               FLAGS ( Seen) UID 446_x000D_
Message:                   FETCH_x000D_
Message:                   (FLAGS ( Seen) UID 446)_x000D_
447 NO MimeMessage           _x000D_
447 NO Attibute           _x000D_
UID: 447_x000D_
msgDATA 1               FLAGS ( Seen) UID 447_x000D_
Message:                   FETCH_x000D_
Message:                   (FLAGS ( Seen) UID 447)_x000D_
448 NO MimeMessage           _x000D_
448 NO Attibute           _x000D_
UID: 448_x000D_
msgDATA 1               FLAGS ( Seen) UID 448_x000D_
Message:                   FETCH_x000D_
Message:                   (FLAGS ( Seen) UID 448)_x000D_
449 NO MimeMessage           _x000D_
449 NO Attibute           _x000D_
UID: 449_x000D_
msgDATA 1               FLAGS ( Seen) UID 449_x000D_
Message:                   FETCH_x000D_
Message:                   (FLAGS ( Seen) UID 449)_x000D_
450 NO MimeMessage           _x000D_
450 NO Attibute           _x000D_
UID: 450_x000D_
msgDATA 1               FLAGS ( Seen) UID 450_x000D_
Message:                   FETCH_x000D_
Message:                   (FLAGS ( Seen) UID 450)_x000D_
451 NO MimeMessage           _x000D_
451 NO Attibute           _x000D_
UID: 451_x000D_
msgDATA 1               FLAGS ( Seen) UID 451_x000D_
Message:                   FETCH_x000D_
Message:                   (FLAGS ( Seen) UID 451)_x000D_
452 NO MimeMessage           _x000D_
452 NO Attibute           _x000D_
UID: 452_x000D_
msgDATA 1               FLAGS ( Seen) UID 452_x000D_
Message:                   FETCH_x000D_
Message:                   (FLAGS ( Seen) UID 452)_x000D_
453 NO MimeMessage           _x000D_
453 NO Attibute           _x000D_
UID: 453_x000D_
msgDATA 1               FLAGS ( Seen) UID 453_x000D_
Message:                   FETCH_x000D_
Message:                   (FLAGS ( Seen) UID 453)_x000D_
454 NO MimeMessage           _x000D_
454 NO Attibute           _x000D_
UID: 454_x000D_
msgDATA 1               FLAGS ( Seen) UID 454_x000D_
Message:                   FETCH_x000D_
Message:                   (FLAGS ( Seen) UID 454)_x000D_
455 NO MimeMessage           _x000D_
455 NO Attibute           _x000D_
UID: 455_x000D_
msgDATA 1               FLAGS ( Seen) UID 455_x000D_
Message:                   FETCH_x000D_
Message:                   (FLAGS ( Seen) UID 455)_x000D_
456 NO MimeMessage           _x000D_
456 NO Attibute           _x000D_
UID: 456_x000D_
msgDATA 1               FLAGS ( Seen) UID 456_x000D_
Message:                   FETCH_x000D_
Message:                   (FLAGS ( Seen) UID 456)_x000D_
457 NO MimeMessage           _x000D_
457 NO Attibute           _x000D_
UID: 457_x000D_
msgDATA 1               FLAGS ( Seen) UID 457_x000D_
Message:                   FETCH_x000D_
Message:                   (FLAGS ( Seen) UID 457)_x000D_
458 NO MimeMessage           _x000D_
458 NO Attibute           _x000D_
UID: 458_x000D_
msgDATA 1               FLAGS ( Seen) UID 458_x000D_
Message:                   FETCH_x000D_
Message:                   (FLAGS ( Seen) UID 458)_x000D_
459 NO MimeMessage           _x000D_
459 NO Attibute           _x000D_
UID: 459_x000D_
msgDATA 1               FLAGS ( Seen) UID 459_x000D_
Message:                   FETCH_x000D_
Message:                   (FLAGS ( Seen) UID 459)_x000D_
460 NO MimeMessage           _x000D_
460 NO Attibute           _x000D_
UID: 460_x000D_
msgDATA 1               FLAGS ( Seen) UID 460_x000D_
Message:                   FETCH_x000D_
Message:                   (FLAGS ( Seen) UID 460)_x000D_
461 NO MimeMessage           _x000D_
461 NO Attibute           _x000D_
UID: 461_x000D_
msgDATA 1               FLAGS ( Seen) UID 461_x000D_
Message:                   FETCH_x000D_
Message:                   (FLAGS ( Seen) UID 461)_x000D_
462 NO MimeMessage           _x000D_
462 NO Attibute           _x000D_
UID: 462_x000D_
msgDATA 1               FLAGS ( Seen) UID 462_x000D_
Message:                   FETCH_x000D_
Message:                   (FLAGS ( Seen) UID 462)_x000D_
463 NO MimeMessage           _x000D_
463 NO Attibute           _x000D_
UID: 463_x000D_
msgDATA 1               FLAGS ( Seen) UID 463_x000D_
Message:                   FETCH_x000D_
Message:                   (FLAGS ( Seen) UID 463)_x000D_
464 NO MimeMessage           _x000D_
464 NO Attibute           _x000D_
UID: 464_x000D_
msgDATA 1               FLAGS ( Seen) UID 464_x000D_
Message:                   FETCH_x000D_
Message:                   (FLAGS ( Seen) UID 464)_x000D_
465 NO MimeMessage           _x000D_
465 NO Attibute           _x000D_
UID: 465_x000D_
msgDATA 1               FLAGS ( Seen) UID 465_x000D_
Message:                   FETCH_x000D_
Message:                   (FLAGS ( Seen) UID 465)_x000D_
466 NO MimeMessage           _x000D_
466 NO Attibute           _x000D_
UID: 466_x000D_
msgDATA 1               FLAGS () UID 466_x000D_
Message:                   FETCH_x000D_
Message:                   (FLAGS () UID 466)_x000D_
467 MIMEMESSAGEEEEEEEEEEEEEE_x000D_
467 ATTRIBUTEEEEEEEEEEEEEEEE_x000D_
UID: 467_x000D_
msgDATA 1               FLAGS () UID 467_x000D_
Message:                   FETCH_x000D_
Message:                   (FLAGS () UID 467)_x000D_
Message:                   OK_x000D_
Message:                   completed _x000D_
IN THE COMMAND COMPLETE:          null_x000D_
C: tag 7  command UID_x000D_
IMAP Line received :  7 UID  _x000D_
Message:                   BAD_x000D_
Message:                   Invalid fetch attribute: X GM MSGID Command should be   tag  UID  fetch command   store command   copy command   search command   expunge command  _x000D_
C: tag 8  command UID_x000D_
IMAP Line received :  8 UID  _x000D_
IMAP Line received :  fetch 460 (UID RFC822 SIZE BODY   0 65536 ) r n _x000D_
    Fetch    _x000D_
Fetch Command   uids size: 63_x000D_
460 NO MimeMessage           _x000D_
460 NO Attibute           _x000D_
 WARNING _x000D_
java lang IllegalStateException: Can not handle IMAP connection_x000D_
    at com icegreen greenmail imap ImapHandler run (ImapHandler java:76)_x000D_
    at com icegreen greenmail server AbstractServer 1 run (AbstractServer java:163)_x000D_
    at java lang Thread run (Thread java:745)_x000D_
Caused by: java lang NullPointerException_x000D_
    at com icegreen greenmail imap commands FetchCommand outputMessageNdn (FetchCommand java:186)_x000D_
    at com icegreen greenmail imap commands FetchCommand getMessageDataNdn (FetchCommand java:177)_x000D_
    at com icegreen greenmail imap commands FetchCommand doProcess (FetchCommand java:136)_x000D_
    at com icegreen greenmail imap commands UidCommand doProcess (UidCommand java:45)_x000D_
    at com icegreen greenmail imap commands CommandTemplate process (CommandTemplate java:60)_x000D_
    at com icegreen greenmail imap ImapRequestHandler doProcessRequest (ImapRequestHandler java:102)_x000D_
    at com icegreen greenmail imap ImapRequestHandler handleRequest (ImapRequestHandler java:51)_x000D_
    at com icegreen greenmail imap ImapHandler run (ImapHandler java:71)_x000D_
    at com icegreen greenmail server AbstractServer 1 run (AbstractServer java:163)_x000D_
    at java lang Thread run (Thread java:745)_x000D_
   _x000D_
_x000D_
_x000D_
  miss (https:  user images githubusercontent com 22158231 58996625 f1f57c80 87ad 11e9 9640 9162dadec6ea jpeg)_x000D_
</t>
  </si>
  <si>
    <t>react-native-share-react-native-share-517</t>
  </si>
  <si>
    <t>Crash on Android after sharing to Google Drive</t>
  </si>
  <si>
    <t xml:space="preserve">    Steps to reproduce_x000D_
1  Share to Google Drive using:_x000D_
   _x000D_
const result   await Share open( _x000D_
      message:  message  _x000D_
      subject:  subject  _x000D_
      title:  title _x000D_
     ) _x000D_
   _x000D_
2  Wait for the callback_x000D_
3  App crashes_x000D_
Before the crash  I can see the result:_x000D_
   _x000D_
 _x000D_
app:  com google android apps docs com google android apps docs shareitem UploadMenuActivity   _x000D_
message:  com google android apps docs com google android apps docs shareitem UploadMenuActivity _x000D_
 _x000D_
   _x000D_
_x000D_
    Error on logcat: _x000D_
 java lang RuntimeException: Failure delivering result ResultInfo who null  request 16845  result  1  data Intent   dat content:  com google android apps docs storage legacy enc hwS2P QLZXeplE6wliNceO9lduRF6MaJHht7KkEMtWX olNpX0S5laUmKOPmMBE0NnnhjD ZzRB0_x000D_
    LS zLUFkB4eE8DPDjGNP01YlUizxqUo3xx8b3oenNLEPzQhPYToVt1Crhw  _x000D_
     launchParam MultiScreenLaunchParams   mDisplayId 0 mBaseDisplayId 0 mFlags 0   (has extras)    to activity  br com test br com test MainActivity : android os BadParcelableException: ClassNotFoundException when unmarshalling: com google android apps docs cello data CelloEntrySpec_x000D_
        at android app ActivityThread deliverResults(ActivityThread java:4520)_x000D_
        at android app ActivityThread handleSendResult(ActivityThread java:4563)_x000D_
        at android app ActivityThread  wrap22(ActivityThread java)_x000D_
        at android app ActivityThread H handleMessage(ActivityThread java:1698)_x000D_
        at android os Handler dispatchMessage(Handler java:102)_x000D_
        at android os Looper loop(Looper java:154)_x000D_
        at android app ActivityThread main(ActivityThread java:6776)_x000D_
        at java lang reflect Method invoke(Native Method)_x000D_
        at com android internal os ZygoteInit MethodAndArgsCaller run(ZygoteInit java:1518)_x000D_
        at com android internal os ZygoteInit main(ZygoteInit java:1408)_x000D_
     Caused by: android os BadParcelableException: ClassNotFoundException when unmarshalling: com google android apps docs cello data CelloEntrySpec_x000D_
        at android os Parcel readParcelableCreator(Parcel java:2555)_x000D_
        at android os Parcel readParcelable(Parcel java:2481)_x000D_
        at android os Parcel readValue(Parcel java:2384)_x000D_
        at android os Parcel readArrayMapInternal(Parcel java:2737)_x000D_
        at android os BaseBundle unparcel(BaseBundle java:269)_x000D_
        at android os BaseBundle getString(BaseBundle java:992)_x000D_
        at android content Intent getStringExtra(Intent java:6749)_x000D_
        at com facebook internal CallbackManagerImpl isPurchaseIntent(CallbackManagerImpl java:130)_x000D_
        at com facebook internal CallbackManagerImpl onActivityResult(CallbackManagerImpl java:90) _x000D_
    Expected behaviour_x000D_
Application should not crash_x000D_
_x000D_
    Actual behaviour_x000D_
Application is crashing_x000D_
_x000D_
    Environment_x000D_
    React Native version  : 0 59 8_x000D_
    React Native platform   platform version  : Android (multiple versions)_x000D_
_x000D_
    react native share_x000D_
  Version  : 1 2 1_x000D_
_x000D_
   Important_x000D_
If I downgrade react native share version to 1 1 3  it works _x000D_
</t>
  </si>
  <si>
    <t>JavaCafe01-PdfViewer-27</t>
  </si>
  <si>
    <t>Can't open PDF files from E-Mails</t>
  </si>
  <si>
    <t xml:space="preserve">    Issue Summary_x000D_
When I open PDFs out of the AOSP E Mail app  PDFViewer immediately crashes _x000D_
_x000D_
    Steps to Reproduce the Problem_x000D_
_x000D_
Open a PDF with PDFViewer from the AOSP E Mail app _x000D_
_x000D_
    Specifications_x000D_
_x000D_
    App Version: 3 0_x000D_
    Android Version: LineageOS 16 0 (Android 9 0)_x000D_
</t>
  </si>
  <si>
    <t>mapbox-mapbox-events-android-406</t>
  </si>
  <si>
    <t>🐞 Intermittent crashes due to SecurityException</t>
  </si>
  <si>
    <t xml:space="preserve">  Configuration  _x000D_
   SDK Version:  4 4 1 _x000D_
   Android OS Version:  Android 9 _x000D_
   Device model(s):  msm8996 _x000D_
   App: app in prod_x000D_
_x000D_
  Steps to Reproduce  _x000D_
Crash report from production  most likely due to the device with a buggy firmware _x000D_
_x000D_
  Expected  _x000D_
Application is not crashing and proper error handling is in place _x000D_
_x000D_
  Logging  _x000D_
Obfuscated stack trace:_x000D_
   _x000D_
com mapbox android telemetry TelemetryUtils registerBatteryUpdates(TelemetryUtils java:219)_x000D_
com mapbox android telemetry TelemetryUtils obtainBatteryLevel(TelemetryUtils java:120)_x000D_
   </t>
  </si>
  <si>
    <t>andyrozman-RileyLinkAAPS-131</t>
  </si>
  <si>
    <t>Error getting History - Crash APP</t>
  </si>
  <si>
    <t xml:space="preserve">When the App is getting history from medtronic 715  when the process finished the App crash  I did a very quick debug and appear my pump sometimes return a wrong date  I ran a lot of times to create some bugs on Firebase  I think you will be able to see the error </t>
  </si>
  <si>
    <t>ElderDrivers-EdXposed-280</t>
  </si>
  <si>
    <t xml:space="preserve">       What happened   _x000D_
_x000D_
    _x000D_
_x000D_
  Xposed     Xposed Module List  _x000D_
_x000D_
 logcat               crash _x000D_
_x000D_
_x000D_
  Magisk     Magisk Module List  _x000D_
_x000D_
             _x000D_
_x000D_
  EdXposed Riru   Versions of EdXposed and Riru  _x000D_
_x000D_
EdXposed:0 4 2 3_x000D_
_x000D_
Riru:19 1_x000D_
_x000D_
    Logcat Logcat  _x000D_
_x000D_
          beginning of head_x000D_
EdXposed Log_x000D_
Powered by Log Catcher_x000D_
QQ chat group 855219808_x000D_
          beginning of system info_x000D_
Android version: 9_x000D_
Android sdk: 28_x000D_
Android build: PKQ1 180729 001_x000D_
Fingerprint: Xiaomi dipper dipper:9 PKQ1 180729 001 9 2 21:user release keys_x000D_
ROM build description: dipper user 9 PKQ1 180729 001 9 2 21 release keys_x000D_
EdXposed Version: 0 4 1 2 beta (4120)_x000D_
Architecture: arm64 v8a_x000D_
Device: dipper_x000D_
Manufacture: Xiaomi_x000D_
Brand: Xiaomi_x000D_
Product: dipper_x000D_
          beginning of main_x000D_
          beginning of system_x000D_
01 10 21:16:59 699   691   691 I EdXposed Core Native: onModuleLoaded: welcome to EdXposed _x000D_
01 10 21:16:59 699   691   691 I EdXposed Core Native: start to install inline hooks_x000D_
01 10 21:16:59 699   691   691 I EdXposed Core Native: install riru hook_x000D_
01 10 21:16:59 701   690   690 I EdXposed Core Native: onModuleLoaded: welcome to EdXposed _x000D_
01 10 21:16:59 701   690   690 I EdXposed Core Native: start to install inline hooks_x000D_
01 10 21:16:59 701   690   690 I EdXposed Core Native: install riru hook_x000D_
01 10 21:16:59 706   691   691 I EdXposed Core Native: riru hooks installed_x000D_
01 10 21:16:59 706   691   691 I EdXposed Core Native: using api level 28_x000D_
01 10 21:16:59 707   690   690 I EdXposed Core Native: riru hooks installed_x000D_
01 10 21:16:59 707   690   690 I EdXposed Core Native: using api level 28_x000D_
01 10 21:16:59 727   691   691 I EdXposed Core Native: using installer org meowcat edxposed manager_x000D_
01 10 21:16:59 727   691   691 I EdXposed Core Native: black white list mode: 0  using whitelist: 0_x000D_
01 10 21:16:59 727   691   691 I EdXposed Core Native: dynamic modules mode: 0_x000D_
01 10 21:16:59 727   691   691 I EdXposed Core Native: classLinkerCst hooked_x000D_
01 10 21:16:59 729   691   691 I EdXposed Core Native: heapPreFork hooked _x000D_
01 10 21:16:59 731   690   690 I EdXposed Core Native: using installer org meowcat edxposed manager_x000D_
01 10 21:16:59 731   690   690 I EdXposed Core Native: black white list mode: 0  using whitelist: 0_x000D_
01 10 21:16:59 731   690   690 I EdXposed Core Native: dynamic modules mode: 0_x000D_
01 10 21:16:59 731   691   691 I EdXposed Core Native: disableHiddenAPIPolicyImpl done _x000D_
01 10 21:16:59 731   691   691 I EdXposed Core Native: install inline hooks done_x000D_
01 10 21:16:59 732   690   690 I EdXposed Core Native: classLinkerCst hooked_x000D_
01 10 21:16:59 734   690   690 I EdXposed Core Native: heapPreFork hooked _x000D_
01 10 21:16:59 736   690   690 I EdXposed Core Native: disableHiddenAPIPolicyImpl done _x000D_
01 10 21:16:59 736   690   690 I EdXposed Core Native: install inline hooks done_x000D_
01 10 21:16:59 778   691   691 I EdXposed Core Native: system property get: dalvik vm dex2oat filter    quicken_x000D_
01 10 21:16:59 778   691   691 I EdXposed Core Native: system property get: dalvik vm dex2oat flags      inline max code units 0_x000D_
01 10 21:16:59 791   690   690 I EdXposed Core Native: system property get: dalvik vm dex2oat filter    quicken_x000D_
01 10 21:16:59 791   690   690 I EdXposed Core Native: system property get: dalvik vm dex2oat flags      inline max code units 0_x000D_
01 10 21:17:00 167   691   691 I EdXposed Core Native: classLinkerCst starts_x000D_
01 10 21:17:00 167   691   691 I EdXposed Core Native: class linker  changed from 0x0 to 0xef4d75c0_x000D_
01 10 21:17:00 167   691   691 I EdXposed Core Native: classLinkerCst finishes_x000D_
01 10 21:17:00 188   690   690 I EdXposed Core Native: classLinkerCst starts_x000D_
01 10 21:17:00 189   690   690 I EdXposed Core Native: class linker  changed from 0x0 to 0x6f80ef4300_x000D_
01 10 21:17:00 189   690   690 I EdXposed Core Native: classLinkerCst finishes_x000D_
06 05 00:18:08 744   690   690 W EdXposed Core Native: libsandhook open failed  dlopen failed: library   system lib64 libsandhook edxp so  not found_x000D_
06 05 00:18:08 746   690   690 I EdXposed Bridge: using HookProvider: com elderdrivers riru edxp yahfa config YahfaHookProvider_x000D_
06 05 00:18:08 988   690   690 I EdXposed Bridge: Loading modules from  data app mapp xp mivirtualsim 1ROite6mAkgx7GqbohWFbQ   base apk_x000D_
06 05 00:18:08 995   690   690 I EdXposed Bridge:   Loading class mapp xp mivirtualsim XposedInit_x000D_
06 05 00:18:08 997   690   690 I EdXposed Bridge: Loading modules from  data app com github tianma8023 xposed smscode Xe6sMqva9yFyvDtCiaaivA   base apk_x000D_
06 05 00:18:09 042   690   690 I EdXposed Bridge:   Loading class com github tianma8023 xposed smscode xp HookEntry_x000D_
06 05 00:18:09 048   690   690 I EdXposed Bridge: Loading modules from  data app com viewblocker jrsen uHuZwjplMoYnVIKWDl1N2A   base apk_x000D_
06 05 00:18:09 076   690   690 I EdXposed Bridge:   Loading class com viewblocker jrsen injection BlockerInjector_x000D_
06 05 00:18:09 079   690   690 I EdXposed Bridge: Loading modules from  data app me zjns lovecloudmusic 1VqpIii07HF3Bvth 4QEqQ   base apk_x000D_
06 05 00:18:09 089   690   690 I EdXposed Bridge:   Loading class me zjns lovecloudmusic HookInit_x000D_
06 05 00:18:09 090   690   690 I EdXposed Bridge: Loading modules from  data app djwdj wmzw TZpOHLGDX3C13zuBzQPvYQ   base apk_x000D_
06 05 00:18:09 104   690   690 I EdXposed Bridge:   Loading class l_x000D_
06 05 00:18:09 105   690   690 I EdXposed Bridge: Loading modules from  data app me qiwu MusicNotification s3zs7iQf2ZJ 8uHI0v67tA   base apk_x000D_
06 05 00:18:09 113   690   690 I EdXposed Bridge:   Loading class me qiwu MusicNotification MainHook_x000D_
06 05 00:18:09 113   690   690 I EdXposed Bridge: Loading modules from  data app eu faircode xlua fO3N0cUsm4tXXf55CeQ7BA   base apk_x000D_
06 05 00:18:09 174   690   690 I EdXposed Bridge:   Loading class eu faircode xlua XLua_x000D_
06 05 00:18:09 184   690   690 I EdXposed Bridge: Loading modules from  data app me iacn biliroaming bHCSjltAaYsXZhVNwOkt Q   base apk_x000D_
06 05 00:18:09 206   690   690 I EdXposed Bridge:   Loading class me iacn biliroaming XposedInit_x000D_
06 05 00:18:09 208   690   690 I EdXposed Bridge: Loading modules from  data app liubaoyua customtext ptyYB6pIcFEHa7akJ OZjw   base apk_x000D_
06 05 00:18:09 245   690   690 I EdXposed Bridge:   Loading class liubaoyua customtext HookMethod_x000D_
06 05 00:18:09 249   690   690 I EdXposed Bridge: Loading modules from  data app com specher music163 dXTRokX9 6VvQyMAb29xug   base apk_x000D_
06 05 00:18:09 257   690   690 I EdXposed Bridge:   Loading class com specher music163 Hook_x000D_
06 05 00:18:09 259   690   690 I EdXposed Bridge: Loading modules from  data app cn nexus6p QQMusicNotify SdVZQ2LyChzaWqg0ufIB7A   base apk_x000D_
06 05 00:18:09 267   690   690 I EdXposed Bridge:   Loading class cn nexus6p QQMusicNotify initHook_x000D_
06 05 00:18:09 268   690   690 I EdXposed Bridge: Loading modules from  data app bin xposed Unblock163MusicClient cdSz5rgflKJZ4H8YocT07Q   base apk_x000D_
06 05 00:18:09 279   690   690 I EdXposed Bridge:   Loading class bin xposed Unblock163MusicClient Main_x000D_
06 05 00:18:13 279   691   691 W EdXposed Core Native: libsandhook open failed  dlopen failed: library   system lib libsandhook edxp so  not found_x000D_
06 05 00:18:13 281   691   691 I EdXposed Bridge: using HookProvider: com elderdrivers riru edxp yahfa config YahfaHookProvider_x000D_
06 05 00:18:13 576   691   691 I EdXposed Bridge: Loading modules from  data app mapp xp mivirtualsim 1ROite6mAkgx7GqbohWFbQ   base apk_x000D_
06 05 00:18:13 582   691   691 I EdXposed Bridge:   Loading class mapp xp mivirtualsim XposedInit_x000D_
06 05 00:18:13 584   691   691 I EdXposed Bridge: Loading modules from  data app com github tianma8023 xposed smscode Xe6sMqva9yFyvDtCiaaivA   base apk_x000D_
06 05 00:18:13 639   691   691 I EdXposed Bridge:   Loading class com github tianma8023 xposed smscode xp HookEntry_x000D_
06 05 00:18:13 650   691   691 I EdXposed Bridge: Loading modules from  data app com viewblocker jrsen uHuZwjplMoYnVIKWDl1N2A   base apk_x000D_
06 05 00:18:13 683   691   691 I EdXposed Bridge:   Loading class com viewblocker jrsen injection BlockerInjector_x000D_
06 05 00:18:13 687   691   691 I EdXposed Bridge: Loading modules from  data app me zjns lovecloudmusic 1VqpIii07HF3Bvth 4QEqQ   base apk_x000D_
06 05 00:18:13 693   691   691 I EdXposed Bridge:   Loading class me zjns lovecloudmusic HookInit_x000D_
06 05 00:18:13 694   691   691 I EdXposed Bridge: Loading modules from  data app djwdj wmzw TZpOHLGDX3C13zuBzQPvYQ   base apk_x000D_
06 05 00:18:13 698   691   691 I EdXposed Bridge:   Loading class l_x000D_
06 05 00:18:13 699   691   691 I EdXposed Bridge: Loading modules from  data app me qiwu MusicNotification s3zs7iQf2ZJ 8uHI0v67tA   base apk_x000D_
06 05 00:18:13 706   691   691 I EdXposed Bridge:   Loading class me qiwu MusicNotification MainHook_x000D_
06 05 00:18:13 706   691   691 I EdXposed Bridge: Loading modules from  data app eu faircode xlua fO3N0cUsm4tXXf55CeQ7BA   base apk_x000D_
06 05 00:18:13 770   691   691 I EdXposed Bridge:   Loading class eu faircode xlua XLua_x000D_
06 05 00:18:13 786   691   691 I EdXposed Bridge: Loading modules from  data app me iacn biliroaming bHCSjltAaYsXZhVNwOkt Q   base apk_x000D_
06 05 00:18:13 792   691   691 I EdXposed Bridge:   Loading class me iacn biliroaming XposedInit_x000D_
06 05 00:18:13 793   691   691 I EdXposed Bridge: Loading modules from  data app liubaoyua customtext ptyYB6pIcFEHa7akJ OZjw   base apk_x000D_
06 05 00:18:13 840   691   691 I EdXposed Bridge:   Loading class liubaoyua customtext HookMethod_x000D_
06 05 00:18:13 846   691   691 I EdXposed Bridge: Loading modules from  data app com specher music163 dXTRokX9 6VvQyMAb29xug   base apk_x000D_
06 05 00:18:13 852   691   691 I EdXposed Bridge:   Loading class com specher music163 Hook_x000D_
06 05 00:18:13 853   691   691 I EdXposed Bridge: Loading modules from  data app cn nexus6p QQMusicNotify SdVZQ2LyChzaWqg0ufIB7A   base apk_x000D_
06 05 00:18:13 859   691   691 I EdXposed Bridge:   Loading class cn nexus6p QQMusicNotify initHook_x000D_
06 05 00:18:13 860   691   691 I EdXposed Bridge: Loading modules from  data app bin xposed Unblock163MusicClient cdSz5rgflKJZ4H8YocT07Q   base apk_x000D_
06 05 00:18:13 872   691   691 I EdXposed Bridge:   Loading class bin xposed Unblock163MusicClient Main_x000D_
06 05 00:18:14 525  2143  2143 I EdXposed Bridge: T SmsCode: SmsCode initializing_x000D_
06 05 00:18:14 525  2143  2143 I EdXposed Bridge: T SmsCode: Phone manufacturer: Xiaomi_x000D_
06 05 00:18:14 525  2143  2143 I EdXposed Bridge: T SmsCode: Phone model: MI 8_x000D_
06 05 00:18:14 525  2143  2143 I EdXposed Bridge: T SmsCode: Android version: 9_x000D_
06 05 00:18:14 525  2143  2143 I EdXposed Bridge: T SmsCode: Xposed bridge version: 90_x000D_
06 05 00:18:14 526  2143  2143 I EdXposed Bridge: T SmsCode: SmsCode version: 2 0 4 (34)_x000D_
06 05 00:18:14 526  2143  2143 I EdXposed Bridge: T SmsCode: Hooking InboundSmsHandler constructor for android v24 _x000D_
06 05 00:18:14 599  2143  2143 I EdXposed Bridge: T SmsCode: Hooking dispatchIntent() for Android v23 _x000D_
06 05 00:18:14 663  2143  2143 I EdXposed Bridge: T SmsCode: SmsCode initialize completely_x000D_
06 05 00:18:17 162  2517  2727 I EdXposed Bridge: T SmsCode: SmsCode initializing_x000D_
06 05 00:18:17 162  2517  2727 I EdXposed Bridge: T SmsCode: Phone manufacturer: Xiaomi_x000D_
06 05 00:18:17 163  2517  2727 I EdXposed Bridge: T SmsCode: Phone model: MI 8_x000D_
06 05 00:18:17 163  2517  2727 I EdXposed Bridge: T SmsCode: Android version: 9_x000D_
06 05 00:18:17 163  2517  2727 I EdXposed Bridge: T SmsCode: Xposed bridge version: 90_x000D_
06 05 00:18:17 163  2517  2727 I EdXposed Bridge: T SmsCode: SmsCode version: 2 0 4 (34)_x000D_
06 05 00:18:17 163  2517  2727 I EdXposed Bridge: T SmsCode: Hooking InboundSmsHandler constructor for android v24 _x000D_
06 05 00:18:17 227  2517  2727 I EdXposed Bridge: T SmsCode: Hooking dispatchIntent() for Android v23 _x000D_
06 05 00:18:17 261  2517  2727 I EdXposed Bridge: T SmsCode: SmsCode initialize completely_x000D_
          beginning of crash</t>
  </si>
  <si>
    <t>launchdarkly-android-client-sdk-76</t>
  </si>
  <si>
    <t>ConcurrentModificationException inside ConnectivityReceiver.onReceive</t>
  </si>
  <si>
    <t>There is a  ConcurrentModificationException  inside  ConnectivityReceiver onReceive   Below are the logs for this crash  _x000D_
_x000D_
Also  a similar thing might be happening inside  PollingUpdater onReceive   no crash logs for this  but there is a ANR report on the Play Console that refers to the  PollingUpdater  which seems to contain similar code to the  ConnectivityReceiver  _x000D_
_x000D_
   _x000D_
Fatal Exception: java lang RuntimeException: Error receiving broadcast Intent   act android net conn CONNECTIVITY CHANGE flg 0x4200010 (has extras)   in com launchdarkly android ConnectivityReceiver f08c875_x000D_
       at android app LoadedApk ReceiverDispatcher Args lambda getRunnable 0(LoadedApk java:1493)_x000D_
       at android app    Lambda LoadedApk ReceiverDispatcher Args  BumDX2UKsnxLVrE6UJsJZkotuA run(  java:2)_x000D_
       at android os Handler handleCallback(Handler java:873)_x000D_
       at android os Handler dispatchMessage(Handler java:99)_x000D_
       at android os Looper loop(Looper java:214)_x000D_
       at android app ActivityThread main(ActivityThread java:7045)_x000D_
       at java lang reflect Method invoke(Method java)_x000D_
       at com android internal os RuntimeInit MethodAndArgsCaller run(RuntimeInit java:493)_x000D_
       at com android internal os ZygoteInit main(ZygoteInit java:964)_x000D_
   _x000D_
   _x000D_
Caused by java util ConcurrentModificationException_x000D_
       at java util HashMap HashIterator nextNode(HashMap java:1441)_x000D_
       at java util HashMap KeyIterator next(HashMap java:1465)_x000D_
       at com launchdarkly android ConnectivityReceiver onReceive(ConnectivityReceiver java:29)_x000D_
       at android app LoadedApk ReceiverDispatcher Args lambda getRunnable 0(LoadedApk java:1483)_x000D_
       at android app    Lambda LoadedApk ReceiverDispatcher Args  BumDX2UKsnxLVrE6UJsJZkotuA run(  java:2)_x000D_
       at android os Handler handleCallback(Handler java:873)_x000D_
       at android os Handler dispatchMessage(Handler java:99)_x000D_
       at android os Looper loop(Looper java:214)_x000D_
       at android app ActivityThread main(ActivityThread java:7045)_x000D_
       at java lang reflect Method invoke(Method java)_x000D_
       at com android internal os RuntimeInit MethodAndArgsCaller run(RuntimeInit java:493)_x000D_
       at com android internal os ZygoteInit main(ZygoteInit java:964)_x000D_
   _x000D_
_x000D_
  SDK version  _x000D_
 com launchdarkly:launchdarkly android client sdk:2 8 3 _x000D_
_x000D_
  Language version  developer tools  _x000D_
Java 7_x000D_
_x000D_
  OS platform  _x000D_
Android 8 and 9</t>
  </si>
  <si>
    <t>Tencent-tinker-1119</t>
  </si>
  <si>
    <t>补丁合成成功，重启修复失败。</t>
  </si>
  <si>
    <t xml:space="preserve">     app     _x000D_
     HUAWEI ALP AL00 HWALP_x000D_
_x000D_
       Android 9 0_x000D_
_x000D_
tinker   1 9 6_x000D_
_x000D_
gradle   3 1 2_x000D_
_x000D_
       SDK  Bugly SDK_x000D_
_x000D_
   Mac_x000D_
_x000D_
   _x000D_
                                            _x000D_
      _x000D_
06 04 20:46:42 890 I Tinker TinkerResultService( 5118): tinker wait screen to restart process_x000D_
06 04 20:46:43 723 I CrashReport( 5118): Tinker patch success  result:_x000D_
06 04 20:46:58 454 I zhrzhang( 6192): delete file  data user 0 com kuaikan comic tinker info lock is true_x000D_
06 04 20:46:58 454 I zhrzhang( 6192): delete file  data user 0 com kuaikan comic tinker patch 4f0a821b patch 4f0a821b apk is true_x000D_
06 04 20:46:58 455 I zhrzhang( 6192): delete file  data user 0 com kuaikan comic tinker patch 4f0a821b dex changed classes dex jar is true_x000D_
06 04 20:46:58 455 I zhrzhang( 6192): delete file  data user 0 com kuaikan comic tinker patch 4f0a821b dex oat arm changed classes dex vdex is true_x000D_
06 04 20:46:58 456 I zhrzhang( 6192): delete file  data user 0 com kuaikan comic tinker patch 4f0a821b dex oat arm changed classes dex odex is true_x000D_
06 04 20:46:58 456 I zhrzhang( 6192): delete file  data user 0 com kuaikan comic tinker patch 4f0a821b dex oat arm tinker classN vdex is true_x000D_
06 04 20:46:58 456 I zhrzhang( 6192): delete file  data user 0 com kuaikan comic tinker patch 4f0a821b dex oat arm tinker classN odex is true_x000D_
06 04 20:46:58 456 I zhrzhang( 6192): delete file  data user 0 com kuaikan comic tinker patch 4f0a821b dex oat arm is true_x000D_
06 04 20:46:58 456 I zhrzhang( 6192): delete file  data user 0 com kuaikan comic tinker patch 4f0a821b dex oat is true_x000D_
06 04 20:46:58 457 I zhrzhang( 6192): delete file  data user 0 com kuaikan comic tinker patch 4f0a821b dex tinker classN apk is true_x000D_
06 04 20:46:58 457 I zhrzhang( 6192): delete file  data user 0 com kuaikan comic tinker patch 4f0a821b dex is true_x000D_
06 04 20:46:58 457 I zhrzhang( 6192): delete file  data user 0 com kuaikan comic tinker patch 4f0a821b odex is true_x000D_
06 04 20:46:58 458 I zhrzhang( 6192): delete file  data user 0 com kuaikan comic tinker patch 4f0a821b lib lib armeabi v7a libnative crash catcher so is true_x000D_
06 04 20:46:58 458 I zhrzhang( 6192): delete file  data user 0 com kuaikan comic tinker patch 4f0a821b lib lib armeabi v7a is true_x000D_
06 04 20:46:58 458 I zhrzhang( 6192): delete file  data user 0 com kuaikan comic tinker patch 4f0a821b lib lib is true_x000D_
06 04 20:46:58 458 I zhrzhang( 6192): delete file  data user 0 com kuaikan comic tinker patch 4f0a821b lib is true_x000D_
06 04 20:46:58 458 I zhrzhang( 6192): delete file  data user 0 com kuaikan comic tinker patch 4f0a821b is true_x000D_
06 04 20:46:58 458 I zhrzhang( 6192): delete file  data user 0 com kuaikan comic tinker patch info is true_x000D_
06 04 20:46:58 459 I zhrzhang( 6192): delete file  data user 0 com kuaikan comic tinker is true_x000D_
06 04 20:46:58 797 W MultiDexForTinker( 6192): not old makeDexElements try new makeDexElements_x000D_
06 04 20:46:58 797 W MultiDexForTinker( 6192): not makeDexElements try  makePathElements_x000D_
06 04 20:46:59 848 W Tinker TinkerLoader( 6192): tryLoadPatchFiles:patch dir not exist: data user 0 com kuaikan comic tinker_x000D_
06 04 20:46:59 849 D Tinker DefaultAppLike( 6192): onBaseContextAttached:_x000D_
06 04 20:46:59 849 I Tinker ReflectApp( 6192): with app realApplication from manifest applicationName:com kuaikan KKMHApp_x000D_
06 04 20:46:59 864 I Tinker TinkerPatchListener( 6192): application maxMemory:384_x000D_
06 04 20:46:59 867 W Tinker Tinker( 6192): tinker patch directory:  data user 0 com kuaikan comic tinker_x000D_
06 04 20:46:59 868 I Tinker Tinker( 6192): try to install tinker  isEnable: true  version: 1 9 6_x000D_
06 04 20:46:59 868 I Tinker TinkerLoadResult( 6192): parseTinkerResult loadCode: 2  process name:com kuaikan comic  main process:true  systemOTA:false  fingerPrint:HUAWEI ALP AL00 HWALP:9 HUAWEIALP AL00 187C00R1:user release keys  oatDir:null  useInterpretMode:false_x000D_
06 04 20:46:59 868 W Tinker TinkerLoadResult( 6192): can t find patch file  is ok  just return_x000D_
06 04 20:46:59 868 I Tinker DefaultLoadReporter( 6192): patch loadReporter onLoadResult: patch load result  path: data user 0 com kuaikan comic tinker  code:  2  cost: 3ms_x000D_
06 04 20:46:59 868 W Tinker Tinker( 6192): tinker load fail _x000D_
06 04 20:46:59 922 I CrashReport( 6192): backup java handler: com tencent bugly beta tinker TinkerUncaughtExceptionHandler 25acd30_x000D_
06 04 20:46:59 975 I CrashReport( 6192): TINKER ID:5 38 0 538000 0528 21 05 14_x000D_
06 04 20:46:59 975 I CrashReport( 6192): NEW TINKER ID:_x000D_
06 04 20:47:00 023 E Tinker ReflectApp( 6192): replaceApplicationLike delegateClass:class com tencent bugly beta tinker TinkerApplicationLike_x000D_
06 04 20:47:00 024 I Tinker ComponentHotplug( 6192): method install() is not invoked  ignore ensuring operations _x000D_
06 04 20:47:00 024 D Tinker DefaultAppLike( 6192): onCreate_x000D_
06 04 20:47:00 393 W SoLoader( 6192):   at com tencent bugly beta tinker TinkerPatchReflectApplication onCreate(BUGLY:189)_x000D_
06 04 20:47:00 611 I m kuaikan comi( 6192):   at void com tencent bugly beta tinker TinkerPatchReflectApplication onCreate() (BUGLY:189)_x000D_
06 04 20:47:00 611 I m kuaikan comi( 6192):   at void com tencent bugly beta tinker TinkerPatchReflectApplication onCreate() (BUGLY:189)_x000D_
06 04 20:47:00 612 I m kuaikan comi( 6192):   at void com tencent bugly beta tinker TinkerPatchReflectApplication onCreate() (BUGLY:189)_x000D_
06 04 20:47:00 612 I m kuaikan comi( 6192):   at void com tencent bugly beta tinker TinkerPatchReflectApplication onCreate() (BUGLY:189)_x000D_
06 04 20:47:00 613 I m kuaikan comi( 6192):   at void com tencent bugly beta tinker TinkerPatchReflectApplication onCreate() (BUGLY:189)_x000D_
06 04 20:47:00 613 I m kuaikan comi( 6192):   at void com tencent bugly beta tinker TinkerPatchReflectApplication onCreate() (BUGLY:189)_x000D_
06 04 20:47:00 613 I m kuaikan comi( 6192):   at void com tencent bugly beta tinker TinkerPatchReflectApplication onCreate() (BUGLY:189)_x000D_
06 04 20:47:00 613 I m kuaikan comi( 6192):   at void com tencent bugly beta tinker TinkerPatchReflectApplication onCreate() (BUGLY:189)_x000D_
06 04 20:47:00 929 W MultiDexForTinker( 6291): not old makeDexElements try new makeDexElements_x000D_
06 04 20:47:00 929 W MultiDexForTinker( 6291): not makeDexElements try  makePathElements_x000D_
06 04 20:47:01 212 W Tinker UpgradePatchRetry( 6192): onPatchRetryLoad patch file:  data user 0 com kuaikan comic tinker temp temp apk is not exist  just return_x000D_
06 04 20:47:02 225 W Tinker TinkerLoader( 6291): tryLoadPatchFiles:patch dir not exist: data user 0 com kuaikan comic tinker_x000D_
06 04 20:47:02 227 D Tinker DefaultAppLike( 6291): onBaseContextAttached:_x000D_
06 04 20:47:02 227 I Tinker ReflectApp( 6291): with app realApplication from manifest applicationName:com kuaikan KKMHApp_x000D_
06 04 20:47:02 244 I Tinker TinkerPatchListener( 6291): application maxMemory:384_x000D_
06 04 20:47:02 248 W Tinker Tinker( 6291): tinker patch directory:  data user 0 com kuaikan comic tinker_x000D_
06 04 20:47:02 249 I Tinker Tinker( 6291): try to install tinker  isEnable: true  version: 1 9 6_x000D_
06 04 20:47:02 249 I Tinker TinkerLoadResult( 6291): parseTinkerResult loadCode: 2  process name:com kuaikan comic:secondary  main process:false  systemOTA:false  fingerPrint:HUAWEI ALP AL00 HWALP:9 HUAWEIALP AL00 187C00R1:user release keys  oatDir:null  useInterpretMode:false_x000D_
06 04 20:47:02 250 W Tinker TinkerLoadResult( 6291): can t find patch file  is ok  just return_x000D_
06 04 20:47:02 250 I Tinker DefaultLoadReporter( 6291): patch loadReporter onLoadResult: patch load result  path: data user 0 com kuaikan comic tinker  code:  2  cost: 3ms_x000D_
06 04 20:47:02 250 W Tinker Tinker( 6291): tinker load fail _x000D_
06 04 20:47:02 309 I CrashReport( 6291): backup java handler: com tencent bugly beta tinker TinkerUncaughtExceptionHandler 25acd30_x000D_
06 04 20:47:02 355 E Tinker ReflectApp( 6291): replaceApplicationLike delegateClass:class com tencent bugly beta tinker TinkerApplicationLike_x000D_
06 04 20:47:02 357 I Tinker ComponentHotplug( 6291): method install() is not invoked  ignore ensuring operations _x000D_
06 04 20:47:02 357 D Tinker DefaultAppLike( 6291): onCreate_x000D_
06 04 20:47:02 734 W Tinker UpgradePatchRetry( 6291): onPatchRetryLoad retry is not main process  just return_x000D_
_x000D_
_x000D_
</t>
  </si>
  <si>
    <t>RamiJ3mli-PercentageChartView-14</t>
  </si>
  <si>
    <t>Crash on Android 8.0.0</t>
  </si>
  <si>
    <t>once i put these lines in xml:_x000D_
_x000D_
 com ramijemli percentagechartview PercentageChartView_x000D_
        android:id    id deliveryTimeProgress _x000D_
        android:layout width  24dp _x000D_
        android:layout height  24dp _x000D_
        android:layout marginStart  24dp _x000D_
        android:layout marginTop  8dp _x000D_
        app:pcv mode  pie _x000D_
        app:pcv orientation  counter clockwise _x000D_
        app:pcv animDuration  800 _x000D_
        app:pcv progress  10 _x000D_
        app:pcv startAngle  90 _x000D_
        android:visibility  invisible _x000D_
        app:layout constraintStart toEndOf    id pickupImageView _x000D_
        app:layout constraintTop toTopOf    id pickupImageView _x000D_
        tools:visibility  visible    _x000D_
_x000D_
I find this crash :_x000D_
_x000D_
java lang NullPointerException: Attempt to get length of null array_x000D_
        at android graphics LinearGradient  init (LinearGradient java:60)_x000D_
        at com ramijemli percentagechartview renderer PieModeRenderer setupGradientColors(PieModeRenderer java:129)_x000D_
        at com ramijemli percentagechartview renderer PieModeRenderer measure(PieModeRenderer java:67)_x000D_
        at com ramijemli percentagechartview PercentageChartView onMeasure(PercentageChartView java:168)_x000D_
        at android view View measure(View java:22024)_x000D_
        at androidx constraintlayout widget ConstraintLayout internalMeasureChildren(ConstraintLayout java:1227)_x000D_
        at androidx constraintlayout widget ConstraintLayout onMeasure(ConstraintLayout java:1572)_x000D_
        at android view View measure(View java:22024)_x000D_
        at android view ViewGroup measureChildWithMargins(ViewGroup java:6582)_x000D_
        at android widget FrameLayout onMeasure(FrameLayout java:185)_x000D_
        at android view View measure(View java:22024)_x000D_
        at android view ViewGroup measureChildWithMargins(ViewGroup java:6582)_x000D_
        at android widget LinearLayout measureChildBeforeLayout(LinearLayout java:1514)_x000D_
        at android widget LinearLayout measureVertical(LinearLayout java:806)_x000D_
        at android widget LinearLayout onMeasure(LinearLayout java:685)_x000D_
        at android view View measure(View java:22024)_x000D_
        at android view ViewGroup measureChildWithMargins(ViewGroup java:6582)_x000D_
        at android widget FrameLayout onMeasure(FrameLayout java:185)_x000D_
        at com android internal policy DecorView onMeasure(DecorView java:724)_x000D_
        at android view View measure(View java:22024)_x000D_
        at android view ViewRootImpl performMeasure(ViewRootImpl java:2456)_x000D_
        at android view ViewRootImpl measureHierarchy(ViewRootImpl java:1538)_x000D_
        at android view ViewRootImpl performTraversals(ViewRootImpl java:1791)_x000D_
        at android view ViewRootImpl doTraversal(ViewRootImpl java:1426)_x000D_
        at android view ViewRootImpl TraversalRunnable run(ViewRootImpl java:6873)_x000D_
        at android view Choreographer CallbackRecord run(Choreographer java:1026)_x000D_
        at android view Choreographer doCallbacks(Choreographer java:838)_x000D_
        at android view Choreographer doFrame(Choreographer java:769)_x000D_
        at android view Choreographer FrameDisplayEventReceiver run(Choreographer java:1012)_x000D_
        at android os Handler handleCallback(Handler java:792)_x000D_
        at android os Handler dispatchMessage(Handler java:98)_x000D_
        at android os Looper loop(Looper java:176)_x000D_
        at android app ActivityThread main(ActivityThread java:6701)_x000D_
        at java lang reflect Method invoke(Native Method)_x000D_
        at com android internal os Zygote MethodAndArgsCaller run(Zygote java:246)_x000D_
        at com android internal os ZygoteInit main(ZygoteInit java:783)</t>
  </si>
  <si>
    <t>ElderDrivers-EdXposed-276</t>
  </si>
  <si>
    <t>[BUG] XModuleResources.createInstance causes Resources$NotFoundException</t>
  </si>
  <si>
    <t xml:space="preserve">       What happened   _x000D_
MinMinGuard crashes and app icon changes to the default app icon when drawable abc vector test isnt found  This only happens when XModuleResources createInstance() is called with startupParam modulePath null inside initZygote  It only seems to happen on certain devices  especially on chinese phones like xiaomi _x000D_
           _x000D_
_x000D_
  Xposed     Xposed Module List  _x000D_
_x000D_
     Screenshot allowed_x000D_
_x000D_
  Magisk     Magisk Module List  _x000D_
_x000D_
     Screenshot allowed_x000D_
_x000D_
  EdXposed Riru   Versions of EdXposed and Riru  _x000D_
Happens on all EdXposed versions   0 2 9 8  Older versions doesnt seem to have this problem  though this is only reported to me  I dont have a phone to test it with_x000D_
_x000D_
    Logcat Logcat  _x000D_
https:  dl xda developers com 4 7 6 6 7 4 8 alogcat 2019 05 27 16 50 04 0300 txt key IFvkcfnplg1oQOw MAx2QQ ts 1559590649_x000D_
</t>
  </si>
  <si>
    <t>MozillaReality-FirefoxReality-1295</t>
  </si>
  <si>
    <t>FirefoxReality Crash Report [@ java.lang.IllegalStateException: at org.mozilla.geckoview.GeckoSession.acquireDisplay(GeckoSession.java) ]</t>
  </si>
  <si>
    <t>https:  crash stats mozilla com signature  product FirefoxReality signature java lang IllegalStateException 3A 20at 20org mozilla geckoview GeckoSession acquireDisplay 28GeckoSession java 29 date  3E 3D2018 11 30T17 3A43 3A00 000Z date  3C2019 05 30T17 3A43 3A00 000Z  columns date  columns product  columns version  columns build id  columns platform  columns reason  columns address  columns install time  columns startup crash  sort  date page 1</t>
  </si>
  <si>
    <t>GreatApo-GreatFit-48</t>
  </si>
  <si>
    <t>Moon widget crushes the watch</t>
  </si>
  <si>
    <t xml:space="preserve">Hello _x000D_
I have strtos with last officially firmware _x000D_
After last release (3 9) I ve deleted last watch  cleared cashe and install the new one _x000D_
Moon widget set in widget window  5 _x000D_
It was OK till 23:59 hour  At 00:00 was fully crashed  Display works  but no reaction on buttons  Only hard reset througth turn on button press  10 secs _x000D_
_x000D_
Current config (without moon widget only) below:_x000D_
  photo5451700910955801188 (https:  user images githubusercontent com 23495999 58809998 b0d26080 8625 11e9 8ab2 d3bb20400f10 jpg)_x000D_
_x000D_
</t>
  </si>
  <si>
    <t>react-native-share-react-native-share-515</t>
  </si>
  <si>
    <t>Android : Unable to get provider cl.json.RNShareFileProvider</t>
  </si>
  <si>
    <t xml:space="preserve">Hi there _x000D_
_x000D_
I was using your plugin for weeks  and it was working well  But today  after updating some plugins  which yours   I am getting my Android app crashing on launch :_x000D_
_x000D_
  Unable to get provider cl json RNShareFileProvider: java lang ClassNotFoundException: Didn t find class  cl json RNShareFileProvider  on path: DexPathList _x000D_
_x000D_
If I removed your plugin  my application works just fine  Any idea to solve this issue   I followed the manual link installation_x000D_
_x000D_
    Environment_x000D_
    React Native version  : 0 59 8_x000D_
    React Native platform   platform version  : Android_x000D_
_x000D_
    react native share_x000D_
  Version  :  1 21_x000D_
_x000D_
Thanking you in advance_x000D_
_x000D_
</t>
  </si>
  <si>
    <t>0x5ECF4ULT-PanicTrigger-25</t>
  </si>
  <si>
    <t>[BUG] The app crashed when i disallow all permission and clicked on the big red button.</t>
  </si>
  <si>
    <t xml:space="preserve">  Describe the bug  _x000D_
When I launched the app I disallow all permission  and I allowed the disclaimer as it shows in the app  when I got to the big red button  the app crashed when I pressed it _x000D_
_x000D_
  To Reproduce  _x000D_
_x000D_
1  Launch the app_x000D_
2  Disallow all permission and allowed the disclaimer _x000D_
3  Another message on the screen is to configure contacts_x000D_
4  Then click  No Thanks   The next popup is  WARNING  _x000D_
5  Click on YES and click on TRIGGER_x000D_
4  See error_x000D_
_x000D_
  Expected behavior  _x000D_
I expect to receive a popup message that I need to allow permission and set a contact to use the app _x000D_
_x000D_
  Screenshots  _x000D_
https:  youtu be wNXEKFg6Ib4_x000D_
_x000D_
  Smartphone _x000D_
   Device:  Gionee X1 _x000D_
   OS:  7 1 _x000D_
   Application version  0 4 4 _x000D_
_x000D_
    Log_x000D_
   06 03 09:38:14 235 31038 31038 E AndroidRuntime: FATAL EXCEPTION: main_x000D_
06 03 09:38:14 235 31038 31038 E AndroidRuntime: Process: at tacticaldevc panictrigger  PID: 31038_x000D_
06 03 09:38:14 235 31038 31038 E AndroidRuntime: java lang IllegalStateException: Could not execute method for android:onClick_x000D_
06 03 09:38:14 235 31038 31038 E AndroidRuntime: 	at android support v7 app AppCompatViewInflater DeclaredOnClickListener onClick(AppCompatViewInflater java:390)_x000D_
06 03 09:38:14 235 31038 31038 E AndroidRuntime: 	at android view View performClick(View java:5209)_x000D_
06 03 09:38:14 235 31038 31038 E AndroidRuntime: 	at android view View PerformClick run(View java:21166)_x000D_
06 03 09:38:14 235 31038 31038 E AndroidRuntime: 	at android os Handler handleCallback(Handler java:739)_x000D_
06 03 09:38:14 235 31038 31038 E AndroidRuntime: 	at android os Handler dispatchMessage(Handler java:95)_x000D_
06 03 09:38:14 235 31038 31038 E AndroidRuntime: 	at android os Looper loop(Looper java:148)_x000D_
06 03 09:38:14 235 31038 31038 E AndroidRuntime: 	at android app ActivityThread main(ActivityThread java:5452)_x000D_
06 03 09:38:14 235 31038 31038 E AndroidRuntime: 	at java lang reflect Method invoke(Native Method)_x000D_
06 03 09:38:14 235 31038 31038 E AndroidRuntime: 	at com android internal os ZygoteInit MethodAndArgsCaller run(ZygoteInit java:781)_x000D_
06 03 09:38:14 235 31038 31038 E AndroidRuntime: 	at com android internal os ZygoteInit main(ZygoteInit java:671)_x000D_
06 03 09:38:14 235 31038 31038 E AndroidRuntime: Caused by: java lang reflect InvocationTargetException_x000D_
06 03 09:38:14 235 31038 31038 E AndroidRuntime: 	at java lang reflect Method invoke(Native Method)_x000D_
06 03 09:38:14 235 31038 31038 E AndroidRuntime: 	at android support v7 app AppCompatViewInflater DeclaredOnClickListener onClick(AppCompatViewInflater java:385)_x000D_
06 03 09:38:14 235 31038 31038 E AndroidRuntime: 	    9 more_x000D_
06 03 09:38:14 235 31038 31038 E AndroidRuntime: Caused by: java lang SecurityException: Permission Denial: starting Intent   act android intent action CALL dat tel:xxx cmp com android server telecom  components UserCallActivity   from ProcessRecord 5cf19b3 31038:at tacticaldevc panictrigger u0a229  (pid 31038  uid 10229) with revoked permission android permission CALL PHONE_x000D_
06 03 09:38:14 235 31038 31038 E AndroidRuntime: 	at android os Parcel readException(Parcel java:1599)_x000D_
06 03 09:38:14 235 31038 31038 E AndroidRuntime: 	at android os Parcel readException(Parcel java:1552)_x000D_
06 03 09:38:14 235 31038 31038 E AndroidRuntime: 	at android app ActivityManagerProxy startActivity(ActivityManagerNative java:2730)_x000D_
06 03 09:38:14 235 31038 31038 E AndroidRuntime: 	at android app Instrumentation execStartActivity(Instrumentation java:1510)_x000D_
06 03 09:38:14 235 31038 31038 E AndroidRuntime: 	at android app Activity startActivityForResult(Activity java:3935)_x000D_
06 03 09:38:14 235 31038 31038 E AndroidRuntime: 	at android support v4 app FragmentActivity startActivityForResult(FragmentActivity java:767)_x000D_
06 03 09:38:14 235 31038 31038 E AndroidRuntime: 	at android app Activity startActivityForResult(Activity java:3895)_x000D_
06 03 09:38:14 235 31038 31038 E AndroidRuntime: 	at android support v4 app FragmentActivity startActivityForResult(FragmentActivity java:754)_x000D_
06 03 09:38:14 235 31038 31038 E AndroidRuntime: 	at android app Activity startActivity(Activity java:4267)_x000D_
06 03 09:38:14 235 31038 31038 E AndroidRuntime: 	at android app Activity startActivity(Activity java:4235)_x000D_
06 03 09:38:14 235 31038 31038 E AndroidRuntime: 	at at tacticaldevc panictrigger TriggerActivity getCurrentLocationAndPanic(TriggerActivity java:162)_x000D_
06 03 09:38:14 235 31038 31038 E AndroidRuntime: 	at at tacticaldevc panictrigger TriggerActivity onClick(TriggerActivity java:133)   _x000D_
_x000D_
_x000D_
</t>
  </si>
  <si>
    <t>JavaCafe01-PdfViewer-26</t>
  </si>
  <si>
    <t>[PdfViewer][v2.8]The app crashes i click back icon from about page.</t>
  </si>
  <si>
    <t xml:space="preserve"> h4 Actual  Behaviour   h4 _x000D_
App  crashes if i click back icon from about page _x000D_
 h4 Expected behavior  h4 _x000D_
Expected  that i can go back successfully without crashing the app  h4 _x000D_
 ol _x000D_
 li Install  and open the app  li _x000D_
 li Load a pdf by clicking     sign(you must laod a pdf to reproduce the bug)   li _x000D_
 li click three horizontal dot in the top  li _x000D_
 li Click about  li _x000D_
 li Click Replay intro   li _x000D_
 li After replaying click the back icon from page  li _x000D_
 li See the error  li _x000D_
  ol _x000D_
 h4 Information  h4 _x000D_
 ul _x000D_
 li App version:v2 8  li _x000D_
 li OS:Android 9 0  li _x000D_
 li Device:Samsung A10  li _x000D_
  ul _x000D_
 h4 Recording Of The Bug  h4 _x000D_
 a href  https:  youtu be 4AxtB4ilb3s  https:  youtu be 4AxtB4ilb3s  a _x000D_
 h4 LogCat  h4 _x000D_
 pre _x000D_
 code _x000D_
06 03 06:55:07 894  8155  8155 E AndroidRuntime: FATAL EXCEPTION: main_x000D_
06 03 06:55:07 894  8155  8155 E AndroidRuntime: Process: com gsnathan pdfviewer  PID: 8155_x000D_
06 03 06:55:07 894  8155  8155 E AndroidRuntime: java lang NullPointerException: Attempt to invoke virtual method  java lang String java lang Object toString()  on a null object reference_x000D_
06 03 06:55:07 894  8155  8155 E AndroidRuntime: 	at com jaredrummler cyanea b e m(Unknown Source:83)_x000D_
06 03 06:55:07 894  8155  8155 E AndroidRuntime: 	at com jaredrummler cyanea b e b(Unknown Source:8)_x000D_
06 03 06:55:07 894  8155  8155 E AndroidRuntime: 	at com jaredrummler cyanea a d onStart(Unknown Source:7)_x000D_
06 03 06:55:07 894  8155  8155 E AndroidRuntime: 	at android app Instrumentation callActivityOnStart(Instrumentation java:1395)_x000D_
06 03 06:55:07 894  8155  8155 E AndroidRuntime: 	at android app Activity performStart(Activity java:7348)_x000D_
06 03 06:55:07 894  8155  8155 E AndroidRuntime: 	at android app ActivityThread handleStartActivity(ActivityThread java:3139)_x000D_
06 03 06:55:07 894  8155  8155 E AndroidRuntime: 	at android app servertransaction TransactionExecutor performLifecycleSequence(TransactionExecutor java:180)_x000D_
06 03 06:55:07 894  8155  8155 E AndroidRuntime: 	at android app servertransaction TransactionExecutor cycleToPath(TransactionExecutor java:165)_x000D_
06 03 06:55:07 894  8155  8155 E AndroidRuntime: 	at android app servertransaction TransactionExecutor executeLifecycleState(TransactionExecutor java:142)_x000D_
06 03 06:55:07 894  8155  8155 E AndroidRuntime: 	at android app servertransaction TransactionExecutor execute(TransactionExecutor java:70)_x000D_
06 03 06:55:07 894  8155  8155 E AndroidRuntime: 	at android app ActivityThread H handleMessage(ActivityThread java:1955)_x000D_
06 03 06:55:07 894  8155  8155 E AndroidRuntime: 	at android os Handler dispatchMessage(Handler java:106)_x000D_
06 03 06:55:07 894  8155  8155 E AndroidRuntime: 	at android os Looper loop(Looper java:214)_x000D_
06 03 06:55:07 894  8155  8155 E AndroidRuntime: 	at android app ActivityThread main(ActivityThread java:7073)_x000D_
06 03 06:55:07 894  8155  8155 E AndroidRuntime: 	at java lang reflect Method invoke(Native Method)_x000D_
06 03 06:55:07 894  8155  8155 E AndroidRuntime: 	at com android internal os RuntimeInit MethodAndArgsCaller run(RuntimeInit java:493)_x000D_
06 03 06:55:07 894  8155  8155 E AndroidRuntime: 	at com android internal os ZygoteInit main(ZygoteInit java:964)_x000D_
  code _x000D_
  pre _x000D_
</t>
  </si>
  <si>
    <t>nextcloud-android-4107</t>
  </si>
  <si>
    <t>Nextcloud-dev crashed while open txt files</t>
  </si>
  <si>
    <t xml:space="preserve">Hi nextcloudies 
since yesterday my nextcloud dev app crashed if i try to open a txt file  Pics  odt  pdf etc works well  Also the 3 6 2 app from GStore works well  Could this caused by installation of carnet from nc app store yesterday </t>
  </si>
  <si>
    <t>MozillaReality-FirefoxReality-1287</t>
  </si>
  <si>
    <t>Crash Report [@ java.lang.NullPointerException: at org.mozilla.vrbrowser.ui.widgets.KeyboardWidget.displayComposingText(KeyboardWidget.java) ]</t>
  </si>
  <si>
    <t>https:  crash stats mozilla com report index d86155a7 3311 4c70 b366 6318f0190529</t>
  </si>
  <si>
    <t>bp713-GPIG-Team-A-32</t>
  </si>
  <si>
    <t>Map Zoom Error</t>
  </si>
  <si>
    <t xml:space="preserve">Occasionally get the following bug where the app crashes so have wrapped it in a try catch for now  IT seems to think north is outside the allowed range when it isnt _x000D_
_x000D_
   _x000D_
2019 05 31 14:55:30 755 9686 9686 com gpig a W System err: java lang IllegalArgumentException: north must be in   85 05112877980658 85 05112877980658 _x000D_
2019 05 31 14:55:30 755 9686 9686 com gpig a W System err:     at org osmdroid util BoundingBox set(BoundingBox java:67)_x000D_
2019 05 31 14:55:30 755 9686 9686 com gpig a W System err:     at org osmdroid views Projection refresh(Projection java:666)_x000D_
2019 05 31 14:55:30 756 9686 9686 com gpig a W System err:     at org osmdroid views Projection  init (Projection java:99)_x000D_
2019 05 31 14:55:30 756 9686 9686 com gpig a W System err:     at org osmdroid views Projection  init (Projection java:110)_x000D_
2019 05 31 14:55:30 756 9686 9686 com gpig a W System err:     at org osmdroid views MapView zoomToBoundingBox(MapView java:545)_x000D_
2019 05 31 14:55:30 756 9686 9686 com gpig a W System err:     at org osmdroid views MapView zoomToBoundingBox(MapView java:571)_x000D_
2019 05 31 14:55:30 756 9686 9686 com gpig a W System err:     at com gpig a MapFragment 4 processFinish(MapFragment java:175)_x000D_
2019 05 31 14:55:30 756 9686 9686 com gpig a W System err:     at com gpig a MapFragment RouteCourierTask onPostExecute(MapFragment java:373)_x000D_
2019 05 31 14:55:30 756 9686 9686 com gpig a W System err:     at com gpig a MapFragment RouteCourierTask onPostExecute(MapFragment java:352)_x000D_
2019 05 31 14:55:30 756 9686 9686 com gpig a W System err:     at android os AsyncTask finish(AsyncTask java:727)_x000D_
2019 05 31 14:55:30 756 9686 9686 com gpig a W System err:     at android os AsyncTask access 600(AsyncTask java:180)_x000D_
2019 05 31 14:55:30 756 9686 9686 com gpig a W System err:     at android os AsyncTask InternalHandler handleMessage(AsyncTask java:744)_x000D_
2019 05 31 14:55:30 756 9686 9686 com gpig a W System err:     at android os Handler dispatchMessage(Handler java:109)_x000D_
2019 05 31 14:55:30 756 9686 9686 com gpig a W System err:     at android os Looper loop(Looper java:207)_x000D_
2019 05 31 14:55:30 756 9686 9686 com gpig a W System err:     at android app ActivityThread main(ActivityThread java:7470)_x000D_
2019 05 31 14:55:30 756 9686 9686 com gpig a W System err:     at java lang reflect Method invoke(Native Method)_x000D_
2019 05 31 14:55:30 756 9686 9686 com gpig a W System err:     at com android internal os RuntimeInit MethodAndArgsCaller run(RuntimeInit java:524)_x000D_
2019 05 31 14:55:30 756 9686 9686 com gpig a W System err:     at com android internal os ZygoteInit main(ZygoteInit java:958)_x000D_
2019 05 31 14:55:30 756 9686 9686 com gpig a I MapFragment: processFinish: N:54 010276  E: 1 012899  S:53 943941  W: 1 549866_x000D_
   </t>
  </si>
  <si>
    <t>fossasia-pslab-android-1759</t>
  </si>
  <si>
    <t>App crashes on clicking export data option of multimeter</t>
  </si>
  <si>
    <t xml:space="preserve">  Actual Behaviour  _x000D_
App crashes on clicking export data option of multimeter_x000D_
     Please state here what is currently happening     _x000D_
_x000D_
  Expected Behaviour  _x000D_
App should not crash and a log file should be created_x000D_
     State here what the feature should enable the user to do     _x000D_
_x000D_
  Steps to reproduce it  _x000D_
1  Record data in multimeter_x000D_
2  Pause and select export data option_x000D_
     Add steps to reproduce bugs or add information on the place where the feature should be implemented  Add links to a sample deployment or code     _x000D_
_x000D_
  LogCat for the issue  _x000D_
2019 05 31 12:45:57 070 23742 23742 io pslab E AndroidRuntime: FATAL EXCEPTION: main_x000D_
    Process: io pslab  PID: 23742_x000D_
    java lang NullPointerException: Attempt to invoke virtual method  boolean java io File exists()  on a null object reference_x000D_
        at io pslab others CSVLogger writeCSVFile(CSVLogger java:83)_x000D_
        at io pslab activity MultimeterActivity onOptionsItemSelected(MultimeterActivity java:428)_x000D_
        at android app Activity onMenuItemSelected(Activity java:3469)_x000D_
        at android support v4 app FragmentActivity onMenuItemSelected(FragmentActivity java:436)_x000D_
        at android support v7 app AppCompatActivity onMenuItemSelected(AppCompatActivity java:196)_x000D_
        at android support v7 view WindowCallbackWrapper onMenuItemSelected(WindowCallbackWrapper java:109)_x000D_
        at android support v7 view WindowCallbackWrapper onMenuItemSelected(WindowCallbackWrapper java:109)_x000D_
        at android support v7 app ToolbarActionBar 2 onMenuItemClick(ToolbarActionBar java:64)_x000D_
        at android support v7 widget Toolbar 1 onMenuItemClick(Toolbar java:204)_x000D_
        at android support v7 widget ActionMenuView MenuBuilderCallback onMenuItemSelected(ActionMenuView java:781)_x000D_
        at android support v7 view menu MenuBuilder dispatchMenuItemSelected(MenuBuilder java:840)_x000D_
        at android support v7 view menu MenuItemImpl invoke(MenuItemImpl java:158)_x000D_
        at android support v7 view menu MenuBuilder performItemAction(MenuBuilder java:991)_x000D_
        at android support v7 view menu MenuPopup onItemClick(MenuPopup java:128)_x000D_
        at android widget AdapterView performItemClick(AdapterView java:318)_x000D_
        at android widget AbsListView performItemClick(AbsListView java:1158)_x000D_
        at android widget AbsListView PerformClick run(AbsListView java:3153)_x000D_
        at android widget AbsListView 3 run(AbsListView java:4068)_x000D_
        at android os Handler handleCallback(Handler java:790)_x000D_
        at android os Handler dispatchMessage(Handler java:99)_x000D_
        at android os Looper loop(Looper java:164)_x000D_
        at android app ActivityThread main(ActivityThread java:6626)_x000D_
        at java lang reflect Method invoke(Native Method)_x000D_
        at com android internal os RuntimeInit MethodAndArgsCaller run(RuntimeInit java:438)_x000D_
        at com android internal os ZygoteInit main(ZygoteInit java:811)_x000D_
     Provide logs for the crash here    _x000D_
_x000D_
  Screenshots of the issue  _x000D_
  20190531 124551 (https:  user images githubusercontent com 32041242 58688770 00552a00 83a3 11e9 830d 50c01e609b99 gif)_x000D_
_x000D_
     Where ever possible add a screenshot of the issue     _x000D_
_x000D_
  Would you like to work on the issue   _x000D_
yes_x000D_
     Let us know if this issue should be assigned to you or tell us who you think could help to solve this issue     _x000D_
</t>
  </si>
  <si>
    <t>MozillaReality-FirefoxReality-1282</t>
  </si>
  <si>
    <t>Java crash reports contain the wrong version and build id</t>
  </si>
  <si>
    <t xml:space="preserve">   Hardware_x000D_
      Include the name and version of the hardware VR headset you experienced the bug in     _x000D_
All_x000D_
   Steps to Reproduce_x000D_
      For bugs  please provide a link to a live web site  test page  or a rough set of    _x000D_
      steps to reproduce this bug  If relevant  include code to reproduce     _x000D_
      Feel free to attach images and GIFs of screen captures     _x000D_
1  Cause a java crash_x000D_
2  Report crash_x000D_
_x000D_
   Current Behavior_x000D_
      If describing a bug  tell us what happens instead of the expected behavior     _x000D_
      If suggesting a change improvement  explain the difference from current behavior     _x000D_
Crash does not show up in FirefoxReality crash reports on crash stats _x000D_
_x000D_
   Expected Behavior_x000D_
      If you re describing a bug  tell us what should happen     _x000D_
      If you re suggesting a change improvement  tell us how it should work     _x000D_
Java crashes should be visible on crash stats _x000D_
_x000D_
   Possible Solution_x000D_
       Optional     _x000D_
      Feel free to suggest a fix reason for the bug     _x000D_
      or ideas how to implement the addition or change     _x000D_
Ensure the crash reports have the correct version and build id _x000D_
_x000D_
   Context_x000D_
       Optional     _x000D_
      How has this issue affected you  What are you trying to accomplish     _x000D_
      Providing context helps us come up with a solution that is most useful in the real world  :)    _x000D_
Crash stats finds FxR crashes using both the app name and the geckoview version  Java crashes were using the FxR version instead and thus were not showing up with the native crashes _x000D_
</t>
  </si>
  <si>
    <t>MozillaReality-FirefoxReality-1281</t>
  </si>
  <si>
    <t>Java crash reporter broken</t>
  </si>
  <si>
    <t xml:space="preserve">   Hardware_x000D_
      Include the name and version of the hardware VR headset you experienced the bug in     _x000D_
All_x000D_
   Steps to Reproduce_x000D_
      For bugs  please provide a link to a live web site  test page  or a rough set of    _x000D_
      steps to reproduce this bug  If relevant  include code to reproduce     _x000D_
      Feel free to attach images and GIFs of screen captures     _x000D_
1  Cause a java crash in FxR_x000D_
_x000D_
   Current Behavior_x000D_
      If describing a bug  tell us what happens instead of the expected behavior     _x000D_
      If suggesting a change improvement  explain the difference from current behavior     _x000D_
App doesn t restart _x000D_
_x000D_
   Expected Behavior_x000D_
      If you re describing a bug  tell us what should happen     _x000D_
      If you re suggesting a change improvement  tell us how it should work     _x000D_
App should restart and present a crash dialog so that the report may be submitted _x000D_
_x000D_
   Possible Solution_x000D_
       Optional     _x000D_
      Feel free to suggest a fix reason for the bug     _x000D_
      or ideas how to implement the addition or change     _x000D_
Fix the infinite restart code so that it doens t block restarts after normal crashes _x000D_
</t>
  </si>
  <si>
    <t>MozillaReality-FirefoxReality-1280</t>
  </si>
  <si>
    <t>Fix Java crash reporter</t>
  </si>
  <si>
    <t xml:space="preserve">Java crashes did not have the correct version or build id set and were thus not showing up on crash stats _x000D_
Additionally  the infinite loop crash prevention code was bocking the app from restarting after a normal_x000D_
crash  So now in addition to keeping a time stamp  a count is kept so it is know if FxR has restarted_x000D_
multiple times in a short period </t>
  </si>
  <si>
    <t>chemicaltools-color-android-15</t>
  </si>
  <si>
    <t>App crash after opened image and click in"touch to see color"</t>
  </si>
  <si>
    <t xml:space="preserve">     EXPECTED BEHAVIOR_x000D_
this application will display the color name when the user wants to see the color of a photo they choose_x000D_
     ACTUAL BEHAVIOR_x000D_
the app will crash when user click on touch to see color_x000D_
     STEP TO REPRODUCE_x000D_
  install and open the app_x000D_
  click on open option_x000D_
  chose any pic _x000D_
  click on touch to see color and note the bug_x000D_
     ERROR RECORDING_x000D_
https:  youtu be qKKdFAFR9pM_x000D_
BROWSER_x000D_
   OS            :ANDROID 6 1_x000D_
   DEVICE     :OPPO NEO 5_x000D_
   APP          :COLOR V1 3_x000D_
Here is log cat_x000D_
   FATAL EXCEPTION: main_x000D_
Process: com njzjz color  PID: 24301_x000D_
java lang ArithmeticException: divide by zero_x000D_
	at com njzjz color MainActivity getrgb(MainActivity java:329)_x000D_
	at com njzjz color MainActivity 3 onTouch(MainActivity java:224)_x000D_
	at android view View dispatchTouchEvent(View java:8582)_x000D_
	at android view ViewGroup dispatchTransformedTouchEvent(ViewGroup java:2530)_x000D_
	at android view ViewGroup dispatchTouchEvent(ViewGroup java:2110)_x000D_
	at android view ViewGroup dispatchTransformedTouchEvent(ViewGroup java:2530)_x000D_
	at android view ViewGroup dispatchTouchEvent(ViewGroup java:2110)_x000D_
	at android view ViewGroup dispatchTransformedTouchEvent(ViewGroup java:2530)_x000D_
	at android view ViewGroup dispatchTouchEvent(ViewGroup java:2110)_x000D_
	at android view ViewGroup dispatchTransformedTouchEvent(ViewGroup java:2530)_x000D_
	at android view ViewGroup dispatchTouchEvent(ViewGroup java:2110)_x000D_
	at android view ViewGroup dispatchTransformedTouchEvent(ViewGroup java:2530)_x000D_
	at android view ViewGroup dispatchTouchEvent(ViewGroup java:2110)_x000D_
	at android view ViewGroup dispatchTransformedTouchEvent(ViewGroup java:2530)_x000D_
	at android view ViewGroup dispatchTouchEvent(ViewGroup java:2110)_x000D_
	at com android internal policy impl PhoneWindow DecorView superDispatchTouchEvent(PhoneWindow java:2538)_x000D_
	at com android internal policy impl PhoneWindow superDispatchTouchEvent(PhoneWindow java:1811)_x000D_
	at android app Activity dispatchTouchEvent(Activity java:2820)_x000D_
	at android support v7 view WindowCallbackWrapper dispatchTouchEvent(WindowCallbackWrapper java:60)_x000D_
	at com android internal policy impl PhoneWindow DecorView dispatchTouchEvent(PhoneWindow java:2476)_x000D_
	at android view View dispatchPointerEvent(View java:8799)_x000D_
	at android view ViewRootImpl ViewPostImeInputStage processPointerEvent(ViewRootImpl java:4729)_x000D_
	at android view ViewRootImpl ViewPostImeInputStage onProcess(ViewRootImpl java:4551)_x000D_
	at android view ViewRootImpl InputStage deliver(ViewRootImpl java:4047)_x000D_
	at android view ViewRootImpl InputStage onDeliverToNext(ViewRootImpl java:4106)_x000D_
	at android view ViewRootImpl InputStage forward(ViewRootImpl java:4066)_x000D_
	at android view ViewRootImpl AsyncInputStage forward(ViewRootImpl java:4209)_x000D_
	at android view ViewRootImpl InputStage apply(ViewRootImpl java:4074)_x000D_
	at android view ViewRootImpl AsyncInputStage apply(ViewRootImpl java:4266)_x000D_
	at android view ViewRootImpl InputStage deliver(ViewRootImpl java:4047)_x000D_
	at android view ViewRootImpl InputStage onDeliverToNext(ViewRootImpl java:4106)_x000D_
	at android view ViewRootImpl InputStage forward(ViewRootImpl java:4066)_x000D_
	at android view ViewRootImpl InputStage apply(ViewRootImpl java:4074)_x000D_
	at android view ViewRootImpl InputStage deliver(ViewRootImpl java:4047)_x000D_
	at android view ViewRootImpl deliverInputEvent(ViewRootImpl java:6530)_x000D_
	at android view ViewRootImpl doProcessInputEvents(ViewRootImpl java:6504)_x000D_
	at android view ViewRootImpl enqueueInputEvent(ViewRootImpl java:6457)_x000D_
	at android view ViewRootImpl WindowInputEventReceiver onInputEvent(ViewRootImpl java:6689)_x000D_
	at android view InputEventReceiver dispatchInputEvent(InputEventReceiver java:218)_x000D_
	at android os MessageQueue nativePollOnce(Native Method)_x000D_
	at android os MessageQueue next(MessageQueue java:148)_x000D_
	at android os Looper loop(Looper java:168)_x000D_
	at android app ActivityThread main(ActivityThread java:5657)_x000D_
	at java lang reflect Method invoke(Native Method)_x000D_
	at java lang reflect Method invoke(Method java:372)_x000D_
	at com android internal os ZygoteInit MethodAndArgsCaller run(ZygoteInit java:990)_x000D_
	at com android internal os ZygoteInit main(ZygoteInit java:785)   </t>
  </si>
  <si>
    <t>google-ExoPlayer-5971</t>
  </si>
  <si>
    <t>Playback fails in demo app after selecting all the tracks from the same audio track group</t>
  </si>
  <si>
    <t xml:space="preserve">  Issue:   Playback fails when we try to select all the tracks available in an audio group _x000D_
_x000D_
  Media:   https:  bitdash a akamaihd net content sintel hls playlist m3u8 _x000D_
_x000D_
  Crash Log:  _x000D_
_x000D_
   _x000D_
2019 05 30 14:15:49 249 12743 12743 com google android exoplayer2 demo E EventLogger: playerFailed  14 12  16 62  window 0  period 0 _x000D_
    com google android exoplayer2 ExoPlaybackException: java lang ArrayIndexOutOfBoundsException: length 4  index 4_x000D_
        at com google android exoplayer2 ExoPlayerImplInternal handleMessage(ExoPlayerImplInternal java:397)_x000D_
        at android os Handler dispatchMessage(Handler java:102)_x000D_
        at android os Looper loop(Looper java:193)_x000D_
        at android os HandlerThread run(HandlerThread java:65)_x000D_
     Caused by: java lang ArrayIndexOutOfBoundsException: length 4  index 4_x000D_
        at com google android exoplayer2 trackselection AdaptiveTrackSelection setCheckpointValues(AdaptiveTrackSelection java:810)_x000D_
        at com google android exoplayer2 trackselection AdaptiveTrackSelection getAllocationCheckpoints(AdaptiveTrackSelection java:745)_x000D_
        at com google android exoplayer2 trackselection AdaptiveTrackSelection access 000(AdaptiveTrackSelection java:37)_x000D_
        at com google android exoplayer2 trackselection AdaptiveTrackSelection Factory createTrackSelections(AdaptiveTrackSelection java:275)_x000D_
        at com google android exoplayer2 trackselection DefaultTrackSelector selectTracks(DefaultTrackSelector java:1451)_x000D_
        at com google android exoplayer2 trackselection MappingTrackSelector selectTracks(MappingTrackSelector java:400)_x000D_
        at com google android exoplayer2 MediaPeriodHolder selectTracks(MediaPeriodHolder java:209)_x000D_
        at com google android exoplayer2 ExoPlayerImplInternal reselectTracksInternal(ExoPlayerImplInternal java:1100)_x000D_
        at com google android exoplayer2 ExoPlayerImplInternal handleMessage(ExoPlayerImplInternal java:357)_x000D_
        at android os Handler dispatchMessage(Handler java:102) _x000D_
        at android os Looper loop(Looper java:193) _x000D_
        at android os HandlerThread run(HandlerThread java:65)_x000D_
   _x000D_
_x000D_
  My Assumption:   I am assuming that when I select all the tracks available from an audio group it will behave like adaptive (track Index    1) _x000D_
_x000D_
  Question:  _x000D_
If I check the stream it has the following audio track group _x000D_
_x000D_
   _x000D_
 EXT X MEDIA:TYPE AUDIO GROUP ID  stereo  LANGUAGE  en  NAME  English  DEFAULT YES AUTOSELECT YES URI  audio stereo en 128kbit m3u8 _x000D_
 EXT X MEDIA:TYPE AUDIO GROUP ID  stereo  LANGUAGE  dubbing  NAME  Dubbing  DEFAULT NO AUTOSELECT YES URI  audio stereo none 128kbit m3u8 _x000D_
_x000D_
 EXT X MEDIA:TYPE AUDIO GROUP ID  surround  LANGUAGE  en  NAME  English  DEFAULT YES AUTOSELECT YES URI  audio surround en 320kbit m3u8 _x000D_
 EXT X MEDIA:TYPE AUDIO GROUP ID  surround  LANGUAGE  dubbing  NAME  Dubbing  DEFAULT NO AUTOSELECT YES URI  audio stereo none 128kbit m3u8 _x000D_
   _x000D_
If I check the tracks in code then audio groups will be_x000D_
_x000D_
1  English(stereo) English(surround)   Unique Id:  1 0 0    1 0 1_x000D_
2  dubbing(stereo) dubbing(surround)    Unique Id:  1 1 0    1 1 1_x000D_
_x000D_
How can we select auto for Audio   _x000D_
_x000D_
There could be following an option to select auto from English group (1 0  1) or dubbing group (1 1  1)  Can we do this   I tried but the app crashed _x000D_
_x000D_
How ExoPlayer is selecting the audio in case if I select auto  _x000D_
_x000D_
_x000D_
_x000D_
_x000D_
</t>
  </si>
  <si>
    <t>Tencent-tinker-1116</t>
  </si>
  <si>
    <t>NoSuchMethodError:No static method ()F in class F or its super classes</t>
  </si>
  <si>
    <t xml:space="preserve">_x000D_
     app     _x000D_
_x000D_
     vivo X9  OPPO R11_x000D_
_x000D_
       7 x   8 x_x000D_
_x000D_
tinker  : 1 9 8_x000D_
_x000D_
gradle  : 3 1 4_x000D_
_x000D_
       SDK  TinkerPatch SDK _x000D_
_x000D_
    :Mac_x000D_
_x000D_
      _x000D_
_x000D_
   _x000D_
Caused by: java lang NoSuchMethodError:No static method ()F in class F or its super classes (declaration of  float  appears in generated class)_x000D_
1   at xx xx xx common proxy j a(SourceFile:79)_x000D_
2   at xx xx xx business index util w b(SourceFile:100)_x000D_
3   at xx xx xx business index ask AskManager c(SourceFile:276)_x000D_
4   at xx xx xx business index fragment NewIndexFragment onResumeProxy(SourceFile:893)_x000D_
5   at xx xx xx business index fragment NewIndexFragment onResume(SourceFile:838)_x000D_
6   at android support v4 app Fragment performResume(SourceFile:2294)_x000D_
_x000D_
   _x000D_
          Tinker                             common proxy j              import                                      crash               common proxy j                    crash               _x000D_
_x000D_
                       _x000D_
</t>
  </si>
  <si>
    <t>aws-amplify-aws-sdk-android-1001</t>
  </si>
  <si>
    <t xml:space="preserve">UnrecoverableKeyException while initializing CognitoCachingCredentialsProvider in Android 6 </t>
  </si>
  <si>
    <t xml:space="preserve">  Describe the bug  _x000D_
Firebase Crash report show many errors crashs in android _x000D_
_x000D_
  Implementation Code  _x000D_
   _x000D_
Class BaseAplication_x000D_
   _x000D_
   _x000D_
        credentialsProvider   new CognitoCachingCredentialsProvider(_x000D_
                context        get the context for the application   _x000D_
                IDENTITY POOL ID        Identity Pool ID   _x000D_
                Regions US EAST 1              Region for your identity pool  US EAST 1 or EU WEST 1  _x000D_
        ) _x000D_
   _x000D_
   _x000D_
private class CognitoAuthTask extends AsyncTask String  Void  Credentials   _x000D_
         Override_x000D_
        protected Credentials doInBackground(String    strings)  _x000D_
            String userId   strings 0  _x000D_
            String token   strings 1  _x000D_
            GetCredentialsForIdentityResult tokenResp   null _x000D_
            try  _x000D_
                Map String  String  providerTokens   new HashMap String  String () _x000D_
                providerTokens put( cognito identity amazonaws com   token) _x000D_
                AmazonCognitoIdentityClient identityClient   new AmazonCognitoIdentityClient(credentialsProvider) _x000D_
                identityClient setRegion(Region getRegion(Regions US EAST 1)) _x000D_
                GetCredentialsForIdentityRequest request   new GetCredentialsForIdentityRequest() _x000D_
                request setIdentityId(userId) _x000D_
                request withLogins(providerTokens) _x000D_
                tokenResp   identityClient getCredentialsForIdentity(request) _x000D_
              catch (Exception e)  _x000D_
                if (BuildConfig DEBUG)  _x000D_
                    e printStackTrace() _x000D_
                 _x000D_
              finally  _x000D_
                return tokenResp    null   null : tokenResp getCredentials() _x000D_
             _x000D_
         _x000D_
_x000D_
         Override_x000D_
        protected void onPostExecute(Credentials credentials)  _x000D_
            super onPostExecute(credentials) _x000D_
            cognitoCredentials   credentials _x000D_
            if (BuildConfig DEBUG)  _x000D_
                Log d( Cognito Credentials   credentials    null    null  : credentials toString()) _x000D_
             _x000D_
         _x000D_
     _x000D_
   _x000D_
_x000D_
  Last 5 days   Firebase Crash Error  _x000D_
   _x000D_
744 errors_x000D_
   _x000D_
   _x000D_
Fatal Exception: java lang RuntimeException: Unable to create application com pontomobi Application: java lang IllegalStateException: Error in initializing the CognitoCachingCredentialsProvider  _x000D_
       at android app ActivityThread handleBindApplication(ActivityThread java:6499)_x000D_
       at android app ActivityThread access 1800(ActivityThread java:229)_x000D_
       at android app ActivityThread H handleMessage(ActivityThread java:1887)_x000D_
       at android os Handler dispatchMessage(Handler java:102)_x000D_
       at android os Looper loop(Looper java:148)_x000D_
       at android app ActivityThread main(ActivityThread java:7406)_x000D_
       at java lang reflect Method invoke(Method java)_x000D_
       at com android internal os ZygoteInit MethodAndArgsCaller run(ZygoteInit java:1230)_x000D_
       at com android internal os ZygoteInit main(ZygoteInit java:1120)_x000D_
   _x000D_
   _x000D_
Caused by java lang IllegalStateException: Error in initializing the CognitoCachingCredentialsProvider  _x000D_
       at com amazonaws auth CognitoCachingCredentialsProvider initialize(CognitoCachingCredentialsProvider java:434)_x000D_
       at com amazonaws auth CognitoCachingCredentialsProvider  init (CognitoCachingCredentialsProvider java:190)_x000D_
       at com pontomobi Application onCreate(Application java:143)_x000D_
       at android app Instrumentation callApplicationOnCreate(Instrumentation java:1037)_x000D_
       at android app ActivityThread handleBindApplication(ActivityThread java:6496)_x000D_
       at android app ActivityThread access 1800(ActivityThread java:229)_x000D_
       at android app ActivityThread H handleMessage(ActivityThread java:1887)_x000D_
       at android os Handler dispatchMessage(Handler java:102)_x000D_
       at android os Looper loop(Looper java:148)_x000D_
       at android app ActivityThread main(ActivityThread java:7406)_x000D_
       at java lang reflect Method invoke(Method java)_x000D_
       at com android internal os ZygoteInit MethodAndArgsCaller run(ZygoteInit java:1230)_x000D_
       at com android internal os ZygoteInit main(ZygoteInit java:1120)_x000D_
   _x000D_
   _x000D_
Caused by java lang IllegalStateException: java security UnrecoverableKeyException: Failed to obtain information about key_x000D_
       at com amazonaws internal keyvaluestore KeyProvider23 getKey(KeyProvider23 java:69)_x000D_
       at com amazonaws internal keyvaluestore AWSKeyValueStore setPersistenceEnabled(AWSKeyValueStore java:131)_x000D_
       at com amazonaws internal keyvaluestore AWSKeyValueStore  init (AWSKeyValueStore java:108)_x000D_
       at com amazonaws auth CognitoCachingCredentialsProvider initialize(CognitoCachingCredentialsProvider java:425)_x000D_
       at com amazonaws auth CognitoCachingCredentialsProvider  init (CognitoCachingCredentialsProvider java:190)_x000D_
       at com pontomobi Application onCreate(Application java:143)_x000D_
       at android app Instrumentation callApplicationOnCreate(Instrumentation java:1037)_x000D_
       at android app ActivityThread handleBindApplication(ActivityThread java:6496)_x000D_
       at android app ActivityThread access 1800(ActivityThread java:229)_x000D_
       at android app ActivityThread H handleMessage(ActivityThread java:1887)_x000D_
       at android os Handler dispatchMessage(Handler java:102)_x000D_
       at android os Looper loop(Looper java:148)_x000D_
       at android app ActivityThread main(ActivityThread java:7406)_x000D_
       at java lang reflect Method invoke(Method java)_x000D_
       at com android internal os ZygoteInit MethodAndArgsCaller run(ZygoteInit java:1230)_x000D_
       at com android internal os ZygoteInit main(ZygoteInit java:1120)_x000D_
   _x000D_
   _x000D_
Caused by java security UnrecoverableKeyException: Failed to obtain information about key_x000D_
       at android security keystore AndroidKeyStoreProvider loadAndroidKeyStoreSecretKeyFromKeystore(AndroidKeyStoreProvider java:275)_x000D_
       at android security keystore AndroidKeyStoreSpi engineGetKey(AndroidKeyStoreSpi java:97)_x000D_
       at java security KeyStore getKey(KeyStore java:253)_x000D_
       at com amazonaws internal keyvaluestore KeyProvider23 getKey(KeyProvider23 java:65)_x000D_
       at com amazonaws internal keyvaluestore AWSKeyValueStore setPersistenceEnabled(AWSKeyValueStore java:131)_x000D_
       at com amazonaws internal keyvaluestore AWSKeyValueStore  init (AWSKeyValueStore java:108)_x000D_
       at com amazonaws auth CognitoCachingCredentialsProvider initialize(CognitoCachingCredentialsProvider java:425)_x000D_
       at com amazonaws auth CognitoCachingCredentialsProvider  init (CognitoCachingCredentialsProvider java:190)_x000D_
       at com pontomobi Application onCreate(Application java:143)_x000D_
       at android app Instrumentation callApplicationOnCreate(Instrumentation java:1037)_x000D_
       at android app ActivityThread handleBindApplication(ActivityThread java:6496)_x000D_
       at android app ActivityThread access 1800(ActivityThread java:229)_x000D_
       at android app ActivityThread H handleMessage(ActivityThread java:1887)_x000D_
       at android os Handler dispatchMessage(Handler java:102)_x000D_
       at android os Looper loop(Looper java:148)_x000D_
       at android app ActivityThread main(ActivityThread java:7406)_x000D_
       at java lang reflect Method invoke(Method java)_x000D_
       at com android internal os ZygoteInit MethodAndArgsCaller run(ZygoteInit java:1230)_x000D_
       at com android internal os ZygoteInit main(ZygoteInit java:1120)_x000D_
   _x000D_
   _x000D_
Caused by android security KeyStoreException:  49_x000D_
       at android security KeyStore getKeyStoreException(KeyStore java:945)_x000D_
       at android security keystore AndroidKeyStoreProvider loadAndroidKeyStoreSecretKeyFromKeystore(AndroidKeyStoreProvider java:275)_x000D_
       at android security keystore AndroidKeyStoreSpi engineGetKey(AndroidKeyStoreSpi java:97)_x000D_
       at java security KeyStore getKey(KeyStore java:253)_x000D_
       at com amazonaws internal keyvaluestore KeyProvider23 getKey(KeyProvider23 java:65)_x000D_
       at com amazonaws internal keyvaluestore AWSKeyValueStore setPersistenceEnabled(AWSKeyValueStore java:131)_x000D_
       at com amazonaws internal keyvaluestore AWSKeyValueStore  init (AWSKeyValueStore java:108)_x000D_
       at com amazonaws auth CognitoCachingCredentialsProvider initialize(CognitoCachingCredentialsProvider java:425)_x000D_
       at com amazonaws auth CognitoCachingCredentialsProvider  init (CognitoCachingCredentialsProvider java:190)_x000D_
       at com pontomobi Application onCreate(Application java:143)_x000D_
       at android app Instrumentation callApplicationOnCreate(Instrumentation java:1037)_x000D_
       at android app ActivityThread handleBindApplication(ActivityThread java:6496)_x000D_
       at android app ActivityThread access 1800(ActivityThread java:229)_x000D_
       at android app ActivityThread H handleMessage(ActivityThread java:1887)_x000D_
       at android os Handler dispatchMessage(Handler java:102)_x000D_
       at android os Looper loop(Looper java:148)_x000D_
       at android app ActivityThread main(ActivityThread java:7406)_x000D_
       at java lang reflect Method invoke(Method java)_x000D_
       at com android internal os ZygoteInit MethodAndArgsCaller run(ZygoteInit java:1230)_x000D_
       at com android internal os ZygoteInit main(ZygoteInit java:1120)_x000D_
   _x000D_
_x000D_
  Screenshots  _x000D_
If applicable  add screenshots to help explain your problem _x000D_
_x000D_
  Environment Information (please complete the following information):  _x000D_
   AWS Android SDK Version: _x000D_
   _x000D_
    implementation  com amazonaws:aws android sdk core:2 2   _x000D_
    implementation  com amazonaws:aws android sdk cognitoidentityprovider:2 2   _x000D_
    implementation  com amazonaws:aws android sdk appsync:2 9 0 _x000D_
   _x000D_
   Device: 97  Samsung (84  Galaxy Grand Prime Plus  12  Galaxy J2 Prime)_x000D_
   Android Version: 97  Android 6_x000D_
_x000D_
  Additional context  _x000D_
Problems before update sdk version on app _x000D_
</t>
  </si>
  <si>
    <t>nextcloud-android-4083</t>
  </si>
  <si>
    <t>Crash when enterring server details</t>
  </si>
  <si>
    <t xml:space="preserve">    Actual behaviour_x000D_
App crashes_x000D_
_x000D_
    Expected behaviour_x000D_
App moves on to login screen_x000D_
 _x000D_
    Steps to reproduce_x000D_
1  Enter address (it uses a non standard port and a Nextcloud generated unsigned certificate) _x000D_
2  Click Yes_x000D_
3  Crash_x000D_
_x000D_
_x000D_
    Environment data_x000D_
Android version: 9_x000D_
_x000D_
Device model: Oneplus 6_x000D_
_x000D_
Stock or customized system: OmniROM  nano gapps_x000D_
_x000D_
Nextcloud app version: 3 6 2 RC1 on beta channel or 20190524 on F Droid_x000D_
_x000D_
Nextcloud server version: 15 0 8 1_x000D_
_x000D_
    Logs_x000D_
     Web server error log_x000D_
_x000D_
Nothing logged_x000D_
_x000D_
     Nextcloud log (data nextcloud log)_x000D_
_x000D_
Couldn t find this file   I am using snap  let me know where to find it  _x000D_
_x000D_
  image (https:  user images githubusercontent com 50557782 58534035 7fc0ed00 822d 11e9 99d4 05226d0b252f png)_x000D_
</t>
  </si>
  <si>
    <t>bp713-GPIG-Team-A-30</t>
  </si>
  <si>
    <t>RouteCourierTask causing crash</t>
  </si>
  <si>
    <t xml:space="preserve">When i opened the app and went straight to  check in      Verify  it crashed with the following:_x000D_
_x000D_
   _x000D_
2019 05 28 18:01:10 361 29900 29900 com gpig a E AndroidRuntime: FATAL EXCEPTION: main_x000D_
    Process: com gpig a  PID: 29900_x000D_
    java lang NullPointerException: Attempt to invoke virtual method  void android support v7 widget RecyclerView setLayoutManager(android support v7 widget RecyclerView LayoutManager)  on a null object reference_x000D_
        at com gpig a MapFragment 4 processFinish(MapFragment java:167)_x000D_
        at com gpig a MapFragment RouteCourierTask onPostExecute(MapFragment java:362)_x000D_
        at com gpig a MapFragment RouteCourierTask onPostExecute(MapFragment java:341)_x000D_
        at android os AsyncTask finish(AsyncTask java:727)_x000D_
        at android os AsyncTask access 600(AsyncTask java:180)_x000D_
        at android os AsyncTask InternalHandler handleMessage(AsyncTask java:744)_x000D_
        at android os Handler dispatchMessage(Handler java:109)_x000D_
        at android os Looper loop(Looper java:207)_x000D_
        at android app ActivityThread main(ActivityThread java:7470)_x000D_
        at java lang reflect Method invoke(Native Method)_x000D_
        at com android internal os RuntimeInit MethodAndArgsCaller run(RuntimeInit java:524)_x000D_
        at com android internal os ZygoteInit main(ZygoteInit java:958)_x000D_
   _x000D_
I assume this is due to the view not existing when the response is returned </t>
  </si>
  <si>
    <t>miguelpruivo-flutter_file_picker-86</t>
  </si>
  <si>
    <t>App crashes on ios 10.3.3</t>
  </si>
  <si>
    <t xml:space="preserve">App crashes when trying to pick a document with  FileType ANY   I have already enabled icloud and cloudkit as shown in the image attached _x000D_
_x000D_
The error I get is this: _x000D_
_x000D_
 2019 05 28 10:57:44 467621 0300 Runner 337:25602      Terminating app due to uncaught exception  NSInvalidArgumentException   reason:    FilePickerPlugin documentPicker:didPickDocumentAtURL: : unrecognized selector sent to instance 0x17d7f6a0  _x000D_
_x000D_
  Captura de Tela 2019 05 28 a s 11 05 09 (https:  user images githubusercontent com 16281356 58484511 946f8900 8138 11e9 9274 7f5f10af7df7 png)_x000D_
</t>
  </si>
  <si>
    <t>fossasia-open-event-organizer-android-1676</t>
  </si>
  <si>
    <t>App crashes when trying to publish event just after creation</t>
  </si>
  <si>
    <t xml:space="preserve">  Describe the bug  _x000D_
After creating an event  on trying to publish it  the app crashes  On restarting the app and trying again  it works fine _x000D_
_x000D_
This is probably happening because of  event state  being null after the event is created _x000D_
_x000D_
  Logs  _x000D_
   _x000D_
java lang NullPointerException: Attempt to read from field  java lang String com eventyay organizer data event Event state  on a null object reference_x000D_
        at com eventyay organizer core event dashboard EventDashboardPresenter confirmToggle(EventDashboardPresenter java:112)_x000D_
        at com eventyay organizer databinding EventDetailBindingImpl  internalCallbackOnClick(EventDetailBindingImpl java:638)_x000D_
        at com eventyay organizer generated callback OnClickListener onClick(OnClickListener java:11)_x000D_
        at android view View performClick(View java:5647)_x000D_
        at android widget CompoundButton performClick(CompoundButton java:122)_x000D_
        at android view View PerformClick run(View java:22462)_x000D_
        at android os Handler handleCallback(Handler java:754)_x000D_
        at android os Handler dispatchMessage(Handler java:95)_x000D_
        at android os Looper loop(Looper java:163)_x000D_
        at android app ActivityThread main(ActivityThread java:6205)_x000D_
        at java lang reflect Method invoke(Native Method)_x000D_
        at com android internal os ZygoteInit MethodAndArgsCaller run(ZygoteInit java:904)_x000D_
        at com android internal os ZygoteInit main(ZygoteInit java:794)_x000D_
   _x000D_
_x000D_
  Would you like to work on the issue   _x000D_
   x  Yes_x000D_
      No</t>
  </si>
  <si>
    <t>k3b-ToGoZip-20</t>
  </si>
  <si>
    <t>App crashes when zip-output-folder is root directory. Needs more errorhandling</t>
  </si>
  <si>
    <t xml:space="preserve">     Expected behavior _x000D_
I expected the app to save the LogCat to file as I had earlier selected the storage location  _x000D_
_x000D_
   _x000D_
_x000D_
     Actual behavior _x000D_
Immediately I clicked on the  Save LogCat to file  option  the app crashed_x000D_
_x000D_
   _x000D_
_x000D_
     How to reproduce _x000D_
  Download  install and launch the latest version of the app_x000D_
  Select storage location _x000D_
  Scroll down to the end_x000D_
  Click on the  Save LogCat to file  option_x000D_
  Observe the crash _x000D_
_x000D_
   _x000D_
_x000D_
Device: Gionee f100s _x000D_
Android version: v6 0_x000D_
App version: v2 0 19 190413_x000D_
_x000D_
   _x000D_
_x000D_
     Recording of the bug_x000D_
  https:  youtu be Jwe6rbS0ST4_x000D_
_x000D_
   </t>
  </si>
  <si>
    <t>Swati4star-Images-to-PDF-771</t>
  </si>
  <si>
    <t>App crashes on 'Add Text' click on Home Fragment</t>
  </si>
  <si>
    <t xml:space="preserve">  Add Text  works when clicked on Navigation drawer item  App crashes on  Add Text  click on Home Fragment _x000D_
_x000D_
_x000D_
   _x000D_
E AndroidRuntime: FATAL EXCEPTION: main_x000D_
    Process: swati4star createpdf  PID: 29334_x000D_
    java lang NullPointerException: Attempt to invoke virtual method  int swati4star createpdf model HomePageItem getNavigationItemId()  on a null object reference_x000D_
        at swati4star createpdf fragment HomeFragment onClick(HomeFragment java:133)_x000D_
        at android view View performClick(View java:5647)_x000D_
        at android view View PerformClick run(View java:22465)_x000D_
        at android os Handler handleCallback(Handler java:754)_x000D_
        at android os Handler dispatchMessage(Handler java:95)_x000D_
        at android os Looper loop(Looper java:163)_x000D_
        at android app ActivityThread main(ActivityThread java:6238)_x000D_
        at java lang reflect Method invoke(Native Method)_x000D_
        at com android internal os ZygoteInit MethodAndArgsCaller run(ZygoteInit java:904)_x000D_
        at com android internal os ZygoteInit main(ZygoteInit java:794)_x000D_
   </t>
  </si>
  <si>
    <t>andyrozman-RileyLinkAAPS-127</t>
  </si>
  <si>
    <t>Problem when Medtronic starts for the first time (crash)</t>
  </si>
  <si>
    <t xml:space="preserve">Problem when Medtronic starts for the first time (crash)  if database and everything is empty  Perhaps it has to do something with setting date of last record of history reading </t>
  </si>
  <si>
    <t>fossasia-open-event-organizer-android-1671</t>
  </si>
  <si>
    <t xml:space="preserve">App crashes on opening event </t>
  </si>
  <si>
    <t xml:space="preserve">  Describe the bug  _x000D_
App crashes on opening event _x000D_
_x000D_
  Logs  _x000D_
   _x000D_
W System err: io reactivex exceptions OnErrorNotImplementedException: The exception was not handled due to missing onError handler in the subscribe() method call  Further reading: https:  github com ReactiveX RxJava wiki Error Handling   android database sqlite SQLiteConstraintException: FOREIGN KEY constraint failed (code 787)_x000D_
        at io reactivex internal observers EmptyCompletableObserver onError(EmptyCompletableObserver java:50)_x000D_
        at io reactivex internal operators completable CompletableAndThenCompletable NextObserver onError(CompletableAndThenCompletable java:104)_x000D_
W System err:     at io reactivex internal operators completable CompletablePeek CompletableObserverImplementation onError(CompletablePeek java:95)_x000D_
        at io reactivex internal operators completable CompletableFromAction subscribeActual(CompletableFromAction java:38)_x000D_
        at io reactivex Completable subscribe(Completable java:2302)_x000D_
        at io reactivex internal operators completable CompletablePeek subscribeActual(CompletablePeek java:51)_x000D_
        at io reactivex Completable subscribe(Completable java:2302)_x000D_
        at io reactivex internal operators completable CompletableAndThenCompletable SourceObserver onComplete(CompletableAndThenCompletable java:67)_x000D_
        at io reactivex internal operators single SingleFlatMapCompletable FlatMapCompletableObserver onComplete(SingleFlatMapCompletable java:102)_x000D_
        at io reactivex internal operators completable CompletableFromAction subscribeActual(CompletableFromAction java:43)_x000D_
        at io reactivex Completable subscribe(Completable java:2302)_x000D_
        at io reactivex internal operators single SingleFlatMapCompletable FlatMapCompletableObserver onSuccess(SingleFlatMapCompletable java:91)_x000D_
        at io reactivex internal operators observable ObservableToListSingle ToListObserver onComplete(ObservableToListSingle java:111)_x000D_
        at io reactivex internal observers BasicFuseableObserver onComplete(BasicFuseableObserver java:119)_x000D_
        at io reactivex internal operators observable ObservableFromIterable FromIterableDisposable run(ObservableFromIterable java:113)_x000D_
        at io reactivex internal operators observable ObservableFromIterable subscribeActual(ObservableFromIterable java:58)_x000D_
W System err:     at io reactivex Observable subscribe(Observable java:12246)_x000D_
        at io reactivex internal operators observable ObservableMap subscribeActual(ObservableMap java:32)_x000D_
        at io reactivex Observable subscribe(Observable java:12246)_x000D_
        at io reactivex internal operators observable ObservableToListSingle subscribeActual(ObservableToListSingle java:58)_x000D_
        at io reactivex Single subscribe(Single java:3575)_x000D_
        at io reactivex internal operators single SingleFlatMapCompletable subscribeActual(SingleFlatMapCompletable java:44)_x000D_
        at io reactivex Completable subscribe(Completable java:2302)_x000D_
        at io reactivex internal operators completable CompletableAndThenCompletable subscribeActual(CompletableAndThenCompletable java:35)_x000D_
        at io reactivex Completable subscribe(Completable java:2302)_x000D_
        at io reactivex Completable subscribe(Completable java:2288)_x000D_
        at com eventyay organizer data attendee AttendeeRepositoryImpl lambda null 2 AttendeeRepositoryImpl(AttendeeRepositoryImpl java:65)_x000D_
        at com eventyay organizer data attendee    Lambda AttendeeRepositoryImpl wGSt4RrT4NMcKL0J0t8Ij5SNFR0 accept(lambda)_x000D_
W System err:     at io reactivex internal operators observable ObservableDoOnEach DoOnEachObserver onNext(ObservableDoOnEach java:93)_x000D_
        at retrofit2 adapter rxjava2 BodyObservable BodyObserver onNext(BodyObservable java:51)_x000D_
        at retrofit2 adapter rxjava2 BodyObservable BodyObserver onNext(BodyObservable java:37)_x000D_
        at retrofit2 adapter rxjava2 CallExecuteObservable subscribeActual(CallExecuteObservable java:43)_x000D_
        at io reactivex Observable subscribe(Observable java:12246)_x000D_
        at retrofit2 adapter rxjava2 BodyObservable subscribeActual(BodyObservable java:34)_x000D_
        at io reactivex Observable subscribe(Observable java:12246)_x000D_
        at io reactivex internal operators observable ObservableDoOnEach subscribeActual(ObservableDoOnEach java:42)_x000D_
        at io reactivex Observable subscribe(Observable java:12246)_x000D_
        at io reactivex internal operators observable ObservableFlattenIterable subscribeActual(ObservableFlattenIterable java:44)_x000D_
        at io reactivex Observable subscribe(Observable java:12246)_x000D_
        at io reactivex internal operators observable ObservableDefer subscribeActual(ObservableDefer java:40)_x000D_
        at io reactivex Observable subscribe(Observable java:12246)_x000D_
        at io reactivex internal operators observable ObservableDoOnEach subscribeActual(ObservableDoOnEach java:42)_x000D_
        at io reactivex Observable subscribe(Observable java:12246)_x000D_
        at io reactivex internal operators observable ObservableSwitchIfEmpty SwitchIfEmptyObserver onComplete(ObservableSwitchIfEmpty java:70)_x000D_
        at io reactivex internal operators observable ObservableDoOnEach DoOnEachObserver onComplete(ObservableDoOnEach java:141)_x000D_
        at io reactivex internal operators single SingleFlatMapIterableObservable FlatMapIterableObserver onSuccess(SingleFlatMapIterableObservable java:99)_x000D_
        at io reactivex internal operators single SingleFromCallable subscribeActual(SingleFromCallable java:56)_x000D_
        at io reactivex Single subscribe(Single java:3575)_x000D_
        at io reactivex internal operators single SingleFlatMapIterableObservable subscribeActual(SingleFlatMapIterableObservable java:47)_x000D_
        at io reactivex Observable subscribe(Observable java:12246)_x000D_
        at io reactivex internal operators observable ObservableDefer subscribeActual(ObservableDefer java:40)_x000D_
        at io reactivex Observable subscribe(Observable java:12246)_x000D_
        at io reactivex internal operators observable ObservableDoOnEach subscribeActual(ObservableDoOnEach java:42)_x000D_
        at io reactivex Observable subscribe(Observable java:12246)_x000D_
W System err:     at io reactivex internal operators observable ObservableDefer subscribeActual(ObservableDefer java:40)_x000D_
        at io reactivex Observable subscribe(Observable java:12246)_x000D_
        at io reactivex internal operators observable ObservableSwitchIfEmpty subscribeActual(ObservableSwitchIfEmpty java:31)_x000D_
        at io reactivex Observable subscribe(Observable java:12246)_x000D_
        at io reactivex internal operators observable ObservableToListSingle subscribeActual(ObservableToListSingle java:58)_x000D_
        at io reactivex Single subscribe(Single java:3575)_x000D_
        at io reactivex internal operators single SingleFlatMapIterableObservable subscribeActual(SingleFlatMapIterableObservable java:47)_x000D_
        at io reactivex Observable subscribe(Observable java:12246)_x000D_
        at io reactivex internal operators observable ObservableSubscribeOn SubscribeTask run(ObservableSubscribeOn java:96)_x000D_
        at io reactivex Scheduler DisposeTask run(Scheduler java:578)_x000D_
        at io reactivex internal schedulers ScheduledRunnable run(ScheduledRunnable java:66)_x000D_
        at io reactivex internal schedulers ScheduledRunnable call(ScheduledRunnable java:57)_x000D_
W System err:     at java util concurrent FutureTask run(FutureTask java:237)_x000D_
        at java util concurrent ScheduledThreadPoolExecutor ScheduledFutureTask access 201(ScheduledThreadPoolExecutor java:152)_x000D_
        at java util concurrent ScheduledThreadPoolExecutor ScheduledFutureTask run(ScheduledThreadPoolExecutor java:265)_x000D_
        at java util concurrent ThreadPoolExecutor runWorker(ThreadPoolExecutor java:1112)_x000D_
        at java util concurrent ThreadPoolExecutor Worker run(ThreadPoolExecutor java:587)_x000D_
        at java lang Thread run(Thread java:818)_x000D_
    Caused by: android database sqlite SQLiteConstraintException: FOREIGN KEY constraint failed (code 787)_x000D_
        at android database sqlite SQLiteConnection nativeExecuteForLastInsertedRowId(Native Method)_x000D_
W System err:     at android database sqlite SQLiteConnection executeForLastInsertedRowId(SQLiteConnection java:782)_x000D_
        at android database sqlite SQLiteSession executeForLastInsertedRowId(SQLiteSession java:788)_x000D_
        at android database sqlite SQLiteStatement executeInsert(SQLiteStatement java:86)_x000D_
W System err:     at com raizlabs android dbflow structure database AndroidDatabaseStatement executeInsert(AndroidDatabaseStatement java:83)_x000D_
        at com raizlabs android dbflow sql saveable ModelSaver insert(ModelSaver java:114)_x000D_
        at com raizlabs android dbflow sql saveable ListModelSaver insertAll(ListModelSaver java:55)_x000D_
        at com raizlabs android dbflow structure ModelAdapter insertAll(ModelAdapter java:220)_x000D_
W System err:     at com raizlabs android dbflow structure database transaction FastStoreModelTransaction 2 processModel(FastStoreModelTransaction java:36)_x000D_
        at com raizlabs android dbflow structure database transaction FastStoreModelTransaction execute(FastStoreModelTransaction java:88)_x000D_
        at com raizlabs android dbflow config DatabaseDefinition executeTransaction(DatabaseDefinition java:283)_x000D_
W System err:     at com eventyay organizer data db DbFlowDatabaseRepository lambda saveList 4(DbFlowDatabaseRepository java:62)_x000D_
W System err:     at com eventyay organizer data db    Lambda DbFlowDatabaseRepository vQ9a4igUC0l5e a97 Xc5KUy 7c run(lambda)_x000D_
        at io reactivex internal operators completable CompletableFromAction subscribeActual(CompletableFromAction java:34)_x000D_
    	    68 more_x000D_
E AndroidRuntime: FATAL EXCEPTION: RxCachedThreadScheduler 1_x000D_
    Process: com eventyay organizer  PID: 8825_x000D_
    io reactivex exceptions OnErrorNotImplementedException: The exception was not handled due to missing onError handler in the subscribe() method call  Further reading: https:  github com ReactiveX RxJava wiki Error Handling   android database sqlite SQLiteConstraintException: FOREIGN KEY constraint failed (code 787)_x000D_
        at io reactivex internal observers EmptyCompletableObserver onError(EmptyCompletableObserver java:50)_x000D_
        at io reactivex internal operators completable CompletableAndThenCompletable NextObserver onError(CompletableAndThenCompletable java:104)_x000D_
        at io reactivex internal operators completable CompletablePeek CompletableObserverImplementation onError(CompletablePeek java:95)_x000D_
        at io reactivex internal operators completable CompletableFromAction subscribeActual(CompletableFromAction java:38)_x000D_
        at io reactivex Completable subscribe(Completable java:2302)_x000D_
        at io reactivex internal operators completable CompletablePeek subscribeActual(CompletablePeek java:51)_x000D_
        at io reactivex Completable subscribe(Completable java:2302)_x000D_
        at io reactivex internal operators completable CompletableAndThenCompletable SourceObserver onComplete(CompletableAndThenCompletable java:67)_x000D_
        at io reactivex internal operators single SingleFlatMapCompletable FlatMapCompletableObserver onComplete(SingleFlatMapCompletable java:102)_x000D_
        at io reactivex internal operators completable CompletableFromAction subscribeActual(CompletableFromAction java:43)_x000D_
        at io reactivex Completable subscribe(Completable java:2302)_x000D_
        at io reactivex internal operators single SingleFlatMapCompletable FlatMapCompletableObserver onSuccess(SingleFlatMapCompletable java:91)_x000D_
        at io reactivex internal operators observable ObservableToListSingle ToListObserver onComplete(ObservableToListSingle java:111)_x000D_
        at io reactivex internal observers BasicFuseableObserver onComplete(BasicFuseableObserver java:119)_x000D_
        at io reactivex internal operators observable ObservableFromIterable FromIterableDisposable run(ObservableFromIterable java:113)_x000D_
        at io reactivex internal operators observable ObservableFromIterable subscribeActual(ObservableFromIterable java:58)_x000D_
        at io reactivex Observable subscribe(Observable java:12246)_x000D_
        at io reactivex internal operators observable ObservableMap subscribeActual(ObservableMap java:32)_x000D_
        at io reactivex Observable subscribe(Observable java:12246)_x000D_
        at io reactivex internal operators observable ObservableToListSingle subscribeActual(ObservableToListSingle java:58)_x000D_
        at io reactivex Single subscribe(Single java:3575)_x000D_
        at io reactivex internal operators single SingleFlatMapCompletable subscribeActual(SingleFlatMapCompletable java:44)_x000D_
        at io reactivex Completable subscribe(Completable java:2302)_x000D_
        at io reactivex internal operators completable CompletableAndThenCompletable subscribeActual(CompletableAndThenCompletable java:35)_x000D_
        at io reactivex Completable subscribe(Completable java:2302)_x000D_
        at io reactivex Completable subscribe(Completable java:2288)_x000D_
        at com eventyay organizer data attendee AttendeeRepositoryImpl lambda null 2 AttendeeRepositoryImpl(AttendeeRepositoryImpl java:65)_x000D_
        at com eventyay organizer data attendee    Lambda AttendeeRepositoryImpl wGSt4RrT4NMcKL0J0t8Ij5SNFR0 accept(lambda)_x000D_
        at io reactivex internal operators observable ObservableDoOnEach DoOnEachObserver onNext(ObservableDoOnEach java:93)_x000D_
        at retrofit2 adapter rxjava2 BodyObservable BodyObserver onNext(BodyObservable java:51)_x000D_
        at retrofit2 adapter rxjava2 BodyObservable BodyObserver onNext(BodyObservable java:37)_x000D_
        at retrofit2 adapter rxjava2 CallExecuteObservable subscribeActual(CallExecuteObservable java:43)_x000D_
        at io reactivex Observable subscribe(Observable java:12246)_x000D_
        at retrofit2 adapter rxjava2 BodyObservable subscribeActual(BodyObservable java:34)_x000D_
        at io reactivex Observable subscribe(Observable java:12246)_x000D_
        at io reactivex internal operators observable ObservableDoOnEach subscribeActual(ObservableDoOnEach java:42)_x000D_
        at io reactivex Observable subscribe(Observable java:12246)_x000D_
    	at io_x000D_
   _x000D_
_x000D_
  Would you like to work on the issue   _x000D_
Open to all</t>
  </si>
  <si>
    <t>LawnchairLauncher-lawnchair-1568</t>
  </si>
  <si>
    <t>App drawer search looks broken and pixelated</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</si>
  <si>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_x000D_
      Provide a more detailed introduction to the issue itself  and why you consider it to be a bug    _x000D_
_x000D_
_x000D_
_x000D_
      Tell us what should happen    _x000D_
_x000D_
_x000D_
_x000D_
      Tell us what happens instead    _x000D_
_x000D_
_x000D_
_x000D_
      Provide a link to a live example (screenshot recording etc  )  or a set of steps to reproduce the issue    _x000D_
_x000D_
  Screenshot 20190526 200733 (https:  user images githubusercontent com 35496217 58385260 1b681880 7ff6 11e9 9c1d 9afb6294c44f png)_x000D_
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Xiaomi Redmi Note 5 (Whyred)_x000D_
  Android version: 9 0_x000D_
  Launcher version: alpha 2078_x000D_
  Rom: Pixel Experience_x000D_
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t>
  </si>
  <si>
    <t>fossasia-neurolab-android-245</t>
  </si>
  <si>
    <t>Program Mode click crash</t>
  </si>
  <si>
    <t xml:space="preserve">  Describe the bug  _x000D_
The App crashes on Clicking on Program Mode _x000D_
_x000D_
  Expected Behaviour  _x000D_
The app should not crash _x000D_
_x000D_
  Would you like to work on the issue   _x000D_
Yes_x000D_
</t>
  </si>
  <si>
    <t>nextcloud-talk-android-548</t>
  </si>
  <si>
    <t>Selection window after writing @</t>
  </si>
  <si>
    <t>After entering   for group conversations and returning to the list of all conversations  the users selection window does not hide _x000D_
_x000D_
Steps:_x000D_
1  Create a group conversation _x000D_
2  Go to the conversation and enter   _x000D_
3  Go back to the conversation list (main application window) _x000D_
Error: the user selection dialog for the group conversation remains _x000D_
_x000D_
Additionally  the application is crashing when the user is selected from the group conversation user selection window _x000D_
_x000D_
App:_x000D_
Android 6_x000D_
Nextcloud Talk 6 0 3</t>
  </si>
  <si>
    <t>TeamNewPipe-NewPipe-2360</t>
  </si>
  <si>
    <t>Errors on downloading</t>
  </si>
  <si>
    <t xml:space="preserve">   X  I carefully read the  contribution guidelines (https:  github com TeamNewPipe NewPipe blob HEAD  github CONTRIBUTING md) and agree to them  
   X  I checked if the issue feature exists in the latest version 
    X  I did use the  incredible bugreport to markdown converter (https:  teamnewpipe github io CrashReportToMarkdown ) to paste bug reports 
When downloading  the video kept going to       mb s  so I had to keep pausing and starting to get it to keep downloading  After a few times I got a crash 
   Exception
    User Action:   ui error
    Request:   App crash  UI failure
    Content Language:   GB
    Service:   none
    Version:   0 16 0 (this is on latest commits from dev branch as of May 22)
    OS:   Linux HONOR BND L24 HWBND H:8 0 0 HONORBND L24 344(C567):user release keys 9   28
 details  summary  b Crash log  b   summary  p 
java lang IndexOutOfBoundsException: Index: 2  Size: 0
	at java util ArrayList set(ArrayList java:453)
	at us shandian giga get DownloadMission setThreadBytePosition(DownloadMission java:223)
	at us shandian giga get DownloadRunnable run(DownloadRunnable java:139)
  p   details 
 hr 
      </t>
  </si>
  <si>
    <t>NordicSemiconductor-Android-nRF-Blinky-24</t>
  </si>
  <si>
    <t>Calling stopScan on a device were the BT adapter is not turned ON causes an exception</t>
  </si>
  <si>
    <t xml:space="preserve">I ran the sample with Bluetooth turned off then pressed back on the ScannerActivity  It causes a crash with the following stack trace :_x000D_
_x000D_
   _x000D_
E AndroidRuntime: FATAL EXCEPTION: main_x000D_
    Process: no nordicsemi android nrfblinky  PID: 5260_x000D_
    java lang RuntimeException: Unable to stop activity  no nordicsemi android nrfblinky no nordicsemi android blinky ScannerActivity : java lang IllegalStateException: BT Adapter is not turned ON_x000D_
        at android app ActivityThread performDestroyActivity(ActivityThread java:5117)_x000D_
        at android app ActivityThread handleDestroyActivity(ActivityThread java:5174)_x000D_
        at android app ActivityThread  wrap6(Unknown Source:0)_x000D_
        at android app ActivityThread H handleMessage(ActivityThread java:2058)_x000D_
        at android os Handler dispatchMessage(Handler java:108)_x000D_
        at android os Looper loop(Looper java:166)_x000D_
        at android app ActivityThread main(ActivityThread java:7529)_x000D_
        at java lang reflect Method invoke(Native Method)_x000D_
        at com android internal os Zygote MethodAndArgsCaller run(Zygote java:245)_x000D_
        at com android internal os ZygoteInit main(ZygoteInit java:921)_x000D_
     Caused by: java lang IllegalStateException: BT Adapter is not turned ON_x000D_
        at no nordicsemi android support v18 scanner r a(:140)_x000D_
        at no nordicsemi android support v18 scanner o b(:90)_x000D_
        at no nordicsemi android support v18 scanner d a(:205)_x000D_
        at no nordicsemi android blinky viewmodels ScannerViewModel stopScan(:164)_x000D_
        at no nordicsemi android blinky ScannerActivity stopScan(:225)_x000D_
        at no nordicsemi android blinky ScannerActivity onStop(:102)_x000D_
        at android app Instrumentation callActivityOnStop(Instrumentation java:1386)_x000D_
        at android app Activity performStop(Activity java:7587)_x000D_
        at android app ActivityThread performDestroyActivity(ActivityThread java:5112)_x000D_
        at android app ActivityThread handleDestroyActivity(ActivityThread java:5174) _x000D_
        at android app ActivityThread  wrap6(Unknown Source:0) _x000D_
        at android app ActivityThread H handleMessage(ActivityThread java:2058) _x000D_
        at android os Handler dispatchMessage(Handler java:108) _x000D_
        at android os Looper loop(Looper java:166) _x000D_
        at android app ActivityThread main(ActivityThread java:7529) _x000D_
        at java lang reflect Method invoke(Native Method) _x000D_
        at com android internal os Zygote MethodAndArgsCaller run(Zygote java:245) _x000D_
        at com android internal os ZygoteInit main(ZygoteInit java:921) _x000D_
   _x000D_
_x000D_
Bluetooth adapter state or mScannerStateLiveData should be checked before trying to stop the scanner  </t>
  </si>
  <si>
    <t>shuhart-StickyHeader-5</t>
  </si>
  <si>
    <t xml:space="preserve">Possible extra header, and crash in sample app. </t>
  </si>
  <si>
    <t xml:space="preserve">Hello  _x000D_
_x000D_
I was playing around with the sample app you ve provided and I noticed a quirk with the top header  along with a crash  _x000D_
_x000D_
The first issue might be related to  4  but I did not see a full on extra header  Gif shown below  _x000D_
_x000D_
https:  i imgur com BW2NiG9 gif_x000D_
_x000D_
The second issue is the crash  Playing with the sample app  if you go a little crazy scrolling up and down  the following crash happens  _x000D_
_x000D_
 2019 05 22 19:59:58 346 27441 27441 com shuhart stickyheader sample E AndroidRuntime: FATAL EXCEPTION: main_x000D_
    Process: com shuhart stickyheader sample  PID: 27441_x000D_
    java lang ArrayIndexOutOfBoundsException: length 33  index  1_x000D_
        at java util ArrayList get(ArrayList java:439)_x000D_
        at com shuhart stickyheader sample SectionAdapter getHeaderPositionForItem(SectionAdapter java:53)_x000D_
        at com shuhart stickyheader StickyHeaderItemDecorator onDrawOver(StickyHeaderItemDecorator java:81)_x000D_
        at android support v7 widget RecyclerView draw(RecyclerView java:4017)_x000D_
        at android view View updateDisplayListIfDirty(View java:19082)_x000D_
        at android view ViewGroup recreateChildDisplayList(ViewGroup java:4317)_x000D_
        at android view ViewGroup dispatchGetDisplayList(ViewGroup java:4290)_x000D_
        at android view View updateDisplayListIfDirty(View java:19042)_x000D_
        at android view ViewGroup recreateChildDisplayList(ViewGroup java:4317)_x000D_
        at android view ViewGroup dispatchGetDisplayList(ViewGroup java:4290)_x000D_
        at android view View updateDisplayListIfDirty(View java:19042)_x000D_
         Repeats many more times  _x000D_
</t>
  </si>
  <si>
    <t>gauravjot-android-noad-music-player-1</t>
  </si>
  <si>
    <t>Bug: App crash when i allow access to my file.</t>
  </si>
  <si>
    <t xml:space="preserve">    Describe the bug _x000D_
_x000D_
When I launched the app  I got a pop up that I should grant permission  I clicked on accept  and the app pops up again that I should allow access to my file and I clicked allow  the app roll and crashed  _x000D_
_x000D_
    Steps to reproduce _x000D_
_x000D_
  Launch the app_x000D_
_x000D_
  Click on  accept to grant permission_x000D_
_x000D_
  Then click on allow _x000D_
_x000D_
  And note the bug_x000D_
_x000D_
_x000D_
_x000D_
    Expected Behaviour_x000D_
_x000D_
I expect the app shouldn t crash when I allow access to my file _x000D_
_x000D_
    Screen recording_x000D_
https:  youtu be j7M1LJ1yycI_x000D_
_x000D_
    Devices and Versions)_x000D_
_x000D_
  Device:  itel _x000D_
_x000D_
  Version  6 1 _x000D_
_x000D_
  App version  0 8 20190518 2 _x000D_
_x000D_
    Log_x000D_
   05 22 18:22:23 222 24873 24873 E AndroidRuntime: FATAL EXCEPTION: main_x000D_
05 22 18:22:23 222 24873 24873 E AndroidRuntime: Process: com droidheat musicplayer  PID: 24873_x000D_
05 22 18:22:23 222 24873 24873 E AndroidRuntime: android view InflateException: Binary XML file line  21: Binary XML file line  21: Error inflating class ImageView_x000D_
05 22 18:22:23 222 24873 24873 E AndroidRuntime: 	at android view LayoutInflater inflate(LayoutInflater java:539)_x000D_
05 22 18:22:23 222 24873 24873 E AndroidRuntime: 	at android view LayoutInflater inflate(LayoutInflater java:423)_x000D_
05 22 18:22:23 222 24873 24873 E AndroidRuntime: 	at com droidheat musicplayer CustomAdapter getView(CustomAdapter java:74)_x000D_
05 22 18:22:23 222 24873 24873 E AndroidRuntime: 	at com commonsware cwac merge MergeAdapter getView(MergeAdapter java:271)_x000D_
05 22 18:22:23 222 24873 24873 E AndroidRuntime: 	at android widget AbsListView obtainView(AbsListView java:2354)_x000D_
05 22 18:22:23 222 24873 24873 E AndroidRuntime: 	at android widget ListView makeAndAddView(ListView java:1878)_x000D_
05 22 18:22:23 222 24873 24873 E AndroidRuntime: 	at android widget ListView fillSpecific(ListView java:1357)_x000D_
05 22 18:22:23 222 24873 24873 E AndroidRuntime: 	at android widget ListView layoutChildren(ListView java:1677)_x000D_
05 22 18:22:23 222 24873 24873 E AndroidRuntime: 	at android widget AbsListView onLayout(AbsListView java:2156)_x000D_
05 22 18:22:23 222 24873 24873 E AndroidRuntime: 	at android view View layout(View java:16649)_x000D_
05 22 18:22:23 222 24873 24873 E AndroidRuntime: 	at android view ViewGroup layout(ViewGroup java:5471)_x000D_
05 22 18:22:23 222 24873 24873 E AndroidRuntime: 	at android widget LinearLayout setChildFrame(LinearLayout java:1743)_x000D_
05 22 18:22:23 222 24873 24873 E AndroidRuntime: 	at android widget LinearLayout layoutVertical(LinearLayout java:1586)_x000D_
05 22 18:22:23 222 24873 24873 E AndroidRuntime: 	at android widget LinearLayout onLayout(LinearLayout java:1495)_x000D_
05 22 18:22:23 222 24873 24873 E AndroidRuntime: 	at android view View layout(View java:16649)_x000D_
05 22 18:22:23 222 24873 24873 E AndroidRuntime: 	at android view ViewGroup layout(ViewGroup java:5471)_x000D_
05 22 18:22:23 222 24873 24873 E AndroidRuntime: 	at android support v4 view ViewPager onLayout(ViewPager java:1775)_x000D_
05 22 18:22:23 222 24873 24873 E AndroidRuntime: 	at android view View layout(View java:16649)_x000D_
05 22 18:22:23 222 24873 24873 E AndroidRuntime: 	at android view ViewGroup layout(ViewGroup java:5471)_x000D_
05 22 18:22:23 222 24873 24873 E AndroidRuntime: 	at android widget RelativeLayout onLayout(RelativeLayout java:1079)_x000D_
05 22 18:22:23 222 24873 24873 E AndroidRuntime: 	at android view View layout(View java:16649)_x000D_
05 22 18:22:23 222 24873 24873 E AndroidRuntime: 	at android view ViewGroup layout(ViewGroup java:5471)_x000D_
05 22 18:22:23 222 24873 24873 E AndroidRuntime: 	at android support constraint ConstraintLayout onLayout(ConstraintLayout java:1915)_x000D_
05 22 18:22:23 222 24873 24873 E AndroidRuntime: 	at android view View layout(View java:16649)_x000D_
05 22 18:22:23 222 24873 24873 E AndroidRuntime: 	at android view ViewGroup layout(ViewGroup java:5471)_x000D_
05 22 18:22:23 222 24873 24873 E AndroidRuntime: 	at android widget FrameLayout layoutChildren(FrameLayout java:336)_x000D_
05 22 18:22:23 222 24873 24873 E AndroidRuntime: 	at android widget FrameLayout onLayout(FrameLayout java:273)_x000D_
05 22 18:22:23 222 24873 24873 E AndroidRuntime: 	at android view View layout(View java:16649)_x000D_
05 22 18:22:23 222 24873 24873 E AndroidRuntime: 	at android view ViewGroup layout(ViewGroup java:5471)_x000D_
05 22 18:22:23 222 24873 24873 E AndroidRuntime: 	at android widget LinearLayout setChildFrame(LinearLayout java:1743)_x000D_
05 22 18:22:23 222 24873 24873 E AndroidRuntime: 	at android widget LinearLayout layoutVertical(LinearLayout java:1586)_x000D_
05 22 18:22:23 222 24873 24873 E AndroidRuntime: 	at android widget LinearLayout onLayout(LinearLayout java:1495)_x000D_
05 22 18:22:23 222 24873 24873 E AndroidRuntime: 	at android view View layout(View java:16649)_x000D_
05 22 18:22:23 222 24873 24873 E AndroidRuntime: 	at android view ViewGroup layout(ViewGroup java:5471)_x000D_
05 22 18:22:23 222 24873 24873 E AndroidRuntime: 	at android widget FrameLayout layoutChildren(FrameLayout java:336)_x000D_
05 22 18:22:23 222 24873 24873 E AndroidRuntime: 	at android widget FrameLayout onLayout(FrameLayout java:273)_x000D_
05 22 18:22:23 222 24873 24873 E AndroidRuntime: 	at android view View layout(View java:16649)_x000D_
05 22 18:22:23 222 24873 24873 E AndroidRuntime: 	at android view ViewGroup layout(ViewGroup java:5471)_x000D_
05 22 18:22:23 222 24873 24873 E AndroidRuntime: 	at android widget LinearLayout setChildFrame(LinearLayout java:1743)_x000D_
05 22 18:22:23 222 24873 24873 E AndroidRuntime: 	at android widget LinearLayout layoutVertical(LinearLayout java:1586)_x000D_
05 22 18:22:23 222 24873 24873 E AndroidRuntime: 	at android widget LinearLayout onLayout(LinearLayout java:1495)_x000D_
05 22 18:22:23 222 24873 24873 E AndroidRuntime: 	at android view View layout(View java:16649)_x000D_
05 22 18:22:23 222 24873 24873 E AndroidRuntime: 	at android view ViewGroup layout(ViewGroup java:5471)_x000D_
05 22 18:22:23 222 24873 24873 E AndroidRuntime: 	at android widget FrameLayout layoutChildren(FrameLayout java:336)_x000D_
05 22 18:22:23 222 24873 24873 E AndroidRuntime: 	at android widget FrameLayout onLayout(FrameLayout java:273)_x000D_
05 22 18:22:23 222 24873 24873 E AndroidRuntime: 	at com android internal policy PhoneWindow DecorView onLayout(PhoneWindow java:2694)_x000D_
05 22 18:22:23 222 24873 24873 E AndroidRuntime: 	at android view View layout(View java:16649)_x000D_
05 22 18:22:23 222 24873 24873 E AndroidRuntime: 	at android view ViewGroup layout(ViewGroup java:5471)_x000D_
05 22 18:22:23 222 24873 24873 E AndroidRuntime: 	at android view ViewRootImpl performLayout(ViewRootImpl java:2171)_x000D_
05 22 18:22:23 222 24873 24873 E AndroidRuntime: 	at android view ViewRootImpl performTraversals(ViewRootImpl java:1931)_x000D_
05 22 18:22:23 222 24873 24873 E AndroidRuntime: 	at android view ViewRootImpl doTraversal(ViewRootImpl java:1107)_x000D_
05 22 18:22:23 222 24873 24873 E AndroidRuntime: 	at android view ViewRootImpl TraversalRunnable run(ViewRootImpl java:6013)_x000D_
05 22 18:22:23 222 24873 24873 E AndroidRuntime: 	at android view Choreographer CallbackRecord run(Choreographer java:858)_x000D_
05 22 18:22:23 222 24873 24873 E AndroidRuntime: 	at android view Choreographer doCallbacks(Choreographer java:670)_x000D_
05 22 18:22:23 222 24873 24873 E AndroidRuntime: 	at android view Choreographer doFrame(Choreographer java:606)_x000D_
05 22 18:22:23 222 24873 24873 E AndroidRuntime: 	at android view Choreographer FrameDisplayEventReceiver run(Choreographer java:844)_x000D_
05 22 18:22:23 222 24873 24873 E AndroidRuntime: 	at android os Handler handleCallback(Handler java:739)_x000D_
05 22 18:22:23 222 24873 24873 E AndroidRuntime: 	at android os Handler dispatchMessage(Handler java:95)_x000D_
05 22 18:22:23 222 24873 24873 E AndroidRuntime: 	at android os Looper loop(Looper java:148)_x000D_
05 22 18:22:23 222 24873 24873 E AndroidRuntime: 	at android app ActivityThread main(ActivityThread java:5452)_x000D_
05 22 18:22:23 222 24873 24873 E AndroidRuntime: 	at java lang reflect Method invoke(Native Method)_x000D_
05 22 18:22:23 222 24873 24873 E AndroidRuntime: 	at com android internal os ZygoteInit MethodAndArgsCaller run(ZygoteInit java:781)_x000D_
05 22 18:22:23 222 24873 24873 E AndroidRuntime: 	at com android internal os Zy   </t>
  </si>
  <si>
    <t>fossasia-pslab-android-1736</t>
  </si>
  <si>
    <t>App crashes when save image button clicked in all instruments where sensor not present</t>
  </si>
  <si>
    <t xml:space="preserve">  Actual Behaviour  _x000D_
_x000D_
App crashes when save image button clicked in Compass logged data_x000D_
_x000D_
  Expected Behaviour  _x000D_
_x000D_
App should not crash_x000D_
_x000D_
  Steps to reproduce it  _x000D_
_x000D_
Record data in compass and play it   click on save image button on top right corner _x000D_
_x000D_
  LogCat for the issue  _x000D_
_x000D_
java lang ArrayIndexOutOfBoundsException: Out of range  in  Users cm Realm realm java realm realm library src main cpp io realm internal OsResults cpp line 103(requested: 0 valid: 0)_x000D_
        at io realm internal OsResults nativeGetRow(Native Method)_x000D_
        at io realm internal OsResults getUncheckedRow(OsResults java:330)_x000D_
        at io realm OrderedRealmCollectionImpl get(OrderedRealmCollectionImpl java:124)_x000D_
        at io realm RealmResults get(RealmResults java:72)_x000D_
        at io pslab fragment CompassDataFragment saveGraph(CompassDataFragment java:235)_x000D_
        at io pslab models PSLabSensor onOptionsItemSelected(PSLabSensor java:396)_x000D_
        at android app Activity onMenuItemSelected(Activity java:3630)_x000D_
        at android support v4 app FragmentActivity onMenuItemSelected(FragmentActivity java:436)_x000D_
        at android support v7 app AppCompatActivity onMenuItemSelected(AppCompatActivity java:196)_x000D_
        at android support v7 view WindowCallbackWrapper onMenuItemSelected(WindowCallbackWrapper java:109)_x000D_
        at android support v7 view WindowCallbackWrapper onMenuItemSelected(WindowCallbackWrapper java:109)_x000D_
        at android support v7 app ToolbarActionBar 2 onMenuItemClick(ToolbarActionBar java:64)_x000D_
        at android support v7 widget Toolbar 1 onMenuItemClick(Toolbar java:204)_x000D_
        at android support v7 widget ActionMenuView MenuBuilderCallback onMenuItemSelected(ActionMenuView java:781)_x000D_
        at android support v7 view menu MenuBuilder dispatchMenuItemSelected(MenuBuilder java:840)_x000D_
        at android support v7 view menu MenuItemImpl invoke(MenuItemImpl java:158)_x000D_
        at android support v7 view menu MenuBuilder performItemAction(MenuBuilder java:991)_x000D_
        at android support v7 view menu MenuBuilder performItemAction(MenuBuilder java:981)_x000D_
        at android support v7 widget ActionMenuView invokeItem(ActionMenuView java:625)_x000D_
        at android support v7 view menu ActionMenuItemView onClick(ActionMenuItemView java:151)_x000D_
        at android view View performClick(View java:7339)_x000D_
        at android widget TextView performClick(TextView java:14222)_x000D_
        at android view View performClickInternal(View java:7305)_x000D_
        at android view View access 3200(View java:846)_x000D_
        at android view View PerformClick run(View java:27788)_x000D_
        at android os Handler handleCallback(Handler java:873)_x000D_
        at android os Handler dispatchMessage(Handler java:99)_x000D_
        at android os Looper loop(Looper java:214)_x000D_
        at android app ActivityThread main(ActivityThread java:7073)_x000D_
        at java lang reflect Method invoke(Native Method)_x000D_
        at com android internal os RuntimeInit MethodAndArgsCaller run(RuntimeInit java:493)_x000D_
        at com android internal os ZygoteInit main(ZygoteInit java:974)_x000D_
_x000D_
  Screenshots of the issue  _x000D_
_x000D_
N A_x000D_
_x000D_
  Would you like to work on the issue   _x000D_
_x000D_
Yes_x000D_
</t>
  </si>
  <si>
    <t>novoda-no-player-242</t>
  </si>
  <si>
    <t>Guard agains null when accessing track info</t>
  </si>
  <si>
    <t xml:space="preserve">   Problem_x000D_
_x000D_
 getCurrentMappedTrackInfo()  returns a  Nullable  value that was not guarded  This was causing crashes in some cases (I m not exactly sure why) when accessed in  NoPlayer TracksChangedListener onTracksChanged()   _x000D_
_x000D_
   Solution_x000D_
_x000D_
Now we check if the track info is  null  and return  0   I also replaced the  length  access with  getRendererCount()  because the  length  was deprecated _x000D_
_x000D_
    Test(s) added _x000D_
_x000D_
no tests  the class was not tested_x000D_
_x000D_
    Screenshots_x000D_
_x000D_
no UI changes_x000D_
_x000D_
    Paired with _x000D_
_x000D_
nobody_x000D_
</t>
  </si>
  <si>
    <t>TechnionYP5779-team1-Social-Geha-83</t>
  </si>
  <si>
    <t>Fix log-in keyboard &amp; register</t>
  </si>
  <si>
    <t xml:space="preserve">   x  Login keyboard   make it alphanumeric only_x000D_
_x000D_
   x  Register   fill in all fields before continuing _x000D_
_x000D_
   x  app crashing in filter</t>
  </si>
  <si>
    <t>aws-amplify-aws-sdk-android-972</t>
  </si>
  <si>
    <t>NumberFormatException thrown in CognitoCachingCredentialsProvider</t>
  </si>
  <si>
    <t xml:space="preserve">An issue currently affecting our production app where a NumbersFormatException is being thrown in CognitoCachingCredentialsProvider  In this release we moved from AWS Android SDK version 2 7 0 to 2 13 4  _x000D_
_x000D_
   _x000D_
Fatal Exception: java lang IllegalStateException: Error in initializing the CognitoCachingCredentialsProvider  _x000D_
       at com amazonaws auth CognitoCachingCredentialsProvider initialize(CognitoCachingCredentialsProvider java:434)_x000D_
       at com amazonaws auth CognitoCachingCredentialsProvider  init (CognitoCachingCredentialsProvider java:383)_x000D_
Caused by java lang NumberFormatException: null_x000D_
       at java lang Long parseLong(Long java:557)_x000D_
       at java lang Long parseLong(Long java:636)_x000D_
       at com amazonaws auth CognitoCachingCredentialsProvider loadCachedCredentials(CognitoCachingCredentialsProvider java:590)_x000D_
       at com amazonaws auth CognitoCachingCredentialsProvider initialize(CognitoCachingCredentialsProvider java:430)_x000D_
       at com amazonaws auth CognitoCachingCredentialsProvider  init (CognitoCachingCredentialsProvider java:383)_x000D_
   _x000D_
_x000D_
Exceptions are thrown while getting the credentialsProvider prior to making a Lambda call and getting an AmazonS3Client to use in TransferUtility _x000D_
_x000D_
This issue seems intermittent and does not happen all time and has been difficult to reproduce  Our crash reporting has been picking up this exception and has occurred more than once for some users  _x000D_
_x000D_
   AWS Android SDK Version: 2 13 4_x000D_
   Device: Range of devices from Pixel 2 to Samsungs _x000D_
   Android Version: so far only Android 9 devices has been reported_x000D_
   Specific to simulators: No_x000D_
_x000D_
</t>
  </si>
  <si>
    <t>launchdarkly-android-client-sdk-74</t>
  </si>
  <si>
    <t>ClassCastException when calling LDClient.init</t>
  </si>
  <si>
    <t xml:space="preserve">  Describe the bug  _x000D_
We re getting another class cast exception  this time from the LDClient init call  _x000D_
_x000D_
  To reproduce  _x000D_
Steps to reproduce the behavior _x000D_
Migrate from an older version to a newer version cached flags_x000D_
_x000D_
  Expected behavior  _x000D_
Don t crash_x000D_
_x000D_
  Logs  _x000D_
Caused by: java lang ClassCastException: java lang Float cannot be cast to java lang String_x000D_
        at com launchdarkly android Migration migrate 2 7 fresh(Migration java:78)_x000D_
        at com launchdarkly android Migration migrateWhenNeeded(Migration java:32)_x000D_
        at com launchdarkly android LDClient init(LDClient java:129)_x000D_
        at com launchdarkly android LDClient init(LDClient java:177)_x000D_
_x000D_
  SDK version  _x000D_
2 7 0_x000D_
_x000D_
  Language version  developer tools  _x000D_
Kotlin_x000D_
_x000D_
  OS platform  _x000D_
Android  all versions_x000D_
_x000D_
  Additional context  _x000D_
   _x000D_
        try  _x000D_
            LDClient get() identify(ldUser)_x000D_
          catch (e: LaunchDarklyException)  _x000D_
            LDClient init(application  ldConfig  ldUser  0)_x000D_
         _x000D_
   _x000D_
It s happening when identify throws an exception that we catch  and then init throws the classcastexception  We ve had this code for over a year  but it just now started causing this issue _x000D_
_x000D_
</t>
  </si>
  <si>
    <t>bp713-GPIG-Team-A-5</t>
  </si>
  <si>
    <t xml:space="preserve">Using location services creates an exception. </t>
  </si>
  <si>
    <t xml:space="preserve">When trying to access the location of the device it crashes  It has location permissions  </t>
  </si>
  <si>
    <t>bp713-GPIG-Team-A-4</t>
  </si>
  <si>
    <t xml:space="preserve">App crashed when orientation changes </t>
  </si>
  <si>
    <t xml:space="preserve">The app crashes when the orientation changes  </t>
  </si>
  <si>
    <t>lisawray-groupie-257</t>
  </si>
  <si>
    <t>Delete an item from the adapter.</t>
  </si>
  <si>
    <t xml:space="preserve">I m trying to delete an item from the adapter using removeGroup() and remove() and passed the position to it  The first item gets removed successfully but when I try to remove one more item it crashes with the following error  Requested position 1in group adapter but there are only 0 items   I tried adding notifyDataSetChanged()  notifyItemRemoved() and notifyItemRangeRemoved() </t>
  </si>
  <si>
    <t>vvvt-android-speaker-identification-2</t>
  </si>
  <si>
    <t>Double press Playback</t>
  </si>
  <si>
    <t>Double pressing the playback button  after  a voice sample is recorded causes the application to crash</t>
  </si>
  <si>
    <t>EyeSeeTea-EReferralsApp-213</t>
  </si>
  <si>
    <t>Application cannot open in Android 8.1</t>
  </si>
  <si>
    <t>The application crashes systematically when trying to open it</t>
  </si>
  <si>
    <t>MiEcosystem-NewXmPluginSDK-97</t>
  </si>
  <si>
    <t>旧版米家app绑定新开发插件问题</t>
  </si>
  <si>
    <t xml:space="preserve">            app5 1 39                   crash _x000D_
       _x000D_
compileSdkVersion 27_x000D_
    buildToolsVersion  26 0 2 _x000D_
_x000D_
    defaultConfig  _x000D_
                   _x000D_
        applicationId  com miaomiaoce sensor ht _x000D_
        minSdkVersion 19_x000D_
        targetSdkVersion 26_x000D_
                versionCode   1_x000D_
        versionCode 79_x000D_
        versionName  1 0 78 _x000D_
     _x000D_
_x000D_
                     _x000D_
         meta data android:name  minPluginSdkApiVersion  android:value  76    </t>
  </si>
  <si>
    <t>figonzal1-LastQuakeChile-10</t>
  </si>
  <si>
    <t>Bug conocido de recycler view en modo producción</t>
  </si>
  <si>
    <t xml:space="preserve">   Datos usuario:_x000D_
  datos user (https:  user images githubusercontent com 46515974 58071998 4cff6080 7b6c 11e9 897f 20a2cdf7cb7b PNG)_x000D_
_x000D_
   Error encontrado:_x000D_
 Fatal Exception: java lang IndexOutOfBoundsException: Inconsistency detected  Invalid view holder adapter positionViewHolder 8bdde10 position 8 id 8  oldPos  1  pLpos: 1 no parent  android support v7 widget RecyclerView 24566ec VFED       F       0 366 720 1048  7f0800ea app:id recycle view   adapter:qk 2b1e94b  layout:android support v7 widget LinearLayoutManager 5d75f28  context:cl figonzal lastquakechile views MainActivity fd8d43f_x000D_
       at android support v7 widget RecyclerView Recycler clear(RecyclerView java)_x000D_
       at android support v7 widget RecyclerView Recycler clear(RecyclerView java)_x000D_
       at android support v7 widget GapWorker add(GapWorker java)_x000D_
       at android support v7 widget GapWorker add(GapWorker java)_x000D_
       at android support v7 widget GapWorker remove(GapWorker java)_x000D_
       at android support v7 widget GapWorker add(GapWorker java)_x000D_
       at android support v7 widget GapWorker run(GapWorker java)_x000D_
       at android os Handler handleCallback(Handler java:743)_x000D_
       at android os Handler dispatchMessage(Handler java:95)_x000D_
       at android os Looper loop(Looper java:150)_x000D_
       at android app ActivityThread main(ActivityThread java:5659)_x000D_
       at java lang reflect Method invoke(Method java)_x000D_
       at com android internal os ZygoteInit MethodAndArgsCaller run(ZygoteInit java:822)_x000D_
       at com android internal os ZygoteInit main(ZygoteInit java:712) _x000D_
_x000D_
   Log del usuario: _x000D_
 Error log (https:  github com figonzal1 LastQuakeChile files 3200977 cl figonzal lastquakechile issue 5ce28ec4f8b88c296369876e crash session 5CE28E6900B000017AD9909848FEBA6D DNE 0 v2 log)_x000D_
</t>
  </si>
  <si>
    <t>bp713-GPIG-Team-A-2</t>
  </si>
  <si>
    <t>App Crashes when screen is locked</t>
  </si>
  <si>
    <t xml:space="preserve">The app crashes when the screen is locked  The message below seems to suggest that there is an issue when calling onStop method for the activity  This might be related to the change where onStop starts the login screen again  Maybe I need to modify this code _x000D_
_x000D_
Process: com gpig a  PID: 13636_x000D_
    java lang RuntimeException: Unable to stop activity  com gpig a com gpig a MainActivity : java lang NullPointerException: Attempt to invoke virtual method  boolean android content Intent migrateExtraStreamToClipData()  on a null object reference_x000D_
        at android app ActivityThread callActivityOnStop(ActivityThread java:4720)_x000D_
        at android app ActivityThread handleSleeping(ActivityThread java:4852)_x000D_
        at android app ActivityThread access 3100(ActivityThread java:267)_x000D_
        at android app ActivityThread H handleMessage(ActivityThread java:2062)_x000D_
        at android os Handler dispatchMessage(Handler java:109)_x000D_
        at android os Looper loop(Looper java:207)_x000D_
        at android app ActivityThread main(ActivityThread java:7470)_x000D_
        at java lang reflect Method invoke(Native Method)_x000D_
        at com android internal os RuntimeInit MethodAndArgsCaller run(RuntimeInit java:524)_x000D_
        at com android internal os ZygoteInit main(ZygoteInit java:958)_x000D_
     Caused by: java lang NullPointerException: Attempt to invoke virtual method  boolean android content Intent migrateExtraStreamToClipData()  on a null object reference_x000D_
        at android app Instrumentation execStartActivity(Instrumentation java:1743)_x000D_
        at android app Activity startActivityForResult(Activity java:4781)_x000D_
        at android support v4 app FragmentActivity startActivityForResult(FragmentActivity java:767)_x000D_
        at android app Activity startActivityForResult(Activity java:4721)_x000D_
        at android support v4 app FragmentActivity startActivityForResult(FragmentActivity java:754)_x000D_
        at android app Activity startActivity(Activity java:5142)_x000D_
        at android app Activity startActivity(Activity java:5110)_x000D_
        at com gpig a MainActivity onStop(MainActivity java:140)_x000D_
        at android app Instrumentation callActivityOnStop(Instrumentation java:1490)_x000D_
        at android app Activity performStop(Activity java:7686)_x000D_
        at android app ActivityThread callActivityOnStop(ActivityThread java:4712)_x000D_
        at android app ActivityThread handleSleeping(ActivityThread java:4852) _x000D_
        at android app ActivityThread access 3100(ActivityThread java:267) _x000D_
        at android app ActivityThread H handleMessage(ActivityThread java:2062) _x000D_
        at android os Handler dispatchMessage(Handler java:109) _x000D_
        at android os Looper loop(Looper java:207) _x000D_
        at android app ActivityThread main(ActivityThread java:7470) _x000D_
        at java lang reflect Method invoke(Native Method) _x000D_
        at com android internal os RuntimeInit MethodAndArgsCaller run(RuntimeInit java:524) _x000D_
        at com android internal os ZygoteInit main(ZygoteInit java:958) </t>
  </si>
  <si>
    <t>Baltasarq-nadamillas-1</t>
  </si>
  <si>
    <t>crash when open statistic whit no data input before</t>
  </si>
  <si>
    <t>here is bug recording_x000D_
https:  youtu be ww2uaIkKdKI_x000D_
here is logcat_x000D_
   FATAL EXCEPTION: Thread 24261_x000D_
Process: com devbaltasarq nadamillas  PID: 10439_x000D_
java lang NumberFormatException: Invalid int:  null _x000D_
	at java lang Integer invalidInt(Integer java:138)_x000D_
	at java lang Integer parseInt(Integer java:358)_x000D_
	at java lang Integer parseInt(Integer java:334)_x000D_
	at java lang Integer valueOf(Integer java:525)_x000D_
	at com devbaltasarq nadamillas ui StatsActivity getSelections(StatsActivity java:328)_x000D_
	at com devbaltasarq nadamillas ui StatsActivity access 200(StatsActivity java:33)_x000D_
	at com devbaltasarq nadamillas ui StatsActivity 7 run(StatsActivity java:348)  _x000D_
_x000D_
_x000D_
step to reproduce_x000D_
  download the app_x000D_
  open the app_x000D_
  than click statistic option and see if the app will crash if no data input before</t>
  </si>
  <si>
    <t>segler-alex-RadioDroid-497</t>
  </si>
  <si>
    <t>App Crashes When Proxy Port Out of Range</t>
  </si>
  <si>
    <t xml:space="preserve">Go to settings  proxy  choose HTTP or SOCKS  Input anything as hostname  any digit more than 65535 as port  Click test or OK  then the app crashes </t>
  </si>
  <si>
    <t>nextcloud-news-android-770</t>
  </si>
  <si>
    <t>Attempting Single Sign On crashes app</t>
  </si>
  <si>
    <t xml:space="preserve">Running latest News Android app from F Droid app store and running latest Nextcloud 15 stable release   When attempting to use Single Sign On  the app will let me select my account and then promptly crash and ask to restart _x000D_
_x000D_
After restarting the app will act as those I am logged in  displaying the UI but no actual feeds are imported   Attempting to adjust the SSO under Server Settings will re crash the app </t>
  </si>
  <si>
    <t>nikita36078-J2ME-Loader-517</t>
  </si>
  <si>
    <t>The Amazing Spider-Man sound problem + game corrupted</t>
  </si>
  <si>
    <t xml:space="preserve">  Emulator version:  _x000D_
_x000D_
Latest build _x000D_
_x000D_
  Game version:  _x000D_
_x000D_
1 0 0 _x000D_
_x000D_
  Game resolution:  _x000D_
  (For example  240x320 or 640x360)  _x000D_
_x000D_
240x320_x000D_
_x000D_
  Device:  _x000D_
  (For example  Samsung Galaxy S7)  _x000D_
_x000D_
Nvidia Tablet K1_x000D_
_x000D_
  Android version:  _x000D_
_x000D_
Android 7 1_x000D_
_x000D_
  Description of the issue:  _x000D_
  (What s the problem    Screenshots showing the issue if applicable)  _x000D_
_x000D_
The game can be played normally but after stage 6 7 (it happens randomly) the sound stops and  if that happens  game will crash at the end of the level _x000D_
_x000D_
After that the game files or the game data gets corrupted ( failed to get fences from file ) and you cant even reach the main menu (i guess it crash when it tries to load the player data profile) _x000D_
_x000D_
I have completed it once but it crash most of the times _x000D_
_x000D_
The initial sound crash seems something realted to the midi sound (mPlayer) and i guess the game corruption is just normal behaviour of game crashing while loading the next level  But idk _x000D_
_x000D_
I think it happens with other Gameloft games _x000D_
_x000D_
 log txt (https:  github com nikita36078 J2ME Loader files 3194291 log txt)</t>
  </si>
  <si>
    <t>mehnlo-PracticeApp-9</t>
  </si>
  <si>
    <t>Edit profile fragment not found</t>
  </si>
  <si>
    <t>When the user search his profile and try to go to edit profile fragment the app crash</t>
  </si>
  <si>
    <t>ElderDrivers-EdXposed-258</t>
  </si>
  <si>
    <t>[BUG] Latest alpha breaks SafetyNet</t>
  </si>
  <si>
    <t xml:space="preserve">       What happened   _x000D_
_x000D_
On my Pixel 3 XL  the latest alpha causes SafetyNet to fail both ctsProfile and basicIntegrity  The previous beta passes SafetyNet  This occurs even with all Xposed modules disabled and only the framework active  _x000D_
_x000D_
  Xposed     Xposed Module List  _x000D_
_x000D_
   Screenshot 20190518 093928 (https:  user images githubusercontent com 25443872 57970585 f538dd80 7950 11e9 90e8 6cadc62effe2 png)_x000D_
_x000D_
_x000D_
  Magisk     Magisk Module List  _x000D_
_x000D_
   Screenshot 20190518 094046 (https:  user images githubusercontent com 25443872 57970589 0e418e80 7951 11e9 9213 3b79950d5faf png)_x000D_
_x000D_
   Screenshot 20190518 094055 (https:  user images githubusercontent com 25443872 57970591 15689c80 7951 11e9 83b6 b5d09ee7cbe0 png)_x000D_
_x000D_
_x000D_
  EdXposed Riru   Versions of EdXposed and Riru  _x000D_
_x000D_
EdXposed: magisk EdXposed SandHook v0 4 2 3 alpha release_x000D_
_x000D_
Riru: v19_x000D_
_x000D_
    Logcat Logcat  _x000D_
_x000D_
Did not see anything suspect in logcat  and there are no crashes  etc  </t>
  </si>
  <si>
    <t>roberto-o-r-DailyPrayer-Android-22</t>
  </si>
  <si>
    <t>crashh if change from potrait to landscape or vice versa during sytem loading</t>
  </si>
  <si>
    <t xml:space="preserve">but if screen rotated after fully loaded is work as well  but before fully loaded this app crash itself_x000D_
_x000D_
step reproduce_x000D_
 open the app and before the app fully loaded change the view _x000D_
_x000D_
recording of the bug_x000D_
https:  youtu be kbVV7dNKkL4_x000D_
logcat_x000D_
   FATAL EXCEPTION: main_x000D_
Process: com isscroberto dailyprayerandroid  PID: 10777_x000D_
java lang NullPointerException: Attempt to invoke interface method  void com isscroberto dailyprayerandroid prayer PrayerContract View showPrayer(com isscroberto dailyprayerandroid data models Item)  on a null object reference_x000D_
	at com isscroberto dailyprayerandroid prayer PrayerPresenter 1 onResponse(PrayerPresenter java:66)_x000D_
	at retrofit2 ExecutorCallAdapterFactory ExecutorCallbackCall 1 1 run(ExecutorCallAdapterFactory java:68)_x000D_
	at android os Handler handleCallback(Handler java:815)_x000D_
	at android os Handler dispatchMessage(Handler java:104)_x000D_
	at android os Looper loop(Looper java:218)_x000D_
	at android app ActivityThread main(ActivityThread java:5657)_x000D_
	at java lang reflect Method invoke(Native Method)_x000D_
	at java lang reflect Method invoke(Method java:372)_x000D_
	at com android internal os ZygoteInit MethodAndArgsCaller run(ZygoteInit java:990)_x000D_
	at com android internal os ZygoteInit main(ZygoteInit java:785)   </t>
  </si>
  <si>
    <t>mathisdt-sdbviewer-10</t>
  </si>
  <si>
    <t>crash when try to search</t>
  </si>
  <si>
    <t xml:space="preserve">i dont know this is can be a bug or no  just report it_x000D_
step to reproduce _x000D_
 open the app _x000D_
  click setting_x000D_
  than chose general_x000D_
  than change song addres whit another web_x000D_
  than go back and refresh and click search option and type any word and see if the app will crash _x000D_
_x000D_
recording of the buug_x000D_
https:  youtu be 3LJd6 Db06M_x000D_
log cat_x000D_
   ACRA caught a NullPointerException for org zephyrsoft sdbviewer_x000D_
java lang NullPointerException: Attempt to invoke virtual method  void org zephyrsoft sdbviewer SongListActivity SimpleItemRecyclerViewAdapter filter(java lang String)  on a null object reference_x000D_
	at org zephyrsoft sdbviewer SongListActivity applyFilter(SongListActivity java:133)_x000D_
	at org zephyrsoft sdbviewer SongListActivity handleSearchText(SongListActivity java:127)_x000D_
	at org zephyrsoft sdbviewer SongListActivity access 000(SongListActivity java:41)_x000D_
	at org zephyrsoft sdbviewer SongListActivity 1 onQueryTextChange(SongListActivity java:117)_x000D_
	at android widget SearchView onTextChanged(SearchView java:1228)_x000D_
	at android widget SearchView access 2000(SearchView java:98)_x000D_
	at android widget SearchView 10 onTextChanged(SearchView java:1712)_x000D_
	at android widget TextView sendOnTextChanged(TextView java:8190)_x000D_
	at android widget TextView handleTextChanged(TextView java:8253)_x000D_
	at android widget TextView ChangeWatcher onTextChanged(TextView java:10069)_x000D_
	at android text SpannableStringBuilder sendTextChanged(SpannableStringBuilder java:982)_x000D_
	at android text SpannableStringBuilder replace(SpannableStringBuilder java:528)_x000D_
	at android text SpannableStringBuilder replace(SpannableStringBuilder java:465)_x000D_
	at android text SpannableStringBuilder replace(SpannableStringBuilder java:38)_x000D_
	at android view inputmethod BaseInputConnection replaceText(BaseInputConnection java:693)_x000D_
	at android view inputmethod BaseInputConnection setComposingText(BaseInputConnection java:453)_x000D_
	at com android internal view IInputConnectionWrapper executeMessage(IInputConnectionWrapper java:340)_x000D_
	at com android internal view IInputConnectionWrapper MyHandler handleMessage(IInputConnectionWrapper java:78)_x000D_
	at android os Handler dispatchMessage(Handler java:111)_x000D_
	at android os Looper loop(Looper java:218)_x000D_
	at android app ActivityThread main(ActivityThread java:5657)_x000D_
	at java lang reflect Method invoke(Native Method)_x000D_
	at java lang reflect Method invoke(Method java:372)_x000D_
	at com android internal os ZygoteInit MethodAndArgsCaller run(ZygoteInit java:990)_x000D_
	at com android internal os ZygoteInit main(ZygoteInit java:785)   </t>
  </si>
  <si>
    <t>nikita36078-J2ME-Loader-516</t>
  </si>
  <si>
    <t>Splinter Cell Double Agent Main Menu Problem</t>
  </si>
  <si>
    <t xml:space="preserve">  Emulator version:  _x000D_
1 4 9_x000D_
_x000D_
  Game version:  _x000D_
1 0 0 (U880 U300 version)_x000D_
_x000D_
  Game resolution:  _x000D_
176x220_x000D_
_x000D_
  Device:  _x000D_
General Mobile 8_x000D_
_x000D_
  Android version:  _x000D_
Android 9_x000D_
_x000D_
  Description of the issue:  _x000D_
When you die in game and wanna return main menu you just can t  Game crash somehow  Hope you fix it _x000D_
_x000D_
</t>
  </si>
  <si>
    <t>jroal-a2dp-connect2-12</t>
  </si>
  <si>
    <t>Crash On Close</t>
  </si>
  <si>
    <t xml:space="preserve">I have a Pixel2 running the latest security patches  The widget does connect to my A2DP device but always crashes after connecting   Using the crash dialog ( app has stopped working ) I have submitted several reports  </t>
  </si>
  <si>
    <t>microsoft-appcenter-sdk-android-1162</t>
  </si>
  <si>
    <t>Crash java.lang.SecurityException on app start cause by BrowserUtils.openBrowser</t>
  </si>
  <si>
    <t xml:space="preserve">      Description  _x000D_
_x000D_
Integrated AppCenter crash reporting  analytics and distribute  On starting the main activity of my application  it crashes the following crash log:_x000D_
_x000D_
   _x000D_
Caused by: java lang SecurityException: Permission Denial: starting Intent   act android intent action VIEW dat https:  install appcenter ms     cmp com opera browser  leanplum LeanplumCatchActivity   from ProcessRecord a4a5f86 23827:  my package name    u0a198  (pid 23827  uid 10198) not exported from uid 10145_x000D_
                _x000D_
        at com microsoft appcenter distribute BrowserUtils openBrowser(BrowserUtils java:93)_x000D_
        at com microsoft appcenter distribute DistributeUtils updateSetupUsingBrowser(DistributeUtils java:175)_x000D_
        at com microsoft appcenter distribute Distribute resumeDistributeWorkflow(Distribute java:827)_x000D_
        at com microsoft appcenter distribute Distribute onActivityResumed(Distribute java:481)_x000D_
        at android app Application dispatchActivityResumed(Application java:218)_x000D_
                   _x000D_
   _x000D_
_x000D_
My suspicion is that either the Opera does not support this type of launch  or simply the Xiaomi Redmi 5A Android does not allow directly starting activity by package name and class name  I suppose it requires that the user always goes through the IntentChooser _x000D_
_x000D_
      Repro Steps  _x000D_
_x000D_
Please list the steps used to reproduce your issue _x000D_
_x000D_
1  Use Xiaomi Redmi 5A_x000D_
2  Set Opera as the default browser _x000D_
_x000D_
      Details  _x000D_
_x000D_
1  Which SDK version are you using _x000D_
      2 0 0_x000D_
2  Which OS version did you experience the issue on _x000D_
      Android 8 1 0_x000D_
3  What device version did you see this error on   Were you using an emulator or a physical device _x000D_
      Xiaomi Redmi 5A   physical device_x000D_
4  What third party libraries are you using _x000D_
      org jetbrains kotlin:kotlin stdlib jdk7:1 3 21_x000D_
      androidx appcompat:appcompat:1 0 2_x000D_
      com google android material:material:1 0 0_x000D_
      androidx core:core ktx:1 0 2_x000D_
      androidx constraintlayout:constraintlayout:1 1 3_x000D_
      com jakewharton timber:timber:4 7 1_x000D_
      io reactivex rxjava2:rxjava:2 2 0_x000D_
      io reactivex rxjava2:rxkotlin:2 2 0_x000D_
      io reactivex rxjava2:rxandroid:2 1 0_x000D_
      com microsoft appcenter:appcenter analytics:2 0 0_x000D_
      com microsoft appcenter:appcenter crashes:2 0 0_x000D_
      com microsoft appcenter:appcenter distribute:2 0 0_x000D_
      com google protobuf:protobuf lite:3 0 0_x000D_
      androidx lifecycle:lifecycle viewmodel ktx:2 0 0_x000D_
      androidx navigation:navigation fragment ktx:2 0 0_x000D_
      androidx navigation:navigation ui ktx:2 0 0_x000D_
      androidx work:work runtime ktx:2 0 1_x000D_
      androidx multidex:multidex:2 0 1_x000D_
      com google android gms:play services location:16 0 0_x000D_
      org jetbrains kotlinx:kotlinx coroutines core:1 1 1_x000D_
      org jetbrains kotlinx:kotlinx coroutines android:1 1 1_x000D_
      androidx recyclerview:recyclerview:1 0 0_x000D_
      com google firebase:firebase core:16 0 9_x000D_
      com google firebase:firebase auth:17 0 0_x000D_
      com google firebase:firebase storage:17 0 0_x000D_
      com google android gms:play services maps:16 1 0_x000D_
_x000D_
5  Please enable verbose logging for your app using  AppCenter setLogLevel(Log VERBOSE)  before your call to  AppCenter start(   )  and include the logs here:_x000D_
_x000D_
Just a side note before you review the logs:_x000D_
  Normally it is not possible to provide logs for the Distribute  due to the fact that it only works if the app is not in debuggable state  The cause is in this line in the SDK s Distribute java:_x000D_
_x000D_
    _x000D_
   Don t go any further it this is a debug app    _x000D_
            if ((mContext getApplicationInfo() flags   FLAG DEBUGGABLE)    FLAG DEBUGGABLE)  _x000D_
                AppCenterLog info(LOG TAG   Not checking in app updates in debug  ) _x000D_
                mWorkflowCompleted   true _x000D_
                return _x000D_
             _x000D_
   _x000D_
_x000D_
In order to provide you the log below  I need to set a breakpoint at runtime and overwrite the debuggable flag  mContext getApplicationInfo() flags  to allow for the logic to continue  Testing this would be much more convenient if you merge one of the open feature requests for making this debuggable behavior optional  Anyway  allowing artificially the logic to continue  this is what happens _x000D_
_x000D_
   _x000D_
I AppCenter: App Center SDK configured successfully _x000D_
D AppCenter: Cannot read instrumentation variables in a non test environment _x000D_
D AppCenter: Cannot read instrumentation variables in a non test environment _x000D_
D AppCenter: Cannot read instrumentation variables in a non test environment _x000D_
D AppCenter: Using appcenter 0 AES CBC PKCS7Padding 256_x000D_
D AppCenter: Using appcenter 0 RSA ECB PKCS1Padding 2048_x000D_
I AppCenterDistribute: Launcher activity restarted _x000D_
D AppCenter: Loaded stored sessions:  1558107558722 1558107558722 6b51a420 8ca6 4659 8d99 eb9f9c72c76e 1558107558387  1558107600673 1558107600673  1558107600672  1558107785616 1558107785616  1558107785615  1558107786348 1558107786348 ee424fa1 6438 416c be34 afd7afa96986 1558107785615  1558107795276 1558107795276  1558107795275  1558107795835 1558107795835 9cadad71 4cdc 4bf8 9857 791b701fab31 1558107795275  1558109636803 1558109636803  1558109636790  1558109639041 1558109639041 e2e6e7d8 65f8 4bad a21a 4a9baeb7f536 1558109636790  1558109713851 1558109713851  1558109713833  1558109715294 1558109715294 411e3f0a 5cfe 4f01 9b53 b7c50de28f6c 1558109713833 _x000D_
D AppCenter: Network 118 is available _x000D_
D AppCenter: Network has been connected _x000D_
I AppCenter: Changed maximum database size to 10485760 bytes _x000D_
D AppCenter: addGroup(group core)_x000D_
D AppCenter: checkPendingLogs(group core) pendingLogCount 1_x000D_
D AppCenter: App Center initialized _x000D_
D AppCenter: removeGroup(group analytics)_x000D_
D AppCenter: removeGroup(group analytics one)_x000D_
D AppCenter: addGroup(group analytics)_x000D_
D AppCenter: checkPendingLogs(group analytics) pendingLogCount 2_x000D_
D AppCenter: addGroup(group analytics one)_x000D_
D AppCenter: checkPendingLogs(group analytics one) pendingLogCount 0_x000D_
I AppCenter: Analytics service started from application _x000D_
D AppCenter: removeGroup(groupErrors)_x000D_
D AppCenter: removeGroup(groupErrors one)_x000D_
D AppCenter: addGroup(groupErrors)_x000D_
D AppCenter: checkPendingLogs(groupErrors) pendingLogCount 0_x000D_
D AppCenter: addGroup(groupErrors one)_x000D_
D AppCenter: checkPendingLogs(groupErrors one) pendingLogCount 0_x000D_
D AppCenterCrashes: Processing crash report for the last session _x000D_
D AppCenterCrashes: Processed crash report for the last session _x000D_
D AppCenterCrashes: Process pending error file:  data user 0        my package name       files error dcd6a449 c003 47fc ab5d 526013db57e1 json_x000D_
I AppCenter: Crashes service started from application _x000D_
D AppCenter: removeGroup(group distribute)_x000D_
D AppCenter: removeGroup(group distribute one)_x000D_
D AppCenter: addGroup(group distribute)_x000D_
D AppCenter: checkPendingLogs(group distribute) pendingLogCount 0_x000D_
D AppCenter: addGroup(group distribute one)_x000D_
D AppCenter: checkPendingLogs(group distribute one) pendingLogCount 0_x000D_
I AppCenter: Distribute service started from application _x000D_
D AppCenter: Storing a log to the Persistence database for log type startService with flags 1_x000D_
D AppCenter: Stored a log to the Persistence database for log type startService with databaseId 39_x000D_
D AppCenter: enqueue(group core) pendingLogCount 2_x000D_
D AppCenter: checkPendingLogs(group core) pendingLogCount 2_x000D_
D AppCenter: Storing a log to the Persistence database for log type event with flags 1_x000D_
D AppCenter: Stored a log to the Persistence database for log type event with databaseId 40_x000D_
D AppCenter: enqueue(group analytics) pendingLogCount 3_x000D_
D AppCenter: checkPendingLogs(group analytics) pendingLogCount 3_x000D_
D AppCenterAnalytics: onActivityResumed_x000D_
D AppCenter: Storing a log to the Persistence database for log type startSession with flags 1_x000D_
D AppCenter: Stored a log to the Persistence database for log type startSession with databaseId 41_x000D_
D AppCenter: enqueue(group analytics) pendingLogCount 4_x000D_
D AppCenter: checkPendingLogs(group analytics) pendingLogCount 4_x000D_
D AppCenter: triggerIngestion(group core) pendingLogCount 2_x000D_
D AppCenter: Trying to get 2 logs from the Persistence database for group core_x000D_
D AppCenter: Returning 2 log(s) with an ID  dfbb94dc 0df9 4445 aff8 9dc2d869042c_x000D_
D AppCenter: The SID ID pairs for returning log(s) is are:_x000D_
D AppCenter: 	null   36_x000D_
D AppCenter: 	null   39_x000D_
D AppCenter: ingestLogs(group core dfbb94dc 0df9 4445 aff8 9dc2d869042c) pendingLogCount 0_x000D_
D AppCenter: triggerIngestion(group analytics) pendingLogCount 4_x000D_
D AppCenter: Trying to get 4 logs from the Persistence database for group analytics_x000D_
D AppCenter: Returning 4 log(s) with an ID  bfe6744b 35d0 4b07 8e76 18b65f92b4cb_x000D_
D AppCenter: The SID ID pairs for returning log(s) is are:_x000D_
D AppCenter: 	null   37_x000D_
D AppCenter: 	411e3f0a 5cfe 4f01 9b53 b7c50de28f6c   38_x000D_
D AppCenter: 	null   40_x000D_
D AppCenter: 	4e99dc03 487d 4968 87fd 1b10c4a50802   41_x000D_
D AppCenter: ingestLogs(group analytics bfe6744b 35d0 4b07 8e76 18b65f92b4cb) pendingLogCount 0_x000D_
D AppCenterDistribute: InstallerPackageName null_x000D_
D AppCenterDistribute: No token  need to open browser to url https:  install appcenter ms apps f626dbb0 bd87 46e4 9214 14d06a2fdac5 update setup  release hash 23d245d9f8701123ee196698c462ccbb5ff424cd533e746e85a7a329db79ccac redirect id        my package name       redirect scheme appcenter request id 97fda018 869b 4f73 9a21 2884e41cca4e platform Android enable failure redirect true install id 44d98f13 9ddb 4367 82c5 0add4dc419fe_x000D_
D AppCenterDistribute: Default browser seems to be com android browser com android browser LauncherActivity_x000D_
D AppCenterDistribute: Default browser is actually a picker   _x000D_
D AppCenterDistribute: Picking first browser in list _x000D_
D AppCenterDistribute: Launch browser com opera browser com opera browser leanplum LeanplumCatchActivity_x000D_
D AppCenterCrashes: Saving uncaught exception _x000D_
D AppCenterCrashes: Saved JSON content for ingestion into  data user 0        my package name       files error 0e2db6b7 0059 4ec9 b895 11410dabc9f0 json_x000D_
D AppCenterCrashes: Saved Throwable as is for client side inspection in  data user 0        my package name       files error 0e2db6b7 0059 4ec9 b895 11410dabc9f0 throwable throwable:_x000D_
    java lang RuntimeException: Unable to resume activity         my package name              my package name       ui MainActivity : java lang SecurityException: Permission Denial: starting Intent   act android intent action VIEW dat https:  install appcenter ms     cmp com opera browser  leanplum LeanplumCatchActivity   from ProcessRecord d7a878b 27938:       my package name       u0a198  (pid 27938  uid 10198) not exported from uid 10145_x000D_
        at android app ActivityThread performResumeActivity(ActivityThread java:3627)_x000D_
        at android app ActivityThread handleResumeActivity(ActivityThread java:3667)_x000D_
        at android app ActivityThread handleLaunchActivity(ActivityThread java:2901)_x000D_
        at android app ActivityThread  wrap11(Unknown Source:0)_x000D_
        at android app ActivityThread H handleMessage(ActivityThread java:1616)_x000D_
        at android os Handler dispatchMessage(Handler java:106)_x000D_
        at android os Looper loop(Looper java:171)_x000D_
        at android app ActivityThread main(ActivityThread java:6651)_x000D_
        at java lang reflect Method invoke(Native Method)_x000D_
        at com android internal os RuntimeInit MethodAndArgsCaller run(RuntimeInit java:547)_x000D_
        at com android internal os ZygoteInit main(ZygoteInit java:824)_x000D_
     Caused by: java lang SecurityException: Permission Denial: starting Intent   act android intent action VIEW dat https:  install appcenter ms     cmp com opera browser  leanplum LeanplumCatchActivity   from ProcessRecord d7a878b 27938:       my package name       u0a198  (pid 27938  uid 10198) not exported from uid 10145_x000D_
        at android os Parcel readException(Parcel java:2013)_x000D_
        at android os Parcel readException(Parcel java:1959)_x000D_
        at android app IActivityManager Stub Proxy startActivity(IActivityManager java:4437)_x000D_
        at android app Instrumentation execStartActivity(Instrumentation java:1615)_x000D_
        at android app Activity startActivityForResult(Activity java:4555)_x000D_
        at androidx fragment app FragmentActivity startActivityForResult(FragmentActivity java:767)_x000D_
        at android app Activity startActivityForResult(Activity java:4513)_x000D_
        at androidx fragment app FragmentActivity startActivityForResult(FragmentActivity java:754)_x000D_
        at android app Activity startActivity(Activity java:4874)_x000D_
        at android app Activity startActivity(Activity java:4842)_x000D_
        at com microsoft appcenter distribute BrowserUtils openBrowser(BrowserUtils java:93)_x000D_
        at com microsoft appcenter distribute DistributeUtils updateSetupUsingBrowser(DistributeUtils java:175)_x000D_
        at com microsoft appcenter distribute Distribute resumeDistributeWorkflow(Distribute java:827)_x000D_
        at com microsoft appcenter distribute Distribute onActivityResumed(Distribute java:481)_x000D_
        at android app Application dispatchActivityResumed(Application java:218)_x000D_
        at android app Activity onResume(Activity java:1345)_x000D_
        at androidx fragment app FragmentActivity onResume(FragmentActivity java:514)_x000D_
        at android app Instrumentation callActivityOnResume(Instrumentation java:1356)_x000D_
        at android app Activity performResume(Activity java:7196)_x000D_
        at android app ActivityThread performResumeActivity(ActivityThread java:3602)_x000D_
        at android app ActivityThread handleResumeActivity(ActivityThread java:3667) _x000D_
        at android app ActivityThread handleLaunchActivity(ActivityThread java:2901) _x000D_
        at android app ActivityThread  wrap11(Unknown Source:0) _x000D_
        at android app ActivityThread H handleMessage(ActivityThread java:1616) _x000D_
        at android os Handler dispatchMessage(Handler java:106) _x000D_
        at android os Looper loop(Looper java:171) _x000D_
        at android app ActivityThread main(ActivityThread java:6651) _x000D_
        at java lang reflect Method invoke(Native Method) _x000D_
        at com android internal os RuntimeInit MethodAndArgsCaller run(RuntimeInit java:547) _x000D_
        at com android internal os ZygoteInit main(ZygoteInit java:824) _x000D_
2019 05 17 18:18:37 379 27938 27995        my package name       D AppCenter: Cleared pending log states_x000D_
2019 05 17 18:18:37 379 27938 27995        my package name       D AppCenter: Channel completed shutdown _x000D_
   _x000D_
_x000D_
</t>
  </si>
  <si>
    <t>rajatgoyal715-Puzzle15-44</t>
  </si>
  <si>
    <t>App crash on game completion</t>
  </si>
  <si>
    <t xml:space="preserve">Steps to reproduce:_x000D_
1  complete a game_x000D_
2  main menu opens up now(it shouldn t) _x000D_
3  click on resume game and app crashes </t>
  </si>
  <si>
    <t>LawnchairLauncher-lawnchair-1558</t>
  </si>
  <si>
    <t xml:space="preserve">Apps in work profile assigned to custom app drawer tabs gets removed on reboot </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</si>
  <si>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Some apps in my work profile are assigned to other tabs in the app drawer  but when I reboot  the apps are removed from the tab I assigned them to and put back in the work profile tab _x000D_
_x000D_
_x000D_
   Expected Behavior_x000D_
      Tell us what should happen    _x000D_
Apps in the work profile should stay in the tab I assigned them to _x000D_
_x000D_
_x000D_
   Actual Behavior_x000D_
      Tell us what happens instead    _x000D_
The apps are put back in the work profile tab upon reboot _x000D_
_x000D_
_x000D_
   Steps to Reproduce_x000D_
      Provide a link to a live example (screenshot recording etc  )  or a set of steps to reproduce the issue    _x000D_
_x000D_
1  Assign a work profile app to a custom tab_x000D_
2  Reboot the device_x000D_
3  The app should be back in the work profile tab_x000D_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OnePlus 5_x000D_
  Android version: 9 0 0_x000D_
  Launcher version: 2 0 2066 ci alpha_x000D_
  Rom: OxygenOS 9 0 5_x000D_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your log here_x000D_
   _x000D_
</t>
  </si>
  <si>
    <t>fossasia-pslab-android-1728</t>
  </si>
  <si>
    <t>Outofmemory crash in PSLabPinLayoutFragment</t>
  </si>
  <si>
    <t xml:space="preserve">  Actual Behaviour  _x000D_
_x000D_
Google Play crash reports indicate that there is a crash happening when a user tries pinmap multiple times  Probably some caches not getting clear _x000D_
_x000D_
  Expected Behaviour  _x000D_
_x000D_
App should not crash and memory needs to be utilized_x000D_
_x000D_
  Steps to reproduce it  _x000D_
_x000D_
 Download and view steps recorded from Google Play tests (https:  github com fossasia pslab android files 3189457 OutOfMemoryGooglePlay zip)_x000D_
_x000D_
  LogCat for the issue  _x000D_
_x000D_
   _x000D_
05 04 07:30:07 963: E AndroidRuntime(11854): FATAL EXCEPTION: ControllerMessenger_x000D_
05 04 07:30:07 963: E AndroidRuntime(11854): java lang OutOfMemoryError_x000D_
05 04 07:30:07 963: E AndroidRuntime(11854): 	at android graphics BitmapFactory nativeDecodeAsset(Native Method)_x000D_
05 04 07:30:07 963: E AndroidRuntime(11854): 	at android graphics BitmapFactory decodeStream(BitmapFactory java:596)_x000D_
05 04 07:30:07 963: E AndroidRuntime(11854): 	at android graphics BitmapFactory decodeResourceStream(BitmapFactory java:444)_x000D_
05 04 07:30:07 963: E AndroidRuntime(11854): 	at android graphics drawable Drawable createFromResourceStream(Drawable java:832)_x000D_
05 04 07:30:07 963: E AndroidRuntime(11854): 	at android content res Resources loadDrawable(Resources java:2988)_x000D_
05 04 07:30:07 963: E AndroidRuntime(11854): 	at android content res Resources getDrawable(Resources java:1558)_x000D_
05 04 07:30:07 963: E AndroidRuntime(11854): 	at android support v7 widget VectorEnabledTintResources superGetDrawable(VectorEnabledTintResources java:75)_x000D_
05 04 07:30:07 963: E AndroidRuntime(11854): 	at android support v7 widget AppCompatDrawableManager onDrawableLoadedFromResources(AppCompatDrawableManager java:432)_x000D_
05 04 07:30:07 963: E AndroidRuntime(11854): 	at android support v7 widget VectorEnabledTintResources getDrawable(VectorEnabledTintResources java:68)_x000D_
05 04 07:30:07 963: E AndroidRuntime(11854): 	at android support v4 content res ResourcesCompat getDrawable(ResourcesCompat java:84)_x000D_
05 04 07:30:07 963: E AndroidRuntime(11854): 	at io pslab fragment PSLabPinLayoutFragment onCreateView(PSLabPinLayoutFragment java:60)_x000D_
05 04 07:30:07 963: E AndroidRuntime(11854): 	at android support v4 app Fragment performCreateView(Fragment java:2439)_x000D_
05 04 07:30:07 963: E AndroidRuntime(11854): 	at android support v4 app FragmentManagerImpl moveToState(FragmentManager java:1460)_x000D_
05 04 07:30:07 963: E AndroidRuntime(11854): 	at android support v4 app FragmentManagerImpl moveFragmentToExpectedState(FragmentManager java:1784)_x000D_
05 04 07:30:07 963: E AndroidRuntime(11854): 	at android support v4 app FragmentManagerImpl moveToState(FragmentManager java:1852)_x000D_
05 04 07:30:07 963: E AndroidRuntime(11854): 	at android support v4 app BackStackRecord executeOps(BackStackRecord java:802)_x000D_
05 04 07:30:07 963: E AndroidRuntime(11854): 	at android support v4 app FragmentManagerImpl executeOps(FragmentManager java:2625)_x000D_
05 04 07:30:07 963: E AndroidRuntime(11854): 	at android support v4 app FragmentManagerImpl executeOpsTogether(FragmentManager java:2411)_x000D_
05 04 07:30:07 963: E AndroidRuntime(11854): 	at android support v4 app FragmentManagerImpl removeRedundantOperationsAndExecute(FragmentManager java:2366)_x000D_
05 04 07:30:07 963: E AndroidRuntime(11854): 	at android support v4 app FragmentManagerImpl execPendingActions(FragmentManager java:2273)_x000D_
05 04 07:30:07 963: E AndroidRuntime(11854): 	at android support v4 app FragmentManagerImpl 1 run(FragmentManager java:733)_x000D_
05 04 07:30:07 963: E AndroidRuntime(11854): 	at android os Handler handleCallback(Handler java:730)_x000D_
05 04 07:30:07 963: E AndroidRuntime(11854): 	at android os Handler dispatchMessage(Handler java:92)_x000D_
05 04 07:30:07 963: E AndroidRuntime(11854): 	at androidx test espresso base Interrogator a(Interrogator java:19)_x000D_
05 04 07:30:07 963: E AndroidRuntime(11854): 	at androidx test espresso base UiControllerImpl a(UiControllerImpl java:166)_x000D_
05 04 07:30:07 963: E AndroidRuntime(11854): 	at androidx test espresso base UiControllerImpl a(UiControllerImpl java:158)_x000D_
   _x000D_
_x000D_
  Screenshots of the issue  _x000D_
_x000D_
  Refer to steps to reproduce_x000D_
_x000D_
  Would you like to work on the issue   _x000D_
_x000D_
 neel1998    ho dor _x000D_
</t>
  </si>
  <si>
    <t>YahiaAngelo-Karma-2</t>
  </si>
  <si>
    <t>[karma][v4.0]app failed to open</t>
  </si>
  <si>
    <t xml:space="preserve">_x000D_
_x000D_
    Actual behavior_x000D_
_x000D_
App crashing again and again  can not open the app _x000D_
    Expected behavior_x000D_
_x000D_
Expected that i can open the app and can use successfully_x000D_
    How to reproduce_x000D_
  Install the apps and open the app_x000D_
  Use app sometimes_x000D_
  Minimize the app and clear the app from recent used app _x000D_
  Now try to open the app again _x000D_
  Do 2 4 steps again _x000D_
  See the bug_x000D_
    Information_x000D_
App version:v4 0_x000D_
OS:Android 6 0 1_x000D_
Device:Samsung j5_x000D_
    Recording Of The Bug_x000D_
https:  youtu be ftOvakxnYEc_x000D_
_x000D_
    logcat:_x000D_
 pre  code 05 16 08:55:20 618 18191 18191 E AndroidRuntime: FATAL EXCEPTION: main_x000D_
05 16 08:55:20 618 18191 18191 E AndroidRuntime: Process: com angelo karma  PID: 18191_x000D_
05 16 08:55:20 618 18191 18191 E AndroidRuntime: java lang RuntimeException: Unable to start activity ComponentInfo com angelo karma com angelo karma LoginActivity : java lang RuntimeException: A TaskDescription s primary color should be opaque_x000D_
05 16 08:55:20 618 18191 18191 E AndroidRuntime:   at android app ActivityThread performLaunchActivity(ActivityThread java:3256)_x000D_
05 16 08:55:20 618 18191 18191 E AndroidRuntime:   at android app ActivityThread handleLaunchActivity(ActivityThread java:3352)_x000D_
05 16 08:55:20 618 18191 18191 E AndroidRuntime:   at android app ActivityThread access 1100(ActivityThread java:223)_x000D_
05 16 08:55:20 618 18191 18191 E AndroidRuntime:   at android app ActivityThread H handleMessage(ActivityThread java:1797)_x000D_
05 16 08:55:20 618 18191 18191 E AndroidRuntime:   at android os Handler dispatchMessage(Handler java:102)_x000D_
05 16 08:55:20 618 18191 18191 E AndroidRuntime:   at android os Looper loop(Looper java:158)_x000D_
05 16 08:55:20 618 18191 18191 E AndroidRuntime:   at android app ActivityThread main(ActivityThread java:7231)_x000D_
05 16 08:55:20 618 18191 18191 E AndroidRuntime:   at java lang reflect Method invoke(Native Method)_x000D_
05 16 08:55:20 618 18191 18191 E AndroidRuntime:   at com android internal os ZygoteInit MethodAndArgsCaller run(ZygoteInit java:1230)_x000D_
05 16 08:55:20 618 18191 18191 E AndroidRuntime:   at com android internal os ZygoteInit main(ZygoteInit java:1120)_x000D_
05 16 08:55:20 618 18191 18191 E AndroidRuntime: Caused by: java lang RuntimeException: A TaskDescription s primary color should be opaque_x000D_
05 16 08:55:20 618 18191 18191 E AndroidRuntime:   at android app ActivityManager TaskDescription  init (ActivityManager java:641)_x000D_
05 16 08:55:20 618 18191 18191 E AndroidRuntime:   at android app Activity onApplyThemeResource(Activity java:4076)_x000D_
05 16 08:55:20 618 18191 18191 E AndroidRuntime:   at android view ContextThemeWrapper initializeTheme(ContextThemeWrapper java:150)_x000D_
05 16 08:55:20 618 18191 18191 E AndroidRuntime:   at android view ContextThemeWrapper setTheme(ContextThemeWrapper java:94)_x000D_
05 16 08:55:20 618 18191 18191 E AndroidRuntime:   at androidx appcompat app AppCompatActivity setTheme(AppCompatActivity java:111)_x000D_
05 16 08:55:20 618 18191 18191 E AndroidRuntime:   at com angelo karma LoginActivity onCreate(LoginActivity java:41)_x000D_
05 16 08:55:20 618 18191 18191 E AndroidRuntime:   at android app Activity performCreate(Activity java:6877)_x000D_
05 16 08:55:20 618 18191 18191 E AndroidRuntime:   at android app Instrumentation callActivityOnCreate(Instrumentation java:1136)_x000D_
05 16 08:55:20 618 18191 18191 E AndroidRuntime:   at android app ActivityThread performLaunchActivity(ActivityThread java:3209)_x000D_
05 16 08:55:20 618 18191 18191 E AndroidRuntime:       9 more  code   pre _x000D_
</t>
  </si>
  <si>
    <t>nextcloud-android-4033</t>
  </si>
  <si>
    <t>Nextcloud keeps crashing when syncing a big folder</t>
  </si>
  <si>
    <t>First time I post on github  sorry in advance if I m doing anything wrong  Also: Im sorry for this generic title but I can t realy put my finger on what it is related to  My guess is the fact that my external 128GB micro SD card is formated as internal storage and nextcloud is moved to it  I hope I can change the title to something more appropriate if we find out what this issue is related to _x000D_
_x000D_
    Actual behaviour_x000D_
I start the app  go to all files and pick my documents folder for example ( 17GB)  It starts the sync   downloading but every few seconds I get the window  Nextcloud reagiert nicht   App schlie en   Warten  (nextcloud stopped working  close app  wait)  When I keep answering  Warten  (wait) it works as it should  When my screen turns itself off after the configured time of 10s it can happen  that the sync stops  This means I can see a file downloaded to i e  45  and it s stuck there  After that the filesystem seems to be in a wierd state  Sometimes I can t save new files  this includes taking a picture and saving it to DCIM (which normally happes automaticly _x000D_
_x000D_
Important: Sometimes it works as intended  Exspecially when the folder to sync is smaller _x000D_
_x000D_
    Expected behaviour_x000D_
  Start a sync of a folder (size shouldn t matter)_x000D_
  No popup windows like  stopped working _x000D_
_x000D_
 _x000D_
    Steps to reproduce_x000D_
1  Format SD card as internal storage_x000D_
2  Start nextcloud app and pick a (big) folder to sync_x000D_
3  wait for the Crash windows to pop up_x000D_
_x000D_
_x000D_
    Environment data_x000D_
Android version: 9_x000D_
_x000D_
Device model: HTC 10   pme_x000D_
_x000D_
Stock or customized system: customized  unoffical version of LineageOS 16 ( link (https:  forum xda developers com htc 10 development rom lineageos 16 1 unofficial builds pme t3851614))_x000D_
_x000D_
Nextcloud app version: 3 6 0 (f droid)_x000D_
_x000D_
Nextcloud server version: 16 0 0_x000D_
_x000D_
Since I think it s related to the SD card:  SanDisk Extreme 128GB microSDXC (https:  www amazon de dp B07FCMKK5X)_x000D_
_x000D_
    Logs_x000D_
     Android logcat output_x000D_
   _x000D_
05 16 14:25:25 216  3236  4381 D FileContentProvider: applied batch in provider com owncloud android providers FileContentProvider b1c9d57_x000D_
05 16 14:25:25 227  3236  4381 V SynchronizeFolderOperation: Starting content synchronization    _x000D_
05 16 14:25:25 229  3236  4381 D OperationsService: Called 0 listeners_x000D_
05 16 14:25:25 230  3236  4381 D SyncFolderHandler: Stopping after command with id 616_x000D_
05 16 14:25:25 250  3236  4381 D SynchronizeFolderOperation: Checking changes in  URL  Documents  FOLDER  _x000D_
05 16 14:25:25 251  3236  4381 D OwnCloudClient  0: REQUEST PROPFIND  remote php webdav Documents  FOLDER  _x000D_
05 16 14:25:25 253  3236  4381 D AdvancedSslSocketFactory: Creating SSL Socket with remote  URL :443  local null:0  params: org apache commons httpclient params HttpConnectionParams b004347_x000D_
05 16 14:25:25 253  3236  4381 D AdvancedSslSocketFactory:      with connection timeout 5000 and socket timeout 60000_x000D_
05 16 14:25:25 257  3236  4381 I ServerNameIndicator: SSLSocket implementation: com android org conscrypt Java8FileDescriptorSocket_x000D_
05 16 14:25:25 257  3236  4381 I ServerNameIndicator: SNI done  hostname:  URL _x000D_
05 16 14:25:25 346  3236  4381 I SynchronizeFolderOperation: Checked  URL  Documents  FOLDER   : changed_x000D_
05 16 14:25:25 347  3236  4381 D OwnCloudClient  0: REQUEST PROPFIND  remote php webdav Documents  FOLDER  _x000D_
05 16 14:25:25 441  1338  1789 I CwMcuSensor: processEvent: Reporting mPendingEvent light   110 000 139 000_x000D_
05 16 14:25:25 468  3236  4381 I ReadFolderRemoteOperation: Synchronized  Documents  FOLDER  : Operation finished with HTTP status code 207 (success)_x000D_
05 16 14:25:25 468  3236  4381 D SynchronizeFolderOperation: Synchronizing  URL  Documents  FOLDER  _x000D_
05 16 14:25:25 468  3236  4381 D SynchronizeFolderOperation: Remote folder  Documents  FOLDER   changed   starting update of local data _x000D_
05 16 14:25:25 491  3236  3236 D OperationsService: Starting command with id 963_x000D_
05 16 14:25:25 495  3236  3236 D OperationsService: Starting command with id 964_x000D_
05 16 14:25:25 496  3236  4381 D FileDataStorageManager: Saving folder  Documents  FOLDER   with 3 children and 0 files to remove_x000D_
05 16 14:25:25 499  3236  3236 D OperationsService: Starting command with id 965_x000D_
05 16 14:25:25 558  3236  4381 D FileDataStorageManager: Sending 4 operations to FileContentProvider_x000D_
05 16 14:25:25 558  3236  4381 D FileContentProvider: applying batch in provider com owncloud android providers FileContentProvider b1c9d57 (temporary: false)_x000D_
05 16 14:25:25 613  3236  4381 D FileContentProvider: applied batch in provider com owncloud android providers FileContentProvider b1c9d57_x000D_
05 16 14:25:25 613  3236  4381 V SynchronizeFolderOperation: Starting content synchronization    _x000D_
05 16 14:25:25 615  3236  4381 D OperationsService: Called 0 listeners_x000D_
05 16 14:25:25 615  3236  4381 D SyncFolderHandler: Stopping after command with id 617_x000D_
05 16 14:25:25 634  3236  4381 D SynchronizeFolderOperation: Checking changes in  URL  Documents  FOLDER  fpga  qsys edit _x000D_
05 16 14:25:25 635  3236  4381 D OwnCloudClient  0: REQUEST PROPFIND  remote php webdav Documents  FOLDER  fpga  qsys edit _x000D_
05 16 14:25:25 725  3236  4381 I SynchronizeFolderOperation: Checked  URL  Documents  FOLDER  fpga  qsys edit  : changed_x000D_
05 16 14:25:25 727  3236  4381 D OwnCloudClient  0: REQUEST PROPFIND  remote php webdav Documents  FOLDER  fpga  qsys edit _x000D_
05 16 14:25:25 828  3236  4381 I ReadFolderRemoteOperation: Synchronized  Documents  FOLDER  fpga  qsys edit : Operation finished with HTTP status code 207 (success)_x000D_
05 16 14:25:25 828  3236  4381 D SynchronizeFolderOperation: Synchronizing  URL  Documents  FOLDER  fpga  qsys edit _x000D_
05 16 14:25:25 828  3236  4381 D SynchronizeFolderOperation: Remote folder  Documents  FOLDER  fpga  qsys edit  changed   starting update of local data _x000D_
05 16 14:25:25 857  3236  4381 D FileDataStorageManager: Saving folder  Documents  FOLDER  fpga  qsys edit  with 2 children and 0 files to remove_x000D_
05 16 14:25:25 897  3236  4381 D FileDataStorageManager: Sending 3 operations to FileContentProvider_x000D_
05 16 14:25:25 897  3236  4381 D FileContentProvider: applying batch in provider com owncloud android providers FileContentProvider b1c9d57 (temporary: false)_x000D_
05 16 14:25:25 898  1338  1417 I system server: libdebuggerd client: started dumping process 3236_x000D_
05 16 14:25:25 901  1107  1107 I  system bin tombstoned: registered intercept for pid 3236 and type kDebuggerdJavaBacktrace_x000D_
05 16 14:25:25 901  3236  3242 I extcloud clien: Thread 3 tid 3242 WaitingInMainSignalCatcherLoop Thread  0x73d7c16400 peer 0x13880138  Signal Catcher  : reacting to signal 3_x000D_
05 16 14:25:25 901  3236  3242 I extcloud clien: _x000D_
05 16 14:25:26 062  3236  4381 D FileContentProvider: applied batch in provider com owncloud android providers FileContentProvider b1c9d57_x000D_
05 16 14:25:26 062  3236  4381 V SynchronizeFolderOperation: Starting content synchronization    _x000D_
05 16 14:25:26 093  3236  3236 D FileDownloader: Starting command with id 3471_x000D_
05 16 14:25:26 095  3236  4381 I SynchronizeFileOperation: Synchronizing  URL   file  Documents  file : Operation finished with HTTP status code  1 (success)_x000D_
05 16 14:25:26 119  3236  3236 D FileDownloader: Starting command with id 3472_x000D_
05 16 14:25:26 119  3236  4381 I SynchronizeFileOperation: Synchronizing  URL   file  Documents  file : Operation finished with HTTP status code  1 (success)_x000D_
05 16 14:25:26 121  3236  4381 D OperationsService: Called 0 listeners_x000D_
05 16 14:25:26 121  3236  4381 D SyncFolderHandler: Stopping after command with id 618_x000D_
05 16 14:25:26 139  3236  4381 D SynchronizeFolderOperation: Checking changes in  URL  Documents  FOLDER  _x000D_
05 16 14:25:26 141  3236  4381 D OwnCloudClient  0: REQUEST PROPFIND  remote php webdav Documents  FOLDER  _x000D_
05 16 14:25:26 173  1107  1107 I  system bin tombstoned: received crash request for pid 3236_x000D_
05 16 14:25:26 173  1107  1107 I  system bin tombstoned: found intercept fd 512 for pid 3236 and type kDebuggerdJavaBacktrace_x000D_
05 16 14:25:26 175  3236  3242 I extcloud clien: Wrote stack traces to   tombstoned  _x000D_
05 16 14:25:26 176  1338  1417 I system server: libdebuggerd client: done dumping process 3236_x000D_
05 16 14:25:26 176  1338  1417 I system server: libdebuggerd client: started dumping process 1338_x000D_
05 16 14:25:26 177  1107  1107 I  system bin tombstoned: registered intercept for pid 1338 and type kDebuggerdJavaBacktrace_x000D_
05 16 14:25:26 178  1338  1344 I system server: Thread 2 tid 1344 WaitingInMainSignalCatcherLoop Thread  0x73d140e000 peer 0x14680108  Signal Catcher  : reacting to signal 3_x000D_
05 16 14:25:26 178  1338  1344 I system server: _x000D_
05 16 14:25:26 235  3236  4381 I SynchronizeFolderOperation: Checked  URL  Documents  FOLDER   : changed_x000D_
05 16 14:25:26 237  3236  4381 D OwnCloudClient  0: REQUEST PROPFIND  remote php webdav Documents  FOLDER  _x000D_
05 16 14:25:26 334  1338  1812 I HidlSensorManager: hidl ssvc poll: spurious wake up  back to work_x000D_
05 16 14:25:26 432  3236  3246 I extcloud clien: Background concurrent copying GC freed 377319(15MB) AllocSpace objects  31(620KB) LOS objects  50  free  17MB 34MB  paused 94us total 291 974ms_x000D_
05 16 14:25:26 442  1338  1789 I CwMcuSensor: processEvent: Reporting mPendingEvent light   110 000 139 000_x000D_
05 16 14:25:26 640  1338  1789 I CwMcuSensor: offset changed  id   0  offset    249624416948_x000D_
05 16 14:25:26 653  1107  1107 I  system bin tombstoned: received crash request for pid 1338_x000D_
05 16 14:25:26 653  1107  1107 I  system bin tombstoned: found intercept fd 512 for pid 1338 and type kDebuggerdJavaBacktrace_x000D_
05 16 14:25:26 661  1338  1344 I system server: Wrote stack traces to   tombstoned  _x000D_
05 16 14:25:26 661  1338  1417 I system server: libdebuggerd client: done dumping process 1338_x000D_
05 16 14:25:26 661  1338  1417 I system server: libdebuggerd client: started dumping process 1902_x000D_
05 16 14:25:26 662  1107  1107 I  system bin tombstoned: registered intercept for pid 1902 and type kDebuggerdJavaBacktrace_x000D_
05 16 14:25:26 665  1902  1911 I putmethod lati: Thread 3 tid 1911 WaitingInMainSignalCatcherLoop Thread  0x73d7c16400 peer 0x12e40138  Signal Catcher  : reacting to signal 3_x000D_
05 16 14:25:26 665  1902  1911 I putmethod lati: _x000D_
05 16 14:25:26 778  3236  4381 I ReadFolderRemoteOperation: Synchronized  Documents  FOLDER  : Operation finished with HTTP status code 207 (success)_x000D_
05 16 14:25:26 778  3236  4381 D SynchronizeFolderOperation: Synchronizing  URL  Documents  FOLDER  _x000D_
05 16 14:25:26 778  3236  4381 D SynchronizeFolderOperation: Remote folder  Documents  FOLDER   changed   starting update of local data _x000D_
05 16 14:25:26 810  3236  4381 D FileDataStorageManager: Saving folder  Documents  FOLDER   with 78 children and 0 files to remove_x000D_
05 16 14:25:26 816  1107  1107 I  system bin tombstoned: received crash request for pid 1902_x000D_
05 16 14:25:26 816  1107  1107 I  system bin tombstoned: found intercept fd 512 for pid 1902 and type kDebuggerdJavaBacktrace_x000D_
05 16 14:25:26 818  1902  1911 I putmethod lati: Wrote stack traces to   tombstoned  _x000D_
05 16 14:25:26 818  1338  1417 I system server: libdebuggerd client: done dumping process 1902_x000D_
05 16 14:25:26 818  1338  1417 I system server: libdebuggerd client: started dumping process 2806_x000D_
05 16 14:25:26 819  1107  1107 I  system bin tombstoned: registered intercept for pid 2806 and type kDebuggerdJavaBacktrace_x000D_
05 16 14:25:26 820  2806  2821 I neageos audiof: Thread 3 tid 2821 WaitingInMainSignalCatcherLoop Thread  0x73d7c16400 peer 0x138c0020  Signal Catcher  : reacting to signal 3_x000D_
05 16 14:25:26 820  2806  2821 I neageos audiof: _x000D_
05 16 14:25:26 879  1107  1107 I  system bin tombstoned: received crash request for pid 2806_x000D_
05 16 14:25:26 879  1107  1107 I  system bin tombstoned: found intercept fd 512 for pid 2806 and type kDebuggerdJavaBacktrace_x000D_
05 16 14:25:26 882  2806  2821 I neageos audiof: Wrote stack traces to   tombstoned  _x000D_
05 16 14:25:26 882  1338  1417 I system server: libdebuggerd client: done dumping process 2806_x000D_
05 16 14:25:26 882  1338  1417 I system server: libdebuggerd client: started dumping process 2792_x000D_
05 16 14:25:26 883  1107  1107 I  system bin tombstoned: registered intercept for pid 2792 and type kDebuggerdJavaBacktrace_x000D_
05 16 14:25:26 883  2792  2813 I com android se: Thread 3 tid 2813 WaitingInMainSignalCatcherLoop Thread  0x73d7c16400 peer 0x13800020  Signal Catcher  : reacting to signal 3_x000D_
05 16 14:25:26 883  2792  2813 I com android se: _x000D_
05 16 14:25:26 940  1107  1107 I  system bin tombstoned: received crash request for pid 2792_x000D_
05 16 14:25:26 940  1107  1107 I  system bin tombstoned: found intercept fd 512 for pid 2792 and type kDebuggerdJavaBacktrace_x000D_
05 16 14:25:26 941  2792  2813 I com android se: Wrote stack traces to   tombstoned  _x000D_
05 16 14:25:26 941  1338  1417 I system server: libdebuggerd client: done dumping process 2792_x000D_
05 16 14:25:26 941  1338  1417 I system server: libdebuggerd client: started dumping process 2782_x000D_
05 16 14:25:26 942  1107  1107 I  system bin tombstoned: registered intercept for pid 2782 and type kDebuggerdJavaBacktrace_x000D_
05 16 14:25:26 944  2782  2798 I s settings doz: Thread 3 tid 2798 WaitingInMainSignalCatcherLoop Thread  0x73d7c16400 peer 0x13780020  Signal Catcher  : reacting to signal 3_x000D_
05 16 14:25:26 944  2782  2798 I s settings doz: _x000D_
05 16 14:25:27 018  1107  1107 I  system bin tombstoned: received crash request for pid 2782_x000D_
05 16 14:25:27 018  1107  1107 I  system bin tombstoned: found intercept fd 512 for pid 2782 and type kDebuggerdJavaBacktrace_x000D_
05 16 14:25:27 023  2782  2798 I s settings doz: Wrote stack traces to   tombstoned  _x000D_
05 16 14:25:27 023  1338  1417 I system server: libdebuggerd client: done dumping process 2782_x000D_
05 16 14:25:27 024  1338  1417 I system server: libdebuggerd client: started dumping process 2767_x000D_
05 16 14:25:27 025  1107  1107 I  system bin tombstoned: registered intercept for pid 2767 and type kDebuggerdJavaBacktrace_x000D_
05 16 14:25:27 025  2767  2771 I com android nf: Thread 3 tid 2771 WaitingInMainSignalCatcherLoop Thread  0x73d7c16400 peer 0x13700020  Signal Catcher  : reacting to signal 3_x000D_
05 16 14:25:27 025  2767  2771 I com android nf: _x000D_
05 16 14:25:27 149  1107  1107 I  system bin tombstoned: received crash request for pid 2767_x000D_
05 16 14:25:27 149  1107  1107 I  system bin tombstoned: found intercept fd 512 for pid 2767 and type kDebuggerdJavaBacktrace_x000D_
05 16 14:25:27 151  2767  2771 I com android nf: Wrote stack traces to   tombstoned  _x000D_
05 16 14:25:27 151  1338  1417 I system server: libdebuggerd client: done dumping process 2767_x000D_
05 16 14:25:27 151  1338  1417 I system server: libdebuggerd client: started dumping process 2124_x000D_
05 16 14:25:27 153  1107  1107 I  system bin tombstoned: registered intercept for pid 2124 and type kDebuggerdJavaBacktrace_x000D_
05 16 14:25:27 153  2124  2158 I m android phon: Thread 3 tid 2158 WaitingInMainSignalCatcherLoop Thread  0x73d7c16400 peer 0x14a418a0  Signal Catcher  : reacting to signal 3_x000D_
05 16 14:25:27 153  2124  2158 I m android phon: _x000D_
05 16 14:25:27 299  1107  1107 I  system bin tombstoned: received crash request for pid 2124_x000D_
05 16 14:25:27 299  1107  1107 I  system bin tombstoned: found intercept fd 512 for pid 2124 and type kDebuggerdJavaBacktrace_x000D_
05 16 14:25:27 300  2124  2158 I m android phon: Wrote stack traces to   tombstoned  _x000D_
05 16 14:25:27 302  1338  1417 I system server: libdebuggerd client: done dumping process 2124_x000D_
05 16 14:25:27 303  1338  1417 I system server: libdebuggerd client: started dumping process 2115_x000D_
05 16 14:25:27 303  1107  1107 I  system bin tombstoned: registered intercept for pid 2115 and type kDebuggerdJavaBacktrace_x000D_
05 16 14:25:27 303  2115  2150 I settings devic: Thread 3 tid 2150 WaitingInMainSignalCatcherLoop Thread  0x73d7c16400 peer 0x13100020  Signal Catcher  : reacting to signal 3_x000D_
05 16 14:25:27 303  2115  2150 I settings devic: _x000D_
05 16 14:25:27 425  1107  1107 I  system bin tombstoned: received crash request for pid 2115_x000D_
05 16 14:25:27 425  1107  1107 I  system bin tombstoned: found intercept fd 512 for pid 2115 and type kDebuggerdJavaBacktrace_x000D_
05 16 14:25:27 426  2115  2150 I settings devic: Wrote stack traces to   tombstoned  _x000D_
05 16 14:25:27 426  1338  1417 I system server: libdebuggerd client: done dumping process 2115_x000D_
05 16 14:25:27 426  1338  1417 I system server: libdebuggerd client: started dumping process 2097_x000D_
05 16 14:25:27 427  1107  1107 I  system bin tombstoned: registered intercept for pid 2097 and type kDebuggerdJavaBacktrace_x000D_
05 16 14:25:27 427  2097  2125 I elephonyservic: Thread 3 tid 2125 WaitingInMainSignalCatcherLoop Thread  0x73d7c16400 peer 0x13080020  Signal Catcher  : reacting to signal 3_x000D_
05 16 14:25:27 427  2097  2125 I elephonyservic: _x000D_
05 16 14:25:27 440  1338  1789 I CwMcuSensor: processEvent: Reporting mPendingEvent light   114 000 139 000_x000D_
05 16 14:25:27 440  1338  1789 I CwMcuSensor: offset changed  id   3  offset    249624416948_x000D_
05 16 14:25:27 487  1107  1107 I  system bin tombstoned: received crash request for pid 2097_x000D_
05 16 14:25:27 487  1107  1107 I  system bin tombstoned: found intercept fd 512 for pid 2097 and type kDebuggerdJavaBacktrace_x000D_
05 16 14:25:27 488  2097  2125 I elephonyservic: Wrote stack traces to   tombstoned  _x000D_
05 16 14:25:27 488  1338  1417 I system server: libdebuggerd client: done dumping process 2097_x000D_
05 16 14:25:27 488  1338  1417 I system server: libdebuggerd client: started dumping process 2089_x000D_
05 16 14:25:27 490  1107  1107 I  system bin tombstoned: registered intercept for pid 2089 and type kDebuggerdJavaBacktrace_x000D_
05 16 14:25:27 490  2089  2107 I  dataservices: Thread 3 tid 2107 WaitingInMainSignalCatcherLoop Thread  0x73d7c16400 peer 0x12fc0020  Signal Catcher  : reacting to signal 3_x000D_
05 16 14:25:27 491  2089  2107 I  dataservices: _x000D_
05 16 14:25:27 579  1107  1107 I  system bin tombstoned: received crash request for pid 2089_x000D_
05 16 14:25:27 579  1107  1107 I  system bin tombstoned: found intercept fd 512 for pid 2089 and type kDebuggerdJavaBacktrace_x000D_
05 16 14:25:27 582  1338  1417 I system server: libdebuggerd client: done dumping process 2089_x000D_
05 16 14:25:27 582  1338  1417 I system server: libdebuggerd client: started dumping process 1917_x000D_
05 16 14:25:27 582  2089  2107 I  dataservices: Wrote stack traces to   tombstoned  _x000D_
05 16 14:25:27 583  1917  1929 I ndroid systemu: Thread 3 tid 1929 WaitingInMainSignalCatcherLoop Thread  0x73d7c16400 peer 0x13c80908  Signal Catcher  : reacting to signal 3_x000D_
05 16 14:25:27 583  1917  1929 I ndroid systemu: _x000D_
05 16 14:25:27 583  1107  1107 I  system bin tombstoned: registered intercept for pid 1917 and type kDebuggerdJavaBacktrace_x000D_
05 16 14:25:27 930  1107  1107 I  system bin tombstoned: received crash request for pid 1917_x000D_
05 16 14:25:27 930  1107  1107 I  system bin tombstoned: found intercept fd 512 for pid 1917 and type kDebuggerdJavaBacktrace_x000D_
05 16 14:25:27 934  1917  1929 I ndroid systemu: Wrote stack traces to   tombstoned  _x000D_
05 16 14:25:27 936  1338  1417 I system server: libdebuggerd client: done dumping process 1917_x000D_
05 16 14:25:27 936  1338  1417 I system server: libdebuggerd client: started dumping process 926_x000D_
05 16 14:25:27 937  1107  1107 I  system bin tombstoned: registered intercept for pid 926 and type kDebuggerdNativeBacktrace_x000D_
05 16 14:25:27 938   926   926 I libc    : Requested dump for tid 926 (audioserver)_x000D_
05 16 14:25:27 989  7023  7023 I crash dump32: obtaining output fd from tombstoned  type: kDebuggerdNativeBacktrace_x000D_
05 16 14:25:27 990  1107  1107 I  system bin tombstoned: received crash request for pid 926_x000D_
05 16 14:25:27 990  1107  1107 I  system bin tombstoned: found intercept fd 512 for pid 926 and type kDebuggerdNativeBacktrace_x000D_
05 16 14:25:27 992  7023  7023 I crash dump32: performing dump of process 926 (target tid   926)_x000D_
05 16 14:25:28 071  1338  1417 I system server: libdebuggerd client: done dumping process 926_x000D_
05 16 14:25:28 072  1338  1417 I system server: libdebuggerd client: started dumping process 932_x000D_
05 16 14:25:28 074  1107  1107 I  system bin tombstoned: registered intercept for pid 932 and type kDebuggerdNativeBacktrace_x000D_
05 16 14:25:28 077   932   932 I libc    : Requested dump for tid 932 (surfaceflinger)_x000D_
05 16 14:25:28 126  7028  7028 I crash dump64: obtaining output fd from tombstoned  type: kDebuggerdNativeBacktrace_x000D_
05 16 14:25:28 130  1107  1107 I  system bin tombstoned: received crash request for pid 932_x000D_
05 16 14:25:28 130  1107  1107 I  system bin tombstoned: found intercept fd 512 for pid 932 and type kDebuggerdNativeBacktrace_x000D_
05 16 14:25:28 131  7028  7028 I crash dump64: performing dump of process 932 (target tid   932)_x000D_
05 16 14:25:28 164  1338  1417 I system server: libdebuggerd client: done dumping process 932_x000D_
05 16 14:25:28 164  1338  1417 I system server: libdebuggerd client: started dumping process 989_x000D_
05 16 14:25:28 165  1107  1107 I  system bin tombstoned: registered intercept for pid 989 and type kDebuggerdNativeBacktrace_x000D_
05 16 14:25:28 166   989   989 I libc    : Requested dump for tid 989 (cameraserver)_x000D_
05 16 14:25:28 200  7036  7036 I crash dump32: obtaining output fd from tombstoned  type: kDebuggerdNativeBacktrace_x000D_
05 16 14:25:28 201  1107  1107 I  system bin tombstoned: received crash request for pid 989_x000D_
05 16 14:25:28 201  1107  1107 I  system bin tombstoned: found intercept fd 512 for pid 989 and type kDebuggerdNativeBacktrace_x000D_
05 16 14:25:28 201  7036  7036 I crash dump32: performing dump of process 989 (target tid   989)_x000D_
05 16 14:25:28 224  1338  1417 I system server: libdebuggerd client: done dumping process 989_x000D_
05 16 14:25:28 224  1338  1417 I system server: libdebuggerd client: started dumping process 992_x000D_
05 16 14:25:28 225  1107  1107 I  system bin tombstoned: registered intercept for pid 992 and type kDebuggerdNativeBacktrace_x000D_
05 16 14:25:28 226   992   992 I libc    : Requested dump for tid 992 (drmserver)_x000D_
05 16 14:25:28 263  7041  7041 I crash dump32: obtaining output fd from tombstoned  type: kDebuggerdNativeBacktrace_x000D_
05 16 14:25:28 264  1107  1107 I  system bin tombstoned: received crash request for pid 992_x000D_
05 16 14:25:28 265  1107  1107 I  system bin tombstoned: found intercept fd 512 for pid 992 and type kDebuggerdNativeBacktrace_x000D_
05 16 14:25:28 265  7041  7041 I crash dump32: performing dump of process 992 (target tid   992)_x000D_
05 16 14:25:28 293  1338  1417 I system server: libdebuggerd client: done dumping process 992_x000D_
05 16 14:25:28 294  1338  1417 I system server: libdebuggerd client: started dumping process 999_x000D_
05 16 14:25:28 297  1107  1107 I  system bin tombstoned: registered intercept for pid 999 and type kDebuggerdNativeBacktrace_x000D_
05 16 14:25:28 299   999   999 I libc    : Requested dump for tid 999 (mediadrmserver)_x000D_
05 16 14:25:28 330  7046  7046 I crash dump64: obtaining output fd from tombstoned  type: kDebuggerdNativeBacktrace_x000D_
05 16 14:25:28 331  1107  1107 I  system bin tombstoned: received crash request for pid 999_x000D_
05 16 14:25:28 331  1107  1107 I  system bin tombstoned: found intercept fd 512 for pid 999 and type kDebuggerdNativeBacktrace_x000D_
05 16 14:25:28 331  7046  7046 I crash dump64: performing dump of process 999 (target tid   999)_x000D_
05 16 14:25:28 347  1338  1417 I system server: libdebuggerd client: done dumping process 999_x000D_
05 16 14:25:28 347  1338  1417 I system server: libdebuggerd client: started dumping process 1000_x000D_
05 16 14:25:28 349  1107  1107 I  system bin tombstoned: registered intercept for pid 1000 and type kDebuggerdNativeBacktrace_x000D_
05 16 14:25:28 350  1107  1107 I  system bin tombstoned: received crash request for pid 1000_x000D_
05 16 14:25:28 350  1107  1107 I  system bin tombstoned: found intercept fd 512 for pid 1000 and type kDebuggerdNativeBacktrace_x000D_
05 16 14:25:28 442  1338  1789 I CwMcuSensor: processEvent: Reporting mPendingEvent light   106 000 139 000_x000D_
05 16 14:25:28 449  1338  1417 I system server: libdebuggerd client: done dumping process 1000_x000D_
05 16 14:25:28 450  1338  1417 I system server: libdebuggerd client: started dumping process 1001_x000D_
05 16 14:25:28 450  1107  1107 I  system bin tombstoned: registered intercept for pid 1001 and type kDebuggerdNativeBacktrace_x000D_
05 16 14:25:28 451  1001  1001 I libc    : Requested dump for tid 1001 (mediametrics)_x000D_
05 16 14:25:28 489  7051  7051 I crash dump64: obtaining output fd from tombstoned  type: kDebuggerdNativeBacktrace_x000D_
05 16 14:25:28 489  1107  1107 I  system bin tombstoned: received crash request for pid 1001_x000D_
05 16 14:25:28 490  1107  1107 I  system bin tombstoned: found intercept fd 512 for pid 1001 and type kDebuggerdNativeBacktrace_x000D_
05 16 14:25:28 490  7051  7051 I crash dump64: performing dump of process 1001 (target tid   1001)_x000D_
05 16 14:25:28 513  3236  4381 D FileDataStorageManager: Sending 79 operations to FileContentProvider_x000D_
05 16 14:25:28 514  3236  4381 D FileContentProvider: applying batch in provider com owncloud android providers FileContentProvider b1c9d57 (temporary: false)_x000D_
05 16 14:25:28 525  1338  1417 I system server: libdebuggerd client: done dumping process 1001_x000D_
05 16 14:25:28 525  1338  1417 I system server: libdebuggerd client: started dumping process 1013_x000D_
05 16 14:25:28 527  1107  1107 I  system bin tombstoned: registered intercept for pid 1013 and type kDebuggerdNativeBacktrace_x000D_
05 16 14:25:28 527  1013  1013 I libc    : Requested dump for tid 1013 (mediaserver)_x000D_
05 16 14:25:28 571  7057  7057 I crash dump32: obtaining output fd from tombstoned  type: kDebuggerdNativeBacktrace_x000D_
05 16 14:25:28 572  1107  1107 I  system bin tombstoned: received crash request for pid 1013_x000D_
05 16 14:25:28 572  1107  1107 I  system bin tombstoned: found intercept fd 512 for pid 1013 and type kDebuggerdNativeBacktrace_x000D_
05 16 14:25:28 573  7057  7057 I crash dump32: performing dump of process 1013 (target tid   1013)_x000D_
05 16 14:25:28 606  1338  1417 I system server: libdebuggerd client: done dumping process 1013_x000D_
05 16 14:25:28 607  1338  1417 I system server: libdebuggerd client: started dumping process 1020_x000D_
05 16 14:25:28 607  1107  1107 I  system bin tombstoned: registered intercept for pid 1020 and type kDebuggerdNativeBacktrace_x000D_
05 16 14:25:28 613  1107  1107 I  system bin tombstoned: received crash request for pid 1020_x000D_
05 16 14:25:28 613  1107  1107 I  system bin tombstoned: found intercept fd 512 for pid 1020 and type kDebuggerdNativeBacktrace_x000D_
05 16 14:25:28 760  1338  1417 I system server: libdebuggerd client: done dumping process 1020_x000D_
05 16 14:25:28 763  1338  1417 E ActivityManager: ANR in com nextcloud client_x000D_
05 16 14:25:28 763  1338  1417 E ActivityManager: PID: 3236_x000D_
05 16 14:25:28 763  1338  1417 E ActivityManager: Reason: Context startForegroundService() did not then call Service startForeground(): ServiceRecord ff0f4db u0 com nextcloud client com owncloud android services OperationsService _x000D_
05 16 14:25:28 763  1338  1417 E ActivityManager: Load: 5 35   4 53   3 49_x000D_
05 16 14:25:28 763  1338  1417 E ActivityManager: CPU usage from 14746ms to 0ms ago (2019 05 16 14:25:10 321 to 2019 05 16 14:25:25 068) with 99  awake:_x000D_
05 16 14:25:28 763  1338  1417 E ActivityManager:   84  3236 com nextcloud client: 44  user   39  kernel   faults: 9157 minor_x000D_
05 16 14:25:28 763  1338  1417 E ActivityManager:   28  1338 system server: 16  user   12  kernel   faults: 9911 minor_x000D_
05 16 14:25:28 763  1338  1417 E ActivityManager:   5 5  932 surfaceflinger: 2 3  user   3 2  kernel   faults: 687 minor_x000D_
05 16 14:25:28 763  1338  1417 E ActivityManager:   4 5  1917 com android systemui: 2 9  user   1 5  kernel   faults: 4265 minor_x000D_
05 16 14:25:28 763  1338  1417 E ActivityManager:   3 9  623 cfinteractive: 0  user   3 9  kernel_x000D_
05 16 14:25:28 763  1338  1417 E ActivityManager:   3 1  3 ksoftirqd 0: 0  user   3 1  kernel_x000D_
05 16 14:25:28 763  1338  1417 E ActivityManager:   3  4336 mdss fb0: 0  user   3  kernel_x000D_
05 16 14:25:28 763  1338  1417 E ActivityManager:   2 4  902 android hardware graphics composer 2 1 service: 0 9  user   1 4  kernel   faults: 3 minor_x000D_
05 16 14:25:28 763  1338  1417 E ActivityManager:   2 1  31214 com android terminal: 1 8  user   0 2  kernel   faults: 57 minor_x000D_
05 16 14:25:28 763  1338  1417 E ActivityManager:   1 8  1902 com android inputmethod latin: 1 4  user   0 4  kernel   faults: 2035 minor_x000D_
05 16 14:25:28 763  1338  1417 E ActivityManager:   1 4  5291 kworker u8:9: 0  user   1 4  kernel_x000D_
05 16 14:25:28 763  1338  1417 E ActivityManager:   1 4  25708 kworker u8:15: 0  user   1 4  kernel_x000D_
05 16 14:25:28 763  1338  1417 E ActivityManager:   1 2  797 logd: 0 4  user   0 8  kernel   faults: 3 minor_x000D_
05 16 14:25:28 763  1338  1417 E ActivityManager:   1 2  2124 com android phone: 0 8  user   0 4  kernel   faults: 971 minor_x000D_
05 16 14:25:28 763  1338  1417 E ActivityManager:   0 6  5225 kworker 0:3: 0  user   0 6  kernel_x000D_
05 16 14:25:28 763  1338  1417 E ActivityManager:   1  728 irq 439 synapti: 0  user   1  kernel_x000D_
05 16 14:25:28 763  1338  1417 E ActivityManager:   1  542 spi2: 0  user   1  kernel_x000D_
05 16 14:25:28 763  1338  1417 E ActivityManager:   0 9  50 smem native rpm: 0  user   0 9  kernel_x000D_
05 16 14:25:28 763  1338  1417 E ActivityManager:   0 9  1020 media codec: 0 4  user   0 5  kernel   faults: 1947 minor_x000D_
05 16 14:25:28 763  1338  1417 E ActivityManager:   0 9  6282 kworker u9:0: 0  user   0 9  kernel_x000D_
05 16 14:25:28 763  1338  1417 E ActivityManager:   0 8  7 rcu preempt: 0  user   0 8  kernel_x000D_
05 16 14:25:28 763  1338  1417 E ActivityManager:   0 8  31514 kworker u9:2: 0  user   0 8  kernel_x000D_
05 16 14:25:28 763  1338  1417 E ActivityManager:   0 7  2767 com android nfc: 0 3  user   0 4  kernel   faults: 1021 minor_x000D_
05 16 14:25:28 763  1338  1417 E ActivityManager:   0 6  2115 org lineageos settings device: 0 4  user   0 2  kernel   faults: 1945 minor_x000D_
05 16 14:25:28 763  1338  1417 E ActivityManager:   0 6  769 jbd2 mmcblk0p63: 0  user   0 6  kernel_x000D_
05 16 14:25:28 763  1338  1417 E ActivityManager:   0 6  1526 kworker u9:5: 0  user   0 6  kernel_x000D_
05 16 14:25:28 763  1338  1417 E ActivityManager:   0 6  2239 android ext services: 0 2  user   0 4  kernel   faults: 1828 minor_x000D_
05 16 14:25:28 763  1338  1417 E ActivityManager:   0 6  3281 kworker u8:14: 0  user   0 6  kernel_x000D_
05 16 14:25:28 763  1338  1417 E ActivityManager:   0 5  1000 media extractor: 0 2  user   0 3  kernel   faults: 1646 minor_x000D_
05 16 14:25:28 763  1338  1417 E ActivityManager:   0 5  6877 logcat: 0 2  user   0 2  kernel_x000D_
05 16 14:25:28 763  1338  1417 E ActivityManager:   0 4  2089  dataservices: 0 3  user   0 1  kernel   faults: 787 minor_x000D_
05 16 14:25:28 763  1338  1417 E ActivityManager:   0 4  8 rcu sched: 0  user   0 4  kernel_x000D_
05 16 14:25:28 763  1338  1417 E ActivityManager:   0 4  23 ksoftirqd 2: 0  user   0 4  kernel_x000D_
05 16 14:25:28 763  1338  1417 E ActivityManager:   0 4  2782 org lineageos settings doze: 0 2  user   0 2  kernel   faults: 728 minor_x000D_
05 16 14:25:28 763  1338  1417 E ActivityManager:   0 4  2806 org lineageos audiofx: 0 2  user   0 2  kernel   faults: 686 minor_x000D_
05 16 14:25:28 763  1338  1417 E ActivityManager:   0 4  2851 com android launcher3: 0 2  user   0 2  kernel   faults: 933 minor_x000D_
05 16 14:25:28 763  1338  1417 E ActivityManager:   0 4  4839 kworker 0:0: 0  user   0 4  kernel_x000D_
05 16 14:25:28 763  1338  1417 E ActivityManager:   0 4  29193 kworker 3:2: 0  user   0 4  kernel_x000D_
05 16 14:25:28 763  1338  1417 E ActivityManager:   0 3  17 ksoftirqd 1: 0  user   0 3  kernel_x000D_
05 16 14:25:28 763  1338  1417 E ActivityManager:   0 3  55 irq 219 cpr3: 0  user   0 3  kernel_x000D_
05 16 14:25:28 763  1338  1417 E ActivityManager:   0 3  139 kswapd0: 0  user   0 3  kernel_x000D_
05 16 14:25:28 763  1338  1417 E ActivityManager:   0 3  647 mmc cmdqd 0: 0  user   0 3  kernel_x000D_
05 16 14:25:28 763  1338  1417 E ActivityManager:   0 3  2097 com qualcomm qti telephonyservice: 0 1  user   0 2  kernel   faults: 818 minor_x000D_
05 16 14:25:28 763  1338  1417 E ActivityManager:   0 3  2792 com android se: 0 2  user   0 1  kernel   faults: 675 minor_x000D_
05 16 14:25:28 763  1338  1417 E ActivityManager:   0 3  2869 kworker 1:3: 0  user   0 3  kernel_x000D_
05 16 14:25:28 763  1338  1417 E ActivityManager:   0 3  2936 irq 20 408000 q: 0  user   0 3  kernel_x000D_
05 16 14:25:28 763  1338  1417 E ActivityManager:   0 3  4331 irq 597 CwMcuSe: 0  user   0 3  kernel_x000D_
05 16 14:25:28 763  1338  1417 E ActivityManager:   0 2  511 kgsl worker thr: 0  user   0 2  kernel_x000D_
05 16 14:25:28 763  1338  1417 E ActivityManager:   0 2  919 vendor qti hardware perf 1 0 service: 0  user   0 2  kernel   faults: 74 minor_x000D_
05 16 14:25:28 763  1338  1417 E ActivityManager:   0 2  3684 org shadowice flocke andotp: 0 1  user   0 1  kernel_x000D_
05 16 14:25:28 763  1338  1417 E ActivityManager:   0 2  3824 kworker 0:0H: 0  user   0 2  kernel_x000D_
05 16 14:25:28 763  1338  1417 E ActivityManager:   0 1  5942 kworker 1:2H: 0  user   0 1  kernel_x000D_
05 16 14:25:28 763  1338  1417 E ActivityMa</t>
  </si>
  <si>
    <t>mapbox-mapbox-events-android-399</t>
  </si>
  <si>
    <t>Mapbox crashes with InterruptedException</t>
  </si>
  <si>
    <t xml:space="preserve">    _x000D_
Hello and thanks for contributing to the Mapbox Maps SDK for Android  To help us diagnose your problem quickly  please:_x000D_
_x000D_
   Include a minimal demonstration of the bug  including code  logs  and screenshots _x000D_
   Ensure you can reproduce the bug using the latest release _x000D_
   Only post to report a bug or request a feature  direct all other questions to: https:  stackoverflow com questions tagged mapbox_x000D_
_x000D_
Start with a brief description below this line     _x000D_
_x000D_
App is getting continuous crash with InterruptedException _x000D_
_x000D_
FATAL EXCEPTION: OkHttp events mapbox com Writer_x000D_
java lang InterruptedException_x000D_
at java util concurrent locks AbstractQueuedSynchronizer ConditionObject reportInterruptAfterWait(AbstractQueuedSynchronizer java:1991)_x000D_
at java util concurrent locks AbstractQueuedSynchronizer ConditionObject await(AbstractQueuedSynchronizer java:2025)_x000D_
at java util concurrent ScheduledThreadPoolExecutor DelayedWorkQueue take(ScheduledThreadPoolExecutor java:1048)_x000D_
at java util concurrent ScheduledThreadPoolExecutor DelayedWorkQueue take(ScheduledThreadPoolExecutor java:776)_x000D_
at java util concurrent ThreadPoolExecutor getTask(ThreadPoolExecutor java:1035)_x000D_
at java util concurrent ThreadPoolExecutor runWorker(ThreadPoolExecutor java:1097)_x000D_
at java util concurrent ThreadPoolExecutor Worker run(ThreadPoolExecutor java:588)_x000D_
at java lang Thread run(Thread java:820)_x000D_
_x000D_
Device is Android Samsung S5 with Android 5 0_x000D_
_x000D_
    Steps to reproduce_x000D_
_x000D_
 1 App was trying to place the marker and showing route_x000D_
 2 App crashes randomly after some time _x000D_
 3 _x000D_
_x000D_
    Expected behavior_x000D_
App should not crash_x000D_
_x000D_
_x000D_
    Actual behavior_x000D_
App crashes_x000D_
_x000D_
_x000D_
    Configuration_x000D_
_x000D_
  Android versions:   _x000D_
Android 5 0_x000D_
  Device models:   _x000D_
Samsung S5 _x000D_
  Mapbox SDK versions:   _x000D_
com mapbox mapboxsdk:mapbox android navigation ui:0 37 0_x000D_
</t>
  </si>
  <si>
    <t>fossasia-neurolab-android-205</t>
  </si>
  <si>
    <t>App Crashes when settings clicked</t>
  </si>
  <si>
    <t xml:space="preserve">  Describe the bug  _x000D_
App Crashes when Settings menu clicked_x000D_
_x000D_
  Expected Behaviour  _x000D_
App should not crash_x000D_
_x000D_
  Steps to reproduce it  _x000D_
Open menu icon on right top corner and click on  Settings  _x000D_
_x000D_
  LogCat for the issue  _x000D_
 Caused by: android app Fragment InstantiationException: Unable to instantiate fragment io neurolab main NeuroSettingsFragment: make sure class name exists  is public  and has an empty constructor that is public_x000D_
        at android app Fragment instantiate(Fragment java:538)_x000D_
        at android app FragmentContainer instantiate(FragmentContainer java:53)_x000D_
        at android app FragmentManagerImpl onCreateView(FragmentManager java:3551)_x000D_
        at android app FragmentController onCreateView(FragmentController java:103)_x000D_
        at android app Activity onCreateView(Activity java:6445)_x000D_
        at android support v4 app FragmentActivity onCreateView(FragmentActivity java:389)_x000D_
        at android view LayoutInflater createViewFromTag(LayoutInflater java:819)_x000D_
        at android view LayoutInflater createViewFromTag(LayoutInflater java:769)_x000D_
        at android view LayoutInflater inflate(LayoutInflater java:531)_x000D_
        at android view LayoutInflater inflate(LayoutInflater java:461)_x000D_
        at android view LayoutInflater inflate(LayoutInflater java:383)_x000D_
        at android support v7 app AppCompatDelegateImpl setContentView(AppCompatDelegateImpl java:469)_x000D_
        at android support v7 app AppCompatActivity setContentView(AppCompatActivity java:140)_x000D_
        at io neurolab main NeuroSettingsActivity onCreate(NeuroSettingsActivity java:13)_x000D_
        at android app Activity performCreate(Activity java:7327)_x000D_
        at android app Activity performCreate(Activity java:7318)_x000D_
        at android app Instrumentation callActivityOnCreate(Instrumentation java:1275)_x000D_
        at android app ActivityThread performLaunchActivity(ActivityThread java:3095)_x000D_
        at android app ActivityThread handleLaunchActivity(ActivityThread java:3258)_x000D_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java:1955)_x000D_
        at android os Handler dispatchMessage(Handler java:106)_x000D_
        at android os Looper loop(Looper java:214)_x000D_
        at android app ActivityThread main(ActivityThread java:7073)_x000D_
        at java lang reflect Method invoke(Native Method)_x000D_
        at com android internal os RuntimeInit MethodAndArgsCaller run(RuntimeInit java:493)_x000D_
        at com android internal os ZygoteInit main(ZygoteInit java:974)_x000D_
_x000D_
  Screenshots of the issue  _x000D_
  Screenshot 20190515 233216 One UI Home (https:  user images githubusercontent com 37077735 57798556 a0d40900 776a 11e9 863d d6b099eba4cd jpg)_x000D_
_x000D_
_x000D_
                   _x000D_
                   _x000D_
 Device           Samsung J8  _x000D_
 Android Version Pie 9 0  _x000D_
_x000D_
  Would you like to work on the issue   _x000D_
Yes _x000D_
</t>
  </si>
  <si>
    <t>sw19-tug-afternoon04-62</t>
  </si>
  <si>
    <t>PAINT_024 Color Picker crash when tilting phone</t>
  </si>
  <si>
    <t>When the color picker is open and you rotate the phone  the color picker crashes and closes  app still runs afterwards  _x000D_
_x000D_
Error Message: _x000D_
_x000D_
  MainActivity has leaked window DecorView ef5e202   that was originally added here_x000D_
Dialog java: 316 in feature PAINT 006</t>
  </si>
  <si>
    <t>renyuneyun-Easer-224</t>
  </si>
  <si>
    <t>( BUG ) Found in Easer app The application crashes when I try to open the dynamic link option</t>
  </si>
  <si>
    <t xml:space="preserve">  Project Information_x000D_
_x000D_
  Repository: https:  github com renyuneyun Easer_x000D_
  Project Name: Easer  _x000D_
_x000D_
_x000D_
  Expected behavior_x000D_
I was expected that when I click on the dynamic link option  further options will appear and I can add the dynamic link there _x000D_
_x000D_
_x000D_
  Actual behavior_x000D_
_x000D_
After opening the application  I go to the script tab and click on the plus button and then I click the dynamic link icon  the application crashes _x000D_
_x000D_
  How to reproduce_x000D_
_x000D_
1  open the application _x000D_
2  Click the three horizontal line at the top left_x000D_
3 Select the script option_x000D_
4  click on Plus button_x000D_
5 Below the profile you will see 3 options   inline event  Predefined event  and use condition _x000D_
6 select  Predefined event_x000D_
7  Click on the dynamic link icon_x000D_
8  see the bug_x000D_
_x000D_
  Browser App version:  v0 7 5_x000D_
  Operating system: 6 0 1_x000D_
  Smartphone: Galaxy j7 _x000D_
_x000D_
  Recording Of The Bug_x000D_
  20190515 150831 (https:  user images githubusercontent com 50115498 57769565 15536d00 76c3 11e9 8a17 802d0f9dfd4d gif)_x000D_
_x000D_
_x000D_
_x000D_
  My Github Account_x000D_
https:  github com facebook 786_x000D_
_x000D_
_x000D_
  Logcat_x000D_
_x000D_
 pre  code E AndroidRuntime( 9017): FATAL EXCEPTION: AsyncTask  1_x000D_
_x000D_
E AndroidRuntime( 9017): Process: ryey easer  PID: 9017_x000D_
_x000D_
E AndroidRuntime( 9017): java lang RuntimeException: An error occured while executing doInBackground()_x000D_
_x000D_
E AndroidRuntime( 9017): 	at android os AsyncTask 3 done(AsyncTask java:304)_x000D_
_x000D_
E AndroidRuntime( 9017): 	at java util concurrent FutureTask finishCompletion(FutureTask java:355)_x000D_
_x000D_
E AndroidRuntime( 9017): 	at java util concurrent FutureTask setException(FutureTask java:222)_x000D_
_x000D_
E AndroidRuntime( 9017): 	at java util concurrent FutureTask run(FutureTask java:242)_x000D_
_x000D_
E AndroidRuntime( 9017): 	at android os AsyncTask SerialExecutor 1 run(AsyncTask java:231)_x000D_
_x000D_
E AndroidRuntime( 9017): 	at java util concurrent ThreadPoolExecutor runWorker(ThreadPoolExecutor java:1112)_x000D_
_x000D_
E AndroidRuntime( 9017): 	at java util concurrent ThreadPoolExecutor Worker run(ThreadPoolExecutor java:587)_x000D_
_x000D_
E AndroidRuntime( 9017): 	at java lang Thread run(Thread java:818)_x000D_
_x000D_
E AndroidRuntime( 9017): Caused by: java lang NullPointerException: Attempt to invoke interface method  java util Iterator java util List iterator()  on a null object reference_x000D_
_x000D_
E AndroidRuntime( 9017): 	at ryey easer d d g b a()_x000D_
_x000D_
E AndroidRuntime( 9017): 	at ryey easer d d g b doInBackground()_x000D_
_x000D_
E AndroidRuntime( 9017): 	at android os AsyncTask 2 call(AsyncTask java:292)_x000D_
_x000D_
E AndroidRuntime( 9017): 	at java util concurrent FutureTask run(FutureTask java:237)_x000D_
_x000D_
E AndroidRuntime( 9017): 	    4 more_x000D_
  code   pre _x000D_
_x000D_
_x000D_
</t>
  </si>
  <si>
    <t>AltBeacon-android-beacon-library-876</t>
  </si>
  <si>
    <t>CycledLeScanner crashes on setWakeUpAlarm</t>
  </si>
  <si>
    <t xml:space="preserve">    Expected behavior_x000D_
No crash_x000D_
    Actual behavior_x000D_
Fatal Exception: java lang SecurityException_x000D_
get application info: Neither user 1010129 nor current process has android permission INTERACT ACROSS USERS _x000D_
_x000D_
Fatal Exception: java lang SecurityException_x000D_
Permission Denial: getIntentForIntentSender() from pid 20646  uid 10159 requires android permission GET INTENT SENDER INTENT_x000D_
_x000D_
Fatal Exception: java lang NullPointerException_x000D_
println needs a message_x000D_
    Steps to reproduce this behavior_x000D_
Not sure about the reproduction  we noticed these crashes on Firebase  Here s the stack trace for LENOVO VIBE X3 Lite  Android 5 1:_x000D_
   _x000D_
Fatal Exception: java lang SecurityException: get application info: Neither user 1010129 nor current process has android permission INTERACT ACROSS USERS _x000D_
       at android os Parcel readException(Parcel java:1546)_x000D_
       at android os Parcel readException(Parcel java:1499)_x000D_
       at android app IAlarmManager Stub Proxy set(IAlarmManager java:244)_x000D_
       at android app AlarmManager setImpl(AlarmManager java:425)_x000D_
       at android app AlarmManager set(AlarmManager java:224)_x000D_
       at org altbeacon beacon service scanner CycledLeScanner setWakeUpAlarm(CycledLeScanner java:489)_x000D_
       at org altbeacon beacon service scanner CycledLeScanner scheduleScanCycleStop(CycledLeScanner java:368)_x000D_
       at org altbeacon beacon service scanner CycledLeScanner 2 run(CycledLeScanner java:374)_x000D_
       at android os Handler handleCallback(Handler java:815)_x000D_
       at android os Handler dispatchMessage(Handler java:104)_x000D_
       at android os Looper loop(Looper java:194)_x000D_
       at android app ActivityThread main(ActivityThread java:5763)_x000D_
       at java lang reflect Method invoke(Method java)_x000D_
       at java lang reflect Method invoke(Method java:372)_x000D_
       at com android internal os ZygoteInit MethodAndArgsCaller run(ZygoteInit java:960)_x000D_
       at com android internal os ZygoteInit main(ZygoteInit java:755)_x000D_
   _x000D_
_x000D_
There was another similar crash on Galaxy S5 Neo (6 0 1):_x000D_
   _x000D_
Fatal Exception: java lang SecurityException: Permission Denial: getIntentForIntentSender() from pid 20646  uid 10159 requires android permission GET INTENT SENDER INTENT_x000D_
       at android os Parcel readException(Parcel java:1620)_x000D_
       at android os Parcel readException(Parcel java:1573)_x000D_
       at android app IAlarmManager Stub Proxy set(IAlarmManager java:217)_x000D_
       at android app AlarmManager setImpl(AlarmManager java:484)_x000D_
       at android app AlarmManager set(AlarmManager java:260)_x000D_
       at org altbeacon beacon service scanner CycledLeScanner setWakeUpAlarm(CycledLeScanner java:489)_x000D_
       at org altbeacon beacon service scanner CycledLeScanner scheduleScanCycleStop(CycledLeScanner java:368)_x000D_
       at org altbeacon beacon service scanner CycledLeScanner 2 run(CycledLeScanner java:374)_x000D_
       at android os Handler handleCallback(Handler java:739)_x000D_
       at android os Handler dispatchMessage(Handler java:95)_x000D_
       at android os Looper loop(Looper java:158)_x000D_
       at android app ActivityThread main(ActivityThread java:7230)_x000D_
       at java lang reflect Method invoke(Method java)_x000D_
       at com android internal os ZygoteInit MethodAndArgsCaller run(ZygoteInit java:1230)_x000D_
       at com android internal os ZygoteInit main(ZygoteInit java:1120)_x000D_
   _x000D_
_x000D_
And another one on LENOVO A6010 (5 0 2):_x000D_
   _x000D_
Fatal Exception: java lang NullPointerException: println needs a message_x000D_
       at android util Log println native(Log java)_x000D_
       at android util Slog v(Slog java:28)_x000D_
       at android app AlarmManager setImpl(AlarmManager java:429)_x000D_
       at android app AlarmManager set(AlarmManager java:228)_x000D_
       at org altbeacon beacon service scanner CycledLeScanner setWakeUpAlarm(CycledLeScanner java:489)_x000D_
       at org altbeacon beacon service scanner CycledLeScanner scheduleScanCycleStop(CycledLeScanner java:368)_x000D_
       at org altbeacon beacon service scanner CycledLeScanner scanLeDevice(CycledLeScanner java:338)_x000D_
       at org altbeacon beacon service scanner CycledLeScannerForLollipop 1 run(CycledLeScannerForLollipop java:153)_x000D_
       at android os Handler handleCallback(Handler java:739)_x000D_
       at android os Handler dispatchMessage(Handler java:95)_x000D_
       at android os Looper loop(Looper java:135)_x000D_
       at android app ActivityThread main(ActivityThread java:5233)_x000D_
       at java lang reflect Method invoke(Method java)_x000D_
       at java lang reflect Method invoke(Method java:372)_x000D_
       at com android internal os ZygoteInit MethodAndArgsCaller run(ZygoteInit java:898)_x000D_
       at com android internal os ZygoteInit main(ZygoteInit java:693)_x000D_
   _x000D_
    Mobile device model and OS version_x000D_
LENOVO VIBE X3 Lite (5 1)_x000D_
Galaxy S5 Neo (6 0 1)_x000D_
LENOVO A6010 (5 0 2)_x000D_
    Android Beacon Library version_x000D_
2 15 4_x000D_
</t>
  </si>
  <si>
    <t>AniTrend-anitrend-app-110</t>
  </si>
  <si>
    <t>AndroidPlatform OkHttp Errors  (Pre-Lollipop SSL Related)</t>
  </si>
  <si>
    <t xml:space="preserve">  AniTrend Issue Guidelines_x000D_
_x000D_
Before opening a new issue  please take a moment to review our    community guidelines   (https:  github com AniTrend anitrend app blob master CONTRIBUTING md) to make the contribution process easy and effective for everyone involved _x000D_
_x000D_
  You may find an answer in already closed issues  :_x000D_
https:  github com AniTrend anitrend app issues q is 3Aissue is 3Aclosed_x000D_
_x000D_
_x000D_
   Description Of Bug_x000D_
      A clear and concise description of what the bug is     _x000D_
_x000D_
Usage of OkHttp Logging   3 12 x dropped support for pre lollipop devices which causes errors more information at  square retrofit issue (https:  github com square okhttp issues 4622) and  medium issue (https:  medium com square corner blog okhttp 3 13 requires android 5 818bb78d07ce)_x000D_
_x000D_
Steps To Reproduce_x000D_
_x000D_
  Get any device running android 4 2   4 4_x000D_
  Install Anitrend v1 4 2_x000D_
  Launch AniTrend_x000D_
  Application crashes_x000D_
_x000D_
   Device   Build Information_x000D_
      Please provide any relevant information about your device  This is important in case the issue is not reproducible except for under certain conditions     _x000D_
_x000D_
Donwload Source:_x000D_
   x  Playstore_x000D_
   x  Github_x000D_
      Other (specify)_x000D_
_x000D_
_x000D_
   Additional Context_x000D_
      What are you trying to accomplish  Providing context helps us come up with a solution that is most useful in the real world  also include an logs if you have any in this section    _x000D_
_x000D_
  OkHttp  starting from 3 13  works on Android 5 0  (API level 21 ) and on Java 8   The only way is use OkHttp 3 12 x for minSDK lower than 21 </t>
  </si>
  <si>
    <t>LawnchairLauncher-lawnchair-1556</t>
  </si>
  <si>
    <t>Circular Icons are cropped</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</si>
  <si>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Icons are cropped on all the sides _x000D_
_x000D_
   Expected Behavior_x000D_
      Tell us what should happen    _x000D_
Icons should not be cropped      _x000D_
_x000D_
   Actual Behavior_x000D_
      Tell us what happens instead    _x000D_
Just normal use of the launcher  icons are cropped on all 4 sides  screenshot below _x000D_
Turning on off adaptive icons creation doesn t help _x000D_
_x000D_
_x000D_
   Steps to Reproduce_x000D_
      Provide a link to a live example (screenshot recording etc  )  or a set of steps to reproduce the issue    _x000D_
_x000D_
  photo 2019 05 14 09 44 21 (https:  user images githubusercontent com 6437932 57676445 2e114380 762d 11e9 8648 51c5f7d7aa17 jpg)_x000D_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OnePlus 5_x000D_
  Android version: 9 0_x000D_
  Launcher version: 2 0 2066_x000D_
  Rom: OxygenOS_x000D_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your log here_x000D_
   _x000D_
</t>
  </si>
  <si>
    <t>aws-amplify-aws-sdk-android-956</t>
  </si>
  <si>
    <t>Sign in issue in AmazonKinesisVideoDemoApp</t>
  </si>
  <si>
    <t xml:space="preserve">There is an Exception and app crashes after leaving the app alone for about 1 hour _x000D_
_x000D_
Full details and steps for reproducing the issue is below  It is reproducible on multiple device types  recent tested device is OnePlus6  _x000D_
1  Follow the https:  github com awslabs aws sdk android samples blob master AmazonKinesisVideoDemoApp README md to set up the Cognito _x000D_
2  Sign in the app and close it _x000D_
3  Wait for  1 hour and open the app again  Exception pops up and app crashes  _x000D_
4  Exception shows as  com amazonaws mobileconnectors cognitoidentityprovider exceptions CognitoInternalErrorException: Failed to authenticate user   but when I put a debug point  here (https:  github com aws amplify aws sdk android blob master aws android sdk mobile client src main java com amazonaws mobile client AWSMobileClient java L1623)  its cause is  android os NetworkOnMainThreadException  _x000D_
_x000D_
Stacktrace in the Console:_x000D_
   _x000D_
W AWSMobileClient: signalTokensNotAvailable_x000D_
W AWSMobileClient: Tokens are invalid  please sign in again _x000D_
                   java lang Exception: No cached session _x000D_
                       at com amazonaws mobile client AWSMobileClient 6 1 signalTokensNotAvailable(AWSMobileClient java:1037)_x000D_
                       at com amazonaws mobile client AWSMobileClient 6 1 onFailure(AWSMobileClient java:1032)_x000D_
                       at com amazonaws mobileconnectors cognitoidentityprovider CognitoUser getSession(CognitoUser java:751)_x000D_
                       at com amazonaws mobile client AWSMobileClient 6 run(AWSMobileClient java:999)_x000D_
                       at com amazonaws mobile client internal InternalCallback await(InternalCallback java:115)_x000D_
                       at com amazonaws mobile client AWSMobileClient getTokens(AWSMobileClient java:973)_x000D_
                       at com amazonaws mobile client AWSMobileClient getUserStateDetails(AWSMobileClient java:655)_x000D_
                       at com amazonaws mobile client AWSMobileClient isSignedIn(AWSMobileClient java:552)_x000D_
                       at com amazonaws kinesisvideo demoapp activity StartUpActivity onCreate(StartUpActivity java:23)_x000D_
                       at android app Activity performCreate(Activity java:7149)_x000D_
                       at android app Activity performCreate(Activity java:7140)_x000D_
                       at android app Instrumentation callActivityOnCreate(Instrumentation java:1288)_x000D_
                       at android app ActivityThread performLaunchActivity(ActivityThread java:3017)_x000D_
                       at android app ActivityThread handleLaunchActivity(ActivityThread java:3172)_x000D_
                       at android app ActivityThread handleRelaunchActivityInner(ActivityThread java:4920)_x000D_
                       at android app ActivityThread handleRelaunchActivity(ActivityThread java:4829)_x000D_
                       at android app servertransaction ActivityRelaunchItem execute(ActivityRelaunchItem java:69)_x000D_
                       at android app servertransaction TransactionExecutor executeCallbacks(TransactionExecutor java:108)_x000D_
                       at android app servertransaction TransactionExecutor execute(TransactionExecutor java:68)_x000D_
                       at android app ActivityThread H handleMessage(ActivityThread java:1906)_x000D_
                       at android os Handler dispatchMessage(Handler java:106)_x000D_
                       at android os Looper loop(Looper java:193)_x000D_
                       at android app ActivityThread main(ActivityThread java:6863)_x000D_
                       at java lang reflect Method invoke(Native Method)_x000D_
                       at com android internal os RuntimeInit MethodAndArgsCaller run(RuntimeInit java:537)_x000D_
                       at com android internal os ZygoteInit main(ZygoteInit java:858)_x000D_
                    Caused by: com amazonaws mobileconnectors cognitoidentityprovider exceptions CognitoInternalErrorException: Failed to authenticate user_x000D_
                       at com amazonaws mobileconnectors cognitoidentityprovider CognitoUser getCachedSession(CognitoUser java:859)_x000D_
                       at com amazonaws mobileconnectors cognitoidentityprovider CognitoUser getSession(CognitoUser java:742)_x000D_
                       at com amazonaws mobile client AWSMobileClient 6 run(AWSMobileClient java:999) _x000D_
                       at com amazonaws mobile client internal InternalCallback await(InternalCallback java:115) _x000D_
                       at com amazonaws mobile client AWSMobileClient getTokens(AWSMobileClient java:973) _x000D_
                       at com amazonaws mobile client AWSMobileClient getUserStateDetails(AWSMobileClient java:655) _x000D_
                       at com amazonaws mobile client AWSMobileClient isSignedIn(AWSMobileClient java:552) _x000D_
                       at com amazonaws kinesisvideo demoapp activity StartUpActivity onCreate(StartUpActivity java:23) _x000D_
                       at android app Activity performCreate(Activity java:7149) _x000D_
                       at android app Activity performCreate(Activity java:7140) _x000D_
                       at android app Instrumentation callActivityOnCreate(Instrumentation java:1288) _x000D_
                       at android app ActivityThread performLaunchActivity(ActivityThread java:3017) _x000D_
                       at android app ActivityThread handleLaunchActivity(ActivityThread java:3172) _x000D_
                       at android app ActivityThread handleRelaunchActivityInner(ActivityThread java:4920) _x000D_
                       at android app ActivityThread handleRelaunchActivity(ActivityThread java:4829) _x000D_
                       at android app servertransaction ActivityRelaunchItem execute(ActivityRelaunchItem java:69) _x000D_
                       at android app servertransaction TransactionExecutor executeCallbacks(TransactionExecutor java:108) _x000D_
                       at android app servertransaction TransactionExecutor execute(TransactionExecutor java:68) _x000D_
                       at android app ActivityThread H handleMessage(ActivityThread java:1906) _x000D_
                       at android os Handler dispatchMessage(Handler java:106) _x000D_
                       at android os Looper loop(Looper java:193) _x000D_
                       at android app ActivityThread main(ActivityThread java:6863) _x000D_
                       at java lang reflect Method invoke(Native Method) _x000D_
                       at com android internal os RuntimeInit MethodAndArgsCaller run(RuntimeInit java:537) _x000D_
                       at com android internal os ZygoteInit main(ZygoteInit java:858) _x000D_
                    Caused by: android os NetworkOnMainThreadException_x000D_
                       at android os StrictMode AndroidBlockGuardPolicy onNetwork(StrictMode java:1513)_x000D_
                       at java net Inet6AddressImpl lookupHostByName(Inet6AddressImpl java:117)_x000D_
                       at java net Inet6AddressImpl lookupAllHostAddr(Inet6AddressImpl java:105)_x000D_
                       at java net InetAddress getAllByName(InetAddress java:1154)_x000D_
                       at com android okhttp Dns 1 lookup(Dns java:39)_x000D_
                       at com android okhttp internal http RouteSelector resetNextInetSocketAddress(RouteSelector java:175)_x000D_
                       at com android okhttp internal http RouteSelector nextProxy(RouteSelector java:141)_x000D_
                       at com android okhttp internal http RouteSelector next(RouteSelector java:83)_x000D_
                       at com android okhttp internal http StreamAllocation findConnection(StreamAllocation java:174)_x000D_
                       at com android okhttp internal http StreamAllocation findHealthyConnection(StreamAllocation java:126)_x000D_
                       at com android okhttp internal http StreamAllocation newStream(StreamAllocation java:95)_x000D_
                       at com android okhttp internal http HttpEngine connect(HttpEngine java:281)_x000D_
                       at com android okhttp internal http HttpEngine sendRequest(HttpEngine java:224)_x000D_
                       at com android okhttp internal huc HttpURLConnectionImpl execute(HttpURLConnectionImpl java:461)_x000D_
                       at com android okhttp internal huc HttpURLConnectionImpl connect(HttpURLConnectionImpl java:127)_x000D_
                       at com android okhttp internal huc HttpURLConnectionImpl getOutputStream(HttpURLConnectionImpl java:258)_x000D_
W AWSMobileClient:     at com android okhttp internal huc DelegatingHttpsURLConnection getOutputStream(DelegatingHttpsURLConnection java:218)_x000D_
                       at com android okhttp internal huc HttpsURLConnectionImpl getOutputStream(HttpsURLConnectionImpl java:26)_x000D_
                       at com amazonaws http UrlHttpClient writeContentToConnection(UrlHttpClient java:162)_x000D_
                       at com amazonaws http UrlHttpClient execute(UrlHttpClient java:75)_x000D_
                       at com amazonaws http AmazonHttpClient executeHelper(AmazonHttpClient java:371)_x000D_
                       at com amazonaws http AmazonHttpClient execute(AmazonHttpClient java:212)_x000D_
                       at com amazonaws services cognitoidentityprovider AmazonCognitoIdentityProviderClient invoke(AmazonCognitoIdentityProviderClient java:5296)_x000D_
                       at com amazonaws services cognitoidentityprovider AmazonCognitoIdentityProviderClient initiateAuth(AmazonCognitoIdentityProviderClient java:3581)_x000D_
                       at com amazonaws mobileconnectors cognitoidentityprovider CognitoUser refreshSession(CognitoUser java:2241)_x000D_
                       at com amazonaws mobileconnectors cognitoidentityprovider CognitoUser getCachedSession(CognitoUser java:852)_x000D_
                       	    24 more_x000D_
   </t>
  </si>
  <si>
    <t>k3b-LosslessJpgCrop-7</t>
  </si>
  <si>
    <t>llCrop crashes in "save crop picture as" when filename contains illegal character</t>
  </si>
  <si>
    <t xml:space="preserve">  Project Information_x000D_
_x000D_
  Repository: https:  github com k3b LosslessJpgCrop_x000D_
  Project Name:  llCrop (Loss Less)_x000D_
_x000D_
_x000D_
  Expected behavior_x000D_
 _x000D_
_x000D_
When I try to save the picture after crop  the picture should be saved and the saved picture should appear in the mobile phone gallery _x000D_
_x000D_
  Actual behavior_x000D_
_x000D_
The application crashes when I try to save the picture to the cell phone storage_x000D_
_x000D_
_x000D_
  How to reproduce_x000D_
_x000D_
1  Download  (https:  f droid org en packages de k3b android lossless jpg crop ) the app and open it_x000D_
2 Select any picture from mobile storage_x000D_
3 Crop the image_x000D_
4  Try saving the image in the phone by clicking Save button_x000D_
5  see the bug _x000D_
_x000D_
  Browser App version: Version 1 0 1 190507_x000D_
  Operating system: 6 0 1_x000D_
  Smartphone: Galaxy j7 _x000D_
_x000D_
  Recording Of The Bug_x000D_
_x000D_
  20190512 144440 (https:  user images githubusercontent com 50115498 57580858 e4c1c800 7463 11e9 8992 ddbc1b91c6ba gif)_x000D_
_x000D_
_x000D_
  My Github Account_x000D_
https:  github com facebook 786_x000D_
_x000D_
_x000D_
  Logcat_x000D_
_x000D_
 pre  code D AndroidRuntime( 4900): Shutting down VM_x000D_
_x000D_
E AndroidRuntime( 4900): FATAL EXCEPTION: main_x000D_
_x000D_
E AndroidRuntime( 4900): Process: de k3b android lossless jpg crop  PID: 4900_x000D_
_x000D_
E AndroidRuntime( 4900): java lang RuntimeException: Failure delivering result ResultInfo who null  request 2  result  1  data Intent   dat content:  com android externalstorage documents document primary:image 1609 llcrop (1) jpg flg 0x43    to activity  de k3b android lossless jpg crop de k3b android lossless jpg crop CropAreasChooseActivity : java nio charset IllegalCharsetNameException: java nio charset CharsetICU UTF 8 _x000D_
_x000D_
E AndroidRuntime( 4900): 	at android app ActivityThread deliverResults(ActivityThread java:4005)_x000D_
_x000D_
E AndroidRuntime( 4900): 	at android app ActivityThread handleSendResult(ActivityThread java:4048)_x000D_
_x000D_
E AndroidRuntime( 4900): 	at android app ActivityThread access 1400(ActivityThread java:177)_x000D_
_x000D_
E AndroidRuntime( 4900): 	at android app ActivityThread H handleMessage(ActivityThread java:1479)_x000D_
_x000D_
E AndroidRuntime( 4900): 	at android os Handler dispatchMessage(Handler java:102)_x000D_
_x000D_
E AndroidRuntime( 4900): 	at android os Looper loop(Looper java:135)_x000D_
_x000D_
E AndroidRuntime( 4900): 	at android app ActivityThread main(ActivityThread java:5910)_x000D_
_x000D_
E AndroidRuntime( 4900): 	at java lang reflect Method invoke(Native Method)_x000D_
_x000D_
E AndroidRuntime( 4900): 	at java lang reflect Method invoke(Method java:372)_x000D_
_x000D_
E AndroidRuntime( 4900): 	at com android internal os ZygoteInit MethodAndArgsCaller run(ZygoteInit java:1405)_x000D_
_x000D_
E AndroidRuntime( 4900): 	at com android internal os ZygoteInit main(ZygoteInit java:1200)_x000D_
_x000D_
E AndroidRuntime( 4900): Caused by: java nio charset IllegalCharsetNameException: java nio charset CharsetICU UTF 8 _x000D_
_x000D_
E AndroidRuntime( 4900): 	at java nio charset Charset checkCharsetName(Charset java:201)_x000D_
_x000D_
E AndroidRuntime( 4900): 	at java nio charset Charset forName(Charset java:295)_x000D_
_x000D_
E AndroidRuntime( 4900): 	at java net URLDecoder decode(URLDecoder java:60)_x000D_
_x000D_
E AndroidRuntime( 4900): 	at de k3b android lossless jpg crop CropAreasChooseActivity toString(CropAreasChooseActivity java:263)_x000D_
_x000D_
E AndroidRuntime( 4900): 	at de k3b android lossless jpg crop CropAreasChooseActivity onOpenPublicOutputUriPickerResult(CropAreasChooseActivity java:234)_x000D_
_x000D_
E AndroidRuntime( 4900): 	at de k3b android lossless jpg crop CropAreasChooseActivity onActivityResult(CropAreasChooseActivity java:321)_x000D_
_x000D_
E AndroidRuntime( 4900): 	at android app Activity dispatchActivityResult(Activity java:6441)_x000D_
_x000D_
E AndroidRuntime( 4900): 	at android app ActivityThread deliverResults(ActivityThread java:4001)_x000D_
_x000D_
E AndroidRuntime( 4900): 	    10 more_x000D_
  code   pre _x000D_
_x000D_
_x000D_
</t>
  </si>
  <si>
    <t>mit-cml-appinventor-sources-1686</t>
  </si>
  <si>
    <t>Switch crashes compiled app in Classic theme only</t>
  </si>
  <si>
    <t xml:space="preserve"> From the forum (https:  groups google com d msg mitappinventortest G7JeoC35tvk r sohwI3AwAJ): Using Switch in a compiled app with Classic theme will result in an app crash  The issue is likely that the theme doesn t define a switch style  and so the app ends up without the necessary resources resulting in a NPE or similar error </t>
  </si>
  <si>
    <t>processing-processing-sound-32</t>
  </si>
  <si>
    <t>Most MP3 files with meta-information fail to load</t>
  </si>
  <si>
    <t xml:space="preserve"> 14 describes much of the same issue  but the fix for that apparently didn t resolve it completely _x000D_
_x000D_
This is what I get when trying to open the following files as  SoundFile :_x000D_
_x000D_
https:  drive google com file d 1cNWH7bISxTRyLBPKQEA8jmgoWJSiHxSM view usp sharing_x000D_
_x000D_
 london mp3 :_x000D_
_x000D_
   _x000D_
Caused by: java lang NullPointerException_x000D_
	at fr delthas javamp3 Decoder samples III(Decoder java:625)_x000D_
	at fr delthas javamp3 Decoder decodeFrame(Decoder java:546)_x000D_
	at fr delthas javamp3 Sound decodeFullyInto(Sound java:228)_x000D_
	at processing sound SoundFile  init (Unknown Source)_x000D_
   _x000D_
_x000D_
 close mp3 :_x000D_
_x000D_
   _x000D_
Caused by: java lang ArrayIndexOutOfBoundsException: 16_x000D_
	at fr delthas javamp3 Decoder samples I(Decoder java:1506)_x000D_
	at fr delthas javamp3 Decoder decodeFrame(Decoder java:517)_x000D_
	at fr delthas javamp3 Decoder init(Decoder java:431)_x000D_
	at fr delthas javamp3 Sound  init (Sound java:49)_x000D_
	at processing sound SoundFile  init (Unknown Source)_x000D_
   _x000D_
_x000D_
 noLove mp3 :_x000D_
_x000D_
   _x000D_
Caused by: java lang ArrayIndexOutOfBoundsException: 3_x000D_
	at fr delthas javamp3 Decoder decodeFrame(Decoder java:474)_x000D_
	at fr delthas javamp3 Decoder init(Decoder java:431)_x000D_
	at fr delthas javamp3 Sound  init (Sound java:49)_x000D_
	at processing sound SoundFile  init (Unknown Source)_x000D_
   _x000D_
_x000D_
The last two look suspiciously like lookups in some of the MPEG header tables (where usually the last value is illegal)  All of the files have some sort of meta information (I presume ID3 tags) preceding the real MP3 data _x000D_
_x000D_
The files without meta information that I ve tried seem to load fine  There are also some with meta information that do load (presumably those where we are lucky to have no  bad  bit patterns that look like  invalid  headers in the ID3 tags) _x000D_
_x000D_
Overall  about 80  of the files in my music library run into one of the above errors when trying to load them  I don t know whether the bug is with  sound  or some underlying library  but the frame parsing needs to be way more robust _x000D_
_x000D_
 FWIW   I had (https:  github com MLanghof MP3ROR commit f0bd3d17b569c57ac6732c1efdf5c12620e44731 diff e06279b10c42937931b681f019e52e05R90) extremely similar problems when I assumed that every 4 byte chunk of the byte stream that starts with the MP3 sync word (12 set bits) will be a valid header   sometimes they re not  and sometimes the bit pattern happens to indicate an invalid index into the MP3 info lookup tables  Once you  lock into  the series of headers frames that shouldn t happen any longer but there is 0 guarantee about what is contained in the meta info surrounding the real MP3 frames  _x000D_
_x000D_
And for completeness: Sometimes a file may simply stop inside an MP3 frame (or there may be ID3 tag garbage after all the frames  causing similar issues to above)  This file is missing a byte at the end (I didn t craft it that way  again just another file from my music library) and crashes the decoder because it s trying to read past the end:_x000D_
_x000D_
 toccata zip (https:  github com processing processing sound files 3169061 toccata zip)_x000D_
</t>
  </si>
  <si>
    <t>RamiJ3mli-PercentageChartView-11</t>
  </si>
  <si>
    <t>crashing app</t>
  </si>
  <si>
    <t xml:space="preserve">    java lang NullPointerException: Attempt to invoke virtual method  void com ramijemli percentagechartview renderer BaseModeRenderer measure(int  int  int  int  int  int)  on a null object reference_x000D_
_x000D_
crashing app while hiding the keyboard and giving this error in fragment</t>
  </si>
  <si>
    <t>nextcloud-android-4002</t>
  </si>
  <si>
    <t>Crash when deleting an account</t>
  </si>
  <si>
    <t xml:space="preserve">    Actual behaviour_x000D_
  The application crashes when you delete a user account  I get the message: Unfortunately  Nextcloud dev has been stopped _x000D_
_x000D_
    Expected behaviour_x000D_
  Removal of a user account _x000D_
 _x000D_
    Steps to reproduce_x000D_
1  Select  Manage accounts  _x000D_
2  Select an account to delete _x000D_
3  Select  Remove account  _x000D_
4  Confirm deletion _x000D_
_x000D_
    Environment data_x000D_
Android version: 6_x000D_
_x000D_
Nextcloud app version: 3 6 1 RC2 and dev 20190510_x000D_
_x000D_
Nextcloud server version: 15 0 7</t>
  </si>
  <si>
    <t>SecUSo-privacy-friendly-netmonitor-72</t>
  </si>
  <si>
    <t>crashes often without cause</t>
  </si>
  <si>
    <t>For a few days  netmonitor has been crashing randomly with the same message in the logfile _x000D_
_x000D_
version 2 0 fdroid_x000D_
 device mido_x000D_
 version lineage 15 1  15 1 20190410 microG mido_x000D_
 date 2019 04 10_x000D_
 kernel 3 18 71 perf g80cb3f607eb7_x000D_
 mods F Droid (1 5 1)  XprivacyLua (1 24 fdroid)  AFWall (3 1 0 fdroid)  scoop_x000D_
_x000D_
java lang RuntimeException: Unable to instantiate service org secuso privacyfriendlynetmonitor ConnectionAnalysis PassiveService: java lang NullPointerException: Attempt to invoke virtual method  android content res Resources android content Context getResources()  on a null object reference_x000D_
at android app ActivityThread handleCreateService(ActivityThread java:3324)_x000D_
at android app ActivityThread  wrap4(Unknown Source:0)_x000D_
at android app ActivityThread H handleMessage(ActivityThread java:1677)_x000D_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at de robv android xposed XposedBridge main(XposedBridge java:108)_x000D_
Caused by: java lang NullPointerException: Attempt to invoke virtual method  android content res Resources android content Context getResources()  on a null object reference_x000D_
at org secuso privacyfriendlynetmonitor ConnectionAnalysis PassiveService getStringNew(PassiveService java:100)_x000D_
at org secuso privacyfriendlynetmonitor ConnectionAnalysis PassiveService getVersionString(PassiveService java:92)_x000D_
at org secuso privacyfriendlynetmonitor ConnectionAnalysis PassiveService  init (PassiveService java:87)_x000D_
at java lang Class newInstance(Native Method)_x000D_
at android app ActivityThread handleCreateService(ActivityThread java:3321)_x000D_
    9 more</t>
  </si>
  <si>
    <t>PeterStaev-nativescript-photo-editor-23</t>
  </si>
  <si>
    <t>Memory leak in IOS</t>
  </si>
  <si>
    <t xml:space="preserve">I started using this plugin for an app to allows users drawing on photos   They started reporting crashes with the app and have traced it to a memory leak in the plugin   After testing with the memory profiler in the xcode debugger I ve found the following:_x000D_
_x000D_
1  Creating a new photo editor instance works fine and does not cause any memory issues _x000D_
_x000D_
2  The editPhoto function will allocate a certain amount of memory that will never go away   Its not much and depends on the size of the photo   However  even if you bring up the editor and cancel it without saving the memory will continue to go up   This happens even if there is no code inside photoEdit s  then() function _x000D_
_x000D_
3  If you save an image onto the device using the editor the image will be kept in memory and will stay there until the app is closed and restarted   After enough edits the app will crash from memory overload _x000D_
_x000D_
_x000D_
Here is my code:_x000D_
 _x000D_
  takePicture PhotoEdit()  _x000D_
    _x000D_
      var options     width: 300  height: 300  keepAspectRatio: false  saveToGallery: false   _x000D_
    camera takePicture() _x000D_
        then((imageAsset)     _x000D_
_x000D_
            let photoEditor   new PhotoEditor() _x000D_
            _x000D_
            let newPath   this folder path     cameraPic     (new Date()) getTime() _x000D_
            let newPathThumbnail   newPath     thumbnail png _x000D_
            newPath   newPath     png  _x000D_
            let img: ImageSource   new ImageSource()             _x000D_
            img fromAsset(imageAsset) then(imageSource     _x000D_
            imageSource saveToFile(newPath   png )_x000D_
              _x000D_
            photoEditor editPhoto( _x000D_
                imageSource: imageSource     originalImage imageSource _x000D_
                hiddenControls:  _x000D_
                       PhotoEditorControl Save _x000D_
                       PhotoEditorControl Clear _x000D_
                       PhotoEditorControl Draw _x000D_
                       PhotoEditorControl Text _x000D_
                  _x000D_
             ) then((newImage: ImageSource)     _x000D_
_x000D_
                var test   CreateBitMap(newImage width newImage height) _x000D_
                test insert(newImage) _x000D_
                var resizedImage   test resizeMax(100) _x000D_
                _x000D_
                var thumbnailImage   resizedImage toImageSource() _x000D_
                test dispose() _x000D_
                resizedImage dispose() _x000D_
                thumbnailImage saveToFile(newPathThumbnail  png ) _x000D_
                newImage saveToFile(newPath   png )_x000D_
                _x000D_
                let photoJson    path:  file:      newPath thumb:  file:      newPathThumbnail _x000D_
_x000D_
                if (this item photos) _x000D_
                  this item photos push(photoJson) _x000D_
                 _x000D_
                else _x000D_
                  this item photos    photoJson _x000D_
                 _x000D_
      _x000D_
                this checklistService save() _x000D_
                this itemUpdated emit()_x000D_
_x000D_
             ) catch((e)     _x000D_
                console log(e) _x000D_
             ) _x000D_
           )_x000D_
_x000D_
         ) catch((err)     _x000D_
            console log( Error        err message) _x000D_
         ) _x000D_
_x000D_
   _x000D_
_x000D_
 </t>
  </si>
  <si>
    <t>NickolaiLundby-AMagicalPlace-56</t>
  </si>
  <si>
    <t xml:space="preserve">Check network connection </t>
  </si>
  <si>
    <t>What to do:
Check if there s a network connection before using SDK   calling API 
Done when:
User sees some information that they don t have a network connection when adding a card instead of app crash  Merged to master</t>
  </si>
  <si>
    <t>ElderDrivers-EdXposed-244</t>
  </si>
  <si>
    <t>[BUG] XSharedPreferences crashing</t>
  </si>
  <si>
    <t xml:space="preserve">       What happened   _x000D_
_x000D_
XSharedPreferences appears to be crashing in logs on my Pixel 2 XL  Another user confirmed this on the Exynos 9820 S10   This seems to only be occurring with recent versions of edxposed (i m guessing the SandHook update)  _x000D_
_x000D_
           _x000D_
_x000D_
  Xposed     Xposed Module List  _x000D_
_x000D_
  GravityBox  P _x000D_
_x000D_
     Screenshot allowed_x000D_
_x000D_
  Magisk     Magisk Module List  _x000D_
_x000D_
  ADB   Fastboot for Android NDK_x000D_
  Busybox for Android NDK_x000D_
  iOS12 1 Emoji_x000D_
  QuickSwitch_x000D_
  Riru   Core (v18)_x000D_
  Riru   EdXposed (v0 4 1 2 beta(SandHook)) _x000D_
  Swift Installer Module_x000D_
  Systemless Hosts_x000D_
  YouTube Vanced black themed   Magisk Rep_x000D_
_x000D_
     Screenshot allowed_x000D_
_x000D_
  EdXposed Riru   Versions of EdXposed and Riru  _x000D_
_x000D_
EdXposed: v0 4 1 2 beta(SandHook)_x000D_
_x000D_
Riru:v18_x000D_
_x000D_
    Logcat Logcat  _x000D_
_x000D_
               log       It can help us to locate issue  must use our logcat module_x000D_
_x000D_
 edxposed verbose all 20190509 170240 log (https:  github com ElderDrivers EdXposed files 3161333 edxposed verbose all 20190509 170240 log)_x000D_
 logcat txt (https:  github com ElderDrivers EdXposed files 3161334 logcat txt)_x000D_
</t>
  </si>
  <si>
    <t>square-okhttp-5024</t>
  </si>
  <si>
    <t>R8 on then NPE happened with okhttp3, AGP 3.4</t>
  </si>
  <si>
    <t xml:space="preserve">I m facing a problem on enabling R8 with Gradle 3 4 and Okhttp 3 13 1_x000D_
_x000D_
   _x000D_
D8: synthesized for lambda desugaring: Type  okhttp3 Authenticator  CC  was not found  it is required for default or static interface methods desugaring of  okhttp3 Request okhttp3    Lambda Authenticator xBBU2iHkJpDKH0vhaB2vteUyEoc authenticate(okhttp3 Route  okhttp3 Response) _x000D_
D8: synthesized for lambda desugaring: Type  okhttp3 Dns  CC  was not found  it is required for default or static interface methods desugaring of  java util List okhttp3    Lambda Dns mTkNcZf2K4euny3 jks6Cac6Az0 lookup(java lang String) _x000D_
D8: synthesized for lambda desugaring: Type  okhttp3 logging HttpLoggingInterceptor Logger  CC  was not found  it is required for default or static interface methods desugaring of  void okhttp3 logging    Lambda HttpLoggingInterceptor Logger smmbr QNvGsDM4WCreZZz8uMHLQ log(java lang String) _x000D_
   _x000D_
_x000D_
Source code build OK but app crash when call any api via network _x000D_
This looks like the okhttp3 problem  _x000D_
_x000D_
Btw  I also tried to add _x000D_
_x000D_
   _x000D_
 keep class okhttp3         _x000D_
 keep interface okhttp3         _x000D_
   _x000D_
but it still does _x000D_
_x000D_
I already refer this issue https:  issuetracker google com issues 131810441_x000D_
</t>
  </si>
  <si>
    <t>MozillaReality-FirefoxReality-1181</t>
  </si>
  <si>
    <t>FxR crashes upon requesting Voice Search for the first time with a fresh install</t>
  </si>
  <si>
    <t xml:space="preserve">   Hardware_x000D_
Oculus Go_x000D_
_x000D_
   Steps to Reproduce_x000D_
1  Do a fresh install of FxR master _x000D_
2  Press the Microphone icon in the URL bar _x000D_
3  Notice FxR crashes and relaunches _x000D_
4  Once FxR launches  press the Microphone icon again  and notice that Voice Search correctly works without crashing _x000D_
_x000D_
   Current Behavior_x000D_
Initiating Voice Search on a clean install causes FxR to crash  but it does not crash subsequent times _x000D_
_x000D_
   Expected Behavior_x000D_
Initiating Voice Search on a clean install should not cause FxR to crash _x000D_
_x000D_
   Error Logs and Stack Traces_x000D_
 details open _x000D_
_x000D_
 summary Java Stack Trace  summary _x000D_
_x000D_
   _x000D_
java util ConcurrentModificationException_x000D_
	at java util ArrayList Itr next(ArrayList java:831)_x000D_
	at com mozilla speechlibrary MozillaSpeechService notifyListeners(MozillaSpeechService java:75)_x000D_
	at com mozilla speechlibrary MozillaSpeechService start(MozillaSpeechService java:58)_x000D_
	at org mozilla vrbrowser ui widgets dialogs VoiceSearchWidget startVoiceSearch(VoiceSearchWidget java:235)_x000D_
	at org mozilla vrbrowser ui widgets dialogs VoiceSearchWidget show(VoiceSearchWidget java:279)_x000D_
	at org mozilla vrbrowser ui widgets UIWidget show(UIWidget java:251)_x000D_
	at org mozilla vrbrowser ui widgets dialogs VoiceSearchWidget onRequestPermissionsResult(VoiceSearchWidget java:264)_x000D_
	at org mozilla vrbrowser VRBrowserActivity lambda onRequestPermissionsResult 44 VRBrowserActivity(VRBrowserActivity java:1079)_x000D_
	at org mozilla vrbrowser    Lambda VRBrowserActivity YIsW9C3i9nPGcNe9k hcQT4Whks run(lambda)_x000D_
	at android app Activity runOnUiThread(Activity java:5900)_x000D_
	at org mozilla vrbrowser VRBrowserActivity onRequestPermissionsResult(VRBrowserActivity java:1077)_x000D_
	at android app Activity dispatchRequestPermissionsResult(Activity java:7118)_x000D_
	at android app Activity dispatchActivityResult(Activity java:6970)_x000D_
	at android app ActivityThread deliverResults(ActivityThread java:4110)_x000D_
	at android app ActivityThread handleSendResult(ActivityThread java:4157)_x000D_
	at android app ActivityThread  wrap20(ActivityThread java)_x000D_
	at android app ActivityThread H handleMessage(ActivityThread java:1533)_x000D_
	at android os Handler dispatchMessage(Handler java:102)_x000D_
	at android os Looper loop(Looper java:154)_x000D_
	at android app ActivityThread main(ActivityThread java:6144)_x000D_
	at java lang reflect Method invoke(Native Method)_x000D_
	at com android internal os ZygoteInit MethodAndArgsCaller run(ZygoteInit java:886)_x000D_
	at com android internal os ZygoteInit main(ZygoteInit java:776)_x000D_
   _x000D_
_x000D_
  details _x000D_
</t>
  </si>
  <si>
    <t>inaturalist-react-native-inat-camera-13</t>
  </si>
  <si>
    <t>In iOS 9.3.5, app crashes when camera is started</t>
  </si>
  <si>
    <t xml:space="preserve">Have gotten two reports from users on devices running iOS 9 3 5 that the entire app crashes when they tap on the camera button </t>
  </si>
  <si>
    <t>nextcloud-android-3973</t>
  </si>
  <si>
    <t>java.lang.NullPointerException in DocumentsProvider (2)</t>
  </si>
  <si>
    <t xml:space="preserve">    Actual behaviour_x000D_
  DocumentsProvider does not show folder content in some cases (app switching)_x000D_
_x000D_
    Expected behaviour_x000D_
  DocumentsProvider does not crash_x000D_
 _x000D_
    Steps to reproduce_x000D_
1  Start Nextcloud app_x000D_
2  Open Storagepicker DocumentsUI_x000D_
3  Navigate to a folder in third level hierarchy (e g    Level1 Level2  )_x000D_
4  Close Nextcloud with the app switcher_x000D_
5  Try to move one level up in the Storagepicker via HeaderBar_x000D_
_x000D_
fixes https:  github com nextcloud android pull 3905_x000D_
_x000D_
    Environment data_x000D_
Android version: 8 1  9 0_x000D_
_x000D_
Device model:  _x000D_
_x000D_
Stock or customized system:_x000D_
_x000D_
Nextcloud app version: 3 6 1  master branch_x000D_
_x000D_
Nextcloud server version:_x000D_
_x000D_
    Logs_x000D_
     Web server error log_x000D_
   _x000D_
Insert your webserver log here_x000D_
   _x000D_
_x000D_
     Nextcloud log (data nextcloud log)_x000D_
   _x000D_
2019 05 07 21:52:59 599 5888 5905 com nextcloud client E DatabaseUtils: Writing exception to parcel_x000D_
    java lang NullPointerException: Attempt to invoke virtual method  android accounts Account com owncloud android datamodel FileDataStorageManager getAccount()  on a null object reference_x000D_
        at com owncloud android providers DocumentsStorageProvider updateCurrentStorageManagerIfNeeded(DocumentsStorageProvider java:574)_x000D_
        at com owncloud android providers DocumentsStorageProvider queryChildDocuments(DocumentsStorageProvider java:161)_x000D_
        at android provider DocumentsProvider queryChildDocuments(DocumentsProvider java:565)_x000D_
        at android provider DocumentsProvider query(DocumentsProvider java:808)_x000D_
        at android content ContentProvider Transport query(ContentProvider java:240)_x000D_
        at android content ContentProviderNative onTransact(ContentProviderNative java:102)_x000D_
        at android os Binder execTransact(Binder java:731)_x000D_
   _x000D_
  NOTE:   Be super sure to remove sensitive data like passwords  note that everybody can look here  You can use the Issue Template application to prefill some of the required information: https:  apps nextcloud com apps issuetemplate_x000D_
</t>
  </si>
  <si>
    <t>ErikFrisenstam-SystemetAppGrupp5-27</t>
  </si>
  <si>
    <t>Server down, app crashing</t>
  </si>
  <si>
    <t>Prevent app from crashing if the server is down</t>
  </si>
  <si>
    <t>microsoft-appcenter-sdk-android-1141</t>
  </si>
  <si>
    <t>Potential crash in Distribute.java</t>
  </si>
  <si>
    <t xml:space="preserve">https:  github com microsoft AppCenter SDK Android blob 2117635bb2ad1b030f15df944b6814e61e7e9c3b sdk appcenter distribute src main java com microsoft appcenter distribute Distribute java L1619_x000D_
_x000D_
Experienced a rare crash around isMandatoryUpdate() _x000D_
Here s the stack trace:_x000D_
 java lang RuntimeException: An error occurred while executing doInBackground() at android os AsyncTask 3 done(AsyncTask java:354) at java util concurrent FutureTask finishCompletion(FutureTask java:383) at java util concurrent FutureTask setException(FutureTask java:252) at java util concurrent FutureTask run(FutureTask java:271) at java util concurrent ThreadPoolExecutor runWorker(ThreadPoolExecutor java:1167) at java util concurrent ThreadPoolExecutor Worker run(ThreadPoolExecutor java:641) at java lang Thread run(Thread java:764) Caused by: java lang NullPointerException: Attempt to invoke virtual method  boolean com microsoft appcenter distribute ReleaseDetails isMandatoryUpdate()  on a null object reference at com microsoft appcenter distribute Distribute storeDownloadRequestId(Distribute java:1584) at com microsoft appcenter distribute DownloadTask doInBackground(DownloadTask java:59) at com microsoft appcenter distribute DownloadTask doInBackground(DownloadTask java:17) at android os AsyncTask 2 call(AsyncTask java:333) at java util concurrent FutureTask run(FutureTask java:266)     3 more_x000D_
_x000D_
This was with version 1 11 2_x000D_
_x000D_
Was this addressed in 2 0 0 </t>
  </si>
  <si>
    <t>LawnchairLauncher-lawnchair-1548</t>
  </si>
  <si>
    <t>App constantly crashes</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</si>
  <si>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I m not sure what build number it was  but after I updated app just crashes over and over _x000D_
_x000D_
   Expected Behavior_x000D_
      Tell us what should happen    _x000D_
Not to crash :)_x000D_
_x000D_
   Actual Behavior_x000D_
      Tell us what happens instead    _x000D_
It crashes after a second _x000D_
_x000D_
   Steps to Reproduce_x000D_
      Provide a link to a live example (screenshot recording etc  )  or a set of steps to reproduce the issue    _x000D_
  Screenshot 2019 05 07 00 32 45 (https:  user images githubusercontent com 5942380 57259597 51058b80 7060 11e9 99d8 1bcd67328a94 jpeg)_x000D_
_x000D_
1  update_x000D_
2  press open_x000D_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Lenovo Tab 4 8 Plus_x000D_
  Android version: 8 1 0_x000D_
  Launcher version: 2 0 2053_x000D_
  Rom: stock 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Lawnchair bug report May 7  2019 00:32:11 txt (https:  github com LawnchairLauncher Lawnchair files 3150067 Lawnchair bug report May 7 2019 00 32 11 txt)_x000D_
_x000D__x000D_
 </t>
  </si>
  <si>
    <t>Shouheng88-MarkNote-20</t>
  </si>
  <si>
    <t>BUG found in MarkNote The application crashes when I open the application after set the password and click on the three horizontal line</t>
  </si>
  <si>
    <t xml:space="preserve">  Project Information_x000D_
_x000D_
  Repository: https:  github com Shouheng88 MarkNote_x000D_
  Project Name: MarkNote_x000D_
_x000D_
_x000D_
  Expected behavior_x000D_
I was expecting that when I put a password on this application and after opening it when I click on the three horizontal lines  All options should be displayed which are available there_x000D_
_x000D_
  Actual behavior_x000D_
The application crashes when I open the application after set the password and click on the three horizontal line_x000D_
_x000D_
  How to reproduce_x000D_
_x000D_
1  Download (https:  play google com store apps details id me shouheng notepal) the app and open it_x000D_
2  Go to the application settings and open the security option there and then click Password and set the password on your application _x000D_
3 Reopen the application and enter your password_x000D_
4 And then click on the three horizontal line_x000D_
5  see bug_x000D_
_x000D_
_x000D_
  Browser App version: Current Version 2 0_x000D_
  Operating system: 6 0 1_x000D_
  Smartphone: Galaxy j7 _x000D_
_x000D_
  Recording Of The Bug_x000D_
_x000D_
  20190506 133645 (https:  user images githubusercontent com 50115498 57215844 f65a2a00 6fa2 11e9 83b0 8bfd2061df4e gif)_x000D_
_x000D_
_x000D_
  My Github Account_x000D_
https:  github com facebook 786_x000D_
_x000D_
  Logcat_x000D_
_x000D_
 pre  code E AndroidRuntime(15318): FATAL EXCEPTION: main_x000D_
_x000D_
E AndroidRuntime(15318): Process: me shouheng notepal  PID: 15318_x000D_
_x000D_
E AndroidRuntime(15318): java lang NullPointerException: Attempt to invoke virtual method  boolean android support v4 app Fragment onOptionsItemSelected(android view MenuItem)  on a null object reference_x000D_
_x000D_
E AndroidRuntime(15318): 	at me shouheng notepal activity MainActivity onOptionsItemSelected(SourceFile:752)_x000D_
_x000D_
E AndroidRuntime(15318): 	at android app Activity onMenuItemSelected(Activity java:3010)_x000D_
_x000D_
E AndroidRuntime(15318): 	at android support v4 app e onMenuItemSelected(SourceFile:436)_x000D_
_x000D_
E AndroidRuntime(15318): 	at android support v7 app e onMenuItemSelected(SourceFile:196)_x000D_
_x000D_
E AndroidRuntime(15318): 	at android support v7 view i onMenuItemSelected(SourceFile:109)_x000D_
_x000D_
E AndroidRuntime(15318): 	at android support v7 view i onMenuItemSelected(SourceFile:109)_x000D_
_x000D_
E AndroidRuntime(15318): 	at android support v7 widget bi 1 onClick(SourceFile:188)_x000D_
_x000D_
E AndroidRuntime(15318): 	at android view View performClick(View java:5076)_x000D_
_x000D_
E AndroidRuntime(15318): 	at android view View PerformClick run(View java:20279)_x000D_
_x000D_
E AndroidRuntime(15318): 	at android os Handler handleCallback(Handler java:739)_x000D_
_x000D_
E AndroidRuntime(15318): 	at android os Handler dispatchMessage(Handler java:95)_x000D_
_x000D_
E AndroidRuntime(15318): 	at android os Looper loop(Looper java:135)_x000D_
_x000D_
E AndroidRuntime(15318): 	at android app ActivityThread main(ActivityThread java:5910)_x000D_
_x000D_
E AndroidRuntime(15318): 	at java lang reflect Method invoke(Native Method)_x000D_
_x000D_
E AndroidRuntime(15318): 	at java lang reflect Method invoke(Method java:372)_x000D_
_x000D_
E AndroidRuntime(15318): 	at com android internal os ZygoteInit MethodAndArgsCaller run(ZygoteInit java:1405)_x000D_
_x000D_
E AndroidRuntime(15318): 	at com android internal os ZygoteInit main(ZygoteInit java:1200)_x000D_
  code   pre _x000D_
_x000D_
_x000D_
</t>
  </si>
  <si>
    <t>hikikomoriphoenix-Beedio-49</t>
  </si>
  <si>
    <t>bug found in LM-videodownloader The application crashes when I try to rename any file during the download</t>
  </si>
  <si>
    <t xml:space="preserve">  Project Information_x000D_
_x000D_
  Repository: https:  github com hikikomoriphoenix LM videodownloader_x000D_
  Project Name:  LM videodownloader_x000D_
_x000D_
_x000D_
  Expected behavior_x000D_
_x000D_
The file name should be changed when I try to rename any file during the download_x000D_
_x000D_
  Actual behavior_x000D_
_x000D_
The application crashes when I try to rename any file during the download_x000D_
_x000D_
  How to reproduce_x000D_
_x000D_
1  Download  (https:  github com hikikomoriphoenix LM videodownloader releases)the app and open it_x000D_
2  Click on the YouTube icon so you will go to YouTube_x000D_
3 Then apply any video or audio to download_x000D_
4 Click the 3 verticals line on the top left_x000D_
5  click on downloads_x000D_
6  select  the In Progress tab  and click on the edit  icon_x000D_
7 and now click on ok button _x000D_
8  see bug _x000D_
_x000D_
  Browser App version: v1 0 1_x000D_
  Operating system: 6 0 1_x000D_
  Smartphone: Galaxy j7 _x000D_
_x000D_
  Recording Of The Bug_x000D_
_x000D_
_x000D_
  20190506 130010 (https:  user images githubusercontent com 50115498 57214367 a37e7380 6f9e 11e9 8888 c19b20b6e143 gif)_x000D_
_x000D_
  My Github Account_x000D_
https:  github com facebook 786_x000D_
_x000D_
  Logcat_x000D_
_x000D_
 pre  code E AndroidRuntime(11523): FATAL EXCEPTION: main_x000D_
_x000D_
E AndroidRuntime(11523): Process: marabillas loremar lmvideodownloader  PID: 11523_x000D_
_x000D_
E AndroidRuntime(11523): java lang ArrayIndexOutOfBoundsException: length 12  index  1_x000D_
_x000D_
E AndroidRuntime(11523): 	at java util ArrayList get(ArrayList java:310)_x000D_
_x000D_
E AndroidRuntime(11523): 	at marabillas loremar lmvideodownloader download feature lists DownloadQueues renameItem(DownloadQueues java:179)_x000D_
_x000D_
E AndroidRuntime(11523): 	at marabillas loremar lmvideodownloader download feature fragments DownloadsInProgress DownloadItem 2 1 onOK(DownloadsInProgress java:466)_x000D_
_x000D_
E AndroidRuntime(11523): 	at marabillas loremar lmvideodownloader utils RenameDialog onClick(RenameDialog java:56)_x000D_
_x000D_
E AndroidRuntime(11523): 	at com android internal app AlertController ButtonHandler handleMessage(AlertController java:166)_x000D_
_x000D_
E AndroidRuntime(11523): 	at android os Handler dispatchMessage(Handler java:102)_x000D_
_x000D_
E AndroidRuntime(11523): 	at android os Looper loop(Looper java:135)_x000D_
_x000D_
E AndroidRuntime(11523): 	at android app ActivityThread main(ActivityThread java:5910)_x000D_
_x000D_
E AndroidRuntime(11523): 	at java lang reflect Method invoke(Native Method)_x000D_
_x000D_
E AndroidRuntime(11523): 	at java lang reflect Method invoke(Method java:372)_x000D_
_x000D_
E AndroidRuntime(11523): 	at com android internal os ZygoteInit MethodAndArgsCaller run(ZygoteInit java:1405)_x000D_
_x000D_
E AndroidRuntime(11523): 	at com android internal os ZygoteInit main(ZygoteInit java:1200)_x000D_
  code   pre _x000D_
_x000D_
_x000D_
</t>
  </si>
  <si>
    <t>google-ExoPlayer-5831</t>
  </si>
  <si>
    <t>ExoPlayer crash with IMAloader onTimelineChanged Assertions.checkArgument</t>
  </si>
  <si>
    <t xml:space="preserve">     REQUIRED  Issue description_x000D_
Our app just recently released and we found in the Firebase Crashalytics an increasing number of crashes which I included below _x000D_
we are using an HlsMediaSource for the content then adding the AdsMediaSourceand for the ads and _x000D_
here is the code of how we are initializing the player:_x000D_
_x000D_
      _x000D_
 ImaAdsLoader Builder builder   new ImaAdsLoader Builder(this) _x000D_
    _x000D_
  imaAdsLoader builder setImaSdkSettings(ImaSdkFactory getInstance() createImaSdkSettings()) buildForAdTag(Uri parse(adVMAP)) _x000D_
_x000D_
 DefaultDataSourceFactory defaultDataSourceFactory   new DefaultDataSourceFactory(this  Util getUserAgent(this  getResources() getString(R string app name))) _x000D_
_x000D_
    MediaSource mediaSource   new _x000D_
    HlsMediaSource Factory(defaultDataSourceFactory) createMediaSource(Uri parse(episodeLink)) _x000D_
_x000D_
        AdsMediaSource adsMediaSource   new AdsMediaSource(mediaSource  defaultDataSourceFactory  imaAdsLoader  playerView getOverlayFrameLayout()) _x000D_
_x000D_
        player addListener(this) _x000D_
_x000D_
        boolean haveStartPosition   startPosition    C INDEX UNSET _x000D_
        if (haveStartPosition)  _x000D_
            player seekTo(startPosition) _x000D_
         _x000D_
_x000D_
        player prepare(adsMediaSource  haveStartPosition false) _x000D_
        player setPlayWhenReady(true) _x000D_
_x000D_
   _x000D_
     REQUIRED  Reproduction steps_x000D_
we couldn t reproduce the issue   we only see the crashes on the crashlytics console _x000D_
_x000D_
     REQUIRED  Link to test content_x000D_
_x000D_
     REQUIRED  A full bug report captured from the device_x000D_
   _x000D_
Fatal Exception: java lang IllegalArgumentException_x000D_
       at com google android exoplayer2 util Assertions checkArgument(Assertions java:39)_x000D_
       at com google android exoplayer2 ext ima ImaAdsLoader onTimelineChanged(ImaAdsLoader java:912)_x000D_
       at com google android exoplayer2 ExoPlayerImpl PlaybackInfoUpdate notifyListeners(ExoPlayerImpl java:780)_x000D_
       at com google android exoplayer2 ExoPlayerImpl updatePlaybackInfo(ExoPlayerImpl java:717)_x000D_
       at com google android exoplayer2 ExoPlayerImpl handlePlaybackInfo(ExoPlayerImpl java:648)_x000D_
       at com google android exoplayer2 ExoPlayerImpl handleEvent(ExoPlayerImpl java:593)_x000D_
       at com google android exoplayer2 ExoPlayerImpl 1 handleMessage(ExoPlayerImpl java:125)_x000D_
       at android os Handler dispatchMessage(Handler java:105)_x000D_
       at android os Looper loop(Looper java:156)_x000D_
       at android app ActivityThread main(ActivityThread java:6577)_x000D_
       at java lang reflect Method invoke(Method java)_x000D_
       at com android internal os ZygoteInit MethodAndArgsCaller run(ZygoteInit java:986)_x000D_
       at com android internal os ZygoteInit main(ZygoteInit java:876)_x000D_
   _x000D_
     REQUIRED  Version of ExoPlayer being used_x000D_
2 9 4_x000D_
_x000D_
     REQUIRED  Device(s) and version(s) of Android being used_x000D_
Samsung galaxy S6 _x000D_
HTC Desire 820s _x000D_
HUAWEI MediaPad T3 7_x000D_
_x000D_
android 6  7 and 8 _x000D_
     DO NOT DELETE_x000D_
validate template true_x000D_
template path  github ISSUE TEMPLATE bug md_x000D_
   _x000D_
</t>
  </si>
  <si>
    <t>hedzr-android-file-chooser-63</t>
  </si>
  <si>
    <t>DirAdapter.java line 50 Crash</t>
  </si>
  <si>
    <t xml:space="preserve">I have a crash on many devices  Firebase Crashlytics show this _x000D_
_x000D_
  Fatal Exception: android content res Resources NotFoundException: Resource ID  0x7f080121_x000D_
       at android content res ResourcesImpl getValueForDensity(ResourcesImpl java:237)_x000D_
       at android content res Resources getDrawableForDensity(Resources java:902)_x000D_
       at android content res Resources getDrawable(Resources java:842)_x000D_
       at android content Context getDrawable(Context java:628)_x000D_
       at androidx core content ContextCompat getDrawable(ContextCompat java:454)_x000D_
       at com obsez android lib filechooser tool DirAdapter init(DirAdapter java:50)_x000D_
       at com obsez android lib filechooser tool DirAdapter  init (DirAdapter java:38)_x000D_
       at com obsez android lib filechooser ChooserDialog build(ChooserDialog java:473)_x000D_
       at com ytheekshana deviceinfo SettingsActivity SettingsFragment lambda onCreatePreferences 4(SettingsActivity java:155)_x000D_
       at com ytheekshana deviceinfo    Lambda SettingsActivity SettingsFragment Y7f1g7hc3TMWquV4ySFCNsnDHKw onPreferenceClick(Unknown Source:2)_x000D_
       at androidx preference Preference performClick(Preference java:1169)_x000D_
       at androidx preference Preference performClick(Preference java:1152)_x000D_
       at androidx preference Preference 1 onClick(Preference java:182)_x000D_
       at android view View performClick(View java:7333)_x000D_
       at android view View performClickInternal(View java:7299)_x000D_
       at android view View access 3200(View java:846)_x000D_
       at android view View PerformClick run(View java:27774)_x000D_
       at android os Handler handleCallback(Handler java:873)_x000D_
       at android os Handler dispatchMessage(Handler java:99)_x000D_
       at android os Looper loop(Looper java:214)_x000D_
       at android app ActivityThread main(ActivityThread java:6981)_x000D_
       at java lang reflect Method invoke(Method java)_x000D_
       at com android internal os RuntimeInit MethodAndArgsCaller run(RuntimeInit java:493)_x000D_
       at com android internal os ZygoteInit main(ZygoteInit java:1445)_x000D_
_x000D_
I am Building the FileChooser like this _x000D_
_x000D_
  ChooserDialog chooseLocation _x000D_
                    if (dark theme Pref isChecked())  _x000D_
                        chooseLocation   new ChooserDialog(getActivity()  R style FileChooserStyle Dark) _x000D_
                      else  _x000D_
                        chooseLocation   new ChooserDialog(getActivity()) _x000D_
                     _x000D_
                    chooseLocation withDateFormat( dd MMMM yyyy ) _x000D_
                    chooseLocation displayPath(false) _x000D_
                    chooseLocation enableOptions(true) _x000D_
                    chooseLocation withResources(R string file chooser title  R string file chooser choose  R string cancel) _x000D_
                    chooseLocation withFilter(true  false) _x000D_
                    chooseLocation withStartFile(Environment getExternalStorageDirectory() getAbsolutePath()) _x000D_
                    chooseLocation withChosenListener((path  pathFile)     _x000D_
                        shareEdit putString( extract location   path) _x000D_
                        shareEdit apply() _x000D_
                        shareEdit commit() _x000D_
                        pref extract location setSummary(path) _x000D_
                     ) _x000D_
                    chooseLocation build() _x000D_
                    chooseLocation show() </t>
  </si>
  <si>
    <t>nisrulz-lantern-8</t>
  </si>
  <si>
    <t>PostMarshmallow.java line 37 Crash</t>
  </si>
  <si>
    <t>I get a crash on Android 9 and 7_x000D_
_x000D_
  Fatal Exception: java lang RuntimeException: Failure delivering result ResultInfo who  android:requestPermissions:  request 6937  result  1  data Intent   act android content pm action REQUEST PERMISSIONS (has extras)    to activity  com ytheekshana deviceinfo com nabinbhandari android permissions PermissionsActivity : java lang ArrayIndexOutOfBoundsException: length 0  index 0_x000D_
       at android app ActivityThread deliverResults(ActivityThread java:4360)_x000D_
       at android app ActivityThread handleSendResult(ActivityThread java:4402)_x000D_
       at android app servertransaction ActivityResultItem execute(ActivityResultItem java:49)_x000D_
       at android app servertransaction TransactionExecutor executeCallbacks(TransactionExecutor java:108)_x000D_
       at android app servertransaction TransactionExecutor execute(TransactionExecutor java:68)_x000D_
       at android app ActivityThread H handleMessage(ActivityThread java:1808)_x000D_
       at android os Handler dispatchMessage(Handler java:106)_x000D_
       at android os Looper loop(Looper java:193)_x000D_
       at android app ActivityThread main(ActivityThread java:6669)_x000D_
       at java lang reflect Method invoke(Method java)_x000D_
       at com android internal os RuntimeInit MethodAndArgsCaller run(RuntimeInit java:493)_x000D_
       at com android internal os ZygoteInit main(ZygoteInit java:951)_x000D_
_x000D_
  Caused by java lang ArrayIndexOutOfBoundsException: length 0  index 0_x000D_
       at github nisrulz lantern PostMarshmallow  init (PostMarshmallow java:37)_x000D_
       at github nisrulz lantern Lantern initTorch(Lantern java:129)_x000D_
       at com ytheekshana deviceinfo FlashlightTestActivity 1 onGranted(FlashlightTestActivity java:83)_x000D_
       at com nabinbhandari android permissions PermissionsActivity grant(PermissionsActivity java:228)_x000D_
       at com nabinbhandari android permissions PermissionsActivity onRequestPermissionsResult(PermissionsActivity java:122)_x000D_
       at android app Activity dispatchRequestPermissionsResult(Activity java:7114)_x000D_
       at android app Activity dispatchActivityResult(Activity java:6966)_x000D_
       at android app ActivityThread deliverResults(ActivityThread java:4086)_x000D_
       at android app ActivityThread handleSendResult(ActivityThread java:4133)_x000D_
       at android app ActivityThread  wrap20(ActivityThread java)_x000D_
       at android app ActivityThread H handleMessage(ActivityThread java:1534)_x000D_
       at android os Handler dispatchMessage(Handler java:102)_x000D_
       at android os Looper loop(Looper java:154)_x000D_
       at android app ActivityThread main(ActivityThread java:6121)_x000D_
       at java lang reflect Method invoke(Method java)_x000D_
       at com android internal os ZygoteInit MethodAndArgsCaller run(ZygoteInit java:912)_x000D_
       at com android internal os ZygoteInit main(ZygoteInit java:802)</t>
  </si>
  <si>
    <t>brodeurlv-fastnfitness-65</t>
  </si>
  <si>
    <t>App crashed after clearing data by resetting the app and re-using the app</t>
  </si>
  <si>
    <t xml:space="preserve">   Found in version   : 0 17 2_x000D_
_x000D_
    Current behavior:_x000D_
_x000D_
I reset the application to delete all my data in order to start afresh  but after resetting it  few touches on the app made it to crash _x000D_
_x000D_
_x000D_
    Expected behavior:_x000D_
I expected the app to work just as it does when I first installed and start using it _x000D_
_x000D_
    Step to reproduce:_x000D_
  Launch the app_x000D_
_x000D_
  Create a profile_x000D_
_x000D_
  Click on the three dots(menu) by the top right side _x000D_
_x000D_
  Click on reset application _x000D_
_x000D_
  Confirm the action by clicking yes (the app will close)_x000D_
_x000D_
  Launch it again and choose a profile name by typing it on the provided space and click OK_x000D_
  Start clicking on any feature to perform any action  The app will crash _x000D_
_x000D_
    Reproducing the bug_x000D_
ttps:  youtu be DylK0MwbYQs_x000D_
_x000D_
_x000D_
_x000D_
_x000D_
_x000D_
_x000D_
_x000D_
_x000D_
_x000D_
   Additional description_x000D_
_x000D_
After the crash  it works well without crashing anymore but each time I reset and start afresh  it always welcome me with a crash before working as expected _x000D_
_x000D_
_x000D_
_x000D_
</t>
  </si>
  <si>
    <t>rosjava-android_apps-86</t>
  </si>
  <si>
    <t>The App Crashed due to the ViewControlLayer class</t>
  </si>
  <si>
    <t xml:space="preserve">The app was successfully installed and run on the phone  However  after it connected to the ros master  the app then crashed due to the following problem  I did not modify any part of the source code   _x000D_
_x000D_
E AndroidRuntime: FATAL EXCEPTION: AsyncTask  5_x000D_
    Process: com github rosjava android apps make a map kinetic  PID: 18644_x000D_
    java lang RuntimeException: An error occurred while executing doInBackground()_x000D_
        at android os AsyncTask 3 done(AsyncTask java:366)_x000D_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java:257)_x000D_
        at java util concurrent ThreadPoolExecutor runWorker(ThreadPoolExecutor java:1167)_x000D_
        at java util concurrent ThreadPoolExecutor Worker run(ThreadPoolExecutor java:641)_x000D_
        at java lang Thread run(Thread java:784)_x000D_
     Caused by: android view ViewRootImpl CalledFromWrongThreadException: Only the original thread that created a view hierarchy can touch its views _x000D_
        at android view ViewRootImpl checkThread(ViewRootImpl java:8610)_x000D_
        at android view ViewRootImpl focusableViewAvailable(ViewRootImpl java:4061)_x000D_
        at android view ViewGroup focusableViewAvailable(ViewGroup java:920)_x000D_
        at android view ViewGroup focusableViewAvailable(ViewGroup java:920)_x000D_
        at android view ViewGroup focusableViewAvailable(ViewGroup java:920)_x000D_
        at android view ViewGroup focusableViewAvailable(ViewGroup java:920)_x000D_
        at android view ViewGroup focusableViewAvailable(ViewGroup java:920)_x000D_
        at android view ViewGroup focusableViewAvailable(ViewGroup java:920)_x000D_
        at android view View setFlags(View java:14253)_x000D_
        at android view View setClickable(View java:10564)_x000D_
        at android view View setOnClickListener(View java:6456)_x000D_
        at com github rosjava android apps make a map ViewControlLayer  init (ViewControlLayer java:85)_x000D_
        at com github rosjava android apps make a map MainActivity init(MainActivity java:300)_x000D_
        at org ros android RosActivity 1 1 doInBackground(RosActivity java:89)_x000D_
        at org ros android RosActivity 1 1 doInBackground(RosActivity java:86)_x000D_
        at android os AsyncTask 2 call(AsyncTask java:345)_x000D_
        at java util concurrent FutureTask run(FutureTask java:266)_x000D_
        at android os AsyncTask SerialExecutor 1 run(AsyncTask java:257) _x000D_
        at java util concurrent ThreadPoolExecutor runWorker(ThreadPoolExecutor java:1167) _x000D_
        at java util concurrent ThreadPoolExecutor Worker run(ThreadPoolExecutor java:641) _x000D_
        at java lang Thread run(Thread java:784) </t>
  </si>
  <si>
    <t>zxing-zxing-1163</t>
  </si>
  <si>
    <t>IndexOutOfBounds when encoding a PDF417</t>
  </si>
  <si>
    <t xml:space="preserve">I m trying to encode a PDF417 and whenever I set the  PDF417 COMPACTION  to  Compaction TEXT  I get this crash: _x000D_
_x000D_
   _x000D_
    java lang ArrayIndexOutOfBoundsException: length 128  index 8226_x000D_
        at com google zxing pdf417 encoder PDF417HighLevelEncoder isMixed(PDF417HighLevelEncoder java:456)_x000D_
        at com google zxing pdf417 encoder PDF417HighLevelEncoder encodeText(PDF417HighLevelEncoder java:298)_x000D_
        at com google zxing pdf417 encoder PDF417HighLevelEncoder encodeHighLevel(PDF417HighLevelEncoder java:185)_x000D_
        at com google zxing pdf417 encoder PDF417 generateBarcodeLogic(PDF417 java:649)_x000D_
        at com google zxing pdf417 PDF417Writer bitMatrixFromEncoder(PDF417Writer java:107)_x000D_
        at com google zxing pdf417 PDF417Writer encode(PDF417Writer java:87)_x000D_
        at com google zxing MultiFormatWriter encode(MultiFormatWriter java:102)_x000D_
   _x000D_
_x000D_
Here is the code for how I am trying to create the barcode: _x000D_
_x000D_
   _x000D_
        var hints: MutableMap EncodeHintType  Any  _x000D_
        _x000D_
        hints   EnumMap EncodeHintType  Any (EncodeHintType::class java)_x000D_
        _x000D_
        hints EncodeHintType CHARACTER SET     UTF 8  _x000D_
        hints EncodeHintType ERROR CORRECTION    6_x000D_
        hints EncodeHintType PDF417 COMPACTION    Compaction TEXT_x000D_
        _x000D_
        val writer   MultiFormatWriter()_x000D_
        val result: BitMatrix_x000D_
        try  _x000D_
            result   writer encode(contents  format  img width  img height  hints)_x000D_
          catch (iae: WriterException)  _x000D_
               Unsupported format_x000D_
            return null_x000D_
         _x000D_
   _x000D_
_x000D_
Is this a bug or am i doing something wrong </t>
  </si>
  <si>
    <t>nextcloud-Android-SingleSignOn-60</t>
  </si>
  <si>
    <t>Account chooser dialog problem with some Android versions</t>
  </si>
  <si>
    <t xml:space="preserve">Hi  first of all  thanks a lot for this library  it s used in PhoneTrack Android  Luv it _x000D_
_x000D_
So far  everything works fine with Android 4 1  5 0  8 0  8 1 and 9 0 _x000D_
_x000D_
I m testing with freshly installed Nexus 4 virtual phones without google services but have confirmation it works fine on my Nexus 5x (LineageOS 15  Android 8 1) _x000D_
_x000D_
I m having problems with Android 6  7 0 and 7 1 just after choosing an account ( AccountImporter pickNewAccount() )_x000D_
_x000D_
With v0 3 0 It was apparently making Nextcloud Files app crash  Here are the corresponding logs: _x000D_
   _x000D_
03 30 01:46:33 888  2104  2104 E AndroidRuntime: FATAL EXCEPTION: main_x000D_
03 30 01:46:33 888  2104  2104 E AndroidRuntime: Process: com nextcloud client  PID: 2104_x000D_
03 30 01:46:33 888  2104  2104 E AndroidRuntime: java lang RuntimeException: Unable to start activity ComponentInfo com nextcloud client com owncloud android ui activity SsoGrantPermissionActivity : java lang NullPointerException: Attempt to read from field  java lang String android accounts Account name  on a null object reference_x000D_
03 30 01:46:33 888  2104  2104 E AndroidRuntime:    at android app ActivityThread performLaunchActivity(ActivityThread java:2665)_x000D_
03 30 01:46:33 888  2104  2104 E AndroidRuntime:    at android app ActivityThread handleLaunchActivity(ActivityThread java:2726)_x000D_
03 30 01:46:33 888  2104  2104 E AndroidRuntime:    at android app ActivityThread  wrap12(ActivityThread java)_x000D_
03 30 01:46:33 888  2104  2104 E AndroidRuntime:    at android app ActivityThread H handleMessage(ActivityThread java:1477)_x000D_
03 30 01:46:33 888  2104  2104 E AndroidRuntime:    at android os Handler dispatchMessage(Handler java:102)_x000D_
03 30 01:46:33 888  2104  2104 E AndroidRuntime:    at android os Looper loop(Looper java:154)_x000D_
03 30 01:46:33 888  2104  2104 E AndroidRuntime:    at android app ActivityThread main(ActivityThread java:6119)_x000D_
03 30 01:46:33 888  2104  2104 E AndroidRuntime:    at java lang reflect Method invoke(Native Method)_x000D_
03 30 01:46:33 888  2104  2104 E AndroidRuntime:    at com android internal os ZygoteInit MethodAndArgsCaller run(ZygoteInit java:886)_x000D_
03 30 01:46:33 888  2104  2104 E AndroidRuntime:    at com android internal os ZygoteInit main(ZygoteInit java:776)_x000D_
03 30 01:46:33 888  2104  2104 E AndroidRuntime: Caused by: java lang NullPointerException: Attempt to read from field  java lang String android accounts Account name  on a null object reference_x000D_
03 30 01:46:33 888  2104  2104 E AndroidRuntime:    at com owncloud android ui activity SsoGrantPermissionActivity onCreate(SsoGrantPermissionActivity java:106)_x000D_
03 30 01:46:33 888  2104  2104 E AndroidRuntime:    at android app Activity performCreate(Activity java:6679)_x000D_
03 30 01:46:33 888  2104  2104 E AndroidRuntime:    at android app Instrumentation callActivityOnCreate(Instrumentation java:1118)_x000D_
03 30 01:46:33 888  2104  2104 E AndroidRuntime:    at android app ActivityThread performLaunchActivity(ActivityThread java:2618)_x000D_
03 30 01:46:33 888  2104  2104 E AndroidRuntime:        9 more_x000D_
03 30 01:46:33 891  1673  1803 W ActivityManager:   Force finishing activity com nextcloud client com owncloud android ui activity SsoGrantPermissionActivity_x000D_
03 30 01:46:33 914  1673  1803 W ActivityManager:   Force finishing activity net eneiluj nextcloud phonetrack dev net eneiluj nextcloud phonetrack android activity SettingsActivity_x000D_
   _x000D_
_x000D_
Hanging around in the issues  I discovered I could include   SNAPSHOT  version instead of v0 3 0  Problem is still there in a less radical form :wink: : I get an alert dialog telling me  You have to accept the requested permissions to use the single sign on feature   Nothing in the logs  Is it possible I did something wrong  It seems to be related to  SsoGrantPermissionActivity   Any idea _x000D_
_x000D_
Ow BTW  same thing is happening with News app  there s a crash  I guess it s using SSO lib v0 3 0  Same symptoms as PhoneTrack </t>
  </si>
  <si>
    <t>dimagi-commcare-android-2114</t>
  </si>
  <si>
    <t>Fix Sign Save</t>
  </si>
  <si>
    <t xml:space="preserve">Jira: https:  dimagi dev atlassian net browse QA 436_x000D_
_x000D_
CL: https:  www fabric io dimagi android apps org commcare dalvik issues 5ccabef0f8b88c2963d337c5 time last thirty days_x000D_
_x000D_
Regression of https:  github com dimagi commcare android pull 2110 files diff 7825926c6662bb8827ea6b48aae09b83R174_x000D_
_x000D_
We are now calling  setBinaryPath  with the path of the image rathr than URI and since we didn t make this change in SignatureWidget and only for ImageWidget  the app was crashing  _x000D_
_x000D_
Can someone merge it on approving so that it gets available to QA for testing and also ping on Jira ticket so that QA can test it again  </t>
  </si>
  <si>
    <t>applivery-applivery-android-sdk-32</t>
  </si>
  <si>
    <t>Release Build Crashes - Proguard Rules missing</t>
  </si>
  <si>
    <t xml:space="preserve">Can you please provide some Proguard rules _x000D_
_x000D_
The SDK crashes when Proguard is enabled _x000D_
_x000D_
I tried_x000D_
  keep class com applivery applvsdklib           _x000D_
which helps _x000D_
But it would be nice if you could provide more specific rules </t>
  </si>
  <si>
    <t>LawnchairLauncher-lawnchair-1543</t>
  </si>
  <si>
    <t>"App search" search bar going off screen when accessed via guesture</t>
  </si>
  <si>
    <t xml:space="preserve">      Provide a general summary of the issue in the Title above    _x000D_
      Check if your issue or something similar has been reported before (if yes upvote comment there)    _x000D_
      Please not that we don t accept any bug reports for Versions 1   anymore    _x000D_
   Expected Behavior_x000D_
Search bar should be positioned underneath the status bar and be readable_x000D_
_x000D_
_x000D_
   Actual Behavior_x000D_
Search bar is above statusbar clipping off screen   Screenshot (https:  imgur com a muh213b)_x000D_
_x000D_
_x000D_
   Steps to Reproduce_x000D_
      Provide a link to a live example (screenshot recording etc  )  or a set of steps to reproduce the issue    _x000D_
_x000D_
1  Set  Open app search  as any guesture_x000D_
2  Perform guesture_x000D_
3  Search bar appears at top of the screen slightly above status bar_x000D_
4 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Samsung Galaxy S10  Exynos_x000D_
  Android version: 9_x000D_
  Launcher version: Version 2 0 2066 ci alpha_x000D_
  Rom: Stock Rom_x000D_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your log here_x000D_
   _x000D_
 </t>
  </si>
  <si>
    <t>aws-amplify-aws-sdk-android-937</t>
  </si>
  <si>
    <t>Error in retrieving the encryption key used for secure storage of credentials</t>
  </si>
  <si>
    <t xml:space="preserve">  Describe the bug  _x000D_
Upgrade to 2 13 3 make app crash _x000D_
_x000D_
  To Reproduce  _x000D_
A code sample or steps:_x000D_
I use dagger2 to inject s3client _x000D_
Below is my code in AmazonModule(dagger module) to initialize CognitoCachingCredentialsProvider _x000D_
   _x000D_
val provider   CognitoCachingCredentialsProvider(activity  BuildConfig COGNITO POOL ID  Regions AP NORTHEAST 2)_x000D_
   _x000D_
_x000D_
  Which AWS service(s) are affected   _x000D_
App crash_x000D_
_x000D_
  Expected behavior  _x000D_
Non crash_x000D_
_x000D_
  Screenshots  _x000D_
App crash_x000D_
_x000D_
  Environment Information (please complete the following information):  _x000D_
   AWS Android SDK Version: 2 13 3_x000D_
   Device: Many android device_x000D_
   Android Version: android 4  5_x000D_
   Specific to simulators: No_x000D_
_x000D_
  Additional context  _x000D_
I added the call stack of my crash_x000D_
   _x000D_
Caused by java lang IllegalArgumentException: key    null_x000D_
       at javax crypto spec SecretKeySpec (SecretKeySpec java:59)_x000D_
       at com amazonaws internal keyvaluestore KeyProvider18 getKey(KeyProvider18 java:80)_x000D_
       at com amazonaws internal keyvaluestore AWSKeyValueStore setPersistenceEnabled(AWSKeyValueStore java:138)_x000D_
       at com amazonaws internal keyvaluestore AWSKeyValueStore (SourceFile:1138)_x000D_
       at com amazonaws auth CognitoCachingCredentialsProvider initialize(CognitoCachingCredentialsProvider java:425)_x000D_
       at com amazonaws auth CognitoCachingCredentialsProvider (SourceFile:1425)_x000D_
       at com towneers www di modules AmazonModule provideCognitoCachingCredentialsProvider android 50004 realRelease(AmazonModule java:24)_x000D_
       at com towneers www di modules AmazonModule ProvideCognitoCachingCredentialsProvider android 50004 realReleaseFactory proxyProvideCognitoCachingCredentialsProvider android 50004 realRelease 53f6d157(AmazonModule ProvideCognitoCachingCredentialsProvider java:40)_x000D_
       at com towneers www di components DaggerHoianComponent getCognitoCachingCredentialsProvider(DaggerHoianComponent java:1309)_x000D_
       at com towneers www di components DaggerHoianComponent access 26500(DaggerHoianComponent java:652)_x000D_
       at com towneers www di components DaggerHoianComponent PostArticleActivitySubcomponentImpl injectPostArticleActivity(DaggerHoianComponent java:6864)_x000D_
       at com towneers www di components DaggerHoianComponent PostArticleActivitySubcomponentImpl inject(DaggerHoianComponent java:6841)_x000D_
       at com towneers www di components DaggerHoianComponent PostArticleActivitySubcomponentImpl inject(DaggerHoianComponent java:6786)_x000D_
       at dagger android DispatchingAndroidInjector maybeInject(DispatchingAndroidInjector java:113)_x000D_
       at dagger android DispatchingAndroidInjector inject(DispatchingAndroidInjector java:134)_x000D_
       at dagger android AndroidInjection inject(AndroidInjection java:59)_x000D_
       at dagger android support DaggerAppCompatActivity onCreate(DaggerAppCompatActivity java:43)_x000D_
       at com towneers www base BaseActivity onCreate(BaseActivity java:124)_x000D_
       at com towneers www ui activity PostArticleActivity onCreate(PostArticleActivity java:135)_x000D_
       at android app Activity performCreate(Activity java:5580)_x000D_
       at android app Instrumentation callActivityOnCreate(Instrumentation java:1093)_x000D_
       at android app ActivityThread performLaunchActivity(ActivityThread java:2400)_x000D_
       at android app ActivityThread handleLaunchActivity(ActivityThread java:2495)_x000D_
       at android app ActivityThread access 900(ActivityThread java:170)_x000D_
       at android app ActivityThread H handleMessage(ActivityThread java:1304)_x000D_
       at android os Handler dispatchMessage(Handler java:102)_x000D_
       at android os Looper loop(Looper java:146)_x000D_
       at android app ActivityThread main(ActivityThread java:5635)_x000D_
       at java lang reflect Method invokeNative(Method java)_x000D_
       at java lang reflect Method invoke(Method java:515)_x000D_
       at com android internal os ZygoteInit MethodAndArgsCaller run(ZygoteInit java:1291)_x000D_
       at com android internal os ZygoteInit main(ZygoteInit java:1107)_x000D_
       at dalvik system NativeStart main(NativeStart java)_x000D_
   </t>
  </si>
  <si>
    <t>svenmeier-coxswain-85</t>
  </si>
  <si>
    <t>Weird behavior</t>
  </si>
  <si>
    <t xml:space="preserve">A lot of times now when I started a training the training view (time  tempo heart rate etc ) suddenly disapears  I seems to be in the background  sometimes it continues when I restart the training  But sometimes also not and coxswain crashes even  I have the impression it could occur when the heart rate sensor (polar) reconnects which happens sometimes  If this is the issue could coxswain be made more insensible to hr drop outs  Im running coxswain on oreo  thx </t>
  </si>
  <si>
    <t>PrisKompis-PrisKompis-35</t>
  </si>
  <si>
    <t>Fixed issue #34 Implemented null check for card input</t>
  </si>
  <si>
    <t xml:space="preserve">Implemented a null check on card input value so that the app does not crash _x000D_
_x000D_
Now if the card value is null  the app will display a toast message saying  enter card details to proceed  and stay on the same page without any further action until the user inputs a valid card detail </t>
  </si>
  <si>
    <t>PrisKompis-PrisKompis-34</t>
  </si>
  <si>
    <t>App crashes when the credit card value is null</t>
  </si>
  <si>
    <t xml:space="preserve">The app crashes when no value is passed to credit card field and click on pay button  This needs to be fixed asap </t>
  </si>
  <si>
    <t>PrisKompis-PrisKompis-32</t>
  </si>
  <si>
    <t>Could not enter input value for quantity field</t>
  </si>
  <si>
    <t xml:space="preserve">The inshop purchase activity shows edit text quantity but the app crashes when we enter value for the field   This needs to be fixed </t>
  </si>
  <si>
    <t>MozillaReality-FirefoxReality-1142</t>
  </si>
  <si>
    <t>Crash in on android 9 (P)  when trying to open the settings dialog</t>
  </si>
  <si>
    <t xml:space="preserve">   Hardware_x000D_
      Include the name and version of the hardware VR headset you experienced the bug in     _x000D_
FxR running on Android 9 (P)_x000D_
   Steps to Reproduce_x000D_
      For bugs  please provide a link to a live web site  test page  or a rough set of    _x000D_
      steps to reproduce this bug  If relevant  include code to reproduce     _x000D_
      Feel free to attach images and GIFs of screen captures     _x000D_
1  Launch FxR_x000D_
2  Touch the setting dialog button_x000D_
_x000D_
   Current Behavior_x000D_
      If describing a bug  tell us what happens instead of the expected behavior     _x000D_
      If suggesting a change improvement  explain the difference from current behavior     _x000D_
FxR crashes _x000D_
_x000D_
   Expected Behavior_x000D_
      If you re describing a bug  tell us what should happen     _x000D_
      If you re suggesting a change improvement  tell us how it should work     _x000D_
Settings dialog opens _x000D_
_x000D_
   Error Logs and Stack Traces_x000D_
       Optional     _x000D_
      These are very useful for quickly identifying the causes for bug fixes     _x000D_
      In Developer Mode  run  adb logcat  to capture potentially useful logs     _x000D_
 details open _x000D_
_x000D_
      DO NOT REMOVE THIS LINE     _x000D_
   _x000D_
2019 05 01 17:48:38 921 13863 13863 org mozilla vrbrowser E VRB: Error creating child widget: null_x000D_
2019 05 01 17:48:38 921 13863 13863 org mozilla vrbrowser W System err: java lang reflect InvocationTargetException_x000D_
2019 05 01 17:48:38 921 13863 13863 org mozilla vrbrowser W System err:     at java lang reflect Constructor newInstance0(Native Method)_x000D_
2019 05 01 17:48:38 922 13863 13863 org mozilla vrbrowser W System err:     at java lang reflect Constructor newInstance(Constructor java:343)_x000D_
2019 05 01 17:48:38 922 13863 13863 org mozilla vrbrowser W System err:     at org mozilla vrbrowser ui widgets UIWidget createChild(UIWidget java:327)_x000D_
2019 05 01 17:48:38 922 13863 13863 org mozilla vrbrowser W System err:     at org mozilla vrbrowser ui widgets TrayWidget toggleSettingsDialog(TrayWidget java:256)_x000D_
2019 05 01 17:48:38 922 13863 13863 org mozilla vrbrowser W System err:     at org mozilla vrbrowser ui widgets TrayWidget lambda initialize 2 TrayWidget(TrayWidget java:98)_x000D_
2019 05 01 17:48:38 923 13863 13863 org mozilla vrbrowser W System err:     at org mozilla vrbrowser ui widgets    Lambda TrayWidget oeFfPBLGEkHqwi7PK MSpEegiyA onClick(Unknown Source:2)_x000D_
2019 05 01 17:48:38 923 13863 13863 org mozilla vrbrowser W System err:     at android view View performClick(View java:6597)_x000D_
2019 05 01 17:48:38 923 13863 13863 org mozilla vrbrowser W System err:     at android view View performClickInternal(View java:6574)_x000D_
2019 05 01 17:48:38 923 13863 13863 org mozilla vrbrowser W System err:     at android view View access 3100(View java:778)_x000D_
2019 05 01 17:48:38 923 13863 13863 org mozilla vrbrowser W System err:     at android view View PerformClick run(View java:25885)_x000D_
2019 05 01 17:48:38 923 13863 13863 org mozilla vrbrowser W System err:     at android os Handler handleCallback(Handler java:873)_x000D_
2019 05 01 17:48:38 924 13863 13863 org mozilla vrbrowser W System err:     at android os Handler dispatchMessage(Handler java:99)_x000D_
2019 05 01 17:48:38 924 13863 13863 org mozilla vrbrowser W System err:     at android os Looper loop(Looper java:193)_x000D_
2019 05 01 17:48:38 924 13863 13863 org mozilla vrbrowser W System err:     at android app ActivityThread main(ActivityThread java:6669)_x000D_
2019 05 01 17:48:38 924 13863 13863 org mozilla vrbrowser W System err:     at java lang reflect Method invoke(Native Method)_x000D_
2019 05 01 17:48:38 924 13863 13863 org mozilla vrbrowser W System err:     at com android internal os RuntimeInit MethodAndArgsCaller run(RuntimeInit java:493)_x000D_
2019 05 01 17:48:38 925 13863 13863 org mozilla vrbrowser W System err:     at com android internal os ZygoteInit main(ZygoteInit java:858)_x000D_
2019 05 01 17:48:38 925 13863 13863 org mozilla vrbrowser W System err: Caused by: android view InflateException: Binary XML file line  156: Binary XML file line  156: Error inflating class  unknown _x000D_
2019 05 01 17:48:38 925 13863 13863 org mozilla vrbrowser W System err: Caused by: android view InflateException: Binary XML file line  156: Error inflating class  unknown _x000D_
2019 05 01 17:48:38 926 13863 13863 org mozilla vrbrowser W System err: Caused by: java lang reflect InvocationTargetException_x000D_
2019 05 01 17:48:38 926 13863 13863 org mozilla vrbrowser W System err:     at java lang reflect Constructor newInstance0(Native Method)_x000D_
2019 05 01 17:48:38 926 13863 13863 org mozilla vrbrowser W System err:     at java lang reflect Constructor newInstance(Constructor java:343)_x000D_
2019 05 01 17:48:38 926 13863 13863 org mozilla vrbrowser W System err:     at android view LayoutInflater createView(LayoutInflater java:647)_x000D_
2019 05 01 17:48:38 926 13863 13863 org mozilla vrbrowser W System err:     at android view LayoutInflater createViewFromTag(LayoutInflater java:790)_x000D_
2019 05 01 17:48:38 926 13863 13863 org mozilla vrbrowser W System err:     at android view LayoutInflater createViewFromTag(LayoutInflater java:730)_x000D_
2019 05 01 17:48:38 927 13863 13863 org mozilla vrbrowser W System err:     at android view LayoutInflater rInflate(LayoutInflater java:863)_x000D_
2019 05 01 17:48:38 927 13863 13863 org mozilla vrbrowser W System err:     at android view LayoutInflater rInflateChildren(LayoutInflater java:824)_x000D_
2019 05 01 17:48:38 927 13863 13863 org mozilla vrbrowser W System err:     at android view LayoutInflater rInflate(LayoutInflater java:866)_x000D_
2019 05 01 17:48:38 927 13863 13863 org mozilla vrbrowser W System err:     at android view LayoutInflater rInflateChildren(LayoutInflater java:824)_x000D_
2019 05 01 17:48:38 927 13863 13863 org mozilla vrbrowser W System err:     at android view LayoutInflater rInflate(LayoutInflater java:866)_x000D_
2019 05 01 17:48:38 927 13863 13863 org mozilla vrbrowser W System err:     at android view LayoutInflater rInflateChildren(LayoutInflater java:824)_x000D_
2019 05 01 17:48:38 927 13863 13863 org mozilla vrbrowser W System err:     at android view LayoutInflater rInflate(LayoutInflater java:866)_x000D_
2019 05 01 17:48:38 927 13863 13863 org mozilla vrbrowser W System err:     at android view LayoutInflater rInflateChildren(LayoutInflater java:824)_x000D_
2019 05 01 17:48:38 927 13863 13863 org mozilla vrbrowser W System err:     at android view LayoutInflater rInflate(LayoutInflater java:866)_x000D_
2019 05 01 17:48:38 927 13863 13863 org mozilla vrbrowser W System err:     at android view LayoutInflater rInflateChildren(LayoutInflater java:824)_x000D_
2019 05 01 17:48:38 927 13863 13863 org mozilla vrbrowser W System err:     at android view LayoutInflater rInflate(LayoutInflater java:866)_x000D_
2019 05 01 17:48:38 927 13863 13863 org mozilla vrbrowser W System err:     at android view LayoutInflater inflate(LayoutInflater java:489)_x000D_
2019 05 01 17:48:38 927 13863 13863 org mozilla vrbrowser W System err:     at android view LayoutInflater inflate(LayoutInflater java:423)_x000D_
2019 05 01 17:48:38 927 13863 13863 org mozilla vrbrowser W System err:     at android view LayoutInflater inflate(LayoutInflater java:374)_x000D_
2019 05 01 17:48:38 928 13863 13863 org mozilla vrbrowser W System err:     at android view View inflate(View java:24354)_x000D_
2019 05 01 17:48:38 928 13863 13863 org mozilla vrbrowser W System err:     at org mozilla vrbrowser ui widgets dialogs SettingsWidget initialize(SettingsWidget java:88)_x000D_
2019 05 01 17:48:38 928 13863 13863 org mozilla vrbrowser W System err:     at org mozilla vrbrowser ui widgets dialogs SettingsWidget  init (SettingsWidget java:74)_x000D_
2019 05 01 17:48:38 928 13863 13863 org mozilla vrbrowser W System err:     at java lang reflect Constructor newInstance0(Native Method)_x000D_
2019 05 01 17:48:38 928 13863 13863 org mozilla vrbrowser W System err:     at java lang reflect Constructor newInstance(Constructor java:343)_x000D_
2019 05 01 17:48:38 928 13863 13863 org mozilla vrbrowser W System err:     at org mozilla vrbrowser ui widgets UIWidget createChild(UIWidget java:327)_x000D_
2019 05 01 17:48:38 928 13863 13863 org mozilla vrbrowser W System err:     at org mozilla vrbrowser ui widgets TrayWidget toggleSettingsDialog(TrayWidget java:256)_x000D_
2019 05 01 17:48:38 928 13863 13863 org mozilla vrbrowser W System err:     at org mozilla vrbrowser ui widgets TrayWidget lambda initialize 2 TrayWidget(TrayWidget java:98)_x000D_
2019 05 01 17:48:38 928 13863 13863 org mozilla vrbrowser W System err:     at org mozilla vrbrowser ui widgets    Lambda TrayWidget oeFfPBLGEkHqwi7PK MSpEegiyA onClick(Unknown Source:2)_x000D_
2019 05 01 17:48:38 929 13863 13863 org mozilla vrbrowser W System err:     at android view View performClick(View java:6597)_x000D_
2019 05 01 17:48:38 929 13863 13863 org mozilla vrbrowser W System err:     at android view View performClickInternal(View java:6574)_x000D_
2019 05 01 17:48:38 929 13863 13863 org mozilla vrbrowser W System err:     at android view View access 3100(View java:778)_x000D_
2019 05 01 17:48:38 929 13863 13863 org mozilla vrbrowser W System err:     at android view View PerformClick run(View java:25885)_x000D_
2019 05 01 17:48:38 929 13863 13863 org mozilla vrbrowser W System err:     at android os Handler handleCallback(Handler java:873)_x000D_
2019 05 01 17:48:38 933 13863 13863 org mozilla vrbrowser W System err:     at android os Handler dispatchMessage(Handler java:99)_x000D_
2019 05 01 17:48:38 933 13863 13863 org mozilla vrbrowser W System err:     at android os Looper loop(Looper java:193)_x000D_
2019 05 01 17:48:38 933 13863 13863 org mozilla vrbrowser W System err:     at android app ActivityThread main(ActivityThread java:6669)_x000D_
2019 05 01 17:48:38 933 13863 13863 org mozilla vrbrowser W System err:     at java lang reflect Method invoke(Native Method)_x000D_
2019 05 01 17:48:38 933 13863 13863 org mozilla vrbrowser W System err:     at com android internal os RuntimeInit MethodAndArgsCaller run(RuntimeInit java:493)_x000D_
2019 05 01 17:48:38 934 13863 13863 org mozilla vrbrowser W System err:     at com android internal os ZygoteInit main(ZygoteInit java:858)_x000D_
2019 05 01 17:48:38 935 13863 13863 org mozilla vrbrowser W System err: Caused by: android content res Resources NotFoundException: Drawable org mozilla vrbrowser:drawable ic settings controlleroptions with resource ID  0x7f0700aa_x000D_
2019 05 01 17:48:38 936 13863 13863 org mozilla vrbrowser W System err: Caused by: android content res Resources NotFoundException: File res drawable ic settings controlleroptions xml from drawable resource ID  0x7f0700aa_x000D_
2019 05 01 17:48:38 936 13863 13863 org mozilla vrbrowser W System err:     at android content res ResourcesImpl loadDrawableForCookie(ResourcesImpl java:847)_x000D_
2019 05 01 17:48:38 936 13863 13863 org mozilla vrbrowser W System err:     at android content res ResourcesImpl loadDrawable(ResourcesImpl java:631)_x000D_
2019 05 01 17:48:38 936 13863 13863 org mozilla vrbrowser W System err:     at android content res Resources loadDrawable(Resources java:897)_x000D_
2019 05 01 17:48:38 936 13863 13863 org mozilla vrbrowser W System err:     at android content res TypedArray getDrawableForDensity(TypedArray java:955)_x000D_
2019 05 01 17:48:38 936 13863 13863 org mozilla vrbrowser W System err:     at android content res TypedArray getDrawable(TypedArray java:930)_x000D_
2019 05 01 17:48:38 936 13863 13863 org mozilla vrbrowser W System err:     at org mozilla vrbrowser ui views HoneycombButton  init (HoneycombButton java:37)_x000D_
2019 05 01 17:48:38 937 13863 13863 org mozilla vrbrowser W System err:     at org mozilla vrbrowser ui views HoneycombButton  init (HoneycombButton java:29)_x000D_
2019 05 01 17:48:38 937 13863 13863 org mozilla vrbrowser W System err:     at java lang reflect Constructor newInstance0(Native Method)_x000D_
2019 05 01 17:48:38 937 13863 13863 org mozilla vrbrowser W System err:     at java lang reflect Constructor newInstance(Constructor java:343)_x000D_
2019 05 01 17:48:38 937 13863 13863 org mozilla vrbrowser W System err:     at android view LayoutInflater createView(LayoutInflater java:647)_x000D_
2019 05 01 17:48:38 937 13863 13863 org mozilla vrbrowser W System err:     at android view LayoutInflater createViewFromTag(LayoutInflater java:790)_x000D_
2019 05 01 17:48:38 939 13863 13863 org mozilla vrbrowser W System err:     at android view LayoutInflater createViewFromTag(LayoutInflater java:730)_x000D_
2019 05 01 17:48:38 939 13863 13863 org mozilla vrbrowser W System err:     at android view LayoutInflater rInflate(LayoutInflater java:863)_x000D_
2019 05 01 17:48:38 939 13863 13863 org mozilla vrbrowser W System err:     at android view LayoutInflater rInflateChildren(LayoutInflater java:824)_x000D_
2019 05 01 17:48:38 939 13863 13863 org mozilla vrbrowser W System err:     at android view LayoutInflater rInflate(LayoutInflater java:866)_x000D_
2019 05 01 17:48:38 939 13863 13863 org mozilla vrbrowser W System err:     at android view LayoutInflater rInflateChildren(LayoutInflater java:824)_x000D_
2019 05 01 17:48:38 940 13863 13863 org mozilla vrbrowser W System err:     at android view LayoutInflater rInflate(LayoutInflater java:866)_x000D_
2019 05 01 17:48:38 940 13863 13863 org mozilla vrbrowser W System err:     at android view LayoutInflater rInflateChildren(LayoutInflater java:824)_x000D_
2019 05 01 17:48:38 940 13863 13863 org mozilla vrbrowser W System err:     at android view LayoutInflater rInflate(LayoutInflater java:866)_x000D_
2019 05 01 17:48:38 940 13863 13863 org mozilla vrbrowser W System err:     at android view LayoutInflater rInflateChildren(LayoutInflater java:824)_x000D_
2019 05 01 17:48:38 940 13863 13863 org mozilla vrbrowser W System err:     at android view LayoutInflater rInflate(LayoutInflater java:866)_x000D_
2019 05 01 17:48:38 941 13863 13863 org mozilla vrbrowser W System err:     at android view LayoutInflater rInflateChildren(LayoutInflater java:824)_x000D_
2019 05 01 17:48:38 941 13863 13863 org mozilla vrbrowser W System err:     at android view LayoutInflater rInflate(LayoutInflater java:866)_x000D_
2019 05 01 17:48:38 941 13863 13863 org mozilla vrbrowser W System err:     at android view LayoutInflater inflate(LayoutInflater java:489)_x000D_
2019 05 01 17:48:38 941 13863 13863 org mozilla vrbrowser W System err:     at android view LayoutInflater inflate(LayoutInflater java:423)_x000D_
2019 05 01 17:48:38 941 13863 13863 org mozilla vrbrowser W System err:     at android view LayoutInflater inflate(LayoutInflater java:374)_x000D_
2019 05 01 17:48:38 941 13863 13863 org mozilla vrbrowser W System err:     at android view View inflate(View java:24354)_x000D_
2019 05 01 17:48:38 941 13863 13863 org mozilla vrbrowser W System err:     at org mozilla vrbrowser ui widgets dialogs SettingsWidget initialize(SettingsWidget java:88)_x000D_
2019 05 01 17:48:38 942 13863 13863 org mozilla vrbrowser W System err:     at org mozilla vrbrowser ui widgets dialogs SettingsWidget  init (SettingsWidget java:74)_x000D_
2019 05 01 17:48:38 942 13863 13863 org mozilla vrbrowser W System err:     at java lang reflect Constructor newInstance0(Native Method)_x000D_
2019 05 01 17:48:38 942 13863 13863 org mozilla vrbrowser W System err:     at java lang reflect Constructor newInstance(Constructor java:343)_x000D_
2019 05 01 17:48:38 942 13863 13863 org mozilla vrbrowser W System err:     at org mozilla vrbrowser ui widgets UIWidget createChild(UIWidget java:327)_x000D_
2019 05 01 17:48:38 942 13863 13863 org mozilla vrbrowser W System err:     at org mozilla vrbrowser ui widgets TrayWidget toggleSettingsDialog(TrayWidget java:256)_x000D_
2019 05 01 17:48:38 942 13863 13863 org mozilla vrbrowser W System err:     at org mozilla vrbrowser ui widgets TrayWidget lambda initialize 2 TrayWidget(TrayWidget java:98)_x000D_
2019 05 01 17:48:38 942 13863 13863 org mozilla vrbrowser W System err:     at org mozilla vrbrowser ui widgets    Lambda TrayWidget oeFfPBLGEkHqwi7PK MSpEegiyA onClick(Unknown Source:2)_x000D_
2019 05 01 17:48:38 942 13863 13863 org mozilla vrbrowser W System err:     at android view View performClick(View java:6597)_x000D_
2019 05 01 17:48:38 942 13863 13863 org mozilla vrbrowser W System err:     at android view View performClickInternal(View java:6574)_x000D_
2019 05 01 17:48:38 942 13863 13863 org mozilla vrbrowser W System err:     at android view View access 3100(View java:778)_x000D_
2019 05 01 17:48:38 942 13863 13863 org mozilla vrbrowser W System err:     at android view View PerformClick run(View java:25885)_x000D_
2019 05 01 17:48:38 942 13863 13863 org mozilla vrbrowser W System err:     at android os Handler handleCallback(Handler java:873)_x000D_
2019 05 01 17:48:38 942 13863 13863 org mozilla vrbrowser W System err:     at android os Handler dispatchMessage(Handler java:99)_x000D_
2019 05 01 17:48:38 942 13863 13863 org mozilla vrbrowser W System err:     at android os Looper loop(Looper java:193)_x000D_
2019 05 01 17:48:38 943 13863 13863 org mozilla vrbrowser W System err:     at android app ActivityThread main(ActivityThread java:6669)_x000D_
2019 05 01 17:48:38 943 13863 13863 org mozilla vrbrowser W System err:     at java lang reflect Method invoke(Native Method)_x000D_
2019 05 01 17:48:38 943 13863 13863 org mozilla vrbrowser W System err:     at com android internal os RuntimeInit MethodAndArgsCaller run(RuntimeInit java:493)_x000D_
2019 05 01 17:48:38 943 13863 13863 org mozilla vrbrowser W System err:     at com android internal os ZygoteInit main(ZygoteInit java:858)_x000D_
2019 05 01 17:48:38 943 13863 13863 org mozilla vrbrowser W System err: Caused by: java lang IllegalArgumentException: c needs to be followed by a multiple of 6 floats  However  7 float(s) are found  Failure occurred at position 102 of path: M198 3 40 5c 0 2 10 8  3 8 20  11 3 27 6c 3 9 4  7 9 7 9  11 8 11 8c 35 6 35 6  71 2 71 3  106 9 106 9c 6 5 6 5  14 4 10  3  23 6 11 2c 20 9 2 2  39 9  12 5  42 7  33 2c 1 7  12 1 1 7  22 7 9 6  31 8c0 3  0 4 0 6  0 7 1  1C51 9 92 8 91 53 6 130 2 14 5c1 9  1 9 3 8  3 7 5 9  5 2c22 7  16 6 54 9  4 8 61 2 23c0 3 1 4 0 5 2 8 0 7 4 2C198 2 37 9 198 3 39 3 198 3 40 5zM159 5 6 9c 18 9 0  34 2 15 2  34 3 34 1c0 18 6 14 9 33 6 33 6 33 7c18 9 0 1 34 3  15 3 34 3  34 2C193 2 21 9 178  2 7 159 5 6 9zM84 128 3c7 0 12 6  5 5 12 6  12 4c0  6 9  5 6  12 6  12 5  12 6c 6 9 0  12 5 5 6  12 5 12 5C71 6 122 8 77 1 128 3 84 128 3zM113 3 99c7 1 0 12 6  5 5 12 6  12 4c0  6  9  5 6  12 6  12 5  12 6c 6 9 0  12 5 5 6  12 5 12 5C101 93 4 106 5 99 113 3 99z_x000D_
2019 05 01 17:48:38 943 13863 13863 org mozilla vrbrowser W System err:     at android util PathParser nCreatePathDataFromString(Native Method)_x000D_
2019 05 01 17:48:38 943 13863 13863 org mozilla vrbrowser W System err:     at android util PathParser access 200(PathParser java:24)_x000D_
2019 05 01 17:48:38 944 13863 13863 org mozilla vrbrowser W System err:     at android util PathParser PathData  init (PathParser java:76)_x000D_
2019 05 01 17:48:38 944 13863 13863 org mozilla vrbrowser W System err:     at android graphics drawable VectorDrawable VFullPath updateStateFromTypedArray(VectorDrawable java:2016)_x000D_
2019 05 01 17:48:38 944 13863 13863 org mozilla vrbrowser W System err:     at android graphics drawable VectorDrawable VFullPath inflate(VectorDrawable java:1967)_x000D_
2019 05 01 17:48:38 944 13863 13863 org mozilla vrbrowser W System err:     at android graphics drawable VectorDrawable inflateChildElements(VectorDrawable java:819)_x000D_
2019 05 01 17:48:38 944 13863 13863 org mozilla vrbrowser W System err:     at android graphics drawable VectorDrawable inflate(VectorDrawable java:717)_x000D_
2019 05 01 17:48:38 944 13863 13863 org mozilla vrbrowser W System err:     at android graphics drawable DrawableInflater inflateFromXmlForDensity(DrawableInflater java:142)_x000D_
2019 05 01 17:48:38 945 13863 13863 org mozilla vrbrowser W System err:     at android graphics drawable Drawable createFromXmlInnerForDensity(Drawable java:1332)_x000D_
2019 05 01 17:48:38 945 13863 13863 org mozilla vrbrowser W System err:     at android graphics drawable Drawable createFromXmlForDensity(Drawable java:1291)_x000D_
2019 05 01 17:48:38 945 13863 13863 org mozilla vrbrowser W System err:     at android content res ResourcesImpl loadDrawableForCookie(ResourcesImpl java:833)_x000D_
2019 05 01 17:48:38 945 13863 13863 org mozilla vrbrowser W System err: 	    45 more_x000D_
2019 05 01 17:48:38 945 13863 13863 org mozilla vrbrowser E VRB: Failed to create settings widget_x000D_
   _x000D_
      DO NOT REMOVE THIS LINE     _x000D_
_x000D_
  details _x000D_
</t>
  </si>
  <si>
    <t>deltachat-deltachat-android-887</t>
  </si>
  <si>
    <t>crash after tapping at location icon in chat view in Android 4.1.2</t>
  </si>
  <si>
    <t xml:space="preserve">v0 200 0_x000D_
compiled from github sources_x000D_
Samsung S3 mini_x000D_
Android 4 1 2_x000D_
_x000D_
Not shure if this issue is still existing in current version but I want to inform about _x000D_
_x000D_
See log excerpt:_x000D_
 logcat dc crash after enable locat streaming txt (https:  github com deltachat deltachat android files 3136140 logcat dc crash after enable locat streaming txt)_x000D_
</t>
  </si>
  <si>
    <t>OmarAflak-Arduino-Library-10</t>
  </si>
  <si>
    <t>Phone crashes</t>
  </si>
  <si>
    <t xml:space="preserve">My Smartphone (Samsung Galaxy S10 ) crashes after around a minute using your sample Code _x000D_
It simply stops working and shutsdown and restarts _x000D_
_x000D_
Before it shutsdown the code works really fine  Everything works as expected _x000D_
_x000D_
I dont have any Logs  as i cannot connect my PC with Android Studio and the Arduino (Wemos D1 mini in my Case) at the same time  _x000D_
_x000D_
Any ideas _x000D_
</t>
  </si>
  <si>
    <t>Meisterschueler-ogn-viewer-android-20</t>
  </si>
  <si>
    <t>Bad APRS filter handling</t>
  </si>
  <si>
    <t xml:space="preserve">A APRS filter with empty lat  lon or range crashes the app  Since the filter is saved  it is impossible to start the app again </t>
  </si>
  <si>
    <t>ExploiTR-YouP3-7</t>
  </si>
  <si>
    <t xml:space="preserve">[ Bug found in Youp3  version (1.3.0) ]  the application is crash when i  try to download any video </t>
  </si>
  <si>
    <t xml:space="preserve">  Project Information_x000D_
  Repository:  https:  github com ExploiTR YouP3_x000D_
  Project Name: YouP3_x000D_
_x000D_
  Expected behavior_x000D_
I was expecting the application  should not be crash during  a downloading  any video _x000D_
_x000D_
  Actual behavior_x000D_
when I try to download any video from youp3  the application is crash _x000D_
_x000D_
  How to reproduce_x000D_
1  Download the latest application (https:  github com ExploiTR YouP3 releases)_x000D_
2 install and open the application_x000D_
3  search any video _x000D_
4  during a watching click on up down arrow_x000D_
5  click on Fetch Downloadable File(s) Details_x000D_
6  see the error _x000D_
 _x000D_
  Browser App version :  Youp3  version (1 3 0)_x000D_
  Operating system       : 6 0 1_x000D_
  Smartphone                : Galaxy j7 _x000D_
 _x000D_
  Recording Of The Bug_x000D_
_x000D_
  20190501 134353 (https:  user images githubusercontent com 50115498 57011037 99323300 6bb4 11e9 93ef dd7239f7f3b5 gif)_x000D_
_x000D_
  My Github Account_x000D_
https:  github com facebook 786_x000D_
_x000D_
  Logcat_x000D_
_x000D_
 pre  code D AndroidRuntime(19886): Shutting down VM_x000D_
_x000D_
E AndroidRuntime(19886): FATAL EXCEPTION: main_x000D_
_x000D_
E AndroidRuntime(19886): Process: app exploitr nsg youp3  PID: 19886_x000D_
_x000D_
E AndroidRuntime(19886): java lang NullPointerException: Attempt to invoke virtual method  void f f b(int)  on a null object reference_x000D_
_x000D_
E AndroidRuntime(19886): 	at downloader utils c 1 1 d(BasicDownloader java:227)_x000D_
_x000D_
E AndroidRuntime(19886): 	at com github hiteshsondhi88 libffmpeg f a(FFmpegExecuteAsyncTask java:72)_x000D_
_x000D_
E AndroidRuntime(19886): 	at com github hiteshsondhi88 libffmpeg f onPostExecute(FFmpegExecuteAsyncTask java:10)_x000D_
_x000D_
E AndroidRuntime(19886): 	at android os AsyncTask finish(AsyncTask java:636)_x000D_
_x000D_
E AndroidRuntime(19886): 	at android os AsyncTask access 500(AsyncTask java:177)_x000D_
_x000D_
E AndroidRuntime(19886): 	at android os AsyncTask InternalHandler handleMessage(AsyncTask java:653)_x000D_
_x000D_
E AndroidRuntime(19886): 	at android os Handler dispatchMessage(Handler java:102)_x000D_
_x000D_
E AndroidRuntime(19886): 	at android os Looper loop(Looper java:135)_x000D_
_x000D_
E AndroidRuntime(19886): 	at android app ActivityThread main(ActivityThread java:5910)_x000D_
_x000D_
E AndroidRuntime(19886): 	at java lang reflect Method invoke(Native Method)_x000D_
_x000D_
E AndroidRuntime(19886): 	at java lang reflect Method invoke(Method java:372)_x000D_
_x000D_
E AndroidRuntime(19886): 	at com android internal os ZygoteInit MethodAndArgsCaller run(ZygoteInit java:1405)_x000D_
_x000D_
E AndroidRuntime(19886): 	at com android internal os ZygoteInit main(ZygoteInit java:1200)_x000D_
  code   pre _x000D_
_x000D_
_x000D_
</t>
  </si>
  <si>
    <t>Diaga-Memories-21</t>
  </si>
  <si>
    <t>App crashes when no internet access</t>
  </si>
  <si>
    <t xml:space="preserve">Handle this crash </t>
  </si>
  <si>
    <t>miguelpruivo-flutter_file_picker-76</t>
  </si>
  <si>
    <t>column '_data' does not exist when picking from Dropbox</t>
  </si>
  <si>
    <t>When picking from Dropbox on Android there is a deterministic crash with    MainActivity : java lang IllegalArgumentException: column   data  does not exist_x000D_
_x000D_
I guess this is the same issue as it was for image picker: _x000D_
 https:  github com flutter plugins pull 772 (https:  github com flutter plugins pull 772) _x000D_
Fix:_x000D_
 https:  github com flutter plugins pull 772 commits 8e380534f1f0b7f25219b23288d1c2dd274e92cf (https:  github com flutter plugins pull 772 commits 8e380534f1f0b7f25219b23288d1c2dd274e92cf)</t>
  </si>
  <si>
    <t>osmdroid-osmdroid-1331</t>
  </si>
  <si>
    <t>n must be positive\ Out of memory</t>
  </si>
  <si>
    <t xml:space="preserve">   Issue Type_x000D_
_x000D_
 x   Question_x000D_
 x   Bug_x000D_
_x000D_
_x000D_
   Description and or steps code to reproduce the problem_x000D_
When scrolling outside the offline tiles and Internet is turned on I receive the  java lang IllegalArgumentException: n must be positive  exception and the app crashes _x000D_
_x000D_
 If I don t scroll to the edge of the offline tiles  just scrolling and zooming a bit  I receive the  E art: Out of memory: Heap Size 192MB  Allocated 191MB  Capacity 192MB  problem after about 10 Seconds _x000D_
The offline tiles are displayed correctly until the out of memory problem occurs  then the tiles aren t displayed any more _x000D_
The tiles are inside the assets Folder  assets MAPNIK ZoomLevel Number number png and have a resolution of 256x256 _x000D_
_x000D_
As help for the implementation I used: https:  github com osmdroid osmdroid wiki Offline Map Tiles_x000D_
_x000D_
Did I miss anything essential inside my implementation in order to use offline tiles _x000D_
_x000D_
  MapClass:  _x000D_
The permissions are obtained inside a previous activity_x000D_
 _x000D_
MapView map   null _x000D_
     Override_x000D_
    protected void onCreate(Bundle savedInstanceState)  _x000D_
        super onCreate(savedInstanceState) _x000D_
_x000D_
        Toolbar toolbar   findViewById(R id toolbar) _x000D_
        setSupportActionBar(toolbar) _x000D_
        setContentView(R layout maplayout) _x000D_
          load initialize the osmdroid configuration  this can be done_x000D_
        Context ctx   getApplicationContext() _x000D_
        Configuration getInstance() load(ctx  PreferenceManager getDefaultSharedPreferences(ctx)) _x000D_
_x000D_
_x000D_
        map   findViewById(R id map) _x000D_
        map setUseDataConnection(false) _x000D_
        map setTileSource(new XYTileSource(_x000D_
                 MAPNIK  _x000D_
                17 _x000D_
                19 _x000D_
                265 _x000D_
                  png   new String    _x000D_
        )) _x000D_
_x000D_
        map setBuiltInZoomControls(true) _x000D_
        map setMultiTouchControls(true) _x000D_
        final IMapController mapController   map getController() _x000D_
        mapController setZoom(18) _x000D_
        GeoPoint startPoint   new GeoPoint(startPointsLa  startPointLo) _x000D_
        mapController setCenter(startPoint) _x000D_
           Method where markes are created and placed  More markers evoke_x000D_
          the out of memmory problem faster _x000D_
        makeMarker() _x000D_
        map setScrollableAreaLimitDouble(new BoundingBox(boundingNorth  boundingEast  boundingSouth  boundingWest)) _x000D_
        map setMinZoomLevel(17 0) _x000D_
        map setMaxZoomLevel(19 0) _x000D_
_x000D_
        map getTileProvider() getTileCache() setAutoEnsureCapacity(false) _x000D_
        map getTileProvider() getTileCache() setStressedMemory(true) _x000D_
        map getTileProvider() clearTileCache() _x000D_
        map invalidate() _x000D_
      _x000D_
_x000D_
  Dependencies:  _x000D_
 implementation  org osmdroid:osmdroid android:6 1 0 _x000D_
    implementation  org osmdroid:osmdroid wms:6 1 0 _x000D_
    implementation  org osmdroid:osmdroid mapsforge:6 1 0 _x000D_
    implementation  org osmdroid:osmdroid geopackage:6 1 0 _x000D_
    implementation group:  org osmdroid   name:  osmdroid packager   version:  4 2  _x000D_
_x000D_
  Exceptions:  _x000D_
 java lang IllegalArgumentException: n must be positive_x000D_
        at java util Random nextInt(Random java:391)_x000D_
        at org osmdroid tileprovider tilesource OnlineTileSourceBase getBaseUrl(OnlineTileSourceBase java:67)_x000D_
        at org osmdroid tileprovider tilesource XYTileSource getTileURLString(XYTileSource java:42)_x000D_
        at org osmdroid tileprovider modules MapTileDownloader TileLoader loadTile(MapTileDownloader java:223)_x000D_
        at org osmdroid tileprovider MapTilePreCache search(MapTilePreCache java:125)_x000D_
        at org osmdroid tileprovider MapTilePreCache access 100(MapTilePreCache java:30)_x000D_
        at org osmdroid tileprovider MapTilePreCache 1 run(MapTilePreCache java:41)_x000D_
        at org osmdroid util GarbageCollector 1 run(GarbageCollector java:31)_x000D_
        at java lang Thread run(Thread java:761)_x000D_
Application terminated  _x000D_
_x000D_
 E art: Out of memory: Heap Size 192MB  Allocated 191MB  Capacity 192MB_x000D_
W art: Throwing OutOfMemoryError  Failed to allocate a 262156 byte allocation with 141288 free bytes and 137KB until OOM _x000D_
I art: WaitForGcToComplete blocked for 728 452ms for cause Alloc_x000D_
    Starting a blocking GC Alloc_x000D_
E OsmDroid: OutOfMemoryError loading bitmap_x000D_
I art: WaitForGcToComplete blocked for 69 592ms for cause Alloc_x000D_
    Starting a blocking GC Alloc_x000D_
I art: Waiting for a blocking GC Alloc_x000D_
I art: Clamp target GC heap from 207MB to 192MB_x000D_
    Alloc concurrent mark sweep GC freed 71(5KB) AllocSpace objects  0(0B) LOS objects  0  free  191MB 192MB  paused 799us total 32 826ms _x000D_
_x000D_
   Environment_x000D_
_x000D_
    If it s a bug  version(s) of android this affects:_x000D_
_x000D_
Android 7 0_x000D_
_x000D_
    Version of osmdroid the issue relates to:_x000D_
_x000D_
6 1 0_x000D_
_x000D_
</t>
  </si>
  <si>
    <t>nextcloud-android-3939</t>
  </si>
  <si>
    <t>Application hang Systematically in Android For Work Container</t>
  </si>
  <si>
    <t xml:space="preserve">    Actual behaviour_x000D_
  The application hang at start (When we launch the application on the mobile  it stop immediately with a popup  nextcloud stop systematically  and propose (Application Information  Close Application  Send comments) _x000D_
    Expected behaviour_x000D_
  It should launch the application correctly_x000D_
_x000D_
I don t know how to give you an application crash report_x000D_
 _x000D_
    Steps to reproduce_x000D_
1  Configure Android for Work_x000D_
2  Install Nextcloud android app and configure it_x000D_
3  Launch it one time  The next time it will hang _x000D_
_x000D_
    Environment data_x000D_
Android One version: 9 (2019 March 05)_x000D_
_x000D_
Device model: MI A2 LITE (M1805D1SG)_x000D_
_x000D_
Stock or customized system: Stock_x000D_
_x000D_
Nextcloud app version: 3 6 0_x000D_
_x000D_
Nextcloud server version: 15 0 7_x000D_
_x000D_
    Logs_x000D_
     Web server error log_x000D_
Nothing_x000D_
Insert your webserver log here_x000D_
Nothing_x000D_
_x000D_
     Nextcloud log (data nextcloud log)_x000D_
Nothing</t>
  </si>
  <si>
    <t>renyuneyun-Easer-216</t>
  </si>
  <si>
    <t>Aquiring Cell Towers crashes app</t>
  </si>
  <si>
    <t xml:space="preserve">Hi _x000D_
_x000D_
working with a HomTom S8 and Nougat _x000D_
When I try to create a condition that uses Cell Towers the app often crashes when it tries to read the active cell id s  Note: It does not crash always _x000D_
_x000D_
Olaf_x000D_
</t>
  </si>
  <si>
    <t>0x5ECF4ULT-PanicTrigger-22</t>
  </si>
  <si>
    <t>[BUG-] the application  crashes when i double click on home screen</t>
  </si>
  <si>
    <t xml:space="preserve">    Expected behavior_x000D_
_x000D_
I expected that the application should not be crash when i click on the trigger home screen_x000D_
_x000D_
    Actual behavior_x000D_
_x000D_
After configure the application when i click on the trigher home screen the application is crash you can see in bug video properly_x000D_
_x000D_
    How to reproduce_x000D_
_x000D_
  Download and open the application_x000D_
_x000D_
  click on home screen doubel cilick_x000D_
_x000D_
  Note the Bug_x000D_
_x000D_
    Information_x000D_
Browser App version: 0 4 2_x000D_
_x000D_
Operating system: 6 0 1_x000D_
    Recording Of The Bug_x000D_
_x000D_
https:  youtu be Y zqlhtlmrM</t>
  </si>
  <si>
    <t>gsantner-markor-550</t>
  </si>
  <si>
    <t>Crash on file move (v1.7.7)</t>
  </si>
  <si>
    <t xml:space="preserve">     General information_x000D_
_x000D_
    App version:   1 7 5 (67)_x000D_
    System:   Moto g6_x000D_
_x000D_
     Description_x000D_
There is a crash on attempted file move within the Markor Documents folders  This is a regular crash (every time) with different files and folders and on two phones  No problem moving files using an independent file manager   Crash is immediately on selecting  select this folder _x000D_
_x000D_
Greatest note markdown manager for Android by the way _x000D_
_x000D_
  crash (https:  user images githubusercontent com 25100168 56865160 9ec82700 69c2 11e9 94e7 af4219cda3c5 jpg)_x000D_
_x000D_
     Log_x000D_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android contribution guide  packageid net gsantner markor project markor web https:  github com gsantner markor logcat_x000D_
   _x000D_
</t>
  </si>
  <si>
    <t>subchannel13-EnchantedFortress-62</t>
  </si>
  <si>
    <t>Game crash on screen rotate</t>
  </si>
  <si>
    <t>The game crashes if the screen rotates on the report page</t>
  </si>
  <si>
    <t>0x5ECF4ULT-PanicTrigger-21</t>
  </si>
  <si>
    <t>[BUG]  the application is crash when i click on trigger number</t>
  </si>
  <si>
    <t xml:space="preserve">     Project Information_x000D_
  Repository    :  https:  github com tacticalDevC PanicTrigger_x000D_
_x000D_
  Project Name  : PanicTrigger_x000D_
  Publisher     :  tacticalDevC_x000D_
_x000D_
     Expected behavior_x000D_
I expected that  the application should not be crash when i click on the trigger number option_x000D_
_x000D_
     Actual behavior_x000D_
_x000D_
After configure the application when i click on the trigher number option the application is crash you can see in bug video properly_x000D_
_x000D_
     How to reproduce_x000D_
   Download  (https:  f droid org packages at tacticaldevc panictrigger )and open the application _x000D_
_x000D_
  click on    configure  _x000D_
  and then click on   trigger number  _x000D_
  Note the Bug_x000D_
  Browser App version:   0 4 4_x000D_
  Operating system:  8 0 0 _x000D_
_x000D_
     Recording Of The Bug_x000D_
  final 5cc6befb64533c0013870cd3 36521 (https:  user images githubusercontent com 49812927 56886413 d74c1d00 6a23 11e9 8575 7cdde149b4d7 gif)_x000D_
_x000D_
     GitHub Account_x000D_
https:  github com XAMIR555_x000D_
_x000D_
     Logcat_x000D_
 pre  code 04 27 22:08:09 236 27239 27239 E AndroidRuntime: Process: at tacticaldevc panictrigger  PID: 27239_x000D_
04 27 22:08:09 236 27239 27239 E AndroidRuntime: java lang RuntimeException: Unable to start activity ComponentInfo at tacticaldevc panictrigger at tacticaldevc panictrigger ContactPickerActivity : java lang ArrayIndexOutOfBoundsException: length 0  index 0_x000D_
04 27 22:08:09 236 27239 27239 E AndroidRuntime: 	at android app ActivityThread performLaunchActivity(ActivityThread java:3303)_x000D_
04 27 22:08:09 236 27239 27239 E AndroidRuntime: 	at android app ActivityThread handleLaunchActivity(ActivityThread java:3411)_x000D_
04 27 22:08:09 236 27239 27239 E AndroidRuntime: 	at android app ActivityThread handleRelaunchActivity(ActivityThread java:5477)_x000D_
04 27 22:08:09 236 27239 27239 E AndroidRuntime: 	at android app ActivityThread  wrap19(Unknown Source:0)_x000D_
04 27 22:08:09 236 27239 27239 E AndroidRuntime: 	at android app ActivityThread H handleMessage(ActivityThread java:2000)_x000D_
04 27 22:08:09 236 27239 27239 E AndroidRuntime: 	at android os Handler dispatchMessage(Handler java:108)_x000D_
04 27 22:08:09 236 27239 27239 E AndroidRuntime: 	at android os Looper loop(Looper java:166)_x000D_
04 27 22:08:09 236 27239 27239 E AndroidRuntime: 	at android app ActivityThread main(ActivityThread java:7529)_x000D_
04 27 22:08:09 236 27239 27239 E AndroidRuntime: 	at java lang reflect Method invoke(Native Method)_x000D_
04 27 22:08:09 236 27239 27239 E AndroidRuntime: 	at com android internal os Zygote MethodAndArgsCaller run(Zygote java:245)_x000D_
04 27 22:08:09 236 27239 27239 E AndroidRuntime: 	at com android internal os ZygoteInit main(ZygoteInit java:921)_x000D_
04 27 22:08:09 236 27239 27239 E AndroidRuntime: Caused by: java lang ArrayIndexOutOfBoundsException: length 0  index 0_x000D_
04 27 22:08:09 236 27239 27239 E AndroidRuntime: 	at at tacticaldevc panictrigger ContactPickerActivity onCreate(ContactPickerActivity java:90)_x000D_
04 27 22:08:09 236 27239 27239 E AndroidRuntime: 	at android app Activity performCreate(Activity java:7383)_x000D_
04 27 22:08:09 236 27239 27239 E AndroidRuntime: 	at android app Instrumentation callActivityOnCreate(Instrumentation java:1218)_x000D_
04 27 22:08:09 236 27239 27239 E AndroidRuntime: 	at android app ActivityThread performLaunchActivity(ActivityThread java:3256)_x000D_
04 27 22:08:09 236 27239 27239 E AndroidRuntime: 	    10 more_x000D_
04 27 22:15:10 999 27688 27688 E AndroidRuntime: FATAL EXCEPTION: main_x000D_
04 27 22:15:10 999 27688 27688 E AndroidRuntime: Process: at tacticaldevc panictrigger  PID: 27688_x000D_
04 27 22:15:10 999 27688 27688 E AndroidRuntime: java lang RuntimeException: Unable to start activity ComponentInfo at tacticaldevc panictrigger at tacticaldevc panictrigger ContactPickerActivity : java lang ArrayIndexOutOfBoundsException: length 0  index 0_x000D_
04 27 22:15:10 999 27688 27688 E AndroidRuntime: 	at android app ActivityThread performLaunchActivity(ActivityThread java:3303)_x000D_
04 27 22:15:10 999 27688 27688 E AndroidRuntime: 	at android app ActivityThread handleLaunchActivity(ActivityThread java:3411)_x000D_
04 27 22:15:10 999 27688 27688 E AndroidRuntime: 	at android app ActivityThread  wrap12(Unknown Source:0)_x000D_
04 27 22:15:10 999 27688 27688 E AndroidRuntime: 	at android app ActivityThread H handleMessage(ActivityThread java:1994)_x000D_
04 27 22:15:10 999 27688 27688 E AndroidRuntime: 	at android os Handler dispatchMessage(Handler java:108)_x000D_
04 27 22:15:10 999 27688 27688 E AndroidRuntime: 	at android os Looper loop(Looper java:166)_x000D_
04 27 22:15:10 999 27688 27688 E AndroidRuntime: 	at android app ActivityThread main(ActivityThread java:7529)_x000D_
04 27 22:15:10 999 27688 27688 E AndroidRuntime: 	at java lang reflect Method invoke(Native Method)_x000D_
04 27 22:15:10 999 27688 27688 E AndroidRuntime: 	at com android internal os Zygote MethodAndArgsCaller run(Zygote java:245)_x000D_
04 27 22:15:10 999 27688 27688 E AndroidRuntime: 	at com android internal os ZygoteInit main(ZygoteInit java:921)_x000D_
04 27 22:15:10 999 27688 27688 E AndroidRuntime: Caused by: java lang ArrayIndexOutOfBoundsException: length 0  index 0_x000D_
04 27 22:15:10 999 27688 27688 E AndroidRuntime: 	at at tacticaldevc panictrigger ContactPickerActivity onCreate(ContactPickerActivity java:90)_x000D_
04 27 22:15:10 999 27688 27688 E AndroidRuntime: 	at android app Activity performCreate(Activity java:7383)_x000D_
04 27 22:15:10 999 27688 27688 E AndroidRuntime: 	at android app Instrumentation callActivityOnCreate(Instrumentation java:1218)_x000D_
04 27 22:15:10 999 27688 27688 E AndroidRuntime: 	at android app ActivityThread performLaunchActivity(ActivityThread java:3256)_x000D_
04 27 22:15:10 999 27688 27688 E AndroidRuntime: 	    9 more_x000D_
  code   pre _x000D_
</t>
  </si>
  <si>
    <t>sreichholf-dreamDroid-128</t>
  </si>
  <si>
    <t>Querying current playback info causes app crash</t>
  </si>
  <si>
    <t>As per the title  querying the information about the current station recording (via navigation drawer     Aktuelle Sendung     touch current playback) causes an app crash:
04 26 19:44:41 581 I MainActivity(12208): Fragment CurrentServiceFragment not added  adding
04 26 19:44:41 684 E SimpleHttpClient(12208): 
04 26 19:44:42 424 D AndroidRuntime(12208): Shutting down VM
04 26 19:44:42 425 E AndroidRuntime(12208): FATAL EXCEPTION: main
04 26 19:44:42 425 E AndroidRuntime(12208): Process: net reichholf dreamdroid  PID: 12208
04 26 19:44:42 425 E AndroidRuntime(12208): java lang NullPointerException: Attempt to invoke virtual method  java lang String net reichholf dreamdroid helpers ExtendedHashMap getString(java lang String)  on a null object reference
04 26 19:44:42 425 E AndroidRuntime(12208): 	at net reichholf dreamdroid fragment dialogs EpgDetailBottomSheet onCreateDialog(EpgDetailBottomSheet java:72)
04 26 19:44:42 425 E AndroidRuntime(12208): 	at androidx fragment app DialogFragment onGetLayoutInflater(DialogFragment java:330)
04 26 19:44:42 425 E AndroidRuntime(12208): 	at androidx fragment app Fragment performGetLayoutInflater(Fragment java:1308)
04 26 19:44:42 425 E AndroidRuntime(12208): 	at androidx fragment app FragmentManagerImpl moveToState(FragmentManager java:1460)
04 26 19:44:42 425 E AndroidRuntime(12208): 	at androidx fragment app FragmentManagerImpl moveFragmentToExpectedState(FragmentManager java:1784)
04 26 19:44:42 425 E AndroidRuntime(12208): 	at androidx fragment app FragmentManagerImpl moveToState(FragmentManager java:1852)
04 26 19:44:42 425 E AndroidRuntime(12208): 	at androidx fragment app BackStackRecord executeOps(BackStackRecord java:802)
04 26 19:44:42 425 E AndroidRuntime(12208): 	at androidx fragment app FragmentManagerImpl executeOps(FragmentManager java:2625)
04 26 19:44:42 425 E AndroidRuntime(12208): 	at androidx fragment app FragmentManagerImpl executeOpsTogether(FragmentManager java:2411)
04 26 19:44:42 425 E AndroidRuntime(12208): 	at androidx fragment app FragmentManagerImpl removeRedundantOperationsAndExecute(FragmentManager java:2366)
04 26 19:44:42 425 E AndroidRuntime(12208): 	at androidx fragment app FragmentManagerImpl execPendingActions(FragmentManager java:2273)
04 26 19:44:42 425 E AndroidRuntime(12208): 	at androidx fragment app FragmentManagerImpl 1 run(FragmentManager java:733)
04 26 19:44:42 425 E AndroidRuntime(12208): 	at android os Handler handleCallback(Handler java:873)
04 26 19:44:42 425 E AndroidRuntime(12208): 	at android os Handler dispatchMessage(Handler java:99)
04 26 19:44:42 425 E AndroidRuntime(12208): 	at android os Looper loop(Looper java:193)
04 26 19:44:42 425 E AndroidRuntime(12208): 	at android app ActivityThread main(ActivityThread java:6718)
04 26 19:44:42 425 E AndroidRuntime(12208): 	at java lang reflect Method invoke(Native Method)
04 26 19:44:42 425 E AndroidRuntime(12208): 	at com android internal os RuntimeInit MethodAndArgsCaller run(RuntimeInit java:493)
04 26 19:44:42 425 E AndroidRuntime(12208): 	at com android internal os ZygoteInit main(ZygoteInit java:858)
04 26 19:44:42 429 W ActivityManager(1152):   Force finishing activity net reichholf dreamdroid  activities MainActivity
This is with latest release 1 4 434  in previous releases touching the playback didn t do anything  which wasn t exactly better either   )</t>
  </si>
  <si>
    <t>zamojski-TowerCollector-56</t>
  </si>
  <si>
    <t>[BUG] The application suddenly crashes when I click on the upload button.</t>
  </si>
  <si>
    <t xml:space="preserve">Hi  zamojski_x000D_
_x000D_
  Expected behavior  _x000D_
_x000D_
The Tower Collector users need to be able to Upload something on the Tower Collector application  _x000D_
_x000D_
  Actual behavior  _x000D_
_x000D_
When I click on the  upload  button  the Tower Collector application gave an error and suddenly crashes  _x000D_
_x000D_
  How to reproduce  _x000D_
_x000D_
1  Open the Tower Collector app _x000D_
2  Then click on the Upload button _x000D_
3  And you will see that the application crashes suddenly _x000D_
_x000D_
  App version: 2 0 2_x000D_
  Operating system: Android 7 0_x000D_
_x000D_
  Recording Of The Bug  _x000D_
  HappyAnchoredCockatoo small (https:  user images githubusercontent com 34961616 56819098 b92ec300 6851 11e9 90df d91b65059a65 gif)_x000D_
_x000D_
_x000D_
  Logcat Report  _x000D_
_x000D_
 E PackageManagerCompat( 3926): Could not set installer package name for info zamojski soft towercollector_x000D_
E SQLiteLog( 4700): (14) os unix c:32460: (2) open( data user 0 info zamojski soft towercollector databases measurements db)   _x000D_
E SQLiteDatabase( 4700): Failed to open database   data user 0 info zamojski soft towercollector databases measurements db  _x000D_
E SQLiteDatabase( 4700): 	at info zamojski soft towercollector c f a(MeasurementsDatabase java:695)_x000D_
E SQLiteDatabase( 4700): 	at info zamojski soft towercollector SplashActivity d(SplashActivity java:138)_x000D_
E SQLiteDatabase( 4700): 	at info zamojski soft towercollector SplashActivity a(SplashActivity java:25)_x000D_
E SQLiteDatabase( 4700): 	at info zamojski soft towercollector SplashActivity 1 run(SplashActivity java:95)_x000D_
E f       ( 4700): 	at info zamojski soft towercollector c f a(MeasurementsDatabase java:695)_x000D_
E f       ( 4700): 	at info zamojski soft towercollector SplashActivity d(SplashActivity java:138)_x000D_
E f       ( 4700): 	at info zamojski soft towercollector SplashActivity a(SplashActivity java:25)_x000D_
E f       ( 4700): 	at info zamojski soft towercollector SplashActivity 1 run(SplashActivity java:95)_x000D_
F DEBUG   ( 4727): pid: 4700  tid: 4716  name: RenderThread      info zamojski soft towercollector    _x000D_
E RecentsTaskLoader( 2194): Unexpected null component name or activity info: ComponentInfo info zamojski soft towercollector info zamojski soft towercollector SplashActivity   null_x000D_
E RecentsTaskLoader( 2194): Unexpected null component name or activity info: ComponentInfo info zamojski soft towercollector info zamojski soft towercollector SplashActivity   null_x000D_
E RecentsTaskLoader( 2194): Unexpected null component name or activity info: ComponentInfo info zamojski soft towercollector info zamojski soft towercollector SplashActivity   null_x000D_
E PackageManagerCompat( 3926): Could not set installer package name for info zamojski soft towercollector_x000D_
E SQLiteLog( 5074): (14) os unix c:32460: (2) open( data user 0 info zamojski soft towercollector databases measurements db)   _x000D_
E SQLiteDatabase( 5074): Failed to open database   data user 0 info zamojski soft towercollector databases measurements db  _x000D_
E SQLiteDatabase( 5074): 	at info zamojski soft towercollector c f a(MeasurementsDatabase java:695)_x000D_
E SQLiteDatabase( 5074): 	at info zamojski soft towercollector SplashActivity d(SplashActivity java:138)_x000D_
E SQLiteDatabase( 5074): 	at info zamojski soft towercollector SplashActivity a(SplashActivity java:25)_x000D_
E SQLiteDatabase( 5074): 	at info zamojski soft towercollector SplashActivity 1 run(SplashActivity java:95)_x000D_
E f       ( 5074): 	at info zamojski soft towercollector c f a(MeasurementsDatabase java:695)_x000D_
E f       ( 5074): 	at info zamojski soft towercollector SplashActivity d(SplashActivity java:138)_x000D_
E f       ( 5074): 	at info zamojski soft towercollector SplashActivity a(SplashActivity java:25)_x000D_
E f       ( 5074): 	at info zamojski soft towercollector SplashActivity 1 run(SplashActivity java:95)_x000D_
E InputDispatcher( 2101): channel  58e7e2e info zamojski soft towercollector info zamojski soft towercollector MainActivity (server)    Channel is unrecoverably broken and will be disposed _x000D_
E RecentsTaskLoader( 2194): Unexpected null component name or activity info: ComponentInfo info zamojski soft towercollector info zamojski soft towercollector SplashActivity   null_x000D_
E RecentsTaskLoader( 2194): Unexpected null component name or activity info: ComponentInfo info zamojski soft towercollector info zamojski soft towercollector SplashActivity   null_x000D_
E RecentsTaskLoader( 2194): Unexpected null component name or activity info: ComponentInfo info zamojski soft towercollector info zamojski soft towercollector SplashActivity   null_x000D_
E PackageManagerCompat( 3926): Could not set installer package name for info zamojski soft towercollector_x000D_
E SQLiteLog( 5186): (14) os unix c:32460: (2) open( data user 0 info zamojski soft towercollector databases measurements db)   _x000D_
E SQLiteDatabase( 5186): Failed to open database   data user 0 info zamojski soft towercollector databases measurements db  _x000D_
E SQLiteDatabase( 5186): 	at info zamojski soft towercollector c f a(MeasurementsDatabase java:695)_x000D_
E SQLiteDatabase( 5186): 	at info zamojski soft towercollector SplashActivity d(SplashActivity java:138)_x000D_
E SQLiteDatabase( 5186): 	at info zamojski soft towercollector SplashActivity a(SplashActivity java:25)_x000D_
E SQLiteDatabase( 5186): 	at info zamojski soft towercollector SplashActivity 1 run(SplashActivity java:95)_x000D_
E f       ( 5186): 	at info zamojski soft towercollector c f a(MeasurementsDatabase java:695)_x000D_
E f       ( 5186): 	at info zamojski soft towercollector SplashActivity d(SplashActivity java:138)_x000D_
E f       ( 5186): 	at info zamojski soft towercollector SplashActivity a(SplashActivity java:25)_x000D_
E f       ( 5186): 	at info zamojski soft towercollector SplashActivity 1 run(SplashActivity java:95)_x000D_
F DEBUG   ( 5211): pid: 5186  tid: 5202  name: RenderThread      info zamojski soft towercollector    _x000D_
E InputDispatcher( 2101): channel  e5a57ba info zamojski soft towercollector info zamojski soft towercollector MainActivity (server)    Channel is unrecoverably broken and will be disposed _x000D_
 _x000D_
</t>
  </si>
  <si>
    <t>barbeau-gpstest-287</t>
  </si>
  <si>
    <t>Android 4.x - AppCrash since v3.3.0 due to MotionLayout</t>
  </si>
  <si>
    <t xml:space="preserve">  Summary:   _x000D_
_x000D_
app since version 3 3 0 crashes on appstart_x000D_
_x000D_
  Steps to reproduce:   _x000D_
_x000D_
open drawer  tap gpstest icon  toast appears: gpstest died_x000D_
_x000D_
  Expected behavior:   _x000D_
_x000D_
to work like version 3 2 10_x000D_
_x000D_
  Observed behavior:   _x000D_
_x000D_
it crashes   _x000D_
_x000D_
  Device and Android version:   _x000D_
_x000D_
samsung galaxy note 3 _x000D_
android 4 4 2 stock_x000D_
f droid installation_x000D_
_x000D_
  LogFile attached  _x000D_
 gpstest txt (https:  github com barbeau gpstest files 3121389 gpstest txt)_x000D_
_x000D_
   _x000D_
 04 26 14:25:09 726 23591:23591 E AndroidRuntime _x000D_
FATAL EXCEPTION: main_x000D_
Process: com android gpstest osmdroid  PID: 23591_x000D_
java lang RuntimeException: Unable to start activity ComponentInfo com android gpstest osmdroid com android gpstest GpsTestActivity : android view InflateException: Binary XML file line  2: Error inflating class androidx constraintlayout motion widget MotionLayout_x000D_
	at android app ActivityThread performLaunchActivity(ActivityThread java:2292)_x000D_
	at android app ActivityThread handleLaunchActivity(ActivityThread java:2350)_x000D_
	at android app ActivityThread access 800(ActivityThread java:163)_x000D_
	at android app ActivityThread H handleMessage(ActivityThread java:1257)_x000D_
	at android os Handler dispatchMessage(Handler java:102)_x000D_
	at android os Looper loop(Looper java:157)_x000D_
	at android app ActivityThread main(ActivityThread java:5335)_x000D_
	at java lang reflect Method invokeNative(Native Method)_x000D_
	at java lang reflect Method invoke(Method java:515)_x000D_
	at com android internal os ZygoteInit MethodAndArgsCaller run(ZygoteInit java:1265)_x000D_
	at com android internal os ZygoteInit main(ZygoteInit java:1081)_x000D_
	at de robv android xposed XposedBridge main(XposedBridge java:132)_x000D_
	at dalvik system NativeStart main(Native Method)_x000D_
Caused by: android view InflateException: Binary XML file line  2: Error inflating class androidx constraintlayout motion widget MotionLayout_x000D_
	at android view LayoutInflater createView(LayoutInflater java:626)_x000D_
	at android view LayoutInflater createViewFromTag(LayoutInflater java:702)_x000D_
	at android view LayoutInflater parseInclude(LayoutInflater java:827)_x000D_
	at de robv android xposed XposedBridge invokeOriginalMethodNative(Native Method)_x000D_
	at de robv android xposed XposedBridge handleHookedMethod(XposedBridge java:631)_x000D_
	at android view LayoutInflater parseInclude(Native Method)_x000D_
	at android view LayoutInflater rInflate(LayoutInflater java:751)_x000D_
	at android view LayoutInflater rInflate(LayoutInflater java:769)_x000D_
	at android view LayoutInflater rInflate(LayoutInflater java:769)_x000D_
	at android view LayoutInflater parseInclude(LayoutInflater java:855)_x000D_
	at de robv android xposed XposedBridge invokeOriginalMethodNative(Native Method)_x000D_
	at de robv android xposed XposedBridge handleHookedMethod(XposedBridge java:631)_x000D_
	at android view LayoutInflater parseInclude(Native Method)_x000D_
	at android view LayoutInflater rInflate(LayoutInflater java:751)_x000D_
	at android view LayoutInflater parseInclude(LayoutInflater java:855)_x000D_
	at de robv android xposed XposedBridge invokeOriginalMethodNative(Native Method)_x000D_
	at de robv android xposed XposedBridge handleHookedMethod(XposedBridge java:631)_x000D_
	at android view LayoutInflater parseInclude(Native Method)_x000D_
	at android view LayoutInflater rInflate(LayoutInflater java:751)_x000D_
	at android view LayoutInflater rInflate(LayoutInflater java:769)_x000D_
	at android view LayoutInflater inflate(LayoutInflater java:498)_x000D_
	at de robv android xposed XposedBridge invokeOriginalMethodNative(Native Method)_x000D_
	at de robv android xposed XposedBridge handleHookedMethod(XposedBridge java:631)_x000D_
	at android view LayoutInflater inflate(Native Method)_x000D_
	at android view LayoutInflater inflate(LayoutInflater java:398)_x000D_
	at android view LayoutInflater inflate(LayoutInflater java:354)_x000D_
	at androidx appcompat app AppCompatDelegateImpl setContentView(AppCompatDelegateImpl java:469)_x000D_
	at androidx appcompat app AppCompatActivity setContentView(AppCompatActivity java:140)_x000D_
	at com android gpstest GpsTestActivity onCreate(GpsTestActivity java:247)_x000D_
	at android app Activity performCreate(Activity java:5389)_x000D_
	at android app Instrumentation callActivityOnCreate(Instrumentation java:1105)_x000D_
	at android app ActivityThread performLaunchActivity(ActivityThread java:2256)_x000D_
	    12 more_x000D_
Caused by: java lang reflect InvocationTargetException_x000D_
	at java lang reflect Constructor constructNative(Native Method)_x000D_
	at java lang reflect Constructor newInstance(Constructor java:423)_x000D_
	at android view LayoutInflater createView(LayoutInflater java:600)_x000D_
	    43 more_x000D_
Caused by: java lang UnsupportedOperationException: Can t convert to dimension: type 0x1d_x000D_
	at android content res TypedArray getDimension(TypedArra_x000D_
_x000D_
 04 26 14:25:09 736 887:1296 W ActivityManager _x000D_
  Force finishing activity com android gpstest osmdroid com android gpstest GpsTestActivity_x000D_
   </t>
  </si>
  <si>
    <t>jonathonbauer-watched-84</t>
  </si>
  <si>
    <t>Search Page Landscape Mode Crash</t>
  </si>
  <si>
    <t xml:space="preserve">If the search field is selected on the search page when the device is in landscape mode the application crashes </t>
  </si>
  <si>
    <t>0x5ECF4ULT-PanicTrigger-20</t>
  </si>
  <si>
    <t>[BUG] When clicking on "Notify numbers" option the application crashes immediately..</t>
  </si>
  <si>
    <t xml:space="preserve">  Describe the bug  _x000D_
Click on the  CONFIGURE  button and then click on the  Notify numbers  option  you will see the application crashes _x000D_
_x000D_
  To Reproduce  _x000D_
Steps to reproduce the behavior:_x000D_
1  Open the app _x000D_
2  Click on  configure  _x000D_
3  Click on  Notify numbers  _x000D_
4  See error _x000D_
_x000D_
  Expected behavior  _x000D_
The  Notify numbers  option should ensure that the application does not crash and is functioning properly _x000D_
_x000D_
  Smartphone (please complete the following information):  _x000D_
   Device: Samsung Galaxy S6 Edge_x000D_
   OS: Android 7 0_x000D_
   Application version v0 4 4_x000D_
_x000D_
  Record Of The Bug  _x000D_
https:  thumbs gfycat com LinearDetailedCarpenterant webp_x000D_
</t>
  </si>
  <si>
    <t>MozillaReality-FirefoxReality-1127</t>
  </si>
  <si>
    <t>Java exceptions appear to be uncaught by crash reporter</t>
  </si>
  <si>
    <t xml:space="preserve">   Hardware_x000D_
Oculus Go_x000D_
master (d688580)_x000D_
_x000D_
   Steps to Reproduce_x000D_
      For bugs  please provide a link to a live web site  test page  or a rough set of    _x000D_
      steps to reproduce this bug  If relevant  include code to reproduce     _x000D_
      Feel free to attach images and GIFs of screen captures     _x000D_
1  From Android Studio  install a 64 bit Oculus build   run FxR on the Oculus Go _x000D_
2  Put the headset on  and refresh the browser page  navigate to an HTTPS site  etc _x000D_
3  From Android Studio  change the Build Variant to 32 bit Oculus   run FxR on the Oculus Go _x000D_
4  Put the headset on  and refresh the browser page  navigate to an HTTPS site  etc _x000D_
5  Notice a crash occurs when navigating to an HTTPS site _x000D_
6  Notice FxR reloads without a crash prompt  and the logs don t seem to catch it _x000D_
_x000D_
   Context_x000D_
The HTTPS issue is a GeckoView bug: https:  bugzilla mozilla org show bug cgi id 1546361_x000D_
_x000D_
But it s suspicious that we see this without a crash:_x000D_
_x000D_
   _x000D_
04 24 17:01:45 540 12406 12406 I art     : Rejecting re init on previously failed class java lang Class androidx core view ViewCompat OnUnhandledKeyEventListenerWrapper : java lang NoClassDefFoundError: Failed resolution of: Landroid view View OnUnhandledKeyEventListener   with out a crash _x000D_
   _x000D_
_x000D_
   Error Logs and Stack Traces_x000D_
See my     logcat    (https:  github com MozillaReality FirefoxReality files 3114626 fxr full logs crash 32 txt) _x000D_
_x000D_
CC  bluemarvin  MortimerGoro</t>
  </si>
  <si>
    <t>OpenArchive-Save-app-android-101</t>
  </si>
  <si>
    <t>Prompt to connect to space when the user doesn't have one setup</t>
  </si>
  <si>
    <t>otherwise it crashes</t>
  </si>
  <si>
    <t>MozillaReality-FirefoxReality-1123</t>
  </si>
  <si>
    <t>Crash from `NotoSansCJK-Regular.ttc@0x92a1f3` on Samsung Galaxy S7</t>
  </si>
  <si>
    <t xml:space="preserve">   Hardware_x000D_
Samsung Galaxy S7_x000D_
_x000D_
   Steps to Reproduce_x000D_
1  Load a web page that uses  Noto Sans CJK (https:  en wikipedia org wiki Noto fonts CJK) _x000D_
2  See if FxR crashes _x000D_
_x000D_
   Error Logs and Stack Traces_x000D_
   Submitted crash report  (https:  crash stats mozilla com report index 98c82288 3373 4525 887d 9fb950190415)  </t>
  </si>
  <si>
    <t>InsightIM-Tok-Android-1</t>
  </si>
  <si>
    <t>App crashes when importing profile</t>
  </si>
  <si>
    <t xml:space="preserve">As title says  App crashes and it s impossible to import profile </t>
  </si>
  <si>
    <t>LawnchairLauncher-lawnchair-1528</t>
  </si>
  <si>
    <t>Launcher crashes on swipe up (Google Messages)</t>
  </si>
  <si>
    <t xml:space="preserve">   Description_x000D_
When I set the swipe up gesture for Google Messages to new conversation  the launcher crashes _x000D_
_x000D_
_x000D_
   Expected Behavior_x000D_
It should launch Google Messages into the new conversation screen_x000D_
_x000D_
_x000D_
   Actual Behaviour_x000D_
The launcher crashes_x000D_
_x000D_
   Steps to Reproduce_x000D_
1  Add Google Messages to the home screen_x000D_
2  Go into the swipe gesture option on that icon_x000D_
3  Select Messages  new conversation  _x000D_
4  Try swipe up on the icon_x000D_
_x000D_
_x000D_
   Environment_x000D_
      Include as many relevant details about the environment you experienced the bug    _x000D_
_x000D_
  Device: Samsung Galaxy J8_x000D_
  Android version: Android Oreo 8 0 0_x000D_
  Launcher version: 2 0   2027 ci alpha_x000D_
  Rom: Samsung Experience 9 0_x000D_
</t>
  </si>
  <si>
    <t>terl-lazysodium-android-19</t>
  </si>
  <si>
    <t>Fatal signal 11 (SIGSEGV) when calling crypto_sign_detached</t>
  </si>
  <si>
    <t xml:space="preserve">Hey _x000D_
_x000D_
I believe this is related to  16   I m getting the same crash  but when calling crypto sign detached with version 3 6 0  I think its another case of int vs long _x000D_
_x000D_
This only crashes on Android  with lazysodium java it works _x000D_
_x000D_
               beginning of crash_x000D_
2019 04 23 19:10:10 048 8870 8886 net aholbrook paseto test test A libc: Fatal signal 11 (SIGSEGV)  code 1 (SEGV MAPERR)  fault addr 0x0 in tid 8886 (roidJUnitRunner)  pid 8870 (aseto test test)_x000D_
2019 04 23 19:10:10 080 8893 8893   I crash dump32: obtaining output fd from tombstoned  type: kDebuggerdTombstone_x000D_
2019 04 23 19:10:10 080 1804 1804   I  system bin tombstoned: received crash request for pid 8886_x000D_
2019 04 23 19:10:10 080 8893 8893   I crash dump32: performing dump of process 8870 (target tid   8886)_x000D_
2019 04 23 19:10:10 084 8893 8893   A DEBUG:                                                                _x000D_
2019 04 23 19:10:10 084 8893 8893   A DEBUG: Build fingerprint:  google sdk gphone x86 generic x86:9 PSR1 180720 075 5124027:userdebug dev keys _x000D_
2019 04 23 19:10:10 084 8893 8893   A DEBUG: Revision:  0 _x000D_
2019 04 23 19:10:10 084 8893 8893   A DEBUG: ABI:  x86 _x000D_
2019 04 23 19:10:10 084 8893 8893   A DEBUG: pid: 8870  tid: 8886  name: roidJUnitRunner      net aholbrook paseto test test    _x000D_
2019 04 23 19:10:10 084 8893 8893   A DEBUG: signal 11 (SIGSEGV)  code 1 (SEGV MAPERR)  fault addr 0x0_x000D_
2019 04 23 19:10:10 084 8893 8893   A DEBUG: Cause: null pointer dereference_x000D_
2019 04 23 19:10:10 084 8893 8893   A DEBUG:     eax 00000080  ebx 00000000  ecx d63fa768  edx 00000000_x000D_
2019 04 23 19:10:10 084 8893 8893   A DEBUG:     edi 00000000  esi 00000000_x000D_
2019 04 23 19:10:10 084 8893 8893   A DEBUG:     ebp d63fa748  esp d63fa450  eip d6089caf_x000D_
2019 04 23 19:10:10 102 8893 8893   A DEBUG: backtrace:_x000D_
2019 04 23 19:10:10 102 8893 8893   A DEBUG:      00 pc 0001ecaf   data app net aholbrook paseto test test 8GHTnXkkNBjfNhT8oyPhYw   lib x86 libsodium so (crypto hash sha512 update 164)_x000D_
2019 04 23 19:10:10 301 1804 1804   E  system bin tombstoned: Tombstone written to:  data tombstones tombstone 15_x000D_
2019 04 23 19:10:10 358 1948 3697 system process I ActivityManager: Process net aholbrook paseto test test (pid 8870) has died: fore FGS  </t>
  </si>
  <si>
    <t>commons-app-apps-android-commons-2917</t>
  </si>
  <si>
    <t>App adds space at end of filename sometimes</t>
  </si>
  <si>
    <t xml:space="preserve">From a user on our FB page:_x000D_
_x000D_
  2  very often the app will add a space at the end of the filename  since i m a commons admin i m able to quickly move and replace  but the app should probably make the check and remove any spaces appearing right before the extension  abc  jpg     abc jpg _x000D_
_x000D_
This is probably v2 10 2 since both beta and prod Play Store versions are on it  and she mentioned she recently reinstalled the app  Hopefully she ll submit a crash report for a crash that she mentioned  then we can get her Android version etc without having to ask her to find and repeat everything </t>
  </si>
  <si>
    <t>mathisdt-sdbviewer-7</t>
  </si>
  <si>
    <t>SDB Viewer crashed when I tried to access the Settings section.</t>
  </si>
  <si>
    <t xml:space="preserve">Expected behavior_x000D_
_x000D_
The users should be able to access Settings section on the SDB Viewer Application _x000D_
_x000D_
Actual behavior_x000D_
_x000D_
When I tried to click on settings in SDB Viewer  the application gave an error and crashed immediately _x000D_
_x000D_
How to reproduce_x000D_
_x000D_
  Open the SDB Viewer app _x000D_
  Then click on the Settings _x000D_
  And you will see that the application crashes immediately _x000D_
_x000D_
  App version: 1 3_x000D_
  Operating system: Android 5 1 1_x000D_
_x000D_
Recording Of The Bug_x000D_
_x000D_
https:  youtu be XrhcCcT4x3w_x000D_
</t>
  </si>
  <si>
    <t>Animagia-Animagia-Android-56</t>
  </si>
  <si>
    <t>Files fragment crash</t>
  </si>
  <si>
    <t xml:space="preserve">To reproduce:_x000D_
  log in_x000D_
  open files fragment from menu_x000D_
  quickly open another fragment from menu (before files fragment has finished loading links)_x000D_
_x000D_
App will crash </t>
  </si>
  <si>
    <t>k9mail-k-9-4027</t>
  </si>
  <si>
    <t>Has crashed a few times while writing an email.</t>
  </si>
  <si>
    <t xml:space="preserve">Please search to check for an existing issue (including closed issues  for which the fix may not have yet been released) before opening a new issue: https:  github com k9mail k 9 issues q is 3Aissue
I don t see any crashes while writing an email issues open or closed 
    Expected behavior
Tell us what should happen
I should have been able do complete the email 
    Actual behavior
Tell us what happens instead
K9 crashed 
    Steps to reproduce
1  It happens intermittently 
2 
3 
    Environment
K 9 Mail version: 5 600
Android version: 4 4 2
Account type (IMAP  POP3  WebDAV Exchange): POP3
Please take some time to  retrieve logs (https:  github com k9mail k 9 wiki LoggingErrors) and attach them here:
java lang IllegalArgumentException: You cannot start a load for a destroyed activity
	at com bumptech glide manager RequestManagerRetriever assertNotDestroyed(RequestManagerRetriever java:134)
	at com bumptech glide manager RequestManagerRetriever get(RequestManagerRetriever java:125)
	at com bumptech glide manager RequestManagerRetriever get(RequestManagerRetriever java:89)
	at com bumptech glide Glide with(Glide java:620)
	at com fsck k9 activity misc ContactPictureLoader loadFallbackPicture(ContactPictureLoader java:128)
	at com fsck k9 activity misc ContactPictureLoader loadContactPicture(ContactPictureLoader java:171)
	at com fsck k9 activity misc ContactPictureLoader loadContactPicture(ContactPictureLoader java:122)
	at com fsck k9 activity compose RecipientAdapter setContactPhotoOrPlaceholder(RecipientAdapter java:156)
	at com fsck k9 view RecipientSelectView bindObjectView(RecipientSelectView java:131)
	at com fsck k9 view RecipientSelectView redrawAllTokens(RecipientSelectView java:292)
	at com fsck k9 view RecipientSelectView setShowCryptoEnabled(RecipientSelectView java:281)
	at com fsck k9 activity compose RecipientMvpView setRecipientTokensShowCryptoEnabled(RecipientMvpView java:154)
	at com fsck k9 activity compose RecipientPresenter redrawCachedCryptoStatusIcon(RecipientPresenter java:439)
	at com fsck k9 activity compose RecipientPresenter access 400(RecipientPresenter java:56)
	at com fsck k9 activity compose RecipientPresenter 1 onPostExecute(RecipientPresenter java:429)
	at com fsck k9 activity compose RecipientPresenter 1 onPostExecute(RecipientPresenter java:410)
	at android os AsyncTask finish(AsyncTask java:632)
	at android os AsyncTask access 600(AsyncTask java:177)
	at android os AsyncTask InternalHandler handleMessage(AsyncTask java:645)
	at android os Handler dispatchMessage(Handler java:102)
	at android os Looper loop(Looper java:146)
	at android app ActivityThread main(ActivityThread java:5602)
	at java lang reflect Method invokeNative(Native Method)
	at java lang reflect Method invoke(Method java:515)
	at com android internal os ZygoteInit MethodAndArgsCaller run(ZygoteInit java:1283)
	at com android internal os ZygoteInit main(ZygoteInit java:1099)
	at de robv android xposed XposedBridge main(XposedBridge java:132)
	at dalvik system NativeStart main(Native Method)
</t>
  </si>
  <si>
    <t>osmdroid-osmdroid-1322</t>
  </si>
  <si>
    <t>ItemizedOverlayWithFocus crash when very long description having no space</t>
  </si>
  <si>
    <t xml:space="preserve">   Issue Type_x000D_
_x000D_
 X   Bug_x000D_
_x000D_
   Description and or steps code to reproduce the problem_x000D_
Make a very long description without any space  It will try to break the string into several lines _x000D_
However  current code crashes in  draw()  method _x000D_
_x000D_
   java_x000D_
String description      _x000D_
for (int i   0  i   300  i  )_x000D_
    description     A  _x000D_
ArrayList OverlayItem  items   new ArrayList OverlayItem () _x000D_
items add(new OverlayItem( Title   description  new GeoPoint(0 0d 0 0d))) _x000D_
ItemizedOverlayWithFocus OverlayItem  mOverlay   new ItemizedOverlayWithFocus OverlayItem (items _x000D_
	new ItemizedIconOverlay OnItemGestureListener OverlayItem ()  _x000D_
	 Override_x000D_
	public boolean onItemSingleTapUp(final int index  final OverlayItem item)  _x000D_
	    return true _x000D_
	 _x000D_
	 Override_x000D_
	public boolean onItemLongPress(final int index  final OverlayItem item)  _x000D_
		return false _x000D_
	 _x000D_
 ) _x000D_
mOverlay setFocusItemsOnTap(true) _x000D_
mMapView getOverlays() add(mOverlay) _x000D_
   _x000D_
_x000D_
   Environment_x000D_
_x000D_
    If it s a bug  version(s) of android this affects:_x000D_
_x000D_
All_x000D_
_x000D_
    Version of osmdroid the issue relates to:_x000D_
_x000D_
6 0 2_x000D_
_x000D_
</t>
  </si>
  <si>
    <t>deltachat-deltachat-android-863</t>
  </si>
  <si>
    <t>Latest fdroid version crashes on android 4.4 when opening a chat</t>
  </si>
  <si>
    <t xml:space="preserve">latest deltachat android version (0 300 0) crashes when i try to open a chat _x000D_
Phone: android 4 4 4 (fairphone 1)_x000D_
_x000D_
This does not happen when i use the 0 201 0 gplay version from github </t>
  </si>
  <si>
    <t>ankidroid-Anki-Android-5287</t>
  </si>
  <si>
    <t>Deleting first item with multi-select causes Ankidroid to crash</t>
  </si>
  <si>
    <t xml:space="preserve">       Reproduction Steps_x000D_
Device: Moto E   Android 5 1_x000D_
_x000D_
1  Using the new multi select feature ( 4839)  select the first note in the card browser_x000D_
2  Delete the note_x000D_
_x000D_
       Expected Result_x000D_
_x000D_
The note deletes successfully_x000D_
_x000D_
       Actual Result_x000D_
_x000D_
Ankidroid crashes_x000D_
_x000D_
       Debug info_x000D_
_x000D_
Debugging on my device it appears to be a timing issue  If I break before the query in Card load then the delete is successful  My suspicion is the UI is attempting to update the card after it s been deleted  but before the UI has been notified it s deleted _x000D_
_x000D_
Stack trace_x000D_
_x000D_
  04 21 16:15:02 547 21477 21542 com ichi2 anki E AndroidRuntime: FATAL EXCEPTION: AsyncTask  5_x000D_
    Process: com ichi2 anki  PID: 21477_x000D_
    java lang RuntimeException: An error occured while executing doInBackground()_x000D_
        at android os AsyncTask 3 done(AsyncTask java:304)_x000D_
        at java util concurrent FutureTask finishCompletion(FutureTask java:355)_x000D_
        at java util concurrent FutureTask setException(FutureTask java:222)_x000D_
        at java util concurrent FutureTask run(FutureTask java:242)_x000D_
        at android os AsyncTask SerialExecutor 1 run(AsyncTask java:231)_x000D_
        at java util concurrent ThreadPoolExecutor runWorker(ThreadPoolExecutor java:1112)_x000D_
        at java util concurrent ThreadPoolExecutor Worker run(ThreadPoolExecutor java:587)_x000D_
        at java lang Thread run(Thread java:818)_x000D_
     Caused by: java lang RuntimeException:  No card with id 1555877685688_x000D_
        at com ichi2 libanki Card load(Card java:148)_x000D_
        at com ichi2 libanki Card  init (Card java:123)_x000D_
        at com ichi2 libanki Collection getCard(Collection java:518)_x000D_
        at com ichi2 async DeckTask doInBackgroundRenderBrowserQA(DeckTask java:883)_x000D_
        at com ichi2 async DeckTask doInBackground(DeckTask java:314)_x000D_
        at com ichi2 async DeckTask doInBackground(DeckTask java:70)_x000D_
        at android os AsyncTask 2 call(AsyncTask java:292)_x000D_
        at java util concurrent FutureTask run(FutureTask java:237)_x000D_
        at android os AsyncTask SerialExecutor 1 run(AsyncTask java:231) _x000D_
        at java util concurrent ThreadPoolExecutor runWorker(ThreadPoolExecutor java:1112) _x000D_
        at java util concurrent ThreadPoolExecutor Worker run(ThreadPoolExecutor java:587) _x000D_
        at java lang Thread run(Thread java:818) _x000D_
04 21 16:15:02 661 21477 21541 com ichi2 anki E DeckTask: previously running task failed with exception: 37_x000D_
    java util concurrent ExecutionException: java lang RuntimeException:  No card with id 1555877685688_x000D_
        at java util concurrent FutureTask report(FutureTask java:93)_x000D_
        at java util concurrent FutureTask get(FutureTask java:163)_x000D_
        at android os AsyncTask get(AsyncTask java:487)_x000D_
        at com ichi2 async DeckTask doInBackground(DeckTask java:216)_x000D_
        at com ichi2 async DeckTask doInBackground(DeckTask java:70)_x000D_
        at android os AsyncTask 2 call(AsyncTask java:292)_x000D_
        at java util concurrent FutureTask run(FutureTask java:237)_x000D_
        at android os AsyncTask SerialExecutor 1 run(AsyncTask java:231)_x000D_
        at java util concurrent ThreadPoolExecutor runWorker(ThreadPoolExecutor java:1112)_x000D_
        at java util concurrent ThreadPoolExecutor Worker run(ThreadPoolExecutor java:587)_x000D_
        at java lang Thread run(Thread java:818)_x000D_
     Caused by: java lang RuntimeException:  No card with id 1555877685688_x000D_
        at com ichi2 libanki Card load(Card java:148)_x000D_
        at com ichi2 libanki Card  init (Card java:123)_x000D_
        at com ichi2 libanki Collection getCard(Collection java:518)_x000D_
        at com ichi2 async DeckTask doInBackgroundRenderBrowserQA(DeckTask java:883)_x000D_
        at com ichi2 async DeckTask doInBackground(DeckTask java:314)_x000D_
        at com ichi2 async DeckTask doInBackground(DeckTask java:70) _x000D_
        at android os AsyncTask 2 call(AsyncTask java:292) _x000D_
        at java util concurrent FutureTask run(FutureTask java:237) _x000D_
        at android os AsyncTask SerialExecutor 1 run(AsyncTask java:231) _x000D_
        at java util concurrent ThreadPoolExecutor runWorker(ThreadPoolExecutor java:1112) _x000D_
        at java util concurrent ThreadPoolExecutor Worker run(ThreadPoolExecutor java:587) _x000D_
        at java lang Thread run(Thread java:818) _x000D_
_x000D_
       Research_x000D_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t>
  </si>
  <si>
    <t>square-okhttp-4969</t>
  </si>
  <si>
    <t>App crash at start up on Android 8.0</t>
  </si>
  <si>
    <t xml:space="preserve">Android Studio: 3 3 2_x000D_
Device OS: 26_x000D_
Kotlin version: 1 3 30_x000D_
Gradle wrapper: 4 10 1_x000D_
Steps to reproduce:_x000D_
1  Create a new project using Android Studio  set the minimal sdk level to 26  and check  Use AndroidX artifact _x000D_
2  Without changing anything  add this line to the app s dependency_x000D_
     implementation  com squareup okhttp3:logging interceptor:3 14 1  _x000D_
3  Run the app on Android 8 0 (SDK 26)_x000D_
_x000D_
The app will crash when starting up  with this stacktrace_x000D_
   _x000D_
java lang RuntimeException: Unable to instantiate activity ComponentInfo peike testokhttp peike testokhttp MainActivity : java lang ClassNotFoundException: Didn t find class  peike testokhttp MainActivity  on path: DexPathList  zip file   data app peike testokhttp 8XiJCpXfzD7iFbbBYv9HJw   base apk   nativeLibraryDirectories   data app peike testokhttp 8XiJCpXfzD7iFbbBYv9HJw   lib x86   system lib   vendor lib  _x000D_
        at android app ActivityThread performLaunchActivity(ActivityThread java:2718)_x000D_
        at android app ActivityThread handleLaunchActivity(ActivityThread java:2892)_x000D_
        at android app ActivityThread  wrap11(Unknown Source:0)_x000D_
        at android app ActivityThread H handleMessage(ActivityThread java:1593)_x000D_
        at android os Handler dispatchMessage(Handler java:105)_x000D_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Caused by: java lang ClassNotFoundException: Didn t find class  peike testokhttp MainActivity  on path: DexPathList  zip file   data app peike testokhttp 8XiJCpXfzD7iFbbBYv9HJw   base apk   nativeLibraryDirectories   data app peike testokhttp 8XiJCpXfzD7iFbbBYv9HJw   lib x86   system lib   vendor lib  _x000D_
        at dalvik system BaseDexClassLoader findClass(BaseDexClassLoader java:93)_x000D_
        at java lang ClassLoader loadClass(ClassLoader java:379)_x000D_
        at java lang ClassLoader loadClass(ClassLoader java:312)_x000D_
        at android app Instrumentation newActivity(Instrumentation java:1173)_x000D_
        at android app ActivityThread performLaunchActivity(ActivityThread java:2708)_x000D_
        at android app ActivityThread handleLaunchActivity(ActivityThread java:2892) _x000D_
        at android app ActivityThread  wrap11(Unknown Source:0) _x000D_
        at android app ActivityThread H handleMessage(ActivityThread java:1593) _x000D_
        at android os Handler dispatchMessage(Handler java:105) _x000D_
        at android os Looper loop(Looper java:164) _x000D_
        at android app ActivityThread main(ActivityThread java:6541) _x000D_
        at java lang reflect Method invoke(Native Method) _x000D_
        at com android internal os Zygote MethodAndArgsCaller run(Zygote java:240) _x000D_
        at com android internal os ZygoteInit main(ZygoteInit java:767) _x000D_
    	Suppressed: java lang NoClassDefFoundError: Failed resolution of: Landroidx appcompat app AppCompatActivity _x000D_
        at java lang VMClassLoader findLoadedClass(Native Method)_x000D_
        at java lang ClassLoader findLoadedClass(ClassLoader java:738)_x000D_
        at java lang ClassLoader loadClass(ClassLoader java:363)_x000D_
        		    12 more_x000D_
     Caused by: java lang ClassNotFoundException: Didn t find class  androidx appcompat app AppCompatActivity  on path: DexPathList  zip file   data app peike testokhttp 8XiJCpXfzD7iFbbBYv9HJw   base apk   nativeLibraryDirectories   data app peike testokhttp 8XiJCpXfzD7iFbbBYv9HJw   lib x86   system lib   vendor lib  _x000D_
        at dalvik system BaseDexClassLoader findClass(BaseDexClassLoader java:93)_x000D_
        at java lang ClassLoader loadClass(ClassLoader java:379)_x000D_
        at java lang ClassLoader loadClass(ClassLoader java:312)_x000D_
        		    15 more_x000D_
   _x000D_
_x000D_
But this crash will not happen on a device running Android 9 0  or on the same 8 0 device but this is added in the gradle_x000D_
   _x000D_
compileOptions  _x000D_
    sourceCompatibility   JavaVersion VERSION 1 8_x000D_
    targetCompatibility   JavaVersion VERSION 1 8_x000D_
 _x000D_
   _x000D_
Is this a bug </t>
  </si>
  <si>
    <t>react-native-camera-react-native-camera-2220</t>
  </si>
  <si>
    <t>Android app crashed when turn on-off camera flash light.</t>
  </si>
  <si>
    <t xml:space="preserve">  Bug Report_x000D_
_x000D_
Android app is crashing when trying_x000D_
  Screenshot 20190420 181715 (https:  user images githubusercontent com 11882168 56457454 d3bbf480 6398 11e9 9e14 5d3b9268b6f2 jpg)_x000D_
 to turn on off camera flash in my one plush5 device _x000D_
It is working fine in iOS and other Android devices _x000D_
_x000D_
_x000D_
</t>
  </si>
  <si>
    <t>j4zib-Equalizer-2</t>
  </si>
  <si>
    <t>Doesn't work on few Devices</t>
  </si>
  <si>
    <t xml:space="preserve">Even after implementing everything correctly  this app still crashes on few devices  I can t find the cause of these crashes  _x000D_
The app crashes on Initialization of effects and also on some methods like setBandLevel which are surrounded by try catch _x000D_
Any help will be really appreciated </t>
  </si>
  <si>
    <t>mendhak-gpslogger-738</t>
  </si>
  <si>
    <t>After newest update application crashes instantly</t>
  </si>
  <si>
    <t xml:space="preserve">I updated the app yesterday (Google Play store) to version 101  and now the application crashes just after clicking the icon (I sent out the standard crash report from my phone)  Previous version was working fine (not sure which one it was  but I have automatic updates enabled  so I assume it was version 100) _x000D_
_x000D_
Android 9  Pixel 3  I have 3 custom profiles which are being changed using Tasker _x000D_
_x000D_
I just checked and it looks like the service is still working (it sends out the data to my URL)  I just can t access the UI _x000D_
</t>
  </si>
  <si>
    <t>Vladjaye-UB_Printing_App-31</t>
  </si>
  <si>
    <t>User Story #15</t>
  </si>
  <si>
    <t xml:space="preserve">As a user  I want to be able to open the directions to desired library by clicking the  show on map  button  The button does not work   app crashes  </t>
  </si>
  <si>
    <t>microsoft-EmbeddedSocial-Android-SDK-119</t>
  </si>
  <si>
    <t>java.lang.NoSuchMethodError: No virtual method isAssignableFrom()</t>
  </si>
  <si>
    <t xml:space="preserve">  Summary:   _x000D_
_x000D_
After doing the latest OneBusAway release build and updating from v2 4 4 to v2 5  I m seeing a crash after updating the app  which seems to trigger a registration for Embedded Social push notifications (if you re logged in with an Embedded Social account) _x000D_
_x000D_
Here s the stack trace:_x000D_
_x000D_
   _x000D_
2019 04 15 17:45:28 850 30037 30418   E AndroidRuntime: FATAL EXCEPTION: intent processor  2_x000D_
    Process: com joulespersecond seattlebusbot  PID: 30037_x000D_
    java lang NoSuchMethodError: No virtual method isAssignableFrom(Ljava lang reflect Type )Z in class Lcom google common reflect TypeToken  or its super classes (declaration of  com google common reflect TypeToken  appears in base apk)_x000D_
        at com microsoft rest Validator validate(Validator java:49)_x000D_
        at com microsoft embeddedsocial autorest MyPushRegistrationsOperationsImpl putPushRegistration(MyPushRegistrationsOperationsImpl java:112)_x000D_
        at com microsoft embeddedsocial server model notification RegisterPushNotificationRequest send(RegisterPushNotificationRequest java:38)_x000D_
        at com microsoft embeddedsocial data storage NotificationServiceCachingWrapper registerPushNotification(NotificationServiceCachingWrapper java:66)_x000D_
        at com microsoft embeddedsocial fcm TokenSyncAdapter synchronize(TokenSyncAdapter java:44)_x000D_
        at com microsoft embeddedsocial server sync DataSynchronizer synchronizeEntity(DataSynchronizer java:94)_x000D_
        at com microsoft embeddedsocial server sync DataSynchronizer synchronizeProducer(DataSynchronizer java:70)_x000D_
        at com microsoft embeddedsocial server sync DataSynchronizer synchronize(DataSynchronizer java:42)_x000D_
        at com microsoft embeddedsocial service handler SynchronizationHandler handleIntent(SynchronizationHandler java:58)_x000D_
        at com microsoft embeddedsocial service handler SynchronizationHandler handleIntent(SynchronizationHandler java:24)_x000D_
        at com microsoft embeddedsocial base service IntentProcessor IntentHandlerAdapter run(IntentProcessor java:234)_x000D_
        at java util concurrent ThreadPoolExecutor runWorker(ThreadPoolExecutor java:1167)_x000D_
        at java util concurrent ThreadPoolExecutor Worker run(ThreadPoolExecutor java:641)_x000D_
        at java lang Thread run(Thread java:764)_x000D_
   _x000D_
_x000D_
When doing the release and trying to obfuscate via Proguard  I was getting the following warning that was blocking the build:_x000D_
_x000D_
   _x000D_
 Warning: com microsoft rest Validator: can t find referenced method  boolean isAssignableFrom(java lang reflect Type)  in program class com google common reflect TypeToken _x000D_
   _x000D_
_x000D_
So  in  this commit (https:  github com OneBusAway onebusaway android pull 873 commits 9d8cf3934ba888d65e6985c1f2f50817d0e28e02) I added the following to our Proguard rules:_x000D_
_x000D_
   _x000D_
 dontwarn com microsoft rest Validator_x000D_
   _x000D_
_x000D_
This lets me build the project  but then results in the above runtime exception _x000D_
_x000D_
After talking with  acrown msft it looks like the ES SDK uses a ES Java API library (https:  github com Microsoft EmbeddedSocial Java API Library)  which uses an older version of a REST library (https:  github com Azure autorest clientruntime for java)  which is using an older version of Guava (18)   OBA Android is stripping out this older version of Guava in favor of v26  which is being used by Firebase and other OBA dependencies   As a result  we get a runtime error because this method doesn t existing in v26 of the Guava library _x000D_
_x000D_
 acrown msft is going to look at updating the ES Java API library dependency to use a newer version of the REST library  which is using a newer version of Guava _x000D_
_x000D_
Here s the _x000D_
_x000D_
  Steps to reproduce:   _x000D_
_x000D_
1  Install OBA v2 4 4   https:  github com OneBusAway onebusaway android releases tag v2 4 4_x000D_
1  Log into EmbeddedSocial_x000D_
1  Install OBA v2 5 0   https:  github com OneBusAway onebusaway android releases tag v2 5 0_x000D_
1  Start up app_x000D_
_x000D_
  Expected behavior:   _x000D_
_x000D_
Not crash_x000D_
_x000D_
  Observed behavior:   _x000D_
_x000D_
It crashes_x000D_
_x000D_
  Device  Android  and Embedded Social SDK version:   _x000D_
_x000D_
What version of the Embedded Social SDK did you use _x000D_
_x000D_
   _x000D_
       Embedded Social SDK_x000D_
    implementation( com acrowntest test:sdk:0 7 4 aar )  _x000D_
        transitive   true_x000D_
     _x000D_
   _x000D_
_x000D_
Samsung Galaxy S8  w  Android 9 0</t>
  </si>
  <si>
    <t>OneBusAway-onebusaway-android-976</t>
  </si>
  <si>
    <t xml:space="preserve">  Summary:   _x000D_
_x000D_
After doing the latest OneBusAway release build and updating from v2 4 4 to v2 5  I m seeing a crash after updating the app  which seems to trigger a registration for Embedded Social push notifications (if you re logged in with an Embedded Social account) _x000D_
_x000D_
Here s the stack trace:_x000D_
_x000D_
   _x000D_
2019 04 15 17:45:28 850 30037 30418   E AndroidRuntime: FATAL EXCEPTION: intent processor  2_x000D_
    Process: com joulespersecond seattlebusbot  PID: 30037_x000D_
    java lang NoSuchMethodError: No virtual method isAssignableFrom(Ljava lang reflect Type )Z in class Lcom google common reflect TypeToken  or its super classes (declaration of  com google common reflect TypeToken  appears in base apk)_x000D_
        at com microsoft rest Validator validate(Validator java:49)_x000D_
        at com microsoft embeddedsocial autorest MyPushRegistrationsOperationsImpl putPushRegistration(MyPushRegistrationsOperationsImpl java:112)_x000D_
        at com microsoft embeddedsocial server model notification RegisterPushNotificationRequest send(RegisterPushNotificationRequest java:38)_x000D_
        at com microsoft embeddedsocial data storage NotificationServiceCachingWrapper registerPushNotification(NotificationServiceCachingWrapper java:66)_x000D_
        at com microsoft embeddedsocial fcm TokenSyncAdapter synchronize(TokenSyncAdapter java:44)_x000D_
        at com microsoft embeddedsocial server sync DataSynchronizer synchronizeEntity(DataSynchronizer java:94)_x000D_
        at com microsoft embeddedsocial server sync DataSynchronizer synchronizeProducer(DataSynchronizer java:70)_x000D_
        at com microsoft embeddedsocial server sync DataSynchronizer synchronize(DataSynchronizer java:42)_x000D_
        at com microsoft embeddedsocial service handler SynchronizationHandler handleIntent(SynchronizationHandler java:58)_x000D_
        at com microsoft embeddedsocial service handler SynchronizationHandler handleIntent(SynchronizationHandler java:24)_x000D_
        at com microsoft embeddedsocial base service IntentProcessor IntentHandlerAdapter run(IntentProcessor java:234)_x000D_
        at java util concurrent ThreadPoolExecutor runWorker(ThreadPoolExecutor java:1167)_x000D_
        at java util concurrent ThreadPoolExecutor Worker run(ThreadPoolExecutor java:641)_x000D_
        at java lang Thread run(Thread java:764)_x000D_
   _x000D_
_x000D_
When doing the release and trying to obfuscate via Proguard  I was getting the following warning that was blocking the build:_x000D_
_x000D_
   _x000D_
 Warning: com microsoft rest Validator: can t find referenced method  boolean isAssignableFrom(java lang reflect Type)  in program class com google common reflect TypeToken _x000D_
   _x000D_
_x000D_
So  in  this commit (https:  github com OneBusAway onebusaway android pull 873 commits 9d8cf3934ba888d65e6985c1f2f50817d0e28e02) I added the following to our Proguard rules:_x000D_
_x000D_
   _x000D_
 dontwarn com microsoft rest Validator_x000D_
   _x000D_
_x000D_
This lets me build the project  but then results in the above runtime exception _x000D_
_x000D_
After talking with  acrown msft it looks like the ES SDK uses a ES Java API library (https:  github com Microsoft EmbeddedSocial Java API Library)  which uses an older version of a REST library (https:  github com Azure autorest clientruntime for java)  which is using an older version of Guava (18)   OBA Android is stripping out this older version of Guava in favor of v26  which is being used by Firebase and other OBA dependencies   As a result  we get a runtime error because this method doesn t existing in v26 of the Guava library   Additionally  all interactions with the ES server aren t functional _x000D_
_x000D_
 acrown msft is going to look at updating the ES Java API library dependency to use a newer version of the REST library  which is using a newer version of Guava _x000D_
_x000D_
  Steps to reproduce:   _x000D_
_x000D_
1  Install v2 4 4   https:  github com OneBusAway onebusaway android releases tag v2 4 4_x000D_
1  Log into EmbeddedSocial_x000D_
1  Install v2 5 0   https:  github com OneBusAway onebusaway android releases tag v2 5 0_x000D_
1  Start up app_x000D_
_x000D_
  Expected behavior:   _x000D_
_x000D_
Not crash_x000D_
_x000D_
  Observed behavior:   _x000D_
_x000D_
It crashes  and all interactions with ES server aren t functional_x000D_
_x000D_
  Device  Android  and Embedded Social SDK version:   _x000D_
_x000D_
Samsung Galaxy S8  w  Android 9 0</t>
  </si>
  <si>
    <t>koral---android-gif-drawable-649</t>
  </si>
  <si>
    <t>Fatal Exception: java.lang.UnsatisfiedLinkError: dlopen failed: "/mnt/expand/5488dc38-a612-4535-af81-7ca7e4875ce0/user/0/com.my_app/app_lib/libpl_droidsonroids_gif.so1.2.16" is 32-bit instead of 64-bit</t>
  </si>
  <si>
    <t>Fatal Exception: java lang UnsatisfiedLinkError: dlopen failed:   mnt expand 5488dc38 a612 4535 af81 7ca7e4875ce0 user 0 com my app app lib libpl droidsonroids gif so1 2 16  is 32 bit instead of 64 bit_x000D_
       at java lang Runtime load(Runtime java:332)_x000D_
       at java lang System load(System java:1069)_x000D_
       at pl droidsonroids gif ReLinker loadLibrary(ReLinker java:59)_x000D_
       at pl droidsonroids gif LibraryLoader loadLibrary(LibraryLoader java:51)_x000D_
       at pl droidsonroids gif GifInfoHandle (SourceFile:27)_x000D_
       at pl droidsonroids gif GifDrawable (SourceFile:123)_x000D_
       at pl droidsonroids gif GifDrawable (SourceFile:134)_x000D_
_x000D_
_x000D_
facing this crash in my app randomly  earlier I was also facing the same  then i tried with upgrading the lib version to 1 2 16 but still facing</t>
  </si>
  <si>
    <t>LawnchairLauncher-lawnchair-1506</t>
  </si>
  <si>
    <t>I can't put app into desktop</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</si>
  <si>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_x000D_
_x000D_
   Expected Behavior_x000D_
      Tell us what should happen    _x000D_
_x000D_
I can t put app into desktop  Actual Behavior_x000D_
I can t delete desktop icon_x000D_
      Tell us what happens instead    _x000D_
_x000D_
_x000D_
   Steps to Reproduce_x000D_
      Provide a link to a live example (screenshot recording etc  )  or a set of steps to reproduce the issue    _x000D_
_x000D_
1 _x000D_
2 _x000D_
3 _x000D_
4 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Device:xiaomi 9se_x000D_
  Android version:9 0_x000D_
  Launcher version: 2 0_x000D_
  Rom:miui 10_x000D_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your log here_x000D_
   _x000D_
</t>
  </si>
  <si>
    <t>Haptic-Apps-Slide-3009</t>
  </si>
  <si>
    <t>Sitewide wiki links with hashes crash Slide</t>
  </si>
  <si>
    <t>I stumbled across an  r OutOfTheLoop comment thread about spoiler comments  and found this hyperlink which appears to crash Slide when clicked: https:  www reddit com wiki commenting wiki posting
I tested several variations  https:  reddit com wiki did nothing (no feedback when tapped)  https:  www reddit com wiki commenting attempted to load a wiki for  r commenting  which failed  However  when the full link with hash was clicked  the app loaded a very glitchy looking wiki with  null  page titles  etc before crashing  
The comment which contains the link is  here (https:  np reddit com r OutOfTheLoop comments bdxjsu whats up with people linking to wwwredditcoms el1hhcf context 3)  but it doesn t matter how the link appears in Markdown 
  Slide version:   v6 2  
  Android device:   Samsung Galaxy S8 Active  Android 8 0 0</t>
  </si>
  <si>
    <t>michael-rapp-ChromeLikeTabSwitcher-24</t>
  </si>
  <si>
    <t>Crash when scrolling large numbers of tabs and saving/restoring state</t>
  </si>
  <si>
    <t xml:space="preserve">When there is a large number of tabs (e g  100)  fling scrolling the list and invoking the app switcher can sometimes cause another crash   This has also been observed in other situations where the state was saved and restored (e g  turning the display off and on after a while) _x000D_
_x000D_
  ezgif 4 3620a6dfbe70 (https:  user images githubusercontent com 1682214 56234634 b95de000 6053 11e9 9d8f 9799c20f4523 gif)_x000D_
_x000D_
Stack trace:_x000D_
_x000D_
   _x000D_
    java lang IllegalStateException: The specified child already has a parent  You must call removeView() on the child s parent first _x000D_
        at android view ViewGroup addViewInner(ViewGroup java:4937)_x000D_
        at android view ViewGroup addView(ViewGroup java:4768)_x000D_
        at android view ViewGroup addView(ViewGroup java:4708)_x000D_
        at de mrapp android util view AttachedViewRecycler inflate(AttachedViewRecycler java:286)_x000D_
        at de mrapp android util view AbstractViewRecycler inflate(AbstractViewRecycler java:362)_x000D_
        at de mrapp android tabswitcher layout AbstractTabSwitcherLayout inflateView(AbstractTabSwitcherLayout java:1068)_x000D_
        at de mrapp android tabswitcher layout phone PhoneTabSwitcherLayout inflateAndUpdateView(PhoneTabSwitcherLayout java:3035)_x000D_
        at de mrapp android tabswitcher layout AbstractTabSwitcherLayout inflateOrRemoveView(AbstractTabSwitcherLayout java:1043)_x000D_
        at de mrapp android tabswitcher layout AbstractTabSwitcherLayout calculatePositionsWhenDraggingToStart(AbstractTabSwitcherLayout java:714)_x000D_
        at de mrapp android tabswitcher layout AbstractTabSwitcherLayout onDrag(AbstractTabSwitcherLayout java:1572)_x000D_
        at de mrapp android tabswitcher layout AbstractDragTabsEventHandler notifyOnDrag(AbstractDragTabsEventHandler java:341)_x000D_
        at de mrapp android tabswitcher layout AbstractDragTabsEventHandler handleDrag(AbstractDragTabsEventHandler java:675)_x000D_
        at de mrapp android tabswitcher layout AbstractTabSwitcherLayout FlingAnimation applyTransformation(AbstractTabSwitcherLayout java:367)_x000D_
        at android view animation Animation getTransformation(Animation java:879)_x000D_
        at android view animation Animation getTransformation(Animation java:953)_x000D_
        at android view View applyLegacyAnimation(View java:18742)_x000D_
        at android view View draw(View java:18858)_x000D_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draw(View java:19195)_x000D_
        at com android internal policy DecorView draw(DecorView java:788)_x000D_
        at android view View updateDisplayListIfDirty(View java:18142)_x000D_
        at android view ThreadedRenderer updateViewTreeDisplayList(ThreadedRenderer java:669)_x000D_
        at android view ThreadedRenderer updateRootDisplayList(ThreadedRenderer java:675)_x000D_
        at android view ThreadedRenderer draw(ThreadedRenderer java:783)_x000D_
        at android view ViewRootImpl draw(ViewRootImpl java:2992)_x000D_
        at android view ViewRootImpl performDraw(ViewRootImpl java:2806)_x000D_
        at android view ViewRootImpl performTraversals(ViewRootImpl java:2359)_x000D_
        at android view ViewRootImpl doTraversal(ViewRootImpl java:1392)_x000D_
        at android view ViewRootImpl TraversalRunnable run(ViewRootImpl java:6752)_x000D_
        at android view Choreographer CallbackRecord run(Choreographer java:911)_x000D_
        at android view Choreographer doCallbacks(Choreographer java:723)_x000D_
        at android view Choreographer doFrame(Choreographer java:658)_x000D_
2019 04 16 13:27:58 147 25168 25168 org wikipedia dev E AndroidRuntime:     at android view Choreographer FrameDisplayEventReceiver run(Choreographer java:897)_x000D_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t>
  </si>
  <si>
    <t>michael-rapp-ChromeLikeTabSwitcher-23</t>
  </si>
  <si>
    <t>Crash when dragging-to-dismiss a tab and opening app switcher.</t>
  </si>
  <si>
    <t xml:space="preserve">Another crash in the series of  state save  issues:_x000D_
To reproduce  start dragging to dismiss the topmost tab  drag it past the 50  mark  and while still holding the tab  invoke the system app switcher _x000D_
_x000D_
  febd97be246f (https:  user images githubusercontent com 1682214 56232978 06d84e00 6050 11e9 8fbd 231a12e81967 gif)_x000D_
_x000D_
Stack trace:_x000D_
   _x000D_
java lang ArrayIndexOutOfBoundsException: length 10  index  1_x000D_
        at java util ArrayList get(ArrayList java:439)_x000D_
        at de mrapp android tabswitcher model TabSwitcherModel getTab(TabSwitcherModel java:1156)_x000D_
        at de mrapp android tabswitcher TabSwitcher getTab(TabSwitcher java:1503)_x000D_
        at de mrapp android tabswitcher model TabItem create(TabItem java:99)_x000D_
        at de mrapp android tabswitcher layout phone PhoneTabSwitcherLayout onTabRemoved(PhoneTabSwitcherLayout java:3251)_x000D_
        at de mrapp android tabswitcher model TabSwitcherModel notifyOnTabRemoved(TabSwitcherModel java:651)_x000D_
        at de mrapp android tabswitcher model TabSwitcherModel removeTab(TabSwitcherModel java:1291)_x000D_
        at de mrapp android tabswitcher layout phone PhoneTabSwitcherLayout onSwipeEnded(PhoneTabSwitcherLayout java:3402)_x000D_
        at de mrapp android tabswitcher layout AbstractDragTabsEventHandler notifyOnSwipeEnded(AbstractDragTabsEventHandler java:456)_x000D_
        at de mrapp android tabswitcher layout AbstractDragTabsEventHandler onUp(AbstractDragTabsEventHandler java:751)_x000D_
        at de mrapp android tabswitcher gesture TouchEventDispatcher removeEventHandler(TouchEventDispatcher java:253)_x000D_
        at de mrapp android tabswitcher layout AbstractTabSwitcherLayout detachLayout(AbstractTabSwitcherLayout java:1429)_x000D_
        at de mrapp android tabswitcher TabSwitcher onSaveInstanceState(TabSwitcher java:1974)_x000D_
        at android view View dispatchSaveInstanceState(View java:17614)_x000D_
        at android view ViewGroup dispatchSaveInstanceState(ViewGroup java:3720)_x000D_
        at android view ViewGroup dispatchSaveInstanceState(ViewGroup java:3726)_x000D_
        at android view ViewGroup dispatchSaveInstanceState(ViewGroup java:3726)_x000D_
        at android view ViewGroup dispatchSaveInstanceState(ViewGroup java:3726)_x000D_
        at android view ViewGroup dispatchSaveInstanceState(ViewGroup java:3726)_x000D_
        at android view View saveHierarchyState(View java:17597)_x000D_
        at com android internal policy PhoneWindow saveHierarchyState(PhoneWindow java:2096)_x000D_
        at android app Activity onSaveInstanceState(Activity java:1566)_x000D_
        at androidx core app ComponentActivity onSaveInstanceState(ComponentActivity java:83)_x000D_
        at androidx fragment app FragmentActivity onSaveInstanceState(FragmentActivity java:589)_x000D_
        at androidx appcompat app AppCompatActivity onSaveInstanceState(AppCompatActivity java:510)_x000D_
        at android app Activity performSaveInstanceState(Activity java:1496)_x000D_
        at android app Instrumentation callActivityOnSaveInstanceState(Instrumentation java:1386)_x000D_
        at android app ActivityThread callCallActivityOnSaveInstanceState(ActivityThread java:4721)_x000D_
        at android app ActivityThread performStopActivityInner(ActivityThread java:4025)_x000D_
        at android app ActivityThread handleStopActivity(ActivityThread java:4084)_x000D_
        at android app ActivityThread  wrap24(Unknown Source:0)_x000D_
        at android app ActivityThread H handleMessage(ActivityThread java:1622)_x000D_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t>
  </si>
  <si>
    <t>zoontek-react-native-localize-48</t>
  </si>
  <si>
    <t>Exception in HostObject::get: &lt;unknown&gt;</t>
  </si>
  <si>
    <t xml:space="preserve">    _x000D_
_x000D_
Hello _x000D_
_x000D_
Please read the following carefully before opening a new issue  Your issue may_x000D_
be closed if it doesn t provide the informations required _x000D_
_x000D_
   _x000D_
_x000D_
    Describe your environment_x000D_
_x000D_
  react native localize 1 0 3_x000D_
  react native 0 59 3_x000D_
  Target platform: Android_x000D_
  Device:_x000D_
      Manufacturer: Tecno  OS: 7 0_x000D_
      Manufacturer: Infinix  OS: 7 0 or 8 1 0_x000D_
      Manufacturer: OnePlus  OS: 9 0_x000D_
      Manufacturer: Pixel  OS: 9 0_x000D_
  OS: 7  8  8 1  9_x000D_
  DevTools: N A_x000D_
  buildToolsVersion: 28 0 3_x000D_
_x000D_
    How to repeat issue and example_x000D_
_x000D_
   _x000D_
import   findBestAvailableLanguage   from  react native localize _x000D_
   _x000D_
expected it not to crash but it crashes on the above devices with:_x000D_
   _x000D_
Exception in HostObject::get:  unknown _x000D_
   _x000D_
_x000D_
  Some context around this error:   This does not happen very often  Probably something like 1  of the time but it does result in an unrecoverable crash we think  We re seeing this reported through bugsnag and we don t have a device to reproduce this on  Thought it would be worth a report anyway  Maybe you all have some context on this error _x000D_
</t>
  </si>
  <si>
    <t>michael-rapp-ChromeLikeTabSwitcher-22</t>
  </si>
  <si>
    <t>Crash when fling-scrolling tabs and opening app switcher.</t>
  </si>
  <si>
    <t xml:space="preserve">This crash occurs when the user flings to scroll the list of tabs  and while the scrolling is still happening  invoke the system app switcher  It seems to occur consistently when flinging  up  so that the topmost tab comes into view _x000D_
_x000D_
I m guessing it has to do with saving restoring state (which is always tricky to do)  especially while an animation is taking place _x000D_
_x000D_
Here s an example:_x000D_
_x000D_
  7f4fcd26eaeb (https:  user images githubusercontent com 1682214 56231996 c7a8fd80 604d 11e9 99d9 85c84205e3f0 gif)_x000D_
_x000D_
Stack trace:_x000D_
   _x000D_
java lang NullPointerException: Attempt to invoke virtual method  void android view View setCameraDistance(float)  on a null object reference_x000D_
        at de mrapp android tabswitcher layout phone PhoneTabSwitcherLayout tiltOnStartOvershoot(PhoneTabSwitcherLayout java:2804)_x000D_
        at de mrapp android tabswitcher layout phone PhoneTabSwitcherLayout onTiltOnStartOvershoot(PhoneTabSwitcherLayout java:3371)_x000D_
        at de mrapp android tabswitcher layout phone PhoneDragTabsEventHandler notifyOnTiltOnStartOvershoot(PhoneDragTabsEventHandler java:137)_x000D_
        at de mrapp android tabswitcher layout phone PhoneDragTabsEventHandler onOvershootStart(PhoneDragTabsEventHandler java:245)_x000D_
        at de mrapp android tabswitcher layout AbstractDragTabsEventHandler handleDrag(AbstractDragTabsEventHandler java:625)_x000D_
        at de mrapp android tabswitcher layout AbstractTabSwitcherLayout FlingAnimation applyTransformation(AbstractTabSwitcherLayout java:367)_x000D_
        at android view animation Animation getTransformation(Animation java:879)_x000D_
        at android view animation Animation getTransformation(Animation java:953)_x000D_
        at android view View applyLegacyAnimation(View java:18742)_x000D_
        at android view View draw(View java:18858)_x000D_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updateDisplayListIfDirty(View java:18133)_x000D_
        at android view View draw(View java:18920)_x000D_
        at android view ViewGroup drawChild(ViewGroup java:4236)_x000D_
        at android view ViewGroup dispatchDraw(ViewGroup java:4022)_x000D_
        at android view View draw(View java:19195)_x000D_
        at com android internal policy DecorView draw(DecorView java:788)_x000D_
        at android view View updateDisplayListIfDirty(View java:18142)_x000D_
        at android view ThreadedRenderer updateViewTreeDisplayList(ThreadedRenderer java:669)_x000D_
        at android view ThreadedRenderer updateRootDisplayList(ThreadedRenderer java:675)_x000D_
        at android view ThreadedRenderer draw(ThreadedRenderer java:783)_x000D_
        at android view ViewRootImpl draw(ViewRootImpl java:2992)_x000D_
        at android view ViewRootImpl performDraw(ViewRootImpl java:2806)_x000D_
        at android view ViewRootImpl performTraversals(ViewRootImpl java:2359)_x000D_
        at android view ViewRootImpl doTraversal(ViewRootImpl java:1392)_x000D_
        at android view ViewRootImpl TraversalRunnable run(ViewRootImpl java:6752)_x000D_
        at android view Choreographer CallbackRecord run(Choreographer java:911)_x000D_
        at android view Choreographer doCallbacks(Choreographer java:723)_x000D_
        at android view Choreographer doFrame(Choreographer java:658)_x000D_
        at android view Choreographer FrameDisplayEventReceiver run(Choreographer java:897)_x000D_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t>
  </si>
  <si>
    <t>inaturalist-react-native-inat-camera-11</t>
  </si>
  <si>
    <t>Illegal argument exception crashes</t>
  </si>
  <si>
    <t xml:space="preserve">I m seeing a few more crashes related to the Fragment Manager that are showing up on a Xiaomi Redmi 6 (cereus) device  LGE LG X Style (k6b)  and Huawei P8 (HWGRA) in the latest production build (2 0 1 build 22)  _x000D_
_x000D_
 java lang IllegalArgumentException: _x000D_
  at android app FragmentManagerImpl moveToState (FragmentManager java:1271)_x000D_
  at android app FragmentManagerImpl addAddedFragments (FragmentManager java:2412)_x000D_
  at android app FragmentManagerImpl executeOpsTogether (FragmentManager java:2191)_x000D_
  at android app FragmentManagerImpl removeRedundantOperationsAndExecute (FragmentManager java:2147)_x000D_
  at android app FragmentManagerImpl execPendingActions (FragmentManager java:2048)_x000D_
  at android app FragmentManagerImpl 1 run (FragmentManager java:719)_x000D_
  at android os Handler handleCallback (Handler java:794)_x000D_
  at android os Handler dispatchMessage (Handler java:99)_x000D_
  at android os Looper loop (Looper java:176)_x000D_
  at android app ActivityThread main (ActivityThread java:6656)_x000D_
  at java lang reflect Method invoke (Native Method)_x000D_
  at com android internal os RuntimeInit MethodAndArgsCaller run (RuntimeInit java:547)_x000D_
  at com android internal os ZygoteInit main (ZygoteInit java:873) </t>
  </si>
  <si>
    <t>cgeo-cgeo-7510</t>
  </si>
  <si>
    <t>Crash on map source change</t>
  </si>
  <si>
    <t xml:space="preserve">      Detailed steps causing the problem:_x000D_
  Use cgeo nightly GM_x000D_
  Open live map_x000D_
  Click icon to change map source_x000D_
  Change e g  from Google: Maps to Google: Satellite_x000D_
_x000D_
      Actual behavior after performing these steps:_x000D_
Sometimes c:geo crashes  On next access of the map the source changed as desired though_x000D_
It might be related to the map being centered to current position or not   not sure _x000D_
_x000D_
_x000D_
      Expected behavior after performing these steps:_x000D_
Normal switch of map source_x000D_
_x000D_
      Version of c:geo used:_x000D_
2019 04 15 NBGM1_x000D_
_x000D_
      Is the problem reproducible for you _x000D_
No  only sometimes but quite reproducible_x000D_
_x000D_
      System information:_x000D_
Android 6 0 1 Cyanogenmod_x000D_
Samsung S3 LTE_x000D_
_x000D_
      Other comments and remarks:_x000D_
I was not yet able to capture a stacktrace but have seen some kind of AuthorizationProblem logs in the ADB logcat  Not sure whether this is related  Was shown as  E Auth  as sender  </t>
  </si>
  <si>
    <t>google-ExoPlayer-5767</t>
  </si>
  <si>
    <t>DefaultTimeBar: time label changes twice for single seek action</t>
  </si>
  <si>
    <t xml:space="preserve">     REQUIRED  Issue description_x000D_
DefaultTimeBar seek does not increment decrement seek position accurately _x000D_
_x000D_
     REQUIRED  Reproduction steps_x000D_
  ExoPlayer 2 9 3_x000D_
  Use DefaultTimeBar as seek time bar _x000D_
  Set seek increment using setKeyTimeIncrement(long increment)_x000D_
  Set video on pause (not necessary  but it is easier to see the problem)_x000D_
  Seek DefaultTimeBar with left right dpad keys _x000D_
_x000D_
Expected:_x000D_
  time label changes once for every key press_x000D_
  time on the label changes from INITIAL TIME to INITIAL TIME    INCREMENT_x000D_
_x000D_
Actual behavior:_x000D_
  time label changes twice for a single key press: _x000D_
  1)  first time it changes for key press_x000D_
  2) second time it changes when buffering starts_x000D_
  time on the label both time is not as expected_x000D_
_x000D_
As far as I understood the problem occurs because:_x000D_
1) getScrubberPosition() is called twice for a single keypress and it operates on a different values  second time producing different result_x000D_
2) incorrent calculations are probably related to scrubber having its own width _x000D_
_x000D_
     REQUIRED  Link to test content_x000D_
Any contend can be used  but video should have large enough duration (I tested on 2 hours movie)  When testing on short 30 seconds ad I did not see this issue _x000D_
_x000D_
     REQUIRED  A full bug report captured from the device_x000D_
No crash is involved _x000D_
_x000D_
     REQUIRED  Version of ExoPlayer being used_x000D_
Used 2 9 3_x000D_
_x000D_
     REQUIRED  Device(s) and version(s) of Android being used_x000D_
Android TV 8 0_x000D_
Android 5 0 phone (called onKeyPressed() artifically from code)_x000D_
_x000D_
     DO NOT DELETE_x000D_
validate template true_x000D_
template path  github ISSUE TEMPLATE bug md_x000D_
   _x000D_
</t>
  </si>
  <si>
    <t>nextcloud-android-3902</t>
  </si>
  <si>
    <t>java.lang.SecurityException in DocumentsProvider</t>
  </si>
  <si>
    <t xml:space="preserve">    Actual behaviour_x000D_
  image thumbnails are not shown in DocumentsUI StoragePicker as a result of java lang SecurityException_x000D_
_x000D_
    Expected behaviour_x000D_
  no crash should happen_x000D_
 _x000D_
    Steps to reproduce_x000D_
1  Navigate to a folder containing images with DocumentsUI StoragePicker_x000D_
_x000D_
    Environment data_x000D_
Android version: 8 1_x000D_
_x000D_
Device model: Android Emulator_x000D_
_x000D_
Stock or customized system:_x000D_
_x000D_
Nextcloud app version: dev 20190414_x000D_
_x000D_
Nextcloud server version:_x000D_
_x000D_
    Logs_x000D_
     Web server error log_x000D_
   _x000D_
Insert your webserver log here_x000D_
   _x000D_
_x000D_
     Nextcloud log (data nextcloud log)_x000D_
   _x000D_
2019 04 15 13:08:49 233 27887 27961 com nextcloud client E DatabaseUtils: Writing exception to parcel_x000D_
    java lang SecurityException: Permission Denial: reading com owncloud android providers FileContentProvider uri content:  org nextcloud arbitrary data from pid 28010  uid 10010 requires false  or grantUriPermission()_x000D_
        at android content ContentProvider enforceReadPermissionInner(ContentProvider java:631)_x000D_
        at android content ContentProvider Transport enforceReadPermission(ContentProvider java:501)_x000D_
        at android content ContentProvider Transport query(ContentProvider java:213)_x000D_
        at android content ContentResolver query(ContentResolver java:754)_x000D_
        at android content ContentResolver query(ContentResolver java:704)_x000D_
        at android content ContentResolver query(ContentResolver java:662)_x000D_
        at com owncloud android datamodel ArbitraryDataProvider getValue(ArbitraryDataProvider java:163)_x000D_
        at com owncloud android datamodel ArbitraryDataProvider getBooleanValue(ArbitraryDataProvider java:119)_x000D_
        at com owncloud android datamodel ArbitraryDataProvider getBooleanValue(ArbitraryDataProvider java:123)_x000D_
        at com owncloud android authentication AccountUtils getCurrentOwnCloudAccount(AccountUtils java:93)_x000D_
        at com owncloud android providers DiskLruImageCacheFileProvider getFile(DiskLruImageCacheFileProvider java:57)_x000D_
        at com owncloud android providers DiskLruImageCacheFileProvider openFile(DiskLruImageCacheFileProvider java:66)_x000D_
        at android content ContentProvider openAssetFile(ContentProvider java:1543)_x000D_
        at android content ContentProvider openTypedAssetFile(ContentProvider java:1723)_x000D_
        at android content ContentProvider openTypedAssetFile(ContentProvider java:1789)_x000D_
        at android content ContentProvider Transport openTypedAssetFile(ContentProvider java:423)_x000D_
        at android content ContentResolver openTypedAssetFileDescriptor(ContentResolver java:1410)_x000D_
        at android content ContentResolver openAssetFileDescriptor(ContentResolver java:1247)_x000D_
        at android content ContentResolver openAssetFileDescriptor(ContentResolver java:1170)_x000D_
        at com owncloud android providers DocumentsStorageProvider openDocumentThumbnail(DocumentsStorageProvider java:335)_x000D_
        at android provider DocumentsProvider openTypedAssetFileImpl(DocumentsProvider java:1305)_x000D_
        at android provider DocumentsProvider openTypedAssetFile(DocumentsProvider java:1241)_x000D_
        at android content ContentProvider Transport openTypedAssetFile(ContentProvider java:423)_x000D_
        at android content ContentProviderNative onTransact(ContentProviderNative java:302)_x000D_
        at android os Binder execTransact(Binder java:697)_x000D_
2019 04 15 13:08:49 278 27887 27961 com nextcloud client E DatabaseUtils: Writing exception to parcel_x000D_
    java lang SecurityException: Permission Denial: reading com owncloud android providers FileContentProvider uri content:  org nextcloud arbitrary data from pid 28010  uid 10010 requires false  or grantUriPermission()_x000D_
        at android content ContentProvider enforceReadPermissionInner(ContentProvider java:631)_x000D_
        at android content ContentProvider Transport enforceReadPermission(ContentProvider java:501)_x000D_
        at android content ContentProvider Transport query(ContentProvider java:213)_x000D_
        at android content ContentResolver query(ContentResolver java:754)_x000D_
        at android content ContentResolver query(ContentResolver java:704)_x000D_
        at android content ContentResolver query(ContentResolver java:662)_x000D_
        at com owncloud android datamodel ArbitraryDataProvider getValue(ArbitraryDataProvider java:163)_x000D_
        at com owncloud android datamodel ArbitraryDataProvider getBooleanValue(ArbitraryDataProvider java:119)_x000D_
        at com owncloud android datamodel ArbitraryDataProvider getBooleanValue(ArbitraryDataProvider java:123)_x000D_
        at com owncloud android authentication AccountUtils getCurrentOwnCloudAccount(AccountUtils java:93)_x000D_
        at com owncloud android providers DiskLruImageCacheFileProvider getFile(DiskLruImageCacheFileProvider java:57)_x000D_
        at com owncloud android providers DiskLruImageCacheFileProvider openFile(DiskLruImageCacheFileProvider java:66)_x000D_
        at android content ContentProvider openAssetFile(ContentProvider java:1543)_x000D_
        at android content ContentProvider openTypedAssetFile(ContentProvider java:1723)_x000D_
        at android content ContentProvider openTypedAssetFile(ContentProvider java:1789)_x000D_
        at android content ContentProvider Transport openTypedAssetFile(ContentProvider java:423)_x000D_
        at android content ContentResolver openTypedAssetFileDescriptor(ContentResolver java:1410)_x000D_
        at android content ContentResolver openAssetFileDescriptor(ContentResolver java:1247)_x000D_
        at android content ContentResolver openAssetFileDescriptor(ContentResolver java:1170)_x000D_
        at com owncloud android providers DocumentsStorageProvider openDocumentThumbnail(DocumentsStorageProvider java:335)_x000D_
        at android provider DocumentsProvider openTypedAssetFileImpl(DocumentsProvider java:1305)_x000D_
        at android provider DocumentsProvider openTypedAssetFile(DocumentsProvider java:1241)_x000D_
        at android content ContentProvider Transport openTypedAssetFile(ContentProvider java:423)_x000D_
        at android content ContentProviderNative onTransact(ContentProviderNative java:302)_x000D_
        at android os Binder execTransact(Binder java:697)_x000D_
   _x000D_
  NOTE:   Be super sure to remove sensitive data like passwords  note that everybody can look here  You can use the Issue Template application to prefill some of the required information: https:  apps nextcloud com apps issuetemplate_x000D_
</t>
  </si>
  <si>
    <t>nextcloud-android-3901</t>
  </si>
  <si>
    <t>java.lang.NullPointerException in DocumentsProvider</t>
  </si>
  <si>
    <t xml:space="preserve">    Actual behaviour_x000D_
  account is not shown in DocumentsUI as result of java lang NullPointerException_x000D_
_x000D_
    Expected behaviour_x000D_
  no crash should happen_x000D_
 _x000D_
    Steps to reproduce_x000D_
1  Open StoragePicker after fresh deployment on device_x000D_
_x000D_
    Environment data_x000D_
Android version: 8 1_x000D_
_x000D_
Device model: Android Emulator_x000D_
_x000D_
Stock or customized system:_x000D_
_x000D_
Nextcloud app version: dev 20190414_x000D_
_x000D_
Nextcloud server version:_x000D_
_x000D_
    Logs_x000D_
     Web server error log_x000D_
   _x000D_
Insert your webserver log here_x000D_
   _x000D_
_x000D_
     Nextcloud log (data nextcloud log)_x000D_
   _x000D_
2019 04 15 12:59:33 492 27887 27919 com nextcloud client E DatabaseUtils: Writing exception to parcel_x000D_
    java lang NullPointerException: Attempt to invoke virtual method  java lang String android content Context getPackageName()  on a null object reference_x000D_
        at android preference PreferenceManager getDefaultSharedPreferencesName(PreferenceManager java:537)_x000D_
        at android preference PreferenceManager getDefaultSharedPreferences(PreferenceManager java:526)_x000D_
        at com nextcloud client preferences AppPreferencesImpl fromContext(AppPreferencesImpl java:76)_x000D_
        at com owncloud android providers DocumentsStorageProvider queryRoots(DocumentsStorageProvider java:108)_x000D_
        at android provider DocumentsProvider query(DocumentsProvider java:786)_x000D_
        at android content ContentProvider Transport query(ContentProvider java:240)_x000D_
        at android content ContentProviderNative onTransact(ContentProviderNative java:102)_x000D_
        at android os Binder execTransact(Binder java:697)_x000D_
2019 04 15 12:59:33 753 27887 27919 com nextcloud client E DatabaseUtils: Writing exception to parcel_x000D_
    java lang NullPointerException: Attempt to invoke virtual method  java lang String android content Context getPackageName()  on a null object reference_x000D_
        at android preference PreferenceManager getDefaultSharedPreferencesName(PreferenceManager java:537)_x000D_
        at android preference PreferenceManager getDefaultSharedPreferences(PreferenceManager java:526)_x000D_
        at com nextcloud client preferences AppPreferencesImpl fromContext(AppPreferencesImpl java:76)_x000D_
        at com owncloud android providers DocumentsStorageProvider queryRoots(DocumentsStorageProvider java:108)_x000D_
        at android provider DocumentsProvider query(DocumentsProvider java:786)_x000D_
        at android content ContentProvider Transport query(ContentProvider java:240)_x000D_
        at android content ContentProviderNative onTransact(ContentProviderNative java:102)_x000D_
        at android os Binder execTransact(Binder java:697)   _x000D_
  NOTE:   Be super sure to remove sensitive data like passwords  note that everybody can look here  You can use the Issue Template application to prefill some of the required information: https:  apps nextcloud com apps issuetemplate_x000D_
</t>
  </si>
  <si>
    <t>samanzamani-PersianDate-19</t>
  </si>
  <si>
    <t>Issue with converting Gregorian date to Jalali</t>
  </si>
  <si>
    <t xml:space="preserve">When I try to convert this specific date 2018 12 15 (Year Month Day) I get crash saying  arrayindexoutofboundsexception  _x000D_
_x000D_
Here is an example that I get crash with _x000D_
   _x000D_
PersianDate pdate   new PersianDate() initGrgDate(2018 12 15) _x000D_
PersianDateFormat pdformater   new PersianDateFormat( Y m d ) _x000D_
String dd   pdformater format(pdate) _x000D_
   _x000D_
_x000D_
Could you please advise me on this please </t>
  </si>
  <si>
    <t>libgdx-libgdx-5609</t>
  </si>
  <si>
    <t>Controller listener + LwjglFrame causes crash</t>
  </si>
  <si>
    <t xml:space="preserve">     Issue details_x000D_
While controllers are connected  attempting to add a controller listener in an app that also uses a LwjglFrame causes the error:_x000D_
   _x000D_
Error creating joystick: Win32JoyStick:: initialize()    failed to set cooperation level _x000D_
 _x000D_
  A fatal error has been detected by the Java Runtime Environment:_x000D_
 _x000D_
   EXCEPTION ACCESS VIOLATION (0xc0000005) at pc 0x00000000621c3e13  pid 31304  tid 0x00000000000027f4_x000D_
 _x000D_
  JRE version: Java(TM) SE Runtime Environment (8 0 141 b15) (build 1 8 0 141 b15)_x000D_
  Java VM: Java HotSpot(TM) 64 Bit Server VM (25 141 b15 mixed mode windows amd64 compressed oops)_x000D_
  Problematic frame:_x000D_
  C   gdx controllers desktop64 dll 0x3e13 _x000D_
   _x000D_
_x000D_
     Reproduction steps code_x000D_
It s a little hard to isolate the code in my engine  but in a default project  start your game this way:_x000D_
 new LwjglFrame(new MyGDXGame()  cfg)    the configuration doesn t matter _x000D_
_x000D_
At some point in your game s code  attempt to add a controller listener _x000D_
 Controllers addListener(my controller listener)  _x000D_
_x000D_
The app will crash at this point with the above error if any controllers are connected  Unplugging the controllers before starting the app will cause the app to work properly _x000D_
_x000D_
If you start your game using LwjglApplication instead of LwjglFrame  it will start normally with no other changes necessary:_x000D_
 new LwjglApplication(new MyGDXGame()  cfg)  _x000D_
_x000D_
     Version of LibGDX and or relevant dependencies_x000D_
1 9 10  It may affect earlier versions but I m not sure _x000D_
_x000D_
     Stacktrace_x000D_
Have to type this myself as it doesn t print out anywhere  I stepped through the GDX sources  and it crashes at OisJoystick getButtonCount  The joystickPtr value of the OisJoystick is 0  which seems to me like it might be an invalid value but I m not sure _x000D_
   java_x000D_
OisJoystick getButtonCount() line: 91_x000D_
OisJoystick  init (long  String) line: 40_x000D_
Ois  init (long) line: 33_x000D_
OisControllers  init (DesktopControllerManager) line: 44_x000D_
DesktopControllerManager  init () line: 32_x000D_
NativeConstructorAccessorImpl newInstance()(Constructor     Object  ) line: not available  native method _x000D_
NativeConstructorAccessorImpl newInstance(Object  ) line: not available_x000D_
DelegatingConstructorAccessorImpl newInstance(Object  ) line: not available_x000D_
Constructor T  newInstance(Object   ) line: not available_x000D_
Class T  newInstance() line: not available_x000D_
ClassReflection newInstance(Class T ) line: 93_x000D_
Controllers initialize() line: 118_x000D_
Controllers addListener(ControllerListener) line: 59_x000D_
   _x000D_
_x000D_
     Please select the affected platforms_x000D_
      Android_x000D_
      iOS (robovm)_x000D_
      iOS (MOE)_x000D_
      HTML GWT_x000D_
   X  Windows_x000D_
      Linux_x000D_
      MacOS_x000D_
</t>
  </si>
  <si>
    <t>TeamNewPipe-NewPipe-2287</t>
  </si>
  <si>
    <t>GDPR pop-up in crash window is too big for some screens</t>
  </si>
  <si>
    <t xml:space="preserve">   X  I carefully read the  contribution guidelines (https:  github com TeamNewPipe NewPipe blob HEAD  github CONTRIBUTING md) and agree to them _x000D_
   X  I checked if the issue feature exists in the latest version _x000D_
     I did use the  incredible bugreport to markdown converter (https:  teamnewpipe github io CrashReportToMarkdown ) to paste bug reports _x000D_
_x000D_
Device : Huawei Y560 L01_x000D_
Screen Size : 4 5inch   480 854px_x000D_
Android Version : 5 1 1  API 22 (that s what written when NewPipe crash sometimes)   EMUI 3 1_x000D_
NewPipe Version : 0 16 1_x000D_
_x000D_
Hello NewPipe team _x000D_
_x000D_
When trying to send a crash report  a pop up appeared a few time ago asking us to read the NewPipe s Privacy Policy  and after accept it in the same pop up window  The problem is that my screen is too small to see the  Accept  button _x000D_
I joined a screenshot showing you the problem _x000D_
_x000D_
  Screenshot 2019 04 14 20 55 09 (https:  user images githubusercontent com 49619493 56097666 cb2a7080 5ef7 11e9 9328 2786b128b379 png)_x000D_
</t>
  </si>
  <si>
    <t>SecUSo-privacy-friendly-shopping-list-71</t>
  </si>
  <si>
    <t>App crash when tapping thumbnail in list item</t>
  </si>
  <si>
    <t xml:space="preserve">Android 7 1 1 on a Moto E4_x000D_
Shopping List 1 0 9 installed from f droid_x000D_
_x000D_
When adding a photo to an item  the photo is taken  and a thumbnail appears in the expanded item view _x000D_
_x000D_
But  tapping the thumbnail results in an app crash (see attached image)   I expected that tapping the thumbnail would provide a larger full screen type view of the photo _x000D_
_x000D_
  Screenshot 20190414 073918 (https:  user images githubusercontent com 305956 56097147 99e17e80 5ebe 11e9 8c40 348372841635 png)_x000D_
</t>
  </si>
  <si>
    <t>andyrozman-RileyLinkAAPS-116</t>
  </si>
  <si>
    <t xml:space="preserve">AAPS Crashes when processing UnabsorbedInsulin entries  </t>
  </si>
  <si>
    <t xml:space="preserve">It crashes at  PumpHistoryResult java                      _x000D_
  if (DateTimeUtil getYear(unprocessedEntry atechDateTime)    2000)  atechDateTime is null_x000D_
_x000D_
I see that UnabsorbedInsulin entryType It is not getting decoded but it is getting marked as  RecordDecodeStatus OK  should it be marked  RecordDecodeStatus Ignored  or it does need to get decoded </t>
  </si>
  <si>
    <t>khalid-hussain-HisnulMuslim-63</t>
  </si>
  <si>
    <t>Invalid SQL query: table not found</t>
  </si>
  <si>
    <t xml:space="preserve">The app crashes upon starting up  The following is from Logcat:_x000D_
_x000D_
   logcat_x000D_
2019 04 14 04:31:25 820 31823 31823   E id defcontaine: Not starting debugger since process cannot load the jdwp agent _x000D_
    _x000D_
              beginning of system_x000D_
2019 04 14 04:31:28 159 2174 3442   E installd: Failed to delete  data app vmdl1957957443 tmp: No such file or directory_x000D_
2019 04 14 04:31:28 252 31917 31917   E com miui spock: Not starting debugger since process cannot load the jdwp agent _x000D_
2019 04 14 04:31:28 355 2921 5869   E ANDR PERF JNI: com qualcomm qtiperformance native perf io prefetch start_x000D_
2019 04 14 04:31:28 355 585 639   E ANDR PERF MPCTL: Invalid profile no  0  total profiles 0 only_x000D_
2019 04 14 04:31:28 368 2921 5869   E ActivityTrigger: activityStartTrigger: not whiteListedcom khalid hisnulmuslim com khalid hisnulmuslim DuaGroupActivity 1_x000D_
2019 04 14 04:31:28 369 2921 5869   E ActivityTrigger: activityResumeTrigger: not whiteListedcom khalid hisnulmuslim com khalid hisnulmuslim DuaGroupActivity 1_x000D_
2019 04 14 04:31:28 377 2921 8305   E ActivityTrigger: activityResumeTrigger: not whiteListedcom khalid hisnulmuslim com khalid hisnulmuslim DuaGroupActivity 1_x000D_
2019 04 14 04:31:28 574 31955 31967   E id hisnulmusli: Failed to send DDMS packet REAQ to debugger ( 1 of 20): Broken pipe_x000D_
2019 04 14 04:31:29 202 31955 31955   E SQLiteLog: (14) cannot open file at line 36667 of  c255889bd9 _x000D_
2019 04 14 04:31:29 202 31955 31955   E SQLiteLog: (14) os unix c:36667: (2) open(  data  data  com khalid hisnulmuslim  databases  hisnul sqlite3)   _x000D_
2019 04 14 04:31:29 206 31955 31955   E SQLiteDatabase: Failed to open database    data  data  com khalid hisnulmuslim  databases  hisnul sqlite3  _x000D_
    android database sqlite SQLiteCantOpenDatabaseException: unknown error (code 14 SQLITE CANTOPEN): Could not open database_x000D_
        at android database sqlite SQLiteConnection nativeOpen(Native Method)_x000D_
        at android database sqlite SQLiteConnection open(SQLiteConnection java:211)_x000D_
        at android database sqlite SQLiteConnection open(SQLiteConnection java:195)_x000D_
        at android database sqlite SQLiteConnectionPool openConnectionLocked(SQLiteConnectionPool java:503)_x000D_
        at android database sqlite SQLiteConnectionPool open(SQLiteConnectionPool java:204)_x000D_
        at android database sqlite SQLiteConnectionPool open(SQLiteConnectionPool java:196)_x000D_
        at android database sqlite SQLiteDatabase openInner(SQLiteDatabase java:880)_x000D_
        at android database sqlite SQLiteDatabase open(SQLiteDatabase java:865)_x000D_
        at android database sqlite SQLiteDatabase openDatabase(SQLiteDatabase java:766)_x000D_
        at android database sqlite SQLiteDatabase openDatabase(SQLiteDatabase java:714)_x000D_
        at com khalid hisnulmuslim database ExternalDbOpenHelper checkDataBase(ExternalDbOpenHelper java:74)_x000D_
        at com khalid hisnulmuslim database ExternalDbOpenHelper createDataBase(ExternalDbOpenHelper java:55)_x000D_
        at com khalid hisnulmuslim database ExternalDbOpenHelper openDataBase(ExternalDbOpenHelper java:113)_x000D_
        at com khalid hisnulmuslim database ExternalDbOpenHelper  init (ExternalDbOpenHelper java:46)_x000D_
        at com khalid hisnulmuslim database ExternalDbOpenHelper getInstance(ExternalDbOpenHelper java:31)_x000D_
        at com khalid hisnulmuslim loader AbstractQueryLoader  init (AbstractQueryLoader java:13)_x000D_
        at com khalid hisnulmuslim loader DuaGroupLoader  init (DuaGroupLoader java:17)_x000D_
        at com khalid hisnulmuslim DuaGroupActivity onCreateLoader(DuaGroupActivity java:126)_x000D_
        at androidx loader app LoaderManagerImpl createAndInstallLoader(LoaderManagerImpl java:383)_x000D_
        at androidx loader app LoaderManagerImpl initLoader(LoaderManagerImpl java:421)_x000D_
        at com khalid hisnulmuslim DuaGroupActivity onCreate(DuaGroupActivity java:76)_x000D_
        at android app Activity performCreate(Activity java:7136)_x000D_
        at android app Activity performCreate(Activity java:7127)_x000D_
        at android app Instrumentation callActivityOnCreate(Instrumentation java:1272)_x000D_
        at android app ActivityThread performLaunchActivity(ActivityThread java:2905)_x000D_
        at android app ActivityThread handleLaunchActivity(ActivityThread java:3060)_x000D_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java:1818)_x000D_
        at android os Handler dispatchMessage(Handler java:106)_x000D_
        at android os Looper loop(Looper java:193)_x000D_
        at android app ActivityThread main(ActivityThread java:6762)_x000D_
        at java lang reflect Method invoke(Native Method)_x000D_
        at com android internal os RuntimeInit MethodAndArgsCaller run(RuntimeInit java:493)_x000D_
        at com android internal os ZygoteInit main(ZygoteInit java:858)_x000D_
2019 04 14 04:31:29 206 31955 31955   E class com khalid hisnulmuslim database ExternalDbOpenHelper: Error while checking db_x000D_
2019 04 14 04:31:29 272 31955 31998   E SQLiteLog: (1) no such table: dua title_x000D_
2019 04 14 04:31:29 276 31955 31998   E AndroidRuntime: FATAL EXCEPTION: ModernAsyncTask  1_x000D_
    Process: com khalid hisnulmuslim  PID: 31955_x000D_
    java lang RuntimeException: An error occurred while executing doInBackground()_x000D_
        at androidx loader content ModernAsyncTask 3 done(ModernAsyncTask java:164)_x000D_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android database sqlite SQLiteException: no such table: dua title (code 1 SQLITE ERROR):   while compiling: SELECT  id  en title FROM dua title ORDER BY  id_x000D_
        at android database sqlite SQLiteConnection nativePrepareStatement(Native Method)_x000D_
        at android database sqlite SQLiteConnection acquirePreparedStatement(SQLiteConnection java:903)_x000D_
        at android database sqlite SQLiteConnection prepare(SQLiteConnection java:514)_x000D_
        at android database sqlite SQLiteSession prepare(SQLiteSession java:588)_x000D_
        at android database sqlite SQLiteProgram  init (SQLiteProgram java:58)_x000D_
        at android database sqlite SQLiteQuery  init (SQLiteQuery java:37)_x000D_
        at android database sqlite SQLiteDirectCursorDriver query(SQLiteDirectCursorDriver java:46)_x000D_
        at android database sqlite SQLiteDatabase rawQueryWithFactory(SQLiteDatabase java:1408)_x000D_
        at android database sqlite SQLiteDatabase rawQuery(SQLiteDatabase java:1347)_x000D_
        at com khalid hisnulmuslim loader DuaGroupLoader loadInBackground(DuaGroupLoader java:39)_x000D_
        at com khalid hisnulmuslim loader DuaGroupLoader loadInBackground(DuaGroupLoader java:14)_x000D_
        at androidx loader content AsyncTaskLoader onLoadInBackground(AsyncTaskLoader java:307)_x000D_
        at androidx loader content AsyncTaskLoader LoadTask doInBackground(AsyncTaskLoader java:60)_x000D_
        at androidx loader content AsyncTaskLoader LoadTask doInBackground(AsyncTaskLoader java:48)_x000D_
        at androidx loader content ModernAsyncTask 2 call(ModernAsyncTask java:141)_x000D_
        at java util concurrent FutureTask run(FutureTask java:266)_x000D_
        at java util concurrent ThreadPoolExecutor runWorker(ThreadPoolExecutor java:1167) _x000D_
        at java util concurrent ThreadPoolExecutor Worker run(ThreadPoolExecutor java:641) _x000D_
        at java lang Thread run(Thread java:764) _x000D_
2019 04 14 04:31:29 297 601 601   E lowmemorykiller: Error writing  proc 31955 oom score adj  errno 22_x000D_
2019 04 14 04:31:29 325 2921 4601   E ActivityTrigger: activityResumeTrigger: not whiteListedcom teslacoilsw launcher com teslacoilsw launcher NovaLauncher 61156_x000D_
2019 04 14 04:31:29 335 585 639   E ANDR PERF OPTSHANDLER: Perflock resource  sys class devfreq soc:qcom llccbw min freq not supported_x000D_
2019 04 14 04:31:29 335 585 639   E ANDR PERF RESOURCEQS: Failed to apply optimization  12  0 _x000D_
2019 04 14 04:31:29 336 585 639   E ANDR PERF OPTSHANDLER: Failed to read  sys class kgsl kgsl 3d0 force no nap_x000D_
2019 04 14 04:31:29 336 585 639   E ANDR PERF RESOURCEQS: Failed to apply optimization  10  7 _x000D_
   _x000D_
_x000D_
The main cause of the problem is probably the following line:_x000D_
_x000D_
   logcat_x000D_
2019 04 14 04:31:29 206 31955 31955   E SQLiteDatabase: Failed to open database    data  data  com khalid hisnulmuslim  databases  hisnul sqlite3  _x000D_
   _x000D_
_x000D_
This can be resolved by changing the  line (https:  github com khalid hussain HisnulMuslim blob eeba9f532a8e0942fe3f1b30dd89f53d6e9801c9 app src main java com khalid hisnulmuslim database ExternalDbOpenHelper java L45) to:_x000D_
_x000D_
   _x000D_
DB PATH   String format(  data data  s databases    packageName) _x000D_
   _x000D_
_x000D_
   _x000D_
_x000D_
This leaves us with the following:_x000D_
_x000D_
   _x000D_
2019 04 14 04:58:53 546 2183 2379   E storaged: getDiskStats failed with result NOT SUPPORTED and size 0_x000D_
2019 04 14 04:59:21 198 2174 3411   E installd: Failed to delete  data app vmdl1765973611 tmp: No such file or directory_x000D_
2019 04 14 04:59:21 492 585 639   E ANDR PERF MPCTL: Invalid profile no  0  total profiles 0 only_x000D_
2019 04 14 04:59:21 493 2921 8305   E ANDR PERF JNI: com qualcomm qtiperformance native perf io prefetch start_x000D_
2019 04 14 04:59:21 502 2921 8305   E ActivityTrigger: activityStartTrigger: not whiteListedcom khalid hisnulmuslim com khalid hisnulmuslim DuaGroupActivity 1_x000D_
2019 04 14 04:59:21 502 2921 8305   E ActivityTrigger: activityResumeTrigger: not whiteListedcom khalid hisnulmuslim com khalid hisnulmuslim DuaGroupActivity 1_x000D_
2019 04 14 04:59:21 507 2921 2948   E ActivityTrigger: activityResumeTrigger: not whiteListedcom khalid hisnulmuslim com khalid hisnulmuslim DuaGroupActivity 1_x000D_
2019 04 14 04:59:21 604 6451 6459   E id hisnulmusli: Failed to send DDMS packet REAQ to debugger ( 1 of 20): Broken pipe_x000D_
2019 04 14 04:59:21 768 2921 2921   E LoadedApk: Unable to instantiate appComponentFactory_x000D_
    java lang ClassNotFoundException: Didn t find class  androidx core app CoreComponentFactory  on path: DexPathList    nativeLibraryDirectories   data app com khalid hisnulmuslim HjTsgk PNDyV8JtEaiZMqg   lib arm64   system lib64   system vendor lib64  _x000D_
        at dalvik system BaseDexClassLoader findClass(BaseDexClassLoader java:134)_x000D_
        at java lang ClassLoader loadClass(ClassLoader java:379)_x000D_
        at java lang ClassLoader loadClass(ClassLoader java:312)_x000D_
        at android app LoadedApk createAppFactory(LoadedApk java:217)_x000D_
        at android app LoadedApk updateApplicationInfo(LoadedApk java:329)_x000D_
        at android app ActivityThread handleDispatchPackageBroadcast(ActivityThread java:5410)_x000D_
        at android app ActivityThread H handleMessage(ActivityThread java:1743)_x000D_
        at android os Handler dispatchMessage(Handler java:106)_x000D_
        at android os Looper loop(Looper java:193)_x000D_
        at com android server SystemServer run(SystemServer java:460)_x000D_
        at com android server SystemServer main(SystemServer java:300)_x000D_
        at java lang reflect Method invoke(Native Method)_x000D_
        at com android internal os RuntimeInit MethodAndArgsCaller run(RuntimeInit java:493)_x000D_
        at com android internal os ZygoteInit main(ZygoteInit java:838)_x000D_
2019 04 14 04:59:21 769 2921 2921   E LoadedApk: Unable to instantiate appComponentFactory_x000D_
    java lang ClassNotFoundException: Didn t find class  androidx core app CoreComponentFactory  on path: DexPathList    nativeLibraryDirectories   data app com khalid hisnulmuslim HjTsgk PNDyV8JtEaiZMqg   lib arm64   system lib64   system vendor lib64  _x000D_
        at dalvik system BaseDexClassLoader findClass(BaseDexClassLoader java:134)_x000D_
        at java lang ClassLoader loadClass(ClassLoader java:379)_x000D_
        at java lang ClassLoader loadClass(ClassLoader java:312)_x000D_
        at android app LoadedApk createAppFactory(LoadedApk java:217)_x000D_
        at android app LoadedApk updateApplicationInfo(LoadedApk java:329)_x000D_
        at android app ActivityThread handleDispatchPackageBroadcast(ActivityThread java:5410)_x000D_
        at android app ActivityThread H handleMessage(ActivityThread java:1743)_x000D_
        at android os Handler dispatchMessage(Handler java:106)_x000D_
        at android os Looper loop(Looper java:193)_x000D_
        at com android server SystemServer run(SystemServer java:460)_x000D_
        at com android server SystemServer main(SystemServer java:300)_x000D_
        at java lang reflect Method invoke(Native Method)_x000D_
        at com android internal os RuntimeInit MethodAndArgsCaller run(RuntimeInit java:493)_x000D_
        at com android internal os ZygoteInit main(ZygoteInit java:838)_x000D_
2019 04 14 04:59:22 198 6451 6491   E SQLiteLog: (1) no such table: dua group_x000D_
2019 04 14 04:59:22 202 6451 6491   E AndroidRuntime: FATAL EXCEPTION: ModernAsyncTask  1_x000D_
    Process: com khalid hisnulmuslim  PID: 6451_x000D_
    java lang RuntimeException: An error occurred while executing doInBackground()_x000D_
        at androidx loader content ModernAsyncTask 3 done(ModernAsyncTask java:164)_x000D_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java:1167)_x000D_
        at java util concurrent ThreadPoolExecutor Worker run(ThreadPoolExecutor java:641)_x000D_
        at java lang Thread run(Thread java:764)_x000D_
     Caused by: android database sqlite SQLiteException: no such table: dua group (code 1 SQLITE ERROR):   while compiling: SELECT  id  en title FROM dua group ORDER BY  id_x000D_
        at android database sqlite SQLiteConnection nativePrepareStatement(Native Method)_x000D_
        at android database sqlite SQLiteConnection acquirePreparedStatement(SQLiteConnection java:903)_x000D_
        at android database sqlite SQLiteConnection prepare(SQLiteConnection java:514)_x000D_
        at android database sqlite SQLiteSession prepare(SQLiteSession java:588)_x000D_
        at android database sqlite SQLiteProgram  init (SQLiteProgram java:58)_x000D_
        at android database sqlite SQLiteQuery  init (SQLiteQuery java:37)_x000D_
        at android database sqlite SQLiteDirectCursorDriver query(SQLiteDirectCursorDriver java:46)_x000D_
        at android database sqlite SQLiteDatabase rawQueryWithFactory(SQLiteDatabase java:1408)_x000D_
        at android database sqlite SQLiteDatabase queryWithFactory(SQLiteDatabase java:1255)_x000D_
        at android database sqlite SQLiteDatabase query(SQLiteDatabase java:1126)_x000D_
        at android database sqlite SQLiteDatabase query(SQLiteDatabase java:1294)_x000D_
        at com khalid hisnulmuslim loader DuaGroupLoader loadInBackground(DuaGroupLoader java:39)_x000D_
        at com khalid hisnulmuslim loader DuaGroupLoader loadInBackground(DuaGroupLoader java:14)_x000D_
        at androidx loader content AsyncTaskLoader onLoadInBackground(AsyncTaskLoader java:307)_x000D_
        at androidx loader content AsyncTaskLoader LoadTask doInBackground(AsyncTaskLoader java:60)_x000D_
        at androidx loader content AsyncTaskLoader LoadTask doInBackground(AsyncTaskLoader java:48)_x000D_
        at androidx loader content ModernAsyncTask 2 call(ModernAsyncTask java:141)_x000D_
        at java util concurrent FutureTask run(FutureTask java:266)_x000D_
        at java util concurrent ThreadPoolExecutor runWorker(ThreadPoolExecutor java:1167) _x000D_
        at java util concurrent ThreadPoolExecutor Worker run(ThreadPoolExecutor java:641) _x000D_
        at java lang Thread run(Thread java:764) _x000D_
2019 04 14 04:59:22 221 601 601   E lowmemorykiller: Error writing  proc 6451 oom score adj  errno 22_x000D_
2019 04 14 04:59:22 252 2921 3400   E ActivityTrigger: activityResumeTrigger: not whiteListedcom teslacoilsw launcher com teslacoilsw launcher NovaLauncher 61156_x000D_
2019 04 14 04:59:22 261 585 639   E ANDR PERF OPTSHANDLER: Perflock resource  sys class devfreq soc:qcom llccbw min freq not supported_x000D_
2019 04 14 04:59:22 262 585 639   E ANDR PERF RESOURCEQS: Failed to apply optimization  12  0 _x000D_
2019 04 14 04:59:22 262 585 639   E ANDR PERF OPTSHANDLER: Failed to read  sys class kgsl kgsl 3d0 force no nap_x000D_
2019 04 14 04:59:22 262 585 639   E ANDR PERF RESOURCEQS: Failed to apply optimization  10  7 _x000D_
   _x000D_
_x000D_
Now it can t find the table required </t>
  </si>
  <si>
    <t>mauriceoegerli-Monthh-1</t>
  </si>
  <si>
    <t xml:space="preserve">Bug on search </t>
  </si>
  <si>
    <t xml:space="preserve">    Describe the bug_x000D_
I clicked on the 3 dot icons by the right top  and clicked on the search  to search but the app crash  I felt it was a one time thing  but the app kept crashing when I relaunched it and searched again_x000D_
_x000D_
    Steps to reproduce _x000D_
_x000D_
  Launch the app _x000D_
_x000D_
  Clicked on the 3 dot icons by the right at the top_x000D_
_x000D_
  Click on the search to search for anything and see the error _x000D_
_x000D_
    Expected Behaviour_x000D_
_x000D_
I expected that I could search for anything on the application _x000D_
_x000D_
    Screen recording_x000D_
https:  youtu be lidsXvw76 I_x000D_
_x000D_
    Devices and Versions):)_x000D_
_x000D_
Device:  Itel _x000D_
_x000D_
Version  6 1 _x000D_
_x000D_
App version  1 1 _x000D_
_x000D_
_x000D_
    Log_x000D_
_x000D_
    04 12 11:17:23 700 14340 14340 E AndroidRuntime: Process: com maurice monthh  PID: 14340_x000D_
04 12 11:17:23 700 14340 14340 E AndroidRuntime: java lang NullPointerException: Attempt to invoke virtual method  android content ComponentName android app SearchableInfo getSearchActivity()  on a null object reference_x000D_
04 12 11:17:23 700 14340 14340 E AndroidRuntime: 	at com android calendar CalendarController launchSearch(CalendarController java:639)_x000D_
04 12 11:17:23 700 14340 14340 E AndroidRuntime: 	at com android calendar CalendarController sendEvent(CalendarController java:444)_x000D_
04 12 11:17:23 700 14340 14340 E AndroidRuntime: 	at com android calendar CalendarController sendEvent(CalendarController java:255)_x000D_
04 12 11:17:23 700 14340 14340 E AndroidRuntime: 	at com android calendar CalendarController sendEvent(CalendarController java:239)_x000D_
04 12 11:17:23 700 14340 14340 E AndroidRuntime: 	at com android calendar AllInOneActivity onQueryTextSubmit(AllInOneActivity java:1410)_x000D_
04 12 11:17:23 700 14340 14340 E AndroidRuntime: 	at android support v7 widget SearchView onSubmitQuery(SearchView java:1190)_x000D_
04 12 11:17:23 700 14340 14340 E AndroidRuntime: 	at android support v7 widget SearchView 7 onEditorAction(SearchView java:1167)_x000D_
04 12 11:17:23 700 14340 14340 E AndroidRuntime: 	at android widget TextView onEditorAction(TextView java:4765)_x000D_
04 12 11:17:23 700 14340 14340 E AndroidRuntime: 	at com android internal widget EditableInputConnection performEditorAction(EditableInputConnection java:139)_x000D_
04 12 11:17:23 700 14340 14340 E AndroidRuntime: 	at com android internal view IInputConnectionWrapper executeMessage(IInputConnectionWrapper java:304)_x000D_
04 12 11:17:23 700 14340 14340 E AndroidRuntime: 	at com android internal view IInputConnectionWrapper MyHandler handleMessage(IInputConnectionWrapper java:78)_x000D_
04 12 11:17:23 700 14340 14340 E AndroidRuntime: 	at android os Handler dispatchMessage(Handler java:102)_x000D_
04 12 11:17:23 700 14340 14340 E AndroidRuntime: 	at android os Looper loop(Looper java:148)_x000D_
04 12 11:17:23 700 14340 14340 E AndroidRuntime: 	at android app ActivityThread main(ActivityThread java:5452)_x000D_
04 12 11:17:23 700 14340 14340 E AndroidRuntime: 	at java lang reflect Method invoke(Native Method)_x000D_
04 12 11:17:23 700 14340 14340 E AndroidRuntime: 	at com android internal os ZygoteInit MethodAndArgsCaller run(ZygoteInit java:781)_x000D_
04 12 11:17:23 700 14340 14340 E AndroidRuntime: 	at com android internal os ZygoteInit main(ZygoteInit java:671)   </t>
  </si>
  <si>
    <t>LawnchairLauncher-lawnchair-1492</t>
  </si>
  <si>
    <t xml:space="preserve">Some Icons disappear on reboot with lawnchair v2 </t>
  </si>
  <si>
    <t xml:space="preserve">   Description_x000D_
I shut down my phone every night and on start in the morning  some icons have disappeared during the night _x000D_
it doesn t happen when i just reboot the phone  I had the same issue with rootless pixel launcher _x000D_
_x000D_
   Expected Behavior_x000D_
the icons i configured on my home screens are there_x000D_
_x000D_
_x000D_
   Actual Behavior_x000D_
the icons i configured on my home screens disappear randomly_x000D_
_x000D_
_x000D_
   Steps to Reproduce_x000D_
_x000D_
1  Shut down the phone_x000D_
2  wait for a while (one whole night)_x000D_
3  Start the phone_x000D_
_x000D_
_x000D_
   Environment_x000D_
  Device: LG G6 h870_x000D_
  Android version: 8 0 0_x000D_
  Launcher version: alpha 2 0 1957_x000D_
  Rom: V20h EUR XX_x000D_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your log here_x000D_
   _x000D_
</t>
  </si>
  <si>
    <t>niclabs-adkintunmobile-androidclient-203</t>
  </si>
  <si>
    <t>HttpMultipartRequest.java line 146</t>
  </si>
  <si>
    <t xml:space="preserve">     in cl niclabs adkintunmobile utils volley HttpMultipartRequest buildPart
  Number of crashes: 1
  Impacted devices: 1
There s a lot more information about this crash on crashlytics com:
 https:  fabric io niclabs android apps cl niclabs adkintunmobile issues 5cb00701f8b88c2963962a56 utm medium service hooks github utm source issue impact (https:  fabric io niclabs android apps cl niclabs adkintunmobile issues 5cb00701f8b88c2963962a56 utm medium service hooks github utm source issue impact)</t>
  </si>
  <si>
    <t>google-ExoPlayer-5757</t>
  </si>
  <si>
    <t>HLS VERSION 3  CONTENT NOT DOWNLOADING ON DEMO APP</t>
  </si>
  <si>
    <t xml:space="preserve">     Issue description_x000D_
HLS file from the Music app is not downloading on the demo app _x000D_
when i observed the HLS file from the demo content  it was version 6 and mine is version 3  _x000D_
_x000D_
     Reproduction steps_x000D_
1  Replace the HLS link with the one  sent via email in the HLS section of the Json File  _x000D_
2  Run app and select  the download Link for the selcted one you replaced _x000D_
3  you would notice no variations are shown and the Dialog just shows CANCEL and OK _x000D_
4  Selct OK  App crashes _x000D_
_x000D_
Log Below  _x000D_
_x000D_
     Link to test content_x000D_
Link Emailed with issue  1234  resent with issue  5757_x000D_
_x000D_
    A full bug report captured from the device_x000D_
   _x000D_
2019 04 11 15:45:46 783 14430 14430   E AndroidRuntime: FATAL EXCEPTION: main_x000D_
    Process: com google android exoplayer2 demo  PID: 14430_x000D_
    java lang NullPointerException_x000D_
        at com google android exoplayer2 util Assertions checkNotNull(Assertions java:110)_x000D_
        at com google android exoplayer2 source hls offline HlsDownloadHelper getDownloadAction(HlsDownloadHelper java:100)_x000D_
        at com google android exoplayer2 source hls offline HlsDownloadHelper getDownloadAction(HlsDownloadHelper java:41)_x000D_
        at com google android exoplayer2 demo DownloadTracker StartDownloadDialogHelper onClick(DownloadTracker java:296)_x000D_
        at com android internal app AlertController ButtonHandler handleMessage(AlertController java:180)_x000D_
        at android os Handler dispatchMessage(Handler java:110)_x000D_
        at android os Looper loop(Looper java:203)_x000D_
        at android app ActivityThread main(ActivityThread java:6251)_x000D_
        at java lang reflect Method invoke(Native Method)_x000D_
        at com android internal os ZygoteInit MethodAndArgsCaller run(ZygoteInit java:1073)_x000D_
        at com android internal os ZygoteInit main(ZygoteInit java:934)_x000D_
   _x000D_
_x000D_
     Version of ExoPlayer being used_x000D_
    releaseVersion    2 8 1 _x000D_
_x000D_
_x000D_
     Device(s) and version(s) of Android being used_x000D_
No Specific Device _x000D_
_x000D_
     DO NOT DELETE_x000D_
validate template true_x000D_
template path  github ISSUE TEMPLATE bug md_x000D_
   _x000D_
</t>
  </si>
  <si>
    <t>nextcloud-android-3881</t>
  </si>
  <si>
    <t>NPE in AuthenticatorActivity.onActivityResult</t>
  </si>
  <si>
    <t xml:space="preserve">via GPlay:_x000D_
   _x000D_
java lang RuntimeException: _x000D_
  at android app ActivityThread deliverResults (ActivityThread java:5041)_x000D_
  at android app ActivityThread handleSendResult (ActivityThread java:5084)_x000D_
  at android app ActivityThread  wrap20 (Unknown Source)_x000D_
  at android app ActivityThread H handleMessage (ActivityThread java:2053)_x000D_
  at android os Handler dispatchMessage (Handler java:108)_x000D_
  at android os Looper loop (Looper java:166)_x000D_
  at android app ActivityThread main (ActivityThread java:7529)_x000D_
  at java lang reflect Method invoke (Native Method)_x000D_
  at com android internal os Zygote MethodAndArgsCaller run (Zygote java:245)_x000D_
  at com android internal os ZygoteInit main (ZygoteInit java:921)_x000D_
Caused by: java lang NullPointerException: _x000D_
  at com owncloud android authentication AuthenticatorActivity onActivityResult (AuthenticatorActivity java:2418)_x000D_
  at android app Activity dispatchActivityResult (Activity java:7701)_x000D_
  at android app ActivityThread deliverResults (ActivityThread java:5037)_x000D_
   _x000D_
_x000D_
It seems there are cases where the scan probably crashed and returns while the result won t have the string we are looking for  so we need to mae this null safe </t>
  </si>
  <si>
    <t>OneBusAway-onebusaway-android-975</t>
  </si>
  <si>
    <t>Destination reminders - Support CSV test files that include extra newlines</t>
  </si>
  <si>
    <t xml:space="preserve">  Summary:   _x000D_
_x000D_
We should support nav trip  csv test files that include extra newlines at the bottom  Currently test crashes when trying to parse coordinate ID from the empty string at the end of the file _x000D_
_x000D_
  Steps to reproduce:   _x000D_
_x000D_
Add a new destination reminder unit test with a CSV file that has an empty line at the end_x000D_
_x000D_
  Expected behavior:   _x000D_
_x000D_
Ignore the empty line and execute the test_x000D_
_x000D_
  Observed behavior:   _x000D_
_x000D_
The test crashes when loading the file_x000D_
_x000D_
  Device and Android version:   _x000D_
_x000D_
N A</t>
  </si>
  <si>
    <t>maks-MGit-450</t>
  </si>
  <si>
    <t>Git config user section name is incorrect</t>
  </si>
  <si>
    <t>After setting name and email   git commit  crashed  The error report asked me to set name and email of the user  The raw config file had a section   name    After I changed the section name to   user     git commit  started working fine  _x000D_
_x000D_
The problem seems to be in the following line:_x000D_
_x000D_
https:  github com maks MGit blob c6ae80ef66cd285912db899a86f4bea985eb7625 app src main java me sheimi sgit database models GitConfig java L19</t>
  </si>
  <si>
    <t>awslabs-aws-mobile-appsync-sdk-android-146</t>
  </si>
  <si>
    <t>fix bug NPE at ApolloServerInterceptor</t>
  </si>
  <si>
    <t xml:space="preserve"> Issue    if available: _x000D_
_x000D_
 Description of changes: _x000D_
Fix potential crash due to NPE at HttpCall object_x000D_
_x000D_
By submitting this pull request  I confirm that you can use  modify  copy  and redistribute this contribution  under the terms of your choice _x000D_
</t>
  </si>
  <si>
    <t>react-native-geolocation-react-native-geolocation-23</t>
  </si>
  <si>
    <t>Permissions and requestAuthorization</t>
  </si>
  <si>
    <t xml:space="preserve">   Environment_x000D_
   _x000D_
Environment:_x000D_
  OS: macOS High Sierra 10 13 6_x000D_
  Node: 8 11 2_x000D_
  Yarn: 1 9 4_x000D_
  npm: 5 6 0_x000D_
  Watchman: 4 9 0_x000D_
  Xcode: Xcode 10 1 Build version 10B61_x000D_
  Android Studio: 3 3 AI 182 5107 16 33 5314842_x000D_
_x000D_
Packages: (wanted    installed)_x000D_
  react: 16 3 1    16 3 1_x000D_
  react native: 0 55 4    0 55 4_x000D_
   _x000D_
_x000D_
   Platforms_x000D_
  Android _x000D_
_x000D_
   Versions_x000D_
  Android: APi 25 nexus 5X (simu)_x000D_
    react native community geolocation :   1 1 0  _x000D_
  react native: 0 55 4  _x000D_
  react: 16 3 1  _x000D_
_x000D_
   Description_x000D_
When you call  Geolocation requestAuthorization()   from Android you get a error screen  maybe this method is only intended for iOS   _x000D_
_x000D_
   Reproducible Demo_x000D_
Just adding this line will get it to crash_x000D_
_x000D_
   Additional Question _x000D_
In the documentation you can see : _x000D_
   _x000D_
Android API    18 Positions will also contain a mocked boolean to indicate if position was created from a mock provider _x000D_
_x000D_
Android API    23 Requires an additional step to check for  and request the ACCESS FINE LOCATION permission using the PermissionsAndroid API  Failure to do so may result in a hard crash _x000D_
   _x000D_
_x000D_
But as it is the library is asking for the permissions itself so we don t need to do anything more than just call  Geolocation getCurrentPosition  like in the integrated version from before no  _x000D_
_x000D_
Thanks a lot</t>
  </si>
  <si>
    <t>TeamNewPipe-NewPipe-2280</t>
  </si>
  <si>
    <t>Captions / Subtitles cause NPE Crash</t>
  </si>
  <si>
    <t xml:space="preserve">  Screenshot 20190411 161735 (https:  user images githubusercontent com 6219285 55942418 ef2b4f00 5c76 11e9 8617 dced1a5874ca jpg)_x000D_
_x000D_
it is the last code  I am using ExoPlayer 2 9 6  _x000D_
When i try to switch captions  app crashes _x000D_
Here is the crash log  Please help  Thank you _x000D_
_x000D_
  2019 04 11 16:19:10 236 26144 26144   E class org schabi newpipe report ErrorActivity: java lang NullPointerException: Attempt to invoke virtual method  boolean java lang String isEmpty()  on a null object reference_x000D_
        at java util Locale getISO3Language(Locale java:1686)_x000D_
        at com google android exoplayer2 util Util normalizeLanguageCode(Util java:417)_x000D_
        at com google android exoplayer2 trackselection DefaultTrackSelector Parameters  init (DefaultTrackSelector java:749)_x000D_
        at com google android exoplayer2 trackselection DefaultTrackSelector ParametersBuilder build(DefaultTrackSelector java:540)_x000D_
        at com google android exoplayer2 trackselection DefaultTrackSelector setParameters(DefaultTrackSelector java:1157)_x000D_
        at org schabi newpipe player VideoPlayer lambda buildCaptionMenu 2(VideoPlayer java:308)_x000D_
        at org schabi newpipe player    Lambda VideoPlayer yR0wbGD8IQocuwF19MgCUgLH9So onMenuItemClick(Unknown Source:4)_x000D_
        at com android internal view menu MenuItemImpl invoke(MenuItemImpl java:163)_x000D_
        at com android internal view menu MenuBuilder performItemAction(MenuBuilder java:908)_x000D_
        at com android internal view menu MenuBuilder performItemAction(MenuBuilder java:898)_x000D_
        at com android internal view menu MenuPopup onItemClick(MenuPopup java:128)_x000D_
        at android widget AdapterView performItemClick(AdapterView java:318)_x000D_
        at android widget AbsListView performItemClick(AbsListView java:1197)_x000D_
        at android widget AbsListView PerformClick run(AbsListView java:3166)_x000D_
        at android widget AbsListView onTouchUp(AbsListView java:4131)_x000D_
        at android widget AbsListView onTouchEvent(AbsListView java:3878)_x000D_
        at android widget DropDownListView onTouchEvent(DropDownListView java:116)_x000D_
        at android view View dispatchTouchEvent(View java:11776)_x000D_
        at android view ViewGroup dispatchTransformedTouchEvent(ViewGroup java:2959)_x000D_
        at android view ViewGroup dispatchTouchEvent(ViewGroup java:2636)_x000D_
        at android view ViewGroup dispatchTransformedTouchEvent(ViewGroup java:2965)_x000D_
        at android view ViewGroup dispatchTouchEvent(ViewGroup java:2650)_x000D_
        at android view ViewGroup dispatchTransformedTouchEvent(ViewGroup java:2965)_x000D_
        at android view ViewGroup dispatchTouchEvent(ViewGroup java:2650)_x000D_
        at android widget PopupWindow PopupDecorView dispatchTouchEvent(PopupWindow java:2397)_x000D_
        at android view View dispatchPointerEvent(View java:12015)_x000D_
        at android view ViewRootImpl ViewPostImeInputStage processPointerEvent(ViewRootImpl java:4866)_x000D_
        at android view ViewRootImpl ViewPostImeInputStage onProcess(ViewRootImpl java:4644)_x000D_
        at android view ViewRootImpl InputStage deliver(ViewRootImpl java:4175)_x000D_
        at android view ViewRootImpl InputStage onDeliverToNext(ViewRootImpl java:4228)_x000D_
        at android view ViewRootImpl InputStage forward(ViewRootImpl java:4194)_x000D_
        at android view ViewRootImpl AsyncInputStage forward(ViewRootImpl java:4321)_x000D_
        at android view ViewRootImpl InputStage apply(ViewRootImpl java:4202)_x000D_
        at android view ViewRootImpl AsyncInputStage apply(ViewRootImpl java:4378)_x000D_
        at android view ViewRootImpl InputStage deliver(ViewRootImpl java:4175)_x000D_
        at android view ViewRootImpl InputStage onDeliverToNext(ViewRootImpl java:4228)_x000D_
        at android view ViewRootImpl InputStage forward(ViewRootImpl java:4194)_x000D_
        at android view ViewRootImpl InputStage apply(ViewRootImpl java:4202)_x000D_
        at android view ViewRootImpl InputStage deliver(ViewRootImpl java:4175)_x000D_
        at android view ViewRootImpl deliverInputEvent(ViewRootImpl java:6754)_x000D_
        at android view ViewRootImpl doProcessInputEvents(ViewRootImpl java:6728)_x000D_
        at android view ViewRootImpl enqueueInputEvent(ViewRootImpl java:6674)_x000D_
        at android view ViewRootImpl WindowInputEventReceiver onInputEvent(ViewRootImpl java:6857)_x000D_
        at android view InputEventReceiver dispatchInputEvent(InputEventReceiver java:186)_x000D_
        at android os MessageQueue nativePollOnce(Native Method)_x000D_
        at android os MessageQueue next(MessageQueue java:325)_x000D_
        at android os Looper loop(Looper java:142)_x000D_
        at android app ActivityThread main(ActivityThread java:6798)_x000D_
        at java lang reflect Method invoke(Native Method)_x000D_
        at com android internal os Zygote MethodAndArgsCaller run(Zygote java:240)_x000D_
    	at com android internal os ZygoteInit main(ZygoteInit _x000D_
</t>
  </si>
  <si>
    <t>UriahShaulMandel-BaldPhone-11</t>
  </si>
  <si>
    <t>[Alarms] some improvements &amp; a tiny bug</t>
  </si>
  <si>
    <t xml:space="preserve">   x  when creating a new alarm  a button (beside   Only once  ) to activate all weekdays at once   like available at the   Pills     may ease the things for some people _x000D_
   BTW: is there a way to reorder the weekdays based on the localization automatically  because a bunch of regions exists  where the week does not start on Sunday  but Monday (or whenever else)  _x000D_
_x000D_
   x  sorting the alarms at the overview by their next time they will ring (and not by their creation time) may be reasonable _x000D_
  i can imagine that some may ask for an alphabetical sorting    but if  i would just make this an optional feature and not the default _x000D_
_x000D_
   x  when no name for an alarm is chosen viewing   Alarm   at the overview (or even setting it as its actual name ) as it is done for a   Timer   may help to avoid confusion _x000D_
_x000D_
   x  BaldPhone crashes when a  one time alarm  occurs while you are viewing the alarm screen and then try to edit the already deleted alarm (funny: turning the already deleted alarm on off  works  without any complains) _x000D_
  the best solution would be to also refresh the overview (as it is done when you manually delete an alarm) after an alarm was deleted automatically </t>
  </si>
  <si>
    <t>mapbox-mapbox-plugins-android-925</t>
  </si>
  <si>
    <t>Add a check for incorrect zoom levels in OfflineDownloadActivity</t>
  </si>
  <si>
    <t xml:space="preserve">The test app crashes if I slide the  Max zoom  slider dot to the left of the  Min zoom  dot and then try to save the region  This is because the max zoom number can t be smaller than the min zoom number  Let s add a quick check in the floating action button s  onClick()  to make sure that the zoom values are valid  </t>
  </si>
  <si>
    <t>react-native-camera-react-native-camera-2203</t>
  </si>
  <si>
    <t>Unfortunately, app has stopped</t>
  </si>
  <si>
    <t xml:space="preserve">I followed all the installation instructions for Android  and now my app crashes at start:  Unfortunately  app has stopped _x000D_
_x000D_
I runned  adb logcat   and this is what I found in log messages:_x000D_
_x000D_
04 10 10:03:56 628 17959 17959 E AndroidRuntime: java lang NoClassDefFoundError: Failed resolution of: Lcom google android gms common internal zzbq _x000D_
04 10 10:03:56 628 17959 17959 E AndroidRuntime:        at com google firebase provider FirebaseInitProvider attachInfo(Unknown Source)_x000D_
04 10 10:03:56 628 17959 17959 E AndroidRuntime:        at android app ActivityThread installProvider(ActivityThread java:5175)_x000D_
04 10 10:03:56 628 17959 17959 E AndroidRuntime:        at android app ActivityThread installContentProviders(ActivityThread java:4770)_x000D_
04 10 10:03:56 628 17959 17959 E AndroidRuntime:        at android app ActivityThread handleBindApplication(ActivityThread java:4710)_x000D_
04 10 10:03:56 628 17959 17959 E AndroidRuntime:        at android app ActivityThread access 1600(ActivityThread java:155)_x000D_
04 10 10:03:56 628 17959 17959 E AndroidRuntime:        at android app ActivityThread H handleMessage(ActivityThread java:1410)_x000D_
04 10 10:03:56 628 17959 17959 E AndroidRuntime:        at android os Handler dispatchMessage(Handler java:102)_x000D_
04 10 10:03:56 628 17959 17959 E AndroidRuntime:        at android os Looper loop(Looper java:174)_x000D_
04 10 10:03:56 628 17959 17959 E AndroidRuntime:        at android app ActivityThread main(ActivityThread java:5440)_x000D_
04 10 10:03:56 628 17959 17959 E AndroidRuntime:        at java lang reflect Method invoke(Native Method)_x000D_
04 10 10:03:56 628 17959 17959 E AndroidRuntime:        at com android internal os ZygoteInit MethodAndArgsCaller run(ZygoteInit java:726)_x000D_
04 10 10:03:56 628 17959 17959 E AndroidRuntime:        at com android internal os ZygoteInit main(ZygoteInit java:616)_x000D_
04 10 10:03:56 628 17959 17959 E AndroidRuntime: Caused by: java lang ClassNotFoundException: Didn t find class  com google android gms common internal zzbq _x000D_
_x000D_
How can I resolve this issue   _x000D_
Thank you </t>
  </si>
  <si>
    <t>react-native-camera-react-native-camera-2202</t>
  </si>
  <si>
    <t>Crash when switching from back camera to front camera</t>
  </si>
  <si>
    <t xml:space="preserve">  Bug Report_x000D_
  To Do First  _x000D_
   x  Did you try latest release _x000D_
   x  Did you try master _x000D_
   x  Did you look for existing matching issues _x000D_
_x000D_
  Related Modules  _x000D_
RNCamera_x000D_
_x000D_
  Platforms  _x000D_
iOS_x000D_
_x000D_
  Versions  _x000D_
  iOS: 12 1 4_x000D_
  react native camera: 2 2 0_x000D_
  react native: 0 57_x000D_
  react: 16 5 0_x000D_
_x000D_
  Description Current Behaviour  _x000D_
On some iPhone models (iphone 7  iphone XS) switching from back to front camera after a first recording session make the camera crash _x000D_
_x000D_
It s possible to switch back and forth between cameras before recording  but when recording has started with the back camera  if you stop recording and try to switch to front camera  the camera component will crash (black screen)_x000D_
_x000D_
  Expected Behaviour  _x000D_
We expect the camera not to crash _x000D_
_x000D_
  Steps to Reproduce  _x000D_
  clone this  project (https:  github com phenixdigital switch camera issue)_x000D_
  run it on iphone7 or later (it doesn t crash on iphone 6)_x000D_
  start recording_x000D_
  stop recording_x000D_
  try to switch camera_x000D_
  crash: black screen_x000D_
_x000D_
  Does it work with Expo Camera   _x000D_
Yes  it is working properly with Expo 32 0 0</t>
  </si>
  <si>
    <t>forrestguice-SuntimesWidget-315</t>
  </si>
  <si>
    <t>crash when opening general settings</t>
  </si>
  <si>
    <t xml:space="preserve">When language is set to Esperanto and you open settings    general  the application crashes  The problem occurs since version  which added displaying shadow length _x000D_
   _x000D_
Errors from logcat:_x000D_
04 10 12:46:05 489  2859  2859 E AndroidRuntime: Process: com forrestguice suntimeswidget  PID: 2859_x000D_
_x000D_
04 10 12:46:05 489  2859  2859 E AndroidRuntime: java lang RuntimeException: Unable to start activity ComponentInfo com forrestguice suntimeswidget com forrestguice suntimeswidget SuntimesSettingsActivity : java util IllegalFormatConversionException:  d can t format java lang String arguments_x000D_
_x000D_
04 10 12:46:05 489  2859  2859 E AndroidRuntime: 	at android app ActivityThread performLaunchActivity(ActivityThread java:2583)_x000D_
_x000D_
04 10 12:46:05 489  2859  2859 E AndroidRuntime: 	at android app ActivityThread handleLaunchActivity(ActivityThread java:2665)_x000D_
_x000D_
04 10 12:46:05 489  2859  2859 E AndroidRuntime: 	at android app ActivityThread  wrap11(ActivityThread java)_x000D_
_x000D_
04 10 12:46:05 489  2859  2859 E AndroidRuntime: 	at android app ActivityThread H handleMessage(ActivityThread java:1499)_x000D_
_x000D_
04 10 12:46:05 489  2859  2859 E AndroidRuntime: 	at android os Handler dispatchMessage(Handler java:111)_x000D_
_x000D_
04 10 12:46:05 489  2859  2859 E AndroidRuntime: 	at android os Looper loop(Looper java:207)_x000D_
_x000D_
04 10 12:46:05 489  2859  2859 E AndroidRuntime: 	at android app ActivityThread main(ActivityThread java:5765)_x000D_
_x000D_
04 10 12:46:05 489  2859  2859 E AndroidRuntime: 	at java lang reflect Method invoke(Native Method)_x000D_
_x000D_
04 10 12:46:05 489  2859  2859 E AndroidRuntime: Caused by: java util IllegalFormatConversionException:  d can t format java lang String arguments_x000D_
_x000D_
04 10 12:46:05 489  2859  2859 E AndroidRuntime: 	at java util Formatter badArgumentType(Formatter java:1489)_x000D_
_x000D_
04 10 12:46:05 489  2859  2859 E AndroidRuntime: 	at java util Formatter transformFromInteger(Formatter java:1689)_x000D_
_x000D_
04 10 12:46:05 489  2859  2859 E AndroidRuntime: 	at java util Formatter transform(Formatter java:1461)_x000D_
_x000D_
04 10 12:46:05 489  2859  2859 E AndroidRuntime: 	at java util Formatter doFormat(Formatter java:1081)_x000D_
_x000D_
04 10 12:46:05 489  2859  2859 E AndroidRuntime: 	at java util Formatter format(Formatter java:1042)_x000D_
_x000D_
04 10 12:46:05 489  2859  2859 E AndroidRuntime: 	at java util Formatter format(Formatter java:1011)_x000D_
_x000D_
04 10 12:46:05 489  2859  2859 E AndroidRuntime: 	at java lang String format(String java:1554)_x000D_
_x000D_
04 10 12:46:05 489  2859  2859 E AndroidRuntime: 	at android content res Resources getQuantityString(Resources java:509)_x000D_
_x000D_
04 10 12:46:05 489  2859  2859 E AndroidRuntime: 	at com forrestguice suntimeswidget SuntimesUtils formatAsHeight(SuntimesUtils java:961)_x000D_
_x000D_
04 10 12:46:05 489  2859  2859 E AndroidRuntime: 	at com forrestguice suntimeswidget SuntimesSettingsActivity formatObserverHeightSummary(SuntimesSettingsActivity java:1474)_x000D_
_x000D_
04 10 12:46:05 489  2859  2859 E AndroidRuntime: 	at com forrestguice suntimeswidget SuntimesSettingsActivity loadPref observerHeight(SuntimesSettingsActivity java:1470)_x000D_
_x000D_
04 10 12:46:05 489  2859  2859 E AndroidRuntime: 	at com forrestguice suntimeswidget SuntimesSettingsActivity initPref general(SuntimesSettingsActivity java:652)_x000D_
_x000D_
04 10 12:46:05 489  2859  2859 E AndroidRuntime: 	at com forrestguice suntimeswidget SuntimesSettingsActivity access 200(SuntimesSettingsActivity java:84) _x000D_
   </t>
  </si>
  <si>
    <t>k9mail-k-9-4016</t>
  </si>
  <si>
    <t>App crashes when opening a thread in threaded view</t>
  </si>
  <si>
    <t xml:space="preserve">    Expected behavior_x000D_
Not crashing  opening mail threads _x000D_
_x000D_
    Actual behavior_x000D_
Crashes _x000D_
_x000D_
    Steps to reproduce_x000D_
1  Open K9 Mail  ensure  General settings    Display    Threaded view  is enabled_x000D_
2  Attempt to open any threaded message_x000D_
3  Application crashes_x000D_
_x000D_
    Environment_x000D_
K 9 Mail version: 5 700 SNAPSHOT (commit  4c14d842d)_x000D_
_x000D_
Android version: Lineage OS 16 0_x000D_
_x000D_
Account type (IMAP  POP3  WebDAV Exchange): IMAP_x000D_
_x000D_
 k9 log txt (https:  github com k9mail k 9 files 3063124 k9 log txt)_x000D_
_x000D_
</t>
  </si>
  <si>
    <t>nextcloud-android-3869</t>
  </si>
  <si>
    <t>IllegalStateException in UploadFilesActivity.onStop</t>
  </si>
  <si>
    <t xml:space="preserve">GPlay:_x000D_
   _x000D_
java lang RuntimeException: _x000D_
  at android app ActivityThread performStopActivityInner (ActivityThread java:4241)_x000D_
  at android app ActivityThread handleStopActivity (ActivityThread java:4290)_x000D_
  at android app ActivityThread  wrap25 (Unknown Source)_x000D_
  at android app ActivityThread H handleMessage (ActivityThread java:1730)_x000D_
  at android os Handler dispatchMessage (Handler java:105)_x000D_
  at android os Looper loop (Looper java:164)_x000D_
  at android app ActivityThread main (ActivityThread java:6944)_x000D_
  at java lang reflect Method invoke (Native Method)_x000D_
  at com android internal os Zygote MethodAndArgsCaller run (Zygote java:327)_x000D_
  at com android internal os ZygoteInit main (ZygoteInit java:1374)_x000D_
Caused by: java lang IllegalStateException: _x000D_
  at androidx fragment app FragmentManagerImpl checkStateLoss (FragmentManager java:2080)_x000D_
  at androidx fragment app FragmentManagerImpl enqueueAction (FragmentManager java:2106)_x000D_
  at androidx fragment app FragmentManagerImpl popBackStack (FragmentManager java:846)_x000D_
  at androidx fragment app DialogFragment dismissInternal (DialogFragment java:215)_x000D_
  at androidx fragment app DialogFragment dismiss (DialogFragment java:191)_x000D_
  at com owncloud android ui activity UploadFilesActivity onStop (UploadFilesActivity java:706)_x000D_
  at android app Instrumentation callActivityOnStop (Instrumentation java:1381)_x000D_
  at android app Activity performStop (Activity java:7452)_x000D_
  at android app ActivityThread performStopActivityInner (ActivityThread java:4238)_x000D_
   _x000D_
_x000D_
We hit this block in the fragment manager:_x000D_
   _x000D_
if (isStateSaved())  _x000D_
            throw new IllegalStateException(_x000D_
                     Can not perform this action after onSaveInstanceState ) _x000D_
         _x000D_
   _x000D_
_x000D_
via_x000D_
   _x000D_
 Override_x000D_
    protected void onStop()  _x000D_
        if (dialog    null)  _x000D_
            dialog dismissAllowingStateLoss() _x000D_
         _x000D_
        super onStop() _x000D_
     _x000D_
   _x000D_
_x000D_
  It is one of the top crashes for 3 5 x and will likely be for 3 6 0 (already showing up in the console)  </t>
  </si>
  <si>
    <t>cgeo-cgeo-7482</t>
  </si>
  <si>
    <t>c:geo crashes with "no such table: cg_trail_history" after fresh install</t>
  </si>
  <si>
    <t xml:space="preserve">      Detailed steps causing the problem:_x000D_
  fresh install of current (April 10) master brach on a new device_x000D_
  run c:geo and open Map_x000D_
_x000D_
      Actual behavior after performing these steps:_x000D_
  c:geo crashes with log message  no such table: cg trail history _x000D_
_x000D_
      Expected behavior after performing these steps:_x000D_
  show map_x000D_
_x000D_
      Version of c:geo used:_x000D_
  today s (April 10) master_x000D_
_x000D_
      Is the problem reproducible for you _x000D_
Yes_x000D_
_x000D_
      System information:_x000D_
  tested under API 21 (Android 5 0) with Google API enabled_x000D_
_x000D_
      Other comments and remarks:_x000D_
  table  cg trail history  got introduced by fix for  2958_x000D_
  why is the database update routine not called before opening the map   what has to be done that it gets called before _x000D_
</t>
  </si>
  <si>
    <t>COSC481W-2019Winter-classproject-sudo-give_us_an_a-32</t>
  </si>
  <si>
    <t>Devices older than Android 8.0 Oreo crash when accessing built in time functions</t>
  </si>
  <si>
    <t>Devices that use   Android 8 0 Oreo get a: ClassNotFoundException: Didn t find class  java time ZonedDateTime  crash when accessing time functions _x000D_
_x000D_
 Link to some dialogue on the issue (https:  github com ta4j ta4j issues 184)</t>
  </si>
  <si>
    <t>openMF-android-client-1156</t>
  </si>
  <si>
    <t xml:space="preserve"> App crashes when clicking the upload button without selecting a file but filled name and description </t>
  </si>
  <si>
    <t xml:space="preserve">  Summary:   _x000D_
_x000D_
Without selecting a file when upload is pressed  the app crashes _x000D_
_x000D_
  Steps to reproduce:   _x000D_
_x000D_
Select any Client   Three dots    Documents      sign   fill name and description    Click upload_x000D_
_x000D_
OR_x000D_
 _x000D_
Select any Client   Three dots   Click any existing document    Click Update Document    Click upload_x000D_
_x000D_
  Expected behaviour:   _x000D_
_x000D_
Upload should not happen_x000D_
_x000D_
  Observed behaviour:   _x000D_
_x000D_
App Crash_x000D_
_x000D_
  Device and Android version:   _x000D_
_x000D_
Samsung Galaxy J7 Prime(Nougat 7 0) stock rom_x000D_
_x000D_
  Screenshots:   _x000D_
_x000D_
  ezgif com optimize (https:  user images githubusercontent com 35717580 55821075 41a32900 5b1a 11e9 8838 ff3a98ede0d3 gif)_x000D_
  ezgif com gif maker (https:  user images githubusercontent com 35717580 55821106 4ec01800 5b1a 11e9 9f44 23a9b960df8a gif)_x000D_
</t>
  </si>
  <si>
    <t>square-okhttp-4918</t>
  </si>
  <si>
    <t>java.lang.IllegalArgumentException: Expected URL scheme 'http' or 'https' but no colon was found</t>
  </si>
  <si>
    <t xml:space="preserve">Hi _x000D_
_x000D_
After searching google  Github issue etc     I didn t find the answer to resolve this issue _x000D_
I found the  4322 and this is only because of the cache _x000D_
_x000D_
React Native: 59 _x000D_
buildToolsVersion: 28 03_x000D_
minSdkVersion: 16_x000D_
compileSdkVersion: 28_x000D_
targetSdkVersion: 28_x000D_
Gradle: 3 3 1_x000D_
_x000D_
  This error comes wit ADB install signed apk package on a REAL device _x000D_
  Debugging and release run in react native works without problem _x000D_
_x000D_
Error:_x000D_
   _x000D_
04 09 16:53:02 841 22070 22093 E AndroidRuntime: FATAL EXCEPTION: mqt native modules_x000D_
04 09 16:53:02 841 22070 22093 E AndroidRuntime: Process: com app app  PID: 22070_x000D_
04 09 16:53:02 841 22070 22093 E AndroidRuntime: java lang IllegalArgumentException: Expected URL scheme  http  or  https  but no colon was found_x000D_
04 09 16:53:02 841 22070 22093 E AndroidRuntime: 	at okhttp3 HttpUrl Builder parse(HttpUrl java:1333)_x000D_
04 09 16:53:02 841 22070 22093 E AndroidRuntime: 	at okhttp3 HttpUrl get(HttpUrl java:916)_x000D_
04 09 16:53:02 841 22070 22093 E AndroidRuntime: 	at okhttp3 Request Builder url(Request java:165)_x000D_
04 09 16:53:02 841 22070 22093 E AndroidRuntime: 	at com facebook react modules websocket WebSocketModule connect(WebSocketModule java:93)_x000D_
04 09 16:53:02 841 22070 22093 E AndroidRuntime: 	at java lang reflect Method invoke(Native Method)_x000D_
04 09 16:53:02 841 22070 22093 E AndroidRuntime: 	at com facebook react bridge JavaMethodWrapper invoke(JavaMethodWrapper java:372)_x000D_
04 09 16:53:02 841 22070 22093 E AndroidRuntime: 	at com facebook react bridge JavaModuleWrapper invoke(JavaModuleWrapper java:158)_x000D_
04 09 16:53:02 841 22070 22093 E AndroidRuntime: 	at com facebook react bridge queue NativeRunnable run(Native Method)_x000D_
04 09 16:53:02 841 22070 22093 E AndroidRuntime: 	at android os Handler handleCallback(Handler java:789)_x000D_
04 09 16:53:02 841 22070 22093 E AndroidRuntime: 	at android os Handler dispatchMessage(Handler java:98)_x000D_
04 09 16:53:02 841 22070 22093 E AndroidRuntime: 	at com facebook react bridge queue MessageQueueThreadHandler dispatchMessage(MessageQueueThreadHandler java:29)_x000D_
04 09 16:53:02 841 22070 22093 E AndroidRuntime: 	at android os Looper loop(Looper java:164)_x000D_
04 09 16:53:02 841 22070 22093 E AndroidRuntime: 	at com facebook react bridge queue MessageQueueThreadImpl 4 run(MessageQueueThreadImpl java:232)_x000D_
04 09 16:53:02 841 22070 22093 E AndroidRuntime: 	at java lang Thread run(Thread java:764)_x000D_
04 09 16:53:02 856 22070 22075 I zygote64: Do partial code cache collection  code 236KB  data 142KB_x000D_
04 09 16:53:02 857 17048 25342 W ActivityManager:   Force finishing activity com app app  MainActivity_x000D_
04 09 16:53:02 857 22070 22075 I zygote64: After code cache collection  code 231KB  data 140KB_x000D_
04 09 16:53:02 857 22070 22075 I zygote64: Increasing code cache capacity to 1024KB_x000D_
04 09 16:53:02 863 17048 17163 I ActivityManager: Showing crash dialog for package com app app u0   _x000D_
</t>
  </si>
  <si>
    <t>google-ExoPlayer-5744</t>
  </si>
  <si>
    <t>Native crashes on Shield and MiBox 3 (Android 8.0) after ExoPlayer 2.9.1</t>
  </si>
  <si>
    <t xml:space="preserve">     REQUIRED  Issue description_x000D_
Native crashes on Nvidia Shield TV and MiBox 3 on some 4K movies_x000D_
_x000D_
     REQUIRED  Reproduction steps_x000D_
add the link to the demo app  start the player and around 1 hour it should happen_x000D_
_x000D_
     REQUIRED  Link to test content_x000D_
Sent to dev exoplayer gmail com_x000D_
_x000D_
     REQUIRED  A full bug report captured from the device_x000D_
Sent to dev exoplayer gmail com_x000D_
_x000D_
     REQUIRED  Version of ExoPlayer being used_x000D_
2 9 6 and early (assume all after 2 9 1)_x000D_
_x000D_
     REQUIRED  Device(s) and version(s) of Android being used_x000D_
Nvidia Shield TV and MiBox 3 (MDZ 16 AB)  Android 8 0_x000D_
_x000D_
     DO NOT DELETE_x000D_
validate template true_x000D_
template path  github ISSUE TEMPLATE bug md_x000D_
   _x000D_
</t>
  </si>
  <si>
    <t>LawnchairLauncher-lawnchair-1486</t>
  </si>
  <si>
    <t>Lawnchair crashes  on swipe down</t>
  </si>
  <si>
    <t xml:space="preserve">  Description  _x000D_
I was trying Lawnchair with PowerShade on my vivo nex s  but when I try to swipe down to pull notification (basic app activity) in powerShade  Lawnchair crashes _x000D_
_x000D_
  Expected Behavior  _x000D_
_x000D_
PowerShade pull notification activity should start_x000D_
_x000D_
  Actual Behavior  _x000D_
_x000D_
Lawnchair crashes_x000D_
_x000D_
  Steps to Reproduce  _x000D_
_x000D_
Open gestures in Lawnchair_x000D_
set PowerShade pull notification activity to start on swipe down_x000D_
Swipe down on homescreen_x000D_
_x000D_
  Device  _x000D_
_x000D_
Device: Vivo Nex s_x000D_
Android version: 8 1 0_x000D_
Launcher version: v2 2 0 1957 ci alpha_x000D_
ROM: Stock  FuntouchOS  no root_x000D_
</t>
  </si>
  <si>
    <t>cgeo-cgeo-7473</t>
  </si>
  <si>
    <t>UnsupportedOperationException on Android 4.3 (Google Pre Launch Report)</t>
  </si>
  <si>
    <t xml:space="preserve">On publishing a new (beta) release Google Play automatically runs robo tests on some device _x000D_
This pre launch report now came back with a crash report for an Android 4 3 device with the following stacktrace for beta version 2019 04 08 RC:_x000D_
_x000D_
   _x000D_
FATAL EXCEPTION: ControllerMessenger_x000D_
android content res Resources NotFoundException: File res drawable border straight xml from drawable resource ID  0x7f0700da  If the resource you are trying to use is a vector resource  you may be referencing it in an unsupported way  See AppCompatDelegate setCompatVectorFromResourcesEnabled() for more info _x000D_
	at android content res Resources loadDrawable(Resources java:2974)_x000D_
	at android content res Resources getDrawable(Resources java:1558)_x000D_
	at com android internal policy impl PhoneWindow generateLayout(PhoneWindow java:3573)_x000D_
	at com android internal policy impl PhoneWindow installDecor(PhoneWindow java:3616)_x000D_
	at com android internal policy impl PhoneWindow setContentView(PhoneWindow java:357)_x000D_
	at com android internal app AlertController installContent(AlertController java:259)_x000D_
	at android app AlertDialog onCreate(AlertDialog java:337)_x000D_
	at android app ProgressDialog onCreate(ProgressDialog java:198)_x000D_
	at android app Dialog dispatchOnCreate(Dialog java:362)_x000D_
	at android app Dialog show(Dialog java:266)_x000D_
	at cgeo geocaching activity Progress show(Progress java:46)_x000D_
	at cgeo geocaching CacheListActivity importWeb(CacheListActivity java:1431)_x000D_
	at cgeo geocaching CacheListActivity onOptionsItemSelected(CacheListActivity java:894)_x000D_
	at android app Activity onMenuItemSelected(Activity java:2640)_x000D_
	at android support v4 app FragmentActivity onMenuItemSelected(FragmentActivity java:406)_x000D_
	at android support v7 app AppCompatActivity onMenuItemSelected(AppCompatActivity java:195)_x000D_
	at android support v7 view WindowCallbackWrapper onMenuItemSelected(WindowCallbackWrapper java:103)_x000D_
	at android support v7 app AppCompatDelegateImplV9 onMenuItemSelected(AppCompatDelegateImplV9 java:667)_x000D_
	at android support v7 view menu MenuBuilder dispatchMenuItemSelected(MenuBuilder java:810)_x000D_
	at android support v7 view menu SubMenuBuilder dispatchMenuItemSelected(SubMenuBuilder java:85)_x000D_
	at android support v7 view menu MenuItemImpl invoke(MenuItemImpl java:152)_x000D_
	at android support v7 view menu MenuBuilder performItemAction(MenuBuilder java:957)_x000D_
	at android support v7 view menu MenuPopup onItemClick(MenuPopup java:127)_x000D_
	at android widget AdapterView performItemClick(AdapterView java:301)_x000D_
	at android widget AbsListView performItemClick(AbsListView java:1510)_x000D_
	at android widget AbsListView PerformClick run(AbsListView java:3339)_x000D_
	at android os Handler handleCallback(Handler java:730)_x000D_
	at android os Handler dispatchMessage(Handler java:92)_x000D_
	at androidx test espresso base Interrogator a(Interrogator java:19)_x000D_
	at androidx test espresso base UiControllerImpl a(UiControllerImpl java:166)_x000D_
	at androidx test espresso base UiControllerImpl a(UiControllerImpl java:158)_x000D_
	at androidx test espresso base UiControllerImpl a(UiControllerImpl java:138)_x000D_
	at androidx test espresso action Tap 1 a(Tap java:6)_x000D_
	at androidx test espresso action GeneralClickAction perform(GeneralClickAction java:22)_x000D_
	at androidx test espresso ViewInteraction SingleExecutionViewAction perform(ViewInteraction java:9)_x000D_
	at androidx test espresso ViewInteraction a(ViewInteraction java:79)_x000D_
	at androidx test espresso ViewInteraction a(ViewInteraction java:96)_x000D_
	at androidx test espresso ViewInteraction 1 call(ViewInteraction java:3)_x000D_
	at java util concurrent FutureTask run(FutureTask java:234)_x000D_
	at android os Handler handleCallback(Handler java:730)_x000D_
	at android os Handler dispatchMessage(Handler java:92)_x000D_
	at android os Looper loop(Looper java:176)_x000D_
	at android app ActivityThread main(ActivityThread java:5419)_x000D_
	at java lang reflect Method invokeNative(Native Method)_x000D_
	at java lang reflect Method invoke(Method java:525)_x000D_
	at com android internal os ZygoteInit MethodAndArgsCaller run(ZygoteInit java:1046)_x000D_
	at com android internal os ZygoteInit main(ZygoteInit java:862)_x000D_
	at dalvik system NativeStart main(Native Method)_x000D_
Caused by: java lang UnsupportedOperationException: Can t convert to color: type 0x2_x000D_
	at android content res TypedArray getColor(TypedArray java:327)_x000D_
	at android graphics drawable GradientDrawable inflate(GradientDrawable java:967)_x000D_
   </t>
  </si>
  <si>
    <t>LawnchairLauncher-lawnchair-1474</t>
  </si>
  <si>
    <t>Lawnchair Crashes on Reboot</t>
  </si>
  <si>
    <t xml:space="preserve">      Provide a general summary of the issue in the Title above    _x000D_
      Check if your issue or something similar has been reported before (if yes upvote comment there)    _x000D_
      Please not that we don t accept any bug reports for Versions 1   anymore    _x000D_
_x000D_
   Description_x000D_
      Provide a more detailed introduction to the issue itself  and why you consider it to be a bug    _x000D_
On first unlocking my phone after reboot  a crash dialogue will appear  before asking if I want to use Lawnchair as my default launcher _x000D_
_x000D_
_x000D_
   Expected Behavior_x000D_
      Tell us what should happen    _x000D_
Lawnchair works as normal on startup _x000D_
_x000D_
   Actual Behavior_x000D_
      Tell us what happens instead    _x000D_
Lawnchair crashes on first phone unlock after reboot  followed by a dialogue asking if you want to use it as default launcher _x000D_
_x000D_
   Steps to Reproduce_x000D_
      Provide a link to a live example (screenshot recording etc  )  or a set of steps to reproduce the issue    _x000D_
  image (https:  user images githubusercontent com 48495724 55724386 37423b80 5a03 11e9 8ae1 a28e15846147 png)_x000D_
  image (https:  user images githubusercontent com 48495724 55724548 8ee0a700 5a03 11e9 8bd1 d79e711bf525 png)_x000D_
_x000D_
1  Reboot phone_x000D_
2  Unlock for first time _x000D_
3  Lawnchair crash dialogue will appear_x000D_
4  Then prompted to choose default launcher_x000D_
_x000D_
_x000D_
   Environment_x000D_
      Include as many relevant details about the environment you experienced the bug in    _x000D_
      For example:    _x000D_
        Device: Samsung Galaxy S10  beyondlte     _x000D_
        Android version: 9 0 0    _x000D_
        Launcher version: 2 1 0    _x000D_
        Rom: OneUI 1 2    _x000D_
_x000D_
_x000D_
  Device: Xiaomi Mi A1_x000D_
  Android version: 9 0 0 (March 2019 Security Patch)_x000D_
  Launcher version: v2 0 1947 ci alpha_x000D_
  Rom: Stock  no root_x000D_
_x000D_
_x000D_
   Logcat_x000D_
      If possible  include a logcat of the issue  otherwise remove this section   _x000D_
      Navigate to Documents   Lawnchair and share the most recent crash log from there      _x000D_
      If you can t see any crash logs in there  try using this    _x000D_
      app (https:  forum xda developers com android apps games adb root scoop catch stack trace app t3888798) to capture crash logs     _x000D_
   _x000D_
I couldn t get hold of any crash logs and I don t know how I would get them using the Scoop app because Lawnchair only crashes on reboot  so the Scoop app wouldn t be running yet _x000D_
   _x000D_
</t>
  </si>
  <si>
    <t>LawnchairLauncher-lawnchair-1466</t>
  </si>
  <si>
    <t>Force close in widgets view</t>
  </si>
  <si>
    <t xml:space="preserve">   Description_x000D_
I run into repeatable force closes with Lawnchair v2 0 1947 ci calpha while adding widgets to the homescreen  Using a Google Pixel 2 XL running latest Pie   I can add widgets if I am fast enough though _x000D_
_x000D_
_x000D_
   Expected Behavior_x000D_
App should not crash _x000D_
_x000D_
_x000D_
   Actual Behavior_x000D_
App crashes _x000D_
_x000D_
_x000D_
   Steps to Reproduce_x000D_
_x000D_
1  Longpress homescreen_x000D_
2  Widgets _x000D_
3  Scroll through the list for about 30 60sec _x000D_
_x000D_
_x000D_
   Environment_x000D_
  Device: Google Pixel 2 XL_x000D_
  Android version: 9 0 0 (04 2019 update)_x000D_
  Launcher version: v2 0 1947 ci calpha_x000D_
  ROM: Stock  no root_x000D_
_x000D_
</t>
  </si>
  <si>
    <t>timusus-Shuttle-456</t>
  </si>
  <si>
    <t>Shuttle player crashes when trying to create new playlists</t>
  </si>
  <si>
    <t xml:space="preserve">     Expected behavior_x000D_
Users should be able to be able to create new playlists in the app successfully without the app crashing _x000D_
_x000D_
     Actual behavior_x000D_
The application closes and crashed when user is saving newly created playlist _x000D_
_x000D_
     How to reproduce_x000D_
Download and install app _x000D_
_x000D_
Launch the app _x000D_
_x000D_
Grant all permissions _x000D_
_x000D_
Navigate to the list of songs  then click on the 3 horizontal dots in front of a song _x000D_
_x000D_
Click on the  Add To  option and select Playlist _x000D_
_x000D_
Click on  New  and type in the name of your desired playlist  then click on  OK _x000D_
_x000D_
It will be observed that the app crashes and closes  Hence  the bug _x000D_
_x000D_
Browser: Shuttle Player version 2 0 11 beta2_x000D_
Operating system: android version 6 0_x000D_
     Recording Of The Bugs_x000D_
https:  youtu be gzOgw0H2SNY_x000D_
     LOGCAT_x000D_
_x000D_
    04 07 16:21:31 518 E AndroidRuntime(12918): Process: another music player  PID: 12918_x000D_
04 07 16:37:48 865 E AndroidRuntime(14584): Process: another music player  PID: 14584_x000D_
04 07 16:38:21 797 E AndroidRuntime(16203): Process: another music player  PID: 16203_x000D_
04 07 16:39:22 740 E AndroidRuntime(16642): Process: another music player  PID: 16642_x000D_
04 07 16:45:54 268 E AndroidRuntime(17917): Process: another music player  PID: 17917_x000D_
04 07 16:48:55 523 E AndroidRuntime(18123): Process: another music player  PID: 18123_x000D_
04 07 17:11:28 530 E AndroidRuntime(20097): Process: another music player  PID: 20097_x000D_
04 07 17:12:33 682 E AndroidRuntime(20375): Process: another music player  PID: 20375_x000D_
04 07 17:15:48 877 E AndroidRuntime(20883): Process: another music player  PID: 20883_x000D_
04 07 17:18:43 313 E AndroidRuntime(21243): Process: another music player  PID: 21243_x000D_
04 07 17:27:18 741 E AndroidRuntime(22968): Process: another music player  PID: 22968_x000D_
04 07 17:29:13 045 E AndroidRuntime(23414): Process: another music player  PID: 23414_x000D_
04 07 17:50:38 672 E AndroidRuntime(25772): Process: another music player  PID: 25772_x000D_
04 07 18:11:23 359 E AndroidRuntime(30462): Process: another music player  PID: 30462_x000D_
04 07 18:16:56 938 E AndroidRuntime(31183): Process: another music player  PID: 31183</t>
  </si>
  <si>
    <t>tanguyantoine-react-native-music-control-247</t>
  </si>
  <si>
    <t>Android - Fatal Exception: java.lang.RuntimeException: Unable to create service com.tanguyantoine.react.MusicControlNotification$NotificationService: java.util.ConcurrentModificationException</t>
  </si>
  <si>
    <t xml:space="preserve">  Description_x000D_
_x000D_
Getting this crash after updating to v0 99  It seems related to  221  which  220 supposedly fixed it  Here is the Stack trace:_x000D_
  image (https:  user images githubusercontent com 4213174 55674468 067ace80 586a 11e9 90d8 a86e774982c0 png)_x000D_
_x000D_
Looking at actions user took before the crash  makes me think the controls were not actually removed when app last terminated(or device locked)  since app crashes right away when trying to play a new audio  Also  it happens only on OS 8 1 0  and on Samsung devices _x000D_
_x000D_
I m calling  MusicControl stopControl()  when the specific component handling it is closed  but when app is terminated  componentWillUnmount  is not called  Not sure if that s related _x000D_
_x000D_
2  Platform  _x000D_
_x000D_
         iOS_x000D_
      x   Android_x000D_
   _x000D_
3  Device_x000D_
        Simulator_x000D_
     x  Real device _x000D_
</t>
  </si>
  <si>
    <t>inaturalist-react-native-inat-camera-9</t>
  </si>
  <si>
    <t>Crash from camera fragment / null pointer exception</t>
  </si>
  <si>
    <t xml:space="preserve">On Seek build 19  a few users are experiencing crashes related to a null pointer exception  So far  all users are running Android 8 0 on Samsung Galaxy devices  _x000D_
_x000D_
Stack trace below: _x000D_
_x000D_
   _x000D_
java lang NullPointerException: _x000D_
  at org inaturalist inatcamera ui Camera2BasicFragment onDestroy (Camera2BasicFragment java:386)_x000D_
  at android app Fragment performDestroy (Fragment java:2870)_x000D_
  at android app FragmentManagerImpl moveToState (FragmentManager java:1424)_x000D_
  at android app FragmentManagerImpl moveFragmentToExpectedState (FragmentManager java:1549)_x000D_
  at android app FragmentManagerImpl moveToState (FragmentManager java:1624)_x000D_
  at android app FragmentManagerImpl executeOpsTogether (FragmentManager java:2210)_x000D_
  at android app FragmentManagerImpl removeRedundantOperationsAndExecute (FragmentManager java:2154)_x000D_
  at android app FragmentManagerImpl execPendingActions (FragmentManager java:2055)_x000D_
  at android app FragmentManagerImpl 1 run (FragmentManager java:718)_x000D_
  at android os Handler handleCallback (Handler java:789)_x000D_
  at android os Handler dispatchMessage (Handler java:98)_x000D_
  at android os Looper loop (Looper java:164)_x000D_
  at android app ActivityThread main (ActivityThread java:6944)_x000D_
  at java lang reflect Method invoke (Native Method)_x000D_
  at com android internal os Zygote MethodAndArgsCaller run (Zygote java:327)_x000D_
  at com android internal os ZygoteInit main (ZygoteInit java:1374)_x000D_
   </t>
  </si>
  <si>
    <t>forrestguice-SuntimesWidget-309</t>
  </si>
  <si>
    <t>appcrash (world map dialog)</t>
  </si>
  <si>
    <t xml:space="preserve">The app crashes at the World Map dialog if the  Sun Data Source  is something other than time4a    The older sources don t support position (null) and the dialog fails to check for compatibility _x000D_
_x000D_
   _x000D_
Caused by: java lang NullPointerException_x000D_
        at com forrestguice suntimeswidget map WorldMapTask WorldMapProjection gha(WorldMapTask java:189)_x000D_
        at com forrestguice suntimeswidget map WorldMapEquirectangular makeBitmap(WorldMapEquirectangular java:133)_x000D_
        at com forrestguice suntimeswidget map WorldMapTask makeBitmap(WorldMapTask java:78)_x000D_
        at com forrestguice suntimeswidget map WorldMapTask doInBackground(WorldMapTask java:73)_x000D_
        at com forrestguice suntimeswidget map WorldMapTask doInBackground(WorldMapTask java:37)_x000D_
   </t>
  </si>
  <si>
    <t>square-okhttp-4880</t>
  </si>
  <si>
    <t>java.lang.IllegalStateException: Unable to extract the trust manager on AndroidPlatform, sslSocketFactory is class org.conscrypt.OpenSSLSocketFactoryImpl at okhttp3.internal.platform.Platform.buildCertificateChainCleaner(Platform.java:183)</t>
  </si>
  <si>
    <t>In my Android application i have two libraries one is chat and one is video calling when i opened first time video calling its working fine but when open after chat library open next time video calling not connected and crash was generated and get below exception like this java lang IllegalStateException: Unable to extract the trust manager on AndroidPlatform  sslSocketFactory is class org conscrypt OpenSSLSocketFactoryImpl_x000D_
at okhttp3 internal platform Platform buildCertificateChainCleaner(Platform java:183)    (both side created sockets for different servers)</t>
  </si>
  <si>
    <t>awslabs-aws-mobile-appsync-sdk-android-144</t>
  </si>
  <si>
    <t>App crashes on API level below 21</t>
  </si>
  <si>
    <t xml:space="preserve">  Describe the bug  _x000D_
App crashes on API level 19 _x000D_
 java lang ExceptionInInitializerError_x000D_
        at okhttp3 OkHttpClient newSslSocketFactory(OkHttpClient java:296)_x000D_
        at okhttp3 OkHttpClient  init (OkHttpClient java:262)_x000D_
        at okhttp3 OkHttpClient Builder build(OkHttpClient java:1054)_x000D_
        at com amazonaws mobileconnectors appsync AWSAppSyncClient  init (AWSAppSyncClient java:158)_x000D_
        at com amazonaws mobileconnectors appsync AWSAppSyncClient  init (AWSAppSyncClient java:73)_x000D_
        at com amazonaws mobileconnectors appsync AWSAppSyncClient Builder build(AWSAppSyncClient java:524)_x000D_
        at net cloudhms hmscore activity MainActivity initAws(MainActivity kt:88)_x000D_
        at net cloudhms hmscore activity MainActivity onCreate(MainActivity kt:42)_x000D_
        at android app Activity performCreate(Activity java:5447)_x000D_
        at android app Instrumentation callActivityOnCreate(Instrumentation java:1094)_x000D_
        at android app ActivityThread performLaunchActivity(ActivityThread java:2393)_x000D_
        at android app ActivityThread handleLaunchActivity(ActivityThread java:2493)_x000D_
        at android app ActivityThread access 800(ActivityThread java:166)_x000D_
        at android app ActivityThread H handleMessage(ActivityThread java:1283)_x000D_
        at android os Handler dispatchMessage(Handler java:102)_x000D_
        at android os Looper loop(Looper java:136)_x000D_
        at android app ActivityThread main(ActivityThread java:5590)_x000D_
        at java lang reflect Method invokeNative(Native Method)_x000D_
        at java lang reflect Method invoke(Method java:515)_x000D_
        at com android internal os ZygoteInit MethodAndArgsCaller run(ZygoteInit java:1268)_x000D_
        at com android internal os ZygoteInit main(ZygoteInit java:1084)_x000D_
        at dalvik system NativeStart main(Native Method)_x000D_
     Caused by: java lang IllegalStateException: Expected Android API level 21  but was 19_x000D_
        at okhttp3 internal platform AndroidPlatform buildIfSupported(AndroidPlatform java:238)_x000D_
        at okhttp3 internal platform Platform findPlatform(Platform java:202)_x000D_
        at okhttp3 internal platform Platform  clinit  _x000D_
_x000D_
  To Reproduce  _x000D_
Initialize in Activity:_x000D_
 aws   AWSAppSyncClient builder() context(applicationContext) awsConfiguration(AWSConfiguration(applicationContext)) build() _x000D_
_x000D_
  Expected behavior  _x000D_
No crash_x000D_
_x000D_
  Environment(please complete the following information):  _x000D_
   com amazonaws:aws android sdk appsync:2 7  _x000D_
_x000D_
  Device Information (please complete the following information):  _x000D_
   Device: Samsung Tab E_x000D_
   Android Version: 4 4 4_x000D_
_x000D_
Reffer: https:  medium com square corner blog okhttp 3 13 requires android 5 818bb78d07ce_x000D_
</t>
  </si>
  <si>
    <t>vhaudiquet-blade-player-34</t>
  </si>
  <si>
    <t>Improve / Replace song linking system</t>
  </si>
  <si>
    <t xml:space="preserve">     Actual behavior_x000D_
The app crashes after I linked a song to another from the Artist folder and clicked on the previous next track changer button of that song _x000D_
_x000D_
     Expected behavior_x000D_
I expected that after linking a song to another  the song will stop playing  But this not weirder than crashing the app by clicking on the next previous button _x000D_
_x000D_
     How to reproduce_x000D_
1  Open the app and go to  Artists  folder _x000D_
2  Choose an artist and play a song from it _x000D_
3  Click on   (Three dots  Vertical ellipsis) at the right side of the song _x000D_
4  Then click  Link to _x000D_
5  Select a song from your local library  (The song will be successfully added to your chosen song   The song will still be playing in your player) _x000D_
7  Open the current playing song page by tapping on its name  (At the downside of your display) _x000D_
8  At last Click on the next button _x000D_
9  See error _x000D_
_x000D_
  Browser App version: v1 4 0 1_x000D_
  Device: Samsung A5_x000D_
  Operating system: Android 6 0 1_x000D_
_x000D_
     Recording Of The Bug_x000D_
  bladebug (https:  media giphy com media Y0yXzKuAYalCbXSYdm giphy gif)_x000D_
_x000D_
     Logcat_x000D_
   _x000D_
04 05 00:16:02 421 26140 26140 E AndroidRuntime: FATAL EXCEPTION: main_x000D_
_x000D_
04 05 00:16:02 421 26140 26140 E AndroidRuntime: Process: v blade  PID: 26140_x000D_
_x000D_
04 05 00:16:02 421 26140 26140 E AndroidRuntime: java lang NullPointerException: Attempt to invoke virtual method  v blade library sources Source v blade library SongSources SongSource getSource()  on a null object reference_x000D_
_x000D_
04 05 00:16:02 421 26140 26140 E AndroidRuntime: 	at v blade player PlayerMediaPlayer playSong(PlayerMediaPlayer java:252)_x000D_
_x000D_
04 05 00:16:02 421 26140 26140 E AndroidRuntime: 	at v blade player PlayerService 2 onSkipToNext(PlayerService java:157)_x000D_
_x000D_
04 05 00:16:02 421 26140 26140 E AndroidRuntime: 	at android support v4 media session MediaSessionCompat Callback StubApi21 onSkipToNext(MediaSessionCompat java:1284)_x000D_
_x000D_
04 05 00:16:02 421 26140 26140 E AndroidRuntime: 	at android support v4 media session MediaSessionCompatApi21 CallbackProxy onSkipToNext(MediaSessionCompatApi21 java:219)_x000D_
_x000D_
04 05 00:16:02 421 26140 26140 E AndroidRuntime: 	at android media session MediaSession CallbackMessageHandler handleMessage(MediaSession java:1228)_x000D_
_x000D_
04 05 00:16:02 421 26140 26140 E AndroidRuntime: 	at android os Handler dispatchMessage(Handler java:102)_x000D_
_x000D_
04 05 00:16:02 421 26140 26140 E AndroidRuntime: 	at android os Looper loop(Looper java:148)_x000D_
_x000D_
04 05 00:16:02 421 26140 26140 E AndroidRuntime: 	at android app ActivityThread main(ActivityThread java:7325)_x000D_
_x000D_
04 05 00:16:02 421 26140 26140 E AndroidRuntime: 	at java lang reflect Method invoke(Native Method)_x000D_
_x000D_
04 05 00:16:02 421 26140 26140 E AndroidRuntime: 	at com android internal os ZygoteInit MethodAndArgsCaller run(ZygoteInit java:1230)_x000D_
   </t>
  </si>
  <si>
    <t>vhaudiquet-blade-player-33</t>
  </si>
  <si>
    <t>The app crashes during the playlist creation process using Spotify</t>
  </si>
  <si>
    <t xml:space="preserve">     Actual behavior_x000D_
The app crashes when I use Spotify to create a new playlist _x000D_
_x000D_
     Expected behavior_x000D_
The users should be able to create a new playlist by selecting Spotify without the app crashing _x000D_
_x000D_
     How to reproduce_x000D_
1  Open the app and choose a song _x000D_
2  Click on   (Three dots  Vertical ellipsis) at the right side of the song _x000D_
3  Then click  Add to playlist  _x000D_
4  After that click on  New Playlist _x000D_
5  Then tap on the  Local  to locate your playlist s path and select Spotify _x000D_
6  Give a name and click ok _x000D_
7  See error _x000D_
_x000D_
  App version: v1 4 0 1_x000D_
  Device: Samsung A5_x000D_
  Operating system: Android 6 0 1_x000D_
_x000D_
     Recording Of The Bug_x000D_
  spotify (https:  media giphy com media KcE8yC9tiUuPLBx56N giphy gif)_x000D_
_x000D_
     Logcat_x000D_
   _x000D_
04 04 23:03:51 211 20197 20263 E AndroidRuntime: FATAL EXCEPTION: Thread 3387_x000D_
_x000D_
04 04 23:03:51 211 20197 20263 E AndroidRuntime: Process: v blade  PID: 20197_x000D_
_x000D_
04 04 23:03:51 211 20197 20263 E AndroidRuntime: java lang NullPointerException: Attempt to read from field  java lang String kaaes spotify webapi android models UserPublic id  on a null object reference_x000D_
_x000D_
04 04 23:03:51 211 20197 20263 E AndroidRuntime: 	at v blade library sources Spotify 6 run(Spotify java:874)_x000D_
   </t>
  </si>
  <si>
    <t>mapbox-mapbox-plugins-android-908</t>
  </si>
  <si>
    <t>Place Picker crashes on Android X</t>
  </si>
  <si>
    <t xml:space="preserve">There is a known issue with the AndroidX migration tool in Android Studio that fails to update the XML for  BottomSheetBehavior  in projects  (See  Stack Overflow discussion (https:  stackoverflow com questions 51617186 bottomsheetbehavior not in androidx libraries) )_x000D_
_x000D_
Unfortunately our Places Plugin was not spared by this issue and will crash if you use the Place Picker on AndroidX _x000D_
_x000D_
 details _x000D_
   summary Example crash:  summary _x000D_
   pre _x000D_
2019 04 03 11:26:47 146 16098 16098 com your androidapp E AndroidRuntime: FATAL EXCEPTION: main_x000D_
Process: com your androidapp  PID: 16098_x000D_
java lang IllegalArgumentException: Illegal state argument: 5_x000D_
at com google android material bottomsheet BottomSheetBehavior startSettlingAnimation(BottomSheetBehavior java:1059)_x000D_
at com google android material bottomsheet BottomSheetBehavior startSettlingAnimationPendingLayout(BottomSheetBehavior java:846)_x000D_
at com google android material bottomsheet BottomSheetBehavior setState(BottomSheetBehavior java:825)_x000D_
at com mapbox mapboxsdk plugins places picker ui CurrentPlaceSelectionBottomSheet toggleBottomSheet(CurrentPlaceSelectionBottomSheet java:80)_x000D_
at com mapbox mapboxsdk plugins places picker ui CurrentPlaceSelectionBottomSheet setPlaceDetails(CurrentPlaceSelectionBottomSheet java:55)_x000D_
at com mapbox mapboxsdk plugins places picker ui PlacePickerActivity onCameraIdle(PlacePickerActivity java:158)_x000D_
at com mapbox mapboxsdk maps CameraChangeDispatcher executeOnCameraIdle(CameraChangeDispatcher java:140)_x000D_
at com mapbox mapboxsdk maps CameraChangeDispatcher access 300(CameraChangeDispatcher java:21)_x000D_
at com mapbox mapboxsdk maps CameraChangeDispatcher CameraChangeHandler handleMessage(CameraChangeDispatcher java:169)_x000D_
at android os Handler dispatchMessage(Handler java:102)_x000D_
at android os Looper loop(Looper java:163)_x000D_
at android app ActivityThread main(ActivityThread java:6238)_x000D_
at java lang reflect Method invoke(Native Method)_x000D_
at com android internal os ZygoteInit MethodAndArgsCaller run(ZygoteInit java:904)_x000D_
at com android internal os ZygoteInit main(ZygoteInit java:794)_x000D_
    pre _x000D_
  details _x000D_
_x000D_
Fortunately this should be an easy fix since we only need to modify this line of our XML:_x000D_
https:  github com mapbox mapbox plugins android blob 67efb48aea903435a5f336bd85b3d858b25a826b plugin places src main res layout mapbox view bottom sheet container xml L50_x000D_
_x000D_
cc:  mapbox maps android </t>
  </si>
  <si>
    <t>iyegoroff-react-native-image-filter-kit-15</t>
  </si>
  <si>
    <t>[Android] Error during executing gradle packaging... located in MainReactPackagerWithFrescoCache.java</t>
  </si>
  <si>
    <t xml:space="preserve">     Please specify your mobile platform(s) and react native   react native image filter kit versions  Also check https:  github com iyegoroff react native image filter kit status if your rnifk version corresponds with your rn version     _x000D_
_x000D_
react native: 0 57_x000D_
react native image filter kit: 0 3 4_x000D_
_x000D_
     Getting  No ViewManager defined for class X  error most likely means that you didn t link the module or something is wrong with your build and or configuration  Try cleaning the project and check if your configuration matches with https:  github com iyegoroff react native image filter kit blob master manual installation md instruction     _x000D_
_x000D_
I have been linked the resources of package to android through  react native link  _x000D_
And started to run app  react native run android   but during executing phase an error was occured _x000D_
_x000D_
   _x000D_
  Task :react native image filter kit:compileDebugJavaWithJavac FAILED_x000D_
 Users dkfl1995 Downloads Foodilog sprint rc node modules react native image filter kit android src main java iyegoroff imagefilterkit MainReactPackageWithFrescoCache java:83: error: cannot find s_x000D_
ymbol_x000D_
      if ( FrescoModule  equals(modules get(i) getName()))  _x000D_
                                               _x000D_
  symbol:   method getName()_x000D_
  location: class ModuleSpec_x000D_
1 error_x000D_
_x000D_
FAILURE: Build failed with an exception _x000D_
_x000D_
  What went wrong:_x000D_
Execution failed for task  :react native image filter kit:compileDebugJavaWithJavac  _x000D_
  Compilation failed  see the compiler error output for details _x000D_
   _x000D_
_x000D_
     If your app crashed due to react native image filter kit  please attach a crash log     _x000D_
</t>
  </si>
  <si>
    <t>inaturalist-react-native-inat-camera-7</t>
  </si>
  <si>
    <t>Crash when exiting camera</t>
  </si>
  <si>
    <t xml:space="preserve">In Seek build 19 _x000D_
_x000D_
1  Open the AR camera_x000D_
1  Tap the  X  in the upper left to get this crash:_x000D_
_x000D_
   _x000D_
04 03 18:10:44 379   848  1970 I WifiHAL : event received NL80211 CMD VENDOR  vendor id   0x1374  subcmd   0xd_x000D_
04 03 18:10:44 628  5760  5974 D TfLiteCameraDemo: Timecost to put values into ByteBuffer: 4_x000D_
04 03 18:10:44 662  4913  4963 I CarrierServices:  272  buo a: FiST: Wifi connectivity status true_x000D_
04 03 18:10:44 664  4913  5229 I CarrierServices:  306  bbd handleMessage: RCS is disabled  skipping config update request_x000D_
04 03 18:10:44 670  4913  4963 I CarrierServices:  272  but d: Connected state:  1   networkType:  WIFI _x000D_
04 03 18:10:45 459  5760  5974 D TfLiteCameraDemo: Timecost to put values into ByteBuffer: 3_x000D_
04 03 18:10:45 683  5760  5974 F libc    : Fatal signal 7 (SIGBUS)  code 2 (BUS ADRERR)  fault addr 0xc0d214c0 in tid 5974 (CameraBackgroun)  pid 5760 (naturalist seek)_x000D_
04 03 18:10:45 760   842  1000 I CHRE    :   9636 236:  AR CHRE  still: 100_x000D_
04 03 18:10:45 799  6005  6005 I crash dump32: obtaining output fd from tombstoned  type: kDebuggerdTombstone_x000D_
04 03 18:10:45 800   938   938 I  system bin tombstoned: received crash request for pid 5974_x000D_
04 03 18:10:45 800  6005  6005 I crash dump32: performing dump of process 5760 (target tid   5974)_x000D_
04 03 18:10:45 825  6005  6005 F DEBUG   :                                                                _x000D_
04 03 18:10:45 825  6005  6005 F DEBUG   : Build fingerprint:  google blueline blueline:9 PQ2A 190405 003 5310204:user release keys _x000D_
04 03 18:10:45 825  6005  6005 F DEBUG   : Revision:  MP1 0 _x000D_
04 03 18:10:45 825  6005  6005 F DEBUG   : ABI:  arm _x000D_
04 03 18:10:45 825  6005  6005 F DEBUG   : pid: 5760  tid: 5974  name: CameraBackgroun      org inaturalist seek    _x000D_
04 03 18:10:45 825  6005  6005 F DEBUG   : signal 7 (SIGBUS)  code 2 (BUS ADRERR)  fault addr 0xc0d214c0_x000D_
04 03 18:10:45 825  6005  6005 F DEBUG   :     r0  be979480  r1  be5c81b0  r2  c0d214c0  r3  c0d214c0_x000D_
04 03 18:10:45 825  6005  6005 F DEBUG   :     r4  be5c8180  r5  00000000  r6  be5c8180  r7  00000000_x000D_
04 03 18:10:45 825  6005  6005 F DEBUG   :     r8  c0d214c0  r9  c0d214e0  r10 be5c8180  r11 000000bc_x000D_
04 03 18:10:45 825  6005  6005 F DEBUG   :     ip  000000c0  sp  d255598c  lr  000000b0  pc  bff7bc64_x000D_
04 03 18:10:45 835  6005  6005 F DEBUG   : _x000D_
04 03 18:10:45 835  6005  6005 F DEBUG   : backtrace:_x000D_
04 03 18:10:45 835  6005  6005 F DEBUG   :      00 pc 00037c64   data app org inaturalist seek GH8RK55npmTXybr6zYbpPA   lib arm libtensorflowlite jni so_x000D_
04 03 18:10:45 835  6005  6005 F DEBUG   :      01 pc 0004a617   data app org inaturalist seek GH8RK55npmTXybr6zYbpPA   lib arm libtensorflowlite jni so_x000D_
04 03 18:10:45 835  6005  6005 F DEBUG   :      02 pc 000367fd   data app org inaturalist seek GH8RK55npmTXybr6zYbpPA   lib arm libtensorflowlite jni so_x000D_
04 03 18:10:45 835  6005  6005 F DEBUG   :      03 pc 000bf4ab   data app org inaturalist seek GH8RK55npmTXybr6zYbpPA   lib arm libtensorflowlite jni so_x000D_
04 03 18:10:45 835  6005  6005 F DEBUG   :      04 pc 000c136f   data app org inaturalist seek GH8RK55npmTXybr6zYbpPA   lib arm libtensorflowlite jni so_x000D_
04 03 18:10:45 835  6005  6005 F DEBUG   :      05 pc 000080e3   data app org inaturalist seek GH8RK55npmTXybr6zYbpPA   lib arm libtensorflowlite jni so (Java org tensorflow lite NativeInterpreterWrapper run 26)_x000D_
04 03 18:10:45 835  6005  6005 F DEBUG   :      06 pc 0003dd01   data app org inaturalist seek GH8RK55npmTXybr6zYbpPA   oat arm base odex (offset 0x3b000) (org tensorflow lite NativeInterpreterWrapper run 120)_x000D_
04 03 18:10:45 835  6005  6005 F DEBUG   :      07 pc 0040d575   system lib libart so (art quick invoke stub internal 68)_x000D_
04 03 18:10:45 835  6005  6005 F DEBUG   :      08 pc 003e6c93   system lib libart so (art quick invoke static stub 222)_x000D_
04 03 18:10:45 835  6005  6005 F DEBUG   :      09 pc 000a1027   system lib libart so (art::ArtMethod::Invoke(art::Thread   unsigned int   unsigned int  art::JValue   char const ) 154)_x000D_
04 03 18:10:45 835  6005  6005 F DEBUG   :      10 pc 001e5ae9   system lib libart so (art::interpreter::ArtInterpreterToCompiledCodeBridge(art::Thread   art::ArtMethod   art::ShadowFrame   unsigned short  art::JValue ) 236)_x000D_
04 03 18:10:45 835  6005  6005 F DEBUG   :      11 pc 001e05d7   system lib libart so (bool art::interpreter::DoCall false  false (art::ArtMethod   art::Thread   art::ShadowFrame   art::Instruction const   unsigned short  art::JValue ) 814)_x000D_
04 03 18:10:45 835  6005  6005 F DEBUG   :      12 pc 003e27c7   system lib libart so (MterpInvokeStatic 130)_x000D_
04 03 18:10:45 835  6005  6005 F DEBUG   :      13 pc 00400494   system lib libart so (ExecuteMterpImpl 14612)_x000D_
04 03 18:10:45 835  6005  6005 F DEBUG   :      14 pc 0099ad1e   data app org inaturalist seek GH8RK55npmTXybr6zYbpPA   oat arm base vdex (org tensorflow lite NativeInterpreterWrapper run 158)_x000D_
04 03 18:10:45 835  6005  6005 F DEBUG   :      15 pc 001c4d53   system lib libart so ( ZN3art11interpreterL7ExecuteEPNS 6ThreadERKNS 20CodeItemDataAccessorERNS 11ShadowFrameENS 6JValueEb llvm 1260696089 378)_x000D_
04 03 18:10:45 835  6005  6005 F DEBUG   :      16 pc 001c9439   system lib libart so (art::interpreter::ArtInterpreterToInterpreterBridge(art::Thread   art::CodeItemDataAccessor const   art::ShadowFrame   art::JValue ) 152)_x000D_
04 03 18:10:45 835  6005  6005 F DEBUG   :      17 pc 001e05bf   system lib libart so (bool art::interpreter::DoCall false  false (art::ArtMethod   art::Thread   art::ShadowFrame   art::Instruction const   unsigned short  art::JValue ) 790)_x000D_
04 03 18:10:45 835  6005  6005 F DEBUG   :      18 pc 003e3c35   system lib libart so (MterpInvokeVirtualQuick 428)_x000D_
04 03 18:10:45 835  6005  6005 F DEBUG   :      19 pc 00404094   system lib libart so (ExecuteMterpImpl 29972)_x000D_
04 03 18:10:45 835  6005  6005 F DEBUG   :      20 pc 0099a5e6   data app org inaturalist seek GH8RK55npmTXybr6zYbpPA   oat arm base vdex (org tensorflow lite Interpreter runForMultipleInputsOutputs 10)_x000D_
04 03 18:10:45 835  6005  6005 F DEBUG   :      21 pc 001c4d53   system lib libart so ( ZN3art11interpreterL7ExecuteEPNS 6ThreadERKNS 20CodeItemDataAccessorERNS 11ShadowFrameENS 6JValueEb llvm 1260696089 378)_x000D_
04 03 18:10:45 835  6005  6005 F DEBUG   :      22 pc 001c9439   system lib libart so (art::interpreter::ArtInterpreterToInterpreterBridge(art::Thread   art::CodeItemDataAccessor const   art::ShadowFrame   art::JValue ) 152)_x000D_
04 03 18:10:45 835  6005  6005 F DEBUG   :      23 pc 001e05bf   system lib libart so (bool art::interpreter::DoCall false  false (art::ArtMethod   art::Thread   art::ShadowFrame   art::Instruction const   unsigned short  art::JValue ) 790)_x000D_
04 03 18:10:45 835  6005  6005 F DEBUG   :      24 pc 003e3c35   system lib libart so (MterpInvokeVirtualQuick 428)_x000D_
04 03 18:10:45 835  6005  6005 F DEBUG   :      25 pc 00404094   system lib libart so (ExecuteMterpImpl 29972)_x000D_
04 03 18:10:45 835  6005  6005 F DEBUG   :      26 pc 009957e0   data app org inaturalist seek GH8RK55npmTXybr6zYbpPA   oat arm base vdex (org inaturalist inatcamera classifier ImageClassifier classifyFrame 168)_x000D_
04 03 18:10:45 835  6005  6005 F DEBUG   :      27 pc 001c4d53   system lib libart so ( ZN3art11interpreterL7ExecuteEPNS 6ThreadERKNS 20CodeItemDataAccessorERNS 11ShadowFrameENS 6JValueEb llvm 1260696089 378)_x000D_
04 03 18:10:45 835  6005  6005 F DEBUG   :      28 pc 001c937f   system lib libart so (art::interpreter::EnterInterpreterFromEntryPoint(art::Thread   art::CodeItemDataAccessor const   art::ShadowFrame ) 82)_x000D_
04 03 18:10:45 835  6005  6005 F DEBUG   :      29 pc 003d52d1   system lib libart so (artQuickToInterpreterBridge 880)_x000D_
04 03 18:10:45 835  6005  6005 F DEBUG   :      30 pc 00411aff   system lib libart so (art quick to interpreter bridge 30)_x000D_
04 03 18:10:45 835  6005  6005 F DEBUG   :      31 pc 0002945b   dev ashmem dalvik jit code cache (deleted)_x000D_
04 03 18:10:46 219  1259  6009 W ActivityManager:   Force finishing activity org inaturalist seek  MainActivity_x000D_
   _x000D_
_x000D_
Curious if anyone can replicate this  Seems to come from  react native inat camera  though </t>
  </si>
  <si>
    <t>vhaudiquet-blade-player-32</t>
  </si>
  <si>
    <t>The app is crashing for deleting the newly/latest created playlist</t>
  </si>
  <si>
    <t xml:space="preserve">     Actual behavior_x000D_
The application crashes when I try to delete the newly created playlist _x000D_
_x000D_
     Expected behavior_x000D_
The users should be able to delete the playlist successfully without the crashing _x000D_
_x000D_
     How to reproduce_x000D_
1  Open the app and go to the  Songs  menu _x000D_
2  Choose a song and click on   (Three dots  Vertical ellipsis) at the side of the song _x000D_
3  Then click on  Add to playlist  _x000D_
4  After that click on the New Playlist  to create a new playlist _x000D_
5  Give a name and click ok  (Your playlist will successfully be created)_x000D_
6  Then delete your newly created playlist _x000D_
7  See error _x000D_
_x000D_
  App version: v1 4 0 1_x000D_
  Device: Samsung A5_x000D_
  Operating system: Android 6 0 1_x000D_
_x000D_
     Recording Of The Bug_x000D_
  bladebug (https:  media giphy com media Y48QifyMNlc2uCePAC giphy gif)_x000D_
_x000D_
     Logcat_x000D_
   _x000D_
D AndroidRuntime: Shutting down VM_x000D_
_x000D_
04 03 14:53:04 258 30746 30746 E AndroidRuntime: FATAL EXCEPTION: main_x000D_
_x000D_
04 03 14:53:04 258 30746 30746 E AndroidRuntime: Process: v blade  PID: 30746_x000D_
_x000D_
04 03 14:53:04 258 30746 30746 E AndroidRuntime: java lang NullPointerException: Attempt to invoke virtual method  boolean java lang String equals(java lang Object)  on a null object reference_x000D_
_x000D_
04 03 14:53:04 258 30746 30746 E AndroidRuntime: 	at v blade library sources Source 1 removePlaylist(Source java:462)_x000D_
_x000D_
04 03 14:53:04 258 30746 30746 E AndroidRuntime: 	at v blade ui MainActivity 4 1 2 onClick(MainActivity java:316)_x000D_
_x000D_
04 03 14:53:04 258 30746 30746 E AndroidRuntime: 	at android support v7 app AlertController ButtonHandler handleMessage(AlertController java:166)_x000D_
_x000D_
04 03 14:53:04 258 30746 30746 E AndroidRuntime: 	at android os Handler dispatchMessage(Handler java:102)_x000D_
_x000D_
04 03 14:53:04 258 30746 30746 E AndroidRuntime: 	at android os Looper loop(Looper java:148)_x000D_
_x000D_
04 03 14:53:04 258 30746 30746 E AndroidRuntime: 	at android app ActivityThread main(ActivityThread java:7325)_x000D_
_x000D_
04 03 14:53:04 258 30746 30746 E AndroidRuntime: 	at java lang reflect Method invoke(Native Method)_x000D_
_x000D_
04 03 14:53:04 258 30746 30746 E AndroidRuntime: 	at com android internal os ZygoteInit MethodAndArgsCaller run(ZygoteInit java:1230)_x000D_
_x000D_
04 03 14:53:04 258 30746 30746 E AndroidRuntime: 	at com android internal os ZygoteInit main(ZygoteInit java:1120)_x000D_
   </t>
  </si>
  <si>
    <t>AmazMod-AmazMod-463</t>
  </si>
  <si>
    <t>Amazamod service has stopped</t>
  </si>
  <si>
    <t xml:space="preserve">Hi and thank you for your work  _x000D_
I encountered a crash of amazmod just after the installation and each time I try to launch the service _x000D_
amazmod service: 1890_x000D_
stock: 3 2 1 0_x000D_
phone: Galaxy A7 (2018)_x000D_
android: 9_x000D_
_x000D_
Here is the logcat  I hope it can help:_x000D_
_x000D_
D AmazMod ( 1875): AmazModService HermesEventBus init_x000D_
W art     ( 1875): Suspending all threads took: 5 714ms_x000D_
I art     ( 1875): Background partial concurrent mark sweep GC freed 915(62KB) AllocSpace objects  0(0B) LOS objects  34  free  974KB 1486KB  paused 10 103ms total 55 516ms_x000D_
D AmazMod ( 1875): AmazModService cleanOldBatteryDb_x000D_
D AmazMod ( 1875): LauncherWearGridActivity mode: S_x000D_
I AmazMod ( 1875): WearMenuFragment newInstance_x000D_
D OpenGLRenderer( 1875): Use EGL SWAP BEHAVIOR PRESERVED: true_x000D_
D Atlas   ( 1875): Validating map   _x000D_
V WindowManager(  381): Adding window Window 3259d371 u0 com amazmod service com amazmod service springboard LauncherWearGridActivity  at 2 of 4 (after Window a16529e u0 com huami watch launcher com huami watch launcher Launcher )_x000D_
D AmazMod ( 1875): WidgetSettings: com amazmod service MainService 1f5624cc    storage emulated 0 Android data com amazmod service files_x000D_
D AmazMod ( 1875): MainService onCreate HermesEventBus connect_x000D_
D AndroidRuntime( 1875): Shutting down VM_x000D_
E AndroidRuntime( 1875): FATAL EXCEPTION: main_x000D_
E AndroidRuntime( 1875): Process: com amazmod service  PID: 1875_x000D_
E AndroidRuntime( 1875): java lang RuntimeException: Unable to create service com amazmod service MainService: java lang NullPointerException: Attempt to invoke virtual method  int java lang String length()  on a null object reference_x000D_
E AndroidRuntime( 1875):        at android app ActivityThread handleCreateService(ActivityThread java:2771)_x000D_
E AndroidRuntime( 1875):        at android app ActivityThread access 1800(ActivityThread java:151)_x000D_
E AndroidRuntime( 1875):        at android app ActivityThread H handleMessage(ActivityThread java:1386)_x000D_
E AndroidRuntime( 1875):        at android os Handler dispatchMessage(Handler java:102)_x000D_
E AndroidRuntime( 1875):        at android os Looper loop(Looper java:135)_x000D_
E AndroidRuntime( 1875):        at android app ActivityThread main(ActivityThread java:5254)_x000D_
E AndroidRuntime( 1875):        at java lang reflect Method invoke(Native Method)_x000D_
E AndroidRuntime( 1875):        at java lang reflect Method invoke(Method java:372)_x000D_
E AndroidRuntime( 1875):        at com android internal os ZygoteInit MethodAndArgsCaller run(ZygoteInit java:903)_x000D_
E AndroidRuntime( 1875):        at com android internal os ZygoteInit main(ZygoteInit java:698)_x000D_
E AndroidRuntime( 1875): Caused by: java lang NullPointerException: Attempt to invoke virtual method  int java lang String length()  on a null object reference_x000D_
E AndroidRuntime( 1875):        at org json JSONTokener nextCleanInternal(JSONTokener java:116)_x000D_
E AndroidRuntime( 1875):        at org json JSONTokener nextValue(JSONTokener java:94)_x000D_
E AndroidRuntime( 1875):        at org json JSONObject  init (JSONObject java:156)_x000D_
E AndroidRuntime( 1875):        at org json JSONObject  init (JSONObject java:173)_x000D_
E AndroidRuntime( 1875):        at com amazmod service support NotificationStore setNotificationCount(NotificationStore java:103)_x000D_
E AndroidRuntime( 1875):        at com amazmod service MainService onCreate(MainService java:209)_x000D_
E AndroidRuntime( 1875):        at android app ActivityThread handleCreateService(ActivityThread java:2761)_x000D_
E AndroidRuntime( 1875):            9 more_x000D_
W ActivityManager(  381):   Force finishing activity 1 com amazmod service  springboard LauncherWearGridActivity_x000D_
W InputMethodManagerService(  381): Window already focused  ignoring focus gain of: com android internal view IInputMethodClient Stub Proxy b612730 attribute null  token   android os BinderProxy d4b48d9_x000D_
</t>
  </si>
  <si>
    <t>awslabs-aws-mobile-appsync-sdk-android-140</t>
  </si>
  <si>
    <t>Crash due CursorWindow exception which results in a OutOfMemoryError</t>
  </si>
  <si>
    <t xml:space="preserve">  Overview  _x000D_
We ve noticed a sporadic bug where our app crashes with the following stack trace when the app is in the middle of a download (from CDN links we receive after user pool authentication with AWS appsync)_x000D_
_x000D_
  To Reproduce  _x000D_
Steps to reproduce the behavior:_x000D_
1  The app authenticates via Appsync with a specific user pool_x000D_
2  A graphql query is run to retrieve CDN links which have an expiry date on them_x000D_
3  A download tries to kick off_x000D_
4  A crash occurs_x000D_
5  note: this is an app designed for kiosk like behaviour so it is running in the foreground most of the time for hours  memory analysis does not show significantly increasing memory usage_x000D_
_x000D_
  Stack Trace  _x000D_
    04 03 11:05:48 109 24396 24396  redacted  debug D ContentUpdateLogger: Retrieving Content Manifest  Details are: _x000D_
04 03 11:06:06 102 24396 24646  redacted  debug E CursorWindow: Could not allocate CursorWindow   data data  redacted  debug databases appsyncstore  of size 2097152 due to error  12 _x000D_
04 03 11:06:06 103 24396 24396  redacted  debug D ContentUpdateLogger: Content Update Manifest Retrieved Successfully  Details are: _x000D_
04 03 11:06:06 105 24396 24396  redacted  debug D ContentUpdateLogger: Content Update Started  Details are: _x000D_
04 03 11:06:06 482 24396 24396  redacted  debug D ContentUpdateLogger: Program Update Started  Details are: Currently updating  redacted _x000D_
04 03 11:06:06 484 24396 24396  redacted  debug D ContentUpdateLogger: Releases Update Started  Details are: Currently updating releases for  redacted _x000D_
04 03 11:06:06 497 24396 24396  redacted  debug D ContentUpdateLogger: Release Update Started  Details are: Currently updating  redacted _x000D_
04 03 11:06:06 499 24396 24396  redacted  debug D ContentUpdateLogger: Trailer And Gif Update Started  Details are: _x000D_
04 03 11:06:06 504 24396 24396  redacted  debug D ContentUpdateLogger: Asset Download Started  Details are: _x000D_
04 03 11:06:06 521 24396 24396  redacted  debug D AssetDownloader: started https:  cdn  redacted  gif_x000D_
04 03 11:06:07 719 24396 24396  redacted  debug D AssetDownloader: connected https:  cdn  redacted  gif_x000D_
04 03 11:06:07 899 24396 24396  redacted  debug D AssetDownloader: onProgress https:  cdn  redacted  gif_x000D_
04 03 11:06:07 900 24396 24396  redacted  debug D AssetDownloader: Total downloaded 0 21 mb   0  _x000D_
04 03 11:06:07 931 24396 24396  redacted  debug D AssetDownloader: connected https:  cdn  redacted  gif_x000D_
04 03 11:06:08 768 24396 24396  redacted  debug D AssetDownloader: connected https:  cdn  redacted  gif_x000D_
04 03 11:06:10 914 24396 24396  redacted  debug D AssetDownloader: onProgress https:  cdn  redacted  gif_x000D_
04 03 11:06:10 914 24396 24396  redacted  debug D AssetDownloader: Total downloaded 2 21 mb   13  _x000D_
04 03 11:06:12 228 24396 24661  redacted  debug D MetadataUtil: Skipped unknown metadata entry: hdvd_x000D_
04 03 11:06:12 228 24396 24661  redacted  debug D MetadataUtil: Skipped unknown metadata entry: stik_x000D_
04 03 11:06:12 661 24396 24662  redacted  debug D MetadataUtil: Skipped unknown metadata entry: hdvd_x000D_
04 03 11:06:12 661 24396 24662  redacted  debug D MetadataUtil: Skipped unknown metadata entry: stik_x000D_
04 03 11:06:13 708 24396 24605  redacted  debug W libc: pthread create failed: couldn t allocate 1064960 byte stack: Out of memory_x000D_
04 03 11:06:13 708 24396 24605  redacted  debug E art: Throwing OutOfMemoryError  pthread create (1040KB stack) failed: Try again _x000D_
04 03 11:06:13 739 24396 24437  redacted  debug D SensorManager: aidl getSensorManager:null_x000D_
04 03 11:06:13 883 24396 24437  redacted  debug W libc: pthread create failed: couldn t allocate 1064960 byte stack: Out of memory_x000D_
04 03 11:06:13 883 24396 24437  redacted  debug E art: Throwing OutOfMemoryError  pthread create (1040KB stack) failed: Try again _x000D_
04 03 11:06:13 904 24396 24605  redacted  debug E AndroidRuntime: FATAL EXCEPTION: ExoPlayerImplInternal:Handler_x000D_
    Process:  redacted  debug  PID: 24396_x000D_
    java lang OutOfMemoryError: pthread create (1040KB stack) failed: Try again_x000D_
        at java lang Thread nativeCreate(Native Method)_x000D_
        at java lang Thread start(Thread java:1063)_x000D_
        at java util concurrent ThreadPoolExecutor addWorker(ThreadPoolExecutor java:920)_x000D_
        at java util concurrent ThreadPoolExecutor execute(ThreadPoolExecutor java:1327)_x000D_
        at java util concurrent Executors DelegatedExecutorService execute(Executors java:583)_x000D_
        at com google android exoplayer2 upstream Loader LoadTask execute(Loader java:414)_x000D_
        at com google android exoplayer2 upstream Loader LoadTask start(Loader java:282)_x000D_
        at com google android exoplayer2 upstream Loader startLoading(Loader java:175)_x000D_
        at com google android exoplayer2 source ExtractorMediaPeriod startLoading(ExtractorMediaPeriod java:658)_x000D_
        at com google android exoplayer2 source ExtractorMediaPeriod prepare(ExtractorMediaPeriod java:210)_x000D_
        at com google android exoplayer2 ExoPlayerImplInternal maybeUpdateLoadingPeriod(ExoPlayerImplInternal java:1495)_x000D_
        at com google android exoplayer2 ExoPlayerImplInternal updatePeriods(ExoPlayerImplInternal java:1367)_x000D_
        at com google android exoplayer2 ExoPlayerImplInternal doSomeWork(ExoPlayerImplInternal java:495)_x000D_
        at com google android exoplayer2 ExoPlayerImplInternal handleMessage(ExoPlayerImplInternal java:301)_x000D_
        at android os Handler dispatchMessage(Handler java:98)_x000D_
        at android os Looper loop(Looper java:135)_x000D_
        at android os HandlerThread run(HandlerThread java:61)_x000D_
04 03 11:06:13 929 24396 24396  redacted  debug D AssetDownloader: onProgress https:  cdn  redacted  gif_x000D_
04 03 11:06:13 929 24396 24396  redacted  debug D AssetDownloader: Total downloaded 7 21 mb   37  _x000D_
04 03 11:06:14 051 24396 24396  redacted  debug D ViewRootImpl: 1920       BACK FROM relayoutWM LayoutParams (0 0)(fillxfill)mPosX 0mPosY 0mHScale 1 0mVScale 1 0 align UNDEFINE taskId 75 sim  20 ty 1 fl  81810100 fmt  3 wanim 0x1030469 vsysui 0x1300 surfaceInsets Rect(0  0   0  0) needsMenuKey 2packageName  redacted  debugtoken android os BinderProxy 21f74b12 _x000D_
04 03 11:06:15 479 24396 24437  redacted  debug I CrashlyticsCore: Crashlytics report upload complete: 5CA3D8AB003A 0001 5F4C FA3C80AB05B6_x000D_
04 03 11:06:16 774 24396 24658  redacted  debug W libc: pthread create failed: couldn t allocate 1064960 byte stack: Out of memory_x000D_
04 03 11:06:16 775 24396 24658  redacted  debug E art: Throwing OutOfMemoryError  pthread create (1040KB stack) failed: Try again _x000D_
04 03 11:06:16 780 24396 24657  redacted  debug W libc: pthread create failed: couldn t allocate 1064960 byte stack: Out of memory_x000D_
04 03 11:06:16 781 24396 24657  redacted  debug E art: Throwing OutOfMemoryError  pthread create (1040KB stack) failed: Try again _x000D_
04 03 11:06:18 639 24396 24659  redacted  debug W libc: pthread create failed: couldn t allocate 1064960 byte stack: Out of memory_x000D_
04 03 11:06:18 639 24396 24659  redacted  debug E art: Throwing OutOfMemoryError  pthread create (1040KB stack) failed: Try again  _x000D_
   _x000D_
_x000D_
  Environment(please complete the following information):  _x000D_
   AppSync SDK Version: 2 6 21   testing with 2 7 8 now_x000D_
_x000D_
  Device Information (please complete the following information):  _x000D_
   Device: GloryStar Nebula Tablet _x000D_
   Android Version: 5 1 1_x000D_
_x000D_
  Additional context  _x000D_
We ran the app in strict mode for analysis and saw multiple warnings _x000D_
_x000D_
  Code  _x000D_
We instantiate a new instance of the aws client whenever we need to authenicate or make a query_x000D_
   _x000D_
fun generateAWSClient(context: Context  serverRegion: String  serverUrl: String  userPool: CognitoUserPool): AWSAppSyncClient  _x000D_
        val basicCognitoUserPoolsAuthProvider   BasicCognitoUserPoolsAuthProvider(userPool)_x000D_
        val client   AWSAppSyncClient builder()_x000D_
                 context(context)_x000D_
                 region(Regions fromName(serverRegion))_x000D_
                 serverUrl(serverUrl)_x000D_
                 cognitoUserPoolsAuthProvider(basicCognitoUserPoolsAuthProvider)_x000D_
                 build()_x000D_
        return client_x000D_
   _x000D_
run a query for the content manifest which gives us our cdn links to download and thats about it  are we meant to be running a cleanup step for the client _x000D_
_x000D_
   _x000D_
appSyncClient  query(query)_x000D_
                  responseFetcher(AppSyncResponseFetchers NETWORK ONLY)_x000D_
                  enqueue(object : GraphQLCall Callback ContentManifestQuery Data ()  _x000D_
                    override fun onResponse(response: Response ContentManifestQuery Data )  _x000D_
_x000D_
                        uiThreadHandler post  _x000D_
                            if ( response hasErrors())  _x000D_
                                onSuccess(response data()  console)_x000D_
                              else  _x000D_
                                val error   response errors() toString()_x000D_
                                Timber e(error)_x000D_
                                onFailure(error)_x000D_
                             _x000D_
                         _x000D_
                     _x000D_
_x000D_
                    override fun onFailure(e: ApolloException)  _x000D_
                        uiThreadHandler post  _x000D_
                            onFailure(e message)_x000D_
                            Timber e(e)_x000D_
                         _x000D_
                     _x000D_
                 )_x000D_
   _x000D_
</t>
  </si>
  <si>
    <t>paceuniversity-cs389s2019team5-13</t>
  </si>
  <si>
    <t>fixed bug in controller</t>
  </si>
  <si>
    <t xml:space="preserve">Fixed two bugs with the controller:_x000D_
  If a student attempts to check in before any sessions have been created  the app would crash due to null pointer exception  This was resolved on line 73 _x000D_
  Students were able to check in multiple times before  overwriting their previous timestamp  This was changed in the app to only check them in if they haven t checked in already  </t>
  </si>
  <si>
    <t>hidroh-materialistic-1245</t>
  </si>
  <si>
    <t xml:space="preserve">It has been Crashing all too often for me after the very latest update. </t>
  </si>
  <si>
    <t>When i pull to refresh  click the bottom button to only show new articles (best feature ever ) It crashes
Device: OnePlus ONEPLUS A6003  SDK: 28  app version: 79</t>
  </si>
  <si>
    <t>eclipsesource-J2V8-462</t>
  </si>
  <si>
    <t>Android app crashes on bogus input</t>
  </si>
  <si>
    <t xml:space="preserve">Executing a script with bogus input causes a crash on Android _x000D_
_x000D_
The input  v8 executeScript( asd )  leads to Android vm termination with the following message:_x000D_
_x000D_
   _x000D_
2019 04 02 16:39:27 636 A ris android de: java vm ext cc:545  JNI DETECTED ERROR IN APPLICATION: use of deleted local reference 0xc1_x000D_
2019 04 02 16:39:27 636 A ris android de: java vm ext cc:545      from java lang Object com eclipsesource v8 V8  executeScript(long  int  java lang String  java lang String  int)_x000D_
2019 04 02 16:39:27 960 A ris android de: runtime cc:595  Runtime aborting   _x000D_
2019 04 02 16:39:27 960 A ris android de: runtime cc:595  Dumping all threads without appropriate locks held: thread list lock mutator lock_x000D_
2019 04 02 16:39:27 960 A ris android de: runtime cc:595  All threads:_x000D_
2019 04 02 16:39:27 960 A ris android de: runtime cc:595  DALVIK THREADS (26):_x000D_
2019 04 02 16:39:27 960 A ris android de: runtime cc:595   main  prio 10 tid 1 Runnable_x000D_
2019 04 02 16:39:27 960 A ris android de: runtime cc:595      group    sCount 0 dsCount 0 flags 0 obj 0x73a1e628 self 0xf1e34e00_x000D_
2019 04 02 16:39:27 960 A ris android de: runtime cc:595      sysTid 14790 nice  10 cgrp default sched 0 0 handle 0xf24ccdc8_x000D_
2019 04 02 16:39:27 960 A ris android de: runtime cc:595      state R schedstat ( 2881135888 279832252 1425 ) utm 239 stm 49 core 3 HZ 100_x000D_
2019 04 02 16:39:27 960 A ris android de: runtime cc:595      stack 0xff0dc000 0xff0de000 stackSize 8192KB_x000D_
2019 04 02 16:39:27 960 A ris android de: runtime cc:595      held mutexes   abort lock   mutator lock (shared held)_x000D_
2019 04 02 16:39:27 960 A ris android de: runtime cc:595    native:  00 pc 004c8f83   system lib libart so (art::DumpNativeStack(std::  1::basic ostream char  std::  1::char traits char     int  BacktraceMap   char const   art::ArtMethod   void   bool) 115)_x000D_
2019 04 02 16:39:27 960 A ris android de: runtime cc:595    native:  01 pc 005e1302   system lib libart so (art::Thread::DumpStack(std::  1::basic ostream char  std::  1::char traits char     bool  BacktraceMap   bool) const 994)_x000D_
2019 04 02 16:39:27 960 A ris android de: runtime cc:595    native:  02 pc 00605353   system lib libart so (art::DumpCheckpoint::Run(art::Thread ) 979)_x000D_
2019 04 02 16:39:27 960 A ris android de: runtime cc:595    native:  03_x000D_
   _x000D_
   _x000D_
_x000D_
Seen on Android 9  Pixel 2 and Android Q  Emulator with j2v8 master </t>
  </si>
  <si>
    <t>square-okhttp-4858</t>
  </si>
  <si>
    <t>Samsung devices : SecCertPathValidatorSpi crash</t>
  </si>
  <si>
    <t xml:space="preserve">Hello I am using OkHttp and retrofit in my network layer and I applied certificate pinner like below code _x000D_
_x000D_
   _x000D_
    implementation  com squareup retrofit2:retrofit:2 4 0 _x000D_
    implementation  com squareup retrofit2:adapter rxjava:2 4 0 _x000D_
    implementation  com squareup retrofit2:converter gson:2 4 0 _x000D_
    implementation  com squareup okhttp3:logging interceptor:3 9 1 _x000D_
    implementation  com burgstaller:okhttp digest:1 15 _x000D_
   _x000D_
_x000D_
   _x000D_
CertificatePinner certificatePinner   new CertificatePinner Builder()_x000D_
                 add( domain com eg    sha256           ) _x000D_
                 add( domain com eg    sha256           ) _x000D_
                 build() _x000D_
   _x000D_
_x000D_
I got the below crash in fabric in   Samsung devices only   and in a variety of OS version but it s mostly happening in version 4_x000D_
_x000D_
   _x000D_
Caused by java lang StackOverflowError_x000D_
       at java io FilterInputStream read(FilterInputStream java:114)_x000D_
       at com android org bouncycastle asn1 DefiniteLengthInputStream read(DefiniteLengthInputStream java:50)_x000D_
       at java io FilterInputStream read(FilterInputStream java:114)_x000D_
       at com android org bouncycastle asn1 DefiniteLengthInputStream read(DefiniteLengthInputStream java:50)_x000D_
       at java io FilterInputStream read(FilterInputStream java:114)_x000D_
       at com android org bouncycastle asn1 DefiniteLengthInputStream read(DefiniteLengthInputStream java:50)_x000D_
       at java io FilterInputStream read(FilterInputStream java:114)_x000D_
       at com android org bouncycastle asn1 DefiniteLengthInputStream read(DefiniteLengthInputStream java:50)_x000D_
       at java io FilterInputStream read(FilterInputStream java:114)_x000D_
       at com android org bouncycastle asn1 ASN1InputStream readLength(ASN1InputStream java:323)_x000D_
       at com android org bouncycastle asn1 ASN1InputStream readLength(ASN1InputStream java:112)_x000D_
       at com android org bouncycastle asn1 ASN1InputStream readObject(ASN1InputStream java:231)_x000D_
       at com android org bouncycastle asn1 ASN1InputStream buildEncodableVector(ASN1InputStream java:193)_x000D_
       at com android org bouncycastle asn1 ASN1InputStream buildDEREncodableVector(ASN1InputStream java:204)_x000D_
       at com android org bouncycastle asn1 ASN1InputStream buildObject(ASN1InputStream java:173)_x000D_
       at com android org bouncycastle asn1 ASN1InputStream readObject(ASN1InputStream java:272)_x000D_
       at com android org bouncycastle asn1 ASN1InputStream buildEncodableVector(ASN1InputStream java:193)_x000D_
       at com android org bouncycastle asn1 ASN1InputStream buildDEREncodableVector(ASN1InputStream java:204)_x000D_
       at com android org bouncycastle asn1 ASN1InputStream buildObject(ASN1InputStream java:173)_x000D_
       at com android org bouncycastle asn1 ASN1InputStream readObject(ASN1InputStream java:272)_x000D_
       at com android org bouncycastle asn1 ASN1InputStream buildEncodableVector(ASN1InputStream java:193)_x000D_
       at com android org bouncycastle asn1 ASN1InputStream buildDEREncodableVector(ASN1InputStream java:204)_x000D_
       at com android org bouncycastle asn1 ASN1InputStream buildObject(ASN1InputStream java:173)_x000D_
       at com android org bouncycastle asn1 ASN1InputStream readObject(ASN1InputStream java:272)_x000D_
       at com android org bouncycastle asn1 ASN1InputStream buildEncodableVector(ASN1InputStream java:193)_x000D_
       at com android org bouncycastle asn1 ASN1InputStream buildDEREncodableVector(ASN1InputStream java:204)_x000D_
       at com android org bouncycastle asn1 ASN1InputStream buildObject(ASN1InputStream java:173)_x000D_
       at com android org bouncycastle asn1 ASN1InputStream readObject(ASN1InputStream java:272)_x000D_
       at com android org bouncycastle jce provider CertPathValidatorUtilities getObject(CertPathValidatorUtilities java:339)_x000D_
       at com android org bouncycastle jce provider CertPathValidatorUtilities getExtensionValue(CertPathValidatorUtilities java:325)_x000D_
       at com android org bouncycastle jce provider RFC3280CertPathUtilities processCertD(RFC3280CertPathUtilities java:1268)_x000D_
       at com android org bouncycastle jce provider PKIXCertPathValidatorSpi engineValidate(PKIXCertPathValidatorSpi java:310)_x000D_
       at com sec android security pkix SecCertPathValidatorSpi engineValidate(SecCertPathValidatorSpi java:100)_x000D_
       at java security cert CertPathValidator validate(CertPathValidator java:190)_x000D_
       at com android org conscrypt TrustManagerImpl checkTrusted(TrustManagerImpl java:301)_x000D_
       at com android org conscrypt TrustManagerImpl checkServerTrusted(TrustManagerImpl java:208)_x000D_
       at com android org conscrypt OpenSSLSocketImpl verifyCertificateChain(OpenSSLSocketImpl java:611)_x000D_
       at com android org conscrypt NativeCrypto SSL do handshake(NativeCrypto java)_x000D_
       at com android org conscrypt OpenSSLSocketImpl startHandshake(OpenSSLSocketImpl java:406)_x000D_
       at okhttp3 internal connection RealConnection connectTls(RealConnection java:302)_x000D_
       at okhttp3 internal connection RealConnection establishProtocol(RealConnection java:270)_x000D_
       at okhttp3 internal connection RealConnection connect(RealConnection java:162)_x000D_
       at okhttp3 internal connection StreamAllocation findConnection(StreamAllocation java:257)_x000D_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java:126)_x000D_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ExecutorCallAdapterFactory ExecutorCallbackCall execute(ExecutorCallAdapterFactory java:91)_x000D_
       at vodafone vis engezly data network2 TokenAuthenticator refreshTokenSeamless(TokenAuthenticator java:72)_x000D_
       at vodafone vis engezly data network2 TokenAuthenticator authenticate(TokenAuthenticator java:35)_x000D_
       at okhttp3 internal http RetryAndFollowUpInterceptor followUpRequest(RetryAndFollowUpInterceptor java:288)_x000D_
       at okhttp3 internal http RetryAndFollowUpInterceptor intercept(RetryAndFollowUpInterceptor java:158)_x000D_
       at okhttp3 internal http RealInterceptorChain proceed(RealInterceptorChain java:147)_x000D_
       at okhttp3 internal http RealInterceptorChain proceed(RealInterceptorChain java:121)_x000D_
       at vodafone vis engezly data network2 ElasticsInterceptor intercept(ElasticsInterceptor java:33)_x000D_
       at okhttp3 internal http RealInterceptorChain proceed(RealInterceptorChain java:147)_x000D_
       at okhttp3 internal http RealInterceptorChain proceed(RealInterceptorChain java:121)_x000D_
       at vodafone vis engezly data network2 AuthInterceptor intercept(AuthInterceptor java:33)_x000D_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retrofit2 OkHttpCall execute(OkHttpCall java:180)_x000D_
       at retrofit2 adapter rxjava CallExecuteOnSubscribe call(CallExecuteOnSubscribe java:40)_x000D_
       at retrofit2 adapter rxjava CallExecuteOnSubscribe call(CallExecuteOnSubscribe java:24)_x000D_
       at retrofit2 adapter rxjava BodyOnSubscribe call(BodyOnSubscribe java:36)_x000D_
       at retrofit2 adapter rxjava BodyOnSubscribe call(BodyOnSubscribe java:28)_x000D_
       at rx Observable unsafeSubscribe(Observable java:10256)_x000D_
       at rx internal operators OperatorSubscribeOn SubscribeOnSubscriber call(OperatorSubscribeOn java:100)_x000D_
       at rx internal schedulers ScheduledAction run(ScheduledAction java:55)_x000D_
       at java util concurrent Executors RunnableAdapter call(Executors java:422)_x000D_
       at java util concurrent FutureTask run(FutureTask java:237)_x000D_
       at java util concurrent ScheduledThreadPoolExecutor ScheduledFutureTask access 201(ScheduledThreadPoolExecutor java:152)_x000D_
       at java util concurrent ScheduledThreadPoolExecutor ScheduledFutureTask run(ScheduledThreadPoolExecutor java:265)_x000D_
       at java util concurrent ThreadPoolExecutor runWorker(ThreadPoolExecutor java:1112)_x000D_
       at java util concurrent ThreadPoolExecutor Worker run(ThreadPoolExecutor java:587)_x000D_
       at java lang Thread run(Thread java:841)_x000D_
   </t>
  </si>
  <si>
    <t>datatheorem-TrustKit-Android-53</t>
  </si>
  <si>
    <t>domain-config without pin set results in ConfigurationException: Policy contains 0 domains to pin</t>
  </si>
  <si>
    <t xml:space="preserve">  Describe the bug  _x000D_
In the  network security config xml  file  if there is a domain config block without any pin set like below  an  com datatheorem android trustkit config ConfigurationException: Policy contains 0 domains to pin  exception will be thrown upon app launch which causes the app to crash  I believe this results from the fix to  49  _x000D_
_x000D_
   _x000D_
 domain config cleartextTrafficPermitted  true  _x000D_
     domain includeSubdomains  false  localhost  domain _x000D_
     domain includeSubdomains  false  10 0 2 2  domain _x000D_
     domain includeSubdomains  false  10 0 3 2  domain _x000D_
     trustkit config enforcePinning  false   _x000D_
  domain config _x000D_
   _x000D_
_x000D_
Exception stack trace from logcat:_x000D_
_x000D_
   _x000D_
04 02 17:15:30 089 23250 23250 E AndroidRuntime: java lang RuntimeException: Unable to create application xxx xxx xxx MainApplication: com datatheorem android trustkit config ConfigurationException: Policy contains 0 domains to pin_x000D_
04 02 17:15:30 089 23250 23250 E AndroidRuntime: 	at android app ActivityThread handleBindApplication(ActivityThread java:5876)_x000D_
04 02 17:15:30 089 23250 23250 E AndroidRuntime: 	at android app ActivityThread access 1100(ActivityThread java:199)_x000D_
04 02 17:15:30 089 23250 23250 E AndroidRuntime: 	at android app ActivityThread H handleMessage(ActivityThread java:1650)_x000D_
04 02 17:15:30 089 23250 23250 E AndroidRuntime: 	at android os Handler dispatchMessage(Handler java:106)_x000D_
04 02 17:15:30 089 23250 23250 E AndroidRuntime: 	at android os Looper loop(Looper java:193)_x000D_
04 02 17:15:30 089 23250 23250 E AndroidRuntime: 	at android app ActivityThread main(ActivityThread java:6669)_x000D_
04 02 17:15:30 089 23250 23250 E AndroidRuntime: 	at java lang reflect Method invoke(Native Method)_x000D_
04 02 17:15:30 089 23250 23250 E AndroidRuntime: 	at com android internal os RuntimeInit MethodAndArgsCaller run(RuntimeInit java:493)_x000D_
04 02 17:15:30 089 23250 23250 E AndroidRuntime: 	at com android internal os ZygoteInit main(ZygoteInit java:858)_x000D_
04 02 17:15:30 089 23250 23250 E AndroidRuntime: Caused by: com datatheorem android trustkit config ConfigurationException: Policy contains 0 domains to pin_x000D_
04 02 17:15:30 089 23250 23250 E AndroidRuntime: 	at com datatheorem android trustkit config TrustKitConfiguration  init (TrustKitConfiguration java:42)_x000D_
04 02 17:15:30 089 23250 23250 E AndroidRuntime: 	at com datatheorem android trustkit config TrustKitConfiguration  init (TrustKitConfiguration java:33)_x000D_
04 02 17:15:30 089 23250 23250 E AndroidRuntime: 	at com datatheorem android trustkit config TrustKitConfigurationParser fromXmlPolicy(TrustKitConfigurationParser java:71)_x000D_
04 02 17:15:30 089 23250 23250 E AndroidRuntime: 	at com datatheorem android trustkit config TrustKitConfiguration fromXmlPolicy(TrustKitConfiguration java:28)_x000D_
04 02 17:15:30 089 23250 23250 E AndroidRuntime: 	at com datatheorem android trustkit TrustKit initializeWithNetworkSecurityConfiguration(TrustKit java:311)_x000D_
04 02 17:15:30 089 23250 23250 E AndroidRuntime: 	at com datatheorem android trustkit TrustKit initializeWithNetworkSecurityConfiguration(TrustKit java:271)_x000D_
04 02 17:15:30 089 23250 23250 E AndroidRuntime: 	at com hpb nhp MainApplication onCreate(MainApplication java:76)_x000D_
04 02 17:15:30 089 23250 23250 E AndroidRuntime: 	at android app Instrumentation callApplicationOnCreate(Instrumentation java:1154)_x000D_
04 02 17:15:30 089 23250 23250 E AndroidRuntime: 	at android app ActivityThread handleBindApplication(ActivityThread java:5871)_x000D_
   _x000D_
_x000D_
  To Reproduce  _x000D_
Put above XML config block for clear text traffic in an RN (version    0 58) app with TrustKit module (v1 1 1) installed  run  react native run android  to install and launch it in an Android emulator  The app will crash upon launch and the above exception messages can be read via logcat _x000D_
_x000D_
  Expected behavior  _x000D_
Domains without pin set should just be ignored as promised in the release notes of version 1 1 1  _x000D_
_x000D_
  TrustKit version  _x000D_
1 1 1 _x000D_
_x000D_
  App details:  _x000D_
App target SDK: 28 0 3_x000D_
App language: JS React Native_x000D_
Android version to reproduce the bug: Andorid 9 0 _x000D_
</t>
  </si>
  <si>
    <t>the3soundcrafties-SoundboardCrafter-19</t>
  </si>
  <si>
    <t>After reset, removal of a sound leads to exception</t>
  </si>
  <si>
    <t xml:space="preserve">  User clicks reset and confirms _x000D_
  User long clicks a sound and clicks  Remove  _x000D_
_x000D_
App crashes:_x000D_
2019 04 01 23:02:55 548 19840 19840 de soundboardcrafter D AbsListView: onTouchUp() mTouchMode : 0_x000D_
2019 04 01 23:02:55 625 19840 19840 de soundboardcrafter D de soundboardcrafter activity soundboard play SoundboardFragment: Removing sound 1_x000D_
2019 04 01 23:02:55 631 19840 20462 de soundboardcrafter D de soundboardcrafter activity soundboard play SoundboardFragment RemoveSoundsTask: Removing sound   1 from soundboard_x000D_
2019 04 01 23:02:55 638 19840 20462 de soundboardcrafter E AndroidRuntime: FATAL EXCEPTION: AsyncTask  6_x000D_
    Process: de soundboardcrafter  PID: 19840_x000D_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java:1162)_x000D_
        at java util concurrent ThreadPoolExecutor Worker run(ThreadPoolExecutor java:636)_x000D_
        at java lang Thread run(Thread java:764)_x000D_
     Caused by: java lang RuntimeException: There was no sound at index 1 _x000D_
        at de soundboardcrafter dao SoundboardDao unlinkSound(SoundboardDao java:334)_x000D_
        at de soundboardcrafter activity soundboard play SoundboardFragment RemoveSoundsTask doInBackground(SoundboardFragment java:370)_x000D_
        at de soundboardcrafter activity soundboard play SoundboardFragment RemoveSoundsTask doInBackground(SoundboardFragment java:347)_x000D_
        at android os AsyncTask 2 call(AsyncTask java:333)_x000D_
        at java util concurrent FutureTask run(FutureTask java:266)_x000D_
        at android os AsyncTask SerialExecutor 1 run(AsyncTask java:245) _x000D_
        at java util concurrent ThreadPoolExecutor runWorker(ThreadPoolExecutor java:1162) _x000D_
        at java util concurrent ThreadPoolExecutor Worker run(ThreadPoolExecutor java:636) _x000D_
        at java lang Thread run(Thread java:764) _x000D_
_x000D_
Linked to  18  </t>
  </si>
  <si>
    <t>getodk-collect-2979</t>
  </si>
  <si>
    <t>App crashes if the user opens some GeoWidget with Google Map and immediately changes device orientation</t>
  </si>
  <si>
    <t xml:space="preserve">     Software and hardware versions _x000D_
Collect v1 21 beta 0_x000D_
_x000D_
     Problem description_x000D_
App crashes if the user opens some GeoWidget with Google Map and immediately changes device orientation_x000D_
_x000D_
     Steps to reproduce the problem_x000D_
1  User opens some Geo Widget with map _x000D_
2  User immediately changes device orientation_x000D_
3  App crashes_x000D_
_x000D_
 crashGeoPoint2 txt (https:  github com opendatakit collect files 3029551 crashGeoPoint2 txt)_x000D_
_x000D_
     Expected behavior_x000D_
  Collect does not crash_x000D_
</t>
  </si>
  <si>
    <t>jMonkeyEngine-jmonkeyengine-1058</t>
  </si>
  <si>
    <t>native Bullet crash while removing body from BroadphaseType.SIMPLE PhysicsSpace</t>
  </si>
  <si>
    <t xml:space="preserve">I hope to use  BroadphaseType SIMPLE  in my game because I believe it is more efficient in some situations  However  in the current  master  branch  the test app below crashes in native Bullet while attempting to remove  body1  from  physicsSpace  _x000D_
_x000D_
  The app completes successfully using JBullet _x000D_
  The app completes successfully if  setBroadphaseType()  is commented out  in which case DBVT broadphase is used instead of SIMPLE _x000D_
  The app completes successfully if  body2  isn t added to  physicsSpace  _x000D_
  The app completes successfully if  body1  is removed  before  the physics is stepped instead of afterward _x000D_
_x000D_
   _x000D_
package jme3test bullet _x000D_
_x000D_
import com jme3 app Application _x000D_
import com jme3 app SimpleApplication _x000D_
import com jme3 bullet BulletAppState _x000D_
import com jme3 bullet PhysicsSpace _x000D_
import com jme3 bullet PhysicsTickListener _x000D_
import com jme3 bullet collision shapes CollisionShape _x000D_
import com jme3 bullet collision shapes SphereCollisionShape _x000D_
import com jme3 bullet objects PhysicsRigidBody _x000D_
_x000D_
   _x000D_
   Test case for JME issue  10xx: native Bullet crash while removing a rigid_x000D_
   body from a BroadphaseType SIMPLE PhysicsSpace _x000D_
    p _x000D_
   If successful  the app will complete normally _x000D_
  _x000D_
    author Stephen Gold sgold sonic net_x000D_
   _x000D_
public class TestIssue10XX_x000D_
        extends SimpleApplication_x000D_
        implements PhysicsTickListener  _x000D_
_x000D_
    private volatile boolean hasStepped   false _x000D_
    private PhysicsRigidBody body1 _x000D_
    private PhysicsRigidBody body2 _x000D_
    private PhysicsSpace physicsSpace _x000D_
_x000D_
    public static void main(String   arguments)  _x000D_
        Application application   new TestIssue10XX() _x000D_
        application start() _x000D_
     _x000D_
_x000D_
     Override_x000D_
    public void simpleInitApp()  _x000D_
        BulletAppState bulletAppState   new BulletAppState() _x000D_
        bulletAppState setBroadphaseType(PhysicsSpace BroadphaseType SIMPLE) _x000D_
        stateManager attach(bulletAppState) _x000D_
_x000D_
        physicsSpace   bulletAppState getPhysicsSpace() _x000D_
        physicsSpace addTickListener(this) _x000D_
_x000D_
        CollisionShape shape   new SphereCollisionShape(1f) _x000D_
_x000D_
        body1   new PhysicsRigidBody(shape  1f) _x000D_
        physicsSpace add(body1) _x000D_
_x000D_
        body2   new PhysicsRigidBody(shape  2f) _x000D_
        physicsSpace add(body2) _x000D_
     _x000D_
_x000D_
     Override_x000D_
    public void simpleUpdate(float tpf)  _x000D_
        super simpleUpdate(tpf) _x000D_
        if (hasStepped)  _x000D_
            physicsSpace remove(body1)     native Bullet crash occurs here_x000D_
            physicsSpace   null _x000D_
            stop() _x000D_
         _x000D_
     _x000D_
_x000D_
     Override_x000D_
    public void prePhysicsTick(PhysicsSpace space  float tpf)  _x000D_
           do nothing_x000D_
     _x000D_
_x000D_
     Override_x000D_
    public void physicsTick(PhysicsSpace space  float tpf)  _x000D_
        hasStepped   true _x000D_
     _x000D_
 _x000D_
   </t>
  </si>
  <si>
    <t>aws-amplify-aws-sdk-android-842</t>
  </si>
  <si>
    <t>Got "Could not create epoll instance: Too many open files" error after ~150 unsuccessful reconnecting attempts</t>
  </si>
  <si>
    <t xml:space="preserve">  Describe the bug  _x000D_
_x000D_
When AWSIotMqttManager tries to reconnect  after  100 300 attempts to reconnect the app crashes with this error:_x000D_
 Could not create epoll instance: Too many open files _x000D_
_x000D_
  To Reproduce  _x000D_
Steps to reproduce the behavior:_x000D_
_x000D_
1  Succesfully connect the AWSIotMqttManager with AWS with autoReconnect enabled_x000D_
_x000D_
I use this settings: _x000D_
     _x000D_
  manager setMaxAutoReconnectAttepts( 1)_x000D_
  manager keepAlive   0_x000D_
  manager setReconnectRetryLimits(1  8)_x000D_
   _x000D_
2  Turn off the internet connection_x000D_
3  AWSIotMqttManager tries to reconnect  after  100 300 attempts to reconnect the app crashes with the following errors:_x000D_
   _x000D_
2019 03 29 20:33:27 285 I AWSIotMqttManager: schedule Reconnect attempt 158 of  1 in 8 seconds _x000D_
2019 03 29 20:33:31 750 I AWSIotMqttManager: attempting to reconnect to mqtt broker_x000D_
2019 03 29 20:33:31 776 W AWSIotMqttManager: Reconnect failed _x000D_
2019 03 29 20:33:31 779 I AWSIotMqttManager: schedule Reconnect attempt 159 of  1 in 8 seconds _x000D_
2019 03 29 20:33:31 783 A Looper: Could not create epoll instance: Too many open files_x000D_
2019 03 29 20:33:31 817 W zygote: ashmem create region failed for  indirect ref table : Too many open files_x000D_
2019 03 29 20:33:36 921 I AWSIotMqttManager: attempting to reconnect to mqtt broker_x000D_
2019 03 29 20:33:36 925 W zygote: ashmem create region failed for  indirect ref table : Too many open files_x000D_
2019 03 29 20:33:36 925 I AWSIotMqttManager: attempting to reconnect to mqtt broker_x000D_
   _x000D_
_x000D_
  Which AWS service(s) are affected   _x000D_
_x000D_
AWS IoT_x000D_
_x000D_
  Expected behavior  _x000D_
_x000D_
AWSIotMqttManager should continue to reconnect without errors_x000D_
_x000D_
  Environment Information (please complete the following information):  _x000D_
_x000D_
   AWS Android SDK Version: _x000D_
  com amazonaws:aws android sdk core:2 10    _x000D_
   com amazonaws:aws android sdk iot:2 6    _x000D_
_x000D_
   Device: Huawei Watch 2_x000D_
   Android Version: 8 0_x000D_
   Specific to simulators: no_x000D_
_x000D_
  Additional context  _x000D_
_x000D_
The wearOS devices are used in the environment with a specific network setup which causes a huge number of reconnect attempts  So  from time to time the app crashes _x000D_
I m wondering how to fix or avoid such crashes _x000D_
</t>
  </si>
  <si>
    <t>UBCO-COSC499-Winter-2018-Term-1-2-project-12-bus-advisory-offline-real-time-bus-location-tracker-47</t>
  </si>
  <si>
    <t>Can't run firebase-admin on other machines</t>
  </si>
  <si>
    <t xml:space="preserve">  Describe the bug  _x000D_
A clear and concise description of what the bug is _x000D_
firebase admin crashes with failure to get credentials from initializeapp()_x000D_
  To Reproduce  _x000D_
Steps to reproduce the behavior:_x000D_
1  Go to      _x000D_
rest apis_x000D_
2  Run       _x000D_
sls offline  c_x000D_
3  Run       _x000D_
postman get request to http:  localhost:4000 buslocation ubco a_x000D_
4  See error_x000D_
_x000D_
  Expected behavior  _x000D_
A clear and concise description of what you expected to happen _x000D_
not to crash when run on other computers_x000D_
_x000D_
  Screenshots  _x000D_
If applicable  add screenshots to help explain your problem _x000D_
  image (https:  user images githubusercontent com 16694096 55285581 a48b0800 5343 11e9 9231 417942e5388a png)_x000D_
_x000D_
_x000D_
  Desktop (please complete the following information):  _x000D_
   node 8 10 0_x000D_
_x000D_
</t>
  </si>
  <si>
    <t>CMPUT301W19T11-Atheneum-195</t>
  </si>
  <si>
    <t>App Crashes after Borrower Makes a Request Sometimes</t>
  </si>
  <si>
    <t xml:space="preserve">  Describe the bug  _x000D_
A clear and concise description of what the bug is _x000D_
_x000D_
  To Reproduce  _x000D_
Steps to reproduce the behavior:_x000D_
1  Attempt to request a book_x000D_
2  Click request button_x000D_
3  App crashes_x000D_
_x000D_
  Expected behavior  _x000D_
After the request has been made  the request activity should be finished not crash and then go to main _x000D_
_x000D_
  Stack Trace  _x000D_
   _x000D_
2019 03 30 14:06:58 892 26533 26533 com example atheneum E AndroidRuntime: FATAL EXCEPTION: main_x000D_
    Process: com example atheneum  PID: 26533_x000D_
    java lang IllegalStateException: Fragment BorrowerRequestsFragment 9516a8d  not attached to a context _x000D_
        at android support v4 app Fragment requireContext(Fragment java:696)_x000D_
        at android support v4 app Fragment getResources(Fragment java:760)_x000D_
        at android support v4 app Fragment getString(Fragment java:782)_x000D_
        at com example atheneum fragments BorrowerRequestsFragment 4 onDataChange(BorrowerRequestsFragment java:207)_x000D_
        at com google firebase database core ValueEventRegistration fireEvent(com google firebase:firebase database  16 0 6:75)_x000D_
        at com google firebase database core view DataEvent fire(com google firebase:firebase database  16 0 6:63)_x000D_
        at com google firebase database core view EventRaiser 1 run(com google firebase:firebase database  16 0 6:55)_x000D_
        at android os Handler handleCallback(Handler java:761)_x000D_
        at android os Handler dispatchMessage(Handler java:98)_x000D_
        at android os Looper loop(Looper java:156)_x000D_
        at android app ActivityThread main(ActivityThread java:6523)_x000D_
        at java lang reflect Method invoke(Native Method)_x000D_
        at com android internal os ZygoteInit MethodAndArgsCaller run(ZygoteInit java:942)_x000D_
        at com android internal os ZygoteInit main(ZygoteInit java:832)_x000D_
2019 03 30 14:06:58 897 1856 5468   E ReportTools: This is not beta user build_x000D_
   _x000D_
_x000D_
  Smartphone (please complete the following information):  _x000D_
   Huawei Nova Plus_x000D_
_x000D_
  Additional context  _x000D_
The request lifecycle flow is very strange  I press back and end up in book s i ve already requested when trying to search for new books to request _x000D_
</t>
  </si>
  <si>
    <t>cgeo-cgeo-7437</t>
  </si>
  <si>
    <t>App crashes on specific OC caches</t>
  </si>
  <si>
    <t xml:space="preserve">      Detailed steps causing the problem:_x000D_
  Enable oc de service_x000D_
  Try to search by geocode for OC134AC_x000D_
  App crashes hangs during loading_x000D_
_x000D_
      Version of c:geo used:_x000D_
master_x000D_
_x000D_
      Other comments and remarks:_x000D_
Crash is at line 524 in  OkapiClient java   line_x000D_
             cache setAttributes(parseAttributes((ArrayNode) response path(CACHE ATTRNAMES)  (ArrayNode) response get(CACHE ATTR ACODES)))  _x000D_
_x000D_
Exception_x000D_
_x000D_
     Cannot cast  com fasterxml jackson databind node ObjectNode  to  com fasterxml jackson databind node ArrayNode _x000D_
_x000D_
 response get(CACHE ATTR ACODES) toString()  is _x000D_
   0 : A19   1 : A33   2 : A34   3 : A37   5 : A30   6 : A58   7 : A39   8 : A44   9 : A47   10 : A13   11 : A71   _x000D_
_x000D_
Seems pretty obvious that dictionary cannot be casted to array list  I wonder  am I the first one who noticed </t>
  </si>
  <si>
    <t>fossasia-phimpme-android-2700</t>
  </si>
  <si>
    <t>App crashes when changing the orientation in dimension compress</t>
  </si>
  <si>
    <t xml:space="preserve">  Describe the bug  _x000D_
App is crashing when changing the orientation in the dimension compress section _x000D_
_x000D_
  To Reproduce  _x000D_
_x000D_
1  Select any image and click on compress_x000D_
2  Click on By dimension button_x000D_
3  Change the orientation _x000D_
_x000D_
  Expected behavior  _x000D_
App should not crash _x000D_
_x000D_
  Smartphone Info:  _x000D_
     Please complete the following information    _x000D_
                   _x000D_
                   _x000D_
 Device          Redmi 5A  _x000D_
 Android Version 7 1 2   _x000D_
_x000D_
_x000D_
  Would you like to work on the issue   _x000D_
  Yes_x000D_
_x000D_
_x000D_
</t>
  </si>
  <si>
    <t>moneymanagerex-android-money-manager-ex-1341</t>
  </si>
  <si>
    <t>App crashed when I clicked the plus sign to on Budget list.</t>
  </si>
  <si>
    <t xml:space="preserve">    Actual behavior_x000D_
_x000D_
The app crashed when I clicked on the plus sign in the project list_x000D_
_x000D_
    Expected behavior_x000D_
_x000D_
I expected to be able to write my budget list when I clicked on the plus icon_x000D_
_x000D_
    How to reproduce_x000D_
_x000D_
  Download and launch the app_x000D_
_x000D_
  Click the menu button on the top left side_x000D_
_x000D_
  locate  Budget  in the list of the features_x000D_
_x000D_
  Click on it  A new page will open _x000D_
_x000D_
  Below the new page by the right  you will find a plus icon colored green _x000D_
_x000D_
  Click on that Icon and note the crash_x000D_
_x000D_
    Reproducing the bug_x000D_
_x000D_
https:  youtu be ixZ8uya5 L8_x000D_
_x000D_
_x000D_
   Device used    : Teckno Spark K7_x000D_
_x000D_
   Version    : Android 7 0_x000D_
_x000D_
    the log you requested _x000D_
_x000D_
_x000D_
    13288 13288 E AndroidRuntime: FATAL EXCEPTION: main_x000D_
 13288 13288 E AndroidRuntime: Process: com money manager ex  PID: 13288_x000D_
 13288 13288 E AndroidRuntime: java lang RuntimeException: Unable to start activity ComponentInfo com money manager ex com money manager ex budget BudgetEditActivity : android view InflateException: Binary XML file line  64: Binary XML file line  64: Error inflating class android support v7 widget Toolbar_x000D_
 13288 13288 E AndroidRuntime: 	at android app ActivityThread performLaunchActivity(ActivityThread java:2724)_x000D_
 13288 13288 E AndroidRuntime: 	at android app ActivityThread handleLaunchActivity(ActivityThread java:2789)_x000D_
 13288 13288 E AndroidRuntime: 	at android app ActivityThread  wrap12(ActivityThread java)_x000D_
 13288 13288 E AndroidRuntime: 	at android app ActivityThread H handleMessage(ActivityThread java:1527)_x000D_
 13288 13288 E AndroidRuntime: 	at android os Handler dispatchMessage(Handler java:110)_x000D_
 13288 13288 E AndroidRuntime: 	at android os Looper loop(Looper java:203)_x000D_
 13288 13288 E AndroidRuntime: 	at android app ActivityThread main(ActivityThread java:6251)_x000D_
 13288 13288 E AndroidRuntime: 	at java lang reflect Method invoke(Native Method)_x000D_
 13288 13288 E AndroidRuntime: 	at com android internal os ZygoteInit MethodAndArgsCaller run(ZygoteInit java:1063)_x000D_
 13288 13288 E AndroidRuntime: 	at com android internal os ZygoteInit main(ZygoteInit java:924)_x000D_
 13288 13288 E AndroidRuntime: Caused by: android view InflateException: Binary XML file line  64: Binary XML file line  64: Error inflating class android support v7 widget Toolbar_x000D_
 13288 13288 E AndroidRuntime: Caused by: android view InflateException: Binary XML file line  64: Error inflating class android support v7 widget Toolbar_x000D_
 13288 13288 E AndroidRuntime: Caused by: java lang ClassNotFoundException: Didn t find class  android support v7 widget Toolbar  on path: DexPathList  zip file   data app com money manager ex 1 base apk   nativeLibraryDirectories   data app com money manager ex 1 lib arm   system lib   vendor lib   system vendor lib  _x000D_
 13288 13288 E AndroidRuntime: 	at dalvik system BaseDexClassLoader findClass(BaseDexClassLoader java:56)_x000D_
 13288 13288 E AndroidRuntime: 	at java lang ClassLoader loadClass(ClassLoader java:380)_x000D_
 13288 13288 E AndroidRuntime: 	at java lang ClassLoader loadClass(ClassLoader java:312)_x000D_
 13288 13288 E AndroidRuntime: 	at android view LayoutInflater createView(LayoutInflater java:609)_x000D_
 13288 13288 E AndroidRuntime: 	at android view LayoutInflater createViewFromTag(LayoutInflater java:787)_x000D_
 13288 13288 E AndroidRuntime: 	at android view LayoutInflater createViewFromTag(LayoutInflater java:727)_x000D_
 13288 13288 E AndroidRuntime: 	at android view LayoutInflater rInflate(LayoutInflater java:858)_x000D_
 13288 13288 E AndroidRuntime: 	at android view LayoutInflater rInflateChildren(LayoutInflater java:821)_x000D_
 13288 13288 E AndroidRuntime: 	at android view LayoutInflater rInflate(LayoutInflater java:861)_x000D_
 13288 13288 E AndroidRuntime: 	at android view LayoutInflater rInflateChildren(LayoutInflater java:821)_x000D_
 13288 13288 E AndroidRuntime: 	at android view LayoutInflater rInflate(LayoutInflater java:861)_x000D_
 13288 13288 E AndroidRuntime: 	at android view LayoutInflater rInflateChildren(LayoutInflater java:821)_x000D_
 13288 13288 E AndroidRuntime: 	at android view LayoutInflater inflate(LayoutInflater java:518)_x000D_
 13288 13288 E AndroidRuntime: 	at android view LayoutInflater inflate(LayoutInflater java:426)_x000D_
 13288 13288 E AndroidRuntime: 	at android view LayoutInflater inflate(LayoutInflater java:377)_x000D_
 13288 13288 E AndroidRuntime: 	at androidx appcompat app AppCompatDelegateImpl setContentView(AppCompatDelegateImpl java:469)_x000D_
 13288 13288 E AndroidRuntime: 	at androidx appcompat app AppCompatActivity setContentView(AppCompatActivity java:140)_x000D_
 13288 13288 E AndroidRuntime: 	at com money manager ex common MmxBaseFragmentActivity setContentView(MmxBaseFragmentActivity java:75)_x000D_
 13288 13288 E AndroidRuntime: 	at com money manager ex budget BudgetEditActivity onCreate(BudgetEditActivity java:57)_x000D_
 13288 13288 E AndroidRuntime: 	at android app Activity performCreate(Activity java:6670)_x000D_
 13288 13288 E AndroidRuntime: 	at android app Instrumentation callActivityOnCreate(Instrumentation java:1118)_x000D_
 13288 13288 E AndroidRuntime: 	at android app ActivityThread performLaunchActivity(ActivityThread java:2677)_x000D_
 13288 13288 E AndroidRuntime: 	at android app ActivityThread handleLaunchActivity(ActivityThread java:2789)_x000D_
 13288 13288 E AndroidRuntime: 	at android app ActivityThread  wrap12(ActivityThread java)_x000D_
 13288 13288 E AndroidRuntime: 	at android app ActivityThread H handleMessage(ActivityThread java:1527)_x000D_
 13288 13288 E AndroidRuntime: 	at android os Handler dispatchMessage(Handler java:110)_x000D_
 13288 13288 E AndroidRuntime: 	at android os Looper loop(Looper java:203)_x000D_
 13288 13288 E AndroidRuntime: 	at android app ActivityThread main(ActivityThread java:6251)_x000D_
 13288 13288 E AndroidRuntime: 	at java lang reflect Method invoke(Native Method)_x000D_
 13288 13288 E AndroidRuntime: 	at com android internal os ZygoteInit MethodAndArgsCaller run(ZygoteInit java:1063)_x000D_
 13288 13288 E AndroidRuntime: 	at com android internal os ZygoteInit main(ZygoteInit java:924)   _x000D_
</t>
  </si>
  <si>
    <t>jareddlc-OpenFit-64</t>
  </si>
  <si>
    <t>Openfit crashes when receiving call</t>
  </si>
  <si>
    <t xml:space="preserve">When receiving a call  openfit app crashes and disconnects Bluetooth connection </t>
  </si>
  <si>
    <t>nextcloud-android-3809</t>
  </si>
  <si>
    <t>Crash when opening text file</t>
  </si>
  <si>
    <t xml:space="preserve">  open text file_x000D_
  app crashes_x000D_
_x000D_
latest master_x000D_
Android 9 emulator _x000D_
_x000D_
   _x000D_
019 03 29 12:57:13 435 13397 13397 com nextcloud client E AndroidRuntime: FATAL EXCEPTION: main_x000D_
    Process: com nextcloud client  PID: 13397_x000D_
    java lang NullPointerException: Attempt to invoke virtual method  void androidx appcompat widget SearchView setOnQueryTextListener(androidx appcompat widget SearchView OnQueryTextListener)  on a null object reference_x000D_
        at com owncloud android ui preview PreviewTextFragment TextLoadAsyncTask onPostExecute(PreviewTextFragment java:323)_x000D_
        at com owncloud android ui preview PreviewTextFragment TextLoadAsyncTask onPostExecute(PreviewTextFragment java:256)_x000D_
        at android os AsyncTask finish(AsyncTask java:695)_x000D_
        at android os AsyncTask access 600(AsyncTask java:180)_x000D_
        at android os AsyncTask InternalHandler handleMessage(AsyncTask java:712)_x000D_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t>
  </si>
  <si>
    <t>SelfLender-react-native-biometrics-24</t>
  </si>
  <si>
    <t>App crashes on certain devices</t>
  </si>
  <si>
    <t>Hello _x000D_
_x000D_
This package causes the app to crash on certain devices  I ll put the list below  Thanks   _x000D_
_x000D_
Samsung Galaxy J4  (SM J415FN)_x000D_
Samsung Galaxy J3 2017 (SM J330FN)_x000D_
Samsung A3 2015 (SM A300FU)</t>
  </si>
  <si>
    <t>mvysny-aedict-872</t>
  </si>
  <si>
    <t>Aedict Reliable Kanji Search Crash</t>
  </si>
  <si>
    <t xml:space="preserve">1  Google Pixel 2_x000D_
2  Android Q Beta_x000D_
3  https:  www youtube com watch v    N7fydlgWrf0_x000D_
4  Aedict Kanji Search reliably crashes whenever 25 or more strokes are written in _x000D_
</t>
  </si>
  <si>
    <t>AmazMod-AmazMod-452</t>
  </si>
  <si>
    <t>Error when there is no notification count in JSON file</t>
  </si>
  <si>
    <t xml:space="preserve">         beginning of system
E SELinuxMMAC(  746): Error with hashing seapp contexts 
E SELinuxMMAC(  746): java io FileNotFoundException:  seapp contexts: open failed: ENOENT (No such file or directory)
E SELinuxMMAC(  746): 	at libcore io IoBridge open(IoBridge java:456)
E SELinuxMMAC(  746): 	at libcore io IoUtils FileReader  init (IoUtils java:209)
E SELinuxMMAC(  746): 	at libcore io IoUtils readFileAsByteArray(IoUtils java:109)
E SELinuxMMAC(  746): 	at com android server pm SELinuxMMAC returnHash(SELinuxMMAC java:456)
E SELinuxMMAC(  746): 	at com android server pm SELinuxMMAC shouldRestorecon(SELinuxMMAC java:389)
E SELinuxMMAC(  746): 	at com android server pm PackageManagerService  init (PackageManagerService java:410)
E SELinuxMMAC(  746): 	at com android server pm PackageManagerService main(PackageManagerService java:1252)
E SELinuxMMAC(  746): 	at com android server SystemServer startBootstrapServices(SystemServer java:349)
E SELinuxMMAC(  746): 	at com android server SystemServer run(SystemServer java:254)
E SELinuxMMAC(  746): 	at com android server SystemServer main(SystemServer java:170)
E SELinuxMMAC(  746): 	at java lang reflect Method invoke(Native Method)
E SELinuxMMAC(  746): 	at java lang reflect Method invoke(Method java:372)
E SELinuxMMAC(  746): 	at com android internal os ZygoteInit MethodAndArgsCaller run(ZygoteInit java:903)
E SELinuxMMAC(  746): 	at com android internal os ZygoteInit main(ZygoteInit java:698)
E SELinuxMMAC(  746): Caused by: android system ErrnoException: open failed: ENOENT (No such file or directory)
E SELinuxMMAC(  746): 	at libcore io Posix open(Native Method)
E SELinuxMMAC(  746): 	at libcore io BlockGuardOs open(BlockGuardOs java:186)
E SELinuxMMAC(  746): 	at libcore io IoBridge open(IoBridge java:442)
E SELinuxMMAC(  746): 	    13 more
          beginning of crash
F libc    (  787): Fatal signal 6 (SIGABRT)  code  6 in tid 787 (patchoat)
E ConnectivityService(  746): Ignoring protectedNetwork 10
E ConnectivityService(  746): Ignoring protectedNetwork 11
E ConnectivityService(  746): Ignoring protectedNetwork 12
E LockSettingsStorage(  746): Cannot read file java io FileNotFoundException:  data system password key: open failed: ENOENT (No such file or directory)
E LockSettingsStorage(  746): Cannot read file java io FileNotFoundException:  data system gesture key: open failed: ENOENT (No such file or directory)
E NetdConnector(  746): NDC Command  1 bandwidth enable  took too long (1940ms)
E InputMethodManagerService(  746): Ignoring setImeWindowStatus due to an invalid token  uid:1000 token:null
E LocationManagerService(  746): no geocoder provider found
E LocationManagerService(  746): FLP HAL not supported
E LocationManagerService(  746): Unable to bind FLP Geofence proxy 
E LocationManagerService(  746): Hardware Activity Recognition not supported 
E RemotePrintSpooler(  746): Error removing obsolete print jobs  
E RemotePrintSpooler(  746): java util concurrent TimeoutException: Cannot get spooler 
E RemotePrintSpooler(  746): 	at com android server print RemotePrintSpooler bindLocked(RemotePrintSpooler java:378)
E RemotePrintSpooler(  746): 	at com android server print RemotePrintSpooler getRemoteInstanceLazy(RemotePrintSpooler java:354)
E RemotePrintSpooler(  746): 	at com android server print RemotePrintSpooler removeObsoletePrintJobs(RemotePrintSpooler java:289)
E RemotePrintSpooler(  746): 	at com android server print UserState removeObsoletePrintJobs(UserState java:165)
E RemotePrintSpooler(  746): 	at com android server print PrintManagerService PrintManagerImpl 3 run(PrintManagerService java:644)
E RemotePrintSpooler(  746): 	at android os Handler handleCallback(Handler java:739)
E RemotePrintSpooler(  746): 	at android os Handler dispatchMessage(Handler java:95)
E RemotePrintSpooler(  746): 	at android os Looper loop(Looper java:135)
E RemotePrintSpooler(  746): 	at android os HandlerThread run(HandlerThread java:61)
E ActivityThread(  746): Failed to find provider info for downloads
E BootReceiver(  746): Can t remove old update packages
E BootReceiver(  746): java lang IllegalArgumentException: Unknown URL content:  downloads my downloads
E BootReceiver(  746): 	at android content ContentResolver delete(ContentResolver java:1295)
E BootReceiver(  746): 	at android provider Downloads removeAllDownloadsByPackage(Downloads java:805)
E BootReceiver(  746): 	at com android server BootReceiver removeOldUpdatePackages(BootReceiver java:93)
E BootReceiver(  746): 	at com android server BootReceiver access 100(BootReceiver java:42)
E BootReceiver(  746): 	at com android server BootReceiver 1 run(BootReceiver java:82)
E ActivityThread(  896): Failed to find provider info for com huami wearable settings
E ActivityThread(  896): Failed to find provider info for com huami wearable settings
E ActivityThread(  896): Failed to find provider info for com huami wearable settings
E ActivityThread(  896): Failed to find provider info for com huami wearable settings
E AndroidRuntime( 1589): FATAL EXCEPTION: main
E AndroidRuntime( 1589): Process: com amazmod service  PID: 1589
E AndroidRuntime( 1589): java lang RuntimeException: Unable to create service com amazmod service MainService: java lang NullPointerException: Attempt to invoke virtual method  int java lang String length()  on a null object reference
E AndroidRuntime( 1589): 	at android app ActivityThread handleCreateService(ActivityThread java:2771)
E AndroidRuntime( 1589): 	at android app ActivityThread access 1800(ActivityThread java:151)
E AndroidRuntime( 1589): 	at android app ActivityThread H handleMessage(ActivityThread java:1386)
E AndroidRuntime( 1589): 	at android os Handler dispatchMessage(Handler java:102)
E AndroidRuntime( 1589): 	at android os Looper loop(Looper java:135)
E AndroidRuntime( 1589): 	at android app ActivityThread main(ActivityThread java:5254)
E AndroidRuntime( 1589): 	at java lang reflect Method invoke(Native Method)
E AndroidRuntime( 1589): 	at java lang reflect Method invoke(Method java:372)
E AndroidRuntime( 1589): 	at com android internal os ZygoteInit MethodAndArgsCaller run(ZygoteInit java:903)
E AndroidRuntime( 1589): 	at com android internal os ZygoteInit main(ZygoteInit java:698)
E AndroidRuntime( 1589): Caused by: java lang NullPointerException: Attempt to invoke virtual method  int java lang String length()  on a null object reference
E AndroidRuntime( 1589): 	at org json JSONTokener nextCleanInternal(JSONTokener java:116)
E AndroidRuntime( 1589): 	at org json JSONTokener nextValue(JSONTokener java:94)
E AndroidRuntime( 1589): 	at org json JSONObject  init (JSONObject java:156)
E AndroidRuntime( 1589): 	at org json JSONObject  init (JSONObject java:173)
E AndroidRuntime( 1589): 	at com amazmod service support NotificationStore setNotificationCount(NotificationStore java:103)
E AndroidRuntime( 1589): 	at com amazmod service MainService onCreate(MainService java:209)
E AndroidRuntime( 1589): 	at android app ActivityThread handleCreateService(ActivityThread java:2761)
E AndroidRuntime( 1589): 	    9 more
          beginning of main
E AmazMod (  896): AmazModLauncher refreshMessages JSONException: org json JSONException: No value for notifications
E BufferQueueProducer(   86):  com huami watch chargingui com huami watch chargingui ChargingUI  dequeueBuffer: can t dequeue multiple buffers without setting the buffer count
E BufferQueueProducer(   86):  com huami watch health com huami watch heartrate AllRateListActivity  dequeueBuffer: can t dequeue multiple buffers without setting the buffer count
E BufferQueueProducer(   86):  com huami watch launcher com huami watch launcher Launcher  dequeueBuffer: can t dequeue multiple buffers without setting the buffer count
</t>
  </si>
  <si>
    <t>commons-app-apps-android-commons-2786</t>
  </si>
  <si>
    <t>Peer review NullPointerException on orientation change.</t>
  </si>
  <si>
    <t xml:space="preserve">  Summary:   _x000D_
_x000D_
It crashes on orientation change on mis category question _x000D_
_x000D_
  System logs:  _x000D_
_x000D_
   _x000D_
              beginning of crash_x000D_
2019 03 28 15:35:31 243 1986 1986   E AndroidRuntime: FATAL EXCEPTION: main_x000D_
    Process: fr free nrw commons beta  PID: 1986_x000D_
    java lang RuntimeException: Unable to start activity ComponentInfo fr free nrw commons beta fr free nrw commons review ReviewActivity : java lang NullPointerException: Attempt to invoke virtual method  java lang String fr free nrw commons media model MwQueryPage Revision getUser()  on a null object reference_x000D_
        at android app ActivityThread performLaunchActivity(ActivityThread java:2817)_x000D_
        at android app ActivityThread handleLaunchActivity(ActivityThread java:2892)_x000D_
        at android app ActivityThread handleRelaunchActivity(ActivityThread java:4754)_x000D_
        at android app ActivityThread  wrap18(Unknown Source:0)_x000D_
        at android app ActivityThread H handleMessage(ActivityThread java:1599)_x000D_
        at android os Handler dispatchMessage(Handler java:105)_x000D_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Caused by: java lang NullPointerException: Attempt to invoke virtual method  java lang String fr free nrw commons media model MwQueryPage Revision getUser()  on a null object reference_x000D_
        at fr free nrw commons review ReviewImageFragment onCreateView(ReviewImageFragment java:103)_x000D_
        at androidx fragment app Fragment performCreateView(Fragment java:2440)_x000D_
        at androidx fragment app FragmentManagerImpl moveToState(FragmentManagerImpl java:885)_x000D_
        at androidx fragment app FragmentManagerImpl moveFragmentToExpectedState(FragmentManagerImpl java:1229)_x000D_
        at androidx fragment app FragmentManagerImpl moveToState(FragmentManagerImpl java:1295)_x000D_
        at androidx fragment app FragmentManagerImpl dispatchStateChange(FragmentManagerImpl java:2605)_x000D_
        at androidx fragment app FragmentManagerImpl dispatchActivityCreated(FragmentManagerImpl java:2565)_x000D_
        at androidx fragment app FragmentController dispatchActivityCreated(FragmentController java:245)_x000D_
        at androidx fragment app FragmentActivity onStart(FragmentActivity java:525)_x000D_
        at androidx appcompat app AppCompatActivity onStart(AppCompatActivity java:179)_x000D_
        at android app Instrumentation callActivityOnStart(Instrumentation java:1333)_x000D_
        at android app Activity performStart(Activity java:6992)_x000D_
        at android app ActivityThread performLaunchActivity(ActivityThread java:2780)_x000D_
        at android app ActivityThread handleLaunchActivity(ActivityThread java:2892) _x000D_
        at android app ActivityThread handleRelaunchActivity(ActivityThread java:4754) _x000D_
        at android app ActivityThread  wrap18(Unknown Source:0) _x000D_
        at android app ActivityThread H handleMessage(ActivityThread java:1599) _x000D_
        at android os Handler dispatchMessage(Handler java:105) _x000D_
        at android os Looper loop(Looper java:164) _x000D_
        at android app ActivityThread main(ActivityThread java:6541) _x000D_
        at java lang reflect Method invoke(Native Method) _x000D_
        at com android internal os Zygote MethodAndArgsCaller run(Zygote java:240) _x000D_
        at com android internal os ZygoteInit main(ZygoteInit java:767) _x000D_
   _x000D_
_x000D_
  Device and Android version:   _x000D_
API 26_x000D_
 _x000D_
  Commons app version:   _x000D_
_x000D_
betaDebug  current master_x000D_
</t>
  </si>
  <si>
    <t>nextcloud-android-3800</t>
  </si>
  <si>
    <t>Android app crashes while selecting pictures menu</t>
  </si>
  <si>
    <t xml:space="preserve">    Actual behaviour_x000D_
_x000D_
This has been problem with nextcloud as long as I remember  I can t enter the  pictures  menu from main menu  Or whatever that is in English locale  mine is localized to Finnish  The app always crashes when I select it  I ve never seen what s behind the menu _x000D_
_x000D_
    Expected behaviour_x000D_
_x000D_
At least not crash  I don t know what should happen in that menu  I expect it to open some sort of a gallery _x000D_
 _x000D_
    Steps to reproduce_x000D_
1  On Android  past several versions  now at 9_x000D_
2  Start NextCloud app_x000D_
3  Go to main menu  select  Pictures      crash_x000D_
_x000D_
_x000D_
    Environment data_x000D_
Android version:_x000D_
_x000D_
9_x000D_
_x000D_
Device model: _x000D_
_x000D_
OnePlus5_x000D_
_x000D_
Stock or customized system:_x000D_
_x000D_
Stock_x000D_
_x000D_
Nextcloud app version:_x000D_
_x000D_
3 6 0 RC2_x000D_
_x000D_
Nextcloud server version:_x000D_
_x000D_
15 0 5_x000D_
_x000D_
    Logs_x000D_
     Web server error log_x000D_
_x000D_
     Nextcloud log (data nextcloud log)_x000D_
_x000D_
Problem is that I don t find such file  data nextcloud log   But from application    settings    logs  here is the only suspicious line:_x000D_
_x000D_
   _x000D_
2019 03 28 10:13:12_x000D_
ThemeUtils: setTextViewCursorColor Exception:  java lang Class getDeclaredField(Native Method)  _x000D_
com owncloud android utils ThemeUtils setTextViewCursorColor(ThemeUtils java:582)  _x000D_
com owncloud android utils ThemeUtils themeEditText(ThemeUtils java:459)  _x000D_
com owncloud android utils ThemeUtils themeSearchView(ThemeUtils java:467)  _x000D_
com owncloud android ui fragment ExtendedListFragment onCreateOptionsMenu(ExtendedListFragment java:187)  _x000D_
androidx fragment app Fragment performCreateOptionsMenu(Fragment java:2561)  _x000D_
androidx fragment app FragmentManagerImpl dispatchCreateOptionsMenu(FragmentManager java:3321) _x000D_
androidx fragment app FragmentController dispatchCreateOptionsMenu(FragmentController java:331)  _x000D_
androidx fragment app FragmentActivity onCreatePanelMenu(FragmentActivity java:379)  _x000D_
androidx appcompat view WindowCallbackWrapper onCreatePanelMenu(WindowCallbackWrapper java:94)  _x000D_
androidx appcompat app AppCompatDelegateImpl AppCompatWindowCallback onCreatePanelMenu(AppCompatDelegateImpl java:2549)  _x000D_
androidx appcompat view WindowCallbackWrapper onCreatePanelMenu(WindowCallbackWrapper java:94)  _x000D_
androidx appcompat app ToolbarActionBar populateOptionsMenu(ToolbarActionBar java:455)  _x000D_
androidx appcompat app ToolbarActionBar 1 run(ToolbarActionBar java:56)  _x000D_
android view Choreographer CallbackRecord run(Choreographer java:1004)  _x000D_
android view Choreographer doCallbacks(Choreographer java:816)  _x000D_
android view Choreographer doFrame(Choreographer java:748)  _x000D_
android view Choreographer FrameDisplayEventReceiver run(Choreographer java:990)  _x000D_
android os Handler handleCallback(Handler java:873)  _x000D_
android os Handler dispatchMessage(Handler java:99)  android os Looper loop(Looper java:193)  _x000D_
android app ActivityThread main(ActivityThread java:6863)  _x000D_
java lang reflect Method invoke(Native Method)  com android internal os RuntimeInit MethodAndArgsCaller run(RuntimeInit java:537)  _x000D_
com android internal os ZygoteInit main(ZygoteInit java:858) _x000D_
   </t>
  </si>
  <si>
    <t>getodk-skunkworks-crow-228</t>
  </si>
  <si>
    <t>Permission check lost when creating folders</t>
  </si>
  <si>
    <t xml:space="preserve">     Software and hardware versions _x000D_
Pixel XL API 28 (Andrloid 9 0)_x000D_
Nexus 6P API 23 (Android 6 0)_x000D_
_x000D_
master branch_x000D_
     Problem description_x000D_
App crashed when we didn t give it the permission to write the storage  see  createODKDirs()   and we do not have ODK Collect before _x000D_
_x000D_
     Steps to reproduce the problem_x000D_
  install this app in your device first (without ODK Collect)_x000D_
  make sure it has no permission gained_x000D_
  the first time you launch this app  crash_x000D_
_x000D_
     Expected behavior_x000D_
Add a permission checks _x000D_
_x000D_
     Other information _x000D_
   _x000D_
    java lang RuntimeException: Unable to start activity ComponentInfo org odk share org odk share activities MainActivity : java lang RuntimeException: Cannot create directory:  storage emulated 0 share_x000D_
        at android app ActivityThread performLaunchActivity(ActivityThread java:2416)_x000D_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RuntimeException: Cannot create directory:  storage emulated 0 share_x000D_
        at org odk share application Share createODKDirs(Share java:56)_x000D_
        at org odk share activities MainActivity onCreate(MainActivity java:84)_x000D_
        at android app Activity performCreate(Activity java:6237)_x000D_
        at android app Instrumentation callActivityOnCreate(Instrumentation java:1107)_x000D_
   _x000D_
_x000D_
 opendatakit bot claim_x000D_
_x000D_
</t>
  </si>
  <si>
    <t>nextcloud-android-3799</t>
  </si>
  <si>
    <t>3.6.0 android crashes, does not start</t>
  </si>
  <si>
    <t>App does not start at all after update  It immediately crashes  How do I send logs  My device is not rooted  so I don t get system logs _x000D_
_x000D_
RC1  device is oneplus5 with latest sw  Oxygen 9 0 4  Android 9</t>
  </si>
  <si>
    <t>CMPUT301W19T11-Atheneum-183</t>
  </si>
  <si>
    <t>Requesting a book crashes the app sometimes</t>
  </si>
  <si>
    <t xml:space="preserve">Requesting a book crashes the app sometimes _x000D_
_x000D_
  To Reproduce  _x000D_
Steps to reproduce the behavior:_x000D_
1  Go to Borrower from Home page_x000D_
2  Hit     FAB_x000D_
3  Request any book_x000D_
4  You may need to do this multiple times_x000D_
Stack trace:_x000D_
   _x000D_
E AndroidRuntime: FATAL EXCEPTION: main_x000D_
    Process: com example atheneum  PID: 28547_x000D_
    java lang IllegalStateException: Fragment BorrowerPageFragment 2743c11  not attached to a context _x000D_
        at android support v4 app Fragment requireContext(Fragment java:696)_x000D_
        at android support v4 app Fragment getResources(Fragment java:760)_x000D_
        at android support v4 app Fragment getString(Fragment java:782)_x000D_
        at com example atheneum fragments BorrowerPageFragment 4 onDataChange(BorrowerPageFragment java:201)_x000D_
        at com google firebase database core ValueEventRegistration fireEvent(com google firebase:firebase database  16 0 6:75)_x000D_
        at com google firebase database core view DataEvent fire(com google firebase:firebase database  16 0 6:63)_x000D_
        at com google firebase database core view EventRaiser 1 run(com google firebase:firebase database  16 0 6:55)_x000D_
        at android os Handler handleCallback(Handler java:751)_x000D_
        at android os Handler dispatchMessage(Handler java:95)_x000D_
        at android os Looper loop(Looper java:154)_x000D_
        at android app ActivityThread main(ActivityThread java:6111)_x000D_
        at java lang reflect Method invoke(Native Method)_x000D_
        at com android internal os ZygoteInit MethodAndArgsCaller run(ZygoteInit java:865)_x000D_
        at com android internal os ZygoteInit main(ZygoteInit java:755)_x000D_
   _x000D_
_x000D_
I think this is due to the some lifecycle thing related to one of the borrower pages </t>
  </si>
  <si>
    <t>commons-app-apps-android-commons-2766</t>
  </si>
  <si>
    <t>App Crashing on Tablets</t>
  </si>
  <si>
    <t xml:space="preserve">  Summary:   _x000D_
App is crashing in Tablet  working fine on Phones_x000D_
_x000D_
  Steps to reproduce:   _x000D_
Launch the app in a Tablet_x000D_
_x000D_
  System logs:  _x000D_
   _x000D_
2019 03 27 22:33:45 813 2231 2231   I Zygote: seccomp disabled by setenforce 0_x000D_
2019 03 27 22:33:45 817 2231 2231   I rw commons bet: Late enabling  Xcheck:jni_x000D_
2019 03 27 22:33:45 915 2231 2231   W rw commons bet: Unexpected CPU variant for X86 using defaults: x86_x000D_
2019 03 27 22:33:46 261 2231 2231 fr free nrw commons beta I rw commons bet: The ClassLoaderContext is a special shared library _x000D_
2019 03 27 22:33:47 109 2231 2231 fr free nrw commons beta E LoadedApk: Unable to instantiate appComponentFactory_x000D_
    java lang ClassNotFoundException: Didn t find class  fr free nrw commons beta commons  on path: DexPathList  zip file   system framework org apache http legacy boot jar   zip file   data app fr free nrw commons beta XYn f26K vcv84IKGspVjA   base apk   zip file   data app fr free nrw commons beta XYn f26K vcv84IKGspVjA   split lib dependencies apk apk   zip file   data app fr free nrw commons beta XYn f26K vcv84IKGspVjA   split lib resources apk apk   zip file   data app fr free nrw commons beta XYn f26K vcv84IKGspVjA   split lib slice 0 apk apk   zip file   data app fr free nrw commons beta XYn f26K vcv84IKGspVjA   split lib slice 1 apk apk   zip file   data app fr free nrw commons beta XYn f26K vcv84IKGspVjA   split lib slice 2 apk apk   zip file   data app fr free nrw commons beta XYn f26K vcv84IKGspVjA   split lib slice 3 apk apk   zip file   data app fr free nrw commons beta XYn f26K vcv84IKGspVjA   split lib slice 4 apk apk   zip file   data app fr free nrw commons beta XYn f26K vcv84IKGspVjA   split lib slice 5 apk apk   zip file   data app fr free nrw commons beta XYn f26K vcv84IKGspVjA   split lib slice 6 apk apk   zip file   data app fr free nrw commons beta XYn f26K vcv84IKGspVjA   split lib slice 7 apk apk   zip file   data app fr free nrw commons beta XYn f26K vcv84IKGspVjA   split lib slice 8 apk apk   zip file   data app fr free nrw commons beta XYn f26K vcv84IKGspVjA   split lib slice 9 apk apk   nativeLibraryDirectories   data app fr free nrw commons beta XYn f26K vcv84IKGspVjA   lib x86   data app fr free nrw commons beta XYn f26K vcv84IKGspVjA   base apk  lib x86   data app fr free nrw commons beta XYn f26K vcv84IKGspVjA   split lib dependencies apk apk  lib x86   data app fr free nrw commons beta XYn f26K vcv84IKGspVjA   split lib resources apk apk  lib x86   data app fr free nrw commons beta XYn f26K vcv84IKGspVjA   split lib slice 0 apk apk  lib x86   data app fr free nrw commons beta XYn f26K vcv84IKGspVjA   split lib slice 1 apk apk  lib x86   data app fr free nrw commons beta XYn f26K vcv84IKGspVjA   split lib slice 2 apk apk  lib x86   data app fr free nrw commons beta XYn f26K vcv84IKGspVjA   split lib slice 3 apk apk  lib x86   data app fr free nrw commons beta XYn f26K vcv84IKGspVjA   split lib slice 4 apk apk  lib x86   data app fr free nrw commons beta XYn f26K vcv84IKGspVjA   split lib slice 5 apk apk  lib x86   data app fr free nrw commons beta XYn f26K vcv84IKGspVjA   split lib slice 6 apk apk  lib x86   data app fr free nrw commons beta XYn f26K vcv84IKGspVjA   split lib slice 7 apk apk  lib x86   data app fr free nrw commons beta XYn f26K vcv84IKGspVjA   split lib slice 8 apk apk  lib x86   data app fr free nrw commons beta XYn f26K vcv84IKGspVjA   split lib slice 9 apk apk  lib x86   system lib   system vendor lib  _x000D_
        at dalvik system BaseDexClassLoader findClass(BaseDexClassLoader java:134)_x000D_
        at java lang ClassLoader loadClass(ClassLoader java:379)_x000D_
        at java lang ClassLoader loadClass(ClassLoader java:312)_x000D_
        at android app LoadedApk createAppFactory(LoadedApk java:226)_x000D_
        at android app LoadedApk createOrUpdateClassLoaderLocked(LoadedApk java:731)_x000D_
        at android app LoadedApk getClassLoader(LoadedApk java:810)_x000D_
        at android app LoadedApk getResources(LoadedApk java:1032)_x000D_
        at android app ContextImpl createAppContext(ContextImpl java:2345)_x000D_
        at android app ActivityThread handleBindApplication(ActivityThread java:5760)_x000D_
        at android app ActivityThread access 1100(ActivityThread java:200)_x000D_
        at android app ActivityThread H handleMessage(ActivityThread java:1651)_x000D_
        at android os Handler dispatchMessage(Handler java:106)_x000D_
        at android os Looper loop(Looper java:193)_x000D_
        at android app ActivityThread main(ActivityThread java:6680)_x000D_
        at java lang reflect Method invoke(Native Method)_x000D_
        at com android internal os RuntimeInit MethodAndArgsCaller run(RuntimeInit java:493)_x000D_
        at com android internal os ZygoteInit main(ZygoteInit java:858)_x000D_
    	Suppressed: java io IOException: No original dex files found for dex location  data app fr free nrw comm_x000D_
2019 03 27 22:33:47 119 2231 2231 fr free nrw commons beta W rw commons bet: JIT profile information will not be recorded: profile file does not exits _x000D_
2019 03 27 22:33:47 123 2231 2231 fr free nrw commons beta I chatty: uid 10071(fr free nrw commons beta) identical 10 lines_x000D_
2019 03 27 22:33:47 123 2231 2231 fr free nrw commons beta W rw commons bet: JIT profile information will not be recorded: profile file does not exits _x000D_
2019 03 27 22:33:47 705 2231 2231 fr free nrw commons beta I InstantRun: starting instant run server: is main process_x000D_
2019 03 27 22:33:48 433 2231 2242 fr free nrw commons beta I rw commons bet: Background concurrent copying GC freed 12378(2MB) AllocSpace objects  3(52KB) LOS objects  49  free  1983KB 3MB  paused 850us total 540 346ms_x000D_
2019 03 27 22:33:48 599 2231 2231 fr free nrw commons beta I ACRA: ACRA is enabled for fr free nrw commons beta  initializing   _x000D_
2019 03 27 22:33:48 932 2231 2231 fr free nrw commons beta D NetworkSecurityConfig: No Network Security Config specified  using platform default_x000D_
2019 03 27 22:33:49 257 2231 2231 fr free nrw commons beta D SoLoader: init start_x000D_
2019 03 27 22:33:49 257 2231 2231 fr free nrw commons beta D SoLoader: adding system library source:  vendor lib_x000D_
2019 03 27 22:33:49 258 2231 2231 fr free nrw commons beta D SoLoader: adding system library source:  system lib_x000D_
2019 03 27 22:33:49 258 2231 2231 fr free nrw commons beta D SoLoader: adding application source: com facebook soloader DirectorySoSource root    data app fr free nrw commons beta XYn f26K vcv84IKGspVjA   lib x86 flags   0 _x000D_
2019 03 27 22:33:49 264 2231 2231 fr free nrw commons beta D SoLoader: adding backup source from : com facebook soloader ApkSoSource root    data data fr free nrw commons beta lib main flags   1 _x000D_
2019 03 27 22:33:49 264 2231 2231 fr free nrw commons beta D SoLoader: adding backup sources from split apks_x000D_
2019 03 27 22:33:49 265 2231 2231 fr free nrw commons beta D SoLoader: adding backup source: com facebook soloader ApkSoSource root    data data fr free nrw commons beta lib 0 flags   1 _x000D_
2019 03 27 22:33:49 265 2231 2231 fr free nrw commons beta D SoLoader: adding backup source: com facebook soloader ApkSoSource root    data data fr free nrw commons beta lib 1 flags   1 _x000D_
2019 03 27 22:33:49 265 2231 2231 fr free nrw commons beta D SoLoader: adding backup source: com facebook soloader ApkSoSource root    data data fr free nrw commons beta lib 2 flags   1 _x000D_
2019 03 27 22:33:49 265 2231 2231 fr free nrw commons beta D SoLoader: adding backup source: com facebook soloader ApkSoSource root    data data fr free nrw commons beta lib 3 flags   1 _x000D_
2019 03 27 22:33:49 265 2231 2231 fr free nrw commons beta D SoLoader: adding backup source: com facebook soloader ApkSoSource root    data data fr free nrw commons beta lib 4 flags   1 _x000D_
2019 03 27 22:33:49 265 2231 2231 fr free nrw commons beta D SoLoader: adding backup source: com facebook soloader ApkSoSource root    data data fr free nrw commons beta lib 5 flags   1 _x000D_
2019 03 27 22:33:49 265 2231 2231 fr free nrw commons beta D SoLoader: adding backup source: com facebook soloader ApkSoSource root    data data fr free nrw commons beta lib 6 flags   1 _x000D_
2019 03 27 22:33:49 265 2231 2231 fr free nrw commons beta D SoLoader: adding backup source: com facebook soloader ApkSoSource root    data data fr free nrw commons beta lib 7 flags   1 _x000D_
2019 03 27 22:33:49 266 2231 2231 fr free nrw commons beta D SoLoader: adding backup source: com facebook soloader ApkSoSource root    data data fr free nrw commons beta lib 8 flags   1 _x000D_
2019 03 27 22:33:49 266 2231 2231 fr free nrw commons beta D SoLoader: adding backup source: com facebook soloader ApkSoSource root    data data fr free nrw commons beta lib 9 flags   1 _x000D_
2019 03 27 22:33:49 266 2231 2231 fr free nrw commons beta D SoLoader: adding backup source: com facebook soloader ApkSoSource root    data data fr free nrw commons beta lib 10 flags   1 _x000D_
2019 03 27 22:33:49 266 2231 2231 fr free nrw commons beta D SoLoader: adding backup source: com facebook soloader ApkSoSource root    data data fr free nrw commons beta lib 11 flags   1 _x000D_
2019 03 27 22:33:49 266 2231 2231 fr free nrw commons beta D SoLoader: Preparing SO source: com facebook soloader DirectorySoSource root    system lib flags   2 _x000D_
2019 03 27 22:33:49 266 2231 2231 fr free nrw commons beta D SoLoader: Preparing SO source: com facebook soloader DirectorySoSource root    system vendor lib flags   2 _x000D_
2019 03 27 22:33:49 266 2231 2231 fr free nrw commons beta D SoLoader: Preparing SO source: com facebook soloader DirectorySoSource root    data app fr free nrw commons beta XYn f26K vcv84IKGspVjA   lib x86 flags   0 _x000D_
2019 03 27 22:33:49 266 2231 2231 fr free nrw commons beta D SoLoader: Preparing SO source: com facebook soloader ApkSoSource root    data data fr free nrw commons beta lib 11 flags   1 _x000D_
2019 03 27 22:33:49 267 2231 2231 fr free nrw commons beta V fb UnpackingSoSource: locked dso store  data user 0 fr free nrw commons beta lib 11_x000D_
2019 03 27 22:33:49 278 2231 2231 fr free nrw commons beta I fb UnpackingSoSource: dso store is up to date:  data user 0 fr free nrw commons beta lib 11_x000D_
2019 03 27 22:33:49 279 2231 2231 fr free nrw commons beta V fb UnpackingSoSource: releasing dso store lock for  data user 0 fr free nrw commons beta lib 11_x000D_
2019 03 27 22:33:49 279 2231 2231 fr free nrw commons beta D SoLoader: Preparing SO source: com facebook soloader ApkSoSource root    data data fr free nrw commons beta lib 10 flags   1 _x000D_
2019 03 27 22:33:49 279 2231 2231 fr free nrw commons beta V fb UnpackingSoSource: locked dso store  data user 0 fr free nrw commons beta lib 10_x000D_
2019 03 27 22:33:49 281 2231 2231 fr free nrw commons beta I fb UnpackingSoSource: dso store is up to date:  data user 0 fr free nrw commons beta lib 10_x000D_
2019 03 27 22:33:49 281 2231 2231 fr free nrw commons beta V fb UnpackingSoSource: releasing dso store lock for  data user 0 fr free nrw commons beta lib 10_x000D_
2019 03 27 22:33:49 282 2231 2231 fr free nrw commons beta D SoLoader: Preparing SO source: com facebook soloader ApkSoSource root    data data fr free nrw commons beta lib 9 flags   1 _x000D_
2019 03 27 22:33:49 282 2231 2231 fr free nrw commons beta V fb UnpackingSoSource: locked dso store  data user 0 fr free nrw commons beta lib 9_x000D_
2019 03 27 22:33:49 283 2231 2231 fr free nrw commons beta I fb UnpackingSoSource: dso store is up to date:  data user 0 fr free nrw commons beta lib 9_x000D_
2019 03 27 22:33:49 283 2231 2231 fr free nrw commons beta V fb UnpackingSoSource: releasing dso store lock for  data user 0 fr free nrw commons beta lib 9_x000D_
2019 03 27 22:33:49 283 2231 2231 fr free nrw commons beta D SoLoader: Preparing SO source: com facebook soloader ApkSoSource root    data data fr free nrw commons beta lib 8 flags   1 _x000D_
2019 03 27 22:33:49 283 2231 2231 fr free nrw commons beta V fb UnpackingSoSource: locked dso store  data user 0 fr free nrw commons beta lib 8_x000D_
2019 03 27 22:33:49 286 2231 2231 fr free nrw commons beta I fb UnpackingSoSource: dso store is up to date:  data user 0 fr free nrw commons beta lib 8_x000D_
2019 03 27 22:33:49 286 2231 2231 fr free nrw commons beta V fb UnpackingSoSource: releasing dso store lock for  data user 0 fr free nrw commons beta lib 8_x000D_
2019 03 27 22:33:49 287 2231 2231 fr free nrw commons beta D SoLoader: Preparing SO source: com facebook soloader ApkSoSource root    data data fr free nrw commons beta lib 7 flags   1 _x000D_
2019 03 27 22:33:49 287 2231 2231 fr free nrw commons beta V fb UnpackingSoSource: locked dso store  data user 0 fr free nrw commons beta lib 7_x000D_
2019 03 27 22:33:49 289 2231 2231 fr free nrw commons beta I fb UnpackingSoSource: dso store is up to date:  data user 0 fr free nrw commons beta lib 7_x000D_
2019 03 27 22:33:49 289 2231 2231 fr free nrw commons beta V fb UnpackingSoSource: releasing dso store lock for  data user 0 fr free nrw commons beta lib 7_x000D_
2019 03 27 22:33:49 289 2231 2231 fr free nrw commons beta D SoLoader: Preparing SO source: com facebook soloader ApkSoSource root    data data fr free nrw commons beta lib 6 flags   1 _x000D_
2019 03 27 22:33:49 290 2231 2231 fr free nrw commons beta V fb UnpackingSoSource: locked dso store  data user 0 fr free nrw commons beta lib 6_x000D_
2019 03 27 22:33:49 291 2231 2231 fr free nrw commons beta I fb UnpackingSoSource: dso store is up to date:  data user 0 fr free nrw commons beta lib 6_x000D_
2019 03 27 22:33:49 291 2231 2231 fr free nrw commons beta V fb UnpackingSoSource: releasing dso store lock for  data user 0 fr free nrw commons beta lib 6_x000D_
2019 03 27 22:33:49 291 2231 2231 fr free nrw commons beta D SoLoader: Preparing SO source: com facebook soloader ApkSoSource root    data data fr free nrw commons beta lib 5 flags   1 _x000D_
2019 03 27 22:33:49 293 2231 2231 fr free nrw commons beta V fb UnpackingSoSource: locked dso store  data user 0 fr free nrw commons beta lib 5_x000D_
2019 03 27 22:33:49 294 2231 2231 fr free nrw commons beta I fb UnpackingSoSource: dso store is up to date:  data user 0 fr free nrw commons beta lib 5_x000D_
2019 03 27 22:33:49 294 2231 2231 fr free nrw commons beta V fb UnpackingSoSource: releasing dso store lock for  data user 0 fr free nrw commons beta lib 5_x000D_
2019 03 27 22:33:49 294 2231 2231 fr free nrw commons beta D SoLoader: Preparing SO source: com facebook soloader ApkSoSource root    data data fr free nrw commons beta lib 4 flags   1 _x000D_
2019 03 27 22:33:49 294 2231 2231 fr free nrw commons beta V fb UnpackingSoSource: locked dso store  data user 0 fr free nrw commons beta lib 4_x000D_
2019 03 27 22:33:49 295 2231 2231 fr free nrw commons beta I fb UnpackingSoSource: dso store is up to date:  data user 0 fr free nrw commons beta lib 4_x000D_
2019 03 27 22:33:49 295 2231 2231 fr free nrw commons beta V fb UnpackingSoSource: releasing dso store lock for  data user 0 fr free nrw commons beta lib 4_x000D_
2019 03 27 22:33:49 296 2231 2231 fr free nrw commons beta D SoLoader: Preparing SO source: com facebook soloader ApkSoSource root    data data fr free nrw commons beta lib 3 flags   1 _x000D_
2019 03 27 22:33:49 296 2231 2231 fr free nrw commons beta V fb UnpackingSoSource: locked dso store  data user 0 fr free nrw commons beta lib 3_x000D_
2019 03 27 22:33:49 297 2231 2231 fr free nrw commons beta I fb UnpackingSoSource: dso store is up to date:  data user 0 fr free nrw commons beta lib 3_x000D_
2019 03 27 22:33:49 297 2231 2231 fr free nrw commons beta V fb UnpackingSoSource: releasing dso store lock for  data user 0 fr free nrw commons beta lib 3_x000D_
2019 03 27 22:33:49 297 2231 2231 fr free nrw commons beta D SoLoader: Preparing SO source: com facebook soloader ApkSoSource root    data data fr free nrw commons beta lib 2 flags   1 _x000D_
2019 03 27 22:33:49 297 2231 2231 fr free nrw commons beta V fb UnpackingSoSource: locked dso store  data user 0 fr free nrw commons beta lib 2_x000D_
2019 03 27 22:33:49 299 2231 2231 fr free nrw commons beta I fb UnpackingSoSource: dso store is up to date:  data user 0 fr free nrw commons beta lib 2_x000D_
2019 03 27 22:33:49 299 2231 2231 fr free nrw commons beta V fb UnpackingSoSource: releasing dso store lock for  data user 0 fr free nrw commons beta lib 2_x000D_
2019 03 27 22:33:49 299 2231 2231 fr free nrw commons beta D SoLoader: Preparing SO source: com facebook soloader ApkSoSource root    data data fr free nrw commons beta lib 1 flags   1 _x000D_
2019 03 27 22:33:49 299 2231 2231 fr free nrw commons beta V fb UnpackingSoSource: locked dso store  data user 0 fr free nrw commons beta lib 1_x000D_
2019 03 27 22:33:49 312 2231 2231 fr free nrw commons beta I fb UnpackingSoSource: dso store is up to date:  data user 0 fr free nrw commons beta lib 1_x000D_
2019 03 27 22:33:49 312 2231 2231 fr free nrw commons beta V fb UnpackingSoSource: releasing dso store lock for  data user 0 fr free nrw commons beta lib 1_x000D_
2019 03 27 22:33:49 313 2231 2231 fr free nrw commons beta D SoLoader: Preparing SO source: com facebook soloader ApkSoSource root    data data fr free nrw commons beta lib 0 flags   1 _x000D_
2019 03 27 22:33:49 313 2231 2231 fr free nrw commons beta V fb UnpackingSoSource: locked dso store  data user 0 fr free nrw commons beta lib 0_x000D_
2019 03 27 22:33:49 314 2231 2231 fr free nrw commons beta I fb UnpackingSoSource: dso store is up to date:  data user 0 fr free nrw commons beta lib 0_x000D_
2019 03 27 22:33:49 314 2231 2231 fr free nrw commons beta V fb UnpackingSoSource: releasing dso store lock for  data user 0 fr free nrw commons beta lib 0_x000D_
2019 03 27 22:33:49 315 2231 2231 fr free nrw commons beta D SoLoader: Preparing SO source: com facebook soloader ApkSoSource root    data data fr free nrw commons beta lib main flags   1 _x000D_
2019 03 27 22:33:49 315 2231 2231 fr free nrw commons beta V fb UnpackingSoSource: locked dso store  data user 0 fr free nrw commons beta lib main_x000D_
2019 03 27 22:33:49 329 2231 2231 fr free nrw commons beta I fb UnpackingSoSource: dso store is up to date:  data user 0 fr free nrw commons beta lib main_x000D_
2019 03 27 22:33:49 329 2231 2231 fr free nrw commons beta V fb UnpackingSoSource: releasing dso store lock for  data user 0 fr free nrw commons beta lib main_x000D_
2019 03 27 22:33:49 331 2231 2231 fr free nrw commons beta D SoLoader: init finish: 16 SO sources prepared_x000D_
2019 03 27 22:33:49 331 2231 2231 fr free nrw commons beta D SoLoader: init exiting_x000D_
2019 03 27 22:33:49 496 2231 2251 fr free nrw commons beta I stetho: Listening on  stetho fr free nrw commons beta devtools remote_x000D_
2019 03 27 22:33:49 620 2231 2254 fr free nrw commons beta D libEGL: Emulator has host GPU support  qemu gles is set to 1 _x000D_
2019 03 27 22:33:49 617 2231 2231 fr free nrw commons beta I fr free nrw commons beta: type 1400 audit(0 0:735): avc: denied   write   for comm 45474C20496E6974 name  property service  dev  tmpfs  ino 8350 scontext u:r:untrusted app:s0:c71 c256 c512 c768 tcontext u:object r:property socket:s0 tclass sock file permissive 1_x000D_
2019 03 27 22:33:49 629 2231 2254 fr free nrw commons beta D vndksupport: Loading  vendor lib egl libGLES emulation so from current namespace instead of sphal namespace _x000D_
2019 03 27 22:33:49 625 2231 2231 fr free nrw commons beta I fr free nrw commons beta: type 1400 audit(0 0:736): avc: denied   connectto   for comm 45474C20496E6974 path   dev socket property service  scontext u:r:untrusted app:s0:c71 c256 c512 c768 tcontext u:r:init:s0 tclass unix stream socket permissive 1_x000D_
2019 03 27 22:33:49 640 2231 2254 fr free nrw commons beta E libEGL: load driver( vendor lib egl libGLES emulation so): dlopen failed: library   vendor lib egl libGLES emulation so  not found_x000D_
2019 03 27 22:33:49 640 2231 2254 fr free nrw commons beta D vndksupport: Loading  vendor lib egl libEGL emulation so from current namespace instead of sphal namespace _x000D_
2019 03 27 22:33:49 709 2231 2254 fr free nrw commons beta D libEGL: loaded  vendor lib egl libEGL emulation so_x000D_
2019 03 27 22:33:49 729 2231 2254 fr free nrw commons beta D vndksupport: Loading  vendor lib egl libGLESv1 CM emulation so from current namespace instead of sphal namespace _x000D_
2019 03 27 22:33:49 746 2231 2254 fr free nrw commons beta D libEGL: loaded  vendor lib egl libGLESv1 CM emulation so_x000D_
2019 03 27 22:33:49 804 2231 2254 fr free nrw commons beta D vndksupport: Loading  vendor lib egl libGLESv2 emulation so from current namespace instead of sphal namespace _x000D_
2019 03 27 22:33:49 821 2231 2254 fr free nrw commons beta D libEGL: loaded  vendor lib egl libGLESv2 emulation so_x000D_
2019 03 27 22:33:49 883 2231 2242 fr free nrw commons beta I rw commons bet: Background concurrent copying GC freed 16097(1309KB) AllocSpace objects  13(312KB) LOS objects  49  free  2MB 5MB  paused 540us total 287 448ms_x000D_
2019 03 27 22:33:49 930 2231 2231 fr free nrw commons beta D AndroidRuntime: Shutting down VM_x000D_
2019 03 27 22:33:49 931 2231 2231 fr free nrw commons beta E AndroidRuntime: FATAL EXCEPTION: main_x000D_
    Process: fr free nrw commons beta  PID: 2231_x000D_
    java lang RuntimeException: Unable to start activity ComponentInfo fr free nrw commons beta fr free nrw commons auth LoginActivity : android view InflateException: Binary XML file line  124: Binary XML file line  124: Error inflating class android support design widget TextInputEditText_x000D_
        at android app ActivityThread performLaunchActivity(ActivityThread java:2914)_x000D_
        at android app ActivityThread handleLaunchActivity(ActivityThread java:3049)_x000D_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java:1809)_x000D_
        at android os Handler dispatchMessage(Handler java:106)_x000D_
        at android os Looper loop(Looper java:193)_x000D_
        at android app ActivityThread main(ActivityThread java:6680)_x000D_
        at java lang reflect Method invoke(Native Method)_x000D_
        at com android internal os RuntimeInit MethodAndArgsCaller run(RuntimeInit java:493)_x000D_
        at com android internal os ZygoteInit main(ZygoteInit java:858)_x000D_
     Caused by: android view InflateException: Binary XML file line  124: Binary XML file line  124: Error inflating class android support design widget TextInputEditText_x000D_
     Caused by: android view InflateException: Binary XML file line  124: Error inflating class android support design widget TextInputEditText_x000D_
2019 03 27 22:33:49 932 2231 2231 fr free nrw commons beta E AndroidRuntime: Caused by: java lang ClassNotFoundException: Didn t find class  android support design widget TextInputEditText  on path: DexPathList  zip file   system framework org apache http legacy boot jar   zip file   data app fr free nrw commons beta XYn f26K vcv84IKGspVjA   base apk   zip file   data app fr free nrw commons beta XYn f26K vcv84IKGspVjA   split lib dependencies apk apk   zip file   data app fr free nrw commons beta XYn f26K vcv84IKGspVjA   split lib resources apk apk   zip file   data app fr free nrw commons beta XYn f26K vcv84IKGspVjA   split lib slice 0 apk apk   zip file   data app fr free nrw commons beta XYn f26K vcv84IKGspVjA   split lib slice 1 apk apk   zip file   data app fr free nrw commons beta XYn f26K vcv84IKGspVjA   split lib slice 2 apk apk   zip file   data app fr free nrw commons beta XYn f26K vcv84IKGspVjA   split lib slice 3 apk apk   zip file   data app fr free nrw commons beta XYn f26K vcv84IKGspVjA   split lib slice 4 apk apk   zip file   data app fr free nrw commons beta XYn f26K vcv84IKGspVjA   split lib slice 5 apk apk   zip file   data app fr free nrw commons beta XYn f26K vcv84IKGspVjA   split lib slice 6 apk apk   zip file   data app fr free nrw commons beta XYn f26K vcv84IKGspVjA   split lib slice 7 apk apk   zip file   data app fr free nrw commons beta XYn f26K vcv84IKGspVjA   split lib slice 8 apk apk   zip file   data app fr free nrw commons beta XYn f26K vcv84IKGspVjA   split lib slice 9 apk apk   nativeLibraryDirectories   data app fr free nrw commons beta XYn f26K vcv84IKGspVjA   lib x86   data app fr free nrw commons beta XYn f26K vcv84IKGspVjA   base apk  lib x86   data app fr free nrw commons beta XYn f26K vcv84IKGspVjA   split lib dependencies apk apk  lib x86   data app fr free nrw commons beta XYn f26K vcv84IKGspVjA   split lib resources apk apk  lib x86   data app fr free nrw commons beta XYn f26K vcv84IKGspVjA   split lib slice 0 apk apk  lib x86   data app fr free nrw commons beta XYn f26K vcv84IKGspVjA   split lib slice 1 apk apk  lib x86   data app fr free nrw commons beta XYn f26K vcv84IKGspVjA   split lib slice 2 apk apk  lib x86   data app fr free nrw commons beta XYn f26K vcv84IKGspVjA   split lib slice 3 apk apk  lib x86   data app fr free nrw commons beta XYn f26K vcv84IKGspVjA   split lib slice 4 apk apk  lib x86   data app fr free nrw commons beta XYn f26K vcv84IKGspVjA   split lib slice 5 apk apk  lib x86   data app fr free nrw commons beta XYn f26K vcv84IKGspVjA   split lib slice 6 apk apk  lib x86   data app fr free nrw commons beta XYn f26K vcv84IKGspVjA   split lib slice 7 apk apk  lib x86   data app fr free nrw commons beta XYn f26K vcv84IKGspVjA   split lib slice 8 apk apk  lib x86   data app fr free nrw commons beta XYn f26K vcv84IKGspVjA   split lib slice 9 apk apk  lib x86   system lib   system vendor lib  _x000D_
        at dalvik system BaseDexClassLoader findClass(BaseDexClassLoader java:134)_x000D_
        at java lang ClassLoader loadClass(ClassLoader java:379)_x000D_
        at java lang ClassLoader loadClass(ClassLoader java:312)_x000D_
        at android view LayoutInflater createView(LayoutInflater java:606)_x000D_
        at android view LayoutInflater createViewFromTag(LayoutInflater java:790)_x000D_
        at android view LayoutInflater createViewFromTag(LayoutInflater java:730)_x000D_
        at android view LayoutInflater rInflate(LayoutInflater java:863)_x000D_
        at android view LayoutInflater rInflateChildren(LayoutInflater java:824)_x000D_
        at android view LayoutInflater rInflate(LayoutInflater java:866)_x000D_
        at android view LayoutInflater rInflateChildren(LayoutInflater java:824)_x000D_
        at android view LayoutInflater rInflate(LayoutInflater java:866)_x000D_
        at android view LayoutInflater rInflateChildren(LayoutInflater java:824)_x000D_
        at android view LayoutInflater rInflate(LayoutInflater java:866)_x000D_
        at android view LayoutInflater rInflateChildren(LayoutInflater java:824)_x000D_
        at android view LayoutInflater rInflate(LayoutInflater java:866)_x000D_
        at android view LayoutInflater rInflateChildren(LayoutInflater java:824)_x000D_
        at android view LayoutInflater rInflate(LayoutInflater java:866)_x000D_
2019 03 27 22:33:49 937 2231 2231 fr free nrw commons beta E AndroidRuntime:     at android view LayoutInflater rInflateChildren(LayoutInflater java:824)_x000D_
        at android view LayoutInflater inflate(LayoutInflater java:515)_x000D_
        at android view LayoutInflater inflate(LayoutInflater java:423)_x000D_
        at android view LayoutInflater inflate(LayoutInflater java:374)_x000D_
        at com android internal policy PhoneWindow setContentView(PhoneWindow java:420)_x000D_
        at android app Activity setContentView(Activity java:2771)_x000D_
        at fr free nrw commons auth LoginActivity onCreate(LoginActivity java:109)_x000D_
        at android app Activity performCreate(Activity java:7136)_x000D_
        at android app Activity performCreate(Activity java:7127)_x000D_
        at android app Instrumentation callActivityOnCreate(Instrumentation java:1271)_x000D_
        at android app ActivityThread performLaunchActivity(ActivityThread java:2894)_x000D_
        at android app ActivityThread handleLaunchActivity(ActivityThread java:3049)_x000D_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java:1809)_x000D_
        at android os Handler dispatchMessage(Handler java:106)_x000D_
        at android os Looper loop(Looper java:193)_x000D_
        at android app ActivityThread main(ActivityThread java:6680)_x000D_
        at java lang reflect Method invoke(Native Method)_x000D_
        at com android internal os RuntimeInit MethodAndArgsCaller run(RuntimeInit java:493)_x000D_
        at com android internal os ZygoteInit main(ZygoteInit java:858)_x000D_
    	Suppressed: java io IOException: No original dex files found for dex location  data app fr free nrw commons beta XYn f26K vcv84IKGspVjA   split lib resources apk apk_x000D_
        at dalvik system DexFile openDexFileNative(Native Method)_x000D_
        at dalvik system DexFile openDexFile(DexFile java:354)_x000D_
        at dalvik system DexFile  init (DexFile java:101)_x000D_
        at dalvik system DexFile  init (DexFile java:75)_x000D_
        at dalvik system DexPathList loadDexFile(DexPathList java:394)_x000D_
        at dalvik system DexPathList makeDexElements(DexPathList java:354)_x000D_
        at dalvik system DexPathList  init (DexPathList java:164)_x000D_
        at dalvik system BaseDexClassLoader  init (BaseDexClassLoader java:74)_x000D_
        at dalvik system BaseDexClassLoader  init (BaseDexClassLoader java:65)_x000D_
        at dalvik system PathClassLoader  init (PathClassLoader java:64)_x000D_
        at com android internal os ClassLoaderFactory createClassLoader(ClassLoaderFactory java:73)_x000D_
        at com android internal os ClassLoaderFactory createClassLoader(ClassLoaderFactory java:88)_x000D_
        at android app ApplicationLoaders getClassLoader(ApplicationLoaders java:74)_x000D_
        at android app ApplicationLoaders getClassLoader(ApplicationLoaders java:40)_x000D_
        at android app LoadedApk createOrUpdateClassLoaderLocked(LoadedApk java:727)_x000D_
        at android app LoadedApk getClassLoader(LoadedApk java:810)_x000D_
        at android app LoadedApk getResources(LoadedApk java:1032)_x000D_
        at android app ContextImpl createAppContext(ContextImpl java:2345)_x000D_
        at android app ActivityThread handleBindApplication(ActivityThread java:5760)_x000D_
        at android app ActivityThread access 1100(ActivityThread java:200)_x000D_
        at android app ActivityThread H handleMessage(ActivityThread java:1651)_x000D_
        		    6 more_x000D_
2019 03 27 22:33:49 941 2231 2231 fr free nrw commons beta E ACRA: ACRA caught a RuntimeException for fr free nrw commons beta_x000D_
    java lang RuntimeException: Unable to start activity ComponentInfo fr free nrw commons beta fr free nrw commons auth LoginActivity : android view InflateException: Binary XML file line  124: Binary XML file line  124: Error inflating class android support design widget TextInputEditText_x000D_
        at android app ActivityThread performLaunchActivity(ActivityThread java:2914)_x000D_
        at android app ActivityThread handleLaunchActivity(ActivityThread java:3049)_x000D_
        at android app servertransaction LaunchActivityItem execute(LaunchActivityItem java:78)_x000D_
        at android app servertransaction TransactionExecutor executeCallbacks(TransactionExecutor java:108)_x000D_
        at android app servertransaction TransactionExecutor execute(TransactionExecutor java:68)_x000D_
        at android app ActivityThread H handleMessage(ActivityThread java:1809)_x000D_
        at android os Handler dispatchMessage(Handler java:106)_x000D_
        at android os Looper loop(Looper java:193)_x000D_
        at android app ActivityThread main(ActivityThread java:6680)_x000D_
        at java lang reflect Method invoke(Native Method)_x000D_
        at com android internal os RuntimeInit MethodAndArgsCaller run(RuntimeInit java:493)_x000D_
        at com android internal os ZygoteInit main(ZygoteInit java:858)_x000D_
     Caused by: android view InflateException: Binary XML file line  124: Binary XML file line  124: Error inflating class android support design widget TextInputEditText_x000D_
     Caused by: android view InflateException: Binary XML file line  124: Error inflating class android support design widget TextInputEditText_x000D_
2019 03 27 22:33:49 945 2231 2231 fr free nrw commons beta E ACRA: Caused by: java lang ClassNotFoundException: Didn t find class  android support design widget TextInputEditText  on path: DexPathList  zip file   system framework org apache http legacy boot jar   zip file   data app fr free nrw commons beta XYn f26K vcv84IKGspVjA   base apk   zip file   data app fr free nrw commons beta XYn f26K vcv84IKGspVjA   split lib dependencies apk apk   zip file   data app fr free nrw commons beta XYn f26K vcv84IKGspVjA   split lib resources apk apk   zip file   data app fr free nrw commons beta XYn f26K vcv84IKGspVjA   split lib slice 0 apk apk   zip file   data app fr free nrw commons beta XYn f26K vcv84IKGspVjA   split lib slice 1 apk apk   zip file   data app fr free nrw commons beta XYn f26K vcv84IKGspVjA   split lib slice 2 apk apk   zip file   data app fr free nrw commons beta XYn f26K vcv84IKGspVjA   split lib slice 3 apk apk   zip file   data app fr free nrw </t>
  </si>
  <si>
    <t>oliexdev-openScale-446</t>
  </si>
  <si>
    <t>App crashes when started</t>
  </si>
  <si>
    <t xml:space="preserve">Latest version of openScale crashes when loaded  OS is LineageOS 14 1_x000D_
_x000D_
Error message follows _x000D_
     _x000D_
_x000D_
Build version: 2 0 2 _x000D_
Build date: 1980 01 01 00:00:00 _x000D_
Current date: 2019 03 27 23:46:13 (UTC  13)_x000D_
Device: Motorola Moto G Play _x000D_
 _x000D_
Stack trace:  _x000D_
java lang RuntimeException: Unable to start activity ComponentInfo com health openscale com health openscale gui MainActivity : java lang NullPointerException: Attempt to invoke interface method  android view MenuItem android view MenuItem setChecked(boolean)  on a null object reference_x000D_
	at android app ActivityThread performLaunchActivity(ActivityThread java:2684)_x000D_
	at android app ActivityThread handleLaunchActivity(ActivityThread java:2751)_x000D_
	at android app ActivityThread  wrap12(ActivityThread java)_x000D_
	at android app ActivityThread H handleMessage(ActivityThread java:1496)_x000D_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Caused by: java lang NullPointerException: Attempt to invoke interface method  android view MenuItem android view MenuItem setChecked(boolean)  on a null object reference_x000D_
	at com health openscale gui fragments OverviewFragment onCreateView(OverviewFragment java:160)_x000D_
	at androidx fragment app Fragment performCreateView(Fragment java:2440)_x000D_
	at androidx fragment app FragmentManagerImpl moveToState(FragmentManagerImpl java:885)_x000D_
	at androidx fragment app FragmentManagerImpl moveFragmentToExpectedState(FragmentManagerImpl java:1229)_x000D_
	at androidx fragment app FragmentManagerImpl moveToState(FragmentManagerImpl java:1295)_x000D_
	at androidx fragment app BackStackRecord executeOps(BackStackRecord java:686)_x000D_
	at androidx fragment app FragmentManagerImpl executeOps(FragmentManagerImpl java:2057)_x000D_
	at androidx fragment app FragmentManagerImpl executeOpsTogether(FragmentManagerImpl java:1847)_x000D_
	at androidx fragment app FragmentManagerImpl removeRedundantOperationsAndExecute(FragmentManagerImpl java:1802)_x000D_
	at androidx fragment app FragmentManagerImpl execPendingActions(FragmentManagerImpl java:1709)_x000D_
	at androidx fragment app FragmentManagerImpl dispatchStateChange(FragmentManagerImpl java:2609)_x000D_
	at androidx fragment app FragmentManagerImpl dispatchActivityCreated(FragmentManagerImpl java:2565)_x000D_
	at androidx fragment app FragmentController dispatchActivityCreated(FragmentController java:245)_x000D_
	at androidx fragment app FragmentActivity onStart(FragmentActivity java:525)_x000D_
	at androidx appcompat app AppCompatActivity onStart(AppCompatActivity java:179)_x000D_
	at android app Instrumentation callActivityOnStart(Instrumentation java:1249)_x000D_
	at android app Activity performStart(Activity java:6701)_x000D_
	at android app ActivityThread performLaunchActivity(ActivityThread java:2647)_x000D_
	    9 more_x000D_
</t>
  </si>
  <si>
    <t>deltachat-deltachat-android-793</t>
  </si>
  <si>
    <t>crash in mapbox</t>
  </si>
  <si>
    <t xml:space="preserve"> cyBerta got the following crash by just opening the map using the map filtering 2 branch  device is my nexus4 with android8 1 lineage_x000D_
_x000D_
   _x000D_
2019 03 27 10:27:56 096 1587 1587   A libc: Fatal signal 11 (SIGSEGV)  code 1  fault addr 0x18 in tid 1587 ( messenger beta)  pid 1587 ( messenger beta)_x000D_
2019 03 27 10:27:56 233 1912 1912   I crash dump32: obtaining output fd from tombstoned  type: kDebuggerdTombstone_x000D_
2019 03 27 10:27:56 235 296 296   I  system bin tombstoned: received crash request for pid 1587_x000D_
2019 03 27 10:27:56 241 1912 1912   I crash dump32: performing dump of process 1587 (target tid   1587)_x000D_
2019 03 27 10:27:56 245 1912 1912   A DEBUG:                                                                _x000D_
2019 03 27 10:27:56 245 1912 1912   A DEBUG: LineageOS Version:  15 1 20190207 NIGHTLY mako _x000D_
2019 03 27 10:27:56 245 1912 1912   A DEBUG: Build fingerprint:  google occam mako:5 1 1 LMY48T 2237560:user release keys _x000D_
2019 03 27 10:27:56 245 1912 1912   A DEBUG: Revision:  0 _x000D_
2019 03 27 10:27:56 245 1912 1912   A DEBUG: ABI:  arm _x000D_
2019 03 27 10:27:56 245 1912 1912   A DEBUG: pid: 1587  tid: 1587  name:  messenger beta      com b44t messenger beta    _x000D_
2019 03 27 10:27:56 245 1912 1912   A DEBUG: signal 11 (SIGSEGV)  code 1 (SEGV MAPERR)  fault addr 0x18_x000D_
2019 03 27 10:27:56 245 1912 1912   A DEBUG: Cause: null pointer dereference_x000D_
2019 03 27 10:27:56 245 1912 1912   A DEBUG:     r0 beee2af0  r1 00000004  r2 00000003  r3 00000000_x000D_
2019 03 27 10:27:56 245 1912 1912   A DEBUG:     r4 beee2ae8  r5 999d0478  r6 94be7380  r7 beee2b20_x000D_
2019 03 27 10:27:56 245 1912 1912   A DEBUG:     r8 beee2b38  r9 999d0498  sl 00000000  fp b2605000_x000D_
2019 03 27 10:27:56 246 1912 1912   A DEBUG:     ip b55dbd58  sp beee2ad8  lr 98213043  pc 98213042  cpsr 20070030_x000D_
2019 03 27 10:27:56 307 1912 1912   A DEBUG: backtrace:_x000D_
2019 03 27 10:27:56 307 1912 1912   A DEBUG:      00 pc 00147042   data app com b44t messenger beta bPNOSxJoRDwv4eWusGhFxw   lib arm libmapbox gl so_x000D_
2019 03 27 10:27:56 307 1912 1912   A DEBUG:      01 pc 0014a045   data app com b44t messenger beta bPNOSxJoRDwv4eWusGhFxw   lib arm libmapbox gl so_x000D_
2019 03 27 10:27:56 307 1912 1912   A DEBUG:      02 pc 0040ca79   system lib libart so (art quick generic jni trampoline 40)_x000D_
2019 03 27 10:27:56 307 1912 1912   A DEBUG:      03 pc 00408575   system lib libart so (art quick invoke stub internal 68)_x000D_
2019 03 27 10:27:56 308 1912 1912   A DEBUG:      04 pc 0040d6e5   system lib libart so (art quick invoke stub 228)_x000D_
2019 03 27 10:27:56 308 1912 1912   A DEBUG:      05 pc 000b00eb   system lib libart so (art::ArtMethod::Invoke(art::Thread   unsigned int   unsigned int  art::JValue   char const ) 138)_x000D_
2019 03 27 10:27:56 308 1912 1912   A DEBUG:      06 pc 002031e7   system lib libart so (art::interpreter::ArtInterpreterToCompiledCodeBridge(art::Thread   art::ArtMethod   art::ShadowFrame   unsigned short  art::JValue ) 222)_x000D_
2019 03 27 10:27:56 308 1912 1912   A DEBUG:      07 pc 001fe735   system lib libart so ( ZN3art11interpreter6DoCallILb0ELb0EEEbPNS 9ArtMethodEPNS 6ThreadERNS 11ShadowFrameEPKNS 11InstructionEtPNS 6JValueE 588)_x000D_
2019 03 27 10:27:56 308 1912 1912   A DEBUG:      08 pc 003f359b   system lib libart so (MterpInvokeDirect 254)_x000D_
2019 03 27 10:27:56 308 1912 1912   A DEBUG:      09 pc 003faa14   system lib libart so (ExecuteMterpImpl 14484)_x000D_
2019 03 27 10:27:56 308 1912 1912   A DEBUG:      10 pc 001e55c9   system lib libart so (art::interpreter::Execute(art::Thread   art::DexFile::CodeItem const   art::ShadowFrame   art::JValue  bool) 340)_x000D_
2019 03 27 10:27:56 308 1912 1912   A DEBUG:      11 pc 001e9d77   system lib libart so (art::interpreter::ArtInterpreterToInterpreterBridge(art::Thread   art::DexFile::CodeItem const   art::ShadowFrame   art::JValue ) 142)_x000D_
2019 03 27 10:27:56 308 1912 1912   A DEBUG:      12 pc 001fe71d   system lib libart so ( ZN3art11interpreter6DoCallILb0ELb0EEEbPNS 9ArtMethodEPNS 6ThreadERNS 11ShadowFrameEPKNS 11InstructionEtPNS 6JValueE 564)_x000D_
2019 03 27 10:27:56 308 1912 1912   A DEBUG:      13 pc 003f26fb   system lib libart so (MterpInvokeVirtual 482)_x000D_
2019 03 27 10:27:56 308 1912 1912   A DEBUG:      14 pc 003fa914   system lib libart so (ExecuteMterpImpl 14228)_x000D_
2019 03 27 10:27:56 308 1912 1912   A DEBUG:      15 pc 001e55c9   system lib libart so (art::interpreter::Execute(art::Thread   art::DexFile::CodeItem const   art::ShadowFrame   art::JValue  bool) 340)_x000D_
2019 03 27 10:27:56 308 1912 1912   A DEBUG:      16 pc 001e9d77   system lib libart so (art::interpreter::ArtInterpreterToInterpreterBridge(art::Thread   art::DexFile::CodeItem const   art::ShadowFrame   art::JValue ) 142)_x000D_
2019 03 27 10:27:56 308 1912 1912   A DEBUG:      17 pc 001fe71d   system lib libart so ( ZN3art11interpreter6DoCallILb0ELb0EEEbPNS 9ArtMethodEPNS 6ThreadERNS 11ShadowFrameEPKNS 11InstructionEtPNS 6JValueE 564)_x000D_
2019 03 27 10:27:56 308 1912 1912   A DEBUG:      18 pc 003f32dd   system lib libart so (MterpInvokeInterface 1080)_x000D_
2019 03 27 10:27:56 309 1912 1912   A DEBUG:      19 pc 003fab14   system lib libart so (ExecuteMterpImpl 14740)_x000D_
2019 03 27 10:27:56 309 1912 1912   A DEBUG:      20 pc 001e55c9   system lib libart so (art::interpreter::Execute(art::Thread   art::DexFile::CodeItem const   art::ShadowFrame   art::JValue  bool) 340)_x000D_
2019 03 27 10:27:56 309 1912 1912   A DEBUG:      21 pc 001e9d77   system lib libart so (art::interpreter::ArtInterpreterToInterpreterBridge(art::Thread   art::DexFile::CodeItem const   art::ShadowFrame   art::JValue ) 142)_x000D_
2019 03 27 10:27:56 309 1912 1912   A DEBUG:      22 pc 001fe71d   system lib libart so ( ZN3art11interpreter6DoCallILb0ELb0EEEbPNS 9ArtMethodEPNS 6ThreadERNS 11ShadowFrameEPKNS 11InstructionEtPNS 6JValueE 564)_x000D_
2019 03 27 10:27:56 309 1912 1912   A DEBUG:      23 pc 003f26fb   system lib libart so (MterpInvokeVirtual 482)_x000D_
2019 03 27 10:27:56 309 1912 1912   A DEBUG:      24 pc 003fa914   system lib libart so (ExecuteMterpImpl 14228)_x000D_
2019 03 27 10:27:56 309 1912 1912   A DEBUG:      25 pc 001e55c9   system lib libart so (art::interpreter::Execute(art::Thread   art::DexFile::CodeItem const   art::ShadowFrame   art::JValue  bool) 340)_x000D_
2019 03 27 10:27:56 309 1912 1912   A DEBUG:      26 pc 001e9d77   system lib libart so (art::interpreter::ArtInterpreterToInterpreterBridge(art::Thread   art::DexFile::CodeItem const   art::ShadowFrame   art::JValue ) 142)_x000D_
2019 03 27 10:27:56 309 1912 1912   A DEBUG:      27 pc 001fe71d   system lib libart so ( ZN3art11interpreter6DoCallILb0ELb0EEEbPNS 9ArtMethodEPNS 6ThreadERNS 11ShadowFrameEPKNS 11InstructionEtPNS 6JValueE 564)_x000D_
2019 03 27 10:27:56 309 1912 1912   A DEBUG:      28 pc 003f26fb   system lib libart so (MterpInvokeVirtual 482)_x000D_
2019 03 27 10:27:56 309 1912 1912   A DEBUG:      29 pc 003fa914   system lib libart so (ExecuteMterpImpl 14228)_x000D_
2019 03 27 10:27:56 309 1912 1912   A DEBUG:      30 pc 001e55c9   system lib libart so (art::interpreter::Execute(art::Thread   art::DexFile::CodeItem const   art::ShadowFrame   art::JValue  bool) 340)_x000D_
2019 03 27 10:27:56 309 1912 1912   A DEBUG:      31 pc 001e9cc5   system lib libart so (art::interpreter::EnterInterpreterFromEntryPoint(art::Thread   art::DexFile::CodeItem const   art::ShadowFrame ) 92)_x000D_
2019 03 27 10:27:56 309 1912 1912   A DEBUG:      32 pc 003e7ee7   system lib libart so (artQuickToInterpreterBridge 934)_x000D_
2019 03 27 10:27:56 310 1912 1912   A DEBUG:      33 pc 0040caf1   system lib libart so (art quick to interpreter bridge 32)_x000D_
2019 03 27 10:27:56 310 1912 1912   A DEBUG:      34 pc 000b10c1   dev ashmem dalvik jit code cache (deleted)_x000D_
2019 03 27 10:28:02 076 296 296   W  system bin tombstoned: crash socket received short read of length 0 (expected 12)_x000D_
2019 03 27 10:28:02 079 418 440 system process I BootReceiver: Copying  data tombstones tombstone 02 to DropBox (SYSTEM TOMBSTONE)_x000D_
2019 03 27 10:28:02 150 418 436 system process W zygote: kill( 1587  9) failed: No such process_x000D_
2019 03 27 10:28:02 151 418 771 system process I ActivityManager: Process com b44t messenger beta (pid 1587) has died: fore TOP _x000D_
   </t>
  </si>
  <si>
    <t>rajivshah3-react-native-google-safetynet-135</t>
  </si>
  <si>
    <t>[Bug] Application crashed while using sendAndVerifyAttestation method</t>
  </si>
  <si>
    <t xml:space="preserve">Application crashed while using sendAndVerifyAttestation method  The logs were not very helpful  I will investigate when I have time  For now creating an issue  _x000D_
_x000D_
My app details_x000D_
_x000D_
   _x000D_
 react :  16 8 3  _x000D_
 react native :  0 59 1  _x000D_
 react native google safetynet :   0 3 3 _x000D_
   _x000D_
Code Block _x000D_
   _x000D_
    RNGoogleSafetyNet sendAndVerifyAttestation( asdas   API KEY ) then((res)     _x000D_
      console log( send verify   res) _x000D_
     ) catch(err     _x000D_
      console error( send ver   err) _x000D_
     )_x000D_
   _x000D_
_x000D_
Error Logs _x000D_
   _x000D_
E ReactNativeJS:  send ver      Error: 10:  _x000D_
E ReactNativeJS:   framesToPop: 1 _x000D_
E ReactNativeJS:   nativeStackAndroid:_x000D_
E ReactNativeJS:        methodName:  fromStatus   lineNumber: 14  file: null   _x000D_
E ReactNativeJS:        methodName:  convert   lineNumber: 0  file: null   _x000D_
E ReactNativeJS:        methodName:  onComplete   lineNumber: 32  file: null   _x000D_
E ReactNativeJS:        methodName:  zza   lineNumber: 81  file: null   _x000D_
E ReactNativeJS:        methodName:  setResult   lineNumber: 41  file: null   _x000D_
E ReactNativeJS:        methodName:  zza   lineNumber: 7  file: null   _x000D_
E ReactNativeJS:        methodName:  dispatchTransaction  _x000D_
E ReactNativeJS:        lineNumber: 155 _x000D_
E ReactNativeJS:        file: null   _x000D_
E ReactNativeJS:        methodName:  onTransact   lineNumber: 22  file: null   _x000D_
E ReactNativeJS:        methodName:  execTransact  _x000D_
E ReactNativeJS:        lineNumber: 731 _x000D_
E ReactNativeJS:        file:  Binder java      _x000D_
E ReactNativeJS:   userInfo: null _x000D_
E ReactNativeJS:   code:  EUNSPECIFIED  _x000D_
E ReactNativeJS:   line: 2108 _x000D_
E ReactNativeJS:   column: 26 _x000D_
   </t>
  </si>
  <si>
    <t>4Q-s-r-o-call_log-3</t>
  </si>
  <si>
    <t>Example crash</t>
  </si>
  <si>
    <t xml:space="preserve">  Bug report_x000D_
_x000D_
The example crashes when I tap on the get all button on Android _x000D_
_x000D_
   Behavior_x000D_
_x000D_
D ViewRootImpl( 7709): ViewPostImeInputStage ACTION DOWN_x000D_
E flutter ( 7709):  ERROR:flutter shell platform android platform view android jni cc(40)  java lang NoSuchMethodError: No virtual method checkSelfPermission(Ljava lang String )I in class Landroid app Activity  or its super classes (declaration of  android app Activity  appears in  system framework framework jar)_x000D_
E flutter ( 7709): 	at sk fourq calllog CallLogPlugin onMethodCall(CallLogPlugin java:52)_x000D_
E flutter ( 7709): 	at io flutter plugin common MethodChannel IncomingMethodCallHandler onMessage(MethodChannel java:201)_x000D_
E flutter ( 7709): 	at io flutter embedding engine dart DartMessenger handleMessageFromDart(DartMessenger java:88)_x000D_
E flutter ( 7709): 	at io flutter embedding engine FlutterJNI handlePlatformMessage(FlutterJNI java:202)_x000D_
E flutter ( 7709): 	at android os MessageQueue nativePollOnce(Native Method)_x000D_
E flutter ( 7709): 	at android os MessageQueue next(MessageQueue java:143)_x000D_
E flutter ( 7709): 	at android os Looper loop(Looper java:130)_x000D_
E flutter ( 7709): 	at android app ActivityThread main(ActivityThread java:6934)_x000D_
E flutter ( 7709): 	at java lang reflect Method invoke(Native Method)_x000D_
E flutter ( 7709): 	at java lang reflect Method invoke(Method java:372)_x000D_
E flutter ( 7709): 	at com android internal os ZygoteInit MethodAndArgsCaller run(ZygoteInit java:1404)_x000D_
E flutter ( 7709): 	at com android internal os ZygoteInit main(ZygoteInit java:1199)_x000D_
E flutter ( 7709): _x000D_
F flutter ( 7709):  FATAL:flutter shell platform android platform view android jni cc(77)  Check failed: CheckException(env)  _x000D_
F libc    ( 7709): Fatal signal 6 (SIGABRT)  code  6 in tid 7709 ( calllogexample)_x000D_
                                                               _x000D_
Build fingerprint:  samsung j1mini3gxw j1mini3gxw:5 1 1 LMY47V J105HXWU0ARD1:user release keys _x000D_
Revision:  2 _x000D_
ABI:  arm _x000D_
pid: 7709  tid: 7709  name:  calllogexample      sk fourq calllogexample    _x000D_
signal 6 (SIGABRT)  code  6 (SI TKILL)  fault addr         _x000D_
Abort message:   FATAL:flutter shell platform android platform view android jni cc(77)  Check failed: CheckException(env)  _x000D_
 _x000D_
    r0 00000000  r1 00001e1d  r2 00000006  r3 00000000_x000D_
    r4 b6f3be38  r5 00000006  r6 0000000b  r7 0000010c_x000D_
    r8 becefdc4  r9 00000004  sl 00000001  fp a1868208_x000D_
    ip 00001e1d  sp becefca8  lr b6d94735  pc b6db7f5c  cpsr 600e0010_x000D_
backtrace:_x000D_
     00 pc 0003af5c   system lib libc so (tgkill 12)_x000D_
     01 pc 00017731   system lib libc so (pthread kill 52)_x000D_
     02 pc 00018347   system lib libc so (raise 10)_x000D_
     03 pc 00014be1   system lib libc so (  libc android abort 36)_x000D_
     04 pc 00012f70   system lib libc so (abort 4)_x000D_
     05 pc 0002f157   data app sk fourq calllogexample 2 lib arm libflutter so_x000D_
     06 pc 000257c9   data app sk fourq calllogexample 2 lib arm libflutter so_x000D_
     07 pc 00024c29   data app sk fourq calllogexample 2 lib arm libflutter so_x000D_
     08 pc 0005629d   data app sk fourq calllogexample 2 lib arm libflutter so_x000D_
     09 pc 00030339   data app sk fourq calllogexample 2 lib arm libflutter so_x000D_
     10 pc 00031835   data app sk fourq calllogexample 2 lib arm libflutter so_x000D_
     11 pc 00011aa7   system lib libutils so ( ZN7android20SimpleLooperCallback11handleEventEiiPv 10)_x000D_
     12 pc 00012709   system lib libutils so ( ZN7android6Looper9pollInnerEi 484)_x000D_
     13 pc 000127b1   system lib libutils so ( ZN7android6Looper8pollOnceEiPiS1 PPv 92)_x000D_
     14 pc 00088a45   system lib libandroid runtime so ( ZN7android18NativeMessageQueue8pollOnceEP7 JNIEnvi 22)_x000D_
     15 pc 000b6fe3   system framework arm boot oat_x000D_
Tombstone written to:  data tombstones tombstone 08_x000D_
_x000D_
_x000D_
    Configuration_x000D_
_x000D_
   _x000D_
    Flutter (Channel beta  v1 3 8  on Linux  locale fr FR UTF 8)_x000D_
      Flutter version 1 3 8 at  home me bin flutter flutter_x000D_
      Framework revision e5b1ed7a7f (il y a 3 semaines)  2019 03 06 14:23:37  0800_x000D_
      Engine revision f4951df193_x000D_
      Dart version 2 2 1 (build 2 2 1 dev 0 0 571ea80e11)_x000D_
_x000D_
    Android toolchain   develop for Android devices (Android SDK version 28 0 3)_x000D_
      Android SDK at  home me Android Sdk_x000D_
      Android NDK location not configured (optional  useful for native profiling support)_x000D_
      Platform android 28  build tools 28 0 3_x000D_
      ANDROID HOME    home me Android Sdk_x000D_
      Java binary at:  home me bin android studio jre bin java_x000D_
      Java version OpenJDK Runtime Environment (build 1 8 0 152 release 1248 b01)_x000D_
      All Android licenses accepted _x000D_
_x000D_
    Android Studio (version 3 3)_x000D_
      Android Studio at  home me bin android studio_x000D_
      Flutter plugin version 33 3 1_x000D_
      Dart plugin version 182 5215_x000D_
      Java version OpenJDK Runtime Environment (build 1 8 0 152 release 1248 b01)_x000D_
   </t>
  </si>
  <si>
    <t>lingochamp-FileDownloader-1200</t>
  </si>
  <si>
    <t>Bug in FetchDataTask [1.7.6]</t>
  </si>
  <si>
    <t xml:space="preserve">I am using BaseDownloadTask and manage queue on my own  Every one of these items is correctly configured NOT TO use multi connection (because of encryption with FileBufferedOutputStream)  even though i can t download them because of below condition:_x000D_
_x000D_
   _x000D_
            if (hostRunnable    null     isSupportSeek)  _x000D_
                throw new IllegalAccessException(_x000D_
                         can t using multi download when the output stream can t support seek ) _x000D_
             _x000D_
   _x000D_
_x000D_
Why using hostRunnable crashes out entire downloading (no multi connection)  Can this be fixed soon </t>
  </si>
  <si>
    <t>osmdroid-osmdroid-1299</t>
  </si>
  <si>
    <t>Zoom Button Crash in 6.1.0</t>
  </si>
  <si>
    <t xml:space="preserve">   Issue Type_x000D_
_x000D_
 X  Bug_x000D_
_x000D_
   Description and or steps code to reproduce the problem_x000D_
_x000D_
Plugging 6 1 0 into gradle to replace 6 0 3 in my App  all things so far seem fine  _x000D_
All but the (standard) zoom buttons: These bottons relyably crash 100  of the time after app start  With plenty of stack trace which all seem repeations of this (one click creates hundreds and so far I only checked manually):_x000D_
_x000D_
   _x000D_
2019 03 25 09:26:07 704   E AndroidRuntime: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2019 03 25 09:26:07 704   E AndroidRuntime: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end(ValueAnimator java:1133)_x000D_
        at org osmdroid views MapController animateTo(MapController java:167)_x000D_
        at org osmdroid views MapController animateTo(MapController java:137)_x000D_
        at org osmdroid views MapController animateTo(MapController java:183)_x000D_
        at org osmdroid views MapController animateTo(MapController java:129)_x000D_
        at org osmdroid views MapView setZoomLevel(MapView java:492)_x000D_
        at org osmdroid views MapController MapAnimatorListener onAnimationUpdate(MapController java:520)_x000D_
        at android animation ValueAnimator animateValue(ValueAnimator java:1547)_x000D_
        at android animation ValueAnimator animateBasedOnTime(ValueAnimator java:1339)_x000D_
        at android animation ValueAnimator doAnimationFrame(ValueAnimator java:1471)_x000D_
        at android animation AnimationHandler doAnimationFrame(AnimationHandler java:146)_x000D_
        at android animation AnimationHandler access 100(AnimationHandler java:37)_x000D_
        at android animation AnimationHandler 1 doFrame(AnimationHandler java:54)_x000D_
        at android view Choreographer CallbackRecord run(Choreographer java:1170)_x000D_
        at android view Choreographer doCallbacks(Choreographer java:984)_x000D_
        at android view Choreographer doFrame(Choreographer java:806)_x000D_
        at android view Choreographer FrameDisplayEventReceiver run(Choreographer java:1158)_x000D_
        at android os Handler handleCallback(Handler java:873)_x000D_
2019 03 25 09:26:07 704   E AndroidRuntime:     at android os Handler dispatchMessage(Handler java:99)_x000D_
        at android os Looper loop(Looper java:193)_x000D_
        at android app ActivityThread main(ActivityThread java:6863)_x000D_
        at java lang reflect Method invoke(Native Method)_x000D_
        at com android internal os RuntimeInit MethodAndArgsCaller run(RuntimeInit java:537)_x000D_
        at com android internal os ZygoteInit main(ZygoteInit java:858)_x000D_
_x000D_
   _x000D_
_x000D_
Once the user has done some manual (gesture or in my App location bookmarks) zooming or location change  this does not happen any more  But when the user hits zoom directly after start it crashes relyably _x000D_
_x000D_
The stack traces seem to depend on Android version  on Android 4 2 2 I get the following:_x000D_
_x000D_
03 25 09:42:27 976 de spieleck app badgers debug E AndroidRuntime: FATAL EXCEPTION: main_x000D_
    java lang StackOverflowError_x000D_
_x000D_
(which matches to the amount of output on Android 9 where log is just to fast to keep the start of problems in Android Studio memory) _x000D_
_x000D_
   Environment_x000D_
_x000D_
My Badge(r)s App  Android 4 2 2  9 checked here_x000D_
_x000D_
    If it s a bug  version(s) of android this affects:_x000D_
_x000D_
A9  4 2 2_x000D_
_x000D_
    Version of osmdroid the issue relates to:_x000D_
_x000D_
6 1 0_x000D_
_x000D_
</t>
  </si>
  <si>
    <t>Intelehealth-Android-Mobile-Client-688</t>
  </si>
  <si>
    <t>Upload to Doctor Crashes</t>
  </si>
  <si>
    <t xml:space="preserve">When the app is updated from the old version to the new version  the app crashes due to null pointer issue </t>
  </si>
  <si>
    <t>TheCacophonyProject-bird-monitor-26</t>
  </si>
  <si>
    <t>"Advanced" area causes app to crash if permissions haven't been granted</t>
  </si>
  <si>
    <t xml:space="preserve">Instead of crashing the required permissions should be requested  If the permissions aren t available  the UI should indicate that this is the issue </t>
  </si>
  <si>
    <t>deltachat-deltachat-android-782</t>
  </si>
  <si>
    <t>¿Random? crashing behaviors</t>
  </si>
  <si>
    <t>In normal use after the upgrade from  101 1 to 0 200 and even in new installations of the last one  the ap shows some apparently random crashing  _x000D_
The long is just from my phone in which the are just a few crashes  but friends reports continuously crashing  _x000D_
_x000D_
_x000D_
device samsung SM G570M (on5xelteub)_x000D_
android 8 0 0 (G570MUBU3CRK1  R16NW G570MUBU3CRK1)_x000D_
sdk 26_x000D_
memory 4M (0 86  free  512M max)_x000D_
memoryClass 128_x000D_
host 21HHAE21_x000D_
applicationId com b44t messenger_x000D_
app Delta Chat 0 200 0 fat_x000D_
ignoreBatteryOptimizations true_x000D_
_x000D_
deltachat core version v0 41 0_x000D_
sqlite version 3 26 0_x000D_
sqlite thread safe 1_x000D_
libetpan version 1 8_x000D_
openssl version 1 0 1t_x000D_
rpgp enabled 0_x000D_
compile date Mar 16 2019  22:41:51_x000D_
arch 32_x000D_
number of chats 15_x000D_
number of chat messages 2408_x000D_
messages in contact requests 2_x000D_
number of contacts 67_x000D_
database dir  data user 0 com b44t messenger files messenger db_x000D_
database version 50_x000D_
blobdir  data user 0 com b44t messenger files messenger db blobs_x000D_
display name Richard M ndez Castillo_x000D_
is configured 1_x000D_
entered account settings richardmiguel mendez nauta cu richardmiguel mendez nauta cu:   :181 225 231 14:143 richardmiguel mendez nauta cu:   :181 225 231 12:25 IMAP PLAIN SMTP PLAIN_x000D_
used account settings richardmiguel mendez nauta cu richardmiguel mendez nauta cu:   :181 225 231 14:143 richardmiguel mendez nauta cu:   :181 225 231 12:25 AUTH NORMAL IMAP PLAIN SMTP PLAIN_x000D_
inbox watch 1_x000D_
sentbox watch 0_x000D_
mvbox watch 0_x000D_
mvbox move 0_x000D_
folders configured 3_x000D_
configured sentbox folder Sent_x000D_
configured mvbox folder INBOX DeltaChat_x000D_
mdns enabled 1_x000D_
e2ee enabled 1_x000D_
private key count 1_x000D_
public key count 9_x000D_
fingerprint 998ABB18423A3D63EFA07362609544C099C276BF_x000D_
_x000D_
          beginning of crash_x000D_
03 21 21:53:04 981 27003 27018 F libc    : Fatal signal 11 (SIGSEGV)  code 1  fault addr 0x0 in tid 27018 (imapThread)_x000D_
03 21 21:53:05 184 27588 27588 F DEBUG   :                                                                _x000D_
03 21 21:53:05 184 27588 27588 F DEBUG   : Build fingerprint:  samsung on5xelteub on5xelte:8 0 0 R16NW G570MUBU3CRK1:user release keys _x000D_
03 21 21:53:05 184 27588 27588 F DEBUG   : Revision:  5 _x000D_
03 21 21:53:05 184 27588 27588 F DEBUG   : ABI:  arm _x000D_
03 21 21:53:05 184 27588 27588 F DEBUG   : pid: 27003  tid: 27018  name: imapThread      com b44t messenger    _x000D_
03 21 21:53:05 184 27588 27588 F DEBUG   : signal 11 (SIGSEGV)  code 1 (SEGV MAPERR)  fault addr 0x0_x000D_
03 21 21:53:05 185 27588 27588 F DEBUG   : Cause: null pointer dereference_x000D_
03 21 21:53:05 185 27588 27588 F DEBUG   :     r0 00000000  r1 00000000  r2 f3c99f71  r3 00000000_x000D_
03 21 21:53:05 185 27588 27588 F DEBUG   :     r4 00000000  r5 00000000  r6 ed813380  r7 cb7dcf68_x000D_
03 21 21:53:05 185 27588 27588 F DEBUG   :     r8 efb30220  r9 cb85a260  sl 00000009  fp 00000000_x000D_
03 21 21:53:05 185 27588 27588 F DEBUG   :     ip 00000000  sp cdeff488  lr ce002783  pc ce002786  cpsr 600f0030_x000D_
03 21 21:53:05 187 27588 27588 F DEBUG   : _x000D_
03 21 21:53:05 187 27588 27588 F DEBUG   : backtrace:_x000D_
03 21 21:53:05 187 27588 27588 F DEBUG   :      00 pc 00078786   data app com b44t messenger DL6DxhPC6iidNJEy4nEJ1A   lib arm libnative utils so (dc imap delete msg 169)_x000D_
03 21 21:53:05 187 27588 27588 F DEBUG   :      01 pc 00079ee1   data app com b44t messenger DL6DxhPC6iidNJEy4nEJ1A   lib arm libnative utils so_x000D_
03 21 21:53:05 187 27588 27588 F DEBUG   :      02 pc 00079f59   data app com b44t messenger DL6DxhPC6iidNJEy4nEJ1A   lib arm libnative utils so (dc perform imap jobs 44)_x000D_
03 21 21:53:05 187 27588 27588 F DEBUG   :      03 pc 001ce95b   data app com b44t messenger DL6DxhPC6iidNJEy4nEJ1A   oat arm base odex (offset 0xe0000)_x000D_
03 22 09:11:24 349  5482  5498 F libc    : Fatal signal 11 (SIGSEGV)  code 1  fault addr 0x0 in tid 5498 (imapThread)_x000D_
03 22 09:11:24 547  8081  8081 F DEBUG   :                                                                _x000D_
03 22 09:11:24 547  8081  8081 F DEBUG   : Build fingerprint:  samsung on5xelteub on5xelte:8 0 0 R16NW G570MUBU3CRK1:user release keys _x000D_
03 22 09:11:24 548  8081  8081 F DEBUG   : Revision:  5 _x000D_
03 22 09:11:24 548  8081  8081 F DEBUG   : ABI:  arm _x000D_
03 22 09:11:24 548  8081  8081 F DEBUG   : pid: 5482  tid: 5498  name: imapThread      com b44t messenger    _x000D_
03 22 09:11:24 548  8081  8081 F DEBUG   : signal 11 (SIGSEGV)  code 1 (SEGV MAPERR)  fault addr 0x0_x000D_
03 22 09:11:24 548  8081  8081 F DEBUG   : Cause: null pointer dereference_x000D_
03 22 09:11:24 548  8081  8081 F DEBUG   :     r0 00000000  r1 00000000  r2 f3c99f71  r3 00000000_x000D_
03 22 09:11:24 548  8081  8081 F DEBUG   :     r4 00000000  r5 00000000  r6 ed813380  r7 caa2d090_x000D_
03 22 09:11:24 548  8081  8081 F DEBUG   :     r8 efb30220  r9 c9432210  sl 00000009  fp 00000000_x000D_
03 22 09:11:24 548  8081  8081 F DEBUG   :     ip 00000000  sp cdeff488  lr ce003783  pc ce003786  cpsr 600f0030_x000D_
03 22 09:11:24 551  8081  8081 F DEBUG   : _x000D_
03 22 09:11:24 551  8081  8081 F DEBUG   : backtrace:_x000D_
03 22 09:11:24 552  8081  8081 F DEBUG   :      00 pc 00078786   data app com b44t messenger DL6DxhPC6iidNJEy4nEJ1A   lib arm libnative utils so (dc imap delete msg 169)_x000D_
03 22 09:11:24 552  8081  8081 F DEBUG   :      01 pc 00079ee1   data app com b44t messenger DL6DxhPC6iidNJEy4nEJ1A   lib arm libnative utils so_x000D_
03 22 09:11:24 552  8081  8081 F DEBUG   :      02 pc 00079f59   data app com b44t messenger DL6DxhPC6iidNJEy4nEJ1A   lib arm libnative utils so (dc perform imap jobs 44)_x000D_
03 22 09:11:24 552  8081  8081 F DEBUG   :      03 pc 001dbaf3   data app com b44t messenger DL6DxhPC6iidNJEy4nEJ1A   oat arm base odex (offset 0xe5000)_x000D_
          beginning of main_x000D_
03 23 23:08:36 848 29984 30009 I DeltaChat: IMAP IDLE has data _x000D_
03 23 23:08:36 849 29984 30009 I DeltaChat: INBOX IDLE ended _x000D_
03 23 23:08:36 851 29984 30009 I DeltaChat: INBOX jobs started   _x000D_
03 23 23:08:36 853 29984 30009 I DeltaChat: INBOX jobs ended _x000D_
03 23 23:08:36 854 29984 30009 I DeltaChat: INBOX fetch started   _x000D_
03 23 23:08:37 009 29984 30009 I DeltaChat: 0 mails read from  INBOX  _x000D_
03 23 23:08:37 009 29984 30009 I DeltaChat: INBOX fetch done in 3 ms _x000D_
03 23 23:08:37 011 29984 30009 I DeltaChat: INBOX IDLE started   _x000D_
03 23 23:09:06 991 29984 29984 I DeltaChat:                      on receive timer                     _x000D_
03 23 23:09:07 000 29984 29984 I DeltaChat: Interrupting IMAP IDLE   _x000D_
03 23 23:09:07 001 29984 29984 I DeltaChat: Interrupting MVBOX IDLE   _x000D_
03 23 23:09:07 001 29984 29984 I DeltaChat: Interrupting SENTBOX IDLE   _x000D_
03 23 23:09:07 006 29984 30012 I DeltaChat: SENTBOX IDLE will not be started as it was interrupted while not ideling _x000D_
03 23 23:09:07 007 29984 30010 I DeltaChat: MVBOX IDLE will not be started as it was interrupted while not ideling _x000D_
03 23 23:09:07 105 29984 30009 I DeltaChat: IMAP IDLE interrupted _x000D_
03 23 23:09:07 105 29984 30009 I DeltaChat: INBOX IDLE ended _x000D_
03 23 23:09:07 107 29984 30009 I DeltaChat: INBOX jobs started   _x000D_
03 23 23:09:07 108 29984 30009 I DeltaChat: INBOX jobs ended _x000D_
03 23 23:09:07 109 29984 30009 I DeltaChat: INBOX fetch started   _x000D_
03 23 23:09:07 220 29984 30009 I DeltaChat: 0 mails read from  INBOX  _x000D_
03 23 23:09:07 221 29984 30009 I DeltaChat: INBOX fetch done in 3 ms _x000D_
03 23 23:09:07 222 29984 30009 I DeltaChat: INBOX IDLE started   _x000D_
03 23 23:10:22 343 29984 30009 I DeltaChat: IMAP IDLE has data _x000D_
03 23 23:10:22 343 29984 30009 I DeltaChat: INBOX IDLE ended _x000D_
03 23 23:10:22 344 29984 30009 I DeltaChat: INBOX jobs started   _x000D_
03 23 23:10:22 346 29984 30009 I DeltaChat: INBOX jobs ended _x000D_
03 23 23:10:22 346 29984 30009 I DeltaChat: INBOX fetch started   _x000D_
03 23 23:10:28 322 29984 30009 I DeltaChat: Receiving message INBOX 12119   _x000D_
03 23 23:14:07 023  1960  1960 W SELinux : SELinux selinux android compute policy index : Policy Index 2    Con:u:r:zygote:s0 RAM:SEPF SM G570M 8 0 0 0016    1  1  1  1 0 1 _x000D_
03 23 23:14:07 024  1960  1960 I SELinux : SELinux: seapp context lookup: seinfo untrusted  level s0:c512 c768  pkgname com b44t messenger _x000D_
03 23 23:14:07 058  1960  1960 D ActivityThread: Added TimaKeyStore provider_x000D_
03 23 23:14:07 090  1960  1960 I zygote  : find the special shared library  skip check_x000D_
03 23 23:14:07 223  1960  1960 I DeltaChat: Opened   data user 0 com b44t messenger files messenger db  _x000D_
03 23 23:14:07 227  1960  1975 I DeltaChat:                        IMAP Thread started                        _x000D_
03 23 23:14:07 227  1960  1976 I DeltaChat:                        MVBOX Thread started                        _x000D_
03 23 23:14:07 228  1960  1977 I DeltaChat:                        SENTBOX Thread started                        _x000D_
03 23 23:14:07 231  1960  1975 I DeltaChat: INBOX jobs started   _x000D_
03 23 23:14:07 231  1960  1978 I DeltaChat:                        SMTP Thread started                        _x000D_
03 23 23:14:07 233  1960  1975 I DeltaChat: INBOX jobs ended _x000D_
03 23 23:14:07 233  1960  1978 I DeltaChat: SMTP jobs started   _x000D_
03 23 23:14:07 236  1960  1978 I DeltaChat: SMTP jobs ended _x000D_
03 23 23:14:07 237  1960  1978 I DeltaChat: SMTP idle started   _x000D_
03 23 23:14:07 258  1960  1960 I DeltaChat:                      on receive timer                     _x000D_
03 23 23:14:07 267  1960  1960 I DeltaChat: Interrupting IMAP IDLE   _x000D_
03 23 23:14:07 267  1960  1960 I DeltaChat: Interrupting MVBOX IDLE   _x000D_
03 23 23:14:07 267  1960  1960 I DeltaChat: Interrupting SENTBOX IDLE   _x000D_
03 23 23:14:07 269  1960  1960 I DeltaChat:                    Connected                   _x000D_
03 23 23:14:07 269  1960  1976 I DeltaChat: MVBOX IDLE will not be started as it was interrupted while not ideling _x000D_
03 23 23:14:07 269  1960  1960 I DeltaChat: Interrupting SMTP idle   _x000D_
03 23 23:14:07 269  1960  1960 I DeltaChat: Interrupting IMAP IDLE   _x000D_
03 23 23:14:07 269  1960  1978 I DeltaChat: SMTP idle ended _x000D_
03 23 23:14:07 269  1960  1960 I DeltaChat: Interrupting MVBOX IDLE   _x000D_
03 23 23:14:07 269  1960  1960 I DeltaChat: Interrupting SENTBOX IDLE   _x000D_
03 23 23:14:07 270  1960  1977 I DeltaChat: SENTBOX IDLE will not be started as it was interrupted while not ideling _x000D_
03 23 23:14:07 270  1960  1978 I DeltaChat: SMTP jobs started   _x000D_
03 23 23:14:07 271  1960  1978 I DeltaChat: SMTP jobs ended _x000D_
03 23 23:14:07 272  1960  1976 I DeltaChat: MVBOX IDLE will not be started as it was interrupted while not ideling _x000D_
03 23 23:14:07 272  1960  1978 I DeltaChat: SMTP idle started   _x000D_
03 23 23:14:09 019  1960  1975 I DeltaChat: IMAP server 181 225 231 14:143 connected _x000D_
03 23 23:14:09 151  1960  1975 I DeltaChat: IMAP capabilities: IMAP4rev1 LITERAL  SASL IR LOGIN REFERRALS ID ENABLE IDLE SORT SORT DISPLAY THREAD REFERENCES THREAD REFS THREAD ORDEREDSUBJECT MULTIAPPEND URL PARTIAL CATENATE UNSELECT CHILDREN NAMESPACE UIDPLUS LIST EXTENDED I18NLEVEL 1 CONDSTORE QRESYNC ESEARCH ESORT SEARCHRES WITHIN CONTEXT SEARCH LIST STATUS SPECIAL USE BINARY MOVE QUOTA_x000D_
03 23 23:14:09 151  1960  1975 I DeltaChat: INBOX fetch started   _x000D_
03 23 23:14:26 641  1960  1975 I DeltaChat: Receiving message INBOX 12119   _x000D_
03 23 23:14:26 688  1960  1975 I DeltaChat: Interrupting IMAP IDLE   _x000D_
03 23 23:14:26 698  1960  1975 I DeltaChat: 1 mails read from  INBOX  _x000D_
03 23 23:14:26 801  1960  1975 I DeltaChat: 0 mails read from  INBOX  _x000D_
03 23 23:14:26 802  1960  1975 I DeltaChat: INBOX fetch done in 117 ms _x000D_
03 23 23:14:26 805  1960  1975 I DeltaChat: INBOX IDLE will not be started because of waiting jobs _x000D_
03 23 23:14:26 806  1960  1975 I DeltaChat: INBOX jobs started   _x000D_
03 23 23:14:26 807  1960  1975 I DeltaChat: INBOX jobs ended _x000D_
03 23 23:14:26 807  1960  1975 I DeltaChat: INBOX fetch started   _x000D_
03 23 23:14:26 891  1960  1975 I DeltaChat: 0 mails read from  INBOX  _x000D_
03 23 23:14:26 891  1960  1975 I DeltaChat: INBOX fetch done in 2 ms _x000D_
03 23 23:14:26 893  1960  1975 I DeltaChat: INBOX IDLE started   _x000D_
03 23 23:16:12 093  1960  1975 I DeltaChat: IMAP IDLE has data _x000D_
03 23 23:16:12 093  1960  1975 I DeltaChat: INBOX IDLE ended _x000D_
03 23 23:16:12 095  1960  1975 I DeltaChat: INBOX jobs started   _x000D_
03 23 23:16:12 096  1960  1975 I DeltaChat: INBOX job  1  action 120 started   _x000D_
03 23 23:16:12 097  1960  1975 I DeltaChat: Marking message INBOX 12119 as seen   _x000D_
03 23 23:16:19 197  1960  1975 I DeltaChat: INBOX jobs ended _x000D_
03 23 23:16:19 198  1960  1975 I DeltaChat: INBOX fetch started   _x000D_
03 23 23:16:19 321  1960  1975 I DeltaChat: 0 mails read from  INBOX  _x000D_
03 23 23:16:19 321  1960  1975 I DeltaChat: INBOX fetch done in 1 ms _x000D_
03 23 23:16:19 322  1960  1975 I DeltaChat: INBOX IDLE started   _x000D_
03 23 23:18:10 549  1960  1975 I DeltaChat: IMAP IDLE has data _x000D_
03 23 23:18:10 549  1960  1975 I DeltaChat: INBOX IDLE ended _x000D_
03 23 23:18:10 551  1960  1975 I DeltaChat: INBOX jobs started   _x000D_
03 23 23:18:10 552  1960  1975 I DeltaChat: INBOX jobs ended _x000D_
03 23 23:18:10 553  1960  1975 I DeltaChat: INBOX fetch started   _x000D_
03 23 23:18:10 640  1960  1975 I DeltaChat: 0 mails read from  INBOX  _x000D_
03 23 23:18:10 640  1960  1975 I DeltaChat: INBOX fetch done in 2 ms _x000D_
03 23 23:18:10 643  1960  1975 I DeltaChat: INBOX IDLE started   _x000D_
03 23 23:19:07 264  1960  1960 I DeltaChat:                      on receive timer                     _x000D_
03 23 23:19:07 269  1960  1960 I DeltaChat: Interrupting IMAP IDLE   _x000D_
03 23 23:19:07 269  1960  1960 I DeltaChat: Interrupting MVBOX IDLE   _x000D_
03 23 23:19:07 269  1960  1960 I DeltaChat: Interrupting SENTBOX IDLE   _x000D_
03 23 23:19:07 273  1960  1977 I DeltaChat: SENTBOX IDLE will not be started as it was interrupted while not ideling _x000D_
03 23 23:19:07 274  1960  1976 I DeltaChat: MVBOX IDLE will not be started as it was interrupted while not ideling _x000D_
03 23 23:19:07 845  1960  1975 I DeltaChat: IMAP IDLE interrupted _x000D_
03 23 23:19:07 846  1960  1975 I DeltaChat: INBOX IDLE ended _x000D_
03 23 23:19:07 847  1960  1975 I DeltaChat: INBOX jobs started   _x000D_
03 23 23:19:07 848  1960  1975 I DeltaChat: INBOX jobs ended _x000D_
03 23 23:19:07 848  1960  1975 I DeltaChat: INBOX fetch started   _x000D_
03 23 23:19:08 113  1960  1975 I DeltaChat: 0 mails read from  INBOX  _x000D_
03 23 23:19:08 113  1960  1975 I DeltaChat: INBOX fetch done in 2 ms _x000D_
03 23 23:19:08 114  1960  1975 I DeltaChat: INBOX IDLE started   _x000D_
03 23 23:20:12 641  1960  1975 I DeltaChat: IMAP IDLE has data _x000D_
03 23 23:20:12 641  1960  1975 I DeltaChat: INBOX IDLE ended _x000D_
03 23 23:20:12 642  1960  1975 I DeltaChat: INBOX jobs started   _x000D_
03 23 23:20:12 643  1960  1975 I DeltaChat: INBOX jobs ended _x000D_
03 23 23:20:12 643  1960  1975 I DeltaChat: INBOX fetch started   _x000D_
03 23 23:20:13 483  1960  1975 I DeltaChat: 0 mails read from  INBOX  _x000D_
03 23 23:20:13 484  1960  1975 I DeltaChat: INBOX fetch done in 2 ms _x000D_
03 23 23:20:13 486  1960  1975 I DeltaChat: INBOX IDLE started   _x000D_
03 23 23:21:24 144  1960  1960 W PassphraseRequiredActionBarActivity: onCreate(null)_x000D_
03 23 23:21:24 301  1960  1960 W Java7Support: Unable to load JDK7 types (annotations  java nio file Path): no Java7 support added_x000D_
03 23 23:21:24 381  1960  1960 W PassphraseRequiredActionBarActivity: onResume()_x000D_
03 23 23:21:24 395  1960  2829 D OpenGLRenderer: HWUI GL Pipeline_x000D_
03 23 23:21:24 401  1960  1960 D InputTransport: Input channel constructed: fd 58_x000D_
03 23 23:21:24 403  1960  1960 D ViewRootImpl eb01764 RoutingActivity : setView   DecorView 3729dcd RoutingActivity  TM true MM false_x000D_
03 23 23:21:24 408  1960  1960 V InputMethodManager: Not IME target window  ignoring_x000D_
03 23 23:21:24 412  1960  1960 D ViewRootImpl eb01764 RoutingActivity : dispatchAttachedToWindow_x000D_
03 23 23:21:24 436  1960  1960 V Surface : sf framedrop debug : 0x4f4c  game : false  logging : 0_x000D_
03 23 23:21:24 437  1960  1960 D ViewRootImpl eb01764 RoutingActivity : Relayout returned: old  0 0  0 0  new  0 0  720 1280  result 0x7 surface  valid true 3443259392  changed true_x000D_
03 23 23:21:24 440  1960  2829 I OpenGLRenderer: Initialized EGL  version 1 4_x000D_
03 23 23:21:24 440  1960  2829 D OpenGLRenderer: Swap behavior 2_x000D_
03 23 23:21:24 446  1960  2829 D libGLESv1: STS GLApi : DTS  ODTC are not allowed for Package : com b44t messenger_x000D_
03 23 23:21:24 448  1960  2829 D mali winsys: EGLint new window surface(egl winsys display    void    EGLSurface  EGLConfig  egl winsys surface     egl color buffer format    EGLBoolean) returns 0x3000    720x1280  format:1_x000D_
03 23 23:21:24 448  1960  2829 D OpenGLRenderer: eglCreateWindowSurface   0xcd3feb00_x000D_
03 23 23:21:24 547  1960  1960 W StaticLayout: maxLineHeight should not be  1   maxLines:1 lineCount:1_x000D_
03 23 23:21:24 548  1960  1960 I chatty  : uid 10090(u0 a90) com b44t messenger identical 2 lines_x000D_
03 23 23:21:24 551  1960  1960 W StaticLayout: maxLineHeight should not be  1   maxLines:1 lineCount:1_x000D_
03 23 23:21:24 563  1960  2838 W EncryptedGifCacheDecoder: Checking item for encrypted GIF cache decoder:  data user 0 com b44t messenger cache image manager disk cache e8b510717f65192d65970dc9ce6af1fe5a1fdb1208830bd4cba4787d0236f3c9 0_x000D_
03 23 23:21:24 569  1960  2838 W EncryptedBitmapCacheDecoder: Checking item for encrypted Bitmap cache decoder:  data user 0 com b44t messenger cache image manager disk cache e8b510717f65192d65970dc9ce6af1fe5a1fdb1208830bd4cba4787d0236f3c9 0_x000D_
03 23 23:21:24 570  1960  2838 W EncryptedBitmapCacheDecoder: Encrypted Bitmap cache decoder running:  data user 0 com b44t messenger cache image manager disk cache e8b510717f65192d65970dc9ce6af1fe5a1fdb1208830bd4cba4787d0236f3c9 0_x000D_
03 23 23:21:24 577  1960  1960 W StaticLayout: maxLineHeight should not be  1   maxLines:1 lineCount:1_x000D_
03 23 23:21:24 578  1960  1960 W StaticLayout: maxLineHeight should not be  1   maxLines:1 lineCount:1_x000D_
03 23 23:21:24 638  1960  1960 W StaticLayout: maxLineHeight should not be  1   maxLines:1 lineCount:1_x000D_
03 23 23:21:24 638  1960  1960 W StaticLayout: maxLineHeight should not be  1   maxLines:1 lineCount:1_x000D_
03 23 23:21:24 673  1960  2838 W EncryptedGifCacheDecoder: Checking item for encrypted GIF cache decoder:  data user 0 com b44t messenger cache image manager disk cache d7e3ebc197025bbecc1aa84f62c2b09c2e99d68bb79bbde1fd39037fcf3c5f52 0_x000D_
03 23 23:21:24 675  1960  2838 W EncryptedBitmapCacheDecoder: Checking item for encrypted Bitmap cache decoder:  data user 0 com b44t messenger cache image manager disk cache d7e3ebc197025bbecc1aa84f62c2b09c2e99d68bb79bbde1fd39037fcf3c5f52 0_x000D_
03 23 23:21:24 676  1960  2838 W EncryptedBitmapCacheDecoder: Encrypted Bitmap cache decoder running:  data user 0 com b44t messenger cache image manager disk cache d7e3ebc197025bbecc1aa84f62c2b09c2e99d68bb79bbde1fd39037fcf3c5f52 0_x000D_
03 23 23:21:24 692  1960  2838 W EncryptedGifCacheDecoder: Checking item for encrypted GIF cache decoder:  data user 0 com b44t messenger cache image manager disk cache 3718626fced6d2e9452eb551affd02e85751b053cb91384827e76b044bad08d4 0_x000D_
03 23 23:21:24 693  1960  2838 W EncryptedBitmapCacheDecoder: Checking item for encrypted Bitmap cache decoder:  data user 0 com b44t messenger cache image manager disk cache 3718626fced6d2e9452eb551affd02e85751b053cb91384827e76b044bad08d4 0_x000D_
03 23 23:21:24 694  1960  2838 W EncryptedBitmapCacheDecoder: Encrypted Bitmap cache decoder running:  data user 0 com b44t messenger cache image manager disk cache 3718626fced6d2e9452eb551affd02e85751b053cb91384827e76b044bad08d4 0_x000D_
03 23 23:21:24 695  1960  1960 W StaticLayout: maxLineHeight should not be  1   maxLines:1 lineCount:1_x000D_
03 23 23:21:24 695  1960  1960 W StaticLayout: maxLineHeight should not be  1   maxLines:1 lineCount:1_x000D_
03 23 23:21:24 758  1960  1960 D ViewRootImpl eb01764 RoutingActivity : MSG RESIZED REPORT: frame Rect(0  0   720  1280) ci Rect(0  48   0  0) vi Rect(0  48   0  0) or 1_x000D_
03 23 23:21:24 758  1960  1960 D ViewRootImpl eb01764 RoutingActivity : MSG WINDOW FOCUS CHANGED 1_x000D_
03 23 23:21:24 768  1960  1960 V InputMethodManager: Starting input: tba android view inputmethod EditorInfo 1e0fc7e nm : com b44t messenger ic null_x000D_
03 23 23:21:24 768  1960  1960 I InputMethodManager: startInputInner   mService startInputOrWindowGainedFocus_x000D_
03 23 23:21:24 775  1960  1972 D InputTransport: Input channel constructed: fd 69_x000D_
03 23 23:21:24 823  1960  1960 V InputMethodManager: Starting input: tba android view inputmethod EditorInfo 12e15df nm : com b44t messenger ic null_x000D_
03 23 23:21:29 380  1960  1960 D ViewRootImpl eb01764 RoutingActivity : ViewPostIme pointer 0_x000D_
03 23 23:21:29 496  1960  1960 D ViewRootImpl eb01764 RoutingActivity : ViewPostIme pointer 1_x000D_
03 23 23:21:29 521  1960  1960 W PassphraseRequiredActionBarActivity: onPause()_x000D_
03 23 23:21:29 540  1960  1960 W PassphraseRequiredActionBarActivity: onCreate(null)_x000D_
03 23 23:21:29 544  1960  1960 W ConversationActivity: onCreate()_x000D_
03 23 23:21:29 544  1960  1960 I AppCompatDelegate: You should now use the AppCompatDelegate FEATURE SUPPORT ACTION BAR OVERLAY id when requesting this feature _x000D_
03 23 23:21:29 577  1960  1960 W QuickAttachmentDrawer: updateControlsView()_x000D_
03 23 23:21:29 670  1960  1960 W ConversationActivity: handleSecurityChange(false  true)_x000D_
03 23 23:21:29 673  1960  1960 W ConversationActivity: onSecurityUpdated()_x000D_
03 23 23:21:29 699  1960  1960 W ConversationFragment: onLoadFinished   took 9 ms to load a message list of size 2120_x000D_
03 23 23:21:29 705  1960  1960 W PassphraseRequiredActionBarActivity: onResume()_x000D_
03 23 23:21:29 712  1960  2838 W EncryptedGifCacheDecoder: Checking item for encrypted GIF cache decoder:  data user 0 com b44t messenger cache image manager disk cache e9ee7711ba37eddbc78f87151b11b81863901f4ec27dc34d759991915671580f 0_x000D_
03 23 23:21:29 715  1960  2838 W EncryptedBitmapCacheDecoder: Checking item for encrypted Bitmap cache decoder:  data user 0 com b44t messenger cache image manager disk cache e9ee7711ba37eddbc78f87151b11b81863901f4ec27dc34d759991915671580f 0_x000D_
03 23 23:21:29 715  1960  2838 W EncryptedBitmapCacheDecoder: Encrypted Bitmap cache decoder running:  data user 0 com b44t messenger cache image manager disk cache e9ee7711ba37eddbc78f87151b11b81863901f4ec27dc34d759991915671580f 0_x000D_
03 23 23:21:29 720  1960  1960 D InputTransport: Input channel constructed: fd 75_x000D_
03 23 23:21:29 721  1960  1960 D ViewRootImpl 5d48120 ConversationActivity : setView   DecorView 992ead9 ConversationActivity  TM true MM false_x000D_
03 23 23:21:29 721  1960  1960 D ViewRootImpl eb01764 RoutingActivity : MSG WINDOW FOCUS CHANGED 0_x000D_
03 23 23:21:29 725  1960  1960 V InputMethodManager: Not IME target window  ignoring_x000D_
03 23 23:21:29 729  1960  1960 D ViewRootImpl 5d48120 ConversationActivity : dispatchAttachedToWindow_x000D_
03 23 23:21:29 732  1960  1960 W StaticLayout: maxLineHeight should not be  1   maxLines:1 lineCount:1_x000D_
03 23 23:21:29 733  1960  1960 W StaticLayout: maxLineHeight should not be  1   maxLines:1 lineCount:1_x000D_
03 23 23:21:29 733  1960  1960 W KeyboardAwareLinearLayout: rotation changed_x000D_
03 23 23:21:29 733  1960  1960 W KeyboardAwareLinearLayout: onKeyboardClose()_x000D_
03 23 23:21:29 752  1960  1960 V Surface : sf framedrop debug : 0x4f4c  game : false  logging : 0_x000D_
03 23 23:21:29 752  1960  1960 D ViewRootImpl 5d48120 ConversationActivity : Relayout returned: old  0 0  0 0  new  0 0  720 1280  result 0x7 surface  valid true 3443412992  changed true_x000D_
03 23 23:21:29 756  1960  2829 D mali winsys: EGLint new window surface(egl winsys display    void    EGLSurface  EGLConfig  egl winsys surface     egl color buffer format    EGLBoolean) returns 0x3000    720x1280  format:1_x000D_
03 23 23:21:29 756  1960  2829 D OpenGLRenderer: eglCreateWindowSurface   0xcc27d760_x000D_
03 23 23:21:29 757  1960  1960 W StaticLayout: maxLineHeight should not be  1   maxLines:1 lineCount:1_x000D_
03 23 23:21:29 757  1960  1960 W StaticLayout: maxLineHeight should not be  1   maxLines:1 lineCount:1_x000D_
03 23 23:21:29 764  1960  1960 W CameraView: skipping layout due to zero width height preview size_x000D_
03 23 23:21:29 958  1960  1960 W StaticLayout: maxLineHeight should not be  1   maxLines:1 lineCount:1_x000D_
03 23 23:21:30 019  1960  1960 D ViewRootImpl 5d48120 ConversationActivity : MSG RESIZED REPORT: frame Rect(0  0   720  1280) ci Rect(0  48   0  0) vi Rect(0  48   0  0) or 1_x000D_
03 23 23:21:30 020  1960  1960 D ViewRootImpl 5d48120 ConversationActivity : MSG WINDOW FOCUS CHANGED 1_x000D_
03 23 23:21:30 054  1960  1960 V InputMethodManager: Starting input: tba android view inputmethod EditorInfo df22794 nm : com b44t messenger ic android support v13 view inputmethod InputConnectionCompat InputContentInfoCompatApi25Impl 1 8a2223d_x000D_
03 23 23:21:30 055  1960  1960 V InputMethodManager: getMaxLengthForEditText InputFilter   java lang NoSuchMethodException: getMaxLength   _x000D_
03 23 23:21:30 055  1960  1960 I InputMethodManager: startInputInner   mService startInputOrWindowGainedFocus_x000D_
03 23 23:21:30 058  1960  1960 D InputTransport: Input channel constructed: fd 76_x000D_
03 23 23:21:30 058  1960  1960 D InputTransport: Input channel destroyed: fd 69_x000D_
03 23 23:21:30 132  1960  2829 D OpenGLRenderer: eglDestroySurface   0xcd3feb00_x000D_
03 23 23:21:30 132  1960  2829 D OpenGLRenderer: endAllActiveAnimators on 0xcc27ad00 (RippleDrawable) with handle 0xcd3bba20_x000D_
03 23 23:21:30 140  1960  1960 D ViewRootImpl eb01764 RoutingActivity : Relayout returned: old  0 0  720 1280  new  0 0  720 1280  result 0x5 surface  valid false 0  changed true_x000D_
03 23 23:21:30 222  1960  1960 D ViewRootImpl eb01764 RoutingActivity : Relayout returned: old  0 0  720 1280  new  0 0  720 1280  result 0x1 surface  valid false 0  changed false_x000D_
03 23 23:21:30 607  1960  1960 D ViewRootImpl 5d48120 ConversationActivity : ViewPostIme pointer 0_x000D_
03 23 23:21:30 765  1960  1960 D ViewRootImpl 5d48120 ConversationActivity : ViewPostIme pointer 1_x000D_
03 23 23:21:30 770  1960  1960 D InputMethodManager: SSI   flag : 0 Pid : 1960 view : com b44t messenger_x000D_
03 23 23:21:30 776  1960  1960 D InputMethodManager: SSI   flag : 0 Pid : 1960 view : com b44t messenger_x000D_
03 23 23:21:31 007  1960  1960 D ViewRootImpl 5d48120 ConversationActivity : MSG RESIZED: frame Rect(0  0   720  1280) ci Rect(0  48   0  542) vi Rect(0  48   0  542) or 1_x000D_
03 23 23:21:31 012  1960  1960 W StaticLayout: maxLineHeight should not be  1   maxLines:1 lineCount:1_x000D_
03 23 23:21:31 012  1960  1960 W StaticLayout: maxLineHeight should not be  1   maxLines:1 lineCount:1_x000D_
03 23 23:21:31 018  1960  1960 W KeyboardAwareLinearLayout: onKeyboardOpen(542)_x000D_
03 23 23:21:31 028  1960  1960 D ViewRootImpl 5d48120 ConversationActivity : Relayout returned: old  0 0  720 1280  new  0 0  720 1280  result 0x1 surface  valid true 3443412992  changed false_x000D_
03 23 23:21:31 030  1960  1960 W StaticLayout: maxLineHeight should not be  1   maxLines:1 lineCount:1_x000D_
03 23 23:21:31 030  1960  1960 W StaticLayout: maxLineHeight should not be  1   maxLines:1 lineCount:1_x000D_
03 23 23:21:31 039  1960  1960 W CameraView: skipping layout due to zero width height preview size_x000D_
03 23 23:21:32 894  1960  1960 D ViewRootImpl 5d48120 ConversationActivity : ViewPostIme key 1_x000D_
03 23 23:21:34 324  1960  1960 D ViewRootImpl 5d48120 ConversationActivity : ViewPostIme pointer 0_x000D_
03 23 23:21:34 423  1960  1960 D ViewRootImpl 5d48120 ConversationActivity : ViewPostIme pointer 1_x000D_
03 23 23:21:34 440  1960  1960 V InputMethodManager: Starting input: tba android view inputmethod EditorInfo 8b8598c nm : com b44t messenger ic android support v13 view inputmethod InputConnectionCompat InputContentInfoCompatApi25Impl 1 ef8d5_x000D_
03 23 23:21:34 440  1960  1960 V InputMethodManager: getMaxLengthForEditText InputFilter   java lang NoSuchMethodException: getMaxLength   _x000D_
03 23 23:21:34 441  1960  1960 I InputMethodManager: startInputInner   mService startInputOrWindowGainedFocus_x000D_
03 23 23:21:34 443  1960  1960 D InputTransport: Input channel constructed: fd 74_x000D_
03 23 23:21:34 443  1960  1960 D InputTransport: Input channel destroyed: fd 76_x000D_
03 23 23:21:34 495  1960  2826 I DeltaChat: Interrupting SMTP idle   _x000D_
03 23 23:21:34 495  1960  1978 I DeltaChat: SMTP idle ended _x000D_
03 23 23:21:34 496  1960  1978 I DeltaChat: SMTP jobs started   _x000D_
03 23 23:21:34 497  1960  1978 I DeltaChat: SMTP job  1  action 5900 started   _x000D_
03 23 23:21:34 514  1960  1960 W ConversationFragment: onLoadFinished   took 10 ms to load a message list of size 2121_x000D_
03 23 23:21:34 523  1960  1965 I zygote  : Do partial code cache collection  code 15KB  data 30KB_x000D_
03 23 23:21:34 523  1960  1965 I zygote  : After code cache collection  code 15KB  data 30KB_x000D_
03 23 23:21:34 524  1960  1965 I zygote  : Increasing code cache capacity to 128KB_x000D_
03 23 23:21:34 610  1960  2829 I OpenGLRenderer: prepareTree mLayerUpdateQueue is not empty  size   2_x000D_
03 23 23:21:34 610  1960  2829 I OpenGLRenderer: name   SendButton  size (80  80)_x000D_
03 23 23:21:34 610  1960  2829 I OpenGLRenderer: name   HidingLinearLayout  size (188  55)_x000D_
03 23 23:21:35 031  1960  1960 D ViewRootImpl 5d48120 ConversationActivity : The input has been finished in ImeInputStage _x000D_
03 23 23:21:35 164  1960  1960 D ViewRootImpl 5d48120 ConversationActivity : The input has been finished in ImeInputStage _x000D_
03 23 23:21:35 214  1960  1960 D ViewRootImpl 5d48120 ConversationActivity : MSG RESIZED: frame Rect(0  0   720  1280) ci Rect(0  48   0  0) vi Rect(0  48   0  0) or 1_x000D_
03 23 23:21:35 221  1960  1960 W StaticLayout: maxLineHeight should not be  1   maxLines:1 lineCount:1_x000D_
03 23 23:21:35 221  1960  1960 W StaticLayout: maxLineHeight should not be  1   maxLines:1 lineCount:1_x000D_
03 23 23:21:35 238  1960  1960 W KeyboardAwareLinearLayout: onKeyboardClose()_x000D_
03 23 23:21:35 277  1960  1960 D ViewRootImpl 5d48120 ConversationActivity : Relayout returned: old  0 0  720 1280  new  0 0  720 1280  result 0x1 surface  valid true 3443412992  changed false_x000D_
03 23 23:21:35 278  1960  1960 W StaticLayout: maxLineHeight should not be  1   maxLines:1 lineCount:1_x000D_
03 23 23:21:35 278  1960  1960 W StaticLayout: maxLineHeight should not be  1   maxLines:1 lineCount:1_x000D_
03 23 23:21:35 308  1960  1960 W CameraView: skipping layout due to zero width height preview size_x000D_
03 23 23:21:35 513  1960  1978 I DeltaChat: SMTP server 181 225 231 12:25 connected _x000D_
03 23 23:21:36 784  1960  1978 I DeltaChat: Message signed in 1407 174 ms and encrypted in 20 256 ms _x000D_
03 23 23:21:40 628  1960  1978 I DeltaChat: SMTP jobs ended _x000D_
03 23 23:21:40 629  1960  1978 I DeltaChat: SMTP idle started   _x000D_
03 23 23:21:40 647  1960  1960 W ConversationFragment: DC EVENT MSG DELIVERED reveived for msg 11_x000D_
03 23 23:21:40 660  1960  1960 W ConversationFragment: onLoadFinished   took 13 ms to load a message list of size 2121_x000D_
03 23 23:21:42 542  1960  1975 I DeltaChat: IMAP IDLE has data _x000D_
03 23 23:21:42 542  1960  1975 I DeltaChat: INBOX IDLE ended _x000D_
03 23 23:21:42 543  1960  1975 I DeltaChat: INBOX jobs started   _x000D_
03 23 23:21:42 544  1960  1975 I DeltaChat: INBOX jobs ended _x000D_
03 23 23:21:42 544  1960  1975 I DeltaChat: INBOX fetch started   _x000D_
03 23 23:21:42 851  1960  1975 I DeltaChat:  move  detected bbc self Mr TG09xe9 Rlg jj2X9pu JNL nauta cu_x000D_
03 23 23:21:42 877  1960  1975 I DeltaChat: Interrupting IMAP IDLE   _x000D_
03 23 23:21:42 878  1960  1975 I DeltaChat: Skipping message Mr TG09xe9 Rlg jj2X9pu JNL nauta cu from  INBOX  by precheck _x000D_
03 23 23:21:42 891  1960  1975 I DeltaChat: 1 mails read from  INBOX  _x000D_
03 23 23:21:43 780  1960  1975 I DeltaChat: 0 mails read from  INBOX  _x000D_
03 23 23:21:43 781  1960  1975 I DeltaChat: INBOX fetch done in 125 ms _x000D_
03 23 23:21:43 782  1960  1975 I DeltaChat: INBOX IDLE will not be started because of waiting jobs _x000D_
03 23 23:21:43 782  1960  1975 I DeltaChat: INBOX jobs started   _x000D_
03 23 23:21:43 783  1960  1975 I DeltaChat: INBOX job  1  action 130 started   _x000D_
03 23 23:21:43 783  1960  1975 I DeltaChat: Marking message INBOX 12120 as seen   _x000D_
03 23 23:21:44 599  1960  1975 I DeltaChat: INBOX jobs ended _x000D_
03 23 23:21:44 600  1960  1975 I DeltaChat: INBOX fetch started   _x000D_
03 23 23:21:44 913  1960  1975 I DeltaChat: 0 mails read from  INBOX  _x000D_
03 23 23:21:44 913  1960  1975 I DeltaChat: INBOX fetch done in 16 ms _x000D_
03 23 23:21:44 915  1960  1975 I DeltaChat: INBOX IDLE started   _x000D_
03 23 23:21:45 151  1960  1975 I DeltaChat: IMAP IDLE interrupted _x000D_
03 23 23:21:45 152  1960  1975 I DeltaChat: INBOX IDLE ended _x000D_
03 23 23:21:45 153  1960  1975 I DeltaChat: INBOX jobs started   _x000D_
03 23 23:21:45 154  1960  1975 I DeltaChat: INBOX jobs ended _x000D_
03 23 23:21:45 155  1960  1975 I DeltaChat: INBOX fetch started   _x000D_
03 23 23:21:45 848  1960  1975 I DeltaChat: 0 mails read from  INBOX  _x000D_
03 23 23:21:45 848  1960  1975 I DeltaChat: INBOX fetch done in 77 ms _x000D_
03 23 23:21:45 850  1960  1975 I DeltaChat: INBOX IDLE started   _x000D_
03 23 23:22:06 176  1960  1960 D ViewRootImpl 5d48120 ConversationActivity : ViewPostIme pointer 0_x000D_
03 23 23:22:07 673  1960  1960 D ViewRootImpl 5d48120 ConversationActivity : ViewPostIme pointer 1_x000D_
03 23 23:22:08 864  1960  1960 D ViewRootImpl 5d48120 ConversationActivity : ViewPostIme pointer 0_x000D_
03 23 23:22:09 108  1960  1960 D ViewRootImpl 5d48120 ConversationActivity : ViewPostIme pointer 1_x000D_
03 23 23:22:14 536  1960  1975 I DeltaChat: IMAP IDLE has data _x000D_
03 23 23:22:14 536  19</t>
  </si>
  <si>
    <t>mgks-Android-SmartWebView-82</t>
  </si>
  <si>
    <t>Crashing on App Start</t>
  </si>
  <si>
    <t xml:space="preserve">  Crashing on App Start  _x000D_
Every time i start the App it crashes  this never happened to me before  Can the reason be that i update Android Studio _x000D_
_x000D_
  Crash Log   Building and Installing the App  _x000D_
_x000D_
    2019 03 24 01:03:44 595 12795 12810   E MemoryLeakMonitorManager:             MemoryLeakMonitor jar is not exist _x000D_
    2019 03 24 01:03:44 595 12795 12795   E Minikin: Could not get cmap table size _x000D_
    2019 03 24 01:03:44 714 12795 12819   E vndksupport: Could not load     vendor lib64 egl libGLES mali v2 so from sphal namespace: dlopen failed: library  vendor lib64 egl libGLES mali v2 so  not found _x000D_
_x000D_
  Crash Log   Starting the App  _x000D_
_x000D_
              beginning of crash_x000D_
    2019 03 24 01:03:50 093 12795 12795   E AndroidRuntime: FATAL EXCEPTION: main_x000D_
    Process: mgks os webview  PID: 12795_x000D_
    java lang RuntimeException: Unable to start activity ComponentInfo mgks os webview mgks os webview MainActivity : java lang NullPointerException: Attempt to invoke virtual method  android view ViewTreeObserver android webkit WebView getViewTreeObserver()  on a null object reference_x000D_
        at android app ActivityThread performLaunchActivity(ActivityThread java:3297)_x000D_
        at android app ActivityThread handleLaunchActivity(ActivityThread java:3405)_x000D_
        at android app ActivityThread  wrap12(Unknown Source:0)_x000D_
        at android app ActivityThread H handleMessage(ActivityThread java:1994)_x000D_
        at android os Handler dispatchMessage(Handler java:108)_x000D_
        at android os Looper loop(Looper java:166)_x000D_
        at android app ActivityThread main(ActivityThread java:7523)_x000D_
        at java lang reflect Method invoke(Native Method)_x000D_
        at com android internal os Zygote MethodAndArgsCaller run(Zygote java:245)_x000D_
        at com android internal os ZygoteInit main(ZygoteInit java:921)_x000D_
     Caused by: java lang NullPointerException: Attempt to invoke virtual method  android view ViewTreeObserver android webkit WebView getViewTreeObserver()  on a null object reference_x000D_
        at mgks os webview MainActivity onCreate(MainActivity java:184)_x000D_
        at android app Activity performCreate(Activity java:7383)_x000D_
        at android app Instrumentation callActivityOnCreate(Instrumentation java:1218)_x000D_
        at android app ActivityThread performLaunchActivity(ActivityThread java:3250)_x000D_
        at android app ActivityThread handleLaunchActivity(ActivityThread java:3405) _x000D_
        at android app ActivityThread  wrap12(Unknown Source:0) _x000D_
        at android app ActivityThread H handleMessage(ActivityThread java:1994) _x000D_
        at android os Handler dispatchMessage(Handler java:108) _x000D_
        at android os Looper loop(Looper java:166) _x000D_
        at android app ActivityThread main(ActivityThread java:7523) _x000D_
        at java lang reflect Method invoke(Native Method) _x000D_
        at com android internal os Zygote MethodAndArgsCaller run(Zygote java:245) _x000D_
        at com android internal os ZygoteInit main(ZygoteInit java:921) _x000D_
    2019 03 24 01:03:50 125 12795 12795   I Process: Sending signal  PID: 12795 SIG: 9_x000D_
</t>
  </si>
  <si>
    <t>commons-app-apps-android-commons-2720</t>
  </si>
  <si>
    <t>RuntimeException while uploading image if the license if invalid</t>
  </si>
  <si>
    <t xml:space="preserve">  Summary:   _x000D_
While uploading a media  if the license is somehow invalid we throw a RuntimeException and as it is not handled  the app crashes_x000D_
_x000D_
  Steps to reproduce:   _x000D_
_x000D_
How can we reproduce the issue  _x000D_
Provide invalid license while uploading image _x000D_
_x000D_
  System logs:  _x000D_
_x000D_
   _x000D_
java lang RuntimeException: Unable to resume activity  fr free nrw commons fr free nrw commons upload UploadActivity : java lang RuntimeException: Unrecognized license value: CC BY SA_x000D_
at android app ActivityThread performResumeActivity(ActivityThread java:3421)_x000D_
at android app ActivityThread handleResumeActivity(ActivityThread java:3461)_x000D_
at android app ActivityThread handleLaunchActivity(ActivityThread java:2730)_x000D_
at android app ActivityThread  wrap12(ActivityThread java)_x000D_
at android app ActivityThread H handleMessage(ActivityThread java:1473)_x000D_
at android os Handler dispatchMessage(Handler java:102)_x000D_
at android os Looper loop(Looper java:154)_x000D_
at android app ActivityThread main(ActivityThread java:6123)_x000D_
at java lang reflect Method invoke(Native Method)_x000D_
at com android internal os ZygoteInit MethodAndArgsCaller run(ZygoteInit java:867)_x000D_
at com android internal os ZygoteInit main(ZygoteInit java:757)_x000D_
Caused by: java lang RuntimeException: Unrecognized license value: CC BY SA_x000D_
at fr free nrw commons Utils licenseUrlFor(Utils java:135)_x000D_
at fr free nrw commons upload UploadActivity updateLicenseSummary(UploadActivity java:275)_x000D_
at fr free nrw commons upload UploadPresenter updateLicenses(UploadPresenter java:335)_x000D_
at fr free nrw commons upload UploadPresenter addView(UploadPresenter java:312)_x000D_
at fr free nrw commons upload UploadActivity lambda checkStoragePermissions 2 UploadActivity(UploadActivity java:204)_x000D_
at fr free nrw commons upload UploadActivity  Lambda 4 run(Unknown Source)_x000D_
at fr free nrw commons utils PermissionUtils 1 onPermissionGranted(PermissionUtils java:77)_x000D_
at com karumi dexter MultiplePermissionsListenerToPermissionListenerAdapter onPermissionsChecked(Unknown Source)_x000D_
at com karumi dexter DexterInstance 1 run(Unknown Source)_x000D_
at com karumi dexter MainThread execute(Unknown Source)_x000D_
at com karumi dexter DexterInstance checkMultiplePermissions(Unknown Source)_x000D_
at com karumi dexter DexterInstance checkPermissions(Unknown Source)_x000D_
at com karumi dexter Dexter check(Unknown Source)_x000D_
at fr free nrw commons utils PermissionUtils checkPermissionsAndPerformAction(PermissionUtils java:103)_x000D_
at fr free nrw commons upload UploadActivity checkStoragePermissions(UploadActivity java:202)_x000D_
at fr free nrw commons upload UploadActivity onResume(UploadActivity java:190)_x000D_
at android app Instrumentation callActivityOnResume(Instrumentation java:1291)_x000D_
at android app Activity performResume(Activity java:6776)_x000D_
at android app ActivityThread performResumeActivity(ActivityThread java:3398)_x000D_
    10 more_x000D_
java lang RuntimeException: Unrecognized license value: CC BY SA_x000D_
at fr free nrw commons Utils licenseUrlFor(Utils java:135)_x000D_
at fr free nrw commons upload UploadActivity updateLicenseSummary(UploadActivity java:275)_x000D_
at fr free nrw commons upload UploadPresenter updateLicenses(UploadPresenter java:335)_x000D_
at fr free nrw commons upload UploadPresenter addView(UploadPresenter java:312)_x000D_
at fr free nrw commons upload UploadActivity lambda checkStoragePermissions 2 UploadActivity(UploadActivity java:204)_x000D_
at fr free nrw commons upload UploadActivity  Lambda 4 run(Unknown Source)_x000D_
at fr free nrw commons utils PermissionUtils 1 onPermissionGranted(PermissionUtils java:77)_x000D_
at com karumi dexter MultiplePermissionsListenerToPermissionListenerAdapter onPermissionsChecked(Unknown Source)_x000D_
at com karumi dexter DexterInstance 1 run(Unknown Source)_x000D_
at com karumi dexter MainThread execute(Unknown Source)_x000D_
at com karumi dexter DexterInstance checkMultiplePermissions(Unknown Source)_x000D_
at com karumi dexter DexterInstance checkPermissions(Unknown Source)_x000D_
at com karumi dexter Dexter check(Unknown Source)_x000D_
at fr free nrw commons utils PermissionUtils checkPermissionsAndPerformAction(PermissionUtils java:103)_x000D_
at fr free nrw commons upload UploadActivity checkStoragePermissions(UploadActivity java:202)_x000D_
at fr free nrw commons upload UploadActivity onResume(UploadActivity java:190)_x000D_
at android app Instrumentation callActivityOnResume(Instrumentation java:1291)_x000D_
at android app Activity performResume(Activity java:6776)_x000D_
at android app ActivityThread performResumeActivity(ActivityThread java:3398)_x000D_
at android app ActivityThread handleResumeActivity(ActivityThread java:3461)_x000D_
at android app ActivityThread handleLaunchActivity(ActivityThread java:2730)_x000D_
at android app ActivityThread  wrap12(ActivityThread java)_x000D_
at android app ActivityThread H handleMessage(ActivityThread java:1473)_x000D_
at android os Handler dispatchMessage(Handler java:102)_x000D_
at android os Looper loop(Looper java:154)_x000D_
at android app ActivityThread main(ActivityThread java:6123)_x000D_
at java lang reflect Method invoke(Native Method)_x000D_
at com android internal os ZygoteInit MethodAndArgsCaller run(ZygoteInit java:867)_x000D_
at com android internal os ZygoteInit main(ZygoteInit java:757)_x000D_
   _x000D_
_x000D_
  Device and Android version:   _x000D_
_x000D_
WUSER COMMENT _x000D_
ANDROID VERSION 7 0_x000D_
BRAND motorola_x000D_
PHONE MODEL Moto G (4)_x000D_
  Commons app version:   _x000D_
APP VERSION NAME 2 10 2_x000D_
_x000D_
  Would you like to work on the issue   _x000D_
Yes_x000D_
_x000D_
</t>
  </si>
  <si>
    <t>commons-app-apps-android-commons-2718</t>
  </si>
  <si>
    <t>Crashes while setting null auth cookies</t>
  </si>
  <si>
    <t xml:space="preserve">  Summary:   _x000D_
App crashes while setting null auth cookies in CustomMwApi_x000D_
  System logs:  _x000D_
_x000D_
   _x000D_
STACK TRACE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_x000D_
at java util concurrent ThreadPoolExecutor runWorker(ThreadPoolExecutor java:1162)_x000D_
at java util concurrent ThreadPoolExecutor Worker run(ThreadPoolExecutor java:636)_x000D_
at java lang Thread run(Thread java:764)_x000D_
Caused by: java lang NullPointerException: Attempt to invoke virtual method  java lang String   java lang String split(java lang String)  on a null object reference_x000D_
at fr free nrw commons mwapi CustomMwApi setAuthCookie(CustomMwApi java:74)_x000D_
at fr free nrw commons mwapi ApacheHttpClientMediaWikiApi setAuthCookie(ApacheHttpClientMediaWikiApi java:199)_x000D_
at fr free nrw commons delete DeleteTask doInBackground(DeleteTask java:74)_x000D_
at fr free nrw commons delete DeleteTask doInBackground(DeleteTask java:28)_x000D_
at android os AsyncTask 2 call(AsyncTask java:333)_x000D_
at java util concurrent FutureTask run(FutureTask java:266)_x000D_
    4 more_x000D_
java lang NullPointerException: Attempt to invoke virtual method  java lang String   java lang String split(java lang String)  on a null object reference_x000D_
at fr free nrw commons mwapi CustomMwApi setAuthCookie(CustomMwApi java:74)_x000D_
at fr free nrw commons mwapi ApacheHttpClientMediaWikiApi setAuthCookie(ApacheHttpClientMediaWikiApi java:199)_x000D_
at fr free nrw commons delete DeleteTask doInBackground(DeleteTask java:74)_x000D_
at fr free nrw commons delete DeleteTask doInBackground(DeleteTask java:28)_x000D_
at android os AsyncTask 2 call(AsyncTask java:333)_x000D_
at java util concurrent FutureTask run(FutureTask java:266)_x000D_
at android os AsyncTask SerialExecutor 1 run(AsyncTask java:245)_x000D_
_x000D_
at java util concurrent ThreadPoolExecutor runWorker(ThreadPoolExecutor java:1162)_x000D_
at java util concurrent ThreadPoolExecutor Worker run(ThreadPoolExecutor java:636)_x000D_
at java lang Thread run(Thread java:764)_x000D_
_x000D_
   _x000D_
_x000D_
  Device and Android version:   _x000D_
_x000D_
What make and model device (e g   Samsung J7) did you encounter this on _x000D_
ANDROID VERSION 8 1 0_x000D_
APP VERSION NAME 2 10 2_x000D_
BRAND vivo_x000D_
PHONE MODEL vivo 1718_x000D_
 _x000D_
  Commons app version:   _x000D_
APP VERSION NAME 2 10 2_x000D_
_x000D_
  Would you like to work on the issue   _x000D_
Yes_x000D_
</t>
  </si>
  <si>
    <t>commons-app-apps-android-commons-2711</t>
  </si>
  <si>
    <t>App crashes while searching images</t>
  </si>
  <si>
    <t xml:space="preserve">  Summary:   _x000D_
Because of null query(MwQueryResult) or null mwQueryResponse  the app crashes when accessing member variables of these references _x000D_
_x000D_
  System logs:  _x000D_
_x000D_
   _x000D_
STACK TRACE java lang NullPointerException_x000D_
at fr free nrw commons mwapi OkHttpJsonApiClient lambda searchImages 5 OkHttpJsonApiClient(OkHttpJsonApiClient java:245)_x000D_
at fr free nrw commons mwapi OkHttpJsonApiClient  Lambda 5 call(Unknown Source)_x000D_
at io reactivex internal operators single SingleFromCallable subscribeActual(SingleFromCallable java:44)_x000D_
at io reactivex Single subscribe(Single java:3394)_x000D_
at io reactivex internal operators single SingleSubscribeOn SubscribeOnObserver run(SingleSubscribeOn java:89)_x000D_
at io reactivex Scheduler DisposeTask run(Scheduler java:579)_x000D_
at io reactivex internal schedulers ScheduledRunnable run(ScheduledRunnable java:66)_x000D_
at io reactivex internal schedulers ScheduledRunnable call(ScheduledRunnable java:57)_x000D_
at java util concurrent FutureTask Sync innerRun(FutureTask java:305)_x000D_
at java util concurrent FutureTask run(FutureTask java:137)_x000D_
at java util concurrent ScheduledThreadPoolExecutor ScheduledFutureTask access 201(ScheduledThreadPoolExecutor java:150)_x000D_
at java util concurrent ScheduledThreadPoolExecutor ScheduledFutureTask run(ScheduledThreadPoolExecutor java:264)_x000D_
at java util concurrent ThreadPoolExecutor runWorker(ThreadPoolExecutor java:1076)_x000D_
at java util concurrent ThreadPoolExecutor Worker run(ThreadPoolExecutor java:569)_x000D_
at java lang Thread run(Thread java:856)_x000D_
   _x000D_
_x000D_
  Device and Android version:   _x000D_
_x000D_
What make and model device (e g   Samsung J7) did you encounter this on _x000D_
ANDROID VERSION 4 1 2_x000D_
APP VERSION NAME 2 10 2_x000D_
BRAND samsung_x000D_
PHONE MODEL SPH D710_x000D_
CUSTOM DATA _x000D_
  Commons app version:   _x000D_
2 10 2_x000D_
_x000D_
  Would you like to work on the issue   _x000D_
Yes_x000D_
_x000D_
</t>
  </si>
  <si>
    <t>square-okhttp-4761</t>
  </si>
  <si>
    <t>Regression in Exchange in 3.14</t>
  </si>
  <si>
    <t xml:space="preserve">Hey  folks   I think I m running into something that appears to be a regression in 3 14 around the new exchange mechanism  I can reproduce this 100  of the time in my app by creating a specific scenario _x000D_
_x000D_
Here s the basic setup  We have an interceptor that does a lot of things for us  including setting headers and handling retries for auth errors  Here s a simplified version of the code  eliding a lot of details around how the retries are triggered:_x000D_
_x000D_
   _x000D_
 Override_x000D_
public Response intercept(Chain chain) throws IOException  _x000D_
  Request originalRequest   chain request() _x000D_
  Request Builder builder   originalRequest newBuilder() _x000D_
     Add headers etc here _x000D_
  Request request   builder build() _x000D_
  Response response   chain proceed(request) _x000D_
_x000D_
  if (isError(response))  _x000D_
       Grab a new auth token  etc _x000D_
    response   chain proceed(retry) _x000D_
    return response _x000D_
   _x000D_
 _x000D_
   _x000D_
_x000D_
In 3 13 1  this seems to work just fine  In 3 14 0  this crashes with the following error:_x000D_
_x000D_
   _x000D_
03 22 11:52:21 889 E AndroidRuntime(10135): java lang IllegalStateException: exchange    null_x000D_
03 22 11:52:21 889 E AndroidRuntime(10135): 	at okhttp3 internal connection Transmitter newExchange(Transmitter java:159)_x000D_
03 22 11:52:21 889 E AndroidRuntime(10135): 	at okhttp3 internal connection ConnectInterceptor intercept(ConnectInterceptor java:41)_x000D_
   _x000D_
   _x000D_
_x000D_
It doesn t seem to matter if you mutate the request or not  Even just using (as above) a newly built version of the request produces the same behavior _x000D_
_x000D_
Any ideas what s happening here  I m going to revert our library back to 3 13 for now to work around this  but I m curious what could be causing this </t>
  </si>
  <si>
    <t>aws-amplify-aws-sdk-android-810</t>
  </si>
  <si>
    <t>aws-android-sdk-cognitoauth: CustomTabs crash when using a provider with client Certificate</t>
  </si>
  <si>
    <t xml:space="preserve">  Describe the bug  _x000D_
We use an SAML ADFS identity provider that requires an authentication via client certificate _x000D_
When chromes open a popup to choose the certificate  we click on  Authorize  _x000D_
The  callback AuthHandler is never called _x000D_
_x000D_
  To Reproduce  _x000D_
A code sample or steps:_x000D_
   _x000D_
  Set up a cognito user pool_x000D_
  Set up an identity which require a client certificate_x000D_
   Build Setup Launch the AWSCognitoAuthDemo android application_x000D_
  Click on Sign In_x000D_
  Choose the certificate click on authorize_x000D_
   _x000D_
_x000D_
  Which AWS service(s) are affected   _x000D_
Cognito User Pool_x000D_
  Expected behavior  _x000D_
The user should be authenticated_x000D_
_x000D_
  Screenshots  _x000D_
https:  youtu be 7wfjejfSPt4_x000D_
_x000D_
  Environment Information (please complete the following information):  _x000D_
  Reproduced on Emulators Android 8  5_x000D_
  Reproduced on Galaxy Tabs_x000D_
_x000D_
   Additional Info   _x000D_
Logcat_x000D_
 03 22 13:26:57 380 7415 7461 com android chrome W cr ChildProcessConn: onServiceDisconnected (crash or killed by oom): pid 7550 _x000D_
_x000D_
</t>
  </si>
  <si>
    <t>kiwi-bop-flutter_crashlytics-71</t>
  </si>
  <si>
    <t>v0.3.0 causing crash on Android</t>
  </si>
  <si>
    <t xml:space="preserve">The crash only happens when you run the app in Release Mode  A user has reported this log https:  del dog zataziliwi but I am not 100  sure if it s related to this package  I ve also tried running   flutter run   release   verbose   and I don t see any issue related to crashlytics_x000D_
_x000D_
   Flutter Doctor_x000D_
_x000D_
     Flutter (Channel master  v1 3 14 pre 7  on Mac OS X 10 14 3 18D109  locale en US)_x000D_
      Flutter version 1 3 14 pre 7 at  Users nemory Development flutter_x000D_
      Framework revision ee3e621f02 (3 days ago)  2019 03 18 21:40:21  0700_x000D_
      Engine revision 5088735e5f_x000D_
      Dart version 2 2 1 (build 2 2 1 dev 1 0 None)_x000D_
_x000D_
    Android toolchain   develop for Android devices (Android SDK version 28 0 3)_x000D_
      Android SDK at  Users nemory Library Android sdk_x000D_
      Android NDK location not configured (optional  useful for native profiling support)_x000D_
      Platform android 28  build tools 28 0 3_x000D_
      Java binary at:  Applications Android Studio app Contents jre jdk Contents Home bin java_x000D_
      Java version OpenJDK Runtime Environment (build 1 8 0 152 release 1248 b01)_x000D_
      All Android licenses accepted _x000D_
_x000D_
    iOS toolchain   develop for iOS devices (Xcode 10 1)_x000D_
      Xcode at  Applications Xcode app Contents Developer_x000D_
      Xcode 10 1  Build version 10B61_x000D_
      ios deploy 1 9 4_x000D_
      CocoaPods version 1 6 1_x000D_
_x000D_
    Android Studio (version 3 3)_x000D_
      Android Studio at  Applications Android Studio app Contents_x000D_
      Flutter plugin version 32 0 1_x000D_
      Dart plugin version 182 5124_x000D_
      Java version OpenJDK Runtime Environment (build 1 8 0 152 release 1248 b01)_x000D_
_x000D_
    VS Code (version 1 32 3)_x000D_
      VS Code at  Applications Visual Studio Code app Contents_x000D_
      Flutter extension version 2 24 0_x000D_
_x000D_
    Connected device (1 available)_x000D_
      BBF100 2   5000013362   android arm64   Android 8 1 0 (API 27)_x000D_
_x000D_
  No issues found  </t>
  </si>
  <si>
    <t>commons-app-apps-android-commons-2696</t>
  </si>
  <si>
    <t>Crash on uplod failure</t>
  </si>
  <si>
    <t xml:space="preserve">  Summary:   _x000D_
I can consistently reproduce a crash on current master by making the upload fail intentionally  You can disconnect yourself during the upload to reproduce  upload will fail as expected and app crashes (this one is unexpected)  Here are whole logs I could collect on verbose mode _x000D_
_x000D_
Tested on API 26 emulator with current master _x000D_
   _x000D_
     xml version  1 0  encoding  UTF 8    api batchcomplete     query  normalized  n from  t jpg  to  T jpg     normalized  pages  page  idx   1  ns  0  title  T jpg  missing       pages   query   api _x000D_
2019 03 21 12:48:38 432 20467 20601 fr free nrw commons beta V NetworkInterceptors:                START OF REQUEST LOGGING   w api php prop imageinfo format xml action query iiprop url titles t jpg iiurlwidth 640 format xml              _x000D_
2019 03 21 12:48:38 432 20467 20601 fr free nrw commons beta V NetworkInterceptors: Request line:_x000D_
     GET  w api php prop imageinfo format xml action query iiprop url titles t jpg iiurlwidth 640 format xml HTTP 1 1_x000D_
2019 03 21 12:48:38 432 20467 20601 fr free nrw commons beta V NetworkInterceptors:                REQUEST PARAMS             _x000D_
2019 03 21 12:48:38 433 20467 20601 fr free nrw commons beta V NetworkInterceptors:                REQUEST PARAMS             _x000D_
2019 03 21 12:48:38 433 20467 20601 fr free nrw commons beta V NetworkInterceptors:                HEADERS             _x000D_
2019 03 21 12:48:38 433 20467 20601 fr free nrw commons beta V NetworkInterceptors: Header    Host: commons wikimedia beta wmflabs org_x000D_
2019 03 21 12:48:38 433 20467 20601 fr free nrw commons beta V NetworkInterceptors: Header    Connection: Keep Alive_x000D_
2019 03 21 12:48:38 433 20467 20601 fr free nrw commons beta V NetworkInterceptors: Header    User Agent: Commons 2 10 1 debug master 8cd87ad14 (https:  mediawiki org wiki Apps Commons) Android 8 0 0_x000D_
2019 03 21 12:48:38 434 20467 20601 fr free nrw commons beta V NetworkInterceptors: Header    Cookie: WMF Last Access 21 Mar 2019  WMF Last Access Global 21 Mar 2019  GeoIP TR:06:Ankara:39 91:32 84:v4  commonswikiSession ed772s8lsha0amt4ldo4crd2umevgnbv  commonswikiUserID 1694  commonswikiUserName Neslihan Test  centralauth User Neslihan Test  centralauth Token 3e9640fadabac6a356f65a62f989a103  centralauth Session 4e49ed09ffff1e7626f066baf9cacbf6  loginnotify prevlogins 2019 1fok289 sszbcgr3m09htbifi12fmr8hpow63eu_x000D_
2019 03 21 12:48:38 434 20467 20601 fr free nrw commons beta V NetworkInterceptors: Header    Cookie2:  Version 1_x000D_
2019 03 21 12:48:38 434 20467 20601 fr free nrw commons beta V NetworkInterceptors:                HEADERS             _x000D_
2019 03 21 12:48:38 434 20467 20601 fr free nrw commons beta V NetworkInterceptors: Protocol version:_x000D_
     HTTP 1 1_x000D_
2019 03 21 12:48:38 435 20467 20601 fr free nrw commons beta V NetworkInterceptors:                END OF REQUEST LOGGING   w api php prop imageinfo format xml action query iiprop url titles t jpg iiurlwidth 640 format xml              _x000D_
2019 03 21 12:48:38 504 20467 20467 fr free nrw commons beta D NearbyNotificationCardView: Update nearby card notification content_x000D_
2019 03 21 12:48:38 529 20467 20472 fr free nrw commons beta I zygote: Do partial code cache collection  code 992KB  data 579KB_x000D_
2019 03 21 12:48:38 529 20467 20472 fr free nrw commons beta I zygote: After code cache collection  code 992KB  data 579KB_x000D_
2019 03 21 12:48:38 529 20467 20472 fr free nrw commons beta I zygote: Increasing code cache capacity to 3MB_x000D_
2019 03 21 12:48:38 662 20467 20601 fr free nrw commons beta D CustomApiResult: API response for method https:  commons wikimedia beta wmflabs org w api php is_x000D_
       xml version  1 0  encoding  UTF 8    api batchcomplete     query  normalized  n from  t jpg  to  T jpg     normalized  pages  page  idx   1  ns  0  title  T jpg  missing       pages   query   api _x000D_
2019 03 21 12:48:38 684 20467 20601 fr free nrw commons beta V NetworkInterceptors:                START OF REQUEST LOGGING   w api php prop imageinfo format xml action query iiprop url titles t jpg iiurlwidth 640 format xml              _x000D_
2019 03 21 12:48:38 685 20467 20601 fr free nrw commons beta V NetworkInterceptors: Request line:_x000D_
     GET  w api php prop imageinfo format xml action query iiprop url titles t jpg iiurlwidth 640 format xml HTTP 1 1_x000D_
2019 03 21 12:48:38 685 20467 20601 fr free nrw commons beta V NetworkInterceptors:                REQUEST PARAMS             _x000D_
2019 03 21 12:48:38 685 20467 20601 fr free nrw commons beta V NetworkInterceptors:                REQUEST PARAMS             _x000D_
2019 03 21 12:48:38 685 20467 20601 fr free nrw commons beta V NetworkInterceptors:                HEADERS             _x000D_
2019 03 21 12:48:38 685 20467 20601 fr free nrw commons beta V NetworkInterceptors: Header    Host: commons wikimedia beta wmflabs org_x000D_
2019 03 21 12:48:38 686 20467 20601 fr free nrw commons beta V NetworkInterceptors: Header    Connection: Keep Alive_x000D_
2019 03 21 12:48:38 686 20467 20601 fr free nrw commons beta V NetworkInterceptors: Header    User Agent: Commons 2 10 1 debug master 8cd87ad14 (https:  mediawiki org wiki Apps Commons) Android 8 0 0_x000D_
2019 03 21 12:48:38 686 20467 20601 fr free nrw commons beta V NetworkInterceptors: Header    Cookie: WMF Last Access 21 Mar 2019  WMF Last Access Global 21 Mar 2019  GeoIP TR:06:Ankara:39 91:32 84:v4  commonswikiSession ed772s8lsha0amt4ldo4crd2umevgnbv  commonswikiUserID 1694  commonswikiUserName Neslihan Test  centralauth User Neslihan Test  centralauth Token 3e9640fadabac6a356f65a62f989a103  centralauth Session 4e49ed09ffff1e7626f066baf9cacbf6  loginnotify prevlogins 2019 1fok289 sszbcgr3m09htbifi12fmr8hpow63eu_x000D_
2019 03 21 12:48:38 686 20467 20601 fr free nrw commons beta V NetworkInterceptors: Header    Cookie2:  Version 1_x000D_
2019 03 21 12:48:38 686 20467 20601 fr free nrw commons beta V NetworkInterceptors:                HEADERS             _x000D_
2019 03 21 12:48:38 687 20467 20601 fr free nrw commons beta V NetworkInterceptors: Protocol version:_x000D_
     HTTP 1 1_x000D_
2019 03 21 12:48:38 687 20467 20601 fr free nrw commons beta V NetworkInterceptors:                END OF REQUEST LOGGING   w api php prop imageinfo format xml action query iiprop url titles t jpg iiurlwidth 640 format xml              _x000D_
    _x000D_
              beginning of system_x000D_
2019 03 21 12:48:38 788 1680 1680 system process W WindowManager: removeWindowToken: Attempted to remove non existing token: android os Binder 7efa9c1_x000D_
2019 03 21 12:48:38 920 20467 20601 fr free nrw commons beta D CustomApiResult: API response for method https:  commons wikimedia beta wmflabs org w api php is_x000D_
       xml version  1 0  encoding  UTF 8    api batchcomplete     query  normalized  n from  t jpg  to  T jpg     normalized  pages  page  idx   1  ns  0  title  T jpg  missing       pages   query   api _x000D_
2019 03 21 12:48:38 942 20467 20601 fr free nrw commons beta V NetworkInterceptors:                START OF REQUEST LOGGING   w api php prop imageinfo format xml action query iiprop url titles t jpg iiurlwidth 640 format xml              _x000D_
2019 03 21 12:48:38 942 20467 20601 fr free nrw commons beta V NetworkInterceptors: Request line:_x000D_
     GET  w api php prop imageinfo format xml action query iiprop url titles t jpg iiurlwidth 640 format xml HTTP 1 1_x000D_
2019 03 21 12:48:38 942 20467 20601 fr free nrw commons beta V NetworkInterceptors:                REQUEST PARAMS             _x000D_
2019 03 21 12:48:38 942 20467 20601 fr free nrw commons beta V NetworkInterceptors:                REQUEST PARAMS             _x000D_
2019 03 21 12:48:38 943 20467 20601 fr free nrw commons beta V NetworkInterceptors:                HEADERS             _x000D_
2019 03 21 12:48:38 943 20467 20601 fr free nrw commons beta V NetworkInterceptors: Header    Host: commons wikimedia beta wmflabs org_x000D_
2019 03 21 12:48:38 943 20467 20601 fr free nrw commons beta V NetworkInterceptors: Header    Connection: Keep Alive_x000D_
2019 03 21 12:48:38 943 20467 20601 fr free nrw commons beta V NetworkInterceptors: Header    User Agent: Commons 2 10 1 debug master 8cd87ad14 (https:  mediawiki org wiki Apps Commons) Android 8 0 0_x000D_
2019 03 21 12:48:38 944 20467 20601 fr free nrw commons beta V NetworkInterceptors: Header    Cookie: WMF Last Access 21 Mar 2019  WMF Last Access Global 21 Mar 2019  GeoIP TR:06:Ankara:39 91:32 84:v4  commonswikiSession ed772s8lsha0amt4ldo4crd2umevgnbv  commonswikiUserID 1694  commonswikiUserName Neslihan Test  centralauth User Neslihan Test  centralauth Token 3e9640fadabac6a356f65a62f989a103  centralauth Session 4e49ed09ffff1e7626f066baf9cacbf6  loginnotify prevlogins 2019 1fok289 sszbcgr3m09htbifi12fmr8hpow63eu_x000D_
2019 03 21 12:48:38 944 20467 20601 fr free nrw commons beta V NetworkInterceptors: Header    Cookie2:  Version 1_x000D_
2019 03 21 12:48:38 944 20467 20601 fr free nrw commons beta V NetworkInterceptors:                HEADERS             _x000D_
2019 03 21 12:48:38 944 20467 20601 fr free nrw commons beta V NetworkInterceptors: Protocol version:_x000D_
     HTTP 1 1_x000D_
2019 03 21 12:48:38 944 20467 20601 fr free nrw commons beta V NetworkInterceptors:                END OF REQUEST LOGGING   w api php prop imageinfo format xml action query iiprop url titles t jpg iiurlwidth 640 format xml              _x000D_
2019 03 21 12:48:38 995 1435 5720   W audio hw generic: Not supplying enough data to HAL  expected position 24757934   only wrote 24757920_x000D_
2019 03 21 12:48:39 146 20467 20467 fr free nrw commons beta I Choreographer: Skipped 31 frames   The application may be doing too much work on its main thread _x000D_
2019 03 21 12:48:39 231 1786 1786 com android systemui D StatusBar: disable e i a s b h r c s q  _x000D_
2019 03 21 12:48:39 311 1786 2049 com android systemui D EGL emulation: eglMakeCurrent: 0x8d51b820: ver 2 0 (tinfo 0x9ce31e40)_x000D_
2019 03 21 12:48:39 314 1441 1441   D gralloc ranchu: gralloc alloc: Creating ashmem region of size 14749696_x000D_
2019 03 21 12:48:39 345 1786 2049 com android systemui D EGL emulation: eglMakeCurrent: 0x8d51b820: ver 2 0 (tinfo 0x9ce31e40)_x000D_
2019 03 21 12:48:39 346 20467 20601 fr free nrw commons beta D CustomApiResult: API response for method https:  commons wikimedia beta wmflabs org w api php is_x000D_
       xml version  1 0  encoding  UTF 8    api batchcomplete     query  normalized  n from  t jpg  to  T jpg     normalized  pages  page  idx   1  ns  0  title  T jpg  missing       pages   query   api _x000D_
2019 03 21 12:48:39 347 1786 1786 com android systemui D StatusBar: disable e i a s b h r c s q  _x000D_
2019 03 21 12:48:39 401 1441 1441   D gralloc ranchu: gralloc alloc: Creating ashmem region of size 14749696_x000D_
2019 03 21 12:48:39 468 1786 1786 com android systemui I zygote: Deoptimizing void com android systemui statusbar stack ViewState startYTranslationAnimation(android view View  com android systemui statusbar stack AnimationProperties) due to JIT inline cache_x000D_
2019 03 21 12:48:39 567 1441 1441   D gralloc ranchu: gralloc alloc: Creating ashmem region of size 14749696_x000D_
2019 03 21 12:48:40 121 1435 1570   W audio hw generic: Not supplying enough data to HAL  expected position 24865716   only wrote 24811920_x000D_
2019 03 21 12:48:40 343 20467 20498 fr free nrw commons beta D UploadService NotificationUpdateProgressListener: Uploaded 1127634 of 7492596_x000D_
2019 03 21 12:48:40 398 20467 20600 fr free nrw commons beta V NetworkInterceptors:                START OF REQUEST LOGGING   w api php prop imageinfo format xml action query iiprop url titles t jpg iiurlwidth 640 format xml              _x000D_
2019 03 21 12:48:40 398 20467 20600 fr free nrw commons beta V NetworkInterceptors: Request line:_x000D_
     GET  w api php prop imageinfo format xml action query iiprop url titles t jpg iiurlwidth 640 format xml HTTP 1 1_x000D_
2019 03 21 12:48:40 398 20467 20600 fr free nrw commons beta V NetworkInterceptors:                REQUEST PARAMS             _x000D_
2019 03 21 12:48:40 399 20467 20600 fr free nrw commons beta V NetworkInterceptors:                REQUEST PARAMS             _x000D_
2019 03 21 12:48:40 399 20467 20600 fr free nrw commons beta V NetworkInterceptors:                HEADERS             _x000D_
2019 03 21 12:48:40 400 20467 20600 fr free nrw commons beta V NetworkInterceptors: Header    Host: commons wikimedia beta wmflabs org_x000D_
2019 03 21 12:48:40 400 20467 20600 fr free nrw commons beta V NetworkInterceptors: Header    Connection: Keep Alive_x000D_
2019 03 21 12:48:40 400 20467 20600 fr free nrw commons beta V NetworkInterceptors: Header    User Agent: Commons 2 10 1 debug master 8cd87ad14 (https:  mediawiki org wiki Apps Commons) Android 8 0 0_x000D_
2019 03 21 12:48:40 401 20467 20600 fr free nrw commons beta V NetworkInterceptors: Header    Cookie: WMF Last Access 21 Mar 2019  WMF Last Access Global 21 Mar 2019  GeoIP TR:06:Ankara:39 91:32 84:v4  commonswikiSession ed772s8lsha0amt4ldo4crd2umevgnbv  commonswikiUserID 1694  commonswikiUserName Neslihan Test  centralauth User Neslihan Test  centralauth Token 3e9640fadabac6a356f65a62f989a103  centralauth Session 4e49ed09ffff1e7626f066baf9cacbf6  loginnotify prevlogins 2019 1fok289 sszbcgr3m09htbifi12fmr8hpow63eu_x000D_
2019 03 21 12:48:40 401 20467 20600 fr free nrw commons beta V NetworkInterceptors: Header    Cookie2:  Version 1_x000D_
2019 03 21 12:48:40 404 20467 20600 fr free nrw commons beta V NetworkInterceptors:                HEADERS             _x000D_
2019 03 21 12:48:40 405 20467 20600 fr free nrw commons beta V NetworkInterceptors: Protocol version:_x000D_
     HTTP 1 1_x000D_
2019 03 21 12:48:40 405 20467 20600 fr free nrw commons beta V NetworkInterceptors:                END OF REQUEST LOGGING   w api php prop imageinfo format xml action query iiprop url titles t jpg iiurlwidth 640 format xml              _x000D_
2019 03 21 12:48:40 635 20467 20600 fr free nrw commons beta D CustomApiResult: API response for method https:  commons wikimedia beta wmflabs org w api php is_x000D_
       xml version  1 0  encoding  UTF 8    api batchcomplete     query  normalized  n from  t jpg  to  T jpg     normalized  pages  page  idx   1  ns  0  title  T jpg  missing       pages   query   api _x000D_
2019 03 21 12:48:40 658 20467 20601 fr free nrw commons beta V NetworkInterceptors:                START OF REQUEST LOGGING   w api php prop imageinfo format xml action query iiprop url titles t jpg iiurlwidth 640 format xml              _x000D_
2019 03 21 12:48:40 675 20467 20601 fr free nrw commons beta V NetworkInterceptors: Request line:_x000D_
     GET  w api php prop imageinfo format xml action query iiprop url titles t jpg iiurlwidth 640 format xml HTTP 1 1_x000D_
2019 03 21 12:48:40 675 20467 20601 fr free nrw commons beta V NetworkInterceptors:                REQUEST PARAMS             _x000D_
2019 03 21 12:48:40 675 20467 20601 fr free nrw commons beta V NetworkInterceptors:                REQUEST PARAMS             _x000D_
2019 03 21 12:48:40 676 20467 20601 fr free nrw commons beta V NetworkInterceptors:                HEADERS             _x000D_
2019 03 21 12:48:40 676 20467 20601 fr free nrw commons beta V NetworkInterceptors: Header    Host: commons wikimedia beta wmflabs org_x000D_
2019 03 21 12:48:40 676 20467 20601 fr free nrw commons beta V NetworkInterceptors: Header    Connection: Keep Alive_x000D_
2019 03 21 12:48:40 677 20467 20601 fr free nrw commons beta V NetworkInterceptors: Header    User Agent: Commons 2 10 1 debug master 8cd87ad14 (https:  mediawiki org wiki Apps Commons) Android 8 0 0_x000D_
2019 03 21 12:48:40 677 20467 20601 fr free nrw commons beta V NetworkInterceptors: Header    Cookie: WMF Last Access 21 Mar 2019  WMF Last Access Global 21 Mar 2019  GeoIP TR:06:Ankara:39 91:32 84:v4  commonswikiSession ed772s8lsha0amt4ldo4crd2umevgnbv  commonswikiUserID 1694  commonswikiUserName Neslihan Test  centralauth User Neslihan Test  centralauth Token 3e9640fadabac6a356f65a62f989a103  centralauth Session 4e49ed09ffff1e7626f066baf9cacbf6  loginnotify prevlogins 2019 1fok289 sszbcgr3m09htbifi12fmr8hpow63eu_x000D_
2019 03 21 12:48:40 677 20467 20601 fr free nrw commons beta V NetworkInterceptors: Header    Cookie2:  Version 1_x000D_
2019 03 21 12:48:40 677 20467 20601 fr free nrw commons beta V NetworkInterceptors:                HEADERS             _x000D_
2019 03 21 12:48:40 678 20467 20601 fr free nrw commons beta V NetworkInterceptors: Protocol version:_x000D_
     HTTP 1 1_x000D_
2019 03 21 12:48:40 678 20467 20601 fr free nrw commons beta V NetworkInterceptors:                END OF REQUEST LOGGING   w api php prop imageinfo format xml action query iiprop url titles t jpg iiurlwidth 640 format xml              _x000D_
2019 03 21 12:48:40 934 20467 20601 fr free nrw commons beta D CustomApiResult: API response for method https:  commons wikimedia beta wmflabs org w api php is_x000D_
       xml version  1 0  encoding  UTF 8    api batchcomplete     query  normalized  n from  t jpg  to  T jpg     normalized  pages  page  idx   1  ns  0  title  T jpg  missing       pages   query   api _x000D_
2019 03 21 12:48:40 944 20467 20601 fr free nrw commons beta V NetworkInterceptors:                START OF REQUEST LOGGING   w api php prop imageinfo format xml action query iiprop url titles t jpg iiurlwidth 640 format xml              _x000D_
2019 03 21 12:48:40 944 20467 20601 fr free nrw commons beta V NetworkInterceptors: Request line:_x000D_
     GET  w api php prop imageinfo format xml action query iiprop url titles t jpg iiurlwidth 640 format xml HTTP 1 1_x000D_
2019 03 21 12:48:40 945 20467 20601 fr free nrw commons beta V NetworkInterceptors:                REQUEST PARAMS             _x000D_
2019 03 21 12:48:40 945 20467 20601 fr free nrw commons beta V NetworkInterceptors:                REQUEST PARAMS             _x000D_
2019 03 21 12:48:40 945 20467 20601 fr free nrw commons beta V NetworkInterceptors:                HEADERS             _x000D_
2019 03 21 12:48:40 945 20467 20601 fr free nrw commons beta V NetworkInterceptors: Header    Host: commons wikimedia beta wmflabs org_x000D_
2019 03 21 12:48:40 945 20467 20601 fr free nrw commons beta V NetworkInterceptors: Header    Connection: Keep Alive_x000D_
2019 03 21 12:48:40 946 20467 20601 fr free nrw commons beta V NetworkInterceptors: Header    User Agent: Commons 2 10 1 debug master 8cd87ad14 (https:  mediawiki org wiki Apps Commons) Android 8 0 0_x000D_
2019 03 21 12:48:40 946 20467 20601 fr free nrw commons beta V NetworkInterceptors: Header    Cookie: WMF Last Access 21 Mar 2019  WMF Last Access Global 21 Mar 2019  GeoIP TR:06:Ankara:39 91:32 84:v4  commonswikiSession ed772s8lsha0amt4ldo4crd2umevgnbv  commonswikiUserID 1694  commonswikiUserName Neslihan Test  centralauth User Neslihan Test  centralauth Token 3e9640fadabac6a356f65a62f989a103  centralauth Session 4e49ed09ffff1e7626f066baf9cacbf6  loginnotify prevlogins 2019 1fok289 sszbcgr3m09htbifi12fmr8hpow63eu_x000D_
2019 03 21 12:48:40 946 20467 20601 fr free nrw commons beta V NetworkInterceptors: Header    Cookie2:  Version 1_x000D_
2019 03 21 12:48:40 946 20467 20601 fr free nrw commons beta V NetworkInterceptors:                HEADERS             _x000D_
2019 03 21 12:48:40 947 20467 20601 fr free nrw commons beta V NetworkInterceptors: Protocol version:_x000D_
     HTTP 1 1_x000D_
2019 03 21 12:48:40 947 20467 20601 fr free nrw commons beta V NetworkInterceptors:                END OF REQUEST LOGGING   w api php prop imageinfo format xml action query iiprop url titles t jpg iiurlwidth 640 format xml              _x000D_
2019 03 21 12:48:41 168 20467 20601 fr free nrw commons beta D CustomApiResult: API response for method https:  commons wikimedia beta wmflabs org w api php is_x000D_
       xml version  1 0  encoding  UTF 8    api batchcomplete     query  normalized  n from  t jpg  to  T jpg     normalized  pages  page  idx   1  ns  0  title  T jpg  missing       pages   query   api _x000D_
2019 03 21 12:48:41 522 1680 1691 system process D WifiService: setWifiEnabled: false pid 1786  uid 10028  package com android systemui_x000D_
2019 03 21 12:48:41 530 1680 1756 system process D WifiStateMachine: WifiStateMachine: Leaving Connected state_x000D_
2019 03 21 12:48:41 531 1680 1757 system process D DhcpClient: doQuit_x000D_
2019 03 21 12:48:41 533 1680 20543 system process D DhcpClient: onQuitting_x000D_
2019 03 21 12:48:41 535 1539 1660   D CommandListener: Setting iface cfg_x000D_
2019 03 21 12:48:41 538 1435 5720   W audio hw generic: Not supplying enough data to HAL  expected position 24812212   only wrote 24811920_x000D_
2019 03 21 12:48:41 540 1539 1652   I Netd: Destroyed 7 sockets on 192 168 232 2 in 1 7 ms_x000D_
2019 03 21 12:48:41 540 2194 20570 com google android gms persistent V NativeCrypto: Read error: ssl 0xaf22b998: I O error during system call  Software caused connection abort_x000D_
2019 03 21 12:48:41 543 1680 1756 system process E WifiVendorHal: stopRssiMonitoring(l 2115) failed   code   ERROR NOT AVAILABLE   description    _x000D_
2019 03 21 12:48:41 543 1680 1756 system process W WifiConfigManager: Looking up network with invalid networkId  1_x000D_
2019 03 21 12:48:41 544 2194 20570 com google android gms persistent V NativeCrypto: SSL shutdown failed: ssl 0xaf22b998: I O error during system call  Broken pipe_x000D_
2019 03 21 12:48:41 544 2194 20570 com google android gms persistent E WakeLock: GCM HB ALARM release without a matched acquire _x000D_
2019 03 21 12:48:41 546 20467 20498 fr free nrw commons beta I DefaultRequestDirector: I O exception (javax net ssl SSLException) caught when processing request: Write error: ssl 0xa1722780: I O error during system call  Software caused connection abort_x000D_
2019 03 21 12:48:41 546 1680 1760 system process D ConnectivityService: NetworkAgentInfo  WIFI ()   105  EVENT NETWORK INFO CHANGED  going from CONNECTED to DISCONNECTED_x000D_
2019 03 21 12:48:41 546 1680 1760 system process D ConnectivityService: NetworkAgentInfo  WIFI ()   105  got DISCONNECTED  was satisfying 12_x000D_
2019 03 21 12:48:41 547 20467 20498 fr free nrw commons beta I DefaultRequestDirector: Retrying request_x000D_
2019 03 21 12:48:41 547 2194 20570 com google android gms persistent E GCM: Connection closed with errorCode 20_x000D_
2019 03 21 12:48:41 569 2194 2194 com google android gms persistent I GeofencerStateMachine: sendWifiConnectivityChanged: connectivity false_x000D_
2019 03 21 12:48:41 570 1539 1660   D CommandListener: Clearing all IP addresses on wlan0_x000D_
2019 03 21 12:48:41 573 1680 1756 system process D WifiCountryCode: Succeeded to set country code to: US_x000D_
2019 03 21 12:48:41 575 1667 1667   I hostapd: wlan1: AP STA DISCONNECTED 02:00:00:44:55:66_x000D_
2019 03 21 12:48:41 578 20467 20496 fr free nrw commons beta W System err: io reactivex exceptions CompositeException: 2 exceptions occurred  _x000D_
2019 03 21 12:48:41 583 20467 20496 fr free nrw commons beta W System err:     at io reactivex internal observers ConsumerSingleObserver onError(ConsumerSingleObserver java:49)_x000D_
2019 03 21 12:48:41 583 20467 20496 fr free nrw commons beta W System err:     at io reactivex internal operators single SingleFlatMap SingleFlatMapCallback onError(SingleFlatMap java:90)_x000D_
2019 03 21 12:48:41 583 2194 20570 com google android gms persistent E WakeLock: GCM CONN ALARM release without a matched acquire _x000D_
2019 03 21 12:48:41 583 20467 20496 fr free nrw commons beta W System err:     at io reactivex internal operators single SingleObserveOn ObserveOnSingleObserver run(SingleObserveOn java:79)_x000D_
2019 03 21 12:48:41 583 20467 20496 fr free nrw commons beta W System err:     at io reactivex Scheduler DisposeTask run(Scheduler java:578)_x000D_
2019 03 21 12:48:41 583 20467 20496 fr free nrw commons beta W System err:     at io reactivex internal schedulers ScheduledRunnable run(ScheduledRunnable java:66)_x000D_
2019 03 21 12:48:41 583 20467 20496 fr free nrw commons beta W System err:     at io reactivex internal schedulers ScheduledRunnable call(ScheduledRunnable java:57)_x000D_
2019 03 21 12:48:41 583 20467 20496 fr free nrw commons beta W System err:     at java util concurrent FutureTask run(FutureTask java:266)_x000D_
2019 03 21 12:48:41 583 20467 20496 fr free nrw commons beta W System err:     at java util concurrent ScheduledThreadPoolExecutor ScheduledFutureTask run(ScheduledThreadPoolExecutor java:301)_x000D_
2019 03 21 12:48:41 583 20467 20496 fr free nrw commons beta W System err:     at java util concurrent ThreadPoolExecutor runWorker(ThreadPoolExecutor java:1162)_x000D_
2019 03 21 12:48:41 583 20467 20496 fr free nrw commons beta W System err:     at java util concurrent ThreadPoolExecutor Worker run(ThreadPoolExecutor java:636)_x000D_
2019 03 21 12:48:41 584 20467 20496 fr free nrw commons beta W System err:     at java lang Thread run(Thread java:764)_x000D_
2019 03 21 12:48:41 584 20467 20496 fr free nrw commons beta W System err:   ComposedException 1 :_x000D_
2019 03 21 12:48:41 584 20467 20496 fr free nrw commons beta W System err: 	java net UnknownHostException: Unable to resolve host  commons wikimedia beta wmflabs org : No address associated with hostname_x000D_
2019 03 21 12:48:41 584 20467 20496 fr free nrw commons beta W System err:     at java net Inet6AddressImpl lookupHostByName(Inet6AddressImpl java:141)_x000D_
2019 03 21 12:48:41 584 20467 20496 fr free nrw commons beta W System err:     at java net Inet6AddressImpl lookupAllHostAddr(Inet6AddressImpl java:90)_x000D_
2019 03 21 12:48:41 584 20467 20496 fr free nrw commons beta W System err:     at java net InetAddress getAllByName(InetAddress java:787)_x000D_
2019 03 21 12:48:41 584 20467 20496 fr free nrw commons beta W System err:     at org apache http impl conn DefaultClientConnectionOperator openConnection(DefaultClientConnectionOperator java:142)_x000D_
2019 03 21 12:48:41 584 20467 20496 fr free nrw commons beta W System err:     at org apache http impl conn AbstractPoolEntry open(AbstractPoolEntry java:169)_x000D_
2019 03 21 12:48:41 584 20467 20496 fr free nrw commons beta W System err:     at org apache http impl conn AbstractPooledConnAdapter open(AbstractPooledConnAdapter java:124)_x000D_
2019 03 21 12:48:41 584 20467 20496 fr free nrw commons beta W System err:     at org apache http impl client DefaultRequestDirector execute(DefaultRequestDirector java:466)_x000D_
2019 03 21 12:48:41 584 20467 20496 fr free nrw commons beta W System err:     at org apache http impl client AbstractHttpClient execute(AbstractHttpClient java:560)_x000D_
2019 03 21 12:48:41 584 20467 20496 fr free nrw commons beta W System err:     at org apache http impl client AbstractHttpClient execute(AbstractHttpClient java:492)_x000D_
2019 03 21 12:48:41 584 20467 20496 fr free nrw commons beta W System err:     at org apache http impl client AbstractHttpClient execute(AbstractHttpClient java:470)_x000D_
2019 03 21 12:48:41 584 20467 20496 fr free nrw commons beta W System err:     at in yuvi http fluent Http HttpRequestBuilder asResponse(Http java:470)_x000D_
2019 03 21 12:48:41 584 20467 20496 fr free nrw commons beta W System err:     at fr free nrw commons mwapi CustomApiResult fromRequestBuilder(CustomApiResult java:42)_x000D_
2019 03 21 12:48:41 584 20467 20496 fr free nrw commons beta W System err:     at fr free nrw commons mwapi CustomMwApi uploadToStash(CustomMwApi java:149)_x000D_
2019 03 21 12:48:41 584 20467 20496 fr free nrw commons beta W System err:     at fr free nrw commons mwapi ApacheHttpClientMediaWikiApi lambda uploadFile 3(ApacheHttpClientMediaWikiApi java:864)_x000D_
2019 03 21 12:48:41 584 20467 20496 fr free nrw commons beta W System err:     at fr free nrw commons mwapi    Lambda ApacheHttpClientMediaWikiApi xiJwLUpZnd3fpDlWkWsXe3p1svQ call(Unknown Source:10)_x000D_
2019 03 21 12:48:41 584 20467 20496 fr free nrw commons beta W System err:     at io reactivex internal operators single SingleFromCallable subscribeActual(SingleFromCallable java:44)_x000D_
2019 03 21 12:48:41 584 20467 20496 fr free nrw commons beta W System err:     at io reactivex Single subscribe(Single java:3438)_x000D_
2019 03 21 12:48:41 584 20467 20496 fr free nrw commons beta W System err:     at io reactivex internal operators single SingleSubscribeOn SubscribeOnObserver run(SingleSubscribeOn java:89)_x000D_
2019 03 21 12:48:41 584 20467 20496 fr free nrw commons beta W System err:     at io reactivex Scheduler DisposeTask run(Scheduler java:578)_x000D_
2019 03 21 12:48:41 584 20467 20496 fr free nrw commons beta W System err:     at io reactivex internal schedulers ScheduledRunnable run(ScheduledRunnable java:66)_x000D_
2019 03 21 12:48:41 584 20467 20496 fr free nrw commons beta W System err:     at io reactivex internal schedulers ScheduledRunnable call(ScheduledRunnable java:57)_x000D_
2019 03 21 12:48:41 584 20467 20496 fr free nrw commons beta W System err:     at java util concurrent FutureTask run(FutureTask java:266)_x000D_
2019 03 21 12:48:41 584 20467 20496 fr free nrw commons beta W System err:     at java util concurrent ScheduledThreadPoolExecutor ScheduledFutureTask run(ScheduledThreadPoolExecutor java:301)_x000D_
2019 03 21 12:48:41 585 20467 20496 fr free nrw commons beta W System err:     at java util concurrent ThreadPoolExecutor runWorker(ThreadPoolExecutor java:1162)_x000D_
2019 03 21 12:48:41 585 20467 20496 fr free nrw commons beta W System err:     at java util concurrent ThreadPoolExecutor Worker run(ThreadPoolExecutor java:636)_x000D_
2019 03 21 12:48:41 585 20467 20496 fr free nrw commons beta W System err:     at java lang Thread run(Thread java:764)_x000D_
2019 03 21 12:48:41 585 20467 20496 fr free nrw commons beta W System err: 	Caused by: android system GaiException: android getaddrinfo failed: EAI NODATA (No address associated with hostname)_x000D_
2019 03 21 12:48:41 585 20467 20496 fr free nrw commons beta W System err:     at libcore io Linux android getaddrinfo(Native Method)_x000D_
2019 03 21 12:48:41 585 20467 20496 fr free nrw commons beta W System err:     at libcore io ForwardingOs android getaddrinfo(ForwardingOs java:58)_x000D_
2019 03 21 12:48:41 585 20467 20496 fr free nrw commons beta W System err:     at java net Inet6AddressImpl lookupHostByName(Inet6AddressImpl java:122)_x000D_
2019 03 21 12:48:41 585 20467 20496 fr free nrw commons beta W System err:     at java net Inet6AddressImpl lookupAllHostAddr(Inet6AddressImpl java:90)_x000D_
2019 03 21 12:48:41 585 20467 20496 fr free nrw commons beta W System err:     at java net InetAddress getAllByName(InetAddress java:787)_x000D_
2019 03 21 12:48:41 585 20467 20496 fr free nrw commons beta W System err:     at org apache http impl conn DefaultClientConnectionOperator openConnection(DefaultClientConnectionOperator java:142)_x000D_
2019 03 21 12:48:41 585 20467 20496 fr free nrw commons beta W System err:     at org apache http impl conn AbstractPoolEntry open(AbstractPoolEntry java:169)_x000D_
2019 03 21 12:48:41 585 20467 20496 fr free nrw commons beta W System err:     at org apache http impl conn AbstractPooledConnAdapter open(AbstractPooledConnAdapter java:124)_x000D_
2019 03 21 12:48:41 585 20467 20496 fr free nrw commons beta W System err:     at org apache http impl client DefaultRequestDirector execute(DefaultRequestDirector java:466)_x000D_
2019 03 21 12:48:41 585 20467 20496 fr free nrw commons beta W System err:     at org apache http impl client AbstractHttpClient execute(AbstractHttpClient java:560)_x000D_
2019 03 21 12:48:41 585 20467 20496 fr free nrw commons beta W System err:     at org apache http impl client AbstractHttpClient execute(AbstractHttpClient java:492)_x000D_
2019 03 21 12:48:41 585 20467 20496 fr free nrw commons beta W System err:     at org apache http impl client AbstractHttpClient execute(AbstractHttpClient java:470)_x000D_
2019 03 21 12:48:41 585 20467 20496 fr free nrw commons beta W System err:     at in yuvi http fluent Http HttpRequestBuilder asResponse(Http java:470)_x000D_
2019 03 21 12:48:41 585 20467 20496 fr free nrw commons beta W System err:     at fr free nrw commons mwapi CustomApiResult fromRequestBuilder(CustomApiResult java:42)_x000D_
2019 03 21 12:48:41 585 20467 20496 fr free nrw commons beta W System err:     at fr free nrw commons mwapi CustomMwApi uploadToStash(CustomMwApi java:149)_x000D_
2019 03 21 12:48:41 585 20467 20496 fr free nrw commons beta W System err:     at fr free nrw commons mwapi ApacheHttpClientMediaWikiApi lambda uploadFile 3(ApacheHttpClientMediaWikiApi java:864)_x000D_
2019 03 21 12:48:41 585 20467 20496 fr free nrw commons beta W System err:     at fr free nrw commons mwapi    Lambda ApacheHttpClientMediaWikiApi xiJwLUpZnd3fpDlWkWsXe3p1svQ call(Unknown Source:10)_x000D_
2019 03 21 12:48:41 585 20467 20496 fr free nrw commons beta W System err:     at io reactivex internal operators single SingleFromCallable subscribeActual(SingleFromCallable java:44)_x000D_
2019 03 21 12:48:41 585 20467 20496 fr free nrw commons beta W System err:     at io reactivex Single subscribe(Single java:3438)_x000D_
2019 03 21 12:48:41 586 20467 20496 fr free nrw commons beta W System err:     at io reactivex internal operators single SingleSubscribeOn SubscribeOnObserver run(SingleSubscribeOn java:89)_x000D_
2019 03 21 12:48:41 586 20467 20496 fr free nrw commons beta W System err:     at io reactivex Scheduler DisposeTask run(Scheduler java:578)_x000D_
2019 03 21 12:48:41 586 20467 20496 fr free nrw commons beta W System err:     at io reactivex internal schedulers ScheduledRunnable run(ScheduledRunnable java:66)_x000D_
2019 03 21 12:48:41 594 20467 20496 fr free nrw commons beta W System err:     at io reactivex internal schedulers Sched</t>
  </si>
  <si>
    <t>opensrp-opensrp-client-chw-240</t>
  </si>
  <si>
    <t>Investigate app crashing after tapping on birth vaccines for 0 day old children</t>
  </si>
  <si>
    <t xml:space="preserve">I registered two new children in a new family: Smithitt Family   Martha Lea and Louisa (chathree login)  Both children are 0 days old  When I tap on the immunizations at birth row for both children  the app crashes  The app is not crashing when I tap on immunizations for other children though  so not sure if it s because they re 0 days old or because something might have broke in yesterday s release </t>
  </si>
  <si>
    <t>CMPUT301W19T11-Atheneum-158</t>
  </si>
  <si>
    <t>Crash while on borrower page when other user accepts request</t>
  </si>
  <si>
    <t xml:space="preserve">I made a request for a book previously and was on the borrower page  When the request was accepted by the owner  the application crashed _x000D_
_x000D_
  To Reproduce  _x000D_
1  Make a request on a book and stay on the borrower page fragment _x000D_
2  Have the owner accept the request _x000D_
3  Crash_x000D_
_x000D_
  Expected behavior  _x000D_
Shouldn t happen _x000D_
_x000D_
  Stack Trace  _x000D_
   _x000D_
E AndroidRuntime: FATAL EXCEPTION: main_x000D_
    Process: com example atheneum  PID: 15086_x000D_
    java lang IllegalStateException: Fragment BorrowerPageFragment 11bd535  not attached to a context _x000D_
        at android support v4 app Fragment requireContext(Fragment java:696)_x000D_
        at android support v4 app Fragment getResources(Fragment java:760)_x000D_
        at android support v4 app Fragment getString(Fragment java:782)_x000D_
        at com example atheneum fragments BorrowerPageFragment 4 onDataChange(BorrowerPageFragment java:198)_x000D_
        at com google firebase database core ValueEventRegistration fireEvent(com google firebase:firebase database  16 0 6:75)_x000D_
        at com google firebase database core view DataEvent fire(com google firebase:firebase database  16 0 6:63)_x000D_
        at com google firebase database core view EventRaiser 1 run(com google firebase:firebase database  16 0 6:55)_x000D_
        at android os Handler handleCallback(Handler java:751)_x000D_
        at android os Handler dispatchMessage(Handler java:95)_x000D_
        at android os Looper loop(Looper java:154)_x000D_
        at android app ActivityThread main(ActivityThread java:6111)_x000D_
        at java lang reflect Method invoke(Native Method)_x000D_
        at com android internal os ZygoteInit MethodAndArgsCaller run(ZygoteInit java:865)_x000D_
        at com android internal os ZygoteInit main(ZygoteInit java:755)_x000D_
   _x000D_
_x000D_
This could be because of the ValueEventListener listening for onDataChange _x000D_
_x000D_
  Additional Context  _x000D_
We were on the current master branch </t>
  </si>
  <si>
    <t>google-ar-sceneform-android-sdk-608</t>
  </si>
  <si>
    <t>SIGBUS/SIGSEGV crash in libsceneform_animation.so when loading models</t>
  </si>
  <si>
    <t xml:space="preserve">Sceneform randomly crashes with SIGBUS or SIGSEGV when loading certain models  for example the  fox model (https:  github com google ar sceneform android sdk tree master samples augmentedfaces app sampledata models) from the augmentedface example _x000D_
_x000D_
To reproduce:_x000D_
Import the fox model as sceneform asset  so  sfb is in res raw_x000D_
In MainActivity onCreate:_x000D_
 ModelRenderable builder() setSource(this  R raw fox face) build() _x000D_
_x000D_
in activity main xml_x000D_
     com google ar sceneform ArSceneView_x000D_
        android:id    id arSceneView _x000D_
        android:layout width  match parent _x000D_
        android:layout height  match parent _x000D_
       _x000D_
_x000D_
in build gradle_x000D_
 implementation  com google ar sceneform:animation:1 7 0  _x000D_
_x000D_
Reproduced on Samsung A6  Android 8 0 0 and Pixel 2 emulator with Android 9_x000D_
_x000D_
_x000D_
 stacktrace txt (https:  github com google ar sceneform android sdk files 2988156 sceneformcrash txt)_x000D_
 sceneformcrash project zip (https:  github com google ar sceneform android sdk files 2988164 sceneformcrash zip)_x000D_
</t>
  </si>
  <si>
    <t>nitaliano-react-native-mapbox-gl-1554</t>
  </si>
  <si>
    <t>onSnapshotReady crash on Android 8.1 / 9.0 with master</t>
  </si>
  <si>
    <t>Project is Expo detached  We switched package json to point to master  and when we call snapshot manager in a release build (works fine in dev mode) it produces this crash:_x000D_
_x000D_
Android: 8 1 0 (also 9)_x000D_
Android Build: OPM7 181205 001_x000D_
Manufacturer: Huawei_x000D_
Model: Nexus 6P (also Pixel 3)_x000D_
Thread: main 2_x000D_
_x000D_
java lang IllegalArgumentException: Prefix string too short_x000D_
	at java io File createTempFile(File java:1976)_x000D_
	at com mapbox rctmgl c a a(BitmapUtils java:69)_x000D_
	at com mapbox rctmgl modules RCTMGLSnapshotModule 1 1 onSnapshotReady(RCTMGLSnapshotModule java:82)_x000D_
	at com mapbox mapboxsdk snapshotter MapSnapshotter 1 run(MapSnapshotter java:438)_x000D_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We have  writeToDisk: true  for  Mapbox snapshotManager takeSnap()    manifest has read write storage permissions _x000D_
_x000D_
Flow to repro this:_x000D_
  launch app_x000D_
  grant Location permissions_x000D_
  kill app_x000D_
  start app and go to screen which uses takeSnap()_x000D_
  will crash every time screen is visited_x000D_
_x000D_
related to  1546 _x000D_
_x000D_
TIA</t>
  </si>
  <si>
    <t>getodk-skunkworks-crow-219</t>
  </si>
  <si>
    <t>app crashes on clicking send if location is disabled</t>
  </si>
  <si>
    <t xml:space="preserve">     Software and hardware versions _x000D_
Reproduced the bug in android 8 1  (Samsung j7 2016)_x000D_
     Problem description_x000D_
 trying to send the form when the location is disabled crashes the app _x000D_
     Steps to reproduce the problem_x000D_
disable the location _x000D_
try to send any form_x000D_
     Expected behaviour_x000D_
should ask the user to enable location_x000D_
_x000D_
_x000D_
     Error Log when the app crashes:_x000D_
   2019 03 20 18:58:11 524 16900 16900 org odk share E WifiHotspotHelper: java lang reflect InvocationTargetException_x000D_
        at java lang reflect Method invoke(Native Method)_x000D_
        at org odk share controller WifiHotspotHelper setWifiConfig(WifiHotspotHelper java:110)_x000D_
        at org odk share controller WifiHotspotHelper disableHotspot(WifiHotspotHelper java:133)_x000D_
        at org odk share activities SendActivity onCreate(SendActivity java:119)_x000D_
        at android app Activity performCreate(Activity java:7258)_x000D_
        at android app Activity performCreate(Activity java:7249)_x000D_
        at android app Instrumentation callActivityOnCreate(Instrumentation java:1222)_x000D_
        at android app ActivityThread performLaunchActivity(ActivityThread java:2927)_x000D_
        at android app ActivityThread handleLaunchActivity(ActivityThread java:3059)_x000D_
        at android app ActivityThread  wrap11(Unknown Source:0)_x000D_
        at android app ActivityThread H handleMessage(ActivityThread java:1724)_x000D_
        at android os Handler dispatchMessage(Handler java:106)_x000D_
        at android os Looper loop(Looper java:164)_x000D_
        at android app ActivityThread main(ActivityThread java:7000)_x000D_
        at java lang reflect Method invoke(Native Method)_x000D_
        at com android internal os RuntimeInit MethodAndArgsCaller run(RuntimeInit java:441)_x000D_
        at com android internal os ZygoteInit main(ZygoteInit java:1408)_x000D_
     Caused by: java lang SecurityException: App not allowed to read or update stored WiFi AP config (uid   10357)_x000D_
        at android os Parcel readException(Parcel java:2029)_x000D_
        at android os Parcel readException(Parcel java:1975)_x000D_
        at android net wifi IWifiManager Stub Proxy setWifiApConfiguration(IWifiManager java:2288)_x000D_
        at android net wifi WifiManager setWifiApConfiguration(WifiManager java:2910)_x000D_
        at java lang reflect Method invoke(Native Method) _x000D_
        at org odk share controller WifiHotspotHelper setWifiConfig(WifiHotspotHelper java:110) _x000D_
        at org odk share controller WifiHotspotHelper disableHotspot(WifiHotspotHelper java:133) _x000D_
        at org odk share activities SendActivity onCreate(SendActivity java:119) _x000D_
        at android app Activity performCreate(Activity java:7258) _x000D_
        at android app Activity performCreate(Activity java:7249) _x000D_
        at android app Instrumentation callActivityOnCreate(Instrumentation java:1222) _x000D_
        at android app ActivityThread performLaunchActivity(ActivityThread java:2927) _x000D_
        at android app ActivityThread handleLaunchActivity(ActivityThread java:3059) _x000D_
        at android app ActivityThread  wrap11(Unknown Source:0) _x000D_
        at android app ActivityThread H handleMessage(ActivityThread java:1724) _x000D_
        at android os Handler dispatchMessage(Handler java:106) _x000D_
        at android os Looper loop(Looper java:164) _x000D_
        at android app ActivityThread main(ActivityThread java:7000) _x000D_
        at java lang reflect Method invoke(Native Method) _x000D_
        at com android internal os RuntimeInit MethodAndArgsCaller run(RuntimeInit java:441) _x000D_
        at com android internal os ZygoteInit main(ZygoteInit java:1408) _x000D_
2019 03 20 18:58:11 524 16900 16900 org odk share W WifiManager: org odk share attempted call to setWifiApEnabled: enabled   false_x000D_
2019 03 20 18:58:11 537 16900 16900 org odk share I WifiManager: startLocalOnlyHotspot() setwifiap packageName : org odk share_x000D_
2019 03 20 18:58:11 542 16900 16900 org odk share D AndroidRuntime: Shutting down VM_x000D_
2019 03 20 18:58:11 547 16900 16900 org odk share E AndroidRuntime: FATAL EXCEPTION: main_x000D_
    Process: org odk share  PID: 16900_x000D_
    java lang RuntimeException: Unable to resume activity  org odk share org odk share activities SendActivity : java lang SecurityException: Location mode is not enabled _x000D_
        at android app ActivityThread performResumeActivity(ActivityThread java:3805)_x000D_
        at android app ActivityThread handleResumeActivity(ActivityThread java:3845)_x000D_
        at android app ActivityThread handleLaunchActivity(ActivityThread java:3065)_x000D_
        at android app ActivityThread  wrap11(Unknown Source:0)_x000D_
        at android app ActivityThread H handleMessage(ActivityThread java:1724)_x000D_
        at android os Handler dispatchMessage(Handler java:106)_x000D_
        at android os Looper loop(Looper java:164)_x000D_
        at android app ActivityThread main(ActivityThread java:7000)_x000D_
        at java lang reflect Method invoke(Native Method)_x000D_
        at com android internal os RuntimeInit MethodAndArgsCaller run(RuntimeInit java:441)_x000D_
        at com android internal os ZygoteInit main(ZygoteInit java:1408)_x000D_
     Caused by: java lang SecurityException: Location mode is not enabled _x000D_
        at android os Parcel readException(Parcel java:2029)_x000D_
        at android os Parcel readException(Parcel java:1975)_x000D_
        at android net wifi IWifiManager Stub Proxy startLocalOnlyHotspot(IWifiManager java:2176)_x000D_
        at android net wifi WifiManager startLocalOnlyHotspot(WifiManager java:2602)_x000D_
        at org odk share activities SendActivity turnOnHotspot(SendActivity java:352)_x000D_
        at org odk share activities SendActivity initiateHotspot(SendActivity java:161)_x000D_
        at org odk share activities SendActivity startHotspot(SendActivity java:153)_x000D_
        at org odk share activities SendActivity onResume(SendActivity java:257)_x000D_
        at android app Instrumentation callActivityOnResume(Instrumentation java:1363)_x000D_
        at android app Activity performResume(Activity java:7440)_x000D_
        at android app ActivityThread performResumeActivity(ActivityThread java:3780)_x000D_
        at android app ActivityThread handleResumeActivity(ActivityThread java:3845) _x000D_
        at android app ActivityThread handleLaunchActivity(ActivityThread java:3065) _x000D_
        at android app ActivityThread  wrap11(Unknown Source:0) _x000D_
        at android app ActivityThread H handleMessage(ActivityThread java:1724) _x000D_
        at android os Handler dispatchMessage(Handler java:106) _x000D_
        at android os Looper loop(Looper java:164) _x000D_
        at android app ActivityThread main(ActivityThread java:7000) _x000D_
        at java lang reflect Method invoke(Native Method) _x000D_
        at com android internal os RuntimeInit MethodAndArgsCaller run(RuntimeInit java:441) _x000D_
        at com android internal os ZygoteInit main(ZygoteInit java:1408) _x000D_
   _x000D_
_x000D_
_x000D_
_x000D_
  videotogif 2019 03 20 19 41 13 (https:  user images githubusercontent com 29946262 54691162 c963cc00 4b48 11e9 8926 d6f735c4ac55 gif)_x000D_
</t>
  </si>
  <si>
    <t>commons-app-apps-android-commons-2679</t>
  </si>
  <si>
    <t>Main Activity crashes when returning from Upload</t>
  </si>
  <si>
    <t xml:space="preserve">  Summary:   _x000D_
_x000D_
Main Activity crashes while returning back from Upload(if no image is selected) or returning from settings(while enabling location) _x000D_
_x000D_
  Steps to reproduce:   _x000D_
_x000D_
  From Main Activity select Fab Icon and Upload via gallery_x000D_
  Press back from Image Picker_x000D_
_x000D_
Main Activity will crash in the onActivityResult() method _x000D_
_x000D_
  Device and Android version:   _x000D_
Vivo 1713 API Level 24_x000D_
 _x000D_
  Commons app version:   _x000D_
Latest master_x000D_
_x000D_
  Would you like to work on the issue   _x000D_
_x000D_
Yes</t>
  </si>
  <si>
    <t>ElderDrivers-EdXposed-172</t>
  </si>
  <si>
    <t>[BUG] UI Crashing (Android 9)</t>
  </si>
  <si>
    <t xml:space="preserve">       What happened   _x000D_
_x000D_
UI crashing   reloading every 30sec from boot while using device _x000D_
_x000D_
  Xposed     Xposed Module List  _x000D_
_x000D_
1  GravityBox v9 0 0 beta 4_x000D_
_x000D_
  Magisk     Magisk Module List  _x000D_
_x000D_
1  Riru   Core_x000D_
2  Riru   Ed Xposed_x000D_
3  YouTube Vanced   Magisk Repo_x000D_
_x000D_
  EdXposed Riru   Versions of EdXposed and Riru  _x000D_
_x000D_
EdXposed: v0 3 1 2 beta_x000D_
_x000D_
Riru: v17 1_x000D_
_x000D_
    Logcat Logcat  _x000D_
_x000D_
Xposed Logcat _x000D_
 xposed error 20190319 183643 log (https:  github com ElderDrivers EdXposed files 2985992 xposed error 20190319 183643 log)_x000D_
_x000D_
Android Logcat Suggesting EdXposed related issue _x000D_
 Log txt (https:  github com ElderDrivers EdXposed files 2986003 Log txt)_x000D_
_x000D_
Android Full Logcat _x000D_
 logcat log (https:  github com ElderDrivers EdXposed files 2986004 logcat log)</t>
  </si>
  <si>
    <t>mauron85-react-native-background-geolocation-360</t>
  </si>
  <si>
    <t>When app crashes for other reasons the service is started by the system</t>
  </si>
  <si>
    <t xml:space="preserve">     PLEASE DON T DELETE THIS TEMPLATE  OR YOUR ISSUE WILL BE CLOSED IGNORED        _x000D_
      Provide a general summary of the issue in the Title above    _x000D_
_x000D_
   Your Environment_x000D_
      Include as many relevant details about the environment you experienced the bug in    _x000D_
      Please specify exact version numbers and don t use terms like  latest   as such reference to numeric version changes over the time    _x000D_
  Plugin version:  0 5 0 alpha 50_x000D_
  Platform: Android (not tested in iOs)_x000D_
  OS version: Linux 4 4 Linux Mint 18 (Sarah)_x000D_
  Device manufacturer and model: Motorola  Samsung  emulators_x000D_
      If Simulator was used instead of real device  type Yes in following section    _x000D_
  Running in Simulator: Both  simulator and real device_x000D_
  React Native version: 0 57 8_x000D_
  Plugin configuration options:  _x000D_
  Link to your project:  _x000D_
_x000D_
   Context_x000D_
      Provide a more detailed introduction to the issue itself  and why you consider it to be a bug    _x000D_
When my app crashes (for another reason) the service is started by the system even if i never started it explicitly _x000D_
_x000D_
   Expected Behavior_x000D_
      Tell us what should happen    _x000D_
If i never started the service  when app crashes the service should remain not started _x000D_
If i started the service  when app crashes the service may be restarted by the system if i give it that config  Is this possible actually _x000D_
_x000D_
   Actual Behavior_x000D_
      Tell us what happens instead    _x000D_
If i never started the service  when app crashes the service is started (with default configs) by the system _x000D_
If i started the service  when app crashes the service is restarted by the system _x000D_
_x000D_
   Possible Fix_x000D_
      Not obligatory  but suggest a fix or reason for the bug    _x000D_
Some config in order to indicate the plugin that i don t want the service be started restarted when app crash _x000D_
This config needs to be used in app start but i need to give the full configs (notification data  etc) after login (because i need some user data to send to the server in the  template  key of the config json)_x000D_
_x000D_
   Steps to Reproduce_x000D_
      Provide a link to a live example  or an unambiguous set of steps to    _x000D_
      reproduce this bug include code to reproduce  if relevant    _x000D_
1  install the plugin_x000D_
2  install  react native fabric _x000D_
3 _x000D_
   _x000D_
import Fabric from  react native fabric  _x000D_
const   Crashlytics     Fabric _x000D_
_x000D_
componentDidMount()  _x000D_
    Crashlytics crash() _x000D_
   _x000D_
   _x000D_
4  see the service being started with default configs (icon  notification)_x000D_
_x000D_
   Context_x000D_
      How has this bug affected you  What were you trying to accomplish     _x000D_
this is very important because the user will be very confused seeing this notification_x000D_
_x000D_
   Debug logs_x000D_
     Relevant parts from printAndroidLogs or printIosLogs _x000D_
More info in README md section Debugging _x000D_
If you re reporting app crash also provide output of  adb logcat     _x000D_
   _x000D_
  adb logcat   grep  com marianhello _x000D_
_x000D_
03 19 19:23:02 866 29021 29039 I com marianhello bgloc BackgroundGeolocationFacade: Initializing plugin_x000D_
03 19 19:23:02 983 29021 29052 I com marianhello bgloc react BackgroundGeolocationModule: App will be resumed_x000D_
03 19 19:23:08 302 29021 29021 I com marianhello bgloc react BackgroundGeolocationModule: App will be paused_x000D_
03 19 19:23:08 346 29021 29021 I com marianhello bgloc service LocationServiceImpl: Creating LocationServiceImpl_x000D_
03 19 19:23:08 372 29021 29021 I com marianhello bgloc PostLocationTask: Creating PostLocationTask_x000D_
03 19 19:23:08 389 29021 29021 D com marianhello bgloc service LocationServiceImpl: Service in  NOT STARTED  state  cmdId:  3   startId:  1 _x000D_
03 19 19:23:08 394 29021 29264 I com marianhello bgloc service LocationServiceImpl: Network condition changed has connectivity: true_x000D_
03 19 19:23:14 467 29021 29021 I com marianhello bgloc react BackgroundGeolocationModule: App will be resumed_x000D_
03 19 19:23:19 052  2279  2290 W ActivityManager: Scheduling restart of crashed service com segurytec taxip com marianhello bgloc service LocationServiceImpl in 1000ms_x000D_
03 19 19:23:20 064  2279  2293 I ActivityManager: Start proc 29282:com segurytec taxip u0a736 for service com segurytec taxip com marianhello bgloc service LocationServiceImpl_x000D_
03 19 19:23:20 384 29282 29282 I com marianhello bgloc service LocationServiceImpl: Creating LocationServiceImpl_x000D_
03 19 19:23:20 390 29282 29282 I com marianhello bgloc PostLocationTask: Creating PostLocationTask_x000D_
03 19 19:23:20 395 29282 29308 I com marianhello bgloc service LocationServiceImpl: Network condition changed has connectivity: true_x000D_
03 19 19:23:20 397 29282 29282 W com marianhello bgloc service LocationServiceImpl: Attempt to start unconfigured service  Will use stored or default _x000D_
03 19 19:23:20 468 29282 29282 D com marianhello bgloc service LocationServiceImpl: Will start service with: Config distanceFilter 500 stationaryRadius 50 0 desiredAccuracy 100 interval 600000 fastestInterval 120000 activitiesInterval 10000 isDebugging false stopOnTerminate true stopOnStillActivity true startOnBoot false startForeground true notificationsEnabled true locationProvider 0 nTitle Background tracking nText ENABLED nIconLarge  nIconSmall  nIconColor  url  syncUrl  syncThreshold 100 httpHeaders    maxLocations 10000 postTemplate null _x000D_
   </t>
  </si>
  <si>
    <t>react-native-camera-react-native-camera-2155</t>
  </si>
  <si>
    <t>Error while updating property 'googleVisionBarcodeType' of a view - BarcodeScanner Android</t>
  </si>
  <si>
    <t xml:space="preserve">  Bug Report_x000D_
_x000D_
   x  Did you try latest release _x000D_
      Did you try master _x000D_
   x  Did you look for existing matching issues _x000D_
_x000D_
  Platforms  _x000D_
    Comment in the related ones   _x000D_
    Android   _x000D_
    iOS   _x000D_
_x000D_
  Versions  _x000D_
    Please add the used versions branches or leave blank and comment in the optionals if used   _x000D_
  Android: Android 6  Android 7_x000D_
  react native camera: 2 0 1_x000D_
  react native: ExpoKit 32 (React Native 0 57 2)_x000D_
  react: 16 5 0_x000D_
_x000D_
  Description Current Behaviour  _x000D_
When I try to use the barcode scanner  the app crashes  It happens as soon as the screen mounts  If I remove the  onGoogleVisionBarcodesDetected  and  googleVisionBarcodeType   The camera works (haven t tried to take pics since its not my intent)  Methods pausePreview and resumePreview working fine _x000D_
_x000D_
The error I get is the following:_x000D_
_x000D_
  2019 03 19 17 05 09 (https:  user images githubusercontent com 3965485 54639453 29387500 4a6c 11e9 8012 4c17a6cdccac jpg)_x000D_
_x000D_
_x000D_
  Expected Behaviour  _x000D_
Screen containing a BarcodeScanner should mount _x000D_
_x000D_
  Steps to Reproduce  _x000D_
Rendering a RNCamera component with onGoogleVisionBarcodesDetected and googleVisionBarcodeType _x000D_
_x000D_
Here is a piece of code:_x000D_
_x000D_
     render()  _x000D_
    return (_x000D_
       View style  styles container  _x000D_
         RNCamera_x000D_
          style  styles preview _x000D_
          type  RNCamera Constants Type back _x000D_
          ref  this cameraRef _x000D_
          captureAudio  false _x000D_
              Platform select( _x000D_
            android:  _x000D_
              onGoogleVisionBarcodesDetected: this onCodeScanned _x000D_
              googleVisionBarcodeType:  _x000D_
                RNCamera Constants GoogleVisionBarcodeDetection BarcodeType QR CODE _x000D_
                _x000D_
              _x000D_
            ios:  _x000D_
              onBarCodeRead: this onCodeScanned _x000D_
              barCodeTypes:  RNCamera Constants BarCodeType qr  _x000D_
              _x000D_
           ) _x000D_
         _x000D_
           NavigationEvents onWillFocus  this enableCam  onWillBlur  this disableCam    _x000D_
           TouchableOpacity style  styles header  onPress  this goBack  hitSlop  hitSlop15  _x000D_
             MaterialCommunityIcons name  arrow left  color  colors branco  size  wp( 7 4  )    _x000D_
             Text style  styles textVoltar  Voltar  Text _x000D_
            TouchableOpacity _x000D_
           this renderBody() _x000D_
          RNCamera _x000D_
        View _x000D_
    ) _x000D_
   _x000D_
   _x000D_
_x000D_
      Does it work with Expo Camera      _x000D_
Expo Camera has a totally different problem  which forced me to eject and try react native camera </t>
  </si>
  <si>
    <t>martykan-forecastie-336</t>
  </si>
  <si>
    <t>Crash on first start</t>
  </si>
  <si>
    <t xml:space="preserve">Hello there _x000D_
_x000D_
when I start the app for the first time it crashes every time _x000D_
_x000D_
After that I am able to restart it and it works as intended _x000D_
_x000D_
I am using the app on a Redmi Note 4 with LineageOS 15 1 </t>
  </si>
  <si>
    <t>CMPUT301W19T11-Atheneum-155</t>
  </si>
  <si>
    <t>Back button on search crashes app</t>
  </si>
  <si>
    <t xml:space="preserve">  Describe the bug  _x000D_
Pressing the back button after clicking the search icon for books produces a app crashing null pointer exception  _x000D_
_x000D_
  To Reproduce  _x000D_
Steps to reproduce the behavior:_x000D_
1  Go to Borrower_x000D_
2  Click on     button_x000D_
3  Click on search button_x000D_
4  Click on back button(arrow on top left corner)_x000D_
_x000D_
  Expected behavior  _x000D_
Back button returns to previous activity(in this case  the main activity showing the borrower fragment_x000D_
_x000D_
  Error message  _x000D_
E AndroidRuntime: FATAL EXCEPTION: main_x000D_
    Process: com example atheneum  PID: 13212_x000D_
    java lang NullPointerException: Attempt to invoke virtual method  void android widget TextView setText(java lang CharSequence)  on a null object reference_x000D_
        at com example atheneum utils AvailableBookAdapter getView(AvailableBookAdapter java:97)_x000D_
        at android widget AbsListView obtainView(AbsListView java:2372)_x000D_
        at android widget ListView measureHeightOfChildren(ListView java:1408)_x000D_
        at android widget ListView onMeasure(ListView java:1315)_x000D_
        at android view View measure(View java:22002)_x000D_
        at android support constraint ConstraintLayout internalMeasureChildren(ConstraintLayout java:1227)_x000D_
        at android support constraint ConstraintLayout onMeasure(ConstraintLayout java:1572)_x000D_
        at android view View measure(View java:22002)_x000D_
        at android view ViewGroup measureChildWithMargins(ViewGroup java:6580)_x000D_
        at android widget FrameLayout onMeasure(FrameLayout java:185)_x000D_
        at android view View measure(View java:22002)_x000D_
        at android view ViewGroup measureChildWithMargins(ViewGroup java:6580)_x000D_
        at android widget FrameLayout onMeasure(FrameLayout java:185)_x000D_
        at android support v7 widget ContentFrameLayout onMeasure(ContentFrameLayout java:143)_x000D_
        at android view View measure(View java:22002)_x000D_
        at android view ViewGroup measureChildWithMargins(ViewGroup java:6580)_x000D_
        at android widget LinearLayout measureChildBeforeLayout(LinearLayout java:1514)_x000D_
        at android widget LinearLayout measureVertical(LinearLayout java:806)_x000D_
        at android widget LinearLayout onMeasure(LinearLayout java:685)_x000D_
        at android view View measure(View java:22002)_x000D_
        at android view ViewGroup measureChildWithMargins(ViewGroup java:6580)_x000D_
        at android widget FrameLayout onMeasure(FrameLayout java:185)_x000D_
        at android view View measure(View java:22002)_x000D_
        at android view ViewGroup measureChildWithMargins(ViewGroup java:6580)_x000D_
        at android widget LinearLayout measureChildBeforeLayout(LinearLayout java:1514)_x000D_
        at android widget LinearLayout measureVertical(LinearLayout java:806)_x000D_
        at android widget LinearLayout onMeasure(LinearLayout java:685)_x000D_
        at android view View measure(View java:22002)_x000D_
        at android view ViewGroup measureChildWithMargins(ViewGroup java:6580)_x000D_
        at android widget FrameLayout onMeasure(FrameLayout java:185)_x000D_
        at com android internal policy DecorView onMeasure(DecorView java:721)_x000D_
        at android view View measure(View java:22002)_x000D_
        at android view ViewRootImpl performMeasure(ViewRootImpl java:2410)_x000D_
        at android view ViewRootImpl measureHierarchy(ViewRootImpl java:1498)_x000D_
        at android view ViewRootImpl performTraversals(ViewRootImpl java:1751)_x000D_
        at android view ViewRootImpl doTraversal(ViewRootImpl java:1386)_x000D_
        at android view ViewRootImpl TraversalRunnable run(ViewRootImpl java:6733)_x000D_
        at android view Choreographer CallbackRecord run(Choreographer java:911)_x000D_
        at android view Choreographer doCallbacks(Choreographer java:723)_x000D_
        at android view Choreographer doFrame(Choreographer java:658)_x000D_
        at android view Choreographer FrameDisplayEventReceiver run(Choreographer java:897)_x000D_
        at android os Handler handleCallback(Handler java:789)_x000D_
        at android os Handler dispatchMessage(Handler java:98)_x000D_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t>
  </si>
  <si>
    <t>tanguyantoine-react-native-music-control-244</t>
  </si>
  <si>
    <t>(Android 9 / Samsung S9) Unable to create service com.tanguyantoine.react.MusicControlNotification$NotificationService:</t>
  </si>
  <si>
    <t xml:space="preserve">  Description_x000D_
_x000D_
App crashes with the following devices in a production app:_x000D_
_x000D_
  SM G960U_x000D_
  SM G960F_x000D_
  SM G960W_x000D_
_x000D_
All devices listed above are running Android 9_x000D_
_x000D_
2  Platform  _x000D_
          iOS_x000D_
       x  Android_x000D_
  _x000D_
3  Device_x000D_
          Simulator_x000D_
       x  Real device_x000D_
_x000D_
_x000D_
   Stack trace_x000D_
_x000D_
  Selection 029 (https:  user images githubusercontent com 12927717 54565340 d9898780 4a32 11e9 900d 6a3f0ca410cb png)_x000D_
_x000D_
   _x000D_
java lang NullPointerException: Attempt to invoke virtual method  android app Notification com tanguyantoine react MusicControlNotification a(android support v4 app y c  boolean)  on a null object reference_x000D_
    at com tanguyantoine react MusicControlNotification NotificationService onCreate_x000D_
    at android app ActivityThread handleCreateService(ActivityThread java:3728)_x000D_
    at android app ActivityThread access 1400(ActivityThread java:235)_x000D_
    at android app ActivityThread H handleMessage(ActivityThread java:1784)_x000D_
    at android os Handler dispatchMessage(Handler java:106)_x000D_
    at android os Looper loop(Looper java:214)_x000D_
    at android app ActivityThread main(ActivityThread java:6981)_x000D_
    at java lang reflect Method invoke(Method java)_x000D_
    at com android internal os RuntimeInit MethodAndArgsCaller run(RuntimeInit java:493)_x000D_
    at com android internal os ZygoteInit main(ZygoteInit java:1445)_x000D_
java lang RuntimeException: Unable to create service com tanguyantoine react MusicControlNotification NotificationService: java lang NullPointerException: Attempt to invoke virtual method  android app Notification com tanguyantoine react MusicControlNotification a(android support v4 app y c  boolean)  on a null object reference_x000D_
    at android app ActivityThread handleCreateService(ActivityThread java:3740)_x000D_
    at android app ActivityThread access 1400(ActivityThread java:235)_x000D_
    at android app ActivityThread H handleMessage(ActivityThread java:1784)_x000D_
    at android os Handler dispatchMessage(Handler java:106)_x000D_
    at android os Looper loop(Looper java:214)_x000D_
    at android app ActivityThread main(ActivityThread java:6981)_x000D_
    at java lang reflect Method invoke(Method java)_x000D_
    at com android internal os RuntimeInit MethodAndArgsCaller run(RuntimeInit java:493)_x000D_
    at com android internal os ZygoteInit main(ZygoteInit java:1445)_x000D_
   </t>
  </si>
  <si>
    <t>Piwigo-Piwigo-Android-96</t>
  </si>
  <si>
    <t>NullPointerException on upload</t>
  </si>
  <si>
    <t xml:space="preserve">  Describe the bug and how to reproduce  _x000D_
Crash on upload in 0 9 2 beta (reported by Patrick via crash report on 17th of March)_x000D_
_x000D_
  Smartphone (please complete the following information):  _x000D_
   Device: HUAWEI CLT L29_x000D_
   OS: ANDROID VERSION 9 API LEVEL 28_x000D_
   locale en GB_x000D_
_x000D_
  Additional context  _x000D_
STACK TRACE java lang NullPointerException: Attempt to invoke virtual method  boolean java lang String equals(java lang Object)  on a null object reference_x000D_
at org piwigo bg UploadService 1 onResponse(UploadService java:162)_x000D_
at retrofit2 ExecutorCallAdapterFactory ExecutorCallbackCall 1 1 run(ExecutorCallAdapterFactory java:70)_x000D_
at android os Handler handleCallback(Handler java:891)_x000D_
at android os Handler dispatchMessage(Handler java:102)_x000D_
at android os Looper loop(Looper java:207)_x000D_
at android app ActivityThread main(ActivityThread java:7470)_x000D_
at java lang reflect Method invoke(Native Method)_x000D_
at com android internal os RuntimeInit MethodAndArgsCaller run(RuntimeInit java:524)_x000D_
at com android internal os ZygoteInit main(ZygoteInit java:958)</t>
  </si>
  <si>
    <t>commons-app-apps-android-commons-2652</t>
  </si>
  <si>
    <t>NPE on bookmark while pic from explore still loading (slow internet)</t>
  </si>
  <si>
    <t xml:space="preserve">  Summary:   _x000D_
From crash report of  nicolas raoul   seems like an easy one _x000D_
   _x000D_
USER COMMENT bookmark while pic from explore still loading (slow internet)_x000D_
ANDROID VERSION 7 1 2_x000D_
APP VERSION NAME 2 10 1 306_x000D_
BRAND google_x000D_
PHONE MODEL Nexus 5_x000D_
CUSTOM DATA _x000D_
STACK TRACE java lang NullPointerException: Attempt to invoke virtual method  java lang String fr free nrw commons bookmarks Bookmark getMediaName()  on a null object reference_x000D_
at fr free nrw commons bookmarks pictures BookmarkPicturesDao findBookmark(BookmarkPicturesDao java:131)_x000D_
at fr free nrw commons bookmarks pictures BookmarkPicturesDao updateBookmark(BookmarkPicturesDao java:72)_x000D_
at fr free nrw commons media MediaDetailPagerFragment onOptionsItemSelected(MediaDetailPagerFragment java:157)_x000D_
at androidx fragment app Fragment performOptionsItemSelected(Fragment java:2588)_x000D_
at androidx fragment app FragmentManagerImpl dispatchOptionsItemSelected(FragmentManagerImpl java:2704)_x000D_
at androidx fragment app FragmentController dispatchOptionsItemSelected(FragmentController java:400)_x000D_
at androidx fragment app FragmentActivity onMenuItemSelected(FragmentActivity java:377)_x000D_
at androidx appcompat app AppCompatActivity onMenuItemSelected(AppCompatActivity java:197)_x000D_
at androidx appcompat view WindowCallbackWrapper onMenuItemSelected(WindowCallbackWrapper java:109)_x000D_
at androidx appcompat view WindowCallbackWrapper onMenuItemSelected(WindowCallbackWrapper java:109)_x000D_
at androidx appcompat app ToolbarActionBar 2 onMenuItemClick(ToolbarActionBar java:64)_x000D_
at androidx appcompat widget Toolbar 1 onMenuItemClick(Toolbar java:204)_x000D_
at androidx appcompat widget ActionMenuView MenuBuilderCallback onMenuItemSelected(ActionMenuView java:781)_x000D_
at androidx appcompat view menu MenuBuilder dispatchMenuItemSelected(MenuBuilder java:840)_x000D_
at androidx appcompat view menu MenuItemImpl invoke(MenuItemImpl java:158)_x000D_
at androidx appcompat view menu MenuBuilder performItemAction(MenuBuilder java:991)_x000D_
at androidx appcompat view menu MenuBuilder performItemAction(MenuBuilder java:981)_x000D_
at androidx appcompat widget ActionMenuView invokeItem(ActionMenuView java:625)_x000D_
at androidx appcompat view menu ActionMenuItemView onClick(ActionMenuItemView java:151)_x000D_
at android view View performClick(View java:5637)_x000D_
at android view View PerformClick run(View java:22433)_x000D_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t>
  </si>
  <si>
    <t>cgeo-cgeo-7391</t>
  </si>
  <si>
    <t>Starting from live map widget crashes the app</t>
  </si>
  <si>
    <t xml:space="preserve">      Detailed steps causing the problem:_x000D_
  Create a new widget on your device  desktop  with the function  live map _x000D_
  Make sure c:geo is not running in background (exit completely   hard close)_x000D_
  Click the live map widget_x000D_
_x000D_
      Actual behavior after performing these steps:_x000D_
Immediate crash_x000D_
_x000D_
      Expected behavior after performing these steps:_x000D_
Live map shall be started _x000D_
(It works only if c:geo was active before and is still in background tasks)_x000D_
_x000D_
      Version of c:geo used:_x000D_
2019 02 23_x000D_
_x000D_
      Is the problem reproducible for you _x000D_
Yes_x000D_
_x000D_
_x000D_
      System information:_x000D_
Samsung S7  Android 8 0_x000D_
</t>
  </si>
  <si>
    <t>jellow-aac-Jellow-Communicator-24</t>
  </si>
  <si>
    <t>App crash when deleting empty board.</t>
  </si>
  <si>
    <t xml:space="preserve">  Steps to reproduce the issue:_x000D_
1) Tap  Add Board _x000D_
2) Add only name to board say  tt _x000D_
3) Save the board _x000D_
4) On  Select icon  screen tap back button and say  Yes  to dialog  Your selection will be lost _x000D_
5) Now  goto  My Boards  screen  Delete board named  tt  _x000D_
6) Saying  Yes  to dialog  Are you sure that you want to delete  board name     app crashes _x000D_
_x000D_
  Also  app crashes when i tried to edit same the board  Steps to reproduce:_x000D_
1) Tap edit icon on board  tt  _x000D_
2) Tap  Next  to save board then app crashes _x000D_
_x000D_
</t>
  </si>
  <si>
    <t>CMPUT301W19T11-Atheneum-152</t>
  </si>
  <si>
    <t>ProfilePic in MainActivity NullPointerException</t>
  </si>
  <si>
    <t xml:space="preserve">I logged in and out of multiple accounts and the application crash  I was on the master branch _x000D_
_x000D_
  To Reproduce  _x000D_
I m not entirely sure how to reproduce the bug  I logged in and out of multiple accounts and the application just crashed _x000D_
_x000D_
   _x000D_
E AndroidRuntime: FATAL EXCEPTION: main_x000D_
    Process: com example atheneum  PID: 5649_x000D_
    java lang NullPointerException: Attempt to invoke virtual method  void android widget ImageView setImageBitmap(android graphics Bitmap)  on a null object reference_x000D_
        at com example atheneum activities MainActivity 1 onChanged(MainActivity java:113)_x000D_
        at com example atheneum activities MainActivity 1 onChanged(MainActivity java:102)_x000D_
        at android arch lifecycle LiveData considerNotify(LiveData java:109)_x000D_
        at android arch lifecycle LiveData dispatchingValue(LiveData java:126)_x000D_
        at android arch lifecycle LiveData setValue(LiveData java:282)_x000D_
        at android arch lifecycle MutableLiveData setValue(MutableLiveData java:33)_x000D_
        at android arch lifecycle Transformations 1 onChanged(Transformations java:70)_x000D_
        at android arch lifecycle MediatorLiveData Source onChanged(MediatorLiveData java:152)_x000D_
        at android arch lifecycle LiveData considerNotify(LiveData java:109)_x000D_
        at android arch lifecycle LiveData dispatchingValue(LiveData java:126)_x000D_
        at android arch lifecycle LiveData setValue(LiveData java:282)_x000D_
        at com example atheneum utils FirebaseQueryLiveData access 400(FirebaseQueryLiveData java:20)_x000D_
        at com example atheneum utils FirebaseQueryLiveData MyValueEventListener onDataChange(FirebaseQueryLiveData java:126)_x000D_
        at com google firebase database core ValueEventRegistration fireEvent(com google firebase:firebase database  16 0 6:75)_x000D_
        at com google firebase database core view DataEvent fire(com google firebase:firebase database  16 0 6:63)_x000D_
        at com google firebase database core view EventRaiser 1 run(com google firebase:firebase database  16 0 6:55)_x000D_
        at android os Handler handleCallback(Handler java:751)_x000D_
        at android os Handler dispatchMessage(Handler java:95)_x000D_
        at android os Looper loop(Looper java:154)_x000D_
        at android app ActivityThread main(ActivityThread java:6111)_x000D_
        at java lang reflect Method invoke(Native Method)_x000D_
        at com android internal os ZygoteInit MethodAndArgsCaller run(ZygoteInit java:865)_x000D_
        at com android internal os ZygoteInit main(ZygoteInit java:755)_x000D_
   _x000D_
_x000D_
This bug may be related to requesting a book </t>
  </si>
  <si>
    <t>commons-app-apps-android-commons-2620</t>
  </si>
  <si>
    <t>App crashes if visiting achievements in flight mode</t>
  </si>
  <si>
    <t xml:space="preserve">  Summary:   _x000D_
_x000D_
The app crashes if trying to access achievements in flight mode _x000D_
_x000D_
  System logs:  _x000D_
_x000D_
   _x000D_
2019 03 16 15:45:29 341 16309 16309 fr free nrw commons beta E AchievementsActivity: Fetching achievements statistics failed_x000D_
    java net UnknownHostException: Unable to resolve host  tools wmflabs org : No address associated with hostname_x000D_
        at java net Inet6AddressImpl lookupHostByName(Inet6AddressImpl java:157)_x000D_
        at java net Inet6AddressImpl lookupAllHostAddr(Inet6AddressImpl java:105)_x000D_
        at java net InetAddress getAllByName(InetAddress java:1154)_x000D_
        at okhttp3 Dns 1 lookup(Dns java:40)_x000D_
        at okhttp3 internal connection RouteSelector resetNextInetSocketAddress(RouteSelector java:185)_x000D_
        at okhttp3 internal connection RouteSelector nextProxy(RouteSelector java:149)_x000D_
        at okhttp3 internal connection RouteSelector next(RouteSelector java:84)_x000D_
        at okhttp3 internal connection StreamAllocation findConnection(StreamAllocation java:214)_x000D_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java:126)_x000D_
        at okhttp3 internal http RealInterceptorChain proceed(RealInterceptorChain java:147)_x000D_
        at okhttp3 internal http RealInterceptorChain proceed(RealInterceptorChain java:121)_x000D_
        at okhttp3 logging HttpLoggingInterceptor intercept(HttpLoggingInterceptor java:213)_x000D_
        at okhttp3 internal http RealInterceptorChain proceed(RealInterceptorChain java:147)_x000D_
        at okhttp3 internal http RealInterceptorChain proceed(RealInterceptorChain java:121)_x000D_
        at okhttp3 RealCall getResponseWithInterceptorChain(RealCall java:254)_x000D_
        at okhttp3 RealCall execute(RealCall java:92)_x000D_
        at fr free nrw commons mwapi OkHttpJsonApiClient lambda getAchievements 2(OkHttpJsonApiClient java:129)_x000D_
        at fr free nrw commons mwapi    Lambda OkHttpJsonApiClient e1yuTHfYTkBd47P3BZbbQnvFIto call(Unknown Source:6)_x000D_
        at io reactivex internal operators single SingleFromCallable subscribeActual(SingleFromCallable java:44)_x000D_
        at io reactivex Single subscribe(Single java:3438)_x000D_
        at io reactivex internal operators single SingleSubscribeOn SubscribeOnObserver run(SingleSubscribeOn java:89)_x000D_
        at io reactivex Scheduler DisposeTask run(Scheduler java:578)_x000D_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java:1167)_x000D_
        at java util concurrent ThreadPoolExecutor Worker run(ThreadPoolExecutor java:641)_x000D_
        at java lang Thread run(Thread java:764)_x000D_
     Caused by: android system GaiException: android getaddrinfo failed: EAI NODATA (No address associated with hostname)_x000D_
        at libcore io Linux android getaddrinfo(Native Method)_x000D_
        at libcore io BlockGuardOs android getaddrinfo(BlockGuardOs java:172)_x000D_
        at java net Inet6AddressImpl lookupHostByName(Inet6AddressImpl java:137)_x000D_
        at java net Inet6AddressImpl lookupAllHostAddr(Inet6AddressImpl java:105) _x000D_
        at java net InetAddress getAllByName(InetAddress java:1154) _x000D_
        at okhttp3 Dns 1 lookup(Dns java:40) _x000D_
        at okhttp3 internal connection RouteSelector resetNextInetSocketAddress(RouteSelector java:185) _x000D_
        at okhttp3 internal connection RouteSelector nextProxy(RouteSelector java:149) _x000D_
        at okhttp3 internal connection RouteSelector next(RouteSelector java:84) _x000D_
        at okhttp3 internal connection StreamAllocation findConnection(StreamAllocation java:214) _x000D_
        at okhttp3 internal connection StreamAllocation findHealthyConnection(StreamAllocation java:135) _x000D_
        at okhttp3 internal connection StreamAllocation newStream(StreamAllocation java:114) _x000D_
        at okhttp3 internal connection ConnectInterceptor intercept(ConnectInterceptor java:42) _x000D_
        at okhttp3 internal http RealInterceptorChain proceed(RealInterceptorChain java:147) _x000D_
        at okhttp3 internal http RealInterceptorChain proceed(RealInterceptorChain java:121) _x000D_
        at okhttp3 internal cache CacheInterceptor intercept(CacheInterceptor java:93) _x000D_
        at okhttp3 internal http RealInterceptorChain proceed(RealInterceptorChain java:147) _x000D_
        at okhttp3 internal http RealInterceptorChain proceed(RealInterceptorChain java:121) _x000D_
        at okhttp3 internal http BridgeInterceptor intercept(BridgeInterceptor java:93) _x000D_
        at okhttp3 internal http RealInterceptorChain proceed(RealInterceptorChain java:147) _x000D_
        at okhttp3 internal http RetryAndFollowUpInterceptor intercept(RetryAndFollowUpInterceptor java:126) _x000D_
        at okhttp3 internal http RealInterceptorChain proceed(RealInterceptorChain java:147) _x000D_
        at okhttp3 internal http RealInterceptorChain proceed(RealInterceptorChain java:121) _x000D_
        at okhttp3 logging HttpLoggingInterceptor intercept(HttpLoggingInterceptor java:213) _x000D_
        at okhttp3 internal http RealInterceptorChain proceed(RealInterceptorChain java:147) _x000D_
        at okhttp3 internal http RealInterceptorChain proceed(RealInterceptorChain java:121) _x000D_
        at okhttp3 RealCall getResponseWithInterceptorChain(RealCall java:254) _x000D_
        at okhttp3 RealCall execute(RealCall java:92) _x000D_
        at fr free nrw commons mwapi OkHttpJsonApiClient lambda getAchievements 2(OkHttpJsonApiClient java:129) _x000D_
        at fr free nrw commons mwapi    Lambda OkHttpJsonApiClient e1yuTHfYTkBd47P3BZbbQnvFIto call(Unknown Source:6) _x000D_
        at io reactivex internal operators single SingleFromCallable subscribeActual(SingleFromCallable java:44) _x000D_
        at io reactivex Single subscribe(Single java:3438) _x000D_
        at io reactivex internal operators single SingleSubscribeOn SubscribeOnObserver run(SingleSubscribeOn java:89) _x000D_
        at io reactivex Scheduler DisposeTask run(Scheduler java:578) _x000D_
        at io reactivex internal schedulers ScheduledRunnable run(ScheduledRunnable java:66) _x000D_
        at io reactivex internal schedulers ScheduledRunnable call(ScheduledRunnable java:57) _x000D_
        at java util concurrent FutureTask run(FutureTask java:266) _x000D_
        at java util concurrent ScheduledThreadPoolExecutor ScheduledFutureTask run(ScheduledThreadPoolExecutor java:301) _x000D_
        at java util concurrent ThreadPoolExecutor runWorker(ThreadPoolExecutor java:1167) _x000D_
        at java util concurrent ThreadPoolExecutor Worker run(ThreadPoolExecutor java:641) _x000D_
        at java lang Thread run(Thread java:764) _x000D_
   _x000D_
_x000D_
  Device and Android version:   _x000D_
_x000D_
API 28</t>
  </si>
  <si>
    <t>ElderDrivers-EdXposed-163</t>
  </si>
  <si>
    <t>[BUG] SystemUI is infinitely crashing with GravityBox 8.5.2-edxposed installed</t>
  </si>
  <si>
    <t xml:space="preserve">       What happened   _x000D_
SystemUI is  infinitely crashing (http:  forum xda developers com showpost php p 79129122 postcount 1265) with GravityBox 8 5 2 edxposed installed on Android 8 1 _x000D_
_x000D_
  Xposed     Xposed Module List  _x000D_
Only GravityBox 8 5 2 edxposed _x000D_
_x000D_
  Magisk     Magisk Module List  _x000D_
Only  Riru  and and  EdXposed _x000D_
_x000D_
  EdXposed Riru   Versions of EdXposed and Riru  _x000D_
EdXposed:  0 3 0 0 beta2    0 3 1 2 beta    tried both versions_x000D_
Riru:  16    17    also tried both versions_x000D_
_x000D_
    Logcat Logcat  _x000D_
   03 16 13:39:45 338  9349  9349 F DEBUG   :                                                                _x000D_
03 16 13:39:45 338  9349  9349 F DEBUG   : Build fingerprint:  asus RU X00TD ASUS X00T 6:8 1 0 OPM1 15 2016 1901 339 20190108:user release keys _x000D_
03 16 13:39:45 338  9349  9349 F DEBUG   : Revision:  0 _x000D_
03 16 13:39:45 338  9349  9349 F DEBUG   : ABI:  arm64 _x000D_
03 16 13:39:45 338  9349  9349 F DEBUG   : pid: 9270  tid: 9284  name: Profile Saver      com android systemui    _x000D_
03 16 13:39:45 338  9349  9349 F DEBUG   : signal 6 (SIGABRT)  code  6 (SI TKILL)  fault addr         _x000D_
03 16 13:39:45 340  9349  9349 F DEBUG   : Abort message:  profile saver cc:359  Check failed: method GetCounter()    0u (method GetCounter() 535  0u 0) java lang CharSequence com android systemui statusbar policy Clock getSmallTime () access flags 34078994 _x000D_
03 16 13:39:45 340  9349  9349 F DEBUG   :     x0   0000000000000000  x1   0000000000002444  x2   0000000000000006  x3   0000000000000008_x000D_
03 16 13:39:45 340  9349  9349 F DEBUG   :     x4   00000000005b5ca8  x5   00000000005b5ca8  x6   00000000005b5ca8  x7   00000000001fffff_x000D_
03 16 13:39:45 340  9349  9349 F DEBUG   :     x8   0000000000000083  x9   0000000010000000  x10  0000007df5f4cff0  x11  30f7c70b6550914a_x000D_
03 16 13:39:45 340  9349  9349 F DEBUG   :     x12  30f7c70b6550914a  x13  0000000000000000  x14  ffffffffffffffdf  x15  0000007e8ee7a8a8_x000D_
03 16 13:39:45 340  9349  9349 F DEBUG   :     x16  000000041f781fa8  x17  0000007e8edfce6c  x18  0000007e0e200080  x19  0000000000002436_x000D_
03 16 13:39:45 340  9349  9349 F DEBUG   :     x20  0000000000002444  x21  0000000000000083  x22  0000007df2c56680  x23  0000007df5f4d089_x000D_
03 16 13:39:45 340  9349  9349 F DEBUG   :     x24  0000000000000060  x25  00000000000000c1  x26  00000000000000b0  x27  0000007e0dbf4e9a_x000D_
03 16 13:39:45 340  9349  9349 F DEBUG   :     x28  0000000000000217  x29  0000007df5f4d030  x30  0000007e8eda3630_x000D_
03 16 13:39:45 340  9349  9349 F DEBUG   :     sp   0000007df5f4cff0  pc   0000007e8eda3658  pstate 0000000060000000_x000D_
03 16 13:39:45 341  9349  9349 F DEBUG   : _x000D_
03 16 13:39:45 341  9349  9349 F DEBUG   : backtrace:_x000D_
03 16 13:39:45 341  9349  9349 F DEBUG   :      00 pc 000000000001e658   system lib64 libc so (abort 120)_x000D_
03 16 13:39:45 341  9349  9349 F DEBUG   :      01 pc 00000000000c7f60   system lib64 libart so (offset 0x386000)_x000D_
   _x000D_
_x000D_
 Full logcat (http:  forum xda developers com attachment php attachmentid 4724712 d 1552725922) _x000D_
_x000D_
               log       It can help us to locate issue  must use our logcat module_x000D_
</t>
  </si>
  <si>
    <t>k3b-APhotoManager-139</t>
  </si>
  <si>
    <t>Crash in rename dialog on device rotation</t>
  </si>
  <si>
    <t xml:space="preserve">  select image_x000D_
  menu rename_x000D_
  rotate device to landscape_x000D_
  edit name  DONE_x000D_
  rotate device to normal position again_x000D_
  press OK in rename menu_x000D_
   crash_x000D_
_x000D_
hope this log extract gives you enough information:_x000D_
   _x000D_
  03 15 23:08:43 638 18124:18193 D ImageLoader  _x000D_
Start display image task  file:   storage emulated 0 DCIM OpenCamera IMG 20190228 122402 jpg 720x1184 _x000D_
_x000D_
  03 15 23:08:43 639 18124:18193 D ImageLoader  _x000D_
Load image from disk cache  file:   storage emulated 0 DCIM OpenCamera IMG 20190228 122402 jpg 720x1184 _x000D_
_x000D_
  03 15 23:08:43 639 18124:18124 D PhotoViewAttacher  _x000D_
PhotoViewAttacherEx IMG 20190228 122402 jpg:setImageViewMatrix setRotationTo 0 0_x000D_
_x000D_
  03 15 23:08:43 654 18124:18124 D PhotoViewAttacher  _x000D_
PhotoViewAttacherEx Vogel Gezwitscher Screenshot 2019 03 12 16 28 46 png:setImageViewMatrix setRotationTo 0 0_x000D_
_x000D_
  03 15 23:08:43 654 18124:18124 D PhotoViewAttacher  _x000D_
PhotoViewAttacherEx Vogel Gezwitscher Screenshot 2019 03 12 16 28 46 png:setImageViewMatrix onGlobalLayout mZoomEnabled true resetMatrix_x000D_
_x000D_
  03 15 23:08:43 654 18124:18124 D PhotoViewAttacher  _x000D_
PhotoViewAttacherEx Teller Gerausch 2019 03 15 11 38 15 png:setImageViewMatrix setRotationTo 0 0_x000D_
_x000D_
  03 15 23:08:43 655 18124:18124 D PhotoViewAttacher  _x000D_
PhotoViewAttacherEx Teller Gerausch 2019 03 15 11 38 15 png:setImageViewMatrix onGlobalLayout mZoomEnabled true resetMatrix_x000D_
_x000D_
  03 15 23:08:43 655 18124:18124 D PhotoViewAttacher  _x000D_
PhotoViewAttacherEx IMG 20190228 122402 jpg:setImageViewMatrix setRotationTo 0 0_x000D_
_x000D_
  03 15 23:08:43 655 18124:18124 D PhotoViewAttacher  _x000D_
PhotoViewAttacherEx IMG 20190228 122402 jpg:setImageViewMatrix onGlobalLayout mZoomEnabled true resetMatrix_x000D_
_x000D_
  03 15 23:08:43 806 18124:18124 D ImageLoader  _x000D_
  03 15 23:08:43 806 18124:18124 D ImageLoader  _x000D_
Display image in ImageAware (loaded from DISC CACHE)  file:   storage emulated 0 DCIM OpenCamera IMG 20190228 122402 jpg 720x1184 _x000D_
_x000D_
  03 15 23:08:43 807 18124:18124 D PhotoViewAttacher  _x000D_
PhotoViewAttacherEx IMG 20190228 122402 jpg:setImageViewMatrix setRotationTo 0 0_x000D_
_x000D_
  03 15 23:08:43 807 18124:18124 D PhotoViewAttacher  _x000D_
PhotoViewAttacherEx IMG 20190228 122402 jpg:setImageViewMatrix setImageDrawable resetMatrix_x000D_
_x000D_
  03 15 23:08:48 001 18124:18124 E k3bFoto   _x000D_
LogCat uncaughtException java lang NullPointerException: Attempt to invoke virtual method  android content ContentResolver_x000D_
android content Context getContentResolver()  on a null object reference_x000D_
java lang NullPointerException: Attempt to invoke virtual method  android content ContentResolver android content Context getContentResolver() _x000D_
on a null object reference_x000D_
        at de k3b android util AndroidFileCommands canProcessFile(AndroidFileCommands java:526)_x000D_
        at de k3b android util AndroidFileCommands canProcessFile(AndroidFileCommands java:518)_x000D_
        at de k3b io FileCommands moveOrCopyFiles(FileCommands java:253)_x000D_
        at de k3b android util AndroidFileCommands rename(AndroidFileCommands java:206)_x000D_
        at de k3b android androFotoFinder imagedetail ImageDetailActivityViewPager onRenameSubDirAnswer(ImageDetailActivityViewPager java:1137)_x000D_
        at de k3b android androFotoFinder imagedetail ImageDetailActivityViewPager access 1300(ImageDetailActivityViewPager java:94)_x000D_
        at de k3b android androFotoFinder imagedetail ImageDetailActivityViewPager 5 onDialogResult(ImageDetailActivityViewPager java:1099)_x000D_
        at de k3b android widget Dialogs 5 onClick(Dialogs java:138)_x000D_
        at com android internal app AlertController ButtonHandler handleMessage(AlertController java:162)_x000D_
        at android os Handler dispatchMessage(Handler java:102)_x000D_
        at android os Looper loop(Looper java:135)_x000D_
        at android app ActivityThread main(ActivityThread java:5343)_x000D_
        at java lang reflect Method invoke(Native Method)_x000D_
        at java lang reflect Method invoke(Method java:372)_x000D_
        at com android internal os ZygoteInit MethodAndArgsCaller run(ZygoteInit java:905)_x000D_
        at com android internal os ZygoteInit main(ZygoteInit java:700)_x000D_
_x000D_
_x000D_
   _x000D_
</t>
  </si>
  <si>
    <t>MozillaReality-FirefoxReality-1017</t>
  </si>
  <si>
    <t>[e10s] Crash upon attempting to exit WebVR and frame stuck in LÖVR examples</t>
  </si>
  <si>
    <t xml:space="preserve">   Hardware_x000D_
  Oculus Go:  1 1 3a (https:  github com MozillaReality FirefoxReality releases tag 1 1 3a) (ab033b4)_x000D_
_x000D_
   Steps to Reproduce_x000D_
1  Turn on  Enable Multiprocessing  in   Settings   Developer Options  _x000D_
2  Load https:  lovr org docs 360 Photo_x000D_
3  Press the   Enter VR   button_x000D_
4  Look around_x000D_
5  Notice the frame is frozen_x000D_
6  Try to press the Back button to exit VR_x000D_
_x000D_
   Current Behavior_x000D_
VR presentation fails on head tracking  Here s a stuck frame:_x000D_
_x000D_
  image (https:  user images githubusercontent com 203725 54420637 c63f8a80 46c7 11e9 924a bd835cabc2e9 png)_x000D_
_x000D_
The user cannot exit VR mode  And  the loading throbber slows to a halt:_x000D_
_x000D_
  image (https:  user images githubusercontent com 203725 54420676 e2432c00 46c7 11e9 9442 3d7aa64f3971 png)_x000D_
_x000D_
FxR eventually becomes completely unresponsive and eventually crashes  Here s my crash report: https:  crash stats mozilla com report index 13817285 20cd 4207 b8b7 9d0760190315_x000D_
_x000D_
   Expected Behavior_x000D_
WebVR presentation works and  if performance degrades to a halt  the user can still exit VR mode _x000D_
_x000D_
   Crash Report_x000D_
https:  crash stats mozilla com report index 13817285 20cd 4207 b8b7 9d0760190315_x000D_
</t>
  </si>
  <si>
    <t>cgeo-cgeo-7371</t>
  </si>
  <si>
    <t>[latest nightly] Crash when selecting Cache in Live Map</t>
  </si>
  <si>
    <t xml:space="preserve">      Detailed steps causing the problem:_x000D_
  configure c:geo to use old Mapsforge V3_x000D_
  open live map_x000D_
  select a cache_x000D_
_x000D_
      Actual behavior after performing these steps:_x000D_
  app crash    _x000D_
_x000D_
      Expected behavior after performing these steps:_x000D_
  show popup with cache details_x000D_
_x000D_
      Version of c:geo used:_x000D_
2019 03 14 NB 971f289_x000D_
_x000D_
      Is the problem reproducible for you _x000D_
Yes_x000D_
_x000D_
      System information:_x000D_
    System information    _x000D_
Device: E6853 (E6853  Sony)_x000D_
Android version: 7 1 1_x000D_
Android build: 32 4 A 1 54_x000D_
c:geo version: 2019 03 14 NB 971f289_x000D_
Google Play services: disabled   15 0 90 (040408 231259764)_x000D_
Low power mode: active_x000D_
Compass capabilities: yes_x000D_
Rotation vector sensor: present_x000D_
Orientation sensor: present_x000D_
Magnetometer   Accelerometer sensor: present_x000D_
Direction sensor used: rotation vector_x000D_
Hide own found: true_x000D_
Map strategy: detailed_x000D_
HW acceleration: enabled (default state)_x000D_
System language: de DE_x000D_
System date format: dd MM yy_x000D_
Debug mode active: no_x000D_
System internal c:geo dir:  data user 0 cgeo geocaching (4 8 GB free) internal_x000D_
User storage c:geo dir:  storage emulated 0 cgeo (4 8 GB free) external non removable_x000D_
Geocache data:  storage emulated 0 Android data cgeo geocaching files GeocacheData (4 8 GB free) external non removable_x000D_
Database:  data user 0 cgeo geocaching databases data (233 6 MB) on system internal storage_x000D_
Fine location permission: granted_x000D_
Write external storage permission: granted_x000D_
Geocaching sites enabled:_x000D_
   geocaching com: Logged in (Anmeldung OK)   PREMIUM_x000D_
   extremcaching com: Logged in (Anmeldung OK)_x000D_
Geocaching com date format: dd MMM yy_x000D_
Installed c:geo plugins: contacts_x000D_
    End of system information    _x000D_
_x000D_
      Other comments and remarks:_x000D_
Using new Mapsforge is not an option  as it still does not show all Caches (resp  needs to be re zoomed) and the Waypoints of (seemingly other stored) Caches pollute the map </t>
  </si>
  <si>
    <t>iFixit-dozuki-android-22</t>
  </si>
  <si>
    <t>🐞 Android app crashing when in certain categories</t>
  </si>
  <si>
    <t xml:space="preserve">  Background  _x000D_
   _x000D_
Customer  https:  ibrightinfo dozuki com   reports that the Android app crashes only when they view guides in a certain category _x000D_
NZ Guides NZ LDU 750 Vehicle Guide   Rev 3 (Then any truck model)_x000D_
_x000D_
I ve verified that it doesn t happen on Cloud but does in the Android app  _x000D_
_x000D_
Two categories appear to be crashing the Android App _x000D_
https:  ibrightinfo dozuki com c TMU 750_x000D_
and_x000D_
https:  ibrightinfo dozuki com c NZ LDU 750 Vehicle Guides   Rev 3_x000D_
Both categories has a large amount of guides in them _x000D_
_x000D_
  To reproduce  _x000D_
   _x000D_
1  log into their account on the Android app_x000D_
2  click NZ Guides_x000D_
3  click NZ LDU 750 Vehicle Guides   Rev 3_x000D_
4  click on any guide for app to crash_x000D_
_x000D_
  To do   _x000D_
  _x000D_
 TBD after research </t>
  </si>
  <si>
    <t>cgeo-cgeo-7369</t>
  </si>
  <si>
    <t>Google maps crashes on Android 10</t>
  </si>
  <si>
    <t xml:space="preserve">      Detailed steps causing the problem:_x000D_
  Upgrade to the Android Q beta_x000D_
  Open c:geo_x000D_
  Select  Live map  view_x000D_
_x000D_
_x000D_
      Actual behavior after performing these steps:_x000D_
The app immediately crashes_x000D_
_x000D_
_x000D_
_x000D_
      Expected behavior after performing these steps:_x000D_
The app does not crash_x000D_
_x000D_
_x000D_
_x000D_
      Version of c:geo used:_x000D_
2019 02 23_x000D_
_x000D_
_x000D_
_x000D_
      Is the problem reproducible for you _x000D_
Yes  even post reboot_x000D_
_x000D_
_x000D_
      System information:_x000D_
   _x000D_
    System information    _x000D_
Device: Pixel 3 (blueline  google)_x000D_
Android version: Q_x000D_
Android build: QPP1 190205 018 B4_x000D_
c:geo version: 2019 02 23_x000D_
Google Play services: enabled   16 0 86 (100400 237483552)_x000D_
Low power mode: inactive_x000D_
Compass capabilities: yes_x000D_
Rotation vector sensor: present_x000D_
Orientation sensor: present_x000D_
Magnetometer   Accelerometer sensor: present_x000D_
Direction sensor used: rotation vector_x000D_
Hide own found: false_x000D_
Map strategy: auto_x000D_
HW acceleration: enabled (default state)_x000D_
System language: en US_x000D_
System date format: M d yy_x000D_
Debug mode active: no_x000D_
System internal c:geo dir:  data user 0 cgeo geocaching (30 6 GB free) internal_x000D_
User storage c:geo dir:  storage emulated 0 cgeo (30 6 GB free) external non removable_x000D_
Geocache data:  storage emulated 0 Android data cgeo geocaching files GeocacheData (30 6 GB free) external non removable_x000D_
Database:  data user 0 cgeo geocaching databases data (148 0 KB) on system internal storage_x000D_
Fine location permission: granted_x000D_
Write external storage permission: granted_x000D_
Geocaching sites enabled:_x000D_
   geocaching com: Logged in (Login OK)   BASIC_x000D_
Geocaching com date format: M d yyyy_x000D_
Installed c:geo plugins:  none_x000D_
    End of system information    _x000D_
   _x000D_
</t>
  </si>
  <si>
    <t>commons-app-apps-android-commons-2585</t>
  </si>
  <si>
    <t>Crash in SearchImageFragment</t>
  </si>
  <si>
    <t xml:space="preserve">  Summary:   _x000D_
The Observable in SearchImageFragment has not been disposed as per the fragment lifecycle and because of which the app crashes (along with memory leaks)  when RxCallbacks are received after the fragment is stopped detached_x000D_
_x000D_
  System logs:  _x000D_
_x000D_
   _x000D_
USER COMMENT French locale_x000D_
_x000D_
ANDROID VERSION 7 1 2_x000D_
APP VERSION NAME 2 10 1 260_x000D_
BRAND google_x000D_
PHONE MODEL Nexus 5_x000D_
CUSTOM DATA _x000D_
STACK TRACE io reactivex exceptions OnErrorNotImplementedException: Attempt to invoke virtual method  void android view View setVisibility(int)  on a null object reference_x000D_
at io reactivex internal functions Functions OnErrorMissingConsumer accept(Functions java:704)_x000D_
at io reactivex internal functions Functions OnErrorMissingConsumer accept(Functions java:701)_x000D_
at io reactivex internal observers LambdaObserver onError(LambdaObserver java:77)_x000D_
at io reactivex internal observers LambdaObserver onNext(LambdaObserver java:67)_x000D_
at io reactivex internal operators observable ObservableObserveOn ObserveOnObserver drainNormal(ObservableObserveOn java:200)_x000D_
at io reactivex internal operators observable ObservableObserveOn ObserveOnObserver run(ObservableObserveOn java:252)_x000D_
at io reactivex android schedulers HandlerScheduler ScheduledRunnable run(HandlerScheduler java:119)_x000D_
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Caused by: java lang NullPointerException: Attempt to invoke virtual method  void android view View setVisibility(int)  on a null object reference_x000D_
at fr free nrw commons explore images SearchImageFragment handleNoInternet(SearchImageFragment java:233)_x000D_
at fr free nrw commons explore images SearchImageFragment updateImageList(SearchImageFragment java:136)_x000D_
at fr free nrw commons explore SearchActivity lambda setTabs 1 SearchActivity(SearchActivity java:112)_x000D_
at fr free nrw commons explore SearchActivity  Lambda 1 accept(Unknown Source)_x000D_
at io reactivex internal observers LambdaObserver onNext(LambdaObserver java:63)_x000D_
    10 more_x000D_
java lang NullPointerException: Attempt to invoke virtual method  void android view View setVisibility(int)  on a null object reference_x000D_
at fr free nrw commons explore images SearchImageFragment handleNoInternet(SearchImageFragment java:233)_x000D_
at fr free nrw commons explore images SearchImageFragment updateImageList(SearchImageFragment java:136)_x000D_
at fr free nrw commons explore SearchActivity lambda setTabs 1 SearchActivity(SearchActivity java:112)_x000D_
at fr free nrw commons explore SearchActivity  Lambda 1 accept(Unknown Source)_x000D_
at io reactivex internal observers LambdaObserver onNext(LambdaObserver java:63)_x000D_
at io reactivex internal operators observable ObservableObserveOn ObserveOnObserver drainNormal(ObservableObserveOn java:200)_x000D_
at io reactivex internal operators observable ObservableObserveOn ObserveOnObserver run(ObservableObserveOn java:252)_x000D_
at io reactivex android schedulers HandlerScheduler ScheduledRunnable run(HandlerScheduler java:119)_x000D_
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     _x000D_
_x000D_
  Device and Android version:   _x000D_
APP VERSION NAME 2 10 1 260_x000D_
BRAND google_x000D_
PHONE MODEL Nexus 5_x000D_
_x000D_
 _x000D_
  Commons app version:   _x000D_
2 10 1 260_x000D_
_x000D_
  Would you like to work on the issue   _x000D_
Yes_x000D_
</t>
  </si>
  <si>
    <t>EyeSeeTea-EReferralsApp-207</t>
  </si>
  <si>
    <t>Frequent background crashes</t>
  </si>
  <si>
    <t xml:space="preserve">The app  v1 3 2  frequently crashes when in background 
I have been reporting the crashes since yesterday 
It used to happen in the past but the frequency has noticeably increased with the later versions 
Let me know of anything I could try out to help make the issue reproducible </t>
  </si>
  <si>
    <t>CMPUT301W19T11-Atheneum-126</t>
  </si>
  <si>
    <t>Permission denied for camera causes application to crash when taking photo in edit profile photo</t>
  </si>
  <si>
    <t xml:space="preserve">Taking a photo for the user s profile when camera permissions are denied for the application crashes the application _x000D_
_x000D_
Steps to reproduce the behavior:_x000D_
1  Have camera permission denied for the application in the app  settings _x000D_
2  Go to profile _x000D_
3  Edit profile and take a photo _x000D_
4  Application crashes _x000D_
_x000D_
The application should ask for camera permissions and not crash the application </t>
  </si>
  <si>
    <t>fletchy95-Agrivolution-34</t>
  </si>
  <si>
    <t>Submit Ticket Page</t>
  </si>
  <si>
    <t xml:space="preserve">After merging our page we are getting an issue where either nothing comes up  or the page crashes when entering the submit ticket page   This issue was not occurring prior to merging all of our data  and is no happening   Troubleshooting will commence this week  Some sort of LinearLayout and or TextView logic error   Compiler does not report issue   </t>
  </si>
  <si>
    <t>gentlecat-counter-70</t>
  </si>
  <si>
    <t>Counter editor doesn't have proper limits for values</t>
  </si>
  <si>
    <t xml:space="preserve">It is possible to set value to be over the actual maximum or minimum  When this happens  an exception gets thrown and the app crashes </t>
  </si>
  <si>
    <t>CMPUT301W19T11-Atheneum-123</t>
  </si>
  <si>
    <t>Adding a book with no fields inputted crashes application</t>
  </si>
  <si>
    <t xml:space="preserve">When a user adds a book with none of the fields filled  the application crashes _x000D_
_x000D_
Steps to reproduce the behavior:_x000D_
1  Add a book by going to the owner fragment by tapping the     floating action button _x000D_
2  Tap the save floating action button _x000D_
3  Application crashes _x000D_
Here is the stack trace:_x000D_
   _x000D_
E AndroidRuntime: FATAL EXCEPTION: main_x000D_
    Process: com example atheneum  PID: 28439_x000D_
    java lang NullPointerException: Attempt to invoke virtual method  android content res Resources android content Context getResources()  on a null object reference_x000D_
        at android widget Toast  init (Toast java:102)_x000D_
        at android widget Toast makeText(Toast java:260)_x000D_
        at com example atheneum activities AddEditBookActivity saveNewBook(AddEditBookActivity java:359)_x000D_
        at com example atheneum activities AddEditBookActivity 2 onClick(AddEditBookActivity java:143)_x000D_
        at android view View performClick(View java:5609)_x000D_
        at android view View PerformClick run(View java:22287)_x000D_
        at android os Handler handleCallback(Handler java:751)_x000D_
        at android os Handler dispatchMessage(Handler java:95)_x000D_
        at android os Looper loop(Looper java:154)_x000D_
        at android app ActivityThread main(ActivityThread java:6111)_x000D_
        at java lang reflect Method invoke(Native Method)_x000D_
        at com android internal os ZygoteInit MethodAndArgsCaller run(ZygoteInit java:865)_x000D_
        at com android internal os ZygoteInit main(ZygoteInit java:755)_x000D_
   _x000D_
_x000D_
All fields should require the user to input something into their field probably by showing a Toast message  A validator should probably be implemented for every field </t>
  </si>
  <si>
    <t>CMPUT301W19T11-Atheneum-122</t>
  </si>
  <si>
    <t>Able to put in very long int for ISBN when creating book, crashes application when save</t>
  </si>
  <si>
    <t xml:space="preserve">Users are able to enter a very long integer in the ISBN field when creating a book  Saving the book causes the application to crash _x000D_
_x000D_
Steps to reproduce the behavior:_x000D_
1  Create a new book by going to the owner page and tapping the     floating action button _x000D_
2  Put a very long integer in the ISBN field (other fields need to be filled as well)_x000D_
3  Tap save floating action button _x000D_
4  Application crashes_x000D_
Here is the stack trace:_x000D_
   _x000D_
E AndroidRuntime: FATAL EXCEPTION: main_x000D_
    Process: com example atheneum  PID: 30269_x000D_
    java lang NumberFormatException: For input string:  6666666666666666666666666666666666666666666666666666666666666 _x000D_
        at java lang Long parseLong(Long java:446)_x000D_
        at java lang Long parseLong(Long java:485)_x000D_
        at com example atheneum activities AddEditBookActivity saveNewBook(AddEditBookActivity java:372)_x000D_
        at com example atheneum activities AddEditBookActivity 2 onClick(AddEditBookActivity java:143)_x000D_
        at android view View performClick(View java:5609)_x000D_
        at android view View PerformClick run(View java:22287)_x000D_
        at android os Handler handleCallback(Handler java:751)_x000D_
        at android os Handler dispatchMessage(Handler java:95)_x000D_
        at android os Looper loop(Looper java:154)_x000D_
        at android app ActivityThread main(ActivityThread java:6111)_x000D_
        at java lang reflect Method invoke(Native Method)_x000D_
        at com android internal os ZygoteInit MethodAndArgsCaller run(ZygoteInit java:865)_x000D_
        at com android internal os ZygoteInit main(ZygoteInit java:755)_x000D_
   _x000D_
_x000D_
The input field shouldn t allow a value more than 13 digits in length  A validator should also be implemented after the user taps the save floating action button </t>
  </si>
  <si>
    <t>dashevo-dash-wallet-187</t>
  </si>
  <si>
    <t>Fingerprint Scanning Crash</t>
  </si>
  <si>
    <t xml:space="preserve">App crashes in some cases after scanning a fingerprint </t>
  </si>
  <si>
    <t>amahi-android-440</t>
  </si>
  <si>
    <t>fix: App crash after Sign out and Sign in again</t>
  </si>
  <si>
    <t xml:space="preserve">Fixes  437 _x000D_
_x000D_
Please Add Screenshots If any UI changes _x000D_
_x000D_
GIF showing that there s no crash now after sign out and sign in :_x000D_
_x000D_
  amahi signin (https:  user images githubusercontent com 26673203 54230958 8cd31780 452d 11e9 9dd0 c44656fe2fd4 gif)_x000D_
_x000D_
  Summary of changes  _x000D_
getContext() and getActivity() in a fragment sometimes return null  So context and activity attributes are initialized in onAttach() method of a fragment  Also  all the usages of getContext() and getActivity() in the NavigationFragment file are replaced with appropriate context and activity attributes to avoid further null exceptions _x000D_
_x000D_
Please make sure these boxes are checked before submitting your pull request   thanks _x000D_
_x000D_
   x  Apply the  AndroidStyle xml  style template to your code in Android Studio _x000D_
_x000D_
   x  Run the unit tests with    gradlew check  to make sure you didn t break anything_x000D_
_x000D_
   x  If you have multiple commits please combine them into one commit by squashing them _x000D_
</t>
  </si>
  <si>
    <t>commons-app-apps-android-commons-2580</t>
  </si>
  <si>
    <t>App is crashing in GridViewAdapter</t>
  </si>
  <si>
    <t xml:space="preserve">  Summary:   _x000D_
_x000D_
App crashes in GridViewAdapter_x000D_
_x000D_
  Steps to reproduce:   _x000D_
_x000D_
  System logs:  _x000D_
_x000D_
   _x000D_
java util UnknownFormatConversionException: Conversion    End of String _x000D_
at java util Formatter FormatSpecifierParser peek(Formatter java:2641)_x000D_
at java util Formatter FormatSpecifierParser  init (Formatter java:2602)_x000D_
at java util Formatter parse(Formatter java:2557)_x000D_
at java util Formatter format(Formatter java:2504)_x000D_
at java util Formatter format(Formatter java:2458)_x000D_
at java lang String format(String java:2883)_x000D_
at fr free nrw commons category GridViewAdapter setAuthorView(GridViewAdapter java:106)_x000D_
at fr free nrw commons category GridViewAdapter getView(GridViewAdapter java:92)_x000D_
at android widget AbsListView obtainView(AbsListView java:2477)_x000D_
at android widget GridView onMeasure(GridView java:1070)_x000D_
at android view View measure(View java:23188)_x000D_
at android widget RelativeLayout measureChildHorizontal(RelativeLayout java:715)_x000D_
at android widget RelativeLayout onMeasure(RelativeLayout java:461)_x000D_
at android view View measure(View java:23188)_x000D_
at android view ViewGroup measureChildWithMargins(ViewGroup java:6749)_x000D_
at android widget FrameLayout onMeasure(FrameLayout java:185)_x000D_
at android view View measure(View java:23188)_x000D_
at android widget RelativeLayout measureChildHorizontal(RelativeLayout java:715)_x000D_
at android widget RelativeLayout onMeasure(RelativeLayout java:461)_x000D_
at android view View measure(View java:23188)_x000D_
at android support v4 widget DrawerLayout onMeasure(DrawerLayout java:1059)_x000D_
at android view View measure(View java:23188)_x000D_
at android view ViewGroup measureChildWithMargins(ViewGroup java:6749)_x000D_
at android widget FrameLayout onMeasure(FrameLayout java:185)_x000D_
at android support v7 widget ContentFrameLayout onMeasure(ContentFrameLayout java:141)_x000D_
at android view View measure(View java:23188)_x000D_
at android view ViewGroup measureChildWithMargins(ViewGroup java:6749)_x000D_
at android widget LinearLayout measureChildBeforeLayout(LinearLayout java:1535)_x000D_
at android widget LinearLayout measureVertical(LinearLayout java:825)_x000D_
at android widget LinearLayout onMeasure(LinearLayout java:704)_x000D_
at android view View measure(View java:23188)_x000D_
at android view ViewGroup measureChildWithMargins(ViewGroup java:6749)_x000D_
at android widget FrameLayout onMeasure(FrameLayout java:185)_x000D_
at android view View measure(View java:23188)_x000D_
at android view ViewGroup measureChildWithMargins(ViewGroup java:6749)_x000D_
at android widget LinearLayout measureChildBeforeLayout(LinearLayout java:1535)_x000D_
at android widget LinearLayout measureVertical(LinearLayout java:825)_x000D_
at android widget LinearLayout onMeasure(LinearLayout java:704)_x000D_
at android view View measure(View java:23188)_x000D_
at android view ViewGroup measureChildWithMargins(ViewGroup java:6749)_x000D_
at android widget FrameLayout onMeasure(FrameLayout java:185)_x000D_
at com android internal policy DecorView onMeasure(DecorView java:728)_x000D_
at android view View measure(View java:23188)_x000D_
at android view ViewRootImpl performMeasure(ViewRootImpl java:2732)_x000D_
at android view ViewRootImpl measureHierarchy(ViewRootImpl java:1585)_x000D_
at android view ViewRootImpl performTraversals(ViewRootImpl java:1869)_x000D_
at android view ViewRootImpl doTraversal(ViewRootImpl java:1473)_x000D_
at android view ViewRootImpl TraversalRunnable run(ViewRootImpl java:7215)_x000D_
at android view Choreographer CallbackRecord run(Choreographer java:1004)_x000D_
at android view Choreographer doCallbacks(Choreographer java:816)_x000D_
at android view Choreographer doFrame(Choreographer java:751)_x000D_
at android view Choreographer FrameDisplayEventReceiver run(Choreographer java:990)_x000D_
at android os Handler handleCallback(Handler java:873)_x000D_
at android os Handler dispatchMessage(Handler java:99)_x000D_
at android os Looper loop(Looper java:280)_x000D_
at android app ActivityThread main(ActivityThread java:6710)_x000D_
at java lang reflect Method invoke(Native Method)_x000D_
at com android internal os RuntimeInit MethodAndArgsCaller run(RuntimeInit java:493)_x000D_
at com android internal os ZygoteInit main(ZygoteInit java:858)_x000D_
_x000D_
   _x000D_
_x000D_
  Device and Android version:   _x000D_
_x000D_
ANDROID VERSION 9_x000D_
_x000D_
 _x000D_
  Commons app version:   _x000D_
_x000D_
APP VERSION NAME 2 10 2_x000D_
_x000D_
_x000D_
  Would you like to work on the issue   _x000D_
_x000D_
Yes_x000D_
</t>
  </si>
  <si>
    <t>named-data-mobile-ndn-photo-app-107</t>
  </si>
  <si>
    <t>App crash in ViewPhotosActivity</t>
  </si>
  <si>
    <t xml:space="preserve">app crashes when i try to open any image received_x000D_
_x000D_
Log  _x000D_
2019 03 12 21:16:49 746 20385 20385 memphis myapplication E AndroidRuntime: FATAL EXCEPTION: main_x000D_
    Process: memphis myapplication  PID: 20385_x000D_
    java lang IndexOutOfBoundsException: Index: 1  Size: 1_x000D_
        at java util ArrayList get(ArrayList java:437)_x000D_
        at memphis myapplication ViewPhotosActivity 1 onTick(ViewPhotosActivity java:56)_x000D_
        at android os CountDownTimer 1 handleMessage(CountDownTimer java:130)_x000D_
        at android os Handler dispatchMessage(Handler java:106)_x000D_
        at android os Looper loop(Looper java:193)_x000D_
        at android app ActivityThread main(ActivityThread java:6692)_x000D_
        at java lang reflect Method invoke(Native Method)_x000D_
        at com android internal os RuntimeInit MethodAndArgsCaller run(RuntimeInit java:493)_x000D_
        at com android internal os ZygoteInit main(ZygoteInit java:858)_x000D_
 </t>
  </si>
  <si>
    <t>itachi1706-SingBuses-160</t>
  </si>
  <si>
    <t>NTUBusActivity.java line 336</t>
  </si>
  <si>
    <t xml:space="preserve">     in com itachi1706 busarrivalsg NTUBusActivity QueryStopAsyncTask doInBackground
  Number of crashes: 1
  Impacted devices: 1
There s a lot more information about this crash on crashlytics com:
 https:  fabric io itachi1706s projects android apps com itachi1706 busarrivalsg issues 5c87a534f8b88c2963d26dd8 utm medium service hooks github utm source issue impact (https:  fabric io itachi1706s projects android apps com itachi1706 busarrivalsg issues 5c87a534f8b88c2963d26dd8 utm medium service hooks github utm source issue impact)</t>
  </si>
  <si>
    <t>awslabs-aws-mobile-appsync-sdk-android-129</t>
  </si>
  <si>
    <t>Database crash: appsyncstore-journal</t>
  </si>
  <si>
    <t xml:space="preserve">When i launch the android app for the first time on a device I get a fatal database crash:_x000D_
    Application has opened too many files  Maximum of available file descriptors in one process is 1024 in default    _x000D_
_x000D_
It points to this file:  data user 0 com fixxt databases appsyncstore journal_x000D_
_x000D_
So it looks like the appsyncstore journal database does not close properly _x000D_
_x000D_
This only happens the first time i install the app  When i start the app again all is okay _x000D_
_x000D_
I use this version:  com amazonaws:aws android sdk appsync:2 7 8 _x000D_
_x000D_
_x000D_
See trace below_x000D_
_x000D_
   bash_x000D_
           beginning of crash_x000D_
2019 03 12 12:32:19 058 26658 26856 com fixxt A libc: Fatal signal 6 (SIGABRT)  code  6 in tid 26856 (RenderThread)_x000D_
2019 03 12 12:32:19 109 26658 27491 com fixxt E SQLiteLog: (14) cannot open file at line 33767 of  8201f4e1c5 _x000D_
2019 03 12 12:32:19 109 26658 27491 com fixxt E SQLiteLog: (14) os unix c:33767: (24) openDirectory( data user 0 com fixxt databases)   _x000D_
2019 03 12 12:32:19 109 26658 27491 com fixxt E SQLiteLog: (1) Process  : Pid (26658) Uid (10895) Euid (10895) Gid (10895) Egid (10895)_x000D_
2019 03 12 12:32:19 114 26658 27491 com fixxt E SQLiteLog: (14) cannot open file at line 36170 of  8201f4e1c5 _x000D_
2019 03 12 12:32:19 114 26658 27491 com fixxt E SQLiteLog: (14) os unix c:36170: (24) open( data user 0 com fixxt databases appsyncstore journal)   _x000D_
2019 03 12 12:32:19 114 26658 27491 com fixxt E SQLiteLog: (1) Process  : Pid (26658) Uid (10895) Euid (10895) Gid (10895) Egid (10895)_x000D_
2019 03 12 12:32:19 114 26658 27491 com fixxt E SQLiteLog: (14) cannot open file at line 36170 of  8201f4e1c5 _x000D_
2019 03 12 12:32:19 114 26658 27491 com fixxt E SQLiteLog: (14) os unix c:36170: (24) open( data user 0 com fixxt databases appsyncstore journal)   _x000D_
2019 03 12 12:32:19 114 26658 27491 com fixxt E SQLiteLog: (1) Process  : Pid (26658) Uid (10895) Euid (10895) Gid (10895) Egid (10895)_x000D_
2019 03 12 12:32:19 114 26658 27491 com fixxt E SQLiteLog: (2062) statement aborts at 15:  SELECT  id  key  record FROM records WHERE key      unable to open database file_x000D_
2019 03 12 12:32:19 118 26658 27491 com fixxt E SQLiteQuery: exception: unable to open database file (code 2062)_x000D_
                                                                     _x000D_
    Error Code : 2062 (SQLITE CANTOPEN EMFILE)_x000D_
    Caused By : Application has opened too many files  Maximum of available file descriptors in one process is 1024 in default _x000D_
    	(unable to open database file (code 2062))_x000D_
                                                                       query: SELECT  id  key  record FROM records WHERE key    _x000D_
2019 03 12 12:32:19 118 26658 27543 com fixxt E SQLiteLog: (14) cannot open file at line 36170 of  8201f4e1c5 _x000D_
2019 03 12 12:32:19 118 26658 27543 com fixxt E SQLiteLog: (14) os unix c:36170: (24) open( data user 0 com fixxt databases appsyncstore journal)   _x000D_
2019 03 12 12:32:19 118 26658 27543 com fixxt E SQLiteLog: (1) Process  : Pid (26658) Uid (10895) Euid (10895) Gid (10895) Egid (10895)_x000D_
2019 03 12 12:32:19 138 26658 27456 com fixxt E SQLiteLog: (14) cannot open file at line 33767 of  8201f4e1c5 _x000D_
2019 03 12 12:32:19 138 26658 27456 com fixxt E SQLiteLog: (14) os unix c:33767: (24) openDirectory( data user 0 com fixxt databases)   _x000D_
2019 03 12 12:32:19 138 26658 27456 com fixxt E SQLiteLog: (1) Process  : Pid (26658) Uid (10895) Euid (10895) Gid (10895) Egid (10895)_x000D_
2019 03 12 12:32:19 143 26658 27456 com fixxt E SQLiteLog: (14) cannot open file at line 36170 of  8201f4e1c5 _x000D_
2019 03 12 12:32:19 143 26658 27456 com fixxt E SQLiteLog: (14) os unix c:36170: (24) open( data user 0 com fixxt databases appsyncstore journal)   _x000D_
2019 03 12 12:32:19 143 26658 27456 com fixxt E SQLiteLog: (1) Process  : Pid (26658) Uid (10895) Euid (10895) Gid (10895) Egid (10895)_x000D_
2019 03 12 12:32:19 143 26658 27456 com fixxt E SQLiteLog: (14) cannot open file at line 36170 of  8201f4e1c5 _x000D_
2019 03 12 12:32:19 143 26658 27456 com fixxt E SQLiteLog: (14) os unix c:36170: (24) open( data user 0 com fixxt databases appsyncstore journal)   _x000D_
2019 03 12 12:32:19 143 26658 27456 com fixxt E SQLiteLog: (1) Process  : Pid (26658) Uid (10895) Euid (10895) Gid (10895) Egid (10895)_x000D_
2019 03 12 12:32:19 143 26658 27456 com fixxt E SQLiteLog: (2062) statement aborts at 15:  SELECT  id  key  record FROM records WHERE key      unable to open database file_x000D_
2019 03 12 12:32:19 145 26658 27456 com fixxt E SQLiteQuery: exception: unable to open database file (code 2062)_x000D_
                                                                     _x000D_
    Error Code : 2062 (SQLITE CANTOPEN EMFILE)_x000D_
    Caused By : Application has opened too many files  Maximum of available file descriptors in one process is 1024 in default _x000D_
    	(unable to open database file (code 2062))_x000D_
                                                                       query: SELECT  id  key  record FROM records WHERE key    _x000D_
2019 03 12 12:32:19 302 27586 27586   A DEBUG:                                                                _x000D_
2019 03 12 12:32:19 302 27586 27586   A DEBUG: Build fingerprint:  samsung dreamltexx dreamlte:8 0 0 R16NW G950FXXS4CSA2:user release keys _x000D_
   </t>
  </si>
  <si>
    <t>jonathonbauer-watched-53</t>
  </si>
  <si>
    <t>App Crash on No Results Found</t>
  </si>
  <si>
    <t xml:space="preserve">The app crashes if the user searches for something that doesn t have any results  This needs to be fixed </t>
  </si>
  <si>
    <t>nextcloud-android-3739</t>
  </si>
  <si>
    <t>App crash on startup</t>
  </si>
  <si>
    <t xml:space="preserve">    Actual behaviour_x000D_
  I open the app and it instantly crashes_x000D_
_x000D_
    Expected behaviour_x000D_
  I open the app and see my files _x000D_
    Steps to reproduce_x000D_
1  open appp_x000D_
2  crash_x000D_
_x000D_
  _x000D_
    Environment data_x000D_
Android version: LineageOS15 1_x000D_
_x000D_
Device model: Samsung A3_x000D_
_x000D_
Stock or customized system: Lineageos_x000D_
_x000D_
Nextcloud app version: dev 20190309_x000D_
_x000D_
Nextcloud server version: 15 0 2_x000D_
_x000D_
    Logs_x000D_
_x000D_
     Nextcloud log (data nextcloud log)_x000D_
   _x000D_
03 11 13:22:24 313 14995 14995 E FileDisplayActivity: Access to unexisting list of files fragment  _x000D_
03 11 13:22:24 314 14995 14995 E FileDisplayActivity: Still have a chance to lose the initializacion of list fragment  (_x000D_
03 11 13:22:24 375 14995 15036 D ExternalLinks: links disabled_x000D_
03 11 13:22:24 414 14995 15038 D OwnCloudClient  7: REQUEST GET  ocs v1 php cloud users one_x000D_
03 11 13:22:24 485 14995 14995 E FileDisplayActivity: Access to unexisting list of files fragment  _x000D_
03 11 13:22:24 486  2861  2870 I zygote  : Background concurrent copying GC freed 76902(3MB) AllocSpace objects  26(828KB) LOS objects  42  free  14MB 25MB  paused 218us total 179 217ms_x000D_
03 11 13:22:24 490 14995 14995 V FileDisplayActivity: onResume() start_x000D_
03 11 13:22:24 490 14995 14995 D FileDisplayActivity: onResume() starting_x000D_
03 11 13:22:24 507 14995 14995 I OCFileListFragment: onAttach_x000D_
03 11 13:22:24 515 14995 14995 I OCFileListFragment: onCreateView() start_x000D_
03 11 13:22:24 515 14995 14995 D ExtendedListFragment: onCreateView_x000D_
03 11 13:22:24 546 14995 14995 I zygote  : Deoptimizing void androidx appcompat view menu MenuBuilder dispatchPresenterUpdate(boolean) due to JIT inline cache_x000D_
03 11 13:22:24 576 14995 14995 I zygote  : Deoptimizing int androidx recyclerview widget RecyclerView 5 getChildCount() due to JIT inline cache_x000D_
03 11 13:22:24 613 14995 14995 I OCFileListFragment: onCreateView() end_x000D_
03 11 13:22:24 613 14995 14995 I OCFileListFragment: onActivityCreated() start_x000D_
03 11 13:22:24 754 14995 14995 V FileDisplayActivity: onResume() end_x000D_
03 11 13:22:24 760 14995 15040 D OpenGLRenderer: HWUI GL Pipeline_x000D_
03 11 13:22:24 766 14995 14995 D OperationsService: Creating service_x000D_
03 11 13:22:24 768 14995 14995 D FileDownloader: Creating service_x000D_
03 11 13:22:24 780 14995 14995 D FileUploader: Creating service_x000D_
03 11 13:22:24 787 14995 14995 V UploadsStorageManager: Updating state of any killed upload_x000D_
03 11 13:22:24 790 14995 14995 V UploadsStorageManager: No upload was killed_x000D_
03 11 13:22:24 864 14995 15040 I com nextcloud android beta: android::hardware::configstore::V1 0::ISurfaceFlingerConfigs::hasWideColorDisplay retrieved: 0_x000D_
03 11 13:22:24 864 14995 15040 I OpenGLRenderer: Initialized EGL  version 1 4_x000D_
03 11 13:22:24 864 14995 15040 D OpenGLRenderer: Swap behavior 1_x000D_
03 11 13:22:24 869 14995 15040 D mali winsys: EGLint new window surface(egl winsys display   void   EGLSurface  EGLConfig  egl winsys surface    egl color buffer format   EGLBoolean) returns 0x3000    720x1280  format:1_x000D_
03 11 13:22:24 896 14995 14995 D AndroidRuntime: Shutting down VM_x000D_
03 11 13:22:24 897 14995 14995 E AndroidRuntime: FATAL EXCEPTION: main_x000D_
03 11 13:22:24 897 14995 14995 E AndroidRuntime: Process: com nextcloud android beta  PID: 14995_x000D_
03 11 13:22:24 897 14995 14995 E AndroidRuntime: java lang NullPointerException: Attempt to invoke virtual method  boolean java lang String contains(java lang CharSequence)  on a null object reference_x000D_
03 11 13:22:24 897 14995 14995 E AndroidRuntime: 	at com owncloud android ui adapter OCFileListAdapter onBindViewHolder(OCFileListAdapter java:328)_x000D_
03 11 13:22:24 897 14995 14995 E AndroidRuntime: 	at androidx recyclerview widget RecyclerView Adapter onBindViewHolder(RecyclerView java:6781)_x000D_
03 11 13:22:24 897 14995 14995 E AndroidRuntime: 	at androidx recyclerview widget RecyclerView Adapter bindViewHolder(RecyclerView java:6823)_x000D_
03 11 13:22:24 897 14995 14995 E AndroidRuntime: 	at androidx recyclerview widget RecyclerView Recycler tryBindViewHolderByDeadline(RecyclerView java:5752)_x000D_
03 11 13:22:24 897 14995 14995 E AndroidRuntime: 	at androidx recyclerview widget RecyclerView Recycler tryGetViewHolderForPositionByDeadline(RecyclerView java:6019)_x000D_
03 11 13:22:24 897 14995 14995 E AndroidRuntime: 	at androidx recyclerview widget RecyclerView Recycler getViewForPosition(RecyclerView java:5858)_x000D_
03 11 13:22:24 897 14995 14995 E AndroidRuntime: 	at androidx recyclerview widget RecyclerView Recycler getViewForPosition(RecyclerView java:5854)_x000D_
03 11 13:22:24 897 14995 14995 E AndroidRuntime: 	at androidx recyclerview widget LinearLayoutManager LayoutState next(LinearLayoutManager java:2230)_x000D_
03 11 13:22:24 897 14995 14995 E AndroidRuntime: 	at androidx recyclerview widget LinearLayoutManager layoutChunk(LinearLayoutManager java:1557)_x000D_
03 11 13:22:24 897 14995 14995 E AndroidRuntime: 	at androidx recyclerview widget LinearLayoutManager fill(LinearLayoutManager java:1517)_x000D_
03 11 13:22:24 897 14995 14995 E AndroidRuntime: 	at androidx recyclerview widget LinearLayoutManager onLayoutChildren(LinearLayoutManager java:612)_x000D_
03 11 13:22:24 897 14995 14995 E AndroidRuntime: 	at androidx recyclerview widget RecyclerView dispatchLayoutStep2(RecyclerView java:3924)_x000D_
03 11 13:22:24 897 14995 14995 E AndroidRuntime: 	at androidx recyclerview widget RecyclerView dispatchLayout(RecyclerView java:3641)_x000D_
03 11 13:22:24 897 14995 14995 E AndroidRuntime: 	at androidx recyclerview widget RecyclerView onLayout(RecyclerView java:4194)_x000D_
03 11 13:22:24 897 14995 14995 E AndroidRuntime: 	at android view View layout(View java:19659)_x000D_
03 11 13:22:24 897 14995 14995 E AndroidRuntime: 	at android view ViewGroup layout(ViewGroup java:6075)_x000D_
03 11 13:22:24 897 14995 14995 E AndroidRuntime: 	at androidx swiperefreshlayout widget SwipeRefreshLayout onLayout(SwipeRefreshLayout java:625)_x000D_
03 11 13:22:24 897 14995 14995 E AndroidRuntime: 	at android view View layout(View java:19659)_x000D_
03 11 13:22:24 897 14995 14995 E AndroidRuntime: 	at android view ViewGroup layout(ViewGroup java:6075)_x000D_
03 11 13:22:24 897 14995 14995 E AndroidRuntime: 	at androidx coordinatorlayout widget CoordinatorLayout layoutChild(CoordinatorLayout java:1183)_x000D_
03 11 13:22:24 897 14995 14995 E AndroidRuntime: 	at androidx coordinatorlayout widget CoordinatorLayout onLayoutChild(CoordinatorLayout java:870)_x000D_
03 11 13:22:24 897 14995 14995 E AndroidRuntime: 	at androidx coordinatorlayout widget CoordinatorLayout onLayout(CoordinatorLayout java:889)_x000D_
03 11 13:22:24 897 14995 14995 E AndroidRuntime: 	at android view View layout(View java:19659)_x000D_
03 11 13:22:24 897 14995 14995 E AndroidRuntime: 	at android view ViewGroup layout(ViewGroup java:6075)_x000D_
03 11 13:22:24 897 14995 14995 E AndroidRuntime: 	at android widget RelativeLayout onLayout(RelativeLayout java:1083)_x000D_
03 11 13:22:24 897 14995 14995 E AndroidRuntime: 	at android view View layout(View java:19659)_x000D_
03 11 13:22:24 897 14995 14995 E AndroidRuntime: 	at android view ViewGroup layout(ViewGroup java:6075)_x000D_
03 11 13:22:24 897 14995 14995 E AndroidRuntime: 	at android widget FrameLayout layoutChildren(FrameLayout java:323)_x000D_
03 11 13:22:24 897 14995 14995 E AndroidRuntime: 	at android widget FrameLayout onLayout(FrameLayout java:261)_x000D_
03 11 13:22:24 897 14995 14995 E AndroidRuntime: 	at android view View layout(View java:19659)_x000D_
03 11 13:22:24 897 14995 14995 E AndroidRuntime: 	at android view ViewGroup layout(ViewGroup java:6075)_x000D_
03 11 13:22:24 897 14995 14995 E AndroidRuntime: 	at android widget LinearLayout setChildFrame(LinearLayout java:1791)_x000D_
03 11 13:22:24 897 14995 14995 E AndroidRuntime: 	at android widget LinearLayout layoutHorizontal(LinearLayout java:1780)_x000D_
03 11 13:22:24 897 14995 14995 E AndroidRuntime: 	at android widget LinearLayout onLayout(LinearLayout java:1546)_x000D_
03 11 13:22:24 897 14995 14995 E AndroidRuntime: 	at android view View layout(View java:19659)_x000D_
03 11 13:22:24 897 14995 14995 E AndroidRuntime: 	at android view ViewGroup layout(ViewGroup java:6075)_x000D_
03 11 13:22:24 897 14995 14995 E AndroidRuntime: 	at android widget LinearLayout setChildFrame(LinearLayout java:1791)_x000D_
03 11 13:22:24 897 14995 14995 E AndroidRuntime: 	at android widget LinearLayout layoutVertical(LinearLayout java:1635)_x000D_
03 11 13:22:24 897 14995 14995 E AndroidRuntime: 	at android widget LinearLayout onLayout(LinearLayout java:1544)_x000D_
03 11 13:22:24 897 14995 14995 E AndroidRuntime: 	at android view View layout(View java:19659)_x000D_
03 11 13:22:24 897 14995 14995 E AndroidRuntime: 	at android view ViewGroup layout(ViewGroup java:6075)_x000D_
03 11 13:22:24 897 14995 14995 E AndroidRuntime: 	at androidx drawerlayout widget DrawerLayout onLayout(DrawerLayout java:1231)_x000D_
03 11 13:22:24 897 14995 14995 E AndroidRuntime: 	at android view View layout(View java:19659)_x000D_
03 11 13:22:24 897 14995 14995 E AndroidRuntime: 	at android view ViewGroup layout(ViewGroup java:6075)_x000D_
03 11 13:22:24 897 14995 14995 E AndroidRuntime: 	at android widget FrameLayout layoutChildren(FrameLayout java:323)_x000D_
03 11 13:22:24 897 14995 14995 E AndroidRuntime: 	at android widget FrameLayout onLayout(FrameLayout java:261)_x000D_
03 11 13:22:24 897 14995 14995 E AndroidRuntime: 	at android view View layout(View java:19659)_x000D_
03 11 13:22:24 897 14995 14995 E AndroidRuntime: 	at android view ViewGroup layout(ViewGroup java:6075)_x000D_
03 11 13:22:24 897 14995 14995 E AndroidRuntime: 	at android widget FrameLayout layoutChildren(FrameLayout java:323)_x000D_
03 11 13:22:24 897 14995 14995 E AndroidRuntime: 	at android widget FrameLayout onLayout(FrameLayout java:261)_x000D_
03 11 13:22:24 897 14995 14995 E AndroidRuntime: 	at android view View layout(View java:19659)_x000D_
03 11 13:22:24 897 14995 14995 E AndroidRuntime: 	at android view ViewGroup layout(ViewGroup java:6075)_x000D_
03 11 13:22:24 897 14995 14995 E AndroidRuntime: 	at android widget FrameLayout layoutChildren(FrameLayout java:323)_x000D_
03 11 13:22:24 897 14995 14995 E AndroidRuntime: 	at android widget FrameLayout onLayout(FrameLayout java:261)_x000D_
03 11 13:22:24 897 14995 14995 E AndroidRuntime: 	at android view View layout(View java:19659)_x000D_
03 11 13:22:24 897 14995 14995 E AndroidRuntime: 	at android view ViewGroup layout(ViewGroup java:6075)_x000D_
03 11 13:22:24 897 14995 14995 E AndroidRuntime: 	at android widget LinearLayout setChildFrame(LinearLayout java:1791)_x000D_
03 11 13:22:24 897 14995 14995 E AndroidRuntime: 	at android widget LinearLayout layoutVertical(LinearLayout java:1635)_x000D_
03 11 13:22:24 897 14995 14995 E AndroidRuntime: 	at android widget LinearLayout onLayout(LinearLayout java:1544)_x000D_
03 11 13:22:24 897 14995 14995 E AndroidRuntime: 	at android view View layout(View java:19659)_x000D_
03 11 13:22:24 897 14995 14995 E AndroidRuntime: 	at android view ViewGroup layout(ViewGroup java:6075)_x000D_
03 11 13:22:24 897 14995 14995 E AndroidRuntime: 	at android widget FrameLayout layoutChildren(FrameLayout java:323)_x000D_
03 11 13:22:24 897 14995 14995 E AndroidRuntime: 	at android widget FrameLayout onLayout(FrameLayout java:261)_x000D_
03 11 13:22:24 897 14995 14995 E AndroidRuntime: 	at com android internal policy DecorView onLayout(DecorView java:761)_x000D_
03 11 13:22:24 897 14995 14995 E AndroidRuntime: 	at android view View layout(View java:19659)_x000D_
03 11 13:22:24 897 14995 14995 E AndroidRuntime: 	at android view ViewGroup layout(ViewGroup java:6075)_x000D_
03 11 13:22:24 897 14995 14995 E AndroidRuntime: 	at android view ViewRootImpl performLayout(ViewRootImpl java:2496)_x000D_
03 11 13:22:24 897 14995 14995 E AndroidRuntime: 	at android view ViewRootImpl performTraversals(ViewRootImpl java:2212)_x000D_
03 11 13:22:24 897 14995 14995 E AndroidRuntime: 	at android view ViewRootImpl doTraversal(ViewRootImpl java:1392)_x000D_
03 11 13:22:24 897 14995 14995 E AndroidRuntime: 	at android view ViewRootImpl TraversalRunnable run(ViewRootImpl java:6752)_x000D_
03 11 13:22:24 897 14995 14995 E AndroidRuntime: 	at android view Choreographer CallbackRecord run(Choreographer java:911)_x000D_
03 11 13:22:24 897 14995 14995 E AndroidRuntime: 	at android view Choreographer doCallbacks(Choreographer java:723)_x000D_
03 11 13:22:24 897 14995 14995 E AndroidRuntime: 	at android view Choreographer doFrame(Choreographer java:658)_x000D_
03 11 13:22:24 897 14995 14995 E AndroidRuntime: 	at android view Choreographer FrameDisplayEventReceiver run(Choreographer java:897)_x000D_
03 11 13:22:24 897 14995 14995 E AndroidRuntime: 	at android os Handler handleCallback(Handler java:790)_x000D_
03 11 13:22:24 897 14995 14995 E AndroidRuntime: 	at android os Handler dispatchMessage(Handler java:99)_x000D_
03 11 13:22:24 897 14995 14995 E AndroidRuntime: 	at android os Looper loop(Looper java:164)_x000D_
03 11 13:22:24 897 14995 14995 E AndroidRuntime: 	at android app ActivityThread main(ActivityThread java:6494)_x000D_
03 11 13:22:24 897 14995 14995 E AndroidRuntime: 	at java lang reflect Method invoke(Native Method)_x000D_
03 11 13:22:24 897 14995 14995 E AndroidRuntime: 	at com android internal os RuntimeInit MethodAndArgsCaller run(RuntimeInit java:440)_x000D_
03 11 13:22:24 897 14995 14995 E AndroidRuntime: 	at com android internal os ZygoteInit main(ZygoteInit java:807)_x000D_
03 11 13:22:24 900  2861  2991 W ActivityManager:   Force finishing activity com nextcloud android beta com owncloud android ui activity FileDisplayActivity_x000D_
   _x000D_
_x000D_
</t>
  </si>
  <si>
    <t>named-data-mobile-ndn-photo-app-99</t>
  </si>
  <si>
    <t xml:space="preserve">App Crashes on Scanning QR Code in Friends Activity </t>
  </si>
  <si>
    <t xml:space="preserve">On Scanning QR code on Friends Activity app crashes immediately  I propose to add a popup for not valid referenced QR Code  and create a list( history specific) for corresponding scanned QR in a separate list view from which each one of them could be accessed and deleted if needed  _x000D_
Moreover I also wish to add the flashlight and setting functions on the QR Code activity layout through use of Camera API 2 that provides in turn more flexibility and code stabilization </t>
  </si>
  <si>
    <t>aws-amplify-aws-sdk-android-778</t>
  </si>
  <si>
    <t>SQLiteDatabaseLockedException while submiting events</t>
  </si>
  <si>
    <t xml:space="preserve">  Describe the bug  _x000D_
   _x000D_
Fatal Exception: android database sqlite SQLiteDatabaseLockedException: database is locked (code 5 SQLITE BUSY 5 )_x000D_
      at android database sqlite SQLiteConnection nativeExecuteForChangedRowCount(SQLiteConnection java)_x000D_
       at android database sqlite SQLiteConnection executeForChangedRowCount(SQLiteConnection java:946)_x000D_
       at android database sqlite SQLiteSession executeForChangedRowCount(SQLiteSession java:754)_x000D_
       at android database sqlite SQLiteStatement executeUpdateDelete(SQLiteStatement java:64)_x000D_
       at android database sqlite SQLiteDatabase delete(SQLiteDatabase java:2049)_x000D_
       at com amazonaws mobileconnectors pinpoint internal event PinpointDBBase delete(PinpointDBBase java:219)_x000D_
       at com amazonaws mobileconnectors pinpoint internal event PinpointDBUtil deleteEvent(PinpointDBUtil java:112)_x000D_
       at com amazonaws mobileconnectors pinpoint internal event EventRecorder processEvents(EventRecorder java:322)_x000D_
       at com amazonaws mobileconnectors pinpoint internal event EventRecorder 1 run(EventRecorder java:240)_x000D_
       at java util concurrent ThreadPoolExecutor runWorker(ThreadPoolExecutor java:1167)_x000D_
       at java util concurrent ThreadPoolExecutor Worker run(ThreadPoolExecutor java:641)_x000D_
       at java lang Thread run(Thread java:764)_x000D_
   _x000D_
_x000D_
  Which AWS service(s) are affected   _x000D_
com amazonaws:aws android sdk pinpoint:2 12 2_x000D_
_x000D_
  Expected behavior  _x000D_
No crash_x000D_
_x000D_
  Environment Information (please complete the following information):  _x000D_
   AWS Android SDK Version: 2 12 2_x000D_
   Device: SM G960F_x000D_
   Android Version: 9_x000D_
   Specific to simulators: No_x000D_
_x000D_
  Additional context  _x000D_
An app are sending a lot of events for performance analytics </t>
  </si>
  <si>
    <t>tty7tyil-LongShootLegacy-10</t>
  </si>
  <si>
    <t>Image metadata miss match when capture multiple images [BUG]</t>
  </si>
  <si>
    <t xml:space="preserve">  Describe the bug  _x000D_
When capture multiple images  there is a possibility the metadata of one image been write to the next image file e g  an image file has a capture date that is actually belong to the previous image _x000D_
_x000D_
  How to reproduce  _x000D_
   (If you think the describtion above is clear enough  you can skip this part ) _x000D_
  In what circumstance will this bug occur _x000D_
  Please descirbe it step by step if you can _x000D_
_x000D_
  Expected behavior  _x000D_
  Why you think it is a bug _x000D_
  What behavior do you expected _x000D_
_x000D_
  Screenshots  _x000D_
If necessary  you can add screenshots to explain the problem _x000D_
_x000D_
  Logcat files  _x000D_
  If the bug is not a crash  the logcat will not do much help  but you can attach logcat files if you want _x000D_
  You can follow  this instruction (https:  github com Tyrone Liu LongShootAlpha blob master README md how to get the logcat) to get the logcat _x000D_
   (Please do not directly paste the log here  store it in a file then attach it ) _x000D_
_x000D_
  Device and application information (please complete the following information):  _x000D_
  Device:   e g  Pixel 3  _x000D_
  Android Version (or API Level):   e g  8 1 (or 27)  _x000D_
  ROM: comes form the manufacture   or Pixel Experience  LineageOS  OmniROM  _x000D_
  Application Version:   e g  0 5 0 alpha (or commit id if you build from source)  _x000D_
_x000D_
  Additional context  _x000D_
Anything else you want to say _x000D_
_x000D_
</t>
  </si>
  <si>
    <t>ElderDrivers-EdXposed-152</t>
  </si>
  <si>
    <t>[BUG] Zygote failed to start Webview sandboxed</t>
  </si>
  <si>
    <t>_x000D_
When not having com android webview blacklisted sometimes the app using webview will crash _x000D_
_x000D_
_x000D_
_x000D_
Stacktrace from logcat:_x000D_
_x000D_
ActivityManager: Failure starting process com android webview:sandboxed process0_x000D_
java lang RuntimeException: Starting VM process through Zygote failed_x000D_
at android os ZygoteProcess start(ZygoteProcess java:239)_x000D_
at android os Process startWebView(Process java:507)_x000D_
at com android server am ActivityManagerService startProcess(ActivityManagerService java:4562)_x000D_
at com android server am ActivityManagerService lambda startProcessLocked 0(ActivityManagerService java:4516)_x000D_
at com android server am    Lambda ActivityManagerService UgpguyCBuObHjnmry xkrJGkFi0 run(Unknown Source:20)_x000D_
at android os Handler handleCallback(Handler java:873)_x000D_
at android os Handler dispatchMessage(Handler java:99)_x000D_
at android os Looper loop(Looper java:193)_x000D_
at android os HandlerThread run(HandlerThread java:65)_x000D_
at com android server ServiceThread run(ServiceThread java:44)_x000D_
Caused by: android os ZygoteStartFailedEx: Error connecting to primary zygote_x000D_
at android os ZygoteProcess openZygoteSocketIfNeeded(ZygoteProcess java:570)_x000D_
at android os ZygoteProcess startViaZygote(ZygoteProcess java:438)_x000D_
at android os ZygoteProcess start(ZygoteProcess java:232)_x000D_
    9 more_x000D_
Caused by: java io IOException: Connection refused_x000D_
at android net LocalSocketImpl connectLocal(Native Method)_x000D_
at android net LocalSocketImpl connect(LocalSocketImpl java:292)_x000D_
at android net LocalSocket connect(LocalSocket java:145)_x000D_
at android os ZygoteProcess ZygoteState connect(ZygoteProcess java:112)_x000D_
at android os ZygoteProcess openZygoteSocketIfNeeded(ZygoteProcess java:568)_x000D_
    11 more_x000D_
ActivityManager: Force stopping no viafree android appid 99017 user 0: start failure_x000D_
ActivityManager: Killing 16814:no viafree android u0a152 (adj 199): stop no viafree android</t>
  </si>
  <si>
    <t>square-okhttp-4699</t>
  </si>
  <si>
    <t>File Descriptors exhausted by Cache</t>
  </si>
  <si>
    <t xml:space="preserve">We are observing crashes in a Android app that are caused by the exhaustion of the available File Descriptors _x000D_
This seems to happen if many requests are  Call enqueue ed  We already made sure that we only have a single OkHttp instance _x000D_
While debugging it on a rooted emulator it seems to only happen if  OkHttpClient Builder cache()  is used _x000D_
     Call enqueue ing a few thousand calls  with a Cache set  leads to:_x000D_
  number of open File Descriptors goes up quite fast (well beyond 1k) and decreases slowly as the requests are being processed  If it does not crash because of missing File Descriptors it will go back to a normal number again once requests are finishing  _x000D_
   _x000D_
   _x000D_
 proc  pid  fd   ls  al   wc  l                                                                                        _x000D_
967_x000D_
 proc  pid  fd   ls  al   wc  l                                                                                        _x000D_
1327_x000D_
 proc  pid  fd   ls  al   wc  l                                                                                        _x000D_
1617_x000D_
 proc  pid  fd   ls  al   wc  l                                                                                        _x000D_
1963_x000D_
 proc  pid  fd   ls  al   wc  l                                                                                        _x000D_
1547_x000D_
 proc  pid  fd   ls  al   wc  l                                                                                        _x000D_
1040_x000D_
 proc  pid  fd   ls  al   wc  l                                                                                        _x000D_
536_x000D_
 proc  pid  fd   ls  al   wc  l                                                                                        _x000D_
149_x000D_
   _x000D_
and there are thousand of open File Descriptors like:_x000D_
   _x000D_
 proc  pid  fd   ls  al_x000D_
_x000D_
  path to the http cache  c5c99e84ce2ff13078cb523c95d74dff 1 tmp_x000D_
  path to the http cache  e4e886e180225e2e05a2e1cf94537ef9 1 tmp_x000D_
  path to the http cache  80de10600cb6c424fe994169e1135620 1 tmp_x000D_
  path to the http cache  043d5411a5b6f8930d8c34397b983e74 1 tmp_x000D_
   _x000D_
_x000D_
     Call enqueue ing a few thousand calls  with  out   a Cache set  leads to:_x000D_
  steady number of open File Descriptors that stays around that number while the requests are being fetched_x000D_
   _x000D_
 proc  pid  fd   ls  al   wc  l                                                                                        _x000D_
150_x000D_
   _x000D_
_x000D_
For both runs (with and without cache) the app storage was cleared (nothing cached yet)  so I think it is caused by OkHttp Cache writing all the responses to the File System _x000D_
</t>
  </si>
  <si>
    <t>aws-amplify-aws-sdk-android-773</t>
  </si>
  <si>
    <t>Submit Events is not working properly</t>
  </si>
  <si>
    <t xml:space="preserve">  Describe the bug  _x000D_
After Investigation I have found that the sdk is not storing the offline data  when device is offline and then if we call the submit event method just after the record event then crash occurs and because of this crash it is unable to store the records in the DB  When I check the awspinpint db file its empty _x000D_
_x000D_
So  I have to add the check network availability whenever I call the submit method  If we don t do this then our data is lost _x000D_
_x000D_
  To Reproduce  _x000D_
Disconnect the device from Internet and then record and submit events then check the db file  Or again connect the device to internet it will not send the previous recorded data _x000D_
   _x000D_
Your code_x000D_
Same like in the documentation:_x000D_
https:  aws amplify github io docs android analytics custom events_x000D_
_x000D_
public void logEvent()  _x000D_
   final AnalyticsEvent event  _x000D_
       pinpointManager getAnalyticsClient() createEvent( EventName )_x000D_
            withAttribute( DemoAttribute1    DemoAttributeValue1 )_x000D_
            withAttribute( DemoAttribute2    DemoAttributeValue2 )_x000D_
            withMetric( DemoMetric1   Math random()) _x000D_
   pinpointManager getAnalyticsClient() recordEvent(event) _x000D_
   pinpointManager getAnalyticsClient() submitEvents() _x000D_
 _x000D_
   _x000D_
  Expected behavior  _x000D_
SDK should handle the submitEvent crash method when device is offline and also record the events in DB properly _x000D_
_x000D_
_x000D_
</t>
  </si>
  <si>
    <t>square-okhttp-4697</t>
  </si>
  <si>
    <t>Android 6.0.1 Use OkHhttp  with Retrofit  cause:  java.lang.InternalError:  Invoking getAttribute with bad arg 0</t>
  </si>
  <si>
    <t>Use OkHttp with Retrofit   Crash only on  Android 6 0 1 Devices  Maybe an ART Bug _x000D_
_x000D_
    Versions:_x000D_
Okhttp:   3 10 0_x000D_
Retrofit:  2 4 0_x000D_
Rxjava:  2 0 8_x000D_
Android Gradle Plugin: 3 2 1_x000D_
_x000D_
   Crash log _x000D_
   _x000D_
 java lang InternalError:Invoking getAttribute with bad arg 0  type  Lcom example user model RegisterModel   not instance of  Ljava lang String  _x000D_
_x000D_
2  at com example user UserHelper Companion io reactivex Observable register(com example user model RegisterModel)(SourceFile:77)_x000D_
3  at com example user login LoginPresenter io reactivex Observable _x000D_
_x000D_
   _x000D_
   My Code _x000D_
 _x000D_
   kotlin_x000D_
_x000D_
interface ApiService  _x000D_
_x000D_
     POST(AppConfig API PATH     register )_x000D_
    fun register( Body registerModel: RegisterModel): Observable LoginRespResult _x000D_
_x000D_
 _x000D_
_x000D_
 Keep_x000D_
class RegisterModel  _x000D_
     SerializedName( email )_x000D_
     JvmField_x000D_
    var emailAddress: String    null_x000D_
     SerializedName( password )_x000D_
     JvmField_x000D_
    var password: String    null_x000D_
_x000D_
 _x000D_
_x000D_
 Keep_x000D_
class LoginRespResult  _x000D_
     SerializedName( auth )_x000D_
     JvmField_x000D_
    var userAuth: UserAuth    null_x000D_
 _x000D_
_x000D_
   call api_x000D_
_x000D_
fun test()  _x000D_
       HttpClient API register(registerModel)_x000D_
                 subscribeOn(Schedulers io())_x000D_
                 observeOn(AndroidSchedulers mainThread())_x000D_
                 subscribe()                _x000D_
 _x000D_
_x000D_
   _x000D_
_x000D_
_x000D_
     Someone other  asked _x000D_
 Redmi note 3  Android 6 0 1 crash (https:  cloud tencent com developer ask 196354)_x000D_
_x000D_
 _x000D_
java lang InternalError: Invoking with bad arg 0  type  Lokhttp3 RequestBody 2   not instance of   Ljava lang Object  _x000D_
2    at com sfpush pushsdk PushManager getRegistrationId(PushManager java:152)_x000D_
3    at com sfpush pushsdk PushManager start(PushManager java:63)_x000D_
4    at com sferp employe ui MainActivity onCreate(MainActivity java:174)_x000D_
5    at android app Activity performCreate(Activity java:6278)_x000D_
6    at android app Instrumentation callActivityOnCreate(Instrumentation java:1107)_x000D_
7    at android app ActivityThread performLaunchActivity(ActivityThread java:2396)_x000D_
8    at android app ActivityThread handleLaunchActivity(ActivityThread java:2503)_x000D_
9    at android app ActivityThread  wrap11(ActivityThread java)_x000D_
10    at android app ActivityThread H handleMessage(ActivityThread java:1353)_x000D_
11    at android os Handler dispatchMessage(Handler java:102)_x000D_
12    at android os Looper loop(Looper java:148)_x000D_
13    at android app ActivityThread main(ActivityThread java:5529)_x000D_
14    at java lang reflect Method invoke(Native Method)_x000D_
15    at com android internal os ZygoteInit MethodAndArgsCaller run(ZygoteInit java:745)_x000D_
16    at com android internal os ZygoteInit main(ZygoteInit java:635)_x000D_
 _x000D_
_x000D_
   Related stackoverflow question:_x000D_
 Why does Facebook and Messenger set the vmSafeMode option as false to the manifest file _x000D_
 (https:  stackoverflow com questions 54439914 why does facebook and messenger set the vmsafemode option as false to the manife newreg 73e576d3be374379a22241849dd184ab)</t>
  </si>
  <si>
    <t>Intelehealth-Android-Mobile-Client-665</t>
  </si>
  <si>
    <t>VisitSummaryActivity.java line 406</t>
  </si>
  <si>
    <t>https:  console firebase google com u 1 project mobile crashlytics crashlytics app android:io intelehealth client issues 5c7f689df8b88c296311ae30 time last seven days sessionId 5C7F6D8101450001538EA79D610C715B DNE 0 v2</t>
  </si>
  <si>
    <t>CMPUT301W19T11-Atheneum-93</t>
  </si>
  <si>
    <t>Going to Profile from the side drawer crashes the application</t>
  </si>
  <si>
    <t xml:space="preserve">Going to Profile from the side drawer crashes the application  This happened on requestSearch branch for me but someone else is experiencing this issue on master _x000D_
_x000D_
Stack trace:_x000D_
   E AndroidRuntime: FATAL EXCEPTION: main_x000D_
    Process: com example atheneum  PID: 12231_x000D_
    java lang NullPointerException: Attempt to invoke virtual method  java lang String com example atheneum models User getUserName()  on a null object reference_x000D_
        at com example atheneum fragments ViewProfileFragment onCreateView(ViewProfileFragment java:74)_x000D_
        at android support v4 app Fragment performCreateView(Fragment java:2439)_x000D_
        at android support v4 app FragmentManagerImpl moveToState(FragmentManager java:1460)_x000D_
        at android support v4 app FragmentManagerImpl moveFragmentToExpectedState(FragmentManager java:1784)_x000D_
        at android support v4 app FragmentManagerImpl moveToState(FragmentManager java:1852)_x000D_
        at android support v4 app BackStackRecord executeOps(BackStackRecord java:802)_x000D_
        at android support v4 app FragmentManagerImpl executeOps(FragmentManager java:2625)_x000D_
        at android support v4 app FragmentManagerImpl executeOpsTogether(FragmentManager java:2411)_x000D_
        at android support v4 app FragmentManagerImpl removeRedundantOperationsAndExecute(FragmentManager java:2366)_x000D_
        at android support v4 app FragmentManagerImpl execPendingActions(FragmentManager java:2273)_x000D_
        at android support v4 app FragmentManagerImpl 1 run(FragmentManager java:733)_x000D_
        at android os Handler handleCallback(Handler java:751)_x000D_
        at android os Handler dispatchMessage(Handler java:95)_x000D_
        at android os Looper loop(Looper java:154)_x000D_
        at android app ActivityThread main(ActivityThread java:6111)_x000D_
        at java lang reflect Method invoke(Native Method)_x000D_
        at com android internal os ZygoteInit MethodAndArgsCaller run(ZygoteInit java:865)_x000D_
        at com android internal os ZygoteInit main(ZygoteInit java:755)   _x000D_
_x000D_
 Originally posted by  MarcusBoay in https:  github com CMPUT301W19T11 Atheneum pull 92 issuecomment 470811666 </t>
  </si>
  <si>
    <t>appachhi-perfachhi.sdk-1</t>
  </si>
  <si>
    <t>App crash when Leak Canary is added and Appachhi Plugin is enabled</t>
  </si>
  <si>
    <t>App crashes after Leak Canary was added It is doesn t occur once the  appachhi plugin  is disabled_x000D_
_x000D_
Way to reproduce_x000D_
   Add Leak Canary to the library module_x000D_
  Clean    Build    Run the app_x000D_
  App will crash with ClassNotFoundException for the  Application  class</t>
  </si>
  <si>
    <t>named-data-mobile-ndn-photo-app-85</t>
  </si>
  <si>
    <t>App crash on sharing image through camera</t>
  </si>
  <si>
    <t>android version: android 6 0 1_x000D_
api : 23_x000D_
_x000D_
app crashes due to inability to decode the bitmap captured  i am working on it</t>
  </si>
  <si>
    <t>scottyab-rootbeer-92</t>
  </si>
  <si>
    <t>Application crashed with signal SIGSEGV</t>
  </si>
  <si>
    <t xml:space="preserve">Hello  thank you for the library _x000D_
When using your library  the application crashes on some Samsung devices _x000D_
   _x000D_
0   at java lang ProcessManager exec(Native Method)_x000D_
1   at java lang ProcessManager exec(ProcessManager java:209)_x000D_
2   at java lang Runtime exec(Runtime java:168)_x000D_
3   at java lang Runtime exec(Runtime java:123)_x000D_
4   at com scottyab rootbeer b g(RootBeer java:337)_x000D_
5   at com scottyab rootbeer b a(RootBeer java:45)_x000D_
   _x000D_
Using in Activity:_x000D_
_x000D_
    _x000D_
private fun checkRoot()  _x000D_
        val rootBeer   RootBeer(this)_x000D_
        if (rootBeer isRooted)  _x000D_
                 _x000D_
         _x000D_
  _x000D_
   </t>
  </si>
  <si>
    <t>murilloves-musician-react-native-app-20</t>
  </si>
  <si>
    <t>Bugs I</t>
  </si>
  <si>
    <t xml:space="preserve">   x  Don t allow the app to save something twice (disable buttons after click and enable after operation ends)_x000D_
   x  PlaylistInfo: song without description crashes the app_x000D_
   x  Loading feel at login   signin screen (it brings undesired popup messages if user clicks multiple times)</t>
  </si>
  <si>
    <t>Intelehealth-Android-Mobile-Client-663</t>
  </si>
  <si>
    <t>Visit.Summary.Activity.java Line396</t>
  </si>
  <si>
    <t>https:  console firebase google com project mobile crashlytics crashlytics app android:io intelehealth client issues 5c7e238df8b88c2963f46ba9 time last hour sessionId 5C7F73C2038F00013979A90BF7C5C580 DNE 0 v2</t>
  </si>
  <si>
    <t>k9mail-k-9-3943</t>
  </si>
  <si>
    <t>K-9 Mail crash when OpenKeychain's ContentProvider throws an exception</t>
  </si>
  <si>
    <t xml:space="preserve">    Expected behavior_x000D_
open a new mail and just insert the defect mail address (I guess K9Mail will inform that it can not send when the mail address is invalid and that s just fine for this case I think)_x000D_
_x000D_
    Actual behavior_x000D_
crash_x000D_
_x000D_
    Steps to reproduce_x000D_
1  Open the html in the attached zip file  peene werft 107 html zip (https:  github com k9mail k 9 files 2930051 peene werft 107 html zip) on your Android device  (tested with Firefox and Chromium)_x000D_
2  Tap on  Icon Briefumschlag  (the mail icon)  That should bring up your default mail app   e g  K9Mail _x000D_
3  K9Mail will crash immediately _x000D_
_x000D_
This is the defect mailto link:_x000D_
   mailto:BITTE 20DIE 20ADRESSE 20HIER 20EINTRAGEN subject Link Tipp 3A 20Peene Werft 20in 20Wolgast 3A 20Zum 20Warten 20verdammt 20 28tagesschau de 29 amp body Link Tipp 3A 20Peene Werft 20in 20Wolgast 3A 20Zum 20Warten 20verdammt 20 28tagesschau de 29 0A 0Dhttp:  www tagesschau de wirtschaft peene werft 107 html 0A 0D 0A 0D   _x000D_
_x000D_
Instead of using the attached html you may also go to the following website  But the website may have fixed the defect mailto link by now _x000D_
https:  www tagesschau de wirtschaft peene werft 107 html_x000D_
_x000D_
    Environment_x000D_
K 9 Mail version: 5 600 (PlayStore)_x000D_
_x000D_
Android version: 8 1 (LineageOS 15 1)_x000D_
_x000D_
Account type (IMAP  POP3  WebDAV Exchange): IMAP</t>
  </si>
  <si>
    <t>CMPUT301W19T11-Atheneum-69</t>
  </si>
  <si>
    <t>AddBookActivity hits runtime error</t>
  </si>
  <si>
    <t xml:space="preserve">Steps to reproduce:_x000D_
1  Log in_x000D_
2  Click  Add New Book  on navbar_x000D_
_x000D_
Result:_x000D_
App crashes and returns to main activity with the following stack trace:_x000D_
_x000D_
   _x000D_
2019 03 04 23:17:48 010 1843 16303   E PF API NATIVE: check perfhub service fail  _x000D_
2019 03 04 23:17:48 013 17608 17608 com example atheneum E AndroidRuntime: FATAL EXCEPTION: main_x000D_
    Process: com example atheneum  PID: 17608_x000D_
    android content ActivityNotFoundException: Unable to find explicit activity class  com example atheneum com example atheneum activities AddBookActivity   have you declared this activity in your AndroidManifest xml _x000D_
        at android app Instrumentation checkStartActivityResult(Instrumentation java:1850)_x000D_
        at android app Instrumentation execStartActivity(Instrumentation java:1544)_x000D_
        at android app Activity startActivityForResult(Activity java:4391)_x000D_
        at android support v4 app FragmentActivity startActivityForResult(FragmentActivity java:767)_x000D_
        at android app Activity startActivityForResult(Activity java:4335)_x000D_
        at android support v4 app FragmentActivity startActivityForResult(FragmentActivity java:754)_x000D_
        at android app Activity startActivity(Activity java:4702)_x000D_
        at android app Activity startActivity(Activity java:4670)_x000D_
        at com example atheneum activities MainActivity onNavigationItemSelected(MainActivity java:159)_x000D_
        at android support design widget NavigationView 1 onMenuItemSelected(NavigationView java:170)_x000D_
        at android support v7 view menu MenuBuilder dispatchMenuItemSelected(MenuBuilder java:840)_x000D_
        at android support v7 view menu MenuItemImpl invoke(MenuItemImpl java:158)_x000D_
        at android support v7 view menu MenuBuilder performItemAction(MenuBuilder java:991)_x000D_
        at android support design internal NavigationMenuPresenter 1 onClick(NavigationMenuPresenter java:352)_x000D_
        at android view View performClick(View java:5646)_x000D_
        at android view View PerformClick run(View java:22473)_x000D_
        at android os Handler handleCallback(Handler java:761)_x000D_
        at android os Handler dispatchMessage(Handler java:98)_x000D_
        at android os Looper loop(Looper java:156)_x000D_
        at android app ActivityThread main(ActivityThread java:6523)_x000D_
        at java lang reflect Method invoke(Native Method)_x000D_
        at com android internal os ZygoteInit MethodAndArgsCaller run(ZygoteInit java:942)_x000D_
        at com android internal os ZygoteInit main(ZygoteInit java:832)_x000D_
2019 03 04 23:17:48 025 1843 5958   E ReportTools: This is not beta user build_x000D_
   </t>
  </si>
  <si>
    <t>inaturalist-iNaturalistAndroid-636</t>
  </si>
  <si>
    <t>Do we need to serialize the entire observation for an intent to view an observation?</t>
  </si>
  <si>
    <t xml:space="preserve">When I view https:  www inaturalist org observations 5890862 in build 337  I get the following crash:_x000D_
_x000D_
   _x000D_
E JavaBinder:     FAILED BINDER TRANSACTION      (parcel size   4002560)_x000D_
D AndroidRuntime: Shutting down VM_x000D_
E AndroidRuntime: FATAL EXCEPTION: main_x000D_
E AndroidRuntime: Process: org inaturalist android  PID: 7858_x000D_
E AndroidRuntime: java lang RuntimeException: Failure from system_x000D_
E AndroidRuntime:  at android app Instrumentation execStartActivity(Instrumentation java:1675)_x000D_
E AndroidRuntime:  at android app Activity startActivityForResult(Activity java:4587)_x000D_
E AndroidRuntime:  at android support v4 app BaseFragmentActivityApi16 startActivityForResult(54)_x000D_
E AndroidRuntime:  at android support v4 app FragmentActivity startActivityForResult(FragmentActivity java:67)_x000D_
E AndroidRuntime:  at android app Activity startActivityForResult(Activity java:4545)_x000D_
E AndroidRuntime:  at android support v4 app FragmentActivity startActivityForResult(FragmentActivity java:732)_x000D_
E AndroidRuntime:  at org inaturalist android ExploreActivity 10 onItemClick(ExploreActivity java:1007)_x000D_
E AndroidRuntime:  at android widget AdapterView performItemClick(AdapterView java:318)_x000D_
E AndroidRuntime:  at android widget AbsListView performItemClick(AbsListView java:1159)_x000D_
E AndroidRuntime:  at android widget AbsListView PerformClick run(AbsListView java:3136)_x000D_
E AndroidRuntime:  at android widget AbsListView 3 run(AbsListView java:4052)_x000D_
E AndroidRuntime:  at android os Handler handleCallback(Handler java:873)_x000D_
E AndroidRuntime:  at android os Handler dispatchMessage(Handler java:99)_x000D_
E AndroidRuntime:  at android os Looper loop(Looper java:193)_x000D_
E AndroidRuntime:  at android app ActivityThread main(ActivityThread java:6718)_x000D_
E AndroidRuntime:  at java lang reflect Method invoke(Native Method)_x000D_
E AndroidRuntime:  at com android internal os RuntimeInit MethodAndArgsCaller run(RuntimeInit java:493)_x000D_
E AndroidRuntime:  at com android internal os ZygoteInit main(ZygoteInit java:858)_x000D_
E AndroidRuntime: Caused by: android os TransactionTooLargeException: data parcel size 4002560 bytes_x000D_
E AndroidRuntime:  at android os BinderProxy transactNative(Native Method)_x000D_
E AndroidRuntime:  at android os BinderProxy transact(Binder java:1127)_x000D_
E AndroidRuntime:  at android app IActivityManager Stub Proxy startActivity(IActivityManager java:3755)_x000D_
E AndroidRuntime:  at android app Instrumentation execStartActivity(Instrumentation java:1669)_x000D_
E AndroidRuntime:      17 more_x000D_
W System err: java lang RuntimeException: Failure from system_x000D_
W System err:  at android app Instrumentation execStartActivity(Instrumentation java:1675)_x000D_
W System err:  at android app Activity startActivityForResult(Activity java:4587)_x000D_
W System err:  at android support v4 app BaseFragmentActivityApi16 startActivityForResult(54)_x000D_
W System err:  at android support v4 app FragmentActivity startActivityForResult(FragmentActivity java:67)_x000D_
W System err:  at android app Activity startActivityForResult(Activity java:4545)_x000D_
W System err:  at android support v4 app FragmentActivity startActivityForResult(FragmentActivity java:732)_x000D_
W System err:  at org inaturalist android ExploreActivity 10 onItemClick(ExploreActivity java:1007)_x000D_
W System err:  at android widget AdapterView performItemClick(AdapterView java:318)_x000D_
W System err:  at android widget AbsListView performItemClick(AbsListView java:1159)_x000D_
W System err:  at android widget AbsListView PerformClick run(AbsListView java:3136)_x000D_
W System err:  at android widget AbsListView 3 run(AbsListView java:4052)_x000D_
W System err:  at android os Handler handleCallback(Handler java:873)_x000D_
W System err:  at android os Handler dispatchMessage(Handler java:99)_x000D_
W System err:  at android os Looper loop(Looper java:193)_x000D_
W System err:  at android app ActivityThread main(ActivityThread java:6718)_x000D_
W System err:  at java lang reflect Method invoke(Native Method)_x000D_
W System err:  at com android internal os RuntimeInit MethodAndArgsCaller run(RuntimeInit java:493)_x000D_
W System err:  at com android internal os ZygoteInit main(ZygoteInit java:858)_x000D_
W System err: Caused by: android os TransactionTooLargeException: data parcel size 4002560 bytes_x000D_
W System err:  at android os BinderProxy transactNative(Native Method)_x000D_
W System err:  at android os BinderProxy transact(Binder java:1127)_x000D_
W System err:  at android app IActivityManager Stub Proxy startActivity(IActivityManager java:3755)_x000D_
W System err:  at android app Instrumentation execStartActivity(Instrumentation java:1669)_x000D_
W System err:      17 more_x000D_
W FlurryAgent: Error logged: uncaught_x000D_
W FlurryAgent: End session with context: org inaturalist android ExploreActivity 57be2a1 count:0_x000D_
   _x000D_
_x000D_
Is that because we re serializing the entire obs response at https:  github com inaturalist iNaturalistAndroid blob master iNaturalist src main java org inaturalist android ExploreActivity java L1004  and that obs is huge (tons of IDs)  If so  can we not serialize the entire obs  Obs details loads fresh obs data over the network anyway  right  If so  it doesn t seem like we need to serialize the whole thing for the intent _x000D_
_x000D_
Might be related to  531 </t>
  </si>
  <si>
    <t>MCMrARM-revolution-irc-201</t>
  </si>
  <si>
    <t>Crash when editing colors manually.</t>
  </si>
  <si>
    <t xml:space="preserve">Steps to reproduce:
  Create a new theme 
  Tap on a color 
  Tap e g  on the hex EditText 
  Delete chars until there s only a     
  The app crashes 
Don t have a traceback at hand  sorry 
Edit: Using 0 5 1 from F Droid </t>
  </si>
  <si>
    <t>davideas-FlexibleAdapter-716</t>
  </si>
  <si>
    <t>NullPointerException in applyAndAnimateRemovals</t>
  </si>
  <si>
    <t>Hi _x000D_
from Crashlytics I got the following crash:_x000D_
_x000D_
   _x000D_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java:764)_x000D_
Caused by java lang NullPointerException: Attempt to invoke virtual method  int java lang Integer intValue()  on a null object reference_x000D_
    at eu davidea flexibleadapter FlexibleAdapter applyAndAnimateRemovals(FlexibleAdapter java:4359)_x000D_
    at eu davidea flexibleadapter FlexibleAdapter animateTo(FlexibleAdapter java:4301)_x000D_
    at eu davidea flexibleadapter FlexibleAdapter animateDiff(FlexibleAdapter java:4277)_x000D_
    at eu davidea flexibleadapter FlexibleAdapter access 2000(FlexibleAdapter java:90)_x000D_
    at eu davidea flexibleadapter FlexibleAdapter FilterAsyncTask doInBackground(FlexibleAdapter java:5483)_x000D_
    at eu davidea flexibleadapter FlexibleAdapter FilterAsyncTask doInBackground(FlexibleAdapter java:5442)_x000D_
    at android os AsyncTask 2 call(AsyncTask java:333)_x000D_
    at java util concurrent FutureTask run(FutureTask java:266)_x000D_
    at java util concurrent ThreadPoolExecutor runWorker(ThreadPoolExecutor java:1162)_x000D_
    at java util concurrent ThreadPoolExecutor Worker run(ThreadPoolExecutor java:636)_x000D_
    at java lang Thread run(Thread java:764)_x000D_
   _x000D_
_x000D_
I m using  androidx recyclerview:recyclerview:1 0 0  and flexible adapter 5 1 0  minSdkVersion is 21  targetSdkVersion is 28  the crash happened on a OnePlus 6 with Android 8 1 0 _x000D_
_x000D_
Unfortunately I m unable to provide steps to reproduce the issue  as I don t understand where it may come from  My app uses several RecyclerViews  all powered by flexible adapter _x000D_
_x000D_
Each fragment using flexible adapter declares a final adapter:_x000D_
   val adapter   FlexibleAdapter AbstractFlexibleItem    (mutableListOf()  null  true)   _x000D_
with an  OnItemClickListener  _x000D_
_x000D_
On item click  the item could be refreshed via  notifyItemChanged(position)   Items are also frequently refreshed with data coming from a websocket by recreating a full list of  AbstractFlexibleItem  and by calling  updateDataSet(rows  true)  (on the UI thread) _x000D_
_x000D_
 AbstractFlexibleItem s delegate their  hashCode  and  equals  to their contained item  which is always a Kotlin data class ( hashCode  and  equals  automatically generated over all fields) _x000D_
_x000D_
List filtering or sticky headers are not used _x000D_
_x000D_
Can you help me  If you need more info don t hesitate to ask  )_x000D_
Thanks</t>
  </si>
  <si>
    <t>ElderDrivers-EdXposed-127</t>
  </si>
  <si>
    <t>[BUG] Several bootloops/attempts until device finally boots</t>
  </si>
  <si>
    <t xml:space="preserve">  What happened   _x000D_
Often it takes several bootloops until device finally boots  Sometimes boot recovers automatically after several crashes  other times full reboot is required to boot the OS  Behavior seems to be random   I was not able to find a pattern _x000D_
_x000D_
  Device and OS  _x000D_
Nexus 5X running Pixel Experience   Android 9 0 Pie built from AOSP_x000D_
_x000D_
  Xposed Module List  _x000D_
  GravityBox for Pie (my own module in development)_x000D_
_x000D_
  Magisk Module List  _x000D_
  Riru_x000D_
  EdExposed_x000D_
_x000D_
  Versions of EdXposed and Riru  _x000D_
EdXposed: v0 3 0 0 beta1_x000D_
Riru: v15 mod_x000D_
_x000D_
  Logcat  _x000D_
  boot crash 1   3 occurred before device could finally boot_x000D_
 boot crash1 txt (https:  github com ElderDrivers EdXposed files 2926504 boot crash1 txt)_x000D_
 boot crash2 txt (https:  github com ElderDrivers EdXposed files 2926505 boot crash2 txt)_x000D_
 boot crash3 txt (https:  github com ElderDrivers EdXposed files 2926506 boot crash3 txt)_x000D_
  full bootlog contains full log of the boot sequence_x000D_
 full bootlog txt (https:  github com ElderDrivers EdXposed files 2926507 full bootlog txt)_x000D_
</t>
  </si>
  <si>
    <t>mauron85-react-native-background-geolocation-356</t>
  </si>
  <si>
    <t>App still use location data even after Background.stop() and then sometimes it crashed.</t>
  </si>
  <si>
    <t xml:space="preserve">     PLEASE DON T DELETE THIS TEMPLATE  OR YOUR ISSUE WILL BE CLOSED IGNORED        _x000D_
      Provide a general summary of the issue in the Title above    _x000D_
_x000D_
   Your Environment_x000D_
      Include as many relevant details about the environment you experienced the bug in    _x000D_
      Please specify exact version numbers and don t use terms like  latest   as such reference to numeric version changes over the time    _x000D_
  Plugin version: 0 5 0_x000D_
  Platform: Android_x000D_
  OS version: Detected on android 7 8 9_x000D_
  Device manufacturer and model: Samsung  LG     _x000D_
      If Simulator was used instead of real device  type Yes in following section    _x000D_
  Running in Simulator: No_x000D_
  React Native version: 0 58 5_x000D_
  Plugin configuration options:_x000D_
   _x000D_
    BackgroundGeolocation configure( _x000D_
        locationProvider: BackgroundGeolocation DISTANCE FILTER PROVIDER _x000D_
        desiredAccuracy: BackgroundGeolocation HIGH ACCURACY _x000D_
        stationaryRadius: 3 _x000D_
        debug: false _x000D_
        distanceFilter: 3 _x000D_
        stopOnTerminate: true _x000D_
        startOnBoot: false _x000D_
        interval: 3000 _x000D_
        fastestInterval: 3000 _x000D_
        activitiesInterval: 3000 _x000D_
        startForeground: false _x000D_
        notificationTitle:  Tracking  _x000D_
        notificationText :  Tracking   _x000D_
        notificationsEnabled: false _x000D_
        pauseLocationUpdates: false _x000D_
        saveBatteryOnBackground: false _x000D_
        url: URL _x000D_
        postTemplate: this generatePostTemplate(null)_x000D_
 ) _x000D_
   _x000D_
_x000D_
   _x000D_
    generatePostTemplate(customValue)  _x000D_
        return  _x000D_
            latitude:   latitude  _x000D_
            longitude:   longitude  _x000D_
            inputLoggedAt:   time  _x000D_
            accuracy:   accuracy  _x000D_
            customValue: customValue _x000D_
            os:  Android _x000D_
          _x000D_
     _x000D_
   _x000D_
_x000D_
   _x000D_
    reConfigure   ()     _x000D_
           When user login  and when customValue changes _x000D_
           I call this function to re configure the geolocation configuration _x000D_
        const loginUser   this rootStore userStore loginUser _x000D_
        const customValue   this rootStore customStore customValue _x000D_
        const options: Partial ConfigureOptions       _x000D_
        if (loginUser)  _x000D_
            options httpHeaders    _x000D_
                Authorization:  Token   loginUser authToken  _x000D_
              _x000D_
         _x000D_
        if (customValue)  _x000D_
            options postTemplate   this generatePostTemplate(customValue) _x000D_
         _x000D_
        BackgroundGeolocation configure(options) _x000D_
        if (customValue     null)  _x000D_
               I don t need geolocation tracking when customValue is null _x000D_
            BackgroundGeolocation stop() _x000D_
         _x000D_
      _x000D_
   _x000D_
  Link to your project:_x000D_
_x000D_
   Context_x000D_
      Provide a more detailed introduction to the issue itself  and why you consider it to be a bug    _x000D_
What I need is tracking geolocation(foreground  background) only between I call BackgroundGeolocation start  and stop  I don t need sync location of failed data  Only the data between calling start and stop are all I need _x000D_
_x000D_
App works great when I start the app  start geolocation and stop geolocation  It works what I expected  However  after couple of hours while app is in background  even I never call BackgroundGeolocation start()  app starts to use location data(There was a pin marker in android status bar  and when I terminated the app  it disappeared ) and then  app crash again and again (When app crash  android alert modal appears and there were two selections  Close app  Send comment  Even I press close app  the modal appears again and again ) Also  there was a notification  Sync Location   After I set  notificationEnabled  to false  the  Sync Location  notification disappear  but still app crash again and again after couple of hours _x000D_
_x000D_
I think app try to sync location even after I call BackgroundGeolocation stop() and even I didn t set syncUrl configuration  (The url I set in configuration always return 200  201 status )_x000D_
_x000D_
   Expected Behavior_x000D_
      Tell us what should happen    _x000D_
App don t track geolocation before I call start _x000D_
_x000D_
   Actual Behavior_x000D_
      Tell us what happens instead    _x000D_
App use geolocation data and crash even I never call start _x000D_
_x000D_
   Possible Fix_x000D_
      Not obligatory  but suggest a fix or reason for the bug    _x000D_
_x000D_
   Steps to Reproduce_x000D_
      Provide a link to a live example  or an unambiguous set of steps to    _x000D_
      reproduce this bug include code to reproduce  if relevant    _x000D_
1  Start app(not even start geolocation)_x000D_
2  go to background_x000D_
3  after couple of hours_x000D_
4 _x000D_
_x000D_
   Context_x000D_
      How has this bug affected you  What were you trying to accomplish     _x000D_
_x000D_
   Debug logs_x000D_
     Relevant parts from printAndroidLogs or printIosLogs _x000D_
More info in README md section Debugging _x000D_
If you re reporting app crash also provide output of  adb logcat     _x000D_
_x000D_
This is a crash report  I think this crash report may be related _x000D_
   _x000D_
java lang IllegalStateException: Not allowed to start service Intent   cmp kr oshare alpaca com marianhello bgloc service LocationServiceImpl (has extras)  : app is in background uid UidRecord 6c02e96 u0a240 CRE  bg: 4m26s253ms idle procs:1 proclist:19827  seq(0 0 0) _x000D_
    at android app ContextImpl startServiceCommon(ContextImpl java:1666)_x000D_
    at android app ContextImpl startService(ContextImpl java:1611)_x000D_
    at android content ContextWrapper startService(ContextWrapper java:677)_x000D_
    at com marianhello bgloc service LocationServiceProxy executeIntentCommand(LocationServiceProxy java:93)_x000D_
    at com marianhello bgloc service LocationServiceProxy stop(LocationServiceProxy java:58)_x000D_
    at com marianhello bgloc BackgroundGeolocationFacade stopBackgroundService(BackgroundGeolocationFacade java:440)_x000D_
    at com marianhello bgloc BackgroundGeolocationFacade destroy(BackgroundGeolocationFacade java:264)_x000D_
    at com marianhello bgloc react BackgroundGeolocationModule onHostDestroy(BackgroundGeolocationModule java:125)_x000D_
    at com facebook react bridge ReactContext onHostDestroy(ReactContext java:228)_x000D_
    at com facebook react ReactInstanceManager moveToBeforeCreateLifecycleState(ReactInstanceManager java:687)_x000D_
    at com facebook react ReactInstanceManager onHostDestroy(ReactInstanceManager java:596)_x000D_
    at com facebook react ReactInstanceManager onHostDestroy(ReactInstanceManager java:610)_x000D_
    at com facebook react ReactActivityDelegate onDestroy(ReactActivityDelegate java:122)_x000D_
    at com facebook react ReactFragmentActivity onDestroy(ReactFragmentActivity java:73)_x000D_
    at android app Activity performDestroy(Activity java:7680)_x000D_
    at android app Instrumentation callActivityOnDestroy(Instrumentation java:1306)_x000D_
    at android app ActivityThread performDestroyActivity(ActivityThread java:4667)_x000D_
    at android app ActivityThread handleDestroyActivity(ActivityThread java:4700)_x000D_
    at android app servertransaction DestroyActivityItem execute(DestroyActivityItem java:39)_x000D_
    at android app servertransaction TransactionExecutor executeLifecycleState(TransactionExecutor java:145)_x000D_
    at android app servertransaction TransactionExecutor execute(TransactionExecutor java:70)_x000D_
    at android app ActivityThread H handleMessage(ActivityThread java:1926)_x000D_
    at android os Handler dispatchMessage(Handler java:106)_x000D_
    at android os Looper loop(Looper java:214)_x000D_
    at android app ActivityThread main(ActivityThread java:6981)_x000D_
    at java lang reflect Method invoke(Method java)_x000D_
    at com android internal os RuntimeInit MethodAndArgsCaller run(RuntimeInit java:493)_x000D_
    at com android internal os ZygoteInit main(ZygoteInit java:1445)_x000D_
java lang RuntimeException: Unable to destroy activity  kr oshare alpaca kr oshare alpaca MainActivity : java lang IllegalStateException: Not allowed to start service Intent   cmp kr oshare alpaca com marianhello bgloc service LocationServiceImpl (has extras)  : app is in background uid UidRecord 6c02e96 u0a240 CRE  bg: 4m26s253ms idle procs:1 proclist:19827  seq(0 0 0) _x000D_
    at android app ActivityThread performDestroyActivity(ActivityThread java:4682)_x000D_
    at android app ActivityThread handleDestroyActivity(ActivityThread java:4700)_x000D_
    at android app servertransaction DestroyActivityItem execute(DestroyActivityItem java:39)_x000D_
    at android app servertransaction TransactionExecutor executeLifecycleState(TransactionExecutor java:145)_x000D_
    at android app servertransaction TransactionExecutor execute(TransactionExecutor java:70)_x000D_
    at android app ActivityThread H handleMessage(ActivityThread java:1926)_x000D_
    at android os Handler dispatchMessage(Handler java:106)_x000D_
    at android os Looper loop(Looper java:214)_x000D_
    at android app ActivityThread main(ActivityThread java:6981)_x000D_
    at java lang reflect Method invoke(Method java)_x000D_
    at com android internal os RuntimeInit MethodAndArgsCaller run(RuntimeInit java:493)_x000D_
    at com android internal os ZygoteInit main(ZygoteInit java:1445)_x000D_
   _x000D_
</t>
  </si>
  <si>
    <t>dariuszseweryn-RxAndroidBle-552</t>
  </si>
  <si>
    <t xml:space="preserve">NullPointerException is thrown sometimes </t>
  </si>
  <si>
    <t xml:space="preserve">    Summary_x000D_
java lang NullPointerException is thrown sometimes _x000D_
_x000D_
_x000D_
I m using this library for application development _x000D_
However  I occasionally observe the following CrashLog _x000D_
_x000D_
   _x000D_
    java lang NullPointerException: Attempt to invoke interface method  void io reactivex ObservableEmitter onNext(java lang Object)  on a null object reference_x000D_
        at com polidea rxandroidble2 internal connection DisconnectionRouter notifySubscribersAboutException(DisconnectionRouter java:123)_x000D_
        at com polidea rxandroidble2 internal connection DisconnectionRouter access 100(DisconnectionRouter java:30)_x000D_
        at com polidea rxandroidble2 internal connection DisconnectionRouter 1 accept(DisconnectionRouter java:65)_x000D_
        at com polidea rxandroidble2 internal connection DisconnectionRouter 1 accept(DisconnectionRouter java:60)_x000D_
        at io reactivex internal operators maybe MaybeCallbackObserver onSuccess(MaybeCallbackObserver java:71)_x000D_
        at io reactivex internal operators observable ObservableElementAtMaybe ElementAtObserver onNext(ObservableElementAtMaybe java:82)_x000D_
        at io reactivex internal operators observable ObservableMap MapObserver onNext(ObservableMap java:62)_x000D_
        at io reactivex internal operators observable ObservableFilter FilterObserver onNext(ObservableFilter java:52)_x000D_
        at io reactivex internal operators observable ObservableConcatMap ConcatMapDelayErrorObserver DelayErrorInnerObserver onNext(ObservableConcatMap java:506)_x000D_
        at io reactivex internal operators observable ObservableMap MapObserver onNext(ObservableMap java:62)_x000D_
        at com polidea rxandroidble2 RxBleAdapterStateObservable 1 onReceive(RxBleAdapterStateObservable java:62)_x000D_
        at android app LoadedApk ReceiverDispatcher Args run(LoadedApk java:1126)_x000D_
        at android os Handler handleCallback(Handler java:751)_x000D_
        at android os Handler dispatchMessage(Handler java:95)_x000D_
        at android os Looper loop(Looper java:159)_x000D_
        at android app ActivityThread main(ActivityThread java:6097)_x000D_
        at java lang reflect Method invoke(Native Method)_x000D_
        at com android internal os ZygoteInit MethodAndArgsCaller run(ZygoteInit java:865)_x000D_
        at com android internal os ZygoteInit main(ZygoteInit java:755)_x000D_
   _x000D_
_x000D_
This crash seems to be occurring in the following places _x000D_
_x000D_
DisconnectionRouter java_x000D_
    DisconnectionRouter java_x000D_
    private void notifySubscribersAboutException()  _x000D_
        if (adapterMonitoringDisposable    null)  _x000D_
            adapterMonitoringDisposable dispose() _x000D_
         _x000D_
_x000D_
        while ( exceptionEmitters isEmpty())  _x000D_
            final ObservableEmitter BleException  exceptionEmitter   exceptionEmitters poll() _x000D_
            exceptionEmitter onNext(exceptionOccurred)     crash _x000D_
            exceptionEmitter onComplete() _x000D_
         _x000D_
     _x000D_
   _x000D_
_x000D_
I think that notifySubscribersAboutException () is called multi thread _x000D_
However  since the exceptionEmitters queue is thread safe  the processing is executed one by one _x000D_
_x000D_
If ThreadA  ThreadB calls this method at the same time  I think through   ExceptionEmitters isEmpty ()   and executing exceptionEmitters poll () and getting null _x000D_
_x000D_
So I want to fix it as follows _x000D_
_x000D_
   _x000D_
      add synchronized_x000D_
    private synchronized void notifySubscribersAboutException()  _x000D_
        if (adapterMonitoringDisposable    null)  _x000D_
            adapterMonitoringDisposable dispose() _x000D_
         _x000D_
_x000D_
        while ( exceptionEmitters isEmpty())  _x000D_
            final ObservableEmitter BleException  exceptionEmitter   exceptionEmitters poll() _x000D_
            exceptionEmitter onNext(exceptionOccurred)     crash _x000D_
            exceptionEmitter onComplete() _x000D_
         _x000D_
     _x000D_
    _x000D_
_x000D_
other_x000D_
_x000D_
   _x000D_
      add synchronized_x000D_
    private synchronized void notifySubscribersAboutException()  _x000D_
        if (adapterMonitoringDisposable    null)  _x000D_
            adapterMonitoringDisposable dispose() _x000D_
         _x000D_
_x000D_
        while ( exceptionEmitters isEmpty())  _x000D_
            final ObservableEmitter BleException  exceptionEmitter   exceptionEmitters poll() _x000D_
            if (exceptionEmitter    null)      null check_x000D_
                exceptionEmitter onNext(exceptionOccurred)     crash _x000D_
             _x000D_
            exceptionEmitter onComplete() _x000D_
_x000D_
         _x000D_
     _x000D_
    _x000D_
_x000D_
Do you think this is correct _x000D_
_x000D_
_x000D_
    Library version_x000D_
 2 1 0 _x000D_
_x000D_
     Steps to reproduce actual result_x000D_
unknown (get log from crashlytics)</t>
  </si>
  <si>
    <t>forcedotcom-SalesforceMobileSDK-CordovaPlugin-444</t>
  </si>
  <si>
    <t>App is going to background after Login successful</t>
  </si>
  <si>
    <t>Andoid Version: 8 0_x000D_
Salesforce SDK Cordova Plugin Version: 6 2_x000D_
Cordova Version: 8 0 0_x000D_
_x000D_
Issue: When LoginActivity was loaded and place the app in a background state (even just tapping the task manager)  then go back to the app and try to log in  on successful login flow the LoginActivity was destroyed but the onResume on SalesforceDroidGAPActivity was not executed causing the app failed to load after login_x000D_
_x000D_
other observation:_x000D_
  the issue found in the finish() part after log in_x000D_
  on happy path the SalesforceDroidGAPActivity is running onresume right after the finish() call in LoginActivity()_x000D_
  when the issue occured the app is being killed without any crash info from the logcat</t>
  </si>
  <si>
    <t>maks-MGit-445</t>
  </si>
  <si>
    <t>Submodules not updating correctly when pulling changes on submodule updates</t>
  </si>
  <si>
    <t xml:space="preserve">When I use my PC(using smartgit) and make an update to a submodule  pull the new submodule HEAD master branch into the main and commit the changed submodule link to the main repository  everything is fine _x000D_
_x000D_
But when I try to pull said main repository change into the mgit clone(using normal pull to fetch updates to the repository)  it refuses to update said link(of the submodule) and the diff of the current subrepository uncommitted head shows it s unmodified(as is the subrepository  which should fetch the new head instead  but for some reason doesn t) _x000D_
_x000D_
Strangely enough  trying to view a file in the subrepository crashes mgit  after which the state is clean(no changes anymore) on the main repository </t>
  </si>
  <si>
    <t>cgeo-cgeo-7341</t>
  </si>
  <si>
    <t>Crash when adding new photo to log</t>
  </si>
  <si>
    <t xml:space="preserve">When logging a cache  add a new picture  Instead of opening the camera application  cgeo crashes _x000D_
_x000D_
Reproduced with nightly on Android 9 and with stable on Android 8 </t>
  </si>
  <si>
    <t>itachi1706-SingBuses-157</t>
  </si>
  <si>
    <t>SupportedCardsActivity.java line 84</t>
  </si>
  <si>
    <t xml:space="preserve">     in com itachi1706 cepaslib activity SupportedCardsActivity CardsAdapter getView
  Number of crashes: 1
  Impacted devices: 1
There s a lot more information about this crash on crashlytics com:
 https:  fabric io itachi1706s projects android apps com itachi1706 busarrivalsg issues 5c7aa526f8b88c2963ab22d9 utm medium service hooks github utm source issue impact (https:  fabric io itachi1706s projects android apps com itachi1706 busarrivalsg issues 5c7aa526f8b88c2963ab22d9 utm medium service hooks github utm source issue impact)</t>
  </si>
  <si>
    <t>datatheorem-TrustKit-Android-49</t>
  </si>
  <si>
    <t>Domain exception to be made on local IP address 10.0.2.2</t>
  </si>
  <si>
    <t xml:space="preserve">  Describe the bug  _x000D_
From React Native version 0 58 onwards  with Android API version 28  no clear text traffic is allowed by default  But currently the React Native packager and debugger connects to the device or emulator via HTTP taking either  localhost  or  10 0 0 2   These values are hardcoded in  RN s codebase (https:  github com facebook react native blob 5939d078a01edc9f83fce102317540ffbcac17c1 ReactAndroid src main java com facebook react modules systeminfo AndroidInfoHelpers java L20)  _x000D_
_x000D_
We tried to make an exception to them by putting below config block in the  network security config xml  file which is further referenced in the  AndroidManifest xml  file  _x000D_
_x000D_
     domain config cleartextTrafficPermitted  true  _x000D_
         domain includeSubdomains  false  localhost  domain _x000D_
         domain includeSubdomains  false  10 0 2 2  domain _x000D_
         domain includeSubdomains  false  10 0 3 2  domain _x000D_
         trustkit config enforcePinning  false   _x000D_
      domain config _x000D_
_x000D_
This  SO entry (https:  stackoverflow com questions 45940861 android 8 cleartext http traffic not permitted 50834600 50834600) explains this approach in detail  _x000D_
_x000D_
But this config is not acknowledge by the TrustKit module with below exception  hence causing the app to crash upon launch  _x000D_
_x000D_
    03 02 16:18:56 826 19455 19455 E AndroidRuntime: java lang RuntimeException: Unable to create application         MainApplication: com datatheorem android trustkit config ConfigurationException: Tried to pin an invalid domain: 10 0 3 2_x000D_
       _x000D_
    03 02 16:18:56 826 19455 19455 E AndroidRuntime: Caused by: com datatheorem android trustkit config ConfigurationException: Tried to pin an invalid domain: 10 0 3 2_x000D_
    03 02 16:18:56 826 19455 19455 E AndroidRuntime: 	at com datatheorem android trustkit config DomainPinningPolicy  init (DomainPinningPolicy java:48)_x000D_
_x000D_
This problem is very similar to  25 for which only  localhost  was exempted  _x000D_
_x000D_
  To Reproduce  _x000D_
Put above XML config block for clear text traffic in an RN (version    0 58) app with TrustKit module installed  run  react native run android  to install and launch it in an Android emulator  The app will crash upon launch and the above exception messages can be read via  logcat   _x000D_
_x000D_
  Expected behavior  _x000D_
Certain local IP addresses like 10 0 2 2 used by the RN packager and debugger should be considered as valid domain  _x000D_
_x000D_
  TrustKit configuration  _x000D_
_x000D_
     domain config cleartextTrafficPermitted  true  _x000D_
         domain includeSubdomains  false  localhost  domain _x000D_
         domain includeSubdomains  false  10 0 2 2  domain _x000D_
         domain includeSubdomains  false  10 0 3 2  domain _x000D_
         trustkit config enforcePinning  false   _x000D_
      domain config _x000D_
_x000D_
  App details:  _x000D_
   App target SDK: 28 0 3_x000D_
   App language: JS React Native_x000D_
   Android version to reproduce the bug: Andorid 9 0  _x000D_
_x000D_
</t>
  </si>
  <si>
    <t>ElderDrivers-EdXposed-116</t>
  </si>
  <si>
    <t>[BUG] OS crashing during BOOT_COMPLETED event</t>
  </si>
  <si>
    <t xml:space="preserve">  What happened   _x000D_
_x000D_
Device OS crashes and reboots after booting during the BOOT COMPLETED event _x000D_
_x000D_
  Xposed Module List  _x000D_
_x000D_
  AppOpsXposed Re 1 30 5_x000D_
  Forced Screen Rotation Mod 1 6_x000D_
  ForceDoze 1 4 0_x000D_
  Lucky Patcher 8 1 9_x000D_
  Physical Button Music Control 4 1_x000D_
  Statusbar download progress 3 6 1_x000D_
  Xperia Keyboard Prediction Toggle 1 6_x000D_
_x000D_
  Magisk Module List  _x000D_
_x000D_
  LogCat Bootloop v10_x000D_
  Riru   Core v15_x000D_
  Single User Mod v1 5_x000D_
  Sysconfig Patcher 2018 10 22_x000D_
  Systemless Hosts 1 0_x000D_
  YouTube Vanced v14 06 54_x000D_
_x000D_
  Versions of EdXposed and Riru  _x000D_
_x000D_
EdXposed: v0 2 9 9 beta3 (ff59554)_x000D_
_x000D_
Riru: v15 (release)_x000D_
_x000D_
  Logcat  _x000D_
_x000D_
 bootloop 2019 03 01 21 15 55 log (https:  github com ElderDrivers EdXposed files 2920931 bootloop 2019 03 01 21 15 55 log)_x000D_
</t>
  </si>
  <si>
    <t>Intelehealth-Android-Mobile-Client-659</t>
  </si>
  <si>
    <t>BackupCloud.java – line 81</t>
  </si>
  <si>
    <t>https:  console firebase google com u 0 project mobile crashlytics crashlytics app android 3Aio intelehealth client issues 5c6ffaf1f8b88c2963beaf05 time last thirty days</t>
  </si>
  <si>
    <t>Intelehealth-Android-Mobile-Client-658</t>
  </si>
  <si>
    <t>DelayedJobQueueProvider.java – line 158</t>
  </si>
  <si>
    <t>https:  console firebase google com u 0 project mobile crashlytics crashlytics app android 3Aio intelehealth client issues 5aeb236b638393737a1eb726 time last thirty days</t>
  </si>
  <si>
    <t>Intelehealth-Android-Mobile-Client-657</t>
  </si>
  <si>
    <t>Node.java – line 299</t>
  </si>
  <si>
    <t>https:  console firebase google com u 0 project mobile crashlytics crashlytics app android:io intelehealth client issues 5c77b0f5f8b88c2963667b2f time last seven days sessionId 5C77C63A005A000133E75A9FCF711259 DNE 0 v2</t>
  </si>
  <si>
    <t>Intelehealth-Android-Mobile-Client-656</t>
  </si>
  <si>
    <t>Node.java line 299</t>
  </si>
  <si>
    <t>opensrp-opensrp-client-reveal-110</t>
  </si>
  <si>
    <t>Fix bug on app Crashing when forced close or device restarted</t>
  </si>
  <si>
    <t>When the application is forces closed or device is restarted while app was running  The application crashes and has to be reinstalled</t>
  </si>
  <si>
    <t>fennifith-Alarmio-43</t>
  </si>
  <si>
    <t>SleepReminderService not calling startForeground</t>
  </si>
  <si>
    <t xml:space="preserve">This is a problem  This causes a crash  It    probably shouldn t  Ideally it should figure out if it s going to call  startForeground  before starting    and not just decide not to once it s started  I can t remember what the reasoning was behind this _x000D_
_x000D_
Full stack trace:_x000D_
   _x000D_
android app RemoteServiceException: Context startForegroundService() did not then call Service startForeground(): ServiceRecord 84272d3 u0 me jfenn alarmio  services SleepReminderService _x000D_
        at android app ActivityThread H handleMessage(ActivityThread java:1745)_x000D_
        at android os Handler dispatchMessage(Handler java:106)_x000D_
        at android os Looper loop(Looper java:193)_x000D_
        at android app ActivityThread main(ActivityThread java:6718)_x000D_
        at java lang reflect Method invoke(Native Method)_x000D_
        at com android internal os RuntimeInit MethodAndArgsCaller run(RuntimeInit java:493)_x000D_
        at com android internal os ZygoteInit main(ZygoteInit java:858)_x000D_
   </t>
  </si>
  <si>
    <t>moneymanagerex-android-money-manager-ex-1326</t>
  </si>
  <si>
    <t>Crash when calling asset allocation menu item and edit stock transaction</t>
  </si>
  <si>
    <t>If the menu item  asset allocation  is selected  the APP crashes _x000D_
_x000D_
Version 2019 02 24 1 (996)_x000D_
_x000D_
02 28 19:10:16 057 21941 21941 D Typeface: fontPath: _x000D_
02 28 19:10:16 087 21941 21941 D AndroidRuntime: Shutting down VM_x000D_
02 28 19:10:16 087 21941 21941 E AndroidRuntime: FATAL EXCEPTION: main_x000D_
02 28 19:10:16 087 21941 21941 E AndroidRuntime: Process: com money manager ex  PID: 21941_x000D_
02 28 19:10:16 087 21941 21941 E AndroidRuntime: java lang RuntimeException: Unable to start activity ComponentInfo com money manager ex com money manager ex assetallocation overview AssetAllocationOverviewActivity : android view InflateException: Binary XML file line  57: Binary XML file line  57: Error inflating class   android support v7 widget LinearLayoutCompat  _x000D_
_x000D_
    should that not be   androidx appcompat widget LinearLayoutCompat   _x000D_
_x000D_
02 28 19:10:16 087 21941 21941 E AndroidRuntime: at android app ActivityThread performLaunchActivity(ActivityThread java:2669)_x000D_
02 28 19:10:16 087 21941 21941 E AndroidRuntime: at android app ActivityThread handleLaunchActivity(ActivityThread java:2730)</t>
  </si>
  <si>
    <t>JulietGroundwater-Groundwater-29</t>
  </si>
  <si>
    <t>Fix crash if you sign out OneDrive then in again without restarting app</t>
  </si>
  <si>
    <t xml:space="preserve">It crashes with some kind of  NullPointerException </t>
  </si>
  <si>
    <t>nitaliano-react-native-mapbox-gl-1520</t>
  </si>
  <si>
    <t xml:space="preserve">The app is randomly crashed with   MapboxGL Animated CircleLayer     _x000D_
_x000D_
In my case it s a pulsing outer circle _x000D_
_x000D_
_x000D_
_x000D_
   _x000D_
2019 02 20 16:09:07 919 27949 27949               A libc: Fatal signal 11 (SIGSEGV)  code 1 (SEGV MAPERR)  fault addr 0x0 in tid 27949 (             )  pid 27949 (             )_x000D_
2019 02 20 16:09:07 754 27949 27949               I chatty: uid 10329(             ) identical 332 lines_x000D_
2019 02 20 16:09:07 919 27949 27949               W              : Attempt to remove non JNI local reference  dumping thread_x000D_
2019 02 20 16:09:08 106 28611 28611   I crash dump64: obtaining output fd from tombstoned  type: kDebuggerdTombstone_x000D_
2019 02 20 16:09:08 107 912 912   I  system bin tombstoned: received crash request for pid 27949_x000D_
2019 02 20 16:09:08 108 28611 28611   I crash dump64: performing dump of process 27949 (target tid   27949)_x000D_
2019 02 20 16:09:08 128 28611 28611   A DEBUG:                                                                _x000D_
2019 02 20 16:09:08 128 28611 28611   A DEBUG: Build fingerprint:  google blueline blueline:9 PQ2A 190205 001 5163636:user release keys _x000D_
2019 02 20 16:09:08 128 28611 28611   A DEBUG: Revision:  MP1 0 _x000D_
2019 02 20 16:09:08 128 28611 28611   A DEBUG: ABI:  arm64 _x000D_
2019 02 20 16:09:08 128 28611 28611   A DEBUG: pid: 27949  tid: 27949  name:                                     _x000D_
2019 02 20 16:09:08 128 28611 28611   A DEBUG: signal 11 (SIGSEGV)  code 1 (SEGV MAPERR)  fault addr 0x0_x000D_
2019 02 20 16:09:08 128 28611 28611   A DEBUG: Cause: null pointer dereference_x000D_
2019 02 20 16:09:08 128 28611 28611   A DEBUG:     x0  0000007e65b92cc0  x1  0000007fe645f7d8  x2  ffffffffa3933761  x3  00000000012489cc_x000D_
2019 02 20 16:09:08 128 28611 28611   A DEBUG:     x4  00000000000001e3  x5  000000007160e0ab  x6  0000000000000002  x7  0000007fe645f4f8_x000D_
2019 02 20 16:09:08 128 28611 28611   A DEBUG:     x8  0000000000000000  x9  00000000232f74bb  x10 000000003b9aca00  x11 1d5fcb3ad1446843_x000D_
2019 02 20 16:09:08 128 28611 28611   A DEBUG:     x12 0000000000000001  x13 00000000341555ac  x14 0000000000000018  x15 000001cfe1c08209_x000D_
2019 02 20 16:09:08 128 28611 28611   A DEBUG:     x16 0036af991cdc61f1  x17 0000000027ff0475  x18 000000005c6d6d93  x19 0000007e65b92c80_x000D_
2019 02 20 16:09:08 128 28611 28611   A DEBUG:     x20 0000007f17cc25e0  x21 0000007f17cc25e0  x22 0000007f17cc25e0  x23 0000007f17cc25e0_x000D_
2019 02 20 16:09:08 128 28611 28611   A DEBUG:     x24 0000000012fef748  x25 0000000012fef738  x26 0000000014843348  x27 0000000012fef640_x000D_
2019 02 20 16:09:08 128 28611 28611   A DEBUG:     x28 0000000014090198  x29 0000007fe645f950_x000D_
2019 02 20 16:09:08 128 28611 28611   A DEBUG:     sp  0000007fe645f7c0  lr  0000007e6f4153b0  pc  0000007e6f4153b4_x000D_
2019 02 20 16:09:08 470 28611 28611   A DEBUG: backtrace:_x000D_
2019 02 20 16:09:08 470 28611 28611   A DEBUG:      00 pc 00000000002703b4   data app               fIypXvFSuAF6LtyuyfYwxA   lib arm64 libmapbox gl so_x000D_
2019 02 20 16:09:08 470 28611 28611   A DEBUG:      01 pc 00000000002e461c   data app               fIypXvFSuAF6LtyuyfYwxA   lib arm64 libmapbox gl so_x000D_
2019 02 20 16:09:08 470 28611 28611   A DEBUG:      02 pc 00000000002ed148   data app               fIypXvFSuAF6LtyuyfYwxA   lib arm64 libmapbox gl so_x000D_
2019 02 20 16:09:08 470 28611 28611   A DEBUG:      03 pc 0000000000126d78   data app               fIypXvFSuAF6LtyuyfYwxA   lib arm64 libmapbox gl so_x000D_
2019 02 20 16:09:08 470 28611 28611   A DEBUG:      04 pc 00000000000e77fc   data app               fIypXvFSuAF6LtyuyfYwxA   lib arm64 libmapbox gl so_x000D_
2019 02 20 16:09:08 470 28611 28611   A DEBUG:      05 pc 00000000000e7544   data app               fIypXvFSuAF6LtyuyfYwxA   lib arm64 libmapbox gl so_x000D_
2019 02 20 16:09:08 470 28611 28611   A DEBUG:      06 pc 0000000000136618   data app               fIypXvFSuAF6LtyuyfYwxA   lib arm64 libmapbox gl so_x000D_
2019 02 20 16:09:08 470 28611 28611   A DEBUG:      07 pc 000000000013666c   data app               fIypXvFSuAF6LtyuyfYwxA   lib arm64 libmapbox gl so_x000D_
2019 02 20 16:09:08 470 28611 28611   A DEBUG:      08 pc 000000000008acf4   dev ashmem dalvik jit code cache (deleted) (com facebook react bridge WritableNativeMap putString 180)_x000D_
2019 02 20 16:09:08 470 28611 28611   A DEBUG:      09 pc 000000000007a778   dev ashmem dalvik jit code cache (deleted) (com mapbox mapboxsdk style layers Layer setProperties 264)_x000D_
2019 02 20 16:09:08 470 28611 28611   A DEBUG:      10 pc 0000000000048430   dev ashmem dalvik jit code cache (deleted) (com mapbox rctmgl components styles RCTMGLStyleFactory setCircleRadius 192)_x000D_
2019 02 20 16:09:08 470 28611 28611   A DEBUG:      11 pc 0000000000071818   dev ashmem dalvik jit code cache (deleted) (com mapbox rctmgl components styles RCTMGLStyleFactory setCircleLayerStyle 3720)_x000D_
2019 02 20 16:09:08 470 28611 28611   A DEBUG:      12 pc 000000000007f908   dev ashmem dalvik jit code cache (deleted) (com mapbox rctmgl components styles layers RCTMGLCircleLayer addStyles 200)_x000D_
2019 02 20 16:09:08 470 28611 28611   A DEBUG:      13 pc 0000000000086d90   dev ashmem dalvik jit code cache (deleted) (com mapbox rctmgl components styles layers RCTLayer setReactStyle 80)_x000D_
2019 02 20 16:09:08 470 28611 28611   A DEBUG:      14 pc 0000000000087a3c   dev ashmem dalvik jit code cache (deleted) (com mapbox rctmgl components styles layers RCTMGLCircleLayerManager setReactStyle 60)_x000D_
2019 02 20 16:09:08 470 28611 28611   A DEBUG:      15 pc 0000000000545b88   system lib64 libart so (art quick invoke stub 584)_x000D_
2019 02 20 16:09:08 470 28611 28611   A DEBUG:      16 pc 00000000000cf698   system lib64 libart so (art::ArtMethod::Invoke(art::Thread   unsigned int   unsigned int  art::JValue   char const ) 200)_x000D_
2019 02 20 16:09:08 470 28611 28611   A DEBUG:      17 pc 000000000044f524   system lib64 libart so (art::(anonymous namespace)::InvokeWithArgArray(art::ScopedObjectAccessAlreadyRunnable const   art::ArtMethod   art::(anonymous namespace)::ArgArray   art::JValue   char const ) 104)_x000D_
2019 02 20 16:09:08 470 28611 28611   A DEBUG:      18 pc 0000000000450f88   system lib64 libart so (art::InvokeMethod(art::ScopedObjectAccessAlreadyRunnable const    jobject    jobject    jobject   unsigned long) 1440)_x000D_
2019 02 20 16:09:08 470 28611 28611   A DEBUG:      19 pc 00000000003e255c   system lib64 libart so (art::Method invoke( JNIEnv    jobject    jobject    jobjectArray ) 52)_x000D_
2019 02 20 16:09:08 470 28611 28611   A DEBUG:      20 pc 000000000011e6d4   system framework arm64 boot oat (offset 0x114000) (java lang Class getDeclaredMethodInternal  DEDUPED  180)_x000D_
2019 02 20 16:09:08 470 28611 28611   A DEBUG:      21 pc 0000000000018fa8   dev ashmem dalvik jit code cache (deleted) (com facebook react uimanager ViewManagersPropertyCache PropSetter updateViewProp 296)_x000D_
2019 02 20 16:09:08 470 28611 28611   A DEBUG:      22 pc 000000000000e928   dev ashmem dalvik jit code cache (deleted) (com facebook react uimanager ViewManagerPropertyUpdater FallbackViewManagerSetter setProperty 168)_x000D_
2019 02 20 16:09:08 470 28611 28611   A DEBUG:      23 pc 000000000000e160   dev ashmem dalvik jit code cache (deleted) (com facebook react uimanager ViewManagerPropertyUpdater updateProps 240)_x000D_
2019 02 20 16:09:08 470 28611 28611   A DEBUG:      24 pc 000000000003ca30   dev ashmem dalvik jit code cache (deleted) (com facebook react uimanager ViewManager updateProperties 48)_x000D_
2019 02 20 16:09:08 470 28611 28611   A DEBUG:      25 pc 000000000000a3fc   dev ashmem dalvik jit code cache (deleted) (com facebook react uimanager NativeViewHierarchyManager updateProperties 172)_x000D_
2019 02 20 16:09:08 470 28611 28611   A DEBUG:      26 pc 000000000007a5d4   dev ashmem dalvik jit code cache (deleted) (com facebook react uimanager UIViewOperationQueue UpdatePropertiesOperation execute 100)_x000D_
2019 02 20 16:09:08 470 28611 28611   A DEBUG:      27 pc 000000000005ab88   dev ashmem dalvik jit code cache (deleted) (com facebook react uimanager UIViewOperationQueue 1 run 568)_x000D_
2019 02 20 16:09:08 470 28611 28611   A DEBUG:      28 pc 0000000000026ae8   dev ashmem dalvik jit code cache (deleted) (com facebook react uimanager UIViewOperationQueue flushPendingBatches 360)_x000D_
2019 02 20 16:09:08 470 28611 28611   A DEBUG:      29 pc 0000000000024ce8   dev ashmem dalvik jit code cache (deleted) (com facebook react uimanager UIViewOperationQueue access 2600 40)_x000D_
2019 02 20 16:09:08 470 28611 28611   A DEBUG:      30 pc 00000000000231a8   dev ashmem dalvik jit code cache (deleted) (com facebook react uimanager UIViewOperationQueue DispatchUIFrameCallback doFrameGuarded 200)_x000D_
2019 02 20 16:09:08 470 28611 28611   A DEBUG:      31 pc 0000000000023ba8   dev ashmem dalvik jit code cache (deleted) (com facebook react uimanager GuardedFrameCallback doFrame 56)_x000D_
2019 02 20 16:09:08 470 28611 28611   A DEBUG:      32 pc 0000000000014358   dev ashmem dalvik jit code cache (deleted) (com facebook react modules core ReactChoreographer ReactChoreographerDispatcher doFrame 360)_x000D_
2019 02 20 16:09:08 470 28611 28611   A DEBUG:      33 pc 000000000002413c   dev ashmem dalvik jit code cache (deleted) (com facebook react modules core ChoreographerCompat FrameCallback 1 doFrame 60)_x000D_
2019 02 20 16:09:08 470 28611 28611   A DEBUG:      34 pc 0000000000015888   dev ashmem dalvik jit code cache (deleted) (android view Choreographer CallbackRecord run 152)_x000D_
2019 02 20 16:09:08 470 28611 28611   A DEBUG:      35 pc 000000000000ae8c   dev ashmem dalvik jit code cache (deleted) (android view Choreographer doCallbacks 524)_x000D_
2019 02 20 16:09:08 470 28611 28611   A DEBUG:      36 pc 000000000000b7b0   dev ashmem dalvik jit code cache (deleted) (android view Choreographer doFrame 960)_x000D_
2019 02 20 16:09:08 470 28611 28611   A DEBUG:      37 pc 00000000000253f0   dev ashmem dalvik jit code cache (deleted) (android view Choreographer FrameDisplayEventReceiver run 80)_x000D_
2019 02 20 16:09:08 470 28611 28611   A DEBUG:      38 pc 0000000000026640   dev ashmem dalvik jit code cache (deleted) (android os Handler handleCallback 64)_x000D_
2019 02 20 16:09:08 470 28611 28611   A DEBUG:      39 pc 0000000000026fec   dev ashmem dalvik jit code cache (deleted) (android os Handler dispatchMessage 60)_x000D_
2019 02 20 16:09:08 470 28611 28611   A DEBUG:      40 pc 0000000000091278   dev ashmem dalvik jit code cache (deleted) (android os Looper loop 1032)_x000D_
2019 02 20 16:09:08 470 28611 28611   A DEBUG:      41 pc 0000000000545edc   system lib64 libart so (art quick osr stub 44)_x000D_
2019 02 20 16:09:08 470 28611 28611   A DEBUG:      42 pc 000000000030168c   system lib64 libart so (art::jit::Jit::MaybeDoOnStackReplacement(art::Thread   art::ArtMethod   unsigned int  int  art::JValue ) 1992)_x000D_
2019 02 20 16:09:08 470 28611 28611   A DEBUG:      43 pc 000000000051be48   system lib64 libart so (MterpMaybeDoOnStackReplacement 144)_x000D_
2019 02 20 16:09:08 470 28611 28611   A DEBUG:      44 pc 000000000053cb70   system lib64 libart so (ExecuteMterpImpl 33136)_x000D_
2019 02 20 16:09:08 470 28611 28611   A DEBUG:      45 pc 0000000000aec854   system framework boot framework vdex (android os Looper loop 928)_x000D_
2019 02 20 16:09:08 470 28611 28611   A DEBUG:      46 pc 000000000024e938   system lib64 libart so ( ZN3art11interpreterL7ExecuteEPNS 6ThreadERKNS 20CodeItemDataAccessorERNS 11ShadowFrameENS 6JValueEb llvm 953976685 488)_x000D_
2019 02 20 16:09:08 470 28611 28611   A DEBUG:      47 pc 0000000000254098   system lib64 libart so (art::interpreter::ArtInterpreterToInterpreterBridge(art::Thread   art::CodeItemDataAccessor const   art::ShadowFrame   art::JValue ) 216)_x000D_
2019 02 20 16:09:08 470 28611 28611   A DEBUG:      48 pc 000000000027499c   system lib64 libart so (bool art::interpreter::DoCall false  false (art::ArtMethod   art::Thread   art::ShadowFrame   art::Instruction const   unsigned short  art::JValue ) 920)_x000D_
2019 02 20 16:09:08 470 28611 28611   A DEBUG:      49 pc 0000000000516d28   system lib64 libart so (MterpInvokeStatic 204)_x000D_
2019 02 20 16:09:08 470 28611 28611   A DEBUG:      50 pc 0000000000538314   system lib64 libart so (ExecuteMterpImpl 14612)_x000D_
2019 02 20 16:09:08 470 28611 28611   A DEBUG:      51 pc 0000000000385872   system framework boot framework vdex (android app ActivityThread main 214)_x000D_
2019 02 20 16:09:08 470 28611 28611   A DEBUG:      52 pc 000000000024e938   system lib64 libart so ( ZN3art11interpreterL7ExecuteEPNS 6ThreadERKNS 20CodeItemDataAccessorERNS 11ShadowFrameENS 6JValueEb llvm 953976685 488)_x000D_
2019 02 20 16:09:08 470 28611 28611   A DEBUG:      53 pc 00000000005064ec   system lib64 libart so (artQuickToInterpreterBridge 1032)_x000D_
2019 02 20 16:09:08 470 28611 28611   A DEBUG:      54 pc 000000000054ecfc   system lib64 libart so (art quick to interpreter bridge 92)_x000D_
2019 02 20 16:09:08 470 28611 28611   A DEBUG:      55 pc 0000000000545e4c   system lib64 libart so (art quick invoke static stub 604)_x000D_
2019 02 20 16:09:08 470 28611 28611   A DEBUG:      56 pc 00000000000cf6b8   system lib64 libart so (art::ArtMethod::Invoke(art::Thread   unsigned int   unsigned int  art::JValue   char const ) 232)_x000D_
2019 02 20 16:09:08 470 28611 28611   A DEBUG:      57 pc 000000000044f524   system lib64 libart so (art::(anonymous namespace)::InvokeWithArgArray(art::ScopedObjectAccessAlreadyRunnable const   art::ArtMethod   art::(anonymous namespace)::ArgArray   art::JValue   char const ) 104)_x000D_
2019 02 20 16:09:08 470 28611 28611   A DEBUG:      58 pc 0000000000450f88   system lib64 libart so (art::InvokeMethod(art::ScopedObjectAccessAlreadyRunnable const    jobject    jobject    jobject   unsigned long) 1440)_x000D_
2019 02 20 16:09:08 470 28611 28611   A DEBUG:      59 pc 00000000003e255c   system lib64 libart so (art::Method invoke( JNIEnv    jobject    jobject    jobjectArray ) 52)_x000D_
2019 02 20 16:09:08 470 28611 28611   A DEBUG:      60 pc 000000000011e6d4   system framework arm64 boot oat (offset 0x114000) (java lang Class getDeclaredMethodInternal  DEDUPED  180)_x000D_
2019 02 20 16:09:08 470 28611 28611   A DEBUG:      61 pc 0000000000545b88   system lib64 libart so (art quick invoke stub 584)_x000D_
2019 02 20 16:09:08 470 28611 28611   A DEBUG:      62 pc 00000000000cf698   system lib64 libart so (art::ArtMethod::Invoke(art::Thread   unsigned int   unsigned int  art::JValue   char const ) 200)_x000D_
2019 02 20 16:09:08 470 28611 28611   A DEBUG:      63 pc 000000000027a978   system lib64 libart so (art::interpreter::ArtInterpreterToCompiledCodeBridge(art::Thread   art::ArtMethod   art::ShadowFrame   unsigned short  art::JValue ) 344)_x000D_
2019 02 20 16:09:08 470 28611 28611   A DEBUG:      64 pc 00000000002749b8   system lib64 libart so (bool art::interpreter::DoCall false  false (art::ArtMethod   art::Thread   art::ShadowFrame   art::Instruction const   unsigned short  art::JValue ) 948)_x000D_
2019 02 20 16:09:08 470 28611 28611   A DEBUG:      65 pc 0000000000515830   system lib64 libart so (MterpInvokeVirtual 588)_x000D_
2019 02 20 16:09:08 470 28611 28611   A DEBUG:      66 pc 0000000000538194   system lib64 libart so (ExecuteMterpImpl 14228)_x000D_
2019 02 20 16:09:08 471 28611 28611   A DEBUG:      67 pc 0000000000c0d522   system framework boot framework vdex (com android internal os RuntimeInit MethodAndArgsCaller run 22)_x000D_
2019 02 20 16:09:08 471 28611 28611   A DEBUG:      68 pc 000000000024e938   system lib64 libart so ( ZN3art11interpreterL7ExecuteEPNS 6ThreadERKNS 20CodeItemDataAccessorERNS 11ShadowFrameENS 6JValueEb llvm 953976685 488)_x000D_
2019 02 20 16:09:08 471 28611 28611   A DEBUG:      69 pc 00000000005064ec   system lib64 libart so (artQuickToInterpreterBridge 1032)_x000D_
2019 02 20 16:09:08 471 28611 28611   A DEBUG:      70 pc 000000000054ecfc   system lib64 libart so (art quick to interpreter bridge 92)_x000D_
2019 02 20 16:09:08 471 28611 28611   A DEBUG:      71 pc 0000000000bead90   system framework arm64 boot framework oat (offset 0x3cd000) (com android internal os ZygoteInit main 3088)_x000D_
2019 02 20 16:09:08 471 28611 28611   A DEBUG:      72 pc 0000000000545e4c   system lib64 libart so (art quick invoke static stub 604)_x000D_
2019 02 20 16:09:08 471 28611 28611   A DEBUG:      73 pc 00000000000cf6b8   system lib64 libart so (art::ArtMethod::Invoke(art::Thread   unsigned int   unsigned int  art::JValue   char const ) 232)_x000D_
2019 02 20 16:09:08 471 28611 28611   A DEBUG:      74 pc 000000000044f524   system lib64 libart so (art::(anonymous namespace)::InvokeWithArgArray(art::ScopedObjectAccessAlreadyRunnable const   art::ArtMethod   art::(anonymous namespace)::ArgArray   art::JValue   char const ) 104)_x000D_
2019 02 20 16:09:08 471 28611 28611   A DEBUG:      75 pc 000000000044f17c   system lib64 libart so (art::InvokeWithVarArgs(art::ScopedObjectAccessAlreadyRunnable const    jobject    jmethodID   std::  va list) 424)_x000D_
2019 02 20 16:09:08 471 28611 28611   A DEBUG:      76 pc 00000000003594dc   system lib64 libart so (art::JNI::CallStaticVoidMethodV( JNIEnv    jclass    jmethodID   std::  va list) 768)_x000D_
2019 02 20 16:09:08 471 28611 28611   A DEBUG:      77 pc 00000000000b1d9c   system lib64 libandroid runtime so ( JNIEnv::CallStaticVoidMethod( jclass    jmethodID      ) 120)_x000D_
2019 02 20 16:09:08 471 28611 28611   A DEBUG:      78 pc 00000000000b4724   system lib64 libandroid runtime so (android::AndroidRuntime::start(char const   android::Vector android::String8  const   bool) 756)_x000D_
2019 02 20 16:09:08 471 28611 28611   A DEBUG:      79 pc 000000000000219c   system bin app process64 (main 1200)_x000D_
2019 02 20 16:09:08 471 28611 28611   A DEBUG:      80 pc 00000000000acef0   system lib64 libc so (  libc init 88)_x000D_
   _x000D_
</t>
  </si>
  <si>
    <t>niccokunzmann-mundraub-android-232</t>
  </si>
  <si>
    <t>Map needs zoom out in offline mode after GPS location</t>
  </si>
  <si>
    <t xml:space="preserve">     If you report an app crash  please attach the eu quelltext mundraub log txt file_x000D_
     from the root of your phone s file system     _x000D_
When I press the GPS button  the map goes to a certain place  However  I need to zoom out_x000D_
first before I can see the tiles  verison 1 173</t>
  </si>
  <si>
    <t>Catfriend1-syncthing-android-342</t>
  </si>
  <si>
    <t>fragmentManager: commitAllowingStateLoss (fixes #321)</t>
  </si>
  <si>
    <t xml:space="preserve">Purpose:_x000D_
Fix issue  321 according to the StackOverflow linked in the issue _x000D_
_x000D_
Testing:_x000D_
I tested screen rotation and service state change during app in background after screen rotated  Found no crash  but  that was already the case before this PR  So we ll have to use the community and check the gplay reports if the situation got better  same or worse </t>
  </si>
  <si>
    <t>opensrp-opensrp-client-chw-168</t>
  </si>
  <si>
    <t>Investigate app crash after tapping vaccine save button</t>
  </si>
  <si>
    <t xml:space="preserve">Steps to reproduce:_x000D_
_x000D_
  Register a new child (in this case  Lisa Ann Gulas in the Gulas family)  then open their home visit _x000D_
  I filled in some services  for e g  I unchecked all vaccines and tapped the Save button (Side note: separate issue created about this  as one shouldn t be able to tap the disabled Save button)_x000D_
  I tapped into other services and exited out  then I exited out of the entire home visit _x000D_
  When opening the home visit again  I tried to record that the vaccines were given this time  but the app hung a couple of seconds after tapping the save button and then the app crashed _x000D_
_x000D_
</t>
  </si>
  <si>
    <t>inaturalist-iNaturalistAndroid-635</t>
  </si>
  <si>
    <t>NullPointerException in project selector</t>
  </si>
  <si>
    <t xml:space="preserve">https:  fabric io inaturalist android apps org inaturalist android issues 5c76a2b2f8b88c29634f7631 time last seven days_x000D_
_x000D_
   _x000D_
Fatal Exception: java lang NullPointerException: Attempt to invoke interface method  java util Iterator java util List iterator()  on a null object reference_x000D_
       at org inaturalist android ProjectSelectorActivity saveProjectFieldValues(ProjectSelectorActivity java:362)_x000D_
       at org inaturalist android ProjectSelectorActivity access 900(ProjectSelectorActivity java:56)_x000D_
       at org inaturalist android ProjectSelectorActivity ProjectAdapter getView(ProjectSelectorActivity java:453)_x000D_
       at android widget AbsListView obtainView(AbsListView java:2437)_x000D_
       at android widget ListView makeAndAddView(ListView java:2073)_x000D_
       at android widget ListView fillSpecific(ListView java:1503)_x000D_
       at android widget ListView layoutChildren(ListView java:1811)_x000D_
       at android widget AbsListView onTouchMove(AbsListView java:4185)_x000D_
       at android widget AbsListView onTouchEvent(AbsListView java:4018)_x000D_
       at android view View dispatchTouchEvent(View java:11759)_x000D_
       at android view ViewGroup dispatchTransformedTouchEvent(ViewGroup java_x000D_
   _x000D_
_x000D_
Seems restricted to 336  Only one crash  and I don t have repro conditions  so not the best bug report </t>
  </si>
  <si>
    <t>NordicSemiconductor-Android-BLE-Library-88</t>
  </si>
  <si>
    <t>NullPointerException on service discovery</t>
  </si>
  <si>
    <t xml:space="preserve">Hey _x000D_
_x000D_
Just collected that crash from Firebase Crashlytics  here is the stacktrace:_x000D_
_x000D_
   Fatal Exception: java lang NullPointerException_x000D_
Attempt to invoke virtual method  android bluetooth BluetoothDevice android bluetooth BluetoothGatt getDevice()  on a null object reference_x000D_
no nordicsemi android ble BleManager BleManagerGattCallback onDeviceReady (BleManager java:2207)_x000D_
no nordicsemi android ble BleManager BleManagerGattCallback nextRequest (BleManager java:3146)_x000D_
no nordicsemi android ble BleManager BleManagerGattCallback nextRequest (BleManager java:3210)_x000D_
no nordicsemi android ble BleManager BleManagerGattCallback nextRequest (BleManager java:3210)_x000D_
no nordicsemi android ble BleManager BleManagerGattCallback nextRequest (BleManager java:3210)_x000D_
no nordicsemi android ble BleManager BleManagerGattCallback onServicesDiscoveredSafe (BleManager java:2601)_x000D_
no nordicsemi android ble MainThreadBluetoothGattCallback lambda onServicesDiscovered 1 (MainThreadBluetoothGattCallback java:112)_x000D_
no nordicsemi android ble    Lambda MainThreadBluetoothGattCallback js3Daz29T8D5sg6HeYmRg0i uuU run (Unknown Source:6)_x000D_
   </t>
  </si>
  <si>
    <t>redsolution-xabber-android-868</t>
  </si>
  <si>
    <t>xabber keeps crashing on the recent update of android 9 with samsung one ui</t>
  </si>
  <si>
    <t xml:space="preserve">Samsung recently published their new android 9 with their samsungs one ui _x000D_
_x000D_
Since then im having the problem as soon as xabber is logged in on the account it crashes  cant even open up settings or other things  This problem happens on the live xabber and also the beta xabber </t>
  </si>
  <si>
    <t>aws-amplify-aws-sdk-android-722</t>
  </si>
  <si>
    <t>AWSMobileClient.getInstance().showSignIn() Crash in 2.12.1 upon submit: Can't create handler inside thread that has not called Looper.prepare()</t>
  </si>
  <si>
    <t xml:space="preserve">  Describe the bug  _x000D_
I have an app running in 2 12 0   The app displays the SignInUI successfully and it works  signing in the user and also displaying errors when appropriate  After upgrade to 2 12 1  the app will now crash when the sign in UI Sign In button is selected   No other code changed in the app  Reverting back to 2 12 0 resolves the problem  _x000D_
_x000D_
The exception for use case  user does not provide any input an selects the Sign In button _x000D_
   _x000D_
2019 02 25 00:43:15 025 2239 2293 com buntingsoftware modlist E CognitoUserPoolsSignInProvider: Failed to login _x000D_
    com amazonaws services cognitoidentityprovider model InvalidParameterException: Missing required parameter USERNAME (Service: AmazonCognitoIdentityProvider  Status Code: 400  Error Code: InvalidParameterException  Request ID: 3d005900 38c0 11e9 89c6 1da46b80413b)_x000D_
        at com amazonaws http AmazonHttpClient handleErrorResponse(AmazonHttpClient java:730)_x000D_
        at com amazonaws http AmazonHttpClient executeHelper(AmazonHttpClient java:405)_x000D_
        at com amazonaws http AmazonHttpClient execute(AmazonHttpClient java:212)_x000D_
        at com amazonaws services cognitoidentityprovider AmazonCognitoIdentityProviderClient invoke(AmazonCognitoIdentityProviderClient java:5953)_x000D_
        at com amazonaws services cognitoidentityprovider AmazonCognitoIdentityProviderClient initiateAuth(AmazonCognitoIdentityProviderClient java:4127)_x000D_
        at com amazonaws mobileconnectors cognitoidentityprovider CognitoUser 23 run(CognitoUser java:2352)_x000D_
        at com amazonaws mobileconnectors cognitoidentityprovider CognitoUser 6 1 run(CognitoUser java:782)_x000D_
        at java lang Thread run(Thread java:761)_x000D_
    _x000D_
    _x000D_
              beginning of crash_x000D_
2019 02 25 00:43:15 027 2239 2293 com buntingsoftware modlist E AndroidRuntime: FATAL EXCEPTION: Thread 13_x000D_
    Process: com buntingsoftware modlist  PID: 2239_x000D_
    java lang RuntimeException: Can t create handler inside thread that has not called Looper prepare()_x000D_
        at android os Handler  init (Handler java:200)_x000D_
        at android os Handler  init (Handler java:114)_x000D_
        at android app Dialog  init (Dialog java:151)_x000D_
        at android app AlertDialog  init (AlertDialog java:200)_x000D_
        at android app AlertDialog Builder create(AlertDialog java:1103)_x000D_
        at android app AlertDialog Builder show(AlertDialog java:1130)_x000D_
        at com amazonaws mobile auth core internal util ViewHelper showDialog(ViewHelper java:46)_x000D_
        at com amazonaws mobile auth userpools CognitoUserPoolsSignInProvider 4 onFailure(CognitoUserPoolsSignInProvider java:363)_x000D_
        at com amazonaws mobileconnectors cognitoidentityprovider CognitoUser 23 run(CognitoUser java:2381)_x000D_
        at com amazonaws mobileconnectors cognitoidentityprovider CognitoUser 6 1 run(CognitoUser java:782)_x000D_
        at java lang Thread run(Thread java:761)_x000D_
   _x000D_
_x000D_
  To Reproduce  _x000D_
A code sample or steps:_x000D_
_x000D_
initialize AWS then show the sign in as follows: _x000D_
_x000D_
   _x000D_
    private void showSignIn()  _x000D_
        Log d(TAG   showSignIn() ) _x000D_
_x000D_
        runOnUiThread(new Runnable()  _x000D_
             Override_x000D_
            public void run()  _x000D_
_x000D_
                AWSMobileClient getInstance() showSignIn(_x000D_
                        MainActivity this _x000D_
                        SignInUIOptions builder()_x000D_
                                 nextActivity(MainActivity class)_x000D_
                                 logo(R drawable ic modlist aws signin icon)_x000D_
                                 backgroundColor(Color parseColor(  7FA7BC ))_x000D_
                                 canCancel(false)_x000D_
                                 build() _x000D_
                        new Callback UserStateDetails ()  _x000D_
                             Override_x000D_
                            public void onResult(UserStateDetails result)  _x000D_
                                Log d(TAG   showSignIn() onResult() result: userState:     result getUserState()) _x000D_
                                switch (result getUserState())  _x000D_
                                    case SIGNED IN:_x000D_
                                        Log d(TAG   showSignIn() callback: SIGNED IN logged in  ) _x000D_
                                        initializeAndLoadData() _x000D_
                                        break _x000D_
                                    case SIGNED OUT:_x000D_
                                        Log d(TAG   showSignIn() callback onResult: SIGNED OUT  ) _x000D_
                                        initializeAWSMobileClient() _x000D_
                                        break _x000D_
                                    case SIGNED OUT FEDERATED TOKENS INVALID:_x000D_
                                        Log d(TAG   showSignIn() callback onResult: SIGNED OUT FEDERATED TOKENS INVALID ) _x000D_
                                        initializeAWSMobileClient() _x000D_
                                        break _x000D_
                                    case SIGNED OUT USER POOLS TOKENS INVALID:_x000D_
                                        Log d(TAG   showSignIn() callback onResult: SIGNED OUT USER POOLS TOKENS INVALID ) _x000D_
                                        initializeAWSMobileClient() _x000D_
                                        break _x000D_
                                    case GUEST:_x000D_
                                        Log d(TAG   showSignIn() callback onResult: GUEST ) _x000D_
                                        initializeAWSMobileClient() _x000D_
                                        break _x000D_
                                    case UNKNOWN:_x000D_
                                        Log d(TAG   showSignIn() callback onResult: UNKNOWN ) _x000D_
                                        initializeAWSMobileClient() _x000D_
                                        break _x000D_
                                    default:_x000D_
                                        Log d(TAG   showSignIn() callback onResult: default  Should not be possible  ) _x000D_
                                        initializeAWSMobileClient() _x000D_
                                        break _x000D_
                                 _x000D_
                             _x000D_
_x000D_
                             Override_x000D_
                            public void onError(Exception e)  _x000D_
                                Log e(TAG   showSignIn() onError:    e) _x000D_
                             _x000D_
                         _x000D_
                ) _x000D_
              ) _x000D_
     _x000D_
   _x000D_
_x000D_
   _x000D_
apply plugin:  com android application _x000D_
_x000D_
android  _x000D_
    compileSdkVersion 27_x000D_
    defaultConfig  _x000D_
        applicationId  com buntingsoftware modlist _x000D_
        minSdkVersion 23_x000D_
        targetSdkVersion 27_x000D_
        versionCode 58_x000D_
        versionName  1 16 2 _x000D_
        testInstrumentationRunner  android support test runner AndroidJUnitRunner _x000D_
        vectorDrawables useSupportLibrary   true_x000D_
        multiDexEnabled   true_x000D_
     _x000D_
    buildTypes  _x000D_
        release  _x000D_
            minifyEnabled false_x000D_
            proguardFiles getDefaultProguardFile( proguard android txt )   proguard rules pro _x000D_
         _x000D_
     _x000D_
    productFlavors  _x000D_
     _x000D_
_x000D_
 _x000D_
_x000D_
allprojects  _x000D_
    repositories  _x000D_
        jcenter()_x000D_
        maven   url  https:  maven google com   _x000D_
        maven   url  https:  jitpack io   _x000D_
     _x000D_
 _x000D_
_x000D_
dependencies  _x000D_
    implementation fileTree(include:     jar    dir:  libs )_x000D_
    implementation  com android support constraint:constraint layout:1 1 3 _x000D_
    implementation  com android support:appcompat v7:27 1 1 _x000D_
    implementation  com android support:design:27 1 1 _x000D_
    implementation  com android support:support vector drawable:27 1 1 _x000D_
    implementation  com android support:recyclerview v7:27 1 1 _x000D_
    implementation  com android support:support v4:27 1 1 _x000D_
    implementation  com android support:cardview v7:27 1 1 _x000D_
    implementation  com android support:gridlayout v7:27 1 1 _x000D_
    implementation  com android support:customtabs:27 1 1 _x000D_
    testImplementation  junit:junit:4 12 _x000D_
    androidTestImplementation  com android support test:runner:1 0 2 _x000D_
    androidTestImplementation  com android support test espresso:espresso core:3 0 2 _x000D_
    implementation  com android support:multidex:1 0 3 _x000D_
  _x000D_
      implementation  com amazonaws:aws android sdk core:2 12 0 _x000D_
      implementation  com amazonaws:aws android sdk auth core:2 12 0 aar _x000D_
      implementation  com amazonaws:aws android sdk pinpoint:2 12 0 _x000D_
      implementation  com amazonaws:aws android sdk ddb:2 12 0 _x000D_
      implementation  com amazonaws:aws android sdk ddb mapper:2 12 0 _x000D_
      implementation( com amazonaws:aws android sdk mobile client:2 12 0 aar )   transitive   true  _x000D_
      implementation( com amazonaws:aws android sdk auth userpools:2 12 0 aar )   transitive   true  _x000D_
  _x000D_
      implementation( com amazonaws:aws android sdk auth ui:2 12 0 aar )   transitive   true  _x000D_
      implementation( com amazonaws:aws android sdk auth facebook:2 12 0 aar )   transitive   true  _x000D_
      implementation( com amazonaws:aws android sdk auth google:2 12 0 aar )   transitive   true  _x000D_
      implementation( com amazonaws:aws android sdk apigateway core:2 12 0 )   transitive   true  _x000D_
      implementation( com amazonaws:aws android sdk cognitoidentityprovider:2 12 0 )  _x000D_
          transitive   true_x000D_
       _x000D_
_x000D_
_x000D_
    implementation  com amazonaws:aws android sdk core:2 12 1 _x000D_
    implementation  com amazonaws:aws android sdk auth core:2 12 1 aar _x000D_
    implementation  com amazonaws:aws android sdk pinpoint:2 12 1 _x000D_
    implementation  com amazonaws:aws android sdk ddb:2 12 1 _x000D_
    implementation  com amazonaws:aws android sdk ddb mapper:2 12 1 _x000D_
    implementation( com amazonaws:aws android sdk mobile client:2 12 1 aar )   transitive   true  _x000D_
    implementation( com amazonaws:aws android sdk auth userpools:2 12 1 aar )   transitive   true  _x000D_
_x000D_
    implementation( com amazonaws:aws android sdk auth ui:2 12 1 aar )   transitive   true  _x000D_
    implementation( com amazonaws:aws android sdk auth facebook:2 12 1 aar )   transitive   true  _x000D_
    implementation( com amazonaws:aws android sdk auth google:2 12 1 aar )   transitive   true  _x000D_
    implementation( com amazonaws:aws android sdk apigateway core:2 12 1 )   transitive   true  _x000D_
    implementation( com amazonaws:aws android sdk cognitoidentityprovider:2 12 1 )  _x000D_
        transitive   true_x000D_
     _x000D_
_x000D_
_x000D_
       Added per Pinpoint Push Notifications documentation:_x000D_
       https:  docs aws amazon com aws mobile latest developerguide add aws mobile push notifications html_x000D_
    implementation  com google android gms:play services auth:16 0  _x000D_
    implementation  com google firebase:firebase core:16 0   _x000D_
    implementation  com google firebase:firebase messaging:17 3 4 _x000D_
_x000D_
 _x000D_
_x000D_
   Added per Pinpoint Push Notifications documentation:_x000D_
   https:  docs aws amazon com aws mobile latest developerguide add aws mobile push notifications html_x000D_
apply plugin:  com google gms google services _x000D_
   _x000D_
  Which AWS service(s) are affected   _x000D_
Cognito User Pool sign in with AWSMobileClient getInstance() showSignIn()_x000D_
_x000D_
  Environment Information (please complete the following information):  _x000D_
   AWS Android SDK Version: 2 12 1_x000D_
   Device: Samsung SMJ72VPP (device) or Simulator Pixel 2_x000D_
   Android Version: 7 0 API 24 or 9 0 API 28_x000D_
   Specific to simulators: No_x000D_
_x000D_
  Additional context  _x000D_
The only change I made in my app was to change the AWS version to 2 12 1_x000D_
_x000D_
</t>
  </si>
  <si>
    <t>oliexdev-openScale-409</t>
  </si>
  <si>
    <t>Crash trying to open general settings</t>
  </si>
  <si>
    <t xml:space="preserve">  Describe the bug  _x000D_
After upgrading to 2 0  the first launch immediately crashed with the below stack  I m also able to reproduce the stack by trying to open the general settings menu _x000D_
_x000D_
Reproduced with  latest dev version (https:  github com oliexdev openScale releases tag travis dev build): Not tried_x000D_
_x000D_
  Debug log  _x000D_
 openScale 2019 02 24 07 18 txt (https:  github com oliexdev openScale files 2897872 openScale 2019 02 24 07 18 txt)_x000D_
_x000D_
Build version: 2 0 _x000D_
Build date: 1979 11 29 19:00:00 _x000D_
Current date: 2019 02 24 07:01:06 _x000D_
Device: Huawei Nexus 6P _x000D_
 _x000D_
Stack trace:  _x000D_
java lang RuntimeException: Unable to start receiver com health openscale gui widget WidgetProvider: java lang IllegalArgumentException: The style on this component requires your app theme to be Theme AppCompat (or a descendant) _x000D_
	at android app ActivityThread handleReceiver(ActivityThread java:3194)_x000D_
	at android app ActivityThread  wrap17(Unknown Source:0)_x000D_
	at android app ActivityThread H handleMessage(ActivityThread java:1672)_x000D_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Caused by: java lang IllegalArgumentException: The style on this component requires your app theme to be Theme AppCompat (or a descendant) _x000D_
	at com google android material internal ThemeEnforcement checkTheme(ThemeEnforcement java:240)_x000D_
	at com google android material internal ThemeEnforcement checkAppCompatTheme(ThemeEnforcement java:211)_x000D_
	at com google android material internal ThemeEnforcement checkCompatibleTheme(ThemeEnforcement java:146)_x000D_
	at com google android material internal ThemeEnforcement obtainStyledAttributes(ThemeEnforcement java:78)_x000D_
	at com google android material floatingactionbutton FloatingActionButton  init (FloatingActionButton java:202)_x000D_
	at com google android material floatingactionbutton FloatingActionButton  init (FloatingActionButton java:193)_x000D_
	at com google android material floatingactionbutton FloatingActionButton  init (FloatingActionButton java:189)_x000D_
	at com health openscale gui views MeasurementView initView(MeasurementView java:182)_x000D_
	at com health openscale gui views MeasurementView  init (MeasurementView java:88)_x000D_
	at com health openscale gui views FloatMeasurementView  init (FloatMeasurementView java:78)_x000D_
	at com health openscale gui views WeightMeasurementView  init (WeightMeasurementView java:32)_x000D_
	at com health openscale gui views MeasurementView getMeasurementList(MeasurementView java:113)_x000D_
	at com health openscale gui widget WidgetProvider updateWidget(WidgetProvider java:70)_x000D_
	at com health openscale gui widget WidgetProvider onUpdate(WidgetProvider java:158)_x000D_
	at android appwidget AppWidgetProvider onReceive(AppWidgetProvider java:66)_x000D_
	at android app ActivityThread handleReceiver(ActivityThread java:3187)_x000D_
	    8 more_x000D_
</t>
  </si>
  <si>
    <t>zdavatz-AmiKo-Android-58</t>
  </si>
  <si>
    <t>1.4.6 crash log</t>
  </si>
  <si>
    <t>Samsung Galaxy S9 (starlte)  Android 9_x000D_
Bericht 1 von 1_x000D_
java lang NullPointerException: _x000D_
  at com ywesee amiko MainActivity onConfigurationChanged (MainActivity java:1332)_x000D_
  at android app ActivityThread performActivityConfigurationChanged (ActivityThread java:5267)_x000D_
  at android app ActivityThread performConfigurationChangedForActivity (ActivityThread java:5121)_x000D_
  at android app ActivityThread performConfigurationChangedForActivity (ActivityThread java:5099)_x000D_
  at android app ActivityThread handleActivityConfigurationChanged (ActivityThread java:5500)_x000D_
_x000D_
The full crash log:_x000D_
_x000D_
https:  play google com apps publish  account 4921779936452011385 AndroidMetricsErrorsPlace:p com ywesee amiko fr appid 4973390717187410713 appVersion PRODUCTION clusterName apps com ywesee amiko fr clusters 8d54c1c7 detailsAppVersion PRODUCTION detailsSpan 7</t>
  </si>
  <si>
    <t>fossasia-phimpme-android-2631</t>
  </si>
  <si>
    <t>App crashing on compressing image by size or dimension or editing an already compressed image.</t>
  </si>
  <si>
    <t xml:space="preserve">  Describe the bug  _x000D_
When an image which is already compressed by size or dimension is edited or gain compressed  sometimes the app crashes _x000D_
_x000D_
  To Reproduce  _x000D_
Compress an image by size or dimension  Then try to edit or compress the new image  The app might crash  This might not happen frequently but it does happen  Sometimes the new image might also get compressed successfully and then the new image formed after that might cause the app to crash  The app might also crash if the image is just being edited _x000D_
_x000D_
  Expected behavior  _x000D_
The app should not crash _x000D_
_x000D_
  Logs  _x000D_
  2019 02 24 13:49:44 687 16051 16051 org fossasia phimpme E AndroidRuntime: FATAL EXCEPTION: main_x000D_
    Process: org fossasia phimpme  PID: 16051_x000D_
    java lang NullPointerException: Attempt to invoke virtual method  android graphics Bitmap Config android graphics Bitmap getConfig()  on a null object reference_x000D_
        at org fossasia phimpme editor EditImageActivity LoadImageTask onPostExecute(EditImageActivity java:613)_x000D_
        at org fossasia phimpme editor EditImageActivity LoadImageTask onPostExecute(EditImageActivity java:594)_x000D_
        at android os AsyncTask finish(AsyncTask java:695)_x000D_
        at android os AsyncTask access 600(AsyncTask java:180)_x000D_
        at android os AsyncTask InternalHandler handleMessage(AsyncTask java:712)_x000D_
        at android os Handler dispatchMessage(Handler java:107)_x000D_
        at android os Looper loop(Looper java:198)_x000D_
        at android app ActivityThread main(ActivityThread java:6729)_x000D_
        at java lang reflect Method invoke(Native Method)_x000D_
        at com android internal os RuntimeInit MethodAndArgsCaller run(RuntimeInit java:493)_x000D_
        at com android internal os ZygoteInit main(ZygoteInit java:858)_x000D_
_x000D_
  2019 02 24 13:55:44 160 17386 17386 org fossasia phimpme E WindowManager: android view WindowLeaked: Activity org fossasia phimpme editor CompressImageActivity has leaked window DecorView 801a965 CompressImageActivity  that was originally added here_x000D_
        at android view ViewRootImpl  init (ViewRootImpl java:518)_x000D_
        at android view WindowManagerGlobal addView(WindowManagerGlobal java:346)_x000D_
        at android view WindowManagerImpl addView(WindowManagerImpl java:94)_x000D_
        at android app Dialog show(Dialog java:329)_x000D_
        at org fossasia phimpme editor CompressImageActivity compressDim(CompressImageActivity java:343)_x000D_
        at org fossasia phimpme editor CompressImageActivity access 100(CompressImageActivity java:47)_x000D_
        at org fossasia phimpme editor CompressImageActivity 2 onClick(CompressImageActivity java:73)_x000D_
        at android view View performClick(View java:6608)_x000D_
        at android view View performClickInternal(View java:6585)_x000D_
        at android view View access 3100(View java:782)_x000D_
        at android view View PerformClick run(View java:25945)_x000D_
        at android os Handler handleCallback(Handler java:874)_x000D_
        at android os Handler dispatchMessage(Handler java:100)_x000D_
        at android os Looper loop(Looper java:198)_x000D_
        at android app ActivityThread main(ActivityThread java:6729)_x000D_
        at java lang reflect Method invoke(Native Method)_x000D_
        at com android internal os RuntimeInit MethodAndArgsCaller run(RuntimeInit java:493)_x000D_
        at com android internal os ZygoteInit main(ZygoteInit java:858)_x000D_
_x000D_
  Smartphone Info:  _x000D_
     Please complete the following information    _x000D_
                   _x000D_
                   _x000D_
 Device          Nokia 7 Plus _x000D_
 Android Version Android 0     _x000D_
_x000D_
  Would you like to work on the issue   _x000D_
     Please let us know if you can work on it or the issue should be assigned to someone else     _x000D_
   X  Yes_x000D_
      No_x000D_
</t>
  </si>
  <si>
    <t>nextcloud-android-3670</t>
  </si>
  <si>
    <t>Custom folder auto-upload is not triggered</t>
  </si>
  <si>
    <t xml:space="preserve">    Actual behaviour_x000D_
I m not sure what is happening  but my auto upload is not triggered_x000D_
_x000D_
    Expected behaviour_x000D_
Auto upload should be triggered when I make new photo_x000D_
 _x000D_
    Steps to reproduce_x000D_
1  checkout master_x000D_
2  run on emulator_x000D_
3  login as usual_x000D_
4  set up   custom   auto upload folder DCIM Camera    Something_x000D_
5  open android camera and make a photo_x000D_
_x000D_
Nothing happens _x000D_
_x000D_
I found this crash in logs   could be related:_x000D_
_x000D_
   _x000D_
2019 02 23 18:35:23 568 10053 14293 com nextcloud client E JobExecutor: Crashed job id 2  finished true  result FAILURE  canceled false  periodic true  class OfflineSyncJob  tag OfflineSyncJob _x000D_
    java lang NullPointerException: Attempt to invoke virtual method  java lang String com owncloud android datamodel OCFile getRemotePath()  on a null object reference_x000D_
        at com owncloud android jobs OfflineSyncJob recursive(OfflineSyncJob java:145)_x000D_
        at com owncloud android jobs OfflineSyncJob onRunJob(OfflineSyncJob java:91)_x000D_
        at com evernote android job Job runJob(Job java:124)_x000D_
        at com evernote android job JobExecutor JobCallable runJob(JobExecutor java:181)_x000D_
        at com evernote android job JobExecutor JobCallable call(JobExecutor java:166)_x000D_
        at com evernote android job JobExecutor JobCallable call(JobExecutor java:149)_x000D_
        at java util concurrent FutureTask run(FutureTask java:266)_x000D_
        at java util concurrent ThreadPoolExecutor runWorker(ThreadPoolExecutor java:1167)_x000D_
        at java util concurrent ThreadPoolExecutor Worker run(ThreadPoolExecutor java:641)_x000D_
        at java lang Thread run(Thread java:764)_x000D_
   _x000D_
_x000D_
    Environment data_x000D_
Android version: 9_x000D_
Device model: emulator_x000D_
Stock or customized system: emulator with google apps_x000D_
Nextcloud app version: git master_x000D_
Nextcloud server version: 15 0 2_x000D_
</t>
  </si>
  <si>
    <t>SeniorDesignTm-SmartUniMain-6</t>
  </si>
  <si>
    <t xml:space="preserve">Today and Upcoming views are not fully implemented </t>
  </si>
  <si>
    <t xml:space="preserve">Today and Upcoming views are not fully implemented which causes a crash  when used </t>
  </si>
  <si>
    <t>ankidroid-Anki-Android-5251</t>
  </si>
  <si>
    <t>Android 9: crash when opening note editor</t>
  </si>
  <si>
    <t xml:space="preserve">       Reproduction Steps_x000D_
_x000D_
(Edit: please change  note editor  in title to  card editor )_x000D_
_x000D_
1  Review a card_x000D_
2  Chose  edit note  from the menu_x000D_
3  Click on the card name (last row below the tags) to go to the card editor_x000D_
_x000D_
_x000D_
       Expected Result_x000D_
_x000D_
Card editor opens_x000D_
_x000D_
       Actual Result_x000D_
_x000D_
App crashes  I can t open the card editor from the edit note screen  I need to open it from the main menu  _x000D_
On android 8 I never had problems to open the card editor during reviews  these crashes are new in Android 9 _x000D_
_x000D_
       Debug info_x000D_
_x000D_
AnkiDroid Version   2 9alpha66_x000D_
_x000D_
Android Version   9_x000D_
_x000D_
ACRA UUID   f2d13677 d957 460e 9f8e 33ca6f832c17_x000D_
_x000D_
_x000D_
Refer to the  support page (https:  ankidroid org docs help html) if you are unsure where to get the  debug info  _x000D_
_x000D_
       Research_x000D_
 Enter an   x   character to confirm the points below: _x000D_
_x000D_
     I have read the  support page (https:  ankidroid org docs help html) and am reporting a bug or enhancement request specific to AnkiDroid_x000D_
_x000D_
     I have checked the  manual (https:  ankidroid org docs manual html) and the  FAQ (https:  github com ankidroid Anki Android wiki FAQ) and could not find a solution to my issue_x000D_
_x000D_
     I have searched for similar existing issues here and on the user forum_x000D_
_x000D_
</t>
  </si>
  <si>
    <t>kalaspuffar-secure-quick-reliable-login-249</t>
  </si>
  <si>
    <t>Error message screens and other popup windows aren't renewed.</t>
  </si>
  <si>
    <t xml:space="preserve">If you stand on the first simplified view and then go around a bit in the advanced options and then return back _x000D_
_x000D_
Then you trigger an error by going to a stale site the application crashes due to missing window references </t>
  </si>
  <si>
    <t>SeniorDesignTm-SmartUniMain-5</t>
  </si>
  <si>
    <t>Deleting by the very first item</t>
  </si>
  <si>
    <t>Deleting by the very first item crashes the app</t>
  </si>
  <si>
    <t>Intelehealth-Android-Mobile-Client-649</t>
  </si>
  <si>
    <t>UpdateVisitService.java line 633</t>
  </si>
  <si>
    <t>https:  console firebase google com u 2 project mobile crashlytics crashlytics app android:io intelehealth client issues 5c6cbf26f8b88c2963739703 time last thirty days sessionId 5C6CBD0A0286000161F8CA1A3337FE13 DNE 0 v2</t>
  </si>
  <si>
    <t>Intelehealth-Android-Mobile-Client-648</t>
  </si>
  <si>
    <t>IdentificationActivity.java line 366</t>
  </si>
  <si>
    <t>https:  console firebase google com u 2 project mobile crashlytics crashlytics app android:io intelehealth client issues 5c6baeb6f8b88c29635a4f75 time last thirty days sessionId 5C6BAF3B036200013593B0905F5C5848 DNE 0 v2</t>
  </si>
  <si>
    <t>Intelehealth-Android-Mobile-Client-647</t>
  </si>
  <si>
    <t>PatientDetailActivity.java line 516</t>
  </si>
  <si>
    <t>https:  console firebase google com u 2 project mobile crashlytics crashlytics app android:io intelehealth client issues 5c6b78d6f8b88c2963561682 time last thirty days sessionId 5C6CC54103A5000177E7F8E17CB57361 DNE 0 v2</t>
  </si>
  <si>
    <t>TryGhost-Ghost-Android-38</t>
  </si>
  <si>
    <t>[Crash] SettingRealmProxy - Trying to set non-nullable field 'value' to null</t>
  </si>
  <si>
    <t xml:space="preserve">  Ghost version: 2 14 3 (self hosted)_x000D_
  App version: 1 2 2_x000D_
  Android version: 9 0_x000D_
  Device: Samsung Galaxy S8 (SM G950F)_x000D_
_x000D_
    _x000D_
_x000D_
App crashes in main menu after successful log in _x000D_
Cannot say any more  I am not familiar with Realm _x000D_
_x000D_
    _x000D_
_x000D_
Stack trace:_x000D_
_x000D_
   _x000D_
FATAL EXCEPTION: main_x000D_
Process: org ghost android  PID: 19607_x000D_
java lang IllegalArgumentException: Trying to set non nullable field  value  to null _x000D_
	at io realm SettingRealmProxy realmSet value(SettingRealmProxy java:191)_x000D_
	at io realm SettingRealmProxy copy(SettingRealmProxy java:442)_x000D_
	at io realm SettingRealmProxy copyOrUpdate(SettingRealmProxy java:428)_x000D_
	at io realm BlogDataModuleMediator copyOrUpdate(BlogDataModuleMediator java:232)_x000D_
	at io realm Realm copyOrUpdate(Realm java:1505)_x000D_
	at io realm Realm copyToRealmOrUpdate(Realm java:1143)_x000D_
	at me vickychijwani spectre network NetworkService lambda createOrUpdateModel 5 NetworkService(NetworkService java:1062)_x000D_
	at me vickychijwani spectre network NetworkService  Lambda 5 execute(Unknown Source:6)_x000D_
	at me vickychijwani spectre model RealmUtils executeTransaction(RealmUtils java:30)_x000D_
	at me vickychijwani spectre network NetworkService createOrUpdateModel(NetworkService java:1061)_x000D_
	at me vickychijwani spectre network NetworkService createOrUpdateModel(NetworkService java:1053)_x000D_
	at me vickychijwani spectre network NetworkService access 200(NetworkService java:96)_x000D_
	at me vickychijwani spectre network NetworkService 3 onResponse(NetworkService java:325)_x000D_
	at retrofit2 ExecutorCallAdapterFactory ExecutorCallbackCall 1 1 run(ExecutorCallAdapterFactory java:70)_x000D_
	at android os Handler handleCallback(Handler java:873)_x000D_
	at android os Handler dispatchMessage(Handler java:99)_x000D_
	at android os Looper loop(Looper java:214)_x000D_
	at android app ActivityThread main(ActivityThread java:7045)_x000D_
	at java lang reflect Method invoke(Native Method)_x000D_
	at com android internal os RuntimeInit MethodAndArgsCaller run(RuntimeInit java:493)_x000D_
	at com android internal os ZygoteInit main(ZygoteInit java:964)_x000D_
_x000D_
   _x000D_
</t>
  </si>
  <si>
    <t>SeniorDesignTm-SmartUniMain-2</t>
  </si>
  <si>
    <t xml:space="preserve">Wrong index is passed to the backend </t>
  </si>
  <si>
    <t xml:space="preserve">Wrong index is passed to the back end which causes null reference crash </t>
  </si>
  <si>
    <t>getodk-skunkworks-crow-111</t>
  </si>
  <si>
    <t>App crashes on clicking the send button in FilledFormsFragment</t>
  </si>
  <si>
    <t xml:space="preserve">     Problem Description:_x000D_
App crashes when we click on the send button after selecting some forms  _x000D_
_x000D_
     Steps to reproduce:_x000D_
1  Get a blank form(like All widgets) in collect _x000D_
2  Fill it and save it _x000D_
3  Now launch Share  and try to send the filled form _x000D_
4   You will notice the crash there _x000D_
_x000D_
  java lang RuntimeException: Unable to destroy activity  org odk share org odk share activities SendFormsActivity : android database StaleDataException: Attempted to access a cursor after it has been closed _x000D_
        at android app ActivityThread performDestroyActivity(ActivityThread java:4746)_x000D_
        at android app ActivityThread handleDestroyActivity(ActivityThread java:4764)_x000D_
        at android app ActivityThread  wrap5(Unknown Source:0)_x000D_
        at android app ActivityThread H handleMessage(ActivityThread java:1854)_x000D_
        at android os Handler dispatchMessage(Handler java:106)_x000D_
        at android os Looper loop(Looper java:187)_x000D_
        at android app ActivityThread main(ActivityThread java:7025)_x000D_
        at java lang reflect Method invoke(Native Method)_x000D_
        at com android internal os RuntimeInit MethodAndArgsCaller run(RuntimeInit java:514)_x000D_
        at com android internal os ZygoteInit main(ZygoteInit java:888)_x000D_
_x000D_
</t>
  </si>
  <si>
    <t>martykan-forecastie-327</t>
  </si>
  <si>
    <t>Crash with widget</t>
  </si>
  <si>
    <t xml:space="preserve">When I start Forecastie from widget I got crash  Here is the log : 
 02 19 18:38:31 867 19871 19871 E AndroidRuntime: FATAL EXCEPTION: main 02 19 18:38:31 867 19871 19871 E AndroidRuntime: Process: cz martykan forecastie  PID: 19871 02 19 18:38:31 867 19871 19871 E AndroidRuntime: java lang RuntimeException: Unable to start activity ComponentInfo cz martykan forecastie cz martykan forecastie activities MainActivity : java lang NullPointerException: Attempt to invoke virtual method  java lang String java lang String trim()  on a null object reference 02 19 18:38:31 867 19871 19871 E AndroidRuntime: at android app ActivityThread performLaunchActivity(ActivityThread java:2778) 02 19 18:38:31 867 19871 19871 E AndroidRuntime: at android app ActivityThread handleLaunchActivity(ActivityThread java:2856) 02 19 18:38:31 867 19871 19871 E AndroidRuntime: at android app ActivityThread  wrap11(Unknown Source:0) 02 19 18:38:31 867 19871 19871 E AndroidRuntime: at android app ActivityThread H handleMessage(ActivityThread java:1589) 02 19 18:38:31 867 19871 19871 E AndroidRuntime: at android os Handler dispatchMessage(Handler java:106) 02 19 18:38:31 867 19871 19871 E AndroidRuntime: at android os Looper loop(Looper java:164) 02 19 18:38:31 867 19871 19871 E AndroidRuntime: at android app ActivityThread main(ActivityThread java:6494) 02 19 18:38:31 867 19871 19871 E AndroidRuntime: at java lang reflect Method invoke(Native Method) 02 19 18:38:31 867 19871 19871 E AndroidRuntime: at com android internal os RuntimeInit MethodAndArgsCaller run(RuntimeInit java:440) 02 19 18:38:31 867 19871 19871 E AndroidRuntime: at com android internal os ZygoteInit main(ZygoteInit java:807) 02 19 18:38:31 867 19871 19871 E AndroidRuntime: Caused by: java lang NullPointerException: Attempt to invoke virtual method  java lang String java lang String trim()  on a null object reference 02 19 18:38:31 867 19871 19871 E AndroidRuntime: at sun misc FloatingDecimal readJavaFormatString(FloatingDecimal java:1838) 02 19 18:38:31 867 19871 19871 E AndroidRuntime: at sun misc FloatingDecimal parseFloat(FloatingDecimal java:122) 02 19 18:38:31 867 19871 19871 E AndroidRuntime: at java lang Float parseFloat(Float java:452) 02 19 18:38:31 867 19871 19871 E AndroidRuntime: at cz martykan forecastie activities MainActivity updateTodayWeatherUI(MainActivity java:467) 02 19 18:38:31 867 19871 19871 E AndroidRuntime: at cz martykan forecastie activities MainActivity onStart(MainActivity java:216) 02 19 18:38:31 867 19871 19871 E AndroidRuntime: at android app Instrumentation callActivityOnStart(Instrumentation java:1334) 02 19 18:38:31 867 19871 19871 E AndroidRuntime: at android app Activity performStart(Activity java:7029) 02 19 18:38:31 867 19871 19871 E AndroidRuntime: at android app ActivityThread performLaunchActivity(ActivityThread java:2741) 02 19 18:38:31 867 19871 19871 E AndroidRuntime:     9 more </t>
  </si>
  <si>
    <t>tobexyz-yaacc-code-30</t>
  </si>
  <si>
    <t>Content tab says 'loading...' forever</t>
  </si>
  <si>
    <t xml:space="preserve">I just installed the app from f droid (version 2 2 0) and went to  content  tab  I am expecting it to show my local files on the device  but it just shows  Loading     text forever  There is icon (arrow pointing down to a line) in front of that text  If I click that icon  the app will crash and the OS will say that  YAACC  has stopped _x000D_
_x000D_
</t>
  </si>
  <si>
    <t>Haptic-Apps-Slide-2975</t>
  </si>
  <si>
    <t>Having a very large filter list crashes the app when opening filter settings</t>
  </si>
  <si>
    <t xml:space="preserve">Slide version: 6 0 1 3 Fdroid_x000D_
Android version: 8 1 0_x000D_
 _x000D_
I have a very large amount of subreddits filtered (300 ) and while I previously could open the filter settings  it was just very slow  now it crashes completely  Which is very unfortunate  as I accidentally blocked imgur and would like to get it back  Issue occurs every time I try to access the filter settings </t>
  </si>
  <si>
    <t>SeniorDesignTm-SmartUniMain-1</t>
  </si>
  <si>
    <t xml:space="preserve">  The add button crashes the app if used with out typing a description for the date ( null reference )  </t>
  </si>
  <si>
    <t>commons-app-apps-android-commons-2487</t>
  </si>
  <si>
    <t>SQLiteException: no such column: wikidataEntityID (v2.10.0)</t>
  </si>
  <si>
    <t xml:space="preserve">Got quite a few of these crashes:_x000D_
_x000D_
ANDROID VERSION 7 1 2_x000D_
APP VERSION NAME 2 10 0_x000D_
BRAND vivo_x000D_
PHONE MODEL vivo 1716_x000D_
CUSTOM DATA _x000D_
   _x000D_
STACK TRACE java lang RuntimeException: An error occurred while executing doInBackground()_x000D_
        at android support v4 content ModernAsyncTask 3 done(ModernAsyncTask java:161)_x000D_
        at java util concurrent FutureTask finishCompletion(FutureTask java:354)_x000D_
        at java util concurrent FutureTask setException(FutureTask java:223)_x000D_
        at java util concurrent FutureTask run(FutureTask java:242)_x000D_
        at java util concurrent ThreadPoolExecutor runWorker(ThreadPoolExecutor java:1133)_x000D_
        at java util concurrent ThreadPoolExecutor Worker run(ThreadPoolExecutor java:607)_x000D_
        at java lang Thread run(Thread java:762)_x000D_
Caused by: android database sqlite SQLiteException: no such column: wikidataEntityID (code 1):   while compiling: SELECT  id  filename  local uri  image url  timestamp  state  length  uploaded  transferred  source  description  creator  multiple  width  height  license  wikidataEntityID FROM contributions ORDER BY state DESC  uploaded DESC   (timestamp   state)LIMIT 100_x000D_
        at android database sqlite SQLiteConnection nativePrepareStatement(Native Method)_x000D_
        at android database sqlite SQLiteConnection acquirePreparedStatement(SQLiteConnection java:954)_x000D_
        at android database sqlite SQLiteConnection prepare(SQLiteConnection java:508)_x000D_
        at android database sqlite SQLiteSession prepare(SQLiteSession java:588)_x000D_
        at android database sqlite SQLiteProgram  init (SQLiteProgram java:58)_x000D_
        at android database sqlite SQLiteQuery  init (SQLiteQuery java:37)_x000D_
        at android database sqlite SQLiteDirectCursorDriver query(SQLiteDirectCursorDriver java:44)_x000D_
        at android database sqlite SQLiteDatabase rawQueryWithFactory(SQLiteDatabase java:1318)_x000D_
        at android database sqlite SQLiteQueryBuilder query(SQLiteQueryBuilder java:399)_x000D_
        at android database sqlite SQLiteQueryBuilder query(SQLiteQueryBuilder java:294)_x000D_
        at fr free nrw commons contributions ContributionsContentProvider query(ContributionsContentProvider java:57)_x000D_
        at android content ContentProvider query(ContentProvider java:1163)_x000D_
        at android content ContentProvider Transport query(ContentProvider java:274)_x000D_
        at android content ContentResolver query(ContentResolver java:638)_x000D_
        at android support v4 content ContentResolverCompat query(ContentResolverCompat java:80)_x000D_
        at android support v4 content CursorLoader loadInBackground(CursorLoader java:61)_x000D_
        at android support v4 content CursorLoader loadInBackground(CursorLoader java:39)_x000D_
        at android support v4 content AsyncTaskLoader onLoadInBackground(AsyncTaskLoader java:306)_x000D_
        at android support v4 content AsyncTaskLoader LoadTask doInBackground(AsyncTaskLoader java:59)_x000D_
        at android support v4 content AsyncTaskLoader LoadTask doInBackground(AsyncTaskLoader java:47)_x000D_
        at android support v4 content ModernAsyncTask 2 call(ModernAsyncTask java:138)_x000D_
        at java util concurrent FutureTask run(FutureTask java:237)_x000D_
            3 more_x000D_
android database sqlite SQLiteException: no such column: wikidataEntityID (code 1):   while compiling: SELECT  id  filename  local uri  image url  timestamp  state  length  uploaded  transferred  source  description  creator  multiple  width  height  license  wikidataEntityID FROM contributions ORDER BY state DESC  uploaded DESC   (timestamp   state)LIMIT 100_x000D_
        at android database sqlite SQLiteConnection nativePrepareStatement(Native Method)_x000D_
        at android database sqlite SQLiteConnection acquirePreparedStatement(SQLiteConnection java:954)_x000D_
        at android database sqlite SQLiteConnection prepare(SQLiteConnection java:508)_x000D_
        at android database sqlite SQLiteSession prepare(SQLiteSession java:588)_x000D_
        at android database sqlite SQLiteProgram  init (SQLiteProgram java:58)_x000D_
        at android database sqlite SQLiteQuery  init (SQLiteQuery java:37)_x000D_
        at android database sqlite SQLiteDirectCursorDriver query(SQLiteDirectCursorDriver java:44)_x000D_
        at android database sqlite SQLiteDatabase rawQueryWithFactory(SQLiteDatabase java:1318)_x000D_
        at android database sqlite SQLiteQueryBuilder query(SQLiteQueryBuilder java:399)_x000D_
        at android database sqlite SQLiteQueryBuilder query(SQLiteQueryBuilder java:294)_x000D_
        at fr free nrw commons contributions ContributionsContentProvider query(ContributionsContentProvider java:57)_x000D_
        at android content ContentProvider query(ContentProvider java:1163)_x000D_
        at android content ContentProvider Transport query(ContentProvider java:274)_x000D_
        at android content ContentResolver query(ContentResolver java:638)_x000D_
        at android support v4 content ContentResolverCompat query(ContentResolverCompat java:80)_x000D_
        at android support v4 content CursorLoader loadInBackground(CursorLoader java:61)_x000D_
        at android support v4 content CursorLoader loadInBackground(CursorLoader java:39)_x000D_
        at android support v4 content AsyncTaskLoader onLoadInBackground(AsyncTaskLoader java:306)_x000D_
        at android support v4 content AsyncTaskLoader LoadTask doInBackground(AsyncTaskLoader java:59)_x000D_
        at android support v4 content AsyncTaskLoader LoadTask doInBackground(AsyncTaskLoader java:47)_x000D_
        at android support v4 content_x000D_
   </t>
  </si>
  <si>
    <t>fossasia-open-event-organizer-android-1514</t>
  </si>
  <si>
    <t>event can't be added to the app</t>
  </si>
  <si>
    <t xml:space="preserve">  Describe the bug  _x000D_
 not able to login with the given credentials  _x000D_
_x000D_
  To Reproduce  _x000D_
 Steps to reproduce the behavior:_x000D_
1  Go to  app _x000D_
2  Click on the app and enter the email id  orgadeveloper gmail com and password  fossasia  _x000D_
_x000D_
4  See error  error 401 unauthorized _x000D_
_x000D_
  Expected behavior  _x000D_
  It should log in_x000D_
 into the app _x000D_
_x000D_
  Logs  _x000D_
     Please add logs in case of any crash or applicable error     _x000D_
_x000D_
  Screenshots  _x000D_
  whatsapp image 2019 02 19 at 1 30 49 pm (https:  user images githubusercontent com 35845477 52999265 51bc5780 344b 11e9 8fb2 741f4bb0d06a jpeg)  _x000D_
_x000D_
  Smartphone Info:  _x000D_
     Please complete the following information    _x000D_
                   _x000D_
                   _x000D_
 Device          Redmi 5A _x000D_
 Android Version Oreo     _x000D_
_x000D_
  Would you like to work on the issue   _x000D_
     Please let us know if you can work on it or the issue should be assigned to someone else     _x000D_
      Yes_x000D_
_x000D_
</t>
  </si>
  <si>
    <t>DiscordTime-sticky-sessions-android-154</t>
  </si>
  <si>
    <t xml:space="preserve">Crash while fast clicking on session item </t>
  </si>
  <si>
    <t xml:space="preserve">http:  crashes to s e9bce8d29f1_x000D_
_x000D_
 br org cesar discordtime stickysessions issue 4 crash 5C6AE18900BA000167B459822C74DB2A DNE 0 v2 txt (https:  github com DiscordTime sticky sessions android files 2876680 br org cesar discordtime stickysessions issue 4 crash 5C6AE18900BA000167B459822C74DB2A DNE 0 v2 txt)_x000D_
_x000D_
_x000D_
</t>
  </si>
  <si>
    <t>cgeo-cgeo-7303</t>
  </si>
  <si>
    <t>NPE on  map</t>
  </si>
  <si>
    <t xml:space="preserve">New crash report with 2019 02 17 RC  _x000D_
Not sure if this can be related to sdk raise or not _x000D_
_x000D_
Device: Android 9 0_x000D_
_x000D_
Crash report:_x000D_
   _x000D_
java lang NullPointerException: _x000D_
 _x000D_
  at io reactivex internal functions ObjectHelper requireNonNull (ObjectHelper java:39)_x000D_
 _x000D_
  at io reactivex Observable combineLatest (Observable java:433)_x000D_
 _x000D_
  at cgeo geocaching sensors GeoDirHandler start (GeoDirHandler java:111)_x000D_
 _x000D_
  at cgeo geocaching sensors GeoDirHandler start (GeoDirHandler java:77)_x000D_
 _x000D_
  at cgeo geocaching maps mapsforge v6 NewMap initializeLayers (NewMap java:784)_x000D_
 _x000D_
  at cgeo geocaching maps mapsforge v6 NewMap onStart (NewMap java:725)_x000D_
 _x000D_
  at android app Instrumentation callActivityOnStart (Instrumentation java:1392)_x000D_
 _x000D_
  at android app Activity performStart (Activity java:7157)_x000D_
 _x000D_
  at android app ActivityThread handleStartActivity (ActivityThread java:2952)_x000D_
 _x000D_
  at android app servertransaction TransactionExecutor performLifecycleSequence (TransactionExecutor java:180)_x000D_
 _x000D_
  at android app servertransaction TransactionExecutor cycleToPath (TransactionExecutor java:165)_x000D_
 _x000D_
  at android app servertransaction TransactionExecutor executeLifecycleState (TransactionExecutor java:142)_x000D_
 _x000D_
  at android app servertransaction TransactionExecutor execute (TransactionExecutor java:70)_x000D_
 _x000D_
  at android app ActivityThread H handleMessage (ActivityThread java:1823)_x000D_
 _x000D_
  at android os Handler dispatchMessage (Handler java:107)_x000D_
 _x000D_
  at android os Looper loop (Looper java:198)_x000D_
 _x000D_
  at android app ActivityThread main (ActivityThread java:6729)_x000D_
 _x000D_
  at java lang reflect Method invoke (Native Method)_x000D_
 _x000D_
  at com android internal os RuntimeInit MethodAndArgsCaller run (RuntimeInit java:493)_x000D_
 _x000D_
  at com android internal os ZygoteInit main (ZygoteInit java:858)_x000D_
   </t>
  </si>
  <si>
    <t>mjaun-android-anuto-158</t>
  </si>
  <si>
    <t>anuto crashes on enemy success at high level</t>
  </si>
  <si>
    <t>With version 0 5 from f droid I experience crashes in high levels  It happens the third time I start this map from scratch  Now I did a screenshot after reopening and getting to the very wave  If one enemy succeeds in this level the anuto crashes  I only tried this map _x000D_
_x000D_
_x000D_
  anuto crash (https:  user images githubusercontent com 5377772 52920461 e5d3d500 330c 11e9 8e14 6cb55d91c91b jpg)_x000D_
_x000D_
Thanks for this fun game</t>
  </si>
  <si>
    <t>cgeo-cgeo-7300</t>
  </si>
  <si>
    <t>OnResume crash on map</t>
  </si>
  <si>
    <t xml:space="preserve">For now just a reminder to myself:_x000D_
During my vacation I experienced regular crashes when I switched my device to standby and resumed afterwards while c:geo map was opened _x000D_
_x000D_
Rough conditions:_x000D_
  Map of saved list or live map (without data connection) opened_x000D_
  Nightly build of approx  beginning of February_x000D_
  Switch off display_x000D_
  Switch it on again_x000D_
  c:geo crashed_x000D_
_x000D_
I need to doublecheck the conditions and check if this has already been reported somewhere here  </t>
  </si>
  <si>
    <t>react-native-camera-react-native-camera-2111</t>
  </si>
  <si>
    <t>RNCamera whiteBalance prop does not work with Android 9.0.</t>
  </si>
  <si>
    <t xml:space="preserve">  Bug Report_x000D_
  To Do First  _x000D_
    x   Did you try latest release _x000D_
    x   Did you try master _x000D_
    x   Did you look for existing matching issues _x000D_
_x000D_
  Related Modules  _x000D_
    Comment in the related ones   _x000D_
    RNCamera   _x000D_
_x000D_
After upgrading phone emulator to   Android 9 0 Pie     RNCamera   whiteBalance  prop does not work   Only  RNCamera Constants WhiteBalance auto    Ends up crashing when changing it dynamically _x000D_
_x000D_
    FaceDetector   _x000D_
    RCTCamera(deprecated)   _x000D_
_x000D_
  Platforms  _x000D_
    Comment in the related ones   _x000D_
    Android   _x000D_
_x000D_
After upgrading phone emulator to   Android 9 0 Pie     RNCamera   whiteBalance  prop does not work   Only  RNCamera Constants WhiteBalance auto    Ends up crashing when changing it dynamically _x000D_
_x000D_
    iOS   _x000D_
_x000D_
  Versions  _x000D_
    Please add the used versions branches or leave blank and comment in the optionals if used   _x000D_
  Android: 9 0_x000D_
  iOS:_x000D_
  react native camera: 1 11 1_x000D_
  react native: 0 58 4_x000D_
  react: 16 6 3_x000D_
     react navigation:   _x000D_
_x000D_
  Description Current Behaviour  _x000D_
    place your bug description below   _x000D_
_x000D_
After upgrading phone emulator to   Android 9 0 Pie     RNCamera   whiteBalance  prop does not work   Only  RNCamera Constants WhiteBalance auto    Ends up crashing when changing it dynamically _x000D_
_x000D_
  Expected Behaviour  _x000D_
    place your expected behaviour below   _x000D_
_x000D_
  Steps to Reproduce  _x000D_
    describe how to produce the error below   _x000D_
_x000D_
      Does it work with Expo Camera      _x000D_
    Check usage with Expo and comment in this section  https:  github com react native community react native camera blob master docs Expo Usage md_x000D_
You should open an issue there as well  so we can cooperate in a solution    _x000D_
_x000D_
  Additionals  _x000D_
    place screenshots suggestions and other additional infos below   _x000D_
_x000D_
  Love react native camera  Please consider supporting our collective:    https:  opencollective com react native camera donate_x000D_
  Want this issue to be resolved faster  Please consider adding a bounty to it https:  issuehunt io repos 33218414_x000D_
</t>
  </si>
  <si>
    <t>commons-app-apps-android-commons-2476</t>
  </si>
  <si>
    <t>Crash due to contribution dao in 2.10</t>
  </si>
  <si>
    <t xml:space="preserve">  Summary:   _x000D_
_x000D_
We have received a couple of crash reports pointing to some issue with the  ContributionDao   _x000D_
  Steps to reproduce:   _x000D_
_x000D_
How can we reproduce the issue  _x000D_
_x000D_
Upgrading the app from previous release versions might help in reproducing the issue  _x000D_
_x000D_
  System logs:  _x000D_
_x000D_
   _x000D_
java lang RuntimeException: An error occurred while executing doInBackground()_x000D_
at android support v4 content ModernAsyncTask 3 done(ModernAsyncTask java:161)_x000D_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java:764)_x000D_
Caused by: android database sqlite SQLiteException: no such column: wikidataEntityID (code 1):   while compiling: SELECT  id  filename  local uri  image url  timestamp  state  length  uploaded  transferred  source  description  creator  multiple  width  height  license  wikidataEntityID FROM contributions ORDER BY state DESC  uploaded DESC   (timestamp   state)LIMIT 100_x000D_
                                                                 _x000D_
Error Code : 1 (SQLITE ERROR)_x000D_
Caused By : SQL(query) error or missing database _x000D_
(no such column: wikidataEntityID (code 1):   while compiling: SELECT  id  filename  local uri  image url  timestamp  state  length  uploaded  transferred  source  description  creator  multiple  width  height  license  wikidataEntityID FROM contributions ORDER BY state DESC  uploaded DESC   (timestamp   state)LIMIT 100)_x000D_
                                                                 _x000D_
at android database sqlite SQLiteConnection nativePrepareStatement(Native Method)_x000D_
at android database sqlite SQLiteConnection acquirePreparedStatement(SQLiteConnection java:1095)_x000D_
at android database sqlite SQLiteConnection prepare(SQLiteConnection java:660)_x000D_
at android database sqlite SQLiteSession prepare(SQLiteSession java:588)_x000D_
at android database sqlite SQLiteProgram  init (SQLiteProgram java:59)_x000D_
at android database sqlite SQLiteQuery  init (SQLiteQuery java:37)_x000D_
at android database sqlite SQLiteDirectCursorDriver query(SQLiteDirectCursorDriver java:44)_x000D_
at android database sqlite SQLiteDatabase rawQueryWithFactory(SQLiteDatabase java:1739)_x000D_
at android database sqlite SQLiteQueryBuilder query(SQLiteQueryBuilder java:399)_x000D_
at android database sqlite SQLiteQueryBuilder query(SQLiteQueryBuilder java:294)_x000D_
at fr free nrw commons contributions ContributionsContentProvider query(ContributionsContentProvider java:57)_x000D_
at android content ContentProvider query(ContentProvider java:1063)_x000D_
at android content ContentProvider query(ContentProvider java:1155)_x000D_
at android content ContentProvider Transport query(ContentProvider java:244)_x000D_
at android content ContentResolver query(ContentResolver java:760)_x000D_
at android content ContentResolver query(ContentResolver java:710)_x000D_
at android support v4 content ContentResolverCompat query(ContentResolverCompat java:80)_x000D_
at android support v4 content CursorLoader loadInBackground(CursorLoader java:61)_x000D_
at android support v4 content CursorLoader loadInBackground(CursorLoader java:39)_x000D_
at android support v4 content AsyncTaskLoader onLoadInBackground(AsyncTaskLoader java:306)_x000D_
at android support v4 content AsyncTaskLoader LoadTask doInBackground(AsyncTaskLoader java:59)_x000D_
at android support v4 content AsyncTaskLoader LoadTask doInBackground(AsyncTaskLoader java:47)_x000D_
at android support v4 content ModernAsyncTask 2 call(ModernAsyncTask java:138)_x000D_
at java util concurrent FutureTask run(FutureTask java:266)_x000D_
    3 more_x000D_
android database sqlite SQLiteException: no such column: wikidataEntityID (code 1):   while compiling: SELECT  id  filename  local uri  image url  timestamp  state  length  uploaded  transferred  source  description  creator  multiple  width  height  license  wikidataEntityID FROM contributions ORDER BY state DESC  uploaded DESC   (timestamp   state)LIMIT 100_x000D_
                                                                 _x000D_
Error Code : 1 (SQLITE ERROR)_x000D_
Caused By : SQL(query) error or missing database _x000D_
(no such column: wikidataEntityID (code 1):   while compiling: SELECT  id  filename  local uri  image url  timestamp  state  length  uploaded  transferred  source  description  creator  multiple  width  height  license  wikidataEntityID FROM contributions ORDER BY state DESC  uploaded DESC   (timestamp   state)LIMIT 100)_x000D_
                                                                 _x000D_
at android database sqlite SQLiteConnection nativePrepareStatement(Native Method)_x000D_
at android database sqlite SQLiteConnection acquirePreparedStatement(SQLiteConnection java:1095)_x000D_
at android database sqlite SQLiteConnection prepare(SQLiteConnection java:660)_x000D_
at android database sqlite SQLiteSession prepare(SQLiteSession java:588)_x000D_
at android database sqlite SQLiteProgram  init (SQLiteProgram java:59)_x000D_
at android database sqlite SQLiteQuery  init (SQLiteQuery java:37)_x000D_
at android database sqlite SQLiteDirectCursorDriver query(SQLiteDirectCursorDriver java:44)_x000D_
at android database sqlite SQLiteDatabase rawQueryWithFactory(SQLiteDatabase java:1739)_x000D_
at android database sqlite SQLiteQueryBuilder query(SQLiteQueryBuilder java:399)_x000D_
at android database sqlite SQLiteQueryBuilder query(SQLiteQueryBuilder java:294)_x000D_
at fr free nrw commons contributions ContributionsContentProvider query(ContributionsContentProvider java:57)_x000D_
at android content ContentProvider query(ContentProvider java:1063)_x000D_
at android content ContentProvider query(ContentProvider java:1155)_x000D_
at android content ContentProvider Transport query(ContentProvider java:244)_x000D_
at android content ContentResolver query(ContentResolver java:760)_x000D_
at android content ContentResolver query(ContentResolver java:710)_x000D_
at android support v4 content ContentResolverCompat query(ContentResolverCompat java:80)_x000D_
at android support v4 content CursorLoader loadInBackground(CursorLoader java:61)_x000D_
at android support v4 content CursorLoader loadInBackground(CursorLoader java:39)_x000D_
at android support v4 content AsyncTaskLoader onLoadInBackground(AsyncTaskLoader java:306)_x000D_
at android support v4 content AsyncTaskLoader LoadTask doInBackground(AsyncTaskLoader java:59)_x000D_
at android support v4 content AsyncTaskLoader LoadTask doInBackground(AsyncTaskLoader java:47)_x000D_
at android support v4 content ModernAsyncTask 2 call(ModernAsyncTask java:138)_x000D_
at java util concurrent FutureTask run(FutureTask java:266)_x000D_
at java util concurrent ThreadPoolExecutor runWorker(ThreadPoolExecutor java:1162)_x000D_
at java util concurrent ThreadPoolExecutor Worker run(ThreadPoolExecutor java:636)_x000D_
at java lang Thread run(Thread java:764)   _x000D_
_x000D_
  Commons app version:   _x000D_
_x000D_
2 10 0</t>
  </si>
  <si>
    <t>google-ExoPlayer-5520</t>
  </si>
  <si>
    <t>IndexOutOfBoundsException switching between progressive and adaptive streams</t>
  </si>
  <si>
    <t xml:space="preserve">    Issue description_x000D_
When trying to switch an ExoPlayer instance between a Dash and an MP4 stream (or MP4 to Dash) while trying to resume at the same playback position an IndexOutOfBoundsException occurs _x000D_
_x000D_
Specifically  calling prepare with resetPosition set to false while changing MediaSource types will cause the exception _x000D_
 player prepare(mediaSource  false  true)  _x000D_
_x000D_
    Reproduction steps_x000D_
1  Load and begin playing an MP4 stream _x000D_
2  Try and load a Dash stream  keeping playback position ( player prepare(mediaSource  false  true)  ) _x000D_
3  Application crash _x000D_
_x000D_
    Link to test content_x000D_
 SampleExoPlayerVideoSwitchCrash zip (https:  github com google ExoPlayer files 2868976 SampleExoPlayerVideoSwitchCrash zip)_x000D_
_x000D_
To reproduce the steps in the sample app:_x000D_
1  Build and launch the app _x000D_
2  Tap on either the  Play MP4  or  Play Dash  buttons _x000D_
3  Once the video starts playing  tap on the other button _x000D_
4  The application will crash _x000D_
_x000D_
Replacing the currently playing MP4 with a new MP4 stream (pressing the  Play MP4  button a second time) switches playback as expected  likewise loading a new Dash stream while a current Dash stream is playing also switches correctly  _x000D_
_x000D_
    Version of ExoPlayer being used_x000D_
2 9 5_x000D_
_x000D_
    Device(s) and version(s) of Android being used_x000D_
Google Pixel 3 XL</t>
  </si>
  <si>
    <t>marco97pa-punti-burraco-16</t>
  </si>
  <si>
    <t>Resources NotFoundException</t>
  </si>
  <si>
    <t xml:space="preserve">App crashes on   Huawei Mate 20 lite   (Android 8 1   6GB RAM   Kirin 710   1080 x 2340   480 dpi   _x000D_
arm64 v8a armeabi v7a armeabi   OpenGL ES3 2)_x000D_
_x000D_
We have no info about what was the user trying to do when the crash occurred _x000D_
_x000D_
   java_x000D_
android content res Resources NotFoundException: _x000D_
  at android content res ResourcesImpl getValue (ResourcesImpl java:291)_x000D_
  at android content res Resources getValue (Resources java:1480)_x000D_
  at androidx appcompat widget AppCompatDrawableManager c (AppCompatDrawableManager java:18)_x000D_
  at androidx appcompat widget AppCompatDrawableManager a (AppCompatDrawableManager java:10)_x000D_
  at androidx appcompat widget AppCompatDrawableManager a (AppCompatDrawableManager java:2)_x000D_
  at androidx appcompat content res AppCompatResources b (AppCompatResources java:4)_x000D_
  at androidx appcompat view menu MenuItemImpl getIcon (MenuItemImpl java:23)_x000D_
  at androidx appcompat view menu ActionMenuItemView a (ActionMenuItemView java:2)_x000D_
  at androidx appcompat widget ActionMenuPresenter a (ActionMenuPresenter java:1)_x000D_
  at androidx appcompat view menu BaseMenuPresenter a (BaseMenuPresenter java:11)_x000D_
  at androidx appcompat widget ActionMenuPresenter a (ActionMenuPresenter java:12)_x000D_
  at androidx appcompat widget ActionMenuPresenter b (ActionMenuPresenter java:221)_x000D_
  at androidx appcompat view menu MenuBuilder k (MenuBuilder java:43)_x000D_
  at androidx appcompat view menu BaseMenuPresenter a (BaseMenuPresenter java:14)_x000D_
  at androidx appcompat widget ActionMenuPresenter access 000 (ActionMenuPresenter java)_x000D_
  or                      bindItemView (ActionMenuPresenter java)_x000D_
  or                      filterLeftoverView (ActionMenuPresenter java)_x000D_
  or                      findViewForItem (ActionMenuPresenter java)_x000D_
  or                      getItemView (ActionMenuPresenter java)_x000D_
  or                      getMenuView (ActionMenuPresenter java)_x000D_
  or                      initForMenu (ActionMenuPresenter java)_x000D_
  or                      onCloseMenu (ActionMenuPresenter java)_x000D_
  or                      onConfigurationChanged (ActionMenuPresenter java)_x000D_
  or                      onRestoreInstanceState (ActionMenuPresenter java)_x000D_
  or                      onSubMenuSelected (ActionMenuPresenter java)_x000D_
  or                      setMenuView (ActionMenuPresenter java)_x000D_
  or                      setOverflowIcon (ActionMenuPresenter java)_x000D_
  or                      shouldIncludeItem (ActionMenuPresenter java)_x000D_
  or                      updateMenuView (ActionMenuPresenter java)_x000D_
  at androidx appcompat view menu MenuBuilder d (MenuBuilder java:44)_x000D_
  at androidx appcompat view menu MenuBuilder b (MenuBuilder java:11)_x000D_
  at androidx appcompat view menu MenuBuilder i (MenuBuilder java:11)_x000D_
  at androidx appcompat app ToolbarActionBar j (ToolbarActionBar java:44)_x000D_
  at androidx appcompat app ToolbarActionBar 1 run (ToolbarActionBar java:2)_x000D_
  at android os Handler handleCallback (Handler java:809)_x000D_
  at android os Handler dispatchMessage (Handler java:102)_x000D_
  at android os Looper loop (Looper java:166)_x000D_
  at android app ActivityThread main (ActivityThread java:7555)_x000D_
  at java lang reflect Method invoke (Method java)_x000D_
  at com android internal os RuntimeInit MethodAndArgsCaller run (RuntimeInit java:469)_x000D_
  at com android internal os ZygoteInit main (ZygoteInit java:963)_x000D_
   </t>
  </si>
  <si>
    <t>getodk-collect-2880</t>
  </si>
  <si>
    <t>TriggerWidget crashes when a user tries to open it from the hierarchy</t>
  </si>
  <si>
    <t xml:space="preserve">     Software and hardware versions _x000D_
Collect v1 19 0 and older versions_x000D_
_x000D_
     Problem description_x000D_
TriggerWidget crashes when a user tries to open it from the hierarchy when it contains guidance _x000D_
_x000D_
     Steps to reproduce the problem_x000D_
1  Enable guidance in  General Settings    Form management    Show guidance for questions _x000D_
2  Open the attached form: _x000D_
 guidance hint form xml txt (https:  github com opendatakit collect files 2868453 guidance hint form xml txt)_x000D_
3  Navigate to the hierarchy view_x000D_
4  Select the widget from the list</t>
  </si>
  <si>
    <t>Freeyourgadget-Gadgetbridge-1428</t>
  </si>
  <si>
    <t>Gadgetbridge crashes on opening Sleep statistics (in German language)</t>
  </si>
  <si>
    <t xml:space="preserve">     Before reporting a bug  please confirm the following:_x000D_
   x   I have read the  wiki (https:  github com Freeyourgadget Gadgetbridge wiki)  and I didn t find a solution to my problem   an answer to my question _x000D_
   x  I have searched the  issues (https:  github com Freeyourgadget Gadgetbridge issues)  and I didn t find a solution to my problem   an answer to my question _x000D_
   x   If you upload an image or other content  please make sure you have read and understood the  github policies and terms of services (https:  help github com articles github terms of service  1 responsibility for user generated content)_x000D_
_x000D_
     Your issue is:_x000D_
 If possible  please attach  logs (https:  github com Freeyourgadget Gadgetbridge wiki Log Files)  that might help identifying the problem  _x000D_
_x000D_
     Your wearable device is:_x000D_
Mi Band 3 FW 2 3 0 2_x000D_
_x000D_
     Your android version is:_x000D_
LineageOS 15 1 current nightly_x000D_
_x000D_
     Your Gadgetbridge version is:_x000D_
0 32 2_x000D_
_x000D_
Hello _x000D_
_x000D_
yesterday I updated to the newest Gadgetbride version from F Droid  Since then the app crashes if I want to check my Sleep statitics under activites _x000D_
_x000D_
_x000D_
_x000D_
Attached the relevant part of the log file:_x000D_
_x000D_
08:33:00 083  Binder:13046 1  INFO  n f g s d h o FetchActivityOperation   Mi2 activity data: last sample timestamp: 15  Februar  08:33_x000D_
08:33:00 084  Binder:13046 1  INFO  n f g s d h o FetchActivityOperation   Hopefully no further fetch needed  last synced timestamp is from today _x000D_
08:33:00 086  Binder:13046 1  INFO  n f g i GBDevice   Mark device as NOT busy anymore: Aktivit tsdaten abrufen_x000D_
08:33:00 087  Binder:13046 1  DEBUG n f g s b BtLEQueue   about to add: 08:33:00: Transaction task: reenabling disabled notifications with 2 actions_x000D_
08:33:00 089  Gadgetbridge GATT Dispatcher  DEBUG n f g s b BtLEQueue   About to run action: 15  Februar  08:33: NotifyAction on characteristic: 00000004 0000 3512 2118 0009af100700_x000D_
08:33:00 094  Gadgetbridge GATT Dispatcher  DEBUG n f g s b a NotifyAction   use NOTIFICATION_x000D_
08:33:00 098  main  INFO  n f g s DeviceCommunicationService   Setting broadcast receivers to: true_x000D_
08:33:00 119  main  INFO  n f g e NotificationListener   Notification removed: nodomain freeyourgadget gadgetbridge: null_x000D_
08:33:00 154  Binder:13046 1  DEBUG n f g s b BtLEQueue   descriptor write: 00002902 0000 1000 8000 00805f9b34fb (success)_x000D_
08:33:00 158  Gadgetbridge GATT Dispatcher  DEBUG n f g s b BtLEQueue   About to run action: 15  Februar  08:33: NotifyAction on characteristic: 00000005 0000 3512 2118 0009af100700_x000D_
08:33:00 165  Gadgetbridge GATT Dispatcher  DEBUG n f g s b a NotifyAction   use NOTIFICATION_x000D_
08:33:00 244  Binder:13046 1  DEBUG n f g s b BtLEQueue   descriptor write: 00002902 0000 1000 8000 00805f9b34fb (success)_x000D_
08:33:03 327  AsyncTask  1  INFO  n f g a c AbstractChartFragment   Deine Aktivit t und Schlaf: number of samples:1443_x000D_
08:33:03 424  AsyncTask  2  INFO  n f g a c AbstractChartFragment   Dein Schlaf: number of samples:1443_x000D_
08:33:05 063  main  ERROR n f g u GB   Fehler beim Ausf hren  Conversion    End of String  _x000D_
java util UnknownFormatConversionException: Conversion    End of String _x000D_
	at java util Formatter FormatSpecifierParser peek(Formatter java:2641)   na:0 0 _x000D_
	at java util Formatter FormatSpecifierParser  init (Formatter java:2602)   na:0 0 _x000D_
	at java util Formatter parse(Formatter java:2557)   na:0 0 _x000D_
	at java util Formatter format(Formatter java:2504)   na:0 0 _x000D_
	at java util Formatter format(Formatter java:2458)   na:0 0 _x000D_
	at java lang String format(String java:2814)   na:0 0 _x000D_
	at android content res Resources getString(Resources java:458)   na:0 0 _x000D_
	at androidx fragment app Fragment getString(Fragment java:795)   na:0 0 _x000D_
	at nodomain freeyourgadget gadgetbridge activities charts WeekSleepChartFragment getBalanceMessage(WeekSleepChartFragment java:81)   na:0 0 _x000D_
	at nodomain freeyourgadget gadgetbridge activities charts AbstractWeekChartFragment refreshWeekBeforeData(AbstractWeekChartFragment java:133)   na:0 0 _x000D_
	at nodomain freeyourgadget gadgetbridge activities charts AbstractWeekChartFragment refreshInBackground(AbstractWeekChartFragment java:78)   na:0 0 _x000D_
	at nodomain freeyourgadget gadgetbridge activities charts AbstractChartFragment RefreshTask doInBackground(AbstractChartFragment java:651)   na:0 0 _x000D_
	at nodomain freeyourgadget gadgetbridge database DBAccess doInBackground(DBAccess java:46)   na:0 0 _x000D_
	at android os AsyncTask 2 call(AsyncTask java:333)   na:0 0 _x000D_
	at java util concurrent FutureTask run(FutureTask java:266)   na:0 0 _x000D_
	at android os AsyncTask SerialExecutor 1 run(AsyncTask java:245)   na:0 0 _x000D_
	at java util concurrent ThreadPoolExecutor runWorker(ThreadPoolExecutor java:1162)   na:0 0 _x000D_
	at java util concurrent ThreadPoolExecutor Worker run(ThreadPoolExecutor java:636)   na:0 0 _x000D_
	at java lang Thread run(Thread java:764)   na:0 0 _x000D_
08:33:05 070  main  ERROR n f g LoggingExceptionHandler   Uncaught exception: Attempt to invoke virtual method  nodomain freeyourgadget gadgetbridge activities charts AbstractWeekChartFragment DayData nodomain freeyourgadget gadgetbridge activities charts AbstractWeekChartFragment MyChartsData getDayData()  on a null object reference_x000D_
java lang NullPointerException: Attempt to invoke virtual method  nodomain freeyourgadget gadgetbridge activities charts AbstractWeekChartFragment DayData nodomain freeyourgadget gadgetbridge activities charts AbstractWeekChartFragment MyChartsData getDayData()  on a null object reference_x000D_
	at nodomain freeyourgadget gadgetbridge activities charts AbstractWeekChartFragment updateChartsnUIThread(AbstractWeekChartFragment java:88)   na:0 0 _x000D_
	at nodomain freeyourgadget gadgetbridge activities charts AbstractChartFragment RefreshTask onPostExecute(AbstractChartFragment java:662)   na:0 0 _x000D_
	at android os AsyncTask finish(AsyncTask java:695)   na:0 0 _x000D_
	at android os AsyncTask  wrap1(Unknown Source:0)   na:0 0 _x000D_
	at android os AsyncTask InternalHandler handleMessage(AsyncTask java:712)   na:0 0 _x000D_
	at android os Handler dispatchMessage(Handler java:106)   na:0 0 _x000D_
	at android os Looper loop(Looper java:164)   na:0 0 _x000D_
	at android app ActivityThread main(ActivityThread java:6494)   na:0 0 _x000D_
	at java lang reflect Method invoke(Native Method)   na:0 0 _x000D_
	at com android internal os RuntimeInit MethodAndArgsCaller run(RuntimeInit java:440)   na:0 0 _x000D_
	at com android internal os ZygoteInit main(ZygoteInit java:807)   na:0 0 _x000D_
</t>
  </si>
  <si>
    <t>Intelehealth-Android-Mobile-Client-641</t>
  </si>
  <si>
    <t>VitalsActivity.java - line 441</t>
  </si>
  <si>
    <t>https:  console firebase google com u 0 project mobile crashlytics crashlytics app android:io intelehealth client issues 5c5d2ae0f8b88c296313b65d time last thirty days sessionId 5C5D2AC4004300013963950516BF0A4E DNE 0 v2</t>
  </si>
  <si>
    <t>Intelehealth-Android-Mobile-Client-640</t>
  </si>
  <si>
    <t>VitalsActivity.java - line 136</t>
  </si>
  <si>
    <t>https:  console firebase google com u 0 project mobile crashlytics crashlytics app android:io intelehealth client issues 5c5bfaaaf8b88c2963f82e23 time last thirty days sessionId 5C5BFA8A0021000113EFC2738F4DB4C6 DNE 0 v2</t>
  </si>
  <si>
    <t>Intelehealth-Android-Mobile-Client-639</t>
  </si>
  <si>
    <t>ClientService.java - line 847</t>
  </si>
  <si>
    <t>https:  console firebase google com u 0 project mobile crashlytics crashlytics app android:io intelehealth client issues 5b87ebef6007d59fcd3d7433 time last thirty days sessionId 5C655BAD00BB00012B1527360BE609BE DNE 0 v2</t>
  </si>
  <si>
    <t>nikita36078-J2ME-Loader-458</t>
  </si>
  <si>
    <t>Water Rapids crashes on launch</t>
  </si>
  <si>
    <t xml:space="preserve">  Emulator version:   1 4 0 play_x000D_
_x000D_
_x000D_
  Game version:   Water Rapids 1 9_x000D_
_x000D_
_x000D_
  Game resolution:   128x128_x000D_
_x000D_
  Device:   Xiaomi Redmi 6_x000D_
_x000D_
  Android version:   8 1 0_x000D_
_x000D_
  Description of the issue:   It is possible to get through the splash screen to the menu  Options  High scores  and  Instructions  work too  but when I select  New game   the emulator crashes immediately _x000D_
_x000D_
</t>
  </si>
  <si>
    <t>particle-iot-particle-android-63</t>
  </si>
  <si>
    <t>Async RejectedExecutionException</t>
  </si>
  <si>
    <t xml:space="preserve">Original issue: https:  github com particle iot spark sdk android issues 50_x000D_
_x000D_
   _x000D_
_x000D_
Cloud SDK  Async  implementation occasionally throws  RejectedExecutionException  (once ThreadPoolExecutor limit is exceeded)  This exception was also a culprit behind few crashes on Tinker app _x000D_
_x000D_
Few options put forward by  jensck:_x000D_
_x000D_
  Use our own ThreadPoolExecutor with a higher limit_x000D_
      Overload  executeAsync()  allowing developers to specify  ThreadPoolExecutor  limits _x000D_
      Add global mutable state  Async setExecutor()  _x000D_
_x000D_
Once either option is implemented following has to be considered:_x000D_
_x000D_
  Check catch  RejectedExecutionException  in all overloaded  executeAsync()  methods _x000D_
  Execute  executeAsync()  call without throwing a  ParticleCloudException  (perhaps we should return a boolean response indicating wether task was added to a queue) _x000D_
</t>
  </si>
  <si>
    <t>react-native-video-react-native-video-1482</t>
  </si>
  <si>
    <t>fix(ios): message sent to deallocated instance</t>
  </si>
  <si>
    <t xml:space="preserve">     Provide an example of how to test the change_x000D_
I had some  EXC BAD ACCESS  crashes in my app without an useful stack trace  After enabling zombie mode I was able to get the following log:_x000D_
_x000D_
   _x000D_
 RCTVideo retain : message sent to deallocated instance 0x10c530890_x000D_
   _x000D_
_x000D_
I checked the code and eventually figured out that    player removeObserver:self forKeyPath:externalPlaybackActive context: nil    is not called upon dealloc _x000D_
_x000D_
I am not 100  sure this results in the crash  However after adding that line to dealloc I was not able to reproduce this issue with the simulator or my testing device  I will also send out a new testflight in order to verify that this is the case _x000D_
_x000D_
The crash seems to occur when you are quickly mounting and unmount video components e g  through quick navigation </t>
  </si>
  <si>
    <t>deltachat-deltachat-android-720</t>
  </si>
  <si>
    <t>GlideApp...getI() must not be called from main thread</t>
  </si>
  <si>
    <t xml:space="preserve">got two crashes wrt notifications on nexus4 android 8 1 oreo_x000D_
_x000D_
the crashes were assertions from the Glide module  saying  You must call this method on a background thread :_x000D_
https:  gist githubusercontent com r10s 28ef216fad00e1e1fd467cac71daa804 raw 84bc8797f71e3aeda23083197302ff157b6a3378 gistfile1 txt_x000D_
_x000D_
tracing back the log  it s probably  SingleRecipientNotificationBuilder setThread() (https:  github com deltachat deltachat android blob master src org thoughtcrime securesms notifications SingleRecipientNotificationBuilder java L75) which calls GlideApp   get()  probably from the main thread and not from a background thread _x000D_
_x000D_
wondering why the app does not crash all the time </t>
  </si>
  <si>
    <t>commons-app-apps-android-commons-2449</t>
  </si>
  <si>
    <t>Crashed when uploading an image to server which is in read-only mode</t>
  </si>
  <si>
    <t>Whenever I am trying to upload an image from home page the app is getting crashed</t>
  </si>
  <si>
    <t>nikita36078-J2ME-Loader-456</t>
  </si>
  <si>
    <t>PES 2011 is running slow</t>
  </si>
  <si>
    <t xml:space="preserve">  Emulator version:  _x000D_
  1 4 2 play  _x000D_
_x000D_
  Game version:  _x000D_
  1 0 0  _x000D_
_x000D_
  Game resolution:  _x000D_
  320x240  _x000D_
_x000D_
  Device:  _x000D_
  Samsung Galaxy J5 Pro  _x000D_
_x000D_
  Android version:  _x000D_
  8 1 0  _x000D_
  Description of the issue:  _x000D_
The game PES 2011 has crashes in version 1 4 2 of the emulator  this has not happened in previous versions  with the acceleration of HW activated improving a little but the game continues to crash </t>
  </si>
  <si>
    <t>AmazMod-AmazMod-400</t>
  </si>
  <si>
    <t>WhatsApp/Messenger call notifications not working</t>
  </si>
  <si>
    <t xml:space="preserve">Today I see that when received a WhatsApp call  service go force close  I pick a log with crash _x000D_
 fc on voip call txt (https:  github com AmazMod AmazMod files 2862080 fc on voip call txt)_x000D_
</t>
  </si>
  <si>
    <t>Tencent-tinker-1023</t>
  </si>
  <si>
    <t>Tinker v1.9.11版本使用JobScheduler合成patch不成功</t>
  </si>
  <si>
    <t xml:space="preserve">   _x000D_
     app     _x000D_
       Mix 2S_x000D_
       Android 9 0_x000D_
tinker   v1 9 11_x000D_
gradle   3 2 1_x000D_
       SDK     TinkerPatch SDK_x000D_
    :Mac_x000D_
  apk        _x000D_
_x000D_
   _x000D_
patch     _x000D_
2019 02 13 21:13:10 125 32740 32740   W Tinker TinkerLoader: tryLoadPatchFiles:patch dir not exist: data user 0 com hhm easybuy tinker_x000D_
2019 02 13 21:13:10 128 32740 32740   D Tinker DefaultAppLike: onBaseContextAttached:_x000D_
2019 02 13 21:13:10 152 32740 32740   I Tinker ComponentHotplug: method install() is not invoked  ignore ensuring operations _x000D_
2019 02 13 21:13:10 152 32740 32740   D Tinker DefaultAppLike: onCreate_x000D_
2019 02 13 21:13:10 161 32740 32740   I Tinker ServerUtils: with app key from manifest appKey:b72db1d336756b00_x000D_
2019 02 13 21:13:10 162 32740 32740   I Tinker ServerUtils: with app version from manifest appVersion:1 0 0 company_x000D_
2019 02 13 21:13:10 164 32740 32740   I Tinker VersionInfo: readVersionInfo file path: data user 0 com hhm easybuy tinker server b72db1d336756b00 version info  appVersion: 1 0 0 company  uuid:0cbef8cf 0490 45ec b72b c9f1676d9048  abi:armeabi v7a  patchVersion:8  patchMd5:4e156edd8f3446fe542179a550381bb6  grayValue:2  crashTimes:0  retryTimes:1  applySuccess:0  patchSuccess:0_x000D_
2019 02 13 21:13:10 166 32740 32740   E ActivityThread: Failed to find provider info for com tinker debug debugprovider_x000D_
2019 02 13 21:13:10 166 32740 32740   D Tinker Debugger: debugger not attached cu    null_x000D_
2019 02 13 21:13:10 166 32740 32740   I Tinker ServerClient: installTinkerServer  debug value: false  appVersion: 1 0 0 company  appKey: b72db1d336756b00_x000D_
2019 02 13 21:13:10 171 32740 32740   W Tinker Tinker: tinker patch directory:  data user 0 com hhm easybuy tinker_x000D_
2019 02 13 21:13:10 174 32740 32740   I Tinker Tinker: try to install tinker  isEnable: true  version: 1 9 11_x000D_
2019 02 13 21:13:10 174 32740 32740   I Tinker TinkerLoadResult: parseTinkerResult loadCode: 2  process name:com hhm easybuy  main process:true  systemOTA:false  fingerPrint:Xiaomi polaris polaris:9 PKQ1 180729 001 V10 2 1 0 PDGCNXM:user release keys  oatDir:null  useInterpretMode:false_x000D_
2019 02 13 21:13:10 174 32740 32740   W Tinker TinkerLoadResult: can t find patch file  is ok  just return_x000D_
2019 02 13 21:13:10 174 32740 32740   I Tinker DefaultLoadReporter: patch loadReporter onLoadResult: patch load result  path: data user 0 com hhm easybuy tinker  code:  2  cost: 3ms_x000D_
2019 02 13 21:13:10 175 32740 32740   W Tinker Tinker: tinker load fail _x000D_
2019 02 13 21:13:10 175 32740 32740   I Tinker TinkerPatch: Init TinkerPatch sdk success  version:1 2 11_x000D_
2019 02 13 21:13:10 325 32740 32740   D Tinker DefaultAppLike: onTrimMemory level:5_x000D_
2019 02 13 21:13:10 478 32740 32740   I Tinker FetchPatchHandler: try to fetch patch update with FetchPatchHandler with interval 10800000_x000D_
2019 02 13 21:13:10 544 32740 32740   W Tinker UpgradePatchRetry: onPatchRetryLoad retry info not exist  just return_x000D_
2019 02 13 21:13:10 546 32740 32740   W Tinker ClientImpl:  retryAllReportFails   there is no fail report  just return_x000D_
2019 02 13 21:13:10 566 32740 32740   I Tinker UrlConnectionFetcher: loadData from url: http:  q tinkerpatch com b72db1d336756b00 1 0 0 company d 0cbef8cf 0490 45ec b72b c9f1676d9048 v 1550063590564  method:GET  body:null_x000D_
2019 02 13 21:13:10 572 32740 32740   I Tinker UrlConnectionFetcher: loadData from url: http:  q tinkerpatch com c b72db1d336756b00 d 0cbef8cf 0490 45ec b72b c9f1676d9048 v 1550063590572  method:GET  body:null_x000D_
2019 02 13 21:13:10 572 32740 32740   W Tinker ClientImpl:  retryAllReportFails   there is no fail report  just return_x000D_
2019 02 13 21:13:10 572 32740 32740   I Tinker ServerClient: tinker sync should wait interval 10799s_x000D_
2019 02 13 21:13:10 703 32740 630   I Tinker UrlConnectionFetcher: response code 200 msg: OK_x000D_
2019 02 13 21:13:10 704 32740 630   I Tinker ClientImpl: tinker server sync respond:  v :8 _x000D_
2019 02 13 21:13:10 704 32740 630   I Tinker VersionInfo: VersionCheck: target version 8 is not latest  current version is 8_x000D_
2019 02 13 21:13:10 707 32740 630   D Tinker PatchRequestCallback:  beforePatchRequest  have pending patch to install  version: 8  patch: data user 0 com hhm easybuy tinker server 1 0 0 company 8 apk_x000D_
2019 02 13 21:13:10 707 32740 630   I Tinker VersionInfo: updateVersionInfo file path: data user 0 com hhm easybuy tinker server b72db1d336756b00 version info  appVersion: 1 0 0 company  uuid:0cbef8cf 0490 45ec b72b c9f1676d9048  abi:armeabi v7a  patchVersion:8  patchMd5:4e156edd8f3446fe542179a550381bb6  grayValue:2  crashTimes:0  retryTimes:2  applySuccess:0  patchSuccess:0_x000D_
2019 02 13 21:13:10 708 32740 630   I Tinker TinkerServerPatchListener: receive a patch file:  data user 0 com hhm easybuy tinker server 1 0 0 company 8 apk  file size:8724_x000D_
2019 02 13 21:13:10 709 32740 630   W Tinker UpgradePatchRetry: onPatchListenerCheck retry file is not exist  just return_x000D_
2019 02 13 21:13:10 709 32740 630   I Tinker TinkerPatchService: run patch service   _x000D_
2019 02 13 21:13:10 710 1390 2932   I AutoStartManagerService: MIUILOG  Reject service :Intent   cmp com hhm easybuy com tencent tinker lib service TinkerPatchService   userId : 0 uid : 10384_x000D_
2019 02 13 21:13:10 711 1390 2932   D JobScheduler: Error executing JobStatus 1fb24c2  u0a384  252579085 com hhm easybuy com tencent tinker lib service TinkerPatchService u 0 s 10384 TIME none:0 READY _x000D_
2019 02 13 21:13:10 711 32740 630   I Tinker ClientImpl: Fetch result: needn t update  gray: 2_x000D_
2019 02 13 21:13:10 936 32740 630   I Tinker UrlConnectionFetcher: response code 200 msg: OK_x000D_
2019 02 13 21:13:20 983 1001 1001   W Tinker TinkerLoader: tryLoadPatchFiles:patch dir not exist: data user 0 com hhm easybuy tinker_x000D_
2019 02 13 21:13:20 986 1001 1001   D Tinker DefaultAppLike: onBaseContextAttached:_x000D_
2019 02 13 21:13:21 001 1001 1001   I Tinker ComponentHotplug: method install() is not invoked  ignore ensuring operations _x000D_
2019 02 13 21:13:21 001 1001 1001   D Tinker DefaultAppLike: onCreate_x000D_
2019 02 13 21:13:21 012 1001 1001   I Tinker ServerUtils: with app key from manifest appKey:b72db1d336756b00_x000D_
2019 02 13 21:13:21 012 1001 1001   I Tinker ServerUtils: with app version from manifest appVersion:1 0 0 company_x000D_
2019 02 13 21:13:21 014 1001 1001   I Tinker VersionInfo: readVersionInfo file path: data user 0 com hhm easybuy tinker server b72db1d336756b00 version info  appVersion: 1 0 0 company  uuid:0cbef8cf 0490 45ec b72b c9f1676d9048  abi:armeabi v7a  patchVersion:8  patchMd5:4e156edd8f3446fe542179a550381bb6  grayValue:2  crashTimes:0  retryTimes:2  applySuccess:0  patchSuccess:0_x000D_
2019 02 13 21:13:21 017 1001 1001   E ActivityThread: Failed to find provider info for com tinker debug debugprovider_x000D_
2019 02 13 21:13:21 017 1001 1001   D Tinker Debugger: debugger not attached cu    null_x000D_
2019 02 13 21:13:21 017 1001 1001   I Tinker ServerClient: installTinkerServer  debug value: false  appVersion: 1 0 0 company  appKey: b72db1d336756b00_x000D_
2019 02 13 21:13:21 022 1001 1001   W Tinker Tinker: tinker patch directory:  data user 0 com hhm easybuy tinker_x000D_
2019 02 13 21:13:21 025 1001 1001   I Tinker Tinker: try to install tinker  isEnable: true  version: 1 9 11_x000D_
2019 02 13 21:13:21 025 1001 1001   I Tinker TinkerLoadResult: parseTinkerResult loadCode: 2  process name:com hhm easybuy:channel  main process:false  systemOTA:false  fingerPrint:Xiaomi polaris polaris:9 PKQ1 180729 001 V10 2 1 0 PDGCNXM:user release keys  oatDir:null  useInterpretMode:false_x000D_
2019 02 13 21:13:21 026 1001 1001   W Tinker TinkerLoadResult: can t find patch file  is ok  just return_x000D_
2019 02 13 21:13:21 026 1001 1001   I Tinker DefaultLoadReporter: patch loadReporter onLoadResult: patch load result  path: data user 0 com hhm easybuy tinker  code:  2  cost: 3ms_x000D_
2019 02 13 21:13:21 026 1001 1001   W Tinker Tinker: tinker load fail _x000D_
2019 02 13 21:13:21 026 1001 1001   I Tinker TinkerPatch: Init TinkerPatch sdk success  version:1 2 11_x000D_
2019 02 13 21:13:21 161 1001 1001   D Tinker DefaultAppLike: onTrimMemory level:5_x000D_
2019 02 13 21:13:21 178 1001 1001   I Tinker FetchPatchHandler: try to fetch patch update with FetchPatchHandler with interval 10800000_x000D_
2019 02 13 21:13:21 193 1001 1001   W Tinker UpgradePatchRetry: onPatchRetryLoad retry is not main process  just return_x000D_
_x000D_
   _x000D_
_x000D_
         tinker v1 9 9  patch        _x000D_
 tinker   v1 9 11  patch         _x000D_
    JobScheduler          manifest       _x000D_
_x000D_
  image (https:  user images githubusercontent com 9989910 52714518 03373500 2fd5 11e9 87bd 4cfdf4fd9d11 png)_x000D_
_x000D_
</t>
  </si>
  <si>
    <t>ShawnLin013-NumberPicker-135</t>
  </si>
  <si>
    <t>ResourceNotFoundException (NumberPicker.java line 673)</t>
  </si>
  <si>
    <t xml:space="preserve">Hello _x000D_
_x000D_
We ve been getting a crash in Firebase that NumberPicker is the cause of  I m using version 2 4 7 of NumberPicker  The resource ID 0x7f0800ce is found in AndroidStudio in R java as  np numberpicker selection divider   I can t find a reference to that in your source files  so I m at a bit of a loss _x000D_
This is the crash (we can t reproduce it):_x000D_
_x000D_
 Caused by android view InflateException: Binary XML file line  50: Binary XML file line  50: Error inflating class com shawnlin numberpicker NumberPicker_x000D_
Caused by android view InflateException: Binary XML file line  50: Error inflating class com shawnlin numberpicker NumberPicker_x000D_
Caused by android content res Resources NotFoundException: Resource ID  0x7f0800ce_x000D_
       at android content res ResourcesImpl getValue(ResourcesImpl java:190)_x000D_
       at android content res Resources getDrawable(Resources java:770)_x000D_
       at android content res XResources getDrawable(XResources java:790)_x000D_
       at android content Context getDrawable(Context java:525)_x000D_
       at androidx core content ContextCompat getDrawable(ContextCompat java:454)_x000D_
       at com shawnlin numberpicker NumberPicker (NumberPicker java:673)_x000D_
       at com shawnlin numberpicker NumberPicker (NumberPicker java:655)_x000D_
       at java lang reflect Constructor newInstance0(Constructor java)_x000D_
       at java lang reflect Constructor newInstance(Constructor java:430)_x000D_
       at android view LayoutInflater createView(LayoutInflater java:645)_x000D_
       at uk co chrisjenx calligraphy CalligraphyLayoutInflater createCustomViewInternal(CalligraphyLayoutInflater java:211)_x000D_
       at uk co chrisjenx calligraphy CalligraphyLayoutInflater access 000(CalligraphyLayoutInflater java:20)_x000D_
       at uk co chrisjenx calligraphy CalligraphyLayoutInflater PrivateWrapperFactory2 onCreateView(CalligraphyLayoutInflater java:302)_x000D_
       at android view LayoutInflater FactoryMerger onCreateView(LayoutInflater java:189)_x000D_
       at android view LayoutInflater createViewFromTag(LayoutInflater java:777)_x000D_
       at android view LayoutInflater createViewFromTag(LayoutInflater java:727)_x000D_
       at android view LayoutInflater rInflate(LayoutInflater java:858)_x000D_
       at android view LayoutInflater inflate(LayoutInflater java:492)_x000D_
       at de robv android xposed XposedBridge invokeOriginalMethodNative(XposedBridge java)_x000D_
       at de robv android xposed XposedBridge handleHookedMethod(XposedBridge java:360)_x000D_
       at android view LayoutInflater inflate( Xposed )_x000D_
       at uk co chrisjenx calligraphy CalligraphyLayoutInflater inflate(CalligraphyLayoutInflater java:60)_x000D_
       at android view LayoutInflater inflate(LayoutInflater java:426)_x000D_
       at android view LayoutInflater inflate(LayoutInflater java:377)_x000D_
       at android view View inflate(View java:21010)_x000D_
       at java lang reflect Constructor newInstance0(Constructor java)_x000D_
       at java lang reflect Constructor newInstance(Constructor java:430)_x000D_
       at android view LayoutInflater createView(LayoutInflater java:645)_x000D_
       at uk co chrisjenx calligraphy CalligraphyLayoutInflater createCustomViewInternal(CalligraphyLayoutInflater java:211)_x000D_
       at uk co chrisjenx calligraphy CalligraphyLayoutInflater access 000(CalligraphyLayoutInflater java:20)_x000D_
       at uk co chrisjenx calligraphy CalligraphyLayoutInflater PrivateWrapperFactory2 onCreateView(CalligraphyLayoutInflater java:302)_x000D_
       at android view LayoutInflater FactoryMerger onCreateView(LayoutInflater java:189)_x000D_
       at android view LayoutInflater createViewFromTag(LayoutInflater java:777)_x000D_
       at android view LayoutInflater createViewFromTag(LayoutInflater java:727)_x000D_
       at android view LayoutInflater rInflate(LayoutInflater java:858)_x000D_
       at android view LayoutInflater rInflateChildren(LayoutInflater java:821)_x000D_
       at android view LayoutInflater inflate(LayoutInflater java:518)_x000D_
       at de robv android xposed XposedBridge invokeOriginalMethodNative(XposedBridge java)_x000D_
       at de robv android xposed XposedBridge handleHookedMethod(XposedBridge java:360)_x000D_
       at android view LayoutInflater inflate( Xposed )_x000D_
       at uk co chrisjenx calligraphy CalligraphyLayoutInflater inflate(CalligraphyLayoutInflater java:60)_x000D_
       at android view LayoutInflater inflate(LayoutInflater java:426)_x000D_
       at androidx fragment app Fragment performCreateView(Fragment java:2440)_x000D_
       at androidx fragment app FragmentManagerImpl moveToState(FragmentManagerImpl java:885)_x000D_
       at androidx fragment app FragmentManagerImpl moveFragmentToExpectedState(FragmentManagerImpl java:1229)_x000D_
       at androidx fragment app FragmentManagerImpl moveToState(FragmentManagerImpl java:1295)_x000D_
       at androidx fragment app BackStackRecord executeOps(BackStackRecord java:686)_x000D_
       at androidx fragment app FragmentManagerImpl executeOps(FragmentManagerImpl java:2057)_x000D_
       at androidx fragment app FragmentManagerImpl executeOpsTogether(FragmentManagerImpl java:1847)_x000D_
       at androidx fragment app FragmentManagerImpl removeRedundantOperationsAndExecute(FragmentManagerImpl java:1802)_x000D_
       at androidx fragment app FragmentManagerImpl execPendingActions(FragmentManagerImpl java:1709)_x000D_
       at androidx fragment app FragmentManagerImpl dispatchStateChange(FragmentManagerImpl java:2609)_x000D_
       at androidx fragment app FragmentManagerImpl dispatchPause(FragmentManagerImpl java:2581)_x000D_
       at androidx fragment app FragmentController dispatchPause(FragmentController java:278)_x000D_
       at androidx fragment app FragmentActivity onPause(FragmentActivity java:407)_x000D_
       at android app Activity performPause(Activity java:6819)_x000D_
       at android app Instrumentation callActivityOnPause(Instrumentation java:1322)_x000D_
       at android app ActivityThread performPauseActivityIfNeeded(ActivityThread java:3740)_x000D_
       at android app ActivityThread performPauseActivity(ActivityThread java:3717)_x000D_
       at android app ActivityThread performPauseActivity(ActivityThread java:3691)_x000D_
       at android app ActivityThread handlePauseActivity(ActivityThread java:3665)_x000D_
       at android app ActivityThread  wrap16(ActivityThread java)_x000D_
       at android app ActivityThread H handleMessage(ActivityThread java:1489)_x000D_
       at android os Handler dispatchMessage(Handler java:102)_x000D_
       at android os Looper loop(Looper java:154)_x000D_
       at android app ActivityThread main(ActivityThread java:6119)_x000D_
       at java lang reflect Method invoke(Method java)_x000D_
       at com android internal os ZygoteInit MethodAndArgsCaller run(ZygoteInit java:886)_x000D_
       at com android internal os ZygoteInit main(ZygoteInit java:776)_x000D_
       at de robv android xposed XposedBridge main(XposedBridge java:107) </t>
  </si>
  <si>
    <t>nextcloud-android-library-247</t>
  </si>
  <si>
    <t>null pointer crash in CreateRemoteFolderOperation</t>
  </si>
  <si>
    <t xml:space="preserve">There is a null pointer crash when using CreateRemoteFolderOperation in this situation:_x000D_
_x000D_
  Set the server URL to the wrong URL  https:  myserver de remote php webdav  (correct URL would be  https:  myserver de ) _x000D_
  Call CreateRemoteFolderOperation with some folder   subfolder  _x000D_
_x000D_
When the operation is run  the following happens:_x000D_
  CreateRemoteFolder run() calls createFolder() which fails _x000D_
  Because it fails  it will call createParentFolder()  which will try to create     and fails again _x000D_
  As it fails again  it will try to create the parent folder of     _x000D_
  It calls  String parentPath   new File(remotePath) getParent()  on  remotePath       which results in  parentPath null  (FileUtils java:37)_x000D_
  It crashes in the following line _x000D_
</t>
  </si>
  <si>
    <t>google-blockly-android-772</t>
  </si>
  <si>
    <t>Crash with variable fields and no variables in workspace</t>
  </si>
  <si>
    <t xml:space="preserve">Blockly crashes app (index out of bounds) when rendering a variable field in a workspace that doesn t have any variables  For instance  in the Loops or Lists category before creating a variable  Toolbox blocks have variable fields for  i  and  list   respectively _x000D_
_x000D_
This bug is new as of PR  771 _x000D_
_x000D_
   _x000D_
              beginning of crash_x000D_
2019 02 11 16:30:14 495 12827 12827 com google blockly demo E AndroidRuntime: FATAL EXCEPTION: main_x000D_
    Process: com google blockly demo  PID: 12827_x000D_
    java lang IndexOutOfBoundsException: There is no item at index  1  Count is 1_x000D_
        at com google blockly android ui fieldview BasicFieldVariableView VariableViewAdapter getItem(BasicFieldVariableView java:281)_x000D_
        at com google blockly android ui fieldview BasicFieldVariableView VariableViewAdapter getItem(BasicFieldVariableView java:187)_x000D_
        at android widget ArrayAdapter createViewFromResource(ArrayAdapter java:441)_x000D_
        at android widget ArrayAdapter getView(ArrayAdapter java:407)_x000D_
        at com google blockly android ui fieldview FieldAdapter getView(FieldAdapter java:51)_x000D_
        at com google blockly android ui fieldview BasicFieldVariableView VariableViewAdapter getView(BasicFieldVariableView java:187)_x000D_
        at android widget Spinner measureContentWidth(Spinner java:856)_x000D_
        at android widget Spinner onMeasure(Spinner java:606)_x000D_
        at android support v7 widget AppCompatSpinner onMeasure(AppCompatSpinner java:421)_x000D_
        at android view View measure(View java:22071)_x000D_
   </t>
  </si>
  <si>
    <t>commons-app-apps-android-commons-2439</t>
  </si>
  <si>
    <t>Stuck before categories selection screen: "Please wait..."</t>
  </si>
  <si>
    <t xml:space="preserve">  Steps to reproduce:   _x000D_
1  Go to Nearby_x000D_
2  Quickly select a picture_x000D_
3  Quickly press  Next   as title and description are auto filled_x000D_
4   Please wait     appears_x000D_
5  Stuck like this  See screenshot  I waited minutes _x000D_
6  Pressing Back and  Next  again results in the same problem _x000D_
_x000D_
Always reproducible  on different nearby items with different pictures (from the same DLSR camera)  On the opposite  an upload from the app s built in gallery did not have this problem (maybe because I took 30 seconds to enter a title and description ) _x000D_
_x000D_
  System logs:  _x000D_
   _x000D_
02 12 08:47:37 588 23731 23731 D DescriptionsAdapter ViewHolder: Title is Singapore embassy in Tokyo_x000D_
02 12 08:47:37 758   786   811 I ActivityManager: Displayed fr free nrw commons  upload UploadActivity:  3s546ms_x000D_
02 12 08:47:37 782  7821  7821 W Norm Shared10: type 1400 audit(0 0:491): avc: denied   read   for name  mem  dev  debugfs  ino 869335 scontext u:r:untrusted app:s0:c512 c768 tcontext u:object r:debugfs:s0 tclass file permissive 0_x000D_
02 12 08:47:37 782  7821  7821 W Norm Shared10: type 1400 audit(0 0:492): avc: denied   read   for name  mem  dev  debugfs  ino 869335 scontext u:r:untrusted app:s0:c512 c768 tcontext u:object r:debugfs:s0 tclass file permissive 0_x000D_
02 12 08:47:37 791 23731 23731 D CategoriesModel: Direct category found: _x000D_
02 12 08:47:37 792 23731 23731 D CategoriesModel: Image has no direct Cat_x000D_
02 12 08:47:37 798 23731 23731 D MainActivity: Number of notifications is 0_x000D_
02 12 08:47:37 799 23731 23731 I Choreographer: Skipped 90 frames   The application may be doing too much work on its main thread _x000D_
02 12 08:47:37 804   939   939 I GoogleInputMethod: onFinishInput() : Dummy InputConnection bound_x000D_
02 12 08:47:37 817   786   804 I ActivityManager: Start proc 7845:com radio fmradio u0a93 for service com radio fmradio  service MusicService_x000D_
02 12 08:47:37 845   939   939 I GoogleInputMethod: onStartInput() : Dummy InputConnection bound_x000D_
02 12 08:47:37 854   939   939 I ShortcutsDataManager: startImportContentTask()_x000D_
02 12 08:47:37 854   939   939 I ShortcutsDataManager: onImportAborted()_x000D_
02 12 08:47:37 870   786   786 E NotificationService: Suppressing notification from package by user request _x000D_
02 12 08:47:37 896 23731 23731 E UploadModel  Lambda: java lang NumberFormatException: empty String_x000D_
02 12 08:47:37 896 23731 23731 E UploadModel  Lambda: 	at java lang FloatingDecimal readJavaFormatString(FloatingDecimal java:1071)_x000D_
02 12 08:47:37 896 23731 23731 E UploadModel  Lambda: 	at java lang Double parseDouble(Double java:547)_x000D_
02 12 08:47:37 896 23731 23731 E UploadModel  Lambda: 	at fr free nrw commons utils ImageUtils checkImageGeolocationIsDifferent(ImageUtils java:112)_x000D_
02 12 08:47:37 896 23731 23731 E UploadModel  Lambda: 	at fr free nrw commons utils ImageUtilsWrapper checkImageGeolocationIsDifferent(ImageUtilsWrapper java:30)_x000D_
02 12 08:47:37 896 23731 23731 E UploadModel  Lambda: 	at fr free nrw commons upload ImageProcessingService lambda checkImageGeoLocation 8 ImageProcessingService(ImageProcessingService java:130)_x000D_
02 12 08:47:37 896 23731 23731 E UploadModel  Lambda: 	at fr free nrw commons upload ImageProcessingService  Lambda 12 apply(Unknown Source)_x000D_
02 12 08:47:37 896 23731 23731 E UploadModel  Lambda: 	at io reactivex internal operators single SingleFlatMap SingleFlatMapCallback onSuccess(SingleFlatMap java:76)_x000D_
02 12 08:47:37 896 23731 23731 E UploadModel  Lambda: 	at io reactivex internal operators single SingleMap MapSingleObserver onSuccess(SingleMap java:64)_x000D_
02 12 08:47:37 896 23731 23731 E UploadModel  Lambda: 	at io reactivex internal operators single SingleFromCallable subscribeActual(SingleFromCallable java:56)_x000D_
02 12 08:47:37 896 23731 23731 E UploadModel  Lambda: 	at io reactivex Single subscribe(Single java:3394)_x000D_
02 12 08:47:37 896 23731 23731 E UploadModel  Lambda: 	at io reactivex internal operators single SingleMap subscribeActual(SingleMap java:34)_x000D_
02 12 08:47:37 896 23731 23731 E UploadModel  Lambda: 	at io reactivex Single subscribe(Single java:3394)_x000D_
02 12 08:47:37 896 23731 23731 E UploadModel  Lambda: 	at io reactivex internal operators single SingleFlatMap subscribeActual(SingleFlatMap java:36)_x000D_
02 12 08:47:37 896 23731 23731 E UploadModel  Lambda: 	at io reactivex Single subscribe(Single java:3394)_x000D_
02 12 08:47:37 896 23731 23731 E UploadModel  Lambda: 	at io reactivex internal operators single SingleZipArray subscribeActual(SingleZipArray java:64)_x000D_
02 12 08:47:37 896 23731 23731 E UploadModel  Lambda: 	at io reactivex Single subscribe(Single java:3394)_x000D_
02 12 08:47:37 896 23731 23731 E UploadModel  Lambda: 	at io reactivex internal operators single SingleSubscribeOn SubscribeOnObserver run(SingleSubscribeOn java:89)_x000D_
02 12 08:47:37 896 23731 23731 E UploadModel  Lambda: 	at io reactivex Scheduler DisposeTask run(Scheduler java:579)_x000D_
02 12 08:47:37 896 23731 23731 E UploadModel  Lambda: 	at io reactivex internal schedulers ScheduledRunnable run(ScheduledRunnable java:66)_x000D_
02 12 08:47:37 896 23731 23731 E UploadModel  Lambda: 	at io reactivex internal schedulers ScheduledRunnable call(ScheduledRunnable java:57)_x000D_
02 12 08:47:37 896 23731 23731 E UploadModel  Lambda: 	at java util concurrent FutureTask run(FutureTask java:237)_x000D_
02 12 08:47:37 896 23731 23731 E UploadModel  Lambda: 	at java util concurrent ScheduledThreadPoolExecutor ScheduledFutureTask run(ScheduledThreadPoolExecutor java:272)_x000D_
02 12 08:47:37 896 23731 23731 E UploadModel  Lambda: 	at java util concurrent ThreadPoolExecutor runWorker(ThreadPoolExecutor java:1133)_x000D_
02 12 08:47:37 896 23731 23731 E UploadModel  Lambda: 	at java util concurrent ThreadPoolExecutor Worker run(ThreadPoolExecutor java:607)_x000D_
02 12 08:47:37 896 23731 23731 E UploadModel  Lambda: 	at java lang Thread run(Thread java:761)_x000D_
02 12 08:47:38 083  7845  7845 I art     : Starting a blocking GC AddRemoveAppImageSpace_x000D_
02 12 08:47:38 191  7845  7845 I MultiDex: VM with version 2 1 0 has multidex support_x000D_
02 12 08:47:38 191  7845  7845 I MultiDex: Installing application_x000D_
02 12 08:47:38 191  7845  7845 I MultiDex: VM has multidex support  MultiDex support library is disabled _x000D_
02 12 08:47:38 417 21640 21640 I Finsky  :  1  com google android finsky scheduler JobSchedulerEngine PhoneskyJobSchedulerJobService onStartJob(8): onJobSchedulerWakeup with jobId 9005_x000D_
02 12 08:47:38 453 21640 21640 I Finsky  :  1  com google android finsky scheduler ad a(41): Scheduling fallback in 43199986 (absolute: 109163863)_x000D_
02 12 08:47:38 455 21640 21640 I Finsky  :  1  com google android finsky scheduler ad a(41): Scheduling fallback in 64799998 (absolute: 130763884)_x000D_
02 12 08:47:38 498 23731  7317 D CustomApiResult: API response for method https:  commons wikimedia org w api php is_x000D_
02 12 08:47:38 498 23731  7317 D CustomApiResult:    xml version  1 0  encoding  UTF 8    api batchcomplete     query  searchinfo totalhits  0    search    query   api _x000D_
02 12 08:47:38 531 23731  7317 D CategoriesModel: Previous year: 2018_x000D_
02 12 08:47:38 533 23731  7317 D CategoriesModel: Previous year: 2018_x000D_
02 12 08:47:38 534 23731  7317 D CategoriesModel: Previous year: 2018_x000D_
02 12 08:47:38 536 23731  7317 D CategoriesModel: Previous year: 2018_x000D_
02 12 08:47:38 538 23731  7317 D CategoriesModel: Previous year: 2018_x000D_
02 12 08:47:38 539 23731  7317 D CategoriesModel: Previous year: 2018_x000D_
02 12 08:47:38 541 23731  7317 D CategoriesModel: Previous year: 2018_x000D_
02 12 08:47:38 543 23731  7317 D CategoriesModel: Previous year: 2018_x000D_
02 12 08:47:38 546 23731  7317 D CategoriesModel: Previous year: 2018_x000D_
02 12 08:47:38 547 23731  7317 D CategoriesModel: Previous year: 2018_x000D_
02 12 08:47:38 549 23731  7317 D CategoriesModel: Previous year: 2018_x000D_
02 12 08:47:38 552 23731  7317 D CategoriesModel: Previous year: 2018_x000D_
02 12 08:47:38 556 23731  7317 D CategoriesModel: Previous year: 2018_x000D_
02 12 08:47:38 560 23731  7317 D CategoriesModel: Previous year: 2018_x000D_
02 12 08:47:38 561 23731  7317 D CategoriesModel: Previous year: 2018_x000D_
02 12 08:47:38 562  7845  7845 D FirebaseApp: com google firebase auth FirebaseAuth is not linked  Skipping initialization _x000D_
02 12 08:47:38 563 23731  7317 D CategoriesModel: Previous year: 2018_x000D_
02 12 08:47:38 564 23731  7317 D CategoriesModel: Previous year: 2018_x000D_
02 12 08:47:38 565 23731  7317 D CategoriesModel: Previous year: 2018_x000D_
02 12 08:47:38 566  7845  7845 D FirebaseApp: com google firebase crash FirebaseCrash is not linked  Skipping initialization _x000D_
02 12 08:47:38 566 23731  7317 D CategoriesModel: Previous year: 2018_x000D_
02 12 08:47:38 568 23731  7317 D CategoriesModel: Previous year: 2018_x000D_
02 12 08:47:38 569 23731  7317 D CategoriesModel: Previous year: 2018_x000D_
02 12 08:47:38 570  7845  7845 I FirebaseInitProvider: FirebaseApp initialization successful_x000D_
02 12 08:47:38 570 23731  7317 D CategoriesModel: Previous year: 2018_x000D_
02 12 08:47:38 571 23731  7317 D CategoriesModel: Previous year: 2018_x000D_
02 12 08:47:38 573 23731  7317 D CategoriesModel: Previous year: 2018_x000D_
02 12 08:47:38 574 23731  7317 D CategoriesModel: Previous year: 2018_x000D_
02 12 08:47:38 679 21640 21640 I Finsky  :  1  com google android finsky scheduler al handleMessage(16): DeviceState: DeviceState currentTime 1549928858660  isCharging false  isIdle false  netAny true  netNotRoaming true  netUnmetered false _x000D_
02 12 08:47:38 750  7845  7870 I FA      : App measurement is starting up  version: 14700_x000D_
02 12 08:47:38 750  7845  7870 I FA      : To enable debug logging run: adb shell setprop log tag FA VERBOSE_x000D_
02 12 08:47:38 750  7845  7870 I FA      : To enable faster debug mode event logging run:_x000D_
02 12 08:47:38 750  7845  7870 I FA      :   adb shell setprop debug firebase analytics app com radio fmradio_x000D_
02 12 08:47:38 784  7845  7872 D com facebook FacebookSdk: getGraphApiVersion: v3 0_x000D_
02 12 08:47:38 822 21640  7655 I Finsky  :  3518  com google android finsky scheduler br b(90): Jobs in database: 1 1337 3 624 10 7 10 11 10 26 10 36 10 38 10 39 10 40 10 41 10 44 10 46 10 48 16 16161616 26 1414141414 _x000D_
02 12 08:47:38 901 21640 21640 I Finsky  :  1  com google android finsky scheduler ag a(61): Running job: 26 1414141414_x000D_
02 12 08:47:38 915 21640 21640 I Finsky  :  1  com google android finsky scheduler ag a(108): RunningQueue size: 1  PendingQueue size: 0_x000D_
02 12 08:47:38 916 21640 21640 I Finsky  :  1  com google android finsky scheduler ag a(119): Running queue: 26 1414141414 _x000D_
02 12 08:47:38 921 21640 21718 I Finsky  :  3355  com google android finsky clientstats impl j a(2): Counters flushed successfully_x000D_
02 12 08:47:38 924 21640 21718 I Finsky  :  3355  com google android finsky scheduler bm b(8): jobFinished: 26 1414141414  TimeElapsed: 23ms_x000D_
02 12 08:47:38 925 21640 21640 I Finsky  :  1  com google android finsky scheduler ag a(142): Job 26 1414141414 finished_x000D_
02 12 08:47:38 925 21640 21640 I Finsky  :  1  com google android finsky scheduler ag a(108): RunningQueue size: 0  PendingQueue size: 0_x000D_
02 12 08:47:38 926 21640 21640 I Finsky  :  1  com google android finsky scheduler al handleMessage(42): Executor finished_x000D_
02 12 08:47:38 975  7845  7845 I CrashlyticsCore: Initializing Crashlytics 2 6 1 23_x000D_
02 12 08:47:39 009  7845  7856 W art     : Suspending all threads took: 30 482ms_x000D_
02 12 08:47:39 012 21640 21640 I Finsky  :  1  com google android finsky dj d onTrimMemory(3): Memory trim requested to level 80_x000D_
02 12 08:47:39 042  7845  7872 D NetworkSecurityConfig: No Network Security Config specified  using platform default_x000D_
02 12 08:47:39 071  7845  7872 W System  : ClassLoader referenced unknown path:  system framework tcmclient jar_x000D_
02 12 08:47:39 120 23731  7317 D CustomApiResult: API response for method https:  commons wikimedia org w api php is_x000D_
02 12 08:47:39 120 23731  7317 D CustomApiResult:    xml version  1 0  encoding  UTF 8    api batchcomplete     query  searchinfo totalhits  0    search    query   api _x000D_
02 12 08:47:39 129 23731  7317 D CategoriesModel: Previous year: 2018_x000D_
02 12 08:47:39 136 23731  7317 D CategoriesModel: Previous year: 2018_x000D_
02 12 08:47:39 137 23731  7317 D CategoriesModel: Previous year: 2018_x000D_
02 12 08:47:39 138 23731  7317 D CategoriesModel: Previous year: 2018_x000D_
02 12 08:47:39 140 23731  7317 D CategoriesModel: Previous year: 2018_x000D_
02 12 08:47:39 141 23731  7317 D CategoriesModel: Previous year: 2018_x000D_
02 12 08:47:39 142 23731  7317 D CategoriesModel: Previous year: 2018_x000D_
02 12 08:47:39 143 23731  7317 D CategoriesModel: Previous year: 2018_x000D_
02 12 08:47:39 145 23731  7317 D CategoriesModel: Previous year: 2018_x000D_
02 12 08:47:39 146 23731  7317 D CategoriesModel: Previous year: 2018_x000D_
02 12 08:47:39 147 23731  7317 D CategoriesModel: Previous year: 2018_x000D_
02 12 08:47:39 149 23731  7317 D CategoriesModel: Previous year: 2018_x000D_
02 12 08:47:39 150 23731  7317 D CategoriesModel: Previous year: 2018_x000D_
02 12 08:47:39 151 23731  7317 D CategoriesModel: Previous year: 2018_x000D_
02 12 08:47:39 152 23731  7317 D CategoriesModel: Previous year: 2018_x000D_
02 12 08:47:39 154 23731  7317 D CategoriesModel: Previous year: 2018_x000D_
02 12 08:47:39 157 23731  7317 D CategoriesModel: Previous year: 2018_x000D_
02 12 08:47:39 158 23731  7317 D CategoriesModel: Previous year: 2018_x000D_
02 12 08:47:39 162 23731  7317 D CategoriesModel: Previous year: 2018_x000D_
02 12 08:47:39 163 23731  7317 D CategoriesModel: Previous year: 2018_x000D_
02 12 08:47:39 167 23731  7317 D CategoriesModel: Previous year: 2018_x000D_
02 12 08:47:39 168 23731  7317 D CategoriesModel: Previous year: 2018_x000D_
02 12 08:47:39 169 23731  7317 D CategoriesModel: Previous year: 2018_x000D_
02 12 08:47:39 171 23731  7317 D CategoriesModel: Previous year: 2018_x000D_
02 12 08:47:39 172 23731  7317 D CategoriesModel: Previous year: 2018_x000D_
02 12 08:47:39 219 21640 21758 I Finsky  :  3372  com google android finsky clientstats impl q a(7): Successfully generated counter events_x000D_
02 12 08:47:39 221 21640 21640 I Finsky  :  1  com google android finsky scheduler br b(90): Jobs in database: 1 1337 3 624 10 7 10 11 10 26 10 36 10 38 10 39 10 40 10 41 10 44 10 46 10 48 16 16161616 26 1414141414 _x000D_
02 12 08:47:39 317 21640 21640 I Finsky  :  1  com google android finsky scheduler k a(69): ConstraintMapping: 10 40  10 46  1 1337  10 41  10 36  10 11  10 48  10 26  10 44  10 39  10 38  10 7      L: 38302036ms  D: 81502036ms  C: false  I: false  N: 1_x000D_
02 12 08:47:39 323 21640 21640 I Finsky  :  1  com google android finsky scheduler k a(69): ConstraintMapping: 3 624      L: 0ms  D: 56589202ms  C: true  I: false  N: 2_x000D_
02 12 08:47:39 325  7845  7878 D ApplicationLoaders: ignored Vulkan layer search path  data app com google android gms 1 lib arm: data app com google android gms 1 base apk  lib armeabi v7a for namespace 0xb2f59090_x000D_
02 12 08:47:39 326 21640 21640 I Finsky  :  1  com google android finsky scheduler k a(69): ConstraintMapping: 26 1414141414  16 16161616      L: 42827ms  D: 42827ms  C: false  I: false  N: 0_x000D_
02 12 08:47:39 331 21640 21640 I Finsky  :  1  com google android finsky scheduler JobSchedulerEngine a(108): Cancelling existing job with id: 9004_x000D_
02 12 08:47:39 334 21640 21640 I Finsky  :  1  com google android finsky scheduler JobSchedulerEngine a(108): Cancelling existing job with id: 9000_x000D_
02 12 08:47:39 339 21640 21640 I Finsky  :  1  com google android finsky scheduler JobSchedulerEngine a(48): Scheduling job Id: 9001  L: 38302036  D: 81502036  C: false  I: false  N: 1_x000D_
02 12 08:47:39 344 21640 21640 I Finsky  :  1  com google android finsky scheduler JobSchedulerEngine a(66): Throttling wakeup for job 9002 (expected to run in 0 ms) due to recent wakeup_x000D_
02 12 08:47:39 344 21640 21640 I Finsky  :  1  com google android finsky scheduler JobSchedulerEngine a(48): Scheduling job Id: 9002  L: 30000  D: 56589202  C: true  I: false  N: 2_x000D_
02 12 08:47:39 349 21640 21640 I Finsky  :  1  com google android finsky scheduler JobSchedulerEngine a(48): Scheduling job Id: 9003  L: 42827  D: 42827  C: false  I: false  N: 0_x000D_
02 12 08:47:39 383 32394 32450 V Avrcp   : Active sessions changed  0 sessions_x000D_
02 12 08:47:39 383 32394 32450 D Avrcp   : Exit onActiveSessionsChanged()_x000D_
02 12 08:47:39 491  7845  7845 V MediaRouter: Adding route: RouteInfo  name Phone  description null  status null  category RouteCategory  name null types ROUTE TYPE LIVE AUDIO ROUTE TYPE LIVE VIDEO  groupable false    supportedTypes ROUTE TYPE LIVE AUDIO ROUTE TYPE LIVE VIDEO   presentationDisplay null  _x000D_
02 12 08:47:39 501  7845  7845 V MediaRouter: Updating audio routes: AudioRoutesInfo  type SPEAKER  bluetoothName BluetoothA2dp  _x000D_
02 12 08:47:39 501  7845  7845 V MediaRouter: Adding route: RouteInfo  name BluetoothA2dp  description Bluetooth audio  status null  category RouteCategory  name null types ROUTE TYPE LIVE AUDIO ROUTE TYPE LIVE VIDEO  groupable false    supportedTypes ROUTE TYPE LIVE AUDIO   presentationDisplay null  _x000D_
02 12 08:47:39 501  7845  7845 V MediaRouter: Selecting route: RouteInfo  name BluetoothA2dp  description Bluetooth audio  status null  category RouteCategory  name null types ROUTE TYPE LIVE AUDIO ROUTE TYPE LIVE VIDEO  groupable false    supportedTypes ROUTE TYPE LIVE AUDIO   presentationDisplay null  _x000D_
02 12 08:47:39 527   786   786 V MediaRouter: Updating audio routes: AudioRoutesInfo  type SPEAKER  bluetoothName BluetoothA2dp  _x000D_
02 12 08:47:39 528   944   944 V MediaRouter: Updating audio routes: AudioRoutesInfo  type SPEAKER  bluetoothName BluetoothA2dp  _x000D_
02 12 08:47:39 528  1911  1911 V MediaRouter: Updating audio routes: AudioRoutesInfo  type SPEAKER  bluetoothName BluetoothA2dp  _x000D_
02 12 08:47:39 532  7845  7845 I MediaRouter: Found default route: MediaRouter RouteInfo  uniqueId android  support v7 media SystemMediaRouteProvider:DEFAULT ROUTE  name Phone  description null  iconUri null  enabled true  connecting false  connectionState 0  canDisconnect false  playbackType 0  playbackStream 3  deviceType 0  volumeHandling 1  volume 12  volumeMax 15  presentationDisplayId  1  extras null  settingsIntent null  providerPackageName android  _x000D_
02 12 08:47:39 532  7845  7845 I MediaRouter: Found bluetooth route: MediaRouter RouteInfo  uniqueId android  support v7 media SystemMediaRouteProvider:ROUTE 1f7b3feb  name BluetoothA2dp  description Bluetooth audio  iconUri null  enabled true  connecting false  connectionState 0  canDisconnect false  playbackType 0  playbackStream 3  deviceType 3  volumeHandling 1  volume 12  volumeMax 15  presentationDisplayId  1  extras null  settingsIntent null  providerPackageName android  _x000D_
02 12 08:47:39 532  7845  7845 I MediaRouter: Unselecting the current route because it is no longer selectable: null_x000D_
02 12 08:47:39 551  7845  7845 I DynamiteModule: Considering local module com google android gms cast framework dynamite:0 and remote module com google android gms cast framework dynamite:222_x000D_
02 12 08:47:39 551  7845  7845 I DynamiteModule: Selected remote version of com google android gms cast framework dynamite  version    222_x000D_
02 12 08:47:39 551  7845  7845 V DynamiteModule: Dynamite loader version    2  using loadModule2NoCrashUtils_x000D_
02 12 08:47:39 558  7845  7845 W System  : ClassLoader referenced unknown path: _x000D_
02 12 08:47:39 559  7845  7845 D ApplicationLoaders: ignored Vulkan layer search path  data app com google android gms 1 lib arm: data app com google android gms 1 base apk  lib armeabi v7a for namespace 0xb2f590d0_x000D_
02 12 08:47:39 585  7845  7845 W System  : ClassLoader referenced unknown path:  data user de 0 com google android gms app chimera m 000000a4 n armeabi v7a_x000D_
02 12 08:47:39 585  7845  7845 W System  : ClassLoader referenced unknown path:  data user de 0 com google android gms app chimera m 000000a4 n armeabi_x000D_
02 12 08:47:39 640  7845  7845 I CastDynamiteModuleImpl: xr created by ClassLoader ad DexPathList  zip file   data user de 0 com google android gms app chimera m 000000a4 DynamiteModulesC apk   nativeLibraryDirectories   data user de 0 com google android gms app chimera m 000000a4 n armeabi v7a   data user de 0 com google android gms app chimera m 000000a4 n armeabi   system lib   vendor lib    _x000D_
02 12 08:47:39 672  7845  7845 V MediaRouter: Updating audio routes: AudioRoutesInfo  type SPEAKER  bluetoothName BluetoothA2dp  _x000D_
02 12 08:47:39 673  7845  7845 V MediaRouter: Selecting route: RouteInfo  name BluetoothA2dp  description Bluetooth audio  status null  category RouteCategory  name null types ROUTE TYPE LIVE AUDIO ROUTE TYPE LIVE VIDEO  groupable false    supportedTypes ROUTE TYPE LIVE AUDIO   presentationDisplay null  _x000D_
02 12 08:47:39 756 23731  7317 D CustomApiResult: API response for method https:  commons wikimedia org w api php is_x000D_
02 12 08:47:39 756 23731  7317 D CustomApiResult:    xml version  1 0  encoding  UTF 8    api batchcomplete     query  searchinfo totalhits  0    search    query   api _x000D_
02 12 08:47:39 764 23731  7317 D CategoriesModel: Previous year: 2018_x000D_
02 12 08:47:39 765 23731  7317 D CategoriesModel: Previous year: 2018_x000D_
02 12 08:47:39 766 23731  7317 D CategoriesModel: Previous year: 2018_x000D_
02 12 08:47:39 768 23731  7317 D CategoriesModel: Previous year: 2018_x000D_
02 12 08:47:39 769 23731  7317 D CategoriesModel: Previous year: 2018_x000D_
02 12 08:47:39 770  1911 25983 I CastDatabase: Opening the database_x000D_
02 12 08:47:39 771 23731  7317 D CategoriesModel: Previous year: 2018_x000D_
02 12 08:47:39 772 23731  7317 D CategoriesModel: Previous year: 2018_x000D_
02 12 08:47:39 773 23731  7317 D CategoriesModel: Previous year: 2018_x000D_
02 12 08:47:39 774 23731  7317 D CategoriesModel: Previous year: 2018_x000D_
02 12 08:47:39 775 23731  7317 D CategoriesModel: Previous year: 2018_x000D_
02 12 08:47:39 777 23731  7317 D CategoriesModel: Previous year: 2018_x000D_
02 12 08:47:39 778 23731  7317 D CategoriesModel: Previous year: 2018_x000D_
02 12 08:47:39 780 23731  7317 D CategoriesModel: Previous year: 2018_x000D_
02 12 08:47:39 781 23731  7317 D CategoriesModel: Previous year: 2018_x000D_
02 12 08:47:39 782 23731  7317 D CategoriesModel: Previous year: 2018_x000D_
02 12 08:47:39 784 23731  7317 D CategoriesModel: Previous year: 2018_x000D_
02 12 08:47:39 785  1911  1911 I DiscoveryManager: WifiGuestModeDeviceScanner enabled _x000D_
02 12 08:47:39 785 23731  7317 D CategoriesModel: Previous year: 2018_x000D_
02 12 08:47:39 787 23731  7317 D CategoriesModel: Previous year: 2018_x000D_
02 12 08:47:39 788 23731  7317 D CategoriesModel: Previous year: 2018_x000D_
02 12 08:47:39 790 23731  7317 D CategoriesModel: Previous year: 2018_x000D_
02 12 08:47:39 795 23731  7317 D CategoriesModel: Previous year: 2018_x000D_
02 12 08:47:39 801 23731  7317 D CategoriesModel: Previous year: 2018_x000D_
02 12 08:47:39 802 23731  7317 D CategoriesModel: Previous year: 2018_x000D_
02 12 08:47:39 809 23731  7317 D CategoriesModel: Previous year: 2018_x000D_
02 12 08:47:39 816 23731  7317 D CategoriesModel: Previous year: 2018_x000D_
02 12 08:47:39 840  1911 25983 I SQLiteCastStore: 0 CastNetworkInfo instances loaded  0 CastDeviceInfo instances loaded  0 paired guest mode devices loaded _x000D_
02 12 08:47:39 854  7845  7874 D com facebook FacebookSdk: getGraphApiVersion: v3 0_x000D_
02 12 08:47:40 002 32717 32717 W BgHandler: type 1400 audit(0 0:493): avc: denied   read   for name  mem  dev  debugfs  ino 869335 scontext u:r:untrusted app:s0:c512 c768 tcontext u:object r:debugfs:s0 tclass file permissive 0_x000D_
02 12 08:47:40 002 32717 32717 W BgHandler: type 1400 audit(0 0:494): avc: denied   read   for name  mem  dev  debugfs  ino 869335 scontext u:r:untrusted app:s0:c512 c768 tcontext u:object r:debugfs:s0 tclass file permissive 0_x000D_
02 12 08:47:43 201 23731 23731 D UploadActivity: Descriptions size is 1 are  fr free nrw commons upload Description 6a202a1 _x000D_
02 12 08:47:43 202 23731 23731 E UploadPresenter: Inside handleNext_x000D_
02 12 08:47:43 278 23731 23731 D ImageProcessingService: Current image quality is  2_x000D_
02 12 08:47:43 278 23731 23731 D ImageProcessingService: Checking the validity of image_x000D_
02 12 08:47:43 278 23731 23731 D ImageProcessingService: Checking for duplicate image  data user 0 fr free nrw commons cache CommonsContributions eaf8a8c9 2e34 49f9 aff0 75bf3f851116 jpg_x000D_
02 12 08:47:43 279 23731 23731 D ImageProcessingService: Checking for image geolocation  data user 0 fr free nrw commons cache CommonsContributions eaf8a8c9 2e34 49f9 aff0 75bf3f851116 jpg_x000D_
02 12 08:47:43 280 23731 23731 D Place   : Wikidata entity is http:  www wikidata org entity Q52213051_x000D_
02 12 08:47:43 281 23731 23731 D ImageProcessingService: Checking for dark image  data user 0 fr free nrw commons cache CommonsContributions eaf8a8c9 2e34 49f9 aff0 75bf3f851116 jpg_x000D_
02 12 08:47:43 287 23731 23731 D ImageProcessingService: Checking for image title Singapore embassy in Tokyo_x000D_
02 12 08:47:43 355 23731  7239 I FileUtils: File SHA1: e3dfe7875f582ca53d18005106536fb37af27f60_x000D_
02 12 08:47:43 840 23731  7239 D CustomApiResult: API response for method https:  commons wikimedia org w api php is_x000D_
02 12 08:47:43 840 23731  7239 D CustomApiResult:    xml version  1 0  encoding  UTF 8    api batchcomplete     query  allimages    query   api _x000D_
02 12 08:47:43 853 23731  7239 D ImageProcessingService: Result for duplicate image false_x000D_
02 12 08:47:43 854 23731  7239 I ExifInterface JNI: Raw image not detected_x000D_
02 12 08:47:43 855 23731  7239 W ExifInterface: Skip the tag entry since tag number is not defined: 34864_x000D_
02 12 08:47:43 855 23731  7239 W ExifInterface: Skip the tag entry since tag number is not defined: 2_x000D_
02 12 08:47:43 857 23731  7239 D ImageUtils: Comparing geolocation of file with nearby place location_x000D_
02 12 08:47:43 964 23731 23731 E UploadPresenter: Error occurred while handling image_x000D_
02 12 08:47:43 964 23731 23731 E UploadPresenter: java lang NumberFormatException: empty String_x000D_
02 12 08:47:43 964 23731 23731 E UploadPresenter: 	at java lang FloatingDecimal readJavaFormatString(FloatingDecimal java:1071)_x000D_
02 12 08:47:43 964 23731 23731 E UploadPresenter: 	at java lang Double parseDouble(Double java:547)_x000D_
02 12 08:47:43 964 23731 23731 E UploadPresenter: 	at fr free nrw commons utils ImageUtils checkImageGeolocationIsDifferent(ImageUtils java:112)_x000D_
02 12 08:47:43 964 23731 23731 E UploadPresenter: 	at fr free nrw commons utils ImageUtilsWrapper checkImageGeolocationIsDifferent(ImageUtilsWrapper java:30)_x000D_
02 12 08:47:43 964 23731 23731 E UploadPresenter: 	at fr free nrw commons upload ImageProcessingService lambda checkImageGeoLocation 8 ImageProcessingService(ImageProcessingService java:130)_x000D_
02 12 08:47:43 964 23731 23731 E UploadPresenter: 	at fr free nrw commons upload ImageProcessingService  Lambda 12 apply(Unknown Source)_x000D_
02 12 08:47:43 964 23731 23731 E UploadPresenter: 	at io reactivex internal operators single SingleFlatMap SingleFlatMapCallback onSuccess(SingleFlatMap java:76)_x000D_
02 12 08:47:43 964 23731 23731 E UploadPresenter: 	at io reactivex internal operators single SingleMap MapSingleObserver onSuccess(SingleMap java:64)_x000D_
02 12 08:47:43 964 23731 23731 E UploadPresenter: 	at io reactivex internal operators single SingleFromCallable subscribeActual(SingleFromCallable java:56)_x000D_
02 12 08:47:43 964 23731 23731 E UploadPresenter: 	at io reactivex Single subscribe(Single java:3394)_x000D_
02 12 08:47:43 964 23731 23731 E UploadPresenter: 	at io reactivex internal operators single SingleMap subscribeActual(SingleMap java:34)_x000D_
02 12 08:47:43 964 23731 23731 E UploadPresenter: 	at io reactivex Single subscribe(Single java:3394)_x000D_
02 12 08:47:43 964 23731 23731 E UploadPresenter: 	at io reactivex internal operators single SingleFlatMap subscribeActual(SingleFlatMap java:36)_x000D_
02 12 08:47:43 964 23731 23731 E UploadPresenter: 	at io reactivex Single subscribe(Single java:3394)_x000D_
02 12 08:47:43 964 23731 23731 E UploadPresenter: 	at io reactivex internal operators single SingleZipArray subscribeActual(SingleZipArray java:64)_x000D_
02 12 08:47:43 964 23731 23731 E UploadPresenter: 	at io reactivex Single subscribe(Single java:3394)_x000D_
02 12 08:47:43 964 23731 23731 E UploadPresenter: 	at io reactivex internal operators single SingleSubscribeOn SubscribeOnObserver run(SingleSubscribeOn java:89)_x000D_
02 12 08:47:43 964 23731 23731 E UploadPresenter: 	at io reactivex Scheduler DisposeTask run(Scheduler java:579)_x000D_
02 12 08:47:43 964 23731 23731 E UploadPresenter: 	at io reactivex internal schedulers ScheduledRunnable run(ScheduledRunnable java:66)_x000D_
02 12 08:47:43 964 23731 23731 E UploadPresenter: 	at io reactivex internal schedulers ScheduledRunnable call(ScheduledRunnable java:57)_x000D_
02 12 08:47:43 964 23731 23731 E UploadPresenter: 	at java util concurrent FutureTask run(FutureTask java:237)_x000D_
02 12 08:47:43 964 23731 23731 E UploadPresenter: 	at java util concurrent ScheduledThreadPoolExecutor ScheduledFutureTask run(ScheduledThreadPoolExecutor java:272)_x000D_
02 12 08:47:43 964 23731 23731 E UploadPresenter: 	at java util concurrent ThreadPoolExecutor runWorker(ThreadPoolExecutor java:1133)_x000D_
02 12 08:47:43 964 23731 23731 E UploadPresenter: 	at java util concurrent ThreadPoolExecutor Worker run(ThreadPoolExecutor java:607)_x000D_
02 12 08:47:43 964 23731 23731 E UploadPresenter: 	at java lang Thread run(Thread java:761)_x000D_
02 12 08:47:54 856  7845  7878 D com facebook FacebookSdk: getGraphApiVersion: v3 0_x000D_
02 12 08:48:00 078   786   804 I ActivityManager: Start proc 7957:com chibatching worldclockwidget u0a154 for broadcast com chibatching worldclockwidget  ClockWidget_x000D_
02 12 08:48:00 151 31256 31256 I Watcher AppUti: Sending:android appwidget action APPWIDGET UPDATE_x000D_
02 12 08:48:00 175  7957  7957 I art     : Starting a blocking GC AddRemoveAppImageSpace_x000D_
02 12 08:48:00 177  7957  7957 W System  : ClassLoader referenced unknown path:  data app com chibatching worldclockwidget 1 lib arm_x000D_
02 12 08:48:11 324  1144  1144 I GeofencerStateMachine: sendNewTransitions called _x000D_
02 12 08:48:11 370  1144 19081 I GCoreUlr: Successfully inserted 1 locations_x000D_
02 12 08:48:23 151   786   813 D LuxLevels: bright hysteresis constant  0 1  threshold 22 757973  lux 20 689066_x000D_
02 12 08:48:23 151   786   813 D LuxLevels: dark hysteresis constant  0 2  threshold 16 551252  lux 20 689066_x000D_
02 12 08:48:28 944   786   804 W BroadcastQueue: Permission Denial: broadcasting Intent   act com mobutils android mediation ACTION UPDATE SWITCH flg 0x14 (has extras)   from com emoji keyboard touchpal (pid  1  uid 10205) is not exported from uid 10204 due to receiver com cootek smartinputv5 language v5 russian com mobutils android mediation sdk switches SwitchUpdateReceiver_x000D_
02 12 08:48:28 975 21640 21640 I Finsky  :  1  com google android finsky scheduler JobSchedulerEngine PhoneskyJobSchedulerJobService onStartJob(8): onJobSchedulerWakeup with jobId 9003_x000D_
02 12 08:48:28 979 21640 21640 I Finsky  :  1  com google android finsky scheduler ad a(41): Scheduling fallback in 43199996 (absolute: 109214406)_x000D_
02 12 08:48:28 982 21640 21640 I Finsky  :  1  com google android finsky scheduler ad a(41): Scheduling fallback in 64799997 (absolute: 130814410)_x000D_
02 12 08:48:29 116 21640 21640 I Finsky  :  1  com google android finsky scheduler al handleMessage(16): DeviceState: DeviceState currentTime 1549928909113  isCharging false  isIdle false  netAny true  netNotRoaming true  netUnmetered false _x000D_
02 12 08:48:29 128 21640  8051 I Finsky  :  3521  com google android finsky scheduler br b(90): Jobs in database: 1 1337 3 624 10 7 10 11 10 26 10 36 10 38 10 39 10 40 10 41 10 44 10 46 10 48 16 16161616 26 1414141414 _x000D_
02 12 08:48:29 137 21640 21640 I Finsky  :  1  com google android finsky scheduler ag a(61): Running job: 16 16161616_x000D_
02 12 08:48:29 141 21640 21640 I Finsky  :  1  com google android finsky scheduler ag a(108): RunningQueue size: 1  PendingQueue size: 0_x000D_
02 12 08:48:29 141 21640 21640 I Finsky  :  1  com google android finsky scheduler ag a(119): Running queue: 16 16161616 _x000D_
02 12 08:48:29 175 21640  8054 I Finsky  :  3523  com google android finsky flushlogs g a(9): Flushing event logs for  Kz4W NulfjzdvmRDDAXdHIB5UBs _x000D_
02 12 08:48:29 176 21640  8054 I Finsky  :  3523  com google android finsky flushlogs g a(9): Flushing event logs for  3t8dgN5gm0yAqdbN4c0ykxQHrPE _x000D_
02 12 08:48:29 176 21640  8054 I Finsky  :  3523  com google android finsky flushlogs g a(9): Flushing event logs for  7QOluFDbflvRVMutZ F hSL1Myw _x000D_
02 12 08:48:29 190 21640 21702 I PlayCommon:  3343  com google android play b g d(132): Preparing logs for uploading_x000D_
02 12 08:48:29 197 21640 21702 I PlayCommon:  3343  com google android play b g a(325): Connecting to server: https:  play googleapis com play log format raw proto v2 true_x000D_
02 12 08:48:29 458 21640 21702 I PlayCommon:  3343  com google android play b g a(416): Successfully uploaded logs _x000D_
02 12 08:48:29 467 21640  8054 I Finsky  :  3523  com google android finsky scheduler bm b(8): jobFinished: 16 16161616  TimeElapsed: 329ms_x000D_
02 12 08:48:29 467 21640 21640 I Finsky  :  1  com google android finsky scheduler ag a(142): Job 16 16161616 finished_x000D_
02 12 08:48:29 479 21640 21640 I Finsky  :  1  com google android finsky scheduler ag a(108): RunningQueue size: 0  PendingQue</t>
  </si>
  <si>
    <t>mauron85-cordova-plugin-background-geolocation-552</t>
  </si>
  <si>
    <t>Auto Restarting after called stop() and killed the app</t>
  </si>
  <si>
    <t xml:space="preserve">   Your Environment_x000D_
  Plugin version: 3 0 0 alpha 50_x000D_
  Platform: Android_x000D_
  OS version: 5 1 1_x000D_
  Device manufacturer and model: samsung J3_x000D_
  Running in Simulator: no_x000D_
  Cordova version ( cordova  v ): 8 1 2_x000D_
  Cordova platform version ( cordova platform ls ): android 7 1 4_x000D_
  Plugin configuration options:  _x000D_
		startOnBoot : true _x000D_
		saveBatteryOnBackground : true _x000D_
		stopOnStillActivity : false _x000D_
		stopOnTerminate : false _x000D_
		stationaryRadius: 10 _x000D_
		distanceFilter: 100 _x000D_
		debug: true _x000D_
		notificationsEnabled : false _x000D_
		url: scope url tasks     geofence test json env  app  _x000D_
		syncUrl : scope url tasks     geofence test json env  app  _x000D_
		syncThreshold : 1 _x000D_
		postTemplate:  _x000D_
			   _x000D_
		  _x000D_
		httpHeaders:  _x000D_
			   _x000D_
		 _x000D_
	 _x000D_
  Link to your project:  _x000D_
_x000D_
   Context_x000D_
the geolocation in the background starts again after calling the method stop () and killing the application_x000D_
   Expected Behavior_x000D_
the geolocation in the background should not start again alone_x000D_
   Actual Behavior_x000D_
_x000D_
   Possible Fix_x000D_
_x000D_
   Steps to Reproduce_x000D_
1  start the application_x000D_
2  launch geolocation_x000D_
3  stop geolocation_x000D_
4  killed the application_x000D_
_x000D_
   Context_x000D_
_x000D_
   Debug logs_x000D_
02 12 00:19:00 262 29687 29687   E Zygote: MountEmulatedStorage()_x000D_
02 12 00:19:00 262 29687 29687   E Zygote: v2_x000D_
02 12 00:19:00 262 29687 29687   I libpersona: KNOX SDCARD checking this for 10251_x000D_
02 12 00:19:00 262 29687 29687   I libpersona: KNOX SDCARD not a persona_x000D_
02 12 00:19:00 262 29687 29687   I SELinux: Function: selinux compare spd ram   priority  2    priority version is VE SEPF SM J320FN 5 1 1 0073_x000D_
02 12 00:19:00 272 29687 29687   E SELinux:  DEBUG  get category: variable seinfo: default sensitivity: NULL  cateogry: NULL_x000D_
02 12 00:19:00 272 29687 29687   I art: Late enabling  Xcheck:jni_x000D_
02 12 00:19:00 272 29687 29687   E art: setrlimit(RLIMIT CORE) failed for pid 29687: Operation not permitted_x000D_
02 12 00:19:00 322 29687 29687 fr pimis app users W ResourcesManager: getTopLevelResources:  data app fr pimis app users 1 base apk   1 0 running in fr pimis app users rsrc of package fr pimis app users_x000D_
02 12 00:19:00 322 29687 29687 fr pimis app users I InjectionManager: Inside getClassLibPath   mLibMap 0   1  _x000D_
02 12 00:19:00 332 29687 29687 fr pimis app users D ResourcesManager: For user 0 new overlays fetched Null_x000D_
02 12 00:19:00 332 29687 29687 fr pimis app users I InjectionManager: Inside getClassLibPath caller _x000D_
02 12 00:19:00 422 29687 29687 fr pimis app users W ResourcesManager: getTopLevelResources:  data app fr pimis app users 1 base apk   1 0 running in fr pimis app users rsrc of package fr pimis app users_x000D_
02 12 00:19:00 442 29687 29687 fr pimis app users I CrashlyticsCore: Initializing Crashlytics 2 6 1 23_x000D_
02 12 00:19:00 482 29687 29712 fr pimis app users W ResourcesManager: getTopLevelResources:  data app com google android gms 2 base apk   1 0 running in fr pimis app users rsrc of package com google android gms_x000D_
02 12 00:19:00 492 29687 29704 fr pimis app users I System out: (HTTPLog) Static: isSBSettingEnabled false_x000D_
02 12 00:19:00 492 29687 29704 fr pimis app users I System out: (HTTPLog) Static: isShipBuild true_x000D_
02 12 00:19:00 492 29687 29704 fr pimis app users I System out: (HTTPLog) Thread 3884 731971529: SmartBonding Enabling is false  SHIP BUILD is true  log to file is false  DBG is false_x000D_
02 12 00:19:00 492 29687 29704 fr pimis app users I System out: (HTTPLog) Thread 3884 731971529: SMARTBONDING FEATURE ENABLED is false_x000D_
02 12 00:19:00 502 29687 29704 fr pimis app users I System out: (HTTPLog) Static: isSBSettingEnabled false_x000D_
02 12 00:19:00 502 29687 29704 fr pimis app users I System out: KnoxVpnUidStorageknoxVpnSupported API value returned is false_x000D_
02 12 00:19:00 502 29687 29687 fr pimis app users I CrashlyticsInitProvider: CrashlyticsInitProvider initialization successful_x000D_
02 12 00:19:00 512 29687 29712 fr pimis app users D ResourcesManager: For user 0 new overlays fetched Null_x000D_
02 12 00:19:00 512 29687 29712 fr pimis app users W ResourcesManager: Asset path   system framework com android media remotedisplay jar  does not exist or contains no resources _x000D_
02 12 00:19:00 512 29687 29712 fr pimis app users W ResourcesManager: Asset path   system framework com android location provider jar  does not exist or contains no resources _x000D_
02 12 00:19:00 552 29687 29704 fr pimis app users I System out: KnoxVpnUidStorageknoxVpnSupported API value returned is false_x000D_
02 12 00:19:00 572 29687 29723 fr pimis app users W DynamiteModule: Local module descriptor class for com google firebase auth not found _x000D_
02 12 00:19:00 582 29687 29687 fr pimis app users D FirebaseApp: com google firebase crash FirebaseCrash is not linked  Skipping initialization _x000D_
02 12 00:19:00 582 29687 29687 fr pimis app users I FirebaseInitProvider: FirebaseApp initialization successful_x000D_
02 12 00:19:00 592 29687 29728 fr pimis app users W zze: Application name is not set  Call Builder setApplicationName _x000D_
02 12 00:19:00 622 29687 29727 fr pimis app users W DynamiteModule: Local module descriptor class for com google firebase auth not found _x000D_
02 12 00:19:00 622 29687 29727 fr pimis app users I FirebaseAuth:  FirebaseAuth:  Loading module via FirebaseOptions _x000D_
02 12 00:19:00 622 29687 29727 fr pimis app users I FirebaseAuth:  FirebaseAuth:  Preparing to create service connection to gms implementation_x000D_
02 12 00:19:00 643 29687 29687 fr pimis app users W ResourcesManager: getTopLevelResources:  data app fr pimis app users 1 base apk   1 0 running in fr pimis app users rsrc of package fr pimis app users_x000D_
02 12 00:19:00 653 29687 29734 fr pimis app users I System out: (HTTPLog) Static: isSBSettingEnabled false_x000D_
02 12 00:19:00 653 29687 29734 fr pimis app users I System out: KnoxVpnUidStorageknoxVpnSupported API value returned is false_x000D_
02 12 00:19:00 663 29687 29687 fr pimis app users D InjectionManager: InjectionManager_x000D_
02 12 00:19:00 663 29687 29733 fr pimis app users I System out: (HTTPLog) Static: isSBSettingEnabled false_x000D_
02 12 00:19:00 663 29687 29687 fr pimis app users D InjectionManager: fillFeatureStoreMap fr pimis app users_x000D_
02 12 00:19:00 663 29687 29733 fr pimis app users I System out: KnoxVpnUidStorageknoxVpnSupported API value returned is false_x000D_
02 12 00:19:00 663 29687 29687 fr pimis app users I InjectionManager: Constructor fr pimis app users  Feature store :  _x000D_
02 12 00:19:00 663 29687 29687 fr pimis app users I InjectionManager: featureStore :  _x000D_
02 12 00:19:00 703 29687 29734 fr pimis app users I System out: KnoxVpnUidStorageknoxVpnSupported API value returned is false_x000D_
02 12 00:19:00 713 29687 29687 fr pimis app users W art: Failed to open zip archive   system framework timakeystore jar : I O Error_x000D_
02 12 00:19:00 713 29687 29743 fr pimis app users W ResourcesManager: getTopLevelResources:  data app com google android gms 2 base apk   1 0 running in fr pimis app users rsrc of package com google android gms_x000D_
02 12 00:19:00 713 29687 29733 fr pimis app users I System out: KnoxVpnUidStorageknoxVpnSupported API value returned is false_x000D_
02 12 00:19:00 713 29687 29743 fr pimis app users D ResourcesManager: For user 0 new overlays fetched Null_x000D_
02 12 00:19:00 713 29687 29743 fr pimis app users W ResourcesManager: Asset path   system framework com android media remotedisplay jar  does not exist or contains no resources _x000D_
02 12 00:19:00 723 29687 29743 fr pimis app users W ResourcesManager: Asset path   system framework com android location provider jar  does not exist or contains no resources _x000D_
02 12 00:19:00 763 29687 29687 fr pimis app users I com marianhello bgloc service LocationServiceImpl: Creating LocationServiceImpl_x000D_
02 12 00:19:00 773 29687 29687 fr pimis app users I com marianhello bgloc PostLocationTask: Creating PostLocationTask_x000D_
02 12 00:19:00 773 29687 29744 fr pimis app users I com marianhello bgloc service LocationServiceImpl: Network condition changed has connectivity: true_x000D_
02 12 00:19:00 783 29687 29687 fr pimis app users W com marianhello bgloc service LocationServiceImpl: Attempt to start unconfigured service  Will use stored or default _x000D_
02 12 00:19:00 793 29687 29687 fr pimis app users D com marianhello bgloc service LocationServiceImpl: Will start service with: Config distanceFilter 100 stationaryRadius 10 0 desiredAccuracy 100 interval 600000 fastestInterval 120000 activitiesInterval 10000 isDebugging true stopOnTerminate false stopOnStillActivity false startOnBoot true startForeground true notificationsEnabled false locationProvider 0 nTitle Background tracking nText ENABLED nIconLarge  nIconSmall  nIconColor  url http:  pimis tld geofence test json env  app syncUrl http:  pimis tld geofence test json env  app syncThreshold 1 httpHeaders  Content Type application json  X AccessToken 971fe959f15a292a44c85d8bf6a0e12f  maxLocations 10000 postTemplate   latitude :  latitude   pushToken : cqwylsbmis0:APA91bHsKYZ8 DmaEhenGJP6mDVQ6u3FFoszAgutfmzqOWylhdQhZ3C9xVNHGG8Ld ca1 AN7Gxv6E1yLNzX2hJaK6X Md0GvqfNae94g MDJPhK sIjbvt8TJlD3pNuxs0Xlo1WupfT   longitude :  longitude   userUUID : 11E6C025D8D8B6E988A5FA163E724E8F   _x000D_
02 12 00:19:00 803 29687 29687 fr pimis app users I com tenforwardconsulting bgloc DistanceFilterLocationProvider: Creating DistanceFilterLocationProvider_x000D_
02 12 00:19:00 833 29687 29687 fr pimis app users I com tenforwardconsulting bgloc DistanceFilterLocationProvider: Start recording_x000D_
02 12 00:19:00 833 29687 29687 fr pimis app users I com tenforwardconsulting bgloc DistanceFilterLocationProvider: Setting pace: false_x000D_
02 12 00:19:00 893 29687 29687 fr pimis app users I com tenforwardconsulting bgloc DistanceFilterLocationProvider: Setting pace: true_x000D_
02 12 00:19:01 013 29687 29736 fr pimis app users I System out: (HTTPLog) Static: isSBSettingEnabled false_x000D_
02 12 00:19:01 013 29687 29736 fr pimis app users I System out: KnoxVpnUidStorageknoxVpnSupported API value returned is false_x000D_
02 12 00:19:01 013 29687 29736 fr pimis app users I System out: KnoxVpnUidStorageknoxVpnSupported API value returned is false_x000D_
02 12 00:19:01 063 29687 29712 fr pimis app users W ResourcesManager: getTopLevelResources:  data app com google android gms 2 base apk   1 0 running in fr pimis app users rsrc of package com google android gms_x000D_
02 12 00:19:01 073 29687 29712 fr pimis app users D ResourcesManager: For user 0 new overlays fetched Null_x000D_
02 12 00:19:01 073 29687 29712 fr pimis app users W ResourcesManager: Asset path   system framework com android media remotedisplay jar  does not exist or contains no resources _x000D_
02 12 00:19:01 083 29687 29712 fr pimis app users W ResourcesManager: Asset path   system framework com android location provider jar  does not exist or contains no resources _x000D_
02 12 00:19:01 223 29687 29715 fr pimis app users I FA: App measurement is starting up  version: 14711_x000D_
02 12 00:19:01 223 29687 29715 fr pimis app users I FA: To enable debug logging run: adb shell setprop log tag FA VERBOSE_x000D_
02 12 00:19:01 223 29687 29715 fr pimis app users I FA: To enable faster debug mode event logging run:_x000D_
      adb shell setprop debug firebase analytics app fr pimis app users_x000D_
02 12 00:19:01 613 29687 29734 fr pimis app users I System out: (HTTPLog) Static: isSBSettingEnabled false_x000D_
02 12 00:19:01 633 29687 29687 fr pimis app users D com tenforwardconsulting bgloc DistanceFilterLocationProvider: Location change: Location network 42 531157 8 788716 acc 37 et  1h28m8s281ms  Bundle mParcelledData dataSize 328    isMoving true_x000D_
02 12 00:19:01 653 29687 29687 fr pimis app users D com tenforwardconsulting bgloc DistanceFilterLocationProvider: Location change: Location network 42 531157 8 788716 acc 37 et  1h28m8s281ms  Bundle mParcelledData dataSize 328    isMoving true_x000D_
02 12 00:19:01 684 29687 29750 fr pimis app users D OpenGLRenderer: Use EGL SWAP BEHAVIOR PRESERVED: false_x000D_
02 12 00:19:01 724 29687 29750 fr pimis app users I OpenGLRenderer: Initialized EGL  version 1 4_x000D_
02 12 00:19:01 724 29687 29750 fr pimis app users D OpenGLRenderer: Get maximum texture size  GL MAX TEXTURE SIZE is 4096_x000D_
02 12 00:19:01 724 29687 29750 fr pimis app users D OpenGLRenderer: Enabling debug mode 0_x000D_
02 12 00:19:01 764 29687 29736 fr pimis app users E GraphResponse:  HttpStatus: 400  errorCode: 100  subErrorCode: 33  errorType: GraphMethodException  errorMessage: Unsupported get request  Object with ID  225015414575726  does not exist  cannot be loaded due to missing permissions  or does not support this operation  Please read the Graph API documentation at https:  developers facebook com docs graph api _x000D_
02 12 00:19:01 804 29687 29704 fr pimis app users E Fabric: Failed to retrieve settings from https:  settings crashlytics com spi v2 platforms android apps fr pimis app users settings_x000D_
02 12 00:19:01 804 29687 29704 fr pimis app users E Answers: Failed to retrieve settings_x000D_
02 12 00:19:01 814 29687 29706 fr pimis app users W CrashlyticsCore: Received null settings  skipping report submission _x000D_
02 12 00:19:05 167 29687 29687 fr pimis app users D InputMethodManager: windowDismissed mLockisused   false_x000D_
02 12 00:19:08 670 29687 29687 fr pimis app users D InputMethodManager: windowDismissed mLockisused   false_x000D_
02 12 00:19:16 018 29687 29743 fr pimis app users W System err: remove failed: ENOENT (No such file or directory) :  data data fr pimis app users files AppEventsLogger persistedevents_x000D_
02 12 00:19:16 028 29687 29743 fr pimis app users I System out: (HTTPLog) Static: isSBSettingEnabled false_x000D_
02 12 00:19:21 713 29687 29687 fr pimis app users D com tenforwardconsulting bgloc DistanceFilterLocationProvider: Location change: Location network 42 531157 8 788716 acc 32 et  1h28m28s402ms  Bundle mParcelledData dataSize 328    isMoving true_x000D_
02 12 00:19:21 733 29687 29687 fr pimis app users I com tenforwardconsulting bgloc DistanceFilterLocationProvider: Setting pace: true_x000D_
02 12 00:19:21 773 29687 29687 fr pimis app users D com marianhello bgloc service LocationServiceImpl: New location BGLocation network 42 531157 8 788716 id null acc 32 t 1549927161629 et  1h28m28s402ms  Bundle mParcelledData dataSize 328   locprov 0 _x000D_
02 12 00:19:21 803 29687 29745 fr pimis app users D com marianhello bgloc PostLocationTask: Executing PostLocationTask postLocation_x000D_
02 12 00:19:21 803 29687 29745 fr pimis app users D com marianhello bgloc PostLocationTask: Posting json to url: http:  pimis tld geofence test json env  app headers:  Content Type application json  X AccessToken 971fe959f15a292a44c85d8bf6a0e12f _x000D_
02 12 00:19:21 803 29687 29745 fr pimis app users I System out: (HTTPLog) Static: isSBSettingEnabled false_x000D_
02 12 00:19:21 813 29687 29745 fr pimis app users I System out: KnoxVpnUidStorageknoxVpnSupported API value returned is false_x000D_
02 12 00:19:21 823 29687 29745 fr pimis app users I System out: KnoxVpnUidStorageknoxVpnSupported API value returned is false_x000D_
02 12 00:19:25 236 29687 29687 fr pimis app users D InputMethodManager: windowDismissed mLockisused   false_x000D_
_x000D_
</t>
  </si>
  <si>
    <t>alexstojda-soen390-36</t>
  </si>
  <si>
    <t>wiki walky feature doesn't prompt user for camera permission</t>
  </si>
  <si>
    <t xml:space="preserve">Description: Unless the user manually goes into their phone setting and enables camera permission  the app will crash when using wiki walky_x000D_
_x000D_
To Reproduce:_x000D_
_x000D_
Steps to reproduce the behavior:_x000D_
1  fresh download app_x000D_
2  enable wiki walky in settings_x000D_
3  go to an article_x000D_
4  app will crash_x000D_
_x000D_
Expected behavior:_x000D_
The app should prompt user to enable the camera hardware_x000D_
_x000D_
Environment:_x000D_
Reproduceable on all android devices on all recent versions of android_x000D_
</t>
  </si>
  <si>
    <t>fossasia-phimpme-android-2523</t>
  </si>
  <si>
    <t>App crash in orientation change while apply the effect</t>
  </si>
  <si>
    <t xml:space="preserve">  Actual Behaviour  _x000D_
_x000D_
App is crashing when select the effect and change orientation then apply the effect _x000D_
_x000D_
  Expected Behaviour  _x000D_
_x000D_
App should not crash _x000D_
_x000D_
  Steps to reproduce it  _x000D_
_x000D_
Step 1  Click on the edit image button and go to enhancement select any effect _x000D_
Step 2  Change the orientation and then select the apply button (right tick icon) _x000D_
_x000D_
  Would you like to work on the issue   _x000D_
_x000D_
Yes</t>
  </si>
  <si>
    <t>square-retrofit-3023</t>
  </si>
  <si>
    <t>Attempt to invoke virtual method 'retrofit2.Converter retrofit2.Converter$Factory.stringConverter(java.lang.reflect.Type, java.lang.annotation.Annotation[], retrofit2.Retrofit)' on a null object reference</t>
  </si>
  <si>
    <t xml:space="preserve">Dependencies:  _x000D_
    implementation  com squareup retrofit2:retrofit:2 5 0 _x000D_
    implementation  com squareup retrofit2:converter gson:2 5 0 _x000D_
    implementation  com squareup retrofit2:converter scalars:2 5 0 _x000D_
    implementation  android arch persistence room:rxjava2:1 1 1 _x000D_
 _x000D_
Retrofit Builder:_x000D_
mRetrofitBuilder baseUrl(url)_x000D_
                 addConverterFactory(GsonConverterFactory create())_x000D_
                 addCallAdapterFactory(RxJava2CallAdapterFactory create())_x000D_
                 addConverterFactory(ScalarsConverterFactory create())_x000D_
                 client(mHttpClientBuilder build())_x000D_
                 build() create(WindApiInterface class) _x000D_
_x000D_
Log: _x000D_
_x000D_
retrofit2 Retrofit stringConverter (Retrofit java:362)_x000D_
retrofit2 RequestFactory Builder parseParameterAnnotation (RequestFactory java:460)_x000D_
retrofit2 RequestFactory Builder parseParameter (RequestFactory java:295)_x000D_
retrofit2 RequestFactory Builder build (RequestFactory java:182)_x000D_
retrofit2 RequestFactory parseAnnotations (RequestFactory java:65)_x000D_
retrofit2 ServiceMethod parseAnnotations (ServiceMethod java:25)_x000D_
retrofit2 Retrofit loadServiceMethod (Retrofit java:168)_x000D_
retrofit2 Retrofit 1 invoke (Retrofit java:147)_x000D_
java lang reflect Proxy invoke (Proxy java:913)_x000D_
 Proxy4 getSession (Unknown Source)_x000D_
com windscribe vpn apimodel ApiCallManager getSessionGeneric (ApiCallManager java:1211)_x000D_
com windscribe vpn windscribe WindscribePresenterImpl onStart (WindscribePresenterImpl java:488)_x000D_
com windscribe vpn windscribe WindscribeActivity onStart (WindscribeActivity java:681)_x000D_
android app Instrumentation callActivityOnStart (Instrumentation java:1339)_x000D_
android app Activity performStart (Activity java:7403)_x000D_
android app Activity performRestart (Activity java:7477)_x000D_
android app ActivityThread handleWindowVisibility (ActivityThread java:4918)_x000D_
android app ActivityThread  wrap30 (Unknown Source)_x000D_
android app ActivityThread H handleMessage (ActivityThread java:2033)_x000D_
android os Handler dispatchMessage (Handler java:108)_x000D_
android os Looper loop (Looper java:166)_x000D_
android app ActivityThread main (ActivityThread java:7529)_x000D_
java lang reflect Method invoke (Method java)_x000D_
com android internal os Zygote MethodAndArgsCaller run (Zygote java:245)_x000D_
com android internal os ZygoteInit main (ZygoteInit java:921)_x000D_
_x000D_
Issue:_x000D_
_x000D_
Attempt to invoke virtual method  retrofit2 Converter retrofit2 Converter Factory stringConverter(java lang reflect Type  java lang annotation Annotation    retrofit2 Retrofit)  on a null object reference_x000D_
_x000D_
App crashes when parsing results  All results are Json responses  It does not happen all times  During testing error was not reproducible   Thousands of crashes are gets reported every day    Please help _x000D_
</t>
  </si>
  <si>
    <t>AmazMod-AmazMod-392</t>
  </si>
  <si>
    <t>Notification Drawer crashes when opening an empty (no title) notification</t>
  </si>
  <si>
    <t xml:space="preserve">Some apps generates notifications with no content (no title and no description)  these notifications appear on watch (empty  as expected) but when notification drawer is openned is crashes amazmod (didn t logcat yet  but probably some sort of NullPointerException) _x000D_
_x000D_
My suggestion is to fix this in service but  also  we could do not forward these notifications to watch _x000D_
What do you think  lfom  GreatApo  </t>
  </si>
  <si>
    <t>mauron85-cordova-plugin-background-geolocation-551</t>
  </si>
  <si>
    <t>If device is out of memory, plugin start service automatic</t>
  </si>
  <si>
    <t xml:space="preserve">     PLEASE DON T DELETE THIS TEMPLATE  OR YOUR ISSUE WILL BE CLOSED IGNORED        _x000D_
_x000D_
      Provide a general summary of the issue in the Title above    _x000D_
_x000D_
   Your Environment_x000D_
      Include as many relevant details about the environment you experienced the bug in    _x000D_
      Please specify exact version numbers and don t use terms like  latest   as such reference to numeric version changes over the time    _x000D_
  Plugin version: Alpha 50_x000D_
  Platform: Android_x000D_
  OS version: 8 0 0_x000D_
  Device manufacturer and model: Any_x000D_
      If Simulator was used instead of real device  type Yes in following section    _x000D_
  Running in Simulator: Yes  same issue_x000D_
  Cordova version ( cordova  v ):  8 1 2_x000D_
  Cordova platform version ( cordova platform ls ): Android and iOS_x000D_
  Plugin configuration options: doesn t matter  happens all time_x000D_
  Link to your project:_x000D_
_x000D_
   Context_x000D_
      Provide a more detailed introduction to the issue itself  and why you consider it to be a bug    _x000D_
So   if your App is startet  and these plugin is loaded (and configurated)   just minimize the app  and run the device out of memory (with a lot of apps  or with the Fill RAM memory app) within 60 secounds after minimize  and the plugin starts a LocationService automatic   u cant stop it _x000D_
_x000D_
If u wait longer thant 60 seconds the background service will stop by os or plugin and don t start automatic _x000D_
_x000D_
I think the problem is  that if u call stop()   the attempt the serice to kill  but dont do it immediately  It will be killed after 60 seconds  _x000D_
_x000D_
The central issue is  that u cant do anything  The device track the location all time  untill u kill the app in taskmanager _x000D_
_x000D_
   Expected Behavior_x000D_
      Tell us what should happen    _x000D_
LocationService should stop immediately after calling stop() _x000D_
_x000D_
   Actual Behavior_x000D_
      Tell us what happens instead    _x000D_
The LocationService runs 60 secs longer  If the app got killed caus device is out of memory  the LocationService start and dont stop to track _x000D_
_x000D_
   Possible Fix_x000D_
      Not obligatory  but suggest a fix or reason for the bug    _x000D_
Kill Service immediately_x000D_
_x000D_
   Steps to Reproduce_x000D_
      Provide a link to a live example  or an unambiguous set of steps to    _x000D_
      reproduce this bug include code to reproduce  if relevant    _x000D_
1  Start App and configurate Plugin_x000D_
2  Minimize the App_x000D_
3  Run device out of memory in 60 seconds_x000D_
4  It starts tracking automatic_x000D_
_x000D_
   Context_x000D_
      How has this bug affected you  What were you trying to accomplish     _x000D_
I cant use these plugin  caus no one wants a app whos tracking u all time _x000D_
I tried tausends of configurations  tried to do something on  resume ore pause  events on Corodva  but the dont trigger on out of memory _x000D_
I tried to call stop() at every event from the Plugin  but it dont stops after automatic restart  _x000D_
_x000D_
   Debug logs_x000D_
     Relevant parts from printAndroidLogs or printIosLogs _x000D_
More info in README md section Debugging _x000D_
If you re reporting app crash also provide output of  adb logcat     _x000D_
This is what happend after killed within 60 secs:_x000D_
_x000D_
I com marianhello bgloc service LocationServiceImpl: Creating LocationServiceImpl_x000D_
I com marianhello bgloc PostLocationTask: Creating PostLocationTask_x000D_
 W com marianhello bgloc service LocationServiceImpl: Attempt to start unconfigured service  Will use stored or default _x000D_
I com marianhello bgloc service LocationServiceImpl: Network condition changed has connectivity: true_x000D_
D com marianhello bgloc service LocationServiceImpl: Will start service with: Config distanceFilter 3 stationaryRadius 3 0 desiredAccuracy 0 interval 10000 fastestInterval 120000 activitiesInterval 10000 isDebugging false stopOnTerminate true stopOnStillActivity true startOnBoot false startForeground true notificationsEnabled false locationProvider 0 nTitle Background tracking nText ENABLED nIconLarge  nIconSmall  nIconColor  url https:   HIDE  syncUrl  syncThreshold 100 httpHeaders    maxLocations 10000 postTemplate   acc :  accuracy   alt :  altitude   lon :  longitude   lat :  latitude   speed :  speed   _x000D_
I com tenforwardconsulting bgloc DistanceFilterLocationProvider: Creating DistanceFilterLocationProvider_x000D_
I com tenforwardconsulting bgloc DistanceFilterLocationProvider: Start recording_x000D_
_x000D_
Than i goes the normal tracking way  _x000D_
_x000D_
_x000D_
Hopy anyone has an idea  But i love these plugin </t>
  </si>
  <si>
    <t>iBotPeaches-Apktool-2008</t>
  </si>
  <si>
    <t>Single bag item treated as style null array</t>
  </si>
  <si>
    <t xml:space="preserve">    Information_x000D_
1    Apktool Version ( apktool  version )     2 3 4_x000D_
2    Operating System (Mac  Linux  Windows)     Windows_x000D_
3    APK From  (Playstore  ROM  Other)     Playstore  Other  All_x000D_
_x000D_
    Stacktrace Logcat_x000D_
   Hi _x000D_
Nowadays  I do the same with every application  I don t know the cause  Unfortunately  I can t do translator work  I also tried the  apktool empty framework dir   force  command  I didn t get a solution _x000D_
Decompiling:_x000D_
   _x000D_
                                                  _x000D_
Batch ApkTool : 3 7 2_x000D_
APKTOOL : apktool 2 3 4 jar_x000D_
Build in EXPERT mode : YES_x000D_
Sign output APKs : YES_x000D_
    Decompiling PaceCalendarWidget 1 9 3 apk_x000D_
I: Using Apktool 2 3 4 on PaceCalendarWidget 1 9 3 apk_x000D_
I: Loading resource table   _x000D_
I: Decoding AndroidManifest xml with resources   _x000D_
I: Loading resource table from file: bin framework 1 apk_x000D_
I: Regular manifest package   _x000D_
I: Decoding file resources   _x000D_
I: Decoding values     XMLs   _x000D_
I: Baksmaling classes dex   _x000D_
I: Baksmaling classes2 dex   _x000D_
I: Copying assets and libs   _x000D_
I: Copying unknown files   _x000D_
I: Copying original files   _x000D_
_x000D_
DONE_x000D_
Elapsed time: 1 min  10 sec  _x000D_
   _x000D_
_x000D_
   Compiling:_x000D_
   _x000D_
                                                  _x000D_
Batch ApkTool : 3 7 2_x000D_
APKTOOL : apktool 2 3 4 jar_x000D_
Build in EXPERT mode : YES_x000D_
Sign output APKs : YES_x000D_
    Recompiling PaceCalendarWidget 1 9 3 I: Using Apktool 2 3 4 I: Checking whether sources has changed    I: Smaling smali folder into classes dex    I: Checking whether sources has changed    I: Smaling smali classes2 folder into classes2 dex    I: Checking whether resources has changed    I: Building resources    W: fakeLogOpen( dev log system) failed W: fakeLogOpen( dev log system) failed W: fakeLogOpen( dev log crash) failed W: fakeLogOpen( dev log crash) failed W: fakeLogOpen( dev log stats) failed W: fakeLogOpen( dev log stats) failed W: fakeLogOpen( dev log crash) failed W: fakeLogOpen( dev log stats) failed W: fakeLogOpen( dev log crash) failed W: fakeLogOpen( dev log stats) failed W: C: BatchApkTool INPUT APK PaceCalendarWidget 1 9 3 res values public xml:15: error: Public symbol array spring depend declared here is not defined  brut androlib AndrolibException: brut common BrutException: could not exec (exit code   1):  C: Users gidan AppData Local Temp BAT temp brut util Jar 970597896526104612 tmp  p    forced package id  127    min sdk version  21    target sdk version  27    version code  20190207    version name  1 9 3    no version vectors   F  C: Users gidan AppData Local Temp BAT temp APKTOOL4172814149355971441 tmp   0  arsc   0  META INF android arch core runtime version   0  META INF android arch lifecycle livedata core version   0  META INF android arch lifecycle runtime version   0  META INF android arch lifecycle viewmodel version   0  META INF com android support animated vector drawable version   0  META INF com android support appcompat v7 version   0  META INF com android support support compat version   0  META INF com android support support core ui version   0  META INF com android support support core utils version   0  META INF com android support support fragment version   0  META INF com android support support vector drawable version   0  META INF services org threeten bp zone ZoneRulesProvider   0  res drawable hdpi v4 abc ab share pack mtrl alpha 9 png   0  png   0  res drawable hdpi v4 abc btn switch to on mtrl 00001 9 png   0  res drawable hdpi v4 abc btn switch to on mtrl 00012 9 png   0  res drawable hdpi v4 abc cab background top mtrl alpha 9 png   0  res drawable hdpi v4 abc list divider mtrl alpha 9 png   0  res drawable hdpi v4 abc list focused holo 9 png   0  res drawable hdpi v4 abc list longpressed holo 9 png   0  res drawable hdpi v4 abc list pressed holo dark 9 png   0  res drawable hdpi v4 abc list pressed holo light 9 png   0  res drawable hdpi v4 abc list selector disabled holo dark 9 png   0  res drawable hdpi v4 abc list selector disabled holo light 9 png   0  res drawable hdpi v4 abc menu hardkey panel mtrl mult 9 png   0  res drawable hdpi v4 abc popup background mtrl mult 9 png   0  res drawable hdpi v4 abc scrubber primary mtrl alpha 9 png   0  res drawable hdpi v4 abc scrubber track mtrl alpha 9 png   0  res drawable hdpi v4 abc spinner mtrl am alpha 9 png   0  res drawable hdpi v4 abc switch track mtrl alpha 9 png   0  res drawable hdpi v4 abc tab indicator mtrl alpha 9 png   0  res drawable hdpi v4 abc textfield activated mtrl alpha 9 png   0  res drawable hdpi v4 abc textfield default mtrl alpha 9 png   0  res drawable hdpi v4 abc textfield search activated mtrl alpha 9 png   0  res drawable hdpi v4 abc textfield search default mtrl alpha 9 png   0  res drawable hdpi v4 notification bg low normal 9 png   0  res drawable hdpi v4 notification bg low pressed 9 png   0  res drawable hdpi v4 notification bg normal 9 png   0  res drawable hdpi v4 notification bg normal pressed 9 png   0  res drawable ldrtl hdpi v17 abc spinner mtrl am alpha 9 png   0  res drawable ldrtl mdpi v17 abc spinner mtrl am alpha 9 png   0  res drawable ldrtl xhdpi v17 abc spinner mtrl am alpha 9 png   0  res drawable ldrtl xxhdpi v17 abc spinner mtrl am alpha 9 png   0  res drawable ldrtl xxxhdpi v17 abc spinner mtrl am alpha 9 png   0  res drawable mdpi v4 abc ab share pack mtrl alpha 9 png   0  res drawable mdpi v4 abc btn switch to on mtrl 00001 9 png   0  res drawable mdpi v4 abc btn switch to on mtrl 00012 9 png   0  res drawable mdpi v4 abc cab background top mtrl alpha 9 png   0  res drawable mdpi v4 abc list divider mtrl alpha 9 png   0  res drawable mdpi v4 abc list focused holo 9 png   0  res drawable mdpi v4 abc list longpressed holo 9 png   0  res drawable mdpi v4 abc list pressed holo dark 9 png   0  res drawable mdpi v4 abc list pressed holo light 9 png   0  res drawable mdpi v4 abc list selector disabled holo dark 9 png   0  res drawable mdpi v4 abc list selector disabled holo light 9 png   0  res drawable mdpi v4 abc menu hardkey panel mtrl mult 9 png   0  res drawable mdpi v4 abc popup background mtrl mult 9 png   0  res drawable mdpi v4 abc scrubber primary mtrl alpha 9 png   0  res drawable mdpi v4 abc scrubber track mtrl alpha 9 png   0  res drawable mdpi v4 abc spinner mtrl am alpha 9 png   0  res drawable mdpi v4 abc switch track mtrl alpha 9 png   0  res drawable mdpi v4 abc tab indicator mtrl alpha 9 png   0  res drawable mdpi v4 abc textfield activated mtrl alpha 9 png   0  res drawable mdpi v4 abc textfield default mtrl alpha 9 png   0  res drawable mdpi v4 abc textfield search activated mtrl alpha 9 png   0  res drawable mdpi v4 abc textfield search default mtrl alpha 9 png   0  res drawable mdpi v4 notification bg low normal 9 png   0  res drawable mdpi v4 notification bg low pressed 9 png   0  res drawable mdpi v4 notification bg normal 9 png   0  res drawable mdpi v4 notification bg normal pressed 9 png   0  res drawable xhdpi v4 abc ab share pack mtrl alpha 9 png   0  res drawable xhdpi v4 abc btn switch to on mtrl 00001 9 png   0  res drawable xhdpi v4 abc btn switch to on mtrl 00012 9 png   0  res drawable xhdpi v4 abc cab background top mtrl alpha 9 png   0  res drawable xhdpi v4 abc list divider mtrl alpha 9 png   0  res drawable xhdpi v4 abc list focused holo 9 png   0  res drawable xhdpi v4 abc list longpressed holo 9 png   0  res drawable xhdpi v4 abc list pressed holo dark 9 png   0  res drawable xhdpi v4 abc list pressed holo light 9 png   0  res drawable xhdpi v4 abc list selector disabled holo dark 9 png   0  res drawable xhdpi v4 abc list selector disabled holo light 9 png   0  res drawable xhdpi v4 abc menu hardkey panel mtrl mult 9 png   0  res drawable xhdpi v4 abc popup background mtrl mult 9 png   0  res drawable xhdpi v4 abc scrubber primary mtrl alpha 9 png   0  res drawable xhdpi v4 abc scrubber track mtrl alpha 9 png   0  res drawable xhdpi v4 abc spinner mtrl am alpha 9 png   0  res drawable xhdpi v4 abc switch track mtrl alpha 9 png   0  res drawable xhdpi v4 abc tab indicator mtrl alpha 9 png   0  res drawable xhdpi v4 abc textfield activated mtrl alpha 9 png   0  res drawable xhdpi v4 abc textfield default mtrl alpha 9 png   0  res drawable xhdpi v4 abc textfield search activated mtrl alpha 9 png   0  res drawable xhdpi v4 abc textfield search default mtrl alpha 9 png   0  res drawable xhdpi v4 notification bg low normal 9 png   0  res drawable xhdpi v4 notification bg low pressed 9 png   0  res drawable xhdpi v4 notification bg normal 9 png   0  res drawable xhdpi v4 notification bg normal pressed 9 png   0  res drawable xxhdpi v4 abc ab share pack mtrl alpha 9 png   0  res drawable xxhdpi v4 abc btn switch to on mtrl 00001 9 png   0  res drawable xxhdpi v4 abc btn switch to on mtrl 00012 9 png   0  res drawable xxhdpi v4 abc cab background top mtrl alpha 9 png   0  res drawable xxhdpi v4 abc list divider mtrl alpha 9 png   0  res drawable xxhdpi v4 abc list focused holo 9 png   0  res drawable xxhdpi v4 abc list longpressed holo 9 png   0  res drawable xxhdpi v4 abc list pressed holo dark 9 png   0  res drawable xxhdpi v4 abc list pressed holo light 9 png   0  res drawable xxhdpi v4 abc list selector disabled holo dark 9 png   0  res drawable xxhdpi v4 abc list selector disabled holo light 9 png   0  res drawable xxhdpi v4 abc menu hardkey panel mtrl mult 9 png   0  res drawable xxhdpi v4 abc popup background mtrl mult 9 png   0  res drawable xxhdpi v4 abc scrubber primary mtrl alpha 9 png   0  res drawable xxhdpi v4 abc scrubber track mtrl alpha 9 png   0  res drawable xxhdpi v4 abc spinner mtrl am alpha 9 png   0  res drawable xxhdpi v4 abc switch track mtrl alpha 9 png   0  res drawable xxhdpi v4 abc tab indicator mtrl alpha 9 png   0  res drawable xxhdpi v4 abc textfield activated mtrl alpha 9 png   0  res drawable xxhdpi v4 abc textfield default mtrl alpha 9 png   0  res drawable xxhdpi v4 abc textfield search activated mtrl alpha 9 png   0  res drawable xxhdpi v4 abc textfield search default mtrl alpha 9 png   0  res drawable xxxhdpi v4 abc btn switch to on mtrl 00001 9 png   0  res drawable xxxhdpi v4 abc btn switch to on mtrl 00012 9 png   0  res drawable xxxhdpi v4 abc spinner mtrl am alpha 9 png   0  res drawable xxxhdpi v4 abc switch track mtrl alpha 9 png   0  res drawable xxxhdpi v4 abc tab indicator mtrl alpha 9 png   0  arsc   I  bin framework 1 apk   S  C: BatchApkTool INPUT APK PaceCalendarWidget 1 9 3 res   M  C: BatchApkTool INPUT APK PaceCalendarWidget 1 9 3 AndroidManifest xml           Error recompiling  PaceCalendarWidget 1 9 3 _x000D_
_x000D_
DONE with 1 ERRORS _x000D_
Elapsed time: 29 sec _x000D_
   _x000D_
What is the solution _x000D_
_x000D_
Sincerelly _x000D_
gidano_x000D_
 PaceCalendarWidget 1 9 3 apk zip (https:  github com iBotPeaches Apktool files 2848711 PaceCalendarWidget 1 9 3 apk zip)_x000D_
 Magisk Manager v7 0 0 apk zip (https:  github com iBotPeaches Apktool files 2848712 Magisk Manager v7 0 0 apk zip)_x000D_
 1 1 1 1 Faster Safer Internet v1 3 7 apk zip (https:  github com iBotPeaches Apktool files 2848713 1 1 1 1 Faster Safer Internet v1 3 7 apk zip)_x000D_
_x000D_
_x000D_
_x000D_
    Steps to Reproduce_x000D_
_x000D_
_x000D_
1   apktool  _x000D_
_x000D_
    Frameworks_x000D_
If this APK is from an OEM ROM (Samsung  HTC  LG)  Please attach framework files_x000D_
(  apks  that live in   system framework  or   system priv app )_x000D_
_x000D_
    APK_x000D_
If this APK can be freely shared  please upload attach a link to it _x000D_
_x000D_
    Questions to ask before submission_x000D_
1  Have you tried  apktool d    apktool b  without changing anything    yes_x000D_
2  If you are trying to install a modified apk  did you resign it    yes_x000D_
3  Are you using the latest apktool version    yes</t>
  </si>
  <si>
    <t>SecUSo-privacy-friendly-wifi-manager-18</t>
  </si>
  <si>
    <t>Crashes immediately on pressing scedule button</t>
  </si>
  <si>
    <t>Every time I press scedule immediately WiFi manager crashes  It happens every time _x000D_
_x000D_
I really like this app and used to use smarter wifi thats no longer open source  I really hope there can be some development of this app  Thanks</t>
  </si>
  <si>
    <t>awslabs-aws-mobile-appsync-sdk-android-114</t>
  </si>
  <si>
    <t>Subscription crashing application due to "java.util.NoSuchElementException" exception</t>
  </si>
  <si>
    <t xml:space="preserve">  Describe the bug  _x000D_
Subscription crashing application due to  AppSyncSubscriptionCall Callback onCompleted()  on a null object reference  after some time of using subscription on cancel _x000D_
_x000D_
Error_x000D_
   _x000D_
_x000D_
02 09 12:22:37 718 5278 5964 com rana sahaj myyu E AndroidRuntime: FATAL EXCEPTION: Thread 90_x000D_
    Process: com rana sahaj myyu  PID: 5278_x000D_
    java lang NullPointerException: Attempt to invoke interface method  void com amazonaws mobileconnectors appsync AppSyncSubscriptionCall Callback onCompleted()  on a null object reference_x000D_
        at com apollographql apollo internal RealAppSyncSubscriptionCall 2 run(RealAppSyncSubscriptionCall java:167)_x000D_
        at java lang Thread run(Thread java:760)_x000D_
02 09 12:22:37 719 5278 5965 com rana sahaj myyu E AndroidRuntime: FATAL EXCEPTION: Thread 91_x000D_
    Process: com rana sahaj myyu  PID: 5278_x000D_
    java lang NullPointerException: Attempt to invoke interface method  void com amazonaws mobileconnectors appsync AppSyncSubscriptionCall Callback onCompleted()  on a null object reference_x000D_
        at com apollographql apollo internal RealAppSyncSubscriptionCall 2 run(RealAppSyncSubscriptionCall java:167)_x000D_
        at java lang Thread run(Thread java:760)_x000D_
02 09 12:22:37 719 5278 5966 com rana sahaj myyu E AndroidRuntime: FATAL EXCEPTION: Thread 92_x000D_
    Process: com rana sahaj myyu  PID: 5278_x000D_
    java lang NullPointerException: Attempt to invoke interface method  void com amazonaws mobileconnectors appsync AppSyncSubscriptionCall Callback onCompleted()  on a null object reference_x000D_
        at com apollographql apollo internal RealAppSyncSubscriptionCall 2 run(RealAppSyncSubscriptionCall java:167)_x000D_
        at java lang Thread run(Thread java:760)_x000D_
02 09 12:22:37 719 5278 5967 com rana sahaj myyu E AndroidRuntime: FATAL EXCEPTION: Thread 93_x000D_
    Process: com rana sahaj myyu  PID: 5278_x000D_
    java lang NullPointerException: Attempt to invoke interface method  void com amazonaws mobileconnectors appsync AppSyncSubscriptionCall Callback onCompleted()  on a null object reference_x000D_
        at com apollographql apollo internal RealAppSyncSubscriptionCall 2 run(RealAppSyncSubscriptionCall java:167)_x000D_
        at java lang Thread run(Thread java:760)_x000D_
_x000D_
   _x000D_
  Environment(please complete the following information):  _x000D_
   AppSync SDK Version: 2 7  _x000D_
_x000D_
  Device Information (please complete the following information):  _x000D_
  Checked on Lolipop and Nougat_x000D_
_x000D_
_x000D_
I think this is happening due to the below closing of subscription _x000D_
   _x000D_
if (subscriptionWatcher  null)_x000D_
            subscriptionWatcher cancel() _x000D_
   _x000D_
It was working on 2 6   version without any problem  I just updated it to 2 7  version and app started crashing with the above error </t>
  </si>
  <si>
    <t>Intelehealth-Android-Mobile-Client-635</t>
  </si>
  <si>
    <t>VitalsActivity.java line 441</t>
  </si>
  <si>
    <t>https:  console firebase google com u 1 project mobile crashlytics crashlytics app android:io intelehealth client issues 5c5d2ae0f8b88c296313b65d time last thirty days sessionId 5C5D2AC4004300013963950516BF0A4E DNE 0 v2</t>
  </si>
  <si>
    <t>Intelehealth-Android-Mobile-Client-634</t>
  </si>
  <si>
    <t>ClientService.java line 915</t>
  </si>
  <si>
    <t>https:  console firebase google com u 1 project mobile crashlytics crashlytics app android:io intelehealth client issues 5c5d2468f8b88c29631328db time last thirty days sessionId 5C5D244700C100011366950516BF0A4E DNE 0 v2</t>
  </si>
  <si>
    <t>Intelehealth-Android-Mobile-Client-633</t>
  </si>
  <si>
    <t>VitalsActivity.java line 136</t>
  </si>
  <si>
    <t>https:  console firebase google com u 2 project mobile crashlytics crashlytics app android:io intelehealth client issues 5c5bf9caf8b88c2963f8198a time last thirty days sessionId 5C5BF989031200010F4BC2738F4DB4C6 DNE 0 v2</t>
  </si>
  <si>
    <t>Intelehealth-Android-Mobile-Client-632</t>
  </si>
  <si>
    <t>VitalsActivity.java line 137</t>
  </si>
  <si>
    <t>https:  console firebase google com u 1 project mobile crashlytics crashlytics app android:io intelehealth client issues 5c5bf9caf8b88c2963f8198a time last thirty days sessionId 5C5BF989031200010F4BC2738F4DB4C6 DNE 0 v2</t>
  </si>
  <si>
    <t>Intelehealth-Android-Mobile-Client-631</t>
  </si>
  <si>
    <t>AsyncTask.java line 325</t>
  </si>
  <si>
    <t>https:  console firebase google com u 1 project mobile crashlytics crashlytics app android:io intelehealth client issues 5ae0195336c7b235270122a0 time last thirty days sessionId 5C5862C702560001176FB7BC8D76E635 DNE 0 v2</t>
  </si>
  <si>
    <t>Intelehealth-Android-Mobile-Client-630</t>
  </si>
  <si>
    <t>VisitSummaryActivity.java line 639</t>
  </si>
  <si>
    <t>https:  console firebase google com u 1 project mobile crashlytics crashlytics app android:io intelehealth client issues 5c5d2ddcf8b88c296313f809 time last thirty days sessionId 5C5D2E0C01FB00014B0A950516BF0A4E DNE 0 v2</t>
  </si>
  <si>
    <t>Intelehealth-Android-Mobile-Client-629</t>
  </si>
  <si>
    <t>DelayedJobQueueProvider.java line 192</t>
  </si>
  <si>
    <t>https:  console firebase google com u 1 project mobile crashlytics crashlytics app android:io intelehealth client issues 5adf306a36c7b23527ecd1a7 time last thirty days sessionId 5C56EA8A00DE000139298D11D1A5140A DNE 0 v2</t>
  </si>
  <si>
    <t>Intelehealth-Android-Mobile-Client-628</t>
  </si>
  <si>
    <t>HelperMethods.java line 144</t>
  </si>
  <si>
    <t>https:  console firebase google com u 1 project mobile crashlytics crashlytics app android:io intelehealth client issues 5c57cdfaf8b88c2963955bd9 time last thirty days sessionId 5C593140016000011FC5DA16D04FA26C DNE 0 v2</t>
  </si>
  <si>
    <t>Intelehealth-Android-Mobile-Client-627</t>
  </si>
  <si>
    <t>IdentificationActivity.java line 359</t>
  </si>
  <si>
    <t>https:  console firebase google com u 1 project mobile crashlytics crashlytics app android:io intelehealth client issues 5c593ba2f8b88c2963b8558e time last thirty days sessionId 5C596DD4023100017D92DA16D04FA26C DNE 0 v2</t>
  </si>
  <si>
    <t>Intelehealth-Android-Mobile-Client-626</t>
  </si>
  <si>
    <t>IdentificationActivity.java line 205</t>
  </si>
  <si>
    <t>https:  console firebase google com u 1 project mobile crashlytics crashlytics app android:io intelehealth client issues 5c541c9df8b88c2963438ec7 time last ninety days sessionId 5C586074027100015F31003628888A94 DNE 0 v2</t>
  </si>
  <si>
    <t>Intelehealth-Android-Mobile-Client-625</t>
  </si>
  <si>
    <t>JobDispatchService.java line 127</t>
  </si>
  <si>
    <t>Known issue on Android 8 and higher_x000D_
_x000D_
 Firebase crashlytics log (https:  console firebase google com u 1 project mobile crashlytics crashlytics app android:io intelehealth client issues 5b5687986007d59fcd8af88b time last ninety days sessionId 5C5C01C602EC000148E9F1721BDAAECA DNE 0 v2)</t>
  </si>
  <si>
    <t>matomo-org-matomo-sdk-android-249</t>
  </si>
  <si>
    <t>UncaughtExceptionHandler looses events on crash</t>
  </si>
  <si>
    <t xml:space="preserve">I installed the MatomoExceptionHandler using  TrackHelper track() uncaughtExceptions() with(tracker)  and I can see the event being created and dispatched  but the app is being killed before the network request completes _x000D_
_x000D_
I m attempt to debug this so I have the dispatch timeout currently set to 0 and I can see the following when the event is sent correctly (the  REMOVED  is my own edits):_x000D_
_x000D_
   _x000D_
1549581614 188 V MATOMO:DefaultPacketSender: Connection is open to  REMOVED _x000D_
1549581614 188 V MATOMO:DefaultPacketSender: Sending: Packet(type GET  data  REMOVED )_x000D_
1549581614 970 V MATOMO:DefaultPacketSender: Transmission finished (code 204) _x000D_
   _x000D_
_x000D_
When the crash happens I can see the first two lines but the app stops before the transmission is finished _x000D_
_x000D_
Is there a reason the dispatch has to be called in the exception handler as opposed to letting the event cache to disk and transmitting it on next app start up _x000D_
_x000D_
</t>
  </si>
  <si>
    <t>ThexXTURBOXx-studip-app-uni-passau-15</t>
  </si>
  <si>
    <t>[BUG] Crash (reported by ACRA)</t>
  </si>
  <si>
    <t xml:space="preserve">  REPORT ID : 425d6a01 8b55 43a1 b394 d98dfd2defb5   APP VERSION CODE :4  APP VERSION NAME : 0 0 4   PACKAGE NAME : studip uni passau femtopedia de unipassaustudip   FILE PATH :   data  user  0  studip uni passau femtopedia de unipassaustudip  files   PHONE MODEL : ONEPLUS_x000D_
A3003   BRAND : OnePlus   PRODUCT : OnePlus3   ANDROID VERSION : 8 0 0   BUILD :  AUTO TEST ONEPLUS :false  BOARD : msm8996   BOOTLOADER : unknown   BRAND : OnePlus   CPU ABI : arm64 v8a   CPU ABI2 :    DEBUG ONEPLUS :false  DEVICE : OnePlus3   DISPLAY : ONEPLUS_x000D_
A3003 16 181206   FINGERPRINT : OnePlus  OnePlus3  OnePlus3:8 0 0  OPR1 170623 032  1812060016:user  release keys   HARDWARE : qcom   HOST : ubuntu 117   ID : OPR1 170623 032   IS CONTAINER :false  IS DEBUGGABLE :false  IS EMULATOR :false  IS ENG :false  IS TREBLE ENABLED :false  IS USER :true  IS USERDEBUG :false  MANUFACTURER : OnePlus   MODEL : ONEPLUS_x000D_
A3003   PERMISSIONS REVIEW REQUIRED :false  PRODUCT : OnePlus3   RADIO : unknown   REGION : OverSeas   SERIAL : 4ed54b3c   SOFT VERSION : A 70   SUPPORTED 32 BIT ABIS :  armeabi v7a   armeabi    SUPPORTED 64 BIT ABIS :  arm64 v8a    SUPPORTED ABIS :  arm64 v8a   armeabi v7a   armeabi    TAGS : release keys   TIME :1544028608000  TYPE : user   UNKNOWN : unknown   USER : OnePlus   VERSION :  ACTIVE CODENAMES :    BASE OS :    CODENAME : REL   INCREMENTAL : 1812060016   IS CTA BUILD :false  PREVIEW SDK INT :0  RELEASE : 8 0 0   RESOURCES SDK INT :26  SDK : 26   SDK INT :26  SECURITY PATCH : 2018 11 01     TOTAL MEM SIZE :57586184192  AVAILABLE MEM SIZE :1659211776  BUILD CONFIG :  APPLICATION ID : studip uni passau femtopedia de unipassaustudip   BUILD TYPE : release   DEBUG :false  FLAVOR :    VERSION CODE :4  VERSION NAME : 0 0 4    CUSTOM DATA :    IS SILENT :false  STACK TRACE : java lang RuntimeException:_x000D_
Unable to start activity_x000D_
ComponentInfo studip uni passau femtopedia de unipassaustudip  studip uni passau femtopedia de unipassaustudip ScheduleActivity :_x000D_
com google gson JsonSyntaxException: java lang NumberFormatException: For_x000D_
input string:   friday   n tat_x000D_
android app ActivityThread performLaunchActivity(ActivityThread java:2946) n tat_x000D_
android app ActivityThread handleLaunchActivity(ActivityThread java:3046) n tat_x000D_
android app ActivityThread  wrap11(Unknown Source:0) n tat_x000D_
android app ActivityThread H handleMessage(ActivityThread java:1688) n tat_x000D_
android os Handler dispatchMessage(Handler java:105) n tat_x000D_
android os Looper loop(Looper java:164) n tat_x000D_
android app ActivityThread main(ActivityThread java:6798) n tat_x000D_
java lang reflect Method invoke(Native Method) n tat_x000D_
com android internal os Zygote MethodAndArgsCaller run(Zygote java:240) n tat_x000D_
com android internal os ZygoteInit main(ZygoteInit java:767) nCaused by:_x000D_
com google gson JsonSyntaxException: java lang NumberFormatException: For_x000D_
input string:   friday   n tat_x000D_
com google gson internal bind TypeAdapters 7 read(TypeAdapters java:228) n tat_x000D_
com google gson internal bind TypeAdapters 7 read(TypeAdapters java:218) n tat_x000D_
com google gson internal bind TypeAdapterRuntimeTypeWrapper read(TypeAdapterRuntimeTypeWrapper java:41) n tat_x000D_
com google gson internal bind MapTypeAdapterFactory Adapter read(MapTypeAdapterFactory java:186) n tat_x000D_
com google gson internal bind MapTypeAdapterFactory Adapter read(MapTypeAdapterFactory java:145) n tat_x000D_
com google gson Gson fromJson(Gson java:927) n tat_x000D_
com google gson Gson fromJson(Gson java:892) n tat_x000D_
studip uni passau femtopedia de unipassaustudip StudIPHelper loadFromFile(StudIPHelper java:106) n tat_x000D_
studip uni passau femtopedia de unipassaustudip StudIPHelper loadSchedule(StudIPHelper java:93) n tat_x000D_
studip uni passau femtopedia de unipassaustudip ScheduleActivity updateDataFirst(ScheduleActivity java:97) n tat_x000D_
studip uni passau femtopedia de unipassaustudip ScheduleActivity onCreate(ScheduleActivity java:69) n tat_x000D_
android app Activity performCreate(Activity java:7003) n tat_x000D_
android app Instrumentation callActivityOnCreate(Instrumentation java:1230) n tat_x000D_
android app ActivityThread performLaunchActivity(ActivityThread java:2899) n t   _x000D_
9 more nCaused by: java lang NumberFormatException: For input string:_x000D_
  friday   n tat_x000D_
sun misc FloatingDecimal readJavaFormatString(FloatingDecimal java:2043) n tat_x000D_
sun misc FloatingDecimal parseDouble(FloatingDecimal java:110) n tat_x000D_
java lang Double parseDouble(Double java:539) n tat_x000D_
com google gson stream JsonReader nextInt(JsonReader java:1201) n tat_x000D_
com google gson internal bind TypeAdapters 7 read(TypeAdapters java:226) n t   _x000D_
22 more n   INITIAL CONFIGURATION :  appBounds : Rect(0  0   1080 _x000D_
1920)   assetsSeq :0  colorMode :5  compatScreenHeightDp :549  compatScreenWidthDp :319  compatSmallestScreenWidthDp :320  densityDpi :420  fontScale :1  hardKeyboardHidden : HARDKEYBOARDHIDDEN YES   keyboard : KEYBOARD NOKEYS   keyboardHidden : KEYBOARDHIDDEN NO   locale : en US   mOpExtraConfiguration : mThemeChanged_x000D_
 _x000D_
0   mcc :262  mnc :3  navigation : NAVIGATION NONAV   navigationHidden : NAVIGATIONHIDDEN YES   oneplusfont :0  orientation : ORIENTATION PORTRAIT   screenHeightDp :707  screenLayout : SCREENLAYOUT SIZE NORMAL SCREENLAYOUT LONG YES SCREENLAYOUT LAYOUTDIR LTR SCREENLAYOUT ROUND NO   screenWidthDp :411  seq :108  smallestScreenWidthDp :411  touchscreen : TOUCHSCREEN FINGER   uiMode : UI MODE TYPE NORMAL UI MODE NIGHT NO   userSetLocale :false   CRASH CONFIGURATION :  appBounds : Rect(0 _x000D_
0   1080 _x000D_
1920)   assetsSeq :0  colorMode :5  compatScreenHeightDp :549  compatScreenWidthDp :319  compatSmallestScreenWidthDp :320  densityDpi :420  fontScale :1  hardKeyboardHidden : HARDKEYBOARDHIDDEN YES   keyboard : KEYBOARD NOKEYS   keyboardHidden : KEYBOARDHIDDEN NO   locale : en US   mOpExtraConfiguration : mThemeChanged_x000D_
 _x000D_
0   mcc :262  mnc :3  navigation : NAVIGATION NONAV   navigationHidden : NAVIGATIONHIDDEN YES   oneplusfont :0  orientation : ORIENTATION PORTRAIT   screenHeightDp :707  screenLayout : SCREENLAYOUT SIZE NORMAL SCREENLAYOUT LONG YES SCREENLAYOUT LAYOUTDIR LTR SCREENLAYOUT ROUND NO   screenWidthDp :411  seq :108  smallestScreenWidthDp :411  touchscreen : TOUCHSCREEN FINGER   uiMode : UI MODE TYPE NORMAL UI MODE NIGHT NO   userSetLocale :false   DISPLAY :  0 :  currentSizeRange :  smallest : 1080 1017   largest : 1920 1857    flags : FLAG SUPPORTS PROTECTED BUFFERS FLAG SECURE   metrics :  density :2 625  densityDpi :420  scaledDensity : x2 625   widthPixels :1080  heightPixels :1920  xdpi :403 4110107421875  ydpi :399 73699951171875   realMetrics :  density :2 625  densityDpi :420  scaledDensity : x2 625   widthPixels :1080  heightPixels :1920  xdpi :403 4110107421875  ydpi :399 73699951171875   name : Built in_x000D_
Screen   realSize : 1080 1920   rectSize : 0 0 1080 1920   size : 1080 1920   rotation : ROTATION 0   isValid :true  orientation :0  refreshRate :60 000003814697266  height :1920  width :1080  pixelFormat :1    USER COMMENT : Crash_x000D_
Bei Eingabe der_x000D_
Nutzerdaten   USER EMAIL :    USER APP START DATE : 2019 02 07T17:05:45 490 01:00   USER CRASH DATE : 2019 02 07T17:05:46 143 01:00   DUMPSYS MEMINFO :    LOGCAT : 02 07_x000D_
17:05:45 529 I  zygote64( 4571):   at android view ViewGroup_x000D_
androidx appcompat app AppCompatDelegateImpl createSubDecor()_x000D_
(AppCompatDelegateImpl java:607) n02 07 17:05:45 529 I  zygote64( 4571):_x000D_
at void androidx appcompat app AppCompatDelegateImpl ensureSubDecor()_x000D_
(AppCompatDelegateImpl java:518) n02 07 17:05:45 529 I  zygote64( 4571):_x000D_
at void androidx appcompat app AppCompatDelegateImpl setContentView(int)_x000D_
(AppCompatDelegateImpl java:466) n02 07 17:05:45 529 I  zygote64( 4571):_x000D_
at void androidx appcompat app AppCompatActivity setContentView(int)_x000D_
(AppCompatActivity java:141) n02 07 17:05:45 529 I  zygote64( 4571):   at_x000D_
void_x000D_
studip uni passau femtopedia de unipassaustudip LoginActivity onCreate(android os Bundle)_x000D_
(LoginActivity java:77) n02 07 17:05:45 529 I  zygote64( 4571):   at void_x000D_
android app Activity performCreate(android os Bundle)_x000D_
(Activity java:7003) n02 07 17:05:45 529 I  zygote64( 4571):   at void_x000D_
android app Instrumentation callActivityOnCreate(android app Activity _x000D_
android os Bundle) (Instrumentation java:1230) n02 07 17:05:45 529_x000D_
I  zygote64( 4571):   at android app Activity_x000D_
android app ActivityThread performLaunchActivity(android app ActivityThread ActivityClientRecord _x000D_
android content Intent) (ActivityThread java:2899) n02 07 17:05:45 529_x000D_
I  zygote64( 4571):   at void_x000D_
android app ActivityThread handleLaunchActivity(android app ActivityThread ActivityClientRecord _x000D_
android content Intent  java lang String) (ActivityThread java:3046) n02 07_x000D_
17:05:45 529 I  zygote64( 4571):   at void_x000D_
android app ActivityThread  wrap11(android app ActivityThread _x000D_
android app ActivityThread ActivityClientRecord  android content Intent _x000D_
java lang String) (ActivityThread java: 1) n02 07 17:05:45 529 I  zygote64(_x000D_
4571):   at void_x000D_
android app ActivityThread H handleMessage(android os Message)_x000D_
(ActivityThread java:1688) n02 07 17:05:45 529 I  zygote64( 4571):   at_x000D_
void android os Handler dispatchMessage(android os Message)_x000D_
(Handler java:105) n02 07 17:05:45 529 I  zygote64( 4571):   at void_x000D_
android os Looper loop() (Looper java:164) n02 07 17:05:45 529 I  zygote64(_x000D_
4571):   at void android app ActivityThread main(java lang String  )_x000D_
(ActivityThread java:6798) n02 07 17:05:45 529 I  zygote64( 4571):   at_x000D_
java lang Object java lang reflect Method invoke(java lang Object _x000D_
java lang Object  ) (Method java: 2) n02 07 17:05:45 529 I  zygote64(_x000D_
4571):   at void com android internal os Zygote MethodAndArgsCaller run()_x000D_
(Zygote java:240) n02 07 17:05:45 529 I  zygote64( 4571):   at void_x000D_
com android internal os ZygoteInit main(java lang String  )_x000D_
(ZygoteInit java:767) n02 07 17:05:45 529 I  zygote64( 4571):  n02 07_x000D_
17:05:45 572 I  TextInputLayout( 4571): EditText added is not a_x000D_
TextInputEditText  Please switch to using that class instead  n02 07_x000D_
17:05:45 575 I  TextInputLayout( 4571): EditText added is not a_x000D_
TextInputEditText  Please switch to using that class instead  n02 07_x000D_
17:05:45 583 I  DpmTcmClient( 4571): RegisterTcmMonitor from:_x000D_
com android okhttp TcmIdleTimerMonitor n02 07 17:05:45 586_x000D_
D  NetworkSecurityConfig( 4571): Using Network Security Config from_x000D_
resource network security config debugBuild: false n02 07 17:05:45 664_x000D_
I  vndksupport( 4571): sphal namespace is not configured for this process _x000D_
Loading   vendor  lib64  hw  gralloc msm8996 so from the current namespace_x000D_
instead  n02 07 17:05:45 679 D          ( 4571): Successfully load_x000D_
libgui plugin so  this 0x7579a6c1a8 n02 07 17:05:46 053 I  zygote64( 4571):_x000D_
Do partial code cache collection  code 29KB  data 27KB n02 07 17:05:46 054_x000D_
I  zygote64( 4571): After code cache collection  code 29KB _x000D_
data 27KB n02 07 17:05:46 054 I  zygote64( 4571): Increasing code cache_x000D_
capacity to 128KB n02 07 17:05:46 126 D  AndroidRuntime( 4571): Shutting_x000D_
down VM n          beginning of crash n02 07 17:05:46 127_x000D_
E  AndroidRuntime( 4571): FATAL EXCEPTION: main n02 07 17:05:46 127_x000D_
E  AndroidRuntime( 4571): Process:_x000D_
studip uni passau femtopedia de unipassaustudip  PID: 4571 n02 07_x000D_
17:05:46 127 E  AndroidRuntime( 4571): java lang RuntimeException: Unable_x000D_
to start activity_x000D_
ComponentInfo studip uni passau femtopedia de unipassaustudip  studip uni passau femtopedia de unipassaustudip ScheduleActivity :_x000D_
com google gson JsonSyntaxException: java lang NumberFormatException: For_x000D_
input string:   friday   n02 07 17:05:46 127 E  AndroidRuntime( 4571):  tat_x000D_
android app ActivityThread performLaunchActivity(ActivityThread java:2946) n02 07_x000D_
17:05:46 127 E  AndroidRuntime( 4571):  tat_x000D_
android app ActivityThread handleLaunchActivity(ActivityThread java:3046) n02 07_x000D_
17:05:46 127 E  AndroidRuntime( 4571):  tat_x000D_
android app ActivityThread  wrap11(Unknown Source:0) n02 07 17:05:46 127_x000D_
E  AndroidRuntime( 4571):  tat_x000D_
android app ActivityThread H handleMessage(ActivityThread java:1688) n02 07_x000D_
17:05:46 127 E  AndroidRuntime( 4571):  tat_x000D_
android os Handler dispatchMessage(Handler java:105) n02 07 17:05:46 127_x000D_
E  AndroidRuntime( 4571):  tat_x000D_
android os Looper loop(Looper java:164) n02 07 17:05:46 127_x000D_
E  AndroidRuntime( 4571):  tat_x000D_
android app ActivityThread main(ActivityThread java:6798) n02 07_x000D_
17:05:46 127 E  AndroidRuntime( 4571):  tat_x000D_
java lang reflect Method invoke(Native Method) n02 07 17:05:46 127_x000D_
E  AndroidRuntime( 4571):  tat_x000D_
com android internal os Zygote MethodAndArgsCaller run(Zygote java:240) n02 07_x000D_
17:05:46 127 E  AndroidRuntime( 4571):  tat_x000D_
com android internal os ZygoteInit main(ZygoteInit java:767) n02 07_x000D_
17:05:46 127 E  AndroidRuntime( 4571): Caused by:_x000D_
com google gson JsonSyntaxException: java lang NumberFormatException: For_x000D_
input string:   friday   n02 07 17:05:46 127 E  AndroidRuntime( 4571):  tat_x000D_
com google gson internal bind TypeAdapters 7 read(TypeAdapters java:228) n02 07_x000D_
17:05:46 127 E  AndroidRuntime( 4571):  tat_x000D_
com google gson internal bind TypeAdapters 7 read(TypeAdapters java:218) n02 07_x000D_
17:05:46 127 E  AndroidRuntime( 4571):  tat_x000D_
com google gson internal bind TypeAdapterRuntimeTypeWrapper read(TypeAdapterRuntimeTypeWrapper java:41) n02 07_x000D_
17:05:46 127 E  AndroidRuntime( 4571):  tat_x000D_
com google gson internal bind MapTypeAdapterFactory Adapter read(MapTypeAdapterFactory java:186) n02 07_x000D_
17:05:46 127 E  AndroidRuntime( 4571):  tat_x000D_
com google gson internal bind MapTypeAdapterFactory Adapter read(MapTypeAdapterFactory java:145) n02 07_x000D_
17:05:46 127 E  AndroidRuntime( 4571):  tat_x000D_
com google gson Gson fromJson(Gson java:927) n02 07 17:05:46 127_x000D_
E  AndroidRuntime( 4571):  tat_x000D_
com google gson Gson fromJson(Gson java:892) n02 07 17:05:46 127_x000D_
E  AndroidRuntime( 4571):  tat_x000D_
studip uni passau femtopedia de unipassaustudip StudIPHelper loadFromFile(StudIPHelper java:106) n02 07_x000D_
17:05:46 127 E  AndroidRuntime( 4571):  tat_x000D_
studip uni passau femtopedia de unipassaustudip StudIPHelper loadSchedule(StudIPHelper java:93) n02 07_x000D_
17:05:46 127 E  AndroidRuntime( 4571):  tat_x000D_
studip uni passau femtopedia de unipassaustudip ScheduleActivity updateDataFirst(ScheduleActivity java:97) n02 07_x000D_
17:05:46 127 E  AndroidRuntime( 4571):  tat_x000D_
studip uni passau femtopedia de unipassaustudip ScheduleActivity onCreate(ScheduleActivity java:69) n02 07_x000D_
17:05:46 127 E  AndroidRuntime( 4571):  tat_x000D_
android app Activity performCreate(Activity java:7003) n02 07 17:05:46 127_x000D_
E  AndroidRuntime( 4571):  tat_x000D_
android app Instrumentation callActivityOnCreate(Instrumentation java:1230) n02 07_x000D_
17:05:46 127 E  AndroidRuntime( 4571):  tat_x000D_
android app ActivityThread performLaunchActivity(ActivityThread java:2899) n02 07_x000D_
17:05:46 127 E  AndroidRuntime( 4571):  t    9 more n02 07 17:05:46 127_x000D_
E  AndroidRuntime( 4571): Caused by: java lang NumberFormatException: For_x000D_
input string:   friday   n02 07 17:05:46 127 E  AndroidRuntime( 4571):  tat_x000D_
sun misc FloatingDecimal readJavaFormatString(FloatingDecimal java:2043) n02 07_x000D_
17:05:46 127 E  AndroidRuntime( 4571):  tat_x000D_
sun misc FloatingDecimal parseDouble(FloatingDecimal java:110) n02 07_x000D_
17:05:46 127 E  AndroidRuntime( 4571):  tat_x000D_
java lang Double parseDouble(Double java:539) n02 07 17:05:46 127_x000D_
E  AndroidRuntime( 4571):  tat_x000D_
com google gson stream JsonReader nextInt(JsonReader java:1201) n02 07_x000D_
17:05:46 127 E  AndroidRuntime( 4571):  tat_x000D_
com google gson internal bind TypeAdapters 7 read(TypeAdapters java:226) n02 07_x000D_
17:05:46 127 E  AndroidRuntime( 4571):  t    22 more n02 07 17:05:46 127_x000D_
E  ACRA    ( 4571): ACRA caught a RuntimeException for_x000D_
studip uni passau femtopedia de unipassaustudip n02 07 17:05:46 127_x000D_
E  ACRA    ( 4571): java lang RuntimeException: Unable to start activity_x000D_
ComponentInfo studip uni passau femtopedia de unipassaustudip  studip uni passau femtopedia de unipassaustudip ScheduleActivity :_x000D_
com google gson JsonSyntaxException: java lang NumberFormatException: For_x000D_
input string:   friday   n02 07 17:05:46 127 E  ACRA    ( 4571):  tat_x000D_
android app ActivityThread performLaunchActivity(ActivityThread java:2946) n02 07_x000D_
17:05:46 127 E  ACRA    ( 4571):  tat_x000D_
android app ActivityThread handleLaunchActivity(ActivityThread java:3046) n02 07_x000D_
17:05:46 127 E  ACRA    ( 4571):  tat_x000D_
android app ActivityThread  wrap11(Unknown Source:0) n02 07 17:05:46 127_x000D_
E  ACRA    ( 4571):  tat_x000D_
android app ActivityThread H handleMessage(ActivityThread java:1688) n02 07_x000D_
17:05:46 127 E  ACRA    ( 4571):  tat_x000D_
android os Handler dispatchMessage(Handler java:105) n02 07 17:05:46 127_x000D_
E  ACRA    ( 4571):  tat android os Looper loop(Looper java:164) n02 07_x000D_
17:05:46 127 E  ACRA    ( 4571):  tat_x000D_
android app ActivityThread main(ActivityThread java:6798) n02 07_x000D_
17:05:46 127 E  ACRA    ( 4571):  tat_x000D_
java lang reflect Method invoke(Native Method) n02 07 17:05:46 127_x000D_
E  ACRA    ( 4571):  tat_x000D_
com android internal os Zygote MethodAndArgsCaller run(Zygote java:240) n02 07_x000D_
17:05:46 127 E  ACRA    ( 4571):  tat_x000D_
com android internal os ZygoteInit main(ZygoteInit java:767) n02 07_x000D_
17:05:46 127 E  ACRA    ( 4571): Caused by:_x000D_
com google gson JsonSyntaxException: java lang NumberFormatException: For_x000D_
input string:   friday   n02 07 17:05:46 127 E  ACRA    ( 4571):  tat_x000D_
com google gson internal bind TypeAdapters 7 read(TypeAdapters java:228) n02 07_x000D_
17:05:46 127 E  ACRA    ( 4571):  tat_x000D_
com google gson internal bind TypeAdapters 7 read(TypeAdapters java:218) n02 07_x000D_
17:05:46 127 E  ACRA    ( 4571):  tat_x000D_
com google gson internal bind TypeAdapterRuntimeTypeWrapper read(TypeAdapterRuntimeTypeWrapper java:41) n02 07_x000D_
17:05:46 127 E  ACRA    ( 4571):  tat_x000D_
com google gson internal bind MapTypeAdapterFactory Adapter read(MapTypeAdapterFactory java:186) n02 07_x000D_
17:05:46 127 E  ACRA    ( 4571):  tat_x000D_
com google gson internal bind MapTypeAdapterFactory Adapter read(MapTypeAdapterFactory java:145) n02 07_x000D_
17:05:46 127 E  ACRA    ( 4571):  tat_x000D_
com google gson Gson fromJson(Gson java:927) n02 07 17:05:46 127 E  ACRA_x000D_
( 4571):  tat com google gson Gson fromJson(Gson java:892) n02 07_x000D_
17:05:46 127 E  ACRA    ( 4571):  tat_x000D_
studip uni passau femtopedia de unipassaustudip StudIPHelper loadFromFile(StudIPHelper java:106) n02 07_x000D_
17:05:46 127 E  ACRA    ( 4571):  tat_x000D_
studip uni passau femtopedia de unipassaustudip StudIPHelper loadSchedule(StudIPHelper java:93) n02 07_x000D_
17:05:46 127 E  ACRA    ( 4571):  tat_x000D_
studip uni passau femtopedia de unipassaustudip ScheduleActivity updateDataFirst(ScheduleActivity java:97) n02 07_x000D_
17:05:46 127 E  ACRA    ( 4571):  tat_x000D_
studip uni passau femtopedia de unipassaustudip ScheduleActivity onCreate(ScheduleActivity java:69) n02 07_x000D_
17:05:46 127 E  ACRA    ( 4571):  tat_x000D_
android app Activity performCreate(Activity java:7003) n02 07 17:05:46 127_x000D_
E  ACRA    ( 4571):  tat_x000D_
android app Instrumentation callActivityOnCreate(Instrumentation java:1230) n02 07_x000D_
17:05:46 127 E  ACRA    ( 4571):  tat_x000D_
android app ActivityThread performLaunchActivity(ActivityThread java:2899) n02 07_x000D_
17:05:46 127 E  ACRA    ( 4571):  t    9 more n02 07 17:05:46 127_x000D_
E  ACRA    ( 4571): Caused by: java lang NumberFormatException: For input_x000D_
string:   friday   n02 07 17:05:46 127 E  ACRA    ( 4571):  tat_x000D_
sun misc FloatingDecimal readJavaFormatString(FloatingDecimal java:2043) n02 07_x000D_
17:05:46 127 E  ACRA    ( 4571):  tat_x000D_
sun misc FloatingDecimal parseDouble(FloatingDecimal java:110) n02 07_x000D_
17:05:46 127 E  ACRA    ( 4571):  tat_x000D_
java lang Double parseDouble(Double java:539) n02 07 17:05:46 127_x000D_
E  ACRA    ( 4571):  tat_x000D_
com google gson stream JsonReader nextInt(JsonReader java:1201) n02 07_x000D_
17:05:46 127 E  ACRA    ( 4571):  tat_x000D_
com google gson internal bind TypeAdapters 7 read(TypeAdapters java:226) n02 07_x000D_
17:05:46 127 E  ACRA    ( 4571):  t    22_x000D_
more   INSTALLATION ID : b352285a 2886 4006 a331 199528783d03   DEVICE FEATURES :  android hardware sensor proximity :true  oem serial cdev support :true  android hardware sensor accelerometer :true  android hardware faketouch :true  android hardware usb accessory :true  oem qcom fastchager support :true  android hardware telephony cdma :true  android software backup :true  oem opcamera manual zsl support :true  android hardware touchscreen :true  android hardware touchscreen multitouch :true  android software print :true  android software activities on secondary displays :true  android software voice recognizers :true  android software picture in picture :true  android hardware fingerprint :true  android hardware sensor gyroscope :true  oem lift up display support :true  oem button light support :true  oem background control :true  oem otgSwitch support :true  android hardware opengles aep :true  oem otg positive negative plug support :true  android hardware bluetooth :true  android hardware camera autofocus :true  oem breathLight support :true  android hardware telephony gsm :true  android software sip voip :true  oem autobrightctl animation support :true  oem keyDefine support :true  oem inexact alarm :true  oem picture color mode srgb :true  android hardware usb host :true  oem optical stabilizer support :true  android hardware audio output :true  android software verified boot :true  android hardware camera flash :true  android hardware camera front :true  android hardware screen portrait :true  android hardware nfc :true  oem hw manufacturer qualcomm :true  oem hapticsService support :true  com nxp mifare :true  oem sim contacts autosync support :true  android hardware sensor stepdetector :true  android software home screen :true  android hardware microphone :true  oem dualsim support :true  com oneplus software oos :true  android software autofill :true  oem threeStageKey support :true  oem gyroscope support :true  android hardware bluetooth le :true  oem prox calibration support :true  android hardware sensor compass :true  android hardware touchscreen multitouch jazzhand :true  android software app widgets :true  android software input methods :true  android hardware sensor light :true  oem blackScreenGesture support :true  android hardware vulkan version :true  android software companion device setup :true  android software device admin :true  android hardware camera :true  oem display soft support :true  android hardware screen landscape :true  android software managed users :true  com oneplus software overseas :true  android software webview :true  android hardware sensor stepcounter :true  android hardware camera capability manual post processing :true  oem op intelligent background management support :true  android hardware camera any :true  oem op legal information support :true  android hardware camera capability raw :true  android hardware vulkan compute :true  android software connectionservice :true  android hardware touchscreen multitouch distinct :true  android hardware location network :true  android software cts :true  android software sip :true  android hardware camera capability manual sensor :true  oem threeScreenshot support :true  android hardware camera level full :true  android hardware wifi direct :true  android software live wallpaper :true  oem vooc fastchager support :true  oem authentication information support :true  oem audiotuner support :true  oem op dark mode support :true  oem direct support :true  com oneplus software oos n theme ready :true  android hardware nfc hcef :true  android hardware location gps :true  android software midi :true  oem timePoweroffWakeup support :true  android hardware nfc any :true  android hardware nfc hce :true  oem ambient support :true  android hardware wifi :true  android hardware location :true  android hardware vulkan level :true  oem finger print support :true  android hardware telephony :true  glEsVersion : 3 2   com oneplus mobilephone :true   ENVIRONMENT :  getDataDirectory :   data   getDataMiscCeDirectory :   data  misc ce   getDataMiscDirectory :   data  misc   getDataPreloadsAppsDirectory :   data  preloads  apps   getDataPreloadsDemoDirectory :   data  preloads  demo   getDataPreloadsDirectory :   data  preloads   getDataPreloadsFileCacheDirectory :   data  preloads  file cache   getDataPreloadsMediaDirectory :   data  preloads  media   getDataSystemCeDirectory :   data  system ce   getDataSystemDeDirectory :   data  system de   getDataSystemDirectory :   data  system   getDownloadCacheDirectory :   data  cache   getExpandDirectory :   mnt  expand   getExternalStorageDirectory :   storage  emulated  0   getExternalStorageState : mounted   getLegacyExternalStorageDirectory :   sdcard   getLegacyExternalStorageObbDirectory :   sdcard  Android  obb   getOdmDirectory :   odm   getOemDirectory :   oem   getRootDirectory :   system   getStorageDirectory :   storage   getVendorDirectory :   vendor   isExternalStorageEmulated :true  isExternalStorageRemovable :false   SHARED PREFERENCES :  default :  acra legacyAlreadyConvertedTo4 8 0 :true  acra legacyAlreadyConvertedToJson :true  cookie saving :true  auto sync :true  acra lastVersionNr :4   _x000D_
Attachments: 
Reported by: tionis nagir gmail com</t>
  </si>
  <si>
    <t>google-ExoPlayer-5476</t>
  </si>
  <si>
    <t>IMA Demo Crash on Open</t>
  </si>
  <si>
    <t xml:space="preserve">    Issue description_x000D_
The Exo IMA Demo crashes on open_x000D_
_x000D_
    Reproduction steps_x000D_
1  Upgrade build tools to 3 3 0_x000D_
2  Sync_x000D_
3  Run the demo on your phone_x000D_
    Link to test content_x000D_
not available_x000D_
_x000D_
    Version of ExoPlayer being used_x000D_
Branch dev v2_x000D_
_x000D_
    Device(s) and version(s) of Android being used_x000D_
Motorola Moto Z Play Droid   Motorola XT1635 01(Android 8 0 0  API 26)_x000D_
com android tools build:gradle:3 3 0_x000D_
_x000D_
_x000D_
    A full bug report captured from the device_x000D_
02 05 11:09:57: Launching demo ima_x000D_
  adb shell am start  n  com google android exoplayer2 imademo com google android exoplayer2 imademo MainActivity   a android intent action MAIN  c android intent category LAUNCHER_x000D_
Client not ready yet  Waiting for process to come online_x000D_
Waiting for process to come online_x000D_
Connected to process 5487 on device motorola xt1635 01 ZY223JV2SG_x000D_
Capturing and displaying logcat messages from application  This behavior can be disabled in the  Logcat output  section of the  Debugger  settings page _x000D_
W VideoCapabilities: Unrecognized profile 2130706433 for video avc_x000D_
    Unrecognized profile 2130706434 for video avc_x000D_
W VideoCapabilities: Unrecognized profile 2130706433 for video avc_x000D_
    Unrecognized profile 2130706434 for video avc_x000D_
W VideoCapabilities: Unrecognized profile 2130706433 for video avc_x000D_
    Unrecognized profile 2130706434 for video avc_x000D_
W VideoCapabilities: Unrecognized profile level 0 3 for video mpeg2_x000D_
I ExoPlayerImpl: Init 796963d  ExoPlayerLib 2 9 5   addison  XT1635 01  motorola  26 _x000D_
I VideoCapabilities: Unsupported profile 4 for video mp4v es_x000D_
D OpenGLRenderer: HWUI GL Pipeline_x000D_
D AndroidRuntime: Shutting down VM_x000D_
E AndroidRuntime: FATAL EXCEPTION: main_x000D_
    Process: com google android exoplayer2 imademo  PID: 5487_x000D_
    java lang NullPointerException: Set player using adsLoader setPlayer before preparing the player _x000D_
        at com google android exoplayer2 util Assertions checkNotNull(Assertions java:130)_x000D_
        at com google android exoplayer2 ext ima ImaAdsLoader start(ImaAdsLoader java:568)_x000D_
        at com google android exoplayer2 source ads AdsMediaSource lambda prepareSourceInternal 0(AdsMediaSource java:333)_x000D_
        at com google android exoplayer2 source ads    Lambda AdsMediaSource zcXBZahV9F k KJACPO bl WWX0 run(Unknown Source:4)_x000D_
        at android os Handler handleCallback(Handler java:789)_x000D_
        at android os Handler dispatchMessage(Handler java:98)_x000D_
        at android os Looper loop(Looper java:164)_x000D_
        at android app ActivityThread main(ActivityThread java:6695)_x000D_
        at java lang reflect Method invoke(Native Method)_x000D_
        at com android internal os Zygote MethodAndArgsCaller run(Zygote java:240)_x000D_
        at com android internal os ZygoteInit main(ZygoteInit java:772)_x000D_
I zygote: Do partial code cache collection  code 19KB  data 30KB_x000D_
I zygote: After code cache collection  code 19KB  data 30KB_x000D_
    Increasing code cache capacity to 128KB_x000D_
D NetworkSecurityConfig: No Network Security Config specified  using platform default_x000D_
Application terminated _x000D_
_x000D_
_x000D_
</t>
  </si>
  <si>
    <t>getodk-collect-2850</t>
  </si>
  <si>
    <t>NullPointerException in FormHierarchyActivity#218</t>
  </si>
  <si>
    <t xml:space="preserve">     Software and hardware versions _x000D_
Collect v1 19 0 Android 4 and 5_x000D_
_x000D_
     Problem description_x000D_
https:  console firebase google com u 0 project api project 322300403941 crashlytics app android:org odk collect android issues 5c57cfdff8b88c2963958034 time last seven days sessionId 5C57CFDA002E000120AB5CFCA96EFFD4 DNE 0 v2_x000D_
_x000D_
 Fatal Exception: java lang NullPointerException_x000D_
Attempt to invoke virtual method  boolean org javarosa core model FormIndex isBeginningOfFormIndex()  on a null object reference_x000D_
keyboard arrow up_x000D_
arrow right_x000D_
org odk collect android activities FormHierarchyActivity updateOptionsMenu (FormHierarchyActivity java:218)_x000D_
org odk collect android activities FormHierarchyActivity onPrepareOptionsMenu (FormHierarchyActivity java:206)_x000D_
android app Activity onPreparePanel (Activity java:2939)_x000D_
android support v4 app FragmentActivity onPrepareOptionsPanel (FragmentActivity java:559)_x000D_
android support v4 app FragmentActivity onPreparePanel (FragmentActivity java:547) _x000D_
_x000D_
     Other information _x000D_
It s not a new issue  not very common (4users affected  5 events reported)_x000D_
_x000D_
 cooperka could you take a looks since it s related to your latest changes _x000D_
</t>
  </si>
  <si>
    <t>square-okhttp-4592</t>
  </si>
  <si>
    <t>OkHttp 3.13 on Android with custom trust manager fails with AssertionError</t>
  </si>
  <si>
    <t xml:space="preserve">TL DR: How to use custom trust managers with OkHttp 3 13 _x000D_
_x000D_
We have an app that uses a custom  X509TrustManager  ( X509ExtendedTrustManager  on API    24) to implement additional certificate whitelisting requirements  Basically the custom trust manager takes system trust manager as a delegate and adds custom whitelist checks on top _x000D_
_x000D_
This used to work fine up to OkHttp 3 12 1 _x000D_
_x000D_
On OkHttp 3 13 0 this fails when initialising  OkHttpClient Builder sslSocketFactory  like:_x000D_
_x000D_
   _x000D_
        X509TrustManager trustManager _x000D_
        SSLSocketFactory sslSocketFactory _x000D_
        try  _x000D_
            trustManager   buildTrustManager(   ) _x000D_
            SSLContext sslContext   SSLContext getInstance( TLS ) _x000D_
            sslContext init(null  new TrustManager     trustManager    null) _x000D_
            sslSocketFactory   sslContext getSocketFactory() _x000D_
          catch (NoSuchAlgorithmException   KeyManagementException e)  _x000D_
            throw new RuntimeException(e) _x000D_
         _x000D_
        okClientBuilder sslSocketFactory(sslSocketFactory  trustManager) _x000D_
   _x000D_
_x000D_
with stacktrace like:_x000D_
_x000D_
   _x000D_
java lang AssertionError: java lang reflect InvocationTargetException_x000D_
        at okhttp3 internal platform AndroidPlatform buildCertificateChainCleaner(AndroidPlatform java:201)_x000D_
        at okhttp3 internal tls CertificateChainCleaner get(CertificateChainCleaner java:41)_x000D_
        at okhttp3 OkHttpClient Builder sslSocketFactory(OkHttpClient java:821)_x000D_
_x000D_
   _x000D_
_x000D_
     Caused by: java lang reflect InvocationTargetException_x000D_
        at java lang reflect Constructor newInstance0(Native Method)_x000D_
        at java lang reflect Constructor newInstance(Constructor java:343)_x000D_
        at okhttp3 internal platform AndroidPlatform buildCertificateChainCleaner(AndroidPlatform java:196)_x000D_
        at okhttp3 internal tls CertificateChainCleaner get(CertificateChainCleaner java:41) _x000D_
        at okhttp3 OkHttpClient Builder sslSocketFactory(OkHttpClient java:821)  _x000D_
_x000D_
   _x000D_
_x000D_
Caused by: java lang IllegalArgumentException: Required method checkServerTrusted(X509Certificate    String  String  String) missing_x000D_
        at android net http X509TrustManagerExtensions  init (X509TrustManagerExtensions java:72)_x000D_
        at java lang reflect Constructor newInstance0(Native Method) _x000D_
        at java lang reflect Constructor newInstance(Constructor java:343) _x000D_
        at okhttp3 internal platform AndroidPlatform buildCertificateChainCleaner(AndroidPlatform java:196) _x000D_
        at okhttp3 internal tls CertificateChainCleaner get(CertificateChainCleaner java:41) _x000D_
        at okhttp3 OkHttpClient Builder sslSocketFactory(OkHttpClient java:821) _x000D_
_x000D_
   _x000D_
_x000D_
From the commits I see https:  github com square okhttp commit bdc7681b3ba16ae311d2dd21160d61315e8942ca introduced this  AssertionError  while earlier execution would fall back to  super  implementation _x000D_
_x000D_
On API    24 (tested only on 28) I can get rid of this crash by adding the method looked up reflectively to our  X509ExtendedTrustManager  implementation:_x000D_
_x000D_
   _x000D_
            This is used reflectively by Android X509TrustManagerExtensions and okhttp CertificateChainCleaner    _x000D_
         SuppressWarnings( unused )_x000D_
        public void checkServerTrusted(X509Certificate   chain  String authType  String host) throws CertificateException  _x000D_
               TODO figure out if something could be done with the host param_x000D_
            delegate checkServerTrusted(chain  authType) _x000D_
            whitelistChecker checkCertWhitelisted(chain 0 ) _x000D_
         _x000D_
   _x000D_
_x000D_
However this does not work on API   24 (our min SDK is 21)  Adding the same method to  X509TrustManager  ( javax net ssl X509TrustManager ) just introduces another issue  This one on API 21 emulator:_x000D_
_x000D_
   _x000D_
Caused by: java lang IllegalArgumentException: tm is an instance of    WhitelistingTrustManager which is not a supported type of X509TrustManager_x000D_
        at android net http X509TrustManagerExtensions  init (X509TrustManagerExtensions java:51)_x000D_
        at java lang reflect Constructor newInstance(Native Method) _x000D_
        at java lang reflect Constructor newInstance(Constructor java:288) _x000D_
        at okhttp3 internal platform AndroidPlatform buildCertificateChainCleaner(AndroidPlatform java:196) _x000D_
        at okhttp3 internal tls CertificateChainCleaner get(CertificateChainCleaner java:41) _x000D_
        at okhttp3 OkHttpClient Builder sslSocketFactory(OkHttpClient java:821) _x000D_
   _x000D_
_x000D_
Looking up the  platform source (http:  androidxref com 5 0 0 r2 xref frameworks base core java android net http X509TrustManagerExtensions java 51) the code just allows  TrustManagerImpl s which is a platform internal class and cannot really be used in app code _x000D_
_x000D_
Questions:_x000D_
 1  How would one use custom  X509TrustManager s with OkHttp 3 13 without crashes _x000D_
 2  Any alternative ideas for implementing custom certificate checks </t>
  </si>
  <si>
    <t>KnightHacks-KnightHacks_androiddev-26</t>
  </si>
  <si>
    <t>[Splash Screen] Some SVGs are Crashing the App</t>
  </si>
  <si>
    <t xml:space="preserve">   Summary_x000D_
Some of the XMLs from the SVGs in the splash screen are crashing the app  I m not sure what s going on  but with API 21 and API 23 the SVGs are failing to render  This is causing the app to not run at all _x000D_
_x000D_
I haven t tested with other APIs  but API 21   API 23 is already 37  of the Android population  With API 27  the SVGs render fine _x000D_
_x000D_
The main SVG in question is the  space clouds  graphic  When I comment the use of this graphic  the other graphics for the splash screen render but some of them are just invisible (the rocket with no flames and a cloud one in specific) _x000D_
_x000D_
   Attempted Fixes_x000D_
No real fixes have been attempted  I ve just been trying to debug what s happening because the error is quite obscure  It s saying that the color palette doesn t exist for the drawable resource (the SVG s vectorized XML) and that the  ImageView  cannot be inflated _x000D_
_x000D_
   Current State_x000D_
The splash screen works fine when it runs on API 27 to my knowledge  I have tried running it on API 21 and API 23 where it did not succeed in running successfully </t>
  </si>
  <si>
    <t>getodk-collect-2847</t>
  </si>
  <si>
    <t>Document has no root element!</t>
  </si>
  <si>
    <t xml:space="preserve">     Software and hardware versions _x000D_
Collect v1 19 0 an older versions_x000D_
_x000D_
     Problem description_x000D_
https:  console firebase google com u 0 project api project 322300403941 crashlytics app android:org odk collect android issues 5b1e1bde6007d59fcd7ce3ad time last seven days sessionId 5C57E18402C600013D8BDB7A89A42D26 DNE 0 v2_x000D_
_x000D_
https:  console firebase google com u 0 project api project 322300403941 crashlytics app android:org odk collect android issues 5b84087f6007d59fcdf61bfc time last seven days_x000D_
   _x000D_
org kxml2 kdom Document getRootElement (Unknown Source)_x000D_
org javarosa xform parse XFormParser getXMLDocument (XFormParser java:435)_x000D_
org javarosa xform parse XFormParser getXMLDocument (XFormParser java:384)_x000D_
org javarosa xform parse XFormParser restoreDataModel (XFormParser java:2157)_x000D_
org javarosa xform parse XFormParser restoreDataModel (XFormParser java:2182)_x000D_
org odk collect android tasks FormLoaderTask importData (FormLoaderTask java:412)_x000D_
org odk collect android upload InstanceGoogleSheetsUploader getInstanceElement (InstanceGoogleSheetsUploader java:302)_x000D_
org odk collect android upload InstanceGoogleSheetsUploader uploadOneSubmission (InstanceGoogleSheetsUploader java:135)_x000D_
org odk collect android upload AutoSendWorker doWork (AutoSendWorker java:148)_x000D_
   </t>
  </si>
  <si>
    <t>nextcloud-android-3565</t>
  </si>
  <si>
    <t>Crash on start android 9</t>
  </si>
  <si>
    <t xml:space="preserve">    Actual behaviour_x000D_
  App starts and crashes_x000D_
_x000D_
    Expected behaviour_x000D_
  nextcloud screen  _x000D_
 _x000D_
    Steps to reproduce_x000D_
1  Start app_x000D_
2  crash_x000D_
3  _x000D_
_x000D_
_x000D_
    Environment data_x000D_
Android version: Latest android 9 jan 5_x000D_
_x000D_
Device model: Pixel 3 XL_x000D_
_x000D_
Stock or customized system: Stock_x000D_
_x000D_
Nextcloud app version: Latest from app store_x000D_
_x000D_
Nextcloud server version: 15 0 2_x000D_
_x000D_
Tried removing app en reinstalling  clear cache data etc  Still same problem _x000D_
_x000D_
    Logs_x000D_
_x000D_
adb logcat:_x000D_
_x000D_
02 04 06:05:48 738 6072 6072 E AndroidRuntime: FATAL EXCEPTION: main_x000D_
02 04 06:05:48 738 6072 6072 E AndroidRuntime: Process: com nextcloud client  PID: 6072_x000D_
02 04 06:05:48 738 6072 6072 E AndroidRuntime: java lang RuntimeException: Unable to create application com owncloud android MainApp: android database sqlite SQLiteException: duplicate column name: redirect (code 1 SQLITE ERROR):   whil_x000D_
e compiling: ALTER TABLE external links ADD COLUMN redirect INTEGER_x000D_
02 04 06:05:48 738 6072 6072 E AndroidRuntime: at android app ActivityThread handleBindApplication(ActivityThread java:5925)_x000D_
02 04 06:05:48 738 6072 6072 E AndroidRuntime: at android app ActivityThread access 1100(ActivityThread java:200)_x000D_
02 04 06:05:48 738 6072 6072 E AndroidRuntime: at android app ActivityThread H handleMessage(ActivityThread java:1656)_x000D_
02 04 06:05:48 738 6072 6072 E AndroidRuntime: at android os Handler dispatchMessage(Handler java:106)_x000D_
02 04 06:05:48 738 6072 6072 E AndroidRuntime: at android os Looper loop(Looper java:193)_x000D_
02 04 06:05:48 738 6072 6072 E AndroidRuntime: at android app ActivityThread main(ActivityThread java:6718)_x000D_
02 04 06:05:48 738 6072 6072 E AndroidRuntime: at java lang reflect Method invoke(Native Method)_x000D_
02 04 06:05:48 738 6072 6072 E AndroidRuntime: at com android internal os RuntimeInit MethodAndArgsCaller run(RuntimeInit java:493)_x000D_
02 04 06:05:48 738 6072 6072 E AndroidRuntime: at com android internal os ZygoteInit main(ZygoteInit java:858)_x000D_
02 04 06:05:48 738 6072 6072 E AndroidRuntime: Caused by: android database sqlite SQLiteException: duplicate column name: redirect (code 1 SQLITE ERROR):   while compiling: ALTER TABLE external links ADD COLUMN redirect INTEGER_x000D_
02 04 06:05:48 738 6072 6072 E AndroidRuntime: at android database sqlite SQLiteConnection nativePrepareStatement(Native Method)_x000D_
02 04 06:05:48 738 6072 6072 E AndroidRuntime: at android database sqlite SQLiteConnection acquirePreparedStatement(SQLiteConnection java:903)_x000D_
02 04 06:05:48 738 6072 6072 E AndroidRuntime: at android database sqlite SQLiteConnection prepare(SQLiteConnection java:514)_x000D_
02 04 06:05:48 738 6072 6072 E AndroidRuntime: at android database sqlite SQLiteSession prepare(SQLiteSession java:588)_x000D_
02 04 06:05:48 738 6072 6072 E AndroidRuntime: at android database sqlite SQLiteProgram (SQLiteProgram java:58)_x000D_
02 04 06:05:48 738 6072 6072 E AndroidRuntime: at android database sqlite SQLiteStatement (SQLiteStatement java:31)_x000D_
02 04 06:05:48 738 6072 6072 E AndroidRuntime: at android database sqlite SQLiteDatabase executeSql(SQLiteDatabase java:1770)_x000D_
02 04 06:05:48 738 6072 6072 E AndroidRuntime: at android database sqlite SQLiteDatabase execSQL(SQLiteDatabase java:1698)_x000D_
02 04 06:05:48 738 6072 6072 E AndroidRuntime: at com owncloud android providers FileContentProvider DataBaseHelper onUpgrade(FileContentProvider java:1741)_x000D_
02 04 06:05:48 738 6072 6072 E AndroidRuntime: at android database sqlite SQLiteOpenHelper getDatabaseLocked(SQLiteOpenHelper java:398)_x000D_
02 04 06:05:48 738 6072 6072 E AndroidRuntime: at android database sqlite SQLiteOpenHelper getReadableDatabase(SQLiteOpenHelper java:322)_x000D_
02 04 06:05:48 738 6072 6072 E AndroidRuntime: at com owncloud android providers FileContentProvider query(FileContentProvider java:485)_x000D_
02 04 06:05:48 738 6072 6072 E AndroidRuntime: at android content ContentProvider query(ContentProvider java:1057)_x000D_
02 04 06:05:48 738 6072 6072 E AndroidRuntime: at android content ContentProvider query(ContentProvider java:1149)_x000D_
02 04 06:05:48 738 6072 6072 E AndroidRuntime: at android content ContentProvider Transport query(ContentProvider java:241)_x000D_
02 04 06:05:48 738 6072 6072 E AndroidRuntime: at android content ContentResolver query(ContentResolver java:802)_x000D_
02 04 06:05:48 738 6072 6072 E AndroidRuntime: at android content ContentResolver query(ContentResolver java:752)_x000D_
02 04 06:05:48 738 6072 6072 E AndroidRuntime: at android content ContentResolver query(ContentResolver java:710)_x000D_
02 04 06:05:48 738 6072 6072 E AndroidRuntime: at com owncloud android datamodel SyncedFolderProvider getSyncedFolders(SyncedFolderProvider java:105)_x000D_
02 04 06:05:48 738 6072 6072 E AndroidRuntime: at com owncloud android datamodel SyncedFolderProvider updateAutoUploadPaths(SyncedFolderProvider java:246)_x000D_
02 04 06:05:48 738 6072 6072 E AndroidRuntime: at com owncloud android MainApp updateAutoUploadEntries(MainApp java:556)_x000D_
02 04 06:05:48 738 6072 6072 E AndroidRuntime: at com owncloud android MainApp initSyncOperations(MainApp java:299)_x000D_
02 04 06:05:48 738 6072 6072 E AndroidRuntime: at com owncloud android MainApp onCreate(MainApp java:167)_x000D_
02 04 06:05:48 738 6072 6072 E AndroidRuntime: at android app Instrumentation callApplicationOnCreate(Instrumentation java:1154)_x000D_
02 04 06:05:48 738 6072 6072 E AndroidRuntime: at android app ActivityThread handleBindApplication(ActivityThread java:5920)_x000D_
02 04 06:05:48 738 6072 6072 E AndroidRuntime:     8 more_x000D_
  NOTE:   Be super sure to remove sensitive data like passwords  note that everybody can look here  You can use the Issue Template application to prefill some of the required information: https:  apps nextcloud com apps issuetemplate_x000D_
</t>
  </si>
  <si>
    <t>nextcloud-android-3559</t>
  </si>
  <si>
    <t>[3.5.0RC1] IllegalArgumentException via AuthenticatorActivity.parseLoginDataUrl</t>
  </si>
  <si>
    <t xml:space="preserve">via GPlay:_x000D_
   _x000D_
java lang RuntimeException: _x000D_
  at android app ActivityThread performLaunchActivity (ActivityThread java:2825)_x000D_
  at android app ActivityThread handleLaunchActivity (ActivityThread java:2900)_x000D_
  at android app ActivityThread  wrap11 (Unknown Source)_x000D_
  at android app ActivityThread H handleMessage (ActivityThread java:1601)_x000D_
  at android os Handler dispatchMessage (Handler java:105)_x000D_
  at android os Looper loop (Looper java:251)_x000D_
  at android app ActivityThread main (ActivityThread java:6589)_x000D_
  at java lang reflect Method invoke (Native Method)_x000D_
  at com android internal os Zygote MethodAndArgsCaller run (Zygote java:240)_x000D_
  at com android internal os ZygoteInit main (ZygoteInit java:767)_x000D_
Caused by: java lang IllegalArgumentException: _x000D_
  at com owncloud android authentication AuthenticatorActivity parseLoginDataUrl (AuthenticatorActivity java:577)_x000D_
  at com owncloud android authentication DeepLinkLoginActivity onCreate (DeepLinkLoginActivity java:21)_x000D_
  at android app Activity performCreate (Activity java:6975)_x000D_
  at android app Instrumentation callActivityOnCreate (Instrumentation java:1214)_x000D_
  at android app ActivityThread performLaunchActivity (ActivityThread java:2778)_x000D_
   _x000D_
_x000D_
piece of code causeing it:_x000D_
   _x000D_
for (String value : values)  _x000D_
            if (value startsWith( user    LOGIN URL DATA KEY VALUE SEPARATOR))  _x000D_
                loginUrlInfo username   URLDecoder decode(_x000D_
                        value substring(( user    LOGIN URL DATA KEY VALUE SEPARATOR) length())) _x000D_
              else if (value startsWith( password    LOGIN URL DATA KEY VALUE SEPARATOR))  _x000D_
                loginUrlInfo password   URLDecoder decode(_x000D_
                        value substring(( password    LOGIN URL DATA KEY VALUE SEPARATOR) length())) _x000D_
              else if (value startsWith( server    LOGIN URL DATA KEY VALUE SEPARATOR))  _x000D_
                loginUrlInfo serverAddress   URLDecoder decode(_x000D_
                        value substring(( server    LOGIN URL DATA KEY VALUE SEPARATOR) length())) _x000D_
              else  _x000D_
                   error illegal URL element detected_x000D_
                throw new IllegalArgumentException( Illegal magic login URL element detected:     value) _x000D_
             _x000D_
         _x000D_
   _x000D_
_x000D_
To me this can only happen  if _x000D_
  Nc Login URL protocoll is correct but_x000D_
  a parameter has been set that is unexpected (read:  not  user password server)_x000D_
_x000D_
In such a scenario the client should just state that (Snackbar maybe) but shouldn t report a crash on the GPlay dev console _x000D_
_x000D_
What do you think  tobiasKaminsky  </t>
  </si>
  <si>
    <t>k9mail-k-9-3900</t>
  </si>
  <si>
    <t>Crash when opening PGP/MIME signed email</t>
  </si>
  <si>
    <t xml:space="preserve">    Expected behavior_x000D_
The email should be opened and all attachments should be listed _x000D_
_x000D_
    Actual behavior_x000D_
The app crashes upon opening the email _x000D_
_x000D_
    Steps to reproduce_x000D_
1  Receive an email with multipart signed type (PGP  Enigmail) and attachments_x000D_
2  Click on it in the folder_x000D_
_x000D_
    Environment_x000D_
K 9 Mail version: 5 208_x000D_
_x000D_
Android version: 8 0 0_x000D_
_x000D_
_x000D_
_x000D_
Account type (IMAP  POP3  WebDAV Exchange): IMAP_x000D_
_x000D_
Please take some time to  retrieve logs (https:  github com k9mail k 9 wiki LoggingErrors) and attach them here:_x000D_
 k9 log txt (https:  github com k9mail k 9 files 2827760 k9 log txt)</t>
  </si>
  <si>
    <t>popcorn-official-popcorn-android-490</t>
  </si>
  <si>
    <t>Crash while click on some options</t>
  </si>
  <si>
    <t xml:space="preserve">Version:  0 2 9_x000D_
Download date:  4 2 2019_x000D_
Android version:  Arm64 v8_x000D_
_x000D_
     Expected Behaviour_x000D_
     What did you think the app was going to do     _x000D_
I open app and checking the top rated list for movies  And it should show me the top rated movie list _x000D_
_x000D_
     Actual Behaviour_x000D_
     What does the app do instead     _x000D_
It crash  And also crash for series _x000D_
_x000D_
     Steps to repoduce the behaviour_x000D_
     What steps do we need to take to find the same bug that you found     _x000D_
_x000D_
1  Go to main page and click on Top rated _x000D_
2  Also you can click options later than Top rated _x000D_
3  It also happend in Arm v7a_x000D_
</t>
  </si>
  <si>
    <t>nextcloud-android-3557</t>
  </si>
  <si>
    <t>Crashes potentially related to Auto Upload</t>
  </si>
  <si>
    <t xml:space="preserve">    Actual behaviour_x000D_
  The app hangs and crashes  100  fail rate when I try to access auto upload _x000D_
  After opening the app my phone restarted _x000D_
_x000D_
    Expected behaviour_x000D_
  No hangs  no crashes _x000D_
 _x000D_
    Steps to reproduce_x000D_
1  Open the app and wait _x000D_
2  Or open the app and try to access auto upload _x000D_
_x000D_
    Environment data_x000D_
Android version: 8 0 0_x000D_
_x000D_
Device model: Samsung Galaxy S7 (SM G930F)_x000D_
_x000D_
Stock or customized system: Stock_x000D_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</si>
  <si>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deltachat-deltachat-android-698</t>
  </si>
  <si>
    <t>group create issues</t>
  </si>
  <si>
    <t xml:space="preserve">  create group    add one member    leave group name empty    create    crash_x000D_
_x000D_
  create group    show qr code    do  not  scan    optionally add one member    create    cannot send as SELF is not member</t>
  </si>
  <si>
    <t>nextcloud-android-3552</t>
  </si>
  <si>
    <t>Crash when setting nextcloud for first time</t>
  </si>
  <si>
    <t xml:space="preserve">    Actual behaviour_x000D_
When I click on grant access  nextcloud goes to the background (it does actually closed itself) and is back to the connect page (first page when open nextcloud for the first time)  so it doesn t save my credentials_x000D_
_x000D_
    Expected behaviour_x000D_
  Should connect to my account when I click on  Grant access  _x000D_
 _x000D_
    Steps to reproduce_x000D_
1  Open Nextcloud_x000D_
2  Follow the process: connect  address of the provider  username password  grant access_x000D_
_x000D_
_x000D_
    Environment data_x000D_
Android version: Lineage 15 1_x000D_
_x000D_
Device model:  galaxy S4 mini_x000D_
_x000D_
Nextcloud app version: 3 4 2_x000D_
_x000D_
Nextcloud server version: 15 (not sure)_x000D_
_x000D_
    Logs_x000D_
_x000D_
     Nextcloud log (data nextcloud log)_x000D_
   _x000D_
02 02 10:59:29 222 25278  2409 D PlatformJobService: Run job  request id 9  tag MediaFoldersDetectionJob  transient false   waited 03:26:12  interval 00:15:00  flex 00:05:00_x000D_
02 02 10:59:29 222 25278  2409 I JobExecutor: Executing request id 9  tag MediaFoldersDetectionJob  transient false   context PlatformJobService_x000D_
02 02 10:59:29 224 25278  2407 D PlatformJobService: Run job  request id 2  tag OfflineSyncJob  transient false   waited 12:44:39 ( 1 day)  interval 00:15:00  flex 00:05:00_x000D_
02 02 10:59:29 247 25278  2408 D PlatformJobService: Run job  request id 8  tag FilesSyncJob  transient false   waited 03:26:13  interval 00:15:00  flex 00:05:00_x000D_
02 02 10:59:29 248 25278  2408 I JobExecutor: Executing request id 8  tag FilesSyncJob  transient false   context PlatformJobService_x000D_
02 02 10:59:29 251 25278  2407 I JobExecutor: Executing request id 2  tag OfflineSyncJob  transient false   context PlatformJobService_x000D_
02 02 10:59:29 261 25278  2418 I JobExecutor: Finished job id 2  finished true  result SUCCESS  canceled false  periodic true  class OfflineSyncJob  tag OfflineSyncJob _x000D_
02 02 10:59:29 274 25278  2417 E JobExecutor: Crashed job id 8  finished true  result FAILURE  canceled false  periodic true  class FilesSyncJob  tag FilesSyncJob _x000D_
02 02 10:59:29 274 25278  2417 E JobExecutor: java lang NullPointerException: Attempt to invoke virtual method  void android os PowerManager WakeLock release()  on a null object reference_x000D_
02 02 10:59:29 274 25278  2417 E JobExecutor: 	at com owncloud android jobs FilesSyncJob onRunJob(FilesSyncJob java:91)_x000D_
02 02 10:59:29 274 25278  2417 E JobExecutor: 	at com evernote android job Job runJob(Job java:124)_x000D_
02 02 10:59:29 274 25278  2417 E JobExecutor: 	at com evernote android job JobExecutor JobCallable runJob(JobExecutor java:181)_x000D_
02 02 10:59:29 274 25278  2417 E JobExecutor: 	at com evernote android job JobExecutor JobCallable call(JobExecutor java:166)_x000D_
02 02 10:59:29 274 25278  2417 E JobExecutor: 	at com evernote android job JobExecutor JobCallable call(JobExecutor java:149)_x000D_
02 02 10:59:29 274 25278  2417 E JobExecutor: 	at java util concurrent FutureTask run(FutureTask java:266)_x000D_
02 02 10:59:29 274 25278  2417 E JobExecutor: 	at java util concurrent ThreadPoolExecutor runWorker(ThreadPoolExecutor java:1162)_x000D_
02 02 10:59:29 274 25278  2417 E JobExecutor: 	at java util concurrent ThreadPoolExecutor Worker run(ThreadPoolExecutor java:636)_x000D_
02 02 10:59:29 274 25278  2417 E JobExecutor: 	at java lang Thread run(Thread java:764)_x000D_
02 02 10:59:29 285 25278  2408 D PlatformJobService: Finished job  request id 8  tag FilesSyncJob  transient false  FAILURE_x000D_
02 02 10:59:29 327 25278  2407 D PlatformJobService: Finished job  request id 2  tag OfflineSyncJob  transient false  SUCCESS_x000D_
02 02 10:59:29 327 25278  2416 D MediaProvider: Reading images for Camera_x000D_
02 02 10:59:29 349 25278  2416 D MediaProvider: Reading images for Conversations Images_x000D_
02 02 10:59:29 384 25278  2416 D MediaProvider: Reading images for OpenCamera_x000D_
02 02 10:59:29 402 25278  2416 D MediaProvider: Reading images for Pictures_x000D_
02 02 10:59:29 419 25278  2416 D MediaProvider: Reading images for Screenshots_x000D_
02 02 10:59:29 456 25278  2416 D MediaProvider: Reading videos for Camera_x000D_
02 02 10:59:29 480 25278  2416 D MediaProvider: Reading videos for Conversations Videos_x000D_
02 02 10:59:29 532 25278  2416 V ArbitraryDataProvider: Updating arbitrary data with cloud id: global key: media folders value:   imageMediaFolders :   storage emulated 0 DCIM Camera    storage emulated 0 Conversations Media Conversations Images    storage emulated 0 DCIM OpenCamera    storage emulated 0 Pictures    storage emulated 0 Pictures Screenshots    storage emulated 0 DCIM Camera    storage emulated 0 Conversations Media Conversations Videos    videoMediaFolders :   _x000D_
02 02 10:59:29 606 25278  2416 I JobExecutor: Finished job id 9  finished true  result SUCCESS  canceled false  periodic true  class MediaFoldersDetectionJob  tag MediaFoldersDetectionJob _x000D_
02 02 10:59:29 653 25278  2409 D PlatformJobService: Finished job  request id 9  tag MediaFoldersDetectionJob  transient false  SUCCESS_x000D_
02 02 11:06:44 987 25278  2729 D PlatformAlarmService: Run job  request id 18  tag MediaFoldersDetectionJob  transient false   waited 00:00:00  delay 00:00:00_x000D_
02 02 11:06:45 082 25278  2729 I JobExecutor: Executing request id 18  tag MediaFoldersDetectionJob  transient false   context PlatformAlarmService_x000D_
02 02 11:06:45 148 25278  2732 D MediaProvider: Reading images for Camera_x000D_
02 02 11:06:45 254 25278  2732 D MediaProvider: Reading images for Conversations Images_x000D_
02 02 11:06:45 301 25278  2732 D MediaProvider: Reading images for OpenCamera_x000D_
02 02 11:06:45 317 25278  2732 D MediaProvider: Reading images for Pictures_x000D_
02 02 11:06:45 330 25278  2732 D MediaProvider: Reading images for Screenshots_x000D_
02 02 11:06:45 365 25278  2732 D MediaProvider: Reading videos for Camera_x000D_
02 02 11:06:45 392 25278  2732 D MediaProvider: Reading videos for Conversations Videos_x000D_
02 02 11:06:45 413 25278  2732 V ArbitraryDataProvider: Updating arbitrary data with cloud id: global key: media folders value:   imageMediaFolders :   storage emulated 0 DCIM Camera    storage emulated 0 Conversations Media Conversations Images    storage emulated 0 DCIM OpenCamera    storage emulated 0 Pictures    storage emulated 0 Pictures Screenshots    storage emulated 0 DCIM Camera    storage emulated 0 Conversations Media Conversations Videos    videoMediaFolders :   _x000D_
02 02 11:06:45 464 25278  2732 I JobExecutor: Finished job id 18  finished true  result SUCCESS  canceled false  periodic false  class MediaFoldersDetectionJob  tag MediaFoldersDetectionJob _x000D_
02 02 11:06:45 465 25278  2729 D PlatformAlarmService: Finished job  request id 18  tag MediaFoldersDetectionJob  transient false  SUCCESS_x000D_
02 02 11:07:26 468 25278 25292 D vndksupport: Loading libutils so from current namespace instead of sphal namespace _x000D_
02 02 11:14:06 281 25278  3107 D PlatformJobService: Run job  request id 8  tag FilesSyncJob  transient false   waited 03:40:50  interval 00:15:00  flex 00:05:00_x000D_
02 02 11:14:06 282 25278  3107 I JobExecutor: Executing request id 8  tag FilesSyncJob  transient false   context PlatformJobService_x000D_
02 02 11:14:06 312 25278  3116 D PlatformJobService: Run job  request id 9  tag MediaFoldersDetectionJob  transient false   waited 03:40:50  interval 00:15:00  flex 00:05:00_x000D_
02 02 11:14:06 317 25278  3109 D PlatformJobService: Run job  request id 2  tag OfflineSyncJob  transient false   waited 12:59:16 ( 1 day)  interval 00:15:00  flex 00:05:00_x000D_
02 02 11:14:06 317 25278  3116 I JobExecutor: Executing request id 9  tag MediaFoldersDetectionJob  transient false   context PlatformJobService_x000D_
02 02 11:14:06 324 25278  3109 I JobExecutor: Executing request id 2  tag OfflineSyncJob  transient false   context PlatformJobService_x000D_
02 02 11:14:06 392 25278  3119 I JobExecutor: Finished job id 2  finished true  result SUCCESS  canceled false  periodic true  class OfflineSyncJob  tag OfflineSyncJob _x000D_
02 02 11:14:06 422 25278  3118 D MediaProvider: Reading images for Camera_x000D_
02 02 11:14:06 423 25278  3117 I JobExecutor: Finished job id 8  finished true  result SUCCESS  canceled false  periodic true  class FilesSyncJob  tag FilesSyncJob _x000D_
02 02 11:14:06 435 25278  3118 D MediaProvider: Reading images for Conversations Images_x000D_
02 02 11:14:06 458 25278  3118 D MediaProvider: Reading images for OpenCamera_x000D_
02 02 11:14:06 469 25278  3118 D MediaProvider: Reading images for Pictures_x000D_
02 02 11:14:06 485 25278  3118 D MediaProvider: Reading images for Screenshots_x000D_
02 02 11:14:06 498 25278  3109 D PlatformJobService: Finished job  request id 2  tag OfflineSyncJob  transient false  SUCCESS_x000D_
02 02 11:14:06 508 25278  3118 D MediaProvider: Reading videos for Camera_x000D_
02 02 11:14:06 522 25278  3118 D MediaProvider: Reading videos for Conversations Videos_x000D_
02 02 11:14:06 544 25278  3118 V ArbitraryDataProvider: Updating arbitrary data with cloud id: global key: media folders value:   imageMediaFolders :   storage emulated 0 DCIM Camera    storage emulated 0 Conversations Media Conversations Images    storage emulated 0 DCIM OpenCamera    storage emulated 0 Pictures    storage emulated 0 Pictures Screenshots    storage emulated 0 DCIM Camera    storage emulated 0 Conversations Media Conversations Videos    videoMediaFolders :   _x000D_
02 02 11:14:06 561 25278  3107 D PlatformJobService: Finished job  request id 8  tag FilesSyncJob  transient false  SUCCESS_x000D_
02 02 11:14:06 615 25278  3118 I JobExecutor: Finished job id 9  finished true  result SUCCESS  canceled false  periodic true  class MediaFoldersDetectionJob  tag MediaFoldersDetectionJob _x000D_
02 02 11:14:06 653 25278  3116 D PlatformJobService: Finished job  request id 9  tag MediaFoldersDetectionJob  transient false  SUCCESS_x000D_
02 02 11:15:42 531 25278 25278 V FileDisplayActivity: onCreate() start_x000D_
02 02 11:15:42 544 25278 25278 D FileDisplayActivity: onCreate(Bundle) starting_x000D_
02 02 11:15:42 593 25278 25278 I AppCompatViewInflater: app:theme is now deprecated  Please move to using android:theme instead _x000D_
02 02 11:15:42 609 25278 25290 I AccountAuthenticator: Adding account with type nextcloud and auth token null_x000D_
02 02 11:15:42 769 25278 25278 D FileDisplayActivity: onStart() starting_x000D_
02 02 11:15:42 784 25278  3319 D ExternalLinks: links disabled_x000D_
02 02 11:15:42 813 25278 25278 E FileDisplayActivity: Access to unexisting list of files fragment  _x000D_
02 02 11:15:42 815 25278 25278 V FileDisplayActivity: onResume() start_x000D_
02 02 11:15:42 816 25278 25278 D FileDisplayActivity: onResume() starting_x000D_
02 02 11:15:42 816 25278 25278 I OCFileListFragment: onAttach_x000D_
02 02 11:15:42 819 25278 25278 I OCFileListFragment: onCreateView() start_x000D_
02 02 11:15:42 819 25278 25278 D ExtendedListFragment: onCreateView_x000D_
02 02 11:15:42 884 25278 25278 I OCFileListFragment: onCreateView() end_x000D_
02 02 11:15:42 884 25278 25278 I OCFileListFragment: onActivityCreated() start_x000D_
02 02 11:15:42 944 25278 25278 V FileDisplayActivity: onResume() end_x000D_
02 02 11:15:42 984 25278 25278 D OperationsService: Creating service_x000D_
02 02 11:15:42 989 25278 25278 D FileDownloader: Creating service_x000D_
02 02 11:15:43 000 25278 25278 D FileUploader: Creating service_x000D_
02 02 11:15:43 011 25278 25278 V UploadsStorageManager: Updating state of any killed upload_x000D_
02 02 11:15:43 015 25278 25278 V UploadsStorageManager: No upload was killed_x000D_
02 02 11:15:43 018 25278 25278 V FileDisplayActivity: onPause() start_x000D_
02 02 11:15:43 019 25278 25278 D FileDisplayActivity: onPause() ending_x000D_
02 02 11:15:43 020 25278 25278 V FileDisplayActivity: onPause() end_x000D_
02 02 11:15:43 084 25278 25278 I zygote  : Deoptimizing void android support v7 widget LinearLayoutCompat measureHorizontal(int  int) due to JIT inline cache_x000D_
02 02 11:15:43 088 25278 25278 W StaticLayout: maxLineHeight should not be  1   maxLines:2 lineCount:2_x000D_
02 02 11:15:43 105 25278 25278 I chatty  : uid 10136(com nextcloud client) identical 3 lines_x000D_
02 02 11:15:43 106 25278 25278 W StaticLayout: maxLineHeight should not be  1   maxLines:2 lineCount:2_x000D_
02 02 11:15:43 183 25278 25278 D FileActivity: Operations service connected_x000D_
02 02 11:15:43 184 25278 25278 D FileDisplayActivity: Download service connected_x000D_
02 02 11:15:43 184 25278 25278 D FileDisplayActivity: Upload service connected_x000D_
02 02 11:15:43 192 25278 25278 D AuthenticatorActivity: onCreate(Bundle) starting_x000D_
02 02 11:15:43 247 25278 25289 I zygote  : Background concurrent copying GC freed 15734(1170KB) AllocSpace objects  71(1420KB) LOS objects  49  free  3MB 7MB  paused 244us total 309 812ms_x000D_
02 02 11:15:43 273 25278 25278 I TextInputLayout: EditText added is not a TextInputEditText  Please switch to using that class instead _x000D_
02 02 11:15:43 314 25278 25278 I TextInputLayout: EditText added is not a TextInputEditText  Please switch to using that class instead _x000D_
02 02 11:15:43 319 25278 25283 I zygote  : Do full code cache collection  code 125KB  data 111KB_x000D_
02 02 11:15:43 325 25278 25278 I TextInputLayout: EditText added is not a TextInputEditText  Please switch to using that class instead _x000D_
02 02 11:15:43 332 25278 25278 I TextInputLayout: EditText added is not a TextInputEditText  Please switch to using that class instead _x000D_
02 02 11:15:43 340 25278 25278 D AuthenticatorActivity: onStart() starting_x000D_
02 02 11:15:43 343 25278 25278 D AuthenticatorActivity: onResume() starting_x000D_
02 02 11:15:43 352 25278 25283 I zygote  : After code cache collection  code 117KB  data 80KB_x000D_
02 02 11:15:43 430 25278 25304 W Adreno EGL:  qeglDrvAPI eglGetConfigAttrib:607 : EGL BAD ATTRIBUTE_x000D_
02 02 11:15:43 436 25278 25304 D vndksupport: Loading  vendor lib hw gralloc msm8960 so from current namespace instead of sphal namespace _x000D_
02 02 11:15:43 444 25278 25278 D AuthenticatorActivity: onPause() ending_x000D_
02 02 11:15:43 496 25278 25278 D FirstRunActivity: onCreate(Bundle) starting_x000D_
02 02 11:15:43 522 25278 25278 D FirstRunActivity: onStart() starting_x000D_
02 02 11:15:43 524 25278 25278 D FirstRunActivity: onResume() starting_x000D_
02 02 11:15:43 606 25278 25304 W Adreno EGL:  qeglDrvAPI eglGetConfigAttrib:607 : EGL BAD ATTRIBUTE_x000D_
02 02 11:15:43 614 25278 25304 D vndksupport: Loading  vendor lib hw gralloc msm8960 so from current namespace instead of sphal namespace _x000D_
02 02 11:15:44 140 25278 25278 D AuthenticatorActivity: onSaveInstanceState(Bundle) starting_x000D_
02 02 11:15:44 149 25278 25278 D AuthenticatorActivity: onStop() ending_x000D_
02 02 11:15:44 185 25278 25278 V FileDisplayActivity: onSaveInstanceState() start_x000D_
02 02 11:15:44 187 25278 25278 D FileDisplayActivity: onSaveInstanceState(Bundle) starting_x000D_
02 02 11:15:44 188 25278 25278 D ExtendedListFragment: onSaveInstanceState()_x000D_
02 02 11:15:44 190 25278 25278 V FileDisplayActivity: onSaveInstanceState() end_x000D_
02 02 11:15:44 192 25278 25278 D FileDisplayActivity: onStop() ending_x000D_
02 02 11:15:45 047 25278 25278 D FirstRunActivity: onPause() ending_x000D_
02 02 11:15:45 083 25278 25278 D AuthenticatorActivity: onStart() starting_x000D_
02 02 11:15:45 084 25278 25278 D AuthenticatorActivity: onResume() starting_x000D_
02 02 11:15:45 163 25278 25304 W Adreno EGL:  qeglDrvAPI eglGetConfigAttrib:607 : EGL BAD ATTRIBUTE_x000D_
02 02 11:15:45 166 25278 25304 D vndksupport: Loading  vendor lib hw gralloc msm8960 so from current namespace instead of sphal namespace _x000D_
02 02 11:15:45 522 25278 25278 D FirstRunActivity: onStop() ending_x000D_
02 02 11:15:45 523 25278 25278 D FirstRunActivity: onDestroy() ending_x000D_
02 02 11:16:12 122 25278 25283 I zygote  : Do partial code cache collection  code 126KB  data 96KB_x000D_
02 02 11:16:12 130 25278 25283 I zygote  : After code cache collection  code 126KB  data 96KB_x000D_
02 02 11:16:12 130 25278 25283 I zygote  : Increasing code cache capacity to 512KB_x000D_
02 02 11:16:33 610 25278 25278 D OperationsService: Starting command with id 1_x000D_
02 02 11:16:33 831 25278  3325 D NetworkUtils: Searching known servers store at  data user 0 com nextcloud client files knownServers bks_x000D_
02 02 11:16:34 239 25278  3325 D NetworkSecurityConfig: Using Network Security Config from resource network security config debugBuild: false_x000D_
02 02 11:16:35 544 25278  3325 D OwnCloudClient  0: Creating OwnCloudClient_x000D_
02 02 11:16:35 545 25278  3325 D AccountUtils: Restoring cookies for null_x000D_
02 02 11:16:35 583 25278  3325 D OwnCloudClient  0: REQUEST GET  status php_x000D_
02 02 11:16:35 591 25278  3325 D AdvancedSslSocketFactory: Creating SSL Socket with remote cloud myserver com:443  local null:0  params: org apache commons httpclient params HttpConnectionParams 43451aa_x000D_
02 02 11:16:35 592 25278  3325 D AdvancedSslSocketFactory:      with connection timeout 50000 and socket timeout 50000_x000D_
02 02 11:16:35 673 25278  3325 I ServerNameIndicator: SSLSocket implementation: com android org conscrypt ConscryptFileDescriptorSocket_x000D_
02 02 11:16:35 677 25278  3325 I ServerNameIndicator: SNI done  hostname: cloud myserver com_x000D_
02 02 11:16:36 209 25278  3325 W HttpMethodBase: Going to buffer response body of large or unknown size  Using getResponseBodyAsStream instead is recommended _x000D_
02 02 11:16:36 213 25278  3325 I GetRemoteStatusOperation: Connection check at https:  cloud myserver com: Operation finished with HTTP status code  1 (success)_x000D_
02 02 11:16:36 214 25278  3325 D GetServerInfoOperation: Trying empty authorization to detect authentication method_x000D_
02 02 11:16:36 217 25278  3325 D OwnCloudClient  0: REQUEST HEAD  remote php webdav _x000D_
02 02 11:16:36 403 25278  3325 I AuthChallengeProcessor: basic authentication scheme selected_x000D_
02 02 11:16:36 408 25278  3325 I HttpMethodDirector: No credentials available for BASIC  Disroot Cloud  cloud myserver com:443_x000D_
02 02 11:16:36 409 25278  3325 D ExistenceCheckRemoteOperation: Existence check for https:  cloud myserver com remote php webdav  targeting for  existence finished with HTTP status 401(FAIL)_x000D_
02 02 11:16:36 411 25278  3325 D DetectAuthenticationMethodOperation: Authentication method found: BASIC HTTP AUTH_x000D_
02 02 11:16:36 451 25278  3325 D OperationsService: Called 1 listeners_x000D_
02 02 11:16:36 451 25278  3325 D OperationsService: Stopping after command with id 1_x000D_
02 02 11:16:36 457 25278 25278 I cr BrowserStartup: Initializing chromium process  singleProcess false_x000D_
02 02 11:16:36 479 25278  3520 W cr ChildProcLH: Create a new ChildConnectionAllocator with package name   com android webview  sandboxed   true_x000D_
02 02 11:16:36 492 25278 25278 I chromium:  INFO:aw field trial creator cc(54)  First WebView Experiment not found_x000D_
02 02 11:16:36 534 25278  3531 W cr CrashFileManager:  data user 0 com nextcloud client cache WebView Crash Reports does not exist or is not a directory_x000D_
02 02 11:16:36 696 25278  3521 E cr ApiBridge: Failed to init handler: Attempt to invoke virtual method  java lang reflect Constructor java lang Class getDeclaredConstructor(java lang Class  )  on a null object reference_x000D_
02 02 11:16:36 717 25278  3526 W cr media: Requires BLUETOOTH permission_x000D_
02 02 11:16:36 736 25278  3555 W Adreno EGL:  qeglDrvAPI eglGetConfigAttrib:607 : EGL BAD ATTRIBUTE_x000D_
02 02 11:16:36 892 25278  3555 W VideoCapabilities: Unrecognized profile level 0 3 for video mpeg2_x000D_
02 02 11:16:36 940 25278  3555 I VideoCapabilities: Unsupported profile 4 for video mp4v es_x000D_
02 02 11:16:37 038 25278  3555 W Adreno EGL:  qeglDrvAPI eglGetConfigAttrib:607 : EGL BAD ATTRIBUTE_x000D_
02 02 11:16:38 082 25278 25278 I chromium:  INFO:CONSOLE(7)   JQMIGRATE: Migrate is installed  version 1 4 0   source: https:  cloud myserver com core vendor core js v fac98e2f 59 (7)_x000D_
02 02 11:16:39 402 25278 25278 I chromium:  INFO:CONSOLE(0)   Failed to decode downloaded font: https:  cloud myserver com core fonts Nunito Regular woff2   source: https:  cloud myserver com index php login flow (0)_x000D_
02 02 11:16:39 402 25278 25278 I chromium:  INFO:CONSOLE(0)   OTS parsing error: invalid version tag   source: https:  cloud myserver com index php login flow (0)_x000D_
02 02 11:16:39 565 25278 25278 I chromium:  INFO:CONSOLE(0)   Failed to decode downloaded font: https:  cloud myserver com core fonts Nunito Bold woff2   source: https:  cloud myserver com index php login flow (0)_x000D_
02 02 11:16:39 567 25278 25278 I chromium:  INFO:CONSOLE(0)   OTS parsing error: invalid version tag   source: https:  cloud myserver com index php login flow (0)_x000D_
02 02 11:17:20 650 25278 25278 I chromium:  INFO:CONSOLE(7)   JQMIGRATE: Migrate is installed  version 1 4 0   source: https:  cloud myserver com core vendor core js v fac98e2f 59 (7)_x000D_
02 02 11:17:21 239 25278 25278 I chromium:  INFO:CONSOLE(0)   Failed to decode downloaded font: https:  cloud myserver com core fonts Nunito Regular woff2   source: https:  cloud myserver com login redirect url  login flow grant 3FclientIdentifier 3D 26stateToken 3DKjtZHO2pXWWOgAAkFGsQGPOR4YZqyW8qFc1h66riVlTOgs1dCVAyCGRdrsjQhwm1 (0)_x000D_
02 02 11:17:21 240 25278 25278 I chromium:  INFO:CONSOLE(0)   OTS parsing error: invalid version tag   source: https:  cloud myserver com login redirect url  login flow grant 3FclientIdentifier 3D 26stateToken 3DKjtZHO2pXWWOgAAkFGsQGPOR4YZqyW8qFc1h66riVlTOgs1dCVAyCGRdrsjQhwm1 (0)_x000D_
02 02 11:17:21 410 25278 25278 I chromium:  INFO:CONSOLE(0)   Failed to decode downloaded font: https:  cloud myserver com core fonts Nunito Bold woff2   source: https:  cloud myserver com login redirect url  login flow grant 3FclientIdentifier 3D 26stateToken 3DKjtZHO2pXWWOgAAkFGsQGPOR4YZqyW8qFc1h66riVlTOgs1dCVAyCGRdrsjQhwm1 (0)_x000D_
02 02 11:17:21 411 25278 25278 I chromium:  INFO:CONSOLE(0)   OTS parsing error: invalid version tag   source: https:  cloud myserver com login redirect url  login flow grant 3FclientIdentifier 3D 26stateToken 3DKjtZHO2pXWWOgAAkFGsQGPOR4YZqyW8qFc1h66riVlTOgs1dCVAyCGRdrsjQhwm1 (0)_x000D_
02 02 11:17:23 333 25278 25278 W cr AwAutofillManager: WebView autofill is disabled because WebView isn t created with activity context _x000D_
02 02 11:17:24 246 25278 25278 W cr AwAutofillManager: WebView autofill is disabled because WebView isn t created with activity context _x000D_
02 02 11:17:24 619 25278 25278 W cr AwAutofillManager: WebView autofill is disabled because WebView isn t created with activity context _x000D_
02 02 11:17:25 074 25278 25278 I chatty  : uid 10136(com nextcloud client) identical 12 lines_x000D_
02 02 11:17:25 432 25278 25278 W cr AwAutofillManager: WebView autofill is disabled because WebView isn t created with activity context _x000D_
02 02 11:17:25 611 25278 25278 W cr AwAutofillManager: WebView autofill is disabled because WebView isn t created with activity context _x000D_
02 02 11:17:26 264 25278 25278 W cr AwAutofillManager: WebView autofill is disabled because WebView isn t created with activity context _x000D_
02 02 11:17:26 681 25278 25278 W cr AwAutofillManager: WebView autofill is disabled because WebView isn t created with activity context _x000D_
02 02 11:17:27 573 25278 25278 W cr AwAutofillManager: WebView autofill is disabled because WebView isn t created with activity context _x000D_
02 02 11:17:28 019 25278 25278 W cr AwAutofillManager: WebView autofill is disabled because WebView isn t created with activity context _x000D_
02 02 11:17:28 558 25278 25278 W cr AwAutofillManager: WebView autofill is disabled because WebView isn t created with activity context _x000D_
02 02 11:17:28 820 25278 25278 W cr AwAutofillManager: WebView autofill is disabled because WebView isn t created with activity context _x000D_
02 02 11:17:29 654 25278 25278 W cr AwAutofillManager: WebView autofill is disabled because WebView isn t created with activity context _x000D_
02 02 11:17:30 868 25278 25278 W cr AwAutofillManager: WebView autofill is disabled because WebView isn t created with activity context _x000D_
02 02 11:17:31 051 25278 25278 W cr AwAutofillManager: WebView autofill is disabled because WebView isn t created with activity context _x000D_
02 02 11:17:31 613 25278 25278 W cr AwAutofillManager: WebView autofill is disabled because WebView isn t created with activity context _x000D_
02 02 11:17:32 570 25278 25278 W cr AwAutofillManager: WebView autofill is disabled because WebView isn t created with activity context _x000D_
02 02 11:17:32 832 25278 25278 W cr AwAutofillManager: WebView autofill is disabled because WebView isn t created with activity context _x000D_
02 02 11:17:33 602 25278 25278 W cr AwAutofillManager: WebView autofill is disabled because WebView isn t created with activity context _x000D_
02 02 11:17:33 952 25278 25278 W cr AwAutofillManager: WebView autofill is disabled because WebView isn t created with activity context _x000D_
02 02 11:17:34 625 25278 25278 W cr AwAutofillManager: WebView autofill is disabled because WebView isn t created with activity context _x000D_
02 02 11:17:35 556 25278 25278 W cr AwAutofillManager: WebView autofill is disabled because WebView isn t created with activity context _x000D_
02 02 11:17:36 247 25278 25278 W cr AwAutofillManager: WebView autofill is disabled because WebView isn t created with activity context _x000D_
02 02 11:17:36 880 25278 25278 W cr AwAutofillManager: WebView autofill is disabled because WebView isn t created with activity context _x000D_
02 02 11:17:37 360 25278 25278 W cr AwAutofillManager: WebView autofill is disabled because WebView isn t created with activity context _x000D_
02 02 11:17:41 186 25278 25278 I TextInputLayout: EditText added is not a TextInputEditText  Please switch to using that class instead _x000D_
02 02 11:17:41 302 25278 25278 I TextInputLayout: EditText added is not a TextInputEditText  Please switch to using that class instead _x000D_
02 02 11:17:41 370 25278 25278 D OperationsService: Starting command with id 2_x000D_
02 02 11:17:41 373 25278 25293 I zygote  : Waiting for a blocking GC ProfileSaver_x000D_
02 02 11:17:41 374 25278  3325 D OwnCloudClient  1: Creating OwnCloudClient_x000D_
02 02 11:17:41 377 25278  3325 D AccountUtils: Restoring cookies for null_x000D_
02 02 11:17:41 397 25278  3325 D OwnCloudClient  1: REQUEST GET  index php login flow status php_x000D_
02 02 11:17:41 410 25278  3325 D AdvancedSslSocketFactory: Creating SSL Socket with remote cloud myserver com:443  local null:0  params: org apache commons httpclient params HttpConnectionParams 43451aa_x000D_
02 02 11:17:41 410 25278  3325 D AdvancedSslSocketFactory:      with connection timeout 50000 and socket timeout 50000_x000D_
02 02 11:17:41 425 25278  3325 I ServerNameIndicator: SNI done  hostname: cloud myserver com_x000D_
02 02 11:17:41 453 25278 25289 I zygote  : Background concurrent copying GC freed 49605(2MB) AllocSpace objects  27(732KB) LOS objects  49  free  4MB 8MB  paused 152us total 209 308ms_x000D_
02 02 11:17:41 463 25278 25293 I zygote  : WaitForGcToComplete blocked ProfileSaver on ProfileSaver for 89 516ms_x000D_
02 02 11:17:41 754 25278  3325 D RemoteOperationResult: RemoteOperationResult has processed UNHANDLED HTTP CODE: 302 Found_x000D_
02 02 11:17:41 756 25278  3325 D OwnCloudClient  1: REQUEST GET  login_x000D_
02 02 11:17:41 988 25278  3325 E GetRemoteStatusOperation: Connection check at https:  cloud myserver com index php login flow: The Nextcloud server is not configured _x000D_
02 02 11:17:41 988 25278  3325 D OperationsService: Called 1 listeners_x000D_
02 02 11:17:41 988 25278  3325 D OperationsService: Stopping after command with id 2_x000D_
02 02 11:17:59 202 25278 25304 W Adreno EGL:  qeglDrvAPI eglGetConfigAttrib:607 : EGL BAD ATTRIBUTE_x000D_
02 02 11:17:59 204 25278 25304 D vndksupport: Loading  vendor lib hw gralloc msm8960 so from current namespace instead of sphal namespace _x000D_
02 02 11:18:06 111 25278 25278 D OperationsService: Starting command with id 3_x000D_
02 02 11:18:06 114 25278 25278 W IInputConnectionWrapper: endBatchEdit on inactive InputConnection_x000D_
02 02 11:18:06 181 25278  3325 D OwnCloudClient  0: REQUEST GET  status php_x000D_
02 02 11:18:06 381 25278  3325 W HttpMethodBase: Going to buffer response body of large or unknown size  Using getResponseBodyAsStream instead is recommended _x000D_
02 02 11:18:06 386 25278  3325 I GetRemoteStatusOperation: Connection check at https:  cloud myserver com: Operation finished with HTTP status code  1 (success)_x000D_
02 02 11:18:06 390 25278  3325 D GetServerInfoOperation: Trying empty authorization to detect authentication method_x000D_
02 02 11:18:06 393 25278  3325 D OwnCloudClient  0: REQUEST HEAD  remote php webdav _x000D_
02 02 11:18:06 597 25278  3325 I AuthChallengeProcessor: basic authentication scheme selected_x000D_
02 02 11:18:06 598 25278  3325 I HttpMethodDirector: No credentials available for BASIC  Disroot Cloud  cloud myserver com:443_x000D_
02 02 11:18:06 599 25278  3325 D ExistenceCheckRemoteOperation: Existence check for https:  cloud myserver com remote php webdav  targeting for  existence finished with HTTP status 401(FAIL)_x000D_
02 02 11:18:06 600 25278  3325 D DetectAuthenticationMethodOperation: Authentication method found: BASIC HTTP AUTH_x000D_
02 02 11:18:06 601 25278  3325 D OperationsService: Called 1 listeners_x000D_
02 02 11:18:06 601 25278  3325 D OperationsService: Stopping after command with id 3_x000D_
02 02 11:18:32 884 25278 25304 W Adreno EGL:  qeglDrvAPI eglGetConfigAttrib:607 : EGL BAD ATTRIBUTE_x000D_
02 02 11:18:32 888 25278 25304 D vndksupport: Loading  vendor lib hw gralloc msm8960 so from current namespace instead of sphal namespace _x000D_
02 02 11:18:32 903 25278  3790 D OwnCloudClient  2: Creating OwnCloudClient_x000D_
02 02 11:18:32 909 25278  3790 D OwnCloudClient  2: REQUEST HEAD  remote php webdav _x000D_
02 02 11:18:33 879 25278  3790 D ExistenceCheckRemoteOperation: Existence check for https:  cloud myserver com remote php webdav  targeting for  existence finished with HTTP status 200_x000D_
02 02 11:18:33 897 25278  3790 D OwnCloudClient  2: REQUEST GET  ocs v1 php cloud user_x000D_
02 02 11:18:34 899 25278 25278 D AuthenticatorActivity: Successful access   time to save the account_x000D_
02 02 11:18:34 968 25278 25278 D AuthenticatorActivity: onPause() ending_x000D_
02 02 11:18:34 975 25278  3799 D ExternalLinks: links disabled_x000D_
02 02 11:18:35 398 25278 25278 D AuthenticatorActivity: onStop() ending_x000D_
02 02 11:18:35 400 25278 25278 D AuthenticatorActivity: onDestroy() ending_x000D_
02 02 11:18:35 414 25278 25278 E ActivityThread: Activity com owncloud android authentication AuthenticatorActivity has leaked ServiceConnection com owncloud android authentication AuthenticatorActivity OperationsServiceConnection c112f64 that was originally bound here_x000D_
02 02 11:18:35 414 25278 25278 E ActivityThread: android app ServiceConnectionLeaked: Activity com owncloud android authentication AuthenticatorActivity has leaked ServiceConnection com owncloud android authentication AuthenticatorActivity OperationsServiceConnection c112f64 that was originally bound here_x000D_
02 02 11:18:35 414 25278 25278 E ActivityThread: 	at android app LoadedApk ServiceDispatcher  init (LoadedApk java:1532)_x000D_
02 02 11:18:35 414 25278 25278 E ActivityThread: 	at android app LoadedApk getServiceDispatcher(LoadedApk java:1424)_x000D_
02 02 11:18:35 414 25278 25278 E ActivityThread: 	at android app ContextImpl bindServiceCommon(ContextImpl java:1605)_x000D_
02 02 11:18:35 414 25278 25278 E ActivityThread: 	at android app ContextImpl bindService(ContextImpl java:1557)_x000D_
02 02 11:18:35 414 25278 25278 E ActivityThread: 	at android content ContextWrapper bindService(ContextWrapper java:684)_x000D_
02 02 11:18:35 414 25278 25278 E ActivityThread: 	at com owncloud android authentication AuthenticatorActivity onResume(AuthenticatorActivity java:1022)_x000D_
02 02 11:18:35 414 25278 25278 E ActivityThread: 	at android app Instrumentation callActivityOnResume(Instrumentation java:1355)_x000D_
02 02 11:18:35 414 25278 25278 E ActivityThread: 	at android app Activity performResume(Activity java:7117)_x000D_
02 02 11:18:35 414 25278 25278 E ActivityThread: 	at android app ActivityThread performResumeActivity(ActivityThread java:3556)_x000D_
02 02 11:18:35 414 25278 25278 E ActivityThread: 	at android app ActivityThread handleResumeActivity(ActivityThread java:3621)_x000D_
02 02 11:18:35 414 25278 25278 E ActivityThread: 	at android app ActivityThread handleLaunchActivity(ActivityThread java:2862)_x000D_
02 02 11:18:35 414 25278 25278 E ActivityThread: 	at android app ActivityThread  wrap11(Unknown Source:0)_x000D_
02 02 11:18:35 414 25278 25278 E ActivityThread: 	at android app ActivityThread H handleMessage(ActivityThread java:1589)_x000D_
02 02 11:18:35 414 25278 25278 E ActivityThread: 	at android os Handler dispatchMessage(Handler java:106)_x000D_
02 02 11:18:35 414 25278 25278 E ActivityThread: 	at android os Looper loop(Looper java:164)_x000D_
02 02 11:18:35 414 25278 25278 E ActivityThread: 	at android app ActivityThread main(ActivityThread java:6494)_x000D_
02 02 11:18:35 414 25278 25278 E ActivityThread: 	at java lang reflect Method invoke(Native Method)_x000D_
02 02 11:18:35 414 25278 25278 E ActivityThread: 	at com android internal os RuntimeInit MethodAndArgsCaller run(RuntimeInit java:440)_x000D_
02 02 11:18:35 414 25278 25278 E ActivityThread: 	at com android internal os ZygoteInit main(ZygoteInit java:807)_x000D_
02 02 11:18:38 356 25278 25278 V BaseActivity: onNewIntent() start_x000D_
02 02 11:18:38 357 25278 25278 V BaseActivity: onNewIntent() stop_x000D_
02 02 11:18:38 401 25278 25278 V BaseActivity: onNewIntent() start_x000D_
02 02 11:18:38 403 25278 25278 V BaseActivity: onNewIntent() stop_x000D_
02 02 11:18:38 403 25278 25278 E FileDisplayActivity: Unexpected intent Intent   act android intent action MAIN cat  android intent category LAUNCHER  flg 0x10600000 cmp com nextcloud clien</t>
  </si>
  <si>
    <t>MCMrARM-revolution-irc-189</t>
  </si>
  <si>
    <t>Raw ping command in server window crashes revo</t>
  </si>
  <si>
    <t xml:space="preserve">sending  ping as raw command in the server window makes Revo IRC to crash instantly usually without any crash reports </t>
  </si>
  <si>
    <t>wordpress-mobile-WordPress-Login-Flow-Android-7</t>
  </si>
  <si>
    <t>LoginEmailFragment: "Already managing a GoogleApiClient"</t>
  </si>
  <si>
    <t>The WCAndroid and WPAndroid apps both have  Already managing a GoogleApiClient  crashes in  LoginEmailFragment :_x000D_
_x000D_
http:  crashes to s aab765a1feb_x000D_
http:  crashes to s 6efb6866862_x000D_
_x000D_
Possible fixes:_x000D_
_x000D_
https:  stackoverflow com a 37025744 1673548_x000D_
https:  stackoverflow com a 42934594 1673548</t>
  </si>
  <si>
    <t>MegatronKing-NetBare-8</t>
  </si>
  <si>
    <t>Random crash on some web pages</t>
  </si>
  <si>
    <t xml:space="preserve">We observed the following crash occurred randomly when loading some pages (this one happened when loading a page on https:  www marca com  but was not reproducible as it did not crash when opening the same page a second time):_x000D_
_x000D_
2019 01 31 12:16:14 369 27534 28206   I NetBare:  TCP  105 53 65 253:443 Write to proxy: 38_x000D_
2019 01 31 12:16:14 369 27534 28206   I NetBare:  TCP  214 191 162 41:443 Read from remote: 3031_x000D_
2019 01 31 12:16:14 384 27534 28206   I NetBare:  TCP  214 191 162 41:443 Write to remote: 318_x000D_
2019 01 31 12:16:14 384 27534 28206   E NativeCrypto: AppData::create pipe(2) failed: Too many open files_x000D_
2019 01 31 12:16:14 388 27534 28206   E AndroidRuntime: FATAL EXCEPTION: TcpProxyServer_x000D_
    Process: com github megatronking netbare sample  PID: 27534_x000D_
    java lang RuntimeException: javax net ssl SSLException: Unable to create application data_x000D_
        at com android org conscrypt ConscryptEngine newSsl(ConscryptEngine java:198)_x000D_
        at com android org conscrypt ConscryptEngine  init (ConscryptEngine java:173)_x000D_
        at com android org conscrypt OpenSSLContextImpl engineCreateSSLEngine(OpenSSLContextImpl java:138)_x000D_
        at javax net ssl SSLContext createSSLEngine(SSLContext java:363)_x000D_
        at com github megatronking netbare ssl SSLEngineFactory createServerEngine(SSLEngineFactory java:122)_x000D_
        at com github megatronking netbare ssl SSLRequestCodec createEngine(SSLRequestCodec java:65)_x000D_
        at com github megatronking netbare http SSLHttpRequestCodec createEngine(SSLHttpRequestCodec java:50)_x000D_
        at com github megatronking netbare ssl SSLCodec decode(SSLCodec java:137)_x000D_
        at com github megatronking netbare http SSLCodecInterceptor decodeRequest(SSLCodecInterceptor java:204)_x000D_
        at com github megatronking netbare http SSLCodecInterceptor access 200(SSLCodecInterceptor java:40)_x000D_
        at com github megatronking netbare http SSLCodecInterceptor 1 onResult(SSLCodecInterceptor java:126)_x000D_
        at com github megatronking netbare http SSLHttpResponseCodec decode(SSLHttpResponseCodec java:74)_x000D_
        at com github megatronking netbare http SSLCodecInterceptor decodeResponse(SSLCodecInterceptor java:232)_x000D_
        at com github megatronking netbare http SSLCodecInterceptor intercept(SSLCodecInterceptor java:152)_x000D_
        at com github megatronking netbare http HttpIndexInterceptor intercept(HttpIndexInterceptor java:71)_x000D_
        at com github megatronking netbare http HttpResponseChain processNext(HttpResponseChain java:55)_x000D_
        at com github megatronking netbare http HttpResponseChain processNext(HttpResponseChain java:32)_x000D_
        at com github megatronking netbare gateway InterceptorChain process(InterceptorChain java:95)_x000D_
        at com github megatronking netbare http HttpSniffInterceptor intercept(HttpSniffInterceptor java:71)_x000D_
        at com github megatronking netbare http HttpIndexInterceptor intercept(HttpIndexInterceptor java:71)_x000D_
        at com github megatronking netbare http HttpResponseChain processNext(HttpResponseChain java:55)_x000D_
        at com github megatronking netbare http HttpResponseChain processNext(HttpResponseChain java:32)_x000D_
        at com github megatronking netbare gateway InterceptorChain process(InterceptorChain java:95)_x000D_
        at com github megatronking netbare http HttpVirtualGateway onSpecResponse(HttpVirtualGateway java:118)_x000D_
        at com github megatronking netbare gateway SpecVirtualGateway sendResponse(SpecVirtualGateway java:78)_x000D_
        at com github megatronking netbare NetBareVirtualGateway sendResponse(NetBareVirtualGateway java:102)_x000D_
        at com github megatronking netbare tunnel TcpVATunnel 2 onRead(TcpVATunnel java:134)_x000D_
        at com github megatronking netbare tunnel NioTunnel onRead(NioTunnel java:101)_x000D_
        at com github megatronking netbare proxy TcpProxyServer process(TcpProxyServer java:139)_x000D_
        at com github megatronking netbare proxy BaseProxyServer run(BaseProxyServer java:62)_x000D_
        at com github megatronking netbare proxy TcpProxyServer run(TcpProxyServer java:108)_x000D_
        at java lang Thread run(Thread java:764)_x000D_
     Caused by: javax net ssl SSLException: Unable to create application data_x000D_
        at com android org conscrypt NativeCrypto SSL new(Native Method)_x000D_
        at com android org conscrypt SslWrapper newInstance(SslWrapper java:58)_x000D_
        at com android org conscrypt ConscryptEngine newSsl(ConscryptEngine java:196)_x000D_
        at com android org conscrypt ConscryptEngine  init (ConscryptEngine java:173) _x000D_
        at com android org conscrypt OpenSSLContextImpl engineCreateSSLEngine(OpenSSLContextImpl java:138) _x000D_
        at javax net ssl SSLContext createSSLEngine(SSLContext java:363) _x000D_
        at com github megatronking netbare ssl SSLEngineFactory createServerEngine(SSLEngineFactory java:122) _x000D_
        at com github megatronking netbare ssl SSLRequestCodec createEngine(SSLRequestCodec java:65) _x000D_
        at com github megatronking netbare http SSLHttpRequestCodec createEngine(SSLHttpRequestCodec java:50) _x000D_
        at com github megatronking netbare ssl SSLCodec decode(SSLCodec java:137) _x000D_
        at com github megatronking netbare http SSLCodecInterceptor decodeRequest(SSLCodecInterceptor java:204) _x000D_
        at com github megatronking netbare http SSLCodecInterceptor access 200(SSLCodecInterceptor java:40) _x000D_
        at com github megatronking netbare http SSLCodecInterceptor 1 onResult(SSLCodecInterceptor java:126) _x000D_
        at com github megatronking netbare http SSLHttpResponseCodec decode(SSLHttpResponseCodec java:74) _x000D_
        at com github megatronking netbare http SSLCodecInterceptor decodeResponse(SSLCodecInterceptor java:232) _x000D_
        at com github megatronking netbare http SSLCodecInterceptor intercept(SSLCodecInterceptor java:152) _x000D_
        at com github megatronking netbare http HttpIndexInterceptor intercept(HttpIndexInterceptor java:71) _x000D_
        at com github megatronking netbare http HttpResponseChain processNext(HttpResponseChain java:55) _x000D_
        at com github megatronking netbare http HttpResponseChain processNext(HttpResponseChain java:32) _x000D_
        at com github megatronking netbare gateway InterceptorChain process(InterceptorChain java:95) _x000D_
        at com github megatronking netbare http HttpSniffInterceptor intercept(HttpSniffInterceptor java:71) _x000D_
        at com github megatronking netbare http HttpIndexInterceptor intercept(HttpIndexInterceptor java:71) _x000D_
        at com github megatronking netbare http HttpResponseChain processNext(HttpResponseChain java:55) _x000D_
        at com github megatronking netbare http HttpResponseChain processNext(HttpResponseChain java:32) _x000D_
        at com github megatronking netbare gateway InterceptorChain process(InterceptorChain java:95) _x000D_
        at com github megatronking netbare http HttpVirtualGateway onSpecResponse(HttpVirtualGateway java:118) _x000D_
        at com github megatronking netbare gateway SpecVirtualGateway sendResponse(SpecVirtualGateway java:78) _x000D_
        at com github megatronking netbare NetBareVirtualGateway sendResponse(NetBareVirtualGateway java:102) _x000D_
        at com github megatronking netbare tunnel TcpVATunnel 2 onRead(TcpVATunnel java:134) _x000D_
        at com github megatronking netbare tunnel NioTunnel onRead(NioTunnel java:101) _x000D_
        at com github megatronking netbare proxy TcpProxyServer process(TcpProxyServer java:139) _x000D_
        at com github megatronking netbare proxy BaseProxyServer run(BaseProxyServer java:62) _x000D_
        at com github megatronking netbare proxy TcpProxyServer run(TcpProxyServer java:108) _x000D_
        at java lang Thread run(Thread java:764) _x000D_
2019 01 31 12:16:14 408 1724 1811   I ActivityManager: Showing crash dialog for package com github megatronking netbare sample u0_x000D_
2019 01 31 12:16:14 420 1724 28695   W DropBoxManagerService: Dropping: data app crash (3606   0 bytes)_x000D_
2019 01 31 12:16:14 427 1724 1810   W BroadcastQueue: Background execution not allowed: receiving Intent   act android intent action DROPBOX ENTRY ADDED flg 0x10 (has extras)   to com google android gms  stats service DropBoxEntryAddedReceiver_x000D_
2019 01 31 12:16:14 427 1724 1810   W BroadcastQueue: Background execution not allowed: receiving Intent   act android intent action DROPBOX ENTRY ADDED flg 0x10 (has extras)   to com google android gms  chimera GmsIntentOperationService PersistentTrustedReceiver_x000D_
2019 01 31 12:16:14 502 30383 30383   W cr Autocomplete: stopping autocomplete _x000D_
_x000D_
A similar crash happened on a different page  Not 100  reproducible  seems to happen randomly _x000D_
</t>
  </si>
  <si>
    <t>Catfriend1-syncthing-android-295</t>
  </si>
  <si>
    <t>Don't crash if config got corrupted and inform the user</t>
  </si>
  <si>
    <t xml:space="preserve">Purpose:_x000D_
Don t crash if config got corrupted and inform the user_x000D_
_x000D_
Related issues:_x000D_
  NullPointerException crash when config elements gui  options are missing (fixes  291)_x000D_
  SyncthingService doesn t stop if config got corrupted (fixes  292)_x000D_
  Broken config results in welcome wizard loop with no indication of what s wrong (fixes  293)_x000D_
  Small screens: Crash notification reason is off screen (fixes  294)_x000D_
_x000D_
Testing:_x000D_
Verified working on AVD 9 x at commit https:  github com Catfriend1 syncthing android pull 295 commits ad5a749f662c088db06fbf94efd21ba940ee4ebf  </t>
  </si>
  <si>
    <t>forrestguice-SuntimesWidget-297</t>
  </si>
  <si>
    <t>app crash when exporting themes</t>
  </si>
  <si>
    <t xml:space="preserve">Crash encountered while testing on emulator running api 24  25  26  27 (Android 7 1 1)   _x000D_
Also tested on api 19  22  23  28 where it works as expected _x000D_
_x000D_
1) Navigate to  Suntimes    Settings    Widgets   Themes _x000D_
2) Click  Overflow Menu    Export _x000D_
3) Observe the progress dialog  followed by a Toast with temporary file location _x000D_
4) At this point an  Export with  menu should be displayed but it fails to appear  Instead the app crashes and an error dialog is shown  Messaging has stopped   _x000D_
_x000D_
The logcat contains the following exception   _x000D_
   _x000D_
              beginning of crash_x000D_
01 31 13:05:19 954 2769 2769 com android messaging E AndroidRuntime: FATAL EXCEPTION: main_x000D_
    Process: com android messaging  PID: 2769_x000D_
    java lang AssertionError: Assert fail() called: Unsupported shared content type for content:  com forrestguice suntimeswidget fileprovider exported files Android data com forrestguice suntimeswidget cache SuntimesThemes171492177 xml: text xml (text plain)_x000D_
        at com android messaging util x WS(SourceFile:202)_x000D_
   _x000D_
_x000D_
</t>
  </si>
  <si>
    <t>tyirenkyi-NewsApp-1</t>
  </si>
  <si>
    <t>Tech fragment crashes app</t>
  </si>
  <si>
    <t>swiping to the tech fragment  causes the app to crash</t>
  </si>
  <si>
    <t>niranjan-nagaraju-notification-center-1</t>
  </si>
  <si>
    <t>App crashes on home button press.</t>
  </si>
  <si>
    <t xml:space="preserve">Post commit id 902cfc23e6bb8004057b23971d204793d8159a5c_x000D_
replacing broadcast receivers with IBinder service integrations  app crashes when activity goes out of foreground (when home button is pressed  for e g )_x000D_
</t>
  </si>
  <si>
    <t>libgdx-gdx-pay-189</t>
  </si>
  <si>
    <t xml:space="preserve">Error if app is disposed before purchasemanager install ends </t>
  </si>
  <si>
    <t xml:space="preserve">I just included gdx pay 12 SNAPSHOT in some of my games and got a few errors like this:_x000D_
_x000D_
   _x000D_
java lang NullPointerException: _x000D_
  at com badlogic gdx pay android googlebilling PurchaseManagerGoogleBilling fetchOfferDetails (PurchaseManagerGoogleBilling java:111)_x000D_
  at com badlogic gdx pay android googlebilling PurchaseManagerGoogleBilling access 100 (PurchaseManagerGoogleBilling java:42)_x000D_
  at com badlogic gdx pay android googlebilling PurchaseManagerGoogleBilling 1 run (PurchaseManagerGoogleBilling java:83)_x000D_
  at com badlogic gdx pay android googlebilling PurchaseManagerGoogleBilling 2 onBillingSetupFinished (PurchaseManagerGoogleBilling java:99)_x000D_
  at com android billingclient api BillingClientImpl BillingServiceConnection onServiceConnected (BillingClientImpl java:903)_x000D_
  at android app LoadedApk ServiceDispatcher doConnected (LoadedApk java:1335)_x000D_
  at android app LoadedApk ServiceDispatcher RunConnection run (LoadedApk java:1352)_x000D_
  at android os Handler handleCallback (Handler java:739)_x000D_
  at android os Handler dispatchMessage (Handler java:95)_x000D_
  at android os Looper loop (Looper java:158)_x000D_
  at android app ActivityThread main (ActivityThread java:7224)_x000D_
  at java lang reflect Method invoke (Method java)_x000D_
  at com android internal os ZygoteInit MethodAndArgsCaller run (ZygoteInit java:1230)_x000D_
  at com android internal os ZygoteInit main (ZygoteInit java:1120)_x000D_
   _x000D_
_x000D_
It seems when the App is exited (and purchasemanager disposed) before the purchasemanager finished installing it causes a crash _x000D_
_x000D_
I can reproduce the same crash if I just exit the app shortly after calling the purchasemanager install like:_x000D_
_x000D_
   _x000D_
purchaseManager install(purchaseObserver  purchaseManagerConfig  true) _x000D_
Gdx app exit() _x000D_
   _x000D_
_x000D_
The apps dispose method includes this of course:_x000D_
   _x000D_
if (purchaseManager    null)  _x000D_
	purchaseManager dispose() _x000D_
 _x000D_
   _x000D_
_x000D_
As I understand the problem is the  service connection  that starts in PurchaseManagerGoogleBilling on line 77:  startServiceConnection(new Runnable()       it will call  fetchOfferDetails()  even if the manager is disposed and then in line 111  int offerSize   config getOfferCount()  the config is already gone and causes the nullpointer exception _x000D_
_x000D_
</t>
  </si>
  <si>
    <t>MegatronKing-NetBare-4</t>
  </si>
  <si>
    <t>Crash on Android 8.1 devices</t>
  </si>
  <si>
    <t xml:space="preserve">We are running some tests with netbare sample  It is working fine on Android 7 and Android 9 devices that we have tested  However  on all Android 8 1 devices that we test  after turning on the VPN and browsing https pages using Chrome  the following crash occurs (100  reproducible on our devices):_x000D_
_x000D_
_x000D_
2019 01 30 12:30:54 022 12391 12451 com github megatronking netbare sample E NetBare: java io EOFException: Read error_x000D_
    javax net ssl SSLException: java io EOFException: Read error_x000D_
        at com android org conscrypt SSLUtils toSSLException(SSLUtils java:295)_x000D_
        at com android org conscrypt ConscryptEngine convertException(ConscryptEngine java:1093)_x000D_
        at com android org conscrypt ConscryptEngine unwrap(ConscryptEngine java:851)_x000D_
        at com android org conscrypt ConscryptEngine unwrap(ConscryptEngine java:678)_x000D_
        at com android org conscrypt ConscryptEngine unwrap(ConscryptEngine java:644)_x000D_
        at com github megatronking netbare ssl SSLCodec engineUnwrap(SSLCodec java:368)_x000D_
        at com github megatronking netbare ssl SSLCodec unwrap(SSLCodec java:303)_x000D_
        at com github megatronking netbare ssl SSLCodec startDecode(SSLCodec java:175)_x000D_
        at com github megatronking netbare ssl SSLCodec decode(SSLCodec java:166)_x000D_
        at com github megatronking netbare ssl SSLCodec decode(SSLCodec java:137)_x000D_
        at com github megatronking netbare http SSLHttpResponseCodec decode(SSLHttpResponseCodec java:70)_x000D_
        at com github megatronking netbare http SSLCodecInterceptor decodeResponse(SSLCodecInterceptor java:232)_x000D_
        at com github megatronking netbare http SSLCodecInterceptor intercept(SSLCodecInterceptor java:152)_x000D_
        at com github megatronking netbare http HttpIndexInterceptor intercept(HttpIndexInterceptor java:71)_x000D_
        at com github megatronking netbare http HttpResponseChain processNext(HttpResponseChain java:55)_x000D_
        at com github megatronking netbare http HttpResponseChain processNext(HttpResponseChain java:32)_x000D_
        at com github megatronking netbare gateway InterceptorChain process(InterceptorChain java:95)_x000D_
        at com github megatronking netbare http HttpSniffInterceptor intercept(HttpSniffInterceptor java:71)_x000D_
        at com github megatronking netbare http HttpIndexInterceptor intercept(HttpIndexInterceptor java:71)_x000D_
        at com github megatronking netbare http HttpResponseChain processNext(HttpResponseChain java:55)_x000D_
        at com github megatronking netbare http HttpResponseChain processNext(HttpResponseChain java:32)_x000D_
        at com github megatronking netbare gateway InterceptorChain process(InterceptorChain java:95)_x000D_
        at com github megatronking netbare http HttpVirtualGateway onSpecResponse(HttpVirtualGateway java:117)_x000D_
        at com github megatronking netbare gateway SpecVirtualGateway sendResponse(SpecVirtualGateway java:78)_x000D_
        at com github megatronking netbare NetBareVirtualGateway sendResponse(NetBareVirtualGateway java:102)_x000D_
        at com github megatronking netbare tunnel TcpVATunnel 2 onRead(TcpVATunnel java:134)_x000D_
        at com github megatronking netbare tunnel NioTunnel onRead(NioTunnel java:101)_x000D_
        at com github megatronking netbare proxy TcpProxyServer process(TcpProxyServer java:137)_x000D_
        at com github megatronking netbare proxy BaseProxyServer run(BaseProxyServer java:62)_x000D_
        at com github megatronking netbare proxy TcpProxyServer run(TcpProxyServer java:106)_x000D_
        at java lang Thread run(Thread java:764)_x000D_
     Caused by: java io EOFException: Read error_x000D_
        at com android org conscrypt NativeCrypto ENGINE SSL read direct(Native Method)_x000D_
        at com android org conscrypt SslWrapper readDirectByteBuffer(SslWrapper java:492)_x000D_
        at com android org conscrypt ConscryptEngine readPlaintextDataDirect(ConscryptEngine java:1052)_x000D_
        at com android org conscrypt ConscryptEngine readPlaintextDataHeap(ConscryptEngine java:1072)_x000D_
        at com android org conscrypt ConscryptEngine readPlaintextData(ConscryptEngine java:1044)_x000D_
        at com android org conscrypt ConscryptEngine unwrap(ConscryptEngine java:805)_x000D_
        at com android org conscrypt ConscryptEngine unwrap(ConscryptEngine java:678) _x000D_
        at com android org conscrypt ConscryptEngine unwrap(ConscryptEngine java:644) _x000D_
        at com github megatronking netbare ssl SSLCodec engineUnwrap(SSLCodec java:368) _x000D_
        at com github megatronking netbare ssl SSLCodec unwrap(SSLCodec java:303) _x000D_
        at com github megatronking netbare ssl SSLCodec startDecode(SSLCodec java:175) _x000D_
        at com github megatronking netbare ssl SSLCodec decode(SSLCodec java:166) _x000D_
        at com github megatronking netbare ssl SSLCodec decode(SSLCodec java:137) _x000D_
        at com github megatronking netbare http SSLHttpResponseCodec decode(SSLHttpResponseCodec java:70) _x000D_
        at com github megatronking netbare http SSLCodecInterceptor decodeResponse(SSLCodecInterceptor java:232) _x000D_
        at com github megatronking netbare http SSLCodecInterceptor intercept(SSLCodecInterceptor java:152) _x000D_
        at com github megatronking netbare http HttpIndexInterceptor intercept(HttpIndexInterceptor java:71) _x000D_
        at com github megatronking netbare http HttpResponseChain processNext(HttpResponseChain java:55) _x000D_
        at com github megatronking netbare http HttpResponseChain processNext(HttpResponseChain java:32) _x000D_
        at com github megatronking netbare gateway InterceptorChain process(InterceptorChain java:95) _x000D_
        at com github megatronking netbare http HttpSniffInterceptor intercept(HttpSniffInterceptor java:71) _x000D_
        at com github megatronking netbare http HttpIndexInterceptor intercept(HttpIndexInterceptor java:71) _x000D_
        at com github megatronking netbare http HttpResponseChain processNext(HttpResponseChain java:55) _x000D_
        at com github megatronking netbare http HttpResponseChain processNext(HttpResponseChain java:32) _x000D_
        at com github megatronking netbare gateway InterceptorChain process(InterceptorChain java:95) _x000D_
        at com github megatronking netbare http HttpVirtualGateway onSpecResponse(HttpVirtualGateway java:117) _x000D_
        at com github megatronking netbare gateway SpecVirtualGateway sendResponse(SpecVirtualGateway java:78) _x000D_
        at com github megatronking netbare NetBareVirtualGateway sendResponse(NetBareVirtualGateway java:102) _x000D_
        at com github megatronking netbare tunnel TcpVATunnel 2 onRead(TcpVATunnel java:134) _x000D_
        at com github megatronking netbare tunnel NioTunnel onRead(NioTunnel java:101) _x000D_
        at com github megatronking netbare proxy TcpProxyServer process(TcpProxyServer java:137) _x000D_
        at com github megatronking netbare proxy BaseProxyServer run(BaseProxyServer java:62) _x000D_
        at com github megatronking netbare proxy TcpProxyServer run(TcpProxyServer java:106) _x000D_
        at java lang Thread run(Thread java:764) _x000D_
_x000D_
Looks like there is a problem with ConscryptEngine on Android 8 1 devices that causes this error  _x000D_
_x000D_
Can anyone reproduce this on an Android 8 1 device </t>
  </si>
  <si>
    <t>zeroc-ice-ice-demos-37</t>
  </si>
  <si>
    <t>android/mtalk demo crash running on simulator</t>
  </si>
  <si>
    <t xml:space="preserve">The demo crash trying to enable bluetooth adapter_x000D_
   _x000D_
E AndroidRuntime: FATAL EXCEPTION: main_x000D_
    Process: com zeroc talk  PID: 12254_x000D_
    java lang NullPointerException: Attempt to invoke virtual method  boolean android bluetooth BluetoothAdapter isEnabled()  on a null object reference_x000D_
        at com zeroc talk TalkActivity onStart(TalkActivity java:145)_x000D_
        at android app Instrumentation callActivityOnStart(Instrumentation java:1391)_x000D_
        at android app Activity performStart(Activity java:7157)_x000D_
        at android app ActivityThread handleStartActivity(ActivityThread java:2937)_x000D_
        at android app servertransaction TransactionExecutor performLifecycleSequence(TransactionExecutor java:180)_x000D_
        at android app servertransaction TransactionExecutor cycleToPath(TransactionExecutor java:165)_x000D_
        at android app servertransaction TransactionExecutor executeLifecycleState(TransactionExecutor java:142)_x000D_
        at android app servertransaction TransactionExecutor execute(TransactionExecutor java:70)_x000D_
        at android app ActivityThread H handleMessage(ActivityThread java:1808)_x000D_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t>
  </si>
  <si>
    <t>tobexyz-yaacc-code-27</t>
  </si>
  <si>
    <t>Runtime crash on each startup</t>
  </si>
  <si>
    <t xml:space="preserve">YAAC currently causes a crash on startup  logging_x000D_
java lang NullPointerException: Attempt to invoke virtual method  java util Collection de yaacc player PlayerService getCurrentPlayers()  on a null object reference_x000D_
_x000D_
and indeed  in getCurrentPlayers  there is no protection against currentActivePlayer being null  The function getPlayer has the following:_x000D_
_x000D_
if (currentActivePlayer get(playerId)    null) _x000D_
            Log d(this getClass() getName()   Get Player not found ) _x000D_
 _x000D_
_x000D_
and I guess something like this might also be needed for getCurrentPlayers  Sorry for not providing a pull request  I have not been able to build YAACC yet </t>
  </si>
  <si>
    <t>tobexyz-yaacc-code-26</t>
  </si>
  <si>
    <t>Async loading never stops</t>
  </si>
  <si>
    <t>Thanks for working on YAACC  it is the only app of its kind  Unfortunately  the new async code never finishes loadung  Full log below  Let me know if there is more I can do _x000D_
_x000D_
_x000D_
01 30 08:11:31 282  6015  6015 W InputEventReceiver: Attempted to finish an input event but the input event receiver has already been disposed _x000D_
01 30 08:11:29 131  6015  6015 D de yaacc browser BrowseItemAdapter: loadMore from: 0_x000D_
01 30 08:11:29 126  6015  6015 D de yaacc browser BrowseItemAdapter: loadMore from: 0_x000D_
01 30 08:11:29 125  6015  6015 D de yaacc browser TabBrowserActivity: Stopping local service_x000D_
01 30 08:09:52 782  6015  6015 D de yaacc browser BrowseItemAdapter: loadMore from: 0_x000D_
01 30 08:09:52 779  6015  6015 D de yaacc browser BrowseItemAdapter: loadMore from: 0_x000D_
01 30 08:09:52 778  6015  6015 D de yaacc browser TabBrowserActivity: Stopping local service_x000D_
01 30 08:09:46 370  6015  6015 D de yaacc browser BrowseItemAdapter: loadMore from: 0_x000D_
01 30 08:09:46 366  6015  6015 D de yaacc browser BrowseItemAdapter: loadMore from: 0_x000D_
01 30 08:09:46 365  6015  6015 D de yaacc browser TabBrowserActivity: Stopping local service_x000D_
01 30 08:08:21 127  6015  6015 I Choreographer: Skipped 33 frames   The application may be doing too much work on its main thread _x000D_
01 30 08:08:17 966  6015  6015 D de yaacc browser BrowseItemAdapter: loadMore from: 0_x000D_
01 30 08:08:17 406  6015  6015 D de yaacc browser BrowseDeviceAdapter: Device icon uri:http:  192 168 178 3:8200 icons sm png_x000D_
01 30 08:08:17 388  6015  6015 D de yaacc browser BrowseDeviceAdapter: Device icon uri:http:  192 168 178 3:8200 icons sm png_x000D_
01 30 08:08:17 377  6015  6050 D de yaacc upnp UpnpClient: remoteDeviceUpdated: Justin Maggard Windows Media Connect compatible (MiniDLNA) 1_x000D_
01 30 08:08:17 373  6015  6050 D de yaacc upnp UpnpClient: remoteDeviceUpdated: Justin Maggard Windows Media Connect compatible (MiniDLNA) 1_x000D_
01 30 08:08:17 087  6015  6015 D de yaacc browser BrowseDeviceAdapter: Device icon uri:http:  192 168 178 3:8200 icons sm png_x000D_
01 30 08:08:16 876  6015  6049 D de yaacc upnp UpnpClient: remoteDeviceUpdated: Justin Maggard Windows Media Connect compatible (MiniDLNA) 1_x000D_
01 30 08:08:16 876  6015  6050 D de yaacc upnp UpnpClient: remoteDeviceUpdated: Justin Maggard Windows Media Connect compatible (MiniDLNA) 1_x000D_
01 30 08:08:16 371  6015  6049 D de yaacc upnp UpnpClient: remoteDeviceUpdated: Justin Maggard Windows Media Connect compatible (MiniDLNA) 1_x000D_
01 30 08:08:16 370  6015  6050 D de yaacc upnp UpnpClient: remoteDeviceUpdated: Justin Maggard Windows Media Connect compatible (MiniDLNA) 1_x000D_
01 30 08:08:15 878  6015  6022 I art     : Increasing code cache capacity to 128KB_x000D_
01 30 08:08:15 878  6015  6022 I art     : After code cache collection  code 9KB  data 30KB_x000D_
01 30 08:08:15 876  6015  6022 I art     : Do partial code cache collection  code 10KB  data 31KB_x000D_
01 30 08:08:15 852  6015  6048 D de yaacc upnp UpnpClient: remoteDeviceUpdated: Justin Maggard Windows Media Connect compatible (MiniDLNA) 1_x000D_
01 30 08:08:15 851  6015  6049 D de yaacc upnp UpnpClient: remoteDeviceUpdated: Justin Maggard Windows Media Connect compatible (MiniDLNA) 1_x000D_
01 30 08:08:15 746  6015  6048 I SAXParser: can t set factory setXIncludeAware(false) _x000D_
01 30 08:08:15 746  6015  6048 I SAXParser: Feature disallow doctype decl not known_x000D_
01 30 08:08:15 745  6015  6048 D de yaacc upnp callback contentdirectory ContentDirectoryBrowseActionCallback:  container id  64 0  parentID  0  restricted  1  searchable  1  childCount  48   dc:title 0 Audiobooks  dc:title  upnp:class object container storageFolder  upnp:class  upnp:storageUsed  1  upnp:storageUsed   container  container id  64 1  parentID  0  restricted  1  searchable  1  childCount  45   dc:title 0 Children  dc:title  upnp:class object container storageFolder  upnp:class  upnp:storageUsed  1  upnp:storageUsed   container  container id  64 2  parentID  0  restricted  1  searchable  1  childCount  16   dc:title 0 ebooks  dc:title  upnp:class object container storageFolder  upnp:class  upnp:storageUsed  1  upnp:storageUsed   container  container id  64 3  parentID  0  restricted  1  searchable  1  childCount  3   dc:title 0 sounds  dc:title  upnp:class object container storageFolder  upnp:class  upnp:storageUsed  1  upnp:storageUsed   container  container id  64 4  parentID  0  restricted  1  searchable  1  childCount  10   dc:title 7 Mary 3  dc:title  upnp:class object container storageFolder  upnp:class  upnp:storageUsed  1  upnp:storageUsed   container  container id  64 5  parentID  0  restricted  1  searchable  1  childCount  1   dc:title ABBA  dc:title  upnp:class object container storageFolder  upnp:class  upnp:storageUsed  1  upnp:storageUsed   container  container id  64 6  parentID  0  restricted  1  searchable  1  childCount  2   dc:title AC DC  dc:title  upnp:class object container storageFolder  upnp:class  upnp:storageUsed  1  upnp:storageUsed   container  container id  64 7  parentID  0  restricted  1  searchable  1  childCount  1   dc:title ALBI S Corner  dc:title  upnp:class object container storageFolder  upnp:class  upnp:storageUsed  1  upnp:storageUsed   container  container id  64 8  parentID  0  restricted  1  searchable  1  childCount  2   dc:title Abi Wallenstein  dc:title  upnp:class object container storageFolder  upnp:class  upnp:storageUsed  1  upnp:storageUsed   container  container id  64 9  parentID  0  restricted  1  searchable  1  childCount  1   dc:title Ace of Base  dc:title  upnp:class object container storageFolder  upnp:class  upnp:storageUsed  1  upnp:storageUsed   container   DIDL Lite _x000D_
01 30 08:08:15 745  6015  6048 D de yaacc upnp callback contentdirectory ContentDirectoryBrowseActionCallback: RAW Result:  DIDL Lite xmlns:dc  http:  purl org dc elements 1 1   xmlns:upnp  urn:schemas upnp org:metadata 1 0 upnp   xmlns  urn:schemas upnp org:metadata 1 0 DIDL Lite   xmlns:dlna  urn:schemas dlna org:metadata 1 0   _x000D_
01 30 08:08:15 713  6015  6053 D de yaacc upnp UpnpClient:      Service found: urn:upnp org:serviceId:ContentDirectory Type: urn:schemas upnp org:service:ContentDirectory:1_x000D_
01 30 08:08:15 701  6015  6048 I SAXParser: can t set factory setXIncludeAware(false) _x000D_
01 30 08:08:15 701  6015  6048 I SAXParser: Feature disallow doctype decl not known_x000D_
01 30 08:08:15 700  6015  6048 D de yaacc upnp callback contentdirectory ContentDirectoryBrowseActionCallback:  container id  64 0  parentID  0  restricted  1  searchable  1  childCount  48   dc:title 0 Audiobooks  dc:title  upnp:class object container storageFolder  upnp:class  upnp:storageUsed  1  upnp:storageUsed   container  container id  64 1  parentID  0  restricted  1  searchable  1  childCount  45   dc:title 0 Children  dc:title  upnp:class object container storageFolder  upnp:class  upnp:storageUsed  1  upnp:storageUsed   container  container id  64 2  parentID  0  restricted  1  searchable  1  childCount  16   dc:title 0 ebooks  dc:title  upnp:class object container storageFolder  upnp:class  upnp:storageUsed  1  upnp:storageUsed   container  container id  64 3  parentID  0  restricted  1  searchable  1  childCount  3   dc:title 0 sounds  dc:title  upnp:class object container storageFolder  upnp:class  upnp:storageUsed  1  upnp:storageUsed   container  container id  64 4  parentID  0  restricted  1  searchable  1  childCount  10   dc:title 7 Mary 3  dc:title  upnp:class object container storageFolder  upnp:class  upnp:storageUsed  1  upnp:storageUsed   container  container id  64 5  parentID  0  restricted  1  searchable  1  childCount  1   dc:title ABBA  dc:title  upnp:class object container storageFolder  upnp:class  upnp:storageUsed  1  upnp:storageUsed   container  container id  64 6  parentID  0  restricted  1  searchable  1  childCount  2   dc:title AC DC  dc:title  upnp:class object container storageFolder  upnp:class  upnp:storageUsed  1  upnp:storageUsed   container  container id  64 7  parentID  0  restricted  1  searchable  1  childCount  1   dc:title ALBI S Corner  dc:title  upnp:class object container storageFolder  upnp:class  upnp:storageUsed  1  upnp:storageUsed   container  container id  64 8  parentID  0  restricted  1  searchable  1  childCount  2   dc:title Abi Wallenstein  dc:title  upnp:class object container storageFolder  upnp:class  upnp:storageUsed  1  upnp:storageUsed   container  container id  64 9  parentID  0  restricted  1  searchable  1  childCount  1   dc:title Ace of Base  dc:title  upnp:class object container storageFolder  upnp:class  upnp:storageUsed  1  upnp:storageUsed   container   DIDL Lite _x000D_
01 30 08:08:15 700  6015  6048 D de yaacc upnp callback contentdirectory ContentDirectoryBrowseActionCallback: RAW Result:  DIDL Lite xmlns:dc  http:  purl org dc elements 1 1   xmlns:upnp  urn:schemas upnp org:metadata 1 0 upnp   xmlns  urn:schemas upnp org:metadata 1 0 DIDL Lite   xmlns:dlna  urn:schemas dlna org:metadata 1 0   _x000D_
01 30 08:08:15 627  6015  6015 D de yaacc browser BrowseItemAdapter: loadMore from: 0_x000D_
01 30 08:08:15 624  6015  6051 D de yaacc upnp UpnpClient:      Service found: urn:upnp org:serviceId:ContentDirectory Type: urn:schemas upnp org:service:ContentDirectory:1_x000D_
01 30 08:08:15 622  6015  6015 D de yaacc browser BrowseItemAdapter: loadMore from: 0_x000D_
01 30 08:08:15 621  6015  6015 D de yaacc browser Navigator: pushNavigation: 0_x000D_
01 30 08:08:15 604  6015  6048 D de yaacc upnp UpnpClient: remoteDeviceAdded: Justin Maggard Windows Media Connect compatible (MiniDLNA) 1_x000D_
01 30 08:08:15 586  6015  6050 I SAXParser: can t set factory setXIncludeAware(false) _x000D_
01 30 08:08:15 586  6015  6050 I SAXParser: Feature disallow doctype decl not known_x000D_
01 30 08:08:15 510  6015  6050 I SAXParser: can t set factory setXIncludeAware(false) _x000D_
01 30 08:08:15 510  6015  6050 I SAXParser: Feature disallow doctype decl not known_x000D_
01 30 08:08:15 324  6015  6015 I Router  : No actual network change    ignoring event _x000D_
01 30 08:08:15 323  6015  6015 I Router  : EXTRA EXTRA INFO:  Spaeth _x000D_
01 30 08:08:15 323  6015  6015 I Router  : EXTRA OTHER NETWORK INFO: none_x000D_
01 30 08:08:15 323  6015  6015 I Router  : EXTRA NETWORK INFO:  type: WIFI    state: CONNECTED CONNECTED  reason: (unspecified)  extra:  Spaeth   failover: false  available: true  roaming: false  metered: false _x000D_
01 30 08:08:15 323  6015  6015 I Router  : EXTRA IS FAILOVER: false_x000D_
01 30 08:08:15 323  6015  6015 I Router  : EXTRA REASON: null_x000D_
01 30 08:08:15 323  6015  6015 I Router  : EXTRA NO CONNECTIVITY: false_x000D_
01 30 08:08:15 323  6015  6042 W System err: 2019 01 30 08:08:15 321:INFO:oejs AbstractConnector:Started SocketConnector 192 168 178 50:59538_x000D_
01 30 08:08:15 323  6015  6015 I Router  : Connectivity change detected   _x000D_
01 30 08:08:15 319  6015  6038 D OpenGLRenderer: Swap behavior 1_x000D_
01 30 08:08:15 319  6015  6038 I OpenGLRenderer: Initialized EGL  version 1 4_x000D_
01 30 08:08:15 309  6015  6038 I Adreno  : Reconstruct Branch               : NOTHING_x000D_
01 30 08:08:15 309  6015  6038 I Adreno  : Remote Branch                    : NONE_x000D_
01 30 08:08:15 309  6015  6038 I Adreno  : Remote Branch                    : quic gfx adreno lnx 1 0 r5 rel_x000D_
01 30 08:08:15 309  6015  6038 I Adreno  : Local Branch                     : _x000D_
01 30 08:08:15 309  6015  6038 I Adreno  : OpenGL ES Shader Compiler Version: XE031 09 00 04_x000D_
01 30 08:08:15 309  6015  6038 I Adreno  : Build Date                       : 04 11 17_x000D_
01 30 08:08:15 309  6015  6038 I Adreno  : QUALCOMM build                   : ead2395  I23cc4685e6_x000D_
01 30 08:08:15 282  6015  6015 D de yaacc player PlayerService: On Bind_x000D_
01 30 08:08:15 281  6015  6015 D de yaacc player PlayerService: Received start id 1: Intent   cmp de yaacc  player PlayerService  _x000D_
01 30 08:08:15 279  6015  6015 I UpnpServiceImpl:     UPnP service started successfully_x000D_
01 30 08:08:15 277  6015  6015 I Router  : WiFi lock acquired_x000D_
01 30 08:08:15 276  6015  6015 I Router  : WiFi multicast lock acquired_x000D_
01 30 08:08:15 268  6015  6042 W System err: 2019 01 30 08:08:15 267:INFO:oejs Server:jetty 8 y z SNAPSHOT_x000D_
01 30 08:08:15 266  6015  6015 I StreamClient: Starting Jetty HttpClient   _x000D_
01 30 08:08:15 265  6015  6042 I JettyServletContainer: Starting Jetty server    _x000D_
01 30 08:08:15 264  6015  6015 I DatagramIO: Creating bound socket (for datagram input output) on: 192 168 178 50 192 168 178 50_x000D_
01 30 08:08:15 256  6015  6015 I JettyServletContainer: Registering UPnP servlet under context path:  upnp_x000D_
01 30 08:08:15 175  6015  6015 I art     : _x000D_
01 30 08:08:15 175  6015  6015 I art     :   at void com android internal os ZygoteInit main(java lang String  ) (ZygoteInit java:779)_x000D_
01 30 08:08:15 175  6015  6015 I art     :   at void com android internal os ZygoteInit MethodAndArgsCaller run() (ZygoteInit java:889)_x000D_
01 30 08:08:15 175  6015  6015 I art     :   at java lang Object java lang reflect Method invoke (java lang Object  java lang Object  ) (Method java: 2)_x000D_
01 30 08:08:15 175  6015  6015 I art     :   at void android app ActivityThread main(java lang String  ) (ActivityThread java:6186)_x000D_
01 30 08:08:15 175  6015  6015 I art     :   at void android os Looper loop() (Looper java:154)_x000D_
01 30 08:08:15 175  6015  6015 I art     :   at void android os Handler dispatchMessage(android os Message) (Handler java:102)_x000D_
01 30 08:08:15 175  6015  6015 I art     :   at void android app ActivityThread H handleMessage(android os Message) (ActivityThread java:1586)_x000D_
01 30 08:08:15 175  6015  6015 I art     :   at void android app ActivityThread  wrap5(android app ActivityThread  android app ActivityThread CreateServiceData) (ActivityThread java: 1)_x000D_
01 30 08:08:15 175  6015  6015 I art     :   at void android app ActivityThread handleCreateService(android app ActivityThread CreateServiceData) (ActivityThread java:3216)_x000D_
01 30 08:08:15 175  6015  6015 I art     :   at void org fourthline cling android AndroidUpnpServiceImpl onCreate() (AndroidUpnpServiceImpl java:54)_x000D_
01 30 08:08:15 175  6015  6015 I art     :   at void org fourthline cling android AndroidUpnpServiceImpl 1  init (org fourthline cling android AndroidUpnpServiceImpl  org fourthline cling UpnpServiceConfiguration  org fourthline cling registry RegistryListener  ) (AndroidUpnpServiceImpl java:54)_x000D_
01 30 08:08:15 175  6015  6015 I art     :   at void org fourthline cling UpnpServiceImpl  init (org fourthline cling UpnpServiceConfiguration  org fourthline cling registry RegistryListener  ) (UpnpServiceImpl java:87)_x000D_
01 30 08:08:15 175  6015  6015 I art     :   at boolean org fourthline cling android AndroidRouter enable() (AndroidRouter java:91)_x000D_
01 30 08:08:15 175  6015  6015 I art     :   at boolean org fourthline cling transport RouterImpl enable() (RouterImpl java:132)_x000D_
01 30 08:08:15 175  6015  6015 I art     :   at void org fourthline cling transport RouterImpl startAddressBasedTransports(java util Iterator) (RouterImpl java:427)_x000D_
01 30 08:08:15 175  6015  6015 I art     :   at org fourthline cling transport spi StreamServer org fourthline cling android AndroidUpnpServiceConfiguration createStreamServer(org fourthline cling transport spi NetworkAddressFactory) (AndroidUpnpServiceConfiguration java:110)_x000D_
01 30 08:08:15 175  6015  6015 I art     :   at void org fourthline cling transport impl jetty JettyServletContainer  clinit () (JettyServletContainer java:55)_x000D_
01 30 08:08:15 175  6015  6015 I art     :   at void org fourthline cling transport impl jetty JettyServletContainer  init () (JettyServletContainer java:57)_x000D_
01 30 08:08:15 175  6015  6015 I art     :   at void org fourthline cling transport impl jetty JettyServletContainer resetServer() (JettyServletContainer java:165)_x000D_
01 30 08:08:15 175  6015  6015 I art     :   at void org eclipse jetty util component AbstractLifeCycle  clinit () (AbstractLifeCycle java:33)_x000D_
01 30 08:08:15 175  6015  6015 I art     :   at org eclipse jetty util log Logger org eclipse jetty util log Log getLogger(java lang Class) (Log java:425)_x000D_
01 30 08:08:15 175  6015  6015 I art     :   at org eclipse jetty util log Logger org eclipse jetty util log Log getLogger(java lang String) (Log java:435)_x000D_
01 30 08:08:15 175  6015  6015 I art     :   at boolean org eclipse jetty util log Log initialized() (Log java:161)_x000D_
01 30 08:08:15 175  6015  6015 I art     :   at java lang Object java lang Class newInstance () (Class java: 2)_x000D_
01 30 08:08:15 175  6015  6015 I art     :   at java lang Class java lang ClassLoader loadClass(java lang String) (ClassLoader java:312)_x000D_
01 30 08:08:15 175  6015  6015 I art     :   at java lang Class java lang ClassLoader loadClass(java lang String  boolean) (ClassLoader java:380)_x000D_
01 30 08:08:15 175  6015  6015 I art     :   at java lang Class dalvik system BaseDexClassLoader findClass(java lang String) (BaseDexClassLoader java:56)_x000D_
01 30 08:08:15 175  6015  6015 I art     : Caused by: java lang ClassNotFoundException: Didn t find class  org slf4j Logger  on path: DexPathList  zip file   data app de yaacc 2 base apk   nativeLibraryDirectories   data app de yaacc 2 lib arm   system lib   vendor lib  _x000D_
01 30 08:08:15 175  6015  6015 I art     :   at void com android internal os ZygoteInit main(java lang String  ) (ZygoteInit java:779)_x000D_
01 30 08:08:15 175  6015  6015 I art     :   at void com android internal os ZygoteInit MethodAndArgsCaller run() (ZygoteInit java:889)_x000D_
01 30 08:08:15 175  6015  6015 I art     :   at java lang Object java lang reflect Method invoke (java lang Object  java lang Object  ) (Method java: 2)_x000D_
01 30 08:08:15 175  6015  6015 I art     :   at void android app ActivityThread main(java lang String  ) (ActivityThread java:6186)_x000D_
01 30 08:08:15 175  6015  6015 I art     :   at void android os Looper loop() (Looper java:154)_x000D_
01 30 08:08:15 175  6015  6015 I art     :   at void android os Handler dispatchMessage(android os Message) (Handler java:102)_x000D_
01 30 08:08:15 175  6015  6015 I art     :   at void android app ActivityThread H handleMessage(android os Message) (ActivityThread java:1586)_x000D_
01 30 08:08:15 175  6015  6015 I art     :   at void android app ActivityThread  wrap5(android app ActivityThread  android app ActivityThread CreateServiceData) (ActivityThread java: 1)_x000D_
01 30 08:08:15 175  6015  6015 I art     :   at void android app ActivityThread handleCreateService(android app ActivityThread CreateServiceData) (ActivityThread java:3216)_x000D_
01 30 08:08:15 175  6015  6015 I art     :   at void org fourthline cling android AndroidUpnpServiceImpl onCreate() (AndroidUpnpServiceImpl java:54)_x000D_
01 30 08:08:15 175  6015  6015 I art     :   at void org fourthline cling android AndroidUpnpServiceImpl 1  init (org fourthline cling android AndroidUpnpServiceImpl  org fourthline cling UpnpServiceConfiguration  org fourthline cling registry RegistryListener  ) (AndroidUpnpServiceImpl java:54)_x000D_
01 30 08:08:15 175  6015  6015 I art     :   at void org fourthline cling UpnpServiceImpl  init (org fourthline cling UpnpServiceConfiguration  org fourthline cling registry RegistryListener  ) (UpnpServiceImpl java:87)_x000D_
01 30 08:08:15 175  6015  6015 I art     :   at boolean org fourthline cling android AndroidRouter enable() (AndroidRouter java:91)_x000D_
01 30 08:08:15 175  6015  6015 I art     :   at boolean org fourthline cling transport RouterImpl enable() (RouterImpl java:132)_x000D_
01 30 08:08:15 175  6015  6015 I art     :   at void org fourthline cling transport RouterImpl startAddressBasedTransports(java util Iterator) (RouterImpl java:427)_x000D_
01 30 08:08:15 175  6015  6015 I art     :   at org fourthline cling transport spi StreamServer org fourthline cling android AndroidUpnpServiceConfiguration createStreamServer(org fourthline cling transport spi NetworkAddressFactory) (AndroidUpnpServiceConfiguration java:110)_x000D_
01 30 08:08:15 175  6015  6015 I art     :   at void org fourthline cling transport impl jetty JettyServletContainer  clinit () (JettyServletContainer java:55)_x000D_
01 30 08:08:15 175  6015  6015 I art     :   at void org fourthline cling transport impl jetty JettyServletContainer  init () (JettyServletContainer java:57)_x000D_
01 30 08:08:15 175  6015  6015 I art     :   at void org fourthline cling transport impl jetty JettyServletContainer resetServer() (JettyServletContainer java:165)_x000D_
01 30 08:08:15 175  6015  6015 I art     :   at void org eclipse jetty util component AbstractLifeCycle  clinit () (AbstractLifeCycle java:33)_x000D_
01 30 08:08:15 175  6015  6015 I art     :   at org eclipse jetty util log Logger org eclipse jetty util log Log getLogger(java lang Class) (Log java:425)_x000D_
01 30 08:08:15 175  6015  6015 I art     :   at org eclipse jetty util log Logger org eclipse jetty util log Log getLogger(java lang String) (Log java:435)_x000D_
01 30 08:08:15 175  6015  6015 I art     :   at boolean org eclipse jetty util log Log initialized() (Log java:161)_x000D_
01 30 08:08:15 175  6015  6015 I art     :   at java lang Object java lang Class newInstance () (Class java: 2)_x000D_
01 30 08:08:15 175  6015  6015 I art     : Rejecting re init on previously failed class java lang Class org eclipse jetty util log JettyAwareLogger : java lang NoClassDefFoundError: Failed resolution of: Lorg slf4j Logger _x000D_
01 30 08:08:15 162  6015  6015 I MulticastReceiver: Joining multicast group:  239 255 255 250:1900 on network interface: wlan0_x000D_
01 30 08:08:15 160  6015  6015 I MulticastReceiver: Creating wildcard socket (for receiving multicast datagrams) on port: 1900_x000D_
01 30 08:08:15 158  6015  6015 W tworkAddressFactoryImpl: Network interface may not be multicast capable: dummy0_x000D_
01 30 08:08:15 147  6015  6015 I Router  : Creating Router: org fourthline cling android AndroidRouter_x000D_
01 30 08:08:15 145  6015  6015 I UpnpServiceImpl: Using configuration: de yaacc upnp UpnpRegistryService 1_x000D_
01 30 08:08:15 144  6015  6015 I UpnpServiceImpl:     Starting UPnP service   _x000D_
01 30 08:08:15 120  6015  6015 D de yaacc browser TabBrowserActivity: Stopping local service_x000D_
01 30 08:08:15 118  6015  6015 D de yaacc browser TabBrowserActivity: All permissions granted_x000D_
01 30 08:08:14 993  6015  6015 W System  : ClassLoader referenced unknown path:  data app de yaacc 2 lib arm_x000D_
01 30 08:08:14 933  6015  6015 W main    : type 1400 audit(0 0:62335): avc: denied   read   for name  u:object r:device logging prop:s0  dev  tmpfs  ino 10793 scontext u:r:untrusted app:s0:c512 c768 tcontext u:object r:device logging prop:s0 tclass file permissive 0_x000D_
01 30 08:08:14 933  6015  6015 W main    : type 1400 audit(0 0:62334): avc: denied   read   for name  u:object r:logpersistd logging prop:s0  dev  tmpfs  ino 10792 scontext u:r:untrusted app:s0:c512 c768 tcontext u:object r:logpersistd logging prop:s0 tclass file permissive 0_x000D_
01 30 08:08:14 933  6015  6015 W main    : type 1400 audit(0 0:62333): avc: denied   read   for name  u:object r:mmc prop:s0  dev  tmpfs  ino 10791 scontext u:r:untrusted app:s0:c512 c768 tcontext u:object r:mmc prop:s0 tclass file permissive 0_x000D_
01 30 08:08:14 933  6015  6015 W main    : type 1400 audit(0 0:62332): avc: denied   read   for name  u:object r:safemode prop:s0  dev  tmpfs  ino 10790 scontext u:r:untrusted app:s0:c512 c768 tcontext u:object r:safemode prop:s0 tclass file permissive 0_x000D_
01 30 08:08:14 933  6015  6015 W main    : type 1400 audit(0 0:62331): avc: denied   read   for name  u:object r:spcomlib prop:s0  dev  tmpfs  ino 10775 scontext u:r:untrusted app:s0:c512 c768 tcontext u:object r:spcomlib prop:s0 tclass file permissive 0_x000D_
01 30 08:08:14 933  6015  6015 W main    : type 1400 audit(0 0:62330): avc: denied   read   for name  u:object r:mpdecision prop:s0  dev  tmpfs  ino 10771 scontext u:r:untrusted app:s0:c512 c768 tcontext u:object r:mpdecision prop:s0 tclass file permissive 0_x000D_
01 30 08:08:14 933  6015  6015 W main    : type 1400 audit(0 0:62329): avc: denied   read   for name  u:object r:sys usb controller prop:s0  dev  tmpfs  ino 10767 scontext u:r:untrusted app:s0:c512 c768 tcontext u:object r:sys usb controller prop:s0 tclass file permissive 0_x000D_
01 30 08:08:14 933  6015  6015 W main    : type 1400 audit(0 0:62328): avc: denied   read   for name  u:object r:sys usb configfs prop:s0  dev  tmpfs  ino 10766 scontext u:r:untrusted app:s0:c512 c768 tcontext u:object r:sys usb configfs prop:s0 tclass file permissive 0_x000D_
01 30 08:08:14 933  6015  6015 W main    : type 1400 audit(0 0:62327): avc: denied   read   for name  u:object r:sys usb tethering prop:s0  dev  tmpfs  ino 10765 scontext u:r:untrusted app:s0:c512 c768 tcontext u:object r:sys usb tethering prop:s0 tclass file permissive 0_x000D_
01 30 08:08:14 933  6015  6015 W main    : type 1400 audit(0 0:62326): avc: denied   read   for name  u:object r:boot mode prop:s0  dev  tmpfs  ino 10748 scontext u:r:untrusted app:s0:c512 c768 tcontext u:object r:boot mode prop:s0 tclass file permissive 0_x000D_
01 30 08:08:14 933  6015  6015 W main    : type 1400 audit(0 0:62325): avc: denied   read   for name  u:object r:adbtcp prop:s0  dev  tmpfs  ino 10746 scontext u:r:untrusted app:s0:c512 c768 tcontext u:object r:adbtcp prop:s0 tclass file permissive 0_x000D_
01 30 08:08:14 933  6015  6015 W main    : type 1400 audit(0 0:62324): avc: denied   read   for name  u:object r:recovery prop:s0  dev  tmpfs  ino 10745 scontext u:r:untrusted app:s0:c512 c768 tcontext u:object r:recovery prop:s0 tclass file permissive 0_x000D_
01 30 08:08:14 933  6015  6015 W main    : type 1400 audit(0 0:62323): avc: denied   read   for name  u:object r:adbsecure prop:s0  dev  tmpfs  ino 10744 scontext u:r:untrusted app:s0:c512 c768 tcontext u:object r:adbsecure prop:s0 tclass file permissive 0_x000D_
01 30 08:08:14 933  6015  6015 W main    : type 1400 audit(0 0:62322): avc: denied   read   for name  u:object r:userinit prop:s0  dev  tmpfs  ino 10743 scontext u:r:untrusted app:s0:c512 c768 tcontext u:object r:userinit prop:s0 tclass file permissive 0_x000D_
01 30 08:08:04 660  5852  5892 D de yaacc upnp UpnpClient: remoteDeviceUpdated: Justin Maggard Windows Media Connect compatible (MiniDLNA) 1_x000D_
01 30 08:08:04 657  5852  5889 D de yaacc upnp UpnpClient: remoteDeviceUpdated: Justin Maggard Windows Media Connect compatible (MiniDLNA) 1_x000D_
01 30 08:08:04 423  5852  5892 D de yaacc upnp UpnpClient: remoteDeviceAdded: Justin Maggard Windows Media Connect compatible (MiniDLNA) 1_x000D_
01 30 08:08:04 398  5852  5888 I SAXParser: can t set factory setXIncludeAware(false) _x000D_
01 30 08:08:04 397  5852  5888 I SAXParser: Feature disallow doctype decl not known_x000D_
01 30 08:08:04 321  5852  5888 I SAXParser: can t set factory setXIncludeAware(false) _x000D_
01 30 08:08:04 321  5852  5888 I SAXParser: Feature disallow doctype decl not known_x000D_
01 30 08:08:02 658  5852  5880 W System err: 2019 01 30 08:08:02 658:INFO:oejs AbstractConnector:Started SocketConnector 192 168 178 50:52974_x000D_
01 30 08:08:02 626  5852  5852 I Router  : No actual network change    ignoring event _x000D_
01 30 08:08:02 626  5852  5852 I Router  : EXTRA EXTRA INFO:  Spaeth _x000D_
01 30 08:08:02 625  5852  5852 I Router  : EXTRA OTHER NETWORK INFO: none_x000D_
01 30 08:08:02 625  5852  5852 I Router  : EXTRA NETWORK INFO:  type: WIFI    state: CONNECTED CONNECTED  reason: (unspecified)  extra:  Spaeth   failover: false  available: true  roaming: false  metered: false _x000D_
01 30 08:08:02 625  5852  5852 I Router  : EXTRA IS FAILOVER: false_x000D_
01 30 08:08:02 625  5852  5852 I Router  : EXTRA REASON: null_x000D_
01 30 08:08:02 625  5852  5852 I Router  : EXTRA NO CONNECTIVITY: false_x000D_
01 30 08:08:02 625  5852  5852 I Router  : Connectivity change detected   _x000D_
01 30 08:08:02 622  5852  5852 D de yaacc player PlayerService: On Bind_x000D_
01 30 08:08:02 621  5852  5852 D de yaacc player PlayerService: Received start id 4: Intent   cmp de yaacc  player PlayerService  _x000D_
01 30 08:08:02 620  5852  5852 I UpnpServiceImpl:     UPnP service started successfully_x000D_
01 30 08:08:02 618  5852  5852 I Router  : WiFi lock acquired_x000D_
01 30 08:08:02 616  5852  5852 I Router  : WiFi multicast lock acquired_x000D_
01 30 08:08:02 606  5852  5880 W System err: 2019 01 30 08:08:02 605:INFO:oejs Server:jetty 8 y z SNAPSHOT_x000D_
01 30 08:08:02 605  5852  5852 I StreamClient: Starting Jetty HttpClient   _x000D_
01 30 08:08:02 605  5852  5880 I JettyServletContainer: Starting Jetty server    _x000D_
01 30 08:08:02 603  5852  5852 I DatagramIO: Creating bound socket (for datagram input output) on: 192 168 178 50 192 168 178 50_x000D_
01 30 08:08:02 595  5852  5852 I JettyServletContainer: Registering UPnP servlet under context path:  upnp_x000D_
01 30 08:08:02 519  5852  5852 I art     : _x000D_
01 30 08:08:02 519  5852  5852 I art     :   at void com android internal os ZygoteInit main(java lang String  ) (ZygoteInit java:779)_x000D_
01 30 08:08:02 519  5852  5852 I art     :   at void com android internal os ZygoteInit MethodAndArgsCaller run() (ZygoteInit java:889)_x000D_
01 30 08:08:02 519  5852  5852 I art     :   at java lang Object java lang reflect Method invoke (java lang Object  java lang Object  ) (Method java: 2)_x000D_
01 30 08:08:02 519  5852  5852 I art     :   at void android app ActivityThread main(java lang String  ) (ActivityThread java:6186)_x000D_
01 30 08:08:02 519  5852  5852 I art     :   at void android os Looper loop() (Looper java:154)_x000D_
01 30 08:08:02 519  5852  5852 I art     :   at void android os Handler dispatchMessage(android os Message) (Handler java:102)_x000D_
01 30 08:08:02 519  5852  5852 I art     :   at void android app ActivityThread H handleMessage(android os Message) (ActivityThread java:1586)_x000D_
01 30 08:08:02 519  5852  5852 I art     :   at void android app ActivityThread  wrap5(android app ActivityThread  android app ActivityThread CreateServiceData) (ActivityThread java: 1)_x000D_
01 30 08:08:02 519  5852  5852 I art     :   at void android app ActivityThread handleCreateService(android app ActivityThread CreateServiceData) (ActivityThread java:3216)_x000D_
01 30 08:08:02 519  5852  5852 I art     :   at void org fourthline cling android AndroidUpnpServiceImpl onCreate() (AndroidUpnpServiceImpl java:54)_x000D_
01 30 08:08:02 519  5852  5852 I art     :   at void org fourthline cling android AndroidUpnpServiceImpl 1  init (org fourthline cling android AndroidUpnpServiceImpl  org fourthline cling UpnpServiceConfiguration  org fourthline cling registry RegistryListener  ) (AndroidUpnpServiceImpl java:54)_x000D_
01 30 08:08:02 519  5852  5852 I art     :   at void org fourthline cling UpnpServiceImpl  init (org fourthline cling UpnpServiceConfiguration  org fourthline cling registry RegistryListener  ) (UpnpServiceImpl java:87)_x000D_
01 30 08:08:02 519  5852  5852 I art     :   at boolean org fourthline cling android AndroidRouter enable() (AndroidRouter java:91)_x000D_
01 30 08:08:02 519  5852  5852 I art     :   at boolean org fourthline cling transport RouterImpl enable() (RouterImpl java:132)_x000D_
01 30 08:08:02 519  5852  5852 I art     :   at void org fourthline cling transport RouterImpl startAddressBasedTransports(java util Iterator) (RouterImpl java:427)_x000D_
01 30 08:08:02 519  5852  5852 I art     :   at org fourthline cling transport spi StreamServer org fourthline cling android AndroidUpnpServiceConfiguration createStreamServer(org fourthline cling transport spi NetworkAddressFactory) (AndroidUpnpServiceConfiguration java:110)_x000D_
01 30 08:08:02 519  5852  5852 I art     :   at void org fourthline cling transport impl jetty JettyServletContainer  clinit () (JettyServletContainer java:55)_x000D_
01 30 08:08:02 519  5852  5852 I art     :   at void org fourthline cling transport impl jetty JettyServletContainer  init () (JettyServletContainer java:57)_x000D_
01 30 08:08:02 519  5852  5852 I art     :   at void org fourthline cling transport impl jetty JettyServletContainer resetServer() (JettyServletContainer java:165)_x000D_
01 30 08:08:02 519  5852  5852 I art     :   at void org eclipse jetty util component AbstractLifeCycle  clinit () (AbstractLifeCycle java:33)_x000D_
01 30 08:08:02 519  5852  5852 I art     :   at org eclipse jetty util log Logger org eclipse jetty util log Log getLogger(java lang Class) (Log java:425)_x000D_
01 30 08:08:02 519  5852  5852 I art     :   at org eclipse jetty util log Logger org eclipse jetty util log Log getLogger(java lang String) (Log java:435)_x000D_
01 30 08:08:02 518  5852  5852 I art     :   at boolean org eclipse jetty util log Log initialized() (Log java:161)_x000D_
01 30 08:08:02 518  5852  5852 I art     :   at java lang Object java lang Class newInstance () (Class java: 2)_x000D_
01 30 08:08:02 518  5852  5852 I art     :   at java lang Class java lang ClassLoader loadClass(java lang String) (ClassLoader java:312)_x000D_
01 30 08:08:02 518  5852  5852 I art     :   at java lang Class java lang ClassLoader loadClass(java lang String  boolean) (ClassLoader java:380)_x000D_
01 30 08:08:02 518  5852  5852 I art     :   at java lang Class dalvik system BaseDexClassLoader findClass(java lang String) (BaseDexClassLoader java:56)_x000D_
01 30 08:08:02 518  5852  5852 I art     : Caused by: java lang ClassNotFoundException: Didn t find class  org slf4j Logger  on path: DexPathList  zip file   data app de yaacc 2 b</t>
  </si>
  <si>
    <t>MozillaReality-FirefoxReality-932</t>
  </si>
  <si>
    <t>Media-playback crash (signature: `nsTSubstring&lt;T&gt;::Assign | nsTSubstring&lt;T&gt;::Assign | mozilla::AndroidDecoderModule::CreateAudioDecoder`) on Oculus Go</t>
  </si>
  <si>
    <t xml:space="preserve">   Hardware_x000D_
Oculus Go_x000D_
_x000D_
   Steps to Reproduce_x000D_
Unsure STR at the moment _x000D_
_x000D_
     Crash Report   (https:  crash stats mozilla com report index 6e8d8e1b ea65 482b 881a 2abf80190124)_x000D_
      ID:  6e8d8e1b ea65 482b 881a 2abf80190124 _x000D_
      Signature:  nsTSubstring T ::Assign   nsTSubstring T ::Assign   mozilla::AndroidDecoderModule::CreateAudioDecoder _x000D_
_x000D_
   Current Behavior_x000D_
Crash occurs _x000D_
_x000D_
   Expected Behavior_x000D_
No crash occurs _x000D_
_x000D_
   Possible Solution_x000D_
TBD _x000D_
_x000D_
   Context_x000D_
TBD _x000D_
_x000D_
   Error Logs and Stack Traces_x000D_
See the full stack trace in the    Crash Report   (https:  crash stats mozilla com report index 6e8d8e1b ea65 482b 881a 2abf80190124) _x000D_
</t>
  </si>
  <si>
    <t>fossasia-phimpme-android-2469</t>
  </si>
  <si>
    <t>App crashes at activity showing single photo.</t>
  </si>
  <si>
    <t xml:space="preserve">  Actual Behaviour  _x000D_
While viewing the image  if we tap on a menu icon and select description  app crashes _x000D_
_x000D_
  Expected Behaviour  _x000D_
It should show information about the current image and description dialog box should appear _x000D_
_x000D_
  Steps to reproduce it  _x000D_
_x000D_
Add steps to reproduce bugs or add information on the place where the feature should be implemented  Add links to a sample deployment or code _x000D_
_x000D_
  GIF of the issue  _x000D_
_x000D_
  phimp me error (https:  user images githubusercontent com 31595908 51988418 a3b43200 24ca 11e9 9778 30c93c6fac61 gif)_x000D_
_x000D_
  Would you like to work on the issue   _x000D_
_x000D_
I would love working on this issue _x000D_
</t>
  </si>
  <si>
    <t>doublesymmetry-react-native-track-player-416</t>
  </si>
  <si>
    <t>[js] Typo in TypeScript declarations</t>
  </si>
  <si>
    <t xml:space="preserve">The declarations file said  CAPABILITY SLIP TO NEXT  instead of  CAPABILITY SKIP TO NEXT  _x000D_
Using  CAPABILITY SLIP TO NEXT  in your applications crashes it </t>
  </si>
  <si>
    <t>stealthcopter-AndroidNetworkTools-53</t>
  </si>
  <si>
    <t>Native ping java Process streams not closed</t>
  </si>
  <si>
    <t xml:space="preserve">Hi _x000D_
_x000D_
In the PingNative::ping method  the process  input output error streams are not closed after completion _x000D_
_x000D_
While using this library in Android API level 23 (Marshmallow)  it was leading to a spike in number of pipe file descriptors  eventually crashing the user App as the number of FDs were exceeding the allowed limit per process  if GC was not invoked at that instant  However  I did not face the same issue in Android API level 28 (Oreo) </t>
  </si>
  <si>
    <t>MCMrARM-revolution-irc-183</t>
  </si>
  <si>
    <t>Selecting a custom theme crashes the app</t>
  </si>
  <si>
    <t xml:space="preserve">While grokking the new 0 5 0 update  I selected  Settings   Interface   Create a new theme   which promptly crashed the app  Launching the app was unsuccessful as long as this new custom theme was selected  clearing app data is not an option  since  App info   Manage space  also failed with a crash _x000D_
_x000D_
Having root  I was able to clear this failure by removing the   string name  theme  custom: GUID   string   line from   data data io mrarm irc shared prefs io mrarm irc preferences xml   The newly created custom theme is fully editable  but actually selecting it will start the crashing over again  I tried all this from a clean install as well  to rule out broken settings _x000D_
_x000D_
My phone is an LG D851 (G3 with 32GB) on Android 5 0 1  This is probably relevant  as one user on IRC had no such problem  I am willing to help with further debugging as needed _x000D_
_x000D_
Some thoughts:_x000D_
  Perhaps don t auto select the new theme on creation _x000D_
  If you push a new update to fix this  it may be a good idea to clear the current theme selection on first run  for those unrooted users who may be in this predicament  and don t want to lose their data by way of uninstalling  This shouldn t be too intrusive  as 0 5 0 forgot my selection of the dark theme anyway </t>
  </si>
  <si>
    <t>osmdroid-osmdroid-1260</t>
  </si>
  <si>
    <t>Random crash during using osmdroid</t>
  </si>
  <si>
    <t xml:space="preserve">I have used osmdroid of several years and users are reported me to weird random crashes  I have not find any googd reason why this happens until now I started used firebase  I m unable to reproduce this by self error but it seems happens in varied devices randomly every week  I have now updated to version 6 0 3_x000D_
_x000D_
Any Idea how to fix this _x000D_
_x000D_
Here is log form firebase:_x000D_
Fatal Exception: java lang IndexOutOfBoundsException: Index: 63  Size: 62_x000D_
       at java util concurrent CopyOnWriteArrayList listIterator(CopyOnWriteArrayList java:1040)_x000D_
       at org osmdroid views overlay DefaultOverlayManager 1 iterator(DefaultOverlayManager java:92)_x000D_
       at org osmdroid views overlay DefaultOverlayManager onShowPress(DefaultOverlayManager java:323)_x000D_
       at org osmdroid views MapView MapViewGestureDetectorListener onShowPress(MapView java:1521)_x000D_
       at android view GestureDetector GestureHandler handleMessage(GestureDetector java:289)_x000D_
       at android os Handler dispatchMessage(Handler java:107)_x000D_
       at android os Looper loop(Looper java:198)_x000D_
       at android app ActivityThread main(ActivityThread java:6729)_x000D_
       at java lang reflect Method invoke(Method java)_x000D_
       at com android internal os RuntimeInit MethodAndArgsCaller run(RuntimeInit java:493)_x000D_
       at com android internal os ZygoteInit main(ZygoteInit java:858)_x000D_
_x000D_
</t>
  </si>
  <si>
    <t>deltachat-deltachat-android-672</t>
  </si>
  <si>
    <t>Delta chat crashes after sending first message</t>
  </si>
  <si>
    <t xml:space="preserve">I ve made fresh install from f droid  After sending the first message Delta Chat crashes  Here is the extracted log from logcat:_x000D_
   _x000D_
          beginning of crash_x000D_
01 27 10:46:15 808 10951 10991 F libc    : Fatal signal 11 (SIGSEGV)  code 1  fault addr 0x0 in tid 10991 (imapThread)_x000D_
01 27 10:46:16 105 13330 13330 F DEBUG   :                                                                _x000D_
01 27 10:46:16 106 13330 13330 F DEBUG   : Build fingerprint:  xiaomi vince vince:7 1 2 N2G47H V9 5 11 0 NEGMIFA:user release keys _x000D_
01 27 10:46:16 106 13330 13330 F DEBUG   : Revision:  0 _x000D_
01 27 10:46:16 106 13330 13330 F DEBUG   : ABI:  arm _x000D_
01 27 10:46:16 107 13330 13330 F DEBUG   : pid: 10951  tid: 10991  name: imapThread      com b44t messenger    _x000D_
01 27 10:46:16 107 13330 13330 F DEBUG   : signal 11 (SIGSEGV)  code 1 (SEGV MAPERR)  fault addr 0x0_x000D_
01 27 10:46:16 107 13330 13330 F DEBUG   :     r0 df3d5260  r1 0cf008c7  r2 00000000  r3 00000000_x000D_
01 27 10:46:16 107 13330 13330 F DEBUG   :     r4 c9484f40  r5 00000000  r6 e88a2008  r7 454c4449_x000D_
01 27 10:46:16 107 13330 13330 F DEBUG   :     r8 ca8c6030  r9 ca2e7798  sl 00000000  fp ca8c60e4_x000D_
01 27 10:46:16 108 13330 13330 F DEBUG   :     ip e889d948  sp ca8c5fd8  lr e88787dd  pc cb116fce  cpsr 200d0030_x000D_
01 27 10:46:16 118 13330 13330 F DEBUG   :_x000D_
01 27 10:46:16 118 13330 13330 F DEBUG   : backtrace:_x000D_
01 27 10:46:16 120 13330 13330 F DEBUG   :      00 pc 0012cfce   data app com b44t messenger 1 lib arm libmessenger 1 so (mailimap parse response 213)_x000D_
01 27 10:46:16 120 13330 13330 F DEBUG   :      01 pc 0012c975   data app com b44t messenger 1 lib arm libmessenger 1 so (mailimap idle done 72)_x000D_
01 27 10:46:16 121 13330 13330 F DEBUG   :      02 pc 0010a134   data app com b44t messenger 1 lib arm libmessenger 1 so (dc imap idle 240)_x000D_
01 27 10:46:16 121 13330 13330 F DEBUG   :      03 pc 0010b51c   data app com b44t messenger 1 lib arm libmessenger 1 so (dc perform imap idle 100)_x000D_
01 27 10:46:16 121 13330 13330 F DEBUG   :      04 pc 0053d855   data app com b44t messenger 1 oat arm base odex (offset 0x51d000)_x000D_
   _x000D_
Sending was successful  I ve got the message in my mailbox  After deleting and newly install of appplication Delta Chats works without problems _x000D_
_x000D_
Platform: Android 7 1 2  64 bit_x000D_
Device: Xiaomi Redmi 5 plus (rooted)  4 GB RAM  64 GB memory (25 GB free)_x000D_
Delta Chat Version: 0 20 0_x000D_
</t>
  </si>
  <si>
    <t>EXALAB-AnLinux-App-54</t>
  </si>
  <si>
    <t>Fedora - dnfdragora and Web Browsers Not Working</t>
  </si>
  <si>
    <t xml:space="preserve">I m new to AnLinux but so far it s been good  The only issue I have noticed is that dnfdragora seems to crash before opening and I haven t been able to get any web browser working  Obviously this isn t a major issue since dnf can be run via terminal and I can use the browser on the phone but I would like to try to resolve this if possible  I ve created a list of browsers tried as well as a description of the error for each  Any assistance would be appreciated _x000D_
_x000D_
Chrome: Every attempt to install via dnf and yum has failed with package not found errors_x000D_
Chromium: Crashes immediately upon launch (no visual evidence except in Task Manager)_x000D_
Firefox: Displays just a black window  no UI and unusable_x000D_
Midori and Gnome Web: UI appears complete and pages seem to load in the background but still nothing displayed in the window_x000D_
  midori (https:  user images githubusercontent com 5366399 51797466 56864680 21d2 11e9 86e0 b0e83fba7bb7 jpg)_x000D_
  epiphany (https:  user images githubusercontent com 5366399 51797467 571edd00 21d2 11e9 9c7d c554f42ce0c1 jpg)_x000D_
  firefox (https:  user images githubusercontent com 5366399 51797468 571edd00 21d2 11e9 947f efafab91f63d jpg)_x000D_
_x000D_
_x000D_
</t>
  </si>
  <si>
    <t>SecUSo-privacy-friendly-wifi-manager-14</t>
  </si>
  <si>
    <t>Crashes immediately on touching "Schedule" in the menu</t>
  </si>
  <si>
    <t xml:space="preserve">Nokia 1  I was attempting to see if the schedule menu allowed me to disable WLAN for saving battery while I slept as I think WiFi Manager keeps activating it regardless of my manual disabling  I hope the  adb logcat grep secuso  is of any use:_x000D_
_x000D_
   adb_x000D_
01 27 00:23:14 255   292   861 I BufferQueueProducer:  org secuso privacyfriendlywifimanager org secuso privacyfriendlywifimanager view MainActivity 0 (this:0xa1678000 id:2424 api:1 p:3360 c:292) queueBuffer: fps 4 86 dur 6169 95 max 5441 30 min 9 24_x000D_
01 27 00:23:14 329  3360  3360 E AndroidRuntime: Process: org secuso privacyfriendlywifimanager  PID: 3360_x000D_
01 27 00:23:14 329  3360  3360 E AndroidRuntime: android view InflateException: Binary XML file line  0: Could not inflate Behavior subclass org secuso privacyfriendlywifi view behavior ScrollAwareFABBehavior_x000D_
01 27 00:23:14 329  3360  3360 E AndroidRuntime: Caused by: java lang RuntimeException: Could not inflate Behavior subclass org secuso privacyfriendlywifi view behavior ScrollAwareFABBehavior_x000D_
01 27 00:23:14 329  3360  3360 E AndroidRuntime: 	at org secuso privacyfriendlywifimanager view fragment ScheduleFragment onCreateView(ScheduleFragment java:88)_x000D_
01 27 00:23:14 329  3360  3360 E AndroidRuntime: Caused by: java lang ClassNotFoundException: org secuso privacyfriendlywifi view behavior ScrollAwareFABBehavior_x000D_
01 27 00:23:14 329  3360  3360 E AndroidRuntime: Caused by: java lang ClassNotFoundException: Didn t find class  org secuso privacyfriendlywifi view behavior ScrollAwareFABBehavior  on path: DexPathList  zip file   data app org secuso privacyfriendlywifimanager Ojp8xWHaOAk1 NzySXskzg   base apk   nativeLibraryDirectories   data app org secuso privacyfriendlywifimanager Ojp8xWHaOAk1 NzySXskzg   lib arm   system lib   vendor lib  _x000D_
01 27 00:23:14 337   735  1961 W ActivityManager:   Force finishing activity org secuso privacyfriendlywifimanager  view MainActivity_x000D_
01 27 00:23:14 356   735   751 I ActivityManager: Showing crash dialog for package org secuso privacyfriendlywifimanager u0_x000D_
01 27 00:23:14 450   735   757 I WindowManager: Focus moving from Window 951759c u0 org secuso privacyfriendlywifimanager org secuso privacyfriendlywifimanager view MainActivity  to Window 1ce39 u0 Application Error: org secuso privacyfriendlywifimanager _x000D_
01 27 00:23:14 478   292   292 I BufferQueueConsumer:  Application Error: org secuso privacyfriendlywifimanager 0 (this:0xa107d000 id:2425 api:0 p: 1 c:292) setConsumerName: Application Error: org secuso privacyfriendlywifimanager 0_x000D_
01 27 00:23:14 478   292   292 I BufferQueueConsumer:  Application Error: org secuso privacyfriendlywifimanager 0 (this:0xa107d000 id:2425 api:0 p: 1 c:292) setDefaultBufferSize: width 445 height 245_x000D_
01 27 00:23:14 505   292   329 I BufferQueueProducer:  Application Error: org secuso privacyfriendlywifimanager 0 (this:0xa107d000 id:2425 api:2 p:735 c:292) connect(P): api 2 producer (735:system server) producerControlledByApp false_x000D_
01 27 00:23:14 542   735   757 I WindowManager: Losing delayed focus: Window 951759c u0 org secuso privacyfriendlywifimanager org secuso privacyfriendlywifimanager view MainActivity _x000D_
01 27 00:23:14 845   735   750 W ActivityManager: Activity pause timeout for ActivityRecord 5644a96 u0 org secuso privacyfriendlywifimanager  view MainActivity t1672 f _x000D_
01 27 00:23:14 901   292   292 I SurfaceFlinger: screenshot (org secuso privacyfriendlywifimanager org secuso privacyfriendlywifimanager view MainActivity 0)_x000D_
01 27 00:23:15 019  3421  3447 I PandorasBoxService:  Thread 2  Log fih( BBSAPP::UPD    8::data app crash org secuso privacyfriendlywifimanager org secuso privacyfriendlywifimanager 1 1 0 Binary XML file line  0: Could not inflate Behavior subclass org secuso privacyfriendlywifi view behavior ScrollAwareFABBehavior )_x000D_
01 27 00:23:15 126   292   292 W Layer   :  org secuso privacyfriendlywifimanager org secuso privacyfriendlywifimanager view MainActivity 0  opaque layer with plane alpha:1 00 cannot be handled by hwcomposer_x000D_
01 27 00:23:15 143   292   292 W Layer   :  org secuso privacyfriendlywifimanager org secuso privacyfriendlywifimanager view MainActivity 0  opaque layer with plane alpha:0 99 cannot be handled by hwcomposer_x000D_
01 27 00:23:15 160   292   292 W Layer   :  org secuso privacyfriendlywifimanager org secuso privacyfriendlywifimanager view MainActivity 0  opaque layer with plane alpha:0 96 cannot be handled by hwcomposer_x000D_
01 27 00:23:15 177   292   292 W Layer   :  org secuso privacyfriendlywifimanager org secuso privacyfriendlywifimanager view MainActivity 0  opaque layer with plane alpha:0 90 cannot be handled by hwcomposer_x000D_
01 27 00:23:15 193   292   292 W Layer   :  org secuso privacyfriendlywifimanager org secuso privacyfriendlywifimanager view MainActivity 0  opaque layer with plane alpha:0 83 cannot be handled by hwcomposer_x000D_
01 27 00:23:15 210   292   292 W Layer   :  org secuso privacyfriendlywifimanager org secuso privacyfriendlywifimanager view MainActivity 0  opaque layer with plane alpha:0 73 cannot be handled by hwcomposer_x000D_
01 27 00:23:15 230   292   292 W Layer   :  org secuso privacyfriendlywifimanager org secuso privacyfriendlywifimanager view MainActivity 0  opaque layer with plane alpha:0 62 cannot be handled by hwcomposer_x000D_
01 27 00:23:15 246   292   292 W Layer   :  org secuso privacyfriendlywifimanager org secuso privacyfriendlywifimanager view MainActivity 0  opaque layer with plane alpha:0 49 cannot be handled by hwcomposer_x000D_
01 27 00:23:15 261   292   292 W Layer   :  org secuso privacyfriendlywifimanager org secuso privacyfriendlywifimanager view MainActivity 0  opaque layer with plane alpha:0 34 cannot be handled by hwcomposer_x000D_
01 27 00:23:15 278   292   292 W Layer   :  org secuso privacyfriendlywifimanager org secuso privacyfriendlywifimanager view MainActivity 0  opaque layer with plane alpha:0 16 cannot be handled by hwcomposer_x000D_
01 27 00:23:15 794  3448  3464 I StabilityMonitor:  ParserUtility  key word : org secuso privacyfriendlywifimanager_x000D_
01 27 00:23:15 798  3448  3464 I StabilityMonitor:  APRReport  exceptionItem  tag:data app crash packageName:org secuso privacyfriendlywifimanager versionCode:1 versionName:1 0_x000D_
01 27 00:23:15 801   292   330 I BufferQueueProducer:  org secuso privacyfriendlywifimanager org secuso privacyfriendlywifimanager view MainActivity 0 (this:0xa1678000 id:2424 api:1 p:3360 c:292) disconnect(P): api 1_x000D_
01 27 00:23:15 801   292   330 I BufferQueueConsumer:  org secuso privacyfriendlywifimanager org secuso privacyfriendlywifimanager view MainActivity 0 (this:0xa1678000 id:2424 api:1 p: 1 c:292) getReleasedBuffers: returning mask 0xffffffffffffffff_x000D_
01 27 00:23:15 803   735  1344 I WindowManager: WIN DEATH: Window 951759c u0 org secuso privacyfriendlywifimanager org secuso privacyfriendlywifimanager view MainActivity _x000D_
01 27 00:23:15 805   735  2608 I ActivityManager: Process org secuso privacyfriendlywifimanager (pid 3360) has died: cch  CEM _x000D_
01 27 00:23:15 818   292   292 I BufferQueueConsumer:  org secuso privacyfriendlywifimanager org secuso privacyfriendlywifimanager view MainActivity 0 (this:0xa1678000 id:2424 api:1 p: 1 c: 1) disconnect(C)_x000D_
01 27 00:23:15 819   292   292 I BufferQueue:  org secuso privacyfriendlywifimanager org secuso privacyfriendlywifimanager view MainActivity 0 (this:0xa1678000 id:2424 api:1 p: 1 c: 1)  BufferQueueCore_x000D_
01 27 00:23:15 838  3448  3464 E STBIntentService: send error message:data app crash 1548541394345(pkgName:org secuso privacyfriendlywifimanager version:1 0 versionCode:1) to BBS for ANR FC TOMB STONE   _x000D_
01 27 00:23:15 856  3448  3464 E STBMonitorQueue: restore data: data system dropbox data app crash 1548541253657 txt 1 1 0 org secuso privacyfriendlywifimanager into shortQue queue   _x000D_
01 27 00:23:15 856  3448  3464 E STBMonitorQueue: restore data: data system dropbox data app crash 1548541259472 txt 1 1 0 org secuso privacyfriendlywifimanager into shortQue queue   _x000D_
01 27 00:23:15 856  3448  3464 E STBMonitorQueue: restore data: data system dropbox data app crash 1548541308514 txt 1 1 0 org secuso privacyfriendlywifimanager into shortQue queue   _x000D_
01 27 00:23:15 857  3448  3464 E STBMonitorQueue: restore data: data system dropbox data app crash 1548541366591 txt 1 1 0 org secuso privacyfriendlywifimanager into shortQue queue   _x000D_
01 27 00:23:15 862   735  1961 W ActivityManager: Ignoring remove of inactive process: ProcessRecord 119f7b7 0:org secuso privacyfriendlywifimanager u0a176 _x000D_
01 27 00:23:15 867   735   757 I WindowManager: Focus moving from Window 1ce39 u0 Application Error: org secuso privacyfriendlywifimanager EXITING  to Window d0f7fb0 u0 fr neamar kiss fr neamar kiss MainActivity _x000D_
01 27 00:23:16 005   292   861 I BufferQueueProducer:  Application Error: org secuso privacyfriendlywifimanager 0 (this:0xa107d000 id:2425 api:2 p:735 c:292) disconnect(P): api 2_x000D_
01 27 00:23:16 005   292   861 I BufferQueueConsumer:  Application Error: org secuso privacyfriendlywifimanager 0 (this:0xa107d000 id:2425 api:2 p: 1 c:292) getReleasedBuffers: returning mask 0xffffffffffffffff_x000D_
01 27 00:23:16 015   292   292 I BufferQueueConsumer:  Application Error: org secuso privacyfriendlywifimanager 0 (this:0xa107d000 id:2425 api:2 p: 1 c: 1) disconnect(C)_x000D_
01 27 00:23:16 016   292   292 I BufferQueue:  Application Error: org secuso privacyfriendlywifimanager 0 (this:0xa107d000 id:2425 api:2 p: 1 c: 1)  BufferQueueCore_x000D_
   </t>
  </si>
  <si>
    <t>nextcloud-android-3499</t>
  </si>
  <si>
    <t>Enabling "app locking" crashes app in an infinit loop</t>
  </si>
  <si>
    <t xml:space="preserve">    Actual behaviour_x000D_
When you enable  app locking  (with device lock  not tested with pin) feature in the settings  and restart the app  the app will crash right after entering your password fingerprint and restart forever _x000D_
You will be locked out of your nextcloud app until you delete and reinstall the app _x000D_
_x000D_
    Expected behaviour_x000D_
Nextcloud app schould not crash and restart after you have entered your password fingerprint _x000D_
 _x000D_
    Steps to reproduce_x000D_
_x000D_
1  Run the application _x000D_
2  Go to nextcloud app settings and enable device based locking (not pin) _x000D_
3  Exit and restart app _x000D_
4  Try to Unlock _x000D_
5  App crashes   unlock screen appears again _x000D_
_x000D_
_x000D_
    Environment data_x000D_
Android version:_x000D_
LineageOS 15 1_x000D_
_x000D_
Stock or customized system:_x000D_
Rooted with MicroG_x000D_
_x000D_
Nextcloud app version:_x000D_
3 4 1_x000D_
_x000D_
Nextcloud server version:_x000D_
15 0 2_x000D_
_x000D_
_x000D_
    Workaround_x000D_
_x000D_
1  Disable your device screen lock in the system settings completely _x000D_
2  Open Nextcloud app (you maybe need to wait for it to crash and open it twice) wait until the app is loaded _x000D_
3  Enable your device screen lock in the system settings again _x000D_
4  Open Nextcloud app  enter you lock pattern twice _x000D_
5  App will open without crashing _x000D_
6  Go to Nextcloud settings and set Lock to  nothing  </t>
  </si>
  <si>
    <t>zeroc-ice-ice-demos-36</t>
  </si>
  <si>
    <t>uwp bidir client crash in "Stop Client"</t>
  </si>
  <si>
    <t xml:space="preserve">If you press  Stop Client  on a UWP bidir client in the process of connecting  the application crashes _x000D_
_x000D_
It s possible the issue is  Stop Client  should not be clickable at that time </t>
  </si>
  <si>
    <t>iovation-launchkey-android-authenticator-sdk-32</t>
  </si>
  <si>
    <t>Default Linking View Scanning QR Codes Crashes The App When Targeting Android API Level 27+</t>
  </si>
  <si>
    <t xml:space="preserve">    Issue_x000D_
This is something that isn t inherent to the actual QR Scanner view but an intermediate opaque  Activity  making some checks around permissions  This issue exists   only   in the following conditions:_x000D_
_x000D_
  Implementing app is targeting 27  _x000D_
  Default linking view is being used  and_x000D_
  The app or end user attempts to scan a QR code instead of typing a linking code through that default view_x000D_
_x000D_
In the meantime  there is a workaround _x000D_
_x000D_
    Workaround_x000D_
Override the declaration of the crashing Activity in your app s AndroidManifest xml file and  remove  the Activity XML attribute  screenOrientation  just like here:_x000D_
_x000D_
   _x000D_
 activity_x000D_
 android:name  com launchkey android authenticator sdk ui PermissionCheckActivity _x000D_
 android:theme   style AppTheme Transparent _x000D_
 tools:remove  android:screenOrientation _x000D_
   _x000D_
   </t>
  </si>
  <si>
    <t>ElderDrivers-EdXposed-26</t>
  </si>
  <si>
    <t>[BUG] Snaptools + EdXposed crashes Snapchat</t>
  </si>
  <si>
    <t xml:space="preserve">       What happened   _x000D_
_x000D_
Snapchat is crashing when enabling SnapTools module  Problem is related to EdXposed   on previous Android versions (7 0 and 8 1) with original Xposed it was working properly  crashes started occuring after changing ROM to Resurrection Remix 7 0 0 (Android 9 0) _x000D_
_x000D_
  Xposed     Xposed Module List  _x000D_
_x000D_
XPrivacyLua  XInsta  SnapTools_x000D_
_x000D_
  Magisk     Magisk Module List  _x000D_
_x000D_
Riru   Core  Riru   Ed Xposed  Systemless Hosts  Youtube Vanced_x000D_
_x000D_
  EdXposed Riru   Versions of EdXposed and Riru  _x000D_
_x000D_
EdXposed: v0 2 9 5 beta_x000D_
_x000D_
Riru: v11_x000D_
_x000D_
    Logcat Logcat  _x000D_
_x000D_
    com snapchat androi  I  The ClassLoaderContext is a special shared library _x000D_
               MultiDex  I  VM with version 2 1 0 has multidex support_x000D_
                         I  Installing application_x000D_
                         I  VM has multidex support  MultiDex support library is disabled _x000D_
         AndroidRuntime  D  Shutting down VM_x000D_
                         E  FATAL EXCEPTION: main_x000D_
                         E  Process: com snapchat android  PID: 17023_x000D_
                         E  java lang IllegalAccessError: Illegal class access:  EdHooker58  attempting to access  aqkl  (declaration of  EdHooker58  appears in  data user de 0 com snapchat android cache edhookers com snapchat android Generated 1379810334 jar)_x000D_
                         E      at EdHooker58 hook(Unknown Source:118)_x000D_
                         E      at aqkk a(SourceFile:142)_x000D_
                         E      at aptj a(SourceFile:1111)_x000D_
                         E      at apsx  init (SourceFile:22)_x000D_
                         E      at apsx  init (SourceFile:17)_x000D_
                         E      at abiy  init (SourceFile:39)_x000D_
                         E      at abiy  init (SourceFile:16)_x000D_
                         E      at abiy a  clinit (SourceFile:35)_x000D_
                         E      at abiy a a(SourceFile:34)_x000D_
                         E      at amus  init (SourceFile:1031)_x000D_
                         E      at amcn get(SourceFile:1348)_x000D_
                         E      at azcj get(SourceFile:47)_x000D_
                         E      at ziq a(SourceFile:50187)_x000D_
                         E      at com snapchat android SnapchatApplication performDependencyInjection(SourceFile:587)_x000D_
                         E      at com snapchat android SnapchatApplication onCreate(SourceFile:222)_x000D_
                         E      at xdu onCreate(SourceFile:39)_x000D_
                         E      at com facebook buck android support exopackage ExopackageApplication onCreate(SourceFile:136)_x000D_
                         E      at android app Instrumentation callApplicationOnCreate(Instrumentation java:1154)_x000D_
                         E      at android app ActivityThread handleBindApplication(ActivityThread java:5925)_x000D_
                         E      at com elderdrivers riru xposed c b a hook(Unknown Source:229)_x000D_
                         E      at android app ActivityThread access 1100(ActivityThread java:201)_x000D_
                         E      at android app ActivityThread H handleMessage(ActivityThread java:1657)_x000D_
                         E      at android os Handler dispatchMessage(Handler java:106)_x000D_
                         E      at android os Looper loop(Looper java:193)_x000D_
                         E      at android app ActivityThread main(ActivityThread java:6723)_x000D_
                         E      at java lang reflect Method invoke(Native Method)_x000D_
                         E      at com android internal os RuntimeInit MethodAndArgsCaller run(RuntimeInit java:495)_x000D_
                         E      at com android internal os ZygoteInit main(ZygoteInit java:858)_x000D_
        ActivityManager  W    Force finishing activity com snapchat android  LandingPageActivity</t>
  </si>
  <si>
    <t>antest1-kcanotify-64</t>
  </si>
  <si>
    <t>After latest update (2.6.6 rev6) App no longer works properly.</t>
  </si>
  <si>
    <t xml:space="preserve">So after today s android update  my app doesn t work properly anymore  it doesn t show me information on my fleet  my quests and it also says to open the game via Kcanotify despite already doing that  the only thing that works are the expedition timers and notifications  it also crashes randomly every now and then _x000D_
_x000D_
I m playing from a Motorola Moto G6 plus updated to Android 9 0  the previous version of the app worked like a charm without issues </t>
  </si>
  <si>
    <t>wallabag-android-app-760</t>
  </si>
  <si>
    <t>Wallabag 2.1.0 crashes when switching to another app while tts is running</t>
  </si>
  <si>
    <t xml:space="preserve">  Issue details_x000D_
_x000D_
    Duplicate _x000D_
Have you searched the issues of this repository if your issue is already known  yes_x000D_
_x000D_
    Actual behaviour_x000D_
  Wallabag 2 1 0 crashes when switching to another app while tts is running  Error message:_x000D_
_x000D_
    Expected behaviour_x000D_
  no crash_x000D_
_x000D_
  Steps to reproduce the issue_x000D_
1  Open any article in Wallabag Android _x000D_
2  Press the play button _x000D_
3  Press the  recent applications  button_x000D_
_x000D_
  Environment details_x000D_
    wallabag app version  : 2 1 0_x000D_
    wallabag app installation source   (e g  Gplay  F Droid  manual): I tried both gplay and github _x000D_
    Android OS version  : oreo 8 1 0_x000D_
    Android ROM   (e g  stock  LineageOS  SlimRom  ): stock  Samsung Experience 9 5_x000D_
    Android hardware  : samsung J5  2018 SM J530F_x000D_
    wallabag server version  : framabag_x000D_
    Do you have Two Factor Authentication enabled   : don t know _x000D_
_x000D_
_x000D_
  Logs_x000D_
   wallabag server_x000D_
Please paste relevant wallabag server logs here (from file   wallabag  var logs prod log ):_x000D_
  bug not not related to wallabag server _x000D_
_x000D_
   Web server_x000D_
Please paste relevant web server logs (e g  from nginx  Apache   ) here:_x000D_
  N A_x000D_
  NOTE:   Be super sure to remove sensitive data like passwords  note that everybody can look here _x000D_
_x000D_
_x000D_
  Your experience with wallabag Android app_x000D_
Have you had any luck using wallabag Android app before  (Sometimes we get tired of reading bug reports all day and a lil  positive end note does wonders)_x000D_
  It works fine with the previous official release (no bug) _x000D_
_x000D_
Logcat:_x000D_
_x000D_
(I ran  logcat       grep  i fr gaulupeau apps Poche )_x000D_
_x000D_
01 25 12:44:29 648  2992 12794 I ActivityManager: START u0  act android intent action MAIN typ null flg 0x10300000 cmp ComponentInfo fr gaulupeau apps InThePoche fr gaulupeau apps Poche ui MainActivity   from uid 10176_x000D_
01 25 12:44:29 721  2992 12794 I ActivityManager: Start proc 5602:fr gaulupeau apps InThePoche u0a584 for activity fr gaulupeau apps InThePoche fr gaulupeau apps Poche ui MainActivity_x000D_
01 25 12:44:29 802  2992  3266 D GameManagerService: handleForegroundChange()  pkgName: fr gaulupeau apps InThePoche  clsName: fr gaulupeau apps Poche ui MainActivity FgActivityName:fr gaulupeau apps InThePoche fr gaulupeau apps Poche ui MainActivity_x000D_
01 25 12:44:29 940  2992  3102 D MdnieScenarioControlService:  packageName : fr gaulupeau apps InThePoche    className : fr gaulupeau apps Poche ui MainActivity_x000D_
01 25 12:44:30 107  5602  5602 I zygote  :   at void fr gaulupeau apps Poche ui MainActivity onCreate(android os Bundle) (MainActivity java:112)_x000D_
01 25 12:44:30 108  5602  5602 I zygote  :   at void fr gaulupeau apps Poche ui MainActivity onCreate(android os Bundle) (MainActivity java:112)_x000D_
01 25 12:44:30 109  5602  5602 I zygote  :   at void fr gaulupeau apps Poche ui MainActivity onCreate(android os Bundle) (MainActivity java:112)_x000D_
01 25 12:44:30 109  5602  5602 I zygote  :   at void fr gaulupeau apps Poche ui MainActivity onCreate(android os Bundle) (MainActivity java:112)_x000D_
01 25 12:44:30 110  5602  5602 I zygote  :   at void fr gaulupeau apps Poche ui MainActivity onCreate(android os Bundle) (MainActivity java:112)_x000D_
01 25 12:44:30 110  5602  5602 I zygote  :   at void fr gaulupeau apps Poche ui MainActivity onCreate(android os Bundle) (MainActivity java:112)_x000D_
01 25 12:44:30 549  2638  2638 I SurfaceFlinger: id 6002 createSurf (720x1280) 1 flag 404  fr gaulupeau apps InThePoche fr gaulupeau apps Poche ui MainActivity 5602  0_x000D_
01 25 12:44:31 046  2992  3552 D WindowManager: finishDrawingWindow: Window d34691c u0 fr gaulupeau apps InThePoche fr gaulupeau apps Poche ui MainActivity  mDrawState DRAW PENDING_x000D_
01 25 12:44:31 065  2992  3018 D PersonaManagerService: notifyActivityDrawn:u0:fr gaulupeau apps Poche ui MainActivity_x000D_
01 25 12:44:31 069  2992  3018 I ActivityManager: Displayed fr gaulupeau apps InThePoche fr gaulupeau apps Poche ui MainActivity:  1s365ms_x000D_
01 25 12:44:31 083  2638  2638 D SurfaceFlinger:        HWC   e7466b40   0000   0020   00   0100   RGBA 8888        0 0     0 0   720 0  1280 0      0     0   720  1280   fr gaulupeau apps InThePoche fr gaulupeau apps Poche ui MainActivity 5602  0_x000D_
01 25 12:44:31 093  2992  3552 D WindowManager: finishDrawingWindow: Window d34691c u0 fr gaulupeau apps InThePoche fr gaulupeau apps Poche ui MainActivity  mDrawState HAS DRAWN_x000D_
01 25 12:44:31 770  5602  5629 I zygote  : Deoptimizing fr gaulupeau apps Poche data dao entities Article fr gaulupeau apps Poche data dao ArticleDao readEntity(android database Cursor  int) due to JIT inline cache_x000D_
01 25 12:44:38 323  2992  6257 I ActivityManager: START u0  act null typ null flg 0x0 cmp ComponentInfo fr gaulupeau apps InThePoche fr gaulupeau apps Poche ui ReadArticleActivity   from uid 10584_x000D_
01 25 12:44:38 353  2992  3266 D GameManagerService: handleForegroundChange()  pkgName: fr gaulupeau apps InThePoche  clsName: fr gaulupeau apps Poche ui ReadArticleActivity FgActivityName:fr gaulupeau apps InThePoche fr gaulupeau apps Poche ui ReadArticleActivity_x000D_
01 25 12:44:39 123  2638  2638 I SurfaceFlinger: id 6003 createSurf (720x1280) 1 flag 404  fr gaulupeau apps InThePoche fr gaulupeau apps Poche ui ReadArticleActivity 5602  0_x000D_
01 25 12:44:39 309  2992  3102 D MdnieScenarioControlService:  packageName : fr gaulupeau apps InThePoche    className : fr gaulupeau apps Poche ui ReadArticleActivity_x000D_
01 25 12:44:39 334  2992  3266 D GameManagerService: handleForegroundChange()  pkgName: fr gaulupeau apps InThePoche  clsName: fr gaulupeau apps Poche ui ReadArticleActivity FgActivityName:fr gaulupeau apps InThePoche fr gaulupeau apps Poche ui ReadArticleActivity_x000D_
01 25 12:44:39 442  2992 12794 D WindowManager: finishDrawingWindow: Window bdeb25b u0 fr gaulupeau apps InThePoche fr gaulupeau apps Poche ui ReadArticleActivity  mDrawState DRAW PENDING_x000D_
01 25 12:44:39 473  2638  2638 D SurfaceFlinger:        HWC   e7467740   0000   0020   00   0100   RGBA 8888        0 0     0 0   720 0  1280 0      0     0   720  1280   fr gaulupeau apps InThePoche fr gaulupeau apps Poche ui ReadArticleActivity 5602  0_x000D_
01 25 12:44:39 495  2992  3018 D PersonaManagerService: notifyActivityDrawn:u0:fr gaulupeau apps Poche ui ReadArticleActivity_x000D_
01 25 12:44:39 551  2992  3552 D WindowManager: finishDrawingWindow: Window bdeb25b u0 fr gaulupeau apps InThePoche fr gaulupeau apps Poche ui ReadArticleActivity  mDrawState HAS DRAWN_x000D_
01 25 12:44:39 640  2992  3552 E WindowManager: win Window d34691c u0 fr gaulupeau apps InThePoche fr gaulupeau apps Poche ui MainActivity  destroySurfaces: appStopped false win mWindowRemovalAllowed false win mRemoveOnExit false win mViewVisibility 8  caller com android server wm WindowManagerService tryStartExitingAnimation:2851 com android server wm WindowManagerService relayoutWindow:2590 com android server wm Session relayout:267 android view IWindowSession Stub onTransact:288 com android server wm Session onTransact:191 _x000D_
01 25 12:44:39 640  2992  3552 I WindowManager: Destroying surface  fb19e6c: Surface(name fr gaulupeau apps InThePoche fr gaulupeau apps Poche ui MainActivity) called by com android server wm WindowStateAnimator destroySurface:2617 com android server wm WindowStateAnimator destroySurfaceLocked:1026 com android server wm WindowState destroyOrSaveSurfaceUnchecked:3821 com android server wm WindowState destroySurface:3767 com android server wm WindowManagerService tryStartExitingAnimation:2851 com android server wm WindowManagerService relayoutWindow:2590 com android server wm Session relayout:267 android view IWindowSession Stub onTransact:288 _x000D_
01 25 12:44:39 640  2638  2649 I SurfaceFlinger: id 6002 Removed fr gaulupeau apps InThePoche fr gaulupeau apps Poche ui MainActivity 5602  0 (3 9)_x000D_
01 25 12:44:39 640  2638  2649 I SurfaceFlinger: id 6002 Removed fr gaulupeau apps InThePoche fr gaulupeau apps Poche ui MainActivity 5602  0 ( 2 9)_x000D_
01 25 12:44:39 654  2638  2638 I Layer   : id 6002 onRemoved fr gaulupeau apps InThePoche fr gaulupeau apps Poche ui MainActivity 5602  0 _x000D_
01 25 12:44:39 790  2992  3102 D MdnieScenarioControlService:  packageName : fr gaulupeau apps InThePoche    className : fr gaulupeau apps Poche ui ReadArticleActivity_x000D_
01 25 12:44:40 706  2992 12794 I MediaFocusControl: requestAudioFocus() from uid pid 10584 5602 clientId android media AudioManager 68f82b0fr gaulupeau apps Poche tts TtsService 90c7529 callingPack fr gaulupeau apps InThePoche req 1 flags 0x0 sdk 28_x000D_
01 25 12:44:42 040  2992 12794 W ActivityManager:   Force finishing activity fr gaulupeau apps InThePoche fr gaulupeau apps Poche ui ReadArticleActivity_x000D_
01 25 12:44:42 132  2638  2638 D SurfaceFlinger:       GLES   e7467800   0000   0020   00   0100   RGBA 8888        0 0    47 0   720 0   515 0     49   876   671  1280   fr gaulupeau apps InThePoche fr gaulupeau apps Poche ui ReadArticleActivity 5602  0_x000D_
01 25 12:44:42 166  2638  2638 D SurfaceFlinger:       GLES   e7467800   0000   0020   00   0100   RGBA 8888        0 0    47 0   720 0   515 0     49   876   671  1280   fr gaulupeau apps InThePoche fr gaulupeau apps Poche ui ReadArticleActivity 5602  0_x000D_
01 25 12:44:42 226  2992  3061 E WindowManager: win Window bdeb25b u0 fr gaulupeau apps InThePoche fr gaulupeau apps Poche ui ReadArticleActivity EXITING  destroySurfaces: appStopped true win mWindowRemovalAllowed false win mRemoveOnExit false win mViewVisibility 4  caller com android server wm AppWindowToken destroySurfaces:748 com android server wm AppWindowToken destroySurfaces:732 com android server wm WindowState onExitAnimationDone:5523 com android server wm AppWindowAnimator stepAnimationLocked:517 com android server wm AppWindowToken stepAppWindowsAnimation:1745 _x000D_
01 25 12:44:42 227  2992  3061 I WindowManager: Destroying surface  40459fb: Surface(name fr gaulupeau apps InThePoche fr gaulupeau apps Poche ui ReadArticleActivity) called by com android server wm WindowStateAnimator destroySurface:2617 com android server wm WindowStateAnimator destroySurfaceLocked:1026 com android server wm WindowState destroyOrSaveSurfaceUnchecked:3821 com android server wm WindowState destroySurface:3767 com android server wm AppWindowToken destroySurfaces:748 com android server wm AppWindowToken destroySurfaces:732 com android server wm WindowState onExitAnimationDone:5523 com android server wm AppWindowAnimator stepAnimationLocked:517 _x000D_
01 25 12:44:42 227  2638  2649 I SurfaceFlinger: id 6003 Removed fr gaulupeau apps InThePoche fr gaulupeau apps Poche ui ReadArticleActivity 5602  0 (4 11)_x000D_
01 25 12:44:42 229  2638  2638 I Layer   : id 6003 onRemoved fr gaulupeau apps InThePoche fr gaulupeau apps Poche ui ReadArticleActivity 5602  0 _x000D_
01 25 12:44:42 229  2638  2649 I SurfaceFlinger: id 6003 Removed fr gaulupeau apps InThePoche fr gaulupeau apps Poche ui ReadArticleActivity 5602  0 ( 2 11)_x000D_
01 25 12:44:44 653  2992 12794 W ActivityManager:   Force finishing activity fr gaulupeau apps InThePoche fr gaulupeau apps Poche ui ReadArticleActivity_x000D_
01 25 12:44:44 688  2992 12794 W ActivityManager:   Force finishing activity fr gaulupeau apps InThePoche fr gaulupeau apps Poche ui MainActivity_x000D_
_x000D_
_x000D_
</t>
  </si>
  <si>
    <t>aws-amplify-aws-sdk-android-675</t>
  </si>
  <si>
    <t xml:space="preserve">Cognito Sync - OutOfMemoryError </t>
  </si>
  <si>
    <t xml:space="preserve">  Describe the bug  _x000D_
Hi   Every time in my crashlytics appear OutOfMemoryError  in com amazonaws mobileconnectors cognito internal storage SQLiteLocalStorage cursorToDatasetMetadata (SQLiteLocalStorage java:350) method  What could cause a bug _x000D_
_x000D_
  image (https:  user images githubusercontent com 7173595 51741641 2dfe2f80 20a0 11e9 9aac 854905504cbf png)_x000D_
I m using_x000D_
   _x000D_
 com amazonaws:aws android sdk core:2 6 14 _x000D_
 com amazonaws:aws android sdk cognito:2 6 14 _x000D_
 com amazonaws:aws android sdk ddb:2 6 14 _x000D_
 com amazonaws:aws android sdk ddb mapper:2 6 14 _x000D_
   _x000D_
_x000D_
  Which AWS service(s) are affected   _x000D_
com amazonaws mobileconnectors cognito internal storage SQLiteLocalStorage_x000D_
_x000D_
  Device Information (please complete the following information):  _x000D_
   Device: Redmi Note 4 Redmi Note 5 Redmi Note 4 Pro MI 5s Plus Galaxy S5 LG G4 _x000D_
Galaxy J5(2016)  Galaxy S8  Galaxy A3(2016) Ulefone S8 Pro Blackview BV6000 Galaxy S8  Y5 2017_x000D_
   Android Version: 6 8_x000D_
_x000D_
</t>
  </si>
  <si>
    <t>morenoh149-react-native-contacts-355</t>
  </si>
  <si>
    <t>getAll crashes app on android on birthday fields</t>
  </si>
  <si>
    <t xml:space="preserve">After the conversion to async update getAll crashes Android  No error is given as app crashes as soon as Contacts getAll is called  seems the callback is never reached _x000D_
_x000D_
Permissions are granted (Read and write contacts) _x000D_
Contacts getPermission works fine _x000D_
_x000D_
RNC version 3 1 1_x000D_
RN version: 57 1_x000D_
_x000D_
Code throwing error: _x000D_
 _x000D_
Contacts getAll((err  contacts)     _x000D_
      if (err)   _x000D_
         console log(err) _x000D_
         return _x000D_
       _x000D_
      this props storeLocalContacts(contacts) _x000D_
     ) _x000D_
 </t>
  </si>
  <si>
    <t>Haptic-Apps-Slide-2964</t>
  </si>
  <si>
    <t>Crashes when unlocking locked post.</t>
  </si>
  <si>
    <t xml:space="preserve">Slide Version: 6 0 1 3_x000D_
Android Version: 7 0_x000D_
Device Make and Model: Motorola Moto G4_x000D_
Login State: Logged In _x000D_
Store Name: F Droid_x000D_
_x000D_
Slide crashes when you try to unlock a post  It should be noted that the post that I tried to unlock was pinned to a sub that I created  the post was created by me and it was distinguished _x000D_
You can find a bug report for the crash  here (https:  mega nz   DLwy2I6K 9ZPq jeDhB0 v44Xf khB8dlmAJQVXQN36In3L3hp5g) _x000D_
_x000D_
   T 54 </t>
  </si>
  <si>
    <t>Catfriend1-syncthing-android-277</t>
  </si>
  <si>
    <t>Minimum Free Disk Space setting not working/respected?</t>
  </si>
  <si>
    <t xml:space="preserve">Got a ticket:_x000D_
_x000D_
    Description of the issue_x000D_
   _x000D_
(   )_x000D_
I have a Pixel 2 XL running the Syncthing v0 14 50 app with a folder on its_x000D_
internal storage sync d to said shared folder from home PC mentioned_x000D_
above with conditions to only sync on certain wifi AND AC power _x000D_
_x000D_
Syncing works well  however  my issue is that Minimum Free Disk Space_x000D_
setting doesn t seem to be respected this is where I assume I possibly am_x000D_
understanding the setting incorrectly or have it set up incorrectly _x000D_
_x000D_
In the app on the phone  there are two locations to adjust the Minimum Free_x000D_
Disk Space that I can see  One is under the gear icon on main WEBUI and the_x000D_
other is under the Advance section in the edit menu of the folder being_x000D_
sync d _x000D_
_x000D_
My phone is advertised as the 128GB model (110GB usable)  Of this internal_x000D_
capacity  I have roughly 80GB free The default value for both of the_x000D_
Minimum Free Disk Space settings in the Syncthing app was 1   is this 1  of_x000D_
the usable 110GB or 1  of the 80GB free space  Anyways  I want there to be_x000D_
a total of about 5GB of free space left on the phone after all the syncing_x000D_
(which obviously I understand you can t fit 500GB into 80GB and thus_x000D_
syncing stops until more free space is made available)  which setting_x000D_
should I change the folder or the one in the main setting or both _x000D_
_x000D_
I ve attempted various values in percentages and absolute values in MB and_x000D_
GB yet when I wake up in the morning I have a notification on my phone of_x000D_
low disk space and Google play services among others keep crashing due to_x000D_
this generally left with anywhere from 49 MB or less to maybe at most 120_x000D_
MB or so _x000D_
(   )_x000D_
   _x000D_
    Version Information_x000D_
    App Version:  _x000D_
    Syncthing Version: v0 14 50_x000D_
    Android Version:  _x000D_
    Device manufacturer: Google_x000D_
    Device model: Pixel 2 XL_x000D_
_x000D_
    Android Log_x000D_
    adb shell   logcat_x000D_
    or MatLog (search on GitHub) output_x000D_
</t>
  </si>
  <si>
    <t>doublesymmetry-react-native-track-player-412</t>
  </si>
  <si>
    <t>[Android] NullPointerException @ Track.toMediaMetadata</t>
  </si>
  <si>
    <t>Receiving this crash log in production log reports _x000D_
   _x000D_
java lang NullPointerException: _x000D_
  at com guichaguri trackplayer service models Track toMediaMetadata (Track java:113)_x000D_
  at com guichaguri trackplayer service metadata MetadataManager updateMetadata (MetadataManager java:194)_x000D_
  at com guichaguri trackplayer service MusicManager onTrackUpdate (MusicManager java:191)_x000D_
  at com guichaguri trackplayer service player ExoPlayback onPositionDiscontinuity (ExoPlayback java:242)_x000D_
  at com guichaguri trackplayer service player ExoPlayback onTimelineChanged (ExoPlayback java:222)_x000D_
  at com google android exoplayer2 ExoPlayerImpl PlaybackInfoUpdate notifyListeners (ExoPlayerImpl java:771)_x000D_
  at com google android exoplayer2 ExoPlayerImpl updatePlaybackInfo (ExoPlayerImpl java:708)_x000D_
  at com google android exoplayer2 ExoPlayerImpl handlePlaybackInfo (ExoPlayerImpl java:639)_x000D_
  at com google android exoplayer2 ExoPlayerImpl handleEvent (ExoPlayerImpl java:584)_x000D_
  at com google android exoplayer2 ExoPlayerImpl 1 handleMessage (ExoPlayerImpl java:125)_x000D_
  at android os Handler dispatchMessage (Handler java:105)_x000D_
  at android os Looper loop (Looper java:173)_x000D_
  at android app ActivityThread main (ActivityThread java:6698)_x000D_
  at java lang reflect Method invoke (Native Method)_x000D_
  at com android internal os Zygote MethodAndArgsCaller run (Zygote java:240)_x000D_
  at com android internal os ZygoteInit main (ZygoteInit java:782)_x000D_
   _x000D_
By the way  thank you for your recent updates w  fixing crashes   my crash reports have gone down significantly  But  still receiving this one from time to time</t>
  </si>
  <si>
    <t>MozillaReality-FirefoxReality-929</t>
  </si>
  <si>
    <t>System lockup when accessing navigator.mediaDevices API on VIVE Focus</t>
  </si>
  <si>
    <t xml:space="preserve">   Hardware_x000D_
HTC Vive Focus_x000D_
_x000D_
   Steps to Reproduce_x000D_
_x000D_
1  Turn on the camera permission for FxR manually in settings    _x000D_
2  Access web page with code below  (Reference): (https:  developers google com web fundamentals media recording video  access the camera interactively)_x000D_
   _x000D_
 video id  player  controls   video _x000D_
 script _x000D_
  var player   document getElementById( player ) _x000D_
_x000D_
  var handleSuccess   function(stream)  _x000D_
    player srcObject   stream _x000D_
    _x000D_
_x000D_
  navigator mediaDevices getUserMedia(  audio: true  video: true  )_x000D_
       then(handleSuccess)_x000D_
  script _x000D_
   _x000D_
   Current Behavior_x000D_
Vive Focus pop information like  Can t track position  and whole system seems crashed _x000D_
_x000D_
   Expected Behavior_x000D_
When test on Google Pixel with Vive Wave services installed  the camera view shows normal _x000D_
_x000D_
   Possible Solution_x000D_
_x000D_
   Context_x000D_
Version: FirefoxReality 1 1 2 30091627 wavevr arm release signed aligned apk_x000D_
_x000D_
   Error Logs and Stack Traces_x000D_
_x000D_
 details open _x000D_
_x000D_
      DO NOT REMOVE THIS LINE     _x000D_
   _x000D_
Crash (signature:  libc so 0x3fcec )_x000D_
   _x000D_
      DO NOT REMOVE THIS LINE     _x000D_
_x000D_
  details _x000D_
</t>
  </si>
  <si>
    <t>OneBusAway-onebusaway-android-962</t>
  </si>
  <si>
    <t>NPE from Jackson when initializing TreeTraversingParser when loading arrivals</t>
  </si>
  <si>
    <t xml:space="preserve">  Summary:   _x000D_
_x000D_
Starting with v2 3 x  occasionally (around 710 crashes over the last 60 days) the app is crashing when trying to load arrivals times from the server  presumably when an invalid response is returned  with this stack trace (from Android dev console):_x000D_
_x000D_
   _x000D_
java lang NullPointerException: _x000D_
  at com fasterxml jackson databind node TreeTraversingParser  init  (TreeTraversingParser java:71)_x000D_
  at com fasterxml jackson databind node TreeTraversingParser  init  (TreeTraversingParser java:65)_x000D_
  at org onebusaway android io JacksonSerializer getJsonParser (JacksonSerializer java:70)_x000D_
  at org onebusaway android io JacksonSerializer deserialize (JacksonSerializer java:106)_x000D_
  at org onebusaway android io request RequestBase call (RequestBase java:152)_x000D_
  at org onebusaway android io request ObaArrivalInfoRequest call (ObaArrivalInfoRequest java:79)_x000D_
  at org onebusaway android ui ArrivalsListLoader loadInBackground (ArrivalsListLoader java:51)_x000D_
  at org onebusaway android ui ArrivalsListLoader loadInBackground (ArrivalsListLoader java:27)_x000D_
  at android support v4 content AsyncTaskLoader onLoadInBackground (AsyncTaskLoader java:306)_x000D_
  at android support v4 content AsyncTaskLoader LoadTask doInBackground (AsyncTaskLoader java:59)_x000D_
  at android support v4 content AsyncTaskLoader LoadTask doInBackground (AsyncTaskLoader java:47)_x000D_
  at android support v4 content ModernAsyncTask 2 call (ModernAsyncTask java:138)_x000D_
  at java util concurrent FutureTask run (FutureTask java:266)_x000D_
   _x000D_
_x000D_
  Steps to reproduce:   _x000D_
_x000D_
Unknown_x000D_
_x000D_
  Expected behavior:   _x000D_
_x000D_
Not crash and show error message_x000D_
_x000D_
  Observed behavior:   _x000D_
_x000D_
Crash_x000D_
_x000D_
  Device and Android version:   _x000D_
_x000D_
Variety of Android devices and versions</t>
  </si>
  <si>
    <t>iFixit-dozuki-android-21</t>
  </si>
  <si>
    <t xml:space="preserve">App Crashes when Viewing "My Guides" </t>
  </si>
  <si>
    <t xml:space="preserve">Background_x000D_
   _x000D_
Eurovia reported that when viewing the My Guides section on the app  the app crashes  _x000D_
_x000D_
To Reproduce_x000D_
  _x000D_
1  launch android app_x000D_
2  click explore sites _x000D_
3  search for Gunner Automotive _x000D_
4  click Gunner Automotive _x000D_
5  click the three lined menu icon in the upper left hand corner _x000D_
6  click My Guides on the bottom left side_x000D_
7  see that app crashes _x000D_
_x000D_
To do_x000D_
  _x000D_
Make this section viewable _x000D_
</t>
  </si>
  <si>
    <t>OneBusAway-onebusaway-android-961</t>
  </si>
  <si>
    <t>Open311 problem report submissions are crashing with SecurityException</t>
  </si>
  <si>
    <t xml:space="preserve">  Summary:   _x000D_
_x000D_
When submitting an Open311 issue report  you ll see a crash with this stack trace (from Android developer console):_x000D_
_x000D_
   _x000D_
java lang SecurityException: _x000D_
  at android os Parcel readException (Parcel java:1693)_x000D_
  at android os Parcel readException (Parcel java:1646)_x000D_
  at com android internal telephony ITelephony Stub Proxy getDeviceId (ITelephony java:5139)_x000D_
  at android telephony TelephonyManager getDeviceId (TelephonyManager java:915)_x000D_
  at org onebusaway android report ui Open311ProblemFragment submitReport (Open311ProblemFragment java:507)_x000D_
  at org onebusaway android report ui Open311ProblemFragment onOptionsItemSelected (Open311ProblemFragment java:438)_x000D_
  at androidx fragment app Fragment performOptionsItemSelected (Fragment java:2587)_x000D_
  at androidx fragment app FragmentManagerImpl dispatchOptionsItemSelected (FragmentManager java:3368)_x000D_
  at androidx fragment app FragmentController dispatchOptionsItemSelected (FragmentController java:356)_x000D_
  at androidx fragment app FragmentActivity onMenuItemSelected (FragmentActivity java:442)_x000D_
  at androidx appcompat app AppCompatActivity onMenuItemSelected (AppCompatActivity java:196)_x000D_
  at androidx appcompat view WindowCallbackWrapper onMenuItemSelected (WindowCallbackWrapper java:109)_x000D_
  at androidx appcompat app AppCompatDelegateImpl onMenuItemSelected (AppCompatDelegateImpl java:888)_x000D_
  at androidx appcompat view menu MenuBuilder dispatchMenuItemSelected (MenuBuilder java:840)_x000D_
  at androidx appcompat view menu MenuItemImpl invoke (MenuItemImpl java:158)_x000D_
  at androidx appcompat view menu MenuBuilder performItemAction (MenuBuilder java:991)_x000D_
  at androidx appcompat view menu MenuBuilder performItemAction (MenuBuilder java:981)_x000D_
  at androidx appcompat widget ActionMenuView invokeItem (ActionMenuView java:625)_x000D_
  at androidx appcompat view menu ActionMenuItemView onClick (ActionMenuItemView java:151)_x000D_
  at android view View performClick (View java:6257)_x000D_
  at android widget TextView performClick (TextView java:11158)_x000D_
  at android view View PerformClick run (View java:23726)_x000D_
  at android os Handler handleCallback (Handler java:751)_x000D_
  at android os Handler dispatchMessage (Handler java:95)_x000D_
  at android os Looper loop (Looper java:154)_x000D_
  at android app ActivityThread main (ActivityThread java:6776)_x000D_
  at java lang reflect Method invoke (Native Method)_x000D_
  at com android internal os ZygoteInit MethodAndArgsCaller run (ZygoteInit java:1520)_x000D_
  at com android internal os ZygoteInit main (ZygoteInit java:1410)_x000D_
   _x000D_
_x000D_
Looks like this is an issue with the Open311ProblemFragment submitReport() trying to get the Device ID   we intended to remove all Device ID accesses with runtime permissions but missed this one _x000D_
_x000D_
  Steps to reproduce:   _x000D_
_x000D_
1  Go to  Send feedback  in Tampa_x000D_
1  Submit a problem report_x000D_
_x000D_
  Expected behavior:   _x000D_
_x000D_
Not crash_x000D_
_x000D_
  Observed behavior:   _x000D_
_x000D_
Crash_x000D_
_x000D_
  Device and Android version:   _x000D_
_x000D_
Samsung Galaxy J7 Pop (j7popelteaio)  Android 7 0</t>
  </si>
  <si>
    <t>commons-app-apps-android-commons-2330</t>
  </si>
  <si>
    <t>Crash if Japanese locale</t>
  </si>
  <si>
    <t xml:space="preserve">  Steps to reproduce:   _x000D_
_x000D_
1  Change Android s locale to Japanese_x000D_
2  Open app_x000D_
3  Immediate crash_x000D_
_x000D_
  System logs:  _x000D_
_x000D_
   _x000D_
ANDROID VERSION 7 1 2_x000D_
APP VERSION NAME 2 9 0 173_x000D_
BRAND google_x000D_
PHONE MODEL Nexus 5_x000D_
CUSTOM DATA _x000D_
STACK TRACE java lang RuntimeException: An error occurred while executing doInBackground()_x000D_
at android os AsyncTask 3 done(AsyncTask java:325)_x000D_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java:761)_x000D_
Caused by: java util UnknownFormatConversionException: Conversion      _x000D_
at java util Formatter FormatSpecifier conversion(Formatter java:2730)_x000D_
at java util Formatter FormatSpecifier  init (Formatter java:2759)_x000D_
at java util Formatter FormatSpecifierParser  init (Formatter java:2591)_x000D_
at java util Formatter parse(Formatter java:2524)_x000D_
at java util Formatter format(Formatter java:2472)_x000D_
at java util Formatter format(Formatter java:2426)_x000D_
at java lang String format(String java:2626)_x000D_
at fr free nrw commons notification NotificationUtils getMentionMessage(NotificationUtils java:216)_x000D_
at fr free nrw commons notification NotificationUtils getNotificationFromApiResult(NotificationUtils java:150)_x000D_
at fr free nrw commons notification NotificationUtils getNotificationsFromList(NotificationUtils java:100)_x000D_
at fr free nrw commons mwapi ApacheHttpClientMediaWikiApi getNotifications(ApacheHttpClientMediaWikiApi java:607)_x000D_
at fr free nrw commons notification NotificationController getNotifications(NotificationController java:30)_x000D_
at fr free nrw commons notification UnreadNotificationsCheckAsync doInBackground(UnreadNotificationsCheckAsync java:34)_x000D_
at fr free nrw commons notification UnreadNotificationsCheckAsync doInBackground(UnreadNotificationsCheckAsync java:18)_x000D_
at android os AsyncTask 2 call(AsyncTask java:305)_x000D_
at java util concurrent FutureTask run(FutureTask java:237)_x000D_
    4 more_x000D_
java util UnknownFormatConversionException: Conversion      _x000D_
at java util Formatter FormatSpecifier conversion(Formatter java:2730)_x000D_
at java util Formatter FormatSpecifier  init (Formatter java:2759)_x000D_
at java util Formatter FormatSpecifierParser  init (Formatter java:2591)_x000D_
at java util Formatter parse(Formatter java:2524)_x000D_
at java util Formatter format(Formatter java:2472)_x000D_
at java util Formatter format(Formatter java:2426)_x000D_
at java lang String format(String java:2626)_x000D_
at fr free nrw commons notification NotificationUtils getMentionMessage(NotificationUtils java:216)_x000D_
at fr free nrw commons notification NotificationUtils getNotificationFromApiResult(NotificationUtils java:150)_x000D_
at fr free nrw commons notification NotificationUtils getNotificationsFromList(NotificationUtils java:100)_x000D_
at fr free nrw commons mwapi ApacheHttpClientMediaWikiApi getNotifications(ApacheHttpClientMediaWikiApi java:607)_x000D_
at fr free nrw commons notification NotificationController getNotifications(NotificationController java:30)_x000D_
at fr free nrw commons notification UnreadNotificationsCheckAsync doInBackground(UnreadNotificationsCheckAsync java:34)_x000D_
at fr free nrw commons notification UnreadNotificationsCheckAsync doInBackground(UnreadNotificationsCheckAsync java:18)_x000D_
at android os AsyncTask 2 call(AsyncTask java:305)_x000D_
at java util concurrent FutureTask run(FutureTask java:237)_x000D_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java:761)_x000D_
   </t>
  </si>
  <si>
    <t>renyuneyun-Easer-202</t>
  </si>
  <si>
    <t>Changing name of event crashes service</t>
  </si>
  <si>
    <t xml:space="preserve">After changing the name of an event  the app crashed instantly _x000D_
Restarting the app works  but it keeps crashing if I try to re enable the service _x000D_
The reason seems to be  that a script had used this event _x000D_
but it cannot be found again  cause its name has changed _x000D_
I fixed this by reconfiguring the specific script _x000D_
_x000D_
However it does not seem userfriendly if the app keeps crashing after renaming something _x000D_
It would be better if you use something like an id_x000D_
or change the name in each object using the renamed object </t>
  </si>
  <si>
    <t>deltachat-deltachat-android-414</t>
  </si>
  <si>
    <t>Attaching a location broken</t>
  </si>
  <si>
    <t xml:space="preserve">When I try to attach a location to a chat a different app (looks like Google Maps) opens for a short moment  then crashes and I m back in delta  (see attached video)_x000D_
_x000D_
  Modell: FP1U_x000D_
  Android Version: 4 2 2 (Jelly Bean)_x000D_
  Kernel: 3 4 5_x000D_
  API Version: 17_x000D_
_x000D_
 attaching location crash zip (https:  github com deltachat deltachat android ii files 2779261 attaching location crash zip)_x000D_
</t>
  </si>
  <si>
    <t>andenapp-PanningView-5</t>
  </si>
  <si>
    <t xml:space="preserve">Hi _x000D_
_x000D_
I m getting a NotFoundException when initializing the PanningView _x000D_
This is only in some devices  when distributing the app with a Bundle  so I don t have a way to ensure that the png resource will be available _x000D_
_x000D_
I would need the app not to crash when this happens </t>
  </si>
  <si>
    <t>react-native-camera-react-native-camera-2059</t>
  </si>
  <si>
    <t>RNCamera with orientationFix crashes on Samsung S5 (Android)</t>
  </si>
  <si>
    <t xml:space="preserve">  Bug Report_x000D_
  To Do First  _x000D_
    x   Did you try latest release _x000D_
    x   Did you try master _x000D_
    x   Did you look for existing matching issues _x000D_
_x000D_
  Related Modules  _x000D_
    Comment in the related ones   _x000D_
RNCamera_x000D_
    FaceDetector   _x000D_
    RCTCamera(deprecated)   _x000D_
_x000D_
  Platforms  _x000D_
    Comment in the related ones   _x000D_
Android_x000D_
    iOS   _x000D_
_x000D_
  Versions  _x000D_
    Please add the used versions branches or leave blank and comment in the optionals if used   _x000D_
  Android: 6 0_x000D_
  react native camera: 1 9 0   1 2 0_x000D_
  react native: 0 57 7_x000D_
  react: 16 6 1_x000D_
     react navigation:   _x000D_
_x000D_
  Description Current Behaviour  _x000D_
    place your bug description below   _x000D_
After taking pictures with RNCamera  I found the know rotation issue in several android devices _x000D_
Using fixOrientation ( 493) solved the issue _x000D_
Except when using the back camera on a Samsung S5 running Android 6 0 1 _x000D_
With flashMode auto  2 3 seconds after firing async takePicture  the camera flash lights up and soon the app crashes  Then there was the following YellowBox on console:_x000D_
_x000D_
 The  captureAudio  property set on RNCamera instance but  RECORD AUDIO  permissions not defined in the applications  AndroidManifest xml   If you want to record audio you will have to add   uses permission android:name  android permission RECORD AUDIO     to your  AndroidManifest xml   Otherwise you should set the  captureAudio  property on the component instance to  false   _x000D_
_x000D_
Asking for the permission on the manifest obviously removed this warning _x000D_
With flashMode off  the app crashes immediately on this camera takePictureAsync() _x000D_
In both cases (flash auto or off) the function doesn t get to finish _x000D_
The app crashes before reaching the standard console log(data uri) in the sample code _x000D_
_x000D_
On the front camera  the package works alright _x000D_
Only issue is that the picture is saved mirrored _x000D_
_x000D_
  Expected Behaviour  _x000D_
    place your expected behaviour below   _x000D_
Take picture without crashing the app  preferably with image not mirrored _x000D_
</t>
  </si>
  <si>
    <t>ramack-ActivityDiary-261</t>
  </si>
  <si>
    <t>Two activities with a same name can be created (also lead to a fatal crash)</t>
  </si>
  <si>
    <t xml:space="preserve">App version: 1 4 0_x000D_
Platform: Android 6 0 emulator_x000D_
_x000D_
STR:_x000D_
_x000D_
1  fresh install the app and open the app_x000D_
2  click     on top to create a new activity_x000D_
3  Input  Test  and click the check symbol on the top_x000D_
4  long click the newly created activity  Test _x000D_
5  click  delete _x000D_
6   click     on top again_x000D_
7  input  Test  again and click the  recover  button  and click the check symbol on the top_x000D_
8  click     on top again  input  Test  again  and click the  rename  button  and click the check symbol on the top_x000D_
9  At this time we can see two  Test  activities are created with different color (maybe this is also a bug )_x000D_
10  long click the first created  Test  activity  and delete it_x000D_
11  long click the second created  Test  activity  and edit it_x000D_
12  the app crashes_x000D_
_x000D_
  Reproducing video for Step 1   9 _x000D_
_x000D_
https:  youtu be Zulg1XkXDls_x000D_
_x000D_
_x000D_
  Exception Trace:_x000D_
_x000D_
   _x000D_
FATAL EXCEPTION: main_x000D_
Process: de rampro activitydiary  PID: 6662_x000D_
java lang NullPointerException: Attempt to invoke virtual method  java lang String de rampro activitydiary model DiaryActivity getName()  on a null object reference_x000D_
	at de rampro activitydiary ui generic EditActivity QHandler 3 onClick(EditActivity java:202)_x000D_
	at android view View performClick(View java:5198)_x000D_
	at android view View PerformClick run(View java:21147)_x000D_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t>
  </si>
  <si>
    <t>TeamNewPipe-NewPipe-2049</t>
  </si>
  <si>
    <t>Crashing issue during pause to start video downloading .</t>
  </si>
  <si>
    <t>Crashing issue during pause to start video downloading  _x000D_
_x000D_
step 1:  download start video _x000D_
step 2:  pause downloading video and close app_x000D_
step 3:  Again start pause video then crash app _x000D_
_x000D_
Note :  I have use latest code_x000D_
_x000D_
Exceptions :  _x000D_
 exceptions :  _x000D_
       java lang NullPointerException: Attempt to get length of null array n tat us shandian giga get DownloadMission start(DownloadMission java:410) n tat us shandian giga service DownloadManager resumeMission(DownloadManager java:257) n tat us shandian giga ui adapter MissionAdapter handlePopupItem(MissionAdapter java:452) n tat us shandian giga ui adapter MissionAdapter access 200(MissionAdapter java:67) n tat us shandian giga ui adapter MissionAdapter ViewHolderItem lambda buildPopup 2(MissionAdapter java:701) n tat us shandian giga ui adapter    Lambda MissionAdapter ViewHolderItem WMTXzvtjV6uhlyLXNG5QCw ELrY onMenuItemClick(Unknown Source:2) n tat android widget PopupMenu 1 onMenuItemSelected(PopupMenu java:105) n tat com android internal view menu MenuBuilder dispatchMenuItemSelected(MenuBuilder java:761) n tat com android internal view menu MenuItemImpl invoke(MenuItemImpl java:167) n tat</t>
  </si>
  <si>
    <t>innoveit-react-native-ble-manager-448</t>
  </si>
  <si>
    <t>Java exception in 'NativeModules' java.lang.NoClassDefFoundError: android/bluetooth/le/ScanRecord</t>
  </si>
  <si>
    <t xml:space="preserve">    Version_x000D_
_x000D_
Tell us which versions you are using:_x000D_
_x000D_
  react native ble manager v6 5 6_x000D_
  react native v0 56_x000D_
  iOS Android Android4 4 2_x000D_
_x000D_
    Expected behaviour_x000D_
_x000D_
Open app will crash_x000D_
_x000D_
    Actual behaviour_x000D_
_x000D_
Java exception in  NativeModules  java lang NoClassDefFoundError: android bluetooth le ScanRecord_x000D_
_x000D_
    Steps to reproduce_x000D_
_x000D_
1   Open app_x000D_
2 _x000D_
3 _x000D_
_x000D_
    Stack trace and console log_x000D_
_x000D_
Hint: it would help a lot if you enable the debugger ( Pause on exceptions  in the  Source  panel of Chrome dev tools) and spot the place where the error is thrown_x000D_
_x000D_
   _x000D_
   _x000D_
</t>
  </si>
  <si>
    <t>the3deers-android-3D-model-viewer-92</t>
  </si>
  <si>
    <t>Models not rendering correctly</t>
  </si>
  <si>
    <t xml:space="preserve">I have two models that I ve tested  one is an animated model and the other a simple model from Google Poly (https:  poly google com view foCrNyhZh7h)  The animated one crashes with an error and the Google poly one doesn t look right (colors are all wrong) _x000D_
 04c75a02 ba0a 4fb0 89d7 0e8fe4cbd5b4 zip (https:  github com andresoviedo android 3D model viewer files 2777221 04c75a02 ba0a 4fb0 89d7 0e8fe4cbd5b4 zip)_x000D_
</t>
  </si>
  <si>
    <t>leancloud-java-unified-sdk-23</t>
  </si>
  <si>
    <t>java.lang.NullPointerException: Attempt to invoke virtual method 'void cn.leancloud.websocket.AVStandardWebSocketClient.send(cn.leancloud.command.CommandPacket)' on a null object reference</t>
  </si>
  <si>
    <t xml:space="preserve">   avLiveQuery subscribeInBackground      _x000D_
    java lang NullPointerException: Attempt to invoke virtual method  void cn leancloud websocket AVStandardWebSocketClient send(cn leancloud command CommandPacket)  on a null object reference_x000D_
        at cn leancloud session AVConnectionManager sendPacket(AVConnectionManager java:238)_x000D_
_x000D_
_x000D_
      _x000D_
_x000D_
01 20 07:32:02 282 24593 24633 com cooter leancloud I OpenGLRenderer: generate program for key:1800500044  use: 31 ms_x000D_
01 20 07:32:05 959 24593 24666 com cooter leancloud D LoggingInterceptor: Request: curl  X POST _x000D_
      H Accept: application json _x000D_
      H Content Type: application json _x000D_
      H User Agent: LeanCloud SDK v5 0 8 _x000D_
      H X LC Id:  your app id  _x000D_
      H X LC Prod: 1 _x000D_
      H X LC Session:  your session  _x000D_
      H X LC Key:  your app key  _x000D_
    https:  allcawvw api lncld net 1 1 LiveQuery subscribe_x000D_
01 20 07:32:05 962 24593 24666 com cooter leancloud D LoggingInterceptor: Response: 200 _x000D_
    server: nginx_x000D_
    date: Sat  19 Jan 2019 23:32:05 GMT_x000D_
    content type: application json charset utf 8_x000D_
    vary: Accept Encoding_x000D_
    cache control: no cache no store_x000D_
    pragma: no cache_x000D_
    strict transport security: max age 31536000_x000D_
     _x000D_
      id : a3ae5e6b05183f16502d780dab3cbf72   query id : 4db834d0b95f1e598b701c55ec5654a8   _x000D_
01 20 07:32:06 009 24593 24593 com cooter leancloud D DirectlyOperationTube: loginLiveQuery   _x000D_
01 20 07:32:06 013 24593 24593 com cooter leancloud D RequestCache: add request cache  client leancloud livequery default id  conv null  request  65535_x000D_
01 20 07:32:06 058 24593 24593 com cooter leancloud W System err: java lang NullPointerException: Attempt to invoke virtual method  void cn leancloud websocket AVStandardWebSocketClient send(cn leancloud command CommandPacket)  on a null object reference_x000D_
01 20 07:32:06 058 24593 24593 com cooter leancloud W System err:     at cn leancloud session AVConnectionManager sendPacket(AVConnectionManager java:238)_x000D_
01 20 07:32:06 058 24593 24593 com cooter leancloud W System err:     at cn leancloud livequery LiveQueryOperationDelegate login(LiveQueryOperationDelegate java:26)_x000D_
01 20 07:32:06 058 24593 24593 com cooter leancloud W System err:     at cn leancloud im DirectlyOperationTube loginLiveQueryDirectly(DirectlyOperationTube java:210)_x000D_
01 20 07:32:06 058 24593 24593 com cooter leancloud W System err:     at cn leancloud im DirectlyOperationTube loginLiveQuery(DirectlyOperationTube java:203)_x000D_
01 20 07:32:06 058 24593 24593 com cooter leancloud W System err:     at cn leancloud livequery AVLiveQuery loginLiveQuery(AVLiveQuery java:189)_x000D_
01 20 07:32:06 058 24593 24593 com cooter leancloud W System err:     at cn leancloud livequery AVLiveQuery access 200(AVLiveQuery java:26)_x000D_
01 20 07:32:06 058 24593 24593 com cooter leancloud W System err:     at cn leancloud livequery AVLiveQuery 1 onNext(AVLiveQuery java:161)_x000D_
01 20 07:32:06 058 24593 24593 com cooter leancloud W System err:     at cn leancloud livequery AVLiveQuery 1 onNext(AVLiveQuery java:150)_x000D_
01 20 07:32:06 058 24593 24593 com cooter leancloud W System err:     at io reactivex internal operators observable ObservableObserveOn ObserveOnObserver drainNormal(ObservableObserveOn java:201)_x000D_
01 20 07:32:06 058 24593 24593 com cooter leancloud W System err:     at io reactivex internal operators observable ObservableObserveOn ObserveOnObserver run(ObservableObserveOn java:255)_x000D_
01 20 07:32:06 058 24593 24593 com cooter leancloud W System err:     at io reactivex android schedulers HandlerScheduler ScheduledRunnable run(HandlerScheduler java:119)_x000D_
01 20 07:32:06 058 24593 24593 com cooter leancloud W System err:     at android os Handler handleCallback(Handler java:739)_x000D_
01 20 07:32:06 058 24593 24593 com cooter leancloud W System err:     at android os Handler dispatchMessage(Handler java:95)_x000D_
01 20 07:32:06 058 24593 24593 com cooter leancloud W System err:     at android os Looper loop(Looper java:148)_x000D_
01 20 07:32:06 058 24593 24593 com cooter leancloud W System err:     at android app ActivityThread main(ActivityThread java:5554)_x000D_
01 20 07:32:06 058 24593 24593 com cooter leancloud W System err:     at java lang reflect Method invoke(Native Method)_x000D_
01 20 07:32:06 058 24593 24593 com cooter leancloud W System err:     at com android internal os ZygoteInit MethodAndArgsCaller run(ZygoteInit java:935)_x000D_
01 20 07:32:06 058 24593 24593 com cooter leancloud W System err:     at com android internal os ZygoteInit main(ZygoteInit java:726)_x000D_
    _x000D_
              beginning of crash_x000D_
01 20 07:32:06 059 24593 24593 com cooter leancloud E AndroidRuntime: FATAL EXCEPTION: main_x000D_
    Process: com cooter leancloud  PID: 24593_x000D_
    java lang NullPointerException: Attempt to invoke virtual method  void cn leancloud websocket AVStandardWebSocketClient send(cn leancloud command CommandPacket)  on a null object reference_x000D_
        at cn leancloud session AVConnectionManager sendPacket(AVConnectionManager java:238)_x000D_
        at cn leancloud livequery LiveQueryOperationDelegate login(LiveQueryOperationDelegate java:26)_x000D_
        at cn leancloud im DirectlyOperationTube loginLiveQueryDirectly(DirectlyOperationTube java:210)_x000D_
        at cn leancloud im DirectlyOperationTube loginLiveQuery(DirectlyOperationTube java:203)_x000D_
        at cn leancloud livequery AVLiveQuery loginLiveQuery(AVLiveQuery java:189)_x000D_
        at cn leancloud livequery AVLiveQuery access 200(AVLiveQuery java:26)_x000D_
        at cn leancloud livequery AVLiveQuery 1 onNext(AVLiveQuery java:161)_x000D_
        at cn leancloud livequery AVLiveQuery 1 onNext(AVLiveQuery java:150)_x000D_
        at io reactivex internal operators observable ObservableObserveOn ObserveOnObserver drainNormal(ObservableObserveOn java:201)_x000D_
        at io reactivex internal operators observable ObservableObserveOn ObserveOnObserver run(ObservableObserveOn java:255)_x000D_
        at io reactivex android schedulers HandlerScheduler ScheduledRunnable run(HandlerScheduler java:119)_x000D_
        at android os Handler handleCallback(Handler java:739)_x000D_
        at android os Handler dispatchMessage(Handler java:95)_x000D_
        at android os Looper loop(Looper java:148)_x000D_
        at android app ActivityThread main(ActivityThread java:5554)_x000D_
        at java lang reflect Method invoke(Native Method)_x000D_
        at com android internal os ZygoteInit MethodAndArgsCaller run(ZygoteInit java:935)_x000D_
        at com android internal os ZygoteInit main(ZygoteInit java:726)_x000D_
    _x000D_
    _x000D_
              beginning of system_x000D_
01 20 07:32:06 073 24593 24593 com cooter leancloud I Process: killProcess pid 24593_x000D_
    java lang RuntimeException_x000D_
        at android os Process killProcess(Process java:1142)_x000D_
        at com android internal os RuntimeInit UncaughtHandler uncaughtException(RuntimeInit java:100)_x000D_
        at java lang ThreadGroup uncaughtException(ThreadGroup java:693)_x000D_
        at java lang ThreadGroup uncaughtException(ThreadGroup java:690)_x000D_
        at io reactivex plugins RxJavaPlugins uncaught(RxJavaPlugins java:429)_x000D_
        at io reactivex plugins RxJavaPlugins onError(RxJavaPlugins java:383)_x000D_
        at io reactivex android schedulers HandlerScheduler ScheduledRunnable run(HandlerScheduler java:121)_x000D_
        at android os Handler handleCallback(Handler java:739)_x000D_
        at android os Handler dispatchMessage(Handler java:95)_x000D_
        at android os Looper loop(Looper java:148)_x000D_
        at android app ActivityThread main(ActivityThread java:5554)_x000D_
        at java lang reflect Method invoke(Native Method)_x000D_
        at com android internal os ZygoteInit MethodAndArgsCaller run(ZygoteInit java:935)_x000D_
        at com android internal os ZygoteInit main(ZygoteInit java:726)_x000D_
01 20 07:32:06 073 24593 24593 com cooter leancloud I Process: Sending signal  PID: 24593 SIG: 9_x000D_
</t>
  </si>
  <si>
    <t>RoverPlatform-rover-android-320</t>
  </si>
  <si>
    <t>HTTP Cache installation check should be non-fatal.</t>
  </si>
  <si>
    <t xml:space="preserve">Originally we had made this check fatal to avoid the cache being left unconfigured  because little to no side effects of its omission are visible locally during development _x000D_
_x000D_
However  there are some as yet not understood edge cases that can cause the cache to temporarily be unavailable  so for now reduce this to a loud log message rather than a crash _x000D_
</t>
  </si>
  <si>
    <t>GreatApo-GreatFit-34</t>
  </si>
  <si>
    <t>Stratos 2.3.8.0 - watch crash</t>
  </si>
  <si>
    <t xml:space="preserve">Hi All_x000D_
Have the lattest version installed and it does still crash my watch within an hour or so of loading it as the current watchface sorry to say </t>
  </si>
  <si>
    <t>davidkroell-docker2go-6</t>
  </si>
  <si>
    <t>ConnectionDetailsActivity crash</t>
  </si>
  <si>
    <t xml:space="preserve">The activity ConnectoinDetailsActivity crashes when saving a connection where the credentials are invalid </t>
  </si>
  <si>
    <t>nextcloud-android-3469</t>
  </si>
  <si>
    <t>Android App crashes instantly</t>
  </si>
  <si>
    <t xml:space="preserve">    Actual behaviour_x000D_
The Nextcloud App (3 4 2 RC1) crashes instantly after trying to open it  There is no error message after this happens  I can see the app opening  but it closes instantly _x000D_
_x000D_
    Expected behaviour_x000D_
After touching the app icon the app should stay open _x000D_
 _x000D_
    Steps to reproduce_x000D_
1  Install Nextcloud _x000D_
2  Try opening it_x000D_
_x000D_
    Environment data_x000D_
Android version: 8 1 0_x000D_
_x000D_
Device model: Huawei P20 Pro   CLT L29_x000D_
_x000D_
Stock or customized system:_x000D_
Stock (EMUI 8 1 0)_x000D_
_x000D_
Nextcloud app version:_x000D_
3 4 2 RC1 also happening with older Version_x000D_
https:  github com nextcloud android files 2776511 logcatOutput txt</t>
  </si>
  <si>
    <t>morenoh149-react-native-contacts-347</t>
  </si>
  <si>
    <t>getAll crash when having many contacts</t>
  </si>
  <si>
    <t xml:space="preserve">hi_x000D_
When using getAll on a phone with many contacts (like 1000 or more)  app crashes with MemoryException _x000D_
How can I handle that </t>
  </si>
  <si>
    <t>connectbot-connectbot-687</t>
  </si>
  <si>
    <t>Crash when attaching to screen</t>
  </si>
  <si>
    <t xml:space="preserve">   Bug description_x000D_
When attaching to a screen session with  screen  r  ConnectBot crashes  Seems that this is related to something specific that is shown on the currently active screen window  Attaching from a computer and changing the active window to something else removes the issue  But ConnectBot again crashes when changing back to that specific window _x000D_
_x000D_
   Steps to reproduce_x000D_
1  Connect to my server with my credentials with a specific window active in a screen session_x000D_
2   screen  r _x000D_
3  ConnectBot restarts back to the Hosts list_x000D_
_x000D_
   Expected behavior_x000D_
Screen content shouldn t crash ConnectBot_x000D_
_x000D_
   Android device_x000D_
   Device: Sony ZX2 Compact_x000D_
   OS: Android 9 52 0 A 3 126_x000D_
   ConnectBot Version: 1 9 5_x000D_
_x000D_
   Server information_x000D_
   OS: Ubuntu Linux 16 04_x000D_
   SSH Software and Version: OpenSSH 7 2p2 Ubuntu 4ubuntu2 6  OpenSSL 1 0 2g  1 Mar 2016_x000D_
_x000D_
   Additional context_x000D_
_x000D_
    Logcat_x000D_
_x000D_
   _x000D_
01 17 08:28:47 324  8255  8914 D CB TerminalBridge: OSC: 0 userna serv:  _x000D_
01 17 08:28:47 325  8255  8914 D CB TerminalBridge: Unknown character ESC   character is 112_x000D_
01 17 08:28:47 325  8255  8914 D CB TerminalBridge: ESC     3 l  unsupported _x000D_
01 17 08:28:47 325  8255  8914 D CB TerminalBridge: ESC     1049 h  unsupported _x000D_
01 17 08:28:47 336  8255  8255 D AndroidRuntime: Shutting down VM_x000D_
01 17 08:28:47 337  8255  8255 E AndroidRuntime: FATAL EXCEPTION: main_x000D_
01 17 08:28:47 337  8255  8255 E AndroidRuntime: Process: org connectbot  PID: 8255_x000D_
01 17 08:28:47 337  8255  8255 E AndroidRuntime: java lang IllegalArgumentException: x   width must be    bitmap width()_x000D_
01 17 08:28:47 337  8255  8255 E AndroidRuntime: 	at android graphics Bitmap createBitmap(Bitmap java:808)_x000D_
01 17 08:28:47 337  8255  8255 E AndroidRuntime: 	at android graphics Bitmap createBitmap(Bitmap java:774)_x000D_
01 17 08:28:47 337  8255  8255 E AndroidRuntime: 	at org connectbot TerminalView onDraw(TerminalView java:460)_x000D_
01 17 08:28:47 337  8255  8255 E AndroidRuntime: 	at android view View draw(View java:20226)_x000D_
01 17 08:28:47 337  8255  8255 E AndroidRuntime: 	at android view View buildDrawingCacheImpl(View java:19497)_x000D_
01 17 08:28:47 337  8255  8255 E AndroidRuntime: 	at android view View buildDrawingCache(View java:19357)_x000D_
01 17 08:28:47 337  8255  8255 E AndroidRuntime: 	at android view View updateDisplayListIfDirty(View java:19078)_x000D_
01 17 08:28:47 337  8255  8255 E AndroidRuntime: 	at android view ViewGroup recreateChildDisplayList(ViewGroup java:4317)_x000D_
01 17 08:28:47 337  8255  8255 E AndroidRuntime: 	at android view ViewGroup dispatchGetDisplayList(ViewGroup java:4290)_x000D_
01 17 08:28:47 337  8255  8255 E AndroidRuntime: 	at android view View updateDisplayListIfDirty(View java:19061)_x000D_
01 17 08:28:47 337  8255  8255 E AndroidRuntime: 	at android view ViewGroup recreateChildDisplayList(ViewGroup java:4317)_x000D_
01 17 08:28:47 337  8255  8255 E AndroidRuntime: 	at android view ViewGroup dispatchGetDisplayList(ViewGroup java:4290)_x000D_
01 17 08:28:47 337  8255  8255 E AndroidRuntime: 	at android view View updateDisplayListIfDirty(View java:19061)_x000D_
01 17 08:28:47 337  8255  8255 E AndroidRuntime: 	at android view ViewGroup recreateChildDisplayList(ViewGroup java:4317)_x000D_
01 17 08:28:47 337  8255  8255 E AndroidRuntime: 	at android view ViewGroup dispatchGetDisplayList(ViewGroup java:4290)_x000D_
01 17 08:28:47 337  8255  8255 E AndroidRuntime: 	at android view View updateDisplayListIfDirty(View java:19061)_x000D_
01 17 08:28:47 337  8255  8255 E AndroidRuntime: 	at android view ViewGroup recreateChildDisplayList(ViewGroup java:4317)_x000D_
01 17 08:28:47 337  8255  8255 E AndroidRuntime: 	at android view ViewGroup dispatchGetDisplayList(ViewGroup java:4290)_x000D_
01 17 08:28:47 337  8255  8255 E AndroidRuntime: 	at android view View updateDisplayListIfDirty(View java:19061)_x000D_
01 17 08:28:47 337  8255  8255 E AndroidRuntime: 	at android view ViewGroup recreateChildDisplayList(ViewGroup java:4317)_x000D_
01 17 08:28:47 337  8255  8255 E AndroidRuntime: 	at android view ViewGroup dispatchGetDisplayList(ViewGroup java:4290)_x000D_
01 17 08:28:47 337  8255  8255 E AndroidRuntime: 	at android view View updateDisplayListIfDirty(View java:19061)_x000D_
01 17 08:28:47 337  8255  8255 E AndroidRuntime: 	at android view ViewGroup recreateChildDisplayList(ViewGroup java:4317)_x000D_
01 17 08:28:47 337  8255  8255 E AndroidRuntime: 	at android view ViewGroup dispatchGetDisplayList(ViewGroup java:4290)_x000D_
01 17 08:28:47 337  8255  8255 E AndroidRuntime: 	at android view View updateDisplayListIfDirty(View java:19061)_x000D_
01 17 08:28:47 337  8255  8255 E AndroidRuntime: 	at android view ViewGroup recreateChildDisplayList(ViewGroup java:4317)_x000D_
01 17 08:28:47 337  8255  8255 E AndroidRuntime: 	at android view ViewGroup dispatchGetDisplayList(ViewGroup java:4290)_x000D_
01 17 08:28:47 337  8255  8255 E AndroidRuntime: 	at android view View updateDisplayListIfDirty(View java:19061)_x000D_
01 17 08:28:47 337  8255  8255 E AndroidRuntime: 	at android view ViewGroup recreateChildDisplayList(ViewGroup java:4317)_x000D_
01 17 08:28:47 337  8255  8255 E AndroidRuntime: 	at android view ViewGroup dispatchGetDisplayList(ViewGroup java:4290)_x000D_
01 17 08:28:47 337  8255  8255 E AndroidRuntime: 	at android view View updateDisplayListIfDirty(View java:19061)_x000D_
01 17 08:28:47 337  8255  8255 E AndroidRuntime: 	at android view ThreadedRenderer updateViewTreeDisplayList(ThreadedRenderer java:686)_x000D_
01 17 08:28:47 337  8255  8255 E AndroidRuntime: 	at android view ThreadedRenderer updateRootDisplayList(ThreadedRenderer java:692)_x000D_
01 17 08:28:47 337  8255  8255 E AndroidRuntime: 	at android view ThreadedRenderer draw(ThreadedRenderer java:801)_x000D_
01 17 08:28:47 337  8255  8255 E AndroidRuntime: 	at android view ViewRootImpl draw(ViewRootImpl java:3332)_x000D_
01 17 08:28:47 337  8255  8255 E AndroidRuntime: 	at android view ViewRootImpl performDraw(ViewRootImpl java:3129)_x000D_
01 17 08:28:47 337  8255  8255 E AndroidRuntime: 	at android view ViewRootImpl performTraversals(ViewRootImpl java:2498)_x000D_
01 17 08:28:47 337  8255  8255 E AndroidRuntime: 	at android view ViewRootImpl doTraversal(ViewRootImpl java:1473)_x000D_
01 17 08:28:47 337  8255  8255 E AndroidRuntime: 	at android view ViewRootImpl TraversalRunnable run(ViewRootImpl java:7215)_x000D_
01 17 08:28:47 337  8255  8255 E AndroidRuntime: 	at android view Choreographer CallbackRecord run(Choreographer java:1004)_x000D_
01 17 08:28:47 337  8255  8255 E AndroidRuntime: 	at android view Choreographer doCallbacks(Choreographer java:816)_x000D_
01 17 08:28:47 337  8255  8255 E AndroidRuntime: 	at android view Choreographer doFrame(Choreographer java:751)_x000D_
01 17 08:28:47 337  8255  8255 E AndroidRuntime: 	at android view Choreographer FrameDisplayEventReceiver run(Choreographer java:990)_x000D_
01 17 08:28:47 337  8255  8255 E AndroidRuntime: 	at android os Handler handleCallback(Handler java:873)_x000D_
01 17 08:28:47 337  8255  8255 E AndroidRuntime: 	at android os Handler dispatchMessage(Handler java:99)_x000D_
01 17 08:28:47 337  8255  8255 E AndroidRuntime: 	at android os Looper loop(Looper java:280)_x000D_
01 17 08:28:47 337  8255  8255 E AndroidRuntime: 	at android app ActivityThread main(ActivityThread java:6710)_x000D_
01 17 08:28:47 337  8255  8255 E AndroidRuntime: 	at java lang reflect Method invoke(Native Method)_x000D_
01 17 08:28:47 337  8255  8255 E AndroidRuntime: 	at com android internal os RuntimeInit MethodAndArgsCaller run(RuntimeInit java:493)_x000D_
01 17 08:28:47 337  8255  8255 E AndroidRuntime: 	at com android internal os ZygoteInit main(ZygoteInit java:858)_x000D_
01 17 08:28:47 340  1386 21625 D ActivityManager: New dropbox entry: org connectbot  data app crash  4f0087ee 2f77 4eae b1b6 22f9f370d027_x000D_
01 17 08:28:47 341  1386 21625 W ActivityManager:   Force finishing activity org connectbot  ConsoleActivity_x000D_
01 17 08:28:47 346  8255  8255 I Process : Sending signal  PID: 8255 SIG: 9_x000D_
   _x000D_
_x000D_
I have also a larger Logcat dump saved  but it will need some redacting before publication here _x000D_
_x000D_
    Screen session_x000D_
_x000D_
The active screen window causing this is still open in my screen session  but will naturally vanish in the next reboot  Any hints on how to save the state  The problematic window just has a bash command line with some history visible </t>
  </si>
  <si>
    <t>microsoft-appcenter-sdk-android-929</t>
  </si>
  <si>
    <t>Crash with NullPointerException on launch</t>
  </si>
  <si>
    <t xml:space="preserve">      Description  _x000D_
App crash on start when distribution is activated _x000D_
_x000D_
      Repro Steps  _x000D_
Please list the steps used to reproduce your issue _x000D_
_x000D_
1  Install the app with AppCenter and Distribution activated_x000D_
2  The browser open_x000D_
3  Minimize all_x000D_
4  Return to the app_x000D_
5  The App Crash (I only reproduce it on one device)_x000D_
_x000D_
      Details  _x000D_
1  Which SDK version are you using _x000D_
      e g  1 11 0_x000D_
2  Which OS version did you experience the issue on _x000D_
      Android 7 1 2_x000D_
3  What device version did you see this error on   Were you using an emulator or a physical device _x000D_
      Redmi 4X_x000D_
4  What third party libraries are you using _x000D_
      Xamarin Forms_x000D_
5  Please enable verbose logging for your app using  AppCenter setLogLevel(Log VERBOSE)  before your call to  AppCenter start(   )  and include the logs here:_x000D_
_x000D_
The stacktrace of the crash :_x000D_
 java lang RuntimeException: Unable to start activity ComponentInfo com app com microsoft appcenter distribute DeepLinkActivity : java lang NullPointerException: Attempt to invoke interface method  java lang String android content SharedPreferences getString(java lang String  java lang String)  on a null object reference_x000D_
	at android app ActivityThread performLaunchActivity(ActivityThread java:2723)_x000D_
	at android app ActivityThread handleLaunchActivity(ActivityThread java:2784)_x000D_
	at android app ActivityThread  wrap12(ActivityThread java)_x000D_
	at android app ActivityThread H handleMessage(ActivityThread java:1523)_x000D_
	at android os Handler dispatchMessage(Handler java:102)_x000D_
	at android os Looper loop(Looper java:163)_x000D_
	at android app ActivityThread main(ActivityThread java:6238)_x000D_
	at java lang reflect Method invoke(Native Method)_x000D_
	at com android internal os ZygoteInit MethodAndArgsCaller run(ZygoteInit java:904)_x000D_
	at com android internal os ZygoteInit main(ZygoteInit java:794)_x000D_
Caused by: java lang NullPointerException: Attempt to invoke interface method  java lang String android content SharedPreferences getString(java lang String  java lang String)  on a null object reference_x000D_
	at com microsoft appcenter utils storage SharedPreferencesManager getString(SharedPreferencesManager java:205)_x000D_
	at com microsoft appcenter utils storage SharedPreferencesManager getString(SharedPreferencesManager java:194)_x000D_
	at com microsoft appcenter distribute Distribute storeUpdateSetupFailedParameter(Distribute java:896)_x000D_
	at com microsoft appcenter distribute DeepLinkActivity onCreate(DeepLinkActivity java:45)_x000D_
	at android app Activity performCreate(Activity java:6857)_x000D_
	at android app Instrumentation callActivityOnCreate(Instrumentation java:1119)_x000D_
	at android app ActivityThread performLaunchActivity(ActivityThread java:2676)_x000D_
	    9 more_x000D_
 _x000D_
</t>
  </si>
  <si>
    <t>square-okhttp-4556</t>
  </si>
  <si>
    <t>Crashed: OkHttp IllegalMonitorStateException ConnectionPool ReentrantLock$Sync.tryRelease</t>
  </si>
  <si>
    <t xml:space="preserve">Crashes comes from crashlytics  OkHttp Version 3 10 0_x000D_
_x000D_
 0  Crashed: OkHttp ConnectionPool_x000D_
       at java util concurrent locks ReentrantLock Sync tryRelease(ReentrantLock java:152)_x000D_
       at java util concurrent locks AbstractQueuedSynchronizer release(AbstractQueuedSynchronizer java:1285)_x000D_
       at java util concurrent locks ReentrantLock unlock(ReentrantLock java:458)_x000D_
       at java util concurrent LinkedBlockingQueue poll(LinkedBlockingQueue java:474)_x000D_
       at java util concurrent ThreadPoolExecutor getTask(ThreadPoolExecutor java:1086)_x000D_
       at java util concurrent ThreadPoolExecutor runWorker(ThreadPoolExecutor java:1147)_x000D_
       at java util concurrent ThreadPoolExecutor Worker run(ThreadPoolExecutor java:636)_x000D_
       at java lang Thread run(Thread java:764)_x000D_
_x000D_
  _x000D_
_x000D_
Fatal Exception: java lang IllegalMonitorStateException_x000D_
       at java util concurrent locks ReentrantLock Sync tryRelease(ReentrantLock java:152)_x000D_
       at java util concurrent locks AbstractQueuedSynchronizer release(AbstractQueuedSynchronizer java:1285)_x000D_
       at java util concurrent locks ReentrantLock unlock(ReentrantLock java:458)_x000D_
       at java util concurrent LinkedBlockingQueue poll(LinkedBlockingQueue java:474)_x000D_
       at java util concurrent ThreadPoolExecutor getTask(ThreadPoolExecutor java:1086)_x000D_
       at java util concurrent ThreadPoolExecutor runWorker(ThreadPoolExecutor java:1147)_x000D_
       at java util concurrent ThreadPoolExecutor Worker run(ThreadPoolExecutor java:636)_x000D_
       at java lang Thread run(Thread java:764)_x000D_
_x000D_
 0  Crashed: OkHttp ConnectionPool_x000D_
       at java util concurrent locks ReentrantLock Sync tryRelease(ReentrantLock java:152)_x000D_
       at java util concurrent locks AbstractQueuedSynchronizer release(AbstractQueuedSynchronizer java:1285)_x000D_
       at java util concurrent locks ReentrantLock unlock(ReentrantLock java:458)_x000D_
       at java util concurrent LinkedBlockingQueue poll(LinkedBlockingQueue java:474)_x000D_
       at java util concurrent ThreadPoolExecutor getTask(ThreadPoolExecutor java:1086)_x000D_
       at java util concurrent ThreadPoolExecutor runWorker(ThreadPoolExecutor java:1147)_x000D_
       at java util concurrent ThreadPoolExecutor Worker run(ThreadPoolExecutor java:636)_x000D_
       at java lang Thread run(Thread java:764)_x000D_
_x000D_
 3  OkHttp ConnectionPool_x000D_
       at java lang Object wait(Object java)_x000D_
       at java lang Thread parkFor (Thread java:2135)_x000D_
       at sun misc Unsafe park(Unsafe java:358)_x000D_
       at java util concurrent locks LockSupport parkNanos(LockSupport java:230)_x000D_
       at java util concurrent locks AbstractQueuedSynchronizer ConditionObject awaitNanos(AbstractQueuedSynchronizer java:2101)_x000D_
       at java util concurrent LinkedBlockingQueue poll(LinkedBlockingQueue java:467)_x000D_
       at java util concurrent ThreadPoolExecutor getTask(ThreadPoolExecutor java:1086)_x000D_
       at java util concurrent ThreadPoolExecutor runWorker(ThreadPoolExecutor java:1147)_x000D_
       at java util concurrent ThreadPoolExecutor Worker run(ThreadPoolExecutor java:636)_x000D_
       at java lang Thread run(Thread java:764)_x000D_
_x000D_
 6  OkHttp ConnectionPool_x000D_
       at java lang Object wait(Object java)_x000D_
       at java lang Thread parkFor (Thread java:2135)_x000D_
       at sun misc Unsafe park(Unsafe java:358)_x000D_
       at java util concurrent locks LockSupport parkNanos(LockSupport java:230)_x000D_
       at java util concurrent locks AbstractQueuedSynchronizer ConditionObject awaitNanos(AbstractQueuedSynchronizer java:2101)_x000D_
       at java util concurrent LinkedBlockingQueue poll(LinkedBlockingQueue java:467)_x000D_
       at java util concurrent ThreadPoolExecutor getTask(ThreadPoolExecutor java:1086)_x000D_
       at java util concurrent ThreadPoolExecutor runWorker(ThreadPoolExecutor java:1147)_x000D_
       at java util concurrent ThreadPoolExecutor Worker run(ThreadPoolExecutor java:636)_x000D_
       at java lang Thread run(Thread java:764)_x000D_
_x000D_
 11  OkHttp ConnectionPool_x000D_
       at java lang Object wait(Object java)_x000D_
       at java lang Thread parkFor (Thread java:2135)_x000D_
       at sun misc Unsafe park(Unsafe java:358)_x000D_
       at java util concurrent locks LockSupport parkNanos(LockSupport java:230)_x000D_
       at java util concurrent locks AbstractQueuedSynchronizer ConditionObject awaitNanos(AbstractQueuedSynchronizer java:2101)_x000D_
       at java util concurrent LinkedBlockingQueue poll(LinkedBlockingQueue java:467)_x000D_
       at java util concurrent ThreadPoolExecutor getTask(ThreadPoolExecutor java:1086)_x000D_
       at java util concurrent ThreadPoolExecutor runWorker(ThreadPoolExecutor java:1147)_x000D_
       at java util concurrent ThreadPoolExecutor Worker run(ThreadPoolExecutor java:636)_x000D_
       at java lang Thread run(Thread java:764)_x000D_
_x000D_
 14  Okio Watchdog_x000D_
       at java lang Object wait(Object java)_x000D_
       at com android okhttp okio AsyncTimeout awaitTimeout(AsyncTimeout java:311)_x000D_
       at com android okhttp okio AsyncTimeout  wrap0(Unknown Source)_x000D_
       at com android okhttp okio AsyncTimeout Watchdog run(AsyncTimeout java:286)_x000D_
_x000D_
 25  OkHttp ConnectionPool_x000D_
       at com crashlytics android core CrashlyticsController handleUncaughtException(Unknown Source)_x000D_
       at com crashlytics android core CrashlyticsController 6 onUncaughtException(SourceFile:301)_x000D_
       at com crashlytics android core CrashlyticsUncaughtExceptionHandler uncaughtException(SourceFile:42)_x000D_
       at java lang ThreadGroup uncaughtException(ThreadGroup java:1068)_x000D_
       at java lang ThreadGroup uncaughtException(ThreadGroup java:1063)_x000D_
       at java lang Thread dispatchUncaughtException(Thread java:1953)_x000D_
_x000D_
 37  OkHttp ConnectionPool_x000D_
       at java lang Object wait(Object java)_x000D_
       at java lang Thread parkFor (Thread java:2135)_x000D_
       at sun misc Unsafe park(Unsafe java:358)_x000D_
       at java util concurrent locks LockSupport parkNanos(LockSupport java:230)_x000D_
       at java util concurrent locks AbstractQueuedSynchronizer ConditionObject awaitNanos(AbstractQueuedSynchronizer java:2101)_x000D_
       at java util concurrent LinkedBlockingQueue poll(LinkedBlockingQueue java:467)_x000D_
       at java util concurrent ThreadPoolExecutor getTask(ThreadPoolExecutor java:1086)_x000D_
       at java util concurrent ThreadPoolExecutor runWorker(ThreadPoolExecutor java:1147)_x000D_
       at java util concurrent ThreadPoolExecutor Worker run(ThreadPoolExecutor java:636)_x000D_
       at java lang Thread run(Thread java:764)_x000D_
_x000D_
 62  OkHttp ConnectionPool_x000D_
       at java lang Object wait(Object java)_x000D_
       at java lang Thread parkFor (Thread java:2135)_x000D_
       at sun misc Unsafe park(Unsafe java:358)_x000D_
       at java util concurrent locks LockSupport park(LockSupport java:190)_x000D_
       at java util concurrent FutureTask awaitDone(FutureTask java:450)_x000D_
       at java util concurrent FutureTask get(FutureTask java:192)_x000D_
       at com crashlytics android core CrashlyticsBackgroundWorker submitAndWait(SourceFile:43)_x000D_
       at com crashlytics android core CrashlyticsController handleUncaughtException(SourceFile:321)_x000D_
       at com crashlytics android core CrashlyticsController 6 onUncaughtException(SourceFile:301)_x000D_
       at com crashlytics android core CrashlyticsUncaughtExceptionHandler uncaughtException(SourceFile:42)_x000D_
       at java lang ThreadGroup uncaughtException(ThreadGroup java:1068)_x000D_
       at java lang ThreadGroup uncaughtException(ThreadGroup java:1063)_x000D_
       at java lang Thread dispatchUncaughtException(Thread java:1953)_x000D_
_x000D_
</t>
  </si>
  <si>
    <t>doublesymmetry-react-native-track-player-394</t>
  </si>
  <si>
    <t>[Android] FATAL EXCEPTION: java.lang.NullPointerException</t>
  </si>
  <si>
    <t xml:space="preserve">   Description_x000D_
This error always crashed application when you call   skip(null) :_x000D_
   _x000D_
E AndroidRuntime: FATAL EXCEPTION: main_x000D_
                  Process: com kykysiki boom  PID: 26622_x000D_
                  java lang NullPointerException: Attempt to invoke virtual method  boolean java lang String equals(java lang Object)  on a null object reference_x000D_
                      at com guichaguri trackplayer service player ExoPlayback skip(ExoPlayback java:69)_x000D_
                      at com guichaguri trackplayer module MusicModule lambda skip 5(MusicModule java:254)_x000D_
                      at com guichaguri trackplayer module    Lambda MusicModule 3kZ19SvqlW9XI49aL HVhhPjHgY run(Unknown Source:6)_x000D_
                      at android os Handler handleCallback(Handler java:873)_x000D_
                      at android os Handler dispatchMessage(Handler java:99)_x000D_
                      at android os Looper loop(Looper java:214)_x000D_
                      at android app ActivityThread main(ActivityThread java:6981)_x000D_
                      at java lang reflect Method invoke(Native Method)_x000D_
                      at com android internal os RuntimeInit MethodAndArgsCaller run(RuntimeInit java:493)_x000D_
                      at com android internal os ZygoteInit main(ZygoteInit java:1445)_x000D_
   </t>
  </si>
  <si>
    <t>google-ExoPlayer-5378</t>
  </si>
  <si>
    <t>SmoothStreaming TTML fMP4 crashes player</t>
  </si>
  <si>
    <t xml:space="preserve">    Issue description_x000D_
After enabling the subtitle track during encrypted playback  the player crashes _x000D_
  Setup  : SmoothStreaming with PlayReady DRM  TTML in fMP4 (not encrypted)_x000D_
  Comparison  : DRM free SmoothStr with same subtitle setup plays flawlessly _x000D_
_x000D_
    Link to test content_x000D_
Manifest URL sent via email _x000D_
Might not be possible to play as the DRM license request requires a special header which includes an OAuth token that expires after a time _x000D_
_x000D_
    Version of ExoPlayer being used_x000D_
2 9 2_x000D_
_x000D_
    Device(s) and version(s) of Android being used_x000D_
FireTV (any generation)_x000D_
FireOS 5 2 6 8_x000D_
_x000D_
    A full bug report captured from the device_x000D_
Sent via email _x000D_
_x000D_
   _x000D_
java lang NullPointerException: Attempt to invoke virtual method  void com google android exoplayer2 util ParsableByteArray readBytes(byte    int  int)  on a null object reference_x000D_
        at com google android exoplayer2 source SampleQueue sampleData(SampleQueue java:561)_x000D_
        at com google android exoplayer2 source chunk ChunkExtractorWrapper BindingTrackOutput sampleData(ChunkExtractorWrapper java:206)_x000D_
   _x000D_
_x000D_
</t>
  </si>
  <si>
    <t>mapbox-mapbox-plugins-android-817</t>
  </si>
  <si>
    <t>NullPointerException in PlacePickerActivity</t>
  </si>
  <si>
    <t xml:space="preserve">I m getting this crash in PlacePickerActivity while doing some panning and zooming (I couldn t reproduce the crash afterwards  but I was panning at pretty random locations):_x000D_
_x000D_
   _x000D_
java lang NullPointerException: Attempt to invoke virtual method  double com mapbox mapboxsdk geometry LatLng getLongitude()  on a null object reference_x000D_
    at com mapbox mapboxsdk plugins places picker ui PlacePickerActivity makeReverseGeocodingSearch(PlacePickerActivity java:178)_x000D_
    at com mapbox mapboxsdk plugins places picker ui PlacePickerActivity onCameraIdle(PlacePickerActivity java:159)_x000D_
    at com mapbox mapboxsdk maps CameraChangeDispatcher executeOnCameraIdle(CameraChangeDispatcher java:140)_x000D_
    at com mapbox mapboxsdk maps CameraChangeDispatcher access 300(CameraChangeDispatcher java:21)_x000D_
    at com mapbox mapboxsdk maps CameraChangeDispatcher CameraChangeHandler handleMessage(CameraChangeDispatcher java:169)_x000D_
    at android os Handler dispatchMessage(Handler java:106)_x000D_
    at android os Looper loop(Looper java:164)_x000D_
    at android app ActivityThread main(ActivityThread java:6494)_x000D_
    at java lang reflect Method invoke(Method java)_x000D_
    at com android internal os RuntimeInit MethodAndArgsCaller run(RuntimeInit java:438)_x000D_
    at com android internal os ZygoteInit main(ZygoteInit java:807)_x000D_
   _x000D_
_x000D_
Full info on Sentry: https:  sentry io share issue 6698b0efe60643ddb91a5f3d56f4d62d </t>
  </si>
  <si>
    <t>oliexdev-openScale-376</t>
  </si>
  <si>
    <t>App crashes on Chart tab</t>
  </si>
  <si>
    <t xml:space="preserve">  Describe the bug  _x000D_
App crashes on Chart tab _x000D_
_x000D_
  To Reproduce  _x000D_
Steps to reproduce the behavior:_x000D_
1  Go to Settings  Chart _x000D_
2  Enable Regression weight line  set polynomial degree to 5 (I don t remember the exact value) _x000D_
3  Wait for the beginning of 2019 _x000D_
4  Add measurement _x000D_
5  Go to Chart tab _x000D_
6  Observe crash _x000D_
7  Restart application _x000D_
8  Observe crash _x000D_
_x000D_
Reproduced with 1 8 4 (build from F Droid)_x000D_
_x000D_
  Debug log  _x000D_
   _x000D_
Build version: 1 8 4 _x000D_
Build date: 1979 11 30 03:00:00 _x000D_
Current date: 2019 01 12 14:59:06 _x000D_
Device: Xiaomi Redmi 4X _x000D_
 _x000D_
Stack trace:  _x000D_
java lang RuntimeException: Unable to start activity ComponentInfo com health openscale com health openscale gui MainActivity : java lang ArrayIndexOutOfBoundsException: length 5  index 5_x000D_
 at android app ActivityThread performLaunchActivity(ActivityThread java:2778)_x000D_
 at android app ActivityThread handleLaunchActivity(ActivityThread java:2856)_x000D_
 at android app ActivityThread  wrap11(Unknown Source:0)_x000D_
 at android app ActivityThread H handleMessage(ActivityThread java:1589)_x000D_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Caused by: java lang ArrayIndexOutOfBoundsException: length 5  index 5_x000D_
 at com health openscale core utils PolynomialFitter gj swap(PolynomialFitter java:186)_x000D_
 at com health openscale core utils PolynomialFitter gj echelonize(PolynomialFitter java:156)_x000D_
 at com health openscale core utils PolynomialFitter getBestFit(PolynomialFitter java:118)_x000D_
 at com health openscale gui fragments GraphFragment generateLineData(GraphFragment java:447)_x000D_
 at com health openscale gui fragments GraphFragment access 1100(GraphFragment java:79)_x000D_
 at com health openscale gui fragments GraphFragment chartTopValueTouchListener onValueSelected(GraphFragment java:588)_x000D_
 at lecho lib hellocharts view ColumnChartView callTouchListener(ColumnChartView java:73)_x000D_
 at lecho lib hellocharts view AbstractChartView selectValue(AbstractChartView java:449)_x000D_
 at com health openscale gui fragments GraphFragment generateColumnData(GraphFragment java:528)_x000D_
 at com health openscale gui fragments GraphFragment generateGraphs(GraphFragment java:563)_x000D_
 at com health openscale gui fragments GraphFragment updateOnView(GraphFragment java:250)_x000D_
 at com health openscale core OpenScale registerFragment(OpenScale java:599)_x000D_
 at com health openscale gui fragments GraphFragment onCreateView(GraphFragment java:228)_x000D_
 at androidx fragment app Fragment performCreateView(Fragment java:2439)_x000D_
 at androidx fragment app FragmentManagerImpl moveToState(FragmentManager java:1460)_x000D_
 at androidx fragment app FragmentManagerImpl moveFragmentToExpectedState(FragmentManager java:1784)_x000D_
 at androidx fragment app FragmentManagerImpl moveToState(FragmentManager java:1852)_x000D_
 at androidx fragment app FragmentManagerImpl dispatchStateChange(FragmentManager java:3269)_x000D_
 at androidx fragment app FragmentManagerImpl dispatchActivityCreated(FragmentManager java:3229)_x000D_
 at androidx fragment app FragmentController dispatchActivityCreated(FragmentController java:201)_x000D_
 at androidx fragment app FragmentActivity onStart(FragmentActivity java:620)_x000D_
 at androidx appcompat app AppCompatActivity onStart(AppCompatActivity java:178)_x000D_
 at android app Instrumentation callActivityOnStart(Instrumentation java:1334)_x000D_
 at android app Activity performStart(Activity java:7029)_x000D_
 at android app ActivityThread performLaunchActivity(ActivityThread java:2741)_x000D_
     9 more_x000D_
   _x000D_
</t>
  </si>
  <si>
    <t>nikita36078-J2ME-Loader-428</t>
  </si>
  <si>
    <t>Need for speed underground 3</t>
  </si>
  <si>
    <t xml:space="preserve">  Emulator version:  1 3 8_x000D_
_x000D_
_x000D_
  Game version:  any versions even 1 0_x000D_
_x000D_
_x000D_
  Game resolution:  240x320_x000D_
  (For example  240x320 or 640x360)  _x000D_
_x000D_
  Device:  lenevo Z5s_x000D_
  (For example  Samsung Galaxy S7)  _x000D_
_x000D_
  Android version:  8 1_x000D_
_x000D_
  Description of the issue:  Game opens only at start menu and crashes  _x000D_
  (What s the problem    Screenshots showing the issue if applicable)  _x000D_
_x000D_
</t>
  </si>
  <si>
    <t>square-okhttp-4548</t>
  </si>
  <si>
    <t>TAG = [Classname].class.getSimpleName().substring(0,15) not ProGuard friendly</t>
  </si>
  <si>
    <t xml:space="preserve">I m using  implementation  com squareup okhttp3:okhttp:3 11 0  _x000D_
_x000D_
My application crashes on initialization at the following line  but only in production builds: _x000D_
   java_x000D_
public class OkHttp3WebClient implements IWebClient  _x000D_
    private static final String TAG   OkHttp3WebClient class getSimpleName() substring(0  15) _x000D_
       _x000D_
 _x000D_
   _x000D_
_x000D_
I followed the  guidance  for ProGuard rules  here (https:  github com square okhttp blob master okhttp src main resources META INF proguard okhttp3 pro)_x000D_
_x000D_
What I ve found is that the application crashes on the line above with  java lang ExceptionInInitializerError Caused by: java lang StringIndexOutOfBoundsException: length 1  index 15 _x000D_
_x000D_
I believe what is happening that ProGuard is mapping the name to some class  C    Then  C class getSimpleName()  becomes a one character string   C     So   C  substring(0 15)  throws an  StringIndexOutOfBoundsException _x000D_
_x000D_
There was an older discussion about this  but  issue 2230 (https:  github com square okhttp issues 2230) was closed a long time ago </t>
  </si>
  <si>
    <t>getodk-collect-2794</t>
  </si>
  <si>
    <t>android.os.TransactionTooLargeException: data parcel size 1139824 bytes</t>
  </si>
  <si>
    <t xml:space="preserve">    It s the most common crash report _x000D_
https:  console firebase google com u 0 project api project 322300403941 crashlytics app android:org odk collect android issues 5b2900d76007d59fcd3f873d time last seven days sessionId 5C38630402E400016E37B0FFCA7F084E DNE 0 v2_x000D_
_x000D_
     Software and hardware versions _x000D_
Collect v1 18 x_x000D_
_x000D_
     Problem description_x000D_
   java_x000D_
Caused by android os TransactionTooLargeException_x000D_
data parcel size 1139824 bytes_x000D_
keyboard arrow up_x000D_
android os BinderProxy transactNative (Binder java)_x000D_
arrow drop down_x000D_
android os Looper loop (Looper java:154)_x000D_
arrow right_x000D_
android app ActivityThread main (ActivityThread java:6776)_x000D_
java lang reflect Method invoke (Method java)_x000D_
arrow drop down_x000D_
com android internal os ZygoteInit main (ZygoteInit java:1386)_x000D_
   _x000D_
</t>
  </si>
  <si>
    <t>tonyofrancis-Fetch-317</t>
  </si>
  <si>
    <t>OutOfMemoryError after upgrade to 2.3.5</t>
  </si>
  <si>
    <t>Hi I m using fetch2 in this open source app: https:  gitlab com gdroid gdroidclient _x000D_
_x000D_
I just tried to upgrade to 2 3 5 on a feature branch  So the only changes that I made locally are these:_x000D_
   _x000D_
    implementation  com tonyodev fetch2:fetch2:2 3 5 _x000D_
    implementation  com tonyodev fetch2okhttp:fetch2okhttp:2 3 5 _x000D_
   _x000D_
Now I get an out of memory error that has not been there in 2 3 4_x000D_
_x000D_
   _x000D_
2019 01 11 07:13:03 149 18688 18823 org gdroid gdroid I zygote64: Starting a blocking GC Alloc_x000D_
2019 01 11 07:13:03 188 18688 18823 org gdroid gdroid I zygote64: Alloc concurrent copying GC freed 193(32KB) AllocSpace objects  0(0B) LOS objects  4  free  142MB 148MB  paused 400us total 39 135ms_x000D_
2019 01 11 07:13:03 188 18688 18823 org gdroid gdroid W zygote64: Throwing OutOfMemoryError  Failed to allocate a 84601064 byte allocation with 6291456 free bytes and 49MB until OOM  max allowed footprint 155793512  growth limit 201326592 _x000D_
2019 01 11 07:13:03 194 18688 18823 org gdroid gdroid E AndroidRuntime: FATAL EXCEPTION: AppDownloader  1539417959_x000D_
    Process: org gdroid gdroid  PID: 18688_x000D_
    java lang OutOfMemoryError: Failed to allocate a 84601064 byte allocation with 6291456 free bytes and 49MB until OOM  max allowed footprint 155793512  growth limit 201326592_x000D_
        at java lang StringFactory newStringFromBytes(StringFactory java:178)_x000D_
        at java lang StringFactory newStringFromBytes(StringFactory java:209)_x000D_
        at okio Buffer readString(Buffer java:713)_x000D_
        at okio Buffer readString(Buffer java:696)_x000D_
        at okio RealBufferedSource readString(RealBufferedSource java:200)_x000D_
        at okhttp3 ResponseBody string(ResponseBody java:176)_x000D_
        at com tonyodev fetch2okhttp OkHttpDownloader execute(OkHttpDownloader kt:67)_x000D_
        at com tonyodev fetch2core FetchCoreUtils getRequestSupportedFileDownloaderTypes(FetchCoreUtils kt:235)_x000D_
        at com tonyodev fetch2okhttp OkHttpDownloader getRequestSupportedFileDownloaderTypes(OkHttpDownloader kt:173)_x000D_
        at com tonyodev fetch2 downloader DownloadManagerImpl getFileDownloader(DownloadManagerImpl kt:258)_x000D_
        at com tonyodev fetch2 downloader DownloadManagerImpl getNewFileDownloaderForDownload(DownloadManagerImpl kt:250)_x000D_
        at com tonyodev fetch2 downloader DownloadManagerImpl start  inlined synchronized lambda 1 run(DownloadManagerImpl kt:88)_x000D_
        at java util concurrent ThreadPoolExecutor runWorker(ThreadPoolExecutor java:1162)_x000D_
        at java util concurrent ThreadPoolExecutor Worker run(ThreadPoolExecutor java:636)_x000D_
        at java lang Thread run(Thread java:764)_x000D_
2019 01 11 07:13:03 199 2542 18194   W ActivityManager:   Force finishing activity org gdroid gdroid  MainActivity_x000D_
2019 01 11 07:13:03 212 2542 2579   I ActivityManager: Showing crash dialog for package org gdroid gdroid u0_x000D_
   _x000D_
_x000D_
This is for a larger download of around 50 megabytes which is the apk file of the Fennec browser _x000D_
_x000D_
edit: error is reproducible by switching from 2 3 4 and 2 3 5 forward and backward</t>
  </si>
  <si>
    <t>mockito-mockito-1589</t>
  </si>
  <si>
    <t>ClassLoader clash when defining a MockMaker that invokes `Mockito.framework()`</t>
  </si>
  <si>
    <t xml:space="preserve">While working with the new  Mockito framework()  API to resolve the usage of the internal MockMaker  I ran into a ClassLoading issue  The following flow resulted in a NPE when invoking  Answers RETURNS SMART NULLS :_x000D_
_x000D_
1  Define a  MockMaker  ( MyMockMaker ) that in it s constructor calls  Mockito framework() getPlugins() getDefaultPlugin(MockMaker class) _x000D_
1   Mockito framework  starts the static initialization of  Mockito _x000D_
1  In  Mockito   the default answers are defined as  public static final Answer Object  RETURNS SMART NULLS   Answers RETURNS SMART NULLS get()  _x000D_
1   RETURNS SMART NULLS  in turn invokes  new ReturnsSmartNulls() _x000D_
1  This delegates to  ReturnsMoreEmptyValues   which delegates to  ReturnsEmptyValues  which uses  MockUtil _x000D_
1   MockUtil  would obtain the MockMaker in its field with  private static final MockMaker mockMaker   Plugins getMockMaker()  _x000D_
1  This call in turn goes to the  PluginRegistry  which initializes the  mockMaker  with the  PluginLoader _x000D_
1  The  PluginLoader  first checks the classpath for definitions in  mockito extensions  _x000D_
_x000D_
At this point  it will discover that there is a MockMaker  namely  MyMockMaker   and will try to construct that  This will in turn execute the steps above  but will fail on step 2 _x000D_
_x000D_
Now this requires some Java knowledge  but it is not explicitly defined in the language specification  The closest I could find is https:  docs oracle com javase specs jls se11 html jls 8 html jls 8 9 3 where it states:_x000D_
_x000D_
  An enum constant is said to be created when the corresponding implicitly declared field is initialized _x000D_
_x000D_
This statement is false the second time we are looking for  Answers RETURNS SMART NULLS   as we are in the middle of creating it  The value of  Answers RETURNS SMART NULLS  is thus  null   This then throws a NPE and will in turn crash the ClassLoader  This will bubble up all the way to the very first time we tried to run the constructor of  MyMockMaker  _x000D_
_x000D_
   Interim fix_x000D_
_x000D_
So the interim fix I have right now and that does work is  instead of  Mockito framework()   I do  new DefaultMockitoFramework()   Since the latter does not try to initialize the enums and do all the magic  it will work just fine _x000D_
_x000D_
Therefore  I would propose to expose the framework in such a way that we side step  Mockito java  as a whole  I think  MockMaker  is a special case  especially as we combine it with the ServiceLoader pattern of definining your own </t>
  </si>
  <si>
    <t>google-ExoPlayer-5360</t>
  </si>
  <si>
    <t xml:space="preserve">TimelineQueueNavigator of mediasession doesn't honour the shuffle order </t>
  </si>
  <si>
    <t xml:space="preserve">    Issue description_x000D_
TimelineQueueNavigator of mediasession ext doesn t honour the shuffle order in publishFloatingQueueWindow_x000D_
_x000D_
The it iterate over the windowsIndex sequentially  where it should aske the timeline for next windowIndex_x000D_
_x000D_
    Reproduction steps_x000D_
Play a queue and check the order of the items in the mediasession queue _x000D_
They match the order in which the ConcatenatingMediaSource was created even if the player is shuffleEnabled_x000D_
_x000D_
    Version of ExoPlayer being used_x000D_
2 9 2 and 2 9 3_x000D_
_x000D_
    Device(s) and version(s) of Android being used_x000D_
Not device specific_x000D_
_x000D_
    A full bug report captured from the device_x000D_
No crash_x000D_
_x000D_
</t>
  </si>
  <si>
    <t>smartdevicelink-sdl_java_suite-963</t>
  </si>
  <si>
    <t xml:space="preserve">NPE in AudioStreamManager when used with Generic HMI </t>
  </si>
  <si>
    <t xml:space="preserve">    Bug Report_x000D_
We noticed that when  AudioStreamManager  is used with Generic HMI  the app crashes after throwing this excpetion:_x000D_
_x000D_
   _x000D_
java lang NullPointerException: Attempt to invoke interface method  void com smartdevicelink proxy interfaces IAudioStreamListener sendAudio(java nio ByteBuffer  long)  on a null object reference_x000D_
        at com smartdevicelink managers audio AudioStreamManager 6 onAudioDataAvailable(AudioStreamManager java:360)_x000D_
        at com smartdevicelink managers audio AudioDecoder 1 onOutputBufferAvailable(AudioDecoder java:58)_x000D_
        at android media MediaCodec EventHandler handleCallback(MediaCodec java:1674)_x000D_
        at android media MediaCodec EventHandler handleMessage(MediaCodec java:1621)_x000D_
        at android os Handler dispatchMessage(Handler java:105)_x000D_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_x000D_
_x000D_
Generic HMI doesn t support streaming yet  But still  that shouldn t crash the Android app _x000D_
_x000D_
      Reproduction Steps_x000D_
Run a test navigation app that uses audio streaming on Core and Generic HMI and see how app crashes _x000D_
_x000D_
      Expected Behavior_x000D_
App shouldn t crash_x000D_
_x000D_
      Observed Behavior_x000D_
App crashes _x000D_
_x000D_
      OS   Version Information_x000D_
  Android Version: 8 0 0_x000D_
  SDL Android Version: 4 7 2_x000D_
  Testing Against: Core   Generic HMI</t>
  </si>
  <si>
    <t>kiwi-bop-flutter_crashlytics-49</t>
  </si>
  <si>
    <t xml:space="preserve">Crash with forceCrash not reported </t>
  </si>
  <si>
    <t xml:space="preserve">Hey  long1eu I just notice that there still an issue when  forceCrash  is true  I don t receive anything on Crashlytics for those crash :  </t>
  </si>
  <si>
    <t>nextcloud-talk-android-405</t>
  </si>
  <si>
    <t>Right to Left Layout Problem</t>
  </si>
  <si>
    <t xml:space="preserve">When I run Nextcloud Talk  it crashes with:  java lang IllegalStateException: Circular dependencies cannot exist in RelativeLayout   I have tested the F Droid build and compiling the latest commit _x000D_
_x000D_
The phone I am testing on shows applications in right to left layout by default  By adding  android:supportsRtl  false   to manifest the problem is resolved  so I think the cause is RTL layout _x000D_
_x000D_
For reference  the full exception log is:_x000D_
   _x000D_
java lang IllegalStateException: Circular dependencies cannot exist in RelativeLayout_x000D_
       at android widget RelativeLayout DependencyGraph getSortedViews(RelativeLayout java:1909)_x000D_
       at android widget RelativeLayout sortChildren(RelativeLayout java:403)_x000D_
       at android widget RelativeLayout onMeasure(RelativeLayout java:410)_x000D_
       at android view View measure(View java:19149)_x000D_
       at android widget RelativeLayout measureChildHorizontal(RelativeLayout java:825)_x000D_
       at android widget RelativeLayout onMeasure(RelativeLayout java:511)_x000D_
       at android view View measure(View java:19149)_x000D_
       at android widget RelativeLayout measureChildHorizontal(RelativeLayout java:825)_x000D_
       at android widget RelativeLayout onMeasure(RelativeLayout java:511)_x000D_
       at android view View measure(View java:19149)_x000D_
       at android widget RelativeLayout measureChildHorizontal(RelativeLayout java:825)_x000D_
       at android widget RelativeLayout onMeasure(RelativeLayout java:511)_x000D_
       at android view View measure(View java:19149)_x000D_
       at android widget RelativeLayout measureChildHorizontal(RelativeLayout java:825)_x000D_
       at android widget RelativeLayout onMeasure(RelativeLayout java:511)_x000D_
       at android view View measure(View java:19149)_x000D_
       at android view ViewGroup measureChildWithMargins(ViewGroup java:6138)_x000D_
       at android widget FrameLayout onMeasure(FrameLayout java:223)_x000D_
       at studio carbonylgroup textfieldboxes TextFieldBoxes onMeasure(TextFieldBoxes java:357)_x000D_
       at android view View measure(View java:19149)_x000D_
       at android widget RelativeLayout measureChildHorizontal(RelativeLayout java:825)_x000D_
       at android widget RelativeLayout onMeasure(RelativeLayout java:511)_x000D_
       at android view View measure(View java:19149)_x000D_
       at android view ViewGroup measureChildWithMargins(ViewGroup java:6138)_x000D_
       at android widget FrameLayout onMeasure(FrameLayout java:223)_x000D_
       at android view View measure(View java:19149)_x000D_
       at android view ViewGroup measureChildWithMargins(ViewGroup java:6138)_x000D_
       at androidx coordinatorlayout widget CoordinatorLayout onMeasureChild(CoordinatorLayout java:733)_x000D_
       at com google android material appbar HeaderScrollingViewBehavior onMeasureChild(HeaderScrollingViewBehavior java:95)_x000D_
       at com google android material appbar AppBarLayout ScrollingViewBehavior onMeasureChild(AppBarLayout java:1556)_x000D_
       at androidx coordinatorlayout widget CoordinatorLayout onMeasure(CoordinatorLayout java:803)_x000D_
       at android view View measure(View java:19149)_x000D_
       at android view ViewGroup measureChildWithMargins(ViewGroup java:6138)_x000D_
       at android widget FrameLayout onMeasure(FrameLayout java:223)_x000D_
       at androidx appcompat widget ContentFrameLayout onMeasure(ContentFrameLayout java:143)_x000D_
       at android view View measure(View java:19149)_x000D_
       at android view ViewGroup measureChildWithMargins(ViewGroup java:6138)_x000D_
       at android widget LinearLayout measureChildBeforeLayout(LinearLayout java:1723)_x000D_
       at android widget LinearLayout measureVertical(LinearLayout java:788)_x000D_
       at android widget LinearLayout onMeasure(LinearLayout java:648)_x000D_
       at android view View measure(View java:19149)_x000D_
       at android view ViewGroup measureChildWithMargins(ViewGroup java:6138)_x000D_
       at android widget FrameLayout onMeasure(FrameLayout java:223)_x000D_
       at android view View measure(View java:19149)_x000D_
       at android view ViewGroup measureChildWithMargins(ViewGroup java:6138)_x000D_
       at android widget LinearLayout measureChildBeforeLayout(LinearLayout java:1723)_x000D_
       at android widget LinearLayout measureVertical(LinearLayout java:788)_x000D_
       at android widget LinearLayout onMeasure(LinearLayout java:648)_x000D_
       at android view View measure(View java:19149)_x000D_
       at android view ViewGroup measureChildWithMargins(ViewGroup java:6138)_x000D_
       at android widget FrameLayout onMeasure(FrameLayout java:223)_x000D_
       at com android internal policy PhoneWindow DecorView onMeasure(PhoneWindow java:2700)_x000D_
       at android view View measure(View java:19149)_x000D_
       at android view ViewRootImpl performMeasure(ViewRootImpl java:2481)_x000D_
       at android view ViewRootImpl measureHierarchy(ViewRootImpl java:1440)_x000D_
       at android view ViewRootImpl performTraversals(ViewRootImpl java:1694)_x000D_
       at android view ViewRootImpl doTravers_x000D_
   </t>
  </si>
  <si>
    <t>rahimlis-badgedtablayout-19</t>
  </si>
  <si>
    <t>beginDelayedTransition requires API 19</t>
  </si>
  <si>
    <t>https:  github com rahimlis badgedtablayout blob 5da7ae331d051353763160a60bc3db116bacefb3 badgedtablayout src main java com rahimlis badgedtablayout BadgedTabLayout java L364_x000D_
_x000D_
Lint reports that beginDelayedTransition requires API 19  the current min is 15_x000D_
 TransitionManager beginDelayedTransition((ViewGroup) tab getCustomView())  _x000D_
_x000D_
My release build fails unless I specify the lint options to prevent abortonfailure  but I assume this might crash on devices running lower than 19 _x000D_
_x000D_
Edit: Confirmed  It crashes on a device running 18  when the badge text is displayed</t>
  </si>
  <si>
    <t>nextcloud-android-3431</t>
  </si>
  <si>
    <t>App frequently hangs upon syncing and occasionally crashes at exit</t>
  </si>
  <si>
    <t xml:space="preserve">    Actual behaviour_x000D_
The app frequently hangs when synchronising files folders  The system shows a dialog with a question to either close the app or wait (I guess for it to become responsive again )  If I select  wait  the app is responsive and I can interact with it as expected  However due to it hanging often I have got situations where files were partially synchronised  At first it seems ok (showing green icons)  but restarting the app shows red icons with an X for the files that were not synchronised correctly  This makes it highly unreliable _x000D_
_x000D_
Additionally the app occasionally crashes when I exit it  I don t know what the consequences are _x000D_
_x000D_
Note 1: that it doesn t matter which files or folders are synced _x000D_
Note 2: resyncing the files folders that were not done correctly before solves it everytime _x000D_
_x000D_
    Expected behaviour_x000D_
The app should synchronise files without the behavior I described above  On my Nexus 5 (Google Android 6 0) it works flawless for years now _x000D_
 _x000D_
    Steps to reproduce_x000D_
1  Start the app_x000D_
2  Synchronise a file or folder_x000D_
_x000D_
    Environment data_x000D_
Android version: 8 1 0 (stock)_x000D_
_x000D_
Device model: Samsung Galaxy Tab S4 (stock  up to date and non rooted)_x000D_
_x000D_
Stock or customized system: Stock_x000D_
_x000D_
Nextcloud app version: 3 4 1_x000D_
_x000D_
Nextcloud server version: 15 0_x000D_
_x000D_
    Logs_x000D_
     Web server error log_x000D_
   _x000D_
Not yet available _x000D_
   _x000D_
_x000D_
     Nextcloud log (data nextcloud log)_x000D_
   _x000D_
Not yet available _x000D_
   _x000D_
</t>
  </si>
  <si>
    <t>tobexyz-yaacc-code-12</t>
  </si>
  <si>
    <t>[crash on startup]</t>
  </si>
  <si>
    <t>The app simply crash on startup  Nothing can really be said except my phone run on Android 8 1 0 (OnePlus A5000  OxygenOS 5 1 7)_x000D_
I would have built the project to give you the java error message but I have troubles building it on either windows or linux (for example  on linux I have a_x000D_
 Execution failed for task  :clingbuild:build  _x000D_
  A problem occurred starting process  command  mvn  _x000D_
 )</t>
  </si>
  <si>
    <t>Tencent-tinker-1007</t>
  </si>
  <si>
    <t>部分机型补丁打成功后重启App一直Crash</t>
  </si>
  <si>
    <t xml:space="preserve">     app     _x000D_
_x000D_
      :Oppo R9s         OPPO MIUI  _x000D_
_x000D_
        :Android 6 0 1 _x000D_
_x000D_
tinker    :1 9 8_x000D_
_x000D_
gradle    :4 4_x000D_
_x000D_
       SDK   _x000D_
_x000D_
    :Centos 6_x000D_
_x000D_
      _x000D_
1           _x000D_
    shell_x000D_
03 01 05:31:35 492 10002 10002   W Tinker TinkerLoader: tryLoadPatchFiles:patch dir not exist: data user 0 com xxx xxx tinker_x000D_
03 01 05:31:35 561 10002 10002   D Tinker DefaultAppLike: onBaseContextAttached:_x000D_
03 01 05:31:35 646 10002 10002   I Tinker ComponentHotplug: method install() is not invoked  ignore ensuring operations _x000D_
03 01 05:31:36 057 1505 2740   I ActivityManager: Start proc 10091:com xxx xxx u0a809 for service com xxx xxx com tencent tinker lib service TinkerPatchService IntentServiceRunner_x000D_
03 01 05:31:36 132 10091 10091   W Tinker TinkerLoader: tryLoadPatchFiles: we don t load patch with :patch process itself  just return_x000D_
03 01 05:31:36 214 10002 10002   D Tinker DefaultAppLike: onCreate_x000D_
03 01 05:31:36 238 10091 10091   D Tinker DefaultAppLike: onBaseContextAttached:_x000D_
03 01 05:31:36 277 10091 10091   I Tinker ComponentHotplug: method install() is not invoked  ignore ensuring operations _x000D_
03 01 05:31:36 536 10091 10091   D Tinker DefaultAppLike: onCreate_x000D_
03 01 05:31:36 579 10091 10240   W Tinker PatchInfo: read property failed  e:java io FileNotFoundException:  data user 0 com xxx xxx tinker patch info: open failed: ENOENT (No such file or directory)_x000D_
03 01 05:31:36 580 10091 10240   W Tinker PatchInfo: read property failed  e:java io FileNotFoundException:  data user 0 com xxx xxx tinker patch info: open failed: ENOENT (No such file or directory)_x000D_
03 01 05:31:48 054 10091 10240   I Tinker PatchFileUtil: safeDeleteFile  try to delete path:  data user 0 com xxx xxx tinker patch e45e2a8c dex test dex jar_x000D_
03 01 05:31:48 054 10091 10240   I Tinker PatchFileUtil: safeDeleteFile  try to delete path:  data user 0 com xxx xxx tinker patch e45e2a8c dex classes2 dex jar_x000D_
03 01 05:31:48 058 10091 10240   I Tinker PatchFileUtil: safeDeleteFile  try to delete path:  data user 0 com xxx xxx tinker patch e45e2a8c dex classes dex jar_x000D_
03 01 05:31:48 060 10091 10240   I Tinker PatchFileUtil: safeDeleteFile  try to delete path:  data user 0 com xxx xxx tinker patch e45e2a8c dex classes3 dex jar_x000D_
03 01 05:31:48 070 10091 10240   W art: oat file name    data user 0 com xxx xxx tinker patch e45e2a8c odex tinker classN dex  b   0_x000D_
03 01 05:31:48 118 10408 10408   I dex2oat:  system bin dex2oat   dex file  data user 0 com xxx xxx tinker patch e45e2a8c dex tinker classN apk   oat file  data user 0 com xxx xxx tinker patch e45e2a8c odex tinker classN dex_x000D_
03 01 05:31:52 509 10428 10428   W Tinker TinkerLoader: tryLoadPatchFiles:patch info not exist: data user 0 com xxx xxx tinker patch info_x000D_
03 01 05:31:52 669 10428 10428   D Tinker DefaultAppLike: onBaseContextAttached:_x000D_
03 01 05:31:52 706 10428 10428   I Tinker ComponentHotplug: method install() is not invoked  ignore ensuring operations _x000D_
03 01 05:31:53 076 10428 10428   D Tinker DefaultAppLike: onCreate_x000D_
03 01 05:31:53 510 10002 10002   D Tinker DefaultAppLike: onTrimMemory level:5_x000D_
03 01 05:31:53 534 10091 10091   D Tinker DefaultAppLike: onTrimMemory level:5_x000D_
03 01 05:32:01 086 10091 10240   I Tinker PatchInfo: rewritePatchInfoFile file path: data user 0 com xxx xxx tinker patch info   oldVer:  newVer:e45e2a8c3dbc6f64648db99489dab4a6  fingerprint:OPPO R9s R9s:6 0 1 MMB29M 1528528402:user release keys  oatDir:odex_x000D_
03 01 05:32:01 088 10091 10240   I Tinker PatchFileUtil: safeDeleteFile  try to delete path:  data user 0 com xxx xxx tinker temp temp apk_x000D_
03 01 05:32:01 117 10002 10498   I Tinker PatchFileUtil: safeDeleteFile  try to delete path:  data user 0 com xxx xxx files patch 8 7 0 5 e64f2c17e7444bbbb672bc9cf6d64a7b apk_x000D_
03 01 05:32:01 162 10002 10002   D Tinker DefaultAppLike: onTrimMemory level:5_x000D_
03 01 05:32:42 876 10531 10531   W Tinker TinkerLoader: tryLoadPatchFiles:version is blank  wait main process to restart_x000D_
03 01 05:32:42 954 10531 10531   D Tinker DefaultAppLike: onBaseContextAttached:_x000D_
03 01 05:32:42 989 10531 10531   I Tinker ComponentHotplug: method install() is not invoked  ignore ensuring operations _x000D_
03 01 05:32:43 208 10531 10531   D Tinker DefaultAppLike: onCreate_x000D_
03 01 05:32:43 209 10531 10531   D Tinker DefaultAppLike: onTrimMemory level:5_x000D_
03 01 05:32:43 317 10002 10002   D Tinker DefaultAppLike: onTrimMemory level:5_x000D_
   _x000D_
_x000D_
_x000D_
2       App       :_x000D_
    Shell_x000D_
03 01 06:01:53 372 17847 17847   A libc: Fatal signal 6 (SIGABRT)  code  6 in tid 17847 (com xxx xxx)_x000D_
03 01 06:01:53 425 752 752   A DEBUG:                                                                _x000D_
03 01 06:01:53 425 752 752   A DEBUG: Build fingerprint:  OPPO R9s R9s:6 0 1 MMB29M 1528528402:user release keys _x000D_
03 01 06:01:53 425 752 752   A DEBUG: Revision:  0 _x000D_
03 01 06:01:53 425 752 752   A DEBUG: ABI:  arm _x000D_
03 01 06:01:53 425 752 752   A DEBUG: pid: 17847  tid: 17847  name: com xxx xxx      com xxx xxx    _x000D_
03 01 06:01:53 425 752 752   A DEBUG: signal 6 (SIGABRT)  code  6 (SI TKILL)  fault addr         _x000D_
03 01 06:01:53 440 752 752   A DEBUG: Abort message:  art runtime gc collector mark sweep cc:387  Tried to mark 0x171 not contained by any spaces _x000D_
03 01 06:01:53 440 752 752   A DEBUG:     r0 00000000  r1 000045b7  r2 00000006  r3 f77bfb7c_x000D_
03 01 06:01:53 440 752 752   A DEBUG:     r4 f77bfb84  r5 f77bfb34  r6 0000000d  r7 0000010c_x000D_
03 01 06:01:53 440 752 752   A DEBUG:     r8 f52ff800  r9 f52fde44  sl f54e955b  fp f52e3c00_x000D_
03 01 06:01:53 440 752 752   A DEBUG:     ip 00000006  sp ffa6d530  lr f751d37d  pc f751f778  cpsr 40070010_x000D_
03 01 06:01:53 453 752 752   A DEBUG: backtrace:_x000D_
03 01 06:01:53 453 752 752   A DEBUG:      00 pc 00042778   system lib libc so (tgkill 12)_x000D_
03 01 06:01:53 453 752 752   A DEBUG:      01 pc 00040379   system lib libc so (pthread kill 32)_x000D_
03 01 06:01:53 453 752 752   A DEBUG:      02 pc 0001c78f   system lib libc so (raise 10)_x000D_
03 01 06:01:53 453 752 752   A DEBUG:      03 pc 00019931   system lib libc so (  libc android abort 34)_x000D_
03 01 06:01:53 453 752 752   A DEBUG:      04 pc 000174ec   system lib libc so (abort 4)_x000D_
03 01 06:01:53 453 752 752   A DEBUG:      05 pc 003222fd   system lib libart so ( ZN3art7Runtime5AbortEv 212)_x000D_
03 01 06:01:53 453 752 752   A DEBUG:      06 pc 000f443d   system lib libart so ( ZN3art10LogMessageD2Ev 2212)_x000D_
03 01 06:01:53 453 752 752   A DEBUG:      07 pc 000f0b73   system lib libart so ( ZN3art7BarrierD2Ev 182)_x000D_
03 01 06:01:53 453 752 752   A DEBUG:      08 pc 00349d55   system lib libart so ( ZN3art10ThreadList4DumpERNSt3  113basic ostreamIcNS1 11char traitsIcEEEE 144)_x000D_
03 01 06:01:53 453 752 752   A DEBUG:      09 pc 003223bf   system lib libart so ( ZN3art7Runtime5AbortEv 406)_x000D_
03 01 06:01:53 453 752 752   A DEBUG:      10 pc 000f443d   system lib libart so ( ZN3art10LogMessageD2Ev 2212)_x000D_
03 01 06:01:53 453 752 752   A DEBUG:      11 pc 00198243   system lib libart so ( ZN3art2gc9collector9MarkSweep18MarkObjectParallelEPKNS 6mirror6ObjectE part 103 542)_x000D_
03 01 06:01:53 453 752 752   A DEBUG:      12 pc 00198a5d   system lib libart so ( ZN3art2gc9collector25CheckpointMarkThreadRoots10VisitRootsEPPPNS 6mirror6ObjectEjRKNS 8RootInfoE 232)_x000D_
03 01 06:01:53 453 752 752   A DEBUG:      13 pc 003448a5   system lib libart so ( ZN3art19ReferenceMapVisitorINS 19RootCallbackVisitorEE15VisitQuickFrameEv 3716)_x000D_
03 01 06:01:53 454 752 752   A DEBUG:      14 pc 00345247   system lib libart so ( ZN3art19ReferenceMapVisitorINS 19RootCallbackVisitorEE10VisitFrameEv 158)_x000D_
03 01 06:01:53 454 752 752   A DEBUG:      15 pc 0032ec6d   system lib libart so ( ZN3art12StackVisitor9WalkStackEb 204)_x000D_
03 01 06:01:53 454 752 752   A DEBUG:      16 pc 0033808d   system lib libart so ( ZN3art6Thread10VisitRootsEPNS 11RootVisitorE 664)_x000D_
03 01 06:01:53 454 752 752   A DEBUG:      17 pc 001976f1   system lib libart so ( ZN3art2gc9collector25CheckpointMarkThreadRoots3RunEPNS 6ThreadE 88)_x000D_
03 01 06:01:53 454 752 752   A DEBUG:      18 pc 003382b7   system lib libart so ( ZN3art6Thread21RunCheckpointFunctionEv 150)_x000D_
03 01 06:01:53 454 752 752   A DEBUG:      19 pc 0011debf   system lib libart so ( ZN3art11ClassLinker16LoadClassMembersEPNS 6ThreadERKNS 7DexFileEPKhNS 6HandleINS 6mirror5ClassEEEPKNS 7OatFile8OatClassE 810)_x000D_
03 01 06:01:53 454 752 752   A DEBUG:      20 pc 0011e31f   system lib libart so ( ZN3art11ClassLinker9LoadClassEPNS 6ThreadERKNS 7DexFileERKNS3 8ClassDefENS 6HandleINS 6mirror5ClassEEE 90)_x000D_
03 01 06:01:53 454 752 752   A DEBUG:      21 pc 00132aef   system lib libart so ( ZN3art11ClassLinker11DefineClassEPNS 6ThreadEPKcjNS 6HandleINS 6mirror11ClassLoaderEEERKNS 7DexFileERKNS9 8ClassDefE 318)_x000D_
03 01 06:01:53 454 752 752   A DEBUG:      22 pc 0013313f   system lib libart so ( ZN3art11ClassLinker26FindClassInPathClassLoaderERNS 33ScopedObjectAccessAlreadyRunnableEPNS 6ThreadEPKcjNS 6HandleINS 6mirror11ClassLoaderEEEPPNS8 5ClassE 678)_x000D_
03 01 06:01:53 454 752 752   A DEBUG:      23 pc 00133407   system lib libart so ( ZN3art11ClassLinker9FindClassEPNS 6ThreadEPKcNS 6HandleINS 6mirror11ClassLoaderEEE part 589 486)_x000D_
03 01 06:01:53 454 752 752   A DEBUG:      24 pc 00133cbb   system lib libart so ( ZN3art11ClassLinker9FindClassEPNS 6ThreadEPKcNS 6HandleINS 6mirror11ClassLoaderEEE 42)_x000D_
03 01 06:01:53 454 752 752   A DEBUG:      25 pc 00136a31   system lib libart so ( ZN3art11ClassLinker11ResolveTypeERKNS 7DexFileEtNS 6HandleINS 6mirror8DexCacheEEENS4 INS5 11ClassLoaderEEE 128)_x000D_
03 01 06:01:53 454 752 752   A DEBUG:      26 pc 0013872f   system lib libart so ( ZN3art11ClassLinker13ResolveMethodERKNS 7DexFileEjNS 6HandleINS 6mirror8DexCacheEEENS4 INS5 11ClassLoaderEEEPNS 9ArtMethodENS 10InvokeTypeE 106)_x000D_
03 01 06:01:53 454 752 752   A DEBUG:      27 pc 003e6d99   system lib libart so ( ZN3art11ClassLinker13ResolveMethodEPNS 6ThreadEjPNS 9ArtMethodENS 10InvokeTypeE part 125 64)_x000D_
03 01 06:01:53 454 752 752   A DEBUG:      28 pc 003eaa41   system lib libart so (artQuickResolutionTrampoline 2612)_x000D_
03 01 06:01:53 454 752 752   A DEBUG:      29 pc 000eaff3   system lib libart so (art quick resolution trampoline 34)_x000D_
03 01 06:01:53 454 752 752   A DEBUG:      30 pc 00495e4f   data data com xxx xxx tinker patch 22747e6b odex tinker classN dex (offset 0x1c90000)_x000D_
03 01 06:01:53 628 752 752   A DEBUG: Tombstone written to:  data tombstones tombstone 03_x000D_
03 01 06:01:53 628 752 752   E DEBUG: AM write failed: Broken pipe_x000D_
03 01 06:01:53 655 2911 4459   E ErrorSaveTask:  data system dropbox data app native crash 1551391313644 txt gz log not found _x000D_
03 01 06:01:53 655 2911 4459   E ErrorSaveTask: verifyError(): occur time is empty or app name is empty  return false_x000D_
03 01 06:01:54 924 3611 3615   E ANDR PERF RESOURCEQS: Failed to reset optimization  3  0 _x000D_
03 01 06:02:47 822 1505 1555   E KernelCpuSpeedReader: Failed to read cpu freq:  sys devices system cpu cpu0 cpufreq stats time in state: open failed: ENOENT (No such file or directory)_x000D_
03 01 06:02:47 834 1505 1564   E KernelCpuSpeedReader: Failed to read cpu freq:  sys devices system cpu cpu0 cpufreq stats time in state: open failed: ENOENT (No such file or directory)_x000D_
03 01 06:05:17 149 1505 8122   E GpsXtraDownloader: No XTRA servers were specified in the GPS configuration_x000D_
   </t>
  </si>
  <si>
    <t>OneBusAway-onebusaway-android-958</t>
  </si>
  <si>
    <t>Crash on startup on API 15 - Resources$NotFoundException</t>
  </si>
  <si>
    <t xml:space="preserve">  Summary:   _x000D_
_x000D_
Starting the app with master branch dev build on an API 15 emulator I m seeing a crash with:_x000D_
_x000D_
   _x000D_
    java lang RuntimeException: Unable to start activity ComponentInfo com joulespersecond seattlebusbot org onebusaway android ui HomeActivity : android view InflateException: Binary XML file line  76: Error inflating class ImageButton_x000D_
        at android app ActivityThread performLaunchActivity(ActivityThread java:1956)_x000D_
        at android app ActivityThread handleLaunchActivity(ActivityThread java:1981)_x000D_
        at android app ActivityThread access 600(ActivityThread java:123)_x000D_
        at android app ActivityThread H handleMessage(ActivityThread java:1147)_x000D_
        at android os Handler dispatchMessage(Handler java:99)_x000D_
        at android os Looper loop(Looper java:137)_x000D_
        at android app ActivityThread main(ActivityThread java:4424)_x000D_
        at java lang reflect Method invokeNative(Native Method)_x000D_
        at java lang reflect Method invoke(Method java:511)_x000D_
        at com android internal os ZygoteInit MethodAndArgsCaller run(ZygoteInit java:784)_x000D_
        at com android internal os ZygoteInit main(ZygoteInit java:551)_x000D_
        at dalvik system NativeStart main(Native Method)_x000D_
     Caused by: android view InflateException: Binary XML file line  76: Error inflating class ImageButton_x000D_
        at android view LayoutInflater createViewFromTag(LayoutInflater java:697)_x000D_
        at android view LayoutInflater rInflate(LayoutInflater java:739)_x000D_
        at android view LayoutInflater rInflate(LayoutInflater java:742)_x000D_
        at android view LayoutInflater rInflate(LayoutInflater java:742)_x000D_
        at android view LayoutInflater rInflate(LayoutInflater java:742)_x000D_
        at android view LayoutInflater rInflate(LayoutInflater java:742)_x000D_
        at android view LayoutInflater inflate(LayoutInflater java:489)_x000D_
        at android view LayoutInflater inflate(LayoutInflater java:396)_x000D_
        at android view LayoutInflater inflate(LayoutInflater java:352)_x000D_
        at androidx appcompat app AppCompatDelegateImpl setContentView(AppCompatDelegateImpl java:469)_x000D_
        at androidx appcompat app AppCompatActivity setContentView(AppCompatActivity java:140)_x000D_
        at org onebusaway android ui HomeActivity onCreate(HomeActivity java:358)_x000D_
        at android app Activity performCreate(Activity java:4466)_x000D_
        at android app Instrumentation callActivityOnCreate(Instrumentation java:1049)_x000D_
        at android app ActivityThread performLaunchActivity(ActivityThread java:1920)_x000D_
        at android app ActivityThread handleLaunchActivity(ActivityThread java:1981) _x000D_
        at android app ActivityThread access 600(ActivityThread java:123) _x000D_
        at android app ActivityThread H handleMessage(ActivityThread java:1147) _x000D_
        at android os Handler dispatchMessage(Handler java:99) _x000D_
        at android os Looper loop(Looper java:137) _x000D_
        at android app ActivityThread main(ActivityThread java:4424) _x000D_
        at java lang reflect Method invokeNative(Native Method) _x000D_
        at java lang reflect Method invoke(Method java:511) _x000D_
        at com android internal os ZygoteInit MethodAndArgsCaller run(ZygoteInit java:784) _x000D_
        at com android internal os ZygoteInit main(ZygoteInit java:551) _x000D_
        at dalvik system NativeStart main(Native Method) _x000D_
     Caused by: android content res Resources NotFoundException: File res drawable zoom out button xml from drawable resource ID  0x7f0801b3_x000D_
        at android content res Resources loadDrawable(Resources java:1928)_x000D_
        at android content res TypedArray getDrawable(TypedArray java:601)_x000D_
        at android widget ImageView  init (ImageView java:119)_x000D_
        at android widget ImageButton  init (ImageButton java:85)_x000D_
        at androidx appcompat widget AppCompatImageButton  init (AppCompatImageButton java:73)_x000D_
        at androidx appcompat widget AppCompatImageButton  init (AppCompatImageButton java:69)_x000D_
        at androidx appcompat app AppCompatViewInflater createImageButton(AppCompatViewInflater java:202)_x000D_
        at androidx appcompat app AppCompatViewInflater createView(AppCompatViewInflater java:122)_x000D_
        at androidx appcompat app AppCompatDelegateImpl createView(AppCompatDelegateImpl java:1266)_x000D_
        at androidx appcompat app AppCompatDelegateImpl onCreateView(AppCompatDelegateImpl java:1316)_x000D_
        at android view LayoutInflater createViewFromTag(LayoutInflater java:668)_x000D_
        at android view LayoutInflater rInflate(LayoutInflater java:739) _x000D_
        at android view LayoutInflater rInflate(LayoutInflater java:742) _x000D_
        at android view LayoutInflater rInflate(LayoutInflater java:742) _x000D_
        at android view LayoutInflater rInflate(LayoutInflater java:742) _x000D_
        at android view LayoutInflater rInflate(LayoutInflater java:742) _x000D_
        at android view LayoutInflater inflate(LayoutInflater java:489) _x000D_
        at android view LayoutInflater inflate(LayoutInflater java:396) _x000D_
        at android view LayoutInflater inflate(LayoutInflater java:352) _x000D_
        at androidx appcompat app AppCompatDelegateImpl setContentView(AppCompatDelegateImpl java:469) _x000D_
        at androidx appcompat app AppCompatActivity setContentView(AppCompatActivity java:140) _x000D_
        at org onebusaway android ui HomeActivity onCreate(HomeActivity java:358) _x000D_
        at android app Activity performCreate(Activity java:4466) _x000D_
        at android app Instrumentation callActivityOnCreate(Instrumentation java:1049) _x000D_
        at android app ActivityThread performLaunchActivity(ActivityThread java:1920) _x000D_
        at android app ActivityThread handleLaunchActivity(ActivityThread java:1981) _x000D_
        at android app ActivityThread access 600(ActivityThread java:123) _x000D_
        at android app ActivityThread H handleMessage(ActivityThread java:1147) _x000D_
        at android os Handler dispatchMessage(Handler java:99) _x000D_
        at android os Looper loop(Looper java:137) _x000D_
        at android app ActivityThread main(ActivityThread java:4424) _x000D_
        at java lang reflect Method invokeNative(Native Method) _x000D_
        at java lang reflect Method invoke(Method java:511) _x000D_
        at com android internal os ZygoteInit MethodAndArgsCaller run(ZygoteInit java:784) _x000D_
        at com android internal os ZygoteInit main(ZygoteInit java:551) _x000D_
        at dalvik system NativeStart main(Native Method) _x000D_
     Caused by: android content res Resources NotFoundException: File res drawable zoom out button pressed xml from drawable resource ID  0x7f0801b5_x000D_
        at android content res Resources loadDrawable(Resources java:1928)_x000D_
        at android content res Resources getDrawable(Resources java:664)_x000D_
        at android graphics drawable StateListDrawable inflate(StateListDrawable java:173)_x000D_
        at android graphics drawable Drawable createFromXmlInner(Drawable java:867)_x000D_
        at android graphics drawable Drawable createFromXml(Drawable java:804)_x000D_
        at android content res Resources loadDrawable(Resources java:1925)_x000D_
        at android content res TypedArray getDrawable(TypedArray java:601) _x000D_
        at android widget ImageView  init (ImageView java:119) _x000D_
        at android widget ImageButton  init (ImageButton java:85) _x000D_
        at androidx appcompat widget AppCompatImageButton  init (AppCompatImageButton java:73) _x000D_
        at androidx appcompat widget AppCompatImageButton  init (AppCompatImageButton java:69) _x000D_
        at androidx appcompat app AppCompatViewInflater createImageButton(AppCompatViewInflater java:202) _x000D_
        at androidx appcompat app AppCompatViewInflater createView(AppCompatViewInflater java:122) _x000D_
        at androidx appcompat app AppCompatDelegateImpl createView(AppCompatDelegateImpl java:1266) _x000D_
        at androidx appcompat app AppCompatDelegateImpl onCreateView(AppCompatDelegateImpl java:1316) _x000D_
        at android view LayoutInflater createViewFromTag(LayoutInflater java:668) _x000D_
        at android view LayoutInflater rInflate(LayoutInflater java:739) _x000D_
        at android view LayoutInflater rInflate(LayoutInflater java:742) _x000D_
        at android view LayoutInflater rInflate(LayoutInflater java:742) _x000D_
        at android view LayoutInflater rInflate(LayoutInflater java:742) _x000D_
        at android view LayoutInflater rInflate(LayoutInflater java:742) _x000D_
        at android view LayoutInflater inflate(LayoutInflater java:489) _x000D_
        at android view LayoutInflater inflate(LayoutInflater java:396) _x000D_
        at android view LayoutInflater inflate(LayoutInflater java:352) _x000D_
        at androidx appcompat app AppCompatDelegateImpl setContentView(AppCompatDelegateImpl java:469) _x000D_
        at androidx appcompat app AppCompatActivity setContentView(AppCompatActivity java:140) _x000D_
        at org onebusaway android ui HomeActivity onCreate(HomeActivity java:358) _x000D_
        at android app Activity performCreate(Activity java:4466) _x000D_
        at android app Instrumentation callActivityOnCreate(Instrumentation java:1049) _x000D_
        at android app ActivityThread performLaunchActivity(ActivityThread java:1920) _x000D_
        at android app ActivityThread handleLaunchActivity(ActivityThread java:1981) _x000D_
        at android app ActivityThread access 600(ActivityThread java:123) _x000D_
        at android app ActivityThread H handleMessage(ActivityThread java:1147) _x000D_
        at android os Handler dispatchMessage(Handler java:99) _x000D_
        at android os Looper loop(Looper java:137) _x000D_
        at android app ActivityThread main(ActivityThread java:4424) _x000D_
        at java lang reflect Method invokeNative(Native Method) _x000D_
        at java lang reflect Method invoke(Method java:511) _x000D_
        at com android internal os ZygoteInit MethodAndArgsCaller run(ZygoteInit java:784) _x000D_
        at com android internal os ZygoteInit main(ZygoteInit java:551) _x000D_
        at dalvik system NativeStart main(Native Method) _x000D_
     Caused by: android content res Resources NotFoundException: File res drawable ic zoom out xml from drawable resource ID  0x7f08017a_x000D_
        at android content res Resources loadDrawable(Resources java:1928)_x000D_
    	at android content re_x000D_
   _x000D_
_x000D_
Looks like this is related to  ic zoom in xml  and other vector files that were introduced back in 2 3 x for the map zoom buttons   More vector resources were just added for the occupancy feature   I need to review and see if this issue exists prior to adding occupancy _x000D_
_x000D_
  Steps to reproduce:   _x000D_
_x000D_
Start the app on an API 15 emulator (current master branch)_x000D_
_x000D_
  Expected behavior:   _x000D_
_x000D_
Startup without crashing_x000D_
_x000D_
  Observed behavior:   _x000D_
_x000D_
Crash_x000D_
_x000D_
  Device and Android version:   _x000D_
_x000D_
Emulator API 15   WBGA Nexus S w  Google APIs</t>
  </si>
  <si>
    <t>deltachat-deltachat-android-487</t>
  </si>
  <si>
    <t>Creating Backup doesn't work on older phones</t>
  </si>
  <si>
    <t xml:space="preserve">The code requires API Level 21 and just crashes the App on lower versions  while suppressing linter messages _x000D_
_x000D_
https:  github com deltachat deltachat android ii blob master src org thoughtcrime securesms util ScreenLockUtil java L29_x000D_
_x000D_
calls https:  developer android com reference android app KeyguardManager createConfirmDeviceCredentialIntent(java lang CharSequence  20java lang CharSequence)_x000D_
_x000D_
which has been added in API Level 21  There is no check for earlier versions _x000D_
_x000D_
The proper code should probably look like this (can t test atm):_x000D_
_x000D_
   _x000D_
   Notice the lack of  TargetAPI in this line _x000D_
    public static boolean applyScreenLock(Activity activity  int requestCode)  _x000D_
        if(Build VERSION SDK INT    Build VERSION CODES LOLLIPOP)  _x000D_
            KeyguardManager keyguardManager   (KeyguardManager) activity getSystemService(Context KEYGUARD SERVICE) _x000D_
            Intent intent _x000D_
            if (keyguardManager    null)  _x000D_
                intent   keyguardManager createConfirmDeviceCredentialIntent(activity getString(R string security authentication unlock title)  activity getString(R string security authentication unlock description)) _x000D_
                if (intent    null)  _x000D_
                    activity startActivityForResult(intent  requestCode) _x000D_
                    return true _x000D_
                 _x000D_
             _x000D_
         _x000D_
        return false _x000D_
     _x000D_
   </t>
  </si>
  <si>
    <t>Catfriend1-syncthing-android-203</t>
  </si>
  <si>
    <t>Edit folder dialog - AlertDialogs leak on screen rotation</t>
  </si>
  <si>
    <t xml:space="preserve">    Description of the issue_x000D_
No crash  but a resource and memory leak was found _x000D_
_x000D_
</t>
  </si>
  <si>
    <t>MiPushFramework-MiPushFramework-252</t>
  </si>
  <si>
    <t>老大，PIE9.0装完最新版的Mipush闪退，修复一下吧，谢谢了</t>
  </si>
  <si>
    <t xml:space="preserve">          beginning of main_x000D_
01 05 20:58:12 231 D TrafficStat( 2077): getMobileIfaces    3_x000D_
01 05 20:58:12 235 D TrafficStat( 2077): getMobileIfaces    2_x000D_
01 05 20:58:12 304 D ServiceCore( 2077): Speed time count: 23660547_x000D_
01 05 20:58:12 305 D ServiceCore( 2077): onNext_x000D_
01 05 20:58:12 586 D WifiStateMachine( 1197):  ConnectedState  CMD RSSI POLL rt 23727107 23727107 3 0  HUAWEI PUZ4CE  04:02:1f:50:c4:b8 rssi  68 f 2427 sc 60 link 19 tx 0 8  0 0  0 0  rx 0 5 bcn 0  on:0 tx:0 rx:0 period:3002  from screen  on:0 period:22121845  score 60_x000D_
01 05 20:58:12 586 D WifiStateMachine( 1197):  L2ConnectedState  CMD RSSI POLL rt 23727108 23727108 3 0  HUAWEI PUZ4CE  04:02:1f:50:c4:b8 rssi  68 f 2427 sc 60 link 19 tx 0 8  0 0  0 0  rx 0 5 bcn 0  on:0 tx:0 rx:0 period:1  from screen  on:0 period:22121846  score 60_x000D_
01 05 20:58:12 587 E WifiVendorHal( 1197): getWifiLinkLayerStats(l 937) failed   code   ERROR NOT AVAILABLE   description    _x000D_
01 05 20:58:12 600 D WifiStateMachine( 1197): fetchRssiLinkSpeedAndFrequencyNative rssi  72 linkspeed 19 freq 2427_x000D_
01 05 20:58:12 600 V WifiConfigManager( 1197): Updating scan detail cache freq 2427 BSSID 04:02:1f:50:c4:b8 RSSI  69 for  HUAWEI PUZ4CE WPA PSK_x000D_
01 05 20:58:12 601 I WifiService( 1197): getCurrentNetwork uid 10035_x000D_
01 05 20:58:13 229 D TrafficStat( 2077): getMobileIfaces    2_x000D_
01 05 20:58:13 233 D TrafficStat( 2077): getMobileIfaces    3_x000D_
01 05 20:58:13 288 D ServiceCore( 2077): Speed time count: 23661531_x000D_
01 05 20:58:13 315 D ServiceCore( 2077):           26_x000D_
01 05 20:58:13 315 D ServiceCore( 2077): onNext_x000D_
01 05 20:58:13 625 I erstatus:remot( 2077): Background concurrent copying GC freed 131868(5MB) AllocSpace objects  0(0B) LOS objects  67  free  2MB 8MB  paused 244us total 164 964ms_x000D_
01 05 20:58:14 232 D TrafficStat( 2077): getMobileIfaces    5_x000D_
01 05 20:58:14 235 D TrafficStat( 2077): getMobileIfaces    2_x000D_
01 05 20:58:14 291 E QCOM PowerHAL(  920): Failed to acquire lock _x000D_
01 05 20:58:14 298 E QCOM PowerHAL(  920): Failed to acquire lock _x000D_
01 05 20:58:14 304 D ServiceCore( 2077): Speed time count: 23662547_x000D_
01 05 20:58:14 304 D ServiceCore( 2077): onNext_x000D_
01 05 20:58:14 312 E QCOM PowerHAL(  920): Failed to acquire lock _x000D_
01 05 20:58:14 433 I chatty  (  920): uid 1000(system)  vendor bin hw android hardware power 1 1 service qti identical 4 lines_x000D_
01 05 20:58:14 442 E QCOM PowerHAL(  920): Failed to acquire lock _x000D_
01 05 20:58:14 562 W Adreno EGL( 8989):  qeglDrvAPI eglGetConfigAttrib:607 : EGL BAD ATTRIBUTE_x000D_
01 05 20:58:14 563 D vndksupport( 8989): Loading  vendor lib hw gralloc msm8974 so from current namespace instead of sphal namespace _x000D_
01 05 20:58:14 589 E QCOM PowerHAL(  920): Failed to acquire lock _x000D_
01 05 20:58:14 914 E Sensors (  921): Pressure old sensor state 131585  new sensor state : 131617 en : 1_x000D_
01 05 20:58:15 149 E Sensors (  921): Pressure old sensor state 131617  new sensor state : 131585 en : 0_x000D_
01 05 20:58:15 228 D TrafficStat( 2077): getMobileIfaces    0_x000D_
01 05 20:58:15 230 D TrafficStat( 2077): getMobileIfaces    1_x000D_
01 05 20:58:15 287 D ServiceCore( 2077): Speed time count: 23663530_x000D_
01 05 20:58:15 288 D ServiceCore( 2077): onNext_x000D_
01 05 20:58:15 602 D WifiStateMachine( 1197):  ConnectedState  CMD RSSI POLL rt 23730124 23730124 3 0  HUAWEI PUZ4CE  04:02:1f:50:c4:b8 rssi  72 f 2427 sc 60 link 19 tx 0 5  0 0  0 0  rx 0 8 bcn 0  on:0 tx:0 rx:0 period:2999  from screen  on:0 period:22124862  score 60_x000D_
01 05 20:58:15 603 D WifiStateMachine( 1197):  L2ConnectedState  CMD RSSI POLL rt 23730125 23730125 3 0  HUAWEI PUZ4CE  04:02:1f:50:c4:b8 rssi  72 f 2427 sc 60 link 19 tx 0 5  0 0  0 0  rx 0 8 bcn 0  on:0 tx:0 rx:0 period:1  from screen  on:0 period:22124863  score 60_x000D_
01 05 20:58:15 604 E WifiVendorHal( 1197): getWifiLinkLayerStats(l 937) failed   code   ERROR NOT AVAILABLE   description    _x000D_
01 05 20:58:15 606 D WifiStateMachine( 1197): fetchRssiLinkSpeedAndFrequencyNative rssi  71 linkspeed 19 freq 2427_x000D_
01 05 20:58:15 606 V WifiConfigManager( 1197): Updating scan detail cache freq 2427 BSSID 04:02:1f:50:c4:b8 RSSI  70 for  HUAWEI PUZ4CE WPA PSK_x000D_
01 05 20:58:15 608 I WifiService( 1197): getCurrentNetwork uid 10035_x000D_
01 05 20:58:16 229 D TrafficStat( 2077): getMobileIfaces    2_x000D_
01 05 20:58:16 233 D TrafficStat( 2077): getMobileIfaces    2_x000D_
01 05 20:58:16 291 D ServiceCore( 2077): Speed time count: 23664534_x000D_
01 05 20:58:16 292 D ServiceCore( 2077): onNext_x000D_
01 05 20:58:16 552 E QCOM PowerHAL(  920): Failed to acquire lock _x000D_
          beginning of system_x000D_
01 05 20:58:16 569 W NotificationService( 1197): Toast already killed  pkg github tornaco appsettings callback android app ITransientNotification Stub Proxy 57c7732_x000D_
01 05 20:58:16 590 E QCOM PowerHAL(  920): Failed to acquire lock _x000D_
01 05 20:58:16 636 E TemperatureHumiditySensor(  921): mCompEngine is NULL_x000D_
01 05 20:58:17 229 D TrafficStat( 2077): getMobileIfaces    3_x000D_
01 05 20:58:17 233 D TrafficStat( 2077): getMobileIfaces    2_x000D_
01 05 20:58:17 297 D ServiceCore( 2077): Speed time count: 23665540_x000D_
01 05 20:58:17 299 D ServiceCore( 2077): onNext_x000D_
01 05 20:58:18 043 W WindowManager( 1197): Unable to start animation  surface is null or no children _x000D_
01 05 20:58:18 230 D TrafficStat( 2077): getMobileIfaces    3_x000D_
01 05 20:58:18 237 D TrafficStat( 2077): getMobileIfaces    5_x000D_
01 05 20:58:18 329 D ServiceCore( 2077): Speed time count: 23666572_x000D_
01 05 20:58:18 349 D ServiceCore( 2077):           19_x000D_
01 05 20:58:18 349 D ServiceCore( 2077): onNext_x000D_
01 05 20:58:18 612 D WifiStateMachine( 1197):  ConnectedState  CMD RSSI POLL rt 23733133 23733133 3 0  HUAWEI PUZ4CE  04:02:1f:50:c4:b8 rssi  71 f 2427 sc 60 link 19 tx 0 4  0 0  0 0  rx 0 7 bcn 0  on:0 tx:0 rx:0 period:3003  from screen  on:0 period:22127872  score 60_x000D_
01 05 20:58:18 613 D WifiStateMachine( 1197):  L2ConnectedState  CMD RSSI POLL rt 23733135 23733135 3 0  HUAWEI PUZ4CE  04:02:1f:50:c4:b8 rssi  71 f 2427 sc 60 link 19 tx 0 4  0 0  0 0  rx 0 7 bcn 0  on:0 tx:0 rx:0 period:1  from screen  on:0 period:22127873  score 60_x000D_
01 05 20:58:18 614 E WifiVendorHal( 1197): getWifiLinkLayerStats(l 937) failed   code   ERROR NOT AVAILABLE   description    _x000D_
01 05 20:58:18 624 D WifiStateMachine( 1197): fetchRssiLinkSpeedAndFrequencyNative rssi  70 linkspeed 19 freq 2427_x000D_
01 05 20:58:18 624 V WifiConfigManager( 1197): Updating scan detail cache freq 2427 BSSID 04:02:1f:50:c4:b8 RSSI  70 for  HUAWEI PUZ4CE WPA PSK_x000D_
01 05 20:58:18 637 I WifiService( 1197): getCurrentNetwork uid 10035_x000D_
01 05 20:58:19 231 D TrafficStat( 2077): getMobileIfaces    2_x000D_
01 05 20:58:19 234 D TrafficStat( 2077): getMobileIfaces    2_x000D_
01 05 20:58:19 281 D ServiceCore( 2077): Speed time count: 23667524_x000D_
01 05 20:58:19 283 D ServiceCore( 2077): onNext_x000D_
01 05 20:58:20 229 D TrafficStat( 2077): getMobileIfaces    2_x000D_
01 05 20:58:20 233 D TrafficStat( 2077): getMobileIfaces    3_x000D_
01 05 20:58:20 289 D ServiceCore( 2077): Speed time count: 23668532_x000D_
01 05 20:58:20 290 D ServiceCore( 2077): onNext_x000D_
01 05 20:58:21 232 D TrafficStat( 2077): getMobileIfaces    2_x000D_
01 05 20:58:21 235 D TrafficStat( 2077): getMobileIfaces    1_x000D_
01 05 20:58:21 297 D ServiceCore( 2077): Speed time count: 23669540_x000D_
01 05 20:58:21 298 D ServiceCore( 2077): onNext_x000D_
01 05 20:58:21 633 D WifiStateMachine( 1197):  ConnectedState  CMD RSSI POLL rt 23736151 23736151 3 0  HUAWEI PUZ4CE  04:02:1f:50:c4:b8 rssi  70 f 2427 sc 60 link 19 tx 0 4  0 0  0 0  rx 0 7 bcn 0  on:0 tx:0 rx:0 period:2993  from screen  on:0 period:22130892  score 60_x000D_
01 05 20:58:21 639 D WifiStateMachine( 1197):  L2ConnectedState  CMD RSSI POLL rt 23736156 23736156 3 0  HUAWEI PUZ4CE  04:02:1f:50:c4:b8 rssi  70 f 2427 sc 60 link 19 tx 0 4  0 0  0 0  rx 0 7 bcn 0  on:0 tx:0 rx:0 period:6  from screen  on:0 period:22130898  score 60_x000D_
01 05 20:58:21 642 E WifiVendorHal( 1197): getWifiLinkLayerStats(l 937) failed   code   ERROR NOT AVAILABLE   description    _x000D_
01 05 20:58:21 663 D WifiStateMachine( 1197): fetchRssiLinkSpeedAndFrequencyNative rssi  70 linkspeed 19 freq 2427_x000D_
01 05 20:58:21 664 V WifiConfigManager( 1197): Updating scan detail cache freq 2427 BSSID 04:02:1f:50:c4:b8 RSSI  70 for  HUAWEI PUZ4CE WPA PSK_x000D_
01 05 20:58:21 670 I WifiService( 1197): getCurrentNetwork uid 10035_x000D_
01 05 20:58:22 230 D TrafficStat( 2077): getMobileIfaces    2_x000D_
01 05 20:58:22 234 D TrafficStat( 2077): getMobileIfaces    2_x000D_
01 05 20:58:22 284 D ServiceCore( 2077): Speed time count: 23670527_x000D_
01 05 20:58:22 295 D ServiceCore( 2077): onNext_x000D_
01 05 20:58:23 229 D TrafficStat( 2077): getMobileIfaces    2_x000D_
01 05 20:58:23 233 D TrafficStat( 2077): getMobileIfaces    3_x000D_
01 05 20:58:23 309 D ServiceCore( 2077): Speed time count: 23671552_x000D_
01 05 20:58:23 331 D ServiceCore( 2077):           21_x000D_
01 05 20:58:23 331 D ServiceCore( 2077): onNext_x000D_
01 05 20:58:24 229 D TrafficStat( 2077): getMobileIfaces    2_x000D_
01 05 20:58:24 233 D TrafficStat( 2077): getMobileIfaces    2_x000D_
01 05 20:58:24 290 D ServiceCore( 2077): Speed time count: 23672533_x000D_
01 05 20:58:24 290 D ServiceCore( 2077): onNext_x000D_
01 05 20:58:24 669 D WifiStateMachine( 1197):  ConnectedState  CMD RSSI POLL rt 23739191 23739191 3 0  HUAWEI PUZ4CE  04:02:1f:50:c4:b8 rssi  70 f 2427 sc 60 link 19 tx 0 3  0 0  0 0  rx 0 5 bcn 0  on:0 tx:0 rx:0 period:2991  from screen  on:0 period:22133929  score 60_x000D_
01 05 20:58:24 670 D WifiStateMachine( 1197):  L2ConnectedState  CMD RSSI POLL rt 23739191 23739191 3 0  HUAWEI PUZ4CE  04:02:1f:50:c4:b8 rssi  70 f 2427 sc 60 link 19 tx 0 3  0 0  0 0  rx 0 5 bcn 0  on:0 tx:0 rx:0 period:0  from screen  on:0 period:22133929  score 60_x000D_
01 05 20:58:24 670 E WifiVendorHal( 1197): getWifiLinkLayerStats(l 937) failed   code   ERROR NOT AVAILABLE   description    _x000D_
01 05 20:58:24 685 D WifiStateMachine( 1197): fetchRssiLinkSpeedAndFrequencyNative rssi  70 linkspeed 19 freq 2427_x000D_
01 05 20:58:24 685 V WifiConfigManager( 1197): Updating scan detail cache freq 2427 BSSID 04:02:1f:50:c4:b8 RSSI  70 for  HUAWEI PUZ4CE WPA PSK_x000D_
01 05 20:58:24 686 I WifiService( 1197): getCurrentNetwork uid 10035_x000D_
01 05 20:58:25 230 D TrafficStat( 2077): getMobileIfaces    3_x000D_
01 05 20:58:25 234 D TrafficStat( 2077): getMobileIfaces    3_x000D_
01 05 20:58:25 300 D ServiceCore( 2077): Speed time count: 23673543_x000D_
01 05 20:58:25 301 D ServiceCore( 2077): onNext_x000D_
01 05 20:58:26 230 D TrafficStat( 2077): getMobileIfaces    3_x000D_
01 05 20:58:26 237 D TrafficStat( 2077): getMobileIfaces    5_x000D_
01 05 20:58:26 302 D ServiceCore( 2077): Speed time count: 23674545_x000D_
01 05 20:58:26 303 D ServiceCore( 2077): onNext_x000D_
01 05 20:58:26 612 E TemperatureHumiditySensor(  921): mCompEngine is NULL_x000D_
01 05 20:58:26 616 E QCOM PowerHAL(  920): Failed to acquire lock _x000D_
01 05 20:58:26 740 I chatty  (  920): uid 1000(system)  vendor bin hw android hardware power 1 1 service qti identical 8 lines_x000D_
01 05 20:58:26 752 E QCOM PowerHAL(  920): Failed to acquire lock _x000D_
01 05 20:58:26 767 D kkk     ( 2112): break_x000D_
01 05 20:58:26 768 I vol Events( 1461): writeEvent dismiss dialog volume controller_x000D_
01 05 20:58:26 768 V StatusBar( 1461): mStatusBarWindow: com android systemui statusbar phone StatusBarWindowView bcb7dae V ED               0 0 1080 61  canPanelBeCollapsed(): false_x000D_
01 05 20:58:26 776 I ActivityManager( 1197): START u0  act android intent action MAIN cat  android intent category DEFAULT  flg 0x10000000 cmp com google android apps nexuslauncher com android quickstep RecentsActivity  from uid 10002_x000D_
01 05 20:58:26 783 E QCOM PowerHAL(  920): Failed to acquire lock _x000D_
01 05 20:58:26 829 W ActivityManager( 1197): Unable to start service Intent   act com google android apps miphone aiai matchmaker api IScreenMatchmaker cmp com google android as com google android apps miphone aiai matchmaker MatchmakerService2   U 0: not found_x000D_
01 05 20:58:26 828 I chatty  (  920): uid 1000(system)  vendor bin hw android hardware power 1 1 service qti identical 4 lines_x000D_
01 05 20:58:26 856 E QCOM PowerHAL(  920): Failed to acquire lock _x000D_
01 05 20:58:26 862 W Adreno EGL( 2071):  qeglDrvAPI eglGetConfigAttrib:607 : EGL BAD ATTRIBUTE_x000D_
01 05 20:58:26 863 D vndksupport( 2071): Loading  vendor lib hw gralloc msm8974 so from current namespace instead of sphal namespace _x000D_
01 05 20:58:26 903 E QCOM PowerHAL(  920): Failed to acquire lock _x000D_
01 05 20:58:26 934 W SurfaceFlinger(  929): Attempting to set client state on removed layer: github tornaco appsettings github tornaco appsettings MainActivity 0_x000D_
01 05 20:58:26 934 W SurfaceFlinger(  929): Attempting to destroy on removed layer: github tornaco appsettings github tornaco appsettings MainActivity 0_x000D_
01 05 20:58:26 938 W SurfaceFlinger(  929): Attempting to set client state on removed layer: github tornaco appsettings github tornaco appsettings MainActivity 0_x000D_
01 05 20:58:26 938 W SurfaceFlinger(  929): Attempting to destroy on removed layer: github tornaco appsettings github tornaco appsettings MainActivity 0_x000D_
01 05 20:58:26 983 W ActivityManager( 1197): Unable to start service Intent   act com google android apps miphone aiai matchmaker api IScreenMatchmaker cmp com google android as com google android apps miphone aiai matchmaker MatchmakerService2   U 0: not found_x000D_
01 05 20:58:27 008 W ActivityManager( 1197): Unable to start service Intent   act com google android apps miphone aiai matchmaker api IScreenMatchmaker cmp com google android as com google android apps miphone aiai matchmaker MatchmakerService2   U 0: not found_x000D_
01 05 20:58:27 045 E NotificationService( 1197): Suppressing notification from package by user request _x000D_
01 05 20:58:27 056 E NotificationService( 1197): Suppressing notification from package by user request _x000D_
01 05 20:58:27 080 I LocationReportEnabler( 2142): android::base::GetProperty: gsm sim operator numeric    310030_x000D_
01 05 20:58:27 096 W ActivityManager( 1197): Unable to start service Intent   act com google android apps miphone aiai matchmaker api IScreenMatchmaker cmp com google android as com google android apps miphone aiai matchmaker MatchmakerService2   U 0: not found_x000D_
01 05 20:58:27 121 W ActivityManager( 1197): Unable to start service Intent   act com google android apps miphone aiai matchmaker api IScreenMatchmaker cmp com google android as com google android apps miphone aiai matchmaker MatchmakerService2   U 0: not found_x000D_
01 05 20:58:27 148 I ndroid systemu( 1461): NativeAlloc concurrent copying GC freed 70860(3MB) AllocSpace objects  0(0B) LOS objects  50  free  9MB 18MB  paused 193us total 187 429ms_x000D_
01 05 20:58:27 153 W JavaBinder( 1461): BinderProxy is being destroyed but the application did not call unlinkToDeath to unlink all of its death recipients beforehand   Releasing leaked death recipient: com android systemui qs external TileLifecycleManager_x000D_
01 05 20:58:27 226 D TrafficStat( 2077): getMobileIfaces    0_x000D_
01 05 20:58:27 227 D TrafficStat( 2077): getMobileIfaces    0_x000D_
01 05 20:58:27 230 D ServiceCore( 2077): Speed time count: 23675473_x000D_
01 05 20:58:27 231 D ServiceCore( 2077): onNext_x000D_
01 05 20:58:27 187 W ActivityManager( 1197): Unable to start service Intent   act com google android apps miphone aiai matchmaker api IScreenMatchmaker cmp com google android as com google android apps miphone aiai matchmaker MatchmakerService2   U 0: not found_x000D_
01 05 20:58:27 238 W ActivityManager( 1197): Unable to start service Intent   act com google android apps miphone aiai matchmaker api IScreenMatchmaker cmp com google android as com google android apps miphone aiai matchmaker MatchmakerService2   U 0: not found_x000D_
01 05 20:58:27 398 I system server( 1197): NativeAlloc concurrent copying GC freed 99675(4MB) AllocSpace objects  24(1396KB) LOS objects  41  free  33MB 57MB  paused 278us total 416 272ms_x000D_
01 05 20:58:27 565 W WindowManager( 1197): removeWindowToken: Attempted to remove non existing token: android os Binder dd0dccd_x000D_
01 05 20:58:27 694 D WifiStateMachine( 1197):  ConnectedState  CMD RSSI POLL rt 23742212 23742212 3 0  HUAWEI PUZ4CE  04:02:1f:50:c4:b8 rssi  70 f 2427 sc 60 link 19 tx 1 2  0 0  0 0  rx 1 2 bcn 0  on:0 tx:0 rx:0 period:3004  from screen  on:0 period:22136953  score 60_x000D_
01 05 20:58:27 699 D WifiStateMachine( 1197):  L2ConnectedState  CMD RSSI POLL rt 23742217 23742217 3 0  HUAWEI PUZ4CE  04:02:1f:50:c4:b8 rssi  70 f 2427 sc 60 link 19 tx 1 2  0 0  0 0  rx 1 2 bcn 0  on:0 tx:0 rx:0 period:5  from screen  on:0 period:22136958  score 60_x000D_
01 05 20:58:27 703 E WifiVendorHal( 1197): getWifiLinkLayerStats(l 937) failed   code   ERROR NOT AVAILABLE   description    _x000D_
01 05 20:58:27 733 D WifiStateMachine( 1197): fetchRssiLinkSpeedAndFrequencyNative rssi  66 linkspeed 19 freq 2427_x000D_
01 05 20:58:27 749 V WifiConfigManager( 1197): Updating scan detail cache freq 2427 BSSID 04:02:1f:50:c4:b8 RSSI  67 for  HUAWEI PUZ4CE WPA PSK_x000D_
01 05 20:58:27 754 I WifiService( 1197): getCurrentNetwork uid 10035_x000D_
01 05 20:58:27 754 I WifiService( 1197): getCurrentNetwork uid 10035_x000D_
01 05 20:58:27 762 I WifiService( 1197): getConnectionInfo uid 10226_x000D_
01 05 20:58:27 764 V WifiService( 1197): getConnectionInfo: hideBssidAndSSid false  hideDefaultMacAddress true_x000D_
01 05 20:58:27 765 I WifiService( 1197): getConnectionInfo uid 10012_x000D_
01 05 20:58:27 774 I WifiService( 1197): getCurrentNetwork uid 10035_x000D_
01 05 20:58:27 991 E QCOM PowerHAL(  920): Failed to acquire lock _x000D_
01 05 20:58:28 044 I ActivityManager( 1197): START u0  act android intent action MAIN cat  android intent category HOME  flg 0x10000000 cmp launcher super p launcher com sp launcher Launcher  from uid 10002_x000D_
01 05 20:58:27 991 E QCOM PowerHAL(  920): Failed to acquire lock _x000D_
01 05 20:58:28 050 W system server( 1197): resources arsc in APK   data app launcher super p launcher atkLRKRM1y9IDbz3caazvQ   base apk  is compressed _x000D_
01 05 20:58:28 069 E QCOM PowerHAL(  920): Failed to acquire lock _x000D_
01 05 20:58:28 105 V Launcher( 2147): Launcher onResume()_x000D_
01 05 20:58:28 120 W Adreno EGL( 2147):  qeglDrvAPI eglGetConfigAttrib:607 : EGL BAD ATTRIBUTE_x000D_
01 05 20:58:28 121 D vndksupport( 2147): Loading  vendor lib hw gralloc msm8974 so from current namespace instead of sphal namespace _x000D_
01 05 20:58:28 162 E QCOM PowerHAL(  920): Failed to acquire lock _x000D_
01 05 20:58:28 226 D TrafficStat( 2077): getMobileIfaces    0_x000D_
01 05 20:58:28 227 D TrafficStat( 2077): getMobileIfaces    0_x000D_
01 05 20:58:28 250 D ServiceCore( 2077): Speed time count: 23676493_x000D_
01 05 20:58:28 252 E NotificationService( 1197): Suppressing notification from package by user request _x000D_
01 05 20:58:28 259 D ServiceCore( 2077):           9_x000D_
01 05 20:58:28 259 D ServiceCore( 2077): onNext_x000D_
01 05 20:58:28 262 E NotificationService( 1197): Suppressing notification from package by user request _x000D_
01 05 20:58:28 680 W OpenGLRenderer( 2147): Incorrectly called buildLayer on View: tz  destroying layer   _x000D_
01 05 20:58:28 701 E QCOM PowerHAL(  920): Failed to acquire lock _x000D_
01 05 20:58:29 028 E NotificationService( 1197): Suppressing notification from package by user request _x000D_
01 05 20:58:29 038 E NotificationService( 1197): Suppressing notification from package by user request _x000D_
01 05 20:58:28 902 I chatty  (  920): uid 1000(system)  vendor bin hw android hardware power 1 1 service qti identical 11 lines_x000D_
01 05 20:58:28 904 E QCOM PowerHAL(  920): Failed to acquire lock _x000D_
01 05 20:58:29 227 D TrafficStat( 2077): getMobileIfaces    1_x000D_
01 05 20:58:29 228 D TrafficStat( 2077): getMobileIfaces    1_x000D_
01 05 20:58:29 241 D ServiceCore( 2077): Speed time count: 23677484_x000D_
01 05 20:58:29 244 D ServiceCore( 2077): onNext_x000D_
01 05 20:58:30 232 D TrafficStat( 2077): getMobileIfaces    5_x000D_
01 05 20:58:30 236 D TrafficStat( 2077): getMobileIfaces    2_x000D_
01 05 20:58:30 292 D ServiceCore( 2077): Speed time count: 23678535_x000D_
01 05 20:58:30 293 D ServiceCore( 2077): onNext_x000D_
01 05 20:58:30 341 E QCOM PowerHAL(  920): Failed to acquire lock _x000D_
01 05 20:58:30 342 E QCOM PowerHAL(  920): Failed to acquire lock _x000D_
01 05 20:58:30 503 W Adreno EGL( 2147):  qeglDrvAPI eglGetConfigAttrib:607 : EGL BAD ATTRIBUTE_x000D_
01 05 20:58:30 503 D vndksupport( 2147): Loading  vendor lib hw gralloc msm8974 so from current namespace instead of sphal namespace _x000D_
01 05 20:58:30 546 E QCOM PowerHAL(  920): Failed to acquire lock _x000D_
01 05 20:58:30 756 D WifiStateMachine( 1197):  ConnectedState  CMD RSSI POLL rt 23745277 23745277 3 0  HUAWEI PUZ4CE  04:02:1f:50:c4:b8 rssi  66 f 2427 sc 60 link 19 tx 0 4  0 0  0 0  rx 0 9 bcn 0  on:0 tx:0 rx:0 period:2984  from screen  on:0 period:22140015  score 60_x000D_
01 05 20:58:30 757 D WifiStateMachine( 1197):  L2ConnectedState  CMD RSSI POLL rt 23745278 23745278 3 0  HUAWEI PUZ4CE  04:02:1f:50:c4:b8 rssi  66 f 2427 sc 60 link 19 tx 0 4  0 0  0 0  rx 0 9 bcn 0  on:0 tx:0 rx:0 period:2  from screen  on:0 period:22140017  score 60_x000D_
01 05 20:58:30 758 E WifiVendorHal( 1197): getWifiLinkLayerStats(l 937) failed   code   ERROR NOT AVAILABLE   description    _x000D_
01 05 20:58:30 778 D WifiStateMachine( 1197): fetchRssiLinkSpeedAndFrequencyNative rssi  66 linkspeed 19 freq 2427_x000D_
01 05 20:58:30 778 V WifiConfigManager( 1197): Updating scan detail cache freq 2427 BSSID 04:02:1f:50:c4:b8 RSSI  66 for  HUAWEI PUZ4CE WPA PSK_x000D_
01 05 20:58:30 781 I WifiService( 1197): getCurrentNetwork uid 10035_x000D_
01 05 20:58:31 132 I BreventServer( 2423): check and brevent_x000D_
01 05 20:58:31 228 D TrafficStat( 2077): getMobileIfaces    2_x000D_
01 05 20:58:31 229 D TrafficStat( 2077): getMobileIfaces    0_x000D_
01 05 20:58:31 242 D ServiceCore( 2077): Speed time count: 23679485_x000D_
01 05 20:58:31 243 D ServiceCore( 2077): onNext_x000D_
01 05 20:58:31 604 E QCOM PowerHAL(  920): Failed to acquire lock _x000D_
01 05 20:58:31 785 I ActivityManager( 1197): START u0  cmp launcher super p launcher com sp launcher HideAppsShowActivity (has extras)  from uid 10226_x000D_
01 05 20:58:31 788 I chatty  (  920): uid 1000(system)  vendor bin hw android hardware power 1 1 service qti identical 9 lines_x000D_
01 05 20:58:31 803 E QCOM PowerHAL(  920): Failed to acquire lock _x000D_
01 05 20:58:31 833 W ActivityThread( 2147): handleWindowVisibility: no activity for token android os BinderProxy d4000c3_x000D_
01 05 20:58:31 933 W Adreno EGL( 2147):  qeglDrvAPI eglGetConfigAttrib:607 : EGL BAD ATTRIBUTE_x000D_
01 05 20:58:31 934 D vndksupport( 2147): Loading  vendor lib hw gralloc msm8974 so from current namespace instead of sphal namespace _x000D_
01 05 20:58:32 011 E QCOM PowerHAL(  920): Failed to acquire lock _x000D_
01 05 20:58:32 018 E QCOM PowerHAL(  920): Failed to acquire lock _x000D_
01 05 20:58:32 032 I ActivityManager( 1197): Displayed launcher super p launcher com sp launcher HideAppsShowActivity:  192ms_x000D_
01 05 20:58:32 035 E QCOM PowerHAL(  920): Failed to acquire lock _x000D_
01 05 20:58:32 062 E NotificationService( 1197): Suppressing notification from package by user request _x000D_
01 05 20:58:32 072 E NotificationService( 1197): Suppressing notification from package by user request _x000D_
01 05 20:58:32 227 D TrafficStat( 2077): getMobileIfaces    1_x000D_
01 05 20:58:32 229 D TrafficStat( 2077): getMobileIfaces    1_x000D_
01 05 20:58:32 243 D ServiceCore( 2077): Speed time count: 23680486_x000D_
01 05 20:58:32 244 D ServiceCore( 2077): onNext_x000D_
01 05 20:58:33 228 E QCOM PowerHAL(  920): Failed to acquire lock _x000D_
01 05 20:58:33 228 E QCOM PowerHAL(  920): Failed to acquire lock _x000D_
01 05 20:58:33 227 D TrafficStat( 2077): getMobileIfaces    1_x000D_
01 05 20:58:33 231 E QCOM PowerHAL(  920): Failed to acquire lock _x000D_
01 05 20:58:33 232 D TrafficStat( 2077): getMobileIfaces    1_x000D_
01 05 20:58:33 247 E QCOM PowerHAL(  920): Failed to acquire lock _x000D_
01 05 20:58:33 253 D ServiceCore( 2077): Speed time count: 23681496_x000D_
01 05 20:58:33 268 E QCOM PowerHAL(  920): Failed to acquire lock _x000D_
01 05 20:58:33 269 D ServiceCore( 2077):           16_x000D_
01 05 20:58:33 269 D ServiceCore( 2077): onNext_x000D_
01 05 20:58:33 279 E QCOM PowerHAL(  920): Failed to acquire lock _x000D_
01 05 20:58:33 373 I chatty  (  920): uid 1000(system)  vendor bin hw android hardware power 1 1 service qti identical 6 lines_x000D_
01 05 20:58:33 374 E QCOM PowerHAL(  920): Failed to acquire lock _x000D_
01 05 20:58:33 495 D ServiceStateProvider( 1627): subId 1_x000D_
01 05 20:58:33 783 D WifiStateMachine( 1197):  ConnectedState  CMD RSSI POLL rt 23748304 23748304 3 0  HUAWEI PUZ4CE  04:02:1f:50:c4:b8 rssi  66 f 2427 sc 60 link 19 tx 0 4  0 0  0 0  rx 0 7 bcn 0  on:0 tx:0 rx:0 period:3002  from screen  on:0 period:22143043  score 60_x000D_
01 05 20:58:33 784 D WifiStateMachine( 1197):  L2ConnectedState  CMD RSSI POLL rt 23748306 23748306 3 0  HUAWEI PUZ4CE  04:02:1f:50:c4:b8 rssi  66 f 2427 sc 60 link 19 tx 0 4  0 0  0 0  rx 0 7 bcn 0  on:0 tx:0 rx:0 period:1  from screen  on:0 period:22143044  score 60_x000D_
01 05 20:58:33 786 E WifiVendorHal( 1197): getWifiLinkLayerStats(l 937) failed   code   ERROR NOT AVAILABLE   description    _x000D_
01 05 20:58:33 800 D WifiStateMachine( 1197): fetchRssiLinkSpeedAndFrequencyNative rssi  69 linkspeed 19 freq 2427_x000D_
01 05 20:58:33 810 I WifiService( 1197): getConnectionInfo uid 10226_x000D_
01 05 20:58:33 811 V WifiService( 1197): getConnectionInfo: hideBssidAndSSid false  hideDefaultMacAddress true_x000D_
01 05 20:58:33 812 I WifiService( 1197): getCurrentNetwork uid 10035_x000D_
01 05 20:58:33 815 I WifiService( 1197): getConnectionInfo uid 10012_x000D_
01 05 20:58:33 819 V WifiConfigManager( 1197): Updating scan detail cache freq 2427 BSSID 04:02:1f:50:c4:b8 RSSI  67 for  HUAWEI PUZ4CE WPA PSK_x000D_
01 05 20:58:33 821 I WifiService( 1197): getCurrentNetwork uid 10035_x000D_
01 05 20:58:33 830 I WifiService( 1197): getCurrentNetwork uid 10035_x000D_
01 05 20:58:33 865 E QCOM PowerHAL(  920): Failed to acquire lock _x000D_
01 05 20:58:34 025 I chatty  (  920): uid 1000(system)  vendor bin hw android hardware power 1 1 service qti identical 12 lines_x000D_
01 05 20:58:34 027 E QCOM PowerHAL(  920): Failed to acquire lock _x000D_
01 05 20:58:34 227 D TrafficStat( 2077): getMobileIfaces    0_x000D_
01 05 20:58:34 229 D TrafficStat( 2077): getMobileIfaces    1_x000D_
01 05 20:58:34 238 D ServiceCore( 2077): Speed time count: 23682480_x000D_
01 05 20:58:34 240 D ServiceCore( 2077): onNext_x000D_
01 05 20:58:34 520 E QCOM PowerHAL(  920): Failed to acquire lock _x000D_
01 05 20:58:34 636 I chatty  (  920): uid 1000(system)  vendor bin hw android hardware power 1 1 service qti identical 9 lines_x000D_
01 05 20:58:34 637 E QCOM PowerHAL(  920): Failed to acquire lock _x000D_
01 05 20:58:35 080 D audio hw primary( 1192): adev open input stream: enter: sample rate(11025) channel mask(0x10) devices(0x80000080)        stream handle(0xaddb3260) io handle(1406) source(5)_x000D_
01 05 20:58:35 081 I AudioFlinger( 1192): AudioFlinger s thread 0xa86835c0 tid 11551 ready to run_x000D_
01 05 20:58:35 081 D audio hw primary( 1192): in standby: enter: stream (0xaddb3260) usecase(9: audio record)_x000D_
01 05 20:58:35 085 D audio hw primary( 1192): in standby: enter: stream (0xaddb3260) usecase(9: audio record)_x000D_
01 05 20:58:35 097 D audio hw primary( 1192): in set parameters: enter: kvpairs a2dp sink address back input source 5 routing  2147483520_x000D_
01 05 20:58:35 103 D audio hw primary( 1192): start input stream: enter: stream(0xaddb3260)usecase(9: audio record)_x000D_
01 05 20:58:35 103 D audio hw primary( 1192): select devices: out snd device(0: ) in snd device(58: rec stereo mic)_x000D_
01 05 20:58:35 103 D hardware info( 1192): hw info append hw type : device name   rec stereo mic_x000D_
01 05 20:58:35 103 I msm8974 platform( 1192): platform send audio calibration: sending audio calibration for snd device(58) acdb id(56)_x000D_
01 05 20:58:35 103 D ACDB LOADER( 1192): ACDB    send audio cal  acdb id   56  path    1_x000D_
01 05 20:58:35 103 D ACDB LOADER( 1192): ACDB    send adm topology_x000D_
01 05 20:58:35 103 D ACDB LOADER( 1192): ACDB    ACDB CMD GET AUDPROC COMMON TOPOLOGY ID_x000D_
01 05 20:58:35 103 D ACDB LOADER( 1192): ACDB    send asm topology_x000D_
01 05 20:58:35 103 D ACDB LOADER( 1192): ACDB    ACDB CMD GET AUDPROC STREAM TOPOLOGY ID_x000D_
01 05 20:58:35 103 D ACDB LOADER( 1192): ACDB    send audtable_x000D_
01 05 20:58:35 103 D ACDB LOADER( 1192): ACDB    ACDB CMD GET AUDPROC COMMON TABLE_x000D_
01 05 20:58:35 103 D ACDB LOADER( 1192): ACDB    AUDIO SET AUDPROC CAL_x000D_
01 05 20:58:35 103 D ACDB LOADER( 1192): ACDB    send audvoltable_x000D_
01 05 20:58:35 103 D ACDB LOADER( 1192): ACDB    ACDB CMD GET AUDPROC GAIN DEP STEP TABLE_x000D_
01 05 20:58:35 103 D         ( 1192): Failed to fetch the lookup information of the device 00000038 _x000D_
01 05 20:58:35 103 E ACDB LOADER( 1192): Error: ACDB AudProc vol returned    19_x000D_
01 05 20:58:35 103 D ACDB LOADER( 1192): ACDB    AUDIO SET AUDPROC VOL CAL_x000D_
01 05 20:58:35 103 D ACDB LOADER( 1192): ACDB    AUDIO SET AFE CAL_x000D_
01 05 20:58:35 103 D audio route( 1192): Apply path: rec stereo mic_x000D_
01 05 20:58:35 116 D audio route( 1192): Apply path: audio record_x000D_
01 05 20:58:35 117 D audio hw primary( 1192): select devices: done_x000D_
01 05 20:58:35 227 D TrafficStat( 2077): getMobileIfaces    1_x000D_
01 05 20:58:35 230 D TrafficStat( 2077): getMobileIfaces    1_x000D_
01 05 20:58:35 249 D ServiceCore( 2077): Speed time count: 23683492_x000D_
01 05 20:58:35 250 D ServiceCore( 2077): onNext_x000D_
01 05 20:58:35 265 E QCOM PowerHAL(  920): Failed to acquire lock _x000D_
01 05 20:58:35 431 I chatty  (  920): uid 1000(system)  vendor bin hw android hardware power 1 1 service qti identical 13 lines_x000D_
01 05 20:58:35 432 E QCOM PowerHAL(  920): Failed to acquire lock _x000D_
01 05 20:58:36 230 D TrafficStat( 2077): getMobileIfaces    2_x000D_
01 05 20:58:36 258 D TrafficStat( 2077): getMobileIfaces    24_x000D_
01 05 20:58:36 259 E QCOM PowerHAL(  920): Failed to acquire lock _x000D_
01 05 20:58:36 298 I chatty  (  920): uid 1000(system)  vendor bin hw android hardware power 1 1 service qti identical 4 lines_x000D_
01 05 20:58:36 321 E QCOM PowerHAL(  920): Failed to acquire lock _x000D_
01 05 20:58:36 322 D ServiceCore( 2077): Speed time count: 23684565_x000D_
01 05 20:58:36 322 D ServiceCore( 2077): onNext_x000D_
01 05 20:58:36 326 E QCOM PowerHAL(  920): Failed to acquire lock _x000D_
01 05 20:58:36 433 I chatty  (  920): uid 1000(system)  vendor bin hw android hardware power 1 1 service qti identical 8 lines_x000D_
01 05 20:58:36 434 E QCOM PowerHAL(  920): Failed to acquire lock _x000D_
01 05 20:58:36 589 E TemperatureHumiditySensor(  921): mCompEngine is NULL_x000D_
01 05 20:58:36 823 D WifiStateMachine( 1197):  ConnectedState  CMD RSSI POLL rt 23751344 23751344 3 0  HUAWEI PUZ4CE  04:02:1f:50:c4:b8 rssi  69 f 2427 sc 60 link 19 tx 0 1  0 0  0 0  rx 0 3 bcn 0  on:0 tx:0 rx:0 period:3000  from screen  on:0 period:22146083  score 60_x000D_
01 05 20:58:36 826 D WifiStateMachine( 1197):  L2ConnectedState  CMD RSSI POLL rt 23751346 23751346 3 0  HUAWEI PUZ4CE  04:02:1f:50:c4:b8 rssi  69 f 2427 sc 60 link 19 tx 0 1  0 0  0 0  rx 0 3 bcn 0  on:0 tx:0 rx:0 period:1  from screen  on:0 period:22146084  score 60_x000D_
01 05 20:58:36 829 E WifiVendorHal( 1197): getWifiLinkLayerStats(l 937) failed   code   ERROR NOT AVAILABLE   description    _x000D_
01 05 20:58:36 849 D WifiStateMachine( 1197): fetchRssiLinkSpeedAndFrequencyNative rssi  72 linkspeed 19 freq 2427_x000D_
01 05 20:58:36 850 V WifiConfigManager( 1197): Updating scan detail cache freq 2427 BSSID 04:02:1f:50:c4:b8 RSSI  69 for  HUAWEI PUZ4CE WPA PSK_x000D_
01 05 20:58:36 853 I WifiService( 1197): getCurrentNetwork uid 10035_x000D_
01 05 20:58:37 234 D TrafficStat( 2077): getMobileIfaces    7_x000D_
01 05 20:58:37 239 D TrafficStat( 2077): getMobileIfaces    2_x000D_
01 05 20:58:37 301 D ServiceCore( 2077): Speed time count: 23685528_x000D_
01 05 20:58:37 303 D ServiceCore( 2077): onNext_x000D_
01 05 20:58:37 782 E QCOM PowerHAL(  920): Failed to acquire lock _x000D_
01 05 20:58:37 855 I ActivityManager( 1197): START u0  act android intent action MAIN cat  android intent category LAUNCHER  flg 0x10200000 cmp top trumeet mipush top trumeet mipushframework wizard WelcomeActivity  from uid 10226_x000D_
01 05 20:58:37 955 W ActivityManager( 1197): Slow operation: 64ms so far  now at startProcess: returned from zygote _x000D_
01 05 20:58:37 955 W ActivityManager( 1197): Slow operation: 64ms so far  now at startProcess: done updating battery stats_x000D_
01 05 20:58:37 955 W ActivityManager( 1197): Slow operation: 64ms so far  now at startProcess: building log message_x000D_
01 05 20:58:37 956 I ActivityManager( 1197): Start proc 11602:top trumeet mipush u0a228 for activity top trumeet mipush top trumeet mipushframework wizard WelcomeActivity_x000D_
01 05 20:58:37 956 W ActivityManager( 1197): Slow operation: 64ms so far  now at startProcess: starting to update pids map_x000D_
01 05 20:58:37 956 W ActivityManager( 1197): Slow operation: 64ms so far  now at startProcess: done updating pids map_x000D_
01 05 20:58:37 839 I chatty  (  920): uid 1000(system)  vendor bin hw android hardware power 1 1 service qti identical 6 lines_x000D_
01 05 20:58:37 875 E QCOM PowerHAL(  920): Failed to acquire lock _x000D_
01 05 20:58:38 006 W main    (11602): type 1400 audit(0 0:29042): avc: denied   read   for name  u:object r:alarm boot prop:s0  dev  tmpfs  ino 8237 scontext u:r:untrusted app 27:s0:c512 c768 tcontext u:object r:alarm boot prop:s0 tclass file permissive 0_x000D_
01 05 20:58:38 006 W main    (11602): type 1300 audit(0 0:29042): arch 40000028 syscall 334 per 800008 success no exit  13 a0 ffffff9c a1 be980c84 a2 4 a3 0 items 1 ppid 907 pp</t>
  </si>
  <si>
    <t>immadisairaj-Quiz-48</t>
  </si>
  <si>
    <t xml:space="preserve">When the difficulty is set to hard and category to politics  arts  celebrities      the app crashes  When checked the API the response code is 1  So this means there are not enough questions  So the questions have to be reduced based on that _x000D_
Can get the number of questions present through the URL_x000D_
 https:  opentdb com api count php category CATEGORY ID HERE </t>
  </si>
  <si>
    <t>simonpoole-OpeningHoursFragment-31</t>
  </si>
  <si>
    <t>Crash in template selector</t>
  </si>
  <si>
    <t xml:space="preserve">Rotating the device while in the template selector will crash vespucci (not the test app) with _x000D_
_x000D_
  java lang IllegalStateException: Fragment OpeningHoursFragment 2120f77  not attached to a context _x000D_
  at android support v4 app Fragment requireContext(Fragment java:614)_x000D_
  at android support v4 app Fragment getResources(Fragment java:678)_x000D_
  at ch poole openinghoursfragment OpeningHoursFragment valueToEntry(OpeningHoursFragment java:3315)_x000D_
_x000D_
in the call to getResources()  </t>
  </si>
  <si>
    <t>ramack-ActivityDiary-255</t>
  </si>
  <si>
    <t>undeleted activities not shown</t>
  </si>
  <si>
    <t>after a deleted activity was undeleted in the activity manager  it is not shown in the recycler to select  Only after restart of the app the list is refreshed _x000D_
_x000D_
As the now again valid (  not deleted) activity is not in the list of activities in ActivityHelper  the app will crash with_x000D_
   java lang NullPointerException: Attempt to invoke virtual method  java lang String de rampro activitydiary model DiaryActivity getName()  on a null object reference_x000D_
	at de rampro activitydiary ui generic EditActivity QHandler 3 onClick(EditActivity java:202)_x000D_
	at android view View performClick(View java:6597)_x000D_
	at android view View performClickInternal(View java:6574)_x000D_
	at android view View access 3100(View java:778)_x000D_
	at android view View PerformClick run(View java:25885)_x000D_
	at android os Handler handleCallback(Handler java:873)_x000D_
	at android os Handler dispatchMessage(Handler java:99)_x000D_
	at androidx test espresso base Interrogator a(Interrogator java:19)_x000D_
	at androidx test espresso base UiControllerImpl a(UiControllerImpl java:164)_x000D_
	at androidx test espresso base UiControllerImpl a(UiControllerImpl java:156)_x000D_
	at androidx test espresso base UiControllerImpl a(UiControllerImpl java:34)_x000D_
	at androidx test espresso action MotionEvents a(MotionEvents java:75)_x000D_
	at androidx test espresso action MotionEvents a(MotionEvents java:50)_x000D_
	at androidx test espresso action Tap c(Tap java:8)_x000D_
	at androidx test espresso action Tap a(Tap java:18)_x000D_
	at androidx test espresso action Tap 1 b(Tap java:3)_x000D_
	at androidx test espresso action GeneralClickAction perform(GeneralClickAction java:22)_x000D_
	at androidx test espresso ViewInteraction SingleExecutionViewAction perform(ViewInteraction java:9)_x000D_
	at androidx test espresso ViewInteraction a(ViewInteraction java:79)_x000D_
	at androidx test espresso ViewInteraction a(ViewInteraction java:96)_x000D_
	at androidx test espresso ViewInteraction 1 call(ViewInteraction java:3)_x000D_
	at java util concurrent FutureTask run(FutureTask java:266)_x000D_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_x000D_
after you start to created a new activity with the same name as the hidden one and click on the  edit existing actitivity with same name  _x000D_
_x000D_
Best would be to replace the explicit list of activities in the ActivityHelper by a cursor from the ContenProvider and a notification on change of the deleted status (during rework of  210  )  Without the list  it cannot be outdated : )</t>
  </si>
  <si>
    <t>evernote-android-job-561</t>
  </si>
  <si>
    <t>Application crash when moved to 1.3.0-9</t>
  </si>
  <si>
    <t xml:space="preserve">Following the wiki when I try to include 1 3 0 a9 of this library  I ve added the WorkManager dependency as _x000D_
_x000D_
     implementation  android arch work:work runtime:1 0 0 beta01   _x000D_
_x000D_
But I get some crashes with these following logs _x000D_
   _x000D_
    java lang NoSuchFieldError: No static field SUCCESS of type Landroidx work ListenableWorker Result  in class Landroidx work ListenableWorker Result  or its superclasses (declaration of  androidx work ListenableWorker Result  appears in  data app ggg ffff sass 1 base apk)_x000D_
        at com evernote android job work PlatformWorker doWork(PlatformWorker java:56)_x000D_
        at androidx work Worker 1 run(Worker java:84)_x000D_
        at java util concurrent ThreadPoolExecutor runWorker(ThreadPoolExecutor java:1113)_x000D_
        at java util concurrent ThreadPoolExecutor Worker run(ThreadPoolExecutor java:588)_x000D_
        at java lang Thread run(Thread java:818)_x000D_
   _x000D_
_x000D_
When I looked upon  PlatformWorker    found that the  doWork()  method inside it tries returning a variable  Result SUCCESS  from WorkManager s  ListenableRuntime  class   but the IDE can t find the definition _x000D_
_x000D_
Any suggestions   A screenshot is attached_x000D_
_x000D_
  untitled (https:  user images githubusercontent com 20724199 50606349 708e7b00 0eeb 11e9 8b3b ce178007549f png)_x000D_
</t>
  </si>
  <si>
    <t>square-okhttp-4510</t>
  </si>
  <si>
    <t>FATAL EXCEPTION when using okhttpclient with conscrypt</t>
  </si>
  <si>
    <t xml:space="preserve">I want tls 1 3 so I use conscrypt  according to TestTls13Request java I use : _x000D_
 Security insertProviderAt(Conscrypt newProviderBuilder() provideTrustManager() build()  1) _x000D_
but it crashed  here is log _x000D_
   _x000D_
AndroidRuntime: java lang NoClassDefFoundError: org conscrypt TrustManagerImpl_x000D_
AndroidRuntime: 	at org conscrypt TrustManagerFactoryImpl engineGetTrustManagers(TrustManagerFactoryImpl java:87)_x000D_
AndroidRuntime: 	at javax net ssl TrustManagerFactory getTrustManagers(TrustManagerFactory java:219)_x000D_
AndroidRuntime: 	at okhttp3 internal Util platformTrustManager(Util java:667)_x000D_
AndroidRuntime: 	at okhttp3 OkHttpClient  init (OkHttpClient java:257)_x000D_
AndroidRuntime: 	at okhttp3 OkHttpClient Builder build(OkHttpClient java:1040)_x000D_
   _x000D_
There is no excepiton if I use this instead: _x000D_
 Security insertProviderAt(new org conscrypt OpenSSLProvider()  1)  _x000D_
but okhttpclient use tls 1 2 to handshake not 1 3_x000D_
_x000D_
_x000D_
  </t>
  </si>
  <si>
    <t>jMonkeyEngine-jmonkeyengine-997</t>
  </si>
  <si>
    <t>cloning an UpdateControl throws IllegalArgumentException</t>
  </si>
  <si>
    <t xml:space="preserve">Currently (in  master  branch at 3 3 6689) the  jme3test terrain TerrainGridSerializationTest  app crashes with the following stack trace:_x000D_
   _x000D_
Dec 31  2018 10:35:55 AM com jme3 material plugins J3MLoader readTechnique_x000D_
WARNING: Fixed function technique was ignored_x000D_
Dec 31  2018 10:35:55 AM com jme3 material plugins J3MLoader readTechnique_x000D_
WARNING: Fixed function technique  Default  was ignored for material Common MatDefs Terrain HeightBasedTerrain j3md_x000D_
Dec 31  2018 10:35:55 AM com jme3 app LegacyApplication handleError_x000D_
SEVERE: Uncaught exception thrown in Thread jME3 Main 5 main _x000D_
java lang IllegalArgumentException_x000D_
	at java util concurrent ConcurrentLinkedQueue addAll(ConcurrentLinkedQueue java:526)_x000D_
	at com jme3 scene control UpdateControl jmeClone(UpdateControl java:95)_x000D_
	at com jme3 util clone Cloner clone(Cloner java:249)_x000D_
	at com jme3 util clone Cloner clone(Cloner java:160)_x000D_
	at com jme3 util clone ListCloneFunction cloneFields(ListCloneFunction java:66)_x000D_
	at com jme3 util clone ListCloneFunction cloneFields(ListCloneFunction java:43)_x000D_
	at com jme3 util clone Cloner clone(Cloner java:228)_x000D_
	at com jme3 util clone Cloner clone(Cloner java:160)_x000D_
	at com jme3 scene Spatial cloneFields(Spatial java:1446)_x000D_
	at com jme3 scene Node cloneFields(Node java:725)_x000D_
	at com jme3 terrain geomipmap TerrainQuad cloneFields(TerrainQuad java:1801)_x000D_
	at com jme3 util clone Cloner clone(Cloner java:255)_x000D_
	at com jme3 util clone Cloner clone(Cloner java:160)_x000D_
	at com jme3 scene Spatial clone(Spatial java:1359)_x000D_
	at com jme3 scene Node clone(Node java:684)_x000D_
	at com jme3 terrain geomipmap TerrainQuad clone(TerrainQuad java:1768)_x000D_
	at com jme3 terrain geomipmap TerrainQuad clone(TerrainQuad java:1763)_x000D_
	at com jme3 terrain geomipmap TerrainQuad clone(TerrainQuad java:109)_x000D_
	at com jme3 asset CloneableAssetProcessor createClone(CloneableAssetProcessor java:48)_x000D_
	at com jme3 asset DesktopAssetManager registerAndCloneSmartAsset(DesktopAssetManager java:317)_x000D_
	at com jme3 asset DesktopAssetManager loadAsset(DesktopAssetManager java:379)_x000D_
	at com jme3 asset DesktopAssetManager loadModel(DesktopAssetManager java:416)_x000D_
	at com jme3 asset DesktopAssetManager loadModel(DesktopAssetManager java:420)_x000D_
	at jme3test terrain TerrainGridSerializationTest simpleInitApp(TerrainGridSerializationTest java:50)_x000D_
	at com jme3 app SimpleApplication initialize(SimpleApplication java:220)_x000D_
	at com jme3 system lwjgl LwjglAbstractDisplay initInThread(LwjglAbstractDisplay java:130)_x000D_
	at com jme3 system lwjgl LwjglAbstractDisplay run(LwjglAbstractDisplay java:211)_x000D_
	at java lang Thread run(Thread java:748)_x000D_
   </t>
  </si>
  <si>
    <t>jMonkeyEngine-jmonkeyengine-992</t>
  </si>
  <si>
    <t>HelloCollision throws an AssetLoadException</t>
  </si>
  <si>
    <t xml:space="preserve">Currently (in master branch at 3 3 6684) TestAssetLinkNode crashes with the following stack trace:_x000D_
   _x000D_
Dec 30  2018 11:08:09 PM com jme3 app LegacyApplication handleError_x000D_
SEVERE: Uncaught exception thrown in Thread jME3 Main 5 main _x000D_
com jme3 asset AssetLoadException: Failed to open zip file: town zip_x000D_
	at com jme3 asset plugins ZipLocator setRootPath(ZipLocator java:79)_x000D_
	at com jme3 asset ImplHandler ImplThreadLocal initialValue(ImplHandler java:120)_x000D_
	at java lang ThreadLocal setInitialValue(ThreadLocal java:180)_x000D_
	at java lang ThreadLocal get(ThreadLocal java:170)_x000D_
	at com jme3 asset ImplHandler tryLocate(ImplHandler java:178)_x000D_
	at com jme3 asset DesktopAssetManager loadAsset(DesktopAssetManager java:359)_x000D_
	at com jme3 asset DesktopAssetManager loadModel(DesktopAssetManager java:416)_x000D_
	at com jme3 asset DesktopAssetManager loadModel(DesktopAssetManager java:420)_x000D_
	at jme3test helloworld HelloCollision simpleInitApp(HelloCollision java:92)_x000D_
	at com jme3 app SimpleApplication initialize(SimpleApplication java:220)_x000D_
	at com jme3 system lwjgl LwjglAbstractDisplay initInThread(LwjglAbstractDisplay java:130)_x000D_
	at com jme3 system lwjgl LwjglAbstractDisplay run(LwjglAbstractDisplay java:211)_x000D_
	at java lang Thread run(Thread java:748)_x000D_
Caused by: java io FileNotFoundException: town zip (The system cannot find the file specified)_x000D_
	at java util zip ZipFile open(Native Method)_x000D_
	at java util zip ZipFile  init (ZipFile java:225)_x000D_
	at java util zip ZipFile  init (ZipFile java:155)_x000D_
	at com jme3 asset plugins ZipLocator setRootPath(ZipLocator java:77)_x000D_
	    12 more_x000D_
   </t>
  </si>
  <si>
    <t>Neamar-KISS-1124</t>
  </si>
  <si>
    <t>3.7.0 crashes immediately</t>
  </si>
  <si>
    <t xml:space="preserve">the latest beta crashes immediately  _x000D_
_x000D_
   Submitting a bug _x000D_
Make sure you include the following:_x000D_
_x000D_
  v3 7 0_x000D_
  LineageOS 15 1_x000D_
  klte_x000D_
    _x000D_
  crashes immediately_x000D_
</t>
  </si>
  <si>
    <t>jMonkeyEngine-jmonkeyengine-988</t>
  </si>
  <si>
    <t>assertion failure in jme3test.games.CubeField</t>
  </si>
  <si>
    <t xml:space="preserve">Currently (in  master  branch at 3 3 6680) the  CubeField  app crashes with an  AssertionError  the 1st time ENTER is pressed  Here is a typical stack trace:_x000D_
   _x000D_
START_x000D_
Dec 30  2018 10:27:33 AM com jme3 app LegacyApplication handleError_x000D_
SEVERE: Uncaught exception thrown in Thread jME3 Main 5 main _x000D_
java lang AssertionError_x000D_
	at com jme3 scene Spatial updateMatParamOverrides(Spatial java:596)_x000D_
	at com jme3 scene Spatial updateGeometricState(Spatial java:911)_x000D_
	at jme3test games CubeField gameLogic(CubeField java:284)_x000D_
	at jme3test games CubeField simpleUpdate(CubeField java:145)_x000D_
	at com jme3 app SimpleApplication update(SimpleApplication java:239)_x000D_
	at com jme3 system lwjgl LwjglAbstractDisplay runLoop(LwjglAbstractDisplay java:151)_x000D_
	at com jme3 system lwjgl LwjglDisplay runLoop(LwjglDisplay java:197)_x000D_
	at com jme3 system lwjgl LwjglAbstractDisplay run(LwjglAbstractDisplay java:232)_x000D_
	at java lang Thread run(Thread java:748)_x000D_
   </t>
  </si>
  <si>
    <t>doublesymmetry-react-native-track-player-377</t>
  </si>
  <si>
    <t>[Android] Crashing after playback starts</t>
  </si>
  <si>
    <t xml:space="preserve">My users are facing a crash which I cannot replicate myself   here is the crash log_x000D_
_x000D_
   _x000D_
java lang SecurityException: _x000D_
  at android os Parcel createException (Parcel java:1950)_x000D_
  at android os Parcel readException (Parcel java:1918)_x000D_
  at android os Parcel readException (Parcel java:1868)_x000D_
  at android app IActivityManager Stub Proxy setServiceForeground (IActivityManager java:5198)_x000D_
  at android app Service startForeground (Service java:695)_x000D_
  at com guichaguri trackplayer service metadata MetadataManager updateNotification (MetadataManager java:298)_x000D_
  at com guichaguri trackplayer service metadata MetadataManager setActive (MetadataManager java:286)_x000D_
  at com guichaguri trackplayer service MusicManager onPlay (MusicManager java:149)_x000D_
  at com guichaguri trackplayer service player ExoPlayback onPlayerStateChanged (ExoPlayback java:263)_x000D_
  at com google android exoplayer2 ExoPlayerImpl PlaybackInfoUpdate notifyListeners (ExoPlayerImpl java:794)_x000D_
  at com google android exoplayer2 ExoPlayerImpl updatePlaybackInfo (ExoPlayerImpl java:708)_x000D_
  at com google android exoplayer2 ExoPlayerImpl setPlayWhenReady (ExoPlayerImpl java:240)_x000D_
  at com google android exoplayer2 SimpleExoPlayer updatePlayWhenReady (SimpleExoPlayer java:1183)_x000D_
  at com google android exoplayer2 SimpleExoPlayer setPlayWhenReady (SimpleExoPlayer java:891)_x000D_
  at com guichaguri trackplayer service player ExoPlayback play (ExoPlayback java:118)_x000D_
  at com guichaguri trackplayer module MusicModule lambda play 9 (MusicModule java:278)_x000D_
  at com guichaguri trackplayer module    Lambda MusicModule D1eTyp9ZHxuIrhqVlEnqzXQTfwY run (Unknown Source:4)_x000D_
  at android os Handler handleCallback (Handler java:873)_x000D_
  at android os Handler dispatchMessage (Handler java:99)_x000D_
  at android os Looper loop (Looper java:193)_x000D_
  at android app ActivityThread main (ActivityThread java:6680)_x000D_
  at java lang reflect Method invoke (Native Method)_x000D_
  at com android internal os RuntimeInit MethodAndArgsCaller run (RuntimeInit java:493)_x000D_
  at com android internal os ZygoteInit main (ZygoteInit java:858)_x000D_
Caused by: android os RemoteException: _x000D_
  at com android server am ActivityManagerService enforcePermission (ActivityManagerService java:9203)_x000D_
  at com android server am ActiveServices setServiceForegroundInnerLocked (ActiveServices java:1189)_x000D_
  at com android server am ActiveServices setServiceForegroundLocked (ActiveServices java:870)_x000D_
  at com android server am ActivityManagerService setServiceForeground (ActivityManagerService java:20472)_x000D_
  at android app IActivityManager Stub onTransact (IActivityManager java:976)_x000D_
   _x000D_
_x000D_
_x000D_
   Also  the line numbers for ExoPlayback java will not match up with your latest dev  as I ve forked w  my own code to get audio levels  This is so I could display a live average volume level in my app  This is completely unrelated  but below s some of my code if you re interested in adding this as a feature in your package  (Android only at the moment)   _x000D_
   _x000D_
    public String getLevels()  _x000D_
        if ( initializedLevels)  _x000D_
            if (player getAudioComponent() getAudioSessionId()    0)  _x000D_
                return null _x000D_
             _x000D_
_x000D_
            this visualizer   new Visualizer(player getAudioComponent() getAudioSessionId()) _x000D_
            this visualizer setEnabled(true) _x000D_
            this captureSize   visualizer getCaptureSize() _x000D_
            initializedLevels   true _x000D_
         _x000D_
_x000D_
        byte   fft   new byte captureSize  _x000D_
        this visualizer getFft(fft) _x000D_
        String byteData      _x000D_
        for(byte b: fft) _x000D_
            byteData   byteData   (int) b       _x000D_
         _x000D_
_x000D_
        return byteData _x000D_
     _x000D_
   </t>
  </si>
  <si>
    <t>jMonkeyEngine-jmonkeyengine-983</t>
  </si>
  <si>
    <t>jme3test.audio.TestMusicStreaming crashes due to missing asset</t>
  </si>
  <si>
    <t xml:space="preserve">The OGG file required to run  TestMusicStreaming  has moved  The URL needs to be updated _x000D_
_x000D_
Currently (in  master  branch at 3 3 6680)  TestMusicStreaming  crashes with the following stack trace:_x000D_
   _x000D_
Ogg packet header is 0x3c21444f (  DO)  should be 0x4f676753 (OggS)_x000D_
Dec 29  2018 9:45:36 AM com jme3 app LegacyApplication handleError_x000D_
SEVERE: Uncaught exception thrown in Thread jME3 Main 5 main _x000D_
com jme3 asset AssetLoadException: An exception has occured while loading asset: Lumme Badloop ogg (Stream Cache)_x000D_
	at com jme3 asset DesktopAssetManager loadLocatedAsset(DesktopAssetManager java:261)_x000D_
	at com jme3 asset DesktopAssetManager loadAsset(DesktopAssetManager java:373)_x000D_
	at com jme3 audio AudioNode  init (AudioNode java:163)_x000D_
	at com jme3 audio AudioNode  init (AudioNode java:144)_x000D_
	at jme3test audio TestMusicStreaming simpleInitApp(TestMusicStreaming java:50)_x000D_
	at com jme3 app SimpleApplication initialize(SimpleApplication java:220)_x000D_
	at com jme3 system lwjgl LwjglAbstractDisplay initInThread(LwjglAbstractDisplay java:130)_x000D_
	at com jme3 system lwjgl LwjglAbstractDisplay run(LwjglAbstractDisplay java:211)_x000D_
	at java lang Thread run(Thread java:748)_x000D_
Caused by: de jarnbjo ogg EndOfOggStreamException_x000D_
	at de jarnbjo ogg OggPage readFully(OggPage java:302)_x000D_
	at de jarnbjo ogg OggPage create(OggPage java:283)_x000D_
	at de jarnbjo ogg OggPage create(OggPage java:156)_x000D_
	at de jarnbjo ogg OggPage create(OggPage java:134)_x000D_
	at com jme3 audio plugins CachedOggStream readOggNextPage(CachedOggStream java:127)_x000D_
	at com jme3 audio plugins CachedOggStream  init (CachedOggStream java:73)_x000D_
	at com jme3 audio plugins OGGLoader load(OGGLoader java:264)_x000D_
	at com jme3 audio plugins OGGLoader load(OGGLoader java:309)_x000D_
	at com jme3 asset DesktopAssetManager loadLocatedAsset(DesktopAssetManager java:259)_x000D_
	    8 more_x000D_
_x000D_
_x000D_
   </t>
  </si>
  <si>
    <t>commons-app-apps-android-commons-2246</t>
  </si>
  <si>
    <t>Nearby crashing on loading</t>
  </si>
  <si>
    <t xml:space="preserve">  Summary:   _x000D_
_x000D_
Nearby is crashing when loading_x000D_
_x000D_
_x000D_
  Steps to reproduce:   _x000D_
_x000D_
Go to home and click on near by_x000D_
_x000D_
  System logs:  _x000D_
_x000D_
   _x000D_
Process: fr free nrw commons beta  PID: 6976_x000D_
    java lang NullPointerException: Attempt to read from field  boolean fr free nrw commons nearby NearbyMapFragment checkingAround  on a null object reference_x000D_
        at fr free nrw commons nearby NearbyFragment updateMapFragment(NearbyFragment java:447)_x000D_
        at fr free nrw commons nearby NearbyFragment refreshView(NearbyFragment java:321)_x000D_
        at fr free nrw commons nearby NearbyFragment onLocationChangedSlightly(NearbyFragment java:228)_x000D_
        at fr free nrw commons location LocationServiceManager onLocationChanged(LocationServiceManager java:277)_x000D_
        at android location LocationManager ListenerTransport  handleMessage(LocationManager java:292)_x000D_
        at android location LocationManager ListenerTransport  wrap0(Unknown Source:0)_x000D_
        at android location LocationManager ListenerTransport 1 handleMessage(LocationManager java:237)_x000D_
        at android os Handler dispatchMessage(Handler java:106)_x000D_
        at android os Looper loop(Looper java:164)_x000D_
        at android app ActivityThread main(ActivityThread java:6518)_x000D_
        at java lang reflect Method invoke(Native Method)_x000D_
        at com android internal os RuntimeInit MethodAndArgsCaller run(RuntimeInit java:438)_x000D_
        at com android internal os ZygoteInit main(ZygoteInit java:807)_x000D_
_x000D_
   _x000D_
_x000D_
  Device and Android version:   _x000D_
_x000D_
Asus max pro m1 and Android version 27_x000D_
 _x000D_
  Commons app version:   _x000D_
_x000D_
master and Betadebug_x000D_
_x000D_
  Would you like to work on the issue   _x000D_
_x000D_
Yes</t>
  </si>
  <si>
    <t>radarlabs-react-native-radar-56</t>
  </si>
  <si>
    <t>Can't use with React Native Push Notifications</t>
  </si>
  <si>
    <t xml:space="preserve">  Describe the bug  _x000D_
I m not able to use React Native Push Notifications or React Native Firebase with Radar  As soon as I install Radar apps keeps on crashing  SOme conflict in between these apps maybe  _x000D_
_x000D_
  To Reproduce  _x000D_
Steps to reproduce the behavior:_x000D_
1  Install React Native Push Notifications_x000D_
2  Then Install Radar_x000D_
3  After compiling the app starts stopping on react native run android_x000D_
_x000D_
  Expected behavior  _x000D_
Both apps should work together without crashing the app  Both are working separately but not together _x000D_
_x000D_
  Metadata (please complete the following information):  _x000D_
   React Native Radar Version: 2 1 2_x000D_
   Platform: Android_x000D_
   Device :  All_x000D_
   Device OS Version Android 8 1Pie_x000D_
</t>
  </si>
  <si>
    <t>Tencent-tinker-1000</t>
  </si>
  <si>
    <t>TinkerUncaughtHandler类中ueh.uncaughtException(thread, ex);这段代码是不是bug</t>
  </si>
  <si>
    <t xml:space="preserve">_x000D_
    public void uncaughtException(Thread thread  Throwable ex)  _x000D_
        Log e(TAG   TinkerUncaughtHandler catch exception:    Log getStackTraceString(ex)) _x000D_
        ueh uncaughtException(thread  ex)                      Bug     _x000D_
_x000D_
        if (crashFile    null)  _x000D_
            Thread UncaughtExceptionHandler handler   Thread getDefaultUncaughtExceptionHandler() _x000D_
_x000D_
              only catch real uncaught Exception_x000D_
            if (handler instanceof TinkerUncaughtHandler)  _x000D_
                File parentFile   crashFile getParentFile() _x000D_
                if ( parentFile exists()     parentFile mkdirs())  _x000D_
                    Log e(TAG   print crash file error: create directory fail  ) _x000D_
                    return _x000D_
                 _x000D_
                PrintWriter pw   null _x000D_
                try  _x000D_
                    pw   new PrintWriter(new FileWriter(crashFile  false)) _x000D_
                    pw println( process:    ShareTinkerInternals getProcessName(this context)) _x000D_
                    pw println(ShareTinkerInternals getExceptionCauseString(ex)) _x000D_
                  catch (IOException e)  _x000D_
                      ignore_x000D_
                    Log e(TAG   print crash file error:    Log getStackTraceString(e)) _x000D_
                  finally  _x000D_
                    SharePatchFileUtil closeQuietly(pw) _x000D_
                 _x000D_
                android os Process killProcess(android os Process myPid()) _x000D_
             _x000D_
         _x000D_
     </t>
  </si>
  <si>
    <t>mauron85-react-native-background-geolocation-340</t>
  </si>
  <si>
    <t>error: cannot find symbol   Assert.assertNotNull("Context can not be null!", mContext</t>
  </si>
  <si>
    <t xml:space="preserve">     PLEASE DON T DELETE THIS TEMPLATE  OR YOUR ISSUE WILL BE CLOSED IGNORED        _x000D_
      Provide a general summary of the issue in the Title above    _x000D_
_x000D_
   Your Environment_x000D_
      Include as many relevant details about the environment you experienced the bug in    _x000D_
      Please specify exact version numbers and don t use terms like  latest   as such reference to numeric version changes over the time    _x000D_
  Plugin version: 0 5 Alpha latest_x000D_
  Platform:  Android _x000D_
  OS version: Mac high sierra_x000D_
  Device manufacturer and model:_x000D_
      If Simulator was used instead of real device  type Yes in following section    _x000D_
  Running in Simulator: No_x000D_
  React Native version: 0 57 7_x000D_
  Plugin configuration options: _x000D_
  Link to your project:_x000D_
_x000D_
   Context_x000D_
      Provide a more detailed introduction to the issue itself  and why you consider it to be a bug    _x000D_
_x000D_
   Expected Behavior_x000D_
      Tell us what should happen    _x000D_
App should build succesfullt_x000D_
   Actual Behavior_x000D_
      Tell us what happens instead    _x000D_
Not building_x000D_
   Possible Fix_x000D_
      Not obligatory  but suggest a fix or reason for the bug    _x000D_
Should use new Convention _x000D_
   Steps to Reproduce_x000D_
      Provide a link to a live example  or an unambiguous set of steps to    _x000D_
      reproduce this bug include code to reproduce  if relevant    _x000D_
1 _x000D_
2 _x000D_
3 _x000D_
4 _x000D_
_x000D_
   Context_x000D_
      How has this bug affected you  What were you trying to accomplish     _x000D_
App not builds successfully_x000D_
_x000D_
   Debug logs_x000D_
     Relevant parts from printAndroidLogs or printIosLogs _x000D_
More info in README md section Debugging _x000D_
If you re reporting app crash also provide output of  adb logcat     _x000D_
  Task :react native mauron85 background geolocation common:compileDebugJavaWithJavac FAILED_x000D_
 Users user Documents apps xxx node modules react native mauron85 background geolocation android common src main java com marianhello bgloc service LocationServiceIntentBuilder java:26: error: package junit framework does not exist_x000D_
import junit framework Assert _x000D_
                       _x000D_
 Users user Documents apps xxxx node modules react native mauron85 background geolocation android common src main java com marianhello bgloc service LocationServiceIntentBuilder java:162: error: cannot find symbol_x000D_
        Assert assertNotNull( Context can not be null    mContext) _x000D_
         _x000D_
  symbol:   variable Assert_x000D_
  location: class LocationServiceIntentBuilder_x000D_
Note: Some input files use or override a deprecated API _x000D_
Note: Recompile with  Xlint:deprecation for details _x000D_
Note: Some input files use unchecked or unsafe operations _x000D_
Note: Recompile with  Xlint:unchecked for details </t>
  </si>
  <si>
    <t>radarlabs-react-native-radar-54</t>
  </si>
  <si>
    <t>Xcode Log Reporting "UI API called on a background thread"</t>
  </si>
  <si>
    <t xml:space="preserve">  Describe the bug  _x000D_
I have been debugging a strange issue in which our app crashes  I don t believe the crash is related to Radar  but while pouring over the debug logs  I found an error being reported saying that a UI API was called in Radar s background thread _x000D_
_x000D_
  To Reproduce  _x000D_
Steps to reproduce the behavior (as far as I can tell):_x000D_
1  Open the Xcode log while running an instance of an app with React Native Radar_x000D_
2  It should show up right near the other logs that happen during initialization _x000D_
_x000D_
  Expected behavior  _x000D_
No error message _x000D_
_x000D_
  Screenshots  _x000D_
Here is the error log:_x000D_
   _x000D_
2018 12 23 20:01:40 523586 0500 zonder 60193:2894435   reports  Main Thread Checker: UI API called on a background thread:   UIApplication backgroundTimeRemaining _x000D_
PID: 60193  TID: 2894435  Thread name: (none)  Queue name: com facebook react RNRadarQueue  QoS: 0_x000D_
Backtrace:_x000D_
4   zonder                              0x000000010f2bdddc   RadarLocationManager requestLocationWithDelay    243_x000D_
5   zonder                              0x000000010f2c6710   Radar startTrackingWithOptions:    283_x000D_
6   zonder                              0x000000010f2d02f3   RNRadar startTracking:    131_x000D_
7   CoreFoundation                      0x000000011744e03c   invoking      140_x000D_
8   CoreFoundation                      0x000000011744b4d5   NSInvocation invoke    325_x000D_
9   CoreFoundation                      0x000000011744b926   NSInvocation invokeWithTarget:    54_x000D_
10  zonder                              0x000000010e9f951a   RCTModuleMethod invokeWithBridge:module:arguments:    2810_x000D_
11  zonder                              0x000000010eab5346  ZN8facebook5reactL11invokeInnerEP9RCTBridgeP13RCTModuleDatajRKN5folly7dynamicE   790_x000D_
12  zonder                              0x000000010eab4e5f  ZZN8facebook5react15RCTNativeModule6invokeEjON5folly7dynamicEiENK3  0clEv   127_x000D_
13  zonder                              0x000000010eab4dd9    ZN8facebook5react15RCTNativeModule6invokeEjON5folly7dynamicEi block invoke   25_x000D_
14  libdispatch dylib                   0x0000000118363595  dispatch call block and release   12_x000D_
15  libdispatch dylib                   0x0000000118364602  dispatch client callout   8_x000D_
16  libdispatch dylib                   0x000000011836bb0b  dispatch lane serial drain   791_x000D_
17  libdispatch dylib                   0x000000011836c784  dispatch lane invoke   428_x000D_
18  libdispatch dylib                   0x000000011837689a  dispatch workloop worker thread   733_x000D_
19  libsystem pthread dylib             0x000000011875460b  pthread wqthread   409_x000D_
20  libsystem pthread dylib             0x0000000118754405 start wqthread   13_x000D_
   _x000D_
  Metadata (please complete the following information):  _x000D_
   React Native Radar Version: 2 1 2 with latest iOS SDK_x000D_
   Platform: iOS_x000D_
   Device: Simulator_x000D_
   Device OS Version: iOS 12 1_x000D_
   React Native 0 57 8</t>
  </si>
  <si>
    <t>Catfriend1-syncthing-android-148</t>
  </si>
  <si>
    <t>Syncthing wrapper "emergency" shutdown on native binary crash doesn't work</t>
  </si>
  <si>
    <t xml:space="preserve">    Reproducer_x000D_
  (Let the) native binary crash during State STARTING_x000D_
  SyncthingRunnable will notify SyncthingService that the native binary crashed and show the correct crash log to the user _x000D_
  The user is then stuck forever as the wrapper is still in State STARTING and   concurrently   in deferring shutdown until the  starting  procedure completed    It can never shutdown the crashed instance and head for a fresh start like this until the user  force closes  the app from android settings _x000D_
_x000D_
    Version Information_x000D_
    App Version: v0 14 51 _x000D_
  _x000D_
</t>
  </si>
  <si>
    <t>mapbox-mapbox-plugins-android-801</t>
  </si>
  <si>
    <t>Allow Places Picker to Work Without ActionBar</t>
  </si>
  <si>
    <t xml:space="preserve">Currently if you try to initialize place picker in an app that doesn t have an ActionBar  it will cause a crash when you initialize the plugin _x000D_
_x000D_
This is because there should be a null check before making this call:_x000D_
https:  github com mapbox mapbox plugins android blob 83c82acb8cd93f689d7a611afeb4febc6b17a093 plugin places src main java com mapbox mapboxsdk plugins places picker ui PlacePickerActivity java L65_x000D_
_x000D_
Fixing this would make the plugin in a little bit more flexible  and potentially ease a lot of pain _x000D_
_x000D_
cc:  mapbox maps android </t>
  </si>
  <si>
    <t>testpress-android-84</t>
  </si>
  <si>
    <t>Solve app crash issue while registering by phone number</t>
  </si>
  <si>
    <t xml:space="preserve">    Changes Done_x000D_
  Fixed app crash on registering an account by using the automatic mobile number verification method _x000D_
    Reason for the changes_x000D_
  During registering by automatic mobile number verification method  Testpress SDK was not getting initialized </t>
  </si>
  <si>
    <t>googlesamples-easypermissions-266</t>
  </si>
  <si>
    <t>Crashing when showing rationale dialog</t>
  </si>
  <si>
    <t xml:space="preserve">   Basic Information_x000D_
_x000D_
Device type: Nexus 5X on emulator_x000D_
OS version:  _x000D_
EasyPermissions version: 2 0 0_x000D_
_x000D_
   Describe the problem_x000D_
_x000D_
I am using build tools 28 0 3 for a legacy application that uses Holo themes   When rationale dialog is to be shown (the second time I request permission after the first time it was denied) I get a crash  java lang IllegalStateException: You need to use a Theme AppCompat theme (or descendant) with this activity  _x000D_
_x000D_
The problem lies with RationaleDialogFragmentCompat_x000D_
_x000D_
   Code and logs_x000D_
_x000D_
_x000D_
   _x000D_
   AfterPermissionGranted(RC LOCATION)_x000D_
    private void setMyLocationEnabled()  _x000D_
        String   perms    Manifest permission ACCESS COARSE LOCATION  _x000D_
        if (EasyPermissions hasPermissions(getActivity()  perms))  _x000D_
            try  _x000D_
                if (mMap    null)_x000D_
                    mMap setMyLocationEnabled(true) _x000D_
              catch (SecurityException e)  _x000D_
                e printStackTrace() _x000D_
             _x000D_
          else  _x000D_
            EasyPermissions requestPermissions(this  getString(R string permission rationale location)  RC LOCATION  perms) _x000D_
         _x000D_
     _x000D_
   </t>
  </si>
  <si>
    <t>Intelehealth-Android-Mobile-Client-604</t>
  </si>
  <si>
    <t>NullPointerException crash</t>
  </si>
  <si>
    <t xml:space="preserve">App crashing on  java lang NullPointerException _x000D_
Originator  Ambuj Pandey_x000D_
Status  OPEN_x000D_
Checked from  Nov 16th  2018_x000D_
_x000D_
  Environment:  _x000D_
Mobile Brand  Motorola_x000D_
Model  moto E(4) plus_x000D_
OS Version  7 1 1_x000D_
App Version  1 3 4 _x000D_
crash date:  1  Nov  25th   2  Dec 18th  2018_x000D_
Number of Crashes: 2_x000D_
User Affected   users for both crash was Moto user _x000D_
_x000D_
    2 multiple crash on (Physical exam activity   Identification Activity) with same crash name  _x000D_
  Summery:   _x000D_
1 io intelehealth client activities physical exam activity PhysicalExamActivity SectionsPagerAdapter getCount_x000D_
2  io intelehealth client activities identification activity IdentificationActivity onCreate_x000D_
_x000D_
_x000D_
  Description:    _x000D_
1    java lang RuntimeException: _x000D_
  at android app ActivityThread performLaunchActivity (ActivityThread java:2756)_x000D_
  at android app ActivityThread handleLaunchActivity (ActivityThread java:2825)_x000D_
  at android app ActivityThread  wrap12 (ActivityThread java)_x000D_
               Caused by:     java lang NullPointerException: _x000D_
  at io intelehealth client activities physical exam activity PhysicalExamActivity SectionsPagerAdapter getCount (PhysicalExamActivity java:446)_x000D_
  at android support v4 view ViewPager setAdapter (ViewPager java:526)_x000D_
  at io intelehealth client activities physical exam activity PhysicalExamActivity onCreate (PhysicalExamActivity java:201)_x000D_
_x000D_
2    java lang RuntimeException: _x000D_
  at android app ActivityThread performLaunchActivity (ActivityThread java:2756)_x000D_
  at android app ActivityThread handleLaunchActivity (ActivityThread java:2825)_x000D_
  at android app ActivityThread  wrap12 (ActivityThread java)_x000D_
caused by: java lang NullPointerException:_x000D_
   at org json JSONTokener nextCleanInternal (JSONTokener java:116)_x000D_
  at org json JSONTokener nextValue (JSONTokener java:94)_x000D_
  _x000D_
at io intelehealth client activities identification activity IdentificationActivity onCreate (IdentificationActivity java:207)_x000D_
          _x000D_
Crash recorded from Developer console  I provide as much information I found in Console </t>
  </si>
  <si>
    <t>Intelehealth-Android-Mobile-Client-602</t>
  </si>
  <si>
    <t>NumberFormatException crash</t>
  </si>
  <si>
    <t xml:space="preserve">App crashing on  java lang NumberFormatException: _x000D_
Originator  Ambuj Pandey_x000D_
Status  OPEN_x000D_
Checked from  Nov 16th  2018_x000D_
_x000D_
  Environment:  _x000D_
Mobile Brand  Motorola_x000D_
Model  Moto E (4) Plus_x000D_
OS Version  7 1 1_x000D_
App Version  1 3 4 _x000D_
crash date Dec 15th  2018_x000D_
Number of Crashes: 1_x000D_
User Affected  1_x000D_
_x000D_
  Summary:   java lang NumberFormatException_x000D_
_x000D_
  Description:   _x000D_
at java lang FloatingDecimal readJavaFormatString (FloatingDecimal java:1306)_x000D_
  at java lang Double valueOf (Double java:511)_x000D_
  at io intelehealth client activities vitals activity VitalsActivity 5 onTextChanged (VitalsActivity java:244)_x000D_
  at android widget TextView sendOnTextChanged (TextView java:8547)_x000D_
  at android widget TextView handleTextChanged (TextView java:8612)_x000D_
  at android widget TextView ChangeWatcher onTextChanged (TextView java:10761)_x000D_
  at android text SpannableStringBuilder sendTextChanged (SpannableStringBuilder java:1232)_x000D_
  at android text SpannableStringBuilder replace (SpannableStringBuilder java:591)_x000D_
  at android text SpannableStringBuilder replace (SpannableStringBuilder java:520)_x000D_
  at android text SpannableStringBuilder replace (SpannableStringBuilder java:519)_x000D_
  at android view inputmethod BaseInputConnection replaceText (BaseInputConnection java:852)_x000D_
  at android view inputmethod BaseInputConnection commitText (BaseInputConnection java:205)_x000D_
_x000D_
Crash recorded from Developer console  I provide as much information I found in Console </t>
  </si>
  <si>
    <t>Intelehealth-Android-Mobile-Client-601</t>
  </si>
  <si>
    <t>IllegalStateException Crash</t>
  </si>
  <si>
    <t xml:space="preserve">App crashing on  java lang IllegalStateException _x000D_
Originator  Ambuj Pandey_x000D_
Status  OPEN_x000D_
Checked from  Nov 16th  2018_x000D_
_x000D_
  Environment:  _x000D_
Mobile Brand  Xiomi_x000D_
Model  Redmi note 5 pro_x000D_
OS Version  8 1_x000D_
App Version  1 3 4 _x000D_
crash date Dec 11th_x000D_
Number of Crashes: 8_x000D_
User Affected  1_x000D_
_x000D_
  Summery:   java lang IllegalStateException_x000D_
  Description:    _x000D_
at android app ContextImpl startServiceCommon (ContextImpl java:1531)_x000D_
  at android app ContextImpl startService (ContextImpl java:1487)_x000D_
  at android content ContextWrapper startService (ContextWrapper java:660)_x000D_
  at io intelehealth client services sync JobDispatchService onStartJob (JobDispatchService java:127)_x000D_
  at com firebase jobdispatcher JobService start (JobService java:113)_x000D_
  at com firebase jobdispatcher JobServiceConnection onServiceConnected (JobServiceConnection java:65)_x000D_
  at android app LoadedApk ServiceDispatcher doConnected (LoadedApk java:1660)_x000D_
  at android app LoadedApk ServiceDispatcher RunConnection run (LoadedApk java:1689)_x000D_
  at android os Handler handleCallback (Handler java:790)_x000D_
  at android os Handler dispatchMessage (Handler java:99)_x000D_
  at android os Looper loop (Looper java:171)_x000D_
  at android app ActivityThread main (ActivityThread java:6635)_x000D_
  at java lang reflect Method invoke (Native Method)_x000D_
  at com android internal os RuntimeInit MethodAndArgsCaller run (RuntimeInit java:547)_x000D_
  at com android internal os ZygoteInit main (ZygoteInit java:823)_x000D_
_x000D_
_x000D_
Crash recorded from Developer console  I provide as much information i found in Console </t>
  </si>
  <si>
    <t>Intelehealth-Android-Mobile-Client-600</t>
  </si>
  <si>
    <t xml:space="preserve">FireBase is not showing crashes. </t>
  </si>
  <si>
    <t xml:space="preserve">In Firebase  _x000D_
          No crashes are showing after Nov 16th  2018  _x000D_
          Active user showing 1 for last 7 days   4 for the last 28 days _x000D_
          Daily user engagement for the last 28 days  4 minutes 50 second _x000D_
Firebase is not detecting all app details _x000D_
_x000D_
I can see the crashes in the Developer Console for app  which happens after Nov 16th  2018 </t>
  </si>
  <si>
    <t>commons-app-apps-android-commons-2183</t>
  </si>
  <si>
    <t>App crashes when context passed to network utils is null</t>
  </si>
  <si>
    <t xml:space="preserve">  Summary:   _x000D_
_x000D_
As per  nicolas raoul s crash reports the app crashes when the context is null  _x000D_
_x000D_
  System logs:  _x000D_
_x000D_
   _x000D_
Caused by: java lang NullPointerException: Attempt to invoke virtual method  android content Context android content Context getApplicationContext()  on a null object reference_x000D_
at fr free nrw commons utils NetworkUtils isInternetConnectionEstablished(NetworkUtils java:12)_x000D_
at fr free nrw commons explore images SearchImageFragment updateImageList(SearchImageFragment java:133)_x000D_
at fr free nrw commons explore SearchActivity lambda setTabs 1 SearchActivity(SearchActivity java:121)_x000D_
at fr free nrw commons explore SearchActivity  Lambda 1 accept(Unknown Source)_x000D_
at io reactivex internal observers LambdaObserver onNext(LambdaObserver java:63)_x000D_
    10 more_x000D_
java lang NullPointerException: Attempt to invoke virtual method  android content Context android content Context getApplicationContext()  on a null object reference_x000D_
at fr free nrw commons utils NetworkUtils isInternetConnectionEstablished(NetworkUtils java:12)_x000D_
at fr free nrw commons explore images SearchImageFragment updateImageList(SearchImageFragment java:133)_x000D_
at fr free nrw commons explore SearchActivity lambda setTabs 1 SearchActivity(SearchActivity java:121)_x000D_
at fr free nrw commons explore SearchActivity  Lambda 1 accept(Unknown Source)_x000D_
at io reactivex internal observers LambdaObserver onNext(LambdaObserver java:63)_x000D_
at io reactivex internal operators observable ObservableObserveOn ObserveOnObserver drainNormal(ObservableObserveOn java:200)_x000D_
at io reactivex internal operators observable ObservableObserveOn ObserveOnObserver run(ObservableObserveOn java:252)_x000D_
at io reactivex android schedulers HandlerScheduler ScheduledRunnable run(HandlerScheduler java:119)_x000D_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_x000D_
_x000D_
  Device and Android version:   _x000D_
_x000D_
7 1 2_x000D_
 _x000D_
  Commons app version:   _x000D_
_x000D_
2 9 0 118_x000D_
_x000D_
  Would you like to work on the issue   _x000D_
_x000D_
Yes_x000D_
</t>
  </si>
  <si>
    <t>OneBusAway-onebusaway-android-957</t>
  </si>
  <si>
    <t>Unit tests crash on fresh install due to Embedded Social NPE</t>
  </si>
  <si>
    <t xml:space="preserve">  Summary:   _x000D_
_x000D_
On a fresh install  unit tests can crash if ES SDK hasn t initialized yet with:_x000D_
_x000D_
   _x000D_
java lang RuntimeException: Unable to create service com microsoft embeddedsocial service WorkerService: java lang NullPointerException: Attempt to invoke virtual method  com microsoft embeddedsocial server IAccountService com microsoft embeddedsocial server EmbeddedSocialServiceProvider getAccountService()  on a null object reference_x000D_
at android app ActivityThread handleCreateService(ActivityThread java:3552)_x000D_
at android app ActivityThread  wrap4(Unknown Source:0)_x000D_
at android app ActivityThread H handleMessage(ActivityThread java:1786)_x000D_
at android os Handler dispatchMessage(Handler java:105)_x000D_
at android os Looper loop(Looper java:164)_x000D_
at android app ActivityThread main(ActivityThread java:6938)_x000D_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com microsoft embeddedsocial server IAccountService com microsoft embeddedsocial server EmbeddedSocialServiceProvider getAccountService()  on a null object reference_x000D_
at com microsoft embeddedsocial service handler SignInHandler  init (SignInHandler java:43)_x000D_
at com microsoft embeddedsocial service IntentProcessorFactory createIntentProcessor(IntentProcessorFactory java:44)_x000D_
at com microsoft embeddedsocial service WorkerService createIntentProcessor(WorkerService java:23)_x000D_
at com microsoft embeddedsocial base service AbstractProcessingService onCreate(AbstractProcessingService java:49)_x000D_
at android app ActivityThread handleCreateService(ActivityThread java:3542)_x000D_
    8 more_x000D_
_x000D_
Test running failed: Instrumentation run failed due to  Process crashed  _x000D_
   _x000D_
_x000D_
This seems to be a side effect of https:  github com OneBusAway onebusaway android pull 940 _x000D_
_x000D_
We can try initializing the ES SDK explicitly in the unit tests to ensure it s always initialized prior to executing the tests _x000D_
_x000D_
  Steps to reproduce:   _x000D_
_x000D_
1  Uninstall the app_x000D_
1  Run the unit tests_x000D_
_x000D_
  Expected behavior:   _x000D_
_x000D_
Tests should pass_x000D_
_x000D_
  Observed behavior:   _x000D_
_x000D_
Some tests crash with the above stack trace   I ve seen this happen with AdapterTest and ScheduleForStopTest   I m not sure why sometimes one of the tests passes and the other fails  unless it appears non deterministic based on how long it takes ES to initialize in the background _x000D_
_x000D_
  Device and Android version:   _x000D_
_x000D_
Samsung Galaxy S8  with Android 8 0</t>
  </si>
  <si>
    <t>ThmmyNoLife-mTHMMY-59</t>
  </si>
  <si>
    <t>Profile Activity crash</t>
  </si>
  <si>
    <t xml:space="preserve">App crashes in profile activity if the users switches tabs quickly </t>
  </si>
  <si>
    <t>commons-app-apps-android-commons-2166</t>
  </si>
  <si>
    <t>Crash when clicking bookmark icon inside BookmarksActivity</t>
  </si>
  <si>
    <t xml:space="preserve">  Summary:   _x000D_
_x000D_
Crashes on clicking the bookmark icon in the action bar when viewing media through BookmarksActivity _x000D_
_x000D_
  Steps to reproduce:   _x000D_
_x000D_
How can we reproduce the issue _x000D_
1  Log in_x000D_
2  Open media from Home_x000D_
3  Click bookmark icon_x000D_
4  Go to bookmarks tab_x000D_
5  Click media_x000D_
6  Click bookmark icon_x000D_
7  Crashes_x000D_
_x000D_
What did you expect the app to do  and what did you see instead _x000D_
  Should show bookmarked icon as  filled in  to represent it is bookmarked_x000D_
  Should not crash when bookmark icon clicked_x000D_
  Should unbookmark the item_x000D_
_x000D_
  Demonstration:  _x000D_
_x000D_
Video:_x000D_
https:  giant gfycat com WellinformedCheeryBeagle webm_x000D_
_x000D_
In video above I:_x000D_
1  Open bookmarks  show empty_x000D_
2  Add a bookmark on an image from Home (notice unfilled goes to filled icon)_x000D_
3  Open bookmarks  show it s now there_x000D_
4  Open image in bookmarks (notice unfilled star icon)_x000D_
5  Try to unbookmark  crashes_x000D_
6  Try steps 3 5 again  crashes_x000D_
7  Unbookmark the image in the Home tab (notice filled star icon)_x000D_
8  Show bookmarks now empty_x000D_
_x000D_
 details _x000D_
 summary  b System logs (click to expand)  b   summary _x000D_
 pre  code 2018 12 18 23:34:21 916 16027 16027 fr free nrw commons E AndroidRuntime: FATAL EXCEPTION: main_x000D_
    Process: fr free nrw commons  PID: 16027_x000D_
    java lang NullPointerException: Attempt to invoke virtual method  java lang String fr free nrw commons bookmarks Bookmark getMediaName()  on a null object reference_x000D_
        at fr free nrw commons bookmarks pictures BookmarkPicturesDao findBookmark(BookmarkPicturesDao java:129)_x000D_
        at fr free nrw commons bookmarks pictures BookmarkPicturesDao updateBookmark(BookmarkPicturesDao java:70)_x000D_
        at fr free nrw commons media MediaDetailPagerFragment onOptionsItemSelected(MediaDetailPagerFragment java:161)_x000D_
        at android support v4 app Fragment performOptionsItemSelected(Fragment java:2476)_x000D_
        at android support v4 app FragmentManagerImpl dispatchOptionsItemSelected(FragmentManager java:3343)_x000D_
        at android support v4 app FragmentController dispatchOptionsItemSelected(FragmentController java:347)_x000D_
        at android support v4 app FragmentActivity onMenuItemSelected(FragmentActivity java:413)_x000D_
        at android support v7 app AppCompatActivity onMenuItemSelected(AppCompatActivity java:195)_x000D_
        at android support v7 view WindowCallbackWrapper onMenuItemSelected(WindowCallbackWrapper java:108)_x000D_
        at android support v7 view WindowCallbackWrapper onMenuItemSelected(WindowCallbackWrapper java:108)_x000D_
        at android support v7 app ToolbarActionBar 2 onMenuItemClick(ToolbarActionBar java:63)_x000D_
        at android support v7 widget Toolbar 1 onMenuItemClick(Toolbar java:203)_x000D_
        at android support v7 widget ActionMenuView MenuBuilderCallback onMenuItemSelected(ActionMenuView java:780)_x000D_
        at android support v7 view menu MenuBuilder dispatchMenuItemSelected(MenuBuilder java:822)_x000D_
        at android support v7 view menu MenuItemImpl invoke(MenuItemImpl java:171)_x000D_
        at android support v7 view menu MenuBuilder performItemAction(MenuBuilder java:973)_x000D_
        at android support v7 view menu MenuBuilder performItemAction(MenuBuilder java:963)_x000D_
        at android support v7 widget ActionMenuView invokeItem(ActionMenuView java:624)_x000D_
        at android support v7 view menu ActionMenuItemView onClick(ActionMenuItemView java:150)_x000D_
        at android view View performClick(View java:6597)_x000D_
        at android view View performClickInternal(View java:6574)_x000D_
        at android view View access 3100(View java:778)_x000D_
        at android view View PerformClick run(View java:25885)_x000D_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2018 12 18 23:34:21 917 16027 16027 fr free nrw commons E ACRA: ACRA caught a NullPointerException for fr free nrw commons_x000D_
    java lang NullPointerException: Attempt to invoke virtual method  java lang String fr free nrw commons bookmarks Bookmark getMediaName()  on a null object reference_x000D_
        at fr free nrw commons bookmarks pictures BookmarkPicturesDao findBookmark(BookmarkPicturesDao java:129)_x000D_
        at fr free nrw commons bookmarks pictures BookmarkPicturesDao updateBookmark(BookmarkPicturesDao java:70)_x000D_
        at fr free nrw commons media MediaDetailPagerFragment onOptionsItemSelected(MediaDetailPagerFragment java:161)_x000D_
        at android support v4 app Fragment performOptionsItemSelected(Fragment java:2476)_x000D_
        at android support v4 app FragmentManagerImpl dispatchOptionsItemSelected(FragmentManager java:3343)_x000D_
        at android support v4 app FragmentController dispatchOptionsItemSelected(FragmentController java:347)_x000D_
        at android support v4 app FragmentActivity onMenuItemSelected(FragmentActivity java:413)_x000D_
        at android support v7 app AppCompatActivity onMenuItemSelected(AppCompatActivity java:195)_x000D_
        at android support v7 view WindowCallbackWrapper onMenuItemSelected(WindowCallbackWrapper java:108)_x000D_
        at android support v7 view WindowCallbackWrapper onMenuItemSelected(WindowCallbackWrapper java:108)_x000D_
        at android support v7 app ToolbarActionBar 2 onMenuItemClick(ToolbarActionBar java:63)_x000D_
        at android support v7 widget Toolbar 1 onMenuItemClick(Toolbar java:203)_x000D_
        at android support v7 widget ActionMenuView MenuBuilderCallback onMenuItemSelected(ActionMenuView java:780)_x000D_
        at android support v7 view menu MenuBuilder dispatchMenuItemSelected(MenuBuilder java:822)_x000D_
        at android support v7 view menu MenuItemImpl invoke(MenuItemImpl java:171)_x000D_
        at android support v7 view menu MenuBuilder performItemAction(MenuBuilder java:973)_x000D_
        at android support v7 view menu MenuBuilder performItemAction(MenuBuilder java:963)_x000D_
        at android support v7 widget ActionMenuView invokeItem(ActionMenuView java:624)_x000D_
        at android support v7 view menu ActionMenuItemView onClick(ActionMenuItemView java:150)_x000D_
        at android view View performClick(View java:6597)_x000D_
        at android view View performClickInternal(View java:6574)_x000D_
        at android view View access 3100(View java:778)_x000D_
        at android view View PerformClick run(View java:25885)_x000D_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code   pre _x000D_
_x000D_
 pre  code 2018 12 18 23:34:47 721 16144 16144 fr free nrw commons E AndroidRuntime: FATAL EXCEPTION: main_x000D_
    Process: fr free nrw commons  PID: 16144_x000D_
    java lang NullPointerException: Attempt to invoke virtual method  java lang String fr free nrw commons bookmarks Bookmark getMediaName()  on a null object reference_x000D_
        at fr free nrw commons bookmarks pictures BookmarkPicturesDao findBookmark(BookmarkPicturesDao java:129)_x000D_
        at fr free nrw commons bookmarks pictures BookmarkPicturesDao updateBookmark(BookmarkPicturesDao java:70)_x000D_
        at fr free nrw commons media MediaDetailPagerFragment onOptionsItemSelected(MediaDetailPagerFragment java:161)_x000D_
        at android support v4 app Fragment performOptionsItemSelected(Fragment java:2476)_x000D_
        at android support v4 app FragmentManagerImpl dispatchOptionsItemSelected(FragmentManager java:3343)_x000D_
        at android support v4 app FragmentController dispatchOptionsItemSelected(FragmentController java:347)_x000D_
        at android support v4 app FragmentActivity onMenuItemSelected(FragmentActivity java:413)_x000D_
        at android support v7 app AppCompatActivity onMenuItemSelected(AppCompatActivity java:195)_x000D_
        at android support v7 view WindowCallbackWrapper onMenuItemSelected(WindowCallbackWrapper java:108)_x000D_
        at android support v7 view WindowCallbackWrapper onMenuItemSelected(WindowCallbackWrapper java:108)_x000D_
        at android support v7 app ToolbarActionBar 2 onMenuItemClick(ToolbarActionBar java:63)_x000D_
        at android support v7 widget Toolbar 1 onMenuItemClick(Toolbar java:203)_x000D_
        at android support v7 widget ActionMenuView MenuBuilderCallback onMenuItemSelected(ActionMenuView java:780)_x000D_
        at android support v7 view menu MenuBuilder dispatchMenuItemSelected(MenuBuilder java:822)_x000D_
        at android support v7 view menu MenuItemImpl invoke(MenuItemImpl java:171)_x000D_
        at android support v7 view menu MenuBuilder performItemAction(MenuBuilder java:973)_x000D_
        at android support v7 view menu MenuBuilder performItemAction(MenuBuilder java:963)_x000D_
        at android support v7 widget ActionMenuView invokeItem(ActionMenuView java:624)_x000D_
        at android support v7 view menu ActionMenuItemView onClick(ActionMenuItemView java:150)_x000D_
        at android view View performClick(View java:6597)_x000D_
        at android view View performClickInternal(View java:6574)_x000D_
        at android view View access 3100(View java:778)_x000D_
        at android view View PerformClick run(View java:25885)_x000D_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2018 12 18 23:34:47 723 16144 16144 fr free nrw commons E ACRA: ACRA caught a NullPointerException for fr free nrw commons_x000D_
    java lang NullPointerException: Attempt to invoke virtual method  java lang String fr free nrw commons bookmarks Bookmark getMediaName()  on a null object reference_x000D_
        at fr free nrw commons bookmarks pictures BookmarkPicturesDao findBookmark(BookmarkPicturesDao java:129)_x000D_
        at fr free nrw commons bookmarks pictures BookmarkPicturesDao updateBookmark(BookmarkPicturesDao java:70)_x000D_
        at fr free nrw commons media MediaDetailPagerFragment onOptionsItemSelected(MediaDetailPagerFragment java:161)_x000D_
        at android support v4 app Fragment performOptionsItemSelected(Fragment java:2476)_x000D_
        at android support v4 app FragmentManagerImpl dispatchOptionsItemSelected(FragmentManager java:3343)_x000D_
        at android support v4 app FragmentController dispatchOptionsItemSelected(FragmentController java:347)_x000D_
        at android support v4 app FragmentActivity onMenuItemSelected(FragmentActivity java:413)_x000D_
        at android support v7 app AppCompatActivity onMenuItemSelected(AppCompatActivity java:195)_x000D_
        at android support v7 view WindowCallbackWrapper onMenuItemSelected(WindowCallbackWrapper java:108)_x000D_
        at android support v7 view WindowCallbackWrapper onMenuItemSelected(WindowCallbackWrapper java:108)_x000D_
        at android support v7 app ToolbarActionBar 2 onMenuItemClick(ToolbarActionBar java:63)_x000D_
        at android support v7 widget Toolbar 1 onMenuItemClick(Toolbar java:203)_x000D_
        at android support v7 widget ActionMenuView MenuBuilderCallback onMenuItemSelected(ActionMenuView java:780)_x000D_
        at android support v7 view menu MenuBuilder dispatchMenuItemSelected(MenuBuilder java:822)_x000D_
        at android support v7 view menu MenuItemImpl invoke(MenuItemImpl java:171)_x000D_
        at android support v7 view menu MenuBuilder performItemAction(MenuBuilder java:973)_x000D_
        at android support v7 view menu MenuBuilder performItemAction(MenuBuilder java:963)_x000D_
        at android support v7 widget ActionMenuView invokeItem(ActionMenuView java:624)_x000D_
        at android support v7 view menu ActionMenuItemView onClick(ActionMenuItemView java:150)_x000D_
        at android view View performClick(View java:6597)_x000D_
        at android view View performClickInternal(View java:6574)_x000D_
        at android view View access 3100(View java:778)_x000D_
        at android view View PerformClick run(View java:25885)_x000D_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code   pre _x000D_
  details  br  _x000D_
_x000D_
  Device and Android version:   _x000D_
_x000D_
 2 9 0 debug master 46db38b8 (prodDebug)  on  Galaxy Nexus (emulator)  at API level  28 _x000D_
 2 9 0 debug master 46db38b8 (prodDebug)  on  Samsung Galaxy  at API level  25 </t>
  </si>
  <si>
    <t>OneBusAway-onebusaway-android-953</t>
  </si>
  <si>
    <t>Crash when opening app to Embedded Social fragment</t>
  </si>
  <si>
    <t xml:space="preserve">  Summary:   _x000D_
_x000D_
If you close the app while the HomeActivity is displaying an Embedded Social fragment  the next app launch results in a NullPointerException and crashes _x000D_
_x000D_
  Steps to reproduce:   _x000D_
_x000D_
1) Open the app_x000D_
2) Sign in to Embedded Social_x000D_
3) Open an Embedded Social fragment from the Navigation Drawer ( My Pins    Activity Feed   or  My Profile )_x000D_
4) Kill the application via the app switcher_x000D_
5) Open OneBusAway from the home screen_x000D_
_x000D_
  Expected behavior:   _x000D_
_x000D_
Not crash_x000D_
_x000D_
  Observed behavior:   _x000D_
_x000D_
Crash_x000D_
_x000D_
  Device and Android version:   _x000D_
_x000D_
Emulated Nexus 5X running Android API 26 _x000D_
OBA commit 28b3c96054b75cf86c808c69c91c9a8108453d5f_x000D_
_x000D_
Stacktrace:_x000D_
   _x000D_
2018 12 18 14:36:57 435 9528 9528 com joulespersecond seattlebusbot E AndroidRuntime: FATAL EXCEPTION: main_x000D_
    Process: com joulespersecond seattlebusbot  PID: 9528_x000D_
    java lang RuntimeException: Unable to start activity ComponentInfo com joulespersecond seattlebusbot org onebusaway android ui HomeActivity : android view InflateException: Binary XML file line  148: Binary XML file line  148: Error inflating class fragment_x000D_
        at android app ActivityThread performLaunchActivity(ActivityThread java:2817)_x000D_
        at android app ActivityThread handleLaunchActivity(ActivityThread java:2892)_x000D_
        at android app ActivityThread  wrap11(Unknown Source:0)_x000D_
        at android app ActivityThread H handleMessage(ActivityThread java:1593)_x000D_
        at android os Handler dispatchMessage(Handler java:105)_x000D_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Caused by: android view InflateException: Binary XML file line  148: Binary XML file line  148: Error inflating class fragment_x000D_
     Caused by: android view InflateException: Binary XML file line  148: Error inflating class fragment_x000D_
     Caused by: java lang NullPointerException: Attempt to invoke virtual method  int com microsoft embeddedsocial sdk Options getBaseTheme()  on a null object reference_x000D_
        at com microsoft embeddedsocial ui fragment base BaseTabsFragment  init (BaseTabsFragment java:32)_x000D_
        at com microsoft embeddedsocial ui fragment base BaseProfileFragment  init (BaseProfileFragment java:40)_x000D_
        at com microsoft embeddedsocial ui fragment MyProfileFragment  init (MyProfileFragment java:14)_x000D_
        at org onebusaway android ui HomeActivity showMyProfileFragment(HomeActivity java:824)_x000D_
        at org onebusaway android ui HomeActivity goToNavDrawerItem(HomeActivity java:523)_x000D_
        at org onebusaway android ui HomeActivity onNavigationDrawerItemSelected(HomeActivity java:467)_x000D_
        at org onebusaway android ui NavigationDrawerFragment selectItem(NavigationDrawerFragment java:317)_x000D_
        at org onebusaway android ui NavigationDrawerFragment onCreate(NavigationDrawerFragment java:209)_x000D_
        at androidx fragment app Fragment performCreate(Fragment java:2414)_x000D_
        at androidx fragment app FragmentManagerImpl moveToState(FragmentManager java:1418)_x000D_
        at androidx fragment app FragmentManagerImpl moveToState(FragmentManager java:1684)_x000D_
        at androidx fragment app FragmentManagerImpl addFragment(FragmentManager java:1930)_x000D_
        at androidx fragment app FragmentManagerImpl onCreateView(FragmentManager java:3745)_x000D_
        at androidx fragment app FragmentController onCreateView(FragmentController java:120)_x000D_
        at androidx fragment app FragmentActivity dispatchFragmentsOnCreateView(FragmentActivity java:405)_x000D_
        at androidx fragment app FragmentActivity onCreateView(FragmentActivity java:387)_x000D_
        at android view LayoutInflater createViewFromTag(LayoutInflater java:780)_x000D_
        at android view LayoutInflater createViewFromTag(LayoutInflater java:730)_x000D_
        at android view LayoutInflater rInflate(LayoutInflater java:863)_x000D_
        at android view LayoutInflater rInflateChildren(LayoutInflater java:824)_x000D_
        at android view LayoutInflater inflate(LayoutInflater java:515)_x000D_
        at android view LayoutInflater inflate(LayoutInflater java:423)_x000D_
        at android view LayoutInflater inflate(LayoutInflater java:374)_x000D_
        at androidx appcompat app AppCompatDelegateImpl setContentView(AppCompatDelegateImpl java:469)_x000D_
        at androidx appcompat app AppCompatActivity setContentView(AppCompatActivity java:140)_x000D_
        at org onebusaway android ui HomeActivity onCreate(HomeActivity java:355)_x000D_
        at android app Activity performCreate(Activity java:6975)_x000D_
        at android app Instrumentation callActivityOnCreate(Instrumentation java:1213)_x000D_
        at android app ActivityThread performLaunchActivity(ActivityThread java:2770)_x000D_
        at android app ActivityThread handleLaunchActivity(ActivityThread java:2892)_x000D_
        at android app ActivityThread  wrap11(Unknown Source:0)_x000D_
        at android app ActivityThread H handleMessage(ActivityThread java:1593)_x000D_
2018 12 18 14:36:57 435 9528 9528 com joulespersecond seattlebusbot E AndroidRuntime:     at android os Handler dispatchMessage(Handler java:105)_x000D_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_x000D_
_x000D_
The key issue looks like the NPE stemming from a null Options class   Is it possible EmbeddedSocial init is not called in this flow </t>
  </si>
  <si>
    <t>fossasia-phimpme-android-2318</t>
  </si>
  <si>
    <t>App crashes on changing orientation while cropping</t>
  </si>
  <si>
    <t xml:space="preserve">  Actual Behaviour  _x000D_
_x000D_
while cropping a image  on changing the screen orientation and clicking on tick mark the app crashes _x000D_
_x000D_
  Expected Behaviour  _x000D_
_x000D_
image should cropped irrespective of screen orientation change _x000D_
_x000D_
  Steps to reproduce it  _x000D_
_x000D_
Select an image and go to the editing activity _x000D_
Select transform _x000D_
Navigate to crop _x000D_
Now rotate your phone to landscape mode _x000D_
Tap on the tick button _x000D_
App crashes(BUG) _x000D_
_x000D_
  LogCat for the issue  _x000D_
_x000D_
  screenshot 1 (https:  user images githubusercontent com 31561661 50177670 95e68b00 0328 11e9 99e9 6550d2042a16 png)_x000D_
_x000D_
_x000D_
_x000D_
  Screenshots of the issue  _x000D_
_x000D_
  whatsapp image 2018 12 19 at 00 43 09 (https:  user images githubusercontent com 31561661 50177903 2cb34780 0329 11e9 9d8a 680226e55695 jpeg)_x000D_
  whatsapp image 2018 12 19 at 00 43 31 (https:  user images githubusercontent com 31561661 50177914 32a92880 0329 11e9 91ad 3dc887c357f2 jpeg)_x000D_
  whatsapp image 2018 12 19 at 00 43 52 (https:  user images githubusercontent com 31561661 50177923 376ddc80 0329 11e9 8e88 90951a7ad1bd jpeg)_x000D_
  whatsapp image 2018 12 19 at 00 43 59 (https:  user images githubusercontent com 31561661 50177933 3dfc5400 0329 11e9 8ae3 960e4f8bc2e7 jpeg)_x000D_
_x000D_
_x000D_
_x000D_
_x000D_
  Would you like to work on the issue   _x000D_
_x000D_
Yes _x000D_
</t>
  </si>
  <si>
    <t>microsoft-EmbeddedSocial-Android-SDK-113</t>
  </si>
  <si>
    <t>Update Firebase dependencies</t>
  </si>
  <si>
    <t xml:space="preserve">  Summary:   _x000D_
_x000D_
We re getting this crash in the   nav  branch (https:  github com OneBusAway onebusaway android tree nav) of OBA Android (which targets API 28) for Android versions less than Oreo:_x000D_
_x000D_
   _x000D_
    java lang NoSuchMethodError: No static method zzah()Lcom google firebase iid zzat  in class Lcom google firebase iid zzat  or its super classes (declaration of  com google firebase iid zzat  appears in  data app com joulespersecond seattlebusbot 1 split lib dependencies apk apk:classes2 dex)_x000D_
        at com google firebase messaging FirebaseMessagingService zzb(Unknown Source)_x000D_
        at com google firebase iid zzb onStartCommand(Unknown Source)_x000D_
        at android app ActivityThread handleServiceArgs(ActivityThread java:3326)_x000D_
        at android app ActivityThread  wrap21(ActivityThread java)_x000D_
        at android app ActivityThread H handleMessage(ActivityThread java:1582)_x000D_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_x000D_
https:  github com OneSignal OneSignal Gradle Plugin issues 69 issuecomment 428500582 says:_x000D_
_x000D_
 firebase iid:17 0 3 was being used which is not compatible with any version of firebase messaging below 17 3 1 _x000D_
_x000D_
This matches https:  developers google com android guides releases december 13 2018  which says that  firebase iid:17 0 3  should not be used  and  17 0 4  should be used instead _x000D_
_x000D_
If I run  gradlew onebusaway android:dependencies  on the command line  I see:_x000D_
_x000D_
   _x000D_
     com acrowntest test:sdk:0 7 3_x000D_
          com squareup picasso:picasso:2 5 2_x000D_
          com fasterxml jackson core:jackson annotations:2 6 2    2 9 4_x000D_
          com google android gms:play services auth:16 0 1_x000D_
               com google android gms:play services auth api phone:16 0 0_x000D_
                    com google android gms:play services base:16 0 1 ( )_x000D_
                    com google android gms:play services basement:16 0 1    16 1 0 ( )_x000D_
                    com google android gms:play services tasks:16 0 1 ( )_x000D_
               com google android gms:play services auth base:16 0 0_x000D_
                    com google android gms:play services base:16 0 1 ( )_x000D_
                    com google android gms:play services basement:16 0 1    16 1 0 ( )_x000D_
                    com google android gms:play services tasks:16 0 1 ( )_x000D_
               com google android gms:play services base:16 0 1 ( )_x000D_
               com google android gms:play services basement:16 0 1    16 1 0 ( )_x000D_
               com google android gms:play services tasks:16 0 1 ( )_x000D_
          com google firebase:firebase core:16 0 1    16 0 6 ( )_x000D_
          com google firebase:firebase messaging:17 1 0_x000D_
               com google android gms:play services basement:15 0 1    16 1 0 ( )_x000D_
               com google android gms:play services tasks:15 0 1    16 0 1 ( )_x000D_
               com google firebase:firebase common:16 0 0    16 0 4 ( )_x000D_
               com google firebase:firebase iid: 16 2 0     17 0 3 ( )       firebase iid:17 0 3 is being introduced here _x000D_
               com google firebase:firebase measurement connector:16 0 0    17 0 1 ( )_x000D_
    _x000D_
_x000D_
As you can see near the bottom (see my comment)  firebase iid:17 0 3  is being introduced via  com google firebase:firebase messaging:17 1 0  _x000D_
_x000D_
Could you bump the following Firebase dependencies to hopefully get rid of this issue _x000D_
_x000D_
New dependency versions (latest):_x000D_
   firebase core  to  16 0 6 _x000D_
    firebase messaging   to  17 3 4 _x000D_
_x000D_
  Steps to reproduce:   _x000D_
_x000D_
Run   nav  branch (https:  github com OneBusAway onebusaway android tree nav) of OBA Android (which targets SDK 28) for Android versions less than Oreo_x000D_
_x000D_
  Expected behavior:   _x000D_
_x000D_
Don t crash_x000D_
_x000D_
  Observed behavior:   _x000D_
_x000D_
Crash with above stack trace_x000D_
_x000D_
  Device  Android  and Embedded Social SDK version:   _x000D_
_x000D_
   _x000D_
       Embedded Social SDK_x000D_
    implementation( com acrowntest test:sdk:0 7 3:release aar )  _x000D_
        transitive   true_x000D_
     _x000D_
   </t>
  </si>
  <si>
    <t>microsoft-appcenter-sdk-android-917</t>
  </si>
  <si>
    <t>TLS 1.2 issue on specific devices below API level 21</t>
  </si>
  <si>
    <t xml:space="preserve">      Description  _x000D_
_x000D_
Appcenter fails to send data to server when running kitkat with tls 1 2 not enabled by default_x000D_
_x000D_
      Repro Steps  _x000D_
_x000D_
Use appcenter (analytics   crashes is what I use) on a Xamarin client  _x000D_
Run on a KitKat android device that doesnt have tls 1 2 enabled by default_x000D_
Track some data using appcenter api_x000D_
See these error logs in debug output:_x000D_
_x000D_
 _x000D_
12 18 12:19:05 372 W AppCenter( 4447): Try  3 failed and will be retried in 1077322 ms_x000D_
12 18 12:19:05 372 W AppCenter( 4447): javax net ssl SSLException: SSL handshake aborted: ssl 0x6ec7d2f8: I O error during system call  Connection reset by peer_x000D_
12 18 12:19:05 372 W AppCenter( 4447): 	at com android org conscrypt NativeCrypto SSL do handshake(Native Method)_x000D_
12 18 12:19:05 372 W AppCenter( 4447): 	at com android org conscrypt OpenSSLSocketImpl startHandshake(OpenSSLSocketImpl java:486)_x000D_
12 18 12:19:05 372 W AppCenter( 4447): 	at com android okhttp Connection upgradeToTls(Connection java:146)_x000D_
12 18 12:19:05 372 W AppCenter( 4447): 	at com android okhttp Connection connect(Connection java:107)_x000D_
12 18 12:19:05 372 W AppCenter( 4447): 	at com android okhttp internal http HttpEngine connect(HttpEngine java:294)_x000D_
12 18 12:19:05 372 W AppCenter( 4447): 	at com android okhttp internal http HttpEngine sendSocketRequest(HttpEngine java:255)_x000D_
12 18 12:19:05 372 W AppCenter( 4447): 	at com android okhttp internal http HttpEngine sendRequest(HttpEngine java:206)_x000D_
12 18 12:19:05 372 W AppCenter( 4447): 	at com android okhttp internal http HttpURLConnectionImpl execute(HttpURLConnectionImpl java:345)_x000D_
12 18 12:19:05 372 W AppCenter( 4447): 	at com android okhttp internal http HttpURLConnectionImpl connect(HttpURLConnectionImpl java:89)_x000D_
12 18 12:19:05 372 W AppCenter( 4447): 	at com android okhttp internal http HttpURLConnectionImpl getOutputStream(HttpURLConnectionImpl java:197)_x000D_
12 18 12:19:05 372 W AppCenter( 4447): 	at com android okhttp internal http HttpsURLConnectionImpl getOutputStream(HttpsURLConnectionImpl java:254)_x000D_
12 18 12:19:05 372 W AppCenter( 4447): 	at com microsoft appcenter http DefaultHttpClientCallTask doHttpCall(DefaultHttpClientCallTask java:249)_x000D_
12 18 12:19:05 372 W AppCenter( 4447): 	at com microsoft appcenter http DefaultHttpClientCallTask doInBackground(DefaultHttpClientCallTask java:296)_x000D_
12 18 12:19:05 372 W AppCenter( 4447): 	at com microsoft appcenter http DefaultHttpClientCallTask doInBackground(DefaultHttpClientCallTask java:39)_x000D_
12 18 12:19:05 372 W AppCenter( 4447): 	at android os AsyncTask 2 call(AsyncTask java:288)_x000D_
12 18 12:19:05 372 W AppCenter( 4447): 	at java util concurrent FutureTask run(FutureTask java:237)_x000D_
12 18 12:19:05 372 W AppCenter( 4447): 	at java util concurrent ThreadPoolExecutor runWorker(ThreadPoolExecutor java:1112)_x000D_
12 18 12:19:05 372 W AppCenter( 4447): 	at java util concurrent ThreadPoolExecutor Worker run(ThreadPoolExecutor java:587)_x000D_
12 18 12:19:05 372 W AppCenter( 4447): 	at java lang Thread run(Thread java:841)_x000D_
 _x000D_
      Details  _x000D_
_x000D_
1  Which SDK version are you using _x000D_
     1 12 0 (DotNetClient  Xamarin)_x000D_
2  Which OS version did you experience the issue on _x000D_
    Kitkat _x000D_
_x000D_
3  What device version did you see this error on   Were you using an emulator or a physical device _x000D_
    only tested on physical_x000D_
_x000D_
5  Please enable verbose logging for your app using  AppCenter setLogLevel(Log VERBOSE)  before your call to  AppCenter start(   )  and include the logs here:_x000D_
_x000D_
 12 18 14:11:09 262 V AppCenter( 5160): Calling https:  in appcenter ms logs api version 1 0 0   _x000D_
12 18 14:11:09 262 V AppCenter( 5160): Headers:  Install ID f5a46158 96bf 4c9f 941e b178fe8c1b45  Content Type application json  App Secret                             9b232a6e _x000D_
12 18 14:11:09 262 V AppCenter( 5160):  _x000D_
12 18 14:11:09 262 V AppCenter( 5160):    logs :  _x000D_
12 18 14:11:09 262 V AppCenter( 5160):      _x000D_
12 18 14:11:09 262 V AppCenter( 5160):        id :  ff9c63a0 56cc 4e66 8d75 a8b7da5caa17  _x000D_
12 18 14:11:09 262 V AppCenter( 5160):        device :  _x000D_
12 18 14:11:09 262 V AppCenter( 5160):          screenSize :  480x640  _x000D_
12 18 14:11:09 262 V AppCenter( 5160):          model :  MC67NA  _x000D_
12 18 14:11:09 262 V AppCenter( 5160):          osVersion :  4 4 4  _x000D_
12 18 14:11:09 262 V AppCenter( 5160):          timeZoneOffset : 0 _x000D_
12 18 14:11:09 262 V AppCenter( 5160):          appBuild :  132  _x000D_
12 18 14:11:09 262 V AppCenter( 5160):          locale :  en US  _x000D_
12 18 14:11:09 262 V AppCenter( 5160):          sdkVersion :  1 11 0  _x000D_
12 18 14:11:09 262 V AppCenter( 5160):          oemName :  Zebra Technologies  _x000D_
12 18 14:11:09 262 V AppCenter( 5160):          wrapperSdkVersion :  1 12 0  _x000D_
12 18 14:11:09 262 V AppCenter( 5160):          appVersion :  2 0 0  _x000D_
12 18 14:11:09 262 V AppCenter( 5160):          appNamespace :  com            _x000D_
12 18 14:11:09 262 V AppCenter( 5160):          wrapperSdkName :  appcenter xamarin  _x000D_
12 18 14:11:09 262 V AppCenter( 5160):          osApiLevel : 19 _x000D_
12 18 14:11:09 262 V AppCenter( 5160):          osName :  Android  _x000D_
12 18 14:11:09 262 V AppCenter( 5160):          sdkName :  appcenter android  _x000D_
12 18 14:11:09 262 V AppCenter( 5160):          osBuild :  01 18 01 4AJ22 K 00 M1 082716  _x000D_
12 18 14:11:09 262 V AppCenter( 5160):          wrapperRuntimeVersion :  9 1 0 29 _x000D_
12 18 14:11:09 262 V AppCenter( 5160):         _x000D_
12 18 14:11:09 262 V AppCenter( 5160):        timestamp :  2018 12 18T14:10:58 061Z  _x000D_
12 18 14:11:09 262 V AppCenter( 5160):        sid :  12b8a491 49a9 4256 8a96 e787513556fd  _x000D_
12 18 14:11:09 262 V AppCenter( 5160):        type :  event  _x000D_
12 18 14:11:09 262 V AppCenter( 5160):        name :      _x000D_
12 18 14:11:09 262 V AppCenter( 5160):      _x000D_
12 18 14:11:09 262 V AppCenter( 5160):    _x000D_
12 18 14:11:09 262 V AppCenter( 5160):  _x000D_
12 18 14:11:09 983 W AppCenter( 5160): Try  2 failed and will be retried in 170993 ms_x000D_
12 18 14:11:09 983 W AppCenter( 5160): javax net ssl SSLException: SSL handshake aborted: ssl 0x6cf3d4e0: I O error during system call  Connection reset by peer_x000D_
12 18 14:11:09 983 W AppCenter( 5160): 	at com android org conscrypt NativeCrypto SSL do handshake(Native Method)_x000D_
12 18 14:11:09 983 W AppCenter( 5160): 	at com android org conscrypt OpenSSLSocketImpl startHandshake(OpenSSLSocketImpl java:486)_x000D_
12 18 14:11:09 983 W AppCenter( 5160): 	at com android okhttp Connection upgradeToTls(Connection java:146)_x000D_
12 18 14:11:09 983 W AppCenter( 5160): 	at com android okhttp Connection connect(Connection java:107)_x000D_
12 18 14:11:09 983 W AppCenter( 5160): 	at com android okhttp internal http HttpEngine connect(HttpEngine java:294)_x000D_
12 18 14:11:09 983 W AppCenter( 5160): 	at com android okhttp internal http HttpEngine sendSocketRequest(HttpEngine java:255)_x000D_
12 18 14:11:09 983 W AppCenter( 5160): 	at com android okhttp internal http HttpEngine sendRequest(HttpEngine java:206)_x000D_
12 18 14:11:09 983 W AppCenter( 5160): 	at com android okhttp internal http HttpURLConnectionImpl execute(HttpURLConnectionImpl java:345)_x000D_
12 18 14:11:09 983 W AppCenter( 5160): 	at com android okhttp internal http HttpURLConnectionImpl connect(HttpURLConnectionImpl java:89)_x000D_
12 18 14:11:09 983 W AppCenter( 5160): 	at com android okhttp internal http HttpURLConnectionImpl getOutputStream(HttpURLConnectionImpl java:197)_x000D_
12 18 14:11:09 983 W AppCenter( 5160): 	at com android okhttp internal http HttpsURLConnectionImpl getOutputStream(HttpsURLConnectionImpl java:254)_x000D_
12 18 14:11:09 983 W AppCenter( 5160): 	at com microsoft appcenter http DefaultHttpClientCallTask doHttpCall(DefaultHttpClientCallTask java:249)_x000D_
12 18 14:11:09 983 W AppCenter( 5160): 	at com microsoft appcenter http DefaultHttpClientCallTask doInBackground(DefaultHttpClientCallTask java:296)_x000D_
12 18 14:11:09 983 W AppCenter( 5160): 	at com microsoft appcenter http DefaultHttpClientCallTask doInBackground(DefaultHttpClientCallTask java:39)_x000D_
12 18 14:11:09 983 W AppCenter( 5160): 	at android os AsyncTask 2 call(AsyncTask java:288)_x000D_
12 18 14:11:09 983 W AppCenter( 5160): 	at java util concurrent FutureTask run(FutureTask java:237)_x000D_
12 18 14:11:09 983 W AppCenter( 5160): 	at java util concurrent ThreadPoolExecutor runWorker(ThreadPoolExecutor java:1112)_x000D_
12 18 14:11:09 983 W AppCenter( 5160): 	at java util concurrent ThreadPoolExecutor Worker run(ThreadPoolExecutor java:587)_x000D_
12 18 14:11:09 983 W AppCenter( 5160): 	at java lang Thread run(Thread java:841) _x000D_
_x000D_
</t>
  </si>
  <si>
    <t>Piwigo-Piwigo-Android-79</t>
  </si>
  <si>
    <t>Doesn't launch. Just crashes.</t>
  </si>
  <si>
    <t>The first time I launched it  I got a login screen  I submitted my credentials and it crashed out  It just said Piwigo has stopped  After that  when I launch it  it goes straight to Piwigo has stopped _x000D_
_x000D_
Android 5 1</t>
  </si>
  <si>
    <t>sschueller-peertube-android-45</t>
  </si>
  <si>
    <t>Crash on opening video page</t>
  </si>
  <si>
    <t xml:space="preserve">PeerTube v1 0 6 from F Droid on a Nokia 6 1 running Android v9 (Pie) 
Tapping on any video seems to crash the app 
Logs  
12 18 01:02:00 528 I ActivityManager(1259): START u0  act android intent action MAIN cat  android intent category LAUNCHER  flg 0x10300000 cmp net schueller peertube  activity VideoListActivity (has extras)  from uid 10098
12 18 01:02:00 536 D ActivityTrigger(1259): activityStartTrigger: Activity is Triggerred in full screen ApplicationInfo b841f2e net schueller peertube 
12 18 01:02:00 536 E ActivityTrigger(1259): activityStartTrigger: not whiteListednet schueller peertube net schueller peertube activity VideoListActivity 106
12 18 01:02:00 539 D ActivityTrigger(1259): activityResumeTrigger: The activity in ApplicationInfo b841f2e net schueller peertube  is now in focus and seems to be in full screen mode
12 18 01:02:00 539 E ActivityTrigger(1259): activityResumeTrigger: not whiteListednet schueller peertube net schueller peertube activity VideoListActivity 106
12 18 01:02:00 551 D ActivityTrigger(1259): activityResumeTrigger: The activity in ApplicationInfo b841f2e net schueller peertube  is now in focus and seems to be in full screen mode
12 18 01:02:00 551 E ActivityTrigger(1259): activityResumeTrigger: not whiteListednet schueller peertube net schueller peertube activity VideoListActivity 106
12 18 01:02:00 555 D ActivityManager(1259): Package  net schueller peertube  have process
12 18 01:02:00 558 I PhoneWindow(1259): isAPPNeedChangeSBColor pkgName: net schueller peertube needKeep: false
12 18 01:02:00 559 I PhoneWindow(1259): isAPPNeedChange pkgName: net schueller peertube needKeep: false
12 18 01:02:00 575 I ActivityManager(1259): Start proc 21749:net schueller peertube u0a22 for activity net schueller peertube  activity VideoListActivity
12 18 01:02:00 576 D ActivityManager(1259): handleProcessStartedLocked mDoneFinishBooting    app pid    0      notifyProcessStart  app processName   net schueller peertube  app info   ApplicationInfo b841f2e net schueller peertube   app hostingType   activity  getHostingName()   ComponentInfo net schueller peertube net schueller peertube activity VideoListActivity   getIntentFlag()   0  getIsPackageRunning()   true  app   ProcessRecord 2e58c08 21749:net schueller peertube u0a22   getExtraData()   Bundle  ACTIVITY TASK AFFINITY net schueller peertube  ACTIVITY INTENT Intent   act android intent action MAIN cat  android intent category LAUNCHER  flg 0x10300000 cmp net schueller peertube  activity VideoListActivity (has extras)    CALLER PACKAGE com android launcher3  ACTIVITY INFO ActivityInfo 44d1663 net schueller peertube activity VideoListActivity   
12 18 01:02:00 576 V ActivityManager(1259): notifyProcessStart: net schueller peertube for: activity from: com android launcher3 packageName: net schueller peertube className: net schueller peertube activity VideoListActivity
12 18 01:02:00 622 I  PowerSavingAppG3 BackgroundCleanService(3817): pid: 21749  calleeApp: net schueller peertube
12 18 01:02:00 623 I  PowerSavingAppG3 ProcessMonitorService(3817): pid: 21749  calleeApp: net schueller peertube
12 18 01:02:00 626 I  PowerSavingAppG3 BackgroundCleanService(3817): net schueller peertube add to mTopApList 
12 18 01:02:00 625 I  PowerSavingAppG3 ProcessMonitorService(3817): net schueller peertube add to mTopApList 
12 18 01:02:00 712 I PhoneWindow(21749): isAPPNeedChangeSBColor pkgName: net schueller peertube needKeep: false
12 18 01:02:00 714 I PhoneWindow(21749): isAPPNeedChange pkgName: net schueller peertube needKeep: false
12 18 01:02:00 766 D  PowerSavingAppG3 ProcessMonitorService(3817): topApps    com pluscubed matloglibre  com fastaccess github libre  net schueller peertube 
12 18 01:02:00 880 D  PowerSavingAppG3 ProcessMonitorService(3817): calleePackageName   net schueller peertube callerPacageName   com android launcher3 hostingType   activity screenOn   true cmp   net schueller peertube activity VideoListActivity cat    android intent category LAUNCHER  action   android intent action MAIN isExceptionalActivitiy   false
12 18 01:02:00 884 D  PowerSavingAppG3 ProcessMonitorService(3817): Ignore package net schueller peertube component   net schueller peertube activity VideoListActivity
12 18 01:02:01 034 I ActivityManager(1259): Displayed net schueller peertube  activity VideoListActivity:  479ms
12 18 01:02:01 199 W SurfaceFlinger(763): Attempting to set client state on removed layer: Splash Screen net schueller peertube 0
12 18 01:02:01 200 W SurfaceFlinger(763): Attempting to destroy on removed layer: Splash Screen net schueller peertube 0
12 18 01:02:03 398 I ActivityManager(1259): START u0  cmp net schueller peertube  activity VideoPlayActivity (has extras)  from uid 10022
12 18 01:02:03 409 D ActivityTrigger(1259): activityStartTrigger: Activity is Triggerred in full screen ApplicationInfo b841f2e net schueller peertube 
12 18 01:02:03 409 E ActivityTrigger(1259): activityStartTrigger: not whiteListednet schueller peertube net schueller peertube activity VideoPlayActivity 106
12 18 01:02:03 411 D ActivityTrigger(1259): activityResumeTrigger: The activity in ApplicationInfo b841f2e net schueller peertube  is now in focus and seems to be in full screen mode
12 18 01:02:03 411 E ActivityTrigger(1259): activityResumeTrigger: not whiteListednet schueller peertube net schueller peertube activity VideoPlayActivity 106
12 18 01:02:03 428 D ActivityTrigger(1259): activityResumeTrigger: The activity in ApplicationInfo b841f2e net schueller peertube  is now in focus and seems to be in full screen mode
12 18 01:02:03 428 E ActivityTrigger(1259): activityResumeTrigger: not whiteListednet schueller peertube net schueller peertube activity VideoPlayActivity 106
12 18 01:02:03 454 I PhoneWindow(21749): isAPPNeedChangeSBColor pkgName: net schueller peertube needKeep: false
12 18 01:02:03 456 I PhoneWindow(21749): isAPPNeedChange pkgName: net schueller peertube needKeep: false
12 18 01:02:03 636 I ActivityManager(1259): Displayed net schueller peertube  activity VideoPlayActivity:  195ms
12 18 01:02:03 905 E AndroidRuntime(21749): Process: net schueller peertube  PID: 21749
12 18 01:02:03 905 E AndroidRuntime(21749): java lang RuntimeException: Unable to start service net schueller peertube service VideoPlayerService 5cb92ba with Intent   cmp net schueller peertube  service VideoPlayerService  : java lang SecurityException: Permission Denial: startForeground from pid 21749  uid 10022 requires android permission FOREGROUND SERVICE
12 18 01:02:03 905 E AndroidRuntime(21749): 	at net schueller peertube service VideoPlayerService 2 onNotificationStarted(VideoPlayerService java:170)
12 18 01:02:03 905 E AndroidRuntime(21749): 	at net schueller peertube service VideoPlayerService playVideo(VideoPlayerService java:183)
12 18 01:02:03 905 E AndroidRuntime(21749): 	at net schueller peertube service VideoPlayerService onStartCommand(VideoPlayerService java:91)
12 18 01:02:03 908 W ActivityManager(1259):   Force finishing activity net schueller peertube  activity VideoPlayActivity
12 18 01:02:03 917 W ActivityManager(1259):   Force finishing activity net schueller peertube  activity VideoListActivity
12 18 01:02:03 926 I ActivityManager(1259): Showing crash dialog for package net schueller peertube u0
12 18 01:02:04 366 I StabilityMonitor(21832):  ParserUtility  key word : net schueller peertube
12 18 01:02:04 369 I StabilityMonitor(21832):  APRReport  exceptionItem  tag:data app crash packageName:net schueller peertube versionCode:106 versionName:1 0 6
12 18 01:02:04 412 W ActivityManager(1259): Activity pause timeout for ActivityRecord fd88550 u0 net schueller peertube  activity VideoPlayActivity t20190 f 
12 18 01:02:04 426 E STBIntentService(21832): send error message:data app crash 1545075123933(pkgName:net schueller peertube version:1 0 6 versionCode:106) to BBS for ANR FC TOMB STONE   
12 18 01:02:04 435 E STBMonitorQueue(21832): restore data: data system dropbox data app crash 1545074834592 txt 106 1 0 6 net schueller peertube into regularQue queue   
12 18 01:02:04 435 E STBMonitorQueue(21832): restore data: data system dropbox data app crash 1545074835895 txt 106 1 0 6 net schueller peertube into regularQue queue   
12 18 01:02:04 435 E STBMonitorQueue(21832): restore data: data system dropbox data app crash 1545074859340 txt 106 1 0 6 net schueller peertube into regularQue queue   
12 18 01:02:04 435 E STBMonitorQueue(21832): restore data: data system dropbox data app crash 1545075060024 txt 106 1 0 6 net schueller peertube into regularQue queue   
12 18 01:02:04 435 E STBMonitorQueue(21832): restore data: data system dropbox data app crash 1545075061292 txt 106 1 0 6 net schueller peertube into regularQue queue   
12 18 01:02:04 436 E STBMonitorQueue(21832): restore data: data system dropbox data app crash 1545075067014 txt 106 1 0 6 net schueller peertube into regularQue queue   
12 18 01:02:04 465 D  PowerSavingAppG3 ProcessMonitorService(3817): topApps    net schueller peertube  com pluscubed matloglibre  com fastaccess github libre 
12 18 01:02:04 617 D  PowerSavingAppG3 ProcessMonitorService(3817): topApps    net schueller peertube  com pluscubed matloglibre  com fastaccess github libre 
12 18 01:02:05 578 W MediaCodec(21749): writeStatsLog:net schueller peertube
12 18 01:02:05 626 I  PowerSavingAppG3 ProcessMonitorService(3817): original mTopApList    com fastaccess github libre  com pluscubed matloglibre  net schueller peertube 
12 18 01:02:05 627 I  PowerSavingAppG3 ProcessMonitorService(3817): keep mTopApList    com fastaccess github libre  com pluscubed matloglibre  net schueller peertube 
12 18 01:02:05 663 W ActivityManager(1259):   Force finishing activity net schueller peertube  activity VideoPlayActivity
12 18 01:02:05 664 W ActivityManager(1259):   Force finishing activity net schueller peertube  activity VideoListActivity
12 18 01:02:05 676 W SurfaceFlinger(763): Attempting to destroy on removed layer: a37ae68 net schueller peertube net schueller peertube activity VideoPlayActivity 0
12 18 01:02:05 716 I ActivityManager(1259): Killing 21749:net schueller peertube u0a22 (adj 0): crash
12 18 01:02:05 717 W ActivityManager(1259): Bringing down service while still waiting for start foreground: ServiceRecord 1c6f75a u0 net schueller peertube  service VideoPlayerService 
12 18 01:02:05 726 W SurfaceFlinger(763): Attempting to destroy on removed layer: 4db0852 net schueller peertube net schueller peertube activity VideoListActivity 0
12 18 01:02:10 778 D  PowerSavingAppG3 ProcessMonitorService(3817): topApps    com pluscubed matloglibre  net schueller peertube  com fastaccess github libre 
12 18 01:02:14 103 I  PowerSavingAppG3 ProcessMonitorService(3817): original mTopApList    com fastaccess github libre  net schueller peertube  com pluscubed matloglibre 
12 18 01:02:14 103 I  PowerSavingAppG3 ProcessMonitorService(3817): keep mTopApList    com fastaccess github libre  net schueller peertube  com pluscubed matloglibre 
12 18 01:02:20 738 D  PowerSavingAppG3 ProcessMonitorService(3817): topApps    com pluscubed matloglibre  net schueller peertube  com fastaccess github libre 
12 18 01:02:30 757 D  PowerSavingAppG3 ProcessMonitorService(3817): topApps    com pluscubed matloglibre  net schueller peertube  com fastaccess github libre 
   </t>
  </si>
  <si>
    <t>OneBusAway-onebusaway-android-949</t>
  </si>
  <si>
    <t>Crash on Android P - Didn't find class "org.apache.http.ProtocolVersion"</t>
  </si>
  <si>
    <t xml:space="preserve">  Summary:   _x000D_
_x000D_
If you run the  nav  branch on Android P device  you get a crash with the following:_x000D_
_x000D_
   _x000D_
    Process: com joulespersecond seattlebusbot  PID: 7923_x000D_
    java lang NoClassDefFoundError: Failed resolution of: Lorg apache http ProtocolVersion _x000D_
        at ez b(:com google android gms dynamite mapsdynamite 14799084 14 7 99 (100700 223214910):3)_x000D_
        at ey a(:com google android gms dynamite mapsdynamite 14799084 14 7 99 (100700 223214910):3)_x000D_
        at fa a(:com google android gms dynamite mapsdynamite 14799084 14 7 99 (100700 223214910):15)_x000D_
        at com google maps api android lib6 drd al a(:com google android gms dynamite mapsdynamite 14799084 14 7 99 (100700 223214910):6)_x000D_
        at ed a(:com google android gms dynamite mapsdynamite 14799084 14 7 99 (100700 223214910):21)_x000D_
        at ed run(:com google android gms dynamite mapsdynamite 14799084 14 7 99 (100700 223214910):8)_x000D_
     Caused by: java lang ClassNotFoundException: Didn t find class  org apache http ProtocolVersion  on path: DexPathList  zip file   data user de 0 com google android gms app chimera m 0000000d MapsDynamite apk   nativeLibraryDirectories   data user de 0 com google android gms app chimera m 0000000d MapsDynamite apk  lib x86   system lib  _x000D_
        at dalvik system BaseDexClassLoader findClass(BaseDexClassLoader java:134)_x000D_
        at java lang ClassLoader loadClass(ClassLoader java:379)_x000D_
        at ad loadClass(:com google android gms dynamite dynamiteloader 14799084 14 7 99 (100700 223214910):4)_x000D_
        at java lang ClassLoader loadClass(ClassLoader java:312)_x000D_
        at ez b(:com google android gms dynamite mapsdynamite 14799084 14 7 99 (100700 223214910):3) _x000D_
        at ey a(:com google android gms dynamite mapsdynamite 14799084 14 7 99 (100700 223214910):3) _x000D_
        at fa a(:com google android gms dynamite mapsdynamite 14799084 14 7 99 (100700 223214910):15) _x000D_
        at com google maps api android lib6 drd al a(:com google android gms dynamite mapsdynamite 14799084 14 7 99 (100700 223214910):6) _x000D_
        at ed a(:com google android gms dynamite mapsdynamite 14799084 14 7 99 (100700 223214910):21) _x000D_
        at ed run(:com google android gms dynamite mapsdynamite 14799084 14 7 99 (100700 223214910):8) _x000D_
   _x000D_
_x000D_
The Android Maps SDK notes (https:  developers google com maps documentation android sdk config specify requirement for apache http legacy library) now says:_x000D_
_x000D_
 If your app is targeting API level 28 (Android 9 0) or above  you must include the following declaration within the   application   element of AndroidManifest xml _x000D_
 _x000D_
       uses library_x000D_
             android:name  org apache http legacy _x000D_
        android:required  false    _x000D_
 If your app is targeting a lower API level  this is handled for you _x000D_
_x000D_
Curiously this doesn t happen on the master branch yet  so it must be a side effect of newer Maps API version in the nav branch  or a combination with other Firebase or Play Services features there _x000D_
_x000D_
  Steps to reproduce:   _x000D_
_x000D_
Run app on Android P device_x000D_
_x000D_
  Expected behavior:   _x000D_
_x000D_
Not crash_x000D_
_x000D_
  Observed behavior:   _x000D_
_x000D_
Crash_x000D_
_x000D_
  Device and Android version:   _x000D_
_x000D_
Pixel 2 emulator w  Android 9  build number PSR1 180720 075</t>
  </si>
  <si>
    <t>ursval-TK-autoCoach-3</t>
  </si>
  <si>
    <t>Incorrect objects releasing on exit</t>
  </si>
  <si>
    <t>When program is exited by pressing  back  button  a bunch of exceptions is thrown in debugger  also label  program crashed  shows on device_x000D_
_x000D_
  Samsung Galaxy S7 Edge (SM G935FD)  android 7 0</t>
  </si>
  <si>
    <t>Swrve-swrve-android-sdk-280</t>
  </si>
  <si>
    <t>[Crash] when get a new push notification on the build type which enabled ProGuard</t>
  </si>
  <si>
    <t xml:space="preserve">    Issue_x000D_
The app build which enabled ProGuard is crashed when a new Swrve push notification comes _x000D_
_x000D_
    Cause_x000D_
After obfuscation  the GSON model class s name or properties  name has been changed  but GSON uses property reflection to map the JSON object to model class  So when the new push comes  the GSON couldn t deserialize the response _x000D_
_x000D_
    Solution_x000D_
Avoid the push notification related models are obfuscated by adding an additional ProGuard rule to the SDK_x000D_
</t>
  </si>
  <si>
    <t>Susanfe-sdp-event-management-275</t>
  </si>
  <si>
    <t>Facebook news crashes on real device when logging in</t>
  </si>
  <si>
    <t xml:space="preserve">Cannot login to facebook  The app crashes </t>
  </si>
  <si>
    <t>commons-app-apps-android-commons-2123</t>
  </si>
  <si>
    <t>App crashing on clicking any search result in Explore</t>
  </si>
  <si>
    <t xml:space="preserve">  Summary:   _x000D_
_x000D_
App crashes on clicking any search result in Explore _x000D_
_x000D_
  Steps to reproduce:   _x000D_
_x000D_
1  Search something in Explore  _x000D_
2  Click on any search result _x000D_
3  The app will crash _x000D_
 _x000D_
  System logs:  _x000D_
_x000D_
   _x000D_
java lang NullPointerException: Attempt to invoke virtual method  android support v4 app FragmentActivity android support v4 app Fragment getActivity()  on a null object reference at fr free nrw commons media MediaDetailPagerFragment MediaDetailAdapter getItem(MediaDetailPagerFragment java:401) at android support v4 app FragmentStatePagerAdapter instantiateItem(FragmentStatePagerAdapter java:109)_x000D_
        at android support v4 view ViewPager addNewItem(ViewPager java:1004)_x000D_
        at android support v4 view ViewPager populate(ViewPager java:1152)_x000D_
        at android support v4 view ViewPager populate(ViewPager java:1086)_x000D_
        at android support v4 view ViewPager onMeasure(ViewPager java:1616)_x000D_
        at android view View measure(View java:19883)_x000D_
        at android view ViewGroup measureChildWithMargins(ViewGroup java:6085)_x000D_
        at android widget LinearLayout measureChildBeforeLayout(LinearLayout java:1464)_x000D_
        at android widget LinearLayout measureVertical(LinearLayout java:758)_x000D_
        at android widget LinearLayout onMeasure(LinearLayout java:640)_x000D_
        at android view View measure(View java:19883)_x000D_
        at android view ViewGroup measureChildWithMargins(ViewGroup java:6085)_x000D_
        at android widget FrameLayout onMeasure(FrameLayout java:185)_x000D_
        at android view View measure(View java:19883)_x000D_
        at android widget RelativeLayout measureChildHorizontal(RelativeLayout java:715)_x000D_
        at android widget RelativeLayout onMeasure(RelativeLayout java:461)_x000D_
        at android view View measure(View java:19883)_x000D_
        at android support v4 widget DrawerLayout onMeasure(DrawerLayout java:1059)_x000D_
        at android view View measure(View java:19883)_x000D_
        at android view ViewGroup measureChildWithMargins(ViewGroup java:6085)_x000D_
        at android widget FrameLayout onMeasure(FrameLayout java:185)_x000D_
        at android support v7 widget ContentFrameLayout onMeasure(ContentFrameLayout java:141)_x000D_
        at android view View measure(View java:19883)_x000D_
        at android view ViewGroup measureChildWithMargins(ViewGroup java:6085)_x000D_
        at android widget LinearLayout measureChildBeforeLayout(LinearLayout java:1464)_x000D_
        at android widget LinearLayout measureVertical(LinearLayout java:758)_x000D_
        at android widget LinearLayout onMeasure(LinearLayout java:640)_x000D_
        at android view View measure(View java:19883)_x000D_
        at android view ViewGroup measureChildWithMargins(ViewGroup java:6085)_x000D_
        at android widget FrameLayout onMeasure(FrameLayout java:185)_x000D_
        at android view View measure(View java:19883)_x000D_
        at android view ViewGroup measureChildWithMargins(ViewGroup java:6085)_x000D_
        at android widget LinearLayout measureChildBeforeLayout(LinearLayout java:1464)_x000D_
        at android widget LinearLayout measureVertical(LinearLayout java:758)_x000D_
        at android widget LinearLayout onMeasure(LinearLayout java:640)_x000D_
        at android view View measure(View java:19883)_x000D_
        at android view ViewGroup measureChildWithMargins(ViewGroup java:6085)_x000D_
        at android widget FrameLayout onMeasure(FrameLayout java:185)_x000D_
        at com android internal policy DecorView onMeasure(DecorView java:693)_x000D_
        at android view View measure(View java:19883)_x000D_
        at android view ViewRootImpl performMeasure(ViewRootImpl java:2317)_x000D_
        at android view ViewRootImpl measureHierarchy(ViewRootImpl java:1408)_x000D_
        at android view ViewRootImpl performTraversals(ViewRootImpl java:1661)_x000D_
        at android view ViewRootImpl doTraversal(ViewRootImpl java:1296)_x000D_
        at android view ViewRootImpl TraversalRunnable run(ViewRootImpl java:6401)_x000D_
        at android view Choreographer CallbackRecord run(Choreographer java:876)_x000D_
        at android view Choreographer doCallbacks(Choreographer java:688)_x000D_
        at android view Choreographer doFrame(Choreographer java:623)_x000D_
        at android view Choreographer FrameDisplayEventReceiver run(Choreographer java:862)_x000D_
        at android os Handler handleCallback(Handler java:754)_x000D_
        at android os Handler dispatchMessage(Handler java:95)_x000D_
        at android os Looper loop(Looper java:163)_x000D_
        at android app ActivityThread main(ActivityThread java:6205)_x000D_
        at java lang reflect Method invoke(Native Method)_x000D_
        at com android internal os ZygoteInit MethodAndArgsCaller run(ZygoteInit java:904)_x000D_
   _x000D_
_x000D_
  Commons app version:   _x000D_
 _x000D_
2 9 0_x000D_
Branch: master_x000D_
Build: betaDebug_x000D_
_x000D_
  GIF:   _x000D_
        _x000D_
  ezgif com video to gif 2 (https:  user images githubusercontent com 35566748 50040204 2d1bbc00 0065 11e9 88c1 561496a1a7be gif)_x000D_
_x000D_
  Would you like to work on the issue   _x000D_
_x000D_
Yes_x000D_
</t>
  </si>
  <si>
    <t>react-native-camera-react-native-camera-2002</t>
  </si>
  <si>
    <t>increasing brightness to min or max make app to crash</t>
  </si>
  <si>
    <t xml:space="preserve">  Bug Report_x000D_
  To Do First  _x000D_
   NO Method has same code  Did you try latest release _x000D_
   No Method has same code as master  Did you try master _x000D_
   YES   Did you look for existing matching issues _x000D_
_x000D_
  Related Modules  _x000D_
    Comment in the related ones   _x000D_
RNCameraManager m_x000D_
_x000D_
  Platforms  _x000D_
    Comment in the related ones   _x000D_
iOS_x000D_
_x000D_
  Versions  _x000D_
    Please add the used versions branches or leave blank and comment in the optionals if used   _x000D_
  Android:_x000D_
  iOS: 11_x000D_
  react native camera :  1 1 2  _x000D_
   _x000D_
react native cli: 2 0 1_x000D_
react native: 0 53 3_x000D_
   _x000D_
     react navigation:   _x000D_
_x000D_
  Description Current Behaviour  _x000D_
    place your bug description below   _x000D_
Try to increase the brightness to max and min App crash_x000D_
_x000D_
  Expected Behaviour  _x000D_
    place your expected behaviour below   _x000D_
App should not crash_x000D_
_x000D_
  Steps to Reproduce  _x000D_
    describe how to produce the error below   _x000D_
Try to increase the brightness to max and min App crash_x000D_
_x000D_
      Does it work with Expo Camera      _x000D_
    Check usage with Expo and comment in this section  https:  github com react native community react native camera blob master docs Expo Usage md_x000D_
You should open an issue there as well  so we can cooperate in a solution    _x000D_
_x000D_
_x000D_
  Additionals  _x000D_
    place screenshots suggestions and other additional infos below   _x000D_
_x000D_
  Love react native camera  Please consider supporting our collective:    https:  opencollective com react native camera donate_x000D_
  Want this issue to be resolved faster  Please consider adding a bounty to it https:  issuehunt io repos 33218414_x000D_
_x000D_
The code_x000D_
          device setExposureMode:exposureMode     crash this line _x000D_
_x000D_
   _x000D_
  (void)focusWithMode:(AVCaptureFocusMode)focusMode exposeWithMode:(AVCaptureExposureMode)exposureMode atDevicePoint:(CGPoint)point monitorSubjectAreaChange:(BOOL)monitorSubjectAreaChange_x000D_
 _x000D_
  dispatch async( self sessionQueue     _x000D_
    AVCaptureDevice  device     self videoCaptureDeviceInput  device  _x000D_
    NSError  error   nil _x000D_
    if ( device lockForConfiguration: error )_x000D_
     _x000D_
      if ( device isFocusPointOfInterestSupported      device isFocusModeSupported:focusMode )_x000D_
       _x000D_
         device setFocusMode:focusMode  _x000D_
         device setFocusPointOfInterest:point  _x000D_
       _x000D_
      if ( device isExposurePointOfInterestSupported      device isExposureModeSupported:exposureMode )_x000D_
       _x000D_
         device setExposureMode:exposureMode     crash in this line_x000D_
         device setExposurePointOfInterest:point  _x000D_
       _x000D_
       device setSubjectAreaChangeMonitoringEnabled:monitorSubjectAreaChange  _x000D_
       device unlockForConfiguration  _x000D_
     _x000D_
    else_x000D_
     _x000D_
      NSLog(       error) _x000D_
     _x000D_
   ) _x000D_
 _x000D_
   _x000D_
_x000D_
More Info_x000D_
po device_x000D_
  AVCaptureFigVideoDevice: 0x14230a030  Back Camera  com apple avfoundation avcapturedevice built in video:0   _x000D_
_x000D_
   _x000D_
(lldb) po exposureMode_x000D_
AVCaptureExposureModeContinuousAutoExposure_x000D_
   _x000D_
_x000D_
 img width  1271  alt  screenshot 2018 12 15 at 1 16 07 am  src  https:  user images githubusercontent com 7522708 50024034 1cd4f400 0007 11e9 942a e190e8629039 png  _x000D_
_x000D_
_x000D_
 Thread 70: EXC BAD ACCESS (code 1  address 0xb6ca56110) </t>
  </si>
  <si>
    <t>sridharjajoo-NewsApp-22</t>
  </si>
  <si>
    <t xml:space="preserve">Crash in SearchFragment </t>
  </si>
  <si>
    <t xml:space="preserve">There is a crash in SearchFragment when we search for a query when no internet is present  This needs to be resolved </t>
  </si>
  <si>
    <t>NordicSemiconductor-Android-BLE-Library-61</t>
  </si>
  <si>
    <t>NPE Connect notifySuccess</t>
  </si>
  <si>
    <t>I had two phones competing to connect to the same device  and this crash happened in one of them  The other did connect successfully_x000D_
_x000D_
   _x000D_
java lang NullPointerException: Attempt to invoke virtual method  void no nordicsemi android ble ConnectRequest notifySuccess(android bluetooth BluetoothDevice)  on a null object reference_x000D_
        at no nordicsemi android ble BleManager internalConnect(BleManager java:733)_x000D_
        at no nordicsemi android ble BleManager access 2100(BleManager java:113)_x000D_
        at no nordicsemi android ble BleManager BleManagerGattCallback onConnectionStateChangeSafe(BleManager java:2495)_x000D_
        at no nordicsemi android ble MainThreadBluetoothGattCallback lambda onConnectionStateChange 0(MainThreadBluetoothGattCallback java:107)_x000D_
        at no nordicsemi android ble    Lambda MainThreadBluetoothGattCallback nMa21BAwq4uT MjxPntqE NM9y8 run(lambda)_x000D_
        at android os Handler handleCallback(Handler java:739)_x000D_
        at android os Handler dispatchMessage(Handler java:95)_x000D_
        at android os Looper loop(Looper java:145)_x000D_
        at android app ActivityThread main(ActivityThread java:6939)_x000D_
        at java lang reflect Method invoke(Native Method)_x000D_
        at java lang reflect Method invoke(Method java:372)_x000D_
        at com android internal os ZygoteInit MethodAndArgsCaller run(ZygoteInit java:1404)_x000D_
        at com android internal os ZygoteInit main(ZygoteInit java:1199)_x000D_
   _x000D_
_x000D_
version 2 0 3</t>
  </si>
  <si>
    <t>gsantner-markor-457</t>
  </si>
  <si>
    <t>Activity Title not updated at MainActivity</t>
  </si>
  <si>
    <t xml:space="preserve">     General information_x000D_
_x000D_
    App version:   1 5 0 F Droid_x000D_
    System:   LineageOS 15 1  based on Android 8 1_x000D_
_x000D_
     Description_x000D_
The app doesn t change the   activity     title name   when i swipe left or right to change the activity  It does if i use the buttons for navigation located at the bottom bar _x000D_
_x000D_
     Log_x000D_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android contribution guide  packageid net gsantner markor project markor web https:  github com gsantner markor logcat_x000D_
   _x000D_
</t>
  </si>
  <si>
    <t>gsantner-markor-455</t>
  </si>
  <si>
    <t>Cannot add new Jekyll Post</t>
  </si>
  <si>
    <t xml:space="preserve">     General information_x000D_
_x000D_
    App version:   1 5 0 F Droid_x000D_
    System:   Android 6 0 1  Samsung S5_x000D_
_x000D_
     Description_x000D_
_x000D_
App crashes when i select  Jekyll Post  as Type in new file dialog  _x000D_
_x000D_
     Log_x000D_
   _x000D_
FATAL EXCEPTION: main_x000D_
Process: net gsantner markor  PID: 12503_x000D_
java lang IllegalArgumentException: Unknown pattern character  Y _x000D_
       at java text SimpleDateFormat validatePatternCharacter(SimpleDateFormat java:323)_x000D_
       at java text SimpleDateFormat validatePattern(SimpleDateFormat java:305)_x000D_
       at java text SimpleDateFormat  init (SimpleDateFormat java:365)_x000D_
       at java text SimpleDateFormat  init (SimpleDateFormat java:258)_x000D_
       at net gsantner markor ui NewFileDialog 1 onItemSelected(NewFileDialog java:93)_x000D_
       at android widget AdapterView fireOnSelected(AdapterView java:1165)_x000D_
       at android widget AdapterView dispatchOnItemSelected(AdapterView java:1154)_x000D_
       at android widget AdapterView access 300(AdapterView java:59)_x000D_
       at android widget AdapterView SelectionNotifier run(AdapterView java:1121)_x000D_
       at android os Handler handleCallback(Handler java:739)_x000D_
       at android os Handler dispatchMessage(Handler java:95)_x000D_
       at android os Looper loop(Looper java:158)       _x000D_
       at android app ActivityThread main(ActivityThread java:7224)_x000D_
       at java lang reflect Method invoke(Native Method)_x000D_
       at com android internal os ZygoteInit MethodAndArgsCaller run(ZygoteInit java:1230)_x000D_
       at com android internal os ZygoteInit main(ZygoteInit java:1120)_x000D_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android contribution guide  packageid net gsantner markor project markor web https:  github com gsantner markor logcat_x000D_
   _x000D_
</t>
  </si>
  <si>
    <t>TNG-JGiven-376</t>
  </si>
  <si>
    <t>Disabled test causes NullPointerException when using subclassable stage</t>
  </si>
  <si>
    <t xml:space="preserve">JUnit 5 3 2  JGiven 0 17 0_x000D_
_x000D_
Using the generics notation for a subclassable test Stage:_x000D_
    _x000D_
import com tngtech jgiven Stage _x000D_
_x000D_
public class ExtensibleReproStage SELF extends ExtensibleReproStage SELF   extends Stage SELF   _x000D_
  public SELF something()  _x000D_
    return self() _x000D_
   _x000D_
 _x000D_
    _x000D_
_x000D_
When a test scenario uses this class and has a  Disabled test  the following test will crash as  given()  returns null:_x000D_
_x000D_
    _x000D_
import com tngtech jgiven junit5 SimpleScenarioTest _x000D_
import org junit jupiter api Disabled _x000D_
import org junit jupiter api Test _x000D_
_x000D_
public class ReproTest extends SimpleScenarioTest ExtensibleReproStage   _x000D_
   Test_x000D_
   Disabled_x000D_
  void test1()  _x000D_
    given() something() _x000D_
   _x000D_
  _x000D_
   Test_x000D_
  void test2()  _x000D_
       given() returns null when following test1_x000D_
    given() something() _x000D_
   _x000D_
 _x000D_
    _x000D_
This does not happen with a  normal   non subclassable Stage_x000D_
_x000D_
This is likely somewhat related to  338 </t>
  </si>
  <si>
    <t>react-native-svg-react-native-svg-871</t>
  </si>
  <si>
    <t xml:space="preserve">Crash when trying to render an svg element  Happens on both debug release  Multiple devices Android ranging from Android v6 to 8 _x000D_
_x000D_
               beginning of crash_x000D_
2018 12 11 10:56:42 722 13880 13880 com XXXXXXXXXXXXX E AndroidRuntime: FATAL EXCEPTION: main_x000D_
    Process: com XXXXXXXXX  PID: 13880_x000D_
    java lang NullPointerException: Attempt to read from field  com horcrux svg SVGLength com horcrux svg MaskView mX  on a null object reference_x000D_
        at com horcrux svg RenderableView render(RenderableView java:268)_x000D_
        at com horcrux svg GroupView drawGroup(GroupView java:99)_x000D_
        at com horcrux svg GroupView draw(GroupView java:81)_x000D_
        at com horcrux svg RenderableView render(RenderableView java:309)_x000D_
        at com horcrux svg GroupView drawGroup(GroupView java:99)_x000D_
        at com horcrux svg GroupView draw(GroupView java:81)_x000D_
        at com horcrux svg RenderableView render(RenderableView java:309)_x000D_
        at com horcrux svg SvgView drawChildren(SvgView java:279)_x000D_
        at com horcrux svg SvgView drawOutput(SvgView java:232)_x000D_
        at com horcrux svg SvgView onDraw(SvgView java:89)_x000D_
        at android view View draw(View java:19132)_x000D_
        at android view View updateDisplayListIfDirty(View java:18082)_x000D_
        at android view View draw(View java:18860)_x000D_
        at android view ViewGroup drawChild(ViewGroup java:4214)_x000D_
        at android view ViewGroup dispatchDraw(ViewGroup java:4000)_x000D_
        at com facebook react views view ReactViewGroup dispatchDraw(ReactViewGroup java:699)_x000D_
        at android view View updateDisplayListIfDirty(View java:18073)_x000D_
        at android view View draw(View java:18860)_x000D_
        at android view ViewGroup drawChild(ViewGroup java:4214)_x000D_
        at android view ViewGroup dispatchDraw(ViewGroup java:4000)_x000D_
        at com facebook react views view ReactViewGroup dispatchDraw(ReactViewGroup java:699)_x000D_
        at android view View draw(View java:19135)_x000D_
        at android view View updateDisplayListIfDirty(View java:18082)_x000D_
        at android view View draw(View java:18860)_x000D_
        at android view ViewGroup drawChild(ViewGroup java:4214)_x000D_
        at android view ViewGroup dispatchDraw(ViewGroup java:4000)_x000D_
        at com facebook react views view ReactViewGroup dispatchDraw(ReactViewGroup java:699)_x000D_
        at android view View updateDisplayListIfDirty(View java:18073)_x000D_
        at android view View draw(View java:18860)_x000D_
        at android view ViewGroup drawChild(ViewGroup java:4214)_x000D_
        at android view ViewGroup dispatchDraw(ViewGroup java:4000)_x000D_
        at com facebook react views view ReactViewGroup dispatchDraw(ReactViewGroup java:699)_x000D_
        at android view View draw(View java:19135)_x000D_
        at android view View updateDisplayListIfDirty(View java:18082)_x000D_
        at android view View draw(View java:18860)_x000D_
        at android view ViewGroup drawChild(ViewGroup java:4214)_x000D_
        at android view ViewGroup dispatchDraw(ViewGroup java:4000)_x000D_
        at com facebook react views view ReactViewGroup dispatchDraw(ReactViewGroup java:699)_x000D_
        at android view View updateDisplayListIfDirty(View java:18073)_x000D_
        at android view View draw(View java:18860)_x000D_
        at android view ViewGroup drawChild(ViewGroup java:4214)_x000D_
        at android view ViewGroup dispatchDraw(ViewGroup java:4000)_x000D_
        at com facebook react views view ReactViewGroup dispatchDraw(ReactViewGroup java:699)_x000D_
        at android view View updateDisplayListIfDirty(View java:18073)_x000D_
        at android view View draw(View java:18860)_x000D_
        at android view ViewGroup drawChild(ViewGroup java:4214)_x000D_
        at android view ViewGroup dispatchDraw(ViewGroup java:4000)_x000D_
        at com facebook react views view ReactViewGroup dispatchDraw(ReactViewGroup java:699)_x000D_
        at android view View updateDisplayListIfDirty(View java:18073)_x000D_
        at android view View draw(View java:18860)_x000D_
        at android view ViewGroup drawChild(ViewGroup java:4214)_x000D_
        at android view ViewGroup dispatchDraw(ViewGroup java:4000)_x000D_
        at com facebook react ReactRootView dispatchDraw(ReactRootView java:226)_x000D_
        at android view View updateDisplayListIfDirty(View java:18073)_x000D_
        at android view View draw(View java:18860)_x000D_
        at android view ViewGroup drawChild(ViewGroup java:4214)_x000D_
        at android view ViewGroup dispatchDraw(ViewGroup java:4000)_x000D_
        at android view View updateDisplayListIfDirty(View java:18073)_x000D_
        at android view View draw(View java:18860)_x000D_
        at android view ViewGroup drawChild(ViewGroup java:4214)_x000D_
        at android view ViewGroup dispatchDraw(ViewGroup java:4000)_x000D_
        at android view View updateDisplayListIfDirty(View java:18073)_x000D_
        at android view View draw(View java:18860)_x000D_
2018 12 11 10:56:42 723 13880 13880 com XXXXXXXX E AndroidRuntime:     at android view ViewGroup drawChild(ViewGroup java:4214)_x000D_
        at android view ViewGroup dispatchDraw(ViewGroup java:4000)_x000D_
        at android view View draw(View java:19135)_x000D_
        at com android internal policy DecorView draw(DecorView java:794)_x000D_
        at android view View updateDisplayListIfDirty(View java:18082)_x000D_
        at android view ThreadedRenderer updateViewTreeDisplayList(ThreadedRenderer java:643)_x000D_
        at android view ThreadedRenderer updateRootDisplayList(ThreadedRenderer java:649)_x000D_
        at android view ThreadedRenderer draw(ThreadedRenderer java:757)_x000D_
        at android view ViewRootImpl draw(ViewRootImpl java:2994)_x000D_
        at android view ViewRootImpl performDraw(ViewRootImpl java:2798)_x000D_
        at android view ViewRootImpl performTraversals(ViewRootImpl java:2351)_x000D_
        at android view ViewRootImpl doTraversal(ViewRootImpl java:1390)_x000D_
        at android view ViewRootImpl TraversalRunnable run(ViewRootImpl java:6754)_x000D_
        at android view Choreographer CallbackRecord run(Choreographer java:966)_x000D_
        at android view Choreographer doCallbacks(Choreographer java:778)_x000D_
        at android view Choreographer doFrame(Choreographer java:713)_x000D_
        at android view Choreographer FrameDisplayEventReceiver run(Choreographer java:952)_x000D_
        at android os Handler handleCallback(Handler java:789)_x000D_
        at android os Handler dispatchMessage(Handler java:98)_x000D_
        at android os Looper loop(Looper java:251)_x000D_
        at android app ActivityThread main(ActivityThread java:6589)_x000D_
        at java lang reflect Method invoke(Native Method)_x000D_
        at com android internal os Zygote MethodAndArgsCaller run(Zygote java:240)_x000D_
        at com android internal os ZygoteInit main(ZygoteInit java:767) _x000D_
_x000D_
libs used in the app:_x000D_
  dependencies :  _x000D_
     lodash :  4 17 11  _x000D_
     moment :  2 22 2  _x000D_
     prop types :  15 6 2  _x000D_
     react :  16 6 1  _x000D_
     react native :  0 57 7  _x000D_
     react native camera :  1 5 1  _x000D_
     react native clock interval :  1 0 7  _x000D_
     react native config :  0 11 7  _x000D_
     react native device info :  0 24 3  _x000D_
     react native firebase :  5 1 0  _x000D_
     react native gesture handler :  1 0 10  _x000D_
     react native keyboard aware scroll view :  0 7 4  _x000D_
     react native modal translucent :     custom     _x000D_
     react native phone call :  1 0 9  _x000D_
     react native popup menu :  0 14 1  _x000D_
     react native qrcode svg :  5 1 0  _x000D_
     react native screens :  1 0 0 alpha 17  _x000D_
     react native splash screen :     custom     _x000D_
     react native svg :  8 0 9  _x000D_
     react native vector icons :  6 1 0  _x000D_
     react navigation :  3 0 5  _x000D_
     react redux :  6 0 0  _x000D_
     redux :  4 0 1  _x000D_
     tinycolor2 :  1 4 1  _x000D_
     weekstart :  1 0 0 _x000D_
    </t>
  </si>
  <si>
    <t>OneBusAway-onebusaway-android-943</t>
  </si>
  <si>
    <t>Developer builds crash if Embedded Social API key isn't provided in gradle.properties</t>
  </si>
  <si>
    <t xml:space="preserve">  Summary:   _x000D_
_x000D_
If you don t provide the  EmbeddedSocialApiKey oba xxxxxxxxxxxxx  line in your  gradle properties  file (in the   onebusaway android  directory)  when building  installing  and executing the app you ll see a crash:_x000D_
_x000D_
   _x000D_
 Process: com joulespersecond seattlebusbot  PID: 30919_x000D_
    java lang RuntimeException: Unable to create service com microsoft embeddedsocial service WorkerService: java lang NullPointerException: Attempt to invoke virtual method  com microsoft embeddedsocial server IAccountService com microsoft embeddedsocial server EmbeddedSocialServiceProvider getAccountService()  on a null object reference_x000D_
        at android app ActivityThread handleCreateService(ActivityThread java:3552)_x000D_
        at android app ActivityThread  wrap4(Unknown Source:0)_x000D_
        at android app ActivityThread H handleMessage(ActivityThread java:1786)_x000D_
        at android os Handler dispatchMessage(Handler java:105)_x000D_
        at android os Looper loop(Looper java:164)_x000D_
        at android app ActivityThread main(ActivityThread java:6938)_x000D_
        at java lang reflect Method invoke(Native Method)_x000D_
        at com android internal os Zygote MethodAndArgsCaller run(Zygote java:327)_x000D_
        at com android internal os ZygoteInit main(ZygoteInit java:1374)_x000D_
     Caused by: java lang NullPointerException: Attempt to invoke virtual method  com microsoft embeddedsocial server IAccountService com microsoft embeddedsocial server EmbeddedSocialServiceProvider getAccountService()  on a null object reference_x000D_
        at com microsoft embeddedsocial service handler SignInHandler  init (SignInHandler java:43)_x000D_
        at com microsoft embeddedsocial service IntentProcessorFactory createIntentProcessor(IntentProcessorFactory java:44)_x000D_
        at com microsoft embeddedsocial service WorkerService createIntentProcessor(WorkerService java:23)_x000D_
        at com microsoft embeddedsocial base service AbstractProcessingService onCreate(AbstractProcessingService java:49)_x000D_
        at android app ActivityThread handleCreateService(ActivityThread java:3542)_x000D_
        at android app ActivityThread  wrap4(Unknown Source:0) _x000D_
        at android app ActivityThread H handleMessage(ActivityThread java:1786) _x000D_
        at android os Handler dispatchMessage(Handler java:105) _x000D_
        at android os Looper loop(Looper java:164) _x000D_
        at android app ActivityThread main(ActivityThread java:6938) _x000D_
        at java lang reflect Method invoke(Native Method) _x000D_
        at com android internal os Zygote MethodAndArgsCaller run(Zygote java:327) _x000D_
        at com android internal os ZygoteInit main(ZygoteInit java:1374) _x000D_
   _x000D_
_x000D_
 acrown msft I believe this is new behavior with v0 7 3 _x000D_
_x000D_
  Steps to reproduce:   _x000D_
_x000D_
1  Make sure you don t have the  EmbeddedSocialApiKey oba xxxxxxxxxxx  line in  onebusaway android gradle properties _x000D_
1  Clean and build and run the app_x000D_
_x000D_
  Expected behavior:   _x000D_
_x000D_
Run without crashing (although Embedded Social features will be hidden)_x000D_
_x000D_
  Observed behavior:   _x000D_
_x000D_
Crash with the above stack trace_x000D_
_x000D_
  Device and Android version:   _x000D_
_x000D_
Samsung Galaxy S8  with Android 8 0</t>
  </si>
  <si>
    <t>fossasia-pslab-android-1466</t>
  </si>
  <si>
    <t>Unexpected Crash when recording at multimeter</t>
  </si>
  <si>
    <t xml:space="preserve">  Actual Behaviour  _x000D_
In multimeter   unexpected crash occurs on pressing delete after pausing the recording  _x000D_
Please state here what is currently happening _x000D_
_x000D_
  Expected Behaviour  _x000D_
The app should work smoothly _x000D_
State here what the feature should enable the user to do _x000D_
_x000D_
  Steps to reproduce it  _x000D_
Go to multimeter   click on record   then pause and then on delete  _x000D_
Add steps to reproduce bugs or add information on the place where the feature should be implemented  Add links to a sample deployment or code _x000D_
_x000D_
  Screenshots of the issue  _x000D_
  screenshot2 (https:  user images githubusercontent com 26023139 49743386 9e075080 fcc0 11e8 9f80 f0eeea853017 gif)_x000D_
_x000D_
Where ever possible add a screenshot of the issue _x000D_
_x000D_
  Would you like to work on the issue   _x000D_
No   just a review_x000D_
</t>
  </si>
  <si>
    <t>AndProx-AndProx-34</t>
  </si>
  <si>
    <t>Crash when attempting to connect to proxmark</t>
  </si>
  <si>
    <t xml:space="preserve">I installed the latest release of AndProx (2 0 4) on a Xiaomi Redmi Note 4 MTK (nikel) with Android version 6 0 _x000D_
I flashed the corresponding fullimage to my PM3 RDV2 0 _x000D_
I connected the pm3 to the Xiaomi phone and got the prompt to start the AndProx app _x000D_
AndProx starts and proxmark is shown as being found _x000D_
I press the  Connect  button and the app crashes _x000D_
_x000D_
Here is the crash log:_x000D_
   _x000D_
                                                               _x000D_
Build fingerprint:  Xiaomi nikel nikel:6 0 MRA58K V9 6 1 0 MBFMIFD:user release keys _x000D_
Revision:  0 _x000D_
ABI:  arm64 _x000D_
pid: 22791  tid: 22834  name: Thread 3434      au id micolous andprox    _x000D_
signal 11 (SIGSEGV)  code 1 (SEGV MAPERR)  fault addr 0xb8_x000D_
Abort message:  art runtime thread cc:1245  Native thread exited without calling DetachCurrentThread: Thread 16 tid 22834 Native Thread  0x7f7cab2400 peer 0x12c530a0  Thread 3434   _x000D_
    x0   0000000000000000  x1   0000000000000000  x2   0000000000000016  x3   0000007f7bfcf949_x000D_
    x4   0000000000000016  x5   0000007f9bfc02e0  x6   0000000000000016  x7   0000000000000000_x000D_
    x8   0000007f7bfcf95f  x9   0000000000000000  x10  0000000000000000  x11  0000000000000010_x000D_
    x12  0000007f982fa000  x13  0000000000000000  x14  000000000000002c  x15  0000007f982f5b18_x000D_
    x16  0000007f982f9988  x17  0000007f9befb7c0  x18  0000000000000000  x19  0000007f7bfcf908_x000D_
    x20  0000000000000000  x21  0000007f7bfcf900  x22  0000007f982f5a60  x23  0000007f7bfcf8e8_x000D_
    x24  0000000000000000  x25  0000007f7bfcf8b8  x26  0000007f982fa000  x27  0000007f982fa000_x000D_
    x28  0000007f7bfcfca8  x29  0000007f7bfcf7e0  x30  0000007f98131704_x000D_
    sp   0000007f7bfcf7e0  pc   0000007f98131718  pstate 0000000080000000_x000D_
_x000D_
backtrace:_x000D_
     00 pc 0000000000466718   system lib64 libart so ( ZN3art14DumpCheckpoint3RunEPNS 6ThreadE 304)_x000D_
     01 pc 00000000004677c4   system lib64 libart so ( ZN3art10ThreadList13RunCheckpointEPNS 7ClosureEb 288)_x000D_
     02 pc 0000000000468110   system lib64 libart so ( ZN3art10ThreadList4DumpERNSt3  113basic ostreamIcNS1 11char traitsIcEEEE 204)_x000D_
     03 pc 0000000000432830   system lib64 libart so ( ZN3art7Runtime5AbortEv 560)_x000D_
     04 pc 0000000000137570   system lib64 libart so ( ZN3art10LogMessageD2Ev 3136)_x000D_
     05 pc 00000000004580fc   system lib64 libart so ( ZN3art6Thread18ThreadExitCallbackEPv 240)_x000D_
     06 pc 00000000000680b0   system lib64 libc so ( Z21pthread key clean allv 160)_x000D_
     07 pc 0000000000067bf0   system lib64 libc so (pthread exit 72)_x000D_
     08 pc 00000000000295c8   data app au id micolous andprox 1 lib arm64 libnatives so_x000D_
     09 pc 0000000000067714   system lib64 libc so ( ZL15  pthread startPv 52)_x000D_
     10 pc 000000000001ee30   system lib64 libc so (  start thread 16)_x000D_
   _x000D_
</t>
  </si>
  <si>
    <t>fossasia-pslab-android-1465</t>
  </si>
  <si>
    <t>Crashes when recording data on Accelerometer instrument and run Power Source</t>
  </si>
  <si>
    <t xml:space="preserve">  Actual Behaviour  _x000D_
_x000D_
It crashes when I record data in the accelerometer and run power source _x000D_
Doesn t work graphics at  sensors  and multimeter (nothing happens when I run it)_x000D_
_x000D_
  Expected Behaviour  _x000D_
Multimeter should work  The application should not crash _x000D_
_x000D_
  Would you like to work on the issue   _x000D_
_x000D_
Yes_x000D_
  screenshot pslab 20181210 103438 (https:  user images githubusercontent com 26501697 49717334 cf9ffd80 fc67 11e8 9247 b692c38c9724 png)_x000D_
_x000D_
</t>
  </si>
  <si>
    <t>AmazMod-AmazMod-329</t>
  </si>
  <si>
    <t>NotificationJobService error with today 2018-12-10 build</t>
  </si>
  <si>
    <t xml:space="preserve">Receiving this error everytime i open app on phone:_x000D_
   _x000D_
2018 12 10 00:37:55 420 17315 17315 com edotassi amazmod E AndroidRuntime: FATAL EXCEPTION: main_x000D_
    Process: com edotassi amazmod  PID: 17315_x000D_
    java lang NullPointerException: Attempt to invoke virtual method  com huami watch transport DataBundle amazmod com transport data NotificationData toDataBundle(com huami watch transport DataBundle)  on a null object reference_x000D_
        at com edotassi amazmod notification NotificationJobService processCustomNotificationPosted(NotificationJobService java:279)_x000D_
        at com edotassi amazmod notification NotificationJobService access 100(NotificationJobService java:28)_x000D_
        at com edotassi amazmod notification NotificationJobService 1 run(NotificationJobService java:105)_x000D_
        at android os Handler handleCallback(Handler java:751)_x000D_
        at android os Handler dispatchMessage(Handler java:95)_x000D_
        at android os Looper loop(Looper java:154)_x000D_
        at android app ActivityThread main(ActivityThread java:6123)_x000D_
        at java lang reflect Method invoke(Native Method)_x000D_
        at com android internal os ZygoteInit MethodAndArgsCaller run(ZygoteInit java:867)_x000D_
        at com android internal os ZygoteInit main(ZygoteInit java:757)_x000D_
2018 12 10 00:37:55 870 17315 17410 com edotassi amazmod E Fabric: Settings request failed _x000D_
2018 12 10 00:37:55 899 17315 17408 com edotassi amazmod I FA: Tag Manager is not found and thus will not be used_x000D_
2018 12 10 00:37:55 916 17315 17408 com edotassi amazmod D FA: Logging event (FE): app exception( ae)  Bundle  firebase event origin( o) clx   r 1  timestamp 1544409471378  fatal 1  _x000D_
2018 12 10 00:37:56 331 17315 17410 com edotassi amazmod E Fabric: Error performing auto configuration _x000D_
2018 12 10 00:37:56 333 17315 17438 com edotassi amazmod E CrashlyticsCore: Error occurred sending report com crashlytics android core SessionReport 6c16a1e_x000D_
2018 12 10 00:37:56 340 17315 17438 com edotassi amazmod E CrashlyticsCore: Error occurred sending report com crashlytics android core SessionReport fe382ff_x000D_
2018 12 10 00:37:56 343 17315 17438 com edotassi amazmod E CrashlyticsCore: Error occurred sending report com crashlytics android core SessionReport 602a8cc_x000D_
2018 12 10 00:37:56 348 17315 17438 com edotassi amazmod E CrashlyticsCore: Error occurred sending report com crashlytics android core SessionReport 8583715_x000D_
   </t>
  </si>
  <si>
    <t>react-native-camera-react-native-camera-1982</t>
  </si>
  <si>
    <t>Example RN camera is crashing on IOS and android</t>
  </si>
  <si>
    <t xml:space="preserve">  Bug Report_x000D_
  To Do First  _x000D_
   x  Did you try latest release _x000D_
   x  Did you try master _x000D_
   x  Did you look for existing matching issues _x000D_
_x000D_
  Related Modules  _x000D_
RNCamera_x000D_
_x000D_
  Platforms  _x000D_
Android_x000D_
iOS_x000D_
_x000D_
  Versions  _x000D_
_x000D_
  Android: last one _x000D_
  iOS: last one_x000D_
  react native camera: 1 5 1_x000D_
  react native:0 55 4_x000D_
  react:16 3 1_x000D_
_x000D_
  Description Current Behaviour  _x000D_
_x000D_
Im using the tutorial for RNCamera and when I render its just crashes without error message_x000D_
_x000D_
  Expected Behaviour  _x000D_
Not crash_x000D_
  Steps to Reproduce  _x000D_
Just using the example on this repo_x000D_
_x000D_
Please help_x000D_
</t>
  </si>
  <si>
    <t>marksuth-indigenous-android-165</t>
  </si>
  <si>
    <t xml:space="preserve">Setting image upload size too high crashes app or blanks image preview </t>
  </si>
  <si>
    <t>In my case  setting it to 8000  it crashed the app  For  dshanske it blanked out saying  Please select an image _x000D_
_x000D_
We still use the image size for the preview widget  even is scaling is disabled  So two things:_x000D_
_x000D_
  need to set a sensible size if scaling is disabled_x000D_
  figure out either the  maximum  size  or at least don t let the app crash on it</t>
  </si>
  <si>
    <t>HunteRoi-bepway.front.mobile-1</t>
  </si>
  <si>
    <t>Before v1.0.0-alpha</t>
  </si>
  <si>
    <t xml:space="preserve">  Issues_x000D_
   x  Company Model does not reference a Zoning object :   model Company java (https:  github com HunteRoi SmartCity2018 2019 Android blob master App BepWay app src main java com henallux bepway model Company java)_x000D_
     x  Constructor_x000D_
     x  Setter_x000D_
     x  Getter_x000D_
     x  toString_x000D_
_x000D_
   x  Zoning popup has a field  nbImplent  which should refer to the number of settlements (implantations with a small   A   instead of a small   E   by the way) in the zoning  That string does not change anywhere :  see more in res layout zoning popup xml (https:  github com HunteRoi SmartCity2018 2019 Android blob master App BepWay app src main res layout zoning popup xml L226)_x000D_
_x000D_
   x  Empty overridden methods :   features recyclerView RecyclerItemClickListener java (https:  github com HunteRoi SmartCity2018 2019 Android blob master App BepWay app src main java com henallux bepway features recyclerView RecyclerItemClickListener java L48: L51)_x000D_
_x000D_
   x  Menu options broken :_x000D_
     x  Map (leads to an app crash)_x000D_
     x  Search (leads to nothing)_x000D_
     x  Settings (leads to nothing)_x000D_
_x000D_
  Features and improvements_x000D_
  Should not a Company have a Coordinate object referenced   Otherwise how will we point out companies on the map _x000D_
_x000D_
  Search button s hitbox for the   Zoning list   and the   Company list   is too narrowed  It looks like it s limited to the picture boundaries only ( orange square  image 1 )  Could maybe be made to take place on the whole screen width _x000D_
Or maybe you could move the button to the navbar ( red square  image 1 ) and make it so when you click on it  the input is opened at the current place it is ( blue rectangle  image 2 ) _x000D_
  image (https:  user images githubusercontent com 32441291 49698072 30273000 fbbf 11e8 85fd 3b1022dee207 png)_x000D_
  image (https:  user images githubusercontent com 32441291 49698083 5d73de00 fbbf 11e8 834f 7b82dc6dd1e9 png)_x000D_
_x000D_
We would end up with something like this if the search button has been selected :_x000D_
  image (https:  user images githubusercontent com 32441291 49698102 bf344800 fbbf 11e8 9954 05524dabf56a png)_x000D_
_x000D_
  Source files has log and register management but the app doesn t refer them actually  When is it planned  _x000D_
_x000D_
   Log out  button added to the Drawer Menu_x000D_
_x000D_
  Easter egg on the  Log in  page</t>
  </si>
  <si>
    <t>xtensa-PodEmu-7</t>
  </si>
  <si>
    <t>Podemu crashing since last update (3.0-53)</t>
  </si>
  <si>
    <t xml:space="preserve">Hi _x000D_
Since the last update  PodEmu keeps crashing everytime I open my Stingray music application and crashes non stop until I close Stingray (BTW its a music app provided by my ISP _x000D_
 PodEmu debug txt (https:  github com xtensa PodEmu files 2660000 PodEmu debug txt)_x000D_
  screenshot 20181208 143246 stingray music (https:  user images githubusercontent com 45720046 49689938 cf342500 faf6 11e8 8630 30372618e5a9 jpg)_x000D_
  screenshot 20181208 143437 device maintenance (https:  user images githubusercontent com 45720046 49689939 cf342500 faf6 11e8 819c c82d06a8139b jpg)_x000D_
_x000D_
_x000D_
</t>
  </si>
  <si>
    <t>Chainfire-librootjava-1</t>
  </si>
  <si>
    <t>librootjava_example shows crashes in logcat after clicking "Run"</t>
  </si>
  <si>
    <t xml:space="preserve">Running on Nexus 5 phone Android 6 0 1_x000D_
   _x000D_
12 07 16:19:31 979 885 986   D WifiConfigStore: Retrieve network priorities after PNO _x000D_
12 07 16:19:35 814 26946 26946 eu chainfire librootjava example D librootjava:  app process  data data eu chainfire librootjava example cache  app process32 9531ff47 6e77 435d 88ba 872770f787a9_x000D_
12 07 16:19:35 814 2772 2790   D audio hw primary: out set parameters: enter: usecase(1: low latency playback) kvpairs: routing 2_x000D_
12 07 16:19:35 814 26946 26946 eu chainfire librootjava example D librootjava: toybox cp  system bin app process32  data data eu chainfire librootjava example cache  app process32 9531ff47 6e77 435d 88ba 872770f787a9   dev null 2  dev null_x000D_
12 07 16:19:35 815 26946 26946 eu chainfire librootjava example D librootjava: toybox chmod 0700  data data eu chainfire librootjava example cache  app process32 9531ff47 6e77 435d 88ba 872770f787a9   dev null 2  dev null_x000D_
12 07 16:19:35 815 26946 26946 eu chainfire librootjava example D librootjava: NO ADDR COMPAT LAYOUT FIXUP 1 ANDROID ROOT  system CLASSPATH  data app eu chainfire librootjava example 1 base apk  data data eu chainfire librootjava example cache  app process32 9531ff47 6e77 435d 88ba 872770f787a9  system bin   nice name eu chainfire librootjava example:root eu chainfire librootjava example root RootMain  data app eu chainfire librootjava example 1 base apk_x000D_
12 07 16:19:35 816 26946 26946 eu chainfire librootjava example D librootjava: toybox rm  data data eu chainfire librootjava example cache  app process32 9531ff47 6e77 435d 88ba 872770f787a9   dev null 2  dev null_x000D_
12 07 16:19:35 817 26946 26946 eu chainfire librootjava example D libsuperuser:  libsuperuser  C  SU    app process  data data eu chainfire librootjava example cache  app process32 9531ff47 6e77 435d 88ba 872770f787a9_x000D_
12 07 16:19:35 817 26946 26946 eu chainfire librootjava example D libsuperuser:  libsuperuser  C  SU   toybox cp  system bin app process32  data data eu chainfire librootjava example cache  app process32 9531ff47 6e77 435d 88ba 872770f787a9   dev null 2  dev null_x000D_
12 07 16:19:35 817 26946 26946 eu chainfire librootjava example D libsuperuser:  libsuperuser  C  SU   toybox chmod 0700  data data eu chainfire librootjava example cache  app process32 9531ff47 6e77 435d 88ba 872770f787a9   dev null 2  dev null_x000D_
12 07 16:19:35 818 26946 26946 eu chainfire librootjava example D libsuperuser:  libsuperuser  C  SU   NO ADDR COMPAT LAYOUT FIXUP 1 ANDROID ROOT  system CLASSPATH  data app eu chainfire librootjava example 1 base apk  data data eu chainfire librootjava example cache  app process32 9531ff47 6e77 435d 88ba 872770f787a9  system bin   nice name eu chainfire librootjava example:root eu chainfire librootjava example root RootMain  data app eu chainfire librootjava example 1 base apk_x000D_
12 07 16:19:35 818 26946 26946 eu chainfire librootjava example D libsuperuser:  libsuperuser  C  SU   toybox rm  data data eu chainfire librootjava example cache  app process32 9531ff47 6e77 435d 88ba 872770f787a9   dev null 2  dev null_x000D_
12 07 16:19:35 824 2772 2790   D audio hw primary: select devices: out snd device(2: speaker) in snd device(0: none)_x000D_
12 07 16:19:35 825 2772 2790   D msm8974 platform: platform send audio calibration: sending audio calibration for snd device(2) acdb id(15)_x000D_
12 07 16:19:35 825 2772 2790   D audio hw primary: enable snd device: snd device(2: speaker)_x000D_
12 07 16:19:35 828 2772 2790   D audio hw primary: enable audio route: apply and update mixer path: low latency playback_x000D_
12 07 16:19:36 520 27230 27230   D AndroidRuntime:        START com android internal os RuntimeInit uid 0       _x000D_
12 07 16:19:36 525 27230 27230   D AndroidRuntime: CheckJNI is OFF_x000D_
12 07 16:19:36 574 27230 27230   D ICU: No timezone override file found:  data misc zoneinfo current icu icu tzdata dat_x000D_
12 07 16:19:36 604 27230 27230   E appproc: ERROR: could not find class  eu chainfire librootjava example root RootMain _x000D_
12 07 16:19:36 605 27230 27230   A art: art runtime thread cc:1336  No pending exception expected: java lang ClassNotFoundException: Didn t find class  eu chainfire librootjava example root RootMain  on path: DexPathList  zip file   data app eu chainfire librootjava example 1 base apk   nativeLibraryDirectories   vendor lib   system lib  _x000D_
12 07 16:19:36 605 27230 27230   A art: art runtime thread cc:1336    at java lang Class dalvik system BaseDexClassLoader findClass(java lang String) (BaseDexClassLoader java:56)_x000D_
12 07 16:19:36 605 27230 27230   A art: art runtime thread cc:1336    at java lang Class java lang ClassLoader loadClass(java lang String  boolean) (ClassLoader java:511)_x000D_
12 07 16:19:36 605 27230 27230   A art: art runtime thread cc:1336    at java lang Class java lang ClassLoader loadClass(java lang String) (ClassLoader java:469)_x000D_
12 07 16:19:36 605 27230 27230   A art: art runtime thread cc:1336  _x000D_
12 07 16:19:36 662 27230 27230   A art: art runtime barrier cc:90  Check failed: count     0 (count   1  0 0) Attempted to destroy barrier with non zero count_x000D_
12 07 16:19:36 662 27230 27230   A art: art runtime runtime cc:366  Runtime aborting     recursively  so no thread specific detail _x000D_
12 07 16:19:36 662 27230 27230   A art: art runtime runtime cc:366  _x000D_
    _x000D_
              beginning of crash_x000D_
12 07 16:19:36 662 27230 27230   A libc: Fatal signal 6 (SIGABRT)  code  6 in tid 27230 (main)_x000D_
12 07 16:19:36 767 284 284   W debuggerd: type 1400 audit(0 0:6609): avc: denied   search   for name  eu chainfire librootjava example  dev  mmcblk0p28  ino 107668 scontext u:r:debuggerd:s0 tcontext u:object r:app data file:s0:c512 c768 tclass dir permissive 0_x000D_
12 07 16:19:36 763 284 284   A DEBUG:                                                                _x000D_
12 07 16:19:36 763 284 284   A DEBUG: Build fingerprint:  google hammerhead hammerhead:6 0 1 M4B30Z 3437181:user release keys _x000D_
12 07 16:19:36 763 284 284   A DEBUG: Revision:  11 _x000D_
12 07 16:19:36 763 284 284   A DEBUG: ABI:  arm _x000D_
12 07 16:19:36 763 284 284   A DEBUG: pid: 27230  tid: 27230  name: main      eu chainfire librootjava example:root    _x000D_
12 07 16:19:36 763 284 284   A DEBUG: signal 6 (SIGABRT)  code  6 (SI TKILL)  fault addr         _x000D_
    _x000D_
    _x000D_
              beginning of system_x000D_
12 07 16:19:36 766 885 1006   W NativeCrashListener: Couldn t find ProcessRecord for pid 27230_x000D_
12 07 16:19:36 774 284 284   A DEBUG: Abort message:  art runtime thread cc:1336  No pending exception expected: java lang ClassNotFoundException: Didn t find class  eu chainfire librootjava example root RootMain  on path: DexPathList  zip file   data app eu chainfire librootjava example 1 base apk   nativeLibraryDirectories   vendor lib   system lib   _x000D_
12 07 16:19:36 774 284 284   E DEBUG: AM write failed: Broken pipe_x000D_
12 07 16:19:36 774 284 284   A DEBUG:     r0 00000000  r1 00006a5e  r2 00000006  r3 b6fdcb7c_x000D_
12 07 16:19:36 774 284 284   A DEBUG:     r4 b6fdcb84  r5 b6fdcb34  r6 00000000  r7 0000010c_x000D_
12 07 16:19:36 774 284 284   A DEBUG:     r8 b4cff800  r9 b4cfde44  sl b4de44db  fp b4ce3450_x000D_
12 07 16:19:36 774 284 284   A DEBUG:     ip 00000006  sp bee292d8  lr b6d4ab61  pc b6d4cf50  cpsr 40070010_x000D_
12 07 16:19:36 787 284 284   W debuggerd: type 1400 audit(0 0:6610): avc: denied   search   for name  eu chainfire librootjava example  dev  mmcblk0p28  ino 107668 scontext u:r:debuggerd:s0 tcontext u:object r:app data file:s0:c512 c768 tclass dir permissive 0_x000D_
12 07 16:19:36 794 284 284   A DEBUG: backtrace:_x000D_
12 07 16:19:36 794 284 284   A DEBUG:      00 pc 00041f50   system lib libc so (tgkill 12)_x000D_
12 07 16:19:36 794 284 284   A DEBUG:      01 pc 0003fb5d   system lib libc so (pthread kill 32)_x000D_
12 07 16:19:36 794 284 284   A DEBUG:      02 pc 0001c30f   system lib libc so (raise 10)_x000D_
12 07 16:19:36 795 284 284   A DEBUG:      03 pc 000194c1   system lib libc so (  libc android abort 34)_x000D_
12 07 16:19:36 795 284 284   A DEBUG:      04 pc 000174ac   system lib libc so (abort 4)_x000D_
12 07 16:19:36 795 284 284   A DEBUG:      05 pc 00333971   system lib libart so ( ZN3art7Runtime5AbortEv 228)_x000D_
12 07 16:19:36 795 284 284   A DEBUG:      06 pc 000f45fb   system lib libart so ( ZN3art10LogMessageD2Ev 2226)_x000D_
12 07 16:19:36 795 284 284   A DEBUG:      07 pc 000f08d1   system lib libart so ( ZN3art7BarrierD2Ev 216)_x000D_
12 07 16:19:36 795 284 284   A DEBUG:      08 pc 0035b473   system lib libart so ( ZN3art10ThreadList4DumpERNSt3  113basic ostreamIcNS1 11char traitsIcEEEE 162)_x000D_
12 07 16:19:36 795 284 284   A DEBUG:      09 pc 00333a35   system lib libart so ( ZN3art7Runtime5AbortEv 424)_x000D_
12 07 16:19:36 795 284 284   A DEBUG:      10 pc 000f45fb   system lib libart so ( ZN3art10LogMessageD2Ev 2226)_x000D_
12 07 16:19:36 795 284 284   A DEBUG:      11 pc 0034f0b3   system lib libart so ( ZNK3art6Thread24AssertNoPendingExceptionEv part 170 378)_x000D_
12 07 16:19:36 795 284 284   A DEBUG:      12 pc 00136aab   system lib libart so ( ZN3art11ClassLinker9FindClassEPNS 6ThreadEPKcNS 6HandleINS 6mirror11ClassLoaderEEE 34)_x000D_
12 07 16:19:36 795 284 284   A DEBUG:      13 pc 0029d4c1   system lib libart so ( ZN3art3JNI9FindClassEP7 JNIEnvPKc 812)_x000D_
12 07 16:19:36 795 284 284   A DEBUG:      14 pc 00002251   system lib libnativehelper so (jniRegisterNativeMethods 20)_x000D_
12 07 16:19:36 795 284 284   A DEBUG:      15 pc 0005edc1   system lib libandroid runtime so_x000D_
12 07 16:19:36 795 284 284   A DEBUG:      16 pc 0005f2a3   system lib libandroid runtime so ( ZN7android14AndroidRuntime8startRegEP7 JNIEnv 26)_x000D_
12 07 16:19:36 795 284 284   A DEBUG:      17 pc 000605b9   system lib libandroid runtime so ( ZN7android14AndroidRuntime5startEPKcRKNS 6VectorINS 7String8EEEb 276)_x000D_
12 07 16:19:36 795 284 284   A DEBUG:      18 pc 00001721   data data eu chainfire librootjava example cache  app process32 9531ff47 6e77 435d 88ba 872770f787a9_x000D_
12 07 16:19:36 795 284 284   A DEBUG:      19 pc 00017359   system lib libc so (  libc init 44)_x000D_
12 07 16:19:36 795 284 284   A DEBUG:      20 pc 00001868   data data eu chainfire librootjava example cache  app process32 9531ff47 6e77 435d 88ba 872770f787a9_x000D_
12 07 16:19:36 807 284 284   W debuggerd: type 1400 audit(0 0:6611): avc: denied   search   for name  eu chainfire librootjava example  dev  mmcblk0p28  ino 107668 scontext u:r:debuggerd:s0 tcontext u:object r:app data file:s0:c512 c768 tclass dir permissive 0_x000D_
12 07 16:19:36 966 284 284   A DEBUG: Tombstone written to:  data tombstones tombstone 03_x000D_
12 07 16:19:36 966 885 904   I BootReceiver: Copying  data tombstones tombstone 03 to DropBox (SYSTEM TOMBSTONE)_x000D_
12 07 16:19:36 984 26946 27104 eu chainfire librootjava example D libsuperuser:  libsuperuser  O  SU   Aborted _x000D_
12 07 16:19:36 997 26946 27103 eu chainfire librootjava example D libsuperuser:  libsuperuser  O  SU   4a8d372d 840f 41c4 af52 1ed8e137350d 00000003 0_x000D_
12 07 16:19:36 998 26946 27104 eu chainfire librootjava example D libsuperuser:  libsuperuser  O  SU   4a8d372d 840f 41c4 af52 1ed8e137350d 00000003_x000D_
12 07 16:19:37 759 26131 26146   I Finsky:  2179  com google android finsky bo an run(6): Stats for Executor: BlockingExecutor com google android finsky bo ao e4698ae Running  pool size   0  active threads   0  queued tasks   0  completed tasks   7 _x000D_
12 07 16:19:37 760 26131 26146   I Finsky:  2179  com google android finsky bo an run(6): Stats for Executor: LightweightExecutor com google android finsky bo ao b28364f Running  pool size   3  active threads   0  queued tasks   0  completed tasks   55 _x000D_
12 07 16:19:38 829 26131 26146   I Finsky:  2179  com google android finsky bo an run(6): Stats for Executor: bgExecutor com google android finsky bo ao c561dc Running  pool size   4  active threads   0  queued tasks   0  completed tasks   9 _x000D_
12 07 16:19:38 830 26131 26146   I Finsky:  2179  com google android finsky bo an run(6): Stats for Executor: SimChangeExecutor com google android finsky bo ao 403e2e5 Running  pool size   0  active threads   0  queued tasks   0  completed tasks   0 _x000D_
12 07 16:19:39 041 2772 2790   D audio hw primary: disable audio route: reset and update mixer path: low latency playback_x000D_
12 07 16:19:39 041 2772 2790   D audio hw primary: disable snd device: snd device(2: speaker)_x000D_
12 07 16:19:39 089 26131 26146   I Finsky:  2179  com google android finsky bo an run(6): Stats for Executor: Db xternal referrer status db com google android finsky bo ao 6e791ba Running  pool size   0  active threads   0  queued tasks   0  completed tasks   0 _x000D_
12 07 16:19:39 090 26131 26146   I Finsky:  2179  com google android finsky bo an run(6): Stats for Executor: Db split install service com google android finsky bo ao edbe86b Running  pool size   0  active threads   0  queued tasks   0  completed tasks   12 _x000D_
12 07 16:19:39 090 26131 26146   I Finsky:  2179  com google android finsky bo an run(6): Stats for Executor: Db scheduler com google android finsky bo ao 234bfc8 Running  pool size   0  active threads   0  queued tasks   0  completed tasks   36 _x000D_
12 07 16:19:39 209 26131 26146   I Finsky:  2179  com google android finsky bo an run(6): Stats for Executor: StorageAwareDownloadServiceManagerSpaceChecker com google android finsky bo ao f94c861 Running  pool size   0  active threads   0  queued tasks   0  completed tasks   0 _x000D_
12 07 16:19:39 349 26131 26146   I Finsky:  2179  com google android finsky bo an run(6): Stats for Executor: Db frosting db com google android finsky bo ao 36d0f86 Running  pool size   0  active threads   0  queued tasks   0  completed tasks   2 _x000D_
12 07 16:19:39 349 26131 26146   I Finsky:  2179  com google android finsky bo an run(6): Stats for Executor: Db notification cache com google android finsky bo ao 7cea047 Running  pool size   0  active threads   0  queued tasks   0  completed tasks   2 _x000D_
12 07 16:19:39 829 26131 26146   I Finsky:  2179  com google android finsky bo an run(6): Stats for Executor: Db scheduler logging store db com google android finsky bo ao 5ba1074 Running  pool size   0  active threads   0  queued tasks   0  completed tasks   4 _x000D_
12 07 16:19:40 369 26131 26146   I Finsky:  2179  com google android finsky bo an run(6): Stats for Executor: InstallBackgroundThread com google android finsky bo ao ef4899d Running  pool size   0  active threads   0  queued tasks   0  completed tasks   0 _x000D_
12 07 16:19:40 369 26131 26146   I Finsky:  2179  com google android finsky bo an run(6): Stats for Executor: Db install service com google android finsky bo ao c7a9e12 Running  pool size   0  active threads   0  queued tasks   0  completed tasks   0 _x000D_
12 07 16:19:40 370 26131 26146   I Finsky:  2179  com google android finsky bo an run(6): Stats for Executor: InstallBackgroundThread com google android finsky bo ao 4af9e3 Running  pool size   0  active threads   0  queued tasks   0  completed tasks   0 _x000D_
12 07 16:19:40 408 885 2613   D WifiService: acquireWifiLockLocked: WifiLock NlpWifiLock type 2 binder android os BinderProxy e3d2f3e _x000D_
12 07 16:19:40 919 26131 26146   I Finsky:  2179  com google android finsky bo an run(6): Stats for Executor: Db auto update db com google android finsky bo ao a1bfe0 Running  pool size   0  active threads   0  queued tasks   0  completed tasks   0 _x000D_
12 07 16:19:41 489 26131 26146   I Finsky:  2179  com google android finsky bo an run(6): Stats for Executor: Db scheduled acquisitions db com google android finsky bo ao 4952299 Running  pool size   0  active threads   0  queued tasks   0  completed tasks   0 _x000D_
12 07 16:19:41 969 26131 26146   I Finsky:  2179  com google android finsky bo an run(6): Stats for Executor: NotificationAssistDatabaseManager com google android finsky bo ao f60895e Running  pool size   0  active threads   0  queued tasks   0  completed tasks   1 _x000D_
12 07 16:19:42 049 26131 26146   I Finsky:  2179  com google android finsky bo an run(6): Stats for Executor: InstallBackgroundThread com google android finsky bo ao 2a9513f Running  pool size   0  active threads   0  queued tasks   0  completed tasks   0 _x000D_
12 07 16:19:45 449 885 1479   D WifiService: releaseWifiLockLocked: WifiLock NlpWifiLock type 2 binder android os BinderProxy e3d2f3e _x000D_
   </t>
  </si>
  <si>
    <t>mehtank-androminion-580</t>
  </si>
  <si>
    <t xml:space="preserve">Zombie apprentice game crash </t>
  </si>
  <si>
    <t xml:space="preserve">It hasn t happened when I play it  but the zombie apprentice card from necromancer causes a crash when at least one of the ais play it  Here is the log_x000D_
_x000D_
I see a lot of length of null array errors from other sources too _x000D_
_x000D_
2018 12 07 20:42:06_x000D_
Version: 9 05_x000D_
Attempt to get length of null array_x000D_
com vdom core BasePlayer zombieApprentice cardToTrash(BasePlayer java:5013)_x000D_
com vdom core CardImplNocturne zombieApprentice(CardImplNocturne java:1445)_x000D_
com vdom core CardImplNocturne additionalCardActions(CardImplNocturne java:204)_x000D_
com vdom core CardImpl play(CardImpl java:838)_x000D_
com vdom core CardImplNocturne necromancer(CardImplNocturne java:873)_x000D_
com vdom core CardImplNocturne additionalCardActions(CardImplNocturne java:120)_x000D_
com vdom core CardImpl play(CardImpl java:838)_x000D_
com vdom core CardImpl play(CardImpl java:728)_x000D_
com vdom core CardImpl play(CardImpl java:724)_x000D_
com vdom core Game playerAction(Game java:995)_x000D_
com vdom core Game start(Game java:349)_x000D_
com vdom core Game go(Game java:224)_x000D_
com vdom core VDomServer GameStarter run(VDomServer java:47)_x000D_
java lang Thread run(Thread java:764)_x000D_
</t>
  </si>
  <si>
    <t>itachi1706-SingBuses-152</t>
  </si>
  <si>
    <t>PopulateListWithCurrentLocationRecycler.java line 94</t>
  </si>
  <si>
    <t xml:space="preserve">     in com itachi1706 busarrivalsg AsyncTasks PopulateListWithCurrentLocationRecycler doInBackground
  Number of crashes: 1
  Impacted devices: 1
There s a lot more information about this crash on crashlytics com:
 https:  fabric io itachi1706s projects android apps com itachi1706 busarrivalsg issues 5c0a5afff8b88c2963e5986d utm medium service hooks github utm source issue impact (https:  fabric io itachi1706s projects android apps com itachi1706 busarrivalsg issues 5c0a5afff8b88c2963e5986d utm medium service hooks github utm source issue impact)</t>
  </si>
  <si>
    <t>commons-app-apps-android-commons-2083</t>
  </si>
  <si>
    <t>OutOfMemoryError crash when receiving picture</t>
  </si>
  <si>
    <t xml:space="preserve">  Steps to reproduce:   _x000D_
_x000D_
1  Try to upload a rather big picture (7MB 6000x4000 pixels)  It is a normal DLSR size these days  Either via gallery or via  share to   and either from home activity or from nearby _x000D_
2  Crash_x000D_
_x000D_
I can send you such pictures via email if you want _x000D_
_x000D_
  System logs:  _x000D_
_x000D_
   _x000D_
12 07 20:04:58 162 18524 28962 D CustomApiResult:    xml version  1 0  encoding  UTF 8    api batchcomplete     query  allimages    query   api _x000D_
12 07 20:04:58 259 18524 28962 V ImageUtils: left: 0 right: 6000 top: 0 bottom: 4000_x000D_
12 07 20:04:58 911   786 17525 I ActivityManager: Process org telegram messenger (pid 18450) has died_x000D_
12 07 20:04:58 911   786 17525 D ActivityManager: cleanUpApplicationRecord    18450_x000D_
12 07 20:04:58 921   786 17525 W ActivityManager: Scheduling restart of crashed service org telegram messenger  NotificationsService in 1000ms_x000D_
12 07 20:04:58 955 18524 28962 I art     : Starting a blocking GC Alloc_x000D_
12 07 20:04:58 956 18524 28962 I art     : Starting a blocking GC Alloc_x000D_
12 07 20:04:58 961 18524 28962 I art     : Alloc sticky concurrent mark sweep GC freed 4(88B) AllocSpace objects  0(0B) LOS objects  12  free  108MB 124MB  paused 508us total 5 419ms_x000D_
12 07 20:04:58 961 18524 28962 I art     : Starting a blocking GC Alloc_x000D_
12 07 20:04:59 001 18524 28962 I art     : Alloc partial concurrent mark sweep GC freed 50(1528B) AllocSpace objects  0(0B) LOS objects  12  free  108MB 124MB  paused 506us total 39 506ms_x000D_
12 07 20:04:59 001 18524 28962 I art     : Starting a blocking GC Alloc_x000D_
12 07 20:04:59 045 18524 28962 I art     : Alloc concurrent mark sweep GC freed 46(1568B) AllocSpace objects  0(0B) LOS objects  12  free  108MB 124MB  paused 524us total 43 441ms_x000D_
12 07 20:04:59 045 18524 28962 I art     : Forcing collection of SoftReferences for 91MB allocation_x000D_
12 07 20:04:59 045 18524 28962 I art     : Starting a blocking GC Alloc_x000D_
12 07 20:04:59 092 18524 28962 I art     : Alloc concurrent mark sweep GC freed 3(72B) AllocSpace objects  0(0B) LOS objects  12  free  108MB 124MB  paused 746us total 46 376ms_x000D_
12 07 20:04:59 092 18524 28962 W art     : Throwing OutOfMemoryError  Failed to allocate a 96000012 byte allocation with 16776880 free bytes and 83MB until OOM _x000D_
12 07 20:04:59 092 18524 28962 I art     : Starting a blocking GC Alloc_x000D_
12 07 20:04:59 092 18524 28962 I art     : Starting a blocking GC Alloc_x000D_
12 07 20:04:59 099 18524 28962 I art     : Alloc sticky concurrent mark sweep GC freed 4(640B) AllocSpace objects  0(0B) LOS objects  12  free  108MB 124MB  paused 716us total 6 659ms_x000D_
12 07 20:04:59 099 18524 28962 I art     : Starting a blocking GC Alloc_x000D_
12 07 20:04:59 139 18524 28962 I art     : Alloc partial concurrent mark sweep GC freed 6(144B) AllocSpace objects  0(0B) LOS objects  12  free  108MB 124MB  paused 575us total 38 958ms_x000D_
12 07 20:04:59 139 18524 28962 I art     : Starting a blocking GC Alloc_x000D_
12 07 20:04:59 178 18524 28962 I art     : Alloc concurrent mark sweep GC freed 3(72B) AllocSpace objects  0(0B) LOS objects  12  free  108MB 124MB  paused 755us total 38 742ms_x000D_
12 07 20:04:59 178 18524 28962 I art     : Forcing collection of SoftReferences for 91MB allocation_x000D_
12 07 20:04:59 178 18524 28962 I art     : Starting a blocking GC Alloc_x000D_
12 07 20:04:59 216 18524 28962 I art     : Alloc concurrent mark sweep GC freed 3(72B) AllocSpace objects  0(0B) LOS objects  12  free  108MB 124MB  paused 509us total 37 197ms_x000D_
12 07 20:04:59 216 18524 28962 I art     : Starting a blocking GC HomogeneousSpaceCompact_x000D_
12 07 20:04:59 294 18524 28962 I art     : HomogeneousSpaceCompact marksweep   semispace GC freed 3(72B) AllocSpace objects  0(0B) LOS objects  12  free  108MB 124MB  paused 77 453ms total 77 453ms_x000D_
12 07 20:04:59 294 18524 28962 W art     : Throwing OutOfMemoryError  Failed to allocate a 96000012 byte allocation with 16777216 free bytes and 83MB until OOM _x000D_
12 07 20:04:59 324 18524 28962 W System err: io reactivex exceptions UndeliverableException: java lang OutOfMemoryError: Failed to allocate a 96000012 byte allocation with 16777216 free bytes and 83MB until OOM_x000D_
12 07 20:04:59 329 18524 28962 W System err: 	at io reactivex plugins RxJavaPlugins onError(RxJavaPlugins java:367)_x000D_
12 07 20:04:59 330 18524 28962 W System err: 	at io reactivex internal schedulers ScheduledRunnable run(ScheduledRunnable java:69)_x000D_
12 07 20:04:59 330 18524 28962 W System err: 	at io reactivex internal schedulers ScheduledRunnable call(ScheduledRunnable java:57)_x000D_
12 07 20:04:59 330 18524 28962 W System err: 	at java util concurrent FutureTask run(FutureTask java:237)_x000D_
12 07 20:04:59 330 18524 28962 W System err: 	at java util concurrent ScheduledThreadPoolExecutor ScheduledFutureTask run(ScheduledThreadPoolExecutor java:272)_x000D_
12 07 20:04:59 330 18524 28962 W System err: 	at java util concurrent ThreadPoolExecutor runWorker(ThreadPoolExecutor java:1133)_x000D_
12 07 20:04:59 330 18524 28962 W System err: 	at java util concurrent ThreadPoolExecutor Worker run(ThreadPoolExecutor java:607)_x000D_
12 07 20:04:59 330 18524 28962 W System err: 	at java lang Thread run(Thread java:761)_x000D_
12 07 20:04:59 330 18524 28962 W System err: Caused by: java lang OutOfMemoryError: Failed to allocate a 96000012 byte allocation with 16777216 free bytes and 83MB until OOM_x000D_
12 07 20:04:59 331 18524 28962 W System err: 	at fr free nrw commons utils ImageUtils checkIfImageIsDark(ImageUtils java:117)_x000D_
12 07 20:04:59 331 18524 28962 W System err: 	at fr free nrw commons utils ImageUtils checkIfImageIsTooDark(ImageUtils java:88)_x000D_
12 07 20:04:59 331 18524 28962 W System err: 	at fr free nrw commons upload UploadModel  Lambda 8 apply(Unknown Source)_x000D_
12 07 20:04:59 332 18524 28962 W System err: 	at io reactivex internal operators single SingleMap MapSingleObserver onSuccess(SingleMap java:57)_x000D_
12 07 20:04:59 332 18524 28962 W System err: 	at io reactivex internal operators single SingleMap MapSingleObserver onSuccess(SingleMap java:64)_x000D_
12 07 20:04:59 332 18524 28962 W System err: 	at io reactivex internal operators single SingleFromCallable subscribeActual(SingleFromCallable java:56)_x000D_
12 07 20:04:59 332 18524 28962 W System err: 	at io reactivex Single subscribe(Single java:3394)_x000D_
12 07 20:04:59 332 18524 28962 W System err: 	at io reactivex internal operators single SingleMap subscribeActual(SingleMap java:34)_x000D_
12 07 20:04:59 333 18524 28962 W System err: 	at io reactivex Single subscribe(Single java:3394)_x000D_
12 07 20:04:59 333 18524 28962 W System err: 	at io reactivex internal operators single SingleMap subscribeActual(SingleMap java:34)_x000D_
12 07 20:04:59 333 18524 28962 W System err: 	at io reactivex Single subscribe(Single java:3394)_x000D_
12 07 20:04:59 333 18524 28962 W System err: 	at io reactivex internal operators single SingleZipArray subscribeActual(SingleZipArray java:64)_x000D_
12 07 20:04:59 333 18524 28962 W System err: 	at io reactivex Single subscribe(Single java:3394)_x000D_
12 07 20:04:59 333 18524 28962 W System err: 	at io reactivex Single subscribe(Single java:3380)_x000D_
12 07 20:04:59 333 18524 28962 W System err: 	at io reactivex Single subscribe(Single java:3351)_x000D_
12 07 20:04:59 333 18524 28962 W System err: 	at fr free nrw commons upload UploadModel receiveDirect(UploadModel java:133)_x000D_
12 07 20:04:59 333 18524 28962 W System err: 	at fr free nrw commons upload UploadPresenter lambda receiveDirect 4 UploadPresenter(UploadPresenter java:96)_x000D_
12 07 20:04:59 333 18524 28962 W System err: 	at fr free nrw commons upload UploadPresenter  Lambda 3 run(Unknown Source)_x000D_
12 07 20:04:59 333 18524 28962 W System err: 	at io reactivex internal operators completable CompletableFromRunnable subscribeActual(CompletableFromRunnable java:35)_x000D_
12 07 20:04:59 333 18524 28962 W System err: 	at io reactivex Completable subscribe(Completable java:2171)_x000D_
12 07 20:04:59 333 18524 28962 W System err: 	at io reactivex internal operators completable CompletableSubscribeOn SubscribeOnObserver run(CompletableSubscribeOn java:64)_x000D_
12 07 20:04:59 333 18524 28962 W System err: 	at io reactivex Scheduler DisposeTask run(Scheduler java:579)_x000D_
12 07 20:04:59 333 18524 28962 W System err: 	at io reactivex internal schedulers ScheduledRunnable run(ScheduledRunnable java:66)_x000D_
12 07 20:04:59 333 18524 28962 W System err: 	    6 more_x000D_
12 07 20:04:59 337 18524 28962 E AndroidRuntime: FATAL EXCEPTION: RxCachedThreadScheduler 11_x000D_
12 07 20:04:59 337 18524 28962 E AndroidRuntime: Process: fr free nrw commons  PID: 18524_x000D_
12 07 20:04:59 337 18524 28962 E AndroidRuntime: io reactivex exceptions UndeliverableException: java lang OutOfMemoryError: Failed to allocate a 96000012 byte allocation with 16777216 free bytes and 83MB until OOM_x000D_
12 07 20:04:59 337 18524 28962 E AndroidRuntime: 	at io reactivex plugins RxJavaPlugins onError(RxJavaPlugins java:367)_x000D_
12 07 20:04:59 337 18524 28962 E AndroidRuntime: 	at io reactivex internal schedulers ScheduledRunnable run(ScheduledRunnable java:69)_x000D_
12 07 20:04:59 337 18524 28962 E AndroidRuntime: 	at io reactivex internal schedulers ScheduledRunnable call(ScheduledRunnable java:57)_x000D_
12 07 20:04:59 337 18524 28962 E AndroidRuntime: 	at java util concurrent FutureTask run(FutureTask java:237)_x000D_
12 07 20:04:59 337 18524 28962 E AndroidRuntime: 	at java util concurrent ScheduledThreadPoolExecutor ScheduledFutureTask run(ScheduledThreadPoolExecutor java:272)_x000D_
12 07 20:04:59 337 18524 28962 E AndroidRuntime: 	at java util concurrent ThreadPoolExecutor runWorker(ThreadPoolExecutor java:1133)_x000D_
12 07 20:04:59 337 18524 28962 E AndroidRuntime: 	at java util concurrent ThreadPoolExecutor Worker run(ThreadPoolExecutor java:607)_x000D_
12 07 20:04:59 337 18524 28962 E AndroidRuntime: 	at java lang Thread run(Thread java:761)_x000D_
12 07 20:04:59 337 18524 28962 E AndroidRuntime: Caused by: java lang OutOfMemoryError: Failed to allocate a 96000012 byte allocation with 16777216 free bytes and 83MB until OOM_x000D_
12 07 20:04:59 337 18524 28962 E AndroidRuntime: 	at fr free nrw commons utils ImageUtils checkIfImageIsDark(ImageUtils java:117)_x000D_
12 07 20:04:59 337 18524 28962 E AndroidRuntime: 	at fr free nrw commons utils ImageUtils checkIfImageIsTooDark(ImageUtils java:88)_x000D_
12 07 20:04:59 337 18524 28962 E AndroidRuntime: 	at fr free nrw commons upload UploadModel  Lambda 8 apply(Unknown Source)_x000D_
12 07 20:04:59 337 18524 28962 E AndroidRuntime: 	at io reactivex internal operators single SingleMap MapSingleObserver onSuccess(SingleMap java:57)_x000D_
12 07 20:04:59 337 18524 28962 E AndroidRuntime: 	at io reactivex internal operators single SingleMap MapSingleObserver onSuccess(SingleMap java:64)_x000D_
12 07 20:04:59 337 18524 28962 E AndroidRuntime: 	at io reactivex internal operators single SingleFromCallable subscribeActual(SingleFromCallable java:56)_x000D_
12 07 20:04:59 337 18524 28962 E AndroidRuntime: 	at io reactivex Single subscribe(Single java:3394)_x000D_
12 07 20:04:59 337 18524 28962 E AndroidRuntime: 	at io reactivex internal operators single SingleMap subscribeActual(SingleMap java:34)_x000D_
12 07 20:04:59 337 18524 28962 E AndroidRuntime: 	at io reactivex Single subscribe(Single java:3394)_x000D_
12 07 20:04:59 337 18524 28962 E AndroidRuntime: 	at io reactivex internal operators single SingleMap subscribeActual(SingleMap java:34)_x000D_
12 07 20:04:59 337 18524 28962 E AndroidRuntime: 	at io reactivex Single subscribe(Single java:3394)_x000D_
12 07 20:04:59 337 18524 28962 E AndroidRuntime: 	at io reactivex internal operators single SingleZipArray subscribeActual(SingleZipArray java:64)_x000D_
12 07 20:04:59 337 18524 28962 E AndroidRuntime: 	at io reactivex Single subscribe(Single java:3394)_x000D_
12 07 20:04:59 337 18524 28962 E AndroidRuntime: 	at io reactivex Single subscribe(Single java:3380)_x000D_
12 07 20:04:59 337 18524 28962 E AndroidRuntime: 	at io reactivex Single subscribe(Single java:3351)_x000D_
12 07 20:04:59 337 18524 28962 E AndroidRuntime: 	at fr free nrw commons upload UploadModel receiveDirect(UploadModel java:133)_x000D_
12 07 20:04:59 337 18524 28962 E AndroidRuntime: 	at fr free nrw commons upload UploadPresenter lambda receiveDirect 4 UploadPresenter(UploadPresenter java:96)_x000D_
12 07 20:04:59 337 18524 28962 E AndroidRuntime: 	at fr free nrw commons upload UploadPresenter  Lambda 3 run(Unknown Source)_x000D_
12 07 20:04:59 337 18524 28962 E AndroidRuntime: 	at io reactivex internal operators completable CompletableFromRunnable subscribeActual(CompletableFromRunnable java:35)_x000D_
12 07 20:04:59 337 18524 28962 E AndroidRuntime: 	at io reactivex Completable subscribe(Completable java:2171)_x000D_
12 07 20:04:59 337 18524 28962 E AndroidRuntime: 	at io reactivex internal operators completable CompletableSubscribeOn SubscribeOnObserver run(CompletableSubscribeOn java:64)_x000D_
12 07 20:04:59 337 18524 28962 E AndroidRuntime: 	at io reactivex Scheduler DisposeTask run(Scheduler java:579)_x000D_
12 07 20:04:59 337 18524 28962 E AndroidRuntime: 	at io reactivex internal schedulers ScheduledRunnable run(ScheduledRunnable java:66)_x000D_
12 07 20:04:59 337 18524 28962 E AndroidRuntime: 	    6 more_x000D_
12 07 20:04:59 346   786  7837 W ActivityManager:   Force finishing activity fr free nrw commons  upload UploadActivity_x000D_
   _x000D_
_x000D_
  Device and Android version:   _x000D_
_x000D_
LineageOS 2 7 1_x000D_
 _x000D_
  Commons app version:   _x000D_
_x000D_
2 9 0 latest alpha</t>
  </si>
  <si>
    <t>commons-app-apps-android-commons-2081</t>
  </si>
  <si>
    <t>After any crash, app opens on notifications activity</t>
  </si>
  <si>
    <t xml:space="preserve">  Steps to reproduce:   _x000D_
_x000D_
1  Crash the app using one of the current bugs  for instance when trying to upload _x000D_
2  Tap  Send feedback _x000D_
3  Send the feedback_x000D_
4  The app restarts    on the notifications screen_x000D_
_x000D_
Is it intended _x000D_
The home activity would seem more natural to me  but if there is any special reason then please close this issue : )_x000D_
_x000D_
  System logs:  _x000D_
_x000D_
   _x000D_
12 07 19:13:21 134 20396 20396 I GoogleInputMethod: onFinishInput() : Dummy InputConnection bound                                                                                                                                                  233 93013 _x000D_
12 07 19:13:21 134 20396 20396 I GoogleInputMethod: onStartInput() : Dummy InputConnection bound                                                                           _x000D_
12 07 19:13:21 134 20396 20396 I ShortcutsDataManager: startImportContentTask()                                                                                                                  _x000D_
12 07 19:13:21 134 20396 20396 I ShortcutsDataManager: onImportAborted()                                                                                                                      _x000D_
12 07 19:13:21 223 18305 18340 W UnsafeUtil: platform method missing   proto runtime falling back to safer methods: java lang NoSuchMethodException: copyMemory  class java lang Object  long  class java lang Object  long  long _x000D_
12 07 19:13:21 242 18305 18305 D libcrashlytics: Initializing libcrashlytics version 1 1 5                                                                                                       _x000D_
12 07 19:13:21 242 18305 18305 D libcrashlytics: Attempting to load unwinder                                                                                                                                          _x000D_
12 07 19:13:21 260 18305 18305 D libcrashlytics: Done  using libunwind                                                                                                                                 _x000D_
12 07 19:13:21 260 18305 18305 D libcrashlytics: Attempting to register signal handler                                                                                     _x000D_
12 07 19:13:21 260 18305 18305 D libcrashlytics: Signal handler registered                                                                                                              _x000D_
12 07 19:13:21 260 18305 18305 D libcrashlytics: Initializing native crash handling successful                                                                                                            _x000D_
12 07 19:13:21 262 18305 18336 I KinesisManager: Kinesis Manager initialization successfuly completed                                                                                    _x000D_
12 07 19:13:21 295 18305 18305 I CrashlyticsCore: Initializing Crashlytics 2 3 17 dev                                                                                             _x000D_
12 07 19:13:21 307   786  8864 I OpenGLRenderer: Initialized EGL  version 1 4                                                                                            _x000D_
12 07 19:13:21 307   786  8864 D OpenGLRenderer: Swap behavior 1                                                                                                                _x000D_
12 07 19:13:21 496   786  1753 I ActivityManager: Process com android vending (pid 17293) has died                                                                                  _x000D_
12 07 19:13:21 496   786  1753 D ActivityManager: cleanUpApplicationRecord    17293                                                                                      _x000D_
12 07 19:13:21 497   786  1796 D ConnectivityService: ConnectivityService NetworkRequestInfo binderDied(NetworkRequest   LISTEN id 753    Capabilities: INTERNET NOT RESTRICTED TRUSTED     android os BinderProxy 3ec09c5)_x000D_
12 07 19:13:21 524   786   893 E ConnectivityService: RemoteException caught trying to send a callback msg for NetworkRequest   LISTEN id 753    Capabilities: INTERNET NOT RESTRICTED TRUSTED   _x000D_
12 07 19:13:21 549 18305 18367 D NetworkSecurityConfig: Using Network Security Config from resource network security config prod debugBuild: false                     _x000D_
12 07 19:13:21 601 18305 18367 W System  : ClassLoader referenced unknown path:  system framework tcmclient jar                                                                                                 _x000D_
12 07 19:13:21 667 18305 18305 I    h device api MAPInit: Initializing MAP (130050002   MAPAndroidLib 1 1 200618 0) for app com amazon dee app  MAP release version: 20180329N                                  _x000D_
12 07 19:13:21 690 18305 18396 I    IsolatedModeSwitcher: The application is in static isolated mode                                                                                                  _x000D_
12 07 19:13:21 690 18305 18396 I    th device features b: Caching feature IsolateApplication as true                                                                                                                     _x000D_
12 07 19:13:21 690 18305 18396 I    uth device storage m: Creating new DataStorageFactoryImpl                                                                                                                  _x000D_
12 07 19:13:21 690 18305 18396 I    uth device storage m: Initializing new DataStorage                                                                                                                                           _x000D_
12 07 19:13:21 695 18305 18396 I    h device attribute a: Setting device attribute CentralAPK to false                                                                                                                     _x000D_
12 07 19:13:21 696 18305 18396 I    uth device storage m: Creating and using new CentralLocalDataStorage                                                                                                                    _x000D_
12 07 19:13:21 696 18305 18396 I    uth device storage r: Constructing LocalDataStorageV2                                                                                                                              _x000D_
12 07 19:13:21 730 18305 18377 D ApplicationLoaders: ignored Vulkan layer search path  data app com google android gms 2 lib arm: data app com google android gms 2 base apk  lib armeabi v7a for namespace 0xb2f58090_x000D_
12 07 19:13:21 754 18305 18396 I    uth device storage r: Constructing LocalDataStorageDBHelper                                                                                                                    _x000D_
12 07 19:13:21 756 18305 18396 I    uth device storage r: Database map data storage v2 db exists: true                                                                                  _x000D_
12 07 19:13:21 756 18305 18396 I    uth device storage g: Constructing CentralLocalDataStorage                                                                                        _x000D_
12 07 19:13:21 764 18305 18399 I    h device framework z: Get DataStorage instance for initialization                                                                                                    _x000D_
12 07 19:13:21 764 18305 18399 I    h device framework z: Initialize DataStorage instance                                                                                                     _x000D_
12 07 19:13:21 764 18305 18399 I    h device framework z: Setup DataStorage instance                                                                                                                           _x000D_
12 07 19:13:21 826 18305 18399 I     device framework ar: Trying to use default signature based package trust logic  This should be on 3P device                                               _x000D_
12 07 19:13:21 826 18305 18399 I     device framework ar: Setting package trust logic as: signature based package trust logic_x000D_
12 07 19:13:21 851 18305 18305 W Java7Support: Unable to load JDK7 types (annotations  java nio file Path): no Java7 support added_x000D_
12 07 19:13:21 856 18305 18399 I    tity auth accounts y: Returning Default multiple profile settings_x000D_
12 07 19:13:21 895 18305 18305 I CommsIdentityStore: Complete CommsIdentity was not found in shared prefs _x000D_
12 07 19:13:21 896 18305 18305 I CommsIdentityStore: Complete CommsIdentity was not found in shared prefs _x000D_
12 07 19:13:21 915 18305 18305 I CommsIdentityStore: Complete CommsIdentity was not found in shared prefs _x000D_
12 07 19:13:21 915 18305 18305 I CommsIdentityStore: Complete CommsIdentity was not found in shared prefs _x000D_
12 07 19:13:21 942 18305 18305 W System  : ClassLoader referenced unknown path:  system app webview lib arm_x000D_
12 07 19:13:21 943   786  1114 W GnssLocationProvider: Invalid size of GpsSvStatus found: 0 _x000D_
12 07 19:13:21 945 18305 18305 D ApplicationLoaders: ignored Vulkan layer search path  system app webview lib arm: system app webview webview apk  lib armeabi v7a: system lib: vendor lib for namespace 0xb2f580d0_x000D_
12 07 19:13:22 004 18305 18305 I WebViewFactory: Loading com android webview version 59 0 3071 92 (code 1)_x000D_
12 07 19:13:22 189 18305 18305 I cr LibraryLoader: Time to load native libraries: 5 ms (timestamps 4911 4916)_x000D_
12 07 19:13:22 220 18305 18305 I chromium:  INFO:library loader hooks cc(144)  Chromium logging enabled: level   0  default verbosity   0_x000D_
12 07 19:13:22 221 18305 18305 I cr LibraryLoader: Expected native library version number  59 0 3071 92   actual native library version number  59 0 3071 92 _x000D_
12 07 19:13:22 241 18305 18305 I DefaultUserProfileManag: Listening for  oobe:profile:selected _x000D_
12 07 19:13:22 245 18305 18305 I PersistentUserIdentityS: Retrieving User: A2308YIFD5YW84_x000D_
12 07 19:13:22 248 18305 18305 I CommsIdentityStore: Complete CommsIdentity was not found in shared prefs _x000D_
12 07 19:13:22 385 18305 18305 I KCommsCommsInternal: Comms start()_x000D_
12 07 19:13:22 390 18305 18305 I UserIdentity: hasActiveDevices  no_x000D_
12 07 19:13:22 390 18305 18305 I CommsConversationServic: userHasDevice: no_x000D_
   _x000D_
_x000D_
  Commons app version:   _x000D_
_x000D_
2 9 0</t>
  </si>
  <si>
    <t>k9mail-k-9-3803</t>
  </si>
  <si>
    <t>k9 crashes with "intervalMs is out of range of [900000, 9223372036854775807] (too low)"</t>
  </si>
  <si>
    <t xml:space="preserve">    Expected behavior_x000D_
K9 should not crash when folder poll intervals below 15 minutes are configured _x000D_
_x000D_
    Actual behavior_x000D_
K9 crashes immediately with:_x000D_
_x000D_
   _x000D_
 AndroidRuntime: FATAL EXCEPTION: main_x000D_
                  Process: com fsck k9 debug  PID: 7942_x000D_
                  java lang IllegalArgumentException: intervalMs is out of range of  900000  9223372036854775807  (too low)_x000D_
                      at com evernote android job util JobPreconditions checkArgumentInRange(JobPreconditions java:269)_x000D_
                      at com evernote android job JobRequest Builder setPeriodic(JobRequest java:1044)_x000D_
                      at com evernote android job JobRequest Builder setPeriodic(JobRequest java:1022)_x000D_
                      at com fsck k9 job MailSyncJobManager scheduleJob(MailSyncJobManager kt:29)_x000D_
                      at com fsck k9 job K9JobManager scheduleMailSync(K9JobManager kt:32)_x000D_
                      at com fsck k9 ui settings account AccountSettingsDataStore reschedulePoll(AccountSettingsDataStore kt:218)_x000D_
                      at com fsck k9 ui settings account AccountSettingsDataStore putString(AccountSettingsDataStore kt:163)_x000D_
                      at android support v7 preference Preference persistString(Preference java:1575)_x000D_
                      at android support v7 preference ListPreference setValue(ListPreference java:156)_x000D_
                      at android support v7 preference ListPreferenceDialogFragmentCompat onDialogClosed(ListPreferenceDialogFragmentCompat java:129)_x000D_
                      at android support v7 preference PreferenceDialogFragmentCompat onDismiss(PreferenceDialogFragmentCompat java:264)_x000D_
                      at android app Dialog ListenersHandler handleMessage(Dialog java:1393)_x000D_
                      at android os Handler dispatchMessage(Handler java:106)_x000D_
                      at android os Looper loop(Looper java:201)_x000D_
                      at android app ActivityThread main(ActivityThread java:6806)_x000D_
                      at java lang reflect Method invoke(Native Method)_x000D_
                      at com android internal os RuntimeInit MethodAndArgsCaller run(RuntimeInit java:547)_x000D_
                      at com android internal os ZygoteInit main(ZygoteInit java:873)_x000D_
_x000D_
   _x000D_
_x000D_
    Steps to reproduce_x000D_
1  Open account settings_x000D_
2  Set folder poll frequency to 10 minutes_x000D_
_x000D_
    Environment_x000D_
K 9 Mail version: 4a342435e38fce5dc4209db12293c730c9092199_x000D_
_x000D_
Android version: 9 0_x000D_
_x000D_
Account type (IMAP  POP3  WebDAV Exchange): IMAP_x000D_
</t>
  </si>
  <si>
    <t>aws-amplify-aws-sdk-android-604</t>
  </si>
  <si>
    <t>Getting a crash in version 2.7.3 of aws pinpoint</t>
  </si>
  <si>
    <t xml:space="preserve">I m getting this crash from  UrlHttpClient    lne 162 on my Crashalytics_x000D_
_x000D_
   _x000D_
Fatal Exception: java lang ArrayIndexOutOfBoundsException: length 0  index 0_x000D_
       at com android okhttp internal Util rjil playstore download case(Util java:309)_x000D_
       at com android okhttp HostResolver 1 getAllByName(HostResolver java:31)_x000D_
       at com android okhttp internal http RouteSelector resetNextInetSocketAddress(RouteSelector java:232)_x000D_
       at com android okhttp internal http RouteSelector next(RouteSelector java:124)_x000D_
       at com android okhttp internal http HttpEngine connect(HttpEngine java:310)_x000D_
       at com android okhttp internal http HttpEngine sendRequest(HttpEngine java:249)_x000D_
       at com android okhttp internal http HttpURLConnectionImpl execute(HttpURLConnectionImpl java:397)_x000D_
       at com android okhttp internal http HttpURLConnectionImpl connect(HttpURLConnectionImpl java:118)_x000D_
       at com android okhttp internal http HttpURLConnectionImpl getOutputStream(HttpURLConnectionImpl java:229)_x000D_
       at com android okhttp internal http DelegatingHttpsURLConnection getOutputStream(DelegatingHttpsURLConnection java:218)_x000D_
       at com android okhttp internal http HttpsURLConnectionImpl getOutputStream(HttpsURLConnectionImpl java:25)_x000D_
       at com amazonaws http UrlHttpClient writeContentToConnection(SourceFile:162)_x000D_
       at com amazonaws http UrlHttpClient execute(SourceFile:75)_x000D_
       at com amazonaws http AmazonHttpClient executeHelper(SourceFile:371)_x000D_
       at com amazonaws http AmazonHttpClient execute(SourceFile:212)_x000D_
       at com amazonaws services cognitoidentity AmazonCognitoIdentityClient invoke(SourceFile:566)_x000D_
       at com amazonaws services cognitoidentity AmazonCognitoIdentityClient getOpenIdToken(SourceFile:510)_x000D_
       at com amazonaws auth AWSAbstractCognitoIdentityProvider getToken(SourceFile:198)_x000D_
       at com amazonaws auth AWSAbstractCognitoIdentityProvider refresh(SourceFile:316)_x000D_
       at com amazonaws auth AWSBasicCognitoIdentityProvider refresh(SourceFile:77)_x000D_
       at com amazonaws mobile auth core IdentityManager AWSRefreshingCognitoIdentityProvider refresh(SourceFile:184)_x000D_
       at com amazonaws auth CognitoCredentialsProvider startSession(SourceFile:678)_x000D_
       at com amazonaws auth CognitoCredentialsProvider getCredentials(SourceFile:465)_x000D_
       at com amazonaws auth CognitoCachingCredentialsProvider getCredentials(SourceFile:485)_x000D_
       at com amazonaws auth CognitoCachingCredentialsProvider getCredentials(SourceFile:77)_x000D_
       at com amazonaws services pinpoint AmazonPinpointClient invoke(SourceFile:3872)_x000D_
       at com amazonaws services pinpoint AmazonPinpointClient updateEndpoint(SourceFile:3630)_x000D_
       at com amazonaws mobileconnectors pinpoint targeting TargetingClient 1 run(SourceFile:198)_x000D_
       at java util concurrent ThreadPoolExecutor runWorker(ThreadPoolExecutor java:1112)_x000D_
       at java util concurrent ThreadPoolExecutor Worker run(ThreadPoolExecutor java:587)_x000D_
       at java lang Thread run(Thread java:818)_x000D_
   _x000D_
_x000D_
I m using Aws Pinpoint version 2 7 3 right now </t>
  </si>
  <si>
    <t>itachi1706-SingBuses-151</t>
  </si>
  <si>
    <t>BusesUtil.kt line 59</t>
  </si>
  <si>
    <t xml:space="preserve">     in com itachi1706 busarrivalsg util BusesUtil vectorToBitmap
  Number of crashes: 1
  Impacted devices: 1
There s a lot more information about this crash on crashlytics com:
 https:  fabric io itachi1706s projects android apps com itachi1706 busarrivalsg issues 5c096c11f8b88c2963ce8175 utm medium service hooks github utm source issue impact (https:  fabric io itachi1706s projects android apps com itachi1706 busarrivalsg issues 5c096c11f8b88c2963ce8175 utm medium service hooks github utm source issue impact)</t>
  </si>
  <si>
    <t>itachi1706-SingBuses-150</t>
  </si>
  <si>
    <t>MainMenuActivity.java line 118</t>
  </si>
  <si>
    <t xml:space="preserve">     in com itachi1706 busarrivalsg MainMenuActivity onCreate
  Number of crashes: 1
  Impacted devices: 1
There s a lot more information about this crash on crashlytics com:
 https:  fabric io itachi1706s projects android apps com itachi1706 busarrivalsg issues 5c09469af8b88c2963c91946 utm medium service hooks github utm source issue impact (https:  fabric io itachi1706s projects android apps com itachi1706 busarrivalsg issues 5c09469af8b88c2963c91946 utm medium service hooks github utm source issue impact)</t>
  </si>
  <si>
    <t>ankidroid-Anki-Android-5152</t>
  </si>
  <si>
    <t>Crash on double-tap of undo in reviewer</t>
  </si>
  <si>
    <t xml:space="preserve">       Reproduction Steps_x000D_
_x000D_
1  Start app clean (kill and restart if needed   must clean undo stack)_x000D_
1  Review a single card_x000D_
1  tap  undo  twice as fast as possible_x000D_
_x000D_
_x000D_
       Expected Result_x000D_
_x000D_
Card review is undone_x000D_
_x000D_
_x000D_
       Actual Result_x000D_
_x000D_
Both taps somehow make it into the undo code  and the app crashes trying to perform the second undo since the ArrayList is underrun_x000D_
_x000D_
Probably just needs double tap protection  Much of the UI could probably use that _x000D_
_x000D_
Appears in current alphas_x000D_
_x000D_
https:  couchdb ankidroid org acralyzer  design acralyzer index html  report details ac15f57f 40c6 45b5 8bed 580a55e814cc_x000D_
   _x000D_
10 23 16:58:04 448 I AnkiDroid(25335): Reviewer:: Undo button pressed_x000D_
  _x000D_
2   10 23 16:58:04 561 I AnkiDroid(25335): AbstractFlashcardViewer:: Question successfully shown for card id 1539854283598_x000D_
3   10 23 16:58:04 579 I AnkiDroid(25335): Reviewer:: Undo button pressed_x000D_
4   10 23 16:58:04 708 I AnkiDroid(25335): AbstractFlashcardViewer:: Question successfully shown for card id 1539854277316_x000D_
5   10 23 16:58:04 730 I AnkiDroid(25335): Reviewer:: Undo button pressed_x000D_
6   10 23 16:58:04 852 I AnkiDroid(25335): AbstractFlashcardViewer:: Question successfully shown for card id 1539854274185_x000D_
7   10 23 16:58:04 872 I AnkiDroid(25335): Reviewer:: Undo button pressed_x000D_
8   10 23 16:58:04 879 I AnkiDroid(25335): Reviewer:: Undo button pressed_x000D_
9   10 23 16:58:04 951 E AnkiDroid(25335): DeckTask  doInBackgroundUndo   RuntimeException on undoing_x000D_
10   10 23 16:58:04 951 E AnkiDroid(25335): java util NoSuchElementException_x000D_
11   10 23 16:58:04 951 E AnkiDroid(25335): at java util LinkedList removeLast(LinkedList java:283)_x000D_
12   10 23 16:58:04 951 E AnkiDroid(25335): at com ichi2 libanki Collection undo(Collection java:1232)_x000D_
13   10 23 16:58:04 951 E AnkiDroid(25335): at com ichi2 async DeckTask doInBackgroundUndo(DeckTask java:780)_x000D_
_x000D_
   </t>
  </si>
  <si>
    <t>liferay-liferay-screens-589</t>
  </si>
  <si>
    <t>#trivial MOBILE-1009 Fix crash GridField when rotated before debounce</t>
  </si>
  <si>
    <t xml:space="preserve"> victorg1991  dgarciasarai _x000D_
Fix was made on GridField to parse string map format to json format avoiding crash when data value is restored to field </t>
  </si>
  <si>
    <t>fossasia-pslab-android-1452</t>
  </si>
  <si>
    <t>PSLab Crash upon viewing logged Lux meter data</t>
  </si>
  <si>
    <t xml:space="preserve">  Actual Behaviour  _x000D_
App crash whenever try to open_x000D_
_x000D_
  Expected Behaviour  _x000D_
Show the other page with the recorded data  or don t save the data _x000D_
_x000D_
  Steps to reproduce it  _x000D_
Press record and quit the instrument without stopping  Return back to Lux meter and show the logged data_x000D_
Upon clicking the chosen data set  it crashes _x000D_
_x000D_
  Screenshots of the issue  _x000D_
_x000D_
 img src  https:  user images githubusercontent com 11439477 49530907 20c09200 f8f4 11e8 8789 4d764a8bbb83 jpg  width  400px   _x000D_
</t>
  </si>
  <si>
    <t>beohoang98-ISE_NMH_16-1</t>
  </si>
  <si>
    <t>Issue #1</t>
  </si>
  <si>
    <t>hi n t i app c  :_x000D_
  giao di n m  app_x000D_
  m n h nh trang ch nh s  b _x000D_
  m n h nh   ng k _x000D_
  m n h nh   ng nh p_x000D_
_x000D_
C c L i : _x000D_
        ng k  k  i n g  v n    c_x000D_
        ng nh p k  i n g  crash nhi u l n_x000D_
   x    ng nh p b m n t back quay l i giao di n   ng nh p  k c n   ng xu t</t>
  </si>
  <si>
    <t>mapbox-mapbox-events-android-310</t>
  </si>
  <si>
    <t xml:space="preserve">IllegalArgumentException with minifyEnabled true </t>
  </si>
  <si>
    <t xml:space="preserve">Found in the release build ( minifyEnabled true ) of the navigation test app:_x000D_
   _x000D_
12 03 13:03:59 304 23951 23951   E AndroidRuntime: FATAL EXCEPTION: main_x000D_
    Process: com mapbox services android navigation testapp  PID: 23951_x000D_
    java lang RuntimeException: Error receiving broadcast Intent   act com mapbox scheduler flusher flg 0x14 (has extras)   in com mapbox android telemetry a 737eb10_x000D_
        at android app LoadedApk ReceiverDispatcher Args lambda getRunnable 0(LoadedApk java:1412)_x000D_
        at android app    Lambda LoadedApk ReceiverDispatcher Args  BumDX2UKsnxLVrE6UJsJZkotuA run(Unknown Source:2)_x000D_
        at android os Handler handleCallback(Handler java:873)_x000D_
        at android os Handler dispatchMessage(Handler java:99)_x000D_
        at android os Looper loop(Looper java:280)_x000D_
        at android app ActivityThread main(ActivityThread java:6710)_x000D_
        at java lang reflect Method invoke(Native Method)_x000D_
        at com android internal os RuntimeInit MethodAndArgsCaller run(RuntimeInit java:493)_x000D_
        at com android internal os ZygoteInit main(ZygoteInit java:858)_x000D_
     Caused by: java lang IllegalArgumentException: Invalid attempt to bind an instance of com mapbox android telemetry br as a  JsonAdapter for com mapbox android telemetry bl   JsonAdapter value must be a TypeAdapter  TypeAdapterFactory  JsonSerializer or JsonDeserializer _x000D_
        at com google gson b a d a(Unknown Source:87)_x000D_
        at com google gson b a i a(Unknown Source:27)_x000D_
        at com google gson b a i a(Unknown Source:123)_x000D_
        at com google gson b a i create(Unknown Source:22)_x000D_
        at com google gson f a(Unknown Source:74)_x000D_
        at com google gson f a(Unknown Source:4)_x000D_
        at com google gson f a(Unknown Source:5)_x000D_
        at com google gson f a(Unknown Source:9)_x000D_
        at com google gson b a l a a(Unknown Source:4)_x000D_
        at com mapbox android telemetry bu b(Unknown Source:4)_x000D_
        at com mapbox android telemetry bu a(Unknown Source:17)_x000D_
        at com mapbox android telemetry bu serialize(Unknown Source:2)_x000D_
        at com google gson b a l write(Unknown Source:28)_x000D_
        at com google gson b a m write(Unknown Source:35)_x000D_
        at com google gson b a b a a(Unknown Source:25)_x000D_
        at com google gson b a b a write(Unknown Source:2)_x000D_
        at com google gson f a(Unknown Source:34)_x000D_
        at com google gson f a(Unknown Source:8)_x000D_
        at com google gson f b(Unknown Source:5)_x000D_
        at com google gson f b(Unknown Source:13)_x000D_
        at com mapbox android telemetry cf b(Unknown Source:8)_x000D_
        at com mapbox android telemetry cf a(Unknown Source:8)_x000D_
        at com mapbox android telemetry MapboxTelemetry c(Unknown Source:14)_x000D_
        at com mapbox android telemetry MapboxTelemetry b(Unknown Source:6)_x000D_
        at com mapbox android telemetry MapboxTelemetry m(Unknown Source:17)_x000D_
        at com mapbox android telemetry MapboxTelemetry a(Unknown Source:0)_x000D_
        at com mapbox android telemetry MapboxTelemetry 1 a(Unknown Source:2)_x000D_
        at com mapbox android telemetry a onReceive(Unknown Source:14)_x000D_
        at android app LoadedApk ReceiverDispatcher Args lambda getRunnable 0(LoadedApk java:1397)_x000D_
        at android app    Lambda LoadedApk ReceiverDispatcher Args  BumDX2UKsnxLVrE6UJsJZkotuA run(Unknown Source:2) _x000D_
        at android os Handler handleCallback(Handler java:873) _x000D_
        at android os Handler dispatchMessage(Handler java:99) _x000D_
        at android os Looper loop(Looper java:280) _x000D_
        at android app ActivityThread main(ActivityThread java:6710) _x000D_
        at java lang reflect Method invoke(Native Method) _x000D_
        at com android internal os RuntimeInit MethodAndArgsCaller run(RuntimeInit java:493) _x000D_
        at com android internal os ZygoteInit main(ZygoteInit java:858) _x000D_
   _x000D_
_x000D_
Added this rule as a quick fix  resolving the crashes:_x000D_
   _x000D_
 keep class com mapbox android telemetry          _x000D_
   </t>
  </si>
  <si>
    <t>alexweininger-android-catan-296</t>
  </si>
  <si>
    <t>Game crashed with Robber action</t>
  </si>
  <si>
    <t xml:space="preserve">Game crashed when pressing confirm button on discard cards menu during robber phase  Proper amount of cards was selected and user had the right cards to get rid of  Error was in CatanHumanPlayer:_x000D_
  image (https:  user images githubusercontent com 43326382 49388636 3a39c200 f6d9 11e8 8bca 67d80b26664f png)_x000D_
</t>
  </si>
  <si>
    <t>SEG2105-Group-JobZi-174</t>
  </si>
  <si>
    <t>App crashes when empty login credentials are used.</t>
  </si>
  <si>
    <t xml:space="preserve">To reproduce  either pass in an empty username  password  or both  After the crash  oddly enough  the app goes to the sign up activity </t>
  </si>
  <si>
    <t>SEG2105-Group-JobZi-172</t>
  </si>
  <si>
    <t>App crashes when last availability a service provider has is removed.</t>
  </si>
  <si>
    <t xml:space="preserve">To reproduce  simply remove all availabilities from all days and after removing the last one the app will crash _x000D_
_x000D_
This is likely due to firebase returning  null  when the availabilities hash map is empty (or something similar) </t>
  </si>
  <si>
    <t>onaio-kujaku-212</t>
  </si>
  <si>
    <t>Bugs encountered when using Sample app</t>
  </si>
  <si>
    <t xml:space="preserve">   x  MapActivity crashing if not openned with points dropped passed_x000D_
   x  Offline map downloading service throwing exception if provided an  http  or  https  url as the styleUrl   This should be allowed as long as it s usable by Mapbox</t>
  </si>
  <si>
    <t>seisure-ASE-107</t>
  </si>
  <si>
    <t>App-Crash beim Löschen einer Aktion</t>
  </si>
  <si>
    <t xml:space="preserve">  screenshot 20181202 192252 (https:  user images githubusercontent com 36745144 49343373 07a3b100 f668 11e8 809b 3f20aaca7321 png)_x000D_
_x000D_
Habe diesen Zustand in der App  Wenn ich die Aktion l sche  crasht die App _x000D_
Konnte es jetzt auf die Schnelle nicht fixen  Das Problem ist aber irgendwo im Consistency Test  also das  get() ist au erhalb der List _x000D_
_x000D_
 E AndroidRuntime: FATAL EXCEPTION: main_x000D_
    Process: de teambuktu ase  PID: 8304_x000D_
    java lang IndexOutOfBoundsException: Index: 0  Size: 0_x000D_
        at java util ArrayList get(ArrayList java:437)_x000D_
        at de teambuktu ase Utility testForConsistency(Utility java:40)_x000D_
        at de teambuktu ase MainActivity fnOnClickButtonDeleteRow(MainActivity java:689) </t>
  </si>
  <si>
    <t>osmdroid-osmdroid-1217</t>
  </si>
  <si>
    <t>java.lang.OutOfMemoryError crash with high res tiles and 6.0.3 only</t>
  </si>
  <si>
    <t xml:space="preserve">   Issue Type_x000D_
_x000D_
    Question_x000D_
  x  Bug_x000D_
    Improvement_x000D_
    Build system related_x000D_
    Performance_x000D_
    Documentation_x000D_
_x000D_
_x000D_
   Description and or steps code to reproduce the problem_x000D_
_x000D_
Problem can be reproduced with a small app (listing below):_x000D_
o Start the app_x000D_
o Rotate and scale the map very very intensely_x000D_
o in the profile of Visual studio you can watch how memory footprint increases_x000D_
o on a device with 256 MB heap for the app no memory is left after about half a minute_x000D_
o     app crashes with java lang OutOfMemoryError_x000D_
_x000D_
Problem can be reproduced only:_x000D_
o with hires tile source (basemap at in the app)_x000D_
o with osmdroid 6 0 3_x000D_
_x000D_
Did NOT manage to reproduce the problem_x000D_
o with MAPNIK tile source_x000D_
o with osmdroid 6 0 2_x000D_
_x000D_
Here is the app to reproduce the problem:_x000D_
_x000D_
public class MainActivity extends AppCompatActivity_x000D_
 _x000D_
  private org osmdroid views MapView map   null _x000D_
  private final double_x000D_
    centerLon   13 5 _x000D_
    centerLat   47 3 _x000D_
_x000D_
  private ITileSource getTileSourceBasemapAt()_x000D_
   _x000D_
    return_x000D_
      new OnlineTileSourceBase( bmaphidpi basemap at  _x000D_
        1  19  512    jpeg  _x000D_
        new String    _x000D_
           https:  maps1 wien gv at basemap bmaphidpi normal google3857   _x000D_
           https:  maps2 wien gv at basemap bmaphidpi normal google3857   _x000D_
           https:  maps3 wien gv at basemap bmaphidpi normal google3857   _x000D_
           https:  maps4 wien gv at basemap bmaphidpi normal google3857   _x000D_
           https:  maps wien gv at basemap bmaphidpi normal google3857  _x000D_
          _x000D_
         Tiles   basemap at  CC BY 3 0 AT )_x000D_
       _x000D_
         Override_x000D_
        public final String getTileURLString(final long pMapTileIndex)_x000D_
         _x000D_
          return String format(Locale ENGLISH   s d  d  d jpeg  _x000D_
            getBaseUrl() _x000D_
            MapTileIndex getZoom(pMapTileIndex) _x000D_
            MapTileIndex getY(pMapTileIndex) _x000D_
            MapTileIndex getX(pMapTileIndex)) _x000D_
         _x000D_
        _x000D_
   _x000D_
_x000D_
  private ITileSource getTileSourceMapnik()_x000D_
   _x000D_
    return new XYTileSource( Mapnik  _x000D_
      1  19  256    png  _x000D_
      new String    _x000D_
         http:  a tile openstreetmap org   _x000D_
         http:  b tile openstreetmap org   _x000D_
         http:  c tile openstreetmap org  _x000D_
        _x000D_
         OpenStreetMap contributors  CC BY SA ) _x000D_
   _x000D_
_x000D_
   Override_x000D_
  protected void onCreate(Bundle savedInstanceState)_x000D_
   _x000D_
    super onCreate(savedInstanceState) _x000D_
_x000D_
    Configuration getInstance() load(this _x000D_
      PreferenceManager getDefaultSharedPreferences(this)) _x000D_
    map   new org osmdroid views MapView(this) _x000D_
    map setTileSource(getTileSourceBasemapAt()) _x000D_
_x000D_
    map setMinZoomLevel(1 0) _x000D_
    map setMaxZoomLevel(19 0) _x000D_
    final float density   getResources() getDisplayMetrics() density _x000D_
    TileSystem setTileSize(Math round(256 density)) _x000D_
    map setTilesScaledToDpi(true) _x000D_
_x000D_
    map getOverlays() add(new RotationGestureOverlay(map)) _x000D_
_x000D_
    map setMultiTouchControls(true) _x000D_
_x000D_
    setContentView(map) _x000D_
_x000D_
    map getController() setCenter(new GeoPoint(centerLat  centerLon)) _x000D_
    map getController() setZoom(12 0) _x000D_
_x000D_
    map invalidate() _x000D_
   _x000D_
_x000D_
   Override_x000D_
  public void onPause()_x000D_
   _x000D_
    if (map  null)_x000D_
      map onPause() _x000D_
    super onPause() _x000D_
   _x000D_
_x000D_
   Override_x000D_
  public void onResume()_x000D_
   _x000D_
    super onResume() _x000D_
    Configuration getInstance() load(this _x000D_
      PreferenceManager getDefaultSharedPreferences(this)) _x000D_
    if (map  null)_x000D_
      map onResume() _x000D_
   _x000D_
 _x000D_
_x000D_
_x000D_
   Environment_x000D_
_x000D_
    If it s a bug  version(s) of android this affects:_x000D_
_x000D_
All_x000D_
_x000D_
    Version of osmdroid the issue relates to:_x000D_
_x000D_
6 0 3_x000D_
_x000D_
</t>
  </si>
  <si>
    <t>GreatApo-GreatFit-22</t>
  </si>
  <si>
    <t>Crash with change of month to Dec</t>
  </si>
  <si>
    <t xml:space="preserve">Hi 30 mins into Dec here in Sydney and i have noticed this watchface and 1 other apk watchface i have both crash when i select them so i m thinking it has something to do with the change of month as it did work perfect thanks </t>
  </si>
  <si>
    <t>k3b-ToGoZip-15</t>
  </si>
  <si>
    <t>2.0.17 "Generate zip-subfolders below" may cause crashes</t>
  </si>
  <si>
    <t xml:space="preserve">Hello  Thanks for the update _x000D_
Sadly  the application crashes when:_x000D_
  I choose Generate zip subfolders below option and then press system back button instead of Cancel button _x000D_
  It s not possible to choose any other location instead of Download copy  It should say that I ve picked the wrong folder or offer a choice  Now it crashes all the time until the application data is cleared </t>
  </si>
  <si>
    <t>kontalk-androidclient-1242</t>
  </si>
  <si>
    <t>Kontalk crashes if contacting from external xmpp client</t>
  </si>
  <si>
    <t xml:space="preserve">    Expected behavior_x000D_
Kontalk should accept the invitation and shouldn t crash _x000D_
_x000D_
    Actual behavior_x000D_
Kontalk is crashing after clicking  ACCEPT  _x000D_
_x000D_
    Steps to reproduce_x000D_
1  Create a normal xmpp account_x000D_
2  Log in to Conversations_x000D_
3  Optional: Enable OMEMO (i know not supported by kontalk)_x000D_
4  Write a message to your Kontalk User ID_x000D_
5  Open Kontalk and click on  ACCEPT  _x000D_
_x000D_
    Environment_x000D_
_x000D_
Kontalk version: 4 2 0 F Droid_x000D_
Android version: LineageOS 14 1 (Android 7 1 2)_x000D_
Device model: Samsung G920F_x000D_
_x000D_
    Logs_x000D_
I paste them here because there are no private personal details_x000D_
_x000D_
   _x000D_
11 29 20:53:29 568  1534  1534 D AndroidRuntime: Shutting down VM_x000D_
11 29 20:53:29 571  1534  1534 E AndroidRuntime: FATAL EXCEPTION: main_x000D_
11 29 20:53:29 571  1534  1534 E AndroidRuntime: Process: org kontalk  PID: 1534_x000D_
11 29 20:53:29 571  1534  1534 E AndroidRuntime: java lang NullPointerException: fingerprint_x000D_
11 29 20:53:29 571  1534  1534 E AndroidRuntime:        at org kontalk MessagesController setTrustLevelAndRetryMessages(MessagesController java:288)_x000D_
11 29 20:53:29 571  1534  1534 E AndroidRuntime:        at org kontalk ui ComposeMessageFragment setPrivacy(ComposeMessageFragment java:830)_x000D_
11 29 20:53:29 571  1534  1534 E AndroidRuntime:        at org kontalk ui ComposeMessageFragment 5 onClick(ComposeMessageFragment java:773)_x000D_
11 29 20:53:29 571  1534  1534 E AndroidRuntime:        at android view View performClick(View java:5637)_x000D_
11 29 20:53:29 571  1534  1534 E AndroidRuntime:        at android view View PerformClick run(View java:22433)_x000D_
11 29 20:53:29 571  1534  1534 E AndroidRuntime:        at android os Handler handleCallback(Handler java:751)_x000D_
11 29 20:53:29 571  1534  1534 E AndroidRuntime:        at android os Handler dispatchMessage(Handler java:95)_x000D_
11 29 20:53:29 571  1534  1534 E AndroidRuntime:        at android os Looper loop(Looper java:154)_x000D_
11 29 20:53:29 571  1534  1534 E AndroidRuntime:        at android app ActivityThread main(ActivityThread java:6186)_x000D_
11 29 20:53:29 571  1534  1534 E AndroidRuntime:        at java lang reflect Method invoke(Native Method)_x000D_
11 29 20:53:29 571  1534  1534 E AndroidRuntime:        at com android internal os ZygoteInit MethodAndArgsCaller run(ZygoteInit java:889)_x000D_
11 29 20:53:29 571  1534  1534 E AndroidRuntime:        at com android internal os ZygoteInit main(ZygoteInit java:779)_x000D_
11 29 20:53:29 571  1534  1534 E AndroidRuntime:        at de robv android xposed XposedBridge main(XposedBridge java:107)_x000D_
11 29 20:53:29 572  4876  8264 W ActivityManager:   Force finishing activity org kontalk  ui ComposeMessage_x000D_
11 29 20:53:29 575  4876  8264 W ActivityManager:   Force finishing activity org kontalk  ui ComposeMessage_x000D_
11 29 20:53:29 575  4876  8264 W ActivityManager: Duplicate finish request for ActivityRecord cd5d0de u0 org kontalk  ui ComposeMessage t11968 f _x000D_
11 29 20:53:29 613  4876 23305 I OpenGLRenderer: Initialized EGL  version 1 4_x000D_
11 29 20:53:29 613  4876 23305 D OpenGLRenderer: Swap behavior 1_x000D_
11 29 20:53:29 617  4876 23305 D mali winsys: EGLint new window surface(egl winsys display   void   EGLSurface  EGLConfig  egl winsys surface    egl color buffer format   EGLBoolean) returns 0x3000    1624x847  format:1_x000D_
11 29 20:53:30 076  4876  4898 W ActivityManager: Activity pause timeout for ActivityRecord cd5d0de u0 org kontalk  ui ComposeMessage t11968 f _x000D_
11 29 20:53:30 214  4876  4895 W art     : Long monitor contention with owner ActivityManager (4898) at android graphics Bitmap com android server wm WindowManagerService screenshotApplicationsInner(android os IBinder  int  int  int  boolean  float  android graphics Bitmap Config  boolean)(WindowManagerService java:6509) waiters 1 in int com android server wm WindowManagerService relayoutWindow(com android server wm Session  android view IWindow  int  android view WindowManager LayoutParams  int  int  int  int  android graphics Rect  android graphics Rect  android graphics Rect  android graphics Rect  android graphics Rect  android graphics Rect  android graphics Rect  android content res Configuration  android view Surface) for 118ms_x000D_
11 29 20:53:30 215  4876  4876 V NotificationService: pkg android canInterrupt false intercept true_x000D_
   _x000D_
_x000D_
    Other_x000D_
Note  there is xposed in the logs  please ignore it  I reproduced this with another device running Android 8 without xposed </t>
  </si>
  <si>
    <t>commons-app-apps-android-commons-2045</t>
  </si>
  <si>
    <t>Attempt to invoke virtual method 'an droid.content.res.Resources android.view.View.getResources()' on a null object reference</t>
  </si>
  <si>
    <t xml:space="preserve">  Summary:   _x000D_
_x000D_
Got a crash when starting the app _x000D_
_x000D_
  Steps to reproduce:   _x000D_
_x000D_
Not easy to reproduce  but second time today _x000D_
_x000D_
  System logs:  _x000D_
_x000D_
   _x000D_
11 29 22:39:35 025 23369 23517 D NoSync  : Called fsync                                                                                _x000D_
11 29 22:39:35 029 23592 23809 I native  : flash index cc:1605 Flash index sort hb 11198 prefix hits 49416    33239 at 539 188ms_x000D_
11 29 22:39:35 101 23592 11637 I iu FingerprintManager: Start processing media store URI: content:  media external video media            _x000D_
11 29 22:39:35 169 12009 12009 D NearbyFragment: On nearby tab selected                                        _x000D_
11 29 22:39:35 207   794   456 I GnssLocationProvider: WakeLock acquired by sendMessage(3  0  com android server location GnssLocationProvider GpsRequest 1a6fa98)_x000D_
11 29 22:39:35 210 12009 12009 D NearbyFragment: checking GPS                                                 _x000D_
11 29 22:39:35 210 12009 12009 D NearbyFragment: GPS is enabled                                                                                                                                                                    _x000D_
11 29 22:39:35 211 12009 12009 D NearbyFragment: Checking location permission                                                                                                                                                                           _x000D_
11 29 22:39:35 212 12009 12009 D NearbyFragment: Refreshing nearby places                                                                                           _x000D_
11 29 22:39:35 214 12009 12009 D NearbyFragment: Skipping update of nearby places as location is unavailable _x000D_
11 29 22:39:35 217 12009 12009 D AndroidRuntime: Shutting down VM                                             _x000D_
11 29 22:39:35 218 12009 12009 E AndroidRuntime: FATAL EXCEPTION: main                      _x000D_
11 29 22:39:35 218 12009 12009 E AndroidRuntime: Process: fr free nrw commons  PID: 12009   _x000D_
11 29 22:39:35 218 12009 12009 E AndroidRuntime: java lang RuntimeException: Unable to start activity ComponentInfo fr free nrw commons fr free nrw commons contributions MainActivity : java lang NullPointerException: Attempt to invoke virtual method  an_x000D_
droid content res Resources android view View getResources()  on a null object reference                                                                                                                          _x000D_
11 29 22:39:35 218 12009 12009 E AndroidRuntime:        at android app ActivityThread performLaunchActivity(ActivityThread java:2684)_x000D_
11 29 22:39:35 218 12009 12009 E AndroidRuntime:        at android app ActivityThread handleLaunchActivity(ActivityThread java:2751)                        _x000D_
11 29 22:39:35 218 12009 12009 E AndroidRuntime:        at android app ActivityThread  wrap12(ActivityThread java)_x000D_
11 29 22:39:35 218 12009 12009 E AndroidRuntime:        at android app ActivityThread H handleMessage(ActivityThread java:1496)                                                     _x000D_
11 29 22:39:35 218 12009 12009 E AndroidRuntime:        at android os Handler dispatchMessage(Handler java:102)_x000D_
11 29 22:39:35 218 12009 12009 E AndroidRuntime:        at android os Looper loop(Looper java:154)_x000D_
11 29 22:39:35 218 12009 12009 E AndroidRuntime:        at android app ActivityThread main(ActivityThread java:6186)                             _x000D_
11 29 22:39:35 218 12009 12009 E AndroidRuntime:        at java lang reflect Method invoke(Native Method)_x000D_
11 29 22:39:35 218 12009 12009 E AndroidRuntime:        at com android internal os ZygoteInit MethodAndArgsCaller run(ZygoteInit java:889)_x000D_
11 29 22:39:35 218 12009 12009 E AndroidRuntime:        at com android internal os ZygoteInit main(ZygoteInit java:779)_x000D_
11 29 22:39:35 218 12009 12009 E AndroidRuntime: Caused by: java lang NullPointerException: Attempt to invoke virtual method  android content res Resources android view View getResources()  on a null object reference_x000D_
11 29 22:39:35 218 12009 12009 E AndroidRuntime:        at android support design widget Snackbar make(Snackbar java:170)                                                                           _x000D_
11 29 22:39:35 218 12009 12009 E AndroidRuntime:        at fr free nrw commons nearby NearbyFragment addNetworkBroadcastReceiver(NearbyFragment java:596)                                                                                                    _x000D_
11 29 22:39:35 218 12009 12009 E AndroidRuntime:        at fr free nrw commons nearby NearbyFragment performNearbyOperations(NearbyFragment java:639)                                               _x000D_
11 29 22:39:35 218 12009 12009 E AndroidRuntime:        at fr free nrw commons nearby NearbyFragment onTabSelected(NearbyFragment java:627)                _x000D_
11 29 22:39:35 218 12009 12009 E AndroidRuntime:        at fr free nrw commons contributions MainActivity onCreate(MainActivity java:87)_x000D_
11 29 22:39:35 218 12009 12009 E AndroidRuntime:        at android app Activity performCreate(Activity java:6684)                                                                                 _x000D_
11 29 22:39:35 218 12009 12009 E AndroidRuntime:        at android app Instrumentation callActivityOnCreate(Instrumentation java:1119)                                             _x000D_
11 29 22:39:35 218 12009 12009 E AndroidRuntime:        at android app ActivityThread performLaunchActivity(ActivityThread java:2637)_x000D_
11 29 22:39:35 218 12009 12009 E AndroidRuntime:            9 more                                                                                                                                                           _x000D_
11 29 22:39:35 238   794  3630 W ActivityManager:   Force finishing activity fr free nrw commons  contributions MainActivity_x000D_
   _x000D_
_x000D_
  Device and Android version:   _x000D_
_x000D_
LineageOS Android 7 1 2_x000D_
 _x000D_
  Commons app version:   _x000D_
_x000D_
2 9 0 from Play Store</t>
  </si>
  <si>
    <t>react-native-camera-react-native-camera-1956</t>
  </si>
  <si>
    <t>Front camera shows black screen and crashes app on iOS</t>
  </si>
  <si>
    <t xml:space="preserve">  Bug Report_x000D_
  To Do First  _x000D_
    Y   Did you try latest release _x000D_
    Y   Did you try master _x000D_
    Y   Did you look for existing matching issues _x000D_
_x000D_
  Related Modules  _x000D_
RNCamera_x000D_
_x000D_
  Platforms  _x000D_
iOS_x000D_
_x000D_
  Versions  _x000D_
  Android: N A_x000D_
  iOS: 12  testing production build on an iPhone SE_x000D_
  react native camera: git https:  github com react native community react native camera git e18d52d2045f7db82c11368ff51cc3882d002e75_x000D_
  react native: 0 57 1_x000D_
  react: 16 5 0_x000D_
  react navigation:  2 17 0_x000D_
_x000D_
  Description Current Behaviour  _x000D_
1  When toggling to the front RNCamera from the back RNCamera  the screen appears black  If I press the button to take photos  the app crashes  _x000D_
2  If I set the initial RNCamera type prop to  front   the app immediately crashes when rendering the camera screen  _x000D_
_x000D_
  Expected Behaviour  _x000D_
User should be able to toggle between the front and back camera  When toggling to the front camera  users should be able to see the camera  not a black screen  Users should be able to take a photo while the front camera is toggled on  _x000D_
_x000D_
  Steps to Reproduce  _x000D_
1  Create a production build on iOS using  react native run ios   configuration Release  _x000D_
2  Toggle from the back camera to the front camera OR set RNCamera prop to  front  _x000D_
_x000D_
  Additionals  _x000D_
  img 1913 (https:  user images githubusercontent com 35536439 49187502 89b87080 f31c 11e8 94f5 d5caf7dbecd1 PNG)_x000D_
This is what displayed after I toggled to the front camera via the upper right button  _x000D_
_x000D_
   _x000D_
const flashModeOrder    _x000D_
    off:  on  _x000D_
    on:  off _x000D_
  _x000D_
_x000D_
class CameraScreen extends Component  _x000D_
  constructor(   navigation  : Props )  _x000D_
    super() _x000D_
_x000D_
    this state    _x000D_
      cameraType:  back  _x000D_
      flash:  off  _x000D_
      flashText:  OFF  _x000D_
      _x000D_
_x000D_
    this toggleCamera   this toggleCamera bind( this ) _x000D_
    this toggleFlash   this toggleFlash bind( this ) _x000D_
   _x000D_
_x000D_
  takePicture   async ()     _x000D_
    if ( this camera )  _x000D_
      this camera takePictureAsync()_x000D_
         then( data    this savePhotoToGallery( data ) )_x000D_
         catch( ( err )     _x000D_
          this setState(  _x000D_
            error: err message_x000D_
            ) _x000D_
          ) _x000D_
     _x000D_
   _x000D_
_x000D_
  toggleFlash()  _x000D_
    const   flash     this state _x000D_
_x000D_
    this setState(  _x000D_
      flash: flashModeOrder flash  _x000D_
      flashText: flashModeOrder flash  toUpperCase()_x000D_
      ) _x000D_
   _x000D_
_x000D_
  toggleCamera()  _x000D_
    const   cameraType     this state _x000D_
_x000D_
    this setState(  _x000D_
      cameraType: cameraType      back     front  :  back _x000D_
      ) _x000D_
   _x000D_
_x000D_
  render()  _x000D_
    const  _x000D_
      cameraType _x000D_
      flash _x000D_
      flashText _x000D_
      loading_x000D_
        this state _x000D_
_x000D_
    const   navigation     this props _x000D_
_x000D_
    return (_x000D_
       RNCamera_x000D_
        ref  ( ref )     _x000D_
          this camera   ref _x000D_
          _x000D_
        type  cameraType _x000D_
        style    flex: 1   _x000D_
        flashMode  flash _x000D_
        permissionDialogTitle  Permission to use camera _x000D_
        permissionDialogMessage  We need your permission to use your camera phone _x000D_
       _x000D_
         CameraTopNav_x000D_
          navigation  navigation _x000D_
          cameraType  cameraType _x000D_
          flashText  flashText _x000D_
          toggleFlash  this toggleFlash _x000D_
          toggleCamera  this toggleCamera _x000D_
          _x000D_
         loading    LoadingWheel    : (_x000D_
           View _x000D_
             View   _x000D_
             View _x000D_
               TouchableOpacity_x000D_
                onPress  ()    this takePicture() _x000D_
                _x000D_
              View _x000D_
            View _x000D_
        ) _x000D_
        RNCamera _x000D_
    ) _x000D_
   _x000D_
 _x000D_
_x000D_
export default CameraScreen _x000D_
_x000D_
const CameraTopNav   (  _x000D_
    flashText _x000D_
    navigation _x000D_
    toggleFlash _x000D_
    toggleCamera_x000D_
   : Props )    (_x000D_
   View _x000D_
     View _x000D_
       TouchableOpacity_x000D_
        onPress  ()    navigation push(  Main  ) _x000D_
       _x000D_
         Text  navigation state key      PHOTOS    exitIconGray : exitIconWhite   Text _x000D_
        TouchableOpacity _x000D_
       TouchableOpacity_x000D_
        onPress  ()    toggleFlash() _x000D_
       _x000D_
         navigation state key      CAMERA    (_x000D_
           Text _x000D_
             flashText      OFF    flashOffIcon : flashOnIcon _x000D_
             flashText _x000D_
            Text _x000D_
        ) : null _x000D_
        TouchableOpacity _x000D_
       TouchableOpacity_x000D_
        onPress  ()    toggleCamera() _x000D_
       _x000D_
         navigation state key      CAMERA    (_x000D_
           Text  cameraFlipIcon   Text _x000D_
        ) : null _x000D_
        TouchableOpacity _x000D_
      View _x000D_
    View _x000D_
) _x000D_
_x000D_
export default CameraTopNav _x000D_
   _x000D_
_x000D_
  Love react native camera  Please consider supporting our collective:    https:  opencollective com react native camera donate_x000D_
  Want this issue to be resolved faster  Please consider adding a bounty to it https:  issuehunt io repos 33218414_x000D_
</t>
  </si>
  <si>
    <t>ryanw3bb-unity-native-toolkit-3</t>
  </si>
  <si>
    <t>Crashes on Android</t>
  </si>
  <si>
    <t xml:space="preserve">Running the example on Android api 27 crashes instantly </t>
  </si>
  <si>
    <t>sschueller-peertube-android-26</t>
  </si>
  <si>
    <t>App crashes when server URL is invalid</t>
  </si>
  <si>
    <t xml:space="preserve">App crashes when you provide a wrong URL for the server  Then it crashes everytime you launch the app </t>
  </si>
  <si>
    <t>commons-app-apps-android-commons-2041</t>
  </si>
  <si>
    <t>Crash on bookmarking an item from Explore</t>
  </si>
  <si>
    <t xml:space="preserve">  Summary:   _x000D_
_x000D_
Trying to bookmark an item from Explore   Media details activity crashes the app  _x000D_
_x000D_
  Steps to reproduce:   _x000D_
_x000D_
Explore   Media details   Bookmark item_x000D_
_x000D_
How can we reproduce the issue  _x000D_
What did you expect the app to do  and what did you see instead _x000D_
_x000D_
  System logs:  _x000D_
_x000D_
   _x000D_
2018 11 27 23:15:56 987 32578 32578 fr free nrw commons E AndroidRuntime: FATAL EXCEPTION: main_x000D_
    Process: fr free nrw commons  PID: 32578_x000D_
    java lang NullPointerException: Attempt to invoke virtual method  java lang String fr free nrw commons bookmarks Bookmark getMediaName()  on a null object reference_x000D_
        at fr free nrw commons bookmarks pictures BookmarkPicturesDao findBookmark(BookmarkPicturesDao java:129)_x000D_
        at fr free nrw commons bookmarks pictures BookmarkPicturesDao updateBookmark(BookmarkPicturesDao java:70)_x000D_
        at fr free nrw commons media MediaDetailPagerFragment onOptionsItemSelected(MediaDetailPagerFragment java:161)_x000D_
        at android support v4 app Fragment performOptionsItemSelected(Fragment java:2476)_x000D_
        at android support v4 app FragmentManagerImpl dispatchOptionsItemSelected(FragmentManager java:3343)_x000D_
        at android support v4 app FragmentController dispatchOptionsItemSelected(FragmentController java:347)_x000D_
        at android support v4 app FragmentActivity onMenuItemSelected(FragmentActivity java:413)_x000D_
        at android support v7 app AppCompatActivity onMenuItemSelected(AppCompatActivity java:195)_x000D_
        at android support v7 view WindowCallbackWrapper onMenuItemSelected(WindowCallbackWrapper java:108)_x000D_
        at android support v7 view WindowCallbackWrapper onMenuItemSelected(WindowCallbackWrapper java:108)_x000D_
        at android support v7 app ToolbarActionBar 2 onMenuItemClick(ToolbarActionBar java:63)_x000D_
        at android support v7 widget Toolbar 1 onMenuItemClick(Toolbar java:203)_x000D_
        at android support v7 widget ActionMenuView MenuBuilderCallback onMenuItemSelected(ActionMenuView java:780)_x000D_
        at android support v7 view menu MenuBuilder dispatchMenuItemSelected(MenuBuilder java:822)_x000D_
        at android support v7 view menu MenuItemImpl invoke(MenuItemImpl java:171)_x000D_
        at android support v7 view menu MenuBuilder performItemAction(MenuBuilder java:973)_x000D_
        at android support v7 view menu MenuBuilder performItemAction(MenuBuilder java:963)_x000D_
        at android support v7 widget ActionMenuView invokeItem(ActionMenuView java:624)_x000D_
        at android support v7 view menu ActionMenuItemView onClick(ActionMenuItemView java:150)_x000D_
        at android view View performClick(View java:6294)_x000D_
        at android view View PerformClick run(View java:24770)_x000D_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Device and Android version:   _x000D_
Nexus emulator  Android 8 1 _x000D_
 _x000D_
  Commons app version:   _x000D_
_x000D_
2 9 0 _x000D_
_x000D_
  Would you like to work on the issue   _x000D_
_x000D_
Preferably not  </t>
  </si>
  <si>
    <t>MozillaReality-FirefoxReality-848</t>
  </si>
  <si>
    <t>Crash upon loading navigation menu on Amazon.com</t>
  </si>
  <si>
    <t xml:space="preserve">   Hardware_x000D_
Oculus Go_x000D_
dcb38f3_x000D_
_x000D_
   Steps to Reproduce_x000D_
1  Launch https:  amazon com  _x000D_
2  Press the Navigation in the top left corner (i e   the hamburger menu icon) _x000D_
3  Notice Firefox Reality crashes  ( See crash report on Socorro  (https:  crash stats mozilla com report index 13a1f2b9 af4f 4776 b41d 4d4440181127))_x000D_
_x000D_
   Current Behavior_x000D_
Firefox Reality crashes upon loading  JavaScript: (0)   ( See crash report on Socorro for  java net URISyntaxException: at java net URI Parser fail(URI java)   (https:  crash stats mozilla com report index 13a1f2b9 af4f 4776 b41d 4d4440181127))_x000D_
_x000D_
   Expected Behavior_x000D_
Firefox Reality does not crash upon loading  JavaScript: (0)  _x000D_
_x000D_
   Context_x000D_
Firefox Reality chokes on the URI   JavaScript: (0)   when it is parsed by the URL parsing logic in the UI Override code (added in PR  777) _x000D_
_x000D_
   Logs_x000D_
 See crash report on Socorro  (https:  crash stats mozilla com report index 13a1f2b9 af4f 4776 b41d 4d4440181127)_x000D_
Callstack:_x000D_
   _x000D_
java net URISyntaxException_x000D_
	at java net URI Parser fail(URI java:2856)_x000D_
	at java net URI Parser checkChars(URI java:3029)_x000D_
	at java net URI Parser parse(URI java:3066)_x000D_
	at java net URI  init (URI java:590)_x000D_
	at java net URI create(URI java:852)_x000D_
	at org mozilla vrbrowser browser UserAgentOverride lookupOverride(UserAgentOverride java:46)_x000D_
	at org mozilla vrbrowser browser SessionStore onLoadRequest(SessionStore java:949)_x000D_
	at org mozilla geckoview GeckoSession 3 handleMessage(GeckoSession java:452)_x000D_
	at org mozilla geckoview GeckoSession 3 handleMessage(GeckoSession java:402)_x000D_
	at org mozilla geckoview GeckoSessionHandler handleMessage(GeckoSessionHandler java:79)_x000D_
	at org mozilla gecko EventDispatcher 3 run(EventDispatcher java:356)_x000D_
	at android os Handler handleCallback(Handler java:751)_x000D_
	at android os Handler dispatchMessage(Handler java:95)_x000D_
	at android os Looper loop(Looper java:154)_x000D_
	at android app ActivityThread main(ActivityThread java:6143)_x000D_
	at java lang reflect Method invoke(Native Method)_x000D_
	at com android internal os ZygoteInit MethodAndArgsCaller run(ZygoteInit java:889)_x000D_
	at com android internal os ZygoteInit main(ZygoteInit java:779)_x000D_
   </t>
  </si>
  <si>
    <t>MozillaReality-FirefoxReality-844</t>
  </si>
  <si>
    <t>In settings panel, crash reporting and telemetry switches always show off when FxR is launched.</t>
  </si>
  <si>
    <t xml:space="preserve">   Hardware_x000D_
      Include the name and version of the hardware VR headset you experienced the bug in     _x000D_
NoAPI_x000D_
   Steps to Reproduce_x000D_
      For bugs  please provide a link to a live web site  test page  or a rough set of    _x000D_
      steps to reproduce this bug  If relevant  include code to reproduce     _x000D_
      Feel free to attach images and GIFs of screen captures     _x000D_
1  Open setting panel_x000D_
2  Enable crash reporting and or telemetry _x000D_
3  Restart FxR_x000D_
4  Open settings panel_x000D_
_x000D_
   Current Behavior_x000D_
      If describing a bug  tell us what happens instead of the expected behavior     _x000D_
      If suggesting a change improvement  explain the difference from current behavior     _x000D_
Crash reporting and telemetry will show as being off  even if they are enabled _x000D_
_x000D_
   Expected Behavior_x000D_
      If you re describing a bug  tell us what should happen     _x000D_
      If you re suggesting a change improvement  tell us how it should work     _x000D_
Crash reporting and telemetry switches should accurately reflect the state of the feature _x000D_
_x000D_
</t>
  </si>
  <si>
    <t>google-ExoPlayer-5149</t>
  </si>
  <si>
    <t>NullPointerException in EventLogger.printMetadata</t>
  </si>
  <si>
    <t xml:space="preserve">I m seeing rare  NullPointerException  inside metadata analytics processing:_x000D_
_x000D_
   _x000D_
Fatal Exception: java lang NullPointerException: Attempt to invoke virtual method  int com google android exoplayer2 c a a()  on a null object reference_x000D_
       at com google android exoplayer2 util EventLogger printMetadata(EventLogger java:469)_x000D_
       at com google android exoplayer2 util EventLogger onMetadata(EventLogger java:266)_x000D_
       at com google android exoplayer2 analytics AnalyticsCollector onMetadata(AnalyticsCollector java:176)_x000D_
       at com google android exoplayer2 SimpleExoPlayer ComponentListener onMetadata(SimpleExoPlayer java:1364)_x000D_
       at com google android exoplayer2 metadata MetadataRenderer invokeRendererInternal(MetadataRenderer java:191)_x000D_
       at com google android exoplayer2 metadata MetadataRenderer handleMessage(MetadataRenderer java:182)_x000D_
       at android os Handler dispatchMessage(Handler java:101)_x000D_
       at android os Looper loop(Looper java:164)_x000D_
       at android app ActivityThread main(ActivityThread java:6541)_x000D_
       at java lang reflect Method invoke(Method java)_x000D_
       at com android internal os Zygote MethodAndArgsCaller run(Zygote java:240)_x000D_
       at com android internal os ZygoteInit main(ZygoteInit java:767)_x000D_
   _x000D_
_x000D_
From mapping:_x000D_
   _x000D_
com google android exoplayer2 metadata Metadata    com google android exoplayer2 c a:_x000D_
    _x000D_
    66:66:int length()    a_x000D_
   _x000D_
_x000D_
So it crashes in one branch of callback propagation which does not have null check guard_x000D_
_x000D_
  using b77109148e500b1d0271aa97dd99fe808fd5474d_x000D_
  no stream sample  I m seeing it in crash reporting system_x000D_
</t>
  </si>
  <si>
    <t>marksuth-indigenous-android-154</t>
  </si>
  <si>
    <t>checking emoji and special character posting</t>
  </si>
  <si>
    <t>They seem to be changed in the post  Probably need to send utf 8 in the header _x000D_
_x000D_
And double check with my own site  even simple       crashed my server</t>
  </si>
  <si>
    <t>commons-app-apps-android-commons-2029</t>
  </si>
  <si>
    <t>NPE after tapping image in Explore</t>
  </si>
  <si>
    <t xml:space="preserve">  Summary:   _x000D_
_x000D_
App crashes after tapping an image in Explore to view the media details_x000D_
_x000D_
  Steps to reproduce:   _x000D_
_x000D_
Open Explore  Tap on a picture _x000D_
_x000D_
  System logs:  _x000D_
_x000D_
   _x000D_
11 26 20:31:51 818 4699 4740 fr free nrw commons D CustomApiResult: API response is_x000D_
       xml version  1 0  encoding  UTF 8    api batchcomplete     query  pages  page  idx  71497799  pageid  71497799  ns  6  title  File:Dehnbare Helmling Mycena epipterygia jpg  imagerepository  local   imageinfo  ii thumburl  https:  upload wikimedia org wikipedia commons thumb 1 1e Dehnbare Helmling Mycena epipterygia jpg 640px Dehnbare Helmling Mycena epipterygia jpg  thumbwidth  640  thumbheight  448  url  https:  upload wikimedia org wikipedia commons 1 1e Dehnbare Helmling Mycena epipterygia jpg  descriptionurl  https:  commons wikimedia org wiki File:Dehnbare Helmling Mycena epipterygia jpg  descriptionshorturl  https:  commons wikimedia org w index php curid 71497799     imageinfo   page   pages   query   api _x000D_
11 26 20:31:52 098 4699 4699 fr free nrw commons D AndroidRuntime: Shutting down VM_x000D_
11 26 20:31:52 098 4699 4699 fr free nrw commons E AndroidRuntime: FATAL EXCEPTION: main_x000D_
    Process: fr free nrw commons  PID: 4699_x000D_
    java lang NullPointerException: Attempt to invoke interface method  int fr free nrw commons media MediaDetailPagerFragment MediaDetailProvider getTotalMediaCount()  on a null object reference_x000D_
        at fr free nrw commons media MediaDetailPagerFragment MediaDetailAdapter getCount(MediaDetailPagerFragment java:398)_x000D_
        at android support v4 view ViewPager setAdapter(ViewPager java:526)_x000D_
        at fr free nrw commons media MediaDetailPagerFragment onCreateView(MediaDetailPagerFragment java:110)_x000D_
        at android support v4 app Fragment performCreateView(Fragment java:2346)_x000D_
        at android support v4 app FragmentManagerImpl moveToState(FragmentManager java:1428)_x000D_
        at android support v4 app FragmentManagerImpl moveFragmentToExpectedState(FragmentManager java:1759)_x000D_
        at android support v4 app FragmentManagerImpl moveToState(FragmentManager java:1827)_x000D_
        at android support v4 app BackStackRecord executeOps(BackStackRecord java:797)_x000D_
        at android support v4 app FragmentManagerImpl executeOps(FragmentManager java:2596)_x000D_
        at android support v4 app FragmentManagerImpl executeOpsTogether(FragmentManager java:2383)_x000D_
        at android support v4 app FragmentManagerImpl removeRedundantOperationsAndExecute(FragmentManager java:2338)_x000D_
        at android support v4 app FragmentManagerImpl execPendingActions(FragmentManager java:2245)_x000D_
        at android support v4 app FragmentManagerImpl 1 run(FragmentManager java:703)_x000D_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Device and Android version:   _x000D_
_x000D_
Nexus S API 27_x000D_
 _x000D_
  Commons app version:   _x000D_
_x000D_
2 9 release prodRelease build_x000D_
_x000D_
  Would you like to work on the issue   _x000D_
_x000D_
Pref not_x000D_
</t>
  </si>
  <si>
    <t>niclabs-adkintunmobile-androidclient-202</t>
  </si>
  <si>
    <t>Telephony.java line 89</t>
  </si>
  <si>
    <t xml:space="preserve">     in cl niclabs adkmobile monitor Telephony TelephonyStateListener onCellLocationChanged
  Number of crashes: 1
  Impacted devices: 1
There s a lot more information about this crash on crashlytics com:
 https:  fabric io niclabs android apps cl niclabs adkintunmobile issues 5bfbc91ef8b88c296375b413 utm medium service hooks github utm source issue impact (https:  fabric io niclabs android apps cl niclabs adkintunmobile issues 5bfbc91ef8b88c296375b413 utm medium service hooks github utm source issue impact)</t>
  </si>
  <si>
    <t>nikmons-screwdriver-14</t>
  </si>
  <si>
    <t>Issue with latest commits regarding models.py &amp; api.py update</t>
  </si>
  <si>
    <t>Latest api py related commit applied changes on outdated version of this script (outdated branch version generally)   Causing deployed app to crash  _x000D_
Fix: Reset master to latest stable version 0f02c0d632ae5fc9fd0e8cdd82e6f54afad88976</t>
  </si>
  <si>
    <t>mehtank-androminion-575</t>
  </si>
  <si>
    <t>Crash in v9.05</t>
  </si>
  <si>
    <t>Xiaomi Redmi 6_x000D_
Crash on i take fleet_x000D_
and sometimes game go to main menu when i play (no crash just show main menu)</t>
  </si>
  <si>
    <t>alexweininger-android-catan-211</t>
  </si>
  <si>
    <t>SurfaceView stays black upon starting the game</t>
  </si>
  <si>
    <t xml:space="preserve">When I click  start  in the game framework I enter the game  The sidebar loads  but the surface view is black and clicking things crashes the app _x000D_
_x000D_
I believe this is a loading issue where we are trying to draw the surface view before the game state object is finished making  Hmm   </t>
  </si>
  <si>
    <t>alexweininger-android-catan-209</t>
  </si>
  <si>
    <t>When no items are selected for trade it crashes</t>
  </si>
  <si>
    <t xml:space="preserve">When trading with a port or the bank if no items are selected the game crashes </t>
  </si>
  <si>
    <t>commons-app-apps-android-commons-2026</t>
  </si>
  <si>
    <t>Crash on opening media details activity</t>
  </si>
  <si>
    <t xml:space="preserve">  Summary:   _x000D_
_x000D_
Opening media details activity crashes the app_x000D_
_x000D_
  Steps to reproduce:   _x000D_
_x000D_
Click on any uploaded image to open media details  _x000D_
_x000D_
  System logs:  _x000D_
_x000D_
   _x000D_
2018 11 25 23:52:08 022 11454 11924 fr free nrw commons beta E AndroidRuntime: FATAL EXCEPTION: AsyncTask  9_x000D_
    Process: fr free nrw commons beta  PID: 11454_x000D_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java:764)_x000D_
     Caused by: java io IOError: org xml sax SAXParseException: attr value delimiter missing  (position:START TAG  img src  https:  www wikimedia org static images wmf png  srcset  https:  www wikimedia org static images wmf 2x png 2x  alt  null   20:163 in java io InputStreamReader a90d559) _x000D_
        at fr free nrw commons mwapi CustomApiResult fromRequestBuilder(CustomApiResult java:58)_x000D_
        at fr free nrw commons mwapi CustomMwApi makeRequest(CustomMwApi java:177)_x000D_
        at fr free nrw commons mwapi CustomMwApi access 000(CustomMwApi java:18)_x000D_
        at fr free nrw commons mwapi CustomMwApi RequestBuilder get(CustomMwApi java:34)_x000D_
        at fr free nrw commons mwapi ApacheHttpClientMediaWikiApi fetchMediaByFilename(ApacheHttpClientMediaWikiApi java:340)_x000D_
        at fr free nrw commons MediaDataExtractor fetch(MediaDataExtractor java:72)_x000D_
        at fr free nrw commons media MediaDetailFragment 3 doInBackground(MediaDetailFragment java:263)_x000D_
        at fr free nrw commons media MediaDetailFragment 3 doInBackground(MediaDetailFragment java:248)_x000D_
        at android os AsyncTask 2 call(AsyncTask java:333)_x000D_
        at java util concurrent FutureTask run(FutureTask java:266)_x000D_
        at java util concurrent ThreadPoolExecutor runWorker(ThreadPoolExecutor java:1162) _x000D_
        at java util concurrent ThreadPoolExecutor Worker run(ThreadPoolExecutor java:636) _x000D_
        at java lang Thread run(Thread java:764) _x000D_
     Caused by: org xml sax SAXParseException: attr value delimiter missing  (position:START TAG  img src  https:  www wikimedia org static images wmf png  srcset  https:  www wikimedia org static images wmf 2x png 2x  alt  null   20:163 in java io InputStreamReader a90d559) _x000D_
        at org apache harmony xml parsers DocumentBuilderImpl parse(DocumentBuilderImpl java:147)_x000D_
        at javax xml parsers DocumentBuilder parse(DocumentBuilder java:107)_x000D_
        at fr free nrw commons mwapi CustomApiResult fromRequestBuilder(CustomApiResult java:43)_x000D_
        at fr free nrw commons mwapi CustomMwApi makeRequest(CustomMwApi java:177) _x000D_
        at fr free nrw commons mwapi CustomMwApi access 000(CustomMwApi java:18) _x000D_
        at fr free nrw commons mwapi CustomMwApi RequestBuilder get(CustomMwApi java:34) _x000D_
        at fr free nrw commons mwapi ApacheHttpClientMediaWikiApi fetchMediaByFilename(ApacheHttpClientMediaWikiApi java:340) _x000D_
        at fr free nrw commons MediaDataExtractor fetch(MediaDataExtractor java:72) _x000D_
        at fr free nrw commons media MediaDetailFragment 3 doInBackground(MediaDetailFragment java:263) _x000D_
        at fr free nrw commons media MediaDetailFragment 3 doInBackground(MediaDetailFragment java:248) _x000D_
        at android os AsyncTask 2 call(AsyncTask java:333) _x000D_
        at java util concurrent FutureTask run(FutureTask java:266) _x000D_
        at java util concurrent ThreadPoolExecutor runWorker(ThreadPoolExecutor java:1162) _x000D_
        at java util concurrent ThreadPoolExecutor Worker run(ThreadPoolExecutor java:636) _x000D_
        at java lang Thread run(Thread java:764) _x000D_
2018 11 25 23:52:08 022 11454 11923 fr free nrw commons beta E AndroidRuntime: FATAL EXCEPTION: AsyncTask  8_x000D_
    Process: fr free nrw commons beta  PID: 11454_x000D_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java util concurrent ThreadPoolExecutor runWorker(ThreadPoolExecutor java:1162)_x000D_
        at java util concurrent ThreadPoolExecutor Worker run(ThreadPoolExecutor java:636)_x000D_
        at java lang Thread run(Thread java:764)_x000D_
     Caused by: java io IOError: org xml sax SAXParseException: attr value delimiter missing  (position:START TAG  img src  https:  www wikimedia org static images wmf png  srcset  https:  www wikimedia org static images wmf 2x png 2x  alt  null   20:163 in java io InputStreamReader c82251e) _x000D_
        at fr free nrw commons mwapi CustomApiResult fromRequestBuilder(CustomApiResult java:58)_x000D_
        at fr free nrw commons mwapi CustomMwApi makeRequest(CustomMwApi java:177)_x000D_
        at fr free nrw commons mwapi CustomMwApi access 000(CustomMwApi java:18)_x000D_
        at fr free nrw commons mwapi CustomMwApi RequestBuilder get(CustomMwApi java:34)_x000D_
        at fr free nrw commons mwapi ApacheHttpClientMediaWikiApi fetchMediaByFilename(ApacheHttpClientMediaWikiApi java:340)_x000D_
        at fr free nrw commons MediaDataExtractor fetch(MediaDataExtractor java:72)_x000D_
        at fr free nrw commons media MediaDetailFragment 3 doInBackground(MediaDetailFragment java:263)_x000D_
        at fr free nrw commons media MediaDetailFragment 3 doInBackground(MediaDetailFragment java:248)_x000D_
        at android os AsyncTask 2 call(AsyncTask java:333)_x000D_
        at java util concurrent FutureTask run(FutureTask java:266)_x000D_
        at java util concurrent ThreadPoolExecutor runWorker(ThreadPoolExecutor java:1162) _x000D_
        at java util concurrent ThreadPoolExecutor Worker run(ThreadPoolExecutor java:636) _x000D_
        at java lang Thread run(Thread java:764) _x000D_
     Caused by: org xml sax SAXParseException: attr value delimiter missing  (position:START TAG  img src  https:  www wikimedia org static images wmf png  srcset  https:  www wikimedia org static images wmf 2x png 2x  alt  null   20:163 in java io InputStreamReader c82251e) _x000D_
        at org apache harmony xml parsers DocumentBuilderImpl parse(DocumentBuilderImpl java:147)_x000D_
        at javax xml parsers DocumentBuilder parse(DocumentBuilder java:107)_x000D_
        at fr free nrw commons mwapi CustomApiResult fromRequestBuilder(CustomApiResult java:43)_x000D_
        at fr free nrw commons mwapi CustomMwApi makeRequest(CustomMwApi java:177) _x000D_
        at fr free nrw commons mwapi CustomMwApi access 000(CustomMwApi java:18) _x000D_
        at fr free nrw commons mwapi CustomMwApi RequestBuilder get(CustomMwApi java:34) _x000D_
        at fr free nrw commons mwapi ApacheHttpClientMediaWikiApi fetchMediaByFilename(ApacheHttpClientMediaWikiApi java:340) _x000D_
        at fr free nrw commons MediaDataExtractor fetch(MediaDataExtractor java:72) _x000D_
        at fr free nrw commons media MediaDetailFragment 3 doInBackground(MediaDetailFragment java:263) _x000D_
        at fr free nrw commons media MediaDetailFragment 3 doInBackground(MediaDetailFragment java:248) _x000D_
        at android os AsyncTask 2 call(AsyncTask java:333) _x000D_
        at java util concurrent FutureTask run(FutureTask java:266) _x000D_
        at java util concurrent ThreadPoolExecutor runWorker(ThreadPoolExecutor java:1162) _x000D_
        at java util concurrent ThreadPoolExecutor Worker run(ThreadPoolExecutor java:636) _x000D_
        at java lang Thread run(Thread java:764) _x000D_
   _x000D_
_x000D_
  Device and Android version:   _x000D_
_x000D_
Nexus 5  API 27  _x000D_
 _x000D_
  Commons app version:   _x000D_
_x000D_
 2 9 release  branch  Beta variant_x000D_
_x000D_
  Would you like to work on the issue   _x000D_
_x000D_
Preferably not  </t>
  </si>
  <si>
    <t>lineargs-WatchNextApp-56</t>
  </si>
  <si>
    <t>App Crashes on Sync Adapter Notifications</t>
  </si>
  <si>
    <t>When Sync Adapter runs in the background the app crashes when trying to display Notification</t>
  </si>
  <si>
    <t>noties-Markwon-81</t>
  </si>
  <si>
    <t>[question] having trouble loading images from assets</t>
  </si>
  <si>
    <t>I am having lots of trouble displaying images from assets  at first i was having trouble even loading the drawable loader and would get run time exceptions but i got around it  i know there was a similar issue already addressed it did help me got this far but i am stuck again_x000D_
_x000D_
   _x000D_
public class MainActivity extends AppCompatActivity  _x000D_
    TextView im _x000D_
     Override_x000D_
    protected void onCreate(Bundle savedInstanceState)  _x000D_
        super onCreate(savedInstanceState) _x000D_
        setContentView(R layout activity main) _x000D_
        im findViewById(R id tv1) _x000D_
        final SpannableConfiguration conf   SpannableConfiguration builder(getBaseContext())_x000D_
                 asyncDrawableLoader(AsyncDrawableLoader create())_x000D_
                 build() _x000D_
        Markwon setMarkdown(im  conf     img (assets twinspri jpg) ) _x000D_
_x000D_
_x000D_
     _x000D_
 _x000D_
_x000D_
   _x000D_
with this only the image label gets displayed  i wonder if it is because of the scheme handling or it not being able to find asset folder or its probably a much bigger problem _x000D_
i tried using _x000D_
_x000D_
   _x000D_
AsyncDrawableLoader builder()_x000D_
  addSchemeHandler(FileSchemeHandler createWithAssets(getAssets())_x000D_
  resources(getResources)_x000D_
  build()_x000D_
   _x000D_
_x000D_
_x000D_
 in place of AsyncDrawableLoader create() but that was crashing the app _x000D_
Help would be much appreciated</t>
  </si>
  <si>
    <t>JasonSmith03-Android-Project-6</t>
  </si>
  <si>
    <t>Unsubscribe from service</t>
  </si>
  <si>
    <t xml:space="preserve">Method in the database does not work it crashes the app </t>
  </si>
  <si>
    <t>JasonSmith03-Android-Project-5</t>
  </si>
  <si>
    <t>Admin remove service</t>
  </si>
  <si>
    <t xml:space="preserve">If admin removes a service and a service provider provides it then the app crashes if the service provider tries to log in </t>
  </si>
  <si>
    <t>ankidroid-Anki-Android-5131</t>
  </si>
  <si>
    <t>Catch common Play Console crash, logging for root cause</t>
  </si>
  <si>
    <t xml:space="preserve">I know just catching null pointers isn t the solution  but I can t_x000D_
figure out how this code is causing a crash  so I m logging the_x000D_
object lookup chain parts then logging the NullPointerException that_x000D_
is our current top crash on Play Console that I haven t fixed yet_x000D_
</t>
  </si>
  <si>
    <t>oliexdev-openScale-354</t>
  </si>
  <si>
    <t>Bug at sync between silvercrest sbf75 &amp;sony xperia xz1 compact</t>
  </si>
  <si>
    <t xml:space="preserve">  Describe the bug  _x000D_
Application crashes when receiving data from silvercrest sbf75 scale_x000D_
_x000D_
  To Reproduce  _x000D_
Steps to reproduce the behavior:_x000D_
1  Start app_x000D_
2  Start scale by stepping on it_x000D_
3  Measure begins  App connects to scale_x000D_
4  Unexpected error_x000D_
_x000D_
  Expected behavior  _x000D_
The App should sync with the scale and begin receiving data_x000D_
_x000D_
  Debug log  _x000D_
Build version: 1 8 3 _x000D_
Current date: 2018 11 24 09:05:32 _x000D_
Device: Sony G8441 _x000D_
 _x000D_
Stack trace:  _x000D_
java lang StringIndexOutOfBoundsException: length 4  regionStart 4  regionLength 3_x000D_
	at java lang StringFactory newStringFromBytes(StringFactory java:71)_x000D_
	at java lang StringFactory newStringFromBytes(StringFactory java:54)_x000D_
	at com health openscale core bluetooth BluetoothBeurerSanitas onBluetoothDataChange(BluetoothBeurerSanitas java:359)_x000D_
	at com health openscale core bluetooth BluetoothCommunication GattCallback 8 run(BluetoothCommunication java:759)_x000D_
	at android os Handler handleCallback(Handler java:789)_x000D_
	at android os Handler dispatchMessage(Handler java:98)_x000D_
	at android os Looper loop(Looper java:251)_x000D_
	at android app ActivityThread main(ActivityThread java:6572)_x000D_
	at java lang reflect Method invoke(Native Method)_x000D_
	at com android internal os Zygote MethodAndArgsCaller run(Zygote java:240)_x000D_
	at com android internal os ZygoteInit main(ZygoteInit java:767)_x000D_
_x000D_
</t>
  </si>
  <si>
    <t>ECSE321-Fall2018-t14-35</t>
  </si>
  <si>
    <t xml:space="preserve">Bug where a city with spaces in it is not parsed properly </t>
  </si>
  <si>
    <t>If you enter a city such as New York  the app will crash as the http utils does not properly parse it as an entire string</t>
  </si>
  <si>
    <t>miguelpruivo-flutter_file_picker-7</t>
  </si>
  <si>
    <t>Cannot open document with URI: com.android.providers.downloads.documents .</t>
  </si>
  <si>
    <t xml:space="preserve">Cannot open document with URI: com android providers downloads documents _x000D_
App crashes when attaching document of above URI with below error : _x000D_
   _x000D_
I FilePicker( 7038): Checking permission: android permission WRITE EXTERNAL STORAGE_x000D_
I FilePicker( 7038): Checking permission: android permission WRITE EXTERNAL STORAGE_x000D_
I FilePicker( 7038): URI:content:  com android providers downloads documents document 2350_x000D_
E FilePathPicker( 7038):     API 19 URI :: content:  com android providers downloads documents document 2350_x000D_
E FilePathPicker( 7038):     Document URI_x000D_
E FilePathPicker( 7038):     Downloads External Document URI_x000D_
D AndroidRuntime( 7038): Shutting down VM_x000D_
E AndroidRuntime( 7038): FATAL EXCEPTION: main_x000D_
E AndroidRuntime( 7038): Process: com coromandel ideaspace  PID: 7038_x000D_
E AndroidRuntime( 7038): java lang RuntimeException: Failure delivering result ResultInfo who null  request 43  result  1  data Intent   dat content:  com android providers downloads documents document 2350 flg 0x43    to activity  com coromandel ideaspace com coromandel ideaspace MainActivity : java lang IllegalArgumentException: Unknown URI: content:  downloads public downloads 2350_x000D_
E AndroidRuntime( 7038): 	at android app ActivityThread deliverResults(ActivityThread java:4440)_x000D_
E AndroidRuntime( 7038): 	at android app ActivityThread handleSendResult(ActivityThread java:4484)_x000D_
E AndroidRuntime( 7038): 	at android app ActivityThread  wrap19(Unknown Source:0)_x000D_
E AndroidRuntime( 7038): 	at android app ActivityThread H handleMessage(ActivityThread java:1743)_x000D_
E AndroidRuntime( 7038): 	at android os Handler dispatchMessage(Handler java:106)_x000D_
E AndroidRuntime( 7038): 	at android os Looper loop(Looper java:164)_x000D_
E AndroidRuntime( 7038): 	at android app ActivityThread main(ActivityThread java:6753)_x000D_
E AndroidRuntime( 7038): 	at java lang reflect Method invoke(Native Method)_x000D_
E AndroidRuntime( 7038): 	at com android internal os RuntimeInit MethodAndArgsCaller run(RuntimeInit java:482)_x000D_
E AndroidRuntime( 7038): 	at com android internal os ZygoteInit main(ZygoteInit java:807)_x000D_
E AndroidRuntime( 7038): Caused by: java lang IllegalArgumentException: Unknown URI: content:  downloads public downloads 2350_x000D_
E AndroidRuntime( 7038): 	at android database DatabaseUtils readExceptionFromParcel(DatabaseUtils java:165)_x000D_
E AndroidRuntime( 7038): 	at android database DatabaseUtils readExceptionFromParcel(DatabaseUtils java:135)_x000D_
E AndroidRuntime( 7038): 	at android content ContentProviderProxy query(ContentProviderNative java:432)_x000D_
E AndroidRuntime( 7038): 	at android content ContentResolver query(ContentResolver java:793)_x000D_
E AndroidRuntime( 7038): 	at android content ContentResolver query(ContentResolver java:712)_x000D_
E AndroidRuntime( 7038): 	at android content ContentResolver query(ContentResolver java:670)_x000D_
E AndroidRuntime( 7038): 	at com mr flutter plugin filepicker FilePath getDataColumn(FilePath java:121)_x000D_
E AndroidRuntime( 7038): 	at com mr flutter plugin filepicker FilePath getForApi19(FilePath java:66)_x000D_
E AndroidRuntime( 7038): 	at com mr flutter plugin filepicker FilePath getPath(FilePath java:26)_x000D_
E AndroidRuntime( 7038): 	at com mr flutter plugin filepicker FilePickerPlugin 1 onActivityResult(FilePickerPlugin java:49)_x000D_
E AndroidRuntime( 7038): 	at io flutter app FlutterPluginRegistry onActivityResult(FlutterPluginRegistry java:210)_x000D_
E AndroidRuntime( 7038): 	at io flutter app FlutterActivityDelegate onActivityResult(FlutterActivityDelegate java:139)_x000D_
E AndroidRuntime( 7038): 	at io flutter app FlutterActivity onActivityResult(FlutterActivity java:138)_x000D_
E AndroidRuntime( 7038): 	at android app Activity dispatchActivityResult(Activity java:7317)_x000D_
E AndroidRuntime( 7038): 	at android app ActivityThread deliverResults(ActivityThread java:4436)_x000D_
E AndroidRuntime( 7038): 	    9 more_x000D_
W OPDiagnose( 7038): getService:OPDiagnoseService NULL_x000D_
D OSTracker( 7038): OS Event: crash_x000D_
   </t>
  </si>
  <si>
    <t>aws-amplify-aws-sdk-android-589</t>
  </si>
  <si>
    <t>[Pinpoint] updateEndpointProfile() throws BadRequestException for the locale information sent by the SDK</t>
  </si>
  <si>
    <t xml:space="preserve">  Describe the bug  _x000D_
pinpointManager  targetingClient  updateEndpointProfile() crashes _x000D_
_x000D_
  To Reproduce  _x000D_
After creating a Pinpoint manager  I try to update targetingClient and saw a crash log in Android Studio log console_x000D_
_x000D_
  Which AWS service(s) are affected   _x000D_
_x000D_
Pinpoint_x000D_
_x000D_
  Expected behavior  _x000D_
No error log_x000D_
_x000D_
  Environment(please complete the following information):  _x000D_
   SDK Version: 2 8 4_x000D_
_x000D_
  Device Information (please complete the following information):  _x000D_
   Device: Pixel XL Android 9  Samung SM G920 Android 7_x000D_
_x000D_
I didn t test on other devices yet_x000D_
_x000D_
  Additional context  _x000D_
Here is the logs:_x000D_
_x000D_
 2018 11 22 11:52:31 214 8829 10584 net tandem E TargetingClient: AmazonServiceException occurred during endpoint update:_x000D_
    com amazonaws services pinpoint model BadRequestException: Country should be 2 character ISO 3166 1 Alpha 2 or Alpha 3 codes or UN M 49 numeric 3 area code (Service: AmazonPinpoint  Status Code: 400  Error Code: BadRequestException  Request ID: 39a7b932 ee44 11e8 9b8d 6552bb36863b)_x000D_
        at com amazonaws http AmazonHttpClient handleErrorResponse(AmazonHttpClient java:730)_x000D_
        at com amazonaws http AmazonHttpClient executeHelper(AmazonHttpClient java:405)_x000D_
        at com amazonaws http AmazonHttpClient execute(AmazonHttpClient java:212)_x000D_
        at com amazonaws services pinpoint AmazonPinpointClient invoke(AmazonPinpointClient java:3885)_x000D_
        at com amazonaws services pinpoint AmazonPinpointClient updateEndpoint(AmazonPinpointClient java:3630)_x000D_
        at com amazonaws mobileconnectors pinpoint targeting TargetingClient 1 run(TargetingClient java:198)_x000D_
        at java util concurrent ThreadPoolExecutor runWorker(ThreadPoolExecutor java:1133)_x000D_
        at java util concurrent ThreadPoolExecutor Worker run(ThreadPoolExecutor java:607)_x000D_
        at java lang Thread run(Thread java:762)_x000D_
 </t>
  </si>
  <si>
    <t>OneBusAway-onebusaway-android-934</t>
  </si>
  <si>
    <t>Reminders don't reschedule after reboot when targeting Android 8.0 (API level 26)</t>
  </si>
  <si>
    <t xml:space="preserve">  Summary:   _x000D_
_x000D_
This issue has the same underlying cause as https:  github com OneBusAway onebusaway android issues 933   this crash is related to background executions limits introduced on Oreo:_x000D_
https:  developer android com about versions oreo background_x000D_
_x000D_
If you schedule an arrival reminder and then restart your device  you ll get this stacktrace:_x000D_
_x000D_
   _x000D_
    Process: com joulespersecond seattlebusbot  PID: 4718_x000D_
    java lang RuntimeException: Unable to start receiver org onebusaway android tripservice BootstrapService: java lang IllegalStateException: _x000D_
	Not allowed to start service Intent   act com joulespersecond seattlebusbot action SCHEDULE dat content:  com joulespersecond oba trips cmp com_x000D_
	 joulespersecond seattlebusbot org onebusaway android tripservice TripService  : _x000D_
	app is in background uid UidRecord b5c9138 u0a176 RCVR idle change:idle uncached procs:1 seq(0 0 0) _x000D_
        at android app ActivityThread handleReceiver(ActivityThread java:3523)_x000D_
        at android app ActivityThread access 1400(ActivityThread java:207)_x000D_
        at android app ActivityThread H handleMessage(ActivityThread java:1759)_x000D_
        at android os Handler dispatchMessage(Handler java:106)_x000D_
        at android os Looper loop(Looper java:193)_x000D_
        at android app ActivityThread main(ActivityThread java:6863)_x000D_
        at java lang reflect Method invoke(Native Method)_x000D_
        at com android internal os RuntimeInit MethodAndArgsCaller run(RuntimeInit java:537)_x000D_
        at com android internal os ZygoteInit main(ZygoteInit java:858)_x000D_
     Caused by: java lang IllegalStateException: Not allowed to start service Intent   act com joulespersecond seattlebusbot action SCHEDULE _x000D_
	 dat content:  com joulespersecond oba trips cmp com joulespersecond seattlebusbot org onebusaway android tripservice TripService  : _x000D_
	 app is in background uid UidRecord b5c9138 u0a176 RCVR idle change:idle uncached procs:1 seq(0 0 0) _x000D_
        at android app ContextImpl startServiceCommon(ContextImpl java:1595)_x000D_
        at android app ContextImpl startService(ContextImpl java:1550)_x000D_
        at android content ContextWrapper startService(ContextWrapper java:664)_x000D_
        at android content ContextWrapper startService(ContextWrapper java:664)_x000D_
        at org onebusaway android tripservice TripService scheduleAll(TripService java:231)_x000D_
        at org onebusaway android tripservice BootstrapService onReceive(BootstrapService java:33)_x000D_
        at android app ActivityThread handleReceiver(ActivityThread java:3507)_x000D_
        at android app ActivityThread access 1400(ActivityThread java:207) _x000D_
        at android app ActivityThread H handleMessage(ActivityThread java:1759) _x000D_
        at android os Handler dispatchMessage(Handler java:106) _x000D_
        at android os Looper loop(Looper java:193) _x000D_
        at android app ActivityThread main(ActivityThread java:6863) _x000D_
        at java lang reflect Method invoke(Native Method) _x000D_
        at com android internal os RuntimeInit MethodAndArgsCaller run(RuntimeInit java:537) _x000D_
        at com android internal os ZygoteInit main(ZygoteInit java:858) _x000D_
   _x000D_
_x000D_
Our  BootstrapService  (which is actually a  BroadcastReceiver ) is triggered by a  android intent action BOOT COMPLETED  Intent on reboot  which then tries to reschedule the reminders by running the TripService with the  com joulespersecond seattlebusbot action SCHEDULE  Intent _x000D_
_x000D_
However  even though  the docs (https:  developer android com about versions oreo background) say:_x000D_
_x000D_
 Under certain circumstances  a background app is placed on a temporary whitelist for several minutes  While an app is on the whitelist  it can launch services without limitation  and its background services are permitted to run  An app is placed on the whitelist when it handles a task that s visible to the user  such as:_x000D_
 _x000D_
    Handling a high priority Firebase Cloud Messaging (FCM) message _x000D_
    Receiving a broadcast  such as an SMS MMS message _x000D_
    Executing a PendingIntent from a notification _x000D_
    Starting a VpnService before the VPN app promotes itself to the foreground _x000D_
_x000D_
   apparently the  Receiving a broadcast  exception above doesn t include the  android intent action BOOT COMPLETED  broadcast  because we still get the IllegalStateException _x000D_
_x000D_
This StackOverflow post summarizes the issue  and the accepted answer outlines a few options:_x000D_
https:  stackoverflow com questions 44502229 runtime exception android o with boot completed_x000D_
_x000D_
 paulnabanita1 is going to test starting the TripService in the foreground (Option 1) to see if this avoids the  IllegalStateException    I ve heard from other developers that switching to foreground services avoids a lot of headaches with unexpected background behavior _x000D_
_x000D_
 paulnabanita1 Note that if we implement a full solution based on the foreground execution  we ll need to customize the notification message based on what the TripService is doing (e g   Scheduling reminders  checking for new real time info from the server  etc )  which would be in  TripService handleCommand()  based on the value of  intent getAction()  (i e   the IF statements starting on line 181) _x000D_
_x000D_
To ensure that the reboot broadcast is received on all devices  as mentioned  here (https:  github com AdguardTeam AdguardForAndroid issues 183) we should also expand the  intent filter  in the  AndroidManifest xml  to include the following  QUICKBOOT POWERON  intents:_x000D_
_x000D_
   _x000D_
             intent filter _x000D_
                 action android:name  android intent action BOOT COMPLETED   _x000D_
                 action android:name  android intent action QUICKBOOT POWERON   _x000D_
                 action android:name  com htc intent action QUICKBOOT POWERON   _x000D_
              intent filter _x000D_
   _x000D_
_x000D_
Apparently these are triggered when choosing a device restart  vs  powering down and powering back on (we could also consider including  ACTION LOCKED BOOT COMPLETED    https:  developer android com reference android content Intent html ACTION LOCKED BOOT COMPLETED   but for now let s just include the ones above) _x000D_
_x000D_
Based on these references:_x000D_
  https:  github com OpenLocate openlocate android issues 70_x000D_
  https:  issuetracker google com issues 76112072_x000D_
  https:  github com AdguardTeam AdguardForAndroid issues 183_x000D_
_x000D_
Android docs for starting the service in the foreground:_x000D_
 https:  developer android com reference android app Service html startForeground(int  20android app Notification)_x000D_
_x000D_
  Steps to reproduce:   _x000D_
1  Run app using code on the master branch (target SDK 26)_x000D_
1  Schedule a reminder_x000D_
1  Restart your device_x000D_
_x000D_
  Expected behavior:   _x000D_
_x000D_
TripService should be started and reschedule any reminders_x000D_
_x000D_
  Observed behavior:   _x000D_
_x000D_
When trying to start TripService in the background it crashes with an IllegalStateException _x000D_
_x000D_
  Device and Android version:   _x000D_
_x000D_
OnePlus 5T with Android 9 0 Pie_x000D_
_x000D_
( paulnabanita1 please let me know if I got the above make model of your device right)</t>
  </si>
  <si>
    <t>ankidroid-Anki-Android-5124</t>
  </si>
  <si>
    <t>Lint HTML on save during note edits</t>
  </si>
  <si>
    <t xml:space="preserve">       Reproduction Steps_x000D_
_x000D_
1  Enter non latin character next to   or  _x000D_
2  Save note_x000D_
3  synch and display in Anki Desktop_x000D_
_x000D_
_x000D_
       Expected Result_x000D_
_x000D_
There is an error in AnkiDroid indicating that it is not valid HTML  so the card doesn t save but once the warning is satisfied you can synch and display the note_x000D_
_x000D_
       Actual Result_x000D_
_x000D_
We apparently save correctly but then AnkiDesktop crashes:_x000D_
_x000D_
https:  github com ankidroid Anki Android pull 4979 discussion r219042294_x000D_
</t>
  </si>
  <si>
    <t>nextcloud-android-library-201</t>
  </si>
  <si>
    <t xml:space="preserve">Parser crash for activities with null values </t>
  </si>
  <si>
    <t xml:space="preserve">The android client crashes while parsing deck activities which send null values for the rich subject parts  e g  when trying to parse this:_x000D_
   _x000D_
 _x000D_
 activity id :7655  app : deck   type : deck   user : andy   subject : You have created a new stack Done on Personal  _x000D_
 subject rich :_x000D_
 _x000D_
 You have created a new stack  stack  on  board   _x000D_
 _x000D_
 board :  type : highlight   id :6  name : Personal   link :  index php apps deck    board 6    _x000D_
 card :null _x000D_
 user :  type : user   id : andy   name : Andy   _x000D_
 stack :  type : highlight   id :7  name : Done  _x000D_
   _x000D_
 message :null  message rich :         object type : deck board   object id :6  object name : Personal   objects :  6 : Personal    link :    icon :  apps files img add color svg   datetime : 2018 11 14T13:53:42 00:00 _x000D_
 _x000D_
   _x000D_
_x000D_
we get an Exception:_x000D_
   _x000D_
Expected BEGIN OBJECT but was NULL at path   11  subject rich 1  card_x000D_
   _x000D_
_x000D_
 nickvergessen can you shed some light on this if _x000D_
  deck needs to remove the card element completely_x000D_
  Android client needs to be able to handle such null values (would have to check how to do thi in GSON)_x000D_
_x000D_
cc  juliushaertl for deck and  tobiasKaminsky for Android lib _x000D_
_x000D_
At the moment the client app will show an error toast and no activity stream </t>
  </si>
  <si>
    <t>OneBusAway-onebusaway-android-933</t>
  </si>
  <si>
    <t>Occasional Embedded Social SDK crash after updating to target Android 8.0 (API level 26)</t>
  </si>
  <si>
    <t xml:space="preserve">  Summary:   _x000D_
_x000D_
First mentioned in https:  github com OneBusAway onebusaway android pull 930 issuecomment 437492168 _x000D_
_x000D_
After bumping to  targetSdkVersion 26   when restarting the app from Android Studio I m seeing this relatively frequently:_x000D_
_x000D_
   _x000D_
    Process: com joulespersecond seattlebusbot  PID: 21328_x000D_
    java lang RuntimeException: Unable to create application org onebusaway android app Application: java lang IllegalStateException: Not allowed to start service Intent   act com joulespersecond seattlebusbot BACKGROUND INIT cmp com joulespersecond seattlebusbot com microsoft embeddedsocial service WorkerService (has extras)  : app is in background uid UidRecord 193ccd9 u0a700 CEM  idle procs:1 seq(0 0 0) _x000D_
        at android app ActivityThread handleBindApplication(ActivityThread java:6059)_x000D_
        at android app ActivityThread  wrap1(Unknown Source:0)_x000D_
        at android app ActivityThread H handleMessage(ActivityThread java:1764)_x000D_
        at android os Handler dispatchMessage(Handler java:105)_x000D_
        at android os Looper loop(Looper java:164)_x000D_
        at android app ActivityThread main(ActivityThread java:6938)_x000D_
        at java lang reflect Method invoke(Native Method)_x000D_
        at com android internal os Zygote MethodAndArgsCaller run(Zygote java:327)_x000D_
        at com android internal os ZygoteInit main(ZygoteInit java:1374)_x000D_
     Caused by: java lang IllegalStateException: Not allowed to start service Intent   act com joulespersecond seattlebusbot BACKGROUND INIT cmp com joulespersecond seattlebusbot com microsoft embeddedsocial service WorkerService (has extras)  : app is in background uid UidRecord 193ccd9 u0a700 CEM  idle procs:1 seq(0 0 0) _x000D_
        at android app ContextImpl startServiceCommon(ContextImpl java:1538)_x000D_
        at android app ContextImpl startService(ContextImpl java:1484)_x000D_
        at android content ContextWrapper startService(ContextWrapper java:663)_x000D_
        at com microsoft embeddedsocial base service ServiceLauncher launchService(ServiceLauncher java:49)_x000D_
        at com microsoft embeddedsocial base service ServiceLauncher launchService(ServiceLauncher java:39)_x000D_
        at com microsoft embeddedsocial sdk EmbeddedSocial init(EmbeddedSocial java:102)_x000D_
        at org onebusaway android app Application setUpSocial(Application java:581)_x000D_
        at org onebusaway android app Application onCreate(Application java:111)_x000D_
        at android app Instrumentation callApplicationOnCreate(Instrumentation java:1125)_x000D_
        at android app ActivityThread handleBindApplication(ActivityThread java:6056)_x000D_
        at android app ActivityThread  wrap1(Unknown Source:0) _x000D_
        at android app ActivityThread H handleMessage(ActivityThread java:1764) _x000D_
        at android os Handler dispatchMessage(Handler java:105) _x000D_
        at android os Looper loop(Looper java:164) _x000D_
        at android app ActivityThread main(ActivityThread java:6938) _x000D_
        at java lang reflect Method invoke(Native Method) _x000D_
        at com android internal os Zygote MethodAndArgsCaller run(Zygote java:327) _x000D_
        at com android internal os ZygoteInit main(ZygoteInit java:1374) _x000D_
   _x000D_
_x000D_
This crash is related to background executions limits introduced on Oreo:_x000D_
https:  developer android com about versions oreo background_x000D_
_x000D_
  Steps to reproduce:   _x000D_
_x000D_
1  Use https:  github com OneBusAway onebusaway android pull 930 (or after that PR is merged  the master branch)_x000D_
1  Launch the app from Android Studio_x000D_
1  Make a code change  and re launch the app from Android Studio while the app is still running_x000D_
_x000D_
or_x000D_
_x000D_
1  Restart your device_x000D_
1  Long press the OBA icon on your screen and move it around without dropping it_x000D_
_x000D_
 acrown msft is investigating to see if this occurs in other direct user facing cases_x000D_
_x000D_
  Expected behavior:   _x000D_
_x000D_
Not crash_x000D_
_x000D_
  Observed behavior:   _x000D_
_x000D_
Crash_x000D_
_x000D_
  Device and Android version:   _x000D_
_x000D_
Samsung Galaxy S8  w  Android 8 0</t>
  </si>
  <si>
    <t>aws-amplify-aws-sdk-android-588</t>
  </si>
  <si>
    <t>Offline Pinpoint initialisation crash the app</t>
  </si>
  <si>
    <t xml:space="preserve">  Describe the bug  _x000D_
A clear and concise description of what the bug is _x000D_
_x000D_
  To Reproduce  _x000D_
Steps to reproduce the behavior:_x000D_
1  Put the mobile offline_x000D_
2  open the app and initialise the Pinpoint service_x000D_
3  sometimes the app crash with this log:_x000D_
_x000D_
   _x000D_
Fatal Exception: java lang RuntimeException: Failed to get credentials from Cognito Identity_x000D_
       at com amazonaws mobile client AWSMobileClient getCredentials(AWSMobileClient java:265)_x000D_
       at com amazonaws services pinpoint AmazonPinpointClient invoke(AmazonPinpointClient java:3872)_x000D_
       at com amazonaws services pinpoint AmazonPinpointClient updateEndpoint(AmazonPinpointClient java:3630)_x000D_
       at com amazonaws mobileconnectors pinpoint targeting TargetingClient 1 run(TargetingClient java:198)_x000D_
       at java util concurrent ThreadPoolExecutor runWorker(ThreadPoolExecutor java:1133)_x000D_
       at java util concurrent ThreadPoolExecutor Worker run(ThreadPoolExecutor java:607)_x000D_
       at java lang Thread run(Thread java:761) _x000D_
_x000D_
_x000D_
Caused by com amazonaws AmazonClientException: Unable to execute HTTP request: Unable to resolve host  cognito identity us east 1 amazonaws com : No address associated with hostname_x000D_
       at com amazonaws http AmazonHttpClient executeHelper(AmazonHttpClient java:441)_x000D_
       at com amazonaws http AmazonHttpClient execute(AmazonHttpClient java:212)_x000D_
       at com amazonaws services cognitoidentity AmazonCognitoIdentityClient invoke(AmazonCognitoIdentityClient java:566)_x000D_
       at com amazonaws services cognitoidentity AmazonCognitoIdentityClient getCredentialsForIdentity(AmazonCognitoIdentityClient java:389)_x000D_
       at com amazonaws auth CognitoCredentialsProvider populateCredentialsWithCognito(CognitoCredentialsProvider java:782)_x000D_
       at com amazonaws auth CognitoCredentialsProvider startSession(CognitoCredentialsProvider java:694)_x000D_
       at com amazonaws auth CognitoCredentialsProvider getCredentials(CognitoCredentialsProvider java:465)_x000D_
       at com amazonaws auth CognitoCachingCredentialsProvider getCredentials(CognitoCachingCredentialsProvider java:485)_x000D_
       at com amazonaws mobile client AWSMobileClient getCredentials(AWSMobileClient java:259)_x000D_
       at com amazonaws services pinpoint AmazonPinpointClient invoke(AmazonPinpointClient java:3872)_x000D_
       at com amazonaws services pinpoint AmazonPinpointClient updateEndpoint(AmazonPinpointClient java:3630)_x000D_
       at com amazonaws mobileconnectors pinpoint targeting TargetingClient 1 run(TargetingClient java:198)_x000D_
       at java util concurrent ThreadPoolExecutor runWorker(ThreadPoolExecutor java:1133)_x000D_
       at java util concurrent ThreadPoolExecutor Worker run(ThreadPoolExecutor java:607)_x000D_
       at java lang Thread run(Thread java:761) _x000D_
_x000D_
Caused by java net UnknownHostException: Unable to resolve host  cognito identity us east 1 amazonaws com : No address associated with hostname_x000D_
       at java net Inet6AddressImpl lookupHostByName(Inet6AddressImpl java:95)_x000D_
       at java net Inet6AddressImpl lookupAllHostAddr(Inet6AddressImpl java:74)_x000D_
       at java net InetAddress getAllByName(InetAddress java:752)_x000D_
       at com android okhttp internal Network 1 resolveInetAddresses(Network java:29)_x000D_
       at com android okhttp internal http RouteSelector resetNextInetSocketAddress(RouteSelector java:187)_x000D_
       at com android okhttp internal http RouteSelector nextProxy(RouteSelector java:156)_x000D_
       at com android okhttp internal http RouteSelector next(RouteSelector java:98)_x000D_
       at com android okhttp internal http HttpEngine createNextConnection(HttpEngine java:345)_x000D_
       at com android okhttp internal http HttpEngine connect(HttpEngine java:328)_x000D_
       at com android okhttp internal http HttpEngine sendRequest(HttpEngine java:246)_x000D_
       at com android okhttp internal huc HttpURLConnectionImpl execute(HttpURLConnectionImpl java:457)_x000D_
       at com android okhttp internal huc HttpURLConnectionImpl connect(HttpURLConnectionImpl java:126)_x000D_
       at com android okhttp internal huc HttpURLConnectionImpl getOutputStream(HttpURLConnectionImpl java:257)_x000D_
       at com android okhttp internal huc DelegatingHttpsURLConnection getOutputStream(DelegatingHttpsURLConnection java:218)_x000D_
       at com android okhttp internal huc HttpsURLConnectionImpl getOutputStream(HttpsURLConnectionImpl java)_x000D_
       at com amazonaws http UrlHttpClient writeContentToConnection(UrlHttpClient java:162)_x000D_
       at com amazonaws http UrlHttpClient execute(UrlHttpClient java:75)_x000D_
       at com amazonaws http AmazonHttpClient executeHelper(AmazonHttpClient java:371)_x000D_
       at com amazonaws http AmazonHttpClient execute(AmazonHttpClient java:212)_x000D_
       at com amazonaws services cognitoidentity AmazonCognitoIdentityClient invoke(AmazonCognitoIdentityClient java:566)_x000D_
       at com amazonaws services cognitoidentity AmazonCognitoIdentityClient getCredentialsForIdentity(AmazonCognitoIdentityClient java:389)_x000D_
       at com amazonaws auth CognitoCredentialsProvider populateCredentialsWithCognito(CognitoCredentialsProvider java:782)_x000D_
       at com amazonaws auth CognitoCredentialsProvider startSession(CognitoCredentialsProvider java:694)_x000D_
       at com amazonaws auth CognitoCredentialsProvider getCredentials(CognitoCredentialsProvider java:465)_x000D_
       at com amazonaws auth CognitoCachingCredentialsProvider getCredentials(CognitoCachingCredentialsProvider java:485)_x000D_
       at com amazonaws mobile client AWSMobileClient getCredentials(AWSMobileClient java:259)_x000D_
       at com amazonaws services pinpoint AmazonPinpointClient invoke(AmazonPinpointClient java:3872)_x000D_
       at com amazonaws services pinpoint AmazonPinpointClient updateEndpoint(AmazonPinpointClient java:3630)_x000D_
       at com amazonaws mobileconnectors pinpoint targeting TargetingClient 1 run(TargetingClient java:198)_x000D_
       at java util concurrent ThreadPoolExecutor runWorker(ThreadPoolExecutor java:1133)_x000D_
       at java util concurrent ThreadPoolExecutor Worker run(ThreadPoolExecutor java:607)_x000D_
       at java lang Thread run(Thread java:761)_x000D_
   _x000D_
_x000D_
  Which AWS service(s) are affected   _x000D_
AWSPinpoint_x000D_
_x000D_
  Expected behavior  _x000D_
the app should not crash_x000D_
_x000D_
  Environment(please complete the following information):  _x000D_
   SDK Version: 2 8 2_x000D_
_x000D_
  Device Information (please complete the following information):  _x000D_
   Device: Tested with Nexus9 and OnePlus 5T_x000D_
   Android Version: 7 1  1 and 8 1_x000D_
</t>
  </si>
  <si>
    <t>aws-amplify-aws-sdk-android-586</t>
  </si>
  <si>
    <t>AuthUI ForceChangePasswordView Form Name Mismatch</t>
  </si>
  <si>
    <t xml:space="preserve">  Describe the bug  _x000D_
There is a mismatch between two variable names inside of the two associated files:_x000D_
aws sdk android aws android sdk auth userpools src main java com amazonaws mobile auth userpools ForceChangePasswordView java_x000D_
and_x000D_
aws sdk android aws android sdk auth userpools src main res layout activity force change password xml_x000D_
_x000D_
The following mismatch is present  causing runtime crash:_x000D_
activity force change password xml in line 37:_x000D_
android:id    id   force change password form    _x000D_
ForceChangePasswordView java in line 133:_x000D_
forgotPassForm   (FormView) findViewById(R id   forgot password form  ) _x000D_
_x000D_
The second mismatch is the following:_x000D_
activity force change password xml in line 50:_x000D_
android:id    id   force change password button   _x000D_
ForceChangePasswordView java in line 142:_x000D_
confirmButton   (Button) findViewById(R id   forgot password button  ) _x000D_
_x000D_
  To Reproduce  _x000D_
Steps to reproduce the behavior:_x000D_
1   Create new user in Cognito  or set state of user to FORCE CHANGE PASSWORD_x000D_
2   Login with temporary password  so that the AuthUI attempts to use the code path for force change password _x000D_
3   Unhandled runtime crash of the app _x000D_
_x000D_
  Which AWS service(s) are affected   _x000D_
AWS Cognito   client side  not server_x000D_
AWS AuthUI_x000D_
_x000D_
  Expected behavior  _x000D_
User should be redirected to the page asking for a new password to be set   _x000D_
_x000D_
  Environment(please complete the following information):  _x000D_
   SDK Version: 2 7 6   8 0 3_x000D_
_x000D_
  Device Information (please complete the following information):  _x000D_
   Device: Samsung Galaxy S7_x000D_
   Android Version: Nougat 7 1 2_x000D_
_x000D_
  Additional context  _x000D_
This is currently fixed via manually editing the xml files to match the UI fields requested in the Java files above _x000D_
</t>
  </si>
  <si>
    <t>nextcloud-android-3277</t>
  </si>
  <si>
    <t>Device credentials bypass due to Settings crash</t>
  </si>
  <si>
    <t xml:space="preserve">    Steps to reproduce_x000D_
1  Make sure you set Lock mechanism to  Device credentials  _x000D_
2  Make sure you start app for first time (i e  by first killing it via Android Settings) _x000D_
3  Hold phone in landscape mode_x000D_
4  Start NextCloud app  (Settings crashed) _x000D_
5  Press  Open again  _x000D_
6  Voila  NextCloud app starts without unlocking _x000D_
_x000D_
 Video demo (https:  youtu be Xjqb7YZUZco)_x000D_
_x000D_
_x000D_
    Expected behaviour_x000D_
App should open only after valid unlock _x000D_
_x000D_
    Actual behaviour_x000D_
App opens without any unlock validation_x000D_
_x000D_
_x000D_
   Server configuration detail_x000D_
_x000D_
  Operating system:   Linux 4 15 0 39 generic  42 Ubuntu SMP Tue Oct 23 15:48:01 UTC 2018 x86 64_x000D_
_x000D_
  Webserver:   Apache (fpm fcgi)_x000D_
_x000D_
  Database:   mysql 5 7 24_x000D_
_x000D_
  PHP version:   _x000D_
_x000D_
7 1 24 1 ubuntu18 04 1 deb sury org 1_x000D_
Modules loaded: Core  date  libxml  openssl  pcre  zlib  filter  hash  Reflection  SPL  session  standard  cgi fcgi  mysqlnd  PDO  xml  apcu  bcmath  bz2  calendar  ctype  curl  dom  mbstring  fileinfo  ftp  gd  gettext  gmp  iconv  igbinary  intl  json  exif  mcrypt  msgpack  mysqli  pdo mysql  pdo sqlite  apc  posix  readline  shmop  SimpleXML  sockets  sqlite3  sysvmsg  sysvsem  sysvshm  tokenizer  wddx  xmlreader  xmlwriter  xsl  zip  Phar  memcached  Zend OPcache_x000D_
_x000D_
  Nextcloud version:   14 0 3   14 0 3 0_x000D_
_x000D_
  Updated from an older Nextcloud ownCloud or fresh install:   _x000D_
_x000D_
  Where did you install Nextcloud from:   unknown_x000D_
_x000D_
 details  summary Signing status  summary _x000D_
_x000D_
Array_x000D_
(_x000D_
)_x000D_
_x000D_
  details _x000D_
_x000D_
 details  summary List of activated apps  summary _x000D_
_x000D_
   _x000D_
Enabled:_x000D_
   accessibility: 1 0 1_x000D_
   activity: 2 7 0_x000D_
   admin audit: 1 4 0_x000D_
   afterlogic: 1 2 1_x000D_
   apporder: 0 5 0_x000D_
   audioplayer: 2 4 1_x000D_
   bruteforcesettings: 1 2 0_x000D_
   calendar: 1 6 3_x000D_
   checksum: 0 4 1_x000D_
   cloud federation api: 0 0 1_x000D_
   comments: 1 4 0_x000D_
   contacts: 2 1 7_x000D_
   dav: 1 6 0_x000D_
   deck: 0 5 0_x000D_
   facerecognition: 0 5 6 2_x000D_
   federatedfilesharing: 1 4 0_x000D_
   federation: 1 4 0_x000D_
   files: 1 9 0_x000D_
   files downloadactivity: 1 3 0_x000D_
   files pdfviewer: 1 3 2_x000D_
   files sharing: 1 6 2_x000D_
   files texteditor: 2 6 0_x000D_
   files trashbin: 1 4 1_x000D_
   files versions: 1 7 1_x000D_
   files videoplayer: 1 3 0_x000D_
   firstrunwizard: 2 3 0_x000D_
   gallery: 18 1 0_x000D_
   groupfolders: 1 3 3_x000D_
   issuetemplate: 0 4 0_x000D_
   logreader: 2 0 0_x000D_
   lookup server connector: 1 2 0_x000D_
   metadata: 0 8 0_x000D_
   nextcloud announcements: 1 3 0_x000D_
   notifications: 2 2 1_x000D_
   oauth2: 1 2 1_x000D_
   password policy: 1 4 0_x000D_
   previewgenerator: 2 0 0_x000D_
   provisioning api: 1 4 0_x000D_
   richdocuments: 3 0 5_x000D_
   serverinfo: 1 4 0_x000D_
   sharebymail: 1 4 0_x000D_
   socialsharing email: 1 0 4_x000D_
   support: 1 0 0_x000D_
   survey client: 1 2 0_x000D_
   systemtags: 1 4 0_x000D_
   tasks: 0 9 7_x000D_
   theming: 1 5 0_x000D_
   twofactor backupcodes: 1 3 1_x000D_
   twofactor totp: 1 5 0_x000D_
   twofactor u2f: 1 6 1_x000D_
   updatenotification: 1 4 1_x000D_
   workflowengine: 1 4 0_x000D_
Disabled:_x000D_
   encryption_x000D_
   files automatedtagging_x000D_
   files external_x000D_
   files retention_x000D_
   files snapshots_x000D_
   polls_x000D_
   user external_x000D_
   user ldap_x000D_
_x000D_
   _x000D_
  details _x000D_
_x000D_
 details  summary Configuration (config config php)  summary _x000D_
_x000D_
   _x000D_
 _x000D_
     instanceid :     REMOVED SENSITIVE VALUE     _x000D_
     passwordsalt :     REMOVED SENSITIVE VALUE     _x000D_
     secret :     REMOVED SENSITIVE VALUE     _x000D_
     trusted domains :  _x000D_
         xin erikhubers nl  _x000D_
         nextcloud erikhubers nl _x000D_
      _x000D_
     datadirectory :     REMOVED SENSITIVE VALUE     _x000D_
     overwrite cli url :  https:    xin erikhubers nl  nextcloud  _x000D_
     dbtype :  mysql  _x000D_
     version :  14 0 3 0  _x000D_
     dbname :     REMOVED SENSITIVE VALUE     _x000D_
     dbhost :     REMOVED SENSITIVE VALUE     _x000D_
     dbport :    _x000D_
     dbtableprefix :  oc   _x000D_
     mysql utf8mb4 : true _x000D_
     dbuser :     REMOVED SENSITIVE VALUE     _x000D_
     dbpassword :     REMOVED SENSITIVE VALUE     _x000D_
     installed : true _x000D_
     loglevel : 0 _x000D_
     maintenance : false _x000D_
     theme :    _x000D_
     memcache local :    OC  Memcache  APCu  _x000D_
     memcached servers :  _x000D_
         _x000D_
             localhost  _x000D_
            11211_x000D_
         _x000D_
      _x000D_
     mail smtpmode :  smtp  _x000D_
     mail smtpauthtype :  LOGIN  _x000D_
     mail from address :     REMOVED SENSITIVE VALUE     _x000D_
     mail domain :     REMOVED SENSITIVE VALUE     _x000D_
     mail smtphost :     REMOVED SENSITIVE VALUE     _x000D_
     mail smtpport :  587  _x000D_
     mail smtpauth : 1 _x000D_
     mail smtpname :     REMOVED SENSITIVE VALUE     _x000D_
     mail smtppassword :     REMOVED SENSITIVE VALUE     _x000D_
     updater release channel :  stable  _x000D_
     mail smtpsecure :  tls _x000D_
 _x000D_
   _x000D_
  details _x000D_
_x000D_
  Are you using external storage  if yes which one:   local smb sftp    _x000D_
_x000D_
  Are you using encryption:   _x000D_
_x000D_
  Are you using an external user backend  if yes which one:   LDAP ActiveDirectory Webdav    _x000D_
_x000D_
   Client configuration_x000D_
_x000D_
  Android:   8 1 0 (LineageOS 15 1)_x000D_
_x000D_
  Operating system:   _x000D_
_x000D_
   Logs_x000D_
_x000D_
 details  summary Android ADB log  summary _x000D_
_x000D_
   _x000D_
Android ADB Logging:_x000D_
_x000D_
11 20 20:04:46 184 1278 4529   I ActivityManager: START u0  act android intent action MAIN cat  android intent category LAUNCHER  flg 0x10200000 cmp com nextcloud client com owncloud android ui activity FileDisplayActivity (has extras)  from uid 10149_x000D_
11 20 20:04:46 239 1278 4529   I ActivityManager: Start proc 27990:com nextcloud client u0a99 for activity com nextcloud client com owncloud android ui activity FileDisplayActivity_x000D_
11 20 20:04:46 267 26216 27434   I PBSessionCacheImpl: Deleted sessionId 115300730005456032  from persistence _x000D_
11 20 20:04:46 274 26216 26216   W SearchServiceCore: Abort  client detached _x000D_
    Abort  client detached _x000D_
11 20 20:04:46 340 27990 27990   I MultiDex: VM with version 2 1 0 has multidex support_x000D_
    Installing application_x000D_
    VM has multidex support  MultiDex support library is disabled _x000D_
11 20 20:04:46 366 27990 27990   D FirebaseApp: com google firebase auth FirebaseAuth is not linked  Skipping initialization _x000D_
    com google firebase crash FirebaseCrash is not linked  Skipping initialization _x000D_
11 20 20:04:46 367 27990 27990   D FirebaseApp: com google android gms measurement AppMeasurement is not linked  Skipping initialization _x000D_
11 20 20:04:46 367 27990 27990   I FirebaseInitProvider: FirebaseApp initialization successful_x000D_
11 20 20:04:46 396 27990 27990   D Debug: start logging_x000D_
11 20 20:04:46 408 27990 27990   I JobManager: Found pending job request id 4575  tag FilesSyncJob  transient false   canceling_x000D_
11 20 20:04:46 413 27990 28011   I zygote64: The ClassLoaderContext is a special shared library _x000D_
11 20 20:04:46 433 27990 28011   V NativeCrypto: Registering com google android gms org conscrypt NativeCrypto s 287 native methods   _x000D_
11 20 20:04:46 434 27990 27990   D JobProxy26: Schedule periodic jobInfo success  request id 4579  tag FilesSyncJob  transient false   interval 00:15:00  flex 00:05:00_x000D_
11 20 20:04:46 456 27990 28011   D NetworkSecurityConfig: Using Network Security Config from resource network security config debugBuild: false_x000D_
11 20 20:04:46 460 27990 28011   I ProviderInstaller: Installed default security provider GmsCore OpenSSL_x000D_
11 20 20:04:46 463 27990 27990   D ContactsPreferenceActivity: start daily contacts backup job_x000D_
11 20 20:04:46 464 27990 27990   D ContactsPreferenceActivity: disabling existing contacts backup job for account: user removed for privacy removed for privacy nl_x000D_
11 20 20:04:46 468 27990 27990   I JobManager: Found pending job request id 4576  tag ContactsBackupJob  transient false   canceling_x000D_
11 20 20:04:46 470 27990 28015   D NetworkUtils: Searching known servers store at  data user 0 com nextcloud client files knownServers bks_x000D_
11 20 20:04:46 473 27990 28016   D ThumbnailsCacheManager: create dir:  storage emulated 0 Android data com nextcloud client cache thumbnailCache_x000D_
11 20 20:04:46 473 27990 28015   D OwnCloudClient  0: Creating OwnCloudClient_x000D_
11 20 20:04:46 476 27990 28015   D AccountUtils: Restoring cookies for user removed for privacy removed for privacy nl_x000D_
11 20 20:04:46 477 27990 28015   D OwnCloudClient  0: REQUEST GET  index php 204_x000D_
11 20 20:04:46 483 27990 28015   D AdvancedSslSocketFactory: Creating SSL Socket with remote removed for privacy nl:443  local null:0  params: org apache commons httpclient params HttpConnectionParams f5c8239_x000D_
         with connection timeout 60000 and socket timeout 60000_x000D_
11 20 20:04:46 487 26518 26558   I Finsky:  606  com google android finsky bp an run(6): Stats for Executor: Db verify apps db com google android finsky bp ao b6c328e Running  pool size   0  active threads   0  queued tasks   0  completed tasks   1 _x000D_
11 20 20:04:46 498 27990 28015   I ServerNameIndicator: SSLSocket implementation: com google android gms org conscrypt Java8FileDescriptorSocket_x000D_
    SNI done  hostname: removed for privacy nl_x000D_
11 20 20:04:46 518 27990 27990   D JobProxy26: Schedule periodic jobInfo success  request id 4580  tag ContactsBackupJob  transient false   interval 00:00:00 ( 1 day)  flex 00:00:00 ( 1 day)_x000D_
11 20 20:04:46 522 27990 27990   I JobManager: Found pending job request id 4577  tag MediaFoldersDetectionJob  transient false   canceling_x000D_
11 20 20:04:46 544 27990 27990   D JobProxy26: Schedule periodic jobInfo success  request id 4581  tag MediaFoldersDetectionJob  transient false   interval 00:15:00  flex 00:05:00_x000D_
11 20 20:04:46 580 27990 27990   V FileDisplayActivity: onCreate() start_x000D_
11 20 20:04:46 582 4057 4057   W Notification: Use of stream types is deprecated for operations other than volume control_x000D_
11 20 20:04:46 583 4057 4057   W Notification: See the documentation of setSound() for what to use instead with android media AudioAttributes to qualify your playback use case_x000D_
11 20 20:04:46 585 27990 27990   D FileDisplayActivity: onCreate(Bundle) starting_x000D_
11 20 20:04:46 620 27990 27990   I AppCompatViewInflater: app:theme is now deprecated  Please move to using android:theme instead _x000D_
11 20 20:04:46 727 27990 27990   D FileDisplayActivity: onStart() starting_x000D_
11 20 20:04:46 727 1278 2654   I ActivityManager: START u0  flg 0x20000 cmp com nextcloud client com owncloud android ui activity RequestCredentialsActivity  from uid 10099_x000D_
11 20 20:04:46 790 27990 27990   D OpenGLRenderer: HWUI GL Pipeline_x000D_
11 20 20:04:46 796 27990 28020   D OwnCloudClient  1: Creating OwnCloudClient_x000D_
11 20 20:04:46 796 27990 28020   D AccountUtils: Restoring cookies for user removed for privacy removed for privacy nl_x000D_
11 20 20:04:46 798 27990 28021   D OwnCloudClient  2: Creating OwnCloudClient_x000D_
11 20 20:04:46 798 27990 28021   D AccountUtils: Restoring cookies for user removed for privacy removed for privacy nl_x000D_
11 20 20:04:46 822 27990 28020   D AccountUtils: Restoring cookies for user removed for privacy removed for privacy nl_x000D_
11 20 20:04:46 822 27990 28021   D AccountUtils: Restoring cookies for user removed for privacy removed for privacy nl_x000D_
11 20 20:04:46 827 27990 28021   D OwnCloudClient  2: REQUEST GET  ocs v1 php cloud users user removed for privacy_x000D_
11 20 20:04:46 827 27990 28021   D AdvancedSslSocketFactory: Creating SSL Socket with remote removed for privacy nl:443  local null:0  params: org apache commons httpclient params HttpConnectionParams fe351c2_x000D_
         with connection timeout 60000 and socket timeout 60000_x000D_
11 20 20:04:46 829 27990 28021   I ServerNameIndicator: SSLSocket implementation: com google android gms org conscrypt Java8FileDescriptorSocket_x000D_
    SNI done  hostname: removed for privacy nl_x000D_
11 20 20:04:46 830 27990 28020   D Avatar: URI: https:  removed for privacy nl index php avatar user removed for privacy 384_x000D_
11 20 20:04:46 834 27990 27990   D FileDisplayActivity: Initializing Fragments in onAccountChanged  _x000D_
11 20 20:04:46 834 27990 27990   E FileDisplayActivity: Access to unexisting list of files fragment  _x000D_
    Still have a chance to lose the initializacion of list fragment  (_x000D_
11 20 20:04:46 835 27990 28020   D OwnCloudClient  1: REQUEST GET  index php avatar user removed for privacy 384_x000D_
11 20 20:04:46 835 27990 28020   D AdvancedSslSocketFactory: Creating SSL Socket with remote removed for privacy nl:443  local null:0  params: org apache commons httpclient params HttpConnectionParams 80b5310_x000D_
         with connection timeout 60000 and socket timeout 60000_x000D_
11 20 20:04:46 836 27990 28020   I ServerNameIndicator: SNI done  hostname: removed for privacy nl_x000D_
11 20 20:04:46 887 27990 28022   D ExternalLinks: links disabled_x000D_
11 20 20:04:46 904 27990 28024   D OwnCloudClient  2: REQUEST GET  ocs v1 php cloud users user removed for privacy_x000D_
11 20 20:04:46 904 27990 28024   D AdvancedSslSocketFactory: Creating SSL Socket with remote removed for privacy nl:443  local null:0  params: org apache commons httpclient params HttpConnectionParams a97eeff_x000D_
         with connection timeout 60000 and socket timeout 60000_x000D_
11 20 20:04:46 905 27990 28024   I ServerNameIndicator: SNI done  hostname: removed for privacy nl_x000D_
11 20 20:04:46 964 27990 27990   E FileDisplayActivity: Access to unexisting list of files fragment  _x000D_
11 20 20:04:46 973 27990 27990   V FileDisplayActivity: onResume() start_x000D_
11 20 20:04:46 973 27990 27990   D FileDisplayActivity: onResume() starting_x000D_
11 20 20:04:46 973 27990 27990   I OCFileListFragment: onAttach_x000D_
11 20 20:04:46 987 27990 27990   I OCFileListFragment: onCreateView() start_x000D_
11 20 20:04:46 987 27990 27990   D ExtendedListFragment: onCreateView_x000D_
11 20 20:04:47 054 27990 28015   D OwnCloudClient  3: Creating OwnCloudClient_x000D_
11 20 20:04:47 056 27990 27990   I OCFileListFragment: onCreateView() end_x000D_
    onActivityCreated() start_x000D_
11 20 20:04:47 056 27990 28015   D AccountUtils: Restoring cookies for user removed for privacy removed for privacy nl_x000D_
11 20 20:04:47 058 27990 28015   D OwnCloudClient  3: REQUEST GET  index php 204_x000D_
11 20 20:04:47 192 26518 26558   I Finsky:  606  com google android finsky bp an run(6): Stats for Executor: Db scheduler com google android finsky bp ao c4cfaaf Running  pool size   0  active threads   0  queued tasks   0  completed tasks   3 _x000D_
11 20 20:04:47 208 27990 27990   V FileDisplayActivity: onResume() end_x000D_
11 20 20:04:47 231 27990 28027   D OwnCloudClient  4: Creating OwnCloudClient_x000D_
11 20 20:04:47 231 27990 27990   D OperationsService: Creating service_x000D_
11 20 20:04:47 233 1278 1477   W ActivityManager: Activity pause timeout for ActivityRecord c3c49f9 u0 com nextcloud client com owncloud android ui activity FileDisplayActivity t4603 _x000D_
11 20 20:04:47 235 27990 28027   D AccountUtils: Restoring cookies for user removed for privacy removed for privacy nl_x000D_
11 20 20:04:47 236 27990 28027   D OwnCloudClient  4: REQUEST GET  index php 204_x000D_
11 20 20:04:47 241 27990 28028   D OwnCloudClient  5: Creating OwnCloudClient_x000D_
11 20 20:04:47 241 2407 28026   W GAv4 SVC: Network compressed POST connection error: java net ConnectException: Failed to connect to ssl google analytics com 127 0 0 1:443_x000D_
11 20 20:04:47 245 27990 28028   D AccountUtils: Restoring cookies for user removed for privacy removed for privacy nl_x000D_
11 20 20:04:47 246 27990 28028   D OwnCloudClient  5: REQUEST GET  index php 204_x000D_
11 20 20:04:47 260 27990 27990   D FileDownloader: Creating service_x000D_
11 20 20:04:47 276 27990 27990   D FileUploader: Creating service_x000D_
11 20 20:04:47 284 27990 27990   V UploadsStorageManager: Updating state of any killed upload_x000D_
11 20 20:04:47 290 27990 27990   V UploadsStorageManager: No upload was killed_x000D_
11 20 20:04:47 293 27990 27990   V FileDisplayActivity: onPause() start_x000D_
11 20 20:04:47 294 27990 27990   D FileDisplayActivity: onPause() ending_x000D_
11 20 20:04:47 294 27990 27990   V FileDisplayActivity: onPause() end_x000D_
11 20 20:04:47 333 27990 28034   D PlatformJobService: Run job  request id 4580  tag ContactsBackupJob  transient false   waited 00:00:00  interval 00:00:00 ( 1 day)  flex 00:00:00 ( 1 day)_x000D_
11 20 20:04:47 334 27990 28034   I JobExecutor: Executing request id 4580  tag ContactsBackupJob  transient false   context PlatformJobService_x000D_
11 20 20:04:47 339 27990 28016   D PlatformAlarmService: Run job  request id 4582  tag MediaFoldersDetectionJob  transient false   waited 00:00:00  delay 00:00:00_x000D_
11 20 20:04:47 345 27990 28036   D ContactsBackupJob: last execution less than 24h ago_x000D_
11 20 20:04:47 345 27990 28036   I JobExecutor: Finished job id 4580  finished true  result SUCCESS  canceled false  periodic true  class ContactsBackupJob  tag ContactsBackupJob _x000D_
11 20 20:04:47 349 27990 27990   D RequestCredentialsActivity: onCreate(Bundle) starting_x000D_
11 20 20:04:47 351 26518 26558   I Finsky:  606  com google android finsky bp an run(6): Stats for Executor: InstallQueueDatabaseManager com google android finsky bp ao 3823ebc Running  pool size   0  active threads   0  queued tasks   0  completed tasks   1 _x000D_
11 20 20:04:47 356 27990 28016   I JobExecutor: Executing request id 4582  tag MediaFoldersDetectionJob  transient false   context PlatformAlarmService_x000D_
11 20 20:04:47 357 27990 27990   D RequestCredentialsActivity: onStart() starting_x000D_
11 20 20:04:47 358 27990 27990   D RequestCredentialsActivity: onResume() starting_x000D_
11 20 20:04:47 363 27990 28034   D PlatformJobService: Finished job  request id 4580  tag ContactsBackupJob  transient false  SUCCESS_x000D_
11 20 20:04:47 366 1278 2654   I ActivityManager: START u0  act android app action CONFIRM DEVICE CREDENTIAL flg 0x20000000 pkg com android settings cmp com android settings  password ConfirmDeviceCredentialActivity (has extras)  from uid 10099_x000D_
11 20 20:04:47 376 1278 1287   I zygote64: Background concurrent copying GC freed 39825(1994KB) AllocSpace objects  20(1336KB) LOS objects  42  free  22MB 39MB  paused 162us total 195 795ms_x000D_
11 20 20:04:47 394 27990 28037   D MediaProvider: Reading images for 1x_x000D_
11 20 20:04:47 405 27990 27990   D FileActivity: Operations service connected_x000D_
11 20 20:04:47 405 27990 27990   D FileDisplayActivity: Download service connected_x000D_
11 20 20:04:47 406 27990 28037   D MediaProvider: Reading images for 2x_x000D_
11 20 20:04:47 420 27990 28027   D OwnCloudClient  6: Creating OwnCloudClient_x000D_
11 20 20:04:47 421 27990 28037   D MediaProvider: Reading images for Artwork_x000D_
11 20 20:04:47 423 27990 28027   D AccountUtils: Restoring cookies for user removed for privacy removed for privacy nl_x000D_
11 20 20:04:47 424 27990 28027   D OwnCloudClient  6: REQUEST GET  index php 204_x000D_
11 20 20:04:47 433 27990 28037   D MediaProvider: Reading images for Camera_x000D_
11 20 20:04:47 445 27990 28037   D MediaProvider: Reading images for Camera_x000D_
11 20 20:04:47 449 27990 27990   D FileDisplayActivity: Upload service connected_x000D_
11 20 20:04:47 453 27990 28037   D MediaProvider: Reading images for Cover_x000D_
11 20 20:04:47 472 27990 28037   D MediaProvider: Reading images for Download_x000D_
11 20 20:04:47 488 27990 28037   D MediaProvider: Reading images for Hangouts_x000D_
11 20 20:04:47 492 27990 27990   D RequestCredentialsActivity: onPause() ending_x000D_
11 20 20:04:47 519 27990 28037   D MediaProvider: Reading images for KopieID_x000D_
11 20 20:04:47 519 27990 28041   I Adreno: QUALCOMM build                   : dceea4a  Iedf7298c8c_x000D_
    Build Date                       : 02 19 18_x000D_
    OpenGL ES Shader Compiler Version: EV031 22 00 01_x000D_
    Local Branch                     : _x000D_
    Remote Branch                    : _x000D_
    Remote Branch                    : _x000D_
    Reconstruct Branch               : _x000D_
11 20 20:04:47 523 1278 8205   I ActivityManager: START u0  flg 0x2000000 cmp com android settings  password ConfirmLockPassword (has extras)  from uid 1000_x000D_
11 20 20:04:47 530 613 621   E SurfaceFlinger: Failed to find layer (Splash Screen com nextcloud client 0) in layer parent (no parent) _x000D_
11 20 20:04:47 536 27990 28041   I Adreno: PFP: 0x005ff087  ME: 0x005ff063_x000D_
11 20 20:04:47 550 27990 28028   D OwnCloudClient  7: Creating OwnCloudClient_x000D_
11 20 20:04:47 551 27990 28037   D MediaProvider: Reading images for Microsoft Teams_x000D_
11 20 20:04:47 554 27990 28041   I zygote64: android::hardware::configstore::V1 0::ISurfaceFlingerConfigs::hasWideColorDisplay retrieved: 1_x000D_
11 20 20:04:47 554 27990 28028   D AccountUtils: Restoring cookies for user removed for privacy removed for privacy nl_x000D_
11 20 20:04:47 555 27990 28041   I OpenGLRenderer: Initialized EGL  version 1 4_x000D_
11 20 20:04:47 555 27990 28041   D OpenGLRenderer: Swap behavior 2_x000D_
11 20 20:04:47 556 27990 28028   D OwnCloudClient  7: REQUEST GET  index php 204_x000D_
11 20 20:04:47 574 27990 28037   D MediaProvider: Reading images for OpenCamera_x000D_
11 20 20:04:47 586 4057 4057   W Notification: Use of stream types is deprecated for operations other than volume control_x000D_
    See the documentation of setSound() for what to use instead with android media AudioAttributes to qualify your playback use case_x000D_
11 20 20:04:47 591 27990 28037   D MediaProvider: Reading images for Photo Metadata Remover_x000D_
11 20 20:04:47 607 27990 28037   D MediaProvider: Reading images for Pictures_x000D_
11 20 20:04:47 623 27990 28037   D MediaProvider: Reading images for Scan_x000D_
11 20 20:04:47 640 27990 28037   D MediaProvider: Reading images for Screenshots_x000D_
11 20 20:04:47 655 27990 28037   D MediaProvider: Reading images for Telegram_x000D_
11 20 20:04:47 655 27874 27874   D AndroidRuntime: Shutting down VM_x000D_
    _x000D_
    _x000D_
              beginning of crash_x000D_
11 20 20:04:47 656 27874 27874   E AndroidRuntime: FATAL EXCEPTION: main_x000D_
    Process: com android settings  PID: 27874_x000D_
    java lang RuntimeException: Unable to resume activity  com android settings com android settings password ConfirmLockPassword : java lang NullPointerException: Attempt to invoke virtual method  void android view View setAlpha(float)  on a null object reference_x000D_
        at android app ActivityThread performResumeActivity(ActivityThread java:3581)_x000D_
        at android app ActivityThread handleResumeActivity(ActivityThread java:3621)_x000D_
        at android app ActivityThread handleLaunchActivity(ActivityThread java:2862)_x000D_
        at android app ActivityThread  wrap11(Unknown Source:0)_x000D_
        at android app ActivityThread H handleMessage(ActivityThread java:1589)_x000D_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Caused by: java lang NullPointerException: Attempt to invoke virtual method  void android view View setAlpha(float)  on a null object reference_x000D_
        at com android settings password ConfirmLockPassword ConfirmLockPasswordFragment prepareEnterAnimation(ConfirmLockPassword java:249)_x000D_
        at com android settings password ConfirmDeviceCredentialBaseActivity prepareEnterAnimation(ConfirmDeviceCredentialBaseActivity java:138)_x000D_
        at com android settings password ConfirmDeviceCredentialBaseActivity onResume(ConfirmDeviceCredentialBaseActivity java:115)_x000D_
        at android app Instrumentation callActivityOnResume(Instrumentation java:1355)_x000D_
        at android app Activity performResume(Activity java:7117)_x000D_
        at android app ActivityThread performResumeActivity(ActivityThread java:3556)_x000D_
        at android app ActivityThread handleResumeActivity(ActivityThread java:3621) _x000D_
        at android app ActivityThread handleLaunchActivity(ActivityThread java:2862) _x000D_
        at android app ActivityThread  wrap11(Unknown Source:0) _x000D_
        at android app ActivityThread H handleMessage(ActivityThread java:1589) _x000D_
        at android os Handler dispatchMessage(Handler java:106) _x000D_
        at android os Looper loop(Looper java:164) _x000D_
        at android app ActivityThread main(ActivityThread java:6494) _x000D_
        at java lang reflect Method invoke(Native Method) _x000D_
        at com android internal os RuntimeInit MethodAndArgsCaller run(RuntimeInit java:440) _x000D_
        at com android internal os ZygoteInit main(ZygoteInit java:807) _x000D_
11 20 20:04:47 659 1278 8205   W ActivityManager:   Force finishing activity com android settings  password ConfirmLockPassword_x000D_
11 20 20:04:47 662 27874 27894   W TileUtils: Found com android settings backup BackupSettingsActivity for intent Intent   act com android settings action SETTINGS pkg com android settings   missing metadata com android settings category_x000D_
11 20 20:04:47 664 27874 27894   W TileUtils: Found org lineageos lineageparts trust TrustPreferences for intent Intent   act org lineageos lineageparts action SETTINGS pkg org lineageos lineageparts   missing metadata _x000D_
11 20 20:04:47 668 1278 1477   W BroadcastQueue: Background execution not allowed: receiving Intent   act android intent action DROPBOX ENTRY ADDED flg 0x10 (has extras)   to com google android gms  stats service DropBoxEntryAddedReceiver_x000D_
    Background execution not allowed: receiving Intent   act android intent action DROPBOX ENTRY ADDED flg 0x10 (has extras)   to com google android gms  chimera GmsIntentOperationService PersistentTrustedReceiver_x000D_
11 20 20:04:47 673 1278 1478   I ActivityManager: Showing crash dialog for package com android settings u0_x000D_
11 20 20:04:47 681 27874 27894   D Settings: No enabled state changed  skipping updateCategory call_x000D_
11 20 20:04:47 683 27990 28037   D MediaProvider: Reading images for WhatsApp Images_x000D_
11 20 20:04:47 701 27990 28037   D MediaProvider: Reading images for WhatsApp Profile Photos_x000D_
11 20 20:04:47 710 1278 3642   I OpenGLRenderer: Initialized EGL  version 1 4_x000D_
11 20 20:04:47 710 1278 3642   D OpenGLRenderer: Swap behavior 2_x000D_
11 20 20:04:47 716 27990 28037   D MediaProvider: Reading images for custom_x000D_
11 20 20:04:47 730 27990 28037   D MediaProvider: Reading images for drawable hdpi_x000D_
11 20 20:04:47 745 27990 28037   D MediaProvider: Reading images for drawable mdpi_x000D_
11 20 20:04:47 760 27990 28037   D MediaProvider: Reading images for drawable xhdpi_x000D_
11 20 20:04:47 773 27990 28037   D MediaProvider: Reading images for drawable xxhdpi_x000D_
11 20 20:04:47 786 27990 28037   D MediaProvider: Reading images for drawable xxxhdpi_x000D_
11 20 20:04:47 835 27990 28037   D MediaProvider: Reading videos for removed for privacy_x000D_
11 20 20:04:47 857 27990 28037   D MediaProvider: Reading videos for removed for privacy_x000D_
11 20 20:04:47 871 27990 28037   D MediaProvider: Reading videos for removed for privacy_x000D_
11 20 20:04:47 883 27990 28037   D MediaProvider: Reading videos for removed for privacy_x000D_
11 20 20:04:47 895 27990 28037   D MediaProvider: Reading videos for removed for privacy_x000D_
11 20 20:04:47 902 27990 28037   D MediaProvider: Reading videos for removed for privacy_x000D_
11 20 20:04:47 908 27990 28037   D MediaProvider: Reading videos for removed for privacy_x000D_
11 20 20:04:47 914 27990 28037   D MediaProvider: Reading videos for removed for privacy_x000D_
11 20 20:04:47 925 27990 28037   D MediaProvider: Reading videos for removed for privacy_x000D_
11 20 20:04:47 930 27990 28037   D MediaProvider: Reading videos for Download_x000D_
11 20 20:04:47 949 27990 28037   V ArbitraryDataProvider: Updating arbitrary data with cloud id: global key: media folders value:   imageMediaFolders :   storage emulated 0 Download 1x    storage emulated 0 Download 2x  removed for privacy    videoMediaFolders :   _x000D_
11 20 20:04:47 965 27990 28037   I JobExecutor: Finished job id 4582  finished true  result SUCCESS  canceled false  periodic false  class MediaFoldersDetectionJob  tag MediaFoldersDetectionJob _x000D_
11 20 20:04:47 966 27990 28016   D PlatformAlarmService: Finished job  request id 4582  tag MediaFoldersDetectionJob  transient false  SUCCESS_x000D_
11 20 20:04:48 162 1278 1477   W ActivityManager: Activity pause timeout for ActivityRecord b498447 u0 com android settings  password ConfirmLockPassword t4603 f _x000D_
11 20 20:04:48 289 27990 27990   D DrawerActivity: PassCodeManager cancelled_x000D_
11 20 20:04:48 589 4057 4057   W Notification: Use of stream types is deprecated for operations other than volume control_x000D_
    See the documentation of setSound() for what to use instead with android media AudioAttributes to qualify your playback use case_x000D_
11 20 20:04:48 598 1278 8205   I ActivityManager: Killing 27874:com android settings 1000 (adj 700): crash_x000D_
11 20 20:04:48 598 1278 1479   W zygote64: kill( 27874  9) failed: No such process_x000D_
11 20 20:04:48 623 1278 8205   I ActivityManager: START u0  act android intent action MAIN cat  android intent category LAUNCHER  flg 0x10300000 cmp com nextcloud client com owncloud android ui activity FileDisplayActivity bnds  168 619  562 815  (has extras)  from uid 10149_x000D_
11 20 20:04:48 626 26216 26216   W SearchServiceClient: Starting with NO SESSION handoverId is deprecated  Just don t  You will break _x000D_
    com google android apps gsa shared util common f: SearchServiceClient: Starting with NO SESSION handoverId is deprecated  Just don t  You will break _x000D_
        at com google android apps gsa shared util common e a(SourceFile:43)_x000D_
        at com google android apps gsa shared util common e f(SourceFile:6)_x000D_
        at com google android apps gsa search shared service SearchServiceClient a(SourceFile:119)_x000D_
        at com google android apps gsa search shared service SearchServiceClient mg(SourceFile:103)_x000D_
        at com google android hotword service c af(SourceFile:18)_x000D_
        at com google android hotword service d run(SourceFile:3)_x000D_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11 20 20:04:48 627 1278 1479   W zygote64: kill( 27874  9) failed: No such process_x000D_
11 20 20:04:48 630 26216 26216   E PBSessionCacheImpl: sessionId 115300730005456032  not persisted _x000D_
11 20 20:04:48 633 26216 24494   I PBSessionCacheImpl: Deleted sessionId 115300730005456032  from persistence _x000D_
11 20 20:04:48 634 1278 1479   W zygote64: kill( 27874  9) failed: No such process_x000D_
11 20 20:04:48 635 1278 4529   I WifiService: getConnectionInfo uid 10042_x000D_
11 20 20:04:48 636 1278 4529   D WifiPermissionsUtil: Denied: no location permission_x000D_
    Denied: The current config is not for an open network _x000D_
11 20 20:04:48 638 1278 4529   I WifiService: getWifiEnabledState uid 10042_x000D_
11 20 20:04:48 644 1278 4529   E ActivityManager: applyOptionsLocked: Unknown animationType 0_x000D_
11 20 20:04:48 648 1278 8205   I WifiService: getConnectionInfo uid 10042_x000D_
11 20 20:04:48 649 1278 8205   D WifiPermissionsUtil: Denied: no location permission_x000D_
    Denied: The current config is not for an open network _x000D_
11 20 20:04:48 651 1278 8205   I WifiService: getWifiEnabledState uid 10042_x000D_
11 20 20:04:48 656 1278 1479   W zygote64: kill( 27874  9) failed: No such process_x000D_
11 20 20:04:48 661 26216 26216   I MicroDetectionState: Keep running hotword in interactor process_x000D_
11 20 20:04:48 668 1278 1800   W InputDispatcher: channel  5028a94 com android settings com android settings applications InstalledAppDetails (server)    Consumer closed input channel or an error occurred   events 0x9_x000D_
11 20 20:04:48 668 1278 1800   E InputDispatcher: channel  5028a94 com android settings com android settings applications InstalledAppDetails (server)    Channel is unrecoverably broken and will be disposed _x000D_
11 20 20:04:48 677 26216 27434   I PBSessionCacheImpl: Deleted sessionId 115300730005456032  from persistence _x000D_
11 20 20:04:48 677 26216 26216   W SearchServiceCore: Abort  client detached _x000D_
    Abort  client detached _x000D_
11 20 20:04:48 685 27990 27990   V FileDisplayActivity: onCreate() start_x000D_
11 20 20:04:48 685 1278 4354   I WindowManager: WIN DEATH: Window 5028a94 u0 com android settings com android settings applications InstalledAppDetails _x000D_
11 20 20:04:48 685 1278 4354   W InputDispatcher: Attempted to unregister already unregistered input channel  5028a94 com android settings com android settings applications InstalledAppDetails (server) _x000D_
11 20 20:04:48 693 1278 1486   W ActivityManager: setHasOverlayUi called on unknown pid: 27874_x000D_
11 20 20:04:48 694 27990 27990   D FileDisplayActivity: onCreate(Bundle) starting_x000D_
11 20 20:04:48 699 1278 1479   W zygote64: kill( 27874  9) failed: No such process_x000D_
11 20 20:04:48 699 1278 1479   I zygote64: Successfully killed process cgroup uid 1000 pid 27874 in 100ms_x000D_
11 20 20:04:48 717 27990 27990   I AppCompatViewInflater: app:theme is now deprecated  Please move to using android:theme instead _x000D_
11 20 20:04:48 762 1278 1750   W AppOps: Finishing op nesting under run: uid 1000 pkg android code 24 time 0 duration 0 nesting 0_x000D_
11 20 20:04:48 840 27990 27990   D FileDisplayActivity: onStart() starting_x000D_
11 20 20:04:48 893 27990 28053   D OwnCloudClient  2: REQUEST GET  ocs v1 php cloud users user </t>
  </si>
  <si>
    <t>MozillaReality-FirefoxReality-783</t>
  </si>
  <si>
    <t>Suggestion widget crash</t>
  </si>
  <si>
    <t xml:space="preserve">   Hardware_x000D_
      Include the name and version of the hardware VR headset you experienced the bug in     _x000D_
Go_x000D_
_x000D_
   Steps to Reproduce_x000D_
      For bugs  please provide a link to a live web site  test page  or a rough set of    _x000D_
      steps to reproduce this bug  If relevant  include code to reproduce     _x000D_
      Feel free to attach images and GIFs of screen captures     _x000D_
1  Type some text into the URL bar _x000D_
2  Click on browser window _x000D_
3  Press home button (notice back button no longer works) _x000D_
4  Launch FxR again _x000D_
5  Try to type in the URL bar _x000D_
_x000D_
   Current Behavior_x000D_
      If describing a bug  tell us what happens instead of the expected behavior     _x000D_
      If suggesting a change improvement  explain the difference from current behavior     _x000D_
Crash:_x000D_
https:  crash stats mozilla com report index a326acaa 7713 4e2c a587 c84b20181120_x000D_
   Expected Behavior_x000D_
      If you re describing a bug  tell us what should happen     _x000D_
      If you re suggesting a change improvement  tell us how it should work     _x000D_
Should be able to type and get suggestions _x000D_
</t>
  </si>
  <si>
    <t>MCMrARM-revolution-irc-173</t>
  </si>
  <si>
    <t>Crashes after establishing connection.</t>
  </si>
  <si>
    <t xml:space="preserve">Steps to reproduce:_x000D_
_x000D_
1  Set a server _x000D_
2  See msg about connecting to the server _x000D_
3  After connection is established the crash message appears _x000D_
4  Restart the app _x000D_
5  After connection establishing crash is repeating _x000D_
_x000D_
IRC server:   irc librairc net  _x000D_
_x000D_
Huawei Honor 4C_x000D_
Android 4 4 2 KitKat_x000D_
_x000D_
UPD: Tried with SSL enabled disabled  No difference _x000D_
UPD2: Just reinstalled the app  No success  the error persist </t>
  </si>
  <si>
    <t>inaturalist-iNaturalistAndroid-613</t>
  </si>
  <si>
    <t>Not sure how important this is  but it is causing some crashes for us:_x000D_
_x000D_
https:  fabric io inaturalist android apps org inaturalist android issues 5ab2cbea8cb3c2fa639c365c time last seven days_x000D_
https:  fabric io inaturalist android apps org inaturalist android issues 5b1b30c56007d59fcd4db23b time last seven days_x000D_
_x000D_
Apparently you need to call  Service startForeground()  as well  Context: https:  stackoverflow com questions 44425584 context startforegroundservice did not then call service startforeground</t>
  </si>
  <si>
    <t>mendhak-gpslogger-695</t>
  </si>
  <si>
    <t>Crash when tapping below add profile button in profile view</t>
  </si>
  <si>
    <t xml:space="preserve">Type: Crash due to a NullPointerException_x000D_
Reproducible: Always_x000D_
Steps to reproduce:_x000D_
  Open the Menu_x000D_
  On top  tap on the active proile name  downwards arrow to open the profile chooser_x000D_
  Tap  below  the new profile button _x000D_
  GPSLogger crashes with an NPE _x000D_
_x000D_
I enabled the show outlines option in the Android developer options and looked at the spot  A screenshot is attached below  You can see there is an empty element below the add button  Tapping it causes the NPE _x000D_
  screenshot 20181111 233649 gpslogger (https:  user images githubusercontent com 2143820 48723681 999ec900 ec27 11e8 9992 f36aa5db888d jpg)_x000D_
_x000D_
This seems to be the function responsible for filling the UI:_x000D_
https:  github com mendhak gpslogger blob c4665a481d0298dfbbaa75bc54382228ebba820d gpslogger src main java com mendhak gpslogger GpsMainActivity java L600 L657_x000D_
It seems to find  something  which passes the existence check but result in a Null being inserted </t>
  </si>
  <si>
    <t>wdullaer-MaterialDateTimePicker-549</t>
  </si>
  <si>
    <t>Crash with accessibility next/prev events and min/max date</t>
  </si>
  <si>
    <t xml:space="preserve">Library version 4 0 1 _x000D_
_x000D_
Steps to reproduce:_x000D_
_x000D_
1  Enable TalkBack (or some other accessibility helper with next previous navigation)_x000D_
2  Open up a DatePickerDialog with a minimum date set e g  to current date_x000D_
3  Select first day of current month_x000D_
4  Swipe left to move to previous focusable item_x000D_
_x000D_
Expected:_x000D_
_x000D_
Invalid dates (before minimum date) should not be focused _x000D_
No crash  focus moves e g  to controls above the month selection view _x000D_
_x000D_
Actual:_x000D_
_x000D_
Invalid dates can be focused with accessibility navigation _x000D_
Crash trying to move to previous month that is before minimum date _x000D_
_x000D_
   _x000D_
java lang IllegalArgumentException: Invalid target position_x000D_
	at androidx recyclerview widget RecyclerView SmoothScroller start(RecyclerView java:11534)_x000D_
	at androidx recyclerview widget RecyclerView LayoutManager startSmoothScroll(RecyclerView java:8204)_x000D_
	at androidx recyclerview widget LinearLayoutManager smoothScrollToPosition 6cefd9a5(LinearLayoutManager java:451)_x000D_
	at androidx recyclerview widget RecyclerView smoothScrollToPosition(RecyclerView java:1781)_x000D_
	at com wdullaer materialdatetimepicker date DayPickerView goTo 4001730e(DayPickerView java:228)_x000D_
	at com wdullaer materialdatetimepicker date DayPickerView performAccessibilityAction(DayPickerView java:422)_x000D_
	at android view AccessibilityInteractionController performAccessibilityActionUiThread(AccessibilityInteractionController java:711)_x000D_
   _x000D_
_x000D_
Assuming this crashes the same way with maximum date set respectively  did not try to repro that myself _x000D_
_x000D_
This looks a lot like  512 reported earlier </t>
  </si>
  <si>
    <t>IbrahimNM-seefood_app-11</t>
  </si>
  <si>
    <t>Camera causes app to crash</t>
  </si>
  <si>
    <t xml:space="preserve">If the user rotate the Camera to landscape orientation  the app crashes  _x000D_
</t>
  </si>
  <si>
    <t>terl-lazysodium-android-15</t>
  </si>
  <si>
    <t>lazysodium crashes with latest JNA (5.1.0)</t>
  </si>
  <si>
    <t xml:space="preserve">Quickstart recommends using the latest JNA version (5 1 0)  but  new LazySodiumAndroid(new SodiumAndroid())  crashes on startup with:_x000D_
 java lang UnsatisfiedLinkError: Native library (com sun jna android x86 libjnidispatch so) not found in resource path ( ) _x000D_
_x000D_
The internets are also unhelpful with this error message  Changing the JNA dependency to  4 5 1  works </t>
  </si>
  <si>
    <t>lineargs-WatchNextApp-52</t>
  </si>
  <si>
    <t>Notifications crashing the app in Build &lt; 0</t>
  </si>
  <si>
    <t>App crashes when trying to send notifications from SyncAdapter in devices   Android 0</t>
  </si>
  <si>
    <t>nextcloud-android-3273</t>
  </si>
  <si>
    <t>java.lang.NullPointerException: Attempt to invoke virtual method 'android.content.res.Resources android.content.Context.getResources()' on a null object reference</t>
  </si>
  <si>
    <t xml:space="preserve">I am using Nextcloud client stable release  3 3 2  When I click login after entering my credentials the client crashes _x000D_
_x000D_
I ve monitored the server side Apache logs and there isn t anything unusual:_x000D_
   _x000D_
   _x000D_
    scrubbed          17 Nov 2018:10:59:01  0800   GET  status php HTTP 1 1  200 4480      Mozilla 5 0 (Android) ownCloud android 3 3 2  _x000D_
    scrubbed          17 Nov 2018:10:59:01  0800   HEAD  remote php webdav  HTTP 1 1  401 1129      Mozilla 5 0 (Android) ownCloud android 3 3 2  _x000D_
    scrubbed          17 Nov 2018:10:59:02  0800   GET  index php login flow HTTP 1 1  200 11418      My Phone  _x000D_
    scrubbed          17 Nov 2018:10:59:02  0800   GET  index php core js oc js v 5d804a4a HTTP 1 1  200 4983      My Phone  _x000D_
    scrubbed          17 Nov 2018:10:59:08  0800   GET  index php login flow redirect stateToken     scrubbed     clientIdentifier  HTTP 1 1  303 1200      My Phone  _x000D_
    scrubbed          17 Nov 2018:10:59:08  0800   GET  index php login redirect url  index php login flow redirect 3FstateToken 3D    scrubbed     26clientIdentifier 3D HTTP 1 1  200 8870      My Phone  _x000D_
    scrubbed          17 Nov 2018:10:59:09  0800   GET  index php core js oc js v 5d804a4a HTTP 1 1  200 4983      My Phone  _x000D_
    scrubbed          17 Nov 2018:10:59:30  0800   POST  index php login redirect url  index php login flow redirect 3FstateToken 3D    scrubbed     26clientIdentifier 3D HTTP 1 1  303 1285      My Phone  _x000D_
    scrubbed          17 Nov 2018:10:59:32  0800   GET  index php login flow redirect stateToken     scrubbed     clientIdentifier  HTTP 1 1  200 6787      My Phone  _x000D_
    scrubbed          17 Nov 2018:10:59:34  0800   GET  index php core js oc js v 5d804a4a HTTP 1 1  200 5054      My Phone  _x000D_
    scrubbed          17 Nov 2018:10:59:38  0800   POST  index php login flow HTTP 1 1  303 1047      My Phone  _x000D_
    scrubbed          17 Nov 2018:10:59:43  0800   GET  status php HTTP 1 1  200 1315      Mozilla 5 0 (Android) ownCloud android 3 3 2  _x000D_
    scrubbed          17 Nov 2018:10:59:44  0800   HEAD  remote php webdav  HTTP 1 1  401 1131      Mozilla 5 0 (Android) ownCloud android 3 3 2  _x000D_
    scrubbed          17 Nov 2018:10:59:44  0800   HEAD  remote php webdav  HTTP 1 1  200 1062      Mozilla 5 0 (Android) ownCloud android 3 3 2  _x000D_
    scrubbed          17 Nov 2018:10:59:47  0800   GET  ocs v1 php cloud user format json HTTP 1 1  200 1545      Mozilla 5 0 (Android) ownCloud android 3 3 2 _x000D_
   _x000D_
_x000D_
On the client side via adb I note the client seems to be raising some issues:_x000D_
   _x000D_
11 17 10:59:29 126  2072  2072 W InputMethodService: Window size has been changed  This may cause jankiness of resizing window:  1     2_x000D_
11 17 10:59:29 128 16702 17039 W IInputConnectionWrapper: finishComposingText on inactive InputConnection_x000D_
11 17 10:59:35 627  1550  1769 D bt btif : BTHF: device status notification_x000D_
11 17 10:59:35 627  1550  1739 D bt btif : AG evt (hdl 0x0001): State 2  Event 0x0506_x000D_
11 17 10:59:35 627  1550  1739 D bt btif : bta ag hfp result : res   5_x000D_
11 17 10:59:35 628  1550  1739 D bt btif : AG evt (hdl 0x0001): State 2  Event 0x0506_x000D_
11 17 10:59:35 628  1550  1739 D bt btif : bta ag hfp result : res   5_x000D_
11 17 10:59:35 628  1550  1739 D bt btif : AG evt (hdl 0x0001): State 2  Event 0x0506_x000D_
11 17 10:59:35 628  1550  1739 D bt btif : bta ag hfp result : res   5_x000D_
11 17 10:59:35 628  1550  1739 D bt btif : AG evt (hdl 0x0001): State 2  Event 0x0506_x000D_
11 17 10:59:35 629  1550  1739 D bt btif : bta ag hfp result : res   5_x000D_
11 17 10:59:36 780 16702 16702 I chromium:  INFO:CONSOLE(7)   JQMIGRATE: Migrate is installed  version 1 4 0   source: https:      scrubbed     core vendor core js v 5d804a4a 10 (7)_x000D_
11 17 10:59:40 766  2657  3017 D BatchingTimer: Device timer is done _x000D_
11 17 10:59:40 766  2657  3017 D BatchingTimer: Device batch timer is started _x000D_
11 17 10:59:40 815  2657 18396 D BatchingTimer: Device timer time: 60_x000D_
11 17 10:59:42 116 16702 16702 D OperationsService: Starting command with id 4_x000D_
11 17 10:59:42 130 16702 16743 D OwnCloudClient  0: REQUEST GET  status php_x000D_
11 17 10:59:42 137 16702 16743 D AdvancedSslSocketFactory: Creating SSL Socket with remote     scrubbed    :443  local null:0  params: org apache commons httpclient params HttpConnectionParams c7413e3_x000D_
11 17 10:59:42 140 16702 16743 D AdvancedSslSocketFactory:      with connection timeout 50000 and socket timeout 60000_x000D_
11 17 10:59:42 146 16702 16743 I ServerNameIndicator: SNI done  hostname:     scrubbed    _x000D_
11 17 10:59:43 036 16702 16743 W HttpMethodBase: Going to buffer response body of large or unknown size  Using getResponseBodyAsStream instead is recommended _x000D_
11 17 10:59:43 043 16702 16743 I GetRemoteStatusOperation: Connection check at https:      scrubbed    : Operation finished with HTTP status code  1 (success)_x000D_
11 17 10:59:43 044 16702 16743 D GetServerInfoOperation: Trying empty authorization to detect authentication method_x000D_
11 17 10:59:43 047 16702 16743 D OwnCloudClient  0: REQUEST HEAD  remote php webdav _x000D_
11 17 10:59:43 336 16702 16743 I AuthChallengeProcessor: basic authentication scheme selected_x000D_
11 17 10:59:43 337 16702 16743 I HttpMethodDirector: No credentials available for BASIC  Cartesian Theatre      scrubbed    :443_x000D_
11 17 10:59:43 338 16702 16743 D ExistenceCheckRemoteOperation: Existence check for https:      scrubbed     remote php webdav  targeting for  existence finished with HTTP status 401(FAIL)_x000D_
11 17 10:59:43 338 16702 16743 D DetectAuthenticationMethodOperation: Authentication method found: BASIC HTTP AUTH_x000D_
11 17 10:59:43 384 16702 16743 D OperationsService: Called 1 listeners_x000D_
11 17 10:59:43 384 16702 16743 D OperationsService: Stopping after command with id 4_x000D_
11 17 10:59:43 388 16702 18422 D OwnCloudClient  2: Creating OwnCloudClient_x000D_
11 17 10:59:43 389 16702 18422 D OwnCloudClient  2: REQUEST HEAD  remote php webdav _x000D_
11 17 10:59:44 512  1550  1769 D bt btif : BTHF: device status notification_x000D_
11 17 10:59:44 513  1550  1739 D bt btif : AG evt (hdl 0x0001): State 2  Event 0x0506_x000D_
11 17 10:59:44 513  1550  1739 D bt btif : bta ag hfp result : res   5_x000D_
11 17 10:59:44 513  1550  1739 D bt btif : AG evt (hdl 0x0001): State 2  Event 0x0506_x000D_
11 17 10:59:44 513  1550  1739 D bt btif : bta ag hfp result : res   5_x000D_
11 17 10:59:44 513  1550  1739 D bt btif : AG evt (hdl 0x0001): State 2  Event 0x0506_x000D_
11 17 10:59:44 513  1550  1739 D bt btif : bta ag hfp result : res   5_x000D_
11 17 10:59:44 514  1550  1739 D bt btif : AG evt (hdl 0x0001): State 2  Event 0x0506_x000D_
11 17 10:59:44 514  1550  1739 D bt btif : bta ag hfp result : res   5_x000D_
11 17 10:59:46 521 16702 18422 D ExistenceCheckRemoteOperation: Existence check for https:      scrubbed     remote php webdav  targeting for  existence finished with HTTP status 200_x000D_
11 17 10:59:46 524 16702 18422 D OwnCloudClient  2: REQUEST GET  ocs v1 php cloud user_x000D_
11 17 10:59:49 647  4257  3685 W WebSocketConnection: Sending keep alive   _x000D_
11 17 10:59:49 661  4257  3685 W RealtimeSleepTimer: Setting alarm to wake up in 55000ms _x000D_
11 17 10:59:49 879  4257  3675 W WebSocketConnection: WSC onMessage()_x000D_
11 17 10:59:49 879  4257  3675 W WebSocketConnection: Message Type: 2_x000D_
11 17 10:59:52 411 16702 16702 D AuthenticatorActivity: Successful access   time to save the account_x000D_
11 17 10:59:52 414  1900 26337 W AccountManagerService: insertAccountIntoDatabase: Account  name     scrubbed         scrubbed      type nextcloud   skipping since the account already exists_x000D_
11 17 10:59:52 430  1900  2401 W InputMethodManagerService: Window already focused  ignoring focus gain of: com android internal view IInputMethodClient Stub Proxy 94bb3b8 attribute null  token   android os BinderProxy cab0841_x000D_
11 17 10:59:52 432 16702 16702 D AuthenticatorActivity: onPause() ending_x000D_
11 17 10:59:52 444  1900 12271 I ActivityManager: START u0  act RESTART flg 0x4000000 cmp com nextcloud client com owncloud android ui activity FileDisplayActivity  from uid 10112 on display 0_x000D_
11 17 10:59:52 448  1900  8224 I ActivityManager: moveTaskToBack: TaskRecord e4dc591  246 A com nextcloud client U 0 StackId 1 sz 2 _x000D_
11 17 10:59:52 484 16702 16702 V BaseActivity: onRestart() start_x000D_
11 17 10:59:52 503  3016  3107 I Adreno EGL:  qeglDrvAPI eglInitialize:379 : QUALCOMM Build: 10 21 15  369a2ea  I96aee987eb_x000D_
11 17 10:59:52 503  3016  3107 I OpenGLRenderer: Initialized EGL  version 1 4_x000D_
11 17 10:59:52 503  3016  3107 D OpenGLRenderer: Swap behavior 1_x000D_
11 17 10:59:52 504 16702 18457 D ExternalLinks: links disabled_x000D_
11 17 10:59:52 537 16702 16702 V BaseActivity: onRestart() end_x000D_
11 17 10:59:52 537 16702 16702 D FileDisplayActivity: onStart() starting_x000D_
11 17 10:59:52 542 16702 16702 V FileDisplayActivity: onResume() start_x000D_
11 17 10:59:52 542 16702 16702 D FileDisplayActivity: onResume() starting_x000D_
11 17 10:59:52 554 16702 18462 D ExternalLinks: links disabled_x000D_
11 17 10:59:52 614 16702 16702 V FileDisplayActivity: onResume() end_x000D_
11 17 10:59:52 616 16702 16702 V FileDisplayActivity: onPause() start_x000D_
11 17 10:59:52 618 16702 16702 D FileDisplayActivity: onPause() ending_x000D_
11 17 10:59:52 619 16702 16702 V FileDisplayActivity: onPause() end_x000D_
11 17 10:59:52 619 16702 16702 V BaseActivity: onNewIntent() start_x000D_
11 17 10:59:52 620 16702 16702 V BaseActivity: onNewIntent() stop_x000D_
11 17 10:59:52 624  1900  5056 I ActivityManager: START u0  act RESTART flg 0x4000000 cmp com nextcloud client com owncloud android ui activity FileDisplayActivity  from uid 10112 on display 0_x000D_
11 17 10:59:52 625  1900  5056 W ActivityManager: startActivity called from finishing ActivityRecord d94af44 u0 com nextcloud client com owncloud android ui activity FileDisplayActivity t246 f   forcing Intent FLAG ACTIVITY NEW TASK for: Intent   act RESTART flg 0x4000000 cmp com nextcloud client com owncloud android ui activity FileDisplayActivity  _x000D_
11 17 10:59:52 643  1900  1919 W InputMethodManagerService: Focus gain on non focused client com android internal view IInputMethodClient Stub Proxy c57108c (uid 10029 pid 3016)_x000D_
11 17 10:59:52 644 16702 16702 V FileDisplayActivity: onResume() start_x000D_
11 17 10:59:52 644 16702 16702 D FileDisplayActivity: onResume() starting_x000D_
11 17 10:59:52 693 16702 16702 V FileDisplayActivity: onResume() end_x000D_
11 17 10:59:52 695 16702 16702 V FileDisplayActivity: onPause() start_x000D_
11 17 10:59:52 700 16702 16702 D FileDisplayActivity: onPause() ending_x000D_
11 17 10:59:52 700 16702 16702 V FileDisplayActivity: onPause() end_x000D_
11 17 10:59:52 701 16702 16702 D FileDisplayActivity: onStop() ending_x000D_
11 17 10:59:52 807 16702 16714 I AccountAuthenticator: Adding account with type nextcloud and auth token null_x000D_
11 17 10:59:52 824  1900  5057 I ActivityManager: START u0  flg 0x10800004 cmp com nextcloud client com owncloud android authentication AuthenticatorActivity (has extras)  from uid 10112 on display 0_x000D_
11 17 10:59:52 847 16702 16702 V FileDisplayActivity: onCreate() start_x000D_
11 17 10:59:52 849 16702 16702 D FileDisplayActivity: onCreate(Bundle) starting_x000D_
11 17 10:59:52 870 16702 16714 I AccountAuthenticator: Adding account with type nextcloud and auth token null_x000D_
11 17 10:59:52 874  1900  5056 I ActivityManager: START u0  flg 0x10800004 cmp com nextcloud client com owncloud android authentication AuthenticatorActivity (has extras)  from uid 10112 on display 0_x000D_
11 17 10:59:52 901 16702 16702 I AppCompatViewInflater: app:theme is now deprecated  Please move to using android:theme instead _x000D_
11 17 10:59:52 974 16702 16702 D FileDisplayActivity: onStart() starting_x000D_
11 17 10:59:52 991 16702 18470 D ExternalLinks: links disabled_x000D_
11 17 10:59:53 014 16702 16702 E FileDisplayActivity: Access to unexisting list of files fragment  _x000D_
11 17 10:59:53 017 16702 16702 V FileDisplayActivity: onResume() start_x000D_
11 17 10:59:53 017 16702 16702 D FileDisplayActivity: onResume() starting_x000D_
11 17 10:59:53 018 16702 16702 I OCFileListFragment: onAttach_x000D_
11 17 10:59:53 023 16702 16702 I OCFileListFragment: onCreateView() start_x000D_
11 17 10:59:53 023 16702 16702 D ExtendedListFragment: onCreateView_x000D_
11 17 10:59:53 048 16702 16707 I art     : Do full code cache collection  code 106KB  data 125KB_x000D_
11 17 10:59:53 051 16702 16707 I art     : Starting a blocking GC JitCodeCache_x000D_
11 17 10:59:53 052 16702 16707 I art     : After code cache collection  code 89KB  data 87KB_x000D_
11 17 10:59:53 086 16702 16702 I OCFileListFragment: onCreateView() end_x000D_
11 17 10:59:53 086 16702 16702 I OCFileListFragment: onActivityCreated() start_x000D_
11 17 10:59:53 144 16702 16702 V FileDisplayActivity: onResume() end_x000D_
11 17 10:59:53 159 16702 16702 D FileDisplayActivity: onDestroy() ending_x000D_
11 17 10:59:53 164 16702 16707 I art     : Do partial code cache collection  code 92KB  data 91KB_x000D_
11 17 10:59:53 168 16702 16707 I art     : After code cache collection  code 92KB  data 91KB_x000D_
11 17 10:59:53 168 16702 16707 I art     : Increasing code cache capacity to 512KB_x000D_
11 17 10:59:53 180 16702 16702 D AuthenticatorActivity: onStop() ending_x000D_
11 17 10:59:53 182 16702 16702 D AuthenticatorActivity: onDestroy() ending_x000D_
11 17 10:59:53 215 16702 16739 E chromium:  ERROR:gl context virtual cc(39)  Trying to make virtual context current without decoder _x000D_
11 17 10:59:53 257 16702 16713 I art     : Background sticky concurrent mark sweep GC freed 50680(3MB) AllocSpace objects  208(4MB) LOS objects  31  free  16MB 24MB  paused 9 094ms total 116 699ms_x000D_
11 17 10:59:53 338  1900  1940 W ActivityManager: Activity pause timeout for ActivityRecord f6e1c0b u0 com nextcloud client com owncloud android ui activity FileDisplayActivity t247 _x000D_
11 17 10:59:53 356 16702 16702 V FileDisplayActivity: onPause() start_x000D_
11 17 10:59:53 368 16702 16702 D FileDisplayActivity: onPause() ending_x000D_
11 17 10:59:53 368 16702 16702 V FileDisplayActivity: onPause() end_x000D_
11 17 10:59:53 369 16702 16702 D FileActivity: Operations service connected_x000D_
11 17 10:59:53 370 16702 16702 D FileDisplayActivity: Download service connected_x000D_
11 17 10:59:53 370 16702 16702 D FileDisplayActivity: Upload service connected_x000D_
11 17 10:59:53 389 16702 16702 E ActivityThread: Activity com owncloud android authentication AuthenticatorActivity has leaked ServiceConnection com owncloud android authentication AuthenticatorActivity OperationsServiceConnection a0748 that was originally bound here_x000D_
11 17 10:59:53 389 16702 16702 E ActivityThread: android app ServiceConnectionLeaked: Activity com owncloud android authentication AuthenticatorActivity has leaked ServiceConnection com owncloud android authentication AuthenticatorActivity OperationsServiceConnection a0748 that was originally bound here_x000D_
11 17 10:59:53 389 16702 16702 E ActivityThread: 	at android app LoadedApk ServiceDispatcher  init (LoadedApk java:1336)_x000D_
11 17 10:59:53 389 16702 16702 E ActivityThread: 	at android app LoadedApk getServiceDispatcher(LoadedApk java:1231)_x000D_
11 17 10:59:53 389 16702 16702 E ActivityThread: 	at android app ContextImpl bindServiceCommon(ContextImpl java:1450)_x000D_
11 17 10:59:53 389 16702 16702 E ActivityThread: 	at android app ContextImpl bindService(ContextImpl java:1422)_x000D_
11 17 10:59:53 389 16702 16702 E ActivityThread: 	at android content ContextWrapper bindService(ContextWrapper java:636)_x000D_
11 17 10:59:53 389 16702 16702 E ActivityThread: 	at com owncloud android authentication AuthenticatorActivity onResume(AuthenticatorActivity java:1021)_x000D_
11 17 10:59:53 389 16702 16702 E ActivityThread: 	at android app Instrumentation callActivityOnResume(Instrumentation java:1270)_x000D_
11 17 10:59:53 389 16702 16702 E ActivityThread: 	at android app Activity performResume(Activity java:6788)_x000D_
11 17 10:59:53 389 16702 16702 E ActivityThread: 	at android app ActivityThread performResumeActivity(ActivityThread java:3431)_x000D_
11 17 10:59:53 389 16702 16702 E ActivityThread: 	at android app ActivityThread handleResumeActivity(ActivityThread java:3494)_x000D_
11 17 10:59:53 389 16702 16702 E ActivityThread: 	at android app ActivityThread H handleMessage(ActivityThread java:1546)_x000D_
11 17 10:59:53 389 16702 16702 E ActivityThread: 	at android os Handler dispatchMessage(Handler java:102)_x000D_
11 17 10:59:53 389 16702 16702 E ActivityThread: 	at android os Looper loop(Looper java:154)_x000D_
11 17 10:59:53 389 16702 16702 E ActivityThread: 	at android app ActivityThread main(ActivityThread java:6186)_x000D_
11 17 10:59:53 389 16702 16702 E ActivityThread: 	at java lang reflect Method invoke(Native Method)_x000D_
11 17 10:59:53 389 16702 16702 E ActivityThread: 	at com android internal os ZygoteInit MethodAndArgsCaller run(ZygoteInit java:889)_x000D_
11 17 10:59:53 389 16702 16702 E ActivityThread: 	at com android internal os ZygoteInit main(ZygoteInit java:779)_x000D_
11 17 10:59:53 390  1900  1920 W ActivityManager: Unbind failed: could not find connection for android os BinderProxy 2269f40_x000D_
11 17 10:59:53 391 16702 16702 E ActivityThread: Activity com owncloud android authentication AuthenticatorActivity has leaked ServiceConnection com owncloud android authentication AuthenticatorActivity OperationsServiceConnection 560d21e that was originally bound here_x000D_
11 17 10:59:53 391 16702 16702 E ActivityThread: android app ServiceConnectionLeaked: Activity com owncloud android authentication AuthenticatorActivity has leaked ServiceConnection com owncloud android authentication AuthenticatorActivity OperationsServiceConnection 560d21e that was originally bound here_x000D_
11 17 10:59:53 391 16702 16702 E ActivityThread: 	at android app LoadedApk ServiceDispatcher  init (LoadedApk java:1336)_x000D_
11 17 10:59:53 391 16702 16702 E ActivityThread: 	at android app LoadedApk getServiceDispatcher(LoadedApk java:1231)_x000D_
11 17 10:59:53 391 16702 16702 E ActivityThread: 	at android app ContextImpl bindServiceCommon(ContextImpl java:1450)_x000D_
11 17 10:59:53 391 16702 16702 E ActivityThread: 	at android app ContextImpl bindService(ContextImpl java:1422)_x000D_
11 17 10:59:53 391 16702 16702 E ActivityThread: 	at android content ContextWrapper bindService(ContextWrapper java:636)_x000D_
11 17 10:59:53 391 16702 16702 E ActivityThread: 	at com owncloud android authentication AuthenticatorActivity onResume(AuthenticatorActivity java:1021)_x000D_
11 17 10:59:53 391 16702 16702 E ActivityThread: 	at android app Instrumentation callActivityOnResume(Instrumentation java:1270)_x000D_
11 17 10:59:53 391 16702 16702 E ActivityThread: 	at android app Activity performResume(Activity java:6788)_x000D_
11 17 10:59:53 391 16702 16702 E ActivityThread: 	at android app ActivityThread performResumeActivity(ActivityThread java:3431)_x000D_
11 17 10:59:53 391 16702 16702 E ActivityThread: 	at android app ActivityThread handleResumeActivity(ActivityThread java:3494)_x000D_
11 17 10:59:53 391 16702 16702 E ActivityThread: 	at android app ActivityThread handleLaunchActivity(ActivityThread java:2757)_x000D_
11 17 10:59:53 391 16702 16702 E ActivityThread: 	at android app ActivityThread  wrap12(ActivityThread java)_x000D_
11 17 10:59:53 391 16702 16702 E ActivityThread: 	at android app ActivityThread H handleMessage(ActivityThread java:1496)_x000D_
11 17 10:59:53 391 16702 16702 E ActivityThread: 	at android os Handler dispatchMessage(Handler java:102)_x000D_
11 17 10:59:53 391 16702 16702 E ActivityThread: 	at android os Looper loop(Looper java:154)_x000D_
11 17 10:59:53 391 16702 16702 E ActivityThread: 	at android app ActivityThread main(ActivityThread java:6186)_x000D_
11 17 10:59:53 391 16702 16702 E ActivityThread: 	at java lang reflect Method invoke(Native Method)_x000D_
11 17 10:59:53 391 16702 16702 E ActivityThread: 	at com android internal os ZygoteInit MethodAndArgsCaller run(ZygoteInit java:889)_x000D_
11 17 10:59:53 391 16702 16702 E ActivityThread: 	at com android internal os ZygoteInit main(ZygoteInit java:779)_x000D_
11 17 10:59:53 392  1900  2971 W ActivityManager: Unbind failed: could not find connection for android os BinderProxy c656d4b_x000D_
11 17 10:59:53 394 16702 16702 E ActivityThread: Activity com owncloud android authentication AuthenticatorActivity has leaked ServiceConnection com owncloud android authentication AuthenticatorActivity OperationsServiceConnection bea6306 that was originally bound here_x000D_
11 17 10:59:53 394 16702 16702 E ActivityThread: android app ServiceConnectionLeaked: Activity com owncloud android authentication AuthenticatorActivity has leaked ServiceConnection com owncloud android authentication AuthenticatorActivity OperationsServiceConnection bea6306 that was originally bound here_x000D_
11 17 10:59:53 394 16702 16702 E ActivityThread: 	at android app LoadedApk ServiceDispatcher  init (LoadedApk java:1336)_x000D_
11 17 10:59:53 394 16702 16702 E ActivityThread: 	at android app LoadedApk getServiceDispatcher(LoadedApk java:1231)_x000D_
11 17 10:59:53 394 16702 16702 E ActivityThread: 	at android app ContextImpl bindServiceCommon(ContextImpl java:1450)_x000D_
11 17 10:59:53 394 16702 16702 E ActivityThread: 	at android app ContextImpl bindService(ContextImpl java:1422)_x000D_
11 17 10:59:53 394 16702 16702 E ActivityThread: 	at android content ContextWrapper bindService(ContextWrapper java:636)_x000D_
11 17 10:59:53 394 16702 16702 E ActivityThread: 	at com owncloud android authentication AuthenticatorActivity onResume(AuthenticatorActivity java:1021)_x000D_
11 17 10:59:53 394 16702 16702 E ActivityThread: 	at android app Instrumentation callActivityOnResume(Instrumentation java:1270)_x000D_
11 17 10:59:53 394 16702 16702 E ActivityThread: 	at android app Activity performResume(Activity java:6788)_x000D_
11 17 10:59:53 394 16702 16702 E ActivityThread: 	at android app ActivityThread performResumeActivity(ActivityThread java:3431)_x000D_
11 17 10:59:53 394 16702 16702 E ActivityThread: 	at android app ActivityThread handleResumeActivity(ActivityThread java:3494)_x000D_
11 17 10:59:53 394 16702 16702 E ActivityThread: 	at android app ActivityThread H handleMessage(ActivityThread java:1546)_x000D_
11 17 10:59:53 394 16702 16702 E ActivityThread: 	at android os Handler dispatchMessage(Handler java:102)_x000D_
11 17 10:59:53 394 16702 16702 E ActivityThread: 	at android os Looper loop(Looper java:154)_x000D_
11 17 10:59:53 394 16702 16702 E ActivityThread: 	at android app ActivityThread main(ActivityThread java:6186)_x000D_
11 17 10:59:53 394 16702 16702 E ActivityThread: 	at java lang reflect Method invoke(Native Method)_x000D_
11 17 10:59:53 394 16702 16702 E ActivityThread: 	at com android internal os ZygoteInit MethodAndArgsCaller run(ZygoteInit java:889)_x000D_
11 17 10:59:53 394 16702 16702 E ActivityThread: 	at com android internal os ZygoteInit main(ZygoteInit java:779)_x000D_
11 17 10:59:53 394  1900 26337 W ActivityManager: Unbind failed: could not find connection for android os BinderProxy b74981_x000D_
11 17 10:59:53 521 16702 16702 D AuthenticatorActivity: onCreate(Bundle) starting_x000D_
11 17 10:59:53 528  1900 12273 I ActivityManager: START u0  cmp com nextcloud client com owncloud android ui activity FirstRunActivity  from uid 10112 on display 0_x000D_
11 17 10:59:53 577 16702 16702 I TextInputLayout: EditText added is not a TextInputEditText  Please switch to using that class instead _x000D_
11 17 10:59:53 593 16702 16702 I TextInputLayout: EditText added is not a TextInputEditText  Please switch to using that class instead _x000D_
11 17 10:59:53 598 16702 16702 I TextInputLayout: EditText added is not a TextInputEditText  Please switch to using that class instead _x000D_
11 17 10:59:53 603 16702 16702 I TextInputLayout: EditText added is not a TextInputEditText  Please switch to using that class instead _x000D_
11 17 10:59:53 610 16702 16702 I TextInputLayout: EditText added is not a TextInputEditText  Please switch to using that class instead _x000D_
11 17 10:59:53 618 16702 16702 D AuthenticatorActivity: onStart() starting_x000D_
11 17 10:59:53 620 16702 16702 D AuthenticatorActivity: onNewIntent()_x000D_
11 17 10:59:53 621 16702 16702 D AuthenticatorActivity: onResume() starting_x000D_
11 17 10:59:53 665 16702 16702 D AndroidRuntime: Shutting down VM_x000D_
11 17 10:59:53 666 16702 16702 E AndroidRuntime: FATAL EXCEPTION: main_x000D_
11 17 10:59:53 666 16702 16702 E AndroidRuntime: Process: com nextcloud client  PID: 16702_x000D_
11 17 10:59:53 666 16702 16702 E AndroidRuntime: java lang NullPointerException: Attempt to invoke virtual method  android content res Resources android content Context getResources()  on a null object reference_x000D_
11 17 10:59:53 666 16702 16702 E AndroidRuntime: 	at com owncloud android utils ThemeUtils primaryColor(ThemeUtils java:116)_x000D_
11 17 10:59:53 666 16702 16702 E AndroidRuntime: 	at com owncloud android utils ThemeUtils primaryColor(ThemeUtils java:102)_x000D_
11 17 10:59:53 666 16702 16702 E AndroidRuntime: 	at com owncloud android ui fragment ExtendedListFragment 6 run(ExtendedListFragment java:653)_x000D_
11 17 10:59:53 666 16702 16702 E AndroidRuntime: 	at android os Handler handleCallback(Handler java:751)_x000D_
11 17 10:59:53 666 16702 16702 E AndroidRuntime: 	at android os Handler dispatchMessage(Handler java:95)_x000D_
11 17 10:59:53 666 16702 16702 E AndroidRuntime: 	at android os Looper loop(Looper java:154)_x000D_
11 17 10:59:53 666 16702 16702 E AndroidRuntime: 	at android app ActivityThread main(ActivityThread java:6186)_x000D_
11 17 10:59:53 666 16702 16702 E AndroidRuntime: 	at java lang reflect Method invoke(Native Method)_x000D_
11 17 10:59:53 666 16702 16702 E AndroidRuntime: 	at com android internal os ZygoteInit MethodAndArgsCaller run(ZygoteInit java:889)_x000D_
11 17 10:59:53 666 16702 16702 E AndroidRuntime: 	at com android internal os ZygoteInit main(ZygoteInit java:779)_x000D_
   _x000D_
_x000D_
I have the client installed on internal memory and not an external SD card  I am using LineageOS (Android 7 1 2) </t>
  </si>
  <si>
    <t>JasonSmith03-Android-Project-4</t>
  </si>
  <si>
    <t>Service Provider Information page</t>
  </si>
  <si>
    <t xml:space="preserve">The done button crashes the app  Can t seem to fix it even though I m using the same code structure from other classes that currently work </t>
  </si>
  <si>
    <t>antest1-kcanotify-61</t>
  </si>
  <si>
    <t>KCANotify 2.6.5 rev 1 Crashes When Clicking on Airbase Button in FleetView After Kancolle Nov. 16 2018 Update</t>
  </si>
  <si>
    <t xml:space="preserve">When clicking on the Airbase button in FleetView in KCANotify 2 6 5 rev 1  after Kancolle was updated on November 16th  2018  KCANotify crashes and brings up the option to send in a crash report (mine are sent on both devices)   The Kancolle update did make some changes to the LBAS UI  adding in showing the base range plus how much any recons are adding to that  so that s probably why </t>
  </si>
  <si>
    <t>google-udacity-india-scholars-abnd-track-pomodoro-timer-app-53</t>
  </si>
  <si>
    <t>App crashing on api level 28.</t>
  </si>
  <si>
    <t xml:space="preserve">    Steps to reproduce_x000D_
_x000D_
   Run app on devise with api level 28 _x000D_
   Click on  Start pomodoro  button _x000D_
_x000D_
    Expected behaviour_x000D_
_x000D_
Timer starts correctly _x000D_
_x000D_
    Actual behaviour_x000D_
_x000D_
app crashes when  start pomodoro  button is clicked _x000D_
_x000D_
  deepin screen recorder select area 20181117010742 (https:  user images githubusercontent com 18153319 48647398 40efe600 ea05 11e8 952c 33d0e1a5a2f8 gif)_x000D_
_x000D_
    Java error stack trace_x000D_
_x000D_
   _x000D_
java lang RuntimeException: Unable to start service gis2018 udacity pomodoro CountDownTimerService 660e9de with Intent   cmp gis2018 udacity pomodoro  CountDownTimerService (has extras)  : java lang SecurityException: Permission Denial: startForeground from pid 8449  uid 10086 requires android permission FOREGROUND SERVICE_x000D_
        at android app ActivityThread handleServiceArgs(ActivityThread java:3686)_x000D_
        at android app ActivityThread access 1600(ActivityThread java:199)_x000D_
        at android app ActivityThread H handleMessage(ActivityThread java:1681)_x000D_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Caused by: java lang SecurityException: Permission Denial: startForeground from pid 8449  uid 10086 requires android permission FOREGROUND SERVICE_x000D_
        at android os Parcel createException(Parcel java:1942)_x000D_
        at android os Parcel readException(Parcel java:1910)_x000D_
        at android os Parcel readException(Parcel java:1860)_x000D_
        at android app IActivityManager Stub Proxy setServiceForeground(IActivityManager java:5198)_x000D_
        at android app Service startForeground(Service java:695)_x000D_
        at gis2018 udacity pomodoro CountDownTimerService onStartCommand(CountDownTimerService java:74)_x000D_
        at android app ActivityThread handleServiceArgs(ActivityThread java:3667)_x000D_
        at android app ActivityThread access 1600(ActivityThread java:199) _x000D_
        at android app ActivityThread H handleMessage(ActivityThread java:1681) _x000D_
        at android os Handler dispatchMessage(Handler java:106) _x000D_
        at android os Looper loop(Looper java:193) _x000D_
        at android app ActivityThread main(ActivityThread java:6669) _x000D_
        at java lang reflect Method invoke(Native Method) _x000D_
        at com android internal os RuntimeInit MethodAndArgsCaller run(RuntimeInit java:493) _x000D_
        at com android internal os ZygoteInit main(ZygoteInit java:858) _x000D_
     Caused by: android os RemoteException: Remote stack trace:_x000D_
        at com android server am ActivityManagerService enforcePermission(ActivityManagerService java:9189)_x000D_
        at com android server am ActiveServices setServiceForegroundInnerLocked(ActiveServices java:1189)_x000D_
        at com android server am ActiveServices setServiceForegroundLocked(ActiveServices java:870)_x000D_
        at com android server am ActivityManagerService setServiceForeground(ActivityManagerService java:20437)_x000D_
        at android app IActivityManager Stub onTransact(IActivityManager java:976)_x000D_
   _x000D_
_x000D_
    Possible fix_x000D_
_x000D_
It can be fixed by adding permissions for foreground services in manifest xml _x000D_
And i would like to fix it _x000D_
</t>
  </si>
  <si>
    <t>cs262dFA2018-EventConnect-22</t>
  </si>
  <si>
    <t>App crashes when adding an event with invalid values</t>
  </si>
  <si>
    <t xml:space="preserve">Currently exceptions are thrown when an event with invalid data is added  These exceptions need to be caught and handled to prevent the app from crashing </t>
  </si>
  <si>
    <t>awslabs-aws-mobile-appsync-sdk-android-62</t>
  </si>
  <si>
    <t>The app crashes when the sdk is launched</t>
  </si>
  <si>
    <t xml:space="preserve">  Describe the bug  _x000D_
The app crashes when the sdk is launched_x000D_
_x000D_
  Environment(please complete the following information):  _x000D_
   AppSync SDK Version: 2 6 28_x000D_
_x000D_
  Device Information (please complete the following information):  _x000D_
   Device: LLD AL00 UNROOT_x000D_
   Android Version: Android 8 0 0  level 26_x000D_
   CPU Architecture: aarch64_x000D_
_x000D_
  Additional context  _x000D_
The bug only occurs when we use the HUAWEI device _x000D_
_x000D_
Here is the crash log:_x000D_
_x000D_
2018 11 16 16:32:55 123 17910 17910  Project Name  E CrashReport:   LAUNCH TIME: 2018 11 16 16:32:47_x000D_
2018 11 16 16:32:55 123 17910 17910  Project Name  E CrashReport:   CRASH TYPE: JAVA CRASH_x000D_
2018 11 16 16:32:55 123 17910 17910  Project Name  E CrashReport:   CRASH TIME: 2018 11 16 16:32:55_x000D_
2018 11 16 16:32:55 124 17910 17910  Project Name  E CrashReport:   CRASH PROCESS:  Project Name _x000D_
2018 11 16 16:32:55 124 17910 17910  Project Name  E CrashReport:   CRASH THREAD: main_x000D_
2018 11 16 16:32:55 124 17910 17910  Project Name  E CrashReport:   REPORT ID: a18ab2f7 8c1b 4d37 8046 01e8b65081e5_x000D_
2018 11 16 16:32:55 124 17910 17910  Project Name  E CrashReport:   CRASH DEVICE: LLD AL00 UNROOT_x000D_
2018 11 16 16:32:55 125 17910 17910  Project Name  E CrashReport:   RUNTIME AVAIL RAM:1477627904 ROM:10434588672 SD:10413617152_x000D_
2018 11 16 16:32:55 125 17910 17910  Project Name  E CrashReport:   RUNTIME TOTAL RAM:2916519936 ROM:25696387072 SD:25675415552_x000D_
2018 11 16 16:32:55 125 17910 17910  Project Name  E CrashReport:   CRASH STACK: _x000D_
2018 11 16 16:32:55 125 17910 17910  Project Name  E CrashReport: java lang OutOfMemoryError: pthread create (1040KB stack) failed: Out of memory_x000D_
        at java lang Thread nativeCreate(Native Method)_x000D_
        at java lang Thread start(Thread java:753)_x000D_
        at java util concurrent ThreadPoolExecutor addWorker(ThreadPoolExecutor java:970)_x000D_
        at java util concurrent ThreadPoolExecutor ensurePrestart(ThreadPoolExecutor java:1611)_x000D_
        at java util concurrent ScheduledThreadPoolExecutor delayedExecute(ScheduledThreadPoolExecutor java:342)_x000D_
        at java util concurrent ScheduledThreadPoolExecutor schedule(ScheduledThreadPoolExecutor java:562)_x000D_
        at java util concurrent ScheduledThreadPoolExecutor execute(ScheduledThreadPoolExecutor java:654)_x000D_
        at org eclipse paho client mqttv3 internal ClientComms ConnectBG start(ClientComms java:675)_x000D_
        at org eclipse paho client mqttv3 internal ClientComms connect(ClientComms java:280)_x000D_
        at org eclipse paho client mqttv3 internal ConnectActionListener connect(ConnectActionListener java:185)_x000D_
        at org eclipse paho client mqttv3 MqttAsyncClient connect(MqttAsyncClient java:774)_x000D_
        at org eclipse paho android service MqttConnection connect(MqttConnection java:295)_x000D_
        at org eclipse paho android service MqttService connect(MqttService java:329)_x000D_
        at org eclipse paho android service MqttAndroidClient doConnect(MqttAndroidClient java:467)_x000D_
        at org eclipse paho android service MqttAndroidClient access 200(MqttAndroidClient java:76)_x000D_
        at org eclipse paho android service MqttAndroidClient MyServiceConnection onServiceConnected(MqttAndroidClient java:115)_x000D_
        at android app LoadedApk ServiceDispatcher doConnected(LoadedApk java:1818)_x000D_
        at android app LoadedApk ServiceDispatcher RunConnection run(LoadedApk java:1847)_x000D_
        at android os Handler handleCallback(Handler java:808)_x000D_
        at android os Handler dispatchMessage(Handler java:101)_x000D_
        at android os Looper loop(Looper java:166)_x000D_
        at android app ActivityThread main(ActivityThread java:7428)_x000D_
        at java lang reflect Method invoke(Native Method)_x000D_
        at com android internal os Zygote MethodAndArgsCaller run(Zygote java:245)_x000D_
        at com android internal os ZygoteInit main(ZygoteInit java:921)_x000D_
</t>
  </si>
  <si>
    <t>apache-cordova-android-562</t>
  </si>
  <si>
    <t>Updated to 7.1.2 - android.os.DeadObjectException: Transaction failed on small parcel; remote process</t>
  </si>
  <si>
    <t>After updating to the latest Cordova Android (7 1 2) I ve received about 80 crash error reports  They all come from exactly Android 8 0 and they all throw this exact same error _x000D_
 java lang IllegalStateException: Failure reading AssistStructure data: android os DeadObjectException: Transaction failed on small parcel  remote process probably died _x000D_
_x000D_
I ve attached a full catlog below where I basically click some buttons in the app before it breaks  The app does not break in the browser  i ve also not received any errors from it s iOS counterpart and it s successfully working on every other version of Android  I ve tried following the error in Android Studio but it basically jumps right into the underlying Android system code  i ll keep trying _x000D_
_x000D_
I ve tried selectively pulling out each one of the cordova plugins i ve been using to see if any of them are causing this issue but haven t had any luck _x000D_
_x000D_
I use the following plugins and have ensured all of them are up to date  _x000D_
   _x000D_
     plugin name  cordova plugin whitelist  spec   1 3 3    _x000D_
     plugin name  cordova plugin camera  spec   4 0 2    _x000D_
     plugin name  cordova plugin file  spec   6 0 1    _x000D_
     plugin name  cordova plugin geolocation  spec   4 0 1    _x000D_
     plugin name  cordova plugin wkwebview engine  spec   1 1 4    _x000D_
     plugin name  cordova plugin statusbar  spec   2 4 1    _x000D_
     plugin name  cordova plugin network information  spec   2 0 1    _x000D_
     plugin name  cordova plugin splashscreen  spec   5 0 2    _x000D_
     engine name  android  spec   7 1 2    _x000D_
   _x000D_
_x000D_
 full catlog txt (https:  github com apache cordova android files 2586191 full catlog txt)</t>
  </si>
  <si>
    <t>dimagi-commcare-android-2051</t>
  </si>
  <si>
    <t>Fix for Session expiration Crashes</t>
  </si>
  <si>
    <t xml:space="preserve">  Catches all unhandled SessionExpiration crashes in ExceptionHandler and redirects to login_x000D_
  Make  onResumeSessionSafe  actually session safe by catching SessionUnavaialableException</t>
  </si>
  <si>
    <t>Intelehealth-Android-Mobile-Client-591</t>
  </si>
  <si>
    <t>Backup Cloud crash</t>
  </si>
  <si>
    <t xml:space="preserve">App crashing on  BackupCloud java line 342 _x000D_
Originator  Ambuj Pandey_x000D_
Status  OPEN_x000D_
Checked from  Nov 14 2018_x000D_
Bug type  crash_x000D_
_x000D_
  Environment:  _x000D_
Mobile Brand  Motorola_x000D_
Model  Moto E(4)_x000D_
OS Version  7 1 1_x000D_
App Version  1 4 _x000D_
crash date  Nov 11th  2018_x000D_
Number of Crashes: 1_x000D_
User Affected  1_x000D_
_x000D_
  Summary:   Fatal Exception: java lang IllegalArgumentException_x000D_
View DecorView f7b37a8 Restoring data from cloud(Forced)  not attached to window manager_x000D_
_x000D_
  Description:    io intelehealth client activities home activity BackupCloud 4 done (BackupCloud java:342)_x000D_
  Log:    Parameters_x000D_
firebase screen class: SettingsActivity_x000D_
_x000D_
URL:  click here (https:  console firebase google com u 0 project mobile crashlytics crashlytics app android:io intelehealth client issues 5be81800f8b88c2963773af0 time last seven days sessionId 5BE8149700BD00014FBFAE6442D00968 DNE 0 v2) Refer to  505  504 </t>
  </si>
  <si>
    <t>opentok-opentok-react-native-198</t>
  </si>
  <si>
    <t>OpenTok seems to crash when videoSource is set to "screen"</t>
  </si>
  <si>
    <t xml:space="preserve">  Current behavior  _x000D_
OpenTok OTPublisher seems to crash  freeze after interacting with the screen and  videoSource  is set to  screen   This seems to affect the app itself as well to a certain extent as my Back button no longer works as well (however some element on the screen seems to still be working) _x000D_
_x000D_
  Steps to reproduce  _x000D_
1  Set the OTPublisher s videoSource to  screen _x000D_
2  Have a webview image that covers the screen so that OTPublisher will show something as well_x000D_
3  Run the project on Android device_x000D_
4  Interact with  the webview like scrolling up and down_x000D_
5  The image in OTPublisher will stop moving after a few movements_x000D_
_x000D_
  Other Info  _x000D_
I ve tried digging around a bit (by using Log) and from what I can tell the crash might be happening in OTScreenCapturer java in the line_x000D_
_x000D_
 contentView draw(canvas)  _x000D_
_x000D_
as the line before it was shown in Log but the line after isn t _x000D_
_x000D_
Device tested:_x000D_
1  Lenovo (Tab) YT3 850M  Android 5 1 1  API 22_x000D_
2  Xiaomi Redmi Note 4  Android 6 0  API 23_x000D_
</t>
  </si>
  <si>
    <t>awslabs-aws-mobile-appsync-sdk-android-60</t>
  </si>
  <si>
    <t>App crashes when app is running</t>
  </si>
  <si>
    <t xml:space="preserve">App crashes when app is running especially when app come into foreground from background  I guess that the problem lies in the cached database  The cursor is not closed when executing the database operation  And here is the snapshot of the crash log _x000D_
  488499a5 d644 4b8c 81fb 8a63693831fd (https:  user images githubusercontent com 23306480 48527878 8d350c00 e8c7 11e8 9c89 bb5e04d578d2 png)_x000D_
</t>
  </si>
  <si>
    <t>alexweininger-android-catan-181</t>
  </si>
  <si>
    <t>Crash when trading resources</t>
  </si>
  <si>
    <t xml:space="preserve">I had no resources to give but tried to get a resource and the game crashed  Doesn t always seem to happen </t>
  </si>
  <si>
    <t>Intelehealth-Android-Mobile-Client-589</t>
  </si>
  <si>
    <t>Crash while uploading visit</t>
  </si>
  <si>
    <t>App crashing on  UpdateVisitService java line 570 _x000D_
Originator  Ambuj Pandey_x000D_
Status  OPEN_x000D_
Checked from  Nov 14 2018_x000D_
Bug type  crash_x000D_
_x000D_
Environment:_x000D_
Mobile Brand  Lenovo_x000D_
Model  Lenovo TB3 710I_x000D_
OS Version  5 1_x000D_
App Version  1 4 _x000D_
crash date start Nov 13th  2018_x000D_
Number of Crashes: 4_x000D_
User Affected  1_x000D_
_x000D_
  Summary:   Fatal Exception: java lang NullPointerException_x000D_
Attempt to invoke virtual method  int io intelehealth client objects WebResponse getResponseCode()  on a null object reference_x000D_
_x000D_
_x000D_
  Description:  io intelehealth client services UpdateVisitService updateObs (UpdateVisitService java:570)_x000D_
io intelehealth client services UpdateVisitService onHandleIntent (UpdateVisitService java:162)_x000D_
_x000D_
  LOG Parameter:  _x000D_
firebase screen class:  HomeActivity_x000D_
firebase screen class:  ActivePatientActivity_x000D_
firebase screen class:  PatientDetailActivity_x000D_
firebase screen class:  VisitSummaryActivity_x000D_
_x000D_
URL:  click here (https:  console firebase google com u 0 project mobile crashlytics crashlytics app android:io intelehealth client issues 5beb808df8b88c2963d3a4a9 time last seven days sessionId 5BEAC9C501E900012D414792010329AE DNE 0 v2)</t>
  </si>
  <si>
    <t>Intelehealth-Android-Mobile-Client-588</t>
  </si>
  <si>
    <t>DelayedJobQueueProvider  line 192</t>
  </si>
  <si>
    <t xml:space="preserve">App crashing on  DelayedJobQueueProvider java line 192 _x000D_
Originator  Ambuj Pandey_x000D_
Status  OPEN_x000D_
Checked from  Nov 14 2018_x000D_
Bug type  crash_x000D_
_x000D_
  Environment:  _x000D_
Mobile Brand  Huawei_x000D_
Model  ATU L22 MotoE(4) Plus _x000D_
OS Version  8 0 0 7 1 1_x000D_
App Version  1 4 1 3 3_x000D_
crash date start  Nov 10th    Sept 3rd 2018_x000D_
Number of Crashes: 2_x000D_
User Affected  2_x000D_
_x000D_
  Summary:   Fatal Exception: java lang IllegalArgumentException            Empty values_x000D_
_x000D_
  Description:   io intelehealth client database DelayedJobQueueProvider update (DelayedJobQueueProvider java:192)_x000D_
io intelehealth client services ClientService addJobToQueue (ClientService java:1503)_x000D_
io intelehealth client services ClientService onHandleIntent (ClientService java:201)_x000D_
_x000D_
  URL:    click here (https:  console firebase google com u 0 project mobile crashlytics crashlytics app android:io intelehealth client issues 5adf306a36c7b23527ecd1a7 time last seven days sessionId 5B8C9CC403E4000128FC2E931410C17A DNE 0 v2)  Same issue as  516 </t>
  </si>
  <si>
    <t>Intelehealth-Android-Mobile-Client-587</t>
  </si>
  <si>
    <t>PhysicalExamActivity.java line 333</t>
  </si>
  <si>
    <t>App crashing on  PhysicalExamActivity java line 333 _x000D_
Originator  Ambuj Pandey_x000D_
Status  OPEN_x000D_
Checked from  Nov 14 2018_x000D_
Bug type  crash_x000D_
_x000D_
  Environment:  _x000D_
Mobile Brand  Huawai_x000D_
Model  ATU L22_x000D_
OS Version  8 0_x000D_
App Version  1 4 _x000D_
crash date start Nov 14th  2018_x000D_
Number of Crashes: 1_x000D_
User Affected  1_x000D_
_x000D_
  Summary:   Fatal Exception: java lang RuntimeException_x000D_
_x000D_
  Description:   Unable to start activity ComponentInfo io intelehealth client io intelehealth client activities physical exam activity PhysicalExamActivity : java lang NullPointerException: Attempt to invoke virtual method  io intelehealth client node Node io intelehealth client node PhysicalExam getExamNode(int)  on a null object reference_x000D_
_x000D_
  Caused by   java lang NullPointerException   Attempt to invoke virtual method  io intelehealth client node Node io intelehealth client node PhysicalExam getExamNode(int)  on a null object reference_x000D_
  io intelehealth client activities physical exam activity PhysicalExamActivity PlaceholderFragment onCreateView (PhysicalExamActivity java:333)  _x000D_
_x000D_
URL:  click here (https:  console firebase google com u 0 project mobile crashlytics crashlytics app android:io intelehealth client issues 5beba286f8b88c2963d6bdd0 time last seven days sessionId 5BEBA280021600017E715B521CC8D650 DNE 0 v2)</t>
  </si>
  <si>
    <t>agersant-polaris-android-14</t>
  </si>
  <si>
    <t>Once, the app crashed after clearing the playback queue</t>
  </si>
  <si>
    <t xml:space="preserve">After a cold boot  I immediately went to the queue tab and cleared the playback queue  App crashed _x000D_
_x000D_
Seen on 0 6 1 </t>
  </si>
  <si>
    <t>niclabs-adkintunmobile-androidclient-198</t>
  </si>
  <si>
    <t>Report.java line 3530</t>
  </si>
  <si>
    <t xml:space="preserve">     in cl niclabs adkintunmobile data Report com google gson Gson toJson
  Number of crashes: 1
  Impacted devices: 1
There s a lot more information about this crash on crashlytics com:
 https:  fabric io niclabs android apps cl niclabs adkintunmobile issues 5beb9fc7f8b88c2963d681b4 utm medium service hooks github utm source issue impact (https:  fabric io niclabs android apps cl niclabs adkintunmobile issues 5beb9fc7f8b88c2963d681b4 utm medium service hooks github utm source issue impact)</t>
  </si>
  <si>
    <t>SwengGolfTeam-Sweng_Golf-116</t>
  </si>
  <si>
    <t>Fix a bug in ShowOfferActivity</t>
  </si>
  <si>
    <t xml:space="preserve">The application was crashing if we added a comment of length   4  Now it shows an error message and the application doesn t crash </t>
  </si>
  <si>
    <t>onaio-kujaku-190</t>
  </si>
  <si>
    <t>GeoWidget Sample App crashes when you touch a point while the cards are moving</t>
  </si>
  <si>
    <t xml:space="preserve">The GeoWidget Sample App engages some type of animation when users select either a point or a card  This animation changes the info window  If a user touches another point while the animation is processing  the GeoWidget Sample App crashes _x000D_
_x000D_
    Recreation Steps:_x000D_
  Open the Sample App Map view_x000D_
  Touch a point on the map and the info windows will show up _x000D_
  Touch another point on the map and quickly touch a third before the animation stops _x000D_
  The app crashes _x000D_
_x000D_
    Log:_x000D_
   _x000D_
11 13 16:39:08 835  6008  6008 D InfoWindowViewHolder: Info window unselected animation started_x000D_
11 13 16:39:08 860  6008  6008 D InfoWindowViewHolder: Info window unselected animation started_x000D_
11 13 16:39:08 882  6008  6008 D InfoWindowViewHolder: Info window unselected animation started_x000D_
11 13 16:39:08 893  6008  6008 D InfoWindowViewHolder: Info window selected animation started_x000D_
11 13 16:39:09 109  6008  6008 D InfoWindowViewHolder: Info window selected animation started_x000D_
11 13 16:39:09 136  6008  6008 D InfoWindowViewHolder: Info window unselected animation started_x000D_
11 13 16:39:09 136  6008  6008 D AndroidRuntime: Shutting down VM_x000D_
11 13 16:39:09 150  6008  6008 E AndroidRuntime: FATAL EXCEPTION: main_x000D_
11 13 16:39:09 150  6008  6008 E AndroidRuntime: Process: io ona kujaku sample  PID: 6008_x000D_
11 13 16:39:09 150  6008  6008 E AndroidRuntime: java lang IndexOutOfBoundsException: Index: 16  Size: 16_x000D_
11 13 16:39:09 150  6008  6008 E AndroidRuntime:        at java util ArrayList get(ArrayList java:411)_x000D_
11 13 16:39:09 150  6008  6008 E AndroidRuntime:        at io ona kujaku adapters InfoWindowAdapter focusOnPosition(InfoWindowAdapter java:108)_x000D_
11 13 16:39:09 150  6008  6008 E AndroidRuntime:        at io ona kujaku activities MapActivity scrollToInfoWindowPosition(MapActivity java:496)_x000D_
11 13 16:39:09 150  6008  6008 E AndroidRuntime:        at io ona kujaku activities MapActivity showInfoWindowListAndScrollToPosition(MapActivity java:490)_x000D_
11 13 16:39:09 150  6008  6008 E AndroidRuntime:        at io ona kujaku activities MapActivity focusOnFeature(MapActivity java:594)_x000D_
11 13 16:39:09 150  6008  6008 E AndroidRuntime:        at io ona kujaku activities MapActivity focusOnFeature(MapActivity java:609)_x000D_
11 13 16:39:09 150  6008  6008 E AndroidRuntime:        at io ona kujaku activities MapActivity onMapClick(MapActivity java:464)_x000D_
11 13 16:39:09 150  6008  6008 E AndroidRuntime:        at com mapbox mapboxsdk maps MapGestureDetector notifyOnMapClickListeners(MapGestureDetector java:908)_x000D_
11 13 16:39:09 150  6008  6008 E AndroidRuntime:        at com mapbox mapboxsdk maps MapGestureDetector StandardGestureListener onSingleTapConfirmed(MapGestureDetector java:343)_x000D_
11 13 16:39:09 150  6008  6008 E AndroidRuntime:        at com mapbox android gestures StandardGestureDetector 1 onSingleTapConfirmed(StandardGestureDetector java:81)_x000D_
11 13 16:39:09 150  6008  6008 E AndroidRuntime:        at android view GestureDetector GestureHandler handleMessage(GestureDetector java:300)_x000D_
11 13 16:39:09 150  6008  6008 E AndroidRuntime:        at android os Handler dispatchMessage(Handler java:102)_x000D_
11 13 16:39:09 150  6008  6008 E AndroidRuntime:        at android os Looper loop(Looper java:154)_x000D_
11 13 16:39:09 150  6008  6008 E AndroidRuntime:        at android app ActivityThread main(ActivityThread java:6119)_x000D_
11 13 16:39:09 150  6008  6008 E AndroidRuntime:        at java lang reflect Method invoke(Native Method)_x000D_
11 13 16:39:09 150  6008  6008 E AndroidRuntime:        at com android internal os ZygoteInit MethodAndArgsCaller run(ZygoteInit java:886)_x000D_
11 13 16:39:09 150  6008  6008 E AndroidRuntime:        at com android internal os ZygoteInit main(ZygoteInit java:776)_x000D_
11 13 16:39:09 152  1158  2933 W ActivityManager:   Force finishing activity io ona kujaku sample io ona kujaku activities MapActivity_x000D_
11 13 16:39:09 157  1158  2933 D ActivityTrigger: ActivityTrigger activityPauseTrigger_x000D_
   </t>
  </si>
  <si>
    <t>geopaparazzi-geopaparazzi-572</t>
  </si>
  <si>
    <t>From ACRA: transaction issue</t>
  </si>
  <si>
    <t xml:space="preserve">   _x000D_
STACK TRACE java lang IllegalStateException: Cannot perform this operation because the transaction has already been marked successful   The only thing you can do now is call endTransaction() _x000D_
at android database sqlite SQLiteSession throwIfTransactionMarkedSuccessful(SQLiteSession java:937)_x000D_
at android database sqlite SQLiteSession beginTransaction(SQLiteSession java:310)_x000D_
at android database sqlite SQLiteDatabase beginTransaction(SQLiteDatabase java:532)_x000D_
at android database sqlite SQLiteDatabase beginTransaction(SQLiteDatabase java:443)_x000D_
at eu geopaparazzi core database DaoGpsLog setLogsVisibility(DaoGpsLog java:663)_x000D_
at eu geopaparazzi core ui activities GpsDataListActivity onOptionsItemSelected(GpsDataListActivity java:363)_x000D_
at android app Activity onMenuItemSelected(Activity java:3696)_x000D_
at android support v4 app FragmentActivity onMenuItemSelected(FragmentActivity java:407)_x000D_
at android support v7 app AppCompatActivity onMenuItemSelected(AppCompatActivity java:195)_x000D_
at android support v7 view WindowCallbackWrapper onMenuItemSelected(WindowCallbackWrapper java:108)_x000D_
at android support v7 view WindowCallbackWrapper onMenuItemSelected(WindowCallbackWrapper java:108)_x000D_
at android support v7 app ToolbarActionBar 2 onMenuItemClick(ToolbarActionBar java:63)_x000D_
at android support v7 widget Toolbar 1 onMenuItemClick(Toolbar java:203)_x000D_
at android support v7 widget ActionMenuView MenuBuilderCallback onMenuItemSelected(ActionMenuView java:780)_x000D_
at android support v7 view menu MenuBuilder dispatchMenuItemSelected(MenuBuilder java:822)_x000D_
at android support v7 view menu MenuItemImpl invoke(MenuItemImpl java:171)_x000D_
at android support v7 view menu MenuBuilder performItemAction(MenuBuilder java:973)_x000D_
at android support v7 view menu MenuBuilder performItemAction(MenuBuilder java:963)_x000D_
at android support v7 widget ActionMenuView invokeItem(ActionMenuView java:624)_x000D_
at android support v7 view menu ActionMenuItemView onClick(ActionMenuItemView java:150)_x000D_
at android view View performClick(View java:6291)_x000D_
at android view View PerformClick run(View java:24931)_x000D_
at android os Handler handleCallback(Handler java:808)_x000D_
at android os Handler dispatchMessage(Handler java:101)_x000D_
at android os Looper loop(Looper java:166)_x000D_
at android app ActivityThread main(ActivityThread java:7425)_x000D_
at java lang reflect Method invoke(Native Method)_x000D_
at com android internal os Zygote MethodAndArgsCaller run(Zygote java:245)_x000D_
at com android internal os ZygoteInit main(ZygoteInit java:921)_x000D_
_x000D_
LOGCAT           beginning of main_x000D_
          beginning of system_x000D_
          beginning of crash_x000D_
CUSTOM DATA _x000D_
APP VERSION CODE 92_x000D_
APP VERSION NAME 5 6 2_x000D_
PHONE MODEL VTR L09_x000D_
ANDROID VERSION 8 0 0_x000D_
   </t>
  </si>
  <si>
    <t>geopaparazzi-geopaparazzi-570</t>
  </si>
  <si>
    <t>From ACRA: OOM</t>
  </si>
  <si>
    <t xml:space="preserve">   _x000D_
APP VERSION NAME 5 6 1_x000D_
STACK TRACE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java:1162)_x000D_
at java util concurrent ThreadPoolExecutor Worker run(ThreadPoolExecutor java:636)_x000D_
at java lang Thread run(Thread java:764)_x000D_
Caused by: java lang OutOfMemoryError: Failed to allocate a 5136 byte allocation with 3784 free bytes and 3KB until OOM  max allowed footprint 536870912  growth limit 536870912_x000D_
at java util Arrays copyOf(Arrays java:3260)_x000D_
at java lang AbstractStringBuilder ensureCapacityInternal(AbstractStringBuilder java:125)_x000D_
at java lang AbstractStringBuilder append(AbstractStringBuilder java:605)_x000D_
at java lang StringBuffer append(StringBuffer java:367)_x000D_
at java io BufferedReader readLine(BufferedReader java:381)_x000D_
at java io BufferedReader readLine(BufferedReader java:400)_x000D_
at eu geopaparazzi library util FileUtilities readfileToList(FileUtilities java:150)_x000D_
at eu geopaparazzi mapsforge databasehandlers core CustomTileDownloader  init (CustomTileDownloader java:147)_x000D_
at eu geopaparazzi mapsforge databasehandlers CustomTileDatabaseHandler open(CustomTileDatabaseHandler java:130)_x000D_
at eu geopaparazzi mapsforge databasehandlers CustomTileDatabaseHandler  init (CustomTileDatabaseHandler java:59)_x000D_
at eu geopaparazzi mapsforge databasehandlers CustomTileDatabaseHandler getHandlerForFile(CustomTileDatabaseHandler java:75)_x000D_
at eu geopaparazzi mapsforge BaseMapSourcesManager collectTablesFromFile(BaseMapSourcesManager java:267)_x000D_
at eu geopaparazzi mapsforge BaseMapSourcesManager addBaseMapsFromFile(BaseMapSourcesManager java:229)_x000D_
at eu geopaparazzi mapsforge sourcesview SourcesTreeListActivity 2 doBackgroundWork(SourcesTreeListActivity java:254)_x000D_
at eu geopaparazzi library util StringAsyncTask doInBackground(StringAsyncTask java:118)_x000D_
at eu geopaparazzi library util StringAsyncTask doInBackground(StringAsyncTask java:61)_x000D_
at android os AsyncTask 2 call(AsyncTask java:333)_x000D_
at java util concurrent FutureTask run(FutureTask java:266)_x000D_
    4 more_x000D_
java lang OutOfMemoryError: Failed to allocate a 5136 byte allocation with 3784 free bytes and 3KB until OOM  max allowed footprint 536870912  growth limit 536870912_x000D_
at java util Arrays copyOf(Arrays java:3260)_x000D_
at java lang AbstractStringBuilder ensureCapacityInternal(AbstractStringBuilder java:125)_x000D_
at java lang AbstractStringBuilder append(AbstractStringBuilder java:605)_x000D_
at java lang StringBuffer append(StringBuffer java:367)_x000D_
at java io BufferedReader readLine(BufferedReader java:381)_x000D_
at java io BufferedReader readLine(BufferedReader java:400)_x000D_
at eu geopaparazzi library util FileUtilities readfileToList(FileUtilities java:150)_x000D_
at eu geopaparazzi mapsforge databasehandlers core CustomTileDownloader  init (CustomTileDownloader java:147)_x000D_
at eu geopaparazzi mapsforge databasehandlers CustomTileDatabaseHandler open(CustomTileDatabaseHandler java:130)_x000D_
at eu geopaparazzi mapsforge databasehandlers CustomTileDatabaseHandler  init (CustomTileDatabaseHandler java:59)_x000D_
at eu geopaparazzi mapsforge databasehandlers CustomTileDatabaseHandler getHandlerForFile(CustomTileDatabaseHandler java:75)_x000D_
at eu geopaparazzi mapsforge BaseMapSourcesManager collectTablesFromFile(BaseMapSourcesManager java:267)_x000D_
at eu geopaparazzi mapsforge BaseMapSourcesManager addBaseMapsFromFile(BaseMapSourcesManager java:229)_x000D_
at eu geopaparazzi mapsforge sourcesview SourcesTreeListActivity 2 doBackgroundWork(SourcesTreeListActivity java:254)_x000D_
at eu geopaparazzi library util StringAsyncTask doInBackground(StringAsyncTask java:118)_x000D_
at eu geopaparazzi library util StringAsyncTask doInBackground(StringAsyncTask java:61)_x000D_
at android os AsyncTask 2 call(AsyncTask java:333)_x000D_
at java util concurrent FutureTask run(FutureTask java:266)_x000D_
at android os AsyncTask SerialExecutor 1 run(AsyncTask java:245)_x000D_
at java util concurrent ThreadPoolExecutor runWorker(ThreadPoolExecutor java:1162)_x000D_
at java util concurrent ThreadPoolExecutor Worker run(ThreadPoolExecutor java:636)_x000D_
at java lang Thread run(Thread java:764)_x000D_
_x000D_
PHONE MODEL vivo 1802_x000D_
ANDROID VERSION 8 1 0_x000D_
LOGCAT           beginning of system_x000D_
          beginning of main_x000D_
          beginning of crash_x000D_
APP VERSION CODE 91_x000D_
CUSTOM DATA _x000D_
   </t>
  </si>
  <si>
    <t>Haptic-Apps-Slide-2897</t>
  </si>
  <si>
    <t>[Bug] Restore from file causes crash.</t>
  </si>
  <si>
    <t xml:space="preserve">Slide version: 5 9 alpha2_x000D_
Android version: 6 0 1_x000D_
Model of Phone: Samsung Galaxy A300_x000D_
Logged in: No_x000D_
_x000D_
When trying to resore settings from file Slide crashes  I will try and gather more info and include it here  _x000D_
I think this issue may be related to  2519 _x000D_
</t>
  </si>
  <si>
    <t>tanguyantoine-react-native-music-control-193</t>
  </si>
  <si>
    <t>Fixed Android 8.0+ service crash in background</t>
  </si>
  <si>
    <t xml:space="preserve">     What s this PR do _x000D_
Fix Android 8 0  crashes_x000D_
     Which issue(s) is it related to _x000D_
 191 _x000D_
     Screenshots (if appropriate)_x000D_
_x000D_
     How to test:_x000D_
Now music controls in background works and do not crash</t>
  </si>
  <si>
    <t>react-native-svg-react-native-svg-840</t>
  </si>
  <si>
    <t>Crash when using Pattern</t>
  </si>
  <si>
    <t xml:space="preserve">I m getting hard crash when trying to use Patterns  Testing with react native svg 8 0 8 and iOS simulator outputs to XCode console just  libc  abi dylib: terminating with uncaught exception of type NSException  _x000D_
_x000D_
Simple test case which always crashes:_x000D_
_x000D_
   _x000D_
const STRIPE WIDTH   1   7 _x000D_
const VIEWBOX WIDTH   140 _x000D_
const VIEWBOX HEIGHT   140 _x000D_
return (_x000D_
     View style    height: 64  width: 64    _x000D_
         Svg_x000D_
            width  100  _x000D_
            height  100  _x000D_
            viewBox   0 0   VIEWBOX WIDTH    VIEWBOX HEIGHT   _x000D_
         _x000D_
             Defs _x000D_
                 Pattern_x000D_
                    id  Stripes _x000D_
                    width  STRIPE WIDTH   2 _x000D_
                    height  1 _x000D_
                    patternContentUnits  objectBoundingBox _x000D_
                 _x000D_
                     Rect_x000D_
                        x  0 _x000D_
                        y  0 _x000D_
                        height  1 _x000D_
                        width  STRIPE WIDTH _x000D_
                        fill   ffffff _x000D_
                      _x000D_
                     Rect_x000D_
                        x  STRIPE WIDTH _x000D_
                        y  0 _x000D_
                        height  1 _x000D_
                        width  STRIPE WIDTH _x000D_
                        fill   000000 _x000D_
                      _x000D_
                  Pattern _x000D_
              Defs _x000D_
             Circle_x000D_
                fill  url( Stripes) _x000D_
                cx  VIEWBOX WIDTH   2 _x000D_
                cy  VIEWBOX HEIGHT   2 _x000D_
                r  VIEWBOX HEIGHT   2 _x000D_
              _x000D_
          Svg _x000D_
      View _x000D_
) _x000D_
   </t>
  </si>
  <si>
    <t>m2049r-xmrwallet-468</t>
  </si>
  <si>
    <t>Crash when opening receive-only view of Ledger wallet</t>
  </si>
  <si>
    <t xml:space="preserve">Monerujo crashes when trying to access the receive only view of my Ledger Nano S wallet  with Ledger device NOT connected _x000D_
For a brief moment  before the app crashes  I can see the message  Communicating with Ledger   My understanding was that the receive only view shouldn t require the Ledger device to be connected  But in case it requires Ledger to be connected it should rather show me the toast message  Please (re)connect Ledger device    the message I see when trying to access the full send receive view of the wallet   instead of crashing _x000D_
When Ledger is connected I observe no issue  neither in receive only view nor in send receive view of the Ledger wallet _x000D_
_x000D_
System: Android 8 1 (LineageOS 15 1)_x000D_
Monerujo version: 1 9 0_x000D_
_x000D_
I can provide logcat of the crash if needed </t>
  </si>
  <si>
    <t>nextcloud-android-3257</t>
  </si>
  <si>
    <t>Android 9 unable to start app</t>
  </si>
  <si>
    <t>Nextcloud app crashes every time it is starting  No logging no error message _x000D_
_x000D_
Pixel 3 XL_x000D_
Android 9 November update</t>
  </si>
  <si>
    <t>EXALAB-AnLinux-App-21</t>
  </si>
  <si>
    <t>Firefox Quantum Issue</t>
  </si>
  <si>
    <t xml:space="preserve">Currently when running Apt Based distro  running Firefox Quantum would result in black screen  then crash  Currently best alternative browser is Midori _x000D_
_x000D_
For anyone who have overcome this issue in chroot environment on android before  please offer any suggestion or method to resolve this issue  thanks </t>
  </si>
  <si>
    <t>nextcloud-android-3255</t>
  </si>
  <si>
    <t>Crash when switching to grid view</t>
  </si>
  <si>
    <t xml:space="preserve">    Actual behaviour_x000D_
Switching to grid view in any folder crashes the app  The folder cannot be opened without crash after that _x000D_
_x000D_
    Expected behaviour_x000D_
Switch to grid view and don t crash _x000D_
 _x000D_
    Steps to reproduce_x000D_
1  Go to any folder _x000D_
2  Select grid view _x000D_
_x000D_
    Similar issues_x000D_
It looks like similar issues were reported before ( 2471   2668)  But there is no solution other than reinstalling the app _x000D_
_x000D_
    Environment data_x000D_
Android version:_x000D_
8 1 0_x000D_
Nextcloud app version:_x000D_
3 3 2_x000D_
_x000D_
    Logs_x000D_
   _x000D_
FATAL EXCEPTION: main_x000D_
Process: com nextcloud client  PID: 32059_x000D_
java lang ArrayIndexOutOfBoundsException: length 0  index 0_x000D_
	at android support v7 widget GridLayoutManager calculateItemBorders(GridLayoutManager java:324)_x000D_
	at android support v7 widget GridLayoutManager calculateItemBorders(GridLayoutManager java:309)_x000D_
	at android support v7 widget GridLayoutManager updateMeasurements(GridLayoutManager java:280)_x000D_
	at android support v7 widget GridLayoutManager onAnchorReady(GridLayoutManager java:355)_x000D_
	at android support v7 widget LinearLayoutManager onLayoutChildren(LinearLayoutManager java:581)_x000D_
	at android support v7 widget GridLayoutManager onLayoutChildren(GridLayoutManager java:170)_x000D_
	at android support v7 widget RecyclerView dispatchLayoutStep2(RecyclerView java:3812)_x000D_
	at android support v7 widget RecyclerView dispatchLayout(RecyclerView java:3529)_x000D_
	at android support v7 widget RecyclerView onLayout(RecyclerView java:4082)_x000D_
	at android view View layout(View java:19659)_x000D_
	at android view ViewGroup layout(ViewGroup java:6075)_x000D_
	at android support v4 widget SwipeRefreshLayout onLayout(SwipeRefreshLayout java:606)_x000D_
	at android view View layout(View java:19659)_x000D_
	at android view ViewGroup layout(ViewGroup java:6075)_x000D_
	at android support design widget CoordinatorLayout layoutChild(CoordinatorLayout java:1191)_x000D_
	at android support design widget CoordinatorLayout onLayoutChild(CoordinatorLayout java:876)_x000D_
	at android support design widget CoordinatorLayout onLayout(CoordinatorLayout java:895)_x000D_
	at android view View layout(View java:19659)_x000D_
	at android view ViewGroup layout(ViewGroup java:6075)_x000D_
	at android widget RelativeLayout onLayout(RelativeLayout java:1083)_x000D_
	at android view View layout(View java:19659)_x000D_
	at android view ViewGroup layout(ViewGroup java:6075)_x000D_
	at android widget FrameLayout layoutChildren(FrameLayout java:323)_x000D_
	at android widget FrameLayout onLayout(FrameLayout java:261)_x000D_
	at android view View layout(View java:19659)_x000D_
	at android view ViewGroup layout(ViewGroup java:6075)_x000D_
	at android widget LinearLayout setChildFrame(LinearLayout java:1791)_x000D_
	at android widget LinearLayout layoutHorizontal(LinearLayout java:1780)_x000D_
	at android widget LinearLayout onLayout(LinearLayout java:1546)_x000D_
	at android view View layout(View java:19659)_x000D_
	at android view ViewGroup layout(ViewGroup java:6075)_x000D_
	at android widget LinearLayout setChildFrame(LinearLayout java:1791)_x000D_
	at android widget LinearLayout layoutVertical(LinearLayout java:1635)_x000D_
	at android widget LinearLayout onLayout(LinearLayout java:1544)_x000D_
	at android view View layout(View java:19659)_x000D_
	at android view ViewGroup layout(ViewGroup java:6075)_x000D_
	at android support v4 widget DrawerLayout onLayout(DrawerLayout java:1171)_x000D_
	at android view View layout(View java:19659)_x000D_
	at android view ViewGroup layout(ViewGroup java:6075)_x000D_
	at android widget FrameLayout layoutChildren(FrameLayout java:323)_x000D_
	at android widget FrameLayout onLayout(FrameLayout java:261)_x000D_
	at android view View layout(View java:19659)_x000D_
	at android view ViewGroup layout(ViewGroup java:6075)_x000D_
	at android widget FrameLayout layoutChildren(FrameLayout java:323)_x000D_
	at android widget FrameLayout onLayout(FrameLayout java:261)_x000D_
	at android view View layout(View java:19659)_x000D_
	at android view ViewGroup layout(ViewGroup java:6075)_x000D_
	at android widget FrameLayout layoutChildren(FrameLayout java:323)_x000D_
	at android widget FrameLayout onLayout(FrameLayout java:261)_x000D_
	at android view View layout(View java:19659)_x000D_
	at android view ViewGroup layout(ViewGroup java:6075)_x000D_
	at android widget LinearLayout setChildFrame(LinearLayout java:1791)_x000D_
	at android widget LinearLayout layoutVertical(LinearLayout java:1635)_x000D_
	at android widget LinearLayout onLayout(LinearLayout java:1544)_x000D_
	at android view View layout(View java:19659)_x000D_
	at android view ViewGroup layout(ViewGroup java:6075)_x000D_
	at android widget FrameLayout layoutChildren(FrameLayout java:323)_x000D_
	at android widget FrameLayout onLayout(FrameLayout java:261)_x000D_
	at com android internal policy DecorView onLayout(DecorView java:761)_x000D_
   _x000D_
</t>
  </si>
  <si>
    <t>Calsign-APDE-58</t>
  </si>
  <si>
    <t>Crash and file deletion issue after renaming tab</t>
  </si>
  <si>
    <t xml:space="preserve"> Note: I m reporting this while I have a chance now  I will check the logs and add more info when I have a bit more time _x000D_
_x000D_
The best way to describe this issue right now is as a timeline:_x000D_
_x000D_
0  Editing a sketch on external SD with 3 tabs with the following names: avr emu  instructions  Phasor FullEmu  The sketch was copied from Windows so contain a lot of CR LF line endings _x000D_
1  Renamed first tab from avr emu to Jatme_x000D_
  x  Tab order did not reorganise to correct alphabetical order as expected   _x000D_
2  On trying to switch to another tab  APDE crashed _x000D_
3  Reopening it showed in the console a message something like  No value for Jatme pde     Tab order is still incorrect   _x000D_
4  Attempt to switch tabs again several times and crashing with the same message each time _x000D_
5  Same crash again one more time  this time the file Jatme pde was deleted from the device _x000D_
_x000D_
I can t immediately reproduce this with the same process but will keep testing _x000D_
_x000D_
Update: Didn t realize tab order is by creation time  so that part is irrelevant </t>
  </si>
  <si>
    <t>lottie-react-native-lottie-react-native-406</t>
  </si>
  <si>
    <t>Upgrade lottie-android to 2.8.0 - Invalid Layer Save Flag Issue</t>
  </si>
  <si>
    <t xml:space="preserve">    Description_x000D_
_x000D_
I m experiencing this issue_x000D_
https:  github com airbnb lottie android issues 802_x000D_
_x000D_
Looks like we re using 2 5 5_x000D_
https:  github com react community lottie react native blob d9f1c88c02c7a38cc81d18009585c07942f387b4 src android build gradle L30_x000D_
_x000D_
Which has the following line that causes some issues with newer versions of Android_x000D_
https:  github com airbnb lottie android blob 95f07d18ba24b36c114ecdc1d7274971ad490172 lottie src main java com airbnb lottie model layer BaseLayer java L367_x000D_
_x000D_
_x000D_
    Steps to Reproduce_x000D_
_x000D_
Follow the step in the associated ticket _x000D_
_x000D_
  Expected behavior:  _x000D_
_x000D_
The animation should work_x000D_
_x000D_
  Actual behavior:  _x000D_
_x000D_
The animation causes the app to crash_x000D_
_x000D_
    Versions_x000D_
_x000D_
2 5  _x000D_
_x000D_
You can get this information from executing  npm version  _x000D_
</t>
  </si>
  <si>
    <t>Telegram-FOSS-Team-Telegram-FOSS-275</t>
  </si>
  <si>
    <t>Crash with multiple live locations shared in one chat</t>
  </si>
  <si>
    <t>Normal scenario: a person shares his live location in a chat  Dynamic map image with marker appears in this chat  Tapping on this image shows slippy map with person position _x000D_
_x000D_
Steps to reproduce:_x000D_
  A person   and   his interlocutor share their live location simultaneously_x000D_
  Two separate map images are visible in chat_x000D_
  Tap on either of this map images  App crashes (instead of showing slippy map with two markers)_x000D_
_x000D_
Here is what appears in log:_x000D_
   _x000D_
   _x000D_
W View    ( 9958): requestLayout() improperly called by org telegram ui Components RecyclerListView a6aab6a0 VFED           ID 0 0 720 1183  during layout: running second layout pass_x000D_
W View    ( 9958): requestLayout() improperly called by android widget FrameLayout a6aa8288 V E            ID 0 0 720 1183  during layout: running second layout pass_x000D_
D AndroidRuntime( 9958): Shutting down VM_x000D_
W dalvikvm( 9958): threadid 1: thread exiting with uncaught exception (group 0xa589fba8)_x000D_
E AndroidRuntime( 9958): FATAL EXCEPTION: main_x000D_
E AndroidRuntime( 9958): Process: org telegram messenger  PID: 9958_x000D_
E AndroidRuntime( 9958): java lang IllegalArgumentException: north must be in   85 05112877980659 85 05112877980659 _x000D_
E AndroidRuntime( 9958): 	at org osmdroid util BoundingBox set(BoundingBox java:67)_x000D_
E AndroidRuntime( 9958): 	at org osmdroid views Projection refresh(Projection java:649)_x000D_
E AndroidRuntime( 9958): 	at org osmdroid views Projection  init (Projection java:99)_x000D_
E AndroidRuntime( 9958): 	at org osmdroid views Projection  init (Projection java:65)_x000D_
E AndroidRuntime( 9958): 	at org osmdroid views MapView getProjection(MapView java:347)_x000D_
E AndroidRuntime( 9958): 	at org osmdroid views MapView dispatchDraw(MapView java:1162)_x000D_
E AndroidRuntime( 9958): 	at android view View getDisplayList(View java:13381)_x000D_
E AndroidRuntime( 9958): 	at android view View getDisplayList(View java:13428)_x000D_
E AndroidRuntime( 9958): 	at android view View draw(View java:14206)_x000D_
E AndroidRuntime( 9958): 	at android view ViewGroup drawChild(ViewGroup java:3103)_x000D_
E AndroidRuntime( 9958): 	at android view ViewGroup dispatchDraw(ViewGroup java:2940)_x000D_
E AndroidRuntime( 9958): 	at android view View draw(View java:14492)_x000D_
E AndroidRuntime( 9958): 	at android widget FrameLayout draw(FrameLayout java:472)_x000D_
E AndroidRuntime( 9958): 	at android view View getDisplayList(View java:13386)_x000D_
E AndroidRuntime( 9958): 	at android view View getDisplayList(View java:13428)_x000D_
E AndroidRuntime( 9958): 	at android view View draw(View java:14206)_x000D_
E AndroidRuntime( 9958): 	at android view ViewGroup drawChild(ViewGroup java:3103)_x000D_
E AndroidRuntime( 9958): 	at android view ViewGroup dispatchDraw(ViewGroup java:2940)_x000D_
E AndroidRuntime( 9958): 	at android view View draw(View java:14492)_x000D_
E AndroidRuntime( 9958): 	at android widget FrameLayout draw(FrameLayout java:472)_x000D_
E AndroidRuntime( 9958): 	at android view View getDisplayList(View java:13386)_x000D_
E AndroidRuntime( 9958): 	at android view View getDisplayList(View java:13428)_x000D_
E AndroidRuntime( 9958): 	at android view View draw(View java:14206)_x000D_
E AndroidRuntime( 9958): 	at android view ViewGroup drawChild(ViewGroup java:3103)_x000D_
E AndroidRuntime( 9958): 	at org telegram ui ActionBar ActionBarLayout LinearLayoutContainer drawChild(ActionBarLayout java:89)_x000D_
E AndroidRuntime( 9958): 	at android view ViewGroup dispatchDraw(ViewGroup java:2940)_x000D_
E AndroidRuntime( 9958): 	at android view View getDisplayList(View java:13381)_x000D_
E AndroidRuntime( 9958): 	at android view View getDisplayList(View java:13428)_x000D_
E AndroidRuntime( 9958): 	at android view View draw(View java:14206)_x000D_
E AndroidRuntime( 9958): 	at android view ViewGroup drawChild(ViewGroup java:3103)_x000D_
E AndroidRuntime( 9958): 	at org telegram ui ActionBar ActionBarLayout drawChild(ActionBarLayout java:342)_x000D_
E AndroidRuntime( 9958): 	at android view ViewGroup dispatchDraw(ViewGroup java:2940)_x000D_
E AndroidRuntime( 9958): 	at android view View getDisplayList(View java:13381)_x000D_
E AndroidRuntime( 9958): 	at android view View getDisplayList(View java:13428)_x000D_
E AndroidRuntime( 9958): 	at android view View draw(View java:14206)_x000D_
E AndroidRuntime( 9958): 	at android view ViewGroup drawChild(ViewGroup java:3103)_x000D_
E AndroidRuntime( 9958): 	at org telegram ui ActionBar DrawerLayoutContainer drawChild(DrawerLayoutContainer java:492)_x000D_
E AndroidRuntime( 9958): 	at android view ViewGroup dispatchDraw(ViewGroup java:2940)_x000D_
E AndroidRuntime( 9958): 	at android view View getDisplayList(View java:13381)_x000D_
E AndroidRuntime( 9958): 	at android view View getDisplayList(View java:13428)_x000D_
E AndroidRuntime( 9958): 	at android view View draw(View java:14206)_x000D_
E AndroidRuntime( 9958): 	at android view ViewGroup drawChild(ViewGroup java:3103)_x000D_
E AndroidRuntime( 9958): 	at android view ViewGroup dispatchDraw(ViewGroup java:2940)_x000D_
E AndroidRuntime( 9958): 	at android view View getDisplayList(View java:13381)_x000D_
E AndroidRuntime( 9958): 	at android view View getDisplayList(View java:13428)_x000D_
E AndroidRuntime( 9958): 	at android view View draw(View java:14206)_x000D_
E AndroidRuntime( 9958): 	at android view ViewGroup drawChild(ViewGroup java:3103)_x000D_
E AndroidRuntime( 9958): 	at android view ViewGroup dispatchDraw(ViewGroup java:2940)_x000D_
E AndroidRuntime( 9958): 	at android view View getDisplayList(View java:13381)_x000D_
E AndroidRuntime( 9958): 	at android view View getDisplayList(View java:13428)_x000D_
E AndroidRuntime( 9958): 	at android view View draw(View java:14206)_x000D_
E AndroidRuntime( 9958): 	at android view ViewGroup drawChild(ViewGroup java:3103)_x000D_
E AndroidRuntime( 9958): 	at android view ViewGroup dispatchDraw(ViewGroup java:2940)_x000D_
E AndroidRuntime( 9958): 	at android view View draw(View java:14492)_x000D_
E AndroidRuntime( 9958): 	at android widget FrameLayout draw(FrameLayout java:472)_x000D_
E AndroidRuntime( 9958): 	at com android internal policy impl PhoneWindow DecorView draw(PhoneWindow java:2326)_x000D_
E AndroidRuntime( 9958): 	at android view View getDisplayList(View java:13386)_x000D_
E AndroidRuntime( 9958): 	at android view View getDisplayList(View java:13428)_x000D_
E AndroidRuntime( 9958): 	at android view HardwareRenderer GlRenderer buildDisplayList(HardwareRenderer java:1570)_x000D_
E AndroidRuntime( 9958): 	at android view HardwareRenderer GlRenderer draw(HardwareRenderer java:1449)_x000D_
E AndroidRuntime( 9958): 	at android view ViewRootImpl draw(ViewRootImpl java:2377)_x000D_
E AndroidRuntime( 9958): 	at android view ViewRootImpl performDraw(ViewRootImpl java:2249)_x000D_
E AndroidRuntime( 9958): 	at android view ViewRootImpl performTraversals(ViewRootImpl java:1879)_x000D_
E AndroidRuntime( 9958): 	at android view ViewRootImpl doTraversal(ViewRootImpl java:996)_x000D_
E AndroidRuntime( 9958): 	at android view ViewRootImpl TraversalRunnable run(ViewRootImpl java:5600)_x000D_
E AndroidRuntime( 9958): 	at android view Choreographer CallbackRecord run(Choreographer java:761)_x000D_
E AndroidRuntime( 9958): 	at _x000D_
W ActivityManager( 5459):   Force finishing activity org telegram messenger org telegram ui LaunchActivity_x000D_
I Process ( 9958): Sending signal  PID: 9958 SIG: 9_x000D_
I ActivityManager( 5459): Process org telegram messenger (pid 9958) has died _x000D_
I WindowState( 5459): WIN DEATH: Window a65c78d0 u0 org telegram messenger org telegram ui LaunchActivity _x000D_
W ActivityManager( 5459): Scheduling restart of crashed service org telegram messenger  LocationSharingService in 1000ms_x000D_
I AlienService( 5459): notifySurfaceDied() surfaceId   12_x000D_
I AlienServiceJNI( 5459): notifySurfaceDied() surfaceId   12_x000D_
D WLAlienRuntime( 5459): notifySurfaceDied() surfaceId   12  mAlienState   1_x000D_
W ActivityManager( 5459): Service crashed 2 times  stopping: ServiceRecord a6616340 u0 org telegram messenger  NotificationsService _x000D_
D ActivityManager( 5459): handleAppDiedLocked app   ProcessRecord a6328bb8 0:org telegram messenger u0a29 _x000D_
D ActivityManager( 5459): getSurfaceToDestroyLocked  surfaceToDestroy   12_x000D_
D ActivityManager( 5459): The app on surface (surfaceId   12) has died _x000D_
D ActivityManager( 5459): handleAppDiedLocked app   ProcessRecord a6328bb8 0:org telegram messenger u0a29 _x000D_
D ActivityManager( 5459): getSurfaceToDestroyLocked  surfaceToDestroy    1_x000D_
D NotificationService( 5459): onNativeNotificationRemoved id 41539_x000D_
   _x000D_
   _x000D_
_x000D_
Version: 4 9 1 from F Droid</t>
  </si>
  <si>
    <t>react-native-camera-react-native-camera-1914</t>
  </si>
  <si>
    <t>Android app crashes sometimes when calling `takePictureAsync`</t>
  </si>
  <si>
    <t xml:space="preserve">  Bug Report_x000D_
  To Do First  _x000D_
   x  Did you try latest release _x000D_
   x  Did you try master _x000D_
   x  Did you look for existing matching issues _x000D_
_x000D_
  Related Modules  _x000D_
RNCamera_x000D_
_x000D_
  Platforms  _x000D_
Android_x000D_
_x000D_
  Versions  _x000D_
  Android: 5 1 1_x000D_
  react native camera: 1 3 1_x000D_
  react native: 0 55 4_x000D_
  react: 16 3 1_x000D_
  react navigation: 2 17 0_x000D_
_x000D_
  Description Current Behaviour  _x000D_
App crashes sometimes when calling  takePictureAsync   This never happens on the emulator  I m seeing it happen on a Samsung Galaxy J3  Taking the picture works randomly around 3 of 4 times  but sometimes it makes the app crash _x000D_
_x000D_
  Expected Behaviour  _x000D_
It should take the picture and don t crash _x000D_
_x000D_
  Steps to Reproduce  _x000D_
Taking a picture 4 o 5 times and it will fail _x000D_
   javascript_x000D_
import React from  react  _x000D_
import   View  TouchableOpacity  Image   from  react native  _x000D_
import   RNCamera   from  react native camera  _x000D_
import styles from    styles  _x000D_
import refreshIcon from        assets icons refresh png  _x000D_
_x000D_
class SelectMediaScreen extends React Component  _x000D_
  constructor(props)  _x000D_
    super(props) _x000D_
    this state    _x000D_
      imageData: null _x000D_
      cameraType: RNCamera Constants Type back _x000D_
     _x000D_
   _x000D_
_x000D_
  takePicture   ()     _x000D_
    if (this camera)  _x000D_
      const options     quality: 0 5  base64: true  fixOrientation: true   _x000D_
      this camera takePictureAsync(options) then(data     _x000D_
        const   uri  base64     data _x000D_
        this setState(  imageData:   uri  base64    ) _x000D_
       ) catch(console log)_x000D_
     _x000D_
    _x000D_
_x000D_
  handleCameraTypeChange   ()     _x000D_
    const   back  front     RNCamera Constants Type _x000D_
    this setState(  cameraType: this state cameraType     back   front : back  ) _x000D_
   _x000D_
_x000D_
  render()  _x000D_
    const   imageData  cameraType     this state _x000D_
_x000D_
    return (_x000D_
       View style  styles container  _x000D_
         imageData    (_x000D_
           View style  styles content  _x000D_
             Image style  styles preview  source    uri: imageData uri      _x000D_
            View _x000D_
        ) _x000D_
          imageData    (_x000D_
           View style  styles content  _x000D_
             RNCamera_x000D_
              ref  ref      this camera   ref    _x000D_
              style  styles preview _x000D_
              type  cameraType _x000D_
             _x000D_
               TouchableOpacity style  styles cameraTypeIconContainer  onPress  this handleCameraTypeChange  _x000D_
                 Image source  refreshIcon  style  styles cameraTypeIcon    _x000D_
                TouchableOpacity _x000D_
              RNCamera _x000D_
            View _x000D_
        ) _x000D_
         View style  styles actions  _x000D_
           TouchableOpacity onPress  this takePicture  _x000D_
             View style  styles cameraButton    _x000D_
            TouchableOpacity _x000D_
          View _x000D_
        View _x000D_
    ) _x000D_
   _x000D_
  _x000D_
_x000D_
export default SelectMediaScreen _x000D_
   </t>
  </si>
  <si>
    <t>mauron85-react-native-background-geolocation-319</t>
  </si>
  <si>
    <t>App Crashes when entering / leaving Background</t>
  </si>
  <si>
    <t xml:space="preserve">   Your Environment_x000D_
  Plugin version: 3 0 0 alpha 43_x000D_
  Platform: Android_x000D_
  OS version: 8 1 0_x000D_
  Device manufacturer and model:_x000D_
      If Simulator was used instead of real device  type Yes in following section    _x000D_
  Running in Simulator: No_x000D_
  Plugin configuration options: _x000D_
locationProvider: 1     hint I could probably do with DISTANCE FILTER PROVIDER instead_x000D_
                desiredAccuracy: 0  _x000D_
                stationaryRadius: 25 _x000D_
                distanceFilter: 20 _x000D_
                notificationTitle:  Tracking position in the background  _x000D_
                notificationText:  enabled  _x000D_
                debug: false _x000D_
                interval: 10000 _x000D_
                fastestInterval: 5000 _x000D_
                activitiesInterval: 5000 _x000D_
                stopOnTerminate: false  _x000D_
                startOnBoot: false  _x000D_
                startForeground: true _x000D_
                pauseLocationUpdates: false _x000D_
                stopOnStillActivity: false  _x000D_
                saveBatteryOnBackground: false  _x000D_
   Context_x000D_
I m using this plugin to track user location while the app is in Background  everything works fine while i only close the application but keep the screen of the device active  As soon as is start using the screen lock hardware button the plugin sometimes receives an error  this leads to an application crash  _x000D_
_x000D_
   Expected Behavior_x000D_
do not crash after entering lock screen_x000D_
_x000D_
   Actual Behavior_x000D_
crashes after entering lock screen_x000D_
_x000D_
   Possible Fix_x000D_
      Not obligatory  but suggest a fix or reason for the bug    _x000D_
_x000D_
   Steps to Reproduce_x000D_
_x000D_
1  start Logging with this config_x000D_
2  Use screen Lock hardware Button _x000D_
3  after Resuming to app the crash occurs _x000D_
_x000D_
   Context_x000D_
i need to get the geolocation always  ( screen lock  app paused  app foreground   ) _x000D_
_x000D_
   Debug logs_x000D_
11 09 12:28:31 764: E ActivityThread(31819): Service com marianhello bgloc LocationService has leaked IntentReceiver com marianhello bgloc provider ActivityRecognitionLocationProvider 1 f835c92 that was originally registered here  Are you missing a call to unregisterReceiver() _x000D_
11 09 12:28:31 764: E ActivityThread(31819): android app IntentReceiverLeaked: Service com marianhello bgloc LocationService has leaked IntentReceiver com marianhello bgloc provider ActivityRecognitionLocationProvider 1 f835c92 that was originally registered here  Are you missing a call to unregisterReceiver() _x000D_
11 09 12:28:31 764: E ActivityThread(31819): 	at android app LoadedApk ReceiverDispatcher  init (LoadedApk java:1503)_x000D_
11 09 12:28:31 764: E ActivityThread(31819): 	at android app LoadedApk getReceiverDispatcher(LoadedApk java:1231)_x000D_
11 09 12:28:31 764: E ActivityThread(31819): 	at android app ContextImpl registerReceiverInternal(ContextImpl java:1637)_x000D_
11 09 12:28:31 764: E ActivityThread(31819): 	at android app ContextImpl registerReceiver(ContextImpl java:1610)_x000D_
11 09 12:28:31 764: E ActivityThread(31819): 	at android content ContextWrapper registerReceiver(ContextWrapper java:622)_x000D_
11 09 12:28:31 764: E ActivityThread(31819): 	at com marianhello bgloc LocationService registerReceiver(LocationService java:479)_x000D_
11 09 12:28:31 764: E ActivityThread(31819): 	at com marianhello bgloc provider AbstractLocationProvider registerReceiver(AbstractLocationProvider java:80)_x000D_
11 09 12:28:31 764: E ActivityThread(31819): 	at com marianhello bgloc provider ActivityRecognitionLocationProvider onCreate(ActivityRecognitionLocationProvider java:53)_x000D_
11 09 12:28:31 764: E ActivityThread(31819): 	at com marianhello bgloc LocationService onStartCommand(LocationService java:261)_x000D_
11 09 12:28:31 764: E ActivityThread(31819): 	at android app ActivityThread handleServiceArgs(ActivityThread java:3995)_x000D_
11 09 12:28:31 764: E ActivityThread(31819): 	at android app ActivityThread  wrap21(Unknown Source:0)_x000D_
11 09 12:28:31 764: E ActivityThread(31819): 	at android app ActivityThread H handleMessage(ActivityThread java:2021)_x000D_
11 09 12:28:31 764: E ActivityThread(31819): 	at android os Handler dispatchMessage(Handler java:109)_x000D_
11 09 12:28:31 764: E ActivityThread(31819): 	at android os Looper loop(Looper java:166)_x000D_
11 09 12:28:31 764: E ActivityThread(31819): 	at android app ActivityThread main(ActivityThread java:7383)_x000D_
11 09 12:28:31 764: E ActivityThread(31819): 	at java lang reflect Method invoke(Native Method)_x000D_
11 09 12:28:31 764: E ActivityThread(31819): 	at com android internal os RuntimeInit MethodAndArgsCaller run(RuntimeInit java:469)_x000D_
11 09 12:28:31 764: E ActivityThread(31819): 	at com android internal os ZygoteInit main(ZygoteInit java:963)_x000D_
11 09 12:28:32 042: E AndroidRuntime(31819): FATAL EXCEPTION: main_x000D_
11 09 12:28:32 042: E AndroidRuntime(31819): Process: de geogame eurokey  PID: 31819_x000D_
11 09 12:28:32 042: E AndroidRuntime(31819): java util concurrent RejectedExecutionException: Task com marianhello bgloc LocationService PostLocationTask 1 8c58233 rejected from java util concurrent ThreadPoolExecutor 3629f0 Terminated  pool size   0  active threads   0  queued tasks   0  completed tasks   2 _x000D_
11 09 12:28:32 042: E AndroidRuntime(31819): 	at java util concurrent ThreadPoolExecutor AbortPolicy rejectedExecution(ThreadPoolExecutor java:2078)_x000D_
11 09 12:28:32 042: E AndroidRuntime(31819): 	at java util concurrent ThreadPoolExecutor reject(ThreadPoolExecutor java:843)_x000D_
11 09 12:28:32 042: E AndroidRuntime(31819): 	at java util concurrent ThreadPoolExecutor execute(ThreadPoolExecutor java:1389)_x000D_
11 09 12:28:32 042: E AndroidRuntime(31819): 	at java util concurrent Executors DelegatedExecutorService execute(Executors java:620)_x000D_
11 09 12:28:32 042: E AndroidRuntime(31819): 	at com marianhello bgloc LocationService PostLocationTask add(LocationService java:561)_x000D_
11 09 12:28:32 042: E AndroidRuntime(31819): 	at com marianhello bgloc LocationService onLocation(LocationService java:387)_x000D_
11 09 12:28:32 042: E AndroidRuntime(31819): 	at com marianhello bgloc provider AbstractLocationProvider handleLocation(AbstractLocationProvider java:100)_x000D_
11 09 12:28:32 042: E AndroidRuntime(31819): 	at com marianhello bgloc provider ActivityRecognitionLocationProvider onLocationChanged(ActivityRecognitionLocationProvider java:98)_x000D_
11 09 12:28:32 042: E AndroidRuntime(31819): 	at com google android gms internal zzcfj zzu(Unknown Source:4)_x000D_
11 09 12:28:32 042: E AndroidRuntime(31819): 	at com google android gms common api internal zzci zzb(Unknown Source:8)_x000D_
11 09 12:28:32 042: E AndroidRuntime(31819): 	at com google android gms common api internal zzcj handleMessage(Unknown Source:14)_x000D_
11 09 12:28:32 042: E AndroidRuntime(31819): 	at android os Handler dispatchMessage(Handler java:109)_x000D_
11 09 12:28:32 042: E AndroidRuntime(31819): 	at android os Looper loop(Looper java:166)_x000D_
11 09 12:28:32 042: E AndroidRuntime(31819): 	at android app ActivityThread main(ActivityThread java:7383)_x000D_
11 09 12:28:32 042: E AndroidRuntime(31819): 	at java lang reflect Method invoke(Native Method)_x000D_
11 09 12:28:32 042: E AndroidRuntime(31819): 	at com android internal os RuntimeInit MethodAndArgsCaller run(RuntimeInit java:469)_x000D_
11 09 12:28:32 042: E AndroidRuntime(31819): 	at com android internal os ZygoteInit main(ZygoteInit java:963)_x000D_
11 09 12:28:32 043: E com marianhello logging UncaughtExceptionLogger(31819): FATAL EXCEPTION: mainjava util concurrent RejectedExecutionException: Task com marianhello bgloc LocationService PostLocationTask 1 8c58233 rejected from java util concurrent ThreadPoolExecutor 3629f0 Terminated  pool size   0  active threads   0  queued tasks   0  completed tasks   2 _x000D_
11 09 12:28:32 043: E com marianhello logging UncaughtExceptionLogger(31819): 	at java util concurrent ThreadPoolExecutor AbortPolicy rejectedExecution(ThreadPoolExecutor java:2078)_x000D_
11 09 12:28:32 043: E com marianhello logging UncaughtExceptionLogger(31819): 	at java util concurrent ThreadPoolExecutor reject(ThreadPoolExecutor java:843)_x000D_
11 09 12:28:32 043: E com marianhello logging UncaughtExceptionLogger(31819): 	at java util concurrent ThreadPoolExecutor execute(ThreadPoolExecutor java:1389)_x000D_
11 09 12:28:32 043: E com marianhello logging UncaughtExceptionLogger(31819): 	at java util concurrent Executors DelegatedExecutorService execute(Executors java:620)_x000D_
11 09 12:28:32 043: E com marianhello logging UncaughtExceptionLogger(31819): 	at com marianhello bgloc LocationService PostLocationTask add(LocationService java:561)_x000D_
11 09 12:28:32 043: E com marianhello logging UncaughtExceptionLogger(31819): 	at com marianhello bgloc LocationService onLocation(LocationService java:387)_x000D_
11 09 12:28:32 043: E com marianhello logging UncaughtExceptionLogger(31819): 	at com marianhello bgloc provider AbstractLocationProvider handleLocation(AbstractLocationProvider java:100)_x000D_
11 09 12:28:32 043: E com marianhello logging UncaughtExceptionLogger(31819): 	at com marianhello bgloc provider ActivityRecognitionLocationProvider onLocationChanged(ActivityRecognitionLocationProvider java:98)_x000D_
11 09 12:28:32 043: E com marianhello logging UncaughtExceptionLogger(31819): 	at com google android gms internal zzcfj zzu(Unknown Source:4)_x000D_
11 09 12:28:32 043: E com marianhello logging UncaughtExceptionLogger(31819): 	at com google android gms common api internal zzci zzb(Unknown Source:8)_x000D_
11 09 12:28:32 043: E com marianhello logging UncaughtExceptionLogger(31819): 	at com google android gms common api internal zzcj handleMessage(Unknown Source:14)_x000D_
11 09 12:28:32 043: E com marianhello logging UncaughtExceptionLogger(31819): 	at android os Handler dispatchMessage(Handler java:109)_x000D_
11 09 12:28:32 043: E com marianhello logging UncaughtExceptionLogger(31819): 	at android os Looper loop(Looper java:166)_x000D_
11 09 12:28:32 043: E com marianhello logging UncaughtExceptionLogger(31819): 	at android app ActivityThread main(ActivityThread java:7383)_x000D_
11 09 12:28:32 043: E com marianhello logging UncaughtExceptionLogger(31819): 	at java lang reflect Method invoke(Native Method)_x000D_
11 09 12:28:32 043: E com marianhello logging UncaughtExceptionLogger(31819): 	at com android internal os RuntimeInit MethodAndArgsCaller run(RuntimeInit java:469)_x000D_
11 09 12:28:32 043: E com marianhello logging UncaughtExceptionLogger(31819): 	at com android internal os ZygoteInit main(ZygoteInit java:963)_x000D_
11 09 12:28:33 329: E MemoryLeakMonitorManager(32457): MemoryLeakMonitor jar is not exist _x000D_
11 09 12:28:33 330: E Minikin(32457): Could not get cmap table size _x000D_
_x000D_
</t>
  </si>
  <si>
    <t>alexweininger-android-catan-89</t>
  </si>
  <si>
    <t>App crashes when no value is entered for intersection IDs</t>
  </si>
  <si>
    <t>How to get error:_x000D_
1  Open new game_x000D_
2  Either in setup phase leave intersection ID blank OR in regular gameplay  click  Road    Settlement   or  City  and enter a blank intersection ID _x000D_
_x000D_
App crashes</t>
  </si>
  <si>
    <t>plusCubed-matlog-47</t>
  </si>
  <si>
    <t>Crash when opening menu</t>
  </si>
  <si>
    <t xml:space="preserve">When clicking the menu button in the app  the app crashes _x000D_
Logs:_x000D_
   _x000D_
Exception while inflating  vector _x000D_
android content res Resources NotFoundException: Resource is not a ColorStateList (color or path): TypedValue t 0x2 d 0x1010429 a  1 _x000D_
	at android content res Resources loadColorStateList(Resources java:2376)_x000D_
	at android content res TypedArray getColorStateList(TypedArray java:343)_x000D_
	at android support graphics drawable VectorDrawableCompat inflate(VectorDrawableCompat java:5757)_x000D_
	at android support graphics drawable VectorDrawableCompat createFromXmlInner(VectorDrawableCompat java:674)_x000D_
	at android support v7 widget AppCompatDrawableManager VdcInflateDelegate createFromXmlInner(AppCompatDrawableManager java:775)_x000D_
	at android support v7 widget AppCompatDrawableManager loadDrawableFromDelegates(AppCompatDrawableManager java:366)_x000D_
	at android support v7 widget AppCompatDrawableManager getDrawable(AppCompatDrawableManager java:198)_x000D_
	at android support v7 widget AppCompatDrawableManager getDrawable(AppCompatDrawableManager java:191)_x000D_
	at android support v7 content res AppCompatResources getDrawable(AppCompatResources java:102)_x000D_
	at android support v7 view menu MenuItemImpl getIcon(MenuItemImpl java:505)_x000D_
	at android support v7 view menu ListMenuItemView initialize 667f453d(ListMenuItemView java:134)_x000D_
	at android support v7 view menu MenuAdapter getView(MenuAdapter java:109)_x000D_
	at android support v7 view menu MenuPopup measureIndividualMenuWidth(MenuPopup java:161)_x000D_
	at android support v7 view menu StandardMenuPopup show(StandardMenuPopup java:2174)_x000D_
	at android support v7 view menu MenuPopupHelper showPopup(MenuPopupHelper java:290)_x000D_
	at android support v7 view menu MenuPopupHelper tryShow(MenuPopupHelper java:177)_x000D_
	at android support v7 widget ActionMenuPresenter OpenOverflowRunnable run(ActionMenuPresenter java:806)_x000D_
	at android os Handler handleCallback(Handler java:733)_x000D_
	at android os Handler dispatchMessage(Handler java:95)_x000D_
	at android os Looper loop(Looper java:136)_x000D_
	at android app ActivityThread main(ActivityThread java:5146)_x000D_
	at java lang reflect Method invokeNative(Native Method)_x000D_
	at java lang reflect Method invoke(Method java:515)_x000D_
	at com android internal os ZygoteInit MethodAndArgsCaller run(ZygoteInit java:732)_x000D_
	at com android internal os ZygoteInit main(ZygoteInit java:566)_x000D_
	at dalvik system NativeStart main(Native Method)_x000D_
_x000D_
FATAL EXCEPTION: main_x000D_
Process: com pluscubed matloglibre  PID: 22628_x000D_
android content res Resources NotFoundException: File res drawable ic share white 24dp xml from drawable resource ID  0x7f080075  If the resource you are trying to use is a vector resource  you may be referencing it in an unsupported way  See AppCompatDelegate setCompatVectorFromResourcesEnabled() for more info _x000D_
	at android content res Resources loadDrawable(Resources java:2235)_x000D_
	at android content res Resources getDrawable(Resources java:733)_x000D_
	at android content res Resources getDrawable(Resources java:711)_x000D_
	at android support v7 widget VectorEnabledTintResources superGetDrawable(VectorEnabledTintResources java:75)_x000D_
	at android support v7 widget AppCompatDrawableManager onDrawableLoadedFromResources(AppCompatDrawableManager java:432)_x000D_
	at android support v7 widget VectorEnabledTintResources getDrawable(VectorEnabledTintResources java:68)_x000D_
	at android support v4 content ContextCompat getDrawable(ContextCompat java:465)_x000D_
	at android support v7 widget AppCompatDrawableManager getDrawable(AppCompatDrawableManager java:203)_x000D_
	at android support v7 widget AppCompatDrawableManager getDrawable(AppCompatDrawableManager java:191)_x000D_
	at android support v7 content res AppCompatResources getDrawable(AppCompatResources java:102)_x000D_
	at android support v7 view menu MenuItemImpl getIcon(MenuItemImpl java:505)_x000D_
	at android support v7 view menu ListMenuItemView initialize 667f453d(ListMenuItemView java:134)_x000D_
	at android support v7 view menu MenuAdapter getView(MenuAdapter java:109)_x000D_
	at android support v7 view menu MenuPopup measureIndividualMenuWidth(MenuPopup java:161)_x000D_
	at android support v7 view menu StandardMenuPopup show(StandardMenuPopup java:2174)_x000D_
	at android support v7 view menu MenuPopupHelper showPopup(MenuPopupHelper java:290)_x000D_
	at android support v7 view menu MenuPopupHelper tryShow(MenuPopupHelper java:177)_x000D_
	at android support v7 widget ActionMenuPresenter OpenOverflowRunnable run(ActionMenuPresenter java:806)_x000D_
	at android os Handler handleCallback(Handler java:733)_x000D_
	at android os Handler dispatchMessage(Handler java:95)_x000D_
	at android os Looper loop(Looper java:136)_x000D_
	at android app ActivityThread main(ActivityThread java:5146)_x000D_
	at java lang reflect Method invokeNative(Native Method)_x000D_
	at java lang reflect Method invoke(Method java:515)_x000D_
	at com android internal os ZygoteInit MethodAndArgsCaller run(ZygoteInit java:732)_x000D_
	at com android internal os ZygoteInit main(ZygoteInit java:566)_x000D_
	at dalvik system NativeStart main(Native Method)_x000D_
Caused by: org xmlpull v1 XmlPullParserException: Binary XML file line  16: invalid drawable tag vector_x000D_
	at android graphics drawable Drawable createFromXmlInner(Drawable java:933)_x000D_
	at android graphics drawable Drawable createFromXml(Drawable java:877)_x000D_
	at android content res Resources loadDrawable(Resources java:2231)_x000D_
	    26 more_x000D_
   </t>
  </si>
  <si>
    <t>nextcloud-android-3242</t>
  </si>
  <si>
    <t>Nextcloud App crashed on Samsung Galaxy Note Edge</t>
  </si>
  <si>
    <t xml:space="preserve">When I try to start the Nextcloud App on my Samsung Galaxy Note Edge  the app crashes  I am not able to use it  It worked with previous versions _x000D_
_x000D_
Details:_x000D_
Device: Samsung Galaxy Note Edge (SM N915FY)_x000D_
Device Android: 6 0 1  Kernel 3 10 40_x000D_
Nextcloud Version: 3 3 2 (02 Nov 2018)_x000D_
_x000D_
The issue happens both on WiFi as well on 4G networks _x000D_
_x000D_
I sent an error report via my GMail address (grueeck gmail com) </t>
  </si>
  <si>
    <t>mapbox-mapbox-plugins-android-758</t>
  </si>
  <si>
    <t>AutocompleteLauncherActivity crashes when returning from PlaceAutocomplete</t>
  </si>
  <si>
    <t xml:space="preserve"> OnActivityResult  crash with the following stack trace:_x000D_
   _x000D_
java lang RuntimeException: Failure delivering result ResultInfo who null  request 1  result 0  data null  to activity  com mapbox mapboxsdk plugins testapp com mapbox mapboxsdk plugins testapp activity places AutocompleteLauncherActivity : java lang IllegalArgumentException: Parameter specified as non null is null: method kotlin jvm internal Intrinsics checkParameterIsNotNull  parameter data_x000D_
        at android app ActivityThread deliverResults(ActivityThread java:4360)_x000D_
        at android app ActivityThread handleSendResult(ActivityThread java:4402)_x000D_
        at android app servertransaction ActivityResultItem execute(ActivityResultItem java:49)_x000D_
        at android app servertransaction TransactionExecutor executeCallbacks(TransactionExecutor java:108)_x000D_
        at android app servertransaction TransactionExecutor execute(TransactionExecutor java:68)_x000D_
        at android app ActivityThread H handleMessage(ActivityThread java:1808)_x000D_
        at android os Handler dispatchMessage(Handler java:106)_x000D_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Caused by: java lang IllegalArgumentException: Parameter specified as non null is null: method kotlin jvm internal Intrinsics checkParameterIsNotNull  parameter data_x000D_
        at com mapbox mapboxsdk plugins testapp activity places AutocompleteLauncherActivity onActivityResult(Unknown Source:6)_x000D_
        at android app Activity dispatchActivityResult(Activity java:7454)_x000D_
   </t>
  </si>
  <si>
    <t>inaturalist-iNaturalistAndroid-609</t>
  </si>
  <si>
    <t>Can't take a new profile pic</t>
  </si>
  <si>
    <t xml:space="preserve">In build 320 in Android 9 on a Pixel 3  when I edit my profile and try to take a new profile pic with the camera the app crashes  Might be related to https:  fabric io inaturalist android apps org inaturalist android issues 5ba10993f8b88c2963572dc0 time last seven days  Does not seem to happen in build 320 running in Android 6 on a Moto G </t>
  </si>
  <si>
    <t>kontalk-androidclient-1231</t>
  </si>
  <si>
    <t>Camera uri is file-based and crashes</t>
  </si>
  <si>
    <t xml:space="preserve">Full path Uri to the camera image file is file based so strict mode will crash the app  Use a proxied Uri by FileProvider </t>
  </si>
  <si>
    <t>NordicSemiconductor-Android-nRF-Blinky-15</t>
  </si>
  <si>
    <t>ClassNotFoundException: Didn't find class "android.arch.lifecycle.ProcessLifecycleOwnerInitializer</t>
  </si>
  <si>
    <t xml:space="preserve">On Android P (9 0)  I get the above exception at runtime and the app crashes _x000D_
_x000D_
I found that adding this to the proguard file fixed the issue:_x000D_
_x000D_
  keep class android arch lifecycle         _x000D_
</t>
  </si>
  <si>
    <t>fossasia-pslab-android-1431</t>
  </si>
  <si>
    <t xml:space="preserve">Issue with the multimeter and the accelerometer. </t>
  </si>
  <si>
    <t xml:space="preserve">In the multimeter section when we try to access the settings of the multimeter the app crashes unexpectedly  This happens frequently not just a few times and is noticed across devices _x000D_
Also  the dial of the multimeter is not responsive  it takes 3 4 touches on the dial to rotate the dial _x000D_
_x000D_
A similar problem is noticed in the case of the accelerometer  Even when we try to access the settings of the accelerometer the app crashes the same way as in the case of the multimeter _x000D_
_x000D_
Besides these issues  the app is responsive and fluent no other issues noticed _x000D_
_x000D_
Below are the screenshots of the issue faced _x000D_
  screenshot 20181103 110605 li (https:  user images githubusercontent com 44549551 47948662 ebbec980 df5a 11e8 87d3 70504e1f0fd1 jpg)_x000D_
  screenshot 20181103 111212 li (https:  user images githubusercontent com 44549551 47948663 ebbec980 df5a 11e8 8c16 0cb445a7f00c jpg)_x000D_
_x000D_
Hope the developer fix these soon  </t>
  </si>
  <si>
    <t>Awful-Awful.apk-641</t>
  </si>
  <si>
    <t>NPEs in ThreadDisplayFragment when Activity isn't attached</t>
  </si>
  <si>
    <t>This is sort of an edge case   it s possible to try and open a thread in   ThreadDisplayFragment   before the activity is available  so when it tries to access that you obviously get crashes  The most reliable way to cause this is:_x000D_
  turn on Destroy All Activities in dev options_x000D_
  open the app and navigate straight to the Leper s Colony (don t open a thread)_x000D_
  click the  view post  menu item on any entry_x000D_
_x000D_
seems like there s a race condition  and the viewpager is able to set up the new fragment and pass it the (deferred)   NavigationEvent   before it s all attached to the activity _x000D_
_x000D_
The fix is probably to have a   pendingNavigationEvent   variable in the fragment  and make the    handleNavigation   method do an activity check   if it s not created or attached  store the event instead of acting on it  Then have    onCreate onAttach   look for a stored event and run    navigate   on it  That way it s just deferred until the activity shows up_x000D_
_x000D_
I ll do this later  I m adding this so I don t forget (also for evidence)</t>
  </si>
  <si>
    <t>connectbot-connectbot-654</t>
  </si>
  <si>
    <t>Find and remove StandardCharsets usage</t>
  </si>
  <si>
    <t xml:space="preserve">Until the app s  minSdkVersion  is 19   StandardCharsets  will crash on devices less than API 19  Since we re on  minSdkVersion  14 then this affects those users  Currently  sshlib  is using some  StandardCharsets  stuff in 1 9 3 </t>
  </si>
  <si>
    <t>react-native-camera-react-native-camera-1900</t>
  </si>
  <si>
    <t>Incompatible AVCAptureSessionPreset causes crash on iPad Mini 4</t>
  </si>
  <si>
    <t xml:space="preserve">  Versions  _x000D_
react native qrcode scanner: 1 1 0_x000D_
react native camera: 1 3 1_x000D_
react native: 0 44_x000D_
react: 16 0 0 alpha 6_x000D_
Platform: iOS 11 iOS 12_x000D_
_x000D_
  Description Current Behaviour  _x000D_
In my project I am implementing a camera view for scanning QR codes  using the react native qrcode scanner library  This lib is dependent on react native camera _x000D_
Using the latest release of react native camera on master (1 3 1)  opening the camera causes the app to crash when using an iPad Mini 4  I am not specifying any camera resolution or format  so the default value is used  _x000D_
This error gets printed in Xcode:_x000D_
_x000D_
    Terminating app due to uncaught exception  NSInvalidArgumentException   reason:        AVCaptureSession setSessionPreset:  AVCaptureSessionPreset3840x2160 is not a supported preset _x000D_
_x000D_
Seems like this happens because RNCamera is trying to use the highest resolution video preset (4K video)  but the camera in the iPad Mini does not support 4K video  _x000D_
_x000D_
  Expected Behaviour  _x000D_
The camera should start without crashing _x000D_
_x000D_
  Additionals  _x000D_
In my package json:  react native camera :  git https:  git github com react native community react native camera  _x000D_
I am using RNCamera without the FaceDetector folder _x000D_
</t>
  </si>
  <si>
    <t>ECSE321-Fall2018-t07-41</t>
  </si>
  <si>
    <t>Android: Driver: Datepicker crashes for Trip_Edit</t>
  </si>
  <si>
    <t>It crashes because onTimeSet() in the timepicker fragment attempts to return value to (Trip Create) while it is called from Trip Edit</t>
  </si>
  <si>
    <t>bitstadium-HockeySDK-Android-406</t>
  </si>
  <si>
    <t>Not logging TransactionTooLargeException</t>
  </si>
  <si>
    <t xml:space="preserve">We ve got  TransactionTooLargeException s caused by passing large parcel objects via Intent but HockeyApp is not logging those crashes  Other crashes appear in the HockeyApp almost immediately after reopening the app (when crashes are being uploaded) so it s not a problem with the crash upload _x000D_
_x000D_
This is our setup:_x000D_
   java_x000D_
CrashManager register(this  new CrashManagerListener()  _x000D_
         Override_x000D_
        public boolean shouldAutoUploadCrashes()  _x000D_
          return true _x000D_
         _x000D_
       ) _x000D_
   _x000D_
_x000D_
Code causing an exception:_x000D_
   java_x000D_
bundle putParcelable( content   largeObject) _x000D_
   _x000D_
_x000D_
Is it a known behaviour </t>
  </si>
  <si>
    <t>k9mail-k-9-3691</t>
  </si>
  <si>
    <t>App crashes on opening inbox with wrong password</t>
  </si>
  <si>
    <t xml:space="preserve">The app crashes after importing an account with the wrong password  After importing you are promted to input the password for the account  Though it seems that its not checked at all at that point so the app can t get the accounts folders and thus crashes when I try to open the inbox from the account list (or the unified inbox)  _x000D_
_x000D_
    Expected behavior_x000D_
Check password and show a wrong password notice either on account import or when opening the inbox _x000D_
_x000D_
    Actual behavior_x000D_
The app just crashes _x000D_
_x000D_
    Steps to reproduce_x000D_
1  Import Account from  k9s file_x000D_
2  Input wrong password for the account_x000D_
3  Try open the inbox of that account from account list or unified inbox_x000D_
_x000D_
    Environment_x000D_
K 9 Mail version: 5 700 SNAPSHOT_x000D_
_x000D_
Android version: 8 0 0_x000D_
_x000D_
Account type (IMAP  POP3  WebDAV Exchange): IMAP_x000D_
</t>
  </si>
  <si>
    <t>TeamNewPipe-NewPipe-1862</t>
  </si>
  <si>
    <t>Crash at startup when phone is in airplane mode</t>
  </si>
  <si>
    <t xml:space="preserve">Hi everybody_x000D_
NP crashes when we launch it and the phone is in airplane mode _x000D_
Thanks for paying attention to it  )_x000D_
_x000D_
</t>
  </si>
  <si>
    <t>onaio-kujaku-174</t>
  </si>
  <si>
    <t>IndexOutOfBoundsException on Sample App Map Activity</t>
  </si>
  <si>
    <t xml:space="preserve">Steps to replicate:_x000D_
_x000D_
1  Open Kujaku Sample app_x000D_
2  Click on   Open Map Activity  _x000D_
3  Click on one the red circle feature below the   Mulele Road   text_x000D_
_x000D_
This happens on the sample app with the m spray data_x000D_
The app crashes with the following log:_x000D_
_x000D_
   _x000D_
java lang IndexOutOfBoundsException: Invalid index 16  size is 16_x000D_
        at java util ArrayList throwIndexOutOfBoundsException(ArrayList java:260)_x000D_
        at java util ArrayList get(ArrayList java:313)_x000D_
        at io ona kujaku adapters InfoWindowAdapter focusOnPosition(InfoWindowAdapter java:108)_x000D_
        at io ona kujaku activities MapActivity scrollToInfoWindowPosition(MapActivity java:482)_x000D_
        at io ona kujaku activities MapActivity showInfoWindowListAndScrollToPosition(MapActivity java:476)_x000D_
        at io ona kujaku activities MapActivity focusOnFeature(MapActivity java:580)_x000D_
        at io ona kujaku activities MapActivity focusOnFeature(MapActivity java:595)_x000D_
        at io ona kujaku activities MapActivity onMapClick(MapActivity java:450)_x000D_
        at com mapbox mapboxsdk maps MapGestureDetector notifyOnMapClickListeners(MapGestureDetector java:908)_x000D_
        at com mapbox mapboxsdk maps MapGestureDetector StandardGestureListener onSingleTapConfirmed(MapGestureDetector java:343)_x000D_
        at com mapbox android gestures StandardGestureDetector 1 onSingleTapConfirmed(StandardGestureDetector java:81)_x000D_
        at android view GestureDetector GestureHandler handleMessage(GestureDetector java:300)_x000D_
        at android os Handler dispatchMessage(Handler java:111)_x000D_
        at android os Looper loop(Looper java:207)_x000D_
        at android app ActivityThread main(ActivityThread java:5765)_x000D_
        at java lang reflect Method invoke(Native Method)_x000D_
        at com android internal os ZygoteInit MethodAndArgsCaller run(ZygoteInit java:794)_x000D_
        at com android internal os ZygoteInit main(ZygoteInit java:684)_x000D_
   _x000D_
</t>
  </si>
  <si>
    <t>nextcloud-android-3212</t>
  </si>
  <si>
    <t>Crash when loading "Deleted files"</t>
  </si>
  <si>
    <t>Nextcloud app version:_x000D_
3 3 1_x000D_
Nextcloud server version:_x000D_
14 0 3_x000D_
_x000D_
The app crashes when there are many files with equal names in the trashbin _x000D_
_x000D_
    Stack trace:_x000D_
_x000D_
 pre _x000D_
E AndroidRuntime: FATAL EXCEPTION: main_x000D_
    Process: com nextcloud client  PID: 10317_x000D_
    java lang IllegalArgumentException: Comparison method violates its general contract _x000D_
        at java util TimSort mergeHi(TimSort java:895)_x000D_
        at java util TimSort mergeAt(TimSort java:512)_x000D_
        at java util TimSort mergeCollapse(TimSort java:437)_x000D_
        at java util TimSort sort(TimSort java:241)_x000D_
        at java util Arrays sort(Arrays java:1523)_x000D_
        at java util Collections sort(Collections java:238)_x000D_
        at com owncloud android utils FileSortOrderByName sortTrashbinFiles(FileSortOrderByName java:76)_x000D_
        at com owncloud android ui adapter TrashbinListAdapter setTrashbinFiles(TrashbinListAdapter java:89)_x000D_
        at com owncloud android ui trashbin TrashbinActivity showTrashbinFolder(TrashbinActivity java:256)_x000D_
        at com owncloud android ui trashbin TrashbinPresenter 1 onSuccess(TrashbinPresenter java:72)_x000D_
        at com owncloud android ui trashbin RemoteTrashbinRepository ReadRemoteTrashbinFolderTask onPostExecute(RemoteTrashbinRepository java:211)_x000D_
        at com owncloud android ui trashbin RemoteTrashbinRepository ReadRemoteTrashbinFolderTask onPostExecute(RemoteTrashbinRepository java:175)_x000D_
        at android os AsyncTask finish(AsyncTask java:660)_x000D_
        at android os AsyncTask  wrap1(AsyncTask java)_x000D_
        at android os AsyncTask InternalHandler handleMessage(AsyncTask java:677)_x000D_
        at android os Handler dispatchMessage(Handler java:102)_x000D_
        at android os Looper loop(Looper java:154)_x000D_
        at android app ActivityThread main(ActivityThread java:6077)_x000D_
        at java lang reflect Method invoke(Native Method)_x000D_
        at com android internal os ZygoteInit MethodAndArgsCaller run(ZygoteInit java:866)_x000D_
        at com android internal os ZygoteInit main(ZygoteInit java:756)_x000D_
  pre _x000D_
_x000D_
I think it s because  AlphanumComparator() compare(o1  o2)   always returns  1 for identical filenames (at least for files with a     in their name) in com owncloud android utils FileSortOrderByName:84 _x000D_
_x000D_
Workaround:_x000D_
 if (o1 getFileName() equals(o2 getFileName())) return 0   before FileSortOrderByName java:84</t>
  </si>
  <si>
    <t>mapbox-mapbox-events-android-267</t>
  </si>
  <si>
    <t>Update AlarmManager flag</t>
  </si>
  <si>
    <t>Addresses: https:  github com mapbox mapbox events android issues 230_x000D_
_x000D_
On Samsung devices  the Alarms are not properly cancelled when requested  They fill up until the a  500  level threshold and cause a crash  Instead of cancelling  we are switching to updating the current alarm  _x000D_
_x000D_
Research seen here: https:  stackoverflow com questions 29344971 java lang securityexception too many alarms 500 registered from pid 10790 u</t>
  </si>
  <si>
    <t>getodk-collect-2709</t>
  </si>
  <si>
    <t>NullPointerException when auto-deleting sent filled forms</t>
  </si>
  <si>
    <t xml:space="preserve">     Software and hardware versions _x000D_
Collect v1 18 0  Android v7 0_x000D_
_x000D_
     Problem description_x000D_
After an auto send  there s a crash when deleting the filled form _x000D_
_x000D_
 Play Store report (https:  play google com apps publish  account 6923365842552008664 AndroidMetricsErrorsPlace:p org odk collect android appVersion 3062 clusterName apps org odk collect android clusters de91a609 detailsAppVersion 3062 detailsSpan 7) (needs authentication):_x000D_
   _x000D_
java lang NullPointerException: _x000D_
  at org odk collect android provider InstanceProvider deleteAllFilesInDirectory (InstanceProvider java:227)_x000D_
  at org odk collect android provider InstanceProvider delete (InstanceProvider java:288)_x000D_
  at android content ContentProvider Transport delete (ContentProvider java:374)_x000D_
  at android content ContentResolver delete (ContentResolver java:1422)_x000D_
  at org odk collect android upload AutoSendWorker doWork (AutoSendWorker java:160)_x000D_
  at androidx work Worker 1 run (Worker java:57)_x000D_
  at java util concurrent ThreadPoolExecutor runWorker (ThreadPoolExecutor java:1133)_x000D_
  at java util concurrent ThreadPoolExecutor Worker run (ThreadPoolExecutor java:607)_x000D_
  at java lang Thread run (Thread java:761)_x000D_
   _x000D_
_x000D_
     Steps to reproduce the problem_x000D_
Unknown  One possibility since it happens on Android 7 is that the permissions are revoked before the deletion happens  I m not sure how that would happen but seems possible  _x000D_
_x000D_
     Expected behavior_x000D_
No crash _x000D_
_x000D_
     Other information _x000D_
I am thinking of checking for null and if there is a null  logging an exception that checks the granted permissions _x000D_
</t>
  </si>
  <si>
    <t>commons-app-apps-android-commons-1966</t>
  </si>
  <si>
    <t>Crash when rotating the app on Nearby mode</t>
  </si>
  <si>
    <t xml:space="preserve">  Summary:   _x000D_
_x000D_
Summarize your issue in one sentence (what goes wrong  what did you expect to happen)_x000D_
_x000D_
Crash when rotating the app on Nearby mode_x000D_
_x000D_
  Steps to reproduce:   _x000D_
_x000D_
I attach a video showing how to reproduce the error_x000D_
_x000D_
  bug result (https:  user images githubusercontent com 1228418 47806391 f51d1b80 dd39 11e8 8c21 5b51870b5ec7 gif)_x000D_
_x000D_
_x000D_
_x000D_
How can we reproduce the issue  Go to Nearby mode and rotate several times opening the list of points _x000D_
_x000D_
_x000D_
What did you expect the app to do  and what did you see instead  No crash_x000D_
_x000D_
_x000D_
_x000D_
  Add System logs:  _x000D_
_x000D_
Sent by email using the app_x000D_
_x000D_
  Device and Android version:   _x000D_
_x000D_
Xiaomi Mi MIX 2S_x000D_
Android 9 PKQ1 180729 001_x000D_
Stock ROM_x000D_
 _x000D_
   Commons app version:   _x000D_
_x000D_
2 8 6_x000D_
_x000D_
  Screen shots:   _x000D_
_x000D_
  bug result (https:  user images githubusercontent com 1228418 47806391 f51d1b80 dd39 11e8 8c21 5b51870b5ec7 gif)_x000D_
_x000D_
_x000D_
  Would you like to work on the issue   _x000D_
_x000D_
I can provide testing support but I cannot fix the bug programming </t>
  </si>
  <si>
    <t>nikita36078-J2ME-Loader-405</t>
  </si>
  <si>
    <t>Fantasy Warrior 2 - Evil</t>
  </si>
  <si>
    <t>Emulator version: 1 3 6_x000D_
_x000D_
Game version: Fantasy Warrior 2   Evil 1 1 84_x000D_
_x000D_
Game resolution: 240x320_x000D_
_x000D_
Device: LG Optimus L70 (D320)_x000D_
_x000D_
Android version: Android Kit Kat 4 4 2_x000D_
_x000D_
Description of the issue:_x000D_
_x000D_
Everything works well until you have to face the first monster in the game  and when you face it  the emulator does not load the textures to battle _x000D_
PS: the game continues to emulate the sounds of battle and running without crashing _x000D_
_x000D_
  screenshot 2018 10 31 11 53 12 (https:  user images githubusercontent com 5973208 47797708 99389f80 dd05 11e8 8fa4 261c5915bf6d png)_x000D_
  screenshot 2018 10 31 11 53 53 (https:  user images githubusercontent com 5973208 47797722 9d64bd00 dd05 11e8 8667 723ca8fbec05 png)_x000D_
  screenshot 2018 10 31 11 53 22 (https:  user images githubusercontent com 5973208 47797735 a190da80 dd05 11e8 992e 57cae448bb10 png)</t>
  </si>
  <si>
    <t>nikita36078-J2ME-Loader-404</t>
  </si>
  <si>
    <t>Fantasy Warrior 2 - Good</t>
  </si>
  <si>
    <t xml:space="preserve">Emulator version: 1 3 6_x000D_
_x000D_
Game version: Fantasy Warrior 2   Good 1 0 13_x000D_
_x000D_
Game resolution: 240x320_x000D_
_x000D_
Device: LG Optimus L70 (D320)_x000D_
_x000D_
Android version: Android Kit Kat 4 4 2_x000D_
_x000D_
Description of the issue:_x000D_
_x000D_
Everything works well until you have to face the first monster in the game  and when you face it  the emulator does not load the textures to battle _x000D_
PS: the game continues to emulate the sounds of battle and running without crashing _x000D_
_x000D_
  screenshot 2018 10 31 11 52 42 (https:  user images githubusercontent com 5973208 47797433 157eb300 dd05 11e8 92de ca5dfe4c7c52 png)_x000D_
  screenshot 2018 10 31 11 52 20 (https:  user images githubusercontent com 5973208 47797443 1a436700 dd05 11e8 84e8 37601795b03d png)_x000D_
  screenshot 2018 10 31 11 51 08 (https:  user images githubusercontent com 5973208 47797452 1d3e5780 dd05 11e8 9b43 db9816c426ab png)_x000D_
</t>
  </si>
  <si>
    <t>k9mail-k-9-3689</t>
  </si>
  <si>
    <t>Can't set a key from Openkeychain to an account</t>
  </si>
  <si>
    <t xml:space="preserve">I found some problems with  OpenKeychain (https:  github com k9mail k 9 issues utf8  E2 9C 93 q is 3Aissue is 3Aopen openkeychain)  One problem I found was  2601  very similar to this issue  but I prefer to open this issue to explain and show exactly what is happening   3289 is similar too  but it is a solved bug  so it might be caused by a different reason _x000D_
_x000D_
I think it is a problem with K 9 because another applications in which I use a key from OpenKeychain  as  Password Store (https:  github com zeapo Android Password Store)  works fine _x000D_
_x000D_
    Expected behavior_x000D_
My intention is to add a key to an email account  but I can t  The expected behavior is to set without problems the key _x000D_
_x000D_
    Actual behavior_x000D_
The system shows a notification telling me that OpenKeychain has crashed  After several times trying it  rebooting  uninstalling and reinstalling the app  I didn t achieve nothing and it keeps crashing _x000D_
_x000D_
    Steps to reproduce_x000D_
Below there is an animated gif in which you can see what I am trying to do to configurate the key _x000D_
_x000D_
1  Set the OpenPGP provider in Global configuration   Encryption (excuse me if the items of the menu are not the same  I am translating it from the strings in Spanish  the language I use) _x000D_
2  Then  try to set the key in Account configuration   Encryption   My key _x000D_
3  OpenKeychain crash _x000D_
_x000D_
  k9openkeychainissue (https:  user images githubusercontent com 8690921 47784818 a3a36b00 dcfe 11e8 9655 33da51726711 gif)_x000D_
_x000D_
    Environment_x000D_
  K 9 Mail version: 5 600 (downloaded from F Droid)_x000D_
  OpenKeychain version: 5 2 (downloaded from F Droid)_x000D_
  Android version: 7 1 1_x000D_
  Smartphone: Moto X Play_x000D_
  Account type (IMAP  POP3  WebDAV Exchange): IMAP_x000D_
    _x000D_
Of course  I take the opportunity to thank you for the development of this awesome mail client  the one I like more  I wish we could solve this issue  </t>
  </si>
  <si>
    <t>SwengGolfTeam-Sweng_Golf-94</t>
  </si>
  <si>
    <t>App crashes when deleting offer without a picture [1h]</t>
  </si>
  <si>
    <t xml:space="preserve">The app crashes when we are trying to delete an Offer that does not have an image _x000D_
It seems to be caused by the removal of the (non existing) picture in the storage </t>
  </si>
  <si>
    <t>nikita36078-J2ME-Loader-401</t>
  </si>
  <si>
    <t xml:space="preserve">Nature park </t>
  </si>
  <si>
    <t xml:space="preserve">  Emulator version:  _x000D_
1 3 6_x000D_
_x000D_
  Game version:  _x000D_
0 2_x000D_
_x000D_
  Game resolution:  _x000D_
  (For example  240x320 or 640x360)  _x000D_
128 128_x000D_
  Device:  _x000D_
  (For example  Samsung Galaxy S7)  _x000D_
xiaomi 1_x000D_
  Android version:  _x000D_
4 1 2_x000D_
  Description of the issue:  _x000D_
  (What s the problem    Screenshots showing the issue if applicable)  _x000D_
_x000D_
It is always crash when I choose new game and play it for a little while_x000D_
</t>
  </si>
  <si>
    <t>onaio-kujaku-164</t>
  </si>
  <si>
    <t>Sample App Crash onLocationChange</t>
  </si>
  <si>
    <t>We are getting a crash report just after the location changes when a user touches the Low level Add Point   Location services menu item  When looking at the log  it looks like there s a circular loop on line 184:_x000D_
_x000D_
https:  github com onaio kujaku blob dc77ae5cc47f9e0afcc05f1b3612ee47f095d375 library src main java io ona kujaku views KujakuMapView java L184_x000D_
_x000D_
Reproduction Steps:_x000D_
  Open Kujaku Sample App_x000D_
  Touch the hamburger menu_x000D_
  Touch Low level Add Point   Location Services text_x000D_
  Touch the Go to My Location button_x000D_
  (The radio activates  moves the point and the app immediately crashes)_x000D_
_x000D_
Logs:_x000D_
10 30 17:58:53 427  5588  5588 D AndroidRuntime: Shutting down VM_x000D_
10 30 17:58:53 615  5588  5588 E AndroidRuntime: FATAL EXCEPTION: main_x000D_
10 30 17:58:53 615  5588  5588 E AndroidRuntime: Process: io ona kujaku sample  PID: 5588_x000D_
10 30 17:58:53 615  5588  5588 E AndroidRuntime: java lang StackOverflowError: stack size 8MB_x000D_
10 30 17:58:53 615  5588  5588 E AndroidRuntime: 	at com mapbox mapboxsdk geometry LatLng  init (LatLng java:61)_x000D_
10 30 17:58:53 615  5588  5588 E AndroidRuntime: 	at io ona kujaku views KujakuMapView 4 1 onLocationChanged(KujakuMapView java:181)_x000D_
10 30 17:58:53 615  5588  5588 E AndroidRuntime: 	at io ona kujaku views KujakuMapView 4 1 onLocationChanged(KujakuMapView java:184)_x000D_
10 30 17:58:53 615  5588  5588 E AndroidRuntime: 	at io ona kujaku views KujakuMapView 4 1 onLocationChanged(KujakuMapView java:184)_x000D_
10 30 17:58:55 052  5588  5588 D Error   : ERR: TOTAL BYTES WRITTEN: 41252_x000D_
10 30 17:58:55 054  1140  4338 W ActivityManager:   Force finishing activity io ona kujaku sample  activities LowLevelLocationAddPointMapView_x000D_
10 30 17:58:55 062  1140  4338 D ActivityTrigger: ActivityTrigger activityPauseTrigger _x000D_
10 30 17:58:55 076  1140  1173 V BoostFramework: BoostFramework() : mPerf   com qualcomm qti Performance eb52eac_x000D_
10 30 17:58:55 078  1140  1173 V BoostFramework: BoostFramework() : mPerf   com qualcomm qti Performance c657775_x000D_
10 30 17:58:55 081  1140  1173 V BoostFramework: BoostFramework() : mPerf   com qualcomm qti Performance 560777b_x000D_
10 30 17:58:55 081  1140  1173 V BoostFramework: BoostFramework() : mPerf   com qualcomm qti Performance 29c8998_x000D_
10 30 17:58:55 091  1999  3567 D Tracker : track event S381</t>
  </si>
  <si>
    <t>microsoft-appcenter-sdk-android-855</t>
  </si>
  <si>
    <t>StackOverflowError on App start</t>
  </si>
  <si>
    <t xml:space="preserve">    _x000D_
    Thanks for your interest in using the App Center SDK for Android _x000D_
    If your issue is not related to using our Android SDK but rather about the product experience like the portal or CI _x000D_
    please create a ticket using the blue chat button on any page of the https:  appcenter ms portal instead _x000D_
    If you are using Xamarin  please report the issue on https:  github com Microsoft AppCenter SDK DotNet instead  _x000D_
   _x000D_
_x000D_
      Description  _x000D_
_x000D_
StackOverflowError during app start_x000D_
_x000D_
     If making a feature request  remove the below information    _x000D_
_x000D_
      Repro Steps  _x000D_
_x000D_
Please list the steps used to reproduce your issue _x000D_
_x000D_
1  connect app to app center with provided code_x000D_
2  after using you app for a while  when it crashes  bad things happen_x000D_
_x000D_
      Details  _x000D_
_x000D_
1  Which SDK version are you using _x000D_
      1 8 0_x000D_
2  Which OS version did you experience the issue on _x000D_
      Android 7 0_x000D_
3  What device version did you see this error on   Were you using an emulator or a physical device _x000D_
      physical tablet device_x000D_
4  What third party libraries are you using _x000D_
      lots of them  but I lack to see the importance here_x000D_
_x000D_
5  Please enable verbose logging for your app using  AppCenter setLogLevel(Log VERBOSE)  before your call to  AppCenter start(   )  and include the logs here:_x000D_
_x000D_
I will work on collecting the logs  as I need a new deploy  but for now  here is the stack trace:_x000D_
   _x000D_
STACK TRACE: java lang StackOverflowError_x000D_
	at dalvik system BlockGuard getThreadPolicy(BlockGuard java:140)_x000D_
	at libcore io BlockGuardOs read(BlockGuardOs java:148)_x000D_
	at libcore io IoBridge read(IoBridge java:432)_x000D_
	at java io FileInputStream read(FileInputStream java:179)_x000D_
	at libcore io Streams readSingleByte(Streams java:41)_x000D_
	at java io FileInputStream read(FileInputStream java:175)_x000D_
	at java io FilterInputStream read(FilterInputStream java:114)_x000D_
	at java io ObjectInputStream checkReadPrimitiveTypes(ObjectInputStream java:405)_x000D_
	at java io ObjectInputStream readNonPrimitiveContent(ObjectInputStream java:770)_x000D_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java io ObjectInputStream readFieldValues(ObjectInputStream java:1137)_x000D_
	at java io ObjectInputStream defaultReadObject(ObjectInputStream java:455)_x000D_
	at java lang Throwable readObject(Throwable java:444)_x000D_
	at java lang reflect Method invokeNative(Native Method)_x000D_
	at java lang reflect Method invoke(Method java:511)_x000D_
	at java io ObjectInputStream readObjectForClass(ObjectInputStream java:1354)_x000D_
	at java io ObjectInputStream readHierarchy(ObjectInputStream java:1266)_x000D_
	at java io ObjectInputStream readNewObject(ObjectInputStream java:1855)_x000D_
	at java io ObjectInputStream readNonPrimitiveContent(ObjectInputStream java:787)_x000D_
	at java io ObjectInputStream readObject(ObjectInputStream java:2003)_x000D_
	at java io ObjectInputStream readObject(ObjectInputStream java:1960)_x000D_
	at com microsoft appcenter utils storage StorageHelper InternalStorage readObject(StorageHelper java:425)_x000D_
	at com microsoft appcenter crashes Crashes buildErrorReport(Crashes java:750)_x000D_
	at com microsoft appcenter crashes Crashes processPendingErrors(Crashes java:646)_x000D_
	at com microsoft appcenter crashes Crashes onStarted(Crashes java:367)_x000D_
	at com microsoft appcenter AppCenter finishStartServices(AppCenter java:787)_x000D_
	at com microsoft appcenter AppCenter access 500(AppCenter java:49)_x000D_
	at com microsoft appcenter AppCenter 8 run(AppCenter java:709)_x000D_
	at android os Handler handleCallback(Handler java:615)_x000D_
	at android os Handler dispatchMessage(Handler java:92)_x000D_
	at android os Looper loop(Looper java:137)_x000D_
	at android os HandlerThread run(HandlerThread java:60)_x000D_
   _x000D_
</t>
  </si>
  <si>
    <t>NordicSemiconductor-Android-BLE-Library-39</t>
  </si>
  <si>
    <t>getGattCallback null object</t>
  </si>
  <si>
    <t xml:space="preserve">Hi _x000D_
_x000D_
I ve had 2 of my users recently crash with the following null object crash on beta5 version of the library  I m unsure what exactly is happening at the moment in time before it crashes as I ve never seen this on my devices  but wanted to share it in case there is something obvious you can spot  _x000D_
I have several hundred other users all using the app (and library) without problem  so don t think this is a huge problem  _x000D_
   _x000D_
Fatal Exception: java lang NullPointerException: Attempt to invoke virtual method  void no nordicsemi android ble a a a(android os Handler)  on a null object reference_x000D_
       at no nordicsemi android ble BleManager getGattCallback(BleManager java:680)_x000D_
       at no nordicsemi android ble BleManager getGattCallback(BleManager java:114)_x000D_
       at no nordicsemi android ble BleManager BleManagerGattCallback lambda onConnectionStateChangeSafe 1(BleManager java:2237)_x000D_
       at no nordicsemi android ble BleManager BleManagerGattCallback lambda hHV dPbGJHyD KM5FND5GY7KZA0(Unknown Source)_x000D_
       at no nordicsemi android ble    Lambda a a hHV dPbGJHyD KM5FND5GY7KZA0 run(Unknown Source:4)_x000D_
       at android os Handler handleCallback(Handler java:789)_x000D_
       at android os Handler dispatchMessage(Handler java:98)_x000D_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t>
  </si>
  <si>
    <t>Haptic-Apps-Slide-2881</t>
  </si>
  <si>
    <t>Shadowbox crashes after viewing many gifs</t>
  </si>
  <si>
    <t xml:space="preserve">Slide version: 5 9 alpha2_x000D_
Android version: 8 1 0_x000D_
_x000D_
The following error occurs when I am in shadowbox mode and scroll through many gifs  getting to the end of what s loaded _x000D_
_x000D_
      _x000D_
          beginning of crash_x000D_
2018 10 29 20:58:07 998 22302 22302   E AndroidRuntime: FATAL EXCEPTION: main_x000D_
    Process: me ccrama redditslide  PID: 22302_x000D_
    java lang IllegalStateException: The application s PagerAdapter changed the adapter s contents without calling PagerAdapter notifyDataSetChanged  Expected adapter item count: 200  found: 225 Pager id: me ccrama redditslide:id content view Pager class: class android support v4 view ViewPager Problematic adapter: class me ccrama redditslide Activities Shadowbox OverviewPagerAdapter_x000D_
        at android support v4 view ViewPager populate(ViewPager java:1137)_x000D_
        at android support v4 view ViewPager populate(ViewPager java:1086)_x000D_
        at android support v4 view ViewPager onMeasure(ViewPager java:1616)_x000D_
        at android view View measure(View java:22071)_x000D_
        at android view ViewGroup measureChildWithMargins(ViewGroup java:6602)_x000D_
        at android support design widget CoordinatorLayout onMeasureChild(CoordinatorLayout java:739)_x000D_
        at android support design widget CoordinatorLayout onMeasure(CoordinatorLayout java:811)_x000D_
        at android view View measure(View java:22071)_x000D_
        at android view ViewGroup measureChildWithMargins(ViewGroup java:6602)_x000D_
        at android widget FrameLayout onMeasure(FrameLayout java:185)_x000D_
        at android support v7 widget ContentFrameLayout onMeasure(ContentFrameLayout java:141)_x000D_
        at android view View measure(View java:22071)_x000D_
        at android view ViewGroup measureChildWithMargins(ViewGroup java:6602)_x000D_
        at android widget LinearLayout measureChildBeforeLayout(LinearLayout java:1514)_x000D_
        at android widget LinearLayout measureVertical(LinearLayout java:806)_x000D_
        at android widget LinearLayout onMeasure(LinearLayout java:685)_x000D_
        at android view View measure(View java:22071)_x000D_
        at android view ViewGroup measureChildWithMargins(ViewGroup java:6602)_x000D_
        at android widget FrameLayout onMeasure(FrameLayout java:185)_x000D_
        at android view View measure(View java:22071)_x000D_
        at android view ViewGroup measureChildWithMargins(ViewGroup java:6602)_x000D_
        at android widget LinearLayout measureChildBeforeLayout(LinearLayout java:1514)_x000D_
        at android widget LinearLayout measureVertical(LinearLayout java:806)_x000D_
        at android widget LinearLayout onMeasure(LinearLayout java:685)_x000D_
        at android view View measure(View java:22071)_x000D_
        at android view ViewGroup measureChildWithMargins(ViewGroup java:6602)_x000D_
        at android widget FrameLayout onMeasure(FrameLayout java:185)_x000D_
        at android view View measure(View java:22071)_x000D_
        at android view ViewGroup measureChildWithMargins(ViewGroup java:6602)_x000D_
        at android widget FrameLayout onMeasure(FrameLayout java:185)_x000D_
        at com android internal policy DecorView onMeasure(DecorView java:724)_x000D_
        at android view View measure(View java:22071)_x000D_
        at android view ViewRootImpl performMeasure(ViewRootImpl java:2422)_x000D_
        at android view ViewRootImpl measureHierarchy(ViewRootImpl java:1504)_x000D_
        at android view ViewRootImpl performTraversals(ViewRootImpl java:1761)_x000D_
        at android view ViewRootImpl doTraversal(ViewRootImpl java:1392)_x000D_
        at android view ViewRootImpl TraversalRunnable run(ViewRootImpl java:6752)_x000D_
        at android view Choreographer CallbackRecord run(Choreographer java:911)_x000D_
        at android view Choreographer doCallbacks(Choreographer java:723)_x000D_
        at android view Choreographer doFrame(Choreographer java:658)_x000D_
        at android view Choreographer FrameDisplayEventReceiver run(Choreographer java:897)_x000D_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t>
  </si>
  <si>
    <t>erickok-transdroid-469</t>
  </si>
  <si>
    <t>Crashed on Nexus 6P</t>
  </si>
  <si>
    <t xml:space="preserve">I installed version is 2 5 13 from Google Play Store but it crashed after I pressed home button Here is the crash log:_x000D_
 E AndroidRuntime: FATAL EXCEPTION: main_x000D_
    Process: org transdroid lite  PID: 13214_x000D_
    java lang NullPointerException: Attempt to invoke virtual method  android widget ListAdapter android widget ListView getAdapter()  on a null object reference_x000D_
        at org transdroid core gui TorrentsFragment updateViewVisibility(TorrentsFragment java:467)_x000D_
        at org transdroid core gui TorrentsFragment updateIsLoading(TorrentsFragment java:445)_x000D_
        at org transdroid core gui TorrentsActivity onTorrentsRetrieved(TorrentsActivity java:1310)_x000D_
        at org transdroid core gui TorrentsActivity  access 201(TorrentsActivity  java:44)_x000D_
        at org transdroid core gui TorrentsActivity  5 run(TorrentsActivity  java:283)_x000D_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 </t>
  </si>
  <si>
    <t>GluuFederation-android-super-gluu-35</t>
  </si>
  <si>
    <t>iOS: Super Gluu crashes upon QR code scan</t>
  </si>
  <si>
    <t xml:space="preserve"> soulfoodz  please have a look:_x000D_
 _x000D_
Steps:_x000D_
_x000D_
1  In the Gluu Server VM settings  change Network Adapter connection type from NAT to Bridged  The Gluu Server and smartphone should be connected to WiFi on the same local network_x000D_
2  Log into the VM and run ifconfig in the terminal to get the IP address of the Gluu Server_x000D_
3  In oxTrust  enable the Super Gluu authentication script_x000D_
4  Update the host file on the machine where you are running the browser to log in_x000D_
5  Try to log in using iOS Super Gluu and scan the code_x000D_
_x000D_
Expected: Since the testing config isn t complete  there should be a warning in the app that the authenticaition failed or the QR code isn t recognized _x000D_
_x000D_
Actual:   The app crashes and I m blocked with further tests:  _x000D_
 ScreenRecording 10 30 2018 10 52 41 MP4 zip (https:  github com GluuFederation super gluu files 2527596 ScreenRecording 10 30 2018 10 52 41 MP4 zip)_x000D_
_x000D_
Tested on an iPhone 6s  with ios 11 4 1 _x000D_
Worked fine with Android app from Google store:_x000D_
_x000D_
 img width  1106  alt  oxauth 2018 10 30 19 02 46  src  https:  user images githubusercontent com 38302725 47704222 0bae6e80 dc77 11e8 8ca6 048bd25bd5eb png  _x000D_
</t>
  </si>
  <si>
    <t>mapbox-mapbox-events-android-265</t>
  </si>
  <si>
    <t>Fix TelemetryService and applicationContext issue</t>
  </si>
  <si>
    <t xml:space="preserve">Addresses: https:  github com mapbox mapbox events android issues 263_x000D_
_x000D_
Address issue where static applicationContext set by the activity is null  but service is still operating  Lifecycles are detached and can cause potential issues in lower API levels  Goal is to test and prevent crash from occurring  If possible  refactor all tangental code ran by the service to prevent this as well </t>
  </si>
  <si>
    <t>TeamNewPipe-NewPipe-1855</t>
  </si>
  <si>
    <t>Popup Player Crash</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</si>
  <si>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Exception_x000D_
    User Action:   ui error_x000D_
    Request:   App crash  UI failure_x000D_
    Content Language:   GB_x000D_
    Service:   none_x000D_
    Version:   0 14 2_x000D_
    OS:   Linux Android 7 1 2   25_x000D_
    More Information:   Galaxy S6  LineageOS 14 1  App from F Droid_x000D_
_x000D_
I also know you do not want crash logs in issue section but this happens not only on my device _x000D_
I know there is xposed installed BUT xposed does NOT touch this app in any way _x000D_
_x000D_
The popup player starts and loads the video and when it tries to play the video it ends with a crash _x000D_
_x000D_
 details  summary  b Crash log  b   summary  p _x000D_
_x000D_
   _x000D_
java lang RuntimeException: Unable to stop activity  org schabi newpipe org schabi newpipe player MainVideoPlayer : java lang NullPointerException: Attempt to invoke virtual method  int com google android exoplayer2 SimpleExoPlayer getPlaybackState()  on a null object reference_x000D_
	at android app ActivityThread performDestroyActivity(ActivityThread java:4202)_x000D_
	at android app ActivityThread handleDestroyActivity(ActivityThread java:4258)_x000D_
	at android app ActivityThread  wrap6(ActivityThread java)_x000D_
	at android app ActivityThread H handleMessage(ActivityThread java:1557)_x000D_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at de robv android xposed XposedBridge main(XposedBridge java:107)_x000D_
Caused by: java lang NullPointerException: Attempt to invoke virtual method  int com google android exoplayer2 SimpleExoPlayer getPlaybackState()  on a null object reference_x000D_
	at org schabi newpipe player BasePlayer isPlaying(BasePlayer java:1109)_x000D_
	at org schabi newpipe player MainVideoPlayer createPlayerState(MainVideoPlayer java:252)_x000D_
	at org schabi newpipe player MainVideoPlayer onStop(MainVideoPlayer java:237)_x000D_
	at android app Instrumentation callActivityOnStop(Instrumentation java:1290)_x000D_
	at android app Activity performStop(Activity java:6859)_x000D_
	at android app ActivityThread performDestroyActivity(ActivityThread java:4197)_x000D_
	    10 more_x000D_
java lang NullPointerException: Attempt to invoke virtual method  int com google android exoplayer2 SimpleExoPlayer getPlaybackState()  on a null object reference_x000D_
	at org schabi newpipe player BasePlayer isPlaying(BasePlayer java:1109)_x000D_
	at org schabi newpipe player MainVideoPlayer createPlayerState(MainVideoPlayer java:252)_x000D_
	at org schabi newpipe player MainVideoPlayer onStop(MainVideoPlayer java:237)_x000D_
	at android app Instrumentation callActivityOnStop(Instrumentation java:1290)_x000D_
	at android app Activity performStop(Activity java:6859)_x000D_
	at android app ActivityThread performDestroyActivity(ActivityThread java:4197)_x000D_
	at android app ActivityThread handleDestroyActivity(ActivityThread java:4258)_x000D_
	at android app ActivityThread  wrap6(ActivityThread java)_x000D_
	at android app ActivityThread H handleMessage(ActivityThread java:1557)_x000D_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at de robv android xposed XposedBridge main(XposedBridge java:107)_x000D_
_x000D_
   _x000D_
  p   details _x000D_
 hr _x000D_
</t>
  </si>
  <si>
    <t>nikita36078-J2ME-Loader-400</t>
  </si>
  <si>
    <t xml:space="preserve">Splinter Cell: Extended Ops </t>
  </si>
  <si>
    <t xml:space="preserve">  Emulator version:  _x000D_
1 3 6 play_x000D_
_x000D_
  Game version:  _x000D_
1 0 2_x000D_
_x000D_
  Game resolution:  _x000D_
176x220_x000D_
_x000D_
  Device:  _x000D_
Lenovo a536_x000D_
_x000D_
  Android version:  _x000D_
4 4 2_x000D_
  Description of the issue:  _x000D_
Game immediately crashes after loading and returns to j2me loader menu_x000D_
_x000D_
</t>
  </si>
  <si>
    <t>mapbox-mapbox-events-android-263</t>
  </si>
  <si>
    <t>Migrate TelemetryService to using getApplicationContext()</t>
  </si>
  <si>
    <t>Address this work: https:  github com mapbox mapbox events android issues 146 issuecomment 433968009_x000D_
_x000D_
To prevent possible instances where  MapboxTelemetry applicationContext  is null due to differing lifecycles  we will migrate from using this static context within our  TelemetryService  to using  getApplicationContext()   This will prevent odd crashes we are noticing in over managed OS s and under odd corner cases  where context is not set  but processes are running _x000D_
_x000D_
   x  remove all reference to  MapboxTelemetry applicationContext  from  TelemetryService _x000D_
   x  replace with  getApplicationContext() _x000D_
   x  remove context check method_x000D_
   x  add tests to confirm working fix</t>
  </si>
  <si>
    <t>dimagi-commcare-android-2039</t>
  </si>
  <si>
    <t>Handles Downloads documents uri with String path</t>
  </si>
  <si>
    <t xml:space="preserve">Noticed that in an Android 8 1 Lava phone that ICDS is planning to roll out if the ccz is kept in downloads folder then the file providers (stock and Amaze) return a uri with this format    content:  com android providers downloads documents document raw: storage emulated 0 Download cczfile ccz _x000D_
_x000D_
This results in a crash since we were always assuming downloads documents uri to be succedded by the row id and not actual path   </t>
  </si>
  <si>
    <t>commons-app-apps-android-commons-1959</t>
  </si>
  <si>
    <t>Crash on notification and fails on image upload</t>
  </si>
  <si>
    <t xml:space="preserve">  Summary:   _x000D_
_x000D_
The app crash when ever I click on the Notification feature and I was unable to upload image  showing  Failed  most time I tried_x000D_
_x000D_
_x000D_
  Steps to reproduce:   _x000D_
_x000D_
Quite easy _x000D_
Login and click on the  Notification  it crashes _x000D_
Also  the second issues is quite simple as I only tried to upload image _x000D_
_x000D_
  Add System logs:  _x000D_
_x000D_
  Device and Android version:   _x000D_
_x000D_
Tecno droid pad _x000D_
Android 5 0_x000D_
1gb Ram and 16gb Rom_x000D_
_x000D_
  Screen shots:   _x000D_
_x000D_
  20181029 054242 (https:  user images githubusercontent com 35191441 47638307 820b7d80 db5e 11e8 976d f72b1c1436c7 gif)_x000D_
_x000D_
_x000D_
_x000D_
  Would you like to work on the issue   _x000D_
I would have love to solve this issue but I am not a developer _x000D_
</t>
  </si>
  <si>
    <t>MozillaReality-FirefoxReality-683</t>
  </si>
  <si>
    <t>The GeckoView crash reporter fails to be triggered by native crashes not in Gecko</t>
  </si>
  <si>
    <t>Reported by  bluemarvin _x000D_
_x000D_
On both HTC Wave and Oculus Mobile platforms  the GeckoView crash reporter fails to be triggered by native crashes out side of Gecko  In Firefox Reality  there is a render thread that is not part of Gecko  Any crashes in that thread fail to trigger the crash reporter on both platforms  On Google s Daydream platform the crash reporter does get triggered by crashes in the external render loop _x000D_
_x000D_
https:  bugzilla mozilla org show bug cgi id 1493232</t>
  </si>
  <si>
    <t>nikita36078-J2ME-Loader-392</t>
  </si>
  <si>
    <t>Wechat</t>
  </si>
  <si>
    <t xml:space="preserve">  Emulator version:  _x000D_
1 3 6_x000D_
_x000D_
  Game version:  _x000D_
_x000D_
2 0 2_x000D_
  Game resolution:  _x000D_
  (For example  240x320 or 640x360)  _x000D_
240 320_x000D_
  Device:  _x000D_
  (For example  Samsung Galaxy S7)  _x000D_
Xiaomi 1_x000D_
  Android version:  _x000D_
4 1 2_x000D_
  Description of the issue:  _x000D_
  (What s the problem    Screenshots showing the issue if applicable)  _x000D_
_x000D_
Can t open wechat When I open it it crash</t>
  </si>
  <si>
    <t>aws-amplify-aws-sdk-android-556</t>
  </si>
  <si>
    <t>AmazonClientException crashes app on bad network</t>
  </si>
  <si>
    <t xml:space="preserve">Hey there _x000D_
using com amazonaws:aws android sdk iot:2 7 6 to connect to my service  is crashing my app _x000D_
_x000D_
Full stack is below  but basically I see that this call:_x000D_
_x000D_
https:  github com aws aws sdk android blob master aws android sdk iot src main java com amazonaws mobileconnectors iot AWSIotMqttManager java L720_x000D_
_x000D_
running in an anonymous thread will not catch AmazonClientException _x000D_
_x000D_
Off course  no matter how I call it  this will always crash _x000D_
_x000D_
   _x000D_
    fun load()_x000D_
     _x000D_
           MQTT client IDs are required to be unique per AWS IoT account _x000D_
        clientId   MiscUtil getAndroidId()_x000D_
_x000D_
        topic    xyz123 _x000D_
_x000D_
           Initialize the AWS Cognito credentials provider_x000D_
        credentialsProvider   CognitoCachingCredentialsProvider(App app  COGNITO POOL ID  IOT REGION)_x000D_
_x000D_
           MQTT Client_x000D_
        mqttManager   AWSIotMqttManager(clientId  IOT ENDPOINT)_x000D_
     _x000D_
_x000D_
   _x000D_
_x000D_
Above method is called under a try catch  not depicted above _x000D_
_x000D_
Can we fix this _x000D_
_x000D_
Full stack follow:_x000D_
   _x000D_
com amazonaws AmazonClientException: Unable to execute HTTP request: Unable to resolve host  cognito identity us west 2 amazonaws com : No address associated with hostname_x000D_
	at com amazonaws http AmazonHttpClient executeHelper(AmazonHttpClient java:441)_x000D_
	at com amazonaws http AmazonHttpClient execute(AmazonHttpClient java:212)_x000D_
	at com amazonaws services cognitoidentity AmazonCognitoIdentityClient invoke(AmazonCognitoIdentityClient java:566)_x000D_
	at com amazonaws services cognitoidentity AmazonCognitoIdentityClient getCredentialsForIdentity(AmazonCognitoIdentityClient java:389)_x000D_
	at com amazonaws auth CognitoCredentialsProvider populateCredentialsWithCognito(CognitoCredentialsProvider java:782)_x000D_
	at com amazonaws auth CognitoCredentialsProvider startSession(CognitoCredentialsProvider java:694)_x000D_
	at com amazonaws auth CognitoCredentialsProvider getCredentials(CognitoCredentialsProvider java:465)_x000D_
	at com amazonaws auth CognitoCachingCredentialsProvider getCredentials(CognitoCachingCredentialsProvider java:485)_x000D_
	at com amazonaws auth CognitoCachingCredentialsProvider getCredentials(CognitoCachingCredentialsProvider java:77)_x000D_
	at com amazonaws mobileconnectors iot AWSIotMqttManager 1 run(AWSIotMqttManager java:720)_x000D_
	at java lang Thread run(Thread java:761)_x000D_
Caused by: java net UnknownHostException: Unable to resolve host  cognito identity us west 2 amazonaws com : No address associated with hostname_x000D_
	at java net Inet6AddressImpl lookupHostByName(Inet6AddressImpl java:95)_x000D_
	at java net Inet6AddressImpl lookupAllHostAddr(Inet6AddressImpl java:74)_x000D_
	at java net InetAddress getAllByName(InetAddress java:757)_x000D_
	at com android okhttp internal Network 1 resolveInetAddresses(Network java:29)_x000D_
	at com android okhttp internal http RouteSelector resetNextInetSocketAddress(RouteSelector java:187)_x000D_
	at com android okhttp internal http RouteSelector nextProxy(RouteSelector java:156)_x000D_
	at com android okhttp internal http RouteSelector next(RouteSelector java:98)_x000D_
	at com android okhttp internal http HttpEngine createNextConnection(HttpEngine java:372)_x000D_
	at com android okhttp internal http HttpEngine connect(HttpEngine java:355)_x000D_
	at com android okhttp internal http HttpEngine sendRequest(HttpEngine java:273)_x000D_
	at com android okhttp internal huc HttpURLConnectionImpl execute(HttpURLConnectionImpl java:474)_x000D_
	at com android okhttp internal huc HttpURLConnectionImpl connect(HttpURLConnectionImpl java:126)_x000D_
	at com android okhttp internal huc HttpURLConnectionImpl getOutputStream(HttpURLConnectionImpl java:257)_x000D_
	at com android okhttp internal huc DelegatingHttpsURLConnection getOutputStream(DelegatingHttpsURLConnection java:218)_x000D_
	at com android okhttp internal huc HttpsURLConnectionImpl getOutputStream(HttpsURLConnectionImpl java)_x000D_
	at com amazonaws http UrlHttpClient writeContentToConnection(UrlHttpClient java:162)_x000D_
	at com amazonaws http UrlHttpClient execute(UrlHttpClient java:75)_x000D_
	at com amazonaws http AmazonHttpClient executeHelper(AmazonHttpClient java:371)_x000D_
	    10 more_x000D_
java net UnknownHostException: Unable to resolve host  cognito identity us west 2 amazonaws com : No address associated with hostname_x000D_
	at java net Inet6AddressImpl lookupHostByName(Inet6AddressImpl java:95)_x000D_
	at java net Inet6AddressImpl lookupAllHostAddr(Inet6AddressImpl java:74)_x000D_
	at java net InetAddress getAllByName(InetAddress java:757)_x000D_
	at com android okhttp internal Network 1 resolveInetAddresses(Network java:29)_x000D_
	at com android okhttp internal http RouteSelector resetNextInetSocketAddress(RouteSelector java:187)_x000D_
	at com android okhttp internal http RouteSelector nextProxy(RouteSelector java:156)_x000D_
	at com android okhttp internal http RouteSelector next(RouteSelector java:98)_x000D_
	at com android okhttp internal http HttpEngine createNextConnection(HttpEngine java:372)_x000D_
	at com android okhttp internal http HttpEngine connect(HttpEngine java:355)_x000D_
	at com android okhttp internal http HttpEngine sendRequest(HttpEngine java:273)_x000D_
	at com android okhttp internal huc HttpURLConnectionImpl execute(HttpURLConnectionImpl java:474)_x000D_
	at com android okhttp internal huc HttpURLConnectionImpl connect(HttpURLConnectionImpl java:126)_x000D_
	at com android okhttp internal huc HttpURLConnectionImpl getOutputStream(HttpURLConnectionImpl java:257)_x000D_
	at com android okhttp internal huc DelegatingHttpsURLConnection getOutputStream(DelegatingHttpsURLConnection java:218)_x000D_
	at com android okhttp internal huc HttpsURLConnectionImpl getOutputStream(HttpsURLConnectionImpl java)_x000D_
	at com amazonaws http UrlHttpClient writeContentToConnection(UrlHttpClient java:162)_x000D_
	at com amazonaws http UrlHttpClient execute(UrlHttpClient java:75)_x000D_
	at com amazonaws http AmazonHttpClient executeHelper(AmazonHttpClient java:371)_x000D_
	at com amazonaws http AmazonHttpClient execute(AmazonHttpClient java:212)_x000D_
	at com amazonaws services cognitoidentity AmazonCognitoIdentityClient invoke(AmazonCognitoIdentityClient java:566)_x000D_
	at com amazonaws services cognitoidentity AmazonCognitoIdentityClient getCredentialsForIdentity(AmazonCognitoIdentityClient java:389)_x000D_
	at com amazonaws auth CognitoCredentialsProvider populateCredentialsWithCognito(CognitoCredentialsProvider java:782)_x000D_
	at com amazonaws auth CognitoCredentialsProvider startSession(CognitoCredentialsProvider java:694)_x000D_
	at com amazonaws auth CognitoCredentialsProvider getCredentials(CognitoCredentialsProvider java:465)_x000D_
	at com amazonaws auth CognitoCachingCredentialsProvider getCredentials(CognitoCachingCredentialsProvider java:485)_x000D_
	at com amazonaws auth CognitoCachingCredentialsProvider getCredentials(CognitoCachingCredentialsProvider java:77)_x000D_
	at com amazonaws mobileconnectors iot AWSIotMqttManager 1 run(AWSIotMqttManager java:720)_x000D_
	at java lang Thread run(Thread java:761)_x000D_
   </t>
  </si>
  <si>
    <t>NordicSemiconductor-Android-DFU-Library-143</t>
  </si>
  <si>
    <t>Fatal Exception: java.lang.NullPointerException Attempt to get length of null array</t>
  </si>
  <si>
    <t xml:space="preserve">A crash was reported in our app that bundles version 1 7 0 of the DFU library  Details below:_x000D_
_x000D_
Device_x000D_
Brand: samsung_x000D_
Model: SM G950F_x000D_
Orientation: Portrait_x000D_
RAM free: 1 28 GB_x000D_
Disk free: 47 78 GB_x000D_
_x000D_
Operating System_x000D_
Version: 8 0 0_x000D_
Orientation: Portrait_x000D_
Rooted: No_x000D_
_x000D_
   _x000D_
no nordicsemi android dfu internal ArchiveInputStream read (ArchiveInputStream java:338)_x000D_
no nordicsemi android dfu SecureDfuImpl sendFirmware (SecureDfuImpl java:461)_x000D_
no nordicsemi android dfu SecureDfuImpl performDfu (SecureDfuImpl java:221)_x000D_
no nordicsemi android dfu DfuBaseService onHandleIntent (DfuBaseService java:1186)_x000D_
android app IntentService ServiceHandler handleMessage (IntentService java:68)_x000D_
android os Handler dispatchMessage (Handler java:105)_x000D_
android os Looper loop (Looper java:164)_x000D_
android os HandlerThread run (HandlerThread java:65)_x000D_
   </t>
  </si>
  <si>
    <t>doublesymmetry-react-native-track-player-316</t>
  </si>
  <si>
    <t xml:space="preserve">[Android] Can't play file from network </t>
  </si>
  <si>
    <t xml:space="preserve">Hi  after testing the iOS version I am back with some feedback on the Android version which is not working for me for the moment _x000D_
_x000D_
The project is linked as described in the documentation and I also added the   Circular Reference  lines just in case (like describe here : https:  github com react native kit react native track player wiki Installation android circular referencecomandroidtoolsr8apilevelexception default interface methods are only supported starting with android n   min api 24) _x000D_
_x000D_
  My configuration :   _x000D_
_x000D_
package json_x000D_
   _x000D_
     react :  16 3 1  _x000D_
     react native :  0 55 4  _x000D_
     react native track player :   1 0 0  _x000D_
   _x000D_
_x000D_
Simulator Android_x000D_
 img width  445  alt  capture d ecran 2018 10 25 a 11 10 20  src  https:  user images githubusercontent com 26909067 47489312 9857c780 d846 11e8 8b38 9a090710bf52 png  _x000D_
_x000D_
I tried using both default configuration of the player and also this one : _x000D_
   _x000D_
 _x000D_
     exoplayer : true _x000D_
     cache : true _x000D_
     dash : false _x000D_
     hls : false _x000D_
     smoothstreaming : false _x000D_
     castApplicationId : null _x000D_
     auto : false_x000D_
   _x000D_
    _x000D_
_x000D_
index js_x000D_
    _x000D_
AppRegistry registerComponent( xxx   ()    StatusBarWarpper) _x000D_
TrackPlayer registerEventHandler(require(   player handler js )) _x000D_
    _x000D_
_x000D_
player handler js_x000D_
   _x000D_
import TrackPlayer from  react native track player  _x000D_
_x000D_
module exports   async (data)     _x000D_
  console log( la   data type  data) _x000D_
  if (data type      playback state )  _x000D_
       Update the UI with the new state_x000D_
    else if (data type      remote play )  _x000D_
    TrackPlayer play() _x000D_
    else if (data type      remote pause )  _x000D_
    TrackPlayer pause() _x000D_
    else if (data type      remote seek )  _x000D_
    TrackPlayer seekTo(data position) _x000D_
    else if (data type      remote jump backward )  _x000D_
    TrackPlayer getPosition() then((position)     _x000D_
      TrackPlayer seekTo(position   data interval) _x000D_
     ) _x000D_
    else if (data type      remote jump forward )  _x000D_
    TrackPlayer getPosition() then((position)     _x000D_
      TrackPlayer seekTo(position   data interval) _x000D_
     ) _x000D_
    else if (data type      playback queue ended )  _x000D_
    TrackPlayer reset() _x000D_
   _x000D_
  _x000D_
   _x000D_
Player stuffs_x000D_
   _x000D_
static async initPlayer()  _x000D_
    await TrackPlayer setupPlayer() then(()    console log( created )) _x000D_
    TrackPlayer updateOptions( _x000D_
      jumpInterval: 60 _x000D_
         The maximum height or width that the artwork can have  It will be resized when necessary  The lower the number is  the lower is the memory used_x000D_
         maxArtworkSize: 800 _x000D_
_x000D_
         An array of media controls capabilities_x000D_
         Can contain CAPABILITY PLAY  CAPABILITY PAUSE  CAPABILITY STOP  CAPABILITY SEEK TO _x000D_
         CAPABILITY SKIP TO NEXT  CAPABILITY SKIP TO PREVIOUS  CAPABILITY SET RATING_x000D_
      capabilities:  _x000D_
        TrackPlayer CAPABILITY PLAY _x000D_
        TrackPlayer CAPABILITY PAUSE _x000D_
        TrackPlayer CAPABILITY SEEK TO _x000D_
        TrackPlayer CAPABILITY JUMP FORWARD _x000D_
        TrackPlayer CAPABILITY JUMP BACKWARD _x000D_
        _x000D_
_x000D_
         Notification Color (Must be an ARGB Hexadecimal number)_x000D_
      color:  red  _x000D_
     ) _x000D_
   _x000D_
_x000D_
  static addTrack(path: string)  _x000D_
    if (path    path length    0)  _x000D_
      const track    _x000D_
        id:  u234325245lezkj  _x000D_
_x000D_
        url: path     Load media from the network_x000D_
           url: require(   avaritia mp4 )     Load media from the app bundle_x000D_
_x000D_
        title:  Avaritia  _x000D_
        artist:  deadmau5  _x000D_
        album:  while(1 2)  _x000D_
        genre:  Progressive House  Electro House  _x000D_
        date:  2014 05 20T07:00:00 00:00      RFC 3339_x000D_
_x000D_
        artwork:  https:  www luxuryhomestore co uk ekmps shops 1aec64 images patrice murciano liquid resin paint large artwork monkey dj 2133 p jpeg      Load artwork from the network_x000D_
           artwork: require(   avaritia jpg )     Load artwork from the app bundle_x000D_
        _x000D_
      return TrackPlayer add(track) _x000D_
     _x000D_
    return null _x000D_
   _x000D_
_x000D_
  static async playPause()  _x000D_
       State is one of STATE NONE  STATE PLAYING  STATE PAUSED  STATE STOPPED  STATE BUFFERING_x000D_
    const state   await TrackPlayer getState() _x000D_
    if (state     TrackPlayer STATE PLAYING)  _x000D_
      TrackPlayer pause() _x000D_
      else if (state     TrackPlayer STATE PAUSED_x000D_
         state     TrackPlayer STATE STOPPED)  _x000D_
      TrackPlayer play() _x000D_
     _x000D_
   _x000D_
   _x000D_
  Problems  _x000D_
As soon as I start the app and create the player  I start getting event loop from the player into the player handler js  _x000D_
_x000D_
   _x000D_
la undefined          PLAYER NOT CREATED_x000D_
blob:http:  localhos 7817a5138489:126212 created       PLAYER CREATED_x000D_
blob:http:  localhos 7817a5138489:181812 la playback state  type:  playback state   state: 1 _x000D_
blob:http:  localhos 7817a5138489:181812 la playback queue ended  type:  playback queue ended   position: 0  track: null _x000D_
blob:http:  localhos 7817a5138489:181812 la playback state  type:  playback state   state: 0 _x000D_
blob:http:  localhos 7817a5138489:181812 la playback state  type:  playback state   state: 1 _x000D_
blob:http:  localhos 7817a5138489:181812 la playback queue ended  type:  playback queue ended   position: 0  track: null _x000D_
blob:http:  localhos 7817a5138489:181812 la playback state  type:  playback state   state: 0 _x000D_
blob:http:  localhos 7817a5138489:181812 la playback state  type:  playback state   state: 1 _x000D_
blob:http:  localhos 7817a5138489:181812 la playback queue ended  type:  playback queue ended   position: 0  track: null _x000D_
   _x000D_
   _x000D_
_x000D_
And after adding my track (that is working on iOS) I get another loop : _x000D_
_x000D_
   _x000D_
added      TRACK ADDDED_x000D_
la playback track changed  type:  playback track changed   nextTrack:  u234325245lezkj   position:  0 001  track: null       TRACK IN THE QUEUE_x000D_
blob:http:  localhos 7817a5138489:181812 la playback state  type:  playback state   state: 1 _x000D_
blob:http:  localhos 7817a5138489:181812 la playback queue ended  type:  playback queue ended   position: 0  track: null _x000D_
blob:http:  localhos 7817a5138489:181812 la playback state  type:  playback state   state: 0 _x000D_
blob:http:  localhos 7817a5138489:181812 la playback state  type:  playback state   state: 1 _x000D_
blob:http:  localhos 7817a5138489:181812 la playback queue ended  type:  playback queue ended   position: 0  track: null _x000D_
blob:http:  localhos 7817a5138489:181812 la playback queue ended  type:  playback queue ended   position: 0  track: null _x000D_
blob:http:  localhos 7817a5138489:181812 la playback state  type:  playback state   state: 0 _x000D_
blob:http:  localhos 7817a5138489:181812 la playback state  type:  playback state   state: 6 _x000D_
blob:http:  localhos 7817a5138489:181812 la playback state  type:  playback state   state: 1 _x000D_
blob:http:  localhos 7817a5138489:181812 la playback queue ended  type:  playback queue ended   position: 0  track: null _x000D_
blob:http:  localhos 7817a5138489:181812 la playback state  type:  playback state   state: 0 _x000D_
blob:http:  localhos 7817a5138489:181812 la playback state  type:  playback state   state: 6 _x000D_
blob:http:  localhos 7817a5138489:181812 la playback state  type:  playback state   state: 1 _x000D_
blob:http:  localhos 7817a5138489:181812 la playback queue ended  type:  playback queue ended   position: 0  track: null _x000D_
blob:http:  localhos 7817a5138489:181812 la playback state  type:  playback state   state: 0 _x000D_
blob:http:  localhos 7817a5138489:181812 la playback state  type:  playback state   state: 6 _x000D_
blob:http:  localhos 7817a5138489:181812 la playback state  type:  playback state   state: 0 _x000D_
blob:http:  localhos 7817a5138489:181812 la playback state  type:  playback state   state: 6 _x000D_
blob:http:  localhos 7817a5138489:181812 la playback state  type:  playback state   state: 1 _x000D_
   _x000D_
   _x000D_
_x000D_
For some reason the track seems to be skipped or having trouble being played  _x000D_
_x000D_
When I close the app I also get a crash : _x000D_
   _x000D_
Caused by java lang NullPointerException: Attempt to invoke virtual method  java lang String android content Intent getAction()  on a null object reference_x000D_
       at com guichaguri trackplayer service MusicService onStartCommand(MusicService java:53)_x000D_
       at android app ActivityThread handleServiceArgs(ActivityThread java:3326)_x000D_
       at android app ActivityThread  wrap21(ActivityThread java)_x000D_
       at android app ActivityThread H handleMessage(ActivityThread java:1582)_x000D_
       at android os Handler dispatchMessage(Handler java:102)_x000D_
       at android os Looper loop(Looper java:154)_x000D_
       at android app ActivityThread main(ActivityThread java:6119)_x000D_
       at java lang reflect Method invoke(Method java)_x000D_
       at com android internal os ZygoteInit MethodAndArgsCaller run(ZygoteInit java:886)_x000D_
       at com android internal os ZygoteInit main(ZygoteInit java:776)_x000D_
   _x000D_
_x000D_
Detail or not  when I am putting the app in background I can see the play icon on the top left of the phone blinking _x000D_
_x000D_
Thanks a lot for any help   _x000D_
</t>
  </si>
  <si>
    <t>mapbox-mapbox-events-android-254</t>
  </si>
  <si>
    <t>Add lifecycle methods to track lifecycle of parent activity</t>
  </si>
  <si>
    <t xml:space="preserve">Add onPause and onResume lifecycle methods to track parent activity lifecycle better  Remove old reliance on Lifecycle observer  which can cause a crash in certain circumstances </t>
  </si>
  <si>
    <t>fossasia-open-event-organizer-android-1373</t>
  </si>
  <si>
    <t>App Crashes because Memory leaks occur while creating event</t>
  </si>
  <si>
    <t xml:space="preserve">  Describe the bug  _x000D_
Memory Leaks occur while creating an event_x000D_
_x000D_
  To Reproduce  _x000D_
Im still finding out a way to reproduce the bug  i will update the issue as soon i get through_x000D_
 _x000D_
  Expected behavior  _x000D_
No memory leaks should occur and app should not crash_x000D_
_x000D_
  Screenshots  _x000D_
  b03f9b7d 1c1b 4674 8c29 e845c18bc2bd (https:  user images githubusercontent com 37406965 47451902 8ba38700 d7e6 11e8 878d 0d61f2e31241 jpg)_x000D_
_x000D_
  Smartphone Info:  _x000D_
     Please complete the following information    _x000D_
                   _x000D_
                   _x000D_
 Device          OnePlus 5  _x000D_
 Android Version  Oreo 8 1 _x000D_
_x000D_
  Would you like to work on the issue   _x000D_
Yes</t>
  </si>
  <si>
    <t>Keidan-SshServer-2</t>
  </si>
  <si>
    <t>Android under 8(Oreo) not working</t>
  </si>
  <si>
    <t xml:space="preserve">This app works great on Android 8  but if you run this app on Android 7 or below app will be crashed  Do you know what is reason </t>
  </si>
  <si>
    <t>DSC-Galgotias-TechnoJam-Chat-38</t>
  </si>
  <si>
    <t>Crash Fix</t>
  </si>
  <si>
    <t xml:space="preserve">     Logcat Message_x000D_
             beginning of crash_x000D_
10 24 13:30:44 537 19746 19746 tech honeysharma techbmechat E AndroidRuntime: FATAL EXCEPTION: main_x000D_
    Process: tech honeysharma techbmechat  PID: 19746_x000D_
    java lang NullPointerException: Attempt to invoke virtual method  java lang String java lang Object toString()  on a null object reference_x000D_
        at tech honeysharma techbmechat Account SettingsActivity setUserData(SettingsActivity java:332)_x000D_
        at tech honeysharma techbmechat Account SettingsActivity access 000(SettingsActivity java:47)_x000D_
        at tech honeysharma techbmechat Account SettingsActivity 1 onDataChange(SettingsActivity java:108)_x000D_
        at com google android gms internal zzegf zza(Unknown Source)_x000D_
        at com google android gms internal zzeia zzbyc(Unknown Source)_x000D_
        at com google android gms internal zzeig run(Unknown Source)_x000D_
        at android os Handler handleCallback(Handler java:742)_x000D_
        at android os Handler dispatchMessage(Handler java:95)_x000D_
        at android os Looper loop(Looper java:157)_x000D_
        at android app ActivityThread main(ActivityThread java:5604)_x000D_
        at java lang reflect Method invoke(Native Method)_x000D_
        at com android internal os ZygoteInit MethodAndArgsCaller run(ZygoteInit java:774)_x000D_
        at com android internal os ZygoteInit main(ZygoteInit java:652)_x000D_
_x000D_
   Fix the crash by removing null pointer exception   </t>
  </si>
  <si>
    <t>Catfriend1-syncthing-android-113</t>
  </si>
  <si>
    <t>Follow-Up to issue 108 "IllegalStateEx" workaround (fixes #108)</t>
  </si>
  <si>
    <t>Purpose_x000D_
PR  109 worked around issue  108 to lower the impact of very rare occuring crash _x000D_
With this PR I d like to call for testers helping to verify if it makes the crashing more bad or solves the original issue _x000D_
_x000D_
Testing_x000D_
Please chime in and report back  as I cannot reproduce the IllegalStateEx in updateViewPager on AVD Android 9 x nor Android 8 1 0 on Xiaomi MI8 (MIUI 10) _x000D_
Here s the debug build (it only contains changes to the UI):_x000D_
  https:  drive google com file d 1NDb3t6JsuHVc5EiEixZmnSOaL4BRRKGm view usp sharing</t>
  </si>
  <si>
    <t>nextcloud-android-3179</t>
  </si>
  <si>
    <t>Client crash on Login</t>
  </si>
  <si>
    <t xml:space="preserve">Client crashes after login  Same crash after phone restart _x000D_
_x000D_
Workaround:_x000D_
If an additional subdomain is created and used for login  the login works and the crash will not occur _x000D_
_x000D_
</t>
  </si>
  <si>
    <t>Catfriend1-syncthing-android-111</t>
  </si>
  <si>
    <t>When I try to select a folder on the device, the application crashes</t>
  </si>
  <si>
    <t>Quote from  Rakleed at ( https:  github com Catfriend1 syncthing android issues 44 issuecomment 432409474 )_x000D_
  LineageOS 15 1  Android 8 1 0  OnePlus 3 _x000D_
  10 23 23:34:04 592 D AndroidRuntime(20068): Shutting down VM_x000D_
10 23 23:34:04 595 E AndroidRuntime(20068): FATAL EXCEPTION: main_x000D_
10 23 23:34:04 595 E AndroidRuntime(20068): Process: com github catfriend1 syncthingandroid debug  PID: 20068_x000D_
10 23 23:34:04 595 E AndroidRuntime(20068): android content ActivityNotFoundException: No Activity found to handle Intent   act android intent action OPEN DOCUMENT TREE (has extras)  _x000D_
10 23 23:34:04 595 E AndroidRuntime(20068): 	at android app Instrumentation checkStartActivityResult(Instrumentation java:1937)_x000D_
10 23 23:34:04 595 E AndroidRuntime(20068): 	at android app Instrumentation execStartActivity(Instrumentation java:1616)_x000D_
10 23 23:34:04 595 E AndroidRuntime(20068): 	at android app Activity startActivityForResult(Activity java:4487)_x000D_
10 23 23:34:04 595 E AndroidRuntime(20068): 	at android support v4 app FragmentActivity startActivityForResult(FragmentActivity java:767)_x000D_
10 23 23:34:04 595 E AndroidRuntime(20068): 	at android app Activity startActivityForResult(Activity java:4445)_x000D_
10 23 23:34:04 595 E AndroidRuntime(20068): 	at android support v4 app FragmentActivity startActivityForResult(FragmentActivity java:754)_x000D_
10 23 23:34:04 595 E AndroidRuntime(20068): 	at com nutomic syncthingandroid activities FolderActivity onPathViewClick(FolderActivity java:260)_x000D_
10 23 23:34:04 595 E AndroidRuntime(20068): 	at com nutomic syncthingandroid activities FolderActivity lambda onCreate 0 FolderActivity(FolderActivity java:196)_x000D_
10 23 23:34:04 595 E AndroidRuntime(20068): 	at com nutomic syncthingandroid activities FolderActivity  Lambda 0 onClick(Unknown Source:2)_x000D_
10 23 23:34:04 595 E AndroidRuntime(20068): 	at android view View performClick(View java:6294)_x000D_
10 23 23:34:04 595 E AndroidRuntime(20068): 	at android view View PerformClick run(View java:24770)_x000D_
10 23 23:34:04 595 E AndroidRuntime(20068): 	at android os Handler handleCallback(Handler java:790)_x000D_
10 23 23:34:04 595 E AndroidRuntime(20068): 	at android os Handler dispatchMessage(Handler java:99)_x000D_
10 23 23:34:04 595 E AndroidRuntime(20068): 	at android os Looper loop(Looper java:164)_x000D_
10 23 23:34:04 595 E AndroidRuntime(20068): 	at android app ActivityThread main(ActivityThread java:6494)_x000D_
10 23 23:34:04 595 E AndroidRuntime(20068): 	at java lang reflect Method invoke(Native Method)_x000D_
10 23 23:34:04 595 E AndroidRuntime(20068): 	at com android internal os RuntimeInit MethodAndArgsCaller run(RuntimeInit java:440)_x000D_
10 23 23:34:04 595 E AndroidRuntime(20068): 	at com android internal os ZygoteInit main(ZygoteInit java:807)_x000D_
10 23 23:34:04 601 W ActivityManager( 1030):   Force finishing activity com github catfriend1 syncthingandroid debug com nutomic syncthingandroid activities FolderActivity_x000D_
10 23 23:34:04 610 I ActivityManager( 1030): Showing crash dialog for package com github catfriend1 syncthingandroid debug u0</t>
  </si>
  <si>
    <t>niccokunzmann-mundraub-android-216</t>
  </si>
  <si>
    <t>use country code in translations</t>
  </si>
  <si>
    <t xml:space="preserve">     If you report an app crash  please attach the eu quelltext mundraub log txt file_x000D_
     from the root of your phone s file system     _x000D_
_x000D_
Currently  we only use the language code e g   en  or  de  _x000D_
In these places  it would be good to use also the contry code  en US  or  en EN :_x000D_
_x000D_
   x  Java App_x000D_
   x  plant categories_x000D_
      map translations_x000D_
   x  web view language code transferral to the browser_x000D_
   x  check: translations which are transferred to the map via JSON_x000D_
   x  privacy policy_x000D_
_x000D_
Hints:_x000D_
  how to retrieve country code: https:  github com niccokunzmann mundraub android issues 212 issuecomment 432326332</t>
  </si>
  <si>
    <t>jcvasquezc-SMA2-180</t>
  </si>
  <si>
    <t>Local database schema changes (migrations) after release</t>
  </si>
  <si>
    <t xml:space="preserve">We recently found that if a previous version of the database was installed and the application was updated (new build)  the app would crash (in this case  new tables were not found) _x000D_
_x000D_
We need to implement a way to update the database if the schema is changed once the app is released </t>
  </si>
  <si>
    <t>niccokunzmann-mundraub-android-215</t>
  </si>
  <si>
    <t>Correct map tile image size guess</t>
  </si>
  <si>
    <t xml:space="preserve">     If you report an app crash  please attach the eu quelltext mundraub log txt file_x000D_
     from the root of your phone s file system     _x000D_
_x000D_
When choosing which parts of the map to download  you can see an estimate _x000D_
The estimate is very far from reality _x000D_
Please download map tiles and give a better estimate _x000D_
_x000D_
You do not need to program for this  You can change the number in these two lines: https:  github com niccokunzmann mundraub android blob 7209fa560467d48941e1340122bc50c38dd892f3 app src main java eu quelltext mundraub map TilesCache java L199_x000D_
_x000D_
      satellite_x000D_
      mapnik</t>
  </si>
  <si>
    <t>niccokunzmann-mundraub-android-214</t>
  </si>
  <si>
    <t>Move the title of the privacy policy</t>
  </si>
  <si>
    <t xml:space="preserve">     If you report an app crash  please attach the eu quelltext mundraub log txt file_x000D_
     from the root of your phone s file system     _x000D_
_x000D_
Currently  the title is in HTML _x000D_
It should be in the menu bar _x000D_
_x000D_
Hints:_x000D_
  The title should be set here like in the other activities: https:  github com niccokunzmann mundraub android blob 99e232304fe4f9d73e6b79892de401ba5be7962a app src main AndroidManifest xml L72_x000D_
  The title string should be added to the strings in a consistent way: https:  github com niccokunzmann mundraub android blob 99e232304fe4f9d73e6b79892de401ba5be7962a app src main res values strings xml L596_x000D_
  Remove the title in HTML: https:  github com niccokunzmann mundraub android blob 99e232304fe4f9d73e6b79892de401ba5be7962a app src main assets privacy en html L8</t>
  </si>
  <si>
    <t>convertigo-c8osdk-android-9</t>
  </si>
  <si>
    <t>Exception not catched in case of bad rsa key</t>
  </si>
  <si>
    <t>If rsa key used by HttpInterface is null or bad formatted  execption crashes the sdk _x000D_
_x000D_
Theses exeptions must be catched and throwed</t>
  </si>
  <si>
    <t>deltachat-deltachat-android-593</t>
  </si>
  <si>
    <t>crash when creating a new group</t>
  </si>
  <si>
    <t>just a normal group with one member and without an avatar    crash</t>
  </si>
  <si>
    <t>doublesymmetry-react-native-track-player-308</t>
  </si>
  <si>
    <t>[ANDROID][v1.0.0] module crashes when tries to play a local files</t>
  </si>
  <si>
    <t xml:space="preserve">this works perfectly fine on 0 2 5 :_x000D_
_x000D_
 _x000D_
TrackPlayer add(  _x000D_
        id: this props track id _x000D_
        url: this props track url     module crashes if this points to a local file_x000D_
        title: this props track title _x000D_
        artist: this props track performer _x000D_
        duration: this props track duration _x000D_
        artwork: this props track cover _x000D_
        ) then(()    TrackPlayer play()) _x000D_
 _x000D_
however on 1 0 0  if the url points to a local file this exception will be thrown:_x000D_
_x000D_
 _x000D_
ExoPlayerImplInternal: Source error _x000D_
    com google android exoplayer2 upstream Loader UnexpectedLoaderException: Unexpected ClassCastException: libcore net url FileURLConnection cannot be cast to java net HttpURLConnection_x000D_
        at com google android exoplayer2 upstream Loader LoadTask run(Loader java:401)_x000D_
        at java util concurrent ThreadPoolExecutor runWorker(ThreadPoolExecutor java:1113)_x000D_
        at java util concurrent ThreadPoolExecutor Worker run(ThreadPoolExecutor java:588)_x000D_
        at java lang Thread run(Thread java:818)_x000D_
     Caused by: java lang ClassCastException: libcore net url FileURLConnection cannot be cast to java net HttpURLConnection_x000D_
        at com google android exoplayer2 upstream DefaultHttpDataSource makeConnection(DefaultHttpDataSource java:494)_x000D_
        at com google android exoplayer2 upstream DefaultHttpDataSource makeConnection(DefaultHttpDataSource java:442)_x000D_
        at com google android exoplayer2 upstream DefaultHttpDataSource open(DefaultHttpDataSource java:279)_x000D_
        at com google android exoplayer2 upstream StatsDataSource open(StatsDataSource java:83)_x000D_
        at com google android exoplayer2 source ExtractorMediaPeriod ExtractingLoadable load(ExtractorMediaPeriod java:885)_x000D_
        at com google android exoplayer2 upstream Loader LoadTask run(Loader java:379)_x000D_
        at java util concurrent ThreadPoolExecutor runWorker(ThreadPoolExecutor java:1113) _x000D_
        at java util concurrent ThreadPoolExecutor Worker run(ThreadPoolExecutor java:588) _x000D_
        at java lang Thread run(Thread java:818) _x000D_
 </t>
  </si>
  <si>
    <t>novoda-merlin-173</t>
  </si>
  <si>
    <t>MER-171/IllegalStateException when attempting to notify</t>
  </si>
  <si>
    <t xml:space="preserve">   Problem_x000D_
_x000D_
Addresses  171 _x000D_
_x000D_
We ve been aggressively throwing when the service is in an inconsistent state  however this exception is not catchable from the client side as it happens as part of the background service _x000D_
_x000D_
   Solution_x000D_
_x000D_
To no longer crash and instead  Log warn  _x000D_
_x000D_
    Test(s) added_x000D_
_x000D_
Yep around the cases where the forwarding is ignored (and no longer crashes)_x000D_
_x000D_
    Paired with_x000D_
_x000D_
Nobody</t>
  </si>
  <si>
    <t>code4romania-monitorizare-vot-android-86</t>
  </si>
  <si>
    <t>Big videos crashes the app</t>
  </si>
  <si>
    <t>Big movies crash android and what is worse: it s not possible to open the app again</t>
  </si>
  <si>
    <t>fluttercommunity-flutter_contacts-41</t>
  </si>
  <si>
    <t>Crashes on iOS Simulator at launch.</t>
  </si>
  <si>
    <t xml:space="preserve">Hi _x000D_
_x000D_
I keep having problems with this plugin even on a completely fresh project  It builds fine but crashes as it tries to launch on the iOS simulator  As the example project runs fine  it must be something simple I m missing here   Any help would be greatly appreciated  _x000D_
_x000D_
Steps to reproduce:_x000D_
_x000D_
1  Create a fresh project using the flutter tool:  flutter create  i swift  t app   appname   _x000D_
2  Open the iOS simulator:  open  a Simulator _x000D_
3  Run the app on the simulator:  flutter run _x000D_
4  Add contacts service to  pubspec yaml  and run packages get:  flutter packages get _x000D_
5  Edit  Info plist  to include the permissions_x000D_
6  Run the app again:  flutter run _x000D_
_x000D_
On my side it flashes a white screen before crashing _x000D_
_x000D_
Flutter doctor output:_x000D_
   _x000D_
    Flutter (Channel master  v0 10 2 pre 20  on Mac OS X 10 12 6 16G1510  locale_x000D_
    en ZA)_x000D_
    Android toolchain   develop for Android devices (Android SDK 27 0 3)_x000D_
    iOS toolchain   develop for iOS devices (Xcode 9 0)_x000D_
    Android Studio (version 3 2)_x000D_
    VS Code (version 1 23 0)_x000D_
    Connected device (1 available)_x000D_
    _x000D_
Simulator: Version 10 0 (SimulatorApp 829 6)_x000D_
XCode:  Version 9 0 (9A235)_x000D_
_x000D_
Simulator logs:_x000D_
   _x000D_
Oct 21 12:31:04 Nicks MacBook Pro com apple CoreSimulator SimDevice 860655C8 A060 43B3 AFEE EFDE2DAF0F39 41208  (com apple videosubscriptionsd 43574 ): Service exited with abnormal code: 1_x000D_
Oct 21 12:31:05 Nicks MacBook Pro com apple CoreSimulator SimDevice 860655C8 A060 43B3 AFEE EFDE2DAF0F39 41208  (com apple videosubscriptionsd): Service only ran for 1 seconds  Pushing respawn out by 9 seconds _x000D_
Oct 21 12:31:06 Nicks MacBook Pro callservicesd 43575 : objc 43575 : Class VCWeakObjectHolder is implemented in both  Applications Xcode app Contents Developer Platforms iPhoneOS platform Developer Library CoreSimulator Profiles Runtimes iOS simruntime Contents Resources RuntimeRoot System Library PrivateFrameworks AVConference framework Frameworks ViceroyTrace framework ViceroyTrace (0x1150b2490) and  Applications Xcode app Contents Developer Platforms iPhoneOS platform Developer Library CoreSimulator Profiles Runtimes iOS simruntime Contents Resources RuntimeRoot System Library PrivateFrameworks AVConference framework AVConference (0x1084b9fc0)  One of the two will be used  Which one is undefined _x000D_
Oct 21 12:31:07 Nicks MacBook Pro com apple CoreSimulator SimDevice 860655C8 A060 43B3 AFEE EFDE2DAF0F39 41208  (com apple intents intents image service): Unknown key for Boolean: EnableTransactions_x000D_
Oct 21 12:31:07 Nicks MacBook Pro com apple CoreSimulator SimDevice 860655C8 A060 43B3 AFEE EFDE2DAF0F39 41208  (com apple intents intents image service): Unknown key for Boolean: EnablePressuredExit_x000D_
Oct 21 12:31:07 Nicks MacBook Pro com apple CoreSimulator SimDevice 860655C8 A060 43B3 AFEE EFDE2DAF0F39 41208  (com apple imfoundation IMRemoteURLConnectionAgent): Unknown key for Boolean: EnableTransactions_x000D_
Oct 21 12:31:07 Nicks MacBook Pro com apple CoreSimulator SimDevice 860655C8 A060 43B3 AFEE EFDE2DAF0F39 41208  (com apple imfoundation IMRemoteURLConnectionAgent): Unknown key for integer:  DirtyJetsamMemoryLimit_x000D_
Oct 21 12:31:07 Nicks MacBook Pro com apple CoreSimulator SimDevice 860655C8 A060 43B3 AFEE EFDE2DAF0F39 41208  (com apple imfoundation IMRemoteURLConnectionAgent): Unknown key for Boolean: EnablePressuredExit_x000D_
Oct 21 12:31:07 Nicks MacBook Pro com apple CoreSimulator SimDevice 860655C8 A060 43B3 AFEE EFDE2DAF0F39 41208  (com apple CallKit CallDirectoryMaintenance): Unknown key for Boolean: EnableTransactions_x000D_
Oct 21 12:31:07 Nicks MacBook Pro com apple CoreSimulator SimDevice 860655C8 A060 43B3 AFEE EFDE2DAF0F39 41208  (com apple CallKit CallDirectoryMaintenance): Unknown key for Boolean: EnablePressuredExit_x000D_
Oct 21 12:31:07 Nicks MacBook Pro com apple CoreSimulator SimDevice 860655C8 A060 43B3 AFEE EFDE2DAF0F39 41208  (com apple CallKit CallDirectory): Unknown key for Boolean: EnableTransactions_x000D_
Oct 21 12:31:07 Nicks MacBook Pro com apple CoreSimulator SimDevice 860655C8 A060 43B3 AFEE EFDE2DAF0F39 41208  (com apple CallKit CallDirectory): Unknown key for Boolean: EnablePressuredExit_x000D_
Oct 21 12:31:09 Nicks MacBook Pro com apple CoreSimulator SimDevice 860655C8 A060 43B3 AFEE EFDE2DAF0F39 41208  (com apple CallKit CallDirectoryMaintenance): Unknown key for Boolean: EnableTransactions_x000D_
Oct 21 12:31:09 Nicks MacBook Pro com apple CoreSimulator SimDevice 860655C8 A060 43B3 AFEE EFDE2DAF0F39 41208  (com apple CallKit CallDirectoryMaintenance): Unknown key for Boolean: EnablePressuredExit_x000D_
Oct 21 12:31:09 Nicks MacBook Pro com apple CoreSimulator SimDevice 860655C8 A060 43B3 AFEE EFDE2DAF0F39 41208  (com apple CallKit CallDirectory): Unknown key for Boolean: EnableTransactions_x000D_
Oct 21 12:31:09 Nicks MacBook Pro com apple CoreSimulator SimDevice 860655C8 A060 43B3 AFEE EFDE2DAF0F39 41208  (com apple CallKit CallDirectory): Unknown key for Boolean: EnablePressuredExit_x000D_
Oct 21 12:31:09 Nicks MacBook Pro calaccessd 43584 : DEPRECATED USE in libdispatch client: Setting timer interval to 0 requests a 1ns timer  did you mean FOREVER (a one shot timer) _x000D_
Oct 21 12:31:10 Nicks MacBook Pro com apple CoreSimulator SimDevice 860655C8 A060 43B3 AFEE EFDE2DAF0F39 41208  (com apple intents intents image service): Unknown key for Boolean: EnableTransactions_x000D_
Oct 21 12:31:10 Nicks MacBook Pro com apple CoreSimulator SimDevice 860655C8 A060 43B3 AFEE EFDE2DAF0F39 41208  (com apple intents intents image service): Unknown key for Boolean: EnablePressuredExit_x000D_
Oct 21 12:31:10 Nicks MacBook Pro com apple CoreSimulator SimDevice 860655C8 A060 43B3 AFEE EFDE2DAF0F39 41208  (com apple DictionaryServiceHelper): Unknown key for Boolean: EnableTransactions_x000D_
Oct 21 12:31:10 Nicks MacBook Pro com apple CoreSimulator SimDevice 860655C8 A060 43B3 AFEE EFDE2DAF0F39 41208  (com apple DictionaryServiceHelper): Unknown key for Boolean: EnablePressuredExit_x000D_
Oct 21 12:31:10 Nicks MacBook Pro com apple CoreSimulator SimDevice 860655C8 A060 43B3 AFEE EFDE2DAF0F39 41208  (com apple StreamingUnzipService): Unknown key for Boolean: EnableTransactions_x000D_
Oct 21 12:31:10 Nicks MacBook Pro com apple CoreSimulator SimDevice 860655C8 A060 43B3 AFEE EFDE2DAF0F39 41208  (com apple StreamingUnzipService): Unknown key for Boolean: EnablePressuredExit_x000D_
Oct 21 12:31:10 Nicks MacBook Pro com apple CoreSimulator SimDevice 860655C8 A060 43B3 AFEE EFDE2DAF0F39 41208  (com apple uifoundation bundle helper): Unknown key for Boolean: EnableTransactions_x000D_
Oct 21 12:31:10 Nicks MacBook Pro com apple CoreSimulator SimDevice 860655C8 A060 43B3 AFEE EFDE2DAF0F39 41208  (com apple uifoundation bundle helper): Unknown key for Boolean: EnablePressuredExit_x000D_
Oct 21 12:31:10 Nicks MacBook Pro Runner 43585 : assertion failed: 16G1510 15A372: libxpc dylib   69578  D870A237 D3A7 31F5 AAD4 CE880C0C8E7B : 0x7d_x000D_
Oct 21 12:31:11 Nicks MacBook Pro com apple CoreSimulator SimDevice 860655C8 A060 43B3 AFEE EFDE2DAF0F39 41208  (UIKitApplication:com example myt 0x4b5e  41234  43585 ): Service exited due to signal: Segmentation fault: 11 sent by exc handler 0 _x000D_
Oct 21 12:31:14 Nicks MacBook Pro com apple CoreSimulator SimDevice 860655C8 A060 43B3 AFEE EFDE2DAF0F39 41208  (com apple videosubscriptionsd 43590 ): Service exited with abnormal code: 1_x000D_
   </t>
  </si>
  <si>
    <t>junjunguo-PocketMaps-102</t>
  </si>
  <si>
    <t>v2.6: many app crashes on loading map archives / start unzipping them</t>
  </si>
  <si>
    <t xml:space="preserve">On my android 5 1 device I updated to app version 2 6  and later even complete reinstall  but I keep on getting crashes when downloadibg map files or when the app wants to start unzipping the downloaded map files _x000D_
_x000D_
Crash logs should be sent via android crash report feature that developers can see in their playstore console _x000D_
_x000D_
Maybe due to limites write access to sd card or internal memory  What about a teating feature on app start whether teh app has write acces to the medium where mapfiles are to be stored </t>
  </si>
  <si>
    <t>excelsia-vee-cold-android-6</t>
  </si>
  <si>
    <t>Wallet crash upon access to main menu, Android 6.0</t>
  </si>
  <si>
    <t xml:space="preserve">On older systems running Android 6 0  After installation and opening the app  the home page is fine  but once selecting the  import seed  or  generate seed  menu option it would crash _x000D_
</t>
  </si>
  <si>
    <t>ankidroid-Anki-Android-5069</t>
  </si>
  <si>
    <t>Audio recording crashes</t>
  </si>
  <si>
    <t xml:space="preserve">       Reproduction Steps_x000D_
_x000D_
1  Edit a note_x000D_
2  attempt to record audio_x000D_
3  attempt to stop recording and save the audio_x000D_
_x000D_
_x000D_
       Expected Result_x000D_
_x000D_
Audio is either recorded and saved successfully  or there is a dialog noting the problem_x000D_
_x000D_
_x000D_
       Actual Result_x000D_
_x000D_
A variety of crashes in current prod (2 8 4)  one per comment below_x000D_
</t>
  </si>
  <si>
    <t>google-ExoPlayer-4986</t>
  </si>
  <si>
    <t>NPE when remove child media source from (lazy) ConcatenatingMediaSource</t>
  </si>
  <si>
    <t xml:space="preserve">    Issue description  Reproduction steps_x000D_
1  Create  ConcatenatingMediaSource  with  useLazyPreparation   true _x000D_
2  Add some child media source and play_x000D_
3  Delete 1 child media source  exoplayer will crash if this media source still not prepared_x000D_
_x000D_
    Link to test content_x000D_
None_x000D_
_x000D_
    Version of ExoPlayer being used_x000D_
2 9 0_x000D_
_x000D_
    Device(s) and version(s) of Android being used_x000D_
Android 8 0_x000D_
_x000D_
    Stacktrace_x000D_
   _x000D_
com google android exoplayer2 ExoPlaybackException: java lang NullPointerException_x000D_
        at com google android exoplayer2 ExoPlayerImplInternal handleMessage(ExoPlayerImplInternal java:359)_x000D_
        at android os Handler dispatchMessage(Handler java:101)_x000D_
        at android os Looper loop(Looper java:164)_x000D_
        at android os HandlerThread run(HandlerThread java:65)_x000D_
     Caused by: java lang NullPointerException_x000D_
        at com google android exoplayer2 util Assertions checkNotNull(Assertions java:111)_x000D_
        at com google android exoplayer2 source CompositeMediaSource releaseChildSource(CompositeMediaSource java:121)_x000D_
        at com google android exoplayer2 source ConcatenatingMediaSource removeMediaSourceInternal(ConcatenatingMediaSource java:716)_x000D_
        at com google android exoplayer2 source ConcatenatingMediaSource handleMessage(ConcatenatingMediaSource java:577)_x000D_
        at com google android exoplayer2 ExoPlayerImplInternal deliverMessage(ExoPlayerImplInternal java:871)_x000D_
        at com google android exoplayer2 ExoPlayerImplInternal sendMessageToTarget(ExoPlayerImplInternal java:842)_x000D_
        at com google android exoplayer2 ExoPlayerImplInternal sendMessageInternal(ExoPlayerImplInternal java:824)_x000D_
        at com google android exoplayer2 ExoPlayerImplInternal handleMessage(ExoPlayerImplInternal java:333)_x000D_
        at android os Handler dispatchMessage(Handler java:101) _x000D_
        at android os Looper loop(Looper java:164) _x000D_
        at android os HandlerThread run(HandlerThread java:65) _x000D_
   _x000D_
_x000D_
</t>
  </si>
  <si>
    <t>vector-im-riot-android-2672</t>
  </si>
  <si>
    <t>unable to share Fotos, Files from other apps to riot-android since update 0.8.18 and using new Status.im Theme</t>
  </si>
  <si>
    <t xml:space="preserve">I updated to 0 8 18_x000D_
I switched to settings    Themes from  light Design  to new  Status im  Theme  Since that i can t share Files  Screenshots by klicking on  Share with    using the fork Symbol in other apps _x000D_
_x000D_
Means when e g  using the Gallery App  klicking fork Symbol in a Foto to  share it with       then selecting riot      nothing happened  (riot crashed and looped in restarts)_x000D_
Back to old  default  Design and everything works fine again   _x000D_
_x000D_
Any ideas _x000D_
_x000D_
My Nokia7  ist running under Android Pie _x000D_
I m using the 0 8 18 from Fdroid Shop no PlayStore Version </t>
  </si>
  <si>
    <t>renyuneyun-Easer-188</t>
  </si>
  <si>
    <t>Selecting a WiFi Connection that device is currently connected to crashes Easer</t>
  </si>
  <si>
    <t xml:space="preserve">From Conditions create a new condition and select your currently connected WiFi access point using either Match SSID or Match BSSID  After save the application crashes  When you start the application again the the status on Outline is  Not Running  </t>
  </si>
  <si>
    <t>Sparker0i-Weather-46</t>
  </si>
  <si>
    <t>Sometimes the app crashes on startup</t>
  </si>
  <si>
    <t>I have installed the version 5 3 2  and sometimes the app crashes on startup _x000D_
A window is showing then with the message  that app has crashed _x000D_
Restarting the app solves the problem _x000D_
The device is an android 7 1 2   LineageOS _x000D_
_x000D_
  10 15 07:30:38 622 14900 14900 E AndroidRuntime: FATAL EXCEPTION: main_x000D_
10 15 07:30:38 622 14900 14900 E AndroidRuntime: Process: com a5corp weather  PID: 14900_x000D_
10 15 07:30:38 622 14900 14900 E AndroidRuntime: java lang NullPointerException: Attempt to invoke virtual method  void com a5corp weather activity WeatherActivity o()  on a null object reference_x000D_
10 15 07:30:38 622 14900 14900 E AndroidRuntime:        at com a5corp weather fragment WeatherFragment 14 2 run(Unknown Source)_x000D_
10 15 07:30:38 622 14900 14900 E AndroidRuntime:        at android os Handler handleCallback(Handler java:751)_x000D_
10 15 07:30:38 622 14900 14900 E AndroidRuntime:        at android os Handler dispatchMessage(Handler java:95)_x000D_
10 15 07:30:38 622 14900 14900 E AndroidRuntime:        at android os Looper loop(Looper java:154)_x000D_
10 15 07:30:38 622 14900 14900 E AndroidRuntime:        at android app ActivityThread main(ActivityThread java:6236)_x000D_
10 15 07:30:38 622 14900 14900 E AndroidRuntime:        at java lang reflect Method invoke(Native Method)_x000D_
10 15 07:30:38 622 14900 14900 E AndroidRuntime:        at com android internal os ZygoteInit MethodAndArgsCaller run(ZygoteInit java:891)_x000D_
10 15 07:30:38 622 14900 14900 E AndroidRuntime:        at com android internal os ZygoteInit main(ZygoteInit java:781)_x000D_
10 15 07:30:38 626  1102 15418 W ActivityManager:   Force finishing activity com a5corp weather  activity WeatherActivity_x000D_
10 15 07:30:38 644  1102 15418 W ContextImpl: Calling a method in the system process without a qualified user: android app ContextImpl sendBroadcast:883 com android server am AppErrors crashApplicationInner:375 com android server am AppErrors crashApplication:309 com android server am ActivityManagerService handleApplicationCrashInner:13738 com android server am ActivityManagerService handleApplicationCrash:13720</t>
  </si>
  <si>
    <t>react-native-camera-react-native-camera-1861</t>
  </si>
  <si>
    <t>iOS Facial Detection Currently Broken (iOS 12)</t>
  </si>
  <si>
    <t xml:space="preserve">  Bug Report_x000D_
  To Do First  _x000D_
  Tried latest release_x000D_
  Tried master_x000D_
  There are existing reports however they are all closed_x000D_
_x000D_
  Related Module  _x000D_
FaceDetector_x000D_
_x000D_
  Platform  _x000D_
iOS_x000D_
_x000D_
  Description Current Behaviour  _x000D_
Currently crashing with iOS 12 with an EXC BAD ACCESS when onFacesDetected function is called  Potentially due to onFacesDetected being called even when no faces are available to be detected (the function is being called on instantiation of the RNCamera object) _x000D_
_x000D_
  Expected Behaviour  _x000D_
Should not cause a crash  This bug has rendered the library unusable for facial recognition on iOS _x000D_
_x000D_
  Steps to Reproduce  _x000D_
On an iPad 10 5 model  instantiating an RNCamera view and supplying a function for OnFacesDetected causes a crash immediately with the following error appearing in Xcode _x000D_
_x000D_
  image (https:  user images githubusercontent com 28974101 47057168 43df9700 d20b 11e8 9ce9 8e9cc15f75de png)</t>
  </si>
  <si>
    <t>awslabs-aws-mobile-appsync-sdk-android-51</t>
  </si>
  <si>
    <t>Getting nullpoint exception when calling mutation</t>
  </si>
  <si>
    <t xml:space="preserve">  Getting nullpoint exception when calling mutation with invalid id  _x000D_
I am having an issue with AppSync SDL  My application getting crashed when I try to update a value corresponding to an id which is not present in dynamo DB _x000D_
_x000D_
Environment:_x000D_
_x000D_
    AppSync SDK Version: 2 6 26_x000D_
_x000D_
Device Information:_x000D_
_x000D_
    Device: Samsung J8  Redmi Note 5 Pro_x000D_
    Android Version: Marshmallow 6 0  Oreo 8 1_x000D_
_x000D_
   Since the exception occur inside the SDK i am not able to control this situation  _x000D_
 _x000D_
FATAL EXCEPTION: OkHttp Dispatcher_x000D_
    Process:  PID: 12394_x000D_
    java lang NullPointerException: Attempt to invoke interface method  java util Set java util Map entrySet()  on a null object reference_x000D_
        at org json JSONObject  init (JSONObject java:132)_x000D_
        at com amazonaws mobileconnectors appsync InterceptorCallback onResponse(AppSyncOfflineMutationInterceptor java:106)_x000D_
        at com apollographql apollo internal interceptor ApolloCacheInterceptor 1 1 onResponse(ApolloCacheInterceptor java:102)_x000D_
        at com apollographql apollo internal interceptor ApolloParseInterceptor 1 onResponse(ApolloParseInterceptor java:84)_x000D_
        at com apollographql apollo internal interceptor ApolloServerInterceptor 1 1 onResponse(ApolloServerInterceptor java:110)_x000D_
        at okhttp3 RealCall AsyncCall execute(RealCall java:153)_x000D_
        at okhttp3 internal NamedRunnable run(NamedRunnable java:32)_x000D_
        at java util concurrent ThreadPoolExecutor runWorker(ThreadPoolExecutor java:1162)_x000D_
        at java util concurrent ThreadPoolExecutor Worker run(ThreadPoolExecutor java:636)_x000D_
        at java lang Thread run(Thread java:764) _x000D_
_x000D_
</t>
  </si>
  <si>
    <t>nextcloud-android-3151</t>
  </si>
  <si>
    <t>Client crashes after entering login credentials</t>
  </si>
  <si>
    <t>As per description   app loads fine  and connects to server  It them prompts for username password  and after entering these the application crashes with the following traceback via logcat:_x000D_
_x000D_
   _x000D_
          beginning of crash_x000D_
  10 16 15:15:41 378  7322: 7322 E AndroidRuntime  _x000D_
FATAL EXCEPTION: main_x000D_
Process: com nextcloud client  PID: 7322_x000D_
java lang NullPointerException: Attempt to invoke virtual method  android content res Resources android content Context getResources()  on a null object reference_x000D_
        at com owncloud android utils ThemeUtils primaryColor(ThemeUtils java:116)_x000D_
        at com owncloud android utils ThemeUtils primaryColor(ThemeUtils java:102)_x000D_
        at com owncloud android ui fragment ExtendedListFragment 6 run(ExtendedListFragment java:653)_x000D_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_x000D_
_x000D_
This is with Nextcloud client Version 3 3 0 from F droid  on LineageOS 14 1 nightly (OnePlus X) _x000D_
_x000D_
Cheers</t>
  </si>
  <si>
    <t>niccokunzmann-mundraub-android-207</t>
  </si>
  <si>
    <t>[Android] Set image height of marker images to fill the line</t>
  </si>
  <si>
    <t xml:space="preserve">     If you report an app crash  please attach the eu quelltext mundraub log txt file_x000D_
     from the root of your phone s file system     _x000D_
_x000D_
On phones with higher resolutions  the marker images of the plant categories are very small _x000D_
Please make the images as big as one line on any phone _x000D_
_x000D_
Source code: https:  github com niccokunzmann mundraub android blob master app src main res layout layout plant category xml L19</t>
  </si>
  <si>
    <t>NordicSemiconductor-Android-DFU-Library-129</t>
  </si>
  <si>
    <t>NullPointerException: BluetoothGattDescriptor is null when BaseDfulImpl.enableCCCD() is called</t>
  </si>
  <si>
    <t xml:space="preserve">We ve seen crash reports for our app that bundles  no nordicsemi android:dfu:1 6 1 _x000D_
_x000D_
Details from the crash report:_x000D_
Brand: asus_x000D_
Model: MeMO Pad 7 (ME572C)_x000D_
Orientation: Portrait_x000D_
RAM free: 656 18 MB_x000D_
Disk free: 7 15 GB_x000D_
_x000D_
Operating System_x000D_
Version: 5 0 1_x000D_
Orientation: Portrait_x000D_
Rooted: No_x000D_
_x000D_
_x000D_
   _x000D_
java lang NullPointerException_x000D_
Attempt to invoke virtual method  byte   android bluetooth BluetoothGattDescriptor getValue()  on a null object reference_x000D_
no nordicsemi android dfu BaseDfuImpl enableCCCD (BaseDfuImpl java:351)_x000D_
no nordicsemi android dfu ButtonlessDfuImpl performDfu (ButtonlessDfuImpl java:70)_x000D_
no nordicsemi android dfu ButtonlessDfuWithoutBondSharingImpl performDfu (ButtonlessDfuWithoutBondSharingImpl java:76)_x000D_
no nordicsemi android dfu DfuBaseService onHandleIntent (DfuBaseService java:1173)_x000D_
android app IntentService ServiceHandler handleMessage (IntentService java:65)_x000D_
    </t>
  </si>
  <si>
    <t>react-native-svg-react-native-svg-812</t>
  </si>
  <si>
    <t>Attempt to invoke virtual method 'void com.horcrux.svg.CircleShadowNode.setR(java.lang.String)' on a null object reference</t>
  </si>
  <si>
    <t xml:space="preserve">Hi _x000D_
_x000D_
Might be a duplicate of  811  this is a new issue for me after  806 was fixed for me with a forked version of RN _x000D_
_x000D_
I m getting those two errors on  react native svg   7 0 2   They seem to affect all devices   exclusively   on Android 8 0  I unfortunately cannot reproduce them _x000D_
_x000D_
  Caused by: java lang NullPointerException (882 crashes aka about 1  of sessions I d say)_x000D_
  at com horcrux svg RenderableViewManager 6 setR (RenderableViewManager java:237)_x000D_
_x000D_
  Caused by: java lang NullPointerException (126 crashes): _x000D_
  at com horcrux svg RenderableViewManager setFillRule (RenderableViewManager java:717)_x000D_
_x000D_
   Stacktrace_x000D_
_x000D_
   _x000D_
java lang RuntimeException: _x000D_
  at com facebook react bridge ReactContext handleException (ReactContext java:311)_x000D_
  at com facebook react uimanager GuardedFrameCallback doFrame (GuardedFrameCallback java:31)_x000D_
  at com facebook react modules core ReactChoreographer ReactChoreographerDispatcher doFrame (ReactChoreographer java:134)_x000D_
  at com facebook react modules core ChoreographerCompat FrameCallback 1 doFrame (ChoreographerCompat java:105)_x000D_
  at android view Choreographer CallbackRecord run (Choreographer java:909)_x000D_
  at android view Choreographer doCallbacks (Choreographer java:723)_x000D_
  at android view Choreographer doFrame (Choreographer java:655)_x000D_
  at android view Choreographer FrameDisplayEventReceiver run (Choreographer java:897)_x000D_
  at android os Handler handleCallback (Handler java:789)_x000D_
  at android os Handler dispatchMessage (Handler java:98)_x000D_
  at android os Looper loop (Looper java:164)_x000D_
  at android app ActivityThread main (ActivityThread java:6944)_x000D_
  at java lang reflect Method invoke (Native Method)_x000D_
  at com android internal os Zygote MethodAndArgsCaller run (Zygote java:327)_x000D_
  at com android internal os ZygoteInit main (ZygoteInit java:1374)_x000D_
Caused by: com facebook react bridge JSApplicationIllegalArgumentException: _x000D_
  at com facebook react uimanager ViewManagersPropertyCache PropSetter updateViewProp (ViewManagersPropertyCache java:92)_x000D_
  at com facebook react uimanager ViewManagerPropertyUpdater FallbackViewManagerSetter setProperty (ViewManagerPropertyUpdater java:129)_x000D_
  at com facebook react uimanager ViewManagerPropertyUpdater updateProps (ViewManagerPropertyUpdater java:48)_x000D_
  at com facebook react uimanager ViewManager updateProperties (ViewManager java:32)_x000D_
  at com facebook react uimanager NativeViewHierarchyManager createView (NativeViewHierarchyManager java:232)_x000D_
  at com facebook react uimanager UIViewOperationQueue CreateViewOperation execute (UIViewOperationQueue java:152)_x000D_
  at com facebook react uimanager UIViewOperationQueue DispatchUIFrameCallback dispatchPendingNonBatchedOperations (UIViewOperationQueue java:1012)_x000D_
  at com facebook react uimanager UIViewOperationQueue DispatchUIFrameCallback doFrameGuarded (UIViewOperationQueue java:983)_x000D_
  at com facebook react uimanager GuardedFrameCallback doFrame (GuardedFrameCallback java:29)_x000D_
Caused by: java lang reflect InvocationTargetException: _x000D_
  at java lang reflect Method invoke (Native Method)_x000D_
  at com facebook react uimanager ViewManagersPropertyCache PropSetter updateViewProp (ViewManagersPropertyCache java:80)_x000D_
Caused by: java lang NullPointerException: _x000D_
  at com horcrux svg RenderableViewManager 6 setR (RenderableViewManager java:237)_x000D_
   </t>
  </si>
  <si>
    <t>code4romania-monitorizare-vot-android-73</t>
  </si>
  <si>
    <t>App crashes on adding photos</t>
  </si>
  <si>
    <t xml:space="preserve">Happens when adding media to the note _x000D_
_x000D_
It s possible to add photo from the album  but when one wants to use camera the application crashes </t>
  </si>
  <si>
    <t>khalid-hussain-HisnulMuslim-62</t>
  </si>
  <si>
    <t>Any update?</t>
  </si>
  <si>
    <t xml:space="preserve">Could you please update the files  dependencies and other things so that it runs smoothly with the latest Android  _x000D_
_x000D_
This is a very nice app  I would appreciate if you please update it to avoid_x000D_
1  app crashes_x000D_
2  database needs to be dropped and updated when the database is updated  _x000D_
3  clashes with the new Android builds _x000D_
_x000D_
Thanks in advance for the hardworking  </t>
  </si>
  <si>
    <t>nextcloud-android-3139</t>
  </si>
  <si>
    <t>App crash after few second after start</t>
  </si>
  <si>
    <t xml:space="preserve">    Actual behaviour_x000D_
  App crash after few second after start_x000D_
_x000D_
    Expected behaviour_x000D_
  It should not do that _x000D_
 _x000D_
    Steps to reproduce_x000D_
1  Run App_x000D_
2  Wait a few second_x000D_
3  Crash_x000D_
_x000D_
_x000D_
    Environment data_x000D_
Android version: 8 1 0_x000D_
_x000D_
Device model: Redmi 5 Plus_x000D_
_x000D_
Stock or customized system: MIUI Global 10 0   Stable 10 0 2 0 (OEGMIFH)_x000D_
_x000D_
Nextcloud app version: 3 3 0_x000D_
_x000D_
Nextcloud server version: 14 0 3_x000D_
_x000D_
  error1 (https:  user images githubusercontent com 44114788 46905049 02d74200 ceee 11e8 9450 f4cdd6802e6b png)_x000D_
  error2 (https:  user images githubusercontent com 44114788 46905050 05399c00 ceee 11e8 8e80 d5b53fab1638 png)_x000D_
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</si>
  <si>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k9mail-k-9-3659</t>
  </si>
  <si>
    <t>Crash on export of settings (for K-9 Mail in managed profile)</t>
  </si>
  <si>
    <t xml:space="preserve">  Environment_x000D_
_x000D_
    Device  : HTC One M8_x000D_
    OS  : LineageOS 14 1   Android 7 1 2 (rooted)_x000D_
    K 9 Mail  : version 5 600_x000D_
_x000D_
  Problem description_x000D_
_x000D_
When trying to export my settings  K 9 Mail immediately crashes (FC) _x000D_
_x000D_
This  might  be exactly the same issue as described in  3614  but there s one twist: I m using K 9 Mail in a   managed profile   (i e    Android for Work ) _x000D_
_x000D_
As I m not sure whether this plays a role and makes the described crash a different problem or not  I decided to open a new issue  Please note that the export for a managed profile should happen within the path   storage emulated 10    instead of the usual   storage emulated 0    (export path cannot be defined or checked anywhere in K 9 Mail )_x000D_
_x000D_
   Log_x000D_
_x000D_
A debug log as described (here) https:  github com k9mail k 9 wiki LoggingErrors  is attached _x000D_
_x000D_
 Debuglog K9 Mail txt (https:  github com k9mail k 9 files 2472694 Debuglog K9 Mail txt)_x000D_
</t>
  </si>
  <si>
    <t>commons-app-apps-android-commons-1930</t>
  </si>
  <si>
    <t>Achievements activity is crashing on Android 8.1</t>
  </si>
  <si>
    <t xml:space="preserve">  Summary:   _x000D_
_x000D_
The app crashes on clicking on the trophy icon that opens achievements _x000D_
_x000D_
  Steps to reproduce:   _x000D_
_x000D_
Click on the trophy icon  App crashes  _x000D_
_x000D_
Expected: Achievements activity should open _x000D_
_x000D_
  Add System logs:  _x000D_
_x000D_
   _x000D_
2018 10 12 12:02:28 557 9191 9191 fr free nrw commons beta E AndroidRuntime: FATAL EXCEPTION: main_x000D_
    Process: fr free nrw commons beta  PID: 9191_x000D_
    java lang RuntimeException: Unable to start activity ComponentInfo fr free nrw commons beta fr free nrw commons achievements AchievementsActivity : android content res Resources NotFoundException: Drawable fr free nrw commons beta:drawable badge with resource ID  0x7f08005b_x000D_
        at android app ActivityThread performLaunchActivity(ActivityThread java:2815)_x000D_
        at android app ActivityThread handleLaunchActivity(ActivityThread java:2893)_x000D_
        at android app ActivityThread  wrap11(Unknown Source:0)_x000D_
        at android app ActivityThread H handleMessage(ActivityThread java:1614)_x000D_
        at android os Handler dispatchMessage(Handler java:106)_x000D_
        at android os Looper loop(Looper java:171)_x000D_
        at android app ActivityThread main(ActivityThread java:6649)_x000D_
        at java lang reflect Method invoke(Native Method)_x000D_
        at com android internal os RuntimeInit MethodAndArgsCaller run(RuntimeInit java:547)_x000D_
        at com android internal os ZygoteInit main(ZygoteInit java:824)_x000D_
     Caused by: android content res Resources NotFoundException: Drawable fr free nrw commons beta:drawable badge with resource ID  0x7f08005b_x000D_
     Caused by: android content res Resources NotFoundException: File res drawable badge xml from drawable resource ID  0x7f08005b_x000D_
        at android content res ResourcesImpl loadDrawableForCookie(ResourcesImpl java:837)_x000D_
        at android content res ResourcesImpl loadDrawable(ResourcesImpl java:638)_x000D_
        at android content res MiuiResourcesImpl loadDrawable(MiuiResourcesImpl java:312)_x000D_
        at android content res Resources getDrawableForDensity(Resources java:891)_x000D_
        at android content res Resources getDrawable(Resources java:833)_x000D_
        at android content Context getDrawable(Context java:614)_x000D_
        at android support v4 content ContextCompat getDrawable(ContextCompat java:358)_x000D_
        at android support v7 widget AppCompatDrawableManager getDrawable(AppCompatDrawableManager java:198)_x000D_
        at android support v7 widget AppCompatDrawableManager getDrawable(AppCompatDrawableManager java:186)_x000D_
        at android support v7 content res AppCompatResources getDrawable(AppCompatResources java:100)_x000D_
        at android support v7 widget AppCompatImageHelper setImageResource(AppCompatImageHelper java:85)_x000D_
        at android support v7 widget AppCompatImageView setImageResource(AppCompatImageView java:93)_x000D_
        at fr free nrw commons achievements AchievementsActivity onCreate(AchievementsActivity java:123)_x000D_
        at android app Activity performCreate(Activity java:7088)_x000D_
        at android app Activity performCreate(Activity java:7079)_x000D_
        at android app Instrumentation callActivityOnCreate(Instrumentation java:1215)_x000D_
        at android app ActivityThread performLaunchActivity(ActivityThread java:2768)_x000D_
        at android app ActivityThread handleLaunchActivity(ActivityThread java:2893)_x000D_
        at android app ActivityThread  wrap11(Unknown Source:0)_x000D_
        at android app ActivityThread H handleMessage(ActivityThread java:1614)_x000D_
        at android os Handler dispatchMessage(Handler java:106)_x000D_
        at android os Looper loop(Looper java:171)_x000D_
        at android app ActivityThread main(ActivityThread java:6649)_x000D_
        at java lang reflect Method invoke(Native Method)_x000D_
        at com android internal os RuntimeInit MethodAndArgsCaller run(RuntimeInit java:547)_x000D_
        at com android internal os ZygoteInit main(ZygoteInit java:824)_x000D_
     Caused by: java lang IllegalArgumentException: Path string cannot be empty _x000D_
        at android util PathParser nCreatePathDataFromString(Native Method)_x000D_
        at android util PathParser  wrap1(Unknown Source:0)_x000D_
        at android util PathParser PathData  init (PathParser java:76)_x000D_
        at android graphics drawable VectorDrawable VFullPath updateStateFromTypedArray(VectorDrawable java:1931)_x000D_
        at android graphics drawable VectorDrawable VFullPath inflate(VectorDrawable java:1882)_x000D_
        at android graphics drawable VectorDrawable inflateChildElements(VectorDrawable java:741)_x000D_
        at android graphics drawable VectorDrawable inflate(VectorDrawable java:639)_x000D_
        at android graphics drawable DrawableInflater inflateFromXmlForDensity(DrawableInflater java:142)_x000D_
2018 10 12 12:02:28 557 9191 9191 fr free nrw commons beta E AndroidRuntime:     at android graphics drawable Drawable createFromXmlInnerForDensity(Drawable java:1295)_x000D_
        at android graphics drawable Drawable createFromXmlForDensity(Drawable java:1254)_x000D_
        at android content res ResourcesImpl createFromXmlForDensity(ResourcesImpl java:1471)_x000D_
        at android content res ResourcesImpl loadDrawableForCookie(ResourcesImpl java:822)_x000D_
        	    25 more_x000D_
_x000D_
   _x000D_
_x000D_
  Device and Android version:   _x000D_
_x000D_
Redmi Note 5  Android 8 1 _x000D_
 _x000D_
   Commons app version:   _x000D_
_x000D_
master and betaDebug prodDebug_x000D_
_x000D_
  Would you like to work on the issue   _x000D_
_x000D_
Preferably not  </t>
  </si>
  <si>
    <t>yeriomin-YalpStore-541</t>
  </si>
  <si>
    <t>Update fails due to wrong signature</t>
  </si>
  <si>
    <t xml:space="preserve">First of all thank you very much for your great app  _x000D_
It is a must have if one does not want to use google apps directly _x000D_
_x000D_
  Before creating an issue  _x000D_
1  Make sure you are running the latest version of Yalp Store  Check  here (https:  github com yeriomin YalpStore releases latest) _x000D_
2  Search for similar issues  here (https:  github com yeriomin YalpStore issues q is 3Aissue) _x000D_
3  Send developer a bug report using Yalp s built in crash tool  Please identify yourself   the reports are anonymous by default _x000D_
4  Number 3 is important  Please do it  It helps a lot _x000D_
5  Use the following template to write the text of your issue _x000D_
_x000D_
  Expected behavior  _x000D_
update should work without problem_x000D_
_x000D_
  Actual behavior  _x000D_
error message: (roughly translated from german: the new version has a different signing key  you have to remove the old version to install the new one )_x000D_
_x000D_
  Steps to reproduce  _x000D_
1  have booking com installed in 16 0 _x000D_
2  see update to 16 1 1_x000D_
3  click on install an see above error_x000D_
_x000D_
So I did _x000D_
  download the currently installed booking com app from phone  data app com booking    base apk_x000D_
  downloaded 16 0 version from apkmirror_x000D_
  downloaded 16 1 1 from apkmirror_x000D_
  ran a apksigner verifiy   print certs on all three_x000D_
    _x000D_
base apk_x000D_
Signer  1 certificate DN: O Booking_x000D_
Signer  1 certificate SHA 256 digest: 6ac8c8a9e6f36e14e52a0a0515a36b7066e720a1b0c8a1b059e0781750a87199_x000D_
Signer  1 certificate SHA 1 digest: 9c9fbe258a146be83a4a0f1cb64be96a13790324_x000D_
Signer  1 certificate MD5 digest: e3641de5ae76e3c7a97efcecefe2fe01_x000D_
com booking 16 0 8666 minAPI19(arm64 v8a armeabi armeabi v7a mips mips64 x86 x86 64)(nodpi) apkmirror com apk_x000D_
Signer  1 certificate DN: O Booking_x000D_
Signer  1 certificate SHA 256 digest: 6ac8c8a9e6f36e14e52a0a0515a36b7066e720a1b0c8a1b059e0781750a87199_x000D_
Signer  1 certificate SHA 1 digest: 9c9fbe258a146be83a4a0f1cb64be96a13790324_x000D_
Signer  1 certificate MD5 digest: e3641de5ae76e3c7a97efcecefe2fe01_x000D_
com booking 16 1 1 8952 minAPI19(arm64 v8a armeabi armeabi v7a mips mips64 x86 x86 64)(nodpi) apkmirror com apk_x000D_
Signer  1 certificate DN: O Booking_x000D_
Signer  1 certificate SHA 256 digest: 6ac8c8a9e6f36e14e52a0a0515a36b7066e720a1b0c8a1b059e0781750a87199_x000D_
Signer  1 certificate SHA 1 digest: 9c9fbe258a146be83a4a0f1cb64be96a13790324_x000D_
Signer  1 certificate MD5 digest: e3641de5ae76e3c7a97efcecefe2fe01_x000D_
   _x000D_
_x000D_
As you can see  all three have the same signature _x000D_
_x000D_
On logcat  I do get this_x000D_
   _x000D_
2018 10 12 08:12:22 849 28989 29236 com github yeriomin yalpstore W PackageParser: Failed to parse  storage emulated 0 Download com booking 8952 apk_x000D_
    java io FileNotFoundException: AndroidManifest xml_x000D_
        at android content res AssetManager openXmlAssetNative(Native Method)_x000D_
        at android content res AssetManager openXmlBlockAsset(AssetManager java:560)_x000D_
        at android content res AssetManager openXmlResourceParser(AssetManager java:528)_x000D_
        at android content pm PackageParser parseApkLite(PackageParser java:1773)_x000D_
        at android content pm PackageParser parseMonolithicPackageLite(PackageParser java:906)_x000D_
        at android content pm PackageParser parseMonolithicPackage(PackageParser java:1294)_x000D_
        at android content pm PackageManager getPackageArchiveInfo(PackageManager java:4693)_x000D_
        at com github yeriomin yalpstore InstallerAbstract verify(InstallerAbstract java:7061)_x000D_
        at com github yeriomin yalpstore InstallerBackground verify(InstallerBackground java:38)_x000D_
        at com github yeriomin yalpstore InstallerPrivileged verify(InstallerPrivileged java:93)_x000D_
        at com github yeriomin yalpstore InstallerAbstract verifyAndInstall(InstallerAbstract java:91)_x000D_
        at com github yeriomin yalpstore task InstallTask doInBackground(InstallTask java:1045)_x000D_
        at android os AsyncTask 2 call(AsyncTask java:333)_x000D_
        at java util concurrent FutureTask run(FutureTask java:266)_x000D_
        at android os AsyncTask SerialExecutor 1 run(AsyncTask java:245)_x000D_
        at java util concurrent ThreadPoolExecutor runWorker(ThreadPoolExecutor java:1162)_x000D_
        at java util concurrent ThreadPoolExecutor Worker run(ThreadPoolExecutor java:636)_x000D_
        at java lang Thread run(Thread java:764)_x000D_
2018 10 12 08:12:22 852 28989 29236 com github yeriomin yalpstore W InstallerPrivilegedSession: Signature mismatch for com booking_x000D_
2018 10 12 08:12:22 871 28989 28989 com github yeriomin yalpstore I GlobalInstallReceiver: Finished installation (ACTION PACKAGE INSTALLATION FAILED) of com booking_x000D_
   _x000D_
_x000D_
Please let me know  if I can help you debugging this _x000D_
_x000D_
  Your setup  _x000D_
Oneplus 3  lineagoOs  0 43 _x000D_
</t>
  </si>
  <si>
    <t>Barista-Analytics-Barista-Analytics-7</t>
  </si>
  <si>
    <t>App crashes on Cart Click</t>
  </si>
  <si>
    <t xml:space="preserve">  Class Name: OkoaCoffeeDetails_x000D_
When a user clicks on the cart to confirm an order  the app should take them to the Registration activity  However  there is an application crash</t>
  </si>
  <si>
    <t>ankidroid-Anki-Android-5047</t>
  </si>
  <si>
    <t>Native crash in database in user collection - reproducible, same trace as top play console crash</t>
  </si>
  <si>
    <t xml:space="preserve">       Reproduction Steps_x000D_
_x000D_
1  Import the attached collection apkg to an emulator (I used Android 7 0 to match the user report) using the hotfix 2 8 5 branch builds_x000D_
2  Open the card browser on the MySQL deck_x000D_
3  Scroll down almost to the end_x000D_
_x000D_
_x000D_
       Expected Result_x000D_
_x000D_
You see all the cards_x000D_
_x000D_
_x000D_
       Actual Result_x000D_
_x000D_
Native crash  pasted in below_x000D_
_x000D_
</t>
  </si>
  <si>
    <t>nextcloud-android-3131</t>
  </si>
  <si>
    <t>OnDevice -&gt; shared</t>
  </si>
  <si>
    <t xml:space="preserve">    Actual behaviour_x000D_
  app crashes with NPE_x000D_
_x000D_
    Expected behaviour_x000D_
  show shared files and folders_x000D_
 _x000D_
    Steps to reproduce_x000D_
1  switch to on device_x000D_
2  no downloaded content_x000D_
3  switch to shared with at least one folder</t>
  </si>
  <si>
    <t>react-native-camera-react-native-camera-1848</t>
  </si>
  <si>
    <t>[iOS] App crashes after recording video through front camera on latest version</t>
  </si>
  <si>
    <t xml:space="preserve">  Bug Report_x000D_
  To Do First  _x000D_
   x  Did you try latest release _x000D_
   x  Did you try master _x000D_
   x  Did you look for existing matching issues _x000D_
_x000D_
Issue started to appear after running  react native update  and upgrading to latest version _x000D_
Previous version works fine  but I need the new version cause it fixes the (torch always on) issue _x000D_
_x000D_
In my  package json  file  I have   react native camera :  git https:  git github com react native community react native camera git    so I am connected to master _x000D_
_x000D_
  Related Modules  _x000D_
    Comment in the related ones   _x000D_
RNCamera_x000D_
_x000D_
  Platforms  _x000D_
    Comment in the related ones   _x000D_
    Android   _x000D_
iOS_x000D_
_x000D_
  Versions  _x000D_
    Please add the used versions branches or leave blank and comment in the optionals if used   _x000D_
  react native camera: 1 3 0_x000D_
  react native: 0 56 1_x000D_
  react: 16 3 1_x000D_
_x000D_
  Description Current Behaviour  _x000D_
    place your bug description below   _x000D_
Front camera video is crashing after the  stopRecording  function is called  However  back camera video is working perfectly okay _x000D_
When I debug the issue  the  await this camera stopRecording(options)  is never resolved  I am not even getting an error in the  catch  block  or in the console    Nothing at all to help me : _x000D_
_x000D_
  Expected Behaviour  _x000D_
Recording video through the front camera should work exactly like through back camera _x000D_
_x000D_
  Steps to Reproduce  _x000D_
If it might help  here is my  recordAsync  function:_x000D_
_x000D_
    recordAsync   async function ()  _x000D_
        if (this camera)  _x000D_
            const options    _x000D_
                mirrorVideo: this type     RNCamera Constants Type front _x000D_
                quality: RNCamera Constants VideoQuality  720p   _x000D_
                   mute:false _x000D_
                audio: true _x000D_
                captureAudio: true _x000D_
                maxDuration: 30 _x000D_
                base64: true _x000D_
                forceUpOrientation: true _x000D_
                fixOrientation: true _x000D_
              _x000D_
            console log( waiting for data )_x000D_
            const data   await this camera recordAsync(options)_x000D_
                 catch((err)    console log( promise error   err))_x000D_
            console log( video data   data)_x000D_
            return data_x000D_
          else  _x000D_
            alert( no video data )_x000D_
         _x000D_
      </t>
  </si>
  <si>
    <t>AniTrend-anitrend-app-88</t>
  </si>
  <si>
    <t>Notifications Crash After Site Update</t>
  </si>
  <si>
    <t xml:space="preserve">   Description Of Bug_x000D_
      A clear and concise description of what the bug is     _x000D_
_x000D_
  Notification Hub   started crashing after  AniList Changelog   01 10 2018 (https:  anilist co forum thread 3878 comment 115268) _x000D_
_x000D_
  Steps To Reproduce  _x000D_
1  Open Navigation Drawer_x000D_
2  Click on your avatar or banner_x000D_
3  Click on the bell icon_x000D_
4  Try scrolling for some content and the app might crash_x000D_
_x000D_
_x000D_
   Expected Behaviour_x000D_
      A clear and concise description of what you expect to happen     _x000D_
_x000D_
  N A  _x000D_
_x000D_
_x000D_
   Device   Build Information_x000D_
      Please provide any relevant information about your device  This is important in case the issue is not reproducible except for under certain conditions     _x000D_
_x000D_
  OS Version: Lollipop 5 0 1_x000D_
  App Version: 1 2 1_x000D_
  Phone Model: Xperia SP_x000D_
  Phone Brand: Sony_x000D_
_x000D_
Donwload Source:_x000D_
   x  Playstore_x000D_
      Github_x000D_
      Other (specify)_x000D_
_x000D_
_x000D_
   Additional Context_x000D_
      What are you trying to accomplish  Providing context helps us come up with a solution that is most useful in the real world  also include an logs if you have any in this section    _x000D_
_x000D_
Only seems like notifications from the day of the site update cause this issue  and after than the issue goes away_x000D_
_x000D_
   _x000D_
Fatal Exception: java lang NullPointerException: Attempt to invoke virtual method  java lang String com mxt anitrend model entity base UserBase getName()  on a null object reference_x000D_
       at com mxt anitrend adapter recycler detail NotificationAdapter NotificationHolder onBindViewHolder(NotificationAdapter java:140)_x000D_
       at com mxt anitrend adapter recycler detail NotificationAdapter NotificationHolder onBindViewHolder(NotificationAdapter java:61)_x000D_
       at com mxt anitrend base custom recycler RecyclerViewAdapter onBindViewHolder(RecyclerViewAdapter java:146)_x000D_
       at com mxt anitrend base custom recycler RecyclerViewAdapter onBindViewHolder(RecyclerViewAdapter java:31)_x000D_
       at android support v7 widget RecyclerView Adapter onBindViewHolder(RecyclerView java:6673)_x000D_
       at android support v7 widget RecyclerView Adapter bindViewHolder(RecyclerView java:6714)_x000D_
       at android support v7 widget RecyclerView Recycler tryBindViewHolderByDeadline(RecyclerView java:5647)_x000D_
       at android support v7 widget RecyclerView Recycler tryGetViewHolderForPositionByDeadline(RecyclerView java:5913)_x000D_
       at android support v7 widget GapWorker prefetchPositionWithDeadline(GapWorker java:285)_x000D_
       at android support v7 widget GapWorker flushTaskWithDeadline(GapWorker java:342)_x000D_
       at android support v7 widget GapWorker flushTasksWithDeadline(GapWorker java:358)_x000D_
       at android support v7 widget GapWorker prefetch(GapWorker java:365)_x000D_
       at android support v7 widget GapWorker run(GapWorker java:396)_x000D_
       at android os Handler handleCallback(Handler java:789)_x000D_
       at android os Handler dispatchMessage(Handler java:98)_x000D_
       at android os Looper loop(Looper java:164)_x000D_
       at android app ActivityThread main(ActivityThread java:6541)_x000D_
       at java lang reflect Method invoke(Method java)_x000D_
       at com android internal os Zygote MethodAndArgsCaller run(Zygote java:240)_x000D_
       at com android internal os ZygoteInit main(ZygoteInit java:767)_x000D_
   </t>
  </si>
  <si>
    <t>koral---android-gif-drawable-597</t>
  </si>
  <si>
    <t>Fatal Exception: java.lang.RuntimeException: Could not read from eventfd Bad file descriptor</t>
  </si>
  <si>
    <t xml:space="preserve">i am getting this crash log in my crashlytics console_x000D_
_x000D_
devices that this is occuring on_x000D_
_x000D_
Galaxy A3 and motorola g4 plus both running on android 7_x000D_
_x000D_
   _x000D_
Fatal Exception: java lang RuntimeException: Could not read from eventfd Bad file descriptor_x000D_
       at pl droidsonroids gif GifInfoHandle bindSurface(SourceFile)_x000D_
       at pl droidsonroids gif GifInfoHandle getNativeFileDescriptor(SourceFile:199)_x000D_
       at pl droidsonroids gif GifTextureView RenderThread run(SourceFile:225)_x000D_
   _x000D_
_x000D_
i am using  gifTextureView   any idea on why this would happen _x000D_
</t>
  </si>
  <si>
    <t>MozillaReality-FirefoxReality-610</t>
  </si>
  <si>
    <t>Browser window fails to update after recovering from a child process crash when e10s is enabled</t>
  </si>
  <si>
    <t xml:space="preserve">   Hardware_x000D_
      Include the name and version of the hardware VR headset you experienced the bug in     _x000D_
All_x000D_
   Steps to Reproduce_x000D_
      For bugs  please provide a link to a live web site  test page  or a rough set of    _x000D_
      steps to reproduce this bug  If relevant  include code to reproduce     _x000D_
      Feel free to attach images and GIFs of screen captures     _x000D_
1  enable e10s_x000D_
2  open  about:crashcontent _x000D_
_x000D_
   Current Behavior_x000D_
      If describing a bug  tell us what happens instead of the expected behavior     _x000D_
      If suggesting a change improvement  explain the difference from current behavior     _x000D_
Session is restarted but the browser window no longer updates _x000D_
_x000D_
   Expected Behavior_x000D_
      If you re describing a bug  tell us what should happen     _x000D_
      If you re suggesting a change improvement  tell us how it should work     _x000D_
Browser window should be updated _x000D_
_x000D_
   Possible Solution_x000D_
       Optional     _x000D_
      Feel free to suggest a fix reason for the bug     _x000D_
      or ideas how to implement the addition or change     _x000D_
It isn t clear if this is an FxR bug or a GeckoView Bug  Recovering from a content process crash seems to work with the GV example application but the usage is a little different _x000D_
_x000D_
blocked by  451 </t>
  </si>
  <si>
    <t>AniTrend-anitrend-app-87</t>
  </si>
  <si>
    <t>Fix Crash on Decimal Score Using Comma</t>
  </si>
  <si>
    <t>_x000D_
   x  You have followed our    contributing guidelines   (https:  github com AniTrend anitrend app blob master CONTRIBUTING md)_x000D_
   x  double check your branch is based on  develop  and targets  develop  _x000D_
      Pull request has tests_x000D_
      Code is well commented  linted and follows project conventions_x000D_
      Documentation is updated (if necessary)_x000D_
   x  Description explains the issue use case resolved_x000D_
   x  I did not commit files that are excluded in the  gitignore file_x000D_
_x000D_
   Description_x000D_
In some countries  decimals are represented as  1 0  instead of  1 0   This pattern is not correctly understood by the app and causes incorrect Score being set or causing a crash  _x000D_
Also makes the score to be converted automatically into a proper decimal when giving a double digit input  ( 58  will automatically change to  5 8 )_x000D_
_x000D_
   Motivation and Context_x000D_
Fixes the bug  allowing people to use the  1 0  pattern when using the Decimal Score System as per their Locale  _x000D_
For the automatic decimal conversion  let s the user give a faster way to input scores as well as not get puzzled with the likely confusion when the scores were being reset on double digit input _x000D_
_x000D_
   How Has This Been Tested _x000D_
Used increment and decrement buttons to set  then refresh to check the Score again _x000D_
Repeated for both locales (comma and dot separator) and keyboard input instead of the increment decrement buttons  _x000D_
_x000D_
   Types of changes_x000D_
   x  Bug fix (non breaking change which fixes an issue)_x000D_
      New feature (non breaking change which adds functionality)_x000D_
      Breaking change (fix or feature that would cause existing functionality to not work as expected)</t>
  </si>
  <si>
    <t>connectbot-connectbot-650</t>
  </si>
  <si>
    <t>Crash regression on OxygenOS 5 (Android 8 fork)</t>
  </si>
  <si>
    <t xml:space="preserve">Since recently  I can t change the settings of a hosts anymore  Trying to change any field in the  Edit Hosts  menu leads to the following crash:_x000D_
_x000D_
   _x000D_
10 10 18:18:02 919 16911 16911 E SQLiteLog: (1) no such column: hwui_x000D_
10 10 18:18:02 920 16911 16911 D AndroidRuntime: Shutting down VM_x000D_
10 10 18:18:02 921 16911 16911 E AndroidRuntime: FATAL EXCEPTION: main_x000D_
10 10 18:18:02 921 16911 16911 E AndroidRuntime: Process: org connectbot  PID: 16911_x000D_
10 10 18:18:02 921 16911 16911 E AndroidRuntime: android database sqlite SQLiteException: no such column: hwui (code 1):   while compiling: UPDATE hosts SET hwui   WHERE  id    _x000D_
10 10 18:18:02 921 16911 16911 E AndroidRuntime: 	at android database sqlite SQLiteConnection nativePrepareStatement(Native Method)_x000D_
10 10 18:18:02 921 16911 16911 E AndroidRuntime: 	at android database sqlite SQLiteConnection acquirePreparedStatement(SQLiteConnection java:889)_x000D_
10 10 18:18:02 921 16911 16911 E AndroidRuntime: 	at android database sqlite SQLiteConnection prepare(SQLiteConnection java:500)_x000D_
10 10 18:18:02 921 16911 16911 E AndroidRuntime: 	at android database sqlite SQLiteSession prepare(SQLiteSession java:588)_x000D_
10 10 18:18:02 921 16911 16911 E AndroidRuntime: 	at android database sqlite SQLiteProgram  init (SQLiteProgram java:58)_x000D_
10 10 18:18:02 921 16911 16911 E AndroidRuntime: 	at android database sqlite SQLiteStatement  init (SQLiteStatement java:31)_x000D_
10 10 18:18:02 921 16911 16911 E AndroidRuntime: 	at android database sqlite SQLiteDatabase updateWithOnConflict(SQLiteDatabase java:1602)_x000D_
10 10 18:18:02 921 16911 16911 E AndroidRuntime: 	at android database sqlite SQLiteDatabase update(SQLiteDatabase java:1550)_x000D_
10 10 18:18:02 921 16911 16911 E AndroidRuntime: 	at org connectbot HostEditorActivity CursorPreferenceHack Editor commit(HostEditorActivity java:120)_x000D_
10 10 18:18:02 921 16911 16911 E AndroidRuntime: 	at org connectbot HostEditorActivity CursorPreferenceHack Editor apply(HostEditorActivity java:136)_x000D_
10 10 18:18:02 921 16911 16911 E AndroidRuntime: 	at com oneplus embryo EmbryoAppImpl checkHWUI(:179)_x000D_
10 10 18:18:02 921 16911 16911 E AndroidRuntime: 	at android app EmbryoApp checkHWUI(EmbryoApp java:107)_x000D_
10 10 18:18:02 921 16911 16911 E AndroidRuntime: 	at android view ThreadedRenderer  init (ThreadedRenderer java:368)_x000D_
10 10 18:18:02 921 16911 16911 E AndroidRuntime: 	at android view ThreadedRenderer create(ThreadedRenderer java:266)_x000D_
10 10 18:18:02 921 16911 16911 E AndroidRuntime: 	at android view ViewRootImpl enableHardwareAcceleration(ViewRootImpl java:994)_x000D_
10 10 18:18:02 921 16911 16911 E AndroidRuntime: 	at android view ViewRootImpl setView(ViewRootImpl java:707)_x000D_
10 10 18:18:02 921 16911 16911 E AndroidRuntime: 	at android view WindowManagerGlobal addView(WindowManagerGlobal java:356)_x000D_
10 10 18:18:02 921 16911 16911 E AndroidRuntime: 	at android view WindowManagerImpl addView(WindowManagerImpl java:93)_x000D_
10 10 18:18:02 921 16911 16911 E AndroidRuntime: 	at android app Dialog show(Dialog java:330)_x000D_
10 10 18:18:02 921 16911 16911 E AndroidRuntime: 	at android preference DialogPreference showDialog(DialogPreference java:319)_x000D_
10 10 18:18:02 921 16911 16911 E AndroidRuntime: 	at android preference DialogPreference onClick(DialogPreference java:277)_x000D_
10 10 18:18:02 921 16911 16911 E AndroidRuntime: 	at android preference Preference performClick(Preference java:1134)_x000D_
10 10 18:18:02 921 16911 16911 E AndroidRuntime: 	at android preference PreferenceScreen onItemClick(PreferenceScreen java:249)_x000D_
10 10 18:18:02 921 16911 16911 E AndroidRuntime: 	at android widget AdapterView performItemClick(AdapterView java:318)_x000D_
10 10 18:18:02 921 16911 16911 E AndroidRuntime: 	at android widget AbsListView performItemClick(AbsListView java:1197)_x000D_
10 10 18:18:02 921 16911 16911 E AndroidRuntime: 	at android widget AbsListView PerformClick run(AbsListView java:3166)_x000D_
10 10 18:18:02 921 16911 16911 E AndroidRuntime: 	at android widget AbsListView 3 run(AbsListView java:4119)_x000D_
10 10 18:18:02 921 16911 16911 E AndroidRuntime: 	at android os Handler handleCallback(Handler java:789)_x000D_
10 10 18:18:02 921 16911 16911 E AndroidRuntime: 	at android os Handler dispatchMessage(Handler java:98)_x000D_
10 10 18:18:02 921 16911 16911 E AndroidRuntime: 	at android os Looper loop(Looper java:164)_x000D_
10 10 18:18:02 921 16911 16911 E AndroidRuntime: 	at android app ActivityThread main(ActivityThread java:6798)_x000D_
10 10 18:18:02 921 16911 16911 E AndroidRuntime: 	at java lang reflect Method invoke(Native Method)_x000D_
10 10 18:18:02 921 16911 16911 E AndroidRuntime: 	at com android internal os Zygote MethodAndArgsCaller run(Zygote java:240)_x000D_
10 10 18:18:02 921 16911 16911 E AndroidRuntime: 	at com android internal os ZygoteInit main(ZygoteInit java:767)_x000D_
10 10 18:18:02 925 16911 16911 D OSTracker: OS Event: crash_x000D_
   _x000D_
_x000D_
Reproducible on OnePlus 3  OxygenOS 5 0 6 (Android 8 0 0) </t>
  </si>
  <si>
    <t>nextcloud-android-3127</t>
  </si>
  <si>
    <t>Nextcloud app stops/crashes when opening .ics file</t>
  </si>
  <si>
    <t>If you have an  ics file (like from a Bahn booking) and tap on it  the app crashes saying_x000D_
_x000D_
  Unfortunately  Nextcloud dev has stopped_x000D_
_x000D_
This does not happen when you open the 3 dot menu and choose  Open with   where you can open it with a calendar and there are no problems _x000D_
_x000D_
It seems there is no default action set for  ics files  When you tap them  it should be as if  Open with  was chosen _x000D_
_x000D_
_x000D_
Latest Nextcloud dev (from F Droid) on Fairphone Android 6 0 1</t>
  </si>
  <si>
    <t>niccokunzmann-mundraub-android-189</t>
  </si>
  <si>
    <t>Map does not save which layer is displayed last</t>
  </si>
  <si>
    <t xml:space="preserve">     If you report an app crash  please attach the eu quelltext mundraub log txt file_x000D_
     from the root of your phone s file system     _x000D_
_x000D_
I would like the map to show the last selected layer: mapnik or satellite _x000D_
Cookies are used to save what was displayed last </t>
  </si>
  <si>
    <t>niccokunzmann-mundraub-android-188</t>
  </si>
  <si>
    <t>Download status bar for downloading plant markers is not visible</t>
  </si>
  <si>
    <t xml:space="preserve">     If you report an app crash  please attach the eu quelltext mundraub log txt file_x000D_
     from the root of your phone s file system     _x000D_
_x000D_
When the settings are opened and the the downloads starts  the bar appears only after download is done </t>
  </si>
  <si>
    <t>niccokunzmann-mundraub-android-187</t>
  </si>
  <si>
    <t>Downloading the map fails without error message</t>
  </si>
  <si>
    <t xml:space="preserve">     If you report an app crash  please attach the eu quelltext mundraub log txt file_x000D_
     from the root of your phone s file system     _x000D_
_x000D_
When I download the map  I can not see the error message which says that the server could not be reached when there is no Internet connection </t>
  </si>
  <si>
    <t>k9mail-k-9-3653</t>
  </si>
  <si>
    <t>App crashes, when searching for a word that starts with a hyphen</t>
  </si>
  <si>
    <t xml:space="preserve">When I open a folder and press  search   then enter any searchword that starts with a hyphen (  anything  for example) the app crashes immediately after pressing enter _x000D_
_x000D_
    Expected behavior_x000D_
Give me a list of messages containing the given phrase _x000D_
_x000D_
    Actual behavior_x000D_
App crashes_x000D_
_x000D_
    Steps to reproduce_x000D_
1  Open inbox_x000D_
2  press the magnifying glass icon_x000D_
3  enter   something  and press Enter_x000D_
_x000D_
    Environment_x000D_
K 9 Mail version: 5 600_x000D_
_x000D_
Android version: 8 0 0   7 1 1_x000D_
_x000D_
Account type (IMAP  POP3  WebDAV Exchange): IMAP_x000D_
</t>
  </si>
  <si>
    <t>stealthcopter-AndroidNetworkTools-51</t>
  </si>
  <si>
    <t>App is blocking the UI and crashing in android 6.0 and below</t>
  </si>
  <si>
    <t xml:space="preserve">App is blocking the UI and crashing in android 6 0 and below when i am doing subnet devices  this is reproducible in sample code </t>
  </si>
  <si>
    <t>GreatApo-GreatFit-16</t>
  </si>
  <si>
    <t>"World Time" Widget</t>
  </si>
  <si>
    <t xml:space="preserve">If you enable the widget  World Time  while the setting  Always am pm  is off the whole watchface crashes  Some more info  Amazfit Pace with stock US rom 2 8 1 0  italian language set into watchface settings  time format 24 hour </t>
  </si>
  <si>
    <t>niccokunzmann-mundraub-android-186</t>
  </si>
  <si>
    <t>Pull requests fail</t>
  </si>
  <si>
    <t xml:space="preserve">     If you report an app crash  please attach the eu quelltext mundraub log txt file_x000D_
     from the root of your phone s file system     _x000D_
_x000D_
Pull requests from external people fail because they do not have access to the secret variables _x000D_
https:  travis ci org niccokunzmann mundraub android builds 438579315 utm source github status utm medium notification_x000D_
_x000D_
Please change this  Travis allows checking if this is a pull request through a variable  Maybe  all these variables should be accessed through a deployment</t>
  </si>
  <si>
    <t>ZeusWPI-hydra-android-279</t>
  </si>
  <si>
    <t>Crash related to text selection</t>
  </si>
  <si>
    <t>Multiple crash reports are all an  IndexOutOfBoundsException  related to text selection copying _x000D_
_x000D_
A quick search reveals this is probably a bug with Android itself  but there might be a workaround:_x000D_
  https:  github com noties Markwon issues 41 (similar issue in another library)_x000D_
  https:  stackoverflow com questions 33821008 illegalargumentexception while selecting text in android textview_x000D_
  https:  stackoverflow com questions 22810147 error when selecting text from textview java lang indexoutofboundsexception se_x000D_
  https:  issuetracker google com issues 37068143</t>
  </si>
  <si>
    <t>barbeau-gpstest-221</t>
  </si>
  <si>
    <t>Release build fails with MissingDefaultResource</t>
  </si>
  <si>
    <t xml:space="preserve">  Summary:   _x000D_
_x000D_
Building a release off the current master branch fails with:_x000D_
_x000D_
   _x000D_
C: android projects gpstest GPSTest src main res values w240dp dimens xml:4: Error: The dimen  min column width  in values w240dp has no declaration in the base values folder  this can lead to crashes when the resource is queried in a configuration that does not match this qualifier  MissingDefaultResource _x000D_
     dimen name  min column width  40dp  dimen _x000D_
                                  _x000D_
C: android projects gpstest GPSTest src main res values w350dp dimens xml:4: Error: The dimen  min column width  in values w350dp has no declaration in the base values folder  this can lead to crashes when the resource is queried in a configuration that does not match this qualifier  MissingDefaultResource _x000D_
     dimen name  min column width  45dp  dimen _x000D_
                                  _x000D_
C: android projects gpstest GPSTest src main res values w400dp dimens xml:4: Error: The dimen  min column width  in values w400dp has no declaration in the base values folder  this can lead to crashes when the resource is queried in a configuration that does not match this qualifier  MissingDefaultResource _x000D_
     dimen name  min column width  50dp  dimen _x000D_
                                  _x000D_
C: android projects gpstest GPSTest src main res values w240dp dimens xml:5: Error: The dimen  status text size  in values w240dp has no declaration in the base values folder  this can lead to crashes when the resource is queried in a configuration that does not match this qualifier  MissingDefaultResource _x000D_
     dimen name  status text size  12sp  dimen _x000D_
                                  _x000D_
C: android projects gpstest GPSTest src main res values w350dp dimens xml:5: Error: The dimen  status text size  in values w350dp has no declaration in the base values folder  this can lead to crashes when the resource is queried in a configuration that does not match this qualifier  MissingDefaultResource _x000D_
     dimen name  status text size  13sp  dimen _x000D_
                                  _x000D_
C: android projects gpstest GPSTest src main res values w400dp dimens xml:5: Error: The dimen  status text size  in values w400dp has no declaration in the base values folder  this can lead to crashes when the resource is queried in a configuration that does not match this qualifier  MissingDefaultResource _x000D_
     dimen name  status text size  14sp  dimen _x000D_
                                  _x000D_
C: android projects gpstest GPSTest src main res values w350dp v26 dimens xml:6: Error: The dimen  min column width  in values w350dp v26 has no declaration in the base values folder  this can lead to crashes when the resource is queried in a configuration that does not match this qualifier  MissingDefaultResource _x000D_
     dimen name  min column width  42dp  dimen _x000D_
                                  _x000D_
C: android projects gpstest GPSTest src main res values w350dp v26 dimens xml:7: Error: The dimen  status text size  in values w350dp v26 has no declaration in the base values folder  this can lead to crashes when the resource is queried in a configuration that does not match this qualifier  MissingDefaultResource _x000D_
     dimen name  status text size  13sp  dimen _x000D_
                                  _x000D_
_x000D_
   Explanation for issues of type  MissingDefaultResource :_x000D_
   If a resource is only defined in folders with qualifiers like  land or  en _x000D_
   and there is no default declaration in the base folder (layout or values_x000D_
   etc)  then the app will crash if that resource is accessed on a device_x000D_
   where the device is in a configuration missing the given qualifier _x000D_
_x000D_
   As a special case  drawables do not have to be specified in the base_x000D_
   folder  if there is a match in a density folder (such as drawable mdpi)_x000D_
   that image will be used and scaled  Note however that if you  only specify_x000D_
   a drawable in a folder like drawable en hdpi  the app will crash in_x000D_
   non English locales _x000D_
_x000D_
   There may be scenarios where you have a resource  such as a  fr drawable _x000D_
   which is only referenced from some other resource with the same qualifiers_x000D_
   (such as a  fr style)  which itself has safe fallbacks  However  this still_x000D_
   makes it possible for somebody to accidentally reference the drawable and_x000D_
   crash  so it is safer to create a default dummy fallback in the base_x000D_
   folder  Alternatively  you can suppress the issue by adding_x000D_
   tools:ignore  MissingDefaultResource  on the element _x000D_
_x000D_
   (This scenario frequently happens with string translations  where you might_x000D_
   delete code and the corresponding resources  but forget to delete a_x000D_
   translation  There is a dedicated issue id for that scenario  with the id_x000D_
   ExtraTranslation )_x000D_
   _x000D_
_x000D_
Attributes that need a default value:_x000D_
   x  min column width_x000D_
   x  status text size_x000D_
_x000D_
  Steps to reproduce:   _x000D_
_x000D_
Run  gradlew assembleRelease  D org gradle daemon false _x000D_
_x000D_
  Expected behavior:   _x000D_
_x000D_
Execute a release build_x000D_
_x000D_
  Observed behavior:   _x000D_
_x000D_
Build fails with above error</t>
  </si>
  <si>
    <t>akvo-akvo-flow-mobile-1230</t>
  </si>
  <si>
    <t>[#1229] Fixed crash in TimeCheckActivity (connect #1229)</t>
  </si>
  <si>
    <t xml:space="preserve">     Before the PR (what is the issue or what needed to be done)_x000D_
This is a crash that happens in the app current release and needs to be fixed  It is due to the usage of an old theme_x000D_
     The solution_x000D_
using the new android theme  also removed useless nested layout and duplicated title _x000D_
     Screenshots (if appropriate)_x000D_
NA_x000D_
     Reviewer Checklist_x000D_
      Connect the issue_x000D_
      Test plan_x000D_
      Copyright header_x000D_
      Code formatting_x000D_
      Documentation_x000D_
</t>
  </si>
  <si>
    <t>k9mail-k-9-3652</t>
  </si>
  <si>
    <t>Crash on open certain messages</t>
  </si>
  <si>
    <t xml:space="preserve">Certain spam messages  not detected by German email provider GMX (false negative)  causing k 9 to crash _x000D_
_x000D_
    Expected behavior_x000D_
On tapping a message from folder list  the message should appear in detailed view _x000D_
_x000D_
    Actual behavior_x000D_
On tapping a message from folder list  k 9 crashes_x000D_
_x000D_
    Steps to reproduce_x000D_
1  Try getting a spam message from GMX _x000D_
2  Account type doesn t matter _x000D_
3  Try to open the message _x000D_
_x000D_
    Environment_x000D_
K 9 Mail version: 5 600_x000D_
_x000D_
Android version: 8 1 0_x000D_
_x000D_
Account type (IMAP  POP3  WebDAV Exchange): IMAP POP3_x000D_
_x000D_
    Additional information_x000D_
When opening the same message with Thunderbird  a blank page appears  The source view contains some crude HTML code  If needed  I can link the body s content _x000D_
_x000D_
Hope I hit the relevant error from   logcat  :_x000D_
_x000D_
 logcat 10 08 2018 09 49 44 txt (https:  github com k9mail k 9 files 2455144 logcat 10 08 2018 09 49 44 txt)_x000D_
</t>
  </si>
  <si>
    <t>ankidroid-Anki-Android-5029</t>
  </si>
  <si>
    <t>Sharing exported collection not working</t>
  </si>
  <si>
    <t xml:space="preserve">       Reproduction Steps_x000D_
_x000D_
1  export collection from deck picker_x000D_
2  answer yes to the popup about sending it to another application_x000D_
_x000D_
_x000D_
       Expected Result_x000D_
_x000D_
Selection of applications is presented  or a dialog at least informing the user no suitable application is found_x000D_
_x000D_
_x000D_
       Actual Result_x000D_
_x000D_
1  if no suitable application are installed  it silently fails with just a log message visible in adb_x000D_
2  if there are applications  it appears to crash  (in Android 8 1 at least)_x000D_
3  a third case (unknown reproduction or device) it appears to send an email but with no attachment_x000D_
_x000D_
java lang SecurityException: UID 10272 does not have permission to content:  com ichi2 anki apkgfileprovider export directory collection apkg  user 0 _x000D_
at android os Parcel readException(Parcel java:2005)_x000D_
at android os Parcel readException(Parcel java:1951)_x000D_
at android app IActivityManager Stub Proxy startActivity(IActivityManager java:4390)_x000D_
at android app Instrumentation execStartActivity(Instrumentation java:1797)_x000D_
at android app Activity startActivityForResult(Activity java:4514)_x000D_
at android support v4 app BaseFragmentActivityApi16 startActivityForResult(BaseFragmentActivityApi16 java:54)_x000D_
at android support v4 app FragmentActivity startActivityForResult(FragmentActivity java:67)_x000D_
at android app Activity startActivityForResult(Activity java:4472)_x000D_
at android support v4 app FragmentActivity startActivityForResult(FragmentActivity java:732)_x000D_
at com ichi2 anki AnkiActivity startActivityForResult(AnkiActivity java:174)_x000D_
at android app Activity startActivity(Activity java:4833)_x000D_
at android app Activity startActivity(Activity java:4801)_x000D_
at com ichi2 anki AnkiActivity startActivityWithoutAnimation(AnkiActivity java:159)_x000D_
at com ichi2 anki DeckPicker emailFile(DeckPicker java:1665)_x000D_
at com ichi2 anki dialogs DeckPickerExportCompleteDialog lambda onCreateDialog 0(DeckPickerExportCompleteDialog java:37)_x000D_
at com ichi2 anki dialogs    Lambda DeckPickerExportCompleteDialog R3 uh335MmJZJTJEVYXfKJSSy6E onClick(Unknown Source:4)_x000D_
at com afollestad materialdialogs MaterialDialog onClick(MaterialDialog java:410)_x000D_
at android view View performClick(View java:6367)_x000D_
at android view View PerformClick run(View java:25032)_x000D_
at android os Handler handleCallback(Handler java:790)_x000D_
at android os Handler dispatchMessage(Handler java:99)_x000D_
at android os Looper loop(Looper java:164)_x000D_
at android app ActivityThread main(ActivityThread java:6753)_x000D_
at java lang reflect Method invoke(Native Method)_x000D_
at com android internal os RuntimeInit MethodAndArgsCaller run(RuntimeInit java:482)_x000D_
at com android internal os ZygoteInit main(ZygoteInit java:807)</t>
  </si>
  <si>
    <t>mapbox-mapbox-events-android-230</t>
  </si>
  <si>
    <t>Crash on Samsung devices from AlarmManager</t>
  </si>
  <si>
    <t>I recently started a beta release of a new version of my app that uses MapBox  2 of our beta testers have reported this crash  one using a Samsung Galaxy S8  and the other using a Samsung Galaxy Note8  both running Android 8 0  _x000D_
_x000D_
  java lang ExceptionInInitializerError: _x000D_
  at com mapbox mapboxsdk maps Telemetry obtainTelemetry (Telemetry java:73)_x000D_
  at com mapbox mapboxsdk maps Telemetry initialize (Telemetry java:30)_x000D_
  at com mapbox mapboxsdk Mapbox initializeTelemetry (Mapbox java:119)_x000D_
  at com mapbox mapboxsdk Mapbox getInstance (Mapbox java:49)_x000D_
  at org myapp app Application onCreate (Application kt:31)_x000D_
  at android app Instrumentation callApplicationOnCreate (Instrumentation java:1125)_x000D_
  at android app ActivityThread handleBindApplication (ActivityThread java:6056)_x000D_
  at android app ActivityThread  wrap1 (Unknown Source)_x000D_
  at android app ActivityThread H handleMessage (ActivityThread java:1764)_x000D_
  at android os Handler dispatchMessage (Handler java:105)_x000D_
  at android os Looper loop (Looper java:164)_x000D_
  at android app ActivityThread main (ActivityThread java:6938)_x000D_
  at java lang reflect Method invoke (Native Method)_x000D_
  at com android internal os Zygote MethodAndArgsCaller run (Zygote java:327)_x000D_
  at com android internal os ZygoteInit main (ZygoteInit java:1374)_x000D_
Caused by: java lang SecurityException: _x000D_
  at android os Parcel readException (Parcel java:1959)_x000D_
  at android os Parcel readException (Parcel java:1905)_x000D_
  at android app IAlarmManager Stub Proxy set (IAlarmManager java:217)_x000D_
  at android app AlarmManager setImpl (AlarmManager java:697)_x000D_
  at android app AlarmManager setInexactRepeating (AlarmManager java:798)_x000D_
  at com mapbox android telemetry AlarmSchedulerFlusher schedule (AlarmSchedulerFlusher java:40)_x000D_
  at com mapbox android telemetry MapboxTelemetry startAlarm (MapboxTelemetry java:511)_x000D_
  at com mapbox android telemetry MapboxTelemetry startTelemetry (MapboxTelemetry java:467)_x000D_
  at com mapbox android telemetry MapboxTelemetry enable (MapboxTelemetry java:143)_x000D_
  at com mapbox mapboxsdk maps Telemetry  init  (Telemetry java:25)_x000D_
  at com mapbox mapboxsdk maps Telemetry  init  (Telemetry java:10)_x000D_
  at com mapbox mapboxsdk maps Telemetry TelemetryHolder  clinit   (Telemetry java:69)_x000D_
_x000D_
The beta was released using  implementation  com mapbox mapboxsdk:mapbox android sdk:6 4 0    but I am bringing it up anyway because I haven t seen anything in the release notes regarding this issue _x000D_
_x000D_
For the next beta  I am releasing with 6 5  and I am planning to band aid this crash by disabling telemetry from the start like this:_x000D_
_x000D_
   val sharedPreferences   getSharedPreferences( MapboxSharedPreferences   Context MODE PRIVATE)_x000D_
        sharedPreferences edit() putString( mapboxTelemetryState  _x000D_
                TelemetryEnabler State DISABLED name) apply()_x000D_
_x000D_
        Mapbox getInstance(applicationContext  getString(R string mapbox access token))</t>
  </si>
  <si>
    <t>gsantner-markor-389</t>
  </si>
  <si>
    <t>Title bar not sets to first line of content</t>
  </si>
  <si>
    <t xml:space="preserve">     General information_x000D_
_x000D_
    App version:   1 3 0 _x000D_
    System:   Android 7 0  Galaxy J5 Prime _x000D_
_x000D_
     Description_x000D_
_x000D_
I see this bug after this works:_x000D_
_x000D_
  Open Markor _x000D_
  Click on   icon to make new document _x000D_
  Write  Hello  in content  and keep  title  empty _x000D_
  Don t press physical back button of phone  Only click on back icon in the Markor top bar _x000D_
  I see my document has saved as  null md  and there are not exists  Hello md _x000D_
_x000D_
But  When I press on physical back button of phone instead back icon in Markor top bar  It makes  Hello md   and also makes  null md   I mean: It makes two files contains  Hello  _x000D_
_x000D_
_x000D_
_x000D_
     Log_x000D_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android contribution guide  packageid net gsantner markor project markor web https:  github com gsantner markor logcat_x000D_
   _x000D_
</t>
  </si>
  <si>
    <t>commons-app-apps-android-commons-1917</t>
  </si>
  <si>
    <t>Top crashes in v2.8.4</t>
  </si>
  <si>
    <t xml:space="preserve">Top crashes in our Play Store developer console currently  Luckily most of these are NPEs which should be quite simple to fix  :) If anyone is interested in working on this  please tell us which crash exactly you are working on so that we don t duplicate effort _x000D_
_x000D_
1  java lang NullPointerException at fr free nrw commons explore images SearchImageFragment updateImageList_x000D_
_x000D_
   _x000D_
io reactivex exceptions OnErrorNotImplementedException: _x000D_
  at io reactivex internal functions Functions OnErrorMissingConsumer accept (Functions java:704)_x000D_
  at io reactivex internal functions Functions OnErrorMissingConsumer accept (Functions java:701)_x000D_
  at io reactivex internal observers LambdaObserver onError (LambdaObserver java:74)_x000D_
  at io reactivex internal observers LambdaObserver onNext (LambdaObserver java:64)_x000D_
  at io reactivex internal operators observable ObservableObserveOn ObserveOnObserver drainNormal (ObservableObserveOn java:200)_x000D_
  at io reactivex internal operators observable ObservableObserveOn ObserveOnObserver run (ObservableObserveOn java:252)_x000D_
  at io reactivex android schedulers HandlerScheduler ScheduledRunnable run (HandlerScheduler java:109)_x000D_
  at android os Handler handleCallback (Handler java:754)_x000D_
  at android os Handler dispatchMessage (Handler java:95)_x000D_
  at android os Looper loop (Looper java:163)_x000D_
  at android app ActivityThread main (ActivityThread java:6228)_x000D_
  at java lang reflect Method invoke (Native Method)_x000D_
  at com android internal os ZygoteInit MethodAndArgsCaller run (ZygoteInit java:904)_x000D_
  at com android internal os ZygoteInit main (ZygoteInit java:794)_x000D_
Caused by: java lang NullPointerException: _x000D_
  at fr free nrw commons explore images SearchImageFragment updateImageList (SearchImageFragment java:126)_x000D_
  at fr free nrw commons explore SearchActivity lambda setTabs 1 SearchActivity (SearchActivity java:114)_x000D_
  at fr free nrw commons explore SearchActivity  Lambda 1 accept (Unknown Source)_x000D_
  at io reactivex internal observers LambdaObserver onNext (LambdaObserver java:60)_x000D_
   _x000D_
_x000D_
2  java lang NullPointerException at fr free nrw commons utils FileUtils saveFileFromURI_x000D_
_x000D_
   _x000D_
java lang RuntimeException: _x000D_
  at android app ActivityThread performLaunchActivity (ActivityThread java:2793)_x000D_
  at android app ActivityThread handleLaunchActivity (ActivityThread java:2864)_x000D_
  at android app ActivityThread  wrap12 (ActivityThread java)_x000D_
  at android app ActivityThread H handleMessage (ActivityThread java:1567)_x000D_
  at android os Handler dispatchMessage (Handler java:105)_x000D_
  at android os Looper loop (Looper java:156)_x000D_
  at android app ActivityThread main (ActivityThread java:6523)_x000D_
  at java lang reflect Method invoke (Native Method)_x000D_
  at com android internal os ZygoteInit MethodAndArgsCaller run (ZygoteInit java:942)_x000D_
  at com android internal os ZygoteInit main (ZygoteInit java:832)_x000D_
Caused by: java lang NullPointerException: _x000D_
  at fr free nrw commons utils FileUtils saveFileFromURI (FileUtils java:52)_x000D_
  at fr free nrw commons utils ContributionUtils saveFileBeingUploadedTemporarily (ContributionUtils java:35)_x000D_
  at fr free nrw commons upload ShareActivity receiveImageIntent (ShareActivity java:355)_x000D_
  at fr free nrw commons upload ShareActivity onCreate (ShareActivity java:302)_x000D_
  at android app Activity performCreate (Activity java:6915)_x000D_
  at android app Instrumentation callActivityOnCreate (Instrumentation java:1123)_x000D_
  at android app ActivityThread performLaunchActivity (ActivityThread java:2746)_x000D_
_x000D_
   _x000D_
_x000D_
3  android content res Resources NotFoundException at fr free nrw commons contributions ContributionsActivity displayUploadCount_x000D_
_x000D_
   _x000D_
io reactivex exceptions UndeliverableException: _x000D_
  at io reactivex plugins RxJavaPlugins onError (RxJavaPlugins java:349)_x000D_
  at io reactivex internal observers ConsumerSingleObserver onSuccess (ConsumerSingleObserver java:64)_x000D_
  at io reactivex internal operators single SingleObserveOn ObserveOnSingleObserver run (SingleObserveOn java:81)_x000D_
  at io reactivex android schedulers HandlerScheduler ScheduledRunnable run (HandlerScheduler java:109)_x000D_
  at android os Handler handleCallback (Handler java:789)_x000D_
  at android os Handler dispatchMessage (Handler java:98)_x000D_
  at android os Looper loop (Looper java:164)_x000D_
  at android app ActivityThread main (ActivityThread java:6940)_x000D_
  at java lang reflect Method invoke (Native Method)_x000D_
  at com android internal os Zygote MethodAndArgsCaller run (Zygote java:327)_x000D_
  at com android internal os ZygoteInit main (ZygoteInit java:1374)_x000D_
Caused by: android content res Resources NotFoundException: _x000D_
  at android content res ResourcesImpl getQuantityText (ResourcesImpl java:294)_x000D_
  at android content res Resources getQuantityText (Resources java:428)_x000D_
  at android content res Resources getQuantityString (Resources java:504)_x000D_
  at fr free nrw commons contributions ContributionsActivity displayUploadCount (ContributionsActivity java:306)_x000D_
  at fr free nrw commons contributions ContributionsActivity bridge lambda 0 ContributionsActivity (Unknown Source)_x000D_
  at fr free nrw commons contributions ContributionsActivity  Lambda 0 accept (Unknown Source:4)_x000D_
  at io reactivex internal observers ConsumerSingleObserver onSuccess (ConsumerSingleObserver java:61)_x000D_
   _x000D_
_x000D_
4  java lang NullPointerException at fr free nrw commons location LatLng from_x000D_
_x000D_
   _x000D_
java lang RuntimeException: _x000D_
  at android app ActivityThread deliverResults (ActivityThread java:4517)_x000D_
  at android app ActivityThread handleSendResult (ActivityThread java:4560)_x000D_
  at android app ActivityThread  wrap19 (Unknown Source)_x000D_
  at android app ActivityThread H handleMessage (ActivityThread java:1744)_x000D_
  at android os Handler dispatchMessage (Handler java:105)_x000D_
  at android os Looper loop (Looper java:164)_x000D_
  at android app ActivityThread main (ActivityThread java:6798)_x000D_
  at java lang reflect Method invoke (Native Method)_x000D_
  at com android internal os Zygote MethodAndArgsCaller run (Zygote java:240)_x000D_
  at com android internal os ZygoteInit main (ZygoteInit java:767)_x000D_
Caused by: java lang NullPointerException: _x000D_
  at fr free nrw commons location LatLng from (LatLng java:45)_x000D_
  at fr free nrw commons location LocationServiceManager getLKL (LocationServiceManager java:109)_x000D_
  at fr free nrw commons nearby NearbyActivity onRequestPermissionsResult (NearbyActivity java:224)_x000D_
  at android app Activity dispatchRequestPermissionsResult (Activity java:7425)_x000D_
  at android app Activity dispatchActivityResult (Activity java:7276)_x000D_
  at android app ActivityThread deliverResults (ActivityThread java:4513)_x000D_
   _x000D_
_x000D_
5   java lang NullPointerException at fr free nrw commons category CategoryImagesListFragment getAdapter_x000D_
_x000D_
   _x000D_
java lang RuntimeException: _x000D_
  at android app ActivityThread performResumeActivity (ActivityThread java:3715)_x000D_
  at android app ActivityThread handleResumeActivity (ActivityThread java:3755)_x000D_
  at android app ActivityThread handleLaunchActivity (ActivityThread java:2939)_x000D_
  at android app ActivityThread handleRelaunchActivity (ActivityThread java:4833)_x000D_
  at android app ActivityThread  wrap18 (Unknown Source)_x000D_
  at android app ActivityThread H handleMessage (ActivityThread java:1618)_x000D_
  at android os Handler dispatchMessage (Handler java:105)_x000D_
  at android os Looper loop (Looper java:164)_x000D_
  at android app ActivityThread main (ActivityThread java:6710)_x000D_
  at java lang reflect Method invoke (Native Method)_x000D_
  at com android internal os Zygote MethodAndArgsCaller run (Zygote java:240)_x000D_
  at com android internal os ZygoteInit main (ZygoteInit java:770)_x000D_
Caused by: java lang NullPointerException: _x000D_
  at fr free nrw commons category CategoryImagesListFragment getAdapter (CategoryImagesListFragment java:267)_x000D_
  at fr free nrw commons category CategoryDetailsActivity getMediaAtPosition (CategoryDetailsActivity java:156)_x000D_
  at fr free nrw commons media MediaDetailFragment onResume (MediaDetailFragment java:207)_x000D_
  at android support v4 app Fragment performResume (Fragment java:2390)_x000D_
  at android support v4 app FragmentManagerImpl moveToState (FragmentManager java:1474)_x000D_
  at android support v4 app FragmentManagerImpl moveFragmentToExpectedState (FragmentManager java:1759)_x000D_
  at android support v4 app FragmentManagerImpl moveToState (FragmentManager java:1827)_x000D_
  at android support v4 app FragmentManagerImpl dispatchStateChange (FragmentManager java:3244)_x000D_
  at android support v4 app FragmentManagerImpl dispatchResume (FragmentManager java:3212)_x000D_
  at android support v4 app Fragment performResume (Fragment java:2396)_x000D_
  at android support v4 app FragmentManagerImpl moveToState (FragmentManager java:1474)_x000D_
  at android support v4 app FragmentManagerImpl moveFragmentToExpectedState (FragmentManager java:1759)_x000D_
  at android support v4 app FragmentManagerImpl moveToState (FragmentManager java:1827)_x000D_
  at android support v4 app FragmentManagerImpl dispatchStateChange (FragmentManager java:3244)_x000D_
  at android support v4 app FragmentManagerImpl dispatchResume (FragmentManager java:3212)_x000D_
  at android support v4 app FragmentController dispatchResume (FragmentController java:217)_x000D_
  at android support v4 app FragmentActivity onResumeFragments (FragmentActivity java:509)_x000D_
  at android support v4 app FragmentActivity onPostResume (FragmentActivity java:498)_x000D_
  at android support v7 app AppCompatActivity onPostResume (AppCompatActivity java:171)_x000D_
  at android app Activity performResume (Activity java:7110)_x000D_
  at android app ActivityThread performResumeActivity (ActivityThread java:3690)_x000D_
   _x000D_
_x000D_
6   java lang NullPointerException at fr free nrw commons category CategoryImagesListFragment getAdapter_x000D_
_x000D_
   _x000D_
java lang RuntimeException: _x000D_
  at android app ActivityThread performResumeActivity (ActivityThread java:4035)_x000D_
  at android app ActivityThread handleResumeActivity (ActivityThread java:4100)_x000D_
  at android app ActivityThread handleLaunchActivity (ActivityThread java:3271)_x000D_
  at android app ActivityThread handleRelaunchActivity (ActivityThread java:5200)_x000D_
  at android app ActivityThread access 1100 (ActivityThread java:218)_x000D_
  at android app ActivityThread H handleMessage (ActivityThread java:1740)_x000D_
  at android os Handler dispatchMessage (Handler java:102)_x000D_
  at android os Looper loop (Looper java:145)_x000D_
  at android app ActivityThread main (ActivityThread java:6934)_x000D_
  at java lang reflect Method invoke (Native Method)_x000D_
  at java lang reflect Method invoke (Method java:372)_x000D_
  at com android internal os ZygoteInit MethodAndArgsCaller run (ZygoteInit java:1404)_x000D_
  at com android internal os ZygoteInit main (ZygoteInit java:1199)_x000D_
Caused by: java lang NullPointerException: _x000D_
  at fr free nrw commons category CategoryImagesListFragment getAdapter (CategoryImagesListFragment java:267)_x000D_
  at fr free nrw commons category CategoryDetailsActivity getMediaAtPosition (CategoryDetailsActivity java:156)_x000D_
  at fr free nrw commons media MediaDetailFragment onResume (MediaDetailFragment java:207)_x000D_
  at android support v4 app Fragment performResume (Fragment java:2390)_x000D_
  at android support v4 app FragmentManagerImpl moveToState (FragmentManager java:1474)_x000D_
  at android support v4 app FragmentManagerImpl moveFragmentToExpectedState (FragmentManager java:1759)_x000D_
  at android support v4 app FragmentManagerImpl moveToState (FragmentManager java:1827)_x000D_
  at android support v4 app FragmentManagerImpl dispatchStateChange (FragmentManager java:3244)_x000D_
  at android support v4 app FragmentManagerImpl dispatchResume (FragmentManager java:3212)_x000D_
  at android support v4 app Fragment performResume (Fragment java:2396)_x000D_
  at android support v4 app FragmentManagerImpl moveToState (FragmentManager java:1474)_x000D_
  at android support v4 app FragmentManagerImpl moveFragmentToExpectedState (FragmentManager java:1759)_x000D_
  at android support v4 app FragmentManagerImpl moveToState (FragmentManager java:1827)_x000D_
  at android support v4 app FragmentManagerImpl dispatchStateChange (FragmentManager java:3244)_x000D_
  at android support v4 app FragmentManagerImpl dispatchResume (FragmentManager java:3212)_x000D_
  at android support v4 app FragmentController dispatchResume (FragmentController java:217)_x000D_
  at android support v4 app FragmentActivity onResumeFragments (FragmentActivity java:509)_x000D_
  at android support v4 app FragmentActivity onPostResume (FragmentActivity java:498)_x000D_
  at android support v7 app AppCompatActivity onPostResume (AppCompatActivity java:171)_x000D_
  at android app Activity performResume (Activity java:6748)_x000D_
  at android app ActivityThread performResumeActivity (ActivityThread java:4024)_x000D_
   </t>
  </si>
  <si>
    <t>yayaa-LocationManager-90</t>
  </si>
  <si>
    <t>Attempt to invoke virtual method 'void com.yayandroid.locationmanager.helper.UpdateRequest.c()' on a null object reference</t>
  </si>
  <si>
    <t>App crash reported by Crashlytics (not sure when it happens)_x000D_
_x000D_
    Logs_x000D_
Fatal Exception: java lang NullPointerException: Attempt to invoke virtual method  void com yayandroid locationmanager helper UpdateRequest c()  on a null object reference_x000D_
       at com yayandroid locationmanager providers locationprovider DefaultLocationProvider cancel(SourceFile:52)_x000D_
       at com yayandroid locationmanager providers locationprovider DispatcherLocationProvider cancel(SourceFile:68)_x000D_
       at com yayandroid locationmanager providers locationprovider DispatcherLocationProvider onFallback(SourceFile:130)_x000D_
       at com yayandroid locationmanager providers locationprovider GooglePlayServicesLocationProvider failed(SourceFile:266)_x000D_
       at com yayandroid locationmanager providers locationprovider GooglePlayServicesLocationProvider onConnectionSuspended(SourceFile:137)_x000D_
       at com yayandroid locationmanager providers locationprovider GooglePlayServicesLocationSource onConnectionSuspended(SourceFile:118)_x000D_
       at com google android gms common internal GmsClientEventManager disableCallbacks(Unknown Source:82)_x000D_
       at com google android gms common api internal zzav enqueue(Unknown Source:68)_x000D_
       at com google android gms common api internal zzag begin(Unknown Source:12)_x000D_
       at com google android gms common api internal zzbd onConnectionSuspended(Unknown Source:7)_x000D_
       at com google android gms common api internal zzp onConnectionSuspended(Unknown Source:5)_x000D_
       at com google android gms common internal zzf onConnected(Unknown Source:2)_x000D_
       at com google android gms common internal BaseGmsClient zzb handleMessage(Unknown Source:227)_x000D_
       at android os Handler dispatchMessage(Handler java:108)_x000D_
       at android os Looper loop(Looper java:166)_x000D_
       at android app ActivityThread main(ActivityThread java:7425)_x000D_
       at java lang reflect Method invoke(Method java)_x000D_
       at com android internal os Zygote MethodAndArgsCaller run(Zygote java:245)_x000D_
       at com android internal os ZygoteInit main(ZygoteInit java:921)</t>
  </si>
  <si>
    <t>Swati4star-Images-to-PDF-454</t>
  </si>
  <si>
    <t>[Crash] Input dispatching timed out</t>
  </si>
  <si>
    <t xml:space="preserve">    Crash log_x000D_
_x000D_
I received this crash log in playstore reports  I don t know how this issue can be reproduced looking at the logs  If someone can help with this  it would be great    _x000D_
_x000D_
   _x000D_
Input dispatching timed out (Waiting to send non key event because the touched window has not finished processing certain input events that were delivered to it over 500 0ms ago  Wait queue length: 7  Wait queue head age: 5834 8ms )_x000D_
_x000D_
swati4star createpdf activity MainActivity_x000D_
   _x000D_
_x000D_
   _x000D_
 main  prio 5 tid 1 Native_x000D_
    group  main  sCount 1 dsCount 0 flags 1 obj 0x729a5ef0 self 0x6fb8ac3a00_x000D_
    sysTid 25448 nice  10 cgrp default sched 0 0 handle 0x703d8369a8_x000D_
    state S schedstat ( 3870887429 328395255 23047 ) utm 95 stm 292 core 4 HZ 100_x000D_
    stack 0x7fd0331000 0x7fd0333000 stackSize 8MB_x000D_
    held mutexes _x000D_
   00  pc 000000000001dc6c   system lib64 libc so (syscall 28)_x000D_
   01  pc 00000000000e7030   system lib64 libart so (art::ConditionVariable::WaitHoldingLocks(art::Thread ) 152)_x000D_
   02  pc 000000000034535c   system lib64 libart so (art::JNI::CallObjectMethod( JNIEnv    jobject    jmethodID      ) 552)_x000D_
   03  pc 00000000000ea9b8   system lib64 libandroid runtime so (android::NativeDisplayEventReceiver::dispatchVsync(long  int  unsigned int) 48)_x000D_
   04  pc 0000000000044490   system lib64 libandroidfw so (android::DisplayEventDispatcher::handleEvent(int  int  void ) 164)_x000D_
   05  pc 0000000000015fd0   system lib64 libutils so (android::Looper::pollInner(int) 856)_x000D_
   06  pc 0000000000015bf0   system lib64 libutils so (android::Looper::pollOnce(int  int   int   void  ) 108)_x000D_
   07  pc 0000000000111960   system lib64 libandroid runtime so (   )_x000D_
   08  pc 00000000001ea9ac   system framework arm64 boot framework oat (Java android os MessageQueue nativePollOnce  JI 140)_x000D_
  at android os MessageQueue nativePollOnce (Native method)_x000D_
  at android os MessageQueue next (MessageQueue java:325)_x000D_
  at android os Looper loop (Looper java:142)_x000D_
  at android app ActivityThread main (ActivityThread java:6753)_x000D_
  at java lang reflect Method invoke (Native method)_x000D_
  at com android internal os RuntimeInit MethodAndArgsCaller run (RuntimeInit java:482)_x000D_
  at com android internal os ZygoteInit main (ZygoteInit java:807)_x000D_
   _x000D_
   _x000D_
 main  tid 1 Runnable _x000D_
 main  prio 5 tid 1 Runnable_x000D_
    group  main  sCount 0 dsCount 0 obj 0x75ad4370 self 0x4b1c23fa00_x000D_
    sysTid 24827 nice  10 cgrp default sched 0 0 handle 0x4b20406a98_x000D_
    state R schedstat ( 0 0 0 ) utm 20160 stm 4199 core 4 HZ 100_x000D_
    stack 0x5c2a78e000 0x5c2a790000 stackSize 8MB_x000D_
    held mutexes   mutator lock (shared held)_x000D_
  at java util ArrayList get (ArrayList java:410)_x000D_
  at com itextpdf text pdf PdfReader removeUnusedNode (PdfReader java:3444)_x000D_
  at com itextpdf text pdf PdfReader removeUnusedObjects (PdfReader java:3492)_x000D_
  at com itextpdf text pdf PdfReader readPdf (PdfReader java:771)_x000D_
  at com itextpdf text pdf PdfReader  init  (PdfReader java:198)_x000D_
  at com itextpdf text pdf PdfReader  init  (PdfReader java:236)_x000D_
  at com itextpdf text pdf PdfReader  init  (PdfReader java:224)_x000D_
  at com itextpdf text pdf PdfReader  init  (PdfReader java:214)_x000D_
  at swati4star createpdf util PDFUtils isPDFEncrypted (PDFUtils java:177)_x000D_
  at swati4star createpdf adapter ViewFilesAdapter onBindViewHolder (ViewFilesAdapter java:102)_x000D_
  at swati4star createpdf adapter ViewFilesAdapter onBindViewHolder (ViewFilesAdapter java:49)_x000D_
  at android support v7 widget RecyclerView Adapter onBindViewHolder (RecyclerView java:6673)_x000D_
  at android support v7 widget RecyclerView Adapter bindViewHolder (RecyclerView java:6714)_x000D_
  at android support v7 widget RecyclerView Recycler tryBindViewHolderByDeadline (RecyclerView java:5647)_x000D_
  at android support v7 widget RecyclerView Recycler tryGetViewHolderForPositionByDeadline (RecyclerView java:5913)_x000D_
  at android support v7 widget RecyclerView Recycler getViewForPosition (RecyclerView java:5752)_x000D_
  at android support v7 widget RecyclerView Recycler getViewForPosition (RecyclerView java:5748)_x000D_
  at android support v7 widget LinearLayoutManager LayoutState next (LinearLayoutManager java:2232)_x000D_
  at android support v7 widget LinearLayoutManager layoutChunk (LinearLayoutManager java:1559)_x000D_
  at android support v7 widget LinearLayoutManager fill (LinearLayoutManager java:1519)_x000D_
  at android support v7 widget LinearLayoutManager scrollBy (LinearLayoutManager java:1333)_x000D_
  at android support v7 widget LinearLayoutManager scrollVerticallyBy (LinearLayoutManager java:1077)_x000D_
  at android support v7 widget RecyclerView scrollByInternal (RecyclerView java:1815)_x000D_
  at android support v7 widget RecyclerView onTouchEvent (RecyclerView java:3076)_x000D_
  at android view View dispatchTouchEvent (View java:10040)_x000D_
  at android view ViewGroup dispatchTransformedTouchEvent (ViewGroup java:2816)_x000D_
  at android view ViewGroup dispatchTouchEvent (ViewGroup java:2497)_x000D_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android view ViewGroup dispatchTransformedTouchEvent (ViewGroup java:2822)_x000D_
  at android view ViewGroup dispatchTouchEvent (ViewGroup java:2511)_x000D_
  at com android internal policy DecorView superDispatchTouchEvent (DecorView java:415)_x000D_
  at com android internal policy PhoneWindow superDispatchTouchEvent (PhoneWindow java:1808)_x000D_
  at android app Activity dispatchTouchEvent (Activity java:3231)_x000D_
  at android support v7 view WindowCallbackWrapper dispatchTouchEvent (WindowCallbackWrapper java:68)_x000D_
  at android support v7 view WindowCallbackWrapper dispatchTouchEvent (WindowCallbackWrapper java:68)_x000D_
  at com android internal policy DecorView dispatchTouchEvent (DecorView java:376)_x000D_
  at android view View dispatchPointerEvent (View java:10316)_x000D_
  at android view ViewRootImpl ViewPostImeInputStage processPointerEvent (ViewRootImpl java:4530)_x000D_
  at android view ViewRootImpl ViewPostImeInputStage onProcess (ViewRootImpl java:4376)_x000D_
  at android view ViewRootImpl InputStage deliver (ViewRootImpl java:3904)_x000D_
  at android view ViewRootImpl InputStage onDeliverToNext (ViewRootImpl java:3957)_x000D_
  at android view ViewRootImpl InputStage forward (ViewRootImpl java:3923)_x000D_
  at android view ViewRootImpl AsyncInputStage forward (ViewRootImpl java:4050)_x000D_
  at android view ViewRootImpl InputStage apply (ViewRootImpl java:3931)_x000D_
  at android view ViewRootImpl AsyncInputStage apply (ViewRootImpl java:4107)_x000D_
  at android view ViewRootImpl InputStage deliver (ViewRootImpl java:3904)_x000D_
  at android view ViewRootImpl InputStage onDeliverToNext (ViewRootImpl java:3957)_x000D_
  at android view ViewRootImpl InputStage forward (ViewRootImpl java:3923)_x000D_
  at android view ViewRootImpl InputStage apply (ViewRootImpl java:3931)_x000D_
  at android view ViewRootImpl InputStage deliver (ViewRootImpl java:3904)_x000D_
  at android view ViewRootImpl deliverInputEvent (ViewRootImpl java:6849)_x000D_
  at android view ViewRootImpl doProcessInputEvents (ViewRootImpl java:6823)_x000D_
  at android view ViewRootImpl enqueueInputEvent (ViewRootImpl java:6784)_x000D_
  at android view ViewRootImpl WindowInputEventReceiver onInputEvent (ViewRootImpl java:6982)_x000D_
  at android view InputEventReceiver dispatchInputEvent (InputEventReceiver java:185)_x000D_
  at android view InputEventReceiver nativeConsumeBatchedInputEvents (Native method)_x000D_
  at android view InputEventReceiver consumeBatchedInputEvents (InputEventReceiver java:176)_x000D_
  at android view ViewRootImpl doConsumeBatchedInput (ViewRootImpl java:6950)_x000D_
  at android view ViewRootImpl ConsumeBatchedInputRunnable run (ViewRootImpl java:7007)_x000D_
  at android view Choreographer CallbackRecord run (Choreographer java:952)_x000D_
  at android view Choreographer doCallbacks (Choreographer java:752)_x000D_
  at android view Choreographer doFrame (Choreographer java:665)_x000D_
  at android view Choreographer FrameDisplayEventReceiver run (Choreographer java:935)_x000D_
  at android os Handler handleCallback (Handler java:751)_x000D_
  at android os Handler dispatchMessage (Handler java:95)_x000D_
  at android os Looper loop (Looper java:154)_x000D_
  at android app ActivityThread main (ActivityThread java:6124)_x000D_
  at java lang reflect Method invoke  (Native method)_x000D_
  at com android internal os ZygoteInit MethodAndArgsCaller run (ZygoteInit java:926)_x000D_
  at com android internal os ZygoteInit main (ZygoteInit java:788)_x000D_
   _x000D_
_x000D_
   _x000D_
_x000D_
 main  prio 5 tid 1 Runnable_x000D_
    group  main  sCount 0 dsCount 0 obj 0x75ad4370 self 0x4b1c23fa00_x000D_
    sysTid 31946 nice  10 cgrp default sched 0 0 handle 0x4b20406a98_x000D_
    state R schedstat ( 0 0 0 ) utm 828 stm 65 core 0 HZ 100_x000D_
    stack 0x5c2a78e000 0x5c2a790000 stackSize 8MB_x000D_
    held mutexes   mutator lock (shared held)_x000D_
   00  pc 0000000000479994   system lib64 libart so ( ZN3art15DumpNativeStackERNSt3  113basic ostreamIcNS0 11char traitsIcEEEEiP12BacktraceMapPKcPNS 9ArtMethodEPv 220)_x000D_
   01  pc 0000000000479990   system lib64 libart so ( ZN3art15DumpNativeStackERNSt3  113basic ostreamIcNS0 11char traitsIcEEEEiP12BacktraceMapPKcPNS 9ArtMethodEPv 216)_x000D_
   02  pc 000000000044dfa0   system lib64 libart so ( ZNK3art6Thread9DumpStackERNSt3  113basic ostreamIcNS1 11char traitsIcEEEEbP12BacktraceMap 472)_x000D_
   03  pc 00000000004658fc   system lib64 libart so ( ZN3art14DumpCheckpoint3RunEPNS 6ThreadE 820)_x000D_
   04  pc 000000000044eeac   system lib64 libart so ( ZN3art6Thread21RunCheckpointFunctionEv 192)_x000D_
   05  pc 0000000000547b08   system lib64 libart so ( ZN3artL12GoToRunnableEPNS 6ThreadE 100)_x000D_
   06  pc 0000000000547a60   system lib64 libart so ( ZN3art12JniMethodEndEjPNS 6ThreadE 28)_x000D_
   07  pc 00000000000aeb3c   system framework arm64 boot oat (Java java lang System arraycopy  Ljava lang Object 2ILjava lang Object 2II 216)_x000D_
  at java lang System arraycopy  (Native method)_x000D_
  at com itextpdf text pdf ByteBuffer toByteArray (ByteBuffer java:561)_x000D_
  at com itextpdf text pdf PdfName encodeName (PdfName java:2587)_x000D_
  at com itextpdf text pdf PdfName  init  (PdfName java:2465)_x000D_
  at com itextpdf text pdf PdfReader readDictionary (PdfReader java:1915)_x000D_
  at com itextpdf text pdf PdfReader readPRObject (PdfReader java:1952)_x000D_
  at com itextpdf text pdf PdfReader readObjStm (PdfReader java:1581)_x000D_
  at com itextpdf text pdf PdfReader readDocObj (PdfReader java:1474)_x000D_
  at com itextpdf text pdf PdfReader readPdf (PdfReader java:751)_x000D_
  at com itextpdf text pdf PdfReader  init  (PdfReader java:198)_x000D_
  at com itextpdf text pdf PdfReader  init  (PdfReader java:236)_x000D_
  at com itextpdf text pdf PdfReader  init  (PdfReader java:224)_x000D_
  at com itextpdf text pdf PdfReader  init  (PdfReader java:214)_x000D_
  at swati4star createpdf util PDFUtils isPDFEncrypted (PDFUtils java:177)_x000D_
  at swati4star createpdf adapter ViewFilesAdapter onBindViewHolder (ViewFilesAdapter java:102)_x000D_
  at swati4star createpdf adapter ViewFilesAdapter onBindViewHolder (ViewFilesAdapter java:49)_x000D_
  at android support v7 widget RecyclerView Adapter onBindViewHolder (RecyclerView java:6673)_x000D_
  at android support v7 widget RecyclerView Adapter bindViewHolder (RecyclerView java:6714)_x000D_
  at android support v7 widget RecyclerView Recycler tryBindViewHolderByDeadline (RecyclerView java:5647)_x000D_
  at android support v7 widget RecyclerView Recycler tryGetViewHolderForPositionByDeadline (RecyclerView java:5913)_x000D_
  at android support v7 widget GapWorker prefetchPositionWithDeadline (GapWorker java:285)_x000D_
  at android support v7 widget GapWorker flushTaskWithDeadline (GapWorker java:342)_x000D_
  at android support v7 widget GapWorker flushTasksWithDeadline (GapWorker java:358)_x000D_
  at android support v7 widget GapWorker prefetch (GapWorker java:365)_x000D_
  at android support v7 widget GapWorker run (GapWorker java:396)_x000D_
  at android os Handler handleCallback (Handler java:751)_x000D_
  at android os Handler dispatchMessage (Handler java:95)_x000D_
  at android os Looper loop (Looper java:154)_x000D_
  at android app ActivityThread main (ActivityThread java:6124)_x000D_
  at java lang reflect Method invoke  (Native method)_x000D_
  at com android internal os ZygoteInit MethodAndArgsCaller run (ZygoteInit java:926)_x000D_
  at com android internal os ZygoteInit main (ZygoteInit java:788)_x000D_
   _x000D_
_x000D_
_x000D_
</t>
  </si>
  <si>
    <t>jMonkeyEngine-jmonkeyengine-931</t>
  </si>
  <si>
    <t>RagdollUtils can miss model meshes or use wrong ones</t>
  </si>
  <si>
    <t xml:space="preserve">The  buildPointMap()  and  makeShapeFromVerticeWeights()  methods in  com jme3 bullet control ragdoll RagdollUtils  search for meshes of the specified model  However  they look only at the model s root spatial and its immediate children  Any meshes deeper in the tree are missed  This may cause a crash later  if there are insufficient vertices to form a shape _x000D_
_x000D_
Furthermore  these methods should ignore non animated meshes </t>
  </si>
  <si>
    <t>ankidroid-Anki-Android-5011</t>
  </si>
  <si>
    <t>State handling crash between card browser / note editor / template editor</t>
  </si>
  <si>
    <t xml:space="preserve">_x000D_
I ve seen this show up via ACRA  and the google play console release robot army caught it with video this time so I could figure it out _x000D_
_x000D_
       Reproduction Steps_x000D_
_x000D_
1  Open the card browser (it s empty in their tests  and they play with searches sometimes but the search was cleared)_x000D_
2  Click   to add a card  enter text in front and back  template should be Basic_x000D_
3  click the button bar that says  Card 1  to open the template editor_x000D_
4  Click the options menu and select add to add a Card to the template  and you can mess with the template or not  but don t save   preview or not but don t save   then click the back button and agree it s okay to lose your progress_x000D_
5  The Card button bar should say  Cards: Card 1 Card 2  now  but you never saved the second template_x000D_
6  Click save to add the card  then click back to go back to the browser and it should crash with a JSONException string out of bounds_x000D_
_x000D_
_x000D_
       Expected Result_x000D_
_x000D_
If you don t save the template the unsaved work should go away  you should have only Card 1 and the browser should work fine_x000D_
_x000D_
_x000D_
       Actual Result_x000D_
_x000D_
Crash  I can reproduce this locally _x000D_
_x000D_
https:  play google com apps publish  account 5338425030304417978 PreLaunchReportPlace:p com ichi2 anki appid 4973711737547064258 plrtab CRASH plrvc 20900140_x000D_
_x000D_
FATAL EXCEPTION: AsyncTask  4_x000D_
Process: com ichi2 anki  PID: 12740_x000D_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java:1162)_x000D_
	at java util concurrent ThreadPoolExecutor Worker run(ThreadPoolExecutor java:636)_x000D_
	at java lang Thread run(Thread java:764)_x000D_
Caused by: java lang RuntimeException: org json JSONException: Index 1 out of range  0  1)_x000D_
	at com ichi2 libanki Card template(Card java:342)_x000D_
	at com ichi2 libanki Card  getQA(Card java:290)_x000D_
	at com ichi2 anki CardBrowser updateSearchItemQA(CardBrowser java:1164)_x000D_
	at com ichi2 async DeckTask doInBackgroundSearchCards(DeckTask java:818)_x000D_
	at com ichi2 async DeckTask doInBackground(DeckTask java:262)_x000D_
	at com ichi2 async DeckTask doInBackground(DeckTask java:69)_x000D_
	at android os AsyncTask 2 call(AsyncTask java:333)_x000D_
	at java util concurrent FutureTask run(FutureTask java:266)_x000D_
	    4 more_x000D_
Caused by: org json JSONException: Index 1 out of range  0  1)_x000D_
	at org json JSONArray get(JSONArray java:293)_x000D_
	at org json JSONArray getJSONObject(JSONArray java:521)_x000D_
	at com ichi2 libanki Card template(Card java:337)_x000D_
	    11 more_x000D_
Caused by: java lang IndexOutOfBoundsException: Index: 1  Size: 1_x000D_
	at java util ArrayList get(ArrayList java:437)_x000D_
	at org json JSONArray get(JSONArray java:287)_x000D_
	    13 more_x000D_
_x000D_
_x000D_
       Debug info_x000D_
Refer to the  support page (https:  ankidroid org docs help html) if you are unsure where to get the  debug info  _x000D_
_x000D_
       Research_x000D_
 Enter an   x   character to confirm the points below: _x000D_
_x000D_
     I have read the  support page (https:  ankidroid org docs help html) and am reporting a bug or enhancement request specific to AnkiDroid_x000D_
_x000D_
     I have checked the  manual (https:  ankidroid org docs manual html) and the  FAQ (https:  github com ankidroid Anki Android wiki FAQ) and could not find a solution to my issue_x000D_
_x000D_
     I have searched for similar existing issues here and on the user forum_x000D_
_x000D_
</t>
  </si>
  <si>
    <t>inaturalist-iNaturalistAndroid-588</t>
  </si>
  <si>
    <t>Explore screen out of memory crashes - handle gracefully</t>
  </si>
  <si>
    <t xml:space="preserve">We re still getting out of memory crashes in the explore screen   happens when users scroll through a lot of observations observers species etc  and we try to save them to disk while pausing the activity _x000D_
_x000D_
Possible solutions_x000D_
  Save only the current tab results _x000D_
  Using a third party library that dynamically saves results to disk as you scroll down the list  such that only a small portion of the results is in memory at any given time _x000D_
</t>
  </si>
  <si>
    <t>fossasia-phimpme-android-2194</t>
  </si>
  <si>
    <t>App crashes if the orientation is changed when click on the crop of the image</t>
  </si>
  <si>
    <t xml:space="preserve">  Actual Behaviour  _x000D_
_x000D_
App crashes if click on crop (Transform section) and then on orientation change _x000D_
_x000D_
  Expected Behaviour  _x000D_
_x000D_
App should not crash _x000D_
_x000D_
  Steps to reproduce it  _x000D_
_x000D_
Step 1  Click on edit button of the image and select the transform section _x000D_
_x000D_
Step 2  Click on crop button and changed the orientation without saving it then app will crash _x000D_
_x000D_
  Would you like to work on the issue   _x000D_
_x000D_
Yes_x000D_
</t>
  </si>
  <si>
    <t>jMonkeyEngine-jmonkeyengine-928</t>
  </si>
  <si>
    <t>64 attached or detached BulletAppStates with parallel threading causes JVM to crash</t>
  </si>
  <si>
    <t xml:space="preserve">If your game is routinely attaching and detaching  BulletAppState s  once it attaches the 64th  BulletAppState   the JVM crashes _x000D_
_x000D_
Note that the issue isn t that there are more than 64  BulletAppState s  currently  attached  The JVM crashes if more than 64  BulletAppState s have previously  been  attached  and even if the current number of attached  BulletAppState s is far less than 64 _x000D_
_x000D_
This issue can be reproduced with the following code  in which case only one  BulletAppState  is ever attached  but it is attached and detached more than 64 times:_x000D_
_x000D_
   java_x000D_
    private int count _x000D_
    private int frame _x000D_
    private BulletAppState bulletAppState _x000D_
    _x000D_
     Override_x000D_
    public void simpleInitApp()   _x000D_
    _x000D_
     Override_x000D_
    public void simpleUpdate(float tpf)  _x000D_
        if (frame   4    0)  _x000D_
            System out println(  count) _x000D_
            _x000D_
            bulletAppState   new BulletAppState() _x000D_
            _x000D_
            bulletAppState setThreadingType(ThreadingType PARALLEL) _x000D_
            _x000D_
            stateManager attach(bulletAppState) _x000D_
          else if (frame   4    2)  _x000D_
            stateManager detach(bulletAppState) _x000D_
         _x000D_
        _x000D_
        frame   _x000D_
     _x000D_
   _x000D_
_x000D_
More information on this issue can be found in the  original forum topic (https:  hub jmonkeyengine org t solved exception access violation after 64 kinematicragdollcontrols 40952 22) </t>
  </si>
  <si>
    <t>pvarry-intra42-13</t>
  </si>
  <si>
    <t>App crashes when editing map</t>
  </si>
  <si>
    <t xml:space="preserve">I just added a new cluster  saved it  when I click on  edit map  for that cluster the app crashes  editing other clusters  maps is working fine </t>
  </si>
  <si>
    <t>inaturalist-iNaturalistAndroid-587</t>
  </si>
  <si>
    <t>Missing translation keys causing crash</t>
  </si>
  <si>
    <t xml:space="preserve">Not entirely sure it is due to missing translation keys  but that s what we discussed in slack  Regardless  seems to still be happening in build 312 _x000D_
_x000D_
https:  fabric io inaturalist android apps org inaturalist android issues time last ninety days event type crash subFilter state state open utm medium service hooks webhook utm source issue impact build 5B0 5D 1 10 7 20 28312 29_x000D_
_x000D_
   _x000D_
Fatal Exception: java lang RuntimeException: Unable to start activity ComponentInfo org inaturalist android org inaturalist android ObservationListActivity : java lang NullPointerException: Attempt to invoke virtual method  boolean java lang String equals(java lang Object)  on a null object reference_x000D_
       at android app ActivityThread performLaunchActivity(ActivityThread java:2416)_x000D_
       at android app ActivityThread handleLaunchActivity(ActivityThread java:2476)_x000D_
       at android app ActivityThread access 900(ActivityThread java:150)_x000D_
       at android app ActivityThread H handleMessage(ActivityThread java:1344)_x000D_
       at android os Handler dispatchMessage(Handler java:102)_x000D_
       at android os Looper loop(Looper java:171)_x000D_
       at android app ActivityThread main(ActivityThread java:5417)_x000D_
       at java lang reflect Method invoke(Method java)_x000D_
       at com android internal os ZygoteInit MethodAndArgsCaller run(ZygoteInit java:726)_x000D_
       at com android internal os ZygoteInit main(ZygoteInit java:616)_x000D_
   _x000D_
_x000D_
We tried to </t>
  </si>
  <si>
    <t>fossasia-phimpme-android-2192</t>
  </si>
  <si>
    <t>App crashes if the orientation is changed while adding text to the image(without saving it)</t>
  </si>
  <si>
    <t xml:space="preserve">  Actual Behaviour  _x000D_
Presently the app crashes if the orientation is changed from portrait to landscape while editing the image and not saving it side by side  This issue is similar to a previous issue _x000D_
https:  github com fossasia phimpme android issues 2173 which has been closed_x000D_
but the BUG in the adding text option still exists  _x000D_
_x000D_
  Expected Behaviour  _x000D_
The app should not crash _x000D_
_x000D_
  Steps to reproduce it  _x000D_
1) Open the App  select an image and click edit _x000D_
2) Now add text to the image but do not save your Edit _x000D_
(An edit is saved when we click the tick mark icon)_x000D_
3) Now change the Orientation from portrait to Landscape  _x000D_
4) App crashes(BUG) _x000D_
_x000D_
  Would you like to work on the issue   _x000D_
_x000D_
Yes</t>
  </si>
  <si>
    <t>fossasia-phimpme-android-2191</t>
  </si>
  <si>
    <t>App crashes on Clicking the Text sub-option while editing image</t>
  </si>
  <si>
    <t xml:space="preserve">  Actual Behaviour  _x000D_
_x000D_
The App crashes when we click the Text sub option which is provided under the Write option of the editing toolbars while Editing the Image in the landscape mode _x000D_
_x000D_
  Expected Behaviour  _x000D_
_x000D_
The app should not crash and the user should be able to add Text to the Image _x000D_
_x000D_
  Steps to reproduce it  _x000D_
1) Open the app  select an image  click the Edit option _x000D_
2) The editing activity opens  Rotate the phone to landscape mode  Select the Write option from the bottom navigation bar _x000D_
3) Click the Text sub option which appears on the opposite side _x000D_
4) App crashes(BUG)  _x000D_
_x000D_
  Screenshots of the issue  _x000D_
_x000D_
  git issue (https:  user images githubusercontent com 37406965 46423148 8907c180 c753 11e8 8bad 7121e145f5c7 jpg)_x000D_
_x000D_
_x000D_
  Would you like to work on the issue   _x000D_
Yes</t>
  </si>
  <si>
    <t>niccokunzmann-mundraub-android-176</t>
  </si>
  <si>
    <t>Cannot remove areas by click on old phone</t>
  </si>
  <si>
    <t xml:space="preserve">     If you report an app crash  please attach the eu quelltext mundraub log txt file_x000D_
     from the root of your phone s file system     _x000D_
_x000D_
Old phones do not have the onclick events in the div tag  Thus  the drawn areas can not be removed _x000D_
_x000D_
Possible Solution_x000D_
  create a element in div with 100  width and height_x000D_
  add click to it</t>
  </si>
  <si>
    <t>Intelehealth-Android-Mobile-Client-537</t>
  </si>
  <si>
    <t>Fatal Exception: java.lang.RuntimeException     IdentificationActivity.java</t>
  </si>
  <si>
    <t>App crashing on  IdentificationActivity java line 210 _x000D_
Originator  Ambuj Pandey_x000D_
Status  OPEN_x000D_
User Affected  1_x000D_
Checked from  July 19 2018_x000D_
_x000D_
  Environment:  _x000D_
Mobile Brand  Motorola_x000D_
Model  Moto E (4) Plus_x000D_
OS Version  7 1 1_x000D_
App Version   1 3 3_x000D_
Started  October 1st  2018_x000D_
last crash date:   October 1st  2018_x000D_
Number of Crashes: 16_x000D_
_x000D_
  Summary:   Fatal Exception: java lang RuntimeException_x000D_
  Description:  _x000D_
Unable to start activity ComponentInfo io intelehealth client io intelehealth client activities identification activity IdentificationActivity : java lang NullPointerException: Attempt to get length of null array _x000D_
_x000D_
Caused by java lang NullPointerException_x000D_
Attempt to get length of null array_x000D_
  io intelehealth client activities identification activity IdentificationActivity onCreate (IdentificationActivity java:210)  _x000D_
android app Activity performCreate (Activity java:6689)_x000D_
android app Instrumentation callActivityOnCreate (Instrumentation java:1140)_x000D_
android app ActivityThread performLaunchActivity (ActivityThread java:2709)_x000D_
android app ActivityThread handleLaunchActivity (ActivityThread java:2825)_x000D_
android app ActivityThread  wrap12 (ActivityThread java)_x000D_
_x000D_
  URL:    click here (https:  console firebase google com u 1 project mobile crashlytics crashlytics app android:io intelehealth client issues 5b4c54856007d59fcdb1dd92 time last seven days sessionId 5BB206A70081000139F1A04611A362EB DNE 0 v2)</t>
  </si>
  <si>
    <t>mgks-Android-SmartWebView-47</t>
  </si>
  <si>
    <t>download pdf file crash</t>
  </si>
  <si>
    <t xml:space="preserve">The app crashes when downloading a pdf file _x000D_
_x000D_
cl </t>
  </si>
  <si>
    <t>niccokunzmann-mundraub-android-175</t>
  </si>
  <si>
    <t>allow viewing offline area in map</t>
  </si>
  <si>
    <t xml:space="preserve">     If you report an app crash  please attach the eu quelltext mundraub log txt file_x000D_
     from the root of your phone s file system     _x000D_
_x000D_
The offline area can be displayed from the map  Please also allow viewing it always by adding the areas from the settings to the map _x000D_
_x000D_
  add code in the MapBaseActivity _x000D_
  see area choosing activity</t>
  </si>
  <si>
    <t>niccokunzmann-mundraub-android-174</t>
  </si>
  <si>
    <t>Translate offline map area string in map</t>
  </si>
  <si>
    <t xml:space="preserve">     If you report an app crash  please attach the eu quelltext mundraub log txt file_x000D_
     from the root of your phone s file system     _x000D_
_x000D_
The string for this  layer should be translated </t>
  </si>
  <si>
    <t>niccokunzmann-mundraub-android-173</t>
  </si>
  <si>
    <t>can not select which markers to display</t>
  </si>
  <si>
    <t xml:space="preserve">     If you report an app crash  please attach the eu quelltext mundraub log txt file_x000D_
     from the root of your phone s file system     _x000D_
_x000D_
When I open the settings  I cannot remove and add different types of plant markers from the different platforms </t>
  </si>
  <si>
    <t>novoda-merlin-171</t>
  </si>
  <si>
    <t>IllegalStateException - You must call canNotify() before calling notify(ConnectivityChangeEvent)</t>
  </si>
  <si>
    <t xml:space="preserve">     Problem_x000D_
_x000D_
_x000D_
Have seen a single crash in  crashlytics  with_x000D_
_x000D_
   _x000D_
_x000D_
IllegalStateException   You must call canNotify() before calling notify(ConnectivityChangeEvent)_x000D_
_x000D_
com novoda merlin service MerlinService LocalBinder notify (SourceFile:81)_x000D_
com novoda merlin receiver ConnectivityCallbacks notifyMerlinService (SourceFile:45)_x000D_
com novoda merlin receiver ConnectivityCallbacks onAvailable (SourceFile:26)_x000D_
android net ConnectivityManager CallbackHandler handleMessage (ConnectivityManager java:2807)_x000D_
android os Handler dispatchMessage (Handler java:105)_x000D_
android os Looper loop (Looper java:164)_x000D_
android os HandlerThread run (HandlerThread java:65)_x000D_
   _x000D_
_x000D_
This  should  be impossible since the  call to  notify  (https:  github com novoda merlin blob master core src main java com novoda merlin ConnectivityCallbacks java L35) is guarded with a  canNotify  however  it appears this was running on a background  HandlerThread  meaning it s possible the service became unbound during act of notifying  _x000D_
_x000D_
     Potential Solution_x000D_
_x000D_
To force interactions with the service to be via the  main thread  to ensure the guard and notification are always serial  _x000D_
_x000D_
     Impact_x000D_
_x000D_
  Is a client side uncatchable (without uncaught exception handlers) runtime crash_x000D_
</t>
  </si>
  <si>
    <t>Barista-Analytics-Barista-Analytics-3</t>
  </si>
  <si>
    <t>AWS Lex Voices Uninitialized</t>
  </si>
  <si>
    <t xml:space="preserve">  Unable to get Lex voice on startup_x000D_
   Class Name:MapsActivity java _x000D_
  Method:decodeUserInput()_x000D_
If the AWS API is unavailable for whatever reason  the voice is inaccessible  As a result  the app crashes after a user provides voice input  </t>
  </si>
  <si>
    <t>nextcloud-news-android-665</t>
  </si>
  <si>
    <t>App crashes immediately on open</t>
  </si>
  <si>
    <t>For some reason the app crashed and I can t open it again  It crashes immediately again  I reinstalled and it worked for 1 2 minutes and then again a crash _x000D_
_x000D_
Here is the stacktrace from adb:_x000D_
_x000D_
   _x000D_
10 02 10:25:15 553 25214 25236 E AndroidRuntime: FATAL EXCEPTION: AsyncTask  2_x000D_
10 02 10:25:15 553 25214 25236 E AndroidRuntime: Process: de luhmer owncloudnewsreader  PID: 25214_x000D_
10 02 10:25:15 553 25214 25236 E AndroidRuntime: java lang RuntimeException: An error occurred while executing doInBackground()_x000D_
10 02 10:25:15 553 25214 25236 E AndroidRuntime: 	at android os AsyncTask 3 done(AsyncTask java:353)_x000D_
10 02 10:25:15 553 25214 25236 E AndroidRuntime: 	at java util concurrent FutureTask finishCompletion(FutureTask java:383)_x000D_
10 02 10:25:15 553 25214 25236 E AndroidRuntime: 	at java util concurrent FutureTask setException(FutureTask java:252)_x000D_
10 02 10:25:15 553 25214 25236 E AndroidRuntime: 	at java util concurrent FutureTask run(FutureTask java:271)_x000D_
10 02 10:25:15 553 25214 25236 E AndroidRuntime: 	at java util concurrent ThreadPoolExecutor runWorker(ThreadPoolExecutor java:1162)_x000D_
10 02 10:25:15 553 25214 25236 E AndroidRuntime: 	at java util concurrent ThreadPoolExecutor Worker run(ThreadPoolExecutor java:636)_x000D_
10 02 10:25:15 553 25214 25236 E AndroidRuntime: 	at java lang Thread run(Thread java:764)_x000D_
10 02 10:25:15 553 25214 25236 E AndroidRuntime: Caused by: java lang IllegalStateException: Couldn t read row 0  col 0 from CursorWindow   Make sure the Cursor is initialized correctly before accessing data from it _x000D_
10 02 10:25:15 553 25214 25236 E AndroidRuntime: 	at android database CursorWindow nativeGetLong(Native Method)_x000D_
10 02 10:25:15 553 25214 25236 E AndroidRuntime: 	at android database CursorWindow getLong(CursorWindow java:511)_x000D_
10 02 10:25:15 553 25214 25236 E AndroidRuntime: 	at android database AbstractWindowedCursor getLong(AbstractWindowedCursor java:75)_x000D_
10 02 10:25:15 553 25214 25236 E AndroidRuntime: 	at de greenrobot dao AbstractDao loadCurrent(Unknown Source:20)_x000D_
10 02 10:25:15 553 25214 25236 E AndroidRuntime: 	at de greenrobot dao AbstractDao loadAllFromCursor(Unknown Source:87)_x000D_
10 02 10:25:15 553 25214 25236 E AndroidRuntime: 	at de greenrobot dao AbstractDao loadAllAndCloseCursor(Unknown Source:0)_x000D_
10 02 10:25:15 553 25214 25236 E AndroidRuntime: 	at de greenrobot dao AbstractDao queryRaw(Unknown Source:27)_x000D_
10 02 10:25:15 553 25214 25236 E AndroidRuntime: 	at de luhmer owncloudnewsreader database DatabaseConnectionOrm getCurrentRssItemView(Unknown Source:79)_x000D_
10 02 10:25:15 553 25214 25236 E AndroidRuntime: 	at de luhmer owncloudnewsreader NewsReaderDetailFragment UpdateCurrentRssViewTask doInBackground(Unknown Source:183)_x000D_
10 02 10:25:15 553 25214 25236 E AndroidRuntime: 	at de luhmer owncloudnewsreader NewsReaderDetailFragment UpdateCurrentRssViewTask doInBackground(Unknown Source:2)_x000D_
10 02 10:25:15 553 25214 25236 E AndroidRuntime: 	at android os AsyncTask 2 call(AsyncTask java:333)_x000D_
10 02 10:25:15 553 25214 25236 E AndroidRuntime: 	at java util concurrent FutureTask run(FutureTask java:266)_x000D_
10 02 10:25:15 553 25214 25236 E AndroidRuntime: 	    3 more_x000D_
10 02 10:25:15 557   943  6173 W ActivityManager:   Force finishing activity de luhmer owncloudnewsreader  NewsReaderListActivity_x000D_
10 02 10:25:15 562   943  6173 D ActivityTrigger: ActivityTrigger activityPauseTrigger _x000D_
10 02 10:25:15 567   943  1183 I ActivityManager: Showing crash dialog for package de luhmer owncloudnewsreader u0_x000D_
   _x000D_
_x000D_
I m not sure if thats related as well:_x000D_
_x000D_
   _x000D_
10 02 10:25:15 012 14431 14431 E OTAUpdate:  OTAUpdate  This Service should be start on SystemUID  _x000D_
10 02 10:25:15 015  7083 25213 W System err: org json JSONException: End of input at character 0 of _x000D_
10 02 10:25:15 015  7083 25213 W System err: 	at org json JSONTokener syntaxError(JSONTokener java:449)_x000D_
10 02 10:25:15 015  7083 25213 W System err: 	at org json JSONTokener nextValue(JSONTokener java:97)_x000D_
10 02 10:25:15 015  7083 25213 W System err: 	at org json JSONArray  init (JSONArray java:92)_x000D_
10 02 10:25:15 015  7083 25213 W System err: 	at org json JSONArray  init (JSONArray java:108)_x000D_
10 02 10:25:15 015  7083 25213 W System err: 	at com evenwell OTAUpdate PackageHandler DeserializeAPKInfo(PackageHandler java:1176)_x000D_
10 02 10:25:15 015  7083 25213 W System err: 	at com evenwell OTAUpdate OTAService CheckAPKNextCheckTime(OTAService java:4001)_x000D_
10 02 10:25:15 015  7083 25213 W System err: 	at com evenwell OTAUpdate OTAService access 6700(OTAService java:75)_x000D_
10 02 10:25:15 015  7083 25213 W System err: 	at com evenwell OTAUpdate OTAService 26 run(OTAService java:4691)_x000D_
10 02 10:25:15 015  7083 25213 W System err: 	at java lang Thread run(Thread java:764)_x000D_
10 02 10:25:15 016  7083 25213 D OTAUpdate:  ReceiverRestrictedContext  writeAutoUpdateConfig()  enable:true_x000D_
10 02 10:25:15 017   943  2872 D ActivityTrigger: activityResumeTrigger: The activity in ApplicationInfo 36c0ad0 de luhmer owncloudnewsreader  is now in focus and seems to be in full screen mode_x000D_
10 02 10:25:15 017   943  2872 E ActivityTrigger: activityResumeTrigger: not whiteListedde luhmer owncloudnewsreader de luhmer owncloudnewsreader NewsReaderListActivity 133_x000D_
10 02 10:25:15 020  7083 25213 D OTAUpdate:  OTAService  de luhmer owncloudnewsreader NextCheckTime: 2018 10 03 09:21:36_x000D_
10 02 10:25:15 035   943  2872 I ActivityManager: Start proc 25214:de luhmer owncloudnewsreader u0a237 for activity de luhmer owncloudnewsreader  NewsReaderListActivity_x000D_
10 02 10:25:15 039   943  2872 D ActivityManager: Package  de luhmer owncloudnewsreader  have process_x000D_
   _x000D_
_x000D_
version: 0 9 9 18   android 8 1 (august patch)   nokia7plus</t>
  </si>
  <si>
    <t>Barista-Analytics-Barista-Analytics-2</t>
  </si>
  <si>
    <t>Location Services Turned Off</t>
  </si>
  <si>
    <t xml:space="preserve">  Class Name : MapsActivity java_x000D_
   Turn off location services_x000D_
1  Application tries to access the device location(in init() method)_x000D_
2  Application crashes due to device location being unavailable</t>
  </si>
  <si>
    <t>react-native-camera-react-native-camera-1829</t>
  </si>
  <si>
    <t>Exception thrown while executing UI block: -[RNCamera setOnTextRecognized:]: unrecognized selector sent to instance</t>
  </si>
  <si>
    <t xml:space="preserve">  Related Modules  _x000D_
RNCamera_x000D_
_x000D_
  Platforms  _x000D_
iOS_x000D_
_x000D_
  Versions  _x000D_
Environment:_x000D_
  OS: macOS High Sierra 10 13 6_x000D_
  Node: 9 11 1_x000D_
  Yarn: 1 9 4_x000D_
  npm: 6 1 0_x000D_
  Watchman: 4 9 0_x000D_
  Xcode: Xcode 10 0 Build version 10A255_x000D_
  Android Studio: 3 1 AI 173 4907809_x000D_
_x000D_
I have this crash  please help _x000D_
_x000D_
 img width  380  alt  captura de pantalla 2018 10 02 00 11 24  src  https:  user images githubusercontent com 1581454 46327748 afa1ed00 c5d9 11e8 8ca1 4c8e0420b50b png  _x000D_
</t>
  </si>
  <si>
    <t>roseacademies-hedhihelp-1</t>
  </si>
  <si>
    <t>Lesson Two is crashing the app</t>
  </si>
  <si>
    <t xml:space="preserve">Clicking on Lesson Two crashes the app </t>
  </si>
  <si>
    <t>MozillaReality-FirefoxReality-589</t>
  </si>
  <si>
    <t>Crash loading a video</t>
  </si>
  <si>
    <t xml:space="preserve">   Hardware_x000D_
Oculus Go_x000D_
_x000D_
   Steps to Reproduce_x000D_
1  Load http:  download blender org peach trailer trailer 400p ogg in a local build _x000D_
_x000D_
   Current Behavior_x000D_
The browser crashes  _x000D_
_x000D_
   Expected Behavior_x000D_
A video  Not a crash  at least _x000D_
_x000D_
   Possible Solution_x000D_
_x000D_
   Context_x000D_
Hit this while testing video playback _x000D_
_x000D_
   Error Logs and Stack Traces_x000D_
Logcat:_x000D_
   _x000D_
          beginning of crash_x000D_
10 01 10:39:41 931  4070  4070 E AndroidRuntime: FATAL EXCEPTION: main_x000D_
10 01 10:39:41 931  4070  4070 E AndroidRuntime: Process: org mozilla vrbrowser  PID: 4070_x000D_
10 01 10:39:41 931  4070  4070 E AndroidRuntime: java lang NullPointerException: Attempt to invoke virtual method  int java lang String length()  on a null object reference_x000D_
10 01 10:39:41 931  4070  4070 E AndroidRuntime: 	at java net URI Parser parse(URI java:3050)_x000D_
10 01 10:39:41 931  4070  4070 E AndroidRuntime: 	at java net URI  init (URI java:590)_x000D_
10 01 10:39:41 931  4070  4070 E AndroidRuntime: 	at java net URI create(URI java:852)_x000D_
10 01 10:39:41 931  4070  4070 E AndroidRuntime: 	at org mozilla vrbrowser telemetry TelemetryWrapper addLoadToHistogram(TelemetryWrapper java:180)_x000D_
10 01 10:39:41 931  4070  4070 E AndroidRuntime: 	at org mozilla vrbrowser SessionStore onPageStop(SessionStore java:886)_x000D_
10 01 10:39:41 931  4070  4070 E AndroidRuntime: 	at org mozilla geckoview GeckoSession 3 handleMessage(GeckoSession java:442)_x000D_
10 01 10:39:41 931  4070  4070 E AndroidRuntime: 	at org mozilla geckoview GeckoSession 3 handleMessage(GeckoSession java:432)_x000D_
10 01 10:39:41 931  4070  4070 E AndroidRuntime: 	at org mozilla geckoview GeckoSessionHandler handleMessage(GeckoSessionHandler java:79)_x000D_
10 01 10:39:41 931  4070  4070 E AndroidRuntime: 	at org mozilla gecko EventDispatcher 2 run(EventDispatcher java:344)_x000D_
10 01 10:39:41 931  4070  4070 E AndroidRuntime: 	at android os Handler handleCallback(Handler java:751)_x000D_
10 01 10:39:41 931  4070  4070 E AndroidRuntime: 	at android os Handler dispatchMessage(Handler java:95)_x000D_
10 01 10:39:41 931  4070  4070 E AndroidRuntime: 	at android os Looper loop(Looper java:154)_x000D_
10 01 10:39:41 931  4070  4070 E AndroidRuntime: 	at android app ActivityThread main(ActivityThread java:6121)_x000D_
10 01 10:39:41 931  4070  4070 E AndroidRuntime: 	at java lang reflect Method invoke(Native Method)_x000D_
10 01 10:39:41 931  4070  4070 E AndroidRuntime: 	at com android internal os ZygoteInit MethodAndArgsCaller run(ZygoteInit java:889)_x000D_
10 01 10:39:41 931  4070  4070 E AndroidRuntime: 	at com android internal os ZygoteInit main(ZygoteInit java:779)_x000D_
10 01 10:39:41 932  4070  4089 D GeckoViewNavigation C : loadURI: uri http:  download blender org peach trailer trailer 400p ogg where 1 flags 0x1008_x000D_
10 01 10:39:41 935  4070  4089 D GeckoViewProgress: onStateChange: isTopLevel true  flags 0xf0001  status NS OK loadType 2097153_x000D_
10 01 10:39:41 936  4070  4089 D GeckoViewProgress: onStateChange: uri http:  download blender org peach trailer trailer 400p ogg isSuccess true isStart true isStop false_x000D_
   _x000D_
_x000D_
_x000D_
      DO NOT REMOVE THIS LINE     _x000D_
   _x000D_
   _x000D_
      DO NOT REMOVE THIS LINE     _x000D_
_x000D_
  details _x000D_
</t>
  </si>
  <si>
    <t>gateship-one-odyssey-167</t>
  </si>
  <si>
    <t>Colons in filenames cause crash</t>
  </si>
  <si>
    <t>If a music file has a colon in the filename  the app crashes if you try to play it  It also crashes when opening  even to view  an m3u playlist if the playlist contains a file with a colon in the filename _x000D_
_x000D_
Changing the name of the file fixes the issue  even if the colon remains in the title metadata  Maybe the application takes the colon to reference an external filesystem  Otherwise filename character escaping might just need to include a colon _x000D_
_x000D_
I really enjoy this app  I ve been using it daily for a few months  Thanks for all your hard work _x000D_
_x000D_
App Version from FDROID  1 1 15_x000D_
Lineage OS  14 1_x000D_
Android 7 1 2</t>
  </si>
  <si>
    <t>ZeevoX-Ocquarium-49</t>
  </si>
  <si>
    <t>Update Gradle version</t>
  </si>
  <si>
    <t xml:space="preserve">Build crashes due to outdated Gradle version  see https:  travis ci org ZeevoX Ocquarium builds 435319734_x000D_
_x000D_
   _x000D_
FAILURE: Build failed with an exception  _x000D_
_x000D_
  Where: _x000D_
Build file   home travis build ZeevoX Ocquarium app build gradle  line: 20 _x000D_
_x000D_
  What went wrong: _x000D_
A problem occurred evaluating project  :app   _x000D_
  Failed to apply plugin  id  com android application   _x000D_
     Minimum supported Gradle version is 4 10 1  Current version is 4 9  If using the gradle wrapper  try editing the distributionUrl in  home travis build ZeevoX Ocquarium gradle wrapper gradle wrapper properties to gradle 4 10 1 all zip _x000D_
_x000D_
  Try: _x000D_
Run with   stacktrace option to get the stack trace  Run with   info or   debug option to get more log output  Run with   scan to get full insights  _x000D_
_x000D_
  Get more help at https:  help gradle org BUILD FAILED in 19s_x000D_
   </t>
  </si>
  <si>
    <t>NineWorlds-serenity-android-377</t>
  </si>
  <si>
    <t>Crash when selecting Plex Server</t>
  </si>
  <si>
    <t xml:space="preserve">Main Menu is displayed and then a crash occurs _x000D_
_x000D_
Steps to reproduce:_x000D_
1  Launch the App _x000D_
2  Select a Plexserver to access _x000D_
3  App crashes after displaying the main menu _x000D_
</t>
  </si>
  <si>
    <t>nikita36078-J2ME-Loader-387</t>
  </si>
  <si>
    <t>alchemy os bugs</t>
  </si>
  <si>
    <t xml:space="preserve">  Emulator version:  _x000D_
1 3 4_x000D_
_x000D_
_x000D_
  Game version:  _x000D_
2 1 8_x000D_
_x000D_
  Game resolution:  _x000D_
  (For example  240x320 or 640x360)  _x000D_
240 320_x000D_
  Device:  _x000D_
  (For example  Samsung Galaxy S7)  _x000D_
xiaomi redmi note4_x000D_
  Android version:  _x000D_
8 1_x000D_
  Description of the issue:  _x000D_
  (What s the problem    Screenshots showing the issue if applicable)  _x000D_
I have run it with the following steps:_x000D_
1 install and open it_x000D_
2 choose installer_x000D_
3 choose install_x000D_
4 choose Native (JSR 75)_x000D_
5 It crash_x000D_
6 open j2me loader and alchemy os again_x000D_
7 choose alchemy os_x000D_
8 choose next_x000D_
9 choose no_x000D_
10 Try step 6 7 again_x000D_
11 You will see a terminal  but no matter what command you enter  it doesn t respond  but it have respond on the Java phone _x000D_
Oh  I hava download alchemy OS from this link:https:  sourceforge net projects alchemy os files 2 1 8 alchemy os 2 1 8 jar download 
1 In version 1 3 7 it add icon support but sometimes it will use an incorrect icon
incorrect https:  wx4 sinaimg cn large 007bFx8Mly1fxat2mmpewj30u01qg421 jpg
correct https:  wx2 sinaimg cn large 007bFx8Mly1fxat2i3k0hj30u01qgtc7 jpg
2 Sometimes  Browse files  can t read local files  or it will crash
such as open this folder:cfg bin</t>
  </si>
  <si>
    <t>brodeurlv-fastnfitness-42</t>
  </si>
  <si>
    <t>Bug within exercises merge functionality</t>
  </si>
  <si>
    <t xml:space="preserve">Found in version: 0 15 2_x000D_
_x000D_
Current behavior:_x000D_
At the exercise page  when changing the name to a already used name then the two exercises get merged:_x000D_
  click on save button    merge dialog    yes  _x000D_
_x000D_
But the app crashes with clicking the backbutton on the top left corner first:_x000D_
  click on backbutton    save dialog    yes    merge dialog    yes    CRASH  _x000D_
_x000D_
_x000D_
Expected behavior:_x000D_
not crash but merge _x000D_
_x000D_
_x000D_
Step to reproduce:_x000D_
_x000D_
_x000D_
</t>
  </si>
  <si>
    <t>yeriomin-YalpStore-532</t>
  </si>
  <si>
    <t>Corrupted Duolingo APK?</t>
  </si>
  <si>
    <t xml:space="preserve">  Expected behavior  _x000D_
When installing Duolingo ( com duolingo ) from Yalp  it should work correctly _x000D_
_x000D_
  Actual behavior  _x000D_
The installed app seems corrupted  It is displayed with the default Android icon in the launcher and when I launch it  it crashes immediately:_x000D_
   _x000D_
09 30 16:46:13 053 10570 10570 D AndroidRuntime: Shutting down VM_x000D_
09 30 16:46:13 054 10570 10570 E AndroidRuntime: FATAL EXCEPTION: main_x000D_
09 30 16:46:13 054 10570 10570 E AndroidRuntime: Process: com duolingo  PID: 10570_x000D_
09 30 16:46:13 054 10570 10570 E AndroidRuntime: java lang RuntimeException: Unable to get provider com crashlytics android CrashlyticsInitProvider: android content res Resources NotFoundException: Unable to find resource ID  0x7f08015a_x000D_
09 30 16:46:13 054 10570 10570 E AndroidRuntime: 	at android app ActivityThread installProvider(ActivityThread java:5865)_x000D_
09 30 16:46:13 054 10570 10570 E AndroidRuntime: 	at android app ActivityThread installContentProviders(ActivityThread java:5454)_x000D_
09 30 16:46:13 054 10570 10570 E AndroidRuntime: 	at android app ActivityThread handleBindApplication(ActivityThread java:5393)_x000D_
09 30 16:46:13 054 10570 10570 E AndroidRuntime: 	at android app ActivityThread  wrap2(ActivityThread java)_x000D_
09 30 16:46:13 054 10570 10570 E AndroidRuntime: 	at android app ActivityThread H handleMessage(ActivityThread java:1546)_x000D_
09 30 16:46:13 054 10570 10570 E AndroidRuntime: 	at android os Handler dispatchMessage(Handler java:102)_x000D_
09 30 16:46:13 054 10570 10570 E AndroidRuntime: 	at android os Looper loop(Looper java:154)_x000D_
09 30 16:46:13 054 10570 10570 E AndroidRuntime: 	at android app ActivityThread main(ActivityThread java:6128)_x000D_
09 30 16:46:13 054 10570 10570 E AndroidRuntime: 	at java lang reflect Method invoke(Native Method)_x000D_
09 30 16:46:13 054 10570 10570 E AndroidRuntime: 	at com android internal os ZygoteInit MethodAndArgsCaller run(ZygoteInit java:889)_x000D_
09 30 16:46:13 054 10570 10570 E AndroidRuntime: 	at com android internal os ZygoteInit main(ZygoteInit java:779)_x000D_
09 30 16:46:13 054 10570 10570 E AndroidRuntime: Caused by: android content res Resources NotFoundException: Unable to find resource ID  0x7f08015a_x000D_
09 30 16:46:13 054 10570 10570 E AndroidRuntime: 	at android content res ResourcesImpl getResourcePackageName(ResourcesImpl java:236)_x000D_
09 30 16:46:13 054 10570 10570 E AndroidRuntime: 	at android content res Resources getResourcePackageName(Resources java:1916)_x000D_
09 30 16:46:13 054 10570 10570 E AndroidRuntime: 	at io fabric sdk android services common CommonUtils n(CommonUtils java:767)_x000D_
09 30 16:46:13 054 10570 10570 E AndroidRuntime: 	at io fabric sdk android services common CommonUtils a(CommonUtils java:517)_x000D_
09 30 16:46:13 054 10570 10570 E AndroidRuntime: 	at io fabric sdk android services common CommonUtils a(CommonUtils java:498)_x000D_
09 30 16:46:13 054 10570 10570 E AndroidRuntime: 	at io fabric sdk android services common m a(FirebaseInfo java:52)_x000D_
09 30 16:46:13 054 10570 10570 E AndroidRuntime: 	at com crashlytics android CrashlyticsInitProvider onCreate(CrashlyticsInitProvider java:1073)_x000D_
09 30 16:46:13 054 10570 10570 E AndroidRuntime: 	at android content ContentProvider attachInfo(ContentProvider java:1751)_x000D_
09 30 16:46:13 054 10570 10570 E AndroidRuntime: 	at android content ContentProvider attachInfo(ContentProvider java:1726)_x000D_
09 30 16:46:13 054 10570 10570 E AndroidRuntime: 	at android app ActivityThread installProvider(ActivityThread java:5862)_x000D_
09 30 16:46:13 054 10570 10570 E AndroidRuntime: 	    10 more_x000D_
09 30 16:46:13 057  2718  4294 W ActivityManager:   Force finishing activity com duolingo  app LoginActivity_x000D_
09 30 16:46:13 061  2718  4294 D ActivityTrigger: ActivityTrigger activityPauseTrigger _x000D_
09 30 16:46:13 065  2718  4294 W ActivityManager:   Force finishing activity com duolingo  app LoginActivity_x000D_
   _x000D_
_x000D_
It used to work correctly a few weeks months ago _x000D_
I tried to install it on another device with Play Store and it worked correctly _x000D_
_x000D_
  Steps to reproduce  _x000D_
1  Install  com duolingo  with Yalp _x000D_
2  Launch it _x000D_
_x000D_
  Your setup  _x000D_
Yalp Store 0 43 on a Fairphone 2 with Android 7 1 2 _x000D_
Delta updates are disabled </t>
  </si>
  <si>
    <t>niccokunzmann-mundraub-android-171</t>
  </si>
  <si>
    <t>App crashes when opening fruit radar test</t>
  </si>
  <si>
    <t xml:space="preserve">     If you report an app crash  please attach the eu quelltext mundraub log txt file_x000D_
     from the root of your phone s file system     _x000D_
   _x000D_
I LOGGER::                App started               _x000D_
D Settings: received Context: eu quelltext mundraub activities StartupActivity 9b2de1a_x000D_
D Settings: Build VERSION RELEASE: 6 0_x000D_
            Build VERSION SDK INT: 23_x000D_
            Build MODEL: HTC One A9s_x000D_
D Settings: BuildConfig VERSION NAME: 1 0_x000D_
            BuildConfig DEBUG: true_x000D_
            BuildConfig VERSION CODE: 1_x000D_
            COMMIT HASH: 0000000000000000000000000000000000000000_x000D_
D Settings: Permissions CAN ASK FOR PERMISSIONS: true_x000D_
            useInsecureConnections: false_x000D_
            useAPIId: mundraub_x000D_
            useCacheForPlants: true_x000D_
            useErrorReport: true_x000D_
            useOfflineMapAPI: false_x000D_
            debugMundraubMapAPI: false_x000D_
            vibrateWhenPlantIsInRange: false_x000D_
            useFruitRadarNotifications: false_x000D_
            radarPlantRangeMeters: 150_x000D_
D Settings: showCategories: mundraub_x000D_
            downloadMarkersFromAPI: fruitmap mundraub na ovoce_x000D_
D WindowClient: Remove from mViews: com android internal policy PhoneWindow DecorView 5061f33 V E       R      D 0 0 720 1280   this   android view WindowManagerGlobal a719cca_x000D_
D ActivityThread: ACT DESTROY ACTIVITY handled : 1   android os BinderProxy 92b1097_x000D_
D TestFruitRadarActivity: WebView: file:   android asset map browserDebug js at line 4:                Browser                _x000D_
                          WebView: file:   android asset map browserDebug js at line 5: navigator userAgent: Mozilla 5 0 (Linux  Android 6 0  HTC One A9s Build MRA58K  wv) AppleWebKit 537 36 (KHTML  like Gecko) Version 4 0 Chrome 69 0 3497 100 Mobile Safari 537 36   language: de_x000D_
D TestFruitRadarActivity: WebView: file:   android asset map translations js at line 22: The browser language is de_x000D_
D TestFruitRadarActivity: WebView: file:   android asset map translations js at line 26: loaded translations for en_x000D_
D TestFruitRadarActivity: WebView: file:   android asset map translations js at line 36: loaded translations for de_x000D_
D TestFruitRadarActivity: WebView: file:   android asset map translations js at line 66: All translations are loaded _x000D_
D TestFruitRadarActivity: WebView: file:   android asset map examples fullScreen js at line 97: Loading map    _x000D_
I System out:  CDS rx timeout:5000_x000D_
D TestFruitRadarActivity: WebView: file:   android asset map examples fullScreen js at line 134: visibleLayerName: null_x000D_
D TestFruitRadarActivity: WebView: file:   android asset map examples fullScreen js at line 208: Done loading map _x000D_
I  MALI  Gralloc :    r hnd(0x7f64dfa260)  client(43)  share fd(123)_x000D_
D MundraubMapAPIForApp: debug: GET: https:  mundraub org cluster plant bbox 8 555437619018832 51 97691767671171 8 563162380981737 51 97691767671171 zoom 18 cat 4 5 6 7 8 9 10 11 12 14 15 16 17 18 19 20 21 22 23 24 25 26 27 28 29 30 31 32 33 34 35 36 37_x000D_
                        client: for api_x000D_
I System out:  CDS  DNS  getAllByNameImpl netId   0_x000D_
D libc netbsd: getaddrinfo( app uid:10285_x000D_
               getaddrinfo() uid prop:_x000D_
               getaddrinfo() getuid():10285_x000D_
                getaddrinfo : mtk ai addrlen 0  ai canonname (null)  ai flags 4  ai family 0_x000D_
D libc netbsd:  getaddrinfo : caller process eu quelltext mundraub_x000D_
               getaddrinfo( app uid:10285_x000D_
               getaddrinfo() uid prop:_x000D_
               getaddrinfo() getuid():10285_x000D_
                getaddrinfo : mtk ai addrlen 0  ai canonname (null)  ai flags 1024  ai family 0_x000D_
                NET  android getaddrinfo proxy get netid:0_x000D_
D TestFruitRadarActivity: WebView: file:   android asset map examples fullScreen js at line 55: setPositionInURL_x000D_
D libc netbsd:  NET  android getaddrinfo proxy   success_x000D_
               getaddrinfo: mundraub org get result from proxy gai error   0_x000D_
I System out:  CDS rx timeout:10000_x000D_
               socket  2  connection mundraub org 78 46 5 47:443 LocalPort 44578(10000)_x000D_
               CDS connect mundraub org 78 46 5 47:443  tm:10_x000D_
I System out:  socket   141 23 186 42:44578  connected_x000D_
D libc netbsd: getaddrinfo( app uid:10285_x000D_
               getaddrinfo() uid prop:_x000D_
               getaddrinfo() getuid():10285_x000D_
                getaddrinfo : mtk ai addrlen 0  ai canonname (null)  ai flags 4  ai family 0_x000D_
E NativeCrypto: ssl 0x7f6ed3d480 cert verify callback x509 store ctx 0x7f82e6dc00 arg 0x0_x000D_
                ssl 0x7f6ed3d480 cert verify callback calling verifyCertificateChain authMethod ECDHE RSA_x000D_
I System out: gba cipher suite:TLS ECDHE RSA WITH AES 256 GCM SHA384_x000D_
I System out:  CDS rx timeout:0_x000D_
               CDS rx timeout:0_x000D_
I System out:  CDS rx timeout:5000_x000D_
D TestFruitRadarActivity: WebView: file:   android asset map request js at line 45: markers for http:  localhost:39768 cluster plant bbox 8 555437619018832 51 97691767671171 8 563162380981737 51 97691767671171 zoom 18 cat 4 5 6 7 8 9 10 11 12 14 15 16 17 18 19 20 21 22 23 24 25 26 27 28 29 30 31 32 33 34 35 36 37_x000D_
D MundraubMapAPIForApp: debug: GET: https:  mundraub org cluster plant bbox 8 555437619018832 51 97691767671171 8 563162380981737 51 97691767671171 zoom 18 cat 4 5 6 7 8 9 10 11 12 14 15 16 17 18 19 20 21 22 23 24 25 26 27 28 29 30 31 32 33 34 35 36 37_x000D_
                        client: for api_x000D_
I System out:  CDS  DNS  getAllByNameImpl netId   0_x000D_
D libc netbsd: getaddrinfo( app uid:10285_x000D_
               getaddrinfo() uid prop:_x000D_
D libc netbsd: getaddrinfo() getuid():10285_x000D_
                getaddrinfo : mtk ai addrlen 0  ai canonname (null)  ai flags 4  ai family 0_x000D_
I System out:  CDS rx timeout:10000_x000D_
I System out:  socket  3  connection mundraub org 78 46 5 47:443 LocalPort 39243(10000)_x000D_
I System out:  CDS connect mundraub org 78 46 5 47:443  tm:10_x000D_
I System out:  socket   141 23 186 42:39243  connected_x000D_
D libc netbsd: getaddrinfo( app uid:10285_x000D_
               getaddrinfo() uid prop:_x000D_
               getaddrinfo() getuid():10285_x000D_
                getaddrinfo : mtk ai addrlen 0  ai canonname (null)  ai flags 4  ai family 0_x000D_
E NativeCrypto: ssl 0x7f8310a480 cert verify callback x509 store ctx 0x7f65de3c00 arg 0x0_x000D_
E NativeCrypto: ssl 0x7f8310a480 cert verify callback calling verifyCertificateChain authMethod ECDHE RSA_x000D_
I System out: gba cipher suite:TLS ECDHE RSA WITH AES 256 GCM SHA384_x000D_
I System out:  CDS rx timeout:0_x000D_
               CDS rx timeout:0_x000D_
D TestFruitRadarActivity: WebView: file:   android asset map request js at line 45: markers for http:  localhost:39768 cluster plant bbox 8 555437619018832 51 97691767671171 8 563162380981737 51 97691767671171 zoom 18 cat 4 5 6 7 8 9 10 11 12 14 15 16 17 18 19 20 21 22 23 24 25 26 27 28 29 30 31 32 33 34 35 36 37_x000D_
I System out:  CDS EAGAIN in Recvfrom_x000D_
               CDS read byte is 0_x000D_
I System out: close  socket   127 0 0 1:39768 _x000D_
I System out:  CDS EAGAIN in Recvfrom_x000D_
               CDS read byte is 0_x000D_
I System out: close  socket   127 0 0 1:39768 _x000D_
I System out: close  socket   141 23 186 42:44578 _x000D_
I System out: close  socket   141 23 186 42:39243 _x000D_
D Process: killProcess  pid 20009_x000D_
D Process: com android internal os RuntimeInit UncaughtHandler uncaughtException:138 eu quelltext mundraub error Logger uncaughtException:76 java lang ThreadGroup uncaughtException:693 _x000D_
Disconnected from the target VM  address:  localhost:8600   transport:  socket _x000D_
_x000D_
   </t>
  </si>
  <si>
    <t>niccokunzmann-mundraub-android-170</t>
  </si>
  <si>
    <t>file not found on start</t>
  </si>
  <si>
    <t xml:space="preserve">     If you report an app crash  please attach the eu quelltext mundraub log txt file_x000D_
     from the root of your phone s file system     _x000D_
_x000D_
   _x000D_
W System err: java io FileNotFoundException:  storage emulated 0 eu quelltext mundraub log txt: open failed: EACCES (Permission denied)_x000D_
W System err:     at libcore io IoBridge open(IoBridge java:487)_x000D_
                  at java io FileOutputStream  init (FileOutputStream java:87)_x000D_
                  at eu quelltext mundraub error Logger  init (Logger java:50)_x000D_
                  at eu quelltext mundraub error Logger getInstance(Logger java:40)_x000D_
                  at eu quelltext mundraub error Logger  clinit (Logger java:35)_x000D_
                  at eu quelltext mundraub error Logger newFor(Logger java)_x000D_
                  at eu quelltext mundraub common Settings  clinit (Settings java:67)_x000D_
                  at eu quelltext mundraub common Settings useFruitRadarNotifications(Settings java)_x000D_
W System err:     at eu quelltext mundraub initialization FruitRadarNotification 1 setActivity(FruitRadarNotification java:48)_x000D_
                  at eu quelltext mundraub initialization Initialization provideActivityFor(Initialization java:32)_x000D_
                  at eu quelltext mundraub initialization FruitRadarNotification initialize(FruitRadarNotification java:44)_x000D_
                  at eu quelltext mundraub initialization Initialization 1 setActivity(Initialization java:17)_x000D_
                  at eu quelltext mundraub initialization Initialization provideActivity(Initialization java:42)_x000D_
                  at eu quelltext mundraub activities MundraubBaseActivity initializeApp(MundraubBaseActivity java:48)_x000D_
                  at eu quelltext mundraub activities MundraubBaseActivity onCreate(MundraubBaseActivity java:42)_x000D_
                  at eu quelltext mundraub activities StartupActivity onCreate(StartupActivity java:23)_x000D_
                  at android app Activity performCreate(Activity java:6280)_x000D_
                  at android app Instrumentation callActivityOnCreate(Instrumentation java:1131)_x000D_
                  at android app ActivityThread performLaunchActivity(ActivityThread java:2564)_x000D_
                  at android app ActivityThread handleLaunchActivity(ActivityThread java:2677)_x000D_
                  at android app ActivityThread  wrap11(ActivityThread java)_x000D_
                  at android app ActivityThread H handleMessage(ActivityThread java:1515)_x000D_
                  at android os Handler dispatchMessage(Handler java:111)_x000D_
                  at android os Looper loop(Looper java:227)_x000D_
                  at android app ActivityThread main(ActivityThread java:6100)_x000D_
                  at java lang reflect Method invoke(Native Method)_x000D_
                  at com android internal os ZygoteInit MethodAndArgsCaller run(ZygoteInit java:961)_x000D_
                  at com android internal os ZygoteInit main(ZygoteInit java:822)_x000D_
              Caused by: android system ErrnoException: open failed: EACCES (Permission denied)_x000D_
                  at libcore io Posix open(Native Method)_x000D_
W System err:     at libcore io BlockGuardOs open(BlockGuardOs java:186)_x000D_
                  at libcore io IoBridge open(IoBridge java:473)_x000D_
              	    27 more_x000D_
   </t>
  </si>
  <si>
    <t>niccokunzmann-mundraub-android-169</t>
  </si>
  <si>
    <t>Error report does not contain error messages</t>
  </si>
  <si>
    <t xml:space="preserve">     If you report an app crash  please attach the eu quelltext mundraub log txt file_x000D_
     from the root of your phone s file system     _x000D_
_x000D_
The error report does not contain error messages when the app crashes </t>
  </si>
  <si>
    <t>niccokunzmann-mundraub-android-168</t>
  </si>
  <si>
    <t>Text is truncated in settings</t>
  </si>
  <si>
    <t xml:space="preserve">     If you report an app crash  please attach the eu quelltext mundraub log txt file_x000D_
     from the root of your phone s file system     _x000D_
_x000D_
The text of the fruit radar distance next to the number input is truncated at the bottom so it is not readable 100  </t>
  </si>
  <si>
    <t>Swati4star-Images-to-PDF-438</t>
  </si>
  <si>
    <t>[Bug] App crashed, when pdf created from snapshot of camera</t>
  </si>
  <si>
    <t xml:space="preserve">Click Images to PDF   SELECT IMAGES   Camera   Snapshot   Create PDF _x000D_
After click Create PDF   stacktrace _x000D_
 W 4star createpd: Accessing hidden field Landroid widget TextView   mCursorDrawableRes:I (light greylist  reflection)_x000D_
    Accessing hidden field Landroid widget TextView   mEditor:Landroid widget Editor  (light greylist  reflection)_x000D_
D MDTintHelper: Device issue with cursor tinting: No field mCursorDrawable in class Landroid widget Editor  (declaration of  android widget Editor  appears in  system framework framework jar classes2 dex)_x000D_
W System err: java lang NoSuchFieldException: No field mCursorDrawable in class Landroid widget Editor  (declaration of  android widget Editor  appears in  system framework framework jar classes2 dex)_x000D_
W System err:     at java lang Class getDeclaredField(Native Method)_x000D_
        at com afollestad materialdialogs internal MDTintHelper setCursorTint(MDTintHelper java:183)_x000D_
W System err:     at com afollestad materialdialogs internal MDTintHelper setTint(MDTintHelper java:171)_x000D_
        at com afollestad materialdialogs DialogInit setupInputDialog(DialogInit java:527)_x000D_
W System err:     at com afollestad materialdialogs DialogInit init(DialogInit java:346)_x000D_
W System err:     at com afollestad materialdialogs MaterialDialog  init (MaterialDialog java:92)_x000D_
W System err:     at com afollestad materialdialogs MaterialDialog Builder build(MaterialDialog java:2183)_x000D_
W System err:     at com afollestad materialdialogs MaterialDialog Builder show(MaterialDialog java:2188)_x000D_
        at swati4star createpdf fragment ImageToPdfFragment createPdf(ImageToPdfFragment java:237)_x000D_
W System err:     at swati4star createpdf fragment ImageToPdfFragment ViewBinding 1 doClick(ImageToPdfFragment ViewBinding java:37)_x000D_
W System err:     at butterknife internal DebouncingOnClickListener onClick(DebouncingOnClickListener java:22)_x000D_
W System err:     at android view View performClick(View java:6597)_x000D_
        at android view View performClickInternal(View java:6574)_x000D_
W System err:     at android view View access 3100(View java:778)_x000D_
W System err:     at android view View PerformClick run(View java:25885)_x000D_
W System err:     at android os Handler handleCallback(Handler java:873)_x000D_
W System err:     at android os Handler dispatchMessage(Handler java:99)_x000D_
        at android os Looper loop(Looper java:193)_x000D_
W System err:     at android app ActivityThread main(ActivityThread java:6669)_x000D_
W System err:     at java lang reflect Method invoke(Native Method)_x000D_
        at com android internal os RuntimeInit MethodAndArgsCaller run(RuntimeInit java:493)_x000D_
        at com android internal os ZygoteInit main(ZygoteInit java:858)_x000D_
W System: A resource failed to call close   _x000D_
_x000D_
Then enter the name and pressed ok  App crashed _x000D_
Stacktrace:_x000D_
 W 4star createpd: Verification of com airbnb lottie model layer Layer com airbnb lottie parser LayerParser parse(android util JsonReader  com airbnb lottie LottieComposition) took 119 217ms_x000D_
V stage 1: store the pdf in sd card_x000D_
D EGL emulation: eglMakeCurrent: 0xd75c2680: ver 3 0 (tinfo 0xeba03200)_x000D_
D EGL emulation: eglMakeCurrent: 0xd75c2680: ver 3 0 (tinfo 0xeba03200)_x000D_
D EGL emulation: eglMakeCurrent: 0xd75c2680: ver 3 0 (tinfo 0xeba03200)_x000D_
W 4star createpd: Verification of com airbnb lottie model content ContentModel com airbnb lottie parser ContentModelParser parse(android util JsonReader  com airbnb lottie LottieComposition) took 416 870ms_x000D_
V stage 2: Document Created_x000D_
V Stage 3: Pdf writer_x000D_
V Stage 4: Document opened_x000D_
W System err: java io FileNotFoundException:   exists  but is not accessible_x000D_
W System err:     at sun net www protocol file FileURLConnection connect(FileURLConnection java:86)_x000D_
        at sun net www protocol file FileURLConnection getInputStream(FileURLConnection java:188)_x000D_
        at java net URL openStream(URL java:1072)_x000D_
W System err:     at com itextpdf text Image getInstance(Image java:257)_x000D_
        at com itextpdf text Image getInstance(Image java:238)_x000D_
        at com itextpdf text Image getInstance(Image java:361)_x000D_
W System err:     at swati4star createpdf util CreatePdf doInBackground(CreatePdf java:109)_x000D_
        at swati4star createpdf util CreatePdf doInBackground(CreatePdf java:27)_x000D_
        at android os AsyncTask 2 call(AsyncTask java:333)_x000D_
W System err:     at java util concurrent FutureTask run(FutureTask java:266)_x000D_
W System err:     at android os AsyncTask SerialExecutor 1 run(AsyncTask java:245)_x000D_
W System err:     at java util concurrent ThreadPoolExecutor runWorker(ThreadPoolExecutor java:1167)_x000D_
        at java util concurrent ThreadPoolExecutor Worker run(ThreadPoolExecutor java:641)_x000D_
        at java lang Thread run(Thread java:764)_x000D_
W swati4star createpdf: type 1400 audit(0 0:51): avc: denied   read   for comm 4173796E635461736B202333 name     dev  vda1  ino 2 scontext u:r:untrusted app 27:s0:c512 c768 tcontext u:object r:rootfs:s0 tclass dir permissive 0_x000D_
W LOTTIE: Animation contains merge paths  Merge paths are only supported on KitKat  and must be manually enabled by calling enableMergePathsForKitKatAndAbove() _x000D_
I chatty: uid 10088(swati4star createpdf) AsyncTask  4 identical 3 lines_x000D_
W LOTTIE: Animation contains merge paths  Merge paths are only supported on KitKat  and must be manually enabled by calling enableMergePathsForKitKatAndAbove() _x000D_
W LOTTIE: Animation contains merge paths but they are disabled _x000D_
E AndroidRuntime: FATAL EXCEPTION: AsyncTask  3_x000D_
    Process: swati4star createpdf  PID: 9994_x000D_
    java lang RuntimeException: An error occurred while executing doInBackground()_x000D_
        at android os AsyncTask 3 done(AsyncTask java:354)_x000D_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Caused by: ExceptionConverter: java io IOException: The document has no pages _x000D_
     Caused by: java io IOException: The document has no pages _x000D_
        at com itextpdf text pdf PdfPages writePageTree(PdfPages java:112)_x000D_
        at com itextpdf text pdf PdfWriter close(PdfWriter java:1256)_x000D_
        at com itextpdf text pdf PdfDocument close(PdfDocument java:900)_x000D_
        at com itextpdf text Document close(Document java:415)_x000D_
        at swati4star createpdf util CreatePdf doInBackground(CreatePdf java:150)_x000D_
        at swati4star createpdf util CreatePdf doInBackground(CreatePdf java:27)_x000D_
        at android os AsyncTask 2 call(AsyncTask java:333)_x000D_
        at java util concurrent FutureTask run(FutureTask java:266)_x000D_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I chatty: uid 10088(swati4star createpdf) 4star createpdf identical 3 lines_x000D_
W LOTTIE: Animation contains merge paths but they are disabled _x000D_
I Process: Sending signal  PID: 9994 SIG: 9_x000D_
Disconnected from the target VM  address:  localhost:8603   transport:  socket _x000D_
 </t>
  </si>
  <si>
    <t>chteuchteu-Munin-for-Android-43</t>
  </si>
  <si>
    <t>App crashes when adding custom munin</t>
  </si>
  <si>
    <t xml:space="preserve">hey _x000D_
_x000D_
the app crashes for me on android 6 0 1 if I add my own munin url  It doesn t crash for the example one but the widgets crash for the examples </t>
  </si>
  <si>
    <t>MozillaReality-FirefoxReality-586</t>
  </si>
  <si>
    <t>gvrAudioEngine initialization crash</t>
  </si>
  <si>
    <t xml:space="preserve">   Hardware_x000D_
Oculus Go_x000D_
_x000D_
   Steps to Reproduce_x000D_
Got a instance of this crash after trying to restart FxR activity whule testing https:  github com MozillaReality FirefoxReality pull 550_x000D_
_x000D_
   Error Logs and Stack Traces_x000D_
       Optional     _x000D_
      These are very useful for quickly identifying the causes for bug fixes     _x000D_
      In Developer Mode  run  adb logcat  to capture potentially useful logs     _x000D_
 details open _x000D_
_x000D_
18 09 27 13:16:37 447 1633 7716   E Parcel: Reading a NULL string not supported here _x000D_
2018 09 27 13:16:37 462 1633 1633   D  OAR  MainActivity: com oculus vrshell MainActivity 287620c surfaceDestroyed()_x000D_
2018 09 27 13:16:37 462 1633 1633   I ShellJNI: 0xe1d5f000 nativeSurfaceDestroyed()_x000D_
2018 09 27 13:16:37 462 1633 1806   I  OAR  Shell: 0xe1d5f000 msg: surfaceDestroyed_x000D_
2018 09 27 13:16:37 462 1633 1633   I ShellJNI:     ANativeWindow release( 0xa413e008 )_x000D_
2018 09 27 13:16:37 468 25389 27908 org mozilla vrbrowser I SystemUtils: ShellSystemUtilsAnytimeUICapability: 2_x000D_
2018 09 27 13:16:37 468 25389 27908 org mozilla vrbrowser I VrRuntimeClient: not using RuntimeService on Go_x000D_
2018 09 27 13:16:37 468 25389 27908 org mozilla vrbrowser I VrRuntimeClient: VrRuntimeClient: Init_x000D_
2018 09 27 13:16:37 469 25389 27908 org mozilla vrbrowser D ScreenCaptureReceiver: startReceiver_x000D_
2018 09 27 13:16:37 475 25389 27908 org mozilla vrbrowser D VrApi: hasVrPermissions_x000D_
2018 09 27 13:16:37 477 25389 27908 org mozilla vrbrowser I AudioCapture: Initializing audio capture using direct OS Callbacks_x000D_
2018 09 27 13:16:37 477 25389 27908 org mozilla vrbrowser I VrManagerNative: accessing calibration data for DISTORTION MESH_x000D_
2018 09 27 13:16:37 480 25389 27908 org mozilla vrbrowser I VrApi: found distortion mesh (52344 bytes)_x000D_
2018 09 27 13:16:37 480 25389 27908 org mozilla vrbrowser I Distortion: Loaded distortion file from VRSVC_x000D_
2018 09 27 13:16:37 480 25389 27908 org mozilla vrbrowser I Distortion: ovrDistortionMeshHeader::magic   0x56347807_x000D_
2018 09 27 13:16:37 480 25389 27908 org mozilla vrbrowser I Distortion: ovrDistortionMeshHeader::deviceModel   0x40_x000D_
2018 09 27 13:16:37 480 25389 27908 org mozilla vrbrowser I Distortion: ovrDistortionMeshHeader::headsetModel   0x40_x000D_
2018 09 27 13:16:37 480 25389 27908 org mozilla vrbrowser I Distortion: ovrDistortionMeshHeader::eyeBlocksWide   32_x000D_
2018 09 27 13:16:37 480 25389 27908 org mozilla vrbrowser I Distortion: ovrDistortionMeshHeader::eyeBlocksHigh   32_x000D_
2018 09 27 13:16:37 480 25389 27908 org mozilla vrbrowser I Distortion: ovrDistortionMeshHeader::lensSeparationMeters   0 063500_x000D_
2018 09 27 13:16:37 480 25389 27908 org mozilla vrbrowser I Distortion: ovrDistortionMeshHeader::horizontalOffsetMeters   0 000000_x000D_
2018 09 27 13:16:37 480 25389 27908 org mozilla vrbrowser I Distortion: ovrDistortionMeshHeader::displayWidthMeters   0 120960_x000D_
2018 09 27 13:16:37 480 25389 27908 org mozilla vrbrowser I Distortion: ovrDistortionMeshHeader::displayHeightMeters   0 068040_x000D_
2018 09 27 13:16:37 480 25389 27908 org mozilla vrbrowser I Distortion: ovrDistortionMeshHeader::displayWidthPixels   2560_x000D_
2018 09 27 13:16:37 480 25389 27908 org mozilla vrbrowser I Distortion: ovrDistortionMeshHeader::displayHeightPixels   1440_x000D_
2018 09 27 13:16:37 480 25389 27908 org mozilla vrbrowser I Distortion: ovrDistortionMeshHeader::eyeTextureWidthPixels   1024_x000D_
2018 09 27 13:16:37 480 25389 27908 org mozilla vrbrowser I Distortion: ovrDistortionMeshHeader::eyeTextureHeightPixels   1024_x000D_
2018 09 27 13:16:37 481 25389 27908 org mozilla vrbrowser I Distortion: ovrDistortionMeshHeader::leftEye   up 45 000000   down 45 000000   left 45 000000   right 45 000000_x000D_
2018 09 27 13:16:37 481 25389 27908 org mozilla vrbrowser I Distortion: ovrDistortionMeshHeader::rightEye   up 45 000000   down 45 000000   left 45 000000   right 45 000000_x000D_
2018 09 27 13:16:37 481 25389 27908 org mozilla vrbrowser I VrManagerNative: accessing calibration data for DISTORTION MESH_x000D_
2018 09 27 13:16:37 482 25389 27908 org mozilla vrbrowser I VrApi: found distortion mesh (52344 bytes)_x000D_
2018 09 27 13:16:37 482 25389 27908 org mozilla vrbrowser I Distortion: Loaded distortion file from VRSVC_x000D_
2018 09 27 13:16:37 483 25389 27908 org mozilla vrbrowser I Distortion: ovrDistortionMeshHeader::magic   0x56347807_x000D_
2018 09 27 13:16:37 483 25389 27908 org mozilla vrbrowser I Distortion: ovrDistortionMeshHeader::deviceModel   0x40_x000D_
2018 09 27 13:16:37 483 25389 27908 org mozilla vrbrowser I Distortion: ovrDistortionMeshHeader::headsetModel   0x40_x000D_
2018 09 27 13:16:37 483 25389 27908 org mozilla vrbrowser I Distortion: ovrDistortionMeshHeader::eyeBlocksWide   32_x000D_
2018 09 27 13:16:37 483 25389 27908 org mozilla vrbrowser I Distortion: ovrDistortionMeshHeader::eyeBlocksHigh   32_x000D_
2018 09 27 13:16:37 483 25389 27908 org mozilla vrbrowser I Distortion: ovrDistortionMeshHeader::lensSeparationMeters   0 063500_x000D_
2018 09 27 13:16:37 483 25389 27908 org mozilla vrbrowser I Distortion: ovrDistortionMeshHeader::horizontalOffsetMeters   0 000000_x000D_
2018 09 27 13:16:37 483 25389 27908 org mozilla vrbrowser I Distortion: ovrDistortionMeshHeader::displayWidthMeters   0 120960_x000D_
2018 09 27 13:16:37 483 25389 27908 org mozilla vrbrowser I Distortion: ovrDistortionMeshHeader::displayHeightMeters   0 068040_x000D_
2018 09 27 13:16:37 483 25389 27908 org mozilla vrbrowser I Distortion: ovrDistortionMeshHeader::displayWidthPixels   2560_x000D_
2018 09 27 13:16:37 483 25389 27908 org mozilla vrbrowser I Distortion: ovrDistortionMeshHeader::displayHeightPixels   1440_x000D_
2018 09 27 13:16:37 483 25389 27908 org mozilla vrbrowser I Distortion: ovrDistortionMeshHeader::eyeTextureWidthPixels   1024_x000D_
2018 09 27 13:16:37 483 25389 27908 org mozilla vrbrowser I Distortion: ovrDistortionMeshHeader::eyeTextureHeightPixels   1024_x000D_
2018 09 27 13:16:37 483 25389 27908 org mozilla vrbrowser I Distortion: ovrDistortionMeshHeader::leftEye   up 45 000000   down 45 000000   left 45 000000   right 45 000000_x000D_
2018 09 27 13:16:37 483 25389 27908 org mozilla vrbrowser I Distortion: ovrDistortionMeshHeader::rightEye   up 45 000000   down 45 000000   left 45 000000   right 45 000000_x000D_
2018 09 27 13:16:37 483 25389 27908 org mozilla vrbrowser I TrackingServiceClient: initialize_x000D_
2018 09 27 13:16:37 483 25389 27908 org mozilla vrbrowser D TrackingServiceClient: onInitialize_x000D_
2018 09 27 13:16:37 485 25389 27908 org mozilla vrbrowser I InputHooks: SetReorientHMDOnControllerRecenter   true_x000D_
2018 09 27 13:16:37 485 25389 27908 org mozilla vrbrowser I InputHooks: SetBlockRemoteButtonsWhenNotEmulatingHMT   true_x000D_
2018 09 27 13:16:37 485 25389 27908 org mozilla vrbrowser I InputHooks: SetLatchBackButtonEntireFrame   true_x000D_
2018 09 27 13:16:37 485 25389 27908 org mozilla vrbrowser I InputHooks: SetBlockRemoteButtonsWhenNotEmulatingHMT   false_x000D_
2018 09 27 13:16:37 485 25389 27908 org mozilla vrbrowser I InputHooks: SetReorientHMDOnControllerRecenter   true_x000D_
2018 09 27 13:16:37 486 25389 27908 org mozilla vrbrowser I VRB: BrowserWorld::InitializeJava_x000D_
2018 09 27 13:16:37 610 27909 27909   W debuggerd: type 1400 audit(0 0:158): avc: denied   search   for name  org mozilla vrbrowser  dev  sda8  ino 98324 scontext u:r:debuggerd:s0 tcontext u:object r:app data file:s0:c512 c768 tclass dir permissive 0_x000D_
2018 09 27 13:16:37 670 27909 27909   W debuggerd: type 1400 audit(0 0:159): avc: denied   search   for name  org mozilla vrbrowser  dev  sda8  ino 98324 scontext u:r:debuggerd:s0 tcontext u:object r:app data file:s0:c512 c768 tclass dir permissive 0_x000D_
2018 09 27 13:16:37 673 27909 27909   W debuggerd: type 1400 audit(0 0:160): avc: denied   search   for name  org mozilla vrbrowser  dev  sda8  ino 98324 scontext u:r:debuggerd:s0 tcontext u:object r:app data file:s0:c512 c768 tclass dir permissive 0_x000D_
2018 09 27 13:16:37 717 27909 27909   W debuggerd: type 1400 audit(0 0:161): avc: denied   search   for name  org mozilla vrbrowser  dev  sda8  ino 98324 scontext u:r:debuggerd:s0 tcontext u:object r:app data file:s0:c512 c768 tclass dir permissive 0_x000D_
2018 09 27 13:16:37 750 27909 27909   W debuggerd: type 1400 audit(0 0:162): avc: denied   search   for name  org mozilla vrbrowser  dev  sda8  ino 98324 scontext u:r:debuggerd:s0 tcontext u:object r:app data file:s0:c512 c768 tclass dir permissive 0_x000D_
2018 09 27 13:16:37 777 27909 27909   W debuggerd: type 1400 audit(0 0:163): avc: denied   search   for name  org mozilla vrbrowser  dev  sda8  ino 98324 scontext u:r:debuggerd:s0 tcontext u:object r:app data file:s0:c512 c768 tclass dir permissive 0_x000D_
2018 09 27 13:16:37 777 27909 27909   W debuggerd: type 1400 audit(0 0:164): avc: denied   search   for name  org mozilla vrbrowser  dev  sda8  ino 98324 scontext u:r:debuggerd:s0 tcontext u:object r:app data file:s0:c512 c768 tclass dir permissive 0_x000D_
2018 09 27 13:16:37 780 27909 27909   W debuggerd: type 1400 audit(0 0:165): avc: denied   search   for name  org mozilla vrbrowser  dev  sda8  ino 98324 scontext u:r:debuggerd:s0 tcontext u:object r:app data file:s0:c512 c768 tclass dir permissive 0_x000D_
2018 09 27 13:16:37 780 27909 27909   W debuggerd: type 1400 audit(0 0:166): avc: denied   search   for name  org mozilla vrbrowser  dev  sda8  ino 98324 scontext u:r:debuggerd:s0 tcontext u:object r:app data file:s0:c512 c768 tclass dir permissive 0_x000D_
2018 09 27 13:16:37 793 27909 27909   W debuggerd: type 1400 audit(0 0:167): avc: denied   search   for name  org mozilla vrbrowser  dev  sda8  ino 98324 scontext u:r:debuggerd:s0 tcontext u:object r:app data file:s0:c512 c768 tclass dir permissive 0_x000D_
2018 09 27 13:16:37 883 27909 27909   A DEBUG:                                                                _x000D_
2018 09 27 13:16:37 884 27909 27909   A DEBUG: Build fingerprint:  oculus vr pacific pacific:7 1 2 N2G48H 113640 2120 0:user release keys _x000D_
2018 09 27 13:16:37 884 27909 27909   A DEBUG: Revision:  0 _x000D_
2018 09 27 13:16:37 884 27909 27909   A DEBUG: ABI:  arm _x000D_
2018 09 27 13:16:37 884 27909 27909   A DEBUG: pid: 25389  tid: 25389  name: zilla vrbrowser      org mozilla vrbrowser    _x000D_
2018 09 27 13:16:37 884 27909 27909   A DEBUG: signal 11 (SIGSEGV)  code 1 (SEGV MAPERR)  fault addr 0x0_x000D_
2018 09 27 13:16:37 884 27909 27909   A DEBUG:     r0 00000000  r1 c69a6eda  r2 c69a6eda  r3 00000003_x000D_
2018 09 27 13:16:37 884 27909 27909   A DEBUG:     r4 aeb6c780  r5 edcad269  r6 00000100  r7 00000002_x000D_
2018 09 27 13:16:37 884 27909 27909   A DEBUG:     r8 0000bb80  r9 00000100  sl 00000002  fp 00000000_x000D_
2018 09 27 13:16:37 884 27909 27909   A DEBUG:     ip ffa77870  sp ffa77d90  lr edca8b49  pc cce5ae96  cpsr 600f0030_x000D_
2018 09 27 13:16:37 895 27909 27909   A DEBUG: backtrace:_x000D_
2018 09 27 13:16:37 896 27909 27909   A DEBUG:      00 pc 0003de96   data app org mozilla vrbrowser 1 lib arm libgvr audio so_x000D_
2018 09 27 13:16:37 897 27909 27909   A DEBUG:      01 pc 0003dde9   data app org mozilla vrbrowser 1 lib arm libgvr audio so_x000D_
2018 09 27 13:16:37 897 27909 27909   A DEBUG:      02 pc 0003c059   data app org mozilla vrbrowser 1 lib arm libgvr audio so_x000D_
2018 09 27 13:16:37 897 27909 27909   A DEBUG:      03 pc 0003bebb   data app org mozilla vrbrowser 1 lib arm libgvr audio so_x000D_
2018 09 27 13:16:37 897 27909 27909   A DEBUG:      04 pc 0000fefd   data app org mozilla vrbrowser 1 lib arm libgvr audio so_x000D_
2018 09 27 13:16:37 897 27909 27909   A DEBUG:      05 pc 0000fea7   data app org mozilla vrbrowser 1 lib arm libgvr audio so_x000D_
2018 09 27 13:16:37 897 27909 27909   A DEBUG:      06 pc 0000fe7f   data app org mozilla vrbrowser 1 lib arm libgvr audio so_x000D_
2018 09 27 13:16:37 897 27909 27909   A DEBUG:      07 pc 0000adcb   data app org mozilla vrbrowser 1 lib arm libgvr audio so_x000D_
2018 09 27 13:16:37 897 27909 27909   A DEBUG:      08 pc 0000cd7d   data app org mozilla vrbrowser 1 lib arm libgvr audio so (Java com google vr sdk audio GvrAudioEngine nativeInitialize 48)_x000D_
2018 09 27 13:16:37 898 27909 27909   A DEBUG:      09 pc 00aa380b   data app org mozilla vrbrowser 1 oat arm base odex (offset 0xa69000)_x000D_
2018 09 27 13:16:38 664 1668 1910   E LibraryDBCacheManager: content:  com oculus horizon cache library cache_x000D_
2018 09 27 13:16:38 669 2026 2178   I RCTVR:  info :  Library      global library update received   _x000D_
2018 09 27 13:16:40 462 982 1076   E NativeCrashListener: Unable to read from debuggerd_x000D_
2018 09 27 13:16:40 496 982 999   I BootReceiver: Copying  data tombstones tombstone 00 to DropBox (SYSTEM TOMBSTONE)_x000D_
2018 09 27 13:16:40 533 982 1289   E SettingsProxyService: Failed to get crash reports setting_x000D_
  details _x000D_
</t>
  </si>
  <si>
    <t>nextcloud-talk-android-314</t>
  </si>
  <si>
    <t>Problems with split-screen and after leaving the app while calling</t>
  </si>
  <si>
    <t>Two problems:_x000D_
_x000D_
  when  closing  the app (pressing the home button) while talking with someone  the call is still active in the background  so far so good  But when you want to go back to the call by pressing the app icon on your launcher  the call stops immediately without any message and the chat opens up  But when you re open the app via  last application screen   then the actual call re opens  Maybe you could align both methods to the same functionality  because now its kind of confusing _x000D_
_x000D_
  when moving the app with an ongoing call in the split screen mode  the video stream crashes  Audio works fine  but video screen only says  connecting    _x000D_
_x000D_
_x000D_
_x000D_
Device: OnePlus 6_x000D_
Android: 8 1 0</t>
  </si>
  <si>
    <t>ThmmyNoLife-mTHMMY-56</t>
  </si>
  <si>
    <t>crash on orientation change in topic</t>
  </si>
  <si>
    <t xml:space="preserve">    Steps to reproduce the problem_x000D_
_x000D_
1  Open a topic_x000D_
2  Try to edit a post or write a reply_x000D_
3  Change the orientation to landscape_x000D_
4  Change the orientation back to portrait_x000D_
5 App crashes_x000D_
_x000D_
    What causes the crash_x000D_
_x000D_
 AutoFitGridLayout (https:  github com ThmmyNoLife mTHMMY blob develop app src main java gr thmmy mthmmy editorview AutoFitGridLayout java L44) auto changes its columnCount to fit as many items as it can in each row  However  when the app goes from portrait to landscape  this value gets smaller  while some of the layout s children have the old layout params which may have larger column index  causeing the crash_x000D_
_x000D_
    How to fix this_x000D_
_x000D_
Replace  AutoFitGridLayout (https:  github com ThmmyNoLife mTHMMY blob develop app src main java gr thmmy mthmmy editorview AutoFitGridLayout java) with a recyclerview that uses a GridLayoutManager</t>
  </si>
  <si>
    <t>niccokunzmann-mundraub-android-162</t>
  </si>
  <si>
    <t>Choosing the plant position always opens at last created plant</t>
  </si>
  <si>
    <t xml:space="preserve">     If you report an app crash  please attach the eu quelltext mundraub log txt file_x000D_
     from the root of your phone s file system     _x000D_
_x000D_
If I would like to place a plant on a certain position more precisely  I would like to have the map opening at the position of this plant  Currently  it opens somewhere else </t>
  </si>
  <si>
    <t>niccokunzmann-mundraub-android-161</t>
  </si>
  <si>
    <t>Map tells that translations could be not loaded although they are loaded</t>
  </si>
  <si>
    <t xml:space="preserve">     If you report an app crash  please attach the eu quelltext mundraub log txt file_x000D_
     from the root of your phone s file system     _x000D_
_x000D_
  D ShowPlantsActivity: WebView: file:   android asset map translations js at line 22: The browser language is de_x000D_
  D ShowPlantsActivity: WebView: file:   android asset map translations js at line 26: loaded translations for en_x000D_
  D ShowPlantsActivity: WebView: file:   android asset map translations js at line 36: loaded translations for de_x000D_
  D ShowPlantsActivity: WebView: file:   android asset map translations js at line 66: All translations are loaded _x000D_
     _x000D_
  WebView: file:   android asset map translations js at line 83: Loading translations timed out _x000D_
_x000D_
is shown although the map loads all translations_x000D_
_x000D_
</t>
  </si>
  <si>
    <t>niccokunzmann-mundraub-android-158</t>
  </si>
  <si>
    <t>Vibrate when plant is closest</t>
  </si>
  <si>
    <t xml:space="preserve">     If you report an app crash  please attach the eu quelltext mundraub log txt file_x000D_
     from the root of your phone s file system     _x000D_
_x000D_
I am most interested in knowing that a plant is nearby when I am closest to it _x000D_
Telling me that it is 100 meters away does not really help me </t>
  </si>
  <si>
    <t>niccokunzmann-mundraub-android-157</t>
  </si>
  <si>
    <t>Change Fruit Radar Notifications when the Settings change</t>
  </si>
  <si>
    <t xml:space="preserve">     If you report an app crash  please attach the eu quelltext mundraub log txt file_x000D_
     from the root of your phone s file system     _x000D_
_x000D_
The Fruit Radar should update which notifications are shown once the settings change:_x000D_
If the range changes  notifications should disappear appear _x000D_
</t>
  </si>
  <si>
    <t>flyve-mdm-android-inventory-library-162</t>
  </si>
  <si>
    <t>Method getCatInfo return null provoking NullPointerException in some cases</t>
  </si>
  <si>
    <t>In this class Utils is getCatInfo method_x000D_
   java_x000D_
public static String getCatInfo(String path)  _x000D_
        try  _x000D_
            Scanner s   new Scanner(new File(path)) _x000D_
            return s next() _x000D_
          catch (Exception e)  _x000D_
            FILog e(e getMessage()) _x000D_
         _x000D_
        return null _x000D_
     _x000D_
   _x000D_
return null_x000D_
_x000D_
Change to string empty to avoid crash</t>
  </si>
  <si>
    <t>google-ExoPlayer-4871</t>
  </si>
  <si>
    <t>SinglePeriodTimeline.getPeriod assertion fails when manipulating playlist</t>
  </si>
  <si>
    <t xml:space="preserve">Before filing an issue:_x000D_
                       _x000D_
      Search existing issues  including issues that are closed _x000D_
      Consult our FAQs  supported devices and supported formats pages  These can be_x000D_
  found at https:  google github io ExoPlayer  _x000D_
      Rule out issues in your own code  A good way to do this is to try and_x000D_
  reproduce the issue in the ExoPlayer demo app _x000D_
      This issue tracker is intended for bugs  feature requests and ExoPlayer_x000D_
  specific questions  If you re asking a general Android development question _x000D_
  please do so on Stack Overflow _x000D_
_x000D_
When reporting a bug:_x000D_
                       _x000D_
     _x000D_
Fill out the sections below  leaving the headers but replacing the content  If_x000D_
you re unable to provide certain information  please explain why in the relevant_x000D_
section  We may close issues if they do not include sufficient information _x000D_
   _x000D_
_x000D_
    Issue description_x000D_
     _x000D_
Describe the issue in detail  including observed and expected behavior _x000D_
   _x000D_
We are manipulating a playlist of local MP4 files through  ConcatenatingMediaSource   When we perform a particular sequence of actions on the list  we incur systematically into an  IndexOutOfBoundsException  when  SinglePeriodTimeline getPeriod  checks index _x000D_
_x000D_
We ve a sample project showing the issue  To the purpose of explanation  consider tracks named as C  D  E  F  G  Every action waits for enough time to let the previous one completed   _x000D_
The sequence of actions is:_x000D_
_x000D_
1  Add initial track (C)  _x000D_
     Once completed  Tracklist is:    C   _x000D_
1  C starts playing  _x000D_
     Tracklist is:     C    _x000D_
1  When C is playing  add second batch of tracks (D  E  F)  _x000D_
     Once completed  Tracklist is:     C      D     E     F   _x000D_
1  While C is still playing  move F to become the next coming track (instead of D) _x000D_
     Once completed  Tracklist is:     C      F     D     E   _x000D_
1  F starts playing  _x000D_
     Tracklist is:    C      F      D     E   _x000D_
1  When F starts playing  remove the other tracks  First C  then D  then E  Each one waiting for completion of previous one_x000D_
     Once completed  Tracklist is:     F    _x000D_
1  Add third batch of tracks (only G) _x000D_
     Here exception is thrown  when traying to add media sources to playlist_x000D_
_x000D_
There are other cases when another assertion fails  when we create a loop source after some playlist manipulation  but those are out of the current scope and we re not able yet to reproduce it systematically _x000D_
_x000D_
_x000D_
    Reproduction steps_x000D_
     _x000D_
Describe how the issue can be reproduced  ideally using the ExoPlayer demo app _x000D_
   _x000D_
Build and run (on emulator or device) the project that will be sent by email  A few seconds after video F starts playing  app will crash with following:_x000D_
_x000D_
   _x000D_
09 26 13:09:36 235 9716 9716 com braincrumbz fatalgetperiod D MainActivity: adding third batch   _x000D_
    	Tracklist is:    F   _x000D_
09 26 13:09:36 238 9716 9716 com braincrumbz fatalgetperiod D AndroidRuntime: Shutting down VM_x000D_
    _x000D_
    _x000D_
              beginning of crash_x000D_
09 26 13:09:36 238 9716 9716 com braincrumbz fatalgetperiod E AndroidRuntime: FATAL EXCEPTION: main_x000D_
    Process: com braincrumbz fatalgetperiod  PID: 9716_x000D_
    java lang IndexOutOfBoundsException_x000D_
        at com google android exoplayer2 util Assertions checkIndex(Assertions java:68)_x000D_
        at com google android exoplayer2 source SinglePeriodTimeline getPeriod(SinglePeriodTimeline java:186)_x000D_
        at com google android exoplayer2 source ConcatenatingMediaSource DeferredTimeline getPeriod(ConcatenatingMediaSource java:841)_x000D_
        at com google android exoplayer2 source AbstractConcatenatedTimeline getPeriod(AbstractConcatenatedTimeline java:176)_x000D_
        at com google android exoplayer2 analytics AnalyticsCollector MediaPeriodQueueTracker updateMediaPeriodToNewTimeline(AnalyticsCollector java:778)_x000D_
        at com google android exoplayer2 analytics AnalyticsCollector MediaPeriodQueueTracker onTimelineChanged(AnalyticsCollector java:724)_x000D_
        at com google android exoplayer2 analytics AnalyticsCollector onTimelineChanged(AnalyticsCollector java:424)_x000D_
        at com google android exoplayer2 ExoPlayerImpl PlaybackInfoUpdate notifyListeners(ExoPlayerImpl java:746)_x000D_
        at com google android exoplayer2 ExoPlayerImpl updatePlaybackInfo(ExoPlayerImpl java:681)_x000D_
        at com google android exoplayer2 ExoPlayerImpl handlePlaybackInfo(ExoPlayerImpl java:622)_x000D_
        at com google android exoplayer2 ExoPlayerImpl handleEvent(ExoPlayerImpl java:567)_x000D_
        at com google android exoplayer2 ExoPlayerImpl 1 handleMessage(ExoPlayerImpl java:109)_x000D_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09 26 13:09:38 752 9716 9806 com braincrumbz fatalgetperiod W SoftwareRenderer: Surface::dequeueBuffer returned error  19_x000D_
    _x000D_
_x000D_
We tried several constructors signatures for  ConcatenatingMediaSource  (atomic or not  different ShuffleOrder) with no luck _x000D_
_x000D_
    Link to test content_x000D_
     _x000D_
Provide a link to media that reproduces the issue  If you don t wish to post it_x000D_
publicly  please submit the issue  then email the link to_x000D_
dev exoplayer gmail com using a subject in the format  Issue  1234  _x000D_
   _x000D_
Please wait for link by email _x000D_
_x000D_
    Version of ExoPlayer being used_x000D_
     _x000D_
Specify the absolute version number  Avoid using terms such as  latest  _x000D_
   _x000D_
 com google android exoplayer:exoplayer core:2 8 2 _x000D_
 com google android exoplayer:exoplayer dash:2 8 2 _x000D_
 com google android exoplayer:exoplayer ui:2 8 2 _x000D_
_x000D_
    Device(s) and version(s) of Android being used_x000D_
     _x000D_
Specify the devices and versions of Android on which the issue can be_x000D_
reproduced  and how easily it reproduces  If possible  please test on multiple_x000D_
devices and Android versions _x000D_
   _x000D_
Emulator  both Nexus 5 API 25 and Nexus 5X API 28 _x000D_
_x000D_
    A full bug report captured from the device_x000D_
     _x000D_
Capture a full bug report using  adb bugreport   Output from  adb logcat  or a_x000D_
log snippet is NOT sufficient  Please attach the captured bug report as a file _x000D_
If you don t wish to post it publicly  please submit the issue  then email the_x000D_
bug report to dev exoplayer gmail com using a subject in the format_x000D_
 Issue  1234  _x000D_
   _x000D_
See  bugreport NYC 2018 09 26 13 19 45 zip  here attached  There s also a logcat  just in case _x000D_
_x000D_
 bugreport NYC 2018 09 26 13 19 45 zip (https:  github com google ExoPlayer files 2419862 bugreport NYC 2018 09 26 13 19 45 zip)_x000D_
 logcat 2018 09 26 13 19 45 txt (https:  github com google ExoPlayer files 2419863 logcat 2018 09 26 13 19 45 txt)_x000D_
_x000D_
_x000D_
Question is: are we doing something wrong  How to avoid this  Thanks _x000D_
</t>
  </si>
  <si>
    <t>mapbox-mapbox-events-android-222</t>
  </si>
  <si>
    <t>Add Exception for Missing FINE Location Permission</t>
  </si>
  <si>
    <t xml:space="preserve">Add an exception that will be thrown when  ACCESS FINE LOCATION  permission is removed and before the  Passive  location engine is started by the service  Prevent potential crash and communicate issue to developer </t>
  </si>
  <si>
    <t>mapbox-mapbox-events-android-221</t>
  </si>
  <si>
    <t>StopTelemetryService obtainBoundInstances bug fix</t>
  </si>
  <si>
    <t>Under certain circumstances   telemetryService  is null and causes a crash when calling  obtainBoundInstances()  within  stopTelemetryService   Add in check to prevent crash _x000D_
_x000D_
Fixes https:  github com mapbox mapbox events android issues 188</t>
  </si>
  <si>
    <t>google-mobly-bundled-snippets-101</t>
  </si>
  <si>
    <t>Fix errors that prevent the apk from building and running</t>
  </si>
  <si>
    <t xml:space="preserve">  Prevent compile time crashing when the user is using Java 10_x000D_
  Fix multidex related run time crash _x000D_
  Fix a typo in  README  
     Reviewable:start    
This change is   img src  https:  reviewable io review button svg  height  34  align  absmiddle  alt  Reviewable    (https:  reviewable io reviews google mobly bundled snippets 101)
     Reviewable:end    
</t>
  </si>
  <si>
    <t>medyo-android-about-page-119</t>
  </si>
  <si>
    <t>IsAppInstalled -&gt; Packagemanager has died</t>
  </si>
  <si>
    <t xml:space="preserve">On some devices the about page crashes  And if it crashes on a device  this is not a one time thing: At those devices it crashes constantly  _x000D_
_x000D_
Fatal Exception: java lang RuntimeException_x000D_
Unable to resume activity  xxx : java lang RuntimeException: Package manager has died_x000D_
android app ActivityThread performResumeActivity (ActivityThread java:4225)_x000D_
com android internal os ZygoteInit main (ZygoteInit java:1120)_x000D_
_x000D_
_x000D_
android app ApplicationPackageManager getPackageInfo (ApplicationPackageManager java:258)_x000D_
mehdi sakout aboutpage AboutPageUtils isAppInstalled (AboutPageUtils java:14)_x000D_
mehdi sakout aboutpage AboutPage addFacebook (AboutPage java:137)_x000D_
mehdi sakout aboutpage AboutPage addFacebook (AboutPage java:115)_x000D_
xxx FragmentAbout onCreateView (FragmentAbout java:57)_x000D_
_x000D_
_x000D_
Maybe this has something to do with: https:  stackoverflow com questions 24253976 android package manager has died with transactiontoolargeexception_x000D_
_x000D_
So maybe those users where it crashes have installed a lot of packages and therefor the limit hits _x000D_
</t>
  </si>
  <si>
    <t>DigitalCampus-oppia-mobile-android-738</t>
  </si>
  <si>
    <t>App crash in Activity view after second screen rotation</t>
  </si>
  <si>
    <t>When viewing course contents  if the device changes orientation twice  it crashes  going back to the course index activity</t>
  </si>
  <si>
    <t>HenriDellal-emerald-dialer-13</t>
  </si>
  <si>
    <t>Crashes when I scroll up in call list</t>
  </si>
  <si>
    <t xml:space="preserve">After the most recent update  Emerald Dialer no longer crashes immediately but still crashes when I scroll up in the historical call list </t>
  </si>
  <si>
    <t>asuc-octo-berkeley-mobile-android-82</t>
  </si>
  <si>
    <t xml:space="preserve">Gym pages crash on load </t>
  </si>
  <si>
    <t xml:space="preserve">  Describe the bug  _x000D_
Gym page crash on load _x000D_
_x000D_
  To Reproduce  _x000D_
Steps to reproduce the behavior:_x000D_
1  Go to gyms page  Crashes within a few seconds _x000D_
_x000D_
  Expected behavior  _x000D_
Display info w o crashing _x000D_
_x000D_
</t>
  </si>
  <si>
    <t>niccokunzmann-mundraub-android-153</t>
  </si>
  <si>
    <t>Map image of plant not showing up</t>
  </si>
  <si>
    <t xml:space="preserve">     If you report an app crash  please attach the eu quelltext mundraub log txt file_x000D_
     from the root of your phone s file system     _x000D_
_x000D_
When I view a plant or edit it  recently  the image of the plant position on the map does not show up </t>
  </si>
  <si>
    <t>fossasia-phimpme-android-2174</t>
  </si>
  <si>
    <t>App crashes on editing image after compressing it.</t>
  </si>
  <si>
    <t xml:space="preserve">  Actual Behaviour  _x000D_
_x000D_
App crashes on trying to edit image after compressing it by dimension _x000D_
_x000D_
  Expected Behaviour  _x000D_
_x000D_
App must not crash and user should be able to edit image after compressing it _x000D_
  _x000D_
  Steps to reproduce it  _x000D_
_x000D_
1  Open the app and select any image _x000D_
2  Compress the image by dimension _x000D_
3  After the image is compressed click on the edit button  the app crashes (BUG)_x000D_
_x000D_
  Would you like to work on the issue   _x000D_
_x000D_
Yes </t>
  </si>
  <si>
    <t>cgeo-cgeo-7142</t>
  </si>
  <si>
    <t>Livemap crashes on small (WQVGA) devices</t>
  </si>
  <si>
    <t xml:space="preserve">      Detailed steps causing the problem:_x000D_
  Start an emulator with the configuration  3 4 WQVGA  (I additionally used API 16)_x000D_
  Open the livemap_x000D_
_x000D_
      Actual behavior after performing these steps:_x000D_
App crashes_x000D_
_x000D_
_x000D_
      Expected behavior after performing these steps:_x000D_
Livemap should be open_x000D_
_x000D_
_x000D_
      Version of c:geo used:_x000D_
current master   local build_x000D_
_x000D_
      Is the problem reproducible for you _x000D_
Yes_x000D_
_x000D_
_x000D_
      System information:_x000D_
   _x000D_
    System information    _x000D_
Device: Android SDK built for x86 (google sdk x86  generic x86)_x000D_
Android version: 4 1 2_x000D_
Android build: google sdk x86 eng 4 1 2 MASTER 3876218 test keys_x000D_
c:geo version: 2018 09 22 aff6338 developer build_x000D_
Google Play services: unavailable_x000D_
Low power mode: inactive_x000D_
Compass capabilities: yes_x000D_
Rotation vector sensor: absent_x000D_
Orientation sensor: present_x000D_
Magnetometer   Accelerometer sensor: present_x000D_
Direction sensor used: magnetometer   accelerometer_x000D_
Hide own found: false_x000D_
Map strategy: auto_x000D_
HW acceleration: disabled (default state)_x000D_
System language: en US_x000D_
System date format: M d yyyy_x000D_
Debug mode active: no_x000D_
System internal c:geo dir:  data data cgeo geocaching (633 2 MB free) internal_x000D_
User storage c:geo dir:  data data cgeo geocaching (633 2 MB free) internal_x000D_
Geocache data:  data data cgeo geocaching GeocacheData (633 2 MB free) internal_x000D_
Database:  data data cgeo geocaching databases data (148 0 KB) on system internal storage_x000D_
Fine location permission: granted_x000D_
Write external storage permission: granted_x000D_
Geocaching sites enabled:_x000D_
   geocaching com: Not logged in (No Login information stored)_x000D_
Geocaching com date format: MM dd yyyy_x000D_
Installed c:geo plugins:  none_x000D_
    End of system information    _x000D_
   _x000D_
_x000D_
_x000D_
      Other comments and remarks:_x000D_
Quickfix here: https:  github com ControlTheBit cgeo commits livemap wqvga display fix_x000D_
I will create a PR for this if needed   _x000D_
</t>
  </si>
  <si>
    <t>react-native-svg-react-native-svg-789</t>
  </si>
  <si>
    <t>Removing child elements causes crash (Android, 7.0.3)</t>
  </si>
  <si>
    <t xml:space="preserve">I m running into issues when I try to remove a child from an  Svg  element  _x000D_
_x000D_
Platform: Android_x000D_
react native: 0 57 0_x000D_
react native svg: 7 0 3_x000D_
_x000D_
Here s a picture of the error:_x000D_
 img src  https:  user images githubusercontent com 1190457 45911085 f5420700 bddc 11e8 97be 6acfcbc264d8 png  width  400    _x000D_
_x000D_
It appears that React is trying to manage the removal of one of the native SVG components  but you ve already removed it  but I m not too familiar with React Native development _x000D_
_x000D_
Here s the reproduction code  Click the button at the top to add the line  then click again to cause the crash _x000D_
   JavaScript_x000D_
import React from  react  _x000D_
import   Button  Dimensions  StyleSheet  View    from  react native  _x000D_
import Svg    Polyline   from  react native svg  _x000D_
_x000D_
const   width  height     Dimensions get( window ) _x000D_
_x000D_
export default class SVGFail extends React Component  _x000D_
  constructor(props)  _x000D_
    super(props) _x000D_
    this state    _x000D_
      showLine: false_x000D_
      _x000D_
   _x000D_
_x000D_
  toggleLine   ()     _x000D_
    this setState(  showLine:  this state showLine  ) _x000D_
   _x000D_
_x000D_
  render()  _x000D_
    const   showLine     this state _x000D_
    return (_x000D_
       View_x000D_
        style  styles container _x000D_
       _x000D_
         Button_x000D_
          title  Toggle Line _x000D_
          onPress  this toggleLine _x000D_
          _x000D_
         Svg_x000D_
          width  width _x000D_
          height  height _x000D_
         _x000D_
           showLine   (_x000D_
             Polyline_x000D_
              points   10 10 100 100 150 100 100 150  _x000D_
              fill  none _x000D_
              stroke  red _x000D_
              strokeWidth  1 _x000D_
              _x000D_
          ) : (_x000D_
            null_x000D_
          ) _x000D_
          Svg _x000D_
        View _x000D_
    ) _x000D_
   _x000D_
 _x000D_
_x000D_
const styles   StyleSheet create( _x000D_
  container:  _x000D_
    flex: 1 _x000D_
    flexDirection:  column  _x000D_
    backgroundColor:  beige  _x000D_
    _x000D_
 ) _x000D_
   _x000D_
_x000D_
  UPDATE:  _x000D_
After some debugging  the error occurs in NativeViewHierarchyManager java when React tries to remove the child from the SvgView  but there isn t a child in SvgView to remove  Well  SvgView overrides the  addView  method and only adds children if they are not instances of  RenderableView   which means that somehow SvgView never ends up with children  despite displaying the content  I m not familiar enough with the code base to be able to help more _x000D_
_x000D_
  UPDATE 2:  _x000D_
Everything works when I wrap my polylines with a   G   tag  which is great  but this is still a valid bug _x000D_
</t>
  </si>
  <si>
    <t>niccokunzmann-mundraub-android-151</t>
  </si>
  <si>
    <t>Notifications do not disappear</t>
  </si>
  <si>
    <t xml:space="preserve">     If you report an app crash  please attach the eu quelltext mundraub log txt file_x000D_
     from the root of your phone s file system     _x000D_
_x000D_
The notifications about plants in range do not disappear when the plant is out of range  it seams _x000D_
Also  the GPS position does not update in the notification but it should </t>
  </si>
  <si>
    <t>MozillaReality-FirefoxReality-564</t>
  </si>
  <si>
    <t>FxR freeze on back button press after clean install</t>
  </si>
  <si>
    <t xml:space="preserve">   Hardware_x000D_
      Include the name and version of the hardware VR headset you experienced the bug in     _x000D_
Go_x000D_
   Steps to Reproduce_x000D_
      For bugs  please provide a link to a live web site  test page  or a rough set of    _x000D_
      steps to reproduce this bug  If relevant  include code to reproduce     _x000D_
      Feel free to attach images and GIFs of screen captures     _x000D_
1  Do a clean install of FxR_x000D_
2  Press back button on controller_x000D_
_x000D_
   Current Behavior_x000D_
      If describing a bug  tell us what happens instead of the expected behavior     _x000D_
      If suggesting a change improvement  explain the difference from current behavior     _x000D_
FxR freezes in a call to  AInputQueue preDispatchEvent() _x000D_
_x000D_
   Expected Behavior_x000D_
      If you re describing a bug  tell us what should happen     _x000D_
      If you re suggesting a change improvement  tell us how it should work     _x000D_
The back button should bring up the exit continue system menu _x000D_
   Solutions_x000D_
It might be possible to optionally have the Gecko crash reporter not register for the SIGILL signal on Oculus systems _x000D_
   Context_x000D_
       Optional     _x000D_
      How has this issue affected you  What are you trying to accomplish     _x000D_
      Providing context helps us come up with a solution that is most useful in the real world  :)    _x000D_
The issue appears to be be a race condition between Gecko and Oculus runtime for registering signal handlers  This is related to the back button crashes we were seeing on first run previously  The issue is as follows  If Gecko registers its crash reporting signal handler first and then Oculus registers their signal handler for the back button and home button  everything works as expected  However  if Oculus registers their signal handler first and Gecko register the crash reporter signal handler second  the render loop hangs in the android call AInputQueue preDispatchEvent()  Under normal conditions Gecko registers first and every thing works  The reason this is triggered on first run (or anytime libxul so gets updated more specifically) has to do with how GeckoView packages libxul so _x000D_
_x000D_
The Gecko libraries such as libxul so and its dependancies are stored in the APK and on launch  some glue code looks in the APKs assets directory for libxul so and compares it to the one zipped into the APK  If they are different  the glue code unzips the libxul so into the assets directory  This unzipping of libxul so delays the registration of the crash reporter signal handler long enough that it happens after Oculus has registered their signal handler _x000D_
_x000D_
What isn t known is who is actually at fault  The problem could be with Gecko s signal handler or it could be with Oculus  At present we do not have a solution for this problem _x000D_
_x000D_
The previous cause of this crash on first run was caused by the GeckoProfile registering a signal handler  If it registered first  every thing worked  If it was second  we got the crash  I worked around it by disabling the signal handler in the GeckoProfile on oculus  We obviously don t have that option this time </t>
  </si>
  <si>
    <t>nikita36078-J2ME-Loader-384</t>
  </si>
  <si>
    <t>Playman extreme running</t>
  </si>
  <si>
    <t xml:space="preserve">  Emulator version:  _x000D_
1 3 3 play_x000D_
_x000D_
  Game version:  _x000D_
_x000D_
1 1 2_x000D_
  Game resolution:  _x000D_
_x000D_
240x320_x000D_
  Device:  _x000D_
Moto g4 play_x000D_
_x000D_
  Android version:  _x000D_
7 1_x000D_
  Description of the issue:  _x000D_
In the most times the game freezers in select phase menu and sometimes crashes in certains phases_x000D_
_x000D_
</t>
  </si>
  <si>
    <t>niccokunzmann-mundraub-android-150</t>
  </si>
  <si>
    <t>Cannot set GPS position with GPS button on map</t>
  </si>
  <si>
    <t xml:space="preserve">     If you report an app crash  please attach the eu quelltext mundraub log txt file_x000D_
     from the root of your phone s file system     _x000D_
_x000D_
If I click the GPS button  the map does not move to the GPS position and it flashes all the time _x000D_
This happens although the GPS symbol is filled and a GPS position should be given </t>
  </si>
  <si>
    <t>niccokunzmann-mundraub-android-149</t>
  </si>
  <si>
    <t>Remove spaces in description</t>
  </si>
  <si>
    <t xml:space="preserve">     If you report an app crash  please attach the eu quelltext mundraub log txt file_x000D_
     from the root of your phone s file system     _x000D_
_x000D_
F Droid shows a description of the app  However  there are always empty lines mixed in _x000D_
These should be removed </t>
  </si>
  <si>
    <t>haiwen-seadroid-758</t>
  </si>
  <si>
    <t>Crash when uploading a file from seafile android app</t>
  </si>
  <si>
    <t xml:space="preserve">When Choosing  Add       Upload file  the app crashes each time   Several crash reports via android crash reporting has been already sent </t>
  </si>
  <si>
    <t>nextcloud-android-3073</t>
  </si>
  <si>
    <t>Crash viewing text file Nextcloud Dev 20180915</t>
  </si>
  <si>
    <t xml:space="preserve">    Actual behaviour_x000D_
  upon opening any text file Nextcloud Dev 20180915 crashes_x000D_
_x000D_
Nextcloud stable doesn t crash_x000D_
_x000D_
    Expected behaviour_x000D_
  Integrated text editor should open without crash_x000D_
 _x000D_
    Steps to reproduce_x000D_
1  Open Nextcloud Dev 20180915_x000D_
2  Navigate to directory containing a  txt file_x000D_
3  See crash_x000D_
_x000D_
_x000D_
    Environment data_x000D_
Android version: 7 0_x000D_
_x000D_
Device model: Motorola G5_x000D_
_x000D_
Stock or customized system: Stock_x000D_
_x000D_
Nextcloud app version: Dev 20180915_x000D_
_x000D_
Nextcloud server version: 13 0 6_x000D_
_x000D_
    Logs_x000D_
N A</t>
  </si>
  <si>
    <t>google-blockly-android-746</t>
  </si>
  <si>
    <t>Crash switching variables on set statements (NPE)</t>
  </si>
  <si>
    <t xml:space="preserve">I have seen this crash at least 3 times and it is quite replicable  but not 100 _x000D_
_x000D_
Steps to replicate:_x000D_
  Add 2 set  variable  to  value  pieces_x000D_
  Swap the variable name of one_x000D_
  Swap the variable name of the other_x000D_
_x000D_
Not sure if there needs to be more than 3 variables  if the other pieces on the workspace are relevant  or if they need to be connected  but each time I ve tried to build a relatively complex program involving 3 variables it has crashed at some point _x000D_
_x000D_
Something like this is what I was trying to write:_x000D_
_x000D_
   _x000D_
position   0_x000D_
increasing   false_x000D_
_x000D_
if (increasing)  _x000D_
   position   position  1_x000D_
   if (position    max)  _x000D_
      increasing   false_x000D_
    _x000D_
 _x000D_
else  _x000D_
   position   position  1_x000D_
   if (position    min)  _x000D_
      increasing   true_x000D_
    _x000D_
 _x000D_
   _x000D_
_x000D_
This is the stack trace I am getting:_x000D_
_x000D_
java lang NullPointerException: Attempt to invoke virtual method  boolean com google blockly android control WorkspaceStats VariableInfoImpl removeField(com google blockly model FieldVariable)  on a null object reference_x000D_
        at com google blockly android control WorkspaceStats 1 onValueChanged(WorkspaceStats java:52)_x000D_
        at com google blockly model Field 1 run(Field java:240)_x000D_
        at com google blockly model Block runAsPossibleEventGroup(Block java:1318)_x000D_
        at com google blockly model Field runAsPossibleEventGroup(Field java:252)_x000D_
        at com google blockly model Field fireValueChanged(Field java:232)_x000D_
        at com google blockly model FieldVariable setVariable(FieldVariable java:74)_x000D_
        at com google blockly android ui fieldview BasicFieldVariableView setSelection(BasicFieldVariableView java:116)_x000D_
        at android widget Spinner DropdownPopup 1 onItemClick(Spinner java:1186)_x000D_
        at android widget AdapterView performItemClick(AdapterView java:318)_x000D_
        at android widget AbsListView performItemClick(AbsListView java:1158)_x000D_
        at android widget AbsListView PerformClick run(AbsListView java:3127)_x000D_
        at android widget AbsListView 3 run(AbsListView java:4042)_x000D_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01 01 00:37:43 678 3437 3437 com plattysoft blocklyrainbowhat I Process: Sending signal  PID: 3437 SIG: 9_x000D_
</t>
  </si>
  <si>
    <t>niccokunzmann-mundraub-android-145</t>
  </si>
  <si>
    <t>Downloading markers is really slow</t>
  </si>
  <si>
    <t xml:space="preserve">     If you report an app crash  please attach the eu quelltext mundraub log txt file_x000D_
     from the root of your phone s file system     _x000D_
It takes quite a time to download all markers on an old phone but the size of the database is smaller than 10mb _x000D_
_x000D_
Possible solution ideas:_x000D_
  download an SQL database_x000D_
  download a prepared file which can be loaded very fast_x000D_
_x000D_
Side effects:_x000D_
  this is a separate project to collect plant markers from maps  It does not need to be included in the app and is independent </t>
  </si>
  <si>
    <t>niccokunzmann-mundraub-android-144</t>
  </si>
  <si>
    <t>App name is MyPlants</t>
  </si>
  <si>
    <t xml:space="preserve">     If you report an app crash  please attach the eu quelltext mundraub log txt file_x000D_
     from the root of your phone s file system     _x000D_
_x000D_
The name of the app is My Plants in Version 1 90 on F Droid _x000D_
https:  f droid org de packages eu quelltext mundraub _x000D_
_x000D_
Somehow the title is not used  Maybe it is the name of the first activity _x000D_
_x000D_
Related:  137 </t>
  </si>
  <si>
    <t>niccokunzmann-mundraub-android-143</t>
  </si>
  <si>
    <t>Mundraub downloads markers from unknown category</t>
  </si>
  <si>
    <t xml:space="preserve">     If you report an app crash  please attach the eu quelltext mundraub log txt file_x000D_
     from the root of your phone s file system     _x000D_
_x000D_
When going offline  Mundraub retrives markers from https:  mundraub org cluster plant bbox 0 0  90 0 180 0 0 zoom 18 cat null _x000D_
However  null is not a category to use </t>
  </si>
  <si>
    <t>getodk-collect-2552</t>
  </si>
  <si>
    <t>Non-question object at form index when rank questions are in field-list</t>
  </si>
  <si>
    <t xml:space="preserve">     Software and hardware versions _x000D_
Collect v1 16 4_x000D_
_x000D_
     Problem description_x000D_
Collect crashes when trying to rank items in a field list:_x000D_
_x000D_
   _x000D_
    java lang RuntimeException: Invalid query for Question prompt  Non Question object at the form index_x000D_
        at org javarosa form api FormEntryModel getQuestionPrompt(FormEntryModel java:170)_x000D_
        at org javarosa form api FormEntryModel getQuestionPrompt(FormEntryModel java:182)_x000D_
        at org odk collect android logic FormController getQuestionPrompt(FormController java:882)_x000D_
        at org odk collect android adapters RankingListAdapter onBindViewHolder(RankingListAdapter java:59)_x000D_
        at org odk collect android adapters RankingListAdapter onBindViewHolder(RankingListAdapter java:40)_x000D_
        at android support v7 widget RecyclerView Adapter onBindViewHolder(RecyclerView java:6673)_x000D_
        at android support v7 widget RecyclerView Adapter bindViewHolder(RecyclerView java:6714)_x000D_
        at android support v7 widget RecyclerView Recycler tryBindViewHolderByDeadline(RecyclerView java:5647)_x000D_
        at android support v7 widget RecyclerView Recycler tryGetViewHolderForPositionByDeadline(RecyclerView java:5913)_x000D_
   _x000D_
_x000D_
     Steps to reproduce the problem_x000D_
1  Launch a form with rank questions in a field list such as  rank field list xml txt (https:  github com opendatakit collect files 2399161 rank field list xml txt)_x000D_
1  Start ranking and see a crash_x000D_
_x000D_
     Expected behavior_x000D_
No crash _x000D_
</t>
  </si>
  <si>
    <t>MozillaReality-FirefoxReality-556</t>
  </si>
  <si>
    <t>Crash in ui.RestartDialogWidget.handleRestartApp</t>
  </si>
  <si>
    <t xml:space="preserve">   Hardware_x000D_
Daydream  all devices (Lenovo Mirage Solo and clip ins)_x000D_
_x000D_
   Error Logs and Stack Traces_x000D_
This is currently our top crash : )_x000D_
_x000D_
 details open _x000D_
_x000D_
      DO NOT REMOVE THIS LINE     _x000D_
   _x000D_
java lang NullPointerException: _x000D_
 _x000D_
  at org mozilla vrbrowser ui RestartDialogWidget handleRestartApp (RestartDialogWidget java:92)_x000D_
 _x000D_
  at org mozilla vrbrowser ui RestartDialogWidget access 100 (RestartDialogWidget java:19)_x000D_
 _x000D_
  at org mozilla vrbrowser ui RestartDialogWidget 1 1 run (RestartDialogWidget java:57)_x000D_
 _x000D_
  at android os Handler handleCallback (Handler java:789)_x000D_
 _x000D_
  at android os Handler dispatchMessage (Handler java:98)_x000D_
 _x000D_
  at android os Looper loop (Looper java:164)_x000D_
 _x000D_
  at android app ActivityThread main (ActivityThread java:6721)_x000D_
 _x000D_
  at java lang reflect Method invoke (Native Method)_x000D_
 _x000D_
  at com android internal os Zygote MethodAndArgsCaller run (Zygote java:240)_x000D_
 _x000D_
  at com android internal os ZygoteInit main (ZygoteInit java:769)_x000D_
   _x000D_
      DO NOT REMOVE THIS LINE     _x000D_
_x000D_
  details _x000D_
</t>
  </si>
  <si>
    <t>iFixit-dozuki-android-13</t>
  </si>
  <si>
    <t>Media Manager Crashes</t>
  </si>
  <si>
    <t xml:space="preserve">From Eurovia_x000D_
_x000D_
  The application crashed several times when I tried open the media manager _x000D_
When creating a guide  I tried to upload a picture by using my camera  The application opened the default camera  I managed to take the picture  but the image did not save under media manager  Instead the application crashed  I ran this test several times _x000D_
</t>
  </si>
  <si>
    <t>0xpr03-VocableTrainer-Android-40</t>
  </si>
  <si>
    <t>Crash on Training with pre 0.6 Lists</t>
  </si>
  <si>
    <t xml:space="preserve">  Describe the bug  _x000D_
Lists created for VTA   0 6  are crashing in training for classic modes   _x000D_
Quick mode displays  null  for  Additional    _x000D_
Lists created after upgrading to    0 6  work without any issues  All lists can be edited without any issues _x000D_
_x000D_
If version 0 6 is the limit then definitely the  additional  introduction is making problems _x000D_
_x000D_
It is worth noting that this bug is probably of no concern any more  current users already had to deal with this issue or will never have this problem _x000D_
_x000D_
  To Reproduce  _x000D_
Currently investigating  it seems to be as follows:_x000D_
1  Create lists with VAT   0 6 _x000D_
2  Update VAT_x000D_
3  (Create additional new lists)_x000D_
4  Start training with Classic Mode_x000D_
5  Click Solve_x000D_
6  Crash_x000D_
_x000D_
  Expected behaviour  _x000D_
No Crash  no  null  for additionals _x000D_
_x000D_
  Additional context  _x000D_
Possible problem during database upgrade or handling or trainer with old entries _x000D_
</t>
  </si>
  <si>
    <t>Jigsaw-Code-Intra-67</t>
  </si>
  <si>
    <t>Crash on GMS update</t>
  </si>
  <si>
    <t xml:space="preserve">Intra crashes if there s a relevant systemwide GMS update   The logs show_x000D_
_x000D_
  ChimeraModuleLdr: Module config changed  forcing restart due to module com google android gms flags_x000D_
  Process : Sending signal  PID: 10926 SIG: 9_x000D_
   _x000D_
  ActivityManager: Service done with onDestroy  but not inDestroying: ServiceRecord 7f1640d u0 com google android gms  icing service AppIndexingService   app ProcessRecord ca2b025 0:com google android gms u0a22 _x000D_
   _x000D_
  lowmemorykiller: Error writing  proc 10926 oom score adj  errno 22_x000D_
  ActivityManager: Exception when unbinding service app intra  DnsVpnService_x000D_
  ActivityManager: android os DeadObjectException_x000D_
  ActivityManager:       at android os BinderProxy transactNative(Native Method)_x000D_
  ActivityManager:       at android os BinderProxy transact(Binder java:1127)_x000D_
  ActivityManager:       at android app IApplicationThread Stub Proxy scheduleUnbindService(IApplicationThread java:1100)_x000D_
  ActivityManager:       at com android server am ActiveServices removeConnectionLocked(ActiveServices java:2894)_x000D_
  ActivityManager:       at com android server am ActiveServices unbindServiceLocked(ActiveServices java:1758)_x000D_
  ActivityManager:       at com android server am ActivityManagerService unbindService(ActivityManagerService java:20538)_x000D_
  ActivityManager:       at android app ContextImpl unbindService(ContextImpl java:1695)_x000D_
  ActivityManager:       at com android server connectivity Vpn 3 interfaceRemoved(Vpn java:1417)_x000D_
  ActivityManager:       at com android server NetworkManagementService lambda notifyInterfaceRemoved 3(NetworkManagementService java:482)_x000D_
  ActivityManager:       at com android server    Lambda NetworkManagementService FsR UD5xfj4hgrwGdX74wq881Bk sendCallback(Unknown Source:2)_x000D_
  ActivityManager:       at com android server NetworkManagementService invokeForAllObservers(NetworkManagementService java:442)_x000D_
  ActivityManager:       at com android server NetworkManagementService notifyInterfaceRemoved(NetworkManagementService java:482)_x000D_
  ActivityManager:       at com android server NetworkManagementService access 700(NetworkManagementService java:137)_x000D_
  ActivityManager:       at com android server NetworkManagementService NetdCallbackReceiver onEvent(NetworkManagementService java:821)_x000D_
  ActivityManager:       at com android server NativeDaemonConnector handleMessage(NativeDaemonConnector java:160)_x000D_
  ActivityManager:       at android os Handler dispatchMessage(Handler java:102)_x000D_
  ActivityManager:       at android os Looper loop(Looper java:193)_x000D_
  ActivityManager:       at android os HandlerThread run(HandlerThread java:65)_x000D_
  ActivityManager:       at com android server ServiceThread run(ServiceThread java:44)_x000D_
  Vpn     : setting state DISCONNECTED  reason agentDisconnect_x000D_
  ConnectivityService: NetworkAgentInfo  VPN ()   142  EVENT NETWORK INFO CHANGED  going from CONNECTED to DISCONNECTED_x000D_
  ConnectivityService: NetworkAgentInfo  VPN ()   142  got DISCONNECTED  was satisfying 9 0_x000D_
_x000D_
It looks like GMS does  kill  9  on all affected apps before an update   Most apps restart after the update completes  but this doesn t appear to apply to our foreground service _x000D_
_x000D_
GMS updates are relatively infrequent ( once a month) but this is still unfortunate and worth investigating _x000D_
_x000D_
The appearance of  lowmemorykiller  in the logs is interesting  but it may just indicate a cleanup operation that is failing because the process no longer exists after  kill  9    Similarly  the  DeadObjectException  likely indicates that the system is trying to notify Intra that the VPN has been disconnected  but Intra is no longer running </t>
  </si>
  <si>
    <t>dariuszseweryn-RxAndroidBle-482</t>
  </si>
  <si>
    <t>Fatal Bug: IllegalArgumentException in UUIDUtil</t>
  </si>
  <si>
    <t xml:space="preserve">    Summary_x000D_
Active BLE scan over a long period of time (4  minutes)  right after another device is discovered  I get a fatal exception  java lang IllegalArgumentException: Bad position 96 62 _x000D_
_x000D_
The full stack trace follows:_x000D_
   _x000D_
09 18 10:10:29 973 14580 14580 E AndroidRuntime: FATAL EXCEPTION: main_x000D_
09 18 10:10:29 973 14580 14580 E AndroidRuntime: java lang IllegalArgumentException: Bad position 96 62_x000D_
09 18 10:10:29 973 14580 14580 E AndroidRuntime: 	at java nio Buffer position(Buffer java:249)_x000D_
09 18 10:10:29 973 14580 14580 E AndroidRuntime: 	at com polidea rxandroidble internal util UUIDUtil extractUUIDs(UUIDUtil java:100)_x000D_
09 18 10:10:29 973 14580 14580 E AndroidRuntime: 	at com polidea rxandroidble internal operations LegacyScanOperation 1 onLeScan(LegacyScanOperation java:39)_x000D_
09 18 10:10:29 973 14580 14580 E AndroidRuntime: 	at android bluetooth BluetoothAdapter 2 onScanResult(BluetoothAdapter java:2468)_x000D_
09 18 10:10:29 973 14580 14580 E AndroidRuntime: 	at android bluetooth le BluetoothLeScanner BleScanCallbackWrapper 1 run(BluetoothLeScanner java:477)_x000D_
09 18 10:10:29 973 14580 14580 E AndroidRuntime: 	at android os Handler handleCallback(Handler java:789)_x000D_
09 18 10:10:29 973 14580 14580 E AndroidRuntime: 	at android os Handler dispatchMessage(Handler java:98)_x000D_
09 18 10:10:29 973 14580 14580 E AndroidRuntime: 	at android os Looper loop(Looper java:164)_x000D_
09 18 10:10:29 973 14580 14580 E AndroidRuntime: 	at android app ActivityThread main(ActivityThread java:6592)_x000D_
09 18 10:10:29 973 14580 14580 E AndroidRuntime: 	at java lang reflect Method invoke(Native Method)_x000D_
09 18 10:10:29 973 14580 14580 E AndroidRuntime: 	at com android internal os Zygote MethodAndArgsCaller run(Zygote java:240)_x000D_
09 18 10:10:29 973 14580 14580 E AndroidRuntime: 	at com android internal os ZygoteInit main(ZygoteInit java:769)_x000D_
   _x000D_
_x000D_
From the best I can tell  the extractUUIDs method in UUIDutil can get in a state where the buffer position is off  and without a try catch guard against the bad position request  the exception is thrown  Apologies in advance for not knowing the specifics of how extractUUIDs works and why the buffer position would be off  Happy to provide more diagnostic information if helpful  as I m able to reproduce with some frequency _x000D_
_x000D_
    Library version_x000D_
RxAndroidBle 1 6 0_x000D_
used in_x000D_
react native ble plx 0 10 0_x000D_
_x000D_
     Preconditions_x000D_
Device exhibiting error: Moto X4  Android 8 0_x000D_
_x000D_
     Steps to reproduce actual result_x000D_
 br   1  Start BLE scan (startDeviceScan) in presence of many devices  allowDuplicates is set to true_x000D_
 br   2  Continue scanning over long period of time_x000D_
 br   3  Wait for crash_x000D_
</t>
  </si>
  <si>
    <t>balsikandar-Robin-10</t>
  </si>
  <si>
    <t>I have the crash of my app without any exception</t>
  </si>
  <si>
    <t xml:space="preserve">I always see the lines like this in the LogCat:_x000D_
   _x000D_
E Robin  MainActivity: Key: myKey value : 1_x000D_
E zygote64: The String value field is not present on Android versions    6 0_x000D_
   _x000D_
The crash disappears when I remove the Robin_x000D_
 </t>
  </si>
  <si>
    <t>google-ExoPlayer-4834</t>
  </si>
  <si>
    <t>Clearkey multi session problem</t>
  </si>
  <si>
    <t xml:space="preserve">Before filing an issue:_x000D_
                       _x000D_
  Search existing issues  including issues that are closed _x000D_
  Consult our FAQs  supported devices and supported formats pages  These can be_x000D_
  found at https:  google github io ExoPlayer  _x000D_
  Rule out issues in your own code  A good way to do this is to try and_x000D_
  reproduce the issue in the ExoPlayer demo app _x000D_
  This issue tracker is intended for bugs  feature requests and ExoPlayer_x000D_
  specific questions  If you re asking a general Android development question _x000D_
  please do so on Stack Overflow _x000D_
_x000D_
When reporting a bug:_x000D_
                       _x000D_
Fill out the sections below  leaving the headers but replacing the content  If_x000D_
you re unable to provide certain information  please explain why in the relevant_x000D_
section  We may close issues if they do not include sufficient information _x000D_
_x000D_
    Issue description_x000D_
I was trying to create a playlist of clearkey videos  I have my own local drm callback  that provides the right key  Single videos played fine  After creating a playlist  I noticed  that local drm callback is called only for the first video and the next ones try to use the same key  which does not work _x000D_
_x000D_
Then I ve enabled multisession and the application crashed (android media MediaDrm MediaDrmStateException: Failed to set property: Unsupported scheme or data format) at line: _x000D_
 mediaDrm setPropertyString( sessionSharing    enable )   in DefaultDrmSessionManager java_x000D_
_x000D_
If I comment that line out  everything works fine (drm callback is called for every video in the playlist) _x000D_
_x000D_
    Reproduction steps_x000D_
Add this to the demo player medialist:_x000D_
 _x000D_
         name :  Clearkey  _x000D_
         uri :  https:  dileque si test stream mpd  _x000D_
         drm scheme :  clearkey  _x000D_
         drm multi session : true_x000D_
 _x000D_
_x000D_
and set the drmCallback to:_x000D_
   _x000D_
LocalMediaDrmCallback drmCallback   new LocalMediaDrmCallback(_x000D_
            (    keys  :    kty  :  oct     k  :  kUymJmQI24JtIPh1R9qk1A     kid  :  QUxNQUVTTE9WRU5BMDAwMQ       type  :  temporary    ) getBytes()) _x000D_
   _x000D_
in PlayerActivity s buildDrmSessionManagerV18_x000D_
_x000D_
    Link to test content_x000D_
Look above _x000D_
_x000D_
    Version of ExoPlayer being used_x000D_
2 8 4_x000D_
_x000D_
    Device(s) and version(s) of Android being used_x000D_
Xiaomi Mi A1 (Android One)  Android 8 1_x000D_
_x000D_
    A full bug report captured from the device_x000D_
Will send it to email _x000D_
_x000D_
</t>
  </si>
  <si>
    <t>nextcloud-android-3049</t>
  </si>
  <si>
    <t>[3.3.0RC3] crashing when viewing a picture</t>
  </si>
  <si>
    <t xml:space="preserve">    Actual behaviour_x000D_
Crash when I try to view the image (I wanted to share it but never get a chance)_x000D_
_x000D_
    Expected behaviour_x000D_
Please don t crash   )_x000D_
 _x000D_
    Steps to reproduce_x000D_
1  took picture_x000D_
2  go to the folder view and try to view it_x000D_
3  booooom_x000D_
_x000D_
    Environment data_x000D_
Android version: 8 0 0_x000D_
plus  Samsung Experience 9 0 _x000D_
_x000D_
Device model: Samsung Galaxy S7_x000D_
Stock  unrooted _x000D_
_x000D_
Nextcloud app version: 3 3 0RC3_x000D_
_x000D_
Nextcloud server version: 14 0 0_x000D_
_x000D_
    Logs_x000D_
     Web server error log_x000D_
_x000D_
   note: also crashes when network is OFF  Thumbnail preview shows in grid and list view  just opening the image   BOOM _x000D_
_x000D_
Image in question:_x000D_
_x000D_
https:  cloud nextcloud com s 4B7JJTP8ciwFC5T</t>
  </si>
  <si>
    <t>niccokunzmann-mundraub-android-136</t>
  </si>
  <si>
    <t>Plant without position chooses the best position automatically without message box</t>
  </si>
  <si>
    <t xml:space="preserve">     If you report an app crash  please attach the eu quelltext mundraub log txt file_x000D_
     from the root of your phone s file system     _x000D_
_x000D_
If the plant has no position  opening the map opens it at the last plant position _x000D_
However  there is no message box displaying this behavior _x000D_
There should be one </t>
  </si>
  <si>
    <t>niccokunzmann-mundraub-android-135</t>
  </si>
  <si>
    <t>Even if chosen by map, the position of the plant is still unknown</t>
  </si>
  <si>
    <t xml:space="preserve">     If you report an app crash  please attach the eu quelltext mundraub log txt file_x000D_
     from the root of your phone s file system     _x000D_
_x000D_
When I choose a position of a plant by the map _x000D_
the resulting position is still saved as unknown to JSON _x000D_
This leads to the app asking if the plant should be moved on the map _x000D_
Instead  it should be a map position </t>
  </si>
  <si>
    <t>ankidroid-Anki-Android-4977</t>
  </si>
  <si>
    <t>Crash in DeckPicker after CardBrowser on clean install</t>
  </si>
  <si>
    <t xml:space="preserve">       Reproduction Steps_x000D_
_x000D_
1  Clean install of current alpha  no decks_x000D_
2  Not sure if it s important  but click floating menu  get shared decks  then just back button immediately (it was in the repro and doesn t take long)_x000D_
3  Click the hamburger and select Card Browser_x000D_
4  Click the hamburger again and go to Deck list_x000D_
_x000D_
_x000D_
       Expected Result_x000D_
_x000D_
You should see the Default deck and no cards_x000D_
_x000D_
_x000D_
       Actual Result_x000D_
_x000D_
Crash_x000D_
_x000D_
_x000D_
       Debug info_x000D_
_x000D_
This is from that same roboelectric test harness someone throws at our alphas (awesome work  that) _x000D_
_x000D_
https:  play google com apps publish  account 5338425030304417978 PreLaunchReportPlace:p com ichi2 anki appid 4973711737547064258 plrtab CRASH plrvc 20900135_x000D_
_x000D_
09 17 10:13:14 046 1712 3619 system process I ActivityManager: START u0  cmp com ichi2 anki  CardBrowser (has extras)  from uid 10136_x000D_
09 17 10:13:14 050 16163 16163 com ichi2 anki D DeckPicker: onPause()_x000D_
09 17 10:13:14 055 16163 16163 com ichi2 anki D CardBrowser: onCreate()_x000D_
09 17 10:13:14 067 16163 16168 com ichi2 anki I zygote: Do partial code cache collection  code 219KB  data 147KB_x000D_
09 17 10:13:14 068 16163 16168 com ichi2 anki I zygote: After code cache collection  code 219KB  data 147KB_x000D_
    Increasing code cache capacity to 1024KB_x000D_
09 17 10:13:14 083 16163 16163 com ichi2 anki D AnkiActivity: AnkiActivity startLoadingCollection()_x000D_
09 17 10:13:14 084 16163 16163 com ichi2 anki D CardBrowser: onCollectionLoaded()_x000D_
09 17 10:13:14 094 16163 16182 com ichi2 anki D DeckTask: doInBackgroundSearchCards_x000D_
09 17 10:13:14 094 16163 16163 com ichi2 anki D CardBrowser: onResume()_x000D_
09 17 10:13:14 095 16163 16163 com ichi2 anki D DialogHandler: Reading persistent message_x000D_
09 17 10:13:14 115 1428 1428   D gralloc ranchu: gralloc alloc: Creating ashmem region of size 8298496_x000D_
09 17 10:13:14 121 1428 1428   I chatty: uid 1000(system) allocator 2 0 s identical 1 line_x000D_
09 17 10:13:14 125 1428 1428   D gralloc ranchu: gralloc alloc: Creating ashmem region of size 8298496_x000D_
09 17 10:13:14 155 16163 16168 com ichi2 anki I zygote: JIT allocated 56KB for compiled code of void android view View  init (android content Context  android util AttributeSet  int  int)_x000D_
09 17 10:13:14 166 16163 16163 com ichi2 anki I CardBrowser: CardBrowser:: Completed doInBackgroundSearchCards Successfuly_x000D_
09 17 10:13:14 166 16163 16163 com ichi2 anki D AndroidRuntime: Shutting down VM_x000D_
    _x000D_
    _x000D_
              beginning of crash_x000D_
09 17 10:13:14 167 16163 16163 com ichi2 anki E AndroidRuntime: FATAL EXCEPTION: main_x000D_
    Process: com ichi2 anki  PID: 16163_x000D_
    java lang NullPointerException: Attempt to invoke virtual method  boolean android support v7 widget SearchView isIconified()  on a null object reference_x000D_
        at com ichi2 anki CardBrowser 20 onPostExecute(CardBrowser java:1364)_x000D_
        at com ichi2 async DeckTask TaskListener onPostExecute(DeckTask java:1521)_x000D_
        at com ichi2 async DeckTask onPostExecute(DeckTask java:376)_x000D_
        at com ichi2 async DeckTask onPostExecute(DeckTask java:69)_x000D_
        at android os AsyncTask finish(AsyncTask java:695)_x000D_
        at android os AsyncTask  wrap1(Unknown Source:0)_x000D_
        at android os AsyncTask InternalHandler handleMessage(AsyncTask java:712)_x000D_
        at android os Handler dispatchMessage(Handler java:105)_x000D_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t>
  </si>
  <si>
    <t>ankidroid-Anki-Android-4975</t>
  </si>
  <si>
    <t>Crash on Manage Note Types</t>
  </si>
  <si>
    <t xml:space="preserve">       Reproduction Steps_x000D_
_x000D_
1  open current alpha_x000D_
2  from deck picker  click top right 3 dot menu  select  manage note types _x000D_
3  pick any note type_x000D_
_x000D_
_x000D_
       Expected Result_x000D_
_x000D_
You go to the type editor_x000D_
_x000D_
_x000D_
       Actual Result_x000D_
_x000D_
crash_x000D_
_x000D_
_x000D_
       Debug info_x000D_
_x000D_
09 17 01:25:21 379 28777 28777 com ichi2 anki E AndroidRuntime: FATAL EXCEPTION: main_x000D_
    Process: com ichi2 anki  PID: 28777_x000D_
    java lang RuntimeException: Unable to start activity ComponentInfo com ichi2 anki com ichi2 anki ModelFieldEditor : java lang NullPointerException: Attempt to invoke virtual method  void android widget ListView setAdapter(android widget ListAdapter)  on a null object reference_x000D_
        at android app ActivityThread performLaunchActivity(ActivityThread java:2646)_x000D_
        at android app ActivityThread handleLaunchActivity(ActivityThread java:2707)_x000D_
        at android app ActivityThread  wrap12(ActivityThread java)_x000D_
        at android app ActivityThread H handleMessage(ActivityThread java:1460)_x000D_
        at android os Handler dispatchMessage(Handler java:102)_x000D_
        at android os Looper loop(Looper java:154)_x000D_
        at android app ActivityThread main(ActivityThread java:6077)_x000D_
        at java lang reflect Method invoke(Native Method)_x000D_
        at com android internal os ZygoteInit MethodAndArgsCaller run(ZygoteInit java:866)_x000D_
        at com android internal os ZygoteInit main(ZygoteInit java:756)_x000D_
     Caused by: java lang NullPointerException: Attempt to invoke virtual method  void android widget ListView setAdapter(android widget ListAdapter)  on a null object reference_x000D_
        at com ichi2 anki ModelFieldEditor createfieldLabels(ModelFieldEditor java:140)_x000D_
        at com ichi2 anki ModelFieldEditor onCollectionLoaded(ModelFieldEditor java:125)_x000D_
        at com ichi2 anki AnkiActivity startLoadingCollection(AnkiActivity java:255)_x000D_
        at com ichi2 anki ModelFieldEditor onCreate(ModelFieldEditor java:81)_x000D_
        at android app Activity performCreate(Activity java:6662)_x000D_
        at android app Instrumentation callActivityOnCreate(Instrumentation java:1118)_x000D_
_x000D_
_x000D_
       Research_x000D_
It looks like someone runs a big automated UI test using roboelectric espresso on our alphas  which is kind of neat   I saw it there from the prelaunch report_x000D_
https:  play google com apps publish  account 5338425030304417978 PreLaunchReportPlace:p com ichi2 anki plrvc 20900133 plrtab CRASH</t>
  </si>
  <si>
    <t>MCMrARM-revolution-irc-156</t>
  </si>
  <si>
    <t>Notifications crash the application on Android 4.4 or lower</t>
  </si>
  <si>
    <t>Revolution IRC 0 4 1 will crash if a NOTICE message is received  whether is sent by a bot when joining a channel that is configured to send a message on user join  or a notice send by a user  the application will crash _x000D_
_x000D_
Edit: Android version: 4 2 2</t>
  </si>
  <si>
    <t>TeamNewPipe-NewPipe-1727</t>
  </si>
  <si>
    <t>exception after closing popup</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</si>
  <si>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I get an exception when I try to close a popup video _x000D_
_x000D_
Steps to reproduce: _x000D_
0: start a video playback in popup mode_x000D_
1: tap down on the video to make the close button appear_x000D_
2: while you re still tapping on the video press the close button simultaneously_x000D_
3: an exception will occur_x000D_
_x000D_
I think the issue is that new pipe thinks I m trying to resize the window but I m just trying to close the popup video  Unfortunatley the close button disappears too quickly for me so I have to keep tapping on the popup window  It would be cool if the time it takes for the close button to disappear could be extended _x000D_
_x000D_
Stack trace:_x000D_
   Exception_x000D_
    User Action:   ui error_x000D_
    Request:   App crash  UI failure_x000D_
    Content Language:   GB_x000D_
    Service:   none_x000D_
    Version:   0 14 1_x000D_
    OS:   Linux Android 8 0 0   26_x000D_
_x000D_
   _x000D_
java lang NullPointerException: Attempt to invoke virtual method  android widget TextView org schabi newpipe player PopupVideoPlayer VideoPlayerImpl getResizingIndicator()  on a null object reference_x000D_
	at org schabi newpipe player PopupVideoPlayer PopupWindowGestureListener onTouch(PopupVideoPlayer java:1070)_x000D_
	at android view View dispatchTouchEvent(View java:12536)_x000D_
	at android view ViewGroup dispatchTransformedTouchEvent(ViewGroup java:3153)_x000D_
	at android view ViewGroup dispatchTouchEvent(ViewGroup java:2829)_x000D_
	at android view View dispatchPointerEvent(View java:12788)_x000D_
	at android view ViewRootImpl ViewPostImeInputStage processPointerEvent(ViewRootImpl java:5670)_x000D_
	at android view ViewRootImpl ViewPostImeInputStage onProcess(ViewRootImpl java:5465)_x000D_
	at android view ViewRootImpl InputStage deliver(ViewRootImpl java:4958)_x000D_
	at android view ViewRootImpl InputStage onDeliverToNext(ViewRootImpl java:5011)_x000D_
	at android view ViewRootImpl InputStage forward(ViewRootImpl java:4977)_x000D_
	at android view ViewRootImpl AsyncInputStage forward(ViewRootImpl java:5114)_x000D_
	at android view ViewRootImpl InputStage apply(ViewRootImpl java:4985)_x000D_
	at android view ViewRootImpl AsyncInputStage apply(ViewRootImpl java:5171)_x000D_
	at android view ViewRootImpl InputStage deliver(ViewRootImpl java:4958)_x000D_
	at android view ViewRootImpl InputStage onDeliverToNext(ViewRootImpl java:5011)_x000D_
	at android view ViewRootImpl InputStage forward(ViewRootImpl java:4977)_x000D_
	at android view ViewRootImpl InputStage apply(ViewRootImpl java:4985)_x000D_
	at android view ViewRootImpl InputStage deliver(ViewRootImpl java:4958)_x000D_
	at android view ViewRootImpl deliverInputEvent(ViewRootImpl java:7736)_x000D_
	at android view ViewRootImpl doProcessInputEvents(ViewRootImpl java:7676)_x000D_
	at android view ViewRootImpl enqueueInputEvent(ViewRootImpl java:7637)_x000D_
	at android view ViewRootImpl WindowInputEventReceiver onInputEvent(ViewRootImpl java:7847)_x000D_
	at android view InputEventReceiver dispatchInputEvent(InputEventReceiver java:197)_x000D_
	at android os MessageQueue nativePollOnce(Native Method)_x000D_
	at android os MessageQueue next(MessageQueue java:325)_x000D_
	at android os Looper loop(Looper java:142)_x000D_
	at android app ActivityThread main(ActivityThread java:6944)_x000D_
	at java lang reflect Method invoke(Native Method)_x000D_
	at com android internal os Zygote MethodAndArgsCaller run(Zygote java:327)_x000D_
	at com android internal os ZygoteInit main(ZygoteInit java:1374)_x000D_
_x000D_
                   _x000D_
_x000D_
   _x000D_
_x000D_
edit: this could be related to https:  github com TeamNewPipe NewPipe issues 1707 (or even be the same issue) but the stack trace looked different so I posted it as new issue </t>
  </si>
  <si>
    <t>stefan-niedermann-nextcloud-notes-477</t>
  </si>
  <si>
    <t>Crash when cutting title</t>
  </si>
  <si>
    <t xml:space="preserve">Hi _x000D_
_x000D_
1  Create a new note with the following text:_x000D_
   Test _x000D_
2  Select either everything or everything but the number sign (the space must be selected) _x000D_
3  Press  Cut   The app should crash _x000D_
_x000D_
Nextcloud Notes 0 22_x000D_
AnysoftKeyboard 1 9 2055_x000D_
LineageOS 15 1 Android 8 1 0_x000D_
_x000D_
Crashes on olders version of the app too (down to 0 14 2 at least  didn t try earlier than that) </t>
  </si>
  <si>
    <t>nextcloud-android-3046</t>
  </si>
  <si>
    <t>App crashes everytime after opening</t>
  </si>
  <si>
    <t xml:space="preserve">    Actual behaviour_x000D_
  Tell us what happens_x000D_
directly after opening of the app  it crashes  _x000D_
_x000D_
    Expected behaviour_x000D_
  Tell us what should happen_x000D_
 _x000D_
    Steps to reproduce_x000D_
1  open_x000D_
2  wait one or three seconds _x000D_
3  crash_x000D_
4  afterwards a banner with a request of a report appears _x000D_
_x000D_
_x000D_
    Environment data_x000D_
Android version: 6 0 1_x000D_
_x000D_
Device model: one plus one_x000D_
_x000D_
Stock or customized system: cyanogen 13 1 2_x000D_
_x000D_
Nextcloud app version: 3 2 4_x000D_
_x000D_
Nextcloud server version: 13 0 6_x000D_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</si>
  <si>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Catfriend1-syncthing-android-55</t>
  </si>
  <si>
    <t>android.view.ViewRootImpl$CalledFromWrongThreadException if key generation failed</t>
  </si>
  <si>
    <t xml:space="preserve">    Description of the issue_x000D_
Reported by  Avamander in  44 _x000D_
Quote:  Catfriend1  the app crashes on the key generation screen _x000D_
_x000D_
    Reproducer_x000D_
Run app for the first time  Simulate key generation to fail  App will crash then instead of showing a message _x000D_
_x000D_
    Version Information_x000D_
    App Version: 0 14 51 rc3 2_x000D_
    Syncthing Version: v0 14 51 rc 3_x000D_
    Android Version: Android 7 1 2_x000D_
_x000D_
    Android Log_x000D_
   Java_x000D_
E AndroidRuntime( 9864): FATAL EXCEPTION: AsyncTask  1_x000D_
E AndroidRuntime( 9864): Process: com github catfriend1 syncthingandroid debug  PID: 9864_x000D_
E AndroidRuntime( 9864): java lang RuntimeException: An error occured while executing doInBackground()_x000D_
E AndroidRuntime( 9864):        at android os AsyncTask 3 done(AsyncTask java:300)_x000D_
E AndroidRuntime( 9864):        at java util concurrent FutureTask finishCompletion(FutureTask java:355)_x000D_
E AndroidRuntime( 9864):        at java util concurrent FutureTask setException(FutureTask java:222)_x000D_
E AndroidRuntime( 9864):        at java util concurrent FutureTask run(FutureTask java:242)_x000D_
E AndroidRuntime( 9864):        at java util concurrent ThreadPoolExecutor runWorker(ThreadPoolExecutor java:1112)_x000D_
E AndroidRuntime( 9864):        at java util concurrent ThreadPoolExecutor Worker run(ThreadPoolExecutor java:587)_x000D_
E AndroidRuntime( 9864):        at java lang Thread run(Thread java:841)_x000D_
E AndroidRuntime( 9864): Caused by: android view ViewRootImpl CalledFromWrongThreadException: Only the original thread that created a view hierarchy can touch its views _x000D_
E AndroidRuntime( 9864):        at android view ViewRootImpl checkThread(ViewRootImpl java:6027)_x000D_
E AndroidRuntime( 9864):        at android view ViewRootImpl requestLayout(ViewRootImpl java:820)_x000D_
E AndroidRuntime( 9864):        at android view View requestLayout(View java:16455)_x000D_
E AndroidRuntime( 9864):        at android view View requestLayout(View java:16455)_x000D_
E AndroidRuntime( 9864):        at android view View requestLayout(View java:16455)_x000D_
E AndroidRuntime( 9864):        at android view View requestLayout(View java:16455)_x000D_
E AndroidRuntime( 9864):        at android widget RelativeLayout requestLayout(RelativeLayout java:352)_x000D_
E AndroidRuntime( 9864):        at android view View requestLayout(View java:16455)_x000D_
E AndroidRuntime( 9864):        at android view View requestLayout(View java:16455)_x000D_
E AndroidRuntime( 9864):        at android widget RelativeLayout requestLayout(RelativeLayout java:352)_x000D_
E AndroidRuntime( 9864):        at android view View requestLayout(View java:16455)_x000D_
E AndroidRuntime( 9864):        at android view View requestLayout(View java:16455)_x000D_
E AndroidRuntime( 9864):        at android widget TextView checkForRelayout(TextView java:6600)_x000D_
E AndroidRuntime( 9864):        at android widget TextView setText(TextView java:3813)_x000D_
E AndroidRuntime( 9864):        at android widget TextView setText(TextView java:3671)_x000D_
E AndroidRuntime( 9864):        at android widget TextView setText(TextView java:3646)_x000D_
E AndroidRuntime( 9864):        at com nutomic syncthingandroid activities FirstStartActivity KeyGenerationTask doInBackground(FirstStartActivity java:484)_x000D_
E AndroidRuntime( 9864):        at com nutomic syncthingandroid activities FirstStartActivity KeyGenerationTask doInBackground(FirstStartActivity java:465)_x000D_
E AndroidRuntime( 9864):        at android os AsyncTask 2 call(AsyncTask java:288)_x000D_
E AndroidRuntime( 9864):        at java util concurrent FutureTask run(FutureTask java:237)_x000D_
E AndroidRuntime( 9864):            3 more_x000D_
W ActivityManager(  600):   Force finishing activity com github catfriend1 syncthingandroid debug com nutomic syncthingandroid activities FirstStartActivity_x000D_
   _x000D_
</t>
  </si>
  <si>
    <t>Catfriend1-syncthing-android-50</t>
  </si>
  <si>
    <t>Ignoring a device leads to wrapper crash</t>
  </si>
  <si>
    <t xml:space="preserve">    Description of the issue_x000D_
Ignoring a device leads to a crash  accept still works _x000D_
_x000D_
    Reproducer_x000D_
Let a new device connect to your mobile syncthing 0 14 51 instance  Hit the  ignore  button on the notification   Crash _x000D_
_x000D_
    Version Information_x000D_
    App Version: 0 14 51 rc3 1 4157_x000D_
    Syncthing Version: v0 14 51_x000D_
    Android Version: Android 7 1 2_x000D_
_x000D_
</t>
  </si>
  <si>
    <t>google-ExoPlayer-4814</t>
  </si>
  <si>
    <t>Internal runtime error while adding new source to ConcatenatingMediaSource</t>
  </si>
  <si>
    <t xml:space="preserve">So  I just updated from version_x000D_
implementation  com google android exoplayer:exoplayer core:2 8 1 _x000D_
implementation  com google android exoplayer:exoplayer hls:2 8 1 _x000D_
to version_x000D_
implementation  com google android exoplayer:exoplayer core:2 8 4 _x000D_
implementation  com google android exoplayer:exoplayer hls:2 8 4 _x000D_
And on most devices and emulators application started crashing  even tho it s still works fine on my main OnePlus 3 Android 8 0 _x000D_
_x000D_
Exception occurs once I add an additional data source( s) to ConcatenatingMediaSource in order to start preloading process of the next clips _x000D_
Here is first exception:_x000D_
   _x000D_
09 14 10:46:49 718 E ExoPlayerImplInternal: Internal runtime error _x000D_
    java lang IllegalStateException_x000D_
        at com google android exoplayer2 util Assertions checkState(Assertions java:81)_x000D_
        at com google android exoplayer2 source hls playlist DefaultHlsPlaylistTracker start(DefaultHlsPlaylistTracker java:99)_x000D_
        at com google android exoplayer2 source hls HlsMediaSource prepareSourceInternal(HlsMediaSource java:373)_x000D_
        at com google android exoplayer2 source BaseMediaSource prepareSource(BaseMediaSource java:137)_x000D_
        at com google android exoplayer2 source CompositeMediaSource prepareChildSource(CompositeMediaSource java:109)_x000D_
        at com google android exoplayer2 source ConcatenatingMediaSource addMediaSourceInternal(ConcatenatingMediaSource java:554)_x000D_
        at com google android exoplayer2 source ConcatenatingMediaSource handleMessage(ConcatenatingMediaSource java:468)_x000D_
        at com google android exoplayer2 ExoPlayerImplInternal deliverMessage(ExoPlayerImplInternal java:861)_x000D_
        at com google android exoplayer2 ExoPlayerImplInternal sendMessageToTarget(ExoPlayerImplInternal java:829)_x000D_
        at com google android exoplayer2 ExoPlayerImplInternal sendMessageInternal(ExoPlayerImplInternal java:811)_x000D_
        at com google android exoplayer2 ExoPlayerImplInternal handleMessage(ExoPlayerImplInternal java:328)_x000D_
        at android os Handler dispatchMessage(Handler java:98)_x000D_
        at android os Looper loop(Looper java:154)_x000D_
        at android os HandlerThread run(HandlerThread java:61) _x000D_
_x000D_
And here is the second one  that happens right after the first  internal  one:_x000D_
 09 14 10:46:49 860 E AndroidRuntime: FATAL EXCEPTION: ExoPlayerImplInternal:Handler_x000D_
    Process: media soundstream soundstream  PID: 8193_x000D_
    java lang NullPointerException: Attempt to invoke virtual method  void com google android exoplayer2 upstream Loader release()  on a null object reference_x000D_
        at com google android exoplayer2 source hls playlist DefaultHlsPlaylistTracker stop(DefaultHlsPlaylistTracker java:113)_x000D_
        at com google android exoplayer2 source hls HlsMediaSource releaseSourceInternal(HlsMediaSource java:404)_x000D_
        at com google android exoplayer2 source BaseMediaSource releaseSource(BaseMediaSource java:150)_x000D_
        at com google android exoplayer2 source CompositeMediaSource releaseSourceInternal(CompositeMediaSource java:65)_x000D_
        at com google android exoplayer2 source ConcatenatingMediaSource releaseSourceInternal(ConcatenatingMediaSource java:423)_x000D_
        at com google android exoplayer2 source BaseMediaSource releaseSource(BaseMediaSource java:150)_x000D_
        at com google android exoplayer2 ExoPlayerImplInternal resetInternal(ExoPlayerImplInternal java:802)_x000D_
        at com google android exoplayer2 ExoPlayerImplInternal stopInternal(ExoPlayerImplInternal java:731)_x000D_
        at com google android exoplayer2 ExoPlayerImplInternal handleMessage(ExoPlayerImplInternal java:353)_x000D_
        at android os Handler dispatchMessage(Handler java:98)_x000D_
        at android os Looper loop(Looper java:154)_x000D_
        at android os HandlerThread run(HandlerThread java:61)_x000D_
   _x000D_
_x000D_
I checked out the source code of DefaultHlsPlaylistTracker and I am kinda confused  The only place where initialPlaylistLoader sets to non null value is   right after it gets checked on being non null and Exception gets thrown _x000D_
_x000D_
Thank you in advance </t>
  </si>
  <si>
    <t>ksheremet-CocktailsPro-10</t>
  </si>
  <si>
    <t>App stops with an OutOfMemoryException when switching from portrait mode to landscape and back multiple times</t>
  </si>
  <si>
    <t>2018 09 14 13:57:10 168 23199 23269 ch sheremet katarina cocktailspro E CrashlyticsCore: Failed to execute task _x000D_
    java util concurrent ExecutionException: java lang OutOfMemoryError: OutOfMemoryError thrown while trying to throw OutOfMemoryError  no stack trace available_x000D_
        at java util concurrent FutureTask report(FutureTask java:94)_x000D_
        at java util concurrent FutureTask get(FutureTask java:164)_x000D_
        at com crashlytics android core CrashlyticsBackgroundWorker submitAndWait(CrashlyticsBackgroundWorker java:43)_x000D_
        at com crashlytics android core CrashlyticsController handleUncaughtException(CrashlyticsController java:321)_x000D_
        at com crashlytics android core CrashlyticsController 6 onUncaughtException(CrashlyticsController java:301)_x000D_
        at com crashlytics android core CrashlyticsUncaughtExceptionHandler uncaughtException(CrashlyticsUncaughtExceptionHandler java:42)_x000D_
        at java lang ThreadGroup uncaughtException(ThreadGroup java:1068)_x000D_
        at java lang ThreadGroup uncaughtException(ThreadGroup java:1063)_x000D_
     Caused by: java lang OutOfMemoryError: OutOfMemoryError thrown while trying to throw OutOfMemoryError  no stack trace available</t>
  </si>
  <si>
    <t>niccokunzmann-mundraub-android-124</t>
  </si>
  <si>
    <t>F-Droid does not update the app</t>
  </si>
  <si>
    <t xml:space="preserve">     If you report an app crash  please attach the eu quelltext mundraub log txt file_x000D_
     from the root of your phone s file system     _x000D_
_x000D_
The last build of  F Droid (https:  f droid org en packages eu quelltext mundraub ) on the website is version  1 47 (https:  github com niccokunzmann mundraub android releases tag v1 47) from 4th of September _x000D_
Why does F Droid not build the app </t>
  </si>
  <si>
    <t>ankidroid-Anki-Android-4959</t>
  </si>
  <si>
    <t>App upgrades crash frequently on class changes in async code</t>
  </si>
  <si>
    <t>From the google play console  there are quite a few instances of crashes that have to do with classcast or incompatible class change etc that all start with the Handler   I m wondering if we shouldn t protect the handler callbacks to make sure they can gracefully handle anything   _x000D_
_x000D_
Here s an example (from 2  8 4):_x000D_
_x000D_
java lang IncompatibleClassChangeError: _x000D_
  at android support design widget CoordinatorLayout  clinit  (CoordinatorLayout java:148)_x000D_
  at java lang reflect Constructor newInstance0 (Native Method)_x000D_
  at java lang reflect Constructor newInstance (Constructor java:334)_x000D_
  at android view LayoutInflater createView (LayoutInflater java:658)_x000D_
  at android view LayoutInflater createViewFromTag (LayoutInflater java:801)_x000D_
  at android view LayoutInflater parseInclude (LayoutInflater java:976)_x000D_
  at android view LayoutInflater rInflate (LayoutInflater java:870)_x000D_
  at android view LayoutInflater rInflateChildren (LayoutInflater java:835)_x000D_
  at android view LayoutInflater inflate (LayoutInflater java:515)_x000D_
  at android view LayoutInflater inflate (LayoutInflater java:423)_x000D_
  at android view LayoutInflater inflate (LayoutInflater java:374)_x000D_
  at android support v7 app AppCompatDelegateImplV9 setContentView (AppCompatDelegateImplV9 java:288)_x000D_
  at android support v7 app AppCompatActivity setContentView (AppCompatActivity java:143)_x000D_
  at com ichi2 anki DeckPicker onCreate (DeckPicker java:365)_x000D_
  at android app Activity performCreate (Activity java:7372)_x000D_
  at android app Instrumentation callActivityOnCreate (Instrumentation java:1218)_x000D_
  at android app ActivityThread performLaunchActivity (ActivityThread java:3147)_x000D_
  at android app ActivityThread handleLaunchActivity (ActivityThread java:3302)_x000D_
  at android app ActivityThread  wrap12 (Unknown Source)_x000D_
  at android app ActivityThread H handleMessage (ActivityThread java:1891)_x000D_
  at android os Handler dispatchMessage (Handler java:108)_x000D_
  at android os Looper loop (Looper java:166)_x000D_
  at android app ActivityThread main (ActivityThread java:7425)_x000D_
  at java lang reflect Method invoke (Native Method)_x000D_
  at com android internal os Zygote MethodAndArgsCaller run (Zygote java:245)_x000D_
  at com android internal os ZygoteInit main (ZygoteInit java:921)</t>
  </si>
  <si>
    <t>AniTrend-anitrend-app-84</t>
  </si>
  <si>
    <t>Application Crash While Trying To Login</t>
  </si>
  <si>
    <t xml:space="preserve">  AniTrend Issue_x000D_
_x000D_
Before opening a new issue  please take a moment to review our    community guidelines   (https:  github com AniTrend anitrend app blob master CONTRIBUTING md) to make the contribution process easy and effective for everyone involved _x000D_
_x000D_
  Before opening a new issue  you may find an answer in already closed issues  :_x000D_
https:  github com AniTrend anitrend app issues q is 3Aissue is 3Aclosed_x000D_
_x000D_
_x000D_
   Issue Type_x000D_
      Tell us what should happen    _x000D_
_x000D_
   x  Bug_x000D_
      Feature_x000D_
_x000D_
  Current Behaviour_x000D_
      Tell us what happens instead of the expected behaviour    _x000D_
_x000D_
Application crashes immediately after tapping on the login entry in the navigation drawer_x000D_
_x000D_
  Failure Information (for bugs)_x000D_
_x000D_
Please help provide information about the failure if this is a bug  If it is not a bug  please remove the rest of this template _x000D_
_x000D_
   Steps to Reproduce_x000D_
      Provide a link to a live example  or an unambiguous set of steps to    _x000D_
      reproduce this bug  Include code to reproduce  if relevant    _x000D_
_x000D_
1  Open navigation drawer_x000D_
2  Tap on  Sign In _x000D_
3  Application will hang for a second then crash_x000D_
_x000D_
   Context_x000D_
      How has this issue affected you  What are you trying to accomplish     _x000D_
      Providing context helps us come up with a solution that is most useful in the real world    _x000D_
_x000D_
  OS Version: 4 2 X_x000D_
  Phone Model: Duos 2_x000D_
  Phone Brand: Samsung_x000D_
_x000D_
   Failure Logs_x000D_
      Please include any relevant log snippets or files here  if any otherwise remove this heading section    _x000D_
   log_x000D_
Fatal Exception: java lang RuntimeException: Unable to start activity ComponentInfo com mxt anitrend com mxt anitrend view activity index LoginActivity : android view InflateException: Binary XML file line  18: Error inflating class  unknown _x000D_
       at android app ActivityThread performLaunchActivity(ActivityThread java:2320)_x000D_
       at android app ActivityThread handleLaunchActivity(ActivityThread java:2372)_x000D_
Caused by android content res Resources NotFoundException: File res drawable material curve xml from drawable resource ID  0x7f080151_x000D_
       at android content res Resources loadDrawable(Resources java:1993)_x000D_
       at android content res TypedArray getDrawable(TypedArray java:601)_x000D_
Caused by java lang UnsupportedOperationException: Can t convert to color: type 0x2_x000D_
       at android content res TypedArray getColor(TypedArray java:326)_x000D_
       at android graphics drawable GradientDrawable inflate(GradientDrawable java:967)_x000D_
       at android graphics drawable Drawable createFromXmlInner(Drawable java:885)_x000D_
       at android graphics drawable Drawable createFromXml(Drawable java:822)_x000D_
   _x000D_
_x000D_
</t>
  </si>
  <si>
    <t>k9mail-k-9-3614</t>
  </si>
  <si>
    <t>Crash / fc upon trying to export settings</t>
  </si>
  <si>
    <t xml:space="preserve">    Expected behavior_x000D_
Having installed and configured K 9 V 5 600 I tried to export my settings_x000D_
_x000D_
    Actual behavior_x000D_
the app immediately crashes   closes with a pop up letting me choose between  close app    restart app  and  give feedback _x000D_
_x000D_
    Steps to reproduce_x000D_
1  open app to the  accounts  screen_x000D_
2  hit  3 bullets  then  export import settings then export settings_x000D_
3  app crashes right away_x000D_
_x000D_
    Environment_x000D_
K 9 Mail version: 5 600_x000D_
_x000D_
Android version:_x000D_
7 1 2 root   LineageOS 14 1_x000D_
_x000D_
Device:_x000D_
Sony Xperia X1c (amami)_x000D_
_x000D_
Account type (IMAP  POP3  WebDAV Exchange):_x000D_
IMAP  3 accounts</t>
  </si>
  <si>
    <t>niccokunzmann-mundraub-android-114</t>
  </si>
  <si>
    <t>[JavaScript] Do not display old markers on the map (race condition)</t>
  </si>
  <si>
    <t xml:space="preserve">     If you report an app crash  please attach the eu quelltext mundraub log txt file_x000D_
     from the root of your phone s file system     _x000D_
_x000D_
The map queries for markers _x000D_
If the map is moved while the query goes on  markers are added twice _x000D_
Please only add the markers for the latest query </t>
  </si>
  <si>
    <t>deltachat-deltachat-android-542</t>
  </si>
  <si>
    <t>implement global search</t>
  </si>
  <si>
    <t>the global search from the conversation list is still buggy _x000D_
entering  2  on my machine crashes in toPhoneString() with the error Not e164</t>
  </si>
  <si>
    <t>mendhak-gpslogger-675</t>
  </si>
  <si>
    <t>Sharing file causes android.os.FileUriExposedException</t>
  </si>
  <si>
    <t>When sharing a file via the bottom sharing icon   app crashes with this exception:_x000D_
_x000D_
  Process: com mendhak gpslogger  PID: 21951_x000D_
      android os FileUriExposedException: file:   storage emulated 0 Android data com mendhak gpslogger files 20180912 gpx exposed beyond app through ClipData Item getUri()_x000D_
          at android os StrictMode onFileUriExposed(StrictMode java:1958)_x000D_
          at android net Uri checkFileUriExposed(Uri java:2356)_x000D_
          at android content ClipData prepareToLeaveProcess(ClipData java:941)_x000D_
          at android content Intent prepareToLeaveProcess(Intent java:9735)_x000D_
          at android content Intent prepareToLeaveProcess(Intent java:9741)_x000D_
          at android content Intent prepareToLeaveProcess(Intent java:9720)_x000D_
          at android app Instrumentation execStartActivity(Instrumentation java:1795)_x000D_
          at android app Activity startActivityForResult(Activity java:4495)_x000D_
          at android support v4 app BaseFragmentActivityApi16 startActivityForResult(BaseFragmentActivityApi16 java:54)_x000D_
          at android support v4 app FragmentActivity startActivityForResult(FragmentActivity java:68)_x000D_
          at android app Activity startActivityForResult(Activity java:4453)_x000D_
          at android support v4 app FragmentActivity startActivityForResult(FragmentActivity java:751)_x000D_
          at android app Activity startActivity(Activity java:4814)_x000D_
          at android app Activity startActivity(Activity java:4782)_x000D_
          at com mendhak gpslogger GpsMainActivity 14 onSelection(GpsMainActivity java:1127)_x000D_
          at com afollestad materialdialogs MaterialDialog sendMultiChoiceCallback(MaterialDialog java:393)_x000D_
          at com afollestad materialdialogs MaterialDialog onClick(MaterialDialog java:416)_x000D_
          at android view View performClick(View java:6303)_x000D_
          at android view View PerformClick run(View java:24828)_x000D_
          at android os Handler handleCallback(Handler java:789)_x000D_
          at android os Handler dispatchMessage(Handler java:98)_x000D_
          at android os Looper loop(Looper java:164)_x000D_
          at android app ActivityThread main(ActivityThread java:6798)_x000D_
          at java lang reflect Method invoke(Native Method)_x000D_
          at com android internal os Zygote MethodAndArgsCaller run(Zygote java:240)_x000D_
          at com android internal os ZygoteInit main(ZygoteInit java:767)</t>
  </si>
  <si>
    <t>TheRedSpy15-LTECleanerFOSS-22</t>
  </si>
  <si>
    <t>NullPointerException (cause of 90 percent of crashes) - Need Help</t>
  </si>
  <si>
    <t xml:space="preserve">   (https:  i imgur com eWMAeWi jpg)
Google play console is putting this as the cause behind 90 percent of the crashes in the app
Unfortunately  I am struggling to fix it  any help is greatly appreciated</t>
  </si>
  <si>
    <t>0xpr03-VocableTrainer-Android-39</t>
  </si>
  <si>
    <t>Crash on List Selection dialog in Import with raw data</t>
  </si>
  <si>
    <t xml:space="preserve">  Describe the bug  _x000D_
Crash on list selection dialog return in Import due to change in VList from  Serializable  to  Parcelable   giving an invalid return _x000D_
_x000D_
  To Reproduce  _x000D_
Steps to reproduce the behavior:_x000D_
1  Go to Import_x000D_
2  Select import List of raw data_x000D_
3  Choose  Append to List _x000D_
4  Select List_x000D_
5  App Crash_x000D_
_x000D_
  Expected behavior  _x000D_
No crash  List is selected_x000D_
</t>
  </si>
  <si>
    <t>martykan-forecastie-287</t>
  </si>
  <si>
    <t>Custom date format causes crashes</t>
  </si>
  <si>
    <t xml:space="preserve">If you enter a custom date format  Forecastie crashes  Whenever you open the settings page to change it back  it crashes again  The only fix is to reinstall the app _x000D_
_x000D_
The date format I used was   E  y  M  D  H: m   Maybe the percent symbols caused the bug  I m not sure  </t>
  </si>
  <si>
    <t>nextcloud-android-3021</t>
  </si>
  <si>
    <t>App (All versions)  crashes frequently if there are files/folders in the user folder root that are shared in chat</t>
  </si>
  <si>
    <t xml:space="preserve">    Actual behaviour_x000D_
  The app crashes randomly in most screens where there are files folders  Started happening after server was upgraded to 14_x000D_
_x000D_
The error seems to be _x000D_
   _x000D_
android java lang IllegalArgumentException: Empty values_x000D_
at android database sqlite SQLiteDatabase updateWithOnConflict(SQLiteDatabase java:1619)_x000D_
   _x000D_
_x000D_
    Expected behaviour_x000D_
  It should not crash_x000D_
 _x000D_
    Steps to reproduce_x000D_
1  Install app (Server NC 14)_x000D_
2  log in_x000D_
3  Watch it crash_x000D_
_x000D_
_x000D_
    Environment data_x000D_
Android version:_x000D_
8 1 0_x000D_
Device model: _x000D_
Lenovo K6_x000D_
Stock or customized system:_x000D_
Runs Lineage OS_x000D_
Nextcloud app version:_x000D_
All versions (Play Store 3 2 4  3 3 0 RC2  FDroid 3 2 3  FDroid Dev)_x000D_
Nextcloud server version:_x000D_
14_x000D_
    Logs_x000D_
   _x000D_
09 12 01:30:17 461 21931 22134 E AndroidRuntime: FATAL EXCEPTION: Thread 14_x000D_
09 12 01:30:17 461 21931 22134 E AndroidRuntime: Process: com nextcloud client  PID: 21931_x000D_
09 12 01:30:17 461 21931 22134 E AndroidRuntime: java lang IllegalArgumentException: Empty values_x000D_
09 12 01:30:17 461 21931 22134 E AndroidRuntime: 	at android database sqlite SQLiteDatabase updateWithOnConflict(SQLiteDatabase java:1619)_x000D_
09 12 01:30:17 461 21931 22134 E AndroidRuntime: 	at android database sqlite SQLiteDatabase update(SQLiteDatabase java:1599)_x000D_
09 12 01:30:17 461 21931 22134 E AndroidRuntime: 	at com owncloud android providers FileContentProvider updateFilesTableAccordingToShareInsertion(FileContentProvider java:424)_x000D_
09 12 01:30:17 461 21931 22134 E AndroidRuntime: 	at com owncloud android providers FileContentProvider insert(FileContentProvider java:314)_x000D_
09 12 01:30:17 461 21931 22134 E AndroidRuntime: 	at com owncloud android providers FileContentProvider insert(FileContentProvider java:258)_x000D_
09 12 01:30:17 461 21931 22134 E AndroidRuntime: 	at android content ContentProviderOperation apply(ContentProviderOperation java:302)_x000D_
09 12 01:30:17 461 21931 22134 E AndroidRuntime: 	at com owncloud android providers FileContentProvider applyBatch(FileContentProvider java:698)_x000D_
09 12 01:30:17 461 21931 22134 E AndroidRuntime: 	at android content ContentProvider Transport applyBatch(ContentProvider java:317)_x000D_
09 12 01:30:17 461 21931 22134 E AndroidRuntime: 	at android content ContentProviderClient applyBatch(ContentProviderClient java:465)_x000D_
09 12 01:30:17 461 21931 22134 E AndroidRuntime: 	at android content ContentResolver applyBatch(ContentResolver java:1578)_x000D_
09 12 01:30:17 461 21931 22134 E AndroidRuntime: 	at com owncloud android datamodel FileDataStorageManager saveSharesInFolder(FileDataStorageManager java:1562)_x000D_
09 12 01:30:17 461 21931 22134 E AndroidRuntime: 	at com owncloud android operations RefreshFolderOperation refreshSharesForFolder(RefreshFolderOperation java:545)_x000D_
09 12 01:30:17 461 21931 22134 E AndroidRuntime: 	at com owncloud android operations RefreshFolderOperation run(RefreshFolderOperation java:222)_x000D_
09 12 01:30:17 461 21931 22134 E AndroidRuntime: 	at com owncloud android lib common operations RemoteOperation run(RemoteOperation java:316)_x000D_
09 12 01:30:17 461 21931 22134 E AndroidRuntime: 	at java lang Thread run(Thread java:764)_x000D_
09 12 01:30:17 465  2185  9201 W ActivityManager:   Force finishing activity com nextcloud client com owncloud android ui activity FolderPickerActivity_x000D_
   _x000D_
_x000D_
     Web server error log_x000D_
   _x000D_
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</si>
  <si>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niclabs-adkintunmobile-androidclient-197</t>
  </si>
  <si>
    <t>DispatcherDataBroadcastReceiver.java line 1056</t>
  </si>
  <si>
    <t xml:space="preserve">     in cl niclabs adkintunmobile services sync DispatcherDataBroadcastReceiver cl niclabs adkintunmobile utils volley VolleySingleton addToRequestQueue
  Number of crashes: 1
  Impacted devices: 1
There s a lot more information about this crash on crashlytics com:
 https:  fabric io niclabs android apps cl niclabs adkintunmobile issues 5b9810a66007d59fcd5f5caa utm medium service hooks github utm source issue impact (https:  fabric io niclabs android apps cl niclabs adkintunmobile issues 5b9810a66007d59fcd5f5caa utm medium service hooks github utm source issue impact)</t>
  </si>
  <si>
    <t>nextcloud-android-3019</t>
  </si>
  <si>
    <t>App crash: out of memory while browsing resized images</t>
  </si>
  <si>
    <t xml:space="preserve">    Actual behaviour_x000D_
  Tell us what happens_x000D_
App crashes when browsing or rotating photos in full size_x000D_
    Expected behaviour_x000D_
  Tell us what should happen_x000D_
 App should browse and rotate photos_x000D_
    Steps to reproduce_x000D_
1  Open app_x000D_
2  Chose one photos folder_x000D_
3  Browse or autorotate photos in full size_x000D_
_x000D_
_x000D_
    Environment data_x000D_
Android version:_x000D_
5 0 1_x000D_
Device model: _x000D_
Samsung Galaxy S4 VE (GT I9515)_x000D_
Stock or customized system:_x000D_
Stock system_x000D_
Nextcloud app version:_x000D_
3 2 4_x000D_
Nextcloud server version:_x000D_
13 0 6_x000D_
    Logs_x000D_
     Web server error log_x000D_
   _x000D_
Insert your webserver log here_x000D_
   _x000D_
_x000D_
     Nextcloud log (data nextcloud log)_x000D_
   _x000D_
Insert your Nextcloud log here_x000D_
          beginning of system_x000D_
E art     ( 8643): Throwing OutOfMemoryError  Failed to allocate a 25165836 byte allocation with 11863052 free bytes and 11MB until OOM _x000D_
E AndroidRuntime( 8643): FATAL EXCEPTION: main_x000D_
E AndroidRuntime( 8643): Process: com nextcloud client  PID: 8643_x000D_
E AndroidRuntime( 8643): java lang OutOfMemoryError: Failed to allocate a 25165836 byte allocation with 11863052 free bytes and 11MB until OOM_x000D_
E AndroidRuntime( 8643): 	at dalvik system VMRuntime newNonMovableArray(Native Method)_x000D_
E AndroidRuntime( 8643): 	at android graphics BitmapFactory nativeDecodeStream(Native Method)_x000D_
E AndroidRuntime( 8643): 	at android graphics BitmapFactory decodeStreamInternal(BitmapFactory java:752)_x000D_
E AndroidRuntime( 8643): 	at android graphics BitmapFactory decodeStream(BitmapFactory java:728)_x000D_
E AndroidRuntime( 8643): 	at android graphics BitmapFactory decodeStream(BitmapFactory java:766)_x000D_
E AndroidRuntime( 8643): 	at com owncloud android ui adapter DiskLruImageCache getBitmap(DiskLruImageCache java:121)_x000D_
E AndroidRuntime( 8643): 	at com owncloud android datamodel ThumbnailsCacheManager getBitmapFromDiskCache(ThumbnailsCacheManager java:204)_x000D_
E AndroidRuntime( 8643): 	at com owncloud android ui preview PreviewImageFragment onStart(PreviewImageFragment java:238)_x000D_
E AndroidRuntime( 8643): 	at android support v4 app Fragment performStart(Fragment java:2372)_x000D_
E AndroidRuntime( 8643): 	at android support v4 app FragmentManagerImpl moveToState(FragmentManager java:1467)_x000D_
E AndroidRuntime( 8643): 	at android support v4 app FragmentManagerImpl moveFragmentToExpectedState(FragmentManager java:1759)_x000D_
E AndroidRuntime( 8643): 	at android support v4 app FragmentManagerImpl moveToState(FragmentManager java:1827)_x000D_
E AndroidRuntime( 8643): 	at android support v4 app FragmentManagerImpl dispatchStateChange(FragmentManager java:3244)_x000D_
E AndroidRuntime( 8643): 	at android support v4 app FragmentManagerImpl dispatchStart(FragmentManager java:3206)_x000D_
E AndroidRuntime( 8643): 	at android support v4 app FragmentController dispatchStart(FragmentController java:206)_x000D_
E AndroidRuntime( 8643): 	at android support v4 app FragmentActivity onStart(FragmentActivity java:605)_x000D_
E AndroidRuntime( 8643): 	at android support v7 app AppCompatActivity onStart(AppCompatActivity java:177)_x000D_
E AndroidRuntime( 8643): 	at com owncloud android ui activity BaseActivity onStart(BaseActivity java:189)_x000D_
E AndroidRuntime( 8643): 	at com owncloud android ui activity DrawerActivity onStart(DrawerActivity java:1348)_x000D_
E AndroidRuntime( 8643): 	at com owncloud android ui activity FileActivity onStart(FileActivity java:188)_x000D_
E AndroidRuntime( 8643): 	at com owncloud android ui preview PreviewImageActivity onStart(PreviewImageActivity java:166)_x000D_
E AndroidRuntime( 8643): 	at android app Instrumentation callActivityOnStart(Instrumentation java:1234)_x000D_
E AndroidRuntime( 8643): 	at android app Activity performStart(Activity java:6329)_x000D_
E AndroidRuntime( 8643): 	at android app ActivityThread performLaunchActivity(ActivityThread java:2665)_x000D_
E AndroidRuntime( 8643): 	at android app ActivityThread handleLaunchActivity(ActivityThread java:2767)_x000D_
E AndroidRuntime( 8643): 	at android app ActivityThread handleRelaunchActivity(ActivityThread java:4471)_x000D_
E AndroidRuntime( 8643): 	at android app ActivityThread access 1000(ActivityThread java:177)_x000D_
E AndroidRuntime( 8643): 	at android app ActivityThread H handleMessage(ActivityThread java:1455)_x000D_
E AndroidRuntime( 8643): 	at android os Handler dispatchMessage(Handler java:102)_x000D_
E AndroidRuntime( 8643): 	at android os Looper loop(Looper java:145)_x000D_
E AndroidRuntime( 8643): 	at android app ActivityThread main(ActivityThread java:5951)_x000D_
E AndroidRuntime( 8643): 	at java lang reflect Method invoke(Native Method)_x000D_
E AndroidRuntime( 8643): 	at java lang reflect Method invoke(Method java:372)_x000D_
E AndroidRuntime( 8643): 	at com android internal os ZygoteInit MethodAndArgsCaller run(ZygoteInit java:1388)_x000D_
E AndroidRuntime( 8643): 	at com android internal os ZygoteInit main(ZygoteInit java:1183)_x000D_
E android os Debug(  919): ro product ship   true_x000D_
E android os Debug(  919): ro debug level   0x4f4c_x000D_
E SQLiteLog( 7975): (284) automatic index on crash info summary(package name touched)_x000D_
E SMD     ( 8766): smd init start _x000D_
E SMD     ( 8766): smd Interface open failed errno is 2  1_x000D_
E SMD     ( 8766): smd Interface open failed errno is 2  1_x000D_
E OpenGLRenderer(  919): SFEffectCache:clear()  mSize   0_x000D_
E ActivityManager(  919): checkUser: useridlist null  currentuser 0_x000D_
E ActivityManager(  919): checkUser: useridlist null  currentuser 0_x000D_
E ActivityManager(  919): checkUser: useridlist null  currentuser 0_x000D_
E ActivityManager(  919): checkUser: useridlist null  currentuser 0_x000D_
E Zygote  ( 8944): MountEmulatedStorage()_x000D_
E Zygote  ( 8944): v2_x000D_
E SELinux ( 8944):  DEBUG  get category: variable seinfo: default sensitivity: NULL  cateogry: NULL_x000D_
E ViewRootImpl(  919): sendUserActionEvent() mView    null_x000D_
E WifiStateMachine(  919): WifiStateMachine CMD START SCAN source 10014 txSuccessRate 111 29 rxSuccessRate 231 70 targetRoamBSSID any RSSI  63_x000D_
E SMD     ( 8766): smd Interface open failed errno is 2  1_x000D_
E PersonaManagerService(  919): inState():  stateMachine is null   _x000D_
E MTPRx   ( 8380): started activity for popup_x000D_
E Diag Lib( 8990):  Diag LSM Init: Failed to open handle to diag driver  error   2_x000D_
E SMD     ( 8766): smd Interface open failed errno is 2  1_x000D_
E SettingsReceiverActivity( 8380): PREF DONT ASK AGAIN : true_x000D_
E ActivityManager(  919): Invalid thumbnail dimensions: 576x576_x000D_
E SMD     ( 8766): smd Interface open failed errno is 2  1_x000D_
E wpa supplicant( 1429): Cmd 35609 not handled_x000D_
E SMD     ( 8766): smd Interface open failed errno is 2  1_x000D_
E SMD     ( 8766): smd Interface open failed errno is 2  1_x000D_
E SMD     ( 8766): smd Interface open failed errno is 2  1_x000D_
  NOTE:   Be super sure to remove sensitive data like passwords  note that everybody can look here  You can use the Issue Template application to prefill some of the required information: https:  apps nextcloud com apps issuetemplate_x000D_
</t>
  </si>
  <si>
    <t>gini-gini-vision-lib-android-223</t>
  </si>
  <si>
    <t>Bugfix memory leak</t>
  </si>
  <si>
    <t xml:space="preserve">To keep the state between activity restarts we saved the  Document  and  Photo  in  onSaveInstanceState()   This was causing memory leaks for the following reasons:_x000D_
_x000D_
   onSaveInstanceState()  is called as soon as there is a chance the activity will be destroyed  meaning that it can be called multiple times without  onCreate()  or  onRestoreInstanceState()  being called afterwards _x000D_
  Data size that may be parceled is limited  To circumvent this we use the  ParcelableMemoryCache  which is a singleton and keeps references to byte arrays and bitmaps for  Documents  and  Photos  when they are parceled  During unparceling the byte arrays and bitmaps are fetched and removed from the cache _x000D_
  Due to the above leaks occurred when parceling and unparceling  Documents  and  Photos  was not balanced  In this particular case parceling happened every time the  ReviewFragmentImpl  and  AnalysisFragmentImpl  were stopped  Only rotation caused restarts were always parceling and unparceling the objects _x000D_
_x000D_
     The fix:_x000D_
Allow tagging of  ParcelableMemoryCache  entries  With the help of the tags clear the cache of the desired tagged entries as soon as it is safe to presume that unparceling will never happen and the cached data won t be used _x000D_
_x000D_
    How to test_x000D_
Run one of the example apps and use the Android Profiler in AS to observe memory usage  Take pictures  send the app to the background and resume  enter and exit the review and analysis screens multiple times  etc  The memory usage should NOT show a build up of allocations _x000D_
_x000D_
    Ticket _x000D_
https:  trello com c oSvhvofV 245 crash in netginiandroidvision_x000D_
</t>
  </si>
  <si>
    <t>sazid-aiub-app-1</t>
  </si>
  <si>
    <t>Background notification not checked</t>
  </si>
  <si>
    <t xml:space="preserve">On Android O and above background notification check doesn t work properly and causes the app to crash </t>
  </si>
  <si>
    <t>lottie-react-native-lottie-react-native-381</t>
  </si>
  <si>
    <t>cacheStrategy causing error</t>
  </si>
  <si>
    <t xml:space="preserve">    Description_x000D_
The below code will run without any errors when I don t pass the cacheStrategy props but with cacheStrategy it throws an error similar to the screenshot that I ve included _x000D_
_x000D_
  screenshot from 2018 09 11 12 10 15 (https:  user images githubusercontent com 18525727 45345571 fb094280 b5bb 11e8 945b 478346cf8cc4 png)_x000D_
_x000D_
   _x000D_
 AnimatedLottieView_x000D_
					source  SPLASH ANIMATION _x000D_
					style  style launchImage _x000D_
					resizeMode  cover _x000D_
					progress  this state progress _x000D_
					cacheStrategy   strong  _x000D_
				  _x000D_
_x000D_
   _x000D_
I ve tried passing  weak  and  none  too but it still crashes  _x000D_
_x000D_
</t>
  </si>
  <si>
    <t>TeamNewPipe-NewPipe-1706</t>
  </si>
  <si>
    <t>Ui crash loading videos from any of the views</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</si>
  <si>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Exception_x000D_
    User Action:   ui error_x000D_
    Request:   App crash  UI failure_x000D_
    Content Language:   GB_x000D_
    Service:   none_x000D_
    Version:   0 14 1_x000D_
    OS:   Linux motorola payton payton:8 1 0 OPW28 46 21 e3c72:user release keys 8 1 0   27_x000D_
_x000D_
   _x000D_
java lang NumberFormatException: For input string:   _x000D_
	at java lang Integer parseInt(Integer java:620)_x000D_
	at java lang Integer parseInt(Integer java:643)_x000D_
	at org schabi newpipe util ListHelper compareVideoStreamResolution(ListHelper java:396)_x000D_
	at org schabi newpipe util ListHelper computeDefaultResolution(ListHelper java:113)_x000D_
	at org schabi newpipe util ListHelper getDefaultResolutionIndex(ListHelper java:40)_x000D_
	at org schabi newpipe fragments detail VideoDetailFragment setupActionBar(VideoDetailFragment java:738)_x000D_
	at org schabi newpipe fragments detail VideoDetailFragment handleResult(VideoDetailFragment java:1204)_x000D_
	at org schabi newpipe fragments detail VideoDetailFragment lambda startLoading 6 VideoDetailFragment(VideoDetailFragment java:866)_x000D_
	at org schabi newpipe fragments detail VideoDetailFragment  Lambda 5 accept(Unknown Source:4)_x000D_
	at io reactivex internal observers ConsumerSingleObserver onSuccess(ConsumerSingleObserver java:63)_x000D_
	at io reactivex internal operators single SingleObserveOn ObserveOnSingleObserver run(SingleObserveOn java:81)_x000D_
	at io reactivex android schedulers HandlerScheduler ScheduledRunnable run(HandlerScheduler java:109)_x000D_
	at android os Handler handleCallback(Handler java:790)_x000D_
	at android os Handler dispatchMessage(Handler java:99)_x000D_
	at android os Looper loop(Looper java:164)_x000D_
	at android app ActivityThread main(ActivityThread java:6545)_x000D_
	at java lang reflect Method invoke(Native Method)_x000D_
	at com android internal os RuntimeInit MethodAndArgsCaller run(RuntimeInit java:438)_x000D_
	at com android internal os ZygoteInit main(ZygoteInit java:809)_x000D_
_x000D_
                   _x000D_
_x000D_
   _x000D_
</t>
  </si>
  <si>
    <t>jMonkeyEngine-jmonkeyengine-898</t>
  </si>
  <si>
    <t>Native Bullet breaks TestFancyCar</t>
  </si>
  <si>
    <t xml:space="preserve">TestFancyCar works fine with JBullet  but with recent versions of Native Bullet  the test crashes during initialization:_x000D_
   _x000D_
SEVERE: Uncaught exception thrown in Thread jME3 Main 5 main _x000D_
java lang NullPointerException: The vehicle object does not exist _x000D_
	at com jme3 bullet PhysicsSpace addVehicle(Native Method)_x000D_
	at com jme3 bullet PhysicsSpace addRigidBody(PhysicsSpace java:639)_x000D_
	at com jme3 bullet PhysicsSpace addCollisionObject(PhysicsSpace java:440)_x000D_
	at com jme3 bullet control VehicleControl setPhysicsSpace(VehicleControl java:236)_x000D_
	at com jme3 bullet PhysicsSpace add(PhysicsSpace java:419)_x000D_
	at jme3test bullet TestFancyCar buildPlayer(TestFancyCar java:211)_x000D_
	at jme3test bullet TestFancyCar simpleInitApp(TestFancyCar java:98)_x000D_
	at com jme3 app SimpleApplication initialize(SimpleApplication java:220)_x000D_
	at com jme3 system lwjgl LwjglAbstractDisplay initInThread(LwjglAbstractDisplay java:130)_x000D_
	at com jme3 system lwjgl LwjglAbstractDisplay run(LwjglAbstractDisplay java:211)_x000D_
	at java lang Thread run(Thread java:748)_x000D_
   _x000D_
_x000D_
Debugger reveals that the vehicleId is 0 because it was never initialized  createVehicle() was invoked with space null when the vehicle was instantiated  bypassing most of the initialization code _x000D_
</t>
  </si>
  <si>
    <t>nextcloud-android-3011</t>
  </si>
  <si>
    <t>[3.3.0 RC2] Crash of the Nextcloud application</t>
  </si>
  <si>
    <t xml:space="preserve">Hello _x000D_
_x000D_
I contact you to report a bug in the beta version of nextcloud android _x000D_
_x000D_
When somebody posts an announcement  i receive a push notification  I clicked above that opened Nextcloud application then the application crash  She closed and I had an error message  L application Nextcloud a cess e de fonctionner   _x000D_
_x000D_
I have retry several times unsuccessfully _x000D_
_x000D_
Regard _x000D_
Sim59121_x000D_
_x000D_
  Technical information  _x000D_
_x000D_
Android version : 7 1 1_x000D_
_x000D_
Device model : SM J52016_x000D_
_x000D_
Nextcloud app version : 3 3 0 RC2_x000D_
</t>
  </si>
  <si>
    <t>react-native-camera-react-native-camera-1785</t>
  </si>
  <si>
    <t>Async error java takePictureAsync()</t>
  </si>
  <si>
    <t xml:space="preserve">    Warning_x000D_
RCTCamera is   DEPRECATED   on v1 0 0 follow our  Migration guide (https:  github com react native community react native camera blob master docs migration md)_x000D_
_x000D_
    Which implementation are you using_x000D_
_x000D_
RNCamera_x000D_
_x000D_
    Steps to reproduce_x000D_
1  Open Camera_x000D_
2  camera takePictureAsync()_x000D_
3  force closed (sometimes OK)_x000D_
_x000D_
    Does it work with Expo Camera _x000D_
Check usage with Expo   https:  github com react native community react native camera blob master docs Expo Usage md_x000D_
You should open an issue there as well  so we can cooperate in a solution _x000D_
_x000D_
    Expected behaviour_x000D_
After execute promise takePictureAsync() it should be take picture_x000D_
_x000D_
    Actual behaviour_x000D_
After execute promise await takePictureAsync() app force closed _x000D_
if i used crashlytics it found error like this _x000D_
_x000D_
 Fatal Exception: java lang RuntimeException: An error occurred while executing doInBackground()_x000D_
       at android os AsyncTask 3 done(AsyncTask java:325)_x000D_
       at java util concurrent FutureTask finishCompletion(FutureTask java:354)_x000D_
       at java util concurrent FutureTask setException(FutureTask java:223)_x000D_
       at java util concurrent FutureTask run(FutureTask java:242)_x000D_
       at java util concurrent ThreadPoolExecutor runWorker(ThreadPoolExecutor java:1133)_x000D_
       at java util concurrent ThreadPoolExecutor Worker run(ThreadPoolExecutor java:607)_x000D_
       at java lang Thread run(Thread java:761) _x000D_
_x000D_
    Environment_x000D_
    React Native version  : 0 55 4_x000D_
    React Native platform   platform version  : Android version 7 1 1   5 1 1_x000D_
_x000D_
    react native camera_x000D_
  Version  :  master _x000D_
_x000D_
  Love react native camera  Please consider supporting our collective:    https:  opencollective com react native camera donate_x000D_
</t>
  </si>
  <si>
    <t>TeamNewPipe-NewPipe-1680</t>
  </si>
  <si>
    <t>UI crashed displaying YouTube Channels  /bug report</t>
  </si>
  <si>
    <t xml:space="preserve">   Exception_x000D_
    User Action:   ui error_x000D_
    Request:   App crash  UI failure_x000D_
    Content Language:   GB_x000D_
    Service:   none_x000D_
    Version:   0 14 1_x000D_
    OS:   Linux Android 4 0 4   15_x000D_
_x000D_
   _x000D_
java lang NullPointerException_x000D_
	at android widget Spinner makeAndAddView(Spinner java:394)_x000D_
	at android widget Spinner layout(Spinner java:345)_x000D_
	at android widget Spinner onLayout(Spinner java:309)_x000D_
	at android view View layout(View java:11418)_x000D_
	at android view ViewGroup layout(ViewGroup java:4328)_x000D_
	at android support v7 widget Toolbar layoutChildLeft(Toolbar java:1948)_x000D_
	at android support v7 widget Toolbar onLayout(Toolbar java:1887)_x000D_
	at android view View layout(View java:11418)_x000D_
	at android view ViewGroup layout(ViewGroup java:4328)_x000D_
	at android widget LinearLayout setChildFrame(LinearLayout java:1652)_x000D_
	at android widget LinearLayout layoutVertical(LinearLayout java:1510)_x000D_
	at android widget LinearLayout onLayout(LinearLayout java:1415)_x000D_
	at android view View layout(View java:11418)_x000D_
	at android view ViewGroup layout(ViewGroup java:4328)_x000D_
	at android widget FrameLayout onLayout(FrameLayout java:443)_x000D_
	at android view View layout(View java:11418)_x000D_
	at android view ViewGroup layout(ViewGroup java:4328)_x000D_
	at android support v4 widget DrawerLayout onLayout(DrawerLayout java:1171)_x000D_
	at android view View layout(View java:11418)_x000D_
	at android view ViewGroup layout(ViewGroup java:4328)_x000D_
	at android widget FrameLayout onLayout(FrameLayout java:443)_x000D_
	at android view View layout(View java:11418)_x000D_
	at android view ViewGroup layout(ViewGroup java:4328)_x000D_
	at android widget LinearLayout setChildFrame(LinearLayout java:1652)_x000D_
	at android widget LinearLayout layoutVertical(LinearLayout java:1510)_x000D_
	at android widget LinearLayout onLayout(LinearLayout java:1415)_x000D_
	at android view View layout(View java:11418)_x000D_
	at android view ViewGroup layout(ViewGroup java:4328)_x000D_
	at android widget FrameLayout onLayout(FrameLayout java:443)_x000D_
	at android view View layout(View java:11418)_x000D_
	at android view ViewGroup layout(ViewGroup java:4328)_x000D_
	at android widget LinearLayout setChildFrame(LinearLayout java:1652)_x000D_
	at android widget LinearLayout layoutVertical(LinearLayout java:1510)_x000D_
	at android widget LinearLayout onLayout(LinearLayout java:1415)_x000D_
	at android view View layout(View java:11418)_x000D_
	at android view ViewGroup layout(ViewGroup java:4328)_x000D_
	at android widget FrameLayout onLayout(FrameLayout java:443)_x000D_
	at android view View layout(View java:11418)_x000D_
	at android view ViewGroup layout(ViewGroup java:4328)_x000D_
	at android view ViewRootImpl performTraversals(ViewRootImpl java:1489)_x000D_
	at android view ViewRootImpl handleMessage(ViewRootImpl java:2442)_x000D_
	at android os Handler dispatchMessage(Handler java:99)_x000D_
	at android os Looper loop(Looper java:137)_x000D_
	at android app ActivityThread main(ActivityThread java:4441)_x000D_
	at java lang reflect Method invokeNative(Native Method)_x000D_
	at java lang reflect Method invoke(Method java:511)_x000D_
	at com android internal os ZygoteInit MethodAndArgsCaller run(ZygoteInit java:784)_x000D_
	at com android internal os ZygoteInit main(ZygoteInit java:551)_x000D_
	at dalvik system NativeStart main(Native Method)_x000D_
_x000D_
                   _x000D_
_x000D_
   _x000D_
I can t see any channel homepage  this always happen when I touch a channel name</t>
  </si>
  <si>
    <t>federicoiosue-Omni-Notes-592</t>
  </si>
  <si>
    <t>The app closes as soon as "Password Forgotten" is pressed</t>
  </si>
  <si>
    <t xml:space="preserve">  Describe the bug  _x000D_
The app closes immediately after pressing  Password Forgotten   It s not a crash  it just closes _x000D_
_x000D_
  Context  _x000D_
   Device: Nexus 5_x000D_
   OS version: LineageOS 14 1 (Android 7 1 2)_x000D_
   App version: 5 5 0 (F Droid APK)_x000D_
_x000D_
  How to reproduce  _x000D_
Steps to reproduce the behavior:_x000D_
1  Open the app_x000D_
2  When asked to insert the password  press  Password Forgotten _x000D_
_x000D_
  Expected behavior  _x000D_
You should be able to type in the answer to the security question and get the password reset </t>
  </si>
  <si>
    <t>TeamNewPipe-NewPipe-1674</t>
  </si>
  <si>
    <t>Exception on pressing back arrow</t>
  </si>
  <si>
    <t>when you open YouTube link from your browser and press left arrow in newpipe an exception will show up 
   Exception_x000D_
    User Action:   ui error_x000D_
    Request:   App crash  UI failure_x000D_
    Content Language:   IT_x000D_
    Service:   none_x000D_
    Version:   0 14 1_x000D_
    OS:   Linux Android 4 2 1   17_x000D_
_x000D_
   _x000D_
java lang NullPointerException_x000D_
	at android widget Spinner makeAndAddView(Spinner java:546)_x000D_
	at android widget Spinner layout(Spinner java:495)_x000D_
	at android widget Spinner onLayout(Spinner java:459)_x000D_
	at android view View layout(View java:14099)_x000D_
	at android view ViewGroup layout(ViewGroup java:4464)_x000D_
	at android support v7 widget Toolbar layoutChildLeft(Toolbar java:1948)_x000D_
	at android support v7 widget Toolbar onLayout(Toolbar java:1887)_x000D_
	at android view View layout(View java:14099)_x000D_
	at android view ViewGroup layout(ViewGroup java:4464)_x000D_
	at android widget LinearLayout setChildFrame(LinearLayout java:1670)_x000D_
	at android widget LinearLayout layoutVertical(LinearLayout java:1528)_x000D_
	at android widget LinearLayout onLayout(LinearLayout java:1441)_x000D_
	at android view View layout(View java:14099)_x000D_
	at android view ViewGroup layout(ViewGroup java:4464)_x000D_
	at android widget FrameLayout onLayout(FrameLayout java:448)_x000D_
	at android view View layout(View java:14099)_x000D_
	at android view ViewGroup layout(ViewGroup java:4464)_x000D_
	at android support v4 widget DrawerLayout onLayout(DrawerLayout java:1171)_x000D_
	at android view View layout(View java:14099)_x000D_
	at android view ViewGroup layout(ViewGroup java:4464)_x000D_
	at android widget FrameLayout onLayout(FrameLayout java:448)_x000D_
	at android view View layout(View java:14099)_x000D_
	at android view ViewGroup layout(ViewGroup java:4464)_x000D_
	at android widget LinearLayout setChildFrame(LinearLayout java:1670)_x000D_
	at android widget LinearLayout layoutVertical(LinearLayout java:1528)_x000D_
	at android widget LinearLayout onLayout(LinearLayout java:1441)_x000D_
	at android view View layout(View java:14099)_x000D_
	at android view ViewGroup layout(ViewGroup java:4464)_x000D_
	at android widget FrameLayout onLayout(FrameLayout java:448)_x000D_
	at android view View layout(View java:14099)_x000D_
	at android view ViewGroup layout(ViewGroup java:4464)_x000D_
	at android widget LinearLayout setChildFrame(LinearLayout java:1670)_x000D_
	at android widget LinearLayout layoutVertical(LinearLayout java:1528)_x000D_
	at android widget LinearLayout onLayout(LinearLayout java:1441)_x000D_
	at android view View layout(View java:14099)_x000D_
	at android view ViewGroup layout(ViewGroup java:4464)_x000D_
	at android widget FrameLayout onLayout(FrameLayout java:448)_x000D_
	at android view View layout(View java:14099)_x000D_
	at android view ViewGroup layout(ViewGroup java:4464)_x000D_
	at android view ViewRootImpl performLayout(ViewRootImpl java:2183)_x000D_
	at android view ViewRootImpl performTraversals(ViewRootImpl java:1947)_x000D_
	at android view ViewRootImpl doTraversal(ViewRootImpl java:1139)_x000D_
	at android view ViewRootImpl TraversalRunnable run(ViewRootImpl java:4879)_x000D_
	at android view Choreographer CallbackRecord run(Choreographer java:776)_x000D_
	at android view Choreographer doCallbacks(Choreographer java:579)_x000D_
	at android view Choreographer doFrame(Choreographer java:548)_x000D_
	at android view Choreographer FrameDisplayEventReceiver run(Choreographer java:762)_x000D_
	at android os Handler handleCallback(Handler java:725)_x000D_
	at android os Handler dispatchMessage(Handler java:92)_x000D_
	at android os Looper loop(Looper java:153)_x000D_
	at android app ActivityThread main(ActivityThread java:5297)_x000D_
	at java lang reflect Method invokeNative(Native Method)_x000D_
	at java lang reflect Method invoke(Method java:511)_x000D_
	at com android internal os ZygoteInit MethodAndArgsCaller run(ZygoteInit java:833)_x000D_
	at com android internal os ZygoteInit main(ZygoteInit java:600)_x000D_
	at dalvik system NativeStart main(Native Method)_x000D_
_x000D_
                   _x000D_
_x000D_
   _x000D_
  screenshot 2018 09 08 11 45 00 (https:  user images githubusercontent com 42345179 45252852 c4ce8780 b35d 11e8 88b5 75821481d1d1 png)_x000D_
Test this link https:  m youtube com watch v 4cyiL8n 5P8</t>
  </si>
  <si>
    <t>marksuth-indigenous-android-99</t>
  </si>
  <si>
    <t>Crash when pressing 'Sign In'</t>
  </si>
  <si>
    <t>The app crashes when trying to Sign In   I enter my URL https:  doubleloop net where it says http:  example com  press Sign In  and it crashes there   I m on an old version of Android (Lollipop)  I don t know if that has anything to do with it _x000D_
_x000D_
(If there s more debug info I can provide  let me know)_x000D_
_x000D_
  Stack trace  _x000D_
_x000D_
  android util AndroidRuntimeException: Calling startActivity() from outside of an Activity  context requires the FLAG ACTIVITY NEW TASK flag   Is this really what you want _x000D_
at_x000D_
android app ContextImpl startActivity(ContextImpl java:1258)_x000D_
at_x000D_
   _x000D_
   _x000D_
   _x000D_
at_x000D_
com indieweb indigenous indieauth IndieAuthActivity  1 onClick(IndieAuthActivity java:127)_x000D_
_x000D_
  Device Info  _x000D_
  Sony Xperia Z1 Compact (D5503)_x000D_
  SDK version: 22_x000D_
  Release: 5 1 1_x000D_
_x000D_
  App info  _x000D_
  0 11 from Google Play</t>
  </si>
  <si>
    <t>aauxilio-Auxilio-4</t>
  </si>
  <si>
    <t>Android Pie causing app to crash</t>
  </si>
  <si>
    <t xml:space="preserve">    Description of Problem: _x000D_
_x000D_
When running the application in an Android P phone and clicking on  View Affidavit  will cause the application to crash  There have been some situation in which clicking on the button redirect to login page and the clicking on  view affidavit  causes the application to crash  _x000D_
_x000D_
    Error Messages:_x000D_
The error is thrown within the  DocuViewActivity java (https:  github com aauxilio Auxilio blob master auxilio app src main java com auxilio DocuViewActivity java L174) when starting the activity  _x000D_
Located between these lines: https:  github com aauxilio Auxilio blob cb50dec631c09739f97353988e72297a01373ef0 auxilio app src main java com auxilio DocuViewActivity java L164 L177_x000D_
_x000D_
    Suggested Solutions: _x000D_
We will have to research more on how activities are handle differently between Android 8 1 and Android 9 so we may fix this  We will also make sure that the application is also compatible at lower android versions  _x000D_
_x000D_
We might also look into switching up the way we handle the activities as we might not be doing the best way we should  Need more research on this _x000D_
</t>
  </si>
  <si>
    <t>google-blockly-android-743</t>
  </si>
  <si>
    <t>Category tabs without specified colors crash app (NPE)</t>
  </si>
  <si>
    <t xml:space="preserve">If a category tab does not have a specified color when the  CategoryTabs  attempts to tint the category label  a NPE is thrown and crashes the activity app:_x000D_
_x000D_
   _x000D_
E AndroidRuntime: FATAL EXCEPTION: main_x000D_
    Process: com google blockly demo  PID: 3973_x000D_
    java lang NullPointerException: Attempt to invoke virtual method  int java lang Integer intValue()  on a null object reference_x000D_
        at com google blockly android ui CategoryTabs CategoryAdapter onBindViewHolder(CategoryTabs java:246)_x000D_
        at com google blockly android ui CategoryTabs CategoryAdapter onBindViewHolder(CategoryTabs java:215)_x000D_
        at android support v7 widget RecyclerView Adapter onBindViewHolder(RecyclerView java:6673)_x000D_
        at android support v7 widget RecyclerView Adapter bindViewHolder(RecyclerView java:6714)_x000D_
        at android support v7 widget RecyclerView Recycler tryBindViewHolderByDeadline(RecyclerView java:5647)_x000D_
        at android support v7 widget RecyclerView Recycler tryGetViewHolderForPositionByDeadline(RecyclerView java:5913)_x000D_
        at android support v7 widget RecyclerView Recycler getViewForPosition(RecyclerView java:5752)_x000D_
        at android support v7 widget RecyclerView Recycler getViewForPosition(RecyclerView java:5748)_x000D_
        at android support v7 widget LinearLayoutManager LayoutState next(LinearLayoutManager java:2232)_x000D_
        at android support v7 widget LinearLayoutManager layoutChunk(LinearLayoutManager java:1559)_x000D_
        at android support v7 widget LinearLayoutManager fill(LinearLayoutManager java:1519)_x000D_
        at android support v7 widget LinearLayoutManager onLayoutChildren(LinearLayoutManager java:614)_x000D_
        at android support v7 widget RecyclerView dispatchLayoutStep2(RecyclerView java:3812)_x000D_
        at android support v7 widget RecyclerView onMeasure(RecyclerView java:3225)_x000D_
   _x000D_
_x000D_
Reproduce by opening the DevTestsActivity </t>
  </si>
  <si>
    <t>niccokunzmann-mundraub-android-99</t>
  </si>
  <si>
    <t>Do not set marker when clicked on settings menu and zoom</t>
  </si>
  <si>
    <t xml:space="preserve">     If you report an app crash  please attach the eu quelltext mundraub log txt file_x000D_
     from the root of your phone s file system     _x000D_
_x000D_
When I click on the settings and on the zoom  I would like to have an area where the marker is not set _x000D_
Sometimes  I fail to click on a button  Then  the marker is set below the zoom or below the menu _x000D_
Please make so the marker stays where it was before </t>
  </si>
  <si>
    <t>niccokunzmann-mundraub-android-97</t>
  </si>
  <si>
    <t>Map does not load new tiles</t>
  </si>
  <si>
    <t xml:space="preserve">     If you report an app crash  please attach the eu quelltext mundraub log txt file_x000D_
     from the root of your phone s file system     _x000D_
_x000D_
Sometimes  when you zoom out the map  this error occurs:_x000D_
_x000D_
   _x000D_
Uncaught TypeError: Cannot call method  draw  of null_x000D_
   _x000D_
_x000D_
Then  no new tiles are drawn </t>
  </si>
  <si>
    <t>wdullaer-MaterialDateTimePicker-522</t>
  </si>
  <si>
    <t>Crash with mindate</t>
  </si>
  <si>
    <t xml:space="preserve">If we set a minimum date and try a quick moving datepiker  in some cases an arrow may appear  which moves to the previous month from the minimum date _x000D_
  screenshot 2018 09 03 13 23 46 (https:  user images githubusercontent com 10584671 45099372 c3b81300 b12f 11e8 8a7f a5f85622a6a6 png)_x000D_
When you click on this arrow  the application crashes with such an error_x000D_
 java lang IllegalArgumentException: Invalid target position_x000D_
        at android support v7 widget RecyclerView SmoothScroller start(RecyclerView java:11377)_x000D_
        at android support v7 widget RecyclerView LayoutManager startSmoothScroll(RecyclerView java:8090)_x000D_
        at android support v7 widget LinearLayoutManager smoothScrollToPosition(LinearLayoutManager java:453)_x000D_
        at android support v7 widget RecyclerView smoothScrollToPosition(RecyclerView java:1700)_x000D_
        at com wdullaer materialdatetimepicker date DayPickerGroup onClick(DayPickerGroup java:178)_x000D_
        at android view View performClick(View java:6294)_x000D_
        at android view View PerformClick run(View java:24774)_x000D_
        at android os Handler handleCallback(Handler java:790)_x000D_
        at android os Handler dispatchMessage(Handler java:99)_x000D_
        at android os Looper loop(Looper java:172)_x000D_
        at android app ActivityThread main(ActivityThread java:6590)_x000D_
        at java lang reflect Method invoke(Native Method)_x000D_
        at com android internal os RuntimeInit MethodAndArgsCaller run(RuntimeInit java:438)_x000D_
        at com android internal os ZygoteInit main(ZygoteInit java:807)_x000D_
 _x000D_
</t>
  </si>
  <si>
    <t>commons-app-apps-android-commons-1882</t>
  </si>
  <si>
    <t>ACRA crash reports do not work again in 2.8.2</t>
  </si>
  <si>
    <t xml:space="preserve">  Summary:   _x000D_
_x000D_
When the app crashes  there should be an option to  send feedback  so that users can send their stack trace to us along with comments about what they were doing at the time of the crash _x000D_
_x000D_
We already have ACRA for this purpose which used to work  but stopped working again at some point _x000D_
_x000D_
If anyone takes this up  please ensure that the logs are sent to the PRIVATE google group  not the public one  due to privacy concerns _x000D_
_x000D_
  Steps to reproduce:   _x000D_
_x000D_
Trigger a crash on 2 8 2  Not sure how far back this problem goes _x000D_
_x000D_
  Add System logs:  _x000D_
_x000D_
_x000D_
_x000D_
  Device and Android version:   _x000D_
_x000D_
8 0 Samsung Galaxy s7_x000D_
 _x000D_
   Commons app version:   _x000D_
_x000D_
2 8 2 Play Store version _x000D_
_x000D_
  Would you like to work on the issue   _x000D_
_x000D_
Pref not</t>
  </si>
  <si>
    <t>segmentio-analytics-android-592</t>
  </si>
  <si>
    <t>Attempt to invoke virtual method 'com.segment.analytics.ValueMap com.segment.analytics.ProjectSettings.integrations()' on a null object reference</t>
  </si>
  <si>
    <t xml:space="preserve">    Analytics version_x000D_
 com segment analytics android:analytics:4 3 1  _x000D_
_x000D_
Crashes has been logged for a while now (6 months) on our app in production  We have placed breadcrumbs to help identify the cause of this crash however  we are unable to reproduce this crash _x000D_
_x000D_
Our breadcrumbs tells us that this happens during app start up on a no network conditions  _x000D_
_x000D_
During our startup process we initialise Analytics and identify our users _x000D_
_x000D_
    App identify process_x000D_
   _x000D_
public void identify( Nullable String userId   Nullable ReadableMap properties)  _x000D_
        Traits traits   new Traits() _x000D_
_x000D_
        if (properties    null)  _x000D_
            traits putAll(properties toHashMap()) _x000D_
         _x000D_
_x000D_
        Analytics with(getReactApplicationContext()) identify(userId  traits  null) _x000D_
     _x000D_
   _x000D_
_x000D_
    Raw error_x000D_
   _x000D_
java lang NullPointerException: Attempt to invoke virtual method  com segment analytics ValueMap com segment analytics ProjectSettings integrations()  on a null object reference_x000D_
    at com segment analytics Analytics performInitializeIntegrations(Analytics java:1000)_x000D_
    at com segment analytics Analytics 2 1 run(Analytics java:201)_x000D_
    at android os Handler handleCallback(Handler java:739)_x000D_
    at android os Handler dispatchMessage(Handler java:95)_x000D_
    at android os Looper loop(Looper java:145)_x000D_
    at android app ActivityThread main(ActivityThread java:6134)_x000D_
    at java lang reflect Method invoke(Method java)_x000D_
    at java lang reflect Method invoke(Method java:372)_x000D_
    at com android internal os ZygoteInit MethodAndArgsCaller run(ZygoteInit java:1399)_x000D_
    at com android internal os ZygoteInit main(ZygoteInit java:1194)_x000D_
   </t>
  </si>
  <si>
    <t>ZeusWPI-hydra-android-277</t>
  </si>
  <si>
    <t>SKO section crashes</t>
  </si>
  <si>
    <t xml:space="preserve">The RV joiner library is not very stable  and we can add subtitles ourselves  I will remove our usage of the library  which means it won t crash anymore (hopefully) </t>
  </si>
  <si>
    <t>mycelium-com-wallet-android-475</t>
  </si>
  <si>
    <t>Trezor T - import accounts - crash every time</t>
  </si>
  <si>
    <t xml:space="preserve">If i try to add accounts of Trezor T   i get crash
To reproduce:
1  Tab  Accounts         (right up corner)    Advanced button    Trezor button
2  Then connect Trezor T    enter there PIN    Host button in Trezor T (passphrase enabled there)
3  After i see password dialog in Mycelium
4  I enter there any passphrase
5  Crash
Tested in Galaxy S8 and Galaxy Tab S3
I sent report from Android but i don t hope that crash will be viewed (i did it many times and nothing result in Mycelium updates) 
Please for  slush0 too  ) </t>
  </si>
  <si>
    <t>Intelehealth-Android-Mobile-Client-516</t>
  </si>
  <si>
    <t>App crashing on  DelayedJobQueueProvider java line 192 _x000D_
Originator  Ambuj Pandey_x000D_
Status  OPEN_x000D_
Checked from  July 19th_x000D_
_x000D_
  Environment:  _x000D_
Mobile Brand  motorola_x000D_
Model  Moto E (4) Plus_x000D_
OS Version  7 1 1_x000D_
App Version  1 3 3_x000D_
Started  August 12th  2018_x000D_
last crash date: Sept 3rd  2018_x000D_
Number of Crashes: 2_x000D_
User Affected  2_x000D_
_x000D_
  Summary:   Fatal Exception: java lang IllegalArgumentException_x000D_
  Description:  _x000D_
io intelehealth client database DelayedJobQueueProvider update (DelayedJobQueueProvider java:192)_x000D_
java lang IllegalArgumentException:_x000D_
 _x000D_
at android database sqlite SQLiteDatabase updateWithOnConflict (SQLiteDatabase java:1580) _x000D_
at android database sqlite SQLiteDatabase update (SQLiteDatabase java:1560) _x000D_
at io intelehealth client database DelayedJobQueueProvider update (DelayedJobQueueProvider java:192) _x000D_
at android content ContentProvider Transport update (ContentProvider java:364) _x000D_
at android content ContentResolver update (ContentResolver java:1460)_x000D_
at io intelehealth client services ClientService addJobToQueue (ClientService java:1503)_x000D_
at io intelehealth client services ClientService onHandleIntent (ClientService java:201)_x000D_
at android app IntentService ServiceHandler handleMessage (IntentService java:68)_x000D_
_x000D_
  URL:    click here (https:  console firebase google com u 1 project mobile crashlytics crashlytics app android:io intelehealth client issues 5adf306a36c7b23527ecd1a7 time 1531958400000:1536019199000 sessionId 5B8C9CC403E4000128FC2E931410C17A DNE 0 v2)</t>
  </si>
  <si>
    <t>nextcloud-android-2957</t>
  </si>
  <si>
    <t>download of any file not working, crashes dev version.</t>
  </si>
  <si>
    <t xml:space="preserve">    Actual behaviour_x000D_
Trying to sync files  app tries to download files  stable version fails  Dev version crashes immediately _x000D_
I see in the webserver log an attempt to access a webdav file  if I copy paste the webdav url in a browser  the file gets downloaded without a problem  _x000D_
_x000D_
_x000D_
    Expected behaviour_x000D_
App downloads files onto phone s fs _x000D_
_x000D_
    Nota Bene_x000D_
Download sync used to work a couple of months ago  Changes since then include ubuntu upgrade to 18 04  nc server upgrade to 13 05 and 13 06  app update to 3 2 3 _x000D_
I cannot pinpoint exactly when this behavior started  But my gut says it is a change in the android file permissions scheme  as ghost commander too is unable to touch any file besides the ones in the download folder _x000D_
_x000D_
Now  the app seems to not be able to touch files on the fs  Once sync used to work  I had a bunch of files on my phone s fs  Now  when I delete some of these files in the app  they re still on the fs  Double checked app permissions  has storage read write permissions _x000D_
 _x000D_
    Steps to reproduce_x000D_
Install a fresh nc app _x000D_
Connect to server _x000D_
In app  select a directory you want to sync  tell it to sync _x000D_
app 3 2 3 shows notification  downloading file       but stays at 0 _x000D_
Dev version 20180829 crashes immediately when I want so sync a dir _x000D_
_x000D_
_x000D_
    Environment data_x000D_
Android version:_x000D_
8 1 0_x000D_
Device model: _x000D_
wileyfox swift 2_x000D_
Stock or customized system:_x000D_
stock_x000D_
Nextcloud app version:_x000D_
3 2 3 and dev version 20180829_x000D_
Nextcloud server version:_x000D_
13 0 6_x000D_
_x000D_
    Logs_x000D_
Will post logs if necessary </t>
  </si>
  <si>
    <t>vector-im-riot-android-2573</t>
  </si>
  <si>
    <t>FATAL EXCEPTION on file save</t>
  </si>
  <si>
    <t xml:space="preserve">I press on the csv file on the unencrypted room and it successfully saves _x000D_
But riot stops:_x000D_
logcat:_x000D_
_x000D_
   _x000D_
09 03 21:48:56 677   508   537 E ANDR PERF RESOURCEQS: Failed to apply optimization  4  0 _x000D_
09 03 21:48:56 679   508   537 E ANDR PERF RESOURCEQS: Failed to apply optimization  2  0 _x000D_
09 03 21:48:56 680   508   537 E ANDR PERF RESOURCEQS: Failed to apply optimization  4  0 _x000D_
09 03 21:48:56 680   508   537 E ANDR PERF RESOURCEQS: Failed to apply optimization  2  0 _x000D_
09 03 21:48:56 765  2177  7815 D NuPlayerDriver: NuPlayerDriver(0xe8a18200) created  clientPid(3079)_x000D_
09 03 21:48:56 772  2177 14166 D GenericSource: FileSource remote_x000D_
09 03 21:48:56 781  2177 14165 D NuPlayerDriver: notifyListener l(0xe8a18200)  (1  0  0   1)  loop setting(0  0)_x000D_
09 03 21:48:56 789  2474  4184 I MediaFocusControl: requestAudioFocus() from uid pid 10031 3079 clientId android media AudioManager d186421 callingPack com android systemui req 3 flags 0x0 sdk 27_x000D_
09 03 21:48:56 821 13911 13911 D AndroidRuntime: Shutting down VM_x000D_
09 03 21:48:56 822 13911 13911 E AndroidRuntime: FATAL EXCEPTION: main_x000D_
09 03 21:48:56 822 13911 13911 E AndroidRuntime: Process: im vector alpha  PID: 13911_x000D_
09 03 21:48:56 822 13911 13911 E AndroidRuntime: android os FileUriExposedException: file:   storage emulated 0 Download LoyaltyCardKeychain(3) csv exposed beyond app through Intent getData()_x000D_
09 03 21:48:56 822 13911 13911 E AndroidRuntime: 	at android os StrictMode onFileUriExposed(StrictMode java:1960)_x000D_
09 03 21:48:56 822 13911 13911 E AndroidRuntime: 	at android net Uri checkFileUriExposed(Uri java:2356)_x000D_
09 03 21:48:56 822 13911 13911 E AndroidRuntime: 	at android content Intent prepareToLeaveProcess(Intent java:9881)_x000D_
09 03 21:48:56 822 13911 13911 E AndroidRuntime: 	at android content Intent prepareToLeaveProcess(Intent java:9835)_x000D_
09 03 21:48:56 822 13911 13911 E AndroidRuntime: 	at android app Instrumentation execStartActivity(Instrumentation java:1610)_x000D_
09 03 21:48:56 822 13911 13911 E AndroidRuntime: 	at android app Activity startActivityForResult(Activity java:4487)_x000D_
09 03 21:48:56 822 13911 13911 E AndroidRuntime: 	at android support v4 app BaseFragmentActivityApi16 startActivityForResult(BaseFragmentActivityApi16 java:54)_x000D_
09 03 21:48:56 822 13911 13911 E AndroidRuntime: 	at android support v4 app FragmentActivity startActivityForResult(FragmentActivity java:68)_x000D_
09 03 21:48:56 822 13911 13911 E AndroidRuntime: 	at android app Activity startActivityForResult(Activity java:4445)_x000D_
09 03 21:48:56 822 13911 13911 E AndroidRuntime: 	at android support v4 app FragmentActivity startActivityForResult(FragmentActivity java:751)_x000D_
09 03 21:48:56 822 13911 13911 E AndroidRuntime: 	at android app Activity startActivity(Activity java:4806)_x000D_
09 03 21:48:56 822 13911 13911 E AndroidRuntime: 	at android app Activity startActivity(Activity java:4774)_x000D_
09 03 21:48:56 822 13911 13911 E AndroidRuntime: 	at im vector activity MXCActionBarActivity startActivity(MXCActionBarActivity java:90)_x000D_
09 03 21:48:56 822 13911 13911 E AndroidRuntime: 	at im vector util ExternalApplicationsUtilKt openMedia(ExternalApplicationsUtil kt:238)_x000D_
09 03 21:48:56 822 13911 13911 E AndroidRuntime: 	at im vector fragments VectorMessageListFragment 19 1 onSuccess(VectorMessageListFragment java:854)_x000D_
09 03 21:48:56 822 13911 13911 E AndroidRuntime: 	at im vector fragments VectorMessageListFragment 19 1 onSuccess(VectorMessageListFragment java:847)_x000D_
09 03 21:48:56 822 13911 13911 E AndroidRuntime: 	at im vector activity CommonActivityUtils 12 onSuccess(CommonActivityUtils java:1193)_x000D_
09 03 21:48:56 822 13911 13911 E AndroidRuntime: 	at im vector activity CommonActivityUtils 12 onSuccess(CommonActivityUtils java:1178)_x000D_
09 03 21:48:56 822 13911 13911 E AndroidRuntime: 	at im vector activity CommonActivityUtils 10 onPostExecute(CommonActivityUtils java:1138)_x000D_
09 03 21:48:56 822 13911 13911 E AndroidRuntime: 	at im vector activity CommonActivityUtils 10 onPostExecute(CommonActivityUtils java:1051)_x000D_
09 03 21:48:56 822 13911 13911 E AndroidRuntime: 	at android os AsyncTask finish(AsyncTask java:695)_x000D_
09 03 21:48:56 822 13911 13911 E AndroidRuntime: 	at android os AsyncTask  wrap1(Unknown Source:0)_x000D_
09 03 21:48:56 822 13911 13911 E AndroidRuntime: 	at android os AsyncTask InternalHandler handleMessage(AsyncTask java:712)_x000D_
09 03 21:48:56 822 13911 13911 E AndroidRuntime: 	at android os Handler dispatchMessage(Handler java:106)_x000D_
09 03 21:48:56 822 13911 13911 E AndroidRuntime: 	at android os Looper loop(Looper java:164)_x000D_
09 03 21:48:56 822 13911 13911 E AndroidRuntime: 	at android app ActivityThread main(ActivityThread java:6494)_x000D_
09 03 21:48:56 822 13911 13911 E AndroidRuntime: 	at java lang reflect Method invoke(Native Method)_x000D_
09 03 21:48:56 822 13911 13911 E AndroidRuntime: 	at com android internal os RuntimeInit MethodAndArgsCaller run(RuntimeInit java:440)_x000D_
09 03 21:48:56 822 13911 13911 E AndroidRuntime: 	at com android internal os ZygoteInit main(ZygoteInit java:807)_x000D_
09 03 21:48:56 826  2474  4184 W ActivityManager:   Force finishing activity im vector alpha im vector activity VectorRoomActivity_x000D_
09 03 21:48:56 838  2474  2529 I ActivityManager: Showing crash dialog for package im vector alpha u0_x000D_
_x000D_
   </t>
  </si>
  <si>
    <t>Exodus-Privacy-exodus-android-app-34</t>
  </si>
  <si>
    <t>app crash after initial applications scan</t>
  </si>
  <si>
    <t>Hello  _x000D_
_x000D_
when I start Exodus  it analyzes the installed apps  then crashes  If I try to restart it  I don t see a new apps scan  the crash is immediate  I m on LineageOS 14 1 _x000D_
_x000D_
Here is the relevant part of logcat:_x000D_
_x000D_
09 03 20:11:45 889 17950 17950 D AndroidRuntime: Shutting down VM_x000D_
09 03 20:11:45 891 17950 17950 E AndroidRuntime: FATAL EXCEPTION: main_x000D_
09 03 20:11:45 891 17950 17950 E AndroidRuntime: Process: org eu exodus privacy exodusprivacy  PID: 17950_x000D_
09 03 20:11:45 891 17950 17950 E AndroidRuntime: java lang IllegalArgumentException: the bind value at index 2 is null_x000D_
09 03 20:11:45 891 17950 17950 E AndroidRuntime: 	at android database sqlite SQLiteProgram bindString(SQLiteProgram java:164)_x000D_
09 03 20:11:45 891 17950 17950 E AndroidRuntime: 	at android database sqlite SQLiteProgram bindAllArgsAsStrings(SQLiteProgram java:200)_x000D_
09 03 20:11:45 891 17950 17950 E AndroidRuntime: 	at android database sqlite SQLiteDirectCursorDriver query(SQLiteDirectCursorDriver java:47)_x000D_
09 03 20:11:45 891 17950 17950 E AndroidRuntime: 	at android database sqlite SQLiteDatabase rawQueryWithFactory(SQLiteDatabase java:1318)_x000D_
09 03 20:11:45 891 17950 17950 E AndroidRuntime: 	at android database sqlite SQLiteDatabase queryWithFactory(SQLiteDatabase java:1165)_x000D_
09 03 20:11:45 891 17950 17950 E AndroidRuntime: 	at android database sqlite SQLiteDatabase query(SQLiteDatabase java:1036)_x000D_
09 03 20:11:45 891 17950 17950 E AndroidRuntime: 	at android database sqlite SQLiteDatabase query(SQLiteDatabase java:1204)_x000D_
09 03 20:11:45 891 17950 17950 E AndroidRuntime: 	at org eu exodus privacy exodusprivacy manager DatabaseManager getReportFor(DatabaseManager java:196)_x000D_
09 03 20:11:45 891 17950 17950 E AndroidRuntime: 	at org eu exodus privacy exodusprivacy adapters ApplicationListAdapter ApplicationListViewHolder setData(ApplicationListAdapter java:153)_x000D_
09 03 20:11:45 891 17950 17950 E AndroidRuntime: 	at org eu exodus privacy exodusprivacy adapters ApplicationListAdapter onBindViewHolder(ApplicationListAdapter java:91)_x000D_
09 03 20:11:45 891 17950 17950 E AndroidRuntime: 	at org eu exodus privacy exodusprivacy adapters ApplicationListAdapter onBindViewHolder(ApplicationListAdapter java:45)_x000D_
09 03 20:11:45 891 17950 17950 E AndroidRuntime: 	at android support v7 widget RecyclerView Adapter onBindViewHolder(RecyclerView java:6673)_x000D_
09 03 20:11:45 891 17950 17950 E AndroidRuntime: 	at android support v7 widget RecyclerView Adapter bindViewHolder(RecyclerView java:6714)_x000D_
09 03 20:11:45 891 17950 17950 E AndroidRuntime: 	at android support v7 widget RecyclerView Recycler tryBindViewHolderByDeadline(RecyclerView java:5647)_x000D_
09 03 20:11:45 891 17950 17950 E AndroidRuntime: 	at android support v7 widget RecyclerView Recycler tryGetViewHolderForPositionByDeadline(RecyclerView java:5913)_x000D_
09 03 20:11:45 891 17950 17950 E AndroidRuntime: 	at android support v7 widget RecyclerView Recycler getViewForPosition(RecyclerView java:5752)_x000D_
09 03 20:11:45 891 17950 17950 E AndroidRuntime: 	at android support v7 widget RecyclerView Recycler getViewForPosition(RecyclerView java:5748)_x000D_
09 03 20:11:45 891 17950 17950 E AndroidRuntime: 	at android support v7 widget LinearLayoutManager LayoutState next(LinearLayoutManager java:2232)_x000D_
09 03 20:11:45 891 17950 17950 E AndroidRuntime: 	at android support v7 widget LinearLayoutManager layoutChunk(LinearLayoutManager java:1559)_x000D_
09 03 20:11:45 891 17950 17950 E AndroidRuntime: 	at android support v7 widget LinearLayoutManager fill(LinearLayoutManager java:1519)_x000D_
09 03 20:11:45 891 17950 17950 E AndroidRuntime: 	at android support v7 widget LinearLayoutManager onLayoutChildren(LinearLayoutManager java:614)_x000D_
09 03 20:11:45 891 17950 17950 E AndroidRuntime: 	at android support v7 widget RecyclerView dispatchLayoutStep2(RecyclerView java:3812)_x000D_
09 03 20:11:45 891 17950 17950 E AndroidRuntime: 	at android support v7 widget RecyclerView dispatchLayout(RecyclerView java:3529)_x000D_
09 03 20:11:45 891 17950 17950 E AndroidRuntime: 	at android support v7 widget RecyclerView onLayout(RecyclerView java:4082)_x000D_
09 03 20:11:45 891 17950 17950 E AndroidRuntime: 	at android view View layout(View java:17641)_x000D_
09 03 20:11:45 891 17950 17950 E AndroidRuntime: 	at android view ViewGroup layout(ViewGroup java:5575)_x000D_
09 03 20:11:45 891 17950 17950 E AndroidRuntime: 	at android support v4 widget SwipeRefreshLayout onLayout(SwipeRefreshLayout java:606)_x000D_
09 03 20:11:45 891 17950 17950 E AndroidRuntime: 	at android view View layout(View java:17641)_x000D_
09 03 20:11:45 891 17950 17950 E AndroidRuntime: 	at android view ViewGroup layout(ViewGroup java:5575)_x000D_
09 03 20:11:45 891 17950 17950 E AndroidRuntime: 	at android support constraint ConstraintLayout onLayout(ConstraintLayout java:1197)_x000D_
09 03 20:11:45 891 17950 17950 E AndroidRuntime: 	at android view View layout(View java:17641)_x000D_
09 03 20:11:45 891 17950 17950 E AndroidRuntime: 	at android view ViewGroup layout(ViewGroup java:5575)_x000D_
09 03 20:11:45 891 17950 17950 E AndroidRuntime: 	at android widget FrameLayout layoutChildren(FrameLayout java:323)_x000D_
09 03 20:11:45 891 17950 17950 E AndroidRuntime: 	at android widget FrameLayout onLayout(FrameLayout java:261)_x000D_
09 03 20:11:45 891 17950 17950 E AndroidRuntime: 	at android view View layout(View java:17641)_x000D_
09 03 20:11:45 891 17950 17950 E AndroidRuntime: 	at android view ViewGroup layout(ViewGroup java:5575)_x000D_
09 03 20:11:45 891 17950 17950 E AndroidRuntime: 	at android widget FrameLayout layoutChildren(FrameLayout java:323)_x000D_
09 03 20:11:45 891 17950 17950 E AndroidRuntime: 	at android widget FrameLayout onLayout(FrameLayout java:261)_x000D_
09 03 20:11:45 891 17950 17950 E AndroidRuntime: 	at android view View layout(View java:17641)_x000D_
09 03 20:11:45 891 17950 17950 E AndroidRuntime: 	at android view ViewGroup layout(ViewGroup java:5575)_x000D_
09 03 20:11:45 891 17950 17950 E AndroidRuntime: 	at android support v7 widget ActionBarOverlayLayout onLayout(ActionBarOverlayLayout java:443)_x000D_
09 03 20:11:45 891 17950 17950 E AndroidRuntime: 	at android view View layout(View java:17641)_x000D_
09 03 20:11:45 891 17950 17950 E AndroidRuntime: 	at android view ViewGroup layout(ViewGroup java:5575)_x000D_
09 03 20:11:45 891 17950 17950 E AndroidRuntime: 	at android widget FrameLayout layoutChildren(FrameLayout java:323)_x000D_
09 03 20:11:45 891 17950 17950 E AndroidRuntime: 	at android widget FrameLayout onLayout(FrameLayout java:261)_x000D_
09 03 20:11:45 891 17950 17950 E AndroidRuntime: 	at android view View layout(View java:17641)_x000D_
09 03 20:11:45 891 17950 17950 E AndroidRuntime: 	at android view ViewGroup layout(ViewGroup java:5575)_x000D_
09 03 20:11:45 891 17950 17950 E AndroidRuntime: 	at android widget LinearLayout setChildFrame(LinearLayout java:1741)_x000D_
09 03 20:11:45 891 17950 17950 E AndroidRuntime: 	at android widget LinearLayout layoutVertical(LinearLayout java:1585)_x000D_
09 03 20:11:45 891 17950 17950 E AndroidRuntime: 	at android widget LinearLayout onLayout(LinearLayout java:1494)_x000D_
09 03 20:11:45 891 17950 17950 E AndroidRuntime: 	at android view View layout(View java:17641)_x000D_
09 03 20:11:45 891 17950 17950 E AndroidRuntime: 	at android view ViewGroup layout(ViewGroup java:5575)_x000D_
09 03 20:11:45 891 17950 17950 E AndroidRuntime: 	at android widget FrameLayout layoutChildren(FrameLayout java:323)_x000D_
09 03 20:11:45 891 17950 17950 E AndroidRuntime: 	at android widget FrameLayout onLayout(FrameLayout java:261)_x000D_
09 03 20:11:45 891 17950 17950 E AndroidRuntime: 	at com android internal policy DecorView onLayout(DecorView java:729)_x000D_
09 03 20:11:45 891 17950 17950 E AndroidRuntime: 	at android view View layout(View java:17641)_x000D_
09 03 20:11:45 891 17950 17950 E AndroidRuntime: 	at android view ViewGroup layout(ViewGroup java:5575)_x000D_
09 03 20:11:45 891 17950 17950 E AndroidRuntime: 	at android view ViewRootImpl performLayout(ViewRootImpl java:2346)_x000D_
09 03 20:11:45 891 17950 17950 E AndroidRuntime: 	at android view ViewRootImpl performTraversals(ViewRootImpl java:2068)_x000D_
09 03 20:11:45 891 17950 17950 E AndroidRuntime: 	at android view ViewRootImpl doTraversal(ViewRootImpl java:1254)_x000D_
09 03 20:11:45 891 17950 17950 E AndroidRuntime: 	at android view ViewRootImpl TraversalRunnable run(ViewRootImpl java:6344)_x000D_
09 03 20:11:45 891 17950 17950 E AndroidRuntime: 	at android view Choreographer CallbackRecord run(Choreographer java:874)_x000D_
09 03 20:11:45 891 17950 17950 E AndroidRuntime: 	at android view Choreographer doCallbacks(Choreographer java:686)_x000D_
09 03 20:11:45 891 17950 17950 E AndroidRuntime: 	at android view Choreographer doFrame(Choreographer java:621)_x000D_
09 03 20:11:45 891 17950 17950 E AndroidRuntime: 	at android view Choreographer FrameDisplayEventReceiver run(Choreographer java:860)_x000D_
09 03 20:11:45 891 17950 17950 E AndroidRuntime: 	at android os Handler handleCallback(Handler java:751)_x000D_
09 03 20:11:45 891 17950 17950 E AndroidRuntime: 	at android os Handler dispatchMessage(Handler java:95)_x000D_
09 03 20:11:45 891 17950 17950 E AndroidRuntime: 	at android os Looper loop(Looper java:154)_x000D_
09 03 20:11:45 891 17950 17950 E AndroidRuntime: 	at android app ActivityThread main(ActivityThread java:6186)_x000D_
09 03 20:11:45 891 17950 17950 E AndroidRuntime: 	at java lang reflect Method invoke(Native Method)_x000D_
09 03 20:11:45 891 17950 17950 E AndroidRuntime: 	at com android internal os ZygoteInit MethodAndArgsCaller run(ZygoteInit java:889)_x000D_
09 03 20:11:45 891 17950 17950 E AndroidRuntime: 	at com android internal os ZygoteInit main(ZygoteInit java:779)_x000D_
09 03 20:11:45 893  2978  3724 W ActivityManager:   Force finishing activity org eu exodus privacy exodusprivacy  MainActivity_x000D_
09 03 20:11:45 906 17950 17950 I Process : Sending signal  PID: 17950 SIG: 9_x000D_
09 03 20:11:45 913   505   505 E lowmemorykiller: Error writing  proc 17950 oom score adj  errno 22_x000D_
09 03 20:11:45 915  2978  3158 W ActivityManager: Failed setting process group of 17950 to 1_x000D_
09 03 20:11:45 915  2978  3158 W System err: java lang IllegalArgumentException: Given thread 17970 does not exist_x000D_
09 03 20:11:45 915  2978  3158 W System err: 	at android os Process setThreadPriority(Native Method)_x000D_
09 03 20:11:45 916  2978  3158 W System err: 	at com android server am ActivityManagerService applyOomAdjLocked(ActivityManagerService java:20777)_x000D_
09 03 20:11:45 916  2978  3158 W System err: 	at com android server am ActivityManagerService updateOomAdjLocked(ActivityManagerService java:21310)_x000D_
09 03 20:11:45 916  2978  3158 W System err: 	at com android server am BroadcastQueue processCurBroadcastLocked(BroadcastQueue java:274)_x000D_
09 03 20:11:45 916  2978  3158 W System err: 	at com android server am BroadcastQueue processNextBroadcast(BroadcastQueue java:1225)_x000D_
09 03 20:11:45 916  2978  3158 W System err: 	at com android server am BroadcastQueue BroadcastHandler handleMessage(BroadcastQueue java:172)_x000D_
09 03 20:11:45 916  2978  3158 W System err: 	at android os Handler dispatchMessage(Handler java:102)_x000D_
09 03 20:11:45 916  2978  3158 W System err: 	at android os Looper loop(Looper java:154)_x000D_
09 03 20:11:45 916  2978  3158 W System err: 	at android os HandlerThread run(HandlerThread java:61)_x000D_
09 03 20:11:45 916  2978  3158 W System err: 	at com android server ServiceThread run(ServiceThread java:46)_x000D_
_x000D_
09 03 20:11:45 957  2978  3559 W InputDispatcher: channel  8dca51f org eu exodus privacy exodusprivacy org eu exodus privacy exodusprivacy MainActivity (server)    Consumer closed input channel or an error occurred   events 0x9_x000D_
09 03 20:11:45 957  2978  3559 E InputDispatcher: channel  8dca51f org eu exodus privacy exodusprivacy org eu exodus privacy exodusprivacy MainActivity (server)    Channel is unrecoverably broken and will be disposed _x000D_
09 03 20:11:45 958  2978 25442 D GraphicsStats: Buffer count: 11_x000D_
09 03 20:11:45 960  2978 25442 I WindowManager: WIN DEATH: Window 8dca51f u0 org eu exodus privacy exodusprivacy org eu exodus privacy exodusprivacy MainActivity _x000D_
09 03 20:11:45 960  2978 25442 W InputDispatcher: Attempted to unregister already unregistered input channel  8dca51f org eu exodus privacy exodusprivacy org eu exodus privacy exodusprivacy MainActivity (server) _x000D_
09 03 20:11:45 964  2978  4596 I ActivityManager: Process org eu exodus privacy exodusprivacy (pid 17950) has died_x000D_
09 03 20:11:45 964  2978  4596 D ActivityManager: cleanUpApplicationRecord    17950_x000D_
_x000D_
Thanks _x000D_
   _x000D_
R mi</t>
  </si>
  <si>
    <t>commons-app-apps-android-commons-1876</t>
  </si>
  <si>
    <t>SocketTimeoutException from fetching number of images deleted</t>
  </si>
  <si>
    <t xml:space="preserve">  Summary:   _x000D_
_x000D_
I logged in to Misaochan  went to Nearby  and the app crashed for me while I was searching for an image to upload to Nearby  Stack trace seems to point to getRevertRespObjectSingle() in ApacheHttpClientMediaWikiApi_x000D_
_x000D_
  Steps to reproduce:   _x000D_
_x000D_
Unsure of how to reproduce  it is not consistent  However  we should handle this exception more gracefully  I think catching it and outputting an error message is sufficient since that method is not essential (it s just used to get user revert rate)   Edit: After looking into it further  this is NOT true   this function is called whenever the user loads ContributionsActivity  and it is nonNull  _x000D_
_x000D_
  Add System logs:  _x000D_
_x000D_
   _x000D_
09 03 19:16:22 913 27648 27648 fr free nrw commons W System err: Caused by: java net SocketTimeoutException: timeout_x000D_
        at okhttp3 internal http2 Http2Stream StreamTimeout newTimeoutException(Http2Stream java:593)_x000D_
        at okhttp3 internal http2 Http2Stream StreamTimeout exitAndThrowIfTimedOut(Http2Stream java:601)_x000D_
09 03 19:16:22 914 27648 27648 fr free nrw commons W System err:     at okhttp3 internal http2 Http2Stream takeResponseHeaders(Http2Stream java:146)_x000D_
        at okhttp3 internal http2 Http2Codec readResponseHeaders(Http2Codec java:125)_x000D_
        at okhttp3 internal http CallServerInterceptor intercept(CallServerInterceptor java:88)_x000D_
        at okhttp3 internal http RealInterceptorChain proceed(RealInterceptorChain java:147)_x000D_
09 03 19:16:22 915 27648 27648 fr free nrw commons W System err:     at okhttp3 internal connection ConnectInterceptor intercept(ConnectInterceptor java:45)_x000D_
        at okhttp3 internal http RealInterceptorChain proceed(RealInterceptorChain java:147)_x000D_
        at okhttp3 internal http RealInterceptorChain proceed(RealInterceptorChain java:121)_x000D_
09 03 19:16:22 916 27648 27648 fr free nrw commons W System err: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09 03 19:16:22 917 27648 27648 fr free nrw commons W System err:     at okhttp3 internal http RealInterceptorChain proceed(RealInterceptorChain java:147)_x000D_
        at okhttp3 internal http RetryAndFollowUpInterceptor intercept(RetryAndFollowUpInterceptor java:126)_x000D_
09 03 19:16:22 918 27648 27648 fr free nrw commons W System err: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09 03 19:16:22 919 27648 27648 fr free nrw commons W System err:     at fr free nrw commons mwapi ApacheHttpClientMediaWikiApi lambda getRevertRespObjectSingle 5 ApacheHttpClientMediaWikiApi(ApacheHttpClientMediaWikiApi java:1018)_x000D_
        at fr free nrw commons mwapi ApacheHttpClientMediaWikiApi  Lambda 9 call(Unknown Source:4)_x000D_
        at io reactivex internal operators single SingleFromCallable subscribeActual(SingleFromCallable java:35)_x000D_
09 03 19:16:22 920 27648 27648 fr free nrw commons W System err:     at io reactivex Single subscribe(Single java:2700)_x000D_
        at com tspoon traceur SingleOnAssembly subscribeActual(SingleOnAssembly java:43)_x000D_
        at io reactivex Single subscribe(Single java:2700)_x000D_
        at io reactivex internal operators single SingleSubscribeOn SubscribeOnObserver run(SingleSubscribeOn java:89)_x000D_
09 03 19:16:22 921 27648 27648 fr free nrw commons W System err:     at io reactivex Scheduler DisposeTask run(Scheduler java:452)_x000D_
        at io reactivex internal schedulers ScheduledRunnable run(ScheduledRunnable java:61)_x000D_
09 03 19:16:22 922 27648 27648 fr free nrw commons W System err:     at io reactivex internal schedulers ScheduledRunnable call(ScheduledRunnable java:52)_x000D_
        at java util concurrent FutureTask run(FutureTask java:266)_x000D_
        at java util concurrent ScheduledThreadPoolExecutor ScheduledFutureTask run(ScheduledThreadPoolExecutor java:301)_x000D_
09 03 19:16:22 923 27648 27648 fr free nrw commons W System err:     at java util concurrent ThreadPoolExecutor runWorker(ThreadPoolExecutor java:1162)_x000D_
        at java util concurrent ThreadPoolExecutor Worker run(ThreadPoolExecutor java:636)_x000D_
        at java lang Thread run(Thread java:764)_x000D_
09 03 19:16:22 924 27648 27648 fr free nrw commons W System err: Caused by: com tspoon traceur TraceurException: Debug Exception generated at call site_x000D_
        at dalvik system VMStack getThreadStackTrace(Native Method)_x000D_
        at java lang Thread getStackTrace(Thread java:1536)_x000D_
        at io reactivex Single fromCallable(Single java:448)_x000D_
09 03 19:16:22 925 27648 27648 fr free nrw commons W System err:     at fr free nrw commons mwapi ApacheHttpClientMediaWikiApi getRevertRespObjectSingle(ApacheHttpClientMediaWikiApi java:1005)_x000D_
        at fr free nrw commons quiz QuizChecker setRevertCount(QuizChecker java:92)_x000D_
        at fr free nrw commons quiz QuizChecker  init (QuizChecker java:55)_x000D_
09 03 19:16:22 926 27648 27648 fr free nrw commons W System err:     at fr free nrw commons contributions ContributionsActivity onCreate(ContributionsActivity java:152)_x000D_
        at android app Activity performCreate(Activity java:7174)_x000D_
        at android app Instrumentation callActivityOnCreate(Instrumentation java:1220)_x000D_
09 03 19:16:22 927 27648 27648 fr free nrw commons W System err:     at android app ActivityThread performLaunchActivity(ActivityThread java:2910)_x000D_
        at android app ActivityThread handleLaunchActivity(ActivityThread java:3032)_x000D_
        at android app ActivityThread  wrap11(Unknown Source:0)_x000D_
        at android app ActivityThread H handleMessage(ActivityThread java:1696)_x000D_
09 03 19:16:22 928 27648 27648 fr free nrw commons W System err: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09 03 19:16:22 929 27648 27648 fr free nrw commons W System err:     at com android internal os ZygoteInit main(ZygoteInit java:1374)_x000D_
09 03 19:16:22 930 27648 27648 fr free nrw commons W System err: Caused by: com tspoon traceur TraceurException: Debug Exception generated at call site_x000D_
        at dalvik system VMStack getThreadStackTrace(Native Method)_x000D_
        at java lang Thread getStackTrace(Thread java:1536)_x000D_
09 03 19:16:22 931 27648 27648 fr free nrw commons W System err:     at io reactivex Single subscribeOn(Single java:2768)_x000D_
        at fr free nrw commons quiz QuizChecker setRevertCount(QuizChecker java:93)_x000D_
09 03 19:16:22 932 27648 27648 fr free nrw commons W System err: 	    14 more_x000D_
    Caused by: com tspoon traceur TraceurException: Debug Exception generated at call site_x000D_
09 03 19:16:22 933 27648 27648 fr free nrw commons W System err:     at dalvik system VMStack getThreadStackTrace(Native Method)_x000D_
        at java lang Thread getStackTrace(Thread java:1536)_x000D_
        at io reactivex Single observeOn(Single java:2296)_x000D_
        at fr free nrw commons quiz QuizChecker setRevertCount(QuizChecker java:94)_x000D_
09 03 19:16:22 934 27648 27648 fr free nrw commons W System err: 	    14 more_x000D_
09 03 19:16:22 946 3646 8649   W ActivityManager: crash : fr free nrw commons 0_x000D_
09 03 19:16:22 948 3646 8649   W ActivityManager:   Force finishing activity fr free nrw commons  nearby NearbyActivity_x000D_
   _x000D_
_x000D_
  Device and Android version:   _x000D_
_x000D_
Android 8 0 Samsung Galaxy s7_x000D_
 _x000D_
   Commons app version:   _x000D_
_x000D_
https:  github com commons app apps android commons pull 1875 which is based on  2 8 release   but the error does not appear to be relevant to that PR at all  just coincidence_x000D_
_x000D_
  Would you like to work on the issue   _x000D_
_x000D_
Pref not_x000D_
</t>
  </si>
  <si>
    <t>kollerlukas-Camera-Roll-Android-App-216</t>
  </si>
  <si>
    <t>found a crash in 1.0.6</t>
  </si>
  <si>
    <t>first crash:  I wanted to change a logo picture through Camer Roll  there s a crash happened _x000D_
second crash:  wanted to change a logo by take photo then return to Camer Roll to resize  crashed _x000D_
I checked the app source code which crash happended  and rechanged logo through another gallery app but no crash  The crash should be caused by your code  and with log below</t>
  </si>
  <si>
    <t>niccokunzmann-mundraub-android-88</t>
  </si>
  <si>
    <t>Update OpenLayers</t>
  </si>
  <si>
    <t xml:space="preserve">     If you report an app crash  please attach the eu quelltext mundraub log txt file_x000D_
     from the root of your phone s file system     _x000D_
_x000D_
Currently  we are using version _x000D_
_x000D_
   _x000D_
OpenLayers VERSION NUMBER_x000D_
 Release 2 14 dev _x000D_
   _x000D_
This is quite old _x000D_
Better to use OpenLayers 3  an updated version </t>
  </si>
  <si>
    <t>niccokunzmann-mundraub-android-86</t>
  </si>
  <si>
    <t>Show occurrences of more than one plant</t>
  </si>
  <si>
    <t xml:space="preserve">     If you report an app crash  please attach the eu quelltext mundraub log txt file_x000D_
     from the root of your phone s file system     _x000D_
_x000D_
If you zoom out  some plants form collections of plants to keep the map visible _x000D_
This needs to be shown in some way  Currently  they just disappear  You can see such a behavior on the map: https:  mundraub org map_x000D_
_x000D_
Best would be if we can write into the settings which zoom layer it is that requires getting all plants not as bundle  (new issue once this is implemented) _x000D_
_x000D_
Question to implement this: How to add a marker to open layers which can have variable text in it like a number </t>
  </si>
  <si>
    <t>PhilJay-MPAndroidChart-4214</t>
  </si>
  <si>
    <t>Changing xAxis label count with data set change results in old dataset values passed to formatter</t>
  </si>
  <si>
    <t xml:space="preserve">_x000D_
  Summary  _x000D_
Changing xAxis label count with data set change results in old data set values passed to formatter  but not always  _x000D_
Setting of params on the first data set:_x000D_
    _x000D_
with(xAxis)  _x000D_
        position   XAxis XAxisPosition BOTTOM_x000D_
        this typeface   typeface_x000D_
        setDrawGridLines(false)_x000D_
        this labelCount   labelCount_x000D_
        valueFormatter   xAxisFormatter_x000D_
     _x000D_
   _x000D_
barChart data   barData_x000D_
   _x000D_
on the first load everything is ok _x000D_
Then I refresh the data  formatter and label:_x000D_
   _x000D_
   _x000D_
    val xAxisFormatter   data xAxisFormatterByRange()_x000D_
    val labelCount   data xAxisLabelCountByRange()_x000D_
_x000D_
    barChart xAxis labelCount   labelCount_x000D_
    barChart xAxis valueFormatter   xAxisFormatter_x000D_
_x000D_
    val dataSet   view data getDataSetByIndex(0) as BarDataSet_x000D_
    dataSet values   entries_x000D_
_x000D_
    barChart data notifyDataChanged()_x000D_
    barChart notifyDataSetChanged()_x000D_
   _x000D_
The first time the data refresh happens  everything goes well _x000D_
I get the crash on the second refresh on line  barChart notifyDataSetChanged()  because values from old data are passed to a new formatter _x000D_
_x000D_
When I remove the setting of labelCount from both the init and refresh  everything works well _x000D_
When I leave the labelCount setting only in the init or refresh  I get the same crash _x000D_
_x000D_
I need this as I use date ranges  For the period of week  all 7 labels are present without any labelCount set  but for periods of month and year  default 6 labels are not good enough  Label counts are 7  15 and 12 _x000D_
_x000D_
  Expected Behavior  _x000D_
   After  barChart notifyDataSetChanged()   chart is refreshed with new data  formatter and label count _x000D_
_x000D_
  Possible Solution  _x000D_
mEntries in XAxis are not always refreshed on labelCount changes  I could not find where they are set or reset _x000D_
_x000D_
  Device (please complete the following information):  _x000D_
   Device: Google Pixel 2_x000D_
   Android Version 9_x000D_
   Library Version  3 0 3_x000D_
_x000D_
Other bar chart settings: _x000D_
   _x000D_
        barChart setDrawValueAboveBar(true)_x000D_
        barChart setScaleEnabled(false)_x000D_
        barChart legend isEnabled   false_x000D_
        barChart description isEnabled   false_x000D_
        barChart setNoDataText(noDataText)_x000D_
        barChart setNoDataTextTypeface(typeface)_x000D_
   _x000D_
_x000D_
Crash log:_x000D_
   _x000D_
org threeten bp DateTimeException: Invalid value for DayOfWeek: 8_x000D_
        at org threeten bp DayOfWeek of(DayOfWeek java:144)_x000D_
        at com deividasstr ui features consumedsweetdata charts WeekXAxisFormatter weekDayFromDay(WeekXAxisFormatter kt:16)_x000D_
        at com deividasstr ui features consumedsweetdata charts WeekXAxisFormatter getFormattedValue(WeekXAxisFormatter kt:12)_x000D_
        at com github mikephil charting components AxisBase getFormattedLabel(AxisBase java:472)_x000D_
        at com github mikephil charting components AxisBase getLongestLabel(AxisBase java:458)_x000D_
        at com github mikephil charting renderer XAxisRenderer computeSize(XAxisRenderer java:79)_x000D_
        at com github mikephil charting renderer XAxisRenderer computeAxisValues(XAxisRenderer java:74)_x000D_
        at com github mikephil charting renderer XAxisRenderer computeAxis(XAxisRenderer java:67)_x000D_
        at com github mikephil charting charts BarLineChartBase notifyDataSetChanged(BarLineChartBase java:332)_x000D_
   _x000D_
   </t>
  </si>
  <si>
    <t>niccokunzmann-mundraub-android-82</t>
  </si>
  <si>
    <t>Other toggle buttons in settings not explained</t>
  </si>
  <si>
    <t xml:space="preserve">     If you report an app crash  please attach the eu quelltext mundraub log txt file_x000D_
     from the root of your phone s file system     _x000D_
_x000D_
The toggle buttons in the settings have no explanation </t>
  </si>
  <si>
    <t>niccokunzmann-mundraub-android-79</t>
  </si>
  <si>
    <t>Add Mundraub.org markers to map</t>
  </si>
  <si>
    <t xml:space="preserve">     If you report an app crash  please attach the eu quelltext mundraub log txt file_x000D_
     from the root of your phone s file system     _x000D_
_x000D_
When you open the map when you edit a plant  you can now recognize that there may be plants loaded nearby  These probably do not have an image  These images need to be added to the  markers (https:  github com niccokunzmann mundraub android tree master app src main assets map img markers)  so  icons js (https:  github com niccokunzmann mundraub android blob master app src main assets map icons js) can load them _x000D_
_x000D_
Since Mundraub shows them in German  you may want to use https:  leo org to look up which name is which _x000D_
_x000D_
       apple png _x000D_
       apricot png _x000D_
       pear png _x000D_
       cherry png _x000D_
       mirabelle png _x000D_
       mulberry png _x000D_
       plum png _x000D_
       quince png _x000D_
       other fruit trees png _x000D_
       blackberry png _x000D_
   X   blueberry png _x000D_
       raspberry png _x000D_
       elder png _x000D_
       rose hip png _x000D_
       juneberry png _x000D_
       currant png _x000D_
       cornel cherry png _x000D_
       seaberry png _x000D_
       sloe png _x000D_
       haw png _x000D_
       other fruit shrub png _x000D_
   X   ramsons png _x000D_
       mint png _x000D_
       rosemary png _x000D_
       thyme png _x000D_
       juniper png _x000D_
       woodruff png _x000D_
       other herbs png _x000D_
       chestnut png _x000D_
       hazel png _x000D_
       wild strawberry png _x000D_
       walnut png _x000D_
       other nut _x000D_
_x000D_
related:  75 </t>
  </si>
  <si>
    <t>nextcloud-android-2946</t>
  </si>
  <si>
    <t>Android app crashes when open some folders with IllegalArgumentException: Comparison method violates its general contract!</t>
  </si>
  <si>
    <t xml:space="preserve">    Actual behaviour_x000D_
  The app crashes when open some folders_x000D_
_x000D_
    Expected behaviour_x000D_
  The app don t crashes_x000D_
 _x000D_
    Minimal JUnit test to reproduce_x000D_
   java_x000D_
     Test_x000D_
    public void testSortCloudFiles()  _x000D_
        List OCFile  array   new ArrayList  () _x000D_
        array add(new OCFile(  Joplin 0ed1778f8f88414286c13b2cbff8664e md )) _x000D_
        array add(new OCFile(  Joplin 0edf70ab1b722172088257b3d73d6c46 md )) _x000D_
        array add(new OCFile(  Joplin 0fb063d4d18128fdf464878d18439ca3 md )) _x000D_
        array add(new OCFile(  Joplin 10e27391096748b187392f913da048f8 md )) _x000D_
        array add(new OCFile(  Joplin 4093463de91947b990fccff4a1d13d8f md )) _x000D_
        array add(new OCFile(  Joplin 41742897324842849667274b2d1a0bb6 md )) _x000D_
        array add(new OCFile(  Joplin 41890bd1b11a44f7a6b226120ee1efbc md )) _x000D_
        array add(new OCFile(  Joplin 41bd23f62ebb4d0b64c5f78b5ad13133 md )) _x000D_
        array add(new OCFile(  Joplin 4292ef3223334677bed0ad0268e5bd4b md )) _x000D_
        array add(new OCFile(  Joplin 4307355783f4108aad5eba4d1b81ff91 md )) _x000D_
        array add(new OCFile(  Joplin 448d96a6c76b48b68030c8c11339088d md )) _x000D_
        array add(new OCFile(  Joplin 4969e02c5c504899b17a355e61989bed md )) _x000D_
        array add(new OCFile(  Joplin 49bfe05d968c3c0612ddceb2250b3a18 md )) _x000D_
        array add(new OCFile(  Joplin 701409a07ee4464fb82d9bc0c451f204 md )) _x000D_
        array add(new OCFile(  Joplin 70ba2272c85353a0216577ec76d0d343 md )) _x000D_
        array add(new OCFile(  Joplin 71563833027a49dcaa86208a3f621402 md )) _x000D_
        array add(new OCFile(  Joplin 7172f37973434fe3aeb6ef96bb48d968 md )) _x000D_
        array add(new OCFile(  Joplin 72068539d77c6e7b3271b653422d6e76 md )) _x000D_
        array add(new OCFile(  Joplin 73098c81e1ae4831b3a90ffda82ddcec md )) _x000D_
        array add(new OCFile(  Joplin 730c09e169bc4289af163a34d7fe2553 md )) _x000D_
        array add(new OCFile(  Joplin 736be455ce8aff18694649001a74722a md )) _x000D_
        array add(new OCFile(  Joplin 749c837930174e828620a99a9e7ad7bc md )) _x000D_
        array add(new OCFile(  Joplin 8a2d6a6461eb4979bb049837a8710a3d md )) _x000D_
        array add(new OCFile(  Joplin 8b7ff9081f5944399e1fc83c6191a09f md )) _x000D_
        array add(new OCFile(  Joplin 8c45ac421149a21f32edab06f0955839 md )) _x000D_
        array add(new OCFile(  Joplin 8cd855a41cca4cbd8a0c20e79c4f2f9e md )) _x000D_
        array add(new OCFile(  Joplin 8f062be696e3488ca12a9d3f3f6aa10a md )) _x000D_
        array add(new OCFile(  Joplin 8f74a571a11b4709bb1cdf75b4a51a8e md )) _x000D_
        array add(new OCFile(  Joplin 90f61d36f4dd4ef79525b7b0812213e2 md )) _x000D_
        array add(new OCFile(  Joplin 9846fdafaffa718ebcfa19474e8be251 md )) _x000D_
        array add(new OCFile(  Joplin a441cb730c22451aa4352129231fe898 md )) _x000D_
        array add(new OCFile(  Joplin a551ce1ae06e6f05669a0cadc4eb2f7b md )) _x000D_
        array add(new OCFile(  Joplin a590cd1671b648c7a3bae0d6fbb7da81 md )) _x000D_
_x000D_
        FileSortOrderByName fileSortOrderByName   new FileSortOrderByName( test   true) _x000D_
        fileSortOrderByName sortCloudFiles(array) _x000D_
     _x000D_
   _x000D_
_x000D_
_x000D_
    Environment data_x000D_
Nextcloud app version: 3 2 3 (from Google Play) and the latest version from  master  branch_x000D_
Nextcloud server version:   13 0 6 1_x000D_
_x000D_
    Logs_x000D_
_x000D_
     Nextcloud log (data nextcloud log)_x000D_
   _x000D_
09 01 18:06:13 533 1965 1965 com nextcloud android beta E AndroidRuntime: FATAL EXCEPTION: main_x000D_
    Process: com nextcloud android beta  PID: 1965_x000D_
    java lang IllegalArgumentException: Comparison method violates its general contract _x000D_
        at java util TimSort mergeHi(TimSort java:899)_x000D_
        at java util TimSort mergeAt(TimSort java:516)_x000D_
        at java util TimSort mergeForceCollapse(TimSort java:457)_x000D_
        at java util TimSort sort(TimSort java:254)_x000D_
        at java util Arrays sort(Arrays java:1498)_x000D_
        at java util ArrayList sort(ArrayList java:1470)_x000D_
        at java util Collections sort(Collections java:201)_x000D_
        at com owncloud android utils FileSortOrderByName sortCloudFiles(FileSortOrderByName java:55)_x000D_
        at com owncloud android ui adapter OCFileListAdapter swapDirectory(OCFileListAdapter java:513)_x000D_
        at com owncloud android ui fragment OCFileListFragment listDirectory(OCFileListFragment java:1080)_x000D_
        at com owncloud android ui fragment OCFileListFragment onItemClicked(OCFileListFragment java:809)_x000D_
        at com owncloud android ui adapter OCFileListAdapter lambda onBindViewHolder 0 OCFileListAdapter(OCFileListAdapter java:276)_x000D_
        at com owncloud android ui adapter OCFileListAdapter  Lambda 0 onClick(Unknown Source:23)_x000D_
        at android view View performClick(View java:6294)_x000D_
        at android view View PerformClick run(View java:24774)_x000D_
        at android os Handler handleCallback(Handler java:790)_x000D_
        at android os Handler dispatchMessage(Handler java:99)_x000D_
        at android os Looper loop(Looper java:172)_x000D_
        at android app ActivityThread main(ActivityThread java:6590)_x000D_
        at java lang reflect Method invoke(Native Method)_x000D_
        at com android internal os RuntimeInit MethodAndArgsCaller run(RuntimeInit java:438)_x000D_
        at com android internal os ZygoteInit main(ZygoteInit java:807)_x000D_
   _x000D_
</t>
  </si>
  <si>
    <t>Haptic-Apps-Slide-2847</t>
  </si>
  <si>
    <t>Draft Discarding Crash</t>
  </si>
  <si>
    <t xml:space="preserve">It appears that if you immediately discard an empty draft  Slide will crash 
Platform: Android 6 0  LG G4  Slide 5 8 7
Steps to reproduce:
1  Load comments section of any post
2  Click  Reply 
3  Click to save draft
4  Immediately click the  discard  text that appears at the bottom of the screen 
5  Slide should crash </t>
  </si>
  <si>
    <t>codex-iter-AWOL-10</t>
  </si>
  <si>
    <t>ICON CRASH</t>
  </si>
  <si>
    <t>icon crashes on some devices</t>
  </si>
  <si>
    <t>openid-AppAuth-Android-402</t>
  </si>
  <si>
    <t>NullPointerException in TokenRequestTask execution</t>
  </si>
  <si>
    <t xml:space="preserve">I use the version 0 7 0 of the library and sometimes get the following error:_x000D_
_x000D_
   _x000D_
Caused by java lang NullPointerException_x000D_
       at java io Reader  init (Reader java:78)_x000D_
       at java io InputStreamReader  init (InputStreamReader java:72)_x000D_
       at net openid appauth Utils readInputStream(Utils java:36)_x000D_
       at net openid appauth AuthorizationService TokenRequestTask doInBackground(AuthorizationService java:431)_x000D_
       at net openid appauth AuthorizationService TokenRequestTask doInBackground(AuthorizationService java:375)_x000D_
       at android os AsyncTask 2 call(AsyncTask java:333)_x000D_
       at java util concurrent FutureTask run(FutureTask java:266)_x000D_
       at android os AsyncTask SerialExecutor 1 run(AsyncTask java:245)_x000D_
       at java util concurrent ThreadPoolExecutor runWorker(ThreadPoolExecutor java:1167)_x000D_
       at java util concurrent ThreadPoolExecutor Worker run(ThreadPoolExecutor java:641)_x000D_
       at java lang Thread run(Thread java:764)_x000D_
   _x000D_
_x000D_
This crash happens when the input stream is null  e g  the server is out of business _x000D_
_x000D_
Would it be possible to handle a null input stream as network error </t>
  </si>
  <si>
    <t>DiscordTime-sticky-sessions-android-57</t>
  </si>
  <si>
    <t>App crashes if uses clicks on create session button</t>
  </si>
  <si>
    <t xml:space="preserve">Adapter is using wrong index to trigger click event on RecyclerView and causes app to crash with IndexOutOfBoundsException </t>
  </si>
  <si>
    <t>nextcloud-android-2941</t>
  </si>
  <si>
    <t>Sharing a link form the video player does not work</t>
  </si>
  <si>
    <t xml:space="preserve">    Actual behaviour_x000D_
  The app crashes_x000D_
_x000D_
    Expected behaviour_x000D_
  The share link dialog should open_x000D_
 _x000D_
    Steps to reproduce_x000D_
1  Open a video_x000D_
2  Click on  Send Share  in the 3 dot menu_x000D_
3  Click on link_x000D_
_x000D_
_x000D_
    Environment data_x000D_
Android version:_x000D_
8 0_x000D_
_x000D_
Device model: _x000D_
Emulator_x000D_
_x000D_
Stock or customized system:_x000D_
Stock_x000D_
_x000D_
Nextcloud app version:_x000D_
Current master_x000D_
_x000D_
Nextcloud server version:_x000D_
14 RC1_x000D_
_x000D_
    Logs_x000D_
   _x000D_
FATAL EXCEPTION: main_x000D_
                  Process: com nextcloud client  PID: 3305_x000D_
                  java lang ClassCastException: com owncloud android ui preview PreviewMediaFragment cannot be cast to com owncloud android ui fragment FileDetailFragment_x000D_
                      at com owncloud android ui activity FileDisplayActivity getShareFileFragment(FileDisplayActivity java:2017)_x000D_
                      at com owncloud android ui activity FileDisplayActivity onCreateShareViaLinkOperationFinish(FileDisplayActivity java:1906)_x000D_
                      at com owncloud android ui activity FileDisplayActivity onRemoteOperationFinish(FileDisplayActivity java:1766)_x000D_
                      at com owncloud android services OperationsService 1 run(OperationsService java:738)_x000D_
                      at android os Handler handleCallback(Handler java:873)_x000D_
                      at android os Handler dispatchMessage(Handler java:99)_x000D_
                      at android os Looper loop(Looper java:193)_x000D_
                      at android app ActivityThread main(ActivityThread java:6669)_x000D_
                      at java lang reflect Method invoke(Native Method)_x000D_
                      at com android internal os RuntimeInit MethodAndArgsCaller run(RuntimeInit java:493)_x000D_
                      at com android internal os ZygoteInit main(ZygoteInit java:858)_x000D_
   </t>
  </si>
  <si>
    <t>react-native-camera-react-native-camera-1768</t>
  </si>
  <si>
    <t>App (iOS only) crash when camera not authorized in Function as Child Component way</t>
  </si>
  <si>
    <t xml:space="preserve">    Which implementation are you using_x000D_
RNCamera_x000D_
_x000D_
    Steps to reproduce_x000D_
1  create camera component with FaCC way_x000D_
2  un authorized camera in phone setting_x000D_
3  crash as soon as turning on the camera in the app_x000D_
_x000D_
    Does it work with Expo Camera _x000D_
Check usage with Expo   https:  github com react native community react native camera blob master docs Expo Usage md_x000D_
You should open an issue there as well  so we can cooperate in a solution _x000D_
_x000D_
    Expected behaviour_x000D_
 ( camera  status )     _x000D_
      if (status     RNCamera Constants CameraStatus NOT AUTHORIZED)  _x000D_
             return  NoCameraModal   _x000D_
         else if (status     RNCamera Constants CameraStatus PENDING AUTHORIZATION)  _x000D_
             return  View style  styles emptyViewFinder    _x000D_
        _x000D_
       return  Image source  require(  assets draw viewfinder png )  style  styles viewFinder    _x000D_
   _x000D_
Should show the NoCameraModal as expected _x000D_
_x000D_
    Actual behaviour_x000D_
App crash and following error _x000D_
_x000D_
  RNCamera initializeCaptureSessionInput  block invoke: Error Domain AVFoundationErrorDomain Code  11852  Cannot use Back Camera  UserInfo  NSLocalizedFailureReason This app is not authorized to use Back Camera   AVErrorDeviceKey  AVCaptureFigVideoDevice: 0x109de02c0  Back Camera  com apple avfoundation avcapturedevice built in video:0    NSLocalizedDescription Cannot use Back Camera _x000D_
_x000D_
    Environment_x000D_
    React Native v0 55 3  :_x000D_
   iOS 11 2 6_x000D_
_x000D_
    react native camera_x000D_
v1 2 0_x000D_
_x000D_
  Love react native camera  Please consider supporting our collective:    https:  opencollective com react native camera donate_x000D_
</t>
  </si>
  <si>
    <t>TeamNewPipe-NewPipe-1641</t>
  </si>
  <si>
    <t>Reciever not registered</t>
  </si>
  <si>
    <t xml:space="preserve">   x  I carefully read the  contribution guidelines (https:  github com TeamNewPipe NewPipe blob HEAD  github CONTRIBUTING md) and agree to them _x000D_
   x  I checked if the issue feature exists in the latest version _x000D_
   x  I did use the  incredible bugreport to markdown converter (https:  teamnewpipe github io CrashReportToMarkdown ) to paste bug reports _x000D_
_x000D_
This crash happens when leaving the main player via any hardware button except  home  after adjusting volume or brightness _x000D_
_x000D_
Related:  1604   1635_x000D_
_x000D_
   Exception_x000D_
    User Action:   Play stream_x000D_
    Request:   play stream_x000D_
    Content Language:   IT_x000D_
    Service:   none_x000D_
    Version:   0 13 7_x000D_
    OS:   Linux Android 4 2 1   17   6 0   23_x000D_
_x000D_
   _x000D_
java lang IllegalArgumentException: Receiver not registered: org schabi newpipe player BasePlayer 1 4270e3f0_x000D_
	at android app LoadedApk forgetReceiverDispatcher(LoadedApk java:657)_x000D_
	at android app ContextImpl unregisterReceiver(ContextImpl java:1411)_x000D_
	at android content ContextWrapper unregisterReceiver(ContextWrapper java:445)_x000D_
	at org schabi newpipe player BasePlayer unregisterBroadcastReceiver(BasePlayer java:367)_x000D_
	at org schabi newpipe player BasePlayer destroy(BasePlayer java:295)_x000D_
	at org schabi newpipe player VideoPlayer destroy(VideoPlayer java:542)_x000D_
	at org schabi newpipe player MainVideoPlayer onStop(MainVideoPlayer java:234)_x000D_
	at android app Instrumentation callActivityOnStop(Instrumentation java:1211)_x000D_
	at android app Activity performStop(Activity java:5264)_x000D_
	at android app ActivityThread performDestroyActivity(ActivityThread java:3583)_x000D_
	at android app ActivityThread handleDestroyActivity(ActivityThread java:3642)_x000D_
	at android app ActivityThread access 1200(ActivityThread java:156)_x000D_
	at android app ActivityThread H handleMessage(ActivityThread java:1393)_x000D_
	at android os Handler dispatchMessage(Handler java:99)_x000D_
	at android os Looper loop(Looper java:153)_x000D_
	at android app ActivityThread main(ActivityThread java:5297)_x000D_
	at java lang reflect Method invokeNative(Native Method)_x000D_
	at java lang reflect Method invoke(Method java:511)_x000D_
	at com android internal os ZygoteInit MethodAndArgsCaller run(ZygoteInit java:833)_x000D_
	at com android internal os ZygoteInit main(ZygoteInit java:600)_x000D_
	at dalvik system NativeStart main(Native Method)_x000D_
_x000D_
   </t>
  </si>
  <si>
    <t>nextcloud-android-2939</t>
  </si>
  <si>
    <t xml:space="preserve">Login failed on the app </t>
  </si>
  <si>
    <t xml:space="preserve">    Actual behaviour_x000D_
  Tell us what happens_x000D_
I install the last version of nextcloud 13 today as a server _x000D_
I login successfully with my user created by the web interface  I deconnect and after impossible to connect  On the web interface all word find (admin account and the other account)  In the log i have a login failed  The app detect correctly the nextcloud instance _x000D_
That was strange because i made only one connexion and after nothing _x000D_
I reinstall the app and delete data but its the same problem_x000D_
_x000D_
    Expected behaviour_x000D_
  Tell us what should happen_x000D_
 _x000D_
    Steps to reproduce_x000D_
1  Connect with a user_x000D_
2  Delete the account_x000D_
3  Recreate an other account and it is here the crash to connect_x000D_
_x000D_
_x000D_
    Environment data_x000D_
Android version: 7 0_x000D_
_x000D_
Device model: blackview bv6000_x000D_
_x000D_
Stock or customized system: stock   official update_x000D_
_x000D_
Nextcloud app version: 3 2 3_x000D_
_x000D_
Nextcloud server version: 13 0 5 2_x000D_
_x000D_
    Logs_x000D_
     Web server error log_x000D_
   _x000D_
Insert your webserver log here_x000D_
   _x000D_
_x000D_
     Nextcloud log (data nextcloud log)_x000D_
   _x000D_
  reqId : naIuGGC8JZvE3Cv6RIQA   level :2  time : 2018 08 29T19:48:39 00:00   remoteAddr : 10 8 0 2   user :      app : core   method : POST   url :   nextcloud  index php  login redirect rl   nextcloud  index php  login  flow  redirect 3FstateToken 3Dhmn5wiw1MIYRQFpBq7JIuoy6EDl21Ite8gV9vQAiGGd9IvbrjEZXVVA8XrkfdxG5 26clientIdentifier 3D   message : Login failed:  admin  (Reote IP:  10 8 0 2 )   userAgent : Blackview BV6000   version : 13 0 5 2  _x000D_
_x000D_
   _x000D_
  NOTE:   Be super sure to remove sensitive data like passwords  note that everybody can look here  You can use the Issue Template application to prefill some of the required information: https:  apps nextcloud com apps issuetemplate_x000D_
</t>
  </si>
  <si>
    <t>HenriDellal-emerald-dialer-1</t>
  </si>
  <si>
    <t>Fix NullPointerException on contacts filtering</t>
  </si>
  <si>
    <t xml:space="preserve">As can be seen from the GP logs  the application crashes on T9 search  See ContactsEntryAdapter  lines 269  103  The regexQueryResults field is null in getCount even though the filter submits results to it before the notifyDataSetChanged method is called  Sadly I can t reproduce it  so if someone has encountered this bug  please tell me when exactly it happens and under which conditions </t>
  </si>
  <si>
    <t>nextcloud-android-2934</t>
  </si>
  <si>
    <t>crash in android samsung j5</t>
  </si>
  <si>
    <t xml:space="preserve">I m using android samsung j5  it has crash now </t>
  </si>
  <si>
    <t>btkelly-gnag-186</t>
  </si>
  <si>
    <t>Weird lint failure on some projects in 2.1.0</t>
  </si>
  <si>
    <t xml:space="preserve">   _x000D_
   path to app: Error: Lint crashed because it is being invoked with the wrong version of Guava_x000D_
  (the Android version instead of the JRE version  which is required in the_x000D_
  Gradle plugin) _x000D_
_x000D_
  This usually happens when projects incorrectly install a dependency resolution_x000D_
  strategy in all configurations instead of just the compile and run_x000D_
  configurations _x000D_
_x000D_
  See https:  issuetracker google com 71991293 for more information and the_x000D_
  proper way to install a dependency resolution strategy _x000D_
_x000D_
  (Note that this breaks a lot of lint analysis so this report is incomplete )  LintError _x000D_
   _x000D_
_x000D_
This occurs even if  lint  is not enabled in the Gnag configuration _x000D_
_x000D_
Running the  gnagDetekt  task directly works fine </t>
  </si>
  <si>
    <t>nikita36078-J2ME-Loader-369</t>
  </si>
  <si>
    <t xml:space="preserve">[BUG] Splinter Cell - Extended Ops (v1.3.9) (176x208) </t>
  </si>
  <si>
    <t xml:space="preserve">  Emulator version:  _x000D_
1 3 1_x000D_
_x000D_
  Game version:  _x000D_
1 3 9_x000D_
_x000D_
  Game resolution:  _x000D_
176x208_x000D_
_x000D_
  Device:  _x000D_
Samsung Galaxy S TAB 2_x000D_
_x000D_
  Android version:  _x000D_
7 0_x000D_
_x000D_
  Description of the issue:  _x000D_
The game has graphic issue and crash   it s impossible to continue game _x000D_
You can see what happens in this video what I made:_x000D_
https:  youtu be Njr7i3cjLKE_x000D_
_x000D_
</t>
  </si>
  <si>
    <t>commons-app-apps-android-commons-1864</t>
  </si>
  <si>
    <t>LoginActivity crashes when  login screen is opened in landscape mode</t>
  </si>
  <si>
    <t xml:space="preserve">  Summary:   _x000D_
_x000D_
When we try to login in landscape mode  the login activity crashes_x000D_
_x000D_
  Steps to reproduce:   _x000D_
Change the orientation of the device and try to login _x000D_
_x000D_
How can we reproduce the issue  _x000D_
Expected behaviour was flawless login irrespective of the device orientation_x000D_
_x000D_
  Add System logs:  _x000D_
java lang RuntimeException: Unable to start activity ComponentInfo fr free nrw commons fr free nrw commons auth LoginActivity : java lang IllegalStateException: Required view  skipLogin  with ID 2131689702 for field  skipLoginText  was not found  If this view is optional add   Nullable  (fields) or   Optional  (methods) annotation _x000D_
        at android app ActivityThread performLaunchActivity(ActivityThread java:2927)_x000D_
        at android app ActivityThread handleLaunchActivity(ActivityThread java:2988)_x000D_
        at android app ActivityThread handleRelaunchActivity(ActivityThread java:4915)_x000D_
        at android app ActivityThread  wrap21(ActivityThread java)_x000D_
        at android app ActivityThread H handleMessage(ActivityThread java:1637)_x000D_
        at android os Handler dispatchMessage(Handler java:102)_x000D_
        at android os Looper loop(Looper java:154)_x000D_
        at android app ActivityThread main(ActivityThread java:6682)_x000D_
        at java lang reflect Method invoke(Native Method)_x000D_
        at com android internal os ZygoteInit MethodAndArgsCaller run(ZygoteInit java:1520)_x000D_
        at com android internal os ZygoteInit main(ZygoteInit java:1410)_x000D_
     Caused by: java lang IllegalStateException: Required view  skipLogin  with ID 2131689702 for field  skipLoginText  was not found  If this view is optional add   Nullable  (fields) or   Optional  (methods) annotation _x000D_
        at butterknife internal Utils findRequiredView(Utils java:92)_x000D_
        at butterknife internal Utils findRequiredViewAsType(Utils java:104)_x000D_
        at fr free nrw commons auth LoginActivity ViewBinding  init (LoginActivity ViewBinding java:45)_x000D_
        at java lang reflect Constructor newInstance0(Native Method)_x000D_
        at java lang reflect Constructor newInstance(Constructor java:430)_x000D_
        at butterknife ButterKnife createBinding(ButterKnife java:199)_x000D_
        at butterknife ButterKnife bind(ButterKnife java:124)_x000D_
        at fr free nrw commons auth LoginActivity onCreate(LoginActivity java:110)_x000D_
        at android app Activity performCreate(Activity java:6942)_x000D_
        at android app Instrumentation callActivityOnCreate(Instrumentation java:1126)_x000D_
_x000D_
_x000D_
  Device and Android version:   _x000D_
Pixel C and Samsung s7 edge api 27_x000D_
 _x000D_
   Commons app version:   _x000D_
2 8 1 prodDebug_x000D_
_x000D_
  Screen shots:   _x000D_
_x000D_
NA_x000D_
_x000D_
  Would you like to work on the issue   _x000D_
_x000D_
Yes_x000D_
</t>
  </si>
  <si>
    <t>dimagi-commcare-android-2033</t>
  </si>
  <si>
    <t>Session expiration crash fixes</t>
  </si>
  <si>
    <t xml:space="preserve">CL: _x000D_
 1 (https:  www fabric io dimagi android apps org commcare dalvik issues 5a8e74bc8cb3c2fa63919665 time last ninety days)    2 (https:  www fabric io dimagi android apps org commcare dalvik issues 5b35f0126007d59fcd255e73 time last ninety days)   3 (https:  www fabric io dimagi android apps org commcare dalvik issues 5a38128c8cb3c2fa632ab59f time last ninety days)_x000D_
_x000D_
Better to catch these then crashing the app  This should ideally be a checked expression so that all code paths are required to handle this  </t>
  </si>
  <si>
    <t>wiglenet-wigle-wifi-wardriving-268</t>
  </si>
  <si>
    <t>FIX - could it be this simple?</t>
  </si>
  <si>
    <t>long running issue with crashes _x000D_
 243 in tracker</t>
  </si>
  <si>
    <t>niccokunzmann-mundraub-android-69</t>
  </si>
  <si>
    <t>Screen shots are not shown on F-Droid</t>
  </si>
  <si>
    <t xml:space="preserve">     If you report an app crash  please attach the eu quelltext mundraub log txt file_x000D_
     from the root of your phone s file system     _x000D_
_x000D_
We have the screen shots in this folder:_x000D_
https:  github com niccokunzmann mundraub android tree v1 13 fastlane metadata android en images phoneScreenshots_x000D_
But we do not see them on F Droid (veriosn 1 13): _x000D_
https:  f droid org en packages eu quelltext mundraub _x000D_
_x000D_
Description: https:  fdroid gitlab io fdroid website docs All About Descriptions Graphics and Screenshots  in the apps source repository</t>
  </si>
  <si>
    <t>niccokunzmann-mundraub-android-67</t>
  </si>
  <si>
    <t>Cannot edit unknown plant in wide-screen scenario</t>
  </si>
  <si>
    <t xml:space="preserve">     If you report an app crash  please attach the eu quelltext mundraub log txt file_x000D_
     from the root of your phone s file system     _x000D_
_x000D_
If the app is wide screen  the floating action button for editing is not present _x000D_
Plants can not be edited in this mode </t>
  </si>
  <si>
    <t>SkyTubeTeam-SkyTube-342</t>
  </si>
  <si>
    <t>When you select  Downloads  as your default tab  the app will crash on all following launches _x000D_
_x000D_
Steps to reproduce:_x000D_
1  install skytube via FDroid_x000D_
2  launch skytube_x000D_
3  go to preferences   others_x000D_
4  select  Downloads  as default tab_x000D_
5  kill the app_x000D_
6  launch skytube again_x000D_
_x000D_
Test device:_x000D_
OnePlus One_x000D_
Lineage OS 14_x000D_
Android 7 1 2</t>
  </si>
  <si>
    <t>nextcloud-android-2920</t>
  </si>
  <si>
    <t>Android app crashes when opening the menu</t>
  </si>
  <si>
    <t xml:space="preserve">    Actual behaviour_x000D_
The android app crashes  when attempting to open the menu (both swipe to the right and pushing the hamburger button)  Happens on two different devices  since circa two or three months _x000D_
_x000D_
    Expected behaviour_x000D_
I can use the settings   _x000D_
 _x000D_
    Steps to reproduce_x000D_
1  try to open the menu_x000D_
_x000D_
_x000D_
    Environment data_x000D_
Android version:_x000D_
7 1 2_x000D_
Device model: _x000D_
sony e5823_x000D_
Stock or customized system:_x000D_
linage os_x000D_
Nextcloud app version:_x000D_
3 2 2 but happened before_x000D_
Nextcloud server version:_x000D_
13 0 5_x000D_
</t>
  </si>
  <si>
    <t>Catfriend1-syncthing-android-26</t>
  </si>
  <si>
    <t>Crash with "Explicit termination method 'close' not called" - exit code 9</t>
  </si>
  <si>
    <t xml:space="preserve">Quote from  ProactiveServices  https:  github com syncthing syncthing android issues 1217_x000D_
  I switched off power saving mode on my Android and noticed Syncthing s notification icon shuffled  then found this in the log  Syncthing is set to respect battery saving mode _x000D_
App Version: 0 10 13_x000D_
Syncthing Version: v0 14 49 dirty_x000D_
Android Version: Android 5 0 2_x000D_
_x000D_
  The conditions settings listed in the Status tab are the same from when I had the crash:_x000D_
Syncthing is running _x000D_
Allowed to run on mobile data  but not connected_x000D_
Allowed to run on WiFi and connected_x000D_
Allowed to run on non metered WiFi  Active WiFi is non metered _x000D_
Allowed to run on the current WiFi _x000D_
In the options: Run when devices is powered by AC and battery _x000D_
Respect battery saving setting: Enabled_x000D_
Respect Auto sync data setting: Disabled_x000D_
When I switch on power saving Syncthing is still running  the status pane is unchanged  I tried exiting and quitting the app  and starting it in power saving mode and the same happens  I can see in the Android options that power saving is enabled _x000D_
_x000D_
  Crashed again and this time the Android log mentions a Syncthing crash  and I received a notification of the crash  The Syncthing logfile only showed the first few lines of a regular start up and nothing else after folders being ready  I think (but not sure) that I had turned off WiFi at the time  I may have enabled Power Save but not sure  I m using the debug build you linked earlier _x000D_
08 18 00:42:19 361 I SyncthingNativeCode(14485):  YECXW  INFO: Ready to synchronize (sendreceive)_x000D_
08 18 00:42:19 571 I System (14485): exec(sh   com nutomic syncthingandroid util Util runShellCommand:181)_x000D_
08 18 00:42:19 661 I SyncthingRunnable(14485): Syncthing exited with code 9_x000D_
08 18 00:42:19 661 W SyncthingRunnable(14485): Syncthing has crashed (exit code 9)_x000D_
08 18 01:13:40 572 I System (14485): exec( system bin logcat  t 300  v time  s SyncthingNativeCode   com nutomic syncthingandroid activities LogActivity UpdateLogTask getLog:155)_x000D_
08 18 01:13:49 821 I System (14485): exec( system bin logcat  t 300  v time  :i ps:s art:s   com nutomic syncthingandroid activities LogActivity UpdateLogTask getLog:155)_x000D_
_x000D_
I m currently working on this on my branch _x000D_
  W SyncthingRunnable(14485): Syncthing has crashed (exit code 9)_x000D_
The crash handler is little bit outdated  so I m improving it with the UI telling if syncthing crashed and showing the notification under correct circumstances  When I ve tested through enough  I ll make a new RC </t>
  </si>
  <si>
    <t>Catfriend1-syncthing-android-25</t>
  </si>
  <si>
    <t>Fix exit code 9 handling in SyncthingRunnable (fixes #https://github.com/syncthing/syncthing-android/issues/1217)</t>
  </si>
  <si>
    <t>Display syncthing native exit code on crash_x000D_
_x000D_
Related issues:_x000D_
  https:  github com syncthing syncthing android issues 1217</t>
  </si>
  <si>
    <t>react-native-camera-react-native-camera-1754</t>
  </si>
  <si>
    <t>The first video got a uri, but it crashed the second time. Can you help me?</t>
  </si>
  <si>
    <t xml:space="preserve">_x000D_
 RNCamera_x000D_
_x000D_
_x000D_
    Steps to reproduce_x000D_
_x000D_
I implemented the camera according to the document and ran it perfectly on Android  but I had a problem with ios video  I got the uri I needed for the first video  and then it crashed when I did the second video _x000D_
_x000D_
         RNCamera_x000D_
               ref  ref     _x000D_
                      this camera   ref _x000D_
                 _x000D_
               style  styles preview _x000D_
               type  RNCamera Constants Type back _x000D_
               captureAudio    true _x000D_
               flashMode  RNCamera Constants FlashMode on _x000D_
               permissionDialogTitle   Permission to use camera  _x000D_
               permissionDialogMessage   We need your permission to use your camera phone  _x000D_
          _x000D_
_x000D_
        startRecording   async function ()  _x000D_
           if (this camera)  _x000D_
              const options     mute:false   _x000D_
              this camera recordAsync(options)_x000D_
                 then(data     _x000D_
                        console log(data  uri  ) _x000D_
                        let recordPromise   CameraRoll saveToCameraRoll(data  uri  ) _x000D_
                        recordPromise then(function (result)  _x000D_
                            console log( Video saved successfully  ) _x000D_
                         )_x000D_
                 catch(error     _x000D_
                            console log(error) _x000D_
                         ) _x000D_
               ) _x000D_
           _x000D_
        _x000D_
_x000D_
         _x000D_
        stopRecording   async function ()  _x000D_
          if (this camera)  _x000D_
              this camera stopRecording() _x000D_
           _x000D_
         _x000D_
   _x000D_
    Expected behaviour_x000D_
You can record multiple times_x000D_
_x000D_
    Actual behaviour_x000D_
App crashes with the following error:_x000D_
_x000D_
  cabe9cc1 ca97 4e44 9163 bf7c286409e2 (https:  user images githubusercontent com 35682188 44500618 0a335980 a6bc 11e8 8e71 087219bfd648 png)_x000D_
_x000D_
2018 08 23 09:51:21 222992 0800 SecurityAlert0704 3048:2812095      Terminating app due to uncaught exception  NSInvalidArgumentException   reason:        AVCaptureMovieFileOutput startRecordingToOutputFileURL:recordingDelegate:  No active enabled connections _x000D_
    First throw call stack:_x000D_
(0x182592d8c 0x18174c5ec 0x18808c174 0x1028640b8 0x1032051dc 0x10320519c 0x103213dfc 0x1032086ac 0x103214d54 0x10321be38 0x1821b7e70 0x1821b7b08)_x000D_
libc  abi dylib: terminating with uncaught exception of type NSException_x000D_
_x000D_
_x000D_
React Native version: 0 54 2_x000D_
React Native platform   platform version: iOS 9 4_x000D_
react native camera_x000D_
Version:  master </t>
  </si>
  <si>
    <t>CalebFenton-simplify-111</t>
  </si>
  <si>
    <t>Null pointer from InvokeOpCodeFactor -- unknown cause</t>
  </si>
  <si>
    <t xml:space="preserve">Was trying to assist someone and was curious if simplify would work   it ended up throwing a null pointer which I don t have time to investigate  However I simplified (oh boy) the code into a test case into a minimal reproducable case _x000D_
_x000D_
   _x000D_
 class public Lrednaga reproduce testcase uno _x000D_
 super Ljava lang Object _x000D_
_x000D_
  direct methods_x000D_
 method public constructor  init ()V_x000D_
     registers 1_x000D_
_x000D_
    invoke direct  p0   Ljava lang Object    init ()V_x000D_
_x000D_
    return void_x000D_
 end method_x000D_
_x000D_
_x000D_
  virtual methods_x000D_
_x000D_
 method public toString()Ljava lang String _x000D_
     registers 3_x000D_
_x000D_
    new instance v0  Ljava lang StringBuffer _x000D_
    invoke direct  v0   Ljava lang StringBuffer    init ()V_x000D_
_x000D_
    const string v1   L _x000D_
    invoke virtual  v0  v1   Ljava lang StringBuffer   reallocate(Ljava lang String )Ljava lang StringBuffer _x000D_
    move result object v0_x000D_
_x000D_
    invoke static  p0   Ljava lang System   identityHashCode(Ljava lang Object )I_x000D_
    move result v1_x000D_
_x000D_
    invoke virtual  v0  v1   Ljava lang StringBuffer   reallocate(I)Ljava lang StringBuffer _x000D_
    move result object v0_x000D_
_x000D_
    invoke virtual  v0   Ljava lang StringBuffer   toString()Ljava lang String _x000D_
    move result object v0_x000D_
_x000D_
    return object v0_x000D_
 end method_x000D_
   _x000D_
_x000D_
It s pretty meaningless code  doesn t do anything and I m not thinking it s anti analysis  However it does cause a crash _x000D_
_x000D_
   _x000D_
diff milo:  repo simplify  java  jar simplify build libs simplify 1 2 0 jar tests _x000D_
 1   1  Processing top level class Lrednaga reproduce testcase uno _x000D_
(1   2) Executing top level method: Lrednaga reproduce testcase uno   toString()Ljava lang String _x000D_
Exception in thread  main  java lang NullPointerException_x000D_
	at org cf smalivm opcode InvokeOpFactory create(InvokeOpFactory java:87)_x000D_
	at org cf smalivm opcode OpCreator create(OpCreator java:29)_x000D_
	at org cf smalivm context ExecutionGraph buildLocationToNodePile(ExecutionGraph java:105)_x000D_
	at org cf smalivm context ExecutionGraph  init (ExecutionGraph java:78)_x000D_
	at org cf smalivm VirtualMachine updateInstructionGraph(VirtualMachine java:188)_x000D_
	at org cf smalivm VirtualMachine spawnInstructionGraph(VirtualMachine java:139)_x000D_
	at org cf smalivm VirtualMachine execute(VirtualMachine java:98)_x000D_
	at org cf smalivm VirtualMachine execute(VirtualMachine java:64)_x000D_
	at org cf simplify Launcher executeMethods(Launcher java:195)_x000D_
	at org cf simplify Launcher run(Launcher java:141)_x000D_
	at org cf simplify Main main(Main java:14)_x000D_
   _x000D_
_x000D_
Someone is more than welcome to take this up   otherwise I ll look into it when I have a chance </t>
  </si>
  <si>
    <t>commons-app-apps-android-commons-1846</t>
  </si>
  <si>
    <t>Nearby crashes when Home [From the Nav Drawer] is pressed while nearby is still loading data</t>
  </si>
  <si>
    <t xml:space="preserve">  Summary:   _x000D_
If we press home while nearby is still loading data  nearby crashes _x000D_
_x000D_
  Steps to reproduce:   _x000D_
_x000D_
Click on Nearby and while its loading data  click on home from the nav drawer  nearby crashes with InterruptedIOException_x000D_
_x000D_
  Add System logs:  _x000D_
_x000D_
Add logcat files here (if possible) _x000D_
_x000D_
   _x000D_
Caused by: java io InterruptedIOException: thread interrupted_x000D_
        at com android okhttp okio Timeout throwIfReached(Timeout java:145)_x000D_
        at com android okhttp okio Okio 1 write(Okio java:78)_x000D_
        at com android okhttp okio AsyncTimeout 1 write(AsyncTimeout java:155)_x000D_
        at com android okhttp okio RealBufferedSink flush(RealBufferedSink java:221)_x000D_
        at com android okhttp internal http HttpConnection flush(HttpConnection java:141)_x000D_
        at com android okhttp internal http HttpTransport finishRequest(HttpTransport java:60)_x000D_
        at com android okhttp internal http HttpEngine readNetworkResponse(HttpEngine java:1154)_x000D_
        at com android okhttp internal http HttpEngine readResponse(HttpEngine java:976)_x000D_
        at com android okhttp internal huc HttpURLConnectionImpl execute(HttpURLConnectionImpl java:509)_x000D_
        at com android okhttp internal huc HttpURLConnectionImpl getResponse(HttpURLConnectionImpl java:438)_x000D_
        at com android okhttp internal huc HttpURLConnectionImpl getInputStream(HttpURLConnectionImpl java:247)_x000D_
        at com android okhttp internal huc DelegatingHttpsURLConnection getInputStream(DelegatingHttpsURLConnection java:210)_x000D_
        at com android okhttp internal huc HttpsURLConnectionImpl getInputStream(HttpsURLConnectionImpl java)_x000D_
        at fr free nrw commons nearby NearbyPlaces getFromWikidataQuery(NearbyPlaces java:84)_x000D_
        at fr free nrw commons nearby NearbyPlaces getFromWikidataQuery(NearbyPlaces java:48)_x000D_
        at fr free nrw commons nearby NearbyController loadAttractionsFromLocation(NearbyController java:56)_x000D_
        at fr free nrw commons nearby NearbyActivity lambda refreshView 7 NearbyActivity(NearbyActivity java:438)_x000D_
        at fr free nrw commons nearby NearbyActivity  Lambda 7 call(Unknown Source)_x000D_
   _x000D_
_x000D_
  Device and Android version:   _x000D_
_x000D_
Samsung s7 api 27_x000D_
_x000D_
   Commons app version:   _x000D_
2 8 1 debug master 4ea72298_x000D_
_x000D_
  Screen shots:   _x000D_
NA_x000D_
_x000D_
  Would you like to work on the issue   _x000D_
Yes_x000D_
_x000D_
</t>
  </si>
  <si>
    <t>nextcloud-android-2905</t>
  </si>
  <si>
    <t xml:space="preserve">Unfortunately, Nextcloud has stopped. </t>
  </si>
  <si>
    <t xml:space="preserve">    Actual behaviour_x000D_
  Nextcloud crashed after update 3 2 1 to 3 2 2 _x000D_
_x000D_
    Expected behaviour_x000D_
  3 2 2 version automatically updated  Nextcloud won t start  _x000D_
  Unistall 3 2 2  disable automatic update  install 3 2 1 and operational  (Can t apply custom folder paths  but it s an another issue )_x000D_
 _x000D_
    Steps to reproduce_x000D_
1  Install 3 2 2  update_x000D_
2   Unfortunately  Nextcloud has stopped  _x000D_
_x000D_
_x000D_
    Environment data_x000D_
Android version:_x000D_
4 4 2_x000D_
_x000D_
Device model: _x000D_
Samsung S5 Duos_x000D_
Free space: 1GB_x000D_
_x000D_
Nextcloud app version:_x000D_
3 2 2_x000D_
Nextcloud server version:_x000D_
13 0_x000D_
    Logs_x000D_
No logs _x000D_
_x000D_
     Web server error log_x000D_
No error </t>
  </si>
  <si>
    <t>Tencent-tinker-910</t>
  </si>
  <si>
    <t>AndroidN,O 加载到patch 以后重启app crash了.</t>
  </si>
  <si>
    <t xml:space="preserve">   Issue     _x000D_
     issue                  issue        (https:  github com Tencent tinker wiki Tinker  E5 B8 B8 E8 A7 81 E9 97 AE E9 A2 98)   issue        issue                (      Patch  ) issue           _x000D_
_x000D_
   _x000D_
       crash_x000D_
_x000D_
             _x000D_
_x000D_
       Android 7 0 Android 8 0_x000D_
_x000D_
tinker   1 9 1_x000D_
_x000D_
gradle   2 3 3_x000D_
_x000D_
       SDK   Bugly SDK_x000D_
_x000D_
   windows_x000D_
_x000D_
      _x000D_
08 21 13:42:50 006 31735 31735   E Tinker TinkerUncaughtExceptionHandler: uncaughtException:Rejecting class android baoming ui contollers main LaunchActivity that attempts to sub type erroneous class android baoming ui contollers common base BaseActivity (declaration of  android baoming ui contollers main LaunchActivity  appears in  data user 0 android baoming tinker patch 848895a4 dex tinker classN apk)_x000D_
        08 21 13:42:50 007 31735 31735   E Tinker TinkerApplicationHelper: it is not safety to clean patch when tinker is loaded  you should kill all your process after clean _x000D_
        08 21 13:42:50 007 31735 31735   I Tinker PatchFileUtil: safeDeleteFile  try to delete path:  data user 0 android baoming tinker info lock_x000D_
        08 21 13:42:50 007 31735 31735   I Tinker PatchFileUtil: safeDeleteFile  try to delete path:  data user 0 android baoming tinker patch 848895a4 patch 848895a4 apk_x000D_
        08 21 13:42:50 009 31735 31735   I Tinker PatchFileUtil: safeDeleteFile  try to delete path:  data user 0 android baoming tinker patch 848895a4 dex tinker classN apk_x000D_
        08 21 13:42:50 011 31735 31735   I Tinker PatchFileUtil: safeDeleteFile  try to delete path:  data user 0 android baoming tinker patch 848895a4 dex_x000D_
        08 21 13:42:50 011 31735 31735   I Tinker PatchFileUtil: safeDeleteFile  try to delete path:  data user 0 android baoming tinker patch 848895a4 odex tinker classN dex_x000D_
        08 21 13:42:50 011 31735 31735   I Tinker PatchFileUtil: safeDeleteFile  try to delete path:  data user 0 android baoming tinker patch 848895a4 odex_x000D_
        08 21 13:42:50 011 31735 31735   I Tinker PatchFileUtil: safeDeleteFile  try to delete path:  data user 0 android baoming tinker patch 848895a4 res resources apk_x000D_
        08 21 13:42:50 011 31735 31735   I Tinker PatchFileUtil: safeDeleteFile  try to delete path:  data user 0 android baoming tinker patch 848895a4 res_x000D_
        08 21 13:42:50 011 31735 31735   I Tinker PatchFileUtil: safeDeleteFile  try to delete path:  data user 0 android baoming tinker patch 848895a4_x000D_
        08 21 13:42:50 011 31735 31735   I Tinker PatchFileUtil: safeDeleteFile  try to delete path:  data user 0 android baoming tinker patch info_x000D_
        08 21 13:42:50 011 31735 31735   I Tinker PatchFileUtil: safeDeleteFile  try to delete path:  data user 0 android baoming tinker_x000D_
        08 21 13:42:50 012 31735 31735   E Tinker TinkerUncaughtExceptionHandler: tinker has fast crash more than 3  we just clean patch _x000D_
        08 21 13:42:50 012 31735 31735   E Tinker UncaughtHandler: TinkerUncaughtHandler catch exception:java lang VerifyError: Rejecting class android baoming ui contollers main LaunchActivity that attempts to sub type erroneous class android baoming ui contollers common base BaseActivity (declaration of  android baoming ui contollers main LaunchActivity  appears in  data user 0 android baoming tinker patch 848895a4 dex tinker classN apk)_x000D_
        at java lang Class newInstance(Native Method)_x000D_
        at android app Instrumentation newActivity(Instrumentation java:1083)_x000D_
        at android app ActivityThread performLaunchActivity(ActivityThread java:2682)_x000D_
        at android app ActivityThread handleLaunchActivity(ActivityThread java:2864)_x000D_
        at android app ActivityThread  wrap12(ActivityThread java)_x000D_
        at android app ActivityThread H handleMessage(ActivityThread java:1567)_x000D_
        at android os Handler dispatchMessage(Handler java:105)_x000D_
        at android os Looper loop(Looper java:156)_x000D_
        at android app ActivityThread main(ActivityThread java:6523)_x000D_
        at java lang reflect Method invoke(Native Method)_x000D_
        at com android internal os ZygoteInit MethodAndArgsCaller run(ZygoteInit java:942)_x000D_
        at com android internal os ZygoteInit main(ZygoteInit java:832)_x000D_
        Caused by: java lang VerifyError: Verifier rejected class android baoming ui contollers common base BaseActivity: android baoming ui contollers common base LifeApplication android baoming ui contollers common base BaseActivity j() failed to verify: android baoming ui contollers common base LifeApplication android baoming ui contollers common base BaseActivity j():  0x4  returning  Reference: android baoming ui contollers common base BaseApplication   but expected from declaration  Reference: android baoming ui contollers common base LifeApplication  (declaration of  android baoming ui contollers common base BaseActivity  appears in  data user 0 android baoming tinker patch 848895a4 dex tinker classN apk)_x000D_
        at java lang Class newInstance(Native Method) _x000D_
        at android app Instrumentation newActivity(Instrumentation java:1083) _x000D_
        at android app ActivityThread performLaunchActivity(ActivityThread java:2682) _x000D_
        at android app ActivityThread handleLaunchActivity(ActivityThread java:2864) _x000D_
        at android app ActivityThread  wrap12(ActivityThread java) _x000D_
        at android app ActivityThread H handleMessage(ActivityThread java:1567) _x000D_
        at android os Handler dispatchMessage(Handler java:105) _x000D_
        at android os Looper loop(Looper java:156) _x000D_
        at android app ActivityThread main(ActivityThread java:6523) _x000D_
        at java lang reflect Method invoke(Native Method) _x000D_
        at com android internal os ZygoteInit MethodAndArgsCaller run(ZygoteInit java:942) _x000D_
        at com android internal os ZygoteInit main(ZygoteInit java:832) _x000D_
        08 21 13:42:50 012 31735 31735   E AndroidRuntime: FATAL EXCEPTION: main_x000D_
        Process: android baoming  PID: 31735_x000D_
        java lang VerifyError: Rejecting class android baoming ui contollers main LaunchActivity that attempts to sub type erroneous class android baoming ui contollers common base BaseActivity (declaration of  android baoming ui contollers main LaunchActivity  appears in  data user 0 android baoming tinker patch 848895a4 dex tinker classN apk)_x000D_
        at java lang Class newInstance(Native Method)_x000D_
        at android app Instrumentation newActivity(Instrumentation java:1083)_x000D_
        at android app ActivityThread performLaunchActivity(ActivityThread java:2682)_x000D_
        at android app ActivityThread handleLaunchActivity(ActivityThread java:2864)_x000D_
        at android app ActivityThread  wrap12(ActivityThread java)_x000D_
        at android app ActivityThread H handleMessage(ActivityThread java:1567)_x000D_
        at android os Handler dispatchMessage(Handler java:105)_x000D_
        at android os Looper loop(Looper java:156)_x000D_
        at android app ActivityThread main(ActivityThread java:6523)_x000D_
        at java lang reflect Method invoke(Native Method)_x000D_
        at com android internal os ZygoteInit MethodAndArgsCaller run(ZygoteInit java:942)_x000D_
        at com android internal os ZygoteInit main(ZygoteInit java:832)_x000D_
        Caused by: java lang VerifyError: Verifier rejected class android baoming ui contollers common base BaseActivity: android baoming ui contollers common base LifeApplication android baoming ui contollers common base BaseActivity j() failed to verify: android baoming ui contollers common base LifeApplication android baoming ui contollers common base BaseActivity j():  0x4  returning  Reference: android baoming ui contollers common base BaseApplication   but expected from declaration  Reference: android baoming ui contollers common base LifeApplication  (declaration of  android baoming ui contollers common base BaseActivity  appears in  data user 0 android baoming tinker patch 848895a4 dex tinker classN apk)_x000D_
        at java lang Class newInstance(Native Method) _x000D_
        at android app Instrumentation newActivity(Instrumentation java:1083) _x000D_
        at android app ActivityThread performLaunchActivity(ActivityThread java:2682) _x000D_
        at android app ActivityThread handleLaunchActivity(ActivityThread java:2864) _x000D_
        at android app ActivityThread  wrap12(ActivityThread java) _x000D_
        at android app ActivityThread H handleMessage(ActivityThread java:1567) _x000D_
        at android os Handler dispatchMessage(Handler java:105) _x000D_
        at android os Looper loop(Looper java:156) _x000D_
        at android app ActivityThread main(ActivityThread java:6523) _x000D_
        at java lang reflect Method invoke(Native Method) _x000D_
        at com android internal os ZygoteInit MethodAndArgsCaller run(ZygoteInit java:942) _x000D_
        at com android internal os ZygoteInit main(ZygoteInit java:832) _x000D_
        08 21 13:42:51 204 31865 31865   W Tinker TinkerLoader: tryLoadPatchFiles:patch dir not exist: data user 0 android baoming tinker_x000D_
        08 21 13:42:51 205 31865 31865   D Tinker DefaultAppLike: onBaseContextAttached:_x000D_
        08 21 13:42:51 209 31865 31865   I Tinker TinkerPatchListener: application maxMemory:384_x000D_
        08 21 13:42:51 217 31865 31865   W Tinker Tinker: tinker patch directory:  data user 0 android baoming tinker_x000D_
        08 21 13:42:51 218 31865 31865   I Tinker Tinker: try to install tinker  isEnable: true  version: 1 9 1_x000D_
        08 21 13:42:51 221 31865 31865   I Tinker TinkerLoadResult: parseTinkerResult loadCode: 2  process name:android baoming  main process:true  systemOTA:false  fingerPrint:honor FRD AL00 HWFRD:7 0 HUAWEIFRD AL00 C00B396:user release keys  oatDir:null  useInterpretMode:false_x000D_
        08 21 13:42:51 221 31865 31865   W Tinker TinkerLoadResult: can t find patch file  is ok  just return_x000D_
        08 21 13:42:51 222 31865 31865   I Tinker DefaultLoadReporter: patch loadReporter onLoadResult: patch load result  path: data user 0 android baoming tinker  code:  2  cost: 4ms_x000D_
        08 21 13:42:51 223 31865 31865   W Tinker Tinker: tinker load fail _x000D_
        08 21 13:42:51 296 31865 31865   I Tinker ComponentHotplug: method install() is not invoked  ignore ensuring operations _x000D_
        08 21 13:42:51 296 31865 31865   D Tinker DefaultAppLike: onCreate_x000D_
        08 21 13:42:51 752 31865 31865   D Tinker DefaultAppLike: onTrimMemory level:5_x000D_
        08 21 13:42:52 148 31865 31865   D Tinker DefaultAppLike: onTrimMemory level:80_x000D_
        08 21 13:42:52 324 31865 31865   W Tinker UpgradePatchRetry: onPatchRetryLoad patch file:  data user 0 android baoming tinker temp temp apk is not exist  just return_x000D_
        08 21 13:42:53 203 32078 32078   I art: Failed to add image file Failed to flatten class loader hierarchy  Unknown class loader type com tencent tinker loader AndroidNClassLoader _x000D_
        08 21 13:42:58 129 31865 31865   D Tinker DefaultAppLike: onTrimMemory level:20_x000D_
        08 21 13:43:01 853 32310 32310   W Tinker TinkerLoader: tryLoadPatchFiles:patch dir not exist: data user 0 android baoming tinker_x000D_
        08 21 13:43:01 854 32310 32310   D Tinker DefaultAppLike: onBaseContextAttached:_x000D_
        08 21 13:43:01 857 32310 32310   I Tinker TinkerPatchListener: application maxMemory:384_x000D_
        08 21 13:43:01 860 32310 32310   W Tinker Tinker: tinker patch directory:  data user 0 android baoming tinker_x000D_
        08 21 13:43:01 860 32310 32310   I Tinker Tinker: try to install tinker  isEnable: true  version: 1 9 1_x000D_
        08 21 13:43:01 860 32310 32310   I Tinker TinkerLoadResult: parseTinkerResult loadCode: 2  process name:android baoming:channel  main process:false  systemOTA:false  fingerPrint:honor FRD AL00 HWFRD:7 0 HUAWEIFRD AL00 C00B396:user release keys  oatDir:null  useInterpretMode:false_x000D_
        08 21 13:43:01 861 32310 32310   W Tinker TinkerLoadResult: can t find patch file  is ok  just return_x000D_
        08 21 13:43:01 861 32310 32310   I Tinker DefaultLoadReporter: patch loadReporter onLoadResult: patch load result  path: data user 0 android baoming tinker  code:  2  cost: 4ms_x000D_
        08 21 13:43:01 861 32310 32310   W Tinker Tinker: tinker load fail _x000D_
        08 21 13:43:01 865 32310 32310   I Tinker ComponentHotplug: method install() is not invoked  ignore ensuring operations _x000D_
        08 21 13:43:01 865 32310 32310   D Tinker DefaultAppLike: onCreate_x000D_
        08 21 13:43:02 342 32310 32310   D Tinker DefaultAppLike: onTrimMemory level:5_x000D_
        08 21 13:43:02 510 32310 32310   D Tinker DefaultAppLike: onTrimMemory level:80_x000D_
        08 21 13:43:02 633 32310 32310   W Tinker UpgradePatchRetry: onPatchRetryLoad retry is not main process  just return_x000D_
        08 21 13:43:06 459 3437 3437   D Tinker DefaultAppLike: onConfigurationChanged: 1 0 460mcc1mnc  zh CN  Hans  ldltr sw360dp w598dp h336dp 480dpi nrml land finger  keyb v h  nav h suim:1 s 41 _x000D_
        08 21 13:43:06 470 31865 31865   D Tinker DefaultAppLike: onConfigurationChanged: 1 0 460mcc1mnc  zh CN  Hans  ldltr sw360dp w598dp h336dp 480dpi nrml land finger  keyb v h  nav h suim:1 s 41 _x000D_
        08 21 13:43:06 532 32310 32310   D Tinker DefaultAppLike: onConfigurationChanged: 1 0 460mcc1mnc  zh CN  Hans  ldltr sw360dp w598dp h336dp 480dpi nrml land finger  keyb v h  nav h suim:1 s 41 _x000D_
_x000D_
                                                          issue                       (https:  github com tvvocold How To Ask Questions The Smart Way) _x000D_
_x000D_
Tinker                          sample Tinker             pr </t>
  </si>
  <si>
    <t>nextcloud-android-2904</t>
  </si>
  <si>
    <t>Crash after update on August, 20.</t>
  </si>
  <si>
    <t xml:space="preserve">    Actual behaviour_x000D_
  Nexcloud app crashes after start_x000D_
_x000D_
    Expected behaviour_x000D_
  App should open_x000D_
 _x000D_
    Steps to reproduce_x000D_
1  tap on Nextcloud icon_x000D_
2   Nextcloud was stopped  (record ok)_x000D_
3  _x000D_
_x000D_
_x000D_
    Environment data_x000D_
Android version: 4 4 2_x000D_
_x000D_
Device model: Acer E39_x000D_
_x000D_
Stock or customized system: Stock_x000D_
_x000D_
Nextcloud app version: 3 2 2_x000D_
_x000D_
Nextcloud server version: 13 05_x000D_
_x000D_
    Logs_x000D_
     Web server error log_x000D_
nothing _x000D_
_x000D_
_x000D_
     Nextcloud log (data nextcloud log)_x000D_
   _x000D_
Insert your Nextcloud log here_x000D_
   _x000D_
nothing new in the log is written_x000D_
</t>
  </si>
  <si>
    <t>bumptech-glide-3275</t>
  </si>
  <si>
    <t>Crash in libandroid_runtime.so</t>
  </si>
  <si>
    <t xml:space="preserve">  Glide Version  : 4 7 1_x000D_
  Integration libraries  : OkHttp 3 10 0_x000D_
_x000D_
  Device  :_x000D_
  Galaxy S8  (dream2lte)_x000D_
  Galaxy S7 (herolte)_x000D_
  Galaxy S7 edge (hero2lte)_x000D_
  Galaxy Note8 (greatlte) _x000D_
  and other Samsung devices_x000D_
_x000D_
  Android Version  : Android 8 0_x000D_
_x000D_
  Description  :_x000D_
After updating from  4 6 1  to  4 7 1  we start seeing new crashes happening on Samsung devices with Android 8  Could not reproduce it so far  but looking at all the reports it seems like it fails in native because of the OOM  all devices have 1 2  of free memory _x000D_
_x000D_
Trying to understand if Glide is now using some new bitmap API on Oreo  I looked through the release notes and it is not really clear if it does  But we do not see the same crash (stacktrace) in any other apps or for Glide 4 6 1  so definitely something has changed between  4 6 1  and  4 7 1  _x000D_
_x000D_
   _x000D_
                                                               _x000D_
backtrace:_x000D_
   00  pc 0000000000177a80   system lib64 libandroid runtime so ( ZN7android6bitmap12createBitmapEP7 JNIEnvPNS 6BitmapEiP11 jbyteArrayP8 jobjecti 96)_x000D_
   01  pc 000000000017dc70   system lib64 libandroid runtime so ( ZL8doDecodeP7 JNIEnvP18SkStreamRewindableP8 jobjectS4  4640)_x000D_
   02  pc 0000000000bc7aa0   system framework arm64 boot framework oat (android graphics BitmapFactory nativeDecodeStream  DEDUPED  256)_x000D_
   03  pc 0000000000bc7390   system framework arm64 boot framework oat (android graphics BitmapFactory decodeStream 272)_x000D_
   04  pc 000000000052e238   system lib64 libart so (art quick invoke static stub 600)_x000D_
   05  pc 00000000000d86e4   system lib64 libart so ( ZN3art9ArtMethod6InvokeEPNS 6ThreadEPjjPNS 6JValueEPKc 260)_x000D_
   06  pc 0000000000291720   system lib64 libart so ( ZN3art11interpreter34ArtInterpreterToCompiledCodeBridgeEPNS 6ThreadEPNS 9ArtMethodEPKNS 7DexFile8CodeItemEPNS 11ShadowFrameEPNS 6JValueE 352)_x000D_
   07  pc 000000000028bd30   system lib64 libart so ( ZN3art11interpreter6DoCallILb0ELb0EEEbPNS 9ArtMethodEPNS 6ThreadERNS 11ShadowFrameEPKNS 11InstructionEtPNS 6JValueE 672)_x000D_
   08  pc 0000000000516c74   system lib64 libart so (MterpInvokeStatic 468)_x000D_
   09  pc 000000000051fb14   system lib64 libart so (ExecuteMterpImpl 14612)_x000D_
   10  pc 000000000026bed0   system lib64 libart so ( ZN3art11interpreterL7ExecuteEPNS 6ThreadEPKNS 7DexFile8CodeItemERNS 11ShadowFrameENS 6JValueEb 448)_x000D_
   11  pc 0000000000272794   system lib64 libart so ( ZN3art11interpreter33ArtInterpreterToInterpreterBridgeEPNS 6ThreadEPKNS 7DexFile8CodeItemEPNS 11ShadowFrameEPNS 6JValueE 212)_x000D_
   12  pc 000000000028bd10   system lib64 libart so ( ZN3art11interpreter6DoCallILb0ELb0EEEbPNS 9ArtMethodEPNS 6ThreadERNS 11ShadowFrameEPKNS 11InstructionEtPNS 6JValueE 640)_x000D_
   13  pc 0000000000516c74   system lib64 libart so (MterpInvokeStatic 468)_x000D_
   14  pc 000000000051fb14   system lib64 libart so (ExecuteMterpImpl 14612)_x000D_
   15  pc 000000000026bed0   system lib64 libart so ( ZN3art11interpreterL7ExecuteEPNS 6ThreadEPKNS 7DexFile8CodeItemERNS 11ShadowFrameENS 6JValueEb 448)_x000D_
   16  pc 0000000000272794   system lib64 libart so ( ZN3art11interpreter33ArtInterpreterToInterpreterBridgeEPNS 6ThreadEPKNS 7DexFile8CodeItemEPNS 11ShadowFrameEPNS 6JValueE 212)_x000D_
   17  pc 000000000028cbec   system lib64 libart so ( ZN3art11interpreter6DoCallILb1ELb0EEEbPNS 9ArtMethodEPNS 6ThreadERNS 11ShadowFrameEPKNS 11InstructionEtPNS 6JValueE 684)_x000D_
   18  pc 0000000000518ca4   system lib64 libart so (MterpInvokeVirtualQuickRange 516)_x000D_
   19  pc 0000000000523794   system lib64 libart so (ExecuteMterpImpl 30100)_x000D_
   20  pc 000000000026bed0   system lib64 libart so ( ZN3art11interpreterL7ExecuteEPNS 6ThreadEPKNS 7DexFile8CodeItemERNS 11ShadowFrameENS 6JValueEb 448)_x000D_
   21  pc 0000000000272794   system lib64 libart so ( ZN3art11interpreter33ArtInterpreterToInterpreterBridgeEPNS 6ThreadEPKNS 7DexFile8CodeItemEPNS 11ShadowFrameEPNS 6JValueE 212)_x000D_
   22  pc 000000000028bd10   system lib64 libart so ( ZN3art11interpreter6DoCallILb0ELb0EEEbPNS 9ArtMethodEPNS 6ThreadERNS 11ShadowFrameEPKNS 11InstructionEtPNS 6JValueE 640)_x000D_
   23  pc 0000000000516690   system lib64 libart so (MterpInvokeInterface 1744)_x000D_
   24  pc 000000000051fb94   system lib64 libart so (ExecuteMterpImpl 14740)_x000D_
   25  pc 000000000026bed0   system lib64 libart so ( ZN3art11interpreterL7ExecuteEPNS 6ThreadEPKNS 7DexFile8CodeItemERNS 11ShadowFrameENS 6JValueEb 448)_x000D_
   26  pc 0000000000272794   system lib64 libart so ( ZN3art11interpreter33ArtInterpreterToInterpreterBridgeEPNS 6ThreadEPKNS 7DexFile8CodeItemEPNS 11ShadowFrameEPNS 6JValueE 212)_x000D_
   27  pc 000000000028cbec   system lib64 libart so ( ZN3art11interpreter6DoCallILb1ELb0EEEbPNS 9ArtMethodEPNS 6ThreadERNS 11ShadowFrameEPKNS 11InstructionEtPNS 6JValueE 684)_x000D_
   28  pc 00000000005182b8   system lib64 libart so (MterpInvokeDirectRange 424)_x000D_
   29  pc 000000000051fd94   system lib64 libart so (ExecuteMterpImpl 15252)_x000D_
   30  pc 000000000026bed0   system lib64 libart so ( ZN3art11interpreterL7ExecuteEPNS 6ThreadEPKNS 7DexFile8CodeItemERNS 11ShadowFrameENS 6JValueEb 448)_x000D_
   31  pc 0000000000272794   system lib64 libart so ( ZN3art11interpreter33ArtInterpreterToInterpreterBridgeEPNS 6ThreadEPKNS 7DexFile8CodeItemEPNS 11ShadowFrameEPNS 6JValueE 212)_x000D_
   32  pc 000000000028bd10   system lib64 libart so ( ZN3art11interpreter6DoCallILb0ELb0EEEbPNS 9ArtMethodEPNS 6ThreadERNS 11ShadowFrameEPKNS 11InstructionEtPNS 6JValueE 640)_x000D_
   33  pc 0000000000518898   system lib64 libart so (MterpInvokeVirtualQuick 680)_x000D_
   34  pc 0000000000523714   system lib64 libart so (ExecuteMterpImpl 29972)_x000D_
   35  pc 000000000026bed0   system lib64 libart so ( ZN3art11interpreterL7ExecuteEPNS 6ThreadEPKNS 7DexFile8CodeItemERNS 11ShadowFrameENS 6JValueEb 448)_x000D_
   36  pc 0000000000272794   system lib64 libart so ( ZN3art11interpreter33ArtInterpreterToInterpreterBridgeEPNS 6ThreadEPKNS 7DexFile8CodeItemEPNS 11ShadowFrameEPNS 6JValueE 212)_x000D_
   37  pc 000000000028cbec   system lib64 libart so ( ZN3art11interpreter6DoCallILb1ELb0EEEbPNS 9ArtMethodEPNS 6ThreadERNS 11ShadowFrameEPKNS 11InstructionEtPNS 6JValueE 684)_x000D_
   38  pc 00000000005182b8   system lib64 libart so (MterpInvokeDirectRange 424)_x000D_
   39  pc 000000000051fd94   system lib64 libart so (ExecuteMterpImpl 15252)_x000D_
   40  pc 000000000026bed0   system lib64 libart so ( ZN3art11interpreterL7ExecuteEPNS 6ThreadEPKNS 7DexFile8CodeItemERNS 11ShadowFrameENS 6JValueEb 448)_x000D_
   41  pc 0000000000272794   system lib64 libart so ( ZN3art11interpreter33ArtInterpreterToInterpreterBridgeEPNS 6ThreadEPKNS 7DexFile8CodeItemEPNS 11ShadowFrameEPNS 6JValueE 212)_x000D_
   42  pc 000000000028cbec   system lib64 libart so ( ZN3art11interpreter6DoCallILb1ELb0EEEbPNS 9ArtMethodEPNS 6ThreadERNS 11ShadowFrameEPKNS 11InstructionEtPNS 6JValueE 684)_x000D_
   43  pc 0000000000518ca4   system lib64 libart so (MterpInvokeVirtualQuickRange 516)_x000D_
   44  pc 0000000000523794   system lib64 libart so (ExecuteMterpImpl 30100)_x000D_
   45  pc 000000000026bed0   system lib64 libart so ( ZN3art11interpreterL7ExecuteEPNS 6ThreadEPKNS 7DexFile8CodeItemERNS 11ShadowFrameENS 6JValueEb 448)_x000D_
   46  pc 0000000000272794   system lib64 libart so ( ZN3art11interpreter33ArtInterpreterToInterpreterBridgeEPNS 6ThreadEPKNS 7DexFile8CodeItemEPNS 11ShadowFrameEPNS 6JValueE 212)_x000D_
   47  pc 000000000028bd10   system lib64 libart so ( ZN3art11interpreter6DoCallILb0ELb0EEEbPNS 9ArtMethodEPNS 6ThreadERNS 11ShadowFrameEPKNS 11InstructionEtPNS 6JValueE 640)_x000D_
   48  pc 00000000005169b8   system lib64 libart so (MterpInvokeDirect 504)_x000D_
   49  pc 000000000051fa94   system lib64 libart so (ExecuteMterpImpl 14484)_x000D_
   50  pc 000000000026bed0   system lib64 libart so ( ZN3art11interpreterL7ExecuteEPNS 6ThreadEPKNS 7DexFile8CodeItemERNS 11ShadowFrameENS 6JValueEb 448)_x000D_
   51  pc 0000000000272794   system lib64 libart so ( ZN3art11interpreter33ArtInterpreterToInterpreterBridgeEPNS 6ThreadEPKNS 7DexFile8CodeItemEPNS 11ShadowFrameEPNS 6JValueE 212)_x000D_
   52  pc 000000000028bd10   system lib64 libart so ( ZN3art11interpreter6DoCallILb0ELb0EEEbPNS 9ArtMethodEPNS 6ThreadERNS 11ShadowFrameEPKNS 11InstructionEtPNS 6JValueE 640)_x000D_
   53  pc 00000000005169b8   system lib64 libart so (MterpInvokeDirect 504)_x000D_
   54  pc 000000000051fa94   system lib64 libart so (ExecuteMterpImpl 14484)_x000D_
   55  pc 000000000026bed0   system lib64 libart so ( ZN3art11interpreterL7ExecuteEPNS 6ThreadEPKNS 7DexFile8CodeItemERNS 11ShadowFrameENS 6JValueEb 448)_x000D_
   56  pc 0000000000272794   system lib64 libart so ( ZN3art11interpreter33ArtInterpreterToInterpreterBridgeEPNS 6ThreadEPKNS 7DexFile8CodeItemEPNS 11ShadowFrameEPNS 6JValueE 212)_x000D_
   57  pc 000000000028bd10   system lib64 libart so ( ZN3art11interpreter6DoCallILb0ELb0EEEbPNS 9ArtMethodEPNS 6ThreadERNS 11ShadowFrameEPKNS 11InstructionEtPNS 6JValueE 640)_x000D_
   58  pc 00000000005169b8   system lib64 libart so (MterpInvokeDirect 504)_x000D_
   59  pc 000000000051fa94   system lib64 libart so (ExecuteMterpImpl 14484)_x000D_
   60  pc 000000000026bed0   system lib64 libart so ( ZN3art11interpreterL7ExecuteEPNS 6ThreadEPKNS 7DexFile8CodeItemERNS 11ShadowFrameENS 6JValueEb 448)_x000D_
   61  pc 0000000000272794   system lib64 libart so ( ZN3art11interpreter33ArtInterpreterToInterpreterBridgeEPNS 6ThreadEPKNS 7DexFile8CodeItemEPNS 11ShadowFrameEPNS 6JValueE 212)_x000D_
   62  pc 000000000028cbec   system lib64 libart so ( ZN3art11interpreter6DoCallILb1ELb0EEEbPNS 9ArtMethodEPNS 6ThreadERNS 11ShadowFrameEPKNS 11InstructionEtPNS 6JValueE 684)_x000D_
   63  pc 0000000000517fe8   system lib64 libart so (MterpInvokeInterfaceRange 1736)_x000D_
   _x000D_
</t>
  </si>
  <si>
    <t>niclabs-adkintunmobile-androidclient-196</t>
  </si>
  <si>
    <t>PreferenceGroup.java line 141</t>
  </si>
  <si>
    <t xml:space="preserve">     in android support v7 preference PreferenceGroup getPreference
  Number of crashes: 1
  Impacted devices: 1
There s a lot more information about this crash on crashlytics com:
 https:  fabric io niclabs android apps cl niclabs adkintunmobile issues 5b7b22dc6007d59fcd591919 utm medium service hooks github utm source issue impact (https:  fabric io niclabs android apps cl niclabs adkintunmobile issues 5b7b22dc6007d59fcd591919 utm medium service hooks github utm source issue impact)</t>
  </si>
  <si>
    <t>cgeo-cgeo-7122</t>
  </si>
  <si>
    <t>Google Play Alert - java.io.IOexception</t>
  </si>
  <si>
    <t xml:space="preserve">I checked Google Play crash reports as there are quite some mails and activity on social networks  that c:geo runs instable _x000D_
_x000D_
The Google Play console gave out a warning about a significant problem with 2018 08 14 _x000D_
It started at 18 08 2018 and 4000 reports since then:_x000D_
_x000D_
   _x000D_
java lang RuntimeException: _x000D_
  at io reactivex internal util ExceptionHelper wrapOrThrow (ExceptionHelper java:45)_x000D_
  at io reactivex internal observers BlockingMultiObserver blockingGet (BlockingMultiObserver java:91)_x000D_
  at io reactivex Single blockingGet (Single java:2492)_x000D_
  at cgeo geocaching connector gc GCWebAPI getTrackableInventory (GCWebAPI java:404)_x000D_
  at cgeo geocaching connector gc GCLoggingManager onLoadFinished (GCLoggingManager java:73)_x000D_
  at cgeo geocaching connector gc GCLoggingManager onLoadFinished (GCLoggingManager java:39)_x000D_
  at android support v4 app LoaderManagerImpl LoaderInfo callOnLoadFinished (LoaderManager java:476)_x000D_
  at android support v4 app LoaderManagerImpl LoaderInfo onLoadComplete (LoaderManager java:444)_x000D_
  at android support v4 content Loader deliverResult (Loader java:126)_x000D_
  at android support v4 content AsyncTaskLoader dispatchOnLoadComplete (AsyncTaskLoader java:249)_x000D_
  at android support v4 content AsyncTaskLoader LoadTask onPostExecute (AsyncTaskLoader java:77)_x000D_
  at android support v4 content ModernAsyncTask finish (ModernAsyncTask java:466)_x000D_
  at android support v4 content ModernAsyncTask access 400 (ModernAsyncTask java:48)_x000D_
  at android support v4 content ModernAsyncTask InternalHandler handleMessage (ModernAsyncTask java:483)_x000D_
  at android os Handler dispatchMessage (Handler java:102)_x000D_
  at android os Looper loop (Looper java:135) _x000D_
  at android app ActivityThread main (ActivityThread java:5608)_x000D_
  at java lang reflect Method invoke (Native Method)_x000D_
  at java lang reflect Method invoke (Method java:372)_x000D_
  at com android internal os ZygoteInit MethodAndArgsCaller run (ZygoteInit java:1397)_x000D_
  at com android internal os ZygoteInit main (ZygoteInit java:1192)_x000D_
Caused by: java io IOException: _x000D_
  at cgeo geocaching network Network 6 apply (Network java:633)_x000D_
  at cgeo geocaching network Network 6 apply (Network java:621)_x000D_
  at io reactivex internal operators single SingleFlatMap SingleFlatMapCallback onSuccess (SingleFlatMap java:76)_x000D_
  at io reactivex internal operators single SingleCreate Emitter onSuccess (SingleCreate java:68)_x000D_
  at cgeo geocaching utils RxOkHttpUtils 1 2 onResponse (RxOkHttpUtils java:53)_x000D_
  at okhttp3 RealCall AsyncCall execute (RealCall java:153)_x000D_
  at okhttp3 internal NamedRunnable run (NamedRunnable java:32)_x000D_
  at java util concurrent ThreadPoolExecutor runWorker (ThreadPoolExecutor java:1112)_x000D_
  at java util concurrent ThreadPoolExecutor Worker run (ThreadPoolExecutor java:587)_x000D_
  at java lang Thread run (Thread java:818)_x000D_
   _x000D_
_x000D_
I can also see a second (similar) crash scenario and quite a raise on ANRs in the area of cache logging activity _x000D_
_x000D_
As we did not change this area recently I assume there something on the server side triggering these problems resulting in a crash  This means we should still try to find out  whats going on and fix it _x000D_
_x000D_
</t>
  </si>
  <si>
    <t>gsantner-markor-314</t>
  </si>
  <si>
    <t>md [hl]: header hightlighting spacing bug?</t>
  </si>
  <si>
    <t xml:space="preserve">     General information_x000D_
_x000D_
    App version:   1 0 0 F Droid_x000D_
    System:   Android 6 0 1 on Xperia Z5C_x000D_
_x000D_
     Description_x000D_
Many thanks for this app  I have been using it to convert some previously text only documents I ve created into Markdown documents _x000D_
_x000D_
However  I ve found some rendering problems in the editor when Syntax highlighting is turned on  I haven t been able to boil this down to a simple example  but I attach a (redacted) typical file  and some screenshots of the problem  This is happening to almost any previously text only file I try to convert to Markdown  Note that they render fine in preview mode  just not in the syntax highlighting editor _x000D_
_x000D_
Please note that the filename actually ends in  md   I only changed it to  txt so that github would accept it _x000D_
 example1 txt (https:  github com gsantner markor files 2300360 example1 txt)_x000D_
  screenshot 20180819 150426 (https:  user images githubusercontent com 2512915 44309613 53846000 a3c1 11e8 9dd4 2604a412fd5f png)_x000D_
  screenshot 20180819 150439 (https:  user images githubusercontent com 2512915 44309614 57b07d80 a3c1 11e8 87ce 9cbcc93fdfaa png)_x000D_
  screenshot 20180819 150447 (https:  user images githubusercontent com 2512915 44309615 5aab6e00 a3c1 11e8 96d8 60461e77c095 png)_x000D_
  screenshot 20180819 150457 (https:  user images githubusercontent com 2512915 44309617 5e3ef500 a3c1 11e8 999e 5f5df6b77c40 png)_x000D_
_x000D_
_x000D_
_x000D_
_x000D_
_x000D_
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android contribution guide  packageid net gsantner markor project markor web https:  github com gsantner markor logcat_x000D_
   _x000D_
</t>
  </si>
  <si>
    <t>noahwc-CompositionCollector-1</t>
  </si>
  <si>
    <t>Saving existing note causes a crash</t>
  </si>
  <si>
    <t xml:space="preserve">When saving an existing note opened from the recycler view in the main activity the app crashes </t>
  </si>
  <si>
    <t>fossasia-pslab-android-1374</t>
  </si>
  <si>
    <t>App crashes in  FAQ and AboutUs section of navigation drawer</t>
  </si>
  <si>
    <t xml:space="preserve">  Actual Behaviour  _x000D_
_x000D_
App crashes if any of the FAQ section or about us section is clicked_x000D_
_x000D_
  Expected Behaviour  _x000D_
_x000D_
It should not crash_x000D_
_x000D_
  Steps to reproduce it  _x000D_
_x000D_
Go to any of the FAQ or AboutUs section_x000D_
_x000D_
  LogCat for the issue  _x000D_
   _x000D_
E AndroidRuntime: FATAL EXCEPTION: main_x000D_
                  Process: io pslab  PID: 22396_x000D_
                  java lang NullPointerException: Attempt to invoke interface method  android view MenuItem android view SubMenu getItem(int)  on a null object reference_x000D_
                      at io pslab activity MainActivity selectNavMenu(MainActivity java:229)_x000D_
                      at io pslab activity MainActivity loadHomeFragment(MainActivity java:151)_x000D_
                      at io pslab activity MainActivity access 300(MainActivity java:51)_x000D_
                      at io pslab activity MainActivity 2 onNavigationItemSelected(MainActivity java:282)_x000D_
                      at android support design widget NavigationView 1 onMenuItemSelected(NavigationView java:154)_x000D_
                      at android support v7 view menu MenuBuilder dispatchMenuItemSelected(MenuBuilder java:822)_x000D_
                      at android support v7 view menu SubMenuBuilder dispatchMenuItemSelected(SubMenuBuilder java:89)_x000D_
                      at android support v7 view menu MenuItemImpl invoke(MenuItemImpl java:171)_x000D_
                      at android support v7 view menu MenuBuilder performItemAction(MenuBuilder java:973)_x000D_
                      at android support design internal NavigationMenuPresenter 1 onClick(NavigationMenuPresenter java:342)_x000D_
                      at android view View performClick(View java:6261)_x000D_
                      at android view View PerformClick run(View java:23752)_x000D_
                      at android os Handler handleCallback(Handler java:751)_x000D_
   _x000D_
_x000D_
_x000D_
  Would you like to work on the issue   _x000D_
_x000D_
Yes_x000D_
</t>
  </si>
  <si>
    <t>commons-app-apps-android-commons-1834</t>
  </si>
  <si>
    <t>Notification-related crashes on Android 8.1 (API 27)</t>
  </si>
  <si>
    <t xml:space="preserve">  Summary:   _x000D_
_x000D_
I consistently get crashes on upload attempts on Android 8 1 _x000D_
_x000D_
  Steps to reproduce:   _x000D_
_x000D_
Tap the camera icon and proceed to upload _x000D_
_x000D_
Logcat says:_x000D_
_x000D_
    08 17 21:31:19 706 17044 17044 fr free nrw commons beta E AndroidRuntime: FATAL EXCEPTION: main_x000D_
    Process: fr free nrw commons beta  PID: 17044_x000D_
    android app RemoteServiceException: Bad notification for startForeground: java lang RuntimeException: invalid channel for service notification: Notification(channel null pri 0 contentView null vibrate null sound null tick defaults 0x0 flags 0x52 color 0x00000000 vis PRIVATE)_x000D_
        at android app ActivityThread H handleMessage(ActivityThread java:1768)_x000D_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Device and Android version:   _x000D_
_x000D_
Android 8 1 _x000D_
 _x000D_
   Commons app version:   _x000D_
_x000D_
master (3cee4bbe3b305d58)_x000D_
_x000D_
  Would you like to work on the issue   _x000D_
_x000D_
yes_x000D_
</t>
  </si>
  <si>
    <t>commons-app-apps-android-commons-1833</t>
  </si>
  <si>
    <t>Get ACRA crash reporting system working again</t>
  </si>
  <si>
    <t xml:space="preserve">  Summary:   _x000D_
_x000D_
We used to have ACRA crash reports  Then we didn t  Then we fixed that  But now we don t have them again  These reports are very useful because they allow users to add comments to tell us what they were doing at the time of the crash_x000D_
_x000D_
  Steps to reproduce:   _x000D_
_x000D_
Generate a crash  If ACRA reports were working  there would be an option to report the crash (not just close or reopen app) _x000D_
_x000D_
  Device and Android version:   _x000D_
_x000D_
Several different ones  including API 21 and API 24_x000D_
 _x000D_
   Commons app version:   _x000D_
_x000D_
Current master_x000D_
_x000D_
  Would you like to work on the issue   _x000D_
_x000D_
Preferably not_x000D_
</t>
  </si>
  <si>
    <t>davideas-FlexibleAdapter-651</t>
  </si>
  <si>
    <t>onRestoreInstanceState crash when Fragments in ViewPager</t>
  </si>
  <si>
    <t>Hello _x000D_
_x000D_
I can still get the App crash in the setup I explained in   649 (https:  github com davideas FlexibleAdapter issues 649)_x000D_
_x000D_
I create the adapter (with no items) in onActivityCreated and my code for saving restoring the state looks like this:_x000D_
_x000D_
    java_x000D_
    override fun onSaveInstanceState(outState: Bundle)  _x000D_
        super onSaveInstanceState(outState)_x000D_
        Timber e( onSaveInstanceState FLEX ADAPTER )_x000D_
        if (::adapter isInitialized    adapter mainItemCount   0)  _x000D_
            Timber e( SAVE FLEX ADAPTER STATE )_x000D_
            adapter onSaveInstanceState(outState)_x000D_
         _x000D_
     _x000D_
    override fun onViewStateRestored(savedInstanceState: Bundle )  _x000D_
        super onViewStateRestored(savedInstanceState)_x000D_
_x000D_
        savedInstanceState  let  _x000D_
            Timber e( RESTORE FLEX ADAPTER STATE )_x000D_
            adapter onRestoreInstanceState(savedInstanceState)_x000D_
         _x000D_
     _x000D_
   _x000D_
_x000D_
To reproduce the error I follow these steps:_x000D_
   navigate to fragment A  swipe to B and then to C_x000D_
   Change orientation to landscape and back to portrait_x000D_
   Swipe to fragment B     crash_x000D_
_x000D_
   _x000D_
java lang NullPointerException: Attempt to invoke interface method  java util Iterator java util Collection iterator()  on a null object reference_x000D_
        at java util AbstractCollection addAll(AbstractCollection java:74)_x000D_
        at java util TreeSet addAll(TreeSet java:132)_x000D_
        at java util Collections SynchronizedCollection addAll(Collections java:390)_x000D_
        at eu davidea flexibleadapter SelectableAdapter onRestoreInstanceState(SelectableAdapter java:577)_x000D_
        at eu davidea flexibleadapter FlexibleAdapter onRestoreInstanceState(FlexibleAdapter java:5106)_x000D_
   _x000D_
_x000D_
And the trace looks like this:_x000D_
_x000D_
   _x000D_
  onSaveInstanceState FLEX ADAPTER_x000D_
    SAVE FLEX ADAPTER STATE_x000D_
  onSaveInstanceState FLEX ADAPTER_x000D_
  RESTORE FLEX ADAPTER STATE_x000D_
   _x000D_
So  saving and restoring do go out of synch _x000D_
_x000D_
It s possible to work around this problem by saving e g  boolean flag to bundle in onSaveInstanceState and read it in onViewStateRestored before calling  adapter onRestoreInstanceState  but could you consider checking if  savedInstanceState getIntegerArrayList(TAG)  is null like mentioned in  611</t>
  </si>
  <si>
    <t>StAResComp-sifids-212</t>
  </si>
  <si>
    <t>App crashes upon saving a form row</t>
  </si>
  <si>
    <t xml:space="preserve">  Describe the bug  _x000D_
App crashes after saving a form row_x000D_
</t>
  </si>
  <si>
    <t>ThmmyNoLife-mTHMMY-41</t>
  </si>
  <si>
    <t>Crash details do not appear on Firebase console</t>
  </si>
  <si>
    <t xml:space="preserve"> CrashreportingTree ( https:  github com ThmmyNoLife mTHMMY blob develop app src main java gr thmmy mthmmy utils CrashReportingTree java ) class uses  Crashlytics log() to forward Timber messages to Firebase  However  when attempting to view the detailed log of a crash on the Firebase console  no such messages seem to be logged </t>
  </si>
  <si>
    <t>andybalaam-rabbit-escape-551</t>
  </si>
  <si>
    <t>"until:WON" not supported in command-line solution</t>
  </si>
  <si>
    <t xml:space="preserve">When I use  until:WON  inside a solution that I pass on the command line  rabbit escape crashes _x000D_
_x000D_
   _x000D_
    runrabbit swing  l rabbit escape engine src rabbitescape levels 08 rabbots 20 GCD rel  s  dig 51 (6 0) until:WON _x000D_
rabbitescape engine solution InvalidAction: solution InvalidAction  action pGIk     hc  yh  8Z  B  cause null _x000D_
	at rabbitescape engine solution SolutionParser doMakeAction(SolutionParser java:114)_x000D_
	at rabbitescape engine solution SolutionParser makeAction(SolutionParser java:74)_x000D_
	at rabbitescape engine solution SolutionParser parseCommand(SolutionParser java:55)_x000D_
	at rabbitescape engine solution SolutionParser parse(SolutionParser java:38)_x000D_
	at rabbitescape engine solution SolutionDemo  init (SolutionDemo java:42)_x000D_
	at rabbitescape ui swing SwingGameLaunch createSolutionInterpreter(SwingGameLaunch java:152)_x000D_
	at rabbitescape ui swing SwingGameLaunch  init (SwingGameLaunch java:88)_x000D_
	at rabbitescape ui swing SwingSingleGameEntryPoint createGameLaunch(SwingSingleGameEntryPoint java:134)_x000D_
	at rabbitescape render SingleGameEntryPoint launchGame(SingleGameEntryPoint java:52)_x000D_
	at rabbitescape render SingleGameEntryPoint run(SingleGameEntryPoint java:37)_x000D_
	at rabbitescape ui swing SwingSingleGameEntryPoint go(SwingSingleGameEntryPoint java:122)_x000D_
	at rabbitescape ui swing SwingSingleGameEntryPoint entryPoint(SwingSingleGameEntryPoint java:80)_x000D_
	at rabbitescape ui swing SwingMain main(SwingMain java:47)_x000D_
   _x000D_
_x000D_
The same solution works fine when in a  rel file   It should work fine on the command line </t>
  </si>
  <si>
    <t>niclabs-adkintunmobile-androidclient-195</t>
  </si>
  <si>
    <t>ConnectivityTest.java line 150</t>
  </si>
  <si>
    <t xml:space="preserve">     in cl niclabs adkintunmobile utils activemeasurements connectivitytest ConnectivityTest 4 run
  Number of crashes: 1
  Impacted devices: 1
There s a lot more information about this crash on crashlytics com:
 https:  fabric io niclabs android apps cl niclabs adkintunmobile issues 5b72fbb56007d59fcdc68b3f utm medium service hooks github utm source issue impact (https:  fabric io niclabs android apps cl niclabs adkintunmobile issues 5b72fbb56007d59fcdc68b3f utm medium service hooks github utm source issue impact)</t>
  </si>
  <si>
    <t>nextcloud-android-2885</t>
  </si>
  <si>
    <t>App Crash if i zoom out</t>
  </si>
  <si>
    <t xml:space="preserve">    Actual behaviour_x000D_
App crash_x000D_
_x000D_
_x000D_
    Expected behaviour_x000D_
no crash_x000D_
 _x000D_
    Steps to reproduce_x000D_
1  Open App_x000D_
2  open a photo _x000D_
3  Zoom out very fast and multible times_x000D_
4  APP Crash_x000D_
_x000D_
_x000D_
_x000D_
    Environment data_x000D_
Android version:_x000D_
8 0 0 _x000D_
Device model: _x000D_
Samsung S8_x000D_
Stock or customized system:_x000D_
stock_x000D_
Nextcloud app version:_x000D_
3 2 1_x000D_
Nextcloud server version:_x000D_
13 0 5_x000D_
_x000D_
</t>
  </si>
  <si>
    <t>microsoft-EmbeddedSocial-Android-SDK-99</t>
  </si>
  <si>
    <t>NPE in ActivityFeedFragment.createPagerAdapter()</t>
  </si>
  <si>
    <t xml:space="preserve">  Summary:   _x000D_
_x000D_
In OneBusAway v2 3 9 I ve seen 12 instances of this crash (new to this version):_x000D_
_x000D_
   _x000D_
java lang RuntimeException: _x000D_
  at android app ActivityThread performLaunchActivity (ActivityThread java:2378)_x000D_
  at android app ActivityThread handleLaunchActivity (ActivityThread java:2440)_x000D_
  at android app ActivityThread access 800 (ActivityThread java:162)_x000D_
  at android app ActivityThread H handleMessage (ActivityThread java:1348)_x000D_
  at android os Handler dispatchMessage (Handler java:102)_x000D_
  at android os Looper loop (Looper java:135)_x000D_
  at android app ActivityThread main (ActivityThread java:5422)_x000D_
  at java lang reflect Method invoke (Native Method)_x000D_
  at java lang reflect Method invoke (Method java:372)_x000D_
  at com android internal os ZygoteInit MethodAndArgsCaller run (ZygoteInit java:914)_x000D_
  at com android internal os ZygoteInit main (ZygoteInit java:707)_x000D_
Caused by: java lang NullPointerException: _x000D_
  at com microsoft embeddedsocial ui fragment ActivityFeedFragment createPagerAdapter (ActivityFeedFragment java:30)_x000D_
  at com microsoft embeddedsocial ui fragment base BaseTabsFragment onViewCreated (BaseTabsFragment java:65)_x000D_
  at android support v4 app FragmentManagerImpl moveToState (FragmentManager java:1439)_x000D_
  at android support v4 app FragmentManagerImpl moveFragmentToExpectedState (FragmentManager java:1759)_x000D_
  at android support v4 app FragmentManagerImpl moveToState (FragmentManager java:1827)_x000D_
  at android support v4 app BackStackRecord executeOps (BackStackRecord java:797)_x000D_
  at android support v4 app FragmentManagerImpl executeOps (FragmentManager java:2596)_x000D_
  at android support v4 app FragmentManagerImpl executeOpsTogether (FragmentManager java:2383)_x000D_
  at android support v4 app FragmentManagerImpl removeRedundantOperationsAndExecute (FragmentManager java:2338)_x000D_
  at android support v4 app FragmentManagerImpl execPendingActions (FragmentManager java:2245)_x000D_
  at android support v4 app FragmentManagerImpl dispatchStateChange (FragmentManager java:3248)_x000D_
  at android support v4 app FragmentManagerImpl dispatchActivityCreated (FragmentManager java:3200)_x000D_
  at android support v4 app FragmentController dispatchActivityCreated (FragmentController java:195)_x000D_
  at android support v4 app FragmentActivity onStart (FragmentActivity java:597)_x000D_
  at android support v7 app AppCompatActivity onStart (AppCompatActivity java:177)_x000D_
  at org onebusaway android ui HomeActivity onStart (HomeActivity java:387)_x000D_
  at android app Instrumentation callActivityOnStart (Instrumentation java:1236)_x000D_
  at android app Activity performStart (Activity java:6073)_x000D_
  at android app ActivityThread performLaunchActivity (ActivityThread java:2341)_x000D_
   _x000D_
_x000D_
Looks like they are all specific to the LG K7 (m1) w  Android 5 1 _x000D_
_x000D_
If it s not an easy fix we may be able to ignore this one   It s only impacted one user so far _x000D_
_x000D_
  Steps to reproduce:   _x000D_
_x000D_
Unknown_x000D_
_x000D_
  Expected behavior:   _x000D_
_x000D_
Not crash_x000D_
_x000D_
  Observed behavior:   _x000D_
_x000D_
Crash_x000D_
_x000D_
  Device  Android  and Embedded Social SDK version:   _x000D_
_x000D_
OBA Android v2 3 9 on a LG K7 (m1) w  Android 5 1 _x000D_
_x000D_
  com acrowntest test:sdk:0 7 1:release aar  </t>
  </si>
  <si>
    <t>freeotp-freeotp-android-200</t>
  </si>
  <si>
    <t>FreeOTP crashes when scanning a code that has no label and no issuer.</t>
  </si>
  <si>
    <t xml:space="preserve">This is possibly related to issue  172 _x000D_
_x000D_
I inadvertently created a QR code with no label and no issuer  This code crashes FreeOTP when scanned  The value of the code is as follows:_x000D_
_x000D_
 otpauth:  totp  3A issuer  secret TEST _x000D_
_x000D_
  freeotp crash (https:  user images githubusercontent com 296121 44036399 b339e0f6 9edf 11e8 88d3 f7a8ae57c2fa png)_x000D_
</t>
  </si>
  <si>
    <t>square-okhttp-4208</t>
  </si>
  <si>
    <t>IndexOutOfBoundsException in RealConnection</t>
  </si>
  <si>
    <t>got following crash in google pixel xl device with android p using okhttp3 11_x000D_
Fatal Exception: java lang IndexOutOfBoundsException: Index: 0_x000D_
       at java util Collections EmptyList get(Collections java:4502)_x000D_
       at okhttp3 internal connection RealConnection connectTls(RealConnection java:325)_x000D_
       at okhttp3 internal connection RealConnection establishProtocol(RealConnection java:282)_x000D_
       at okhttp3 internal connection RealConnection connect(RealConnection java:167)_x000D_
       at okhttp3 internal connection StreamAllocation findConnection(StreamAllocation java:257)_x000D_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java:126)_x000D_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AsyncCall execute(RealCall java:147)_x000D_
       at okhttp3 internal NamedRunnable run(NamedRunnable java:32)_x000D_
       at java util concurrent ThreadPoolExecutor runWorker(ThreadPoolExecutor java:1167)_x000D_
       at java util concurrent ThreadPoolExecutor Worker run(ThreadPoolExecutor java:641)_x000D_
       at java lang Thread run(Thread java:764)</t>
  </si>
  <si>
    <t>itachi1706-SingBuses-116</t>
  </si>
  <si>
    <t>GetBusServicesHandler.java line 77</t>
  </si>
  <si>
    <t xml:space="preserve">     in com itachi1706 busarrivalsg AsyncTasks GetBusServicesHandler onPostExecute
  Number of crashes: 1
  Impacted devices: 1
There s a lot more information about this crash on crashlytics com:
 https:  fabric io itachi1706s projects android apps com itachi1706 busarrivalsg issues 5b7112846007d59fcda11beb utm medium service hooks github utm source issue impact (https:  fabric io itachi1706s projects android apps com itachi1706 busarrivalsg issues 5b7112846007d59fcda11beb utm medium service hooks github utm source issue impact)</t>
  </si>
  <si>
    <t>fossasia-pslab-android-1365</t>
  </si>
  <si>
    <t>App crashing after changing fragments in Lux Meter</t>
  </si>
  <si>
    <t xml:space="preserve">  Actual Behaviour  _x000D_
_x000D_
App crashes when the record button is pressed after the fragment is changed from Data Plot to Config and again to Data Plot _x000D_
_x000D_
  Expected Behaviour  _x000D_
_x000D_
The app shouldn t crash_x000D_
_x000D_
  Steps to reproduce it  _x000D_
_x000D_
Add steps to reproduce bugs or add information on the place where the feature should be implemented  Add links to a sample deployment or code _x000D_
_x000D_
  LogCat for the issue  _x000D_
_x000D_
   _x000D_
E AndroidRuntime: FATAL EXCEPTION: main_x000D_
                  Process: io pslab  PID: 5786_x000D_
                  java lang NullPointerException: Attempt to invoke virtual method  void com github mikephil charting charts LineChart invalidate()  on a null object reference_x000D_
                      at io pslab fragment LuxMeterFragmentData startSensorFetching(LuxMeterFragmentData java:350)_x000D_
                      at io pslab activity LuxMeterActivity onOptionsItemSelected(LuxMeterActivity java:260)_x000D_
                      at android app Activity onMenuItemSelected(Activity java:3477)_x000D_
                      at android support v4 app FragmentActivity onMenuItemSelected(FragmentActivity java:407)_x000D_
                      at android support v7 app AppCompatActivity onMenuItemSelected(AppCompatActivity java:195)_x000D_
                      at android support v7 view WindowCallbackWrapper onMenuItemSelected(WindowCallbackWrapper java:108)_x000D_
                      at android support v7 view WindowCallbackWrapper onMenuItemSelected(WindowCallbackWrapper java:108)_x000D_
                      at android support v7 app ToolbarActionBar 2 onMenuItemClick(ToolbarActionBar java:63)_x000D_
                      at android support v7 widget Toolbar 1 onMenuItemClick(Toolbar java:203)_x000D_
                      at android support v7 widget ActionMenuView MenuBuilderCallback onMenuItemSelected(ActionMenuView java:780)_x000D_
                      at android support v7 view menu MenuBuilder dispatchMenuItemSelected(MenuBuilder java:822)_x000D_
                      at android support v7 view menu MenuItemImpl invoke(MenuItemImpl java:171)_x000D_
                      at android support v7 view menu MenuBuilder performItemAction(MenuBuilder java:973)_x000D_
                      at android support v7 view menu MenuBuilder performItemAction(MenuBuilder java:963)_x000D_
                      at android support v7 widget ActionMenuView invokeItem(ActionMenuView java:624)_x000D_
                      at android support v7 view menu ActionMenuItemView onClick(ActionMenuItemView java:150)_x000D_
                      at android view View performClick(View java:6367)_x000D_
                      at android view View PerformClick run(View java:25032)_x000D_
                      at android os Handler handleCallback(Handler java:790)_x000D_
                      at android os Handler dispatchMessage(Handler java:99)_x000D_
                      at android os Looper loop(Looper java:164)_x000D_
                      at android app ActivityThread main(ActivityThread java:6753)_x000D_
                      at java lang reflect Method invoke(Native Method)_x000D_
                      at com android internal os RuntimeInit MethodAndArgsCaller run(RuntimeInit java:482)_x000D_
                      at com android internal os ZygoteInit main(ZygoteInit java:807)_x000D_
   _x000D_
_x000D_
  Screenshots of the issue  _x000D_
_x000D_
  20180813 015347 (https:  user images githubusercontent com 32356267 44006120 4c8ab90e 9e9c 11e8 8e1a 9e61cb6b1b8a gif)_x000D_
_x000D_
  Would you like to work on the issue   _x000D_
_x000D_
Yes</t>
  </si>
  <si>
    <t>Neamar-KISS-1044</t>
  </si>
  <si>
    <t>[CRASH] with `compareTo` method</t>
  </si>
  <si>
    <t xml:space="preserve">searching for  o  now leads me to crashes  That s after I installed one new app and removed another (having the same name  OSM tracker ) _x000D_
_x000D_
Logs:_x000D_
   _x000D_
Mon  13 Aug 2018 00:02:13  0600: E AndroidRuntime(18520): java lang RuntimeException: An error occured while executing doInBackground()_x000D_
Mon  13 Aug 2018 00:02:13  0600: E AndroidRuntime(18520): 	at android os AsyncTask 3 done(AsyncTask java:300)_x000D_
Mon  13 Aug 2018 00:02:13  0600: E AndroidRuntime(18520): 	at java util concurrent FutureTask finishCompletion(FutureTask java:355)_x000D_
Mon  13 Aug 2018 00:02:13  0600: E AndroidRuntime(18520): 	at java util concurrent FutureTask setException(FutureTask java:222)_x000D_
Mon  13 Aug 2018 00:02:13  0600: E AndroidRuntime(18520): 	at java util concurrent FutureTask run(FutureTask java:242)_x000D_
Mon  13 Aug 2018 00:02:13  0600: E AndroidRuntime(18520): 	at java util concurrent ThreadPoolExecutor runWorker(ThreadPoolExecutor java:1112)_x000D_
Mon  13 Aug 2018 00:02:13  0600: E AndroidRuntime(18520): 	at java util concurrent ThreadPoolExecutor Worker run(ThreadPoolExecutor java:587)_x000D_
Mon  13 Aug 2018 00:02:13  0600: E AndroidRuntime(18520): 	at java lang Thread run(Thread java:841)_x000D_
Mon  13 Aug 2018 00:02:13  0600: E AndroidRuntime(18520): Caused by: java lang AssertionError: compareTo inconsistent with equals _x000D_
Mon  13 Aug 2018 00:02:13  0600: E AndroidRuntime(18520): 	at fr neamar kiss normalizer StringNormalizer Result compareTo(StringNormalizer java:167)_x000D_
Mon  13 Aug 2018 00:02:14  0600: E AndroidRuntime(18520): 	at fr neamar kiss pojo PojoComparator compare(PojoComparator java:15)_x000D_
Mon  13 Aug 2018 00:02:14  0600: E AndroidRuntime(18520): 	at fr neamar kiss pojo PojoComparator compare(PojoComparator java:5)_x000D_
Mon  13 Aug 2018 00:02:14  0600: E AndroidRuntime(18520): 	at java util PriorityQueue compare(PriorityQueue java:355)_x000D_
Mon  13 Aug 2018 00:02:14  0600: E AndroidRuntime(18520): 	at java util PriorityQueue siftUp(PriorityQueue java:366)_x000D_
Mon  13 Aug 2018 00:02:14  0600: E AndroidRuntime(18520): 	at java util PriorityQueue offer(PriorityQueue java:193)_x000D_
Mon  13 Aug 2018 00:02:14  0600: E AndroidRuntime(18520): 	at java util PriorityQueue add(PriorityQueue java:270)_x000D_
Mon  13 Aug 2018 00:02:14  0600: E AndroidRuntime(18520): 	at java util Collections addAll(Collections java:2583)_x000D_
Mon  13 Aug 2018 00:02:14  0600: E AndroidRuntime(18520): 	at fr neamar kiss searcher Searcher addResult(Searcher java:57)_x000D_
Mon  13 Aug 2018 00:02:14  0600: E AndroidRuntime(18520): 	at fr neamar kiss searcher QuerySearcher addResult(QuerySearcher java:57)_x000D_
Mon  13 Aug 2018 00:02:14  0600: E AndroidRuntime(18520): 	at fr neamar kiss dataprovider ShortcutsProvider requestResults(ShortcutsProvider java:49)_x000D_
Mon  13 Aug 2018 00:02:14  0600: E AndroidRuntime(18520): 	at fr neamar kiss DataHandler requestResults(DataHandler java:252)_x000D_
Mon  13 Aug 2018 00:02:14  0600: E AndroidRuntime(18520): 	at fr neamar kiss searcher QuerySearcher doInBackground(QuerySearcher java:77)_x000D_
Mon  13 Aug 2018 00:02:14  0600: E AndroidRuntime(18520): 	at fr neamar kiss searcher QuerySearcher doInBackground(QuerySearcher java:20)_x000D_
Mon  13 Aug 2018 00:02:14  0600: E AndroidRuntime(18520): 	at android os AsyncTask 2 call(AsyncTask java:288)_x000D_
Mon  13 Aug 2018 00:02:14  0600: E AndroidRuntime(18520): 	at java util concurrent FutureTask run(FutureTask java:237)_x000D_
Mon  13 Aug 2018 00:02:14  0600: E AndroidRuntime(18520): 	    3 more_x000D_
   _x000D_
races </t>
  </si>
  <si>
    <t>ChallengeProject-QuizTogether-63</t>
  </si>
  <si>
    <t>broadcast create시에 버그 해결</t>
  </si>
  <si>
    <t xml:space="preserve">      _x000D_
      broadcast      input  required            _x000D_
      broadcast      crash   _x000D_
      broadcast input                                  _x000D_
      broadcast                                        _x000D_
                               crash   _x000D_
                                              _x000D_
      update                _x000D_
_x000D_
        _x000D_
   x  prize  giftDescription notnull validation   </t>
  </si>
  <si>
    <t>fossasia-phimpme-android-2149</t>
  </si>
  <si>
    <t>lossless flip/mirror</t>
  </si>
  <si>
    <t xml:space="preserve">  Actual Behaviour  _x000D_
_x000D_
Can t flip images_x000D_
_x000D_
  Expected Behaviour  _x000D_
_x000D_
Be able to flip images  preferably losslessly with jpeg: https:  www xnview com wiki index php JPEG Lossless Transformations_x000D_
  Steps to reproduce it  _x000D_
_x000D_
Add steps to reproduce bugs or add information on the place where the feature should be implemented  Add links to a sample deployment or code _x000D_
_x000D_
  LogCat for the issue  _x000D_
_x000D_
Provide logs for the crash here_x000D_
_x000D_
  Screenshots of the issue  _x000D_
_x000D_
Where ever possible attach a screenshot of the issue _x000D_
_x000D_
  Would you like to work on the issue   _x000D_
_x000D_
Please let us know if you can work on it or the issue should be assigned to someone else _x000D_
</t>
  </si>
  <si>
    <t>fossasia-phimpme-android-2147</t>
  </si>
  <si>
    <t>Issues in Trashbin section when empty.</t>
  </si>
  <si>
    <t xml:space="preserve">  Actual Behaviour  _x000D_
_x000D_
When there are no items present in the trashbin section  delete button and restore option are still visible _x000D_
App crash for refresh operation in the empty state _x000D_
Empty view not displayed for the suitable situation when images are removed from the bin section via the popup menu options provided in the item view _x000D_
_x000D_
  Expected Behaviour  _x000D_
_x000D_
Delete and restore functionality should be hidden from the user when the trashbin section is empty _x000D_
App should not crash _x000D_
Empty view should be displayed properly _x000D_
_x000D_
  Would you like to work on the issue   _x000D_
_x000D_
Yes </t>
  </si>
  <si>
    <t>Intelehealth-Android-Mobile-Client-511</t>
  </si>
  <si>
    <t>App tries to display a dialog on an activity that ended</t>
  </si>
  <si>
    <t>App crashing on  ViewRootImpl java line 697 _x000D_
Originator  Ambuj Pandey_x000D_
Status  OPEN_x000D_
Checked from  July 19 2018_x000D_
Bug type  Coding error_x000D_
_x000D_
  Environment:  _x000D_
Mobile Brand  Mototrola_x000D_
Model  Moto E (4) Plus  MotoE(4)_x000D_
OS Version  7 1 1_x000D_
App Version  1 3 2  _x000D_
crash date July 20  2018_x000D_
Number of Crashes: 3_x000D_
User Affected  2_x000D_
_x000D_
  Summary:   Fatal Exception: android view WindowManager BadTokenException_x000D_
  Description:   Unable to add window    token android os BinderProxy dad550 is not valid  is your activity running _x000D_
_x000D_
android view ViewRootImpl setView (ViewRootImpl java:697)_x000D_
_x000D_
  URL:    click here (https:  console firebase google com u 0 project mobile crashlytics crashlytics app android:io intelehealth client issues 5b50ad716007d59fcd127d9d time 1531958400000:1533859199000 sessionId 5B50AE2901AF000161D4926ED2785865 DNE 0 v2)</t>
  </si>
  <si>
    <t>Intelehealth-Android-Mobile-Client-510</t>
  </si>
  <si>
    <t>Crashing BUG: App crashing on "PhysicalExamActivity.java line 330"</t>
  </si>
  <si>
    <t>App crashing on  PhysicalExamActivity java line 330 _x000D_
Originator  Ambuj Pandey_x000D_
Status  OPEN_x000D_
Checked from  July 19 2018_x000D_
Bug type  Coding error_x000D_
_x000D_
  Environment:  _x000D_
Mobile Brand  Mototrola_x000D_
Model  Moto E (4) Plus_x000D_
OS Version  7 1 1_x000D_
App Version  1 3 2  _x000D_
crash date July 20  2018_x000D_
Number of Crashes: 1_x000D_
User Affected  1_x000D_
_x000D_
  Summary:   Fatal Exception: java lang RuntimeException_x000D_
  Description:   Unable to start activity ComponentInfo io intelehealth client io intelehealth client activities physical exam activity PhysicalExamActivity : java lang NullPointerException: Attempt to invoke virtual method  io intelehealth client node Node io intelehealth client node PhysicalExam getExamNode(int)  on a null object reference_x000D_
  Caused by java lang NullPointerException  _x000D_
Attempt to invoke virtual method  io intelehealth client node Node io intelehealth client node PhysicalExam getExamNode(int)  on a null object reference_x000D_
io intelehealth client activities physical exam activity PhysicalExamActivity PlaceholderFragment onCreateView (PhysicalExamActivity java:330)_x000D_
_x000D_
  URL:    click here (https:  console firebase google com u 0 project mobile crashlytics crashlytics app android:io intelehealth client issues 5ac1419136c7b23527487e49 time 1531958400000:1533859199000 sessionId 5B51A21902D900013C79DBD895904224 DNE 0 v2)</t>
  </si>
  <si>
    <t>Intelehealth-Android-Mobile-Client-509</t>
  </si>
  <si>
    <t>App crashes when server does not respond back to endVisit</t>
  </si>
  <si>
    <t>App crashing on  ClientService java line 1351 _x000D_
Originator  Ambuj Pandey_x000D_
Status  OPEN_x000D_
Checked from  July 19 2018_x000D_
Bug type  Coding error_x000D_
_x000D_
  Environment:  _x000D_
Mobile Brand  Mototrola_x000D_
Model  Moto E (4) Plus_x000D_
OS Version  7 1 1_x000D_
App Version  1 3 2  _x000D_
crash date July 20  2018_x000D_
Number of Crashes: 1_x000D_
User Affected  1_x000D_
_x000D_
  Summary:   Fatal Exception: java lang NullPointerException_x000D_
_x000D_
  Description:   Attempt to invoke virtual method  int io intelehealth client objects WebResponse getResponseCode()  on a null object reference_x000D_
io intelehealth client services ClientService endVisit (ClientService java:1351)_x000D_
_x000D_
  URL:    click here (https:  console firebase google com u 0 project mobile crashlytics crashlytics app android:io intelehealth client issues 5b17c87d6007d59fcd0d4885 time 1531958400000:1533859199000 sessionId 5B516646032900014ED20E4345E82A3B DNE 0 v2)</t>
  </si>
  <si>
    <t>AniTrend-anitrend-app-69</t>
  </si>
  <si>
    <t>Status Feeds Tab in Navigation Drawer Crashing Android 9.0</t>
  </si>
  <si>
    <t xml:space="preserve">   Issue Type_x000D_
_x000D_
   x  Bug_x000D_
_x000D_
   Current Behavior_x000D_
_x000D_
   Status Feeds    tab in navigation drawer is crashing the application on Android 9_x000D_
_x000D_
    Steps to Reproduce_x000D_
_x000D_
Please provide detailed steps for reproducing the issue _x000D_
_x000D_
1  You should have Android 9_x000D_
2  Press    Status Feeds    in navigation drawer_x000D_
_x000D_
    Context_x000D_
_x000D_
  OS Version: Android 9 0_x000D_
  Phone Model: Pixel 2_x000D_
  Phone Brand: Google_x000D_
_x000D_
</t>
  </si>
  <si>
    <t>Intelehealth-Android-Mobile-Client-508</t>
  </si>
  <si>
    <t>App tries to download a null image</t>
  </si>
  <si>
    <t>App crashing on  ImageDownloadService java line 149 _x000D_
Originator  Ambuj Pandey_x000D_
Status  OPEN_x000D_
Checked from  July 19 2018_x000D_
Bug type  Coding error_x000D_
_x000D_
  Environment:  _x000D_
Mobile Brand  Mototrola_x000D_
Model  Moto E (4) Plus_x000D_
OS Version  7 1 1_x000D_
App Version  1 3 2  _x000D_
crash date July 19  2018_x000D_
Number of Crashes: 1_x000D_
User Affected  1_x000D_
_x000D_
  Summary:   Fatal Exception: java lang NullPointerException_x000D_
_x000D_
  Description:   Attempt to get length of null array_x000D_
io intelehealth client services ImageDownloadService 1 1 done (ImageDownloadService java:149)_x000D_
_x000D_
  URL:    click here (https:  console firebase google com u 0 project mobile crashlytics crashlytics app android:io intelehealth client issues 5b509c6d6007d59fcd108fb6 time 1531958400000:1533859199000 sessionId 5B50993F0353000137FA40DDFAE6497D DNE 0 v2)</t>
  </si>
  <si>
    <t>Intelehealth-Android-Mobile-Client-507</t>
  </si>
  <si>
    <t>VisitSummaryActivity tries to access cursor without checking if cursor is empty</t>
  </si>
  <si>
    <t>App crashing on  VisitSummaryActivity java line 1785 _x000D_
Originator  Ambuj Pandey_x000D_
Status  OPEN_x000D_
Checked from  July 19 2018_x000D_
Bug type  Coding error_x000D_
_x000D_
  Environment:  _x000D_
Mobile Brand  Mototrola_x000D_
Model  Moto E (4) Plus_x000D_
OS Version  7 1 1_x000D_
App Version  1 3 2  _x000D_
crash date July 20  2018_x000D_
Number of Crashes: 1_x000D_
User Affected  1_x000D_
_x000D_
  Summary:   Fatal Exception: android database CursorIndexOutOfBoundsException_x000D_
_x000D_
  Description:   Index  1 requested  with a size of 1310_x000D_
io intelehealth client activities visit summary activity VisitSummaryActivity handleMessage (VisitSummaryActivity java:1785)_x000D_
_x000D_
  URL:    click here (https:  console firebase google com u 0 project mobile crashlytics crashlytics app android:io intelehealth client issues 5b51a21d6007d59fcd24c6a5 time 1531958400000:1533859199000 sessionId 5B519B2101590001349BDBD895904224 DNE 0 v2)</t>
  </si>
  <si>
    <t>Haptic-Apps-Slide-2835</t>
  </si>
  <si>
    <t>Crash when opening specific subreddit</t>
  </si>
  <si>
    <t xml:space="preserve">With version 5 9 alpha1  opening the r overlord subreddit causes a crash 
Log:
08 10 09:29:26 698 29090 29090 W System err: 	at me ccrama redditslide ContentType getContentType(ContentType java:155)
08 10 09:29:26 698 29090 29090 W System err: 	at me ccrama redditslide Activities MainActivity checkClipboard(MainActivity java:1317)
08 10 09:29:26 698 29090 29090 W System err: 	at me ccrama redditslide Activities MainActivity onResume(MainActivity java:1349)
08 10 09:29:26 781 29090 29134 I me ccrama redditslide: android::hardware::configstore::V1 0::ISurfaceFlingerConfigs::hasWideColorDisplay retrieved: 0
08 10 09:29:26 914   765   846 I ActivityManager: Displayed me ccrama redditslide  Activities MainActivity:  486ms (total  831ms)
08 10 09:29:40 122   765  4786 I ActivityManager: START u0  cmp me ccrama redditslide  Activities SubredditView (has extras)  from uid 10108
08 10 09:29:40 356   765   846 I ActivityManager: Displayed me ccrama redditslide  Activities SubredditView:  194ms
08 10 09:29:40 709 29090 29090 E AndroidRuntime: Process: me ccrama redditslide  PID: 29090
08 10 09:29:40 709 29090 29090 E AndroidRuntime: 	at me ccrama redditslide SpoilerRobotoTextView setSpoilerStyle(SpoilerRobotoTextView java:726)
08 10 09:29:40 709 29090 29090 E AndroidRuntime: 	at me ccrama redditslide SpoilerRobotoTextView setTextHtml(SpoilerRobotoTextView java:134)
08 10 09:29:40 709 29090 29090 E AndroidRuntime: 	at me ccrama redditslide Views CommentOverflow setViews(CommentOverflow java:146)
08 10 09:29:40 709 29090 29090 E AndroidRuntime: 	at me ccrama redditslide Views CommentOverflow setViews(CommentOverflow java:80)
08 10 09:29:40 709 29090 29090 E AndroidRuntime: 	at me ccrama redditslide Activities SubredditView setViews(SubredditView java:1827)
08 10 09:29:40 709 29090 29090 E AndroidRuntime: 	at me ccrama redditslide Activities SubredditView doSubOnlyStuff(SubredditView java:1273)
08 10 09:29:40 709 29090 29090 E AndroidRuntime: 	at me ccrama redditslide Activities SubredditView access 800(SubredditView java:98)
08 10 09:29:40 709 29090 29090 E AndroidRuntime: 	at me ccrama redditslide Activities SubredditView AsyncGetSubreddit onPostExecute(SubredditView java:2090)
08 10 09:29:40 709 29090 29090 E AndroidRuntime: 	at me ccrama redditslide Activities SubredditView AsyncGetSubreddit onPostExecute(SubredditView java:2079)
08 10 09:29:40 719   765  4783 W ActivityManager:   Force finishing activity me ccrama redditslide  Activities SubredditView
08 10 09:29:40 722   765  4783 W ActivityManager:   Force finishing activity me ccrama redditslide  Activities MainActivity
08 10 09:29:40 768   765   806 I ActivityManager: Showing crash dialog for package me ccrama redditslide u0
08 10 09:29:41 221   765   805 W ActivityManager: Activity pause timeout for ActivityRecord 6a7aa28 u0 me ccrama redditslide  Activities SubredditView t136 f 
08 10 09:29:42 603   765  4783 W ActivityManager:   Force finishing activity me ccrama redditslide  Activities SubredditView
08 10 09:29:42 610   765  4783 W ActivityManager:   Force finishing activity me ccrama redditslide  Activities MainActivity
08 10 09:29:42 633   765  4783 I ActivityManager: Killing 29090:me ccrama redditslide u0a108 (adj 900): crash
If this log isn t enough  please tell me how to get a more detailed one  I cut the log to the part right after the login  since I don t know if the login tokens are personal stuff or not 
</t>
  </si>
  <si>
    <t>knjk04-Bookshelf-14</t>
  </si>
  <si>
    <t>Frequent app crashes</t>
  </si>
  <si>
    <t xml:space="preserve">Branch: experimental_x000D_
_x000D_
More details to follow  No exceptions keep come up in the log  This issue may be related to the refreshing issue  _x000D_
_x000D_
Sometimes the app is fine  but at other times the app crashes after clicking on the  Go  button in SearchableActivity </t>
  </si>
  <si>
    <t>Intelehealth-Android-Mobile-Client-505</t>
  </si>
  <si>
    <t>BackupCloud attempts to show a dialog</t>
  </si>
  <si>
    <t>App crashing on  BackupCloud java line 81 _x000D_
Originator  Ambuj Pandey_x000D_
Status  OPEN_x000D_
Checked from  July 19 2018_x000D_
Bug type  Coding error_x000D_
_x000D_
  Environment:  _x000D_
Mobile Brand  motorola  samsung_x000D_
Model  Moto E (4) Plus  SM J106B_x000D_
OS Version  7 1 1  6 0 1_x000D_
App Version  1 3 1  _x000D_
Started  July 16th  2018_x000D_
last crash date July 19  2018_x000D_
Number of Crashes: 5_x000D_
User Affected  4_x000D_
_x000D_
  Summary:   Fatal Exception: android view WindowManager BadTokenException_x000D_
  Description:  _x000D_
Unable to add window    token android os BinderProxy 370a3f8 is not valid  is your activity running _x000D_
io intelehealth client activities home activity BackupCloud startCloudBackup (BackupCloud java:81)_x000D_
This crash happen when automatic backup happen at night 10:00 PM  On 10:00 backup method call and backup uploaded to cloud  but it fire the same method 4 5 times in 2 minute interval and every time database update the new db on cloud  During hte firing the same method many times IT CRASHED _x000D_
_x000D_
  Steps to Reproduce:   the application have to fire the backup method only once please don t put the method in queue_x000D_
  Expected Result:   Hit the server only once to upload db _x000D_
  Actual Result:   It fire query many times with the interval of 2 minute _x000D_
_x000D_
  URL:    click here (https:  console firebase google com u 0 project mobile crashlytics crashlytics app android:io intelehealth client issues 5b4cc8186007d59fcdbd3dbf time 1531958400000:1533859199000 sessionId 5B4C5010015C0001022A0781C37CD90C DNE 0 v2)</t>
  </si>
  <si>
    <t>Intelehealth-Android-Mobile-Client-504</t>
  </si>
  <si>
    <t>BackupCloud Service attempts to dismiss a null dialog</t>
  </si>
  <si>
    <t>App crashing on  BackupCloud java line 125 _x000D_
Originator  Ambuj Pandey_x000D_
Status  OPEN_x000D_
Checked from  July 19 2018_x000D_
Bug type  Coding error_x000D_
_x000D_
  Environment:  _x000D_
Mobile Brand  Xiomi _x000D_
Model  Redmi 4_x000D_
OS Version  7 1 2_x000D_
App Version  1 3 3_x000D_
Started  July 26th  2018_x000D_
lasst crash date July 27  2018_x000D_
Number of Crashes: 4_x000D_
User Affected  1_x000D_
_x000D_
  Summary:   Fatal Exception: java lang NullPointerException_x000D_
  Description:  _x000D_
Attempt to invoke virtual method  void android app Dialog dismiss()  on a null object reference_x000D_
io intelehealth client activities home activity BackupCloud startCloudBackup (BackupCloud java:125)_x000D_
This crash happen when automatic backup happen at night 10:00 PM  On 10:00 backup method call and backup uploaded to cloud  but it fire the same method 4 5 times in 2 minute interval and every time database update the new db on cloud  During hte firing the same method many times IT CRASHED _x000D_
_x000D_
  Steps to Reproduce:   the application have to fire the backup method only once please don t put the method in queue_x000D_
  Expected Result:   Hit the server only once to upload db _x000D_
  Actual Result:   It fire query many times with the interval of 2 minute _x000D_
_x000D_
  URL:    click here (https:  console firebase google com u 0 project mobile crashlytics crashlytics app android:io intelehealth client issues 5b5a4d136007d59fcdde87b0 time 1531958400000:1533859199000 sessionId 5B5A03CB0228000116E5F294D0BBE20B DNE 0 v2)</t>
  </si>
  <si>
    <t>Intelehealth-Android-Mobile-Client-503</t>
  </si>
  <si>
    <t>App tries to display a dialog after the relevant Activity has finished</t>
  </si>
  <si>
    <t>App crashing on  ViewRootImpl java line 808 _x000D_
Originator  Ambuj Pandey_x000D_
Status  OPEN_x000D_
User Affected  4_x000D_
Checked from  July 19 2018_x000D_
Bug type  Coding error_x000D_
_x000D_
  Environment:  _x000D_
Mobile Brand  Motorola _x000D_
Model  Moto E (4) Plus_x000D_
OS Version  7 1 1_x000D_
App Version  1 2  1 3 2   1 3 3_x000D_
Started  June 27th  2018_x000D_
lasst crash date August 5th  2018_x000D_
Number of Crashes: 5_x000D_
_x000D_
  Summary:   Fatal Exception: android view WindowManager BadTokenException_x000D_
  Description:  _x000D_
Unable to add window    token android os BinderProxy 6fc1617 is not valid  is your activity running _x000D_
android view ViewRootImpl setView (ViewRootImpl java:808)_x000D_
_x000D_
  URL:    click here (https:  console firebase google com u 0 project mobile crashlytics crashlytics app android:io intelehealth client issues 5adef0ec36c7b23527e64e08 time 1531958400000:1533859199000 sessionId 5B33722400E50001351DFE90FC0F2F6E DNE 0 v2)</t>
  </si>
  <si>
    <t>Intelehealth-Android-Mobile-Client-502</t>
  </si>
  <si>
    <t>NPE being thrown by QuestionNodeActivity line 124</t>
  </si>
  <si>
    <t>App crashing on  HelperMethods java line 99 _x000D_
Originator  Ambuj Pandey_x000D_
Status  OPEN_x000D_
User Affected  5_x000D_
Checked from  July 19 2018_x000D_
Bug type  Coding error_x000D_
_x000D_
  Environment:  _x000D_
Mobile Brand  Motorola   OnePlus_x000D_
Model  Moto E(4)  Moto E(4)PLUS  ONEPLUS A3003_x000D_
OS Version  Moto(7 1 1)  OnePlus(8 0 0)_x000D_
App Version  1 2 2   1 3 2_x000D_
Started  May 30th  2018_x000D_
lasst crash date July 25th  2018_x000D_
Number of Crashes: 11_x000D_
_x000D_
  Summary:   Fatal Exception: java lang RuntimeException    Caused by java lang NullPointerException_x000D_
  Description:  _x000D_
Unable to start activity ComponentInfo io intelehealth client io intelehealth client activities question node activity QuestionNodeActivity : java lang NullPointerException: Attempt to invoke virtual method  int java lang String length()  on a null object reference_x000D_
io intelehealth client services ImageUploadService uploadImage (ImageUploadService java:176)_x000D_
_x000D_
Attempt to invoke virtual method  int java lang String length()  on a null object reference_x000D_
io intelehealth client utilities HelperMethods encodeJSON (HelperMethods java:99)_x000D_
_x000D_
_x000D_
  URL:    click here (https:  console firebase google com u 0 project mobile crashlytics crashlytics app android:io intelehealth client issues 5b0e39416007d59fcd5b99e4 time 1531958400000:1533859199000 sessionId 5B58577C00C0000162E170A518EBC271 DNE 0 v2)</t>
  </si>
  <si>
    <t>Intelehealth-Android-Mobile-Client-501</t>
  </si>
  <si>
    <t>NPE being thrown by ImageUploadService line 176</t>
  </si>
  <si>
    <t>App crashing on  ImageUploadService java line 176 _x000D_
Originator  Ambuj Pandey_x000D_
Status  OPEN_x000D_
User Affected  1_x000D_
Checked from  July 19 2018_x000D_
Bug type  Coding error_x000D_
_x000D_
  Environment:  _x000D_
Mobile Brand  Motorola_x000D_
Model  Moto E (4)_x000D_
OS Version  7 1 1_x000D_
App Version  1 3 3_x000D_
Started  August 9th  2018_x000D_
Number of Crashes: 3_x000D_
_x000D_
  Summary:   ImageUploadService java line 176_x000D_
  Description:  _x000D_
Attempt to invoke virtual method  boolean android graphics Bitmap compress(android graphics Bitmap CompressFormat  int  java io OutputStream)  on a null object reference_x000D_
io intelehealth client services ImageUploadService uploadImage (ImageUploadService java:176)_x000D_
_x000D_
Application installed in mobile but not running(even not in background)  Many times i got notification patient data not uploaded  after 1 2 day app crashed  This crash happened in my(Ambuj) mobile _x000D_
  Expected Result:  _x000D_
Once patient created successfully it should not be send request to server for upload patient data _x000D_
  Actual Result:  _x000D_
Once patient created successfully  even after it sending request to server to upload patient data _x000D_
_x000D_
  URL:    click here (https:  console firebase google com u 0 project mobile crashlytics crashlytics app android:io intelehealth client issues 5b6be8356007d59fcd425b01 time 1531958400000:1533859199000 sessionId 5B68618F00D6000156607DF332ED4C41 DNE 0 v2)</t>
  </si>
  <si>
    <t>Intelehealth-Android-Mobile-Client-500</t>
  </si>
  <si>
    <t>Client Service attempts to start service while app is in background</t>
  </si>
  <si>
    <t xml:space="preserve">App crashing on  JobDispatchService java line 127   JobDispatchService java line 116 _x000D_
Originator   Ambuj Pandey_x000D_
Status  OPEN_x000D_
User Affected  1_x000D_
Checked from  July 19 2018_x000D_
Bug type  Coding error_x000D_
_x000D_
Environment:_x000D_
Mobile Brand             Xiomi          _x000D_
Model                        Mi A1_x000D_
OS Version                8 1 0   8 0 0_x000D_
App Version              1 3 3   1 2 3_x000D_
Started                      July 23th  2018 _x000D_
Number of Crashes:   201_x000D_
_x000D_
Summary:  Fatal Exception: java lang IllegalStateException_x000D_
Description:_x000D_
     Not allowed to start service Intent   cmp io intelehealth client  services ClientService (has extras)  : app is in background uid UidRecord f5918fe u0a121 TRNB idle change:uncached procs:1 seq(0 0 0) _x000D_
    io intelehealth client services sync JobDispatchService onStartJob (JobDispatchService java:127)_x000D_
  Crash is Happening continuously on a single user many  times  It started on July 23th  2018 for :127 and June 11th  2018 for:116   _x000D_
_x000D_
URL:    click here (https:  console firebase google com u 0 project mobile crashlytics crashlytics app android:io intelehealth client issues 5b5687986007d59fcd8af88b time 1531958400000:1533772799000 sessionId 5B69962501C400011B599BE33B8D7779 DNE 0 v2) for :127_x000D_
 click here (https:  console firebase google com u 0 project mobile crashlytics crashlytics app android:io intelehealth client issues 5ac0e6b836c7b23527426b5b time 1531958400000:1533859199000 sessionId 5B38421D01640001297C9BE33B8D7779 DNE 0 v2)for:116_x000D_
</t>
  </si>
  <si>
    <t>google-ExoPlayer-4634</t>
  </si>
  <si>
    <t>Getting IndexOutOfBoundsException crash in SinglePeriodTimeline</t>
  </si>
  <si>
    <t xml:space="preserve">    Issue description_x000D_
Production users of my app are getting following crash sometimes _x000D_
Following is the crash logs  :_x000D_
_x000D_
  Fatal Exception: java lang IndexOutOfBoundsException_x000D_
       at com google android exoplayer2 h a a(Assertions java:68)_x000D_
       at com google android exoplayer2 source y a(SinglePeriodTimeline java:186)_x000D_
       at com google android exoplayer2 source h b a(ConcatenatingMediaSource java:841)_x000D_
       at com google android exoplayer2 source a a(AbstractConcatenatedTimeline java:176)_x000D_
       at com google android exoplayer2 a a b a(AnalyticsCollector java:778)_x000D_
       at com google android exoplayer2 a a b a(AnalyticsCollector java:724)_x000D_
       at com google android exoplayer2 a a a(AnalyticsCollector java:424)_x000D_
       at com google android exoplayer2 i a a(ExoPlayerImpl java:746)_x000D_
       at com google android exoplayer2 i a(ExoPlayerImpl java:681)_x000D_
       at com google android exoplayer2 i a(ExoPlayerImpl java:622)_x000D_
       at com google android exoplayer2 i a(ExoPlayerImpl java:567)_x000D_
       at com google android exoplayer2 i 1 handleMessage(ExoPlayerImpl java:109)_x000D_
       at android os Handler dispatchMessage(Handler java:102)_x000D_
       at android os Looper loop(Looper java:163)_x000D_
       at android app ActivityThread main(ActivityThread java:6396)_x000D_
       at java lang reflect Method invoke(Method java)_x000D_
       at com android internal os ZygoteInit MethodAndArgsCaller run(ZygoteInit java:904)_x000D_
       at com android internal os ZygoteInit main(ZygoteInit java:794)_x000D_
_x000D_
_x000D_
    Reproduction steps_x000D_
I am using Exoplayer DynamicConcatenatingMediaSource for prefetching next song in song queue _x000D_
I am keeping only two sources at a time in DynamicConcatenatingMediaSource As soon as I get the third source for adding in DynamicConcatenatingMediaSource  I remove the previous index source from DynamicConcatenatingMediaSource _x000D_
 stacktrace txt (https:  github com google ExoPlayer files 2274286 stacktrace txt)_x000D_
_x000D_
Following is the code snippet I m using  :_x000D_
_x000D_
 public void onPositionDiscontinuity(int reason)  _x000D_
        int newIndex   exoPlayer getCurrentWindowIndex() _x000D_
        if (newIndex    currentIndex)  _x000D_
               The index has changed  update the UI to show info for source at_x000D_
               newIndex_x000D_
            currentIndex   newIndex _x000D_
            removeMediaSource(exoPlayer getPreviousWindowIndex()) _x000D_
            currentIndex   exoPlayer getCurrentWindowIndex() _x000D_
         _x000D_
      _x000D_
_x000D_
_x000D_
 _x000D_
private void removeMediaSource(int index)  _x000D_
        if (index    0    index   dynamicConcatenatingMediaSource getSize())  _x000D_
            dynamicConcatenatingMediaSource removeMediaSource(index  new Runnable()  _x000D_
_x000D_
                 Override_x000D_
                public void run()  _x000D_
                    if (exoPlayer    null)  _x000D_
                        return _x000D_
                     _x000D_
                    currentIndex   exoPlayer getCurrentWindowIndex() _x000D_
                 _x000D_
             ) _x000D_
         _x000D_
      _x000D_
_x000D_
_x000D_
    Version of ExoPlayer being used_x000D_
Exoplayer version   2 8 2_x000D_
_x000D_
    Device(s) and version(s) of Android being used_x000D_
Device Redmi Note 5    Android 7 1 2_x000D_
Device Moto G(4) Plus    Android 6 0</t>
  </si>
  <si>
    <t>bumptech-glide-3256</t>
  </si>
  <si>
    <t>java.lang.NoSuchFieldError:No field RGBA_F16 of type Landroid/graphics/Bitmap$Config</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</si>
  <si>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_x000D_
java lang NoSuchFieldError:No field RGBA F16 of type Landroid graphics Bitmap Config  in class Landroid graphics Bitmap Config  or its superclasses (declaration of  android graphics Bitmap Config  appears in  system framework framework jar)_x000D_
  _x000D_
com bumptech glide load engine bitmap recycle SizeConfigStrategy void  clinit ()(TbsSdkJava)_x000D_
com bumptech glide load engine bitmap recycle LruBitmapPool com bumptech glide load engine bitmap recycle LruPoolStrategy getDefaultStrategy()(TbsSdkJava) com bumptech glide load engine bitmap recycle LruBitmapPool void  init (long com bumptech glide load engine bitmap recycle LruPoolStrategy java util Set)(TbsSdkJava)_x000D_
_x000D_
_x000D_
_x000D_
     What version of Glide you re running  for example: 3 7 1   3 8 0 SNAPSHOT   4 0 0 SNAPSHOT_x000D_
It s essentially the version number from your build gradle:  dependencies   compile     :x y z        _x000D_
  Glide Version  :_x000D_
com github bumptech glide:glide:4 7 1_x000D_
     Do you use any integration library  like OkHttp3 or Volley  For example:_x000D_
Fails to display with stock networking  but works with okhttp3 1 4 0    _x000D_
  Integration libraries  :_x000D_
_x000D_
     What devices you managed to get the issue to come up on  For example:_x000D_
fails on Galaxy S4 GT I9500 4 4 2  works fine on Nexus 6P 5 1 and Genymotion Nexus 5 5 0 1    _x000D_
  Device Android Version  :_x000D_
samsung SM G5309W 8 1_x000D_
HUAWEI LON AL00 PD 8 0_x000D_
Xiaomi MI 5s Plus 8 0_x000D_
Sony E6683 8 1_x000D_
     Share the details of your issue in prose  detailing actual and expected behavior  It also helps if you give some info   why   you are trying to do something as opposed to   what   is not working     _x000D_
  Issue details   Repro steps   Use case background  : _x000D_
There were many crashes in our APP using glide  We figured there are some original features trimmed by smart phone manufactory according to the logs _x000D_
Could it be more reliability when it comes to RGBA F16 _x000D_
  wechatimg31 (https:  user images githubusercontent com 41102789 43879663 aa5fe2ec 9bd7 11e8 8a73 5c5fe927e3d4 jpeg)_x000D_
     How do you use Glide _x000D_
Make sure you include everything as is in your app s code:_x000D_
Changing a single method parameter can yield totally different results _x000D_
Please clarify any magic variables that appear in the code  for example:      this  is a Fragment _x000D_
   _x000D_
  Glide load line    GlideModule  (if any)   list Adapter code (if any)  :_x000D_
   java_x000D_
Glide with   _x000D_
   _x000D_
_x000D_
     How does your app look like _x000D_
We re most interested in the layout attributes and the hierarchy around the ImageView    _x000D_
  Layout XML  :_x000D_
   xml_x000D_
 FrameLayout xmlns:android     _x000D_
   _x000D_
_x000D_
    _x000D_
What is the error message that you got in the log _x000D_
You can find some help on diagnosing issues here: https:  github com bumptech glide wiki Debugging and Error Handling_x000D_
   _x000D_
  Stack trace   LogCat  :_x000D_
   ruby_x000D_
paste stack trace and or log here_x000D_
   _x000D_
_x000D_
     Bonus points if you attach a relevant screenshot  screen recording or a small demo project    _x000D_
</t>
  </si>
  <si>
    <t>radarlabs-react-native-radar-35</t>
  </si>
  <si>
    <t>RnRadarReceiver Crash on Android (In Background?)</t>
  </si>
  <si>
    <t xml:space="preserve">We ve deployed an update to our internal testers with the new Radar package  We have crashlytics enabled  so I get detailed crash reports for apps in release mode  I just got two reports for a crash with   RNRadarReceiver java    The error is:  Fatal Exception: java lang NullPointerException: Attempt to invoke virtual method  void android content BroadcastReceiver PendingResult finish()  on a null object reference _x000D_
_x000D_
Here is the stack trace:_x000D_
_x000D_
   _x000D_
io radar react RNRadarReceiver 1 onReactContextInitialized (RNRadarReceiver java:38)_x000D_
com facebook react ReactInstanceManager 6 run (ReactInstanceManager java:984)_x000D_
android os Handler handleCallback (Handler java:751)_x000D_
android os Handler dispatchMessage (Handler java:95)_x000D_
android os Looper loop (Looper java:154)_x000D_
android app ActivityThread main (ActivityThread java:6123)_x000D_
java lang reflect Method invoke (Method java)_x000D_
com android internal os ZygoteInit MethodAndArgsCaller run (ZygoteInit java:867)_x000D_
com android internal os ZygoteInit main (ZygoteInit java:757)_x000D_
   _x000D_
_x000D_
The device is:_x000D_
_x000D_
   _x000D_
Brand: motorola_x000D_
Model: Moto G (5) Plus_x000D_
RAM free: 911 12 MB_x000D_
Disk free: 22 79 GB_x000D_
   _x000D_
_x000D_
The device reported that the app was in the background when it happened  Any ideas </t>
  </si>
  <si>
    <t>lineargs-WatchNextApp-42</t>
  </si>
  <si>
    <t>Details Info Tablets</t>
  </si>
  <si>
    <t>App crashes when opening the Movie   Series Details in Tablet</t>
  </si>
  <si>
    <t>fossasia-phimpme-android-2144</t>
  </si>
  <si>
    <t>App crash in Upload History section.</t>
  </si>
  <si>
    <t xml:space="preserve">  Actual Behaviour  _x000D_
_x000D_
On deleting an image from the upload history section via the SingleMediaActivity and pressing back the app crashes _x000D_
_x000D_
  Expected Behaviour  _x000D_
_x000D_
The app should not crash _x000D_
_x000D_
  Would you like to work on the issue   _x000D_
_x000D_
Yes </t>
  </si>
  <si>
    <t>OneBusAway-onebusaway-android-905</t>
  </si>
  <si>
    <t>NPE in TripService.handleCommand()</t>
  </si>
  <si>
    <t xml:space="preserve">  Summary:   _x000D_
_x000D_
Seen in the Android developer console  going back to version 78  10 occurrences on OnePlus devices:_x000D_
_x000D_
   _x000D_
java lang RuntimeException: _x000D_
  at android app ActivityThread handleServiceArgs (ActivityThread java:3635)_x000D_
  at android app ActivityThread  wrap20 (Unknown Source)_x000D_
  at android app ActivityThread H handleMessage (ActivityThread java:1791)_x000D_
  at android os Handler dispatchMessage (Handler java:106)_x000D_
  at android os Looper loop (Looper java:164)_x000D_
  at android app ActivityThread main (ActivityThread java:6753)_x000D_
  at java lang reflect Method invoke (Native Method)_x000D_
  at com android internal os RuntimeInit MethodAndArgsCaller run (RuntimeInit java:482)_x000D_
  at com android internal os ZygoteInit main (ZygoteInit java:807)_x000D_
Caused by: java lang NullPointerException: _x000D_
  at org onebusaway android tripservice TripService handleCommand (TripService java:170)_x000D_
  at org onebusaway android tripservice TripService onStartCommand (TripService java:128)_x000D_
  at android app ActivityThread handleServiceArgs (ActivityThread java:3618)_x000D_
   _x000D_
_x000D_
  Steps to reproduce:   _x000D_
_x000D_
Unknown_x000D_
_x000D_
  Expected behavior:   _x000D_
_x000D_
Not crash_x000D_
_x000D_
  Observed behavior:   _x000D_
_x000D_
Crash_x000D_
_x000D_
  Device and Android version:   _x000D_
_x000D_
OnePlus OnePlus 6 (OnePlus6)  Android 8 1</t>
  </si>
  <si>
    <t>Tencent-tinker-901</t>
  </si>
  <si>
    <t>SimpleDrawableView加载错误</t>
  </si>
  <si>
    <t>_x000D_
     _x000D_
Caused by: android view InflateException: Binary XML file line  169: Binary XML file line  169: Error inflating class com facebook drawee view SimpleDraweeView_x000D_
     Caused by: android view InflateException: Binary XML file line  169: Error inflating class com facebook drawee view SimpleDraweeView_x000D_
     Caused by: java lang reflect InvocationTargetException_x000D_
        at java lang reflect Constructor newInstance0(Native Method)_x000D_
        at java lang reflect Constructor newInstance(Constructor java:430)_x000D_
        at android view LayoutInflater createView(LayoutInflater java:645)_x000D_
        at android view LayoutInflater createViewFromTag(LayoutInflater java:787)_x000D_
        at android view LayoutInflater createViewFromTag(LayoutInflater java:727)_x000D_
        at android view LayoutInflater rInflate(LayoutInflater java:858)_x000D_
        at android view LayoutInflater rInflateChildren(LayoutInflater java:821)_x000D_
        at android view LayoutInflater rInflate(LayoutInflater java:861)_x000D_
        at android view LayoutInflater rInflateChildren(LayoutInflater java:821)_x000D_
        at android view LayoutInflater rInflate(LayoutInflater java:861)_x000D_
        at android view LayoutInflater rInflateChildren(LayoutInflater java:821)_x000D_
        at android view LayoutInflater rInflate(LayoutInflater java:861)_x000D_
        at android view LayoutInflater rInflateChildren(LayoutInflater java:821)_x000D_
        at android view LayoutInflater inflate(LayoutInflater java:518)_x000D_
        at android view LayoutInflater inflate(LayoutInflater java:426)_x000D_
        at com mucfc muapp widget TitleBar init(TitleBar java:135)_x000D_
        at com mucfc muapp widget TitleBar  init (TitleBar java:227)_x000D_
        at java lang reflect Constructor newInstance0(Native Method)_x000D_
        at java lang reflect Constructor newInstance(Constructor java:430)_x000D_
        at android view LayoutInflater createView(LayoutInflater java:645)_x000D_
        at android view LayoutInflater createViewFromTag(LayoutInflater java:787)_x000D_
        at android view LayoutInflater createViewFromTag(LayoutInflater java:727)_x000D_
        at android view LayoutInflater rInflate(LayoutInflater java:858)_x000D_
        at android view LayoutInflater rInflateChildren(LayoutInflater java:821)_x000D_
        at android view LayoutInflater inflate(LayoutInflater java:518)_x000D_
        at android view LayoutInflater inflate(LayoutInflater java:426)_x000D_
        at android view LayoutInflater inflate(LayoutInflater java:377)_x000D_
        at com android internal policy PhoneWindow setContentView(PhoneWindow java:442)_x000D_
        at android app Activity setContentView(Activity java:2509)_x000D_
        at com mucfc muapp ui base activity BaseActivity onCreate(BaseActivity java:131)_x000D_
        at com mucfc muapp ui welcome activity WelcomeActivity onCreate(WelcomeActivity java:46)_x000D_
        at android app Activity performCreate(Activity java:7007)_x000D_
        at android app Instrumentation callActivityOnCreate(Instrumentation java:1119)_x000D_
        at android app ActivityThread performLaunchActivity(ActivityThread java:2821)_x000D_
        at android app ActivityThread handleLaunchActivity(ActivityThread java:2929)_x000D_
        at android app ActivityThread  wrap12(ActivityThread java)_x000D_
        at android app ActivityThread H handleMessage(ActivityThread java:1648)_x000D_
        at android os Handler dispatchMessage(Handler java:102)_x000D_
        at android os Looper loop(Looper java:185)_x000D_
        at android app ActivityThread main(ActivityThread java:6615)_x000D_
        at java lang reflect Method invoke(Native Method)_x000D_
        at com android internal os ZygoteInit MethodAndArgsCaller run(ZygoteInit java:916)_x000D_
        at com android internal os ZygoteInit main(ZygoteInit java:806)_x000D_
     Caused by: java lang NullPointerException: SimpleDraweeView was not initialized _x000D_
        at com facebook common internal Preconditions checkNotNull(Preconditions java:226)_x000D_
_x000D_
   _x000D_
     app                  crash _x000D_
_x000D_
     OPPO R11s_x000D_
_x000D_
       Android 7 1 _x000D_
_x000D_
tinker   1 9 1_x000D_
_x000D_
gradle   3 3_x000D_
_x000D_
       SDK   _x000D_
_x000D_
   android</t>
  </si>
  <si>
    <t>Haptic-Apps-Slide-2832</t>
  </si>
  <si>
    <t>Links crashing slide</t>
  </si>
  <si>
    <t xml:space="preserve">Slide version: v5 9 alpha 1_x000D_
Android version: 6 0 1_x000D_
_x000D_
Whenever i click a link  slide crashes _x000D_
</t>
  </si>
  <si>
    <t>react-native-camera-react-native-camera-1737</t>
  </si>
  <si>
    <t>evaluating h.Aspect.fill</t>
  </si>
  <si>
    <t>_x000D_
    Which implementation are you using_x000D_
_x000D_
 RNCamera  or RCTCamera (RCTCamera will be removed on v2 0 0) _x000D_
 react native camera :  git https:  git github com react native community react native camera  _x000D_
_x000D_
    Steps to reproduce_x000D_
1  npm i_x000D_
2  react native run android_x000D_
_x000D_
_x000D_
    Expected behaviour_x000D_
_x000D_
_x000D_
    Actual behaviour_x000D_
  if you force stop the application sometimes working_x000D_
 even in production apk is crashing 3 4 times and then starts working after force stop the app works fine for sometimes  _x000D_
_x000D_
    Environment_x000D_
    React Native version  :_x000D_
 react native :  0 55 4  _x000D_
  react :  16 3 1 _x000D_
_x000D_
    React Native platform   platform version  : iOS 9 0  Android 5 0  etc_x000D_
Android 7 1 1_x000D_
_x000D_
    react native camera_x000D_
  Version  : npm version or  master _x000D_
master _x000D_
_x000D_
  Love react native camera  Please consider supporting our collective:    https:  opencollective com react native camera donate_x000D_
_x000D_
_x000D_
com facebook react modules core ExceptionsManagerModule showOrThrowError(ExceptionsManagerModule java:54)_x000D_
       at com facebook react modules core ExceptionsManagerModule reportFatalException(ExceptionsManagerModule java:38)_x000D_
       at java lang reflect Method invoke(Method java)_x000D_
       at com facebook react bridge JavaMethodWrapper invoke(JavaMethodWrapper java:372)_x000D_
       at com facebook react bridge JavaModuleWrapper invoke(JavaModuleWrapper java:160)_x000D_
       at com facebook react bridge queue NativeRunnable run(NativeRunnable java)_x000D_
       at android os Handler handleCallback(Handler java:751)_x000D_
       at android os Handler dispatchMessage(Handler java:95)_x000D_
       at com facebook react bridge queue MessageQueueThreadHandler dispatchMessage(MessageQueueThreadHandler java:29)_x000D_
       at android os Looper loop(Looper java:154)_x000D_
       at com facebook react bridge queue MessageQueueThreadImpl 3 run(MessageQueueThreadImpl java:192)_x000D_
       at java lang Thread run(Thread java:761)_x000D_
_x000D_
  _x000D_
_x000D_
Fatal Exception: com facebook react common JavascriptException: undefined is not an object (evaluating  h Aspect fill )  stack:_x000D_
 unknown  613:6802_x000D_
d 2:768_x000D_
n 2:409_x000D_
t 2:262_x000D_
 unknown  612:114_x000D_
d 2:768_x000D_
n 2:409_x000D_
t 2:262_x000D_
 unknown  576:544_x000D_
d 2:768_x000D_
n 2:409_x000D_
t 2:262_x000D_
 unknown  311:310_x000D_
d 2:768_x000D_
n 2:409_x000D_
t 2:262_x000D_
 unknown  310:158_x000D_
d 2:768_x000D_
n 2:409_x000D_
t 2:262_x000D_
 unknown  307:158_x000D_
d 2:768_x000D_
n 2:409_x000D_
t 2:262_x000D_
 unknown  306:81_x000D_
d 2:768_x000D_
n 2:409_x000D_
t 2:262_x000D_
 unknown  12:42_x000D_
d 2:768_x000D_
n 2:339_x000D_
t 2:262_x000D_
global code 850:8_x000D_
_x000D_
       at com facebook react modules core ExceptionsManagerModule showOrThrowError(ExceptionsManagerModule java:54)_x000D_
       at com facebook react modules core ExceptionsManagerModule reportFatalException(ExceptionsManagerModule java:38)_x000D_
       at java lang reflect Method invoke(Method java)_x000D_
       at com facebook react bridge JavaMethodWrapper invoke(JavaMethodWrapper java:372)_x000D_
       at com facebook react bridge JavaModuleWrapper invoke(JavaModuleWrapper java:160)_x000D_
       at com facebook react bridge queue NativeRunnable run(NativeRunnable java)_x000D_
       at android os Handler handleCallback(Handler java:751)_x000D_
       at android os Handler dispatchMessage(Handler java:95)_x000D_
       at com facebook react bridge queue MessageQueueThreadHandler dispatchMessage(MessageQueueThreadHandler java:29)_x000D_
       at android os Looper loop(Looper java:154)_x000D_
       at com facebook react bridge queue MessageQueueThreadImpl 3 run(MessageQueueThreadImpl java:192)_x000D_
       at java lang Thread run(Thread java:761)</t>
  </si>
  <si>
    <t>barbeau-gpstest-187</t>
  </si>
  <si>
    <t>NPE in GpsStatusFragment.updateGnssStatus()</t>
  </si>
  <si>
    <t xml:space="preserve">  Summary:   _x000D_
_x000D_
Reported via Google Group (https:  groups google com d msg gpstest android uWKkZGxRjOo G5tJuchlBgAJ) and Android Developer Console:_x000D_
_x000D_
   _x000D_
java lang NullPointerException: _x000D_
  at com android gpstest GpsStatusFragment updateGnssStatus (GpsStatusFragment java:432)_x000D_
  at com android gpstest GpsStatusFragment onSatelliteStatusChanged (GpsStatusFragment java:335)_x000D_
  at com android gpstest GpsTestActivity 2 onSatelliteStatusChanged (GpsTestActivity java:704)_x000D_
  at android location LocationManager GnssStatusListenerTransport GnssHandler handleMessage (LocationManager java:1448)_x000D_
  at android os Handler dispatchMessage (Handler java:102)_x000D_
  at android os Looper loop (Looper java:154)_x000D_
  at android app ActivityThread main (ActivityThread java:6119)_x000D_
  at java lang reflect Method invoke (Native Method)_x000D_
  at com android internal os ZygoteInit MethodAndArgsCaller run (ZygoteInit java:886)_x000D_
  at com android internal os ZygoteInit main (ZygoteInit java:776)_x000D_
   _x000D_
_x000D_
  Steps to reproduce:   _x000D_
_x000D_
Start app on LineageOS 14 1  BQ M5_x000D_
_x000D_
  Expected behavior:   _x000D_
_x000D_
Not crash_x000D_
_x000D_
  Observed behavior:   _x000D_
_x000D_
Crash_x000D_
_x000D_
  Device and Android version:   _x000D_
_x000D_
bq Aquaris X5 Plus (Aquaris X5 Plus)  Android 7 1</t>
  </si>
  <si>
    <t>MarMigMon-doof-146</t>
  </si>
  <si>
    <t>Mysterious app crash</t>
  </si>
  <si>
    <t xml:space="preserve">Made a new user  Opened add recipe fragment  took a photo in landscape mode and then app crashed_x000D_
  screen shot 2018 08 07 at 2 13 39 pm (https:  user images githubusercontent com 30488454 43802944 341acd9a 9a4c 11e8 9d92 138af26924c6 png)_x000D_
</t>
  </si>
  <si>
    <t>apache-cordova-android-473</t>
  </si>
  <si>
    <t>CordovaWebViewImpl showWebPage can crash Android &gt;= 7 devices</t>
  </si>
  <si>
    <t xml:space="preserve">I found out about the crash from the Google play console for my app  so I don t have all the information about reproducing it   However  I have inspected the code indicated by the stack trace and have noticed two potential issues with CordovaWebViewImpl s showWebPage method _x000D_
_x000D_
1  If openExternal is false  it will attempt to load the url in the internal webview  and also  will start an intent to view it externally (as long as it matches the whitelist)   See  this if block (https:  github com apache cordova android blob master framework src org apache cordova CordovaWebViewImpl java L213)   Previously it returned inside that if block  but  this commit (https:  github com apache cordova android commit af2969dec58ca89150b84b5d57edcf63d4ce1302) removed the return statement   possibly by mistake I speculate _x000D_
_x000D_
2  Passing a file url outside an app  is no longer allowed as of Android 7 (https:  developer android com about versions nougat android 7 0 changes sharing files)  but that  is being done here (https:  github com apache cordova android blob master framework src org apache cordova CordovaWebViewImpl java L235) _x000D_
_x000D_
2 is what actually causes the crash  although by inspecting the stack trace I m pretty sure openExternal is false  so fixing 1 would avoid the crash in my case _x000D_
_x000D_
This is the stack trace:_x000D_
_x000D_
   _x000D_
android os FileUriExposedException: _x000D_
  at android os StrictMode onFileUriExposed (StrictMode java:1960)_x000D_
  at android net Uri checkFileUriExposed (Uri java:2356)_x000D_
  at android content Intent prepareToLeaveProcess (Intent java:9881)_x000D_
  at android content Intent prepareToLeaveProcess (Intent java:9835)_x000D_
  at android app Instrumentation execStartActivity (Instrumentation java:1612)_x000D_
  at android app Activity startActivityForResult (Activity java:4501)_x000D_
  at org apache cordova CordovaActivity startActivityForResult (CordovaActivity java:343)_x000D_
  at android app Activity startActivityForResult (Activity java:4459)_x000D_
  at android app Activity startActivity (Activity java:4820)_x000D_
  at android app Activity startActivity (Activity java:4788)_x000D_
  at org apache cordova CordovaWebViewImpl showWebPage (CordovaWebViewImpl java:239)_x000D_
  at org apache cordova CordovaActivity 2 run (CordovaActivity java:379)_x000D_
  at android app Activity runOnUiThread (Activity java:6188)_x000D_
  at org apache cordova CordovaActivity onReceivedError (CordovaActivity java:377)_x000D_
  at org apache cordova CordovaActivity onMessage (CordovaActivity java:465)_x000D_
  at org apache cordova CordovaActivity 1 onMessage (CordovaActivity java:214)_x000D_
  at org apache cordova PluginManager postMessage (PluginManager java:318)_x000D_
  at org apache cordova CordovaWebViewImpl 1 run (CordovaWebViewImpl java:164)_x000D_
  at android os Handler handleCallback (Handler java:790)_x000D_
  at android os Handler dispatchMessage (Handler java:99)_x000D_
  at android os Looper loop (Looper java:164)_x000D_
  at android app ActivityThread main (ActivityThread java:6518)_x000D_
  at java lang reflect Method invoke (Native Method)_x000D_
  at com android internal os RuntimeInit MethodAndArgsCaller run (RuntimeInit java:438)_x000D_
  at com android internal os ZygoteInit main (ZygoteInit java:807)_x000D_
   </t>
  </si>
  <si>
    <t>MarMigMon-doof-143</t>
  </si>
  <si>
    <t>Upon logging in for the first time, app doesn't correctly</t>
  </si>
  <si>
    <t xml:space="preserve">   value not null  message when submitting new edited recipes_x000D_
  No notifications displayed_x000D_
  App crashes on opening Profile Fragment</t>
  </si>
  <si>
    <t>Jay-Goo-RangeSeekBar-55</t>
  </si>
  <si>
    <t>Crashes on device rotation in Fragments</t>
  </si>
  <si>
    <t xml:space="preserve">Hello  my app crashes on device rotation  Logs below  I ve tried adding setValue() value to my savedInstance but it was of no help _x000D_
_x000D_
So doing a little more digging  If you say setRange(min max)  programatically even in the   DEMO    it crashes on rotation  _x000D_
_x000D_
My XML _x000D_
    xml_x000D_
 com jaygoo widget RangeSeekBar_x000D_
        android:id    id seekbar _x000D_
        android:layout width  match parent _x000D_
        android:layout height   dimen  100sdp _x000D_
        app:layout constraintBottom toBottomOf  parent _x000D_
        app:layout constraintEnd toEndOf  parent _x000D_
        app:layout constraintStart toStartOf  parent _x000D_
        app:layout constraintTop toTopOf  parent _x000D_
        app:rsb indicator height  50dp _x000D_
        app:rsb indicator radius  4dp _x000D_
        app:rsb indicator show mode  alwaysShow _x000D_
        app:rsb indicator text size   dimen  15ssp _x000D_
        app:rsb indicator width  80dp _x000D_
        app:rsb mode  single _x000D_
        app:rsb progress color   attr defaultTextColor _x000D_
        app:rsb progress default color   color rsbColorSeekBarDefault _x000D_
        app:rsb thumb drawable   drawable seekbar thumb _x000D_
        app:rsb thumb scale ratio  2 _x000D_
        app:rsb tick mark mode  number _x000D_
        app:rsb tick mark text array   array markArray  _x000D_
_x000D_
_x000D_
    Java_x000D_
java lang RuntimeException: Unable to start activity ComponentInfo  : java lang IllegalArgumentException: setValue() min   (preset min   offsetValue)    min:0 0  preset min:0 0_x000D_
        at android app ActivityThread performLaunchActivity(ActivityThread java:2779)_x000D_
        at android app ActivityThread handleLaunchActivity(ActivityThread java:2857)_x000D_
        at android app ActivityThread handleRelaunchActivity(ActivityThread java:4700)_x000D_
        at android app ActivityThread  wrap18(Unknown Source:0)_x000D_
        at android app ActivityThread H handleMessage(ActivityThread java:1596)_x000D_
        at android os Handler dispatchMessage(Handler java:106)_x000D_
        at android os Looper loop(Looper java:164)_x000D_
        at android app ActivityThread main(ActivityThread java:6499)_x000D_
        at java lang reflect Method invoke(Native Method)_x000D_
        at com android internal os RuntimeInit MethodAndArgsCaller run(RuntimeInit java:440)_x000D_
        at com android internal os ZygoteInit main(ZygoteInit java:807)_x000D_
     Caused by: java lang IllegalArgumentException: setValue() min   (preset min   offsetValue)    min:0 0  preset min:0 0_x000D_
        at com jaygoo widget RangeSeekBar setValue(RangeSeekBar java:294)_x000D_
        at com jaygoo widget RangeSeekBar onRestoreInstanceState(RangeSeekBar java:752)_x000D_
        at android view View dispatchRestoreInstanceState(View java:17706)_x000D_
        at android view ViewGroup dispatchRestoreInstanceState(ViewGroup java:3751)_x000D_
        at android view View restoreHierarchyState(View java:17684)_x000D_
        at android support v4 app Fragment restoreViewState(Fragment java: </t>
  </si>
  <si>
    <t>microsoft-EmbeddedSocial-Android-SDK-98</t>
  </si>
  <si>
    <t>NPE in DiscussionFeedFragment.onAttach()</t>
  </si>
  <si>
    <t xml:space="preserve">  Summary:   _x000D_
_x000D_
I m seeing two occurrences of this NPE in the Android Developer Console as part of the staged rollout of OneBusAway v2 3 9  which uses   com acrowntest test:sdk:0 7 1:release aar   _x000D_
_x000D_
   _x000D_
java lang RuntimeException: _x000D_
  at android app ActivityThread performLaunchActivity (ActivityThread java:2778)_x000D_
  at android app ActivityThread handleLaunchActivity (ActivityThread java:2856)_x000D_
  at android app ActivityThread  wrap11 (Unknown Source)_x000D_
  at android app ActivityThread H handleMessage (ActivityThread java:1589)_x000D_
  at android os Handler dispatchMessage (Handler java:106)_x000D_
  at android os Looper loop (Looper java:164)_x000D_
  at android app ActivityThread main (ActivityThread java:6494)_x000D_
  at java lang reflect Method invoke (Native Method)_x000D_
  at com android internal os RuntimeInit MethodAndArgsCaller run (RuntimeInit java:438)_x000D_
  at com android internal os ZygoteInit main (ZygoteInit java:807)_x000D_
_x000D_
Caused by: java lang NullPointerException: _x000D_
  at com microsoft embeddedsocial ui fragment DiscussionFeedFragment onAttach (DiscussionFeedFragment java:95)_x000D_
  at android support v4 app Fragment onAttach (Fragment java:1340)_x000D_
  at com microsoft embeddedsocial ui fragment base BaseFragment onAttach (BaseFragment java:204)_x000D_
  at com microsoft embeddedsocial ui fragment base BaseContentFragment onAttach (BaseContentFragment java:85)_x000D_
  at android support v4 app FragmentManagerImpl moveToState (FragmentManager java:1372)_x000D_
  at android support v4 app FragmentTransition addToFirstInLastOut (FragmentTransition java:1188)_x000D_
  at android support v4 app FragmentTransition calculateFragments (FragmentTransition java:1071)_x000D_
  at android support v4 app FragmentTransition startTransitions (FragmentTransition java:115)_x000D_
  at android support v4 app FragmentManagerImpl executeOpsTogether (FragmentManager java:2380)_x000D_
  at android support v4 app FragmentManagerImpl removeRedundantOperationsAndExecute (FragmentManager java:2338)_x000D_
  at android support v4 app FragmentManagerImpl execPendingActions (FragmentManager java:2245)_x000D_
  at android support v4 app FragmentManagerImpl dispatchStateChange (FragmentManager java:3248)_x000D_
  at android support v4 app FragmentManagerImpl dispatchActivityCreated (FragmentManager java:3200)_x000D_
  at android support v4 app FragmentController dispatchActivityCreated (FragmentController java:195)_x000D_
  at android support v4 app FragmentActivity onStart (FragmentActivity java:597)_x000D_
  at android support v7 app AppCompatActivity onStart (AppCompatActivity java:177)_x000D_
  at org onebusaway android ui ArrivalsListActivity onStart (ArrivalsListActivity java:200)_x000D_
  at android app Instrumentation callActivityOnStart (Instrumentation java:1334)_x000D_
  at android app Activity performStart (Activity java:7029)_x000D_
  at android app ActivityThread performLaunchActivity (ActivityThread java:2741)_x000D_
   _x000D_
_x000D_
  Steps to reproduce:   _x000D_
_x000D_
Unknown_x000D_
_x000D_
  Expected behavior:   _x000D_
_x000D_
Not crash_x000D_
_x000D_
  Observed behavior:   _x000D_
_x000D_
Crash_x000D_
_x000D_
  Device  Android  and Embedded Social SDK version:   _x000D_
_x000D_
Pixel 2 (walleye) with Android 8 1_x000D_
_x000D_
   com acrowntest test:sdk:0 7 1:release aar  </t>
  </si>
  <si>
    <t>rollbar-rollbar-java-161</t>
  </si>
  <si>
    <t>Crash on Android running SDK 18 on initializing Rollbar 1.2.1</t>
  </si>
  <si>
    <t xml:space="preserve">Initializing Rollbar via  Rollbar init(context  client key  environment)    my application crashes on Android SDK 18 devices due to an apparent attempt to access  java util Objects   which isn t introduced until Android SDK 19  Below is the stacktrace _x000D_
_x000D_
   _x000D_
E AndroidRuntime: FATAL EXCEPTION: main_x000D_
    java lang NoClassDefFoundError: java util Objects_x000D_
        at com rollbar notifier Rollbar handleUncaughtErrors(Rollbar java:91)_x000D_
        at com rollbar notifier Rollbar handleUncaughtErrors(Rollbar java:82)_x000D_
        at com rollbar notifier Rollbar  init (Rollbar java:54)_x000D_
        at com rollbar notifier Rollbar  init (Rollbar java:46)_x000D_
        at com rollbar android Rollbar  init (Rollbar java:271)_x000D_
        at com rollbar android Rollbar  init (Rollbar java:201)_x000D_
        at com rollbar android Rollbar init(Rollbar java:112)_x000D_
        at com rollbar android Rollbar init(Rollbar java:94)_x000D_
        at com rollbar android Rollbar init(Rollbar java:80)_x000D_
        at com rollbar android Rollbar init(Rollbar java:67)_x000D_
        at com mycompany myapp CustomApplication initRollbar(CustomApplication java:107)_x000D_
        at com mycompany myapp CustomApplication onCreate(CustomApplication java:82)_x000D_
        at android app Instrumentation callApplicationOnCreate(Instrumentation java:1007)_x000D_
        at android app ActivityThread handleBindApplication(ActivityThread java:4444)_x000D_
        at android app ActivityThread access 1300(ActivityThread java:141)_x000D_
        at android app ActivityThread H handleMessage(ActivityThread java:1316)_x000D_
        at android os Handler dispatchMessage(Handler java:99)_x000D_
        at android os Looper loop(Looper java:137)_x000D_
        at android app ActivityThread main(ActivityThread java:5103)_x000D_
        at java lang reflect Method invokeNative(Native Method)_x000D_
        at java lang reflect Method invoke(Method java:525)_x000D_
        at com android internal os ZygoteInit MethodAndArgsCaller run(ZygoteInit java:737)_x000D_
        at com android internal os ZygoteInit main(ZygoteInit java:553)_x000D_
        at dalvik system NativeStart main(Native Method)_x000D_
   </t>
  </si>
  <si>
    <t>fossasia-phimpme-android-2141</t>
  </si>
  <si>
    <t>App crash for Upload History.</t>
  </si>
  <si>
    <t xml:space="preserve">  Actual Behaviour  _x000D_
_x000D_
App crashes on opening the upload history section when nothing has been shared _x000D_
_x000D_
  Expected Behaviour  _x000D_
_x000D_
App should not crash _x000D_
_x000D_
  Would you like to work on the issue   _x000D_
_x000D_
Yes </t>
  </si>
  <si>
    <t>ThmmyNoLife-mTHMMY-39</t>
  </si>
  <si>
    <t>Crash in topic after network error</t>
  </si>
  <si>
    <t xml:space="preserve">    Steps to reproduce_x000D_
1  Load a topic_x000D_
2  Change page and get a network error_x000D_
3  Change page again_x000D_
4  app crashes_x000D_
_x000D_
    Cause_x000D_
The  TopicTaskResult  with the network error overwrites the successful one causing a null pointer exception when a pageUrl is needed for a page change_x000D_
_x000D_
    Solution_x000D_
Have LiveData for each object that comprises TopicTaskResult separately and only update those needed according to the result code</t>
  </si>
  <si>
    <t>eurofurence-ef-app_android-232</t>
  </si>
  <si>
    <t>App Crash when opening Dealers List</t>
  </si>
  <si>
    <t xml:space="preserve">2 2 0  90  Moto Z Play_x000D_
_x000D_
Crashdump:_x000D_
https:  console firebase google com project eurofurence de86f crashlytics app android:org eurofurence connavigator issues 5b6800926007d59fcdf5e577 time last seven days sessionId 5B682B14010D00014CC4CD76D17B8A21 DNE 0 v2_x000D_
_x000D_
Reported by Torui Telegram   100  reproduceable _x000D_
_x000D_
  Fixed by empty database   re download   data issue  </t>
  </si>
  <si>
    <t>novoda-storage-path-finder-9</t>
  </si>
  <si>
    <t>API 16 Shared Storage Crash</t>
  </si>
  <si>
    <t xml:space="preserve">   Problem_x000D_
We ve noticed some crashes on API 16 devices when the SD card is shown as unmounted in the storage settings   _x000D_
_x000D_
 ContextCompat getExternalFilesDirs(context  null) 0    calls down to  new File     context getExternalFilesDir(type)     which can be  null  when the shared storage is not available  _x000D_
_x000D_
Confusingly it seems that on earlier versions of android this shared storage is flagged as SD card storage even when there might not be an SD card involved      _x000D_
_x000D_
   Solution_x000D_
Highlight that  AndroidExternalStorageDirectories getExternalStorageDirectoryApplicationPath  can be  Nullable   Have the  ExternalDirectoryPrimaryStorageInspector  return  List StoragePath   where a  null  will return an  emptyList  _x000D_
_x000D_
   Screen Capture_x000D_
_x000D_
API 16   API 19_x000D_
         _x000D_
  api 16 (https:  user images githubusercontent com 3380092 43709120 efd4e00a 9963 11e8 8d57 08cf5bbec17c png)     api 19 (https:  user images githubusercontent com 3380092 43709119 efac60bc 9963 11e8 8cc4 dc1cfcf432b4 png)_x000D_
_x000D_
_x000D_
   Additional_x000D_
_x000D_
This potentially leads to the issue where API 18 and below devices do not show a primary storage application path  I think this is probably because we should be looking for an external (shared) and internal (private) path rather than just looking for the external (shared)  This will need some investigation   </t>
  </si>
  <si>
    <t>project-travel-mate-Travel-Mate-410</t>
  </si>
  <si>
    <t>[BUG] App crashes in Main Screen on Rotation</t>
  </si>
  <si>
    <t xml:space="preserve">    Steps to reproduce_x000D_
  Main Screen i e (Cities grid screen)_x000D_
  Rotate_x000D_
  App Crash_x000D_
_x000D_
    Expected behaviour_x000D_
  App should not crash_x000D_
_x000D_
    Actual behaviour_x000D_
  App Crashes_x000D_
_x000D_
    Error Logs_x000D_
   _x000D_
08 05 09:42:59 649 7660 7660 io github project travel mate E AndroidRuntime: FATAL EXCEPTION: main_x000D_
    Process: io github project travel mate  PID: 7660_x000D_
    java lang IllegalStateException: Fragment CityFragment 9219c7  not attached to a context _x000D_
        at android support v4 app Fragment requireContext(Fragment java:614)_x000D_
        at android support v4 app Fragment getResources(Fragment java:678)_x000D_
        at android support v4 app Fragment getString(Fragment java:700)_x000D_
        at io github project travel mate destinations CityFragment 3 lambda onResponse 2 CityFragment 3(CityFragment java:234)_x000D_
        at io github project travel mate destinations CityFragment 3  Lambda 1 run(Unknown Source:20)_x000D_
        at android os Handler handleCallback(Handler java:790)_x000D_
        at android os Handler dispatchMessage(Handler java:99)_x000D_
        at android os Looper loop(Looper java:164)_x000D_
        at android app ActivityThread main(ActivityThread java:6501)_x000D_
        at java lang reflect Method invoke(Native Method)_x000D_
        at com android internal os RuntimeInit MethodAndArgsCaller run(RuntimeInit java:438)_x000D_
        at com android internal os ZygoteInit main(ZygoteInit java:807)_x000D_
   </t>
  </si>
  <si>
    <t>morenoh149-react-native-contacts-318</t>
  </si>
  <si>
    <t>IOS app get stucked if permission denied by user</t>
  </si>
  <si>
    <t>If you denied the permission   App crashed and stucked and it always open on same screen (stucked)  Need help</t>
  </si>
  <si>
    <t>nextcloud-android-2862</t>
  </si>
  <si>
    <t>nextcloud crashed when using fingerprint as a validation method while reloading nextcloud</t>
  </si>
  <si>
    <t xml:space="preserve">    Actual behaviour_x000D_
  Tell us what happens_x000D_
_x000D_
nextcloud crashed when using fingerprint as a validation method while reloading nextcloud on android 8 0  The issue didn t appear on android 7 00before _x000D_
_x000D_
    Expected behaviour_x000D_
  Tell us what should happen_x000D_
 _x000D_
    Steps to reproduce_x000D_
1  _x000D_
2  _x000D_
3  _x000D_
_x000D_
_x000D_
    Environment data_x000D_
Android version:_x000D_
_x000D_
Device model: _x000D_
_x000D_
Stock or customized system:_x000D_
_x000D_
Nextcloud app version:_x000D_
_x000D_
Nextcloud server version:_x000D_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</si>
  <si>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iFixit-dozuki-android-12</t>
  </si>
  <si>
    <t xml:space="preserve">🐞 Android App crashing when uploading photo </t>
  </si>
  <si>
    <t xml:space="preserve">A customer reported that their app is crashing when they try and upload a picture when editing a guide  they are on a Motorola Droid turbo xt1254  They are on the most up to date version of the app </t>
  </si>
  <si>
    <t>Project-ARTist-ArtistGui-79</t>
  </si>
  <si>
    <t>ModuleImport: Handle failures and edge cases</t>
  </si>
  <si>
    <t>The ModuleImporter is very naively implemented  It hopes the import succeeds always  The importModule(   ) catches IOExceptions and returns null which lead to a NullPointerException in the AsyncTask  The exceptions get logged but the user only sees that the app crashed _x000D_
_x000D_
Problems:_x000D_
_x000D_
  Check if module imported correctly in AsyncTask iterating over the result (null    NullPointerException)_x000D_
  During import the module lies in a tmp extraction folder which get renamed afterwards (don t ignore result  it can fail)_x000D_
  Handle low space or no space_x000D_
  ManifestParser can t handle missing unknown json attributes (app crashes)_x000D_
  The zip can be corrupted or not a zip at all_x000D_
  Expected files can be missing in zip_x000D_
  Notify user that something went wrong (be specific but user friendy)</t>
  </si>
  <si>
    <t>andyrozman-RileyLinkAAPS-49</t>
  </si>
  <si>
    <t>Crash when Get Settings (Status - settings) on 523 pump</t>
  </si>
  <si>
    <t xml:space="preserve">crash app on Status   settings on 523 pump_x000D_
_x000D_
 08 03 12:25:30 076 24521 24955 com gxwtech roundtrip2 I ShowAAPS2Activity:  Thread 6  INFO   com gxwtech roundtrip2 ShowAAPS2Activity 4:386 : start Action: Status   Settings_x000D_
08 03 12:25:30 077 24521 24955 com gxwtech roundtrip2 I RileyLinkCommunicationManager:  Thread 6  INFO   info nightscout androidaps plugins PumpCommon hw rileylink RileyLinkCommunicationManager:75 : Sent:A7 93 53 69 C0 00_x000D_
08 03 12:25:30 179 24521 24955 com gxwtech roundtrip2 D RFSpyReader:  Thread 6  DEBUG  info nightscout androidaps plugins PumpCommon hw rileylink ble RFSpyReader:66 : Got data  null  at t  166188591_x000D_
08 03 12:25:30 181 24521 24955 com gxwtech roundtrip2 D RFSpy:  Thread 6  DEBUG  info nightscout androidaps plugins PumpCommon hw rileylink ble RFSpy:119 : writeToData (command SendAndListen raw 16 05 00 00 00 00 00 00 07 D0 00 A9 66 63 96 39 99 B1 55 55 D2 65 00 )_x000D_
08 03 12:25:30 705 24521 24945 com gxwtech roundtrip2 D RFTools:  Binder:24521 4  DEBUG  info nightscout androidaps plugins PumpCommon hw rileylink ble RileyLinkBLE 1:78 : Response Count is 4A_x000D_
08 03 12:25:31 497 24521 24955 com gxwtech roundtrip2 D RFSpyReader:  Thread 6  DEBUG  info nightscout androidaps plugins PumpCommon hw rileylink ble RFSpyReader:64 : Got data  31 14 A9 66 63 96 39 99 B1 5C 59 55 55 71 55 55 71 57 15 55 C9 55 55 C5 A5 71 55 55 55 57 15 55 55 59 B4 57 15 65 55 5C 59 55 5C 59 57 15 55 55 55 55 55 55 55 55 55 55 55 55 55 55 55 55 55 55 55 55 55 55 55 55 55 55 55 55 55 55 55 55 55 55 55 55 55 55 55 55 55 55 55 55 55 55 55 55 55 55 55 55 55 55 55 55 55 55 55 55 55 9B 45  at t  166189907_x000D_
08 03 12:25:31 506 24521 24955 com gxwtech roundtrip2 I RFSpy:  Thread 6  INFO   info nightscout androidaps plugins PumpCommon hw rileylink ble RFSpy:146 : writeToData: decoded radio response is A7 93 53 69 C0 19 00 01 00 01 01 00 20 00 18 01 00 00 01 00 00 64 01 05 00 19 00 19 01 00 00 00 00 00 00 00 00 00 00 00 00 00 00 00 00 00 00 00 00 00 00 00 00 00 00 00 00 00 00 00 00 00 00 00 00 00 00 00 00 00_x000D_
08 03 12:25:31 514 24521 24955 com gxwtech roundtrip2 I RileyLinkCommunicationManager:  Thread 6  INFO   info nightscout androidaps plugins PumpCommon hw rileylink RileyLinkCommunicationManager:91 : Received:A7 93 53 69 C0 19 00 01 00 01 01 00 20 00 18 01 00 00 01 00 00 64 01 05 00 19 00 19 01 00 00 00 00 00 00 00 00 00 00 00 00 00 00 00 00 00 00 00 00 00 00 00 00 00 00 00 00 00 00 00 00 00 00 00 00 00 00 00 00 00_x000D_
08 03 12:25:31 514 24521 24955 com gxwtech roundtrip2 D PumpMessage: Length: 25  Original Length: 25  CommandType: Settings_x000D_
08 03 12:25:31 517 24521 24955 com gxwtech roundtrip2 D PumpMessage: Length: 25  Original Length: 25  CommandType: Settings_x000D_
08 03 12:25:31 521 24521 24955 com gxwtech roundtrip2 D MedtronicConverter:  Thread 6  DEBUG  info nightscout androidaps plugins PumpMedtronic comm MedtronicConverter:38 : Raw response before convert: 00 01 00 01 01 00 20 00 18 01 00 00 01 00 00 64 01 05 00 19 00 19 01 00 00 _x000D_
08 03 12:25:31 529 24521 24955 com gxwtech roundtrip2 D MedtronicCommunicationManager:  Thread 6  DEBUG  info nightscout androidaps plugins PumpMedtronic comm MedtronicCommunicationManager:497 : Converted response for Settings is  PCFG CAPTURE EVENT ENABLE info nightscout androidaps plugins PumpMedtronic data dto PumpSettingDTO d5b14a3  CFG PARADIGM LINK ENABLE info nightscout androidaps plugins PumpMedtronic data dto PumpSettingDTO 923a3a0  PCFG VARIABLE BOLUS ENABLED info nightscout androidaps plugins PumpMedtronic data dto PumpSettingDTO dc79b59  PCFG ALARM MODE info nightscout androidaps plugins PumpMedtronic data dto PumpSettingDTO f28731e  PCFG AUDIO BOLUS ENABLED info nightscout androidaps plugins PumpMedtronic data dto PumpSettingDTO e8057ff  PCFG INSULIN CONCENTRATION info nightscout androidaps plugins PumpMedtronic data dto PumpSettingDTO 5af59cc  PCFG MAX BASAL info nightscout androidaps plugins PumpMedtronic data dto PumpSettingDTO 8cd9415  CFG MM RF ENABLED info nightscout androidaps plugins PumpMedtronic data dto PumpSettingDTO fe4a32a  PCFG INSULIN ACTION TYPE info nightscout androidaps plugins PumpMedtronic data dto PumpSettingDTO a8c751b  PCFG MM SRESERVOIR WARNING POINT info nightscout androidaps plugins PumpMedtronic data dto PumpSettingDTO 75e46b8  PCFG AUTOOFF TIMEOUT info nightscout androidaps plugins PumpMedtronic data dto PumpSettingDTO 7005c91  PCFG ALARM BEEP VOLUME info nightscout androidaps plugins PumpMedtronic data dto PumpSettingDTO 81c7f6  PCFG BASAL PROFILES ENABLED info nightscout androidaps plugins PumpMedtronic data dto PumpSettingDTO 7347f7  CFG MM BLOCK ENABLED info nightscout androidaps plugins PumpMedtronic data dto PumpSettingDTO 10d1664  PCFG TEMP BASAL TYPE info nightscout androidaps plugins PumpMedtronic data dto PumpSettingDTO 4bd30cd  CFG MM KEYPAD LOCKED info nightscout androidaps plugins PumpMedtronic data dto PumpSettingDTO 4fa6d82  PCFG MAX BOLUS info nightscout androidaps plugins PumpMedtronic data dto PumpSettingDTO 8a6c93  PCFG BOLUS SCROLL STEP SIZE info nightscout androidaps plugins PumpMedtronic data dto PumpSettingDTO 4b734d0  PCFG OTHER DEVICE PAIRED STATE info nightscout androidaps plugins PumpMedtronic data dto PumpSettingDTO cf90cc9  PCFG MM RESERVOIR WARNING TYPE TIME info nightscout androidaps plugins PumpMedtronic data dto PumpSettingDTO 465dfce  PCFG OTHER DEVICE ENABLE info nightscout androidaps plugins PumpMedtronic data dto PumpSettingDTO e53eef  CFG BASE CLOCK MODE info nightscout androidaps plugins PumpMedtronic data dto PumpSettingDTO 6a2cdfc  _x000D_
08 03 12:25:31 531 24521 24521 com gxwtech roundtrip2 D AndroidRuntime: Shutting down VM_x000D_
08 03 12:25:31 536 24521 24521 com gxwtech roundtrip2 E AndroidRuntime: FATAL EXCEPTION: main_x000D_
                                                                        Process: com gxwtech roundtrip2  PID: 24521_x000D_
                                                                        java lang ClassCastException: java util HashMap cannot be cast to java util List_x000D_
                                                                            at com gxwtech roundtrip2 ShowAAPS2Activity sendData(ShowAAPS2Activity java:359)_x000D_
                                                                            at com gxwtech roundtrip2 ShowAAPS2Activity 3 onReceive(ShowAAPS2Activity java:143)_x000D_
                                                                            at android support v4 content LocalBroadcastManager executePendingBroadcasts(LocalBroadcastManager java:311)_x000D_
                                                                            at android support v4 content LocalBroadcastManager access 000(LocalBroadcastManager java:47)_x000D_
                                                                            at android support v4 content LocalBroadcastManager 1 handleMessage(LocalBroadcastManager java:120)_x000D_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 </t>
  </si>
  <si>
    <t>seemoo-lab-fitness-app-50</t>
  </si>
  <si>
    <t>Bugfix: App crashes when entering Live Mode</t>
  </si>
  <si>
    <t>In current master lab version (commit 6353e0b37d3d41c91dcc976c985ac59eaf0f0afe  but probably earlier versions as well) the app crashes when switching to  Live Mode  due to a NullPointerException:_x000D_
_x000D_
java lang NullPointerException: Attempt to invoke interface method  android view MenuItem android view MenuItem setTitle(int)  on a null object reference_x000D_
_x000D_
LiveModeInteraction java:57</t>
  </si>
  <si>
    <t>react-native-camera-react-native-camera-1727</t>
  </si>
  <si>
    <t>Android app crash when using hardware back button.</t>
  </si>
  <si>
    <t>I m using react navigation  My Camera Screen is two level deep  When i use back button twice from Camera Screen  app exit and crash _x000D_
_x000D_
I m using RNCamera  My react native camera version is 1 1 0  react native version is 0 53 3 _x000D_
_x000D_
Expected Behaviour   Successfully Exist  _x000D_
_x000D_
Actually Behaviour   Exit and Crash    632  878  357</t>
  </si>
  <si>
    <t>butterproject-butter-android-288</t>
  </si>
  <si>
    <t>Glide Bitmap releasing for BackgroundManager</t>
  </si>
  <si>
    <t xml:space="preserve">Glide is releasing resources when new one is loaded or target cleared  Since we are using BackgroundManager and it has its own implementation for changing and updating images  We run into an issue where Glide already releases bitmap that is still displayed on background causing an app to crash  This is due to a fact that BackgroundManager uses delay to display background so that it is not switching constantly _x000D_
_x000D_
Solution here could be to manually handle  Glide clear  events for target or to not use Glide for background images </t>
  </si>
  <si>
    <t>evernote-android-job-511</t>
  </si>
  <si>
    <t>Changes in work-runtime:1.0.0-alpha06</t>
  </si>
  <si>
    <t xml:space="preserve">Two crashes with work runtime:1 0 0 alpha06 and android job:1 3 0 alpha06_x000D_
_x000D_
   _x000D_
java lang NoSuchMethodError: No virtual method build()Landroidx work PeriodicWorkRequest  in class Landroidx work PeriodicWorkRequest Builder  or its super classes (declaration of  androidx work PeriodicWorkRequest Builder  appears in  data app xxx split lib dependencies apk apk)_x000D_
        at com evernote android job work JobProxyWorkManager plantPeriodic(JobProxyWorkManager java:72)_x000D_
        at com evernote android job JobManager scheduleWithApi(JobManager java:241)_x000D_
        at com evernote android job JobManager schedule(JobManager java:199)_x000D_
        at com evernote android job JobRequest schedule(JobRequest java:426)_x000D_
        at com evernote android job JobRescheduleService rescheduleJobs(JobRescheduleService java:120)_x000D_
        at com evernote android job JobRescheduleService onHandleWork(JobRescheduleService java:87)_x000D_
        at android support v4 app JobIntentService CommandProcessor doInBackground(JobIntentService java:391)_x000D_
        at android support v4 app JobIntentService CommandProcessor doInBackground(JobIntentService java:382)_x000D_
        at android os AsyncTask 2 call(AsyncTask java:333)_x000D_
        at java util concurrent FutureTask run(FutureTask java:266)_x000D_
        at java util concurrent ThreadPoolExecutor runWorker(ThreadPoolExecutor java:1167) _x000D_
        at java util concurrent ThreadPoolExecutor Worker run(ThreadPoolExecutor java:641) _x000D_
        at java lang Thread run(Thread java:764) _x000D_
   _x000D_
_x000D_
   _x000D_
java lang NoSuchMethodError: No virtual method build()Landroidx work PeriodicWorkRequest  in class Landroidx work PeriodicWorkRequest Builder  or its super classes (declaration of  androidx work PeriodicWorkRequest Builder  appears in  data app xxx split lib dependencies apk apk)_x000D_
        at com evernote android job work JobProxyWorkManager plantPeriodic(JobProxyWorkManager java:72)_x000D_
        at com evernote android job JobManager scheduleWithApi(JobManager java:241)_x000D_
        at com evernote android job JobManager schedule(JobManager java:199)_x000D_
        at com evernote android job JobRequest schedule(JobRequest java:426)_x000D_
        at com evernote android job JobRequest 2 run(JobRequest java:455)_x000D_
        at java util concurrent ThreadPoolExecutor runWorker(ThreadPoolExecutor java:1167)_x000D_
        at java util concurrent ThreadPoolExecutor Worker run(ThreadPoolExecutor java:641)_x000D_
        at java lang Thread run(Thread java:764)_x000D_
   </t>
  </si>
  <si>
    <t>k9mail-k-9-3540</t>
  </si>
  <si>
    <t>K-9 Crashes went starting a new email beginning with da, like dave.</t>
  </si>
  <si>
    <t xml:space="preserve">Strange behavior: Using person s last name to call up email address works as expected _x000D_
_x000D_
Submitted report with logs to Google Play Store _x000D_
_x000D_
    Expected behavior_x000D_
Bring up enail address from contact list _x000D_
_x000D_
    Actual behavior_x000D_
K 9 crashes_x000D_
_x000D_
    Steps to reproduce_x000D_
1  Initiate email starting with da or Da _x000D_
2 _x000D_
3 _x000D_
_x000D_
    Environment_x000D_
K 9 Mail version:5 403_x000D_
_x000D_
Android version:5 1 1_x000D_
_x000D_
Account type (IMAP  POP3  WebDAV Exchange):IMAP_x000D_
</t>
  </si>
  <si>
    <t>Kyson-AndroidGodEye-31</t>
  </si>
  <si>
    <t>java.lang.ArithmeticException: divide by zero</t>
  </si>
  <si>
    <t xml:space="preserve">App       crash            _x000D_
   _x000D_
java lang ArithmeticException: divide by zero_x000D_
        at cn hikyson godeye core internal modules fps FpsEngine 3 1 1 doFrame(FpsEngine java:78)_x000D_
        at android view Choreographer CallbackRecord run(Choreographer java:883)_x000D_
        at android view Choreographer doCallbacks(Choreographer java:697)_x000D_
        at android view Choreographer doFrame(Choreographer java:630)_x000D_
        at android view Choreographer FrameDisplayEventReceiver run(Choreographer java:871)_x000D_
        at android os Handler handleCallback(Handler java:751)_x000D_
        at android os Handler dispatchMessage(Handler java:95)_x000D_
        at android os Looper loop(Looper java:154)_x000D_
        at android app ActivityThread main(ActivityThread java:6338)_x000D_
        at java lang reflect Method invoke(Native Method)_x000D_
        at com android internal os ZygoteInit MethodAndArgsCaller run(ZygoteInit java:912)_x000D_
        at com android internal os ZygoteInit main(ZygoteInit java:802)_x000D_
   </t>
  </si>
  <si>
    <t>mycelium-com-wallet-android-474</t>
  </si>
  <si>
    <t>RPC.toJsonTree NullPointerException</t>
  </si>
  <si>
    <t xml:space="preserve">We are experiencing these crashes on prod _x000D_
Unfortunately stacktrace is not full and we can not reproduce this crash _x000D_
Only android 8 0 and 8 1 are affected _x000D_
Devices which reproduces on: Galaxy s8 8  9  OnePlus 5 3T  Pixel _x000D_
Stacktrace:_x000D_
 java lang NullPointerException: _x000D_
  at libcore reflect TypeVariableImpl hashCode (TypeVariableImpl java:47)_x000D_
  at java util HashMap hash (HashMap java:338)_x000D_
  at java util HashMap containsKey (HashMap java:595)_x000D_
  at java util HashSet contains (HashSet java:203)_x000D_
  at com google gson internal  Gson Types resolve ( Gson Types java:346)_x000D_
  at com google gson internal  Gson Types resolve ( Gson Types java:381)_x000D_
  at com google gson internal  Gson Types resolve ( Gson Types java:337)_x000D_
  at com google gson internal  Gson Types getSupertype ( Gson Types java:283)_x000D_
  at com google gson internal  Gson Types getCollectionElementType ( Gson Types java:302)_x000D_
  at com google gson internal bind CollectionTypeAdapterFactory create (CollectionTypeAdapterFactory java:52)_x000D_
  at com google gson Gson getAdapter (Gson java:457)_x000D_
  at com google gson Gson toJson (Gson java:695)_x000D_
  at com google gson Gson toJsonTree (Gson java:596)_x000D_
  at com google gson Gson toJsonTree (Gson java:575)_x000D_
  at com mycelium wapi api jsonrpc RPC toJsonTree wapi (RPC kt:43)_x000D_
  at com mycelium wapi api jsonrpc RpcParamsTypeAdapter serialize (RpcParams kt:56)_x000D_
  at com mycelium wapi api jsonrpc RpcParamsTypeAdapter serialize (RpcParams kt:52)_x000D_
  at com google gson internal bind TreeTypeAdapter write (TreeTypeAdapter java:81)_x000D_
  at com google gson internal bind TypeAdapterRuntimeTypeWrapper write (TypeAdapterRuntimeTypeWrapper java:69)_x000D_
  at com google gson internal bind ReflectiveTypeAdapterFactory 1 write (ReflectiveTypeAdapterFactory java:127)_x000D_
  at com google gson internal bind ReflectiveTypeAdapterFactory Adapter write (ReflectiveTypeAdapterFactory java:245)_x000D_
  at com google gson Gson toJson (Gson java:703)_x000D_
  at com google gson Gson toJson (Gson java:682)_x000D_
  at com google gson Gson toJson (Gson java:637)_x000D_
  at com google gson Gson toJson (Gson java:617)_x000D_
  at com mycelium wapi api jsonrpc RPC toJson (RPC kt:41)_x000D_
  at com mycelium wapi api jsonrpc RpcRequestOut toJson (RpcRequest kt:16)_x000D_
  at com mycelium wapi api jsonrpc JsonRpcTcpClient subscribe (JsonRpcTcpClient kt:145)_x000D_
  at com mycelium wapi api ConnectionManager subscribe 1 doResume (ConnectionManager kt:69)_x000D_
  at kotlin coroutines experimental jvm internal CoroutineImpl resume (CoroutineImpl kt:42)_x000D_
  at kotlinx coroutines experimental DispatchedTask DefaultImpls run (Dispatched kt:162)_x000D_
  at kotlinx coroutines experimental DispatchedContinuation run (Dispatched kt:26)_x000D_
  at java util concurrent ForkJoinTask RunnableExecuteAction exec (ForkJoinTask java:1412)_x000D_
  at java util concurrent ForkJoinTask doExec (ForkJoinTask java:285)_x000D_
  at java util concurrent ForkJoinPool WorkQueue runTask (ForkJoinPool java:1152)_x000D_
  at java util concurrent ForkJoinPool scan (ForkJoinPool java:1990)_x000D_
  at java util concurrent ForkJoinPool runWorker (ForkJoinPool java:1938)_x000D_
  at java util concurrent ForkJoinWorkerThread run (ForkJoinWorkerThread java:157) _x000D_
</t>
  </si>
  <si>
    <t>eurofurence-ef-app_android-204</t>
  </si>
  <si>
    <t>Activity UIs have uninitialized late init fields</t>
  </si>
  <si>
    <t xml:space="preserve">Sometimes on saving state  in activity start for example  UI fields are not initialized an cause a crash </t>
  </si>
  <si>
    <t>inaturalist-iNaturalistAndroid-563</t>
  </si>
  <si>
    <t>Handle crashes in ObservationPhotosViewer</t>
  </si>
  <si>
    <t xml:space="preserve">Our top two crashes at the moment are memory issues with resizing and rotating local photos in the photo viewer:_x000D_
_x000D_
https:  fabric io inaturalist android apps org inaturalist android issues 5a92f3028cb3c2fa63ceb25d time last ninety days_x000D_
https:  fabric io inaturalist android apps org inaturalist android issues 59d66371be077a4dcccd2d47 time last ninety days_x000D_
_x000D_
I might be wrong but it  seems  like we re loading the whole photo into memory just to resize it for display  Is this something we could address by loading the local image with Glide  a la https:  stackoverflow com questions 32332003 glide load local image by uri 32332208 </t>
  </si>
  <si>
    <t>bitstadium-HockeySDK-Android-389</t>
  </si>
  <si>
    <t>Crash while sending feedback</t>
  </si>
  <si>
    <t xml:space="preserve">I ve got next crash among others which comes from HockeyApp itself_x000D_
   _x000D_
Android: 7 1 2_x000D_
Android Build: T5ZP1076_x000D_
Manufacturer: Amlogic_x000D_
Model: T95ZPLUS_x000D_
Thread: AsyncTask  15 382_x000D_
CrashReporter Key: ff419900 6c6d 448e bd77 1e21e3f0f1e2_x000D_
Start Date: 2018 07 28T21:11:54 510Z_x000D_
Date: 2018 07 28T21:17:32 986Z_x000D_
_x000D_
java lang RuntimeException: An error occurred while executing doInBackground()_x000D_
	at android os AsyncTask 3 done(AsyncTask java:325)_x000D_
	at java util concurrent FutureTask finishCompletion(FutureTask java:354)_x000D_
	at java util concurrent FutureTask setException(FutureTask java:223)_x000D_
	at java util concurrent FutureTask run(FutureTask java:242)_x000D_
	at java util concurrent ThreadPoolExecutor runWorker(ThreadPoolExecutor java:1133)_x000D_
	at java util concurrent ThreadPoolExecutor Worker run(ThreadPoolExecutor java:607)_x000D_
	at java lang Thread run(Thread java:761)_x000D_
Caused by: java lang NullPointerException: Attempt to get length of null array_x000D_
	at net hockeyapp android tasks SendFeedbackTask clearTemporaryFolder(SendFeedbackTask java:182)_x000D_
	at net hockeyapp android tasks SendFeedbackTask doInBackground(SendFeedbackTask java:150)_x000D_
	at net hockeyapp android tasks SendFeedbackTask doInBackground(SendFeedbackTask java:33)_x000D_
	at android os AsyncTask 2 call(AsyncTask java:305)_x000D_
	at java util concurrent FutureTask run(FutureTask java:237)_x000D_
	    3 more_x000D_
   _x000D_
_x000D_
Most probably the problematic part is:_x000D_
   _x000D_
            File   screenshots   hockeyAppStorageDir listFiles(new FilenameFilter()  _x000D_
                public boolean accept(File dir  String name)  _x000D_
                    return name endsWith(  jpg ) _x000D_
                 _x000D_
             ) _x000D_
            for (File screenshot : screenshots)  _x000D_
   _x000D_
_x000D_
Based on analysis of  File listFiles  there re paths when null can be returned </t>
  </si>
  <si>
    <t>Tencent-tinker-889</t>
  </si>
  <si>
    <t>安装热修复的版本运行一段时间后，再次打开出现必现崩溃，反射创建 ApplicationLike 失败</t>
  </si>
  <si>
    <t xml:space="preserve">     app     _x000D_
_x000D_
     Galaxy s7 edge Galaxy s8_x000D_
_x000D_
        :Android 8 0 _x000D_
_x000D_
tinker    :1 9 6_x000D_
_x000D_
gradle    :4 1_x000D_
_x000D_
       SDK    Bugly SDK_x000D_
_x000D_
    :Mac_x000D_
_x000D_
      _x000D_
07 30 13:06:10 980 30943 30966   W Tinker DexDiffPatchInternal: success recover dex file:  data user 0 trip english tinker patch 2547e15f dex classes dex jar  size: 2957038  use time: 4263_x000D_
07 30 13:06:10 981 30943 30966   I Tinker DexDiffPatchInternal: try Extracting  data user 0 trip english tinker patch 2547e15f dex classes3 dex jar_x000D_
07 30 13:06:11 342 30404 30404   D Tinker DefaultAppLike: onTrimMemory level:20_x000D_
07 30 13:06:12 114 30943 30966   I Tinker DexDiffPatchInternal: isExtractionSuccessful: true_x000D_
07 30 13:06:12 181 30943 30966   I Tinker DexDiffPatchInternal: try Extracting  data user 0 trip english tinker patch 2547e15f dex classes2 dex jar_x000D_
07 30 13:06:12 800 30943 30966   I Tinker DexDiffPatchInternal: isExtractionSuccessful: true_x000D_
07 30 13:06:12 836 30943 30966   I Tinker DexDiffPatchInternal: try Extracting  data user 0 trip english tinker patch 2547e15f dex classes7 dex jar_x000D_
07 30 13:06:14 570 1466 8133   W ActivityManager: Scheduling restart of crashed service trip english com tencent tinker lib service TinkerPatchService JobServiceRunner in 10996ms_x000D_
07 30 13:06:14 580 1466 8133   I ActivityManager:   Force stopping service ServiceRecord ff5bdec u0 trip english trip android pushsdk PushService _x000D_
      Force stopping service ServiceRecord cc8317a u0 trip english com tencent tinker lib service TinkerPatchService JobServiceRunner _x000D_
07 30 13:06:16 860 31066 31066   W Tinker TinkerLoader: tryLoadPatchFiles:patch info not exist: data user 0 trip english tinker patch info_x000D_
07 30 13:06:16 861 31066 31066   D Tinker DefaultAppLike: onBaseContextAttached:_x000D_
07 30 13:06:16 866 31066 31066   I Tinker TinkerPatchListener: application maxMemory:256_x000D_
07 30 13:06:16 867 31066 31066   W Tinker Tinker: tinker patch directory:  data user 0 trip english tinker_x000D_
07 30 13:06:16 867 31066 31066   I Tinker Tinker: try to install tinker  isEnable: true  version: 1 9 6_x000D_
07 30 13:06:16 868 31066 31066   I Tinker TinkerLoadResult: parseTinkerResult loadCode: 3  process name:trip english  main process:true  systemOTA:false  fingerPrint:samsung dream2qltezc dream2qltechn:8 0 0 R16NW G9550ZCU2CRF2:user release keys  oatDir:null  useInterpretMode:false_x000D_
07 30 13:06:16 868 31066 31066   W Tinker TinkerLoadResult: can t find patch file  is ok  just return_x000D_
07 30 13:06:16 868 31066 31066   I Tinker DefaultLoadReporter: patch loadReporter onLoadResult: patch load result  path: data user 0 trip english tinker  code:  3  cost: 6ms_x000D_
07 30 13:06:16 868 31066 31066   W Tinker Tinker: tinker load fail _x000D_
07 30 13:06:16 932 31066 31066   I Tinker ComponentHotplug: method install() is not invoked  ignore ensuring operations _x000D_
07 30 13:06:16 932 31066 31066   D Tinker DefaultAppLike: onCreate_x000D_
07 30 13:06:17 521 31180 31180   W Tinker TinkerLoader: tryLoadPatchFiles:patch info not exist: data user 0 trip english tinker patch info_x000D_
07 30 13:06:17 521 31180 31180   D Tinker DefaultAppLike: onBaseContextAttached:_x000D_
07 30 13:06:17 525 31180 31180   I Tinker TinkerPatchListener: application maxMemory:256_x000D_
07 30 13:06:17 526 31180 31180   W Tinker Tinker: tinker patch directory:  data user 0 trip english tinker_x000D_
07 30 13:06:17 527 31180 31180   I Tinker Tinker: try to install tinker  isEnable: true  version: 1 9 6_x000D_
07 30 13:06:17 527 31180 31180   I Tinker TinkerLoadResult: parseTinkerResult loadCode: 3  process name:trip english:pushsdk v1  main process:false  systemOTA:false  fingerPrint:samsung dream2qltezc dream2qltechn:8 0 0 R16NW G9550ZCU2CRF2:user release keys  oatDir:null  useInterpretMode:false_x000D_
07 30 13:06:17 527 31180 31180   W Tinker TinkerLoadResult: can t find patch file  is ok  just return_x000D_
07 30 13:06:17 527 31180 31180   I Tinker DefaultLoadReporter: patch loadReporter onLoadResult: patch load result  path: data user 0 trip english tinker  code:  3  cost: 6ms_x000D_
07 30 13:06:17 527 31180 31180   W Tinker Tinker: tinker load fail _x000D_
07 30 13:06:17 528 31180 31180   I Tinker ComponentHotplug: method install() is not invoked  ignore ensuring operations _x000D_
07 30 13:06:17 528 31180 31180   D Tinker DefaultAppLike: onCreate_x000D_
07 30 13:06:17 569 31180 31180   W Tinker UpgradePatchRetry: onPatchRetryLoad retry is not main process  just return_x000D_
07 30 13:06:18 289 31066 31066   W Tinker UpgradePatchRetry: onPatchRetryLoad patch file:  data user 0 trip english tinker temp temp apk is exist  retry to patch_x000D_
07 30 13:06:18 290 31066 31066   I Tinker TinkerPatchListener: receive a patch file:  data user 0 trip english tinker temp temp apk  file size:12307_x000D_
07 30 13:06:18 295 31339 31339   W Tinker TinkerLoader: tryLoadPatchFiles:patch info not exist: data user 0 trip english tinker patch info_x000D_
07 30 13:06:18 295 31339 31339   D Tinker DefaultAppLike: onBaseContextAttached:_x000D_
07 30 13:06:18 300 31339 31339   I Tinker TinkerPatchListener: application maxMemory:256_x000D_
07 30 13:06:18 302 31339 31339   W Tinker Tinker: tinker patch directory:  data user 0 trip english tinker_x000D_
07 30 13:06:18 302 31339 31339   I Tinker Tinker: try to install tinker  isEnable: true  version: 1 9 6_x000D_
07 30 13:06:18 302 31339 31339   I Tinker TinkerLoadResult: parseTinkerResult loadCode: 3  process name:trip english:remote  main process:false  systemOTA:false  fingerPrint:samsung dream2qltezc dream2qltechn:8 0 0 R16NW G9550ZCU2CRF2:user release keys  oatDir:null  useInterpretMode:false_x000D_
07 30 13:06:18 302 31339 31339   W Tinker TinkerLoadResult: can t find patch file  is ok  just return_x000D_
07 30 13:06:18 302 31339 31339   I Tinker DefaultLoadReporter: patch loadReporter onLoadResult: patch load result  path: data user 0 trip english tinker  code:  3  cost: 11ms_x000D_
07 30 13:06:18 302 31339 31339   W Tinker Tinker: tinker load fail _x000D_
07 30 13:06:18 303 31339 31339   I Tinker ComponentHotplug: method install() is not invoked  ignore ensuring operations _x000D_
07 30 13:06:18 303 31339 31339   D Tinker DefaultAppLike: onCreate_x000D_
07 30 13:06:18 304 31066 31066   I Tinker TinkerPatchListener: get platform:null_x000D_
07 30 13:06:18 305 31066 31066   I Tinker TinkerPatchService: run patch service by job scheduler _x000D_
07 30 13:06:18 330 1466 2329   I ActivityManager: Start proc 31367:trip english:patch u0a500 for service trip english com tencent tinker lib service TinkerPatchService JobServiceRunner_x000D_
07 30 13:06:18 366 31339 31339   W Tinker UpgradePatchRetry: onPatchRetryLoad retry is not main process  just return_x000D_
07 30 13:06:18 461 31367 31367   W Tinker TinkerLoader: tryLoadPatchFiles: we don t load patch with :patch process itself  just return_x000D_
07 30 13:06:18 461 31367 31367   D Tinker DefaultAppLike: onBaseContextAttached:_x000D_
07 30 13:06:18 465 31367 31367   I Tinker TinkerPatchListener: application maxMemory:256_x000D_
07 30 13:06:18 466 31367 31367   W Tinker Tinker: tinker patch directory:  data user 0 trip english tinker_x000D_
07 30 13:06:18 466 31367 31367   I Tinker Tinker: try to install tinker  isEnable: true  version: 1 9 6_x000D_
07 30 13:06:18 467 31367 31367   I Tinker TinkerLoadResult: parseTinkerResult loadCode: 1  process name:trip english:patch  main process:false  systemOTA:false  fingerPrint:samsung dream2qltezc dream2qltechn:8 0 0 R16NW G9550ZCU2CRF2:user release keys  oatDir:null  useInterpretMode:false_x000D_
07 30 13:06:18 467 31367 31367   W Tinker TinkerLoadResult: tinker is disable  just return_x000D_
07 30 13:06:18 467 31367 31367   I Tinker DefaultLoadReporter: patch loadReporter onLoadResult: patch load result  path: data user 0 trip english tinker  code:  1  cost: 7ms_x000D_
07 30 13:06:18 467 31367 31367   W Tinker Tinker: tinker load fail _x000D_
07 30 13:06:18 467 31367 31367   I Tinker ComponentHotplug: method install() is not invoked  ignore ensuring operations _x000D_
07 30 13:06:18 467 31367 31367   D Tinker DefaultAppLike: onCreate_x000D_
07 30 13:06:18 496 31367 31367   W Tinker UpgradePatchRetry: onPatchRetryLoad retry is not main process  just return_x000D_
07 30 13:06:18 500 31367 31405   I Tinker DefaultPatchReporter: patchReporter onPatchServiceStart: patch service start_x000D_
07 30 13:06:18 530 31367 31405   I Tinker UpgradePatch: UpgradePatch tryPatch:patchMd5:2547e15fa5ea21f39db7b4d109d1a17f_x000D_
07 30 13:06:18 530 31367 31405   W Tinker PatchInfo: read property failed  e:java io FileNotFoundException:  data user 0 trip english tinker patch info (No such file or directory)_x000D_
07 30 13:06:18 531 31367 31405   W Tinker PatchInfo: read property failed  e:java io FileNotFoundException:  data user 0 trip english tinker patch info (No such file or directory)_x000D_
07 30 13:06:18 531 31367 31405   I Tinker UpgradePatch: UpgradePatch tryPatch:patchVersionDirectory: data user 0 trip english tinker patch 2547e15f_x000D_
07 30 13:06:18 616 31367 31405   W Tinker DexDiffPatchInternal: dex file  data user 0 trip english tinker patch 2547e15f dex classes4 dex jar is already exist  and md5 match  just continue_x000D_
07 30 13:06:18 660 31367 31405   W Tinker DexDiffPatchInternal: dex file  data user 0 trip english tinker patch 2547e15f dex classes5 dex jar is already exist  and md5 match  just continue_x000D_
07 30 13:06:18 790 31367 31405   W Tinker DexDiffPatchInternal: dex file  data user 0 trip english tinker patch 2547e15f dex classes dex jar is already exist  and md5 match  just continue_x000D_
07 30 13:06:18 855 31367 31405   W Tinker DexDiffPatchInternal: dex file  data user 0 trip english tinker patch 2547e15f dex classes3 dex jar is already exist  and md5 match  just continue_x000D_
07 30 13:06:18 891 31367 31405   W Tinker DexDiffPatchInternal: dex file  data user 0 trip english tinker patch 2547e15f dex classes2 dex jar is already exist  and md5 match  just continue_x000D_
07 30 13:06:18 895 31367 31405   E Tinker PatchFileUtil: Bad dex jar file:  data user 0 trip english tinker patch 2547e15f dex classes7 dex jar_x000D_
    java util zip ZipException: error in opening zip file_x000D_
        at java util zip ZipFile open(Native Method)_x000D_
        at java util zip ZipFile  init (ZipFile java:235)_x000D_
        at java util zip ZipFile  init (ZipFile java:149)_x000D_
        at java util zip ZipFile  init (ZipFile java:163)_x000D_
        at com tencent tinker loader shareutil SharePatchFileUtil verifyDexFileMd5(SourceFile:285)_x000D_
        at com tencent tinker loader shareutil SharePatchFileUtil verifyDexFileMd5(SourceFile:270)_x000D_
        at com tencent tinker lib patch DexDiffPatchInternal extractDexDiffInternals(SourceFile:451)_x000D_
        at com tencent tinker lib patch DexDiffPatchInternal patchDexExtractViaDexDiff(SourceFile:167)_x000D_
        at com tencent tinker lib patch DexDiffPatchInternal tryRecoverDexFiles(SourceFile:86)_x000D_
        at com tencent tinker lib patch UpgradePatch tryPatch(SourceFile:136)_x000D_
        at com tencent tinker lib service TinkerPatchService doApplyPatch(SourceFile:184)_x000D_
        at com tencent tinker lib service TinkerPatchService access 100(SourceFile:54)_x000D_
        at com tencent tinker lib service TinkerPatchService JobServiceRunner JobAsyncTask doInBackground(SourceFile:317)_x000D_
        at com tencent tinker lib service TinkerPatchService JobServiceRunner JobAsyncTask doInBackground(SourceFile:298)_x000D_
        at android os AsyncTask 2 call(AsyncTask java:333)_x000D_
        at java util concurrent FutureTask run(FutureTask java:266)_x000D_
        at android os AsyncTask SerialExecutor 1 run(AsyncTask java:245)_x000D_
        at java util concurrent ThreadPoolExecutor runWorker(ThreadPoolExecutor java:1162)_x000D_
        at java util concurrent ThreadPoolExecutor Worker run(ThreadPoolExecutor java:636)_x000D_
        at java lang Thread run(Thread java:764)_x000D_
07 30 13:06:18 895 31367 31405   W Tinker DexDiffPatchInternal: have a mismatch corrupted dex  data user 0 trip english tinker patch 2547e15f dex classes7 dex jar_x000D_
07 30 13:06:18 898 31367 31405   I Tinker DexDiffPatchInternal: try Extracting  data user 0 trip english tinker patch 2547e15f dex classes7 dex jar_x000D_
07 30 13:06:21 083 31066 31066   D Tinker TinkerManager: onDownloadSuccess _x000D_
07 30 13:06:21 084 31066 31066   D Tinker TinkerManager: check if has new patch _x000D_
07 30 13:06:21 090 31066 31066   D Tinker TinkerManager: has new patch _x000D_
07 30 13:06:21 091 31066 31066   D Tinker TinkerManager: starting patch _x000D_
07 30 13:06:21 093 31066 31066   I Tinker TinkerPatchListener: receive a patch file:  data user 0 trip english app tmpPatch tmpPatch apk  file size:12307_x000D_
07 30 13:06:21 096 31066 31066   I Tinker DefaultLoadReporter: patch loadReporter onLoadPatchListenerReceiveFail: patch receive fail:  data user 0 trip english app tmpPatch tmpPatch apk  code:  3_x000D_
07 30 13:06:21 414 31367 31405   I Tinker DexDiffPatchInternal: isExtractionSuccessful: true_x000D_
07 30 13:06:21 577 31367 31405   I Tinker DexDiffPatchInternal: try Extracting  data user 0 trip english tinker patch 2547e15f dex classes9 dex jar_x000D_
07 30 13:06:21 794 31367 31405   I Tinker DexDiffPatchInternal: isExtractionSuccessful: true_x000D_
07 30 13:06:21 811 31367 31405   I Tinker DexDiffPatchInternal: try Extracting  data user 0 trip english tinker patch 2547e15f dex classes6 dex jar_x000D_
07 30 13:06:22 611 31367 31405   I Tinker DexDiffPatchInternal: isExtractionSuccessful: true_x000D_
07 30 13:06:22 661 31367 31405   I Tinker DexDiffPatchInternal: try Extracting  data user 0 trip english tinker patch 2547e15f dex classes8 dex jar_x000D_
07 30 13:06:25 393 31367 31405   I Tinker DexDiffPatchInternal: isExtractionSuccessful: true_x000D_
07 30 13:06:25 577 31367 31405   I Tinker DexDiffPatchInternal: try Extracting  data user 0 trip english tinker patch 2547e15f dex test dex jar_x000D_
07 30 13:06:25 580 31367 31405   I Tinker DexDiffPatchInternal: isExtractionSuccessful: true_x000D_
07 30 13:06:26 454 31367 31405   I Tinker PatchFileUtil: safeDeleteFile  try to delete path:  data user 0 trip english tinker patch 2547e15f dex classes7 dex jar_x000D_
07 30 13:06:26 459 31367 31405   I Tinker PatchFileUtil: safeDeleteFile  try to delete path:  data user 0 trip english tinker patch 2547e15f dex classes6 dex jar_x000D_
07 30 13:06:26 460 31367 31405   I Tinker PatchFileUtil: safeDeleteFile  try to delete path:  data user 0 trip english tinker patch 2547e15f dex classes3 dex jar_x000D_
07 30 13:06:26 462 31367 31405   I Tinker PatchFileUtil: safeDeleteFile  try to delete path:  data user 0 trip english tinker patch 2547e15f dex classes dex jar_x000D_
07 30 13:06:26 466 31367 31405   I Tinker PatchFileUtil: safeDeleteFile  try to delete path:  data user 0 trip english tinker patch 2547e15f dex classes5 dex jar_x000D_
07 30 13:06:26 467 31367 31405   I Tinker PatchFileUtil: safeDeleteFile  try to delete path:  data user 0 trip english tinker patch 2547e15f dex classes9 dex jar_x000D_
    safeDeleteFile  try to delete path:  data user 0 trip english tinker patch 2547e15f dex classes8 dex jar_x000D_
07 30 13:06:26 472 31367 31405   I Tinker PatchFileUtil: safeDeleteFile  try to delete path:  data user 0 trip english tinker patch 2547e15f dex test dex jar_x000D_
07 30 13:06:26 473 31367 31405   I Tinker PatchFileUtil: safeDeleteFile  try to delete path:  data user 0 trip english tinker patch 2547e15f dex classes4 dex jar_x000D_
07 30 13:06:26 475 31367 31405   I Tinker DexDiffPatchInternal: merge classN dex file  data user 0 trip english tinker patch 2547e15f dex tinker classN apk  result: true  size: 16334719  use: 894ms_x000D_
07 30 13:06:26 478 31367 31405   D Tinker TinkerInternals: getCurrentInstructionSet:arm_x000D_
07 30 13:06:26 478 31367 31405   I Tinker DexDiffPatchInternal: patch recover  try to optimize dex file count:1  optimizeDexDirectory: data user 0 trip english tinker patch 2547e15f odex _x000D_
07 30 13:06:26 480 31367 31405   I Tinker DexDiffPatchInternal: start to parallel optimize dex  data user 0 trip english tinker patch 2547e15f dex tinker classN apk  size: 16334719_x000D_
07 30 13:06:26 796 31453 31453   I dex2oat: Adjusted thread count (for internal dex): 4_x000D_
     system bin dex2oat   dex file  data data trip english tinker patch 2547e15f dex tinker classN apk   output vdex fd 64   oat fd 65   oat location  data data trip english tinker patch 2547e15f dex oat arm tinker classN odex   compiler filter quicken_x000D_
07 30 13:06:41 885 31453 31453   E dex2oat:  SS : apk not found at  data data trip english tinker patch 2547e15f dex _x000D_
07 30 13:06:41 961 31367 31405   I Tinker DexDiffPatchInternal: success to parallel optimize dex  data user 0 trip english tinker patch 2547e15f dex tinker classN apk  opt file: data user 0 trip english tinker patch 2547e15f dex oat arm tinker classN odex  opt file size: 4477352  use time 15480_x000D_
    recover dex result:true  cost:23429_x000D_
07 30 13:06:41 962 31367 31405   W Tinker BsDiffPatchInternal: patch recover  library is not contained_x000D_
07 30 13:06:41 966 31367 31405   I Tinker ResDiffPatchInternal: res dir:  data user 0 trip english tinker patch 2547e15f res   meta: resArscMd5:fa3950d2a2223aa6fa6333a2218a0861_x000D_
    arscBaseCrc:662175608_x000D_
    pattern:resources  arsc_x000D_
    pattern:res   _x000D_
    pattern:assets   _x000D_
    pattern:r   _x000D_
    addedSet:assets only use to test tinker resource txt_x000D_
    largeModifiedSet:resources arsc_x000D_
07 30 13:06:42 216 31367 31405   W Tinker ResDiffPatchInternal: success recover large modify file: data user 0 trip english tinker patch 2547e15f res res temp resources arsc  file size:4156716  use time:243_x000D_
    success recover all large modify and store resources use time:248_x000D_
07 30 13:06:45 245 31367 31405   I Tinker PatchFileUtil: safeDeleteFile  try to delete path:  data user 0 trip english tinker patch 2547e15f res res temp resources arsc_x000D_
07 30 13:06:45 249 31367 31405   I Tinker PatchFileUtil: safeDeleteFile  try to delete path:  data user 0 trip english tinker patch 2547e15f res res temp_x000D_
07 30 13:06:45 285 31367 31405   I Tinker ResDiffPatchInternal: final new resource file: data user 0 trip english tinker patch 2547e15f res resources apk  entry count:7774  size:30714332_x000D_
    recover resource result:true  cost:3322_x000D_
07 30 13:06:45 286 31367 31405   I Tinker DexDiffPatchInternal: raw dex count: 10  dex opt dex count: 1  final wait times: 120_x000D_
07 30 13:06:45 306 31367 31405   I Tinker DexDiffPatchInternal: check dex optimizer file exist:  data user 0 trip english tinker patch 2547e15f dex oat arm tinker classN odex  size 4477352_x000D_
07 30 13:06:45 308 31367 31405   I Tinker DexDiffPatchInternal: check dex optimizer file format: tinker classN odex  size 4477352_x000D_
07 30 13:06:45 319 31367 31405   I Tinker PatchInfo: rewritePatchInfoFile file path: data user 0 trip english tinker patch info   oldVer:  newVer:2547e15fa5ea21f39db7b4d109d1a17f  fingerprint:samsung dream2qltezc dream2qltechn:8 0 0 R16NW G9550ZCU2CRF2:user release keys  oatDir:odex_x000D_
07 30 13:06:45 322 31367 31405   W Tinker UpgradePatch: UpgradePatch tryPatch: done  it is ok_x000D_
07 30 13:06:45 322 31367 31405   I Tinker DefaultPatchReporter: patchReporter onPatchResult: patch all result path:  data user 0 trip english tinker temp temp apk  success: true  cost: 26817_x000D_
07 30 13:06:45 322 31367 31405   I Tinker PatchFileUtil: safeDeleteFile  try to delete path:  data user 0 trip english tinker temp temp apk_x000D_
07 30 13:06:45 341 31066 31496   I Tinker TinkerResultService: TinkerResultService receive result: _x000D_
    PatchResult: _x000D_
    isSuccess:true_x000D_
    rawPatchFilePath: data user 0 trip english tinker temp temp apk_x000D_
    costTime:26817_x000D_
    patchVersion:2547e15fa5ea21f39db7b4d109d1a17f_x000D_
07 30 13:06:45 345 31066 31496   I Tinker TinkerResultService: tinker wait screen to restart process_x000D_
07 30 13:07:15 875 31066 31066   I Tinker TinkerUtils: ScreenReceiver action  android intent action SCREEN OFF  _x000D_
07 30 13:07:15 875 31066 31066   I Tinker TinkerResultService: app is background now  i can kill quietly_x000D_
07 30 13:07:16 288 31691 31691   D Tinker TinkerInternals: getCurrentInstructionSet:arm_x000D_
07 30 13:07:16 289 31691 31691   W Tinker TinkerLoader: tryLoadPatchFiles:isEnabledForResource:true_x000D_
07 30 13:07:16 290 31691 31691   D Tinker TinkerInternals: same fingerprint:samsung dream2qltezc dream2qltechn:8 0 0 R16NW G9550ZCU2CRF2:user release keys_x000D_
07 30 13:07:16 291 31691 31691   I Tinker PatchInfo: rewritePatchInfoFile file path: data user 0 trip english tinker patch info   oldVer:2547e15fa5ea21f39db7b4d109d1a17f  newVer:2547e15fa5ea21f39db7b4d109d1a17f  fingerprint:samsung dream2qltezc dream2qltechn:8 0 0 R16NW G9550ZCU2CRF2:user release keys  oatDir:odex_x000D_
07 30 13:07:16 294 31691 31691   W Tinker TinkerLoader: tinker safe mode preferName:tinker own config trip english count:1_x000D_
07 30 13:07:16 301 31691 31691   I Tinker TinkerDexLoader: classloader: dalvik system PathClassLoader DexPathList  zip file   data app trip english ACbwXt kz 0Yd2VczuIb0w   base apk   nativeLibraryDirectories   data app trip english ACbwXt kz 0Yd2VczuIb0w   lib arm   data app trip english ACbwXt kz 0Yd2VczuIb0w   base apk  lib armeabi   system lib   system vendor lib   _x000D_
    verify dex file: data user 0 trip english tinker patch 2547e15f dex tinker classN apk md5  use time: 0_x000D_
07 30 13:07:16 301 31691 31691   I Tinker ClassLoaderAdder: installDexes dexOptDir:  data user 0 trip english tinker patch 2547e15f odex  dex size:1_x000D_
07 30 13:07:16 332 31691 31691   I zygote: Failed to add image file Failed to flatten class loader hierarchy  Unknown class loader type com tencent tinker loader AndroidNClassLoader _x000D_
07 30 13:07:16 392 31691 31691   I Tinker ClassLoaderAdder: after loaded classloader: com tencent tinker loader AndroidNClassLoader DexPathList  zip file   data user 0 trip english tinker patch 2547e15f dex tinker classN apk   zip file   data app trip english ACbwXt kz 0Yd2VczuIb0w   base apk   nativeLibraryDirectories   data app trip english ACbwXt kz 0Yd2VczuIb0w   lib arm   data app trip english ACbwXt kz 0Yd2VczuIb0w   base apk  lib armeabi   system lib   system vendor lib     dex size:1_x000D_
07 30 13:07:16 398 31691 31691   W Tinker ClassLoaderAdder: checkDexInstall result:true_x000D_
07 30 13:07:16 407 31691 31691   W Tinker ResourcePatcher: try to clear typedArray cache _x000D_
07 30 13:07:16 408 31691 31691   I Tinker ResourcePatcher: checkResUpdate success  found test resource assets file only use to test tinker resource txt_x000D_
07 30 13:07:16 408 31691 31691   I Tinker ResourceLoader: monkeyPatchExistingResources resource file: data user 0 trip english tinker patch 2547e15f res resources apk  use time: 10_x000D_
07 30 13:07:16 408 31691 31691   I Tinker IncrementCompMgr: package has no incremental component meta  skip init _x000D_
07 30 13:07:16 409 31691 31691   I Tinker TinkerLoader: tryLoadPatchFiles: load end  ok _x000D_
07 30 13:07:16 423 31691 31691   E AndroidRuntime: FATAL EXCEPTION: main_x000D_
    Process: trip english  PID: 31691_x000D_
    java lang RuntimeException: Unable to instantiate application trip english CTApplication: com tencent tinker loader TinkerRuntimeException: Tinker Exception:createDelegate failed_x000D_
        at android app LoadedApk makeApplication(LoadedApk java:979)_x000D_
        at android app ActivityThread handleBindApplication(ActivityThread java:6030)_x000D_
        at android app ActivityThread  wrap1(Unknown Source:0)_x000D_
        at android app ActivityThread H handleMessage(ActivityThread java:1764)_x000D_
        at android os Handler dispatchMessage(Handler java:105)_x000D_
        at android os Looper loop(Looper java:164)_x000D_
        at android app ActivityThread main(ActivityThread java:6938)_x000D_
        at java lang reflect Method invoke(Native Method)_x000D_
        at com android internal os Zygote MethodAndArgsCaller run(Zygote java:327)_x000D_
        at com android internal os ZygoteInit main(ZygoteInit java:1374)_x000D_
     Caused by: com tencent tinker loader TinkerRuntimeException: Tinker Exception:createDelegate failed_x000D_
        at com tencent tinker loader app TinkerApplication createDelegate(SourceFile:114)_x000D_
        at com tencent tinker loader app TinkerApplication ensureDelegate(SourceFile:120)_x000D_
        at com tencent tinker loader app TinkerApplication onBaseContextAttached(SourceFile:133)_x000D_
        at com tencent tinker loader app TinkerApplication attachBaseContext(SourceFile:148)_x000D_
        at android app Application attach(Application java:213)_x000D_
        at android app Instrumentation newApplication(Instrumentation java:1109)_x000D_
        at android app Instrumentation newApplication(Instrumentation java:1093)_x000D_
        at android app LoadedApk makeApplication(LoadedApk java:973)_x000D_
        at android app ActivityThread handleBindApplication(ActivityThread java:6030) _x000D_
        at android app ActivityThread  wrap1(Unknown Source:0) _x000D_
        at android app ActivityThread H handleMessage(ActivityThread java:1764) _x000D_
        at android os Handler dispatchMessage(Handler java:105) _x000D_
        at android os Looper loop(Looper java:164) _x000D_
        at android app ActivityThread main(ActivityThread java:6938) _x000D_
        at java lang reflect Method invoke(Native Method) _x000D_
        at com android internal os Zygote MethodAndArgsCaller run(Zygote java:327) _x000D_
        at com android internal os ZygoteInit main(ZygoteInit java:1374) _x000D_
     Caused by: java lang ClassCastException: trip english TinkerAppLike cannot be cast to com tencent tinker loader app ApplicationLike_x000D_
        at com tencent tinker loader app TinkerApplication createDelegate(SourceFile:111)_x000D_
        at com tencent tinker loader app TinkerApplication ensureDelegate(SourceFile:120) _x000D_
        at com tencent tinker loader app TinkerApplication onBaseContextAttached(SourceFile:133) _x000D_
        at com tencent tinker loader app TinkerApplication attachBaseContext(SourceFile:148) _x000D_
        at android app Application attach(Application java:213) _x000D_
        at android app Instrumentation newApplication(Instrumentation java:1109) _x000D_
        at android app Instrumentation newApplication(Instrumentation java:1093) _x000D_
        at android app LoadedApk makeApplication(LoadedApk java:973) _x000D_
        at android app ActivityThread handleBindApplication(ActivityThread java:6030) _x000D_
        at android app ActivityThread  wrap1(Unknown Source:0) _x000D_
        at android app ActivityThread H handleMessage(ActivityThread java:1764) _x000D_
        at android os Handler dispatchMessage(Handler java:105) _x000D_
        at android os Looper loop(Looper java:164) _x000D_
        at android app ActivityThread main(ActivityThread java:6938) _x000D_
        at java lang reflect Method invoke(Native Method) _x000D_
        at com android internal os Zygote MethodAndArgsCaller run(Zygote java:327) _x000D_
        at com android internal os ZygoteInit main(ZygoteInit java:1374) _x000D_
07 30 13:07:16 423 31691 31691   E Tinker UncaughtHandler: TinkerUncaughtHandler catch exception:java lang RuntimeException: Unable to instantiate application trip english CTApplication: com tencent tinker loader TinkerRuntimeException: Tinker Exception:createDelegate failed_x000D_
        at android app LoadedApk makeApplication(LoadedApk java:979)_x000D_
        at android app ActivityThread handleBindApplication(ActivityThread java:6030)_x000D_
        at android app ActivityThread  wrap1(Unknown Source:0)_x000D_
        at android app ActivityThread H handleMessage(ActivityThread java:1764)_x000D_
        at android os Handler dispatchMessage(Handler java:105)_x000D_
        at android os Looper loop(Looper java:164)_x000D_
        at android app ActivityThread main(ActivityThread java:6938)_x000D_
        at java lang reflect Method invoke(Native Method)_x000D_
        at com android internal os Zygote MethodAndArgsCaller run(Zygote java:327)_x000D_
        at com android internal os ZygoteInit main(ZygoteInit java:1374)_x000D_
     Caused by: com tencent tinker loader TinkerRuntimeException: Tinker Exception:createDelegate failed_x000D_
        at com tencent tinker loader app TinkerApplication createDelegate(SourceFile:114)_x000D_
        at com tencent tinker loader app TinkerApplication ensureDelegate(SourceFile:120)_x000D_
        at com tencent tinker loader app TinkerApplication onBaseContextAttached(SourceFile:133)_x000D_
        at com tencent tinker loader app TinkerApplication attachBaseContext(SourceFile:148)_x000D_
        at android app Application attach(Application java:213)_x000D_
        at android app Instrumentation newApplication(Instrumentation java:1109)_x000D_
        at android app Instrumentation newApplication(Instrumentation java:1093)_x000D_
        at android app LoadedApk makeApplication(LoadedApk java:973)_x000D_
        at android app ActivityThread handleBindApplication(ActivityThread java:6030) _x000D_
        at android app ActivityThread  wrap1(Unknown Source:0) _x000D_
        at android app ActivityThread H handleMessage(ActivityThread java:1764) _x000D_
        at android os Handler dispatchMessage(Handler java:105) _x000D_
        at android os Looper loop(Looper java:164) _x000D_
        at android app ActivityThread main(ActivityThread java:6938) _x000D_
        at java lang reflect Method invoke(Native Method) _x000D_
        at com android internal os Zygote MethodAndArgsCaller run(Zygote java:327) _x000D_
        at com android internal os ZygoteInit main(ZygoteInit java:1374) _x000D_
     Caused by: java lang ClassCastException: trip english TinkerAppLike cannot be cast to com tencent tinker loader app ApplicationLike_x000D_
        at com tencent tinker loader app TinkerApplication createDelegate(SourceFile:111)_x000D_
        at com tencent tinker loader app TinkerApplication ensureDelegate(SourceFile:120) _x000D_
        at com tencent tinker loader app TinkerApplication onBaseContextAttached(SourceFile:133) _x000D_
        at com tencent tinker loader app TinkerApplication attachBaseContext(SourceFile:148) _x000D_
        at android app Application attach(Application java:213) _x000D_
        at android app Instrumentation newApplication(Instrumentation java:1109) _x000D_
        at android app Instrumentation newApplication(Instrumentation java:1093) _x000D_
        at android app LoadedApk makeApplication(LoadedApk java:973) _x000D_
        at android app ActivityThread handleBindApplication(ActivityThread java:6030) _x000D_
        at android app ActivityThread  wrap1(Unknown Source:0) _x000D_
        at android app ActivityThread H handleMessage(ActivityThread java:1764) _x000D_
        at android os Handler dispatchMessage(Handler java:105) _x000D_
        at android os Looper loop(Looper java:164) _x000D_
        at android app ActivityThread main(ActivityThread java:6938) _x000D_
        at java lang reflect Method invoke(Native Method) _x000D_
        at com android internal os Zygote MethodAndArgsCaller run(Zygote java:327) _x000D_
        at com android internal os ZygoteInit main(ZygoteInit java:1374) _x000D_
</t>
  </si>
  <si>
    <t>Haptic-Apps-Slide-2821</t>
  </si>
  <si>
    <t>Viewing text posts crashes app</t>
  </si>
  <si>
    <t>Slide version: 5 8 7_x000D_
Android version: 8 1 (Los)_x000D_
When I enter a text post the app crashes  I captured a log of the event for you _x000D_
https:  pastebin com n3wLpTCN_x000D_
I have tried restarting the app and my phone  it was working fine this morning and my phone has not updated since then (updates arent automatic on my ROM)</t>
  </si>
  <si>
    <t>eurofurence-ef-app_android-191</t>
  </si>
  <si>
    <t>Using the app in split screen mode crashes</t>
  </si>
  <si>
    <t xml:space="preserve">When moving the app to a split screen part  the app crashes fatally </t>
  </si>
  <si>
    <t>eurofurence-ef-app_android-190</t>
  </si>
  <si>
    <t>Fragments sometimes get a null context</t>
  </si>
  <si>
    <t xml:space="preserve">In some cases  i e  after a having the app suspended for longer times  opening the app again causes the app to crash with a null pointer exception in fragment create view _x000D_
A possible solution might be in  this thread (https:  stackoverflow com questions 47987649 why getcontext in fragment sometimes returns null) </t>
  </si>
  <si>
    <t>MozillaReality-FirefoxReality-273</t>
  </si>
  <si>
    <t>Crash on veer.tv site</t>
  </si>
  <si>
    <t xml:space="preserve">Hardware: Go_x000D_
Steps to Reproduce:_x000D_
1) Go to veer tv_x000D_
2) select a video and play_x000D_
3) press the arrow button at the top left of the video window_x000D_
Actual Behavior: FxR crashes_x000D_
Expected Behavior: FxR goes back previous page where the video was selected_x000D_
Recommendation: This only happens on the Go  The crash looks like it could be a release assert in Gecko:_x000D_
_x000D_
07 27 16:33:17 942  4141  4161 F libc    : Fatal signal 11 (SIGSEGV)  code 1  fault addr 0x0 in tid 4161 (Gecko)_x000D_
_x000D_
But there is no stack trace  Attempting to run in the debugger also fails due to the false crash every time a controller button is pressed on the Go </t>
  </si>
  <si>
    <t>hzi-braunschweig-SORMAS-Project-714</t>
  </si>
  <si>
    <t>Report problem does not work. SORMAS app crashes</t>
  </si>
  <si>
    <t xml:space="preserve"> MateStrysewskeSym  MartinWahnschaffeSymeda  Chinedar  foyiri _x000D_
When you try to report a problem  it does not respond after clicking submit and SORMAS crashes _x000D_
  image (https:  user images githubusercontent com 19344651 43317358 ce86f880 919c 11e8 8c0d f0b95206c90a png)_x000D_
</t>
  </si>
  <si>
    <t>commons-app-apps-android-commons-1750</t>
  </si>
  <si>
    <t>App crashes when an upload is retried</t>
  </si>
  <si>
    <t xml:space="preserve">  Summary:   _x000D_
_x000D_
I just opened my emulator and saw that there was a failed upload  I clicked on retry button and the app crashes  _x000D_
_x000D_
  Add System logs:  _x000D_
_x000D_
   _x000D_
2018 07 26 23:58:32 275 3004 3004 fr free nrw commons debug D ContributionsActivity: Restarting for fr free nrw commons contributions Contribution 3c770c_x000D_
    _x000D_
              beginning of system_x000D_
2018 07 26 23:58:32 276 3004 3028 fr free nrw commons debug E AndroidRuntime: FATAL EXCEPTION: UploadService_x000D_
    Process: fr free nrw commons debug  PID: 3004_x000D_
    java lang SecurityException: Permission Denial: opening provider com android providers media MediaDocumentsProvider from ProcessRecord c92d88d 3004:fr free nrw commons debug u0a126  (pid 3004  uid 10126) requires android permission MANAGE DOCUMENTS or android permission MANAGE DOCUMENTS_x000D_
        at android os Parcel readException(Parcel java:1684)_x000D_
        at android os Parcel readException(Parcel java:1637)_x000D_
        at android app ActivityManagerProxy getContentProvider(ActivityManagerNative java:4199)_x000D_
        at android app ActivityThread acquireProvider(ActivityThread java:5476)_x000D_
        at android app ContextImpl ApplicationContentResolver acquireUnstableProvider(ContextImpl java:2239)_x000D_
        at android content ContentResolver acquireUnstableProvider(ContentResolver java:1517)_x000D_
        at android content ContentResolver openTypedAssetFileDescriptor(ContentResolver java:1131)_x000D_
        at android content ContentResolver openAssetFileDescriptor(ContentResolver java:984)_x000D_
        at android content ContentResolver openInputStream(ContentResolver java:704)_x000D_
        at fr free nrw commons upload UploadService uploadContribution(UploadService java:196)_x000D_
        at fr free nrw commons upload UploadService handle(UploadService java:138)_x000D_
        at fr free nrw commons upload UploadService handle(UploadService java:48)_x000D_
        at fr free nrw commons HandlerService ServiceHandler handleMessage(HandlerService java:26)_x000D_
        at android os Handler dispatchMessage(Handler java:102)_x000D_
        at android os Looper loop(Looper java:154)_x000D_
        at android os HandlerThread run(HandlerThread java:61)_x000D_
   _x000D_
 _x000D_
   Commons app version:   _x000D_
_x000D_
branch 2 8 release</t>
  </si>
  <si>
    <t>MozillaReality-FirefoxReality-263</t>
  </si>
  <si>
    <t>Immersive Mode Appears to Crash Upon Entry when viewing WebVR Content</t>
  </si>
  <si>
    <t xml:space="preserve">Hardware: Oculus Go_x000D_
Steps to Reproduce:_x000D_
_x000D_
Here are the WebVR experiences that I tried and that didn t work  It s Task Definition Z8XVVBuASjevbCz3V77siQ and was pulled down and onto the Go at around 10:30 am this morning  All of these apps loaded their browser version and then when immersive mode is selected the device freezes and is unresponsive until it s restarted Song Exploder Presents: Inside Music (Audio works but nothing else)_x000D_
Virtual Art Sessions in VR_x000D_
Sketchfab Virtual Reality_x000D_
WebVR LabI checked out  Check out My Moves on aframe io a saturday night  and it entered 360  and worked (tracking my head) but there was no interactivity and it seems as thought the text is mis aligned in the game engine  _x000D_
_x000D_
_x000D_
Actual Behavior: All of these apps loaded their browser version and then when immersive mode is selected the device freezes and is unresponsive until it s restarted _x000D_
Expected Behavior: Does not crash _x000D_
Recommendation: investigate and Fix  :)_x000D_
</t>
  </si>
  <si>
    <t>Devsoc-BPGC-DoJMA-137</t>
  </si>
  <si>
    <t>share button crash</t>
  </si>
  <si>
    <t>share button for articles under Issues fragment crashes app</t>
  </si>
  <si>
    <t>commons-app-apps-android-commons-1747</t>
  </si>
  <si>
    <t>Attempt to invoke virtual method 'void android.view.View.setVisibility(int)' on a null object reference</t>
  </si>
  <si>
    <t xml:space="preserve">Crash in current master:_x000D_
   _x000D_
07 26 22:47:58 194   789   803 W BroadcastQueue: Permission Denial: receiving Intent   act com android launcher3 action LAUNCH flg 0x10 (has extras)   to com google android gms  chimera GmsIntentOperationService GmsExternalReceiver requires com android _x000D_
launcher3 permission RECEIVE LAUNCH BROADCASTS due to sender com cyanogenmod trebuchet (uid 10028)                                                                                                                                                           _x000D_
07 26 22:47:58 226 26844 26844 I AppCompatViewInflater: app:theme is now deprecated  Please move to using android:theme instead                                                                                                                              _x000D_
07 26 22:47:58 492   931   931 I GoogleInputMethod: onFinishInput() : Dummy InputConnection bound                                                                                                                                                            _x000D_
07 26 22:47:58 493   789   810 I ActivityManager: Displayed fr free nrw commons debug fr free nrw commons explore SearchActivity:  311ms                                                                                                                     _x000D_
07 26 22:47:58 493   931   931 I ShortcutsDataManager: startImportContentTask()                                                                                                                                                                              _x000D_
07 26 22:47:58 493   931   931 I ShortcutsDataManager: onImportAborted()                                                                                                                                                                                     _x000D_
07 26 22:47:58 514   931   931 I EmptyEmojiDataEx: onActivate()                                                                                                                                                                                              _x000D_
07 26 22:47:58 525   931   931 I EmptyEmojiDataEx: onDeactivate()                                                                                                                                                                                            _x000D_
07 26 22:47:58 526   931   931 I ShortcutsDataManager: startImportContentTask()                                                                                                                                                                              _x000D_
07 26 22:47:58 526   931   931 I ShortcutsDataManager: onImportAborted()                                                                                                                                                                                     _x000D_
07 26 22:47:58 537   931   931 I EmptyEmojiDataEx: onActivate()                                                                                                                                                                                              _x000D_
07 26 22:47:58 849 26844 26844 W System err: io reactivex exceptions OnErrorNotImplementedException: Attempt to invoke virtual method  void android view View setVisibility(int)  on a null object reference                                                 _x000D_
07 26 22:47:58 849 26844 26844 W System err:    at io reactivex internal functions Functions OnErrorMissingConsumer accept(Functions java:704)                                                                                                               _x000D_
07 26 22:47:58 849 26844 26844 W System err:    at io reactivex internal functions Functions OnErrorMissingConsumer accept(Functions java:701)                                                                                                               _x000D_
07 26 22:47:58 849 26844 26844 W System err:    at io reactivex internal observers LambdaObserver onError(LambdaObserver java:74)                                                                                                                            _x000D_
07 26 22:47:58 849 26844 26844 W System err:    at io reactivex internal observers LambdaObserver onNext(LambdaObserver java:64)                                                                                                                             _x000D_
07 26 22:47:58 849 26844 26844 W System err:    at io reactivex internal operators observable ObservableObserveOn ObserveOnObserver drainNormal(ObservableObserveOn java:200)                                                                                _x000D_
07 26 22:47:58 849 26844 26844 W System err:    at io reactivex internal operators observable ObservableObserveOn ObserveOnObserver run(ObservableObserveOn java:252)                                                                                        _x000D_
07 26 22:47:58 850 26844 26844 W System err:    at io reactivex android schedulers HandlerScheduler ScheduledRunnable run(HandlerScheduler java:109)                                                                                                         _x000D_
07 26 22:47:58 850 26844 26844 W System err:    at android os Handler handleCallback(Handler java:751)                                                                                                                                                       _x000D_
07 26 22:47:58 850 26844 26844 W System err:    at android os Handler dispatchMessage(Handler java:95)                                                                                                                                                       _x000D_
07 26 22:47:58 850 26844 26844 W System err:    at android os Looper loop(Looper java:154)                                                                                                                                                                   _x000D_
07 26 22:47:58 850 26844 26844 W System err:    at android app ActivityThread main(ActivityThread java:6186)                                                                                                                                                 _x000D_
07 26 22:47:58 850 26844 26844 W System err:    at java lang reflect Method invoke(Native Method)                                                                                                                                                            _x000D_
07 26 22:47:58 850 26844 26844 W System err:    at com android internal os ZygoteInit MethodAndArgsCaller run(ZygoteInit java:889)                                                                                                                           _x000D_
07 26 22:47:58 850 26844 26844 W System err:    at com android internal os ZygoteInit main(ZygoteInit java:779)                                                                                                                                              _x000D_
07 26 22:47:58 854 26844 26844 W System err: Caused by: java lang NullPointerException: Attempt to invoke virtual method  void android view View setVisibility(int)  on a null object reference                                                              _x000D_
07 26 22:47:58 854 26844 26844 W System err:    at fr free nrw commons explore images SearchImageFragment updateImageList(SearchImageFragment java:124)                                                                                                      _x000D_
07 26 22:47:58 855 26844 26844 W System err:    at fr free nrw commons explore SearchActivity lambda setTabs 1 SearchActivity(SearchActivity java:111)                                                                                                       _x000D_
07 26 22:47:58 855 26844 26844 W System err:    at fr free nrw commons explore SearchActivity  Lambda 1 accept(Unknown Source)                                                                                                                               _x000D_
07 26 22:47:58 855 26844 26844 W System err:    at io reactivex internal observers LambdaObserver onNext(LambdaObserver java:60)                                                                                                                             _x000D_
07 26 22:47:58 855 26844 26844 W System err:        10 more                                                                                                                                                                                                  _x000D_
          beginning of crash                                                                                                                                                                    _x000D_
07 26 22:47:58 858 26844 26844 E AndroidRuntime: FATAL EXCEPTION: main                                                                         _x000D_
07 26 22:47:58 858 26844 26844 E AndroidRuntime: Process: fr free nrw commons debug  PID: 26844                                                                                                      _x000D_
07 26 22:47:58 858 26844 26844 E AndroidRuntime: io reactivex exceptions OnErrorNotImplementedException: Attempt to invoke virtual method  void android view View setVisibility(int)  on a null object reference_x000D_
07 26 22:47:58 858 26844 26844 E AndroidRuntime:        at io reactivex internal functions Functions OnErrorMissingConsumer accept(Functions java:704)                  _x000D_
07 26 22:47:58 858 26844 26844 E AndroidRuntime:        at io reactivex internal functions Functions OnErrorMissingConsumer accept(Functions java:701)                                                 _x000D_
07 26 22:47:58 858 26844 26844 E AndroidRuntime:        at io reactivex internal observers LambdaObserver onError(LambdaObserver java:74)_x000D_
07 26 22:47:58 858 26844 26844 E AndroidRuntime:        at io reactivex internal observers LambdaObserver onNext(LambdaObserver java:64)    _x000D_
07 26 22:47:58 858 26844 26844 E AndroidRuntime:        at io reactivex internal operators observable ObservableObserveOn ObserveOnObserver drainNormal(ObservableObserveOn java:200)_x000D_
07 26 22:47:58 858 26844 26844 E AndroidRuntime:        at io reactivex internal operators observable ObservableObserveOn ObserveOnObserver run(ObservableObserveOn java:252)_x000D_
07 26 22:47:58 858 26844 26844 E AndroidRuntime:        at io reactivex android schedulers HandlerScheduler ScheduledRunnable run(HandlerScheduler java:109)                                                                           _x000D_
07 26 22:47:58 858 26844 26844 E AndroidRuntime:        at android os Handler handleCallback(Handler java:751)                                                                                                             _x000D_
07 26 22:47:58 858 26844 26844 E AndroidRuntime:        at android os Handler dispatchMessage(Handler java:95)                                                                                                                 _x000D_
07 26 22:47:58 858 26844 26844 E AndroidRuntime:        at android os Looper loop(Looper java:154)_x000D_
07 26 22:47:58 858 26844 26844 E AndroidRuntime:        at android app ActivityThread main(ActivityThread java:6186)                                                                        _x000D_
07 26 22:47:58 858 26844 26844 E AndroidRuntime:        at java lang reflect Method invoke(Native Method)_x000D_
07 26 22:47:58 858 26844 26844 E AndroidRuntime:        at com android internal os ZygoteInit MethodAndArgsCaller run(ZygoteInit java:889)                                                        _x000D_
07 26 22:47:58 858 26844 26844 E AndroidRuntime:        at com android internal os ZygoteInit main(ZygoteInit java:779)                _x000D_
07 26 22:47:58 858 26844 26844 E AndroidRuntime: Caused by: java lang NullPointerException: Attempt to invoke virtual method  void android view View setVisibility(int)  on a null object reference _x000D_
07 26 22:47:58 858 26844 26844 E AndroidRuntime:        at fr free nrw commons explore images SearchImageFragment updateImageList(SearchImageFragment java:124)_x000D_
07 26 22:47:58 858 26844 26844 E AndroidRuntime:        at fr free nrw commons explore SearchActivity lambda setTabs 1 SearchActivity(SearchActivity java:111)_x000D_
07 26 22:47:58 858 26844 26844 E AndroidRuntime:        at fr free nrw commons explore SearchActivity  Lambda 1 accept(Unknown Source)                _x000D_
07 26 22:47:58 858 26844 26844 E AndroidRuntime:        at io reactivex internal observers LambdaObserver onNext(LambdaObserver java:60)_x000D_
07 26 22:47:58 858 26844 26844 E AndroidRuntime:            10 more                                                                                                                                                                     _x000D_
07 26 22:47:58 895   789 27994 W ActivityManager:   Force finishing activity fr free nrw commons debug fr free nrw commons explore SearchActivity                                 _x000D_
07 26 22:47:59 032   789 10621 I OpenGLRenderer: Initialized EGL  version 1 4                                                                                                                                         _x000D_
07 26 22:47:59 032   789 10621 D OpenGLRenderer: Swap behavior 1                                                                                                                                       _x000D_
07 26 22:47:59 399   789   803 W ActivityManager: Activity pause timeout for ActivityRecord 42b383e u0 fr free nrw commons debug fr free nrw commons explore SearchActivity t11866 f   _x000D_
   </t>
  </si>
  <si>
    <t>syncthing-syncthing-android-1197</t>
  </si>
  <si>
    <t>Fix ANR probability when user configures run conditions (fixes #1196)</t>
  </si>
  <si>
    <t xml:space="preserve">Purpose_x000D_
There is an ANR problem already on my bugs to fix todo list  The ANR happens when you stress test the run conditions UI and change the checkboxes too quickly one after another  Since we ve synchronized stuff to wipe out race crashes  the ANR is more suspect to happen  GPlay console proves this by a slightly higher ANR rate since app version 0 10 11 _x000D_
_x000D_
Related issue:  1196 _x000D_
Maybe related to issue:  1193  Run conditions disregarded _x000D_
_x000D_
Testing_x000D_
Verified working on device lg h815 running Android 7 1 2 at commit https:  github com syncthing syncthing android pull 1197 commits 28f2da26dabdf5d834b6796aa0dd9622b3b8197e   </t>
  </si>
  <si>
    <t>syncthing-syncthing-android-1196</t>
  </si>
  <si>
    <t>ANR probability during run conditions UI stress test</t>
  </si>
  <si>
    <t xml:space="preserve">There is an ANR problem already on my bugs to fix todo list  The ANR happens when you stress test the run conditions UI and change the checkboxes too quickly one after another  Since we ve synchronized stuff to wipe out race crashes  the ANR is more suspect to happen  GPlay console proves this by a slightly higher ANR rate since app version 0 10 11 _x000D_
_x000D_
Maybe related to issue:  1193  Run conditions disregarded _x000D_
_x000D_
    Version Information_x000D_
    App Version: 0 10 12  0 10 11_x000D_
    Syncthing Version: v0 14 49_x000D_
    Android Version: Android 7 1 2_x000D_
</t>
  </si>
  <si>
    <t>MozillaReality-FirefoxReality-260</t>
  </si>
  <si>
    <t>PlayCanvas WebVR based demos crash</t>
  </si>
  <si>
    <t xml:space="preserve">Hardware: All_x000D_
Steps to Reproduce: Got to https:  developer playcanvas com en tutorials webvr lab  and try to EnterVR_x000D_
Actual Behavior: Crash_x000D_
Expected Behavior: run the WebVR experience_x000D_
Recommendation: Research why is it crashing_x000D_
</t>
  </si>
  <si>
    <t>getodk-collect-2412</t>
  </si>
  <si>
    <t>Forms table already exists in onCreate call</t>
  </si>
  <si>
    <t xml:space="preserve"> From Crashlytics (https:  console firebase google com u 0 project api project 322300403941 crashlytics app android:org odk collect android issues 5b51d4d16007d59fcd29f274 time last seven days sessionId 5B58B447017800015B1E64F64BB80554 DNE 0 v2) (requires auth):_x000D_
   _x000D_
Caused by android database sqlite SQLiteException_x000D_
table forms already exists (code 1)                                                                   Error Code : 1 (SQLITE ERROR) Caused By : SQL(query) error or missing database  (table forms already exists (code 1))                                                                  _x000D_
android database sqlite SQLiteConnection nativeExecuteForChangedRowCount (SQLiteConnection java)_x000D_
android database sqlite SQLiteDatabase execSQL (SQLiteDatabase java:2000)_x000D_
org odk collect android database helpers FormsDatabaseHelper createFormsTable (FormsDatabaseHelper java:299)_x000D_
org odk collect android database helpers FormsDatabaseHelper onCreate (FormsDatabaseHelper java:66)_x000D_
android database sqlite SQLiteOpenHelper getDatabaseLocked (SQLiteOpenHelper java:251)_x000D_
android database sqlite SQLiteOpenHelper getReadableDatabase (SQLiteOpenHelper java:187)_x000D_
org odk collect android provider FormsProvider query (FormsProvider java:115)_x000D_
android content ContentProvider query (ContentProvider java:1028)_x000D_
android content ContentResolver query (ContentResolver java:478)_x000D_
org odk collect android dao FormsDao getFormsCursor (FormsDao java:47)_x000D_
org odk collect android dao FormsDao getFormsCursor (FormsDao java:39)_x000D_
org odk collect android tasks DiskSyncTask doInBackground (DiskSyncTask java:94)_x000D_
org odk collect android tasks DiskSyncTask doInBackground (DiskSyncTask java:46)_x000D_
android os AsyncTask 2 call (AsyncTask java:304)_x000D_
java lang Thread run (Thread java:762)_x000D_
   _x000D_
_x000D_
How is  onCreate  called if the forms table and therefore the database already exist  _x000D_
_x000D_
Could it be some kind of concurrency issue where two different processes end up calling  onCreate  </t>
  </si>
  <si>
    <t>eurofurence-ef-app_android-160</t>
  </si>
  <si>
    <t>Upon first start, load image assets synchronously (or wait for them).</t>
  </si>
  <si>
    <t xml:space="preserve">When the app is launched for the first time  images are loaded in background while the user is already on the home screen _x000D_
_x000D_
Navigating to  maps  or  dealers  while the async loading is still going on crashes the app _x000D_
_x000D_
   Please load the images synchronously  aka  make the UI wait properly </t>
  </si>
  <si>
    <t>abrenoch-hyperion-android-grabber-88</t>
  </si>
  <si>
    <t>buildNotification with intent null on android tv</t>
  </si>
  <si>
    <t xml:space="preserve">https:  github com abrenoch hyperion android grabber blob 978a84f1925a9706a4eae883df2f1055142298eb common src main java com abrenoch hyperiongrabber common HyperionNotification java L59_x000D_
_x000D_
crash on  android tv emulator Oreo 8 0 and Mi Box 3 Oreo 8 0 when call   intent migrateExtraStreamToClipData() _x000D_
PendingItent java line 340 _x000D_
_x000D_
I don t set  setContentIntent  for the builder when isTv_x000D_
 UiModeManager uiModeManager   (UiModeManager) mContext getSystemService(UI MODE SERVICE) _x000D_
        if (uiModeManager getCurrentModeType()    Configuration UI MODE TYPE TELEVISION)  _x000D_
            isTv   true _x000D_
          _x000D_
</t>
  </si>
  <si>
    <t>novoda-download-manager-421</t>
  </si>
  <si>
    <t>Update to Queued before persisting, to remove UNKNOWN status</t>
  </si>
  <si>
    <t xml:space="preserve">   Problem_x000D_
We are seeing crashes on client devices where  DownloadsFilePersistence getFileStatusFrom  cannot convert  DownloadBatchStatus Status UNKNOWN  to an equivalent  FileStatus   This is fine  we don t want to convert an  UNKNOWN  to anything because this would be an error really for a file  _x000D_
_x000D_
After looking some more the  UNKNOWN  is used in a single place  the  DownloadBatchFactory   to create a  DownloadBatch  before passing it to the  download manager   This implies that the  UNKNOWN  is just used as an initial state before it is inserted into the DB  Looking at  LiteDownloadManagerDownloader  this is the case  the  DownloadBatch  is persisted and then the status is immediately updated  _x000D_
_x000D_
   Solution_x000D_
Switch the update and persist so that we always update to  QUEUED  if necessary before persisting into the database  Persisting after the update means we will never read an  UNKNOWN  from the DB which means we will never hit this error  </t>
  </si>
  <si>
    <t>react-native-camera-react-native-camera-1708</t>
  </si>
  <si>
    <t>takePictureAsync leads to a crash on android 21/22</t>
  </si>
  <si>
    <t xml:space="preserve">    Which implementation are you using_x000D_
RNCamera_x000D_
_x000D_
    Steps to reproduce_x000D_
1  Open a simulator with Lollipop (android 5 1 1 for instance)_x000D_
2  Open the Camera_x000D_
3  Take the picture_x000D_
_x000D_
    Expected behaviour_x000D_
Should not crash_x000D_
_x000D_
    Actual behaviour_x000D_
Crash_x000D_
_x000D_
    Environment_x000D_
    React version  :  16 4 1_x000D_
    React Native version  : 0 56 0_x000D_
    React Native platform   platform version  : Android 5 1 1_x000D_
_x000D_
    react native camera_x000D_
  Version  :  1 1 4    master_x000D_
_x000D_
Here is the code we are using  Basicaly it s working perfectly on the newest version of Android IOS  but on android Lollipop (v21 22) everytime  takePictureAsync  is called  we have a crash (both on simulator and on physical device)_x000D_
   _x000D_
takePicture   async ()   _x000D_
 _x000D_
	if ( this camera)_x000D_
		return _x000D_
_x000D_
	const	options    width: 1080  base64: false  quality: 1  _x000D_
	const	data   await this camera takePictureAsync(options)    CRASH HERE_x000D_
	  DO STUFF_x000D_
 _x000D_
_x000D_
render   ()   _x000D_
 _x000D_
	return (_x000D_
		 RNCamera_x000D_
			key   CAMERA  _x000D_
			ref  ref    this camera   ref _x000D_
			style  cameraStyle _x000D_
			mirrorImage  this state cameraType      front     _x000D_
	) _x000D_
 _x000D_
   _x000D_
_x000D_
  screenshot 1532515081 (https:  user images githubusercontent com 9974362 43196239 9c7e421c 9007 11e8 824d a49ff1e20205 png)_x000D_
   _x000D_
07 25 10:37:58 801 6746 11210 com shokimap E unknown:ReactNative: Exception in native call_x000D_
    java lang NullPointerException: Attempt to invoke virtual method  double java lang Double doubleValue()  on a null object reference_x000D_
        at com facebook react bridge ReadableNativeArray getDouble(ReadableNativeArray java:114)_x000D_
        at com facebook react bridge JavaMethodWrapper 4 extractArgument(JavaMethodWrapper java:64)_x000D_
        at com facebook react bridge JavaMethodWrapper 4 extractArgument(JavaMethodWrapper java:60)_x000D_
        at com facebook react bridge JavaMethodWrapper invoke(JavaMethodWrapper java:359)_x000D_
        at com facebook react bridge JavaModuleWrapper invoke(JavaModuleWrapper java:160)_x000D_
        at com facebook react bridge queue NativeRunnable run(Native Method)_x000D_
        at android os Handler handleCallback(Handler java:739)_x000D_
        at android os Handler dispatchMessage(Handler java:95)_x000D_
        at com facebook react bridge queue MessageQueueThreadHandler dispatchMessage(MessageQueueThreadHandler java:29)_x000D_
        at android os Looper loop(Looper java:135)_x000D_
        at com facebook react bridge queue MessageQueueThreadImpl 3 run(MessageQueueThreadImpl java:192)_x000D_
        at java lang Thread run(Thread java:818)_x000D_
   </t>
  </si>
  <si>
    <t>elastos-Elastos.DittoBox.Android-5</t>
  </si>
  <si>
    <t>客户端放置不动，有时会crash（中ice_worker_destroy_timer assert）</t>
  </si>
  <si>
    <t xml:space="preserve">   moto android5 0_x000D_
_x000D_
     _x000D_
1        _x000D_
2       _x000D_
          crash_x000D_
_x000D_
    _x000D_
            log_x000D_
_x000D_
logcat _x000D_
I SBar MotoNetworkCtrlr( 1334): updateTelephonySignalStrength 0 :  No service_x000D_
I SBar MotoNetworkCtrlr( 1334): updateDataIcon 0 : mCurrentDataSubId 2 maps to: dataPhoneId:0 ( SubscriptionManager getPhoneId returned 2147483647 0x7fffffff )_x000D_
I SBar MotoNetworkCtrlr( 1334): refreshViews 0 : mCurrentDataSubId 2 maps to: dataPhoneId:0 ( SubscriptionManager getPhoneId returned 2147483647 0x7fffffff )_x000D_
I PfdAgent(15534): Server 4mQ7LGXPYdyHepQAytk5vSshbXPoqkKGhyLKPgg9VC3F connection status changed to Disconnected 1 _x000D_
D carrier (15534): Session: Closing session to 4mQ7LGXPYdyHepQAytk5vSshbXPoqkKGhyLKPgg9VC3F _x000D_
D carrier (15534): Stream: 1 portforwarding worker stoped _x000D_
D carrier (15534): Stream: 1 multiplex handler stopped _x000D_
V carrier (15534): Stream: 1 crypto handler encrypted 24 bytes data _x000D_
V carrier (15534): Stream: 1 ICE handler sent 40 bytes data _x000D_
D carrier (15534): Stream: 1 pseudo Tcp socket closed _x000D_
D carrier (15534): Stream: 1 reliable handler stoped _x000D_
D CarrierJni(15534): Already attached JVM_x000D_
I PfServer(15534): onStateChanged : 1  :  Closed_x000D_
I PfServer(15534): Stream closed_x000D_
D carrier (15534): Session: Closing session to 4mQ7LGXPYdyHepQAytk5vSshbXPoqkKGhyLKPgg9VC3F _x000D_
D carrier (15534): Stream: 1 portforwarding worker stoped _x000D_
D carrier (15534): Stream: 1 multiplex handler stopped _x000D_
D carrier (15534): Stream: 1 reliable handler stoped _x000D_
D carrier (15534): Session: ICE worker 1 stopping thread   _x000D_
I SBar MotoNetworkCtrlr( 1334): onReceive: WifiManager RSSI CHANGED ACTION Received_x000D_
I SBar MotoNetworkCtrlr( 1334): updateWifiState: RSSI CHANGED ACTION: mWifiConnected true mWifiLevel 4 mWifiRssi  47_x000D_
I SBar MotoNetworkCtrlr( 1334): updateTelephonySignalStrength 0 :  No service_x000D_
I SBar MotoNetworkCtrlr( 1334): updateDataIcon 0 : mCurrentDataSubId 2 maps to: dataPhoneId:0 ( SubscriptionManager getPhoneId returned 2147483647 0x7fffffff )_x000D_
I SBar MotoNetworkCtrlr( 1334): refreshViews 0 : mCurrentDataSubId 2 maps to: dataPhoneId:0 ( SubscriptionManager getPhoneId returned 2147483647 0x7fffffff )_x000D_
D carrier (15534): Session: ICE worker 1 routine finished _x000D_
D carrier (15534): Session: ICE worker 1 stopped _x000D_
D carrier (15534): Session: Session to 4mQ7LGXPYdyHepQAytk5vSshbXPoqkKGhyLKPgg9VC3F closed _x000D_
D carrier (15534): Session: ICE worker 1 stopped _x000D_
D carrier (15534): Session: ICE worker 1 destroyed_x000D_
D carrier (15534): Session: Session to 4mQ7LGXPYdyHepQAytk5vSshbXPoqkKGhyLKPgg9VC3F destroyed _x000D_
D carrier (15534): Session: ICE session destroyed_x000D_
F libc    (15534): ice c:572: void ice worker destroy timer(TransportWorker    Timer  ): assertion  base  failed_x000D_
F libc    (15534): Fatal signal 6 (SIGABRT)  code  6 in tid 15553 (Thread 3878)_x000D_
I DEBUG   ( 8078):                                                                _x000D_
I DEBUG   ( 8078): Build fingerprint:  motorola victara retcn victara:5 0 2 LXE22 92 18 18:user release keys _x000D_
I DEBUG   ( 8078): Revision:  p1b0 _x000D_
I DEBUG   ( 8078): ABI:  arm _x000D_
I DEBUG   ( 8078): pid: 15534  tid: 15553  name: Thread 3878      org elastos ditto debug    _x000D_
I DEBUG   ( 8078): signal 6 (SIGABRT)  code  6 (SI TKILL)  fault addr         _x000D_
I DEBUG   ( 8078): Abort message:  ice c:572: void ice worker destroy timer(TransportWorker    Timer  ): assertion  base  failed _x000D_
I DEBUG   ( 8078):     r0 00000000  r1 00003cc1  r2 00000006  r3 00000000_x000D_
I DEBUG   ( 8078):     r4 a5510dd8  r5 00000006  r6 0000000b  r7 0000010c_x000D_
I DEBUG   ( 8078):     r8 1305c1c0  r9 b8d37708  sl 12c3bfc0  fp a550fdb0_x000D_
I DEBUG   ( 8078):     ip 00003cc1  sp a550fd10  lr b6eec679  pc b6f12a84  cpsr 600f0010_x000D_
I DEBUG   ( 8078): _x000D_
I DEBUG   ( 8078): backtrace:_x000D_
I DEBUG   ( 8078):      00 pc 0003ca84   system lib libc so (tgkill 12)_x000D_
I DEBUG   ( 8078):      01 pc 00016675   system lib libc so (pthread kill 52)_x000D_
I DEBUG   ( 8078):      02 pc 00017287   system lib libc so (raise 10)_x000D_
I DEBUG   ( 8078):      03 pc 00013ad9   system lib libc so (  libc android abort 36)_x000D_
I DEBUG   ( 8078):      04 pc 00012264   system lib libc so (abort 4)_x000D_
I DEBUG   ( 8078):      05 pc 00014da3   system lib libc so (  libc fatal 16)_x000D_
I DEBUG   ( 8078):      06 pc 00013b5d   system lib libc so (  assert2 20)_x000D_
I DEBUG   ( 8078):      07 pc 0003583c   data app org elastos ditto debug 2 lib arm libcarrierjni so_x000D_
V AlarmManager(  887): send  30a582d1   alarm :com android server WifiManager action START SCAN _x000D_
V AlarmManager(  887): done  30a582d1   alarm :com android server WifiManager action START SCAN   2ms _x000D_
E WifiStateMachine(  887): WifiStateMachine CMD START SCAN source  2 txSuccessRate 19 29 rxSuccessRate 18 06 targetRoamBSSID 64:09:80:0c:02:d4 RSSI  47_x000D_
E WifiStateMachine(  887): WifiStateMachine CMD START SCAN with age 59997 interval 341718 maxinterval 300000_x000D_
E WifiStateMachine(  887): WifiStateMachine CMD START SCAN prevent full band scan due to pkt rate_x000D_
E WifiStateMachine(  887): WifiStateMachine CMD START SCAN full false_x000D_
E WifiStateMachine(  887): WifiStateMachine starting scan for  Elastos WPA PSK with 2417 5785_x000D_
E WifiStateMachine(  887):  1 532 512 658 830 ms  noteScanstart no scan source_x000D_
I wpa supplicant(29335): wlan0: CTRL EVENT SCAN STARTED _x000D_
D TCMD    (  517): NL   Read 56 bytes from update socket _x000D_
D TCMD    (  517): NL   message type is RTM NEWLINK_x000D_
D TCMD    (  517): Listening for incoming client connection request_x000D_
E WifiStateMachine(  887):  1 532 512 658 921 ms  noteScanEnd no scan source_x000D_
E WifiStateMachine(  887): wifi setScanResults statecom android server wifi WifiStateMachine ConnectedState 1ccd1c1 sup state COMPLETED debouncing false_x000D_
I DEBUG   ( 8078): _x000D_
I DEBUG   ( 8078): Tombstone written to:  data tombstones tombstone 08_x000D_
I BootReceiver(  887): Copying  data tombstones tombstone 08 to DropBox (SYSTEM TOMBSTONE)_x000D_
W InputDispatcher(  887): channel  bd3da4c org elastos ditto debug org elastos android ui activity FileDisplayActivity (server)    Consumer closed input channel or an error occurred   events 0x9_x000D_
E InputDispatcher(  887): channel  bd3da4c org elastos ditto debug org elastos android ui activity FileDisplayActivity (server)    Channel is unrecoverably broken and will be disposed _x000D_
I WindowState(  887): WIN DEATH: Window bd3da4c u0 org elastos ditto debug org elastos android ui activity FileDisplayActivity _x000D_
W InputDispatcher(  887): Attempted to unregister already unregistered input channel  bd3da4c org elastos ditto debug org elastos android ui activity FileDisplayActivity (server) _x000D_
I Zygote  (  376): Process 15534 exited due to signal (6)_x000D_
I ActivityManager(  887): Process org elastos ditto debug (pid 15534) has died_x000D_
W ActivityManager(  887): Service crashed 2 times  stopping: ServiceRecord 15d8ed0c u0 org elastos ditto debug org elastos android services observer FileObserverService _x000D_
_x000D_
</t>
  </si>
  <si>
    <t>facundomedica-fast_qr_reader_view-3</t>
  </si>
  <si>
    <t>Plugin crashes Android app when switching between apps</t>
  </si>
  <si>
    <t xml:space="preserve">Thanks for adding the ability to scan different barcodes  _x000D_
Works brilliantly _x000D_
I ve run into a bug that I hope us easy reproduce _x000D_
1  Everything works perfectly on iOS_x000D_
2  On Android scanning works but when I tap on the overview button to switch apps _x000D_
(that s the button on the bottom on the right side) the example program crashes with the _x000D_
following error:_x000D_
_x000D_
F libc    (28681): Fatal signal 11 (SIGSEGV)  code 1  fault addr 0x26780000 in tid 29800 (FirebaseMLHandl)_x000D_
                                                               _x000D_
_x000D_
I get a similar error when using the Android emulator:_x000D_
_x000D_
F libc    (14291): Fatal signal 11 (SIGSEGV)  code 1 (SEGV MAPERR)  fault addr 0xabb36d70 in tid 14373 (FirebaseMLHandl)  pid 14291 (yris eddflutter)_x000D_
_x000D_
Let me know if I can be of any assistance _x000D_
</t>
  </si>
  <si>
    <t>elastos-Elastos.DittoBox.Android-4</t>
  </si>
  <si>
    <t>客户端断网,刷新页面时存在crash情况</t>
  </si>
  <si>
    <t xml:space="preserve">   pixel2 android8 1 0_x000D_
      2018072    _x000D_
_x000D_
   _x000D_
1      DittoBox   _x000D_
2      _x000D_
3                _x000D_
_x000D_
            _x000D_
_x000D_
                                  5     _x000D_
_x000D_
logcat:_x000D_
07 25 07:41:53 638 W System err(21774): 	at java lang Thread run(Thread java:764)_x000D_
07 25 07:41:53 653 I zygote  (21774): System exit called  status: 0_x000D_
07 25 07:41:53 653 I AndroidRuntime(21774): VM exiting with result code 0  cleanup skipped _x000D_
07 25 07:41:53 662 I ActivityManager( 1134): Process com tencent news:patch (pid 21774) has died: fore SVC _x000D_
07 25 07:41:53 662 W zygote64( 1134): kill( 21774  9) failed: No such process_x000D_
07 25 07:41:53 662 I zygote64( 1134): Successfully killed process cgroup uid 10127 pid 21774 in 0ms_x000D_
07 25 07:41:53 664 I MemoryTrimmer( 3260): Trimming objects from memory  since app is in the background _x000D_
07 25 07:41:53 675 I cr BindingManager( 2467): onTrimMemory: level 80  size 0_x000D_
07 25 07:41:53 824 I CHRE    (  761):   344933 750:  AR CHRE  inconsistent: 55_x000D_
07 25 07:41:53 908 I ASH     (  761):   344933 812: ccb proximityHandle: PRX STATE farAway_x000D_
07 25 07:41:54 060 E WakeLock(18241): GCM HB ALARM release without a matched acquire _x000D_
07 25 07:41:56 591 D WificondControl( 1134): Scan result ready event_x000D_
07 25 07:41:56 610 I WifiService( 1134): getWifiEnabledState uid 10127_x000D_
07 25 07:41:56 617 W ctxmgr  (18241):  AclManager No 2 for (accnt account  517948760   com google android gms(10025):IndoorOutdoorProducer  vrsn 12874000  0  3pPkg   null    3pMdlId   null    pid   18241)  Was: 3 for 57  account  517948760 _x000D_
07 25 07:41:56 840 D StatusBar( 1427): disable e i a s b h r c s q  _x000D_
07 25 07:41:56 934 E memtrack(10318): Couldn t load memtrack module_x000D_
07 25 07:41:56 934 W android os Debug(10318): failed to get memory consumption info:  1_x000D_
07 25 07:41:56 964 V carrier (21432):  send lossless packet :send data packet failed_x000D_
07 25 07:41:56 964 V carrier (21432): _x000D_
07 25 07:41:56 970 D StatusBar( 1427): disable e i a s b h r c s q  _x000D_
07 25 07:41:57 158 E memtrack(10318): Couldn t load memtrack module_x000D_
07 25 07:41:57 158 W android os Debug(10318): failed to get memory consumption info:  1_x000D_
07 25 07:41:58 299 D ExtendedListFragment(21432): Setting progress visibility to true_x000D_
07 25 07:41:58 323 D OwnCloudClient  0(21432): REQUEST GET  ocs v1 php cloud capabilities_x000D_
07 25 07:41:58 333 V carrier (21432): Stream: 1 crypto handler encrypted 451 bytes data _x000D_
07 25 07:41:58 333 W carrier (21432): Session: ICE handler 1 sending data error: Network is unreachable_x000D_
07 25 07:41:58 333 E carrier (21432): Stream: 1 ICE handler write date error  2063477467 _x000D_
07 25 07:41:58 333 D carrier (21432): Stream: 1 pseudo Tcp socket closed _x000D_
07 25 07:41:58 333 D carrier (21432): Stream: 1 reliable handler stoped _x000D_
07 25 07:41:58 333 W carrier (21432): Session: ICE handler 1 sending data error: Network is unreachable_x000D_
07 25 07:41:58 333 D carrier (21432): Stream: 1 portforwarding channel 3 closed with normal _x000D_
07 25 07:41:58 334 V CarrierJni(21432): Attached current thread to JVM in success_x000D_
07 25 07:41:58 335 I PfServer(21432): onStateChanged : 1  :  Closed_x000D_
07 25 07:41:58 335 I PfServer(21432): Stream closed_x000D_
07 25 07:41:58 335 D CarrierSession(21432): Closing session with 4mQ7LGXPYdyHepQAytk5vSshbXPoqkKGhyLKPgg9VC3F    _x000D_
07 25 07:41:58 335 D carrier (21432): Session: Closing session to 4mQ7LGXPYdyHepQAytk5vSshbXPoqkKGhyLKPgg9VC3F _x000D_
07 25 07:41:58 335 D carrier (21432): Stream: 1 portforwarding worker stoped _x000D_
07 25 07:41:58 335 D carrier (21432): Stream: 1 multiplex handler stopped _x000D_
07 25 07:41:58 335 D carrier (21432): Stream: 1 reliable handler stoped _x000D_
07 25 07:41:58 335 D carrier (21432): Session: ICE worker 1 stopping thread   _x000D_
07 25 07:41:58 338 I HttpMethodDirector(21432): I O exception (org apache commons httpclient NoHttpResponseException) caught when processing request: The server 127 0 0 1 failed to respond_x000D_
07 25 07:41:58 338 I HttpMethodDirector(21432): Retrying request_x000D_
07 25 07:41:58 400 E SocketPush( 2757): ConnectFail  SocketLink Loop Will Exit  RetryCount 1_x000D_
07 25 07:41:58 400 E SocketPush( 2757): SocketLink Encounter An Exception While Looping  Server ip:(163 177 72 158)  Error:java net SocketException: Network Unavailable  SocketLink Loop Will Exit _x000D_
07 25 07:41:58 400 E SocketPush( 2757):              Stack Start              _x000D_
07 25 07:41:58 400 E SocketPush( 2757): java net SocketException: Network Unavailable  SocketLink Loop Will Exit _x000D_
07 25 07:41:58 400 E SocketPush( 2757): 	at com tencent news push socket a b  (SocketConnector java:69)_x000D_
07 25 07:41:58 400 E SocketPush( 2757): 	at com tencent news push socket a b  (SocketConnector java:46)_x000D_
07 25 07:41:58 400 E SocketPush( 2757): 	at com tencent news push socket a  (SocketLink java:75)_x000D_
07 25 07:41:58 400 E SocketPush( 2757): 	at com tencent news push socket a  (SocketLink java:35)_x000D_
07 25 07:41:58 400 E SocketPush( 2757): 	at com tencent news push socket b a run(SocketPush java:99)_x000D_
07 25 07:41:58 400 E SocketPush( 2757): _x000D_
07 25 07:41:58 400 E SocketPush( 2757):              Stack  End               _x000D_
07 25 07:41:58 415 W System err( 2757): java lang Exception_x000D_
07 25 07:41:58 415 W System err( 2757): 	at com tencent news system PropertiesSafeWrapper put(PropertiesSafeWrapper java:44)_x000D_
07 25 07:41:58 415 W System err( 2757): 	at com tencent news report b  (Boss java:288)_x000D_
07 25 07:41:58 415 W System err( 2757): 	at com tencent news report b call(Boss java:109)_x000D_
07 25 07:41:58 415 W System err( 2757): 	at com tencent news utils e run(BossUtil java:47)_x000D_
07 25 07:41:58 416 W System err( 2757): 	at java util concurrent ThreadPoolExecutor runWorker(ThreadPoolExecutor java:1162)_x000D_
07 25 07:41:58 416 W System err( 2757): 	at java util concurrent ThreadPoolExecutor Worker run(ThreadPoolExecutor java:636)_x000D_
07 25 07:41:58 416 W System err( 2757): 	at java lang Thread run(Thread java:764)_x000D_
07 25 07:41:58 611 I PushLogSC2815 news( 2757):  main 2 enter PushService:onDestroy()  needExitService is:true(news null:30)_x000D_
07 25 07:41:58 621 D carrier (21432): Session: ICE worker 1 routine finished _x000D_
07 25 07:41:58 621 D carrier (21432): Session: ICE worker 1 stopped _x000D_
07 25 07:41:58 621 D carrier (21432): Session: Session to 4mQ7LGXPYdyHepQAytk5vSshbXPoqkKGhyLKPgg9VC3F closed _x000D_
07 25 07:41:58 621 D carrier (21432): Session: ICE worker 1 stopped _x000D_
07 25 07:41:58 622 F libc    (21432):    src pj lock c:197: pj status t pj lock destroy(pj lock t  ): assertion  lock    ((void )0)  failed_x000D_
07 25 07:41:58 622 F libc    (21432): Fatal signal 6 (SIGABRT)  code  6 in tid 21481 (Thread 12)  pid 21432 (d android debug)_x000D_
07 25 07:41:58 668 I crash dump64(21834): obtaining output fd from tombstoned  type: kDebuggerdTombstone_x000D_
07 25 07:41:58 669 I  system bin tombstoned(  844): received crash request for pid 21432_x000D_
07 25 07:41:58 670 I crash dump64(21834): performing dump of process 21432 (target tid   21481)_x000D_
07 25 07:41:58 670 F DEBUG   (21834):                                                                _x000D_
07 25 07:41:58 671 F DEBUG   (21834): Build fingerprint:  google walleye walleye:8 1 0 OPM1 171019 019 4527419:user release keys _x000D_
07 25 07:41:58 671 F DEBUG   (21834): Revision:  MP1 _x000D_
07 25 07:41:58 671 F DEBUG   (21834): ABI:  arm64 _x000D_
07 25 07:41:58 671 F DEBUG   (21834): pid: 21432  tid: 21481  name: Thread 12      com owncloud android debug    _x000D_
07 25 07:41:58 671 F DEBUG   (21834): signal 6 (SIGABRT)  code  6 (SI TKILL)  fault addr         _x000D_
07 25 07:41:58 673 F DEBUG   (21834): Abort message:     src pj lock c:197: pj status t pj lock destroy(pj lock t  ): assertion  lock    ((void )0)  failed _x000D_
07 25 07:41:58 673 F DEBUG   (21834):     x0   0000000000000000  x1   00000000000053e9  x2   0000000000000006  x3   0000000000000008_x000D_
07 25 07:41:58 673 F DEBUG   (21834):     x4   0000000000800000  x5   0000000000800000  x6   0000000000800000  x7   0000000000000030_x000D_
07 25 07:41:58 673 F DEBUG   (21834):     x8   0000000000000083  x9   0000000010000000  x10  0000006fcfd94980  x11  0000000000000001_x000D_
07 25 07:41:58 673 F DEBUG   (21834):     x12  0000000000000028  x13  0000000000000000  x14  0000000000000000  x15  002515ec4ab77370_x000D_
07 25 07:41:58 673 F DEBUG   (21834):     x16  00000062bd5aefa8  x17  000000706728a52c  x18  0000000000000000  x19  00000000000053b8_x000D_
07 25 07:41:58 673 F DEBUG   (21834):     x20  00000000000053e9  x21  0000000000000083  x22  0000006fcfd94e5c  x23  0000006fd0f75e72_x000D_
07 25 07:41:58 673 F DEBUG   (21834):     x24  0000000000000004  x25  0000006fcfd97588  x26  0000006fdaf8e0a0  x27  0000000000000001_x000D_
07 25 07:41:58 673 F DEBUG   (21834):     x28  0000000000000003  x29  0000006fcfd949c0  x30  000000706723f760_x000D_
07 25 07:41:58 673 F DEBUG   (21834):     sp   0000006fcfd94980  pc   000000706723f788  pstate 0000000060000000_x000D_
07 25 07:41:58 674 F DEBUG   (21834): _x000D_
07 25 07:41:58 674 F DEBUG   (21834): backtrace:_x000D_
07 25 07:41:58 674 F DEBUG   (21834):      00 pc 000000000001d788   system lib64 libc so (abort 120)_x000D_
07 25 07:41:58 674 F DEBUG   (21834):      01 pc 000000000001db34   system lib64 libc so (  assert2 52)_x000D_
07 25 07:41:58 674 F DEBUG   (21834):      02 pc 000000000006c990   data app com owncloud android debug aCuiu7C6 qLwDjnicEZ21A   lib arm64 libcarrierjni so (pj lock destroy 64)_x000D_
07 25 07:41:59 181 E QtiImsExtUtils( 1641): getConfigForPhoneId phoneId is invalid_x000D_
07 25 07:41:59 181 E QtiImsExtUtils( 1641): isCarrierConfigEnabled bundle is null_x000D_
07 25 07:41:59 275 E  system bin tombstoned(  844): Tombstone written to:  data tombstones tombstone 00_x000D_
07 25 07:41:59 277 W ActivityManager( 1134):   Force finishing activity com owncloud android debug com owncloud android ui activity FileDisplayActivity_x000D_
07 25 07:41:59 280 I BootReceiver( 1134): Copying  data tombstones tombstone 00 to DropBox (SYSTEM TOMBSTONE)_x000D_
07 25 07:41:59 285 I ActivityManager( 1134): Showing crash dialog for package com owncloud android debug u0_x000D_
07 25 07:41:59 286 E lowmemorykiller(  767): Error writing  proc 21432 oom score adj  errno 22_x000D_
07 25 07:41:59 294 W InputDispatcher( 1134): channel  f9283e1 com owncloud android debug com owncloud android ui activity FileDisplayActivity (server)    Consumer closed input channel or an error occurred   events 0xd_x000D_
07 25 07:41:59 294 E InputDispatcher( 1134): channel  f9283e1 com owncloud android debug com owncloud android ui activity FileDisplayActivity (server)    Channel is unrecoverably broken and will be disposed _x000D_
07 25 07:41:59 297 I Zygote  (  694): Process 21432 exited due to signal (6)_x000D_
07 25 07:41:59 297 I ActivityManager( 1134): Process com owncloud android debug (pid 21432) has died: vis   99TOP _x000D_
07 25 07:41:59 297 W ActivityManager( 1134): Scheduling restart of crashed service com owncloud android debug com owncloud android services observer FileObserverService in 1000ms_x000D_
07 25 07:41:59 297 W zygote64( 1134): kill( 21432  9) failed: No such process_x000D_
07 25 07:41:59 297 I zygote64( 1134): Successfully killed process cgroup uid 10145 pid 21432 in 0ms_x000D_
07 25 07:41:59 298 I WindowManager( 1134): WIN DEATH: Window f9283e1 u0 com owncloud android debug com owncloud android ui activity FileDisplayActivity _x000D_
07 25 07:41:59 298 W InputDispatcher( 1134): Attempted to unregister already unregistered input channel  f9283e1 com owncloud android debug com owncloud android ui activity FileDisplayActivity (server) _x000D_
07 25 07:41:59 307 I Adreno  ( 3260): QUALCOMM build                   : 594927b  I916dfac403_x000D_
07 25 07:41:59 307 I Adreno  ( 3260): Build Date                       : 10 11 17_x000D_
07 25 07:41:59 307 I Adreno  ( 3260): OpenGL ES Shader Compiler Version: EV031 21 02 00_x000D_
07 25 07:41:59 307 I Adreno  ( 3260): Local Branch                     : mybranch28618966_x000D_
07 25 07:41:59 307 I Adreno  ( 3260): Remote Branch                    : quic gfx adreno lnx 6 4 9 rel_x000D_
07 25 07:41:59 307 I Adreno  ( 3260): Remote Branch                    : NONE_x000D_
07 25 07:41:59 307 I Adreno  ( 3260): Reconstruct Branch               : NOTHING_x000D_
07 25 07:41:59 313 I Adreno  ( 3260): PFP: 0x005ff087  ME: 0x005ff063_x000D_
07 25 07:41:59 315 W ActivityManager( 1134): setHasOverlayUi called on unknown pid: 21432_x000D_
07 25 07:41:59 315 I zygote64( 3260): android::hardware::configstore::V1 0::ISurfaceFlingerConfigs::hasWideColorDisplay retrieved: 1_x000D_
</t>
  </si>
  <si>
    <t>fossasia-pslab-android-1295</t>
  </si>
  <si>
    <t>Fix Luxmeter crash instances</t>
  </si>
  <si>
    <t xml:space="preserve">  Actual Behaviour  _x000D_
_x000D_
In some cases Lux meter crashes due to multiple errors_x000D_
_x000D_
  Expected Behaviour  _x000D_
_x000D_
Crashing instances need to be caught and avoid crashes_x000D_
_x000D_
  Steps to reproduce it  _x000D_
_x000D_
  Not available_x000D_
_x000D_
  LogCat for the issue  _x000D_
_x000D_
  Not available _x000D_
_x000D_
  Screenshots of the issue  _x000D_
_x000D_
  Not available_x000D_
_x000D_
  Would you like to work on the issue   _x000D_
_x000D_
Yes_x000D_
</t>
  </si>
  <si>
    <t>MozillaReality-FirefoxReality-242</t>
  </si>
  <si>
    <t>Native crash when closing the app</t>
  </si>
  <si>
    <t xml:space="preserve">Hardware: Oculus Go_x000D_
Steps to Reproduce:_x000D_
  Open FxR_x000D_
  Click on the back button_x000D_
  Close the app_x000D_
_x000D_
Actual Behavior: There is a native crash_x000D_
Expected Behavior: The shouldn t be a crash_x000D_
Recommendation: _x000D_
</t>
  </si>
  <si>
    <t>nextcloud-android-2848</t>
  </si>
  <si>
    <t>StringIndexOutOfBoundsException in OCFile.getLocalId</t>
  </si>
  <si>
    <t xml:space="preserve">via GPlay for v3 2 1:_x000D_
   _x000D_
java lang StringIndexOutOfBoundsException: _x000D_
  at java lang String substring (String java:1971)_x000D_
  at com owncloud android datamodel OCFile getLocalId (OCFile java:744)_x000D_
  at com owncloud android ui fragment FileDetailActivitiesFragment lambda fetchAndSetData 4 FileDetailActivitiesFragment (FileDetailActivitiesFragment java:230)_x000D_
  at com owncloud android ui fragment FileDetailActivitiesFragment  Lambda 2 run (Unknown Source:14)_x000D_
  at java lang Thread run (Thread java:764)_x000D_
   _x000D_
_x000D_
The code fragment(s):_x000D_
   _x000D_
GetRemoteActivitiesOperation getRemoteNotificationOperation   _x000D_
        new GetRemoteActivitiesOperation(file getLocalId()) _x000D_
   _x000D_
and_x000D_
   _x000D_
public String getLocalId()  _x000D_
        return getRemoteId() substring(0  8) replaceAll(  0      ) _x000D_
 _x000D_
   _x000D_
_x000D_
Which means the remote ID isn t  null  but shorter than 8 characters and likely length zero    _x000D_
_x000D_
I know  tobiasKaminsky will argue that we need to find out  why  it is not set I actually don t care about that too much  The client crashes so even without knowing the root cause of this we should harden the client and simply not fetch the activities if we don t have a remoteId of   8 characters _x000D_
_x000D_
Nevertheless whoever has the time  and  an idea on how to find out as to why this situation happens  feel free to join forces :)_x000D_
_x000D_
cc  ardevd  mario _x000D_
</t>
  </si>
  <si>
    <t>tonyofrancis-Fetch-201</t>
  </si>
  <si>
    <t>AbstractMethodError : Downloader.getRequestSupportedFileDownloaderTypes</t>
  </si>
  <si>
    <t>After updating from version 2 1 0 RC15 to 2 2 0 RC1 starting a download crashes the app with the error message _x000D_
_x000D_
  07 24 11:47:35 707 4921 4995 com turndapage navcasts E AndroidRuntime: FATAL EXCEPTION: pool 3 thread 1_x000D_
    Process: com turndapage navcasts  PID: 4921_x000D_
    java lang AbstractMethodError: abstract method  java util Set com tonyodev fetch2core Downloader getRequestSupportedFileDownloaderTypes(com tonyodev fetch2core Downloader ServerRequest) _x000D_
        at com tonyodev fetch2 downloader DownloadManagerImpl getFileDownloader(DownloadManagerImpl kt:194)_x000D_
        at com tonyodev fetch2 downloader DownloadManagerImpl getNewFileDownloaderForDownload(DownloadManagerImpl kt:186)_x000D_
        at com tonyodev fetch2 downloader DownloadManagerImpl start  inlined synchronized lambda 1 run(DownloadManagerImpl kt:57)_x000D_
        at java util concurrent ThreadPoolExecutor runWorker(ThreadPoolExecutor java:1167)_x000D_
        at java util concurrent ThreadPoolExecutor Worker run(ThreadPoolExecutor java:641)_x000D_
        at java lang Thread run(Thread java:764)</t>
  </si>
  <si>
    <t>Yalantis-uCrop-445</t>
  </si>
  <si>
    <t>Get Output Crop Aspect Ratio Crash</t>
  </si>
  <si>
    <t xml:space="preserve">  Do you want to request a  feature  or report a  bug    _x000D_
Bug_x000D_
_x000D_
  What is the current behavior   _x000D_
UCrop getOutputCropAspectRatio(data) crashes_x000D_
_x000D_
  What is the expected behavior   _x000D_
Needs to return float aspect ratio _x000D_
_x000D_
  If the current behavior is a bug  please provide the steps to reproduce and if possible a minimal demo of the problem   _x000D_
So from what I can see this method returns parcelable extra of intent instead of float extra  When I manually did that to get intent extras instead of using method  it worked </t>
  </si>
  <si>
    <t>zo0r-react-native-push-notification-803</t>
  </si>
  <si>
    <t>Illegal State Exception in Production for Android 8.0 using latest master commit</t>
  </si>
  <si>
    <t xml:space="preserve">Hello _x000D_
_x000D_
We re testing out 3 1 1 which doesn t seem to be on NPM just yet  We seem to be getting crashes on version 8 0  of android in production related to the  requestPermission  call of the react native push notification s library _x000D_
_x000D_
I ve attached a screenshot of the crash _x000D_
_x000D_
 img width  959  alt  screen shot 2018 07 23 at 6 31 45 pm  src  https:  user images githubusercontent com 5391234 43111624 e5c7e26e 8ea6 11e8 9c4a 542ba7d1a0b0 png  _x000D_
_x000D_
</t>
  </si>
  <si>
    <t>WatShout-watshout-android-66</t>
  </si>
  <si>
    <t>App crashes after finishing activity</t>
  </si>
  <si>
    <t xml:space="preserve">Viraj and I both noticed that the  map screenshot  causes the app to crash </t>
  </si>
  <si>
    <t>getodk-collect-2401</t>
  </si>
  <si>
    <t>Crash due to toggling between SMS and Internet submissions</t>
  </si>
  <si>
    <t xml:space="preserve">     Software and hardware versions _x000D_
Collect v1 16_x000D_
_x000D_
     Steps to reproduce the problem_x000D_
Build a form that isn t on a server_x000D_
Switch to SMS transport_x000D_
Send an SMS submission with no SIM card (fails  no sim card)_x000D_
Switch to Internet transport_x000D_
Send the failed SMS submission (fails  no end point)_x000D_
Switch to SMS transport_x000D_
Send the failed SMS submission (crash)_x000D_
_x000D_
     Other information _x000D_
   _x000D_
PlatformAlarmService: Finished job  request id 2  tag smsSenderJob  transient false  FAILURE_x000D_
System err: io reactivex exceptions OnErrorNotImplementedException: Attempt to invoke virtual method  long java util Date getTime()  on a null object _x000D_
System err: 	at io reactivex internal functions Functions OnErrorMissingConsumer accept(Functions java:704)_x000D_
System err: 	at io reactivex internal functions Functions OnErrorMissingConsumer accept(Functions java:701)_x000D_
System err: 	at io reactivex internal observers LambdaObserver onError(LambdaObserver java:77)_x000D_
System err: 	at io reactivex internal observers LambdaObserver onNext(LambdaObserver java:67)_x000D_
System err: 	at io reactivex internal operators observable ObservableObserveOn ObserveOnObserver drainNormal(ObservableObserveOn java:200)_x000D_
System err: 	at io reactivex internal operators observable ObservableObserveOn ObserveOnObserver run(ObservableObserveOn java:252)_x000D_
System err: 	at io reactivex android schedulers HandlerScheduler ScheduledRunnable run(HandlerScheduler java:109)_x000D_
System err: 	at android os Handler handleCallback(Handler java:751)_x000D_
System err: 	at android os Handler dispatchMessage(Handler java:95)_x000D_
System err: 	at android os Looper loop(Looper java:154)_x000D_
System err: 	at android app ActivityThread main(ActivityThread java:6123)_x000D_
System err: 	at java lang reflect Method invoke(Native Method)_x000D_
System err: 	at com android internal os ZygoteInit MethodAndArgsCaller run(ZygoteInit java:867)_x000D_
System err: 	at com android internal os ZygoteInit main(ZygoteInit java:757)_x000D_
System err: Caused by: java lang NullPointerException: Attempt to invoke virtual method  long java util Date getTime()  on a null object reference_x000D_
System err: 	at java util Calendar setTime(Calendar java:1089)_x000D_
System err: 	at java text SimpleDateFormat format(SimpleDateFormat java:953)_x000D_
System err: 	at java text SimpleDateFormat format(SimpleDateFormat java:946)_x000D_
System err: 	at java text DateFormat format(DateFormat java:337)_x000D_
System err: 	at org odk collect android tasks sms SmsService getDisplaySubtext(SmsService java:391)_x000D_
System err: 	at org odk collect android adapters InstanceUploaderAdapter setDisplaySubTextView(InstanceUploaderAdapter java:188)_x000D_
System err: 	at org odk collect android adapters InstanceUploaderAdapter lambda bindView 2 InstanceUploaderAdapter(InstanceUploaderAdapter java:148)_x000D_
System err: 	at org odk collect android adapters InstanceUploaderAdapter  Lambda 2 accept(Unknown Source)_x000D_
System err: 	at io reactivex internal observers LambdaObserver onNext(LambdaObserver java:63)_x000D_
_x000D_
_x000D_
_x000D_
_x000D_
_x000D_
   </t>
  </si>
  <si>
    <t>commons-app-apps-android-commons-1735</t>
  </si>
  <si>
    <t>Nearby crash when LatLng is null</t>
  </si>
  <si>
    <t xml:space="preserve">  Summary:   _x000D_
_x000D_
I am able to get this crash on some first runs  Then it gets solved _x000D_
_x000D_
  Steps to reproduce:   _x000D_
_x000D_
Not very stable  sometimes  it happens  Ie  once I turned off wireless connection and it happened _x000D_
  Add System logs:  _x000D_
   _x000D_
                                 Caused by: java lang NullPointerException: Attempt to invoke virtual method  double android location Location getLatitude()  on a null object reference_x000D_
                                                                             at fr free nrw commons location LatLng from(LatLng java:45)_x000D_
                                                                             at fr free nrw commons location LocationServiceManager getLKL(LocationServiceManager java:109)_x000D_
                                                                             at fr free nrw commons nearby NearbyActivity onRequestPermissionsResult(NearbyActivity java:224)_x000D_
                                                                             at android app Activity dispatchRequestPermissionsResult(Activity java:6553)_x000D_
                                                                             at android app Activity dispatchActivityResult(Activity java:6432)_x000D_
   </t>
  </si>
  <si>
    <t>commons-app-apps-android-commons-1734</t>
  </si>
  <si>
    <t>Multiple Uploads crashes if user try to upload without title</t>
  </si>
  <si>
    <t xml:space="preserve">  Summary:   _x000D_
_x000D_
Try to multiple upload and click upload button without title  it crashes _x000D_
_x000D_
  Add System logs:  _x000D_
_x000D_
   _x000D_
E AndroidRuntime: FATAL EXCEPTION: UploadService_x000D_
                                                                         Process: fr free nrw commons debug  PID: 9875_x000D_
                                                                         java lang NullPointerException: Attempt to invoke interface method  int java lang CharSequence length()  on a null object reference_x000D_
                                                                             at java util regex Matcher reset(Matcher java:177)_x000D_
                                                                             at java util regex Matcher  init (Matcher java:90)_x000D_
                                                                             at java util regex Pattern matcher(Pattern java:297)_x000D_
                                                                             at fr free nrw commons Utils fixExtension(Utils java:120)_x000D_
                                                                             at fr free nrw commons upload UploadService uploadContribution(UploadService java:219)_x000D_
                                                                             at fr free nrw commons upload UploadService handle(UploadService java:130)_x000D_
                                                                             at fr free nrw commons upload UploadService handle(UploadService java:40)_x000D_
                                                                             at fr free nrw commons HandlerService ServiceHandler handleMessage(HandlerService java:26)_x000D_
                                                                             at android os Handler dispatchMessage(Handler java:102)_x000D_
                                                                             at android os Looper loop(Looper java:148)_x000D_
                                                                             at android os HandlerThread run(HandlerThread java:61)_x000D_
07 22 17:27:18 382 1266 1266   E EGL emulation: tid 1266: eglCreateSyncKHR(1881): error 0x3004 (EGL BAD ATTRIBUTE)_x000D_
07 22 17:27:18 594 9875 9926 fr free nrw commons debug E Surface: getSlotFromBufferLocked: unknown buffer: 0xa0612140_x000D_
07 22 17:27:21 864 9875 9926 fr free nrw commons debug E Surface: getSlotFromBufferLocked: unknown buffer: 0xa0613220_x000D_
   _x000D_
_x000D_
  Device and Android version:   _x000D_
It happens on almost all devices  One is emulator API 24_x000D_
_x000D_
   Commons app version:   _x000D_
current master_x000D_
_x000D_
  Would you like to work on the issue   _x000D_
_x000D_
No  if possible:)_x000D_
</t>
  </si>
  <si>
    <t>fossasia-pslab-android-1277</t>
  </si>
  <si>
    <t>[Multimeter] Unable to Measure Resistance and Capacitance</t>
  </si>
  <si>
    <t xml:space="preserve">  Actual Behaviour  _x000D_
_x000D_
Measuring resistance always show  INFINITY _x000D_
Measuring Capacitance either crashes the activity or hangs the app _x000D_
_x000D_
  Expected Behaviour  _x000D_
_x000D_
Measure resistance and capacitance without accurately and without crashing the app _x000D_
_x000D_
  Steps to reproduce it  _x000D_
_x000D_
  Measure a resistor across SEN_x000D_
  Measure a capacitor across CAP _x000D_
_x000D_
</t>
  </si>
  <si>
    <t>renyuneyun-Easer-147</t>
  </si>
  <si>
    <t>NullPointerException when pressing Script/New/Profile/🔗</t>
  </si>
  <si>
    <t xml:space="preserve">0 6 7 2 from F Droid _x000D_
_x000D_
I don t know how Easer works  I m trying to create a Script (the first item on the sidebar)  but it won t let me save because  Prevented saving data with invalid field(s)  _x000D_
_x000D_
If I have to define events before scripts  maybe the Script editor should allow me to create events directly from the editor    Or maybe the sidebar should place events before scripts _x000D_
_x000D_
In the Profile category  there is a chainlink button  Clicking causes the following error:_x000D_
_x000D_
   _x000D_
java lang NullPointerException: Attempt to invoke virtual method  ryey easer commons plugindef eventplugin EventData ryey easer core a b b()  on a null object reference_x000D_
	at ryey easer core ui data EditScriptActivity 2 onClick(Unknown Source)_x000D_
	at android view View performClick(View java:5612)_x000D_
	at android view View PerformClick run(View java:22288)_x000D_
	at android os Handler handleCallback(Handler java:751)_x000D_
	at android os Handler dispatchMessage(Handler java:95)_x000D_
	at android os Looper loop(Looper java:154)_x000D_
	at android app ActivityThread main(ActivityThread java:6123)_x000D_
	at java lang reflect Method invoke(Native Method)_x000D_
	at com android internal os ZygoteInit MethodAndArgsCaller run(ZygoteInit java:867)_x000D_
	at com android internal os ZygoteInit main(ZygoteInit java:757)_x000D_
	at de robv android xposed XposedBridge main(XposedBridge java:107)_x000D_
   _x000D_
_x000D_
I suspect the unintuitive UI (I still don t know what triggers exist  nor what actions can be taken upon triggers) is a more fundamental problem  I don t know what that button does  nor what I should add to make the button not crash </t>
  </si>
  <si>
    <t>matejpoliacek-GalileoGameApp-19</t>
  </si>
  <si>
    <t>App crashes if starting cold with internet access off</t>
  </si>
  <si>
    <t xml:space="preserve">If there is no access to the Internet (wifi and data off)  the app will crash on startup due to a null pointer reference exception raised in the PVTFragment (tested at cold start)_x000D_
_x000D_
This will probably be irrelevant once we swap the PVT engine  but if it persists even then  we ll need to address it </t>
  </si>
  <si>
    <t>joltup-react-native-threads-40</t>
  </si>
  <si>
    <t>Exception calling object as function: Module RCTDeviceEventEmitter is not a registered callable module</t>
  </si>
  <si>
    <t xml:space="preserve">Hi  thank you for making this module  I ve encountered an issue after compiling and launching my app  Here are some additional details _x000D_
_x000D_
   react :   16 4 1  _x000D_
		 react native :   0 56 0  _x000D_
 react native threads :  0 0 13 _x000D_
_x000D_
worker thread js is in my root folder_x000D_
I bundle it with the provided commands to assets threads_x000D_
_x000D_
The file is found and I am able to get a console log out of it  I have removed all code from the worker file  this is it:_x000D_
_x000D_
  import   self   from  react native threads  _x000D_
console log( hello from worker ) _x000D_
console log(self)_x000D_
_x000D_
However  after the two console log lines  the app crashes and produces this error:_x000D_
_x000D_
  07 20 14:47:15 090 29399 29494   I ReactNativeJS: hello from worker_x000D_
07 20 14:47:15 098 29399 29494   I ReactNativeJS:   onmessage: null  postMessage:  Function   _x000D_
07 20 14:47:15 107 29399 29494   E ReactNativeJNI: Got JS Exception: Exception calling object as function: Module RCTDeviceEventEmitter is not a registered callable module (calling emit) ( unknown file :16)_x000D_
    Got JS Stack: exports threads worker thread bundle:16:463_x000D_
    value threads worker thread bundle:20:4039_x000D_
    threads worker thread bundle:20:1019_x000D_
    value threads worker thread bundle:20:3440_x000D_
    value threads worker thread bundle:20:991_x000D_
     native code _x000D_
    _x000D_
 _x000D_
_x000D_
               beginning of crash_x000D_
_x000D_
  07 20 14:47:15 108 29399 29494   E AndroidRuntime: FATAL EXCEPTION: mqt js_x000D_
    Process: com fingersign  PID: 29399_x000D_
    java lang RuntimeException: Error calling RCTDeviceEventEmitter emit_x000D_
        at com facebook react bridge queue NativeRunnable run(Native Method)_x000D_
        at android os Handler handleCallback(Handler java:739)_x000D_
        at android os Handler dispatchMessage(Handler java:95)_x000D_
        at com facebook react bridge queue MessageQueueThreadHandler dispatchMessage(MessageQueueThreadHandler java:29)_x000D_
        at android os Looper loop(Looper java:148)_x000D_
        at com facebook react bridge queue MessageQueueThreadImpl 3 run(MessageQueueThreadImpl java:192)_x000D_
        at java lang Thread run(Thread java:818)_x000D_
     Caused by: com facebook jni CppException: Exception calling object as function: Module RCTDeviceEventEmitter is not a registered callable module (calling emit) ( unknown file :16)_x000D_
        at com facebook react bridge queue NativeRunnable run(Native Method) _x000D_
        at android os Handler handleCallback(Handler java:739) _x000D_
        at android os Handler dispatchMessage(Handler java:95) _x000D_
        at com facebook react bridge queue MessageQueueThreadHandler dispatchMessage(MessageQueueThreadHandler java:29) _x000D_
        at android os Looper loop(Looper java:148) _x000D_
        at com facebook react bridge queue MessageQueueThreadImpl 3 run(MessageQueueThreadImpl java:192) _x000D_
        at java lang Thread run(Thread java:818) _x000D_
07 20 14:47:15 110 1607 5161   W ActivityManager:   Force finishing activity com fingersign  MainActivity_x000D_
_x000D_
I am not using postMessage or onmessage at all in the rest of my code  only registering the worker _x000D_
_x000D_
Everything works fine in dev mode  only release gets messed up after launching the app _x000D_
_x000D_
Would it be possible to point me in the right direction </t>
  </si>
  <si>
    <t>google-ExoPlayer-4535</t>
  </si>
  <si>
    <t xml:space="preserve">PlayerNotificationManager behavior during ads. </t>
  </si>
  <si>
    <t xml:space="preserve">What is the desired behavior of  PlayerNotificationManager  while advertisements are playing _x000D_
_x000D_
What I have mostly observed is that the notification doesn t display while ads are playing and then starts displaying once the main content begins _x000D_
 _x000D_
However I have observed a crash while playing an ad on a Pixel C running Android 8 1 0  _x000D_
I ve observed this behavior with and without a media session token  _x000D_
_x000D_
   _x000D_
android app RemoteServiceException: Bad notification posted from package  MY PACKAGE : _x000D_
Couldn t inflate contentViewsjava lang IllegalArgumentException: _x000D_
setShowActionsInCompactView: action 0 out of bounds (max  1)_x000D_
   _x000D_
_x000D_
I think this is because   getActions()  (https:  github com google ExoPlayer blob release v2 library ui src main java com google android exoplayer2 ui PlayerNotificationManager java L832) returns an empty array if the player is playing ads and   getActionIndicesForCompactView(player)  (https:  github com google ExoPlayer blob release v2 library ui src main java com google android exoplayer2 ui PlayerNotificationManager java L872) doesn t check if the player is playing ads which leads to it returning an index that doesn t exist  _x000D_
_x000D_
My gut feeling here is that the notification is being swallowed by this error on most devices which looks like desirable behavior  but the exception crashes hard on a Pixel C  _x000D_
_x000D_
I d be happy to open a PR to fix if I knew what the intention was for the  PlayerNotificationManager  while advertisements play  _x000D_
</t>
  </si>
  <si>
    <t>project-travel-mate-Travel-Mate-308</t>
  </si>
  <si>
    <t>[Bug]App crashes in the Notifications screen</t>
  </si>
  <si>
    <t xml:space="preserve">    Steps to reproduce_x000D_
  Tap on the bell icon_x000D_
  Tap on any notification_x000D_
  App crashes in the next activity_x000D_
  In case it shows network error just repeat the process and the app would crash_x000D_
_x000D_
    Expected behaviour_x000D_
  App should not crash_x000D_
_x000D_
    Actual behaviour_x000D_
  App crashes_x000D_
_x000D_
    Error Logs_x000D_
   _x000D_
07 19 07:24:51 366 29545 29545 io github project travel mate E AndroidRuntime: FATAL EXCEPTION: main_x000D_
    Process: io github project travel mate  PID: 29545_x000D_
    android os NetworkOnMainThreadException_x000D_
        at android os StrictMode AndroidBlockGuardPolicy onNetwork(StrictMode java:1450)_x000D_
        at java net SocketInputStream read(SocketInputStream java:169)_x000D_
        at java net SocketInputStream read(SocketInputStream java:139)_x000D_
        at okio Okio 2 read(Okio java:139)_x000D_
        at okio AsyncTimeout 2 read(AsyncTimeout java:237)_x000D_
        at okio RealBufferedSource read(RealBufferedSource java:46)_x000D_
        at okhttp3 internal http1 Http1Codec AbstractSource read(Http1Codec java:352)_x000D_
        at okhttp3 internal http1 Http1Codec FixedLengthSource read(Http1Codec java:396)_x000D_
        at okhttp3 internal Util skipAll(Util java:175)_x000D_
        at okhttp3 internal Util discard(Util java:157)_x000D_
        at okhttp3 internal http1 Http1Codec FixedLengthSource close(Http1Codec java:413)_x000D_
        at okio RealBufferedSource close(RealBufferedSource java:455)_x000D_
        at okio RealBufferedSource close(RealBufferedSource java:455)_x000D_
        at okio InflaterSource close(InflaterSource java:126)_x000D_
        at okio GzipSource close(GzipSource java:182)_x000D_
        at okio RealBufferedSource close(RealBufferedSource java:455)_x000D_
        at okhttp3 internal Util closeQuietly(Util java:110)_x000D_
        at okhttp3 ResponseBody string(ResponseBody java:177)_x000D_
        at io github project travel mate mytrips MyTripInfoActivity 2 lambda onResponse 2 MyTripInfoActivity 2(MyTripInfoActivity java:219)_x000D_
        at io github project travel mate mytrips MyTripInfoActivity 2  Lambda 1 run(Unknown Source:20)_x000D_
        at android os Handler handleCallback(Handler java:790)_x000D_
        at android os Handler dispatchMessage(Handler java:99)_x000D_
        at android os Looper loop(Looper java:164)_x000D_
        at android app ActivityThread main(ActivityThread java:6501)_x000D_
        at java lang reflect Method invoke(Native Method)_x000D_
        at com android internal os RuntimeInit MethodAndArgsCaller run(RuntimeInit java:438)_x000D_
        at com android internal os ZygoteInit main(ZygoteInit java:807)_x000D_
   _x000D_
_x000D_
</t>
  </si>
  <si>
    <t>mapbox-mapbox-events-android-184</t>
  </si>
  <si>
    <t>Crash When Disabling Location Permissions Manually</t>
  </si>
  <si>
    <t>Our SDK currently crashes when a user disables location permissions manually (through the Android settings) and returns to the parent application  LocationEngine is attempting to acquire location without permission  _x000D_
_x000D_
Change was to add in both pre and post api 23 permission check before activating the engine  _x000D_
_x000D_
Fixes https:  github com mapbox mapbox events android issues 182 issuecomment 405951475</t>
  </si>
  <si>
    <t>EyeSeeTea-EReferralsApp-175</t>
  </si>
  <si>
    <t>impossible to clean and log out</t>
  </si>
  <si>
    <t>Application crashed while logged in 
Now I get the following error when trying to log out and clean data:
  Screenshot 20180718 121641 png (https:  waffleio direct uploads production s3 amazonaws com uploads 59ad6bdd6d76bd0012828dfb 125516c66e82c728ace21e0d46db978826878dba87e6ab7cf60da1cc7911762b6455f17a26d1b26af3006b1300051bff054a5556f9f08b29f2e76a71d80903e5d83e5f74c53410fdeed61dbf13a632c91edbe2e3d7158abd7f37ed998e48341f001b88f65d3ca39e4ece50ff59ac png)</t>
  </si>
  <si>
    <t>Karumi-Dexter-212</t>
  </si>
  <si>
    <t>App is crashing after checked Never ask again and deny the permission</t>
  </si>
  <si>
    <t xml:space="preserve">    Expected behavior_x000D_
The application should not crash_x000D_
_x000D_
    Actual behavior_x000D_
The application crash_x000D_
_x000D_
    Steps to reproduce_x000D_
_x000D_
Dexter withActivity(EditProfile this)_x000D_
                             withPermissions(_x000D_
                                    Manifest permission CAMERA _x000D_
                                    Manifest permission READ EXTERNAL STORAGE _x000D_
                                    Manifest permission WRITE EXTERNAL STORAGE_x000D_
                            ) withListener(new MultiplePermissionsListener()  _x000D_
                         Override public void onPermissionsChecked(MultiplePermissionsReport report)  _x000D_
                            if(report areAllPermissionsGranted()) _x000D_
                                showImageOption() _x000D_
                             _x000D_
                            if(report isAnyPermissionPermanentlyDenied()) _x000D_
                                showPermissionDialog() _x000D_
                             _x000D_
                         _x000D_
                         Override public void onPermissionRationaleShouldBeShown(List PermissionRequest  permissions  PermissionToken token)  _x000D_
_x000D_
                            token continuePermissionRequest() _x000D_
                         _x000D_
                     )_x000D_
                             withErrorListener(error    Utils showToast( Error while granting permission  getApplicationContext()))_x000D_
                             onSameThread()_x000D_
                             check() _x000D_
_x000D_
    Version of the library_x000D_
com karumi:dexter:5 0 0_x000D_
</t>
  </si>
  <si>
    <t>itachi1706-SingBuses-112</t>
  </si>
  <si>
    <t>PopulateListWithCurrentLocationRecycler.java line 96</t>
  </si>
  <si>
    <t xml:space="preserve">     in com itachi1706 busarrivalsg AsyncTasks PopulateListWithCurrentLocationRecycler onPostExecute
  Number of crashes: 1
  Impacted devices: 1
There s a lot more information about this crash on crashlytics com:
 https:  fabric io itachi1706s projects android apps com itachi1706 busarrivalsg issues 5b4db6b96007d59fcdcf8900 utm medium service hooks github utm source issue impact (https:  fabric io itachi1706s projects android apps com itachi1706 busarrivalsg issues 5b4db6b96007d59fcdcf8900 utm medium service hooks github utm source issue impact)</t>
  </si>
  <si>
    <t>lineargs-WatchNextApp-35</t>
  </si>
  <si>
    <t>Drawables colours</t>
  </si>
  <si>
    <t xml:space="preserve">Referencing colours from   colors xml   causes the app to crash on some devices </t>
  </si>
  <si>
    <t>USDepartmentofLabor-Child-Labor-Android-71</t>
  </si>
  <si>
    <t>Accessibility - Application Crashed While Using TalkBack</t>
  </si>
  <si>
    <t xml:space="preserve">While attempting to use the back button in the top left corner of the screen with and without TalkBack  the application crashed multiple times  Not sure why that is happening since I ve never seen it in any other testing over the years _x000D_
_x000D_
In further testing  it seems to crash stop working when I look at the two screens that I think are HTML based (About This App  and Methodology) on the  More Info  screen  When I go into either one of those pages and use the back button twice  it crashes  Once to get back to the  More Info  screen and the second to get back to the main screen it crashes _x000D_
_x000D_
It crashed a few other times while using TalkBack and even on the  More Info  screen using the back button  but also crashed on some other screens too </t>
  </si>
  <si>
    <t>neXenio-BLE-Indoor-Positioning-105</t>
  </si>
  <si>
    <t>App crash first time location appear</t>
  </si>
  <si>
    <t xml:space="preserve">Before having this bug  i was handling all the erros in this function of RxBle library : _x000D_
   _x000D_
override fun onError(e: Throwable )  _x000D_
    Log e(e  message toString())_x000D_
 _x000D_
   _x000D_
_x000D_
Now i have removed this function  and i am subscribing only on the  onNext()  function of the observable  so all the errors will stop the app ( there is no error handling ) _x000D_
_x000D_
That s why this problem hasn t appear before  it only appeared in the  Logcat  _x000D_
_x000D_
It seems that the app crash the first time the location is calculated  the library try to get the mean of last 2 seconds locations  but there is one location only so the returned value is  null  _x000D_
_x000D_
I am receiving the error showed below  the location is null so there is no   getAltitude()   method    no distance calculated _x000D_
_x000D_
I have fixed this error by checking the meanLocation if null or not before pass it to the listener  check this  PR (https:  github com neXenio BLE Indoor Positioning pull 104) _x000D_
_x000D_
_x000D_
 img width  822  alt  screen shot 2018 07 16 at 12 50 57 pm  src  https:  user images githubusercontent com 19314956 42766584 875f6dce 8923 11e8 916a e62ab1ca3cac png  _x000D_
 img width  1347  alt  screen shot 2018 07 16 at 12 48 28 pm  src  https:  user images githubusercontent com 19314956 42766585 87863d96 8923 11e8 999f 0bcd6b9b92ed png  _x000D_
</t>
  </si>
  <si>
    <t>MozillaReality-FirefoxReality-167</t>
  </si>
  <si>
    <t>WebVR Link traversal crashes</t>
  </si>
  <si>
    <t xml:space="preserve">STR:_x000D_
1  Go to https:  webvr info samples test vr links html_x000D_
2  Enter VR_x000D_
3  Point and click on of the link traversal cubes_x000D_
_x000D_
   _x000D_
 No change to state_x000D_
07 16 08:20:44 612 6199 6199   W Thread 5: type 1400 audit(0 0:604): avc: denied   read   for name  thread  dev  sysfs  ino 30576 scontext u:r:untrusted app:s0:c512 c768 tcontext u:object r:sysfs:s0 tclass dir permissive 0_x000D_
07 16 08:20:44 963 6168 6556 org mozilla vrbrowser I VrApi: FPS 60 Prd 31ms Tear 0 Early 0 Stale 0 VSnc 1 Lat 0 Fov 0 CPU2 GPU 4 4 1593 510MHz OC F TA E C C SP N N N Mem 1017MHz Free 1050MB PSM 0 PLS 0 Temp 31 0C 0 0C TW 0 00ms App 0 00ms_x000D_
07 16 08:20:45 113 6168 6557 org mozilla vrbrowser I UtilPoller: GPU Util 0 441953   CPU Util 0 602041 (avg 0 531897)_x000D_
07 16 08:20:45 615 6199 6199   W Thread 5: type 1400 audit(0 0:605): avc: denied   read   for name  thread  dev  sysfs  ino 30576 scontext u:r:untrusted app:s0:c512 c768 tcontext u:object r:sysfs:s0 tclass dir permissive 0_x000D_
07 16 08:20:45 963 6168 6556 org mozilla vrbrowser I VrApi: FPS 59 Prd 31ms Tear 0 Early 0 Stale 0 VSnc 1 Lat 0 Fov 0 CPU2 GPU 4 4 1593 510MHz OC F TA E C C SP N N N Mem 1017MHz Free 1050MB PSM 0 PLS 0 Temp 31 0C 0 0C TW 0 00ms App 0 00ms_x000D_
07 16 08:20:46 119 6168 6557 org mozilla vrbrowser I UtilPoller: GPU Util 0 439160   CPU Util 0 762887 (avg 0 697123)_x000D_
07 16 08:20:46 615 6199 6199   W Thread 5: type 1400 audit(0 0:606): avc: denied   read   for name  thread  dev  sysfs  ino 30576 scontext u:r:untrusted app:s0:c512 c768 tcontext u:object r:sysfs:s0 tclass dir permissive 0_x000D_
07 16 08:20:46 974 6168 6556 org mozilla vrbrowser I VrApi: FPS 60 Prd 31ms Tear 0 Early 0 Stale 0 VSnc 1 Lat 0 Fov 0 CPU2 GPU 4 4 1593 510MHz OC F TA E C C SP N N N Mem 1017MHz Free 1049MB PSM 0 PLS 0 Temp 31 0C 0 0C TW 0 00ms App 0 00ms_x000D_
07 16 08:20:47 124 6168 6557 org mozilla vrbrowser I UtilPoller: GPU Util 0 443349   CPU Util 0 865979 (avg 0 761068)_x000D_
07 16 08:20:47 618 6199 6199   W Thread 5: type 1400 audit(0 0:607): avc: denied   read   for name  thread  dev  sysfs  ino 30576 scontext u:r:untrusted app:s0:c512 c768 tcontext u:object r:sysfs:s0 tclass dir permissive 0_x000D_
07 16 08:20:47 968 6168 6556 org mozilla vrbrowser I VrApi: FPS 60 Prd 31ms Tear 0 Early 0 Stale 0 VSnc 1 Lat 0 Fov 0 CPU2 GPU 4 4 1593 510MHz OC F TA E C C SP N N N Mem 1017MHz Free 1049MB PSM 0 PLS 0 Temp 31 0C 0 0C TW 0 00ms App 0 00ms_x000D_
07 16 08:20:48 129 6168 6557 org mozilla vrbrowser I UtilPoller: GPU Util 0 442864   CPU Util 0 831579 (avg 0 712492)_x000D_
07 16 08:20:48 622 6199 6199   W Thread 5: type 1400 audit(0 0:608): avc: denied   read   for name  thread  dev  sysfs  ino 30576 scontext u:r:untrusted app:s0:c512 c768 tcontext u:object r:sysfs:s0 tclass dir permissive 0_x000D_
07 16 08:20:48 968 6168 6556 org mozilla vrbrowser I VrApi: FPS 60 Prd 31ms Tear 0 Early 0 Stale 0 VSnc 1 Lat 0 Fov 0 CPU2 GPU 4 4 1593 510MHz OC F TA E C C SP N N N Mem 1017MHz Free 1049MB PSM 0 PLS 0 Temp 31 0C 0 0C TW 0 00ms App 0 00ms_x000D_
07 16 08:20:49 131 6168 6557 org mozilla vrbrowser I UtilPoller: GPU Util 0 441842   CPU Util 0 797980 (avg 0 706622)_x000D_
07 16 08:20:49 622 6199 6199   W Thread 5: type 1400 audit(0 0:609): avc: denied   read   for name  thread  dev  sysfs  ino 30576 scontext u:r:untrusted app:s0:c512 c768 tcontext u:object r:sysfs:s0 tclass dir permissive 0_x000D_
07 16 08:20:49 967 6168 6556 org mozilla vrbrowser I VrApi: FPS 60 Prd 31ms Tear 0 Early 0 Stale 0 VSnc 1 Lat 0 Fov 0 CPU2 GPU 4 4 1593 510MHz OC F TA E C C SP N N N Mem 1017MHz Free 1048MB PSM 0 PLS 0 Temp 31 0C 0 0C TW 0 00ms App 0 00ms_x000D_
07 16 08:20:50 133 6168 6557 org mozilla vrbrowser I UtilPoller: GPU Util 0 444882   CPU Util 0 696970 (avg 0 647928)_x000D_
07 16 08:20:50 625 6199 6199   W Thread 5: type 1400 audit(0 0:610): avc: denied   read   for name  thread  dev  sysfs  ino 30576 scontext u:r:untrusted app:s0:c512 c768 tcontext u:object r:sysfs:s0 tclass dir permissive 0_x000D_
07 16 08:20:50 965 6168 6556 org mozilla vrbrowser I VrApi: FPS 60 Prd 31ms Tear 0 Early 0 Stale 0 VSnc 1 Lat 0 Fov 0 CPU2 GPU 4 4 1593 510MHz OC F TA E C C SP N N N Mem 1017MHz Free 1048MB PSM 0 PLS 0 Temp 31 0C 0 0C TW 0 00ms App 0 00ms_x000D_
07 16 08:20:51 136 6168 6557 org mozilla vrbrowser I UtilPoller: GPU Util 0 444630   CPU Util 0 591837 (avg 0 529130)_x000D_
07 16 08:20:51 612 6199 6199   W Thread 5: type 1400 audit(0 0:611): avc: denied   read   for name  thread  dev  sysfs  ino 30576 scontext u:r:untrusted app:s0:c512 c768 tcontext u:object r:sysfs:s0 tclass dir permissive 0_x000D_
07 16 08:20:51 964 6168 6556 org mozilla vrbrowser I VrApi: FPS 60 Prd 31ms Tear 0 Early 0 Stale 0 VSnc 1 Lat 0 Fov 0 CPU2 GPU 4 4 1593 510MHz OC F TA E C C SP N N N Mem 1017MHz Free 1049MB PSM 0 PLS 0 Temp 31 0C 0 0C TW 0 00ms App 0 00ms_x000D_
07 16 08:20:52 139 6168 6557 org mozilla vrbrowser I UtilPoller: GPU Util 0 444912   CPU Util 0 603960 (avg 0 495779)_x000D_
07 16 08:20:52 615 6199 6199   W Thread 5: type 1400 audit(0 0:612): avc: denied   read   for name  thread  dev  sysfs  ino 30576 scontext u:r:untrusted app:s0:c512 c768 tcontext u:object r:sysfs:s0 tclass dir permissive 0_x000D_
07 16 08:20:52 965 6168 6556 org mozilla vrbrowser I VrApi: FPS 59 Prd 31ms Tear 0 Early 0 Stale 0 VSnc 1 Lat 0 Fov 0 CPU2 GPU 4 4 1593 510MHz OC F TA E C C SP N N N Mem 1017MHz Free 1049MB PSM 0 PLS 0 Temp 31 0C 0 0C TW 0 00ms App 0 00ms_x000D_
07 16 08:20:53 141 6168 6557 org mozilla vrbrowser I UtilPoller: GPU Util 0 443990   CPU Util 0 606061 (avg 0 507158)_x000D_
07 16 08:20:53 632 6199 6199   W Thread 5: type 1400 audit(0 0:613): avc: denied   read   for name  thread  dev  sysfs  ino 30576 scontext u:r:untrusted app:s0:c512 c768 tcontext u:object r:sysfs:s0 tclass dir permissive 0_x000D_
07 16 08:20:53 964 6168 6556 org mozilla vrbrowser I VrApi: FPS 60 Prd 31ms Tear 0 Early 0 Stale 0 VSnc 1 Lat 0 Fov 0 CPU2 GPU 4 4 1593 510MHz OC F TA E C C SP N N N Mem 1017MHz Free 1052MB PSM 0 PLS 0 Temp 31 0C 0 0C TW 0 00ms App 0 00ms_x000D_
07 16 08:20:54 099 6168 6199 org mozilla vrbrowser V threaded app: New input event: type 2_x000D_
    New input event: type 2_x000D_
07 16 08:20:54 116 6168 6199 org mozilla vrbrowser V threaded app: New input event: type 2_x000D_
07 16 08:20:54 133 6168 6199 org mozilla vrbrowser V threaded app: New input event: type 2_x000D_
07 16 08:20:54 142 6168 6557 org mozilla vrbrowser I UtilPoller: GPU Util 0 420406   CPU Util 0 612903 (avg 0 572019)_x000D_
07 16 08:20:54 155 6168 6199 org mozilla vrbrowser V threaded app: New input event: type 2_x000D_
07 16 08:20:54 163 6168 6198 org mozilla vrbrowser D GeckoViewNavigation C : loadURI: uri https:  webvr info samples test vr links html id 1 where 1 flags 0_x000D_
07 16 08:20:54 176 6168 6199 org mozilla vrbrowser V threaded app: New input event: type 2_x000D_
07 16 08:20:54 184 6168 6198 org mozilla vrbrowser D GeckoViewNavigation C : loadURI: uri https:  webvr info samples test vr links html id 1 where 1 flags 0_x000D_
07 16 08:20:54 202 6168 6199 org mozilla vrbrowser V threaded app: New input event: type 2_x000D_
07 16 08:20:54 208 6168 6198 org mozilla vrbrowser D GeckoViewNavigation C : loadURI: uri https:  webvr info samples test vr links html id 1 where 1 flags 0_x000D_
07 16 08:20:54 220 6168 6199 org mozilla vrbrowser V threaded app: New input event: type 2_x000D_
07 16 08:20:54 225 6168 6198 org mozilla vrbrowser D GeckoViewNavigation C : loadURI: uri https:  webvr info samples test vr links html id 1 where 1 flags 0_x000D_
07 16 08:20:54 237 6168 6198 org mozilla vrbrowser D GeckoViewNavigation C : loadURI: uri https:  webvr info samples test vr links html id 1 where 1 flags 0_x000D_
07 16 08:20:54 249 6168 6198 org mozilla vrbrowser D GeckoViewNavigation C : loadURI: uri https:  webvr info samples test vr links html id 1 where 1 flags 0_x000D_
07 16 08:20:54 265 6168 6198 org mozilla vrbrowser D GeckoViewNavigation C : loadURI: uri https:  webvr info samples test vr links html id 1 where 1 flags 0_x000D_
07 16 08:20:54 273 6168 6198 org mozilla vrbrowser D GeckoViewProgress: onStateChange: isTopLevel true  flags 0xf0001  status NS OK_x000D_
07 16 08:20:54 274 6168 6198 org mozilla vrbrowser D GeckoViewProgress: onStateChange: uri https:  webvr info samples test vr links html id 1_x000D_
07 16 08:20:54 275 6168 6168 org mozilla vrbrowser E VRB: SessionStore onPageStart: https:  webvr info samples test vr links html id 1_x000D_
    Got onPageStart: https:  webvr info samples test vr links html id 1_x000D_
07 16 08:20:54 282 6168 6198 org mozilla vrbrowser D GeckoViewProgress: onStateChange: isTopLevel true  flags 0xc0010  status NS BINDING ABORTED_x000D_
07 16 08:20:54 285 6168 6198 org mozilla vrbrowser D GeckoViewProgress: onStateChange: uri https:  webvr info samples test vr links html id 1_x000D_
07 16 08:20:54 289 6168 6198 org mozilla vrbrowser D GeckoViewProgress: onStateChange: isTopLevel true  flags 0xf0001  status NS OK_x000D_
07 16 08:20:54 290 6168 6198 org mozilla vrbrowser D GeckoViewProgress: onStateChange: uri https:  webvr info samples test vr links html id 1_x000D_
07 16 08:20:54 298 6168 6198 org mozilla vrbrowser D GeckoViewProgress: onStateChange: isTopLevel true  flags 0xc0010  status NS BINDING ABORTED_x000D_
07 16 08:20:54 299 6168 6198 org mozilla vrbrowser D GeckoViewProgress: onStateChange: uri https:  webvr info samples test vr links html id 1_x000D_
07 16 08:20:54 302 6168 6198 org mozilla vrbrowser D GeckoViewProgress: onStateChange: isTopLevel true  flags 0xf0001  status NS OK_x000D_
07 16 08:20:54 303 6168 6198 org mozilla vrbrowser D GeckoViewProgress: onStateChange: uri https:  webvr info samples test vr links html id 1_x000D_
07 16 08:20:54 303 6168 6168 org mozilla vrbrowser W OpenGLRenderer: Points are too far apart 4 047089_x000D_
    Points are too far apart 4 043456_x000D_
07 16 08:20:54 310 6168 6168 org mozilla vrbrowser E VRB: SessionStore onPageStop_x000D_
07 16 08:20:54 310 6168 6198 org mozilla vrbrowser D GeckoViewProgress: onStateChange: isTopLevel true  flags 0xc0010  status NS BINDING ABORTED_x000D_
07 16 08:20:54 311 6168 6198 org mozilla vrbrowser D GeckoViewProgress: onStateChange: uri https:  webvr info samples test vr links html id 1_x000D_
07 16 08:20:54 313 6168 6168 org mozilla vrbrowser E VRB: SessionStore onPageStart: https:  webvr info samples test vr links html id 1_x000D_
07 16 08:20:54 314 6168 6168 org mozilla vrbrowser E VRB: Got onPageStart: https:  webvr info samples test vr links html id 1_x000D_
07 16 08:20:54 314 6168 6198 org mozilla vrbrowser D GeckoViewProgress: onStateChange: isTopLevel true  flags 0xf0001  status NS OK_x000D_
07 16 08:20:54 315 6168 6198 org mozilla vrbrowser D GeckoViewProgress: onStateChange: uri https:  webvr info samples test vr links html id 1_x000D_
07 16 08:20:54 317 6168 6168 org mozilla vrbrowser E VRB: SessionStore onPageStop_x000D_
07 16 08:20:54 318 6168 6168 org mozilla vrbrowser E VRB: SessionStore onPageStart: https:  webvr info samples test vr links html id 1_x000D_
07 16 08:20:54 319 6168 6168 org mozilla vrbrowser E VRB: Got onPageStart: https:  webvr info samples test vr links html id 1_x000D_
07 16 08:20:54 323 6168 6198 org mozilla vrbrowser D GeckoViewProgress: onStateChange: isTopLevel true  flags 0xc0010  status NS BINDING ABORTED_x000D_
    onStateChange: uri https:  webvr info samples test vr links html id 1_x000D_
07 16 08:20:54 327 6168 6198 org mozilla vrbrowser D GeckoViewProgress: onStateChange: isTopLevel true  flags 0xf0001  status NS OK_x000D_
07 16 08:20:54 328 6168 6198 org mozilla vrbrowser D GeckoViewProgress: onStateChange: uri https:  webvr info samples test vr links html id 1_x000D_
07 16 08:20:54 333 6168 6168 org mozilla vrbrowser W OpenGLRenderer: Points are too far apart 4 047089_x000D_
07 16 08:20:54 334 6168 6168 org mozilla vrbrowser W OpenGLRenderer: Points are too far apart 4 043456_x000D_
07 16 08:20:54 339 6168 6168 org mozilla vrbrowser E VRB: SessionStore onPageStop_x000D_
07 16 08:20:54 340 6168 6168 org mozilla vrbrowser E VRB: SessionStore onPageStart: https:  webvr info samples test vr links html id 1_x000D_
    Got onPageStart: https:  webvr info samples test vr links html id 1_x000D_
07 16 08:20:54 343 6168 6168 org mozilla vrbrowser E VRB: SessionStore onPageStop_x000D_
07 16 08:20:54 346 6168 6168 org mozilla vrbrowser E VRB: SessionStore onPageStart: https:  webvr info samples test vr links html id 1_x000D_
    Got onPageStart: https:  webvr info samples test vr links html id 1_x000D_
07 16 08:20:54 352 6168 6198 org mozilla vrbrowser D GeckoViewProgress: onStateChange: isTopLevel true  flags 0xc0010  status NS BINDING ABORTED_x000D_
07 16 08:20:54 353 6168 6198 org mozilla vrbrowser D GeckoViewProgress: onStateChange: uri https:  webvr info samples test vr links html id 1_x000D_
07 16 08:20:54 356 6168 6168 org mozilla vrbrowser W OpenGLRenderer: Points are too far apart 4 047089_x000D_
07 16 08:20:54 357 6168 6168 org mozilla vrbrowser W OpenGLRenderer: Points are too far apart 4 043456_x000D_
07 16 08:20:54 364 6168 6168 org mozilla vrbrowser E VRB: SessionStore onPageStop_x000D_
07 16 08:20:54 364 6168 6198 org mozilla vrbrowser D GeckoViewProgress: onStateChange: isTopLevel true  flags 0xf0001  status NS OK_x000D_
07 16 08:20:54 366 6168 6198 org mozilla vrbrowser D GeckoViewProgress: onStateChange: uri https:  webvr info samples test vr links html id 1_x000D_
07 16 08:20:54 372 6168 6555 org mozilla vrbrowser D VrApi: setSchedFifoStatic tid:6199 pto:0_x000D_
07 16 08:20:54 373 6168 6555 org mozilla vrbrowser I Clocks: SetSchedFifo( tid 6199  pri 0 ) succeeded_x000D_
07 16 08:20:54 373 6168 6555 org mozilla vrbrowser D VrApi: setSchedFifoStatic tid:6199 pto:0_x000D_
07 16 08:20:54 375 6168 6555 org mozilla vrbrowser I Clocks: SetSchedFifo( tid 6199  pri 0 ) succeeded_x000D_
07 16 08:20:54 381 6168 6198 org mozilla vrbrowser D GeckoViewProgress: onStateChange: isTopLevel true  flags 0xc0010  status NS BINDING ABORTED_x000D_
07 16 08:20:54 382 6168 6198 org mozilla vrbrowser D GeckoViewProgress: onStateChange: uri https:  webvr info samples test vr links html id 1_x000D_
07 16 08:20:54 384 6168 6168 org mozilla vrbrowser E VRB: SessionStore onPageStart: https:  webvr info samples test vr links html id 1_x000D_
    Got onPageStart: https:  webvr info samples test vr links html id 1_x000D_
07 16 08:20:54 385 6168 6198 org mozilla vrbrowser D GeckoViewProgress: onStateChange: isTopLevel true  flags 0xf0001  status NS OK_x000D_
07 16 08:20:54 386 6168 6198 org mozilla vrbrowser D GeckoViewProgress: onStateChange: uri https:  webvr info samples test vr links html id 1_x000D_
07 16 08:20:54 390 6168 6168 org mozilla vrbrowser E VRB: SessionStore onPageStop_x000D_
07 16 08:20:54 391 6168 6168 org mozilla vrbrowser E VRB: SessionStore onPageStart: https:  webvr info samples test vr links html id 1_x000D_
    Got onPageStart: https:  webvr info samples test vr links html id 1_x000D_
07 16 08:20:54 405 6168 6555 org mozilla vrbrowser D VrApi: setSchedFifoStatic tid:6199 pto:1_x000D_
07 16 08:20:54 407 6168 6555 org mozilla vrbrowser I Clocks: SetSchedFifo( tid 6199  pri 1 ) succeeded_x000D_
07 16 08:20:54 407 6168 6555 org mozilla vrbrowser D VrApi: setSchedFifoStatic tid:6199 pto:1_x000D_
07 16 08:20:54 408 6168 6555 org mozilla vrbrowser I Clocks: SetSchedFifo( tid 6199  pri 1 ) succeeded_x000D_
07 16 08:20:54 412 6168 6168 org mozilla vrbrowser W OpenGLRenderer: Points are too far apart 4 047089_x000D_
    Points are too far apart 4 043456_x000D_
07 16 08:20:54 618 6199 6199   W Thread 5: type 1400 audit(0 0:614): avc: denied   read   for name  thread  dev  sysfs  ino 30576 scontext u:r:untrusted app:s0:c512 c768 tcontext u:object r:sysfs:s0 tclass dir permissive 0_x000D_
07 16 08:20:54 644 6168 6198 org mozilla vrbrowser D GeckoViewProgress: onLocationChange: location https:  webvr info samples test vr links html id 1  flags 0_x000D_
07 16 08:20:54 645 6168 6198 org mozilla vrbrowser D GeckoViewNavigation: onLocationChange_x000D_
07 16 08:20:54 646 6168 6198 org mozilla vrbrowser D GeckoViewProgress: onSecurityChange_x000D_
07 16 08:20:54 658 6168 6168 org mozilla vrbrowser E VRB: SessionStore onLocationChange: https:  webvr info samples test vr links html id 1_x000D_
07 16 08:20:54 659 6168 6168 org mozilla vrbrowser E VRB: Got location change: https:  webvr info samples test vr links html id 1_x000D_
07 16 08:20:54 659 6168 6199 org mozilla vrbrowser I VRB: Creating GeckoSurfaceTexture for handle: 0_x000D_
    Unable to find GeckoSurfaceTexture with handle: 0_x000D_
    Failed to find GeckoSurfaceTexture for handle: 0_x000D_
    ExternalBlitter::Draw FAILED _x000D_
    ExternalBlitter::Draw FAILED _x000D_
07 16 08:20:54 662 6168 6168 org mozilla vrbrowser E VRB: SessionStore onCanGoBack: TRUE_x000D_
    Got onCanGoBack: TRUE_x000D_
    SessionStore onCanGoForward: FALSE_x000D_
    Got onCanGoForward: FALSE_x000D_
07 16 08:20:54 663 6168 6168 org mozilla vrbrowser E VRB: SessionStore onPageStop_x000D_
07 16 08:20:54 664 6168 6168 org mozilla vrbrowser E VRB: Got onSecurityChange: true_x000D_
07 16 08:20:54 716 6168 6198 org mozilla vrbrowser D GeckoViewProgress: onSecurityChange_x000D_
07 16 08:20:54 720 6168 6168 org mozilla vrbrowser E VRB: Compositor Resumed_x000D_
07 16 08:20:54 724 6168 6198 org mozilla vrbrowser D GeckoViewContent C : handleEvent: DOMTitleChanged_x000D_
07 16 08:20:54 734 6168 6168 org mozilla vrbrowser E VRB: SessionStore onTitleChange_x000D_
07 16 08:20:54 746 6168 6198 org mozilla vrbrowser I nsScreenManagerAndroid: nsWindow 0xb8efd820 ::Resize  0 000000 0 000000 1920 000000 1080 000000  (repaint 0)_x000D_
07 16 08:20:54 751 6168 6198 org mozilla vrbrowser A libc: Fatal signal 11 (SIGSEGV)  code 1  fault addr 0x0 in tid 6198 (Gecko)_x000D_
07 16 08:20:55 415 624 624   W debuggerd:dmp: type 1400 audit(0 0:615): avc: denied   search   for name  org mozilla vrbrowser  dev  sda8  ino 90238 scontext u:r:debuggerd:s0 tcontext u:object r:app data file:s0:c512 c768 tclass dir permissive 0_x000D_
07 16 08:20:55 418 624 624   W debuggerd:dmp: type 1400 audit(0 0:616): avc: denied   search   for name  org mozilla vrbrowser  dev  sda8  ino 90238 scontext u:r:debuggerd:s0 tcontext u:object r:app data file:s0:c512 c768 tclass dir permissive 0_x000D_
    type 1400 audit(0 0:617): avc: denied   search   for name  org mozilla vrbrowser  dev  sda8  ino 90238 scontext u:r:debuggerd:s0 tcontext u:object r:app data file:s0:c512 c768 tclass dir permissive 0_x000D_
    type 1400 audit(0 0:618): avc: denied   search   for name  org mozilla vrbrowser  dev  sda8  ino 90238 scontext u:r:debuggerd:s0 tcontext u:object r:app data file:s0:c512 c768 tclass dir permissive 0_x000D_
07 16 08:20:55 422 624 624   W debuggerd:dmp: type 1400 audit(0 0:619): avc: denied   search   for name  org mozilla vrbrowser  dev  sda8  ino 90238 scontext u:r:debuggerd:s0 tcontext u:object r:app data file:s0:c512 c768 tclass dir permissive 0_x000D_
    type 1400 audit(0 0:620): avc: denied   search   for name  org mozilla vrbrowser  dev  sda8  ino 90238 scontext u:r:debuggerd:s0 tcontext u:object r:app data file:s0:c512 c768 tclass dir permissive 0_x000D_
    type 1400 audit(0 0:621): avc: denied   search   for name  org mozilla vrbrowser  dev  sda8  ino 90238 scontext u:r:debuggerd:s0 tcontext u:object r:app data file:s0:c512 c768 tclass dir permissive 0_x000D_
07 16 08:20:55 425 624 624   W debuggerd:dmp: type 1400 audit(0 0:622): avc: denied   search   for name  org mozilla vrbrowser  dev  sda8  ino 90238 scontext u:r:debuggerd:s0 tcontext u:object r:app data file:s0:c512 c768 tclass dir permissive 0_x000D_
    type 1400 audit(0 0:623): avc: denied   search   for name  org mozilla vrbrowser  dev  sda8  ino 90238 scontext u:r:debuggerd:s0 tcontext u:object r:app data file:s0:c512 c768 tclass dir permissive 0_x000D_
    type 1400 audit(0 0:624): avc: denied   search   for name  org mozilla vrbrowser  dev  sda8  ino 90238 scontext u:r:debuggerd:s0 tcontext u:object r:app data file:s0:c512 c768 tclass dir permissive 0_x000D_
    type 1400 audit(0 0:625): avc: denied   search   for name  org mozilla vrbrowser  dev  sda8  ino 90238 scontext u:r:debuggerd:s0 tcontext u:object r:app data file:s0:c512 c768 tclass dir permissive 0_x000D_
    type 1400 audit(0 0:626): avc: denied   search   for name  org mozilla vrbrowser  dev  sda8  ino 90238 scontext u:r:debuggerd:s0 tcontext u:object r:app data file:s0:c512 c768 tclass dir permissive 0_x000D_
07 16 08:20:55 428 624 624   W debuggerd:dmp: type 1400 audit(0 0:627): avc: denied   search   for name  org mozilla vrbrowser  dev  sda8  ino 90238 scontext u:r:debuggerd:s0 tcontext u:object r:app data file:s0:c512 c768 tclass dir permissive 0_x000D_
    type 1400 audit(0 0:628): avc: denied   search   for name  org mozilla vrbrowser  dev  sda8  ino 90238 scontext u:r:debuggerd:s0 tcontext u:object r:app data file:s0:c512 c768 tclass dir permissive 0_x000D_
    type 1400 audit(0 0:629): avc: denied   search   for name  org mozilla vrbrowser  dev  sda8  ino 90238 scontext u:r:debuggerd:s0 tcontext u:object r:app data file:s0:c512 c768 tclass dir permissive 0_x000D_
    type 1400 audit(0 0:630): avc: denied   search   for name  org mozilla vrbrowser  dev  sda8  ino 90238 scontext u:r:debuggerd:s0 tcontext u:object r:app data file:s0:c512 c768 tclass dir permissive 0_x000D_
    type 1400 audit(0 0:631): avc: denied   search   for name  org mozilla vrbrowser  dev  sda8  ino 90238 scontext u:r:debuggerd:s0 tcontext u:object r:app data file:s0:c512 c768 tclass dir permissive 0_x000D_
    type 1400 audit(0 0:632): avc: denied   search   for name  org mozilla vrbrowser  dev  sda8  ino 90238 scontext u:r:debuggerd:s0 tcontext u:object r:app data file:s0:c512 c768 tclass dir permissive 0_x000D_
07 16 08:20:55 432 624 624   W debuggerd:dmp: type 1400 audit(0 0:633): avc: denied   search   for name  org mozilla vrbrowser  dev  sda8  ino 90238 scontext u:r:debuggerd:s0 tcontext u:object r:app data file:s0:c512 c768 tclass dir permissive 0_x000D_
07 16 08:20:55 435 624 624   W debuggerd:dmp: type 1400 audit(0 0:634): avc: denied   search   for name  org mozilla vrbrowser  dev  sda8  ino 90238 scontext u:r:debuggerd:s0 tcontext u:object r:app data file:s0:c512 c768 tclass dir permissive 0_x000D_
07 16 08:20:55 438 624 624   W debuggerd:dmp: type 1400 audit(0 0:635): avc: denied   search   for name  org mozilla vrbrowser  dev  sda8  ino 90238 scontext u:r:debuggerd:s0 tcontext u:object r:app data file:s0:c512 c768 tclass dir permissive 0_x000D_
07 16 08:20:55 495 624 624   W debuggerd:dmp: type 1400 audit(0 0:636): avc: denied   search   for name  org mozilla vrbrowser  dev  sda8  ino 90238 scontext u:r:debuggerd:s0 tcontext u:object r:app data file:s0:c512 c768 tclass dir permissive 0_x000D_
    type 1400 audit(0 0:637): avc: denied   search   for name  org mozilla vrbrowser  dev  sda8  ino 90238 scontext u:r:debuggerd:s0 tcontext u:object r:app data file:s0:c512 c768 tclass dir permissive 0_x000D_
    type 1400 audit(0 0:638): avc: denied   search   for name  org mozilla vrbrowser  dev  sda8  ino 90238 scontext u:r:debuggerd:s0 tcontext u:object r:app data file:s0:c512 c768 tclass dir permissive 0_x000D_
07 16 08:20:55 498 624 624   W debuggerd:dmp: type 1400 audit(0 0:639): avc: denied   search   for name  org mozilla vrbrowser  dev  sda8  ino 90238 scontext u:r:debuggerd:s0 tcontext u:object r:app data file:s0:c512 c768 tclass dir permissive 0_x000D_
07 16 08:20:55 683 6168 6555 org mozilla vrbrowser I TimeWarp: Will tear: 0 811362_x000D_
07 16 08:20:55 683 6168 6555 org mozilla vrbrowser I Vsync: Vsync 322135: 50 x 16 71 ms (59 86 Hz  at 5369 068)_x000D_
07 16 08:20:55 683 6168 6555 org mozilla vrbrowser I TimeWarp: Adjusting 322135 17   322087 to 322135_x000D_
07 16 08:20:55 683 626 804   D crash reporter device: allow to upload crashes _x000D_
07 16 08:20:55 683 6168 6555 org mozilla vrbrowser D VrApi: setSchedFifoStatic tid:6199 pto:0_x000D_
07 16 08:20:55 684 6168 6555 org mozilla vrbrowser I Clocks: SetSchedFifo( tid 6199  pri 0 ) succeeded_x000D_
07 16 08:20:55 684 6168 6555 org mozilla vrbrowser D VrApi: setSchedFifoStatic tid:6199 pto:0_x000D_
07 16 08:20:55 686 6168 6168 org mozilla vrbrowser I Choreographer: Skipped 60 frames   The application may be doing too much work on its main thread _x000D_
07 16 08:20:55 686 6168 6555 org mozilla vrbrowser I Clocks: SetSchedFifo( tid 6199  pri 0 ) succeeded_x000D_
07 16 08:20:55 689 624 624   I crash reporter: native crash collected for process 6168 at  data misc crashes org mozilla vrbrowser 2018 07 16 08 20 54 crash meta_x000D_
07 16 08:20:55 689 626 804   E crash reporter utils: could not open  data misc crashes org mozilla vrbrowser 2018 05 25 07 34 45 crash_x000D_
07 16 08:20:55 689 626 804   E crash uploader: could not read minidump content at  data misc crashes org mozilla vrbrowser 2018 05 25 07 34 45 crash_x000D_
   </t>
  </si>
  <si>
    <t>MozillaReality-FirefoxReality-166</t>
  </si>
  <si>
    <t>Hubs crashes</t>
  </si>
  <si>
    <t xml:space="preserve">   _x000D_
07 16 07:29:03 985 4572 4572   E VRB: SessionStore onLocationChange: https:  hubs mozilla com 0kvlna2a3fp caring passionate plaza_x000D_
07 16 07:29:03 986 4572 4572   E VRB: Got location change: https:  hubs mozilla com 0kvlna2a3fp caring passionate plaza_x000D_
07 16 07:29:03 987 4572 4572   E VRB: SessionStore onCanGoBack: TRUE_x000D_
    Got onCanGoBack: TRUE_x000D_
    SessionStore onCanGoForward: FALSE_x000D_
    Got onCanGoForward: FALSE_x000D_
07 16 07:29:03 988 4572 4572   E VRB: SessionStore onPageStop_x000D_
    Got onSecurityChange: true_x000D_
07 16 07:29:03 988 4572 4577   I art: Do partial code cache collection  code 26KB  data 30KB_x000D_
07 16 07:29:03 994 4572 4577   I art: After code cache collection  code 22KB  data 28KB_x000D_
    Increasing code cache capacity to 128KB_x000D_
07 16 07:29:04 005 610 610   I AudioPolicyManagerCustom: setting force DEEP buffer now _x000D_
07 16 07:29:04 010 610 2471   I AudioPolicyManagerCustom: setting force DEEP buffer now _x000D_
07 16 07:29:04 019 610 1020   I AudioPolicyManagerCustom: setting force DEEP buffer now _x000D_
07 16 07:29:04 020 610 1019   I AudioPolicyManagerCustom: setting force DEEP buffer now _x000D_
07 16 07:29:04 026 610 2471   I AudioPolicyManagerCustom: setting force DEEP buffer now _x000D_
07 16 07:29:04 026 610 1020   I AudioPolicyManagerCustom: setting force DEEP buffer now _x000D_
07 16 07:29:04 027 610 1019   I AudioPolicyManagerCustom: setting force DEEP buffer now _x000D_
07 16 07:29:04 028 610 610   I AudioPolicyManagerCustom: setting force DEEP buffer now _x000D_
07 16 07:29:04 030 610 1020   I AudioPolicyManagerCustom: setting force DEEP buffer now _x000D_
07 16 07:29:04 069 4572 4742   I UtilPoller: GPU Util 0 547489   CPU Util 0 774194 (avg 0 667950)_x000D_
07 16 07:29:04 136 4572 4603   D GeckoViewContent C : handleEvent: DOMTitleChanged_x000D_
07 16 07:29:04 147 4572 4603   D GeckoViewProgress: onSecurityChange_x000D_
07 16 07:29:04 157 4572 4572   E VRB: SessionStore onTitleChange_x000D_
07 16 07:29:04 625 4604 4604   W Thread 5: type 1400 audit(0 0:299): avc: denied   read   for name  thread  dev  sysfs  ino 30576 scontext u:r:untrusted app:s0:c512 c768 tcontext u:object r:sysfs:s0 tclass dir permissive 0_x000D_
07 16 07:29:04 866 4572 4741   I VrApi: FPS 60 Prd 31ms Tear 0 Early 0 Stale 0 VSnc 1 Lat 0 Fov 0 CPU2 GPU 4 4 1593 510MHz OC F TA E C C SP N N N Mem 1804MHz Free 1254MB PSM 0 PLS 0 Temp 30 7C 0 0C TW 0 00ms App 0 00ms_x000D_
07 16 07:29:05 025 4572 4604   V threaded app: New input event: type 2_x000D_
07 16 07:29:05 042 4572 4604   V threaded app: New input event: type 2_x000D_
07 16 07:29:05 057 4572 4572   E VRB:                REQUESTING FOCUS_x000D_
07 16 07:29:05 058 4572 4604   V threaded app: New input event: type 2_x000D_
07 16 07:29:05 072 4572 4742   I UtilPoller: GPU Util 0 503254   CPU Util 0 755319 (avg 0 708602)_x000D_
07 16 07:29:05 075 4572 4604   V threaded app: New input event: type 2_x000D_
07 16 07:29:05 092 4572 4604   V threaded app: New input event: type 2_x000D_
07 16 07:29:05 108 4572 4604   V threaded app: New input event: type 2_x000D_
07 16 07:29:05 125 4572 4604   V threaded app: New input event: type 2_x000D_
07 16 07:29:05 142 4572 4604   V threaded app: New input event: type 2_x000D_
07 16 07:29:05 159 4572 4604   V threaded app: New input event: type 2_x000D_
    New input event: type 2_x000D_
07 16 07:29:05 607 1271 1271   D CompanionState: CompanionState Receiver:android intent action BATTERY CHANGED_x000D_
07 16 07:29:05 613 1271 1271   D CompanionState: Charging current 940241_x000D_
    No change to state_x000D_
07 16 07:29:05 628 4604 4604   W Thread 5: type 1400 audit(0 0:300): avc: denied   read   for name  thread  dev  sysfs  ino 30576 scontext u:r:untrusted app:s0:c512 c768 tcontext u:object r:sysfs:s0 tclass dir permissive 0_x000D_
07 16 07:29:05 866 4572 4741   I VrApi: FPS 60 Prd 31ms Tear 0 Early 0 Stale 0 VSnc 1 Lat 0 Fov 0 CPU2 GPU 4 4 1593 510MHz OC F TA E C C SP N N N Mem 1804MHz Free 1248MB PSM 0 PLS 0 Temp 30 7C 0 0C TW 0 00ms App 0 00ms_x000D_
07 16 07:29:06 075 4572 4742   I UtilPoller: GPU Util 0 507155   CPU Util 0 860000 (avg 0 802903)_x000D_
07 16 07:29:06 615 4604 4604   W Thread 5: type 1400 audit(0 0:301): avc: denied   read   for name  thread  dev  sysfs  ino 30576 scontext u:r:untrusted app:s0:c512 c768 tcontext u:object r:sysfs:s0 tclass dir permissive 0_x000D_
07 16 07:29:06 779 4572 4604   V threaded app: New input event: type 2_x000D_
07 16 07:29:06 796 4572 4604   V threaded app: New input event: type 2_x000D_
07 16 07:29:06 813 4572 4572   E VRB:                REQUESTING FOCUS_x000D_
07 16 07:29:06 813 4572 4604   V threaded app: New input event: type 2_x000D_
07 16 07:29:06 829 4572 4604   V threaded app: New input event: type 2_x000D_
07 16 07:29:06 846 4572 4604   V threaded app: New input event: type 2_x000D_
07 16 07:29:06 863 4572 4604   V threaded app: New input event: type 2_x000D_
07 16 07:29:06 873 4572 4741   I VrApi: FPS 60 Prd 31ms Tear 0 Early 0 Stale 0 VSnc 1 Lat 0 Fov 0 CPU2 GPU 4 4 1593 510MHz OC F TA E C C SP N N N Mem 1804MHz Free 1242MB PSM 0 PLS 0 Temp 30 7C 0 0C TW 0 00ms App 0 00ms_x000D_
07 16 07:29:06 879 4572 4604   V threaded app: New input event: type 2_x000D_
07 16 07:29:06 896 4572 4604   V threaded app: New input event: type 2_x000D_
07 16 07:29:06 913 4572 4604   V threaded app: New input event: type 2_x000D_
07 16 07:29:06 929 4572 4604   V threaded app: New input event: type 2_x000D_
07 16 07:29:07 076 4572 4742   I UtilPoller: GPU Util 0 503946   CPU Util 0 819149 (avg 0 721812)_x000D_
07 16 07:29:07 214 4572 4604   V threaded app: New input event: type 2_x000D_
07 16 07:29:07 247 4572 4604   V threaded app: New input event: type 2_x000D_
07 16 07:29:07 262 4572 4572   E VRB:                REQUESTING FOCUS_x000D_
07 16 07:29:07 264 4572 4604   V threaded app: New input event: type 2_x000D_
07 16 07:29:07 280 4572 4604   V threaded app: New input event: type 2_x000D_
07 16 07:29:07 297 4572 4604   V threaded app: New input event: type 2_x000D_
07 16 07:29:07 314 4572 4604   V threaded app: New input event: type 2_x000D_
07 16 07:29:07 330 4572 4604   V threaded app: New input event: type 2_x000D_
07 16 07:29:07 414 4572 4604   V threaded app: New input event: type 2_x000D_
07 16 07:29:07 447 4572 4604   V threaded app: New input event: type 2_x000D_
07 16 07:29:07 464 4572 4572   E VRB:                REQUESTING FOCUS_x000D_
07 16 07:29:07 464 4572 4604   V threaded app: New input event: type 2_x000D_
07 16 07:29:07 481 4572 4604   V threaded app: New input event: type 2_x000D_
07 16 07:29:07 497 4572 4604   V threaded app: New input event: type 2_x000D_
07 16 07:29:07 514 4572 4604   V threaded app: New input event: type 2_x000D_
07 16 07:29:07 531 4572 4604   V threaded app: New input event: type 2_x000D_
07 16 07:29:07 615 4604 4604   W Thread 5: type 1400 audit(0 0:302): avc: denied   read   for name  thread  dev  sysfs  ino 30576 scontext u:r:untrusted app:s0:c512 c768 tcontext u:object r:sysfs:s0 tclass dir permissive 0_x000D_
07 16 07:29:07 631 4572 4604   V threaded app: New input event: type 2_x000D_
07 16 07:29:07 648 4572 4604   V threaded app: New input event: type 2_x000D_
07 16 07:29:07 659 4572 4572   E VRB:                REQUESTING FOCUS_x000D_
07 16 07:29:07 665 4572 4604   V threaded app: New input event: type 2_x000D_
07 16 07:29:07 681 4572 4604   V threaded app: New input event: type 2_x000D_
07 16 07:29:07 698 4572 4604   V threaded app: New input event: type 2_x000D_
    New input event: type 2_x000D_
07 16 07:29:07 791 4572 4858   I libOpenSLES: Emulating old channel mask behavior (ignoring positional mask 0x3  using default mask 0x3 based on channel count of 2)_x000D_
07 16 07:29:07 796 610 1020   I AudioPolicyManagerCustom: Direct PCM is disabled for this request_x000D_
07 16 07:29:07 797 610 1019   D compress voip: voice extn compress voip out get parameters: enter_x000D_
07 16 07:29:07 798 4572 4858   D AudioTrack: Client defaulted notificationFrames to 192 for frameCount 768_x000D_
07 16 07:29:07 803 4572 4858   D AudioTrack: updateAppOpsPlayAudio: checkOp OP PLAY AUDIO for org mozilla vrbrowser returns: 0 (ALLOWED)_x000D_
07 16 07:29:07 867 4572 4741   I VrApi: FPS 59 Prd 31ms Tear 0 Early 0 Stale 0 VSnc 1 Lat 0 Fov 0 CPU2 GPU 4 4 1593 510MHz OC F TA E C C SP N N N Mem 1804MHz Free 1237MB PSM 0 PLS 0 Temp 30 7C 0 0C TW 0 00ms App 0 00ms_x000D_
07 16 07:29:08 079 4572 4742   I UtilPoller: GPU Util 0 504967   CPU Util 0 886598 (avg 0 792387)_x000D_
07 16 07:29:08 618 4604 4604   W Thread 5: type 1400 audit(0 0:303): avc: denied   read   for name  thread  dev  sysfs  ino 30576 scontext u:r:untrusted app:s0:c512 c768 tcontext u:object r:sysfs:s0 tclass dir permissive 0_x000D_
07 16 07:29:08 880 4572 4741   I VrApi: FPS 60 Prd 31ms Tear 0 Early 0 Stale 0 VSnc 1 Lat 0 Fov 0 CPU2 GPU 4 4 1593 510MHz OC F TA E C C SP N N N Mem 1804MHz Free 1201MB PSM 0 PLS 0 Temp 30 7C 0 0C TW 0 00ms App 0 00ms_x000D_
07 16 07:29:08 981 610 1020   I AudioPolicyManagerCustom: setting force DEEP buffer now _x000D_
07 16 07:29:09 008 4572 4812   W GeckoRemoteCodecProxy: release codec when 3 output buffers unhandled_x000D_
07 16 07:29:09 048 620 1403   E ResourceManagerService: Rejected removeResource call with invalid pid _x000D_
07 16 07:29:09 050 617 3178   I OMX VDEC 1080P: omx vdec::component deinit() complete_x000D_
07 16 07:29:09 056 617 3178   I OMX VDEC 1080P: Exit OMX vdec Destructor: fd 8_x000D_
07 16 07:29:09 057 617 3178   I OMX VDEC 1080P: Video slvp perflock released_x000D_
07 16 07:29:09 061 620 1180   E ResourceManagerService: Rejected removeResource call with invalid pid _x000D_
07 16 07:29:09 061 620 962   E ResourceManagerService: Rejected removeResource call with invalid pid _x000D_
07 16 07:29:09 084 4572 4742   I UtilPoller: GPU Util 0 525326   CPU Util 0 914894 (avg 0 832322)_x000D_
07 16 07:29:09 621 4604 4604   W Thread 5: type 1400 audit(0 0:304): avc: denied   read   for name  thread  dev  sysfs  ino 30576 scontext u:r:untrusted app:s0:c512 c768 tcontext u:object r:sysfs:s0 tclass dir permissive 0_x000D_
07 16 07:29:09 876 4572 4741   I VrApi: FPS 60 Prd 31ms Tear 0 Early 0 Stale 0 VSnc 1 Lat 0 Fov 0 CPU2 GPU 4 4 1593 510MHz OC F TA E C C SP N N N Mem 1296MHz Free 1204MB PSM 0 PLS 0 Temp 30 7C 0 0C TW 0 00ms App 0 00ms_x000D_
07 16 07:29:10 086 4572 4742   I UtilPoller: GPU Util 0 572585   CPU Util 0 855670 (avg 0 772406)_x000D_
07 16 07:29:10 340 4572 4603   D GeckoViewProgress: onStateChange: isTopLevel true  flags 0xc0010  status NS OK_x000D_
07 16 07:29:10 341 4572 4603   D GeckoViewProgress: onStateChange: uri https:  hubs mozilla com 0kvlna2a3fp caring passionate plaza_x000D_
07 16 07:29:10 356 4572 4572   E VRB: SessionStore onPageStop_x000D_
07 16 07:29:10 625 4604 4604   W Thread 5: type 1400 audit(0 0:305): avc: denied   read   for name  thread  dev  sysfs  ino 30576 scontext u:r:untrusted app:s0:c512 c768 tcontext u:object r:sysfs:s0 tclass dir permissive 0_x000D_
07 16 07:29:10 867 4572 4741   I VrApi: FPS 60 Prd 31ms Tear 0 Early 0 Stale 0 VSnc 1 Lat 0 Fov 0 CPU2 GPU 4 4 1593 510MHz OC F TA E C C SP N N N Mem 1296MHz Free 1198MB PSM 0 PLS 0 Temp 30 7C 0 0C TW 0 00ms App 0 00ms_x000D_
07 16 07:29:11 088 4572 4742   I UtilPoller: GPU Util 0 546950   CPU Util 0 706522 (avg 0 665179)_x000D_
07 16 07:29:11 306 4572 4603   W GeckoConsole:  JavaScript Warning:  Use of the motion sensor is deprecated    file:  https:  assets prod reticulum io assets js hub d848a6fcb107f0a8fe91 js  line: 1  _x000D_
07 16 07:29:11 625 4604 4604   W Thread 5: type 1400 audit(0 0:306): avc: denied   read   for name  thread  dev  sysfs  ino 30576 scontext u:r:untrusted app:s0:c512 c768 tcontext u:object r:sysfs:s0 tclass dir permissive 0_x000D_
07 16 07:29:11 869 4572 4741   I VrApi: FPS 60 Prd 31ms Tear 0 Early 0 Stale 0 VSnc 1 Lat 0 Fov 0 CPU2 GPU 4 4 1593 510MHz OC F TA E C C SP N N N Mem 1804MHz Free 1193MB PSM 0 PLS 0 Temp 30 7C 0 0C TW 0 00ms App 0 00ms_x000D_
07 16 07:29:12 089 4572 4742   I UtilPoller: GPU Util 0 508084   CPU Util 0 602151 (avg 0 560935)_x000D_
07 16 07:29:12 628 4604 4604   W Thread 5: type 1400 audit(0 0:307): avc: denied   read   for name  thread  dev  sysfs  ino 30576 scontext u:r:untrusted app:s0:c512 c768 tcontext u:object r:sysfs:s0 tclass dir permissive 0_x000D_
07 16 07:29:12 869 4572 4741   I VrApi: FPS 60 Prd 31ms Tear 0 Early 0 Stale 0 VSnc 1 Lat 0 Fov 0 CPU2 GPU 4 4 1593 510MHz OC F TA E C C SP N N N Mem 1296MHz Free 1212MB PSM 0 PLS 0 Temp 30 7C 0 0C TW 0 00ms App 0 00ms_x000D_
07 16 07:29:13 091 4572 4742   I UtilPoller: GPU Util 0 533731   CPU Util 0 734694 (avg 0 689631)_x000D_
07 16 07:29:13 615 4604 4604   W Thread 5: type 1400 audit(0 0:308): avc: denied   read   for name  thread  dev  sysfs  ino 30576 scontext u:r:untrusted app:s0:c512 c768 tcontext u:object r:sysfs:s0 tclass dir permissive 0_x000D_
07 16 07:29:13 870 4572 4741   I VrApi: FPS 60 Prd 31ms Tear 0 Early 0 Stale 0 VSnc 1 Lat 0 Fov 0 CPU2 GPU 4 4 1593 510MHz OC F TA E C C SP N N N Mem 1296MHz Free 1212MB PSM 0 PLS 0 Temp 30 7C 0 0C TW 0 00ms App 0 00ms_x000D_
07 16 07:29:14 093 4572 4742   I UtilPoller: GPU Util 0 573358   CPU Util 0 718750 (avg 0 620389)_x000D_
07 16 07:29:14 615 4604 4604   W Thread 5: type 1400 audit(0 0:309): avc: denied   read   for name  thread  dev  sysfs  ino 30576 scontext u:r:untrusted app:s0:c512 c768 tcontext u:object r:sysfs:s0 tclass dir permissive 0_x000D_
07 16 07:29:14 874 4572 4741   I VrApi: FPS 59 Prd 31ms Tear 0 Early 0 Stale 0 VSnc 1 Lat 0 Fov 0 CPU2 GPU 4 4 1593 510MHz OC F TA E C C SP N N N Mem 1296MHz Free 1210MB PSM 0 PLS 0 Temp 30 7C 0 0C TW 0 00ms App 0 00ms_x000D_
07 16 07:29:15 094 4572 4742   I UtilPoller: GPU Util 0 574920   CPU Util 0 764045 (avg 0 673308)_x000D_
07 16 07:29:15 612 1271 1271   D CompanionState: CompanionState Receiver:android intent action BATTERY CHANGED_x000D_
07 16 07:29:15 616 1271 1271   D CompanionState: Charging current 940241_x000D_
    No change to state_x000D_
07 16 07:29:15 618 4604 4604   W Thread 5: type 1400 audit(0 0:310): avc: denied   read   for name  thread  dev  sysfs  ino 30576 scontext u:r:untrusted app:s0:c512 c768 tcontext u:object r:sysfs:s0 tclass dir permissive 0_x000D_
07 16 07:29:15 868 4572 4741   I VrApi: FPS 60 Prd 31ms Tear 0 Early 0 Stale 0 VSnc 1 Lat 0 Fov 0 CPU2 GPU 4 4 1593 510MHz OC F TA E C C SP N N N Mem 1296MHz Free 1209MB PSM 0 PLS 0 Temp 30 5C 0 0C TW 0 00ms App 0 00ms_x000D_
07 16 07:29:16 097 4572 4742   I UtilPoller: GPU Util 0 531892   CPU Util 0 666667 (avg 0 607079)_x000D_
07 16 07:29:16 621 4604 4604   W Thread 5: type 1400 audit(0 0:311): avc: denied   read   for name  thread  dev  sysfs  ino 30576 scontext u:r:untrusted app:s0:c512 c768 tcontext u:object r:sysfs:s0 tclass dir permissive 0_x000D_
07 16 07:29:16 867 4572 4741   I VrApi: FPS 60 Prd 31ms Tear 0 Early 0 Stale 0 VSnc 1 Lat 0 Fov 0 CPU2 GPU 4 4 1593 510MHz OC F TA E C C SP N N N Mem 1804MHz Free 1099MB PSM 0 PLS 0 Temp 30 5C 0 0C TW 0 00ms App 0 00ms_x000D_
07 16 07:29:17 099 4572 4742   I UtilPoller: GPU Util 0 538532   CPU Util 0 728261 (avg 0 618890)_x000D_
    _x000D_
              beginning of crash_x000D_
07 16 07:29:17 288 4572 4603   A libc: Fatal signal 11 (SIGSEGV)  code 1  fault addr 0x0 in tid 4603 (Gecko)_x000D_
07 16 07:29:18 031 624 624   W debuggerd:dmp: type 1400 audit(0 0:312): avc: denied   search   for name  org mozilla vrbrowser  dev  sda8  ino 90238 scontext u:r:debuggerd:s0 tcontext u:object r:app data file:s0:c512 c768 tclass dir permissive 0_x000D_
    type 1400 audit(0 0:313): avc: denied   search   for name  org mozilla vrbrowser  dev  sda8  ino 90238 scontext u:r:debuggerd:s0 tcontext u:object r:app data file:s0:c512 c768 tclass dir permissive 0_x000D_
07 16 07:29:18 035 624 624   W debuggerd:dmp: type 1400 audit(0 0:314): avc: denied   search   for name  org mozilla vrbrowser  dev  sda8  ino 90238 scontext u:r:debuggerd:s0 tcontext u:object r:app data file:s0:c512 c768 tclass dir permissive 0_x000D_
    type 1400 audit(0 0:315): avc: denied   search   for name  org mozilla vrbrowser  dev  sda8  ino 90238 scontext u:r:debuggerd:s0 tcontext u:object r:app data file:s0:c512 c768 tclass dir permissive 0_x000D_
    type 1400 audit(0 0:316): avc: denied   search   for name  org mozilla vrbrowser  dev  sda8  ino 90238 scontext u:r:debuggerd:s0 tcontext u:object r:app data file:s0:c512 c768 tclass dir permissive 0_x000D_
    type 1400 audit(0 0:317): avc: denied   search   for name  org mozilla vrbrowser  dev  sda8  ino 90238 scontext u:r:debuggerd:s0 tcontext u:object r:app data file:s0:c512 c768 tclass dir permissive 0_x000D_
    type 1400 audit(0 0:318): avc: denied   search   for name  org mozilla vrbrowser  dev  sda8  ino 90238 scontext u:r:debuggerd:s0 tcontext u:object r:app data file:s0:c512 c768 tclass dir permissive 0_x000D_
    type 1400 audit(0 0:319): avc: denied   search   for name  org mozilla vrbrowser  dev  sda8  ino 90238 scontext u:r:debuggerd:s0 tcontext u:object r:app data file:s0:c512 c768 tclass dir permissive 0_x000D_
07 16 07:29:18 038 624 624   W debuggerd:dmp: type 1400 audit(0 0:320): avc: denied   search   for name  org mozilla vrbrowser  dev  sda8  ino 90238 scontext u:r:debuggerd:s0 tcontext u:object r:app data file:s0:c512 c768 tclass dir permissive 0_x000D_
    type 1400 audit(0 0:321): avc: denied   search   for name  org mozilla vrbrowser  dev  sda8  ino 90238 scontext u:r:debuggerd:s0 tcontext u:object r:app data file:s0:c512 c768 tclass dir permissive 0_x000D_
    type 1400 audit(0 0:322): avc: denied   search   for name  org mozilla vrbrowser  dev  sda8  ino 90238 scontext u:r:debuggerd:s0 tcontext u:object r:app data file:s0:c512 c768 tclass dir permissive 0_x000D_
    type 1400 audit(0 0:323): avc: denied   search   for name  org mozilla vrbrowser  dev  sda8  ino 90238 scontext u:r:debuggerd:s0 tcontext u:object r:app data file:s0:c512 c768 tclass dir permissive 0_x000D_
    type 1400 audit(0 0:324): avc: denied   search   for name  org mozilla vrbrowser  dev  sda8  ino 90238 scontext u:r:debuggerd:s0 tcontext u:object r:app data file:s0:c512 c768 tclass dir permissive 0_x000D_
07 16 07:29:18 041 624 624   W debuggerd:dmp: type 1400 audit(0 0:325): avc: denied   search   for name  org mozilla vrbrowser  dev  sda8  ino 90238 scontext u:r:debuggerd:s0 tcontext u:object r:app data file:s0:c512 c768 tclass dir permissive 0_x000D_
    type 1400 audit(0 0:326): avc: denied   search   for name  org mozilla vrbrowser  dev  sda8  ino 90238 scontext u:r:debuggerd:s0 tcontext u:object r:app data file:s0:c512 c768 tclass dir permissive 0_x000D_
    type 1400 audit(0 0:327): avc: denied   search   for name  org mozilla vrbrowser  dev  sda8  ino 90238 scontext u:r:debuggerd:s0 tcontext u:object r:app data file:s0:c512 c768 tclass dir permissive 0_x000D_
    type 1400 audit(0 0:328): avc: denied   search   for name  org mozilla vrbrowser  dev  sda8  ino 90238 scontext u:r:debuggerd:s0 tcontext u:object r:app data file:s0:c512 c768 tclass dir permissive 0_x000D_
07 16 07:29:18 045 624 624   W debuggerd:dmp: type 1400 audit(0 0:329): avc: denied   search   for name  org mozilla vrbrowser  dev  sda8  ino 90238 scontext u:r:debuggerd:s0 tcontext u:object r:app data file:s0:c512 c768 tclass dir permissive 0_x000D_
    type 1400 audit(0 0:330): avc: denied   search   for name  org mozilla vrbrowser  dev  sda8  ino 90238 scontext u:r:debuggerd:s0 tcontext u:object r:app data file:s0:c512 c768 tclass dir permissive 0_x000D_
    type 1400 audit(0 0:331): avc: denied   search   for name  org mozilla vrbrowser  dev  sda8  ino 90238 scontext u:r:debuggerd:s0 tcontext u:object r:app data file:s0:c512 c768 tclass dir permissive 0_x000D_
07 16 07:29:18 048 624 624   W debuggerd:dmp: type 1400 audit(0 0:332): avc: denied   search   for name  org mozilla vrbrowser  dev  sda8  ino 90238 scontext u:r:debuggerd:s0 tcontext u:object r:app data file:s0:c512 c768 tclass dir permissive 0_x000D_
07 16 07:29:18 055 624 624   W debuggerd:dmp: type 1400 audit(0 0:333): avc: denied   search   for name  org mozilla vrbrowser  dev  sda8  ino 90238 scontext u:r:debuggerd:s0 tcontext u:object r:app data file:s0:c512 c768 tclass dir permissive 0_x000D_
    type 1400 audit(0 0:334): avc: denied   search   for name  org mozilla vrbrowser  dev  sda8  ino 90238 scontext u:r:debuggerd:s0 tcontext u:object r:app data file:s0:c512 c768 tclass dir permissive 0_x000D_
07 16 07:29:18 151 624 624   W debuggerd:dmp: type 1400 audit(0 0:335): avc: denied   search   for name  org mozilla vrbrowser  dev  sda8  ino 90238 scontext u:r:debuggerd:s0 tcontext u:object r:app data file:s0:c512 c768 tclass dir permissive 0_x000D_
    type 1400 audit(0 0:336): avc: denied   search   for name  org mozilla vrbrowser  dev  sda8  ino 90238 scontext u:r:debuggerd:s0 tcontext u:object r:app data file:s0:c512 c768 tclass dir permissive 0_x000D_
    type 1400 audit(0 0:337): avc: denied   search   for name  org mozilla vrbrowser  dev  sda8  ino 90238 scontext u:r:debuggerd:s0 tcontext u:object r:app data file:s0:c512 c768 tclass dir permissive 0_x000D_
07 16 07:29:18 158 624 624   W debuggerd:dmp: type 1400 audit(0 0:338): avc: denied   search   for name  org mozilla vrbrowser  dev  sda8  ino 90238 scontext u:r:debuggerd:s0 tcontext u:object r:app data file:s0:c512 c768 tclass dir permissive 0_x000D_
    type 1400 audit(0 0:339): avc: denied   search   for name  org mozilla vrbrowser  dev  sda8  ino 90238 scontext u:r:debuggerd:s0 tcontext u:object r:app data file:s0:c512 c768 tclass dir permissive 0_x000D_
07 16 07:29:18 355 4604 4604   W Thread 5: type 1400 audit(0 0:340): avc: denied   read   for name  thread  dev  sysfs  ino 30576 scontext u:r:untrusted app:s0:c512 c768 tcontext u:object r:sysfs:s0 tclass dir permissive 0_x000D_
07 16 07:29:18 355 4572 4725   I Choreographer: Skipped 66 frames   The application may be doing too much work on its main thread _x000D_
07 16 07:29:18 355 4572 4735   I TimeWarp: Will tear: 0 934502_x000D_
07 16 07:29:18 355 4572 4735   I Vsync: Vsync 136289: 57 x 16 71 ms (59 85 Hz  at 2271 740)_x000D_
07 16 07:29:18 355 4572 4735   I TimeWarp: Adjusting 136289 55   136234 to 136290_x000D_
07 16 07:29:18 356 4572 4735   D VrApi: setSchedFifoStatic tid:4604 pto:0_x000D_
07 16 07:29:18 357 4572 4735   I Clocks: SetSchedFifo( tid 4604  pri 0 ) succeeded_x000D_
07 16 07:29:18 357 4572 4735   D VrApi: setSchedFifoStatic tid:4604 pto:0_x000D_
07 16 07:29:18 358 626 804   D crash reporter device: allow to upload crashes _x000D_
07 16 07:29:18 359 4572 4735   I Clocks: SetSchedFifo( tid 4604  pri 0 ) succeeded_x000D_
07 16 07:29:18 363 624 624   I crash reporter: native crash collected for process 4572 at  data misc crashes org mozilla vrbrowser 2018 07 16 07 29 17 crash meta_x000D_
07 16 07:29:18 364 626 804   E crash reporter utils: could not open  data misc crashes org mozilla vrbrowser 2018 05 25 07 34 45 crash_x000D_
07 16 07:29:18 364 626 804   E crash uploader: could not read minidump content at  data misc crashes org mozilla vrbrowser 2018 05 25 07 34 45 crash_x000D_
    Could not parse crash report   data misc crashes  org mozilla vrbrowser 2018 05 25 07 34 45 crash meta_x000D_
07 16 07:29:18 365 626 804   E crash reporter utils: could not open  data misc crashes perfd 2018 06 29 11 16 02 crash_x000D_
07 16 07:29:18 365 626 804   E crash uploader: could not read minidump content at  data misc crashes perfd 2018 06 29 11 16 02 crash_x000D_
    Could not parse crash report   data misc crashes  perfd 2018 06 29 11 16 02 crash meta_x000D_
07 16 07:29:18 365 626 804   E crash reporter utils: could not open  data misc crashes org mozilla vrbrowser 2018 05 25 07 34 47 crash_x000D_
07 16 07:29:18 365 626 804   E crash uploader: could not read minidump content at  data misc crashes org mozilla vrbrowser 2018 05 25 07 34 47 crash_x000D_
    Could not parse crash report   data misc crashes  org mozilla vrbrowser 2018 05 25 07 34 47 crash meta_x000D_
07 16 07:29:18 366 626 804   E crash reporter utils: could not open  data misc crashes lldb server 2018 06 06 05 50 29 crash_x000D_
07 16 07:29:18 366 626 804   E crash uploader: could not read minidump content at  data misc crashes lldb server 2018 06 06 05 50 29 crash_x000D_
    Could not parse crash report   data misc crashes  lldb server 2018 06 06 05 50 29 crash meta_x000D_
07 16 07:29:18 366 4572 4741   I VrApi: FPS 60 Prd 31ms Tear 0 Early 0 Stale 0 VSnc 1 Lat 0 Fov 0 CPU2 GPU 4 4 1593 214MHz OC F TA E C C SP N N N Mem 1554MHz Free 1105MB PSM 0 PLS 0 Temp 30 5C 0 0C TW 0 00ms App 0 00ms_x000D_
07 16 07:29:18 366 626 804   E crash reporter utils: could not open  data misc crashes org mozilla vrbrowser 2018 05 25 07 34 49 crash_x000D_
07 16 07:29:18 366 626 804   E crash uploader: could not read minidump content at  data misc crashes org mozilla vrbrowser 2018 05 25 07 34 49 crash_x000D_
    Could not parse crash report   data misc crashes  org mozilla vrbrowser 2018 05 25 07 34 49 crash meta_x000D_
07 16 07:29:18 366 626 804   E crash reporter utils: could not open  data misc crashes org mozilla vrbrowser 2018 05 25 07 34 52 crash_x000D_
07 16 07:29:18 366 626 804   E crash uploader: could not read minidump content at  data misc crashes org mozilla vrbrowser 2018 05 25 07 34 52 crash_x000D_
    Could not parse crash report   data misc crashes  org mozilla vrbrowser 2018 05 25 07 34 52 crash meta_x000D_
07 16 07:29:18 367 626 804   E crash reporter utils: could not open  data misc crashes org mozilla vrbrowser 2018 05 25 07 34 48 crash_x000D_
07 16 07:29:18 367 626 804   E crash uploader: could not read minidump content at  data misc crashes org mozilla vrbrowser 2018 05 25 07 34 48 crash_x000D_
    Could not parse crash report   data misc crashes  org mozilla vrbrowser 2018 05 25 07 34 48 crash meta_x000D_
07 16 07:29:18 367 626 804   E crash reporter utils: could not open  data misc crashes org mozilla vrbrowser 2018 05 25 07 34 51 crash_x000D_
07 16 07:29:18 367 626 804   E crash uploader: could not read minidump content at  data misc crashes org mozilla vrbrowser 2018 05 25 07 34 51 crash_x000D_
    Could not parse crash report   data misc crashes  org mozilla vrbrowser 2018 05 25 07 34 51 crash meta_x000D_
07 16 07:29:18 369 626 804   D crash reporter device: allow to upload crashes _x000D_
07 16 07:29:18 372 626 804   E crash reporter utils: could not open  data misc crashes org mozilla vrbrowser 2018 05 25 07 34 45 crash_x000D_
07 16 07:29:18 373 626 804   E crash uploader: could not read minidump content at  data misc crashes org mozilla vrbrowser 2018 05 25 07 34 45 crash_x000D_
    Could not parse crash report   data misc crashes  org mozilla vrbrowser 2018 05 25 07 34 45 crash meta_x000D_
07 16 07:29:18 374 626 804   E crash reporter utils: could not open  data misc crashes perfd 2018 06 29 11 16 02 crash_x000D_
07 16 07:29:18 375 4572 4742   I UtilPoller: GPU Util 0 291951   CPU Util 0 866667 (avg 0 440532)_x000D_
07 16 07:29:18 375 626 804   E crash uploader: could not read minidump content at  data misc crashes perfd 2018 06 29 11 16 02 crash_x000D_
    Could not parse crash report   data misc crashes  perfd 2018 06 29 11 16 02 crash meta_x000D_
   </t>
  </si>
  <si>
    <t>square-okhttp-4155</t>
  </si>
  <si>
    <t>OOM on Android 8/9 when getting "https://icloud.com"</t>
  </si>
  <si>
    <t xml:space="preserve">Hello _x000D_
_x000D_
When trying to  GET  (or  PROPFIND ) https:  icloud com (without www) with code like that:_x000D_
_x000D_
   _x000D_
   compileSdkVersion 27_x000D_
   buildToolsVersion  28 0 1 _x000D_
   targetSdkVersion 27_x000D_
   Kotlin 1 2 51_x000D_
_x000D_
class ClientTest  _x000D_
     Test_x000D_
    fun testIcloud()  _x000D_
        val client   OkHttpClient()_x000D_
        client newCall(Request Builder()_x000D_
                 get()_x000D_
                 url( https:  icloud com )_x000D_
                 build())_x000D_
                 execute()_x000D_
     _x000D_
 _x000D_
   _x000D_
_x000D_
it takes a long time until the process is killed with OOM and the test fails:_x000D_
_x000D_
   _x000D_
Accessing hidden method Lcom android org conscrypt OpenSSLSocketImpl   setAlpnProtocols( B)V (light greylist  reflection)_x000D_
Background concurrent copying GC freed 12119(2MB) AllocSpace objects  2(40KB) LOS objects  53  free  1347KB 2MB  paused 5 288ms total 13 790ms_x000D_
Background concurrent copying GC freed 255556(7MB) AllocSpace objects  0(0B) LOS objects  3  free  153MB 159MB  paused 160us total 1 134s_x000D_
Waiting for a blocking GC Alloc_x000D_
Background concurrent copying GC freed 1659257(48MB) AllocSpace objects  0(0B) LOS objects  4  free  143MB 149MB  paused 166us total 751 739ms_x000D_
WaitForGcToComplete blocked Alloc on ProfileSaver for 84 800ms_x000D_
    Starting a blocking GC Alloc_x000D_
Waiting for a blocking GC Alloc_x000D_
NativeAlloc concurrent copying GC freed 613455(17MB) AllocSpace objects  0(0B) LOS objects  3  free  171MB 177MB  paused 715us total 800 326ms_x000D_
WaitForGcToComplete blocked Alloc on HeapTrim for 78 698ms_x000D_
Starting a blocking GC Alloc_x000D_
Starting a blocking GC Alloc_x000D_
Starting a blocking GC Alloc_x000D_
Alloc concurrent copying GC freed 1471248(40MB) AllocSpace objects  11(26MB) LOS objects  4  free  120MB 126MB  paused 617us total 440 035ms_x000D_
Waiting for a blocking GC Alloc_x000D_
Background concurrent copying GC freed 212754(4MB) AllocSpace objects  1(4MB) LOS objects  3  free  179MB 185MB  paused 1 906ms total 414 292ms_x000D_
WaitForGcToComplete blocked Alloc on HeapTrim for 378 426ms_x000D_
    Starting a blocking GC Alloc_x000D_
Waiting for a blocking GC Alloc_x000D_
Background concurrent copying GC freed 116(286KB) AllocSpace objects  14(45MB) LOS objects  3  free  146MB 152MB  paused 759us total 705 920ms_x000D_
WaitForGcToComplete blocked Alloc on HeapTrim for 631 676ms_x000D_
    Starting a blocking GC Alloc_x000D_
Waiting for a blocking GC Alloc_x000D_
 _x000D_
    Starting a blocking GC Alloc_x000D_
Throwing OutOfMemoryError  Failed to allocate a 32 byte allocation with 16 free bytes and 16B until OOM  max allowed footprint 201326592  growth limit 201326592  (recursive case)_x000D_
 Instr: android support test runner AndroidJUnitRunner  prio 5 tid 13 Runnable_x000D_
        group  main  sCount 0 dsCount 0 flags 2 obj 0x12c40a80 self 0x7377c9337400_x000D_
        sysTid 9630 nice  8 cgrp default sched 0 0 handle 0x7377b11934f0_x000D_
        state R schedstat ( 17608058590 1326008400 7326 ) utm 1681 stm 79 core 1 HZ 100_x000D_
        stack 0x7377b1090000 0x7377b1092000 stackSize 1041KB_x000D_
        held mutexes   mutator lock (shared held)_x000D_
        at libcore util NativeAllocationRegistry registerNativeAllocation(NativeAllocationRegistry java:129)_x000D_
        at java math BigInt makeValid(BigInt java:48)_x000D_
        at java math BigInt putBigEndianTwosComplement(BigInt java:179)_x000D_
        at java math BigInteger  init (BigInteger java:304)_x000D_
        at sun security util DerInputBuffer getBigInteger(DerInputBuffer java:170)_x000D_
        at sun security util DerValue getBigInteger(DerValue java:529)_x000D_
        at sun security x509 SerialNumber construct(SerialNumber java:44)_x000D_
        at sun security x509 SerialNumber  init (SerialNumber java:86)_x000D_
        at sun security x509 X509CRLEntryImpl parse(X509CRLEntryImpl java:460)_x000D_
        at sun security x509 X509CRLEntryImpl  init (X509CRLEntryImpl java:133)_x000D_
        at sun security x509 X509CRLImpl parse(X509CRLImpl java:1161)_x000D_
        at sun security x509 X509CRLImpl  init (X509CRLImpl java:146)_x000D_
        at sun security provider X509Factory intern(X509Factory java:206)_x000D_
        at sun security x509 X509CRLImpl toImpl(X509CRLImpl java:1235)_x000D_
        at sun security provider certpath AlgorithmChecker check(AlgorithmChecker java:396)_x000D_
        at sun security provider certpath DistributionPointFetcher verifyCRL(DistributionPointFetcher java:667)_x000D_
        at sun security provider certpath DistributionPointFetcher getCRLs(DistributionPointFetcher java:209)_x000D_
        at sun security provider certpath DistributionPointFetcher getCRLs(DistributionPointFetcher java:121)_x000D_
        at sun security provider certpath RevocationChecker checkCRLs(RevocationChecker java:552)_x000D_
        at sun security provider certpath RevocationChecker checkCRLs(RevocationChecker java:465)_x000D_
        at sun security provider certpath RevocationChecker check(RevocationChecker java:394)_x000D_
        at sun security provider certpath RevocationChecker check(RevocationChecker java:337)_x000D_
        at sun security provider certpath PKIXMasterCertPathValidator validate(PKIXMasterCertPathValidator java:125)_x000D_
        at sun security provider certpath PKIXCertPathValidator validate(PKIXCertPathValidator java:222)_x000D_
        at sun security provider certpath PKIXCertPathValidator validate(PKIXCertPathValidator java:140)_x000D_
        at sun security provider certpath PKIXCertPathValidator engineValidate(PKIXCertPathValidator java:79)_x000D_
        at java security cert CertPathValidator validate(CertPathValidator java:301)_x000D_
        at com android org conscrypt TrustManagerImpl verifyChain(TrustManagerImpl java:703)_x000D_
        at com android org conscrypt TrustManagerImpl checkTrustedRecursive(TrustManagerImpl java:539)_x000D_
        at com android org conscrypt TrustManagerImpl checkTrustedRecursive(TrustManagerImpl java:560)_x000D_
        at com android org conscrypt TrustManagerImpl checkTrustedRecursive(TrustManagerImpl java:605)_x000D_
        at com android org conscrypt TrustManagerImpl checkTrusted(TrustManagerImpl java:495)_x000D_
        at com android org conscrypt TrustManagerImpl checkTrusted(TrustManagerImpl java:418)_x000D_
        at com android org conscrypt TrustManagerImpl getTrustedChainForServer(TrustManagerImpl java:339)_x000D_
        at android security net config NetworkSecurityTrustManager checkServerTrusted(NetworkSecurityTrustManager java:94)_x000D_
        at android security net config RootTrustManager checkServerTrusted(RootTrustManager java:88)_x000D_
        at com android org conscrypt Platform checkServerTrusted(Platform java:208)_x000D_
        at com android org conscrypt ConscryptFileDescriptorSocket verifyCertificateChain(ConscryptFileDescriptorSocket java:404)_x000D_
        at com android org conscrypt NativeCrypto SSL do handshake(Native method)_x000D_
        at com android org conscrypt NativeSsl doHandshake(NativeSsl java:375)_x000D_
        at com android org conscrypt ConscryptFileDescriptorSocket startHandshake(ConscryptFileDescriptorSocket java:224)_x000D_
        at okhttp3 internal connection RealConnection connectTls(RealConnection java:318)_x000D_
        at okhttp3 internal connection RealConnection establishProtocol(RealConnection java:282)_x000D_
        at okhttp3 internal connection RealConnection connect(RealConnection java:167)_x000D_
        at okhttp3 internal connection StreamAllocation findConnection(StreamAllocation java:257)_x000D_
        at okhttp3 internal connection StreamAllocation findHealthyConnection(StreamAllocation java:135)_x000D_
        at okhttp3 internal connection StreamAllocation newStream(StreamAllocation java:114)_x000D_
        at okhttp3 internal connection ConnectInterceptor intercept(ConnectInterceptor java:42)_x000D_
        at okhttp3 internal http RealInterceptorChain proceed(RealInterceptorChain java:147)_x000D_
        at okhttp3 internal http RealInterceptorChain proceed(RealInterceptorChain java:121)_x000D_
        at okhttp3 internal cache CacheInterceptor intercept(CacheInterceptor java:93)_x000D_
        at okhttp3 internal http RealInterceptorChain proceed(RealInterceptorChain java:147)_x000D_
        at okhttp3 internal http RealInterceptorChain proceed(RealInterceptorChain java:121)_x000D_
        at okhttp3 internal http BridgeInterceptor intercept(BridgeInterceptor java:93)_x000D_
        at okhttp3 internal http RealInterceptorChain proceed(RealInterceptorChain java:147)_x000D_
        at okhttp3 internal http RetryAndFollowUpInterceptor intercept(RetryAndFollowUpInterceptor java:126)_x000D_
        at okhttp3 internal http RealInterceptorChain proceed(RealInterceptorChain java:147)_x000D_
        at okhttp3 internal http RealInterceptorChain proceed(RealInterceptorChain java:121)_x000D_
        at okhttp3 RealCall getResponseWithInterceptorChain(RealCall java:200)_x000D_
        at okhttp3 RealCall execute(RealCall java:77)_x000D_
        at at bitfire davdroid ClientTest testIcloud(ClientTest kt:24)_x000D_
        at java lang reflect Method invoke(Native method)_x000D_
        at org junit runners model FrameworkMethod 1 runReflectiveCall(FrameworkMethod java:50)_x000D_
        at org junit internal runners model ReflectiveCallable run(ReflectiveCallable java:12)_x000D_
        at org junit runners model FrameworkMethod invokeExplosively(FrameworkMethod java:47)_x000D_
        at org junit internal runners statements InvokeMethod evaluate(InvokeMethod java:17)_x000D_
        at org junit runners ParentRunner runLeaf(ParentRunner java:325)_x000D_
        at org junit runners BlockJUnit4ClassRunner runChild(BlockJUnit4ClassRunner java:78)_x000D_
        at org junit runners BlockJUnit4ClassRunner runChild(BlockJUnit4ClassRunner java:57)_x000D_
        at org junit runners ParentRunner 3 run(ParentRunner java:290)_x000D_
        at org junit runners ParentRunner 1 schedule(ParentRunner java:71)_x000D_
    at org junit runners ParentRunner runChildren(ParentRunner java:288)_x000D_
        at org junit runners ParentRunner access 000(ParentRunner java:58)_x000D_
        at org junit runners ParentRunner 2 evaluate(ParentRunner java:268)_x000D_
        at org junit runners ParentRunner run(ParentRunner java:363)_x000D_
        at org junit runners Suite runChild(Suite java:128)_x000D_
        at org junit runners Suite runChild(Suite java:27)_x000D_
        at org junit runners ParentRunner 3 run(ParentRunner java:290)_x000D_
        at org junit runners ParentRunner 1 schedule(ParentRunner java:71)_x000D_
        at org junit runners ParentRunner runChildren(ParentRunner java:288)_x000D_
        at org junit runners ParentRunner access 000(ParentRunner java:58)_x000D_
        at org junit runners ParentRunner 2 evaluate(ParentRunner java:268)_x000D_
        at org junit runners ParentRunner run(ParentRunner java:363)_x000D_
        at org junit runner JUnitCore run(JUnitCore java:137)_x000D_
        at org junit runner JUnitCore run(JUnitCore java:115)_x000D_
        at android support test internal runner TestExecutor execute(TestExecutor java:56)_x000D_
        at android support test runner AndroidJUnitRunner onStart(AndroidJUnitRunner java:384)_x000D_
        at android app Instrumentation InstrumentationThread run(Instrumentation java:2145)_x000D_
Waiting for a blocking GC Alloc_x000D_
Clamp target GC heap from 198MB to 192MB_x000D_
    Alloc concurrent copying GC freed 0(0B) AllocSpace objects  0(0B) LOS objects  0  free  192MB 192MB  paused 179us total 576 416ms_x000D_
    Starting a blocking GC Alloc_x000D_
Waiting for a blocking GC Alloc_x000D_
Alloc concurrent copying GC freed 4321630(114MB) AllocSpace objects  7(51MB) LOS objects  19  free  25MB 31MB  paused 147us total 245 441ms_x000D_
WaitForGcToComplete blocked Alloc on HeapTrim for 807 852ms_x000D_
    Starting a blocking GC Alloc_x000D_
07 16 14:23:09 335 9513 9630 at bitfire cloudsync I TestRunner: failed: testIcloud(at bitfire davdroid ClientTest)_x000D_
          begin exception      _x000D_
    java lang OutOfMemoryError: OutOfMemoryError thrown while trying to throw OutOfMemoryError  no stack trace available_x000D_
          end exception      _x000D_
07 16 14:23:09 336 9513 9630 at bitfire cloudsync I TestRunner: finished: testIcloud(at bitfire davdroid ClientTest)_x000D_
07 16 14:23:09 339 9513 9513 at bitfire cloudsync I MonitoringInstr: Activities that are still in CREATED to STOPPED: 0_x000D_
07 16 14:23:09 340 9513 9630 at bitfire cloudsync I TestRunner: run finished: 1 tests  1 failed  0 ignored_x000D_
07 16 14:23:09 494 9513 9630 at bitfire cloudsync I MonitoringInstr: waitForActivitiesToComplete() took: 1ms_x000D_
07 16 14:23:09 494 9513 9513 at bitfire cloudsync I MonitoringInstr: Activities that are still in CREATED to STOPPED: 0_x000D_
   _x000D_
_x000D_
This happens with Android 8 0 and 9 0 (emulator from SDK)  but not with Android 4 4 (haven t tested other versions yet) _x000D_
_x000D_
The problem occurs with okhttp 3 10 0 and 3 11 0 (haven t tested other versions yet) _x000D_
_x000D_
Everything is working for some other URLs I have tested  including www icloud com  It seems to be related to parsing the certificate  When using a custom trust manager (from https:  gitlab com bitfireAT cert4android)  it works _x000D_
_x000D_
I don t know whether this is an okhttp problem (looks like an Android problem )  but I guess it s quite important to understand why a simple  GET  request causes the whole process to crash </t>
  </si>
  <si>
    <t>koral---android-gif-drawable-570</t>
  </si>
  <si>
    <t>Error inflating class pl.droidsonroids.gif.GifImageView in android 4.4.4</t>
  </si>
  <si>
    <t xml:space="preserve">java lang RuntimeException: Unable to start activity ComponentInfo com chile fastloan com chile fastloan activity Act LoanDetail : android view InflateException: Binary XML file line  265: Error inflating class pl droidsonroids gif GifImageView_x000D_
                                                                     at android app ActivityThread performLaunchActivity(ActivityThread java:2197)_x000D_
                                                                     at android app ActivityThread handleLaunchActivity(ActivityThread java:2257)_x000D_
                                                                     at android app ActivityThread access 800(ActivityThread java:143)_x000D_
                                                                     at android app ActivityThread H handleMessage(ActivityThread java:1209)_x000D_
                                                                     at android os Handler dispatchMessage(Handler java:102)_x000D_
                                                                     at android os Looper loop(Looper java:136)_x000D_
                                                                     at android app ActivityThread main(ActivityThread java:5120)_x000D_
                                                                     at java lang reflect Method invokeNative(Native Method)_x000D_
                                                                     at java lang reflect Method invoke(Method java:515)_x000D_
                                                                     at com android internal os ZygoteInit MethodAndArgsCaller run(ZygoteInit java:818)_x000D_
                                                                     at com android internal os ZygoteInit main(ZygoteInit java:634)_x000D_
                                                                     at de robv android xposed XposedBridge main(XposedBridge java:132)_x000D_
                                                                     at dalvik system NativeStart main(Native Method)_x000D_
                                                                  Caused by: android view InflateException: Binary XML file line  265: Error inflating class pl droidsonroids gif GifImageView_x000D_
                                                                     at android view LayoutInflater createView(LayoutInflater java:620)_x000D_
                                                                     at android view LayoutInflater createViewFromTag(LayoutInflater java:696)_x000D_
                                                                     at android view LayoutInflater rInflate(LayoutInflater java:755)_x000D_
                                                                     at android view LayoutInflater rInflate(LayoutInflater java:758)_x000D_
                                                                     at android view LayoutInflater rInflate(LayoutInflater java:758)_x000D_
                                                                     at android view LayoutInflater rInflate(LayoutInflater java:758)_x000D_
                                                                     at android view LayoutInflater rInflate(LayoutInflater java:758)_x000D_
                                                                     at android view LayoutInflater inflate(LayoutInflater java:492)_x000D_
                                                                     at de robv android xposed XposedBridge invokeOriginalMethodNative(Native Method)_x000D_
                                                                     at de robv android xposed XposedBridge handleHookedMethod(XposedBridge java:631)_x000D_
                                                                     at android view LayoutInflater inflate(Native Method)_x000D_
                                                                     at android view LayoutInflater inflate(LayoutInflater java:397)_x000D_
                                                                     at android view LayoutInflater inflate(LayoutInflater java:353)_x000D_
                                                                     at android support v7 app AppCompatDelegateImplV9 setContentView(AppCompatDelegateImplV9 java:287)_x000D_
                                                                     at android support v7 app AppCompatActivity setContentView(AppCompatActivity java:139)_x000D_
                                                                     at com le base BaseActivity onCreate(BaseActivity java:70)_x000D_
                                                                     at android app Activity performCreate(Activity java:5351)_x000D_
                                                                     at android app Instrumentation callActivityOnCreate(Instrumentation java:1087)_x000D_
                                                                     at android app ActivityThread performLaunchActivity(ActivityThread java:2161)_x000D_
                                                                     at android app ActivityThread handleLaunchActivity(ActivityThread java:2257) _x000D_
                                                                     at android app ActivityThread access 800(ActivityThread java:143) _x000D_
                                                                     at android app ActivityThread H handleMessage(ActivityThread java:1209) _x000D_
                                                                     at android os Handler dispatchMessage(Handler java:102) _x000D_
                                                                     at android os Looper loop(Looper java:136) _x000D_
                                                                     at android app ActivityThread main(ActivityThread java:5120) _x000D_
                                                                     at java lang reflect Method invokeNative(Native Method) _x000D_
                                                                     at java lang reflect Method invoke(Method java:515) _x000D_
                                                                     at com android internal os ZygoteInit MethodAndArgsCaller run(ZygoteInit java:818) _x000D_
                                                                     at com android internal os ZygoteInit main(ZygoteInit java:634) _x000D_
                                                                     at de robv android xposed XposedBridge main(XposedBridge java:132) _x000D_
                                                                     at dalvik system NativeStart main(Native Method) _x000D_
                                                                  Caused by: java lang reflect InvocationTargetException_x000D_
                                                                     at java lang reflect Constructor constructNative(Native Method)_x000D_
                                                                     at java lang reflect Constructor newInstance(Constructor java:423)_x000D_
                                                                     at android view LayoutInflater createView(LayoutInflater java:594)_x000D_
                                                                     at android view LayoutInflater createViewFromTag(LayoutInflater java:696) _x000D_
                                                                     at android view LayoutInflater rInflate(LayoutInflater java:755) _x000D_
                                                                     at android view LayoutInflater rInflate(LayoutInflater java:758) _x000D_
                                                                     at android view LayoutInflater rInflate(LayoutInflater java:758) _x000D_
                                                                     at android view LayoutInflater rInflate(LayoutInflater java:758) _x000D_
                                                                     at android view LayoutInflater rInflate(LayoutInflater java:758) _x000D_
                                                                     at android view LayoutInflater inflate(LayoutInflater java:492) _x000D_
                                                                     at de robv android xposed XposedBridge invokeOriginalMethodNative(Native Method) _x000D_
                                                                     at de robv android xposed XposedBridge handleHookedMethod(XposedBridge java:631) _x000D_
                                                                     at android view LayoutInflater inflate(Native Method) _x000D_
                                                                     at android view LayoutInflater inflate(LayoutInflater java:397) _x000D_
                                                                     at android view LayoutInflater inflate(LayoutInflater java:353) _x000D_
                                                                     at android support v7 app AppCompatDelegateImplV9 setContentView(AppCompatDelegateImplV9 java:287) _x000D_
                                                                     at android support v7 app AppCompatActivity setContentView(AppCompatActivity java:139) _x000D_
                                                                     at com le base BaseActivity onCreate(BaseActivity java:70) _x000D_
                                                                     at android app Activity performCreate(Activity java:5351) _x000D_
                                                                     at android app Instrumentation callActivityOnCreate(Instrumentation java:1087) _x000D_
                                                                     at android app ActivityThread performLaunchActivity(ActivityThread java:2161) _x000D_
                                                                     at android app ActivityThread handleLaunchActivity(ActivityThread java:2257) _x000D_
                                                                     at android app ActivityThread access 800(ActivityThread java:143) _x000D_
                                                                     at android app ActivityThread H handleMessage(ActivityThread java:1209) _x000D_
                                                                     at android os Handler dispatchMessage(Handler java:102) _x000D_
                                                                     at android os Looper loop(Looper java:136) _x000D_
                                                                     at android app ActivityThread main(ActivityThread java:5120) _x000D_
                                                                     at java lang reflect Method invokeNative(Native Method) _x000D_
                                                                     at java lang reflect Method invoke(Method java:515) _x000D_
                                                                     at com android internal os ZygoteInit MethodAndArgsCaller run(ZygoteInit java:818) _x000D_
                                                                     at com android internal os ZygoteInit main(ZygoteInit java:634) _x000D_
                                                                     at de robv android xposed XposedBridge main(XposedBridge java:132) _x000D_
                                                                     at dalvik system NativeStart main(Native Method) _x000D_
                                                                  Caused by: java lang VerifyError: pl droidsonroids gif GifInfoHandle_x000D_
                                                                     at pl droidsonroids gif GifDrawable  init (GifDrawable java:158)_x000D_
                                                                     at pl droidsonroids gif GifDrawable  init (GifDrawable java:93)_x000D_
                                                                     at pl droidsonroids gif GifViewUtils setResource(GifViewUtils java:52)_x000D_
                                                                     at pl droidsonroids gif GifViewUtils GifImageViewAttributes getResourceId(GifViewUtils java:137)_x000D_
                                                                     at pl droidsonroids gif GifViewUtils GifImageViewAttributes  init (GifViewUtils java:123)_x000D_
                                                                     at pl droidsonroids gif GifViewUtils initImageView(GifViewUtils java:30)_x000D_
                                                                     at pl droidsonroids gif GifImageView  init (GifImageView java:41)_x000D_
                                                                     at java lang reflect Constructor constructNative(Native Method) _x000D_
                                                                     at java lang reflect Constructor newInstance(Constructor java:423) _x000D_
                                                                     at android view LayoutInflater createView(LayoutInflater java:594) _x000D_
                                                                     at android view LayoutInflater createViewFromTag(LayoutInflater java:696) _x000D_
                                                                     at android view LayoutInflater rInflate(LayoutInflater java:755) _x000D_
                                                                     at android view LayoutInflater rInflate(LayoutInflater java:758) _x000D_
                                                                     at android view LayoutInflater rInflate(LayoutInflater java:758) _x000D_
                                                                     at android view LayoutInflater rInflate(LayoutInflater java:758) _x000D_
                                                                     at android view LayoutInflater rInflate(LayoutInflater java:758) _x000D_
                                                                     at android view LayoutInflater inflate(LayoutInflater java:492) _x000D_
                                                                     at de robv android xposed XposedBridge invokeOriginalMethodNative(Native Method) _x000D_
                                                                     at de robv android xposed XposedBridge handleHookedMethod(XposedBridge java:631) _x000D_
                                                                     at android view LayoutInflater inflate(Native Method) _x000D_
                                                                     at android view LayoutInflater inflate(LayoutInflater java:397) _x000D_
                                                                     at android view LayoutInflater inflate(LayoutInflater java:353) _x000D_
                                                                     at android support v7 app AppCompatDelegateImplV9 setContentView(AppCompatDelegateImplV9 java:287) _x000D_
                                                                     at android support v7 app AppCompatActivity setContentView(AppCompatActivity java:139) _x000D_
                                                                     at com le base BaseActivity onCreate(BaseActivity java:70) _x000D_
                                                                     at android app Activity performCreate(Activity java:5351) _x000D_
                                                                     at android app Instrumentation callActivityOnCreate(Instrumentation java:1087) _x000D_
                                                                     at android app ActivityThread performLaunchActivity(ActivityThread java:2161) _x000D_
                                                                     at android app ActivityThread handleLaunchActivity(ActivityThread java:2257) _x000D_
                                                                     at android app ActivityThread access 800(ActivityThread java:143) _x000D_
                                                                     at android app ActivityThread H handleMessage(ActivityThread java:1209) _x000D_
                                                                     at android os Handler dispatchMessage(Handler java:102) _x000D_
                                                                     at android os Looper loop(Looper java:136) _x000D_
                                                                     at android app ActivityThread main(ActivityThread java:5120) _x000D_
                                                                     at java lang reflect Method invokeNative(Native Method) _x000D_
                                                                     at java lang reflect Method invoke(Method java:515) _x000D_
                                                                     at com android internal os ZygoteInit MethodAndArgsCaller run(ZygoteInit java:818) _x000D_
                                                                     at com android internal os ZygoteInit main(ZygoteInit java:634) _x000D_
                                                                     at de robv android xposed XposedBridge main(XposedBridge java:132) _x000D_
                                                                     at dalvik system NativeStart main(Native Method) _x000D_
_x000D_
my xml: pl droidsonroids gif GifImageView_x000D_
                        android:id    id gifView _x000D_
                        android:layout width  208px _x000D_
                        android:layout height  208px _x000D_
                        android:layout marginRight  20px _x000D_
                        android:src   drawable img productdetail gif _x000D_
                        android:layout gravity  right _x000D_
                          _x000D_
_x000D_
and i have used multiDex_x000D_
my gradle:_x000D_
apply plugin:  com android application _x000D_
apply plugin:  com mob sdk _x000D_
apply plugin:  org greenrobot greendao _x000D_
_x000D_
android  _x000D_
    compileSdkVersion 27_x000D_
    buildToolsVersion  28 0 1 _x000D_
    defaultConfig  _x000D_
        applicationId  com chile fastloan _x000D_
_x000D_
        minSdkVersion 16_x000D_
        targetSdkVersion 26_x000D_
        versionCode 5_x000D_
        versionName  1 2 _x000D_
        flavorDimensions  versionCode _x000D_
        testInstrumentationRunner  android support test runner AndroidJUnitRunner _x000D_
        multiDexEnabled true_x000D_
_x000D_
        ndk  _x000D_
                      cpu    so  _x000D_
            abiFilters  armeabi    armeabi v7a    arm64 v8a _x000D_
                      x86    x86 64    mips    mips64 _x000D_
         _x000D_
_x000D_
        manifestPlaceholders    _x000D_
                JPUSH PKGNAME :  com chile fastloan  _x000D_
                JPUSH APPKEY :  ea417ffb43a5ec62fea0098c     JPush         appkey _x000D_
                JPUSH CHANNEL :  developer default               _x000D_
         _x000D_
     _x000D_
_x000D_
          _x000D_
    signingConfigs  _x000D_
        release  _x000D_
            storeFile file(    xunjiedai jks )_x000D_
            keyAlias  xjd _x000D_
            keyPassword  xunjiedai _x000D_
            storePassword  xunjiedai _x000D_
         _x000D_
     _x000D_
_x000D_
    buildTypes  _x000D_
        release  _x000D_
            minifyEnabled false_x000D_
            proguardFiles getDefaultProguardFile( proguard android txt )   proguard rules pro _x000D_
                      _x000D_
            zipAlignEnabled true_x000D_
            signingConfig signingConfigs release_x000D_
         _x000D_
     _x000D_
_x000D_
    greendao  _x000D_
        schemaVersion 1      _x000D_
        daoPackage  com chile fastloan greendao        app            _x000D_
        targetGenDir  src main java          _x000D_
     _x000D_
_x000D_
    MobSDK  _x000D_
        appKey  20a08b54bbba9 _x000D_
        appSecret  7a404f7dae1dd6773493dc504ef56295 _x000D_
_x000D_
        ShareSDK  _x000D_
            gui false_x000D_
                    _x000D_
            devInfo  _x000D_
                SinaWeibo  _x000D_
                    appKey  3222856981 _x000D_
                    appSecret  95bf3401ed27fc987f4806e2af51d4c0 _x000D_
                    callbackUri  http:  www baidu com _x000D_
                    shareByAppClient true_x000D_
                 _x000D_
                Wechat  _x000D_
                    appId  wx0f72698e29f59ce0 _x000D_
                    appSecret  bac3e7a6e5928e40430be09b6811db06 _x000D_
                 _x000D_
                WechatMoments  _x000D_
                    appId  wx0f72698e29f59ce0 _x000D_
                    appSecret  bac3e7a6e5928e40430be09b6811db06 _x000D_
                 _x000D_
                QQ  _x000D_
                    appId  1106937504 _x000D_
                    appKey  zHyaPgSsxVba99xs _x000D_
                    shareByAppClient true_x000D_
                 _x000D_
                QZone  _x000D_
                    appId  1106937504 _x000D_
                    appKey  zHyaPgSsxVba99xs _x000D_
                    shareByAppClient true_x000D_
                 _x000D_
                Yixin  _x000D_
                    appId  yx086483df7e7f40648f4832e1c7e699f0 _x000D_
                 _x000D_
                YixinMoments  _x000D_
                    appId  yx086483df7e7f40648f4832e1c7e699f0 _x000D_
                 _x000D_
             _x000D_
         _x000D_
_x000D_
     _x000D_
 _x000D_
_x000D_
dependencies  _x000D_
    implementation fileTree(include:     jar    dir:  libs )_x000D_
    implementation  com android support:appcompat v7:27 1 1 _x000D_
    testImplementation  junit:junit:4 12 _x000D_
    androidTestImplementation  com android support test:runner:1 0 2 _x000D_
    androidTestImplementation  com android support test espresso:espresso core:3 0 2 _x000D_
    annotationProcessor rootProject ext dependencies butterKnifeCompiler_x000D_
    implementation project( :public jar )_x000D_
    implementation project( :toolBar )_x000D_
    implementation project( :tabbar )_x000D_
    implementation  com android support:multidex:1 0 1 _x000D_
    implementation  com android support:recyclerview v7:27 1 1 _x000D_
_x000D_
      retrofit2_x000D_
    implementation  com squareup retrofit2:retrofit:2 4 0 _x000D_
    implementation  com squareup retrofit2:adapter rxjava2:2 3 0 _x000D_
    implementation  com squareup retrofit2:converter gson:2 0 2 _x000D_
_x000D_
      compile  com google code gson:gson:2 8 2 _x000D_
_x000D_
      rxjava_x000D_
    implementation  io reactivex rxjava2:rxjava:2 1 12 _x000D_
_x000D_
      rxandroid_x000D_
    implementation  io reactivex rxjava2:rxandroid:2 0 2 _x000D_
_x000D_
           _x000D_
    implementation  com contrarywind:Android PickerView:4 1 2 _x000D_
_x000D_
      glide           V7     27       tabbar        _x000D_
    implementation  com github bumptech glide:glide:4 7 1 _x000D_
    annotationProcessor  com github bumptech glide:compiler:4 7 1 _x000D_
_x000D_
            _x000D_
    implementation  com yanzhenjie:permission:2 0 0 rc11 _x000D_
_x000D_
      EventBus_x000D_
    implementation  org greenrobot:eventbus:3 1 1 _x000D_
_x000D_
       IOS  _x000D_
    implementation  com bigkoo:alertview:1 0 3 _x000D_
_x000D_
      photoview_x000D_
    implementation  com github chrisbanes:PhotoView:2 0 0 _x000D_
_x000D_
      tencent bugly_x000D_
    implementation  com tencent bugly:crashreport:2 6 6 _x000D_
_x000D_
      ocr          _x000D_
_x000D_
          implementation  com rmtheis:tess two:9 0 0 _x000D_
_x000D_
      recycleview adapter _x000D_
    implementation  com github CymChad:BaseRecyclerViewAdapterHelper:2 9 30 _x000D_
_x000D_
      greendao      _x000D_
    implementation  org greenrobot:greendao:3 2 2 _x000D_
_x000D_
      JPush_x000D_
    implementation  cn jiguang sdk:jpush:3 1 1 _x000D_
    implementation  cn jiguang sdk:jcore:1 1 9 _x000D_
    implementation project( :ocr ui )_x000D_
    implementation files( libs libs BaiduLBS Android jar )_x000D_
_x000D_
      load gif_x000D_
_x000D_
          implementation ( pl droidsonroids gif:android gif drawable:1 2 14 )  _x000D_
_x000D_
              exclude(module:  android gif drawable native armeabi )_x000D_
_x000D_
           _x000D_
    implementation  pl droidsonroids gif:android gif drawable:1 2 14 _x000D_
_x000D_
       https:  mvnrepository com artifact com google zxing core_x000D_
    implementation  com google zxing:core:3 3 3 _x000D_
 _x000D_
 _x000D_
my application:_x000D_
package com chile fastloan _x000D_
_x000D_
import android app Application _x000D_
import android content Context _x000D_
import android database sqlite SQLiteDatabase _x000D_
import android support multidex MultiDex _x000D_
_x000D_
import com baidu mapapi SDKInitializer _x000D_
import com chile fastloan greendao DaoMaster _x000D_
import com chile fastloan greendao DaoSession _x000D_
import com chile fastloan utils IDCardOCRUtil _x000D_
import com chile fastloan utils SharedPreferencesUtil _x000D_
import com le base BaseApplication _x000D_
import com le base BaseConfig _x000D_
import com tencent bugly crashreport CrashReport _x000D_
import com umeng analytics MobclickAgent _x000D_
import com umeng commonsdk UMConfigure _x000D_
_x000D_
import cn jpush android api JPushInterface _x000D_
_x000D_
   _x000D_
   Created by le on 2018 5 18 _x000D_
   _x000D_
_x000D_
public class XunjieApplication extends BaseApplication _x000D_
    private DaoMaster DevOpenHelper mHelper _x000D_
    private SQLiteDatabase db _x000D_
    private DaoMaster mDaoMaster _x000D_
    private DaoSession mDaoSession _x000D_
_x000D_
    private static XunjieApplication instance _x000D_
_x000D_
     Override_x000D_
    public void onCreate()  _x000D_
        super onCreate() _x000D_
        instance   this _x000D_
        initPrefs() _x000D_
        CrashReport initCrashReport(getApplicationContext()   e4ef2305e4   BaseConfig DEBUG) _x000D_
        UMConfigure init(this  UMConfigure DEVICE TYPE PHONE   ) _x000D_
        UMConfigure setLogEnabled(BaseConfig DEBUG) _x000D_
           _x000D_
                 _x000D_
              boolean    false     _x000D_
           _x000D_
        UMConfigure setEncryptEnabled(true) _x000D_
        MobclickAgent openActivityDurationTrack(false)                         _x000D_
_x000D_
        JPushInterface setDebugMode(BaseConfig DEBUG) _x000D_
        JPushInterface init(this) _x000D_
        SDKInitializer initialize(this) _x000D_
     _x000D_
_x000D_
    public static XunjieApplication getInstance() _x000D_
        return instance _x000D_
     _x000D_
_x000D_
       _x000D_
          SharedPreference_x000D_
       _x000D_
    protected void initPrefs()  _x000D_
        SharedPreferencesUtil init(getApplicationContext()  getPackageName()     preference   Context MODE MULTI PROCESS) _x000D_
     _x000D_
_x000D_
     Override_x000D_
    protected void attachBaseContext(Context base)  _x000D_
        super attachBaseContext(base) _x000D_
        MultiDex install(base) _x000D_
        setDatabase() _x000D_
     _x000D_
_x000D_
       _x000D_
         greenDao_x000D_
       _x000D_
    private void setDatabase()  _x000D_
              DaoMaster      DevOpenHelper            SQLiteOpenHelper    _x000D_
                              CREATE TABLE     SQL       greenDAO        _x000D_
                  DaoMaster DevOpenHelper                              _x000D_
                                            _x000D_
        mHelper   new DaoMaster DevOpenHelper(this   xunjiedai db   null) _x000D_
        db   mHelper getWritableDatabase() _x000D_
                       DaoMaster      Session             _x000D_
        mDaoMaster   new DaoMaster(db) _x000D_
        mDaoSession   mDaoMaster newSession() _x000D_
     _x000D_
    public DaoSession getDaoSession()  _x000D_
        return mDaoSession _x000D_
     _x000D_
    public SQLiteDatabase getDb()  _x000D_
        return db _x000D_
     _x000D_
_x000D_
 _x000D_
</t>
  </si>
  <si>
    <t>requery-sqlite-android-72</t>
  </si>
  <si>
    <t>Native Crash: "JNI FatalError called: Native registration unable to find class 'io/requery/android/database/sqlite/SQLiteConnection'"</t>
  </si>
  <si>
    <t>I am sporadically working on  a test battery to exercise  SupportSQLiteDatabase  implementations such as yours (https:  gitlab com commonsguy support db tests) _x000D_
_x000D_
My tests work fine with Requery 3 21 0 and 3 23 1  However  with 3 24 0  the tests crash immediately with the JNI error shown in the title:_x000D_
_x000D_
   _x000D_
07 15 14:35:03 233 24744 24760 com commonsware dbconformance requery test A ce requery tes: jni internal cc:616  JNI FatalError called: Native registration unable to find class  io requery android database sqlite SQLiteConnection   aborting   _x000D_
07 15 14:35:03 324 24744 24760 com commonsware dbconformance requery test A ce requery tes: runtime cc:558  Runtime aborting   _x000D_
    runtime cc:558  Dumping all threads without appropriate locks held: thread list lock_x000D_
    runtime cc:558  All threads:_x000D_
    runtime cc:558  DALVIK THREADS (14):_x000D_
    runtime cc:558   Instr: android support test runner AndroidJUnitRunner  prio 10 tid 13 Runnable_x000D_
    runtime cc:558      group    sCount 0 dsCount 0 flags 0 obj 0x13940228 self 0x72c2ed9000_x000D_
    runtime cc:558      sysTid 24760 nice  8 cgrp default sched 0 0 handle 0x72ad7a24f0_x000D_
    runtime cc:558      state R schedstat ( 278914582 29587707 125 ) utm 26 stm 0 core 2 HZ 100_x000D_
    runtime cc:558      stack 0x72ad69f000 0x72ad6a1000 stackSize 1041KB_x000D_
    runtime cc:558      held mutexes   abort lock   mutator lock (shared held)_x000D_
    runtime cc:558    native:  00 pc 00000000003c8d04   system lib64 libart so (art::DumpNativeStack(std::  1::basic ostream char  std::  1::char traits char     int  BacktraceMap   char const   art::ArtMethod   void   bool) 220)_x000D_
    runtime cc:558    native:  01 pc 0000000000498b90   system lib64 libart so (art::Thread::DumpStack(std::  1::basic ostream char  std::  1::char traits char     bool  BacktraceMap   bool) const 352)_x000D_
    runtime cc:558    native:  02 pc 00000000004b29a4   system lib64 libart so (art::DumpCheckpoint::Run(art::Thread ) 828)_x000D_
    runtime cc:558    native:  03 pc 00000000004ab720   system lib64 libart so (art::ThreadList::RunCheckpoint(art::Closure   art::Closure ) 476)_x000D_
    runtime cc:558    native:  04 pc 00000000004aa95c   system lib64 libart so (art::ThreadList::Dump(std::  1::basic ostream char  std::  1::char traits char     bool) 500)_x000D_
    runtime cc:558    native:  05 pc 000000000046d8a0   system lib64 libart so (art::Runtime::Abort(char const ) 392)_x000D_
    runtime cc:558    native:  06 pc 0000000000008d08   system lib64 libbase so (android::base::LogMessage:: LogMessage() 720)_x000D_
    runtime cc:558    native:  07 pc 0000000000332c24   system lib64 libart so (art::JNI::FatalError( JNIEnv   char const ) 196)_x000D_
    runtime cc:558    native:  08 pc 00000000000e7bc0   system lib64 libart so (art::(anonymous namespace)::CheckJNI::FatalError( JNIEnv   char const ) 708)_x000D_
    runtime cc:558    native:  09 pc 000000000001a620   data app com commonsware dbconformance requery test  6qFntFO9WrflAZkmpgI7A   lib arm64 libsqlite3x so (jniRegisterNativeMethods 108)_x000D_
    runtime cc:558    native:  10 pc 0000000000016b10   data app com commonsware dbconformance requery test  6qFntFO9WrflAZkmpgI7A   lib arm64 libsqlite3x so (JNI OnLoad 68)_x000D_
    runtime cc:558    native:  11 pc 00000000002edae4   system lib64 libart so (art::JavaVMExt::LoadNativeLibrary( JNIEnv   std::  1::basic string char  std::  1::char traits char   std::  1::allocator char   const    jobject   std::  1::basic string char  std::  1::char traits char   std::  1::allocator char   ) 3188)_x000D_
    runtime cc:558    native:  12 pc 00000000000040e0   system lib64 libopenjdkjvm so (JVM NativeLoad 416)_x000D_
    runtime cc:558    at java lang Runtime nativeLoad(Native method)_x000D_
    runtime cc:558    at java lang Runtime loadLibrary0(Runtime java:1014)_x000D_
    runtime cc:558      locked  0x0604dfbb  (a java lang Runtime)_x000D_
    runtime cc:558    at java lang System loadLibrary(System java:1669)_x000D_
    runtime cc:558    at io requery android database sqlite SQLiteDatabase  clinit (SQLiteDatabase java:88)_x000D_
    runtime cc:558    at io requery android database sqlite SQLiteDatabase openDatabase(SQLiteDatabase java:715)_x000D_
07 15 14:35:03 325 24744 24760 com commonsware dbconformance requery test A ce requery tes: runtime cc:558    at io requery android database sqlite SQLiteOpenHelper getDatabaseLocked(SQLiteOpenHelper java:241)_x000D_
    runtime cc:558    at io requery android database sqlite SQLiteOpenHelper getWritableDatabase(SQLiteOpenHelper java:174)_x000D_
    runtime cc:558      locked  0x01e06cd8  (a io requery android database sqlite RequerySQLiteOpenHelperFactory CallbackSQLiteOpenHelper)_x000D_
    runtime cc:558    at io requery android database sqlite SQLiteOpenHelper getWritableDatabase(SQLiteOpenHelper java:44)_x000D_
    runtime cc:558    at com commonsware dbtest ClosedDatabaseTests dbSetup(ClosedDatabaseTests java:33)_x000D_
    runtime cc:558    at java lang reflect Method invoke(Native method)_x000D_
    runtime cc:558    at org junit runners model FrameworkMethod 1 runReflectiveCall(FrameworkMethod java:50)_x000D_
    runtime cc:558    at org junit internal runners model ReflectiveCallable run(ReflectiveCallable java:12)_x000D_
    runtime cc:558    at org junit runners model FrameworkMethod invokeExplosively(FrameworkMethod java:47)_x000D_
07 15 14:35:03 326 24744 24760 com commonsware dbconformance requery test A ce requery tes: runtime cc:558    at android support test internal runner junit4 statement RunBefores evaluate(RunBefores java:76)_x000D_
    runtime cc:558    at android support test internal runner junit4 statement RunAfters evaluate(RunAfters java:61)_x000D_
    runtime cc:558    at org junit runners ParentRunner runLeaf(ParentRunner java:325)_x000D_
    runtime cc:558    at org junit runners BlockJUnit4ClassRunner runChild(BlockJUnit4ClassRunner java:78)_x000D_
    runtime cc:558    at org junit runners BlockJUnit4ClassRunner runChild(BlockJUnit4ClassRunner java:57)_x000D_
    runtime cc:558    at org junit runners ParentRunner 3 run(ParentRunner java:290)_x000D_
    runtime cc:558    at org junit runners ParentRunner 1 schedule(ParentRunner java:71)_x000D_
    runtime cc:558    at org junit runners ParentRunner runChildren(ParentRunner java:288)_x000D_
    runtime cc:558    at org junit runners ParentRunner access 000(ParentRunner java:58)_x000D_
    runtime cc:558    at org junit runners ParentRunner 2 evaluate(ParentRunner java:268)_x000D_
    runtime cc:558    at org junit runners ParentRunner run(ParentRunner java:363)_x000D_
    runtime cc:558    at org junit runners Suite runChild(Suite java:128)_x000D_
    runtime cc:558    at org junit runners Suite runChild(Suite java:27)_x000D_
    runtime cc:558    at org junit runners ParentRunner 3 run(ParentRunner java:290)_x000D_
    runtime cc:558    at org junit runners ParentRunner 1 schedule(ParentRunner java:71)_x000D_
    runtime cc:558    at org junit runners ParentRunner runChildren(ParentRunner java:288)_x000D_
    runtime cc:558    at org junit runners ParentRunner access 000(ParentRunner java:58)_x000D_
    runtime cc:558    at org junit runners ParentRunner 2 evaluate(ParentRunner java:268)_x000D_
    runtime cc:558    at org junit internal runners statements RunBefores evaluate(RunBefores java:26)_x000D_
    runtime cc:558    at org junit runners ParentRunner run(ParentRunner java:363)_x000D_
    runtime cc:558    at org junit runners Suite runChild(Suite java:128)_x000D_
    runtime cc:558    at org junit runners Suite runChild(Suite java:27)_x000D_
    runtime cc:558    at org junit runners ParentRunner 3 run(ParentRunner java:290)_x000D_
07 15 14:35:03 327 24744 24760 com commonsware dbconformance requery test A ce requery tes: runtime cc:558    at org junit runners ParentRunner 1 schedule(ParentRunner java:71)_x000D_
    runtime cc:558    at org junit runners ParentRunner runChildren(ParentRunner java:288)_x000D_
    runtime cc:558    at org junit runners ParentRunner access 000(ParentRunner java:58)_x000D_
    runtime cc:558    at org junit runners ParentRunner 2 evaluate(ParentRunner java:268)_x000D_
    runtime cc:558    at org junit runners ParentRunner run(ParentRunner java:363)_x000D_
    runtime cc:558    at org junit runner JUnitCore run(JUnitCore java:137)_x000D_
    runtime cc:558    at org junit runner JUnitCore run(JUnitCore java:115)_x000D_
    runtime cc:558    at android support test internal runner TestExecutor execute(TestExecutor java:56)_x000D_
    runtime cc:558    at android support test runner AndroidJUnitRunner onStart(AndroidJUnitRunner java:384)_x000D_
    runtime cc:558    at android app Instrumentation InstrumentationThread run(Instrumentation java:2145)_x000D_
    runtime cc:558  _x000D_
    runtime cc:558   main  prio 10 tid 1 Native_x000D_
    runtime cc:558      group    sCount 1 dsCount 0 flags 1 obj 0x7486fa78 self 0x72c2e14c00_x000D_
    runtime cc:558      sysTid 24744 nice 0 cgrp default sched 0 0 handle 0x7348924548_x000D_
    runtime cc:558      state S schedstat ( 162175365 19361361 136 ) utm 10 stm 4 core 2 HZ 100_x000D_
    runtime cc:558      stack 0x7fc7de2000 0x7fc7de4000 stackSize 8MB_x000D_
    runtime cc:558      held mutexes _x000D_
    runtime cc:558    kernel:   switch to 0x94 0xc8_x000D_
    runtime cc:558    kernel: SyS epoll wait 0x38c 0x478_x000D_
    runtime cc:558    kernel: SyS epoll pwait 0x12c 0x138_x000D_
    runtime cc:558    kernel:   sys trace return 0x0 0x4_x000D_
    runtime cc:558    native:  00 pc 0000000000070c90   system lib64 libc so (  epoll pwait 8)_x000D_
    runtime cc:558    native:  01 pc 00000000000140bc   system lib64 libutils so (android::Looper::pollInner(int) 148)_x000D_
    runtime cc:558    native:  02 pc 0000000000013f8c   system lib64 libutils so (android::Looper::pollOnce(int  int   int   void  ) 60)_x000D_
    runtime cc:558    native:  03 pc 0000000000120430   system lib64 libandroid runtime so (android::android os MessageQueue nativePollOnce( JNIEnv    jobject   long  int) 44)_x000D_
    runtime cc:558    at android os MessageQueue nativePollOnce(Native method)_x000D_
    runtime cc:558    at android os MessageQueue next(MessageQueue java:326)_x000D_
07 15 14:35:03 328 24744 24760 com commonsware dbconformance requery test A ce requery tes: runtime cc:558    at android os Looper loop(Looper java:160)_x000D_
    runtime cc:558    at android app ActivityThread main(ActivityThread java:6669)_x000D_
    runtime cc:558    at java lang reflect Method invoke(Native method)_x000D_
    runtime cc:558    at com android internal os RuntimeInit MethodAndArgsCaller run(RuntimeInit java:493)_x000D_
    runtime cc:558    at com android internal os ZygoteInit main(ZygoteInit java:858)_x000D_
    runtime cc:558  _x000D_
    runtime cc:558   Jit thread pool worker thread 0  prio 10 tid 2 Native_x000D_
    runtime cc:558      group    sCount 1 dsCount 0 flags 1 obj 0x139402b0 self 0x72bc60e000_x000D_
    runtime cc:558      sysTid 24749 nice 9 cgrp default sched 0 0 handle 0x72bc9994f0_x000D_
    runtime cc:558      state S schedstat ( 37220941 33827343 40 ) utm 2 stm 1 core 1 HZ 100_x000D_
    runtime cc:558      stack 0x72bc89b000 0x72bc89d000 stackSize 1021KB_x000D_
    runtime cc:558      held mutexes _x000D_
    runtime cc:558    kernel:   switch to 0xbc 0xc8_x000D_
    runtime cc:558    kernel: futex wait queue me 0xc0 0x144_x000D_
    runtime cc:558    kernel: futex wait 0xe4 0x204_x000D_
    runtime cc:558    kernel: do futex 0x168 0xc40_x000D_
    runtime cc:558    kernel: SyS futex 0x11c 0x1b0_x000D_
    runtime cc:558    kernel:   sys trace return 0x0 0x4_x000D_
    runtime cc:558    native:  00 pc 000000000001f02c   system lib64 libc so (syscall 28)_x000D_
    runtime cc:558    native:  01 pc 00000000000d72a8   system lib64 libart so (art::ConditionVariable::WaitHoldingLocks(art::Thread ) 148)_x000D_
    runtime cc:558    native:  02 pc 00000000004b41f8   system lib64 libart so (art::ThreadPool::GetTask(art::Thread ) 260)_x000D_
    runtime cc:558    native:  03 pc 00000000004b3760   system lib64 libart so (art::ThreadPoolWorker::Run() 124)_x000D_
    runtime cc:558    native:  04 pc 00000000004b3220   system lib64 libart so (art::ThreadPoolWorker::Callback(void ) 148)_x000D_
    runtime cc:558    native:  05 pc 00000000000847bc   system lib64 libc so (  pthread start(void ) 36)_x000D_
    runtime cc:558    native:  06 pc 0000000000023574   system lib64 libc so (  start thread 68)_x000D_
    runtime cc:558    (no managed stack frames)_x000D_
    runtime cc:558  _x000D_
    runtime cc:558   Signal Catcher  prio 10 tid 3 WaitingInMainSignalCatcherLoop_x000D_
    runtime cc:558      group    sCount 1 dsCount 0 flags 1 obj 0x13940338 self 0x72c2e16400_x000D_
07 15 14:35:03 329 24744 24760 com commonsware dbconformance requery test A ce requery tes: runtime cc:558      sysTid 24750 nice 0 cgrp default sched 0 0 handle 0x72bc5ff4f0_x000D_
    runtime cc:558      state S schedstat ( 475000 17500 1 ) utm 0 stm 0 core 1 HZ 100_x000D_
    runtime cc:558      stack 0x72bc504000 0x72bc506000 stackSize 1009KB_x000D_
    runtime cc:558      held mutexes _x000D_
    runtime cc:558    kernel:   switch to 0xbc 0xc8_x000D_
    runtime cc:558    kernel: do sigtimedwait 0x160 0x224_x000D_
    runtime cc:558    kernel: SyS rt sigtimedwait 0xa0 0x118_x000D_
    runtime cc:558    kernel:   sys trace return 0x0 0x4_x000D_
    runtime cc:558    native:  00 pc 0000000000070e70   system lib64 libc so (  rt sigtimedwait 8)_x000D_
    runtime cc:558    native:  01 pc 000000000002db50   system lib64 libc so (sigwait 64)_x000D_
    runtime cc:558    native:  02 pc 00000000004868a8   system lib64 libart so (art::SignalCatcher::WaitForSignal(art::Thread   art::SignalSet ) 416)_x000D_
    runtime cc:558    native:  03 pc 00000000004851b0   system lib64 libart so (art::SignalCatcher::Run(void ) 272)_x000D_
    runtime cc:558    native:  04 pc 00000000000847bc   system lib64 libc so (  pthread start(void ) 36)_x000D_
    runtime cc:558    native:  05 pc 0000000000023574   system lib64 libc so (  start thread 68)_x000D_
    runtime cc:558    (no managed stack frames)_x000D_
    runtime cc:558  _x000D_
    runtime cc:558   ADB JDWP Connection Control Thread  prio 10 tid 4 WaitingInMainDebuggerLoop_x000D_
    runtime cc:558      group    sCount 1 dsCount 0 flags 1 obj 0x139403c0 self 0x72bc618800_x000D_
    runtime cc:558      sysTid 24751 nice 0 cgrp default sched 0 0 handle 0x72ae4f24f0_x000D_
    runtime cc:558      state S schedstat ( 6049324 831457 16 ) utm 0 stm 0 core 1 HZ 100_x000D_
    runtime cc:558      stack 0x72ae3f7000 0x72ae3f9000 stackSize 1009KB_x000D_
    runtime cc:558      held mutexes _x000D_
    runtime cc:558    kernel:   switch to 0x94 0xc8_x000D_
    runtime cc:558    kernel: poll schedule timeout 0x38 0x5c_x000D_
    runtime cc:558    kernel: do sys poll 0x38c 0x4e8_x000D_
    runtime cc:558    kernel: SyS ppoll 0x1c4 0x1fc_x000D_
    runtime cc:558    kernel:   sys trace return 0x0 0x4_x000D_
    runtime cc:558    native:  00 pc 0000000000070db0   system lib64 libc so (  ppoll 8)_x000D_
    runtime cc:558    native:  01 pc 000000000002b814   system lib64 libc so (poll 88)_x000D_
    runtime cc:558    native:  02 pc 0000000000006cbc   system lib64 libadbconnection so (adbconnection::AdbConnectionState::RunPollLoop(art::Thread ) 824)_x000D_
    runtime cc:558    native:  03 pc 000000000000525c   system lib64 libadbconnection so (adbconnection::CallbackFunction(void ) 1060)_x000D_
    runtime cc:558    native:  04 pc 00000000000847bc   system lib64 libc so (  pthread start(void ) 36)_x000D_
    runtime cc:558    native:  05 pc 0000000000023574   system lib64 libc so (  start thread 68)_x000D_
    runtime cc:558    (no managed stack frames)_x000D_
    runtime cc:558  _x000D_
    runtime cc:558   ReferenceQueueDaemon  prio 10 tid 5 Waiting_x000D_
    runtime cc:558      group    sCount 1 dsCount 0 flags 1 obj 0x13940448 self 0x72c2fd3c00_x000D_
    runtime cc:558      sysTid 24752 nice 4 cgrp default sched 0 0 handle 0x72ae3f44f0_x000D_
    runtime cc:558      state S schedstat ( 2049011 3357708 21 ) utm 0 stm 0 core 1 HZ 100_x000D_
    runtime cc:558      stack 0x72ae2f1000 0x72ae2f3000 stackSize 1041KB_x000D_
    runtime cc:558      held mutexes _x000D_
    runtime cc:558    kernel:   switch to 0x94 0xc8_x000D_
    runtime cc:558    kernel: futex wait queue me 0xc0 0x144_x000D_
    runtime cc:558    kernel: futex wait 0xe4 0x204_x000D_
    runtime cc:558    kernel: do futex 0x168 0xc40_x000D_
    runtime cc:558    kernel: SyS futex 0x11c 0x1b0_x000D_
    runtime cc:558    kernel:   sys trace return 0x0 0x4_x000D_
    runtime cc:558    native:  00 pc 000000000001f02c   system lib64 libc so (syscall 28)_x000D_
    runtime cc:558    native:  01 pc 00000000000d72a8   system lib64 libart so (art::ConditionVariable::WaitHoldingLocks(art::Thread ) 148)_x000D_
    runtime cc:558    native:  02 pc 00000000003c429c   system lib64 libart so (art::Monitor::Wait(art::Thread   long  int  bool  art::ThreadState) 640)_x000D_
    runtime cc:558    native:  03 pc 00000000003c5d34   system lib64 libart so (art::Monitor::Wait(art::Thread   art::mirror::Object   long  int  bool  art::ThreadState) 416)_x000D_
    runtime cc:558    at java lang Object wait(Native method)_x000D_
    runtime cc:558      waiting on  0x04c85831  (a java lang Class java lang ref ReferenceQueue )_x000D_
    runtime cc:558    at java lang Daemons ReferenceQueueDaemon runInternal(Daemons java:178)_x000D_
07 15 14:35:03 330 24744 24760 com commonsware dbconformance requery test A ce requery tes: runtime cc:558      locked  0x04c85831  (a java lang Class java lang ref ReferenceQueue )_x000D_
    runtime cc:558    at java lang Daemons Daemon run(Daemons java:103)_x000D_
    runtime cc:558    at java lang Thread run(Thread java:764)_x000D_
    runtime cc:558  _x000D_
    runtime cc:558   FinalizerDaemon  prio 10 tid 6 Waiting_x000D_
    runtime cc:558      group    sCount 1 dsCount 0 flags 1 obj 0x13940530 self 0x72c2e8f000_x000D_
    runtime cc:558      sysTid 24753 nice 4 cgrp default sched 0 0 handle 0x72ae2ee4f0_x000D_
    runtime cc:558      state S schedstat ( 1870988 3712086 30 ) utm 0 stm 0 core 1 HZ 100_x000D_
    runtime cc:558      stack 0x72ae1eb000 0x72ae1ed000 stackSize 1041KB_x000D_
    runtime cc:558      held mutexes _x000D_
    runtime cc:558    kernel:   switch to 0x94 0xc8_x000D_
    runtime cc:558    kernel: futex wait queue me 0xc0 0x144_x000D_
    runtime cc:558    kernel: futex wait 0xe4 0x204_x000D_
    runtime cc:558    kernel: do futex 0x168 0xc40_x000D_
    runtime cc:558    kernel: SyS futex 0x11c 0x1b0_x000D_
    runtime cc:558    kernel:   sys trace return 0x0 0x4_x000D_
    runtime cc:558    native:  00 pc 000000000001f02c   system lib64 libc so (syscall 28)_x000D_
    runtime cc:558    native:  01 pc 00000000000d72a8   system lib64 libart so (art::ConditionVariable::WaitHoldingLocks(art::Thread ) 148)_x000D_
    runtime cc:558    native:  02 pc 00000000003c429c   system lib64 libart so (art::Monitor::Wait(art::Thread   long  int  bool  art::ThreadState) 640)_x000D_
    runtime cc:558    native:  03 pc 00000000003c5d34   system lib64 libart so (art::Monitor::Wait(art::Thread   art::mirror::Object   long  int  bool  art::ThreadState) 416)_x000D_
    runtime cc:558    at java lang Object wait(Native method)_x000D_
    runtime cc:558      waiting on  0x0b12ab16  (a java lang Object)_x000D_
    runtime cc:558    at java lang Object wait(Object java:422)_x000D_
    runtime cc:558    at java lang ref ReferenceQueue remove(ReferenceQueue java:188)_x000D_
    runtime cc:558      locked  0x0b12ab16  (a java lang Object)_x000D_
    runtime cc:558    at java lang ref ReferenceQueue remove(ReferenceQueue java:209)_x000D_
    runtime cc:558    at java lang Daemons FinalizerDaemon runInternal(Daemons java:232)_x000D_
    runtime cc:558    at java lang Daemons Daemon run(Daemons java:103)_x000D_
    runtime cc:558    at java lang Thread run(Thread java:764)_x000D_
    runtime cc:558  _x000D_
    runtime cc:558   FinalizerWatchdogDaemon  prio 10 tid 7 Sleeping_x000D_
    runtime cc:558      group    sCount 1 dsCount 0 flags 1 obj 0x13941540 self 0x72c2fd3000_x000D_
07 15 14:35:03 331 24744 24760 com commonsware dbconformance requery test A ce requery tes: runtime cc:558      sysTid 24754 nice 4 cgrp default sched 0 0 handle 0x72ae1e84f0_x000D_
    runtime cc:558      state S schedstat ( 832605 47917 5 ) utm 0 stm 0 core 0 HZ 100_x000D_
    runtime cc:558      stack 0x72ae0e5000 0x72ae0e7000 stackSize 1041KB_x000D_
    runtime cc:558      held mutexes _x000D_
    runtime cc:558    kernel:   switch to 0xbc 0xc8_x000D_
    runtime cc:558    kernel: futex wait queue me 0xc0 0x144_x000D_
    runtime cc:558    kernel: futex wait 0xe4 0x204_x000D_
    runtime cc:558    kernel: do futex 0x168 0xc40_x000D_
    runtime cc:558    kernel: SyS futex 0x11c 0x1b0_x000D_
    runtime cc:558    kernel:   sys trace return 0x0 0x4_x000D_
    runtime cc:558    native:  00 pc 000000000001f030   system lib64 libc so (syscall 32)_x000D_
    runtime cc:558    native:  01 pc 00000000000d76d0   system lib64 libart so (art::ConditionVariable::TimedWait(art::Thread   long  int) 168)_x000D_
07 15 14:35:03 332 24744 24760 com commonsware dbconformance requery test A ce requery tes: runtime cc:558    native:  02 pc 00000000003c42b0   system lib64 libart so (art::Monitor::Wait(art::Thread   long  int  bool  art::ThreadState) 660)_x000D_
    runtime cc:558    native:  03 pc 00000000003c5d34   system lib64 libart so (art::Monitor::Wait(art::Thread   art::mirror::Object   long  int  bool  art::ThreadState) 416)_x000D_
    runtime cc:558    at java lang Thread sleep(Native method)_x000D_
    runtime cc:558      sleeping on  0x0017bc97  (a java lang Object)_x000D_
    runtime cc:558    at java lang Thread sleep(Thread java:373)_x000D_
    runtime cc:558      locked  0x0017bc97  (a java lang Object)_x000D_
    runtime cc:558    at java lang Thread sleep(Thread java:314)_x000D_
    runtime cc:558    at java lang Daemons FinalizerWatchdogDaemon sleepFor(Daemons java:342)_x000D_
    runtime cc:558    at java lang Daemons FinalizerWatchdogDaemon waitForFinalization(Daemons java:364)_x000D_
    runtime cc:558    at java lang Daemons FinalizerWatchdogDaemon runInternal(Daemons java:281)_x000D_
    runtime cc:558    at java lang Daemons Daemon run(Daemons java:103)_x000D_
    runtime cc:558    at java lang Thread run(Thread java:764)_x000D_
    runtime cc:558  _x000D_
    runtime cc:558   HeapTaskDaemon  prio 10 tid 8 WaitingForTaskProcessor_x000D_
    runtime cc:558      group    sCount 1 dsCount 0 flags 1 obj 0x139418d8 self 0x72c2ed6000_x000D_
    runtime cc:558      sysTid 24755 nice 4 cgrp default sched 0 0 handle 0x72ae0e24f0_x000D_
    runtime cc:558      state S schedstat ( 32232452 4765309 41 ) utm 2 stm 0 core 0 HZ 100_x000D_
    runtime cc:558      stack 0x72adfdf000 0x72adfe1000 stackSize 1041KB_x000D_
    runtime cc:558      held mutexes _x000D_
    runtime cc:558    kernel:   switch to 0xbc 0xc8_x000D_
    runtime cc:558    kernel: futex wait queue me 0xc0 0x144_x000D_
    runtime cc:558    kernel: futex wait 0xe4 0x204_x000D_
    runtime cc:558    kernel: do futex 0x168 0xc40_x000D_
    runtime cc:558    kernel: SyS futex 0x11c 0x1b0_x000D_
    runtime cc:558    kernel:   sys trace return 0x0 0x4_x000D_
    runtime cc:558    native:  00 pc 000000000001f030   system lib64 libc so (syscall 32)_x000D_
    runtime cc:558    native:  01 pc 00000000000d76d0   system lib64 libart so (art::ConditionVariable::TimedWait(art::Thread   long  int) 168)_x000D_
    runtime cc:558    native:  02 pc 000000000022ffcc   system lib64 libart so (art::gc::TaskProcessor::GetTask(art::Thread ) 476)_x000D_
    runtime cc:558    native:  03 pc 0000000000230858   system lib64 libart so (art::gc::TaskProcessor::RunAllTasks(art::Thread ) 96)_x000D_
    runtime cc:558    at dalvik system VMRuntime runHeapTasks(Native method)_x000D_
07 15 14:35:03 333 24744 24760 com commonsware dbconformance requery test A ce requery tes: runtime cc:558    at java lang Daemons HeapTaskDaemon runInternal(Daemons java:475)_x000D_
    runtime cc:558    at java lang Daemons Daemon run(Daemons java:103)_x000D_
    runtime cc:558    at java lang Thread run(Thread java:764)_x000D_
    runtime cc:558  _x000D_
    runtime cc:558   Binder:24744 1  prio 10 tid 9 Native_x000D_
    runtime cc:558      group    sCount 1 dsCount 0 flags 1 obj 0x139415c8 self 0x72bacb7c00_x000D_
    runtime cc:558      sysTid 24756 nice 0 cgrp default sched 0 0 handle 0x72adede4f0_x000D_
    runtime cc:558      state S schedstat ( 1310571 128073 19 ) utm 0 stm 0 core 0 HZ 100_x000D_
    runtime cc:558      stack 0x72adde3000 0x72adde5000 stackSize 1009KB_x000D_
    runtime cc:558      held mutexes _x000D_
    runtime cc:558    kernel:   switch to 0xbc 0xc8_x000D_
    runtime cc:558    kernel: binder thread read 0x4d0 0x1414_x000D_
    runtime cc:558    kernel: binder ioctl write read 0x20c 0x344_x000D_
    runtime cc:558    kernel: binder ioctl 0x590 0x778_x000D_
    runtime cc:558    kernel: do vfs ioctl 0x514 0x79c_x000D_
    runtime cc:558    kernel: SyS ioctl 0x84 0x98_x000D_
    runtime cc:558    kernel:   sys trace return 0x0 0x4_x000D_
    runtime cc:558    native:  00 pc 0000000000070d7c   system lib64 libc so (  ioctl 4)_x000D_
    runtime cc:558    native:  01 pc 00000000000292dc   system lib64 libc so (ioctl 144)_x000D_
    runtime cc:558    native:  02 pc 000000000005a740   system lib64 libbinder so (android::IPCThreadState::talkWithDriver(bool) 260)_x000D_
    runtime cc:558    native:  03 pc 000000000005a918   system lib64 libbinder so (android::IPCThreadState::getAndExecuteCommand() 24)_x000D_
    runtime cc:558    native:  04 pc 000000000005b070   system lib64 libbinder so (android::IPCThreadState::joinThreadPool(bool) 60)_x000D_
    runtime cc:558    native:  05 pc 000000000007b7a4   system lib64 libbinder so (android::PoolThread::threadLoop() 24)_x000D_
    runtime cc:558    native:  06 pc 000000000000f9f4   system lib64 libutils so (android::Thread:: threadLoop(void ) 264)_x000D_
    runtime cc:558    native:  07 pc 00000000000b48b4   system lib64 libandroid runtime so (android::AndroidRuntime::javaThreadShell(void ) 140)_x000D_
    runtime cc:558    native:  08 pc 00000000000847bc   system lib64 libc so (  pthread start(void ) 36)_x000D_
    runtime cc:558    native:  09 pc 0000000000023574   system lib64 libc so (  start thread 68)_x000D_
    runtime cc:558    (no managed stack frames)_x000D_
    runtime cc:558  _x000D_
    runtime cc:558   Binder:24744 2  prio 10 tid 10 Native_x000D_
    runtime cc:558      group    sCount 1 dsCount 0 flags 1 obj 0x13941650 self 0x72bc631000_x000D_
    runtime cc:558      sysTid 24757 nice 0 cgrp default sched 0 0 handle 0x72adde04f0_x000D_
    runtime cc:558      state S schedstat ( 29014944 10798750 39 ) utm 2 stm 0 core 2 HZ 100_x000D_
    runtime cc:558      stack 0x72adce5000 0x72adce7000 stackSize 1009KB_x000D_
    runtime cc:558      held mutexes _x000D_
    runtime cc:558    kernel:   switch to 0x94 0xc8_x000D_
    runtime cc:558    kernel: binder thread read 0x4d0 0x1414_x000D_
    runtime cc:558    kernel: binder ioctl write read 0x20c 0x344_x000D_
    runtime cc:558    kernel: binder ioctl 0x590 0x778_x000D_
    runtime cc:558    kernel: do vfs ioctl 0x514 0x79c_x000D_
    runtime cc:558    kernel: SyS ioctl 0x84 0x98_x000D_
    runtime cc:558    kernel:   sys trace return 0x0 0x4_x000D_
    runtime cc:558    native:  00 pc 0000000000070d7c   system lib64 libc so (  ioctl 4)_x000D_
    runtime cc:558    native:  01 pc 00000000000292dc   system lib64 libc so (ioctl 144)_x000D_
    runtime cc:558    native:  02 pc 000000000005a740   system lib64 libbinder so (android::IPCThreadState::talkWithDriver(bool) 260)_x000D_
    runtime cc:558    native:  03 pc 000000000005a918   system lib64 libbinder so (android::IPCThreadState::getAndExecuteCommand() 24)_x000D_
    runtime cc:558    native:  04 pc 000000000005b070   system lib64 libbinder so (android::IPCThreadState::joinThreadPool(bool) 60)_x000D_
    runtime cc:558    native:  05 pc 000000000007b7a4   system lib64 libbinder so (android::PoolThread::threadLoop() 24)_x000D_
    runtime cc:558    native:  06 pc 000000000000f9f4   system lib64 libutils so (android::Thread:: threadLoop(void ) 264)_x000D_
    runtime cc:558    native:  07 pc 00000000000b48b4   system lib64 libandroid runtime so (android::AndroidRuntime::javaThreadShell(void ) 140)_x000D_
    runtime cc:558    native:  08 pc 00000000000847bc   system lib64 libc so (  pthread start(void ) 36)_x000D_
    runtime cc:558    native:  09 pc 0000000000023574   system lib64 libc so (  start thread 68)_x000D_
    runtime cc:558    (no managed stack frames)_x000D_
    runtime cc:558  _x000D_
    runtime cc:558   Binder:24744 3  prio 10 tid 11 Native_x000D_
    runtime cc:558      group    sCount 1 dsCount 0 flags 1 obj 0x139416d8 self 0x72bacbc400_x000D_
    runtime cc:558      sysTid 24758 nice 0 cgrp default sched 0 0 handle 0x72adce24f0_x000D_
    runtime cc:558      state S schedstat ( 539479 0 1 ) utm 0 stm 0 core 0 HZ 100_x000D_
    runtime cc:558      stack 0x72adbe7000 0x72adbe9000 stackSize 1009KB_x000D_
    runtime cc:558      held mutexes _x000D_
    runtime cc:558    kernel:   switch to 0xbc 0xc8_x000D_
    runtime cc:558    kernel: binder thread read 0x4d0 0x1414_x000D_
    runtime cc:558    kernel: binder ioctl write read 0x20c 0x344_x000D_
    runtime cc:558    kernel: binder ioctl 0x590 0x778_x000D_
    runtime cc:558    kernel: do vfs ioctl 0x514 0x79c_x000D_
    runtime cc:558    kernel: SyS ioctl 0x84 0x98_x000D_
    runtime cc:558    kernel:   sys trace return 0x0 0x4_x000D_
    runtime cc:558    native:  00 pc 0000000000070d7c   system lib64 libc so (  ioctl 4)_x000D_
    runtime cc:558    native:  01 pc 00000000000292dc   system lib64 libc so (ioctl 144)_x000D_
    runtime cc:558    native:  02 pc 000000000005a740   system lib64 libbinder so (android::IPCThreadState::talkWithDriver(bool) 260)_x000D_
    runtime cc:558    native:  03 pc 000000000005a918   system lib64 libbinder so (android::IPCThreadState::getAndExecuteCommand() 24)_x000D_
    runtime cc:558    native:  04 pc 000000000005b070   system lib64 libbinder so (android::IPCThreadState::joinThreadPool(bool) 60)_x000D_
    runtime cc:558    native:  05 pc 000000000007b7a4   system lib64 libbinder so (android::PoolThread::threadLoop() 24)_x000D_
    runtime cc:558    native:  06 pc 000000000000f9f4   system lib64 libutils so (android::Thread:: threadLoop(void ) 264)_x000D_
    runtime cc:558    native:  07 pc 00000000000b48b4   system lib64 libandroid runtime so (android::AndroidRuntime::javaThreadShell(void ) 140)_x000D_
    runtime cc:558    native:  08 pc 00000000000847bc   system lib64 libc so (  pthread start(void ) 36)_x000D_
    runtime cc:558    native:  09 pc 0000000000023574   system lib64 libc so (  start thread 68)_x000D_
    runtime cc:558    (no managed stack frames)_x000D_
    runtime cc:558  _x000D_
    runtime cc:558   Profile Saver  prio 10 tid 12 Native_x000D_
    runtime cc:558      group    sCount 1 dsCount 0 flags 1 obj 0x13941760 self 0x72bc638800_x000D_
    runtime cc:558      sysTid 24759 nice 9 cgrp default sched 0 0 handle 0x72ad8a04f0_x000D_
    runtime cc:558      state S schedstat ( 1095573 0 4 ) utm 0 stm 0 core 0 HZ 100_x000D_
    runtime cc:558      stack 0x72ad7a5000 0x72ad7a7000 stackSize 1009KB_x000D_
    runtime cc:558      held mutexes _x000D_
    runtime cc:558    kernel:   switch to 0xbc 0xc8_x000D_
    runtime cc:558    kernel: futex wait queue me 0xc0 0x144_x000D_
    runtime cc:558    kernel: futex wait 0xe4 0x204_x000D_
    runtime cc:558    kernel: do futex 0x168 0xc40_x000D_
    runtime cc:558    kernel: SyS futex 0x11c 0x1b0_x000D_
    runtime cc:558    kernel:   sys trace return 0x0 0x4_x000D_
    runtime cc:558    native:  00 pc 000000000001f030   system lib64 libc so (syscall 32)_x000D_
    runtime cc:558    native:  01 pc 00000000000d76d0   system lib64 libart so (art::ConditionVariable::TimedWait(art::Thread   long  int) 168)_x000D_
    runtime cc:558    native:  02 pc 0000000000327a98   system lib64 libart so (art::ProfileSaver::Run() 160)_x000D_
    runtime cc:558    native:  03 pc 000000000032b01c   system lib64 libart so (art::ProfileSaver::RunProfileSaverThread(void ) 92)_x000D_
07 15 14:35:03 334 24744 24760 com commonsware dbconformance requery test A ce requery tes: runtime cc:558    native:  04 pc 00000000000847bc   system lib64 libc so (  pthread start(void ) 36)_x000D_
    runtime cc:558    native:  05 pc 0000000000023574   system lib64 libc so (  start thread 68)_x000D_
    runtime cc:558    (no managed stack frames)_x000D_
    runtime cc:558  _x000D_
    runtime cc:558   InstrumentationConnectionThread  prio 10 tid 14 Native_x000D_
    runtime cc:558      group    sCount 1 dsCount 0 flags 1 obj 0x139417e8 self 0x72c2fdcc00_x000D_
    runtime cc:558      sysTid 24761 nice 0 cgrp default sched 0 0 handle 0x72ad69c4f0_x000D_
    runtime cc:558      state S schedstat ( 1642240 14346667 6 ) utm 0 stm 0 core 0 HZ 100_x000D_
    runtime cc:558      stack 0x72ad599000 0x72ad59b000 stackSize 1041KB_x000D_
    runtime cc:558      held mutexes _x000D_
    runtime cc:558    kernel:   switch to 0xbc 0xc8_x000D_
    runtime cc:558    kernel: SyS epoll wait 0x38c 0x478_x000D_
    runtime cc:558    kernel: SyS epoll pwait 0x12c 0x138_x000D_
    runtime cc:558    kernel:   sys trace return 0x0 0x4_x000D_
    runtime cc:558    native:  00 pc 0000000000070c90   system lib64 libc so (  epoll pwait 8)_x000D_
    runtime cc:558    native:  01 pc 00000000000140bc   system lib64 libutils so (android::Looper::pollInner(int) 148)_x000D_
    runtime cc:558    native:  02 pc 0000000000013f8c   system lib64 libutils so (android::Looper::pollOnce(int  int   int   void  ) 60)_x000D_
    runtime cc:558    native:  03 pc 0000000000120430   system lib64 libandroid runtime so (android::android os MessageQueue nativePollOnce( JNIEnv    jobject   long  int) 44)_x000D_
    runtime cc:558    at android os MessageQueue nativePollOnce(Native method)_x000D_
    runtime cc:558    at android os MessageQueue next(MessageQueue java:326)_x000D_
    runtime cc:558    at android os Looper loop(Looper java:160)_x000D_
    runtime cc:558    at android os HandlerThread run(HandlerThread java:65)_x000D_
    runtime cc:558  _x000D_
    runtime cc:558  Aborting thread:_x000D_
    runtime cc:558   Instr: android support test runner AndroidJUnitRunner  prio 10 tid 13 Runnable_x000D_
    runtime cc:558      group    sCount 0 dsCount 0 flags 0 obj 0x13940228 self 0x72c2ed9000_x000D_
    runtime cc:558      sysTid 24760 nice  8 cgrp defa</t>
  </si>
  <si>
    <t>maks-MGit-398</t>
  </si>
  <si>
    <t>app crash when trying to send error report</t>
  </si>
  <si>
    <t xml:space="preserve">This is not a common use case _x000D_
Steps to repro: Give app storage permission  switch out of app and into go into system settings  remove storage write permission (which will cause app to try to request it again) then switch back to app  This causes an error dialog  if you then try to report it you get this crash _x000D_
   _x000D_
java lang IllegalStateException: Cannot access ErrorReporter before ACRA init_x000D_
        at org acra ACRA getErrorReporter(ACRA java:316)_x000D_
        at com manichord mgit dialogs ExceptionDialog onStart 1 onClick(ExceptionDialog kt:47)_x000D_
        at android view View performClick(View java:6294)_x000D_
        at android view View PerformClick run(View java:24770)_x000D_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t>
  </si>
  <si>
    <t>mapbox-mapbox-events-android-181</t>
  </si>
  <si>
    <t>java.lang.NullPointerException in com.mapbox.android.telemetry.TelemetryUtils.obtainSharedPreferences on Android 8.1</t>
  </si>
  <si>
    <t xml:space="preserve">Seeing this crash in Google Play Console crash reports since I upgraded to the latest version _x000D_
8 crash reports so far  all on Android 8 1  using mapbox events android:3 1 4  being called from within Unity _x000D_
_x000D_
   _x000D_
java lang RuntimeException: _x000D_
  at android app ActivityThread handleStopService (ActivityThread java:3666)_x000D_
  at android app ActivityThread  wrap26 (Unknown Source)_x000D_
  at android app ActivityThread H handleMessage (ActivityThread java:1796)_x000D_
  at android os Handler dispatchMessage (Handler java:106)_x000D_
  at android os Looper loop (Looper java:164)_x000D_
  at android app ActivityThread main (ActivityThread java:6753)_x000D_
  at java lang reflect Method invoke (Native Method)_x000D_
  at com android internal os RuntimeInit MethodAndArgsCaller run (RuntimeInit java:482)_x000D_
  at com android internal os ZygoteInit main (ZygoteInit java:807)_x000D_
Caused by: java lang NullPointerException: _x000D_
  at com mapbox android telemetry TelemetryUtils obtainSharedPreferences (TelemetryUtils java:191)_x000D_
  at com mapbox android telemetry TelemetryLocationEnabler updateLocationPreferences (TelemetryLocationEnabler java:61)_x000D_
  at com mapbox android telemetry TelemetryLocationEnabler updateTelemetryLocationState (TelemetryLocationEnabler java:40)_x000D_
  at com mapbox android telemetry TelemetryService disableTelemetryLocationState (TelemetryService java:243)_x000D_
  at com mapbox android telemetry TelemetryService onDestroy (TelemetryService java:65)_x000D_
  at android app ActivityThread handleStopService (ActivityThread java:3648)_x000D_
   </t>
  </si>
  <si>
    <t>ThmmyNoLife-mTHMMY-28</t>
  </si>
  <si>
    <t>Orientation change while logging out causes crash</t>
  </si>
  <si>
    <t xml:space="preserve">BaseActivity crashes if the user changes orientation while logging out  The problem is the  Logging out  dialog _x000D_
Disabling orientation changes while logging out is an easy solution for this </t>
  </si>
  <si>
    <t>recruit-lifestyle-FloatingView-89</t>
  </si>
  <si>
    <t>FloatingViewManager.removeAllViewToWindow() causes IllegalArgumentException</t>
  </si>
  <si>
    <t xml:space="preserve">I m Here s the stacktrace _x000D_
_x000D_
  java lang IllegalArgumentException: View jp co recruit lifestyle android floatingview a 2d7e2db VFE   C         ID 0 0 216 216  not attached to window manager_x000D_
_x000D_
  Caused By:_x000D_
  android view WindowManagerGlobal findViewLocked (WindowManagerGlobal java:509)_x000D_
  android view WindowManagerGlobal removeView (WindowManagerGlobal java:399)_x000D_
  android view WindowManagerImpl removeViewImmediate (WindowManagerImpl java:123)_x000D_
    jp co recruit lifestyle android floatingview FloatingViewManager removeAllViewToWindow (SourceFile:550)  _x000D_
    com geecko QuickLyric services LyricsOverlayService onStartCommand (SourceFile:278)  _x000D_
  android app ActivityThread handleServiceArgs (ActivityThread java:3639)_x000D_
  android app ActivityThread  wrap20 (Unknown Source)_x000D_
  android app ActivityThread H handleMessage (ActivityThread java:1768)_x000D_
  android os Handler dispatchMessage (Handler java:108)_x000D_
  android os Looper loop (Looper java:206)_x000D_
  android app ActivityThread main (ActivityThread java:6749)_x000D_
  java lang reflect Method invoke (Method java)_x000D_
  com android internal os Zygote MethodAndArgsCaller run (Zygote java:240)_x000D_
  com android internal os ZygoteInit main (ZygoteInit java:845)_x000D_
_x000D_
Have gotten several thousands crash reports like this in the past 30 days  _x000D_
The Library version that s used here is   2 3 1   _x000D_
Important to note it only happens with   Android 8   _x000D_
_x000D_
Perhaps you need to use  ViewCompat isAttachedToWindow() (https:  developer android com reference android support v4 view ViewCompat html isAttachedToWindow(android view View)) </t>
  </si>
  <si>
    <t>WatShout-watshout-android-51</t>
  </si>
  <si>
    <t>Re-Write Permissions System</t>
  </si>
  <si>
    <t>Currently the app seems to crash whenever permissions are granted (on certain phones)</t>
  </si>
  <si>
    <t>WatShout-watshout-android-49</t>
  </si>
  <si>
    <t>App Crashes When Changing Profile Picture</t>
  </si>
  <si>
    <t>SettingsFragment java_x000D_
_x000D_
Line  104_x000D_
_x000D_
The PickImageDialog displays correctly  however once an image is selected the app crashes without a logcat message</t>
  </si>
  <si>
    <t>mapbox-mapbox-events-android-178</t>
  </si>
  <si>
    <t>GoogleLocationEngine lack of priority crash</t>
  </si>
  <si>
    <t>GoogleLocationEngine will crash when requestingLocation due to a lack of priority  unless it is manually set by the dev  Set and create a default priority level of  NO POWER  to fix this issue _x000D_
_x000D_
Fixes https:  github com mapbox mapbox events android issues 169_x000D_
Fixes https:  github com mapbox mapbox events android issues 132</t>
  </si>
  <si>
    <t>fossasia-pslab-android-1215</t>
  </si>
  <si>
    <t>App crashes on pressing AutoScan button in sensors instrument</t>
  </si>
  <si>
    <t xml:space="preserve">  Actual Behaviour  _x000D_
_x000D_
The app crashes on pressing AutoScan button in  Sensors  instrument when the device is connected _x000D_
_x000D_
  Expected Behaviour  _x000D_
_x000D_
The app shouldn t crash_x000D_
_x000D_
  Steps to reproduce it  _x000D_
_x000D_
Go to  Sensors     Press AutoScan button_x000D_
_x000D_
  LogCat for the issue  _x000D_
_x000D_
FATAL EXCEPTION: Thread 3_x000D_
                  Process: org fossasia pslab  PID: 9570_x000D_
                  android view ViewRootImpl CalledFromWrongThreadException: Only the original thread that created a view hierarchy can touch its views _x000D_
                      at android view ViewRootImpl checkThread(ViewRootImpl java:7913)_x000D_
                      at android view ViewRootImpl requestLayout(ViewRootImpl java:1299)_x000D_
                      at android view View requestLayout(View java:22178)_x000D_
                      at android view View requestLayout(View java:22178)_x000D_
                      at android view View requestLayout(View java:22178)_x000D_
                      at android view View requestLayout(View java:22178)_x000D_
                      at android view View requestLayout(View java:22178)_x000D_
                      at android view View requestLayout(View java:22178)_x000D_
                      at android view View requestLayout(View java:22178)_x000D_
                      at android view View requestLayout(View java:22178)_x000D_
                      at android support v4 widget NestedScrollView requestLayout(NestedScrollView java:1669)_x000D_
                      at android view View requestLayout(View java:22178)_x000D_
                      at android widget TextView checkForRelayout(TextView java:8559)_x000D_
                      at android widget TextView setText(TextView java:5427)_x000D_
                      at android widget TextView setText(TextView java:5283)_x000D_
                      at android widget TextView setText(TextView java:5240)_x000D_
                      at org fossasia pslab activity SensorActivity populateSensors(SensorActivity java:148)_x000D_
                      at org fossasia pslab activity SensorActivity access 100(SensorActivity java:41)_x000D_
                      at org fossasia pslab activity SensorActivity 1 run(SensorActivity java:57)_x000D_
                      at java lang Thread run(Thread java:764)_x000D_
_x000D_
  Screenshots of the issue  _x000D_
_x000D_
  20180712 005816 (https:  user images githubusercontent com 32356267 42595252 58991f9c 856f 11e8 9eb2 b78934bba3c2 gif)_x000D_
_x000D_
  Would you like to work on the issue   _x000D_
_x000D_
Yes</t>
  </si>
  <si>
    <t>flyve-mdm-android-mdm-agent-501</t>
  </si>
  <si>
    <t>Fix the problem on feedback screen</t>
  </si>
  <si>
    <t xml:space="preserve">    Changes description_x000D_
_x000D_
  When opening the feedback screen the app crash for the new database design  this problem is fixed with this PR_x000D_
_x000D_
  screenshot 1531317514 (https:  user images githubusercontent com 4085091 42576881 5e43510c 84f1 11e8 9715 094fc449c1e4 png)_x000D_
_x000D_
Thanks to  ingluife for the QA_x000D_
_x000D_
    Checklist_x000D_
_x000D_
Please check if your PR fulfills the following specifications:_x000D_
_x000D_
      Tests for the changes have been added_x000D_
      Docs have been added updated_x000D_
_x000D_
    Estimated time_x000D_
_x000D_
     Add the number of pomodoros spent on this task    _x000D_
_x000D_
 Assignee :tomato: _x000D_
 :    :   : _x000D_
  rafaelje  1 _x000D_
_x000D_
      Task not finished  Please give an update of the time     _x000D_
_x000D_
    References_x000D_
_x000D_
     issues related (for reference or to be closed)  dependencies and or links of discuss    _x000D_
_x000D_
Closes  N A_x000D_
Related  N A_x000D_
Depends on  N A</t>
  </si>
  <si>
    <t>getodk-collect-2360</t>
  </si>
  <si>
    <t>SelfieImageWidget and SelfieVideoWIdget crashes after multitapping (a few quick taps)</t>
  </si>
  <si>
    <t xml:space="preserve">     Software and hardware versions _x000D_
Collect v1 15 1 and older versions_x000D_
Android 6 0  7 0 and 8 1 _x000D_
_x000D_
     Problem description_x000D_
SelfieImageWidget and SelfieVideoWIdget crashes after multitapping (a few quick taps)_x000D_
_x000D_
     Steps to reproduce the problem_x000D_
1  Open All WIdgets form_x000D_
2  Use SelfieImageWidget or SelfieVideoWIdget_x000D_
3  Tap the screen multiple times_x000D_
</t>
  </si>
  <si>
    <t>processing-processing-android-473</t>
  </si>
  <si>
    <t>ConcurrentModificationException on back press</t>
  </si>
  <si>
    <t xml:space="preserve">It seems that the  onBackPressed()  function is called parallel to  draw()  which can easily cause a  ConcurrentModificationException   While this can be easily worked around  realizing that it s  onBackPressed s fault can be hard _x000D_
_x000D_
Example code that crashes (usually) if the back button is pressed:_x000D_
   java_x000D_
import java util Collections _x000D_
class Obj  _x000D_
  ArrayList al   new ArrayList Integer () _x000D_
  Obj()  _x000D_
    for (int i   0  i   1000000  i  )  _x000D_
      al add(i) _x000D_
     _x000D_
   _x000D_
  void process()  _x000D_
    Collections sort(al) _x000D_
   _x000D_
 _x000D_
Obj obj   new Obj() _x000D_
_x000D_
void draw()  _x000D_
  obj process() _x000D_
 _x000D_
void onBackPressed()  _x000D_
  obj process() _x000D_
 _x000D_
   </t>
  </si>
  <si>
    <t>nikita36078-J2ME-Loader-354</t>
  </si>
  <si>
    <t>Bounce and Bounce Back</t>
  </si>
  <si>
    <t xml:space="preserve">  Emulator version:  _x000D_
1 3 1_x000D_
_x000D_
  Game version:  _x000D_
Bounce 1 9_x000D_
Bounce Back 1 13_x000D_
_x000D_
  Game resolution:  _x000D_
Bounce 128x128_x000D_
Bounce Back 176x208_x000D_
_x000D_
  Device:  _x000D_
HUAWEI G700 U20_x000D_
_x000D_
  Android version:  _x000D_
4 2 1_x000D_
_x000D_
  Description of the issue:  _x000D_
I ve noticed that in Bounce and Bounce Back games the emulator can completely crash when you finish a level  I can t figure out a pattern  Sometimes I have to play a level several times in a row to complete it  Sometimes it crashes when I reach the end and I have to replay the whole thing and sometimes the level completes without issues and the next level loads without me doing anything differently in the previous level _x000D_
_x000D_
</t>
  </si>
  <si>
    <t>k9mail-k-9-3493</t>
  </si>
  <si>
    <t>App crashes when entering in the unified inbox</t>
  </si>
  <si>
    <t xml:space="preserve">Please search to check for an existing issue (including closed issues  for which the fix may not have yet been released) before opening a new issue: https:  github com k9mail k 9 issues q is 3Aissue_x000D_
_x000D_
    Expected behavior_x000D_
Open Unified Inbox_x000D_
_x000D_
    Actual behavior_x000D_
App crashes_x000D_
_x000D_
    Steps to reproduce_x000D_
1  Just tap on the unified inbox_x000D_
2  The app crashes_x000D_
_x000D_
    Environment_x000D_
K 9 Mail version: 5 700 SNAPSHOT_x000D_
_x000D_
Android version: 7 1 1 Nougat (LineageOS)_x000D_
_x000D_
Account type (IMAP  POP3  WebDAV Exchange):_x000D_
</t>
  </si>
  <si>
    <t>ThmmyNoLife-mTHMMY-26</t>
  </si>
  <si>
    <t>Settings activity crashes on orientation change</t>
  </si>
  <si>
    <t xml:space="preserve">Settings activity crashes on landscape orientation </t>
  </si>
  <si>
    <t>StAResComp-sifids-176</t>
  </si>
  <si>
    <t xml:space="preserve">  Describe the bug  _x000D_
App crashes on launch on Samsung Galaxy S5 Neo_x000D_
_x000D_
  To Reproduce  _x000D_
Steps to reproduce the behavior:_x000D_
1  Attempt to open app_x000D_
2  See error message  Unfortunately  sifids has stopped _x000D_
_x000D_
  Expected behavior  _x000D_
App to launch correctly_x000D_
_x000D_
  Screenshots  _x000D_
If applicable  add screenshots to help explain your problem _x000D_
_x000D_
  Smartphone (please complete the following information):  _x000D_
   Device: Samsung Galaxy S5 Neo_x000D_
   Android version: 6 1_x000D_
   App version 0 6 1_x000D_
_x000D_
  Additional context  _x000D_
Add any other context about the problem here _x000D_
</t>
  </si>
  <si>
    <t>project-travel-mate-Travel-Mate-225</t>
  </si>
  <si>
    <t>Fix bug in Add New Trip Screen</t>
  </si>
  <si>
    <t xml:space="preserve"> There is a bug in the Add New trip screen where the user enters the details of the trip _x000D_
  Keep everything blank and click on the  add trip  button directly _x000D_
  The app crashes_x000D_
</t>
  </si>
  <si>
    <t>commons-app-apps-android-commons-1694</t>
  </si>
  <si>
    <t>App crashes when storage permission is not given and user tries to share a single image from gallery</t>
  </si>
  <si>
    <t xml:space="preserve">  Summary:   _x000D_
_x000D_
App crashes when storage permission is not given and user tries to share a single image from gallery_x000D_
_x000D_
  Steps to reproduce:   _x000D_
_x000D_
Do not give storage permission _x000D_
Open gallery_x000D_
Share a single image using  commons  app_x000D_
_x000D_
_x000D_
  Device and Android version:   _x000D_
Xiaomi Mi A1 (Android 8 0 0  API 26)_x000D_
 _x000D_
   Commons app version:   _x000D_
_x000D_
2 7 2 debug master fa6353b3_x000D_
_x000D_
  Screen shots:   _x000D_
_x000D_
  screenshot 20180707 224539 (https:  user images githubusercontent com 36266597 42413138 b0626d72 8237 11e8 9567 294f5fe5aa83 png)_x000D_
  screenshot 20180707 224550 (https:  user images githubusercontent com 36266597 42413142 b880d07a 8237 11e8 83a9 2ff5e0d9b510 png)_x000D_
  screenshot 20180707 224620 (https:  user images githubusercontent com 36266597 42413143 bc4cd6c2 8237 11e8 9129 828a37366562 png)_x000D_
_x000D_
_x000D_
  Would you like to work on the issue   _x000D_
_x000D_
I want to work on this _x000D_
</t>
  </si>
  <si>
    <t>fossasia-open-event-organizer-android-1170</t>
  </si>
  <si>
    <t>App crashing on selecting events</t>
  </si>
  <si>
    <t xml:space="preserve">    Bug Report    _x000D_
_x000D_
  Actual Behaviour  _x000D_
1  When a new event is created and the event is selected the app is crashing  _x000D_
2  When an item from an events list is long pressed the app is crashing _x000D_
_x000D_
This happened after the latest commit _x000D_
_x000D_
  Expected Behaviour  _x000D_
Shouldn t crash _x000D_
_x000D_
  Steps to reproduce it  _x000D_
Create an event and select it _x000D_
_x000D_
  LogCat for the issue   _x000D_
_x000D_
   _x000D_
java lang NullPointerException: Attempt to read from field  org fossasia openevent app data event EventAnalyticsDelegate org fossasia openevent app data event Event analytics  on a null object reference_x000D_
        at org fossasia openevent app core event dashboard analyser TicketAnalyser analyseSoldTickets(TicketAnalyser java:52)_x000D_
        at org fossasia openevent app core event list sales SalesSummaryPresenter lambda loadDetails 1 SalesSummaryPresenter(SalesSummaryPresenter java:61)_x000D_
        at org fossasia openevent app core event list sales SalesSummaryPresenter  Lambda 1 accept(Unknown Source)_x000D_
        at io reactivex internal observers ConsumerSingleObserver onSuccess(ConsumerSingleObserver java:63)_x000D_
        at io reactivex internal operators observable ObservableToListSingle ToListObserver onComplete(ObservableToListSingle java:113)_x000D_
        at io reactivex internal operators observable ObservableDoOnEach DoOnEachObserver onComplete(ObservableDoOnEach java:143)_x000D_
        at io reactivex internal operators observable ObservableDoFinally DoFinallyObserver onComplete(ObservableDoFinally java:93)_x000D_
        at io reactivex internal observers DisposableLambdaObserver onComplete(DisposableLambdaObserver java:73)_x000D_
        at io reactivex internal operators observable ObservableFlatMap MergeObserver drainLoop(ObservableFlatMap java:367)_x000D_
        at io reactivex internal operators observable ObservableFlatMap MergeObserver drain(ObservableFlatMap java:323)_x000D_
        at io reactivex internal operators observable ObservableFlatMap MergeObserver onComplete(ObservableFlatMap java:300)_x000D_
        at io reactivex internal operators observable ObservableDoOnEach DoOnEachObserver onComplete(ObservableDoOnEach java:143)_x000D_
        at io reactivex internal observers DisposableLambdaObserver onComplete(DisposableLambdaObserver java:73)_x000D_
        at io reactivex internal operators observable ObservableObserveOn ObserveOnObserver checkTerminated(ObservableObserveOn java:281)_x000D_
        at io reactivex int_x000D_
   _x000D_
_x000D_
  Android version and Phone Model  _x000D_
Android Marshmallow 6 0 1 and Redmi Note 3</t>
  </si>
  <si>
    <t>fossasia-phimpme-android-2080</t>
  </si>
  <si>
    <t>App crashing on performing compress action.</t>
  </si>
  <si>
    <t xml:space="preserve">  Actual Behaviour  _x000D_
_x000D_
Once the compress action has been performed on an image  the compressed image is saved in the  Phimpme Compress  folder  Now on navigating to that folder and trying to compress the image again  the app crashes _x000D_
_x000D_
  Expected Behaviour  _x000D_
_x000D_
The app should not crash _x000D_
_x000D_
  Would you like to work on the issue   _x000D_
_x000D_
Yes </t>
  </si>
  <si>
    <t>mapbox-mapbox-events-android-174</t>
  </si>
  <si>
    <t>Investigate and Fix possible Doze bug</t>
  </si>
  <si>
    <t xml:space="preserve">A single report of a crash regarding binding our TelemetryService in Nougat hints that there are other circumstances that this https:  github com mapbox mapbox events android pull 157 bug happens under  My suspicion is a likely relation to Doze or possible Samsung app over management _x000D_
_x000D_
Will investigate further and come up with a solution for pre Oreo builds  _x000D_
_x000D_
cc:  zugaldia </t>
  </si>
  <si>
    <t>dimagi-commcare-android-2017</t>
  </si>
  <si>
    <t>Migration fix for Upgrade and Recovery Table</t>
  </si>
  <si>
    <t xml:space="preserve">CL: https:  www fabric io dimagi android apps org commcare dalvik issues 59dd64f2be077a4dcc14f222 time last twenty four hours_x000D_
_x000D_
This issue is happening when apps having entries in update table are getting updated to CommCare 2 44 i e if a user who have an app update staged but not installed update CommCare to 2 44 and login again his app crashes  I am able to repro it and have verified that this solution fixes the issue for both people updating to potential 2 44 1 from both 2 43 and 2 44 _x000D_
_x000D_
I am stuck on a weird problem though  putting it as a comment inline  _x000D_
_x000D_
</t>
  </si>
  <si>
    <t>andyrozman-RileyLinkAAPS-40</t>
  </si>
  <si>
    <t>Get Basal Profile - 754 pump</t>
  </si>
  <si>
    <t xml:space="preserve">This consistently crashes the app_x000D_
_x000D_
07 05 17:43:10 085 8445 8577 com gxwtech roundtrip2 I ShowAAPS2Activity:  Thread 3  INFO   com gxwtech roundtrip2 ShowAAPS2Activity 4:386 : start Action: Get Basal Profile_x000D_
07 05 17:43:10 096 8445 8577 com gxwtech roundtrip2 I RileyLinkCommunicationManager:  Thread 3  INFO   info nightscout androidaps plugins PumpCommon hw rileylink RileyLinkCommunicationManager:144 : Waking pump   _x000D_
07 05 17:43:10 097 8445 8577 com gxwtech roundtrip2 I MedtronicUtil:  Thread 3  INFO   info nightscout androidaps plugins PumpMedtronic util MedtronicUtil:192 : A7 41 20 20 8D 00 _x000D_
07 05 17:43:10 198 8445 8577 com gxwtech roundtrip2 D RFSpyReader:  Thread 3  DEBUG  info nightscout androidaps plugins PumpCommon hw rileylink ble RFSpyReader:66 : Got data  null  at t  9217025_x000D_
07 05 17:43:13 871 8445 8463 com gxwtech roundtrip2 D RFTools:  Binder:8445 1  DEBUG  info nightscout androidaps plugins PumpCommon hw rileylink ble RileyLinkBLE 1:78 : Response Count is 1C_x000D_
07 05 17:43:14 648 8445 8464 com gxwtech roundtrip2 W BluetoothGatt: onCharacteristicRead()   Device 00:07:80:B4:BD:30 handle 11 Status 0_x000D_
07 05 17:43:14 855 8445 8577 com gxwtech roundtrip2 D RFSpyReader:  Thread 3  DEBUG  info nightscout androidaps plugins PumpCommon hw rileylink ble RFSpyReader:64 : Got data  47 0B A9 6D 31 C9 5C 95 68 D5 59 56 38 D6 8E 58 F4 55 55 55 55 55 55 55 55 55 55 55 55 55 55 55 55 55 55 55 55 55 55 55 55 55 55 55 55 55 55 55 55 55 55 55 55 55 55 55 55 55 55 55 55 55 55 55 55 55 55 55 55 55 55 55 55 55 55 55 55 55 55 55 55 55 55 55 55 55 55 55 55 55 55 55 55 55 55 55 55 55 55 55 55 55 55 55 55 55 55 59 55  at t  9221679_x000D_
07 05 17:43:14 862 8445 8577 com gxwtech roundtrip2 I RFSpy:  Thread 3  INFO   info nightscout androidaps plugins PumpCommon hw rileylink ble RFSpy:124 : writeToData: decoded radio response is A7 41 20 20 8D 09 03 37 35 34 00 00 00 00 00 00 00 00 00 00 00 00 00 00 00 00 00 00 00 00 00 00 00 00 00 00 00 00 00 00 00 00 00 00 00 00 00 00 00 00 00 00 00 00 00 00 00 00 00 00 00 00 00 00 00 00 00 00 00 00_x000D_
07 05 17:43:14 869 8445 8577 com gxwtech roundtrip2 I RileyLinkCommunicationManager:  Thread 3  INFO   info nightscout androidaps plugins PumpCommon hw rileylink RileyLinkCommunicationManager:148 : wakeup: raw response is 47 0B A9 6D 31 C9 5C 95 68 D5 59 56 38 D6 8E 58 F4 55 55 55 55 55 55 55 55 55 55 55 55 55 55 55 55 55 55 55 55 55 55 55 55 55 55 55 55 55 55 55 55 55 55 55 55 55 55 55 55 55 55 55 55 55 55 55 55 55 55 55 55 55 55 55 55 55 55 55 55 55 55 55 55 55 55 55 55 55 55 55 55 55 55 55 55 55 55 55 55 55 55 55 55 55 55 55 55 55 55 59 55_x000D_
07 05 17:43:14 870 8445 8577 com gxwtech roundtrip2 I RileyLinkCommunicationManager:  Thread 3  INFO   info nightscout androidaps plugins PumpCommon hw rileylink RileyLinkCommunicationManager:74 : Sent:A7 41 20 20 92 00_x000D_
07 05 17:43:14 975 8445 8577 com gxwtech roundtrip2 D RFSpyReader:  Thread 3  DEBUG  info nightscout androidaps plugins PumpCommon hw rileylink ble RFSpyReader:66 : Got data  null  at t  9221799_x000D_
07 05 17:43:15 480 8445 8464 com gxwtech roundtrip2 D RFTools:  Binder:8445 2  DEBUG  info nightscout androidaps plugins PumpCommon hw rileylink ble RileyLinkBLE 1:78 : Response Count is 1D_x000D_
07 05 17:43:16 257 8445 8463 com gxwtech roundtrip2 W BluetoothGatt: onCharacteristicRead()   Device 00:07:80:B4:BD:30 handle 11 Status 0_x000D_
07 05 17:43:16 465 8445 8577 com gxwtech roundtrip2 D RFSpyReader:  Thread 3  DEBUG  info nightscout androidaps plugins PumpCommon hw rileylink ble RFSpyReader:64 : Got data  47 0C A9 6D 31 C9 5C 95 67 25 71 CA 35 55 55 5C 8E 55 55 6A CA 35 55 C7 4C 8E 55 5C 6C CA 35 55 CB 45 55 55 55 55 55 55 55 55 55 55 55 55 55 55 55 55 55 55 55 55 55 55 55 55 55 55 55 55 55 55 55 55 55 55 55 55 55 55 55 55 55 55 55 55 55 55 55 55 55 55 55 55 55 55 55 55 55 55 55 55 55 55 55 55 55 55 55 55 55 55 55 55 55 C5 C5  at t  9223291_x000D_
07 05 17:43:16 470 8445 8577 com gxwtech roundtrip2 I RFSpy:  Thread 3  INFO   info nightscout androidaps plugins PumpCommon hw rileylink ble RFSpy:124 : writeToData: decoded radio response is A7 41 20 20 92 01 23 00 00 2E 00 0A 23 00 14 2E 00 1C 23 00 24 00 00 00 00 00 00 00 00 00 00 00 00 00 00 00 00 00 00 00 00 00 00 00 00 00 00 00 00 00 00 00 00 00 00 00 00 00 00 00 00 00 00 00 00 00 00 00 00 00_x000D_
07 05 17:43:16 493 8445 8577 com gxwtech roundtrip2 I RileyLinkCommunicationManager:  Thread 3  INFO   info nightscout androidaps plugins PumpCommon hw rileylink RileyLinkCommunicationManager:87 : Received:A7 41 20 20 92 01 23 00 00 2E 00 0A 23 00 14 2E 00 1C 23 00 24 00 00 00 00 00 00 00 00 00 00 00 00 00 00 00 00 00 00 00 00 00 00 00 00 00 00 00 00 00 00 00 00 00 00 00 00 00 00 00 00 00 00 00 00 00 00 00 00 00_x000D_
07 05 17:43:16 493 8445 8577 com gxwtech roundtrip2 D PumpMessage: Length: 64  Original Length: 1  CommandType: GetBasalProfileSTD_x000D_
07 05 17:43:16 495 8445 8577 com gxwtech roundtrip2 D PumpMessage: Length: 64  Original Length: 1  CommandType: GetBasalProfileSTD_x000D_
07 05 17:43:16 497 8445 8577 com gxwtech roundtrip2 D MedtronicConverter:  Thread 3  DEBUG  info nightscout androidaps plugins PumpMedtronic comm message MedtronicConverter:39 : Raw response before convert: 23 00 00 2E 00 0A 23 00 14 2E 00 1C 23 00 24 00 00 00 00 00 00 00 00 00 00 00 00 00 00 00 00 00 00 00 00 00 00 00 00 00 00 00 00 00 00 00 00 00 00 00 00 00 00 00 00 00 00 00 00 00 00 00 00 00 _x000D_
07 05 17:43:16 499 8445 8577 com gxwtech roundtrip2 D MedtronicCommunicationManager:  Thread 3  DEBUG  info nightscout androidaps plugins PumpMedtronic comm MedtronicCommunicationManager:442 : Converted response for GetBasalProfileSTD is info nightscout androidaps plugins PumpMedtronic comm data BasalProfile ebea7ae _x000D_
07 05 17:43:16 516 8445 8445 com gxwtech roundtrip2 D AndroidRuntime: Shutting down VM_x000D_
07 05 17:43:16 518 8445 8445 com gxwtech roundtrip2 E AndroidRuntime: FATAL EXCEPTION: main_x000D_
                                                                      Process: com gxwtech roundtrip2  PID: 8445_x000D_
                                                                      java util IllegalFormatConversionException: x     B_x000D_
                                                                          at java util Formatter FormatSpecifier failConversion(Formatter java:4135)_x000D_
                                                                          at java util Formatter FormatSpecifier printInteger(Formatter java:2832)_x000D_
                                                                          at java util Formatter FormatSpecifier print(Formatter java:2786)_x000D_
                                                                          at java util Formatter format(Formatter java:2491)_x000D_
                                                                          at java util Formatter format(Formatter java:2426)_x000D_
                                                                          at java lang String format(String java:2626)_x000D_
                                                                          at info nightscout androidaps plugins PumpMedtronic comm data BasalProfile getBasalProfileAsString(BasalProfile java:98)_x000D_
                                                                          at com gxwtech roundtrip2 ShowAAPS2Activity sendData(ShowAAPS2Activity java:282)_x000D_
                                                                          at com gxwtech roundtrip2 ShowAAPS2Activity 3 onReceive(ShowAAPS2Activity java:143)_x000D_
                                                                          at android support v4 content LocalBroadcastManager executePendingBroadcasts(LocalBroadcastManager java:311)_x000D_
                                                                          at android support v4 content LocalBroadcastManager access 000(LocalBroadcastManager java:47)_x000D_
                                                                          at android support v4 content LocalBroadcastManager 1 handleMessage(LocalBroadcastManager java:120)_x000D_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t>
  </si>
  <si>
    <t>0xpr03-VocableTrainer-Android-35</t>
  </si>
  <si>
    <t>Import/Export UI not responsive &amp; Improvements</t>
  </si>
  <si>
    <t xml:space="preserve">   x  Extract export list   import preview into another tab_x000D_
   x  viewmodel for customformat changes_x000D_
   x  Allow scrolling_x000D_
   X  Fix arbitrary crash on viewport change when in file selection_x000D_
   X  rework ui   fix spinner dropdown size_x000D_
   x  Do Import prefetch in background to avoid observer triggering issues_x000D_
   X  Export in viewmodel  making it rotation safe_x000D_
   x  Import in viewmodel  making it rotation safe</t>
  </si>
  <si>
    <t>osmdroid-osmdroid-1079</t>
  </si>
  <si>
    <t>Crash when initializing a map</t>
  </si>
  <si>
    <t xml:space="preserve">   Issue Type_x000D_
_x000D_
 X  Question_x000D_
 X  Bug_x000D_
_x000D_
   Description and or steps code to reproduce the problem_x000D_
_x000D_
I had a crash on a customer s phone on that line :_x000D_
 Configuration getInstance() load(getApplicationContext()  PreferenceManager getDefaultSharedPreferences(getApplicationContext()))  _x000D_
_x000D_
But it does work fine when I am testing on Galaxy S7  Nexus 5  Here is the Fabric s stacktrace :_x000D_
_x000D_
  Fatal Exception: java lang RuntimeException: Unable to start activity ComponentInfo       : java lang NullPointerException: Attempt to invoke virtual method  boolean java lang String startsWith(java lang String)  on a null object reference _x000D_
_x000D_
I can see that the NPE happened in the  load()  method in  DefaultConfigurationProvider java  _x000D_
_x000D_
In my project  this is the line where it crashs  located in the onCreate() of my Activity  before I inflate my map: _x000D_
 Configuration getInstance() load(this  PreferenceManager getDefaultSharedPreferences(this))  _x000D_
_x000D_
   Environment_x000D_
_x000D_
    If it s a bug  version(s) of android this affects:_x000D_
_x000D_
At least Sony Xperia Z3 (6 0 1) and One Plus 5 (8 1)_x000D_
_x000D_
_x000D_
    Version of osmdroid the issue relates to:_x000D_
_x000D_
5 6 5</t>
  </si>
  <si>
    <t>evernote-android-job-492</t>
  </si>
  <si>
    <t>Fix of issue #471 is causing NullPointerException</t>
  </si>
  <si>
    <t xml:space="preserve">I got crash reports like this from my users:_x000D_
_x000D_
Fatal Exception: java lang NullPointerException: Attempt to invoke virtual method  java util Set akf a(java lang String)  on a null object reference_x000D_
       at com evernote android job JobManager getAllJobRequests 18e0aa6e(JobManager java:293)_x000D_
       at com evernote android job JobManager cancelAllInner(JobManager java:422)_x000D_
       at com evernote android job JobManager cancelAllForTag(JobManager java:395)_x000D_
_x000D_
After an investigation into your code  I noticed that to fix this issue: https:  github com evernote android job issues 471  you moved JobManager mJobStorage s initialization to a background thread and used a CountDownLatch to wait for it on threads calling getJobStorage()  This modification was made in v1 3 0 alpha02 _x000D_
_x000D_
According to my understanding to the Java Language Spec  I think it s a must that you declare mJobStorage as a volatile field  or getJobStorage() s calling thread may not observe mJobStorage s value even after CountDownLatch await() returns _x000D_
_x000D_
I will soon submit a pull request  please consider to merge _x000D_
</t>
  </si>
  <si>
    <t>andOTP-andOTP-197</t>
  </si>
  <si>
    <t>Blank screen instead of settings</t>
  </si>
  <si>
    <t xml:space="preserve">_x000D_
Version 0 6 0 beta3 from fdroid_x000D_
Devide: android 8 1 0_x000D_
Custom rom: copperheadOS with latest security patch (june 2018)_x000D_
There is an issue when i try to go to settings  When i press this button appears a blank screen and app crashes all the time _x000D_
_x000D_
</t>
  </si>
  <si>
    <t>antest1-kcanotify-50</t>
  </si>
  <si>
    <t>Akashi Option Loading Error in FleetView in 2.6.0 rev 1</t>
  </si>
  <si>
    <t xml:space="preserve">When tapping on Akashi in FleetView in KCANotify 2 6 0 rev 1  instead of the expected current day s list of possible Akashi improvements   nothing but the Akashi view title bar is shown   An error message toast  Error Loading Akashi Data  briefly appears   If you tap on the Akashi view title bar  a crash report is generated   I unintentionally did that while typing this up on my Samsung Galaxy Tab A 10 1 (2016) tablet and duplicating the actual error on my Moto G5 Plus  both running Android 7 0   A report from each device has been emailed in   I did make sure to redownload the resources before running the updated version  and even tried doing so with Kancolle running   If you go to KCANotify itself  and go to the Improvement Arsenal Chart  that does have the correct information  as verified by crosschecking with akashi list me </t>
  </si>
  <si>
    <t>jaredrummler-ColorPicker-57</t>
  </si>
  <si>
    <t>Bug: crash report from Play Store - IllegalStateException</t>
  </si>
  <si>
    <t xml:space="preserve">I got this crash report:_x000D_
_x000D_
java lang IllegalStateException: _x000D_
  at android app FragmentManagerImpl checkStateLoss (FragmentManagerImpl java:1858)_x000D_
  at android app FragmentManagerImpl enqueueAction (FragmentManagerImpl java:1881)_x000D_
  at android app BackStackRecord commitInternal (BackStackRecord java:688)_x000D_
  at android app BackStackRecord commit (BackStackRecord java:646)_x000D_
  at android app DialogFragment show (DialogFragment java:230)_x000D_
  at com jaredrummler android colorpicker ColorPreference onClick (ColorPreference java:109)_x000D_
  at android preference Preference performClick (Preference java:1135)_x000D_
  at android preference PreferenceScreen onItemClick (PreferenceScreen java:249)_x000D_
  at android widget AdapterView performItemClick (AdapterView java:318)_x000D_
  at android widget AbsListView performItemClick (AbsListView java:1158)_x000D_
  at android widget AbsListView PerformClick run (AbsListView java:3127)_x000D_
  at android widget AbsListView 3 run (AbsListView java:4042)_x000D_
  at android os Handler handleCallback (Handler java:790)_x000D_
  at android os Handler dispatchMessage (Handler java:99)_x000D_
  at android os Looper loop (Looper java:164)_x000D_
  at android app ActivityThread main (ActivityThread java:6494)_x000D_
  at java lang reflect Method invoke (Method java)_x000D_
  at com android internal os RuntimeInit MethodAndArgsCaller run (RuntimeInit java:438)_x000D_
  at com android internal os ZygoteInit main (ZygoteInit java:807)_x000D_
_x000D_
  image (https:  user images githubusercontent com 5357526 42242004 2df046cc 7f15 11e8 840d be7022f0652b png)_x000D_
_x000D_
All I do is have normal preferences of this library  such as this one:_x000D_
_x000D_
         com jaredrummler android colorpicker ColorPreference_x000D_
            android:defaultValue   color pref  os color primary default  app:cpv showAlphaSlider  true _x000D_
            android:dependency   string pref  use custom colors  android:key   string pref  os color primary _x000D_
            android:summary   string pref  os primary color desc  android:title   string pref  os primary color title _x000D_
            app:cpv allowPresets  true  app:cpv dialogTitle   string pref  os primary color title _x000D_
            app:cpv dialogType  custom   _x000D_
_x000D_
App can be found here:_x000D_
https:  play google com store apps details id com lb lwp plus_x000D_
_x000D_
</t>
  </si>
  <si>
    <t>Tencent-tinker-876</t>
  </si>
  <si>
    <t>华为Mate10 Android P运行crash</t>
  </si>
  <si>
    <t xml:space="preserve">  Mate10 Android P        patch      app     crash       _x000D_
   _x000D_
     app     _x000D_
_x000D_
       Mate 10_x000D_
      :Android 9 0 _x000D_
tinker   1 8 1        1 9 8    _x000D_
_x000D_
gradle    :2 2 3_x000D_
_x000D_
       SDK   _x000D_
_x000D_
   Mac_x000D_
_x000D_
      _x000D_
07 03 14:27:46 081 6659 6659   A DEBUG:                                                                _x000D_
    Build fingerprint:  HUAWEI ALP AL00 HWALP:8 0 0 HUAWEIALP AL00 34(C00E44R1P44):user release keys _x000D_
    Revision:  0 _x000D_
    ABI:  arm _x000D_
    pid: 6566  tid: 6604  name: beacon thread 3      com qq reader    _x000D_
    signal 6 (SIGABRT)  code  6 (SI TKILL)  fault addr         _x000D_
    Abort message:  entrypoint utils inl h:98  Could not find an inlined method from an  oat file: the class Landroid webkit WebView  was not found in the class loader of org apache commons logging Log org apache commons logging LogFactory getLog(java lang Class)  This must be due to playing wrongly with class loaders _x000D_
        r0  00000000  r1  000019cc  r2  00000006  r3  00000008_x000D_
        r4  000019a6  r5  000019cc  r6  c1e7de34  r7  0000010c_x000D_
        r8  00000000  r9  e54495c0  r10 000004ed  r11 e61d7af8_x000D_
        ip  00000041  sp  c1e7de20  lr  e5f33bfd  pc  e5f2bdc6_x000D_
        07 03 14:27:46 248 6659 6659   A DEBUG: backtrace:_x000D_
         00 pc 0001cdc6   system lib libc so (abort 58)_x000D_
         01 pc 00368c6f   system lib libart so (art::Runtime::Abort(char const ) 950)_x000D_
         02 pc 00007c0f   system lib libbase so (android::base::LogMessage:: LogMessage() 506)_x000D_
         03 pc 0037f19d   system lib libart so (art::GetResolvedMethod(art::ArtMethod   art::MethodInfo const   art::InlineInfo const   art::InlineInfoEncoding const   unsigned char) 1628)_x000D_
07 03 14:27:46 248 6566 6709   W unknown:ViewManagerPropertyUpdater: Could not find generated setter for class com facebook react views progressbar ReactProgressBarViewManager_x000D_
07 03 14:27:46 248 6659 6659   A DEBUG:      04 pc 0037dbc7   system lib libart so (art::StackVisitor::GetMethod() const 366)_x000D_
         05 pc 00397d2b   system lib libart so (art::CurrentMethodVisitor::VisitFrame() 4)_x000D_
         06 pc 0037cdd3   system lib libart so ( ZN3art12StackVisitor9WalkStackILNS0 16CountTransitionsE0EEEvb 1094)_x000D_
         07 pc 0038a795   system lib libart so (art::Thread::DumpStack(std::  1::basic ostream char  std::  1::char traits char     bool  BacktraceMap   bool) const 188)_x000D_
         08 pc 00386d8b   system lib libart so (art::Thread::Dump(std::  1::basic ostream char  std::  1::char traits char     bool  BacktraceMap   bool) const 34)_x000D_
         09 pc 003a0247   system lib libart so (art::DumpCheckpoint::Run(art::Thread ) 654)_x000D_
         10 pc 0039a367   system lib libart so (art::ThreadList::RunCheckpoint(art::Closure   art::Closure ) 318)_x000D_
         11 pc 003998a1   system lib libart so (art::ThreadList::Dump(std::  1::basic ostream char  std::  1::char traits char     bool) 384)_x000D_
         12 pc 00368a13   system lib libart so (art::Runtime::Abort(char const ) 346)_x000D_
         13 pc 00007c0f   system lib libbase so (android::base::LogMessage:: LogMessage() 506)_x000D_
         14 pc 0037f19d   system lib libart so (art::GetResolvedMethod(art::ArtMethod   art::MethodInfo const   art::InlineInfo const   art::InlineInfoEncoding const   unsigned char) 1628)_x000D_
         15 pc 003db34d   system lib libart so ( ZN3artL27DoGetCalleeSaveMethodCallerEPNS 9ArtMethodEjb llvm 3735499800 644)_x000D_
         16 pc 003db6ab   system lib libart so (art::GetCalleeSaveMethodCallerAndOuterMethod(art::Thread   art::CalleeSaveType) 190)_x000D_
         17 pc 003e9d55   system lib libart so (artInitializeTypeFromCode 24)_x000D_
         18 pc 0042e60f   system lib libart so (art quick initialize type 30)_x000D_
         19 pc 0009eb9f   system framework oat arm org apache http legacy boot odex (offset 0x3e000) (org apache http impl client DefaultHttpClient  init  294)_x000D_
         20 pc 0042e175   system lib libart so (art quick invoke stub internal 68)_x000D_
         21 pc 00405295   system lib libart so (art quick invoke stub 224)_x000D_
         22 pc 000a4cc1   system lib libart so (art::ArtMethod::Invoke(art::Thread   unsigned int   unsigned int  art::JValue   char const ) 136)_x000D_
         23 pc 001ecb1f   system lib libart so (art::interpreter::ArtInterpreterToCompiledCodeBridge(art::Thread   art::ArtMethod   art::ShadowFrame   unsigned short  art::JValue ) 230)_x000D_
         24 pc 001e7791   system lib libart so (bool art::interpreter::DoCall false  false (art::ArtMethod   art::Thread   art::ShadowFrame   art::Instruction const   unsigned short  art::JValue ) 784)_x000D_
         25 pc 00400dd5   system lib libart so (MterpInvokeDirect 196)_x000D_
         26 pc 00420f94   system lib libart so (ExecuteMterpImpl 14484)_x000D_
         27 pc 0062e8d0   data data com qq reader tinker patch a6ce17d1 dex oat arm tinker classN vdex (com tencent beacon upload f a a 62)_x000D_
         28 pc 001cc147   system lib libart so ( ZN3art11interpreterL7ExecuteEPNS 6ThreadERKNS 20CodeItemDataAccessorERNS 11ShadowFrameENS 6JValueEb llvm 529577790 354)_x000D_
         29 pc 001d0a7f   system lib libart so (art::interpreter::ArtInterpreterToInterpreterBridge(art::Thread   art::CodeItemDataAccessor const   art::ShadowFrame   art::JValue ) 146)_x000D_
         30 pc 001e777b   system lib libart so (bool art::interpreter::DoCall false  false (art::ArtMethod   art::Thread   art::ShadowFrame   art::Instruction const   unsigned short  art::JValue ) 762)_x000D_
         31 pc 00400f1f   system lib libart so (MterpInvokeStatic 130)_x000D_
         32 pc 00421014   system lib libart so (ExecuteMterpImpl 14612)_x000D_
         33 pc 0062e720   data data com qq reader tinker patch a6ce17d1 dex oat arm tinker classN vdex (com tencent beacon upload f a a 44)_x000D_
         34 pc 001cc147   system lib libart so ( ZN3art11interpreterL7ExecuteEPNS 6ThreadERKNS 20CodeItemDataAccessorERNS 11ShadowFrameENS 6JValueEb llvm 529577790 354)_x000D_
         35 pc 001d0a7f   system lib libart so (art::interpreter::ArtInterpreterToInterpreterBridge(art::Thread   art::CodeItemDataAccessor const   art::ShadowFrame   art::JValue ) 146)_x000D_
         36 pc 001e777b   system lib libart so (bool art::interpreter::DoCall false  false (art::ArtMethod   art::Thread   art::ShadowFrame   art::Instruction const   unsigned short  art::JValue ) 762)_x000D_
         37 pc 00400f1f   system lib libart so (MterpInvokeStatic 130)_x000D_
         38 pc 00421014   system lib libart so (ExecuteMterpImpl 14612)_x000D_
         39 pc 0062ed4c   data data com qq reader tinker patch a6ce17d1 dex oat arm tinker classN vdex (com tencent beacon upload f a a 352)_x000D_
         40 pc 001cc147   system lib libart so ( ZN3art11interpreterL7ExecuteEPNS 6ThreadERKNS 20CodeItemDataAccessorERNS 11ShadowFrameENS 6JValueEb llvm 529577790 354)_x000D_
         41 pc 001d0a7f   system lib libart so (art::interpreter::ArtInterpreterToInterpreterBridge(art::Thread   art::CodeItemDataAccessor const   art::ShadowFrame   art::JValue ) 146)_x000D_
         42 pc 001e777b   system lib libart so (bool art::interpreter::DoCall false  false (art::ArtMethod   art::Thread   art::ShadowFrame   art::Instruction const   unsigned short  art::JValue ) 762)_x000D_
         43 pc 00402397   system lib libart so (MterpInvokeVirtualQuick 434)_x000D_
         44 pc 00424c14   system lib libart so (ExecuteMterpImpl 29972)_x000D_
         45 pc 006300a0   data data com qq reader tinker patch a6ce17d1 dex oat arm tinker classN vdex (com tencent beacon upload i a 856)_x000D_
07 03 14:27:46 248 6659 6659   A DEBUG:      46 pc 001cc147   system lib libart so ( ZN3art11interpreterL7ExecuteEPNS 6ThreadERKNS 20CodeItemDataAccessorERNS 11ShadowFrameENS 6JValueEb llvm 529577790 354)_x000D_
         47 pc 001d0a7f   system lib libart so (art::interpreter::ArtInterpreterToInterpreterBridge(art::Thread   art::CodeItemDataAccessor const   art::ShadowFrame   art::JValue ) 146)_x000D_
         48 pc 001e777b   system lib libart so (bool art::interpreter::DoCall false  false (art::ArtMethod   art::Thread   art::ShadowFrame   art::Instruction const   unsigned short  art::JValue ) 762)_x000D_
         49 pc 00400b0d   system lib libart so (MterpInvokeInterface 1024)_x000D_
         50 pc 00421094   system lib libart so (ExecuteMterpImpl 14740)_x000D_
         51 pc 0061c866   data data com qq reader tinker patch a6ce17d1 dex oat arm tinker classN vdex (com tencent beacon b b c run 992)_x000D_
07 03 14:27:46 249 6659 6659   A DEBUG:      52 pc 001cc147   system lib libart so ( ZN3art11interpreterL7ExecuteEPNS 6ThreadERKNS 20CodeItemDataAccessorERNS 11ShadowFrameENS 6JValueEb llvm 529577790 354)_x000D_
         53 pc 001d09cb   system lib libart so (art::interpreter::EnterInterpreterFromEntryPoint(art::Thread   art::CodeItemDataAccessor const   art::ShadowFrame ) 82)_x000D_
         54 pc 003f129b   system lib libart so (artQuickToInterpreterBridge 882)_x000D_
         55 pc 004326ff   system lib libart so (art quick to interpreter bridge 30)_x000D_
         56 pc 009dd851   system framework arm boot oat (offset 0x2cf000) (java util concurrent Executors RunnableAdapter call 56)_x000D_
         57 pc 00a47cc9   system framework arm boot oat (offset 0x2cf000) (java util concurrent FutureTask run 208)_x000D_
         58 pc 00abe0af   system framework arm boot oat (offset 0x2cf000) (java util concurrent ScheduledThreadPoolExecutor ScheduledFutureTask run 118)_x000D_
         59 pc 00a92169   system framework arm boot oat (offset 0x2cf000) (java util concurrent ThreadPoolExecutor runWorker 1048)_x000D_
         60 pc 00a8f807   system framework arm boot oat (offset 0x2cf000) (java util concurrent ThreadPoolExecutor Worker run 54)_x000D_
         61 pc 009a2639   system framework arm boot oat (offset 0x2cf000) (java lang Thread run 64)_x000D_
         62 pc 0042e175   system lib libart so (art quick invoke stub internal 68)_x000D_
         63 pc 00405295   system lib libart so (art quick invoke stub 224)_x000D_
         64 pc 000a4cc1   system lib libart so (art::ArtMethod::Invoke(art::Thread   unsigned int   unsigned int  art::JValue   char const ) 136)_x000D_
         65 pc 00362b61   system lib libart so (art::(anonymous namespace)::InvokeWithArgArray(art::ScopedObjectAccessAlreadyRunnable const   art::ArtMethod   art::(anonymous namespace)::ArgArray   art::JValue   char const ) 52)_x000D_
         66 pc 003638f5   system lib libart so (art::InvokeVirtualOrInterfaceWithJValues(art::ScopedObjectAccessAlreadyRunnable const    jobject    jmethodID   jvalue ) 316)_x000D_
         67 pc 00385391   system lib libart so (art::Thread::CreateCallback(void ) 900)_x000D_
         68 pc 00064063   system lib libc so (  pthread start(void ) 22)_x000D_
         69 pc 0001dd35   system lib libc so (  start thread 32)</t>
  </si>
  <si>
    <t>aksh4y-CS5520_MAD-3</t>
  </si>
  <si>
    <t>Media Player crashes randomly</t>
  </si>
  <si>
    <t xml:space="preserve">Media player crashes and perpetual warning is there  _x000D_
Look for another way to play music or fix this error </t>
  </si>
  <si>
    <t>d4rken-gplay-batchtool-2</t>
  </si>
  <si>
    <t>App crashing mid way through operating</t>
  </si>
  <si>
    <t xml:space="preserve">App randomly crashes after 5 to 15 removed apps  _x000D_
S8 Oreo  Swift Installer_x000D_
Log file:  2018 07 03 00 22 40 txt (https:  github com d4rken gplay batchtool files 2156984 2018 07 03 00 22 40 txt)_x000D_
</t>
  </si>
  <si>
    <t>fossasia-pslab-android-1177</t>
  </si>
  <si>
    <t xml:space="preserve">Tapping Autoscan in Sensors gives errors    </t>
  </si>
  <si>
    <t xml:space="preserve">  Actual Behaviour  _x000D_
_x000D_
When tapping multiple times  app crashes or duplicate entries added in the sensor list view _x000D_
_x000D_
  Expected Behaviour  _x000D_
_x000D_
When tapped Autoscan once  button should be disabled until scanning finishes and when tapped again  should clear out the previous result set and start scanning again   _x000D_
_x000D_
  Steps to reproduce it  _x000D_
_x000D_
Go to Instruments    Sensors  Tap Autoscan button multiple times_x000D_
_x000D_
  LogCat for the issue  _x000D_
_x000D_
  None_x000D_
_x000D_
  Screenshots of the issue  _x000D_
_x000D_
  screenshot 2018 07 02 20 55 54 544 org fossasia pslab (https:  user images githubusercontent com 17523141 42172842 d81ac3a6 7e3a 11e8 8c18 ab2a1c586cf2 png)_x000D_
_x000D_
  Would you like to work on the issue   _x000D_
_x000D_
Yes</t>
  </si>
  <si>
    <t>novoda-storage-path-finder-8</t>
  </si>
  <si>
    <t>FileUtils crashing for `.android_secure`</t>
  </si>
  <si>
    <t xml:space="preserve">   Problem _x000D_
In  6 the demo application crashes on  Asus Zenfone II  with an SD card because the   android secure  is retrieved and then flagged as not existing _x000D_
_x000D_
   Solution_x000D_
Roll our own version of  FileUtils sizeOfDirectory  where rather than explicitly crashing when a file does not exist allow the  File length  to be trigged  The  File length  checks for a valid file  if the file is invalid then it will return  0  as the size  which is great    </t>
  </si>
  <si>
    <t>OneBusAway-onebusaway-android-898</t>
  </si>
  <si>
    <t>NPE in TripPlanActivity.onResume()</t>
  </si>
  <si>
    <t xml:space="preserve">  Summary:   _x000D_
_x000D_
From Android Developer Console (138 crashes total over lifetime of app):_x000D_
_x000D_
   _x000D_
java lang RuntimeException: _x000D_
  at android app ActivityThread performResumeActivity (ActivityThread java:3568)_x000D_
  at android app ActivityThread handleResumeActivity (ActivityThread java:3608)_x000D_
  at android app ActivityThread H handleMessage (ActivityThread java:1639)_x000D_
  at android os Handler dispatchMessage (Handler java:110)_x000D_
  at android os Looper loop (Looper java:203)_x000D_
  at android app ActivityThread main (ActivityThread java:6309)_x000D_
  at java lang reflect Method invoke (Native Method)_x000D_
  at com android internal os ZygoteInit MethodAndArgsCaller run (ZygoteInit java:1063)_x000D_
  at com android internal os ZygoteInit main (ZygoteInit java:924)_x000D_
_x000D_
Caused by: java lang NullPointerException: _x000D_
  at org onebusaway android ui TripPlanActivity onResume (TripPlanActivity java:169)_x000D_
  at android app Instrumentation callActivityOnResume (Instrumentation java:1269)_x000D_
  at android app Activity performResume (Activity java:6837)_x000D_
  at android app ActivityThread performResumeActivity (ActivityThread java:3539)_x000D_
   _x000D_
_x000D_
  Steps to reproduce:   _x000D_
_x000D_
Unknown (Plan a trip and something happens)_x000D_
_x000D_
  Expected behavior:   _x000D_
_x000D_
Not crash_x000D_
_x000D_
  Observed behavior:   _x000D_
_x000D_
Crash_x000D_
_x000D_
  Device and Android version:   _x000D_
_x000D_
Variety   LG   Samsung devices  Android 6 0 8 0</t>
  </si>
  <si>
    <t>dimagi-commcare-android-2014</t>
  </si>
  <si>
    <t>Corrects External Id Migration for v17-18, Fixes case Relationship migration for v18-19</t>
  </si>
  <si>
    <t xml:space="preserve">Case: https:  manage dimagi com default asp 278205_x000D_
Extension of https:  github com dimagi commcare android pull 2013 to fix more migration bugs  _x000D_
_x000D_
Error 1: DB Migration v17  18 (Because of  external id  addition to case model)_x000D_
_x000D_
   _x000D_
net sqlcipher database SQLiteException: no such column: external id:   while compiling: UPDATE AndroidCase SET external id    case id    owner id    case type    case status    commcare sql record   WHERE commcare sql id  _x000D_
        at net sqlcipher database SQLiteCompiledSql native compile(Native Method)_x000D_
        at net sqlcipher database SQLiteCompiledSql compile(SQLiteCompiledSql java:91)_x000D_
        at net sqlcipher database SQLiteCompiledSql  init (SQLiteCompiledSql java:64)_x000D_
        at net sqlcipher database SQLiteProgram  init (SQLiteProgram java:89)_x000D_
        at net sqlcipher database SQLiteStatement  init (SQLiteStatement java:39)_x000D_
        at net sqlcipher database SQLiteDatabase compileStatement(SQLiteDatabase java:1589)_x000D_
        at net sqlcipher database SQLiteDatabase updateWithOnConflict(SQLiteDatabase java:2208)_x000D_
        at net sqlcipher database SQLiteDatabase update(SQLiteDatabase java:2155)_x000D_
        at org commcare models database SqlStorage update(SqlStorage java:565)_x000D_
        at org commcare models database SqlStorage write(SqlStorage java:575)_x000D_
        at org commcare models database user UserDatabaseUpgrader updateModels(UserDatabaseUpgrader java:704)_x000D_
        at org commcare models database user UserDatabaseUpgrader upgradeSeventeenEighteen(UserDatabaseUpgrader java:524)_x000D_
        at org commcare models database user UserDatabaseUpgrader upgrade(UserDatabaseUpgrader java:156)_x000D_
        at org commcare models database user DatabaseUserOpenHelper onUpgrade(DatabaseUserOpenHelper java:199)_x000D_
_x000D_
   _x000D_
_x000D_
Error 2: DB migration v18 19 (Case Relationship) _x000D_
_x000D_
   _x000D_
net sqlcipher database SQLiteException: table case index storage has no column named relationship:   while compiling: INSERT INTO case index storage(name  relationship  type  case rec id  target) VALUES(             ) _x000D_
        at net sqlcipher database SQLiteCompiledSql native compile(Native Method)_x000D_
        at net sqlcipher database SQLiteCompiledSql compile(SQLiteCompiledSql java:91)_x000D_
        at net sqlcipher database SQLiteCompiledSql  init (SQLiteCompiledSql java:64)_x000D_
        at net sqlcipher database SQLiteProgram  init (SQLiteProgram java:89)_x000D_
        at net sqlcipher database SQLiteStatement  init (SQLiteStatement java:39)_x000D_
        at net sqlcipher database SQLiteDatabase compileStatement(SQLiteDatabase java:1589)_x000D_
        at net sqlcipher database SQLiteDatabase insertWithOnConflict(SQLiteDatabase java:2060)_x000D_
        at net sqlcipher database SQLiteDatabase insert(SQLiteDatabase java:1930)_x000D_
        at org commcare models database user models AndroidCaseIndexTable indexCase(AndroidCaseIndexTable java:87)_x000D_
        at org commcare models database user models AndroidCaseIndexTable reIndexAllCases(AndroidCaseIndexTable java:365)_x000D_
        at org commcare models database user UserDatabaseUpgrader upgradeEighteenNineteen(UserDatabaseUpgrader java:528)_x000D_
        at org commcare models database user UserDatabaseUpgrader upgrade(UserDatabaseUpgrader java:158)_x000D_
        at org commcare models database user DatabaseUserOpenHelper onUpgrade(DatabaseUserOpenHelper java:195)_x000D_
   _x000D_
This crashes silently today since inserts on Sqlite catches any exception and returns  1 in case of an error  Ideally we should always check for return value from insert and throw an exception ourselves so that these kind of error don t live silently in code base  </t>
  </si>
  <si>
    <t>hzi-braunschweig-SORMAS-Project-683</t>
  </si>
  <si>
    <t>Event-Error on creation of persons involved in situation</t>
  </si>
  <si>
    <t xml:space="preserve"> MartinWahnschaffeSymeda _x000D_
 MateStrysewskeSym  Chinedar  foyiri _x000D_
_x000D_
Whenever an event is created and persons are added to the event by the surveillance officer  the app crashes _x000D_
Officer logged in: Jame Doe_x000D_
Role: Surveillance officer_x000D_
State: Ebonyi_x000D_
LGA: Ebonyi_x000D_
SORMAS version: 0 23 1_x000D_
Please can you work on this_x000D_
_x000D_
Thanks</t>
  </si>
  <si>
    <t>nextcloud-android-2779</t>
  </si>
  <si>
    <t xml:space="preserve">Found via google play console_x000D_
_x000D_
   _x000D_
java lang ClassCastException: _x000D_
  at com owncloud android ui activity FileDisplayActivity getShareFileFragment (FileDisplayActivity java:1930)_x000D_
  at com owncloud android ui activity FileDisplayActivity onCreateShareViaLinkOperationFinish (FileDisplayActivity java:1824)_x000D_
  at com owncloud android ui activity FileDisplayActivity onRemoteOperationFinish (FileDisplayActivity java:1720)_x000D_
  at com owncloud android services OperationsService 1 run (OperationsService java:726)_x000D_
    _x000D_
_x000D_
 AndyScherzinger maybe you have an idea _x000D_
It seems that those are the steps to reproduce:_x000D_
  enter file details view_x000D_
  share a file via link_x000D_
  (somehow) navigate away from detail view (share via link is a blocking dialog)_x000D_
  crash as second fragment is no longer a FileDetailFragment_x000D_
_x000D_
We can easily have a check prior casting  but still it is strange how this can be triggered at all </t>
  </si>
  <si>
    <t>cgeo-cgeo-7073</t>
  </si>
  <si>
    <t>c:geo crashing on Garmin Monterra when mapsforge in use</t>
  </si>
  <si>
    <t xml:space="preserve">c:geo 2018 06 26 has been reported to crash as soon as any map is invoked on a Garmin Monterra device (Android 4 0 4)  We received at least 3 reports for this device type 
I asked the users to use the fallback to older mapsforge and report back 
I will check Google Play reports when back home (1 week) </t>
  </si>
  <si>
    <t>7LPdWcaW-GrowTracker-Android-61</t>
  </si>
  <si>
    <t xml:space="preserve">Version 2 3 1  when selecting  duplicate  under plant details from the 3 button menu  The tracker crashes </t>
  </si>
  <si>
    <t>google-ar-sceneform-android-sdk-149</t>
  </si>
  <si>
    <t>Sceneform plugin causes Android studio crash on launch after converting object</t>
  </si>
  <si>
    <t xml:space="preserve">Hi _x000D_
_x000D_
After converting an asset (not for every assets necessarily) Android studio keeps crashing  When I remove the Sceneform plugin everything works fine  I think it has something to do with Viewer _x000D_
_x000D_
  Asset (input   output):  _x000D_
 asset zip (https:  github com google ar sceneform android sdk files 2148226 asset zip)_x000D_
_x000D_
OS: Ubuntu 18 04 LTS  64 bit_x000D_
Graphics: Intel  HD Graphics 530 (Skylake GT2)_x000D_
_x000D_
Android Studio 3 1 3_x000D_
Build  AI 173 4819257  built on June 4  2018_x000D_
JRE: 1 8 0 152 release 1024 b01 amd64_x000D_
JVM: OpenJDK 64 Bit Server VM by JetBrains s r o_x000D_
Linux 4 15 0 23 generic_x000D_
_x000D_
  Log:  _x000D_
   Gtk Message: 09:13:35 360: Failed to load module  canberra gtk module _x000D_
OpenJDK 64 Bit Server VM warning: You have loaded library  tmp libfilament jni7798815452253269660 so which might have disabled stack guard  The VM will try to fix the stack guard now _x000D_
It s highly recommended that you fix the library with  execstack  c  libfile    or link it with   z noexecstack  _x000D_
FEngine (64 bits) created at 0x7efb7f24b010_x000D_
Loading into viewer_x000D_
Added 5 to scene_x000D_
Loading into viewer_x000D_
 _x000D_
  A fatal error has been detected by the Java Runtime Environment:_x000D_
 _x000D_
   SIGSEGV (0xb) at pc 0x00007efc625d7ce8  pid 7959  tid 0x00007efc2c4af700_x000D_
 _x000D_
  JRE version: OpenJDK Runtime Environment (8 0 152 b01) (build 1 8 0 152 release 1024 b01)_x000D_
  Java VM: OpenJDK 64 Bit Server VM (25 152 b01 mixed mode linux amd64 compressed oops)_x000D_
  Problematic frame:_x000D_
  V   libjvm so 0x81cce8   clean ic if metadata is dead(CompiledIC   BoolObjectClosure   bool) 0x38_x000D_
 _x000D_
  Failed to write core dump  Core dumps have been disabled  To enable core dumping  try  ulimit  c unlimited  before starting Java again_x000D_
 _x000D_
  An error report file with more information is saved as:_x000D_
   home teraz java error in STUDIO 7959 log_x000D_
AHE 0x00007efc5c0e98c0: 0xb0000000 i2c: 0x00007efc4d046c60 c2i: 0x00007efc4d046cb0 c2iUV: 0x00007efc4d046c84_x000D_
Compiled method (c1)   26115 6568       3       java awt image BufferedImage:: init  (1088 bytes)_x000D_
 total in heap   0x00007efc4dd8c650 0x00007efc4dd988e0    49808_x000D_
 relocation      0x00007efc4dd8c778 0x00007efc4dd8ceb0    1848_x000D_
 constants       0x00007efc4dd8cec0 0x00007efc4dd8cee0    32_x000D_
 main code       0x00007efc4dd8cee0 0x00007efc4dd94ce0    32256_x000D_
 stub code       0x00007efc4dd94ce0 0x00007efc4dd95038    856_x000D_
 oops            0x00007efc4dd95038 0x00007efc4dd95070    56_x000D_
 metadata        0x00007efc4dd95070 0x00007efc4dd95160    240_x000D_
 scopes data     0x00007efc4dd95160 0x00007efc4dd97c00    10912_x000D_
 scopes pcs      0x00007efc4dd97c00 0x00007efc4dd987b0    2992_x000D_
 dependencies    0x00007efc4dd987b0 0x00007efc4dd987d0    32_x000D_
 nul chk table   0x00007efc4dd987d0 0x00007efc4dd988e0    272_x000D_
Compiled method (c1)   26115 6568       3       java awt image BufferedImage:: init  (1088 bytes)_x000D_
 total in heap   0x00007efc4dd8c650 0x00007efc4dd988e0    49808_x000D_
 relocation      0x00007efc4dd8c778 0x00007efc4dd8ceb0    1848_x000D_
 constants       0x00007efc4dd8cec0 0x00007efc4dd8cee0    32_x000D_
 main code       0x00007efc4dd8cee0 0x00007efc4dd94ce0    32256_x000D_
 stub code       0x00007efc4dd94ce0 0x00007efc4dd95038    856_x000D_
 oops            0x00007efc4dd95038 0x00007efc4dd95070    56_x000D_
 metadata        0x00007efc4dd95070 0x00007efc4dd95160    240_x000D_
 scopes data     0x00007efc4dd95160 0x00007efc4dd97c00    10912_x000D_
 scopes pcs      0x00007efc4dd97c00 0x00007efc4dd987b0    2992_x000D_
 dependencies    0x00007efc4dd987b0 0x00007efc4dd987d0    32_x000D_
 nul chk table   0x00007efc4dd987d0 0x00007efc4dd988e0    272_x000D_
Compiled method (c1)   26116 6568       3       java awt image BufferedImage:: init  (1088 bytes)_x000D_
 total in heap   0x00007efc4dd8c650 0x00007efc4dd988e0    49808_x000D_
 relocation      0x00007efc4dd8c778 0x00007efc4dd8ceb0    1848_x000D_
 constants       0x00007efc4dd8cec0 0x00007efc4dd8cee0    32_x000D_
 main code       0x00007efc4dd8cee0 0x00007efc4dd94ce0    32256_x000D_
 stub code       0x00007efc4dd94ce0 0x00007efc4dd95038    856_x000D_
 oops            0x00007efc4dd95038 0x00007efc4dd95070    56_x000D_
 metadata        0x00007efc4dd95070 0x00007efc4dd95160    240_x000D_
 scopes data     0x00007efc4dd95160 0x00007efc4dd97c00    10912_x000D_
 scopes pcs      0x00007efc4dd97c00 0x00007efc4dd987b0    2992_x000D_
 dependencies    0x00007efc4dd987b0 0x00007efc4dd987d0    32_x000D_
 nul chk table   0x00007efc4dd987d0 0x00007efc4dd988e0    272_x000D_
 _x000D_
  If you would like to submit a bug report  please visit:_x000D_
    http:  bugreport java com bugreport crash jsp_x000D_
 _x000D_
Aborted (core dumped)_x000D_
   </t>
  </si>
  <si>
    <t>react-native-share-react-native-share-293</t>
  </si>
  <si>
    <t>Share on android &gt;= 8.0 crash</t>
  </si>
  <si>
    <t xml:space="preserve">crash only appear with android device run android OS    8 0 and i m using React native navigation_x000D_
fileuriexposedexception through ClipData Item getUri()_x000D_
  screenshot equix next 20180629 115058 (https:  user images githubusercontent com 20814511 42076124 f8b4ff04 7b9d 11e8 94a4 6e0b554fd4f5 png)_x000D_
</t>
  </si>
  <si>
    <t>butterproject-butter-android-286</t>
  </si>
  <si>
    <t>Background updater seems to crash when working with high resolution files on TV version</t>
  </si>
  <si>
    <t xml:space="preserve">I m playing around with backdrops  I noticed that if I start working with high res backdrops  this happens:_x000D_
   _x000D_
06 29 00:16:51 442 12897 12897 pct droid tv dev W Bitmap: Called getConfig() on a recycle() d bitmap  This is undefined behavior _x000D_
06 29 00:16:51 442 12897 12897 pct droid tv dev D AndroidRuntime: Shutting down VM_x000D_
    _x000D_
    _x000D_
              beginning of crash_x000D_
06 29 00:16:51 443 12897 12897 pct droid tv dev E AndroidRuntime: FATAL EXCEPTION: main_x000D_
    Process: pct droid tv dev  PID: 12897_x000D_
    java lang IllegalArgumentException: Can t compare to a recycled bitmap _x000D_
        at android graphics Bitmap sameAs(Bitmap java:1888)_x000D_
        at android support v17 leanback app BackgroundManager sameDrawable(BackgroundManager java:979)_x000D_
        at android support v17 leanback app BackgroundManager ChangeBackgroundRunnable runTask(BackgroundManager java:1015)_x000D_
        at android support v17 leanback app BackgroundManager ChangeBackgroundRunnable run(BackgroundManager java:1003)_x000D_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beginning of system_x000D_
06 29 00:16:51 446 12897 12897 pct droid tv dev I Process: Sending signal  PID: 12897 SIG: 9_x000D_
   _x000D_
_x000D_
</t>
  </si>
  <si>
    <t>commons-app-apps-android-commons-1678</t>
  </si>
  <si>
    <t>"Give permissions" dialog in Nearby activity keeps flickering</t>
  </si>
  <si>
    <t xml:space="preserve">  Summary:   _x000D_
_x000D_
 Give permissions  dialog in Nearby activity keeps flickering  You cannot select the  give permissions  option while it is doing that  and eventually it crashes _x000D_
_x000D_
This problem seems to occur in  master  branch  Actually  I m testing PR  1672   but that is based on master at the time of my testing  and that PR is unlikely to be the cause since there is no relevant change in that PR  I haven t had that issue the last time I tested master  so it is likely to be a change in the last few weeks or so (or alternatively  it could be caused by my phone s recent update to Android 8 0 0)  After this  I will test with an emulator on Android 7 0  and also test  2 8 release  branch to see if that has the same problem _x000D_
_x000D_
  Steps to reproduce:   _x000D_
_x000D_
  Turn off location permissions for the app_x000D_
  Load Nearby_x000D_
_x000D_
  Add System logs:  _x000D_
_x000D_
On  warning   because there is too much nonsense in  debug _x000D_
   _x000D_
06 29 02:48:24 511 21978 21978 fr free nrw commons debug W Activity: Can reqeust only one set of permissions at a time_x000D_
06 29 02:48:26 981 21978 21978 fr free nrw commons debug W Activity: Can reqeust only one set of permissions at a time_x000D_
06 29 02:48:27 095 21978 21978 fr free nrw commons debug E ViewRootImpl: sendUserActionEvent() returned _x000D_
06 29 02:48:27 178 21978 21978 fr free nrw commons debug W Activity: Can reqeust only one set of permissions at a time_x000D_
06 29 02:48:27 327 21978 21978 fr free nrw commons debug E ViewRootImpl: sendUserActionEvent() returned _x000D_
06 29 02:48:27 393 21978 21978 fr free nrw commons debug W Activity: Can reqeust only one set of permissions at a time_x000D_
06 29 02:48:27 590 21978 21978 fr free nrw commons debug E ViewRootImpl: sendUserActionEvent() returned _x000D_
06 29 02:48:32 851 3642 4133   E SamsungWindowManager: prepareAddWindowLw   exceeded windows limit 40   41  win Window e7d9d3 u0 fr free nrw commons debug fr free nrw commons nearby NearbyActivity _x000D_
06 29 02:48:32 857 21978 21978 fr free nrw commons debug E AndroidRuntime: FATAL EXCEPTION: main_x000D_
    Process: fr free nrw commons debug  PID: 21978_x000D_
    java lang RuntimeException: Failure delivering result ResultInfo who  android:requestPermissions:  request 1  result  1  data Intent   act android content pm action REQUEST PERMISSIONS (has extras)    to activity  fr free nrw commons debug fr free nrw commons nearby NearbyActivity : android view WindowManager BadTokenException: Unable to add window    window android view ViewRootImpl W 24fa3cd has already been added_x000D_
        at android app ActivityThread deliverResults(ActivityThread java:4491)_x000D_
        at android app ActivityThread handleSendResult(ActivityThread java:4534)_x000D_
        at android app ActivityThread  wrap20(Unknown Source:0)_x000D_
        at android app ActivityThread H handleMessage(ActivityThread java:1752)_x000D_
        at android os Handler dispatchMessage(Handler java:105)_x000D_
        at android os Looper loop(Looper java:164)_x000D_
        at android app ActivityThread main(ActivityThread java:6944)_x000D_
        at java lang reflect Method invoke(Native Method)_x000D_
        at com android internal os Zygote MethodAndArgsCaller run(Zygote java:327)_x000D_
        at com android internal os ZygoteInit main(ZygoteInit java:1374)_x000D_
     Caused by: android view WindowManager BadTokenException: Unable to add window    window android view ViewRootImpl W 24fa3cd has already been added_x000D_
        at android view ViewRootImpl setView(ViewRootImpl java:966)_x000D_
        at android view WindowManagerGlobal addView(WindowManagerGlobal java:381)_x000D_
        at android view WindowManagerImpl addView(WindowManagerImpl java:100)_x000D_
        at android app Dialog show(Dialog java:420)_x000D_
        at fr free nrw commons nearby NearbyActivity showLocationPermissionDeniedErrorDialog(NearbyActivity java:254)_x000D_
        at fr free nrw commons nearby NearbyActivity onRequestPermissionsResult(NearbyActivity java:229)_x000D_
        at android app Activity dispatchRequestPermissionsResult(Activity java:7728)_x000D_
        at android app Activity dispatchActivityResult(Activity java:7551)_x000D_
        at android app ActivityThread deliverResults(ActivityThread java:4487)_x000D_
        at android app ActivityThread handleSendResult(ActivityThread java:4534) _x000D_
        at android app ActivityThread  wrap20(Unknown Source:0) _x000D_
        at android app ActivityThread H handleMessage(ActivityThread java:1752) _x000D_
        at android os Handler dispatchMessage(Handler java:105) _x000D_
        at android os Looper loop(Looper java:164) _x000D_
        at android app ActivityThread main(ActivityThread java:6944) _x000D_
        at java lang reflect Method invoke(Native Method) _x000D_
        at com android internal os Zygote MethodAndArgsCaller run(Zygote java:327) _x000D_
        at com android internal os ZygoteInit main(ZygoteInit java:1374) _x000D_
06 29 02:48:32 862 3642 4133   W ActivityManager: crash : fr free nrw commons debug 0_x000D_
06 29 02:48:32 863 3642 4133   W ActivityManager:   Force finishing activity fr free nrw commons debug fr free nrw commons nearby NearbyActivity_x000D_
06 29 02:48:32 868 3642 4133   W ActivityManager:   Force finishing activity fr free nrw commons debug fr free nrw commons contributions ContributionsActivity_x000D_
06 29 02:48:32 869 3642 4133   W MultiScreenManagerService: moveTaskBackToDisplayIfNeeded(): root activity or app is null  task TaskRecord aef1e0ed0  11801 A fr free nrw commons debug U 0 StackId 1 sz 34   rootActivity null_x000D_
06 29 02:48:33 025 21893 21905   W PkgUtils: p: fr free nrw commons debug  u:0_x000D_
06 29 02:48:33 365 3642 3664   W ActivityManager: Activity pause timeout for ActivityRecord 62232ce u0 fr free nrw commons debug fr free nrw commons nearby NearbyActivity t11801 f _x000D_
06 29 02:48:42 874 3642 3664   W ActivityManager: Activity destroy timeout for ActivityRecord f105487 u0 fr free nrw commons debug fr free nrw commons contributions ContributionsActivity t11801 f _x000D_
06 29 02:48:43 801 3642 3664   W ActivityManager: Activity destroy timeout for ActivityRecord 62232ce u0 fr free nrw commons debug fr free nrw commons nearby NearbyActivity t11801 f _x000D_
_x000D_
   _x000D_
_x000D_
  Device and Android version:   _x000D_
_x000D_
Samsung Galaxy S7 Android 8 0 0_x000D_
 _x000D_
   Commons app version:   _x000D_
_x000D_
 1672 _x000D_
_x000D_
  Would you like to work on the issue   _x000D_
_x000D_
Preferably not   _x000D_
</t>
  </si>
  <si>
    <t>googleads-googleads-consent-sdk-android-74</t>
  </si>
  <si>
    <t>Bad Token crash in ConsentForm.show</t>
  </si>
  <si>
    <t xml:space="preserve">android view WindowManager BadTokenException: _x000D_
 at android view ViewRootImpl setView (ViewRootImpl java:953)_x000D_
 at android view WindowManagerGlobal addView (WindowManagerGlobal java:381)_x000D_
 at android view WindowManagerImpl addView (WindowManagerImpl java:100)_x000D_
 at android app Dialog show (Dialog java:420)_x000D_
 at com google ads consent ConsentForm show (ConsentForm java:353_x000D_
_x000D_
This crash happens in 0 7  of my sessions so is quite a big issue _x000D_
_x000D_
The problem can happen when the ConsentForm is loaded after the OS has killed the activity that loaded the ConsentForm  Please change your code so that a check is made before Dialog show that the activity is running </t>
  </si>
  <si>
    <t>commons-app-apps-android-commons-1669</t>
  </si>
  <si>
    <t>App crashes when uploading image via share without logging in</t>
  </si>
  <si>
    <t xml:space="preserve">  Summary:   _x000D_
The app crashes when trying to upload (via Share) without logging into the app for the first time _x000D_
_x000D_
  Steps to reproduce:   _x000D_
1  Install the app_x000D_
1   Do not sign in into the app _x000D_
1  Try to upload an image via Share (without logging in)_x000D_
1  Give a title and description for the image and start the upload_x000D_
_x000D_
  Add System logs:  _x000D_
   _x000D_
06 27 18:50:12 156 22035 22035 fr free nrw commons debug D AndroidRuntime: Shutting down VM_x000D_
06 27 18:50:12 156 22035 22035 fr free nrw commons debug E AndroidRuntime: FATAL EXCEPTION: main_x000D_
                                                                           Process: fr free nrw commons debug  PID: 22035_x000D_
                                                                           java lang RuntimeException: Unable to start activity ComponentInfo fr free nrw commons debug fr free nrw commons upload ShareActivity : java lang ClassCastException: fr free nrw commons upload ShareActivity cannot be cast to fr free nrw commons upload SimilarImageDialogFragment onResponse_x000D_
                                                                               at android app ActivityThread performLaunchActivity(ActivityThread java:3150)_x000D_
                                                                               at android app ActivityThread handleLaunchActivity(ActivityThread java:3260)_x000D_
                                                                               at android app ActivityThread access 1000(ActivityThread java:218)_x000D_
                                                                               at android app ActivityThread H handleMessage(ActivityThread java:1734)_x000D_
                                                                               at android os Handler dispatchMessage(Handler java:102)_x000D_
                                                                               at android os Looper loop(Looper java:145)_x000D_
                                                                               at android app ActivityThread main(ActivityThread java:6934)_x000D_
                                                                               at java lang reflect Method invoke(Native Method)_x000D_
                                                                               at java lang reflect Method invoke(Method java:372)_x000D_
                                                                               at com android internal os ZygoteInit MethodAndArgsCaller run(ZygoteInit java:1404)_x000D_
                                                                               at com android internal os ZygoteInit main(ZygoteInit java:1199)_x000D_
                                                                            Caused by: java lang ClassCastException: fr free nrw commons upload ShareActivity cannot be cast to fr free nrw commons upload SimilarImageDialogFragment onResponse_x000D_
                                                                               at fr free nrw commons upload SimilarImageDialogFragment onCreate(SimilarImageDialogFragment java:86)_x000D_
                                                                               at android support v4 app Fragment performCreate(Fragment java:2331)_x000D_
                                                                               at android support v4 app FragmentManagerImpl moveToState(FragmentManager java:1386)_x000D_
                                                                               at android support v4 app FragmentManagerImpl moveFragmentToExpectedState(FragmentManager java:1759)_x000D_
                                                                               at android support v4 app FragmentManagerImpl moveToState(FragmentManager java:1827)_x000D_
                                                                               at android support v4 app BackStackRecord executeOps(BackStackRecord java:797)_x000D_
                                                                               at android support v4 app FragmentManagerImpl executeOps(FragmentManager java:2596)_x000D_
                                                                               at android support v4 app FragmentManagerImpl executeOpsTogether(FragmentManager java:2383)_x000D_
                                                                               at android support v4 app FragmentManagerImpl removeRedundantOperationsAndExecute(FragmentManager java:2338)_x000D_
                                                                               at android support v4 app FragmentManagerImpl execPendingActions(FragmentManager java:2245)_x000D_
                                                                               at android support v4 app FragmentManagerImpl dispatchStateChange(FragmentManager java:3248)_x000D_
                                                                               at android support v4 app FragmentManagerImpl dispatchActivityCreated(FragmentManager java:3200)_x000D_
                                                                               at android support v4 app FragmentController dispatchActivityCreated(FragmentController java:195)_x000D_
                                                                               at android support v4 app FragmentActivity onStart(FragmentActivity java:597)_x000D_
                                                                               at android support v7 app AppCompatActivity onStart(AppCompatActivity java:177)_x000D_
                                                                               at android app Instrumentation callActivityOnStart(Instrumentation java:1264)_x000D_
                                                                               at android app Activity performStart(Activity java:6647)_x000D_
                                                                               at android app ActivityThread performLaunchActivity(ActivityThread java:3113)_x000D_
                                                                               at android app ActivityThread handleLaunchActivity(ActivityThread java:3260) _x000D_
                                                                               at android app ActivityThread access 1000(ActivityThread java:218) _x000D_
                                                                               at android app ActivityThread H handleMessage(ActivityThread java:1734) _x000D_
                                                                               at android os Handler dispatchMessage(Handler java:102) _x000D_
                                                                               at android os Looper loop(Looper java:145) _x000D_
                                                                               at android app ActivityThread main(ActivityThread java:6934) _x000D_
                                                                               at java lang reflect Method invoke(Native Method) _x000D_
                                                                               at java lang reflect Method invoke(Method java:372) _x000D_
                                                                               at com android internal os ZygoteInit MethodAndArgsCaller run(ZygoteInit java:1404) _x000D_
                                                                               at com android internal os ZygoteInit main(ZygoteInit java:1199) _x000D_
06 27 18:50:14 739 22035 22035 fr free nrw commons debug I Process: Sending signal  PID: 22035 SIG: 9_x000D_
   _x000D_
_x000D_
  Expected behavior:   _x000D_
The app should prompt the user to loign while communicating clearly that it s required to login to upload images _x000D_
_x000D_
  Observed behavior:   _x000D_
The app crashes _x000D_
_x000D_
  Device and Android version:   _x000D_
Samsung Galaxy j1 ace (Android 5 1 1) _x000D_
 _x000D_
  Commons app version:   _x000D_
2 7 2 (beta flavour)_x000D_
_x000D_
  Would you like to work on the issue   _x000D_
No </t>
  </si>
  <si>
    <t>commons-app-apps-android-commons-1665</t>
  </si>
  <si>
    <t>Crash when swiping in featured pictures</t>
  </si>
  <si>
    <t xml:space="preserve">  Go to featured pictures_x000D_
  touch a picture_x000D_
  swipe right a few times_x000D_
  crash:_x000D_
_x000D_
   _x000D_
06 27 19:42:41 050 13318 15939 D MediaDataExtractor: Nominated for deletion: false_x000D_
06 27 19:42:41 332 13318 13318 D MediaDetailFragment: MediaDetailFragment ready to display details_x000D_
06 27 19:42:41 478 13318 15939 D MediaDataExtractor: MediaDataExtractor searching for license_x000D_
06 27 19:42:41 482 13318 13318 D AndroidRuntime: Shutting down VM_x000D_
06 27 19:42:41 492 13318 13318 E AndroidRuntime: FATAL EXCEPTION: main_x000D_
06 27 19:42:41 492 13318 13318 E AndroidRuntime: Process: fr free nrw commons debug  PID: 13318_x000D_
06 27 19:42:41 492 13318 13318 E AndroidRuntime: java util ConcurrentModificationException_x000D_
06 27 19:42:41 492 13318 13318 E AndroidRuntime:        at java util HashMap HashIterator nextEntry(HashMap java:851)_x000D_
06 27 19:42:41 492 13318 13318 E AndroidRuntime:        at java util HashMap KeyIterator next(HashMap java:885)_x000D_
06 27 19:42:41 492 13318 13318 E AndroidRuntime:        at fr free nrw commons Media setDescriptions(Media java:359)_x000D_
06 27 19:42:41 492 13318 13318 E AndroidRuntime:        at fr free nrw commons MediaDataExtractor fill(MediaDataExtractor java:303)_x000D_
06 27 19:42:41 492 13318 13318 E AndroidRuntime:        at fr free nrw commons media MediaDetailFragment 3 onPostExecute(MediaDetailFragment java:268)_x000D_
06 27 19:42:41 492 13318 13318 E AndroidRuntime:        at fr free nrw commons media MediaDetailFragment 3 onPostExecute(MediaDetailFragment java:241)_x000D_
06 27 19:42:41 492 13318 13318 E AndroidRuntime:        at android os AsyncTask finish(AsyncTask java:667)_x000D_
06 27 19:42:41 492 13318 13318 E AndroidRuntime:        at android os AsyncTask  wrap1(AsyncTask java)_x000D_
06 27 19:42:41 492 13318 13318 E AndroidRuntime:        at android os AsyncTask InternalHandler handleMessage(AsyncTask java:684)_x000D_
06 27 19:42:41 492 13318 13318 E AndroidRuntime:        at android os Handler dispatchMessage(Handler java:102)_x000D_
06 27 19:42:41 492 13318 13318 E AndroidRuntime:        at android os Looper loop(Looper java:154)_x000D_
06 27 19:42:41 492 13318 13318 E AndroidRuntime:        at android app ActivityThread main(ActivityThread java:6186)_x000D_
06 27 19:42:41 492 13318 13318 E AndroidRuntime:        at java lang reflect Method invoke(Native Method)_x000D_
06 27 19:42:41 492 13318 13318 E AndroidRuntime:        at com android internal os ZygoteInit MethodAndArgsCaller run(ZygoteInit java:889)_x000D_
06 27 19:42:41 492 13318 13318 E AndroidRuntime:        at com android internal os ZygoteInit main(ZygoteInit java:779)_x000D_
06 27 19:42:41 499   790  1817 W ActivityManager:   Force finishing activity fr free nrw commons debug fr free nrw commons category CategoryImagesActivity_x000D_
   </t>
  </si>
  <si>
    <t>yeriomin-YalpStore-493</t>
  </si>
  <si>
    <t>Old FroYo device cannot sign in to google store with builtin account</t>
  </si>
  <si>
    <t>I left a post at https:  forum f droid org t yalp store not able to get apps from play store 2906 10 and user Licaon Kter suggested I report this here_x000D_
_x000D_
Copying the other post here:_x000D_
_x000D_
  On 9 Jun I installed 0 41 (downloaded from f droid web page  I can t use the f droid app because my device is too old) and have this issue(s)  Tonight I installed 0 42 (also downloaded from f droid   is there any difference from the one on github aside from the signature ) and it has the same issue _x000D_
  _x000D_
  When I try to start it I immediately get the notice that it has crashed and it tries to gather the error report  asks me to describe the problem and brings up the keyboard to type in my comments  but keeps cycling between that and the message that   you can help by describing   which is again replaced by the keyboard in a loop that runs a dozen or more times  It does not allow me to type anything before repeating the cycle which goes by too quickly to even see all of the error message _x000D_
  _x000D_
  I did get some progress   I uninstalled  rebooted  reinstalled  then this time did NOT open the app immediately but instead rebooted one more time  Now when I open the app it shows me a list of installed apps and lets me adjust settings  Now when I try to update anything I am asked whether to use my google account or the built in account  Either way I am immediately told  No network connection  even before I have time to select a choice  I have tried both choices but it is still always the same result  This too is the same for both versions 0 41 and 0 42 _x000D_
  _x000D_
  My device is quite old  so much so that play store cannot run nor can its old browser even visit that page to manually download anything  that is why I wanted to use this app  Huawei Ideos U8150  it runs 2 2 FroYo in case that matters  I was hoping this app would work since so many others are not compatible  Wuijbfek s solution of using APKUpdater won t work for me as that needs at least 2 3 Gingerbread but my device is older _x000D_
  _x000D_
  Any suggestions _x000D_
  _x000D_
_x000D_
  Steps to reproduce  _x000D_
1  DL and install Yalp Store_x000D_
2  Do not open app immediately  instead reboot device first_x000D_
3  Open Yalp Store  try to check for updates_x000D_
4  When asked  select to use builtin account_x000D_
_x000D_
  Expected behavior  _x000D_
App should open properly at step 3 and after step 4 should complete google signin as needed_x000D_
  Actual behavior  _x000D_
If reboot from step 2 is skipped  trying to open app at step 3 gets repeating loop between error message and trying to get keyboard input describing what happened _x000D_
_x000D_
Step 4 got error message about no network connection despite working wifi (but no cellular service   is this the problem  What about non phone tablet type devices )_x000D_
_x000D_
  Your setup  _x000D_
Device model   Huawei Ideos aka U8150 B  2 2 FroYo  Yalp Store version(s) 0 41  0 42_x000D_
_x000D_
(I will try to get in app report tomorrow  it is getting late right now)</t>
  </si>
  <si>
    <t>jumaallan-andela-crypto-app-8</t>
  </si>
  <si>
    <t xml:space="preserve">Hello  the app also has an issue with a drawable file   ic star border xml   which causes the App to crash in android 4 4 2 devices  This crash occurs when a person tries to click on the card overflow menu for a particular card  </t>
  </si>
  <si>
    <t>fossasia-open-event-organizer-android-1131</t>
  </si>
  <si>
    <t>App Crash in Dashboard</t>
  </si>
  <si>
    <t xml:space="preserve">    Bug Report    _x000D_
_x000D_
  Actual Behaviour  _x000D_
_x000D_
When a newly created event is selected in event list layout then the dashboard loads and the app crashes with following error log _x000D_
_x000D_
  Expected Behaviour  _x000D_
_x000D_
App must not crash _x000D_
_x000D_
  Steps to reproduce it  _x000D_
_x000D_
Create a new event  Select it in dashboard _x000D_
_x000D_
  LogCat for the issue  _x000D_
_x000D_
 E AndroidRuntime: FATAL EXCEPTION: RxCachedThreadScheduler 2_x000D_
                  Process: org fossasia eventyay  PID: 5096_x000D_
                  io reactivex exceptions OnErrorNotImplementedException: FOREIGN KEY constraint failed (code 787)_x000D_
                      at io reactivex internal observers EmptyCompletableObserver onError(EmptyCompletableObserver java:51)_x000D_
                      at io reactivex internal operators completable CompletableConcatArray ConcatInnerObserver onError(CompletableConcatArray java:60)_x000D_
                      at io reactivex internal operators completable CompletablePeek CompletableObserverImplementation onError(CompletablePeek java:96)_x000D_
                      at io reactivex internal operators completable CompletableFromAction subscribeActual(CompletableFromAction java:38)_x000D_
                      at io reactivex Completable subscribe(Completable java:1794)_x000D_
                      at io reactivex internal operators completable CompletablePeek subscribeActual(CompletablePeek java:51)_x000D_
                      at io reactivex Completable subscribe(Completable java:1794)_x000D_
                      at io reactivex internal operators completable CompletableConcatArray ConcatInnerObserver next(CompletableConcatArray java:89)_x000D_
                      at io reactivex internal operators completable CompletableConcatArray subscribeActual(CompletableConcatArray java:33)_x000D_
                      at io reactivex Completable subscribe(Completable java:1794)_x000D_
                      at io reactivex Completable subscribe(Completable java:1782)_x000D_
                      at org fossasia openevent app data attendee AttendeeRepositoryImpl lambda null 2 AttendeeRepositoryImpl(AttendeeRepositoryImpl java:62)_x000D_
                      at org fossasia openevent app data attendee AttendeeRepositoryImpl  Lambda 7 accept(Unknown Source)_x000D_
                      at io reactivex internal operators observable ObservableDoOnEach DoOnEachObserver onNext(ObservableDoOnEach java:95)_x000D_
                      at retrofit2 adapter rxjava2 BodyObservable BodyObserver onNext(BodyObservable java:51)_x000D_
                      at retrofit2 adapter rxjava2 BodyObservable BodyObserver onNext(BodyObservable java:37)_x000D_
                      at retrofit2 adapter rxjava2 CallExecuteObservable subscribeActual(CallExecuteObservable java:43)_x000D_
                      at io reactivex Observable subscribe(Observable java:11442)_x000D_
                      at retrofit2 adapter rxjava2 BodyObservable subscribeActual(BodyObservable java:34)_x000D_
                      at io reactivex Observable subscribe(Observable java:11442)_x000D_
                      at io reactivex internal operators observable ObservableDoOnEach subscribeActual(ObservableDoOnEach java:42)_x000D_
                      at io reactivex Observable subscribe(Observable java:11442)_x000D_
                      at io reactivex internal operators observable ObservableFlattenIterable subscribeActual(ObservableFlattenIterable java:44)_x000D_
                      at io reactivex Observable subscribe(Observable java:11442)_x000D_
                      at io reactivex internal operators observable ObservableDefer subscribeActual(ObservableDefer java:39)_x000D_
                      at io reactivex Observable subscribe(Observable java:11442)_x000D_
                      at io reactivex internal operators observable ObservableDoOnEach subscribeActual(ObservableDoOnEach java:42)_x000D_
                      at io reactivex Observable subscribe(Observable java:11442)_x000D_
                      at io reactivex internal operators observable ObservableSwitchIfEmpty SwitchIfEmptyObserver onComplete(ObservableSwitchIfEmpty java:70)_x000D_
                      at io reactivex internal operators observable ObservableDoOnEach DoOnEachObserver onComplete(ObservableDoOnEach java:143)_x000D_
                      at io reactivex internal operators single SingleFlatMapIterableObservable FlatMapIterableObserver onSuccess(SingleFlatMapIterableObservable java:99)_x000D_
                      at io reactivex internal operators single SingleFromCallable subscribeActual(SingleFromCallable java:56)_x000D_
                      at io reactivex Single subscribe(Single java:3096)_x000D_
                      at io reactivex internal operators single SingleFlatMapIterableObservable subscribeActual(SingleFlatMapIterableObservable java:47)_x000D_
                      at io reactivex Observable subscribe(Observable java:11442)_x000D_
                      at io reactivex internal operators observable ObservableDefer subscribeActual(ObservableDefer java:39)_x000D_
                      at io reactivex Observable subscribe(Observable java:11442)_x000D_
                      at io reactivex internal operators observable ObservableDoOnEach subscribeActual(ObservableDoOnEach java:42)_x000D_
                      at io reactivex Observable subscribe(Observable java:11442)_x000D_
                      at io reactivex internal operators observable ObservableDefer subscribeActual(ObservableDefer java:39)_x000D_
E AndroidRuntime:     at io reactivex Observable subscribe(Observable java:11442)_x000D_
                      at io reactivex internal operators observable ObservableSwitchIfEmpty subscribeActual(ObservableSwitchIfEmpty java:31)_x000D_
                      at io reactivex Observable subscribe(Observable java:11442)_x000D_
                      at io reactivex internal operators observable ObservableToListSingle subscribeActual(ObservableToListSingle java:58)_x000D_
                      at io reactivex Single subscribe(Single java:3096)_x000D_
                      at io reactivex internal operators single SingleFlatMapIterableObservable subscribeActual(SingleFlatMapIterableObservable java:47)_x000D_
                      at io reactivex Observable subscribe(Observable java:11442)_x000D_
                      at io reactivex internal operators observable ObservableSubscribeOn SubscribeTask run(ObservableSubscribeOn java:96)_x000D_
                      at io reactivex Scheduler DisposeTask run(Scheduler java:571)_x000D_
                      at io reactivex internal schedulers ScheduledRunnable run(ScheduledRunnable java:66)_x000D_
                      at io reactivex internal schedulers ScheduledRunnable call(ScheduledRunnable java:57)_x000D_
                      at java util concurrent FutureTask run(FutureTask java:237)_x000D_
                      at java util concurrent ScheduledThreadPoolExecutor ScheduledFutureTask run(ScheduledThreadPoolExecutor java:272)_x000D_
                      at java util concurrent ThreadPoolExecutor runWorker(ThreadPoolExecutor java:1133)_x000D_
                      at java util concurrent ThreadPoolExecutor Worker run(ThreadPoolExecutor java:607)_x000D_
                      at java lang Thread run(Thread java:761)_x000D_
                   Caused by: android database sqlite SQLiteConstraintException: FOREIGN KEY constraint failed (code 787)_x000D_
                      at android database sqlite SQLiteConnection nativeExecuteForLastInsertedRowId(Native Method)_x000D_
                      at android database sqlite SQLiteConnection executeForLastInsertedRowId(SQLiteConnection java:782)_x000D_
                      at android database sqlite SQLiteSession executeForLastInsertedRowId(SQLiteSession java:788)_x000D_
                      at android database sqlite SQLiteStatement executeInsert(SQLiteStatement java:86)_x000D_
                      at com raizlabs android dbflow structure database AndroidDatabaseStatement executeInsert(AndroidDatabaseStatement java:83)_x000D_
                      at com raizlabs android dbflow sql saveable ModelSaver insert(ModelSaver java:114)_x000D_
                      at com raizlabs android dbflow sql saveable ListModelSaver insertAll(ListModelSaver java:55)_x000D_
                      at com raizlabs android dbflow structure ModelAdapter insertAll(ModelAdapter java:220)_x000D_
                      at com raizlabs android dbflow structure database transaction FastStoreModelTransaction 2 processModel(FastStoreModelTransaction java:36)_x000D_
                      at com raizlabs android dbflow structure database transaction FastStoreModelTransaction execute(FastStoreModelTransaction java:88)_x000D_
                      at com raizlabs android dbflow config DatabaseDefinition executeTransaction(DatabaseDefinition java:283)_x000D_
                      at org fossasia openevent app data db DbFlowDatabaseRepository lambda saveList 4 DbFlowDatabaseRepository(DbFlowDatabaseRepository java:62)_x000D_
                      at org fossasia openevent app data db DbFlowDatabaseRepository  Lambda 4 run(Unknown Source)_x000D_
                      at io reactivex internal operators completable CompletableFromAction subscribeActual(CompletableFromAction java:34) _x000D_
_x000D_
  Screenshots of the issue  _x000D_
  crash (https:  user images githubusercontent com 23634977 41895585 0cfff6a4 7940 11e8 8e26 150d4b906264 gif)_x000D_
_x000D_
_x000D_
  Android version and Phone Model  _x000D_
_x000D_
Jelly Bean and Moto G4 Plus_x000D_
    _x000D_
  Would you like to work on the issue   _x000D_
_x000D_
Yes_x000D_
</t>
  </si>
  <si>
    <t>renyuneyun-Easer-131</t>
  </si>
  <si>
    <t>Crash on adding cell in airplane mode</t>
  </si>
  <si>
    <t>Steps to reproduce:_x000D_
activate airplane mode on phone  open any event in easer and press the button to add a cell in  Cell Location  tap_x000D_
_x000D_
Expected Results:_x000D_
don t do anything or point to activated airplane mode_x000D_
_x000D_
Actual Results:_x000D_
app crashes and restarts normally  no cell added_x000D_
_x000D_
easer v0 6 6_x000D_
LineageOS v14 1</t>
  </si>
  <si>
    <t>libgdx-libgdx-5281</t>
  </si>
  <si>
    <t>LWJGL3: Switching screen mode triggers render() call</t>
  </si>
  <si>
    <t xml:space="preserve">     Issue details_x000D_
_x000D_
If i try to toggle fullscreen mode while playing  i get an JVM crash _x000D_
_x000D_
     Reproduction steps code_x000D_
_x000D_
   java_x000D_
Graphics DisplayMode primaryMode   Gdx graphics getDisplayMode() _x000D_
Gdx graphics setFullscreenMode(primaryMode) _x000D_
   _x000D_
_x000D_
Full Code:_x000D_
   java_x000D_
  toggle fullscreen mode_x000D_
if ((Gdx input isKeyPressed(Input Keys CONTROL LEFT)    Gdx input isKeyPressed(Input Keys CONTROL RIGHT))    Gdx input isKeyJustPressed(Input Keys F))  _x000D_
      toggle fullscreen mode_x000D_
    if (Gdx graphics isFullscreen())  _x000D_
        Gdx graphics setWindowedMode(this lastWidth  this lastHeight) _x000D_
      else  _x000D_
        Graphics DisplayMode primaryMode   Gdx graphics getDisplayMode() _x000D_
        Gdx graphics setFullscreenMode(primaryMode) _x000D_
     _x000D_
 _x000D_
   _x000D_
_x000D_
     Version of LibGDX and or relevant dependencies_x000D_
 Please provide the version(s) affected  _x000D_
_x000D_
     Stacktrace_x000D_
   java_x000D_
 _x000D_
  A fatal error has been detected by the Java Runtime Environment:_x000D_
 _x000D_
   EXCEPTION ACCESS VIOLATION (0xc0000005) at pc 0x00007ffcbadcaceb  pid 10456  tid 1724_x000D_
 _x000D_
  JRE version: Java(TM) SE Runtime Environment (8 0 91 b15) (build 1 8 0 91 b15)_x000D_
  Java VM: Java HotSpot(TM) 64 Bit Server VM (25 91 b15 mixed mode windows amd64 compressed oops)_x000D_
  Problematic frame:_x000D_
  C   glfw dll 0xaceb _x000D_
 _x000D_
  Failed to write core dump  Minidumps are not enabled by default on client versions of Windows_x000D_
 _x000D_
  An error report file with more information is saved as:_x000D_
  D: Users Justin IdeaProjects island exploration rts hs err pid10456 log_x000D_
 _x000D_
  If you would like to submit a bug report  please visit:_x000D_
    http:  bugreport java com bugreport crash jsp_x000D_
  The crash happened outside the Java Virtual Machine in native code _x000D_
  See problematic frame for where to report the bug _x000D_
 _x000D_
AL lib: (EE) alc cleanup: 1 device not closed_x000D_
   _x000D_
_x000D_
 hs err pid10456 log (https:  github com libgdx libgdx files 2134241 hs err pid10456 log)_x000D_
_x000D_
     Please select the affected platforms_x000D_
      Android_x000D_
      iOS (robovm)_x000D_
      iOS (MOE)_x000D_
      HTML GWT_x000D_
   x  Windows_x000D_
      Linux_x000D_
      MacOS_x000D_
</t>
  </si>
  <si>
    <t>mo3rfan-syncplayer-8</t>
  </si>
  <si>
    <t>Crashes on Nvidia shield tv</t>
  </si>
  <si>
    <t xml:space="preserve">When opening a stream  the app crashes  </t>
  </si>
  <si>
    <t>edufolly-flutter_mobile_vision-7</t>
  </si>
  <si>
    <t>Crash when the permission is not granted on Android</t>
  </si>
  <si>
    <t xml:space="preserve">Hello _x000D_
_x000D_
On Android  the first time the application is opened (or if the camera permission is never granted)  the app will crash _x000D_
_x000D_
In the  onActivityResult  method  if the  resultCode  is an error  you are never checking if the intent is null  In the case where the permission is not granted  the intent is null  so the app will crash </t>
  </si>
  <si>
    <t>processing-processing-android-469</t>
  </si>
  <si>
    <t>OutOfMemoryError reported by apps using processing-core</t>
  </si>
  <si>
    <t xml:space="preserve">The  ANRs   crashes  report from Google indicate that  java lang OutOfMemoryError come from:_x000D_
 _x000D_
A )  60   processing core PApplet loadImage _x000D_
on this line:_x000D_
params 0  wichArray params 0  pImageNum    loadImage(params 0  file) _x000D_
_x000D_
in this class_x000D_
_x000D_
   _x000D_
                                                                                   _x000D_
    private class BitmapWorkerTask extends AsyncTask MyTaskParams  Void  PImage   _x000D_
           load image in background _x000D_
         Override_x000D_
        protected PImage doInBackground(MyTaskParams    params)  _x000D_
 _x000D_
            params 0  wichArray params 0  pImageNum    loadImage(params 0  file) _x000D_
_x000D_
            return params 0  wichArray params 0  pImageNum  _x000D_
         _x000D_
_x000D_
         Override_x000D_
        protected void onPostExecute(PImage result)  _x000D_
            ressourceCounter   _x000D_
         _x000D_
     _x000D_
                                                                                   _x000D_
   _x000D_
_x000D_
B )     30   The ones that point me to a  ProGuard deobfuscation  file:_x000D_
_x000D_
processing opengl PGL allocateDirectIntBuffer_x000D_
processing opengl Texture loadPixels_x000D_
processing core PApplet loadImage _x000D_
processing core PImage loadPixels </t>
  </si>
  <si>
    <t>commons-app-apps-android-commons-1660</t>
  </si>
  <si>
    <t>Wild rabbit crashes app (NumberFormatException: For input string: "1=42.344335")</t>
  </si>
  <si>
    <t xml:space="preserve">Steps to reproduce (explore branch):_x000D_
_x000D_
1  Open Explore_x000D_
2  Search for  rabbit _x000D_
3  Scroll a dozen images until you find the image  File:Wild rabbit  cut jpg  (don t worry  the rabbit is entire and healthy  only the picture was cut)_x000D_
4  Crash:_x000D_
   _x000D_
06 23 23:08:38 841  2122  2122 D MediaDetailFragment: MediaDetailFragment ready to display details                                                                                              _x000D_
06 23 23:08:38 906  2122  2122 D MediaDetailFragment: MediaDetailFragment ready to display details                                                                                                                                                           06 23 23:08:38 908  2122  2122 D MediaDetailFragment: MediaDetailFragment ready to display details                                                                                                                                            _x000D_
06 23 23:08:38 924   938   938 I GoogleInputMethod: onFinishInput() : Dummy InputConnection bound                                                                                                                                                            _x000D_
06 23 23:08:38 924   938   938 I GoogleInputMethod: onStartInput() : Dummy InputConnection bound                                                                                                                                                             _x000D_
06 23 23:08:38 924   938   938 I ShortcutsDataManager: startImportContentTask()                       _x000D_
06 23 23:08:38 924   938   938 I ShortcutsDataManager: onImportAborted()                                                                                                                                              _x000D_
06 23 23:08:39 548  2122 13550 D MediaDataExtractor: Nominated for deletion: false                                                                    _x000D_
06 23 23:08:39 554  2122 13547 D MediaDataExtractor: Nominated for deletion: false                                                                        _x000D_
06 23 23:08:39 977  2122 13551 D MediaDataExtractor: Nominated for deletion: false                                                                            _x000D_
06 23 23:08:40 038  2122 13550 E AndroidRuntime: FATAL EXCEPTION: AsyncTask  22                                                                                                   _x000D_
06 23 23:08:40 038  2122 13550 E AndroidRuntime: Process: fr free nrw commons debug  PID: 2122                                                                                                                                                               _x000D_
06 23 23:08:40 038  2122 13550 E AndroidRuntime: java lang RuntimeException: An error occurred while executing doInBackground()_x000D_
06 23 23:08:40 038  2122 13550 E AndroidRuntime:        at android os AsyncTask 3 done(AsyncTask java:325)                         _x000D_
06 23 23:08:40 038  2122 13550 E AndroidRuntime:        at java util concurrent FutureTask finishCompletion(FutureTask java:354)                  _x000D_
06 23 23:08:40 038  2122 13550 E AndroidRuntime:        at java util concurrent FutureTask setException(FutureTask java:223)                                              _x000D_
06 23 23:08:40 038  2122 13550 E AndroidRuntime:        at java util concurrent FutureTask run(FutureTask java:242)                                        _x000D_
06 23 23:08:40 038  2122 13550 E AndroidRuntime:        at java util concurrent ThreadPoolExecutor runWorker(ThreadPoolExecutor java:1133)          _x000D_
06 23 23:08:40 038  2122 13550 E AndroidRuntime:        at java util concurrent ThreadPoolExecutor Worker run(ThreadPoolExecutor java:607)_x000D_
06 23 23:08:40 038  2122 13550 E AndroidRuntime:        at java lang Thread run(Thread java:761)                                                     _x000D_
06 23 23:08:40 038  2122 13550 E AndroidRuntime: Caused by: java lang NumberFormatException: For input string:  1 42 344335                               _x000D_
06 23 23:08:40 038  2122 13550 E AndroidRuntime:        at java lang FloatingDecimal readJavaFormatString(FloatingDecimal java:1306)_x000D_
06 23 23:08:40 038  2122 13550 E AndroidRuntime:        at java lang Double parseDouble(Double java:547)                           _x000D_
06 23 23:08:40 038  2122 13550 E AndroidRuntime:        at fr free nrw commons MediaDataExtractor getCoordinates(MediaDataExtractor java:254)_x000D_
06 23 23:08:40 038  2122 13550 E AndroidRuntime:        at fr free nrw commons MediaDataExtractor processWikiParseTree(MediaDataExtractor java:117)                                                                                                          _x000D_
06 23 23:08:40 038  2122 13550 E AndroidRuntime:        at fr free nrw commons MediaDataExtractor fetch(MediaDataExtractor java:77)       _x000D_
06 23 23:08:40 038  2122 13550 E AndroidRuntime:        at fr free nrw commons media MediaDetailFragment 3 doInBackground(MediaDetailFragment java:252)_x000D_
06 23 23:08:40 038  2122 13550 E AndroidRuntime:        at fr free nrw commons media MediaDetailFragment 3 doInBackground(MediaDetailFragment java:241)                                                                                                     _x000D_
06 23 23:08:40 038  2122 13550 E AndroidRuntime:        at android os AsyncTask 2 call(AsyncTask java:305)      _x000D_
06 23 23:08:40 038  2122 13550 E AndroidRuntime:        at java util concurrent FutureTask run(FutureTask java:237)                                                     _x000D_
06 23 23:08:40 038  2122 13550 E AndroidRuntime:            3 more                                                                     _x000D_
06 23 23:08:40 065   786  1364 W ActivityManager:   Force finishing activity fr free nrw commons debug fr free nrw commons explore SearchActivity_x000D_
   _x000D_
A strange thing is that searching for  Wild rabbit cut  and touching the same image does not trigger the crash _x000D_
https:  commons wikimedia org wiki File:Wild rabbit  cut jpg_x000D_
</t>
  </si>
  <si>
    <t>kontalk-androidclient-1186</t>
  </si>
  <si>
    <t>Kontalk.onCreate not called</t>
  </si>
  <si>
    <t xml:space="preserve">For some misterious reason (this is seriously   a mistery  ) the onCreate method is not called  It happens on a lot of devices and has been happening since 4 1 4 but I didn t realize that because Crashlytics didn t of course get those  None of my direct contacts (thanks Murphy s law) has this issue _x000D_
_x000D_
A few references:_x000D_
_x000D_
  https:  stackoverflow com questions 42891447 application oncreate never called_x000D_
  https:  developer android com studio build build cache_x000D_
  Multidexing _x000D_
  Proguard _x000D_
  Some library overriding the Application class   But why is this device dependent  _x000D_
_x000D_
Other notes:_x000D_
_x000D_
  https:  developers soundcloud com blog congratulations you have a lot of code remedying androids method limit part 2_x000D_
  https:  github com KeepSafe dexcount gradle plugin_x000D_
_x000D_
So far it happens only on Android 7 or later _x000D_
_x000D_
  If anyone is having a fixed crash on startup please notify me  I need a log to debug this  thank you   </t>
  </si>
  <si>
    <t>nextcloud-android-2756</t>
  </si>
  <si>
    <t>NPE for file details on master for images</t>
  </si>
  <si>
    <t>crash only happens on master  not on 3 2 x branch  simply open the file details for an image:_x000D_
   _x000D_
java lang NullPointerException: Attempt to invoke virtual method  android net Uri com owncloud android lib common OwnCloudClient getBaseUri()  on a null object reference_x000D_
        at com owncloud android ui adapter ActivityListAdapter setBitmap(ActivityListAdapter java:249)_x000D_
        at com owncloud android ui adapter ActivityListAdapter createThumbnail(ActivityListAdapter java:232)_x000D_
        at com owncloud android ui adapter ActivityListAdapter onBindViewHolder(ActivityListAdapter java:200)_x000D_
        at com owncloud android ui adapter ActivityAndVersionListAdapter onBindViewHolder(ActivityAndVersionListAdapter java:118)_x000D_
        at android support v7 widget RecyclerView Adapter onBindViewHolder(RecyclerView java:6673)_x000D_
        at android support v7 widget RecyclerView Adapter bindViewHolder(RecyclerView java:6714)_x000D_
        at android support v7 widget RecyclerView Recycler tryBindViewHolderByDeadline(RecyclerView java:5647)_x000D_
        at android support v7 widget RecyclerView Recycler tryGetViewHolderForPositionByDeadline(RecyclerView java:5913)_x000D_
        at android support v7 widget RecyclerView Recycler getViewForPosition(RecyclerView java:5752)_x000D_
        at android support v7 widget RecyclerView Recycler getViewForPosition(RecyclerView java:5748)_x000D_
        at android support v7 widget LinearLayoutManager LayoutState next(LinearLayoutManager java:2232)_x000D_
        at android support v7 widget LinearLayoutManager layoutChunk(LinearLayoutManager java:1559)_x000D_
        at android support v7 widget LinearLayoutManager fill(LinearLayoutManager java:1519)_x000D_
        at android support v7 widget LinearLayoutManager onLayoutChildren(LinearLayoutManager java:614)_x000D_
        at android support v7 widget RecyclerView dispatchLayoutStep2(RecyclerView java:3812)_x000D_
        at android support v7 widget RecyclerView dispatchLayout(RecyclerView java:3529)_x000D_
        at android support v7 widget RecyclerView onLayout(RecyclerView java:4082)_x000D_
        at android view View layout(View java:19659)_x000D_
        at android view ViewGroup layout(ViewGroup java:6075)_x000D_
        at android support v4 widget SwipeRefreshLayout onLayout(SwipeRefreshLayout java:606)_x000D_
        at android view View layout(View java:19659)_x000D_
        at android view ViewGroup layout(ViewGroup java:6075)_x000D_
        at android widget LinearLayout setChildFrame(LinearLayout java:1791)_x000D_
        at android widget LinearLayout layoutVertical(LinearLayout java:1635)_x000D_
        at android widget LinearLayout onLayout(LinearLayout java:1544)_x000D_
        at android view View layout(View java:19659)_x000D_
        at android view ViewGroup layout(ViewGroup java:6075)_x000D_
        at android support v4 view ViewPager onLayout(ViewPager java:1769)_x000D_
        at android view View layout(View java:19659)_x000D_
        at android view ViewGroup layout(ViewGroup java:6075)_x000D_
        at android widget LinearLayout setChildFrame(LinearLayout java:1791)_x000D_
        at android widget LinearLayout layoutVertical(LinearLayout java:1635)_x000D_
        at android widget LinearLayout onLayout(LinearLayout java:1544)_x000D_
        at android view View layout(View java:19659)_x000D_
        at android view ViewGroup layout(ViewGroup java:6075)_x000D_
        at android widget FrameLayout layoutChildren(FrameLayout java:323)_x000D_
        at android widget FrameLayout onLayout(FrameLayout java:261)_x000D_
        at android widget ScrollView onLayout(ScrollView java:1552)_x000D_
        at android view View layout(View java:19659)_x000D_
        at android view ViewGroup layout(ViewGroup java:6075)_x000D_
        at android widget FrameLayout layoutChildren(FrameLayout java:323)_x000D_
        at android widget FrameLayout onLayout(FrameLayout java:261)_x000D_
        at android view View layout(View java:19659)_x000D_
        at android view ViewGroup layout(ViewGroup java:6075)_x000D_
        at android widget LinearLayout setChildFrame(LinearLayout java:1791)_x000D_
        at android widget LinearLayout layoutHorizontal(LinearLayout java:1780)_x000D_
        at android widget LinearLayout onLayout(LinearLayout java:1546)_x000D_
        at android view View layout(View java:19659)_x000D_
        at android view ViewGroup layout(ViewGroup java:6075)_x000D_
        at android widget LinearLayout setChildFrame(LinearLayout java:1791)_x000D_
        at android widget LinearLayout layoutVertical(LinearLayout java:1635)_x000D_
        at android widget LinearLayout onLayout(LinearLayout java:1544)_x000D_
06 23 09:37:07 820 12926 12926 com nextcloud client E AndroidRuntime:     at android view View layout(View java:19659)_x000D_
        at android view ViewGroup layout(ViewGroup java:6075)_x000D_
        at android support v4 widget DrawerLayout onLayout(DrawerLayout java:1171)_x000D_
        at android view View layout(View java:19659)_x000D_
        at android view ViewGroup layout(ViewGroup java:6075)_x000D_
        at android widget FrameLayout layoutChildren(FrameLayout java:323)_x000D_
        at android widget FrameLayout onLayout(FrameLayout java:261)_x000D_
        at android view View layout(View java:19659)_x000D_
        at android view ViewGroup layout(ViewGroup java:6075)_x000D_
        at android widget FrameLayout layoutChildren(FrameLayout java:323)_x000D_
        at android widget FrameLayout onLayout(FrameLayout java:261)_x000D_
        at android view View layout(View java:19659)_x000D_
        at android view ViewGroup layout(ViewGroup java:6075)_x000D_
        at android widget FrameLayout layoutChildren(FrameLayout java:323)_x000D_
        at android widget FrameLayout onLayout(FrameLayout java:261)_x000D_
        at android view View layout(View java:19659)_x000D_
        at android view ViewGroup layout(ViewGroup java:6075)_x000D_
        at android widget LinearLayout setChildFrame(LinearLayout java:1791)_x000D_
        at android widget LinearLayout layoutVertical(LinearLayout java:1635)_x000D_
        at android widget LinearLayout onLayout(LinearLayout java:1544)_x000D_
        at android view View layout(View java:19659)_x000D_
        at android view ViewGroup layout(ViewGroup java:6075)_x000D_
        at android widget FrameLayout layoutChildren(FrameLayout java:323)_x000D_
        at android widget FrameLayout onLayout(FrameLayout java:261)_x000D_
        at com android internal policy DecorView onLayout(DecorView java:761)_x000D_
        at android view View layout(View java:19659)_x000D_
        at android view ViewGroup layout(ViewGroup java:6075)_x000D_
        at android view ViewRootImpl performLayout(ViewRootImpl java:2496)_x000D_
        at android view ViewRootImpl performTraversals(ViewRootImpl java:2212)_x000D_
        at android view ViewRootImpl doTraversal(ViewRootImpl java:1392)_x000D_
        at android view ViewRootImpl TraversalRunnable run(ViewRootImpl java:6752)_x000D_
        at android view Choreographer CallbackRecord run(Choreographer java:911)_x000D_
        at android view Choreographer doCallbacks(Choreographer java:723)_x000D_
        at android view Choreographer doFrame(Choreographer java:658)_x000D_
        at android view Choreographer FrameDisplayEventReceiver run(Choreographer java:897)_x000D_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tobiasKaminsky any idea  :(</t>
  </si>
  <si>
    <t>mit-cml-appinventor-sources-1288</t>
  </si>
  <si>
    <t>Fix crash due to ClassCastException in Slider</t>
  </si>
  <si>
    <t xml:space="preserve">In Slider we cast the progress drawable to  LayerDrawable   regardless of whether or not it is actually a  LayerDrawable  or subclass  This causes problems in compiled apps on Android 5 0  when the theme is not Classic  since a  StateListDrawable  may be returned instead  As a result  the app crashes _x000D_
_x000D_
This change makes the code to update the slider colors more robust to different drawables based on the current Android version  It also includes an additional hack for Android 5 0 since  setProgressBackgroundTintList  and  setProgressBackgroundTintMode  seem to have no effect (they work fine on 5 1 and later) _x000D_
_x000D_
Tested in both Companion and compiled app on emulators running the following SDK levels:_x000D_
  8_x000D_
  16_x000D_
  21_x000D_
  27_x000D_
_x000D_
Fixes  1287 </t>
  </si>
  <si>
    <t>zom-Zom-Android-XMPP-492</t>
  </si>
  <si>
    <t>Samsung Note8 not able to play or record audio messages</t>
  </si>
  <si>
    <t>Three things happened:_x000D_
_x000D_
1) User could not play old or new audio messages they d received  _x000D_
_x000D_
  Restarting the phone fixed this issue  The user was able to play old and new audio messages received _x000D_
_x000D_
2) User could not send audio messages  The user thought they were recording and when they took their finger off the record button  nothing happened  No one received audio from them and they could not see their recorded audio in their chat history  _x000D_
_x000D_
  This issue has not be resolved  We tried force quitting and restarting the app  _x000D_
_x000D_
3) The user taps to record an audio message and records longer than 10secs  The app crashes  Sends the user to their device app home screen _x000D_
_x000D_
  This issue is not resolved  _x000D_
_x000D_
We have not been able to reproduce the bug on a similar device  _x000D_
I suggested the user try a fresh install of the app  but to my knowledge this has not been done yet  _x000D_
_x000D_
Device: Samsung 8S _x000D_
OS: 8 0 0_x000D_
Samsung experience version: 9 0_x000D_
App version: current playstore version: 15 5 0 RC 2</t>
  </si>
  <si>
    <t>Haptic-Apps-Slide-2808</t>
  </si>
  <si>
    <t>The app crashes when trying to search for comments with a specific word on specific post</t>
  </si>
  <si>
    <t xml:space="preserve">The app crashes when trying to search  Gideon  on  this post (https:  redd it 8sz67b) 
I have to force close the app to use it again  </t>
  </si>
  <si>
    <t>datastreamsio-moby-tracking-sdk-3</t>
  </si>
  <si>
    <t>SDK crashes on unexpected URL</t>
  </si>
  <si>
    <t xml:space="preserve">When configuring the the end point URL to a random port on localhost the SDK crashes the app completely _x000D_
_x000D_
The SDK should never crash the app </t>
  </si>
  <si>
    <t>commons-app-apps-android-commons-1653</t>
  </si>
  <si>
    <t>App crashes when tapping on an image during multiple share</t>
  </si>
  <si>
    <t xml:space="preserve">I tried to see if there are duplicates but couldn t find any  Sorry  if I ve missed them _x000D_
_x000D_
  Summary:   _x000D_
The app crashes when tapping on any of the images during a multiple upload before providing a title _x000D_
_x000D_
  Steps to reproduce:  _x000D_
1  Open your favourite photo viewer or file manager _x000D_
1  Select multiple images_x000D_
1  Click on  Share _x000D_
1  Choose the  Commons  app from the share menu that appears_x000D_
1  In the Multiple Upload screen tap on one of the images before giving a title to the set of images_x000D_
_x000D_
  Add System logs:  _x000D_
_x000D_
Add logcat files here (if possible) _x000D_
_x000D_
  Expected behavior:   _x000D_
App shouldn t crash but should provide a enlarged view of the image _x000D_
_x000D_
  Observed behavior:   _x000D_
App crashes _x000D_
_x000D_
  Device and Android version:  _x000D_
OS: Android 5 1 1_x000D_
Device: Samsung Galaxy j1 ace_x000D_
_x000D_
  Commons app version:  _x000D_
2 7 2 (beta line)_x000D_
_x000D_
  Would you like to work on the issue   _x000D_
Nope </t>
  </si>
  <si>
    <t>OneBusAway-onebusaway-android-893</t>
  </si>
  <si>
    <t>WindowManager$BadTokenException in autoShowWhatsNew()</t>
  </si>
  <si>
    <t xml:space="preserve">  Summary:   _x000D_
_x000D_
From v2 3 8 release (and earlier releases too   approximately 300 reports over lifetime of application) via Android Developer Console:_x000D_
_x000D_
   _x000D_
android view WindowManager BadTokenException: _x000D_
  at android view ViewRootImpl setView (ViewRootImpl java:697)_x000D_
  at android view WindowManagerGlobal addView (WindowManagerGlobal java:342)_x000D_
  at android view WindowManagerImpl addView (WindowManagerImpl java:93)_x000D_
  at android app Dialog show (Dialog java:328)_x000D_
  at android app Activity showDialog (Activity java:3756)_x000D_
  at android app Activity showDialog (Activity java:3705)_x000D_
  at org onebusaway android ui HomeActivity autoShowWhatsNew (HomeActivity java:1104)_x000D_
  at org onebusaway android ui HomeActivity onRegionTaskFinished (HomeActivity java:1491)_x000D_
  at org onebusaway android region ObaRegionsTask 2 run (ObaRegionsTask java:268)_x000D_
  at android os Handler handleCallback (Handler java:751)_x000D_
  at android os Handler dispatchMessage (Handler java:95)_x000D_
  at android os Looper loop (Looper java:154)_x000D_
  at android app ActivityThread main (ActivityThread java:6196)_x000D_
  at java lang reflect Method invoke (Native Method)_x000D_
  at com android internal os ZygoteInit MethodAndArgsCaller run (ZygoteInit java:888)_x000D_
  at com android internal os ZygoteInit main (ZygoteInit java:778)_x000D_
   _x000D_
_x000D_
See https:  stackoverflow com a 18665887 937715 for details _x000D_
_x000D_
  Steps to reproduce:   _x000D_
_x000D_
Unknown_x000D_
_x000D_
  Expected behavior:   _x000D_
_x000D_
Not crash_x000D_
_x000D_
  Observed behavior:   _x000D_
_x000D_
Crash_x000D_
_x000D_
  Device and Android version:   _x000D_
_x000D_
Mix of devices from Pixel to Galaxy S7  Android 7 0 to Android 8 0</t>
  </si>
  <si>
    <t>microsoft-EmbeddedSocial-Android-SDK-94</t>
  </si>
  <si>
    <t>NPE in GoogleAppAuthAuthenticator$1.onTokenRequestCompleted()</t>
  </si>
  <si>
    <t xml:space="preserve">  Summary:   _x000D_
_x000D_
Originally mentioned at https:  github com Microsoft EmbeddedSocial Android SDK issues 88 issuecomment 398894820 _x000D_
_x000D_
In the OneBusAway Google Developer console I m seeing a stack trace being reported for the  v2 3 8 release (https:  github com OneBusAway onebusaway android releases tag v2 3 8) (first unobfuscated ES SDK) on a Samsung Galaxy Note8 (greatqlteue)  6144MB RAM  Android 8 0:_x000D_
_x000D_
   _x000D_
java lang NullPointerException: _x000D_
  at android content ContextWrapper getResources (ContextWrapper java:93)_x000D_
  at android view ContextThemeWrapper getResourcesInternal (ContextThemeWrapper java:127)_x000D_
  at android view ContextThemeWrapper getResources (ContextThemeWrapper java:121)_x000D_
  at android support v4 app Fragment getResources (Fragment java:678)_x000D_
  at android support v4 app Fragment getString (Fragment java:700)_x000D_
  at com microsoft embeddedsocial auth GoogleAppAuthAuthenticator 1 onTokenRequestCompleted (GoogleAppAuthAuthenticator java:129)_x000D_
  at net openid appauth AuthorizationService TokenRequestTask onPostExecute (AuthorizationService java:308)_x000D_
  at net openid appauth AuthorizationService TokenRequestTask onPostExecute (AuthorizationService java:238)_x000D_
  at android os AsyncTask finish (AsyncTask java:695)_x000D_
  at android os AsyncTask  wrap1 (Unknown Source)_x000D_
  at android os AsyncTask InternalHandler handleMessage (AsyncTask java:712)_x000D_
  at android os Handler dispatchMessage (Handler java:105)_x000D_
  at android os Looper loop (Looper java:164)_x000D_
  at android app ActivityThread main (ActivityThread java:6940)_x000D_
  at java lang reflect Method invoke (Native Method)_x000D_
  at com android internal os Zygote MethodAndArgsCaller run (Zygote java:327)_x000D_
  at com android internal os ZygoteInit main (ZygoteInit java:1374)_x000D_
   _x000D_
_x000D_
  Steps to reproduce:   _x000D_
_x000D_
Unknown_x000D_
_x000D_
  Expected behavior:   _x000D_
_x000D_
Not crash_x000D_
_x000D_
  Observed behavior:   _x000D_
_x000D_
Crash_x000D_
_x000D_
  Device  Android  and Embedded Social SDK version:   _x000D_
_x000D_
OBA  v2 3 8 release (https:  github com OneBusAway onebusaway android releases tag v2 3 8) w    com acrowntest test:sdk:0 7 1:release aar  _x000D_
_x000D_
Samsung Galaxy Note8 (greatqlteue)  6144MB RAM  Android 8 0 (reported via Android Developer Console</t>
  </si>
  <si>
    <t>commons-app-apps-android-commons-1648</t>
  </si>
  <si>
    <t>ConcurrentModificationException at fr.free.nrw.commons.Media.setDescriptions</t>
  </si>
  <si>
    <t xml:space="preserve">explore branch with category search merged in _x000D_
When scrolling featured images then looking at their properties _x000D_
Reproducible  two examples of crash:_x000D_
   _x000D_
06 21 22:12:07 171 29126 29126 D MediaDetailFragment: MediaDetailFragment ready to display details_x000D_
06 21 22:12:07 251 29126 29126 D MediaDetailFragment: MediaDetailFragment ready to display details_x000D_
06 21 22:12:07 254 29126 29126 D MediaDetailFragment: MediaDetailFragment ready to display details_x000D_
06 21 22:12:07 600 29126 29245 D MediaDataExtractor: Nominated for deletion: false_x000D_
06 21 22:12:07 661 29126 29270 D MediaDataExtractor: Nominated for deletion: false_x000D_
06 21 22:12:07 998 29126 29269 D MediaDataExtractor: Nominated for deletion: false_x000D_
06 21 22:12:08 117 29126 29245 D MediaDataExtractor: MediaDataExtractor searching for license_x000D_
06 21 22:12:08 118 29126 29245 D MediaDataExtractor: MediaDataExtractor found self license cc by sa 4 0_x000D_
06 21 22:12:08 122 29126 29126 D MediaDetailFragment: Media license is: cc by sa 4 0_x000D_
06 21 22:12:08 451 29126 29270 D MediaDataExtractor: MediaDataExtractor searching for license_x000D_
06 21 22:12:08 478 29126 29126 D MediaDetailFragment: Media license is: cc by sa 4 0_x000D_
06 21 22:12:08 544 29126 29269 D MediaDataExtractor: MediaDataExtractor searching for license_x000D_
06 21 22:12:08 545 29126 29269 D MediaDataExtractor: MediaDataExtractor found non self license cc by sa 4 0_x000D_
06 21 22:12:08 571 29126 29126 D AndroidRuntime: Shutting down VM_x000D_
06 21 22:12:08 578 29126 29126 E AndroidRuntime: FATAL EXCEPTION: main_x000D_
06 21 22:12:08 578 29126 29126 E AndroidRuntime: Process: fr free nrw commons debug  PID: 29126_x000D_
06 21 22:12:08 578 29126 29126 E AndroidRuntime: java util ConcurrentModificationException_x000D_
06 21 22:12:08 578 29126 29126 E AndroidRuntime:        at java util HashMap HashIterator nextEntry(HashMap java:851)_x000D_
06 21 22:12:08 578 29126 29126 E AndroidRuntime:        at java util HashMap KeyIterator next(HashMap java:885)_x000D_
06 21 22:12:08 578 29126 29126 E AndroidRuntime:        at fr free nrw commons Media setDescriptions(Media java:359)_x000D_
06 21 22:12:08 578 29126 29126 E AndroidRuntime:        at fr free nrw commons MediaDataExtractor fill(MediaDataExtractor java:303)_x000D_
06 21 22:12:08 578 29126 29126 E AndroidRuntime:        at fr free nrw commons media MediaDetailFragment 3 onPostExecute(MediaDetailFragment java:268)_x000D_
06 21 22:12:08 578 29126 29126 E AndroidRuntime:        at fr free nrw commons media MediaDetailFragment 3 onPostExecute(MediaDetailFragment java:241)_x000D_
06 21 22:12:08 578 29126 29126 E AndroidRuntime:        at android os AsyncTask finish(AsyncTask java:667)_x000D_
06 21 22:12:08 578 29126 29126 E AndroidRuntime:        at android os AsyncTask  wrap1(AsyncTask java)_x000D_
06 21 22:12:08 578 29126 29126 E AndroidRuntime:        at android os AsyncTask InternalHandler handleMessage(AsyncTask java:684)_x000D_
06 21 22:12:08 578 29126 29126 E AndroidRuntime:        at android os Handler dispatchMessage(Handler java:102)_x000D_
06 21 22:12:08 578 29126 29126 E AndroidRuntime:        at android os Looper loop(Looper java:154)_x000D_
06 21 22:12:08 578 29126 29126 E AndroidRuntime:        at android app ActivityThread main(ActivityThread java:6186)_x000D_
06 21 22:12:08 578 29126 29126 E AndroidRuntime:        at java lang reflect Method invoke(Native Method)_x000D_
06 21 22:12:08 578 29126 29126 E AndroidRuntime:        at com android internal os ZygoteInit MethodAndArgsCaller run(ZygoteInit java:889)_x000D_
06 21 22:12:08 578 29126 29126 E AndroidRuntime:        at com android internal os ZygoteInit main(ZygoteInit java:779)_x000D_
06 21 22:12:08 591   790 15308 W ActivityManager:   Force finishing activity fr free nrw commons debug fr free nrw commons category CategoryImagesActivity_x000D_
   _x000D_
_x000D_
   _x000D_
06 21 22:13:59 022 29968 29968 D MediaDetailFragment: MediaDetailFragment ready to display details_x000D_
06 21 22:13:59 101 29968 29968 D MediaDetailFragment: MediaDetailFragment ready to display details_x000D_
06 21 22:13:59 104 29968 29968 D MediaDetailFragment: MediaDetailFragment ready to display details_x000D_
06 21 22:13:59 568 29968 30013 D MediaDataExtractor: Nominated for deletion: false_x000D_
06 21 22:13:59 568 29968 30044 D MediaDataExtractor: Nominated for deletion: false_x000D_
06 21 22:14:00 059  1824  1824 I Watcher AppUti: Sending:android appwidget action APPWIDGET UPDATE_x000D_
06 21 22:14:00 100 29968 30043 D MediaDataExtractor: Nominated for deletion: false_x000D_
06 21 22:14:00 115 29968 30013 D MediaDataExtractor: MediaDataExtractor searching for license_x000D_
06 21 22:14:00 116 29968 30013 D MediaDataExtractor: MediaDataExtractor found self license cc by sa 4 0_x000D_
06 21 22:14:00 123 29968 29968 D MediaDetailFragment: Media license is: cc by sa 4 0_x000D_
06 21 22:14:00 425  1824  1824 W Service Wear: isRunning_x000D_
06 21 22:14:00 518 29968 30044 D MediaDataExtractor: MediaDataExtractor searching for license_x000D_
06 21 22:14:00 522 29968 30044 D MediaDataExtractor: MediaDataExtractor found non self license cc by sa 4 0_x000D_
06 21 22:14:00 527 29968 29968 D MediaDetailFragment: Media license is: cc by sa 4 0_x000D_
06 21 22:14:00 600 29968 30043 D MediaDataExtractor: MediaDataExtractor searching for license_x000D_
06 21 22:14:00 601 29968 30043 D MediaDataExtractor: MediaDataExtractor found self license cc by sa 4 0_x000D_
06 21 22:14:00 603 29968 29968 D AndroidRuntime: Shutting down VM_x000D_
06 21 22:14:00 606 29968 29968 E AndroidRuntime: FATAL EXCEPTION: main_x000D_
06 21 22:14:00 606 29968 29968 E AndroidRuntime: Process: fr free nrw commons debug  PID: 29968_x000D_
06 21 22:14:00 606 29968 29968 E AndroidRuntime: java util ConcurrentModificationException_x000D_
06 21 22:14:00 606 29968 29968 E AndroidRuntime:        at java util HashMap HashIterator nextEntry(HashMap java:851)_x000D_
06 21 22:14:00 606 29968 29968 E AndroidRuntime:        at java util HashMap KeyIterator next(HashMap java:885)_x000D_
06 21 22:14:00 606 29968 29968 E AndroidRuntime:        at fr free nrw commons Media setDescriptions(Media java:359)_x000D_
06 21 22:14:00 606 29968 29968 E AndroidRuntime:        at fr free nrw commons MediaDataExtractor fill(MediaDataExtractor java:303)_x000D_
06 21 22:14:00 606 29968 29968 E AndroidRuntime:        at fr free nrw commons media MediaDetailFragment 3 onPostExecute(MediaDetailFragment java:268)_x000D_
06 21 22:14:00 606 29968 29968 E AndroidRuntime:        at fr free nrw commons media MediaDetailFragment 3 onPostExecute(MediaDetailFragment java:241)_x000D_
06 21 22:14:00 606 29968 29968 E AndroidRuntime:        at android os AsyncTask finish(AsyncTask java:667)_x000D_
06 21 22:14:00 606 29968 29968 E AndroidRuntime:        at android os AsyncTask  wrap1(AsyncTask java)_x000D_
06 21 22:14:00 606 29968 29968 E AndroidRuntime:        at android os AsyncTask InternalHandler handleMessage(AsyncTask java:684)_x000D_
06 21 22:14:00 606 29968 29968 E AndroidRuntime:        at android os Handler dispatchMessage(Handler java:102)_x000D_
06 21 22:14:00 606 29968 29968 E AndroidRuntime:        at android os Looper loop(Looper java:154)_x000D_
06 21 22:14:00 606 29968 29968 E AndroidRuntime:        at android app ActivityThread main(ActivityThread java:6186)_x000D_
06 21 22:14:00 606 29968 29968 E AndroidRuntime:        at java lang reflect Method invoke(Native Method)_x000D_
06 21 22:14:00 606 29968 29968 E AndroidRuntime:        at com android internal os ZygoteInit MethodAndArgsCaller run(ZygoteInit java:889)_x000D_
06 21 22:14:00 606 29968 29968 E AndroidRuntime:        at com android internal os ZygoteInit main(ZygoteInit java:779)_x000D_
06 21 22:14:00 608   790  1817 W ActivityManager:   Force finishing activity fr free nrw commons debug fr free nrw commons category CategoryImagesActivity_x000D_
06 21 22:14:00 618   790   805 W BroadcastQueue: Permission Denial: receiving Intent   act android intent action DROPBOX ENTRY ADDED flg 0x10 (has extras)   to ProcessRecord 4f5e05c 29734:com airbnb android u0a138  (pid 29734  uid 10138) requires android permission READ LOGS due to sender android (uid 1000)_x000D_
   </t>
  </si>
  <si>
    <t>innoveit-react-native-ble-manager-343</t>
  </si>
  <si>
    <t>Android 4.4.4 application crashing during connecting</t>
  </si>
  <si>
    <t xml:space="preserve">    Version_x000D_
_x000D_
Tell us which versions you are using:_x000D_
_x000D_
  react native ble manager v6 3 3_x000D_
  react native v0 55 3_x000D_
  iOS Android v: Android 4 4 4 (Samsung Galaxy Ace 4)_x000D_
_x000D_
    Expected behaviour_x000D_
_x000D_
Bluetooth device connection should be setup after calling BleManager connect_x000D_
_x000D_
    Actual behaviour_x000D_
_x000D_
Application crashes because the gatt in the onConnectionStateChange Run method is null the first time _x000D_
_x000D_
    Steps to reproduce_x000D_
_x000D_
1  Connect to a device_x000D_
_x000D_
    Stack trace and console log_x000D_
_x000D_
The following stacktrace is available from logcat:_x000D_
_x000D_
06 21 10:57:51 697 9043 9080 nl appid D ReactNative:  Catch to call normal connection_x000D_
06 21 10:57:51 707 9043 9080 nl appid D BluetoothGatt: connect()   device: FE:10:D2:0F:0D:38  auto: false_x000D_
    registerApp()_x000D_
06 21 10:57:51 717 9043 9080 nl appid D BluetoothGatt: registerApp()   UUID 25835378 f0e5 4804 ad9a 6f16f539f9cf_x000D_
06 21 10:57:51 717 9043 9080 nl appid I BluetoothGatt: Client registered  waiting for callback_x000D_
06 21 10:57:51 717 9043 9065 nl appid D BluetoothGatt: onClientRegistered()   status 0 clientIf 7_x000D_
06 21 10:57:51 717 9043 9080 nl appid D ReactNativeBleManager: onConnectionStateChange to 2 on peripheral: FE:10:D2:0F:0D:38 with status0_x000D_
06 21 10:57:51 717 9043 9043 nl appid D AndroidRuntime: Shutting down VM_x000D_
06 21 10:57:51 717 9043 9043 nl appid W dalvikvm: threadid 1: thread exiting with uncaught exception (group 0x416f6d58)_x000D_
06 21 10:57:51 727 9043 9080 nl appid D ReactNativeBleManager: Peripheral event (BleManagerConnectPeripheral):FE:10:D2:0F:0D:38_x000D_
    Connected to: FE:10:D2:0F:0D:38_x000D_
06 21 10:57:51 857 9043 9043 nl appid E AndroidRuntime: FATAL EXCEPTION: main_x000D_
    Process: nl appid PID: 9043_x000D_
    java lang NullPointerException_x000D_
        at it innove Peripheral 1 run(Peripheral java:301)_x000D_
        at android os Handler handleCallback(Handler java:733)_x000D_
        at android os Handler dispatchMessage(Handler java:95)_x000D_
        at android os Looper loop(Looper java:136)_x000D_
        at android app ActivityThread main(ActivityThread java:5426)_x000D_
        at java lang reflect Method invokeNative(Native Method)_x000D_
        at java lang reflect Method invoke(Method java:515)_x000D_
        at com android internal os ZygoteInit MethodAndArgsCaller run(ZygoteInit java:1268)_x000D_
        at com android internal os ZygoteInit main(ZygoteInit java:1084)_x000D_
        at dalvik system NativeStart main(Native Method)_x000D_
06 21 10:57:51 867 9043 9055 nl appid D BluetoothGatt: onClientConnectionState()   status 0 clientIf 7 device FE:10:D2:0F:0D:38_x000D_
06 21 10:57:51 867 9043 9055 nl appid D ReactNativeBleManager: onConnectionStateChange to 2 on peripheral: FE:10:D2:0F:0D:38 with status0_x000D_
06 21 10:57:51 877 9043 9055 nl appid D ReactNativeBleManager: Peripheral event (BleManagerConnectPeripheral):FE:10:D2:0F:0D:38_x000D_
_x000D_
Ive fixed this by adding a null check on the gatt (line 301: Peripheral java) after that everything seems to work fine </t>
  </si>
  <si>
    <t>Tinkoff-ScrollingPagerIndicator-10</t>
  </si>
  <si>
    <t>crash in recyclerView</t>
  </si>
  <si>
    <t xml:space="preserve">Hello _x000D_
in our recyclerView is an item with  ScrollingPagerIndicator _x000D_
It crashes when we are trying to reload some data _x000D_
_x000D_
   _x000D_
    java lang IllegalStateException: Observer ru tinkoff scrollingpagerindicator ViewPagerAttacher 1 6f7b8cb was not registered _x000D_
        at android database Observable unregisterObserver(Observable java:69)_x000D_
        at android support v4 view PagerAdapter unregisterDataSetObserver(PagerAdapter java:311)_x000D_
        at ru tinkoff scrollingpagerindicator ViewPagerAttacher detachFromPager(ViewPagerAttacher java:80)_x000D_
        at ru tinkoff scrollingpagerindicator ScrollingPagerIndicator detachFromPager(ScrollingPagerIndicator java:268)_x000D_
        at ru tinkoff scrollingpagerindicator ScrollingPagerIndicator attachToPager(ScrollingPagerIndicator java:250)_x000D_
        at ru tinkoff scrollingpagerindicator ScrollingPagerIndicator attachToPager(ScrollingPagerIndicator java:201)_x000D_
   _x000D_
_x000D_
could you please add a check while  detachFromPager()   </t>
  </si>
  <si>
    <t>neXenio-BLE-Indoor-Positioning-94</t>
  </si>
  <si>
    <t>App crash in updateLocation method</t>
  </si>
  <si>
    <t xml:space="preserve">Hello _x000D_
_x000D_
I found that the App crash when the number of my beacons is 4 in  updateLocation()  method inside the  IndoorPositioning  class_x000D_
_x000D_
 No interface method sort(Ljava util Comparator )V in class Ljava util List  or its super classes (declaration of  java util List  appears in  system framework core libart jar) _x000D_
_x000D_
1   _x000D_
 img width  946  alt  screen shot 2018 06 20 at 10 26 23 am  src  https:  user images githubusercontent com 19314956 41643802 f39f0af8 7474 11e8 8a6a 472e5eb20df1 png  _x000D_
_x000D_
2  _x000D_
 img width  663  alt  screen shot 2018 06 20 at 10 26 55 am  src  https:  user images githubusercontent com 19314956 41643809 fa71ba9c 7474 11e8 9123 51a11fc59a72 png  _x000D_
_x000D_
3  _x000D_
 img width  1027  alt  screen shot 2018 06 20 at 10 27 31 am  src  https:  user images githubusercontent com 19314956 41643817 0144cc38 7475 11e8 9c21 309e6b1cb67c png  _x000D_
_x000D_
_x000D_
Here is the 4 beacons from  usableBeacons  ArrayList : _x000D_
_x000D_
1   _x000D_
 img width  409  alt  screen shot 2018 06 20 at 10 34 17 am  src  https:  user images githubusercontent com 19314956 41644053 b66f0c72 7475 11e8 8be2 48d1691d989e png  _x000D_
_x000D_
2   _x000D_
 img width  392  alt  screen shot 2018 06 20 at 10 34 36 am  src  https:  user images githubusercontent com 19314956 41644058 bb9ce106 7475 11e8 874f 220e14d3efd4 png  _x000D_
_x000D_
3  _x000D_
 img width  376  alt  screen shot 2018 06 20 at 10 34 45 am  src  https:  user images githubusercontent com 19314956 41644070 c2332c28 7475 11e8 98fe 86144a37765b png  _x000D_
_x000D_
4  _x000D_
 img width  363  alt  screen shot 2018 06 20 at 10 34 54 am  src  https:  user images githubusercontent com 19314956 41644083 ca9f20ce 7475 11e8 9f6f 36bf405d91e1 png  _x000D_
 _x000D_
_x000D_
PS: I am working with the dev branch _x000D_
  implementation  com github neXenio:BLE Indoor Positioning:dev SNAPSHOT  </t>
  </si>
  <si>
    <t>google-ExoPlayer-4396</t>
  </si>
  <si>
    <t>Demo Crashed</t>
  </si>
  <si>
    <t xml:space="preserve">_x000D_
_x000D_
    Issue description_x000D_
Demo crashed when click download button in the fifth item of HLS group_x000D_
</t>
  </si>
  <si>
    <t>abrenoch-hyperion-android-grabber-53</t>
  </si>
  <si>
    <t>changed framerate preference to string array &amp; updated reference</t>
  </si>
  <si>
    <t xml:space="preserve">It appears that the  ListPreference  preference option is only intended to hold  string array  values  Seems ridiculous but it is what it is  without it the mobile settings page crashes the app _x000D_
_x000D_
Changes are pretty straightforward   tested on mobile and tv </t>
  </si>
  <si>
    <t>lgallard-qBittorrent-Controller-164</t>
  </si>
  <si>
    <t>4.5.9 crashing when changing port</t>
  </si>
  <si>
    <t>I just updated to version 4 5 9 on the Pro copy  After upgrading  the app would periodically crash in the background and immediately crash when attempting to open the app _x000D_
_x000D_
The only way I could get it to start is to clear app data  Through trial and error I figured out I could re enter all of my normal server settings  The moment I change the port from 8080 to 8082  the app starts crashing again and I can t get back in without clearing app data _x000D_
_x000D_
I sent crash feedback through my phone already  Please let me know if you need more info _x000D_
_x000D_
qBittorrent v4 1 1 (64 Bit)_x000D_
Qt: 5 10 1_x000D_
Libtorrent: 1 1 7 0_x000D_
Boost: 1 67 0</t>
  </si>
  <si>
    <t>react-native-camera-react-native-camera-1646</t>
  </si>
  <si>
    <t>Android crash onBarCodeReadEvent</t>
  </si>
  <si>
    <t xml:space="preserve">RNCamera_x000D_
_x000D_
    Steps to reproduce_x000D_
1  have version 1 1 4 react native camera installed   on one device (Android 6 0 1 Nexus 5) the error only occurs when in production mode (code is minified) on the Android device 8 1 0 it occurs all the time _x000D_
2  launch react native camera and include the following_x000D_
_x000D_
   _x000D_
this barCodeTypes   Platform select( _x000D_
	ios:   org iso PDF417   _x000D_
	android:   PDF 417  _x000D_
 ) _x000D_
_x000D_
 RNCamera_x000D_
	ref  (cam)      this camera   cam    _x000D_
	onBarCodeRead: this  onBarCodeRead _x000D_
	barCodeTypes: this barCodeTypes _x000D_
  _x000D_
   _x000D_
3  scan pdf417 barcode (ie a drivers license)_x000D_
_x000D_
    Expected behaviour_x000D_
App should execute onBarCodeRead and not crash the app _x000D_
_x000D_
    Actual behaviour_x000D_
70  of the time onBarCodeRead gets triggered with the correct data from the pdf417 barcode but crashes with  java lang NullPointerException: Attempt to invoke virtual method  float com google zxing ResultPoint getX()  on a null object reference  once you restart the app you can see that the data had been sent to the server correctly from the onBarCodeRead method (ie onBarCodeRead logic was completed) _x000D_
_x000D_
    Environment_x000D_
    React Native version  :  0 55 4_x000D_
    React Native platform   platform version  : Android 6 0 1 and Android 8 1 0_x000D_
_x000D_
    react native camera_x000D_
1 1 4 and 1 1 5_x000D_
_x000D_
_x000D_
    ERROR Message    _x000D_
   _x000D_
 E AndroidRuntime: FATAL EXCEPTION: mqt js_x000D_
    Process:               PID: 21239_x000D_
    java lang NullPointerException: Attempt to invoke virtual method  float com google zxing ResultPoint getX()  on a null object reference_x000D_
        at org reactnative camera events BarCodeReadEvent serializeEventData(BarCodeReadEvent java:71)_x000D_
        at org reactnative camera events BarCodeReadEvent dispatch(BarCodeReadEvent java:58)_x000D_
        at com facebook react uimanager events EventDispatcher DispatchEventsRunnable run(EventDispatcher java:351)_x000D_
        at android os Handler handleCallback(Handler java:790)_x000D_
        at android os Handler dispatchMessage(Handler java:99)_x000D_
        at com facebook react bridge queue MessageQueueThreadHandler dispatchMessage(MessageQueueThreadHandler java:29)_x000D_
        at android os Looper loop(Looper java:164)_x000D_
        at com facebook react bridge queue MessageQueueThreadImpl 3 run(MessageQueueThreadImpl java:192)_x000D_
        at java lang Thread run(Thread java:764)_x000D_
06 18 11:40:18 804 916 20760   W ActivityManager:   Force finishing activity _x000D_
   </t>
  </si>
  <si>
    <t>commons-app-apps-android-commons-1635</t>
  </si>
  <si>
    <t>Handle case where user uploads image with empty title (whitespace)</t>
  </si>
  <si>
    <t xml:space="preserve">  Summary:   _x000D_
_x000D_
Try uploading an image with an empty title(only spaces) and description  App crashes on clicking next  _x000D_
_x000D_
  Add System logs:  _x000D_
_x000D_
   _x000D_
Error pid or pid not exist_x000D_
2018 06 18 19:26:50 123 1821 1821 fr free nrw commons debug E SpannableStringBuilder: SPAN EXCLUSIVE EXCLUSIVE spans cannot have a zero length_x000D_
    SPAN EXCLUSIVE EXCLUSIVE spans cannot have a zero length_x000D_
2018 06 18 19:26:50 545 1821 1821 fr free nrw commons debug E SpannableStringBuilder: SPAN EXCLUSIVE EXCLUSIVE spans cannot have a zero length_x000D_
    SPAN EXCLUSIVE EXCLUSIVE spans cannot have a zero length_x000D_
2018 06 18 19:26:52 982 1821 1821 fr free nrw commons debug E AndroidRuntime: FATAL EXCEPTION: main_x000D_
    Process: fr free nrw commons debug  PID: 1821_x000D_
    java lang StringIndexOutOfBoundsException: length 0  regionStart 0  regionLength 1_x000D_
        at java lang String substring(String java:1931)_x000D_
        at fr free nrw commons Utils capitalize(Utils java:79)_x000D_
        at fr free nrw commons PageTitle  init (PageTitle java:25)_x000D_
        at fr free nrw commons Utils makeThumbBaseUrl(Utils java:54)_x000D_
        at fr free nrw commons Media getImageUrl(Media java:173)_x000D_
        at fr free nrw commons contributions ContributionDao toContentValues(ContributionDao java:95)_x000D_
        at fr free nrw commons contributions ContributionDao save(ContributionDao java:62)_x000D_
        at fr free nrw commons upload UploadService queue(UploadService java:153)_x000D_
        at fr free nrw commons upload UploadController 2 onPostExecute(UploadController java:201)_x000D_
        at fr free nrw commons upload UploadController 2 onPostExecute(UploadController java:132)_x000D_
        at android os AsyncTask finish(AsyncTask java:667)_x000D_
        at android os AsyncTask  wrap1(AsyncTask java)_x000D_
        at android os AsyncTask InternalHandler handleMessage(AsyncTask java:684)_x000D_
        at android os Handler dispatchMessage(Handler java:102)_x000D_
        at android os Looper loop(Looper java:163)_x000D_
        at android app ActivityThread main(ActivityThread java:6379)_x000D_
        at java lang reflect Method invoke(Native Method)_x000D_
        at com android internal os ZygoteInit MethodAndArgsCaller run(ZygoteInit java:904)_x000D_
        at com android internal os ZygoteInit main(ZygoteInit java:794)_x000D_
   _x000D_
_x000D_
  Expected behavior:   _x000D_
_x000D_
App should gracefully handle empty values  _x000D_
_x000D_
  Observed behavior:   _x000D_
_x000D_
App crashes _x000D_
_x000D_
  Device and Android version:   _x000D_
_x000D_
What make and model device (e g   Samsung J7) did you encounter this on   What Android_x000D_
version (e g   Android 4 0 Ice Cream Sandwich or Android 6 0 Marshmallow) are you running   Is it_x000D_
 the stock version from the manufacturer or a custom ROM  _x000D_
 _x000D_
   Commons app version:   _x000D_
_x000D_
You can find this information by going to the navigation drawer in the app and tapping  About _x000D_
_x000D_
  Screen shots:   _x000D_
_x000D_
Can be created by pressing the Volume Down and Power Button at the same time on Android 4 0 and higher _x000D_
_x000D_
  Would you like to work on the issue   _x000D_
_x000D_
Please let us know whether you want to fix the issue by yourself  If not  anyone can get the issue assigned to them _x000D_
</t>
  </si>
  <si>
    <t>firebirdberlin-nightdream-145</t>
  </si>
  <si>
    <t>fix Utility.getSoundFileTitleFromUri Runtime Exception</t>
  </si>
  <si>
    <t xml:space="preserve">Choosing a malicous file as custom ring tone caused RuntimeExceptions in MediaMetadataRetriever on my htc one m7  Once such a file is choosen  the app crashes everytime the list of ring tone is displayed </t>
  </si>
  <si>
    <t>sted19-Swipe-Up-3</t>
  </si>
  <si>
    <t>Improve memory management to avoid crashes</t>
  </si>
  <si>
    <t xml:space="preserve">Swiping to the left and immediately to the right causes the app to crashes on some phone (probably because of image resolutions)_x000D_
  photo 2018 06 16 15 17 24 (https:  user images githubusercontent com 36999173 41498890 6e439454 7178 11e8 8161 4fe888e552dd jpg)_x000D_
</t>
  </si>
  <si>
    <t>fossasia-pslab-android-1059</t>
  </si>
  <si>
    <t>Lux meter crashes when closing it</t>
  </si>
  <si>
    <t xml:space="preserve">  Actual Behaviour  _x000D_
_x000D_
When using Lux meter and pressing back  it crashes_x000D_
_x000D_
  Expected Behaviour  _x000D_
_x000D_
Application should open instruments page when pressed back from Lux meter instead of crashing_x000D_
_x000D_
  Steps to reproduce it  _x000D_
_x000D_
1  Open app_x000D_
2  Go to  Lux Meter _x000D_
3  Go to  Configure  tab_x000D_
4  Change  High Limit  text box value_x000D_
5  Click back or move to other tab and observe app is crashing_x000D_
_x000D_
  LogCat for the issue  _x000D_
_x000D_
   _x000D_
FATAL EXCEPTION: main_x000D_
Process: org fossasia pslab  PID: 31407_x000D_
java lang RuntimeException: Unable to destroy activity  org fossasia pslab org fossasia pslab activity LuxMeterActivity : java lang NullPointerException: Attempt to invoke virtual method  android text Editable android widget EditText getText()  on a null object reference_x000D_
at android app ActivityThread performDestroyActivity(ActivityThread java:3769)_x000D_
at android app ActivityThread handleDestroyActivity(ActivityThread java:3787)_x000D_
at android app ActivityThread access 1400(ActivityThread java:149)_x000D_
at android app ActivityThread H handleMessage(ActivityThread java:1378)_x000D_
at android os Handler dispatchMessage(Handler java:102)_x000D_
at android os Looper loop(Looper java:211)_x000D_
at android app ActivityThread main(ActivityThread java:5321)_x000D_
at java lang reflect Method invoke(Native Method)_x000D_
at java lang reflect Method invoke(Method java:372)_x000D_
at com android internal os ZygoteInit MethodAndArgsCaller run(ZygoteInit java:1016)_x000D_
at com android internal os ZygoteInit main(ZygoteInit java:811)_x000D_
Caused by: java lang NullPointerException: Attempt to invoke virtual method  android text Editable android widget EditText getText()  on a null object reference_x000D_
at org fossasia pslab fragment LuxMeterFragmentConfig 4 onFocusChange(LuxMeterFragmentConfig java:131)_x000D_
at android view View onFocusChanged(View java:5258)_x000D_
at android widget TextView onFocusChanged(TextView java:7940)_x000D_
at android view View clearFocusInternal(View java:5141)_x000D_
at android view View unFocus(View java:5174)_x000D_
at android view ViewGroup unFocus(ViewGroup java:963)_x000D_
at android view ViewGroup unFocus(ViewGroup java:963)_x000D_
at android view ViewGroup unFocus(ViewGroup java:963)_x000D_
at android view ViewGroup unFocus(ViewGroup java:963)_x000D_
at android view ViewGroup unFocus(ViewGroup java:963)_x000D_
at android view ViewGroup removeViewInternal(ViewGroup java:4149)_x000D_
at android view ViewGroup removeViewInternal(ViewGroup java:4137)_x000D_
at android view ViewGroup removeView(ViewGroup java:4069)_x000D_
at android support v4 app FragmentManagerImpl moveToState(FragmentManager java:1529)_x000D_
at android support v4 app FragmentManagerImpl moveFragmentToExpectedState(FragmentManager java:1759)_x000D_
at android support v4 app FragmentManagerImpl moveToState(FragmentManager java:1827)_x000D_
at android support v4 app FragmentManagerImpl dispatchStateChange(FragmentManager java:3244)_x000D_
at android support v4 app FragmentManagerImpl dispatchDestroy(FragmentManager java:3235)_x000D_
at android support v4 app FragmentController dispatchDestroy(FragmentController java:265)_x000D_
at android support v4 app FragmentActivity onDestroy(FragmentActivity java:390)_x000D_
at android support v7 app AppCompatActivity onDestroy(AppCompatActivity java:209)_x000D_
at android app Activity performDestroy(Activity java:6112)_x000D_
at android app Instrumentation callActivityOnDestroy(Instrumentation java:1140)_x000D_
   _x000D_
_x000D_
  Screenshots of the issue  _x000D_
_x000D_
  Not available  crash screen_x000D_
_x000D_
  Would you like to work on the issue   _x000D_
_x000D_
 Vikum94 _x000D_
</t>
  </si>
  <si>
    <t>particle-iot-spark-sdk-android-50</t>
  </si>
  <si>
    <t xml:space="preserve">Cloud SDK  Async  implementation occasionally throws  RejectedExecutionException  (once ThreadPoolExecutor limit is exceeded)  This exception was also a culprit behind few crashes on Tinker app _x000D_
_x000D_
Few options put forward by  jensck:_x000D_
_x000D_
  Use our own ThreadPoolExecutor with a higher limit_x000D_
      Overload  executeAsync()  allowing developers to specify  ThreadPoolExecutor  limits _x000D_
      Add global mutable state  Async setExecutor()  _x000D_
_x000D_
Once either option is implemented following has to be considered:_x000D_
_x000D_
  Check catch  RejectedExecutionException  in all overloaded  executeAsync()  methods _x000D_
  Execute  executeAsync()  call without throwing a  ParticleCloudException  (perhaps we should return a boolean response indicating wether task was added to a queue) _x000D_
</t>
  </si>
  <si>
    <t>kollerlukas-Camera-Roll-Android-App-204</t>
  </si>
  <si>
    <t>App crashes when deleting a picture</t>
  </si>
  <si>
    <t xml:space="preserve">So the app randomly crashed when I deleted a picture  It was a RAW picture ( dng) if that matters  _x000D_
Log attached _x000D_
_x000D_
 Log 2018 06 15 15 13 31 txt (https:  github com kollerlukas Camera Roll Android App files 2106009 Log 2018 06 15 15 13 31 txt)_x000D_
_x000D_
   _x000D_
     Jun 15  2018 15:13:31     _x000D_
06 15 15:09:55 918   980  1002 I ActivityManager: START u0  act android intent action MAIN cat  android intent category LAUNCHER  flg 0x10200000 cmp us koller cameraroll  ui MainActivity (has extras)  from uid 10127_x000D_
06 15 15:09:55 961   980  7038 I ActivityManager: Start proc 29839:us koller cameraroll u0a1 for activity us koller cameraroll  ui MainActivity_x000D_
06 15 15:09:56 292   980  1042 I ActivityManager: Displayed us koller cameraroll  ui MainActivity:  339ms_x000D_
06 15 15:09:59 908   980  9728 I ActivityManager: START u0  act VIEW ALBUM cmp us koller cameraroll  ui AlbumActivity (has extras)  from uid 10001_x000D_
06 15 15:10:00 067   980  1042 I ActivityManager: Displayed us koller cameraroll  ui AlbumActivity:  127ms_x000D_
06 15 15:10:02 252 29839 29839 D BaseActivity: onDestroy() called us koller cameraroll ui AlbumActivity a04bc55_x000D_
06 15 15:10:04 815   980  1002 I ActivityManager: START u0  act VIEW ALBUM cmp us koller cameraroll  ui AlbumActivity (has extras)  from uid 10001_x000D_
06 15 15:10:04 927   980  1042 I ActivityManager: Displayed us koller cameraroll  ui AlbumActivity:  86ms_x000D_
06 15 15:10:05 016 29839 29839 I chatty  : uid 10001(us koller cameraroll) identical 2 lines_x000D_
06 15 15:10:06 000   980  7226 I ActivityManager: START u0  cmp us koller cameraroll  ui ItemActivity (has extras)  from uid 10001_x000D_
06 15 15:10:06 208   980  1042 I ActivityManager: Displayed us koller cameraroll  ui ItemActivity:  181ms_x000D_
06 15 15:10:08 361   516   516 D SurfaceFlinger: duplicate layer name: changing us koller cameraroll us koller cameraroll ui ItemActivity to us koller cameraroll us koller cameraroll ui ItemActivity 1_x000D_
06 15 15:10:09 262  1757  1757 W StatusBar: removeNotification for unknown key: 0 us koller cameraroll 6 null 10001_x000D_
06 15 15:10:09 576 29839 29895 E AndroidRuntime: Process: us koller cameraroll  PID: 29839_x000D_
06 15 15:10:09 576 29839 29895 E AndroidRuntime: 	at us koller cameraroll data b b c a(SourceFile:192)_x000D_
06 15 15:10:09 576 29839 29895 E AndroidRuntime: 	at us koller cameraroll data b b c a(SourceFile:27)_x000D_
06 15 15:10:09 576 29839 29895 E AndroidRuntime: 	at us koller cameraroll data b b c 2 run(SourceFile:68)_x000D_
06 15 15:10:09 585   980  7038 W ActivityManager:   Force finishing activity us koller cameraroll  ui MainActivity_x000D_
06 15 15:10:09 608   980  1025 I ActivityManager: Showing crash dialog for package us koller cameraroll u0_x000D_
06 15 15:10:09 650 29839 29839 D BaseActivity: onDestroy() called us koller cameraroll ui AlbumActivity 28f1d1c_x000D_
06 15 15:10:09 664 29839 29839 D BaseActivity: onDestroy() called us koller cameraroll ui MainActivity c5a6fe3_x000D_
06 15 15:10:10 112 29839 29839 D BaseActivity: onDestroy() called us koller cameraroll ui ItemActivity 243de0c_x000D_
06 15 15:10:14 299 32670 32670 I Finsky  :  2  com google android finsky activities AppCrashProxy onCreate(40): Sending feedback for crashed us koller cameraroll to com google android gms_x000D_
06 15 15:10:14 300   980 10547 I ActivityManager: Process us koller cameraroll (pid 29839) has died: cch  CEM _x000D_
     Jun 15  2018 15:13:31     _x000D_
   </t>
  </si>
  <si>
    <t>hzi-braunschweig-SORMAS-Project-638</t>
  </si>
  <si>
    <t>informant app: crash on attempt to confirm weekly report</t>
  </si>
  <si>
    <t>app requests for weekly zero report and then crashes on attempt to confirm report</t>
  </si>
  <si>
    <t>dariuszseweryn-RxAndroidBle-443</t>
  </si>
  <si>
    <t>DeadSystemException  Add `onError` handling.</t>
  </si>
  <si>
    <t xml:space="preserve">Hello I got interesting crash  report :_x000D_
  java lang IllegalStateException: Exception thrown on Scheduler Worker thread  Add  onError  handling   _x000D_
https:  developer android com reference kotlin android os DeadSystemException_x000D_
_x000D_
I inspected my code and didn t find subscricption without error handling  Can it happends from library   Thanks  _x000D_
_x000D_
    Library version_x000D_
 1 4 3 _x000D_
_x000D_
     Steps to reproduce actual result_x000D_
Don t know_x000D_
_x000D_
     Logs from the application running with setting  RxBleLog setLogLevel(RxBleLog VERBOSE) _x000D_
_x000D_
   _x000D_
java lang IllegalStateException: Exception thrown on Scheduler Worker thread  Add  onError  handling _x000D_
    at rx internal schedulers ScheduledAction run(Unknown Source)_x000D_
    at rx internal schedulers ExecutorScheduler ExecutorSchedulerWorker run(Unknown Source)_x000D_
    at java util concurrent ThreadPoolExecutor runWorker(ThreadPoolExecutor java:1133)_x000D_
    at java util concurrent ThreadPoolExecutor Worker run(ThreadPoolExecutor java:607)_x000D_
    at java lang Thread run(Thread java:762)_x000D_
Caused by: e b f: android os DeadSystemException_x000D_
    at rx internal util InternalObservableUtils ErrorNotImplementedAction call(Unknown Source)_x000D_
                                                                       call_x000D_
    at rx internal util InternalObservableUtils ErrorNotImplementedAction call(Unknown Source)_x000D_
                                                                       call_x000D_
    at rx internal util ActionSubscriber onError(Unknown Source)_x000D_
    at rx observers SafeSubscriber  onError(Unknown Source)_x000D_
    at rx observers SafeSubscriber onError(Unknown Source)_x000D_
    at rx internal operators NotificationLite next(Unknown Source)_x000D_
                                           completed_x000D_
                                           error_x000D_
                                           accept_x000D_
    at rx internal operators OperatorReplay UnboundedReplayBuffer next(Unknown Source)_x000D_
                                                               error_x000D_
                                                               replay_x000D_
    at rx internal operators OperatorReplay InnerProducer request(Unknown Source)_x000D_
                                                       index_x000D_
    at rx Subscriber add(Unknown Source)_x000D_
                  request_x000D_
                  setProducer_x000D_
    at rx Subscriber add(Unknown Source)_x000D_
                  request_x000D_
                  setProducer_x000D_
    at rx internal operators OperatorReplay 7 call(Unknown Source)_x000D_
                                           call_x000D_
    at rx internal operators OperatorReplay 7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Observable error(Unknown Source)_x000D_
                  merge_x000D_
                  merge_x000D_
                  zip_x000D_
                  buffer_x000D_
                  debounce_x000D_
                  doOnNext_x000D_
                  doOnSubscribe_x000D_
                  filter_x000D_
                  sample_x000D_
                  subscribe_x000D_
                  subscribeOn_x000D_
                  window_x000D_
                  window_x000D_
    at rx Observable just(Unknown Source)_x000D_
                  switchOnNext_x000D_
                  cacheWithInitialCapacity_x000D_
                  delay_x000D_
                  doOnTerminate_x000D_
                  flatMap_x000D_
                  subscribe_x000D_
                  timeout_x000D_
                  unsubscribeOn_x000D_
    at com polidea rxandroidble internal serialization ConnectionOperationQueueImpl queue(Unknown Source)_x000D_
                                                                                 terminate_x000D_
                                                                                 log_x000D_
                                                                                 onConnectionSubscribed_x000D_
                                                                                 access 000_x000D_
    at com polidea rxandroidble internal connection ConnectorImpl 1 3 call(Unknown Source)_x000D_
    at rx internal operators OperatorDoOnSubscribe call(Unknown Source)_x000D_
                                                call_x000D_
    at rx internal operators OperatorDoOnSubscribe call(Unknown Source)_x000D_
                                                call_x000D_
    at rx internal operators OnSubscribeLift call(Unknown Source)_x000D_
                                          call_x000D_
    at rx internal operators OnSubscribeLift call(Unknown Source)_x000D_
                                          call_x000D_
    at rx internal operators OnSubscribeLift call(Unknown Source)_x000D_
                                          call_x000D_
    at rx internal operators OnSubscribeLift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OperatorSubscribeOn SubscribeOnSubscriber onError(Unknown Source)_x000D_
                                                                    call_x000D_
                                                                    setProducer_x000D_
        5 more_x000D_
Caused by: java lang RuntimeException: android os DeadSystemException_x000D_
    at android app ContextImpl registerReceiverInternal(ContextImpl java:1369)_x000D_
    at android app ContextImpl registerReceiver(ContextImpl java:1328)_x000D_
    at android app ContextImpl registerReceiver(ContextImpl java:1322)_x000D_
    at android content ContextWrapper registerReceiver(ContextWrapper java:625)_x000D_
    at com polidea rxandroidble RxBleAdapterStateObservable 1 call(Unknown Source)_x000D_
                                                           call_x000D_
    at com polidea rxandroidble RxBleAdapterStateObservable 1 call(Unknown Source)_x000D_
                                                           call_x000D_
    at rx internal operators OnSubscribeCreate call(Unknown Source)_x000D_
                                            call_x000D_
    at rx internal operators OnSubscribeCreate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OnSubscribeMap call(Unknown Source)_x000D_
                                         call_x000D_
    at rx internal operators OnSubscribeMap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OnSubscribeConcatMap ConcatMapSubscriber drain(Unknown Source)_x000D_
    at rx internal operators OnSubscribeConcatMap ConcatMapSubscriber onNext(Unknown Source)_x000D_
    at rx internal operators OnSubscribeFromArray FromArrayProducer slowPath(Unknown Source)_x000D_
    at rx internal operators OnSubscribeFromArray FromArrayProducer request(Unknown Source)_x000D_
                                                                 fastPath_x000D_
    at rx Subscriber add(Unknown Source)_x000D_
                  request_x000D_
                  setProducer_x000D_
    at rx internal operators OnSubscribeFromArray call(Unknown Source)_x000D_
                                               call_x000D_
    at rx internal operators OnSubscribeFromArray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OnSubscribeConcatMap call(Unknown Source)_x000D_
                                               call_x000D_
    at rx internal operators OnSubscribeConcatMap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OnSubscribeFilter call(Unknown Source)_x000D_
                                            call_x000D_
    at rx internal operators OnSubscribeFilter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OnSubscribeMap call(Unknown Source)_x000D_
                                         call_x000D_
    at rx internal operators OnSubscribeMap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OperatorMerge MergeSubscriber onNext(Unknown Source)_x000D_
                                                        onError_x000D_
                                                        addInner_x000D_
                                                        tryEmit_x000D_
                                                        emitScalar_x000D_
                                                        emitScalar_x000D_
    at rx internal operators OperatorMerge MergeSubscriber onNext(Unknown Source)_x000D_
    at rx internal operators OnSubscribeFromArray FromArrayProducer request(Unknown Source)_x000D_
                                                                 fastPath_x000D_
    at rx internal operators OnSubscribeFromArray FromArrayProducer request(Unknown Source)_x000D_
                                                                 fastPath_x000D_
    at rx Subscriber add(Unknown Source)_x000D_
                  request_x000D_
                  setProducer_x000D_
    at rx internal operators OnSubscribeFromArray call(Unknown Source)_x000D_
                                               call_x000D_
    at rx internal operators OnSubscribeFromArray call(Unknown Source)_x000D_
                                               call_x000D_
    at rx internal operators OnSubscribeLift call(Unknown Source)_x000D_
                                          call_x000D_
    at rx internal operators OnSubscribeLift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OperatorReplay connect(Unknown Source)_x000D_
    at rx observables ConnectableObservable refCount(Unknown Source)_x000D_
                                         autoConnect_x000D_
                                         autoConnect_x000D_
    at rx observables ConnectableObservable refCount(Unknown Source)_x000D_
                                         autoConnect_x000D_
                                         autoConnect_x000D_
    at com polidea rxandroidble internal connection DisconnectionRouter  init (Unknown Source)_x000D_
    at com polidea rxandroidble internal connection DisconnectionRouter Factory get(Unknown Source)_x000D_
                                                                             create_x000D_
    at com polidea rxandroidble internal connection DisconnectionRouter Factory get(Unknown Source)_x000D_
    at dagger internal DoubleCheck get(Unknown Source)_x000D_
    at com polidea rxandroidble internal connection RxBleGattCallback Factory get(Unknown Source)_x000D_
                                                                           create_x000D_
    at com polidea rxandroidble internal connection RxBleGattCallback Factory get(Unknown Source)_x000D_
    at dagger internal DoubleCheck get(Unknown Source)_x000D_
    at com polidea rxandroidble internal operations ConnectOperation Factory get(Unknown Source)_x000D_
                                                                          create_x000D_
    at com polidea rxandroidble internal operations ConnectOperation Factory get(Unknown Source)_x000D_
    at com polidea rxandroidble DaggerClientComponent DeviceComponentImpl ConnectionComponentImpl initialize(Unknown Source)_x000D_
                                                                                               connectOperation_x000D_
    at com polidea rxandroidble internal connection ConnectorImpl 1 call(Unknown Source)_x000D_
    at com polidea rxandroidble internal connection ConnectorImpl 1 call(Unknown Source)_x000D_
    at rx internal operators OnSubscribeDefer call(Unknown Source)_x000D_
                                           call_x000D_
    at rx internal operators OnSubscribeDefer call(Unknown Source)_x000D_
                                           call_x000D_
    at rx internal operators OnSubscribeLift call(Unknown Source)_x000D_
                                          call_x000D_
    at rx internal operators OnSubscribeLift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OnSubscribeDefer call(Unknown Source)_x000D_
                                           call_x000D_
    at rx internal operators OnSubscribeDefer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OnSubscribeMap call(Unknown Source)_x000D_
                                         call_x000D_
    at rx internal operators OnSubscribeMap call(Unknown Source)_x000D_
                                         call_x000D_
    at rx internal operators OnSubscribeLift call(Unknown Source)_x000D_
                                          call_x000D_
    at rx internal operators OnSubscribeLift call(Unknown Source)_x000D_
                                          call_x000D_
    at rx internal operators OnSubscribeLift call(Unknown Source)_x000D_
                                          call_x000D_
    at rx internal operators OnSubscribeLift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OperatorReplay connect(Unknown Source)_x000D_
    at rx internal operators OnSubscribeRefCount call(Unknown Source)_x000D_
                                              onSubscribe_x000D_
                                              doSubscribe_x000D_
                                              disconnect_x000D_
                                              call_x000D_
                                              access 000_x000D_
    at rx internal operators OnSubscribeRefCount call(Unknown Source)_x000D_
                                              onSubscribe_x000D_
                                              doSubscribe_x000D_
                                              disconnect_x000D_
                                              call_x000D_
                                              access 000_x000D_
    at rx internal operators OnSubscribeLift call(Unknown Source)_x000D_
                                          call_x000D_
    at rx internal operators OnSubscribeLift call(Unknown Source)_x000D_
                                          call_x000D_
    at rx Observable create(Unknown Source)_x000D_
                  unsafeCreate_x000D_
                  lift_x000D_
                  compose_x000D_
                  combineLatest_x000D_
                  combineLatest_x000D_
                  concat_x000D_
                  concat_x000D_
                  defer_x000D_
                  from_x000D_
                  from_x000D_
                  fromCallable_x000D_
                  interval_x000D_
                  just_x000D_
                  merge_x000D_
                  merge_x000D_
                  timer_x000D_
                  buffer_x000D_
                  collect_x000D_
                  concatMap_x000D_
                  delay_x000D_
                  doOnCompleted_x000D_
                  doOnError_x000D_
                  flatMapSingle_x000D_
                  observeOn_x000D_
                  observeOn_x000D_
                  observeOn_x000D_
                  reduce_x000D_
                  subscribe_x000D_
                  subscribe_x000D_
                  unsafeSubscribe_x000D_
                  subscribe_x000D_
                  subscribeOn_x000D_
                  timeout_x000D_
                  window_x000D_
    at rx internal operators OperatorSubscribeOn SubscribeOnSubscriber onError(Unknown Source)_x000D_
                                                                    call_x000D_
                                                                    setProducer_x000D_
    at rx android schedulers LooperScheduler ScheduledAction run(Unknown Source)_x000D_
    at android os Handler handleCallback(Handler java:751)_x000D_
    at android os Handler dispatchMessage(Handler java:95)_x000D_
    at android os Looper loop(Looper java:154)_x000D_
    at android app ActivityThread main(ActivityThread java:6692)_x000D_
    at java lang reflect Method invoke(Native Method)_x000D_
    at com android internal os ZygoteInit MethodAndArgsCaller run(ZygoteInit java:1468)_x000D_
    at com android internal os ZygoteInit main(ZygoteInit java:1358)_x000D_
Caused by: android os DeadSystemException_x000D_
        84 more_x000D_
   _x000D_
</t>
  </si>
  <si>
    <t>cristinaochner-CalculProject-5</t>
  </si>
  <si>
    <t>L'applicazione crasha se si inserisce un'espressione non corretta</t>
  </si>
  <si>
    <t xml:space="preserve">Se viene inserita un espressione non corrispondente alla notazione scelta e si preme     l applicazione crasha </t>
  </si>
  <si>
    <t>consp1racy-android-support-preference-110</t>
  </si>
  <si>
    <t>Fatal Exception: java.lang.NoSuchMethodError: android.view.View.getTextAlignment</t>
  </si>
  <si>
    <t xml:space="preserve">If  style   style Preference Material DialogPreference ListPreference SimpleMenu   is used of a  ListPreference  then it crashes on 4 0 3 and 4 0 4 devices  I think it should fallback to simple dialog on these API levels </t>
  </si>
  <si>
    <t>iamMehedi-Secured-Preference-Store-31</t>
  </si>
  <si>
    <t>App Crashed in lollipop OS version with error "java.lang.IllegalStateException: Must call init() before using the store"</t>
  </si>
  <si>
    <t xml:space="preserve">First of all thank you for sharing this awesome library  _x000D_
My app perfectly working in other OS versions  Tested on Marshmallow Nougat working fine  _x000D_
Here s the full stack trace for crash _x000D_
_x000D_
 06 13 12:20:51 745 7726 7726 my com abc app E AndroidRuntime: FATAL EXCEPTION: main_x000D_
    Process: my com abc app  PID: 7726_x000D_
    java lang RuntimeException: Unable to start activity ComponentInfo my com abc app my com abc app activities LoginActivity : java lang IllegalStateException: Must call init() before using the store_x000D_
        at android app ActivityThread performLaunchActivity(ActivityThread java:2325)_x000D_
        at android app ActivityThread handleLaunchActivity(ActivityThread java:2387)_x000D_
        at android app ActivityThread access 800(ActivityThread java:151)_x000D_
        at android app ActivityThread H handleMessage(ActivityThread java:1303)_x000D_
        at android os Handler dispatchMessage(Handler java:102)_x000D_
        at android os Looper loop(Looper java:135)_x000D_
        at android app ActivityThread main(ActivityThread java:5254)_x000D_
        at java lang reflect Method invoke(Native Method)_x000D_
        at java lang reflect Method invoke(Method java:372)_x000D_
        at com android internal os ZygoteInit MethodAndArgsCaller run(ZygoteInit java:903)_x000D_
        at com android internal os ZygoteInit main(ZygoteInit java:698)_x000D_
     Caused by: java lang IllegalStateException: Must call init() before using the store_x000D_
        at devliving online securedpreferencestore SecuredPreferenceStore getSharedInstance(SecuredPreferenceStore java:58)_x000D_
        at my com abc app activities LoginActivity initialization(LoginActivity java:93)_x000D_
        at my com abc app activities LoginActivity onCreate(LoginActivity java:84)_x000D_
        at android app Activity performCreate(Activity java:5990)_x000D_
        at android app Instrumentation callActivityOnCreate(Instrumentation java:1106)_x000D_
        at android app ActivityThread performLaunchActivity(ActivityThread java:2278)_x000D_
        at android app ActivityThread handleLaunchActivity(ActivityThread java:2387) _x000D_
        at android app ActivityThread access 800(ActivityThread java:151) _x000D_
        at android app ActivityThread H handleMessage(ActivityThread java:1303) _x000D_
        at android os Handler dispatchMessage(Handler java:102) _x000D_
        at android os Looper loop(Looper java:135) _x000D_
        at android app ActivityThread main(ActivityThread java:5254) _x000D_
        at java lang reflect Method invoke(Native Method) _x000D_
        at java lang reflect Method invoke(Method java:372) _x000D_
        at com android internal os ZygoteInit MethodAndArgsCaller run(ZygoteInit java:903) _x000D_
        at com android internal os ZygoteInit main(ZygoteInit java:698)  _x000D_
_x000D_
I have use init method in Application like bellow _x000D_
_x000D_
 public class Global extends Application  _x000D_
_x000D_
     Override_x000D_
    public void onCreate()  _x000D_
_x000D_
        Stetho initializeWithDefaults(this) _x000D_
_x000D_
        try  _x000D_
            SecuredPreferenceStore init(getApplicationContext()  new DefaultRecoveryHandler()) _x000D_
          catch (Exception e)  _x000D_
              TODO: handel get_x000D_
            e printStackTrace() _x000D_
         _x000D_
_x000D_
        super onCreate() _x000D_
     _x000D_
_x000D_
_x000D_
  _x000D_
_x000D_
_x000D_
_x000D_
</t>
  </si>
  <si>
    <t>forcedotcom-SalesforceMobileSDK-CordovaPlugin-407</t>
  </si>
  <si>
    <t>App crash on using FaceId to unlock SDK 6.1 app on iPhone X</t>
  </si>
  <si>
    <t xml:space="preserve">I have a hybrid app built using SDK 6 1 with PIN feature enabled  When the app is locked and enter pin screen is displayed user can login back using PIN or Touch Id  However there is no option to enable FaceId for iPhone X so the app crashes as user taps on  Use TouchId  button _x000D_
_x000D_
_x000D_
  simulator screen shot   iphone x   2018 06 13 at 11 31 00 (https:  user images githubusercontent com 33320222 41332908 4aa76b06 6efd 11e8 8463 6a7e7c819681 png)_x000D_
_x000D_
</t>
  </si>
  <si>
    <t>TeamNewPipe-NewPipe-1477</t>
  </si>
  <si>
    <t>App crashes when I try to load Eminem</t>
  </si>
  <si>
    <t xml:space="preserve">It sometimes works  but when I try to open the channel EminemVevo or share https:  www youtube com user EminemVEVO to newpipe  it will sometimes crash  Other channels work fine  It s really weird  can someone reproduce it _x000D_
_x000D_
   Exception_x000D_
    User Action:   requested channel_x000D_
    Request:   https:  www youtube com channel UC20vb R px4CguHzzBPhoyQ_x000D_
    Content Language:   US_x000D_
    Service:   YouTube_x000D_
    Version:   0 13 3_x000D_
    OS:   Linux Android 8 0 0   26_x000D_
_x000D_
_x000D_
 details  summary  b Crash log  b   summary  p _x000D_
_x000D_
   _x000D_
org schabi newpipe extractor exceptions ParsingException: Could not get channel id_x000D_
	at org schabi newpipe extractor services youtube YoutubeChannelExtractor getId(YoutubeChannelExtractor java:91)_x000D_
	at org schabi newpipe extractor channel ChannelInfo getInfo(ChannelInfo java:59)_x000D_
	at org schabi newpipe extractor channel ChannelInfo getInfo(ChannelInfo java:46)_x000D_
	at org schabi newpipe util ExtractorHelper lambda getChannelInfo 4 ExtractorHelper(ExtractorHelper java:117)_x000D_
	at org schabi newpipe util ExtractorHelper  Lambda 4 call(Unknown Source:4)_x000D_
	at io reactivex internal operators single SingleFromCallable subscribeActual(SingleFromCallable java:44)_x000D_
	at io reactivex Single subscribe(Single java:3096)_x000D_
	at io reactivex internal operators single SingleDoOnSuccess subscribeActual(SingleDoOnSuccess java:35)_x000D_
	at io reactivex Single subscribe(Single java:3096)_x000D_
	at io reactivex internal operators maybe MaybeFromSingle subscribeActual(MaybeFromSingle java:41)_x000D_
	at io reactivex Maybe subscribe(Maybe java:3940)_x000D_
	at io reactivex internal operators maybe MaybeConcatArray ConcatMaybeObserver drain(MaybeConcatArray java:153)_x000D_
	at io reactivex internal operators maybe MaybeConcatArray ConcatMaybeObserver request(MaybeConcatArray java:78)_x000D_
	at io reactivex internal operators flowable FlowableElementAtMaybe ElementAtSubscriber onSubscribe(FlowableElementAtMaybe java:66)_x000D_
	at io reactivex internal operators maybe MaybeConcatArray subscribeActual(MaybeConcatArray java:42)_x000D_
	at io reactivex Flowable subscribe(Flowable java:13610)_x000D_
	at io reactivex internal operators flowable FlowableElementAtMaybe subscribeActual(FlowableElementAtMaybe java:36)_x000D_
	at io reactivex Maybe subscribe(Maybe java:3940)_x000D_
	at io reactivex internal operators maybe MaybeToSingle subscribeActual(MaybeToSingle java:46)_x000D_
	at io reactivex Single subscribe(Single java:3096)_x000D_
	at io reactivex internal operators single SingleSubscribeOn SubscribeOnObserver run(SingleSubscribeOn java:89)_x000D_
	at io reactivex Scheduler DisposeTask run(Scheduler java:571)_x000D_
	at io reactivex internal schedulers ScheduledRunnable run(ScheduledRunnable java:66)_x000D_
	at io reactivex internal schedulers ScheduledRunnable call(ScheduledRunnable java:57)_x000D_
	at java util concurrent FutureTask run(FutureTask java:266)_x000D_
	at java util concurrent ScheduledThreadPoolExecutor ScheduledFutureTask run(ScheduledThreadPoolExecutor java:301)_x000D_
	at java util concurrent ThreadPoolExecutor runWorker(ThreadPoolExecutor java:1162)_x000D_
	at java util concurrent ThreadPoolExecutor Worker run(ThreadPoolExecutor java:636)_x000D_
	at java lang Thread run(Thread java:764)_x000D_
Caused by: java lang NullPointerException: Attempt to invoke virtual method  java lang String org jsoup nodes Element attr(java lang String)  on a null object reference_x000D_
	at org schabi newpipe extractor services youtube YoutubeChannelExtractor getId(YoutubeChannelExtractor java:89)_x000D_
	    28 more_x000D_
_x000D_
   _x000D_
  p   details _x000D_
 hr _x000D_
</t>
  </si>
  <si>
    <t>fossasia-pslab-android-1022</t>
  </si>
  <si>
    <t>App crashes when selected a sensor from list</t>
  </si>
  <si>
    <t xml:space="preserve">  Actual Behaviour  _x000D_
_x000D_
App crashes when selecting sensor  MPU6050    BMP1080  and others_x000D_
_x000D_
  Expected Behaviour  _x000D_
_x000D_
App should specify whether it is supported_x000D_
_x000D_
  Steps to reproduce it  _x000D_
_x000D_
Open the app   Sensor   Select sensor from list_x000D_
_x000D_
  Would you like to work on the issue   _x000D_
 harsh 2711 _x000D_
</t>
  </si>
  <si>
    <t>syncthing-syncthing-android-1133</t>
  </si>
  <si>
    <t xml:space="preserve">Syncthing crashes on startup 0.10.11 </t>
  </si>
  <si>
    <t xml:space="preserve">syncthing crashes on startup since last update from play store_x000D_
_x000D_
App Version 0 10 11_x000D_
Version in Playstore 0 14 48_x000D_
Android 7 1 2 _x000D_
LineageOS 14 1 20180606 NIGHTLY bacon_x000D_
_x000D_
Syncthing crashes on startup (also after reboot of device)_x000D_
Reproducable on my sytstem_x000D_
</t>
  </si>
  <si>
    <t>novoda-download-manager-398</t>
  </si>
  <si>
    <t>Check for the type of connected service</t>
  </si>
  <si>
    <t xml:space="preserve">    Problem_x000D_
_x000D_
When using Leakcanary in a client app  it happens that there is a crash when the Leakcanary connects  similar to what described in https:  github com square leakcanary issues 91_x000D_
_x000D_
    Solution_x000D_
_x000D_
Check for the type of connected service in the  onServiceConnected  callback </t>
  </si>
  <si>
    <t>nextcloud-android-2702</t>
  </si>
  <si>
    <t>Preferences is crashing</t>
  </si>
  <si>
    <t xml:space="preserve">On master  I cannot access preferences anylonger  this is crashing:_x000D_
https:  github com nextcloud android blob 122e2c47ab80f11bedabe4b669d24424642731e1 src main java com owncloud android ui activity Preferences java L790 L794_x000D_
_x000D_
Can someone check  if this also occurs for him </t>
  </si>
  <si>
    <t>yayaa-LocationManager-84</t>
  </si>
  <si>
    <t>Crash while app is in background</t>
  </si>
  <si>
    <t>Crashlytics (Fabric) report a crash while the application is in background:_x000D_
_x000D_
    Logs_x000D_
atal Exception: android view WindowManager BadTokenException: Unable to add window    token android os BinderProxy cb95f3 is not valid  is your activity running _x000D_
       at android view ViewRootImpl setView(ViewRootImpl java:954)_x000D_
       at android view WindowManagerGlobal addView(WindowManagerGlobal java:381)_x000D_
       at android view WindowManagerImpl addView(WindowManagerImpl java:100)_x000D_
       at android app Dialog show(Dialog java:420)_x000D_
       at com yayandroid locationmanager providers locationprovider DefaultLocationProvider askForEnableGPS(DefaultLocationProvider java:124)_x000D_
       at com yayandroid locationmanager providers locationprovider DefaultLocationProvider get(DefaultLocationProvider java:111)_x000D_
       at com yayandroid locationmanager providers locationprovider DispatcherLocationProvider continueWithDefaultProviders(DispatcherLocationProvider java:203)_x000D_
       at com yayandroid locationmanager providers locationprovider DispatcherLocationProvider runScheduledTask(DispatcherLocationProvider java:91)_x000D_
       at com yayandroid locationmanager helper continuoustask ContinuousTask run(ContinuousTask java:45)_x000D_
       at android os Handler handleCallback(Handler java:789)_x000D_
       at android os Handler dispatchMessage(Handler java:98)_x000D_
       at android os Looper loop(Looper java:164)_x000D_
       at android app ActivityThread main(ActivityThread java:6944)_x000D_
       at java lang reflect Method invoke(Method java)_x000D_
       at com android internal os Zygote MethodAndArgsCaller run(Zygote java:327)_x000D_
       at com android internal os ZygoteInit main(ZygoteInit java:1374)_x000D_
_x000D_
    Detail provided by crashlytics:_x000D_
_x000D_
This crash is usually caused by your app trying to display a dialog using a previously finished Activity as a context  For example  this can happen if an Activity triggers an AsyncTask that tries to display a dialog when it is finished  but the user navigates back from the Activity before the task is completed _x000D_
_x000D_
  Ressources:    http:  dimitar me android displaying dialogs from background threads  (http:  dimitar me android displaying dialogs from background threads )</t>
  </si>
  <si>
    <t>inaturalist-iNaturalistAndroid-531</t>
  </si>
  <si>
    <t>TransactionTooLargeException</t>
  </si>
  <si>
    <t xml:space="preserve">https:  fabric io inaturalist android apps org inaturalist android issues 56329657f5d3a7f76b2daaf1 time last seven days_x000D_
_x000D_
   _x000D_
06 08 14:47:49 004 19846 19846   I chatty: uid 10271(org inaturalist android) identical 1 line_x000D_
06 08 14:47:52 213 3288 22818   I ActivityManager: START u0  flg 0x24000000 cmp org inaturalist android  SettingsActivity  from uid 10271_x000D_
06 08 14:47:52 563 19846 19846   W FlurryAgent: Start session with context: org inaturalist android SettingsActivity 1382ad3 count:1_x000D_
06 08 14:47:52 802 3288 3319   I ActivityManager: Displayed org inaturalist android  SettingsActivity:  498ms_x000D_
06 08 14:47:53 079 19846 19846   W FlurryAgent: End session with context: org inaturalist android ObservationListActivity bf4a50b count:1_x000D_
06 08 14:47:53 116 19846 19846   E AndroidRuntime: FATAL EXCEPTION: main_x000D_
   Process: org inaturalist android  PID: 19846_x000D_
   java lang RuntimeException: android os TransactionTooLargeException: data parcel size 2272548 bytes_x000D_
       at android app ActivityThread StopInfo run(ActivityThread java:3950)_x000D_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Caused by: android os TransactionTooLargeException: data parcel size 2272548 bytes_x000D_
       at android os BinderProxy transactNative(Native Method)_x000D_
       at android os BinderProxy transact(Binder java:764)_x000D_
       at android app IActivityManager Stub Proxy activityStopped(IActivityManager java:4623)_x000D_
       at android app ActivityThread StopInfo run(ActivityThread java:3934)_x000D_
       at android os Handler handleCallback(Handler java:790) _x000D_
       at android os Handler dispatchMessage(Handler java:99) _x000D_
       at android os Looper loop(Looper java:164) _x000D_
       at android app ActivityThread main(ActivityThread java:6494) _x000D_
       at java lang reflect Method invoke(Native Method) _x000D_
       at com android internal os RuntimeInit MethodAndArgsCaller run(RuntimeInit java:438) _x000D_
       at com android internal os ZygoteInit main(ZygoteInit java:807) _x000D_
06 08 14:47:53 126 19846 19846   W FlurryAgent: End session with context: org inaturalist android SettingsActivity 1382ad3 count:0_x000D_
06 08 14:47:53 327 3288 22814   W ActivityManager:   Force finishing activity org inaturalist android  SettingsActivity_x000D_
06 08 14:47:53 339 3288 3311   I ActivityManager: Showing crash dialog for package org inaturalist android u0_x000D_
   _x000D_
_x000D_
Happening for me a lot in build 289  to the point where the app is unusable  Doesn t seem consistent  sometimes happens on obs detail  sometimes on settings  but usually after I ve viewed a few screens  Hopefully this is resolved in 290 </t>
  </si>
  <si>
    <t>neXenio-BLE-Indoor-Positioning-86</t>
  </si>
  <si>
    <t>Sample app crash when using LocationProvider instead of minor</t>
  </si>
  <si>
    <t xml:space="preserve">Hello _x000D_
if someone use the  LocationProvider  to get the location from api or based on the mac address ( and not from the minor ) the sample app will crash when pressing the chart button because he may get a negative value of minor and he cannot get a color from the materialDesignXColors array _x000D_
_x000D_
   java_x000D_
  ColorInt_x000D_
    public static int getBeaconColor(Beacon beacon   ColorUtil ColoringMode int coloringMode  int beaconIndex)  _x000D_
        int colorIndex   0 _x000D_
        switch (coloringMode)  _x000D_
            case ColorUtil COLORING MODE INSTANCES:  _x000D_
                if (beacon instanceof IBeacon)  _x000D_
                    colorIndex   ((IBeacon) beacon) getMinor() _x000D_
                  else  _x000D_
                    colorIndex   beaconIndex _x000D_
                 _x000D_
                break _x000D_
             _x000D_
   _x000D_
   </t>
  </si>
  <si>
    <t>lfuelling-lrkFM-24</t>
  </si>
  <si>
    <t>Error when trying to extract 7z archives</t>
  </si>
  <si>
    <t xml:space="preserve">  Description:  _x000D_
_x000D_
The app crashes when the user attempts to extract a 7z ( zip) archive _x000D_
_x000D_
  Steps to reproduce:  _x000D_
_x000D_
Steps to reproduce the behavior:_x000D_
1  Open the app_x000D_
2  Extract a 7z archive_x000D_
_x000D_
  Expected behavior  _x000D_
The archive should be extracted_x000D_
_x000D_
  Additional context  _x000D_
   _x000D_
org apache commons compress archivers ArchiveStreamFactory createArchiveInputStream (ArchiveStreamFactory java:383)_x000D_
org apache commons compress archivers ArchiveStreamFactory createArchiveInputStream (ArchiveStreamFactory java:328)_x000D_
io lerk lrkFM entities FMArchive calculateArchiveContents (FMArchive java:101)_x000D_
io lerk lrkFM entities FMArchive  init  (FMArchive java:46)_x000D_
io lerk lrkFM util ArchiveParentFinder invoke (ArchiveParentFinder java:45)_x000D_
io lerk lrkFM util ContextMenuUtil lambda addExtractToMenu 9 (ContextMenuUtil java:113)_x000D_
io lerk lrkFM util    Lambda ContextMenuUtil m4UcPZXDZZprwCyWShsuk7mg1bg onMenuItemClick (lambda)_x000D_
   _x000D_
</t>
  </si>
  <si>
    <t>fossasia-pslab-android-1011</t>
  </si>
  <si>
    <t>Lux Meter crashes the app when the fragment is destroyed</t>
  </si>
  <si>
    <t xml:space="preserve">  Actual Behaviour  _x000D_
_x000D_
On closing Lux meter instrument crashes the app_x000D_
_x000D_
  Expected Behaviour  _x000D_
_x000D_
The app shouldn t crash and the instruments page should open_x000D_
_x000D_
  Steps to reproduce it  _x000D_
_x000D_
Open Lux meter from Instruments section and then close it by pressing back key_x000D_
_x000D_
  LogCat for the issue  _x000D_
_x000D_
E AndroidRuntime: FATAL EXCEPTION: main_x000D_
                  Process: org fossasia pslab  PID: 14627_x000D_
                  java lang IllegalStateException: Fragment LuxMeterFragmentData 5360359  not attached to a context _x000D_
                      at android support v4 app Fragment requireContext(Fragment java:614)_x000D_
                      at android support v4 app Fragment getResources(Fragment java:678)_x000D_
                      at android support v4 app Fragment getString(Fragment java:700)_x000D_
                      at org fossasia pslab fragment LuxMeterFragmentData SensorDataFetch onSensorChanged(LuxMeterFragmentData java:182)_x000D_
                      at android hardware SystemSensorManager SensorEventQueue dispatchSensorEvent(SystemSensorManager java:865)_x000D_
                      at android os MessageQueue nativePollOnce(Native Method)_x000D_
                      at android os MessageQueue next(MessageQueue java:325)_x000D_
                      at android os Looper loop(Looper java:142)_x000D_
                      at android app ActivityThread main(ActivityThread java:6753)_x000D_
                      at java lang reflect Method invoke(Native Method)_x000D_
                      at com android internal os RuntimeInit MethodAndArgsCaller run(RuntimeInit java:482)_x000D_
                      at com android internal os ZygoteInit main(ZygoteInit java:807)_x000D_
_x000D_
  Screenshots of the issue  _x000D_
_x000D_
  20180611 060830 (https:  user images githubusercontent com 32356267 41208359 3049ea4a 6d40 11e8 8699 32b6ef52024f gif)_x000D_
_x000D_
  Would you like to work on the issue   _x000D_
_x000D_
Yes_x000D_
</t>
  </si>
  <si>
    <t>tranleduy2000-javaide-88</t>
  </si>
  <si>
    <t xml:space="preserve">I m on x86 and I compile the sample project  which looks  okay  and it makes the APK and everything  But the app crashes on my device and it doesn t seem like this should be happeneing even on x86 considering there s no weird libs or anything added  It s just the sample with an empty layout </t>
  </si>
  <si>
    <t>niclabs-adkintunmobile-androidclient-194</t>
  </si>
  <si>
    <t>FragmentActivity.java line 480</t>
  </si>
  <si>
    <t xml:space="preserve">     in android support v4 app FragmentActivity onResume
  Number of crashes: 1
  Impacted devices: 1
There s a lot more information about this crash on crashlytics com:
 https:  fabric io niclabs android apps cl niclabs adkintunmobile issues 5b1d360e6007d59fcd6ef103 utm medium service hooks github utm source issue impact (https:  fabric io niclabs android apps cl niclabs adkintunmobile issues 5b1d360e6007d59fcd6ef103 utm medium service hooks github utm source issue impact)</t>
  </si>
  <si>
    <t>TeamNewPipe-NewPipe-1467</t>
  </si>
  <si>
    <t xml:space="preserve">Background video title not showing on lockscreen and a request </t>
  </si>
  <si>
    <t xml:space="preserve">Hey Newpipe team well done implementing the media controls on the lock screen that i and others suggested not too long back _x000D_
_x000D_
There is an issue however on the lock screen media control where the title of the background video being played is not shown You may or may not already be aware of this issue but fixing this issue for the next version release would be great :) but im still very happy and grateful about the huge amount of progress your team are making on this app _x000D_
_x000D_
I also have another request Is it possible that while saving a video as a sound file that you can give the user a way to modify the song tags such as title and artist album  Also allowing to save a sound file at a higher bit rate would be good too _x000D_
_x000D_
The app can also randomly crash in the background after a while its a minor but annoying issue but i have sent the crash logs via email anyway and hopefully its fixed soon in the later versions _x000D_
_x000D_
Thanks again Newpipe development team   _x000D_
_x000D_
Edit:_x000D_
Sorry i forgot to mention this but could you also add support for time stamped YouTube links so when you open the link into newpipe the video automatically starts on the time within the link  I forgot to mention this while writing this post and did not want to create a second post_x000D_
_x000D_
Thanks again Newpipe Dev team   </t>
  </si>
  <si>
    <t>burhanrashid52-PhotoEditor-48</t>
  </si>
  <si>
    <t>Memory issue</t>
  </si>
  <si>
    <t xml:space="preserve">  screenshot 24 (https:  user images githubusercontent com 29371789 41193068 3e94032c 6c25 11e8 8701 199d3afc31f0 png)_x000D_
_x000D_
_x000D_
if i change filter multiples time without  largerHeap  true  application crashes and as u can see in screenshot that it take upto 1 2Gb no phone  it some kind of memory leak or something _x000D_
</t>
  </si>
  <si>
    <t>nextcloud-android-2695</t>
  </si>
  <si>
    <t>NullPointer when using different AccountType in another Flavor</t>
  </si>
  <si>
    <t xml:space="preserve">    Actual behaviour_x000D_
  One should be able to choose his account type free and build the app _x000D_
_x000D_
    Expected behaviour_x000D_
  App crashes when manipulating the account type _x000D_
 _x000D_
    Steps to reproduce_x000D_
1  Create new flavor_x000D_
2  Overwrite  account type  in setup xml_x000D_
3  build and run the app    Crashes with the following error message:_x000D_
_x000D_
   _x000D_
06 07 22:31:52 917 4997 4997 de mytuxedo android E AndroidRuntime: FATAL EXCEPTION: main_x000D_
    Process: de mytuxedo android  PID: 4997_x000D_
    java lang RuntimeException: Unable to instantiate activity ComponentInfo de mytuxedo android com owncloud android authentication AuthenticatorActivity : java lang NullPointerException: Attempt to invoke virtual method  android content res Resources android content Context getResources()  on a null object reference_x000D_
        at android app ActivityThread performLaunchActivity(ActivityThread java:2679)_x000D_
        at android app ActivityThread handleLaunchActivity(ActivityThread java:2856)_x000D_
        at android app ActivityThread  wrap11(Unknown Source:0)_x000D_
        at android app ActivityThread H handleMessage(ActivityThread java:1589)_x000D_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Caused by: java lang NullPointerException: Attempt to invoke virtual method  android content res Resources android content Context getResources()  on a null object reference_x000D_
        at android content ContextWrapper getResources(ContextWrapper java:89)_x000D_
        at android view ContextThemeWrapper getResourcesInternal(ContextThemeWrapper java:127)_x000D_
        at android view ContextThemeWrapper getResources(ContextThemeWrapper java:121)_x000D_
        at android support v7 app AppCompatActivity getResources(AppCompatActivity java:542)_x000D_
        at com owncloud android MainApp getAccountType(MainApp java:386)_x000D_
        at com owncloud android authentication AuthenticatorActivity  init (AuthenticatorActivity java:245)_x000D_
        at java lang Class newInstance(Native Method)_x000D_
        at android app Instrumentation newActivity(Instrumentation java:1174)_x000D_
        at android app ActivityThread performLaunchActivity(ActivityThread java:2669)_x000D_
        at android app ActivityThread handleLaunchActivity(ActivityThread java:2856) _x000D_
        at android app ActivityThread  wrap11(Unknown Source:0) _x000D_
        at android app ActivityThread H handleMessage(ActivityThread java:1589) _x000D_
        at android os Handler dispatchMessage(Handler java:106) _x000D_
        at android os Looper loop(Looper java:164) _x000D_
        at android app ActivityThread main(ActivityThread java:6494) _x000D_
        at java lang reflect Method invoke(Native Method) _x000D_
        at com android internal os RuntimeInit MethodAndArgsCaller run(RuntimeInit java:438) _x000D_
        at com android internal os ZygoteInit main(ZygoteInit java:807) _x000D_
06 07 22:32:02 973 4997 5092 de mytuxedo android E Surface: queueBuffer: error queuing buffer to SurfaceTexture   19_x000D_
06 07 22:32:02 974 4997 5092 de mytuxedo android E EGL emulation: tid 5092: swapBuffers(550): error 0x300d (EGL BAD SURFACE)_x000D_
   _x000D_
_x000D_
_x000D_
    Environment data_x000D_
Android version: 8 1_x000D_
_x000D_
Device model: emulated_x000D_
_x000D_
Stock or customized system: stock_x000D_
_x000D_
Nextcloud app version: master branch at bc374c8741b8edcdc1da67be38a6c09090303e06_x000D_
_x000D_
I am sure  it did not happen with the master branch from 10 April 2018 _x000D_
_x000D_
Hope it helps you </t>
  </si>
  <si>
    <t>commons-app-apps-android-commons-1600</t>
  </si>
  <si>
    <t>Notifications Activity crashes</t>
  </si>
  <si>
    <t xml:space="preserve">_x000D_
  Summary:   _x000D_
_x000D_
Notifications activity crashes _x000D_
_x000D_
  Steps to reproduce:   _x000D_
_x000D_
Just opening activity_x000D_
_x000D_
  Add System logs:  _x000D_
_x000D_
   _x000D_
FATAL EXCEPTION: main_x000D_
                                                 Process: fr free nrw commons  PID: 7654_x000D_
                                                 java util regex PatternSyntaxException: Unrecognized backslash escape sequence in pattern near index 4:_x000D_
                                                 (  h ) ( h  )_x000D_
                                                      _x000D_
                                                     at java util regex Pattern compileImpl(Native Method)_x000D_
                                                     at java util regex Pattern compile(Pattern java:411)_x000D_
                                                     at java util regex Pattern  init (Pattern java:394)_x000D_
                                                     at java util regex Pattern compile(Pattern java:381)_x000D_
                                                     at java lang String replaceAll(String java:1785)_x000D_
                                                     at fr free nrw commons notification NotificationRenderer setTitle(NotificationRenderer java:73)_x000D_
                                                     at fr free nrw commons notification NotificationRenderer render(NotificationRenderer java:62)_x000D_
                                                     at com pedrogomez renderers RVRendererAdapter onBindViewHolder(RVRendererAdapter java:121)_x000D_
                                                     at com pedrogomez renderers RVRendererAdapter onBindViewHolder(RVRendererAdapter java:41)_x000D_
                                                     at android support v7 widget RecyclerView Adapter onBindViewHolder(RecyclerView java:6673)_x000D_
   _x000D_
_x000D_
  Device and Android version:   _x000D_
Android 4 2 2_x000D_
 _x000D_
   Commons app version:   _x000D_
_x000D_
master   productionRelease built variant_x000D_
</t>
  </si>
  <si>
    <t>react-native-camera-react-native-camera-1617</t>
  </si>
  <si>
    <t>[ANDROID] - does not explicitly set microphone permissions = application crash</t>
  </si>
  <si>
    <t xml:space="preserve">We are seeing devices crash because microphone permissions are not enabled even after allowing camera permissions before starting recording  I can verify that the application is not implementing microphone permissions  _x000D_
_x000D_
immediately after install_x000D_
  screenshot 20180607 102437 (https:  user images githubusercontent com 1483397 41116737 ff4aa07c 6a3f 11e8 96c8 10e28003ba80 png)_x000D_
_x000D_
immediately after accepting camera permission_x000D_
  screenshot 20180607 102721 (https:  user images githubusercontent com 1483397 41116743 0214ec40 6a40 11e8 9a90 655984522371 png)_x000D_
_x000D_
This crash only happens when we start recording_x000D_
_x000D_
Our manifest requests the following:_x000D_
   _x000D_
 uses permission android:name  android permission INTERNET    _x000D_
   uses permission android:name  android permission SYSTEM ALERT WINDOW   _x000D_
   uses permission android:name  android permission CAMERA    _x000D_
   uses permission android:name  android permission RECORD AUDIO   _x000D_
   uses permission android:name  android permission READ EXTERNAL STORAGE    _x000D_
   uses permission android:name  android permission WRITE EXTERNAL STORAGE    _x000D_
   uses permission android:name  android permission READ PROFILE    _x000D_
   uses permission android:name  android permission READ CONTACTS    _x000D_
   uses permission android:name  android permission WRITE CONTACTS    _x000D_
   _x000D_
_x000D_
from our component:_x000D_
   _x000D_
recordAVideo()  _x000D_
    if ( this camera)  _x000D_
      return _x000D_
     _x000D_
    if (this state recording     true)  _x000D_
      this setState(  recording: false    ()    this camera stopRecording()) _x000D_
      else  _x000D_
      this setState(  recording: true    ()   _x000D_
        this camera_x000D_
           recordAsync(  maxDuration: 30  )_x000D_
           then(data    this props setVideoData(data))_x000D_
           catch(console error)) _x000D_
     _x000D_
   _x000D_
   called at render()_x000D_
drawCamera()  _x000D_
    return (_x000D_
       RNCamera_x000D_
        ref  ref    (this camera   ref) _x000D_
        style  styles preview _x000D_
        type  this cameraType() _x000D_
        captureAudio_x000D_
        flashMode  RNCamera Constants FlashMode on _x000D_
        permissionDialogTitle  Permission to use camera _x000D_
        permissionDialogMessage  We need your permission to use your camera phone _x000D_
       _x000D_
         DurationCounter_x000D_
          recording  this state recording _x000D_
          onTimeout  ()    this setState(  recording: false  ) _x000D_
          _x000D_
         CameraButtonRow_x000D_
          savePicture  this savePicture _x000D_
          takePicture  this recordAVideo _x000D_
          recording  this state recording _x000D_
          cameraSelector  this cameraSelector _x000D_
          cameraType  this state cameraType _x000D_
          onPlayback  this playback _x000D_
          videoData  this props video videoData     this state recording _x000D_
          _x000D_
        RNCamera _x000D_
    ) _x000D_
   _x000D_
   _x000D_
error_x000D_
   _x000D_
Exception has occurred: Error_x000D_
Error: recordAsync: Expected a Camera component_x000D_
    at createErrorFromErrorData ( Users ericmcconkie Documents work BirthdayBox Dev birthdaybox rn node modules react native Libraries BatchedBridge NativeModules js:121:33)_x000D_
    at  Users ericmcconkie Documents work BirthdayBox Dev birthdaybox rn node modules react native Libraries BatchedBridge NativeModules js:78:33_x000D_
    at MessageQueue   invokeCallback ( Users ericmcconkie Documents work BirthdayBox Dev birthdaybox rn node modules react native Libraries BatchedBridge MessageQueue js:398:5)_x000D_
    at  Users ericmcconkie Documents work BirthdayBox Dev birthdaybox rn node modules react native Libraries BatchedBridge MessageQueue js:137:12_x000D_
    at MessageQueue   guardSafe ( Users ericmcconkie Documents work BirthdayBox Dev birthdaybox rn node modules react native Libraries BatchedBridge MessageQueue js:314:7)_x000D_
    at MessageQueue invokeCallbackAndReturnFlushedQueue ( Users ericmcconkie Documents work BirthdayBox Dev birthdaybox rn node modules react native Libraries BatchedBridge MessageQueue js:136:10)_x000D_
    at  Users ericmcconkie Documents work BirthdayBox Dev birthdaybox rn  vscode  react debuggerWorker js:124:58_x000D_
    at process  anonymous  ( Users ericmcconkie Documents work BirthdayBox Dev birthdaybox rn  vscode  react debuggerWorker js:35:9)_x000D_
    at emitTwo (events js:106:13)_x000D_
    at process emit (events js:191:7)_x000D_
   _x000D_
_x000D_
_x000D_
_x000D_
    Which implementation are you using_x000D_
_x000D_
RNCamera_x000D_
_x000D_
    Steps to reproduce_x000D_
1  fresh install_x000D_
2  allow permissions_x000D_
3  start recording_x000D_
_x000D_
_x000D_
    Expected behaviour_x000D_
The application should start recording_x000D_
_x000D_
    Actual behaviour_x000D_
The application crashes until the user explicity allows microphone settings (Settings    Apps    AppName    Permissions    toggle on Microphone )  Then we get the expected behaviour_x000D_
_x000D_
    Environment_x000D_
    React Native version  : 0 55 2_x000D_
    React Native platform   platform version  :  Android 6 0  Android 8 1 ( have not test on 7 x)_x000D_
_x000D_
    react native camera_x000D_
  Version  :   react native camera :   1 1 2  _x000D_
_x000D_
</t>
  </si>
  <si>
    <t>Pulimet-ExoPlayer-Wrapper-2</t>
  </si>
  <si>
    <t>App Crashing on MainActivity</t>
  </si>
  <si>
    <t>I just tried to run the updated code it crashes with a strange reason _x000D_
_x000D_
_x000D_
Caused by: android view InflateException: Binary XML file line  0: Error inflating class com google android exoplayer2 ui SimpleExoPlayerView_x000D_
                                                                                            at android view LayoutInflater createView(LayoutInflater java:633)_x000D_
                                                                                            at android view LayoutInflater createViewFromTag(LayoutInflater java:743)_x000D_
                                                                                            at android view LayoutInflater rInflate(LayoutInflater java:806)_x000D_
                                                                                            at android view LayoutInflater inflate(LayoutInflater java:504)_x000D_
                                                                                            at android view LayoutInflater inflate(LayoutInflater java:414)_x000D_
                                                                                            at android view LayoutInflater inflate(LayoutInflater java:365)_x000D_
                                                                                            at android support v7 app AppCompatDelegateImplV9 setContentView(AppCompatDelegateImplV9 java:287)_x000D_
                                                                                            at android support v7 app AppCompatActivity setContentView(AppCompatActivity java:139)_x000D_
                                                                                            at net alexandroid utils exoplayerlibrary MainActivity onCreate(MainActivity java:46)_x000D_
                                                                                            at android app Activity performCreate(Activity java:6033)</t>
  </si>
  <si>
    <t>k9mail-k-9-3431</t>
  </si>
  <si>
    <t>Crash on attempt to display a message</t>
  </si>
  <si>
    <t>_x000D_
    Expected behavior_x000D_
Message should display without crashing _x000D_
_x000D_
    Actual behavior_x000D_
App crashes without displaying message _x000D_
_x000D_
    Steps to reproduce_x000D_
1   Select message from list _x000D_
2   Crash   K 9 Mail has stopped  _x000D_
3  feedback sent_x000D_
_x000D_
    Environment_x000D_
K 9 Mail version: 5 403_x000D_
_x000D_
Android version: 7 0_x000D_
_x000D_
Account type (IMAP  POP3  WebDAV Exchange): IMAP_x000D_
_x000D_
 original msg txt (https:  github com k9mail k 9 files 2078299 original msg txt)</t>
  </si>
  <si>
    <t>react-native-camera-react-native-camera-1613</t>
  </si>
  <si>
    <t>RNCamera: Front Camera shows black screen in example app on iOS</t>
  </si>
  <si>
    <t xml:space="preserve">While ttrying testing (and fixing the feature  1606) with the rn camera example application ( https:  github com react native community rncamera example)  I discovered the following problems:_x000D_
_x000D_
  Steps to reproduce:  _x000D_
_x000D_
1  Clone  rn camera example  at the current master (https:  github com react native community rncamera example commit 4f87d52fe41be0bb85eb57b7e7f1456e2f7cdc5f)_x000D_
_x000D_
   bash_x000D_
git clone https:  github com react native community rncamera example git_x000D_
cd rncamera example_x000D_
  checkout commit in which this occures (master at time of the posting)_x000D_
git checkout 4f87d52fe41be0bb85eb57b7e7f1456e2f7cdc5f_x000D_
   _x000D_
_x000D_
2  Install  react native camera  at the version before  1606 got merged_x000D_
_x000D_
   bash_x000D_
yarn add react native camera https:  github com react native community react native camera git 9cddb2a7213697663f6e53ad8c9603cd11c16754_x000D_
   _x000D_
_x000D_
3  Open xcode project and run App on device _x000D_
_x000D_
4  Use the toggle button to switch between cameras _x000D_
_x000D_
  Observation:  _x000D_
_x000D_
    The Front Camera only shows a black screen (sometimes the app crashes while switching)  _x000D_
    After the RNCamera Component shows a black screen pressing the SNAP button results in    an application crash   a thrown exception  _x000D_
_x000D_
   error_x000D_
ExceptionsManager js:73 Exception thrown while executing UI block:       AVCaptureStillImageOutput captureStillImageAsynchronouslyFromConnection:completionHandler:  Inactive invalid connection passed_x000D_
   _x000D_
_x000D_
  Investigation:  _x000D_
_x000D_
When I install the following version of react native camera (4a9322cb8b7d455fc28f7e67a15bff2fd9d7ea3e) aka the commit before the preview feature was implemented:_x000D_
_x000D_
   bash_x000D_
yarn add react native camera https:  github com react native community react native camera git 4a9322cb8b7d455fc28f7e67a15bff2fd9d7ea3e_x000D_
   _x000D_
_x000D_
The app crashes upon start (with  EXC BAD ACCESS  )_x000D_
_x000D_
Poor mans console output  :_x000D_
   _x000D_
2018 06 06 23:40:02 768087 0200 RNCameraExample 1240:505681  Instantiated  GMVFaceDetector: 0x1740917b0 _x000D_
2018 06 06 23:40:02 798836 0200 RNCameraExample 1240:505681  Instantiated  GMVFaceDetector: 0x1702817c0 _x000D_
(lldb)_x000D_
   _x000D_
_x000D_
_x000D_
After applying the following patch everything seems to be fine:_x000D_
_x000D_
   diff_x000D_
diff   git a App js b App js_x000D_
index 47b560d  8440591 100644_x000D_
    a App js_x000D_
    b App js_x000D_
    192 9  192 9    export default class CameraScreen extends React Component  _x000D_
         zoom  this state zoom _x000D_
         whiteBalance  this state whiteBalance _x000D_
         ratio  this state ratio _x000D_
         faceDetectionLandmarks  RNCamera Constants FaceDetection Landmarks all _x000D_
         onFacesDetected  this onFacesDetected _x000D_
         onFaceDetectionError  this onFaceDetectionError _x000D_
            faceDetectionLandmarks  RNCamera Constants FaceDetection Landmarks all _x000D_
            onFacesDetected  this onFacesDetected _x000D_
            onFaceDetectionError  this onFaceDetectionError _x000D_
         focusDepth  this state depth _x000D_
         permissionDialogTitle   Permission to use camera  _x000D_
         permissionDialogMessage   We need your permission to use your camera phone  _x000D_
   _x000D_
_x000D_
It seems like there a two different problems:_x000D_
_x000D_
1    The preview feature somehow breaked using the front camera  _x000D_
2    Using the face detection results in a bad access crash  _x000D_
</t>
  </si>
  <si>
    <t>project-travel-mate-Travel-Mate-65</t>
  </si>
  <si>
    <t>App crashes after clicking 'call' button</t>
  </si>
  <si>
    <t xml:space="preserve">Login to the app_x000D_
Go to Emergency contacts_x000D_
Click on any  CALL  button _x000D_
The app crashes </t>
  </si>
  <si>
    <t>WeAreFairphone-FP2-Launcher-24</t>
  </si>
  <si>
    <t>Searching for apps crashes the launcher</t>
  </si>
  <si>
    <t xml:space="preserve">When I click the :mag: symbol  the search bar expands  but the launcher crashed immediately after that 
I m using version 2 1 on Kitkat 4 4 2 
Can you reproduce this or do you need a log 
</t>
  </si>
  <si>
    <t>UglyShirtTrio-SummerSunSet-1</t>
  </si>
  <si>
    <t>Issue 0001; Branch: UnstableChanges. Title: Crashing When Pressing Enter</t>
  </si>
  <si>
    <t xml:space="preserve">Branch: UnstableChanges_x000D_
_x000D_
The app takes input in input fields from the user  but crashes when pressing enter  _x000D_
Through some code analysis  I removed errors that were being caused by XML field android:textAlignment  but the app seems to not tell us why it crashes  _x000D_
_x000D_
All members  please investigate </t>
  </si>
  <si>
    <t>forrestguice-SuntimesWidget-212</t>
  </si>
  <si>
    <t>app crash on polar regions when no rise/set events reported</t>
  </si>
  <si>
    <t xml:space="preserve">The app crashes ( NullPointerException ) when trying to schedule an update (setPartialUpdateAlarm) if the calculator implementation reports no rise set events  This is a common occurrence in polar regions  however the bug goes unnoticed because the default calculator (time4a noaa) is unaffected (masks the bug)  Using the  sunrisesunsetlib  or  ca rmen sunrisesunset  calculators with far north or south latitudes will cause the app to crash </t>
  </si>
  <si>
    <t>nextcloud-android-2688</t>
  </si>
  <si>
    <t>Fingerprint unlocking crashing app on startup</t>
  </si>
  <si>
    <t xml:space="preserve">    Actual behaviour_x000D_
App crashes  Log attached _x000D_
_x000D_
    Expected behaviour_x000D_
 Unlock the app with fingerprint_x000D_
_x000D_
    Steps to reproduce_x000D_
1  Activate fingerprint unlocking_x000D_
2  Close app_x000D_
3  Reopen app_x000D_
_x000D_
_x000D_
    Environment data_x000D_
Android version: 8 0 0_x000D_
_x000D_
Device model: SM G950F (Galaxy S7)_x000D_
_x000D_
Stock or customized system: Renovate Ice ROM (modified stock TouchWiz ROM)_x000D_
_x000D_
Nextcloud app version: 3 2 0 RC2_x000D_
_x000D_
Nextcloud server version: 13 0 2 Docker image_x000D_
_x000D_
    Logs_x000D_
     Web server error log_x000D_
Does not apply _x000D_
     Nextcloud log (data nextcloud log)_x000D_
Can t find it _x000D_
Android logcat instead_x000D_
 2018 06 06 01 09 00 txt (https:  github com nextcloud android files 2074301 2018 06 06 01 09 00 txt)</t>
  </si>
  <si>
    <t>getodk-collect-2270</t>
  </si>
  <si>
    <t>stepToOuterScreenEvent() invoked on null reference</t>
  </si>
  <si>
    <t xml:space="preserve">     Software and hardware versions _x000D_
Collect v1 15  all Android versions_x000D_
_x000D_
     Problem description_x000D_
Stack trace from Crashlytics ( link (https:  console firebase google com u 0 project api project 322300403941 crashlytics app android:org odk collect android issues 5b0d4fa96007d59fcd4a967c time last seven days sessionId 5B16CC710393000176FCE3336351F200 DNE 0 v2) requires credentials):_x000D_
_x000D_
   _x000D_
Caused by java lang NullPointerException_x000D_
Attempt to invoke virtual method  int org odk collect android logic FormController stepToOuterScreenEvent()  on a null object reference_x000D_
arrow right_x000D_
org odk collect android activities ViewFormHierarchyActivity onCreate (ViewFormHierarchyActivity java:43)_x000D_
android app Activity performCreate (Activity java:6675)_x000D_
android app Instrumentation callActivityOnCreate (Instrumentation java:1119)_x000D_
android app ActivityThread performLaunchActivity (ActivityThread java:2732)_x000D_
android app ActivityThread handleLaunchActivity (ActivityThread java:2844)_x000D_
android app ActivityThread  wrap12 (ActivityThread java)_x000D_
android app ActivityThread H handleMessage (ActivityThread java:1572)_x000D_
android os Handler dispatchMessage (Handler java:110)_x000D_
android os Looper loop (Looper java:203)_x000D_
android app ActivityThread main (ActivityThread java:6361)_x000D_
java lang reflect Method invoke (Method java)_x000D_
com android internal os ZygoteInit MethodAndArgsCaller run (ZygoteInit java:1063)_x000D_
com android internal os ZygoteInit main (ZygoteInit java:924)_x000D_
   _x000D_
_x000D_
     Steps to reproduce the problem_x000D_
_x000D_
     Expected behavior_x000D_
No crash _x000D_
_x000D_
     Other information _x000D_
Marked as high priority because it has affected relatively many users </t>
  </si>
  <si>
    <t>getodk-collect-2269</t>
  </si>
  <si>
    <t>NullPointerException in FormEntryActivity.getAbsoluteInstancePath</t>
  </si>
  <si>
    <t xml:space="preserve">     Software and hardware versions _x000D_
Collect v1 15  all Android versions_x000D_
_x000D_
     Problem description_x000D_
 getInstanceFile()  can return  null  and I believe  getFormController()  can as well  Either would result in an NPE _x000D_
_x000D_
   _x000D_
java lang NullPointerException: _x000D_
  at org odk collect android activities FormEntryActivity getAbsoluteInstancePath (FormEntryActivity java:1992)_x000D_
  at org odk collect android activities FormEntryActivity removeTempInstance (FormEntryActivity java:1976)_x000D_
  at org odk collect android activities FormEntryActivity access 1000 (FormEntryActivity java:148)_x000D_
  at org odk collect android activities FormEntryActivity 8 onItemClick (FormEntryActivity java:1942)_x000D_
  at android widget AdapterView performItemClick (AdapterView java:313)_x000D_
  at android widget AbsListView performItemClick (AbsListView java:1203)_x000D_
  at android widget AbsListView PerformClick run (AbsListView java:3197)_x000D_
  at android widget AbsListView 3 run (AbsListView java:4140)_x000D_
  at android os Handler handleCallback (Handler java:761)_x000D_
  at android os Handler dispatchMessage (Handler java:98)_x000D_
  at android os Looper loop (Looper java:156)_x000D_
  at android app ActivityThread main (ActivityThread java:6605)_x000D_
  at java lang reflect Method invoke (Native Method)_x000D_
  at com android internal os ZygoteInit MethodAndArgsCaller run (ZygoteInit java:999)_x000D_
  at com android internal os ZygoteInit main (ZygoteInit java:889)_x000D_
   _x000D_
_x000D_
     Steps to reproduce the problem_x000D_
_x000D_
     Expected behavior_x000D_
No crash _x000D_
_x000D_
     Other information _x000D_
The best approach I can think of is to wrap the rest of  removeTempInstance  in the  if (formController    null    formController getInstanceFile()    null)  check </t>
  </si>
  <si>
    <t>getodk-collect-2268</t>
  </si>
  <si>
    <t>Google auth exception can attempt to show after GoogleDriveActivity is destroyed</t>
  </si>
  <si>
    <t xml:space="preserve">     Software and hardware versions _x000D_
Collect v1 13   all Android versions_x000D_
_x000D_
     Problem description_x000D_
Stack trace from Play Store ( link (https:  play google com apps publish  account 6923365842552008664 AndroidMetricsErrorsPlace:p org odk collect android appVersion 2834 clusterName apps org odk collect android clusters 180a408f detailsSpan 7) requires credentials):_x000D_
   _x000D_
android view WindowManager BadTokenException: _x000D_
  at android view ViewRootImpl setView (ViewRootImpl java:796)_x000D_
  at android view WindowManagerGlobal addView (WindowManagerGlobal java:351)_x000D_
  at android view WindowManagerImpl addView (WindowManagerImpl java:93)_x000D_
  at android app Dialog show (Dialog java:322)_x000D_
  at org odk collect android activities GoogleDriveActivity createAlertDialog (GoogleDriveActivity java:415)_x000D_
  at org odk collect android activities GoogleDriveActivity access 600 (GoogleDriveActivity java:71)_x000D_
  at org odk collect android activities GoogleDriveActivity RetrieveDriveFileContentsAsyncTask 1 run (GoogleDriveActivity java:660)_x000D_
  at android os Handler handleCallback (Handler java:836)_x000D_
  at android os Handler dispatchMessage (Handler java:103)_x000D_
  at android os Looper loop (Looper java:203)_x000D_
  at android app ActivityThread main (ActivityThread java:6251)_x000D_
  at java lang reflect Method invoke (Native Method)_x000D_
  at com android internal os ZygoteInit MethodAndArgsCaller run (ZygoteInit java:1075)_x000D_
  at com android internal os ZygoteInit main (ZygoteInit java:936)_x000D_
   _x000D_
It looks like  RetrieveDriveFileContentsAsyncTask  can try to display an alert dialog even when  GoogleDriveActivity  has completed_x000D_
_x000D_
     Steps to reproduce the problem_x000D_
_x000D_
     Expected behavior_x000D_
No crash _x000D_
_x000D_
     Other information _x000D_
Verifying if the activity is finishing as described  here (https:  stackoverflow com a 31986885 137744) should address the crash </t>
  </si>
  <si>
    <t>andOTP-andOTP-188</t>
  </si>
  <si>
    <t>Crash at startup after app update</t>
  </si>
  <si>
    <t xml:space="preserve">     General information_x000D_
_x000D_
    App version:   0 6 0 beta1_x000D_
    App source:   F Droid 1 2 2_x000D_
    Android Version:   4 4 4_x000D_
    Custom ROM:   Lineage OS 11 20170417 UNOFFICAL_x000D_
_x000D_
     Expected result_x000D_
  What does happen instead   _x000D_
The app has been updated from 0 5 0 1 to 0 6 0 beta1 then crashed at first use after _x000D_
It seems to have an inconsistency between my data and what is expected by the new version: if the app is reset by clearing the data  the app does not crash at startup and I get the wizard _x000D_
Unfortunately if I restore my previous data from a backup  then the app crashed again at startup or I get a message for KeyStore loading failure  After switching to Password   PIN  in settings  I can t find my previous OTP _x000D_
_x000D_
     Logcat_x000D_
   _x000D_
I GeofencerStateMachine( 6387): removeGeofences: removeRequest RemoveGeofencingRequest REMOVE ALL packageName org shadowice flocke andotp _x000D_
E NfcHelper( 9071): android content pm PackageManager NameNotFoundException: org shadowice flocke andotp_x000D_
D VoicemailCleanupService(13449): Cleaning up data for package: org shadowice flocke andotp_x000D_
I GrowthService(13166): Package org shadowice flocke andotp uninstalled  Removing from storage _x000D_
D InstalledAppProviderSer( 9071): deleteAppFromDb org shadowice flocke andotp_x000D_
I LocationSettingsChecker(13166): Removing dialog suppression flag for package org shadowice flocke andotp_x000D_
I Icing   (13166): doRemovePackageData org shadowice flocke andotp_x000D_
E WorkSourceUtil(13166): Could not find package: org shadowice flocke andotp_x000D_
I Icing   (13166): doRemovePackageData org shadowice flocke andotp_x000D_
I PackageManager(  553): Running dexopt on: org shadowice flocke andotp_x000D_
D Launcher Model( 8860): shortcutWasRestored is false for org shadowice flocke andotp org shadowice flocke andotp Activities MainActivity_x000D_
I ChromeSync(13166):  Sync SyncIntentOperation  Handling the intent: Intent   act android intent action PACKAGE ADDED dat package:org shadowice flocke andotp flg 0x4000010 cmp com google android gms  chimera GmsIntentOperationService (has extras)   _x000D_
I FontsPackageChangeOp(13166): Package org shadowice flocke andotp has no metadata_x000D_
D InstalledAppProviderSer( 9071): insertAppIntoDb org shadowice flocke andotp_x000D_
I Timeline( 8860): Timeline: Activity launch request id:org shadowice flocke andotp time:5008024_x000D_
D dalvikvm(14002): Process 14002 nice name: org shadowice flocke andotp_x000D_
D ActivityThread(14002): handleBindApplication:org shadowice flocke andotp_x000D_
I dalvikvm(14002): Could not find method android app KeyguardManager createConfirmDeviceCredentialIntent  referenced from method org shadowice flocke andotp Activities MainActivity authenticate_x000D_
I dalvikvm(14002): Could not find method org shadowice flocke andotp Activities MainActivity finishAndRemoveTask  referenced from method org shadowice flocke andotp Activities MainActivity onActivityResult_x000D_
W dalvikvm(14002): VFY: unable to resolve virtual method 27361: Lorg shadowice flocke andotp Activities MainActivity  finishAndRemoveTask ()V_x000D_
I dalvikvm(14002): Could not find method android content res Configuration getLocales  referenced from method org shadowice flocke andotp Utilities Tools getSystemLocale_x000D_
E dalvikvm(14002): Could not find class  android security keystore KeyGenParameterSpec Builder   referenced from method org shadowice flocke andotp Utilities KeyStoreHelper loadOrGenerateAsymmetricKeyPair_x000D_
W dalvikvm(14002): VFY: unable to resolve new instance 354 (Landroid security keystore KeyGenParameterSpec Builder ) in Lorg shadowice flocke andotp Utilities KeyStoreHelper _x000D_
D dalvikvm(14002): DexOpt: unable to opt direct call 0x0736 at 0x29 in Lorg shadowice flocke andotp Utilities KeyStoreHelper  loadOrGenerateAsymmetricKeyPair_x000D_
I ActivityManager(  553): Displayed org shadowice flocke andotp  Activities MainActivity:  2s413ms_x000D_
I Timeline(  553): Timeline: Activity windows visible id: ActivityRecord 22042ea4 u0 org shadowice flocke andotp  Activities MainActivity t30  time:5010560_x000D_
W System err(14002): java io FileNotFoundException:  data data org shadowice flocke andotp files secrets dat: open failed: ENOENT (No such file or directory)_x000D_
W System err(14002): 	at org shadowice flocke andotp Utilities FileHelper readFileToBytes(FileHelper java:78)_x000D_
W System err(14002): 	at org shadowice flocke andotp Utilities DatabaseHelper loadDatabase(DatabaseHelper java:122)_x000D_
W System err(14002): 	at org shadowice flocke andotp View EntriesCardAdapter loadEntries(EntriesCardAdapter java:135)_x000D_
W System err(14002): 	at org shadowice flocke andotp Activities MainActivity populateAdapter(MainActivity java:185)_x000D_
W System err(14002): 	at org shadowice flocke andotp Activities MainActivity updateEncryption(MainActivity java:425)_x000D_
W System err(14002): 	at org shadowice flocke andotp Activities MainActivity access 000(MainActivity java:80)_x000D_
W System err(14002): 	at org shadowice flocke andotp Activities MainActivity 3 onClick(MainActivity java:117)_x000D_
W InputDispatcher(  553): channel  224ea924 org shadowice flocke andotp org shadowice flocke andotp Activities MainActivity (server)    Consumer closed input channel or an error occurred   events 0x9_x000D_
E InputDispatcher(  553): channel  224ea924 org shadowice flocke andotp org shadowice flocke andotp Activities MainActivity (server)    Channel is unrecoverably broken and will be disposed _x000D_
W InputDispatcher(  553): Attempted to unregister already unregistered input channel  224ea924 org shadowice flocke andotp org shadowice flocke andotp Activities MainActivity (server) _x000D_
I oandbackup(14034): restoring: andOTP_x000D_
I Timeline( 8860): Timeline: Activity launch request id:org shadowice flocke andotp time:5076842_x000D_
D dalvikvm(14218): Process 14218 nice name: org shadowice flocke andotp_x000D_
D ActivityThread(14218): handleBindApplication:org shadowice flocke andotp_x000D_
I dalvikvm(14218): Could not find method android app KeyguardManager createConfirmDeviceCredentialIntent  referenced from method org shadowice flocke andotp Activities MainActivity authenticate_x000D_
I dalvikvm(14218): Could not find method org shadowice flocke andotp Activities MainActivity finishAndRemoveTask  referenced from method org shadowice flocke andotp Activities MainActivity onActivityResult_x000D_
W dalvikvm(14218): VFY: unable to resolve virtual method 27361: Lorg shadowice flocke andotp Activities MainActivity  finishAndRemoveTask ()V_x000D_
I dalvikvm(14218): Could not find method android content res Configuration getLocales  referenced from method org shadowice flocke andotp Utilities Tools getSystemLocale_x000D_
E dalvikvm(14218): Could not find class  android security keystore KeyGenParameterSpec Builder   referenced from method org shadowice flocke andotp Utilities KeyStoreHelper loadOrGenerateAsymmetricKeyPair_x000D_
W dalvikvm(14218): VFY: unable to resolve new instance 354 (Landroid security keystore KeyGenParameterSpec Builder ) in Lorg shadowice flocke andotp Utilities KeyStoreHelper _x000D_
D dalvikvm(14218): DexOpt: unable to opt direct call 0x0736 at 0x29 in Lorg shadowice flocke andotp Utilities KeyStoreHelper  loadOrGenerateAsymmetricKeyPair_x000D_
D dalvikvm(14248): Process 14248 nice name: org shadowice flocke andotp_x000D_
D ActivityThread(14248): handleBindApplication:org shadowice flocke andotp_x000D_
I dalvikvm(14248): Could not find method android app KeyguardManager createConfirmDeviceCredentialIntent  referenced from method org shadowice flocke andotp Activities MainActivity authenticate_x000D_
I dalvikvm(14248): Could not find method org shadowice flocke andotp Activities MainActivity finishAndRemoveTask  referenced from method org shadowice flocke andotp Activities MainActivity onActivityResult_x000D_
W dalvikvm(14248): VFY: unable to resolve virtual method 27361: Lorg shadowice flocke andotp Activities MainActivity  finishAndRemoveTask ()V_x000D_
I dalvikvm(14248): Could not find method android content res Configuration getLocales  referenced from method org shadowice flocke andotp Utilities Tools getSystemLocale_x000D_
E dalvikvm(14248): Could not find class  android security keystore KeyGenParameterSpec Builder   referenced from method org shadowice flocke andotp Utilities KeyStoreHelper loadOrGenerateAsymmetricKeyPair_x000D_
W dalvikvm(14248): VFY: unable to resolve new instance 354 (Landroid security keystore KeyGenParameterSpec Builder ) in Lorg shadowice flocke andotp Utilities KeyStoreHelper _x000D_
D dalvikvm(14248): DexOpt: unable to opt direct call 0x0736 at 0x29 in Lorg shadowice flocke andotp Utilities KeyStoreHelper  loadOrGenerateAsymmetricKeyPair_x000D_
I Timeline( 8860): Timeline: Activity launch request id:org shadowice flocke andotp time:5687861_x000D_
I ActivityManager(  553): START u0  act android intent action MAIN cat  android intent category LAUNCHER  flg 0x10200000 cmp org shadowice flocke andotp  Activities MainActivity  from pid 8860_x000D_
D dalvikvm(15124): Process 15124 nice name: org shadowice flocke andotp_x000D_
I ActivityManager(  553): Start proc org shadowice flocke andotp for activity org shadowice flocke andotp  Activities MainActivity: pid 15124 uid 10182 gids  50182  1028  1015  1023  1006 _x000D_
D ActivityThread(15124): handleBindApplication:org shadowice flocke andotp_x000D_
I dalvikvm(15124): Could not find method android app KeyguardManager createConfirmDeviceCredentialIntent  referenced from method org shadowice flocke andotp Activities MainActivity authenticate_x000D_
I dalvikvm(15124): Could not find method org shadowice flocke andotp Activities MainActivity finishAndRemoveTask  referenced from method org shadowice flocke andotp Activities MainActivity onActivityResult_x000D_
W dalvikvm(15124): VFY: unable to resolve virtual method 27361: Lorg shadowice flocke andotp Activities MainActivity  finishAndRemoveTask ()V_x000D_
I dalvikvm(15124): Could not find method android content res Configuration getLocales  referenced from method org shadowice flocke andotp Utilities Tools getSystemLocale_x000D_
E dalvikvm(15124): Could not find class  android security keystore KeyGenParameterSpec Builder   referenced from method org shadowice flocke andotp Utilities KeyStoreHelper loadOrGenerateAsymmetricKeyPair_x000D_
W dalvikvm(15124): VFY: unable to resolve new instance 354 (Landroid security keystore KeyGenParameterSpec Builder ) in Lorg shadowice flocke andotp Utilities KeyStoreHelper _x000D_
D dalvikvm(15124): DexOpt: unable to opt direct call 0x0736 at 0x29 in Lorg shadowice flocke andotp Utilities KeyStoreHelper  loadOrGenerateAsymmetricKeyPair_x000D_
E AndroidRuntime(15124): Process: org shadowice flocke andotp  PID: 15124_x000D_
E AndroidRuntime(15124): java lang RuntimeException: Unable to resume activity  org shadowice flocke andotp org shadowice flocke andotp Activities MainActivity : java lang IllegalArgumentException: key length    0_x000D_
E AndroidRuntime(15124): 	at org shadowice flocke andotp Utilities SecretKeyWrapper unwrap(SecretKeyWrapper java:79)_x000D_
E AndroidRuntime(15124): 	at org shadowice flocke andotp Utilities EncryptionHelper loadOrGenerateWrappedKey(EncryptionHelper java:177)_x000D_
E AndroidRuntime(15124): 	at org shadowice flocke andotp Utilities KeyStoreHelper loadEncryptionKeyFromKeyStore(KeyStoreHelper java:113)_x000D_
E AndroidRuntime(15124): 	at org shadowice flocke andotp Activities MainActivity updateEncryption(MainActivity java:413)_x000D_
E AndroidRuntime(15124): 	at org shadowice flocke andotp Activities MainActivity onResume(MainActivity java:324)_x000D_
W ActivityManager(  553):   Force finishing activity org shadowice flocke andotp  Activities MainActivity_x000D_
I WindowManager(  553): Screenshot max retries 4 of Token 225a5860 ActivityRecord 2200ec78 u0 org shadowice flocke andotp  Activities MainActivity t36 f   appWin Window 21e46244 u0 Starting org shadowice flocke andotp  drawState 4_x000D_
W ActivityManager(  553): Activity pause timeout for ActivityRecord 2200ec78 u0 org shadowice flocke andotp  Activities MainActivity t36 f _x000D_
I ActivityManager(  553): Process org shadowice flocke andotp (pid 15124) has died _x000D_
I ActivityManager(  553): START u0  act android settings APPLICATION DETAILS SETTINGS dat package:org shadowice flocke andotp flg 0x10808000 cmp com android settings  applications InstalledAppDetails  from pid 8860_x000D_
I InstalledAppDetails(15377): Clearing user data for package : org shadowice flocke andotp_x000D_
I ActivityManager(  553): Force stopping org shadowice flocke andotp appid 10182 user 0: clear data_x000D_
I GeofencerStateMachine( 6387): removeGeofences: removeRequest RemoveGeofencingRequest REMOVE ALL packageName org shadowice flocke andotp _x000D_
I LocationSettingsChecker(14164): Removing dialog suppression flag for package org shadowice flocke andotp_x000D_
I InstalledAppDetails(15377): Cleared user data for package : org shadowice flocke andotp_x000D_
I Icing   (14164): doRemovePackageData org shadowice flocke andotp_x000D_
I ActivityManager(  553): START u0  act android intent action UNINSTALL PACKAGE dat package:org shadowice flocke andotp cmp com android packageinstaller  UninstallerActivity (has extras)  from pid 15377_x000D_
I ActivityManager(  553): Force stopping org shadowice flocke andotp appid 10182 user  1: uninstall pkg_x000D_
W PackageManager(  553): Couldn t delete native library directory  data app lib org shadowice flocke andotp_x000D_
I ActivityManager(  553): Force stopping org shadowice flocke andotp appid 10182 user 0: pkg removed_x000D_
D BackupManagerService(  553): Received broadcast Intent   act android intent action PACKAGE REMOVED dat package:org shadowice flocke andotp flg 0x4000010 (has extras)  _x000D_
I GeofencerStateMachine( 6387): removeGeofences: removeRequest RemoveGeofencingRequest REMOVE ALL packageName org shadowice flocke andotp _x000D_
E InstalledAppDetails(15377): Exception when retrieving package:org shadowice flocke andotp_x000D_
E InstalledAppDetails(15377): android content pm PackageManager NameNotFoundException: org shadowice flocke andotp_x000D_
W AppSecurityPermissions(15377): Couldn t retrieve permissions for package:org shadowice flocke andotp_x000D_
D VoicemailCleanupService(14349): Cleaning up data for package: org shadowice flocke andotp_x000D_
I GrowthService(14164): Package org shadowice flocke andotp uninstalled  Removing from storage _x000D_
I LocationSettingsChecker(14164): Removing dialog suppression flag for package org shadowice flocke andotp_x000D_
I Icing   (14164): doRemovePackageData org shadowice flocke andotp_x000D_
I AppUpdateStatusService(15677): org shadowice flocke andotp:16 is NOT pending install  probably just left over from a previous install _x000D_
I AppUpdateStatusService(15677): org shadowice flocke andotp:14 is NOT pending install  probably just left over from a previous install _x000D_
D InstalledAppProviderSer(15677): deleteAppFromDb org shadowice flocke andotp_x000D_
D InstalledAppProviderSer(15677): deleteAppFromDb org shadowice flocke andotp_x000D_
W ActivityManager(  553): No content provider found for permission revoke: file:   storage sdcard1 oandbackups org shadowice flocke andotp org shadowice flocke andotp 2 apk_x000D_
I PackageManager(  553): Verification timed out for file:   storage sdcard1 oandbackups org shadowice flocke andotp org shadowice flocke andotp 2 apk_x000D_
I PackageManager(  553): Continuing with installation of file:   storage sdcard1 oandbackups org shadowice flocke andotp org shadowice flocke andotp 2 apk_x000D_
W ActivityManager(  553): No content provider found for permission revoke: file:   storage sdcard1 oandbackups org shadowice flocke andotp org shadowice flocke andotp 2 apk_x000D_
I PackageManager(  553): Running dexopt on: org shadowice flocke andotp_x000D_
I ActivityManager(  553): Force stopping org shadowice flocke andotp appid 10185 user  1: update pkg_x000D_
D BackupManagerService(  553): Received broadcast Intent   act android intent action PACKAGE ADDED dat package:org shadowice flocke andotp flg 0x4000010 (has extras)  _x000D_
I BackupManagerService(  553): Scheduling backup for new app org shadowice flocke andotp_x000D_
D BackupManagerService(  553): Now staging backup of org shadowice flocke andotp_x000D_
D Launcher Model( 8860): shortcutWasRestored is false for org shadowice flocke andotp org shadowice flocke andotp Activities MainActivity_x000D_
I oandbackup(14034): restoring: andOTP_x000D_
I ChromeSync(14164):  Sync SyncIntentOperation  Handling the intent: Intent   act android intent action PACKAGE ADDED dat package:org shadowice flocke andotp flg 0x4000010 cmp com google android gms  chimera GmsIntentOperationService (has extras)   _x000D_
I FontsPackageChangeOp(14164): Package org shadowice flocke andotp has no metadata_x000D_
D InstalledAppProviderSer(15677): insertAppIntoDb org shadowice flocke andotp_x000D_
I Timeline( 8860): Timeline: Activity launch request id:org shadowice flocke andotp time:6023930_x000D_
I ActivityManager(  553): START u0  act android intent action MAIN cat  android intent category LAUNCHER  flg 0x10200000 cmp org shadowice flocke andotp  Activities MainActivity  from pid 8860_x000D_
D dalvikvm(16062): Process 16062 nice name: org shadowice flocke andotp_x000D_
I ActivityManager(  553): Start proc org shadowice flocke andotp for activity org shadowice flocke andotp  Activities MainActivity: pid 16062 uid 10185 gids  50185  1028  1015  1023  1006 _x000D_
D ActivityThread(16062): handleBindApplication:org shadowice flocke andotp_x000D_
I dalvikvm(16062): Could not find method android app KeyguardManager createConfirmDeviceCredentialIntent  referenced from method org shadowice flocke andotp Activities MainActivity authenticate_x000D_
I dalvikvm(16062): Could not find method org shadowice flocke andotp Activities MainActivity finishAndRemoveTask  referenced from method org shadowice flocke andotp Activities MainActivity onActivityResult_x000D_
W dalvikvm(16062): VFY: unable to resolve virtual method 30808: Lorg shadowice flocke andotp Activities MainActivity  finishAndRemoveTask ()V_x000D_
I dalvikvm(16062): Could not find method android content res Configuration getLocales  referenced from method org shadowice flocke andotp Utilities Tools getSystemLocale_x000D_
W System err(16062): 	at org shadowice flocke andotp Activities MainActivity onCreate(MainActivity java:172)_x000D_
E dalvikvm(16062): Could not find class  android app NotificationChannel   referenced from method org shadowice flocke andotp Utilities NotificationHelper createNotificationChannel_x000D_
W dalvikvm(16062): VFY: unable to resolve new instance 56 (Landroid app NotificationChannel ) in Lorg shadowice flocke andotp Utilities NotificationHelper _x000D_
D dalvikvm(16062): DexOpt: unable to opt direct call 0x016f at 0x14 in Lorg shadowice flocke andotp Utilities NotificationHelper  createNotificationChannel_x000D_
E dalvikvm(16062): Could not find class  android security keystore KeyGenParameterSpec Builder   referenced from method org shadowice flocke andotp Utilities KeyStoreHelper loadOrGenerateAsymmetricKeyPair_x000D_
W dalvikvm(16062): VFY: unable to resolve new instance 555 (Landroid security keystore KeyGenParameterSpec Builder ) in Lorg shadowice flocke andotp Utilities KeyStoreHelper _x000D_
D dalvikvm(16062): DexOpt: unable to opt direct call 0x0aa1 at 0x29 in Lorg shadowice flocke andotp Utilities KeyStoreHelper  loadOrGenerateAsymmetricKeyPair_x000D_
W System err(16062): 	at org shadowice flocke andotp Utilities SecretKeyWrapper unwrap(SecretKeyWrapper java:80)_x000D_
W System err(16062): 	at org shadowice flocke andotp Utilities EncryptionHelper loadOrGenerateWrappedKey(EncryptionHelper java:177)_x000D_
W System err(16062): 	at org shadowice flocke andotp Utilities KeyStoreHelper loadEncryptionKeyFromKeyStore(KeyStoreHelper java:113)_x000D_
W System err(16062): 	at org shadowice flocke andotp Activities MainActivity updateEncryption(MainActivity java:398)_x000D_
W System err(16062): 	at org shadowice flocke andotp Activities MainActivity onResume(MainActivity java:304)_x000D_
E AndroidRuntime(16062): Process: org shadowice flocke andotp  PID: 16062_x000D_
W ActivityManager(  553):   Force finishing activity org shadowice flocke andotp  Activities MainActivity_x000D_
I WindowManager(  553): Screenshot max retries 4 of Token 22496c0c ActivityRecord 222affec u0 org shadowice flocke andotp  Activities MainActivity t38 f   appWin Window 22424d34 u0 Starting org shadowice flocke andotp  drawState 4_x000D_
W ActivityManager(  553): Activity pause timeout for ActivityRecord 222affec u0 org shadowice flocke andotp  Activities MainActivity t38 f _x000D_
I ActivityManager(  553): Process org shadowice flocke andotp (pid 16062) has died _x000D_
I WindowState(  553): WIN DEATH: Window 2232ca0c u0 org shadowice flocke andotp org shadowice flocke andotp Activities MainActivity _x000D_
I WindowState(  553): WIN DEATH: Window 21ed0e40 u0 org shadowice flocke andotp org shadowice flocke andotp Activities MainActivity _x000D_
   </t>
  </si>
  <si>
    <t>seemoo-lab-fitness-app-21</t>
  </si>
  <si>
    <t>Repair Permission-Requesting</t>
  </si>
  <si>
    <t xml:space="preserve">The App crashes during permission requesting and needs to be restarted  _x000D_
App should ask for permissions without crashing after each request answer </t>
  </si>
  <si>
    <t>nextcloud-android-2687</t>
  </si>
  <si>
    <t>NPE Crash after fresh installation due to #2680</t>
  </si>
  <si>
    <t>Simply uninstall the client and reinstall it (from master) and it crashes right away:_x000D_
_x000D_
   _x000D_
java lang RuntimeException: Unable to instantiate activity ComponentInfo com nextcloud client com owncloud android authentication AuthenticatorActivity : java lang NullPointerException: Attempt to invoke virtual method  android content res Resources android content Context getResources()  on a null object reference_x000D_
        at android app ActivityThread performLaunchActivity(ActivityThread java:2679)_x000D_
        at android app ActivityThread handleLaunchActivity(ActivityThread java:2856)_x000D_
        at android app ActivityThread  wrap11(Unknown Source:0)_x000D_
        at android app ActivityThread H handleMessage(ActivityThread java:1589)_x000D_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Caused by: java lang NullPointerException: Attempt to invoke virtual method  android content res Resources android content Context getResources()  on a null object reference_x000D_
        at android content ContextWrapper getResources(ContextWrapper java:89)_x000D_
        at android view ContextThemeWrapper getResourcesInternal(ContextThemeWrapper java:127)_x000D_
        at android view ContextThemeWrapper getResources(ContextThemeWrapper java:121)_x000D_
        at android support v7 app AppCompatActivity getResources(AppCompatActivity java:542)_x000D_
        at com owncloud android MainApp getAccountType(MainApp java:386)_x000D_
        at com owncloud android authentication AuthenticatorActivity  init (AuthenticatorActivity java:245)_x000D_
        at java lang Class newInstance(Native Method)_x000D_
        at android app Instrumentation newActivity(Instrumentation java:1174)_x000D_
        at android app ActivityThread performLaunchActivity(ActivityThread java:2669)_x000D_
        at android app ActivityThread handleLaunchActivity(ActivityThread java:2856) _x000D_
        at android app ActivityThread  wrap11(Unknown Source:0) _x000D_
        at android app ActivityThread H handleMessage(ActivityThread java:1589) _x000D_
        at android os Handler dispatchMessage(Handler java:106) _x000D_
        at android os Looper loop(Looper java:164) _x000D_
        at android app ActivityThread main(ActivityThread java:6494) _x000D_
        at java lang reflect Method invoke(Native Method) _x000D_
        at com android internal os RuntimeInit MethodAndArgsCaller run(RuntimeInit java:440) _x000D_
        at com android internal os ZygoteInit main(ZygoteInit java:807) _x000D_
   _x000D_
_x000D_
Crashing  changes line is:_x000D_
https:  github com nextcloud android pull 2680 files diff 587dc61f19cacc80fdba456dee2cfeeaR245_x000D_
_x000D_
introduced via  2680</t>
  </si>
  <si>
    <t>commons-app-apps-android-commons-1589</t>
  </si>
  <si>
    <t>Crash after installing previous version of app</t>
  </si>
  <si>
    <t xml:space="preserve">When we add a new feature  there will always be 0 1  of people who hate the new feature so much that they switch back to the previous version of the app  I think that has happened to many of us too  and if they prefer that version well why not _x000D_
_x000D_
Problem: After switching to a previous version  any attempt to start the app is met with this crash:_x000D_
_x000D_
  screenshot 20180605 172011 (https:  user images githubusercontent com 99590 40963991 ee9ca786 68e4 11e8 8673 6cde7f529d4a png)_x000D_
_x000D_
Unknown to most users  the logcat below offers an explanation _x000D_
Rather than crashing  we should probably explain how to fix the problem ( please uninstall then reinstall )  or even remove the database (we don t store vital information in there right ) then start normally _x000D_
_x000D_
   _x000D_
06 05 17:02:38 802 2360 2360 fr free nrw commons debug E AndroidRuntime: FATAL EXCEPTION: main_x000D_
    Process: fr free nrw commons debug  PID: 2360_x000D_
    java lang RuntimeException: Unable to start activity ComponentInfo fr free nrw commons debug fr free nrw commons contributions ContributionsActivity : android database sqlite SQLiteException: Can t downgrade database from version 7 to 6_x000D_
        at android app ActivityThread performLaunchActivity(ActivityThread java:2684)_x000D_
        at android app ActivityThread handleLaunchActivity(ActivityThread java:2751)_x000D_
        at android app ActivityThread  wrap12(ActivityThread java)_x000D_
        at android app ActivityThread H handleMessage(ActivityThread java:1496)_x000D_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Caused by: android database sqlite SQLiteException: Can t downgrade database from version 7 to 6_x000D_
        at android database sqlite SQLiteOpenHelper onDowngrade(SQLiteOpenHelper java:360)_x000D_
        at android database sqlite SQLiteOpenHelper getDatabaseLocked(SQLiteOpenHelper java:254)_x000D_
        at android database sqlite SQLiteOpenHelper getReadableDatabase(SQLiteOpenHelper java:187)_x000D_
        at fr free nrw commons contributions ContributionsContentProvider query(ContributionsContentProvider java:52)_x000D_
        at android content ContentProvider query(ContentProvider java:1020)_x000D_
        at android content ContentProvider Transport query(ContentProvider java:239)_x000D_
        at android content ContentProviderClient query(ContentProviderClient java:145)_x000D_
        at android content ContentProviderClient query(ContentProviderClient java:127)_x000D_
        at fr free nrw commons contributions ContributionDao loadAllContributions(ContributionDao java:50)_x000D_
        at fr free nrw commons contributions ContributionsActivity onAuthCookieAcquired(ContributionsActivity java:116)_x000D_
        at fr free nrw commons auth AuthenticatedActivity requestAuthToken(AuthenticatedActivity java:26)_x000D_
        at fr free nrw commons contributions ContributionsActivity onCreate(ContributionsActivity java:140)_x000D_
        at android app Activity performCreate(Activity java:6684)_x000D_
        at android app Instrumentation callActivityOnCreate(Instrumentation java:1119)_x000D_
        at android app ActivityThread performLaunchActivity(ActivityThread java:2637)_x000D_
   </t>
  </si>
  <si>
    <t>balthazar-react-native-zeroconf-65</t>
  </si>
  <si>
    <t>ios app crashes while formatting TXTRecordData</t>
  </si>
  <si>
    <t xml:space="preserve">My ios app crashes while calling  zeroconf scan()   It could find the device  I think this may be the result of formatting data  so i try to debug the code I found that there would be a mistake here _x000D_
_x000D_
  image (https:  user images githubusercontent com 25079915 40956008 66e455c4 68c0 11e8 930d cc005731d81f png)_x000D_
_x000D_
Im not a ios developer  I can t find the primary cause  What should I do to solve this problem  Thanks </t>
  </si>
  <si>
    <t>geopaparazzi-geopaparazzi-509</t>
  </si>
  <si>
    <t>Saving fails if form fields are empty</t>
  </si>
  <si>
    <t xml:space="preserve">If empty form fields are present when a user attempts to save  the failed validation dialog is shown   This issue is my main issue so I will explore it in detail _x000D_
_x000D_
If in the form json code  mandatory    no  is entered  the form will fail or crash (can t remember)   I have fixed my code to avoid mandatory    no   but the presence of mandatory    no  should be harmless _x000D_
_x000D_
If fields are empty I can t save form data   As I collect ecological data  it is common for fields to be empty   For example a bird nest may be empty so the fields for documenting eggs and nestlings will not be filled   For fast moving subjects  I might want to take a photo and not record the species  as I can get that from the photo later   I have been putting a question mark in as a default value as the presence of default values allows geopaparazzi to save form data   That is a bit like putting  null  in empty fields as QGIS does   I am not sure if this causes issues   I notice that     is used elsewhere in geopaparazzi to flag empty fields   </t>
  </si>
  <si>
    <t>geopaparazzi-geopaparazzi-508</t>
  </si>
  <si>
    <t>Hitting the custom SQL query button without having a SQL statement causes a crash</t>
  </si>
  <si>
    <t xml:space="preserve">More idiot proofing   It would be good to validate the SQL statement before executing to avoid crashes   If a stupid statement is put in  the database will not return anything  so I thing this is just a case of checking if SQL   nothing </t>
  </si>
  <si>
    <t>forrestguice-SuntimesWidget-211</t>
  </si>
  <si>
    <t>lat/lon input validation fails</t>
  </si>
  <si>
    <t xml:space="preserve">The location dialog should warn disallow invalid latitude or longitude  This works correctly in most cases  but fails for fractional values at the boundaries  For example  a latitude of 91 is rejected  but 90 5 passes validation  As a result the dialog saves an invalid value which crashes the app a moment later (IllegalArgumentException) when attempting to (re)initialize the calculator </t>
  </si>
  <si>
    <t>syncthing-syncthing-android-1123</t>
  </si>
  <si>
    <t>Multiple Web GUI has come online - invalid state transitioning</t>
  </si>
  <si>
    <t xml:space="preserve">Reproducer_x000D_
Open Syncthing app_x000D_
go to settings_x000D_
enable always run syncthing on background_x000D_
put phone to wifi and put it on the charger_x000D_
stress test the UI options_x000D_
  run when charging_x000D_
  run on wifi_x000D_
_x000D_
Do this fast  slow  fast  fast with two or three fingers and hit the buttons as much as you can  The app crashes  under your fingers  _x000D_
_x000D_
  image (https:  user images githubusercontent com 16361913 40932689 78f7f482 682f 11e8 9cc6 93d4d033b641 png)_x000D_
_x000D_
It s notable here that there are two problems hidden under the hood:_x000D_
a) PollWebGuiAvailableTask has no  dismiss  or  abort  interface_x000D_
Looking at the logs and reproducing it time over time I discovered that the service goes correctly down to State DISABLED and tries to get up with State INIT   State STARTING   State ACTIVE _x000D_
If run conditions are changing to rapidly we again have bad unsynchronized runtime behaviour  The service transitions from State STARTING  State DISABLED    STATE INIT   State STARTING     _x000D_
a1) not waiting for the syncthing binary to finish its work on gracefull kill signal  This sometimes results in left behind concurrently running syncthing instances corrupting the database if syncthing takes some seconds to load up  _x000D_
a2) not discarding the PollWebGuiAvailableTask from a  queue  so we get more and more of them and as syncthing binary is fully initialized  every PollWebGuiAvailableTask  triggers the callback in RestApi reading the config  So three or more simultaneous requests and result listeners try to modify one mConfig entity   calling out the reached state ACTIVE with onApiChange() to all parts of the wrapper and whoooom    crashed  Transitioning from state ACTIVE to state ACTIVE is not considered in the existing code and never should be as it would add more complexity _x000D_
_x000D_
Also affects_x000D_
  Multiple EventProcessor run concurrently with the same timeIdx 0     7     15     and getting weird results   probably the root cause for ticket https:  github com syncthing syncthing android issues 679 (multiple instances of SyncthingService  mRestApi  EventProcessor might have been created)_x000D_
_x000D_
    Report valid for: https:  github com syncthing syncthing android commit 165c136beae31514d701791c9f654b2568338f46_x000D_
    App Version: 0 10 10 _x000D_
    Syncthing Version: v0 14 47_x000D_
    Android Version: Android 7 1 2_x000D_
</t>
  </si>
  <si>
    <t>syncthing-syncthing-android-1122</t>
  </si>
  <si>
    <t>NPE in WebGuiActivity.onWebGuiAvailable()</t>
  </si>
  <si>
    <t xml:space="preserve">Reproducer_x000D_
Setup syncthing with a large database (   200 MByte ) with many folders so it takes more time to initialize_x000D_
Open Syncthing app_x000D_
go to settings_x000D_
enable always run syncthing on background_x000D_
enable run on wifi_x000D_
enable run when charging_x000D_
get back to MainActivity_x000D_
open webGUI_x000D_
_x000D_
stress test by changing the run conditions as quickly as possible_x000D_
  wifi on off_x000D_
  lay phone on off wireless charger)_x000D_
_x000D_
SyncthingService will get the run condition change correctly and tries to catch up with them  But there are many problems in the lifecycle code and multiple calls to RestApi onWebGuiAvailable()  transitions from State Starting to State Disabled without waiting for the binary to finish (and more    )_x000D_
onWebGuiAvailable(STATE) will be issued to the webGuiActivity causing a crash accessing the config in an  intermediate invalid object state  _x000D_
_x000D_
  image (https:  user images githubusercontent com 16361913 40932410 8b39ab3c 682e 11e8 8da8 0524bb1f1984 png)_x000D_
_x000D_
    Report valid for: https:  github com syncthing syncthing android commit 165c136beae31514d701791c9f654b2568338f46_x000D_
    App Version: 0 10 10 _x000D_
    Syncthing Version: v0 14 47_x000D_
    Android Version: Android 7 1 2_x000D_
</t>
  </si>
  <si>
    <t>syncthing-syncthing-android-1121</t>
  </si>
  <si>
    <t>SettingsActivity calls out to uninitialized RestApi.getLocalDevice()</t>
  </si>
  <si>
    <t xml:space="preserve">Reproducer_x000D_
Open Syncthing app_x000D_
go to settings_x000D_
enable always run syncthing on background_x000D_
stress test the UI options_x000D_
  run when charging_x000D_
  run on wifi_x000D_
_x000D_
Do this fast  slow  fast  fast with two or three fingers and hit the buttons as much as you can  The app crashes  under your fingers  _x000D_
_x000D_
  image (https:  user images githubusercontent com 16361913 40931625 fb7821ba 682b 11e8 877e 7508066b1286 png)_x000D_
_x000D_
With more logs:_x000D_
  image (https:  user images githubusercontent com 16361913 40932602 2bdd5570 682f 11e8 96cf b7a6ccc8bc6d png)_x000D_
_x000D_
_x000D_
    Report valid for: https:  github com syncthing syncthing android commit 165c136beae31514d701791c9f654b2568338f46_x000D_
    App Version: 0 10 10 _x000D_
    Syncthing Version: v0 14 47_x000D_
    Android Version: Android 7 1 2_x000D_
</t>
  </si>
  <si>
    <t>andOTP-andOTP-186</t>
  </si>
  <si>
    <t>Fix crash on KitKat</t>
  </si>
  <si>
    <t xml:space="preserve">On KitKat devices andOTP will crash after the initial setup wizard  which happens due to a bug in  FABsMenu (https:  github com jahirfiquitiva FABsMenu) _x000D_
_x000D_
Since  FABsMenu (https:  github com jahirfiquitiva FABsMenu) has been marked as deprecated by the author and won t receive any further updates this should be easily fixed by switching to another implementation like  FloatingActionButtonSpeedDial (https:  github com leinardi FloatingActionButtonSpeedDial) </t>
  </si>
  <si>
    <t>AniTrend-anitrend-app-50</t>
  </si>
  <si>
    <t>Invalid Index Causing Crashes FeedAdapter</t>
  </si>
  <si>
    <t>Cause of crash:   Fatal Exception: java lang IndexOutOfBoundsException  
Reason: Needs investigation  in the past this was caused by the RecyclerAdapter OnItemRemoved not updating the dataset in time before the next request to render the view on the screen</t>
  </si>
  <si>
    <t>vijai1996-screenrecorder-57</t>
  </si>
  <si>
    <t>Crash on select save location</t>
  </si>
  <si>
    <t>The app crashes (gets closed immediately) when I tap the  Save location  button  I have automatic reports on 
App version: 1 8 7 F Droid
Stock Android 5 1
Screen resolution: 480x854px</t>
  </si>
  <si>
    <t>geopaparazzi-geopaparazzi-504</t>
  </si>
  <si>
    <t>geopaparazzi crashes when user selects a form then tries to go back to the forms menu with the back button</t>
  </si>
  <si>
    <t xml:space="preserve">I have been giving geopaparazzi a big workout and have a few issues to report   _x000D_
A crash occurs on Android 4 4 and on Android 7  both Samsung devices with 5 6 0  when the user opens a data entry form  then tries to go back to the forms menu without entering any info into the data entry form   You should receive a crash dump via gmail with my name on it with the stack trace </t>
  </si>
  <si>
    <t>nextcloud-android-2679</t>
  </si>
  <si>
    <t>Application Crash Upon Loading Large Folder</t>
  </si>
  <si>
    <t xml:space="preserve">    Actual behaviour_x000D_
When opening a large folder ( 1 5GB) on the Android NextCloud application on my phone  the application will load for a couple seconds  then crash  After this  subsequent attempts to access the folder result in an instant force close  This folder has 268 files  all audio files  All other folders work  including folders with more files  Removing a few files from the folder solves the issue  so I believe the issue has something to do with the amount of data stored in the folder rather than the number of files  I can view the folder just fine on desktop _x000D_
_x000D_
The folder on my NextCloud instance is Audio Unsorted_x000D_
_x000D_
    Attempted Solutions Debugging_x000D_
_x000D_
1  Cleared data and cache for application _x000D_
2  Reinstalled application _x000D_
3  Recreated folder by downloading all data from original folder and re uploading it into a new folder _x000D_
4  Tried a different phone  a Huawei Honor 5X KIW L24 (same version of NextCloud app) _x000D_
5  Tried a different NextCloud instance (same version) being run on a different server with the same folder contents _x000D_
6  Deleted roughly 50 megabytes of data from the folder  which stopped the crashing _x000D_
_x000D_
    Expected behaviour_x000D_
The folder should load normally _x000D_
 _x000D_
    Steps to reproduce_x000D_
1  Open NextCloud application_x000D_
2  Log into server_x000D_
3  Navigate to a folder with a large amount of data ( 1 5GB or more)_x000D_
_x000D_
    Environment data_x000D_
Android version: 7 0_x000D_
_x000D_
Device model: Alcatel A30 5046G_x000D_
_x000D_
Stock or customized system: Stock_x000D_
_x000D_
Nextcloud app version: 3 1 0_x000D_
_x000D_
Nextcloud server version: 13 0 2_x000D_
Web server: Apache 2 4 18 (Ubuntu)_x000D_
PHP: 7 0 30 0ubuntu0 16 04 1_x000D_
MySQL: 14 14 Distrib 5 7 22_x000D_
OpenSSL: 1 0 2g  1 Mar 2016_x000D_
Server OS: Ubuntu 16 04 LTS  Linux Kernel 2 6 32 042stab127 2_x000D_
_x000D_
    Logs_x000D_
     Web server error log_x000D_
   _x000D_
196 52 39 22   cinos  03 Jun 2018:21:57:17  0400   GET  ocs v1 php cloud users cinos format json HTTP 1 1  200 4806      Mozilla 5 0 (Android) ownCloud android 3 1 0 _x000D_
196 52 39 22   cinos  03 Jun 2018:21:57:17  0400   GET  index php avatar cinos 218 HTTP 1 1  304 3997      Mozilla 5 0 (Android) ownCloud android 3 1 0 _x000D_
196 52 39 22   cinos  03 Jun 2018:21:57:20  0400   GET  status php HTTP 1 1  200 1125      Mozilla 5 0 (Android) ownCloud android 3 1 0 _x000D_
196 52 39 22   cinos  03 Jun 2018:21:57:20  0400   GET  ocs v1 php cloud capabilities format json HTTP 1 1  200 2302      Mozilla 5 0 (Android) ownCloud android 3 1 0 _x000D_
196 52 39 22   cinos  03 Jun 2018:21:57:21  0400   GET  ocs v1 php cloud user format json HTTP 1 1  200 1067      Mozilla 5 0 (Android) ownCloud android 3 1 0 _x000D_
196 52 39 22   cinos  03 Jun 2018:21:57:21  0400   PROPFIND  remote php webdav  HTTP 1 1  207 1460      Mozilla 5 0 (Android) Nextcloud android 3 1 0 _x000D_
196 52 39 22   cinos  03 Jun 2018:21:57:21  0400   PROPFIND  remote php webdav  HTTP 1 1  207 6236      Mozilla 5 0 (Android) Nextcloud android 3 1 0 _x000D_
196 52 39 22   cinos  03 Jun 2018:21:57:21  0400   GET  ocs v2 php apps files sharing api v1 shares path  2F reshares true subfiles true HTTP 1 1  200 3305      Mozilla 5 0 (Android) ownCloud android 3 1 0 _x000D_
196 52 39 22   cinos  03 Jun 2018:21:57:22  0400   PROPFIND  remote php webdav Audio  HTTP 1 1  207 1466      Mozilla 5 0 (Android) Nextcloud android 3 1 0 _x000D_
196 52 39 22   cinos  03 Jun 2018:21:57:22  0400   PROPFIND  remote php webdav Audio  HTTP 1 1  207 6932      Mozilla 5 0 (Android) Nextcloud android 3 1 0 _x000D_
196 52 39 22   cinos  03 Jun 2018:21:57:22  0400   GET  ocs v2 php apps files sharing api v1 shares path  2FAudio 2F reshares true subfiles true HTTP 1 1  200 836      Mozilla 5 0 (Android) ownCloud android 3 1 0 _x000D_
196 52 39 25   cinos  03 Jun 2018:22:03:07  0400   GET  index php 204 HTTP 1 1  204 5130      Mozilla 5 0 (Android) ownCloud android 3 1 0 _x000D_
196 52 39 25   cinos  03 Jun 2018:22:03:07  0400   GET  index php 204 HTTP 1 1  204 5128      Mozilla 5 0 (Android) ownCloud android 3 1 0 _x000D_
196 52 39 25   cinos  03 Jun 2018:22:03:09  0400   GET  index php 204 HTTP 1 1  204 1392      Mozilla 5 0 (Android) ownCloud android 3 1 0 _x000D_
196 52 39 22   cinos  03 Jun 2018:22:13:41  0400   GET  index php 204 HTTP 1 1  204 5138      Mozilla 5 0 (Android) ownCloud android 3 1 0 _x000D_
196 52 39 22   cinos  03 Jun 2018:22:13:41  0400   GET  index php 204 HTTP 1 1  204 5128      Mozilla 5 0 (Android) ownCloud android 3 1 0 _x000D_
196 52 39 22   cinos  03 Jun 2018:22:13:41  0400   GET  index php 204 HTTP 1 1  204 5126      Mozilla 5 0 (Android) ownCloud android 3 1 0 _x000D_
196 52 39 22   cinos  03 Jun 2018:22:13:41  0400   GET  index php 204 HTTP 1 1  204 5130      Mozilla 5 0 (Android) ownCloud android 3 1 0 _x000D_
196 52 39 22   cinos  03 Jun 2018:22:13:41  0400   GET  index php 204 HTTP 1 1  204 1384      Mozilla 5 0 (Android) ownCloud android 3 1 0 _x000D_
196 52 39 22   cinos  03 Jun 2018:22:13:41  0400   GET  index php 204 HTTP 1 1  204 1392      Mozilla 5 0 (Android) ownCloud android 3 1 0 _x000D_
196 52 39 22   cinos  03 Jun 2018:22:13:41  0400   GET  index php 204 HTTP 1 1  204 1394      Mozilla 5 0 (Android) ownCloud android 3 1 0 _x000D_
196 52 39 22   cinos  03 Jun 2018:22:17:47  0400   GET  ocs v1 php cloud users cinos format json HTTP 1 1  200 1203      Mozilla 5 0 (Android) ownCloud android 3 1 0 _x000D_
196 52 39 22   cinos  03 Jun 2018:22:17:47  0400   GET  index php avatar cinos 218 HTTP 1 1  304 394      Mozilla 5 0 (Android) ownCloud android 3 1 0 _x000D_
196 52 39 22   cinos  03 Jun 2018:22:17:48  0400   GET  ocs v1 php cloud users cinos format json HTTP 1 1  200 1203      Mozilla 5 0 (Android) ownCloud android 3 1 0 _x000D_
196 52 39 22   cinos  03 Jun 2018:22:18:23  0400   GET  index php avatar cinos 218 HTTP 1 1  304 394      Mozilla 5 0 (Android) ownCloud android 3 1 0 _x000D_
196 52 39 22   cinos  03 Jun 2018:22:18:23  0400   GET  ocs v1 php cloud users cinos format json HTTP 1 1  200 1203      Mozilla 5 0 (Android) ownCloud android 3 1 0 _x000D_
196 52 39 25   cinos  03 Jun 2018:22:18:51  0400   GET  index php 204 HTTP 1 1  204 5122      Mozilla 5 0 (Android) ownCloud android 3 1 0 _x000D_
196 52 39 25   cinos  03 Jun 2018:22:18:51  0400   GET  index php 204 HTTP 1 1  204 5130      Mozilla 5 0 (Android) ownCloud android 3 1 0 _x000D_
196 52 39 25   cinos  03 Jun 2018:22:18:51  0400   GET  index php 204 HTTP 1 1  204 1386      Mozilla 5 0 (Android) ownCloud android 3 1 0 _x000D_
196 52 39 22   cinos  03 Jun 2018:22:18:58  0400   GET  ocs v1 php cloud users cinos format json HTTP 1 1  200 4806      Mozilla 5 0 (Android) ownCloud android 3 1 0 _x000D_
196 52 39 22   cinos  03 Jun 2018:22:18:58  0400   GET  index php avatar cinos 218 HTTP 1 1  304 3997      Mozilla 5 0 (Android) ownCloud android 3 1 0 _x000D_
196 52 39 22   cinos  03 Jun 2018:22:24:16  0400   GET  index php 204 HTTP 1 1  204 5122      Mozilla 5 0 (Android) ownCloud android 3 1 0 _x000D_
196 52 39 22   cinos  03 Jun 2018:22:24:16  0400   GET  index php 204 HTTP 1 1  204 1390      Mozilla 5 0 (Android) ownCloud android 3 1 0 _x000D_
196 52 39 22   cinos  03 Jun 2018:22:29:12  0400   GET  index php 204 HTTP 1 1  204 1527      Mozilla 5 0 (Android) ownCloud android 3 1 0 _x000D_
196 52 39 22   cinos  03 Jun 2018:22:32:29  0400   GET  ocs v1 php cloud users cinos format json HTTP 1 1  200 4806      Mozilla 5 0 (Android) ownCloud android 3 1 0 _x000D_
196 52 39 22   cinos  03 Jun 2018:22:32:29  0400   GET  ocs v1 php cloud users cinos format json HTTP 1 1  200 1203      Mozilla 5 0 (Android) ownCloud android 3 1 0 _x000D_
196 52 39 22   cinos  03 Jun 2018:22:32:29  0400   GET  index php avatar cinos 218 HTTP 1 1  304 3997      Mozilla 5 0 (Android) ownCloud android 3 1 0 _x000D_
196 52 39 22   cinos  03 Jun 2018:22:32:33  0400   PROPFIND  remote php webdav Audio  HTTP 1 1  207 1466      Mozilla 5 0 (Android) Nextcloud android 3 1 0 _x000D_
196 52 39 22   cinos  03 Jun 2018:22:32:34  0400   PROPFIND  remote php webdav Audio  HTTP 1 1  207 6932      Mozilla 5 0 (Android) Nextcloud android 3 1 0 _x000D_
196 52 39 22   cinos  03 Jun 2018:22:32:35  0400   GET  ocs v2 php apps files sharing api v1 shares path  2FAudio 2F reshares true subfiles true HTTP 1 1  200 836      Mozilla 5 0 (Android) ownCloud android 3 1 0 _x000D_
196 52 39 22   cinos  03 Jun 2018:22:32:42  0400   GET  index php 204 HTTP 1 1  204 5124      Mozilla 5 0 (Android) ownCloud android 3 1 0 _x000D_
196 52 39 22   cinos  03 Jun 2018:22:32:42  0400   GET  index php 204 HTTP 1 1  204 1384      Mozilla 5 0 (Android) ownCloud android 3 1 0 _x000D_
196 52 39 22   cinos  03 Jun 2018:22:32:42  0400   GET  ocs v1 php cloud users cinos format json HTTP 1 1  200 1203      Mozilla 5 0 (Android) ownCloud android 3 1 0 _x000D_
196 52 39 22   cinos  03 Jun 2018:22:32:42  0400   GET  index php avatar cinos 218 HTTP 1 1  304 394      Mozilla 5 0 (Android) ownCloud android 3 1 0 _x000D_
196 52 39 22   cinos  03 Jun 2018:22:32:42  0400   GET  ocs v1 php cloud users cinos format json HTTP 1 1  200 1066      Mozilla 5 0 (Android) ownCloud android 3 1 0 _x000D_
196 52 39 22   cinos  03 Jun 2018:22:32:43  0400   GET  index php 204 HTTP 1 1  204 1392      Mozilla 5 0 (Android) ownCloud android 3 1 0 _x000D_
196 52 39 22   cinos  03 Jun 2018:22:32:43  0400   GET  index php 204 HTTP 1 1  204 1388      Mozilla 5 0 (Android) ownCloud android 3 1 0 _x000D_
196 52 39 22   cinos  03 Jun 2018:22:32:43  0400   GET  index php 204 HTTP 1 1  204 1382      Mozilla 5 0 (Android) ownCloud android 3 1 0 _x000D_
196 52 39 22   cinos  03 Jun 2018:22:32:43  0400   GET  index php 204 HTTP 1 1  204 1396      Mozilla 5 0 (Android) ownCloud android 3 1 0 _x000D_
196 52 39 22   cinos  03 Jun 2018:22:33:29  0400   GET  ocs v1 php cloud users cinos format json HTTP 1 1  200 1203      Mozilla 5 0 (Android) ownCloud android 3 1 0 _x000D_
196 52 39 22   cinos  03 Jun 2018:22:33:29  0400   GET  index php avatar cinos 218 HTTP 1 1  304 394      Mozilla 5 0 (Android) ownCloud android 3 1 0 _x000D_
196 52 39 22   cinos  03 Jun 2018:22:33:29  0400   GET  ocs v1 php cloud users cinos format json HTTP 1 1  200 1203      Mozilla 5 0 (Android) ownCloud android 3 1 0 _x000D_
   _x000D_
_x000D_
     Nextcloud log (data nextcloud log)_x000D_
   _x000D_
2018 06 03 21:19:09_x000D_
Model : 5046G_x000D_
_x000D_
2018 06 03 21:19:09_x000D_
Brand : TCL_x000D_
_x000D_
2018 06 03 21:19:09_x000D_
Product : 5046G_x000D_
_x000D_
2018 06 03 21:19:09_x000D_
Device : MICKEY6US_x000D_
_x000D_
2018 06 03 21:19:09_x000D_
Version Codename : REL_x000D_
_x000D_
2018 06 03 21:19:09_x000D_
Version Release : 7 0_x000D_
_x000D_
2018 06 03 21:19:39_x000D_
Preferences : onPause() ending_x000D_
_x000D_
2018 06 03 21:19:39_x000D_
Preferences : onSaveInstanceState(Bundle) starting_x000D_
_x000D_
2018 06 03 21:19:39_x000D_
Preferences : onStop() ending_x000D_
_x000D_
2018 06 03 21:24:15_x000D_
OwnCloudClient  8 : Creating OwnCloudClient_x000D_
_x000D_
2018 06 03 21:24:15_x000D_
AccountUtils : Restoring cookies for cinos m cinos pw_x000D_
_x000D_
2018 06 03 21:24:15_x000D_
OwnCloudClient  8 : REQUEST GET  index php 204_x000D_
_x000D_
2018 06 03 21:24:15_x000D_
AdvancedSslSocketFactory : Creating SSL Socket with remote m cinos pw:443  local null:0  params: org apache commons httpclient params HttpConnectionParams da0bb77_x000D_
_x000D_
2018 06 03 21:24:15_x000D_
AdvancedSslSocketFactory :      with connection timeout 60000 and socket timeout 60000_x000D_
_x000D_
2018 06 03 21:24:15_x000D_
ServerNameIndicator : SSLSocket implementation: com google android gms org conscrypt Java8FileDescriptorSocket_x000D_
_x000D_
2018 06 03 21:24:15_x000D_
ServerNameIndicator : SNI done  hostname: m cinos pw_x000D_
_x000D_
2018 06 03 21:24:16_x000D_
OwnCloudClient  9 : Creating OwnCloudClient_x000D_
_x000D_
2018 06 03 21:24:16_x000D_
AccountUtils : Restoring cookies for cinos m cinos pw_x000D_
_x000D_
2018 06 03 21:24:16_x000D_
OwnCloudClient  9 : REQUEST GET  index php 204_x000D_
_x000D_
2018 06 03 21:27:48_x000D_
Preferences : onStart() starting_x000D_
_x000D_
2018 06 03 21:27:48_x000D_
Preferences : onResume() starting_x000D_
_x000D_
2018 06 03 21:28:01_x000D_
Preferences : onPause() ending_x000D_
_x000D_
2018 06 03 21:28:01_x000D_
BaseActivity : onRestart() start_x000D_
_x000D_
2018 06 03 21:28:01_x000D_
BaseActivity : onRestart() end_x000D_
_x000D_
2018 06 03 21:28:01_x000D_
ParticipateActivity : onStart() starting_x000D_
_x000D_
2018 06 03 21:28:01_x000D_
ParticipateActivity : onResume() starting_x000D_
_x000D_
2018 06 03 21:28:02_x000D_
ExternalLinks : links disabled_x000D_
_x000D_
2018 06 03 21:28:02_x000D_
Preferences : onStop() ending_x000D_
_x000D_
2018 06 03 21:28:02_x000D_
Preferences : onDestroy() ending_x000D_
_x000D_
2018 06 03 21:28:07_x000D_
DrawerActivity : Unknown drawer menu item clicked: Settings_x000D_
_x000D_
2018 06 03 21:28:07_x000D_
ParticipateActivity : onPause() ending_x000D_
_x000D_
2018 06 03 21:28:07_x000D_
Preferences : onCreate(Bundle) starting_x000D_
_x000D_
2018 06 03 21:28:07_x000D_
Preferences : onStart() starting_x000D_
_x000D_
2018 06 03 21:28:07_x000D_
Preferences : onResume() starting_x000D_
_x000D_
2018 06 03 21:28:08_x000D_
ParticipateActivity : onSaveInstanceState(Bundle) starting_x000D_
_x000D_
2018 06 03 21:28:08_x000D_
ParticipateActivity : onStop() ending_x000D_
_x000D_
2018 06 03 21:28:11_x000D_
Preferences : onPause() ending_x000D_
_x000D_
2018 06 03 21:28:12_x000D_
LogHistoryActivity : onCreate(Bundle) starting_x000D_
_x000D_
2018 06 03 21:28:12_x000D_
LogHistoryActivity : onStart() starting_x000D_
_x000D_
2018 06 03 21:28:12_x000D_
LogHistoryActivity : onResume() starting_x000D_
_x000D_
2018 06 03 21:28:13_x000D_
Preferences : onSaveInstanceState(Bundle) starting_x000D_
_x000D_
2018 06 03 21:28:13_x000D_
Preferences : onStop() ending_x000D_
_x000D_
2018 06 03 21:28:21_x000D_
LogHistoryActivity : onPause() ending_x000D_
_x000D_
2018 06 03 21:28:24_x000D_
LogHistoryActivity : onResume() starting_x000D_
_x000D_
2018 06 03 21:28:26_x000D_
LogHistoryActivity : onPause() ending_x000D_
_x000D_
2018 06 03 21:28:45_x000D_
LogHistoryActivity : onSaveInstanceState(Bundle) starting_x000D_
_x000D_
2018 06 03 21:28:45_x000D_
LogHistoryActivity : onStop() ending_x000D_
_x000D_
2018 06 03 21:29:02_x000D_
BaseActivity : onRestart() start_x000D_
_x000D_
2018 06 03 21:29:02_x000D_
BaseActivity : onRestart() end_x000D_
_x000D_
2018 06 03 21:29:02_x000D_
LogHistoryActivity : onStart() starting_x000D_
_x000D_
2018 06 03 21:29:02_x000D_
LogHistoryActivity : onResume() starting_x000D_
_x000D_
2018 06 03 21:29:12_x000D_
OwnCloudClient  10 : Creating OwnCloudClient_x000D_
_x000D_
2018 06 03 21:29:12_x000D_
AccountUtils : Restoring cookies for cinos m cinos pw_x000D_
_x000D_
2018 06 03 21:29:12_x000D_
OwnCloudClient  10 : REQUEST GET  index php 204_x000D_
_x000D_
2018 06 03 21:29:12_x000D_
AdvancedSslSocketFactory : Creating SSL Socket with remote m cinos pw:443  local null:0  params: org apache commons httpclient params HttpConnectionParams da0bb77_x000D_
_x000D_
2018 06 03 21:29:12_x000D_
AdvancedSslSocketFactory :      with connection timeout 60000 and socket timeout 60000_x000D_
_x000D_
2018 06 03 21:29:12_x000D_
ServerNameIndicator : SSLSocket implementation: com google android gms org conscrypt Java8FileDescriptorSocket_x000D_
_x000D_
2018 06 03 21:29:12_x000D_
ServerNameIndicator : SNI done  hostname: m cinos pw_x000D_
_x000D_
2018 06 03 21:32:17_x000D_
LogHistoryActivity : onPause() ending_x000D_
_x000D_
2018 06 03 21:32:17_x000D_
Preferences : onStart() starting_x000D_
_x000D_
2018 06 03 21:32:17_x000D_
Preferences : onResume() starting_x000D_
_x000D_
2018 06 03 21:32:18_x000D_
LogHistoryActivity : onStop() ending_x000D_
_x000D_
2018 06 03 21:32:18_x000D_
LogHistoryActivity : onDestroy() ending_x000D_
_x000D_
2018 06 03 21:32:23_x000D_
Preferences : onPause() ending_x000D_
_x000D_
2018 06 03 21:32:23_x000D_
BaseActivity : onRestart() start_x000D_
_x000D_
2018 06 03 21:32:23_x000D_
BaseActivity : onRestart() end_x000D_
_x000D_
2018 06 03 21:32:23_x000D_
ParticipateActivity : onStart() starting_x000D_
_x000D_
2018 06 03 21:32:23_x000D_
ParticipateActivity : onResume() starting_x000D_
_x000D_
2018 06 03 21:32:23_x000D_
ExternalLinks : links disabled_x000D_
_x000D_
2018 06 03 21:32:23_x000D_
Preferences : onStop() ending_x000D_
_x000D_
2018 06 03 21:32:23_x000D_
Preferences : onDestroy() ending_x000D_
_x000D_
2018 06 03 21:32:28_x000D_
DrawerActivity : Unknown drawer menu item clicked: All files_x000D_
_x000D_
2018 06 03 21:32:28_x000D_
ParticipateActivity : onPause() ending_x000D_
_x000D_
2018 06 03 21:32:28_x000D_
FileDisplayActivity : onDestroy() ending_x000D_
_x000D_
2018 06 03 21:32:28_x000D_
FileDisplayActivity : onCreate() start_x000D_
_x000D_
2018 06 03 21:32:28_x000D_
FileDisplayActivity : onCreate(Bundle) starting_x000D_
_x000D_
2018 06 03 21:32:28_x000D_
FileDisplayActivity : onStart() starting_x000D_
_x000D_
2018 06 03 21:32:28_x000D_
OwnCloudClient  7 : REQUEST GET  ocs v1 php cloud users cinos_x000D_
_x000D_
2018 06 03 21:32:28_x000D_
Avatar : URI: https:  m cinos pw index php avatar cinos 218_x000D_
_x000D_
2018 06 03 21:32:28_x000D_
AdvancedSslSocketFactory : Creating SSL Socket with remote m cinos pw:443  local null:0  params: org apache commons httpclient params HttpConnectionParams da0bb77_x000D_
_x000D_
2018 06 03 21:32:28_x000D_
AdvancedSslSocketFactory :      with connection timeout 60000 and socket timeout 60000_x000D_
_x000D_
2018 06 03 21:32:28_x000D_
OwnCloudClient  7 : REQUEST GET  index php avatar cinos 218_x000D_
_x000D_
2018 06 03 21:32:28_x000D_
AdvancedSslSocketFactory : Creating SSL Socket with remote m cinos pw:443  local null:0  params: org apache commons httpclient params HttpConnectionParams adc904d_x000D_
_x000D_
2018 06 03 21:32:28_x000D_
AdvancedSslSocketFactory :      with connection timeout 60000 and socket timeout 60000_x000D_
_x000D_
2018 06 03 21:32:28_x000D_
ServerNameIndicator : SSLSocket implementation: com google android gms org conscrypt Java8FileDescriptorSocket_x000D_
_x000D_
2018 06 03 21:32:28_x000D_
ServerNameIndicator : SSLSocket implementation: com google android gms org conscrypt Java8FileDescriptorSocket_x000D_
_x000D_
2018 06 03 21:32:28_x000D_
ServerNameIndicator : SNI done  hostname: m cinos pw_x000D_
_x000D_
2018 06 03 21:32:28_x000D_
ServerNameIndicator : SNI done  hostname: m cinos pw_x000D_
_x000D_
2018 06 03 21:32:28_x000D_
FileDisplayActivity : Initializing Fragments in onAccountChanged  _x000D_
_x000D_
2018 06 03 21:32:28_x000D_
FileDisplayActivity : Access to unexisting list of files fragment  _x000D_
_x000D_
2018 06 03 21:32:28_x000D_
FileDisplayActivity : Still have a chance to lose the initializacion of list fragment  (_x000D_
_x000D_
2018 06 03 21:32:28_x000D_
ExternalLinks : links disabled_x000D_
_x000D_
2018 06 03 21:32:29_x000D_
OwnCloudClient  7 : REQUEST GET  ocs v1 php cloud users cinos_x000D_
_x000D_
2018 06 03 21:32:29_x000D_
AdvancedSslSocketFactory : Creating SSL Socket with remote m cinos pw:443  local null:0  params: org apache commons httpclient params HttpConnectionParams 4e1b09b_x000D_
_x000D_
2018 06 03 21:32:29_x000D_
AdvancedSslSocketFactory :      with connection timeout 60000 and socket timeout 60000_x000D_
_x000D_
2018 06 03 21:32:29_x000D_
ServerNameIndicator : SNI done  hostname: m cinos pw_x000D_
_x000D_
2018 06 03 21:32:29_x000D_
FileDisplayActivity : Access to unexisting list of files fragment  _x000D_
_x000D_
2018 06 03 21:32:29_x000D_
FileDisplayActivity : onResume() start_x000D_
_x000D_
2018 06 03 21:32:29_x000D_
FileDisplayActivity : onResume() starting_x000D_
_x000D_
2018 06 03 21:32:29_x000D_
OCFileListFragment : onAttach_x000D_
_x000D_
2018 06 03 21:32:29_x000D_
OCFileListFragment : onCreateView() start_x000D_
_x000D_
2018 06 03 21:32:29_x000D_
ExtendedListFragment : onCreateView_x000D_
_x000D_
2018 06 03 21:32:29_x000D_
OCFileListFragment : onCreateView() end_x000D_
_x000D_
2018 06 03 21:32:29_x000D_
OCFileListFragment : onActivityCreated() start_x000D_
_x000D_
2018 06 03 21:32:29_x000D_
FileDisplayActivity : onResume() end_x000D_
_x000D_
2018 06 03 21:32:29_x000D_
FileDownloader : Destroying service_x000D_
_x000D_
2018 06 03 21:32:29_x000D_
FileUploader : Destroying service_x000D_
_x000D_
2018 06 03 21:32:29_x000D_
FileActivity : Operations service connected_x000D_
_x000D_
2018 06 03 21:32:30_x000D_
FileDownloader : Creating service_x000D_
_x000D_
2018 06 03 21:32:30_x000D_
FileUploader : Creating service_x000D_
_x000D_
2018 06 03 21:32:30_x000D_
UploadsStorageManager : Updating state of any killed upload_x000D_
_x000D_
2018 06 03 21:32:30_x000D_
UploadsStorageManager : No upload was killed_x000D_
_x000D_
2018 06 03 21:32:30_x000D_
FileDisplayActivity : Download service connected_x000D_
_x000D_
2018 06 03 21:32:30_x000D_
FileDisplayActivity : Upload service connected_x000D_
_x000D_
2018 06 03 21:32:31_x000D_
ParticipateActivity : onStop() ending_x000D_
_x000D_
2018 06 03 21:32:31_x000D_
ParticipateActivity : onDestroy() ending_x000D_
_x000D_
2018 06 03 21:32:33_x000D_
RefreshFolderOperation : Checking changes in cinos m cinos pw Audio _x000D_
_x000D_
2018 06 03 21:32:33_x000D_
OwnCloudClient  7 : REQUEST PROPFIND  remote php webdav Audio _x000D_
_x000D_
2018 06 03 21:32:34_x000D_
RefreshFolderOperation : Checked cinos m cinos pw Audio  : changed_x000D_
_x000D_
2018 06 03 21:32:34_x000D_
OwnCloudClient  7 : REQUEST PROPFIND  remote php webdav Audio _x000D_
_x000D_
2018 06 03 21:32:34_x000D_
ReadRemoteFolderOperation : Synchronized  Audio : Operation finished with HTTP status code 207 (success)_x000D_
_x000D_
2018 06 03 21:32:34_x000D_
RefreshFolderOperation : Synchronizing cinos m cinos pw Audio _x000D_
_x000D_
2018 06 03 21:32:34_x000D_
RefreshFolderOperation : Remote folder  Audio  changed   starting update of local data _x000D_
_x000D_
2018 06 03 21:32:34_x000D_
FileDataStorageManager : Saving folder  Audio  with 8 children and 0 files to remove_x000D_
_x000D_
2018 06 03 21:32:34_x000D_
FileDataStorageManager : Sending 9 operations to FileContentProvider_x000D_
_x000D_
2018 06 03 21:32:34_x000D_
FileContentProvider : applying batch in provider com owncloud android providers FileContentProvider a26b9c7 (temporary: false)_x000D_
_x000D_
2018 06 03 21:32:34_x000D_
FileContentProvider : applied batch in provider com owncloud android providers FileContentProvider a26b9c7_x000D_
_x000D_
2018 06 03 21:32:35_x000D_
RefreshFolderOperation : Send broadcast com owncloud android operations RefreshFolderOperation EVENT SINGLE FOLDER CONTENTS SYNCED_x000D_
_x000D_
2018 06 03 21:32:35_x000D_
FileDisplayActivity : Received broadcast com owncloud android operations RefreshFolderOperation EVENT SINGLE FOLDER CONTENTS SYNCED_x000D_
_x000D_
2018 06 03 21:32:35_x000D_
OwnCloudClient  7 : REQUEST GET  ocs v2 php apps files sharing api v1 shares_x000D_
_x000D_
2018 06 03 21:32:35_x000D_
FileDisplayActivity : Setting progress visibility to true_x000D_
_x000D_
2018 06 03 21:32:35_x000D_
GetRemoteSharesForFileOperation : Got 0 shares_x000D_
_x000D_
2018 06 03 21:32:35_x000D_
FileDataStorageManager : Sending 8 operations to FileContentProvider_x000D_
_x000D_
2018 06 03 21:32:35_x000D_
FileContentProvider : applying batch in provider com owncloud android providers FileContentProvider a26b9c7 (temporary: false)_x000D_
_x000D_
2018 06 03 21:32:35_x000D_
FileContentProvider : applied batch in provider com owncloud android providers FileContentProvider a26b9c7_x000D_
_x000D_
2018 06 03 21:32:35_x000D_
RefreshFolderOperation : Send broadcast com owncloud android operations RefreshFolderOperation EVENT SINGLE FOLDER SHARES SYNCED_x000D_
_x000D_
2018 06 03 21:32:35_x000D_
FileDisplayActivity : Received broadcast com owncloud android operations RefreshFolderOperation EVENT SINGLE FOLDER SHARES SYNCED_x000D_
_x000D_
2018 06 03 21:32:35_x000D_
FileDisplayActivity : Setting progress visibility to false_x000D_
   _x000D_
  NOTE:   Be super sure to remove sensitive data like passwords  note that everybody can look here  You can use the Issue Template application to prefill some of the required information: https:  apps nextcloud com apps issuetemplate_x000D_
_x000D_
Error on Android:_x000D_
  screenshot 20180603 202958 (https:  user images githubusercontent com 7649759 40896467 c70c336e 677a 11e8 9b4a bee909a2a8db png)_x000D_
Folder causing issues:_x000D_
  folder (https:  user images githubusercontent com 7649759 40896468 c70e6d50 677a 11e8 8814 3c9c0eb0c8c1 png)_x000D_
_x000D_
_x000D_
</t>
  </si>
  <si>
    <t>syncthing-syncthing-android-1119</t>
  </si>
  <si>
    <t>Refactor SyncthingService (lifecycle), DeviceStateHolder, RestApi, multiple fixes</t>
  </si>
  <si>
    <t xml:space="preserve">    SyncthingRunnable  settings UI and listeners _x000D_
_x000D_
Fixed issue list from what s already on the tracker:_x000D_
(fixes  1019) (maybe related to  975)_x000D_
_x000D_
Fixed issues I discovered testing every UI stress test I could think of and regular syncthing options wrapper behaviour under various run conditions or foreground run   I created issues for those:_x000D_
(fixes  1120)   DeviceStateHolder leaks Receivers not unregistered_x000D_
(fixes  1121)   SettingsActivity calls out to uninitialized RestApi getLocalDevice() _x000D_
(fixes  1122)   NPE in WebGuiActivity onWebGuiAvailable()_x000D_
(fixes  1123)   Multiple Web GUI has come online   invalid state transitioning_x000D_
(fixes  1124)   FirstStartActivity calls startService()   wrong lifecycle_x000D_
(fixes  1125)   Syncthing is disabled dialog not showing after settingschange_x000D_
(fixes  1104)   follow up PR  see post in issue_x000D_
(fixes  1115)   corresponds to  1104 _x000D_
(fixes  1126)   Settings screen   run conditions WifiSSIDSelector UI glitch_x000D_
_x000D_
This PR is a base for further improvement regarding the following issues:_x000D_
https:  github com syncthing syncthing android issues 937_x000D_
https:  github com syncthing syncthing android issues 914_x000D_
https:  github com syncthing syncthing android issues 612_x000D_
https:  github com syncthing syncthing android issues 588_x000D_
https:  github com syncthing syncthing android issues 523   as we can make more use of Events API (EventProcessor) in the future after this  spider web  of interacting accross threads classes and recreating activities more than once got solved _x000D_
https:  github com syncthing syncthing android issues 549   run conditions can now be further refined_x000D_
_x000D_
Hi together _x000D_
after a 24 hours bug fixing marathon I refactored the syncthing wrapper s code to solve multiple issues related to simultaneously started threads  event processing on listeners  concurrend access to objects that should be locked on multithread access  airplane mode  wifi ssid s settings UI  receiver leaks due to the lack of  isReceiverRegistered  in Android plus registering a receiver more than once or under pref circumstances not registering any receiver which causes syncthing to completely fail startup in background service mode _x000D_
I recall something around 20 bugs discovered and fixed by now  I ve simplified the code accross classes to a minimum extend of using listeners and callbacks only where necessary  Plus  log output has been added where its crucial to understand the lifecycle of SyncthingService  SyncthingRunnable and asynchronous broadcasts callbacks from DeviceStateHolder and RestApi  I ll post details and logs on some issues that exist in the current master tomorrow as I m really tired now (please forgive me)  We can then review that whole thing _x000D_
I ve already tested this to work as much as I could  also stress testing the settings UI and wildly changing real conditions to see if any crash results and for now   it looks good and crash free  The current master has a lot of problems if for example the user stresses the run conditions UI and or quits syncthing  Also Activity lifecycles weren t correct   now MainActivity is kept on clicking the notification instead of being relaunched against the SingleTask policy (see manifest) All in all  Syncthing wrapper s UI feels much faster and I couldn t get it to crash  Another problem from the master code was   Syncthing is disabled  wasn t properly maintained or shown if run conditions and or settings according to that changed or MainActivity was onBackPressed or paused _x000D_
I would love your feedback on testing the TeamCity APK _x000D_
Promise to open the single issues ASAP so we have a good write up whats fixed by this PR _x000D_
Kind regards_x000D_
</t>
  </si>
  <si>
    <t>android-hacker-VirtualXposed-200</t>
  </si>
  <si>
    <t>Crash when focusing on EditText with Autofill enabled</t>
  </si>
  <si>
    <t xml:space="preserve">  Describe the bug  _x000D_
App installed in vxp crashes when focusing input box with Autofill enabled _x000D_
_x000D_
  To Reproduce  _x000D_
Steps to reproduce the behavior:_x000D_
1  Enable any Autofill service like Google  etc_x000D_
2  Open xposed installer or other app with input  Verify everything works without input box _x000D_
3  Try focus on EditText like search bar of xposed installer  It crashes _x000D_
4  Disable Autofill service_x000D_
5  Try again and everything works including input _x000D_
_x000D_
  Expected behavior  _x000D_
Everything works including Autofill _x000D_
_x000D_
  Screenshots  _x000D_
TBD_x000D_
_x000D_
  Smartphone (please complete the following information):  _x000D_
   Device: Oneplus 6_x000D_
   OS: OOS 5 1 5 (Oreo 8 1  SDK 27)_x000D_
   Browser N A_x000D_
   Version 0 10 1 w  xposed 91_x000D_
_x000D_
  Additional context  _x000D_
Logcat: (Test with Google Autofill with Instagram)_x000D_
https:  0bin net paste UvK3uKuc6xCD5b9h IrjRnen9 PvZc76S9B dUkmrgHxES9cuaslvcr8bnMc_x000D_
</t>
  </si>
  <si>
    <t>mauron85-react-native-background-geolocation-206</t>
  </si>
  <si>
    <t>The plugin shouldn't display remote push notifications when app is in foreground</t>
  </si>
  <si>
    <t xml:space="preserve">     PLEASE DON T DELETE THIS TEMPLATE  OR YOUR ISSUE WILL BE CLOSED IGNORED        _x000D_
      Provide a general summary of the issue in the Title above    _x000D_
_x000D_
   Your Environment_x000D_
      Include as many relevant details about the environment you experienced the bug in    _x000D_
      Please specify exact version numbers and don t use terms like  latest   as such reference to numeric version changes over the time    _x000D_
  Plugin version: 0 5 0 alpha 34_x000D_
  Platform: iOS_x000D_
  OS version: iOS 10_x000D_
  Device manufacturer and model: Apple_x000D_
  React Native version: 0 55 4_x000D_
  Plugin configuration options: _x000D_
   _x000D_
 _x000D_
  desiredAccuracy: BackgroundGeolocation HIGH ACCURACY _x000D_
  stationaryRadius: 5 _x000D_
  distanceFilter: 10 _x000D_
  debug: false _x000D_
  startOnBoot: false _x000D_
  startForeground: false _x000D_
  stopOnTerminate: true _x000D_
  stopOnStillActivity: false_x000D_
 _x000D_
   _x000D_
  Link to your project:  https:  github com coopcycle coopcycle app (https:  github com coopcycle coopcycle app)_x000D_
_x000D_
   Context_x000D_
      Provide a more detailed introduction to the issue itself  and why you consider it to be a bug    _x000D_
_x000D_
When using in conjunction with  react native push notification (https:  github com zo0r react native push notification) or  PushNotificationIOS (https:  facebook github io react native docs pushnotificationios html)   react native background geolocation  brings notifications in the foreground  and triggers the completion handler  _x000D_
_x000D_
I don t understand Objective C very well  but it looks like the bug appeared in b29c4462099ce0e2e38f8a04f194e3b95b90d05e:  completionHandler  is called for iOS 10  for any notification  _x000D_
_x000D_
If I comment out the lines below  it works as expected  _x000D_
_x000D_
   diff_x000D_
     if ( available(iOS 10   ))  _x000D_
         UNUserNotificationCenter  center    UNUserNotificationCenter currentNotificationCenter  _x000D_
         center delegate   self _x000D_
      _x000D_
   _x000D_
_x000D_
   Expected Behavior_x000D_
      Tell us what should happen    _x000D_
_x000D_
Using standard React Native push notifications in iOS  the notification is not expected to be displayed when the app is on the foreground  _x000D_
_x000D_
   Actual Behavior_x000D_
      Tell us what happens instead    _x000D_
_x000D_
Remote push notifications are displayed when app is in the foreground _x000D_
_x000D_
   Possible Fix_x000D_
      Not obligatory  but suggest a fix or reason for the bug    _x000D_
_x000D_
When using  debug: true   the  completionHandler  should not be called  _x000D_
Moreover  the library should not intercept remote push notifications sent from other sources _x000D_
Maybe add some metadata to the local notification and call the completion handler only for notifications sent by the plugin itself _x000D_
_x000D_
   Steps to Reproduce_x000D_
      Provide a link to a live example  or an unambiguous set of steps to    _x000D_
      reproduce this bug include code to reproduce  if relevant    _x000D_
_x000D_
   Context_x000D_
      How has this bug affected you  What were you trying to accomplish     _x000D_
_x000D_
   Debug logs_x000D_
     Relevant parts from printAndroidLogs or printIosLogs _x000D_
More info in README md section Debugging _x000D_
If you re reporting app crash also provide output of  adb logcat     _x000D_
</t>
  </si>
  <si>
    <t>nextcloud-android-2675</t>
  </si>
  <si>
    <t>IllegalArgumentException in AccountUtils.getAccounts</t>
  </si>
  <si>
    <t xml:space="preserve">via GPlay console  mostly 3 2 0RC2 but also 3 0 0_x000D_
   _x000D_
java lang IllegalArgumentException: _x000D_
  at android accounts AccountManager get (AccountManager java:449)_x000D_
  at com owncloud android authentication AccountUtils getAccounts (AccountUtils java:99)_x000D_
  at com owncloud android authentication AccountUtils getCurrentOwnCloudAccount (AccountUtils java:64)_x000D_
  at com owncloud android utils ThemeUtils getCapability (ThemeUtils java:395)_x000D_
  at com owncloud android utils ThemeUtils primaryColor (ThemeUtils java:99)_x000D_
  at com owncloud android utils ThemeUtils primaryColor (ThemeUtils java:95)_x000D_
  at com owncloud android ui fragment ExtendedListFragment 6 run (ExtendedListFragment java:641)_x000D_
  at android os Handler handleCallback (Handler java:789)_x000D_
  at android os Handler dispatchMessage (Handler java:98)_x000D_
  at android os Looper loop (Looper java:164)_x000D_
  at android app ActivityThread main (ActivityThread java:6940)_x000D_
  at java lang reflect Method invoke (Native Method)_x000D_
  at com android internal os Zygote MethodAndArgsCaller run (Zygote java:327)_x000D_
  at com android internal os ZygoteInit main (ZygoteInit java:1374)_x000D_
   _x000D_
_x000D_
What do you think  tobiasKaminsky   I d say we should harden it in the way that it ll fallback to the color in the xml file but not crash in any case </t>
  </si>
  <si>
    <t>commons-app-apps-android-commons-1581</t>
  </si>
  <si>
    <t>Crash after granting permission.</t>
  </si>
  <si>
    <t xml:space="preserve">  Summary:   _x000D_
Commons crashing during granting a Location permission aftr first run  I am using Oreo device _x000D_
See the video: https:  www dropbox com s 3aig57i1x6pdcok 2018 06 02 17 20 08 mp4 dl 0_x000D_
_x000D_
  Steps to reproduce:   _x000D_
_x000D_
1  Turn off the GPS permission_x000D_
2  Clear data_x000D_
3  Start app_x000D_
4  Go through the onboarding and sign in_x000D_
5  Press menu icon and choose Nearby option_x000D_
6  Dialogue asking for GPS permission appears  confirm it_x000D_
7  Add the permission in the settings and then in the dialogue_x000D_
_x000D_
_x000D_
How can we reproduce the issue _x000D_
 06 02 12:44:46 199 12044 12044 E AndroidRuntime: FATAL EXCEPTION: main 06 02 12:44:46 199 12044 12044 E AndroidRuntime: Process: fr free nrw commons  PID: 12044 06 02 12:44:46 199 12044 12044 E AndroidRuntime: java lang RuntimeException: Failure delivering result ResultInfo who  android:requestPermissions:  request 1  result  1  data Intent   act android content pm action REQUEST PERMISSIONS (has extras)    to activity  fr free nrw commons fr free nrw commons nearby NearbyActivity : java lang NullPointerException: Attempt to invoke virtual method  double android location Location getLatitude()  on a null object reference 06 02 12:44:46 199 12044 12044 E AndroidRuntime: at android app ActivityThread deliverResults(ActivityThread java:4581) 06 02 12:44:46 199 12044 12044 E AndroidRuntime: at android app ActivityThread handleSendResult(ActivityThread java:4631) 06 02 12:44:46 199 12044 12044 E AndroidRuntime: at android app ActivityThread  wrap19(Unknown Source:0) 06 02 12:44:46 199 12044 12044 E AndroidRuntime: at android app ActivityThread H handleMessage(ActivityThread java:1699) 06 02 12:44:46 199 12044 12044 E AndroidRuntime: at android os Handler dispatchMessage(Handler java:105) 06 02 12:44:46 199 12044 12044 E AndroidRuntime: at android os Looper loop(Looper java:180) 06 02 12:44:46 199 12044 12044 E AndroidRuntime: at android app ActivityThread main(ActivityThread java:6944) 06 02 12:44:46 199 12044 12044 E AndroidRuntime: at java lang reflect Method invoke(Native Method) 06 02 12:44:46 199 12044 12044 E AndroidRuntime: at com android internal os Zygote MethodAndArgsCaller run(Zygote java:240) 06 02 12:44:46 199 12044 12044 E AndroidRuntime: at com android internal os ZygoteInit main(ZygoteInit java:835) 06 02 12:44:46 199 12044 12044 E AndroidRuntime: Caused by: java lang NullPointerException: Attempt to invoke virtual method  double android location Location getLatitude()  on a null object reference 06 02 12:44:46 199 12044 12044 E AndroidRuntime: at fr free nrw commons location LatLng from(LatLng java:45) 06 02 12:44:46 199 12044 12044 E AndroidRuntime: at fr free nrw commons location LocationServiceManager getLKL(LocationServiceManager java:93) 06 02 12:44:46 199 12044 12044 E AndroidRuntime: at fr free nrw commons nearby NearbyActivity onRequestPermissionsResult(NearbyActivity java:163) 06 02 12:44:46 199 12044 12044 E AndroidRuntime: at android app Activity dispatchRequestPermissionsResult(Activity java:7399) 06 02 12:44:46 199 12044 12044 E AndroidRuntime: at android app Activity dispatchActivityResult(Activity java:7250) 06 02 12:44:46 199 12044 12044 E AndroidRuntime: at android app ActivityThread deliverResults(ActivityThread java:4577) 06 02 12:44:46 199 12044 12044 E AndroidRuntime:     9 more _x000D_
_x000D_
  Expected behavior:   _x000D_
It should show the map _x000D_
_x000D_
  Observed behavior:   _x000D_
Crash  After returning to the app again  the map is shown normally _x000D_
_x000D_
  Device and Android version:   _x000D_
HTC 10  OS 8 0 0 Oreo  stock version_x000D_
 _x000D_
   Commons app version:   _x000D_
2 7 1  downloaded from Play store_x000D_
_x000D_
  Video:   _x000D_
_x000D_
https:  www dropbox com s 3aig57i1x6pdcok 2018 06 02 17 20 08 mp4 dl 0_x000D_
_x000D_
  Would you like to work on the issue   _x000D_
_x000D_
I would like to look at it  If I won t manage to fix this  I ll let you know _x000D_
</t>
  </si>
  <si>
    <t>coding-blocks-Chatter-96</t>
  </si>
  <si>
    <t>Fix app crash on launch</t>
  </si>
  <si>
    <t xml:space="preserve">On first launch  the app crashes with a Unique PrimaryKey exception _x000D_
A fix for this is needed _x000D_
</t>
  </si>
  <si>
    <t>zouroboros-filmchecker-12</t>
  </si>
  <si>
    <t>App crashes when saving film on screen rotation</t>
  </si>
  <si>
    <t xml:space="preserve">     Expected behavior_x000D_
Application is expected to work perfectly well on any screen orientation  and save film without crashing  _x000D_
_x000D_
     Actual Behavior _x000D_
When trying to create a DM on screen rotation the app crashes _x000D_
_x000D_
     How to reproduce_x000D_
  Download and install the application  here (_x000D_
https:  play google com store apps details id xyz iridiumion enlightened)_x000D_
  Switch on your data connection _x000D_
  Launch the application _x000D_
  Click on the add button ( )_x000D_
  Select DM_x000D_
  Input in some figures _x000D_
  Click on Save film (Film speichern)_x000D_
  While it is loading  rotate your screen_x000D_
_x000D_
Then app crashes _x000D_
_x000D_
 hr _x000D_
_x000D_
Application version: v1 4 1 0_x000D_
Operating system: Android v7 0_x000D_
_x000D_
     Recording Of The Bug_x000D_
https:  youtu be Xq43CKKa uM</t>
  </si>
  <si>
    <t>nextcloud-android-2668</t>
  </si>
  <si>
    <t>App crash when switching to grid view</t>
  </si>
  <si>
    <t xml:space="preserve">    Actual behaviour_x000D_
  The app crashes_x000D_
  After the crash i cannot access the folder anymore since it crashes again once opening it_x000D_
_x000D_
    Expected behaviour_x000D_
  The app shows the grid view_x000D_
 _x000D_
    Steps to reproduce_x000D_
1  Go to any folder_x000D_
2  Try to switch to the grid view_x000D_
_x000D_
    Environment data_x000D_
Android version: 7 0_x000D_
_x000D_
Device model: Moto G5_x000D_
_x000D_
Stock or customized system: Stock_x000D_
_x000D_
Nextcloud app version: 3 2 0 RC1_x000D_
_x000D_
Nextcloud server version: 13 0 2_x000D_
_x000D_
    Logs_x000D_
     Android debug log_x000D_
   _x000D_
06 01 15:50:30 558  3146  3159 I art     : Background sticky concurrent mark sweep GC freed 27549(1439KB) AllocSpace objects  16(1508KB) LOS objects  12  free  20MB 22MB  paused 8 326ms total 29 441ms_x000D_
06 01 15:50:30 562  3146  3323 I ReadRemoteFolderOperation: Synchronized  : Operation finished with HTTP status code 207 (success)_x000D_
06 01 15:50:30 562  3146  3323 D RefreshFolderOperation: Synchronizing jus cloud bitgrid net _x000D_
06 01 15:50:30 572  3146  3323 D RefreshFolderOperation: Remote folder   changed   starting update of local data _x000D_
06 01 15:50:30 595  3146  3323 D FileDataStorageManager: Saving folder   with 37 children and 0 files to remove_x000D_
06 01 15:50:30 626  3146  3321 I ReadRemoteFolderOperation: Synchronized  : Operation finished with HTTP status code 207 (success)_x000D_
06 01 15:50:30 626  3146  3321 D RefreshFolderOperation: Synchronizing jus cloud bitgrid net _x000D_
06 01 15:50:30 635  3146  3321 D RefreshFolderOperation: Remote folder   changed   starting update of local data _x000D_
06 01 15:50:30 659  3146  3321 D FileDataStorageManager: Saving folder   with 37 children and 0 files to remove_x000D_
06 01 15:50:30 795  3146  3323 D FileDataStorageManager: Sending 38 operations to FileContentProvider_x000D_
06 01 15:50:30 795  3146  3323 D FileContentProvider: applying batch in provider com owncloud android providers FileContentProvider 368b490 (temporary: false)_x000D_
06 01 15:50:31 038  3146  3323 D FileContentProvider: applied batch in provider com owncloud android providers FileContentProvider 368b490_x000D_
06 01 15:50:31 092  3146  3323 D RefreshFolderOperation: Send broadcast com owncloud android operations RefreshFolderOperation EVENT SINGLE FOLDER CONTENTS SYNCED_x000D_
06 01 15:50:31 095  3146  3146 D FileDisplayActivity: Received broadcast com owncloud android operations RefreshFolderOperation EVENT SINGLE FOLDER CONTENTS SYNCED_x000D_
06 01 15:50:31 097  3146  3323 D OwnCloudClient  7: REQUEST GET  ocs v2 php apps files sharing api v1 shares_x000D_
06 01 15:50:31 167  3146  3321 D FileDataStorageManager: Sending 38 operations to FileContentProvider_x000D_
06 01 15:50:31 167  3146  3321 D FileContentProvider: applying batch in provider com owncloud android providers FileContentProvider 368b490 (temporary: false)_x000D_
06 01 15:50:31 303  3146  3323 D GetRemoteSharesForFileOperation: Got 0 shares_x000D_
06 01 15:50:31 364  3146  3321 D FileContentProvider: applied batch in provider com owncloud android providers FileContentProvider 368b490_x000D_
06 01 15:50:31 429  3146  3323 D FileDataStorageManager: Sending 37 operations to FileContentProvider_x000D_
06 01 15:50:31 429  3146  3323 D FileContentProvider: applying batch in provider com owncloud android providers FileContentProvider 368b490 (temporary: false)_x000D_
06 01 15:50:31 445  3146  3146 D FileDisplayActivity: Setting progress visibility to true_x000D_
06 01 15:50:31 445  3146  3321 D RefreshFolderOperation: Send broadcast com owncloud android operations RefreshFolderOperation EVENT SINGLE FOLDER CONTENTS SYNCED_x000D_
06 01 15:50:31 449  3146  3321 D OwnCloudClient  7: REQUEST GET  ocs v2 php apps files sharing api v1 shares_x000D_
06 01 15:50:31 605  3146  3323 D FileContentProvider: applied batch in provider com owncloud android providers FileContentProvider 368b490_x000D_
06 01 15:50:31 605  3146  3323 D RefreshFolderOperation: Send broadcast com owncloud android operations RefreshFolderOperation EVENT SINGLE FOLDER SHARES SYNCED_x000D_
06 01 15:50:31 627  3146  3321 D GetRemoteSharesForFileOperation: Got 0 shares_x000D_
06 01 15:50:31 726  3146  3321 D FileDataStorageManager: Sending 37 operations to FileContentProvider_x000D_
06 01 15:50:31 726  3146  3321 D FileContentProvider: applying batch in provider com owncloud android providers FileContentProvider 368b490 (temporary: false)_x000D_
06 01 15:50:31 864  3146  3321 D FileContentProvider: applied batch in provider com owncloud android providers FileContentProvider 368b490_x000D_
06 01 15:50:31 864  3146  3321 D RefreshFolderOperation: Send broadcast com owncloud android operations RefreshFolderOperation EVENT SINGLE FOLDER SHARES SYNCED_x000D_
06 01 15:50:32 058  3146  3146 D FileDisplayActivity: Received broadcast com owncloud android operations RefreshFolderOperation EVENT SINGLE FOLDER CONTENTS SYNCED_x000D_
06 01 15:50:32 137  3146  3146 D FileDisplayActivity: Setting progress visibility to true_x000D_
06 01 15:50:32 137  3146  3146 I Choreographer: Skipped 41 frames   The application may be doing too much work on its main thread _x000D_
06 01 15:50:32 276  3146  3146 D FileDisplayActivity: Received broadcast com owncloud android operations RefreshFolderOperation EVENT SINGLE FOLDER SHARES SYNCED_x000D_
06 01 15:50:32 355  3146  3146 D FileDisplayActivity: Setting progress visibility to false_x000D_
06 01 15:50:32 356  3146  3146 D FileDisplayActivity: Received broadcast com owncloud android operations RefreshFolderOperation EVENT SINGLE FOLDER SHARES SYNCED_x000D_
06 01 15:50:32 433  3146  3146 D FileDisplayActivity: Setting progress visibility to false_x000D_
06 01 15:50:33 301  3146  3329 D RefreshFolderOperation: Checking changes in jus cloud bitgrid net Shares _x000D_
06 01 15:50:33 306  3146  3329 D OwnCloudClient  7: REQUEST PROPFIND  remote php webdav Shares _x000D_
06 01 15:50:33 424  3146  3329 I RefreshFolderOperation: Checked jus cloud bitgrid net Shares  : changed_x000D_
06 01 15:50:33 430  3146  3329 D OwnCloudClient  7: REQUEST PROPFIND  remote php webdav Shares _x000D_
06 01 15:50:33 568  3146  3329 I ReadRemoteFolderOperation: Synchronized  Shares : Operation finished with HTTP status code 207 (success)_x000D_
06 01 15:50:33 568  3146  3329 D RefreshFolderOperation: Synchronizing jus cloud bitgrid net Shares _x000D_
06 01 15:50:33 577  3146  3329 D RefreshFolderOperation: Remote folder  Shares  changed   starting update of local data _x000D_
06 01 15:50:33 591  3146  3329 D FileDataStorageManager: Saving folder  Shares  with 10 children and 0 files to remove_x000D_
06 01 15:50:33 623  3146  3329 D FileDataStorageManager: Sending 11 operations to FileContentProvider_x000D_
06 01 15:50:33 623  3146  3329 D FileContentProvider: applying batch in provider com owncloud android providers FileContentProvider 368b490 (temporary: false)_x000D_
06 01 15:50:33 663  3146  3329 D FileContentProvider: applied batch in provider com owncloud android providers FileContentProvider 368b490_x000D_
06 01 15:50:33 702  3146  3329 D RefreshFolderOperation: Send broadcast com owncloud android operations RefreshFolderOperation EVENT SINGLE FOLDER CONTENTS SYNCED_x000D_
06 01 15:50:33 705  3146  3146 D FileDisplayActivity: Received broadcast com owncloud android operations RefreshFolderOperation EVENT SINGLE FOLDER CONTENTS SYNCED_x000D_
06 01 15:50:33 705  3146  3329 D OwnCloudClient  7: REQUEST GET  ocs v2 php apps files sharing api v1 shares_x000D_
06 01 15:50:33 820  3146  3146 D FileDisplayActivity: Setting progress visibility to true_x000D_
06 01 15:50:33 886  3146  3329 D GetRemoteSharesForFileOperation: Got 7 shares_x000D_
06 01 15:50:33 931  3146  3329 D FileDataStorageManager: Sending 17 operations to FileContentProvider_x000D_
06 01 15:50:33 931  3146  3329 D FileContentProvider: applying batch in provider com owncloud android providers FileContentProvider 368b490 (temporary: false)_x000D_
06 01 15:50:34 099  3146  3329 D FileContentProvider: applied batch in provider com owncloud android providers FileContentProvider 368b490_x000D_
06 01 15:50:34 099  3146  3329 D RefreshFolderOperation: Send broadcast com owncloud android operations RefreshFolderOperation EVENT SINGLE FOLDER SHARES SYNCED_x000D_
06 01 15:50:34 177  3146  3146 D FileDisplayActivity: Received broadcast com owncloud android operations RefreshFolderOperation EVENT SINGLE FOLDER SHARES SYNCED_x000D_
06 01 15:50:34 293  3146  3146 D FileDisplayActivity: Setting progress visibility to false_x000D_
06 01 15:50:35 069  3146  3146 W art     : Before Android 4 1  method int android support v7 widget DropDownListView lookForSelectablePosition(int  boolean) would have incorrectly overridden the package private method in android widget ListView_x000D_
06 01 15:50:35 070  3146  3146 W art     : Before Android 4 1  method int android support v7 widget MenuPopupWindow MenuDropDownListView lookForSelectablePosition(int  boolean) would have incorrectly overridden the package private method in android widget ListView_x000D_
06 01 15:50:36 460  3146  3146 V ArbitraryDataProvider: Adding arbitrary data with cloud id: jus cloud bitgrid net key: folder layout 11 value: GRID_x000D_
06 01 15:50:36 571  3146  3146 D AndroidRuntime: Shutting down VM_x000D_
06 01 15:50:36 584  3146  3146 E AndroidRuntime: FATAL EXCEPTION: main_x000D_
06 01 15:50:36 584  3146  3146 E AndroidRuntime: Process: com nextcloud client  PID: 3146_x000D_
06 01 15:50:36 584  3146  3146 E AndroidRuntime: java lang ArrayIndexOutOfBoundsException: length 0  index 0_x000D_
06 01 15:50:36 584  3146  3146 E AndroidRuntime: 	at android support v7 widget GridLayoutManager calculateItemBorders(GridLayoutManager java:324)_x000D_
06 01 15:50:36 584  3146  3146 E AndroidRuntime: 	at android support v7 widget GridLayoutManager calculateItemBorders(GridLayoutManager java:309)_x000D_
06 01 15:50:36 584  3146  3146 E AndroidRuntime: 	at android support v7 widget GridLayoutManager updateMeasurements(GridLayoutManager java:280)_x000D_
06 01 15:50:36 584  3146  3146 E AndroidRuntime: 	at android support v7 widget GridLayoutManager onAnchorReady(GridLayoutManager java:355)_x000D_
06 01 15:50:36 584  3146  3146 E AndroidRuntime: 	at android support v7 widget LinearLayoutManager onLayoutChildren(LinearLayoutManager java:581)_x000D_
06 01 15:50:36 584  3146  3146 E AndroidRuntime: 	at android support v7 widget GridLayoutManager onLayoutChildren(GridLayoutManager java:170)_x000D_
06 01 15:50:36 584  3146  3146 E AndroidRuntime: 	at android support v7 widget RecyclerView dispatchLayoutStep2(RecyclerView java:3812)_x000D_
06 01 15:50:36 584  3146  3146 E AndroidRuntime: 	at android support v7 widget RecyclerView dispatchLayout(RecyclerView java:3529)_x000D_
06 01 15:50:36 584  3146  3146 E AndroidRuntime: 	at android support v7 widget RecyclerView onLayout(RecyclerView java:4082)_x000D_
06 01 15:50:36 584  3146  3146 E AndroidRuntime: 	at android view View layout(View java:17538)_x000D_
06 01 15:50:36 584  3146  3146 E AndroidRuntime: 	at android view ViewGroup layout(ViewGroup java:5616)_x000D_
06 01 15:50:36 584  3146  3146 E AndroidRuntime: 	at android support v4 widget SwipeRefreshLayout onLayout(SwipeRefreshLayout java:606)_x000D_
06 01 15:50:36 584  3146  3146 E AndroidRuntime: 	at android view View layout(View java:17538)_x000D_
06 01 15:50:36 584  3146  3146 E AndroidRuntime: 	at android view ViewGroup layout(ViewGroup java:5616)_x000D_
06 01 15:50:36 584  3146  3146 E AndroidRuntime: 	at android support design widget CoordinatorLayout layoutChild(CoordinatorLayout java:1191)_x000D_
06 01 15:50:36 584  3146  3146 E AndroidRuntime: 	at android support design widget CoordinatorLayout onLayoutChild(CoordinatorLayout java:876)_x000D_
06 01 15:50:36 584  3146  3146 E AndroidRuntime: 	at android support design widget CoordinatorLayout onLayout(CoordinatorLayout java:895)_x000D_
06 01 15:50:36 584  3146  3146 E AndroidRuntime: 	at android view View layout(View java:17538)_x000D_
06 01 15:50:36 584  3146  3146 E AndroidRuntime: 	at android view ViewGroup layout(ViewGroup java:5616)_x000D_
06 01 15:50:36 584  3146  3146 E AndroidRuntime: 	at android widget RelativeLayout onLayout(RelativeLayout java:1079)_x000D_
06 01 15:50:36 584  3146  3146 E AndroidRuntime: 	at android view View layout(View java:17538)_x000D_
06 01 15:50:36 584  3146  3146 E AndroidRuntime: 	at android view ViewGroup layout(ViewGroup java:5616)_x000D_
06 01 15:50:36 584  3146  3146 E AndroidRuntime: 	at android widget FrameLayout layoutChildren(FrameLayout java:323)_x000D_
06 01 15:50:36 584  3146  3146 E AndroidRuntime: 	at android widget FrameLayout onLayout(FrameLayout java:261)_x000D_
06 01 15:50:36 584  3146  3146 E AndroidRuntime: 	at android view View layout(View java:17538)_x000D_
06 01 15:50:36 584  3146  3146 E AndroidRuntime: 	at android view ViewGroup layout(ViewGroup java:5616)_x000D_
06 01 15:50:36 584  3146  3146 E AndroidRuntime: 	at android widget LinearLayout setChildFrame(LinearLayout java:1741)_x000D_
06 01 15:50:36 584  3146  3146 E AndroidRuntime: 	at android widget LinearLayout layoutHorizontal(LinearLayout java:1730)_x000D_
06 01 15:50:36 584  3146  3146 E AndroidRuntime: 	at android widget LinearLayout onLayout(LinearLayout java:1496)_x000D_
06 01 15:50:36 584  3146  3146 E AndroidRuntime: 	at android view View layout(View java:17538)_x000D_
06 01 15:50:36 584  3146  3146 E AndroidRuntime: 	at android view ViewGroup layout(ViewGroup java:5616)_x000D_
06 01 15:50:36 584  3146  3146 E AndroidRuntime: 	at android widget LinearLayout setChildFrame(LinearLayout java:1741)_x000D_
06 01 15:50:36 584  3146  3146 E AndroidRuntime: 	at android widget LinearLayout layoutVertical(LinearLayout java:1585)_x000D_
06 01 15:50:36 584  3146  3146 E AndroidRuntime: 	at android widget LinearLayout onLayout(LinearLayout java:1494)_x000D_
06 01 15:50:36 584  3146  3146 E AndroidRuntime: 	at android view View layout(View java:17538)_x000D_
06 01 15:50:36 584  3146  3146 E AndroidRuntime: 	at android view ViewGroup layout(ViewGroup java:5616)_x000D_
06 01 15:50:36 584  3146  3146 E AndroidRuntime: 	at android support v4 widget DrawerLayout onLayout(DrawerLayout java:1171)_x000D_
06 01 15:50:36 584  3146  3146 E AndroidRuntime: 	at android view View layout(View java:17538)_x000D_
06 01 15:50:36 584  3146  3146 E AndroidRuntime: 	at android view ViewGroup layout(ViewGroup java:5616)_x000D_
06 01 15:50:36 584  3146  3146 E AndroidRuntime: 	at android widget FrameLayout layoutChildren(FrameLayout java:323)_x000D_
06 01 15:50:36 584  3146  3146 E AndroidRuntime: 	at android widget FrameLayout onLayout(FrameLayout java:261)_x000D_
06 01 15:50:36 584  3146  3146 E AndroidRuntime: 	at android view View layout(View java:17538)_x000D_
06 01 15:50:36 584  3146  3146 E AndroidRuntime: 	at android view ViewGroup layout(ViewGroup java:5616)_x000D_
06 01 15:50:36 584  3146  3146 E AndroidRuntime: 	at android widget FrameLayout layoutChildren(FrameLayout java:323)_x000D_
06 01 15:50:36 584  3146  3146 E AndroidRuntime: 	at android widget FrameLayout onLayout(FrameLayout java:261)_x000D_
06 01 15:50:36 584  3146  3146 E AndroidRuntime: 	at android view View layout(View java:17538)_x000D_
06 01 15:50:36 584  3146  3146 E AndroidRuntime: 	at android view ViewGroup layout(ViewGroup java:5616)_x000D_
06 01 15:50:36 584  3146  3146 E AndroidRuntime: 	at android widget FrameLayout layoutChildren(FrameLayout java:323)_x000D_
06 01 15:50:36 584  3146  3146 E AndroidRuntime: 	at android widget FrameLayout onLayout(FrameLayout java:261)_x000D_
06 01 15:50:36 584  3146  3146 E AndroidRuntime: 	at android view View layout(View java:17538)_x000D_
06 01 15:50:36 584  3146  3146 E AndroidRuntime: 	at android view ViewGroup layout(ViewGroup java:5616)_x000D_
06 01 15:50:36 584  3146  3146 E AndroidRuntime: 	at android widget LinearLayout setChildFrame(LinearLayout java:1741)_x000D_
06 01 15:50:36 584  3146  3146 E AndroidRuntime: 	at android widget LinearLayout layoutVertical(LinearLayout java:1585)_x000D_
06 01 15:50:36 584  3146  3146 E AndroidRuntime: 	at android widget LinearLayout onLayout(LinearLayout java:1494)_x000D_
06 01 15:50:36 584  3146  3146 E AndroidRuntime: 	at android view View layout(View java:17538)_x000D_
06 01 15:50:36 584  3146  3146 E AndroidRuntime: 	at android view ViewGroup layout(ViewGroup java:5616)_x000D_
06 01 15:50:36 584  3146  3146 E AndroidRuntime: 	at android widget FrameLayout layoutChildren(FrameLayout java:323)_x000D_
06 01 15:50:36 584  3146  3146 E AndroidRuntime: 	at android widget FrameLayout onLayout(FrameLayout java:261)_x000D_
06 01 15:50:36 584  3146  3146 E AndroidRuntime: 	at com android internal policy DecorView onLayout(DecorView java:724)_x000D_
06 01 15:50:36 585  3146  3146 E AndroidRuntime: 	at android view View layout(View java:17538)_x000D_
06 01 15:50:36 585  3146  3146 E AndroidRuntime: 	at android view ViewGroup layout(ViewGroup java:5616)_x000D_
06 01 15:50:36 585  3146  3146 E AndroidRuntime: 	at android view ViewRootImpl performLayout(ViewRootImpl java:2354)_x000D_
06 01 15:50:36 585  3146  3146 E AndroidRuntime: 	at android view ViewRootImpl performTraversals(ViewRootImpl java:2081)_x000D_
06 01 15:50:36 585  3146  3146 E AndroidRuntime: 	at android view ViewRootImpl doTraversal(ViewRootImpl java:1258)_x000D_
06 01 15:50:36 585  3146  3146 E AndroidRuntime: 	at android view ViewRootImpl TraversalRunnable run(ViewRootImpl java:6348)_x000D_
06 01 15:50:36 585  3146  3146 E AndroidRuntime: 	at android view Choreographer CallbackRecord run(Choreographer java:871)_x000D_
06 01 15:50:36 585  3146  3146 E AndroidRuntime: 	at android view Choreographer doCallbacks(Choreographer java:683)_x000D_
06 01 15:50:36 585  3146  3146 E AndroidRuntime: 	at android view Choreographer doFrame(Choreographer java:619)_x000D_
06 01 15:50:36 585  3146  3146 E AndroidRuntime: 	at android view Choreographer FrameDisplayEventReceiver run(Choreographer java:857)_x000D_
06 01 15:50:36 585  3146  3146 E AndroidRuntime: 	at android os Handler handleCallback(Handler java:751)_x000D_
06 01 15:50:36 585  3146  3146 E AndroidRuntime: 	at android os Handler dispatchMessage(Handler java:95)_x000D_
06 01 15:50:36 585  3146  3146 E AndroidRuntime: 	at android os Looper loop(Looper java:154)_x000D_
06 01 15:50:36 585  3146  3146 E AndroidRuntime: 	at android app ActivityThread main(ActivityThread java:6123)_x000D_
06 01 15:50:36 585  3146  3146 E AndroidRuntime: 	at java lang reflect Method invoke(Native Method)_x000D_
06 01 15:50:36 585  3146  3146 E AndroidRuntime: 	at com android internal os ZygoteInit MethodAndArgsCaller run(ZygoteInit java:867)_x000D_
06 01 15:50:36 585  3146  3146 E AndroidRuntime: 	at com android internal os ZygoteInit main(ZygoteInit java:757)_x000D_
   _x000D_
_x000D_
     Nextcloud log (data nextcloud log)_x000D_
   _x000D_
Noting special in the Nextcloud log_x000D_
   _x000D_
  NOTE:   Be super sure to remove sensitive data like passwords  note that everybody can look here  You can use the Issue Template application to prefill some of the required information: https:  apps nextcloud com apps issuetemplate_x000D_
</t>
  </si>
  <si>
    <t>nextcloud-android-2667</t>
  </si>
  <si>
    <t>android secondary user -- app crashes on startup after account credentials are provided</t>
  </si>
  <si>
    <t xml:space="preserve">    Actual behaviour_x000D_
  nextcloud android app crashes hardly (app stopped working) during login on server when running with a secondary android user_x000D_
_x000D_
    Expected behaviour_x000D_
  the app should login correctly_x000D_
 _x000D_
    Steps to reproduce_x000D_
1  use android multi user capability and create a secondary user_x000D_
https:  source android com devices tech admin multi user_x000D_
2  login as secondary user_x000D_
3  install nextcloud app (via gplay app store)_x000D_
4  open nextcloud app and login into nextcloud server_x000D_
5  except the local data access rights requirement_x000D_
6  app crashes immediately_x000D_
_x000D_
after the credentials are stored and the account exists_x000D_
_x000D_
1  open nextcloud app     app crashes immediately_x000D_
_x000D_
switch back to primary android user     app works as expected_x000D_
switch back to secondary android user     app crashed immediately_x000D_
_x000D_
    Environment data_x000D_
Android version: 8 0 0_x000D_
_x000D_
Device model: One Plus 3_x000D_
_x000D_
Stock or customized system: Stock_x000D_
_x000D_
Nextcloud app version: 3 1 0 (latest gplay app store version)_x000D_
_x000D_
Nextcloud server version: 13 0 2 (latest official docker hub version)_x000D_
_x000D_
    Logs_x000D_
     Web server error log_x000D_
   _x000D_
nothing interesting here_x000D_
   _x000D_
_x000D_
     Nextcloud log (data nextcloud log)_x000D_
   _x000D_
Insert your Nextcloud log here     no entries created during app crash_x000D_
   _x000D_
  NOTE:   Be super sure to remove sensitive data like passwords  note that everybody can look here  You can use the Issue Template application to prefill some of the required information: https:  apps nextcloud com apps issuetemplate_x000D_
</t>
  </si>
  <si>
    <t>alexstyl-Memento-Calendar-186</t>
  </si>
  <si>
    <t>Adding a new contact bday w/o photo crashes app</t>
  </si>
  <si>
    <t xml:space="preserve">     Short Description_x000D_
Version info:_x000D_
3 6 1408 gde569894_x000D_
_x000D_
Application crashes when attempting to add a new contact that doesn t have an image associated_x000D_
_x000D_
      Steps to reproduce_x000D_
1  Open app_x000D_
2  New contact_x000D_
3  Select birthday_x000D_
3  Save_x000D_
4  Crash_x000D_
_x000D_
      Resulted in_x000D_
05 31 22:30:28 611 10636 12330 com alexstyl specialdates E AndroidRuntime: FATAL EXCEPTION: AsyncTask  6_x000D_
    Process: com alexstyl specialdates  PID: 10636_x000D_
    java lang RuntimeException: An error occurred while executing doInBackground()_x000D_
        at android os AsyncTask 3 done(AsyncTask java:353)_x000D_
        at java util concurrent FutureTask finishCompletion(FutureTask java:383)_x000D_
        at java util concurrent FutureTask setException(FutureTask java:252)_x000D_
        at java util concurrent FutureTask run(FutureTask java:271)_x000D_
        at android os AsyncTask SerialExecutor 1 run(AsyncTask java:245)_x000D_
        at java util concurrent ThreadPoolExecutor runWorker(ThreadPoolExecutor java:1162)_x000D_
        at java util concurrent ThreadPoolExecutor Worker run(ThreadPoolExecutor java:636)_x000D_
        at java lang Thread run(Thread java:764)_x000D_
     Caused by: java lang NullPointerException: Attempt to invoke virtual method  java lang Object byte   clone()  on a null object reference_x000D_
        at com alexstyl specialdates images DecodedImage getBytes(DecodedImage java:14)_x000D_
        at com alexstyl specialdates addevent OperationsFactory updateImageContact(OperationsFactory kt:105)_x000D_
        at com alexstyl specialdates addevent ContactOperations ContactOperationsBuilder updateContactImage(ContactOperations java:76)_x000D_
        at com alexstyl specialdates addevent AddContactEventsPresenter 1 doInBackground(AddContactEventsPresenter java:108)_x000D_
        at com alexstyl specialdates addevent AddContactEventsPresenter 1 doInBackground(AddContactEventsPresenter java:100)_x000D_
        at android os AsyncTask 2 call(AsyncTask java:333)_x000D_
        at java util concurrent FutureTask run(FutureTask java:266)_x000D_
        at android os AsyncTask SerialExecutor 1 run(AsyncTask java:245) _x000D_
        at java util concurrent ThreadPoolExecutor runWorker(ThreadPoolExecutor java:1162) _x000D_
        at java util concurrent ThreadPoolExecutor Worker run(ThreadPoolExecutor java:636) _x000D_
        at java lang Thread run(Thread java:764) _x000D_
</t>
  </si>
  <si>
    <t>subchannel13-EnchantedFortress-50</t>
  </si>
  <si>
    <t>Enchanted fortress app crashes when I click on any option in landscape mode.</t>
  </si>
  <si>
    <t xml:space="preserve">    Actual behaviour_x000D_
When I open the enchanted fortress app in portable mode and  rotate my phone in landscape mode  After that I click on any option app suddenly crashes _x000D_
    How to reproduce_x000D_
  Download the enchanted fortress app from F driod _x000D_
  Install this app _x000D_
  Open the enchanted fortress app in Portable mode _x000D_
  Rotate your phone in landscape mode _x000D_
  Click on any option app suddenly crashes _x000D_
  Browser: enchanted fortress _x000D_
  Version: 1 9_x000D_
  Operating system: 7 1 2_x000D_
    Recording of the bug_x000D_
https:  youtu be ngXI2 rKCIA</t>
  </si>
  <si>
    <t>metinkale38-prayer-times-android-129</t>
  </si>
  <si>
    <t>The app crash when you, use Manuel city chooser</t>
  </si>
  <si>
    <t xml:space="preserve">     Expected behavior_x000D_
when using the Manuel city choose it is not so pose to crash  and you are trying to select the new city it crash _x000D_
_x000D_
     Actual behavior_x000D_
when the app is been launch click on the red plus button  using Manuel city chooser it crash _x000D_
_x000D_
     How to reproduce_x000D_
  Launch the app _x000D_
  Click on the red plus button and use Manuel city chooser_x000D_
  Then select country _x000D_
_x000D_
  Browser App version: 3 7_x000D_
  Operating system: Android version 7 0_x000D_
_x000D_
     Recording Of The Bug_x000D_
https:  youtu be zzDhKm2jb9g_x000D_
</t>
  </si>
  <si>
    <t>mapbox-mapbox-events-android-157</t>
  </si>
  <si>
    <t>Oreo Background Service Crash</t>
  </si>
  <si>
    <t xml:space="preserve">With developers targeting Api 26  now  background service no longer works and is creating a crash  Reworking system to prevent this crash and be Oreo optimized </t>
  </si>
  <si>
    <t>renyuneyun-Easer-117</t>
  </si>
  <si>
    <t>Crash on script activation or daemon (re-) start</t>
  </si>
  <si>
    <t xml:space="preserve">Every time I try to start the daemon  the app crashes  This happened first when I had the daemon running and added a script  When disabling both of my scripts  the daemon runs fine  Once I activate any of them  the daemon crashes immediately _x000D_
_x000D_
Both scripts look like this:_x000D_
  Title: some text_x000D_
  Parent: None_x000D_
  Profile: a WIFI profile (one of them is switching off mobile data)_x000D_
  Radio buttons: Use scenario_x000D_
  Reverse Scenario: no_x000D_
  Scenario: Condition event_x000D_
    Condition: Cell Location_x000D_
      Cell ID: The cell I m currently in_x000D_
    Type: Enter (the other script: Leave)_x000D_
_x000D_
In other words: One script disables wifi when I leave my home mobile cell  The other script enables wifi when I enter my home mobile cell _x000D_
_x000D_
Backtrace:_x000D_
   _x000D_
05 30 21:07:11 996 11638 11638 D AndroidRuntime: Shutting down VM_x000D_
05 30 21:07:11 997 11638 11638 E AndroidRuntime: FATAL EXCEPTION: main_x000D_
05 30 21:07:11 997 11638 11638 E AndroidRuntime: Process: ryey easer  PID: 11638_x000D_
05 30 21:07:11 997 11638 11638 E AndroidRuntime: java lang RuntimeException: Error receiving broadcast Intent   act ryey easer service action REGISTER CONDITION EVENT flg 0x10 (has extras)   in ryey easer core EHService 2 f71de57_x000D_
05 30 21:07:11 997 11638 11638 E AndroidRuntime: 	at android app LoadedApk ReceiverDispatcher Args lambda  android app LoadedApk ReceiverDispatcher Args 52497(LoadedApk java:1323)_x000D_
05 30 21:07:11 997 11638 11638 E AndroidRuntime: 	at android app   Lambda aS31cHIhRx41653CMnd4gZqshIQ  m 7(Unknown Source:4)_x000D_
05 30 21:07:11 997 11638 11638 E AndroidRuntime: 	at android app   Lambda aS31cHIhRx41653CMnd4gZqshIQ run(Unknown Source:39)_x000D_
05 30 21:07:11 997 11638 11638 E AndroidRuntime: 	at android os Handler handleCallback(Handler java:790)_x000D_
05 30 21:07:11 997 11638 11638 E AndroidRuntime: 	at android os Handler dispatchMessage(Handler java:99)_x000D_
05 30 21:07:11 997 11638 11638 E AndroidRuntime: 	at android os Looper loop(Looper java:164)_x000D_
05 30 21:07:11 997 11638 11638 E AndroidRuntime: 	at android app ActivityThread main(ActivityThread java:6501)_x000D_
05 30 21:07:11 997 11638 11638 E AndroidRuntime: 	at java lang reflect Method invoke(Native Method)_x000D_
05 30 21:07:11 997 11638 11638 E AndroidRuntime: 	at com android internal os RuntimeInit MethodAndArgsCaller run(RuntimeInit java:438)_x000D_
05 30 21:07:11 997 11638 11638 E AndroidRuntime: 	at com android internal os ZygoteInit main(ZygoteInit java:807)_x000D_
05 30 21:07:11 997 11638 11638 E AndroidRuntime: Caused by: java lang ClassCastException: android os Parcelable   cannot be cast to android app PendingIntent  _x000D_
05 30 21:07:11 997 11638 11638 E AndroidRuntime: 	at ryey easer core EHService 2 onReceive(Unknown Source:96)_x000D_
05 30 21:07:11 997 11638 11638 E AndroidRuntime: 	at android app LoadedApk ReceiverDispatcher Args lambda  android app LoadedApk ReceiverDispatcher Args 52497(LoadedApk java:1313)_x000D_
05 30 21:07:11 997 11638 11638 E AndroidRuntime: 	    9 more_x000D_
05 30 21:07:12 004  2390  3813 W ActivityManager:   Force finishing activity ryey easer  core ui MainActivity_x000D_
05 30 21:07:12 008  2390  3813 D ActivityTrigger: ActivityTrigger activityPauseTrigger _x000D_
05 30 21:07:12 016  2390  2504 I ActivityManager: Showing crash dialog for package ryey easer u0_x000D_
   _x000D_
_x000D_
Installed version:_x000D_
0 6 3 from f droid_x000D_
_x000D_
Android infos:_x000D_
Version: 8 1 0  patchlevel 2018 05 01_x000D_
Kernel: 3 18 71 perf_x000D_
_x000D_
Device infos:_x000D_
Nokia 5  model TA 1053_x000D_
_x000D_
Is there any more info you need </t>
  </si>
  <si>
    <t>ZeevoX-Ocquarium-33</t>
  </si>
  <si>
    <t>Crashes when changing octopus size AFTER update</t>
  </si>
  <si>
    <t xml:space="preserve"> Sent by Eliyahu Gluschove Koppel ( egkoppel)  Created by  fire (https:  fire fundersclub com )  
After updating to alpha 56  ocquarium still crashes when opening the octopus size control
     Device info
   Ocquarium build version:  Alpha build  56   
   Device fingerprint:  google taimen taimen:P PPP2 180412 013 4763960:user release keys   
 Attachments: 
1   2018 05 30 10 12 37 mp4 (https:  firebot prod media s3 amazonaws com:443 email attachments a90a4950 7f80 42a8 989c 7cf721559105 2018 05 30 10 12 37 mp4)</t>
  </si>
  <si>
    <t>ramack-ActivityDiary-158</t>
  </si>
  <si>
    <t>Activity Diary v1.2.2 crashes when I imported files with another extension</t>
  </si>
  <si>
    <t xml:space="preserve">     Expected behavior_x000D_
Activity diary allows the import and export of a database which is saved in sqlite3 format  I expected that on importing the database  and using any available file manager for that function  I ll only see the sqlite3 file in the directory where it was saved and even though other file formats can be seen  only the sqlite3 file can be imported successfully  _x000D_
     Actual behavior_x000D_
When I select the import function  my file manager pops up and some files are faded which indicates that the file can t be imported  However files in  pdf   db   kdbx etc formats can be imported and when it is imported  Activity diary said the import was successful but on going back to main menu  the app crashed _x000D_
     How to reproduce_x000D_
Ensure files of any of the aforementioned formats is available on your device  _x000D_
  launch the app_x000D_
  swipe from left to right to reveal menu_x000D_
  goto settings_x000D_
  scroll down to import database (exporting a database ain t really a necessary step to reproduce this)_x000D_
  browse directories to where any of the files is and select it_x000D_
  There s a toast message that import was successful_x000D_
  Go back to menu by pressing back button and the app crashes   hr _x000D_
 _x000D_
     Test Enviroment_x000D_
  Software version: v 1 2 2_x000D_
  Device: Tecno Camon CM_x000D_
  Operating system: Android 7 0_x000D_
_x000D_
     Recording of the bug_x000D_
https:  youtu be lywcchWgvTw_x000D_
     Logcat_x000D_
   FATAL EXCEPTION: GlobalOccurrenceCondition Thread 4_x000D_
Process: de rampro activitydiary  PID: 19473_x000D_
android database sqlite SQLiteException: no such table: diary (code 1)_x000D_
	at android database sqlite SQLiteConnection nativeExecuteForCursorWindow(Native Method)_x000D_
	at android database sqlite SQLiteConnection executeForCursorWindow(SQLiteConnection java:861)_x000D_
	at android database sqlite SQLiteSession executeForCursorWindow(SQLiteSession java:836)_x000D_
	at android database sqlite SQLiteQuery fillWindow(SQLiteQuery java:62)_x000D_
	at android database sqlite SQLiteCursor fillWindow(SQLiteCursor java:154)_x000D_
	at android database sqlite SQLiteCursor getCount(SQLiteCursor java:143)_x000D_
	at android database AbstractCursor moveToPosition(AbstractCursor java:219)_x000D_
	at android database AbstractCursor moveToFirst(AbstractCursor java:258)_x000D_
	at de rampro activitydiary model conditions GlobalOccurrenceCondition doEvaluation(GlobalOccurrenceCondition java:63)_x000D_
	at de rampro activitydiary model conditions Condition 1 run(Condition java:68)_x000D_
	at java lang Thread run(Thread java:761)_x000D_
   _x000D_
The above logcat was gotten gotten when I imported a  db file _x000D_
_x000D_
   _x000D_
FATAL EXCEPTION: GlobalOccurrenceCondition Thread 4_x000D_
Process: de rampro activitydiary  PID: 18957_x000D_
android database sqlite SQLiteDatabaseCorruptException: file is encrypted or is not a database (code 26)_x000D_
	at android database sqlite SQLiteConnection nativeExecuteForCursorWindow(Native Method)_x000D_
	at android database sqlite SQLiteConnection executeForCursorWindow(SQLiteConnection java:861)_x000D_
	at android database sqlite SQLiteSession executeForCursorWindow(SQLiteSession java:836)_x000D_
	at android database sqlite SQLiteQuery fillWindow(SQLiteQuery java:62)_x000D_
	at android database sqlite SQLiteCursor fillWindow(SQLiteCursor java:154)_x000D_
	at android database sqlite SQLiteCursor getCount(SQLiteCursor java:143)_x000D_
	at android database AbstractCursor moveToPosition(AbstractCursor java:219)_x000D_
	at android database AbstractCursor moveToFirst(AbstractCursor java:258)_x000D_
	at de rampro activitydiary model conditions GlobalOccurrenceCondition doEvaluation(GlobalOccurrenceCondition java:63)_x000D_
	at de rampro activitydiary model conditions Condition 1 run(Condition java:68)_x000D_
	at java lang Thread run(Thread java:761)_x000D_
   _x000D_
This one was gotten when I imported a  kdbx(keepass) file_x000D_
_x000D_
Both logcats seem slightly different </t>
  </si>
  <si>
    <t>getodk-collect-2259</t>
  </si>
  <si>
    <t>Database migrations are not executed if app is not launched directly</t>
  </si>
  <si>
    <t xml:space="preserve">     Software and hardware versions _x000D_
Collect versions that involve a database change_x000D_
_x000D_
     Problem description_x000D_
When Collect isn t launched directly  database migrations may not be run _x000D_
_x000D_
     Steps to reproduce the problem_x000D_
I haven t yet reproduced it myself but this is the likely scenario _x000D_
_x000D_
1  Set autosend to true  turn off connectivity_x000D_
1  Finalize a form_x000D_
1  Update Collect but don t open it_x000D_
1  Turn connectivity back on_x000D_
_x000D_
This seems to result in the following crash ( Firebase console (https:  console firebase google com u 0 project api project 322300403941 crashlytics app android:org odk collect android issues 5b04ea9b11e9fa0aa56833df time last seven days sessionId 5B0DABC901BE00014412C514E74B529E DNE 0 v2)):_x000D_
   java_x000D_
Caused by android database sqlite SQLiteException_x000D_
no such column: lastDetectedFormVersionHash (code 1)_x000D_
android database sqlite SQLiteConnection nativeExecuteForCursorWindow (SQLiteConnection java)_x000D_
arrow drop down_x000D_
android content ContentResolver query (ContentResolver java:441)_x000D_
arrow right_x000D_
org odk collect android dao FormsDao getFormsCursor (FormsDao java:47)_x000D_
org odk collect android dao FormsDao getFormsCursorForFormId (FormsDao java:74)_x000D_
org odk collect android receivers NetworkReceiver isFormAutoSendEnabled (NetworkReceiver java:167)_x000D_
org odk collect android receivers NetworkReceiver uploadForms (NetworkReceiver java:107)_x000D_
org odk collect android receivers NetworkReceiver onReceive (NetworkReceiver java:61)_x000D_
android app ActivityThread handleReceiver (ActivityThread java:2921)_x000D_
arrow drop down_x000D_
com android internal os ZygoteInit main (ZygoteInit java:679)_x000D_
   _x000D_
_x000D_
     Expected behavior_x000D_
No crash _x000D_
_x000D_
     Other information _x000D_
I think that in that case    Collect  s  onCreate  is not executed because the app has previously been loaded  See https:  stackoverflow com a 7686586 137744 and the follow up comment   I think the  InstanceProvider  may still be in memory with stale content  This same issue may be happening when Collect is launched via an external intent right after an update </t>
  </si>
  <si>
    <t>google-ExoPlayer-4321</t>
  </si>
  <si>
    <t>Cea608Decoder Span parameter Crash</t>
  </si>
  <si>
    <t xml:space="preserve">This line tends to crash quite often for live content:_x000D_
https:  github com google ExoPlayer blob 2b55c91af0afd1f50f689adb1046f1cf78c887f6 library core src main java com google android exoplayer2 text cea Cea608Decoder java L708_x000D_
_x000D_
I had a pull request for handling the various styles in Cea608Decoders for ExoPlayer 1  For ExoPlayer 2  you have included many parts of that pull request  but you also re designed the handling of the styles by adding the CueStyle class  So my understanding of the CueStyle might be different than yours _x000D_
_x000D_
This current code creates list of CueStyles  and adds them only when the captions are rendered  I could identify one case when this current solution crashes  Incoming caption bytes are:_x000D_
   _x000D_
MISC: RESUME CAPTION LOADING_x000D_
MISC: ERASE DISPLAYED MEMORY_x000D_
MISC: END OF CAPTION_x000D_
MISC: RESUME CAPTION LOADING_x000D_
PAC: Row:14  Col:1  Color:KEEP PREVIOUS COLOR  italic:true  underline:false_x000D_
Incoming char:  A _x000D_
Incoming char:  l _x000D_
Incoming char:  e _x000D_
Incoming char:  v _x000D_
Incoming char:  e _x000D_
Incoming char:    _x000D_
Incoming char:  P _x000D_
Incoming char:  M _x000D_
Incoming char:    _x000D_
Incoming char:  f _x000D_
Incoming char:  o _x000D_
Incoming char:  r _x000D_
Incoming char:    _x000D_
Incoming char:  a _x000D_
Incoming char:    _x000D_
Incoming char:  B _x000D_
Incoming char:  e _x000D_
Incoming char:  t _x000D_
Incoming char:  t _x000D_
Incoming char:  e _x000D_
Incoming char:  r _x000D_
Incoming char:    _x000D_
Incoming char:  A _x000D_
Incoming char:  M _x000D_
Incoming char:    _x000D_
MISC: RESUME CAPTION LOADING_x000D_
MISC: ERASE DISPLAYED MEMORY_x000D_
MISC: END OF CAPTION_x000D_
MISC: ERASE DISPLAYED MEMORY_x000D_
MISC: RESUME DIRECT CAPTIONING_x000D_
PAC: Row:15  Col:1  Color:WHITE  italic:false  underline:false_x000D_
MRC: ITALIC TURNED ON_x000D_
Incoming char:    _x000D_
MISC: BACKSPACE_x000D_
   _x000D_
_x000D_
The crash itself is:_x000D_
   _x000D_
05 26 08:49:36 592 E ExoPlayerImplInternal(13783): Internal runtime error _x000D_
05 26 08:49:36 592 E ExoPlayerImplInternal(13783): java lang IndexOutOfBoundsException: setSpan (1     0) has end before start_x000D_
05 26 08:49:36 592 E ExoPlayerImplInternal(13783): 	at android text SpannableStringBuilder checkRange(SpannableStringBuilder java:1313)_x000D_
05 26 08:49:36 592 E ExoPlayerImplInternal(13783): 	at android text SpannableStringBuilder setSpan(SpannableStringBuilder java:683)_x000D_
05 26 08:49:36 592 E ExoPlayerImplInternal(13783): 	at android text SpannableStringBuilder setSpan(SpannableStringBuilder java:676)_x000D_
05 26 08:49:36 592 E ExoPlayerImplInternal(13783): 	at com google android exoplayer2 text cea Cea608Decoder CueBuilder buildSpannableString(Cea608Decoder java:1190)_x000D_
   _x000D_
(As the line numbers suggest  we have some modifications in Cea608Decoder that is not shared (yet)  but the crash should be present irrespective of our changes )_x000D_
_x000D_
The issue  seems to be the independent handling of the characters and the spans: backspace should be able to clear any characters and possibly create empty spans as well  This list of Spans applied right before rendering seems to be a fragile solution  In this specific case leading to the crash  turning on ITALIC adds two items to the span list:_x000D_
https:  github com google ExoPlayer blob 2b20780482a9c6b07416bcbf4de829532859d10a library core src main java com google android exoplayer2 text cea Cea608Decoder java L384 L385_x000D_
_x000D_
Then comes a BackSpace command and our indices become invalid _x000D_
_x000D_
The crash can be avoided simply be checking the validity of the Span indices for the current content of the StringBuilder  Although it is hard to prove that the intention of the caption provider was matching the rendered result  I have a few question:_x000D_
_x000D_
1  Is the CueStyle nextStyleIncrement member introduced only to handle the priorities of the CEA608 styles _x000D_
1  Shouldn t the preamble and mid row styles handled in a single list as they both contain the same styling options _x000D_
1  As I recall  my version of Span handling added them whenever a span is closed  For example  when you set a color  all previous color spans should be closed instead of adding cascading color spans to the string  Isn t that a better approach _x000D_
1  Currently  the Italic command adds a Span for Italic  and also a color White Span  Shouldn t we replace the  adding the white span  with  closing any previous color spans  instead  Adding a white span means that this might rendered in white irrespective of the  default color  setting of the user  (Cea608 had implicit white as default color and was not prepared to have any user settings like the ones provided by CaptioningManager)_x000D_
_x000D_
</t>
  </si>
  <si>
    <t>nextcloud-android-2639</t>
  </si>
  <si>
    <t>[3.2.0.RC1] Crashes on start after app update</t>
  </si>
  <si>
    <t xml:space="preserve">    Actual behaviour_x000D_
  Tell us what happens_x000D_
Nextcloud no longer works after updating to  I believe  3 2 0 RC1 _x000D_
I was using my phone when I received Nextcloud app crash window poping  I noticed it had been updated a few minutes earlier _x000D_
_x000D_
_x000D_
    Expected behaviour_x000D_
  Tell us what should happen_x000D_
I can no longer run Netcloud app as it crashes on start  I uninstalled the app and installed it a few times without any results  _x000D_
_x000D_
    Steps to reproduce_x000D_
1  Installing 3 2 0 RC1_x000D_
2  launching the app and crash _x000D_
3  _x000D_
_x000D_
_x000D_
    Environment data_x000D_
Android version:_x000D_
4 x_x000D_
Device model: _x000D_
Samsung Galaxy II_x000D_
Stock or customized system:_x000D_
Stock_x000D_
Nextcloud app version:_x000D_
3 2 0 RC1_x000D_
Nextcloud server version:_x000D_
13 1_x000D_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</si>
  <si>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vhaudiquet-blade-player-12</t>
  </si>
  <si>
    <t>Application crashes on opening</t>
  </si>
  <si>
    <t>Project Information_x000D_
 Repository_x000D_
https:  github com Valou3433 blade player_x000D_
_x000D_
 Project Name: Blade player_x000D_
_x000D_
Expected Behaviour_x000D_
User should be able to start and run the app without crashing_x000D_
_x000D_
Actual behaviour_x000D_
Application crash on open  thereby not allowing user to perform any operation_x000D_
_x000D_
How to reproduce_x000D_
1  Download and install latest version of the app from github release_x000D_
2  Open the application_x000D_
3  The application crash immediately_x000D_
_x000D_
 Browser:blade player v0 6_x000D_
 Operating System:Android 7 0_x000D_
_x000D_
Recording of the bug_x000D_
https:  youtu be 1vw2PQYjMO8</t>
  </si>
  <si>
    <t>konradrenner-kolabnotes-android-186</t>
  </si>
  <si>
    <t>Kolab Notizen v 3.1.3 Crash when select and open the Print feature in android 7.0</t>
  </si>
  <si>
    <t xml:space="preserve">  Expected behavior_x000D_
When selecting and opening the Print feature  the user should be redirected to the Save as PDF or All Printers page  So users can set Paper size  Orientation  Color and more  Before starting Print _x000D_
_x000D_
_x000D_
  Actual behavior_x000D_
When selecting and opening the Print feature  the app suddenly crashes and stops _x000D_
_x000D_
_x000D_
  How to reproduce_x000D_
  Launch app  _x000D_
_x000D_
  Click the top right shortcut  then select and open the setup feature _x000D_
_x000D_
  Select and open General feature  then Disable all features in it  except feature Show metainformations _x000D_
_x000D_
  Return to the previous menu  or to the main view open the app _x000D_
_x000D_
  Click the top right shortcut  then select and open the New notebook feature _x000D_
_x000D_
  Enter the name of the new notebook  then click Ok to save it _x000D_
_x000D_
  Then click the pencil icon to add a summary _x000D_
_x000D_
  Click the top right shortcut  then select and open the Print feature  Problems coming soon   The application suddenly crashes and stops  _x000D_
_x000D_
 center Browser: Samsung Galaxy S6 edge_x000D_
Operating system: Nougat 7 0_x000D_
App version: 3 1 3  center _x000D_
_x000D_
_x000D_
  Recording Of The Bug_x000D_
https:  youtu be A MnGoJvL2M_x000D_
_x000D_
_x000D_
  Proof of work done_x000D_
 https:  github com ammarraisafti</t>
  </si>
  <si>
    <t>evernote-android-job-464</t>
  </si>
  <si>
    <t>1.3.0-alpha01 - RuntimeException while executing doInBackground()</t>
  </si>
  <si>
    <t>After switching to 1 3 0 alpha01  I m getting a lot of the following crash report on Android 7 and 8_x000D_
_x000D_
Fatal Exception: java lang RuntimeException_x000D_
An error occurred while executing doInBackground()_x000D_
android os AsyncTask 3 done (AsyncTask java:353)_x000D_
java util concurrent FutureTask finishCompletion (FutureTask java:383)_x000D_
java util concurrent FutureTask setException (FutureTask java:252)_x000D_
java util concurrent FutureTask run (FutureTask java:271)_x000D_
java util concurrent ThreadPoolExecutor runWorker (ThreadPoolExecutor java:1162)_x000D_
java util concurrent ThreadPoolExecutor Worker run (ThreadPoolExecutor java:636)_x000D_
java lang Thread run (Thread java:764)_x000D_
_x000D_
Caused by java lang IllegalStateException_x000D_
Cannot invoke removeObserver on a background thread_x000D_
android arch lifecycle LiveData assertMainThread (SourceFile:435)_x000D_
android arch lifecycle LiveData removeObserver (SourceFile:217)_x000D_
android arch lifecycle MediatorLiveData Source unplug (SourceFile:145)_x000D_
android arch lifecycle MediatorLiveData onInactive (SourceFile:126)_x000D_
android arch lifecycle LiveData ObserverWrapper shouldBeActive (SourceFile:413)_x000D_
android arch lifecycle LiveData observeForever (SourceFile:207)_x000D_
com evernote android job work JobProxyWorkManager getWorkStatusBlocking (SourceFile:144)_x000D_
com evernote android job work JobProxyWorkManager isPlatformJobScheduled (SourceFile:85)_x000D_
com evernote android job JobRescheduleService rescheduleJobs (SourceFile:110)_x000D_
com evernote android job JobRescheduleService onHandleWork (SourceFile:85)_x000D_
android support v4 app JobIntentService CommandProcessor doInBackground (SourceFile:391)_x000D_
android support v4 app JobIntentService CommandProcessor doInBackground (SourceFile:382)_x000D_
android os AsyncTask 2 call (AsyncTask java:333)_x000D_
java util concurrent FutureTask run (FutureTask java:266)_x000D_
java util concurrent ThreadPoolExecutor runWorker (ThreadPoolExecutor java:1162)_x000D_
java util concurrent ThreadPoolExecutor Worker run (ThreadPoolExecutor java:636)_x000D_
java lang Thread run (Thread java:764)</t>
  </si>
  <si>
    <t>beenotung-music-player-3</t>
  </si>
  <si>
    <t>Crash Problems on "Next Feature"</t>
  </si>
  <si>
    <t xml:space="preserve">     Expected behavior_x000D_
Supposedly  When first opening the app and pressing  Icon Next  the application does not Crash _x000D_
_x000D_
     Actual behavior_x000D_
Initially I accidentally pressed the icon  suddenly directly causing the application to crash  But I try to repeat again to make sure  it turns out the error is really pure technical  the application still crashes _x000D_
_x000D_
The first time you open the app and press the  Next Icons  application instantly Crash _x000D_
_x000D_
     How to reproduce_x000D_
1  Instal App  here (https:  play google com store apps details id com github beenotung musicplayer)_x000D_
2  Run the app and immediately click  next icon   Application will crash _x000D_
_x000D_
  Screenshot 2018 05 29 00 50 19 958 com whatsapp png (https:  cdn steemitimages com DQmSXFmcrWbS8YvjzrpGuoUG1ZnF9egW82eHcQchh78yPU1 Screenshot 2018 05 29 00 50 19 958 com whatsapp png)_x000D_
_x000D_
     Environment_x000D_
         Device : Redmi Note 5A_x000D_
         System Operating : 7 1 0 Nougat_x000D_
         App Version : 1 3 0_x000D_
_x000D_
   _x000D_
   _x000D_
_x000D_
      center Recording Of The Issues  center _x000D_
https:  youtu be 1LQTpX6qBzI_x000D_
_x000D_
   _x000D_
_x000D_
      center Logcat  center _x000D_
        center  As proof that the application does occur crash  center _x000D_
_x000D_
   _x000D_
05 29 00:34:33 551 16842 16842 E AndroidRuntime: FATAL EXCEPTION: main_x000D_
05 29 00:34:33 551 16842 16842 E AndroidRuntime: Process: com github beenotung musicplayer  PID: 16842_x000D_
05 29 00:34:33 551 16842 16842 E AndroidRuntime: java lang IllegalArgumentException: n must be positive_x000D_
05 29 00:34:33 551 16842 16842 E AndroidRuntime: 	at java util Random nextInt(Random java:391)_x000D_
05 29 00:34:33 551 16842 16842 E AndroidRuntime: 	at com github beenotung musicplayer MainActivity PlayerContainer next song(MainActivity java:947)_x000D_
05 29 00:34:33 551 16842 16842 E AndroidRuntime: 	at com github beenotung musicplayer MainActivity PlayerContainer 3 onClick(MainActivity java:779)_x000D_
05 29 00:34:33 551 16842 16842 E AndroidRuntime: 	at android view View performClick(View java:5647)_x000D_
05 29 00:34:33 551 16842 16842 E AndroidRuntime: 	at android view View PerformClick run(View java:22462)_x000D_
05 29 00:34:33 551 16842 16842 E AndroidRuntime: 	at android os Handler handleCallback(Handler java:754)_x000D_
05 29 00:34:33 551 16842 16842 E AndroidRuntime: 	at android os Handler dispatchMessage(Handler java:95)_x000D_
05 29 00:34:33 551 16842 16842 E AndroidRuntime: 	at android os Looper loop(Looper java:163)_x000D_
05 29 00:34:33 551 16842 16842 E AndroidRuntime: 	at android app ActivityThread main(ActivityThread java:6361)_x000D_
05 29 00:34:33 551 16842 16842 E AndroidRuntime: 	at java lang reflect Method invoke(Native Method)_x000D_
05 29 00:34:33 551 16842 16842 E AndroidRuntime: 	at com android internal os ZygoteInit MethodAndArgsCaller run(ZygoteInit java:904)_x000D_
05 29 00:34:33 551 16842 16842 E AndroidRuntime: 	at com android internal os ZygoteInit main(ZygoteInit java:794)_x000D_
   </t>
  </si>
  <si>
    <t>jruesga-PhotoPhase-38</t>
  </si>
  <si>
    <t>PhotoPhase v 2.7.0 crashes when screen orientation in Android 7.0</t>
  </si>
  <si>
    <t xml:space="preserve">_x000D_
  Expected behavior_x000D_
After disabling the Sepia  Sobel  and Swirl features in Types settings or in the Effects menu section  The ability to switch to landscape display mode should be possible _x000D_
_x000D_
_x000D_
  Actual behavior_x000D_
After disabling the Sepia  Sobel  and Swirl features in Types settings or in the Effects menu section  I accidentally switched to landscape view mode  suddenly the app stopped _x000D_
_x000D_
_x000D_
  How to reproduce_x000D_
  Launch app  _x000D_
  Go to the General settings  then select and open the Types feature under the Effects menu _x000D_
  Enable features Sepia  Sobel  and Swirl  Then click Ok to save it _x000D_
  Go back to the Types feature  then disable the Sepia  Sobel  and Swirl features  Next you have to switch to landscape display mode   Then you will find the problem as I have explained  _x000D_
_x000D_
 center Browser: Samsung Galaxy S6 edge_x000D_
Operating system: Nougat 7 0_x000D_
App version: 2 7 0  center _x000D_
_x000D_
_x000D_
  Recording Of The Bug_x000D_
https:  youtu be sqW0GA mxGk_x000D_
_x000D_
  Logcat_x000D_
 code           beginning of crash_x000D_
05 28 21:43:34 104 16295 16295 E AndroidRuntime: FATAL EXCEPTION: main_x000D_
05 28 21:43:34 104 16295 16295 E AndroidRuntime: Process: com ruesga android wallpapers photophase  PID: 16295_x000D_
05 28 21:43:34 104 16295 16295 E AndroidRuntime: java lang NullPointerException: Attempt to invoke virtual method  android content res Resources android content Context getResources()  on a null object reference_x000D_
05 28 21:43:34 104 16295 16295 E AndroidRuntime: 	at com ruesga android wallpapers photophase preferences c a b d b(SourceFile:261)_x000D_
05 28 21:43:34 104 16295 16295 E AndroidRuntime: 	at com ruesga android wallpapers photophase preferences GeneralPreferenceFragment 1 onPreferenceChange(SourceFile:104)_x000D_
05 28 21:43:34 104 16295 16295 E AndroidRuntime: 	at android preference Preference callChangeListener(Preference java:1128)_x000D_
05 28 21:43:34 104 16295 16295 E AndroidRuntime: 	at android preference MultiSelectListPreference onDialogClosed(MultiSelectListPreference java:213)_x000D_
05 28 21:43:34 104 16295 16295 E AndroidRuntime: 	at com ruesga android wallpapers photophase preferences MultiSelectListPreferenceCompat onDialogClosed(SourceFile:114)_x000D_
05 28 21:43:34 104 16295 16295 E AndroidRuntime: 	at android preference DialogPreference onDismiss(DialogPreference java:400)_x000D_
05 28 21:43:34 104 16295 16295 E AndroidRuntime: 	at android app Dialog ListenersHandler handleMessage(Dialog java:1632)_x000D_
05 28 21:43:34 104 16295 16295 E AndroidRuntime: 	at android os Handler dispatchMessage(Handler java:102)_x000D_
05 28 21:43:34 104 16295 16295 E AndroidRuntime: 	at android os Looper loop(Looper java:154)_x000D_
05 28 21:43:34 104 16295 16295 E AndroidRuntime: 	at android app ActivityThread main(ActivityThread java:6682)_x000D_
05 28 21:43:34 104 16295 16295 E AndroidRuntime: 	at java lang reflect Method invoke(Native Method)_x000D_
05 28 21:43:34 104 16295 16295 E AndroidRuntime: 	at com android internal os ZygoteInit MethodAndArgsCaller run(ZygoteInit java:1520)_x000D_
05 28 21:43:34 104 16295 16295 E AndroidRuntime: 	at com android internal os ZygoteInit main(ZygoteInit java:1410)_x000D_
05 28 21:43:34 109  4675  4675 V StatusBar BrightnessController: updateMode  autobrightness is  false_x000D_
05 28 21:43:34 110  4675  4675 V StatusBar BrightnessController: updateSlider   64_x000D_
05 28 21:43:34 111  4675  4675 D ToggleSlider: setOutdoorMode false_x000D_
05 28 21:43:34 111  4675  4675 D QSBrightnessView: QSBrightnessView_x000D_
05 28 21:43:34 117  3710  6252 D Debug   :   DumpState : SHIP_x000D_
05 28 21:43:34 118  3710  6252 D Debug   :   DumpState : debug level:0x4f4c_x000D_
05 28 21:43:34 118  3710  6252 D Debug   :   Dumpstate : Finally  system will skip dumpstate_x000D_
05 28 21:43:34 121  3710  6252 W ActivityManager:   Force finishing activity   code </t>
  </si>
  <si>
    <t>vhaudiquet-blade-player-10</t>
  </si>
  <si>
    <t>Blade player crashes when trying to play music</t>
  </si>
  <si>
    <t xml:space="preserve">     Expected behavior_x000D_
The app being a music player app   should play music files when selected to play _x000D_
 _x000D_
 _x000D_
     Actual behavior       _x000D_
The app crashes and fails to   play music  _x000D_
 _x000D_
 _x000D_
     How to reproduce_x000D_
1      Download and install latest version of the app from   github release  _x000D_
 2      Launch the app and grant storage permissions   _x000D_
3      Access the menu slider options by sliding the left   end of the screen and then click on songs   _x000D_
4      Click on a song to play_x000D_
It will be seen that the app crashes   hence  the bug _x000D_
  Browser App version: app   version 0 6_x000D_
 Operating system: Android 6 0_x000D_
 _x000D_
     Recording Of The Bug       _x000D_
https:  youtu be VPBw2Kd65u8_x000D_
_x000D_
     log_x000D_
    _x000D_
05 28 14:51:39 714 I ActivityManager(942): START u0  act android intent action MAIN cat  android intent category LAUNCHER  flg 0x10200000 cmp v blade  ui MainActivity bnds  860 1248  1073 1527  (has extras)  from uid 1000 from pid 1771 on display 0_x000D_
05 28 14:51:39 723 V WindowManager(942): Set focused app to: AppWindowToken f170d09 token Token 3080e10 ActivityRecord d1de2d3 u0 v blade  ui MainActivity t77271    old focus AppWindowToken bfbba08 token Token a5563ab ActivityRecord 338f1fa u0 com infinix xlauncher com android launcher3 Launcher t77147    moveFocusNow true_x000D_
05 28 14:51:39 724 V WindowManager(942): findFocusedWindow: Reached focused app AppWindowToken f170d09 token Token 3080e10 ActivityRecord d1de2d3 u0 v blade  ui MainActivity t77271   _x000D_
05 28 14:51:39 735 V WindowManager(942): findFocusedWindow: Reached focused app AppWindowToken f170d09 token Token 3080e10 ActivityRecord d1de2d3 u0 v blade  ui MainActivity t77271   _x000D_
05 28 14:51:39 742 D AppOps  (942): noteOperation: allowing code 59 uid 10430 package v blade_x000D_
05 28 14:51:39 742 D AppOps  (942): noteOperation: allowing code 60 uid 10430 package v blade_x000D_
05 28 14:51:39 755 I ActivityManager(942): Start proc 10223:v blade u0a430 for activity v blade  ui MainActivity_x000D_
05 28 14:51:39 759 I WindowStateAnimator(942): lockCanvas  mToken  AppWindowToken f170d09 token Token 3080e10 ActivityRecord d1de2d3 u0 v blade  ui MainActivity t77271   _x000D_
05 28 14:51:39 887 I PPS     (942):  notifyActivityState  v blade   ui MainActivity  Resumed_x000D_
05 28 14:51:39 887 I PPS     (942):  PPSNotifyAppState  nPackNum:60  pack:v blade  com: ui MainActivity  state:1  pid:10223  last boost tid:10223_x000D_
05 28 14:51:40 009 I ACRA    (10223): ACRA is enabled for v blade  initializing   _x000D_
05 28 14:51:40 042 D ActivityThread(10223): BIND APPLICATION handled : 0   AppBindData appInfo ApplicationInfo 4335076 v blade  _x000D_
05 28 14:51:40 042 V ActivityThread(10223): Handling launch of ActivityRecord da16677 token android os BinderProxy 1fb12e4  v blade v blade ui MainActivity   startsNotResumed false_x000D_
05 28 14:51:40 054 V ActivityThread(10223): ActivityRecord da16677 token android os BinderProxy 1fb12e4  v blade v blade ui MainActivity  : app v blade BladeApplication 97bfe02  appName v blade  pkg v blade  comp  v blade v blade ui MainActivity   dir  data app v blade 1 base apk_x000D_
05 28 14:51:40 112 D Resources(10223): resEntryNameFinal   v blade colorPrimaryDark_x000D_
05 28 14:51:40 124 D Resources(10223): resEntryNameFinal   v blade colorPrimary_x000D_
05 28 14:51:40 129 D Resources(10223): resEntryNameFinal   v blade colorPrimary_x000D_
05 28 14:51:40 148 D Resources(10223): resEntryNameFinal   v blade colorPrimary_x000D_
05 28 14:51:40 151 D Resources(10223): resEntryNameFinal   v blade ic unknown_x000D_
05 28 14:51:40 166 D Resources(10223): resEntryNameFinal   v blade ic play action_x000D_
05 28 14:51:40 218 D Resources(10223): resEntryNameFinal   v blade ic search_x000D_
05 28 14:51:40 220 D Resources(10223): resEntryNameFinal   v blade ic artists_x000D_
05 28 14:51:40 222 D Resources(10223): resEntryNameFinal   v blade colorPrimary_x000D_
05 28 14:51:40 292 W ActivityManager(942): Unable to start service Intent   cmp v blade  library LibraryService   U 0: not found_x000D_
05 28 14:51:40 293 I System out(10223):  BLADE LOCAL  Registering songs   _x000D_
05 28 14:51:40 294 V ActivityThread(10223): Performing resume of ActivityRecord da16677 token android os BinderProxy 1fb12e4  v blade v blade ui MainActivity  _x000D_
05 28 14:51:40 294 D ActivityThread    </t>
  </si>
  <si>
    <t>oliexdev-openScale-276</t>
  </si>
  <si>
    <t xml:space="preserve">app crash while open widget without saving User information </t>
  </si>
  <si>
    <t xml:space="preserve">     Expected behavior_x000D_
it shouldn t be crash when try to open app widget without saving User information  _x000D_
_x000D_
     Actual behavior_x000D_
when i try to open widget without saving User information it crash and shows me that   An unexpected error occurred    _x000D_
_x000D_
     How to reproduce_x000D_
  download the app and run it then set up with user information_x000D_
  then go to settings and click on users_x000D_
  now open user  and click on delete icon for remove user_x000D_
  now go to widgets and find  open Scale widget_x000D_
  then put it on home screen and it wants to configure widget_x000D_
  now click on save and note the bug_x000D_
_x000D_
  Browser App version: openScale v1 8 1_x000D_
 Operating system: android 6 0_x000D_
_x000D_
     Recording Of The Bug_x000D_
https:  www youtube com watch v zf4CTh7eX6I_x000D_
_x000D_
_x000D_
   _x000D_
Build version: 1 8 1 _x000D_
Current date: 2018 05 28 16:43:52 _x000D_
Device: Symphony V75 _x000D_
 _x000D_
Stack trace:  _x000D_
java lang ArrayIndexOutOfBoundsException: length 0  index  1_x000D_
	at java util ArrayList get(ArrayList java:310)_x000D_
	at com health openscale gui widget WidgetConfigure 1 onClick(WidgetConfigure java:100)_x000D_
	at android view View performClick(View java:5265)_x000D_
	at android view View PerformClick run(View java:21534)_x000D_
	at android os Handler handleCallback(Handler java:815)_x000D_
	at android os Handler dispatchMessage(Handler java:104)_x000D_
	at android os Looper loop(Looper java:207)_x000D_
	at android app ActivityThread main(ActivityThread java:5728)_x000D_
	at java lang reflect Method invoke(Native Method)_x000D_
	at com android internal os ZygoteInit MethodAndArgsCaller run(ZygoteInit java:789)_x000D_
	at com android internal os ZygoteInit main(ZygoteInit java:679)_x000D_
_x000D_
User actions: _x000D_
2018 05 28 16:28:23: MainActivity resumed_x000D_
2018 05 28 16:28:23: MainActivity paused_x000D_
2018 05 28 16:28:23: UserSettingsActivity created_x000D_
2018 05 28 16:28:23: UserSettingsActivity resumed_x000D_
2018 05 28 16:29:15: UserSettingsActivity paused_x000D_
2018 05 28 16:29:15: MainActivity resumed_x000D_
2018 05 28 16:29:15: UserSettingsActivity destroyed_x000D_
2018 05 28 16:29:45: MainActivity paused_x000D_
2018 05 28 16:31:43: MainActivity resumed_x000D_
2018 05 28 16:31:45: MainActivity paused_x000D_
2018 05 28 16:31:45: SettingsActivity created_x000D_
2018 05 28 16:31:45: SettingsActivity resumed_x000D_
2018 05 28 16:31:46: SettingsActivity paused_x000D_
2018 05 28 16:31:46: SettingsActivity created_x000D_
2018 05 28 16:31:46: SettingsActivity resumed_x000D_
2018 05 28 16:31:48: SettingsActivity paused_x000D_
2018 05 28 16:31:48: UserSettingsActivity created_x000D_
2018 05 28 16:31:48: UserSettingsActivity resumed_x000D_
2018 05 28 16:31:59: MainActivity destroyed_x000D_
2018 05 28 16:31:59: MainActivity created_x000D_
2018 05 28 16:31:59: MainActivity resumed_x000D_
2018 05 28 16:31:59: MainActivity paused_x000D_
2018 05 28 16:31:59: UserSettingsActivity paused_x000D_
2018 05 28 16:32:00: SettingsActivity resumed_x000D_
2018 05 28 16:32:00: UserSettingsActivity destroyed_x000D_
2018 05 28 16:32:28: SettingsActivity paused_x000D_
2018 05 28 16:32:28: SettingsActivity resumed_x000D_
2018 05 28 16:32:28: SettingsActivity destroyed_x000D_
2018 05 28 16:32:30: SettingsActivity paused_x000D_
2018 05 28 16:32:30: SettingsActivity created_x000D_
2018 05 28 16:32:30: SettingsActivity resumed_x000D_
2018 05 28 16:32:53: SettingsActivity paused_x000D_
2018 05 28 16:32:53: UserSettingsActivity created_x000D_
2018 05 28 16:32:53: UserSettingsActivity resumed_x000D_
2018 05 28 16:33:29: UserSettingsActivity paused_x000D_
2018 05 28 16:35:59: UserSettingsActivity resumed_x000D_
2018 05 28 16:36:05: UserSettingsActivity paused_x000D_
2018 05 28 16:36:05: SettingsActivity resumed_x000D_
2018 05 28 16:36:05: UserSettingsActivity destroyed_x000D_
2018 05 28 16:36:06: SettingsActivity paused_x000D_
2018 05 28 16:36:12: WidgetConfigure created_x000D_
2018 05 28 16:36:12: WidgetConfigure resumed_x000D_
   _x000D_
_x000D_
_x000D_
_x000D_
</t>
  </si>
  <si>
    <t>react-native-camera-react-native-camera-1585</t>
  </si>
  <si>
    <t>I got crash at onLayout in Android.</t>
  </si>
  <si>
    <t xml:space="preserve">I call getSupportedRatiosAsync for Android setup  which (I guess) result in crash as follows _x000D_
_x000D_
https:  github com react native community react native camera blob 60b9ef1b84377f7102b0635b9e09b7c7b5511fe2 android src main java org reactnative camera RNCameraView java L191_x000D_
_x000D_
I get width   height ratio list and set camera aspect ratio to closest one  Some phone generates this error which I found Crashlytics  I guess this line needs some protective code _x000D_
_x000D_
More : It happens almost in Huawei devices  Phone  tablet _x000D_
</t>
  </si>
  <si>
    <t>voroshkov-Chorus-RF-Laptimer-89</t>
  </si>
  <si>
    <t>The Chorus RF Laptimer v 0.75 application crashes when trying to reenter it</t>
  </si>
  <si>
    <t xml:space="preserve">_x000D_
  Expected behavior_x000D_
After opening the Connect via Bluetooth feature  then switch to landscape display mode  the ability to switch to landscape view mode should be possible  And once the user exits the app  the ability to enter into the application too should be possible _x000D_
_x000D_
  Actual behavior_x000D_
After unlocking the Connect via Bluetooth feature  then switching to landscape display mode  I redirected to the main page of the app  Next I minimize the app  then log back into the app  suddenly the application crashes and stops _x000D_
_x000D_
  How to reproduce_x000D_
1  Install and open the app _x000D_
_x000D_
2  Click the top right shortcut  then select and open the Connect via Bluetooth feature _x000D_
_x000D_
3  Next you have to switch to landscape display mode  then you will find the problem as I have experienced   Redirected to app main page  _x000D_
_x000D_
4  Next you have to minimize the application  then log back into the application  Then you will find the problem as I have experienced   The application suddenly crashes and stops  _x000D_
_x000D_
  Browser: Samsung Galaxy S6 edge_x000D_
  Operating system: Nougat 7 0_x000D_
  App version: 0 7 5_x000D_
_x000D_
  Recording Of The Bug_x000D_
https:  youtu be NFWPiGtgMm0_x000D_
_x000D_
  Logcat_x000D_
  code            beginning of crash_x000D_
05 23 19:23:01 939 13357 13357 E AndroidRuntime: FATAL EXCEPTION: main_x000D_
05 23 19:23:01 939 13357 13357 E AndroidRuntime: Process: app andrey voroshkov chorus laptimer  PID: 13357_x000D_
05 23 19:23:01 939 13357 13357 E AndroidRuntime: java lang NullPointerException: Attempt to invoke virtual method  int app akexorcist bluetotohspp library b a()  on a null object reference_x000D_
05 23 19:23:01 939 13357 13357 E AndroidRuntime: 	at app akexorcist bluetotohspp library a b(Unknown Source)_x000D_
05 23 19:23:01 939 13357 13357 E AndroidRuntime: 	at app andrey voroshkov chorus laptimer c a(Unknown Source)_x000D_
05 23 19:23:01 939 13357 13357 E AndroidRuntime: 	at app andrey voroshkov chorus laptimer b a(Unknown Source)_x000D_
05 23 19:23:01 939 13357 13357 E AndroidRuntime: 	at app andrey voroshkov chorus laptimer p 2 onClick(Unknown Source)_x000D_
05 23 19:23:01 939 13357 13357 E AndroidRuntime: 	at android view View performClick(View java:6205)_x000D_
05 23 19:23:01 939 13357 13357 E AndroidRuntime: 	at android widget TextView performClick(TextView java:11103)_x000D_
05 23 19:23:01 939 13357 13357 E AndroidRuntime: 	at android widget CompoundButton performClick(CompoundButton java:130)_x000D_
05 23 19:23:01 939 13357 13357 E AndroidRuntime: 	at android view View PerformClick run(View java:23653)_x000D_
05 23 19:23:01 939 13357 13357 E AndroidRuntime: 	at android os Handler handleCallback(Handler java:751)_x000D_
05 23 19:23:01 939 13357 13357 E AndroidRuntime: 	at android os Handler dispatchMessage(Handler java:95)_x000D_
05 23 19:23:01 939 13357 13357 E AndroidRuntime: 	at android os Looper loop(Looper java:154)_x000D_
05 23 19:23:01 939 13357 13357 E AndroidRuntime: 	at android app ActivityThread main(ActivityThread java:6682)_x000D_
05 23 19:23:01 939 13357 13357 E AndroidRuntime: 	at java lang reflect Method invoke(Native Method)_x000D_
05 23 19:23:01 939 13357 13357 E AndroidRuntime: 	at com android internal os ZygoteInit MethodAndArgsCaller run(ZygoteInit java:1520)_x000D_
05 23 19:23:01 939 13357 13357 E AndroidRuntime: 	at com android internal os ZygoteInit main(ZygoteInit java:1410)_x000D_
05 23 19:23:01 961  3702  4517 D Debug   :   DumpState : SHIP_x000D_
05 23 19:23:01 961  3702  4517 D Debug   :   DumpState : debug level:0x4f4c_x000D_
05 23 19:23:01 961  3702  4517 D Debug   :   Dumpstate : Finally  system will skip dumpstate_x000D_
05 23 19:23:01 966  3702  4517 W ActivityManager:   Force finishing activity   code _x000D_
</t>
  </si>
  <si>
    <t>zouroboros-filmchecker-11</t>
  </si>
  <si>
    <t>this app crashes when using the rossman feature if there is no internet connection after writing multiple letters</t>
  </si>
  <si>
    <t xml:space="preserve">EXPECTED BEHAVIOR_x000D_
should be when user wants to update movie files user can update it easily _x000D_
_x000D_
ACTUAL BEHAVIOR_x000D_
when users update movie files  but users do not have a network connection and after the user wrote some letters  this application crashes and can no longer be opened_x000D_
_x000D_
HOW TO REPRODUCE_x000D_
DOWNLOAD FILM CHEKER APP FROM F DROID OR PLAYSTORE_x000D_
LAUCH THE APP_x000D_
TURN OFF YOUR DATA CONNECTION_x000D_
CLICK ON  OPTION_x000D_
CHOSEROSSMAN FEATURE_x000D_
TYPE SOME LETTER AND NOTE THE BUG_x000D_
BROWSER   FILM CHEKER V 1 4 1 0_x000D_
DEVICE   ANDROId 6 0_x000D_
_x000D_
   Process: me murks filmchecker  PID: 10476_x000D_
java lang NullPointerException: Attempt to invoke interface method  java util Iterator java util List iterator()  on a null object reference_x000D_
    at me murks filmchecker background RmLoadStoresTask onPostExecute(RmLoadStoresTask java:50)_x000D_
    at me murks filmchecker background RmLoadStoresTask onPostExecute(RmLoadStoresTask java:20)_x000D_
    at android os AsyncTask finish(AsyncTask java:636)_x000D_
    at android os AsyncTask access 500(AsyncTask java:177)_x000D_
    at android os AsyncTask InternalHandler handleMessage(AsyncTask java:653)_x000D_
    at android os Handler dispatchMessage(Handler java:102)_x000D_
    at android os Looper loop(Looper java:135)_x000D_
    at android app ActivityThread main(ActivityThread java:5376)_x000D_
    at java lang reflect Method invoke(Native Method)_x000D_
    at java lang reflect Method invoke(Method java:372)_x000D_
    at com android internal os ZygoteInit MethodAndArgsCaller run(ZygoteInit java:947)_x000D_
    at com android internal os ZygoteInit main(ZygoteInit java:742)   </t>
  </si>
  <si>
    <t>OpenArchive-Save-app-android-66</t>
  </si>
  <si>
    <t>CRASH OCCUR WHEN ATTEMPTING TO OPEN AN MP3 OT MP4 FILE WITHIN OPRNARCHIVE</t>
  </si>
  <si>
    <t xml:space="preserve">     Actual behavior_x000D_
_x000D_
Openarchive crashes and quits the upload page when attempting to open  mp3 or  mp4 extension files which were imported from sdcard _x000D_
_x000D_
     How to reproduce_x000D_
  Launch OpenArchive _x000D_
_x000D_
  Click on the floating action button  to reveal the import media icon _x000D_
_x000D_
  Click the import media icon and import mp4 and mp3extension files from your sdcard _x000D_
_x000D_
  After importing  click on any of the files from the home page to access it _x000D_
_x000D_
  Then click on the thumbnail within the upload page _x000D_
_x000D_
The app should crash and quit the upload page _x000D_
_x000D_
     TESTING ENVIRONMENT_x000D_
_x000D_
  Browser App version: v0 0 17 beta 5_x000D_
_x000D_
  Operating system: Android v6 0 marshmallow_x000D_
_x000D_
  Device: Itel p12_x000D_
_x000D_
_x000D_
    Log_x000D_
_x000D_
   05 27 15:32:20 282 E AndroidRuntime(17376): FATAL EXCEPTION: main_x000D_
05 27 15:32:20 282 E AndroidRuntime(17376): java lang IllegalArgumentException: Failed to find configured root that contains  storage sdcard1 bluetooth Sia   Freeze You Out mp3_x000D_
05 27 15:32:20 282 E AndroidRuntime(17376): 	at android support v4 content FileProvider SimplePathStrategy getUriForFile(FileProvider java:738)_x000D_
05 27 15:32:20 282 E AndroidRuntime(17376): 	at android support v4 content FileProvider getUriForFile(FileProvider java:417)_x000D_
05 27 15:32:20 282 E AndroidRuntime(17376): 	at net opendasharchive openarchive ReviewMediaActivity showMedia(ReviewMediaActivity java:403)_x000D_
05 27 15:32:20 282 E AndroidRuntime(17376): 	at net opendasharchive openarchive ReviewMediaActivity access 100(ReviewMediaActivity java:55)_x000D_
05 27 15:32:20 282 E AndroidRuntime(17376): 	at net opendasharchive openarchive ReviewMediaActivity 4 onClick(ReviewMediaActivity java:366)_x000D_
05 27 15:32:20 282 E AndroidRuntime(17376): 	at android view View performClick(View java:4222)_x000D_
05 27 15:32:20 282 E AndroidRuntime(17376): 	at android view View PerformClick run(View java:17628)_x000D_
05 27 15:32:20 282 E AndroidRuntime(17376): 	at android os Handler handleCallback(Handler java:800)_x000D_
05 27 15:32:20 282 E AndroidRuntime(17376): 	at android os Handler dispatchMessage(Handler java:100)_x000D_
05 27 15:32:20 282 E AndroidRuntime(17376): 	at android os Looper loop(Looper java:194)_x000D_
05 27 15:32:20 282 E AndroidRuntime(17376): 	at android app ActivityThread main(ActivityThread java:5370)_x000D_
05 27 15:32:20 282 E AndroidRuntime(17376): 	at java lang reflect Method invokeNative(Native Method)_x000D_
05 27 15:32:20 282 E AndroidRuntime(17376): 	at java lang reflect Method invoke(Method java:525)_x000D_
05 27 15:32:20 282 E AndroidRuntime(17376): 	at com android internal os ZygoteInit MethodAndArgsCaller run(ZygoteInit java:833)_x000D_
05 27 15:32:20 282 E AndroidRuntime(17376): 	at com android internal os ZygoteInit main(ZygoteInit java:600)_x000D_
05 27 15:32:20 282 E AndroidRuntime(17376): 	at dalvik system NativeStart main(Native Method) </t>
  </si>
  <si>
    <t>k3b-APhotoManager-124</t>
  </si>
  <si>
    <t>crash in create xmpfile from png/gif when addig geo/tags/exif-data</t>
  </si>
  <si>
    <t xml:space="preserve">when you ty to add meta data (geo tags exif) to a png or gif file the app may crash_x000D_
when it tries to generate a new xmp file from the content of png gif (which has no jpg exif datablock) _x000D_
_x000D_
    Environment_x000D_
_x000D_
  A Photo Manager all Versions (i e   0 6 4) _x000D_
</t>
  </si>
  <si>
    <t>MCMrARM-revolution-irc-134</t>
  </si>
  <si>
    <t>click on continue without password crashes the app while Restore a Backup file</t>
  </si>
  <si>
    <t xml:space="preserve">     Expected behavior_x000D_
it shouldn t crash when i click on continue without password for   Restore a Backup    _x000D_
_x000D_
     Actual behavior_x000D_
for   Restore a Backup   i select  file from   Google Drive   and when i click on continue without password crashes the app  _x000D_
_x000D_
     How to reproduce_x000D_
  download the app and run it _x000D_
  click on ( ) and Add a new server_x000D_
  then go to settings and click on Backup and click on   Create a new Backup   and save it to your Google Drive with password_x000D_
_x000D_
  then try to restore without password_x000D_
  and note the bug _x000D_
_x000D_
  Browser App version: Revolution Irc V0 3 2_x000D_
 Operating system: android 6 0_x000D_
_x000D_
     Recording Of The Bug_x000D_
https:  www youtube com watch v AogE81y9MiQ_x000D_
</t>
  </si>
  <si>
    <t>Fr4gorSoftware-SecScanQR-38</t>
  </si>
  <si>
    <t xml:space="preserve"> buildToolsVersion '26.0.2' causes reboot on CM11</t>
  </si>
  <si>
    <t xml:space="preserve">Launching SecScanQR on my xperiaP with CyanogenMod11 will reboot the phone  Simply installing the app will cause crashes on other background apps services  This is a problem I already had with other apps and the cause was some incompatibility of the buildToolsVersion with my version of CM  More info here: https:  gitlab com fdroid fdroiddata issues 979_x000D_
_x000D_
I tried to compile the app with Android Studio and change buildToolVersion and I found that upgrading the buidToolVersion from  26 0 2  to  27 0 3  solves the problem  Android Studio also automatically added some dependencies to gradle build and other stuff I don t understand (I have zero knowledge in Android development) _x000D_
_x000D_
For now I m using the local fixed version but I (and probably also the other few with my specific configuration) will appreciate if the change can be done on the published version  Thank you _x000D_
_x000D_
This is the logcat i captured just before the reboot:_x000D_
   _x000D_
I Timeline( 6652): Timeline: Activity launch request id:de t dankworth secscanqr time:710946_x000D_
I ActivityManager( 3692): START u0  act android intent action MAIN cat  android intent category LAUNCHER  flg 0x10200000 cmp de t dankworth secscanqr  activities MainActivity  from pid 6652_x000D_
F libc    ( 3692): invalid address or address of corrupt block 0x20343031 passed to dlfree_x000D_
F libc    ( 3692): Fatal signal 11 (SIGSEGV) at 0xdeadbaad (code 1)  thread 3981 (Binder 6)_x000D_
I DEBUG   ( 3094):                                                                _x000D_
I DEBUG   ( 3094): Build fingerprint:  SEMC LT22i 1261 7821 LT22i:4 1 2 6 2 A 1 100 m v zg:user release keys _x000D_
I DEBUG   ( 3094): Revision:  0 _x000D_
I DEBUG   ( 3094): pid: 3692  tid: 3981  name: Binder 6      system server    _x000D_
I DEBUG   ( 3094): signal 11 (SIGSEGV)  code 1 (SEGV MAPERR)  fault addr deadbaad_x000D_
I DEBUG   ( 3094): Abort message:  invalid address or address of corrupt block 0x20343031 passed to dlfree _x000D_
I DEBUG   ( 3094):     r0 00000000  r1 40199456  r2 deadbaad  r3 4019cfc2_x000D_
I DEBUG   ( 3094): AM write failure (32   Broken pipe)_x000D_
I DEBUG   ( 3094):     r4 20343031  r5 401a7180  r6 40010000  r7 20343039_x000D_
I DEBUG   ( 3094):     r8 65990970  r9 5deb5594  sl 5deafb40  fp 65990984_x000D_
I DEBUG   ( 3094):     ip 00000001  sp 65990848  lr 4016a897  pc 4016a898  cpsr 600f0030_x000D_
I DEBUG   ( 3094):     d0  2064657372666c64  d1  2073736572646461_x000D_
I DEBUG   ( 3094):     d2  657264646120726f  d3  6f6320666f207373_x000D_
I DEBUG   ( 3094):     d4  6f6d6e65676f6e61  d5  6375626572742e64_x000D_
I DEBUG   ( 3094):     d6  747375432e746568  d7  3f80000000000003_x000D_
I DEBUG   ( 3094):     d8  0000000000000000  d9  0000000000000000_x000D_
I DEBUG   ( 3094):     d10 0000000000000000  d11 0000000000000000_x000D_
I DEBUG   ( 3094):     d12 0000000000000000  d13 0000000000000000_x000D_
I DEBUG   ( 3094):     d14 0000000000000000  d15 0000000000000000_x000D_
I DEBUG   ( 3094):     d16 0000000000002000  d17 0000000000000001_x000D_
I DEBUG   ( 3094):     d18 0000000000000000  d19 0000000000000001_x000D_
I DEBUG   ( 3094):     d20 0000000000004000  d21 0000000000000000_x000D_
I DEBUG   ( 3094):     d22 ffffffffffffffff  d23 0000000005000003_x000D_
I DEBUG   ( 3094):     d24 0000000000000000  d25 0000000000000002_x000D_
I DEBUG   ( 3094):     d26 ffffffffffffffff  d27 0000000000000007_x000D_
I DEBUG   ( 3094):     d28 00000000000000e6  d29 0000000000000003_x000D_
I DEBUG   ( 3094):     d30 0000000000ffffff  d31 0000000000000003_x000D_
I DEBUG   ( 3094):     scr 60000011_x000D_
I DEBUG   ( 3094): _x000D_
I DEBUG   ( 3094): backtrace:_x000D_
I DEBUG   ( 3094):      00  pc 00011898   system lib libc so (dlfree 1191)_x000D_
I DEBUG   ( 3094):      01  pc 0000dd2f   system lib libc so (free 10)_x000D_
I DEBUG   ( 3094):      02  pc 00012525   system lib libandroidfw so (android::ResStringPool::uninit() 28)_x000D_
I DEBUG   ( 3094):      03  pc 0001325f   system lib libandroidfw so (android::ResXMLTree::uninit() 14)_x000D_
I DEBUG   ( 3094):      04  pc 0001327d   system lib libandroidfw so (android::ResXMLTree:: ResXMLTree() 4)_x000D_
I DEBUG   ( 3094):      05  pc 00010f35   system lib libandroidfw so (android::AssetManager::getPkgName(char const ) 240)_x000D_
I DEBUG   ( 3094):      06  pc 0001103d   system lib libandroidfw so (android::AssetManager::getBasePackageName(int) 60)_x000D_
I DEBUG   ( 3094):      07  pc 00076b47   system lib libandroid runtime so_x000D_
I DEBUG   ( 3094):      08  pc 0001ea90   system lib libdvm so (dvmPlatformInvoke 116)_x000D_
I DEBUG   ( 3094):      09  pc 0005014f   system lib libdvm so (dvmCallJNIMethod(unsigned int const   JValue   Method const   Thread ) 398)_x000D_
I DEBUG   ( 3094):      10  pc 00027f20   system lib libdvm so_x000D_
I DEBUG   ( 3094):      11  pc 0002f6a8   system lib libdvm so (dvmMterpStd(Thread ) 76)_x000D_
I DEBUG   ( 3094):      12  pc 0002cdd0   system lib libdvm so (dvmInterpret(Thread   Method const   JValue ) 184)_x000D_
I DEBUG   ( 3094):      13  pc 000625cb   system lib libdvm so (dvmCallMethodV(Thread   Method const   Object   bool  JValue   std::  va list) 338)_x000D_
I DEBUG   ( 3094):      14  pc 0004eead   system lib libdvm so_x000D_
I DEBUG   ( 3094):      15  pc 000724f7   system lib libandroid runtime so_x000D_
I DEBUG   ( 3094):      16  pc 0007799f   system lib libandroid runtime so_x000D_
I DEBUG   ( 3094):      17  pc 00019e49   system lib libbinder so (android::BBinder::transact(unsigned int  android::Parcel const   android::Parcel   unsigned int) 60)_x000D_
I DEBUG   ( 3094):      18  pc 0001e3bd   system lib libbinder so (android::IPCThreadState::executeCommand(int) 508)_x000D_
I DEBUG   ( 3094):      19  pc 0001e73b   system lib libbinder so (android::IPCThreadState::getAndExecuteCommand() 38)_x000D_
I DEBUG   ( 3094):      20  pc 0001e7b1   system lib libbinder so (android::IPCThreadState::joinThreadPool(bool) 48)_x000D_
I DEBUG   ( 3094):      21  pc 00022725   system lib libbinder so_x000D_
I DEBUG   ( 3094):      22  pc 0000f601   system lib libutils so (android::Thread:: threadLoop(void ) 216)_x000D_
I DEBUG   ( 3094):      23  pc 00052985   system lib libandroid runtime so (android::AndroidRuntime::javaThreadShell(void ) 68)_x000D_
I DEBUG   ( 3094):      24  pc 0000f133   system lib libutils so_x000D_
I DEBUG   ( 3094):      25  pc 0000d2c8   system lib libc so (  thread entry 72)_x000D_
I DEBUG   ( 3094):      26  pc 0000d460   system lib libc so (pthread create 240)_x000D_
   </t>
  </si>
  <si>
    <t>MCMrARM-revolution-irc-133</t>
  </si>
  <si>
    <t>App crashes on changing screen orientation during creating back up</t>
  </si>
  <si>
    <t xml:space="preserve">     Expected behavior br _x000D_
The app is supposed to be stable during screen rotation and I should be able to create a back up  br _x000D_
     Actual behavior br _x000D_
But the app crashes on changing screen orientation before choosing a folder for creating a back up and clicking on save  br _x000D_
     How to reproduce br _x000D_
1  Install the app from fdroid  br _x000D_
2  Launch the app  br _x000D_
3  Click on three vertical dots from top right corner of the app and go to settings  br _x000D_
4  Now click on Backup option  br _x000D_
5  Click on  quot Create a new back up quot  option  Continue without entering any passwords  br _x000D_
6  Now choose a folder to create you back up  br _x000D_
Now change the screen orientation to landscape mode  br _x000D_
7  Now save the back up clicking on save option  (If the app didn apos t crash here it will crash on clickimg finish option) br _x000D_
The app crashes  br _x000D_
  App Version: 0 3 2 br _x000D_
  Device: Samsung Galaxy J5 br _x000D_
  Operating System: Android 6 0 1 br _x000D_
     Recording Of The Bug br _x000D_
https:  youtu be nAksc5a7VlU</t>
  </si>
  <si>
    <t>jacob-g-cleveland-rta-next-bus-train-115</t>
  </si>
  <si>
    <t>Getting BadTokenException</t>
  </si>
  <si>
    <t xml:space="preserve">The follow information comes from the crash log:_x000D_
   _x000D_
  at org futuresight clevelandrtanextbustrain NearMeActivity GetStopsTask onPostExecute (NearMeActivity java:708)_x000D_
  at org futuresight clevelandrtanextbustrain NearMeActivity GetStopsTask onPostExecute (NearMeActivity java:671)_x000D_
   </t>
  </si>
  <si>
    <t>OpenArchive-Save-app-android-63</t>
  </si>
  <si>
    <t>Taking a photo with PicsArt Camera break OpenArchive</t>
  </si>
  <si>
    <t>Hello dev _x000D_
_x000D_
I like taking pictures with PicsArt camera due to the fact that it produces better output than my stock camera does _x000D_
_x000D_
I m constantly experiencing a crash with Openarchive v0 017 beta 5  each time I choose PicsArt camera as a medium to take photos _x000D_
_x000D_
Device: Android v6 0 (spread chipset)</t>
  </si>
  <si>
    <t>amit-bhandari-AB-Music-Player-18</t>
  </si>
  <si>
    <t>App Crashes On Creating A Playlist.</t>
  </si>
  <si>
    <t>This one is weird I tell you  Creating and accessing a playlist with the name  Then  Or  When  crashes the app instantly _x000D_
I don t know which other words do this  but these two seem to be having conflict with the app _x000D_
_x000D_
_x000D_
_x000D_
Device: Android 6 0 (spread chipset)</t>
  </si>
  <si>
    <t>chat21-chat21-android-demo-12</t>
  </si>
  <si>
    <t>The crash app during the photo submission process changes the screen rotation to landscape mode</t>
  </si>
  <si>
    <t xml:space="preserve">     Project Information_x000D_
         Repository : https:  github com chat21 chat21 android demo_x000D_
         Title App : Chat21_x000D_
         Publisher App : Fontiere21 S R L_x000D_
_x000D_
   _x000D_
_x000D_
     Expected behavior_x000D_
Supposedly  The application does not crash  when the process of sending photos in landscape mode _x000D_
_x000D_
     Actual behavior_x000D_
The application crashes  when the process of sending photos in landscape mode _x000D_
_x000D_
     How to reproduce_x000D_
1  Instal App  here (https:  play google com store apps details id chat21 android demo)_x000D_
2  Run the app _x000D_
3  Sign in on chat feature_x000D_
  Screenshot 2018 05 25 01 16 11 854 com whatsapp png (https:  cdn steemitimages com DQmPTZNyuwKrrcsZveKSfkzJWowCH5cYcNekHW9nqexihnM Screenshot 2018 05 25 01 16 11 854 com whatsapp png)_x000D_
4  Select the contact you want to send the image to _x000D_
  Screenshot 2018 05 25 01 16 18 736 com whatsapp png (https:  cdn steemitimages com DQmbESi5h1ordRCU5kBUmfCiWbR9BJYWevobGc2R9KFza9P Screenshot 2018 05 25 01 16 18 736 com whatsapp png)_x000D_
5  Click and hold in the right corner _x000D_
  Screenshot 2018 05 25 01 16 23 289 com whatsapp png (https:  cdn steemitimages com DQmcjPfCrp2knsBCS6nJUuQao8P8qTU4u7gGDtHCMV8eumj Screenshot 2018 05 25 01 16 23 289 com whatsapp png)_x000D_
6  Click on  image writing  to access the gallery _x000D_
  Screenshot 2018 05 25 01 16 27 672 com whatsapp png (https:  cdn steemitimages com DQmZbgZcxK1vFTRxMhExvsS6iXk2NeS6Tz1dYsQEw24Bz3y Screenshot 2018 05 25 01 16 27 672 com whatsapp png)_x000D_
7  Select the picture you want to send _x000D_
  Screenshot 2018 05 25 01 16 31 095 com whatsapp png (https:  cdn steemitimages com DQmRCFqYxG1ngQsBpZVzFCxPR8KY7FML5UJ8GrLCFbK2oFx Screenshot 2018 05 25 01 16 31 095 com whatsapp png)_x000D_
8  Click on  Ok  to approve the image submission _x000D_
  Screenshot 2018 05 25 01 16 33 917 com whatsapp png (https:  cdn steemitimages com DQmUpchQeC1p4zApuzpquWmhs2vvrhTLJPUirvzVo8Czpt5 Screenshot 2018 05 25 01 16 33 917 com whatsapp png)_x000D_
9  After approving the image submission protect screen rotation changes to landscape mode  the application will crash _x000D_
  Screenshot 2018 05 25 01 11 25 326 chat21 android demo png (https:  cdn steemitimages com DQmNiM4b9BLtnTyMh2dnGp5pb2m8xuNHUohbPm6tbEtPsfz Screenshot 2018 05 25 01 11 25 326 chat21 android demo png)_x000D_
_x000D_
   _x000D_
   _x000D_
_x000D_
     Environment_x000D_
         Device : Redmi Note 5A_x000D_
         System Operating : 7 1 0 Nougat_x000D_
         App Version : 1 0 9_x000D_
_x000D_
   _x000D_
   _x000D_
_x000D_
      center Recording Of The Issues  center _x000D_
https:  youtu be 9ZiJaDSRiC4_x000D_
_x000D_
   _x000D_
_x000D_
     Logcat_x000D_
   _x000D_
05 25 01:39:17 207 14985 14985 E AndroidRuntime: FATAL EXCEPTION: main_x000D_
05 25 01:39:17 207 14985 14985 E AndroidRuntime: Process: chat21 android demo  PID: 14985_x000D_
05 25 01:39:17 207 14985 14985 E AndroidRuntime: java lang IllegalArgumentException: View DecorView 26c0a11   not attached to window manager_x000D_
05 25 01:39:17 207 14985 14985 E AndroidRuntime: 	at android view WindowManagerGlobal findViewLocked(WindowManagerGlobal java:479)_x000D_
05 25 01:39:17 207 14985 14985 E AndroidRuntime: 	at android view WindowManagerGlobal removeView(WindowManagerGlobal java:388)_x000D_
05 25 01:39:17 207 14985 14985 E AndroidRuntime: 	at android view WindowManagerImpl removeViewImmediate(WindowManagerImpl java:126)_x000D_
05 25 01:39:17 207 14985 14985 E AndroidRuntime: 	at android app Dialog dismissDialog(Dialog java:373)_x000D_
05 25 01:39:17 207 14985 14985 E AndroidRuntime: 	at android app Dialog dismiss(Dialog java:356)_x000D_
05 25 01:39:17 207 14985 14985 E AndroidRuntime: 	at org chat21 android ui messages activities MessageListActivity 10 onUploadSuccess(MessageListActivity java:712)_x000D_
05 25 01:39:17 207 14985 14985 E AndroidRuntime: 	at org chat21 android storage StorageHandler 2 onSuccess(StorageHandler java:130)_x000D_
05 25 01:39:17 207 14985 14985 E AndroidRuntime: 	at org chat21 android storage StorageHandler 2 onSuccess(StorageHandler java:122)_x000D_
05 25 01:39:17 207 14985 14985 E AndroidRuntime: 	at com google firebase storage zzj zzi(Unknown Source)_x000D_
05 25 01:39:17 207 14985 14985 E AndroidRuntime: 	at com google firebase storage zzaa run(Unknown Source)_x000D_
05 25 01:39:17 207 14985 14985 E AndroidRuntime: 	at android os Handler handleCallback(Handler java:754)_x000D_
05 25 01:39:17 207 14985 14985 E AndroidRuntime: 	at android os Handler dispatchMessage(Handler java:95)_x000D_
05 25 01:39:17 207 14985 14985 E AndroidRuntime: 	at android os Looper loop(Looper java:163)_x000D_
05 25 01:39:17 207 14985 14985 E AndroidRuntime: 	at android app ActivityThread main(ActivityThread java:6361)_x000D_
05 25 01:39:17 207 14985 14985 E AndroidRuntime: 	at java lang reflect Method invoke(Native Method)_x000D_
05 25 01:39:17 207 14985 14985 E AndroidRuntime: 	at com android internal os ZygoteInit MethodAndArgsCaller run(ZygoteInit java:904)_x000D_
05 25 01:39:17 207 14985 14985 E AndroidRuntime: 	at com android internal os ZygoteInit main(ZygoteInit java:794)_x000D_
   _x000D_
_x000D_
     Proof Of Work Done_x000D_
        Submit in github (http:  www github com rezamusic881)</t>
  </si>
  <si>
    <t>aionnetwork-aion-505</t>
  </si>
  <si>
    <t>properly shutdown zmq socket</t>
  </si>
  <si>
    <t xml:space="preserve">   Description_x000D_
_x000D_
Please include a brief summary of the change that this pull request proposes  Include any relevant motivation and context  List any dependencies required for this change _x000D_
_x000D_
  Zmq socket doesn t shutdown properly  It causes the client side native zmq lib has a chance to throw errors and crash the application when the kernel is shutting down _x000D_
_x000D_
Fixes Issue    _x000D_
_x000D_
   Type of change_x000D_
_x000D_
Insert   x   into the following checkboxes to confirm (eg   x ):_x000D_
   x  Bug fix _x000D_
      New feature _x000D_
      Breaking change (a fix or feature that causes existing functionality to not work as expected) _x000D_
      Requires documentation update _x000D_
_x000D_
   Testing_x000D_
_x000D_
Please describe the tests you used to validate this pull request  Provide any relevant details for test configurations as well as any instructions to reproduce these results _x000D_
_x000D_
  use javaAPI client API test suite to verify the issues _x000D_
_x000D_
   Verification_x000D_
_x000D_
Insert   x   into the following checkboxes to confirm (eg   x ):_x000D_
   x  I have self reviewed my own code and conformed to the style guidelines of this project _x000D_
   x  New and existing tests pass locally with my changes _x000D_
      I have added tests for my fix or feature _x000D_
      I have made appropriate changes to the corresponding documentation _x000D_
   x  My code generates no new warnings _x000D_
      Any dependent changes have been made _x000D_
</t>
  </si>
  <si>
    <t>Swati4star-Images-to-PDF-66</t>
  </si>
  <si>
    <t>Demo apk is continuously getting crash</t>
  </si>
  <si>
    <t>Demo apk getting crashed on each opening</t>
  </si>
  <si>
    <t>mauron85-react-native-background-geolocation-201</t>
  </si>
  <si>
    <t>Attempt to invoke virtual method 'void com.marianhello.bgloc.LocationService.configure(com.marianhello.bgloc.Config)' on a null object reference</t>
  </si>
  <si>
    <t xml:space="preserve">   Your Environment_x000D_
  Plugin version: 0 5 0 alpha 30_x000D_
  Platform: Android_x000D_
  OS version: Oreo 8 0_x000D_
  Device manufacturer and model: Samsung Galaxy S8_x000D_
  React Native version: 0 55 4_x000D_
_x000D_
   Actual Behavior_x000D_
Sometimes the plugin crashes  randomly _x000D_
_x000D_
   Steps to Reproduce_x000D_
Start the app  many times  and randomly once will crash _x000D_
The plugin is not started  just configured _x000D_
_x000D_
   Debug logs_x000D_
Only the error message in issue title _x000D_
_x000D_
   typescript_x000D_
export default class App extends Component Props  State   _x000D_
_x000D_
  componentDidMount()  _x000D_
                _x000D_
    this initializeBackgroundGeolocation() _x000D_
                   _x000D_
   _x000D_
_x000D_
private initializeBackgroundGeolocation()  _x000D_
  _x000D_
    if (  DEV  )  _x000D_
      console log( App initializeBackgroundGeolocation Call ) _x000D_
     _x000D_
  _x000D_
    const options    _x000D_
  _x000D_
      debug:   DEV   _x000D_
  _x000D_
      stopOnTerminate: true _x000D_
  _x000D_
      desiredAccuracy: BackgroundGeolocation HIGH ACCURACY _x000D_
  _x000D_
         locationProvider: BackgroundGeolocation ACTIVITY PROVIDER _x000D_
      locationProvider: BackgroundGeolocation DISTANCE FILTER PROVIDER _x000D_
  _x000D_
         Android_x000D_
      interval: 10000 _x000D_
      startOnBoot: false _x000D_
      notificationTitle:  Background tracking  _x000D_
      notificationText:  enabled  _x000D_
         notificationIconColor:   FF0000  _x000D_
         notificationIconSmall:    _x000D_
         notificationIconLarge:    _x000D_
  _x000D_
         iOS_x000D_
         activityType:    _x000D_
      pauseLocationUpdates: false _x000D_
      saveBatteryOnBackground: false _x000D_
  _x000D_
         DISTANCE FILTER PROVIDER_x000D_
      distanceFilter: 8 _x000D_
      stationaryRadius: 15 _x000D_
  _x000D_
         ACTIVITY PROVIDER_x000D_
      activitiesInterval: 10000 _x000D_
      fastestInterval: 5000 _x000D_
      stopOnStillActivity: false     deprecated_x000D_
  _x000D_
      _x000D_
  _x000D_
    try  _x000D_
      BackgroundGeolocation configure(options) _x000D_
      catch (e)  _x000D_
  _x000D_
      Sentry captureException(e) _x000D_
  _x000D_
      if (  DEV  )  _x000D_
        console error( BackgroundGeolocation Configuration Error ) _x000D_
        console error(e) _x000D_
       _x000D_
     _x000D_
  _x000D_
    BackgroundGeolocation checkStatus(status     _x000D_
_x000D_
                       _x000D_
_x000D_
     ) _x000D_
  _x000D_
   _x000D_
 _x000D_
   _x000D_
</t>
  </si>
  <si>
    <t>niclabs-adkintunmobile-androidclient-193</t>
  </si>
  <si>
    <t>KeyCharacterMap.java line 334</t>
  </si>
  <si>
    <t xml:space="preserve">     in android view KeyCharacterMap load
  Number of crashes: 1
  Impacted devices: 1
There s a lot more information about this crash on crashlytics com:
 https:  fabric io niclabs android apps cl niclabs adkintunmobile issues 5b05e54911e9fa0aa57d79e2 utm medium service hooks github utm source issue impact (https:  fabric io niclabs android apps cl niclabs adkintunmobile issues 5b05e54911e9fa0aa57d79e2 utm medium service hooks github utm source issue impact)</t>
  </si>
  <si>
    <t>singhrohan62-FriendlyChat-1</t>
  </si>
  <si>
    <t>Firebase Authentication not working</t>
  </si>
  <si>
    <t xml:space="preserve">The app is getting crashed as the authentication via Google Sign In is not implemented properly </t>
  </si>
  <si>
    <t>twilio-voice-quickstart-android-175</t>
  </si>
  <si>
    <t>Crash when starting activity from service on some Android versions</t>
  </si>
  <si>
    <t xml:space="preserve">    Description_x000D_
_x000D_
The app crashes on some Android versions when receiving a call  because the service is calling startActivity  which requires the flag FLAG ACTIVITY NEW TASK _x000D_
(This seems to be fixed by adding this flag)_x000D_
_x000D_
    Steps to Reproduce_x000D_
_x000D_
1  Do the quickstart setup steps 1 9  The app will crash when receiving the call _x000D_
_x000D_
     Expected Behavior_x000D_
_x000D_
Receive the call as the setup step 9 describes _x000D_
_x000D_
     Actual Behavior_x000D_
_x000D_
The app crashes   see log below  _x000D_
_x000D_
     Reproduces How Often_x000D_
_x000D_
100 _x000D_
_x000D_
     Logs_x000D_
_x000D_
 FATAL EXCEPTION: main_x000D_
                                                                           Process: com twilio voice quickstart  PID: 7204_x000D_
                                                                           android util AndroidRuntimeException: Calling startActivity() from outside of an Activity  context requires the FLAG ACTIVITY NEW TASK flag  Is this really what you want _x000D_
                                                                               at android app ContextImpl startActivity(ContextImpl java:1274)_x000D_
                                                                               at android app ContextImpl startActivity(ContextImpl java:1261)_x000D_
                                                                               at android content ContextWrapper startActivity(ContextWrapper java:318)_x000D_
                                                                               at com twilio voice quickstart fcm VoiceFirebaseMessagingService sendCallInviteToActivity(VoiceFirebaseMessagingService java:161)_x000D_
                                                                               at com twilio voice quickstart fcm VoiceFirebaseMessagingService access 100(VoiceFirebaseMessagingService java:29)_x000D_
                                                                               at com twilio voice quickstart fcm VoiceFirebaseMessagingService 1 onCallInvite(VoiceFirebaseMessagingService java:63)_x000D_
                                                                               at com twilio voice Voice 1 run(Voice java:197)_x000D_
                                                                               at android os Handler handleCallback(Handler java:733)_x000D_
                                                                               at android os Handler dispatchMessage(Handler java:95)_x000D_
                                                                               at android os Looper loop(Looper java:157)_x000D_
                                                                               at android app ActivityThread main(ActivityThread java:5872)_x000D_
                                                                               at java lang reflect Method invokeNative(Native Method)_x000D_
                                                                               at java lang reflect Method invoke(Method java:515)_x000D_
                                                                               at com android internal os ZygoteInit MethodAndArgsCaller run(ZygoteInit java:852)_x000D_
                                                                               at com android internal os ZygoteInit main(ZygoteInit java:668)_x000D_
                                                                               at dalvik system NativeStart main(Native Method) _x000D_
_x000D_
    Versions_x000D_
_x000D_
     Voice Android SDK_x000D_
_x000D_
     OS Version_x000D_
_x000D_
See below _x000D_
_x000D_
     Device Model_x000D_
_x000D_
HTC One M8   Android 4 4 2_x000D_
Motorola Nexus 6   Android 5 0 1_x000D_
Nexus 5X   Android 6 0_x000D_
_x000D_
The crash does not happen on: Pixel 2 with Android 8 1_x000D_
_x000D_
</t>
  </si>
  <si>
    <t>eleme-UETool-15</t>
  </si>
  <si>
    <t>SampleDemo Crash</t>
  </si>
  <si>
    <t xml:space="preserve">    Issue Description_x000D_
  sampleDemo   crash_x000D_
     Description_x000D_
java lang NullPointerException: Attempt to invoke virtual method  void me ele uetool base Element reset()  on a null object reference_x000D_
        at me ele uetool EditAttrLayout ShowMode 2 onDismiss(EditAttrLayout java:188)_x000D_
        at android app Dialog ListenersHandler handleMessage(Dialog java:1361)_x000D_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t>
  </si>
  <si>
    <t>smartdevicelink-sdl_java_suite-770</t>
  </si>
  <si>
    <t>Bugfix/issue 761 potential NPE with usb and multiplexing app</t>
  </si>
  <si>
    <t>Fixes  761 _x000D_
_x000D_
This PR is   ready   for review _x000D_
_x000D_
    Risk_x000D_
This PR makes   no   API changes _x000D_
_x000D_
    Testing Plan_x000D_
Test against Ford TDK unit to ensure no crashing_x000D_
_x000D_
    Summary_x000D_
Because USB app sets  defineLocalSdlRouterClass()  as null since it does not use multiplexing  a multiplexing app can still try and send a broadcast to it  resulting in an NPE  We add a second check to the  localRouterClass  object to ensure its not null to satisfy this case _x000D_
_x000D_
    Tasks Remaining:_x000D_
   X  Test it out_x000D_
_x000D_
    CLA_x000D_
   X  I have signed  the CLA (https:  docs google com forms d e 1FAIpQLSdsgJY33VByaX482zHzi xUm49JNnmuJOyAM6uegPQ2LXYVfA viewform)</t>
  </si>
  <si>
    <t>ashwin-phadke-Smart-Home-Security-App-2</t>
  </si>
  <si>
    <t>Trying to add a geofence crashes app.</t>
  </si>
  <si>
    <t>Expected behavior_x000D_
When app is been open  any operation been performed on the app should not malfunction or create a crash to the app _x000D_
_x000D_
Actual behavior_x000D_
Trying to create a new geofence crashes app instantly _x000D_
_x000D_
How to reproduce_x000D_
_x000D_
Download the app  _x000D_
_x000D_
Open app  then register or sign up or create an account using email  _x000D_
_x000D_
After  then you click on MANAGE GEOFENCE  From the options displayed _x000D_
_x000D_
Then on the fresh page click on the plus option st the lower corner of the page  _x000D_
_x000D_
From the pop up  fill all necessary information to add a new geofence  Then click on ADD  _x000D_
_x000D_
Bug is visible _x000D_
_x000D_
_x000D_
Device: Tecno wx3pro_x000D_
App version: 1 0 _x000D_
Operating system: Android Nougat 7 0_x000D_
_x000D_
Recording of the bug_x000D_
https:  youtu be JP eknA uG8</t>
  </si>
  <si>
    <t>Anupya-pic-my-allergy-android-3</t>
  </si>
  <si>
    <t>App crashess while uaing in landscape mode</t>
  </si>
  <si>
    <t xml:space="preserve">     Expected behavior br _x000D_
The app is supposed to be stable on clicking an image while using in landscape mode  br _x000D_
     Actual behavior br _x000D_
But the app crashes when you click an image in landscape mode while using the app for the first timwle  br _x000D_
     How to reproduce br _x000D_
1  Install the app from playstore  br _x000D_
2  Launch the app  br _x000D_
3  Change the orientatio of the screen to landscape mode  br _x000D_
4  Click on  quot Pic my Allergy quot  option  br _x000D_
4  Now click an image with device apos s camera and click on Ok option (all these are performed in landscape mode)  br _x000D_
The app crashes  br _x000D_
(This bug is reported on using app for the first time after installation or using after clearing all app data from the application manager  The app is launched in landscape mode to report this bug) br _x000D_
  App Version: 1 0 br _x000D_
  Device: Samsung Galaxy J5 br _x000D_
  Operating System: Android 6 0 1 br _x000D_
     Recording Of The Bug br _x000D_
https:  youtu be 3izbTZ38vPE</t>
  </si>
  <si>
    <t>Anupya-pic-my-allergy-android-2</t>
  </si>
  <si>
    <t>App crashes on clicking "Am I allergic?" Before the image is uploaded</t>
  </si>
  <si>
    <t xml:space="preserve">     Expected behavior br _x000D_
The app is supposed to be stable on clicking  quot Am I allergic  quot  Option before the image ia uploaded  br _x000D_
     Actual behavior br _x000D_
But the app crashes when you click on  quot Am I allergic  quot  Option before an image is uploaded  br _x000D_
     How to reproduce br _x000D_
1  Install the app from playstore  br _x000D_
2  Launch the app  br _x000D_
3  Click on  quot Pic my Allergy quot  open and click back to return to overview page  br _x000D_
4  Now click on upload option and select any image with size greater than 1 mb or even even more  br _x000D_
5  Click on  quot Am I Allergic  quot  Option before the image is loaded   br _x000D_
The app crashes  br _x000D_
  App Version: 1 0 br _x000D_
  Device: Samsung Galaxy J5 br _x000D_
  Operating System: Android 6 0 1 br _x000D_
     Recording Of The Bug br _x000D_
https:  youtu be VB8weYjAmoE</t>
  </si>
  <si>
    <t>TeamNewPipe-NewPipe-1414</t>
  </si>
  <si>
    <t>Unable to Open Downloads</t>
  </si>
  <si>
    <t xml:space="preserve">Hello NewPipe 
Every time I try to access the downloads section via the main menu the app crashes with this message  I have tried uninstalling and reinstalling  clearing NewPipe s data  and deleting all media files in the storage locations 
    user action :  ui error  
    request :  App crash  UI failure  
    content language :  GB  
    service :  none  
    package :  org schabi newpipe  
    version :  0 13 3  
    os :  Linux Android 8 1 0   27  
    time :  2018 05 21 14:41  
    exceptions :  
       java lang NullPointerException: Attempt to invoke virtual method  boolean java util ArrayList add(java lang Object)  on a null object reference n tat us shandian giga get DownloadMission addListener(DownloadMission java:234) n tat us shandian giga ui adapter MissionAdapter onBindViewHolder(MissionAdapter java:115) n tat us shandian giga ui adapter MissionAdapter onBindViewHolder(MissionAdapter java:40) n tat android support v7 widget RecyclerView Adapter onBindViewHolder(RecyclerView java:6673) n tat android support v7 widget RecyclerView Adapter bindViewHolder(RecyclerView java:6714) n tat android support v7 widget RecyclerView Recycler tryBindViewHolderByDeadline(RecyclerView java:5647) n tat android support v7 widget RecyclerView Recycler tryGetViewHolderForPositionByDeadline(RecyclerView java:5913) n tat android support v7 widget RecyclerView Recycler getViewForPosition(RecyclerView java:5752) n tat android support v7 widget RecyclerView Recycler getViewForPosition(RecyclerView java:5748) n tat android support v7 widget LinearLayoutManager LayoutState next(LinearLayoutManager java:2232) n tat android support v7 widget GridLayoutManager layoutChunk(GridLayoutManager java:556) n tat android support v7 widget LinearLayoutManager fill(LinearLayoutManager java:1519) n tat android support v7 widget LinearLayoutManager onLayoutChildren(LinearLayoutManager java:614) n tat android support v7 widget GridLayoutManager onLayoutChildren(GridLayoutManager java:170) n tat android support v7 widget RecyclerView dispatchLayoutStep2(RecyclerView java:3812) n tat android support v7 widget RecyclerView dispatchLayout(RecyclerView java:3529) n tat android support v7 widget RecyclerView onLayout(RecyclerView java:4082) n tat android view View layout(View java:19659) n tat android view ViewGroup layout(ViewGroup java:6075) n tat android widget LinearLayout setChildFrame(LinearLayout java:1791) n tat android widget LinearLayout layoutVertical(LinearLayout java:1635) n tat android widget LinearLayout onLayout(LinearLayout java:1544) n tat android view View layout(View java:19659) n tat android view ViewGroup layout(ViewGroup java:6075) n tat android widget FrameLayout layoutChildren(FrameLayout java:323) n tat android widget FrameLayout onLayout(FrameLayout java:261) n tat android view View layout(View java:19659) n tat android view ViewGroup layout(ViewGroup java:6075) n tat android widget LinearLayout setChildFrame(LinearLayout java:1791) n tat android widget LinearLayout layoutVertical(LinearLayout java:1635) n tat android widget LinearLayout onLayout(LinearLayout java:1544) n tat android view View layout(View java:19659) n tat android view ViewGroup layout(ViewGroup java:6075) n tat android widget FrameLayout layoutChildren(FrameLayout java:323) n tat android widget FrameLayout onLayout(FrameLayout java:261) n tat android view View layout(View java:19659) n tat android view ViewGroup layout(ViewGroup java:6075) n tat android widget LinearLayout setChildFrame(LinearLayout java:1791) n tat android widget LinearLayout layoutVertical(LinearLayout java:1635) n tat android widget LinearLayout onLayout(LinearLayout java:1544) n tat android view View layout(View java:19659) n tat android view ViewGroup layout(ViewGroup java:6075) n tat android widget FrameLayout layoutChildren(FrameLayout java:323) n tat android widget FrameLayout onLayout(FrameLayout java:261) n tat android view View layout(View java:19659) n tat android view ViewGroup layout(ViewGroup java:6075) n tat android widget LinearLayout setChildFrame(LinearLayout java:1791) n tat android widget LinearLayout layoutVertical(LinearLayout java:1635) n tat android widget LinearLayout onLayout(LinearLayout java:1544) n tat android view View layout(View java:19659) n tat android view ViewGroup layout(ViewGroup java:6075) n tat android widget FrameLayout layoutChildren(FrameLayout java:323) n tat android widget FrameLayout onLayout(FrameLayout java:261) n tat com android internal policy DecorView onLayout(DecorView java:761) n tat android view View layout(View java:19659) n tat android view ViewGroup layout(ViewGroup java:6075) n tat android view ViewRootImpl performLayout(ViewRootImpl java:2496) n tat android view ViewRootImpl performTraversals(ViewRootImpl java:2212) n tat android view ViewRootImpl doTraversal(ViewRootImpl java:1392) n tat android view ViewRootImpl TraversalRunnable run(ViewRootImpl java:6752) n tat android view Choreographer CallbackRecord run(Choreographer java:911) n tat android view Choreographer doCallbacks(Choreographer java:723) n tat android view Choreographer doFrame(Choreographer java:658) n tat android view Choreographer FrameDisplayEventReceiver run(Choreographer java:897) n tat android os Handler handleCallback(Handler java:790) n tat android os Handler dispatchMessage(Handler java:99) n tat android os Looper loop(Looper java:164) n tat android app ActivityThread main(ActivityThread java:6494) n tat java lang reflect Method invoke(Native Method) n tat com android internal os RuntimeInit MethodAndArgsCaller run(RuntimeInit java:438) n tat com android internal os ZygoteInit main(ZygoteInit java:807) n 
    user comment :   
 </t>
  </si>
  <si>
    <t>renyuneyun-Easer-108</t>
  </si>
  <si>
    <t>There is a Fatal exception when attempting to  switch from Inline Scenario to Scenario or Use-Condition</t>
  </si>
  <si>
    <t xml:space="preserve">Hello Dev _x000D_
It is really nice to see that you respond swiftly to issues and then work on a fix ASAP _x000D_
_x000D_
_x000D_
I noticed this bug while trying to set up Easer on my Android 4 2 2 jelly device _x000D_
It happens that when attempting to  switch from   inline scenario   to either   Scenario   or   use condition    the app crashes _x000D_
This did come as a surprise because I didn t face the issue while using Easer on my 6 0 marshmallow device  _x000D_
That is why I have added my log below  I hope it helps_x000D_
_x000D_
_x000D_
_x000D_
   05 21 06:31:44 228 E         (2581): appName ryey easer  acAppName com android browser_x000D_
05 21 06:31:44 228 E         (2581): 0_x000D_
05 21 06:31:47 291 E dalvikvm(2581): Could not find class  android widget ThemedSpinnerAdapter   referenced from method android support v7 widget z a  init _x000D_
05 21 06:31:54 490 E AndroidRuntime(2581): FATAL EXCEPTION: main_x000D_
05 21 06:31:54 490 E AndroidRuntime(2581): java lang IllegalStateException: Must measure with an exact width_x000D_
05 21 06:31:54 490 E AndroidRuntime(2581): 	at android support v4 view PagerTitleStrip onMeasure(Unknown Source)_x000D_
05 21 06:31:54 490 E AndroidRuntime(2581): 	at android view View measure(View java:15783)_x000D_
05 21 06:31:54 490 E AndroidRuntime(2581): 	at android support v4 view u onMeasure(Unknown Source)_x000D_
05 21 06:31:54 490 E AndroidRuntime(2581): 	at android view View measure(View java:15783)_x000D_
05 21 06:31:54 490 E AndroidRuntime(2581): 	at android support constraint ConstraintLayout onMeasure(Unknown Source)_x000D_
05 21 06:31:54 490 E AndroidRuntime(2581): 	at android view View measure(View java:15783)_x000D_
05 21 06:31:54 490 E AndroidRuntime(2581): 	at android view ViewGroup measureChildWithMargins(ViewGroup java:4942)_x000D_
05 21 06:31:54 490 E AndroidRuntime(2581): 	at android widget FrameLayout onMeasure(FrameLayout java:310)_x000D_
05 21 06:31:54 490 E AndroidRuntime(2581): 	at android support v7 widget ContentFrameLayout onMeasure(Unknown Source)_x000D_
05 21 06:31:54 490 E AndroidRuntime(2581): 	at android view View measure(View java:15783)_x000D_
05 21 06:31:54 490 E AndroidRuntime(2581): 	at android view ViewGroup measureChildWithMargins(ViewGroup java:4942)_x000D_
05 21 06:31:54 490 E AndroidRuntime(2581): 	at android support v7 widget ActionBarOverlayLayout onMeasure(Unknown Source)_x000D_
05 21 06:31:54 490 E AndroidRuntime(2581): 	at android view View measure(View java:15783)_x000D_
05 21 06:31:54 490 E AndroidRuntime(2581): 	at android view ViewGroup measureChildWithMargins(ViewGroup java:4942)_x000D_
05 21 06:31:54 490 E AndroidRuntime(2581): 	at android widget FrameLayout onMeasure(FrameLayout java:310)_x000D_
05 21 06:31:54 490 E AndroidRuntime(2581): 	at android view View measure(View java:15783)_x000D_
05 21 06:31:54 490 E AndroidRuntime(2581): 	at android view ViewGroup measureChildWithMargins(ViewGroup java:4942)_x000D_
05 21 06:31:54 490 E AndroidRuntime(2581): 	at android widget LinearLayout measureChildBeforeLayout(LinearLayout java:1452)_x000D_
05 21 06:31:54 490 E AndroidRuntime(2581): 	at android widget LinearLayout measureVertical(LinearLayout java:722)_x000D_
05 21 06:31:54 490 E AndroidRuntime(2581): 	at android widget LinearLayout onMeasure(LinearLayout java:600)_x000D_
05 21 06:31:54 490 E AndroidRuntime(2581): 	at android view View measure(View java:15783)_x000D_
05 21 06:31:54 490 E AndroidRuntime(2581): 	at android view ViewGroup measureChildWithMargins(ViewGroup java:4942)_x000D_
05 21 06:31:54 490 E AndroidRuntime(2581): 	at android widget FrameLayout onMeasure(FrameLayout java:310)_x000D_
05 21 06:31:54 490 E AndroidRuntime(2581): 	at com android internal policy impl PhoneWindow DecorView onMeasure(PhoneWindow java:2203)_x000D_
05 21 06:31:54 490 E AndroidRuntime(2581): 	at android view View measure(View java:15783)_x000D_
05 21 06:31:54 490 E AndroidRuntime(2581): 	at android view ViewRootImpl performMeasure(ViewRootImpl java:2212)_x000D_
05 21 06:31:54 490 E AndroidRuntime(2581): 	at android view ViewRootImpl measureHierarchy(ViewRootImpl java:1291)_x000D_
05 21 06:31:54 490 E AndroidRuntime(2581): 	at android view ViewRootImpl performTraversals(ViewRootImpl java:1486)_x000D_
05 21 06:31:54 490 E AndroidRuntime(2581): 	at android view ViewRootImpl doTraversal(ViewRootImpl java:1181)_x000D_
05 21 06:31:54 490 E AndroidRuntime(2581): 	at android view ViewRootImpl TraversalRunnable run(ViewRootImpl java:4942)_x000D_
05 21 06:31:54 490 E AndroidRuntime(2581): 	at android view Choreographer CallbackRecord run(Choreographer java:776)_x000D_
05 21 06:31:54 490 E AndroidRuntime(2581): 	at android view Choreographer doCallbacks(Choreographer java:579)_x000D_
05 21 06:31:54 490 E AndroidRuntime(2581): 	at android view Choreographer doFrame(Choreographer java:548)_x000D_
05 21 06:31:54 490 E AndroidRuntime(2581): 	at android view Choreographer FrameDisplayEventReceiver run(Choreographer java:762)_x000D_
05 21 06:31:54 490 E AndroidRuntime(2581): 	at android os Handler handleCallback(Handler java:800)_x000D_
05 21 06:31:54 490 E AndroidRuntime(2581): 	at android os Handler dispatchMessage(Handler java:100)_x000D_
05 21 06:31:54 490 E AndroidRuntime(2581): 	at android os Looper loop(Looper java:194)_x000D_
05 21 06:31:54 490 E AndroidRuntime(2581): 	at android app ActivityThread main(ActivityThread java:5370)_x000D_
05 21 06:31:54 490 E AndroidRuntime(2581): 	at java lang reflect Method invokeNative(Native Method)_x000D_
05 21 06:31:54 490 E AndroidRuntime(2581): 	at java lang reflect Method invoke(Method java:525)_x000D_
05 21 06:31:54 490 E AndroidRuntime(2581): 	at com android internal os ZygoteInit MethodAndArgsCaller run(ZygoteInit java:833)_x000D_
05 21 06:31:54 490 E AndroidRuntime(2581): 	at com android internal os ZygoteInit main(ZygoteInit java:600)_x000D_
05 21 06:31:54 490 E AndroidRuntime(2581): 	at dalvik system NativeStart main(Native Method)_x000D_
05 21 06:31:54 539 E AppErrorDialog(881): Failed to get ILowStorageHandle instance_x000D_
05 21 06:31:57 061 E InputDispatcher(881): channel  41bea580 ryey easer ryey easer core ui MainActivity (server)    Channel is unrecoverably broken and will be disposed _x000D_
05 21 06:31:57 062 E InputDispatcher(881): channel  417d7570 ryey easer ryey easer core ui edit EditScriptActivity (server)    Channel is unrecoverably broken and will be disposed    </t>
  </si>
  <si>
    <t>1singhmanmeet-QuicXplo-7</t>
  </si>
  <si>
    <t>Clicking on External Storage option crashes the app</t>
  </si>
  <si>
    <t xml:space="preserve">     Expected behavior br _x000D_
I should be able to open the external storage folders on clicking the External Storage options from the file manager  br _x000D_
     Actual behavior br _x000D_
But the app crashes on clicking on any external storage  br _x000D_
     How to reproduce br _x000D_
1  Install the app from playstore  br _x000D_
2  Launch the app  br _x000D_
3  Click on the  quot External Stoage x quot  option(where x refers to number)  br _x000D_
The app crashes  br _x000D_
  App Version: 1 0 2 br _x000D_
  Device: Samsung Galaxy tab 3 br _x000D_
  Operating System: Android 4 4 2 br _x000D_
     Recording Of The Bug br _x000D_
https:  youtu be T6sT71JztJ4</t>
  </si>
  <si>
    <t>eduvpn-android-171</t>
  </si>
  <si>
    <t>App crashes on screen rotation during discovering API</t>
  </si>
  <si>
    <t xml:space="preserve">     Expected behavior br _x000D_
The app must be stable on screen rotation during discovering API  br _x000D_
     Actual behavior br _x000D_
But the app crashes on screen rotation during discovering API  br _x000D_
     How to reproduce br _x000D_
1  Install the app from playstore  br _x000D_
2  Launch the app  br _x000D_
3  Click on  quot Safely use the internet quot  option  br _x000D_
4  Now select aby of the country from the list  And it will start discovering the API  br _x000D_
5  Before the discovering of API completes change the orientation of the screen to landscape mode  And click any where on the screen  br _x000D_
The app crashes  br _x000D_
  App Version: 1 2 2 br _x000D_
  Device: Samsung Galaxy J5 br _x000D_
  Operating System: Android 6 0 1 br _x000D_
     Recording Of The Bug br _x000D_
https:  youtu be 0rJGzGi36l4</t>
  </si>
  <si>
    <t>fennifith-RadialLayout-3</t>
  </si>
  <si>
    <t>Sample apk crash</t>
  </si>
  <si>
    <t>The sample apk crashes after opening 
Device is Galaxy J7 Prime running Android Oreo 
Here is the log I was able to get :
FATAL EXCEPTION: main
Process: me jfenn radiallayoutsample  PID: 7687
java lang NullPointerException: Attempt to read from field  float me jfenn radiallayout BaseRadialItem radius  on a null object reference
	at me jfenn radiallayout RadialLayoutView onTouchEvent(RadialLayoutView java:323)
	at android view View dispatchTouchEvent(View java)
	at android view ViewGroup dispatchTransformedTouchEvent(ViewGroup java)
	at android view ViewGroup dispatchTouchEvent(ViewGroup java)
	at android view ViewGroup dispatchTransformedTouchEvent(ViewGroup java)
	at android view ViewGroup dispatchTouchEvent(ViewGroup java)
	at android view ViewGroup dispatchTransformedTouchEvent(ViewGroup java)
	at android view ViewGroup dispatchTouchEvent(ViewGroup java)
	at android view ViewGroup dispatchTransformedTouchEvent(ViewGroup java)
	at android view ViewGroup dispatchTouchEvent(ViewGroup java)
	at android view ViewGroup dispatchTransformedTouchEvent(ViewGroup java)
	at android view ViewGroup dispatchTouchEvent(ViewGroup java)
	at android view ViewGroup dispatchTransformedTouchEvent(ViewGroup java)
	at android view ViewGroup dispatchTouchEvent(ViewGroup java)
	at com android internal policy DecorView superDispatchTouchEvent(DecorView java)
	at com android internal policy PhoneWindow superDispatchTouchEvent(PhoneWindow java)
	at android app Activity dispatchTouchEvent(Activity java)
	at android support v7 view WindowCallbackWrapper dispatchTouchEvent(WindowCallbackWrapper java:68)
	at com android internal policy DecorView dispatchTouchEvent(DecorView java)
	at android view View dispatchPointerEvent(View java)
	at android view ViewRootImpl ViewPostImeInputStage processPointerEvent(ViewRootImpl java)
	at android view ViewRootImpl ViewPostImeInputStage onProcess(ViewRootImpl java)
	at android view ViewRootImpl InputStage deliver(ViewRootImpl java)
	at android view ViewRootImpl InputStage onDeliverToNext(ViewRootImpl java)
	at android view ViewRootImpl InputStage forward(ViewRootImpl java)
	at android view ViewRootImpl AsyncInputStage forward(ViewRootImpl java)
	at android view ViewRootImpl InputStage apply(ViewRootImpl java)
	at android view ViewRootImpl AsyncInputStage apply(ViewRootImpl java)
	at android view ViewRootImpl InputStage deliver(ViewRootImpl java)
	at android view ViewRootImpl InputStage onDeliverToNext(ViewRootImpl java)
	at android view ViewRootImpl InputStage forward(ViewRootImpl java)
	at android view ViewRootImpl InputStage apply(ViewRootImpl java)
	at android view ViewRootImpl InputStage deliver(ViewRootImpl java)
	at android view ViewRootImpl deliverInputEvent(ViewRootImpl java)
	at android view ViewRootImpl doProcessInputEvents(ViewRootImpl java)
	at android view ViewRootImpl enqueueInputEvent(ViewRootImpl java)
	at android view ViewRootImpl WindowInputEventReceiver onInputEvent(ViewRootImpl java)
	at android view InputEventReceiver dispatchInputEvent(InputEventReceiver java)
	at android os MessageQueue nativePollOnce(Native Method)
	at android os MessageQueue next(MessageQueue java)
	at android os Looper loop(Looper java)
	at android app ActivityThread main(ActivityThread java)
	at java lang reflect Method invoke(Native Method)
	at com android internal os ZygoteInit MethodAndArgsCaller run(ZygoteInit java)
	at com android internal os ZygoteInit main(ZygoteInit java)</t>
  </si>
  <si>
    <t>michael-rapp-ChromeLikeTabSwitcher-16</t>
  </si>
  <si>
    <t>Fix crash on Api 16</t>
  </si>
  <si>
    <t>No idea why the model is null here  but this works _x000D_
See crashes: http:  crashes to s 2d2a3d61fb4</t>
  </si>
  <si>
    <t>fennifith-Status-128</t>
  </si>
  <si>
    <t xml:space="preserve">crash when screen rotate </t>
  </si>
  <si>
    <t xml:space="preserve">     EXPECTED BEHAVIOR_x000D_
when users change the position of their phone screen users should still be able to use this app well_x000D_
     ACTUAL BEHAVIOR_x000D_
  when the user changes the position of their phone screen then the user refresh the list of applications that will make the status  this application will crash _x000D_
_x000D_
     HOW TO REPRODUCE _x000D_
  download app status from playstore_x000D_
  Once installed launch the application _x000D_
  Scroll to the apps section_x000D_
  then change the position of your smartphone screen from portrait mode to landscape mode_x000D_
  slide again sideways to the icons section after that slide again to the apps section and see if this app will crash_x000D_
_x000D_
     BUG RECORDING _x000D_
https:  youtu be Qq0BlYYk4sE_x000D_
_x000D_
     logcat file _x000D_
   FATAL EXCEPTION: main_x000D_
Process: com james status  PID: 15853_x000D_
java lang NullPointerException: Attempt to invoke interface method  java util Iterator java util List iterator()  on a null object reference_x000D_
	at com james status fragments AppPreferenceFragment isNotifications(AppPreferenceFragment java:120)_x000D_
	at com james status activities MainActivity onPageSelected(MainActivity java:371)_x000D_
	at android support v4 view ViewPager dispatchOnPageSelected(ViewPager java:1967)_x000D_
	at android support v4 view ViewPager scrollToItem(ViewPager java:685)_x000D_
	at android support v4 view ViewPager setCurrentItemInternal(ViewPager java:669)_x000D_
	at android support v4 view ViewPager onTouchEvent(ViewPager java:2284)_x000D_
	at android view View dispatchTouchEvent(View java:8484)_x000D_
	at android view ViewGroup dispatchTransformedTouchEvent(ViewGroup java:2432)_x000D_
	at android view ViewGroup dispatchTouchEvent(ViewGroup java:2103)_x000D_
	at android view ViewGroup dispatchTransformedTouchEvent(ViewGroup java:2438)_x000D_
	at android view ViewGroup dispatchTouchEvent(ViewGroup java:2132)_x000D_
	at android view ViewGroup dispatchTransformedTouchEvent(ViewGroup java:2438)_x000D_
	at android view ViewGroup dispatchTouchEvent(ViewGroup java:2132)_x000D_
	at android view ViewGroup dispatchTransformedTouchEvent(ViewGroup java:2438)_x000D_
	at android view ViewGroup dispatchTouchEvent(ViewGroup java:2132)_x000D_
	at android view ViewGroup dispatchTransformedTouchEvent(ViewGroup java:2438)_x000D_
	at android view ViewGroup dispatchTouchEvent(ViewGroup java:2132)_x000D_
	at android view ViewGroup dispatchTransformedTouchEvent(ViewGroup java:2438)_x000D_
	at android view ViewGroup dispatchTouchEvent(ViewGroup java:2132)_x000D_
	at android view ViewGroup dispatchTransformedTouchEvent(ViewGroup java:2438)_x000D_
	at android view ViewGroup dispatchTouchEvent(ViewGroup java:2132)_x000D_
	at com android internal policy impl PhoneWindow DecorView superDispatchTouchEvent(PhoneWindow java:2424)_x000D_
	at com android internal policy impl PhoneWindow superDispatchTouchEvent(PhoneWindow java:1768)_x000D_
	at android app Activity dispatchTo   </t>
  </si>
  <si>
    <t>fr3ts0n-AndrOBD-58</t>
  </si>
  <si>
    <t>AndrOBD - App Crashes When tabbing 'No Devices Paired' option.</t>
  </si>
  <si>
    <t xml:space="preserve">  Expected Behavior  _x000D_
The app shouldnot have stopped while simply tabbing the   No Devices Paired   text _x000D_
_x000D_
  Actual Behavior  _x000D_
But the app crashes after tabbing the   No Devices Paired   option from   Select adapter   section _x000D_
_x000D_
  How to reproduce  _x000D_
1  First download the app from F Droid _x000D_
2  Launch the app _x000D_
3  Deny the bluetooth if asked _x000D_
4  Then select any of the ECU address as given  It is not necessary to select any of those  If you do not want  simple press cancel _x000D_
5  You can see a crossed   Adapter    icon  at the top  Tab on that  It shows   Demo mode stopped  _x000D_
6  Tap that   Adapter    icon  again  You can see   No Devices Paired   text  Simply tab on that _x000D_
The app then crashes _x000D_
_x000D_
   App Version : v2 0 2_x000D_
   Operating System : Android 6 0_x000D_
   Device : Lava Iris 50_x000D_
_x000D_
  Recording of the bug  _x000D_
https:  www youtube com watch v mYLAi9bb5AY_x000D_
_x000D_
Logs_x000D_
_x000D_
05 20 14:40:46 366 17056 17056 com fr3ts0n ecu gui androbd E AndroidRuntime: FATAL EXCEPTION: main_x000D_
    Process: com fr3ts0n ecu gui androbd  PID: 17056_x000D_
    java lang RuntimeException: Unable to start activity ComponentInfo com fr3ts0n ecu gui androbd com fr3ts0n ecu gui androbd BtDeviceListActivity : java lang NullPointerException: Attempt to invoke virtual method  java util Set android bluetooth BluetoothAdapter getBondedDevices()  on a null object reference_x000D_
        at android app ActivityThread performLaunchActivity(ActivityThread java:2646)_x000D_
        at android app ActivityThread handleLaunchActivity(ActivityThread java:2707)_x000D_
        at android app ActivityThread  wrap12(ActivityThread java)_x000D_
        at android app ActivityThread H handleMessage(ActivityThread java:1460)_x000D_
        at android os Handler dispatchMessage(Handler java:102)_x000D_
        at android os Looper loop(Looper java:154)_x000D_
        at android app ActivityThread main(ActivityThread java:6077)_x000D_
        at java lang reflect Method invoke(Native Method)_x000D_
        at com android internal os ZygoteInit MethodAndArgsCaller run(ZygoteInit java:866)_x000D_
        at com android internal os ZygoteInit main(ZygoteInit java:756)_x000D_
     Caused by: java lang NullPointerException: Attempt to invoke virtual method  java util Set android bluetooth BluetoothAdapter getBondedDevices()  on a null object reference_x000D_
        at com fr3ts0n ecu gui androbd BtDeviceListActivity onCreate(BtDeviceListActivity java:112)_x000D_
        at android app Activity performCreate(Activity java:6662)_x000D_
        at android app Instrumentation callActivityOnCreate(Instrumentation java:1118)_x000D_
        at android app ActivityThread performLaunchActivity(ActivityThread java:2599)_x000D_
        at android app ActivityThread handleLaunchActivity(ActivityThread java:2707) _x000D_
        at android app ActivityThread  wrap12(ActivityThread java) _x000D_
        at android app ActivityThread H handleMessage(ActivityThread java:1460) _x000D_
        at android os Handler dispatchMessage(Handler java:102) _x000D_
        at android os Looper loop(Looper java:154) _x000D_
        at android app ActivityThread main(ActivityThread java:6077) _x000D_
        at java lang reflect Method invoke(Native Method) _x000D_
        at com android internal os ZygoteInit MethodAndArgsCaller run(ZygoteInit java:866) _x000D_
        at com android internal os ZygoteInit main(ZygoteInit java:756) </t>
  </si>
  <si>
    <t>renyuneyun-Easer-107</t>
  </si>
  <si>
    <t>Crashes on deleting Active Conditions</t>
  </si>
  <si>
    <t>Hi dev _x000D_
_x000D_
I just noticed that when a condition which is active in a script is deleted  it causes problems even when the app is not connected _x000D_
When that is done  accessing the active script which had that condition tied to it causes EASER to crash _x000D_
_x000D_
App version: v0 6_x000D_
Device: Itel p12 running on Android 6 0</t>
  </si>
  <si>
    <t>kollerlukas-Camera-Roll-Android-App-197</t>
  </si>
  <si>
    <t>App crashes when renaming a folder from the gallery</t>
  </si>
  <si>
    <t xml:space="preserve">Hello dev _x000D_
Thank you for this great app  It has a nice feel and user friendly interface _x000D_
_x000D_
Camera roll crashes when attempting to rename a folder from the gallery on android v6 0 running solely on internal memory_x000D_
_x000D_
 Camera roll version:  v1 0 6_x000D_
_x000D_
My other device is a jellybean running device so its kind of useless here  however  I will add to this report when I get my hands on other android versions where this issue also exist </t>
  </si>
  <si>
    <t>1singhmanmeet-QuicXplo-5</t>
  </si>
  <si>
    <t>Renaming Files and Folder from Device Internal storage crashes the app</t>
  </si>
  <si>
    <t xml:space="preserve">     Expected behavior br _x000D_
I should be able to rename files and folder from the file manager of the device apos s internal storage  br _x000D_
     Actual behavior br _x000D_
But the app crashes on trying to rename a file or folder from device apos s internal storage  br _x000D_
     How to reproduce br _x000D_
1  Install the app from playstore  br _x000D_
2  Launch the app  br _x000D_
3  Click on the  quot External Stoage 1 quot  option and select root device apos s internal storage pathway  br _x000D_
4  Select any folder or file from your device internal storage and rename it  br _x000D_
The app crashes  br _x000D_
  App Version: 1 0 2 br _x000D_
  Device: Samsung Galaxy J5 br _x000D_
  Operating System: Android 6 0 1 br _x000D_
     Recording Of The Bug br _x000D_
https:  youtu be R Y8tUAnq0U</t>
  </si>
  <si>
    <t>le-moulin-studio-bike-friend-5</t>
  </si>
  <si>
    <t>Crash: Too many stations displayed</t>
  </si>
  <si>
    <t xml:space="preserve">Too many stations are displayed on the map  causing many Android systems to crash the app _x000D_
_x000D_
Need to add some kind of hierarchical clustering </t>
  </si>
  <si>
    <t>freshollie-monkeyboard-radio-android-20</t>
  </si>
  <si>
    <t>APP CRASH WHEN PRESS IN SERVEL TIMES RADIO STATIONS WHILE MARK ALL CHANEL</t>
  </si>
  <si>
    <t>_x000D_
     Expected behavior_x000D_
The app must be stable when click on several times  of radio stations _x000D_
_x000D_
     Actual behavior_x000D_
But the app crashes on when i click on several times  of radio stations _x000D_
_x000D_
     How to reproduce_x000D_
  download the app_x000D_
  open it_x000D_
  click ( ) button to add Chanel_x000D_
  add some of Chanel_x000D_
  then long press radio channel and then touch any channel _x000D_
  note the bug_x000D_
_x000D_
  Browser : 2 1 4_x000D_
 Operating system: android 5 1_x000D_
_x000D_
     Recording Of The Bug_x000D_
https:  www youtube com watch v zZD mKa0hwE</t>
  </si>
  <si>
    <t>freshollie-UsbGps4Droid-12</t>
  </si>
  <si>
    <t>App crashes on screen rotation on Choose Usb Gps page</t>
  </si>
  <si>
    <t xml:space="preserve">     Expected behavior br _x000D_
The app must be stable during screen rotation on  quot Choose Usb Gps quot  page  br _x000D_
     Actual behavior br _x000D_
But the app crashes on rotating the screen on  quot Choose Usb Gps quot  page  br _x000D_
     How to reproduce br _x000D_
1  Install the app from releases page  br _x000D_
2  Launch the app  br _x000D_
3  Click on settings icon from top right corner of the app and click on  quot Choose Usb Gps quot  option  br _x000D_
4  Now change the orientation of the screen to landscape mode  br _x000D_
The app crashes  br _x000D_
  App Version: beta v2 1 5 br _x000D_
  Device: Samsung Galaxy J5 br _x000D_
  Operating System: Android 6 0 1 br _x000D_
     Recording Of The Bug br _x000D_
https:  youtu be hfTSZ 87SCo</t>
  </si>
  <si>
    <t>freshollie-monkeyboard-radio-android-19</t>
  </si>
  <si>
    <t>App crashes on screen rotation during DAB search</t>
  </si>
  <si>
    <t xml:space="preserve">     Expected behavior br _x000D_
The app must be stable during screen rotation during DAB search of radio stations  br _x000D_
     Actual behavior br _x000D_
But the app crashes on rotating the screen during DAB search of stations  br _x000D_
     How to reproduce br _x000D_
1  Install the app from releases page  br _x000D_
2  Launch the app  br _x000D_
3  Click on settings option from top right corner of the app  And click on  quot Perform DAB Search quot  option  It will start searching for stations  br _x000D_
4  Now change the orientation of the screen to landscape mode  br _x000D_
The app crashes  br _x000D_
  App Version: 2 1 4 br _x000D_
  Device: Samsung Galaxy J5 br _x000D_
  Operating System: Android 6 0 1 br _x000D_
     Recording Of The Bug br _x000D_
https:  youtu be x26gXXADee8</t>
  </si>
  <si>
    <t>k9mail-k-9-3401</t>
  </si>
  <si>
    <t>The app encountered an error while creating the account (IMAP) and crashed when clicking on the "write email" feature</t>
  </si>
  <si>
    <t xml:space="preserve">      Expected behavior_x000D_
Supposedly  the user can not enter the  Inbox  page without setting up the server and connecting it  Also  the write email feature should have no errors _x000D_
_x000D_
     Actual behavior_x000D_
      First problem_x000D_
When I set up a new account by choosing an account type (IMAP)  and after being on the server settings page  I accidentally exit the app  suddenly when I open the app again I m already on the page  Inbox   Though I do not connect the server _x000D_
_x000D_
      Second problem_x000D_
And when I try to click the write email feature  suddenly the application crashes and exit by itself _x000D_
_x000D_
_x000D_
     How to reproduce_x000D_
      First problem_x000D_
1  Install and open the app_x000D_
2  Next go to the  Set up a new account _x000D_
3  Next fill in  Email address and Password _x000D_
4  Next click  Manual setup _x000D_
5  Next  select the account type  IMAP _x000D_
6  Once in the  Incoming server settings  page  please exit the application _x000D_
7  Next please log back into the application  then you will find the error as I experienced ( you will suddenly be at  Inbox  )_x000D_
_x000D_
      Second problem_x000D_
1  If you are already in the  Inbox  page  please click on the  Write email  feature  Then the application will crash and exit by itself  And when you try to log back in  the app returns to the page when it first installs _x000D_
_x000D_
    _x000D_
  Device: Xiaomi Redmi 4X_x000D_
  Operating system: Marshmallow  6 0 1 mmb29m (CPU: Octa core Max 1 9 GHz  RAM: 2 GB)_x000D_
  Application Version: 5 403_x000D_
_x000D_
     Recording Of The Bug _x000D_
https:  www youtube com watch v oaBseBOvwJY_x000D_
_x000D_
_x000D_
_x000D_
     Logcat_x000D_
   _x000D_
05 19 23:20:52 905 13739 13739 E AndroidRuntime: FATAL EXCEPTION: main_x000D_
05 19 23:20:52 905 13739 13739 E AndroidRuntime: Process: com fsck k9  PID: 13739_x000D_
05 19 23:20:52 905 13739 13739 E AndroidRuntime: android content ActivityNotFoundException: Unable to find explicit activity class  com fsck k9 com fsck k9 activity MessageCompose   have you declared this activity in your AndroidManifest xml _x000D_
05 19 23:20:52 905 13739 13739 E AndroidRuntime: 	at android app Instrumentation checkStartActivityResult(Instrumentation java:1801)_x000D_
05 19 23:20:52 905 13739 13739 E AndroidRuntime: 	at android app Instrumentation execStartActivity(Instrumentation java:1514)_x000D_
05 19 23:20:52 905 13739 13739 E AndroidRuntime: 	at android app Activity startActivityForResult(Activity java:3978)_x000D_
05 19 23:20:52 905 13739 13739 E AndroidRuntime: 	at android app Activity startActivityForResult(Activity java:3939)_x000D_
05 19 23:20:52 905 13739 13739 E AndroidRuntime: 	at android app Activity startActivity(Activity java:4262)_x000D_
05 19 23:20:52 905 13739 13739 E AndroidRuntime: 	at android app Activity startActivity(Activity java:4230)_x000D_
05 19 23:20:52 905 13739 13739 E AndroidRuntime: 	at com fsck k9 activity compose MessageActions actionCompose(MessageActions java:25)_x000D_
05 19 23:20:52 905 13739 13739 E AndroidRuntime: 	at com fsck k9 activity MessageList onCompose(MessageList java:1277)_x000D_
05 19 23:20:52 905 13739 13739 E AndroidRuntime: 	at com fsck k9 fragment MessageListFragment onCompose(MessageListFragment java:775)_x000D_
05 19 23:20:52 905 13739 13739 E AndroidRuntime: 	at com fsck k9 activity MessageList onOptionsItemSelected(MessageList java:812)_x000D_
05 19 23:20:52 905 13739 13739 E AndroidRuntime: 	at android app Activity onMenuItemSelected(Activity java:2963)_x000D_
05 19 23:20:52 905 13739 13739 E AndroidRuntime: 	at com android internal policy PhoneWindow onMenuItemSelected(PhoneWindow java:1151)_x000D_
05 19 23:20:52 905 13739 13739 E AndroidRuntime: 	at com android internal view menu MenuBuilder dispatchMenuItemSelected(MenuBuilder java:761)_x000D_
05 19 23:20:52 905 13739 13739 E AndroidRuntime: 	at com android internal view menu MenuItemImpl invoke(MenuItemImpl java:152)_x000D_
05 19 23:20:52 905 13739 13739 E AndroidRuntime: 	at com android internal view menu MenuBuilder performItemAction(MenuBuilder java:904)_x000D_
05 19 23:20:52 905 13739 13739 E AndroidRuntime: 	at com android internal view menu MenuBuilder performItemAction(MenuBuilder java:894)_x000D_
05 19 23:20:52 905 13739 13739 E AndroidRuntime: 	at android widget ActionMenuView invokeItem(ActionMenuView java:616)_x000D_
05 19 23:20:52 905 13739 13739 E AndroidRuntime: 	at com android internal view menu ActionMenuItemView onClick(ActionMenuItemView java:141)_x000D_
05 19 23:20:52 905 13739 13739 E AndroidRuntime: 	at android view View performClick(View java:5207)_x000D_
05 19 23:20:52 905 13739 13739 E AndroidRuntime: 	at android view View PerformClick run(View java:21177)_x000D_
05 19 23:20:52 905 13739 13739 E AndroidRuntime: 	at android os Handler handleCallback(Handler java:742)_x000D_
05 19 23:20:52 905 13739 13739 E AndroidRuntime: 	at android os Handler dispatchMessage(Handler java:95)_x000D_
05 19 23:20:52 905 13739 13739 E AndroidRuntime: 	at android os Looper loop(Looper java:154)_x000D_
05 19 23:20:52 905 13739 13739 E AndroidRuntime: 	at android app ActivityThread main(ActivityThread java:5527)_x000D_
05 19 23:20:52 905 13739 13739 E AndroidRuntime: 	at java lang reflect Method invoke(Native Method)_x000D_
05 19 23:20:52 905 13739 13739 E AndroidRuntime: 	at com android internal os ZygoteInit MethodAndArgsCaller run(ZygoteInit java:739)_x000D_
05 19 23:20:52 905 13739 13739 E AndroidRuntime: 	at com android internal os ZygoteInit main(ZygoteInit java:629)_x000D_
   </t>
  </si>
  <si>
    <t>ramack-ActivityDiary-153</t>
  </si>
  <si>
    <t>App crashes while clicking on undo option.</t>
  </si>
  <si>
    <t xml:space="preserve">    Actual behaviour_x000D_
When I open the activity diary app and delete all activities and add new activity i Add  Image and note then i click on options botton and select diary options   Then i select recent added activity   Change start and end date then I  go back back to main menu and click on recent added activity and I want to undo this when I click on undo add crashes _x000D_
    How to reproduce_x000D_
  Open the activity diary app _x000D_
  Delete all activities _x000D_
  Add new activity _x000D_
  Select photo and  write note _x000D_
  Click on options botton _x000D_
  Select diary option _x000D_
  Change start and end date _x000D_
  Go back to main menu _x000D_
  Click on recent added activity _x000D_
  Click on undo option _x000D_
  After clicking on undo option app crashes _x000D_
  Browser: Activity diary _x000D_
  Version: 1 2 2_x000D_
  Operating system:7 1 2_x000D_
    Recording of the bug_x000D_
https:  youtu be Yinv4TgwgAE</t>
  </si>
  <si>
    <t>renyuneyun-Easer-106</t>
  </si>
  <si>
    <t>Renaming Profile/Scenario makes Easer Crash</t>
  </si>
  <si>
    <t xml:space="preserve">Renaming a profile or scenario that is used in a script makes Easer crash  After that it crashes every time I open it  I fixed it by reinstalling it and assure the profile or scenario I want to rename is not used </t>
  </si>
  <si>
    <t>SecUSo-privacy-friendly-werewolf-118</t>
  </si>
  <si>
    <t>App crashes when I go back to main menu.</t>
  </si>
  <si>
    <t>_x000D_
   Actual behaviour_x000D_
When I open the werewolf game and play new game and during game I go back to main menu of screen by putting it into recent tags  when I go to main menu app automatically crashes _x000D_
_x000D_
   How to reproduce_x000D_
  Download the werewolf app from F driod_x000D_
_x000D_
  Install this app _x000D_
_x000D_
  Open the werewolf app _x000D_
_x000D_
  Play new game _x000D_
_x000D_
  Then go to main menu _x000D_
_x000D_
   When I go to main menu app crashes _x000D_
_x000D_
Browser :werewolf_x000D_
_x000D_
Version:1 0_x000D_
_x000D_
Operating system:7 1 2_x000D_
    Recording of the bug_x000D_
https:  youtu be sOZpV3o8Vls</t>
  </si>
  <si>
    <t>SecUSo-privacy-friendly-werewolf-116</t>
  </si>
  <si>
    <t>App crashes on screen rotation during starting the game</t>
  </si>
  <si>
    <t xml:space="preserve">_x000D_
     Expected behavior br _x000D_
The app must be stable on screen rotation during starting the game  br _x000D_
     Actual behavior br _x000D_
But the app crashes on screen rotation after clicking Okay during starting the game  br _x000D_
     How to reproduce br _x000D_
1  Install the app and launch it  br _x000D_
2  Click on New game  Enter the plater name and click okay  br _x000D_
3  Click on start game  And click on Okay to add more players  On the next interface you apos ll be shown game information  br _x000D_
4  Now change the orientation of the screen to landscape mode  br _x000D_
5  Now click on okay in landscape mode   br _x000D_
The app crashes  br _x000D_
  App Version: 1 0 br _x000D_
  Device: Samsung Galaxy J5 br _x000D_
  Operating System: Android 6 0 1 br _x000D_
     Recording Of The Bug br _x000D_
https:  youtu be 9Uz855aBDp8 br _x000D_
</t>
  </si>
  <si>
    <t>hzi-braunschweig-SORMAS-Project-611</t>
  </si>
  <si>
    <t>Automatic app update does not work on old LG devices</t>
  </si>
  <si>
    <t xml:space="preserve">It just crashes when trying to install the app (download is working) </t>
  </si>
  <si>
    <t>citiususc-calendula-118</t>
  </si>
  <si>
    <t>Calendula app crashes when accessing notification settings</t>
  </si>
  <si>
    <t xml:space="preserve">     Expected behavior_x000D_
The app should remain stable and should not crash when notifications sound is changed  _x000D_
_x000D_
_x000D_
     Actual behavior_x000D_
_x000D_
The app crashes when a new notification sound is selected and continues subsequent crashes that ensures users can no  longer  notification settings _x000D_
_x000D_
_x000D_
_x000D_
     How to reproduce_x000D_
_x000D_
Download and install latest app version_x000D_
_x000D_
Click on settings (This can be accessed by clicking on the 3 lines in the top left corner of the app)_x000D_
 _x000D_
Rotate phone to landscape mode_x000D_
_x000D_
Click on notifications _x000D_
_x000D_
Change notification sound  to an mp3 song preferably_x000D_
_x000D_
_x000D_
The app crashes and notification sound  cannot be accessed again until it is re installed_x000D_
_x000D_
_x000D_
_x000D_
_x000D_
  Browser App version: Calendula app version 2 5 5_x000D_
 Operating system: Android 6 0_x000D_
_x000D_
_x000D_
     Recording Of The Bug_x000D_
This is the recording showing the crash when trying to set the notifications settings_x000D_
https:  youtu be Mq7dT0daAIA_x000D_
_x000D_
This is the recording showing subsequent crashes_x000D_
https:  youtu be RPYrDiEuX4U_x000D_
</t>
  </si>
  <si>
    <t>MrStahlfelge-gdx-gamesvcs-26</t>
  </si>
  <si>
    <t>GPGS Android: Disconnect from service while saving leads to crash</t>
  </si>
  <si>
    <t>In very rare cases  app crashes with the following cause:_x000D_
_x000D_
  java lang IllegalStateException: _x000D_
   com google android gms games internal api SnapshotsImpl commitAndClose (SnapshotsImpl java)_x000D_
    or                      open 70b7f367 (SnapshotsImpl java)_x000D_
    at de golfgl gdxgamesvcs GpgsClient  saveGameStateSync (GpgsClient java)_x000D_
    at de golfgl gdxgamesvcs GpgsClient 4 doInBackground (GpgsClient java)_x000D_
_x000D_
This is probably caused by disconnecting from GPGS while cloud save is still running _x000D_
_x000D_
There are two possible approaches to prevent this crash:_x000D_
1) do not disconnect while cloud save is running_x000D_
2) catch the exception and return failed cloud save</t>
  </si>
  <si>
    <t>1singhmanmeet-QuicXplo-2</t>
  </si>
  <si>
    <t>QuicXplo 1.0.2: App crashes when directory level which is empty get tapped</t>
  </si>
  <si>
    <t xml:space="preserve">     Expected behavior_x000D_
Tapping on the directory level that contains no files or folders in it should yield no activity nor crash the app_x000D_
     Actual behavior_x000D_
When in a folder or directory which has no files and folders  tapping on the directory level at the top section tab makes the app crash_x000D_
     how to reproduce_x000D_
1  Open device storage_x000D_
2  Open a directory or folder which has no files_x000D_
3  Tap the directory level on the tab at the top section_x000D_
4  App crashes_x000D_
_x000D_
  Device: Tecno K7_x000D_
  Operating system: Android Nougat 7 0_x000D_
     recording of bug_x000D_
https:  youtu be kmA2jRMlIgI_x000D_
_x000D_
     logcat_x000D_
   _x000D_
05 18 09:06:59 981 I ActivityManager(800): START u0  act android intent action MAIN cat  android intent category LAUNCHER  flg 0x10200000 cmp com singh multimeet quicxplo  ui browse splash SplashScreen (has extras)  from uid 10022 on display 0_x000D_
05 18 09:07:00 012 I libPerfService(800):  perfNotifyAppState  foreground:com singh multimeet quicxplo  pid:20533_x000D_
05 18 09:07:00 012 I PPS     (800):  PPSNotifyAppState  pack:com singh multimeet quicxplo  com:com singh multimeet quicxplo ui browse home Home  state:1 ActiveCount   2_x000D_
05 18 09:07:00 012 I PPS     (800):  PPSNotifyAppState  nPackNum:102  pack:com singh multimeet quicxplo  com:com singh multimeet quicxplo ui browse home Home  state:1  pid:20533  last boost tid:20533_x000D_
05 18 09:07:00 376 I BufferQueueProducer(224):  com singh multimeet quicxplo com singh multimeet quicxplo ui browse home Home (this:0xab432000 id:3046 api:1 p:20533 c:224) connect(P): api 1 producer (20533:com singh multimeet quicxplo) producerControlledByApp true_x000D_
05 18 09:07:00 379 I BufferQueueProducer(224):  com singh multimeet quicxplo com singh multimeet quicxplo ui browse home Home (this:0xab432000 id:3046 api:1 p:20533 c:224) setMaxDequeuedBufferCount: maxDequeuedBuffers   3_x000D_
05 18 09:07:00 431 I BufferQueueProducer(224):  com singh multimeet quicxplo com singh multimeet quicxplo ui browse home Home (this:0xab432000 id:3046 api:1 p:20533 c:224) new GraphicBuffer needed_x000D_
05 18 09:07:00 459 I BufferQueueProducer(224):  com singh multimeet quicxplo com singh multimeet quicxplo ui browse home Home (this:0xab432000 id:3046 api:1 p:20533 c:224) queueBuffer: fps 0 00 dur 219192 50 max 219192 50 min 219192 50_x000D_
05 18 09:07:00 464 I BufferQueueProducer(224):  com singh multimeet quicxplo com singh multimeet quicxplo ui browse home Home (this:0xab432000 id:3046 api:1 p:20533 c:224) new GraphicBuffer needed_x000D_
05 18 09:07:00 543 I BufferQueueProducer(224):  com singh multimeet quicxplo com singh multimeet quicxplo ui browse home Home (this:0xab432000 id:3046 api:1 p:20533 c:224) new GraphicBuffer needed_x000D_
05 18 09:07:07 297 I BufferQueueProducer(224):  com singh multimeet quicxplo com singh multimeet quicxplo ui browse home Home (this:0xab432000 id:3046 api:1 p:20533 c:224) new GraphicBuffer needed_x000D_
05 18 09:07:07 307 I BufferQueueProducer(224):  com singh multimeet quicxplo com singh multimeet quicxplo ui browse home Home (this:0xab432000 id:3046 api:1 p:20533 c:224) queueBuffer: fps 0 44 dur 6847 81 max 6713 70 min 16 25_x000D_
05 18 09:07:07 319 I ActivityManager(800): START u0  cmp com singh multimeet quicxplo  ui browse Browse (has extras)  from uid 10130 on display 0_x000D_
05 18 09:07:07 343 I PPS     (800):  PPSNotifyAppState  pack:com singh multimeet quicxplo  com:com singh multimeet quicxplo ui browse home Home  state:0 ActiveCount   1_x000D_
05 18 09:07:07 343 I PPS     (800):  PPSNotifyAppState  nPackNum:102  pack:com singh multimeet quicxplo  com:com singh multimeet quicxplo ui browse home Home  state:0  pid:20533  last boost tid:20533_x000D_
05 18 09:07:07 353 I PPS     (800):  PPSNotifyAppState  pack:com singh multimeet quicxplo  com:com singh multimeet quicxplo ui browse Browse  state:1 ActiveCount   2_x000D_
05 18 09:07:07 353 I PPS     (800):  PPSNotifyAppState  nPackNum:102  pack:com singh multimeet quicxplo  com:com singh multimeet quicxplo ui browse Browse  state:1  pid:20533  last boost tid:20533_x000D_
05 18 09:07:07 360 I BufferQueueConsumer(224):  com singh multimeet quicxplo com singh multimeet quicxplo ui browse home Home (this:0xab456000 id:3083 api:0 p: 1 c:224) setConsumerName: com singh multimeet quicxplo com singh multimeet quicxplo ui browse home Home_x000D_
05 18 09:07:07 360 I BufferQueueConsumer(224):  com singh multimeet quicxplo com singh multimeet quicxplo ui browse home Home (this:0xab456000 id:3083 api:0 p: 1 c:224) setDefaultBufferSize: width 720 height 1280_x000D_
05 18 09:07:07 371 I BufferQueueProducer(224):  com singh multimeet quicxplo com singh multimeet quicxplo ui browse home Home (this:0xab432000 id:3046 api:1 p: 1 c:224) disconnect(P): api 1_x000D_
05 18 09:07:07 371 I BufferQueueConsumer(224):  com singh multimeet quicxplo com singh multimeet quicxplo ui browse home Home (this:0xab432000 id:3046 api:1 p: 1 c:224) getReleasedBuffers: returning mask 0xffffffffffffffff_x000D_
05 18 09:07:07 379 I BufferQueueProducer(224):  com singh multimeet quicxplo com singh multimeet quicxplo ui browse home Home (this:0xab456000 id:3083 api:1 p:20533 c:224) connect(P): api 1 producer (20533:com singh multimeet quicxplo) producerControlledByApp true_x000D_
05 18 09:07:07 381 I BufferQueueProducer(224):  com singh multimeet quicxplo com singh multimeet quicxplo ui browse home Home (this:0xab456000 id:3083 api:1 p:20533 c:224) setMaxDequeuedBufferCount: maxDequeuedBuffers   3_x000D_
05 18 09:07:07 385 I BufferQueueProducer(224):  com singh multimeet quicxplo com singh multimeet quicxplo ui browse home Home (this:0xab456000 id:3083 api:1 p:20533 c:224) new GraphicBuffer needed_x000D_
05 18 09:07:07 401 I BufferQueueProducer(224):  com singh multimeet quicxplo com singh multimeet quicxplo ui browse home Home (this:0xab456000 id:3083 api:1 p:20533 c:224) new GraphicBuffer needed_x000D_
05 18 09:07:07 404 I WindowManager(800): Destroying surface Surface(name com singh multimeet quicxplo com singh multimeet quicxplo ui browse home Home) called by com android server wm WindowStateAnimator destroyDeferredSurfaceLocked:977 com android server wm WindowStateAnimator destroyPreservedSurfaceLocked:687 com android server wm WindowManagerService destroyPreservedSurfaceLocked:9107 com android server wm WindowAnimator animateLocked:810 com android server wm WindowAnimator  wrap0: 1 com android server wm WindowAnimator 1 doFrame:147 android view Choreographer CallbackRecord run:915 android view Choreographer doCallbacks:715 _x000D_
05 18 09:07:07 415 I BufferQueueConsumer(224):  com singh multimeet quicxplo com singh multimeet quicxplo ui browse home Home (this:0xab432000 id:3046 api:1 p: 1 c: 1) disconnect(C)_x000D_
05 18 09:07:07 416 I BufferQueue(224):  com singh multimeet quicxplo com singh multimeet quicxplo ui browse home Home (this:0xab432000 id:3046 api:1 p: 1 c: 1)  BufferQueueCore_x000D_
05 18 09:07:07 428 I BufferQueueProducer(224):  com singh multimeet quicxplo com singh multimeet quicxplo ui browse home Home (this:0xab456000 id:3083 api:1 p:20533 c:224) new GraphicBuffer needed_x000D_
05 18 09:07:08 509 I BufferQueueConsumer(224):  com singh multimeet quicxplo com singh multimeet quicxplo ui browse Browse (this:0xab432000 id:3084 api:0 p: 1 c:224) setConsumerName: com singh multimeet quicxplo com singh multimeet quicxplo ui browse Browse_x000D_
05 18 09:07:08 509 I BufferQueueConsumer(224):  com singh multimeet quicxplo com singh multimeet quicxplo ui browse Browse (this:0xab432000 id:3084 api:0 p: 1 c:224) setDefaultBufferSize: width 1 height 1_x000D_
05 18 09:07:08 521 I BufferQueueConsumer(224):  com singh multimeet quicxplo com singh multimeet quicxplo ui browse Browse (this:0xab432000 id:3084 api:0 p: 1 c:224) setDefaultBufferSize: width 720 height 1280_x000D_
05 18 09:07:08 537 I BufferQueueProducer(224):  com singh multimeet quicxplo com singh multimeet quicxplo ui browse Browse (this:0xab432000 id:3084 api:1 p:20533 c:224) connect(P): api 1 producer (20533:com singh multimeet quicxplo) producerControlledByApp true_x000D_
05 18 09:07:08 539 I BufferQueueProducer(224):  com singh multimeet quicxplo com singh multimeet quicxplo ui browse Browse (this:0xab432000 id:3084 api:1 p:20533 c:224) setMaxDequeuedBufferCount: maxDequeuedBuffers   3_x000D_
05 18 09:07:08 658 I BufferQueueProducer(224):  com singh multimeet quicxplo com singh multimeet quicxplo ui browse home Home (this:0xab456000 id:3083 api:1 p:20533 c:224) queueBuffer: fps 26 14 dur 1262 57 max 687 03 min 6 77_x000D_
05 18 09:07:08 754 I BufferQueueProducer(224):  com singh multimeet quicxplo com singh multimeet quicxplo ui browse Browse (this:0xab432000 id:3084 api:1 p:20533 c:224) new GraphicBuffer needed_x000D_
05 18 09:07:08 800 I BufferQueueProducer(224):  com singh multimeet quicxplo com singh multimeet quicxplo ui browse Browse (this:0xab432000 id:3084 api:1 p:20533 c:224) new GraphicBuffer needed_x000D_
05 18 09:07:08 805 I ActivityManager(800): Displayed com singh multimeet quicxplo  ui browse Browse:  1s459ms_x000D_
05 18 09:07:08 825 I BufferQueueProducer(224):  com singh multimeet quicxplo com singh multimeet quicxplo ui browse Browse (this:0xab432000 id:3084 api:1 p:20533 c:224) new GraphicBuffer needed_x000D_
05 18 09:07:08 864 I BufferQueueProducer(224):  com singh multimeet quicxplo com singh multimeet quicxplo ui browse home Home (this:0xab456000 id:3083 api:1 p: 1 c:224) disconnect(P): api 1_x000D_
05 18 09:07:08 864 I BufferQueueConsumer(224):  com singh multimeet quicxplo com singh multimeet quicxplo ui browse home Home (this:0xab456000 id:3083 api:1 p: 1 c:224) getReleasedBuffers: returning mask 0xffffffffffffffff_x000D_
05 18 09:07:09 753 I WindowManager(800): Destroying surface Surface(name com singh multimeet quicxplo com singh multimeet quicxplo ui browse home Home) called by com android server wm WindowStateAnimator destroySurface:2137 com android server wm WindowStateAnimator destroySurfaceLocked:948 com android server wm WindowState destroyOrSaveSurface:2113 com android server wm WindowManagerService tryStartExitingAnimation:3245 com android server wm WindowManagerService relayoutWindow:3125 com android server wm Session relayout:227 android view IWindowSession Stub onTransact:286 com android server wm Session onTransact:148 _x000D_
05 18 09:07:09 759 I PPS     (800):  PPSNotifyAppState  pack:com singh multimeet quicxplo  com:com singh multimeet quicxplo ui browse home Home  state:4 ActiveCount   1_x000D_
05 18 09:07:09 759 I PPS     (800):  PPSNotifyAppState  nPackNum:102  pack:com singh multimeet quicxplo  com:com singh multimeet quicxplo ui browse home Home  state:4  pid:20533  last boost tid:20533_x000D_
05 18 09:07:09 769 I BufferQueueConsumer(224):  com singh multimeet quicxplo com singh multimeet quicxplo ui browse home Home (this:0xab456000 id:3083 api:1 p: 1 c: 1) disconnect(C)_x000D_
05 18 09:07:09 769 I BufferQueue(224):  com singh multimeet quicxplo com singh multimeet quicxplo ui browse home Home (this:0xab456000 id:3083 api:1 p: 1 c: 1)  BufferQueueCore_x000D_
05 18 09:07:10 182 I BufferQueueProducer(224):  com singh multimeet quicxplo com singh multimeet quicxplo ui browse Browse (this:0xab432000 id:3084 api:1 p:20533 c:224) queueBuffer: fps 36 96 dur 1406 96 max 453 30 min 11 32_x000D_
05 18 09:07:11 258 I BufferQueueProducer(224):  com singh multimeet quicxplo com singh multimeet quicxplo ui browse Browse (this:0xab432000 id:3084 api:1 p:20533 c:224) queueBuffer: fps 27 88 dur 1076 05 max 569 73 min 14 61_x000D_
05 18 09:07:12 272 I BufferQueueProducer(224):  com singh multimeet quicxplo com singh multimeet quicxplo ui browse Browse (this:0xab432000 id:3084 api:1 p:20533 c:224) queueBuffer: fps 18 74 dur 1013 85 max 697 39 min 14 78_x000D_
05 18 09:07:13 726 I BufferQueueProducer(224):  com singh multimeet quicxplo com singh multimeet quicxplo ui browse Browse (this:0xab432000 id:3084 api:1 p:20533 c:224) queueBuffer: fps 8 94 dur 1454 06 max 1241 45 min 16 63_x000D_
05 18 09:07:13 762 E AndroidRuntime(20533): Process: com singh multimeet quicxplo  PID: 20533_x000D_
05 18 09:07:13 762 E AndroidRuntime(20533): 	at com singh multimeet quicxplo ui browse Browse showOrHideEmptyMessage(Browse java:355)_x000D_
05 18 09:07:13 762 E AndroidRuntime(20533): 	at com singh multimeet quicxplo ui browse Browse onCrumbSelected(Browse java:1127)_x000D_
05 18 09:07:13 762 E AndroidRuntime(20533): 	at com singh multimeet quicxplo adapter BreadCrumbsAdapter lambda onBindViewHolder 0 BreadCrumbsAdapter(BreadCrumbsAdapter java:75)_x000D_
05 18 09:07:13 762 E AndroidRuntime(20533): 	at com singh multimeet quicxplo adapter BreadCrumbsAdapter  Lambda 0 onClick(Unknown Source)_x000D_
05 18 09:07:13 771 W ActivityManager(800):   Force finishing activity com singh multimeet quicxplo  ui browse Browse_x000D_
05 18 09:07:13 852 I AEE AED (21382):  preset info  pid: 20533  tid:  1361051648  name: UNKNOWN      com singh multimeet quicxplo    _x000D_
05 18 09:07:13 869 I BufferQueueConsumer(224):  Application Error: com singh multimeet quicxplo (this:0xab456000 id:3085 api:0 p: 1 c:224) setConsumerName: Application Error: com singh multimeet quicxplo_x000D_
05 18 09:07:13 869 I BufferQueueConsumer(224):  Application Error: com singh multimeet quicxplo (this:0xab456000 id:3085 api:0 p: 1 c:224) setDefaultBufferSize: width 129 height 129_x000D_
05 18 09:07:13 880 I BufferQueueConsumer(224):  Application Error: com singh multimeet quicxplo (this:0xab456000 id:3085 api:0 p: 1 c:224) setDefaultBufferSize: width 812 height 512_x000D_
05 18 09:07:13 894 I BufferQueueProducer(224):  Application Error: com singh multimeet quicxplo (this:0xab456000 id:3085 api:1 p:800 c:224) connect(P): api 1 producer (800:system server) producerControlledByApp false_x000D_
05 18 09:07:13 896 I BufferQueueProducer(224):  Application Error: com singh multimeet quicxplo (this:0xab456000 id:3085 api:1 p:800 c:224) setMaxDequeuedBufferCount: maxDequeuedBuffers   3_x000D_
05 18 09:07:13 906 I BufferQueueProducer(224):  Application Error: com singh multimeet quicxplo (this:0xab456000 id:3085 api:1 p:800 c:224) new GraphicBuffer needed_x000D_
05 18 09:07:13 921 I BufferQueueProducer(224):  Application Error: com singh multimeet quicxplo (this:0xab456000 id:3085 api:1 p:800 c:224) new GraphicBuffer needed_x000D_
05 18 09:07:13 927 I WindowManager(800): Losing delayed focus: Window cb282e2 u0 com singh multimeet quicxplo com singh multimeet quicxplo ui browse Browse _x000D_
05 18 09:07:14 280 W ActivityManager(800): Activity pause timeout for ActivityRecord c78b7df u0 com singh multimeet quicxplo  ui browse Browse t2592 f _x000D_
05 18 09:07:14 280 I PPS     (800):  PPSNotifyAppState  pack:com singh multimeet quicxplo  com:com singh multimeet quicxplo ui browse Browse  state:0 ActiveCount   0_x000D_
05 18 09:07:14 280 I PPS     (800):  PPSNotifyAppState  nPackNum:102  pack:com singh multimeet quicxplo  com:com singh multimeet quicxplo ui browse Browse  state:0  pid:20533  last boost tid:20533_x000D_
05 18 09:07:14 282 I PPS     (800):  PPSNotifyAppState  pack:com singh multimeet quicxplo  com:com singh multimeet quicxplo ui browse home Home  state:1 ActiveCount   1_x000D_
05 18 09:07:14 282 I PPS     (800):  PPSNotifyAppState  nPackNum:102  pack:com singh multimeet quicxplo  com:com singh multimeet quicxplo ui browse home Home  state:1  pid:20533  last boost tid:20533_x000D_
05 18 09:07:17 120 W ActivityManager(800):   Force finishing activity com singh multimeet quicxplo  ui browse Browse_x000D_
05 18 09:07:17 128 I BufferQueueProducer(224):  Application Error: com singh multimeet quicxplo (this:0xab456000 id:3085 api:1 p: 1 c:224) disconnect(P): api 1_x000D_
05 18 09:07:17 128 I BufferQueueConsumer(224):  Application Error: com singh multimeet quicxplo (this:0xab456000 id:3085 api:1 p: 1 c:224) getReleasedBuffers: returning mask 0xffffffffffffffff_x000D_
05 18 09:07:17 134 W ActivityManager(800):   Force finishing activity com singh multimeet quicxplo  ui browse home Home_x000D_
05 18 09:07:17 210 E ActivityManager(800): Found activity ActivityRecord f7d78ef u0 com singh multimeet quicxplo  ui browse home Home t2592 f  in proc activity list using null instead of expected ProcessRecord 9367a23 20533:com singh multimeet quicxplo u0a130 _x000D_
05 18 09:07:17 221 I ActivityManager(800): Killing 20533:com singh multimeet quicxplo u0a130 (adj 199): crash_x000D_
05 18 09:07:17 226 W ViewRootImpl quicxplo (800): Dropping event due to root view being removed: MotionEvent   action ACTION MOVE  actionButton 0  id 0  0  x 0  445 35645  y 0  574 1826  toolType 0  TOOL TYPE FINGER  buttonState 0  metaState 0  flags 0x0  edgeFlags 0x0  pointerCount 1  historySize 2  eventTime 116236412  downTime 116236384  deviceId 2  source 0x1002  _x000D_
05 18 09:07:17 247 I WindowManager(800): Destroying surface Surface(name Application Error: com singh multimeet quicxplo) called by com android server wm WindowStateAnimator destroySurface:2137 com android server wm WindowStateAnimator destroySurfaceLocked:948 com android server wm WindowState destroyOrSaveSurface:2113 com android server wm WindowSurfacePlacer performSurfacePlacementInner:434 com android server wm WindowSurfacePlacer performSurfacePlacementLoop:235 com android server wm WindowSurfacePlacer performSurfacePlacement:183 com android server wm WindowManagerService H handleMessage:8464 android os Handler dispatchMessage:110 _x000D_
05 18 09:07:17 253 I BufferQueueConsumer(224):  Application Error: com singh multimeet quicxplo (this:0xab456000 id:3085 api:1 p: 1 c: 1) disconnect(C)_x000D_
05 18 09:07:17 254 I BufferQueue(224):  Application Error: com singh multimeet quicxplo (this:0xab456000 id:3085 api:1 p: 1 c: 1)  BufferQueueCore_x000D_
05 18 09:07:17 366 I BufferQueueProducer(224):  com singh multimeet quicxplo com singh multimeet quicxplo ui browse Browse (this:0xab432000 id:3084 api:1 p: 1 c:224) disconnect(P): api 1_x000D_
05 18 09:07:17 366 I BufferQueueConsumer(224):  com singh multimeet quicxplo com singh multimeet quicxplo ui browse Browse (this:0xab432000 id:3084 api:1 p: 1 c:224) getReleasedBuffers: returning mask 0xffffffffffffffff_x000D_
05 18 09:07:17 370 W InputDispatcher(800): channel  c8f9ab2 com singh multimeet quicxplo com singh multimeet quicxplo ui browse home Home (server)    Consumer closed input channel or an error occurred   events 0x9_x000D_
05 18 09:07:17 371 E InputDispatcher(800): channel  c8f9ab2 com singh multimeet quicxplo com singh multimeet quicxplo ui browse home Home (server)    Channel is unrecoverably broken and will be disposed _x000D_
05 18 09:07:17 373 W InputDispatcher(800): channel  cb282e2 com singh multimeet quicxplo com singh multimeet quicxplo ui browse Browse (server)    Consumer closed input channel or an error occurred   events 0x9_x000D_
05 18 09:07:17 373 E InputDispatcher(800): channel  cb282e2 com singh multimeet quicxplo com singh multimeet quicxplo ui browse Browse (server)    Channel is unrecoverably broken and will be disposed _x000D_
05 18 09:07:17 373 I WindowManager(800): WIN DEATH: Window cb282e2 u0 com singh multimeet quicxplo com singh multimeet quicxplo ui browse Browse _x000D_
05 18 09:07:17 374 W InputDispatcher(800): Attempted to unregister already unregistered input channel  cb282e2 com singh multimeet quicxplo com singh multimeet quicxplo ui browse Browse (server) _x000D_
05 18 09:07:17 374 I WindowManager(800): Destroying surface Surface(name com singh multimeet quicxplo com singh multimeet quicxplo ui browse Browse) called by com android server wm WindowStateAnimator destroySurface:2137 com android server wm WindowStateAnimator destroySurfaceLocked:948 com android server wm WindowState removeLocked:1469 com android server wm WindowManagerService removeWindowInnerLocked:2678 com android server wm WindowManagerService removeWindowLocked:2626 com android server wm WindowState DeathRecipient binderDied:1800 android os BinderProxy sendDeathNotice:695  bottom of call stack  _x000D_
05 18 09:07:17 376 I BufferQueueConsumer(224):  com singh multimeet quicxplo com singh multimeet quicxplo ui browse Browse (this:0xab432000 id:3084 api:1 p: 1 c: 1) disconnect(C)_x000D_
05 18 09:07:17 382 I BufferQueue(224):  com singh multimeet quicxplo com singh multimeet quicxplo ui browse Browse (this:0xab432000 id:3084 api:1 p: 1 c: 1)  BufferQueueCore_x000D_
05 18 09:07:17 385 I WindowManager(800): WIN DEATH: Window c8f9ab2 u0 com singh multimeet quicxplo com singh multimeet quicxplo ui browse home Home _x000D_
05 18 09:07:17 386 W InputDispatcher(800): Attempted to unregister already unregistered input channel  c8f9ab2 com singh multimeet quicxplo com singh multimeet quicxplo ui browse home Home (server) _x000D_
_x000D_
   _x000D_
</t>
  </si>
  <si>
    <t>citiususc-calendula-117</t>
  </si>
  <si>
    <t>Calendula app gets crashed.</t>
  </si>
  <si>
    <t xml:space="preserve">    Actual behavior_x000D_
When I opened the calendula opensource android app  And after that I clicked on the options present on the top left corner of the page  And then I clicked on settings option  After that I clicked on medicine database  And then I selected a database  After that I clicked on check for updates  Then I pressed back button twice  Suddenly the app crashed _x000D_
_x000D_
    How to reproduce_x000D_
_x000D_
  First you need to download the app from fdroid and then install it  after that open the app _x000D_
_x000D_
  Click on the options present on the top left corner of the page _x000D_
_x000D_
  And then click on settings option _x000D_
_x000D_
  After that click on medicine database _x000D_
_x000D_
  Then select a database and click on check for updates  After that press get back to mainscreen of the app  Suddenly the app will get crashed _x000D_
_x000D_
https:  youtu be eZrmNr00tCY _x000D_
_x000D_
  Browser: Calendula_x000D_
_x000D_
  Version: 2 5 5_x000D_
_x000D_
  Operating system:7 1 2_x000D_
_x000D_
  Device model: Redmi 4</t>
  </si>
  <si>
    <t>lfuelling-lrkFM-17</t>
  </si>
  <si>
    <t>Made the app crash when trying to delete a folder</t>
  </si>
  <si>
    <t>Hello developers  _x000D_
_x000D_
After opening the app  i hope through this app can allow me to delete some junk folder  But  when I try to delete some folders there  the folder can not be deleted and the app becomes crashed _x000D_
_x000D_
1  Open the app_x000D_
2  After opening the app  there will be some of your folders there  press the dotted feature that is in front of the folder  then there will be delete feature_x000D_
3  After pressing delete  the app will crash  and the folder cannot be deleted _x000D_
_x000D_
rkFM app version 1 6 4_x000D_
Operating system by Oppo a57 android version 6 0 1_x000D_
_x000D_
Video recording bugs on youtube_x000D_
https:  youtu be emH8KETw0Js</t>
  </si>
  <si>
    <t>lfuelling-lrkFM-16</t>
  </si>
  <si>
    <t>App crash when editing bookmark</t>
  </si>
  <si>
    <t xml:space="preserve">When I edit an already added bookmark  the app crashes  I originally added a bookmark  then I want to edit it  but the app crashes when I press ok after editing _x000D_
_x000D_
Reproduce a bug following the steps below_x000D_
1  Open the app_x000D_
2  Go to add bookmark  then save the bookmark by pressing ok _x000D_
3  after finishing the save  go to the bookmark that has been saved for editing _x000D_
4  Renaming the bookmark and pressing ok will make the application crash_x000D_
_x000D_
Also recording the bug on youtube_x000D_
https:  youtu be m5a9Gjm0iTY_x000D_
_x000D_
   _x000D_
    log count   10    _x000D_
 05 18 06:07:54 421 17233:17233 I Choreographer _x000D_
Skipped 1 frames   The application may be doing too much work on its main thread _x000D_
_x000D_
 05 18 06:07:55 738 17233:17233 I menu item selected _x000D_
 0 Start recording _x000D_
_x000D_
 05 18 06:07:55 862 17233:17233 I Choreographer _x000D_
Skipped 3 frames   The application may be doing too much work on its main thread _x000D_
_x000D_
 05 18 06:07:56 103 17233:17233 I Choreographer _x000D_
Skipped 3 frames   The application may be doing too much work on its main thread _x000D_
_x000D_
 05 18 06:07:57 899 17233:17233 D LogcatReader _x000D_
 Logcat  onActivityInBackground_x000D_
_x000D_
 05 18 06:07:57 900 17233:17233 I am on paused called _x000D_
 0 com dp logcatapp activities MainActivity _x000D_
_x000D_
 05 18 06:08:32 736 17233:17233 D LogcatReader _x000D_
 Logcat  onActivityInForeground_x000D_
_x000D_
 05 18 06:08:32 736 17233:17233 D LogcatReader _x000D_
 Logcat  Posting pending logs_x000D_
_x000D_
 05 18 06:08:32 737 17233:17233 I am on resume called _x000D_
 0 com dp logcatapp activities MainActivity _x000D_
_x000D_
 05 18 06:08:32 749 17233:17233 D LogcatReader _x000D_
 LogcatLiveFragment  onServiceConnected_x000D_
   </t>
  </si>
  <si>
    <t>lfuelling-lrkFM-15</t>
  </si>
  <si>
    <t>Application crashes when deleting bookmark</t>
  </si>
  <si>
    <t>Hello developers _x000D_
_x000D_
After adding a bookmark  i trying delete it again  and yeah  bookmarks are erased  But the app also crashes after the bookmark has been deleted _x000D_
_x000D_
Reproduce of the bug follow the steps below_x000D_
1  Open the app _x000D_
2  Go to settings and choose UI to enable boomark edit mode _x000D_
3  Then   add bookmark and afterwards press delete _x000D_
4  Then the app will crash _x000D_
_x000D_
lrkFM app version 1 6 4_x000D_
Operating system: Oppo a57 android version 6 0 1_x000D_
_x000D_
Recording the bug on youtube_x000D_
https:  youtu be BS xFWI7VPY</t>
  </si>
  <si>
    <t>OneBusAway-onebusaway-android-878</t>
  </si>
  <si>
    <t>IllegalStateException in HomeActivity.updateArrivalListFragment()</t>
  </si>
  <si>
    <t xml:space="preserve">  Summary:   _x000D_
_x000D_
From Android Developer Console (650 reports over lifetime of app back to  version code  75):_x000D_
_x000D_
   _x000D_
java lang IllegalStateException: _x000D_
  at android support v4 app FragmentManagerImpl checkStateLoss (FragmentManagerImpl java:2054)_x000D_
  at android support v4 app FragmentManagerImpl enqueueAction (FragmentManagerImpl java:2077)_x000D_
  at android support v4 app BackStackRecord commitInternal (BackStackRecord java:678)_x000D_
  at android support v4 app BackStackRecord commit (BackStackRecord java:632)_x000D_
  at org onebusaway android ui HomeActivity updateArrivalListFragment (HomeActivity java:1433)_x000D_
  at org onebusaway android ui HomeActivity onFocusChanged (HomeActivity java:1179)_x000D_
  at org onebusaway android map googlemapsv2 BaseMapFragment 1 run (BaseMapFragment java:701)_x000D_
  at android os Handler handleCallback (Handler java:789)_x000D_
  at android os Handler dispatchMessage (Handler java:98)_x000D_
  at android os Looper loop (Looper java:164)_x000D_
  at android app ActivityThread main (ActivityThread java:6938)_x000D_
  at java lang reflect Method invoke (Method java)_x000D_
  at com android internal os Zygote MethodAndArgsCaller run (Zygote java:327)_x000D_
  at com android internal os ZygoteInit main (ZygoteInit java:1374)_x000D_
   _x000D_
_x000D_
  Steps to reproduce:   _x000D_
_x000D_
Unknown_x000D_
_x000D_
  Expected behavior:   _x000D_
_x000D_
Not crash_x000D_
_x000D_
  Observed behavior:   _x000D_
_x000D_
Crash_x000D_
_x000D_
  Device and Android version:   _x000D_
_x000D_
Mostly Samsung Galaxy devices (S8 S8  in particular)  from Android 6 0 and on (most in Android 8 0)</t>
  </si>
  <si>
    <t>dimagi-commcare-android-2005</t>
  </si>
  <si>
    <t>Set submission ordering # at same time we mark a form as completed</t>
  </si>
  <si>
    <t xml:space="preserve">  Includes https:  github com dimagi commcare android pull 2004  review   merge that first   _x000D_
_x000D_
This will fix http:  manage dimagi com default asp 276261  I realized what was happening here from examining the device logs surrounding submission of the forms that Derek linked in that ticket  Because of where we were previously calling  setFormNumberForSubmissionOrdering()   a crash that occurred at the end of form entry would result in the  FormRecord  being successfully saved as complete  but never having its submission ordering number set (and therefore having a value of  1)  This PR fixes that by setting the submission order number at the same time we update a  FormRecord  s status to  STATUS COMPLETE   (The crashes themselves that were occurring post form entry were varied and none of them seemed particularly alarming  so I chose to focus on fixing the fact that any sort of crash would cause this malfunction)  _x000D_
</t>
  </si>
  <si>
    <t>react-native-camera-react-native-camera-1567</t>
  </si>
  <si>
    <t>Ios Runtime Problems with FaceDetection object</t>
  </si>
  <si>
    <t xml:space="preserve">    Which implementation are you using_x000D_
_x000D_
 RNCamera _x000D_
_x000D_
    Steps to reproduce_x000D_
_x000D_
1   yarn add react native camera _x000D_
1   react native link react native camera _x000D_
1  swap out the Podfile line with this:  pod  react native camera   subspecs:   RCT    RN    FaceDetector    path:     node modules react native camera  _x000D_
1  run  pod install _x000D_
1  download all 5 tar gz google libraries using the links in the main react native camera readme_x000D_
1  unzip all 5 to a    Downloads gmv  folder (via  tar  zxvf     eachFile  tar gz )_x000D_
1  delete the  copy  and  BarcodeDetector  folders (and all the dummy txt files)_x000D_
1  In xcode right click on the Frameworks folder (I already have one) and add all 4 folders in the gmv folder (namely: Detector  FaceDetector  Frameworks  and MVDataOutput) with the copy items and create groups options  _x000D_
1  add the AddressBook framework in build phases    link section_x000D_
1  add the   lz  option to the linker flags (I already have   lc    and   Objc options)_x000D_
1  Cmd Q to quit xcode and then restart it _x000D_
1  use xcode to run it on my phone_x000D_
1  watch the app crash with  TypeError: cannot read property fast of undefined  triggered by  faceDetectionMode  RNCamera Constants FaceDetection Mode fast  _x000D_
_x000D_
    Does it work with Expo Camera _x000D_
_x000D_
N A_x000D_
_x000D_
    Expected behaviour_x000D_
_x000D_
App should not crash and should work the same way the android side does _x000D_
_x000D_
    Actual behaviour_x000D_
_x000D_
Red box error:  TypeError: cannot read property fast of undefined  triggered by  faceDetectionMode  RNCamera Constants FaceDetection Mode fast  _x000D_
_x000D_
    Environment_x000D_
_x000D_
    Node js version  : v8 9 1_x000D_
    React Native version  : 0 53 3_x000D_
    React Native platform   platform version  : ios 11 2 6_x000D_
    Xcode version  : 9 3 1_x000D_
_x000D_
    react native camera_x000D_
_x000D_
  Version  : 1 1 2_x000D_
_x000D_
    More details_x000D_
_x000D_
It might be the same issue as  1494 (https:  github com react native community react native camera issues 1494)  _x000D_
_x000D_
Android works fine  Compiling for ios works fine  When I comment out everything that touches  RNCamera Constants FaceDetection  then the crash goes away in ios  I ve followed the extra linking steps to the letter (as described above) 3  times now with no change in outcome  I ve also tried a few variations such as creating a new (second) Frameworks folder anyway  _x000D_
_x000D_
The resulting Frameworks folder looks like this: _x000D_
  screen shot 2018 05 17 at 12 31 39 (https:  user images githubusercontent com 6391952 40194036 b48f289a 59ce 11e8 827b 55e06b733805 png)_x000D_
_x000D_
In the Build Phases    Link section I m seeing the following new things after following these steps: _x000D_
_x000D_
  AddressBook framework_x000D_
  GoogleMVDataOutput framework_x000D_
  GoogleUtilities framework_x000D_
  GoogleInterchangeUtilities framework_x000D_
  GoogleMobileVision framework_x000D_
  GoogleSymbolUtilities framework_x000D_
  FaceDetector framework_x000D_
  GoogleNetworkingUtilities framework_x000D_
_x000D_
In the linker flags section this is what I have: _x000D_
_x000D_
  screen shot 2018 05 17 at 12 56 30 (https:  user images githubusercontent com 6391952 40194993 d085b5ac 59d1 11e8 8e07 0d1d4a24276c png)_x000D_
</t>
  </si>
  <si>
    <t>lfuelling-lrkFM-14</t>
  </si>
  <si>
    <t>LrkFM 1.6.4: App crashes as it tries to go beyond the device root folder.</t>
  </si>
  <si>
    <t xml:space="preserve">     Expected behavior_x000D_
Taking the directory back to a parent folder making use of the arrow cap icon at the bottom right  when the device root folder is reached it isn t suppose to go any further  There shouldn t be any more activity to perform beyond that _x000D_
_x000D_
     Actual behavior_x000D_
On going back the directory levels and reaching the root folder      the application crashes when the icon is tapped again  _x000D_
_x000D_
     How to reproduce_x000D_
1  On the app main page showing the files  make use of the arrow cap icon at the bottom right to go back the directory levels till the root folder is reached _x000D_
2  You can check the current folder by looking at the top of the side menu _x000D_
3  Try to go back again using that icon and app will crash _x000D_
_x000D_
  App version: 1 6 4_x000D_
  Device: Tecno K7_x000D_
  Operating system: Android Nougat 7 0_x000D_
_x000D_
     LogCat_x000D_
   _x000D_
build device: TECNO K7_x000D_
version release: 7 0_x000D_
_x000D_
05 17 18:25:09 417 I ActivityManager(800): START u0  act android intent action MAIN cat  android intent category LAUNCHER  flg 0x10200000 cmp io lerk lrkFM  activities FileActivity bnds  290 820  430 1013  (has extras)  from uid 10022 on display 0_x000D_
05 17 18:25:09 470 I BufferQueueConsumer(224):  Starting io lerk lrkFM (this:0xaee5e000 id:1358 api:0 p: 1 c:224) setConsumerName: Starting io lerk lrkFM_x000D_
05 17 18:25:09 470 I BufferQueueConsumer(224):  Starting io lerk lrkFM (this:0xaee5e000 id:1358 api:0 p: 1 c:224) setDefaultBufferSize: width 1 height 1_x000D_
05 17 18:25:09 481 I ActivityManager(800): Start proc 16738:io lerk lrkFM u0a216 for activity io lerk lrkFM  activities FileActivity_x000D_
05 17 18:25:09 484 I BufferQueueConsumer(224):  Starting io lerk lrkFM (this:0xaee5e000 id:1358 api:0 p: 1 c:224) setDefaultBufferSize: width 720 height 1280_x000D_
05 17 18:25:09 496 I BufferQueueProducer(224):  Starting io lerk lrkFM (this:0xaee5e000 id:1358 api:2 p:800 c:224) connect(P): api 2 producer (800:system server) producerControlledByApp false_x000D_
05 17 18:25:09 498 I BufferQueueProducer(224):  Starting io lerk lrkFM (this:0xaee5e000 id:1358 api:2 p:800 c:224) new GraphicBuffer needed_x000D_
05 17 18:25:09 548 I libPerfService(800):  perfNotifyAppState  foreground:io lerk lrkFM  pid:16738_x000D_
05 17 18:25:09 549 I PPS     (800):  PPSNotifyAppState  pack:io lerk lrkFM  com:io lerk lrkFM activities FileActivity  state:1 ActiveCount   1_x000D_
05 17 18:25:09 549 I PPS     (800):  PPSNotifyAppState  nPackNum:102  pack:io lerk lrkFM  com:io lerk lrkFM activities FileActivity  state:1  pid:16738  last boost tid:16738_x000D_
05 17 18:25:09 685 W System  (16738): ClassLoader referenced unknown path:  data app io lerk lrkFM 1 lib arm_x000D_
05 17 18:25:10 173 I FA      (16738):   adb shell setprop debug firebase analytics app io lerk lrkFM_x000D_
05 17 18:25:10 779 I NotificationService(800): enqueueToast pkg io lerk lrkFM callback android app ITransientNotification Stub Proxy f4cc173 duration 0_x000D_
05 17 18:25:10 909 I BufferQueueConsumer(224):  io lerk lrkFM io lerk lrkFM activities FileActivity (this:0xab472000 id:1359 api:0 p: 1 c:224) setConsumerName: io lerk lrkFM io lerk lrkFM activities FileActivity_x000D_
05 17 18:25:10 909 I BufferQueueConsumer(224):  io lerk lrkFM io lerk lrkFM activities FileActivity (this:0xab472000 id:1359 api:0 p: 1 c:224) setDefaultBufferSize: width 1 height 1_x000D_
05 17 18:25:10 925 I BufferQueueConsumer(224):  io lerk lrkFM io lerk lrkFM activities FileActivity (this:0xab472000 id:1359 api:0 p: 1 c:224) setDefaultBufferSize: width 720 height 1280_x000D_
05 17 18:25:11 037 E         (16738): appName io lerk lrkFM  acAppName  system bin surfaceflinger_x000D_
05 17 18:25:11 104 I BufferQueueProducer(224):  io lerk lrkFM io lerk lrkFM activities FileActivity (this:0xab472000 id:1359 api:1 p:16738 c:224) connect(P): api 1 producer (16738:io lerk lrkFM) producerControlledByApp true_x000D_
05 17 18:25:11 106 I BufferQueueProducer(224):  io lerk lrkFM io lerk lrkFM activities FileActivity (this:0xab472000 id:1359 api:1 p:16738 c:224) setMaxDequeuedBufferCount: maxDequeuedBuffers   3_x000D_
05 17 18:25:11 238 I BufferQueueProducer(224):  Toast (this:0xab427000 id:1360 api:1 p:16738 c:224) connect(P): api 1 producer (16738:io lerk lrkFM) producerControlledByApp true_x000D_
05 17 18:25:11 274 I BufferQueueProducer(224):  io lerk lrkFM io lerk lrkFM activities FileActivity (this:0xab472000 id:1359 api:1 p:16738 c:224) new GraphicBuffer needed_x000D_
05 17 18:25:11 340 I ActivityManager(800): Displayed io lerk lrkFM  activities FileActivity:  1s878ms_x000D_
05 17 18:25:11 365 I WindowManager(800): Destroying surface Surface(name Starting io lerk lrkFM) called by com android server wm WindowStateAnimator destroySurface:2137 com android server wm WindowStateAnimator destroySurfaceLocked:948 com android server wm WindowState destroyOrSaveSurface:2113 com android server wm AppWindowToken destroySurfaces:372 com android server wm WindowStateAnimator finishExit:586 com android server wm WindowStateAnimator stepAnimationLocked:512 com android server wm WindowAnimator updateWindowsLocked:319 com android server wm WindowAnimator animateLocked:720 _x000D_
05 17 18:25:11 367 I BufferQueueProducer(224):  Starting io lerk lrkFM (this:0xaee5e000 id:1358 api:2 p: 1 c:224) disconnect(P): api 2_x000D_
05 17 18:25:11 367 I BufferQueueConsumer(224):  Starting io lerk lrkFM (this:0xaee5e000 id:1358 api:2 p: 1 c:224) getReleasedBuffers: returning mask 0xffffffffffffffff_x000D_
05 17 18:25:11 382 I BufferQueueConsumer(224):  Starting io lerk lrkFM (this:0xaee5e000 id:1358 api:2 p: 1 c: 1) disconnect(C)_x000D_
05 17 18:25:11 382 I BufferQueue(224):  Starting io lerk lrkFM (this:0xaee5e000 id:1358 api:2 p: 1 c: 1)  BufferQueueCore_x000D_
05 17 18:25:11 408 I BufferQueueProducer(224):  io lerk lrkFM io lerk lrkFM activities FileActivity (this:0xab472000 id:1359 api:1 p:16738 c:224) new GraphicBuffer needed_x000D_
05 17 18:25:11 428 I BufferQueueProducer(224):  io lerk lrkFM io lerk lrkFM activities FileActivity (this:0xab472000 id:1359 api:1 p:16738 c:224) new GraphicBuffer needed_x000D_
05 17 18:25:11 472 I BufferQueueProducer(224):  io lerk lrkFM io lerk lrkFM activities FileActivity (this:0xab472000 id:1359 api:1 p:16738 c:224) new GraphicBuffer needed_x000D_
05 17 18:25:12 886 I BufferQueueProducer(224):  io lerk lrkFM io lerk lrkFM activities FileActivity (this:0xab472000 id:1359 api:1 p:16738 c:224) queueBuffer: fps 5 13 dur 1560 79 max 1371 90 min 10 05_x000D_
05 17 18:25:14 171 I BufferQueueProducer(224):  io lerk lrkFM io lerk lrkFM activities FileActivity (this:0xab472000 id:1359 api:1 p:16738 c:224) queueBuffer: fps 12 44 dur 1285 75 max 1023 01 min 12 90_x000D_
05 17 18:25:14 192 W io lerk lrkFM activities FileActivity(16738): Can t read   storage emulated : Permission denied _x000D_
05 17 18:25:14 198 I NotificationService(800): enqueueToast pkg io lerk lrkFM callback android app ITransientNotification Stub Proxy 2e93fb6 duration 0_x000D_
05 17 18:25:14 294 I BufferQueueProducer(224):  Toast (this:0xaee5e000 id:1361 api:1 p:16738 c:224) connect(P): api 1 producer (16738:io lerk lrkFM) producerControlledByApp true_x000D_
05 17 18:25:16 117 I BufferQueueProducer(224):  io lerk lrkFM io lerk lrkFM activities FileActivity (this:0xab472000 id:1359 api:1 p:16738 c:224) queueBuffer: fps 17 99 dur 1945 35 max 1301 74 min 9 95_x000D_
05 17 18:25:16 179 I NotificationService(800): enqueueToast pkg io lerk lrkFM callback android app ITransientNotification Stub Proxy c1a142 duration 0_x000D_
05 17 18:25:16 299 I BufferQueueProducer(224):  Toast (this:0xab426000 id:1362 api:1 p:16738 c:224) connect(P): api 1 producer (16738:io lerk lrkFM) producerControlledByApp true_x000D_
05 17 18:25:17 765 I BufferQueueProducer(224):  io lerk lrkFM io lerk lrkFM activities FileActivity (this:0xab472000 id:1359 api:1 p:16738 c:224) queueBuffer: fps 21 84 dur 1648 49 max 960 88 min 16 40_x000D_
05 17 18:25:18 400 W io lerk lrkFM(16738): type 1400 audit(0 0:3627): avc: denied   read   for name     dev  rootfs  ino 1 scontext u:r:untrusted app:s0:c512 c768 tcontext u:object r:rootfs:s0 tclass dir permissive 0_x000D_
05 17 18:25:18 411 W io lerk lrkFM activities FileActivity(16738): Can t read    : Permission denied _x000D_
05 17 18:25:18 415 I NotificationService(800): enqueueToast pkg io lerk lrkFM callback android app ITransientNotification Stub Proxy 5cc8f8e duration 0_x000D_
05 17 18:25:18 475 I BufferQueueProducer(224):  Toast (this:0xaee5e000 id:1363 api:1 p:16738 c:224) connect(P): api 1 producer (16738:io lerk lrkFM) producerControlledByApp true_x000D_
05 17 18:25:18 769 I BufferQueueProducer(224):  io lerk lrkFM io lerk lrkFM activities FileActivity (this:0xab472000 id:1359 api:1 p:16738 c:224) queueBuffer: fps 38 87 dur 1003 45 max 314 57 min 10 79_x000D_
05 17 18:25:20 577 I BufferQueueProducer(224):  io lerk lrkFM io lerk lrkFM activities FileActivity (this:0xab472000 id:1359 api:1 p:16738 c:224) queueBuffer: fps 8 85 dur 1808 30 max 1542 44 min 15 54_x000D_
05 17 18:25:20 660 W io lerk lrkFM activities FileActivity(16738): Can t read  null : Permission denied _x000D_
05 17 18:25:20 650 W io lerk lrkFM(16738): type 1400 audit(0 0:3628): avc: denied   read   for name     dev  rootfs  ino 1 scontext u:r:untrusted app:s0:c512 c768 tcontext u:object r:rootfs:s0 tclass dir permissive 0_x000D_
05 17 18:25:20 669 E UncaughtException(16738): 	at io lerk lrkFM activities FileActivity setToolbarText(FileActivity java:625)_x000D_
05 17 18:25:20 669 E UncaughtException(16738): 	at io lerk lrkFM activities FileActivity loadDirectory(FileActivity java:530)_x000D_
05 17 18:25:20 669 E UncaughtException(16738): 	at io lerk lrkFM activities FileActivity loadPath(FileActivity java:489)_x000D_
05 17 18:25:20 669 E UncaughtException(16738): 	at io lerk lrkFM activities FileActivity lambda onCreate 0(FileActivity java:287)_x000D_
05 17 18:25:20 669 E UncaughtException(16738): 	at io lerk lrkFM activities    Lambda FileActivity dpy7EQyvdu2Ux2xwJIRa8f1z6FU onClick(lambda)_x000D_
05 17 18:25:21 083 E AndroidRuntime(16738): Process: io lerk lrkFM  PID: 16738_x000D_
05 17 18:25:21 083 E AndroidRuntime(16738): 	at io lerk lrkFM activities FileActivity setToolbarText(FileActivity java:625)_x000D_
05 17 18:25:21 083 E AndroidRuntime(16738): 	at io lerk lrkFM activities FileActivity loadDirectory(FileActivity java:530)_x000D_
05 17 18:25:21 083 E AndroidRuntime(16738): 	at io lerk lrkFM activities FileActivity loadPath(FileActivity java:489)_x000D_
05 17 18:25:21 083 E AndroidRuntime(16738): 	at io lerk lrkFM activities FileActivity lambda onCreate 0(FileActivity java:287)_x000D_
05 17 18:25:21 083 E AndroidRuntime(16738): 	at io lerk lrkFM activities    Lambda FileActivity dpy7EQyvdu2Ux2xwJIRa8f1z6FU onClick(lambda)_x000D_
05 17 18:25:21 093 W ActivityManager(800):   Force finishing activity io lerk lrkFM  activities FileActivity_x000D_
05 17 18:25:21 174 I BufferQueueConsumer(224):  Application Error: io lerk lrkFM (this:0xaee5e000 id:1364 api:0 p: 1 c:224) setConsumerName: Application Error: io lerk lrkFM_x000D_
05 17 18:25:21 174 I BufferQueueConsumer(224):  Application Error: io lerk lrkFM (this:0xaee5e000 id:1364 api:0 p: 1 c:224) setDefaultBufferSize: width 129 height 129_x000D_
05 17 18:25:21 186 I BufferQueueConsumer(224):  Application Error: io lerk lrkFM (this:0xaee5e000 id:1364 api:0 p: 1 c:224) setDefaultBufferSize: width 812 height 512_x000D_
05 17 18:25:21 198 I BufferQueueProducer(224):  Application Error: io lerk lrkFM (this:0xaee5e000 id:1364 api:1 p:800 c:224) connect(P): api 1 producer (800:system server) producerControlledByApp false_x000D_
05 17 18:25:21 207 I AEE AED (16825):  preset info  pid: 16738  tid:  1361051648  name: UNKNOWN      io lerk lrkFM    _x000D_
05 17 18:25:21 214 I BufferQueueProducer(224):  Application Error: io lerk lrkFM (this:0xaee5e000 id:1364 api:1 p:800 c:224) setMaxDequeuedBufferCount: maxDequeuedBuffers   3_x000D_
05 17 18:25:21 219 I BufferQueueProducer(224):  Application Error: io lerk lrkFM (this:0xaee5e000 id:1364 api:1 p:800 c:224) new GraphicBuffer needed_x000D_
05 17 18:25:21 243 I BufferQueueProducer(224):  Application Error: io lerk lrkFM (this:0xaee5e000 id:1364 api:1 p:800 c:224) new GraphicBuffer needed_x000D_
05 17 18:25:21 604 W ActivityManager(800): Activity pause timeout for ActivityRecord a03d007 u0 io lerk lrkFM  activities FileActivity t2544 f _x000D_
05 17 18:25:21 605 I PPS     (800):  PPSNotifyAppState  pack:io lerk lrkFM  com:io lerk lrkFM activities FileActivity  state:0 ActiveCount   0_x000D_
05 17 18:25:21 605 I PPS     (800):  PPSNotifyAppState  nPackNum:102  pack:io lerk lrkFM  com:io lerk lrkFM activities FileActivity  state:0  pid:16738  last boost tid:16738_x000D_
05 17 18:25:23 432 W ActivityManager(800):   Force finishing activity io lerk lrkFM  activities FileActivity_x000D_
05 17 18:25:23 433 I WindowManager(800): Destroying surface Surface(name io lerk lrkFM io lerk lrkFM activities FileActivity) called by com android server wm WindowStateAnimator destroySurface:2137 com android server wm WindowStateAnimator destroySurfaceLocked:948 com android server wm WindowState removeLocked:1469 com android server wm WindowManagerService removeWindowInnerLocked:2678 com android server wm WindowManagerService removeWindowLocked:2626 com android server wm WindowManagerService removeWindowLocked:2489 com android server wm AppWindowToken removeAllWindows:539 com android server wm AppWindowToken removeAppFromTaskLocked:335 _x000D_
05 17 18:25:23 437 I BufferQueueProducer(224):  Application Error: io lerk lrkFM (this:0xaee5e000 id:1364 api:1 p: 1 c:224) disconnect(P): api 1_x000D_
05 17 18:25:23 438 I BufferQueueConsumer(224):  Application Error: io lerk lrkFM (this:0xaee5e000 id:1364 api:1 p: 1 c:224) getReleasedBuffers: returning mask 0xffffffffffffffff_x000D_
05 17 18:25:23 452 I BufferQueueConsumer(224):  io lerk lrkFM io lerk lrkFM activities FileActivity (this:0xab472000 id:1359 api:1 p:16738 c: 1) disconnect(C)_x000D_
05 17 18:25:23 456 I ActivityManager(800): Killing 16738:io lerk lrkFM u0a216 (adj 906): crash_x000D_
05 17 18:25:23 472 W ViewRootImpl lrkFM (800): Dropping event due to root view being removed: MotionEvent   action ACTION MOVE  actionButton 0  id 0  0  x 0  487 29822  y 0  562 192  toolType 0  TOOL TYPE FINGER  buttonState 0  metaState 0  flags 0x0  edgeFlags 0x0  pointerCount 1  historySize 2  eventTime 69286306  downTime 69286278  deviceId 2  source 0x1002  _x000D_
05 17 18:25:23 512 I WindowManager(800): Destroying surface Surface(name Application Error: io lerk lrkFM) called by com android server wm WindowStateAnimator destroySurface:2137 com android server wm WindowStateAnimator destroySurfaceLocked:948 com android server wm WindowState destroyOrSaveSurface:2113 com android server wm WindowSurfacePlacer performSurfacePlacementInner:434 com android server wm WindowSurfacePlacer performSurfacePlacementLoop:235 com android server wm WindowSurfacePlacer performSurfacePlacement:183 com android server wm WindowManagerService H handleMessage:8464 android os Handler dispatchMessage:110 _x000D_
05 17 18:25:23 523 I BufferQueueConsumer(224):  Application Error: io lerk lrkFM (this:0xaee5e000 id:1364 api:1 p: 1 c: 1) disconnect(C)_x000D_
05 17 18:25:23 523 I BufferQueue(224):  Application Error: io lerk lrkFM (this:0xaee5e000 id:1364 api:1 p: 1 c: 1)  BufferQueueCore_x000D_
05 17 18:25:23 533 I BufferQueueProducer(224):  io lerk lrkFM io lerk lrkFM activities FileActivity (this:0xab472000 id:1359 api:1 p: 1 c: 1) disconnect(P): api 1_x000D_
05 17 18:25:23 534 I BufferQueue(224):  io lerk lrkFM io lerk lrkFM activities FileActivity (this:0xab472000 id:1359 api:1 p: 1 c: 1)  BufferQueueCore_x000D_
_x000D_
   </t>
  </si>
  <si>
    <t>mapbox-mapbox-events-android-147</t>
  </si>
  <si>
    <t>TelemetryLocationEnabler.updateTelemetryLocationState  NPE issue</t>
  </si>
  <si>
    <t xml:space="preserve">    _x000D_
Hello and thanks for contributing  To help us diagnose your problem quickly  please:_x000D_
_x000D_
   Include a minimal demonstration of the bug  including code  logs  and screenshots _x000D_
   Ensure you can reproduce the bug using the latest release _x000D_
   Only post to report a bug or request a feature  direct all other questions to: https:  stackoverflow com questions tagged mapbox_x000D_
   _x000D_
_x000D_
Copying from  kingfisherphuoc https:  github com mapbox mapbox gl native issues 11929_x000D_
_x000D_
  Platform:  _x000D_
  Mapbox SDK version:  _x000D_
_x000D_
    Steps to trigger behavior_x000D_
_x000D_
 1  open map_x000D_
 2  Using it while GPS is moving (Using Lockito or some mocklocation app)_x000D_
 3  Get error as below:_x000D_
_x000D_
   _x000D_
Caused by java lang NullPointerException_x000D_
Attempt to invoke virtual method  com mapbox android telemetry TelemetryLocationEnabler LocationState com mapbox android telemetry TelemetryLocationEnabler updateTelemetryLocationState(com mapbox android telemetry TelemetryLocationEnabler LocationState)  on a null object reference_x000D_
arrow right_x000D_
com mapbox android telemetry TelemetryService disableTelemetryLocationState (TelemetryService java:240)_x000D_
com mapbox android telemetry TelemetryService onDestroy (TelemetryService java:64)_x000D_
android app ActivityThread handleStopService (ActivityThread java:3771)_x000D_
android app ActivityThread  wrap30 (ActivityThread java)_x000D_
android app ActivityThread H handleMessage (ActivityThread java:1752)_x000D_
android os Handler dispatchMessage (Handler java:102)_x000D_
android os Looper loop (Looper java:154)_x000D_
android app ActivityThread main (ActivityThread java:6776)_x000D_
java lang reflect Method invoke (Method java)_x000D_
com android internal os ZygoteInit MethodAndArgsCaller run (ZygoteInit java:1518)_x000D_
com android internal os ZygoteInit main (ZygoteInit java:1408)_x000D_
   _x000D_
_x000D_
    Expected behavior_x000D_
We should not get this issue _x000D_
    Actual behavior_x000D_
App crashed _x000D_
</t>
  </si>
  <si>
    <t>itprojects-InboxPager-16</t>
  </si>
  <si>
    <t xml:space="preserve">App crashes while deleting account in landscape mode. </t>
  </si>
  <si>
    <t xml:space="preserve">    Actual behavior _x000D_
I had downloaded this app soo far and today i made an account in it  After that i opened it and want to delete the account which i had made before  _x000D_
After clicking the account and then rotated the to landscape mode in the settings of the account in this app  When i clicked on delete option mentioned on the top of the page in landscape mode  The app suddenly crashes  _x000D_
_x000D_
    How to reproduce _x000D_
Download the app from f droid  _x000D_
Make an account in it  _x000D_
After that open the account by just clickinh on it  _x000D_
On the top right corner of the page click on 3 dots  _x000D_
Here appears setting option click on it to open _x000D_
Rotate the phone to landscape mode  _x000D_
After that click on delete option _x000D_
Unfortunately the app will crash  _x000D_
_x000D_
  Browser: Inbox pager  _x000D_
  Version:2 2_x000D_
  Operating system :5 1 1</t>
  </si>
  <si>
    <t>itprojects-InboxPager-15</t>
  </si>
  <si>
    <t>Inbox pager app gets crashed.</t>
  </si>
  <si>
    <t xml:space="preserve">    Actual behavior_x000D_
I opened the inbox pager opensource android app  After that I clicked on the options present on the top right corner of the page  And then I clicked on account option to add an account  After that I filled the given details  And then i clicked on back button to get to the homescreen of the app and then I clicked on the saved account  After that I clicked on the options present on the top right corner  I opened the settings  And then I clicked on try incoming  app suddenly crashed  And even when i clicked on try outgoing  same was the case with that  app crashed _x000D_
_x000D_
    How to reproduce_x000D_
_x000D_
  First you need to download the app from fdroid and then install it  After that open the app _x000D_
_x000D_
  Click on the options present on the top right corner of the page _x000D_
_x000D_
  Click on the account option to add an account _x000D_
_x000D_
  Fill the given details _x000D_
_x000D_
  And then save it _x000D_
_x000D_
  After that click on the saved account name  And then click on the option present on the top right corner  Open the settings _x000D_
_x000D_
  Then click on try incoming option  Suddenly the app will crash _x000D_
_x000D_
  Or you can also click on try outgoing  same is the case with that  App crashes suddenly _x000D_
_x000D_
https:  youtu be Pjnm ZwJZmc _x000D_
_x000D_
  Browser: Inbox pager _x000D_
_x000D_
  Version:2 2_x000D_
_x000D_
  Operating system:7 1 2_x000D_
_x000D_
  Device model:Redmi 4</t>
  </si>
  <si>
    <t>itprojects-InboxPager-13</t>
  </si>
  <si>
    <t xml:space="preserve">    Actual behavior_x000D_
When i opened the app after that I clicked on the options present on the top right corner  After that I clicked on account to add an account  And then there I filled the given blanks  After that I filled the IMAP and SMTP blanks  And saved it  After that I tried to edit the IMAP  And then I clicked on save  but unfortunately the app suddenly crashes _x000D_
_x000D_
    How to reproduce_x000D_
_x000D_
  First you need to download the app from fdroid and install it  Open the app _x000D_
_x000D_
  Click on the options present on the top right corner _x000D_
_x000D_
  Then click on account to add an account _x000D_
_x000D_
  After that fill all the blanks  And save it _x000D_
_x000D_
  Get back and then try to edit the IMAP _x000D_
_x000D_
  And click on save  But unfortunately the app will crash suddenly _x000D_
_x000D_
https:  youtu be vcDLOsO iMQ _x000D_
_x000D_
  Browser: Inbox pager_x000D_
_x000D_
  Version:2 2_x000D_
_x000D_
  Operating system:7 1 2_x000D_
_x000D_
  Device model: Redmi 4 </t>
  </si>
  <si>
    <t>react-native-camera-react-native-camera-1562</t>
  </si>
  <si>
    <t xml:space="preserve">Camera Crashes When Rendering </t>
  </si>
  <si>
    <t xml:space="preserve">Everytime when I render Camera inside my view the app crashes with the error   JNI DETECTED ERROR IN APPLICATION: input is not valid Modified UTF 8: illegal start byte 0x98 from java lang String android hardware Camera native getParameters()  Any idea how can I overcome this _x000D_
</t>
  </si>
  <si>
    <t>square-okhttp-4008</t>
  </si>
  <si>
    <t>The header of response has Chinese , and crash by IllegalArgumentException</t>
  </si>
  <si>
    <t xml:space="preserve">I m download file   but the header of response has Chinese  and crash by IllegalArgumentException _x000D_
The detail like this:_x000D_
05 16 16:42:15 406 E AndroidRuntime(  861): FATAL EXCEPTION: OkHttp Dispatcher_x000D_
_x000D_
05 16 16:42:15 406 E AndroidRuntime(  861): Process: com linkin launchery  PID: 861_x000D_
_x000D_
05 16 16:42:15 406 E AndroidRuntime(  861): java lang IllegalArgumentException: Unexpected char 0x6c99 at 22 in header value: attachment  filename       v4 8 5 xunma01 apk _x000D_
_x000D_
05 16 16:42:15 406 E AndroidRuntime(  861): 	at com squareup okhttp Headers Builder checkNameAndValue(Headers java:295)_x000D_
_x000D_
05 16 16:42:15 406 E AndroidRuntime(  861): 	at com squareup okhttp Headers Builder add(Headers java:245)_x000D_
_x000D_
05 16 16:42:15 406 E AndroidRuntime(  861): 	at com squareup okhttp internal http Http2xStream readHttp2HeadersList(Http2xStream java:264)_x000D_
_x000D_
05 16 16:42:15 406 E AndroidRuntime(  861): 	at com squareup okhttp internal http Http2xStream readResponseHeaders(Http2xStream java:150)_x000D_
_x000D_
05 16 16:42:15 406 E AndroidRuntime(  861): 	at com squareup okhttp internal http HttpEngine readNetworkResponse(HttpEngine java:737)_x000D_
_x000D_
05 16 16:42:15 406 E AndroidRuntime(  861): 	at com squareup okhttp internal http HttpEngine access 200(HttpEngine java:87)_x000D_
_x000D_
05 16 16:42:15 406 E AndroidRuntime(  861): 	at com squareup okhttp internal http HttpEngine NetworkInterceptorChain proceed(HttpEngine java:722)_x000D_
_x000D_
05 16 16:42:15 406 E AndroidRuntime(  861): 	at com squareup okhttp internal http HttpEngine readResponse(HttpEngine java:576)_x000D_
_x000D_
05 16 16:42:15 406 E AndroidRuntime(  861): 	at com squareup okhttp Call getResponse(Call java:287)_x000D_
_x000D_
05 16 16:42:15 406 E AndroidRuntime(  861): 	at com squareup okhttp Call ApplicationInterceptorChain proceed(Call java:243)_x000D_
_x000D_
05 16 16:42:15 406 E AndroidRuntime(  861): 	at com squareup okhttp Call getResponseWithInterceptorChain(Call java:205)_x000D_
_x000D_
05 16 16:42:15 406 E AndroidRuntime(  861): 	at com squareup okhttp Call access 100(Call java:35)_x000D_
_x000D_
05 16 16:42:15 406 E AndroidRuntime(  861): 	at com squareup okhttp Call AsyncCall execute(Call java:171)_x000D_
_x000D_
05 16 16:42:15 406 E AndroidRuntime(  861): 	at com squareup okhttp internal NamedRunnable run(NamedRunnable java:33)_x000D_
_x000D_
05 16 16:42:15 406 E AndroidRuntime(  861): 	at java util concurrent ThreadPoolExecutor runWorker(ThreadPoolExecutor java:1112)_x000D_
_x000D_
05 16 16:42:15 406 E AndroidRuntime(  861): 	at java util concurrent ThreadPoolExecutor Worker run(ThreadPoolExecutor java:587)_x000D_
_x000D_
05 16 16:42:15 406 E AndroidRuntime(  861): 	at java lang Thread run(Thread java:818)_x000D_
_x000D_
How can I handle  _x000D_
</t>
  </si>
  <si>
    <t>k3b-ToGoZip-10</t>
  </si>
  <si>
    <t>Settings may crash with NumberFormatException if number="" (i.e. after choosing language).</t>
  </si>
  <si>
    <t xml:space="preserve">    Actual behavior_x000D_
I opened the app and then i clicked on edit after that i clicked on select which is at the bottom of the right corner  And then in Settings I clicked on output zip file  short text file in zip  long file:Min text Len and then in long text file in zip  options  In all the options i removed all the text and putted numbers  After that I clicked on language and choosed a language  Suddenly the app crashed  And then i tried to open the app again  But everytime it always crashed _x000D_
_x000D_
    How to reproduce_x000D_
_x000D_
  First you need to download the app from fdroid and then install it  After that open the app _x000D_
_x000D_
  Click on the edit and then on select _x000D_
_x000D_
  After that in settings press on the output zip file  short text file in zip  long file:Min text Len  And remove the text and numbers _x000D_
_x000D_
  Then click on language and choose anyone  Suddenly the app will crash _x000D_
_x000D_
  After that try to open the app  But unfortunately you will not be able to open the app  As it always crashes  U have to uninstall it and then install it again _x000D_
_x000D_
https:  youtu be GGREadbCDFk _x000D_
_x000D_
  Browser: ToGozip_x000D_
_x000D_
  Version:2 0 12 180516_x000D_
_x000D_
  Operating system:7 1 2_x000D_
_x000D_
  Device model: Redmi 4</t>
  </si>
  <si>
    <t>getodk-collect-2214</t>
  </si>
  <si>
    <t>ArrayOutOfBoundsException in FileArrayAdapter.getView</t>
  </si>
  <si>
    <t xml:space="preserve"> holder onBind(items get(position))   is the line the crash happens on _x000D_
_x000D_
This code was recently added in  1970 to add a dynamic search bar to Google drive </t>
  </si>
  <si>
    <t>smartdevicelink-sdl_java_suite-761</t>
  </si>
  <si>
    <t>Potential NPE in SdlBroadcastReceiver for USB app</t>
  </si>
  <si>
    <t xml:space="preserve">    Bug Report_x000D_
USB app can potentially crash within  onReceive()  method of  SdlBroadcastReceiver  due to a null _x000D_
 localRouterClass  object _x000D_
_x000D_
      Precondition_x000D_
Device has a USB app and a Multiplexing app installed_x000D_
_x000D_
      Reproduction Steps_x000D_
1  Connect USB app to head unit_x000D_
2  Connect Multiplexing app to head unit_x000D_
_x000D_
_x000D_
      Expected Behavior_x000D_
App does not crash_x000D_
_x000D_
      Observed Behavior_x000D_
USB app crashes intermittently_x000D_
_x000D_
      Log_x000D_
   _x000D_
05 15 10:04:32 251 24524 24524 E AndroidRuntime: FATAL EXCEPTION: main_x000D_
05 15 10:04:32 251 24524 24524 E AndroidRuntime: Process: com XXX usbprojection  PID: 24524_x000D_
05 15 10:04:32 251 24524 24524 E AndroidRuntime: java lang RuntimeException: Unable to start receiver com XXX usbprojection SdlReceiver: java lang NullPointerException: Attempt to invoke virtual method  java lang String java lang Class getName()  on a null object reference_x000D_
05 15 10:04:32 251 24524 24524 E AndroidRuntime: 	at android app ActivityThread handleReceiver(ActivityThread java:3047)_x000D_
05 15 10:04:32 251 24524 24524 E AndroidRuntime: 	at android app ActivityThread  wrap18(ActivityThread java)_x000D_
05 15 10:04:32 251 24524 24524 E AndroidRuntime: 	at android app ActivityThread H handleMessage(ActivityThread java:1561)_x000D_
05 15 10:04:32 251 24524 24524 E AndroidRuntime: 	at android os Handler dispatchMessage(Handler java:102)_x000D_
05 15 10:04:32 251 24524 24524 E AndroidRuntime: 	at android os Looper loop(Looper java:154)_x000D_
05 15 10:04:32 251 24524 24524 E AndroidRuntime: 	at android app ActivityThread main(ActivityThread java:6119)_x000D_
05 15 10:04:32 251 24524 24524 E AndroidRuntime: 	at java lang reflect Method invoke(Native Method)_x000D_
05 15 10:04:32 251 24524 24524 E AndroidRuntime: 	at com android internal os ZygoteInit MethodAndArgsCaller run(ZygoteInit java:886)_x000D_
05 15 10:04:32 251 24524 24524 E AndroidRuntime: 	at com android internal os ZygoteInit main(ZygoteInit java:776)_x000D_
05 15 10:04:32 251 24524 24524 E AndroidRuntime: Caused by: java lang NullPointerException: Attempt to invoke virtual method  java lang String java lang Class getName()  on a null object reference_x000D_
05 15 10:04:32 251 24524 24524 E AndroidRuntime: 	at android content ComponentName  init (ComponentName java:129)_x000D_
05 15 10:04:32 251 24524 24524 E AndroidRuntime: 	at android content Intent  init (Intent java:4900)_x000D_
05 15 10:04:32 251 24524 24524 E AndroidRuntime: 	at com smartdevicelink transport SdlBroadcastReceiver onReceive(SdlBroadcastReceiver java:90)_x000D_
05 15 10:04:32 251 24524 24524 E AndroidRuntime: 	at com XXX usbprojection SdlReceiver onReceive(SdlReceiver java:11)_x000D_
05 15 10:04:32 251 24524 24524 E AndroidRuntime: 	at android app ActivityThread handleReceiver(ActivityThread java:3040)_x000D_
05 15 10:04:32 251 24524 24524 E AndroidRuntime: 	    8 more_x000D_
05 15 10:04:32 254  2034  2853 W ActivityManager:   Force finishing activity com XXX usbprojection  MainActivity_x000D_
   _x000D_
_x000D_
      OS   Version Information_x000D_
  Android Version: Android Nougat 7 1 1_x000D_
  SDL Android Version: 4 5 0_x000D_
_x000D_
      Cause_x000D_
Potential flow:_x000D_
  Multiplexing app tries to invoke  AndroidTools sendExplicitBroadcast(Context context  Intent intent  List ResolveInfo  apps)  with  apps  being non null and  apps  s size greater than 0 (in this case 2) and intent action of:  sdl router startservice   This could be the result from waking up the router service  client pinging  request transport status and more _x000D_
  AndroidTools then explicitly sends a broadcast to each app in the list with given intent  This includes the USB app _x000D_
  When the intent action is  sdl router startservice    SdlBroadcastReceiver onReceive()  will pass the return statement for USB attachment and eventually get  here (https:  github com smartdevicelink sdl android blob master sdl android src main java com smartdevicelink transport SdlBroadcastReceiver java L88 L90)_x000D_
_x000D_
   _x000D_
if (localRouterClass    null) _x000D_
	localRouterClass   defineLocalSdlRouterClass() _x000D_
	ResolveInfo info   context getPackageManager() resolveService(new Intent(context localRouterClass) PackageManager GET META DATA) _x000D_
   _x000D_
  But per the guide s instruction  for USB app  we return null for  defineLocalRouterClass()   here (https:  www smartdevicelink com en guides android getting started using aoa protocol )  This results in a NPE as the framework is trying to resolve the intent using the null class object _x000D_
</t>
  </si>
  <si>
    <t>metinkale38-prayer-times-android-121</t>
  </si>
  <si>
    <t>Crash app when accessing Restore / Backup feature</t>
  </si>
  <si>
    <t xml:space="preserve">     Expected behavior_x000D_
Supposedly  the Backup   Restore feature works normally and does not cause crashes in the application _x000D_
_x000D_
     Actual behavior_x000D_
When I click on the Backup   Restore feature in the settings feature  the Application stops automatically _x000D_
_x000D_
     How to reproduce_x000D_
_x000D_
1  Get the Prayer Times app on F Droid_x000D_
2  After you successfully install the app  Open the app _x000D_
3  Enter the settings menu_x000D_
4  Click the Restore   Backup feature  then the app will stop _x000D_
_x000D_
   _x000D_
   _x000D_
_x000D_
  Browser : Redmi Note 5A_x000D_
  System Operating : 7 1 0 Nougat_x000D_
  App Version : 3 7_x000D_
_x000D_
     Recording Of The Bug_x000D_
https:  youtu be PhQznzeUjSs_x000D_
_x000D_
     Logcat_x000D_
   _x000D_
05 17 00:52:58 149 12216 12216 E AndroidRuntime: FATAL EXCEPTION: main_x000D_
05 17 00:52:58 149 12216 12216 E AndroidRuntime: Process: com metinkale prayer  PID: 12216_x000D_
05 17 00:52:58 149 12216 12216 E AndroidRuntime: java lang RuntimeException: Unable to start activity ComponentInfo com metinkale prayer com metinkale prayerapp settings BackupRestoreActivity : java lang NullPointerException: Attempt to invoke virtual method  java io File com metinkale prayerapp settings BackupRestoreActivity a b(int)  on a null object reference_x000D_
05 17 00:52:58 149 12216 12216 E AndroidRuntime: 	at android app ActivityThread performLaunchActivity(ActivityThread java:2741)_x000D_
05 17 00:52:58 149 12216 12216 E AndroidRuntime: 	at android app ActivityThread handleLaunchActivity(ActivityThread java:2802)_x000D_
05 17 00:52:58 149 12216 12216 E AndroidRuntime: 	at android app ActivityThread  wrap12(ActivityThread java)_x000D_
05 17 00:52:58 149 12216 12216 E AndroidRuntime: 	at android app ActivityThread H handleMessage(ActivityThread java:1549)_x000D_
05 17 00:52:58 149 12216 12216 E AndroidRuntime: 	at android os Handler dispatchMessage(Handler java:102)_x000D_
05 17 00:52:58 149 12216 12216 E AndroidRuntime: 	at android os Looper loop(Looper java:163)_x000D_
05 17 00:52:58 149 12216 12216 E AndroidRuntime: 	at android app ActivityThread main(ActivityThread java:6361)_x000D_
05 17 00:52:58 149 12216 12216 E AndroidRuntime: 	at java lang reflect Method invoke(Native Method)_x000D_
05 17 00:52:58 149 12216 12216 E AndroidRuntime: 	at com android internal os ZygoteInit MethodAndArgsCaller run(ZygoteInit java:904)_x000D_
05 17 00:52:58 149 12216 12216 E AndroidRuntime: 	at com android internal os ZygoteInit main(ZygoteInit java:794)_x000D_
05 17 00:52:58 149 12216 12216 E AndroidRuntime: Caused by: java lang NullPointerException: Attempt to invoke virtual method  java io File com metinkale prayerapp settings BackupRestoreActivity a b(int)  on a null object reference_x000D_
05 17 00:52:58 149 12216 12216 E AndroidRuntime: 	at com metinkale prayerapp settings BackupRestoreActivity onItemClick(BackupRestoreActivity java:83)_x000D_
05 17 00:52:58 149 12216 12216 E AndroidRuntime: 	at com metinkale prayerapp MainActivity onCreate(MainActivity java:151)_x000D_
05 17 00:52:58 149 12216 12216 E AndroidRuntime: 	at com metinkale prayerapp settings BackupRestoreActivity onCreate(BackupRestoreActivity java:62)_x000D_
05 17 00:52:58 149 12216 12216 E AndroidRuntime: 	at android app Activity performCreate(Activity java:6865)_x000D_
05 17 00:52:58 149 12216 12216 E AndroidRuntime: 	at android app Instrumentation callActivityOnCreate(Instrumentation java:1119)_x000D_
05 17 00:52:58 149 12216 12216 E AndroidRuntime: 	at android app ActivityThread performLaunchActivity(ActivityThread java:2694)_x000D_
05 17 00:52:58 149 12216 12216 E AndroidRuntime: 	    9 more_x000D_
   _x000D_
_x000D_
     Proof Of Work Done_x000D_
http:  www github com rezamusic881_x000D_
</t>
  </si>
  <si>
    <t>niclabs-adkintunmobile-androidclient-192</t>
  </si>
  <si>
    <t>ConnectivityTest.java line 106</t>
  </si>
  <si>
    <t xml:space="preserve">     in cl niclabs adkintunmobile utils activemeasurements connectivitytest ConnectivityTest 3 onPageFinished
  Number of crashes: 1
  Impacted devices: 1
There s a lot more information about this crash on crashlytics com:
 https:  fabric io niclabs android apps cl niclabs adkintunmobile issues 5afc60b911e9fa0aa5c2e5ef utm medium service hooks github utm source issue impact (https:  fabric io niclabs android apps cl niclabs adkintunmobile issues 5afc60b911e9fa0aa5c2e5ef utm medium service hooks github utm source issue impact)</t>
  </si>
  <si>
    <t>google-ar-sceneform-android-sdk-28</t>
  </si>
  <si>
    <t>Gray lines instead of camera feed in Galaxy S9 ARCore app builds</t>
  </si>
  <si>
    <t xml:space="preserve">When I build and run the  Hello Sceneform  and  Solar System  projects that I downloaded while following the Android Quickstart  https:  developers google com ar develop java quickstart (https:  developers google com ar develop java quickstart)  all I see on my phone (a Galaxy S9) are these shifting gray black lines_x000D_
  screenshot 20180515 085346 hello sceneform 2 (https:  user images githubusercontent com 1720758 40129185 a994f758 5901 11e8 8cd5 f7e81723cce7 jpg)  with the moving ARCore hand phone on top _x000D_
_x000D_
I can download and run ARCore apps from the store without a hitch  The S9 is the only ARCore compatible phone I can test with  I m using Android Studio 3 2 preview  Windows 10  ARCore 1 2  and Android 8 0 0 _x000D_
_x000D_
When I try running on any emulator device  it immediately crashes before displaying anything  which is likely due to the fact that I don t think my desktop GPU supports OpenGL ES 3 1  based on the output when I run  adb logcat   grep eglMakeCurrent   Right now my goal is just to get it working on my phone  though </t>
  </si>
  <si>
    <t>syncthing-syncthing-android-1090</t>
  </si>
  <si>
    <t>Syncthing app gets crashed.</t>
  </si>
  <si>
    <t xml:space="preserve">    Actual behavior_x000D_
I opened the syncthing open android app  And then there appears loading web gui  I clicked the back arrow present on the top left corner and then i clicked on the options present on the top left corner  After that I clicked on the settings and then i opened the syncthing options  After all this i clicked on the incoming rate limit and then i putted numbers  and clicked on ok  Suddenly the app crashed  Second time I clicked on outgoing rate limit and there I putted some numbers  and then clicked on ok  The app suddenly crashes  Third time i removed all numbers in both incoming as well as outgoing and clicked on ok  Same was the case with that  The app crashed _x000D_
_x000D_
    How to reproduce_x000D_
  First you need to download the app from fdroid and then install it  open it _x000D_
_x000D_
  Click on the back arrow present on the top left corner _x000D_
_x000D_
  Then click on the options present on the top left corner _x000D_
_x000D_
  After that open the settings option _x000D_
_x000D_
  There click on the incoming rate limit and then put some numbers and click on ok  Suddenly the app will crash _x000D_
_x000D_
  U can also try in outgoing rate limit  Same is the case with that  app crashes _x000D_
_x000D_
  Or if we remove the numbers in both incoming as well as outgoing then press ok  App suddenly crashes _x000D_
_x000D_
https:  youtu be wwa7YdqnWI8_x000D_
_x000D_
  Browser: syncthing _x000D_
_x000D_
  Version:0 10 8_x000D_
_x000D_
  Operating system:7 1 2_x000D_
_x000D_
  Device model: Redmi 4</t>
  </si>
  <si>
    <t>renyuneyun-Easer-101</t>
  </si>
  <si>
    <t>App crashes while clicking on added script with disabled plugin</t>
  </si>
  <si>
    <t xml:space="preserve">    Actual behaviour_x000D_
When I open the easer app and open the options i select settings option then I open Enabled plugins and turn off time plug then I go back to main menu Again I click on options botton and select script option  Then I click on recent added script app crashes _x000D_
    How to reproduce_x000D_
  Open the easer app _x000D_
  Click on options botton _x000D_
  Select settings option _x000D_
  Then click on enabled plugins option _x000D_
  Turn off time plug _x000D_
  Then back to main menu _x000D_
  Again click on options botton _x000D_
  Click select script option _x000D_
  Click on recent added script _x000D_
 After clicking on recent added script app crashes _x000D_
  Browser: Easer _x000D_
  Version:0 5 9 1_x000D_
 Operating system: 7 1 2_x000D_
_x000D_
    Recording of the bug_x000D_
https:  youtu be ObUrfdRQRx8</t>
  </si>
  <si>
    <t>or-dvir-EasySettings-1</t>
  </si>
  <si>
    <t>Index of bound when HeaderSettingsObject is the first element in array</t>
  </si>
  <si>
    <t xml:space="preserve">Hello _x000D_
_x000D_
played around with EasySettings today and I really like it  Found a crash when HeaderSettingsObject is the first element in array  To reproduce use:_x000D_
_x000D_
   _x000D_
mySettingsList   EasySettings createSettingsArray(_x000D_
                new HeaderSettingsObject Builder( this will cause index of bound )_x000D_
                         build() _x000D_
                new CheckBoxSettingsObject Builder( checkBoxKey    checkbox title   false)_x000D_
                         setSummary( checkbox summary )_x000D_
                         addDivider()_x000D_
                         build()) _x000D_
   </t>
  </si>
  <si>
    <t>18Gray-ProCamera-26</t>
  </si>
  <si>
    <t>Unable to open trace file '/sdcard/ProCamera.trace': Permission denied</t>
  </si>
  <si>
    <t xml:space="preserve">05 16 09:46:52 906 20661 20661 com eighteengray procamera E art: Unable to open trace file   sdcard ProCamera trace : Permission denied_x000D_
05 16 09:46:52 910 20661 20661 com eighteengray procamera E CrashHandler: dump crash info failed_x000D_
05 16 09:46:52 912 20661 20661 com eighteengray procamera E AndroidRuntime: FATAL EXCEPTION: main_x000D_
                                                                            Process: com eighteengray procamera  PID: 20661_x000D_
                                                                            java lang RuntimeException: Unable to start activity ComponentInfo com eighteengray procamera com eighteengray procamera MainActivity : java lang RuntimeException: Unable to open trace file   sdcard ProCamera trace _x000D_
                                                                                at android app ActivityThread performLaunchActivity(ActivityThread java:2517)_x000D_
                                                                                at android app ActivityThread handleLaunchActivity(ActivityThread java:2577)_x000D_
                                                                                at android app ActivityThread access 1100(ActivityThread java:156)_x000D_
                                                                                at android app ActivityThread H handleMessage(ActivityThread java:1428)_x000D_
                                                                                at android os Handler dispatchMessage(Handler java:102)_x000D_
                                                                                at android os Looper loop(Looper java:157)_x000D_
                                                                                at android app ActivityThread main(ActivityThread java:5696)_x000D_
                                                                                at java lang reflect Method invoke(Native Method)_x000D_
                                                                                at com android internal os ZygoteInit MethodAndArgsCaller run(ZygoteInit java:746)_x000D_
                                                                                at com android internal os ZygoteInit main(ZygoteInit java:636)_x000D_
                                                                             Caused by: java lang RuntimeException: Unable to open trace file   sdcard ProCamera trace _x000D_
                                                                                at dalvik system VMDebug startMethodTracingFilename(Native Method)_x000D_
                                                                                at dalvik system VMDebug startMethodTracing(VMDebug java:167)_x000D_
                                                                                at android os Debug startMethodTracing(Debug java:963)_x000D_
                                                                                at android os Debug startMethodTracing(Debug java:916)_x000D_
                                                                                at com eighteengray procamera MainActivity onCreate(MainActivity java:31)_x000D_
                                                                                at android app Activity performCreate(Activity java:6362)_x000D_
                                                                                at android app Instrumentation callActivityOnCreate(Instrumentation java:1108)_x000D_
                                                                                at android app ActivityThread performLaunchActivity(ActivityThread java:2470)_x000D_
                                                                                at android app ActivityThread handleLaunchActivity(ActivityThread java:2577) _x000D_
                                                                                at android app ActivityThread access 1100(ActivityThread java:156) _x000D_
                                                                                at android app ActivityThread H handleMessage(ActivityThread java:1428) _x000D_
                                                                                at android os Handler dispatchMessage(Handler java:102) _x000D_
                                                                                at android os Looper loop(Looper java:157) _x000D_
                                                                                at android app ActivityThread main(ActivityThread java:5696) _x000D_
                                                                                at java lang reflect Method invoke(Native Method) _x000D_
                                                                                at com android internal os ZygoteInit MethodAndArgsCaller run(ZygoteInit java:746) _x000D_
                                                                                at com android internal os ZygoteInit main(ZygoteInit java:636) _x000D_
</t>
  </si>
  <si>
    <t>nvllsvm-Audinaut-30</t>
  </si>
  <si>
    <t>Using the now playing screen in multi window mode crashes</t>
  </si>
  <si>
    <t xml:space="preserve">  Open Audinaut to the now playing screen_x000D_
  Split the screen_x000D_
  Get crash_x000D_
_x000D_
   _x000D_
FATAL EXCEPTION: main_x000D_
Process: net nullsum audinaut  PID: 10135_x000D_
java lang NullPointerException: Attempt to invoke virtual method  void android widget ImageView setVisibility(int)  on a null object reference_x000D_
	at net nullsum audinaut fragments NowPlayingFragment setAlbumArt(NowPlayingFragment java:945)_x000D_
	at net nullsum audinaut fragments NowPlayingFragment setupSubtitle(NowPlayingFragment java:810)_x000D_
	at net nullsum audinaut fragments NowPlayingFragment onSongChanged(NowPlayingFragment java:788)_x000D_
	at net nullsum audinaut fragments NowPlayingFragment onSongsChanged(NowPlayingFragment java:854)_x000D_
	at net nullsum audinaut service DownloadService lambda onSongsChanged 12 DownloadService(DownloadService java:1790)_x000D_
	at net nullsum audinaut service DownloadService  Lambda 12 run(Unknown Source:6)_x000D_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t>
  </si>
  <si>
    <t>UnevenSoftware-LeafPic-569</t>
  </si>
  <si>
    <t>Install shortcut option is not functional</t>
  </si>
  <si>
    <t xml:space="preserve">When we install a shortcut and try to open images from there  the application crashes  </t>
  </si>
  <si>
    <t>koral---android-gif-drawable-547</t>
  </si>
  <si>
    <t>Crash in Android-6.0.1</t>
  </si>
  <si>
    <t xml:space="preserve">hi  I encounter a crash in android 6 0 1 from Java call _x000D_
synchronized long renderFrame(Bitmap frameBuffer)  _x000D_
        return renderFrame(this gifInfoPtr  frameBuffer) _x000D_
  _x000D_
renderFrame is a native call  the Native crash stack is below:_x000D_
signal 11 (SIGSEGV)  code 2 (SEGV ACCERR)  fault addr 97427de4_x000D_
  r0 97427de4  r1 ffffffff  r2 00003f03  r3 0000ac50_x000D_
  r4 825afe80  r5 00000000  r6 8f35900c  r7 8f358370_x000D_
  r8 00003033  r9 82a29ef0  10 00003f03  fp 97427de4_x000D_
  ip 0000007d  sp 8f358340  lr 970c8b91  pc 970cb85c  cpsr 20070010_x000D_
     00  pc 0000585c   data app com alibaba android rimet 1 lib arm libpl droidsonroids gif so_x000D_
     01  lr 00002b91   data app com alibaba android rimet 1 lib arm libpl droidsonroids gif so_x000D_
               _x000D_
    00 pc 0000585c   data app com alibaba android rimet 1 lib arm libpl droidsonroids gif so_x000D_
_x000D_
After disassembly the so  I find out that the real crash method is in _x000D_
MEMSET ARGB_x000D_
_x000D_
It may be the stack:_x000D_
MEMSET ARGB_x000D_
disposeFrameIfNeeded_x000D_
drawNextBitmap_x000D_
getBitmaps_x000D_
Java pl droidsonroids gif GifInfoHandle renderFrame_x000D_
_x000D_
</t>
  </si>
  <si>
    <t>coding-blocks-Chatter-26</t>
  </si>
  <si>
    <t>App crash when selecting Rooms in bottom navigation bar</t>
  </si>
  <si>
    <t xml:space="preserve">The app crashes when a user selects the Rooms tab in the bottom navigation bar _x000D_
_x000D_
  Loogcat For The Error  _x000D_
_x000D_
05 15 10:20:38 243 7526 7526 com codingblocks chatter E AndroidRuntime: FATAL EXCEPTION: main_x000D_
                                                                        Process: com codingblocks chatter  PID: 7526_x000D_
                                                                        java lang NullPointerException: Attempt to invoke virtual method  void android support v7 widget RecyclerView setLayoutManager(android support v7 widget RecyclerView LayoutManager)  on a null object reference_x000D_
                                                                            at com codingblocks chatter RoomsFragment onCreateView(RoomsFragment java:71)_x000D_
                                                                            at android support v4 app Fragment performCreateView(Fragment java:2248)_x000D_
                                                                            at android support v4 app FragmentManagerImpl moveToState(FragmentManager java:1340)_x000D_
                                                                            at android support v4 app FragmentManagerImpl moveFragmentToExpectedState(FragmentManager java:1569)_x000D_
                                                                            at android support v4 app FragmentManagerImpl moveToState(FragmentManager java:1636)_x000D_
                                                                            at android support v4 app BackStackRecord executeOps(BackStackRecord java:758)_x000D_
                                                                            at android support v4 app FragmentManagerImpl executeOps(FragmentManager java:2415)_x000D_
                                                                            at android support v4 app FragmentManagerImpl executeOpsTogether(FragmentManager java:2201)_x000D_
                                                                            at android support v4 app FragmentManagerImpl optimizeAndExecuteOps(FragmentManager java:2155)_x000D_
                                                                            at android support v4 app FragmentManagerImpl execPendingActions(FragmentManager java:2064)_x000D_
                                                                            at android support v4 app FragmentManagerImpl 1 run(FragmentManager java:718)_x000D_
                                                                            at android os Handler handleCallback(Handler java:815)_x000D_
                                                                            at android os Handler dispatchMessage(Handler java:104)_x000D_
                                                                            at android os Looper loop(Looper java:207)_x000D_
                                                                            at android app ActivityThread main(ActivityThread java:5728)_x000D_
                                                                            at java lang reflect Method invoke(Native Method)_x000D_
                                                                            at com android internal os ZygoteInit MethodAndArgsCaller run(ZygoteInit java:789)_x000D_
                                                                            at com android internal os ZygoteInit main(ZygoteInit java:679)_x000D_
05 15 10:20:38 980 7526 7542 com codingblocks chatter E NativeCrypto: ssl 0xb9bd9e98 cert verify callback x509 store ctx 0xa3dfac7c arg 0x0_x000D_
05 15 10:20:38 980 7526 7542 com codingblocks chatter E NativeCrypto: ssl 0xb9bd9e98 cert verify callback calling verifyCertificateChain authMethod ECDHE RSA_x000D_
_x000D_
I would like to work on this issue _x000D_
</t>
  </si>
  <si>
    <t>renyuneyun-Easer-97</t>
  </si>
  <si>
    <t xml:space="preserve">App crashes while clicking on convert data. </t>
  </si>
  <si>
    <t>App gets crashed while clicking on convert data  _x000D_
    How to reproduce _x000D_
Go to the settings of app  _x000D_
Scroll down the page  _x000D_
And click on convert data  _x000D_
_x000D_
  Browser:Easer event_x000D_
  Version:0 5 9 1_x000D_
  Operating system :5 1 1</t>
  </si>
  <si>
    <t>MozillaReality-FirefoxReality-33</t>
  </si>
  <si>
    <t>loading a page crashes the app if not connected to wifi</t>
  </si>
  <si>
    <t xml:space="preserve">I just installed the new build on my Go and it crashed as soon as I clicked on one of the starting links  I realized I didn t have wifi on  Instead it should tell me that I need to connect to the internet </t>
  </si>
  <si>
    <t>jklmnn-ParkenDD-51</t>
  </si>
  <si>
    <t xml:space="preserve">The forecast button causes the app to crash when it is lunched </t>
  </si>
  <si>
    <t xml:space="preserve">
   Actual Behavior   
The app crashes when the forecast button is pressed immediately the app is lunched 
   How to produce the bug   
   open the app
   immediately press the more option button at the top left corner 
   Now press the forecast button
   it will crash
   TEST TOOLS   
  Operating system : Android 6 0
  Phone : Infinix hot s
  ParkenDD v1 2 5
   PS    The app was lunched through f droid   
it s the same when it is lunched through the device     
   Recording of the bug is showned below         
I even recorded a video to prove the bug     
https:  youtu be BpQRsnao3I8
</t>
  </si>
  <si>
    <t>Neamar-KISS-992</t>
  </si>
  <si>
    <t>Crash on favorite drag</t>
  </si>
  <si>
    <t xml:space="preserve">   _x000D_
2018 05 13 16:41:37 560 27530 27530 fr neamar kiss E AndroidRuntime: FATAL EXCEPTION: main_x000D_
    Process: fr neamar kiss  PID: 27530_x000D_
    java lang NullPointerException: Attempt to invoke virtual method  java lang Object android view View getTag()  on a null object reference_x000D_
        at fr neamar kiss forwarder Favorites onDrag(Favorites java:380)_x000D_
        at android view View callDragEventHandler(View java:24016)_x000D_
        at android view View dispatchDragEvent(View java:24007)_x000D_
        at android view ViewGroup dispatchDragEvent(ViewGroup java:1688)_x000D_
        at android view ViewGroup dispatchDragEvent(ViewGroup java:1688)_x000D_
        at android view ViewGroup dispatchDragEvent(ViewGroup java:1688)_x000D_
        at android view ViewGroup dispatchDragEvent(ViewGroup java:1688)_x000D_
        at android view ViewGroup dispatchDragEvent(ViewGroup java:1688)_x000D_
        at android view ViewRootImpl handleDragEvent(ViewRootImpl java:6266)_x000D_
        at android view ViewRootImpl access 1000(ViewRootImpl java:130)_x000D_
        at android view ViewRootImpl ViewRootHandler handleMessage(ViewRootImpl java:4163)_x000D_
        at android os Handler dispatchMessage(Handler java:106)_x000D_
        at android os Looper loop(Looper java:164)_x000D_
        at android app ActivityThread main(ActivityThread java:6656)_x000D_
        at java lang reflect Method invoke(Native Method)_x000D_
        at com android internal os RuntimeInit MethodAndArgsCaller run(RuntimeInit java:438)_x000D_
        at com android internal os ZygoteInit main(ZygoteInit java:823)_x000D_
   _x000D_
_x000D_
Android version: Android P  emulator_x000D_
Current master (57cb293)  with my PR applied ( 971)  but that should not have any impact _x000D_
_x000D_
 psykzz _x000D_
_x000D_
Reproduce steps: drag any favorite  drop on existing favorite _x000D_
Video: _x000D_
 crash favorites zip (https:  github com Neamar KISS files 1998600 crash favorites zip)_x000D_
</t>
  </si>
  <si>
    <t>fossasia-pslab-android-873</t>
  </si>
  <si>
    <t>Oscilloscope communication errors for pin SI1, SI2</t>
  </si>
  <si>
    <t xml:space="preserve">  Actual Behaviour  _x000D_
_x000D_
The SI1 and SI2 is always a square wave_x000D_
_x000D_
  Expected Behaviour  _x000D_
_x000D_
Should be a sine wave which responds to the set frequency value at control activity _x000D_
_x000D_
  Steps to reproduce it  _x000D_
_x000D_
Connect SI1 pin to CH1 and SI2 to CH2  Check the Oscilloscope by enabling CH1 and CH2 at Channel parameters  Change the value of Wave 1 and Wave 2 from Control Main fragment and see  Nothing will change_x000D_
_x000D_
  LogCat for the issue  _x000D_
_x000D_
Provide logs for the crash here_x000D_
_x000D_
  Screenshots of the issue  _x000D_
_x000D_
  screenshot 2018 05 12 20 59 03 (https:  user images githubusercontent com 17523141 39963161 a43e13c0 5681 11e8 817d 752bba06959e png)_x000D_
_x000D_
_x000D_
  Would you like to work on the issue   _x000D_
_x000D_
Yes_x000D_
</t>
  </si>
  <si>
    <t>nextcloud-android-2574</t>
  </si>
  <si>
    <t>crash on file delete</t>
  </si>
  <si>
    <t>_x000D_
 nc crash txt (https:  github com nextcloud android files 1997835 nc crash txt)_x000D_
    Actual behaviour_x000D_
  I rebooted the device and start Nextcloud client_x000D_
  I select one image via longtap_x000D_
  I select  Delete  from the menu to delete this image file_x000D_
  Nextcloud crashes_x000D_
_x000D_
    Expected behaviour_x000D_
  no crash  file deleted_x000D_
 _x000D_
    Steps to reproduce_x000D_
see above_x000D_
_x000D_
    Environment data_x000D_
Android version:4 4 2_x000D_
_x000D_
Device model: Samsung Galaxy Note II  (GT N7100)_x000D_
_x000D_
Stock or customized system: stock_x000D_
_x000D_
Nextcloud app version: 3 1 0 (from F Droid)_x000D_
_x000D_
Nextcloud server version: owncloud 8 2 11_x000D_
_x000D_
    Logs_x000D_
attached</t>
  </si>
  <si>
    <t>dnet-adsdroid-21</t>
  </si>
  <si>
    <t xml:space="preserve">Crash occurs while canceling and re-searching </t>
  </si>
  <si>
    <t>How to reproduce _x000D_
  after typing a word to search_x000D_
  click the search and and click an empty space to cancel _x000D_
  if search is clicked again  the app crashes after result is displayed _x000D_
_x000D_
   Logcat_x000D_
 05 12 08:11:34 251 17903 17903 E AndroidRuntime: FATAL EXCEPTION: main_x000D_
05 12 08:11:34 251 17903 17903 E AndroidRuntime: Process: com android systemui  PID: 17903_x000D_
05 12 08:11:34 251 17903 17903 E AndroidRuntime: java lang NullPointerException: Attempt to invoke virtual method  int com android systemui statusbar notification HybridNotificationView getHeight()  on a null object reference_x000D_
05 12 08:11:34 251 17903 17903 E AndroidRuntime: 	at com android systemui statusbar stack NotificationChildrenContainer getMinHeight(NotificationChildrenContainer java:812)_x000D_
05 12 08:11:34 251 17903 17903 E AndroidRuntime: 	at com android systemui statusbar stack NotificationChildrenContainer getCollapsedHeight(NotificationChildrenContainer java:794)_x000D_
05 12 08:11:34 251 17903 17903 E AndroidRuntime: 	at com android systemui statusbar ExpandableNotificationRow getCollapsedHeight(ExpandableNotificationRow java:1522)_x000D_
05 12 08:11:34 251 17903 17903 E AndroidRuntime: 	at com android systemui statusbar ExpandableNotificationRow getIntrinsicHeight(ExpandableNotificationRow java:1236)_x000D_
05 12 08:11:34 251 17903 17903 E AndroidRuntime: 	at com android systemui statusbar NotificationContentView calculateVisibleType(NotificationContentView java:841)_x000D_
05 12 08:11:34 251 17903 17903 E AndroidRuntime: 	at com android systemui statusbar NotificationContentView updateExpandButtons(NotificationContentView java:1104)_x000D_
05 12 08:11:34 251 17903 17903 E AndroidRuntime: 	at com android systemui statusbar ExpandableNotificationRow onChildrenCountChanged(ExpandableNotificationRow java:1252)_x000D_
05 12 08:11:34 251 17903 17903 E AndroidRuntime: 	at com android systemui statusbar ExpandableNotificationRow addChildNotification(ExpandableNotificationRow java:373)_x000D_
05 12 08:11:34 251 17903 17903 E AndroidRuntime: 	at com android systemui statusbar phone PhoneStatusBar addNotificationChildrenAndSort(PhoneStatusBar java:2550)_x000D_
05 12 08:11:34 251 17903 17903 E AndroidRuntime: 	at com android systemui statusbar phone PhoneStatusBar updateNotificationShade(PhoneStatusBar java:2484)_x000D_
05 12 08:11:34 251 17903 17903 E AndroidRuntime: 	at com android systemui statusbar phone PhoneStatusBar updateNotifications(PhoneStatusBar java:2669)_x000D_
05 12 08:11:34 251 17903 17903 E AndroidRuntime: 	at com android systemui statusbar BaseStatusBar addNotificationViews(BaseStatusBar java:2411)_x000D_
05 12 08:11:34 251 17903 17903 E AndroidRuntime: 	at com android systemui statusbar phone PhoneStatusBar addNotification(PhoneStatusBar java:2230)_x000D_
05 12 08:11:34 251 17903 17903 E AndroidRuntime: 	at com android systemui statusbar BaseStatusBar 7 2 run(BaseStatusBar java:687)_x000D_
05 12 08:11:34 251 17903 17903 E AndroidRuntime: 	at android os Handler handleCallback(Handler java:836)_x000D_
05 12 08:11:34 251 17903 17903 E AndroidRuntime: 	at android os Handler dispatchMessage(Handler java:103)_x000D_
05 12 08:11:34 251 17903 17903 E AndroidRuntime: 	at android os Looper loop(Looper java:203)_x000D_
05 12 08:11:34 251 17903 17903 E AndroidRuntime: 	at android app ActivityThread main(ActivityThread java:6251)_x000D_
05 12 08:11:34 251 17903 17903 E AndroidRuntime: 	at java lang reflect Method invoke(Native Method)_x000D_
05 12 08:11:34 251 17903 17903 E AndroidRuntime: 	at com android internal os ZygoteInit MethodAndArgsCaller run(ZygoteInit java:1073)_x000D_
05 12 08:11:34 251 17903 17903 E AndroidRuntime: 	at com android internal os ZygoteInit main(ZygoteInit java:934)_x000D_
05 12 08:11:34 476   914  1089 E ConnectivityService: RemoteException caught trying to send a callback msg for NetworkRequest   id 283  legacyType  1      _x000D_
05 12 08:12:56 470   914  1649 E ActivityManager: applyOptionsLocked: Unknown animationType 0_x000D_
05 12 08:13:06 172   914   996 E BatteryStatsService: no controller energy info supplied_x000D_
05 12 08:13:06 172   914   996 E BatteryStatsService: no controller energy info supplied_x000D_
05 12 08:13:06 197   914   996 E BatteryStatsService: modem info is invalid: ModemActivityInfo  mTimestamp 0 mSleepTimeMs 0 mIdleTimeMs 0 mTxTimeMs    0  0  0  0  0  mRxTimeMs 0 mEnergyUsed 0 _x000D_
05 12 08:13:22 607   914 24553 E ActivityManager: applyOptionsLocked: Unknown animationType 0_x000D_
05 12 08:14:42 240   914  1089 E ConnectivityService: RemoteException caught trying to send a callback msg for NetworkRequest   id 346  legacyType  1    Capabilities: INTERNET NOT RESTRICTED TRUSTED   _x000D_
05 12 08:14:42 246   914  1089 E ConnectivityService: RemoteException caught trying to send a callback msg for NetworkRequest   id 344  legacyType  1    Capabilities: INTERNET NOT RESTRICTED TRUSTED   _x000D_
05 12 08:14:42 263   914   994 E NetdConnector: NDC Command  8443 firewall set uid rule dozable 10156 allow  took too long (649ms)_x000D_
05 12 08:16:58 905   914  1764 E ActivityManager: getContentProviderImpl: Update provider ProcessRecord f4323a9 914:system 1000  conProviers s adj  conProviders provider proc   ProcessRecord 5394b88 26939:android process acore u0a1  stableCount   1_x000D_
05 12 08:16:59 025   914  1492 E Telecom : CallAudioRouteStateMachine: Unexpected message code: ICA sAR  CARSM pM USER SWITCH EARPIECE EsY 0_x000D_
05 12 08:16:59 025   914  1492 E Telecom : java lang IllegalStateException_x000D_
05 12 08:16:59 025   914  1492 E Telecom : 	at com android server telecom CallAudioRouteStateMachine unhandledMessage(CallAudioRouteStateMachine java:1094)_x000D_
05 12 08:16:59 025   914  1492 E Telecom : 	at com android internal util StateMachine SmHandler processMsg(StateMachine java:989)_x000D_
05 12 08:16:59 025   914  1492 E Telecom : 	at com android internal util StateMachine SmHandler handleMessage(StateMachine java:799)_x000D_
05 12 08:16:59 025   914  1492 E Telecom : 	at android os Handler dispatchMessage(Handler java:110)_x000D_
05 12 08:16:59 025   914  1492 E Telecom : 	at android os Looper loop(Looper java:203)_x000D_
05 12 08:16:59 025   914  1492 E Telecom : 	at android os HandlerThread run(HandlerThread java:61)_x000D_
05 12 08:17:38 324   914  1089 E ConnectivityService: RemoteException caught trying to send a callback msg for NetworkRequest   id 347  legacyType  1    Capabilities: INTERNET NOT RESTRICTED TRUSTED   _x000D_
05 12 08:18:14 437   914  4443 E ActivityManager: applyOptionsLocked: Unknown animationType 0_x000D_
05 12 08:18:41 284   914   996 E BatteryStatsService: no controller energy info supplied_x000D_
05 12 08:18:41 284   914   996 E BatteryStatsService: no controller energy info supplied_x000D_
05 12 08:18:41 328   914   996 E BatteryStatsService: modem info is invalid: ModemActivityInfo  mTimestamp 0 mSleepTimeMs 0 mIdleTimeMs 0 mTxTimeMs    0  0  0  0  0  mRxTimeMs 0 mEnergyUsed 0 _x000D_
05 12 08:20:26 555   914  3510 E ActivityManager: applyOptionsLocked: Unknown animationType 0_x000D_
05 12 08:22:26 508   914 25453 E ActivityManager: applyOptionsLocked: Unknown animationType 0_x000D_
05 12 08:22:52 140   914  1089 E ConnectivityService: RemoteException caught trying to send a callback msg for NetworkRequest   id 348  legacyType  1    Capabilities: INTERNET NOT RESTRICTED TRUSTED   _x000D_
05 12 08:22:52 239   914   995 E libprocessgroup: failed to kill 1 processes for processgroup 2807_x000D_
05 12 08:23:35 788   914  3193 E NotificationService: Package enqueue rate is 10 233823  Shedding events  package com whatsapp_x000D_
05 12 08:24:27 188   914   996 E BatteryStatsService: no controller energy info supplied_x000D_
05 12 08:24:27 188   914   996 E BatteryStatsService: no controller energy info supplied_x000D_
05 12 08:24:27 218   914   996 E BatteryStatsService: modem info is invalid: ModemActivityInfo  mTimestamp 0 mSleepTimeMs 0 mIdleTimeMs 0 mTxTimeMs    0  0  0  0  0  mRxTimeMs 0 mEnergyUsed 0 _x000D_
05 12 08:24:41 046   914  4449 E NotificationService: Package enqueue rate is 10 819949  Shedding events  package com whatsapp_x000D_
05 12 08:25:29 835   914   996 E BatteryStatsService: no controller energy info supplied_x000D_
05 12 08:25:29 835   914   996 E BatteryStatsService: no controller energy info supplied_x000D_
05 12 08:25:30 450   914   996 E BatteryStatsService: modem info is invalid: ModemActivityInfo  mTimestamp 0 mSleepTimeMs 0 mIdleTimeMs 0 mTxTimeMs    0  0  0  0  0  mRxTimeMs 0 mEnergyUsed 0 _x000D_
05 12 08:26:36 798   914  2102 E NotificationService: Package enqueue rate is 10 691525  Shedding events  package com whatsapp_x000D_
05 12 08:27:24 123   914   995 E libprocessgroup: failed to kill 1 processes for processgroup 4694_x000D_
05 12 08:27:58 415   914   996 E BatteryStatsService: no controller energy info supplied_x000D_
05 12 08:27:58 415   914   996 E BatteryStatsService: no controller energy info supplied_x000D_
05 12 08:27:58 466   914   996 E BatteryStatsService: modem info is invalid: ModemActivityInfo  mTimestamp 0 mSleepTimeMs 0 mIdleTimeMs 0 mTxTimeMs    0  0  0  0  0  mRxTimeMs 0 mEnergyUsed 0  _x000D_
_x000D_
     Video _x000D_
https:  youtu be Ac6 uqQqCjM</t>
  </si>
  <si>
    <t>consp1racy-android-support-preference-105</t>
  </si>
  <si>
    <t>Ringtone picker issues</t>
  </si>
  <si>
    <t xml:space="preserve">Hi _x000D_
_x000D_
Using 2 2 0 with 27 1 1 (preference v7 27 0 2) support lib _x000D_
Got a few ringtones related fatal non fatal crash reports  Not sure if they are related  but didn t want to open separate issues just yet  let me know  Seemingly very rare issues and can t reproduce them _x000D_
_x000D_
HTC  Android 6_x000D_
   java_x000D_
Fatal Exception: java lang NullPointerException: Attempt to invoke virtual method  android net Uri android net Uri getCanonicalUri()  on a null object reference_x000D_
       at android media Ringtone play(Ringtone java:436)_x000D_
       at net xpece android support preference XpRingtonePreferenceDialogFragment run(XpRingtonePreferenceDialogFragment java:529)_x000D_
       at android os Handler handleCallback(Handler java:739)_x000D_
       at android os Handler dispatchMessage(Handler java:95)_x000D_
       at android os Looper loop(Looper java:168)_x000D_
       at android app ActivityThread main(ActivityThread java:5845)_x000D_
       at java lang reflect Method invoke(Method java)_x000D_
       at com android internal os ZygoteInit MethodAndArgsCaller run(ZygoteInit java:797)_x000D_
       at com android internal os ZygoteInit main(ZygoteInit java:687)_x000D_
   _x000D_
_x000D_
Motorola Android 8_x000D_
   java_x000D_
Non fatal Exception: java lang IllegalStateException: No cursor that can return names_x000D_
       at com android internal database SortCursor getColumnNames(SortCursor java:251)_x000D_
       at net xpece android support preference XpRingtonePreferenceDialogFragment loadRingtoneManager(XpRingtonePreferenceDialogFragment java:1225)_x000D_
       at android support v4 app Fragment performActivityCreated(Fragment java:2355)_x000D_
       at android support v4 app FragmentManagerImpl moveToState(FragmentManager java:1451)_x000D_
       at android support v4 app FragmentManagerImpl moveFragmentToExpectedState(FragmentManager java:1759)_x000D_
       at android support v4 app FragmentManagerImpl moveToState(FragmentManager java:1827)_x000D_
       at android support v4 app BackStackRecord executeOps(BackStackRecord java:797)_x000D_
       at android support v4 app FragmentManagerImpl executeOps(FragmentManager java:2596)_x000D_
       at android support v4 app FragmentManagerImpl executeOpsTogether(FragmentManager java:2383)_x000D_
       at android support v4 app FragmentManagerImpl removeRedundantOperationsAndExecute(FragmentManager java:2338)_x000D_
       at android support v4 app FragmentManagerImpl execPendingActions(FragmentManager java:2245)_x000D_
       at android support v4 app FragmentManagerImpl 1 run(FragmentManager java:703)_x000D_
       at android os Handler handleCallback(Handler java:790)_x000D_
       at android os Handler dispatchMessage(Handler java:99)_x000D_
       at android os Looper loop(Looper java:164)_x000D_
       at android app ActivityThread main(ActivityThread java:6494)_x000D_
       at java lang reflect Method invoke(Method java)_x000D_
       at com android internal os RuntimeInit MethodAndArgsCaller run(RuntimeInit java:440)_x000D_
       at com android internal os ZygoteInit main(ZygoteInit java:807)_x000D_
   _x000D_
_x000D_
Pixel Android P (most probably Beta)_x000D_
   java_x000D_
Non fatal Exception: java lang NoSuchMethodException: getInternalRingtones   _x000D_
       at java lang Class getMethod(Class java:2068)_x000D_
       at java lang Class getDeclaredMethod(Class java:2047)_x000D_
       at net xpece android support preference RingtoneManagerCompat (RingtoneManagerCompat java:39)_x000D_
       at net xpece android support preference XpRingtonePreferenceDialogFragment loadRingtoneManager(XpRingtonePreferenceDialogFragment java:1187)_x000D_
       at android support v4 app Fragment performActivityCreated(Fragment java:2355)_x000D_
       at android support v4 app FragmentManagerImpl moveToState(FragmentManager java:1451)_x000D_
       at android support v4 app FragmentManagerImpl moveFragmentToExpectedState(FragmentManager java:1759)_x000D_
       at android support v4 app FragmentManagerImpl moveToState(FragmentManager java:1827)_x000D_
       at android support v4 app BackStackRecord executeOps(BackStackRecord java:797)_x000D_
       at android support v4 app FragmentManagerImpl executeOps(FragmentManager java:2596)_x000D_
       at android support v4 app FragmentManagerImpl executeOpsTogether(FragmentManager java:2383)_x000D_
       at android support v4 app FragmentManagerImpl removeRedundantOperationsAndExecute(FragmentManager java:2338)_x000D_
       at android support v4 app FragmentManagerImpl execPendingActions(FragmentManager java:2245)_x000D_
       at android support v4 app FragmentManagerImpl 1 run(FragmentManager java:703)_x000D_
       at android os Handler handleCallback(Handler java:873)_x000D_
       at android os Handler dispatchMessage(Handler java:99)_x000D_
       at android os Looper loop(Looper java:164)_x000D_
       at android app ActivityThread main(ActivityThread java:6649)_x000D_
       at java lang reflect Method invoke(Method java)_x000D_
       at com android internal os RuntimeInit MethodAndArgsCaller run(RuntimeInit java:493)_x000D_
       at com android internal os ZygoteInit main(ZygoteInit java:826)_x000D_
   _x000D_
_x000D_
Pixel Android P (most probably Beta)_x000D_
   java_x000D_
Non fatal Exception: java lang NoSuchFieldException: No field mCursor in class Landroid media RingtoneManager  (declaration of  android media RingtoneManager  appears in  system framework framework jar)_x000D_
       at java lang Class getDeclaredField(Class java)_x000D_
       at net xpece android support preference RingtoneManagerCompat (RingtoneManagerCompat java:30)_x000D_
       at net xpece android support preference XpRingtonePreferenceDialogFragment loadRingtoneManager(XpRingtonePreferenceDialogFragment java:1187)_x000D_
       at android support v4 app Fragment performActivityCreated(Fragment java:2355)_x000D_
       at android support v4 app FragmentManagerImpl moveToState(FragmentManager java:1451)_x000D_
       at android support v4 app FragmentManagerImpl moveFragmentToExpectedState(FragmentManager java:1759)_x000D_
       at android support v4 app FragmentManagerImpl moveToState(FragmentManager java:1827)_x000D_
       at android support v4 app BackStackRecord executeOps(BackStackRecord java:797)_x000D_
       at android support v4 app FragmentManagerImpl executeOps(FragmentManager java:2596)_x000D_
       at android support v4 app FragmentManagerImpl executeOpsTogether(FragmentManager java:2383)_x000D_
       at android support v4 app FragmentManagerImpl removeRedundantOperationsAndExecute(FragmentManager java:2338)_x000D_
       at android support v4 app FragmentManagerImpl execPendingActions(FragmentManager java:2245)_x000D_
       at android support v4 app FragmentManagerImpl 1 run(FragmentManager java:703)_x000D_
       at android os Handler handleCallback(Handler java:873)_x000D_
       at android os Handler dispatchMessage(Handler java:99)_x000D_
       at android os Looper loop(Looper java:164)_x000D_
       at android app ActivityThread main(ActivityThread java:6649)_x000D_
       at java lang reflect Method invoke(Method java)_x000D_
       at com android internal os RuntimeInit MethodAndArgsCaller run(RuntimeInit java:493)_x000D_
       at com android internal os ZygoteInit main(ZygoteInit java:826)_x000D_
   </t>
  </si>
  <si>
    <t>hallsjj08-on-call-manager-4</t>
  </si>
  <si>
    <t>Crash While Deleting Contact</t>
  </si>
  <si>
    <t xml:space="preserve">App crashes when trying to delete a contact with no number </t>
  </si>
  <si>
    <t>JamMarHer-ProjectParadise-18</t>
  </si>
  <si>
    <t>Compress the images in the Chat Activity.</t>
  </si>
  <si>
    <t xml:space="preserve">Images being send are not being compressed  this is bad  We must limit the images to a maximum resolution when being displayed and uploaded   Otherwise crashing the app by  posting very large images can happen </t>
  </si>
  <si>
    <t>nextcloud-android-2569</t>
  </si>
  <si>
    <t>App crashes when opening Auto Upload screen.</t>
  </si>
  <si>
    <t xml:space="preserve">    Actual behaviour_x000D_
  When opening the Auto Upload screen  the app crashes _x000D_
_x000D_
    Expected behaviour_x000D_
  No crash should occur  _x000D_
_x000D_
    Steps to reproduce_x000D_
1  Start app _x000D_
2  Pick  Auto Upload  from the nav drawer _x000D_
3  App crashes_x000D_
_x000D_
_x000D_
    Environment data_x000D_
Android version: 8 1 0_x000D_
_x000D_
Device model: Emulator_x000D_
_x000D_
Stock or customized system: Stock_x000D_
_x000D_
Nextcloud app version: Master _x000D_
_x000D_
    Logs_x000D_
   _x000D_
05 11 09:39:41 905  8980  8980 D AndroidRuntime: Shutting down VM_x000D_
05 11 09:39:41 906  8980  8980 E AndroidRuntime: FATAL EXCEPTION: main_x000D_
05 11 09:39:41 906  8980  8980 E AndroidRuntime: Process: com nextcloud client  PID: 8980_x000D_
05 11 09:39:41 906  8980  8980 E AndroidRuntime: java lang NullPointerException: Attempt to invoke virtual method  android content res Resources android content Context getResources()  on a null object reference_x000D_
05 11 09:39:41 906  8980  8980 E AndroidRuntime: 	at com owncloud android utils MimeTypeUtil getFileTypeIcon(MimeTypeUtil java:98)_x000D_
05 11 09:39:41 906  8980  8980 E AndroidRuntime: 	at com owncloud android utils MimeTypeUtil getFileTypeIcon(MimeTypeUtil java:85)_x000D_
05 11 09:39:41 906  8980  8980 E AndroidRuntime: 	at com owncloud android datamodel ThumbnailsCacheManager MediaThumbnailGenerationTask onPostExecute(ThumbnailsCacheManager java:704)_x000D_
05 11 09:39:41 906  8980  8980 E AndroidRuntime: 	at com owncloud android datamodel ThumbnailsCacheManager MediaThumbnailGenerationTask onPostExecute(ThumbnailsCacheManager java:642)_x000D_
05 11 09:39:41 906  8980  8980 E AndroidRuntime: 	at android os AsyncTask finish(AsyncTask java:695)_x000D_
05 11 09:39:41 906  8980  8980 E AndroidRuntime: 	at android os AsyncTask  wrap1(Unknown Source:0)_x000D_
05 11 09:39:41 906  8980  8980 E AndroidRuntime: 	at android os AsyncTask InternalHandler handleMessage(AsyncTask java:712)_x000D_
05 11 09:39:41 906  8980  8980 E AndroidRuntime: 	at android os Handler dispatchMessage(Handler java:106)_x000D_
05 11 09:39:41 906  8980  8980 E AndroidRuntime: 	at android os Looper loop(Looper java:164)_x000D_
05 11 09:39:41 906  8980  8980 E AndroidRuntime: 	at android app ActivityThread main(ActivityThread java:6494)_x000D_
05 11 09:39:41 906  8980  8980 E AndroidRuntime: 	at java lang reflect Method invoke(Native Method)_x000D_
05 11 09:39:41 906  8980  8980 E AndroidRuntime: 	at com android internal os RuntimeInit MethodAndArgsCaller run(RuntimeInit java:438)_x000D_
05 11 09:39:41 906  8980  8980 E AndroidRuntime: 	at com android internal os ZygoteInit main(ZygoteInit java:807)_x000D_
05 11 09:39:41 920  1774  2359 W ActivityManager:   Force finishing activity com nextcloud client com owncloud android ui activity SyncedFoldersActivity_x000D_
05 11 09:39:41 922  1774  2359 W ActivityManager:   Force finishing activity com nextcloud client com owncloud android ui activity FileDisplayActivity_x000D_
_x000D_
   </t>
  </si>
  <si>
    <t>square-okhttp-3995</t>
  </si>
  <si>
    <t>NPE Crash At java.net.Proxy.type()</t>
  </si>
  <si>
    <t xml:space="preserve">okhttp3 Version: 3 10 0_x000D_
Device Android Version: _x000D_
vivo 1719 Android 7 1 2 level 25_x000D_
Redmi Note 3 Android 8 1 0 level 27_x000D_
SM G570Y Android 7 0 level 24_x000D_
_x000D_
Crash Report:_x000D_
   _x000D_
java lang NullPointerException: Attempt to invoke virtual method  java net Proxy Type java net Proxy type()  on a null object reference _x000D_
okhttp3 internal http RetryAndFollowUpInterceptor okhttp3 Request followUpRequest(okhttp3 Response okhttp3 Route)(SourceFile:282) _x000D_
okhttp3 internal http RetryAndFollowUpInterceptor okhttp3 Response intercept(okhttp3 Interceptor Chain)(SourceFile:158) _x000D_
okhttp3 internal http RealInterceptorChain okhttp3 Response proceed(okhttp3 Request okhttp3 internal connection StreamAllocation okhttp3 internal http HttpCodec okhttp3 internal connection RealConnection)(SourceFile:147) _x000D_
okhttp3 internal http RealInterceptorChain okhttp3 Response proceed(okhttp3 Request)(SourceFile:121) _x000D_
okhttp3 RealCall okhttp3 Response getResponseWithInterceptorChain()(SourceFile:200) _x000D_
okhttp3 RealCall AsyncCall void execute()(SourceFile:147) _x000D_
okhttp3 internal NamedRunnable void run()(SourceFile:32) _x000D_
java util concurrent ThreadPoolExecutor runWorker(ThreadPoolExecutor java:1112) _x000D_
java util concurrent ThreadPoolExecutor Worker run(ThreadPoolExecutor java:587) _x000D_
java lang Thread run(Thread java:818) _x000D_
   _x000D_
_x000D_
the case almost is same like  3809 but I wonder why it returns null Proxy(eg below code shown) and  how do solve it _x000D_
code fo resulting in crash _x000D_
   _x000D_
private Request followUpRequest(Response userResponse  Route route) throws IOException  _x000D_
                 _x000D_
    switch (responseCode)  _x000D_
      case HTTP PROXY AUTH:_x000D_
        Proxy selectedProxy   route    null_x000D_
              route proxy()_x000D_
            : client proxy() _x000D_
        if (selectedProxy type()    Proxy Type HTTP)  _x000D_
          throw new ProtocolException( Received HTTP PROXY AUTH (407) code while not using proxy ) _x000D_
         _x000D_
        return client proxyAuthenticator() authenticate(route  userResponse) _x000D_
              _x000D_
 _x000D_
   _x000D_
</t>
  </si>
  <si>
    <t>google-ExoPlayer-4238</t>
  </si>
  <si>
    <t>Dismiss/Pause notification when the track has ended</t>
  </si>
  <si>
    <t xml:space="preserve">    Issue description_x000D_
I am displaying a notification for my player when the app is backgrounded  When the video ends  the state of the notification does not update (apart from the counter ending)  _x000D_
_x000D_
For my use case  I d like to just cancel the notification  but I could also see a case for leaving it  but moving it to a  paused  state (enabling the play button  instead of pause) _x000D_
_x000D_
I attempted to cancel the notification myself:_x000D_
In my own  onPlayerStateChanged  when state reaches  STATE ENDED  I tried calling  playerNotificationManager  setPlayer(null)   however when  PlayerNotificationManager s internal listener runs  I get a crash:_x000D_
_x000D_
   _x000D_
    java lang NullPointerException: Attempt to invoke interface method  boolean com google android exoplayer2 Player isPlayingAd()  on a null object reference_x000D_
        at com google android exoplayer2 ui PlayerNotificationManager createNotification(PlayerNotificationManager java:802)_x000D_
        at com google android exoplayer2 ui PlayerNotificationManager updateNotification(PlayerNotificationManager java:703)_x000D_
        at com google android exoplayer2 ui PlayerNotificationManager startOrUpdateNotification(PlayerNotificationManager java:709)_x000D_
        at com google android exoplayer2 ui PlayerNotificationManager access 900(PlayerNotificationManager java:94)_x000D_
        at com google android exoplayer2 ui PlayerNotificationManager PlayerListener onPlayerStateChanged(PlayerNotificationManager java:942)_x000D_
   _x000D_
I believe that this exception is a race condition wherein my setting the player to null in my callback (which in turn removes the internal player listener)  is happening at the same time that PlayerNotificationManager s listener is executing _x000D_
_x000D_
For now my workaround is to delay my cancelation:_x000D_
   kotlin_x000D_
override fun onPlayerStateChanged(playWhenReady: Boolean  playbackState: Int)  _x000D_
    if (playbackState    Player STATE ENDED)  _x000D_
        Handler() postDelayed( _x000D_
            playerNotificationManager  setPlayer(null)_x000D_
           1000)_x000D_
     _x000D_
 _x000D_
   _x000D_
_x000D_
    Reproduction steps_x000D_
Demo apps are not using the PlayerNotificationManager _x000D_
_x000D_
    Link to test content_x000D_
N A_x000D_
_x000D_
    Version of ExoPlayer being used_x000D_
2 8 0_x000D_
_x000D_
    Device(s) and version(s) of Android being used_x000D_
Emulator  100  reproducible _x000D_
_x000D_
</t>
  </si>
  <si>
    <t>dimagi-commcare-android-1998</t>
  </si>
  <si>
    <t>Close resources</t>
  </si>
  <si>
    <t>Investigating  this ticket (https:  manage dimagi com default asp 276201) we located the crash  here (https:  fabric io dimagi android apps org commcare dalvik issues 5ad5a4cd36c7b23527007bc6 time last seven days) and noticed that the crash reported over 900 open cursors causing an OOM error _x000D_
_x000D_
Looking for a way to investigate I found  this (https:  stackoverflow com a 28155638 2820312) pretty nifty profiling mode that hard crashes the application whenever you leave a resource unclosed  This turned up a bunch of  File s and  InputStream s that we weren t closing which is nice  The only hanging  Cursor  I found seemed to be coming from  firebase (https:  github com firebase quickstart android issues 176) so I updated the library (and was required to update play services and change this param  org gradle configureondemand false  as a result) and that made it go away _x000D_
_x000D_
I removed the strict mode enforcement in  this commit (https:  github com dimagi commcare android commit 118dd441a50bba7443038089876ccf9d0fcb1455) but now I m wondering if it makes sense for us to keep this in our debug builds  Seems maybe heavy handed but would also help us catch any of these issues pronto _x000D_
_x000D_
Includes update to API 14 as minimumSdk</t>
  </si>
  <si>
    <t>PhilJay-MPAndroidChart-4023</t>
  </si>
  <si>
    <t>on adding entries and data sets in the menu's add Dynamical data, an error occurred and the app stops</t>
  </si>
  <si>
    <t xml:space="preserve">     _x000D_
BEFORE YOU SUBMIT please read the following:_x000D_
_x000D_
Please search open closed issues before submitting since someone might have asked_x000D_
the same thing before _x000D_
_x000D_
If you have a support request or question please submit them on StackOverflow:_x000D_
  https:  stackoverflow com questions tagged mpandroidchart_x000D_
using the tags  android     mpandroidchart _x000D_
_x000D_
Please also look at the CONTRIBUTING file before opening an issue:_x000D_
  https:  github com PhilJay MPAndroidChart blob master CONTRIBUTING md_x000D_
_x000D_
Issues on GitHub are only related to problems with MPAndroidChart itself and we_x000D_
cannot answer support questions here  We will close your issue without a response _x000D_
   _x000D_
_x000D_
  Summary  _x000D_
     A clear and concise description of what the bug is     _x000D_
When I use the  Add Entry  feature then I hesitate and I want to delete the entry via the  Remove Entry  feature  But the display entry is not lost on the screen  To shorten  I use the  Clear Chart  feature  But the app stops automatically  I do it repeatedly  unfortunately the same problem happens again _x000D_
_x000D_
  Expected Behavior  _x000D_
     A clear and concise description of what you expected to happen     _x000D_
Want to add an entry and dataset in the Dynamical data adding menu _x000D_
_x000D_
  Steps to Reproduce  _x000D_
     Not required  but suggest a fix  reason for the bug     _x000D_
     or ideas how to implement the addition or change    _x000D_
_x000D_
Open the menu  Dynamical Data Adding   then click the  Add Entry  feature to add an entry  The next step is to delete the entry using the  Remove Entry  feature then you can not change anything yet  Please use the  Clear Chart  feature to remove it  When you finish deleting all  click the  Add Entry  feature again to add the entry  Then the app will stop automatically _x000D_
_x000D_
  Device  _x000D_
   Device: Redmi Note 5A_x000D_
   Android Version: 7 1 9_x000D_
   Library Version: 3 0 3_x000D_
_x000D_
Below is the crash log  _x000D_
_x000D_
   _x000D_
FATAL EXCEPTION: main_x000D_
Process: com xxmassdeveloper mpchartexample  PID: 32230_x000D_
java lang NullPointerException: Attempt to invoke virtual method _x000D_
 com github mikephil charting interfaces datasets IDataSet com github mikephil charting data ChartData getDataSetByIndex(int)  on a null object reference_x000D_
    at com xxmassdeveloper mpchartexample DynamicalAddingActivity addEntry_x000D_
(DynamicalAddingActivity java:54)_x000D_
    at com xxmassdeveloper mpchartexample DynamicalAddingActivity onOptionsItemSelected_x000D_
(DynamicalAddingActivity java:169)_x000D_
    at android app Activity onMenuItemSelected(Activity java:3210)_x000D_
    at android support v4 app FragmentActivity onMenuItemSelected(FragmentActivity java:406)_x000D_
    at com android internal policy PhoneWindow onMenuItemSelected(PhoneWindow java:1237)_x000D_
    at com android internal view menu MenuBuilder dispatchMenuItemSelected_x000D_
(MenuBuilder java:766)_x000D_
    at com android internal view menu MenuItemImpl invoke(MenuItemImpl java:152)_x000D_
    at com android internal view menu MenuBuilder performItemAction(MenuBuilder java:909)_x000D_
    at com android internal view menu MenuBuilder performItemAction(MenuBuilder java:899)_x000D_
    at com android internal view menu MenuPopup onItemClick(MenuPopup java:128)_x000D_
    at android widget AdapterView performItemClick(AdapterView java:315)_x000D_
    at android widget AbsListView performItemClick(AbsListView java:1205)_x000D_
    at android widget AbsListView PerformClick run(AbsListView java:3310)_x000D_
    at android widget AbsListView 3 run(AbsListView java:4371)_x000D_
    at android os Handler handleCallback(Handler java:836)_x000D_
    at android os Handler dispatchMessage(Handler java:103)_x000D_
    at android os Looper loop(Looper java:203)_x000D_
    at android app ActivityThread main(ActivityThread java:6297)_x000D_
    at java lang reflect Method invoke(Native Method)_x000D_
    at com android internal os ZygoteInit MethodAndArgsCaller run(ZygoteInit java:1084)_x000D_
    at com android internal os ZygoteInit main(ZygoteInit java:945)_x000D_
   _x000D_
</t>
  </si>
  <si>
    <t>dnet-adsdroid-20</t>
  </si>
  <si>
    <t xml:space="preserve">
   Actual Behavior   
well   it gets to a point that the app crashes on the search results page when it is rotated and then left for some seconds  say 15 seconds
   How to produce the bug   
   open the app
   search for an item or just click on the search by parts name button
   click on one of the results is brings
    while it is downloading some pdf files quickly rotate your screen and rotate it back
   wait for like 15 seconds
   it will crash
   TEST TOOLS   
  Operating system : Android 6 0
  Phone : Infinix hot s
  ADSdroid v1 7
   Recording of the bug is showned below         
Watch the video below to see how it behaves     
https:  youtu be bpKH2JjE2mc</t>
  </si>
  <si>
    <t>kollerlukas-Camera-Roll-Android-App-188</t>
  </si>
  <si>
    <t>Configuring a negative number of columns for cards view crashes app on startup</t>
  </si>
  <si>
    <t>As the title says  configuring a negative number of card columns shouldn t be allowed to prevent a crash  Also  there should probably be an upper limit of columns :)</t>
  </si>
  <si>
    <t>AlexanderEggers-hitogo-3</t>
  </si>
  <si>
    <t>Min SDK 16</t>
  </si>
  <si>
    <t>Hi Alexander _x000D_
this is Harri from TEF HH _x000D_
I hope you enjoy your new Ways _x000D_
But there is a Problem with your Great Lib when using Popups with older Devices (API 16):_x000D_
PopupAlertParams uses Transition  which was introduced with API 19 and crashes on API   19 _x000D_
There is a Support Variant  but this is not compatible with PopupWindow _x000D_
so the easy Way is to make a SDK Check within onCreateParams:_x000D_
if (Build VERSION SDK INT    Build VERSION CODES M)  _x000D_
   enterTransition   holder getCustomObject(PopupAlertParamsKeys ENTER TRANSITION KEY) _x000D_
   exitTransition   holder getCustomObject(PopupAlertParamsKeys EXIT TRANSITION KEY) _x000D_
 _x000D_
I took Build VERSION CODES M here since using methods for Transition has the same case _x000D_
_x000D_
Greets_x000D_
Harri</t>
  </si>
  <si>
    <t>forrestguice-SuntimesWidget-198</t>
  </si>
  <si>
    <t>app crash on Settings-&gt; General</t>
  </si>
  <si>
    <t xml:space="preserve">Tested against v0 8 1  _x000D_
on an LG Nexus 5X running Android 8 (where the bug is reproducible) _x000D_
on Android 4 4 4  and Android 7 (where the bug doesn t occur) _x000D_
_x000D_
To reproduce  _x000D_
1) Navigate to Settings   General  The app crashes before the activity gets a chance to display (force close) _x000D_
_x000D_
2) After triggering the bug reopen the app and check the log   it indicates the calculator pref was erroneously set to  missing   causing the fallback calculator to load instead  The fallback lacks support for the moon functionality   this causes a separate crash (NPE) on subsequent attempts to open the moon dialog </t>
  </si>
  <si>
    <t>WeAreFairphone-FP2-Launcher-9</t>
  </si>
  <si>
    <t>Crash when trying to change the wallpaper</t>
  </si>
  <si>
    <t xml:space="preserve">If the launcher does not have the storage permission and the user tries to change the wallpaper  the launcher crashes:_x000D_
   _x000D_
05 09 17:30:44 333  7983  7994 E DatabaseUtils: java lang SecurityException: Permission Denial: reading com android providers media MediaProvider uri content:  media external images media from pid 20164  uid 10212 requires android permission READ EXTERNAL STORAGE  or grantUriPermission()_x000D_
05 09 17:30:44 333  7983  7994 E DatabaseUtils: 	at android content ContentProvider enforceReadPermissionInner(ContentProvider java:605)_x000D_
05 09 17:30:44 333  7983  7994 E DatabaseUtils: 	at android content ContentProvider Transport enforceReadPermission(ContentProvider java:480)_x000D_
05 09 17:30:44 333  7983  7994 E DatabaseUtils: 	at android content ContentProvider Transport query(ContentProvider java:211)_x000D_
05 09 17:30:44 333  7983  7994 E DatabaseUtils: 	at android content ContentProviderNative onTransact(ContentProviderNative java:112)_x000D_
05 09 17:30:44 333  7983  7994 E DatabaseUtils: 	at android os Binder execTransact(Binder java:453)_x000D_
   _x000D_
_x000D_
It should probably be handled more gracefully </t>
  </si>
  <si>
    <t>OneBusAway-onebusaway-android-874</t>
  </si>
  <si>
    <t>Unit tests fail to run</t>
  </si>
  <si>
    <t xml:space="preserve">  Summary:   _x000D_
_x000D_
Using Android Studio 3 1 2  Gradle wrapper 4 4  and Android Gradle Plugin 3 1 2  the unit tests fail to run from within Android Studio (right click class or method and choose  run test ) as well as from command line using  gradlew connectedObaGoogleDebugAndroidTest  _x000D_
_x000D_
Here s the output in the Run console from Android Studio:_x000D_
_x000D_
   _x000D_
  adb push E: Android Studio onebusaway android onebusaway android build outputs apk androidTest obaGoogle debug onebusaway android oba google debug androidTest apk  data local tmp com joulespersecond seattlebusbot test_x000D_
  adb shell pm install  t  r   data local tmp com joulespersecond seattlebusbot test _x000D_
Success_x000D_
_x000D_
Running tests_x000D_
_x000D_
  adb shell am instrument  w  r    e debug false  e class  org onebusaway android io test AgencyRequestTest  com joulespersecond seattlebusbot test android support test runner AndroidJUnitRunner_x000D_
Client not ready yet  _x000D_
Started running tests_x000D_
Test running failed: Instrumentation run failed due to  Process crashed  _x000D_
Empty test suite _x000D_
   _x000D_
_x000D_
   and on command line:_x000D_
_x000D_
   _x000D_
E: Android Studio onebusaway android gradlew connectedObaGoogleDebugAndroidTest_x000D_
_x000D_
  Configure project :onebusaway android_x000D_
The Task leftShift(Closure) method has been deprecated and is scheduled to be removed in Gradle 5 0  Please use Task doLast(Action) instead _x000D_
        at build efsagzar1z063af95y1c43hip run(E: Android Studio onebusaway android onebusaway android build gradle:331)_x000D_
        (Run with   stacktrace to get the full stack trace of this deprecation warning )_x000D_
_x000D_
Starting 0 tests on SM G955U   8 0 0_x000D_
Tests on SM G955U   8 0 0 failed: Instrumentation run failed due to  Process crashed  _x000D_
_x000D_
com android builder testing ConnectedDevice   No tests found  SM G955U   8 0 0  FAILED_x000D_
No tests found  This usually means that your test classes are not in the form that your test runner expects (e g  don t inherit from TestCase or lack_x000D_
 Test annotations) _x000D_
_x000D_
FAILURE: Build failed with an exception _x000D_
_x000D_
  What went wrong:_x000D_
Execution failed for task  :onebusaway android:connectedObaGoogleDebugAndroidTest  _x000D_
  There were failing tests  See the report at: file:   E: Android Studio onebusaway android onebusaway android build reports androidTests connected fl_x000D_
avors OBAGOOGLE index html_x000D_
_x000D_
  Try:_x000D_
Run with   stacktrace option to get the stack trace  Run with   info or   debug option to get more log output  Run with   scan to get full insights _x000D_
_x000D_
  Get more help at https:  help gradle org_x000D_
_x000D_
BUILD FAILED in 48s_x000D_
51 actionable tasks: 9 executed  42 up to date_x000D_
   _x000D_
_x000D_
It looks like  AndroidTestCase   which we extend in our base  ObaTestCase  was deprecated in API Level 24 and likely just removed from the SDK:_x000D_
https:  developer android com reference android test AndroidTestCase_x000D_
_x000D_
The above page says:_x000D_
_x000D_
 This class was deprecated in API level 24 _x000D_
Use  InstrumentationRegistry (https:  developer android com reference android support test InstrumentationRegistry) instead  New tests should be written using the  Android Testing Support Library (https:  developer android com training testing ) _x000D_
_x000D_
  Steps to reproduce:   _x000D_
_x000D_
Run unit tests from within Android Studio (right click class or method and choose  run test ) as well as from command line using  gradlew connectedObaGoogleDebugAndroidTest  _x000D_
_x000D_
  Expected behavior:   _x000D_
_x000D_
Unit tests should execute_x000D_
_x000D_
  Observed behavior:   _x000D_
_x000D_
Process crashes and no unit tests execute_x000D_
_x000D_
  Device and Android version:   _x000D_
_x000D_
Android Studio 3 1 2  Gradle wrapper 4 4  and Android Gradle Plugin 3 1 2 w  Samsung Galaxy S8  w  Android 8 0 </t>
  </si>
  <si>
    <t>fennifith-Alarmio-2</t>
  </si>
  <si>
    <t>Oreo Background Restrictions</t>
  </si>
  <si>
    <t xml:space="preserve">The sleep reminder service doesn t like to start when the app is in the background for some reason  Might have to create a broadcast receiver to decide whether to start the service in the foreground first so that it doesn t crash </t>
  </si>
  <si>
    <t>dimagi-commcare-android-1994</t>
  </si>
  <si>
    <t>[HOTFIX] Vector drawable Crash</t>
  </si>
  <si>
    <t xml:space="preserve">There are multiple crashes on fabric trying to load vector drawables on pre lolipop devices  _x000D_
1  https:  www fabric io dimagi android apps org commcare dalvik issues 59fc147461b02d480daf34cd_x000D_
2  https:  www fabric io dimagi android apps org commcare dalvik issues 5af080c111e9fa0aa5c3f69b_x000D_
3  https:  www fabric io dimagi android apps org commcare dalvik issues 5af1347311e9fa0aa5d23c48_x000D_
_x000D_
I am guessing this is happening because I added vector support library in build gradle though I have not been able to test this due to lack of a Android 4 device  Since Boston has a Android 4 device  can someone try going to  CommCareSetupActivity  on that device and see it doesn t crash with this fix _x000D_
_x000D_
I am still not sure how our vector drawables work on pre lolipop devices without turning on  vectorDrawables useSupportLibrary  flag  Android only supports vector drawables for Android 5  without using this flag  Some info  here (https:  developer android com guide topics graphics vector drawable resources vector drawables backward solution)  Though seems like turning this flag on requires using  AppCompat  libs which we are not and hence seeing these crashes   Though the question still remains that how are vector drawables were gettting loaded today on Kitkat pre Commcare 2 43 _x000D_
_x000D_
Product Note: Fixes a bug in CommCare 2 43 due to which CommCare will crash on various screens on pre lolipop devices  </t>
  </si>
  <si>
    <t>react-native-camera-react-native-camera-1550</t>
  </si>
  <si>
    <t>[AVCaptureMovieFileOutput availableVideoCodecTypes]: unrecognized selector sent to instance</t>
  </si>
  <si>
    <t xml:space="preserve">    Which implementation are you using_x000D_
 RNCamera _x000D_
_x000D_
    Steps to reproduce_x000D_
I m really not doing anything fancy  The video recording works perfectly fine on Android but it crashes after  stopRecording()  on iOS _x000D_
   _x000D_
         RNCamera_x000D_
          autoFocus  RNCamera Constants AutoFocus on _x000D_
          captureAudio  true _x000D_
          flashMode  RNCamera Constants FlashMode off _x000D_
          notAuthorizedView   View   _x000D_
          onCameraReady  ()    this handleCameraReady() _x000D_
          pendingAuthorizationView   View   _x000D_
          permissionDialogTitle   Permission to use camera  _x000D_
          permissionDialogMessage   We need your permission to use your camera phone  _x000D_
          ratio  16:9 _x000D_
          ref  cam    this camera   cam _x000D_
          style  styles preview _x000D_
          type  videoFacing      back    RNCamera Constants Type back : RNCamera Constants Type front  _x000D_
             useCamera2Api  true _x000D_
          _x000D_
   _x000D_
_x000D_
    Expected behaviour_x000D_
Finish recording and return the  uri  _x000D_
_x000D_
    Actual behaviour_x000D_
App crashes with the following error:_x000D_
   _x000D_
 AVCaptureMovieFileOutput availableVideoCodecTypes : unrecognized selector sent to instance 0x14fb4e20_x000D_
2018 05 08 00:19:49 083 Undercover 620:69647      Terminating app due to uncaught exception _x000D_
 NSInvalidArgumentException   reason:    AVCaptureMovieFileOutput availableVideoCodecTypes : _x000D_
unrecognized selector sent to instance 0x14fb4e20 _x000D_
   _x000D_
_x000D_
    Environment_x000D_
    Node js version  : 6 11 0_x000D_
    React Native version  : 0 54 0_x000D_
    React Native platform   platform version  : iOS 9 3 3_x000D_
_x000D_
    react native camera_x000D_
  Version  :  master _x000D_
</t>
  </si>
  <si>
    <t>nextcloud-android-2560</t>
  </si>
  <si>
    <t>Nextcloud does not sync when some subfolders are already synced</t>
  </si>
  <si>
    <t xml:space="preserve">   Actual behaviour_x000D_
_x000D_
I have all my music synchronized to Nextcloud  This is quite a big folder having 43GB Containing 8835 Files in 776 subfolders (strucutred by artist album filename mp3 if that is important)_x000D_
Yesterday I started to sync that folder already (see  2559 ) but needed to cancel syncronisation  After restarting it this morning when the display turned black after about half a minute the Syncronisation stopped and Nextcloud got terminated  As far as I could check now this only happens before Nextcloud is downloading new files probably due to the power saving of Android even if I exclude it from Battery Optimisation_x000D_
_x000D_
   Expected behaviour_x000D_
_x000D_
Nextcloud should sync in Background and keep the app running until everything is synced_x000D_
_x000D_
   Steps to reproduce_x000D_
_x000D_
1     create a folder containing many subfolders and files below it _x000D_
2     Start Syncing and cancel Syncronisation after more than half n hour_x000D_
3     sync the whole folder to Android_x000D_
_x000D_
   Environment data_x000D_
_x000D_
Android version: Android 8 1 Security Level 1st April 18_x000D_
_x000D_
Device model: Nokia 5 TA 1053_x000D_
_x000D_
Stock or customized system: Stock rom not rooted_x000D_
_x000D_
Nextcloud app version: 3 1 0 (from F Droid)_x000D_
_x000D_
Nextcloud server version: 13 0 2_x000D_
_x000D_
    Logs_x000D_
     Web server error log_x000D_
   _x000D_
Insert your webserver log here_x000D_
   _x000D_
_x000D_
     Nextcloud Android debugging (adb logcat   grep   (adb shell ps   grep com nextcloud client   awk   print  2  ) )_x000D_
   _x000D_
05 08 08:45:49 538  2358  3800 I ActivityManager: Start proc 18610:com nextcloud client u0a144 for activity com nextcloud client com owncloud android ui activity FileDisplayActivity_x000D_
05 08 08:45:49 659 18610 18610 I MultiDex: VM with version 2 1 0 has multidex support_x000D_
05 08 08:45:49 659 18610 18610 I MultiDex: Installing application_x000D_
05 08 08:45:49 659 18610 18610 I MultiDex: VM has multidex support  MultiDex support library is disabled _x000D_
05 08 08:45:49 708 18610 18610 D Debug   : start logging_x000D_
05 08 08:45:49 715 18610 18628 D ThumbnailsCacheManager: create dir:  storage emulated 0 Android data com nextcloud client cache thumbnailCache_x000D_
05 08 08:45:49 720 18610 18610 I JobManager: Found pending job request id 1274  tag FilesSyncJob  transient false   canceling_x000D_
05 08 08:45:49 761 18610 18610 D JobProxy26: Schedule periodic jobInfo success  request id 1275  tag FilesSyncJob  transient false   interval 00:15:00  flex 00:05:00_x000D_
05 08 08:45:49 814 18610 18631 D NetworkUtils: Searching known servers store at  data user 0 com nextcloud client files knownServers bks_x000D_
05 08 08:45:49 817 18610 18631 D NetworkSecurityConfig: Using Network Security Config from resource network security config debugBuild: false_x000D_
05 08 08:45:49 823 18610 18631 D OwnCloudClient  0: Creating OwnCloudClient_x000D_
05 08 08:45:49 827 18610 18631 D AccountUtils: Restoring cookies for david subdomain domain tld nextcloud_x000D_
05 08 08:45:49 828 18610 18610 V FileDisplayActivity: onCreate() start_x000D_
05 08 08:45:49 829 18610 18631 D OwnCloudClient  0: REQUEST GET  nextcloud index php 204_x000D_
05 08 08:45:49 842 18610 18631 D AdvancedSslSocketFactory: Creating SSL Socket with remote subdomain domain tld:443  local null:0  params: org apache commons httpclient params HttpConnectionParams 1413f62_x000D_
05 08 08:45:49 842 18610 18631 D AdvancedSslSocketFactory:      with connection timeout 60000 and socket timeout 60000_x000D_
05 08 08:45:49 849 18610 18610 D FileDisplayActivity: onCreate(Bundle) starting_x000D_
05 08 08:45:49 852 18610 18631 I ServerNameIndicator: SSLSocket implementation: com android org conscrypt ConscryptFileDescriptorSocket_x000D_
05 08 08:45:49 853 18610 18631 I ServerNameIndicator: SNI done  hostname: subdomain domain tld_x000D_
05 08 08:45:49 876 18610 18610 I PhoneWindow: isNeedChangeStatusBarColor taskInfo:  android app ActivityManager RunningTaskInfo 25758ba  size: 1_x000D_
05 08 08:45:49 876 18610 18610 I PhoneWindow: isAPPNeedChangeSBColor pkgName: com nextcloud client needKeep: false_x000D_
05 08 08:45:49 876 18610 18610 I PhoneWindow: isNeedChangeStatusBarColor false_x000D_
05 08 08:45:49 876 18610 18610 I PhoneWindow: isNeedChangeNaviBarColor taskInfo:  android app ActivityManager RunningTaskInfo 615a36b  size: 1_x000D_
05 08 08:45:49 876 18610 18610 I PhoneWindow: isAPPNeedChange pkgName: com nextcloud client needKeep: false_x000D_
05 08 08:45:49 876 18610 18610 I PhoneWindow: isNeedChangeNaviBarColor false_x000D_
05 08 08:45:49 876 18610 18610 I PhoneWindow: generateLayout mNavigationBarColor: ff000000_x000D_
05 08 08:45:49 876 18610 18610 I PhoneWindow: generateLayout isLightNavi false  Visibility: 0_x000D_
05 08 08:45:49 946 18610 18610 I AppCompatViewInflater: app:theme is now deprecated  Please move to using android:theme instead _x000D_
05 08 08:45:50 000 18610 18610 I PhoneWindow: isNeedChangeStatusBarColor taskInfo:  android app ActivityManager RunningTaskInfo 13ed707  size: 1_x000D_
05 08 08:45:50 000 18610 18610 I PhoneWindow: isAPPNeedChangeSBColor pkgName: com nextcloud client needKeep: false_x000D_
05 08 08:45:50 000 18610 18610 I PhoneWindow: isNeedChangeStatusBarColor false_x000D_
05 08 08:45:50 053 18610 18610 D FileDisplayActivity: onStart() starting_x000D_
05 08 08:45:50 091 18610 18610 D OpenGLRenderer: HWUI GL Pipeline_x000D_
05 08 08:45:50 096 18610 18635 D OwnCloudClient  1: Creating OwnCloudClient_x000D_
05 08 08:45:50 096 18610 18635 D AccountUtils: Restoring cookies for david subdomain domain tld nextcloud_x000D_
05 08 08:45:50 098 18610 18636 D OwnCloudClient  2: Creating OwnCloudClient_x000D_
05 08 08:45:50 098 18610 18636 D AccountUtils: Restoring cookies for david subdomain domain tld nextcloud_x000D_
05 08 08:45:50 098 18610 18635 D AccountUtils: Restoring cookies for david subdomain domain tld nextcloud_x000D_
05 08 08:45:50 101 18610 18636 D AccountUtils: Restoring cookies for david subdomain domain tld nextcloud_x000D_
05 08 08:45:50 107 18610 18636 D OwnCloudClient  2: REQUEST GET  nextcloud ocs v1 php cloud users david_x000D_
05 08 08:45:50 107 18610 18636 D AdvancedSslSocketFactory: Creating SSL Socket with remote subdomain domain tld:443  local null:0  params: org apache commons httpclient params HttpConnectionParams ad5a918_x000D_
05 08 08:45:50 107 18610 18636 D AdvancedSslSocketFactory:      with connection timeout 60000 and socket timeout 60000_x000D_
05 08 08:45:50 108 18610 18636 I ServerNameIndicator: SNI done  hostname: subdomain domain tld_x000D_
05 08 08:45:50 112 18610 18635 D Avatar  : URI: https:  subdomain domain tld nextcloud index php avatar david 256_x000D_
05 08 08:45:50 112 18610 18635 D OwnCloudClient  1: REQUEST GET  nextcloud index php avatar david 256_x000D_
05 08 08:45:50 112 18610 18635 D AdvancedSslSocketFactory: Creating SSL Socket with remote subdomain domain tld:443  local null:0  params: org apache commons httpclient params HttpConnectionParams e66e156_x000D_
05 08 08:45:50 112 18610 18635 D AdvancedSslSocketFactory:      with connection timeout 60000 and socket timeout 60000_x000D_
05 08 08:45:50 113 18610 18635 I ServerNameIndicator: SNI done  hostname: subdomain domain tld_x000D_
05 08 08:45:50 120 18610 18610 D FileDisplayActivity: Initializing Fragments in onAccountChanged  _x000D_
05 08 08:45:50 120 18610 18610 E FileDisplayActivity: Access to unexisting list of files fragment  _x000D_
05 08 08:45:50 120 18610 18610 E FileDisplayActivity: Still have a chance to lose the initializacion of list fragment  (_x000D_
05 08 08:45:50 150 18610 18637 D ExternalLinks: links disabled_x000D_
05 08 08:45:50 162 18610 18639 D OwnCloudClient  2: REQUEST GET  nextcloud ocs v1 php cloud users david_x000D_
05 08 08:45:50 162 18610 18639 D AdvancedSslSocketFactory: Creating SSL Socket with remote subdomain domain tld:443  local null:0  params: org apache commons httpclient params HttpConnectionParams 7dae0f4_x000D_
05 08 08:45:50 162 18610 18639 D AdvancedSslSocketFactory:      with connection timeout 60000 and socket timeout 60000_x000D_
05 08 08:45:50 163 18610 18639 I ServerNameIndicator: SNI done  hostname: subdomain domain tld_x000D_
05 08 08:45:50 197 18610 18610 E FileDisplayActivity: Access to unexisting list of files fragment  _x000D_
05 08 08:45:50 199 18610 18610 V FileDisplayActivity: onResume() start_x000D_
05 08 08:45:50 199 18610 18610 D FileDisplayActivity: onResume() starting_x000D_
05 08 08:45:50 199 18610 18610 I OCFileListFragment: onAttach_x000D_
05 08 08:45:50 211 18610 18610 I OCFileListFragment: onCreateView() start_x000D_
05 08 08:45:50 211 18610 18610 D ExtendedListFragment: onCreateView_x000D_
05 08 08:45:50 321 18610 18610 I OCFileListFragment: onCreateView() end_x000D_
05 08 08:45:50 321 18610 18610 I OCFileListFragment: onActivityCreated() start_x000D_
05 08 08:45:50 648 18610 18610 I PhoneWindow: isNeedChangeStatusBarColor taskInfo:  android app ActivityManager RunningTaskInfo 2cecfd0  size: 1_x000D_
05 08 08:45:50 648 18610 18610 I PhoneWindow: isAPPNeedChangeSBColor pkgName: com nextcloud client needKeep: false_x000D_
05 08 08:45:50 648 18610 18610 I PhoneWindow: isNeedChangeStatusBarColor false_x000D_
05 08 08:45:50 695 18610 18610 V FileDisplayActivity: onResume() end_x000D_
05 08 08:45:50 738 18610 18610 D OperationsService: Creating service_x000D_
05 08 08:45:50 739 18610 18641 D OwnCloudClient  3: Creating OwnCloudClient_x000D_
05 08 08:45:50 741 18610 18610 D FileDownloader: Creating service_x000D_
05 08 08:45:50 743 18610 18642 D OwnCloudClient  4: Creating OwnCloudClient_x000D_
05 08 08:45:50 743 18610 18641 D AccountUtils: Restoring cookies for david subdomain domain tld nextcloud_x000D_
05 08 08:45:50 744 18610 18641 D OwnCloudClient  3: REQUEST GET  nextcloud index php 204_x000D_
05 08 08:45:50 744 18610 18641 D AdvancedSslSocketFactory: Creating SSL Socket with remote subdomain domain tld:443  local null:0  params: org apache commons httpclient params HttpConnectionParams 87093e7_x000D_
05 08 08:45:50 744 18610 18641 D AdvancedSslSocketFactory:      with connection timeout 60000 and socket timeout 60000_x000D_
05 08 08:45:50 745 18610 18641 I ServerNameIndicator: SSLSocket implementation: com android org conscrypt ConscryptFileDescriptorSocket_x000D_
05 08 08:45:50 745 18610 18641 I ServerNameIndicator: SNI done  hostname: subdomain domain tld_x000D_
05 08 08:45:50 745 18610 18642 D AccountUtils: Restoring cookies for david subdomain domain tld nextcloud_x000D_
05 08 08:45:50 747 18610 18642 D OwnCloudClient  4: REQUEST GET  nextcloud index php 204_x000D_
05 08 08:45:50 754 18610 18610 W Notification: Use of stream types is deprecated for operations other than volume control_x000D_
05 08 08:45:50 754 18610 18610 W Notification: See the documentation of setSound() for what to use instead with android media AudioAttributes to qualify your playback use case_x000D_
05 08 08:45:50 758 18610 18610 D FileUploader: Creating service_x000D_
05 08 08:45:50 777 18610 18610 W Notification: Use of stream types is deprecated for operations other than volume control_x000D_
05 08 08:45:50 777 18610 18610 W Notification: See the documentation of setSound() for what to use instead with android media AudioAttributes to qualify your playback use case_x000D_
05 08 08:45:50 777 18610 18610 V UploadsStorageManager: Updating state of any killed upload_x000D_
05 08 08:45:50 780 18610 18610 V UploadsStorageManager: No upload was killed_x000D_
05 08 08:45:50 798 18610 18631 D OwnCloudClient  5: Creating OwnCloudClient_x000D_
05 08 08:45:50 801 18610 18631 D AccountUtils: Restoring cookies for david subdomain domain tld nextcloud_x000D_
05 08 08:45:50 802 18610 18631 D OwnCloudClient  5: REQUEST GET  nextcloud index php 204_x000D_
05 08 08:45:50 819 18610 18640 I Adreno  : QUALCOMM build                   : 26bc7bf  I8a9bdcf8d3_x000D_
05 08 08:45:50 819 18610 18640 I Adreno  : Build Date                       : 01 30 18_x000D_
05 08 08:45:50 819 18610 18640 I Adreno  : OpenGL ES Shader Compiler Version: EV031 22 00 01_x000D_
05 08 08:45:50 819 18610 18640 I Adreno  : Local Branch                     : _x000D_
05 08 08:45:50 819 18610 18640 I Adreno  : Remote Branch                    : quic gfx adreno lnx 1 0 r36 rel_x000D_
05 08 08:45:50 819 18610 18640 I Adreno  : Remote Branch                    : NONE_x000D_
05 08 08:45:50 819 18610 18640 I Adreno  : Reconstruct Branch               : NOTHING_x000D_
05 08 08:45:50 821 18610 18640 D vndksupport: Loading  vendor lib64 hw gralloc msm8937 so from current namespace instead of sphal namespace _x000D_
05 08 08:45:50 826 18610 18640 I HAL     : loaded HAL id gralloc path  vendor lib64 hw gralloc msm8937 so hmi 0x0 handle 0xc0bbe4daa47e0a8d_x000D_
05 08 08:45:50 835 18610 18640 I Adreno  : PFP: 0x005ff087  ME: 0x005ff063_x000D_
05 08 08:45:50 853 18610 18640 I zygote64: android::hardware::configstore::V1 0::ISurfaceFlingerConfigs::hasWideColorDisplay retrieved: 0_x000D_
05 08 08:45:50 854 18610 18640 I OpenGLRenderer: Initialized EGL  version 1 4_x000D_
05 08 08:45:50 855 18610 18640 D OpenGLRenderer: Swap behavior 2_x000D_
05 08 08:45:51 141 18610 18610 D FileActivity: Operations service connected_x000D_
05 08 08:45:51 141 18610 18610 D FileDisplayActivity: Download service connected_x000D_
05 08 08:45:51 179 18610 18610 D FileDisplayActivity: Upload service connected_x000D_
05 08 08:45:51 237 18610 18641 D OwnCloudClient  6: Creating OwnCloudClient_x000D_
05 08 08:45:51 239 18610 18641 D AccountUtils: Restoring cookies for david subdomain domain tld nextcloud_x000D_
05 08 08:45:51 240 18610 18641 D OwnCloudClient  6: REQUEST GET  nextcloud index php 204_x000D_
05 08 08:45:51 249 18610 18642 D OwnCloudClient  7: Creating OwnCloudClient_x000D_
05 08 08:45:51 251 18610 18642 D AccountUtils: Restoring cookies for david subdomain domain tld nextcloud_x000D_
05 08 08:45:51 252 18610 18642 D OwnCloudClient  7: REQUEST GET  nextcloud index php 204_x000D_
05 08 08:45:51 342 18610 18640 D vndksupport: Loading  vendor lib64 hw android hardware graphics mapper 2 0 impl so from current namespace instead of sphal namespace _x000D_
05 08 08:45:51 344 18610 18640 D vndksupport: Loading  vendor lib64 hw gralloc msm8937 so from current namespace instead of sphal namespace _x000D_
05 08 08:45:51 344 18610 18640 I HAL     : loaded HAL id gralloc path  vendor lib64 hw gralloc msm8937 so hmi 0x0 handle 0xc0bbe4daa47e0a8d_x000D_
05 08 08:46:19 514 18610 18610 V FileDisplayActivity: onPause() start_x000D_
05 08 08:46:19 548 18610 18610 D FileDisplayActivity: onPause() ending_x000D_
05 08 08:46:19 548 18610 18610 V FileDisplayActivity: onPause() end_x000D_
05 08 08:46:19 555 18610 18610 V FileDisplayActivity: onSaveInstanceState() start_x000D_
05 08 08:46:19 570 18610 18610 D FileDisplayActivity: onSaveInstanceState(Bundle) starting_x000D_
05 08 08:46:19 571 18610 18610 D ExtendedListFragment: onSaveInstanceState()_x000D_
05 08 08:46:19 574 18610 18610 V FileDisplayActivity: onSaveInstanceState() end_x000D_
05 08 08:46:19 579 18610 18610 D FileDisplayActivity: onStop() ending_x000D_
05 08 08:47:15 104 18610 18610 V BaseActivity: onRestart() start_x000D_
05 08 08:47:15 106 18610 18610 V BaseActivity: onRestart() end_x000D_
05 08 08:47:15 115 18610 18610 D FileDisplayActivity: onStart() starting_x000D_
05 08 08:47:15 247 18610 18610 D FileDisplayActivity: Initializing Fragments in onAccountChanged  _x000D_
05 08 08:47:15 247 18610 18783 D OwnCloudClient  2: REQUEST GET  nextcloud ocs v1 php cloud users david_x000D_
05 08 08:47:15 248 18610 18782 D Avatar  : URI: https:  subdomain domain tld nextcloud index php avatar david 256_x000D_
05 08 08:47:15 248 18610 18782 D OwnCloudClient  2: REQUEST GET  nextcloud index php avatar david 256_x000D_
05 08 08:47:15 250 18610 18783 D AdvancedSslSocketFactory: Creating SSL Socket with remote subdomain domain tld:443  local null:0  params: org apache commons httpclient params HttpConnectionParams 7dae0f4_x000D_
05 08 08:47:15 250 18610 18782 D AdvancedSslSocketFactory: Creating SSL Socket with remote subdomain domain tld:443  local null:0  params: org apache commons httpclient params HttpConnectionParams 1413f62_x000D_
05 08 08:47:15 250 18610 18783 D AdvancedSslSocketFactory:      with connection timeout 60000 and socket timeout 60000_x000D_
05 08 08:47:15 250 18610 18782 D AdvancedSslSocketFactory:      with connection timeout 60000 and socket timeout 60000_x000D_
05 08 08:47:15 272 18610 18783 I ServerNameIndicator: SNI done  hostname: subdomain domain tld_x000D_
05 08 08:47:15 276 18610 18782 I ServerNameIndicator: SNI done  hostname: subdomain domain tld_x000D_
05 08 08:47:15 345 18610 18610 V FileDisplayActivity: onResume() start_x000D_
05 08 08:47:15 345 18610 18610 D FileDisplayActivity: onResume() starting_x000D_
05 08 08:47:15 390 18610 18790 D ExternalLinks: links disabled_x000D_
05 08 08:47:15 432 18610 18610 I PhoneWindow: isNeedChangeStatusBarColor taskInfo:  android app ActivityManager RunningTaskInfo bc294b8  size: 1_x000D_
05 08 08:47:15 432 18610 18610 I PhoneWindow: isAPPNeedChangeSBColor pkgName: com nextcloud client needKeep: false_x000D_
05 08 08:47:15 432 18610 18610 I PhoneWindow: isNeedChangeStatusBarColor false_x000D_
05 08 08:47:15 452 18610 18610 V FileDisplayActivity: onResume() end_x000D_
05 08 08:47:15 907 18610 18805 D OwnCloudClient  2: REQUEST GET  nextcloud status php_x000D_
05 08 08:47:15 909 18610 18805 D AdvancedSslSocketFactory: Creating SSL Socket with remote subdomain domain tld:443  local null:0  params: org apache commons httpclient params HttpConnectionParams 87093e7_x000D_
05 08 08:47:15 909 18610 18805 D AdvancedSslSocketFactory:      with connection timeout 60000 and socket timeout 60000_x000D_
05 08 08:47:15 911 18610 18805 I ServerNameIndicator: SNI done  hostname: subdomain domain tld_x000D_
05 08 08:47:16 579 18610 18805 D UpdateOCVersionOperation: Got new OC version 13 0 2 1_x000D_
05 08 08:47:16 579 18610 18805 I UpdateOCVersionOperation: Check for update of Nextcloud server version at https:  subdomain domain tld nextcloud remote php webdav: Operation finished with HTTP status code  1 (success)_x000D_
05 08 08:47:16 589 18610 18805 D OwnCloudClient  2: REQUEST GET  nextcloud ocs v1 php cloud capabilities_x000D_
05 08 08:47:17 305 18610 18805 D GetRemoteCapabilitiesOperation: Successful response:   ocs :  meta :  status : ok   statuscode :100  message : OK   totalitems :    itemsperpage :     data :  version :  major :13  minor :0  micro :2  string : 13 0 2   edition :     capabilities :  core :  pollinterval :60  webdav root : remote php  webdav    bruteforce :  delay :0   activity :  apiv2 :  filters   filters api   previews   rich strings     dav :  chunking : 1 0    files sharing :  api enabled :true  public :  enabled :true  password :  enforced :false   expire date :  enabled :false   send mail :false  upload :true  upload files drop :true   resharing :true  user :  send mail :false  expire date :  enabled :true    group sharing :true  group :  enabled :true  expire date :  enabled :true    federation :  outgoing :true  incoming :true  expire date :  enabled :true    sharebymail :  enabled :true  upload files drop :  enabled :true   password :  enabled :true   expire date :  enabled :true     notifications :  ocs endpoints :  list   get   delete   icons   rich strings    push :  devices     password policy :  minLength :8  enforceNonCommonPassword :true  enforceNumericCharacters :false  enforceSpecialCharacters :false  enforceUpperLowerCase :false   theming :  name : Nextcloud   url : https:    nextcloud com   slogan : ein sicherer Ort f u00fcr all Deine Daten   color :  0082c9   color text :  ffffff   color element :  0082c9   logo : https:    subdomain domain tld  nextcloud  core  img  logo svg v 0   background : https:    subdomain domain tld  nextcloud  core  img  background png v 0   background plain :false  background default :true   files :  bigfilechunking :true  blacklisted files :   htaccess    undelete :true  versioning :true     _x000D_
05 08 08:47:17 305 18610 18805 D GetRemoteCapabilitiesOperation:     Added version_x000D_
05 08 08:47:17 306 18610 18805 D GetRemoteCapabilitiesOperation:     Added core_x000D_
05 08 08:47:17 306 18610 18805 D GetRemoteCapabilitiesOperation:     Added files sharing_x000D_
05 08 08:47:17 306 18610 18805 D GetRemoteCapabilitiesOperation:     Added files_x000D_
05 08 08:47:17 306 18610 18805 D GetRemoteCapabilitiesOperation:     Added theming_x000D_
05 08 08:47:17 306 18610 18805 D GetRemoteCapabilitiesOperation:     Added notifications_x000D_
05 08 08:47:17 306 18610 18805 D GetRemoteCapabilitiesOperation:     Get Capabilities completed _x000D_
05 08 08:47:17 364 18610 18805 D OwnCloudClient  2: REQUEST GET  nextcloud ocs v1 php cloud user_x000D_
05 08 08:47:17 862 18610 18805 I RefreshFolderOperation: Got display name: com owncloud android lib common UserInfo 8b82e48_x000D_
05 08 08:47:17 862 18610 18805 D RefreshFolderOperation: Checking changes in david subdomain domain tld nextcloud _x000D_
05 08 08:47:17 871 18610 18805 W System err: SLF4J: Failed to load class  org slf4j impl StaticLoggerBinder  _x000D_
05 08 08:47:17 871 18610 18805 W System err: SLF4J: Defaulting to no operation (NOP) logger implementation_x000D_
05 08 08:47:17 871 18610 18805 W System err: SLF4J: See http:  www slf4j org codes html StaticLoggerBinder for further details _x000D_
05 08 08:47:18 013 18610 18805 D OwnCloudClient  2: REQUEST PROPFIND  nextcloud remote php webdav _x000D_
05 08 08:47:18 412 18610 18805 I RefreshFolderOperation: Checked david subdomain domain tld nextcloud  : changed_x000D_
05 08 08:47:18 422 18610 18805 D OwnCloudClient  2: REQUEST PROPFIND  nextcloud remote php webdav _x000D_
05 08 08:47:18 465 18610 18620 I zygote64: Background concurrent copying GC freed 77687(6MB) AllocSpace objects  164(3MB) LOS objects  69  free  5MB 17MB  paused 641us total 104 264ms_x000D_
05 08 08:47:18 789 18610 18805 I ReadRemoteFolderOperation: Synchronized  : Operation finished with HTTP status code 207 (success)_x000D_
05 08 08:47:18 789 18610 18805 D RefreshFolderOperation: Synchronizing david subdomain domain tld nextcloud _x000D_
05 08 08:47:18 815 18610 18805 D RefreshFolderOperation: Remote folder   changed   starting update of local data _x000D_
05 08 08:47:18 838 18610 18805 D FileDataStorageManager: Saving folder   with 8 children and 0 files to remove_x000D_
05 08 08:47:18 872 18610 18805 D FileDataStorageManager: Sending 9 operations to FileContentProvider_x000D_
05 08 08:47:18 872 18610 18805 D FileContentProvider: applying batch in provider com owncloud android providers FileContentProvider f669b7 (temporary: false)_x000D_
05 08 08:47:18 912 18610 18805 D FileContentProvider: applied batch in provider com owncloud android providers FileContentProvider f669b7_x000D_
05 08 08:47:18 980 18610 18805 D RefreshFolderOperation: Send broadcast com owncloud android operations RefreshFolderOperation EVENT SINGLE FOLDER CONTENTS SYNCED_x000D_
05 08 08:47:18 983 18610 18610 D FileDisplayActivity: Received broadcast com owncloud android operations RefreshFolderOperation EVENT SINGLE FOLDER CONTENTS SYNCED_x000D_
05 08 08:47:18 983 18610 18805 D OwnCloudClient  2: REQUEST GET  nextcloud ocs v2 php apps files sharing api v1 shares_x000D_
05 08 08:47:19 084 18610 18610 D FileDisplayActivity: Setting progress visibility to true_x000D_
05 08 08:47:19 571 18610 18805 D GetRemoteSharesForFileOperation: Got 1 shares_x000D_
05 08 08:47:19 646 18610 18805 D FileDataStorageManager: Sending 9 operations to FileContentProvider_x000D_
05 08 08:47:19 647 18610 18805 D FileContentProvider: applying batch in provider com owncloud android providers FileContentProvider f669b7 (temporary: false)_x000D_
05 08 08:47:19 709 18610 18805 D FileContentProvider: applied batch in provider com owncloud android providers FileContentProvider f669b7_x000D_
05 08 08:47:19 709 18610 18805 D RefreshFolderOperation: Send broadcast com owncloud android operations RefreshFolderOperation EVENT SINGLE FOLDER SHARES SYNCED_x000D_
05 08 08:47:19 711 18610 18610 D FileDisplayActivity: Received broadcast com owncloud android operations RefreshFolderOperation EVENT SINGLE FOLDER SHARES SYNCED_x000D_
05 08 08:47:19 811 18610 18610 D FileDisplayActivity: Setting progress visibility to false_x000D_
05 08 08:47:21 095 18610 18811 D RefreshFolderOperation: Checking changes in david subdomain domain tld nextcloud Music _x000D_
05 08 08:47:21 103 18610 18811 D OwnCloudClient  2: REQUEST PROPFIND  nextcloud remote php webdav Music _x000D_
05 08 08:47:21 434 18610 18811 I zygote64: Deoptimizing void org apache harmony xml parsers DocumentBuilderImpl parse(org kxml2 io KXmlParser  org apache harmony xml dom DocumentImpl  org w3c dom Node  int) due to JIT inline cache_x000D_
05 08 08:47:21 438 18610 18811 I RefreshFolderOperation: Checked david subdomain domain tld nextcloud Music  : not changed_x000D_
05 08 08:47:21 545 18610 18811 D RefreshFolderOperation: Send broadcast com owncloud android operations RefreshFolderOperation EVENT SINGLE FOLDER CONTENTS SYNCED_x000D_
05 08 08:47:21 548 18610 18811 D OwnCloudClient  2: REQUEST GET  nextcloud ocs v2 php apps files sharing api v1 shares_x000D_
05 08 08:47:21 571 18610 18610 D FileDisplayActivity: Received broadcast com owncloud android operations RefreshFolderOperation EVENT SINGLE FOLDER CONTENTS SYNCED_x000D_
05 08 08:47:21 693 18610 18610 D FileDisplayActivity: Setting progress visibility to true_x000D_
05 08 08:47:22 088 18610 18811 D GetRemoteSharesForFileOperation: Got 0 shares_x000D_
05 08 08:47:22 165 18610 18811 D FileDataStorageManager: Sending 7 operations to FileContentProvider_x000D_
05 08 08:47:22 166 18610 18811 D FileContentProvider: applying batch in provider com owncloud android providers FileContentProvider f669b7 (temporary: false)_x000D_
05 08 08:47:22 188 18610 18811 D FileContentProvider: applied batch in provider com owncloud android providers FileContentProvider f669b7_x000D_
05 08 08:47:22 188 18610 18811 D RefreshFolderOperation: Send broadcast com owncloud android operations RefreshFolderOperation EVENT SINGLE FOLDER SHARES SYNCED_x000D_
05 08 08:47:22 191 18610 18610 D FileDisplayActivity: Received broadcast com owncloud android operations RefreshFolderOperation EVENT SINGLE FOLDER SHARES SYNCED_x000D_
05 08 08:47:22 310 18610 18610 D FileDisplayActivity: Setting progress visibility to false_x000D_
05 08 08:47:25 018 18610 18610 D OperationsService: Starting command with id 1_x000D_
05 08 08:47:25 065 18610 18644 D SynchronizeFolderOperation: Checking changes in david subdomain domain tld nextcloud Music Interpreten _x000D_
05 08 08:47:25 073 18610 18644 D OwnCloudClient  2: REQUEST PROPFIND  nextcloud remote php webdav Music Interpreten _x000D_
05 08 08:47:25 163 18610 18610 I PhoneWindow: isNeedChangeStatusBarColor taskInfo:  android app ActivityManager RunningTaskInfo 6dfa5f3  size: 1_x000D_
05 08 08:47:25 163 18610 18610 I PhoneWindow: isAPPNeedChangeSBColor pkgName: com nextcloud client needKeep: false_x000D_
05 08 08:47:25 163 18610 18610 I PhoneWindow: isNeedChangeStatusBarColor false_x000D_
05 08 08:47:25 338 18610 18640 D OpenGLRenderer: endAllActiveAnimators on 0x7081dafc00 (MenuPopupWindow MenuDropDownListView) with handle 0x709477da60_x000D_
05 08 08:47:25 454 18610 18644 I SynchronizeFolderOperation: Checked david subdomain domain tld nextcloud Music Interpreten  : not changed_x000D_
05 08 08:47:25 536 18610 18610 D OperationsService: Starting command with id 2_x000D_
05 08 08:47:25 538 18610 18610 D OperationsService: Starting command with id 3_x000D_
05 08 08:47:25 539 18610 18610 D OperationsService: Starting command with id 4_x000D_
05 08 08:47:25 625 18610 18610 I PhoneWindow: isNeedChangeStatusBarColor taskInfo:  android app ActivityManager RunningTaskInfo dc5ba5b  size: 1_x000D_
05 08 08:47:25 625 18610 18610 I PhoneWindow: isAPPNeedChangeSBColor pkgName: com nextcloud client needKeep: false_x000D_
05 08 08:47:25 625 18610 18610 I PhoneWindow: isNeedChangeStatusBarColor false_x000D_
05 08 08:47:25 640 18610 18644 V SynchronizeFolderOperation: Starting content synchronization    _x000D_
05 08 08:47:25 642 18610 18644 D OperationsService: Called 1 listeners_x000D_
05 08 08:47:25 642 18610 18644 D SyncFolderHandler: Stopping after command with id 1_x000D_
05 08 08:47:25 646 18610 18610 D OperationsService: Starting command with id 5_x000D_
05 08 08:47:25 670 18610 18644 D SynchronizeFolderOperation: Checking changes in david subdomain domain tld nextcloud Music Interpreten AC DC _x000D_
05 08 08:47:25 677 18610 18644 D OwnCloudClient  2: REQUEST PROPFIND  nextcloud remote php webdav Music Interpreten AC 20DC _x000D_
05 08 08:47:25 749 18610 18610 I PhoneWindow: isNeedChangeStatusBarColor taskInfo:  android app ActivityManager RunningTaskInfo fa643d1  size: 1_x000D_
05 08 08:47:25 749 18610 18610 I PhoneWindow: isAPPNeedChangeSBColor pkgName: com nextcloud client needKeep: false_x000D_
05 08 08:47:25 749 18610 18610 I PhoneWindow: isNeedChangeStatusBarColor false_x000D_
05 08 08:47:25 767 18610 18610 D OperationsService: Starting command with id 6_x000D_
05 08 08:47:25 768 18610 18610 D OperationsService: Starting command with id 7_x000D_
05 08 08:47:25 854 18610 18610 I PhoneWindow: isNeedChangeStatusBarColor taskInfo:  android app ActivityManager RunningTaskInfo e6c96a4  size: 1_x000D_
05 08 08:47:25 855 18610 18610 I PhoneWindow: isAPPNeedChangeSBColor pkgName: com nextcloud client needKeep: false_x000D_
05 08 08:47:25 855 18610 18610 I PhoneWindow: isNeedChangeStatusBarColor false_x000D_
05 08 08:47:25 878 18610 18610 D OperationsService: Starting command with id 8_x000D_
05 08 08:47:25 880 18610 18610 D OperationsService: Starting command with id 9_x000D_
05 08 08:47:25 881 18610 18610 D OperationsService: Starting command with id 10_x000D_
05 08 08:47:25 883 18610 18610 D OperationsService: Starting command with id 11_x000D_
05 08 08:47:25 885 18610 18610 D OperationsService: Starting command with id 12_x000D_
05 08 08:47:25 887 18610 18610 D OperationsService: Starting command with id 13_x000D_
05 08 08:47:25 889 18610 18610 D OperationsService: Starting command with id 14_x000D_
05 08 08:47:25 890 18610 18610 D OperationsService: Starting command with id 15_x000D_
05 08 08:47:25 892 18610 18610 D OperationsService: Starting command with id 16_x000D_
05 08 08:47:25 895 18610 18610 D OperationsService: Starting command with id 17_x000D_
05 08 08:47:25 896 18610 18610 D OperationsService: Starting command with id 18_x000D_
05 08 08:47:25 898 18610 18610 D OperationsService: Starting command with id 19_x000D_
05 08 08:47:25 899 18610 18610 D OperationsService: Starting command with id 20_x000D_
05 08 08:47:25 901 18610 18610 D OperationsService: Starting command with id 21_x000D_
05 08 08:47:25 903 18610 18610 D OperationsService: Starting command with id 22_x000D_
05 08 08:47:25 905 18610 18610 D OperationsService: Starting command with id 23_x000D_
05 08 08:47:25 907 18610 18610 D OperationsService: Starting command with id 24_x000D_
05 08 08:47:25 908 18610 18610 D OperationsService: Starting command with id 25_x000D_
05 08 08:47:25 910 18610 18610 D OperationsService: Starting command with id 26_x000D_
05 08 08:47:25 912 18610 18610 D OperationsService: Starting command with id 27_x000D_
05 08 08:47:25 914 18610 18610 D OperationsService: Starting command with id 28_x000D_
05 08 08:47:25 915 18610 18610 D OperationsService: Starting command with id 29_x000D_
05 08 08:47:25 917 18610 18610 D OperationsService: Starting command with id 30_x000D_
05 08 08:47:25 919 18610 18610 D OperationsService: Starting command with id 31_x000D_
05 08 08:47:25 920 18610 18610 D OperationsService: Starting command with id 32_x000D_
05 08 08:47:25 922 18610 18610 D OperationsService: Starting command with id 33_x000D_
05 08 08:47:25 924 18610 18610 D OperationsService: Starting command with id 34_x000D_
05 08 08:47:25 926 18610 18610 D OperationsService: Starting command with id 35_x000D_
05 08 08:47:25 928 18610 18610 D OperationsService: Starting command with id 36_x000D_
05 08 08:47:25 929 18610 18610 D OperationsService: Starting command with id 37_x000D_
05 08 08:47:25 931 18610 18610 D OperationsService: Starting command with id 38_x000D_
05 08 08:47:25 933 18610 18610 D OperationsService: Starting command with id 39_x000D_
05 08 08:47:25 935 18610 18610 D OperationsService: Starting command with id 40_x000D_
05 08 08:47:25 937 18610 18610 D OperationsService: Starting command with id 41_x000D_
05 08 08:47:25 938 18610 18610 D OperationsService: Starting command with id 42_x000D_
05 08 08:47:25 940 18610 18610 D OperationsService: Starting command with id 43_x000D_
05 08 08:47:25 942 18610 18610 D OperationsService: Starting command with id 44_x000D_
05 08 08:47:25 944 18610 18610 D OperationsService: Starting command with id 45_x000D_
05 08 08:47:25 946 18610 18610 D OperationsService: Starting command with id 46_x000D_
05 08 08:47:25 948 18610 18610 D OperationsService: Starting command with id 47_x000D_
05 08 08:47:25 950 18610 18610 D OperationsService: Starting command with id 48_x000D_
05 08 08:47:25 951 18610 18610 D OperationsService: Starting command with id 49_x000D_
05 08 08:47:26 007 18610 18644 I SynchronizeFolderOperation: Checked david subdomain domain tld nextcloud Music Interpreten AC DC  : not changed_x000D_
05 08 08:47:26 050 18610 18644 V SynchronizeFolderOperation: Starting content synchronization    _x000D_
05 08 08:47:26 052 18610 18644 D OperationsService: Called 1 listeners_x000D_
05 08 08:47:26 052 18610 18644 D SyncFolderHandler: Stopping after command with id 2_x000D_
05 08 08:47:26 083 18610 18644 D SynchronizeFolderOperation: Checking changes in david subdomain domain tld nextcloud Music Interpreten Alice Cooper _x000D_
05 08 08:47:26 089 18610 18644 D OwnCloudClient  2: REQUEST PROPFIND  nextcloud remote php webdav Music Interpreten Alice 20Cooper _x000D_
05 08 08:47:26 090 18610 18610 D OperationsService: Starting command with id 50_x000D_
05 08 08:47:26 092 18610 18610 D OperationsService: Starting command with id 51_x000D_
05 08 08:47:26 095 18610 18610 D OperationsService: Starting command with id 52_x000D_
05 08 08:47:26 097 18610 18610 D OperationsService: Starting command with id 53_x000D_
05 08 08:47:26 099 18610 18610 D OperationsService: Starting command with id 54_x000D_
05 08 08:47:26 100 18610 18610 D OperationsService: Starting command with id 55</t>
  </si>
  <si>
    <t>mapbox-mapbox-events-android-137</t>
  </si>
  <si>
    <t>Oreo Background Service Fix</t>
  </si>
  <si>
    <t xml:space="preserve">Running into background service crash associated with Oreo  This PR is to fix and prevent  before full Oreo update is finished </t>
  </si>
  <si>
    <t>mapbox-mapbox-events-android-136</t>
  </si>
  <si>
    <t>Bug Fix for attempting to unbind a service that is already unregistered</t>
  </si>
  <si>
    <t xml:space="preserve">Check if service is running and if it is  then unbind and continue on process  Prevents crash and keeps system working </t>
  </si>
  <si>
    <t>WeAreFairphone-FP2-Launcher-7</t>
  </si>
  <si>
    <t xml:space="preserve"> Unable to start activity ComponentInfo</t>
  </si>
  <si>
    <t xml:space="preserve">Hello _x000D_
_x000D_
2 0 crashes when I launch it on my Android 4 2 1 tablet:_x000D_
   _x000D_
E AndroidRuntime( 2401): FATAL EXCEPTION: main_x000D_
E AndroidRuntime( 2401): java lang RuntimeException: Unable to start activity ComponentInfo community fairphone fplauncher3 com fairphone fplauncher3 Launcher : java lang NullPointerException_x000D_
E AndroidRuntime( 2401): 	at android app ActivityThread performLaunchActivity(ActivityThread java:2180)_x000D_
E AndroidRuntime( 2401): 	at android app ActivityThread handleLaunchActivity(ActivityThread java:2230)_x000D_
E AndroidRuntime( 2401): 	at android app ActivityThread access 600(ActivityThread java:141)_x000D_
E AndroidRuntime( 2401): 	at android app ActivityThread H handleMessage(ActivityThread java:1234)_x000D_
E AndroidRuntime( 2401): 	at android os Handler dispatchMessage(Handler java:99)_x000D_
E AndroidRuntime( 2401): 	at android os Looper loop(Looper java:137)_x000D_
E AndroidRuntime( 2401): 	at android app ActivityThread main(ActivityThread java:5039)_x000D_
E AndroidRuntime( 2401): 	at java lang reflect Method invokeNative(Native Method)_x000D_
E AndroidRuntime( 2401): 	at java lang reflect Method invoke(Method java:511)_x000D_
E AndroidRuntime( 2401): 	at com android internal os ZygoteInit MethodAndArgsCaller run(ZygoteInit java:793)_x000D_
E AndroidRuntime( 2401): 	at com android internal os ZygoteInit main(ZygoteInit java:560)_x000D_
E AndroidRuntime( 2401): 	at dalvik system NativeStart main(Native Method)_x000D_
E AndroidRuntime( 2401): Caused by: java lang NullPointerException_x000D_
E AndroidRuntime( 2401): 	at com fairphone fplauncher3 edgeswipe a  init (Unknown Source)_x000D_
E AndroidRuntime( 2401): 	at com fairphone fplauncher3 Launcher onCreate(Unknown Source)_x000D_
E AndroidRuntime( 2401): 	at android app Activity performCreate(Activity java:5104)_x000D_
E AndroidRuntime( 2401): 	at android app Instrumentation callActivityOnCreate(Instrumentation java:1080)_x000D_
E AndroidRuntime( 2401): 	at android app ActivityThread performLaunchActivity(ActivityThread java:2144)_x000D_
E AndroidRuntime( 2401): 	    11 more_x000D_
W ActivityManager(  495):   Force finishing activity community fairphone fplauncher3 com fairphone fplauncher3 Launcher_x000D_
   </t>
  </si>
  <si>
    <t>nextcloud-news-android-632</t>
  </si>
  <si>
    <t>App crash when downloading single image</t>
  </si>
  <si>
    <t>App crashes with Security Exception if the user tries to download an image through the Long Press Dialog _x000D_
_x000D_
https:  stackoverflow com questions 25805779 securityexception downloadmanager for android 3 2_x000D_
_x000D_
_x000D_
Most likely due to missing write storage permission   https:  stackoverflow com questions 40514335 download manager android permissions error write external storage</t>
  </si>
  <si>
    <t>nextcloud-android-2556</t>
  </si>
  <si>
    <t>ActivitiesActivity crash when no network</t>
  </si>
  <si>
    <t xml:space="preserve">    Actual behaviour_x000D_
  App crashes_x000D_
_x000D_
    Expected behaviour_x000D_
  Show some meaningful error_x000D_
 _x000D_
    Steps to reproduce_x000D_
1  disable internet_x000D_
2  open up Activities_x000D_
3  wait until timeout (30s)</t>
  </si>
  <si>
    <t>phamhongphuc-uit.money-2</t>
  </si>
  <si>
    <t>Realm: Crash when a new user login</t>
  </si>
  <si>
    <t xml:space="preserve">If a client call   findAllAsync()  when the schema hasn t created yet the application will crash_x000D_
_x000D_
   _x000D_
E REALM JNI: jni: ThrowingException 8  Cannot create asynchronous query while in a write transaction in  Users Nabil Dev realm master realm java realm realm library src main cpp io realm internal sync OsSubscription cpp line 71   _x000D_
             Exception has been thrown: Cannot create asynchronous query while in a write transaction in  Users Nabil Dev realm master realm java realm realm library src main cpp io realm internal sync OsSubscription cpp line 71_x000D_
D AndroidRuntime: Shutting down VM_x000D_
E AndroidRuntime: FATAL EXCEPTION: main_x000D_
                  Process: uit money  PID: 12710_x000D_
                  java lang IllegalStateException: Cannot create asynchronous query while in a write transaction in  Users Nabil Dev realm master realm java realm realm library src main cpp io realm internal sync OsSubscription cpp line 71_x000D_
                      at io realm internal sync OsSubscription nativeStartListening(Native Method)_x000D_
                      at io realm internal sync OsSubscription addChangeListener(OsSubscription java:101)_x000D_
                      at io realm internal SubscriptionAwareOsResults  init (SubscriptionAwareOsResults java:54)_x000D_
                      at io realm internal SubscriptionAwareOsResults createFromQuery(SubscriptionAwareOsResults java:46)_x000D_
                      at io realm RealmQuery createRealmResults(RealmQuery java:2014)_x000D_
                      at io realm RealmQuery findAllAsync(RealmQuery java:1783)_x000D_
                      at model model Wallet autoId(Wallet java:109)_x000D_
                      at model model Wallet lambda createEmptyWallet 0 Wallet(Wallet java:71)_x000D_
                      at model model Wallet  Lambda 0 call(Unknown Source)_x000D_
                      at model model Wallet  init (Wallet java:49)_x000D_
                      at model model Wallet createEmptyWallet(Wallet java:70)_x000D_
                      at model model Wallet getCurrentWallet(Wallet java:60)_x000D_
                      at uit money activity LoginActivity lambda initializeListener 0 LoginActivity(LoginActivity java:39)_x000D_
                      at uit money activity LoginActivity  Lambda 0 call(Unknown Source)_x000D_
                      at uit money facebook Credential lambda checkAndLogin 0 Credential(Credential java:46)_x000D_
                      at uit money facebook Credential  Lambda 0 call(Unknown Source)_x000D_
                      at uit money facebook Credential 2 onSuccess(Credential java:62)_x000D_
                      at uit money facebook Credential 2 onSuccess(Credential java:52)_x000D_
                      at io realm SyncUser Request 3 run(SyncUser java:695)_x000D_
                      at android os Handler handleCallback(Handler java:751)_x000D_
                      at android os Handler dispatchMessage(Handler java:95)_x000D_
                      at android os Looper loop(Looper java:154)_x000D_
                      at android app ActivityThread main(ActivityThread java:6776)_x000D_
                      at java lang reflect Method invoke(Native Method)_x000D_
                      at com android internal os ZygoteInit MethodAndArgsCaller run(ZygoteInit java:1496)_x000D_
                      at com android internal os ZygoteInit main(ZygoteInit java:1386)_x000D_
   _x000D_
  image (https:  user images githubusercontent com 11532116 39671698 d5843138 5147 11e8 82e3 cb17feef1d9f png)_x000D_
</t>
  </si>
  <si>
    <t>Doctoror-PainlessMusicPlayer-4</t>
  </si>
  <si>
    <t>Crash on shared element transition</t>
  </si>
  <si>
    <t xml:space="preserve">The problem:_x000D_
Cursors in  CursorRecyclerAdapter  are cleared  onStop   sometimes causing crash in shared element transitions because the views no longer attached to the adapter after  onStop  _x000D_
_x000D_
Steps to reproduce:_x000D_
   go to tracks search_x000D_
   perform search_x000D_
   click on found item_x000D_
_x000D_
Expected results:_x000D_
shared element transition to NowPlayingActivity_x000D_
_x000D_
Observed results:_x000D_
   _x000D_
java lang NullPointerException: Attempt to invoke virtual method  void android view ViewGroup transformMatrixToGlobal(android graphics Matrix)  on a null object reference_x000D_
    at android view GhostView calculateMatrix(GhostView java:89)_x000D_
    at android app ActivityTransitionCoordinator GhostViewListeners onPreDraw(ActivityTransitionCoordinator java:967)_x000D_
    at android view ViewTreeObserver dispatchOnPreDraw(ViewTreeObserver java:944)_x000D_
   _x000D_
_x000D_
All proposed solutions have drawbacks:_x000D_
1) Dispose Cursor  onDestroy   Drawbacks: we will have opened cursors while in background  which is not that good _x000D_
_x000D_
2) Make View snapshot for transition  Drawbacks: high complexity and more code </t>
  </si>
  <si>
    <t>EntireNewsProject-Android-App-12</t>
  </si>
  <si>
    <t>App crashes after altering sources in the settings menu</t>
  </si>
  <si>
    <t xml:space="preserve">When we go to select sources under the settings menu and change sources that are shown then the app crashed when going back to the app home page _x000D_
_x000D_
Below is the instructions to recreate the bug _x000D_
_x000D_
Homepage     Settings Menu     Select Sources     Change few displayed sources     Click back to go to settings page    Click back to go to home page        App crashed   </t>
  </si>
  <si>
    <t>geopaparazzi-geopaparazzi-485</t>
  </si>
  <si>
    <t>Profile: adding/removing project to profile does not work</t>
  </si>
  <si>
    <t xml:space="preserve">Create a new profile  add  basemap  overlay  and then a project file   While the project file is shown properly in the Profile cardview  it is not shown on the Main View s Project Info view (the previous project is shown) _x000D_
_x000D_
Removing the project form the Profile seems to work but it  but leaves behind some text on the card view:_x000D_
Name_x000D_
    0_x000D_
Path_x000D_
     storage emulated_x000D_
_x000D_
Viewing the project info caused Geopaparazzi to crash: unknown error (code  14) Could not open database </t>
  </si>
  <si>
    <t>getodk-collect-2167</t>
  </si>
  <si>
    <t>User is not able to see the form download results when app is minimized</t>
  </si>
  <si>
    <t xml:space="preserve">     _x000D_
_x000D_
Thank you for taking the time to report an ODK Collect issue _x000D_
_x000D_
This space is for submitting problems and feature requests  For general usage  form design questions and for ODK Collect source code questions  please visit ODK forum: https:  forum opendatakit org_x000D_
_x000D_
Before filling this form  visit https:  github com opendatakit collect issues q is 3Aissue and search to see whether your issue was already reported or fixed  If you find a match  comment on it or add a  1 rather than posting a new issue  If you find a problem you know how to fix  submit a pull request   _x000D_
_x000D_
For all problem reports  please use the template below  Also include any relevant stack traces or error messages _x000D_
_x000D_
For feature requests  please include the problem description (what problem do you have that can t currently be solved ) and a proposed solution if you have one in mind (optional)  You can delete the template  _x000D_
_x000D_
   _x000D_
_x000D_
     Software and hardware versions _x000D_
Collect v1 14 x _x000D_
_x000D_
     Problem description_x000D_
User is not able to see dialog showing form download results when Google Sheets is selected as server  App crashes but the user is not able to notice  I m able to notice this through logs and then comparing form downloading behaviour when the Aggregate server is used _x000D_
     Steps to reproduce the problem_x000D_
_x000D_
1  Set Platform as  Google Drive  Google Sheets _x000D_
2   Get Blank Form _x000D_
3  Select any form_x000D_
4  Tap on  Download Selected _x000D_
5  Tap on  Home button  or  Switch app  to minimize the  Collect app _x000D_
6  Open app again_x000D_
_x000D_
The user is not able to see the dialog showing the form download result as it is shown when the aggregate server is selected _x000D_
_x000D_
     Expected behavior_x000D_
User should be able to see the dialog showing form download result _x000D_
     Other information _x000D_
  ezgif com video to gif (https:  user images githubusercontent com 18495162 39650962 b7a092b0 5007 11e8 9d91 ac04fd19a773 gif)_x000D_
_x000D_
   _x000D_
05 05 01:23:41 945 13324 13324 org odk collect android E AndroidRuntime: FATAL EXCEPTION: main_x000D_
                                                                         Process: org odk collect android  PID: 13324_x000D_
                                                                         java lang NullPointerException: Attempt to invoke interface method  void org odk collect android listeners GoogleDriveFormDownloadListener formDownloadComplete(java util HashMap)  on a null object reference_x000D_
                                                                             at org odk collect android activities GoogleDriveActivity GetFileTask onPostExecute(GoogleDriveActivity java:863)_x000D_
                                                                             at org odk collect android activities GoogleDriveActivity GetFileTask onPostExecute(GoogleDriveActivity java:801)_x000D_
                                                                             at android os AsyncTask finish(AsyncTask java:667)_x000D_
                                                                             at android os AsyncTask  wrap1(AsyncTask java)_x000D_
                                                                             at android os AsyncTask InternalHandler handleMessage(AsyncTask java:684)_x000D_
                                                                             at android os Handler dispatchMessage(Handler java:102)_x000D_
                                                                             at android os Looper loop(Looper java:163)_x000D_
                                                                             at android app ActivityThread main(ActivityThread java:6221)_x000D_
                                                                             at java lang reflect Method invoke(Native Method)_x000D_
                                                                             at com android internal os ZygoteInit MethodAndArgsCaller run(ZygoteInit java:904)_x000D_
                                                                             at com android internal os ZygoteInit main(ZygoteInit java:794)_x000D_
   </t>
  </si>
  <si>
    <t>dashevo-dash-wallet-107</t>
  </si>
  <si>
    <t>Loading Key Backup File Crash</t>
  </si>
  <si>
    <t xml:space="preserve">Loading a backup from over 3 years ago will crash the app   These backups do not have keychains _x000D_
_x000D_
   _x000D_
org bitcoinj wallet DeterministicUpgradeRequiredException_x000D_
at org bitcoinj wallet KeyChainGroup getActiveKeyChain(KeyChainGroup java:256)_x000D_
at org bitcoinj wallet Wallet getKeyChainSeed(Wallet java:1086)_x000D_
at org bitcoinj wallet Wallet addKeyChain(Wallet java:5381)_x000D_
at de schildbach wallet ui WalletActivity upgradeWalletKeyChains(WalletActivity java:1101)_x000D_
at de schildbach wallet ui WalletActivity restoreWallet(WalletActivity java:970)_x000D_
at de schildbach wallet ui WalletActivity restoreWalletFromEncrypted(WalletActivity java:883)_x000D_
at de schildbach wallet ui WalletActivity access 500(WalletActivity java:105)_x000D_
at de schildbach wallet ui WalletActivity 9 onClick(WalletActivity java:553)_x000D_
at com android internal app AlertController ButtonHandler handleMessage(AlertController java:163)_x000D_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t>
  </si>
  <si>
    <t>microsoft-EmbeddedSocial-Android-SDK-91</t>
  </si>
  <si>
    <t>NPE in code path through EmbeddedSocial.initGlobalObjects()</t>
  </si>
  <si>
    <t xml:space="preserve">  Summary:   _x000D_
_x000D_
I m seeing this NPE with 18 occurrences in OneBusAway Android in the Android Developer Console:_x000D_
_x000D_
   _x000D_
Caused by: java lang NullPointerException: _x000D_
  at com microsoft embeddedsocial ui c a  init  (Unknown Source)_x000D_
  at com microsoft embeddedsocial sdk EmbeddedSocial initGlobalObjects (Unknown Source)_x000D_
  at com microsoft embeddedsocial sdk EmbeddedSocial init (Unknown Source)_x000D_
  at org onebusaway android app Application setUpSocial (Application java:579)_x000D_
  at org onebusaway android app Application onCreate (Application java:111)_x000D_
  at android app Instrumentation callApplicationOnCreate (Instrumentation java:1032)_x000D_
  at android app ActivityThread handleBindApplication (ActivityThread java:5881)_x000D_
   _x000D_
_x000D_
   from Samsung Galaxy S7 devices (Sprint and Verizon) and:_x000D_
_x000D_
   _x000D_
Caused by: java lang NullPointerException: _x000D_
  at com microsoft embeddedsocial ui c a  init  (Unknown Source)_x000D_
  at com microsoft embeddedsocial sdk EmbeddedSocial initGlobalObjects (Unknown Source)_x000D_
  at com microsoft embeddedsocial sdk EmbeddedSocial init (Unknown Source)_x000D_
  at org onebusaway android app Application setUpSocial (Application java:579)_x000D_
  at org onebusaway android app Application onCreate (Application java:111)_x000D_
  at android app Instrumentation callApplicationOnCreate (Instrumentation java:1037)_x000D_
  at android app ActivityThread handleBindApplication (ActivityThread java:6499)_x000D_
   _x000D_
_x000D_
   from Galaxy J3 and J1 devices _x000D_
_x000D_
  EDIT May 17   Unobfuscated stack trace is below:  _x000D_
_x000D_
   _x000D_
Caused by: java lang NullPointerException: _x000D_
  at com microsoft embeddedsocial ui notification NotificationController  init  (NotificationController java)_x000D_
  at com microsoft embeddedsocial sdk EmbeddedSocial initGlobalObjects (EmbeddedSocial java)_x000D_
  at com microsoft embeddedsocial sdk EmbeddedSocial init (EmbeddedSocial java)_x000D_
  at org onebusaway android app Application setUpSocial (Application java:579)_x000D_
  at org onebusaway android app Application onCreate (Application java:111)_x000D_
  at android app Instrumentation callApplicationOnCreate (Instrumentation java:1037)_x000D_
  at android app ActivityThread handleBindApplication (ActivityThread java:6499)_x000D_
  at android app ActivityThread access 1800 (ActivityThread java:231)_x000D_
  at android app ActivityThread H handleMessage (ActivityThread java:1889)_x000D_
  at android os Handler dispatchMessage (Handler java:102)_x000D_
  at android os Looper loop (Looper java:148)_x000D_
  at android app ActivityThread main (ActivityThread java:7422)_x000D_
  at java lang reflect Method invoke (Method java)_x000D_
  at com android internal os ZygoteInit MethodAndArgsCaller run (ZygoteInit java:1230)_x000D_
  at com android internal os ZygoteInit main (ZygoteInit java:1120)_x000D_
   _x000D_
_x000D_
Looks to be the same error  but it s in the obfuscated part of the ES SDK   We ll need the Proguard mapping file to debug further to see the method name for     ui c a  _x000D_
_x000D_
  Steps to reproduce:   _x000D_
_x000D_
Unknown (reported via Android Developer Console)_x000D_
_x000D_
  Expected behavior:   _x000D_
_x000D_
Not crash_x000D_
_x000D_
  Observed behavior:   _x000D_
_x000D_
Crash_x000D_
_x000D_
  Device and Android version:   _x000D_
_x000D_
Samsung Galaxy S7  J3  and J1 devices (Android 7 0 for S7 and Android 6 0 for J3 and J1)</t>
  </si>
  <si>
    <t>mapbox-mapbox-events-android-132</t>
  </si>
  <si>
    <t>LocationEngineProvider crash when obtainBestLocationEngineAvailable()</t>
  </si>
  <si>
    <t xml:space="preserve">Hi guys _x000D_
_x000D_
I follow your example to get location but app crash _x000D_
_x000D_
Device : _x000D_
Samsung Galaxy S8 _x000D_
Android : 8 0 0_x000D_
_x000D_
My code : _x000D_
   java_x000D_
locationEngine   new LocationEngineProvider(context) obtainBestLocationEngineAvailable() _x000D_
   Same crash if I do locationEngine   new LocationEngineProvider(context) obtainLocationEngineBy(LocationEngine Type GOOGLE PLAY SERVICES) _x000D_
locationEngine activate() _x000D_
locationEngine addLocationEngineListener(this) _x000D_
   _x000D_
_x000D_
There is my gradle : _x000D_
   _x000D_
implementation( com mapbox mapboxsdk:mapbox android sdk:6 0 1 )  _x000D_
        transitive true_x000D_
     _x000D_
implementation  com mapbox mapboxsdk:mapbox android core:0 2 0 _x000D_
implementation  com mapbox mapboxsdk:mapbox android navigation:0 13 0 SNAPSHOT _x000D_
implementation( com mapbox mapboxsdk:mapbox android navigation ui:0 13 0 SNAPSHOT )  _x000D_
        transitive   true_x000D_
     _x000D_
implementation  com mapbox mapboxsdk:mapbox android plugin locationlayer:0 5 0 _x000D_
implementation  com google android gms:play services base:15 0 1 _x000D_
implementation  com google android gms:play services location:15 0 1 _x000D_
implementation  com mapzen android:lost:3 0 4 _x000D_
   _x000D_
_x000D_
And the crash : _x000D_
   _x000D_
05 03 12:24:49 612 25048 25048 com app E AndroidRuntime: FATAL EXCEPTION: main_x000D_
    Process: com app  PID: 25048_x000D_
    java lang NullPointerException: Attempt to invoke interface method  void com mapbox android core location UpdateGoogleRequestPriority update(com google android gms location LocationRequest)  on a null object reference_x000D_
        at com mapbox android core location GoogleLocationEngine updateRequestPriority(GoogleLocationEngine java:167)_x000D_
        at com mapbox android core location GoogleLocationEngine requestLocationUpdates(GoogleLocationEngine java:129)_x000D_
        at com app positionning PositionningMapbox onConnected(PositionningMapbox java:147)_x000D_
        at com mapbox android core location GoogleLocationEngine onConnected(GoogleLocationEngine java:93)_x000D_
        at com google android gms common internal GmsClientEventManager onConnectionSuccess(Unknown Source:109)_x000D_
        at com google android gms common api internal zzav zzb(Unknown Source:22)_x000D_
        at com google android gms common api internal zzaj zzat(Unknown Source:92)_x000D_
        at com google android gms common api internal zzaj onConnected(Unknown Source:21)_x000D_
        at com google android gms common api internal zzbd onConnected(Unknown Source:7)_x000D_
        at com google android gms common api internal zzp onConnected(Unknown Source:5)_x000D_
        at com google android gms common internal zzf onConnected(Unknown Source:2)_x000D_
        at com google android gms common internal BaseGmsClient PostInitCallback handleServiceSuccess(Unknown Source:131)_x000D_
        at com google android gms common internal BaseGmsClient zza deliverCallback(Unknown Source:62)_x000D_
        at com google android gms common internal BaseGmsClient zza deliverCallback(Unknown Source:2)_x000D_
        at com google android gms common internal BaseGmsClient CallbackProxy deliverCallback(Unknown Source:52)_x000D_
        at com google android gms common internal BaseGmsClient zzb handleMessage(Unknown Source:270)_x000D_
        at android os Handler dispatchMessage(Handler java:105)_x000D_
        at android os Looper loop(Looper java:164)_x000D_
        at android app ActivityThread main(ActivityThread java:6938)_x000D_
        at java lang reflect Method invoke(Native Method)_x000D_
        at com android internal os Zygote MethodAndArgsCaller run(Zygote java:327)_x000D_
        at com android internal os ZygoteInit main(ZygoteInit java:1374)_x000D_
   _x000D_
_x000D_
Any ideas  </t>
  </si>
  <si>
    <t>Maxr1998-MaxLock-136</t>
  </si>
  <si>
    <t>Task thumbnail hiding broken on Marshmallow</t>
  </si>
  <si>
    <t xml:space="preserve">Hello _x000D_
Maxlock has started crashing too much and spamming xposed log and draining battery life  Here s the log attached  I have disabled it at the moment _x000D_
 error log (https:  github com Maxr1998 MaxLock files 1969308 error log)_x000D_
_x000D_
Please fix this  Thanks for the nice app _x000D_
</t>
  </si>
  <si>
    <t>nextcloud-android-2538</t>
  </si>
  <si>
    <t>Crash when new version download fails</t>
  </si>
  <si>
    <t xml:space="preserve">    Actual behaviour_x000D_
  After marking a file to be available offline the app checks every time before openimg it if a newer version is available (which is anoying when the network is bad) and it crashes when the network goes down_x000D_
_x000D_
    Expected behaviour_x000D_
  Don t check for newer files or at least stop it when the server doesn t respond after a second or two _x000D_
 _x000D_
    Steps to reproduce_x000D_
See actual behavior_x000D_
_x000D_
_x000D_
    Environment data_x000D_
Android version:_x000D_
8 0 0_x000D_
_x000D_
Device model: _x000D_
OnePlus 3t_x000D_
_x000D_
Stock or customized system:_x000D_
Stock_x000D_
_x000D_
Nextcloud app version:_x000D_
3 1 0_x000D_
_x000D_
Nextcloud server version:_x000D_
13 0 2_x000D_
_x000D_
    Logs_x000D_
Not available_x000D_
</t>
  </si>
  <si>
    <t>commons-app-apps-android-commons-1483</t>
  </si>
  <si>
    <t>java.io.FileNotFoundException: /jacoco.exec (Read-only file system)</t>
  </si>
  <si>
    <t xml:space="preserve">  Summary:   _x000D_
_x000D_
If I log out and log back in again  opening Nearby will reliably cause this crash for me the first time I do that _x000D_
_x000D_
  Add System logs:  _x000D_
_x000D_
   _x000D_
04 30 18:13:55 897 7145 7145 fr free nrw commons debug W System err: java io FileNotFoundException:  jacoco exec (Read only file system)_x000D_
        at java io FileOutputStream open(Native Method)_x000D_
        at java io FileOutputStream  init (FileOutputStream java:221)_x000D_
        at org jacoco agent rt internal 773e439 output FileOutput openFile(FileOutput java:67)_x000D_
        at org jacoco agent rt internal 773e439 output FileOutput startup(FileOutput java:49)_x000D_
        at org jacoco agent rt internal 773e439 Agent startup(Agent java:122)_x000D_
        at org jacoco agent rt internal 773e439 Agent getInstance(Agent java:50)_x000D_
        at org jacoco agent rt internal 773e439 Offline  clinit (Offline java:31)_x000D_
        at org jacoco agent rt internal 773e439 Offline getProbes(Offline java:51)_x000D_
        at fr free nrw commons CommonsApplication  jacocoInit(CommonsApplication java)_x000D_
        at fr free nrw commons CommonsApplication  init (CommonsApplication java)_x000D_
        at java lang Class newInstance(Native Method)_x000D_
        at android app Instrumentation newApplication(Instrumentation java:1007)_x000D_
04 30 18:13:55 898 7145 7145 fr free nrw commons debug W System err:     at android app Instrumentation newApplication(Instrumentation java:992)_x000D_
        at android app LoadedApk makeApplication(LoadedApk java:796)_x000D_
        at android app ActivityThread handleBindApplication(ActivityThread java:5377)_x000D_
        at android app ActivityThread  wrap2(ActivityThread java)_x000D_
        at android app ActivityThread H handleMessage(ActivityThread java:1545)_x000D_
        at android os Handler dispatchMessage(Handler java:102)_x000D_
        at android os Looper loop(Looper java:154)_x000D_
        at android app ActivityThread main(ActivityThread java:6119)_x000D_
        at java lang reflect Method invoke(Native Method)_x000D_
        at com android internal os ZygoteInit MethodAndArgsCaller run(ZygoteInit java:886)_x000D_
        at com android internal os ZygoteInit main(ZygoteInit java:776)_x000D_
   _x000D_
_x000D_
  Device and Android version:   _x000D_
_x000D_
Nexus S API 25_x000D_
 _x000D_
   Commons app version:   _x000D_
_x000D_
2 7 1 prod debug build _x000D_
_x000D_
_x000D_
  Would you like to work on the issue   _x000D_
_x000D_
Preferably not_x000D_
</t>
  </si>
  <si>
    <t>commons-app-apps-android-commons-1480</t>
  </si>
  <si>
    <t>Nearby crashes after logging out and in</t>
  </si>
  <si>
    <t xml:space="preserve">  Summary:   _x000D_
_x000D_
Nearby crashes after logging out and in _x000D_
_x000D_
  Steps to reproduce:   _x000D_
_x000D_
Open app  open nearby  log out  log in  open nearby again_x000D_
_x000D_
  Add System logs:  _x000D_
   _x000D_
E LocationServiceManager: Security exception_x000D_
                                                                                 java lang SecurityException:  network  location provider requires ACCESS COARSE LOCATION or ACCESS FINE LOCATION permission _x000D_
                                                                                     at android os Parcel readException(Parcel java:1599)_x000D_
                                                                                     at android os Parcel readException(Parcel java:1552)_x000D_
                                                                                     at android location ILocationManager Stub Proxy requestLocationUpdates(ILocationManager java:606)_x000D_
                                                                                     at android location LocationManager requestLocationUpdates(LocationManager java:880)_x000D_
                                                                                     at android location LocationManager requestLocationUpdates(LocationManager java:464)_x000D_
                                                                                     at fr free nrw commons location LocationServiceManager requestLocationUpdatesFromProvider(LocationServiceManager java:123)_x000D_
                                                                                     at fr free nrw commons location LocationServiceManager registerLocationManager(LocationServiceManager java:111)_x000D_
                                                                                     at fr free nrw commons nearby NearbyActivity onStart(NearbyActivity java:299)_x000D_
                                                                                     at android app Instrumentation callActivityOnStart(Instrumentation java:1237)_x000D_
                                                                                     at android app Activity performStart(Activity java:6253)_x000D_
                                                                                     at android app ActivityThread performLaunchActivity(ActivityThread java:2379)_x000D_
                                                                                     at android app ActivityThread handleLaunchActivity(ActivityThread java:2476)_x000D_
                                                                                     at android app ActivityThread  wrap11(ActivityThread java)_x000D_
                                                                                     at android app ActivityThread H handleMessage(ActivityThread java:1344)_x000D_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_x000D_
_x000D_
  Device and Android version:   _x000D_
_x000D_
API level 19_x000D_
 _x000D_
   Commons app version:   _x000D_
_x000D_
current master_x000D_
_x000D_
</t>
  </si>
  <si>
    <t>dashevo-dash-wallet-106</t>
  </si>
  <si>
    <t>Crash on Setting PIN #2</t>
  </si>
  <si>
    <t xml:space="preserve">This has happened twice  both on Android 6 _x000D_
One crash on 5 17 5_x000D_
One crash on 5 18_x000D_
_x000D_
This is not a new crash _x000D_
_x000D_
   _x000D_
Today  6:32 AM on app version 51800_x000D_
Motorola Moto G (2nd Gen) (titan umts)  1024MB RAM  Android 6 0_x000D_
Report 1 of 2_x000D_
_x000D_
java lang IllegalStateException: _x000D_
  at android app FragmentManagerImpl checkStateLoss (FragmentManager java:1413)_x000D_
  at android app FragmentManagerImpl enqueueAction (FragmentManager java:1431)_x000D_
  at android app BackStackRecord commitInternal (BackStackRecord java:687)_x000D_
  at android app BackStackRecord commit (BackStackRecord java:663)_x000D_
  at android app DialogFragment dismissInternal (DialogFragment java:301)_x000D_
  at android app DialogFragment dismiss (DialogFragment java:267)_x000D_
  at de schildbach wallet ui EncryptKeysDialogFragment 3 1 1 run (EncryptKeysDialogFragment java:328)_x000D_
  at android os Handler handleCallback (Handler java:746)_x000D_
  at android os Handler dispatchMessage (Handler java:95)_x000D_
  at android os Looper loop (Looper java:148)_x000D_
  at android app ActivityThread main (ActivityThread java:5443)_x000D_
  at java lang reflect Method invoke (Native Method)_x000D_
  at com android internal os ZygoteInit MethodAndArgsCaller run (ZygoteInit java:728)_x000D_
  at com android internal os ZygoteInit main (ZygoteInit java:618)_x000D_
   </t>
  </si>
  <si>
    <t>ozelevrim-EvrimNews-78</t>
  </si>
  <si>
    <t>Fix Fragment bug</t>
  </si>
  <si>
    <t>When clicked on the main category bugs on Main2Activity  the app will crash because of bad usage of the command gotoActivity() _x000D_
_x000D_
(Activity should be fragment  but command is unknown )</t>
  </si>
  <si>
    <t>mapbox-mapbox-plugins-android-474</t>
  </si>
  <si>
    <t>Plugin layer crash on Samsung Galaxy Note3</t>
  </si>
  <si>
    <t xml:space="preserve">Hello _x000D_
I ve use Mapbox SDK for Android ver 6 0 1 with location layer plugin v 5 0 0 _x000D_
Today found crash on fabric statistic :_x000D_
Galaxy Note3  android 4 3 _x000D_
_x000D_
Fatal Exception: java lang IllegalArgumentException: R array length must be 3 or 4_x000D_
       at android hardware SensorManager getRotationMatrixFromVector(SensorManager java:1336)_x000D_
       at com mapbox mapboxsdk plugins locationlayer CompassManager updateOrientation(CompassManager java:129)_x000D_
       at com mapbox mapboxsdk plugins locationlayer CompassManager onSensorChanged(CompassManager java:107)_x000D_
       at android hardware SystemSensorManager SensorEventQueue dispatchSensorEvent(SystemSensorManager java:463)_x000D_
       at android os MessageQueue nativePollOnce(MessageQueue java)_x000D_
       at android os MessageQueue next(MessageQueue java:132)_x000D_
       at android os Looper loop(Looper java:124)_x000D_
       at android app ActivityThread main(ActivityThread java:5450)_x000D_
       at java lang reflect Method invokeNative(Method java)_x000D_
       at java lang reflect Method invoke(Method java:525)_x000D_
       at com android internal os ZygoteInit MethodAndArgsCaller run(ZygoteInit java:1187)_x000D_
       at com android internal os ZygoteInit main(ZygoteInit java:1003)_x000D_
       at dalvik system NativeStart main(NativeStart java)  _x000D_
_x000D_
Looks like old issue fixed on old location view:_x000D_
https:  github com mapbox mapbox gl native issues 9745 _x000D_
</t>
  </si>
  <si>
    <t>AniTrend-anitrend-app-28</t>
  </si>
  <si>
    <t>Notification Crashes &amp; Missing Entries In User Progress</t>
  </si>
  <si>
    <t xml:space="preserve">  Notifications cause the crash when binding a notification of thread type _x000D_
  Users profile progress page only returns anime  which is potentially a GraphQL query issue_x000D_
  Every time the application checks for a notification it reports it as a new notification_x000D_
  Create new account doesn t seem to be working because of text formatting</t>
  </si>
  <si>
    <t>evernote-android-job-442</t>
  </si>
  <si>
    <t>crash in v21.PlatformJobService.onStopJob</t>
  </si>
  <si>
    <t xml:space="preserve">We are getting a lot of these crashes reported in Google Play  but only on Android 7 1:_x000D_
   _x000D_
java lang IllegalStateException: _x000D_
  at com evernote android job JobManager instance (JobManager java:139)_x000D_
  at com evernote android job v21 PlatformJobService onStopJob (PlatformJobService java:99)_x000D_
  at android app job JobService JobHandler handleMessage (JobService java:152)_x000D_
  at android os Handler dispatchMessage (Handler java:102)_x000D_
  at android os Looper loop (Looper java:241)_x000D_
  at android app ActivityThread main (ActivityThread java:6274)_x000D_
  at java lang reflect Method invoke (Method java)_x000D_
  at com android internal os ZygoteInit MethodAndArgsCaller run (ZygoteInit java:886)_x000D_
  at com android internal os ZygoteInit main (ZygoteInit java:776)_x000D_
   _x000D_
_x000D_
It seems the platform calls  v21 PlatformJobService onStopJob  prior to  Application onCreate  where the JobManager is created _x000D_
_x000D_
Here is out code: https:  github com tuskyapp Tusky_x000D_
_x000D_
_x000D_
</t>
  </si>
  <si>
    <t>syncthing-syncthing-android-1075</t>
  </si>
  <si>
    <t>fix DevicesAdapter NullPtr exception</t>
  </si>
  <si>
    <t xml:space="preserve">Purpose_x000D_
This PR is a follow up to PR https:  github com syncthing syncthing android pull 1072  _x000D_
Intends to fix a mistake I unfortunately made which causes syncthing to crash with a NullPtr exception _x000D_
It was a logical error </t>
  </si>
  <si>
    <t>mapbox-mapbox-plugins-android-470</t>
  </si>
  <si>
    <t>LocationLayerPlugin not visible after setting mapStyleUrl or random crashes</t>
  </si>
  <si>
    <t>Hello  in onMapReady I am initializing the locationlayerplugin  Immediately after I am setting the map style through the method map setMapStyleUrl  The plugin is not visible and sometimes we are experiencing crashes immediately after the callback onStyleLoaded gets called  Reproduces always on 0 5 0 with maps sdk 6 0 1</t>
  </si>
  <si>
    <t>nextcloud-android-2529</t>
  </si>
  <si>
    <t xml:space="preserve">    Actual behaviour_x000D_
  I try to upload pictures  When going to dcim camera folder in my phone app crash immediately  _x000D_
_x000D_
    Expected behaviour_x000D_
  I should see pictures in my phone  _x000D_
There are 1096 files and 3 folders  _x000D_
 _x000D_
    Steps to reproduce_x000D_
1  Go to upload ( ) _x000D_
2  Choose dcim  camera_x000D_
3  _x000D_
_x000D_
_x000D_
    Environment data_x000D_
Android version:_x000D_
8 0 0_x000D_
Device model: Samsung S8_x000D_
_x000D_
Stock or customized system: stock_x000D_
_x000D_
Nextcloud app version: dev 20180427_x000D_
_x000D_
Nextcloud server version: 13 0 2_x000D_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</si>
  <si>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ardevd-habitat-5</t>
  </si>
  <si>
    <t>Log table not created for users that update to v1.0.7</t>
  </si>
  <si>
    <t xml:space="preserve">Since the database version is not incremented  existing users who update the app will experience crashes every time the log table is interacted with  </t>
  </si>
  <si>
    <t>nextcloud-android-2527</t>
  </si>
  <si>
    <t>App craches using grid view during upload and scrolling</t>
  </si>
  <si>
    <t xml:space="preserve">    Actual behaviour_x000D_
  When uploading new files and selecting grid view and scrolling through the list the app crashes _x000D_
_x000D_
    Expected behaviour_x000D_
  The app not crashing _x000D_
 _x000D_
    Steps to reproduce_x000D_
1  Choose a folder_x000D_
2  Click the     sign at the bottom right_x000D_
3  Select  Upload Files _x000D_
4  Select a folder with a lot of files so you need to scroll  in my case my DCIM Camera folder _x000D_
5  Enable grid view using the 3dot menu top right _x000D_
6  Scroll slow fast  select a file or something  after a few scrolling attempts the app crashes _x000D_
_x000D_
    Environment data_x000D_
Android version: 8 1 0 and 7 0_x000D_
_x000D_
Device model: Nexus 5X and Galaxy S6 (SM G920F)_x000D_
_x000D_
Stock or customized system: Stock_x000D_
_x000D_
Nextcloud app version: 20180425_x000D_
_x000D_
Nextcloud server version: Owncloud 9 1 6 (I know i need to switch   upgrade  ) )_x000D_
_x000D_
    Logs_x000D_
     Web server error log_x000D_
   _x000D_
n a_x000D_
   _x000D_
_x000D_
     Nextcloud log (data nextcloud log)_x000D_
   _x000D_
n a_x000D_
   _x000D_
  NOTE:   Be super sure to remove sensitive data like passwords  note that everybody can look here  You can use the Issue Template application to prefill some of the required information: https:  apps nextcloud com apps issuetemplate_x000D_
</t>
  </si>
  <si>
    <t>twilio-video-quickstart-android-292</t>
  </si>
  <si>
    <t>Android app crash due to EGL context</t>
  </si>
  <si>
    <t xml:space="preserve">Android APP crash and the error is  Failed to create EGL context _x000D_
Please consider this issue on high priority as my application is live now _x000D_
_x000D_
Error Log is as below::_x000D_
                                                                                    _x000D_
04 16 11:50:16 826 11666 20413 blitzz co blitzztest I chatty: uid 10680(blitzz co blitzztest) expire 1 line_x000D_
04 16 11:50:23 486 11666 11666 blitzz co blitzztest I chatty: uid 10680(blitzz co blitzztest) expire 319 lines_x000D_
04 16 11:50:38 660 11666 11675 blitzz co blitzztest I chatty: uid 10680(blitzz co blitzztest) FinalizerDaemon expire 6 lines_x000D_
04 16 11:50:43 353 11666 11666 blitzz co blitzztest I chatty: uid 10680(blitzz co blitzztest) expire 111 lines_x000D_
04 16 11:50:45 465 11666 21368 blitzz co blitzztest I chatty: uid 10680(blitzz co blitzztest) expire 17 lines_x000D_
04 16 11:50:45 737 11666 21370 blitzz co blitzztest I chatty: uid 10680(blitzz co blitzztest) Measurement Wor expire 13 lines_x000D_
04 16 11:50:49 115 11666 21384 blitzz co blitzztest I chatty: uid 10680(blitzz co blitzztest) AsyncTask  79 expire 3 lines_x000D_
04 16 11:50:50 973 11666 21537 blitzz co blitzztest I chatty: uid 10680(blitzz co blitzztest) expire 9 lines_x000D_
04 16 11:50:54 242 11666 11666 blitzz co blitzztest I chatty: uid 10680(blitzz co blitzztest) expire 161 lines_x000D_
04 16 11:50:57 107 11666 21370 blitzz co blitzztest I chatty: uid 10680(blitzz co blitzztest) Measurement Wor expire 13 lines_x000D_
04 16 11:50:58 496 11666 21672 blitzz co blitzztest I chatty: uid 10680(blitzz co blitzztest) expire 12 lines_x000D_
04 16 11:51:03 841 11666 21368 blitzz co blitzztest I chatty: uid 10680(blitzz co blitzztest) expire 3 lines_x000D_
04 16 11:51:05 914 11666 11666 blitzz co blitzztest I chatty: uid 10680(blitzz co blitzztest) expire 67 lines_x000D_
04 16 11:51:08 902 11666 11671 blitzz co blitzztest I chatty: uid 10680(blitzz co blitzztest) Jit thread pool expire 3 lines_x000D_
04 16 11:51:08 919 11666 21384 blitzz co blitzztest I chatty: uid 10680(blitzz co blitzztest) AsyncTask  79 expire 3 lines_x000D_
04 16 11:51:10 112 11666 21537 blitzz co blitzztest I chatty: uid 10680(blitzz co blitzztest) expire 3 lines_x000D_
04 16 11:51:13 832 11666 21672 blitzz co blitzztest I chatty: uid 10680(blitzz co blitzztest) expire 3 lines_x000D_
04 16 11:51:14 857 11666 21370 blitzz co blitzztest I chatty: uid 10680(blitzz co blitzztest) Measurement Wor expire 1 line_x000D_
04 16 11:51:15 508 11666 21782 blitzz co blitzztest I chatty: uid 10680(blitzz co blitzztest) expire 1 line_x000D_
04 16 11:51:15 526 11666 17391 blitzz co blitzztest I chatty: uid 10680(blitzz co blitzztest) Thread 88 expire 9 lines_x000D_
04 16 11:51:15 547 11666 21782 blitzz co blitzztest I chatty: uid 10680(blitzz co blitzztest) expire 2 lines_x000D_
04 16 11:51:15 554 11666 11666 blitzz co blitzztest I chatty: uid 10680(blitzz co blitzztest) expire 12 lines_x000D_
04 16 11:51:15 591 11666 21370 blitzz co blitzztest I chatty: uid 10680(blitzz co blitzztest) Measurement Wor expire 1 line_x000D_
04 16 11:51:15 616 11666 21818 blitzz co blitzztest I chatty: uid 10680(blitzz co blitzztest) twilio localvie expire 1 line_x000D_
04 16 11:51:15 634 11666 21830 blitzz co blitzztest I chatty: uid 10680(blitzz co blitzztest) twilioopponentV expire 1 line_x000D_
04 16 11:51:15 645 11666 21833 blitzz co blitzztest I chatty: uid 10680(blitzz co blitzztest) twiliolocalView expire 1 line_x000D_
04 16 11:51:15 676 11666 21782 blitzz co blitzztest I chatty: uid 10680(blitzz co blitzztest) expire 3 lines_x000D_
04 16 11:51:15 740 11666 11666 blitzz co blitzztest I chatty: uid 10680(blitzz co blitzztest) expire 1 line_x000D_
04 16 11:51:15 793 11666 17394 blitzz co blitzztest I chatty: uid 10680(blitzz co blitzztest) WebRtcVolumeLev expire 1 line_x000D_
04 16 11:51:15 814 11666 11677 blitzz co blitzztest I chatty: uid 10680(blitzz co blitzztest) HeapTaskDaemon expire 1 line_x000D_
04 16 11:51:16 075 11666 21782 blitzz co blitzztest I chatty: uid 10680(blitzz co blitzztest) expire 2 lines_x000D_
04 16 11:51:17 305 11666 11666 blitzz co blitzztest I chatty: uid 10680(blitzz co blitzztest) expire 17 lines_x000D_
04 16 11:51:20 520 11666 17391 blitzz co blitzztest I chatty: uid 10680(blitzz co blitzztest) Thread 88 expire 34 lines_x000D_
04 16 11:51:20 588 11666 21916 blitzz co blitzztest I chatty: uid 10680(blitzz co blitzztest) expire 1 line_x000D_
04 16 11:51:25 799 11666 17394 blitzz co blitzztest I chatty: uid 10680(blitzz co blitzztest) WebRtcVolumeLev expire 1 line_x000D_
04 16 11:51:26 512 11666 21926 blitzz co blitzztest I chatty: uid 10680(blitzz co blitzztest) expire 1 line_x000D_
04 16 11:51:29 003 11666 21370 blitzz co blitzztest I chatty: uid 10680(blitzz co blitzztest) Measurement Wor expire 2 lines_x000D_
04 16 11:51:29 063 11666 11666 blitzz co blitzztest I chatty: uid 10680(blitzz co blitzztest) expire 11 lines_x000D_
04 16 11:51:29 156 11666 21370 blitzz co blitzztest I chatty: uid 10680(blitzz co blitzztest) Measurement Wor expire 1 line_x000D_
04 16 11:51:29 323 11666 11666 blitzz co blitzztest I chatty: uid 10680(blitzz co blitzztest) expire 16 lines_x000D_
04 16 11:51:29 551 11666 21370 blitzz co blitzztest I chatty: uid 10680(blitzz co blitzztest) Measurement Wor expire 1 line_x000D_
04 16 11:51:29 560 11666 11666 blitzz co blitzztest I chatty: uid 10680(blitzz co blitzztest) expire 13 lines_x000D_
04 16 11:51:29 594 11666 21945 blitzz co blitzztest I chatty: uid 10680(blitzz co blitzztest) expire 5 lines_x000D_
04 16 11:51:29 612 11666 21368 blitzz co blitzztest I chatty: uid 10680(blitzz co blitzztest) expire 1 line_x000D_
04 16 11:51:29 634 11666 11666 blitzz co blitzztest I chatty: uid 10680(blitzz co blitzztest) expire 32 lines_x000D_
04 16 11:51:30 745 11666 11677 blitzz co blitzztest I chatty: uid 10680(blitzz co blitzztest) HeapTaskDaemon expire 1 line_x000D_
04 16 11:51:31 039 11666 11666 blitzz co blitzztest I chatty: uid 10680(blitzz co blitzztest) expire 5 lines_x000D_
04 16 11:51:31 244 11666 21368 blitzz co blitzztest I chatty: uid 10680(blitzz co blitzztest) expire 2 lines_x000D_
04 16 11:51:31 480 11666 11666 blitzz co blitzztest I chatty: uid 10680(blitzz co blitzztest) expire 11 lines_x000D_
04 16 11:51:33 248 11666 11666 blitzz co blitzztest E ChatInquiryActivity: Annotation point   _x000D_
04 16 11:51:33 249 11666 11666 blitzz co blitzztest E ChatInquiryActivity: java lang NullPointerException: Attempt to invoke virtual method  java lang String org json JSONObject optString(java lang String)  on a null object reference_x000D_
04 16 11:51:33 380 11666 11666 blitzz co blitzztest E QBLeftImage path: https:  apiblitzz quickblox com blobs 813578f9a0bc4ff2a8d637d8a4b2546200 json token 2c6808d8bcd7db879b6916432a1b48e3e400b1c4_x000D_
04 16 11:51:33 381 11666 11666 blitzz co blitzztest E Load and save Image: isDirectoryExist : true_x000D_
04 16 11:51:33 381 11666 11666 blitzz co blitzztest E Load and save Image: isDirectoryExist : true_x000D_
04 16 11:51:33 381 11666 11666 blitzz co blitzztest E Load and save Image: isFileExist : false_x000D_
04 16 11:51:33 381 11666 11666 blitzz co blitzztest E Load and save Image: isDirectoryExist : true_x000D_
04 16 11:51:33 381 11666 11666 blitzz co blitzztest E Load and save Image: isDirectoryExist : true_x000D_
04 16 11:51:33 381 11666 11666 blitzz co blitzztest E Load and save Image: isDirectoryExist : true_x000D_
04 16 11:51:33 381 11666 11666 blitzz co blitzztest E Load and save Image: isFileExist : true_x000D_
04 16 11:51:33 397 11666 11666 blitzz co blitzztest E ChatInquiryActivity: addDateLabel   Apr 02  2018_x000D_
04 16 11:51:33 428 11666 11666 blitzz co blitzztest E ChatInquiryActivity: addDateLabel   Apr 04  2018_x000D_
04 16 11:51:33 434 11666 11666 blitzz co blitzztest E ChatInquiryActivity: addDateLabel   Apr 05  2018_x000D_
04 16 11:51:33 489 11666 11666 blitzz co blitzztest E updatemessagecalled: called for statusRead from Chatinquiryactivity_x000D_
04 16 11:51:33 489 11666 11666 blitzz co blitzztest E Message Staus Update: status to show in run:: Read_x000D_
04 16 11:51:33 553 11666 11666 blitzz co blitzztest E ChatInquiryActivity: addDateLabel   Apr 16  2018_x000D_
04 16 11:51:33 709 11666 11677 blitzz co blitzztest W art: Suspending all threads took: 11 344ms_x000D_
04 16 11:51:33 819 11666 11677 blitzz co blitzztest I art: Background partial concurrent mark sweep GC freed 165051(7MB) AllocSpace objects  40(11MB) LOS objects  20  free  60MB 76MB  paused 16 846ms total 672 983ms_x000D_
04 16 11:51:33 869 11666 11675 blitzz co blitzztest W SQLiteConnectionPool: A SQLiteConnection object for database   data user 0 blitzz co blitzztest databases Instachat log db  was leaked  Please fix your application to end transactions in progress properly and to close the database when it is no longer needed _x000D_
04 16 11:51:33 927 11666 11666 blitzz co blitzztest I Choreographer: Skipped 85 frames  The application may be doing too much work on its main thread _x000D_
04 16 11:51:34 003 11666 21956 blitzz co blitzztest I org webrtc Logging: EglBase14: SDK version: 24  isEGL14Supported: true_x000D_
04 16 11:51:34 050 11666 21928 blitzz co blitzztest I org webrtc Logging: MediaCodecVideoDecoder: Trying to find HW decoder for mime video x vnd on2 vp8_x000D_
04 16 11:51:34 050 11666 21928 blitzz co blitzztest I org webrtc Logging: MediaCodecVideoDecoder: Found candidate decoder OMX qcom video decoder vp8_x000D_
04 16 11:51:34 052 11666 21928 blitzz co blitzztest I org webrtc Logging: MediaCodecVideoDecoder: Found target decoder OMX qcom video decoder vp8  Color: 0x13_x000D_
04 16 11:51:34 053 11666 21928 blitzz co blitzztest I org webrtc Logging: MediaCodecVideoDecoder: Java initDecode: VIDEO CODEC VP8 : 640 x 480  Color: 0x13  Use Surface: true_x000D_
04 16 11:51:34 053 11666 21956 blitzz co blitzztest I org webrtc Logging: SurfaceTextureHelper: Setting listener to org webrtc MediaCodecVideoDecoder TextureListener 364973_x000D_
04 16 11:51:34 053 11666 21928 blitzz co blitzztest I org webrtc Logging: MediaCodecVideoDecoder: Format:  height 480  width 640  mime video x vnd on2 vp8 _x000D_
04 16 11:51:34 053 11666 21928 blitzz co blitzztest I MediaCodec: name OMX qcom video decoder vp8 isType false encoder false_x000D_
04 16 11:51:34 054 11666 21928 blitzz co blitzztest I MediaCodec: (0x6b8689c0) init name(OMX qcom video decoder vp8) isType(0) encoder(0)_x000D_
04 16 11:51:34 069 11666 21958 blitzz co blitzztest I OMXClient: MuxOMX ctor_x000D_
04 16 11:51:34 096 11666 11666 blitzz co blitzztest E Chatdetail: object initialization called_x000D_
04 16 11:51:34 096 11666 11666 blitzz co blitzztest E Message Staus Update: processMessageRead called: msgid: 5ac5af70992899281a00001euserid: 28275035_x000D_
04 16 11:51:34 100 11666 11666 blitzz co blitzztest E Message Staus Update: status to show in run:: Read_x000D_
04 16 11:51:34 102 11666 11666 blitzz co blitzztest E Message Staus Update: status to show in run:: Read_x000D_
04 16 11:51:34 102 11666 11666 blitzz co blitzztest E Chatdetail: object initialization called_x000D_
04 16 11:51:34 103 11666 11666 blitzz co blitzztest E Message Staus Update: processMessageRead called: msgid: 5ac4c768583c41cc3e885b4buserid: 28275035_x000D_
04 16 11:51:34 107 11666 11666 blitzz co blitzztest E Chatdetail: object initialization called_x000D_
04 16 11:51:34 107 11666 11666 blitzz co blitzztest E Message Staus Update: processMessageRead called: msgid: 5ac20a6adb7b5e30aed219a6userid: 28275035_x000D_
04 16 11:51:34 116 11666 11666 blitzz co blitzztest E Chatdetail: object initialization called_x000D_
04 16 11:51:34 116 11666 11666 blitzz co blitzztest E Message Staus Update: processMessageRead called: msgid: 5abcd4ed87310cc3fe820248userid: 28275035_x000D_
04 16 11:51:34 124 11666 11666 blitzz co blitzztest E ChatInquiryActivity: hidden part:: false_x000D_
04 16 11:51:34 125 11666 11666 blitzz co blitzztest E ChatInquiryActivity: hidden part:: false_x000D_
04 16 11:51:34 126 11666 11666 blitzz co blitzztest E ChatInquiryActivity: hidden part:: false_x000D_
04 16 11:51:34 169 11666 11666 blitzz co blitzztest E ChatInquiryActivity: hidden part:: false_x000D_
04 16 11:51:34 175 11666 11666 blitzz co blitzztest E ChatInquiryActivity: hidden part:: false_x000D_
04 16 11:51:34 186 11666 11666 blitzz co blitzztest E ChatInquiryActivity: hidden part:: false_x000D_
04 16 11:51:34 378 11666 21957 blitzz co blitzztest I MediaCodec: (0x6b8689c0) Component Allocated (OMX qcom video decoder vp8)_x000D_
04 16 11:51:34 380 11666 21928 blitzz co blitzztest I MediaCodec: (0x6b8689c0) configure surface(0x67b4ca00) crypto(0x0) flags(0)_x000D_
04 16 11:51:34 380 11666 21928 blitzz co blitzztest D MediaCodec: (0x6b8689c0) configure format: AMessage(what   0x00000000)    _x000D_
                                                                        int32 t height   480_x000D_
                                                                        int32 t width   640_x000D_
                                                                        string mime    video x vnd on2 vp8 _x000D_
                                                                       _x000D_
04 16 11:51:34 380 11666 21957 blitzz co blitzztest I MediaCodec:  OMX qcom video decoder vp8  setting surface generation to 11945996_x000D_
04 16 11:51:34 381 11666 21958 blitzz co blitzztest I ACodec: DRC Mode: Dynamic Buffer Mode_x000D_
04 16 11:51:34 381 11666 21958 blitzz co blitzztest I ExtendedACodec: setupVideoDecoder()_x000D_
04 16 11:51:34 381 11666 21958 blitzz co blitzztest I ACodec:  OMX qcom video decoder vp8  setupVideoDecoder Width Height (640x480)_x000D_
04 16 11:51:34 381 11666 21958 blitzz co blitzztest I ACodec: mime (video x vnd on2 vp8) compressionFormat (9)_x000D_
04 16 11:51:34 387 11666 21958 blitzz co blitzztest I ExtendedACodec: Decoder will be in frame by frame mode_x000D_
04 16 11:51:34 399 11666 21928 blitzz co blitzztest I MediaCodec: (0x6b8689c0) start_x000D_
04 16 11:51:34 410 11666 21957 blitzz co blitzztest I MediaCodec: (0x6b8689c0) input buffers allocated_x000D_
04 16 11:51:34 410 11666 21957 blitzz co blitzztest I MediaCodec: (0x6b8689c0) numBuffers (4)_x000D_
04 16 11:51:34 414 11666 21958 blitzz co blitzztest D SurfaceUtils: set up nativeWindow 0x67b4ca08 for 640x480  color 0x7fa30c04  rotation 0  usage 0x2002900_x000D_
04 16 11:51:34 434 11666 21957 blitzz co blitzztest I MediaCodec: (0x6b8689c0) output buffers allocated_x000D_
04 16 11:51:34 434 11666 21957 blitzz co blitzztest I MediaCodec: (0x6b8689c0) numBuffers (11)_x000D_
04 16 11:51:34 438 11666 21928 blitzz co blitzztest I org webrtc Logging: MediaCodecVideoDecoder: Input buffers: 4  Output buffers: 11_x000D_
04 16 11:51:34 470 11666 21957 blitzz co blitzztest D MediaCodec: (0x6b8689c0)  OMX qcom video decoder vp8  output format changed to: AMessage(what   0x00000000)    _x000D_
                                                                        int32 t color range   2_x000D_
                                                                        int32 t color standard   4_x000D_
                                                                        int32 t color transfer   3_x000D_
                                                                        string mime    video raw _x000D_
                                                                        int32 t stride   640_x000D_
                                                                        int32 t slice height   480_x000D_
                                                                        int32 t color format   2141391876_x000D_
                                                                        Rect crop(0  0  639  479)_x000D_
                                                                        int32 t android  dataspace   259_x000D_
                                                                        int32 t width   640_x000D_
                                                                        int32 t height   480_x000D_
                                                                       _x000D_
04 16 11:51:34 472 11666 21928 blitzz co blitzztest I org webrtc Logging: MediaCodecVideoDecoder: Decoder format changed:  crop top 0  crop right 639  color format 2141391876  height 480  color standard 4  crop left 0  color transfer 3  stride 640  mime video raw  slice height 480  width 640  color range 2  crop bottom 479 _x000D_
04 16 11:51:34 472 11666 21928 blitzz co blitzztest I org webrtc Logging: MediaCodecVideoDecoder: Frame stride and slice height: 640 x 480_x000D_
04 16 11:51:34 735 11666 11666 blitzz co blitzztest E ChatInquiryActivity: hidden part:: false_x000D_
04 16 11:51:35 458 11666 11666 blitzz co blitzztest E BaseActivity: processmessage called_x000D_
04 16 11:51:35 458 11666 11666 blitzz co blitzztest E processMessage: Message Received   hjkhkjhjhj_x000D_
04 16 11:51:35 507 11666 11666 blitzz co blitzztest E Message Staus Update: msgid: 5ad440f0d746a9672100004d_x000D_
04 16 11:51:35 529 11666 11666 blitzz co blitzztest E ChatInquiryActivity: hidden part:: false_x000D_
04 16 11:51:35 569 11666 11666 blitzz co blitzztest E ChatInquiryActivity: hidden part:: false_x000D_
04 16 11:51:35 569 11666 11666 blitzz co blitzztest E ChatInquiryActivity: hidden part:: false_x000D_
04 16 11:51:35 588 11666 11666 blitzz co blitzztest E ChatInquiryActivity: hidden part:: false_x000D_
04 16 11:51:35 588 11666 11666 blitzz co blitzztest E ChatInquiryActivity: hidden part:: false_x000D_
04 16 11:51:35 588 11666 11666 blitzz co blitzztest E ChatInquiryActivity: hidden part:: false_x000D_
04 16 11:51:35 607 11666 11666 blitzz co blitzztest E ChatInquiryActivity: hidden part:: false_x000D_
04 16 11:51:35 607 11666 11666 blitzz co blitzztest E ChatInquiryActivity: hidden part:: false_x000D_
04 16 11:51:35 648 11666 11666 blitzz co blitzztest E ChatInquiryActivity: hidden part:: false_x000D_
04 16 11:51:35 648 11666 11666 blitzz co blitzztest E ChatInquiryActivity: hidden part:: false_x000D_
04 16 11:51:35 663 11666 11666 blitzz co blitzztest E ChatInquiryActivity: hidden part:: false_x000D_
04 16 11:51:35 664 11666 11666 blitzz co blitzztest E ChatInquiryActivity: hidden part:: false_x000D_
04 16 11:51:35 676 11666 11666 blitzz co blitzztest E ChatInquiryActivity: hidden part:: false_x000D_
04 16 11:51:35 676 11666 11666 blitzz co blitzztest E ChatInquiryActivity: hidden part:: false_x000D_
04 16 11:51:35 706 11666 11666 blitzz co blitzztest E ChatInquiryActivity: hidden part:: false_x000D_
04 16 11:51:35 706 11666 11666 blitzz co blitzztest E ChatInquiryActivity: hidden part:: false_x000D_
04 16 11:51:35 714 11666 11666 blitzz co blitzztest E ChatInquiryActivity: hidden part:: false_x000D_
04 16 11:51:35 714 11666 11666 blitzz co blitzztest E ChatInquiryActivity: hidden part:: false_x000D_
04 16 11:51:35 731 11666 11666 blitzz co blitzztest E ChatInquiryActivity: hidden part:: false_x000D_
04 16 11:51:35 731 11666 11666 blitzz co blitzztest E ChatInquiryActivity: hidden part:: false_x000D_
04 16 11:51:35 781 11666 11666 blitzz co blitzztest E ChatInquiryActivity: hidden part:: false_x000D_
04 16 11:51:35 781 11666 11666 blitzz co blitzztest E ChatInquiryActivity: hidden part:: false_x000D_
04 16 11:51:35 859 11666 17394 blitzz co blitzztest I org webrtc Logging: WebRtcAudioManager: VOICE CALL stream volume: 6 (max 8)_x000D_
04 16 11:51:36 149 11666 11666 blitzz co blitzztest E ChatInquiryActivity: hidden part:: false_x000D_
04 16 11:51:36 556 11666 11666 blitzz co blitzztest E FirebaseInstanceId: Failed to resolve target intent service  skipping classname enforcement_x000D_
04 16 11:51:36 560 11666 11666 blitzz co blitzztest E FirebaseInstanceId: Error while delivering the message: ServiceIntent not found _x000D_
04 16 11:51:36 683 11666 21384 blitzz co blitzztest E OnMessage Received: Bundle  google sent time 1523859696995  notification type 4  google ttl 86400  messageid 5ad440f0d746a9672100004d  inquiry Type 2  user id 28275035  title F2 2pankti  google message id 0:1523859697008428 5423ac90f9fd7ecd  message F2 2pankti: hjkhkjhjhj  senderid 28275035  dialog id 594230b9475203a87c00003d  collapse key event16463359  _x000D_
04 16 11:51:36 683 11666 21384 blitzz co blitzztest E OnMessage Received: 4_x000D_
04 16 11:51:36 684 11666 21384 blitzz co blitzztest E Chatdetail: object initialization called_x000D_
04 16 11:51:36 684 11666 21384 blitzz co blitzztest E Chatdetail: true_x000D_
04 16 11:51:36 685 11666 21384 blitzz co blitzztest E OnMessage Received: IsAppRunning true_x000D_
04 16 11:51:36 685 11666 21384 blitzz co blitzztest E OnMessage Received: IsAppRunning blitzz co blitzz ChatInquiryActivity_x000D_
04 16 11:51:36 685 11666 21384 blitzz co blitzztest E Chatdetail: object initialization called_x000D_
04 16 11:51:36 685 11666 21384 blitzz co blitzztest E Chatdetail: true_x000D_
04 16 11:51:36 685 11666 21384 blitzz co blitzztest E IsAppRunning: true_x000D_
04 16 11:51:36 687 11666 21384 blitzz co blitzztest E Chatdetail: object initialization called_x000D_
04 16 11:51:36 687 11666 21384 blitzz co blitzztest E Chatdetail: object initialization called_x000D_
04 16 11:51:36 687 11666 11666 blitzz co blitzztest E Lastmsgupdated: F2 2pankti: hjkhkjhjhj_x000D_
04 16 11:51:36 690 11666 21384 blitzz co blitzztest E Chatdetail: object initialization called_x000D_
04 16 11:51:36 692 11666 21384 blitzz co blitzztest E Chatdetail: object initialization called_x000D_
04 16 11:51:36 692 11666 21384 blitzz co blitzztest E Chatdetail: true_x000D_
04 16 11:51:36 692 11666 21384 blitzz co blitzztest E OnMessage Received: IsAppRunning true_x000D_
04 16 11:51:36 692 11666 21384 blitzz co blitzztest E OnMessage Received: IsAppRunning blitzz co blitzz ChatInquiryActivity_x000D_
04 16 11:51:36 692 11666 21384 blitzz co blitzztest E Chatdetail: object initialization called_x000D_
04 16 11:51:36 692 11666 21384 blitzz co blitzztest E Chatdetail: true_x000D_
04 16 11:51:36 692 11666 21384 blitzz co blitzztest E OnMessage Received: isChatLogin status : Connected_x000D_
04 16 11:51:36 692 11666 21384 blitzz co blitzztest E Chatdetail: object initialization called_x000D_
04 16 11:51:36 693 11666 21384 blitzz co blitzztest E OnMessage Received: Dialogid from message594230b9475203a87c00003d_x000D_
04 16 11:51:36 698 11666 11666 blitzz co blitzztest E VideoCallActivity: onReceive called:: oncallnotification_x000D_
04 16 11:51:36 732 11666 11666 blitzz co blitzztest E VideoCallerLibrary: sendMessageStatusRead : success   5ad440f0d746a9672100004d_x000D_
04 16 11:51:36 753 11666 11666 blitzz co blitzztest E Message Staus Update: Onsuccesscalled_x000D_
04 16 11:51:36 971 11666 21958 blitzz co blitzztest D DisplayPanel: iPanelNotifyTextureVideoState: state 1_x000D_
04 16 11:51:38 028 11666 11666 blitzz co blitzztest E VideoCallerLibrary: msaageId: 5ad44078d746a9672100002a_x000D_
04 16 11:51:38 028 11666 11666 blitzz co blitzztest E VideoCallerLibrary: SendQBMessagefor delivered status called for user id: 28275035_x000D_
04 16 11:51:38 028 11666 11666 blitzz co blitzztest E Chatdetail: object initialization called_x000D_
04 16 11:51:38 037 11666 11666 blitzz co blitzztest E VideoCallerLibrary: msaageId: 5ad440f0d746a9672100004d_x000D_
04 16 11:51:38 037 11666 11666 blitzz co blitzztest E VideoCallerLibrary: SendQBMessagefor delivered status called for user id: 28275035_x000D_
04 16 11:51:38 037 11666 11666 blitzz co blitzztest E Chatdetail: object initialization called_x000D_
04 16 11:51:39 299 11666 11666 blitzz co blitzztest E VideoCallActivity: onStop()_x000D_
04 16 11:51:45 796 11666 17394 blitzz co blitzztest I org webrtc Logging: WebRtcAudioManager: VOICE CALL stream volume: 6 (max 8)_x000D_
04 16 11:51:46 695 11666 11677 blitzz co blitzztest I art: Background sticky concurrent mark sweep GC freed 396639(13MB) AllocSpace objects  0(0B) LOS objects  20  free  60MB 76MB  paused 7 440ms total 497 137ms_x000D_
04 16 11:51:49 198 11666 17391 blitzz co blitzztest D AudioTrackJni: StopPlayout  tid 17391 _x000D_
04 16 11:51:49 199 11666 17391 blitzz co blitzztest I org webrtc Logging: WebRtcAudioTrack: stopPlayout_x000D_
04 16 11:51:49 200 11666 17391 blitzz co blitzztest I org webrtc Logging: WebRtcAudioTrack: underrun count: 0_x000D_
04 16 11:51:49 253 11666 11666 blitzz co blitzztest E TwilioSingleton: onVideoTrackUnsubscribed called_x000D_
04 16 11:51:49 254 11666 11666 blitzz co blitzztest E TwilioSingleton: endcall called_x000D_
04 16 11:51:49 254 11666 11666 blitzz co blitzztest E TwilioSingleton: deIninit callSession and Variable called_x000D_
04 16 11:51:49 265 11666 21928 blitzz co blitzztest I org webrtc Logging: MediaCodecVideoDecoder: Java releaseDecoder  Total number of dropped frames: 0_x000D_
04 16 11:51:49 266 11666 21985 blitzz co blitzztest I org webrtc Logging: MediaCodecVideoDecoder: Java releaseDecoder on release thread_x000D_
04 16 11:51:49 267 11666 21985 blitzz co blitzztest I MediaCodec: (0x6b8689c0) stop_x000D_
04 16 11:51:49 285 11666 21957 blitzz co blitzztest D DisplayPanel: iPanelNotifyTextureVideoState: state 0_x000D_
04 16 11:51:49 287 11666 21985 blitzz co blitzztest I MediaCodec: (0x6b8689c0) release_x000D_
04 16 11:51:49 302 11666 21985 blitzz co blitzztest I org webrtc Logging: MediaCodecVideoDecoder: Java releaseDecoder on release thread done_x000D_
04 16 11:51:49 307 11666 21928 blitzz co blitzztest I org webrtc Logging: SurfaceTextureHelper: stopListening()_x000D_
04 16 11:51:49 309 11666 21928 blitzz co blitzztest I org webrtc Logging: MediaCodecVideoDecoder: Java releaseDecoder done_x000D_
04 16 11:51:49 309 11666 21928 blitzz co blitzztest I org webrtc Logging: SurfaceTextureHelper: dispose()_x000D_
04 16 11:51:49 430 11666 11666 blitzz co blitzztest E Chatdetail: object initialization called_x000D_
04 16 11:51:49 430 11666 11666 blitzz co blitzztest E VideoCallActivity: called_x000D_
04 16 11:51:49 432 11666 11666 blitzz co blitzztest E Chatdetail: object initialization called_x000D_
04 16 11:51:49 432 11666 11666 blitzz co blitzztest E Chatdetail: object initialization called_x000D_
04 16 11:51:49 432 11666 11666 blitzz co blitzztest E Chatdetail: object initialization called_x000D_
04 16 11:51:49 432 11666 11666 blitzz co blitzztest E Chatdetail: object initialization called_x000D_
04 16 11:51:49 445 11666 11666 blitzz co blitzztest E Eventutils: isChatLogin status : Connected_x000D_
04 16 11:51:49 445 11666 11666 blitzz co blitzztest E Chatdetail: object initialization called_x000D_
04 16 11:51:49 445 11666 11666 blitzz co blitzztest E EventsUtility: 594230b9475203a87c00003dis already joined_x000D_
04 16 11:51:49 445 11666 11666 blitzz co blitzztest E Chatdetail: object initialization called_x000D_
04 16 11:51:49 453 11666 11666 blitzz co blitzztest E Json:   CALLERLOGINID : 19336   CALLID : 33330   RECEIVERLOGINID : 0   SECONDS : 22  _x000D_
04 16 11:51:49 454 11666 11666 blitzz co blitzztest E Chatdetail: object initialization called_x000D_
04 16 11:51:49 454 11666 11666 blitzz co blitzztest E VideoCallActivity: enddate 2018 04 16T11:51:49 432 05:30 connecteddate 2018 04 16T11:51:26 644 05:30 ucid 7_x000D_
04 16 11:51:49 454 11666 11666 blitzz co blitzztest E Chatdetail: object initialization called_x000D_
04 16 11:51:49 454 11666 11666 blitzz co blitzztest E VideoCallActivity: before caliing_x000D_
04 16 11:51:49 454 11666 11666 blitzz co blitzztest E VideoCallActivity: aftercalling_x000D_
04 16 11:51:49 477 11666 21989 blitzz co blitzztest E Base Request: IpAddress:: 10 25 111 196_x000D_
04 16 11:51:49 482 11666 17391 blitzz co blitzztest D AudioRecordJni: StopRecording  tid 17391 _x000D_
04 16 11:51:49 483 11666 17391 blitzz co blitzztest I org webrtc Logging: WebRtcAudioRecord: stopRecording_x000D_
04 16 11:51:49 483 11666 17391 blitzz co blitzztest I org webrtc Logging: WebRtcAudioRecord: stopThread_x000D_
04 16 11:51:49 495 11666 11666 blitzz co blitzztest E Chatdetail: object initialization called_x000D_
04 16 11:51:49 495 11666 11666 blitzz co blitzztest E Chatdetail: object initialization called_x000D_
04 16 11:51:49 502 11666 11666 blitzz co blitzztest E Json:   QBDailogID : 594230b9475203a87c00003d   UID : 6  _x000D_
04 16 11:51:49 504 11666 11666 blitzz co blitzztest E BaseChatActivity: isChatLogin status : Connected_x000D_
04 16 11:51:49 506 11666 11666 blitzz co blitzztest E BaseChatActivity: showChatLoginProgress : INVISIBLE_x000D_
04 16 11:51:49 507 11666 21368 blitzz co blitzztest E Base Request: IpAddress:: 10 25 111 196_x000D_
04 16 11:51:49 525 11666 11666 blitzz co blitzztest E Chatdetail: object initialization called_x000D_
04 16 11:51:49 526 11666 11666 blitzz co blitzztest E joinChatDialog: success Already joined _x000D_
04 16 11:51:49 531 11666 11666 blitzz co blitzztest E BaseChatActivity: isChatLogin status : Connected_x000D_
04 16 11:51:49 532 11666 11666 blitzz co blitzztest E BaseChatActivity: showChatLoginProgress : INVISIBLE_x000D_
04 16 11:51:49 549 11666 11666 blitzz co blitzztest E Cancelnotification: blitzz co blitzz VideoCallActivity 9813736_x000D_
04 16 11:51:49 555 11666 11666 blitzz co blitzztest E CallNotificationsSysMsg: singletonsessionid:: 1523859674806_x000D_
04 16 11:51:49 555 11666 11666 blitzz co blitzztest E CallNotificationsSysMsg: 1523859674806_x000D_
04 16 11:51:49 555 11666 11666 blitzz co blitzztest E onReceiveSuccess: 10_x000D_
04 16 11:51:49 555 11666 11666 blitzz co blitzztest E Chatdetail: object initialization called_x000D_
04 16 11:51:49 556 11666 11666 blitzz co blitzztest E TwilioSingleton: endcall called_x000D_
04 16 11:51:49 556 11666 11666 blitzz co blitzztest E TwilioSingleton: deIninit callSession and Variable called_x000D_
04 16 11:51:49 612 11666 17391 blitzz co blitzztest I org webrtc Logging: WebRtcAudioEffects: release_x000D_
04 16 11:51:49 641 11666 11666 blitzz co blitzztest E Chatdetail: object initialization called_x000D_
04 16 11:51:49 641 11666 11666 blitzz co blitzztest E Cancelnotification: blitzz co blitzz VideoCallActivity 9813736_x000D_
04 16 11:51:49 710 11666 11666 blitzz co blitzztest E Chatdetail: object initialization called_x000D_
04 16 11:51:49 710 11666 11666 blitzz co blitzztest E Chatdetail: object initialization called_x000D_
04 16 11:51:49 715 11666 11666 blitzz co blitzztest E Json:   QBDailogID : 594230b9475203a87c00003d   UID : 6  _x000D_
04 16 11:51:49 717 11666 11666 blitzz co blitzztest E BaseChatActivity: isChatLogin status : Connected_x000D_
04 16 11:51:49 720 11666 11666 blitzz co blitzztest E BaseChatActivity: showChatLoginProgress : INVISIBLE_x000D_
04 16 11:51:49 757 11666 11666 blitzz co blitzztest E Chatdetail: object initialization called_x000D_
04 16 11:51:49 758 11666 11666 blitzz co blitzztest E joinChatDialog: success Already joined _x000D_
04 16 11:51:49 760 11666 11666 blitzz co blitzztest E BaseChatActivity: isChatLogin status : Connected_x000D_
04 16 11:51:49 764 11666 11666 blitzz co blitzztest E BaseChatActivity: showChatLoginProgress : INVISIBLE_x000D_
04 16 11:51:49 775 11666 21537 blitzz co blitzztest E Base Request: IpAddress:: 10 25 111 196_x000D_
04 16 11:51:49 781 11666 11666 blitzz co blitzztest E Chatdetail: object initialization called_x000D_
04 16 11:51:49 846 11666 11666 blitzz co blitzztest E BaseChatActivity: isChatLogin status : Connected_x000D_
04 16 11:51:49 849 11666 11666 blitzz co blitzztest E BaseChatActivity: showChatLoginProgress : INVISIBLE_x000D_
04 16 11:51:49 959 11666 11666 blitzz co blitzztest E Chatdetail: object initialization called_x000D_
04 16 11:51:49 979 11666 11666 blitzz co blitzztest E BaseChatActivity: isChatLogin status : Connected_x000D_
04 16 11:51:49 981 11666 11666 blitzz co blitzztest E BaseChatActivity: showChatLoginProgress : INVISIBLE_x000D_
04 16 11:51:49 992 11666 17391 blitzz co blitzztest I org webrtc Logging: CameraCapturer: Stop capture_x000D_
04 16 11:51:49 992 11666 17391 blitzz co blitzztest I org webrtc Logging: CameraCapturer: Stop capture: Nulling session_x000D_
04 16 11:51:49 992 11666 21782 blitzz co blitzztest I org webrtc Logging: Camera1Session: Stop camera1 session on camera 0_x000D_
04 16 11:51:49 992 11666 17391 blitzz co blitzztest I org webrtc Logging: CameraCapturer: Stop capture done_x000D_
04 16 11:51:49 992 11666 17391 blitzz co blitzztest I org webrtc Logging: CameraCapturer: dispose_x000D_
04 16 11:51:49 992 11666 21782 blitzz co blitzztest I org webrtc Logging: Camera1Session: Stop internal_x000D_
04 16 11:51:49 992 11666 17391 blitzz co blitzztest I org webrtc Logging: CameraCapturer: Stop capture_x000D_
04 16 11:51:49 992 11666 21782 blitzz co blitzztest I org webrtc Logging: SurfaceTextureHelper: stopListening()_x000D_
04 16 11:51:49 992 11666 17391 blitzz co blitzztest I org webrtc Logging: CameraCapturer: Stop capture: No session open_x000D_
04 16 11:51:49 992 11666 17391 blitzz co blitzztest I org webrtc Logging: CameraCapturer: Stop capture done_x000D_
04 16 11:51:50 017 11666 11666 blitzz co blitzztest E ChatInquiryActivity: hidden part:: false_x000D_
04 16 11:51:50 018 11666 11666 blitzz co blitzztest E ChatInquiryActivity: hidden part:: false_x000D_
04 16 11:51:50 078 11666 21989 blitzz co blitzztest E Response Data:   success :1  data :null _x000D_
04 16 11:51:50 078 11666 21989 blitzz co blitzztest E Response:   success :1  data :null _x000D_
04 16 11:51:50 260 11666 21782 blitzz co blitzztest I org webrtc Logging: Camera1Session: Stop done_x000D_
04 16 11:51:50 261 11666 17390 blitzz co blitzztest I org webrtc Logging: SurfaceTextureHelper: dispose()_x000D_
04 16 11:51:50 291 11666 11666 blitzz co blitzztest E TwilioSingleton: endcall called_x000D_
04 16 11:51:50 291 11666 11666 blitzz co blitzztest E TwilioSingleton: deIninit callSession and Variable called_x000D_
04 16 11:51:50 319 11666 11666 blitzz co blitzztest E Chatdetail: object initialization called_x000D_
04 16 11:51:50 319 11666 11666 blitzz co blitzztest E Cancelnotification: blitzz co blitzz VideoCallActivity 9813736_x000D_
04 16 11:51:50 324 11666 11666 blitzz co blitzztest E ChatInquiryActivity: hidden part:: false_x000D_
04 16 11:51:50 324 11666 11666 blitzz co blitzztest E Success  : 1_x000D_
04 16 11:51:50 349 11666 11666 blitzz co blitzztest E BaseActivity: processmessage called_x000D_
04 16 11:51:50 349 11666 11666 blitzz co blitzztest E processMessage: Message Received   Call ended_x000D_
04 16 11:51:50 379 11666 11666 blitzz co blitzztest E ChatInquiryActivity: hidden part:: false_x000D_
04 16 11:51:50 544 11666 11666 blitzz co blitzztest </t>
  </si>
  <si>
    <t>StepicOrg-stepik-android-adaptive-40</t>
  </si>
  <si>
    <t>fix progress dialog state loss</t>
  </si>
  <si>
    <t xml:space="preserve">  YouTrack task  :   APPS 1874 (https:  vyahhi myjetbrains com youtrack issue APPS 1874)_x000D_
_x000D_
  Description List  :_x000D_
  fix crash due to progress dialog state loss_x000D_
_x000D_
</t>
  </si>
  <si>
    <t>voroshkov-Chorus-RF-Laptimer-86</t>
  </si>
  <si>
    <t>Android app relies on keeping all fragments in memory</t>
  </si>
  <si>
    <t>The app uses a  hack  to prevent unloading its screens from memory upon running setOffscreenPageLimit(4) https:  github com voroshkov Chorus RF Laptimer blob 1e01318f48f0c909f864a3713422c2f551f02a34 Android ChorusRFLaptimer app src main java app andrey voroshkov chorus laptimer MainActivity java L181_x000D_
_x000D_
But this in unlikely the common practice in Android development _x000D_
Removing this line crashes the app when switching between screens _x000D_
I guess this needs to be fixed (remove setOffscreenPageLimit  and prevent app from crashing)</t>
  </si>
  <si>
    <t>BackyardBrains-Spike-Recorder-Android-88</t>
  </si>
  <si>
    <t>App sometimes crashes when recording is being played</t>
  </si>
  <si>
    <t>When recording is played but sample rate is not set before the actual playing starts app would crash</t>
  </si>
  <si>
    <t>BackyardBrains-Spike-Recorder-Android-87</t>
  </si>
  <si>
    <t>App crashes when audio file without extension is played</t>
  </si>
  <si>
    <t>When recording that has been saved without extension is played app would crash every time</t>
  </si>
  <si>
    <t>Aptoide-aptoide-client-v8-524</t>
  </si>
  <si>
    <t>[Hotfix/ASV-397] Trusted Badge crash</t>
  </si>
  <si>
    <t xml:space="preserve">  What does this PR do   _x000D_
_x000D_
   Clicking on the trusted badge svg was causing crashes on specific Android api levels  The cause was the gradient in the svg compatibility  The solution for now is to revert the svg to png _x000D_
 _x000D_
  Database changed   _x000D_
_x000D_
   No_x000D_
_x000D_
  Where should the reviewer start   _x000D_
_x000D_
      DialogBadgeV7 java _x000D_
_x000D_
  What are the relevant tickets   _x000D_
_x000D_
  Tickets related to this pull request:  ASV 397 (https:  aptoide atlassian net browse ASV 397)_x000D_
_x000D_
  Code Review Checklist  _x000D_
_x000D_
      Architecture_x000D_
      Documentation on public interfaces_x000D_
      Database changed _x000D_
      If yes   Database migration _x000D_
      Remove comments   unused code   forgotten testing Logs_x000D_
      Codestyle_x000D_
      Partners build_x000D_
      Unit tests pass_x000D_
      Functional QA tests pass</t>
  </si>
  <si>
    <t>twilio-video-quickstart-android-288</t>
  </si>
  <si>
    <t>First Time Call Join crash</t>
  </si>
  <si>
    <t xml:space="preserve">    Description_x000D_
_x000D_
App crashes when user joins the call first time _x000D_
_x000D_
    Steps to Reproduce_x000D_
_x000D_
1  Join Video Room and give camera permissions_x000D_
2  App crashes when you join for the first time _x000D_
_x000D_
     Code_x000D_
_x000D_
   java_x000D_
room   Video connect(context  ConnectOptions_x000D_
             Builder(token)_x000D_
             roomName(roomName)_x000D_
             videoTracks(listOf(selfStreamManager getSelfStream() videoStream))_x000D_
             audioTracks(listOf(selfStreamManager getSelfStream() audioStream))_x000D_
             preferVideoCodecs(listOf(Vp8Codec()))_x000D_
_x000D_
  Video constraints while creating local video track_x000D_
private val videoConstraints   VideoConstraints Builder()_x000D_
         aspectRatio(AspectRatio ASPECT RATIO 16 9)_x000D_
         minVideoDimensions(VideoDimensions HD 540P VIDEO DIMENSIONS)_x000D_
         maxVideoDimensions(VideoDimensions HD 1080P VIDEO DIMENSIONS)_x000D_
         minFps(15)_x000D_
         maxFps(60)_x000D_
         build()_x000D_
   _x000D_
_x000D_
     Expected Behavior_x000D_
_x000D_
App should not crash_x000D_
_x000D_
     Actual Behavior_x000D_
_x000D_
App crashes_x000D_
_x000D_
     Reproduces how Often_x000D_
_x000D_
100 _x000D_
_x000D_
     Logs_x000D_
_x000D_
   java_x000D_
_x000D_
FATAL EXCEPTION: Camera SurfaceTextureHelper Process: to go internal  PID: 19374_x000D_
java lang RuntimeException: getParameters failed (empty parameters) at _x000D_
android hardware Camera native getParameters(Native Method) at _x000D_
android hardware Camera getParameters(Camera java:1965) at _x000D_
org webrtc Camera1Session create(Camera1Session java:83) at _x000D_
org webrtc Camera1Capturer createCameraSession(Camera1Capturer java:34) at _x000D_
org webrtc CameraCapturer 5 run(CameraCapturer java:285) at _x000D_
android os Handler handleCallback(Handler java:739) at _x000D_
android os Handler dispatchMessage(Handler java:95) at android os Looper loop(Looper java:148) at _x000D_
android os HandlerThread run(HandlerThread java:61)_x000D_
_x000D_
   _x000D_
_x000D_
    Versions_x000D_
_x000D_
     Video Android SDK_x000D_
_x000D_
2 0 0_x000D_
_x000D_
     Android API_x000D_
_x000D_
23 and above_x000D_
_x000D_
     Android Device_x000D_
_x000D_
Xiaomi Mi 5  LG G2_x000D_
</t>
  </si>
  <si>
    <t>hzi-braunschweig-SORMAS-Project-576</t>
  </si>
  <si>
    <t>Crash when entering NewCaseActivity</t>
  </si>
  <si>
    <t xml:space="preserve">This only happened for user U2NBLL so far  When they click on the   button to create a new case  the app synchronizes and then crashes  There are Google Analytics crash reports for version 0 18 2 </t>
  </si>
  <si>
    <t>lingochamp-FileDownloader-1017</t>
  </si>
  <si>
    <t>Android 8/8+: Fatal Exception: java.lang.IllegalStateException</t>
  </si>
  <si>
    <t>Library version:  com liulishuo filedownloader:library:1 6 5 _x000D_
_x000D_
Build Environment_x000D_
  compileSdkVersion 26_x000D_
  buildToolsVersion  27 0 3 _x000D_
  minSdkVersion 15_x000D_
  targetSdkVersion 26_x000D_
_x000D_
Observations_x000D_
  100  of this crash happens in Android 8 _x000D_
  99  of this crash happens when app is at background_x000D_
_x000D_
Info from Crashlytics_x000D_
  _x000D_
  Not allowed to start service Intent   cmp com XXXX YYYY com liulishuo filedownloader services FileDownloadService SeparateProcessService  : app is in background uid UidRecord 51e9798 u0a324 CAC bg: 1m31s64ms idle procs:2 seq(73 73 73) _x000D_
     _x000D_
  Fatal Exception: java lang IllegalStateException: Not allowed to start service Intent   cmp com XXXX YYYY com liulishuo filedownloader services FileDownloadService SeparateProcessService  : app is in background uid UidRecord 51e9798 u0a324 CAC  bg: 1m31s64ms idle procs:2 seq(73 73 73) _x000D_
         at android app ContextImpl startServiceCommon(ContextImpl java:1522)_x000D_
         at android app ContextImpl startService(ContextImpl java:1478)_x000D_
         at android content ContextWrapper startService(ContextWrapper java:645)_x000D_
         at com liulishuo filedownloader services BaseFileServiceUIGuard bindStartByContext(SourceFile:157)_x000D_
         at com liulishuo filedownloader services BaseFileServiceUIGuard bindStartByContext(SourceFile:126)_x000D_
         at com liulishuo filedownloader FileDownloadServiceProxy bindStartByContext(SourceFile:112)_x000D_
         at com liulishuo filedownloader FileDownloader bindService(SourceFile:486)_x000D_
         at com liulishuo filedownloader LostServiceConnectedHandler disconnected(SourceFile:94)_x000D_
         at com liulishuo filedownloader FileDownloadConnectListener callback(SourceFile:45)_x000D_
         at com liulishuo filedownloader event DownloadEventPoolImpl trigger(SourceFile:132)_x000D_
         at com liulishuo filedownloader event DownloadEventPoolImpl publish(SourceFile:107)_x000D_
         at com liulishuo filedownloader event DownloadEventPoolImpl 1 run(SourceFile:121)_x000D_
         at java util concurrent ThreadPoolExecutor runWorker(ThreadPoolExecutor java:1162)_x000D_
         at java util concurrent ThreadPoolExecutor Worker run(ThreadPoolExecutor java:636)_x000D_
         at java lang Thread run(Thread java:764)_x000D_
     _x000D_
_x000D_
Related:_x000D_
https:  stackoverflow com questions 46445265 android 8 0 java lang illegalstateexception not allowed to start service inten utm medium organic utm source google rich qa utm campaign google rich qa</t>
  </si>
  <si>
    <t>inaturalist-iNaturalistAndroid-507</t>
  </si>
  <si>
    <t>NullPointerException on Explore</t>
  </si>
  <si>
    <t xml:space="preserve">Currently the top non memory related crash in build 281_x000D_
_x000D_
https:  fabric io inaturalist android apps org inaturalist android issues 5ab116948cb3c2fa637f8936 time last seven days_x000D_
_x000D_
   _x000D_
Caused by java lang NullPointerException: Attempt to read from field  com google android gms maps model LatLng com google android gms maps model VisibleRegion nearLeft  on a null object reference_x000D_
       at org inaturalist android ExploreActivity onCreate(ExploreActivity java:263)_x000D_
       at android app Activity performCreate(Activity java:7174)_x000D_
       at android app Instrumentation callActivityOnCreate(Instrumentation java:1220)_x000D_
       at android app ActivityThread performLaunchActivity(ActivityThread java:2908)_x000D_
       at android app ActivityThread handleLaunchActivity(ActivityThread java:3030)_x000D_
       at android app ActivityThread handleRelaunchActivity(ActivityThread java:4919)_x000D_
       at android app ActivityThread  wrap19(Unknown Source)_x000D_
       at android app ActivityThread H handleMessage(ActivityThread java:1702)_x000D_
       at android os Handler dispatchMessage(Handler java:105)_x000D_
       at android os Looper loop(Looper java:164)_x000D_
       at android app ActivityThread main(ActivityThread java:6938)_x000D_
       at java lang reflect Method invoke(Method java)_x000D_
       at com android internal os Zygote MethodAndArgsCaller run(Zygote java:327)_x000D_
       at com android internal os ZygoteInit main(ZygoteInit java:1374)_x000D_
   </t>
  </si>
  <si>
    <t>Purdue-ACM-SIGApp-BoilerFaves-51</t>
  </si>
  <si>
    <t>Menu retrieval null pointer bug</t>
  </si>
  <si>
    <t>Google play console is telling us our app crashes as a result of this bug:_x000D_
 _x000D_
Null pointer exception_x000D_
  at com lshan boilerfaves Networking MenuRetrievalTask onPostExecute (MenuRetrievalTask java:237)_x000D_
  at com lshan boilerfaves Networking MenuRetrievalTask onPostExecute (MenuRetrievalTask java:51)</t>
  </si>
  <si>
    <t>gsantner-markor-229</t>
  </si>
  <si>
    <t>Remember last directory not works when closing app from task switcher.</t>
  </si>
  <si>
    <t xml:space="preserve">     General information_x000D_
_x000D_
    App version:   0 3 6_x000D_
    System:   Android 7 on Galaxy J5 Prime_x000D_
_x000D_
     Description_x000D_
When I close Markor from offical android s _x000D_
task switcher  It s doesn t save my last opened directory _x000D_
_x000D_
     Log_x000D_
_x000D_
     _x000D_
  Look for already reported issues before posting _x000D_
  Also take a look at documentation and wiki  or write in the project chat _x000D_
_x000D_
  App version: The version of the app installed and the installation source  Example: v0 3 5 F Droid_x000D_
               Please keep in mind that only the latest downloadable version is supported and that there are no backports to older versions _x000D_
  System:      Information about where the app is running  Give all details you know  but at least the Android OS version _x000D_
               Example: Android 8 0 1  Nexus 5  LineageOS_x000D_
_x000D_
  Description:_x000D_
  What this is about  what happens and what is expected to happen  What needs to be done for it to happen _x000D_
  If a crash is happening a log is needed  Screenshots or demonstration videos are always helpful too _x000D_
_x000D_
  About logging:_x000D_
  https:  gsantner net android contribution guide  packageid net gsantner markor project markor web https:  github com gsantner markor logcat_x000D_
   _x000D_
</t>
  </si>
  <si>
    <t>nextcloud-android-2515</t>
  </si>
  <si>
    <t>Crash at files loading</t>
  </si>
  <si>
    <t xml:space="preserve">    Actual behaviour_x000D_
  Tell us what happens_x000D_
After connecting and an attempt to load the files  the app crashes become unable to launch _x000D_
    Expected behaviour_x000D_
  Tell us what should happen_x000D_
 I should be able to use the app _x000D_
    Steps to reproduce_x000D_
1  Open the app_x000D_
2  Connect yourself_x000D_
3  Wait for some seconds_x000D_
4  try to relaunche the app _x000D_
_x000D_
_x000D_
    Environment data_x000D_
Android version:_x000D_
6 0 1_x000D_
Device model: _x000D_
Fairphone 2_x000D_
Stock or customized system:_x000D_
Fairphone open_x000D_
Nextcloud app version:_x000D_
3 1 0_x000D_
Nextcloud server version:_x000D_
12 0 4_x000D_
    Logs_x000D_
     Web server error log_x000D_
   _x000D_
Insert your webserver log here_x000D_
Can t open the log cause my notepad can t detect the character encoding _x000D_
_x000D_
     Nextcloud log (data nextcloud log)_x000D_
   _x000D_
Insert your Nextcloud log here_x000D_
Can t open the log cause my notepad can t detect the character encoding _x000D_
_x000D_
  NOTE:   Be super sure to remove sensitive data like passwords  note that everybody can look here  You can use the Issue Template application to prefill some of the required information: https:  apps nextcloud com apps issuetemplate_x000D_
</t>
  </si>
  <si>
    <t>nikita36078-J2ME-Loader-312</t>
  </si>
  <si>
    <t>Total Conquest (TS) bug on lollipop</t>
  </si>
  <si>
    <t>When i tried all version  each resolution and version have different bug _x000D_
480 800  240 400 for Samsung: Building Unit on list can t selected normally _x000D_
360 640: Music can t playing normally  sometime crashed when battle mode _x000D_
240 400 for Nokia: All both bug included _x000D_
All non TS: work great  but finger cursor is missing when installing TS version before (and without delete data game) _x000D_
_x000D_
TS   Touch Screen</t>
  </si>
  <si>
    <t>BackyardBrains-Spike-Recorder-Android-86</t>
  </si>
  <si>
    <t>App sometimes crash when Recordings screen is opened</t>
  </si>
  <si>
    <t>When Recordings screen opens  if there are files with exactly same  last modified  dates the app would crash _x000D_
_x000D_
Crashlytics link_x000D_
 https:  fabric io backyardbrains android apps com backyardbrains issues 5ac28f7d36c7b235275caf23 (url)</t>
  </si>
  <si>
    <t>BackyardBrains-Spike-Recorder-Android-85</t>
  </si>
  <si>
    <t>App crashes when setting cut off values for custom filter</t>
  </si>
  <si>
    <t>When setting cut off values for custom filter using keyboard (not slider) app is crashing_x000D_
_x000D_
Crashlytics link_x000D_
 https:  fabric io backyardbrains android apps com backyardbrains issues 5a1c782061b02d480d65418b (url)</t>
  </si>
  <si>
    <t>nisrulz-qreader-56</t>
  </si>
  <si>
    <t>java.lang.IllegalStateException: Camera already started!</t>
  </si>
  <si>
    <t xml:space="preserve">E AndroidRuntime: FATAL EXCEPTION: main_x000D_
                                                                    Process: com shanky qrscanner  PID: 8249_x000D_
                                                                    java lang IllegalStateException: Camera already started _x000D_
                                                                        at github nisrulz qreader QREader startCameraView(QREader java:213)_x000D_
                                                                        at github nisrulz qreader QREader start(QREader java:176)_x000D_
                                                                        at github nisrulz qreader QREader 2 onGlobalLayout(QREader java:118)_x000D_
                                                                        at android view ViewTreeObserver dispatchOnGlobalLayout(ViewTreeObserver java:981)_x000D_
                                                                        at android view ViewRootImpl performTraversals(ViewRootImpl java:2414)_x000D_
                                                                        at android view ViewRootImpl doTraversal(ViewRootImpl java:1522)_x000D_
                                                                        at android view ViewRootImpl TraversalRunnable run(ViewRootImpl java:7098)_x000D_
                                                                        at android view Choreographer CallbackRecord run(Choreographer java:927)_x000D_
                                                                        at android view Choreographer doCallbacks(Choreographer java:702)_x000D_
                                                                        at android view Choreographer doFrame(Choreographer java:638)_x000D_
                                                                        at android view Choreographer FrameDisplayEventReceiver run(Choreographer java:913)_x000D_
                                                                        at android os Handler handleCallback(Handler java:751)_x000D_
                                                                        at android os Handler dispatchMessage(Handler java:95)_x000D_
                                                                        at android os Looper loop(Looper java:154)_x000D_
                                                                        at android app ActivityThread main(ActivityThread java:6682)_x000D_
                                                                        at java lang reflect Method invoke(Native Method)_x000D_
                                                                        at com android internal os ZygoteInit MethodAndArgsCaller run(ZygoteInit java:1520)_x000D_
                                                                        at com android internal os ZygoteInit main(ZygoteInit java:1410)_x000D_
_x000D_
_x000D_
This happens when application goes in paused state while scanning qr code and just resume the application it will crash_x000D_
_x000D_
This is the code for paused state and resume state_x000D_
_x000D_
 Override_x000D_
    protected void onPause()  _x000D_
        super onPause() _x000D_
_x000D_
        if (hasCameraPermission)  _x000D_
_x000D_
               Cleanup in onPause()_x000D_
                                   _x000D_
            qrEader releaseAndCleanup() _x000D_
         _x000D_
     _x000D_
_x000D_
     Override_x000D_
    protected void onResume()  _x000D_
        super onResume() _x000D_
_x000D_
        if (hasCameraPermission)  _x000D_
_x000D_
               Init and Start with SurfaceView_x000D_
                                              _x000D_
            qrEader initAndStart(mySurfaceView) _x000D_
_x000D_
         _x000D_
     </t>
  </si>
  <si>
    <t>cgeo-cgeo-6984</t>
  </si>
  <si>
    <t>Unwanted zoom-out on device rotation on new Mapsforge beta</t>
  </si>
  <si>
    <t xml:space="preserve">      Detailed steps causing the problem:_x000D_
  Make sure that automated device rotation is enabled_x000D_
  Open live map_x000D_
  Rotate the device  e g  from portrait to landscape_x000D_
_x000D_
_x000D_
      Actual behavior after performing these steps:_x000D_
  Map is redrawn with zoom out factor  in my case from 1km to 10km  to 50km  to 500km  to 5000km _x000D_
  Another rotation at 5000km causes c:geo to crash _x000D_
_x000D_
_x000D_
      Expected behavior after performing these steps:_x000D_
  Zoom factor does not change on rotation_x000D_
  The zoom factor is limited and does not cause a crash_x000D_
_x000D_
_x000D_
      Version of c:geo used:_x000D_
2018 04 16 NB d28295a_x000D_
_x000D_
_x000D_
      Is the problem reproducible for you _x000D_
Yes_x000D_
</t>
  </si>
  <si>
    <t>mapbox-mapbox-events-android-124</t>
  </si>
  <si>
    <t>Job Service Context Crash</t>
  </si>
  <si>
    <t xml:space="preserve">While testing the  Oreo  update  came across a crash that intermittently occurs when creating a LocationEvent  Looks to be related to the siloing that occurs with the job service  Context seems to be missing for  MapboxTelemetry   Need to work on better solution to prevent issue from happening </t>
  </si>
  <si>
    <t>StAResComp-sifids-127</t>
  </si>
  <si>
    <t>App crash and won't re-open when clicked save after finishing a row of data on form</t>
  </si>
  <si>
    <t xml:space="preserve">When i clicked save after filling in a row of data the app crashed  closed and will not re open  I went into settings and clicked  force stop  but the app will still not reopen _x000D_
I am using a Samsung  Galaxy A3 (2016)  Android Version 7 0 </t>
  </si>
  <si>
    <t>nextcloud-android-2502</t>
  </si>
  <si>
    <t>Null context passed in ActivitiesListAdapter. Results in NPE crash.</t>
  </si>
  <si>
    <t xml:space="preserve">I m assuming this is due to 5b432b3ed0a608d50388768f0503e47b1504afe8 but the null value passed as the context argument at L257 in the ActivityListAdapter now results in a NullPointerException crash  _x000D_
_x000D_
https:  github com nextcloud android blob 3aad742e0c1f9d4f44c96bd2b9ca5863c9efb1f6 src main java com owncloud android ui adapter ActivityListAdapter java L257_x000D_
_x000D_
Context getResources() is being called on the passed null value which leads to the crash _x000D_
_x000D_
The issue seems to be fixed when a valid context object is passed to the  setImageDrawable  call _x000D_
_x000D_
PR coming shorty </t>
  </si>
  <si>
    <t>Neamar-KISS-959</t>
  </si>
  <si>
    <t xml:space="preserve">Kiss crashes when the widget is updated from the Play Store </t>
  </si>
  <si>
    <t xml:space="preserve">When there s an update to the widget I use in Kiss  as in update to a newer version of the widget  Kiss crashes when the update is complete  I also have to set Kiss as default launcher again  This is not a big issue but annoying when using a widget that has frequent updates  
  Kiss 3 1 0
  Android 7 0
  Moto G5 
  Using the Chronus widget 
</t>
  </si>
  <si>
    <t>SCCapstone-Cupboard-107</t>
  </si>
  <si>
    <t xml:space="preserve">Crash from Filtering </t>
  </si>
  <si>
    <t>When trying to sort My Cupboard by  Pantry  the app crashes  This is most likely the result of me not having classified any item as a Pantry item  It happens with Freezer and Fridge  Perhaps an issue of a base case  _x000D_
_x000D_
  03   sort pantry crash (https:  user images githubusercontent com 23388365 39098647 f7e66456 463b 11e8 8600 ffad5f4bea13 gif)</t>
  </si>
  <si>
    <t>SCCapstone-Cupboard-105</t>
  </si>
  <si>
    <t xml:space="preserve">Application crashes when trying to exit a shopping list _x000D_
Emulator   Android 8 0 API 27_x000D_
_x000D_
  01   app crash (https:  user images githubusercontent com 23388365 39098499 c42b0a6a 4639 11e8 9b4c 916069e338ae gif)_x000D_
</t>
  </si>
  <si>
    <t>bumptech-glide-3041</t>
  </si>
  <si>
    <t>Requests canceling does not work with okhttp3-integration</t>
  </si>
  <si>
    <t xml:space="preserve">  Glide Version  : 4 6 1_x000D_
_x000D_
  Integration libraries  : okhttp3 integration 4 6 1 aar   works fine with stock networking_x000D_
_x000D_
  Device Android Version  : Samsung SM T531 4 4  Lenovo K33a42 7 0  stock emulator of Nexus 7 2012 8 0_x000D_
_x000D_
  Issue details   Repro steps   Use case background  : _x000D_
Requests for ImageView widgets are not fully canceled  I prepared small demo project for easier problem understanding _x000D_
_x000D_
Steps to reproduce:_x000D_
1  Take this simple demo app: https:  github com avdovichev GlideTest and launch it_x000D_
2  See ImageView widgets arranged into grid  Initially  cells of grid contain placeholder image and with downloading progress they show images with theirs position numbers  In bottom left corner application also shows last bound position  At this point everything is OK _x000D_
3  Scroll down quickly and non stop to latest position (predefined value is 4000  see current position in bottom left corner) _x000D_
4  Once scrolling is completed see that images are not appearing for a long time  This is because requests for recycled ImageViews were not fully canceled  Server log shows that application downloads all images  And even last images were downloaded (appeared on the screen)  application still may be downloading images for scrolled positions  This is first problem _x000D_
5  After scrolling to the latest position wait for 5 10 minutes to let application download  1700   1800 images _x000D_
6  Try to scroll backwards a little   application will freeze or crash  Looks like there are some resources leakage  Logcat output contains complains about buffer allocation failures and many open files  This is the second problem  Most probably caused by first one _x000D_
_x000D_
  Glide load line    GlideModule  (if any)   list Adapter code (if any)  :_x000D_
     Override_x000D_
    public void onBindViewHolder( NonNull final RecyclerView ViewHolder holder _x000D_
                                 final int position)  _x000D_
_x000D_
        final ImageView v   (ImageView) holder itemView _x000D_
_x000D_
        Glide with(context)_x000D_
                 load( http:  45 55 6 132 cards     String valueOf(position   1)     sample png )_x000D_
                 apply(new RequestOptions() placeholder(R drawable placeholder))_x000D_
                 into(v)_x000D_
                 _x000D_
_x000D_
        positionListener onPositionChange(position)     to refresh last bound position_x000D_
     _x000D_
_x000D_
  Layout XML  :_x000D_
  xml version  1 0  encoding  utf 8   _x000D_
 ImageView_x000D_
    xmlns:android  http:  schemas android com apk res android _x000D_
    android:layout width  wrap content _x000D_
    android:layout height  wrap content _x000D_
    android:padding  5dp _x000D_
    android:scaleType  fitCenter _x000D_
    android:adjustViewBounds  true _x000D_
    android:src   drawable placeholder _x000D_
    android:background   android:color black _x000D_
      _x000D_
_x000D_
  Stack trace   LogCat  :_x000D_
    Android 4 4     _x000D_
04 22 23:27:38 427 6775 6775 com example glidetest W Adreno EGL:  qeglDrvAPI eglSwapBuffers:3692 : EGL BAD SURFACE_x000D_
04 22 23:27:38 427 6775 6775 com example glidetest W HardwareRenderer: EGL error: EGL BAD SURFACE_x000D_
04 22 23:27:38 437 6775 6775 com example glidetest W HardwareRenderer: Mountain View  we ve had a problem here  Switching back to software rendering _x000D_
04 22 23:27:38 547 6775 6775 com example glidetest E Surface: dequeueBuffer: IGraphicBufferProducer::requestBuffer failed: 1717840517_x000D_
    dequeueBuffer failed (Unknown error  1717840517)_x000D_
    Surface::unlockAndPost failed  no locked buffer_x000D_
04 22 23:27:38 567 6775 6775 com example glidetest E ViewRootImpl: Could not unlock surface_x000D_
    java lang IllegalArgumentException_x000D_
        at android view Surface nativeUnlockCanvasAndPost(Native Method)_x000D_
        at android view Surface unlockCanvasAndPost(Surface java:281)_x000D_
        at android view ViewRootImpl drawSoftware(ViewRootImpl java:2906)_x000D_
        at android view ViewRootImpl draw(ViewRootImpl java:2805)_x000D_
        at android view ViewRootImpl performDraw(ViewRootImpl java:2643)_x000D_
        at android view ViewRootImpl performTraversals(ViewRootImpl java:2211)_x000D_
        at android view ViewRootImpl doTraversal(ViewRootImpl java:1254)_x000D_
        at android view ViewRootImpl TraversalRunnable run(ViewRootImpl java:6630)_x000D_
        at android view Choreographer CallbackRecord run(Choreographer java:803)_x000D_
4 22 23:28:13 687 6775 6775 com example glidetest W Glide: Load failed for http:  45 55 6 132 cards 3970 sample png with size  190x285 _x000D_
    class com bumptech glide load engine GlideException: Failed to load resource_x000D_
    There were 2 causes:_x000D_
    java net SocketException(socket failed: EMFILE (Too many open files))_x000D_
    java io FileNotFoundException(No content provider: http:  45 55 6 132 cards 3970 sample png)_x000D_
     call GlideException logRootCauses(String) for more detail_x000D_
      Cause (1 of 2): class com bumptech glide load engine GlideException: Fetching data failed  class java io InputStream  REMOTE_x000D_
_x000D_
    Android 7 0     _x000D_
04 22 23:53:02 753 30781 30821 com example glidetest E Parcel: dup() failed in Parcel::read  i is 0  fds i  is  1  fd count is 1  error: Too many open files_x000D_
04 22 23:53:02 759 30781 30821 com example glidetest E Surface: queueBuffer: error queuing buffer to SurfaceTexture   22_x000D_
04 22 23:53:02 760 30781 30821 com example glidetest I Adreno: QueueBuffer: queueBuffer failed_x000D_
04 22 23:53:02 761 30781 30821 com example glidetest W OpenGLRenderer: swapBuffers encountered EGL error 12301 on 0x9e5ade20  halting rendering   _x000D_
_x000D_
    Android 8 0     _x000D_
04 23 00:03:33 329 12746 12746 com example glidetest W Glide: Load failed for http:  45 55 6 132 cards 3976 sample png with size  186x279 _x000D_
    class com bumptech glide load engine GlideException: Failed to load resource_x000D_
    There were 2 causes:_x000D_
    java net SocketException(socket failed: EMFILE (Too many open files))_x000D_
    java io FileNotFoundException(No content provider: http:  45 55 6 132 cards 3976 sample png)_x000D_
     call GlideException logRootCauses(String) for more detail_x000D_
      Cause (1 of 2): class com bumptech glide load engine GlideException: Fetching data failed  class java io InputStream  REMOTE_x000D_
    There was 1 cause:_x000D_
    java net SocketException(socket failed: EMFILE (Too many open files))_x000D_
     call GlideException logRootCauses(String) for more detail_x000D_
_x000D_
Why I use okhttp3 integration:_x000D_
Android versions prior to 5 0 have TLS v1 2 support turned off by default  Stock networking fails to get images from server where only TLS v1 2 is allowed  okhttp3 library turns TLS v1 2 support on and solves this problem _x000D_
_x000D_
Small demo project:_x000D_
https:  github com avdovichev GlideTest_x000D_
_x000D_
Mountain View  we have a problem :)_x000D_
</t>
  </si>
  <si>
    <t>lineargs-WatchNextApp-28</t>
  </si>
  <si>
    <t>Null Pointer Eception</t>
  </si>
  <si>
    <t>The app crashes when setting up the Imdb button  throwing Null Pointer Exception</t>
  </si>
  <si>
    <t>nextcloud-android-2498</t>
  </si>
  <si>
    <t>Crash when trying to use mosaic display</t>
  </si>
  <si>
    <t xml:space="preserve">Each time I try to display ly files in mosaic mode in nextcloud android 3 1 on my OnePlus 5 phone with Android 8 0  the application crashes 
I sent comments with full journal from within Android when it last happened </t>
  </si>
  <si>
    <t>nextcloud-android-2497</t>
  </si>
  <si>
    <t>Crash when hitting photo menu</t>
  </si>
  <si>
    <t xml:space="preserve">Each time I hit the photo menu on nextcloud android 3 1 on my oneplus 5 with Android 8 0 0  the application crashes 
I sent comments from within the phone when it happened last time </t>
  </si>
  <si>
    <t>TeamNewPipe-NewPipe-1338</t>
  </si>
  <si>
    <t>Show notification on SD card download</t>
  </si>
  <si>
    <t xml:space="preserve">We still get way to many issues about downloading to SD card _x000D_
_x000D_
I think until the new Download manager is there it might be a good idea to show a notification once the app crashes because of accessing extSD  We could add an option there to reset the download folder back to default </t>
  </si>
  <si>
    <t>UTurista-PRSPY-6</t>
  </si>
  <si>
    <t>RTL Crash</t>
  </si>
  <si>
    <t>App crashes on LTR devices when attempting to open the layouts menu</t>
  </si>
  <si>
    <t>Azure-azure-iot-sdk-java-229</t>
  </si>
  <si>
    <t>Android app crashes when trying to run service client SDK</t>
  </si>
  <si>
    <t xml:space="preserve">I m trying to use this Service SDK   com microsoft azure sdk iot:iot service client:1 9 25   on an android application extending the  android sample  project here  but it immediately crashes once I run it  _x000D_
I m using a real device running Android Oreo 8 0 (API 26)  _x000D_
The code is barely the same as the sample except I added the Service SDK dependency in the build gradle  after which the app crashes upon startup directly  _x000D_
Worth mentioning that it crashes too on any emulator running API 26  but surprisingly works normally on emulator running API 27 and without any code changes  )  _x000D_
_x000D_
So any idea why is this happening and how to make it run on API 26 physical device   _x000D_
_x000D_
_x000D_
  Here s my build gradle:  _x000D_
_x000D_
_x000D_
    apply plugin:  com android application _x000D_
    _x000D_
    android  _x000D_
         compileSdkVersion 26_x000D_
         defaultConfig  _x000D_
         applicationId  com example jimmy android iothub _x000D_
         minSdkVersion 26_x000D_
         targetSdkVersion 26_x000D_
         versionCode 1_x000D_
         versionName  1 0 _x000D_
         testInstrumentationRunner  android support test runner AndroidJUnitRunner _x000D_
      _x000D_
         buildTypes  _x000D_
             release  _x000D_
               minifyEnabled false_x000D_
               proguardFiles getDefaultProguardFile( proguard android txt )   proguard rules pro _x000D_
         _x000D_
     _x000D_
_x000D_
    packagingOptions  _x000D_
        exclude  META INF MSFTSIG SF _x000D_
        exclude  META INF MSFTSIG RSA _x000D_
        exclude  META INF DEPENDENCIES _x000D_
        exclude  META INF NOTICE _x000D_
        exclude  META INF LICENSE _x000D_
        exclude  META INF LICENSE txt _x000D_
        exclude  META INF NOTICE txt _x000D_
        exclude  thirdpartynotice txt _x000D_
         _x000D_
     _x000D_
_x000D_
    dependencies  _x000D_
        implementation fileTree(dir:  libs   include:     jar  )_x000D_
        implementation  com android support:appcompat v7:26 1 0 _x000D_
        implementation  com android support constraint:constraint layout:1 1 0 _x000D_
        implementation  com android support:design:26 1 0 _x000D_
        testImplementation  junit:junit:4 12 _x000D_
        androidTestImplementation  com android support test:runner:1 0 1 _x000D_
        androidTestImplementation  com android support test espresso:espresso core:3 0 1 _x000D_
     _x000D_
_x000D_
    repositories  _x000D_
        mavenCentral()_x000D_
     _x000D_
_x000D_
    dependencies  _x000D_
           Remote binary dependency_x000D_
        compile  com microsoft azure sdk iot:iot device client:1 5 37 _x000D_
        compile  com microsoft azure sdk iot:iot service client:1 9 25 _x000D_
     _x000D_
</t>
  </si>
  <si>
    <t>niclabs-adkintunmobile-androidclient-191</t>
  </si>
  <si>
    <t>SitePreference.java line 16</t>
  </si>
  <si>
    <t xml:space="preserve">     in cl niclabs adkintunmobile utils activemeasurements connectivitytest SitePreference 
  Number of crashes: 1
  Impacted devices: 1
There s a lot more information about this crash on crashlytics com:
 https:  fabric io niclabs android apps cl niclabs adkintunmobile issues 5adb10cc36c7b23527906353 utm medium service hooks github utm source issue impact (https:  fabric io niclabs android apps cl niclabs adkintunmobile issues 5adb10cc36c7b23527906353 utm medium service hooks github utm source issue impact)</t>
  </si>
  <si>
    <t>aajfranklin-Mobile-Sensing-Android-19</t>
  </si>
  <si>
    <t>Dev branch - close app if write permission is denied</t>
  </si>
  <si>
    <t xml:space="preserve">App not closing is not in itself a bug  but attempt to turn on toggle switch will cause crash without write permission  Preempt by closing the app for now  later can implement option to turn on off saving data and lock this option to off if permission not granted </t>
  </si>
  <si>
    <t>react-native-camera-react-native-camera-1504</t>
  </si>
  <si>
    <t>App crash when using tack picture on Samsung Galaxy A7 device</t>
  </si>
  <si>
    <t xml:space="preserve">Hi every one  I has issue  _x000D_
_x000D_
    Description: _x000D_
When I using device Samsung Galaxy A7 tack picture  then app crash  I call logcat  and this result:_x000D_
_x000D_
  _x000D_
  screen shot 2018 04 20 at 5 16 15 pm (https:  user images githubusercontent com 25562336 39046453 75587da2 44c0 11e8 8993 f1f28eaa82a6 png)_x000D_
And file full log: _x000D_
 log cat txt (https:  github com react native community react native camera files 1931749 log cat txt)_x000D_
_x000D_
_x000D_
_x000D_
    Expected behaviour_x000D_
Get uri image_x000D_
_x000D_
    Actual behaviour_x000D_
App crash_x000D_
_x000D_
    Environment_x000D_
    React Native platform   platform version  : Android 7 0   Samsung Galaxy A7   Version 8 1_x000D_
_x000D_
    react native camera_x000D_
  Version  : v1 10_x000D_
_x000D_
  Love react native camera  Please consider supporting our collective:    https:  opencollective com react native camera donate_x000D_
</t>
  </si>
  <si>
    <t>Karumi-Rosie-94</t>
  </si>
  <si>
    <t>Rosie incompatible with android.arch.lifecycle ¿?</t>
  </si>
  <si>
    <t xml:space="preserve">Hi I m trying to implement a Lifecycle observer using android arch components and it crashes  seems the cause is RosieApplication  android arch is unable to get ApplicationContext  so crash because is null _x000D_
_x000D_
   _x000D_
 java lang RuntimeException: Unable to get provider android arch lifecycle ProcessLifecycleOwnerInitializer: java lang NullPointerException: Attempt to invoke virtual method  void android app Application registerActivityLifecycleCallbacks(android app Application ActivityLifecycleCallbacks)  on a null object reference_x000D_
                                                          at android app ActivityThread installProvider(ActivityThread java:5156)_x000D_
                                                          at android app ActivityThread installContentProviders(ActivityThread java:4748)_x000D_
                                                          at android app ActivityThread handleBindApplication(ActivityThread java:4688)_x000D_
                                                          at android app ActivityThread  wrap1(ActivityThread java)_x000D_
                                                          at android app ActivityThread H handleMessage(ActivityThread java:1405)_x000D_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Caused by: java lang NullPointerException: Attempt to invoke virtual method  void android app Application registerActivityLifecycleCallbacks(android app Application ActivityLifecycleCallbacks)  on a null object reference_x000D_
                                                          at android arch lifecycle LifecycleDispatcher init(LifecycleDispatcher java:59)_x000D_
                                                          at android arch lifecycle ProcessLifecycleOwnerInitializer onCreate(ProcessLifecycleOwnerInitializer java:35)_x000D_
                                                          at android content ContentProvider attachInfo(ContentProvider java:1748)_x000D_
                                                          at android content ContentProvider attachInfo(ContentProvider java:1723)_x000D_
                                                          at android app ActivityThread installProvider(ActivityThread java:5153)_x000D_
                                                          at android app ActivityThread installContentProviders(ActivityThread java:4748) _x000D_
                                                          at android app ActivityThread handleBindApplication(ActivityThread java:4688) _x000D_
                                                          at android app ActivityThread  wrap1(ActivityThread java) _x000D_
                                                          at android app ActivityThread H handleMessage(ActivityThread java:1405) _x000D_
                                                          at android os Handler dispatchMessage(Handler java:102) _x000D_
                                                          at android os Looper loop(Looper java:148) _x000D_
                                                          at android app ActivityThread main(ActivityThread java:5417) _x000D_
                                                          at java lang reflect Method invoke(Native Method) _x000D_
                                                          at com android internal os ZygoteInit MethodAndArgsCaller run(ZygoteInit java:726) _x000D_
                                                          at com android internal os ZygoteInit main(ZygoteInit java:616) _x000D_
   _x000D_
_x000D_
Do you know how can I integrate both parts _x000D_
_x000D_
</t>
  </si>
  <si>
    <t>OneBusAway-onebusaway-android-870</t>
  </si>
  <si>
    <t xml:space="preserve">IllegalStateException in ES SDK onTokenRequestCompleted() </t>
  </si>
  <si>
    <t xml:space="preserve">  Summary:   _x000D_
_x000D_
Issue documented in Embedded Social SDK   https:  github com Microsoft EmbeddedSocial Android SDK issues 88   it needs to first be fixed there _x000D_
_x000D_
From the OneBusAway Android rollout via the Android Developer Console   affecting 3 users (3 crashes):_x000D_
_x000D_
   _x000D_
java lang IllegalStateException: _x000D_
  at android support v4 app Fragment getResources (Fragment java:608)_x000D_
  at android support v4 app Fragment getString (Fragment java:632)_x000D_
  at com microsoft embeddedsocial c d 1 onTokenRequestCompleted (Unknown Source:30)_x000D_
  at net openid appauth AuthorizationService TokenRequestTask onPostExecute (AuthorizationService java:308)_x000D_
  at net openid appauth AuthorizationService TokenRequestTask onPostExecute (AuthorizationService java:238)_x000D_
  at android os AsyncTask finish (AsyncTask java:695)_x000D_
  at android os AsyncTask  wrap1 (Unknown Source)_x000D_
  at android os AsyncTask InternalHandler handleMessage (AsyncTask java:712)_x000D_
  at android os Handler dispatchMessage (Handler java:105)_x000D_
  at android os Looper loop (Looper java:164)_x000D_
  at android app ActivityThread main (ActivityThread java:6940)_x000D_
  at java lang reflect Method invoke (Native Method)_x000D_
  at com android internal os Zygote MethodAndArgsCaller run (Zygote java:327)_x000D_
  at com android internal os ZygoteInit main (ZygoteInit java:1374)_x000D_
   _x000D_
_x000D_
I m assuming this happens when someone tries to log into Embedded Social in the OBA app and then closes it  likely under poor wireless conditions that cause a significant delay in onTokenRequestCompleted() returning _x000D_
_x000D_
_x000D_
  Steps to reproduce:   _x000D_
_x000D_
Unknown_x000D_
_x000D_
  Expected behavior:   _x000D_
_x000D_
Not crash_x000D_
_x000D_
  Observed behavior:   _x000D_
_x000D_
Crash_x000D_
_x000D_
  Device and Android version:   _x000D_
_x000D_
Devices affected:_x000D_
  Samsung Galaxy Note8 (greatqlte)  6144MB RAM  Android 8 0_x000D_
  Google Pixel 2 (walleye)  4096MB RAM  Android 8 1_x000D_
  ZTE Blade X Max (stollen)  2048MB RAM  Android 7 1_x000D_
_x000D_
Note that the Note 8 and Pixel 2 are affected  so this does affect flagship devices</t>
  </si>
  <si>
    <t>microsoft-EmbeddedSocial-Android-SDK-88</t>
  </si>
  <si>
    <t>IllegalStateException in onTokenRequestCompleted()</t>
  </si>
  <si>
    <t>From the OneBusAway Android rollout via the Android Developer Console   affecting 3 users (3 crashes):_x000D_
_x000D_
   _x000D_
java lang IllegalStateException: _x000D_
  at android support v4 app Fragment getResources (Fragment java:608)_x000D_
  at android support v4 app Fragment getString (Fragment java:632)_x000D_
  at com microsoft embeddedsocial c d 1 onTokenRequestCompleted (Unknown Source:30)_x000D_
  at net openid appauth AuthorizationService TokenRequestTask onPostExecute (AuthorizationService java:308)_x000D_
  at net openid appauth AuthorizationService TokenRequestTask onPostExecute (AuthorizationService java:238)_x000D_
  at android os AsyncTask finish (AsyncTask java:695)_x000D_
  at android os AsyncTask  wrap1 (Unknown Source)_x000D_
  at android os AsyncTask InternalHandler handleMessage (AsyncTask java:712)_x000D_
  at android os Handler dispatchMessage (Handler java:105)_x000D_
  at android os Looper loop (Looper java:164)_x000D_
  at android app ActivityThread main (ActivityThread java:6940)_x000D_
  at java lang reflect Method invoke (Native Method)_x000D_
  at com android internal os Zygote MethodAndArgsCaller run (Zygote java:327)_x000D_
  at com android internal os ZygoteInit main (ZygoteInit java:1374)_x000D_
   _x000D_
_x000D_
I m assuming this happens when someone tries to log into Embedded Social in the OBA app and then closes it  likely under poor wireless conditions that cause a significant delay in onTokenRequestCompleted() returning _x000D_
_x000D_
Devices affected:_x000D_
  Samsung Galaxy Note8 (greatqlte)  6144MB RAM  Android 8 0_x000D_
  Google Pixel 2 (walleye)  4096MB RAM  Android 8 1_x000D_
  ZTE Blade X Max (stollen)  2048MB RAM  Android 7 1_x000D_
_x000D_
Note that the Note 8 and Pixel 2 are affected  so this does affect flagship devices</t>
  </si>
  <si>
    <t>JamMarHer-ProjectParadise-2</t>
  </si>
  <si>
    <t>Initial Activity doesn't properly respond when there's no internet.</t>
  </si>
  <si>
    <t xml:space="preserve">The logic flow in the initial activity class is quite bad  When there s no internet connection the app either crashes or displays an improper animation  A good solution for this would be to separate the animation activity and the login register form  This will add more structure and better flow  </t>
  </si>
  <si>
    <t>square-okhttp-3973</t>
  </si>
  <si>
    <t>Unexpected TLS version: NONE</t>
  </si>
  <si>
    <t xml:space="preserve">These days so many crashes happened in our app  About 200  Android devices has happened  And it s always happend on Andorid 8 1 0  The OkHttp s version I used is 3 10 0 _x000D_
_x000D_
This is the crash s stack information_x000D_
   _x000D_
0 java lang IllegalArgumentException: Unexpected TLS version: NONE_x000D_
1 okhttp3 TlsVersion forJavaName(TlsVersion java:46)_x000D_
2 okhttp3 Handshake get(Handshake java:55)_x000D_
3 okhttp3 internal connection RealConnection connectTls(RealConnection java:242)_x000D_
4 okhttp3 internal connection RealConnection establishProtocol(RealConnection java:198)_x000D_
5 okhttp3 internal connection RealConnection buildConnection(RealConnection java:174)_x000D_
6 okhttp3 internal connection RealConnection connect(RealConnection java:114)_x000D_
7 okhttp3 internal connection StreamAllocation findConnection(StreamAllocation java:193)_x000D_
8 okhttp3 internal connection StreamAllocation findHealthyConnection(StreamAllocation java:129)_x000D_
9 okhttp3 internal connection StreamAllocation newStream(StreamAllocation java:98)_x000D_
10 okhttp3 internal connection ConnectInterceptor intercept(ConnectInterceptor java:42)_x000D_
11 okhttp3 internal http RealInterceptorChain proceed(RealInterceptorChain java:92)_x000D_
12 okhttp3 internal http RealInterceptorChain proceed(RealInterceptorChain java:67)_x000D_
13 okhttp3 internal cache CacheInterceptor intercept(CacheInterceptor java:109)_x000D_
14 okhttp3 internal http RealInterceptorChain proceed(RealInterceptorChain java:92)_x000D_
15 okhttp3 internal http RealInterceptorChain proceed(RealInterceptorChain java:67)_x000D_
16 okhttp3 internal http BridgeInterceptor intercept(BridgeInterceptor java:93)_x000D_
17 okhttp3 internal http RealInterceptorChain proceed(RealInterceptorChain java:92)_x000D_
18 okhttp3 internal http RetryAndFollowUpInterceptor intercept(RetryAndFollowUpInterceptor java:124)_x000D_
19 okhttp3 internal http RealInterceptorChain proceed(RealInterceptorChain java:92)_x000D_
20 okhttp3 internal http RealInterceptorChain proceed(RealInterceptorChain java:67)_x000D_
21 com weidian lib imagehunter glidehunter okhttp3 OkHttpUrlLoader Factory 1 intercept(OkHttpUrlLoader java:63)_x000D_
22 okhttp3 internal http RealInterceptorChain proceed(RealInterceptorChain java:92)_x000D_
23 okhttp3 internal http RealInterceptorChain proceed(RealInterceptorChain java:67)_x000D_
24 okhttp3 RealCall getResponseWithInterceptorChain(RealCall java:170)_x000D_
25 okhttp3 RealCall access 100(RealCall java:33)_x000D_
26 okhttp3 RealCall AsyncCall execute(RealCall java:120)_x000D_
27 okhttp3 internal NamedRunnable run(NamedRunnable java:32)_x000D_
28 java util concurrent ThreadPoolExecutor runWorker(ThreadPoolExecutor java:1162)_x000D_
29 java util concurrent ThreadPoolExecutor Worker run(ThreadPoolExecutor java:636)_x000D_
30 java lang Thread run(Thread java:764)_x000D_
   _x000D_
_x000D_
I found that OkHttp will not callback when java lang IllegalArgumentException happend _x000D_
This exception is thrown by   TlsVersion forJavaName   method_x000D_
_x000D_
   _x000D_
public static TlsVersion forJavaName(String javaName)  _x000D_
  switch (javaName)  _x000D_
    case  TLSv1 3 :_x000D_
      return TLS 1 3 _x000D_
    case  TLSv1 2 :_x000D_
      return TLS 1 2 _x000D_
    case  TLSv1 1 :_x000D_
      return TLS 1 1 _x000D_
    case  TLSv1 :_x000D_
      return TLS 1 0 _x000D_
    case  SSLv3 :_x000D_
      return SSL 3 0 _x000D_
   _x000D_
  throw new IllegalArgumentException( Unexpected TLS version:     javaName) _x000D_
 _x000D_
   _x000D_
_x000D_
When invoke call s enqueue method to get result async  if this exception happened  it will not callback onFailure method  And also I can t catch it _x000D_
_x000D_
   _x000D_
client newCall(request) enqueue(new Callback()  _x000D_
     Override_x000D_
    public void onFailure(Call call  IOException e)  _x000D_
_x000D_
     _x000D_
_x000D_
     Override_x000D_
    public void onResponse(Call call  Response response) throws IOException  _x000D_
_x000D_
     _x000D_
 ) _x000D_
   _x000D_
_x000D_
   _x000D_
final class AsyncCall extends NamedRunnable  _x000D_
  private final Callback responseCallback _x000D_
_x000D_
   Override protected void execute()  _x000D_
    boolean signalledCallback   false _x000D_
    try  _x000D_
      Response response   getResponseWithInterceptorChain() _x000D_
      if (retryAndFollowUpInterceptor isCanceled())  _x000D_
        signalledCallback   true _x000D_
        responseCallback onFailure(RealCall this  new IOException( Canceled )) _x000D_
        else  _x000D_
        signalledCallback   true _x000D_
        responseCallback onResponse(RealCall this  response) _x000D_
       _x000D_
      catch (IOException e)  _x000D_
        only IOException will catch and callback onFailure method_x000D_
      if (signalledCallback)  _x000D_
           Do not signal the callback twice _x000D_
        Platform get() log(INFO   Callback failure for     toLoggableString()  e) _x000D_
        else  _x000D_
        responseCallback onFailure(RealCall this  e) _x000D_
       _x000D_
      finally  _x000D_
      client dispatcher() finished(this) _x000D_
     _x000D_
   _x000D_
 _x000D_
   _x000D_
_x000D_
Is there any solution  Thank you </t>
  </si>
  <si>
    <t>maks-MGit-325</t>
  </si>
  <si>
    <t>NPE from getLocalizedMessage() usage</t>
  </si>
  <si>
    <t xml:space="preserve">Need to remove usage of getLocalizedMessage() on exceptions as its not needed for crash reporting as exception error messages should enver be shown to users _x000D_
_x000D_
Crash reported via ACRA_x000D_
_x000D_
USER COMMENT _x000D_
ANDROID VERSION 7 1 2_x000D_
APP VERSION NAME 1 5 4 2_x000D_
BRAND Xiaomi_x000D_
PHONE MODEL Redmi 5_x000D_
CUSTOM DATA _x000D_
STACK TRACE java lang NullPointerException: Attempt to invoke virtual method  java lang String java lang Throwable getLocalizedMessage()  on a null object reference_x000D_
at me sheimi sgit repo tasks repo RepoOpTask onPostExecute(RepoOpTask java:31)_x000D_
at me sheimi sgit repo tasks repo CheckoutTask onPostExecute(CheckoutTask java:29)_x000D_
at me sheimi sgit repo tasks repo CheckoutTask onPostExecute(CheckoutTask java:10)_x000D_
at android os AsyncTask finish(AsyncTask java:667)_x000D_
at android os AsyncTask  wrap1(AsyncTask java)_x000D_
at android os AsyncTask InternalHandler handleMessage(AsyncTask java:684)_x000D_
at android os Handler dispatchMessage(Handler java:102)_x000D_
at android os Looper loop(Looper java:163)_x000D_
at android app ActivityThread main(ActivityThread java:6205)_x000D_
at java lang reflect Method invoke(Native Method)_x000D_
at com android internal os ZygoteInit MethodAndArgsCaller run(ZygoteInit java:904)_x000D_
at com android internal os ZygoteInit main(ZygoteInit java:794)_x000D_
</t>
  </si>
  <si>
    <t>PhilJay-MPAndroidChart-3959</t>
  </si>
  <si>
    <t>CombinedChart crashes randomly : Attempt to read from null array in BarChartRenderer</t>
  </si>
  <si>
    <t xml:space="preserve">Hello and thank you for all your work creating this library _x000D_
 PhilJay  can you tell me if this is a bug or is there something I m doing wrong _x000D_
_x000D_
I m having a really hard time finding the source of this   random   crash _x000D_
Thank you very much for your help _x000D_
_x000D_
Here is a  link to the stackOverflow (https:  stackoverflow com questions 49905089 mpandroidchart combinedchart crashes randomly barchartrenderer) question I created  I provided a sample code and the full stacktrace </t>
  </si>
  <si>
    <t>inaturalist-iNaturalistAndroid-505</t>
  </si>
  <si>
    <t>Czech formatting bug</t>
  </si>
  <si>
    <t xml:space="preserve">Set your phone to Czech (Cestina)  go to explore and search for obs by the user inara and include casual obs to find https:  www inaturalist org observations 11029552  then try to add an ID and let suggestions load to trigger the crash  Here s a log file:_x000D_
 format crash log (https:  github com inaturalist iNaturalistAndroid files 1925008 format crash log)_x000D_
_x000D_
Doesn t seem to happen in all situations  so maybe it s one of the results  or maybe it s only when there s a common ancestor _x000D_
_x000D_
Check the other recently added locales for this too </t>
  </si>
  <si>
    <t>nextcloud-android-2480</t>
  </si>
  <si>
    <t>App crash (beta) with "Bad notification for startForeground"</t>
  </si>
  <si>
    <t xml:space="preserve">    Actual behaviour_x000D_
App crash with notification staying at 0  all the time _x000D_
Files seems to get uploaded though _x000D_
App keeps crashing and no way to get it back _x000D_
When I open it again  files get uploaded _x000D_
_x000D_
When I take another photo  it crashes again (but files get uploaded etc) _x000D_
_x000D_
    Expected behaviour_x000D_
App should continue working_x000D_
 _x000D_
    Steps to reproduce_x000D_
Latest beta (14 04 2018 )  Always reproduced when auto uploading files _x000D_
_x000D_
_x000D_
    Environment data_x000D_
Android version:_x000D_
Lineage 15 1 (8 )_x000D_
_x000D_
Device model:_x000D_
Xiaomi 4X_x000D_
_x000D_
Stock or customized system:_x000D_
Lineage_x000D_
_x000D_
Nextcloud app version:_x000D_
14 04 2018 _x000D_
_x000D_
Nextcloud server version:_x000D_
13 0_x000D_
_x000D_
    Logs_x000D_
_x000D_
     Nextcloud log (data nextcloud log)_x000D_
   _x000D_
04 18 08:33:12 564 20632 20632 com nextcloud android beta E AndroidRuntime: FATAL EXCEPTION: main_x000D_
                                                                            Process: com nextcloud android beta  PID: 20632_x000D_
                                                                            android app RemoteServiceException: Bad notification for startForeground: java lang RuntimeException: invalid channel for service notification: Notification(channel null pri 0 contentView null vibrate null sound null defaults 0x0 flags 0x40 color 0xff0082c8 vis PRIVATE)_x000D_
                                                                                at android app ActivityThread H handleMessage(ActivityThread java:1768)_x000D_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java:440)_x000D_
                                                                                at com android internal os ZygoteInit main(ZygoteInit java:807)_x000D_
   _x000D_
_x000D_
</t>
  </si>
  <si>
    <t>oliexdev-openScale-245</t>
  </si>
  <si>
    <t>Crash with new version</t>
  </si>
  <si>
    <t xml:space="preserve">Please find below the crash report_x000D_
_x000D_
Build version: 1 7 2 _x000D_
Build date: 1980 01 01 00:00:00 _x000D_
Current date: 2018 04 18 07:51:29 _x000D_
Device: HUAWEI EVA L09 _x000D_
 _x000D_
Stack trace:  _x000D_
java lang RuntimeException: Unable to destroy activity  com health openscale com health openscale gui MainActivity : java lang NullPointerException: Null reference used for synchronization (monitor enter)_x000D_
	at android app ActivityThread performDestroyActivity(ActivityThread java:4398)_x000D_
	at android app ActivityThread handleDestroyActivity(ActivityThread java:4417)_x000D_
	at android app ActivityThread  wrap6(ActivityThread java)_x000D_
	at android app ActivityThread H handleMessage(ActivityThread java:1629)_x000D_
	at android os Handler dispatchMessage(Handler java:105)_x000D_
	at android os Looper loop(Looper java:156)_x000D_
	at android app ActivityThread main(ActivityThread java:6523)_x000D_
	at java lang reflect Method invoke(Native Method)_x000D_
	at com android internal os ZygoteInit MethodAndArgsCaller run(ZygoteInit java:942)_x000D_
	at com android internal os ZygoteInit main(ZygoteInit java:832)_x000D_
Caused by: java lang NullPointerException: Null reference used for synchronization (monitor enter)_x000D_
	at com health openscale core bluetooth BluetoothCommunication handleRequests(BluetoothCommunication java:384)_x000D_
	at com health openscale core bluetooth BluetoothCommunication setBtMachineState(BluetoothCommunication java:197)_x000D_
	at com health openscale core bluetooth BluetoothCommunication disconnect(BluetoothCommunication java:348)_x000D_
	at com health openscale core OpenScale disconnectFromBluetoothDevice(OpenScale java:499)_x000D_
	at com health openscale gui MainActivity onDestroy(MainActivity java:200)_x000D_
	at android app Activity performDestroy(Activity java:7141)_x000D_
	at android app Instrumentation callActivityOnDestroy(Instrumentation java:1158)_x000D_
	at android app ActivityThread performDestroyActivity(ActivityThread java:4385)_x000D_
	    9 more_x000D_
_x000D_
User actions: _x000D_
2018 04 18 07:50:59: MainActivity resumed_x000D_
2018 04 18 07:51:16: MainActivity paused_x000D_
</t>
  </si>
  <si>
    <t>Amuff1n-Study-Buddy-27</t>
  </si>
  <si>
    <t>Immediate crash after creating group</t>
  </si>
  <si>
    <t xml:space="preserve">Application crashes immediately after creating a group  though works fine when reopened  Has something to do with the ShortDateFormat </t>
  </si>
  <si>
    <t>prolificinteractive-material-calendarview-754</t>
  </si>
  <si>
    <t>Fatal Exception: java.lang.IndexOutOfBoundsException Invalid index 0, size is 0</t>
  </si>
  <si>
    <t xml:space="preserve">This crash issue happened on 2 device which are _x000D_
Device 1 _x000D_
Model : HTC One Google Play edition_x000D_
Version :  5 1_x000D_
_x000D_
Device 2 _x000D_
Model :  P9_x000D_
Version :  7 0_x000D_
_x000D_
Below are the log i caught from Firebase Crashlytics _x000D_
_x000D_
java util ArrayList get (ArrayList java:411)_x000D_
android support v4 view ViewPager performDrag (SourceFile:2318)_x000D_
android support v4 view ViewPager onTouchEvent (SourceFile:2236)_x000D_
arrow right_x000D_
com prolificinteractive materialcalendarview CalendarPager onTouchEvent (SourceFile:41)_x000D_
android view View dispatchTouchEvent (View java:10012)_x000D_
android view ViewGroup dispatchTransformedTouchEvent (ViewGroup java:2665)_x000D_
android view ViewGroup dispatchTouchEvent (ViewGroup java:2344)_x000D_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android view ViewGroup dispatchTransformedTouchEvent (ViewGroup java:2671)_x000D_
android view ViewGroup dispatchTouchEvent (ViewGroup java:2358)_x000D_
com android internal policy DecorView superDispatchTouchEvent (DecorView java:447)_x000D_
_x000D_
The version library i am using are_x000D_
compile  com prolificinteractive:material calendarview:1 4 3 _x000D_
_x000D_
May i know what is the possible cause for this issue  _x000D_
How can i fix for this  _x000D_
_x000D_
_x000D_
_x000D_
_x000D_
</t>
  </si>
  <si>
    <t>inaturalist-iNaturalistAndroid-503</t>
  </si>
  <si>
    <t>Passing an int to a string format</t>
  </si>
  <si>
    <t>https:  fabric io inaturalist android apps org inaturalist android issues 5ad5672736c7b23527f9fc17 time last seven days_x000D_
_x000D_
Not sure why this is showing up all of a sudden  but there are a lot of crashes in build 278</t>
  </si>
  <si>
    <t>jianzhaojohn-Habit-Rabbit-148</t>
  </si>
  <si>
    <t>[BUG] Crashes on my phone</t>
  </si>
  <si>
    <t xml:space="preserve">Running Android version 7 1 1  which is exactly API 25  but crashes whenever I try to open the app  Might not be reproducable and is some sort of compatibility issue  since the phone I m using is a ZTE Axon 7  </t>
  </si>
  <si>
    <t>Yalantis-uCrop-408</t>
  </si>
  <si>
    <t>Crash during crop bitmap creation (x + width must be &lt;= bitmap.width())</t>
  </si>
  <si>
    <t xml:space="preserve">Hi uCrop team _x000D_
_x000D_
I have integrated uCrop using following code:_x000D_
val sourceUri   data data_x000D_
            val destinationUri   Uri fromFile(File(getCacheDir()   photoFromGallery jpg ))_x000D_
            val ratioX   cameraView measuredWidth toFloat()_x000D_
            val ratioY   cameraView measuredHeight toFloat()_x000D_
            val options   UCrop Options()_x000D_
            options setToolbarColor(ContextCompat getColor(context  R color gallery primary))_x000D_
            options setStatusBarColor(ContextCompat getColor(context  R color gallery dark))_x000D_
            options setToolbarTitle(context getString(R string gallery edit photo))_x000D_
            UCrop of(sourceUri  destinationUri)_x000D_
                     withAspectRatio(ratioX  ratioY)_x000D_
                     withMaxResultSize(MAX PHOTO SIZE  MAX PHOTO SIZE)_x000D_
                     withOptions(options)_x000D_
                     start(context  this)_x000D_
_x000D_
It works just fine in most cases  Thank you  _x000D_
But we have found the following crashes in crashlytics (about 30 crashes per week): _x000D_
_x000D_
Caused by java lang IllegalArgumentException: x   width must be    bitmap width()_x000D_
       at android graphics Bitmap createBitmap(Bitmap java:826)_x000D_
       at android graphics Bitmap createBitmap(Bitmap java:793)_x000D_
       at com yalantis ucrop task BitmapCropTask crop(SourceFile:152)_x000D_
       at com yalantis ucrop task BitmapCropTask doInBackground(SourceFile:95)_x000D_
       at com yalantis ucrop task BitmapCropTask doInBackground(SourceFile:35)_x000D_
       at android os AsyncTask 2 call(AsyncTask java:304)_x000D_
       at java util concurrent FutureTask run(FutureTask java:237)_x000D_
       at android os AsyncTask SerialExecutor 1 run(AsyncTask java:243)_x000D_
       at java util concurrent ThreadPoolExecutor runWorker(ThreadPoolExecutor java:1133)_x000D_
       at java util concurrent ThreadPoolExecutor Worker run(ThreadPoolExecutor java:607)_x000D_
       at java lang Thread run(Thread java:762)_x000D_
_x000D_
Not sure how to reproduce it  _x000D_
Could you  please  fix it  Maybe I can change the client code to avoid this crash _x000D_
_x000D_
uCrop version 2 2 1   _x000D_
  android versions (https:  user images githubusercontent com 4159785 38839758 33c090a0 41aa 11e8 8013 b33ce71e33b4 png)_x000D_
</t>
  </si>
  <si>
    <t>Purdue-ACM-SIGApp-BoilerFaves-39</t>
  </si>
  <si>
    <t>Crash in select food activity</t>
  </si>
  <si>
    <t xml:space="preserve">After opening the select food activity  the progress bar was displayed for a few seconds before the app crashed  Not sure what caused this and was unable to replicate </t>
  </si>
  <si>
    <t>Purdue-ACM-SIGApp-BoilerFaves-38</t>
  </si>
  <si>
    <t>Crash on new install</t>
  </si>
  <si>
    <t>The app crashed when I opened it after deleting its storage</t>
  </si>
  <si>
    <t>react-native-camera-react-native-camera-1486</t>
  </si>
  <si>
    <t>java.lang.ArrayIndexOutOfBoundsException when loading camera view</t>
  </si>
  <si>
    <t xml:space="preserve">Using RNCamera _x000D_
react native camera version 1 1 1_x000D_
 react :  16 0 0  _x000D_
 react native :  0 51 0  _x000D_
_x000D_
Testing on Genymotion and actual device_x000D_
_x000D_
    Actual behaviour_x000D_
App crashes with the following logcat on Android_x000D_
 04 16 06:51:36 372   376  2146 V EmulatedCamera CallbackNotifier:      Currently enabled messages:_x000D_
04 16 06:51:36 372   376  2146 V EmulatedCamera CallbackNotifier:     CAMERA MSG ERROR_x000D_
04 16 06:51:36 372   376  2146 V EmulatedCamera CallbackNotifier:     CAMERA MSG FOCUS_x000D_
04 16 06:51:36 372   376  2146 V EmulatedCamera CallbackNotifier:     CAMERA MSG ZOOM_x000D_
04 16 06:51:36 372   376  2146 V EmulatedCamera CallbackNotifier:     CAMERA MSG PREVIEW METADATA_x000D_
04 16 06:51:36 372  2007  2007 E AndroidRuntime: FATAL EXCEPTION: main_x000D_
04 16 06:51:36 372  2007  2007 E AndroidRuntime: Process: com aerobittech okfit  PID: 2007_x000D_
04 16 06:51:36 372  2007  2007 E AndroidRuntime: java lang ArrayIndexOutOfBoundsException: length 115200  index 115679_x000D_
04 16 06:51:36 372  2007  2007 E AndroidRuntime: 	at org reactnative camera RNCameraView 1 rotateImage(RNCameraView java:111)_x000D_
04 16 06:51:36 372  2007  2007 E AndroidRuntime: 	at org reactnative camera RNCameraView 1 onFramePreview(RNCameraView java:126)_x000D_
04 16 06:51:36 372  2007  2007 E AndroidRuntime: 	at com google android cameraview CameraView CallbackBridge onFramePreview(CameraView java:558)_x000D_
04 16 06:51:36 372  2007  2007 E AndroidRuntime: 	at com google android cameraview Camera1 onPreviewFrame(Camera1 java:713)_x000D_
04 16 06:51:36 372  2007  2007 E AndroidRuntime: 	at android hardware Camera EventHandler handleMessage(Camera java:1110)_x000D_
04 16 06:51:36 372  2007  2007 E AndroidRuntime: 	at android os Handler dispatchMessage(Handler java:102)_x000D_
04 16 06:51:36 372  2007  2007 E AndroidRuntime: 	at android os Looper loop(Looper java:148)_x000D_
04 16 06:51:36 372  2007  2007 E AndroidRuntime: 	at android app ActivityThread main(ActivityThread java:5417)_x000D_
04 16 06:51:36 372  2007  2007 E AndroidRuntime: 	at java lang reflect Method invoke(Native Method)_x000D_
04 16 06:51:36 372  2007  2007 E AndroidRuntime: 	at com android internal os ZygoteInit MethodAndArgsCaller run(ZygoteInit java:726)_x000D_
04 16 06:51:36 372  2007  2007 E AndroidRuntime: 	at com android internal os ZygoteInit main(ZygoteInit java:616)_x000D_
04 16 06:51:36 374   682  1039 W ActivityManager:   Force finishing activity com aerobittech okfit  MainActivity _x000D_
_x000D_
</t>
  </si>
  <si>
    <t>osmdroid-osmdroid-998</t>
  </si>
  <si>
    <t>Crash in demos around Bookmarks</t>
  </si>
  <si>
    <t xml:space="preserve">   Issue Type_x000D_
_x000D_
   x  Bug_x000D_
_x000D_
_x000D_
   Description and or steps code to reproduce the problem_x000D_
_x000D_
  go to demo  More Samples   Location   Heading Compass up _x000D_
  go back_x000D_
  go again to demo  More Samples   Location   Heading Compass up _x000D_
  then it crashes with that kind of log:_x000D_
    java_x000D_
E StrictMode: A resource was acquired at attached stack trace but never released  See java io Closeable for information on avoiding resource leaks _x000D_
              java lang Throwable: Explicit termination method  close  not called_x000D_
                  at dalvik system CloseGuard open(CloseGuard java:184)_x000D_
                  at android database sqlite SQLiteDatabase openInner(SQLiteDatabase java:909)_x000D_
                  at android database sqlite SQLiteDatabase open(SQLiteDatabase java:878)_x000D_
                  at android database sqlite SQLiteDatabase openDatabase(SQLiteDatabase java:699)_x000D_
                  at android database sqlite SQLiteDatabase openOrCreateDatabase(SQLiteDatabase java:714)_x000D_
                  at android database sqlite SQLiteDatabase openOrCreateDatabase(SQLiteDatabase java:707)_x000D_
                  at org osmdroid samplefragments bookmarks BookmarkDatastore  init (BookmarkDatastore java:45)_x000D_
                  at org osmdroid samplefragments bookmarks BookmarkSample  init (BookmarkSample java:26)_x000D_
                  at java lang reflect Constructor newInstance(Native Method)_x000D_
                  at java lang Class newInstance(Class java:1656)_x000D_
                  at org osmdroid samplefragments SampleFactory getSample(SampleFactory java:304)_x000D_
    _x000D_
_x000D_
    Version of osmdroid the issue relates to:_x000D_
_x000D_
6 0 2_x000D_
_x000D_
</t>
  </si>
  <si>
    <t>oliexdev-openScale-244</t>
  </si>
  <si>
    <t>App crash while granting Bluetooth permission</t>
  </si>
  <si>
    <t xml:space="preserve"> erijo in the current dev version the app crash while granting the location permission in the Bluetooth preference view _x000D_
_x000D_
   _x000D_
04 15 11:19:13 790 23885 23885 com health openscale E CustomActivityOnCrash: App has crashed  executing CustomActivityOnCrash s UncaughtExceptionHandler_x000D_
    java lang RuntimeException: Failure delivering result ResultInfo who  android:requestPermissions:  request 1  result  1  data Intent   act android content pm action REQUEST PERMISSIONS launchParam MultiScreenLaunchParams   mDisplayId 0 mFlags 0   (has extras)    to activity  com health openscale com health openscale gui activities SettingsActivity : java lang NullPointerException: Attempt to invoke virtual method  void android app Dialog setOnDismissListener(android content DialogInterface OnDismissListener)  on a null object reference_x000D_
        at android app ActivityThread deliverResults(ActivityThread java:4472)_x000D_
        at android app ActivityThread handleSendResult(ActivityThread java:4515)_x000D_
        at android app ActivityThread  wrap22(ActivityThread java)_x000D_
        at android app ActivityThread H handleMessage(ActivityThread java:1687)_x000D_
        at android os Handler dispatchMessage(Handler java:102)_x000D_
        at android os Looper loop(Looper java:154)_x000D_
        at android app ActivityThread main(ActivityThread java:6682)_x000D_
        at java lang reflect Method invoke(Native Method)_x000D_
        at com android internal os ZygoteInit MethodAndArgsCaller run(ZygoteInit java:1520)_x000D_
        at com android internal os ZygoteInit main(ZygoteInit java:1410)_x000D_
     Caused by: java lang NullPointerException: Attempt to invoke virtual method  void android app Dialog setOnDismissListener(android content DialogInterface OnDismissListener)  on a null object reference_x000D_
        at com health openscale gui preferences BluetoothPreferences startBluetoothDiscovery(BluetoothPreferences java:92)_x000D_
        at com health openscale gui preferences BluetoothPreferences onMyOwnRequestPermissionsResult(BluetoothPreferences java:303)_x000D_
        at com health openscale gui activities SettingsActivity onRequestPermissionsResult(SettingsActivity java:110)_x000D_
        at android app Activity dispatchRequestPermissionsResult(Activity java:7434)_x000D_
        at android app Activity dispatchActivityResult(Activity java:7260)_x000D_
   _x000D_
_x000D_
Would be great if you can look into it </t>
  </si>
  <si>
    <t>dvdprr6-RemindMeAt-4</t>
  </si>
  <si>
    <t>Check for null values in Edit Text fields</t>
  </si>
  <si>
    <t xml:space="preserve">If a user inputs not values in the Edit text fields this will result in a null pointer exception and the application will crash  Checks for null needs to be implemented </t>
  </si>
  <si>
    <t>UdacityAndroidDevScholarship-blood-donation-28</t>
  </si>
  <si>
    <t>App crash when trying to login.</t>
  </si>
  <si>
    <t xml:space="preserve">   Bug Report_x000D_
_x000D_
    Environment_x000D_
    Version : develop 7bb6bd3e9b48d502584e714e9015ba2b4c9b3c39_x000D_
    Device Operating System : Emulator x86 Android 8 1 1  Android Studio 3 1 1_x000D_
  _x000D_
    Bug:_x000D_
_x000D_
    What error did you encounter _x000D_
App force closed when trying to sign in _x000D_
_x000D_
  java lang NullPointerException: Attempt to invoke virtual method  com google android gms tasks Task com google android gms common api GoogleApi zzb(com google android gms common api internal zzde)  on a null object reference_x000D_
        at com google android gms internal zzdza zzb(Unknown Source:4)_x000D_
        at com google android gms internal zzdzh zza(Unknown Source:19)_x000D_
        at com google firebase auth FirebaseAuth zza(Unknown Source:44)_x000D_
        at com google firebase auth PhoneAuthProvider zza(Unknown Source:18)_x000D_
        at com google firebase auth PhoneAuthProvider verifyPhoneNumber(Unknown Source:24)_x000D_
        at com udacity nanodegree blooddonation ui registration view UserRegistrationActivity verifyPhoneNumber(UserRegistrationActivity java:132)_x000D_
        at com udacity nanodegree blooddonation ui registration presenter UserRegistrationPresenter onIamInButtonClick(UserRegistrationPresenter java:36)_x000D_
        at com udacity nanodegree blooddonation databinding ActivityUserRegisBindingImpl  internalCallbackOnClick(ActivityUserRegisBindingImpl java:368)_x000D_
        at com udacity nanodegree blooddonation generated callback OnClickListener onClick(OnClickListener java:11)_x000D_
        at android view View performClick(View java:6294)_x000D_
        at android view View PerformClick run(View java:24770)_x000D_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When does this occur  _x000D_
After entering a valid phone number and clicking I m in  It crashes immediately _x000D_
     Steps to reproduce:_x000D_
_x000D_
  1  Open the app _x000D_
  2  Enter your phone number _x000D_
  3  Click on  I m in _x000D_
  </t>
  </si>
  <si>
    <t>smartdevicelink-sdl_java_suite-736</t>
  </si>
  <si>
    <t>Race condition causing NPE in SdlSession</t>
  </si>
  <si>
    <t xml:space="preserve">    Bug Report_x000D_
I have seen a case where code in SdlSession checks for a null SdlConnection object and if not null then sends a message but still results in NullPointerException   This seems like a race condition between the session sending a packet and the session being closed because the line right before the exception is a null check on the variable being used _x000D_
In my case  video was streaming when the session was being closed _x000D_
_x000D_
 NPE location (https:  github com smartdevicelink sdl android blob 4bc9649b311958520bd71ac555d373dc7d9676ea sdl android src main java com smartdevicelink SdlConnection SdlSession java L496)_x000D_
   _x000D_
04 13 16:05:46 490 32228   716 E AndroidRuntime: java lang NullPointerException: Attempt to invoke virtual method  void com smartdevicelink SdlConnection SdlConnection sendMessage(com smartdevicelink protocol ProtocolMessage)  on a null object reference_x000D_
04 13 16:05:46 490 32228   716 E AndroidRuntime:        at com smartdevicelink SdlConnection SdlSession sendMessage(SdlSession java:496)_x000D_
04 13 16:05:46 490 32228   716 E AndroidRuntime:        at com smartdevicelink SdlConnection SdlSession sendStreamPacket(SdlSession java:388)_x000D_
04 13 16:05:46 490 32228   716 E AndroidRuntime:        at com smartdevicelink streaming video RTPH264Packetizer run(RTPH264Packetizer java:244)_x000D_
04 13 16:05:46 490 32228   716 E AndroidRuntime:        at java lang Thread run(Thread java:818)_x000D_
   _x000D_
_x000D_
      Reproduction Steps_x000D_
Random_x000D_
  Cause SdlSession to close while it is on the verge of sending and RPC message_x000D_
  Timing is important_x000D_
  Terminate SDLCore HMI at the correct time or block the BT (or other) connections between HU and HS _x000D_
_x000D_
      Expected Behavior_x000D_
SdlProxyService should not crash_x000D_
_x000D_
      Observed Behavior_x000D_
SdlProxyService crashes with NPE_x000D_
_x000D_
      OS   Version Information_x000D_
  Android Version: 5 0 1_x000D_
  SDL Android Version: 4 5 (develop branch)_x000D_
  Testing Against: in house HU emulator with internal SDLCore build based on develop branch_x000D_
_x000D_
      Test Case  Sample Code  and   or Example App_x000D_
_x000D_
</t>
  </si>
  <si>
    <t>willowtreeapps-Hyperion-Android-98</t>
  </si>
  <si>
    <t>Sample app crashes on launch on API level 15</t>
  </si>
  <si>
    <t xml:space="preserve">The Geiger counter plugin crashes on launch because it instantiates an API 16  class during  onApplicationCreated   It looks like maybe  onApplicationCreated  is called regardless of whether the  minimumRequiredApi  is satisfied _x000D_
_x000D_
 img width  651  alt  screen shot 2018 04 13 at 1 54 04 pm  src  https:  user images githubusercontent com 602569 38750831 2e06e3d6 3f24 11e8 9fb4 a27c812dfe7c png  </t>
  </si>
  <si>
    <t>ehubscher-briarproject_390-163</t>
  </si>
  <si>
    <t xml:space="preserve">BUG: App runs out of memory when opening wallpaper page </t>
  </si>
  <si>
    <t>The bug happens on a Nexus 5 android 6 0 1 API 23 _x000D_
_x000D_
What has been done to try to fix the bug so far: _x000D_
  compress image view to bitmap  reduced to 50  of the quality_x000D_
  reduced to 10  of the quality _x000D_
_x000D_
Before compression  this bug happened on emulator too (Pixel 2 API 27)  Compressing to bitmap 50  fixed it  Now it only seems to happen on the Nexus 5 phone  It does not crash on any other device (including emulators)  _x000D_
_x000D_
Crash report from Nexus 5 API 23: _x000D_
_x000D_
W art: Throwing OutOfMemoryError  Failed to allocate a 16384012 byte allocation with 9616600 free bytes and 9MB until OOM _x000D_
D skia:     decoder  decode returned false_x000D_
D AndroidRuntime: Shutting down VM_x000D_
E ACRA: ACRA caught a OutOfMemoryError for org briarproject briar android debug_x000D_
       java lang OutOfMemoryError: Failed to allocate a 16384012 byte allocation with 9616600 free bytes and 9MB until OOM_x000D_
           at dalvik system VMRuntime newNonMovableArray(Native Method)_x000D_
           at android graphics BitmapFactory nativeDecodeAsset(Native Method)_x000D_
           at android graphics BitmapFactory decodeStream(BitmapFactory java:609)_x000D_
           at android graphics BitmapFactory decodeResourceStream(BitmapFactory java:444)_x000D_
           at android graphics drawable Drawable createFromResourceStream(Drawable java:1080)_x000D_
           at android content res Resources loadDrawableForCookie(Resources java:2635)_x000D_
           at android content res Resources loadDrawable(Resources java:2540)_x000D_
           at android content res Resources getDrawable(Resources java:806)_x000D_
           at android content res Resources getDrawable(Resources java:771)_x000D_
           at org briarproject briar android wallpaper WallpaperFragment ImageAdapter getView(WallpaperFragment java:128)_x000D_
           at android widget AbsListView obtainView(AbsListView java:2346)_x000D_
           at android widget GridView makeAndAddView(GridView java:1440)_x000D_
           at android widget GridView makeRow(GridView java:366)_x000D_
           at android widget GridView fillDown(GridView java:307)</t>
  </si>
  <si>
    <t>FusixGit-WiFiPasswordSearcher-6</t>
  </si>
  <si>
    <t>The application crashes on "Add network"</t>
  </si>
  <si>
    <t xml:space="preserve">When the key is in   unknown   state (not found in 3WiFi)  calling the  Add network  context action results in application crash </t>
  </si>
  <si>
    <t>twilio-video-quickstart-android-284</t>
  </si>
  <si>
    <t>Supported formats could not be retrieved because an error occurred connecting to the camera service</t>
  </si>
  <si>
    <t xml:space="preserve">    Description_x000D_
_x000D_
App crashes due to the following error log  It did not crash before beta 5 version  _x000D_
_x000D_
    Steps to Reproduce_x000D_
_x000D_
1  Give permissions to camera _x000D_
2  App crashes when local camera stream is created _x000D_
_x000D_
     Logs_x000D_
_x000D_
   _x000D_
java lang RuntimeException: Unable to resume activity  to go internal to go app twilio VideoConferenceActivity : java lang IllegalStateException: Supported formats could not be retrieved because an error occurred connecting to the camera service_x000D_
	at android app ActivityThread performResumeActivity(ActivityThread java:3486)   na:0 0 _x000D_
	at android app ActivityThread handleResumeActivity(ActivityThread java:3526)   na:0 0 _x000D_
	at android app ActivityThread H handleMessage(ActivityThread java:1584)   na:0 0 _x000D_
	at android os Handler dispatchMessage(Handler java:102)   na:0 0 _x000D_
	at android os Looper loop(Looper java:163)   na:0 0 _x000D_
	at android app ActivityThread main(ActivityThread java:6321)   na:0 0 _x000D_
	at java lang reflect Method invoke(Native Method)   na:0 0 _x000D_
	at com android internal os ZygoteInit MethodAndArgsCaller run(ZygoteInit java:880)   na:0 0 _x000D_
	at com android internal os ZygoteInit main(ZygoteInit java:770)   na:0 0 _x000D_
Caused by: java lang IllegalStateException: Supported formats could not be retrieved because an error occurred connecting to the camera service_x000D_
	at com twilio video Preconditions checkState(Preconditions java:453)   na:0 0 _x000D_
	at com twilio video CameraCapturer getSupportedFormats(CameraCapturer java:347)   na:0 0 _x000D_
	at com twilio video LocalVideoTrack create(LocalVideoTrack java:154)   na:0 0 _x000D_
_x000D_
   _x000D_
_x000D_
     Expected Behavior_x000D_
_x000D_
App should not crash_x000D_
_x000D_
     Actual Behavior_x000D_
_x000D_
App crashes_x000D_
_x000D_
     Reproduces how Often_x000D_
_x000D_
100 _x000D_
_x000D_
    Versions_x000D_
_x000D_
     Video Android SDK_x000D_
_x000D_
2 0 0 beta 5_x000D_
_x000D_
     Android API_x000D_
_x000D_
23 27_x000D_
_x000D_
     Android Device_x000D_
_x000D_
One Plus  Xiaomi_x000D_
</t>
  </si>
  <si>
    <t>rjaros87-pm-home-station-24</t>
  </si>
  <si>
    <t>Firebase crash application</t>
  </si>
  <si>
    <t xml:space="preserve"> 04 13 09:47:14 190 25357 25357   E AndroidRuntime: FATAL EXCEPTION: main_x000D_
                                                   Process: pmstation android  PID: 25357_x000D_
                                                   java lang RuntimeException: Unable to start activity ComponentInfo pmstation android pmstation MainActivity : java lang IllegalStateException: Default FirebaseApp is not initialized in this process pmstation android  Make sure to call FirebaseApp initializeApp(Context) first _x000D_
                                                       at android app ActivityThread performLaunchActivity(ActivityThread java:2678)_x000D_
                                                       at android app ActivityThread handleLaunchActivity(ActivityThread java:2743)_x000D_
                                                       at android app ActivityThread  wrap12(ActivityThread java)_x000D_
                                                       at android app ActivityThread H handleMessage(ActivityThread java:1490)_x000D_
                                                       at android os Handler dispatchMessage(Handler java:102)_x000D_
                                                       at android os Looper loop(Looper java:154)_x000D_
                                                       at android app ActivityThread main(ActivityThread java:6165)_x000D_
                                                       at java lang reflect Method invoke(Native Method)_x000D_
                                                       at com android internal os ZygoteInit MethodAndArgsCaller run(ZygoteInit java:888)_x000D_
                                                       at com android internal os ZygoteInit main(ZygoteInit java:778)_x000D_
                                                    Caused by: java lang IllegalStateException: Default FirebaseApp is not initialized in this process pmstation android  Make sure to call FirebaseApp initializeApp(Context) first _x000D_
                                                       at com google firebase FirebaseApp getInstance(Unknown Source)_x000D_
                                                       at com google firebase crash FirebaseCrash zzbsl(Unknown Source)_x000D_
                                                       at com google firebase crash FirebaseCrash setCrashCollectionEnabled(Unknown Source)_x000D_
                                                       at pmstation MainActivity onCreate(MainActivity java:157)_x000D_
                                                       at android app Activity performCreate(Activity java:6687)_x000D_
                                                       at android app Instrumentation callActivityOnCreate(Instrumentation java:1140)_x000D_
                                                       at android app ActivityThread performLaunchActivity(ActivityThread java:2631)_x000D_
                                                       at android app ActivityThread handleLaunchActivity(ActivityThread java:2743) _x000D_
                                                       at android app ActivityThread  wrap12(ActivityThread java) _x000D_
                                                       at android app ActivityThread H handleMessage(ActivityThread java:1490) _x000D_
                                                       at android os Handler dispatchMessage(Handler java:102) _x000D_
                                                       at android os Looper loop(Looper java:154) _x000D_
                                                       at android app ActivityThread main(ActivityThread java:6165) _x000D_
                                                       at java lang reflect Method invoke(Native Method) _x000D_
                                                       at com android internal os ZygoteInit MethodAndArgsCaller run(ZygoteInit java:888) _x000D_
                                                       at com android internal os ZygoteInit main(ZygoteInit java:778)  _x000D_
_x000D_
Commit 9abb17adcbb939326fd1ffb4c724b9eee0efb666</t>
  </si>
  <si>
    <t>mapsforge-mapsforge-1049</t>
  </si>
  <si>
    <t>DatabaseRenderer crash while printing exception</t>
  </si>
  <si>
    <t>I got an null pointer at this line_x000D_
_x000D_
https:  github com mapsforge mapsforge blob master mapsforge map src main java org mapsforge map layer renderer DatabaseRenderer java L133_x000D_
_x000D_
the exception message is null and so I get  java lang NullPointerException: println needs a message _x000D_
_x000D_
this crash happen randomically_x000D_
_x000D_
can you please change that log to something like this:_x000D_
_x000D_
 LOGGER warning( exception:   e getMessage())  _x000D_
_x000D_
that should not crash  thanks</t>
  </si>
  <si>
    <t>mauron85-cordova-plugin-background-geolocation-403</t>
  </si>
  <si>
    <t>Java Crash Null Pointer Exception</t>
  </si>
  <si>
    <t xml:space="preserve">      Provide a general summary of the issue in the Title above    _x000D_
Java crash null pointer exception while the app is running in the background _x000D_
_x000D_
   Your Environment_x000D_
  Plugin version: 3 0 0 alpha 24_x000D_
  Platform: Android_x000D_
  OS version: 7 0_x000D_
  Device manufacturer and model: Samsung Galaxy Xcover4 (xcover4lte)  2048MB RAM  Android 7 0_x000D_
  Cordova version ( cordova  v ): 8 0 0_x000D_
  Cordova platform version ( cordova platform ls ): 7 1 0_x000D_
  Plugin configuration options: _x000D_
 GOOGLE PLAY SERVICES VERSION  value  11  _x000D_
  ANDROID SUPPORT LIBRARY VERSION  value  27 1 0  _x000D_
_x000D_
   Context_x000D_
Some of our users have reported that our App is crashing while in the background  I have checked the google play store crash report tool and I have included it at the bottom  I have not been able to reproduce this issue on various devices including the one mentioned above _x000D_
_x000D_
   Expected Behavior_x000D_
Continue tracking the GPS while the app is in the background _x000D_
_x000D_
   Actual Behavior_x000D_
App crashed due to java exception _x000D_
_x000D_
   Possible Fix_x000D_
Unknown_x000D_
_x000D_
   Steps to Reproduce_x000D_
Unknown_x000D_
_x000D_
   Context_x000D_
We are trying to get the app to run in the background tracking the GPS for 12  hours _x000D_
_x000D_
   Debug logs_x000D_
java lang RuntimeException: _x000D_
1  at android app LoadedApk ReceiverDispatcher Args run (LoadedApk java:1195)_x000D_
2  at android os Handler handleCallback (Handler java:751)_x000D_
3  at android os Handler dispatchMessage (Handler java:95)_x000D_
4  at android os Looper loop (Looper java:154)_x000D_
5  at android os HandlerThread run (HandlerThread java:61)_x000D_
_x000D_
Caused by: java lang NullPointerException: _x000D_
1  at android location Location distanceTo (Location java:460)_x000D_
2  at com tenforwardconsulting bgloc DistanceFilterLocationProvider onPollStationaryLocation (DistanceFilterLocationProvider java:427)_x000D_
3  at com tenforwardconsulting bgloc DistanceFilterLocationProvider 1 onReceive (DistanceFilterLocationProvider java:453)_x000D_
4  at android app LoadedApk ReceiverDispatcher Args run (LoadedApk java:1185)</t>
  </si>
  <si>
    <t>EreOo-PhotoRedactorNeon-2</t>
  </si>
  <si>
    <t>Button save doesn't work.</t>
  </si>
  <si>
    <t xml:space="preserve">App crash </t>
  </si>
  <si>
    <t>react-native-camera-react-native-camera-1458</t>
  </si>
  <si>
    <t>Out of memory/crash when not in debugger</t>
  </si>
  <si>
    <t xml:space="preserve">    Which implementation are you using_x000D_
_x000D_
 RNCamera_x000D_
_x000D_
    Steps to reproduce_x000D_
1  Created a new screen with the camera  using the remote debugger I have no issues and works perfectly  When I disable the debugger it takes forever to load the screen and it goes in out of memory _x000D_
_x000D_
    Does it work with Expo Camera _x000D_
Don t know_x000D_
_x000D_
    Expected behaviour_x000D_
It should not crash when the debugger is off_x000D_
_x000D_
    Actual behaviour_x000D_
The app should NOT crash out of memory when the debugger is off_x000D_
_x000D_
    Environment_x000D_
    Node js version  : 9 3 0_x000D_
    React Native version  : 0 54 2_x000D_
    React Native platform   platform version  : iOS11 0  Android 8 0_x000D_
_x000D_
    react native camera_x000D_
  Version  : npm version_x000D_
</t>
  </si>
  <si>
    <t>stefan-niedermann-nextcloud-notes-366</t>
  </si>
  <si>
    <t>WindowManager$BadTokenException</t>
  </si>
  <si>
    <t xml:space="preserve">20 crash reports in the past 60 days with the following stacktrace:_x000D_
_x000D_
   _x000D_
android view WindowManager BadTokenException:_x000D_
  at it niedermann owncloud notes android AlwaysAutoCompleteTextView showFullDropDown (AlwaysAutoCompleteTextView java:46)_x000D_
  at it niedermann owncloud notes android fragment CategoryDialogFragment LoadCategoriesTask onPostExecute (CategoryDialogFragment java:109)_x000D_
  at it niedermann owncloud notes android fragment CategoryDialogFragment LoadCategoriesTask onPostExecute (CategoryDialogFragment java:91)_x000D_
   _x000D_
_x000D_
Suggested solution:_x000D_
_x000D_
   java_x000D_
 try  _x000D_
      alertDialog show() _x000D_
   catch(Exception e) _x000D_
      WindowManager BadTokenException will be caught and the app would not display _x000D_
      the  Force Close  message_x000D_
  _x000D_
   _x000D_
_x000D_
Source: https:  stackoverflow com a 9950503_x000D_
_x000D_
I feel uncomfortable with this solution since it does not explain  why  this happens </t>
  </si>
  <si>
    <t>stefan-niedermann-nextcloud-notes-365</t>
  </si>
  <si>
    <t>NullPointerException on autosave()</t>
  </si>
  <si>
    <t xml:space="preserve">67 crash reports in the psat 60 days with the following stacktrace:_x000D_
_x000D_
   _x000D_
java lang NullPointerException: _x000D_
  at it niedermann owncloud notes android fragment NoteEditFragment getContentView (NoteEditFragment java:142)_x000D_
  at it niedermann owncloud notes android fragment NoteEditFragment getContent (NoteEditFragment java:152)_x000D_
  at it niedermann owncloud notes android fragment BaseNoteFragment saveNote (BaseNoteFragment java:141)_x000D_
  at it niedermann owncloud notes android fragment NoteEditFragment saveNote (NoteEditFragment java:157)_x000D_
  at it niedermann owncloud notes android fragment NoteEditFragment autoSave (NoteEditFragment java:167)_x000D_
  at it niedermann owncloud notes android fragment NoteEditFragment access 400 (NoteEditFragment java:25)_x000D_
  at it niedermann owncloud notes android fragment NoteEditFragment 3 run (NoteEditFragment java:130)_x000D_
   </t>
  </si>
  <si>
    <t>stefan-niedermann-nextcloud-notes-364</t>
  </si>
  <si>
    <t xml:space="preserve">50 crash reports in the past 60 days with the following stacktrace:_x000D_
_x000D_
   _x000D_
java lang ArrayIndexOutOfBoundsException: _x000D_
  at it niedermann owncloud notes model ItemAdapter getItem (ItemAdapter java:137)_x000D_
  at it niedermann owncloud notes android activity NotesListViewActivity onNoteClick (NotesListViewActivity java:586)_x000D_
  at it niedermann owncloud notes model ItemAdapter NoteViewHolder onClick (ItemAdapter java:190)_x000D_
   </t>
  </si>
  <si>
    <t>yydcdut-RxMarkdown-45</t>
  </si>
  <si>
    <t xml:space="preserve">I m sorry  i do not know how to reproduce this  but there are many crashes on my app that have this stacktrace in common:_x000D_
_x000D_
   _x000D_
java lang IndexOutOfBoundsException:_x000D_
  at com yydcdut rxmarkdown live CodeLive onTextChanged (CodeLive java:71)_x000D_
  at com yydcdut rxmarkdown live LivePrepare onTextChanged (LivePrepare java:81)_x000D_
  at com yydcdut rxmarkdown RxMDEditText onTextChanged4Controller (RxMDEditText java:253)_x000D_
  at com yydcdut rxmarkdown RxMDEditText access 700 (RxMDEditText java:45)_x000D_
  at com yydcdut rxmarkdown RxMDEditText EditTextWatcher onTextChanged (RxMDEditText java:177)_x000D_
   </t>
  </si>
  <si>
    <t>Teester-Whats-Nearby-19</t>
  </si>
  <si>
    <t>Crash on startup of 0.16</t>
  </si>
  <si>
    <t xml:space="preserve">If a user isn t logged in  0 16 crashes on startup _x000D_
_x000D_
This is due to a 401 unauthorized error when the app tries to get the username from www openstreetmap org  but it isn t logged in yet   The user will still get notified about locations  but the app crashes when trying to load questions for the same reason </t>
  </si>
  <si>
    <t>uber-AutoDispose-192</t>
  </si>
  <si>
    <t>AutoDispose does not handle Fragment onDestroyView</t>
  </si>
  <si>
    <t xml:space="preserve">Unsure if this only applies to  onDestroyView  because support fragment does some funky state manipulation  e g  (taken from support fragment source code)_x000D_
_x000D_
   java_x000D_
void performReallyStop()  _x000D_
    if (mChildFragmentManager    null)  _x000D_
        mChildFragmentManager dispatchReallyStop() _x000D_
     _x000D_
    mState   ACTIVITY CREATED _x000D_
 _x000D_
_x000D_
void performDestroyView()  _x000D_
    if (mChildFragmentManager    null)  _x000D_
        mChildFragmentManager dispatchDestroyView() _x000D_
     _x000D_
    mState   CREATED _x000D_
    mCalled   false _x000D_
    onDestroyView() _x000D_
       _x000D_
 _x000D_
   _x000D_
_x000D_
Anyway  the following code causes autodispose to not crash or ever dispose of the observable _x000D_
_x000D_
   kotlin_x000D_
override fun onDestroyView()  _x000D_
    super onDestroyView()_x000D_
_x000D_
    Observable interval(1  TimeUnit SECONDS)_x000D_
              as (AutoDispose autoDisposable Long (AndroidLifecycleScopeProvider from(this)))_x000D_
             subscribe  _x000D_
                println( Subscribed   activity )_x000D_
             _x000D_
 _x000D_
   _x000D_
_x000D_
From some initial debugging  it looks like autodispose thinks that the current lifecycle is  onStart  (which i guess makes sense because  LifecycleEventsObservable backfillEvents  maps the state  ON CREATE  to  ON START   and from looking at the fragment s code it looks like the state would be created </t>
  </si>
  <si>
    <t>tryton-vanmeer-LibreTrivia-12</t>
  </si>
  <si>
    <t>App crashes whenever I try to answer a question.</t>
  </si>
  <si>
    <t xml:space="preserve">Whenever I start a game  the app crashes when I tap an answer to the first question  Here s the log:_x000D_
_x000D_
   _x000D_
          beginning of main_x000D_
04 10 19:36:22 062  8127  8127 I art     : Starting a blocking GC AddRemoveAppImageSpace_x000D_
04 10 19:36:22 064  8127  8127 W System  : ClassLoader referenced unknown path:  data app io github trytonvanmeer libretrivia 1 lib arm64_x000D_
04 10 19:36:22 143  8127  8145 I Adreno  : QUALCOMM build                   : 74df444  I409c65498b_x000D_
04 10 19:36:22 143  8127  8145 I Adreno  : Build Date                       : 06 22 16_x000D_
04 10 19:36:22 143  8127  8145 I Adreno  : OpenGL ES Shader Compiler Version: XE031 08 00 02_x000D_
04 10 19:36:22 143  8127  8145 I Adreno  : Local Branch                     : N16_x000D_
04 10 19:36:22 143  8127  8145 I Adreno  : Remote Branch                    : _x000D_
04 10 19:36:22 143  8127  8145 I Adreno  : Remote Branch                    : _x000D_
04 10 19:36:22 143  8127  8145 I Adreno  : Reconstruct Branch               : _x000D_
04 10 19:36:22 150  8127  8145 I OpenGLRenderer: Initialized EGL  version 1 4_x000D_
04 10 19:36:22 150  8127  8145 D OpenGLRenderer: Swap behavior 1_x000D_
04 10 19:36:34 584  8127  8159 D NetworkSecurityConfig: No Network Security Config specified  using platform default_x000D_
04 10 19:36:34 585  8127  8159 W System  : ClassLoader referenced unknown path:  system framework tcmclient jar_x000D_
04 10 19:36:34 662  8127  8145 D OpenGLRenderer: endAllActiveAnimators on 0x7f6eefc400 (RippleDrawable) with handle 0x7f6e774320_x000D_
04 10 19:36:35 909  8127  8127 E MediaPlayer JNI: JNIMediaPlayerFactory: bIsQCMediaPlayerPresent 0_x000D_
04 10 19:36:35 909  8127  8127 E MediaPlayer JNI: JNIMediaPlayerFactory: bIsQCMediaPlayerPresent 0_x000D_
04 10 19:36:35 929  8127  8139 E MediaPlayer: error (1   2147483648)_x000D_
04 10 19:36:35 930  8127  8127 D MediaPlayer: create failed:_x000D_
04 10 19:36:35 930  8127  8127 D MediaPlayer: java io IOException: Prepare failed : status 0x1_x000D_
04 10 19:36:35 930  8127  8127 D MediaPlayer:   at android media MediaPlayer  prepare(Native Method)_x000D_
04 10 19:36:35 930  8127  8127 D MediaPlayer:   at android media MediaPlayer prepare(MediaPlayer java:1184)_x000D_
04 10 19:36:35 930  8127  8127 D MediaPlayer:   at android media MediaPlayer create(MediaPlayer java:943)_x000D_
04 10 19:36:35 930  8127  8127 D MediaPlayer:   at android media MediaPlayer create(MediaPlayer java:914)_x000D_
04 10 19:36:35 930  8127  8127 D MediaPlayer:   at io github trytonvanmeer libretrivia util SoundUtil playSound(SoundUtil java:20)_x000D_
04 10 19:36:35 930  8127  8127 D MediaPlayer:   at io github trytonvanmeer libretrivia activities TriviaGameActivity onAnswerClick(TriviaGameActivity java:180)_x000D_
04 10 19:36:35 930  8127  8127 D MediaPlayer:   at io github trytonvanmeer libretrivia fragments TriviaQuestionFragment AnswerButtonListener onClick(TriviaQuestionFragment java:113)_x000D_
04 10 19:36:35 930  8127  8127 D MediaPlayer:   at android view View performClick(View java:5637)_x000D_
04 10 19:36:35 930  8127  8127 D MediaPlayer:   at android view View PerformClick run(View java:22433)_x000D_
04 10 19:36:35 930  8127  8127 D MediaPlayer:   at android os Handler handleCallback(Handler java:751)_x000D_
04 10 19:36:35 930  8127  8127 D MediaPlayer:   at android os Handler dispatchMessage(Handler java:95)_x000D_
04 10 19:36:35 930  8127  8127 D MediaPlayer:   at android os Looper loop(Looper java:154)_x000D_
04 10 19:36:35 930  8127  8127 D MediaPlayer:   at android app ActivityThread main(ActivityThread java:6186)_x000D_
04 10 19:36:35 930  8127  8127 D MediaPlayer:   at java lang reflect Method invoke(Native Method)_x000D_
04 10 19:36:35 930  8127  8127 D MediaPlayer:   at com android internal os ZygoteInit MethodAndArgsCaller run(ZygoteInit java:889)_x000D_
04 10 19:36:35 930  8127  8127 D MediaPlayer:   at com android internal os ZygoteInit main(ZygoteInit java:779)_x000D_
04 10 19:36:35 931  8127  8127 D AndroidRuntime: Shutting down VM_x000D_
          beginning of crash_x000D_
04 10 19:36:35 931  8127  8127 E AndroidRuntime: FATAL EXCEPTION: main_x000D_
04 10 19:36:35 931  8127  8127 E AndroidRuntime: Process: io github trytonvanmeer libretrivia  PID: 8127_x000D_
04 10 19:36:35 931  8127  8127 E AndroidRuntime: java lang NullPointerException: Attempt to invoke virtual method  void android media MediaPlayer setVolume(float  float)  on a null object reference_x000D_
04 10 19:36:35 931  8127  8127 E AndroidRuntime:        at io github trytonvanmeer libretrivia util SoundUtil playSound(SoundUtil java:21)_x000D_
04 10 19:36:35 931  8127  8127 E AndroidRuntime:        at io github trytonvanmeer libretrivia activities TriviaGameActivity onAnswerClick(TriviaGameActivity java:180)_x000D_
04 10 19:36:35 931  8127  8127 E AndroidRuntime:        at io github trytonvanmeer libretrivia fragments TriviaQuestionFragment AnswerButtonListener onClick(TriviaQuestionFragment java:113)_x000D_
04 10 19:36:35 931  8127  8127 E AndroidRuntime:        at android view View performClick(View java:5637)_x000D_
04 10 19:36:35 931  8127  8127 E AndroidRuntime:        at android view View PerformClick run(View java:22433)_x000D_
04 10 19:36:35 931  8127  8127 E AndroidRuntime:        at android os Handler handleCallback(Handler java:751)_x000D_
04 10 19:36:35 931  8127  8127 E AndroidRuntime:        at android os Handler dispatchMessage(Handler java:95)_x000D_
04 10 19:36:35 931  8127  8127 E AndroidRuntime:        at android os Looper loop(Looper java:154)_x000D_
04 10 19:36:35 931  8127  8127 E AndroidRuntime:        at android app ActivityThread main(ActivityThread java:6186)_x000D_
04 10 19:36:35 931  8127  8127 E AndroidRuntime:        at java lang reflect Method invoke(Native Method)_x000D_
04 10 19:36:35 931  8127  8127 E AndroidRuntime:        at com android internal os ZygoteInit MethodAndArgsCaller run(ZygoteInit java:889)_x000D_
04 10 19:36:35 931  8127  8127 E AndroidRuntime:        at com android internal os ZygoteInit main(ZygoteInit java:779)_x000D_
   </t>
  </si>
  <si>
    <t>mauron85-react-native-background-geolocation-174</t>
  </si>
  <si>
    <t>Disable Local notifications</t>
  </si>
  <si>
    <t xml:space="preserve">      Provide a general summary of the issue in the Title above    _x000D_
Notifications fire constantly in the background_x000D_
_x000D_
  image uploaded from ios (https:  user images githubusercontent com 8095978 38571414 6f5e81d0 3cbe 11e8 9655 3a2b879a3f5a png)_x000D_
_x000D_
_x000D_
   Your Environment_x000D_
      Include as many relevant details about the environment you experienced the bug in    _x000D_
  Plugin version: latest_x000D_
  Platform: iOS_x000D_
  OS version: High Sierra_x000D_
  Device manufacturer and model:_x000D_
  React Native version:  53_x000D_
  Plugin configuration options: _x000D_
  Link to your project:_x000D_
_x000D_
   Context_x000D_
      Provide a more detailed introduction to the issue itself  and why you consider it to be a bug    _x000D_
_x000D_
   Expected Behavior_x000D_
      Tell us what should happen    _x000D_
_x000D_
   Actual Behavior_x000D_
      Tell us what happens instead    _x000D_
_x000D_
   Possible Fix_x000D_
      Not obligatory  but suggest a fix or reason for the bug    _x000D_
_x000D_
   Steps to Reproduce_x000D_
      Provide a link to a live example  or an unambiguous set of steps to    _x000D_
      reproduce this bug include code to reproduce  if relevant    _x000D_
1 _x000D_
2 _x000D_
3 _x000D_
4 _x000D_
_x000D_
   Context_x000D_
      How has this bug affected you  What were you trying to accomplish     _x000D_
_x000D_
   Debug logs_x000D_
     Relevant parts from printAndroidLogs or printIosLogs _x000D_
More info in README md section Debugging _x000D_
If you re reporting app crash also provide output of  adb logcat     _x000D_
</t>
  </si>
  <si>
    <t>OneBusAway-onebusaway-android-868</t>
  </si>
  <si>
    <t>NPE in EmbeddedSocialUtils.isSocialRestricted() after AsyncTask callback</t>
  </si>
  <si>
    <t xml:space="preserve">  Summary:   _x000D_
_x000D_
From the Android developer console (1 crash):_x000D_
_x000D_
   _x000D_
java lang NullPointerException: _x000D_
  at org onebusaway android util EmbeddedSocialUtils isSocialRestricted (EmbeddedSocialUtils java:112)_x000D_
  at org onebusaway android util EmbeddedSocialUtils isSocialEnabled (EmbeddedSocialUtils java:155)_x000D_
  at org onebusaway android ui NavigationDrawerFragment populateNavDrawer (NavigationDrawerFragment java:429)_x000D_
  at org onebusaway android ui HomeActivity redrawNavigationDrawerFragment (HomeActivity java:1383)_x000D_
  at org onebusaway android ui HomeActivity onRegionTaskFinished (HomeActivity java:1532)_x000D_
  at org onebusaway android region ObaRegionsTask 2 run (ObaRegionsTask java:268)_x000D_
  at android os Handler handleCallback (Handler java:751)_x000D_
  at android os Handler dispatchMessage (Handler java:95)_x000D_
  at android os Looper loop (Looper java:163)_x000D_
  at android app ActivityThread main (ActivityThread java:6228)_x000D_
  at java lang reflect Method invoke (Native Method)_x000D_
  at com android internal os ZygoteInit MethodAndArgsCaller run (ZygoteInit java:886)_x000D_
  at com android internal os ZygoteInit main (ZygoteInit java:776)_x000D_
   _x000D_
_x000D_
I m guessing that the user opened the app and then quickly exited it   Then  the callback coming from the  ObaRegionsTask  triggered the NavigationDrawerFragment to be redrawn  which in turn triggered the check to see if the embedded social features for that region were enabled or restricted by the user   And  by the time  EmbeddedSocialUtils isSocialRestricted()  was called the  HomeActivity  context passed into  EmbeddedSocialUtils isSocialEnabled()  no longer existed  generating the NPE when it tried to look up  ((UserManager)context getSystemService(Context USER SERVICE))  in  EmbeddedSocialUtils isSocialRestricted()  _x000D_
_x000D_
 acrown msft One solution for this is to pass in the Application context into  EmbeddedSocialUtils isSocialEnabled()   like:_x000D_
_x000D_
   _x000D_
            if (EmbeddedSocialUtils isSocialEnabled(Application get() getApplicationContext()))  _x000D_
                   Social items_x000D_
   _x000D_
_x000D_
That way even if the Activity is destroyed the Application context should still exist   An alternate approach would be to just return true from  isSocialRestricted()  if the  context  passed into the method is null   I m guessing this NPE will only happen on lower end devices with less memory that are more aggressive with killing activities     I m not sure if they would destroy the application context as aggressively   If so  then the safer solution is to return true and not rely on the context existing    (the application context should always exist if code is running   duh) _x000D_
_x000D_
Please take a look and let me know what you think _x000D_
_x000D_
  Steps to reproduce:   _x000D_
_x000D_
Unsure   probably quickly launch and stop the app  but due to the AsyncTask it will likely be hard to reproduce _x000D_
_x000D_
  Expected behavior:   _x000D_
_x000D_
Not crash_x000D_
_x000D_
  Observed behavior:   _x000D_
_x000D_
Crash_x000D_
_x000D_
  Device and Android version:   _x000D_
_x000D_
ZTE ZTE AVID 4 (calbee)  2048MB RAM  Android 7 1</t>
  </si>
  <si>
    <t>rollbar-rollbar-java-115</t>
  </si>
  <si>
    <t>Crash on Android devices with API version lower than 19</t>
  </si>
  <si>
    <t xml:space="preserve">The next line causes crash during rollbar initialization:_x000D_
https:  github com rollbar rollbar java blob f95c18e9406c3229adb4c22a29d51084b3ed8da8 rollbar java src main java com rollbar notifier sender SyncSender java L25_x000D_
_x000D_
This happens due to the class  StandardCharsets  does not exists in the Android 4 3 and lower </t>
  </si>
  <si>
    <t>matomo-org-matomo-sdk-android-199</t>
  </si>
  <si>
    <t>SDK crashes app after a while in case the tracking backend is permanently not reachable</t>
  </si>
  <si>
    <t xml:space="preserve">We are currently using the Piwik SDK in one client app  Last week the staging environment was undergoing maintenance and was not reachable for a few days   returning HTTP 500 error codes for every call made by the Piwik SDK _x000D_
_x000D_
It seems that the SDK then retries the calls without a retry limit until the app crashes with a SSLException  Unable to create application data   which seems to indicate a resource exhaustion due to too many threads files etc  (At least according to  this (https:  github com square okhttp issues 3761) issue in the OkHttp repo)  This behaviour was logged with the version 2 0 0 of the Piwik SDK integrated  but could also be reproduced with the 3 0 0 version of the Piwik SDK _x000D_
_x000D_
In the described case  the SDK always retries the calls without a retry limit  indicated by the endlessly repeating logs like this:_x000D_
_x000D_
   _x000D_
04 04 17:23:19 183 18907 18946   D PIWIK:EventCache: Switched state to ONLINE  uncached 0 events from disk _x000D_
04 04 17:23:19 184 18907 18946   D PIWIK:Dispatcher: Drained 1 events _x000D_
04 04 17:23:19 351 18907 18946   D PIWIK:DefaultPacketSender: status code 500_x000D_
04 04 17:23:19 358 18907 18946   D PIWIK:Dispatcher: Unsuccesful assuming OFFLINE  requeuing events _x000D_
04 04 17:23:19 360 18907 18946   D PIWIK:Dispatcher: Dispatched 0 events _x000D_
04 04 17:23:19 364 18907 18946   D PIWIK:EventDiskCache: Cache check took 0ms_x000D_
04 04 17:23:19 365 18907 18946   D PIWIK:EventDiskCache: Uncaching of 0 events took 0ms_x000D_
04 04 17:23:19 365 18907 18946   D PIWIK:EventCache: Switched state to ONLINE  uncached 0 events from disk _x000D_
   _x000D_
_x000D_
After a while multiple SocketExceptions appear in the logs:_x000D_
   _x000D_
04 04 13:44:47 387 30360 30405   D PIWIK:EventCache: Switched state to ONLINE  uncached 0 events from disk _x000D_
04 04 13:44:47 387 30360 30405   D PIWIK:Dispatcher: Drained 2 events _x000D_
04 04 13:44:47 389 30360 30405   D PIWIK:Dispatcher: java net SocketException: socket already closed_x000D_
        at java net PlainSocketImpl socketClose0(PlainSocketImpl java:211)_x000D_
        at java net AbstractPlainSocketImpl socketClose(AbstractPlainSocketImpl java:721)_x000D_
        at java net AbstractPlainSocketImpl close(AbstractPlainSocketImpl java:546)_x000D_
        at java net SocksSocketImpl close(SocksSocketImpl java:554)_x000D_
        at java net AbstractPlainSocketImpl doConnect(AbstractPlainSocketImpl java:375)_x000D_
        at java net AbstractPlainSocketImpl connectToAddress(AbstractPlainSocketImpl java:200)_x000D_
        at java net AbstractPlainSocketImpl connect(AbstractPlainSocketImpl java:182)_x000D_
        at java net SocksSocketImpl connect(SocksSocketImpl java:357)_x000D_
        at java net Socket connect(Socket java:616)_x000D_
        at com android okhttp internal Platform connectSocket(Platform java:145)_x000D_
        at com android okhttp internal io RealConnection connectSocket(RealConnection java:141)_x000D_
        at com android okhttp internal io RealConnection connect(RealConnection java:112)_x000D_
        at com android okhttp internal http StreamAllocation findConnection(StreamAllocation java:184)_x000D_
        at com android okhttp internal http StreamAllocation findHealthyConnection(StreamAllocation java:126)_x000D_
        at com android okhttp internal http StreamAllocation newStream(StreamAllocation java:95)_x000D_
        at com android okhttp internal http HttpEngine connect(HttpEngine java:281)_x000D_
        at com android okhttp internal http HttpEngine sendRequest(HttpEngine java:224)_x000D_
        at com android okhttp internal huc HttpURLConnectionImpl execute(HttpURLConnectionImpl java:461)_x000D_
        at com android okhttp internal huc HttpURLConnectionImpl connect(HttpURLConnectionImpl java:127)_x000D_
        at com android okhttp internal huc HttpURLConnectionImpl getOutputStream(HttpURLConnectionImpl java:258)_x000D_
        at com android okhttp internal huc DelegatingHttpsURLConnection getOutputStream(DelegatingHttpsURLConnection java:218)_x000D_
        at com android okhttp internal huc HttpsURLConnectionImpl getOutputStream(Unknown Source:0)_x000D_
        at org piwik sdk dispatcher Dispatcher dispatch(Dispatcher java:247)_x000D_
        at org piwik sdk dispatcher Dispatcher 1 run(Dispatcher java:167)_x000D_
        at java lang Thread run(Thread java:764)_x000D_
    Unsuccesful assuming OFFLINE  requeuing events _x000D_
    Dispatched 0 events _x000D_
04 04 13:44:47 391 30360 30405   D PIWIK:EventDiskCache: Cache check took 0ms_x000D_
    Uncaching of 0 events took 0ms_x000D_
   _x000D_
_x000D_
After a few minutes  the app then crashes with the following exception  preceded by  AppData::create pipe (2) failed: Too many open files :_x000D_
   _x000D_
04 04 14:56:58 513 5634 5697   E NativeCrypto: AppData::create pipe(2) failed: Too many open files_x000D_
04 04 14:56:58 532 5634 5697   E AndroidRuntime: FATAL EXCEPTION: Thread 5_x000D_
    Process:    PID: 5634_x000D_
    java lang RuntimeException: javax net ssl SSLException: Unable to create application data_x000D_
        at com android org conscrypt ConscryptFileDescriptorSocket newSsl(ConscryptFileDescriptorSocket java:161)_x000D_
        at com android org conscrypt ConscryptFileDescriptorSocket  init (ConscryptFileDescriptorSocket java:152)_x000D_
        at com android org conscrypt OpenSSLSocketFactoryImpl createSocket(OpenSSLSocketFactoryImpl java:149)_x000D_
        at com android okhttp internal io RealConnection connectTls(RealConnection java:181)_x000D_
        at com android okhttp internal io RealConnection connectSocket(RealConnection java:149)_x000D_
        at com android okhttp internal io RealConnection connect(RealConnection java:112)_x000D_
        at com android okhttp internal http StreamAllocation findConnection(StreamAllocation java:184)_x000D_
        at com android okhttp internal http StreamAllocation findHealthyConnection(StreamAllocation java:126)_x000D_
        at com android okhttp internal http StreamAllocation newStream(StreamAllocation java:95)_x000D_
        at com android okhttp internal http HttpEngine connect(HttpEngine java:281)_x000D_
        at com android okhttp internal http HttpEngine sendRequest(HttpEngine java:224)_x000D_
        at com android okhttp internal huc HttpURLConnectionImpl execute(HttpURLConnectionImpl java:461)_x000D_
        at com android okhttp internal huc HttpURLConnectionImpl connect(HttpURLConnectionImpl java:127)_x000D_
        at com android okhttp internal huc HttpURLConnectionImpl getOutputStream(HttpURLConnectionImpl java:258)_x000D_
        at com android okhttp internal huc DelegatingHttpsURLConnection getOutputStream(DelegatingHttpsURLConnection java:218)_x000D_
        at com android okhttp internal huc HttpsURLConnectionImpl getOutputStream(Unknown Source:0)_x000D_
        at org piwik sdk dispatcher Dispatcher dispatch(Dispatcher java:247)_x000D_
        at org piwik sdk dispatcher Dispatcher 1 run(Dispatcher java:167)_x000D_
        at java lang Thread run(Thread java:764)_x000D_
     Caused by: javax net ssl SSLException: Unable to create application data_x000D_
        at com android org conscrypt NativeCrypto SSL new(Native Method)_x000D_
        at com android org conscrypt SslWrapper newInstance(SslWrapper java:58)_x000D_
        at com android org conscrypt ConscryptFileDescriptorSocket newSsl(ConscryptFileDescriptorSocket java:159)_x000D_
        at com android org conscrypt ConscryptFileDescriptorSocket  init (ConscryptFileDescriptorSocket java:152) _x000D_
        at com android org conscrypt OpenSSLSocketFactoryImpl createSocket(OpenSSLSocketFactoryImpl java:149) _x000D_
        at com android okhttp internal io RealConnection connectTls(RealConnection java:181) _x000D_
        at com android okhttp internal io RealConnection connectSocket(RealConnection java:149) _x000D_
        at com android okhttp internal io RealConnection connect(RealConnection java:112) _x000D_
        at com android okhttp internal http StreamAllocation findConnection(StreamAllocation java:184) _x000D_
        at com android okhttp internal http StreamAllocation findHealthyConnection(StreamAllocation java:126) _x000D_
        at com android okhttp internal http StreamAllocation newStream(StreamAllocation java:95) _x000D_
        at com android okhttp internal http HttpEngine connect(HttpEngine java:281) _x000D_
        at com android okhttp internal http HttpEngine sendRequest(HttpEngine java:224) _x000D_
        at com android okhttp internal huc HttpURLConnectionImpl execute(HttpURLConnectionImpl java:461) _x000D_
        at com android okhttp internal huc HttpURLConnectionImpl connect(HttpURLConnectionImpl java:127) _x000D_
        at com android okhttp internal huc HttpURLConnectionImpl getOutputStream(HttpURLConnectionImpl java:258) _x000D_
        at com android okhttp internal huc DelegatingHttpsURLConnection getOutputStream(DelegatingHttpsURLConnection java:218) _x000D_
        at com android okhttp internal huc HttpsURLConnectionImpl getOutputStream(Unknown Source:0) _x000D_
        at org piwik sdk dispatcher Dispatcher dispatch(Dispatcher java:247) _x000D_
        at org piwik sdk dispatcher Dispatcher 1 run(Dispatcher java:167) _x000D_
        at java lang Thread run(Thread java:764) _x000D_
   _x000D_
</t>
  </si>
  <si>
    <t>PrivacyStreams-PrivacyStreams-13</t>
  </si>
  <si>
    <t>NPE on normalizePhoneNumber</t>
  </si>
  <si>
    <t>Hi _x000D_
_x000D_
This issue is specific to Xiaomi device may be  because I did not get this on samsung or nexus devices _x000D_
_x000D_
Brand: Xiaomi_x000D_
Model: Redmi Note 4_x000D_
Orientation: Portrait_x000D_
RAM free: 936 84 MB_x000D_
Disk free: 8 15 GB_x000D_
Version: 7 0_x000D_
Orientation: Portrait_x000D_
Rooted: No_x000D_
_x000D_
I am using: android sdk:0 1 7 version of the library _x000D_
_x000D_
Below is crash logs _x000D_
_x000D_
04 09 21:38:50 390 9948 9948 packagename D PrivacyStreams: Trying to evaluate query  SMSMessageListProvider       ByFieldStreamSorter timestamp      PredicateFilter FieldCompareOperator  field gt  timestamp  0       StreamReverser       PStreamCollector StreamListCollector          Purpose  Social: Finding sms logs  Required Permissions:  android permission READ SMS _x000D_
04 09 21:38:50 393 9948 9948 packagename D PrivacyStreams: Permission granted  evaluating   _x000D_
04 09 21:38:50 405 9948 9948 packagename D PrivacyStreams: Evaluated _x000D_
04 09 21:38:50 437 9948 10037 packagename E AndroidRuntime: FATAL EXCEPTION: Thread 19 Process: packagename   PID: 9948 java lang NullPointerException: Attempt to invoke virtual method  java lang String java lang String replaceAll(java lang String  java lang String)  on a null object reference_x000D_
 at io github privacystreams utils CommunicationUtils normalizePhoneNumber(CommunicationUtils java:9)_x000D_
at io github privacystreams communication SMSMessageListProvider provide(SMSMessageListProvider java:39)_x000D_
at io github privacystreams core PStreamProvider 1 run(PStreamProvider java:19)_x000D_
_x000D_
Let me know if you need more info  This issue is reproducable 100  of the time _x000D_
_x000D_
Thanks</t>
  </si>
  <si>
    <t>renyuneyun-Easer-81</t>
  </si>
  <si>
    <t>Easer crashes on screen rotate</t>
  </si>
  <si>
    <t xml:space="preserve">
     Expected behavior
App is suppose to be responsive on every screen mode  to enable phones with small screen use the landscape mode 
     Actual behavior
App crashes when you want to add event or scenario and you rotate your screen 
     How to reproduce
  Download Easer from F droid
  Open the app
  Click on menu icon and choose event or scenario
  Click the plus button
  Rotate your screen
     Device detail
  Device: Lenovo a5000 
  OS: 5 0 2
  Software version: Easer 0 5 5 4
     Recording Of The Bug
 iframe width  560  height  315  src  https:  www youtube com embed 3bQn6NhAU9o  frameborder  0  allow  autoplay  encrypted media  allowfullscreen   iframe 
 br    hr   em Posted on  a href  https:  utopian io utopian io  macspeaks easer crashes on screen rotate  Utopian io    Rewarding Open Source Contributors  a   em  hr  </t>
  </si>
  <si>
    <t>ChaosLeung-PinView-18</t>
  </si>
  <si>
    <t>Issue with checkItemRadius</t>
  </si>
  <si>
    <t xml:space="preserve">   _x000D_
 com chaos view PinView_x000D_
            android:id    id pin view _x000D_
            style   style PinWidget PinView _x000D_
            android:layout width  wrap content _x000D_
            android:layout height  wrap content _x000D_
            android:layout marginTop  48dp _x000D_
            android:cursorVisible  false _x000D_
            android:focusable  true _x000D_
            android:focusableInTouchMode  true _x000D_
            android:imeOptions  flagNoFullscreen _x000D_
            android:inputType  numberPassword _x000D_
            android:textColor   color grey _x000D_
            android:textSize  18sp _x000D_
            app:itemCount  4 _x000D_
            app:itemHeight  36dp _x000D_
            app:itemRadius  18dp _x000D_
            app:itemSpacing  16dp _x000D_
            app:itemWidth  36dp _x000D_
            app:layout constraintEnd toEndOf  parent _x000D_
            app:layout constraintStart toStartOf  parent _x000D_
            app:layout constraintTop toBottomOf    id txt description _x000D_
            app:lineColor   color grey _x000D_
            app:lineWidth  2dp _x000D_
            app:viewType  rectangle    _x000D_
   _x000D_
_x000D_
I m using the above code and the app crashes with the following:_x000D_
_x000D_
Caused by java lang RuntimeException The itemRadius can not be greater than itemWidth_x000D_
com chaos view PinView checkItemRadius (PinView java:193)_x000D_
com chaos view PinView  (PinView java:150)_x000D_
com chaos view PinView  (PinView java:104)_x000D_
_x000D_
The radius is exactly half the item width but the app crashes _x000D_
_x000D_
_x000D_
Happening on Galaxy S3  S7 and Pixel 2 XL</t>
  </si>
  <si>
    <t>google-ExoPlayer-4104</t>
  </si>
  <si>
    <t>Philips TV (QM163E) crashes when switching surface</t>
  </si>
  <si>
    <t xml:space="preserve">We are using in our app multiple players and dynamically switch the surface  This behaviour makes ExoPlayer crash or produce an ANR on one specific Philips TV model (QM163E)  We could not reproduce this behaviour on other Android devices (mobile and TVs)  even not on other Philips TV models (MT5593FHT EU  PH7M EU 5596) _x000D_
_x000D_
This has been confirmed using ExoPlayer versions 2 7 1  2 7 0  2 6 x  2 5 x _x000D_
_x000D_
This seems to be related to: https:  github com google ExoPlayer issues 3835_x000D_
_x000D_
Applying the workaround by adding it to the list in MediaCodecVideoRender codecNeedsSetOutputSurfaceWorkaround() for OMX MTK VIDEO DECODER AVC fixes the issue:_x000D_
_x000D_
   _x000D_
private static boolean codecNeedsSetOutputSurfaceWorkaround(String name)  _x000D_
    return    _x000D_
           ((   _x000D_
                    QM16XE U  equals(Util DEVICE))    Philips QM163E_x000D_
                OMX MTK VIDEO DECODER AVC  equals(name))_x000D_
               _x000D_
   _x000D_
   _x000D_
_x000D_
Affected devices:_x000D_
  Philips TV (QM163E)_x000D_
_x000D_
Not affected:_x000D_
  All Android mobile phones tested_x000D_
  Other Philips TVs (MT5593FHT EU  PH7M EU 5596)_x000D_
  Other Android TVs tested_x000D_
_x000D_
 bugreport NZH54D 2018 04 03 16 40 08 zip (https:  github com google ExoPlayer files 1890417 bugreport NZH54D 2018 04 03 16 40 08 zip)_x000D_
</t>
  </si>
  <si>
    <t>julian-klode-dns66-265</t>
  </si>
  <si>
    <t>Do not allow disabling notification in Oreo (IllegalStateException: Not allowed to start service Intent)</t>
  </si>
  <si>
    <t>DNS66 fails periodically and requires a manual restart now and then  This seems like the exception _x000D_
_x000D_
   _x000D_
          beginning of crash_x000D_
04 05 14:43:10 045 10695 10695 E AndroidRuntime: FATAL EXCEPTION: main_x000D_
04 05 14:43:10 045 10695 10695 E AndroidRuntime: Process: org jak linux dns66  PID: 10695_x000D_
04 05 14:43:10 045 10695 10695 E AndroidRuntime: java lang RuntimeException: Unable to start receiver org jak linux dns66 vpn BootComplete: java lang IllegalStateException: Not allowed to start service Intent   cmp org jak linux dns66  vpn AdVpnService (has extras)  : app is in background uid UidRecord 8a4e8f9 u0a164 RCVR idle procs:1 seq(0 0 0) _x000D_
04 05 14:43:10 045 10695 10695 E AndroidRuntime: 	at android app ActivityThread handleReceiver(ActivityThread java:3424)_x000D_
04 05 14:43:10 045 10695 10695 E AndroidRuntime: 	at android app ActivityThread  wrap17(Unknown Source:0)_x000D_
04 05 14:43:10 045 10695 10695 E AndroidRuntime: 	at android app ActivityThread H handleMessage(ActivityThread java:1772)_x000D_
04 05 14:43:10 045 10695 10695 E AndroidRuntime: 	at android os Handler dispatchMessage(Handler java:105)_x000D_
04 05 14:43:10 045 10695 10695 E AndroidRuntime: 	at android os Looper loop(Looper java:164)_x000D_
04 05 14:43:10 045 10695 10695 E AndroidRuntime: 	at android app ActivityThread main(ActivityThread java:6809)_x000D_
04 05 14:43:10 045 10695 10695 E AndroidRuntime: 	at java lang reflect Method invoke(Native Method)_x000D_
04 05 14:43:10 045 10695 10695 E AndroidRuntime: 	at com android internal os Zygote MethodAndArgsCaller run(Zygote java:240)_x000D_
04 05 14:43:10 045 10695 10695 E AndroidRuntime: 	at com android internal os ZygoteInit main(ZygoteInit java:767)_x000D_
04 05 14:43:10 045 10695 10695 E AndroidRuntime: Caused by: java lang IllegalStateException: Not allowed to start service Intent   cmp org jak linux dns66  vpn AdVpnService (has extras)  : app is in background uid UidRecord 8a4e8f9 u0a164 RCVR idle procs:1 seq(0 0 0) _x000D_
04 05 14:43:10 045 10695 10695 E AndroidRuntime: 	at android app ContextImpl startServiceCommon(ContextImpl java:1522)_x000D_
04 05 14:43:10 045 10695 10695 E AndroidRuntime: 	at android app ContextImpl startService(ContextImpl java:1478)_x000D_
04 05 14:43:10 045 10695 10695 E AndroidRuntime: 	at android content ContextWrapper startService(ContextWrapper java:645)_x000D_
04 05 14:43:10 045 10695 10695 E AndroidRuntime: 	at android content ContextWrapper startService(ContextWrapper java:645)_x000D_
04 05 14:43:10 045 10695 10695 E AndroidRuntime: 	at org jak linux dns66 vpn AdVpnService checkStartVpnOnBoot(AdVpnService java:146)_x000D_
04 05 14:43:10 045 10695 10695 E AndroidRuntime: 	at org jak linux dns66 vpn BootComplete onReceive(BootComplete java:23)_x000D_
04 05 14:43:10 045 10695 10695 E AndroidRuntime: 	at android app ActivityThread handleReceiver(ActivityThread java:3410)_x000D_
04 05 14:43:10 045 10695 10695 E AndroidRuntime: 	    8 more_x000D_
     _x000D_
   _x000D_
_x000D_
Phone One Plus 5t_x000D_
Oreo 8 0 0_x000D_
Oxygen OS 5 0 4</t>
  </si>
  <si>
    <t>cgeo-cgeo-6969</t>
  </si>
  <si>
    <t>App crash on map source change</t>
  </si>
  <si>
    <t xml:space="preserve">      Detailed steps causing the problem:
  Not clearly reproducible
  Map a list of cache
  Change between different offline maps or between Google and Offline
  Seems to happen since we promoted the new mapsforge as default
      Actual behavior after performing these steps:
  Sometimes the app stopps responding and crashes shortafter
  Will try to gain some logs next days
      Expected behavior after performing these steps:
  No crash
      Version of c:geo used:
2018 04 07 NB
      Is the problem reproducible for you 
No
      System information:
Attach system information here if available (see c:geo menu    About c:geo    Swipe right to System)
Keep the apostrophe at beginning and end to have it properly formatted
      Other comments and remarks:
e g  Reference to other issues  projects  sources  etc 
</t>
  </si>
  <si>
    <t>CMPUT301W18T23-GeoTask-54</t>
  </si>
  <si>
    <t>Delete Task Crash</t>
  </si>
  <si>
    <t>If you tap delete task too fast it will crash the app  (Not sure if it s reproducible  server went down as I was testing)</t>
  </si>
  <si>
    <t>lineargs-WatchNextApp-19</t>
  </si>
  <si>
    <t>App crashes on send feedback</t>
  </si>
  <si>
    <t>App crashes when clicked on send feedback or starting about activity</t>
  </si>
  <si>
    <t>google-ExoPlayer-4096</t>
  </si>
  <si>
    <t>IndexOutOfBounds on setPlayWhenReady using IMA Extension</t>
  </si>
  <si>
    <t xml:space="preserve">    Issue description_x000D_
I am receiving a significant amount of crash reports when doing  setPlayWhenReady(true)   From the stacktrace it looks like it might have to do with the IMA Extension  but I ve yet to be able to reproduce it locally _x000D_
I m seeing this issue on all devices and android versions 5 8 _x000D_
_x000D_
    Reproduction steps_x000D_
Unable to reproduce it locally  but I can give my setup (Kotlin) _x000D_
   _x000D_
class VideoPlayer(   ): SimpleExoPlayer(   )  _x000D_
  fun play(video: VideoModel)  _x000D_
    var mediaSource   mediaSourceFromVideo(video)  : return_x000D_
_x000D_
    if (AdHelper shouldShowAds)  _x000D_
        mediaSource   requestAds(mediaSource  video)_x000D_
     _x000D_
_x000D_
    prepare(mediaSource)_x000D_
    playWhenReady   true          CRASH COMES FROM THIS CALL_x000D_
   _x000D_
_x000D_
  private fun mediaSourceFromVideo(video: VideoModel): MediaSource   _x000D_
    val mediaSource   when  _x000D_
        video assetUrlString isHlsUrl    HlsMediaSource(Uri parse(video assetUrlString)  dataSourceFactory  1  null  null)_x000D_
        video assetUrlString isMp4Url     _x000D_
            val mp4Uri   Uri parse(video assetUrlString)_x000D_
            ExtractorMediaSource(mp4Uri  dataSourceFactory  extractorsFactory  null  null)_x000D_
         _x000D_
        else    return null_x000D_
     _x000D_
_x000D_
    if (video closedCaptionUrlString    null)  _x000D_
        val ccUri   Uri parse(video closedCaptionUrlString)_x000D_
        val textFormat   Format createTextSampleFormat(null  MimeTypes TEXT VTT  Format NO VALUE   en )_x000D_
        val textMediaSource   SingleSampleMediaSource(ccUri  dataSourceFactory _x000D_
                textFormat  C TIME UNSET)_x000D_
        return MergingMediaSource(mediaSource  textMediaSource)_x000D_
     _x000D_
_x000D_
    return mediaSource_x000D_
   _x000D_
_x000D_
  private fun requestAds(originalMediaSource: MediaSource  video: VideoModel): MediaSource  _x000D_
      val adTagUri   AdHelper getAdTag(video)  : return originalMediaSource_x000D_
      adsLoader   ImaAdsLoader(adContainerView context  adTagUri)_x000D_
_x000D_
      return ImaAdsMediaSource(_x000D_
              originalMediaSource _x000D_
              dataSourceFactory _x000D_
              adsLoader _x000D_
              adContainerView _x000D_
              Handler(Looper getMainLooper()) _x000D_
              this)_x000D_
    _x000D_
 _x000D_
   _x000D_
_x000D_
    Link to test content_x000D_
_x000D_
    Version of ExoPlayer being used_x000D_
compile  com google android exoplayer:exoplayer:r2 5 2 _x000D_
compile  com google android exoplayer:extension ima:r2 5 2 _x000D_
_x000D_
    Device(s) and version(s) of Android being used_x000D_
All devices  reports coming from android version 5 6 7 8 _x000D_
_x000D_
    A full bug report captured from the device_x000D_
From Crashlytics :_x000D_
   _x000D_
Fatal Exception: java lang IndexOutOfBoundsException_x000D_
       at com google android exoplayer2 Timeline 1 getPeriod(Timeline java:532)_x000D_
       at com google android exoplayer2 Timeline getPeriod(Timeline java:687)_x000D_
       at com google android exoplayer2 ExoPlayerImpl getContentPosition(ExoPlayerImpl java:375)_x000D_
       at com google android exoplayer2 ext ima ImaAdsLoader checkForContentComplete(ImaAdsLoader java:697)_x000D_
       at com google android exoplayer2 ext ima ImaAdsLoader onPlayerStateChanged(ImaAdsLoader java:556)_x000D_
       at com google android exoplayer2 ExoPlayerImpl setPlayWhenReady(ExoPlayerImpl java:166)_x000D_
       at com google android exoplayer2 SimpleExoPlayer setPlayWhenReady(SimpleExoPlayer java:627)_x000D_
       at  MyApp  video VideoPlayer setPlayWhenReady(VideoPlayer kt:244)_x000D_
       at  MyApp  video VideoPlayer play(VideoPlayer kt:150)_x000D_
       at  MyApp  video VideoManager goToInlineAndPlay(VideoManager kt:113)_x000D_
       at  MyApp  video VideoManager goToInlineAndPlay default(VideoManager kt:107)_x000D_
       at  MyApp  feed models ContentFeedModel selectedItem(ContentFeedModel kt:246)_x000D_
       at  MyApp  feed FeedController FeedAdapter onCreateViewHolder 1 onClick(FeedController kt:142)_x000D_
       at android view View performClick(View java:5637)_x000D_
       at android view View PerformClick run(View java:22433)_x000D_
       at android os Handler handleCallback(Handler java:751)_x000D_
       at android os Handler dispatchMessage(Handler java:95)_x000D_
       at android os Looper loop(Looper java:179)_x000D_
       at android app ActivityThread main(ActivityThread java:6152)_x000D_
       at java lang reflect Method invoke(Method java)_x000D_
       at com android internal os ZygoteInit MethodAndArgsCaller run(ZygoteInit java:886)_x000D_
       at com android internal os ZygoteInit main(ZygoteInit java:776)_x000D_
   _x000D_
</t>
  </si>
  <si>
    <t>MarcLeclair-Mini-Cap-AnyMemo-96</t>
  </si>
  <si>
    <t>Bug: Cannot view card list</t>
  </si>
  <si>
    <t xml:space="preserve">Bug overview: _x000D_
When trying to view the card list from a chosen database  the app crashes and closes down _x000D_
_x000D_
Steps to reproduce the bug:_x000D_
_x000D_
1   Go to the list of databases tab (2nd tab from the left) _x000D_
2   Select a quiz _x000D_
3   Choose Card List _x000D_
_x000D_
Expected result:_x000D_
Being able to see the list of cards that the database contains _x000D_
_x000D_
Actual result : _x000D_
The app crashes and closes before being able to see the list of cards </t>
  </si>
  <si>
    <t>no-go-AnotherRSS-26</t>
  </si>
  <si>
    <t>On Android 4.4.4 and nyt feed: could not find class 'android.graphics.drawable.RippleDrawable'</t>
  </si>
  <si>
    <t xml:space="preserve">on Android 4 4 4 the is a bug getting (  not sure) and resizing (  not sure) the images of the ny times feeds  This couse a NULL in body and title of the feed _x000D_
_x000D_
temporray (2 14) fix with a : ( bad smile instead a the text  This is stupid  but App did not crash </t>
  </si>
  <si>
    <t>aerogear-aerogear-android-sdk-190</t>
  </si>
  <si>
    <t>Example app crashes when using local Keycloak</t>
  </si>
  <si>
    <t xml:space="preserve">   Expected Behavior_x000D_
_x000D_
App should allow me to connect to my Keycloak server if I use that instead of the provided one in the example app _x000D_
_x000D_
   Actual Behavior_x000D_
_x000D_
App crashes when using own Keycloak server instead of provided one in example app _x000D_
_x000D_
   _x000D_
FATAL EXCEPTION: pool 3 thread 1_x000D_
                                                                           Process: org aerogear mobile example  PID: 4954_x000D_
                                                                           java lang NullPointerException: Attempt to invoke virtual method  int okhttp3 Response code()  on a null object reference_x000D_
                                                                               at org aerogear mobile core http OkHttpResponse getStatus(OkHttpResponse java:102)_x000D_
                                                                               at org aerogear mobile auth credentials JwksManager lambda fetchJwks 0 JwksManager(JwksManager java:113)_x000D_
                                                                               at org aerogear mobile auth credentials JwksManager  Lambda 0 run(Unknown Source:26)_x000D_
                                                                               at org aerogear mobile core http OkHttpResponse runCompletionHandler(OkHttpResponse java:52)_x000D_
                                                                               at org aerogear mobile core http OkHttpResponse lambda new 0 OkHttpResponse(OkHttpResponse java:40)_x000D_
                                                                               at org aerogear mobile core http OkHttpResponse  Lambda 0 run(Unknown Source:20)_x000D_
                                                                               at java util concurrent ThreadPoolExecutor runWorker(ThreadPoolExecutor java:1162)_x000D_
                                                                               at java util concurrent ThreadPoolExecutor Worker run(ThreadPoolExecutor java:636)_x000D_
                                                                               at java lang Thread run(Thread java:764)_x000D_
   _x000D_
_x000D_
   Steps to Reproduce the Problem_x000D_
_x000D_
  1  Change the URL of Keycloak in  mobile services json  in the example app to a local Keycloak_x000D_
  2  Try to initiate auth_x000D_
</t>
  </si>
  <si>
    <t>aerogear-aerogear-android-sdk-189</t>
  </si>
  <si>
    <t>Example app crashes when metrics not found in configuration</t>
  </si>
  <si>
    <t xml:space="preserve">   Expected Behavior_x000D_
_x000D_
If I add in my own  mobile services json  file to the example app it should still function  Even if I don t have every service provisioned _x000D_
_x000D_
This has only been confirmed when metrics is missing  other services may also cause this _x000D_
_x000D_
   Actual Behavior_x000D_
_x000D_
If I add a  mobile services json  without  metrics  configured then the app will crash _x000D_
_x000D_
   Steps to Reproduce the Problem_x000D_
_x000D_
  1  Remove metrics from  mobile services json _x000D_
  2  Run the app_x000D_
</t>
  </si>
  <si>
    <t>Fr4gorSoftware-SecScanQR-31</t>
  </si>
  <si>
    <t>Crash when viewing certain entries in history</t>
  </si>
  <si>
    <t xml:space="preserve">When scanning  this Data Matrix Code (https:  github com zxing zxing issues 365)  and subsequently viewing its entry in the history tab  the application crashes </t>
  </si>
  <si>
    <t>k9mail-k-9-3308</t>
  </si>
  <si>
    <t>Crash when saving "noname" file from email</t>
  </si>
  <si>
    <t xml:space="preserve">I subscribe to a lot of mailing lists  and K 9 doesn t seem to like them _x000D_
_x000D_
I ve been able to reproduce a crash by opening what should be an ordinary email  and instead of seeing the text  there is a  noname  attachment  Trying to open it with an application  as far as I can tell  sends no data to the application in question  Attempting to save the file causes K 9 to crash  I ve included a GIF to show this (the email I m opening is  here (https:  lists debian org debian mate 2018 04 msg00018 html))  and I ve also included some output I got from my first time using  adb  _x000D_
_x000D_
  crash (https:  user images githubusercontent com 8465972 38395758 8b857d7e 3902 11e8 8809 8ba0ce61f1e3 gif)_x000D_
_x000D_
   _x000D_
04 05 18:27:54 853 16062 17459 E AndroidRuntime: FATAL EXCEPTION: AsyncTask  5_x000D_
04 05 18:27:54 853 16062 17459 E AndroidRuntime: Process: com fsck k9  PID: 16062_x000D_
04 05 18:27:54 853 16062 17459 E AndroidRuntime: java lang RuntimeException: An error occurred while executing doInBackground _x000D_
04 05 18:27:54 853 16062 17459 E AndroidRuntime:        at android os AsyncTask 3 done(AsyncTask java:318)_x000D_
04 05 18:27:54 853 16062 17459 E AndroidRuntime:        at java util concurrent FutureTask finishCompletion(FutureTask java:3 _x000D_
04 05 18:27:54 853 16062 17459 E AndroidRuntime:        at java util concurrent FutureTask setException(FutureTask java:223)_x000D_
04 05 18:27:54 853 16062 17459 E AndroidRuntime:        at java util concurrent FutureTask run(FutureTask java:242)_x000D_
04 05 18:27:54 853 16062 17459 E AndroidRuntime:        at java util concurrent ThreadPoolExecutor runWorker(ThreadPoolExecut _x000D_
04 05 18:27:54 853 16062 17459 E AndroidRuntime:        at java util concurrent ThreadPoolExecutor Worker run(ThreadPoolExecu _x000D_
04 05 18:27:54 853 16062 17459 E AndroidRuntime:        at java lang Thread run(Thread java:761)_x000D_
04 05 18:27:54 853 16062 17459 E AndroidRuntime: Caused by: java lang IllegalArgumentException: mimeType can t be null_x000D_
04 05 18:27:54 853 16062 17459 E AndroidRuntime:        at android app DownloadManager validateArgumentIsNonEmpty(DownloadMan _x000D_
04 05 18:27:54 853 16062 17459 E AndroidRuntime:        at android app DownloadManager addCompletedDownload(DownloadManager j _x000D_
04 05 18:27:54 853 16062 17459 E AndroidRuntime:        at android app DownloadManager addCompletedDownload(DownloadManager j _x000D_
04 05 18:27:54 853 16062 17459 E AndroidRuntime:        at com fsck k9 ui messageview AttachmentController addSavedAttachment _x000D_
04 05 18:27:54 853 16062 17459 E AndroidRuntime:        at com fsck k9 ui messageview AttachmentController saveAttachmentWith _x000D_
04 05 18:27:54 853 16062 17459 E AndroidRuntime:        at com fsck k9 ui messageview AttachmentController access 900(Attachm _x000D_
04 05 18:27:54 853 16062 17459 E AndroidRuntime:        at com fsck k9 ui messageview AttachmentController SaveAttachmentAsyn _x000D_
04 05 18:27:54 853 16062 17459 E AndroidRuntime:        at com fsck k9 ui messageview AttachmentController SaveAttachmentAsyn _x000D_
04 05 18:27:54 853 16062 17459 E AndroidRuntime:        at android os AsyncTask 2 call(AsyncTask java:304)_x000D_
04 05 18:27:54 853 16062 17459 E AndroidRuntime:        at java util concurrent FutureTask run(FutureTask java:237)_x000D_
04 05 18:27:54 853 16062 17459 E AndroidRuntime:            3 more_x000D_
_x000D_
   _x000D_
_x000D_
I ve been having this issue for a while now  probably with several different versions  but right now  I m on K 9 Mail 5 503 and Android 7 0 _x000D_
_x000D_
And by the way  even though this is on a mailing list  I have OpenPGP encryption enabled with my email provider (they ll use my public key to encrypt emails that aren t encrypted already)  so it is encrypted with PGP MIME  I don t think that has anything to do with it  but that s just a disclaimer  The email decrypts and displays fine in Thunderbird   Enigmail </t>
  </si>
  <si>
    <t>alaskalinuxuser-app_JustChess-1</t>
  </si>
  <si>
    <t>Suggested move crashes app if castle is suggested move.</t>
  </si>
  <si>
    <t xml:space="preserve">If the engine suggests castling as the next best move  the app will crash when you ask for a suggestion </t>
  </si>
  <si>
    <t>UTurista-PRSPY-1</t>
  </si>
  <si>
    <t>App crash when opening settings links</t>
  </si>
  <si>
    <t>When opening a link in the settings activity  eg:  Rate in Play Store   app crashes</t>
  </si>
  <si>
    <t>k3b-APhotoManager-119</t>
  </si>
  <si>
    <t>A photo manager crashes on opening filemanager(clicking folder icon) and rotating the screen</t>
  </si>
  <si>
    <t xml:space="preserve">
     Expected behavior
After opening the app and clicking on the file icon from top bar of the app and rotating the screen to view in landscape mode  the interface should rotate with the screen  br 
     Actual behavior
But when you click on the folder icon to open file manager from the app and rotate the screen the app crashes and stops  br 
     How to reproduce
1  Download A Photo Manager from  F Droid (https:  f droid org packages de k3b android androFotoFinder )  install it and launch it  br 
2  Click on the folder icon as shown in the following screenshot  br    (https:  s19 postimg org qg2prl9ib 20180403 194919 png)
3  Switch the orientation of your screen to landscape mode and Rotate the screen of your phone  br 
The app now will crash and stop and will show a message as below  br    (https:  s19 postimg org abqvc27gz 20180401 162213 png)
This bug is reported in Samsung Galaxy J5 Android 6 0 1 and A Photo Manager app version 0 6 4 180321   br 
  App Version: 0 6 4 180321  br 
  Operating system: Android 6 0 1
     Recording Of The Bug
Here s the bug recorded in video  br 
     iframe width  560  height  315  src  https:  www youtube com embed cArA3fUzC0Q  frameborder  0  allow  autoplay  encrypted media  allowfullscreen   iframe 
 br    hr   em Posted on  a href  https:  utopian io utopian io  neupanedipen a photo manager crashes on opening filemanager and rotating the screen  Utopian io    Rewarding Open Source Contributors  a   em  hr  </t>
  </si>
  <si>
    <t>oliexdev-openScale-238</t>
  </si>
  <si>
    <t>App crash on start</t>
  </si>
  <si>
    <t xml:space="preserve">OpenScale 1 7 1 crash on startup  Installed from F Droid _x000D_
_x000D_
   _x000D_
Build version: 1 7 1 _x000D_
Build date: 1980 01 01 00:00:00 _x000D_
Current date: 2018 04 04 08:25:06 _x000D_
Device: Fairphone FP1 _x000D_
 _x000D_
Stack trace:  _x000D_
java lang RuntimeException: Unable to start activity ComponentInfo com health openscale com health openscale gui MainActivity : android view InflateException: Binary XML file line  0: Error inflating class ImageView_x000D_
	at android app ActivityThread performLaunchActivity(ActivityThread java:2338)_x000D_
	at android app ActivityThread handleLaunchActivity(ActivityThread java:2390)_x000D_
	at android app ActivityThread access 800(ActivityThread java:151)_x000D_
	at android app ActivityThread H handleMessage(ActivityThread java:1321)_x000D_
	at android os Handler dispatchMessage(Handler java:110)_x000D_
	at android os Looper loop(Looper java:193)_x000D_
	at android app ActivityThread main(ActivityThread java:5299)_x000D_
	at java lang reflect Method invokeNative(Native Method)_x000D_
	at java lang reflect Method invoke(Method java:515)_x000D_
	at com android internal os ZygoteInit MethodAndArgsCaller run(ZygoteInit java:825)_x000D_
	at com android internal os ZygoteInit main(ZygoteInit java:641)_x000D_
	at dalvik system NativeStart main(Native Method)_x000D_
Caused by: android view InflateException: Binary XML file line  0: Error inflating class ImageView_x000D_
	at android view LayoutInflater createViewFromTag(LayoutInflater java:713)_x000D_
	at android view LayoutInflater rInflate(LayoutInflater java:755)_x000D_
	at android view LayoutInflater rInflate(LayoutInflater java:758)_x000D_
	at android view LayoutInflater rInflate(LayoutInflater java:758)_x000D_
	at android view LayoutInflater rInflate(LayoutInflater java:758)_x000D_
	at android view LayoutInflater rInflate(LayoutInflater java:758)_x000D_
	at android view LayoutInflater inflate(LayoutInflater java:492)_x000D_
	at android view LayoutInflater inflate(LayoutInflater java:397)_x000D_
	at com health openscale gui fragments StatisticsFragment onCreateView(StatisticsFragment java:79)_x000D_
	at android support v4 app Fragment performCreateView(Fragment java:2261)_x000D_
	at android support v4 app FragmentManagerImpl moveToState(FragmentManager java:1419)_x000D_
	at android support v4 app FragmentManagerImpl moveFragmentToExpectedState(FragmentManager java:1750)_x000D_
	at android support v4 app FragmentManagerImpl moveToState(FragmentManager java:1819)_x000D_
	at android support v4 app FragmentManagerImpl dispatchStateChange(FragmentManager java:3227)_x000D_
	at android support v4 app FragmentManagerImpl dispatchActivityCreated(FragmentManager java:3181)_x000D_
	at android support v4 app FragmentController dispatchActivityCreated(FragmentController java:192)_x000D_
	at android support v4 app FragmentActivity onStart(FragmentActivity java:572)_x000D_
	at android support v7 app AppCompatActivity onStart(AppCompatActivity java:177)_x000D_
	at android app Instrumentation callActivityOnStart(Instrumentation java:1174)_x000D_
	at android app Activity performStart(Activity java:5274)_x000D_
	at android app ActivityThread performLaunchActivity(ActivityThread java:2311)_x000D_
	    11 more_x000D_
Caused by: java lang NumberFormatException: Invalid int:  res color abc primary text material light xml _x000D_
	at java lang Integer invalidInt(Integer java:137)_x000D_
	at java lang Integer parse(Integer java:374)_x000D_
	at java lang Integer parseInt(Integer java:365)_x000D_
	at com android internal util XmlUtils convertValueToInt(XmlUtils java:122)_x000D_
	at android content res TypedArray getInt(TypedArray java:255)_x000D_
	at android widget ImageView  init (ImageView java:155)_x000D_
	at android support v7 widget AppCompatImageView  init (AppCompatImageView java:71)_x000D_
	at android support v7 widget AppCompatImageView  init (AppCompatImageView java:67)_x000D_
	at android support v7 app AppCompatViewInflater createView(AppCompatViewInflater java:106)_x000D_
	at android support v7 app AppCompatDelegateImplV9 createView(AppCompatDelegateImplV9 java:1016)_x000D_
	at android support v7 app AppCompatDelegateImplV9 onCreateView(AppCompatDelegateImplV9 java:1073)_x000D_
	at android view LayoutInflater FactoryMerger onCreateView(LayoutInflater java:172)_x000D_
	at android view LayoutInflater createViewFromTag(LayoutInflater java:684)_x000D_
	    31 more_x000D_
_x000D_
User actions: _x000D_
   </t>
  </si>
  <si>
    <t>egslava-edittext-mask-35</t>
  </si>
  <si>
    <t xml:space="preserve">Hello  I m ran into with some error  When I m enter the symbols by keyboard  sometimes I m get a crash like this _x000D_
_x000D_
 E AndroidRuntime: FATAL EXCEPTION: Thread 14 _x000D_
Process: com pa mango  PID: 19742_x000D_
java lang NullPointerException: Attempt to invoke virtual method  java lang Class java lang Object getClass()  on a null object reference  _x000D_
at com android tools profiler support profilers EventProfiler InputConnectionHandler run(EventProfiler java:316)_x000D_
at java lang Thread run(Thread java:764) _x000D_
_x000D_
My XML file is:_x000D_
_x000D_
     br com sapereaude maskedEditText MaskedEditText_x000D_
_x000D_
            android:id    id card edit text _x000D_
            android:layout width  wrap content _x000D_
            android:layout height  wrap content _x000D_
            android:layout marginBottom  40dp _x000D_
            android:backgroundTint   android:color transparent _x000D_
            android:fontFamily  sans serif medium _x000D_
            android:gravity  center _x000D_
            android:hint  00000000000000000000 _x000D_
            android:inputType  number _x000D_
            android:longClickable  false _x000D_
            android:textColor   color colorText _x000D_
            android:textColorHint   color white 38 _x000D_
            android:textSize  20sp _x000D_
            mask:allowed chars  1234567890 _x000D_
            mask:keep hint  true _x000D_
            mask:layout constraintBottom toBottomOf    id icon _x000D_
            mask:layout constraintLeft toLeftOf  parent _x000D_
            mask:layout constraintRight toRightOf  parent _x000D_
            mask:mask                                </t>
  </si>
  <si>
    <t>jameelbrochu-AnyMemo-138</t>
  </si>
  <si>
    <t>Fix Shuffle For Multiple Choice Deck</t>
  </si>
  <si>
    <t>Shuffle button currently crashes  The deck is already shuffled so need to remove this feature specifically for MC mode or adapt it to work for mc as well</t>
  </si>
  <si>
    <t>twilio-video-quickstart-android-278</t>
  </si>
  <si>
    <t>Crash on camera flip in emulator</t>
  </si>
  <si>
    <t xml:space="preserve">    Description_x000D_
App crashes when trying to flip camera on emulator_x000D_
_x000D_
    Steps to Reproduce_x000D_
_x000D_
1  Try to flip camera on Emulator_x000D_
_x000D_
     Code_x000D_
_x000D_
   _x000D_
   Code that help reproduce the issue_x000D_
ParticipantRenderer flipCamera()_x000D_
   _x000D_
     Expected Behavior_x000D_
_x000D_
Camera should switch or app shouldn t crash_x000D_
_x000D_
     Actual Behavior_x000D_
App crashes_x000D_
_x000D_
     Reproduces how Often_x000D_
_x000D_
100 _x000D_
_x000D_
     Logs_x000D_
_x000D_
    _x000D_
    java lang NullPointerException: Attempt to invoke virtual method  int java lang Integer intValue()  on a null object reference_x000D_
        at com twilio video VideoCapturerListenerAdapter onFrameCaptured(VideoCapturerListenerAdapter java:47)_x000D_
        at com twilio video CameraCapturer 1 onByteBufferFrameCaptured(CameraCapturer java:182)_x000D_
        at org webrtc CameraCapturer 2 onByteBufferFrameCaptured(CameraCapturer java:159)_x000D_
        at org webrtc Camera1Session 3 onPreviewFrame(Camera1Session java:301)_x000D_
        at android hardware Camera EventHandler handleMessage(Camera java:1124)_x000D_
        at android os Handler dispatchMessage(Handler java:105)_x000D_
        at android os Looper loop(Looper java:164)_x000D_
        at android os HandlerThread run(HandlerThread java:65)_x000D_
    _x000D_
_x000D_
    Versions_x000D_
     Video Android SDK_x000D_
com twilio:video android:1 3 13_x000D_
_x000D_
     Android API_x000D_
API level 26_x000D_
_x000D_
     Android Device_x000D_
Emulator Android 8 0 x86_x000D_
</t>
  </si>
  <si>
    <t>julian-klode-dns66-263</t>
  </si>
  <si>
    <t>IPv6 DNS settings crash VPN proxy of not on a network that has a IPv6 ip</t>
  </si>
  <si>
    <t xml:space="preserve">So  after adding a custom ipv6 dns entry  the proxy started crashing when I was not on a network with a ipv6 IP address  _x000D_
_x000D_
I fixed it by disabling ipv6 altogether  but that s a pity for the networks that do have ipv6 _x000D_
_x000D_
So I m guessing some extra checks might be required around this logic </t>
  </si>
  <si>
    <t>iBotPeaches-Apktool-1761</t>
  </si>
  <si>
    <t>Implicit qualifiers removed during decode</t>
  </si>
  <si>
    <t xml:space="preserve">    Information_x000D_
1  Apktool 2 3 1 and 2 3 2 snapshot_x000D_
2  Linux_x000D_
3  SystemUI apk and framework res apk from note 8 Oreo firmware_x000D_
_x000D_
The resource folder layout changes from the original apk  for instance in the original SystemUI apk there is an animator v21 folder but the disappears when decompiled and files move to a simple animator folder _x000D_
   _x000D_
_x000D_
    Steps to Reproduce_x000D_
1   apktool d SystemUI apk_x000D_
2  apktool b SystemUI  c_x000D_
3  Flash new apk  results in SystemUI crash_x000D_
_x000D_
    Frameworks</t>
  </si>
  <si>
    <t>julian-klode-dns66-262</t>
  </si>
  <si>
    <t>0.5.8 crashes when adding DNS servers (java.lang.NullPointerException)</t>
  </si>
  <si>
    <t xml:space="preserve"> logcat DNS66 Note 8 crash when adding dns   extract txt (https:  github com julian klode dns66 files 1871246 logcat DNS66 Note 8 crash when adding dns   extract txt)_x000D_
_x000D_
When trying to add a new DNS entry  DNS66 crashes reproducibly on my Galaxy Note 8  running Android 7 1 1  I ve made an extract of the logs  it shows a NullPointerException  with the stack trace attached for reference  Thanks </t>
  </si>
  <si>
    <t>FranckRJ-RespawnIRC-Android-13</t>
  </si>
  <si>
    <t>Crash aleatoires images Noelshack</t>
  </si>
  <si>
    <t>J ai constat  un probl me r current  qui est le crash de l appli quand je clique sur une image noelshack pour l afficher en plus grande  
L appli ne se ferme mais me renvoie aux sujets du forum en question
D tails :
Samsung Galaxy S5 4G  G901F
ROM Kit Kat 4 4 4 Simple GX
Respawn IRC 1 10 3</t>
  </si>
  <si>
    <t>commons-app-apps-android-commons-1412</t>
  </si>
  <si>
    <t>Crash (SQLiteReadOnlyDatabaseException) when opening another activity after notifications activity</t>
  </si>
  <si>
    <t xml:space="preserve">  Summary:   _x000D_
_x000D_
As  97balakrishnan said:_x000D_
This happens only when the app is logged in for the first time  When i tried to launch the notifications and then open recent uploads i got the following crash  I dont know if they are related but i just thought of reporting it  My recent uploads are working fine after i relaunch the app on my phone Android 6 0 1 _x000D_
_x000D_
  Steps to reproduce:   _x000D_
_x000D_
 97balakrishnan can you explain here _x000D_
_x000D_
  Add System logs:  _x000D_
_x000D_
(Edited by misaochan)_x000D_
   _x000D_
android database sqlite SQLiteReadOnlyDatabaseException: _x000D_
  at android database sqlite SQLiteConnection nativeExecuteForChangedRowCount (Native Method)_x000D_
  at android database sqlite SQLiteConnection executeForChangedRowCount (SQLiteConnection java:734)_x000D_
  at android database sqlite SQLiteSession executeForChangedRowCount (SQLiteSession java:754)_x000D_
  at android database sqlite SQLiteStatement executeUpdateDelete (SQLiteStatement java:64)_x000D_
  at android database sqlite SQLiteDatabase updateWithOnConflict (SQLiteDatabase java:1576)_x000D_
  at android database sqlite SQLiteDatabase update (SQLiteDatabase java:1522)_x000D_
  at fr free nrw commons contributions ContributionsContentProvider update (ContributionsContentProvider java:170)_x000D_
  at android content ContentProvider Transport update (ContentProvider java:337)_x000D_
  at android content ContentProviderClient update (ContentProviderClient java:251)_x000D_
  at fr free nrw commons contributions ContributionDao save (ContributionDao java:64)_x000D_
  at fr free nrw commons upload UploadService NotificationUpdateProgressListener onProgress (UploadService java:108)_x000D_
  at fr free nrw commons mwapi ApacheHttpClientMediaWikiApi  Lambda 6 onProgress (Unknown Source)_x000D_
  at in yuvi http fluent CountingRequestEntity CountingOutputStream write (CountingRequestEntity java:76)_x000D_
  at org apache http entity mime content InputStreamBody writeTo (InputStreamBody java:70)_x000D_
  at org apache http entity mime HttpMultipart doWriteTo (HttpMultipart java:206)_x000D_
  at org apache http entity mime HttpMultipart writeTo (HttpMultipart java:224)_x000D_
  at org apache http entity mime MultipartEntity writeTo (MultipartEntity java:183)_x000D_
  at in yuvi http fluent CountingRequestEntity writeTo (CountingRequestEntity java:49)_x000D_
  at org apache http impl entity EntitySerializer serialize (EntitySerializer java:102)_x000D_
  at org apache http impl AbstractHttpClientConnection sendRequestEntity (AbstractHttpClientConnection java:167)_x000D_
  at org apache http impl conn AbstractClientConnAdapter sendRequestEntity (AbstractClientConnAdapter java:277)_x000D_
  at org apache http protocol HttpRequestExecutor doSendRequest (HttpRequestExecutor java:242)_x000D_
  at org apache http protocol HttpRequestExecutor execute (HttpRequestExecutor java:124)_x000D_
  at org apache http impl client DefaultRequestDirector execute (DefaultRequestDirector java:438)_x000D_
  at org apache http impl client AbstractHttpClient execute (AbstractHttpClient java:560)_x000D_
  at org apache http impl client AbstractHttpClient execute (AbstractHttpClient java:492)_x000D_
  at org apache http impl client AbstractHttpClient execute (AbstractHttpClient java:470)_x000D_
  at in yuvi http fluent Http HttpRequestBuilder asResponse (Http java:470)_x000D_
  at org mediawiki api ApiResult fromRequestBuilder (ApiResult java:44)_x000D_
  at org mediawiki api MWApi upload (MWApi java:164)_x000D_
  at fr free nrw commons mwapi ApacheHttpClientMediaWikiApi uploadFile (ApacheHttpClientMediaWikiApi java:492)_x000D_
  at fr free nrw commons upload UploadService uploadContribution (UploadService java:246)_x000D_
  at fr free nrw commons upload UploadService handle (UploadService java:131)_x000D_
  at fr free nrw commons upload UploadService handle (UploadService java:41)_x000D_
  at fr free nrw commons HandlerService ServiceHandler handleMessage (HandlerService java:26)_x000D_
  at android os Handler dispatchMessage (Handler java:102)_x000D_
  at android os Looper loop (Looper java:160)_x000D_
  at android os HandlerThread run (HandlerThread java:61)_x000D_
   </t>
  </si>
  <si>
    <t>kollerlukas-Camera-Roll-Android-App-169</t>
  </si>
  <si>
    <t>Camera Roll: Bug found when clicked on "Scan"</t>
  </si>
  <si>
    <t xml:space="preserve">     Expected behavior
After navigating  to the storage folder by clicking on the  File Explorer  option  I expected the app  to scan the storage folder for files and probably display them 
     Actual behavior
When I get to a folder in my storage that I want to scan and then clicked on  Scan  option the app crashes and takes me back to the Home Activity 
     How to reproduce
    Download the Camera Roll app from Playstore
    Launch the app
    At the home activity  Click on the menu option icon at the top right
    From the menu options click on  File Explorer 
    Navigate to a folder you want to scan
    Click on the menu icon 
    From the drop down options click on  Scan 
    The app crashes and returns to the Home Activity 
  App Version: Version 1 0 5
  Operating system: Infinix Hot  Android Kitkat
     Recording Of The Bug
https:  www youtube com watch v L1VpCrh5z M
 br    hr   em Posted on  a href  https:  utopian io utopian io  godwyn camera roll bug found when clicked on scan  Utopian io    Rewarding Open Source Contributors  a   em  hr  </t>
  </si>
  <si>
    <t>TeamNewPipe-NewPipe-1242</t>
  </si>
  <si>
    <t>Error upon pressing media buttons from other apps</t>
  </si>
  <si>
    <t xml:space="preserve">   X  I carefully read the  contribution guidelines (https:  github com TeamNewPipe NewPipe blob HEAD  github CONTRIBUTING md) and agree to them _x000D_
   X  I checked if the issue feature exists in the latest version _x000D_
_x000D_
The app is unable to handle media buttons inputs that come from other apps installed  For example Kustom Live Wallpaper  Kustom Widget  Music Boss  and the Pebble app (with using a pebble smartwatch of course) crashes the app  The error reporter shows an ui error _x000D_
_x000D_
Might as well add a request since this bug needs some fixing and its related  Would be nice if Newpipe would share player details  Like for example what s the current song (or video) info (Title   Artist  track duration  and current track position) This info is quite useful for the apps mentioned above _x000D_
_x000D_
Here are the error details that the Newpipe reports _x000D_
_x000D_
   _x000D_
 _x000D_
    user action :  ui error  _x000D_
    request :  App crash  UI failure  _x000D_
    content language :  US  _x000D_
    service :  none  _x000D_
    package :  org schabi newpipe  _x000D_
    version :  0 13 1  _x000D_
    os :  Linux Android 7 1 2   25  _x000D_
    time :  2018 04 01 21:33  _x000D_
    exceptions :  _x000D_
       java lang RuntimeException: Unable to start receiver android support v4 media session MediaButtonReceiver: java lang IllegalStateException: Could not find any Service that handles android intent action MEDIA BUTTON or implements a media browser service  n tat android app ActivityThread handleReceiver(ActivityThread java:3087) n tat android app ActivityThread  wrap18(ActivityThread java) n tat android app ActivityThread H handleMessage(ActivityThread java:1591) n tat android os Handler dispatchMessage(Handler java:102) n tat android os Looper loop(Looper java:154) n tat android app ActivityThread main(ActivityThread java:6236) n tat java lang reflect Method invoke(Native Method) n tat com android internal os ZygoteInit MethodAndArgsCaller run(ZygoteInit java:891) n tat com android internal os ZygoteInit main(ZygoteInit java:781) n tat de robv android xposed XposedBridge main(XposedBridge java:107) nCaused by: java lang IllegalStateException: Could not find any Service that handles android intent action MEDIA BUTTON or implements a media browser service  n tat android support v4 media session MediaButtonReceiver onReceive(MediaButtonReceiver java:124) n tat android app ActivityThread handleReceiver(ActivityThread java:3080) n t    9 more njava lang IllegalStateException: Could not find any Service that handles android intent action MEDIA BUTTON or implements a media browser service  n tat android support v4 media session MediaButtonReceiver onReceive(MediaButtonReceiver java:124) n tat android app ActivityThread handleReceiver(ActivityThread java:3080) n tat android app ActivityThread  wrap18(ActivityThread java) n tat android app ActivityThread H handleMessage(ActivityThread java:1591) n tat android os Handler dispatchMessage(Handler java:102) n tat android os Looper loop(Looper java:154) n tat android app ActivityThread main(ActivityThread java:6236) n tat java lang reflect Method invoke(Native Method) n tat com android internal os ZygoteInit MethodAndArgsCaller run(ZygoteInit java:891) n tat com android internal os ZygoteInit main(ZygoteInit java:781) n tat _x000D_
     _x000D_
    user comment :      ( )     n nMaybe you should implement a player that can handle play  pause commands from an external source  n nFor example  Kustom Live Wallpaper  Kustom Widget Maker  Pebble smartwatch  etc  n nCurrently the player crashes when pausing the stream using another app  n n the problem happens on both the YouTube and SoundCloud wrapper when playing video or audio only  _x000D_
 _x000D_
   _x000D_
_x000D_
PS your report via email button is broken too  :P</t>
  </si>
  <si>
    <t>commons-app-apps-android-commons-1401</t>
  </si>
  <si>
    <t>User is no longer prompted to send ACRA crash reports</t>
  </si>
  <si>
    <t xml:space="preserve">  Summary:   _x000D_
_x000D_
ACRA crash report prompt has disappeared _x000D_
_x000D_
  Steps to reproduce:   _x000D_
_x000D_
Generate a crash_x000D_
_x000D_
  Expected behavior:   _x000D_
_x000D_
In prior versions (not sure how long ago)  the user used to be prompted to send crash reports to ACRA (our mailing list) whenever the app crashes  This allows us to see the logs of a crash alongside the user s comments  which is important for debugging _x000D_
_x000D_
  Observed behavior:   _x000D_
_x000D_
No prompt to send crash report _x000D_
_x000D_
  Device and Android version:   _x000D_
_x000D_
Samsung Galaxy S7  Android 6 0 1_x000D_
 _x000D_
   Commons app version:   _x000D_
_x000D_
2 7 0_x000D_
_x000D_
  Would you like to work on the issue   _x000D_
_x000D_
Preferably not  but I ll pick it up if no one wants it_x000D_
</t>
  </si>
  <si>
    <t>yeriomin-YalpStore-412</t>
  </si>
  <si>
    <t xml:space="preserve">Running 0 35 on LineageOS 14 1 _x000D_
_x000D_
    Expected behaviour_x000D_
Search for name or updates  Login and search _x000D_
_x000D_
    Actual behaviour_x000D_
Searching for a name or updates will pop up the  log in  dialog  Then the app crashs _x000D_
_x000D_
    Steps to reproduce_x000D_
Install yalp with f droid  Search for anything in yalp _x000D_
_x000D_
    Info about your device_x000D_
Newly installed LineageOS 14 1 on Redmi5 </t>
  </si>
  <si>
    <t>aionnetwork-aion-319</t>
  </si>
  <si>
    <t>Critical Threads Dying due to incorrect exception handling</t>
  </si>
  <si>
    <t xml:space="preserve">Currently  some parts of the kernel stop working sporadically due to critical threads (for example   sync ib  ) dying due to exceptions _x000D_
_x000D_
These threads must handle abide by the contract of handling all exceptions that may arise  As we have no   thread manager   that respawns threads upon crash  Attached is a log containing a jstack that shows   sync ib   is missing from the threads list  This in turn stops syncing _x000D_
_x000D_
 ali sharif pointed out that other components have similar issues:_x000D_
_x000D_
  EventManager handler threads on each component_x000D_
  P2pMgr long running tasks: TaskInbound (incoming connections)  TaskClear  TaskConnectPeers_x000D_
  SyncMgr (TaskImportBlocks (sync ib))  TaskGetBodies  TaskGetStatus_x000D_
_x000D_
Ideally  we should be documenting clearly the status  responsibilities and guarantees of each thread and take inventory of which threads are long running in our system  Some sort of naming convention would go a long with too </t>
  </si>
  <si>
    <t>morenoh149-react-native-contacts-279</t>
  </si>
  <si>
    <t>Contacts.getAll works on emulator but crashes on mobile phone.</t>
  </si>
  <si>
    <t xml:space="preserve">Here is my code:_x000D_
   es_x000D_
_x000D_
import React from  react _x000D_
import   View  Text   from  react native _x000D_
import Contacts from  react native contacts _x000D_
_x000D_
export default class ContactTab extends React Component  _x000D_
_x000D_
	componentDidMount()  _x000D_
_x000D_
		console log( Hello   Contacts)_x000D_
_x000D_
		Contacts getAll((err  contacts)     _x000D_
			console log( dude )_x000D_
		 )_x000D_
	 _x000D_
_x000D_
	render()  _x000D_
		return (_x000D_
		  	 View style    flex: 1  justifyContent:  center   alignItems:  center     _x000D_
		    	 Text Settings   Text _x000D_
		  	  View _x000D_
		)_x000D_
	 _x000D_
 _x000D_
   _x000D_
It works fine on emulator but crashes on phone _x000D_
_x000D_
The crash report only says _x000D_
_x000D_
   sh_x000D_
I ReactNativeJS(19364):  Hello     addContact:    Function: fn  type:  async    _x000D_
I ReactNativeJS(19364):   checkPermission:    Function: fn  type:  async    _x000D_
I ReactNativeJS(19364):   getAll:    Function: fn  type:  async    _x000D_
I ReactNativeJS(19364):   getAllWithoutPhotos:    Function: fn  type:  async    _x000D_
I ReactNativeJS(19364):   getContactsMatchingString:    Function: fn  type:  async    _x000D_
I ReactNativeJS(19364):   getPhotoForId:    Function: fn  type:  async    _x000D_
I ReactNativeJS(19364):   openContactForm:    Function: fn  type:  async    _x000D_
I ReactNativeJS(19364):   requestPermission:    Function: fn  type:  async    _x000D_
I ReactNativeJS(19364):   updateContact:    Function: fn  type:  async     _x000D_
D ReactNative(19364): ReactInstanceManager detachViewFromInstance()_x000D_
   _x000D_
_x000D_
As the Contacts getAll function gets called app crashed _x000D_
_x000D_
What might be the issue   I checked the permission and it returns  authorized  _x000D_
_x000D_
Any solution to this  </t>
  </si>
  <si>
    <t>nikita36078-J2ME-Loader-267</t>
  </si>
  <si>
    <t>Bomberman 3D - Freezing/Crashing Issue</t>
  </si>
  <si>
    <t xml:space="preserve">  Emulator version:  _x000D_
1 2 8 4_x000D_
_x000D_
  Game version:  _x000D_
1 0 3_x000D_
_x000D_
_x000D_
  Game resolution:  _x000D_
  (240x320)  _x000D_
_x000D_
  Device:  _x000D_
  (Asus Z5)  _x000D_
_x000D_
  Android version:   _x000D_
5 0_x000D_
_x000D_
  Description of the issue:  _x000D_
   Issue 1:   The game freezes in menu (Can be fix by enabling immediate processing mode)_x000D_
  Issue 2:   Enabled Immediate Processing Mode   The game crashes after finishing the first level </t>
  </si>
  <si>
    <t>Devsoc-BPGC-ARD-215</t>
  </si>
  <si>
    <t>App closes on browser launch</t>
  </si>
  <si>
    <t>On launching a url from the Brower util I noticed app finishes (and in onStart app crashes due to FirebaseAuth user data being null for some reason)  _x000D_
_x000D_
To prevent null pointer exception in onStart  I have added a check in 697c9f398ff60b20a42483ead520775b733b44f5_x000D_
_x000D_
 Rushi98 Confirm if this behaviour is visible in your phone too _x000D_
I tested on Oreo Emulator</t>
  </si>
  <si>
    <t>getsentry-sentry-java-572</t>
  </si>
  <si>
    <t>Sentry fails to upload with ProGuard: silent NullPointerException in JsonMarshaller.writeExtras</t>
  </si>
  <si>
    <t xml:space="preserve">Using sentry 1 7 2 on Android  I am able to upload without ProGuard (on my debug builds) but I fail on non debug builds with ProGuard (note: obfuscation is off)  The exception is thrown here  where  extras  is null: https:  github com getsentry sentry java blob 38aaffa2d863fdc858cc5f9b24ff2e87d14b5a7a sentry src main java io sentry marshaller json JsonMarshaller java L247 L249_x000D_
_x000D_
And it s silently suppressed so as an end user of Sentry  I don t see any logs and Sentry mysteriously fails to upload _x000D_
_x000D_
To repro  here s a copy of my code: https:  github com mcomella firefox tv tree host sentry npe Notes:_x000D_
  You ll have to build with the  amazonWebviewRelease  build variant_x000D_
  You ll have to sign the APK in order to install it on device (as is the case with release builds)_x000D_
_x000D_
To repro:_x000D_
  Add a debugger statement on the line I mention above_x000D_
  Run the app and crash it  I added code so that you can force a crash once by pressing any button once you re on the home screen (with the  Enter a search  text field)_x000D_
  Reopen the app _x000D_
  Attach a debugger to the running app_x000D_
  Wait  60s for the background thread to attempt to upload and wait for the debugger to catch_x000D_
_x000D_
   Workaround_x000D_
I was able to fix the problem by keeping the  Event  class: I noticed it gets serialized to disk so I m guessing ProGuard is removing fields that are important for the Serialization process  Here s my proguard config for sentry:_x000D_
_x000D_
   _x000D_
  Recommended config_x000D_
 keepattributes LineNumberTable SourceFile_x000D_
 dontwarn org slf4j   _x000D_
 dontwarn javax   _x000D_
_x000D_
  My addition_x000D_
 keep class io sentry event Event       _x000D_
   </t>
  </si>
  <si>
    <t>barbeau-gpstest-137</t>
  </si>
  <si>
    <t>NumberFormatException when parsing Altitude MSL</t>
  </si>
  <si>
    <t xml:space="preserve">  Summary:   _x000D_
_x000D_
One occurrence of this exception in the Android Developer Console:_x000D_
_x000D_
   _x000D_
java lang NumberFormatException: _x000D_
  at java lang FloatingDecimal readJavaFormatString (FloatingDecimal java:1306)_x000D_
  at java lang Double parseDouble (Double java:547)_x000D_
  at com android gpstest util GpsTestUtil getAltitudeMeanSeaLevel (GpsTestUtil java:265)_x000D_
  at com android gpstest GpsStatusFragment onNmeaMessage (GpsStatusFragment java:363)_x000D_
  at com android gpstest GpsTestActivity 5 onNmeaMessage (GpsTestActivity java:780)_x000D_
  at android location LocationManager GnssStatusListenerTransport GnssHandler handleMessage (LocationManager java:1419)_x000D_
  at android os Handler dispatchMessage (Handler java:102)_x000D_
  at android os Looper loop (Looper java:154)_x000D_
  at android app ActivityThread main (ActivityThread java:6776)_x000D_
  at java lang reflect Method invoke (Native Method)_x000D_
  at com android internal os ZygoteInit MethodAndArgsCaller run (ZygoteInit java:1518)_x000D_
  at com android internal os ZygoteInit main (ZygoteInit java:1408)_x000D_
   _x000D_
_x000D_
  Steps to reproduce:   _x000D_
_x000D_
Run the app on a device with bad NMEA data_x000D_
_x000D_
  Expected behavior:   _x000D_
_x000D_
Not crash_x000D_
_x000D_
  Observed behavior:   _x000D_
_x000D_
Crash with above exception_x000D_
_x000D_
  Device and Android version:   _x000D_
_x000D_
Samsung Galaxy A3(2017) (a3y17lte)  2048MB RAM  Android 7 0</t>
  </si>
  <si>
    <t>Jeremyyiu-BatteryManager-10</t>
  </si>
  <si>
    <t>Permission denial</t>
  </si>
  <si>
    <t xml:space="preserve">  Writing exception to parcel_x000D_
      java lang SecurityException: Permission Denial: writing com sec android provider badge BadgeProvider uri content:  com sec badge apps notify true from pid 28269  uid 10215 requires com sec android provider badge permission WRITE  or grantUriPermission()_x000D_
_x000D_
Occurred and causes the app the crash when I tried running the app after implementing an onclick listener to generate a intent to open up wifi settings</t>
  </si>
  <si>
    <t>kollerlukas-Camera-Roll-Android-App-167</t>
  </si>
  <si>
    <t>App crashes when you long press on an item in the list</t>
  </si>
  <si>
    <t xml:space="preserve">
     Expected behavior
When I long press on an item  say an image in a list of several images  I expected options to come up or the image to be highlighted in the case where I want to select multiple images 
     Actual behavior
When I long press on an item be it an image file or a video the app crashes 
     How to reproduce
  Download the Camera Roll app from playstore
  Launch the app
  Select a folder
  In the list of items inside the folder  long press on an item
  App crashes
   Version: Veersion 1 0 5
   Operating system: Infinix Hot  Android Kitkat
     Recording Of The Bug
https:  www youtube com watch v 2vCiFIkFIAk
 br    hr   em Posted on  a href  https:  utopian io utopian io  godwyn app crashes when you long press on an item in the list  Utopian io    Rewarding Open Source Contributors  a   em  hr  </t>
  </si>
  <si>
    <t>twilio-video-quickstart-android-276</t>
  </si>
  <si>
    <t>Crashes with RecyclerView list of remote participants</t>
  </si>
  <si>
    <t xml:space="preserve">    Description_x000D_
_x000D_
Using a RecyclerView to hold a list of multiple remote participants is crashing app _x000D_
_x000D_
My app is supposed to allow group video calls  Where a user has a  RecyclerView  list of other users with their videos  However  if I test the app with more than 8 participants my app crashes from code I cannot control _x000D_
_x000D_
Not sure if my RecyclerViewAdapter is not being used correctly with the VideoViews and Participants _x000D_
_x000D_
I tried replicating this RecyclerView with VideoView example:_x000D_
_x000D_
https:  gist github com aaalaniz b779b12d2887c32576ffa4d5828b88c1_x000D_
_x000D_
But that example uses a RecyclerView to display LocalVideo instead of remote participants  so it does not seem to apply to my use case  (And the FrameCountProxyRendererListener class doesnt seem to exist)_x000D_
_x000D_
    Steps to Reproduce_x000D_
_x000D_
1  While having a video conference with 8 or more remote users  app will eventually slow down the device and then crash _x000D_
_x000D_
     Code_x000D_
_x000D_
   java_x000D_
private List VideoConferenceParticipantItem  items _x000D_
private Map String  Integer  participantItemMap   new HashMap  () _x000D_
private Map VideoConferenceParticipantViewHolder  VideoTrack  viewHolderMap   new HashMap  () _x000D_
_x000D_
public VideoConferenceParticipantsAdapter()  _x000D_
        this items   new ArrayList  () _x000D_
 _x000D_
_x000D_
  This is called from the activity when a participant enters the room_x000D_
public void addParticipant(Participant participant)  _x000D_
    items add(new VideoConferenceParticipantItem(participant)) _x000D_
    participantItemMap put(participant getSid()  items size()   1) _x000D_
    notifyItemInserted(items size()   1) _x000D_
 _x000D_
_x000D_
 Override_x000D_
public void onBindViewHolder(VideoConferenceParticipantViewHolder holder  int position)  _x000D_
        VideoConferenceParticipantItem item   items get(position) _x000D_
_x000D_
        VideoTrack videoTrack   getParticipantVideoTrack(item participant) _x000D_
_x000D_
        if (videoTrack    null)  _x000D_
            return _x000D_
         _x000D_
_x000D_
        for (VideoRenderer renderer : videoTrack getRenderers())  _x000D_
            if (renderer    holder videoView)  _x000D_
                  if videoview is already rendering this videotrack  dont rebind it_x000D_
                return _x000D_
             _x000D_
         _x000D_
_x000D_
        if(viewHolderMap containsKey(holder)) _x000D_
              Release any previous renderings_x000D_
            viewHolderMap get(holder) removeRenderer(holder videoView) _x000D_
            holder videoView release() _x000D_
         _x000D_
_x000D_
_x000D_
        videoTrack addRenderer(holder videoView) _x000D_
_x000D_
        viewHolderMap put(holder  videoTrack) _x000D_
        holder videoView setScalingType(RendererCommon ScalingType SCALE ASPECT FIT) _x000D_
        holder videoView setMirror(false) _x000D_
 _x000D_
_x000D_
private VideoTrack getParticipantVideoTrack(Participant participant)  _x000D_
    if (participant    null) _x000D_
        return null _x000D_
     _x000D_
_x000D_
    return (participant getVideoTracks() size()   0)   participant getVideoTracks() get(0) : null _x000D_
 _x000D_
_x000D_
 Override_x000D_
public int getItemCount()  _x000D_
    return items size() _x000D_
 _x000D_
_x000D_
 Override_x000D_
public int getItemViewType(int position)  _x000D_
    return items get(position) viewType _x000D_
 _x000D_
_x000D_
 Override_x000D_
public VideoConferenceParticipantViewHolder onCreateViewHolder(ViewGroup parent  int viewType)     _x000D_
    int viewId   R layout item video participant _x000D_
    View view   LayoutInflater from(parent getContext()) inflate(viewId  parent  false) _x000D_
    return new VideoConferenceParticipantViewHolder(view) _x000D_
 _x000D_
_x000D_
static class VideoConferenceParticipantViewHolder extends RecyclerView ViewHolder  _x000D_
    VideoView videoView _x000D_
_x000D_
    VideoConferenceParticipantViewHolder(View itemView)  _x000D_
        super(itemView) _x000D_
        videoView   itemView findViewById(R id video view item) _x000D_
     _x000D_
_x000D_
 _x000D_
_x000D_
private class VideoConferenceParticipantItem  _x000D_
        final int viewType _x000D_
        final Participant participant _x000D_
_x000D_
        VideoConferenceParticipantItem(Participant participant)  _x000D_
            this viewType   ViewType SELECTABLE _x000D_
            this participant   participant _x000D_
         _x000D_
_x000D_
         Override_x000D_
        public int hashCode()  _x000D_
            return participant getSid() hashCode() _x000D_
         _x000D_
_x000D_
         Override_x000D_
        public boolean equals(Object obj)  _x000D_
            if (obj    null     (obj instanceof VideoConferenceParticipantItem))  _x000D_
                return false _x000D_
             _x000D_
_x000D_
            VideoConferenceParticipantItem other   (VideoConferenceParticipantItem)obj _x000D_
            return other participant getSid() equals(this participant getSid()) _x000D_
         _x000D_
 _x000D_
   _x000D_
     Reproduces how Often_x000D_
_x000D_
The app will crash 100  of the time with 8 or more participants _x000D_
_x000D_
     Logs_x000D_
_x000D_
I get this log without the app crashing  And the dropped frames count increases leading up to the crash  _x000D_
   _x000D_
W org webrtc Logging: MediaCodecVideoDecoder: Draining decoder  Dropping frame with TS: 5100  Total number of dropped frames: 17_x000D_
   _x000D_
_x000D_
And then this is what is actually crashing the app:_x000D_
   _x000D_
A art: art runtime indirect reference table cc:128  JNI ERROR (app bug): weak global reference table overflow (max 51200)_x000D_
 A art: art runtime indirect reference table cc:128  weak global reference table dump:_x000D_
 A art: art runtime indirect reference table cc:128    Last 10 entries (of 51200):_x000D_
 A art: art runtime indirect reference table cc:128      51199: 0x1360b0d0 java lang Thread_x000D_
 A art: art runtime indirect reference table cc:128      51198: 0x1360b4c0 java lang Thread_x000D_
 A art: art runtime indirect reference table cc:128      51197: 0x1360b5e0 java lang Thread_x000D_
 A art: art runtime indirect reference table cc:128      51196: 0x1360b430 java lang Thread_x000D_
 A art: art runtime indirect reference table cc:128      51195: 0x1360b940 java lang Thread_x000D_
 A art: art runtime indirect reference table cc:128      51194: 0x1360b820 java lang Thread_x000D_
 A art: art runtime indirect reference table cc:128      51193: 0x1360b700 java lang Thread_x000D_
 A art: art runtime indirect reference table cc:128      51192: 0x1360bb80 java lang Thread_x000D_
 A art: art runtime indirect reference table cc:128      51191: 0x1360b670 java lang Thread_x000D_
 A art: art runtime indirect reference table cc:128      51190: 0x1360b550 java lang Thread_x000D_
 A art: art runtime indirect reference table cc:128    Summary:_x000D_
 A art: art runtime indirect reference table cc:128          1 of com logentries logger AsyncLoggingWorker SocketAppender_x000D_
 A art: art runtime indirect reference table cc:128          1 of com google android gms dynamite zzh_x000D_
 A art: art runtime indirect reference table cc:128          2 of com google android gms internal zzchi (2 unique instances)_x000D_
 A art: art runtime indirect reference table cc:128          4 of com android volley NetworkDispatcher (4 unique instances)_x000D_
 A art: art runtime indirect reference table cc:128          1 of com android volley CacheDispatcher_x000D_
 A art: art runtime indirect reference table cc:128          1 of okio AsyncTimeout Watchdog_x000D_
 A art: art runtime indirect reference table cc:128         10 of com twilio video VideoView (10 unique instances)_x000D_
 A art: art runtime indirect reference table cc:128          1 of org webrtc voiceengine WebRtcAudioTrack AudioTrackThread_x000D_
 A art: art runtime indirect reference table cc:128          1 of org webrtc voiceengine WebRtcAudioRecord AudioRecordThread_x000D_
 A art: art runtime indirect reference table cc:128          2 of java util TimerThread (2 unique instances)_x000D_
 A art: art runtime indirect reference table cc:128        577 of java lang Thread (577 unique instances)_x000D_
 A art: art runtime indirect reference table cc:128       7702 of java lang Class (7702 unique instances)_x000D_
 A art: art runtime indirect reference table cc:128          3 of byte   (1440 elements) (3 unique instances)_x000D_
 A art: art runtime indirect reference table cc:128          1 of byte   (2304 elements)_x000D_
 A art: art runtime indirect reference table cc:128          3 of byte   (5016 elements) (3 unique instances)_x000D_
 A art: art runtime indirect reference table cc:128          2 of byte   (6552 elements) (2 unique instances)_x000D_
 A art: art runtime indirect reference table cc:128          1 of byte   (6912 elements)_x000D_
 A art: art runtime indirect reference table cc:128          1 of byte   (8640 elements)_x000D_
 A art: art runtime indirect reference table cc:128          5 of byte   (9216 elements) (5 unique instances)_x000D_
 A art: art runtime indirect reference table cc:128          1 of byte   (9360 elements)_x000D_
 A art: art runtime indirect reference table cc:128          4 of byte   (10080 elements) (4 unique instances)_x000D_
 A art: art runtime indirect reference table cc:128          1 of byte   (13824 elements)_x000D_
 A art: art runtime indirect reference table cc:128          1 of byte   (14880 elements)_x000D_
 A art: art runtime indirect reference table cc:128          1 of byte   (17280 elements)_x000D_
 A art: art runtime indirect reference table cc:128          1 of byte   (17400 elements)_x000D_
 A art: art runtime indirect reference table cc:128          1 of byte   (20520 elements)_x000D_
 A art: art runtime indirect reference table cc:128          1 of byte   (20592 elements)_x000D_
 A art: art runtime indirect reference table cc:128         12 of byte   (20736 elements) (12 unique instances)_x000D_
 A art: art runtime indirect reference table cc:128          3 of byte   (22500 elements) (3 unique instances)_x000D_
 A art: art runtime indirect reference table cc:128          2 of byte   (24336 elements) (2 unique instances)_x000D_
 A art: art runtime indirect reference table cc:128          1 of byte   (25200 elements)_x000D_
 A art: art runtime indirect reference table cc:128         27 of byte   (26244 elements) (27 unique instances)_x000D_
 A art: art runtime indirect reference table cc:128          1 of byte   (28512 elements)_x000D_
 A art: art runtime indirect reference table cc:128          1 of byte   (29700 elements)_x000D_
 A art: art runtime indirect reference table cc:128          1 of byte   (31320 elements)_x000D_
 A art: art runtime indirect reference table cc:128          1 of byte   (32256 elements)_x000D_
 A art: art runtime indirect reference table cc:128          1 of byte   (32448 elements)_x000D_
 A art: art runtime indirect reference table cc:128          1 of byte   (34560 elements)_x000D_
 A art: art runtime indirect reference table cc:128          2 of byte   (34848 elements) (2 unique instances)_x000D_
 A art: art runtime indirect reference table cc:128          2 of byte   (35344 elements) (2 unique instances)_x000D_
 A art: art runtime indirect reference table cc:128         17 of byte   (36864 elements) (17 unique instances)_x000D_
 A art: art runtime indirect reference table cc:128          2 of byte   (46368 elements) (2 unique instances)_x000D_
 A art: art runtime indirect reference table cc:128          3 of byte   (46656 elements) (3 unique instances)_x000D_
 A art: art runtime indirect reference table cc:128          2 of byte   (47808 elements) (2 unique instances)_x000D_
 A art: art runtime indirect reference table cc:128          2 of byte   (51984 elements) (2 unique instances)_x000D_
 A art: art runtime indirect reference table cc:128          2 of byte   (57600 elements) (2 unique instances)_x000D_
 A art: art runtime indirect reference table cc:128          1 of byte   (67392 elements)_x000D_
 A art: art runtime indirect reference table cc:128          1 of byte   (72900 elements)_x000D_
 A art: art runtime indirect reference table cc:128          1 of byte   (76752 elements)_x000D_
 A art: art runtime indirect reference table cc:128          3 of byte   (79488 elements) (3 unique instances)_x000D_
 A art: art runtime indirect reference table cc:128          1 of byte   (82368 elements)_x000D_
 A art: art runtime indirect reference table cc:128          3 of byte   (82944 elements) (3 unique instances)_x000D_
 A art: art runtime indirect reference table cc:128          1 of byte   (95472 elements)_x000D_
 A art: art runtime indirect reference table cc:128          2 of byte   (97344 elements) (2 unique instances)_x000D_
 A art: art runtime indirect reference table cc:128          4 of byte   (108000 elements) (4 unique instances)_x000D_
 A art: art runtime indirect reference table cc:128          1 of byte   (142080 elements)_x000D_
 A art: art runtime indirect reference table cc:128          1 of byte   (146432 elements)_x000D_
 A art: art runtime indirect reference table cc:128          5 of byte   (176400 elements) (5 unique instances)_x000D_
 A art: art runtime indirect reference table cc:128          1 of byte   (230400 elements)_x000D_
 A art: art runtime indirect reference table cc:128          5 of byte   (270400 elements) (5 unique instances)_x000D_
 A art: art runtime indirect reference table cc:128          1 of byte   (360000 elements)_x000D_
 A art: art runtime indirect reference table cc:128          1 of byte   (518400 elements)_x000D_
 A art: art runtime indirect reference table cc:128          1 of byte   (631512 elements)_x000D_
 A art: art runtime indirect reference table cc:128          2 of byte   (636480 elements) (2 unique instances)_x000D_
 A art: art runtime indirect reference table cc:128          1 of byte   (3985200 elements)_x000D_
 A art: art runtime indirect reference table cc:128          1 of java lang ThreadGroup_x000D_
 A art: art runtime indirect reference table cc:128         94 of java lang DexCache (94 unique instances)_x000D_
 A art: art runtime indirect reference table cc:128          7 of dalvik system PathClassLoader (3 unique instances)_x000D_
 A art: art runtime indirect reference table cc:128          1 of com android okhttp okio AsyncTimeout Watchdog_x000D_
 A art: art runtime indirect reference table cc:128          7 of android media MediaCodec (7 unique instances)_x000D_
 A art: art runtime indirect reference table cc:128         82 of android os HandlerThread (82 unique instances)_x000D_
 A art: art runtime indirect reference table cc:128        722 of android view RenderNode (722 unique instances)_x000D_
   _x000D_
_x000D_
    Versions_x000D_
     Video Android SDK_x000D_
_x000D_
 com twilio:video android:1 3 14 _x000D_
_x000D_
     Android API_x000D_
_x000D_
7 0 1_x000D_
_x000D_
     Android Device_x000D_
_x000D_
Samsung S7 edge_x000D_
</t>
  </si>
  <si>
    <t>mapbox-mapbox-events-android-98</t>
  </si>
  <si>
    <t>Fix crash when sticky service is recreated</t>
  </si>
  <si>
    <t xml:space="preserve">  Fixes crash when  STICKY   Service  is recreated_x000D_
_x000D_
This is a release blocker so for now the solution taken is making the  Service   NOT STICKY  _x000D_
Will open a new ticket to revisit this and fix that back _x000D_
_x000D_
Fixes  97 _x000D_
_x000D_
   electrostat  zugaldia </t>
  </si>
  <si>
    <t>kollerlukas-Camera-Roll-Android-App-166</t>
  </si>
  <si>
    <t>Camera Roll: Move and Copy features crashes the app</t>
  </si>
  <si>
    <t xml:space="preserve">
     Expected behavior
After viewing a file when I want to copy or move the file from one location to another I expected the app to do so successfully without crashing 
     Actual behavior
When I view a file  click on the menu option and select either copy or move  then select the destination folder and click on the  Ok  button the app crashes 
     How to reproduce
  Download the Camera Roll app from playstore
  Launch the app
  Select a file to view it
  When viewing the file click on the menu icon to view the drop down options
  Click on Copy or Move
  Select the destination Folder
  Click on the  Ok  button
  Version: Veersion 1 0 5
  Operating system: Infinix Hot  Android Kitkat
     Recording Of The Bug
https:  www youtube com watch v  O Oft0HPeI
 br    hr   em Posted on  a href  https:  utopian io utopian io  godwyn camera roll move and copy features crashes the app  Utopian io    Rewarding Open Source Contributors  a   em  hr  </t>
  </si>
  <si>
    <t>kollerlukas-Camera-Roll-Android-App-165</t>
  </si>
  <si>
    <t>Camera Roll app crashes when trying to rename a file</t>
  </si>
  <si>
    <t xml:space="preserve">
     Expected behavior
When I view a file and want to rename the file  I expected the Camera Roll app to change the file name successfully without crashing 
     Actual behavior
When I view a file  image or view and click on the drop down menu options and click on  RENAME  the rename dialog comes up  When I type in a new name for the file or not when I click on   RENAME  the app crashes 
     How to reproduce
     Download the Camera Roll app from P laystore
     Launch the app
    Select a file to view it
    When viewing the file click on the menu icon to view the drop down options
     Click on Rename
     Whether you type in a new  name or not 
     Click on the  RENAME  
    The app crashes and returns to the parent folder
  Version: Veersion 1 0 5
  Operating system: Infinix Hot  Android Kitkat
     Recording Of The Bug
https:  www youtube com watch v uBzus5CBBT0
 br    hr   em Posted on  a href  https:  utopian io utopian io  godwyn camera roll app crashes when trying to rename a file  Utopian io    Rewarding Open Source Contributors  a   em  hr  </t>
  </si>
  <si>
    <t>smartnsoft-smartrecyclerview-android-1</t>
  </si>
  <si>
    <t>La méthode `getSpanSizeForPosition` de la classe `SmartRecyclerAdapter` peut provoquer un crash</t>
  </si>
  <si>
    <t xml:space="preserve">Chemin de reproduction :_x000D_
_x000D_
1  Cr er une liste avec impl mentation du DiffUtil avec un seul  l ment dedans_x000D_
2  Appeler la m thode  setWrappersForDiffUtil  du  DiffUtilSmartRecyclerAdapter  avec en param tre une liste vide_x000D_
3  Constater le crash_x000D_
_x000D_
La stacktrace :_x000D_
_x000D_
   _x000D_
 java lang ArrayIndexOutOfBoundsException: length 0  index  1_x000D_
at java util ArrayList get(ArrayList java:439)_x000D_
at com smartnsoft recyclerview adapter SmartRecyclerAdapter getSpanSizeForPosition(SmartRecyclerAdapter java:301)_x000D_
at com landicta wellogy fragment ListFragment getLayoutManager 1 getSpanSize(ListFragment kt:38)_x000D_
at com landicta wellogy wrapper DefaultGridItemDecoration computeSpaceElementDimension(DefaultGridItemDecoration kt:32)_x000D_
at com landicta wellogy wrapper DefaultGridItemDecoration getItemOffsets(DefaultGridItemDecoration kt:19)_x000D_
at android support v7 widget RecyclerView getItemDecorInsetsForChild(RecyclerView java:4792)_x000D_
at android support v7 widget RecyclerView LayoutManager calculateItemDecorationsForChild(RecyclerView java:9320)_x000D_
at android support v7 widget GridLayoutManager layoutChunk(GridLayoutManager java:590)_x000D_
at android support v7 widget LinearLayoutManager fill(LinearLayoutManager java:1519)_x000D_
 at android support v7 widget LinearLayoutManager onLayoutChildren(LinearLayoutManager java:614)_x000D_
at android support v7 widget GridLayoutManager onLayoutChildren(GridLayoutManager java:170)_x000D_
at android support v7 widget RecyclerView dispatchLayoutStep1(RecyclerView java:3763)_x000D_
at android support v7 widget RecyclerView dispatchLayout(RecyclerView java:3527)_x000D_
at android support v7 widget RecyclerView consumePendingUpdateOperations(RecyclerView java:1767)_x000D_
at android support v7 widget RecyclerView 1 run(RecyclerView java:356)_x000D_
at android view Choreographer CallbackRecord run(Choreographer java:911)_x000D_
at android view Choreographer doCallbacks(Choreographer java:723)_x000D_
at android view Choreographer doFrame(Choreographer java:655)_x000D_
at android view Choreographer FrameDisplayEventReceiver run(Choreographer java:897)_x000D_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Le probl me  dans ce cas pr vis vient du fait que la m thode  getSpanSizeForPosition(int)  est appel  avec une position     1    Comme la condition  if (position   wrappers size())  est remplie  l application crash sur la ligne suivante :_x000D_
_x000D_
   _x000D_
return wrappers get(position) getSpanSize() _x000D_
   _x000D_
_x000D_
Il convient donc de v rifier si  en plus  la position est bien sup rieure ou  gale   0 </t>
  </si>
  <si>
    <t>tchapgouv-tchap-android-legacy-79</t>
  </si>
  <si>
    <t>Access to public room</t>
  </si>
  <si>
    <t xml:space="preserve">When a user try to access a public room  tchap crashes (even if the user is the creator of the room) </t>
  </si>
  <si>
    <t>k9mail-k-9-3289</t>
  </si>
  <si>
    <t>selecting key from openkeychain fails</t>
  </si>
  <si>
    <t xml:space="preserve">k 9 does not accept the cryptographic key from openkeychain _x000D_
_x000D_
The key has been created newly by openkeychain using plain defaults from the_x000D_
wizzard  except for uploading to the internet being off (as these are tests_x000D_
yet only) _x000D_
_x000D_
Steps in detail:_x000D_
_x000D_
In k 9  after selecting the key from the list  the app takes a short breath_x000D_
for about 1 sec  and then simply behaves as if it was newly started  Looks_x000D_
like a quick app restart after a crash or so (but there is no crash message) _x000D_
When entering the menu Cryptography   My key  there is still  no key_x000D_
selected  _x000D_
_x000D_
Tried with K 9 OpenKeyChain 5 502 4 9 2 as well as 5 403 4 9 _x000D_
_x000D_
Android version: 7 1 2   LineageOS  Security options were off for both_x000D_
for both apps _x000D_
_x000D_
</t>
  </si>
  <si>
    <t>abguymon-Ticket-to-Ride-Hyrule-13</t>
  </si>
  <si>
    <t>PHASE 3: Drawing a destination card makes the app behave strangely</t>
  </si>
  <si>
    <t xml:space="preserve">Ok  so multiple times I would try to draw a destination card  and either the app would crash or the game start menu (where you claim your initial destination cards) would pop up  If it didn t crash and this happened  I tried rejoining the game  but it seems I joined as a different person  and since this new user is not actually in the turn order  no one is able to go and the game is effectively halted _x000D_
_x000D_
Steps to reproduce:_x000D_
1  just try drawing destination cards_x000D_
2  Also try drawing one train card and then drawing a destination card (which should be illegal) but it seems to make the app act funny _x000D_
3  Also try drawing a destination card when it is not the user s turn  This also make the app behave strangely </t>
  </si>
  <si>
    <t>react-native-camera-react-native-camera-1408</t>
  </si>
  <si>
    <t xml:space="preserve">recordAsync: Expected a Camera component  </t>
  </si>
  <si>
    <t xml:space="preserve">    Warning_x000D_
RCTCamera is   DEPRECATED   on v1 0 0 follow our migration guide here https:  github com react native community react native camera blob master docs migration md_x000D_
_x000D_
    Which implementation are you using_x000D_
RNCamera_x000D_
_x000D_
_x000D_
    Steps to reproduce_x000D_
_x000D_
Trying to record video with recordAsync  using the below code : _x000D_
_x000D_
1   RNCamera_x000D_
            ref	      (cam)      this camera   cam     _x000D_
    				style     styles preview  _x000D_
    				type      RNCamera Constants Type back  _x000D_
    				onCameraReady      ()      _x000D_
    				   this setState(   message :  Camera Ready    )_x000D_
    				     _x000D_
2    startVideo   async ()     _x000D_
    if (  this camera ) return _x000D_
    try  _x000D_
		  const data   await this camera recordAsync(   ) _x000D_
			console log( data) _x000D_
			this setState(   message:  Good   ) _x000D_
		  catch ( error)  _x000D_
		  this setState(   message:  bad   ) _x000D_
      throw error _x000D_
		 _x000D_
   _x000D_
   _x000D_
3 stopVideo   ()     _x000D_
		if (  this camera ) return _x000D_
		this camera stopRecording() _x000D_
   _x000D_
4  react native run android_x000D_
    Does it work with Expo Camera _x000D_
Did not try_x000D_
_x000D_
    Expected behaviour_x000D_
Video should be recorded and URI should be shown on console_x000D_
_x000D_
    Actual behaviour_x000D_
Error in console  app crashes_x000D_
_x000D_
Console error ::_x000D_
Possible Unhandled Promise Rejection (id: 0):_x000D_
Error: recordAsync: Expected a Camera component_x000D_
Error: recordAsync: Expected a Camera component_x000D_
    at createErrorFromErrorData (blob:http:  localhost:8081 ea79261d 48ec 42ef b126 fbc7cc730629:2023:17)_x000D_
    at blob:http:  localhost:8081 ea79261d 48ec 42ef b126 fbc7cc730629:1975:27_x000D_
    at MessageQueue   invokeCallback (blob:http:  localhost:8081 ea79261d 48ec 42ef b126 fbc7cc730629:2417:18)_x000D_
    at blob:http:  localhost:8081 ea79261d 48ec 42ef b126 fbc7cc730629:2162:18_x000D_
    at MessageQueue   guardSafe (blob:http:  localhost:8081 ea79261d 48ec 42ef b126 fbc7cc730629:2330:11)_x000D_
    at MessageQueue invokeCallbackAndReturnFlushedQueue (blob:http:  localhost:8081 ea79261d 48ec 42ef b126 fbc7cc730629:2161:14)_x000D_
    at http:  localhost:8081 debugger ui debuggerWorker js:72:58_x000D_
console warn   D: Learn ReactNative camera2 node modules react native Libraries ReactNative YellowBox js:82_x000D_
onUnhandled   D: Learn ReactNative camera2 node modules react native Libraries Promise js:44_x000D_
onUnhandled   D: Learn ReactNative camera2 node modules promise setimmediate rejection tracking js:71_x000D_
(anonymous)   D: Learn ReactNative camera2 node modules react native Libraries Core Timers JSTimers js:258_x000D_
 callTimer   D: Learn ReactNative camera2 node modules react native Libraries Core Timers JSTimers js:154_x000D_
callTimers   D: Learn ReactNative camera2 node modules react native Libraries Core Timers JSTimers js:407_x000D_
  callFunction   D: Learn ReactNative camera2 node modules react native Libraries BatchedBridge MessageQueue js:353_x000D_
(anonymous)   D: Learn ReactNative camera2 node modules react native Libraries BatchedBridge MessageQueue js:118_x000D_
  guardSafe   D: Learn ReactNative camera2 node modules react native Libraries BatchedBridge MessageQueue js:316_x000D_
callFunctionReturnFlushedQueue   D: Learn ReactNative camera2 node modules react native Libraries BatchedBridge MessageQueue js:117_x000D_
(anonymous)   debuggerWorker js:72_x000D_
_x000D_
    Environment_x000D_
    Node js version  : 6 11 4_x000D_
    React Native version  : 0 54 3_x000D_
    React Native platform   platform version  : iOS 9 0  Android 5 0  etc_x000D_
Android  7 1 1_x000D_
    react native camera_x000D_
  Version  : 1 0 3  and Masterbuild_x000D_
 _x000D_
_x000D_
  Love react native camera  Please consider supporting our collective:    https:  opencollective com react native camera donate_x000D_
</t>
  </si>
  <si>
    <t>Kovartthan-Twitter-Video-Share-1</t>
  </si>
  <si>
    <t>AssertionError &amp; NoSuchMethodException in Samsung Galaxy S8+ (Android 8.0 &amp; Android 7.0)</t>
  </si>
  <si>
    <t>I m not experiencing this on my device or emulator  but people who have downloaded my app are getting crashes  as it is being reported in my Google Play Console _x000D_
_x000D_
Samsung Galaxy S8  (dream2qltesq)  4096MB RAM  Android 8 0_x000D_
Samsung Galaxy S8  (dream2qltesq)  4096MB RAM  Android 7 0_x000D_
_x000D_
java lang AssertionError: _x000D_
  at com ko twitter vplay core TwitterFactory  clinit  (TwitterFactory java:77)_x000D_
Caused by: java lang NoSuchMethodException: _x000D_
  at java lang Class getConstructor0 (Class java:2320)_x000D_
  at java lang Class getDeclaredConstructor (Class java:2166)_x000D_
  at com ko twitter vplay core TwitterFactory  clinit  (TwitterFactory java:75)</t>
  </si>
  <si>
    <t>Codernauti-GameBank-27</t>
  </si>
  <si>
    <t>RoomActivity - Set visible FAB button after current state is received</t>
  </si>
  <si>
    <t>This bug cause crash</t>
  </si>
  <si>
    <t>mvysny-aedict-828</t>
  </si>
  <si>
    <t>Aedict 4</t>
  </si>
  <si>
    <t xml:space="preserve">Since Android will enforce lazy permissions as described in  741 Aedict will be required to ask for all SD Card accesses  which is ridiculous and quite incompatible with the feature  custom location of dictionaries   However  I can t just simply force the dictionaries to be in a folder allocated by Android for Aedict because that often resides on internal memory (Android lying its ass off here) and the users will be pissed  After years of tweaking of the dictionary location it seems that it s working for everyone more or less  and I will not dare to touch that and risk a shitstorm of complaints _x000D_
_x000D_
Therefore I take this as an opportunity to introduce a new  backward incompatible Aedict version and make all ground breaking and incompatible changes that have been piling up:_x000D_
_x000D_
1  Enforcing dictionaries to reside on a directory allocated by Android  This requires no permissions and should therefore work properly _x000D_
2  Removing the old way of storing notepad tags srs as a files  The old way is dumb and does not work at all with huge notepads which some users do have  because it requires all data to be present in memory which is the source of frequent OutOfMemoryError crashes  Use a database from the very beginning _x000D_
3  Remove CouchBase  CouchBase is a database which uses lots of CPU all the time  the Android CouchBaseLite is utter crap (they ve dropped the ForestDB without any explanation which left Aedict screwed) and frequently fails to synchronize with the Gateway (randomly drops attachments  and then the sync internally crashes that there is no attachment  wtf)  Evaluate a replacement _x000D_
4  Change the payment model from one time to a yearly subscription  One time payments simply do not generate enough revenue  I therefore have to have a job  And since I have kids as well  that leaves me with very few time to spare on any further development of Aedict _x000D_
5  Changing the payment model also helps to fight the piracy   Aedict is currently a paid app with no protection  and so hackers reverse created Aedict APKs from the app installed on their phones and uploaded Aedict into other playstores _x000D_
</t>
  </si>
  <si>
    <t>evernote-android-job-415</t>
  </si>
  <si>
    <t>Library crash after play-services-gcm:12.0.0 update.</t>
  </si>
  <si>
    <t xml:space="preserve">My app started crashing after updating com google android:play services gcm from 11 8 0 to 12 0 0 _x000D_
Crash appears in your library  Error is following:_x000D_
_x000D_
 java lang RuntimeException: Unable to create application: java lang IllegalArgumentException: The GcmTaskService class you provided com evernote android job gcm PlatformGcmService does not seem to support receiving com google android gms gcm ACTION TASK READY _x000D_
_x000D_
Tested on 4 4 2 </t>
  </si>
  <si>
    <t>nikita36078-J2ME-Loader-254</t>
  </si>
  <si>
    <t>Sonic Runners Adventure</t>
  </si>
  <si>
    <t xml:space="preserve">  Emulator version:  _x000D_
1 2 8 4 play_x000D_
_x000D_
  Game version:  _x000D_
MIDlet Version: 1 1 4_x000D_
_x000D_
  Game resolution:  _x000D_
240x320_x000D_
_x000D_
  Device:  _x000D_
  Proline Android 5 1 tablet  _x000D_
_x000D_
  Android version:  _x000D_
5 1_x000D_
_x000D_
  Description of the issue:  _x000D_
It ll start then give you an option if you want sound or not  and after your choice it ll start to load get to approximately 93  and crash and drop you back to j2me loader_x000D_
_x000D_
</t>
  </si>
  <si>
    <t>barbeau-gpstest-132</t>
  </si>
  <si>
    <t>ArrayOutOfBoundsException when parsing Altitude (MSL) values</t>
  </si>
  <si>
    <t xml:space="preserve">  Summary:   _x000D_
_x000D_
Some devices appear to have malformed NMEA strings  From Android Developer Console:_x000D_
_x000D_
   _x000D_
_x000D_
java lang ArrayIndexOutOfBoundsException: _x000D_
  at com android gpstest util GpsTestUtil getAltitudeMeanSeaLevel (GpsTestUtil java:257)_x000D_
  at com android gpstest GpsStatusFragment onNmeaMessage (GpsStatusFragment java:363)_x000D_
  at com android gpstest GpsTestActivity 5 onNmeaMessage (GpsTestActivity java:780)_x000D_
  at android location LocationManager GnssStatusListenerTransport GnssHandler handleMessage (LocationManager java:1419)_x000D_
  at android os Handler dispatchMessage (Handler java:102)_x000D_
  at android os Looper loop (Looper java:154)_x000D_
  at android app ActivityThread main (ActivityThread java:6776)_x000D_
  at java lang reflect Method invoke (Native Method)_x000D_
  at com android internal os ZygoteInit MethodAndArgsCaller run (ZygoteInit java:1518)_x000D_
  at com android internal os ZygoteInit main (ZygoteInit java:1408)_x000D_
   _x000D_
_x000D_
  Steps to reproduce:   _x000D_
_x000D_
Run app on device with malformed NMEA strings_x000D_
_x000D_
  Expected behavior:   _x000D_
_x000D_
Correctly parse NMEA value  or log exception but don t crash on malformed NMEA strings_x000D_
_x000D_
  Observed behavior:   _x000D_
_x000D_
App crashes with ArrayOutOfBoundsException_x000D_
_x000D_
  Device and Android version:   _x000D_
_x000D_
Above stack trace is from:_x000D_
Samsung Galaxy A5(2017) (a5y17lte)  3072MB RAM  Android 7 0</t>
  </si>
  <si>
    <t>barbeau-gpstest-131</t>
  </si>
  <si>
    <t>ArrayIndexOutOfBoundsException when parsing DOP values</t>
  </si>
  <si>
    <t xml:space="preserve">  Summary:   _x000D_
_x000D_
Some devices appear to have malformed NMEA strings   From Android Developer Console:_x000D_
_x000D_
   _x000D_
java lang ArrayIndexOutOfBoundsException: _x000D_
  at com android gpstest util GpsTestUtil getDop (GpsTestUtil java:291)_x000D_
  at com android gpstest GpsStatusFragment onNmeaMessage (GpsStatusFragment java:369)_x000D_
  at com android gpstest GpsTestActivity 5 onNmeaMessage (GpsTestActivity java:780)_x000D_
  at android location LocationManager GnssStatusListenerTransport GnssHandler handleMessage (LocationManager java:1419)_x000D_
  at android os Handler dispatchMessage (Handler java:102)_x000D_
  at android os Looper loop (Looper java:154)_x000D_
  at android app ActivityThread main (ActivityThread java:6776)_x000D_
  at java lang reflect Method invoke (Native Method)_x000D_
  at com android internal os ZygoteInit MethodAndArgsCaller run (ZygoteInit java:1518)_x000D_
  at com android internal os ZygoteInit main (ZygoteInit java:1408)_x000D_
   _x000D_
_x000D_
  Steps to reproduce:   _x000D_
_x000D_
Run app on device with malformed NMEA strings_x000D_
_x000D_
  Expected behavior:   _x000D_
_x000D_
Correctly parse NMEA value  or log exception but don t crash on malformed NMEA strings_x000D_
_x000D_
  Observed behavior:   _x000D_
_x000D_
App crashes with ArrayOutOfBoundsException _x000D_
_x000D_
  Device and Android version:   _x000D_
_x000D_
Above stack trace was from:_x000D_
Samsung Galaxy A5(2017) (a5y17lte)  3072MB RAM  Android 7 0</t>
  </si>
  <si>
    <t>caarmen-scrumchatter-65</t>
  </si>
  <si>
    <t>The Scrum Chatter App Crashes ~ bug</t>
  </si>
  <si>
    <t xml:space="preserve">   Expected Behavior   
It should be able to allow users rotate their screen so as to properly use their screen to choose their preferred settings 
   Actual Behavior   
It crashes each time the screen is rotated while on the settings theme menu     
   How to produce the bug   
Open the app  click on more options at the top right corner  select settings  click on theme Now rotate your screen  it would crash    
   PS   
You should enable auto rotate  so as to view produce the bug 
  Operating system : Android 6 0
  Phone : Infinix hot s
  Scrum Chatter v1 6 4
   Recording of the bug is showned below         
Watch the video below to see how it behaves     
https:  youtu be yzP0dU4Z2YI
 br    hr   em Posted on  a href  https:  utopian io utopian io  beckysophie the scrum chatter app crashes bug  Utopian io    Rewarding Open Source Contributors  a   em  hr  </t>
  </si>
  <si>
    <t>panmau-spotify-releases-app-21</t>
  </si>
  <si>
    <t>Handle "BIG FAILURE" in Async Task correctly</t>
  </si>
  <si>
    <t xml:space="preserve">The app shouldn t crash when this happens </t>
  </si>
  <si>
    <t>YoungMaker-iORC-98</t>
  </si>
  <si>
    <t>Loading view in delete mutation causes app to crash</t>
  </si>
  <si>
    <t>When deleting a character the loading view crashes the app  will look into it</t>
  </si>
  <si>
    <t>SecUSo-privacy-friendly-weather-62</t>
  </si>
  <si>
    <t>Weather (Privacy Friendly) App crash, when click multiple times on refresh button.</t>
  </si>
  <si>
    <t xml:space="preserve">
     Expected behavior
The app is showing me weather of my city on main screen and there is a refresh button on top right of app which refresh the weather details  Now if i click multiple times on the refresh button  then app needs to manage multiple clicks and update the weather with new information (if there is any new change in weather information) 
     Actual behavior
When i click on refresh button multiple times rapidly the app got crashed  Sometimes app got crash in 3 4 clicks or sometimes it take 6 8 clicks on refresh button  But it is crashing every time on clicking refresh button multiple times 
     How to reproduce
To reproduce the bug follow the following steps : 
  Download app from play store 
  Enter your first location in app  now you have a screen which shows weather details of your location 
  Look at top right of app  you will see a refresh button  Now press refresh button rapidly 4  5 times and the app got crashed  (For better understanding watch recording of bug)
  Sometimes app got crash in 3 4 clicks or sometimes it take 6 8 clicks on refresh button 
 pre  code 
  Device:  Samsung J7 Prime
  Operating system: Android 7 0 Nougatt
  App Version: v2 0
  code   pre 
     Recording Of The Bug
https:  www youtube com watch v 0OQLi7lPLBE
 br    hr   em Posted on  a href  https:  utopian io utopian io  iamankit weather privacy friendly app crash when click multiple times on refresh button  Utopian io    Rewarding Open Source Contributors  a   em  hr  </t>
  </si>
  <si>
    <t>SecUSo-privacy-friendly-weather-61</t>
  </si>
  <si>
    <t xml:space="preserve">Weather (Privacy Friendly) App crash, when rotate 'The First Location' screen from portrait to landscape </t>
  </si>
  <si>
    <t xml:space="preserve">
     Expected behavior
If app supports landscape orientation  then app needs to manage it s layout when user rotates screen from portrait to landscape or landscape to portrait 
     Actual behavior
I run app and came to  The First Location  screen  where app asking me my first location  Now on the  The First Location  screen  i rotate my screen from portrait to landscape and app got crashed  Other screens works fine in both orientation just this screen leading app to crash 
     How to reproduce
To reproduce the bug  follow the following steps : 
  Download a fresh copy of app from play store 
  Now open app and slide next from welcome screen to add first location screen  Don t press skip button 
  After coming to add first location screen  just rotate device screen from portrait to landscape 
  The app crashed 
 pre  code 
  Device:  Samsung J7 Prime
  Operating system: Android 7 0 Nougatt
  App Version: v2 0
  code   pre 
     Recording Of The Bug
https:  www youtube com watch v j8DjQi2z9g4
 br    hr   em Posted on  a href  https:  utopian io utopian io  iamankit weather privacy friendly app crash when rotate the first location screen from portrait to landscape  Utopian io    Rewarding Open Source Contributors  a   em  hr  </t>
  </si>
  <si>
    <t>maks-MGit-293</t>
  </si>
  <si>
    <t>When I open non-existent external repo the app crashes</t>
  </si>
  <si>
    <t xml:space="preserve">1 there was an external repo imported_x000D_
2 now it is deleted_x000D_
3 but the app remembers it_x000D_
4 when I tap on it the app crashes_x000D_
5 sgit didn t_x000D_
_x000D_
   _x000D_
APP VERSION NAME 1 5 3_x000D_
STACK TRACE java lang NullPointerException_x000D_
	at me sheimi sgit repo tasks repo RepoOpTask onPostExecute(RepoOpTask java:31)_x000D_
	at me sheimi sgit repo tasks repo GetCommitTask onPostExecute(GetCommitTask java:39)_x000D_
	at me sheimi sgit repo tasks repo GetCommitTask onPostExecute(GetCommitTask java:13)_x000D_
	at android os AsyncTask finish(AsyncTask java:632)_x000D_
	at android os AsyncTask access 600(AsyncTask java:177)_x000D_
	at android os AsyncTask InternalHandler handleMessage(AsyncTask java:645)_x000D_
	at android os Handler dispatchMessage(Handler java:102)_x000D_
	at android os Looper loop(Looper java:136)_x000D_
	at android app ActivityThread main(ActivityThread java:5146)_x000D_
	at java lang reflect Method invokeNative(Native Method)_x000D_
	at java lang reflect Method invoke(Method java:515)_x000D_
	at com android internal os ZygoteInit MethodAndArgsCaller run(ZygoteInit java:732)_x000D_
	at com android internal os ZygoteInit main(ZygoteInit java:566)_x000D_
	at de robv android xposed XposedBridge main(XposedBridge java:132)_x000D_
	at dalvik system NativeStart main(Native Method)_x000D_
   _x000D_
</t>
  </si>
  <si>
    <t>tony19-logback-android-169</t>
  </si>
  <si>
    <t>java.io.IOException: write failed: ENOTCONN (Transport endpoint is not connected)</t>
  </si>
  <si>
    <t xml:space="preserve">Hello  I use  logback android  1 1 1 6  In my crashlytics I often got this non fatal exceptions:_x000D_
   _x000D_
java io IOException: write failed: ENOTCONN (Transport endpoint is not connected)_x000D_
       at libcore io IoBridge write(IoBridge java:533)_x000D_
       at java io FileOutputStream write(FileOutputStream java:186)_x000D_
       at java io BufferedOutputStream flushInternal(BufferedOutputStream java:185)_x000D_
       at java io BufferedOutputStream flush(BufferedOutputStream java:85)_x000D_
       at ch qos logback core recovery ResilientOutputStreamBase flush(Unknown Source)_x000D_
       at ch qos logback core encoder LayoutWrappingEncoder doEncode(Unknown Source)_x000D_
       at ch qos logback core OutputStreamAppender writeOut(Unknown Source)_x000D_
       at ch qos logback core FileAppender writeOut(Unknown Source)_x000D_
       at ch qos logback core OutputStreamAppender subAppend(Unknown Source)_x000D_
       at ch qos logback core FileAppender subAppend(Unknown Source)_x000D_
       at ch qos logback core rolling RollingFileAppender subAppend(Unknown Source)_x000D_
       at ch qos logback core OutputStreamAppender append(Unknown Source)_x000D_
       at ch qos logback core UnsynchronizedAppenderBase doAppend(Unknown Source)_x000D_
       at ch qos logback core spi AppenderAttachableImpl appendLoopOnAppenders(Unknown Source)_x000D_
       at ch qos logback classic Logger appendLoopOnAppenders(Unknown Source)_x000D_
       at ch qos logback classic Logger callAppenders(Unknown Source)_x000D_
       at ch qos logback classic Logger buildLoggingEventAndAppend(Unknown Source)_x000D_
       at ch qos logback classic Logger filterAndLog 0 Or3Plus(Unknown Source)_x000D_
       at ch qos logback classic Logger debug(Unknown Source)_x000D_
   _x000D_
_x000D_
   _x000D_
java io FileNotFoundException:  storage emulated 0 Android data com my package files logs latest log: open failed: ENOTCONN (Transport endpoint is not connected)_x000D_
       at libcore io IoBridge open(IoBridge java:487)_x000D_
       at java io FileOutputStream  init (FileOutputStream java:87)_x000D_
       at ch qos logback core recovery ResilientFileOutputStream  init (Unknown Source)_x000D_
       at ch qos logback core FileAppender openFile(Unknown Source)_x000D_
       at ch qos logback core rolling RollingFileAppender rollover(Unknown Source)_x000D_
       at ch qos logback core rolling RollingFileAppender subAppend(Unknown Source)_x000D_
       at ch qos logback core OutputStreamAppender append(Unknown Source)_x000D_
       at ch qos logback core UnsynchronizedAppenderBase doAppend(Unknown Source)_x000D_
       at ch qos logback core spi AppenderAttachableImpl appendLoopOnAppenders(Unknown Source)_x000D_
       at ch qos logback classic Logger appendLoopOnAppenders(Unknown Source)_x000D_
       at ch qos logback classic Logger callAppenders(Unknown Source)_x000D_
       at ch qos logback classic Logger buildLoggingEventAndAppend(Unknown Source)_x000D_
       at ch qos logback classic Logger filterAndLog 0 Or3Plus(Unknown Source)_x000D_
       at ch qos logback classic Logger info(Unknown Source)_x000D_
   </t>
  </si>
  <si>
    <t>Amuff1n-Study-Buddy-10</t>
  </si>
  <si>
    <t>Viewing profile after creating account crashes app</t>
  </si>
  <si>
    <t xml:space="preserve">Currently when an account is created  the user document on the database only has firstName  lastName  and uid fields  When you view your profile  it expects school  major  year  and class fields as well causing it to crash _x000D_
_x000D_
Possible fix would be to create these fields when creating account but make them null to start </t>
  </si>
  <si>
    <t>maks-MGit-289</t>
  </si>
  <si>
    <t>Git repository deleted when open share with the same URL end</t>
  </si>
  <si>
    <t xml:space="preserve">How to reproduce:_x000D_
1  Open some URL in browser (for example https:  github com maks MGit) an choice MGit in application selector _x000D_
2  Repository automatically cloned _x000D_
3  Open URL with the same end in browser (for example https:  github com morristech MGit)_x000D_
4  Some dialog box about already exists   _x000D_
5  Previously cloned repository gravatar changes   _x000D_
6  Attempt to open previously cloned repository and the application crashes with the following report_x000D_
SER COMMENT _x000D_
ANDROID VERSION 7 1 2_x000D_
APP VERSION NAME 1 5 4 2_x000D_
BRAND Xiaomi_x000D_
PHONE MODEL MI 5s_x000D_
CUSTOM DATA _x000D_
STACK TRACE java lang NullPointerException: Attempt to invoke virtual method  java lang String java lang Throwable getLocalizedMessage()  on a null object reference_x000D_
	at me sheimi sgit repo tasks repo RepoOpTask onPostExecute(RepoOpTask java:31)_x000D_
	at me sheimi sgit repo tasks repo GetCommitTask onPostExecute(GetCommitTask java:39)_x000D_
	at me sheimi sgit repo tasks repo GetCommitTask onPostExecute(GetCommitTask java:13)_x000D_
	at android os AsyncTask finish(AsyncTask java:667)_x000D_
	at android os AsyncTask  wrap1(AsyncTask java)_x000D_
	at android os AsyncTask InternalHandler handleMessage(AsyncTask java:684)_x000D_
	at android os Handler dispatchMessage(Handler java:102)_x000D_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7  Directory with previously cloned repository deleted from disk_x000D_
8  attempt to open broken repository crashes application again </t>
  </si>
  <si>
    <t>dariuszseweryn-RxAndroidBle-404</t>
  </si>
  <si>
    <t>Crash due to LocationServicesOkObservableApi23 somewhere has null</t>
  </si>
  <si>
    <t xml:space="preserve">Hi guys  Thank you for that awesome lib you ve created  _x000D_
I was migrating from com polidea rxandroidble:rxandroidble:1 4 3 to com polidea rxandroidble2:rxandroidble:1 5 0 recently and faced troubles on APIs   22  Seems that inside a library there is some nulls passed to observables  but RxJava2 does not allow this  So I can t use it any more  _x000D_
That seems to be a thing with location permissions  but actually runtime ACCESS COARSE LOCATION was granted _x000D_
Ccrash sometimes happens when I simply try to obtain RxBleClient instance _x000D_
I would really appreciate your help  Thanks in advance  _x000D_
    Summary_x000D_
_x000D_
    Library version_x000D_
 1 5 0 _x000D_
_x000D_
     Logs from the application (crash report)_x000D_
   _x000D_
03 21 19:53:04 561 29366 29533 com vue E AndroidRuntime: FATAL EXCEPTION: RxComputationThreadPool 1_x000D_
                                                         Process: com vue  PID: 29366_x000D_
                                                         java lang NullPointerException: Attempt to invoke interface method  boolean io reactivex internal fuseable SimpleQueue offer(java lang Object)  on a null object reference_x000D_
                                                             at io reactivex internal operators observable ObservableSwitchMap SwitchMapInnerObserver onNext(ObservableSwitchMap java:372)_x000D_
                                                             at io reactivex internal operators observable ObservableMap MapObserver onNext(ObservableMap java:64)_x000D_
                                                             at com polidea rxandroidble2 internal util LocationServicesOkObservableApi23 subscribeActual(LocationServicesOkObservableApi23 java:35)_x000D_
                                                             at io reactivex Observable subscribe(Observable java:12005)_x000D_
                                                             at io reactivex internal operators observable ObservableMap subscribeActual(ObservableMap java:33)_x000D_
                                                             at io reactivex Observable subscribe(Observable java:12005)_x000D_
                                                             at io reactivex internal operators observable ObservableSwitchMap SwitchMapObserver onNext(ObservableSwitchMap java:127)_x000D_
                                                             at io reactivex internal operators observable ObservableConcatMap ConcatMapDelayErrorObserver drain(ObservableConcatMap java:464)_x000D_
                                                             at io reactivex internal operators observable ObservableConcatMap ConcatMapDelayErrorObserver onSubscribe(ObservableConcatMap java:324)_x000D_
                                                             at io reactivex internal operators observable ObservableFromArray subscribeActual(ObservableFromArray java:30)_x000D_
                                                             at io reactivex Observable subscribe(Observable java:12005)_x000D_
                                                             at io reactivex internal operators observable ObservableConcatMap subscribeActual(ObservableConcatMap java:54)_x000D_
                                                             at io reactivex Observable subscribe(Observable java:12005)_x000D_
                                                             at io reactivex internal operators observable ObservableSwitchMap subscribeActual(ObservableSwitchMap java:51)_x000D_
                                                             at io reactivex Observable subscribe(Observable java:12005)_x000D_
                                                             at io reactivex internal operators observable ObservableSkip subscribeActual(ObservableSkip java:29)_x000D_
                                                             at io reactivex Observable subscribe(Observable java:12005)_x000D_
                                                             at io reactivex internal operators observable ObservableFlatMap MergeObserver subscribeInner(ObservableFlatMap java:165)_x000D_
                                                             at io reactivex internal operators observable ObservableFlatMap MergeObserver onNext(ObservableFlatMap java:139)_x000D_
                                                             at io reactivex internal observers DeferredScalarDisposable complete(DeferredScalarDisposable java:82)_x000D_
                                                             at io reactivex internal operators single SingleToObservable SingleToObservableObserver onSuccess(SingleToObservable java:73)_x000D_
                                                             at io reactivex internal operators single SingleMap MapSingleObserver onSuccess(SingleMap java:64)_x000D_
                                                             at io reactivex internal operators observable ObservableCountSingle CountObserver onComplete(ObservableCountSingle java:83)_x000D_
                                                             at io reactivex internal operators observable ObservableTakeWhile TakeWhileObserver onNext(ObservableTakeWhile java:86)_x000D_
                                                             at io reactivex internal operators observable ObservableInterval IntervalObserver run(ObservableInterval java:83)_x000D_
                                                             at io reactivex internal schedulers ScheduledDirectPeriodicTask run(ScheduledDirectPeriodicTask java:38)_x000D_
                                                             at java util concurrent Executors RunnableAdapter call(Executors java:423)_x000D_
                                                             at java util concurrent FutureTask runAndReset(FutureTask java:278)_x000D_
                                                             at java util concurrent ScheduledThreadPoolExecutor ScheduledFutureTask access 301(ScheduledThreadPoolExecutor java:154)_x000D_
                                                             at java util concurrent ScheduledThreadPoolExecutor ScheduledFutureTask run(ScheduledThreadPoolExecutor java:270)_x000D_
                                                             at java util concurrent ThreadPoolExecutor runWorker(ThreadPoolExecutor java:1113)_x000D_
                                                             at java util concurrent ThreadPoolExecutor Worker run(ThreadPoolExecutor java:588)_x000D_
                                                             at java lang Thread run(Thread java:818)_x000D_
   _x000D_
_x000D_
     Actual result_x000D_
App crashes on start_x000D_
_x000D_
     Expected result_x000D_
App does not crash on start_x000D_
</t>
  </si>
  <si>
    <t>hzi-braunschweig-SORMAS-Project-531</t>
  </si>
  <si>
    <t>Possible app crash when trying to create a case from a contact</t>
  </si>
  <si>
    <t xml:space="preserve">      check Google Analytics for crash report_x000D_
      fix bug if possible</t>
  </si>
  <si>
    <t>ekstep-Integrated-Partner-App-13</t>
  </si>
  <si>
    <t>Partner app: App crashes when content is opened</t>
  </si>
  <si>
    <t xml:space="preserve">1 Install the partner app _x000D_
2 Connect to the Openrap _x000D_
3 Click on any content under worksheet _x000D_
4 App crashes  _x000D_
_x000D_
Expected Result:_x000D_
App should not crash _x000D_
_x000D_
Refer to the video attached:_x000D_
_x000D_
 20180321 142619 zip (https:  github com ekstep Integrated Partner App files 1832577 20180321 142619 zip)_x000D_
</t>
  </si>
  <si>
    <t>applivery-applivery-android-sdk-18</t>
  </si>
  <si>
    <t>java.lang.NullPointerException Attempt to invoke interface method 'retrofit2.Call</t>
  </si>
  <si>
    <t xml:space="preserve">this error is crashing app  happens randomly  haven t been able to figure out what causes it_x000D_
   _x000D_
java lang NullPointerException Attempt to invoke interface method  retrofit2 Call com applivery applvsdklib network api AppliveryApiService sendFeedback(com applivery applvsdklib network api model ApiFeedbackData)  on a null object reference _x000D_
    FeedbackRequest java:65 com applivery applvsdklib network api requests FeedbackRequest performRequest_x000D_
    ServerRequest java:31 com applivery applvsdklib network api requests ServerRequest execute_x000D_
    FeedbackInteractor java:66 com applivery applvsdklib domain feedback FeedbackInteractor performRequest_x000D_
    BaseInteractor java:54 com applivery applvsdklib domain BaseInteractor run_x000D_
    ThreadPoolExecutor java:1162 java util concurrent ThreadPoolExecutor runWorker_x000D_
    ThreadPoolExecutor java:636 java util concurrent ThreadPoolExecutor Worker run_x000D_
    Thread java:764 java lang Thread run_x000D_
   </t>
  </si>
  <si>
    <t>OneTimePass-OneTimePass-9</t>
  </si>
  <si>
    <t>Crash after scanning</t>
  </si>
  <si>
    <t xml:space="preserve">just wanted to try out the app   unfortunately got a crash   steps I took:_x000D_
_x000D_
   install v1 2 2 from FDroid_x000D_
   enter password 2 times_x000D_
   enter password one time_x000D_
   options  scan QR_x000D_
   grant requested camera permission_x000D_
   crash_x000D_
_x000D_
   _x000D_
03 20 10:24:23 159 20870 20870 E AndroidRuntime: Process: com github onetimepass  PID: 20870_x000D_
03 20 10:24:23 159 20870 20870 E AndroidRuntime: java lang RuntimeException: Failure delivering result ResultInfo who  android:requestPermissions:  request 111  result  1  data Intent   act android content pm action REQUEST PERMISSIONS (has extras)    to activity  com github onetimepass com github onetimepass MainController : java lang IllegalStateException: Can not perform this action after onSaveInstanceState_x000D_
03 20 10:24:23 159 20870 20870 E AndroidRuntime: 	at android app ActivityThread deliverResults(ActivityThread java:4921)_x000D_
03 20 10:24:23 159 20870 20870 E AndroidRuntime: 	at android app ActivityThread handleSendResult(ActivityThread java:4964)_x000D_
03 20 10:24:23 159 20870 20870 E AndroidRuntime: 	at android app ActivityThread access 1600(ActivityThread java:221)_x000D_
03 20 10:24:23 159 20870 20870 E AndroidRuntime: 	at android app ActivityThread H handleMessage(ActivityThread java:1848)_x000D_
03 20 10:24:23 159 20870 20870 E AndroidRuntime: 	at android os Handler dispatchMessage(Handler java:102)_x000D_
03 20 10:24:23 159 20870 20870 E AndroidRuntime: 	at android os Looper loop(Looper java:158)_x000D_
03 20 10:24:23 159 20870 20870 E AndroidRuntime: 	at android app ActivityThread main(ActivityThread java:7225)_x000D_
03 20 10:24:23 159 20870 20870 E AndroidRuntime: 	at java lang reflect Method invoke(Native Method)_x000D_
03 20 10:24:23 159 20870 20870 E AndroidRuntime: 	at com android internal os ZygoteInit MethodAndArgsCaller run(ZygoteInit java:1230)_x000D_
03 20 10:24:23 159 20870 20870 E AndroidRuntime: 	at com android internal os ZygoteInit main(ZygoteInit java:1120)_x000D_
03 20 10:24:23 159 20870 20870 E AndroidRuntime: Caused by: java lang IllegalStateException: Can not perform this action after onSaveInstanceState_x000D_
03 20 10:24:23 159 20870 20870 E AndroidRuntime: 	at android support v4 app FragmentManagerImpl checkStateLoss(FragmentManager java:2044)_x000D_
03 20 10:24:23 159 20870 20870 E AndroidRuntime: 	at android support v4 app FragmentManagerImpl enqueueAction(FragmentManager java:2067)_x000D_
03 20 10:24:23 159 20870 20870 E AndroidRuntime: 	at android support v4 app BackStackRecord commitInternal(BackStackRecord java:680)_x000D_
03 20 10:24:23 159 20870 20870 E AndroidRuntime: 	at android support v4 app BackStackRecord commit(BackStackRecord java:634)_x000D_
03 20 10:24:23 159 20870 20870 E AndroidRuntime: 	at com github onetimepass core screen Screen getScreenFragment(Screen java:87)_x000D_
03 20 10:24:23 159 20870 20870 E AndroidRuntime: 	at com github onetimepass core control Controller transitionToScreen(Controller java:635)_x000D_
03 20 10:24:23 159 20870 20870 E AndroidRuntime: 	at com github onetimepass core control Controller transitionToScreen(Controller java:614)_x000D_
03 20 10:24:23 159 20870 20870 E AndroidRuntime: 	at com github onetimepass screens AccountScanScreen onCameraPermissionGranted(AccountScanScreen java:185)_x000D_
03 20 10:24:23 159 20870 20870 E AndroidRuntime: 	at com github onetimepass core control Controller onRequestPermissionsResult(Controller java:264)_x000D_
03 20 10:24:23 159 20870 20870 E AndroidRuntime: 	at android app Activity dispatchRequestPermissionsResult(Activity java:7263)_x000D_
03 20 10:24:23 159 20870 20870 E AndroidRuntime: 	at android app Activity dispatchActivityResult(Activity java:7141)_x000D_
03 20 10:24:23 159 20870 20870 E AndroidRuntime: 	at android app ActivityThread deliverResults(ActivityThread java:4917)_x000D_
03 20 10:24:23 159 20870 20870 E AndroidRuntime: 	    9 more_x000D_
03 20 10:24:23 159  1597  1931 V MARsPolicyManager: updatePackagesScore PackageInfo name    com github onetimepass_x000D_
   _x000D_
_x000D_
Hint: worked the second time   so the problem seems to be just in the flow where you grant the permission for the camera the first time _x000D_
</t>
  </si>
  <si>
    <t>tony19-logback-android-168</t>
  </si>
  <si>
    <t>Crash due to race condition when creating log directory</t>
  </si>
  <si>
    <t>Got crash report in Fabric:_x000D_
   _x000D_
Caused by java lang IllegalStateException:  storage emulated 0 app name logs app name latest log should not have existing parent directory_x000D_
       at ch qos logback core util FileUtil createMissingParentDirectories(Unknown Source)_x000D_
       at ch qos logback core FileAppender openFile(Unknown Source)_x000D_
       at ch qos logback core FileAppender start(Unknown Source)_x000D_
       at ch qos logback core rolling RollingFileAppender start(Unknown Source)_x000D_
   _x000D_
   _x000D_
Upon investigation  this issue has since been addressed in logback upstream  see  JIRA issue (https:  jira qos ch browse LOGBACK 128) and corresponding  patch (https:  jira qos ch secure attachment 10277 parent dirs patch)_x000D_
_x000D_
Needs to be applied to https:  github com tony19 logback android blob master logback android src main java ch qos logback core util FileUtil java L53</t>
  </si>
  <si>
    <t>JohnLines-mediclog-8</t>
  </si>
  <si>
    <t>Clear button crash</t>
  </si>
  <si>
    <t>Clicking any of the   or   buttons next to a field that has been cleared causes the app to crash  _x000D_
SAMSUNG SGH I747 Android 4 4 2</t>
  </si>
  <si>
    <t>bumptech-glide-2967</t>
  </si>
  <si>
    <t>NPE in SourceGenerator.onDataReady because of null DiskCacheStrategy</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</si>
  <si>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_x000D_
  Glide Version  : 4 6 1_x000D_
_x000D_
  Integration libraries  : OkHttp3_x000D_
_x000D_
  Device Android Version  : Seeing it in many models from Samsung  Huawei  and Xiaomi  In Android L  M  N_x000D_
_x000D_
  Issue details   Repro steps   Use case background  : _x000D_
_x000D_
I cannot reproduce this  but have several thousand occurrences in our crash monitoring  It is mainly happening on our list of search results where we have a RecyclerView with many images in it  I haven t been able to isolate any patterns besides that _x000D_
_x000D_
     How do you use Glide _x000D_
Make sure you include everything as is in your app s code:_x000D_
Changing a single method parameter can yield totally different results _x000D_
Please clarify any magic variables that appear in the code  for example:      this  is a Fragment _x000D_
   _x000D_
  Glide load line    GlideModule  (if any)   list Adapter code (if any)  :_x000D_
   java_x000D_
Glide with(imageView context)_x000D_
           asBitmap()_x000D_
            load(url)    string_x000D_
              plus a bunch of logic for request options and nested thumbnails_x000D_
   _x000D_
_x000D_
     How does your app look like _x000D_
We re most interested in the layout attributes and the hierarchy around the ImageView    _x000D_
 Fairly complicated  but the hierarchy is basically:_x000D_
  Vertical recyclerView (list of search results)_x000D_
  FrameLayout_x000D_
  ConstraintLayout_x000D_
   FrameLayout (with fixed aspect ratio)_x000D_
  HorizontalRecyclerView (horizontally swipable images)_x000D_
  FrameLayout_x000D_
  ImageView_x000D_
_x000D_
_x000D_
  Stack trace   LogCat  :_x000D_
   _x000D_
java lang NullPointerException: Attempt to read from field  com bumptech glide load data DataFetcher com bumptech glide load model ModelLoader LoadData fetcher  on a null object reference_x000D_
        at com bumptech glide load engine SourceGenerator onDataReady(SourceGenerator java:106)_x000D_
        at com bumptech glide load model MultiModelLoader MultiFetcher onDataReady(MultiModelLoader java:133)_x000D_
        at com bumptech glide integration okhttp3 OkHttpStreamFetcher onResponse(OkHttpStreamFetcher java:71)_x000D_
        at okhttp3 RealCall AsyncCall execute(RealCall java:141)_x000D_
        at okhttp3 internal NamedRunnable run(NamedRunnable java:32)_x000D_
        at java util concurrent ThreadPoolExecutor runWorker(ThreadPoolExecutor java:1133)_x000D_
        at java util concurrent ThreadPoolExecutor Worker run(ThreadPoolExecutor java:607)_x000D_
        at java lang Thread run(Thread java:761)_x000D_
   _x000D_
_x000D_
</t>
  </si>
  <si>
    <t>koral---android-gif-drawable-522</t>
  </si>
  <si>
    <t>native crash</t>
  </si>
  <si>
    <t xml:space="preserve">I am using android gif drawable:1 2 11  there are some online crashes on my app _x000D_
_x000D_
Phone: Xoom_x000D_
Rom: motorola tervigon_x000D_
Android System Version: Android 4 1 2  level 16_x000D_
_x000D_
SIGILL(ILL ILLOPC)_x000D_
1  pc 000058c4  data data com narvii amino master lib libpl droidsonroids gif so  armeabi v7a _x000D_
2 java:_x000D_
3 pl droidsonroids gif GifInfoHandle renderFrame(Native Method)_x000D_
4 pl droidsonroids gif GifInfoHandle renderFrame(GifInfoHandle java:158)_x000D_
5 pl droidsonroids gif RenderTask doWork(RenderTask java:17)_x000D_
6 pl droidsonroids gif GifDrawable  init (GifDrawable java:255)_x000D_
7 pl droidsonroids gif GifDrawable  init (GifDrawable java:124)_x000D_
8 pl droidsonroids gif GifDrawable  init (GifDrawable java:135)_x000D_
9 pl droidsonroids gif LGifDrawable  init (LGifDrawable java:19)_x000D_
10 com narvii util gif NVGifDrawable  init (NVGifDrawable java:46)_x000D_
11 com narvii util gif GifLoader Session update(GifLoader java:119)_x000D_
12 com narvii util gif GifLoader WorkerDownload run(GifLoader java:656)_x000D_
_x000D_
</t>
  </si>
  <si>
    <t>HenriDellal-emerald-62</t>
  </si>
  <si>
    <t>CategoryManager's list doesn't update properly</t>
  </si>
  <si>
    <t xml:space="preserve">When list of categories is changed (e g  category was deleted)  visually the list is the same  even though its items may refer to different categories that may lead to crash </t>
  </si>
  <si>
    <t>SecUSo-privacy-friendly-weather-58</t>
  </si>
  <si>
    <t>New release doesn't install on Android 5.0.2</t>
  </si>
  <si>
    <t xml:space="preserve">Hello _x000D_
i tried to install latest release but i can t  I download apk file but cannot access it through file manager  When i open download folder it crashes  I had the same problem with other apps  it has been solved by updating build tools  It seems the same issue here _x000D_
See:_x000D_
_x000D_
https:  issuetracker google com issues 64434571_x000D_
_x000D_
Thanks </t>
  </si>
  <si>
    <t>dimagi-commcare-android-1962</t>
  </si>
  <si>
    <t>Requests for camera permission in ImageWidget in case it's not already granted</t>
  </si>
  <si>
    <t xml:space="preserve">Fix for: https:  manage dimagi com default asp 272326 1470796_x000D_
Crash: https:  fabric io dimagi android apps org commcare dalvik issues 5a3354338cb3c2fa63e86e28_x000D_
_x000D_
Since users can disable the permissions Commcare has anytime  before making use of a feature that requires certain permissions we should always check for required permissions before calling out to that feature  _x000D_
_x000D_
Though I am not sure whether Camera permission should also get explicitly added in the  permissions list (https:  github com dimagi commcare android blob master app src org commcare utils Permissions java L79) we check for at startup since not all apps require camera for their functioning  _x000D_
_x000D_
Product Note: Fixes crash on Android M  where image capture question would result in crash in case no camera permissions are granted to commcare by user </t>
  </si>
  <si>
    <t>openMF-android-client-940</t>
  </si>
  <si>
    <t>App crashes on adding non integer in datatable</t>
  </si>
  <si>
    <t xml:space="preserve">  Summary:   _x000D_
_x000D_
App crashes when a non integer is added in a datatable while adding loan account_x000D_
_x000D_
  Steps to reproduce:   _x000D_
_x000D_
Clients    any client    Options    Add loan account    Enter external id    Submit    Add non integer entry in datatable    Save the datatable_x000D_
_x000D_
  Expected behaviour:   _x000D_
_x000D_
App should not crash_x000D_
_x000D_
  Screenshots:   _x000D_
_x000D_
  20180318 234742 (https:  user images githubusercontent com 25134501 37571496 5902925c 2b23 11e8 803a cfca7b9811c4 gif)_x000D_
_x000D_
I would like to work on this  tarun0  therajanmaurya </t>
  </si>
  <si>
    <t>eltos-SimpleDialogFragments-33</t>
  </si>
  <si>
    <t>Crash after phone wake up if SimpleFormDialog was stay in foreground.</t>
  </si>
  <si>
    <t xml:space="preserve">There is a problem with  SimpleFormDialog  if it was in foreground when device going to sleep  When it wake up application crashes because of  getDialog()  is null in the following code:_x000D_
_x000D_
     Override_x000D_
    protected void onDialogShown()  _x000D_
           resize dialog when keyboard is shown to prevent fields from hiding behind the keyboard_x000D_
        if (getDialog() getWindow()    null)  _x000D_
            getDialog() getWindow() setSoftInputMode(WindowManager LayoutParams SOFT INPUT ADJUST RESIZE) _x000D_
         _x000D_
_x000D_
        setPositiveButtonEnabled(posButtonEnabled()) _x000D_
        requestFocus(0) _x000D_
     _x000D_
_x000D_
If I add  null  check to it    if (getDialog()    null    getDialog() getWindow()    null)    the crash disappears </t>
  </si>
  <si>
    <t>andOTP-andOTP-159</t>
  </si>
  <si>
    <t>PIN code can simply be bypassed on SDK 23</t>
  </si>
  <si>
    <t xml:space="preserve">     General information_x000D_
_x000D_
    App version:   0 5 0_x000D_
    App source:   F Droid  _x000D_
    Android Version:   SDK 23_x000D_
    Custom ROM:   no_x000D_
_x000D_
     Expected result_x000D_
  What is expected    PIN code to block the view of the OTPs_x000D_
_x000D_
  What does happen instead    App crashes and the restarts by showing the OTPs _x000D_
_x000D_
     Logcat_x000D_
   _x000D_
03 17 16:37:28 359 5469 5469 org shadowice flocke andotp dev E AndroidRuntime: FATAL EXCEPTION: main_x000D_
                                                                               Process: org shadowice flocke andotp dev  PID: 5469_x000D_
                                                                               java lang IllegalArgumentException: password empty_x000D_
                                                                                   at com android org bouncycastle jcajce provider digest SHA1 BasePBKDF2WithHmacSHA1 engineGenerateSecret(SHA1 java:135)_x000D_
                                                                                   at javax crypto SecretKeyFactory generateSecret(SecretKeyFactory java:187)_x000D_
                                                                                   at org shadowice flocke andotp Utilities EncryptionHelper generatePBKDF2Credentials(EncryptionHelper java:77)_x000D_
                                                                                   at org shadowice flocke andotp Activities AuthenticateActivity checkPassword(AuthenticateActivity java:145)_x000D_
                                                                                   at org shadowice flocke andotp Activities AuthenticateActivity onClick(AuthenticateActivity java:129)_x000D_
                                                                                   at android view View performClick(View java:5198)_x000D_
                                                                                   at android view View PerformClick run(View java:21147)_x000D_
                                                                                   at android os Handler handleCallback(Handler java:739)_x000D_
                                                                                   at android os Handler dispatchMessage(Handler java:95)_x000D_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_x000D_
_x000D_
     Steps to reproduce_x000D_
 _x000D_
1  open the app_x000D_
2  tap unlock_x000D_
3  see the app crash_x000D_
4  tap ok    app reloads without requesting the PIN code_x000D_
</t>
  </si>
  <si>
    <t>k3b-APhotoManager-116</t>
  </si>
  <si>
    <t xml:space="preserve">App Crashes While click on the settings option. </t>
  </si>
  <si>
    <t xml:space="preserve">
     Expected behavior
The App should be able to open the settings  
     Actual behavior
When we click on settings option app Crashes and we are not able to open the settings  
     How to reproduce
  Launch the app  
  Click on the menu at the top of the right corner of the app you see different options there  
  Click on settings  app Crashes and you are not able to open the settings  
  Application : A Photo Manager  Version :0 6 4 180314
  Operating system: Android Nought (7 0)
     Recording Of The Bug
https:  youtu be T5hKhGOzV4A    
 br    hr   em Posted on  a href  https:  utopian io utopian io  wanizubair app crashes while click on the settings option  Utopian io    Rewarding Open Source Contributors  a   em  hr  </t>
  </si>
  <si>
    <t>rollbar-rollbar-react-native-21</t>
  </si>
  <si>
    <t>Disabling crash reporting doesn't work</t>
  </si>
  <si>
    <t xml:space="preserve">I m using another crash reporting framework and thus don t need the one from rollbar  How can I disable it </t>
  </si>
  <si>
    <t>rollbar-rollbar-java-110</t>
  </si>
  <si>
    <t xml:space="preserve"> No errors reported after Crash</t>
  </si>
  <si>
    <t>User is trying to set up Rollbar Java and is able to get general errors  but unable to get errors reported after a crash  With the newest release  this should be done automatically _x000D_
_x000D_
User has below in gradle:_x000D_
   _x000D_
api( com rollbar:rollbar java:1 0 0 )_x000D_
   _x000D_
_x000D_
internal: https:  app intercom io a apps rlisg82q inbox inbox 849049 conversations 15129836962</t>
  </si>
  <si>
    <t>nikita36078-J2ME-Loader-226</t>
  </si>
  <si>
    <t>Ice Age 2: Arctic Slide - Crashing Issue</t>
  </si>
  <si>
    <t xml:space="preserve">  Emulator version:  _x000D_
1 2 8 1 and later_x000D_
_x000D_
  Game version:  _x000D_
1 0 2_x000D_
_x000D_
  Game resolution:  _x000D_
  (240x320)  _x000D_
_x000D_
  Device:  _x000D_
  (Asus Z5)  _x000D_
_x000D_
  Android version:  _x000D_
5 0_x000D_
_x000D_
  Description of the issue:  _x000D_
  (The game will crash after the GLU logo )  _x000D_
</t>
  </si>
  <si>
    <t>k9mail-k-9-3266</t>
  </si>
  <si>
    <t>crash: reply to encrypted mail</t>
  </si>
  <si>
    <t>_x000D_
    Expected behavior_x000D_
open new mail screen _x000D_
_x000D_
    Actual behavior_x000D_
K9 displays new mail screen and crashes _x000D_
_x000D_
03 16 12:15:32 187 E AndroidRuntime(31412): java lang NullPointerException: Attempt to invoke interface method  com fsck k9 mail Body com fsck k9 mail Part getBody()  on a null object reference_x000D_
_x000D_
This seems related to I have no encryption add on installed _x000D_
_x000D_
    Steps to reproduce_x000D_
1  open encrypted mail (info: install add on to view decrypted content)_x000D_
2  press reply button_x000D_
3  crash_x000D_
_x000D_
    Environment_x000D_
K 9 Mail version: 5 403_x000D_
_x000D_
Android version: 7 1 2_x000D_
_x000D_
Account type (IMAP  POP3  WebDAV Exchange):_x000D_
IMAP</t>
  </si>
  <si>
    <t>react-native-camera-react-native-camera-1357</t>
  </si>
  <si>
    <t xml:space="preserve">【RNCamera】Camera is being used after camera.release() was called </t>
  </si>
  <si>
    <t xml:space="preserve">On Android the Camera occasionally crashes with the following exception:_x000D_
_x000D_
_x000D_
    Stacktrace_x000D_
_x000D_
    Fatal Exception: java lang RuntimeException: Camera is being used after Camera release() was called_x000D_
    at android hardware Camera setHasPreviewCallback(Camera java)_x000D_
    at android hardware Camera EventHandler handleMessage(Camera java:1270)_x000D_
    at android os Handler dispatchMessage(Handler java:111)_x000D_
    at android os Looper loop(Looper java:224)_x000D_
    at android app ActivityThread main(ActivityThread java:5929)_x000D_
    at java lang reflect Method invoke(Method java)_x000D_
    at java lang reflect Method invoke(Method java:372)_x000D_
    at com android internal os ZygoteInit MethodAndArgsCaller run(ZygoteInit java:1113)_x000D_
    at com android internal os ZygoteInit main(ZygoteInit java:879)_x000D_
_x000D_
    Environment_x000D_
    React Native version  :0 50 3_x000D_
    React Native platform   platform version  : Android 5 1_x000D_
_x000D_
_x000D_
</t>
  </si>
  <si>
    <t>opensrp-opensrp-client-growth-monitoring-22</t>
  </si>
  <si>
    <t>Check for null dialogs to prevent NullPointerExceptions</t>
  </si>
  <si>
    <t xml:space="preserve">This PR fixes a bug that caused the app to crash on multiple  quick and successive clicks on the Record weight or the Growth chart button _x000D_
_x000D_
It was caused by a NullPointerException caused by calls made on a null dialog </t>
  </si>
  <si>
    <t>iFixit-dozuki-android-6</t>
  </si>
  <si>
    <t>🐞 Error when uploading pictures on Android app</t>
  </si>
  <si>
    <t>Background _x000D_
  _x000D_
When uploading images on a Motorola Droid and the Fire HD 10 tablet  users are getting a Dozuki has stopped error  This is one of the main features they are looking for and  if it does not work  it might prevent them from moving forward  I tested this on Joe s phone and got a  validation error  ( second attachment)_x000D_
_x000D_
Here  are some more details from Kim Payne:_x000D_
   I tried adding in a new picture and it would crash _x000D_
I can add a new picture to an existing step just fine  but it seems like the issue is when creating a new step_x000D_
It crashes any time I try to add in the first image to a step  It s working okay when adding images 2 and 3_x000D_
_x000D_
Affected devices:_x000D_
   Samsung Galaxy S7_x000D_
   Amazon Fire HD 10 _x000D_
_x000D_
Todo_x000D_
  _x000D_
   x  fix the crash</t>
  </si>
  <si>
    <t>JulianSobott-Catan-31</t>
  </si>
  <si>
    <t>Click Outside the map</t>
  </si>
  <si>
    <t>The game crashes when working with the Map PositionToIndex() Method when clicking on the Map  Problem is that the returned index is outOfBounds _x000D_
we need to validate if the click was on the map and handle the other case</t>
  </si>
  <si>
    <t>nikita36078-J2ME-Loader-222</t>
  </si>
  <si>
    <t>Clone 3D game crashes</t>
  </si>
  <si>
    <t xml:space="preserve">Emulator version: 1 2 8 open_x000D_
_x000D_
Game version: 1 0_x000D_
_x000D_
Game resolution: 240x320_x000D_
_x000D_
Device: Gionee P5mini_x000D_
_x000D_
Android version: 5 1_x000D_
_x000D_
Game crashes while opening the first mission </t>
  </si>
  <si>
    <t>WycliffeAssociates-translationRecorder-1079</t>
  </si>
  <si>
    <t>Crashes when external keyboard is removed</t>
  </si>
  <si>
    <t xml:space="preserve">Christine Jarka noticed that tR would consistently crash when the USB keyboard was removed while the program was opened   </t>
  </si>
  <si>
    <t>mapbox-mapbox-plugins-android-361</t>
  </si>
  <si>
    <t>Crash when changing location layer style right after MapView finishes loading style</t>
  </si>
  <si>
    <t xml:space="preserve">Mapbox SDK version 5 5 0_x000D_
Location layer version 0 4 0_x000D_
_x000D_
At some point in my app  I change the style of the map and use a different drawable for the location layer  However if I change it right after getting the  MapView DID FINISH LOADING STYLE  event  the app segfaults ( Fatal signal 11 (SIGSEGV)  code 1  fault addr 0x8 in tid 19072 (s android debug)  pid 19072 (s android debug) )_x000D_
_x000D_
Code looks like this (simplified  in Kotlin):_x000D_
_x000D_
    mapView addOnMapChangedListener   change   _x000D_
        if (change    MapView DID FINISH LOADING STYLE)  _x000D_
            locationLayerPlugin applyStyle(_x000D_
                    LocationLayerOptions builder(context)_x000D_
                               etc_x000D_
                             build()_x000D_
            )_x000D_
         _x000D_
     _x000D_
_x000D_
Waiting for the first  MapView WILL START RENDERING FRAME  after the style is finished loading avoids the crash but causes some kind of flicker where the default drawable is used for a couple of frames  which isn t great _x000D_
_x000D_
Am I doing something wrong  Let me know if you need more info </t>
  </si>
  <si>
    <t>nvllsvm-Audinaut-23</t>
  </si>
  <si>
    <t>Crashes on launch on Lollipop</t>
  </si>
  <si>
    <t xml:space="preserve">
     Expected behavior
this application should be open and listen to music online with the help of libresonic
     Actual behavior
I tried to open this app and try to listen to music online  this application even stops itself and failed to open 
     How to reproduce
 download the app
 lauch the app and the app get crashed 
  Operating system: advan s5e nxt android lolipop idos 5 1
app version  o 2 3 
     Recording Of The Bug
https:  www youtube com watch v to5imuZq2B4
 br    hr   em Posted on  a href  https:  utopian io utopian io  muhammadarif audinaut app get crased when try to open the app  Utopian io    Rewarding Open Source Contributors  a   em  hr  </t>
  </si>
  <si>
    <t>nitaliano-react-native-mapbox-gl-1110</t>
  </si>
  <si>
    <t>[IOS, Android]: App crash, when use iconRotationAlignment or iconPitchAlignment</t>
  </si>
  <si>
    <t>App crash  when I use MapboxGL SymbolLayer s style properties _x000D_
error from xcode:  Assertion failed: (it    std::end(MGLIconPitchAlignment names))  function toString  file  Users vagrant git platform darwin src MGLSymbolStyleLayer mm  line 32 _x000D_
(lldb)  _x000D_
_x000D_
UPD: When use these properties on Android  iconImage  doesn t work</t>
  </si>
  <si>
    <t>k9mail-k-9-3255</t>
  </si>
  <si>
    <t>Crashes with invalid format email address</t>
  </si>
  <si>
    <t xml:space="preserve">    Expected behavior_x000D_
I want to use an internal email adress like  foo b 2   We use some custom software on our own servers only for internal communication    It works in Thunderbird   _x000D_
_x000D_
    Actual behavior_x000D_
(All messages and texts are in german on my device  I don t know the texts if you use K9 in english  I just tried to translate them)_x000D_
If I try to add a new email account to K9 Mail (Enter email and password) and tap on one of the two buttons ( Manually  or  Continue ) the app will crash with only the message  K 9 Mail has stopped  _x000D_
_x000D_
    Steps to reproduce_x000D_
1  Open K 9 Mail_x000D_
2  Add new email account with  foo b 2 _x000D_
3  Press  Manually  or  Continue _x000D_
4  Crash_x000D_
_x000D_
    Environment_x000D_
K 9 Mail version: 5 403_x000D_
_x000D_
Android version: 6 0 1_x000D_
_x000D_
Account type (IMAP  POP3  WebDAV Exchange): I WANT to use IMAP  but I haven t tried yet  because of the crash _x000D_
</t>
  </si>
  <si>
    <t>ramack-ActivityDiary-119</t>
  </si>
  <si>
    <t>App crashes when deleting one of more pics in an activity</t>
  </si>
  <si>
    <t xml:space="preserve">
     Expected behavior
A pics should be deleted amongst others under the same activity 
     Actual behavior
Deleting a pic out of more than one pics in an activity crashes the app 
     How to reproduce
Download the app from fdroid br 
Open and create an activity br 
Add more than one pics to the activity br 
Open the side menu and go to diary br 
Look for the activity and delete a pics from it br 
App gets to crash at that instance br 
  App: Activity Diary    Fdroid version 1 1 8
  Operating system: Android Nougat 7 0 on Tecno K7
     Recording Of The Bug
(https:  youtu be fL7yDKjFdH0)
 br    hr   em Posted on  a href  https:  utopian io utopian io  mcyusuf app crashes when deleting one of more pics in an activity  Utopian io    Rewarding Open Source Contributors  a   em  hr  </t>
  </si>
  <si>
    <t>codinguser-gnucash-android-771</t>
  </si>
  <si>
    <t>QIF export crashes due to illegal denominator</t>
  </si>
  <si>
    <t xml:space="preserve">GnuCash Android crashes a few seconds after starting to export my transactions to a QIF file  either local or in Dropbox  File is created  but empty  I ve been exporting my mobile transactions to desktop app this way for a long time  and it had worked last time with the same database _x000D_
_x000D_
I ve checked Android logs with CatLog and found this error message:_x000D_
_x000D_
01 18 09:59:44 314 W System err(23088): org gnucash android export Exporter ExporterException: Failed to generate export with parameters: Export all transactions created since 2017 11 22 01:36:43 359 UTC as QIF to DROPBOX   split quantity has illegal denominator: 1000000_x000D_
_x000D_
I ve searched Google for this error message  and found source code (QifExporter java) that throws it if a split has the QUANTITY DENOM column set to an unsupported value  It seems that allowed values are only 10  100 or 1000 _x000D_
_x000D_
Then I ve opened the current book s database file with SQLite and ran a query to find out which transactions had the unsupported 1 000 000 value as QUANTITY DENOM  and found a few of them  as shown in the attached screenshot  These were transactions created with GnuCash Desktop and imported to GnuCash Android 2 months ago  with a recent beta version of the mobile app (not sure which of them) _x000D_
_x000D_
After deleting those few transactions (didn t try to fix them in the database  as they re already in GnuCash Desktop)  export works fine _x000D_
_x000D_
I don t know GnuCash internals to tell if setting the denominator column to 1 000 000 was a mistake of the desktop or the mobile app  but I believe it should be properly handled at export time _x000D_
_x000D_
GnuCash Android 2 3 0 (from Play Store  not sure if it s beta1 or beta3  but also happened before last update) _x000D_
_x000D_
Reported through  Google Plus (https:  plus google com  FranciscoMogadourodaCunha posts 57VVzatACi2) </t>
  </si>
  <si>
    <t>forrestguice-SuntimesWidget-177</t>
  </si>
  <si>
    <t>Application crashes when name of user defined location contains an apostrophe</t>
  </si>
  <si>
    <t xml:space="preserve">I was having a problem with the application crashing whenever I would tap on the location  push pin   It took a little bit of detective work  but I think this is because the user defined location name I had entered had an apostrophe in it (e g   John s House  without the double  quotes) _x000D_
_x000D_
The only way to recover was to delete all the app data (settings  apps  suntimes  delete data)  When I enter the user defined location name again without an apostrophe  then everything is fine  When I enter a location name with an apostrophe  it crashes when you go back into the location settings  _x000D_
_x000D_
I m guessing that an apostrophe or single quote needs to be escaped before storing the string internally or something like that  Everything else seems to be working just fine for me </t>
  </si>
  <si>
    <t>calypsonet-keyple-java-48</t>
  </si>
  <si>
    <t>Ticketing app crashes when resume app</t>
  </si>
  <si>
    <t xml:space="preserve">  open the app_x000D_
  read nfc card_x000D_
  switch to another app_x000D_
  resume to app_x000D_
  read nfc card    crash throwing nullpointerexception_x000D_
_x000D_
java lang NullPointerException: Attempt to invoke virtual method  int android nfc tech IsoDep getMaxTransceiveLength()  on a null object reference_x000D_
at org keyple plugin androidnfc AndroidNfcReader sendAPDUCommand(AndroidNfcReader java:268)_x000D_
at org keyple plugin androidnfc AndroidNfcReader connectApplication(AndroidNfcReader java:167)_x000D_
at org keyple plugin androidnfc AndroidNfcReader transmit(AndroidNfcReader java:110)_x000D_
at org keyple examples androidnfc MainActivity 1 run(MainActivity java:182)_x000D_
at android os Handler handleCallback(Handler java:751)_x000D_
at android os Handler dispatchMessage(Handler java:95)_x000D_
at android os Looper loop(Looper java:154)_x000D_
at android app ActivityThread main(ActivityThread java:6682)_x000D_
at java lang reflect Method invoke(Native Method)_x000D_
at com android internal os ZygoteInit MethodAndArgsCaller run(ZygoteInit java:1520)_x000D_
at com android internal os ZygoteInit main(ZygoteInit java:1410)</t>
  </si>
  <si>
    <t>Tencent-tinker-787</t>
  </si>
  <si>
    <t>GIONEE GN9002 Android4.2.2 Patch成功以后，首次启动patch成功，退出后三次启动crash</t>
  </si>
  <si>
    <t xml:space="preserve">   Issue     _x000D_
_x000D_
      _x000D_
         _x000D_
       app     _x000D_
       GIONEE GN9002_x000D_
         Android 4 2 2_x000D_
tinker     1 9 2_x000D_
gradle     2 3 1_x000D_
       SDK   TinkerPatch SDK_x000D_
     Mac_x000D_
_x000D_
_x000D_
   _x000D_
   _x000D_
1        patch      _x000D_
2      patch           patch    _x000D_
3      crash _x000D_
4                                 patch               _x000D_
                 5s Plus  patch             crash   _x000D_
   _x000D_
      _x000D_
   _x000D_
               _x000D_
05 13 18:43:03 583 19057 19057   W Tinker TinkerLoader: tryLoadPatchFiles:patch dir not exist: data data com aikan tinker_x000D_
05 13 18:43:03 593 19057 19057   D Tinker DefaultAppLike: onBaseContextAttached:_x000D_
05 13 18:43:03 593 19057 19057   I Tinker ReflectApp: with app application from manifest applicationName:com dzbook AppContext_x000D_
05 13 18:43:03 593 19057 19057   I Tinker ReflectApp: replaceApplicationLike delegateClass:class com tinkerpatch sdk loader TinkerPatchApplicationLike_x000D_
05 13 18:43:03 613 19057 19057   D Tinker DefaultAppLike: onCreate_x000D_
05 13 18:43:03 673 19057 19057   I Tinker ServerUtils: with app key from manifest appKey:72c6d4bf524bed92_x000D_
05 13 18:43:03 673 19057 19057   I Tinker ServerUtils: with app version from manifest appVersion:431f3b0b_x000D_
05 13 18:43:03 673 19057 19057   I Tinker VersionInfo: readVersionInfo file path: data data com aikan tinker server 72c6d4bf524bed92 version info  appVersion: 431f3b0b  uuid:c7a91f8d 048c 49fe 97c9 b93be786008e  abi:armeabi  patchVersion:0  patchMd5:  grayValue:4  crashTimes:0  retryTimes:0_x000D_
05 13 18:43:03 763 19057 19057   I Tinker Debugger: debugger attached_x000D_
05 13 18:43:03 763 19057 19057   D Tinker Debugger: getBoolean(): key  com tinker debugtool debug  value true_x000D_
05 13 18:43:03 773 19057 19057   I Tinker ServerClient: installTinkerServer  debug value: true  appVersion: 431f3b0b  appKey: 72c6d4bf524bed92_x000D_
05 13 18:43:03 773 19057 19057   W Tinker Tinker: tinker patch directory:  data data com aikan tinker_x000D_
05 13 18:43:03 773 19057 19057   I Tinker Tinker: try to install tinker  isEnable: true  version: 1 7 7_x000D_
05 13 18:43:03 773 19057 19057   I Tinker TinkerLoadResult: parseTinkerResult loadCode: 2  systemOTA:false_x000D_
05 13 18:43:03 773 19057 19057   W Tinker TinkerLoadResult: can t find patch file  is ok  just return_x000D_
05 13 18:43:03 773 19057 19057   I Tinker DefaultLoadReporter: patch loadReporter onLoadResult: patch load result  path: data data com aikan tinker  code: 2  cost:2_x000D_
05 13 18:43:03 773 19057 19057   W Tinker Tinker: tinker load fail _x000D_
05 13 18:43:03 773 19057 19057   I Tinker TinkerPatch: Init TinkerPatch sdk success  version:1 1 4_x000D_
05 13 18:43:03 973 19057 19057   D Tinker UpgradePatchRetry: onPatchRetryLoad retry is not main process  just return_x000D_
05 13 18:43:06 233 19163 19163   W Tinker TinkerLoader: tryLoadPatchFiles:patch dir not exist: data data com dz mfxsqj tinker_x000D_
05 13 18:43:06 233 19163 19163   D Tinker DefaultAppLike: onBaseContextAttached:_x000D_
05 13 18:43:06 233 19163 19163   I Tinker ReflectApp: with app application from manifest applicationName:com dzbook AppContext_x000D_
05 13 18:43:06 233 19163 19163   I Tinker ReflectApp: replaceApplicationLike delegateClass:class com tinkerpatch sdk loader TinkerPatchApplicationLike_x000D_
05 13 18:43:06 813 19163 19163   I Tinker ComponentHotplug: method install() is not invoked  ignore ensuring operations _x000D_
05 13 18:43:06 813 19163 19163   D Tinker DefaultAppLike: onCreate_x000D_
05 13 18:43:06 843 19163 19163   I Tinker ServerUtils: with app key from manifest appKey:e54f6bebbc9c1ee2_x000D_
05 13 18:43:06 843 19163 19163   I Tinker ServerUtils: with app version from manifest appVersion:t2012 179c865d_x000D_
05 13 18:43:06 913 19163 19163   I Tinker ReflectLibrary: getFinalLibraryFromApk  apk abis: armeabi  _x000D_
05 13 18:43:06 913 19163 19163   I Tinker ReflectLibrary: getCurrentABI  final abi:armeabi_x000D_
05 13 18:43:06 913 19163 19163   I Tinker VersionInfo: updateVersionInfo file path: data data com dz mfxsqj tinker server e54f6bebbc9c1ee2 version info  appVersion: t2012 179c865d  uuid:ea1c01b4 5515 485d a21f 0b98bbc37bad  abi:armeabi  patchVersion:0  patchMd5:  grayValue:2  crashTimes:0  retryTimes:0  applySuccess:0  patchSuccess:0_x000D_
05 13 18:43:06 923 19163 19163   I Tinker Debugger: debugger attached_x000D_
05 13 18:43:06 923 19163 19163   D Tinker Debugger: getBoolean(): key  com tinker debugtool debug  value true_x000D_
05 13 18:43:06 923 19163 19163   I Tinker ServerClient: installTinkerServer  debug value: true  appVersion: t2012 179c865d  appKey: e54f6bebbc9c1ee2_x000D_
05 13 18:43:06 943 19163 19163   W Tinker Tinker: tinker patch directory:  data data com dz mfxsqj tinker_x000D_
05 13 18:43:06 943 19163 19163   I Tinker Tinker: try to install tinker  isEnable: true  version: 1 9 2_x000D_
05 13 18:43:06 943 19163 19163   I Tinker TinkerLoadResult: parseTinkerResult loadCode: 2  process name:com dz mfxsqj  main process:true  systemOTA:false  fingerPrint:GiONEE msm8974 msm8974:4 2 2 JDQ39 eng znsj 20150108 134046:user test keys  oatDir:null  useInterpretMode:false_x000D_
05 13 18:43:06 943 19163 19163   W Tinker TinkerLoadResult: can t find patch file  is ok  just return_x000D_
05 13 18:43:06 943 19163 19163   I Tinker DefaultLoadReporter: patch loadReporter onLoadResult: patch load result  path: data data com dz mfxsqj tinker  code:  2  cost: 4ms_x000D_
05 13 18:43:06 943 19163 19163   W Tinker Tinker: tinker load fail _x000D_
05 13 18:43:06 943 19163 19163   I Tinker TinkerPatch: Init TinkerPatch sdk success  version:1 2 2_x000D_
05 13 18:43:07 123 19163 19163   D Tinker TinkerPatch: setPatchCondition GIT CODE B  179c865d _x000D_
05 13 18:43:07 123 19163 19163   D Tinker TinkerPatch: setPatchCondition USER ID   _x000D_
05 13 18:43:07 123 19163 19163   D Tinker TinkerPatch: setPatchCondition GIT TAG B  t2012 _x000D_
05 13 18:43:07 123 19163 19163   D Tinker TinkerPatch: setPatchCondition GIT CODE M  179c865d _x000D_
05 13 18:43:07 123 19163 19163   D Tinker TinkerPatch: setPatchCondition CHANNEL M  K611215 _x000D_
05 13 18:43:07 123 19163 19163   D Tinker TinkerPatch: setPatchCondition USER TYPE  2 _x000D_
05 13 18:43:07 123 19163 19163   D Tinker TinkerPatch: setPatchCondition PACKAGE NAME  com dz mfxsqj _x000D_
05 13 18:43:07 123 19163 19163   D Tinker TinkerPatch: setPatchCondition GIT TAG M  t2012 _x000D_
05 13 18:43:18 603 19380 19380   W Tinker TinkerLoader: tryLoadPatchFiles:patch dir not exist: data data com dz mfxsqj tinker_x000D_
05 13 18:43:18 603 19380 19380   D Tinker DefaultAppLike: onBaseContextAttached:_x000D_
05 13 18:43:18 603 19380 19380   I Tinker ReflectApp: with app application from manifest applicationName:com dzbook AppContext_x000D_
05 13 18:43:18 603 19380 19380   I Tinker ReflectApp: replaceApplicationLike delegateClass:class com tinkerpatch sdk loader TinkerPatchApplicationLike_x000D_
05 13 18:43:18 623 19380 19380   I Tinker ComponentHotplug: method install() is not invoked  ignore ensuring operations _x000D_
05 13 18:43:18 623 19380 19380   D Tinker DefaultAppLike: onCreate_x000D_
05 13 18:43:18 643 19380 19380   I Tinker ServerUtils: with app key from manifest appKey:e54f6bebbc9c1ee2_x000D_
05 13 18:43:18 643 19380 19380   I Tinker ServerUtils: with app version from manifest appVersion:t2012 179c865d_x000D_
05 13 18:43:18 643 19380 19380   I Tinker VersionInfo: readVersionInfo file path: data data com dz mfxsqj tinker server e54f6bebbc9c1ee2 version info  appVersion: t2012 179c865d  uuid:ea1c01b4 5515 485d a21f 0b98bbc37bad  abi:armeabi  patchVersion:0  patchMd5:  grayValue:2  crashTimes:0  retryTimes:0  applySuccess:0  patchSuccess:0_x000D_
05 13 18:43:18 663 19380 19380   I Tinker Debugger: debugger attached_x000D_
05 13 18:43:18 663 19380 19380   D Tinker Debugger: getBoolean(): key  com tinker debugtool debug  value true_x000D_
05 13 18:43:18 663 19380 19380   I Tinker ServerClient: installTinkerServer  debug value: true  appVersion: t2012 179c865d  appKey: e54f6bebbc9c1ee2_x000D_
                                                        _x000D_
                                                          05 13 18:43:18 663 19163:19397 I           _x000D_
                                                        netstack: LIB MGR   Lib loaded: pp proc plugin so_x000D_
                                                        _x000D_
                                                          05 13 18:43:18 663 19163:19397 I           _x000D_
                                                        netstack: STAT HUB   Succeeded to load plugin: pp proc plugin so_x000D_
                                                        _x000D_
                                                          05 13 18:43:18 663 19163:19397 E           _x000D_
                                                        netstack:  STAT HUB   App com dz mfxsqj isn t supported_x000D_
05 13 18:43:18 673 19380 19380   W Tinker Tinker: tinker patch directory:  data data com dz mfxsqj tinker_x000D_
05 13 18:43:18 673 19380 19380   I Tinker Tinker: try to install tinker  isEnable: true  version: 1 9 2_x000D_
05 13 18:43:18 673 19380 19380   I Tinker TinkerLoadResult: parseTinkerResult loadCode: 2  process name:com dz mfxsqj:pushservice  main process:false  systemOTA:false  fingerPrint:GiONEE msm8974 msm8974:4 2 2 JDQ39 eng znsj 20150108 134046:user test keys  oatDir:null  useInterpretMode:false_x000D_
05 13 18:43:18 673 19380 19380   W Tinker TinkerLoadResult: can t find patch file  is ok  just return_x000D_
05 13 18:43:18 673 19380 19380   I Tinker DefaultLoadReporter: patch loadReporter onLoadResult: patch load result  path: data data com dz mfxsqj tinker  code:  2  cost: 4ms_x000D_
05 13 18:43:18 673 19380 19380   W Tinker Tinker: tinker load fail _x000D_
05 13 18:43:18 673 19380 19380   I Tinker TinkerPatch: Init TinkerPatch sdk success  version:1 2 2_x000D_
05 13 18:43:18 963 19380 19380   D Tinker TinkerPatch: setPatchCondition GIT CODE B  179c865d _x000D_
05 13 18:43:18 963 19380 19380   D Tinker TinkerPatch: setPatchCondition USER ID   _x000D_
05 13 18:43:18 963 19380 19380   D Tinker TinkerPatch: setPatchCondition GIT TAG B  t2012 _x000D_
05 13 18:43:18 963 19380 19380   D Tinker TinkerPatch: setPatchCondition GIT CODE M  179c865d _x000D_
05 13 18:43:18 963 19380 19380   D Tinker TinkerPatch: setPatchCondition CHANNEL M  K611215 _x000D_
05 13 18:43:18 963 19380 19380   D Tinker TinkerPatch: setPatchCondition USER TYPE  2 _x000D_
05 13 18:43:18 963 19380 19380   D Tinker TinkerPatch: setPatchCondition PACKAGE NAME  com dz mfxsqj _x000D_
05 13 18:43:18 963 19380 19380   D Tinker TinkerPatch: setPatchCondition GIT TAG M  t2012 _x000D_
05 13 18:43:19 173 19380 19380   W Tinker UpgradePatchRetry: onPatchRetryLoad retry is not main process  just return_x000D_
05 13 18:43:20 093 19163 19163   W Tinker UpgradePatchRetry: onPatchRetryLoad retry info not exist  just return_x000D_
05 13 18:43:20 093 19163 19163   W Tinker ClientImpl:  retryAllReportFails   there is no fail report  just return_x000D_
05 13 18:43:20 103 19163 19163   I Tinker UrlConnectionFetcher: loadData from url: http:  q tinkerpatch com dev e54f6bebbc9c1ee2 t2012 179c865d d ea1c01b4 5515 485d a21f 0b98bbc37bad v 1526208200119  method:GET  body:null_x000D_
05 13 18:43:20 253 19163 19483   I Tinker UrlConnectionFetcher: response code 200 msg: OK_x000D_
05 13 18:43:20 253 19163 19483   I Tinker ClientImpl: tinker server sync respond:  v :1 _x000D_
05 13 18:43:20 253 19163 19483   I Tinker VersionInfo: VersionCheck: patchVersion from 0 to 1_x000D_
05 13 18:43:20 253 19163 19483   I Tinker VersionInfo: GrayGroupCheck: true  gray value:null and my gray value is 2_x000D_
05 13 18:43:20 253 19163 19483   I Tinker ClientImpl: Fetch result: need to update  gray: 2_x000D_
05 13 18:43:20 253 19163 19483   I Tinker UrlConnectionFetcher: loadData from url: http:  q tinkerpatch com e54f6bebbc9c1ee2 t2012 179c865d file1 d ea1c01b4 5515 485d a21f 0b98bbc37bad v 1526208200266  method:GET  body:null_x000D_
05 13 18:43:20 433 19163 19483   I Tinker UrlConnectionFetcher: response code 200 msg: OK_x000D_
05 13 18:43:20 843 19163 19483   I Tinker PatchRequestCallback: TinkerPatchRequestCallback: onPatchUpgrade  file: data data com dz mfxsqj tinker server t2012 179c865d 1 apk  newVersion:1  currentVersion:0_x000D_
05 13 18:43:20 963 19163 19483   I Tinker ServerClient: tinker server report patch download success  patchVersion:1_x000D_
05 13 18:43:20 973 19163 19483   I Tinker UrlConnectionFetcher: loadData from url: http:  stat tinkerpatch com succ php  method:POST  body:sv 1 2 2 pv 1 ch K611215 t 1 k e54f6bebbc9c1ee2 av t2012 179c865d_x000D_
05 13 18:43:20 973 19163 19483   I Tinker VersionInfo: updateVersionInfo file path: data data com dz mfxsqj tinker server e54f6bebbc9c1ee2 version info  appVersion: t2012 179c865d  uuid:ea1c01b4 5515 485d a21f 0b98bbc37bad  abi:armeabi  patchVersion:1  patchMd5:84efe7074c50ddb9c83c975772c5280a  grayValue:2  crashTimes:0  retryTimes:0  applySuccess:0  patchSuccess:0_x000D_
05 13 18:43:20 983 19163 19483   I Tinker VersionInfo: updateVersionInfo file path: data data com dz mfxsqj tinker server e54f6bebbc9c1ee2 version info  appVersion: t2012 179c865d  uuid:ea1c01b4 5515 485d a21f 0b98bbc37bad  abi:armeabi  patchVersion:1  patchMd5:84efe7074c50ddb9c83c975772c5280a  grayValue:2  crashTimes:0  retryTimes:0  applySuccess:0  patchSuccess:0_x000D_
05 13 18:43:20 983 19163 19483   I Tinker TinkerServerPatchListener: receive a patch file:  data data com dz mfxsqj tinker server t2012 179c865d 1 apk  file size:287769_x000D_
05 13 18:43:20 993 19163 19483   W Tinker UpgradePatchRetry: onPatchListenerCheck retry file is not exist  just return_x000D_
05 13 18:43:21 133 19502 19502   W Tinker TinkerLoader: tryLoadPatchFiles: we don t load patch with :patch process itself  just return_x000D_
05 13 18:43:21 133 19502 19502   D Tinker DefaultAppLike: onBaseContextAttached:_x000D_
05 13 18:43:21 133 19502 19502   I Tinker ReflectApp: with app application from manifest applicationName:com dzbook AppContext_x000D_
05 13 18:43:21 133 19502 19502   I Tinker ReflectApp: replaceApplicationLike delegateClass:class com tinkerpatch sdk loader TinkerPatchApplicationLike_x000D_
05 13 18:43:21 143 19502 19502   I Tinker ComponentHotplug: method install() is not invoked  ignore ensuring operations _x000D_
05 13 18:43:21 143 19502 19502   D Tinker DefaultAppLike: onCreate_x000D_
05 13 18:43:21 173 19163 19483   I Tinker UrlConnectionFetcher: response code 200 msg: OK_x000D_
05 13 18:43:21 173 19163 19483   D Tinker ClientImpl:  succ  report successfully with url: http:  stat tinkerpatch com succ php  body: sv 1 2 2 pv 1 ch K611215 t 1 k e54f6bebbc9c1ee2 av t2012 179c865d reportingCount: 0  fail pool size: 0_x000D_
05 13 18:43:21 193 19502 19502   I Tinker ServerUtils: with app key from manifest appKey:e54f6bebbc9c1ee2_x000D_
05 13 18:43:21 193 19502 19502   I Tinker ServerUtils: with app version from manifest appVersion:t2012 179c865d_x000D_
05 13 18:43:21 193 19502 19502   I Tinker VersionInfo: readVersionInfo file path: data data com dz mfxsqj tinker server e54f6bebbc9c1ee2 version info  appVersion: t2012 179c865d  uuid:ea1c01b4 5515 485d a21f 0b98bbc37bad  abi:armeabi  patchVersion:1  patchMd5:84efe7074c50ddb9c83c975772c5280a  grayValue:2  crashTimes:0  retryTimes:0  applySuccess:0  patchSuccess:0_x000D_
05 13 18:43:21 203 19502 19502   I Tinker Debugger: debugger attached_x000D_
05 13 18:43:21 203 19502 19502   D Tinker Debugger: getBoolean(): key  com tinker debugtool debug  value true_x000D_
05 13 18:43:21 203 19502 19502   I Tinker ServerClient: installTinkerServer  debug value: true  appVersion: t2012 179c865d  appKey: e54f6bebbc9c1ee2_x000D_
05 13 18:43:21 203 19502 19502   W Tinker Tinker: tinker patch directory:  data data com dz mfxsqj tinker_x000D_
05 13 18:43:21 203 19502 19502   I Tinker Tinker: try to install tinker  isEnable: true  version: 1 9 2_x000D_
05 13 18:43:21 203 19502 19502   I Tinker TinkerLoadResult: parseTinkerResult loadCode: 1  process name:com dz mfxsqj:patch  main process:false  systemOTA:false  fingerPrint:GiONEE msm8974 msm8974:4 2 2 JDQ39 eng znsj 20150108 134046:user test keys  oatDir:null  useInterpretMode:false_x000D_
05 13 18:43:21 203 19502 19502   W Tinker TinkerLoadResult: tinker is disable  just return_x000D_
05 13 18:43:21 203 19502 19502   I Tinker DefaultLoadReporter: patch loadReporter onLoadResult: patch load result  path: data data com dz mfxsqj tinker  code:  1  cost: 5ms_x000D_
05 13 18:43:21 203 19502 19502   W Tinker Tinker: tinker load fail _x000D_
05 13 18:43:21 203 19502 19502   I Tinker TinkerPatch: Init TinkerPatch sdk success  version:1 2 2_x000D_
05 13 18:43:21 383 19502 19502   D Tinker TinkerPatch: setPatchCondition GIT CODE B  179c865d _x000D_
05 13 18:43:21 383 19502 19502   D Tinker TinkerPatch: setPatchCondition USER ID  20965177 _x000D_
05 13 18:43:21 383 19502 19502   D Tinker TinkerPatch: setPatchCondition GIT TAG B  t2012 _x000D_
05 13 18:43:21 383 19502 19502   D Tinker TinkerPatch: setPatchCondition GIT CODE M  179c865d _x000D_
05 13 18:43:21 383 19502 19502   D Tinker TinkerPatch: setPatchCondition CHANNEL M  K611215 _x000D_
05 13 18:43:21 383 19502 19502   D Tinker TinkerPatch: setPatchCondition USER TYPE  2 _x000D_
05 13 18:43:21 383 19502 19502   D Tinker TinkerPatch: setPatchCondition PACKAGE NAME  com dz mfxsqj _x000D_
05 13 18:43:21 383 19502 19502   D Tinker TinkerPatch: setPatchCondition GIT TAG M  t2012 _x000D_
05 13 18:43:21 483 19502 19559   I Tinker DefaultPatchReporter: patchReporter onPatchServiceStart: patch service start_x000D_
05 13 18:43:21 493 19502 19559   W Tinker UpgradePatchRetry: try copy file:  data data com dz mfxsqj tinker server t2012 179c865d 1 apk to  data data com dz mfxsqj tinker temp temp apk_x000D_
05 13 18:43:21 493 19502 19502   W Tinker UpgradePatchRetry: onPatchRetryLoad retry is not main process  just return_x000D_
05 13 18:43:21 503 19502 19559   I Tinker TinkerPatchService: try to increase patch process priority_x000D_
05 13 18:43:21 543 19502 19559   I Tinker UpgradePatch: UpgradePatch tryPatch:patchMd5:84efe7074c50ddb9c83c975772c5280a_x000D_
05 13 18:43:21 543 19502 19559   W Tinker PatchInfo: read property failed  e:java io FileNotFoundException:  data data com dz mfxsqj tinker patch info: open failed: ENOENT (No such file or directory)_x000D_
05 13 18:43:21 543 19502 19559   W Tinker PatchInfo: read property failed  e:java io FileNotFoundException:  data data com dz mfxsqj tinker patch info: open failed: ENOENT (No such file or directory)_x000D_
05 13 18:43:21 543 19502 19559   I Tinker UpgradePatch: UpgradePatch tryPatch:patchVersionDirectory: data data com dz mfxsqj tinker patch 84efe707_x000D_
05 13 18:43:21 553 19502 19559   W Tinker UpgradePatch: UpgradePatch copy patch file  src file:  data data com dz mfxsqj tinker server t2012 179c865d 1 apk size: 287769  dest file:  data data com dz mfxsqj tinker patch 84efe707 patch 84efe707 apk size:287769_x000D_
05 13 18:43:36 853 19502 19559   W Tinker DexDiffPatchInternal: success recover dex file:  data data com dz mfxsqj tinker patch 84efe707 dex classes dex jar  size: 3717948  use time: 15247_x000D_
05 13 18:43:38 173 19502 19559   W Tinker DexDiffPatchInternal: success recover dex file:  data data com dz mfxsqj tinker patch 84efe707 dex classes2 dex jar  size: 261468  use time: 1322_x000D_
05 13 18:43:38 173 19502 19559   I Tinker DexDiffPatchInternal: try Extracting  data data com dz mfxsqj tinker patch 84efe707 dex test dex jar_x000D_
05 13 18:43:38 193 19502 19559   I Tinker DexDiffPatchInternal: isExtractionSuccessful: true_x000D_
05 13 18:43:38 193 19502 19559   I Tinker DexDiffPatchInternal: patch recover  try to optimize dex file count:3  optimizeDexDirectory: data data com dz mfxsqj tinker patch 84efe707 odex _x000D_
05 13 18:43:38 193 19502 19559   I Tinker DexDiffPatchInternal: start to parallel optimize dex  data data com dz mfxsqj tinker patch 84efe707 dex classes dex jar  size: 3717948_x000D_
05 13 18:43:41 173 19502 19559   I Tinker DexDiffPatchInternal: success to parallel optimize dex  data data com dz mfxsqj tinker patch 84efe707 dex classes dex jar  opt file: data data com dz mfxsqj tinker patch 84efe707 odex classes dex dex  opt file size: 10340648  use time 2979_x000D_
05 13 18:43:41 173 19502 19559   I Tinker DexDiffPatchInternal: start to parallel optimize dex  data data com dz mfxsqj tinker patch 84efe707 dex classes2 dex jar  size: 261468_x000D_
05 13 18:43:41 353 19502 19559   I Tinker DexDiffPatchInternal: success to parallel optimize dex  data data com dz mfxsqj tinker patch 84efe707 dex classes2 dex jar  opt file: data data com dz mfxsqj tinker patch 84efe707 odex classes2 dex dex  opt file size: 684800  use time 178_x000D_
05 13 18:43:41 353 19502 19559   I Tinker DexDiffPatchInternal: start to parallel optimize dex  data data com dz mfxsqj tinker patch 84efe707 dex test dex jar  size: 470_x000D_
05 13 18:43:41 393 19502 19559   I Tinker DexDiffPatchInternal: success to parallel optimize dex  data data com dz mfxsqj tinker patch 84efe707 dex test dex jar  opt file: data data com dz mfxsqj tinker patch 84efe707 odex test dex dex  opt file size: 1904  use time 43_x000D_
05 13 18:43:41 393 19502 19559   I Tinker DexDiffPatchInternal: recover dex result:true  cost:19844_x000D_
05 13 18:43:41 393 19502 19559   W Tinker BsDiffPatchInternal: patch recover  library is not contained_x000D_
05 13 18:43:41 403 19502 19559   I Tinker ResDiffPatchInternal: res dir:  data data com dz mfxsqj tinker patch 84efe707 res   meta: resArscMd5:1a00e8effae0ddffde830bdb5a57fb4f_x000D_
                                                                arscBaseCrc:2018356292_x000D_
                                                                pattern:resources  arsc_x000D_
                                                                pattern:assets   _x000D_
                                                                pattern:r   _x000D_
                                                                pattern:res   _x000D_
                                                                addedSet:res color color channel0 text xml_x000D_
                                                                addedSet:res drawable selector tip hot xml_x000D_
                                                                addedSet:res drawable mdpi v4 shape tip click xml_x000D_
                                                                addedSet:res drawable mdpi v4 shape tip default xml_x000D_
                                                                addedSet:res drawable xhdpi v4 aa default author png_x000D_
                                                                addedSet:res drawable xhdpi v4 aa default tag png_x000D_
                                                                addedSet:res drawable xhdpi v4 ic search png_x000D_
                                                                addedSet:res drawable xxhdpi v4 ic end book png_x000D_
                                                                addedSet:res drawable xxhdpi v4 ic serial book png_x000D_
                                                                addedSet:res layout ac chase recommend xml_x000D_
                                                                addedSet:res layout ac chase recommond more xml_x000D_
                                                                addedSet:res layout ac rank top xml_x000D_
                                                                addedSet:res layout item chase recommend xml_x000D_
                                                                addedSet:res layout item search title xml_x000D_
                                                                addedSet:res layout view book detail tip textview xml_x000D_
                                                                addedSet:res layout view chase recommend top xml_x000D_
                                                                addedSet:res layout view empty hot tip textview xml_x000D_
                                                                addedSet:res layout view rank top xml_x000D_
                                                                addedSet:res layout view rank top first xml_x000D_
                                                                addedSet:res layout view siglebook xml_x000D_
                                                                addedSet:res layout view tip textview xml_x000D_
                                                                addedSet:assets only use to test tinker resource txt_x000D_
                                                                modifiedSet:assets dz config app build time_x000D_
                                                                modifiedSet:assets dz config git code_x000D_
                                                                modifiedSet:assets dz config git info_x000D_
                                                                modifiedSet:assets dz config git tag_x000D_
                                                                modifiedSet:assets dz config vcs code_x000D_
                                                                modifiedSet:res layout activity search xml_x000D_
                                                                modifiedSet:res layout fragment main native type xml_x000D_
                                                                modifiedSet:res layout header search result empty xml_x000D_
                                                                modifiedSet:res layout item bookstoretop2 xml_x000D_
                                                                modifiedSet:res layout item native type detail xml_x000D_
                                                                modifiedSet:res layout item native type index right xml_x000D_
                                                                modifiedSet:res layout item search book2 xml_x000D_
                                                                modifiedSet:res layout pull loadmore layout swiperefreshlayout xml_x000D_
                                                                modifiedSet:res layout relative progressbar match parent xml_x000D_
                                                                modifiedSet:res layout view book detail book intro xml_x000D_
                                                                modifiedSet:res layout view book detail top xml_x000D_
                                                                modifiedSet:res layout view channel0 text xml_x000D_
                                                                modifiedSet:res layout view searchhot xml_x000D_
                                                                modifiedSet:res layout view searchhot item xml_x000D_
                                                                modifiedSet:res layout view searchkeys xml_x000D_
                                                                modifiedSet:res layout v17 view book detail book intro xml_x000D_
                                                                largeModifiedSet:resources arsc_x000D_
                                                                deletedSet:res color color btn common xml_x000D_
                                                                deletedSet:res color color chnnel0 text xml_x000D_
                                                                deletedSet:res drawable xhdpi v4 com close dialog png_x000D_
                                                                deletedSet:res layout a dialog recommend xml_x000D_
                                                                deletedSet:res layout a item recommend book xml_x000D_
                                                                deletedSet:res layout dialog follow book xml_x000D_
                                                                storeSet:res drawable xhdpi v4 aa default tag png_x000D_
                                                                storeSet:res drawable xhdpi v4 aa default author png_x000D_
                                                                storeSet:assets dz config git code_x000D_
                                                                storeSet:assets dz config git tag_x000D_
                                                                storeSet:assets dz config vcs code_x000D_
                                                                storeSet:res drawable xxhdpi v4 ic serial book png_x000D_
                                                                storeSet:res drawable xxhdpi v4 ic end book png_x000D_
                                                                storeSet:assets dz config app build time_x000D_
                                                                storeSet:res drawable xhdpi v4 ic search png_x000D_
05 13 18:43:41 453 19502 19559   I Tinker BasePatchInternal: try Extracting  data data com dz mfxsqj tinker patch 84efe707 res res temp res drawable xhdpi v4 aa default tag png_x000D_
05 13 18:43:41 453 19502 19559   I Tinker BasePatchInternal: isExtractionSuccessful: true_x000D_
05 13 18:43:41 453 19502 19559   W Tinker ResDiffPatchInternal: success recover store file: data data com dz mfxsqj tinker patch 84efe707 res res temp res drawable xhdpi v4 aa default tag png  file size:702  use time:2_x000D_
05 13 18:43:41 453 19502 19559   I Tinker BasePatchInternal: try Extracting  data data com dz mfxsqj tinker patch 84efe707 res res temp res drawable xhdpi v4 aa default author png_x000D_
05 13 18:43:41 453 19502 19559   I Tinker BasePatchInternal: isExtractionSuccessful: true_x000D_
05 13 18:43:41 453 19502 19559   W Tinker ResDiffPatchInternal: success recover store file: data data com dz mfxsqj tinker patch 84efe707 res res temp res drawable xhdpi v4 aa default author png  file size:2816  use time:1_x000D_
05 13 18:43:41 453 19502 19559   I Tinker BasePatchInternal: try Extracting  data data com dz mfxsqj tinker patch 84efe707 res res temp assets dz config git code_x000D_
05 13 18:43:41 453 19502 19559   I Tinker BasePatchInternal: isExtractionSuccessful: true_x000D_
05 13 18:43:41 453 19502 19559   W Tinker ResDiffPatchInternal: success recover store file: data data com dz mfxsqj tinker patch 84efe707 res res temp assets dz config git code  file size:8  use time:1_x000D_
05 13 18:43:41 453 19502 19559   I Tinker BasePatchInternal: try Extracting  data data com dz mfxsqj tinker patch 84efe707 res res temp assets dz config git tag_x000D_
05 13 18:43:41 453 19502 19559   I Tinker BasePatchInternal: isExtractionSuccessful: true_x000D_
05 13 18:43:41 453 19502 19559   W Tinker ResDiffPatchInternal: success recover store file: data data com dz mfxsqj tinker patch 84efe707 res res temp assets dz config git tag  file size:5  use time:5_x000D_
05 13 18:43:41 453 19502 19559   I Tinker BasePatchInternal: try Extracting  data data com dz mfxsqj tinker patch 84efe707 res res temp assets dz config vcs code_x000D_
05 13 18:43:41 453 19502 19559   I Tinker BasePatchInternal: isExtractionSuccessful: true_x000D_
05 13 18:43:41 453 19502 19559   W Tinker ResDiffPatchInternal: success recover store file: data data com dz mfxsqj tinker patch 84efe707 res res temp assets dz config vcs code  file size:10  use time:1_x000D_
05 13 18:43:41 463 19502 19559   I Tinker BasePatchInternal: try Extracting  data data com dz mfxsqj tinker patch 84efe707 res res temp res drawable xxhdpi v4 ic serial book png_x000D_
05 13 18:43:41 463 19502 19559   I Tinker BasePatchInternal: isExtractionSuccessful: true_x000D_
05 13 18:43:41 463 19502 19559   W Tinker ResDiffPatchInternal: success recover store file: data data com dz mfxsqj tinker patch 84efe707 res res temp res drawable xxhdpi v4 ic serial book png  file size:7672  use time:2_x000D_
05 13 18:43:41 463 19502 19559   I Tinker BasePatchInternal: try Extracting  data data com dz mfxsqj tinker patch 84efe707 res res temp res drawable xxhdpi v4 ic end book png_x000D_
05 13 18:43:41 463 19502 19559   I Tinker BasePatchInternal: isExtractionSuccessful: true_x000D_
05 13 18:43:41 463 19502 19559   W Tinker ResDiffPatchInternal: success recover store file: data data com dz mfxsqj tinker patch 84efe707 res res temp res drawable xxhdpi v4 ic end book png  file size:7200  use time:1_x000D_
05 13 18:43:41 463 19502 19559   I Tinker BasePatchInternal: try Extracting  data data com dz mfxsqj tinker patch 84efe707 res res temp assets dz config app build time_x000D_
05 13 18:43:41 473 19502 19559   I Tinker BasePatchInternal: isExtractionSuccessful: true_x000D_
05 13 18:43:41 473 19502 19559   W Tinker ResDiffPatchInternal: success recover store file: data data com dz mfxsqj tinker patch 84efe707 res res temp assets dz config app build time  file size:13  use time:12_x000D_
05 13 18:43:41 473 19502 19559   I Tinker BasePatchInternal: try Extracting  data data com dz mfxsqj tinker patch 84efe707 res res temp res drawable xhdpi v4 ic search png_x000D_
05 13 18:43:41 473 19502 19559   I Tinker BasePatchInternal: isExtractionSuccessful: true_x000D_
05 13 18:43:41 473 19502 19559   W Tinker ResDiffPatchInternal: success recover store file: data data com dz mfxsqj tinker patch 84efe707 res res temp res drawable xhdpi v4 ic search png  file size:1183  use time:1_x000D_
05 13 18:43:41 603 19502 19559   W Tinker ResDiffPatchInternal: success recover large modify file: data data com dz mfxsqj tinker patch 84efe707 res res temp resources arsc  file size:460996  use time:134_x000D_
05 13 18:43:41 603 19502 19559   W Tinker ResDiffPatchInternal: success recover all large modify and store resources use time:208_x000D_
05 13 18:43:43 033 19502 19559   I Tinker PatchFileUtil: safeDeleteFile  try to delete path:  data data com dz mfxsqj tinker patch 84efe707 res res temp res drawable xhdpi v4 aa default tag png_x000D_
05 13 18:43:43 033 19502 19559   I Tinker PatchFileUtil: safeDeleteFile  try to delete path:  data data com dz mfxsqj tinker patch 84efe707 res res temp res drawable xhdpi v4 aa default author png_x000D_
05 13 18:</t>
  </si>
  <si>
    <t>doublesymmetry-react-native-track-player-159</t>
  </si>
  <si>
    <t>Failed resolution of: Landroid/support/v7/app/NotificationCompat$Builder targetSdk 26</t>
  </si>
  <si>
    <t xml:space="preserve">Building project for android using support libs 26 0 2 crashes with error:_x000D_
_x000D_
   _x000D_
java lang NoClassDefFoundError: Failed resolution of: Landroid support v7 app NotificationCompat Builder _x000D_
                                                                    at guichaguri trackplayer metadata components MediaNotification  init (MediaNotification java:48)_x000D_
                                                                    at guichaguri trackplayer metadata Metadata  init (Metadata java:59)_x000D_
                                                                    at guichaguri trackplayer logic MediaManager  init (MediaManager java:39)_x000D_
                                                                    at guichaguri trackplayer logic services PlayerService onCreate(PlayerService java:74)_x000D_
                                                                    at android app ActivityThread handleCreateService(ActivityThread java:3404)_x000D_
                                                                    at android app ActivityThread  wrap4(Unknown Source:0)_x000D_
                                                                    at android app ActivityThread H handleMessage(ActivityThread java:1683)_x000D_
                                                                    at android os Handler dispatchMessage(Handler java:105)_x000D_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Caused by: java lang ClassNotFoundException: Didn t find class  android support v7 app NotificationCompat Builder  on path: DexPathList  zip file   data app com remxapp remx dW0D8fi8COR oJOG8WyMxg   base apk   nativeLibraryDirectories   data app com remxapp remx dW0D8fi8COR oJOG8WyMxg   lib x86   data app com remxapp remx dW0D8fi8COR oJOG8WyMxg   base apk  lib x86   system lib   vendor lib  _x000D_
                                                                    at dalvik system BaseDexClassLoader findClass(BaseDexClassLoader java:93)_x000D_
                                                                    at java lang ClassLoader loadClass(ClassLoader java:379)_x000D_
                                                                    at java lang ClassLoader loadClass(ClassLoader java:312)_x000D_
   _x000D_
_x000D_
I m not an android dev so can t really help to fix it  any ideas </t>
  </si>
  <si>
    <t>vector-im-riot-android-2065</t>
  </si>
  <si>
    <t>With some rooms, trying to read history result in a full crash of the application</t>
  </si>
  <si>
    <t xml:space="preserve">I have in my history some rooms  including almost no content and resulting in a complete crash when I m trying to access those _x000D_
_x000D_
Below you can find the result of an  adb logcat  v threadtime  with the Riot process when the crash happens _x000D_
_x000D_
   _x000D_
03 11 21:45:49 932  2202  2202 I ListPopupWindow: Could not find method setEpicenterBounds(Rect) on PopupWindow  Oh well _x000D_
03 11 21:45:49 957  2202  2202 W art     : Before Android 4 1  method int android support v7 widget ListViewCompat lookForSelectablePosition(int  boolean) would have incorrectly overridden the package private method in android widget ListView_x000D_
03 11 21:45:51 469  2202  2202 I Timeline: Timeline: Activity launch request id:im vector alpha time:900907849_x000D_
03 11 21:45:51 500  2202  2202 D VectorApp: onActivityPaused im vector activity VectorHomeActivity 851f92c_x000D_
03 11 21:45:51 501  2202  2202 D VectorApp:    setCurrentActivity() : from im vector activity VectorHomeActivity 851f92c to null_x000D_
03 11 21:45:51 502  2202  2202 D VectorApp:    startActivityTransitionTimer()_x000D_
03 11 21:45:51 524  2202  2202 D VectorApp: onActivityCreated im vector activity HistoricalRoomsActivity 4ab0c8a_x000D_
03 11 21:45:51 534  2202  2202 I AppCompatViewInflater: app:theme is now deprecated  Please move to using android:theme instead _x000D_
03 11 21:45:51 554  2202  2202 D VectorApp: onActivityStarted im vector activity HistoricalRoomsActivity 4ab0c8a_x000D_
03 11 21:45:51 554  2202  2202 D VectorApp: onActivityResumed im vector activity HistoricalRoomsActivity 4ab0c8a_x000D_
03 11 21:45:51 555  2202  2202 D VectorApp:    setCurrentActivity() : from null to im vector activity HistoricalRoomsActivity 4ab0c8a_x000D_
03 11 21:45:51 555  2202  2202 D VectorApp:    stopActivityTransitionTimer()_x000D_
03 11 21:45:51 555  2202  2202 D VectorApp:    listPermissionStatuses() : list the permissions used by the app_x000D_
03 11 21:45:51 556  2202  2202 D VectorApp: Status of  android permission CAMERA  : PERMISSION DENIED_x000D_
03 11 21:45:51 556  2202  2202 D VectorApp: Status of  android permission RECORD AUDIO  : PERMISSION DENIED_x000D_
03 11 21:45:51 557  2202  2202 D VectorApp: Status of  android permission WRITE EXTERNAL STORAGE  : PERMISSION GRANTED_x000D_
03 11 21:45:51 557  2202  2202 D VectorApp: Status of  android permission READ CONTACTS  : PERMISSION DENIED_x000D_
03 11 21:45:51 558  2202  2202 D MXDataHandler:    refreshHistoricalRoomsList() : requesting_x000D_
03 11 21:45:51 559  2202  2202 D NetworkConnectivityReceiver:    isConnected() : true_x000D_
03 11 21:45:51 559  2202  2202 D RestAdapterCallback: Trigger the event  syncFromToken _x000D_
03 11 21:45:51 655  2202  2202 I Timeline: Timeline: Activity idle id: android os BinderProxy a2397ea time:900908034_x000D_
03 11 21:45:51 839  2202  2202 D VectorApp: onActivitySaveInstanceState im vector activity VectorHomeActivity 851f92c_x000D_
03 11 21:45:51 841  2202  2202 D VectorApp: onActivityStopped im vector activity VectorHomeActivity 851f92c_x000D_
03 11 21:45:54 549  2202  2202 D RestAdapterCallback:    Succeed() :  syncFromToken _x000D_
03 11 21:45:54 552  2202  2922 D MXDataHandler:    getRoom() : create the room  fUUESsWxjDsjeslnZs:matrix org_x000D_
03 11 21:45:54 552  2202  2922 D Room    : handleJoinedRoomSync  fUUESsWxjDsjeslnZs:matrix org_x000D_
03 11 21:45:54 553  2202  2922 D EventTimeline:    handleJoinedRoomSync() : 6 events for room  fUUESsWxjDsjeslnZs:matrix org in store org matrix androidsdk data store MXMemoryStore 4f9c3d8_x000D_
03 11 21:45:54 567  2202  2922 D EventTimeline:    handleJoinedRoomSync() : retrieve 1 members for room  fUUESsWxjDsjeslnZs:matrix org_x000D_
03 11 21:45:54 569  2202  2922 D RoomSummary:    setReadMarkerEventId() :  15024955311043085qEhLk:matrix org roomId  fUUESsWxjDsjeslnZs:matrix org_x000D_
03 11 21:45:54 570  2202  2922 D RoomSummary:    setReadReceiptEventId() :  15024955311043085qEhLk:matrix org roomId  fUUESsWxjDsjeslnZs:matrix org_x000D_
03 11 21:45:54 570  2202  2922 D RoomSummary:    setHighlightCount() : 0 roomId  fUUESsWxjDsjeslnZs:matrix org_x000D_
03 11 21:45:54 570  2202  2922 D RoomSummary:    setNotificationCount() : 0 roomId  fUUESsWxjDsjeslnZs:matrix org_x000D_
03 11 21:45:54 571  2202  2922 D RoomSummary:    setUnreadEventsCount() : 0 roomId  fUUESsWxjDsjeslnZs:matrix org_x000D_
03 11 21:45:54 572  2202  2922 D Room    :    handleJoinedRoomSync : received 1 account data events_x000D_
03 11 21:45:54 573  2202  2922 D Room    :    handleAccountDataEvents() : update the read marker to  1502485280736002OdJXB:matrix org in room  fUUESsWxjDsjeslnZs:matrix org_x000D_
03 11 21:45:54 573  2202  2922 D RoomSummary:    setReadMarkerEventId() :  1502485280736002OdJXB:matrix org roomId  fUUESsWxjDsjeslnZs:matrix org_x000D_
03 11 21:45:54 573  2202  2922 D MXDataHandler:    getRoom() : create the room  YgZNEAlfREidWbXMFO:matrix org_x000D_
03 11 21:45:54 574  2202  2922 D Room    : handleJoinedRoomSync  YgZNEAlfREidWbXMFO:matrix org_x000D_
03 11 21:45:54 574  2202  2922 D EventTimeline:    handleJoinedRoomSync() : 6 events for room  YgZNEAlfREidWbXMFO:matrix org in store org matrix androidsdk data store MXMemoryStore 4f9c3d8_x000D_
03 11 21:45:54 575  2202  2922 D EventTimeline:    handleJoinedRoomSync() : retrieve 1 members for room  YgZNEAlfREidWbXMFO:matrix org_x000D_
03 11 21:45:54 576  2202  2922 D RoomSummary:    setReadMarkerEventId() :  15027956531950434LTxYM:matrix org roomId  YgZNEAlfREidWbXMFO:matrix org_x000D_
03 11 21:45:54 577  2202  2922 D RoomSummary:    setReadReceiptEventId() :  15027956531950434LTxYM:matrix org roomId  YgZNEAlfREidWbXMFO:matrix org_x000D_
03 11 21:45:54 577  2202  2922 D RoomSummary:    setHighlightCount() : 0 roomId  YgZNEAlfREidWbXMFO:matrix org_x000D_
03 11 21:45:54 579  2202  2922 D RoomSummary:    setNotificationCount() : 0 roomId  YgZNEAlfREidWbXMFO:matrix org_x000D_
03 11 21:45:54 579  2202  2922 D RoomSummary:    setUnreadEventsCount() : 0 roomId  YgZNEAlfREidWbXMFO:matrix org_x000D_
03 11 21:45:54 580  2202  2922 D Room    :    handleJoinedRoomSync : received 1 account data events_x000D_
03 11 21:45:54 580  2202  2922 D Room    :    handleAccountDataEvents() : update the read marker to  15024956231044709NjsEE:matrix org in room  YgZNEAlfREidWbXMFO:matrix org_x000D_
03 11 21:45:54 581  2202  2922 D RoomSummary:    setReadMarkerEventId() :  15024956231044709NjsEE:matrix org roomId  YgZNEAlfREidWbXMFO:matrix org_x000D_
03 11 21:45:54 581  2202  2922 D MXDataHandler:    getRoom() : create the room  GnEEPYXUhoaHbkFBNX:matrix org_x000D_
03 11 21:45:54 582  2202  2922 D Room    : handleJoinedRoomSync  GnEEPYXUhoaHbkFBNX:matrix org_x000D_
03 11 21:45:54 582  2202  2922 D EventTimeline:    handleJoinedRoomSync() : 2629 events for room  GnEEPYXUhoaHbkFBNX:matrix org in store org matrix androidsdk data store MXMemoryStore 4f9c3d8_x000D_
03 11 21:45:54 602  2202  2922 E RoomMember:    getAvatarUrl() : the member  censored handle  has an invalid avatar url https:  matrix org  matrix content QHdhdGNoZXI6bWF0cml4Lm9yZwbNKqFtznrRzDETxWgVciiJIS aW1hZ2UvanBlZw   jpeg_x000D_
03 11 21:45:54 621  2202  2922 E RoomMember:    getAvatarUrl() : the member  censored handle  has an invalid avatar url https:  matrix org  matrix content QEp1bGllbjptYXRyaXgub3JnXtOPNVaYtsVrLTzRjFBqTdpg aW1hZ2UvanBlZw   jpeg_x000D_
03 11 21:45:54 647  2202  2922 E RoomMember:    getAvatarUrl() : the member  censored handle  has an invalid avatar url https:  matrix org  matrix content QHNjYWphbnVzOm1hdHJpeC5vcmcufBcMOWXWYqpVAJzVWEDAPQo aW1hZ2UvanBlZw   jpeg_x000D_
03 11 21:45:54 648  2202  2922 E RoomMember:    getAvatarUrl() : the member  censored handle  has an invalid avatar url https:  matrix org  matrix content QERhbGFyOm1hdHJpeC5vcmcalOkSBkVHMhqegOPRedDUmUd aW1hZ2UvcG5n png_x000D_
03 11 21:45:54 738  2202  2922 E RoomMember:    getAvatarUrl() : the member  censored handle  has an invalid avatar url https:  matrix org  matrix content QGtlZ2FuOm1hdHJpeC5vcmcgZMiBXLrEZiQnSvyXcrdautg aW1hZ2UvanBlZw   jpeg_x000D_
03 11 21:45:54 749  2202  2922 E RoomMember:    getAvatarUrl() : the member  censored handle  has an invalid avatar url https:  matrix org  matrix content QG1leGljYTptYXRyaXgub3JnWetwbLXcmnhGDqvLACDOKBfq aW1hZ2UvanBlZw   jpeg_x000D_
03 11 21:45:54 785  2202  2922 E RoomMember:    getAvatarUrl() : the member  censored handle  has an invalid avatar url https:   censored domain   matrix content QHRtNjA0OnBlcmxzaXRlLmNvLnVrQyNBsdNIHjeqQbnPSBMIvvai aW1hZ2UvcG5n png_x000D_
03 11 21:45:54 815  2202  2922 D EventTimeline:    handleJoinedRoomSync() : retrieve 2607 members for room  GnEEPYXUhoaHbkFBNX:matrix org_x000D_
03 11 21:45:54 831  2202  2922 D RoomSummary:    setReadMarkerEventId() :  1520714846248885ocDfC:matrix org roomId  GnEEPYXUhoaHbkFBNX:matrix org_x000D_
03 11 21:45:54 831  2202  2922 D RoomSummary:    setReadReceiptEventId() :  1520714846248885ocDfC:matrix org roomId  GnEEPYXUhoaHbkFBNX:matrix org_x000D_
03 11 21:45:54 831  2202  2922 D RoomSummary:    setHighlightCount() : 0 roomId  GnEEPYXUhoaHbkFBNX:matrix org_x000D_
03 11 21:45:54 832  2202  2922 D RoomSummary:    setNotificationCount() : 0 roomId  GnEEPYXUhoaHbkFBNX:matrix org_x000D_
03 11 21:45:54 832  2202  2922 D RoomSummary:    setUnreadEventsCount() : 0 roomId  GnEEPYXUhoaHbkFBNX:matrix org_x000D_
03 11 21:45:54 832  2202  2922 D Room    :    handleJoinedRoomSync : received 1 account data events_x000D_
03 11 21:45:54 833  2202  2922 D Room    :    handleAccountDataEvents() : update the read marker to  1520714811248754ZxXmF:matrix org in room  GnEEPYXUhoaHbkFBNX:matrix org_x000D_
03 11 21:45:54 833  2202  2922 D RoomSummary:    setReadMarkerEventId() :  1520714811248754ZxXmF:matrix org roomId  GnEEPYXUhoaHbkFBNX:matrix org_x000D_
03 11 21:45:54 833  2202  2922 D MXDataHandler:    getRoom() : create the room  epPIWGjwmeRkThXznG:matrix org_x000D_
03 11 21:45:54 834  2202  2922 D Room    : handleJoinedRoomSync  epPIWGjwmeRkThXznG:matrix org_x000D_
03 11 21:45:54 834  2202  2922 D EventTimeline:    handleJoinedRoomSync() : 6 events for room  epPIWGjwmeRkThXznG:matrix org in store org matrix androidsdk data store MXMemoryStore 4f9c3d8_x000D_
03 11 21:45:54 835  2202  2922 D EventTimeline:    handleJoinedRoomSync() : retrieve 1 members for room  epPIWGjwmeRkThXznG:matrix org_x000D_
03 11 21:45:54 837  2202  2922 D RoomSummary:    setReadMarkerEventId() :  1502485519746639DhBGN:matrix org roomId  epPIWGjwmeRkThXznG:matrix org_x000D_
03 11 21:45:54 837  2202  2922 D RoomSummary:    setReadReceiptEventId() :  1502485519746639DhBGN:matrix org roomId  epPIWGjwmeRkThXznG:matrix org_x000D_
03 11 21:45:54 837  2202  2922 D RoomSummary:    setHighlightCount() : 0 roomId  epPIWGjwmeRkThXznG:matrix org_x000D_
03 11 21:45:54 837  2202  2922 D RoomSummary:    setNotificationCount() : 0 roomId  epPIWGjwmeRkThXznG:matrix org_x000D_
03 11 21:45:54 838  2202  2922 D RoomSummary:    setUnreadEventsCount() : 0 roomId  epPIWGjwmeRkThXznG:matrix org_x000D_
03 11 21:45:54 838  2202  2922 D Room    :    handleJoinedRoomSync : received 1 account data events_x000D_
03 11 21:45:54 838  2202  2922 D Room    :    handleAccountDataEvents() : update the read marker to  1502485499745871yTypF:matrix org in room  epPIWGjwmeRkThXznG:matrix org_x000D_
03 11 21:45:54 838  2202  2922 D RoomSummary:    setReadMarkerEventId() :  1502485499745871yTypF:matrix org roomId  epPIWGjwmeRkThXznG:matrix org_x000D_
03 11 21:45:54 839  2202  2922 D MXDataHandler:    refreshHistoricalRoomsList() : 4 left rooms_x000D_
03 11 21:45:58 705  2202  2202 D RestAdapterCallback: Trigger the event  initialSync : roomId  epPIWGjwmeRkThXznG:matrix org _x000D_
03 11 21:45:59 736  2202  2202 D RestAdapterCallback:    Succeed() :  initialSync : roomId  epPIWGjwmeRkThXznG:matrix org _x000D_
03 11 21:45:59 738  2202  2202 D NetworkConnectivityReceiver:    isConnected() : true_x000D_
03 11 21:45:59 747  2202  2942 E AndroidRuntime: FATAL EXCEPTION: AsyncTask  5_x000D_
03 11 21:45:59 747  2202  2942 E AndroidRuntime: Process: im vector alpha  PID: 2202_x000D_
03 11 21:45:59 747  2202  2942 E AndroidRuntime: java lang RuntimeException: An error occurred while executing doInBackground()_x000D_
03 11 21:45:59 747  2202  2942 E AndroidRuntime: 	at android os AsyncTask 3 done(AsyncTask java:309)_x000D_
03 11 21:45:59 747  2202  2942 E AndroidRuntime: 	at java util concurrent FutureTask finishCompletion(FutureTask java:354)_x000D_
03 11 21:45:59 747  2202  2942 E AndroidRuntime: 	at java util concurrent FutureTask setException(FutureTask java:223)_x000D_
03 11 21:45:59 747  2202  2942 E AndroidRuntime: 	at java util concurrent FutureTask run(FutureTask java:242)_x000D_
03 11 21:45:59 747  2202  2942 E AndroidRuntime: 	at java util concurrent ThreadPoolExecutor runWorker(ThreadPoolExecutor java:1113)_x000D_
03 11 21:45:59 747  2202  2942 E AndroidRuntime: 	at java util concurrent ThreadPoolExecutor Worker run(ThreadPoolExecutor java:588)_x000D_
03 11 21:45:59 747  2202  2942 E AndroidRuntime: 	at java lang Thread run(Thread java:818)_x000D_
03 11 21:45:59 747  2202  2942 E AndroidRuntime: Caused by: java lang NullPointerException: Attempt to invoke virtual method  org matrix androidsdk rest model User org matrix androidsdk MXDataHandler getUser(java lang String)  on a null object reference_x000D_
03 11 21:45:59 747  2202  2942 E AndroidRuntime: 	at org matrix androidsdk data RoomState getMemberName(RoomState java:1035)_x000D_
03 11 21:45:59 747  2202  2942 E AndroidRuntime: 	at org matrix androidsdk data RoomState getDisplayName(RoomState java:770)_x000D_
03 11 21:45:59 747  2202  2942 E AndroidRuntime: 	at org matrix androidsdk data RoomPreviewData 1 1 doInBackground(RoomPreviewData java:202)_x000D_
03 11 21:45:59 747  2202  2942 E AndroidRuntime: 	at org matrix androidsdk data RoomPreviewData 1 1 doInBackground(RoomPreviewData java:189)_x000D_
03 11 21:45:59 747  2202  2942 E AndroidRuntime: 	at android os AsyncTask 2 call(AsyncTask java:295)_x000D_
03 11 21:45:59 747  2202  2942 E AndroidRuntime: 	at java util concurrent FutureTask run(FutureTask java:237)_x000D_
03 11 21:45:59 747  2202  2942 E AndroidRuntime: 	    3 more_x000D_
03 11 21:45:59 771  2202  2202 D VectorApp: onActivityPaused im vector activity HistoricalRoomsActivity 4ab0c8a_x000D_
03 11 21:45:59 775  2202  2202 D VectorApp:    setCurrentActivity() : from im vector activity HistoricalRoomsActivity 4ab0c8a to null_x000D_
03 11 21:45:59 775  2202  2202 D VectorApp:    startActivityTransitionTimer()_x000D_
03 11 21:45:59 796  2202  2202 D VectorApp: onActivityStarted im vector activity VectorHomeActivity 851f92c_x000D_
03 11 21:45:59 797  2202  2202 D VectorApp: onActivityResumed im vector activity VectorHomeActivity 851f92c_x000D_
03 11 21:45:59 797  2202  2202 D VectorApp:    setCurrentActivity() : from null to im vector activity VectorHomeActivity 851f92c_x000D_
03 11 21:45:59 797  2202  2202 D VectorApp:    stopActivityTransitionTimer()_x000D_
03 11 21:45:59 798  2202  2202 D VectorApp:    listPermissionStatuses() : list the permissions used by the app_x000D_
03 11 21:45:59 799  2202  2202 D VectorApp: Status of  android permission CAMERA  : PERMISSION DENIED_x000D_
03 11 21:45:59 802  2202  2202 D VectorApp: Status of  android permission RECORD AUDIO  : PERMISSION DENIED_x000D_
03 11 21:45:59 803  2202  2202 D VectorApp: Status of  android permission WRITE EXTERNAL STORAGE  : PERMISSION GRANTED_x000D_
03 11 21:45:59 804  2202  2202 D VectorApp: Status of  android permission READ CONTACTS  : PERMISSION DENIED_x000D_
03 11 21:45:59 805  2202  2202 D VectorHomeActivity:    onInitialSyncComplete()_x000D_
03 11 21:45:59 908  2202  2202 I Timeline: Timeline: Activity idle id: android os BinderProxy a50b756 time:900916288_x000D_
03 11 21:46:00 036  2202  2202 D VectorApp: onActivityStopped im vector activity HistoricalRoomsActivity 4ab0c8a_x000D_
03 11 21:46:00 037  2202  2202 D VectorApp: onActivityDestroyed im vector activity HistoricalRoomsActivity 4ab0c8a_x000D_
03 11 21:46:06 384  2202  2202 D RestAdapterCallback:    Succeed() :  syncFromToken _x000D_
03 11 21:46:06 385  2202  2202 D EventsThread: Got event response_x000D_
03 11 21:46:06 385  2202  2202 D EventsThread: mCurrentToken is now set to s468128044 408793671 712197 104847404 43215878 254064 4757325 4828519 6262_x000D_
03 11 21:46:06 386  2202  2225 D MXDataHandler: onSyncComplete_x000D_
03 11 21:46:06 386  2202  2299 D EventsThread: Get events from token s468128044 408793671 712197 104847404 43215878 254064 4757325 4828519 6262_x000D_
03 11 21:46:06 388  2202  2299 D NetworkConnectivityReceiver:    isConnected() : true_x000D_
03 11 21:46:06 389  2202  2225 D MXDataHandler: Received 1 accountData events_x000D_
03 11 21:46:06 391  2202  2299 D RestAdapterCallback: Trigger the event  syncFromToken _x000D_
03 11 21:46:06 391  2202  2225 D MXDataHandler: Received 0 presence events_x000D_
03 11 21:46:06 393  2202  2202 D Matrix  : onLiveEventsChunkProcessed_x000D_
   _x000D_
_x000D_
This happened on version 0 8 1 from F droid and reproduce 100  of the time for those rooms _x000D_
Web client can access those histories without any issue _x000D_
_x000D_
_x000D_
PS: I manually censored handles and one custom URL in logs  For an unknown reasong  Riot complain about invalid avatar URLs for contacts I don t even know and never was involved with _x000D_
And to gather those logs I only opened Riot  did the steps to reproduce the crash into history and that s all  That s kinda strange </t>
  </si>
  <si>
    <t>nextcloud-android-2329</t>
  </si>
  <si>
    <t>Crash loop when showing upload history</t>
  </si>
  <si>
    <t xml:space="preserve">    Actual behaviour_x000D_
When i start the application  unlock it with my fingerprint and try to show the upload history  it crashes  Ii then restarts by itself and if I unlock it again  it crashes directly  i guess because it try to directly show upload history _x000D_
For the record  i was abroad without internet for a few days and took photos  There should be around 240 photos waiting in failure state because of missing internet connection in the upload history _x000D_
_x000D_
    Expected behaviour_x000D_
It should not crash and show the upload history _x000D_
 _x000D_
    Steps to reproduce_x000D_
1  Start the application_x000D_
2  Unlock it with your fingerprint_x000D_
3  Show the upload history_x000D_
_x000D_
    Environment data_x000D_
Android version: Android 8 1 0 from CopperheadOS_x000D_
_x000D_
Device model: Nexus 5X_x000D_
_x000D_
Stock or customized system: CopperheadOS_x000D_
_x000D_
Nextcloud app version: 3 0 3_x000D_
_x000D_
Nextcloud server version: 13 0 0_x000D_
_x000D_
    Logs_x000D_
     Web server error log:_x000D_
Nothing_x000D_
_x000D_
     Nextcloud log (data nextcloud log)_x000D_
Nothing_x000D_
</t>
  </si>
  <si>
    <t>ttnmapper-ttnmapper_android_v2-12</t>
  </si>
  <si>
    <t>V30 crashes on Android 8.1.0 when mapping started</t>
  </si>
  <si>
    <t xml:space="preserve">  Tested on Google Pixel   Android 8 1 0_x000D_
  All requested access rights were granted to app_x000D_
  crashes when sliding the Mapping button to on</t>
  </si>
  <si>
    <t>kazijehangir-BloodHub-24</t>
  </si>
  <si>
    <t>App crash when  placing request</t>
  </si>
  <si>
    <t xml:space="preserve">Reported by bloodlink team  App crashed when placing new request  Investigate </t>
  </si>
  <si>
    <t>codingworkshopru-Gymm-12</t>
  </si>
  <si>
    <t>crash when configuration change on exercise picker</t>
  </si>
  <si>
    <t>select training program    select training exercise    pick exercise    rotate screen    back    back    crash _x000D_
Related to https:  issuetracker google com issues 73644080</t>
  </si>
  <si>
    <t>brykan-WTNAndroid-4</t>
  </si>
  <si>
    <t>Min SDK Version</t>
  </si>
  <si>
    <t xml:space="preserve">Not sure if this matters yet  but there might be a specific min sdk version that the app supports  When tested on a phone with Android ver  21  there was a crash that occurred  Need to test further to confirm if it is the SDK version or code issue_x000D_
_x000D_
   x  Investigate problem_x000D_
   x  Implement fix_x000D_
</t>
  </si>
  <si>
    <t>LonamiWebs-Stringlate-184</t>
  </si>
  <si>
    <t>ClassCastException: ResString -&gt; ResStringArray$Item, seperator problem</t>
  </si>
  <si>
    <t xml:space="preserve">   What happened _x000D_
Crashed (FC)_x000D_
   What have I done before crash happened _x000D_
I m using ver 0 13 to translate this  repo (https:  github com T Rex96 Easy xkcd) _x000D_
Most translation can be typed and saved successfully  But when it came to pref notifications:0 (current string id)  after typing any character  the app crashed _x000D_
  img 20180311 120923 (https:  user images githubusercontent com 13460812 37249576 33483642 2525 11e8 9a32 b2e01f26bd3c jpg)_x000D_
_x000D_
It also happened at pref notifications:1 2 3   pref orientation:0 1 2   It doesn t crash at loading offline 20 80 which also contain numbers and I can translate them successfully _x000D_
_x000D_
   Device Info   Log_x000D_
_x000D_
I m using Unoffical Resurrection Remix Nougat(7 1 2) V5 8 5 LuisROM for OnePlus 3  link (https:  luis builds de downloads lineageos rr oneplus3 )_x000D_
_x000D_
Built Time: 28  Feb CET 2018_x000D_
   _x000D_
       RuntimeEnvironmentInformation       _x000D_
crash time 2018 03 11 12:14:09 911_x000D_
model ONEPLUS A3000_x000D_
android version 7 1 2(25)_x000D_
brand OnePlus_x000D_
manufacturer OnePlus_x000D_
board msm8996_x000D_
hardware qcom_x000D_
device OnePlus3_x000D_
version name 0 13_x000D_
supported abis arm64 v8a   armeabi v7a   armeabi_x000D_
display lineage oneplus3 userdebug 7 1 2 NJH47F 40a6a51390 release keys_x000D_
       ForceCloseCrashLog       _x000D_
FATAL EXCEPTION: main_x000D_
Process: io github lonamiwebs stringlate  PID: 19161_x000D_
java lang ClassCastException: io github lonamiwebs stringlate classes resources tags ResString cannot be cast to io github lonamiwebs stringlate classes resources tags ResStringArray Item_x000D_
	at io github lonamiwebs stringlate classes resources Resources setContent(Resources java:164)_x000D_
	at io github lonamiwebs stringlate activities translate TranslateActivity 7 onTextChanged(TranslateActivity java:957)_x000D_
	at android widget TextView sendOnTextChanged(TextView java:8187)_x000D_
	at android widget TextView handleTextChanged(TextView java:8249)_x000D_
	at android widget TextView ChangeWatcher onTextChanged(TextView java:10371)_x000D_
	at android text SpannableStringBuilder sendTextChanged(SpannableStringBuilder java:1263)_x000D_
	at android text SpannableStringBuilder replace(SpannableStringBuilder java:577)_x000D_
	at android text SpannableStringBuilder replace(SpannableStringBuilder java:508)_x000D_
	at android text SpannableStringBuilder replace(SpannableStringBuilder java:507)_x000D_
	at android view inputmethod BaseInputConnection replaceText(BaseInputConnection java:844)_x000D_
	at android view inputmethod BaseInputConnection setComposingText(BaseInputConnection java:617)_x000D_
	at com android internal view IInputConnectionWrapper executeMessage(IInputConnectionWrapper java:408)_x000D_
	at com android internal view IInputConnectionWrapper MyHandler handleMessage(IInputConnectionWrapper java:93)_x000D_
	at android os Handler dispatchMessage(Handler java:102)_x000D_
	at android os Looper loop(Looper java:154)_x000D_
	at android app ActivityThread main(ActivityThread java:6236)_x000D_
	at java lang reflect Method invoke(Native Method)_x000D_
	at com android internal os ZygoteInit MethodAndArgsCaller run(ZygoteInit java:891)_x000D_
	at com android internal os ZygoteInit main(ZygoteInit java:781)_x000D_
_x000D_
   </t>
  </si>
  <si>
    <t>Haptic-Apps-Slide-2683</t>
  </si>
  <si>
    <t>Crash when trying to preview paid version</t>
  </si>
  <si>
    <t xml:space="preserve">Slide version: 5 8 2_x000D_
Android version: 6 0 1 (OnePlus One using stock ROM)_x000D_
_x000D_
On the homepage  click the  gallery  icon on the upper right   _x000D_
_x000D_
Click  Preview (10)    _x000D_
_x000D_
App crashes </t>
  </si>
  <si>
    <t>Haptic-Apps-Slide-2682</t>
  </si>
  <si>
    <t>Crash when open image -&gt; click "comment" icon on bottom left</t>
  </si>
  <si>
    <t xml:space="preserve">Slide version: 5 8 2_x000D_
Android version: 6 0 1 (OnePlus One using stock ROM)_x000D_
_x000D_
Open image (with the app s image viewer) from an Image Post   _x000D_
_x000D_
On the far bottom left side of the screen there s the  comment  icon  to open the comment section of the post   _x000D_
_x000D_
The app crashes </t>
  </si>
  <si>
    <t>inaturalist-iNaturalistAndroid-481</t>
  </si>
  <si>
    <t>App crashes during Explore and when IDing an Observation</t>
  </si>
  <si>
    <t xml:space="preserve">User solaire says the app crashes anytime he uses Explore or tries to identify another observation   He s using a Samsung SM J327P running Android 6 0 1  Version 1 8 15 (264)  Here s the log file:_x000D_
_x000D_
 logcat (6) txt (https:  github com inaturalist iNaturalistAndroid files 1798701 logcat 6 txt)_x000D_
</t>
  </si>
  <si>
    <t>react-native-camera-react-native-camera-1337</t>
  </si>
  <si>
    <t>react-native-camera record video crashes while capturing video</t>
  </si>
  <si>
    <t xml:space="preserve">Hi  I am using in reactnative for recording video  It works in iOS and but not in Android_x000D_
 react native camera :   0 12 0  _x000D_
_x000D_
When I start recoding video  from camera while capturing the timer  app crashes_x000D_
Please help _x000D_
   _x000D_
E AndroidRuntime: FATAL EXCEPTION: main_x000D_
                                                                                                      java lang RuntimeException: Error retrieving camcorder profile params_x000D_
                                                       at android media CamcorderProfile native get camcorder profile(Native Method)_x000D_
                                                       at android media CamcorderProfile get(CamcorderProfile java:402)_x000D_
                                                       at com lwansbrough RCTCamera RCTCamera setCaptureVideoQuality(RCTCamera java:278)_x000D_
                                                       at com lwansbrough RCTCamera RCTCameraModule prepareMediaRecorder(RCTCameraModule java:264)_x000D_
                                                       at com lwansbrough RCTCamera RCTCameraModule record(RCTCameraModule java:350)_x000D_
                                                       at com lwansbrough RCTCamera RCTCameraModule captureWithOrientation(RCTCameraModule java:514)_x000D_
                                                       at com lwansbrough RCTCamera RCTCameraModule access 100(RCTCameraModule java:38)_x000D_
                                                       at com lwansbrough RCTCamera RCTCameraModule 2 orientationEvent(RCTCameraModule java:498)_x000D_
                                                       at com lwansbrough RCTCamera RCTSensorOrientationChecker Listener onSensorChanged(RCTSensorOrientationChecker java:64)_x000D_
                                                       at android hardware SystemSensorManager SensorEventQueue dispatchSensorEvent(SystemSensorManager java:481)_x000D_
                                                       at android os MessageQueue nativePollOnce(Native Method)_x000D_
                                                       at android os MessageQueue next(MessageQueue java:328)_x000D_
                                                       at android os Looper loop(Looper java:164)_x000D_
                                                       at android app ActivityThread main(ActivityThread java:5728)_x000D_
                                                       at java lang reflect Method invoke(Native Method)_x000D_
                                                       at com android internal os ZygoteInit MethodAndArgsCaller run(ZygoteInit java:789)_x000D_
                                                       at com android internal os ZygoteInit main(ZygoteInit java:679)_x000D_
   _x000D_
 crashlog txt (https:  github com react native community react native camera files 1798368 crashlog txt)_x000D_
_x000D_
Thanks _x000D_
Sipra_x000D_
</t>
  </si>
  <si>
    <t>TeamNewPipe-NewPipe-1176</t>
  </si>
  <si>
    <t>Crash with no media player</t>
  </si>
  <si>
    <t xml:space="preserve">When trying to open a downloaded video (as audio file) the app crashes when there is no music player app installed _x000D_
_x000D_
SysInfo:_x000D_
  What: ui error_x000D_
  Request: App crash  UI failure_x000D_
  Language: GB_x000D_
  Service: none_x000D_
  Time: 2018 04 17 08:21_x000D_
  Package: org schabi newpipe_x000D_
  Version: 0 13 2_x000D_
  OS Version: Linux Android 7 12   25_x000D_
_x000D_
   _x000D_
android content ActivityNotFoundException: No Activity found to handle Intent   act android intent action VIEW dat content:  org schabi newpipe beta provider external files emulated 0 Music NewPipe Koi wa Ameagari no You ni Ending Full Aimer   Ref rain  m4a typ audio mpeg flg 0x81  _x000D_
        at android app Instrumentation checkStartActivityResult(Instrumentation java:1818)_x000D_
        at android app Instrumentation execStartActivity(Instrumentation java:1525)_x000D_
        at android app Activity startActivityForResult(Activity java:4229)_x000D_
        at android support v4 app BaseFragmentActivityApi16 startActivityForResult(BaseFragmentActivityApi16 java:54)_x000D_
        at android support v4 app FragmentActivity startActivityForResult(FragmentActivity java:67)_x000D_
        at android app Activity startActivityForResult(Activity java:4187)_x000D_
        at android support v4 app FragmentActivity startActivityForResult(FragmentActivity java:732)_x000D_
        at android app Activity startActivity(Activity java:4526)_x000D_
        at android app Activity startActivity(Activity java:4494)_x000D_
        at us shandian giga ui adapter MissionAdapter viewFileWithFileProvider(MissionAdapter java:285)_x000D_
        at us shandian giga ui adapter MissionAdapter access 400(MissionAdapter java:39)_x000D_
        at us shandian giga ui adapter MissionAdapter 2 onMenuItemClick(MissionAdapter java:236)_x000D_
        at android widget PopupMenu 1 onMenuItemSelected(PopupMenu java:104)_x000D_
        at com android internal view menu MenuBuilder dispatchMenuItemSelected(MenuBuilder java:761)_x000D_
        at com android internal view menu MenuItemImpl invoke(MenuItemImpl java:152)_x000D_
        at com android internal view menu MenuBuilder performItemAction(MenuBuilder java:904)_x000D_
        at com android internal view menu MenuBuilder performItemAction(MenuBuilder java:894)_x000D_
        at com android internal view menu MenuPopup onItemClick(MenuPopup java:128)_x000D_
        at android widget AdapterView performItemClick(AdapterView java:310)_x000D_
        at android widget AbsListView performItemClick(AbsListView java:1164)_x000D_
        at android widget AbsListView PerformClick run(AbsListView java:3139)_x000D_
        at android widget AbsListView 3 run(AbsListView java:4054)_x000D_
        at android os Handler handleCallback(Handler java:751)_x000D_
        at android os Handler dispatchMessage(Handler java:95)_x000D_
        at android os Looper loop(Looper java:154)_x000D_
        at android app ActivityThread main(ActivityThread java:6186)_x000D_
        at java lang reflect Method invoke(Native Method)_x000D_
        at com android internal os ZygoteInit MethodAndArgsCaller run(ZygoteInit java:889)_x000D_
        at com android internal os ZygoteInit main(ZygoteInit java:779)_x000D_
   </t>
  </si>
  <si>
    <t>kwantam-batsHIIT-5</t>
  </si>
  <si>
    <t xml:space="preserve">Null Pointer Exception </t>
  </si>
  <si>
    <t xml:space="preserve">App crashes if  Delete  is pressed on the start and there are no saved workouts  </t>
  </si>
  <si>
    <t>nextcloud-android-2318</t>
  </si>
  <si>
    <t>Crash after renaming directory on server</t>
  </si>
  <si>
    <t xml:space="preserve">    Actual behaviour_x000D_
 Crash on reloading server files_x000D_
_x000D_
    Expected behaviour_x000D_
 No Crash_x000D_
 _x000D_
    Steps to reproduce_x000D_
1  Create Autoupload folder for some other apps (e g  Facebook  Tumblr or sth  else where you downlaod funny pictures)_x000D_
2  File uploading works well_x000D_
3  Decide to rename the folder in the serverUI to make it invisible  E g    Facebook _x000D_
4  Open App    3 dots    choose first layer: Refresh account _x000D_
5  Rename it back to Facebook: All works fine   _x000D_
_x000D_
  Rename it in the App_x000D_
6  Rename it in the app  works and it won t crash _x000D_
_x000D_
_x000D_
    Environment data_x000D_
Android version:_x000D_
6 0_x000D_
Device model: _x000D_
Huawei Y6 2017_x000D_
Stock or customized system:_x000D_
stock_x000D_
Nextcloud app version:_x000D_
3 0 3_x000D_
Nextcloud server version:_x000D_
13_x000D_
    Logs_x000D_
     Web server error log_x000D_
   _x000D_
Please ask me  )_x000D_
   _x000D_
_x000D_
     Nextcloud log (data nextcloud log)_x000D_
   _x000D_
File renamed:   Facebook  to    Facebook _x000D_
_x000D_
Nothing else relevant  Successful login and preview accessed _x000D_
_x000D_
   After rename the folder in the app:_x000D_
_x000D_
_x000D_
Sabre DAV Exception NotFound: File with name  Facebook could not be located_x000D_
_x000D_
     var www nextcloud 3rdparty sabre dav lib DAV CorePlugin php   line 81: OCA DAV Connector Sabre ObjectTree  getNodeForPath(  Facebook )_x000D_
     internal function  Sabre DAV CorePlugin  httpGet(Object(Sabre HTTP Request)  Object(Sabre HTTP Response))_x000D_
     var www nextcloud 3rdparty sabre event lib EventEmitterTrait php   line 105: call user func array(Array  Array)_x000D_
     var www nextcloud 3rdparty sabre dav lib DAV Server php   line 479: Sabre Event EventEmitter  emit( method GET   Array)_x000D_
     var www nextcloud 3rdparty sabre dav lib DAV CorePlugin php   line 253: Sabre DAV Server  invokeMethod(Object(Sabre HTTP Request)  Object(Sabre HTTP Response)  false)_x000D_
     internal function  Sabre DAV CorePlugin  httpHead(Object(Sabre HTTP Request)  Object(Sabre HTTP Response))_x000D_
     var www nextcloud 3rdparty sabre event lib EventEmitterTrait php   line 105: call user func array(Array  Array)_x000D_
     var www nextcloud 3rdparty sabre dav lib DAV Server php   line 479: Sabre Event EventEmitter  emit( method HEAD   Array)_x000D_
     var www nextcloud 3rdparty sabre dav lib DAV Server php   line 254: Sabre DAV Server  invokeMethod(Object(Sabre HTTP Request)  Object(Sabre HTTP Response))_x000D_
     var www nextcloud apps dav appinfo v1 webdav php   line 80: Sabre DAV Server  exec()_x000D_
     var www nextcloud remote php   line 164: require once(  var www nextcl    )_x000D_
     main _x000D_
_x000D_
3 Seconds later:_x000D_
_x000D_
_x000D_
Info   admin audit   File renamed:   Facebook  to    Facebook _x000D_
_x000D_
_x000D_
_x000D_
   _x000D_
     Logcat crash log:_x000D_
 details  summary Logcat  summary _x000D_
_x000D_
   _x000D_
_x000D_
          beginning of crash_x000D_
_x000D_
03 08 17:29:45 114 20160 21135 E AndroidRuntime: FATAL EXCEPTION: Thread 1054_x000D_
_x000D_
03 08 17:29:45 114 20160 21135 E AndroidRuntime: Process: com nextcloud client  PID: 20160_x000D_
_x000D_
03 08 17:29:45 114 20160 21135 E AndroidRuntime: java lang IllegalStateException: Couldn t read row 1372  col 0 from CursorWindow   Make sure the Cursor is initialized correctly before accessing data from it _x000D_
_x000D_
03 08 17:29:45 114 20160 21135 E AndroidRuntime: 	at android database CursorWindow nativeGetLong(Native Method)_x000D_
_x000D_
03 08 17:29:45 114 20160 21135 E AndroidRuntime: 	at android database CursorWindow getLong(CursorWindow java:511)_x000D_
_x000D_
03 08 17:29:45 114 20160 21135 E AndroidRuntime: 	at android database AbstractWindowedCursor getLong(AbstractWindowedCursor java:90)_x000D_
_x000D_
03 08 17:29:45 114 20160 21135 E AndroidRuntime: 	at com owncloud android providers FileContentProvider delete(FileContentProvider java:159)_x000D_
_x000D_
03 08 17:29:45 114 20160 21135 E AndroidRuntime: 	at com owncloud android providers FileContentProvider delete(FileContentProvider java:104)_x000D_
_x000D_
03 08 17:29:45 114 20160 21135 E AndroidRuntime: 	at android content ContentProviderOperation apply(ContentProviderOperation java:311)_x000D_
_x000D_
03 08 17:29:45 114 20160 21135 E AndroidRuntime: 	at com owncloud android providers FileContentProvider applyBatch(FileContentProvider java:696)_x000D_
_x000D_
03 08 17:29:45 114 20160 21135 E AndroidRuntime: 	at android content ContentProvider Transport applyBatch(ContentProvider java:326)_x000D_
_x000D_
03 08 17:29:45 114 20160 21135 E AndroidRuntime: 	at android content ContentProviderClient applyBatch(ContentProviderClient java:448)_x000D_
_x000D_
03 08 17:29:45 114 20160 21135 E AndroidRuntime: 	at android content ContentResolver applyBatch(ContentResolver java:1343)_x000D_
_x000D_
03 08 17:29:45 114 20160 21135 E AndroidRuntime: 	at com owncloud android datamodel FileDataStorageManager saveFolder(FileDataStorageManager java:400)_x000D_
_x000D_
03 08 17:29:45 114 20160 21135 E AndroidRuntime: 	at com owncloud android operations RefreshFolderOperation synchronizeData(RefreshFolderOperation java:480)_x000D_
_x000D_
03 08 17:29:45 114 20160 21135 E AndroidRuntime: 	at com owncloud android operations RefreshFolderOperation fetchAndSyncRemoteFolder(RefreshFolderOperation java:320)_x000D_
_x000D_
03 08 17:29:45 114 20160 21135 E AndroidRuntime: 	at com owncloud android operations RefreshFolderOperation run(RefreshFolderOperation java:200)_x000D_
_x000D_
03 08 17:29:45 114 20160 21135 E AndroidRuntime: 	at com owncloud android lib common operations RemoteOperation run(RemoteOperation java:316)_x000D_
_x000D_
03 08 17:29:45 114 20160 21135 E AndroidRuntime: 	at java lang Thread run(Thread java:833)_x000D_
_x000D_
03 08 17:30:08 647 21158 21225 E AndroidRuntime: FATAL EXCEPTION: Thread 1043_x000D_
_x000D_
03 08 17:30:08 647 21158 21225 E AndroidRuntime: Process: com nextcloud client  PID: 21158_x000D_
_x000D_
03 08 17:30:08 647 21158 21225 E AndroidRuntime: java lang IllegalStateException: Couldn t read row 1372  col 0 from CursorWindow   Make sure the Cursor is initialized correctly before accessing data from it _x000D_
_x000D_
03 08 17:30:08 647 21158 21225 E AndroidRuntime: 	at android database CursorWindow nativeGetLong(Native Method)_x000D_
_x000D_
03 08 17:30:08 647 21158 21225 E AndroidRuntime: 	at android database CursorWindow getLong(CursorWindow java:511)_x000D_
_x000D_
03 08 17:30:08 647 21158 21225 E AndroidRuntime: 	at android database AbstractWindowedCursor getLong(AbstractWindowedCursor java:90)_x000D_
_x000D_
03 08 17:30:08 647 21158 21225 E AndroidRuntime: 	at com owncloud android providers FileContentProvider delete(FileContentProvider java:159)_x000D_
_x000D_
03 08 17:30:08 647 21158 21225 E AndroidRuntime: 	at com owncloud android providers FileContentProvider delete(FileContentProvider java:104)_x000D_
_x000D_
03 08 17:30:08 647 21158 21225 E AndroidRuntime: 	at android content ContentProviderOperation apply(ContentProviderOperation java:311)_x000D_
_x000D_
03 08 17:30:08 647 21158 21225 E AndroidRuntime: 	at com owncloud android providers FileContentProvider applyBatch(FileContentProvider java:696)_x000D_
_x000D_
03 08 17:30:08 647 21158 21225 E AndroidRuntime: 	at android content ContentProvider Transport applyBatch(ContentProvider java:326)_x000D_
_x000D_
03 08 17:30:08 647 21158 21225 E AndroidRuntime: 	at android content ContentProviderClient applyBatch(ContentProviderClient java:448)_x000D_
_x000D_
03 08 17:30:08 647 21158 21225 E AndroidRuntime: 	at android content ContentResolver applyBatch(ContentResolver java:1343)_x000D_
_x000D_
03 08 17:30:08 647 21158 21225 E AndroidRuntime: 	at com owncloud android datamodel FileDataStorageManager saveFolder(FileDataStorageManager java:400)_x000D_
_x000D_
03 08 17:30:08 647 21158 21225 E AndroidRuntime: 	at com owncloud android operations RefreshFolderOperation synchronizeData(RefreshFolderOperation java:480)_x000D_
_x000D_
03 08 17:30:08 647 21158 21225 E AndroidRuntime: 	at com owncloud android operations RefreshFolderOperation fetchAndSyncRemoteFolder(RefreshFolderOperation java:320)_x000D_
_x000D_
03 08 17:30:08 647 21158 21225 E AndroidRuntime: 	at com owncloud android operations RefreshFolderOperation run(RefreshFolderOperation java:200)_x000D_
_x000D_
03 08 17:30:08 647 21158 21225 E AndroidRuntime: 	at com owncloud android lib common operations RemoteOperation run(RemoteOperation java:316)_x000D_
_x000D_
03 08 17:30:08 647 21158 21225 E AndroidRuntime: 	at java lang Thread run(Thread java:833)_x000D_
_x000D_
03 08 17:30:32 043 21344 21344 I AEE AED : _x000D_
_x000D_
03 08 17:30:32 043 21344 21344 I AEE AED : _x000D_
_x000D_
03 08 17:30:32 043 21344 21344 I AEE AED :       pid 259 at 2018 03 08 17:30:32      _x000D_
_x000D_
03 08 17:30:32 044 21344 21344 I AEE AED : Cmd line:  system bin surfaceflinger_x000D_
_x000D_
03 08 17:30:32 044 21344 21344 I AEE AED : ABI:  arm64 _x000D_
_x000D_
03 08 17:30:32 668 21345 21345 I AEE AED : _x000D_
_x000D_
03 08 17:30:32 668 21345 21345 I AEE AED : _x000D_
_x000D_
03 08 17:30:32 668 21345 21345 I AEE AED :       pid 353 at 2018 03 08 17:30:32      _x000D_
_x000D_
03 08 17:30:32 668 21345 21345 I AEE AED : Cmd line:  system bin netd_x000D_
_x000D_
03 08 17:30:32 668 21345 21345 I AEE AED : ABI:  arm64 _x000D_
_x000D_
03 08 17:30:32 897 21347 21347 I AEE AED : _x000D_
_x000D_
03 08 17:30:32 897 21347 21347 I AEE AED : _x000D_
_x000D_
03 08 17:30:32 897 21347 21347 I AEE AED :       pid 357 at 2018 03 08 17:30:32      _x000D_
_x000D_
03 08 17:30:32 897 21347 21347 I AEE AED : Cmd line:  system bin mediaserver_x000D_
_x000D_
03 08 17:30:32 897 21347 21347 I AEE AED : ABI:  arm _x000D_
_x000D_
03 08 17:30:36 161 21262 21337 E AndroidRuntime: FATAL EXCEPTION: Thread 1046_x000D_
_x000D_
03 08 17:30:36 161 21262 21337 E AndroidRuntime: Process: com nextcloud client  PID: 21262_x000D_
_x000D_
03 08 17:30:36 161 21262 21337 E AndroidRuntime: java lang IllegalStateException: Couldn t read row 1372  col 0 from CursorWindow   Make sure the Cursor is initialized correctly before accessing data from it _x000D_
_x000D_
03 08 17:30:36 161 21262 21337 E AndroidRuntime: 	at android database CursorWindow nativeGetLong(Native Method)_x000D_
_x000D_
03 08 17:30:36 161 21262 21337 E AndroidRuntime: 	at android database CursorWindow getLong(CursorWindow java:511)_x000D_
_x000D_
03 08 17:30:36 161 21262 21337 E AndroidRuntime: 	at android database AbstractWindowedCursor getLong(AbstractWindowedCursor java:90)_x000D_
_x000D_
03 08 17:30:36 161 21262 21337 E AndroidRuntime: 	at com owncloud android providers FileContentProvider delete(FileContentProvider java:159)_x000D_
_x000D_
03 08 17:30:36 161 21262 21337 E AndroidRuntime: 	at com owncloud android providers FileContentProvider delete(FileContentProvider java:104)_x000D_
_x000D_
03 08 17:30:36 161 21262 21337 E AndroidRuntime: 	at android content ContentProviderOperation apply(ContentProviderOperation java:311)_x000D_
_x000D_
03 08 17:30:36 161 21262 21337 E AndroidRuntime: 	at com owncloud android providers FileContentProvider applyBatch(FileContentProvider java:696)_x000D_
_x000D_
03 08 17:30:36 161 21262 21337 E AndroidRuntime: 	at android content ContentProvider Transport applyBatch(ContentProvider java:326)_x000D_
_x000D_
03 08 17:30:36 161 21262 21337 E AndroidRuntime: 	at android content ContentProviderClient applyBatch(ContentProviderClient java:448)_x000D_
_x000D_
03 08 17:30:36 161 21262 21337 E AndroidRuntime: 	at android content ContentResolver applyBatch(ContentResolver java:1343)_x000D_
_x000D_
03 08 17:30:36 161 21262 21337 E AndroidRuntime: 	at com owncloud android datamodel FileDataStorageManager saveFolder(FileDataStorageManager java:400)_x000D_
_x000D_
03 08 17:30:36 161 21262 21337 E AndroidRuntime: 	at com owncloud android operations RefreshFolderOperation synchronizeData(RefreshFolderOperation java:480)_x000D_
_x000D_
03 08 17:30:36 161 21262 21337 E AndroidRuntime: 	at com owncloud android operations RefreshFolderOperation fetchAndSyncRemoteFolder(RefreshFolderOperation java:320)_x000D_
_x000D_
03 08 17:30:36 161 21262 21337 E AndroidRuntime: 	at com owncloud android operations RefreshFolderOperation run(RefreshFolderOperation java:200)_x000D_
_x000D_
03 08 17:30:36 161 21262 21337 E AndroidRuntime: 	at com owncloud android lib common operations RemoteOperation run(RemoteOperation java:316)_x000D_
_x000D_
03 08 17:30:36 161 21262 21337 E AndroidRuntime: 	at java lang Thread run(Thread java:833)_x000D_
_x000D_
03 08 17:30:59 936 21379 21457 E AndroidRuntime: FATAL EXCEPTION: Thread 1050_x000D_
_x000D_
03 08 17:30:59 936 21379 21457 E AndroidRuntime: Process: com nextcloud client  PID: 21379_x000D_
_x000D_
03 08 17:30:59 936 21379 21457 E AndroidRuntime: java lang IllegalStateException: Couldn t read row 1372  col 0 from CursorWindow   Make sure the Cursor is initialized correctly before accessing data from it _x000D_
_x000D_
03 08 17:30:59 936 21379 21457 E AndroidRuntime: 	at android database CursorWindow nativeGetLong(Native Method)_x000D_
_x000D_
03 08 17:30:59 936 21379 21457 E AndroidRuntime: 	at android database CursorWindow getLong(CursorWindow java:511)_x000D_
_x000D_
03 08 17:30:59 936 21379 21457 E AndroidRuntime: 	at android database AbstractWindowedCursor getLong(AbstractWindowedCursor java:90)_x000D_
_x000D_
03 08 17:30:59 936 21379 21457 E AndroidRuntime: 	at com owncloud android providers FileContentProvider delete(FileContentProvider java:159)_x000D_
_x000D_
03 08 17:30:59 936 21379 21457 E AndroidRuntime: 	at com owncloud android providers FileContentProvider delete(FileContentProvider java:104)_x000D_
_x000D_
03 08 17:30:59 936 21379 21457 E AndroidRuntime: 	at android content ContentProviderOperation apply(ContentProviderOperation java:311)_x000D_
_x000D_
03 08 17:30:59 936 21379 21457 E AndroidRuntime: 	at com owncloud android providers FileContentProvider applyBatch(FileContentProvider java:696)_x000D_
_x000D_
03 08 17:30:59 936 21379 21457 E AndroidRuntime: 	at android content ContentProvider Transport applyBatch(ContentProvider java:326)_x000D_
_x000D_
03 08 17:30:59 936 21379 21457 E AndroidRuntime: 	at android content ContentProviderClient applyBatch(ContentProviderClient java:448)_x000D_
_x000D_
03 08 17:30:59 936 21379 21457 E AndroidRuntime: 	at android content ContentResolver applyBatch(ContentResolver java:1343)_x000D_
_x000D_
03 08 17:30:59 936 21379 21457 E AndroidRuntime: 	at com owncloud android datamodel FileDataStorageManager saveFolder(FileDataStorageManager java:400)_x000D_
_x000D_
03 08 17:30:59 936 21379 21457 E AndroidRuntime: 	at com owncloud android operations RefreshFolderOperation synchronizeData(RefreshFolderOperation java:480)_x000D_
_x000D_
03 08 17:30:59 936 21379 21457 E AndroidRuntime: 	at com owncloud android operations RefreshFolderOperation fetchAndSyncRemoteFolder(RefreshFolderOperation java:320)_x000D_
_x000D_
03 08 17:30:59 936 21379 21457 E AndroidRuntime: 	at com owncloud android operations RefreshFolderOperation run(RefreshFolderOperation java:200)_x000D_
_x000D_
03 08 17:30:59 936 21379 21457 E AndroidRuntime: 	at com owncloud android lib common operations RemoteOperation run(RemoteOperation java:316)_x000D_
_x000D_
03 08 17:30:59 936 21379 21457 E AndroidRuntime: 	at java lang Thread run(Thread java:833)_x000D_
_x000D_
03 08 17:31:24 225 21481 21545 E AndroidRuntime: FATAL EXCEPTION: Thread 1054_x000D_
_x000D_
03 08 17:31:24 225 21481 21545 E AndroidRuntime: Process: com nextcloud client  PID: 21481_x000D_
_x000D_
03 08 17:31:24 225 21481 21545 E AndroidRuntime: java lang IllegalStateException: Couldn t read row 1372  col 0 from CursorWindow   Make sure the Cursor is initialized correctly before accessing data from it _x000D_
_x000D_
03 08 17:31:24 225 21481 21545 E AndroidRuntime: 	at android database CursorWindow nativeGetLong(Native Method)_x000D_
_x000D_
03 08 17:31:24 225 21481 21545 E AndroidRuntime: 	at android database CursorWindow getLong(CursorWindow java:511)_x000D_
_x000D_
03 08 17:31:24 225 21481 21545 E AndroidRuntime: 	at android database AbstractWindowedCursor getLong(AbstractWindowedCursor java:90)_x000D_
_x000D_
03 08 17:31:24 225 21481 21545 E AndroidRuntime: 	at com owncloud android providers FileContentProvider delete(FileContentProvider java:159)_x000D_
_x000D_
03 08 17:31:24 225 21481 21545 E AndroidRuntime: 	at com owncloud android providers FileContentProvider delete(FileContentProvider java:104)_x000D_
_x000D_
03 08 17:31:24 225 21481 21545 E AndroidRuntime: 	at android content ContentProviderOperation apply(ContentProviderOperation java:311)_x000D_
_x000D_
03 08 17:31:24 225 21481 21545 E AndroidRuntime: 	at com owncloud android providers FileContentProvider applyBatch(FileContentProvider java:696)_x000D_
_x000D_
03 08 17:31:24 225 21481 21545 E AndroidRuntime: 	at android content ContentProvider Transport applyBatch(ContentProvider java:326)_x000D_
_x000D_
03 08 17:31:24 225 21481 21545 E AndroidRuntime: 	at android content ContentProviderClient applyBatch(ContentProviderClient java:448)_x000D_
_x000D_
03 08 17:31:24 225 21481 21545 E AndroidRuntime: 	at android content ContentResolver applyBatch(ContentResolver java:1343)_x000D_
_x000D_
03 08 17:31:24 225 21481 21545 E AndroidRuntime: 	at com owncloud android datamodel FileDataStorageManager saveFolder(FileDataStorageManager java:400)_x000D_
_x000D_
03 08 17:31:24 225 21481 21545 E AndroidRuntime: 	at com owncloud android operations RefreshFolderOperation synchronizeData(RefreshFolderOperation java:480)_x000D_
_x000D_
03 08 17:31:24 225 21481 21545 E AndroidRuntime: 	at com owncloud android operations RefreshFolderOperation fetchAndSyncRemoteFolder(RefreshFolderOperation java:320)_x000D_
_x000D_
03 08 17:31:24 225 21481 21545 E AndroidRuntime: 	at com owncloud android operations RefreshFolderOperation run(RefreshFolderOperation java:200)_x000D_
_x000D_
03 08 17:31:24 225 21481 21545 E AndroidRuntime: 	at com owncloud android lib common operations RemoteOperation run(RemoteOperation java:316)_x000D_
_x000D_
03 08 17:31:24 225 21481 21545 E AndroidRuntime: 	at java lang Thread run(Thread java:833)_x000D_
_x000D_
03 08 17:32:22 570 21577 21662 E AndroidRuntime: FATAL EXCEPTION: Thread 1059_x000D_
_x000D_
03 08 17:32:22 570 21577 21662 E AndroidRuntime: Process: com nextcloud client  PID: 21577_x000D_
_x000D_
03 08 17:32:22 570 21577 21662 E AndroidRuntime: java lang IllegalStateException: Couldn t read row 1372  col 0 from CursorWindow   Make sure the Cursor is initialized correctly before accessing data from it _x000D_
_x000D_
03 08 17:32:22 570 21577 21662 E AndroidRuntime: 	at android database CursorWindow nativeGetLong(Native Method)_x000D_
_x000D_
03 08 17:32:22 570 21577 21662 E AndroidRuntime: 	at android database CursorWindow getLong(CursorWindow java:511)_x000D_
_x000D_
03 08 17:32:22 570 21577 21662 E AndroidRuntime: 	at android database AbstractWindowedCursor getLong(AbstractWindowedCursor java:90)_x000D_
_x000D_
03 08 17:32:22 570 21577 21662 E AndroidRuntime: 	at com owncloud android providers FileContentProvider delete(FileContentProvider java:159)_x000D_
_x000D_
03 08 17:32:22 570 21577 21662 E AndroidRuntime: 	at com owncloud android providers FileContentProvider delete(FileContentProvider java:104)_x000D_
_x000D_
03 08 17:32:22 570 21577 21662 E AndroidRuntime: 	at android content ContentProviderOperation apply(ContentProviderOperation java:311)_x000D_
_x000D_
03 08 17:32:22 570 21577 21662 E AndroidRuntime: 	at com owncloud android providers FileContentProvider applyBatch(FileContentProvider java:696)_x000D_
_x000D_
03 08 17:32:22 570 21577 21662 E AndroidRuntime: 	at android content ContentProvider Transport applyBatch(ContentProvider java:326)_x000D_
_x000D_
03 08 17:32:22 570 21577 21662 E AndroidRuntime: 	at android content ContentProviderClient applyBatch(ContentProviderClient java:448)_x000D_
_x000D_
03 08 17:32:22 570 21577 21662 E AndroidRuntime: 	at android content ContentResolver applyBatch(ContentResolver java:1343)_x000D_
_x000D_
03 08 17:32:22 570 21577 21662 E AndroidRuntime: 	at com owncloud android datamodel FileDataStorageManager saveFolder(FileDataStorageManager java:400)_x000D_
_x000D_
03 08 17:32:22 570 21577 21662 E AndroidRuntime: 	at com owncloud android operations RefreshFolderOperation synchronizeData(RefreshFolderOperation java:480)_x000D_
_x000D_
03 08 17:32:22 570 21577 21662 E AndroidRuntime: 	at com owncloud android operations RefreshFolderOperation fetchAndSyncRemoteFolder(RefreshFolderOperation java:320)_x000D_
_x000D_
03 08 17:32:22 570 21577 21662 E AndroidRuntime: 	at com owncloud android operations RefreshFolderOperation run(RefreshFolderOperation java:200)_x000D_
_x000D_
03 08 17:32:22 570 21577 21662 E AndroidRuntime: 	at com owncloud android lib common operations RemoteOperation run(RemoteOperation java:316)_x000D_
_x000D_
03 08 17:32:22 570 21577 21662 E AndroidRuntime: 	at java lang Thread run(Thread java:833)_x000D_
_x000D_
03 08 17:33:01 912 21682 21790 E AndroidRuntime: FATAL EXCEPTION: Thread 1069_x000D_
_x000D_
03 08 17:33:01 912 21682 21790 E AndroidRuntime: Process: com nextcloud client  PID: 21682_x000D_
_x000D_
03 08 17:33:01 912 21682 21790 E AndroidRuntime: java lang IllegalStateException: Couldn t read row 1372  col 0 from CursorWindow   Make sure the Cursor is initialized correctly before accessing data from it _x000D_
_x000D_
03 08 17:33:01 912 21682 21790 E AndroidRuntime: 	at android database CursorWindow nativeGetLong(Native Method)_x000D_
_x000D_
03 08 17:33:01 912 21682 21790 E AndroidRuntime: 	at android database CursorWindow getLong(CursorWindow java:511)_x000D_
_x000D_
03 08 17:33:01 912 21682 21790 E AndroidRuntime: 	at android database AbstractWindowedCursor getLong(AbstractWindowedCursor java:90)_x000D_
_x000D_
03 08 17:33:01 912 21682 21790 E AndroidRuntime: 	at com owncloud android providers FileContentProvider delete(FileContentProvider java:159)_x000D_
_x000D_
03 08 17:33:01 912 21682 21790 E AndroidRuntime: 	at com owncloud android providers FileContentProvider delete(FileContentProvider java:104)_x000D_
_x000D_
03 08 17:33:01 912 21682 21790 E AndroidRuntime: 	at android content ContentProviderOperation apply(ContentProviderOperation java:311)_x000D_
_x000D_
03 08 17:33:01 912 21682 21790 E AndroidRuntime: 	at com owncloud android providers FileContentProvider applyBatch(FileContentProvider java:696)_x000D_
_x000D_
03 08 17:33:01 912 21682 21790 E AndroidRuntime: 	at android content ContentProvider Transport applyBatch(ContentProvider java:326)_x000D_
_x000D_
03 08 17:33:01 912 21682 21790 E AndroidRuntime: 	at android content ContentProviderClient applyBatch(ContentProviderClient java:448)_x000D_
_x000D_
03 08 17:33:01 912 21682 21790 E AndroidRuntime: 	at android content ContentResolver applyBatch(ContentResolver java:1343)_x000D_
_x000D_
03 08 17:33:01 912 21682 21790 E AndroidRuntime: 	at com owncloud android datamodel FileDataStorageManager saveFolder(FileDataStorageManager java:400)_x000D_
_x000D_
03 08 17:33:01 912 21682 21790 E AndroidRuntime: 	at com owncloud android operations RefreshFolderOperation synchronizeData(RefreshFolderOperation java:480)_x000D_
_x000D_
03 08 17:33:01 912 21682 21790 E AndroidRuntime: 	at com owncloud android operations RefreshFolderOperation fetchAndSyncRemoteFolder(RefreshFolderOperation java:320)_x000D_
_x000D_
03 08 17:33:01 912 21682 21790 E AndroidRuntime: 	at com owncloud android operations RefreshFolderOperation run(RefreshFolderOperation java:200)_x000D_
_x000D_
03 08 17:33:01 912 21682 21790 E AndroidRuntime: 	at com owncloud android lib common operations RemoteOperation run(RemoteOperation java:316)_x000D_
_x000D_
03 08 17:33:01 912 21682 21790 E AndroidRuntime: 	at java lang Thread run(Thread java:833)_x000D_
_x000D_
03 08 17:33:27 795 21816 21879 E AndroidRuntime: FATAL EXCEPTION: Thread 1070_x000D_
_x000D_
03 08 17:33:27 795 21816 21879 E AndroidRuntime: Process: com nextcloud client  PID: 21816_x000D_
_x000D_
03 08 17:33:27 795 21816 21879 E AndroidRuntime: java lang IllegalStateException: Couldn t read row 1372  col 0 from CursorWindow   Make sure the Cursor is initialized correctly before accessing data from it _x000D_
_x000D_
03 08 17:33:27 795 21816 21879 E AndroidRuntime: 	at android database CursorWindow nativeGetLong(Native Method)_x000D_
_x000D_
03 08 17:33:27 795 21816 21879 E AndroidRuntime: 	at android database CursorWindow getLong(CursorWindow java:511)_x000D_
_x000D_
03 08 17:33:27 795 21816 21879 E AndroidRuntime: 	at android database AbstractWindowedCursor getLong(AbstractWindowedCursor java:90)_x000D_
_x000D_
03 08 17:33:27 795 21816 21879 E AndroidRuntime: 	at com owncloud android providers FileContentProvider delete(FileContentProvider java:159)_x000D_
_x000D_
03 08 17:33:27 795 21816 21879 E AndroidRuntime: 	at com owncloud android providers FileContentProvider delete(FileContentProvider java:104)_x000D_
_x000D_
03 08 17:33:27 795 21816 21879 E AndroidRuntime: 	at android content ContentProviderOperation apply(ContentProviderOperation java:311)_x000D_
_x000D_
03 08 17:33:27 795 21816 21879 E AndroidRuntime: 	at com owncloud android providers FileContentProvider applyBatch(FileContentProvider java:696)_x000D_
_x000D_
03 08 17:33:27 795 21816 21879 E AndroidRuntime: 	at android content ContentProvider Transport applyBatch(ContentProvider java:326)_x000D_
_x000D_
03 08 17:33:27 795 21816 21879 E AndroidRuntime: 	at android content ContentProviderClient applyBatch(ContentProviderClient java:448)_x000D_
_x000D_
03 08 17:33:27 795 21816 21879 E AndroidRuntime: 	at android content ContentResolver applyBatch(ContentResolver java:1343)_x000D_
_x000D_
03 08 17:33:27 795 21816 21879 E AndroidRuntime: 	at com owncloud android datamodel FileDataStorageManager saveFolder(FileDataStorageManager java:400)_x000D_
_x000D_
03 08 17:33:27 795 21816 21879 E AndroidRuntime: 	at com owncloud android operations RefreshFolderOperation synchronizeData(RefreshFolderOperation java:480)_x000D_
_x000D_
03 08 17:33:27 795 21816 21879 E AndroidRuntime: 	at com owncloud android operations RefreshFolderOperation fetchAndSyncRemoteFolder(RefreshFolderOperation java:320)_x000D_
_x000D_
03 08 17:33:27 795 21816 21879 E AndroidRuntime: 	at com owncloud android operations RefreshFolderOperation run(RefreshFolderOperation java:200)_x000D_
_x000D_
03 08 17:33:27 795 21816 21879 E AndroidRuntime: 	at com owncloud android lib common operations RemoteOperation run(RemoteOperation java:316)_x000D_
_x000D_
03 08 17:33:27 795 21816 21879 E AndroidRuntime: 	at java lang Thread run(Thread java:833)_x000D_
_x000D_
03 08 17:35:19 573 21935 22038 E AndroidRuntime: FATAL EXCEPTION: Thread 1083_x000D_
_x000D_
03 08 17:35:19 573 21935 22038 E AndroidRuntime: Process: com nextcloud client  PID: 21935_x000D_
_x000D_
03 08 17:35:19 573 21935 22038 E AndroidRuntime: java lang IllegalStateException: Couldn t read row 1372  col 0 from CursorWindow   Make sure the Cursor is initialized correctly before accessing data from it _x000D_
_x000D_
03 08 17:35:19 573 21935 22038 E AndroidRuntime: 	at android database CursorWindow nativeGetLong(Native Method)_x000D_
_x000D_
03 08 17:35:19 573 21935 22038 E AndroidRuntime: 	at android database CursorWindow getLong(CursorWindow java:511)_x000D_
_x000D_
03 08 17:35:19 573 21935 22038 E AndroidRuntime: 	at android database AbstractWindowedCursor getLong(AbstractWindowedCursor java:90)_x000D_
_x000D_
03 08 17:35:19 573 21935 22038 E AndroidRuntime: 	at com owncloud android providers FileContentProvider delete(FileContentProvider java:159)_x000D_
_x000D_
03 08 17:35:19 573 21935 22038 E AndroidRuntime: 	at com owncloud android providers FileContentProvider delete(FileContentProvider java:104)_x000D_
_x000D_
03 08 17:35:19 573 21935 22038 E AndroidRuntime: 	at android content ContentProviderOperation apply(ContentProviderOperation java:311)_x000D_
_x000D_
03 08 17:35:19 573 21935 22038 E AndroidRuntime: 	at com owncloud android providers FileContentProvider applyBatch(FileContentProvider java:696)_x000D_
_x000D_
03 08 17:35:19 573 21935 22038 E AndroidRuntime: 	at android content ContentProvider Transport applyBatch(ContentProvider java:326)_x000D_
_x000D_
03 08 17:35:19 573 21935 22038 E AndroidRuntime: 	at android content ContentProviderClient applyBatch(ContentProviderClient java:448)_x000D_
_x000D_
03 08 17:35:19 573 21935 22038 E AndroidRuntime: 	at android content ContentResolver applyBatch(ContentResolver java:1343)_x000D_
_x000D_
03 08 17:35:19 573 21935 22038 E AndroidRuntime: 	at com owncloud android datamodel FileDataStorageManager saveFolder(FileDataStorageManager java:400)_x000D_
_x000D_
03 08 17:35:19 573 21935 22038 E AndroidRuntime: 	at com owncloud android operations RefreshFolderOperation synchronizeData(RefreshFolderOperation java:480)_x000D_
_x000D_
03 08 17:35:19 573 21935 22038 E AndroidRuntime: 	at com owncloud android operations RefreshFolderOperation fetchAndSyncRemoteFolder(RefreshFolderOperation java:320)_x000D_
_x000D_
03 08 17:35:19 573 21935 22038 E AndroidRuntime: 	at com owncloud android operations RefreshFolderOperation run(RefreshFolderOperation java:200)_x000D_
_x000D_
03 08 17:35:19 573 21935 22038 E AndroidRuntime: 	at com owncloud android lib common operations RemoteOperation run(RemoteOperation java:316)_x000D_
_x000D_
03 08 17:35:19 573 21935 22038 E AndroidRuntime: 	at java lang Thread run(Thread java:833)_x000D_
_x000D_
03 08 17:35:45 843 22208 22208 I AEE AED : _x000D_
_x000D_
03 08 17:35:45 843 22208 22208 I AEE AED : _x000D_
_x000D_
03 08 17:35:45 843 22208 22208 I AEE AED :       pid 259 at 2018 03 08 17:35:45      _x000D_
_x000D_
03 08 17:35:45 843 22208 22208 I AEE AED : Cmd line:  system bin surfaceflinger_x000D_
_x000D_
03 08 17:35:45 843 22208 22208 I AEE AED : ABI:  arm64 _x000D_
_x000D_
03 08 17:35:46 306 22209 22209 I AEE AED : _x000D_
_x000D_
03 08 17:35:46 306 22209 22209 I AEE AED : _x000D_
_x000D_
03 08 17:35:46 306 22209 22209 I AEE AED :       pid 353 at 2018 03 08 17:35:46      _x000D_
_x000D_
03 08 17:35:46 306 22209 22209 I AEE AED : Cmd line:  system bin netd_x000D_
_x000D_
03 08 17:35:46 306 22209 22209 I AEE AED : ABI:  arm64 _x000D_
_x000D_
03 08 17:35:46 726 22211 22211 I AEE AED : _x000D_
_x000D_
03 08 17:35:46 726 22211 22211 I AEE AED : _x000D_
_x000D_
03 08 17:35:46 726 22211 22211 I AEE AED :       pid 357 at 2018 03 08 17:35:46      _x000D_
_x000D_
03 08 17:35:46 726 22211 22211 I AEE AED : Cmd line:  system bin mediaserver_x000D_
_x000D_
03 08 17:35:46 726 22211 22211 I AEE AED : ABI:  arm _x000D_
_x000D_
03 08 17:35:52 685 22070 22148 E AndroidRuntime: FATAL EXCEPTION: SyncAdapterThread 1_x000D_
_x000D_
03 08 17:35:52 685 22070 22148 E AndroidRuntime: Process: com nextcloud client  PID: 22070_x000D_
_x000D_
03 08 17:35:52 685 22070 22148 E AndroidRuntime: java lang IllegalStateException: Couldn t read row 1372  col 0 from CursorWindow   Make sure the Cursor is initialized correctly before accessing data from it _x000D_
_x000D_
03 08 17:35:52 685 22070 22148 E AndroidRuntime: 	at android database CursorWindow nativeGetLong(Native Method)_x000D_
_x000D_
03 08 17:35:52 685 22070 22148 E AndroidRuntime: 	at android database CursorWindow getLong(CursorWindow java:511)_x000D_
_x000D_
03 08 17:35:52 685 22070 22148 E AndroidRuntime: 	at android database AbstractWindowedCursor getLong(AbstractWindowedCursor java:90)_x000D_
_x000D_
03 08 17:35:52 685 22070 22148 E AndroidRuntime: 	at com owncloud android providers FileContentProvider delete(FileContentProvider java:159)_x000D_
_x000D_
03 08 17:35:52 685 22070 22148 E AndroidRuntime: 	at com owncloud android providers FileContentProvider delete(FileContentProvider java:104)_x000D_
_x000D_
03 08 17:35:52 685 22070 22148 E AndroidRuntime: 	at android content ContentProviderOperation apply(ContentProviderOperation java:311)_x000D_
_x000D_
03 08 17:35:52 685 22070 22148 E AndroidRuntime: 	at com owncloud android providers FileContentProvider applyBatch(FileContentProvider java:696)_x000D_
_x000D_
03 08 17:35:52 685 22070 22148 E AndroidRuntime: 	at android content ContentProvider Transport applyBatch(ContentProvider java:326)_x000D_
_x000D_
03 08 17:35:52 685 22070 22148 E AndroidRuntime: 	at android content ContentProviderClient applyBatch(ContentProviderClient java:448)_x000D_
_x000D_
03 08 17:35:52 685 22070 22148 E AndroidRuntime: 	at com owncloud android datamodel FileDataStorageManager saveFolder(FileDataStorageManager java:403)_x000D_
_x000D_
03 08 17:35:52 685 22070 22148 E AndroidRuntime: 	at com owncloud android operations RefreshFolderOperation synchronizeData(RefreshFolderOperation java:480)_x000D_
_x000D_
03 08 17:35:52 685 22070 22148 E AndroidRuntime: 	at com owncloud android operations RefreshFolderOperation fetchAndSyncRemoteFolder(RefreshFolderOperation java:320)_x000D_
_x000D_
03 08 17:35:52 685 22070 22148 E AndroidRuntime: 	at com owncloud android operations RefreshFolderOperation run(RefreshFolderOperation java:200)_x000D_
_x000D_
03 08 17:35:52 685 22070 22148 E AndroidRuntime: 	at com owncloud android lib common operations RemoteOperation execute(RemoteOperation java:145)_x000D_
_x000D_
03 08 17:35:52 685 22070 22148 E AndroidRuntime: 	at com owncloud android lib common operations RemoteOperation execute(RemoteOperation java:149)_x000D_
_x000D_
03 08 17:35:52 685 22070 22148 E AndroidRuntime: 	at com owncloud android syncadapter FileSyncAdapter synchronizeFolder(FileSyncAdapter java:274)_x000D_
_x000D_
03 08 17:35:52 685 22070 22148 E AndroidRuntime: 	at com owncloud android syncadapter FileSyncAdapter onPerformSync(FileSyncAdapter java:182)_x000D_
_x000D_
03 08 17:35:52 685 22070 22148 E AndroidRuntime: 	at android content AbstractThreadedSyncAdapter SyncThread run(AbstractThreadedSyncAdapter java:272)_x000D_
_x000D_
03 08 17:36:12 902 22253 22282 E AndroidRuntime: FATAL EXCEPTION: SyncAdapterThread 1_x000D_
_x000D_
03 08 17:36:12 902 22253 22282 E AndroidRuntime: Process: com nextcloud client  PID: 22253_x000D_
_x000D_
03 08 17:36:12 902 22253 22282 E AndroidRuntime: java lang IllegalStateException: Couldn t read row 1372  col 0 from CursorWindow   Make sure the Cursor is initialized correctly before accessing data from it _x000D_
_x000D_
03 08 17:36:12 902 22253 22282 E AndroidRuntime: 	at android database CursorWindow nativeGetLong(Native Method)_x000D_
_x000D_
03 08 17:36:12 902 22253 22282 E AndroidRuntime: 	at android database CursorWindow getLong(CursorWindow java:511)_x000D_
_x000D_
03 08 17:36:12 902 22253 22282 E AndroidRuntime: 	at android database AbstractWindowedCursor getLong(AbstractWindowedCursor java:90)_x000D_
_x000D_
03 08 17:36:12 902 22253 22282 E AndroidRuntime: 	at com owncloud android providers FileContentProvider delete(FileContentProvider java:159)_x000D_
_x000D_
03 08 17:36:12 902 22253 22282 E AndroidRuntime: 	at com owncloud android providers FileContentProvider delete(FileContentProvider java:104)_x000D_
_x000D_
03 08 17:36:12 902 22253 22282 E AndroidRuntime: 	at android content ContentProviderOperation apply(ContentProviderOperation java:311)_x000D_
_x000D_
03 08 17:36:12 902 22253 22282 E AndroidRuntime: 	at com owncloud android providers FileContentProvider applyBatch(FileContentProvider java:696)_x000D_
_x000D_
03 08 17:36:12 902 22253 22282 E AndroidRuntime: 	at android content ContentProvider Transport applyBatch(ContentProvider java:326)_x000D_
_x000D_
03 08 17:36:12 902 22253 22282 E AndroidRuntime: 	at android content ContentProviderClient applyBatch(ContentProviderClient java:448)_x000D_
_x000D_
03 08 17:36:12 902 22253 22282 E AndroidRuntime: 	at com owncloud android datamodel FileDataStorageManager saveFolder(FileDataStorageManager java:403)_x000D_
_x000D_
03 08 17:36:12 902 22253 22282 E AndroidRuntime: 	at com owncloud android oper</t>
  </si>
  <si>
    <t>jruesga-rview-68</t>
  </si>
  <si>
    <t>Crash on opening existing change</t>
  </si>
  <si>
    <t xml:space="preserve">I browse changes on Incoming tab and app crashes constantly while tapping specific change _x000D_
Backtrace is in attachments  I don t know how to get text backtrace easily  so screen shot attached  text is not copyable in this window _x000D_
_x000D_
  img 20180308 162300 (https:  user images githubusercontent com 5903498 37153258 264abda0 22ed 11e8 9f73 eabd6a3306d1 png)_x000D_
</t>
  </si>
  <si>
    <t>nitaliano-react-native-mapbox-gl-1102</t>
  </si>
  <si>
    <t>[Android] Mapbox GL crashes on orientation change</t>
  </si>
  <si>
    <t xml:space="preserve">I m using mapbox react native mapbox gl 6 0 3 in a react native page  On multiple orientation changes  the app crashes with a SIGSEGV  This happens intermittently  and not on every orientation change _x000D_
_x000D_
This is the way I m using the map in my component s render():_x000D_
   _x000D_
 Mapbox MapView_x000D_
                      styleURL  Mapbox StyleURL Street _x000D_
                      zoomLevel  this props zoomLevel _x000D_
                      centerCoordinate   Number(location longitude)  Number(location latitude)  _x000D_
                      style  styles map _x000D_
                      ref  (ref)    this map   ref _x000D_
                      zoomEnabled  this props zoomEnabled _x000D_
                      pitchEnabled  false _x000D_
                      scrollEnabled  this props scrollEnabled _x000D_
                      rotateEnabled  false _x000D_
                      logoEnabled  false _x000D_
                      onPress  ()      this onPress()   _x000D_
                      minZoomLevel  2 _x000D_
                      maxZoomLevel  15  _x000D_
                         Mapbox RasterSource key  d  id  aqiSource  url  url  tileSize  512  _x000D_
                           Mapbox RasterLayer id  aqiLayer  sourceID  aqiSource  style   rasterOpacity:0 7     _x000D_
                          Mapbox RasterSource _x000D_
                         Mapbox ShapeSource id  currentLocationMarkerSource  shape  this state featureCollection  _x000D_
                           Mapbox SymbolLayer_x000D_
                            id  currentLocationMarkerSymbols _x000D_
                            style   mapStyles icon   textField:markerText   _x000D_
                            aboveLayerID  aqiLayer    _x000D_
                          Mapbox ShapeSource _x000D_
                    Mapbox MapView _x000D_
   _x000D_
_x000D_
This is a sample seg fault I m getting:_x000D_
   _x000D_
03 08 01:07:41 867 7061 7061   A DEBUG: signal 11 (SIGSEGV)  code 1 (SEGV MAPERR)  fault addr 0x69747269_x000D_
03 08 01:07:41 884 7061 7061   A DEBUG: Abort message:  PRODUCTION: Adjust is running in Production mode  Use this setting only for the build that you want to publish  Set the environment to  sandbox  if you want to test your app  _x000D_
03 08 01:07:41 884 7061 7061   A DEBUG:     r0 69747265  r1 8b840700  r2 fff0dae8  r3 af8ac215_x000D_
03 08 01:07:41 884 7061 7061   A DEBUG:     r4 fff0dafc  r5 8b840700  r6 fff0dae8  r7 fff0da78_x000D_
03 08 01:07:41 885 7061 7061   A DEBUG:     r8 fff0dae8  r9 fff0dafc  sl 3370a6b8  fp 3373fc90_x000D_
03 08 01:07:41 885 7061 7061   A DEBUG:     ip 9334c128  sp fff0d9d8  lr af8ac235  pc af9e8e66  cpsr a00e0030_x000D_
03 08 01:07:41 890 7061 7061   A DEBUG: backtrace:_x000D_
03 08 01:07:41 890 7061 7061   A DEBUG:      00 pc 001d8e66   data app com aws android 2 lib arm libmapbox gl so_x000D_
03 08 01:07:41 890 7061 7061   A DEBUG:      01 pc 0009c231   data app com aws android 2 lib arm libmapbox gl so_x000D_
03 08 01:07:41 890 7061 7061   A DEBUG:      02 pc 00099249   data app com aws android 2 lib arm libmapbox gl so_x000D_
03 08 01:07:41 891 7061 7061   A DEBUG:      03 pc 00099047   data app com aws android 2 lib arm libmapbox gl so_x000D_
03 08 01:07:41 891 7061 7061   A DEBUG:      04 pc 000cf50d   data app com aws android 2 lib arm libmapbox gl so_x000D_
03 08 01:07:41 891 7061 7061   A DEBUG:      05 pc 000cf553   data app com aws android 2 lib arm libmapbox gl so_x000D_
03 08 01:07:41 891 7061 7061   A DEBUG:      06 pc 01ca5c71   data app com aws android 2 oat arm base odex (offset 0x1a84000)_x000D_
   </t>
  </si>
  <si>
    <t>barbeau-gpstest-121</t>
  </si>
  <si>
    <t>NPE in GnssStatusAdapter.onBindViewHolder()</t>
  </si>
  <si>
    <t xml:space="preserve">  Summary:   _x000D_
_x000D_
Reported by user in https:  groups google com d msg gpstest android wlIi9jBVncQ rAk2pmEGBwAJ  stack trace from Android Developer Console _x000D_
_x000D_
On upgrading the app from 2 2 0 to 3 0 0 via Google Play  it continously crashes on startup with the following stack trace:_x000D_
_x000D_
   _x000D_
java lang NullPointerException: _x000D_
  at com android gpstest GpsStatusFragment GnssStatusAdapter onBindViewHolder (GpsStatusFragment java:618)_x000D_
  at com android gpstest GpsStatusFragment GnssStatusAdapter onBindViewHolder (GpsStatusFragment java:447)_x000D_
  at android support v7 widget RecyclerView Adapter onBindViewHolder (RecyclerView java:6482)_x000D_
  at android support v7 widget RecyclerView Adapter bindViewHolder (RecyclerView java:6515)_x000D_
  at android support v7 widget RecyclerView Recycler tryBindViewHolderByDeadline (RecyclerView java:5458)_x000D_
  at android support v7 widget RecyclerView Recycler tryGetViewHolderForPositionByDeadline (RecyclerView java:5724)_x000D_
  at android support v7 widget RecyclerView Recycler getViewForPosition (RecyclerView java:5563)_x000D_
  at android support v7 widget RecyclerView Recycler getViewForPosition (RecyclerView java:5559)_x000D_
  at android support v7 widget LinearLayoutManager LayoutState next (LinearLayoutManager java:2229)_x000D_
  at android support v7 widget LinearLayoutManager layoutChunk (LinearLayoutManager java:1556)_x000D_
  at android support v7 widget LinearLayoutManager fill (LinearLayoutManager java:1516)_x000D_
  at android support v7 widget LinearLayoutManager onLayoutChildren (LinearLayoutManager java:608)_x000D_
  at android support v7 widget RecyclerView dispatchLayoutStep2 (RecyclerView java:3693)_x000D_
  at android support v7 widget RecyclerView onMeasure (RecyclerView java:3109)_x000D_
  at android view View measure (View java:23279)_x000D_
  at android view ViewGroup measureChildWithMargins (ViewGroup java:6928)_x000D_
  at android widget FrameLayout onMeasure (FrameLayout java:185)_x000D_
  at android support v7 widget CardView onMeasure (CardView java:218)_x000D_
  at android view View measure (View java:23279)_x000D_
  at android view ViewGroup measureChildWithMargins (ViewGroup java:6928)_x000D_
  at android widget LinearLayout measureChildBeforeLayout (LinearLayout java:1514)_x000D_
  at android widget LinearLayout measureVertical (LinearLayout java:806)_x000D_
  at android widget LinearLayout onMeasure (LinearLayout java:685)_x000D_
  at android view View measure (View java:23279)_x000D_
  at android support v4 widget NestedScrollView measureChildWithMargins (NestedScrollView java:1446)_x000D_
  at android widget FrameLayout onMeasure (FrameLayout java:185)_x000D_
  at android support v4 widget NestedScrollView onMeasure (NestedScrollView java:512)_x000D_
  at android view View measure (View java:23279)_x000D_
  at android widget RelativeLayout measureChildHorizontal (RelativeLayout java:715)_x000D_
  at android widget RelativeLayout onMeasure (RelativeLayout java:461)_x000D_
  at android view View measure (View java:23279)_x000D_
  at android view ViewGroup measureChildWithMargins (ViewGroup java:6928)_x000D_
  at android support design widget CoordinatorLayout onMeasureChild (CoordinatorLayout java:714)_x000D_
  at android support design widget CoordinatorLayout onMeasure (CoordinatorLayout java:786)_x000D_
  at android view View measure (View java:23279)_x000D_
  at android support v4 widget DrawerLayout onMeasure (DrawerLayout java:1060)_x000D_
  at android view View measure (View java:23279)_x000D_
  at android view ViewGroup measureChildWithMargins (ViewGroup java:6928)_x000D_
  at android widget LinearLayout measureChildBeforeLayout (LinearLayout java:1514)_x000D_
  at android widget LinearLayout measureVertical (LinearLayout java:806)_x000D_
  at android widget LinearLayout onMeasure (LinearLayout java:685)_x000D_
  at android view View measure (View java:23279)_x000D_
  at android view ViewGroup measureChildWithMargins (ViewGroup java:6928)_x000D_
  at android widget FrameLayout onMeasure (FrameLayout java:185)_x000D_
  at android support v7 widget ContentFrameLayout onMeasure (ContentFrameLayout java:139)_x000D_
  at android view View measure (View java:23279)_x000D_
  at android view ViewGroup measureChildWithMargins (ViewGroup java:6928)_x000D_
  at android widget LinearLayout measureChildBeforeLayout (LinearLayout java:1514)_x000D_
  at android widget LinearLayout measureVertical (LinearLayout java:806)_x000D_
  at android widget LinearLayout onMeasure (LinearLayout java:685)_x000D_
  at android view View measure (View java:23279)_x000D_
  at android view ViewGroup measureChildWithMargins (ViewGroup java:6928)_x000D_
  at android widget FrameLayout onMeasure (FrameLayout java:185)_x000D_
  at android view View measure (View java:23279)_x000D_
  at android widget LinearLayout measureVertical (LinearLayout java:958)_x000D_
  at android widget LinearLayout onMeasure (LinearLayout java:685)_x000D_
  at android view View measure (View java:23279)_x000D_
  at android view ViewGroup measureChildWithMargins (ViewGroup java:6928)_x000D_
  at android widget FrameLayout onMeasure (FrameLayout java:185)_x000D_
  at com android internal policy DecorView onMeasure (DecorView java:898)_x000D_
  at android view View measure (View java:23279)_x000D_
  at android view ViewRootImpl performMeasure (ViewRootImpl java:2832)_x000D_
  at android view ViewRootImpl measureHierarchy (ViewRootImpl java:1869)_x000D_
  at android view ViewRootImpl performTraversals (ViewRootImpl java:2124)_x000D_
  at android view ViewRootImpl doTraversal (ViewRootImpl java:1738)_x000D_
  at android view ViewRootImpl TraversalRunnable run (ViewRootImpl java:7745)_x000D_
  at android view Choreographer CallbackRecord run (Choreographer java:911)_x000D_
  at android view Choreographer doCallbacks (Choreographer java:723)_x000D_
  at android view Choreographer doFrame (Choreographer java:658)_x000D_
  at android view Choreographer FrameDisplayEventReceiver run (Choreographer java:897)_x000D_
  at android os Handler handleCallback (Handler java:789)_x000D_
  at android os Handler dispatchMessage (Handler java:98)_x000D_
  at android os Looper loop (Looper java:164)_x000D_
  at android app ActivityThread main (ActivityThread java:6938)_x000D_
  at java lang reflect Method invoke (Native Method)_x000D_
  at com android internal os Zygote MethodAndArgsCaller run (Zygote java:327)_x000D_
  at com android internal os ZygoteInit main (ZygoteInit java:1374)_x000D_
   _x000D_
_x000D_
User reported that clearing the application data and cache stopped it from crashing (https:  groups google com d msg gpstest android wlIi9jBVncQ 9kXMgA4jBgAJ) _x000D_
_x000D_
  Steps to reproduce:   _x000D_
_x000D_
  Unknown (user reported it happening continuously on upgrading the app from 2 2 0 to 3 0 0 via Google Play)  _x000D_
_x000D_
1  In Settings  uncheck  Use GNSS APIs _x000D_
_x000D_
  Expected behavior:   _x000D_
_x000D_
Not crash_x000D_
_x000D_
  Observed behavior:   _x000D_
_x000D_
Crash due to NPE_x000D_
_x000D_
  Device and Android version:   _x000D_
_x000D_
Samsung Galaxy S8  (dream2lte)  4096MB RAM  Android 8 0 (International variant of S8 )</t>
  </si>
  <si>
    <t>mauron85-cordova-plugin-background-geolocation-380</t>
  </si>
  <si>
    <t>Build fails</t>
  </si>
  <si>
    <t xml:space="preserve">     PLEASE DON T DELETE THIS TEMPLATE  OR YOUR ISSUE WILL BE CLOSED IGNORED        _x000D_
_x000D_
      Provide a general summary of the issue in the Title above    _x000D_
_x000D_
   Your Environment_x000D_
      Include as many relevant details about the environment you experienced the bug in    _x000D_
  Plugin version: 2 3 3 _x000D_
  Platform: iOS or Android Android_x000D_
  OS version: _x000D_
  Device manufacturer and model:_x000D_
  Cordova version ( cordova  v ): 8 0 0_x000D_
  Cordova platform version ( cordova platform ls ):_x000D_
  Plugin configuration options: _x000D_
  Link to your project:_x000D_
_x000D_
   Context_x000D_
      Provide a more detailed introduction to the issue itself  and why you consider it to be a bug    _x000D_
Ionic config is:_x000D_
 ionic info_x000D_
_x000D_
cli packages: (C: Users shatf AppData Roaming npm node modules)_x000D_
_x000D_
     ionic cli utils  : 1 19 1_x000D_
    ionic (Ionic CLI) : 3 19 1_x000D_
_x000D_
global packages:_x000D_
_x000D_
    cordova (Cordova CLI) : 8 0 0_x000D_
_x000D_
local packages:_x000D_
_x000D_
     ionic app scripts : 3 1 8_x000D_
    Cordova Platforms  : android 6 4 0_x000D_
    Ionic Framework    : ionic angular 3 9 2_x000D_
_x000D_
System:_x000D_
_x000D_
    Android SDK Tools : 26 1 1_x000D_
    Node              : v8 9 4_x000D_
    npm               : 5 6 0_x000D_
    OS                : Windows 10_x000D_
_x000D_
Plugin list is:_x000D_
  cordova plugin ls_x000D_
cordova plugin advanced http 1 11 0  Advanced HTTP plugin _x000D_
cordova plugin device 2 0 1  Device _x000D_
cordova plugin device orientation 1 0 7  Device Orientation _x000D_
cordova plugin file 6 0 1  File _x000D_
cordova plugin geolocation 4 0 1  Geolocation _x000D_
cordova plugin ionic keyboard 2 0 5  cordova plugin ionic keyboard _x000D_
cordova plugin ionic webview 1 1 16  cordova plugin ionic webview _x000D_
cordova plugin mauron85 background geolocation 2 3 3  CDVBackgroundGeolocation _x000D_
cordova plugin splashscreen 5 0 2  Splashscreen _x000D_
cordova plugin whitelist 1 3 3  Whitelist _x000D_
cordova sqlite ext 2 1 1  Cordova sqlite storage plugin with extra features _x000D_
uk co workingedge cordova plugin sqliteporter 1 0 2  sqlite porter _x000D_
_x000D_
_x000D_
   Expected Behavior_x000D_
      Tell us what should happen    _x000D_
_x000D_
   Actual Behavior_x000D_
      Tell us what happens instead    _x000D_
Build always fails (aapt)   Seems like a couple of Android resources are now missing:  esp:_x000D_
_x000D_
C: Users shatf  gradle caches transforms 1 files 1 1 support compat 28 0 0 alpha1 aar 8fd2e5c5360dfd02afef69d7a5d3d7ce res values values xml:20:5 70: AAPT: error: resource android:attr fontVariationSettings not found _x000D_
_x000D_
_x000D_
C: Users shatf  gradle caches transforms 1 files 1 1 support compat 28 0 0 alpha1 aar 8fd2e5c5360dfd02afef69d7a5d3d7ce res values values xml:20:5 70: AAPT: error: resource android:attr ttcIndex not found _x000D_
_x000D_
C: Users shatf Projects t2 platforms android build intermediates incremental mergeDebugResources merged dir values values xml:94: error: resource android:attr fontVariationSettings not found _x000D_
C: Users shatf Projects t2 platforms android build intermediates incremental mergeDebugResources merged dir values values xml:94: error: resource android:attr ttcIndex not found _x000D_
error: failed linking references _x000D_
_x000D_
   Possible Fix_x000D_
      Not obligatory  but suggest a fix or reason for the bug    _x000D_
_x000D_
   Steps to Reproduce_x000D_
      Provide a link to a live example  or an unambiguous set of steps to    _x000D_
      reproduce this bug include code to reproduce  if relevant    _x000D_
1 _x000D_
2 _x000D_
3 _x000D_
4 _x000D_
_x000D_
   Context_x000D_
      How has this bug affected you  What were you trying to accomplish     _x000D_
_x000D_
   Debug logs_x000D_
     Relevant parts from printAndroidLogs or printIosLogs _x000D_
More info in README md section Debugging _x000D_
If you re reporting app crash also provide output of  adb logcat     _x000D_
</t>
  </si>
  <si>
    <t>nextcloud-android-2307</t>
  </si>
  <si>
    <t>App crashes when scanning qr code with provisioning link</t>
  </si>
  <si>
    <t xml:space="preserve">    Actual behaviour_x000D_
I created a qr code containing a provisioning link like this:_x000D_
nc:  login user:test server:docs myserver de_x000D_
When the qr code is scanned android ask if I want to open this url with nextcloud  After saying yes to that question the nextcloud app crashes _x000D_
_x000D_
If I have the provisioning link in a HTML Link  a href           a   The app does not crash _x000D_
_x000D_
    Expected behaviour_x000D_
App should not crash but should log in_x000D_
 _x000D_
    Steps to reproduce_x000D_
1  Create provisioning link_x000D_
2  Create qr code_x000D_
3  Scan qr code_x000D_
_x000D_
_x000D_
    Environment data_x000D_
Android version:_x000D_
7 0_x000D_
_x000D_
Device model: _x000D_
Samsung Galaxy Tab S3_x000D_
Stock or customized system:_x000D_
stock_x000D_
Nextcloud app version:_x000D_
3 0 3_x000D_
Nextcloud server version:_x000D_
13 0 0_x000D_
</t>
  </si>
  <si>
    <t>nextcloud-android-2306</t>
  </si>
  <si>
    <t>_x000D_
    Actual behaviour_x000D_
After logging in (pressing the button after putting credentials) the application says  redirecting  then crashes _x000D_
_x000D_
    Expected behaviour_x000D_
It should show me my files _x000D_
_x000D_
    Steps to reproduce_x000D_
This is probably a server bug or incompatibility  Still  the app shouldn t crash  _x000D_
_x000D_
    Environment data_x000D_
Android version: 7 1 2_x000D_
_x000D_
Device model: ONE E1003_x000D_
_x000D_
Stock or customized system: Using LineageOS version 14 1 20180303 NIGHTLY onyx_x000D_
_x000D_
Nextcloud app version: 3 0 2_x000D_
_x000D_
Nextcloud server version: v0 26c_x000D_
_x000D_
    Logs_x000D_
     Web server error log_x000D_
_x000D_
If needed I can provide these _x000D_
_x000D_
     Nextcloud log (data nextcloud log)_x000D_
https:  bpaste net show 97483f61d70d</t>
  </si>
  <si>
    <t>ucsb-cs56-projects-cs56-android-smoke-signals-56</t>
  </si>
  <si>
    <t>Main Thread Error</t>
  </si>
  <si>
    <t>Error: Caused by: java lang IllegalStateException: Cannot access database on the main thread since it may potentially lock the UI for a long period of time _x000D_
After research a Query has to be performed on a worker thread  otherwise the application crashes  In our program  there is an assertNotMainThread to prevent the program from crashing  Queries are synchronous  meaning that they will be run on the same thread your triggering it from  If that s the main thread we will get an error  _x000D_
 Learn basics of Android_x000D_
 Learn basics of SMS Broadcast Reciever_x000D_
 Threads and how to take inputs into Threads from inside a function</t>
  </si>
  <si>
    <t>amplitude-Amplitude-Android-159</t>
  </si>
  <si>
    <t>SQLITE_CANTOPEN_EMFILE</t>
  </si>
  <si>
    <t>Hi guys  I ve got an app crash after multiple app switches from recents screen _x000D_
I initialize Amplitude once in onCreate method of Application class _x000D_
Here is the stacktrace:_x000D_
_x000D_
  E SQLiteLog: (28) failed to open   data data hk moneon debug databases com amplitude api journal  with flag (131072) and mode t (1b0) due to error (24)_x000D_
E SQLiteLog: (14) cannot open file at line 32557 of  b3bb660af9 _x000D_
E SQLiteLog: (14) os unix c:32557: (24) open( data data hk moneon debug databases com amplitude api journal)    _x000D_
E SQLiteLog: (28) failed to open   data data hk moneon debug databases com amplitude api journal  with flag (131074) and mode t (1b0) due to error (24)_x000D_
E SQLiteLog: (28) failed to open   data data hk moneon debug databases com amplitude api journal  with flag (131072) and mode t (1b0) due to error (24)_x000D_
E SQLiteLog: (14) cannot open file at line 32557 of  b3bb660af9 _x000D_
E SQLiteLog: (14) os unix c:32557: (24) open( data data hk moneon debug databases com amplitude api journal)   _x000D_
E SQLiteLog: (2062) statement aborts at 1:  PRAGMA user version   unable to open database file _x000D_
E REALM: could not create WeakRealmNotifier ALooper message pipe: Too many open files  _x000D_
E REALM: uncaught exception in notifier thread: St12system error: Bad file number_x000D_
E com amplitude api DatabaseHelper: insertOrReplaceKeyValue in long store failed             _x000D_
android database sqlite SQLiteCantOpenDatabaseException: unable to open database file (code 2062)_x000D_
_x000D_
 Error Code : 2062 (SQLITE CANTOPEN EMFILE)  Caused By : Application has opened two many files  Maximum of available file descriptors in one process is 1024 in default  (unable to open database file (code 2062))                                                                                                                                            _x000D_
   at android database sqlite SQLiteConnection nativeExecuteForLong(Native Method)                                      _x000D_
   at android database sqlite SQLiteConnection executeForLong(SQLiteConnection java:768)                                      _x000D_
   at android database sqlite SQLiteSession executeForLong(SQLiteSession java:652)                                      _x000D_
   at android database sqlite SQLiteStatement simpleQueryForLong(SQLiteStatement java:107)                                      _x000D_
   at android database DatabaseUtils longForQuery(DatabaseUtils java:825)                                      _x000D_
   at android database DatabaseUtils longForQuery(DatabaseUtils java:813)                                      _x000D_
   at android database sqlite SQLiteDatabase getVersion(SQLiteDatabase java:1002)                                      _x000D_
   at android database sqlite SQLiteOpenHelper getDatabaseLocked(SQLiteOpenHelper java:241)                                      _x000D_
   at android database sqlite SQLiteOpenHelper getWritableDatabase(SQLiteOpenHelper java:163)                                      _x000D_
   at com amplitude api DatabaseHelper insertOrReplaceKeyValueToTable(DatabaseHelper java:147)                                      _x000D_
   at com amplitude api DatabaseHelper insertOrReplaceKeyLongValue(DatabaseHelper java:141)                                      _x000D_
   at com amplitude api AmplitudeClient getNextSequenceNumber(AmplitudeClient java:1000)                                      _x000D_
   at com amplitude api AmplitudeClient logEvent(AmplitudeClient java:902)                                      _x000D_
   at com amplitude api AmplitudeClient 5 run(AmplitudeClient java:841)                                      _x000D_
   at android os Handler handleCallback(Handler java:739)                                      _x000D_
   at android os Handler dispatchMessage(Handler java:95)                                      _x000D_
   at android os Looper loop(Looper java:145)                                      _x000D_
   at android os HandlerThread run(HandlerThread java:61)</t>
  </si>
  <si>
    <t>opensrp-opensrp-client-path-277</t>
  </si>
  <si>
    <t>App crash on multiple button clicks</t>
  </si>
  <si>
    <t xml:space="preserve">This bug can be reproduced by applying multiple  quick and successive clicks to the record weight button  the growth chart button or the service card labels   all in the Child Immunization activity _x000D_
_x000D_
At the moment  such clicks cause the app to crash _x000D_
_x000D_
This fix prevents multiple instances of the same dialog fragment type from being opened if one already exists _x000D_
_x000D_
See more at  266 _x000D_
</t>
  </si>
  <si>
    <t>nikita36078-J2ME-Loader-197</t>
  </si>
  <si>
    <t>Asphalt 3 Street Rules 3D - Unable to open</t>
  </si>
  <si>
    <t xml:space="preserve">  Emulator version:  _x000D_
1 2 7 8_x000D_
_x000D_
  Game version:  _x000D_
All Version_x000D_
_x000D_
  Game resolution:  _x000D_
  (All Reso)  _x000D_
_x000D_
  Device:  _x000D_
  (Asus Z5)  _x000D_
_x000D_
  Android version:  _x000D_
5 0_x000D_
_x000D_
  Description of the issue:  _x000D_
  (Unable to open the game  J2ME Loader will crash)  _x000D_
_x000D_
</t>
  </si>
  <si>
    <t>YoungMaker-iORC-55</t>
  </si>
  <si>
    <t>Emulator Crashing on character deletion</t>
  </si>
  <si>
    <t xml:space="preserve">When a character is deleted the emulator crashes but when tested on phone works fine </t>
  </si>
  <si>
    <t>nikita36078-J2ME-Loader-194</t>
  </si>
  <si>
    <t>SimCity Societies crash</t>
  </si>
  <si>
    <t xml:space="preserve">  Emulator version:  _x000D_
1 2 7 8 play_x000D_
_x000D_
  Game version:  _x000D_
1 11 72_x000D_
_x000D_
  Game resolution:  _x000D_
  (For example  240x320 or 640x360)  _x000D_
240x400_x000D_
_x000D_
  Device:  _x000D_
  (For example  Samsung Galaxy S7)  _x000D_
Samsung SM A520F_x000D_
_x000D_
  Android version:  _x000D_
7  samsung a5y17ltexx a5y17lte:7 0 NRD90M A520FXXU2BQJ6:user test keys _x000D_
_x000D_
  Description of the issue:  _x000D_
  (What s the problem    Screenshots showing the issue if applicable)  _x000D_
SimCity Societies crashes at startup on every (attempted) version resolution  with the error below  Error slightly varies on different versions  and resolutions _x000D_
  screenshot 20180304 194712 (https:  user images githubusercontent com 23579893 36949933 8c54f6c4 1fe6 11e8 92ad 63753210b96f png)_x000D_
</t>
  </si>
  <si>
    <t>projectwife-mtesitoo-android-178</t>
  </si>
  <si>
    <t>App crashes when switching to a new user .</t>
  </si>
  <si>
    <t>App crashes when switching to a new user _x000D_
_x000D_
Steps:_x000D_
Login as an existing user _x000D_
Logout _x000D_
Create a new user _x000D_
_x000D_
App crashes with a null exception on seller getmThumbnail()_x000D_
_x000D_
Logcat for the crash:_x000D_
https:  gist github com BassMunkee bd20aba83643fd35a0c0a4b89cdeb16a</t>
  </si>
  <si>
    <t>nikita36078-J2ME-Loader-185</t>
  </si>
  <si>
    <t>Zuma J2me crashes</t>
  </si>
  <si>
    <t xml:space="preserve">  Emulator version:  _x000D_
1 2 78_x000D_
_x000D_
  Game version:  _x000D_
Zuma 1 0 2_x000D_
_x000D_
_x000D_
  Game resolution:  _x000D_
   240x320_x000D_
_x000D_
  Device:  _x000D_
  RCA 10 Viking Pro tablet_x000D_
_x000D_
  Android version:  _x000D_
5 0_x000D_
  Description of the issue:  _x000D_
  Whenever I try to play zuma  the game just gets stuck with the screen flashing at the Popcap Logo_x000D_
Pressing the center button sometimes shows the next screen (the Zuma one) for a frame or two  but it still flashes_x000D_
Turning on immediate processing mode just crashes the game after the masyaka loading screen_x000D_
 Zuma Video zip (https:  github com nikita36078 J2ME Loader files 1777074 Zuma Video zip)_x000D_
_x000D_
_x000D_
_x000D_
_x000D_
</t>
  </si>
  <si>
    <t>couchbaselabs-mobile-travel-sample-31</t>
  </si>
  <si>
    <t>Crash when creating flight reservation very first time from Android app</t>
  </si>
  <si>
    <t xml:space="preserve">  Set up server side components_x000D_
  Create demo user via web app_x000D_
  Launch Android app and create flight reservation_x000D_
  App crashes_x000D_
https:  www screencast com t yoM0L9WSE</t>
  </si>
  <si>
    <t>deltachat-deltachat-android-259</t>
  </si>
  <si>
    <t>Select group profile image "from camera" does not work</t>
  </si>
  <si>
    <t xml:space="preserve">Select  group  profile image  by camery  does not work  no crash or sth  like that  simply nothing happens when tapping on the button  Tested on Nexus 4 and Moto G  user schneider17  however  reported that it works for him  _x000D_
_x000D_
Selecting groups profile images  by gallery  or deleting them works for me _x000D_
_x000D_
NB: Selecting profile images for  users  is not available this way  however  Delta Chat uses the profile images from the system address book  And we re thinking about letting users define their own profile image  see  130 </t>
  </si>
  <si>
    <t>k9mail-k-9-3230</t>
  </si>
  <si>
    <t>Systematic crash on composing on teclast T10</t>
  </si>
  <si>
    <t xml:space="preserve">I ve been a happy user of K9mail for years  and installed it on all my android devices  and even family devices  Unfortunately K9mail on my brand new teclast T10 tablet crash systematically and immediately without reporting any error when trying to hit compose or  reply button (https:  forum xda developers com general general teclast master t10 thread t3722138 for hardware description) _x000D_
_x000D_
I can read mail from imap account without problem and configured K9MAIL using the save restore configuration feature from another working tablet (and even manually when I discovered it failed to be sure it was not a config import problem) _x000D_
_x000D_
What can I do to help diagnose the problem  I ve been forced to switch to bluemail for sending email in the meantime   _x000D_
_x000D_
I enabled the debug and trace  but I can see anything printed  I can hook an usb cable and know how to use adb if needed _x000D_
_x000D_
    Environment_x000D_
K 9 Mail version: 5 403  even tried the new 5 501 beta yesterday _x000D_
_x000D_
Android version: 7 0_x000D_
_x000D_
Account type : IMAP _x000D_
</t>
  </si>
  <si>
    <t>nikita36078-J2ME-Loader-179</t>
  </si>
  <si>
    <t xml:space="preserve">5ud0ku: Duplicate and reverse menu items </t>
  </si>
  <si>
    <t xml:space="preserve">  Emulator version:  _x000D_
1 2 7 8 play_x000D_
_x000D_
  Game version:  _x000D_
5ud0ku 1 8 9  source code dug up and reuploaded  here (https:  github com easyaspi314 5ud0ku tree 0fc4641ffb69a6cff7e0d8323cd4d0aa34f77b28) for everyone s convenience_x000D_
_x000D_
  Game resolution:  _x000D_
  (For example  240x320 or 640x360)  _x000D_
Doesn t matter  _x000D_
  Device:  _x000D_
LG G3_x000D_
_x000D_
  Android version:  _x000D_
Android 7 1 2 (Resurrection Remix 5 8 5)  I have Xposed  but literally nothing is installed to it  and I got this crash without it enabled _x000D_
_x000D_
  Description of issue:  _x000D_
_x000D_
Menu items in the main game screen keep duplicating and appear to be added backwards _x000D_
_x000D_
The number of menu options accumulates the more times you go back to the game board  as it appears that items aren t being properly removed when new ones are added _x000D_
_x000D_
  screenshot 20180302 010323 (https:  user images githubusercontent com 6258309 36885550 970182dc 1db5 11e8 8855 3e10d19ca901 png)_x000D_
</t>
  </si>
  <si>
    <t>nikita36078-J2ME-Loader-178</t>
  </si>
  <si>
    <t>5ud0ku crashes in some menus</t>
  </si>
  <si>
    <t xml:space="preserve">  Emulator version:  _x000D_
1 2 7 8 play_x000D_
_x000D_
  Game version:  _x000D_
5ud0ku 1 8 9  source code dug up and reuploaded  here (https:  github com easyaspi314 5ud0ku tree 0fc4641ffb69a6cff7e0d8323cd4d0aa34f77b28) for everyone s convenience_x000D_
_x000D_
  Game resolution:  _x000D_
  (For example  240x320 or 640x360)  _x000D_
Doesn t matter  _x000D_
  Device:  _x000D_
LG G3_x000D_
_x000D_
  Android version:  _x000D_
Android 7 1 2 (Resurrection Remix 5 8 5)  I have Xposed  but literally nothing is installed to it  and I got this crash without it enabled _x000D_
_x000D_
  Description of the issue:  _x000D_
_x000D_
Clicking on either the Game or Specials menu items in the Preferences screen reliably causes a crash _x000D_
_x000D_
 details  summary Stack trace (click to expand)  summary _x000D_
_x000D_
_x000D_
                             _x000D_
java lang NullPointerException: Attempt to invoke virtual method  android support v7 app e    cut off _x000D_
javax microedition lcdui Displayable getParentActivity()  on a null object reference                                                  _x000D_
      at javax microedition lcdui Item getItemView(Item java:185)                           _x000D_
      at javax microedition lcdui Form getScreenView(Form java:152)                         _x000D_
      at javax microedition lcdui Screen getDisplayableView(Screen java:95)                 _x000D_
      at javax microedition shell MicroActivity 1 process(MicroActivity java:201)           _x000D_
      at javax microedition lcdui event Event run(Event java:42)                            _x000D_
      at android os Handler handleCallback(Handler java:751)                                _x000D_
      at android os Handler dispatchMessage(Handler java:95)                                _x000D_
      at android os Looper loop(Looper java:154)                                            _x000D_
      at android app ActivityThread main(ActivityThread java:6236)                          _x000D_
      at java lang reflect Method invoke(Native Method)                                     _x000D_
      at com android internal os ZygoteInit MethodAndArgsCaller run(ZygoteInit java:891)_x000D_
      at com android internal os ZygoteInit main(ZygoteInit java:781)_x000D_
      at de robv android xposed XposedBridge main(XposedBridge java:107)_x000D_
   _x000D_
_x000D_
  details </t>
  </si>
  <si>
    <t>geopaparazzi-geopaparazzi-443</t>
  </si>
  <si>
    <t>Feature attribute display crashes with column of type BIGINT</t>
  </si>
  <si>
    <t xml:space="preserve">Geopaparazzi will crash displaying Spatialite database features when the table has an unsupported column type lie  BIGINT  </t>
  </si>
  <si>
    <t>react-native-camera-react-native-camera-1306</t>
  </si>
  <si>
    <t>RNCamera  starting Crash</t>
  </si>
  <si>
    <t xml:space="preserve">_x000D_
the problem is that when I take more video mode the application never opens and returns an error_x000D_
_x000D_
import  RNCamera  from  react native camera  I can not use it like this does not debug the application_x000D_
import RNCamera from  react native camera    this way I get the following errors and I think I get an error accessing the library_x000D_
_x000D_
react native camera versions 1 0 1_x000D_
React native versions 0 53 3_x000D_
_x000D_
App started  crashed _x000D_
_x000D_
this camera capture working _x000D_
this camera capture(mode:video)  crash_x000D_
takeCapture not working_x000D_
recordAsync not working crash_x000D_
_x000D_
_x000D_
_x000D_
_x000D_
</t>
  </si>
  <si>
    <t>open-keychain-open-keychain-2278</t>
  </si>
  <si>
    <t>Can't save a file after decryption.</t>
  </si>
  <si>
    <t xml:space="preserve">As of version 4 9 1 a file cannot be saved after the decryption process finishes   The app crashes   Wiping and reinstalling doesn t fix the problem   However the issue isn t present after downgrading to version 4 8 1 on F droid   </t>
  </si>
  <si>
    <t>evrencoskun-TableView-64</t>
  </si>
  <si>
    <t>Problem with the CellViewHolder</t>
  </si>
  <si>
    <t xml:space="preserve">Hello _x000D_
_x000D_
I m developing a software where I show a table from a DB  The issue is that i have 16 colums to show  but somehow it crashes when it tries to render the last (15) column  the log says that the length is 15 and size too  but doing the debug i find out that my array it is 16  plus it happens at the CellViewHolderModel and TableAdapter  When i comment the last ColumHeaderModel  works fine  I have no clue what is going on actually    i was trying to debug to understand  but no conclusion yet  I wanted to know if there s a limit of colums or is it a bug _x000D_
I ll try to figure it out _x000D_
_x000D_
Also  i tried to add a new column on the TableViewSampleApp2 that works with fragments and Web Service  Same  it crashes when reaching column 16 _x000D_
_x000D_
 02 28 17:44:22 748 19899 19899 com gigex fitosoft analizador E AndroidRuntime: FATAL EXCEPTION: main Process: com gigex fitosoft analizador  PID: 19899 java lang ArrayIndexOutOfBoundsException: length 15  index 15 at com gigex fitosoft analizador TableView holder CellViewHolder setCellModel(CellViewHolder java:30) at com gigex fitosoft analizador TableView MyTableAdapter onBindCellViewHolder(MyTableAdapter java:53) at com evrencoskun tableview adapter recyclerview CellRowRecyclerViewAdapter onBindViewHolder(CellRowRecyclerViewAdapter java:48) at android support v7 widget RecyclerView Adapter onBindViewHolder(RecyclerView java:6508) at android support v7 widget RecyclerView Adapter bindViewHolder(RecyclerView java:6541) at android support v7 widget RecyclerView Recycler tryBindViewHolderByDeadline(RecyclerView java:5484) at android support v7 widget RecyclerView Recycler tryGetViewHolderForPositionByDeadline(RecyclerView java:5750) at android support v7 widget GapWorker prefetchPositionWithDeadline(GapWorker java:285) at android support v7 widget GapWorker flushTaskWithDeadline(GapWorker java:342) at android support v7 widget GapWorker flushTasksWithDeadline(GapWorker java:358) at android support v7 widget GapWorker prefetch(GapWorker java:365) at android support v7 widget GapWorker run(GapWorker java:396) at android os Handler handleCallback(Handler java:746) at android os Handler dispatchMessage(Handler java:95) at android os Looper loop(Looper java:148) at android app ActivityThread main(ActivityThread java:5443) at java lang reflect Method invoke(Native Method) at com android internal os ZygoteInit MethodAndArgsCaller run(ZygoteInit java:728) at com android internal os ZygoteInit main(ZygoteInit java:618) </t>
  </si>
  <si>
    <t>twilio-video-quickstart-android-257</t>
  </si>
  <si>
    <t>Error while using VideoTextureView in RecyclerView</t>
  </si>
  <si>
    <t xml:space="preserve">    Description_x000D_
_x000D_
I get a crash while scrolling videos in Recycler view of TextureViews _x000D_
_x000D_
    Steps to Reproduce_x000D_
_x000D_
1  Scroll the list of videos_x000D_
_x000D_
     Expected Behavior_x000D_
_x000D_
App should not crash_x000D_
_x000D_
     Actual Behavior_x000D_
_x000D_
App crashes_x000D_
_x000D_
     Reproduces how Often_x000D_
_x000D_
100 _x000D_
_x000D_
     Logs_x000D_
_x000D_
   _x000D_
Fatal Exception: java lang IllegalStateException: video view: Already initialized_x000D_
       at org webrtc EglRenderer init(EglRenderer java:172)_x000D_
       at to go ui utils views VideoTextureView init(VideoTextureView java:170)_x000D_
       at to go ui utils views VideoTextureView init(VideoTextureView java:156)_x000D_
       at to go ui utils views VideoTextureView onAttachedToWindow(VideoTextureView java:88)_x000D_
       at android view View dispatchAttachedToWindow(View java:17483)_x000D_
       at android view ViewGroup dispatchAttachedToWindow(ViewGroup java:3330)_x000D_
       at android view ViewGroup dispatchAttachedToWindow(ViewGroup java:3330)_x000D_
       at android view ViewGroup dispatchAttachedToWindow(ViewGroup java:3330)_x000D_
       at android view ViewGroup addViewInner(ViewGroup java:4959)_x000D_
       at android view ViewGroup addView(ViewGroup java:4750)_x000D_
       at android view ViewGroup addView(ViewGroup java:4690)_x000D_
       at android support v7 widget RecyclerView 5 addView(RecyclerView java:746)_x000D_
       at android support v7 widget ChildHelper addView(ChildHelper java:107)_x000D_
       at android support v7 widget RecyclerView LayoutManager addViewInt(RecyclerView java:8003)_x000D_
       at android support v7 widget RecyclerView LayoutManager addView(RecyclerView java:7961)_x000D_
       at android support v7 widget LinearLayoutManager layoutChunk(LinearLayoutManager java:1572)_x000D_
       at android support v7 widget LinearLayoutManager fill(LinearLayoutManager java:1516)_x000D_
       at android support v7 widget LinearLayoutManager onLayoutChildren(LinearLayoutManager java:593)_x000D_
       at android support v7 widget RecyclerView dispatchLayoutStep2(RecyclerView java:3693)_x000D_
       at android support v7 widget RecyclerView dispatchLayout(RecyclerView java:3410)_x000D_
       at android support v7 widget RecyclerView onLayout(RecyclerView java:3962)_x000D_
       at android view View layout(View java:19692)_x000D_
       at android view ViewGroup layout(ViewGroup java:6057)_x000D_
       at android widget LinearLayout setChildFrame(LinearLayout java:1791)_x000D_
       at android widget LinearLayout layoutVertical(LinearLayout java:1635)_x000D_
       at android widget LinearLayout onLayout(LinearLayout java:1544)_x000D_
       at android view View layout(View java:19692)_x000D_
       at android view ViewGroup layout(ViewGroup java:6057)_x000D_
       at android widget FrameLayout layoutChildren(FrameLayout java:323)_x000D_
       at android widget FrameLayout onLayout(FrameLayout java:261)_x000D_
       at android view View layout(View java:19692)_x000D_
       at android view ViewGroup layout(ViewGroup java:6057)_x000D_
       at android widget FrameLayout layoutChildren(FrameLayout java:323)_x000D_
       at android widget FrameLayout onLayout(FrameLayout java:261)_x000D_
       at android view View layout(View java:19692)_x000D_
       at android view ViewGroup layout(ViewGroup java:6057)_x000D_
       at android widget LinearLayout setChildFrame(LinearLayout java:1791)_x000D_
       at android widget LinearLayout layoutVertical(LinearLayout java:1635)_x000D_
       at android widget LinearLayout onLayout(LinearLayout java:1544)_x000D_
       at android view View layout(View java:19692)_x000D_
       at android view ViewGroup layout(ViewGroup java:6057)_x000D_
       at android widget FrameLayout layoutChildren(FrameLayout java:323)_x000D_
       at android widget FrameLayout onLayout(FrameLayout java:261)_x000D_
       at android view View layout(View java:19692)_x000D_
       at android view ViewGroup layout(ViewGroup java:6057)_x000D_
       at android widget LinearLayout setChildFrame(LinearLayout java:1791)_x000D_
       at android widget LinearLayout layoutVertical(LinearLayout java:1635)_x000D_
       at android widget LinearLayout onLayout(LinearLayout java:1544)_x000D_
       at android view View layout(View java:19692)_x000D_
       at android view ViewGroup layout(ViewGroup java:6057)_x000D_
       at android widget FrameLayout layoutChildren(FrameLayout java:323)_x000D_
       at android widget FrameLayout onLayout(FrameLayout java:261)_x000D_
       at com android internal policy DecorView onLayout(DecorView java:759)_x000D_
       at android view View layout(View java:19692)_x000D_
       at android view ViewGroup layout(ViewGroup java:6057)_x000D_
       at android view ViewRootImpl performLayout(ViewRootImpl java:2515)_x000D_
       at android view ViewRootImpl performTraversals(ViewRootImpl java:2224)_x000D_
       at android view ViewRootImpl doTraversal(ViewRootImpl java:1410)_x000D_
       at android view ViewRootImpl TraversalRunnable run(ViewRootImpl java:6834)_x000D_
       at android view Choreographer CallbackRecord run(Choreographer java:966)_x000D_
       at android view Choreographer doCallbacks(Choreographer java:778)_x000D_
       at android view Choreographer doFrame(Choreographer java:713)_x000D_
       at android view Choreographer FrameDisplayEventReceiver run(Choreographer java:952)_x000D_
       at android os Handler handleCallback(Handler java:789)_x000D_
       at android os Handler dispatchMessage(Handler java:98)_x000D_
       at android os Looper loop(Looper java:164)_x000D_
       at android app ActivityThread main(ActivityThread java:6809)_x000D_
       at java lang reflect Method invoke(Method java)_x000D_
       at com android internal os Zygote MethodAndArgsCaller run(Zygote java:240)_x000D_
       at com android internal os ZygoteInit main(ZygoteInit java:767)_x000D_
_x000D_
   _x000D_
_x000D_
    Versions_x000D_
_x000D_
     Video Android SDK_x000D_
_x000D_
2 0 0 preview 5_x000D_
_x000D_
     Android API_x000D_
_x000D_
26_x000D_
_x000D_
     Android Device_x000D_
_x000D_
OnePlus  Xiaomi_x000D_
</t>
  </si>
  <si>
    <t>chandevel-Clover-436</t>
  </si>
  <si>
    <t>Drag a thread down to setting panel would crash Clover</t>
  </si>
  <si>
    <t xml:space="preserve">Step ro reproduce: 1  down a thread_x000D_
2  hold it over the setting pabel_x000D_
3 crash_x000D_
_x000D_
Android version: 8 0 0_x000D_
Phone model: XZ1C_x000D_
Clover version: 2 3 1_x000D_
</t>
  </si>
  <si>
    <t>deltachat-deltachat-android-255</t>
  </si>
  <si>
    <t>Crash when attaching media while using special developer options</t>
  </si>
  <si>
    <t xml:space="preserve">Using v0 14 0  clicking on the paperclip icon from within a chat results in a Telegram like attachment page  but this is only briefly shown as it crashes instantly afterward _x000D_
_x000D_
I m using a Sony G8441 (Xperia XZ1 Compact) on Android 8 0 0 on kernel version 4 4 78 perf and build number 47 1 A 12 75 _x000D_
_x000D_
_x000D_
  Steps to reproduce the problem  _x000D_
_x000D_
1  Open a chat_x000D_
2  Click the paperclip icon to attach media_x000D_
_x000D_
Logcat yields nothing after  02 28 17:43:40 338 I DeltaChat( 6229): T3: IDLE start    _x000D_
</t>
  </si>
  <si>
    <t>grpc-grpc-java-4154</t>
  </si>
  <si>
    <t>NetworkOnMainThread exception while resolving IP address.</t>
  </si>
  <si>
    <t xml:space="preserve">    What version of gRPC are you using _x000D_
1 9 0_x000D_
_x000D_
    What did you expect to see _x000D_
When calling one of the stub s method I get a crash on Android  throwing NetworkOnMainThread exception with the following stacktrace  _x000D_
_x000D_
   java_x000D_
_x000D_
02 16 22:52:08 352 10488 10488 com ema test W ManagedChannelImpl:  io grpc internal ManagedChannelImpl 1  Unexpected exception from LoadBalancer_x000D_
                                                                      android os NetworkOnMainThreadException_x000D_
                                                                          at android os StrictMode AndroidBlockGuardPolicy onNetwork(StrictMode java:1448)_x000D_
                                                                          at java net Inet6AddressImpl getHostByAddr(Inet6AddressImpl java:147)_x000D_
                                                                          at java net InetAddress 1 getHostByAddr(InetAddress java:266)_x000D_
                                                                          at java net InetAddress getHostFromNameService(InetAddress java:569)_x000D_
                                                                          at java net InetAddress getHostName(InetAddress java:515)_x000D_
                                                                          at java net InetSocketAddress InetSocketAddressHolder getHostName(InetSocketAddress java:83)_x000D_
                                                                          at java net InetSocketAddress InetSocketAddressHolder  wrap2(Unknown Source:0)_x000D_
                                                                          at java net InetSocketAddress getHostName(InetSocketAddress java:356)_x000D_
                                                                          at io grpc internal ProxyDetectorImpl detectProxy(ProxyDetectorImpl java:127)_x000D_
                                                                          at io grpc internal ProxyDetectorImpl proxyFor(ProxyDetectorImpl java:118)_x000D_
                                                                          at io grpc internal InternalSubchannel startNewTransport(InternalSubchannel java:209)_x000D_
                                                                          at io grpc internal InternalSubchannel obtainActiveTransport(InternalSubchannel java:190)_x000D_
                                                                          at io grpc internal ManagedChannelImpl SubchannelImpl requestConnection(ManagedChannelImpl java:1020)_x000D_
                                                                          at io grpc PickFirstBalancerFactory PickFirstBalancer handleResolvedAddressGroups(PickFirstBalancerFactory java:79)_x000D_
                                                                          at io grpc internal ManagedChannelImpl NameResolverListenerImpl 1NamesResolved run(ManagedChannelImpl java:924)_x000D_
                                                                          at io grpc internal ChannelExecutor drain(ChannelExecutor java:72)_x000D_
                                                                          at io grpc internal DelayedClientTransport newStream(DelayedClientTransport java:173)_x000D_
                                                                          at io grpc internal ClientCallImpl start(ClientCallImpl java:242)_x000D_
                                                                          at io grpc internal CensusTracingModule TracingClientInterceptor 1 start(CensusTracingModule java:387)_x000D_
                                                                          at io grpc internal CensusStatsModule StatsClientInterceptor 1 start(CensusStatsModule java:679)_x000D_
                                                                          at io grpc stub ClientCalls startCall(ClientCalls java:293)_x000D_
                                                                          at io grpc stub ClientCalls asyncStreamingRequestCall(ClientCalls java:283)_x000D_
                                                                          at io grpc stub ClientCalls asyncBidiStreamingCall(ClientCalls java:92)_x000D_
                                                                          at session SessionServiceGrpc SessionServiceStub startSession(SessionServiceGrpc java:137)_x000D_
   _x000D_
_x000D_
My understanding is that the call  io grpc internal ProxyDetectorImpl detectProxy(ProxyDetectorImpl java:127)  is happening in a  grpc default executor 0   even though i ve called   executor(Executors newSingleThreadExecutor())  on the channel builder  _x000D_
The  grpc default executor 0  thread pool appears to contain the main thread  as Android triggers a NetworkOnMainThread exception if any networking is attempted to be done on it _x000D_
_x000D_
It seems related to https:  github com grpc grpc java issues 577  despite it being marked as closed _x000D_
</t>
  </si>
  <si>
    <t>twilio-video-quickstart-android-255</t>
  </si>
  <si>
    <t>Crash on disconnecting room</t>
  </si>
  <si>
    <t xml:space="preserve">    Description_x000D_
_x000D_
App crashes when video activity is closed before any of the callbacks is fired (onConnectFailure  onConnected)_x000D_
_x000D_
    Steps to Reproduce_x000D_
_x000D_
1  Start connecting to room_x000D_
2  Close before any of the callbacks is fired for connection failure or disconnection_x000D_
_x000D_
     Expected Behavior_x000D_
_x000D_
App should not crash_x000D_
_x000D_
     Actual Behavior_x000D_
_x000D_
App crashes_x000D_
_x000D_
     Reproduces how Often_x000D_
_x000D_
100 _x000D_
_x000D_
     Logs_x000D_
   _x000D_
 D TwilioVideo:  Platform :AndroidRoomObserver_x000D_
D TwilioVideo:  Core :RoomSignalingImpl::RoomSignalingImpl()_x000D_
D TwilioVideo:  Platform :Java com twilio video Room nativeDisconnect_x000D_
D TwilioVideo:  Platform :Java com twilio video Room nativeDisconnect_x000D_
D TwilioVideo:  Platform :Java com twilio video Room nativeReleaseRoom_x000D_
D TwilioVideo:  Platform : AndroidRoomObserver_x000D_
 D TwilioVideo:  Core :RoomSignalingImpl:: RoomSignalingImpl()_x000D_
D TwilioVideo:  Core :RoomSignalingImpl: State transition successful: kInit    kDisconnecting_x000D_
 D Room: onDisconnected()_x000D_
D TwilioVideo:  Core :RoomSignalingImpl: State transition successful: kDisconnecting    kDisconnected_x000D_
D TwilioVideo:  Platform :Java com twilio video Room nativeRelease_x000D_
D TwilioVideo:  Platform : RoomDelegate_x000D_
A libc: Fatal signal 11 (SIGSEGV)  code 1  fault addr 0x0 in tid 12964 (RoomNotifier   )_x000D_
02 28 20:00:14 797 12985 12985   A DEBUG: pid: 11702  tid: 12964  name: RoomNotifier        to go internal    _x000D_
   _x000D_
_x000D_
    Versions_x000D_
_x000D_
All relevant version information for issue _x000D_
_x000D_
     Video Android SDK_x000D_
_x000D_
2 0 0 preview 5_x000D_
_x000D_
     Android API_x000D_
_x000D_
26_x000D_
_x000D_
     Android Device_x000D_
_x000D_
OnePlus 5  Xiaomi  Samsung S8  One plus 3T_x000D_
</t>
  </si>
  <si>
    <t>nikita36078-J2ME-Loader-166</t>
  </si>
  <si>
    <t>Blood+ just crashes after opening</t>
  </si>
  <si>
    <t xml:space="preserve">  Emulator version:  _x000D_
1 2 7 7_x000D_
_x000D_
  Game version:  _x000D_
1 0 0_x000D_
_x000D_
  Game resolution:  _x000D_
480x800_x000D_
_x000D_
_x000D_
  Description of the issue:  _x000D_
Blood  suddenly crashes on emulator </t>
  </si>
  <si>
    <t>consp1racy-android-support-preference-90</t>
  </si>
  <si>
    <t xml:space="preserve">Crash with latest support libraries </t>
  </si>
  <si>
    <t xml:space="preserve">With the latest support library version ( 27 1 0 ) the drop down lists crash due to  ListViewCompat  being removed now _x000D_
_x000D_
A full stacktrace:_x000D_
_x000D_
   java_x000D_
java lang NoClassDefFoundError: Failed resolution of: Landroid support v7 widget ListViewCompat _x000D_
        at net xpece android support preference ListPreference showAsPopup(ListPreference java:175)_x000D_
        at net xpece android support preference ListPreference performClick(ListPreference java:130)_x000D_
        at android support v7 preference Preference 1 onClick(Preference java:170)_x000D_
        at android view View performClick(View java:6303)_x000D_
        at android view View PerformClick run(View java:24828)_x000D_
        at android os Handler handleCallback(Handler java:789)_x000D_
        at android os Handler dispatchMessage(Handler java:98)_x000D_
        at android os Looper loop(Looper java:164)_x000D_
        at android app ActivityThread main(ActivityThread java:6809)_x000D_
        at java lang reflect Method invoke(Native Method)_x000D_
        at com android internal os Zygote MethodAndArgsCaller run(Zygote java:240)_x000D_
        at com android internal os ZygoteInit main(ZygoteInit java:767)_x000D_
   </t>
  </si>
  <si>
    <t>nikita36078-J2ME-Loader-163</t>
  </si>
  <si>
    <t>Real Football 2018 - Unable to Install</t>
  </si>
  <si>
    <t xml:space="preserve">  Emulator version:  _x000D_
1 2 7 7_x000D_
_x000D_
  Game version:  _x000D_
1 0 0 ( for Samsung GT S5230)_x000D_
1 0 1 (for Nokia 5800)_x000D_
_x000D_
_x000D_
  Game resolution:  _x000D_
  (240x400  360x640)  _x000D_
_x000D_
_x000D_
  Description of the issue:  _x000D_
  (Unable to install  J2ME Loader will crash when installing)  _x000D_
_x000D_
 img height  300  width  176  src  https:  user images githubusercontent com 36059629 36791143 ec901022 1cd1 11e8 8403 a0ea40b0af71 png   _x000D_
_x000D_
</t>
  </si>
  <si>
    <t>bumptech-glide-2919</t>
  </si>
  <si>
    <t>ArrayIndexOutOfBoundsException in FactoryPools</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</si>
  <si>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_x000D_
_x000D_
     What version of Glide you re running  for example: 3 7 1   3 8 0 SNAPSHOT   4 0 0 SNAPSHOT_x000D_
It s essentially the version number from your build gradle:  dependencies   compile     :x y z        _x000D_
  Glide Version  : 4 6 1_x000D_
_x000D_
     Do you use any integration library  like OkHttp3 or Volley  For example:_x000D_
Fails to display with stock networking  but works with okhttp3 1 4 0    _x000D_
  Integration libraries  : none_x000D_
_x000D_
     What devices you managed to get the issue to come up on  For example:_x000D_
fails on Galaxy S4 GT I9500 4 4 2  works fine on Nexus 6P 5 1 and Genymotion Nexus 5 5 0 1    _x000D_
  Device Android Version  : SM N910C_x000D_
_x000D_
     Share the details of your issue in prose  detailing actual and expected behavior  It also helps if you give some info   why   you are trying to do something as opposed to   what   is not working     _x000D_
  Issue details   Repro steps   Use case background  : _x000D_
I recently got the below crash report (only once so far)  What I do and how I use glide is written here: https:  github com bumptech glide issues 2881_x000D_
_x000D_
Mainly I don t do anything special  but I use  useUnlimitedSourceGeneratorsPool()  for nested glide calls in my custom loader   Based on the stacktrace I don t know what more I should write here  let me know if you have an idea what could cause this crash and what could be some relevant code to add _x000D_
_x000D_
    _x000D_
What is the error message that you got in the log _x000D_
You can find some help on diagnosing issues here: https:  github com bumptech glide wiki Debugging and Error Handling_x000D_
   _x000D_
  Stack trace   LogCat  :_x000D_
   ruby_x000D_
java lang ArrayIndexOutOfBoundsException: length 150  index 150_x000D_
	at android support v4 util Pools SimplePool acquire(Pools java:106)_x000D_
	at com bumptech glide util pool FactoryPools FactoryPool acquire(FactoryPools java:157)_x000D_
	at com bumptech glide load engine Engine DecodeJobFactory build(Engine java:427)_x000D_
	at com bumptech glide load engine Engine load(Engine java:209)_x000D_
	at com bumptech glide request SingleRequest onSizeReady(SingleRequest java:451)_x000D_
	at com bumptech glide request RequestFutureTarget getSize(RequestFutureTarget java:132)_x000D_
	at com bumptech glide request SingleRequest begin(SingleRequest java:264)_x000D_
	at com bumptech glide manager RequestTracker runRequest(RequestTracker java:42)_x000D_
	at com bumptech glide RequestManager track(RequestManager java:634)_x000D_
	at com bumptech glide RequestBuilder into(RequestBuilder java:618)_x000D_
	at com bumptech glide RequestBuilder into(RequestBuilder java:583)_x000D_
	at com bumptech glide RequestBuilder 1 run(RequestBuilder java:743)_x000D_
	at android os Handler handleCallback(Handler java:739)_x000D_
	at android os Handler dispatchMessage(Handler java:95)_x000D_
	at android os Looper loop(Looper java:158)_x000D_
	at android app ActivityThread main(ActivityThread java:7225)_x000D_
	at java lang reflect Method invoke(Native Method)_x000D_
	at com android internal os ZygoteInit MethodAndArgsCaller run(ZygoteInit java:1230)_x000D_
	at com android internal os ZygoteInit main(ZygoteInit java:1120)_x000D_
   _x000D_
_x000D_
     Bonus points if you attach a relevant screenshot  screen recording or a small demo project    _x000D_
</t>
  </si>
  <si>
    <t>tanrabad-survey-56</t>
  </si>
  <si>
    <t xml:space="preserve">     in android view ViewDebug getExportedPropertyMethods
  Number of crashes: 1
  Impacted devices: 1
There s a lot more information about this crash on crashlytics com:
 https:  fabric io tanrabad android apps org tanrabad survey issues 5a96682f8cb3c2fa63fc98d1 utm medium service hooks github utm source issue impact (https:  fabric io tanrabad android apps org tanrabad survey issues 5a96682f8cb3c2fa63fc98d1 utm medium service hooks github utm source issue impact)</t>
  </si>
  <si>
    <t>tanrabad-survey-55</t>
  </si>
  <si>
    <t>MonitoringInstrumentation.java line 351</t>
  </si>
  <si>
    <t xml:space="preserve">     in android support test runner MonitoringInstrumentation finish
  Number of crashes: 1
  Impacted devices: 1
There s a lot more information about this crash on crashlytics com:
 https:  fabric io tanrabad android apps org tanrabad survey issues 5a964e278cb3c2fa63fb28be utm medium service hooks github utm source issue impact (https:  fabric io tanrabad android apps org tanrabad survey issues 5a964e278cb3c2fa63fb28be utm medium service hooks github utm source issue impact)</t>
  </si>
  <si>
    <t>innoveit-react-native-ble-manager-294</t>
  </si>
  <si>
    <t>Fatal Exception: NSInternalInconsistencyException: bridge is not set. This is probably because you've explicitly synthesized the bridge in BleManager, even though it's inherited from RCTEventEmitter.</t>
  </si>
  <si>
    <t xml:space="preserve">    Version_x000D_
_x000D_
Tell us which versions you are using:_x000D_
_x000D_
  react native ble manager: 6 2 6_x000D_
  react native v    0 51 0_x000D_
  iOS Android v   iOS_x000D_
_x000D_
    Expected behaviour_x000D_
_x000D_
App should NOT crash when pressing Scan Bluetooth_x000D_
_x000D_
    Actual behaviour_x000D_
_x000D_
Once in a while (NOT deterministic) the app crashes_x000D_
_x000D_
    Steps to reproduce_x000D_
_x000D_
Not easily reproducible_x000D_
_x000D_
    Stack trace and console log_x000D_
_x000D_
Fatal Exception: NSInternalInconsistencyExceptionbridge is not set  This is probably because you ve explicitly synthesized the bridge in BleManager  even though it s inherited from RCTEventEmitter  Raw Text_x000D_
  _x000D_
0   CoreFoundation   (Missing)_x000D_
3   Foundation   (Missing)_x000D_
4   project   RCTEventEmitter m line 40  RCTEventEmitter sendEventWithName:body: _x000D_
5   project   BleManager m line 317  BleManager stopScanTimer: _x000D_
6   Foundation   (Missing)_x000D_
13   UIKit   (Missing)_x000D_
14   project   main m line 16main_x000D_
15   libdyld dylib   (Missing)_x000D_
16   (Missing)   (Missing)_x000D_
_x000D_
 img width  921  alt  trace  src  https:  user images githubusercontent com 1825834 36756718 d7bde8d0 1bdd 11e8 8f39 3ad125b64f02 png  _x000D_
_x000D_
_x000D_
</t>
  </si>
  <si>
    <t>nitaliano-react-native-mapbox-gl-1076</t>
  </si>
  <si>
    <t>iOS: Using lineOffset with a geojson shape throws an exception or crashes the app</t>
  </si>
  <si>
    <t xml:space="preserve">This may affect Android as well but I haven t had a chance to check   To reproduce: _x000D_
_x000D_
Clone the current react native mapbox gl repository (6 0 3 as of today) _x000D_
Install and run the example app  browse to the GeoJSON Source example to confirm it loads _x000D_
_x000D_
Edit  GeoJSONSource js :_x000D_
_x000D_
1  Switch the  smileyFaceFill  layer to a  MapboxGL LineLayer _x000D_
2  Edit the  layerStyles  to include an offset: _x000D_
_x000D_
   _x000D_
const layerStyles   MapboxGL StyleSheet create( _x000D_
  background:  _x000D_
    backgroundPattern: gridPattern_x000D_
    _x000D_
  smileyFace:  _x000D_
    lineColor:  white  _x000D_
    lineOffset: 5 _x000D_
    lineWidth: 5_x000D_
   _x000D_
 ) _x000D_
   _x000D_
_x000D_
If you reload the app and browse to the example  the app will crash to the home screen  If you remove the lineOffset  it works fine  It doesn t seem to matter if I pass a FeatureCollection or a Feature  In an app I m building  I occasionally get this error instead of a hard crash:  _x000D_
_x000D_
  simulator screen shot   iphone 6   2018 02 27 at 13 24 04 (https:  user images githubusercontent com 86435 36748027 a9b1e4be 1bc4 11e8 8da8 207723621575 png)_x000D_
</t>
  </si>
  <si>
    <t>RightMesh-meshIM-36</t>
  </si>
  <si>
    <t>app crashes while wifi direct and BT on at the same time</t>
  </si>
  <si>
    <t>conditions: BT:on and connnected to another meshIM device  Turn on wifi direct as a client  app does not crashes everytime  approximetly 1 3 time with the following error_x000D_
_x000D_
02 26 16:06:19 464 12841 13345  mesh E AndroidRuntime: FATAL EXCEPTION: Thread 8154_x000D_
                                                       Process:  mesh  PID: 12841_x000D_
                                                       java lang NullPointerException: Attempt to invoke virtual method  void android net wifi p2p WifiP2pManager discoverServices(android net wifi p2p WifiP2pManager Channel  android net wifi p2p WifiP2pManager ActionListener)  on a null object reference_x000D_
                                                           at io left rightmesh android AutonomousWifi ScanningThread wifidConnect(AutonomousWifi java:2042)_x000D_
                                                           at io left rightmesh android AutonomousWifi ScanningThread wifidClientLoop(AutonomousWifi java:1879)_x000D_
                                                           at io left rightmesh android AutonomousWifi ScanningThread run(AutonomousWifi java:1617)_x000D_
                                                           at java lang Thread run(Thread java:818)</t>
  </si>
  <si>
    <t>evernote-android-job-385</t>
  </si>
  <si>
    <t>Crash on strict mode</t>
  </si>
  <si>
    <t xml:space="preserve">When strict mode is enabled like so:_x000D_
   _x000D_
StrictMode setThreadPolicy(new StrictMode ThreadPolicy Builder()   _x000D_
                 detectAll()   _x000D_
                 penaltyLog()   _x000D_
                 penaltyDeath()   _x000D_
                 build()) _x000D_
   _x000D_
_x000D_
I get the following crash when the job is starting:_x000D_
_x000D_
   _x000D_
D StrictMode: StrictMode policy violation   duration 425 ms: android os StrictMode StrictModeDiskWriteViolation: policy 327733 violation 1_x000D_
         at android os StrictMode AndroidBlockGuardPolicy onWriteToDisk(StrictMode java:1386)_x000D_
         at android database sqlite SQLiteConnection applyBlockGuardPolicy(SQLiteConnection java:1044)_x000D_
         at android database sqlite SQLiteConnection executeForString(SQLiteConnection java:639)_x000D_
         at android database sqlite SQLiteConnection setJournalMode(SQLiteConnection java:321)_x000D_
         at android database sqlite SQLiteConnection setWalModeFromConfiguration(SQLiteConnection java:295)_x000D_
         at android database sqlite SQLiteConnection open(SQLiteConnection java:216)_x000D_
         at android database sqlite SQLiteConnection open(SQLiteConnection java:194)_x000D_
         at android database sqlite SQLiteConnectionPool openConnectionLocked(SQLiteConnectionPool java:493)_x000D_
         at android database sqlite SQLiteConnectionPool open(SQLiteConnectionPool java:200)_x000D_
         at android database sqlite SQLiteConnectionPool open(SQLiteConnectionPool java:192)_x000D_
         at android database sqlite SQLiteDatabase openInner(SQLiteDatabase java:864)_x000D_
         at android database sqlite SQLiteDatabase open(SQLiteDatabase java:849)_x000D_
         at android database sqlite SQLiteDatabase openDatabase(SQLiteDatabase java:724)_x000D_
         at android database sqlite SQLiteDatabase openDatabase(SQLiteDatabase java:714)_x000D_
         at android database sqlite SQLiteOpenHelper getDatabaseLocked(SQLiteOpenHelper java:295)_x000D_
         at android database sqlite SQLiteOpenHelper getWritableDatabase(SQLiteOpenHelper java:238)_x000D_
         at com evernote android job JobStorage getDatabase(JobStorage java:331)_x000D_
         at com evernote android job JobStorage load(JobStorage java:307)_x000D_
         at com evernote android job JobStorage access 400(JobStorage java:57)_x000D_
         at com evernote android job JobStorage JobCacheId create(JobStorage java:444)_x000D_
         at com evernote android job JobStorage JobCacheId create(JobStorage java:436)_x000D_
         at android util LruCache get(LruCache java:132)_x000D_
         at com evernote android job JobStorage get(JobStorage java:174)_x000D_
         at com evernote android job JobManager getJobRequest(JobManager java:259)_x000D_
         at com evernote android job JobProxy Common getPendingRequest(JobProxy java:167)_x000D_
         at com evernote android job v21 PlatformJobService onStartJob(PlatformJobService java:59)_x000D_
         at android app job JobService 1 onStartJob(JobService java:71)_x000D_
         at android app job JobServiceEngine JobHandler handleMessage(JobServiceEngine java:108)_x000D_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t>
  </si>
  <si>
    <t>smartdevicelink-sdl_java_suite-689</t>
  </si>
  <si>
    <t>Potential crash in SdlRouterService.java</t>
  </si>
  <si>
    <t xml:space="preserve">    Bug Report_x000D_
In  SdlRouterService java    deployNextRouterService  method  2 cases where the library could crash with an IndexOutOfBoundException:_x000D_
1  List size   n  and i   n   1_x000D_
2  List size is 1 (special case of 1 )_x000D_
_x000D_
The problem is with this index access:   here (https:  github com smartdevicelink sdl android blob develop sdl android src main java com smartdevicelink transport SdlRouterService java L825)_x000D_
   _x000D_
SdlAppInfo nextUp   sdlAppInfoList get(i 1) _x000D_
   _x000D_
_x000D_
_x000D_
      Expected Behavior_x000D_
Library would not crash _x000D_
_x000D_
      Observed Behavior_x000D_
Library would crash _x000D_
_x000D_
</t>
  </si>
  <si>
    <t>RightMesh-meshIM-35</t>
  </si>
  <si>
    <t>App is crashing after disconnecting and reconnecting</t>
  </si>
  <si>
    <t xml:space="preserve"> Steps to reproduce: _x000D_
  Connect to a wifi hotspot as wifi client  (connects succesfully)_x000D_
  Disconnect by closing the app and tapping  Go offline  in the notification (other phones see disappear from online users list)_x000D_
  Re start the app and reconnect (app crashes  following appears in the   mesh  thread:)_x000D_
   _x000D_
02 26 10:59:22 910 13735 15798  mesh E AndroidRuntime: FATAL EXCEPTION: Thread 757_x000D_
Process:  mesh  PID: 13735_x000D_
java lang NullPointerException: Attempt to invoke virtual method  int java lang Object hashCode()  on a null object reference_x000D_
    at java util concurrent ConcurrentHashMap get(ConcurrentHashMap java:772)_x000D_
    at io left rightmesh android MeshService b(SourceFile:1005)_x000D_
    at io left rightmesh mesh h g(SourceFile:25733)_x000D_
    at io left rightmesh mesh h 6 run(SourceFile:1389)_x000D_
   _x000D_
</t>
  </si>
  <si>
    <t>react-native-camera-react-native-camera-1292</t>
  </si>
  <si>
    <t>RNCameraManager crash issues after QRCODE read</t>
  </si>
  <si>
    <t xml:space="preserve">    Steps to reproduce_x000D_
1  scanning QRCode with weird encoding on something like that_x000D_
2    (void)captureOutput:(AVCaptureOutput  )captureOutput didOutputMetadataObjects:(NSArray  )metadataObjects fromConnection:(AVCaptureConnection  )connection  calls_x000D_
3  metadata stringValue is NULL that causes application crash _x000D_
_x000D_
    Expected behaviour_x000D_
metadata stringValue should be not be NULL_x000D_
_x000D_
    Actual behaviour_x000D_
metadata stringValue is NULL_x000D_
_x000D_
    Environment_x000D_
    Node js version  : 8 9 1_x000D_
    React Native version  : 0 51 0_x000D_
    React Native platform   platform version  : iOS 11 2_x000D_
_x000D_
    react native camera_x000D_
  Version  : npm version 1 0 1_x000D_
_x000D_
    QRCODE that causes issue_x000D_
  image 2018 02 26 19 23 25 (https:  user images githubusercontent com 2022624 36681781 9fad29d2 1b2a 11e8 83cb 31d1be71fbba jpg)_x000D_
</t>
  </si>
  <si>
    <t>twilio-video-quickstart-android-252</t>
  </si>
  <si>
    <t>failed to close camera exception even when twilio video is not started</t>
  </si>
  <si>
    <t xml:space="preserve">     Check the following before filing an issue    _x000D_
  Before filing an issue please check that the issue is not already addressed by the following:_x000D_
      Video Guides (https:  www twilio com docs api video)_x000D_
      Github Issues (https:  github com twilio video quickstart android issues)_x000D_
      Changelog (https:  www twilio com docs api video changelogs android)_x000D_
_x000D_
 Description_x000D_
Even when I have not started twilio video I am getting failed to close camera exception_x000D_
_x000D_
 Steps to Reproduce_x000D_
1  Deny permission for camera_x000D_
2  Go to Settings enable permission_x000D_
3  Start android camera_x000D_
4  capture image_x000D_
5  close camera_x000D_
Code_x000D_
 Expected Behavior_x000D_
No twilio exception should be found_x000D_
_x000D_
 Actual Behavior_x000D_
Application crashes with twilio exception_x000D_
_x000D_
 Reproduces how Often_x000D_
always_x000D_
_x000D_
   Logs_x000D_
   _x000D_
I Timeline: Timeline: Activity launch request time:39033712_x000D_
I org webrtc Logging: CameraCapturer: Stop capture_x000D_
I org webrtc Logging: CameraCapturer: Stop capture: No session open_x000D_
I org webrtc Logging: CameraCapturer: Stop capture done_x000D_
I org webrtc Logging: CameraCapturer: dispose_x000D_
I org webrtc Logging: CameraCapturer: Stop capture_x000D_
I org webrtc Logging: CameraCapturer: Stop capture: No session open_x000D_
I org webrtc Logging: CameraCapturer: Stop capture done_x000D_
W System err: java lang IllegalStateException: Failed to close camera_x000D_
W System err:     at com twilio video Preconditions checkState(Preconditions java:453)_x000D_
W System err:     at com twilio video CameraCapturer stopCapture(CameraCapturer java:411)_x000D_
W System err:     at com twilio video VideoCapturerDelegate stopCapture(VideoCapturerDelegate java:77)_x000D_
E rtc: _x000D_
 Fatal error in  home jenkins workspace video android release library src main jni com twilio video VideoCapturerDelegate cpp  line 129_x000D_
 last system error: 110_x000D_
 Check failed:  jni()  ExceptionCheck()_x000D_
 error during VideoCapturer stopCapture_x000D_
_x000D_
A libc: Fatal signal 6 (SIGABRT)  code  6 in tid 1774 (Thread 8651)_x000D_
   _x000D_
 Versions_x000D_
All android versions_x000D_
_x000D_
   Video Android SDK_x000D_
1 3 6_x000D_
_x000D_
   Android API_x000D_
all APIS_x000D_
_x000D_
   Android Device_x000D_
All devices_x000D_
</t>
  </si>
  <si>
    <t>TeamNewPipe-NewPipe-1148</t>
  </si>
  <si>
    <t>[data protection] IP address request to third party service leaks information about users</t>
  </si>
  <si>
    <t xml:space="preserve">At the moment  the service https:  ipv4 icanhazip com is used by the crash report activity to (whyever) fetch the public IPv4 of a user  which is then  anonymized  by removing the last two bytes _x000D_
_x000D_
Not only this information doesn t really add anything to the crash reports (at least nothing I could think of)  it also shares the following details with this service (which  so far  nobody checked  regarding data protection and privacy):_x000D_
    complete IP address (and therefore an approximation of their location)_x000D_
    user s operating system_x000D_
    user is using NewPipe (user agent thing)_x000D_
    time of the crash (allows for generating stats like frequency     )_x000D_
_x000D_
In my opinion  this  feature  should be removed entirely from NewPipe  following the data protection principle of  Datensparsamkeit  (a k a   data economy   i e   reduce the amount of data collected to the absolute minimum) _x000D_
_x000D_
If there are good reasons to continue to collect this information  however  the implementation needs to be improved to ensure users  privacy (otherwise  one of our USPs   privacy   doesn t apply):_x000D_
    validate service s ToS and ensure they won t collect and or share the information_x000D_
    implement multiple providers (I d say at least 5) and choose a random one every time (round robin like)_x000D_
    ask user whether they want to share this information  maybe with a checkbox they can uncheck  and request service only when the user confirms they want to send a mail (i e   don t auto fetch it when the activity is shown)_x000D_
_x000D_
By the way  according to https:  major io icanhazip com faq   the software is open source  but the requests are all logged and there is no word about deletion of logs  Also  we don t know anything about where it s hosted and how many  service providers  the provider makes use of have access to the data or network streams _x000D_
_x000D_
CC  theScrabi </t>
  </si>
  <si>
    <t>GCX-HCI-ThirtyInch-143</t>
  </si>
  <si>
    <t>Debugging a @CallOnMainThread annotated method crashes the app</t>
  </si>
  <si>
    <t>When debugging the implementation of a view method annotated with   CallOnMainThread  the app crashes _x000D_
_x000D_
Simple scenario to reproduce: _x000D_
_x000D_
   _x000D_
class MainActivity : TiActivity TestPresenter  TestView ()  TestView  _x000D_
_x000D_
    override fun providePresenter(): TestPresenter   TestPresenter()_x000D_
_x000D_
    override fun test()  _x000D_
        var x   2_x000D_
        x    5_x000D_
        x    100_x000D_
        Toast makeText(this   x is  x    Toast LENGTH LONG) show()_x000D_
     _x000D_
_x000D_
    override fun onCreate(savedInstanceState: Bundle )  _x000D_
        super onCreate(savedInstanceState)_x000D_
        setContentView(R layout activity main)_x000D_
     _x000D_
 _x000D_
_x000D_
class TestPresenter : TiPresenter TestView ()  _x000D_
_x000D_
    override fun onAttachView(view: TestView)  _x000D_
        super onAttachView(view)_x000D_
_x000D_
        view test()_x000D_
     _x000D_
_x000D_
 _x000D_
_x000D_
interface TestView : TiView  _x000D_
_x000D_
     CallOnMainThread_x000D_
    fun test()_x000D_
 _x000D_
   _x000D_
_x000D_
Set a breakpoint in the  test()  method and the app crashes with:_x000D_
_x000D_
   _x000D_
A libc: Fatal signal 11 (SIGSEGV)  code 1  fault addr 0x14 in tid 30951 (JDWP)_x000D_
   _x000D_
_x000D_
Tested with Emulator API 26 and physical device API 27 and Ti version 0 8 5 _x000D_
_x000D_
In the actual app I had a little larger stacktrace:_x000D_
 details  summary Click to expand  summary _x000D_
 p _x000D_
_x000D_
   _x000D_
02 26 10:33:19 590 A zygote: debugger cc:435  Check failed: c    nullptr _x000D_
02 26 10:33:19 702 A zygote: runtime cc:492  Runtime aborting   _x000D_
02 26 10:33:19 702 A zygote: runtime cc:492  Aborting thread:_x000D_
02 26 10:33:19 702 A zygote: runtime cc:492   JDWP  prio 5 tid 4 Runnable_x000D_
02 26 10:33:19 702 A zygote: runtime cc:492      group    sCount 0 dsCount 0 flags 0 obj 0x12f80088 self 0xa7a08c00_x000D_
02 26 10:33:19 702 A zygote: runtime cc:492      sysTid 30351 nice 0 cgrp default sched 0 0 handle 0x96283970_x000D_
02 26 10:33:19 702 A zygote: runtime cc:492      state R schedstat ( 89642673 68264135 305 ) utm 6 stm 2 core 0 HZ 100_x000D_
02 26 10:33:19 702 A zygote: runtime cc:492      stack 0x96189000 0x9618b000 stackSize 1006KB_x000D_
02 26 10:33:19 702 A zygote: runtime cc:492      held mutexes   abort lock   mutator lock (shared held)_x000D_
02 26 10:33:19 702 A zygote: runtime cc:492    native:  00 pc 0047395b   system lib libart so ( ZN3art15DumpNativeStackERNSt3  113basic ostreamIcNS0 11char traitsIcEEEEiP12BacktraceMapPKcPNS 9ArtMethodEPv 203)_x000D_
02 26 10:33:19 702 A zygote: runtime cc:492    native:  01 pc 0056f45e   system lib libart so ( ZNK3art6Thread9DumpStackERNSt3  113basic ostreamIcNS1 11char traitsIcEEEEbP12BacktraceMapb 366)_x000D_
02 26 10:33:19 702 A zygote: runtime cc:492    native:  02 pc 00569ce3   system lib libart so ( ZNK3art6Thread4DumpERNSt3  113basic ostreamIcNS1 11char traitsIcEEEEbP12BacktraceMapb 83)_x000D_
02 26 10:33:19 702 A zygote: runtime cc:492    native:  03 pc 0054e5f7   system lib libart so ( ZNK3art10AbortState10DumpThreadERNSt3  113basic ostreamIcNS1 11char traitsIcEEEEPNS 6ThreadE 55)_x000D_
02 26 10:33:19 702 A zygote: runtime cc:492    native:  04 pc 0054e3aa   system lib libart so ( ZNK3art10AbortState4DumpERNSt3  113basic ostreamIcNS1 11char traitsIcEEEE 490)_x000D_
02 26 10:33:19 702 A zygote: runtime cc:492    native:  05 pc 0053baad   system lib libart so ( ZN3art7Runtime5AbortEPKc 189)_x000D_
02 26 10:33:19 702 A zygote: runtime cc:492    native:  06 pc 0053c569   system lib libart so ( ZN3art7Runtime7AborterEPKc 41)_x000D_
02 26 10:33:19 702 A zygote: runtime cc:492    native:  07 pc 0011c3d3   system lib libart so ( ZNSt3  110  function6  funcIPFvPKcENS 9allocatorIS5 EES4 EclEOS3  35)_x000D_
02 26 10:33:19 702 A zygote: runtime cc:492    native:  08 pc 0065156a   system lib libart so ( ZN7android4base10LogMessageD1Ev 1034)_x000D_
02 26 10:33:19 702 A zygote: runtime cc:492    native:  09 pc 001b9688   system lib libart so ( ZN3art3Dbg13TagFromObjectERKNS 27ScopedObjectAccessUncheckedEPNS 6mirror6ObjectE 1736)_x000D_
02 26 10:33:19 702 A zygote: runtime cc:492    native:  10 pc 001c2358   system lib libart so ( ZN3art3Dbg12GetObjectTagEyPh 776)_x000D_
02 26 10:33:19 702 A zygote: runtime cc:492    native:  11 pc 0039bfc3   system lib libart so ( ZN3art4JDWPL13SF ThisObjectEPNS0 9JdwpStateEPNS0 7RequestEPNS0 9ExpandBufE 115)_x000D_
02 26 10:33:19 702 A zygote: runtime cc:492    native:  12 pc 0039731b   system lib libart so ( ZN3art4JDWP9JdwpState14ProcessRequestEPNS0 7RequestEPNS0 9ExpandBufEPb 939)_x000D_
02 26 10:33:19 702 A zygote: runtime cc:492    native:  13 pc 0039f732   system lib libart so ( ZN3art4JDWP9JdwpState12HandlePacketEv 194)_x000D_
02 26 10:33:19 702 A zygote: runtime cc:492    native:  14 pc 00641e7d   system lib libart so ( ZN3art4JDWP12JdwpAdbState15ProcessIncomingEv 1341)_x000D_
02 26 10:33:19 702 A zygote: runtime cc:492    native:  15 pc 003a01cb   system lib libart so ( ZN3art4JDWP9JdwpState3RunEv 2219)_x000D_
02 26 10:33:19 702 A zygote: runtime cc:492    native:  16 pc 0039efc0   system lib libart so ( ZN3art4JDWPL15StartJdwpThreadEPv 48)_x000D_
02 26 10:33:19 702 A zygote: runtime cc:492    native:  17 pc 000709b5   system lib libc so ( ZL15  pthread startPv 53)_x000D_
02 26 10:33:19 702 A zygote: runtime cc:492    native:  18 pc 0002050b   system lib libc so (  start thread 75)_x000D_
02 26 10:33:19 702 A zygote: runtime cc:492    native:  19 pc 0001eda6   system lib libc so (  bionic clone 70)_x000D_
02 26 10:33:19 702 A zygote: runtime cc:492    (no managed stack frames)_x000D_
02 26 10:33:19 702 A zygote: runtime cc:492  Dumping all threads without appropriate locks held: thread list lock_x000D_
02 26 10:33:19 702 A zygote: runtime cc:492  All threads:_x000D_
02 26 10:33:19 702 A zygote: runtime cc:492  DALVIK THREADS (46):_x000D_
02 26 10:33:19 702 A zygote: runtime cc:492   JDWP  prio 5 tid 4 Runnable_x000D_
02 26 10:33:19 702 A zygote: runtime cc:492      group    sCount 0 dsCount 0 flags 0 obj 0x12f80088 self 0xa7a08c00_x000D_
02 26 10:33:19 702 A zygote: runtime cc:492      sysTid 30351 nice 0 cgrp default sched 0 0 handle 0x96283970_x000D_
02 26 10:33:19 702 A zygote: runtime cc:492      state R schedstat ( 104039008 69428691 310 ) utm 6 stm 4 core 0 HZ 100_x000D_
02 26 10:33:19 702 A zygote: runtime cc:492      stack 0x96189000 0x9618b000 stackSize 1006KB_x000D_
02 26 10:33:19 702 A zygote: runtime cc:492      held mutexes   abort lock   mutator lock (shared held)_x000D_
02 26 10:33:19 702 A zygote: runtime cc:492    native:  00 pc 0047395b   system lib libart so ( ZN3art15DumpNativeStackERNSt3  113basic ostreamIcNS0 11char traitsIcEEEEiP12BacktraceMapPKcPNS 9ArtMethodEPv 203)_x000D_
02 26 10:33:19 702 A zygote: runtime cc:492    native:  01 pc 0056f45e   system lib libart so ( ZNK3art6Thread9DumpStackERNSt3  113basic ostreamIcNS1 11char traitsIcEEEEbP12BacktraceMapb 366)_x000D_
02 26 10:33:19 702 A zygote: runtime cc:492    native:  02 pc 00569ce3   system lib libart so ( ZNK3art6Thread4DumpERNSt3  113basic ostreamIcNS1 11char traitsIcEEEEbP12BacktraceMapb 83)_x000D_
02 26 10:33:19 702 A zygote: runtime cc:492    native:  03 pc 0058c47a   system lib libart so ( ZN3art14DumpCheckpoint3RunEPNS 6ThreadE 1210)_x000D_
02 26 10:33:19 702 A zygote: runtime cc:492    native:  04 pc 00582ada   system lib libart so ( ZN3art10ThreadList13RunCheckpointEPNS 7ClosureES2  570)_x000D_
02 26 10:33:19 702 A zygote: runtime cc:492    native:  05 pc 00582157   system lib libart so ( ZN3art10ThreadList4DumpERNSt3  113basic ostreamIcNS1 11char traitsIcEEEEb 311)_x000D_
02 26 10:33:19 702 A zygote: runtime cc:492    native:  06 pc 0054e803   system lib libart so ( ZNK3art10AbortState14DumpAllThreadsERNSt3  113basic ostreamIcNS1 11char traitsIcEEEEPNS 6ThreadE 355)_x000D_
02 26 10:33:19 702 A zygote: runtime cc:492    native:  07 pc 0054e3bc   system lib libart so ( ZNK3art10AbortState4DumpERNSt3  113basic ostreamIcNS1 11char traitsIcEEEE 508)_x000D_
02 26 10:33:19 702 A zygote: runtime cc:492    native:  08 pc 0053baad   system lib libart so ( ZN3art7Runtime5AbortEPKc 189)_x000D_
02 26 10:33:19 702 A zygote: runtime cc:492    native:  09 pc 0053c569   system lib libart so ( ZN3art7Runtime7AborterEPKc 41)_x000D_
02 26 10:33:19 702 A zygote: runtime cc:492    native:  10 pc 0011c3d3   system lib libart so ( ZNSt3  110  function6  funcIPFvPKcENS 9allocatorIS5 EES4 EclEOS3  35)_x000D_
02 26 10:33:19 702 A zygote: runtime cc:492    native:  11 pc 0065156a   system lib libart so ( ZN7android4base10LogMessageD1Ev 1034)_x000D_
02 26 10:33:19 702 A zygote: runtime cc:492    native:  12 pc 001b9688   system lib libart so ( ZN3art3Dbg13TagFromObjectERKNS 27ScopedObjectAccessUncheckedEPNS 6mirror6ObjectE 1736)_x000D_
02 26 10:33:19 702 A zygote: runtime cc:492    native:  13 pc 001c2358   system lib libart so ( ZN3art3Dbg12GetObjectTagEyPh 776)_x000D_
02 26 10:33:19 702 A zygote: runtime cc:492    native:  14 pc 0039bfc3   system lib libart so ( ZN3art4JDWPL13SF ThisObjectEPNS0 9JdwpStateEPNS0 7RequestEPNS0 9ExpandBufE 115)_x000D_
02 26 10:33:19 702 A zygote: runtime cc:492    native:  15 pc 0039731b   system lib libart so ( ZN3art4JDWP9JdwpState14ProcessRequestEPNS0 7RequestEPNS0 9ExpandBufEPb 939)_x000D_
02 26 10:33:19 702 A zygote: runtime cc:492    native:  16 pc 0039f732   system lib libart so ( ZN3art4JDWP9JdwpState12HandlePacketEv 194)_x000D_
02 26 10:33:19 702 A zygote: runtime cc:492    native:  17 pc 00641e7d   system lib libart so ( ZN3art4JDWP12JdwpAdbState15ProcessIncomingEv 1341)_x000D_
02 26 10:33:19 702 A zygote: runtime cc:492    native:  18 pc 003a01cb   system lib libart so ( ZN3art4JDWP9JdwpState3RunEv 2219)_x000D_
02 26 10:33:19 702 A zygote: runtime cc:492    native:  19 pc 0039efc0   system lib libart so ( ZN3art4JDWPL15StartJdwpThreadEPv 48)_x000D_
02 26 10:33:19 702 A zygote: runtime cc:492    native:  20 pc 000709b5   system lib libc so ( ZL15  pthread startPv 53)_x000D_
02 26 10:33:19 702 A zygote: runtime cc:492    native:  21 pc 0002050b   system lib libc so (  start thread 75)_x000D_
02 26 10:33:19 702 A zygote: runtime cc:492    native:  22 pc 0001eda6   system lib libc so (  bionic clone 70)_x000D_
02 26 10:33:19 702 A zygote: runtime cc:492    (no managed stack frames)_x000D_
02 26 10:33:19 702 A zygote: runtime cc:492  _x000D_
02 26 10:33:19 702 A zygote: runtime cc:492   main  prio 5 tid 1 Suspended_x000D_
02 26 10:33:19 702 A zygote: runtime cc:492      group    sCount 2 dsCount 1 flags 1 obj 0x72cc8568 self 0xb52da000_x000D_
02 26 10:33:19 702 A zygote: runtime cc:492      sysTid 30342 nice  10 cgrp default sched 0 0 handle 0xb5643518_x000D_
02 26 10:33:19 703 A zygote: runtime cc:492      state S schedstat ( 2503306033 378777629 1905 ) utm 204 stm 46 core 0 HZ 100_x000D_
02 26 10:33:19 703 A zygote: runtime cc:492      stack 0xbf436000 0xbf438000 stackSize 8MB_x000D_
02 26 10:33:19 703 A zygote: runtime cc:492      held mutexes _x000D_
02 26 10:33:19 703 A zygote: runtime cc:492    kernel: futex wait queue me 0xd0 0x116_x000D_
02 26 10:33:19 703 A zygote: runtime cc:492    kernel: futex wait 0xe2 0x1dd_x000D_
02 26 10:33:19 703 A zygote: runtime cc:492    kernel: do futex 0x9b 0x70a_x000D_
02 26 10:33:19 703 A zygote: runtime cc:492    kernel: SyS futex 0xaf 0xf6_x000D_
02 26 10:33:19 703 A zygote: runtime cc:492    kernel: syscall after call 0x0 0x4_x000D_
02 26 10:33:19 703 A zygote: runtime cc:492    native:  00 pc 00000ac2   vdso  (  kernel vsyscall 14)_x000D_
02 26 10:33:19 703 A zygote: runtime cc:492    native:  01 pc 0001ef88   system lib libc so (syscall 40)_x000D_
02 26 10:33:19 703 A zygote: runtime cc:492    native:  02 pc 0011e66b   system lib libart so ( ZN3art17ConditionVariable16WaitHoldingLocksEPNS 6ThreadE 139)_x000D_
02 26 10:33:19 703 A zygote: runtime cc:492    native:  03 pc 0011e5d3   system lib libart so ( ZN3art17ConditionVariable4WaitEPNS 6ThreadE 35)_x000D_
02 26 10:33:19 703 A zygote: runtime cc:492    native:  04 pc 0058985d   system lib libart so ( ZN3art10ThreadList22SuspendSelfForDebuggerEv 573)_x000D_
02 26 10:33:19 703 A zygote: runtime cc:492    native:  05 pc 001d16bb   system lib libart so ( ZN3art3Dbg11SuspendSelfEv 43)_x000D_
02 26 10:33:19 703 A zygote: runtime cc:492    native:  06 pc 0038f6ac   system lib libart so ( ZN3art4JDWP9JdwpState15SuspendByPolicyENS0 17JdwpSuspendPolicyEy 284)_x000D_
02 26 10:33:19 703 A zygote: runtime cc:492    native:  07 pc 0038fba6   system lib libart so ( ZN3art4JDWP9JdwpState29SendRequestAndPossiblySuspendEPNS0 9ExpandBufENS0 17JdwpSuspendPolicyEy 614)_x000D_
02 26 10:33:19 703 A zygote: runtime cc:492    native:  08 pc 00391e66   system lib libart so ( ZN3art4JDWP9JdwpState17PostLocationEventEPKNS0 13EventLocationEPNS 6mirror6ObjectEiPKNS 6JValueE 1686)_x000D_
02 26 10:33:19 703 A zygote: runtime cc:492    native:  09 pc 001d6897   system lib libart so ( ZN3art3Dbg17PostLocationEventEPNS 9ArtMethodEiPNS 6mirror6ObjectEiPKNS 6JValueE 263)_x000D_
02 26 10:33:19 703 A zygote: runtime cc:492    native:  10 pc 001d7897   system lib libart so ( ZN3art3Dbg14UpdateDebuggerEPNS 6ThreadEPNS 6mirror6ObjectEPNS 9ArtMethodEjiPKNS 6JValueE 2215)_x000D_
02 26 10:33:19 703 A zygote: runtime cc:492    native:  11 pc 001e6deb   system lib libart so ( ZN3art28DebugInstrumentationListener10DexPcMovedEPNS 6ThreadEPNS 6mirror6ObjectEPNS 9ArtMethodEj 139)_x000D_
02 26 10:33:19 703 A zygote: runtime cc:492    native:  12 pc 002e5f72   system lib libart so ( ZNK3art15instrumentation15Instrumentation19DexPcMovedEventImplEPNS 6ThreadEPNS 6mirror6ObjectEPNS 9ArtMethodEj 82)_x000D_
02 26 10:33:19 703 A zygote: runtime cc:492    native:  13 pc 0034292c   system lib libart so ( ZN3art11interpreter17ExecuteSwitchImplILb0ELb0EEENS 6JValueEPNS 6ThreadEPKNS 7DexFile8CodeItemERNS 11ShadowFrameES2 b 18844)_x000D_
02 26 10:33:19 703 A zygote: runtime cc:492    native:  14 pc 002f6039   system lib libart so ( ZN3art11interpreterL7ExecuteEPNS 6ThreadEPKNS 7DexFile8CodeItemERNS 11ShadowFrameENS 6JValueEb 761)_x000D_
02 26 10:33:19 703 A zygote: runtime cc:492    native:  15 pc 002fddbb   system lib libart so ( ZN3art11interpreter30EnterInterpreterFromEntryPointEPNS 6ThreadEPKNS 7DexFile8CodeItemEPNS 11ShadowFrameE 139)_x000D_
02 26 10:33:19 703 A zygote: runtime cc:492    native:  16 pc 0060e53f   system lib libart so (artQuickToInterpreterBridge 1375)_x000D_
02 26 10:33:19 703 A zygote: runtime cc:492    native:  17 pc 0063ed2d   system lib libart so (art quick to interpreter bridge 77)_x000D_
02 26 10:33:19 703 A zygote: runtime cc:492    native:  18 pc 00638cd2   system lib libart so (art quick invoke stub 338)_x000D_
02 26 10:33:19 703 A zygote: runtime cc:492    native:  19 pc 00112b48   system lib libart so ( ZN3art9ArtMethod6InvokeEPNS 6ThreadEPjjPNS 6JValueEPKc 232)_x000D_
02 26 10:33:19 703 A zygote: runtime cc:492    native:  20 pc 00533035   system lib libart so ( ZN3artL18InvokeWithArgArrayERKNS 33ScopedObjectAccessAlreadyRunnableEPNS 9ArtMethodEPNS 8ArgArrayEPNS 6JValueEPKc 101)_x000D_
02 26 10:33:19 703 A zygote: runtime cc:492    native:  21 pc 005350c6   system lib libart so ( ZN3art12InvokeMethodERKNS 33ScopedObjectAccessAlreadyRunnableEP8 jobjectS4 S4 j 1478)_x000D_
02 26 10:33:19 703 A zygote: runtime cc:492    native:  22 pc 004a2420   system lib libart so ( ZN3artL13Method invokeEP7 JNIEnvP8 jobjectS3 S3  80)_x000D_
02 26 10:33:19 703 A zygote: runtime cc:492    native:  23 pc 0008ebd8   system framework x86 boot oat (   )_x000D_
     _x000D_
02 26 10:33:19 703 A zygote: runtime cc:492    at java lang reflect Method invoke(Native method)_x000D_
02 26 10:33:19 703 A zygote: runtime cc:492    at net grandcentrix thirtyinch callonmainthread CallOnMainThreadInvocationHandler handleInvocation(CallOnMainThreadInvocationHandler java:53)_x000D_
02 26 10:33:19 703 A zygote: runtime cc:492    at net grandcentrix thirtyinch util AbstractInvocationHandler invoke(AbstractInvocationHandler java:108)_x000D_
02 26 10:33:19 703 A zygote: runtime cc:492    at java lang reflect Proxy invoke(Proxy java:913)_x000D_
     _x000D_
02 26 10:33:19 703 A zygote: runtime cc:492    at net grandcentrix thirtyinch TiPresenter attachView(TiPresenter java:185)_x000D_
02 26 10:33:19 703 A zygote: runtime cc:492    at net grandcentrix thirtyinch internal PresenterViewBinder bindView(PresenterViewBinder java:81)_x000D_
02 26 10:33:19 703 A zygote: runtime cc:492    at net grandcentrix thirtinch conductor TiController 1 run(TiController java:117)_x000D_
02 26 10:33:19 703 A zygote: runtime cc:492    at net grandcentrix thirtyinch internal UiThreadExecutor execute(UiThreadExecutor java:38)_x000D_
02 26 10:33:19 703 A zygote: runtime cc:492    at net grandcentrix thirtinch conductor TiController onAttach(TiController java:114)_x000D_
02 26 10:33:19 703 A zygote: runtime cc:492    at com bluelinelabs conductor Controller attach(Controller java:894)_x000D_
02 26 10:33:19 703 A zygote: runtime cc:492    at com bluelinelabs conductor Controller access 500(Controller java:44)_x000D_
02 26 10:33:19 703 A zygote: runtime cc:492    at com bluelinelabs conductor Controller 7 onAttached(Controller java:1005)_x000D_
02 26 10:33:19 703 A zygote: runtime cc:492    at com bluelinelabs conductor internal ViewAttachHandler reportAttached(ViewAttachHandler java:87)_x000D_
02 26 10:33:19 703 A zygote: runtime cc:492    at com bluelinelabs conductor internal ViewAttachHandler access 100(ViewAttachHandler java:7)_x000D_
02 26 10:33:19 703 A zygote: runtime cc:492    at com bluelinelabs conductor internal ViewAttachHandler 1 onAttached(ViewAttachHandler java:47)_x000D_
02 26 10:33:19 703 A zygote: runtime cc:492    at com bluelinelabs conductor internal ViewAttachHandler 2 onViewAttachedToWindow(ViewAttachHandler java:126)_x000D_
02 26 10:33:19 703 A zygote: runtime cc:492    at android view View dispatchAttachedToWindow(View java:17392)_x000D_
02 26 10:33:19 703 A zygote: runtime cc:492    at android view ViewGroup dispatchAttachedToWindow(ViewGroup java:3326)_x000D_
02 26 10:33:19 703 I chatty: uid 10085(u0 a85) JDWP identical 1 line_x000D_
02 26 10:33:19 703 A zygote: runtime cc:492    at android view ViewGroup dispatchAttachedToWindow(ViewGroup java:3326)_x000D_
02 26 10:33:19 703 A zygote: runtime cc:492        repeated 5 times_x000D_
02 26 10:33:19 703 A zygote: runtime cc:492    at android view ViewRootImpl performTraversals(ViewRootImpl java:1658)_x000D_
02 26 10:33:19 703 A zygote: runtime cc:492    at android view ViewRootImpl doTraversal(ViewRootImpl java:1386)_x000D_
02 26 10:33:19 703 A zygote: runtime cc:492    at android view ViewRootImpl TraversalRunnable run(ViewRootImpl java:6733)_x000D_
02 26 10:33:19 703 A zygote: runtime cc:492    at android view Choreographer CallbackRecord run(Choreographer java:911)_x000D_
02 26 10:33:19 703 A zygote: runtime cc:492    at android view Choreographer doCallbacks(Choreographer java:723)_x000D_
02 26 10:33:19 703 A zygote: runtime cc:492    at android view Choreographer doFrame(Choreographer java:658)_x000D_
02 26 10:33:19 703 A zygote: runtime cc:492    at android view Choreographer FrameDisplayEventReceiver run(Choreographer java:897)_x000D_
02 26 10:33:19 703 A zygote: runtime cc:492    at android os Handler handleCallback(Handler java:789)_x000D_
02 26 10:33:19 703 A zygote: runtime cc:492    at android os Handler dispatchMessage(Handler java:98)_x000D_
02 26 10:33:19 703 A zygote: runtime cc:492    at android os Looper loop(Looper java:164)_x000D_
02 26 10:33:19 703 A zygote: runtime cc:492    at android app ActivityThread main(ActivityThread java:6541)_x000D_
02 26 10:33:19 703 A zygote: runtime cc:492    at java lang reflect Method invoke(Native method)_x000D_
02 26 10:33:19 704 A zygote: runtime cc:492    at com android internal os Zygote MethodAndArgsCaller run(Zygote java:240)_x000D_
02 26 10:33:19 704 A zygote: runtime cc:492    at com android internal os ZygoteInit main(ZygoteInit java:767)_x000D_
02 26 10:33:19 704 A zygote: runtime cc:492  _x000D_
02 26 10:33:19 704 A zygote: runtime cc:492   Jit thread pool worker thread 0  prio 5 tid 2 Native_x000D_
02 26 10:33:19 704 A zygote: runtime cc:492      group    sCount 1 dsCount 0 flags 1 obj 0x12f81858 self 0xa7a1f000_x000D_
02 26 10:33:19 704 A zygote: runtime cc:492      sysTid 30349 nice 9 cgrp default sched 0 0 handle 0xa79ff970_x000D_
02 26 10:33:19 704 A zygote: runtime cc:492      state S schedstat ( 2310425556 2152656030 2375 ) utm 86 stm 145 core 0 HZ 100_x000D_
02 26 10:33:19 704 A zygote: runtime cc:492      stack 0xa7901000 0xa7903000 stackSize 1022KB_x000D_
02 26 10:33:19 704 A zygote: runtime cc:492      held mutexes _x000D_
02 26 10:33:19 704 A zygote: runtime cc:492    kernel: futex wait queue me 0xd0 0x116_x000D_
02 26 10:33:19 704 A zygote: runtime cc:492    kernel: futex wait 0xe2 0x1dd_x000D_
02 26 10:33:19 704 A zygote: runtime cc:492    kernel: do futex 0x9b 0x70a_x000D_
02 26 10:33:19 704 A zygote: runtime cc:492    kernel: SyS futex 0xaf 0xf6_x000D_
02 26 10:33:19 704 A zygote: runtime cc:492    kernel: syscall after call 0x0 0x4_x000D_
02 26 10:33:19 704 A zygote: runtime cc:492    native:  00 pc 00000ac2   vdso  (  kernel vsyscall 14)_x000D_
02 26 10:33:19 704 A zygote: runtime cc:492    native:  01 pc 0001ef88   system lib libc so (syscall 40)_x000D_
02 26 10:33:19 704 A zygote: runtime cc:492    native:  02 pc 0011e66b   system lib libart so ( ZN3art17ConditionVariable16WaitHoldingLocksEPNS 6ThreadE 139)_x000D_
02 26 10:33:19 704 A zygote: runtime cc:492    native:  03 pc 0011e5d3   system lib libart so ( ZN3art17ConditionVariable4WaitEPNS 6ThreadE 35)_x000D_
02 26 10:33:19 704 A zygote: runtime cc:492    native:  04 pc 0058e3aa   system lib libart so ( ZN3art10ThreadPool7GetTaskEPNS 6ThreadE 266)_x000D_
02 26 10:33:19 704 A zygote: runtime cc:492    native:  05 pc 0058d7d5   system lib libart so ( ZN3art16ThreadPoolWorker3RunEv 117)_x000D_
02 26 10:33:19 704 A zygote: runtime cc:492    native:  06 pc 0058d0d2   system lib libart so ( ZN3art16ThreadPoolWorker8CallbackEPv 146)_x000D_
02 26 10:33:19 704 A zygote: runtime cc:492    native:  07 pc 000709b5   system lib libc so ( ZL15  pthread startPv 53)_x000D_
02 26 10:33:19 704 A zygote: runtime cc:492    native:  08 pc 0002050b   system lib libc so (  start thread 75)_x000D_
02 26 10:33:19 704 A zygote: runtime cc:492    native:  09 pc 0001eda6   system lib libc so (  bionic clone 70)_x000D_
02 26 10:33:19 704 A zygote: runtime cc:492    (no managed stack frames)_x000D_
02 26 10:33:19 704 A zygote: runtime cc:492  _x000D_
02 26 10:33:19 704 A zygote: runtime cc:492   Signal Catcher  prio 5 tid 3 WaitingInMainSignalCatcherLoop_x000D_
02 26 10:33:19 704 A zygote: runtime cc:492      group    sCount 1 dsCount 0 flags 1 obj 0x12f80000 self 0xb52dac00_x000D_
02 26 10:33:19 704 A zygote: runtime cc:492      sysTid 30350 nice 0 cgrp default sched 0 0 handle 0xa78fe970_x000D_
02 26 10:33:19 704 A zygote: runtime cc:492      state S schedstat ( 386512 1069399 1 ) utm 0 stm 0 core 2 HZ 100_x000D_
02 26 10:33:19 704 A zygote: runtime cc:492      stack 0xa7804000 0xa7806000 stackSize 1006KB_x000D_
02 26 10:33:19 704 A zygote: runtime cc:492      held mutexes _x000D_
02 26 10:33:19 704 A zygote: runtime cc:492    kernel: do sigtimedwait 0xd7 0x19f_x000D_
02 26 10:33:19 704 A zygote: runtime cc:492    kernel: SyS rt sigtimedwait 0x6e 0x9c_x000D_
02 26 10:33:19 704 A zygote: runtime cc:492    kernel: syscall after call 0x0 0x4_x000D_
02 26 10:33:19 704 A zygote: runtime cc:492    native:  00 pc 00000ac4   vdso  (  kernel vsyscall 16)_x000D_
02 26 10:33:19 704 A zygote: runtime cc:492    native:  01 pc 00073991   system lib libc so (  rt sigtimedwait 33)_x000D_
02 26 10:33:19 704 A zygote: runtime cc:492    native:  02 pc 0002c05b   system lib libc so (sigwait 75)_x000D_
02 26 10:33:19 704 A zygote: runtime cc:492    native:  03 pc 00557e99   system lib libart so ( ZN3art9SignalSet4WaitEv 57)_x000D_
02 26 10:33:19 704 A zygote: runtime cc:492    native:  04 pc 00557853   system lib libart so ( ZN3art13SignalCatcher13WaitForSignalEPNS 6ThreadERNS 9SignalSetE 227)_x000D_
02 26 10:33:19 704 A zygote: runtime cc:492    native:  05 pc 00555daf   system lib libart so ( ZN3art13SignalCatcher3RunEPv 303)_x000D_
02 26 10:33:19 704 A zygote: runtime cc:492    native:  06 pc 000709b5   system lib libc so ( ZL15  pthread startPv 53)_x000D_
02 26 10:33:19 704 A zygote: runtime cc:492    native:  07 pc 0002050b   system lib libc so (  start thread 75)_x000D_
02 26 10:33:19 704 A zygote: runtime cc:492    native:  08 pc 0001eda6   system lib libc so (  bionic clone 70)_x000D_
02 26 10:33:19 704 A zygote: runtime cc:492    (no managed stack frames)_x000D_
02 26 10:33:19 704 A zygote: runtime cc:492  _x000D_
02 26 10:33:19 704 A zygote: runtime cc:492   ReferenceQueueDaemon  prio 5 tid 5 Waiting_x000D_
02 26 10:33:19 704 A zygote: runtime cc:492      group    sCount 1 dsCount 0 flags 1 obj 0x12f80110 self 0xa7746800_x000D_
02 26 10:33:19 704 A zygote: runtime cc:492      sysTid 30352 nice 4 cgrp default sched 0 0 handle 0x96186970_x000D_
02 26 10:33:19 704 A zygote: runtime cc:492      state S schedstat ( 10973053 6410042 38 ) utm 1 stm 0 core 1 HZ 100_x000D_
02 26 10:33:19 704 A zygote: runtime cc:492      stack 0x96084000 0x96086000 stackSize 1038KB_x000D_
02 26 10:33:19 704 A zygote: runtime cc:492      held mutexes _x000D_
02 26 10:33:19 704 A zygote: runtime cc:492    kernel: futex wait queue me 0xd0 0x116_x000D_
02 26 10:33:19 704 A zygote: runtime cc:492    kernel: futex wait 0xe2 0x1dd_x000D_
02 26 10:33:19 704 A zygote: runtime cc:492    kernel: do futex 0x9b 0x70a_x000D_
02 26 10:33:19 704 A zygote: runtime cc:492    kernel: SyS futex 0xaf 0xf6_x000D_
02 26 10:33:19 704 A zygote: runtime cc:492    kernel: syscall after call 0x0 0x4_x000D_
02 26 10:33:19 704 A zygote: runtime cc:492    native:  00 pc 00000ac2   vdso  (  kernel vsyscall 14)_x000D_
02 26 10:33:19 704 A zygote: runtime cc:492    native:  01 pc 0001ef88   system lib libc so (syscall 40)_x000D_
02 26 10:33:19 704 A zygote: runtime cc:492    native:  02 pc 0011e66b   system lib libart so ( ZN3art17ConditionVariable16WaitHoldingLocksEPNS 6ThreadE 139)_x000D_
02 26 10:33:19 704 A zygote: runtime cc:492    native:  03 pc 0011e5d3   system lib libart so ( ZN3art17ConditionVariable4WaitEPNS 6ThreadE 35)_x000D_
02 26 10:33:19 704 A zygote: runtime cc:492    native:  04 pc 0046dc45   system lib libart so ( ZN3art7Monitor4WaitEPNS 6ThreadExibNS 11ThreadStateE 661)_x000D_
02 26 10:33:19 704 A zygote: runtime cc:492    native:  05 pc 0046fad4   system lib libart so ( ZN3art7Monitor4WaitEPNS 6ThreadEPNS 6mirror6ObjectExibNS 11ThreadStateE 196)_x000D_
02 26 10:33:19 704 A zygote: runtime cc:492    native:  06 pc 0048aaf3   system lib libart so ( ZN3artL11Object waitEP7 JNIEnvP8 jobject 83)_x000D_
02 26 10:33:19 704 A zygote: runtime cc:492    native:  07 pc 000006a8   system framework x86 boot oat (Java java lang Object wait   104)_x000D_
02 26 10:33:19 704 A zygote: runtime cc:492    at java lang Object wait(Native method)_x000D_
02 26 10:33:19 704 A zygote: runtime cc:492      waiting on  0x01a8d25d  (a java lang Class java lang ref ReferenceQueue )_x000D_
02 26 10:33:19 704 A zygote: runtime cc:492    at java lang Daemons ReferenceQueueDaemon runInternal(Daemons java:178)_x000D_
02 26 10:33:19 704 A zygote: runtime cc:492      locked  0x01a8d25d  (a java lang Class java lang ref ReferenceQueue )_x000D_
02 26 10:33:19 704 A zygote: runtime cc:492    at java lang Daemons Daemon run(Daemons java:103)_x000D_
02 26 10:33:19 704 A zygote: runtime cc:492    at java lang Thread run(Thread java:764)_x000D_
02 26 10:33:19 704 A zygote: runtime cc:492  _x000D_
02 26 10:33:19 704 A zygote: runtime cc:492   FinalizerWatchdogDaemon  prio 5 tid 6 Sleeping_x000D_
02 26 10:33:19 704 A zygote: runtime cc:492      group    sCount 1 dsCount 0 flags 1 obj 0x12f80198 self 0xa4e49200_x000D_
02 26 10:33:19 704 A zygote: runtime cc:492      sysTid 30354 nice 4 cgrp default sched 0 0 handle 0x95f7c970_x000D_
02 26 10:33:19 704 A zygote: runtime cc:492      state S schedstat ( 2368396 61541038 9 ) utm 0 stm 0 core 1 HZ 100_x000D_
02 26 10:33:19 704 A zygote: runtime cc:492      stack 0x95e7a000 0x95e7c000 stackSize 1038KB_x000D_
02 26 10:33:19 704 A zygote: runtime cc:492      held mutexes _x000D_
02 26 10:33:19 704 A zygote: runtime cc:492    kernel: futex wait queue me 0xd0 0x116_x000D_
02 26 10:33:19 705 A zygote: runtime cc:492    kernel: futex wait 0xe2 0x1dd_x000D_
02 26 10:33:19 705 A zygote: runtime cc:492    kernel: do futex 0x9b 0x70a_x000D_
02 26 10:33:19 705 A zygote: runtime cc:492    kernel: SyS futex 0xaf 0xf6_x000D_
02 26 10:33:19 705 A zygote: runtime cc:492    kernel: syscall after call 0x0 0x4_x000D_
02 26 10:33:19 705 A zygote: runtime cc:492    native:  00 pc 00000ac4   vdso  (  kernel vsyscall 16)_x000D_
02 26 10:33:19 705 A zygote: runtime cc:492    native:  01 pc 0001ef88   system lib libc so (syscall 40)_x000D_
02 26 10:33:19 705 A zygote: runtime cc:492    native:  02 pc 0011ec28   system lib libart so ( ZN3art17ConditionVariable9TimedWaitEPNS 6ThreadExi 200)_x000D_
02 26 10:33:19 705 A zygote: runtime cc:492    native:  03 pc 0046dc68   system lib libart so ( ZN3art7Monitor4WaitEPNS 6ThreadExibNS 11ThreadStateE 696)_x000D_
02 26 10:33:19 705 A zygote: runtime cc:492    native:  04 pc 0046fad4   system lib libart so ( ZN3art7Monitor4WaitEPNS 6ThreadEPNS 6mirror6ObjectExibNS 11ThreadStateE 196)_x000D_
02 26 10:33:19 705 A zygote: runtime cc:492    native:  05 pc 00492340   system lib libart so ( ZN3artL12Thread sleepEP7 JNIEnvP7 jclassP8 jobjectxi 112)_x000D_
02 26 10:33:19 705 A zygote: runtime cc:492    native:  06 pc 0001fb5a   system framework x86 boot oat (Java java lang Thread sleep  Ljava lang Object 2JI 202)_x000D_
02 26 10:33:19 705 A zygote: runtime cc:492    at java lang Thread sleep(Native method)_x000D_
02 26 10:33:19 705 A zygote: runtime cc:492      sleeping on  0x0a8f15d0  (a java lang Object)_x000D_
02 26 10:33:19 705 A zygote: runtime cc:492    at java lang Thread sleep(Thread java:373)_x000D_
02 26 10:33:19 705 A zygote: runtime cc:492      locked  0x0a8f15d0  (a java lang Object)_x000D_
02 26 10:33:19 705 A zygote: runtime cc:492    at java lang Thread sleep(Thread java:314)_x000D_
02 26 10:33:19 705 A zygote: runtime cc:492    at java lang Daemons FinalizerWatchdogDaemon sleepFor(Daemons java:342)_x000D_
02 26 10:33:19 705 A zygote: runtime cc:492    at java lang Daemons FinalizerWatchdogDaemon waitForFinalization(Daemons java:364)_x000D_
02 26 10:33:19 705 A zygote: runtime cc:492    at java lang Daemons FinalizerWatchdogDaemon runInternal(Daemons java:281)_x000D_
02 26 10:33:19 705 A zygote: runtime cc:492    at java lang Daemons Daemon run(Daemons java:103)_x000D_
02 26 10:33:19 705 A zygote: runtime cc:492    at java lang Thread run(Thread java:764)_x000D_
02 26 10:33:19 705 A zygote: runtime cc:492  _x000D_
02 26 10:33:19 705 A zygote: runtime cc:492   FinalizerDaemon  prio 5 tid 7 Waiting_x000D_
02 26 10:33:19 705 A zygote: runtime cc:492      group    sCount 1 dsCount 0 flags 1 obj 0x12f80220 self 0xa7746e00_x000D_
02 26 10:33:19 705 A zygote: runtime cc:492      sysTid 30353 nice 4 cgrp default sched 0 0 handle 0x96081970_x000D_
02 26 10:33:19 705 A zygote: runtime cc:492      state S schedstat ( 9569147 50062425 25 ) utm 0 stm 0 core 1 HZ 100_x000D_
02 26 10:33:19 706 A zygote: runtime cc:492      stack 0x95f7f000 0x95f81000 stackSize 1038KB_x000D_
02 26 10:33:19 706 A zygote: runtime cc:492      held mutexes _x000D_
02 26 10:33:19 706 A zygote: runtime cc:492    kernel: futex wait queue me 0xd0 0x116_x000D_
02 26 10:33:19 706 A zygote: runtime cc:492    kernel: futex wait 0xe2 0x1dd_x000D_
02 26 10:33:19 706 A zygote: runtime cc:492    kernel: do futex 0x9b 0x70a_x000D_
02 26 10:33:19 706 A zygote: runtime cc:492    kernel: SyS futex 0xaf 0xf6_x000D_
02 26 10:33:19 706 A zygote: runtime cc:492    kernel: syscall after call 0x0 0x4_x000D_
02 26 10:33:19 706 A zygote: runtime cc:492    native:  00 pc 00000ac2   vdso  (  kernel vsyscall 14)_x000D_
02 26 10:33:19 706 A zygote: runtime cc:492    native:  01 pc 0001ef88   system lib libc so (syscall 40)_x000D_
02 26 10:33:19 706 A zygote: runtime cc:492    native:  02 pc 0011e66b   system lib libart so ( ZN3art17ConditionVariable16WaitHoldingLocksEPNS 6ThreadE 139)_x000D_
02 26 10:33:19 706 A zygote: runtime cc:492    native:  03 pc 0011e5d3   system lib libart so ( ZN3art17ConditionVariable4WaitEPNS 6ThreadE 35)_x000D_
02 26 10:33:19 706 A zygote: runtime cc:492    native:  04 pc 0046dc45   system lib libart so ( ZN3art7Monitor4WaitEPNS 6ThreadExibNS 11ThreadStateE 661)_x000D_
02 26 10:33:19 706 A zygote: runtime cc:492    native:  05 pc 0046fad4   system lib libart so ( ZN3art7Monitor4WaitEPNS 6ThreadEPNS 6mirror6ObjectExibNS 11ThreadStateE 196)_x000D_
02 26 10:33:19 706 A zygote: runtime cc:492    native:  06 pc 0048ab67   system lib libart so ( ZN3artL13Object waitJIEP7 JNIEnvP8 jobjectxi 87)_x000D_
02 26 10:33:19 706 A zygote: runtime cc:492    native:  07 pc 00000a58   system framework x86 boot oat (Java java lang Object wait  JI 136)_x000D_
02 26 10:33:19 706 A zygote: runtime cc:492    at java lang Object wait(Native method)_x000D_
02 26 10:33:19 706 A zygote: runtime cc:492      waiting on  0x0671d9c9  (a java lang Object)_x000D_
02 26 10:33:19 706 A zygote: runtime cc:492    at java lang Object wait(Object java:422)_x000D_
02 26 10:33:19 706 A zygote: runtime cc:492    at java lang ref ReferenceQueue remove(ReferenceQueue java:188)_x000D_
02 26 10:33:19 706 A zygote: runtime cc:492      locked  0x0671d9c9  (a java lang Object)_x000D_
02 26 10:33:19 706 A zygote: runtime cc:492    at java lang ref ReferenceQueue remove(ReferenceQueue java:209)_x000D_
02 26 10:33:19 706 A zygote: runtime cc:492    at java lang Daemons FinalizerDaemon runInternal(Daemons java:232)_x000D_
02 26 10:33:19 706 A zygote: runtime cc:492    at java lang Daemons Daemon run(Daemons java:103)_x000D_
02 26 10:33:19 706 A zygote: runtime cc:492    at java lang Thread run(Thread java:764)_x000D_
02 26 10:33:19 706 A zygote: runtime cc:492  _x000D_
02 26 10:33:19 706 A zygote: runtime cc:492   HeapTaskDaemon  prio 5 tid 8 Blocked_x000D_
02 26 10:33:19 706 A zygote: runtime cc:492      group    sCount 1 dsCount 0 flags 1 obj 0x12f80440 self 0xb0e8f000_x000D_
02 26 10:33:19 706 A zygote: runtime cc:492      sysTid 30355 nice 4 cgrp default sched 0 0 handle 0x95e77970_x000D_
02 26 10:33:19 706 A zygote: runtime cc:492      state</t>
  </si>
  <si>
    <t>smartdevicelink-sdl_java_suite-688</t>
  </si>
  <si>
    <t>Crash In SDLRouterStatusProvider</t>
  </si>
  <si>
    <t xml:space="preserve">This is coming through in my crash reports  it appears to happen quite regularly in the wild however i have not seen it during internal testing  Hope you guys are able to help  Let me know if you need more info _x000D_
_x000D_
_x000D_
   _x000D_
Caused by java lang RuntimeException: Can t create handler inside thread that has not called Looper prepare()_x000D_
       at android os Handler  init (Handler java:204)_x000D_
       at android os Handler  init (Handler java:118)_x000D_
       at com smartdevicelink transport SdlRouterStatusProvider ClientHandler  init (SdlRouterStatusProvider java:130)_x000D_
       at com smartdevicelink transport SdlRouterStatusProvider  init (SdlRouterStatusProvider java:71)_x000D_
       at com smartdevicelink transport SdlBroadcastReceiver 4 onConnectionStatusUpdate(SdlBroadcastReceiver java:373)_x000D_
       at com smartdevicelink transport SdlRouterStatusProvider checkIsConnected(SdlRouterStatusProvider java:80)_x000D_
       at com smartdevicelink transport SdlBroadcastReceiver 5 onListObtained(SdlBroadcastReceiver java:399)_x000D_
       at com smartdevicelink transport RouterServiceValidator 2 httpCallComplete(RouterServiceValidator java:470)_x000D_
       at com smartdevicelink util HttpRequestTask doInBackground(HttpRequestTask java:124)_x000D_
       at com smartdevicelink util HttpRequestTask doInBackground(HttpRequestTask java:16)_x000D_
       at android os AsyncTask 2 call(AsyncTask java:333)_x000D_
       at java util concurrent FutureTask run(FutureTask java:266)_x000D_
       at android os AsyncTask SerialExecutor 1 run(AsyncTask java:245)_x000D_
       at java util concurrent ThreadPoolExecutor runWorker(ThreadPoolExecutor java:1162)_x000D_
       at java util concurrent ThreadPoolExecutor Worker run(ThreadPoolExecutor java:636)_x000D_
       at java lang Thread run(Thread java:764)_x000D_
   _x000D_
</t>
  </si>
  <si>
    <t>twilio-video-quickstart-android-250</t>
  </si>
  <si>
    <t xml:space="preserve">Getting a crash while using VideoView backed by TextureView.. </t>
  </si>
  <si>
    <t xml:space="preserve">    Description_x000D_
_x000D_
Getting a crash while using VideoView backed by TextureView  Crash Occurs when I try to change orientation of mobile continuously _x000D_
_x000D_
    Steps to Reproduce_x000D_
_x000D_
1  Use a VideoView backed by textureView  https:  gist github com aaalaniz bfbc4891c98ef3b23558ff2260cbcc8e (click here)_x000D_
2  Create a room and land into the call page which has the VideoView in it   _x000D_
3  Try rotating the mobile and changing orientation of the mobile from portrait to landscape continuously or in a 3 second interval _x000D_
_x000D_
     Logs which I got_x000D_
_x000D_
   _x000D_
 FATAL EXCEPTION: main_x000D_
    Process: com example twiliovideo   PID: 2448_x000D_
    java lang RuntimeException: java lang RuntimeException: Failed to create EGL context: 0x3003_x000D_
        at org webrtc EglBase14 createEglContext(EglBase14 java:260)_x000D_
        at org webrtc EglBase14  init (EglBase14 java:58)_x000D_
        at org webrtc EglBase create(EglBase java:86)_x000D_
        at org webrtc EglRenderer 3 run(EglRenderer java:194)_x000D_
        at org webrtc ThreadUtils 5 call(ThreadUtils java:208)_x000D_
        at org webrtc ThreadUtils 5 call(ThreadUtils java:205)_x000D_
        at org webrtc ThreadUtils 4 run(ThreadUtils java:182)_x000D_
        at android os Handler handleCallback(Handler java:751)_x000D_
        at android os Handler dispatchMessage(Handler java:95)_x000D_
        at android os Looper loop(Looper java:154)_x000D_
        at android os HandlerThread run(HandlerThread java:61)_x000D_
        at org webrtc ThreadUtils invokeAtFrontUninterruptibly(ThreadUtils java:193)_x000D_
        at org webrtc ThreadUtils invokeAtFrontUninterruptibly(ThreadUtils java:205)_x000D_
        at org webrtc EglRenderer init(EglRenderer java:183)_x000D_
        at com example twiliovideo twilio custom TextureVideoView init(TextureVideoView java:200)_x000D_
        at com example twiliovideo twilio custom TextureVideoView init(TextureVideoView java:186)_x000D_
        at com example twiliovideo twilio custom TextureVideoView onAttachedToWindow(TextureVideoView java:98)_x000D_
        at android view View dispatchAttachedToWindow(View java:16718)_x000D_
        at android view ViewGroup dispatchAttachedToWindow(ViewGroup java:3158)_x000D_
        at android view ViewGroup dispatchAttachedToWindow(ViewGroup java:3158)_x000D_
        at android view ViewGroup dispatchAttachedToWindow(ViewGroup java:3158)_x000D_
        at android view ViewGroup addViewInner(ViewGroup java:4697)_x000D_
        at android view ViewGroup addView(ViewGroup java:4499)_x000D_
        at android view ViewGroup addView(ViewGroup java:4439)_x000D_
        at android view ViewGroup addView(ViewGroup java:4412)_x000D_
        at com example twiliovideo ui activities VideoCallActivity createSelfVideoView(VideoCallActivity java:1189)_x000D_
        at com example twiliovideo ui activities VideoCallActivity initializeRoom(VideoCallActivity java:1160)_x000D_
        at com example twiliovideo ui activities VideoCallActivity access 4600(VideoCallActivity java:88)_x000D_
        at com example twiliovideo ui activities VideoCallActivity RoomServiceConnection onServiceConnected(VideoCallActivity java:1539)_x000D_
        at android app LoadedApk ServiceDispatcher doConnected(LoadedApk java:1516)_x000D_
        at android app LoadedApk ServiceDispatcher RunConnection run(LoadedApk java:1544)_x000D_
        at android os Handler handleCallback(Handler java:751)_x000D_
        at android os Handler dispatchMessage(Handler java:95)_x000D_
        at android os Looper loop(Looper java:154)_x000D_
        at android app ActivityThread main(ActivityThread java:6776)_x000D_
        at java lang reflect Method invoke(Native Method)_x000D_
        at com android internal os ZygoteInit MethodAndArgsCaller run(ZygoteInit java:1518)_x000D_
        at com android internal os ZygoteInit main(ZygoteInit java:1408)_x000D_
     Caused by: java lang RuntimeException: Failed to create EGL context: 0x3003_x000D_
        at org webrtc EglBase14 createEglContext(EglBase14 java:260)_x000D_
        at org webrtc EglBase14  init (EglBase14 java:58)_x000D_
        at org webrtc EglBase create(EglBase java:86)_x000D_
        at org webrtc EglRenderer 3 run(EglRenderer java:194)_x000D_
        at org webrtc ThreadUtils 5 call(ThreadUtils java:208)_x000D_
        at org webrtc ThreadUtils 5 call(ThreadUtils java:205)_x000D_
        at org webrtc ThreadUtils 4 run(ThreadUtils java:182)_x000D_
        at android os Handler handleCallback(Handler java:751)_x000D_
        at android os Handler dispatchMessage(Handler java:95)_x000D_
        at android os Looper loop(Looper java:154)_x000D_
        at android os HandlerThread run(HandlerThread java:61)_x000D_
_x000D_
   _x000D_
_x000D_
     Video Android SDK_x000D_
2 0 0 preview7_x000D_
_x000D_
     Android API_x000D_
Api 24_x000D_
_x000D_
     Android Device_x000D_
Samsung C7 Pro     The issue generally occurs with all devices _x000D_
</t>
  </si>
  <si>
    <t>ubclaunchpad-ratemycourse-78</t>
  </si>
  <si>
    <t>Course page handling - if course does not exist</t>
  </si>
  <si>
    <t>Currently if course does not exist  the app crashes  We need to handle course page crashing _x000D_
_x000D_
  should just check if the course exists in the database in the search fragment_x000D_
  if does not exist then we show toast message AND DO NOT PUSH TO DATABASE</t>
  </si>
  <si>
    <t>commons-app-apps-android-commons-1207</t>
  </si>
  <si>
    <t>BUG: In Login activity, app crashes during orientation change.</t>
  </si>
  <si>
    <t xml:space="preserve">  Summary:   _x000D_
_x000D_
When orientation change occurs in login activity  it crashes the app _x000D_
_x000D_
  Steps to reproduce:   _x000D_
_x000D_
How can we reproduce the issue _x000D_
1  Go the login screen (Logout if already logged in) _x000D_
2  Change the phone orientation _x000D_
_x000D_
  Add System logs:  _x000D_
   _x000D_
02 26 07:40:20 076 19163 19163 fr free nrw commons debug E AndroidRuntime: FATAL EXCEPTION: main_x000D_
                                                                           Process: fr free nrw commons debug  PID: 19163_x000D_
                                                                           java lang RuntimeException: Unable to start activity ComponentInfo fr free nrw commons debug fr free nrw commons auth LoginActivity : java lang IllegalStateException: Required view  login credentials  with ID 2131689634 for field  loginCredentials  was not found  If this view is optional add   Nullable  (fields) or   Optional  (methods) annotation _x000D_
                                                                               at android app ActivityThread performLaunchActivity(ActivityThread java:2696)_x000D_
                                                                               at android app ActivityThread handleLaunchActivity(ActivityThread java:2757)_x000D_
                                                                               at android app ActivityThread handleRelaunchActivity(ActivityThread java:4553)_x000D_
                                                                               at android app ActivityThread  wrap19(ActivityThread java)_x000D_
                                                                               at android app ActivityThread H handleMessage(ActivityThread java:1512)_x000D_
                                                                               at android os Handler dispatchMessage(Handler java:102)_x000D_
                                                                               at android os Looper loop(Looper java:163)_x000D_
                                                                               at android app ActivityThread main(ActivityThread java:6237)_x000D_
                                                                               at java lang reflect Method invoke(Native Method)_x000D_
                                                                               at com android internal os ZygoteInit MethodAndArgsCaller run(ZygoteInit java:877)_x000D_
                                                                               at com android internal os ZygoteInit main(ZygoteInit java:767)_x000D_
                                                                            Caused by: java lang IllegalStateException: Required view  login credentials  with ID 2131689634 for field  loginCredentials  was not found  If this view is optional add   Nullable  (fields) or   Optional  (methods) annotation _x000D_
                                                                               at butterknife internal Utils findRequiredView(Utils java:92)_x000D_
                                                                               at butterknife internal Utils findRequiredViewAsType(Utils java:104)_x000D_
                                                                               at fr free nrw commons auth LoginActivity ViewBinding  init (LoginActivity ViewBinding java:37)_x000D_
                                                                               at java lang reflect Constructor newInstance0(Native Method)_x000D_
                                                                               at java lang reflect Constructor newInstance(Constructor java:430)_x000D_
                                                                               at butterknife ButterKnife createBinding(ButterKnife java:199)_x000D_
                                                                               at butterknife ButterKnife bind(ButterKnife java:124)_x000D_
                                                                               at fr free nrw commons auth LoginActivity onCreate(LoginActivity java:95)_x000D_
                                                                               at android app Activity performCreate(Activity java:6847)_x000D_
                                                                               at android app Instrumentation callActivityOnCreate(Instrumentation java:1119)_x000D_
                                                                               at android app ActivityThread performLaunchActivity(ActivityThread java:2649)_x000D_
                                                                               at android app ActivityThread handleLaunchActivity(ActivityThread java:2757) _x000D_
                                                                               at android app ActivityThread handleRelaunchActivity(ActivityThread java:4553) _x000D_
                                                                               at android app ActivityThread  wrap19(ActivityThread java) _x000D_
                                                                               at android app ActivityThread H handleMessage(ActivityThread java:1512) _x000D_
                                                                               at android os Handler dispatchMessage(Handler java:102) _x000D_
                                                                               at android os Looper loop(Looper java:163) _x000D_
                                                                               at android app ActivityThread main(ActivityThread java:6237) _x000D_
                                                                               at java lang reflect Method invoke(Native Method) _x000D_
                                                                               at com android internal os ZygoteInit MethodAndArgsCaller run(ZygoteInit java:877) _x000D_
                                                                               at com android internal os ZygoteInit main(ZygoteInit java:767) _x000D_
   _x000D_
_x000D_
  Device and Android version:   _x000D_
_x000D_
Android 7 MIUI V9 0_x000D_
 _x000D_
   Commons app version:   _x000D_
_x000D_
2 6 7 debug master e9602f5_x000D_
_x000D_
_x000D_
  Screen shots:   _x000D_
_x000D_
  crashgif (https:  user images githubusercontent com 20313518 36650406 3f1e91e8 1ac9 11e8 837d bdc5585ca89e gif)_x000D_
_x000D_
  I am working on the issue  _x000D_
_x000D_
Can anybody confirm the bug _x000D_
_x000D_
  Update  _x000D_
_x000D_
TextView_x000D_
                    android:id    id login credentials _x000D_
                    android:layout width  match parent _x000D_
                    android:layout height  wrap content _x000D_
                    android:layout below   id title _x000D_
                    android:layout marginEnd   dimen standard gap _x000D_
                    android:layout marginLeft   dimen standard gap _x000D_
                    android:layout marginRight   dimen standard gap _x000D_
                    android:layout marginStart   dimen standard gap _x000D_
                    android:paddingBottom   dimen small gap _x000D_
                    android:paddingTop   dimen small gap _x000D_
                    android:textAlignment  center _x000D_
                    android:textColor   color secondaryDarkColor _x000D_
                    tools:text   string login credential  _x000D_
_x000D_
This TextView is only present in portrait mode of activity login xml_x000D_
Added this to landscape and x large activity login xml solves the bug _x000D_
PR  1208 fixes this issue _x000D_
</t>
  </si>
  <si>
    <t>getodk-collect-1932</t>
  </si>
  <si>
    <t>Fail gracefully when a device doesn't have an app to handle an image pick intent</t>
  </si>
  <si>
    <t xml:space="preserve">     Software and hardware versions _x000D_
Collect v1 13 0 and prior_x000D_
_x000D_
     Problem description_x000D_
If a device doesn t have an app to pick an image and the user attempts to select a QR code  Collect hard crashes _x000D_
_x000D_
     Steps to reproduce the problem_x000D_
Don t have any app that can pick an image  Go to Admin Settings   Import Export settings and then tap  Select code  _x000D_
_x000D_
     Expected behavior_x000D_
Graceful failure  for example with a toast that no image picking application is on the device _x000D_
_x000D_
     Other information _x000D_
   _x000D_
android content ActivityNotFoundException: _x000D_
  at android app Instrumentation checkStartActivityResult (Instrumentation java:1632)_x000D_
  at android app Instrumentation execStartActivity (Instrumentation java:1541)_x000D_
  at android app Activity startActivityFromFragment (Activity java:4001)_x000D_
  at android app Fragment startActivityForResult (Fragment java:1089)_x000D_
  at android app Fragment startActivityForResult (Fragment java:1073)_x000D_
  at org odk collect android fragments ShowQRCodeFragment onClick (ShowQRCodeFragment java:152)_x000D_
  at android view View performClick (View java:4461)_x000D_
  at android view View PerformClick run (View java:18540)_x000D_
  at android os Handler handleCallback (Handler java:733)_x000D_
  at android os Handler dispatchMessage (Handler java:95)_x000D_
  at android os Looper loop (Looper java:136)_x000D_
  at android app ActivityThread main (ActivityThread java:5164)_x000D_
  at java lang reflect Method invokeNative (Native Method)_x000D_
  at java lang reflect Method invoke (Method java:515)_x000D_
  at com android internal os ZygoteInit MethodAndArgsCaller run (ZygoteInit java:790)_x000D_
  at com android internal os ZygoteInit main (ZygoteInit java:606)_x000D_
  at dalvik system NativeStart main (Native Method)   </t>
  </si>
  <si>
    <t>citiususc-calendula-92</t>
  </si>
  <si>
    <t>App crashes when editing duration of schedule on Galaxy Note 4</t>
  </si>
  <si>
    <t xml:space="preserve">Hi _x000D_
_x000D_
Thanks for your efforts  On Samsung Galaxy Note 4 with Android 5 0  when editing duration of schedules  the app crashes _x000D_
It should be an issue caused by buggy built in DatePicker on such Samsung Lollipop devices  I found the following Stack Overflow posts discussing this issue:_x000D_
https:  stackoverflow com questions 28618405 datepicker crashes on my device when clicked with personal app 31855744_x000D_
https:  stackoverflow com questions 28345413 datepicker crash in samsung with android 5 0_x000D_
_x000D_
One possible workaround is to set special theme for the DatePicker  That would make the picker looks different on such devices but may avoid the crashes </t>
  </si>
  <si>
    <t>mpcjanssen-simpletask-android-862</t>
  </si>
  <si>
    <t>Crash when selecting a date on Samsung Lollipop device</t>
  </si>
  <si>
    <t xml:space="preserve">Hi there _x000D_
_x000D_
When adding a new task and pick a new due date for the task using DatePicker  the app crashes on Samsung Galaxy Note 4 runing Android 5 0 _x000D_
_x000D_
I found the following Stack Overflow posts discussing this issue:_x000D_
https:  stackoverflow com questions 28618405 datepicker crashes on my device when clicked with personal app 31855744_x000D_
https:  stackoverflow com questions 28345413 datepicker crash in samsung with android 5 0_x000D_
_x000D_
It seems to be a bug with the built in DatePicker of some Samsung devices and the issue is also correlated with system language _x000D_
My test with my another Android device did not crash when picking up the date _x000D_
I attached a screenshot of the crash (sorry it s in Chinese):_x000D_
  2018 02 25 18 52 22 3911020 13640 2 (https:  user images githubusercontent com 3822220 36640779 4ef07424 1a60 11e8 9cd7 79d624a37eec jpg)_x000D_
</t>
  </si>
  <si>
    <t>redsolution-xabber-android-800</t>
  </si>
  <si>
    <t>DatePiker crash on Samsung Lollipop Devices</t>
  </si>
  <si>
    <t>Hi there _x000D_
_x000D_
When editing the account information and set birthday using DatePiker  Xabber crashes on Galaxy Note 4 (System language set in Chinese) _x000D_
I found the following discussions on Stack Overflow indicating that this is the problem of Samsung Lollipop devices and it seems also related the system language setting:_x000D_
https:  stackoverflow com questions 28618405 datepicker crashes on my device when clicked with personal app 31855744_x000D_
https:  stackoverflow com questions 28345413 datepicker crash in samsung with android 5 0</t>
  </si>
  <si>
    <t>k9mail-k-9-3215</t>
  </si>
  <si>
    <t>K9 crashed immediately by trying to decrypt a mail</t>
  </si>
  <si>
    <t xml:space="preserve">    Expected behavior_x000D_
Mails should be decrypted_x000D_
_x000D_
    Actual behavior_x000D_
K9 crashed immediately by trying to decrypt_x000D_
_x000D_
    Steps to reproduce_x000D_
1  Open a encrypted (in my case not signed) mail_x000D_
2  Enter the key password_x000D_
3  The screen will be black for a second and nothing else happens_x000D_
_x000D_
    Environment_x000D_
K 9 Mail version: 5 500_x000D_
_x000D_
Android version: 7 0 on a Huawei nova_x000D_
Account type (IMAP  POP3  WebDAV Exchange): IMAP_x000D_
_x000D_
I have enabled debug logging  Where can I found the logg file _x000D_
</t>
  </si>
  <si>
    <t>inaturalist-iNaturalistAndroid-473</t>
  </si>
  <si>
    <t>Crash when rotating Explore with place boundary</t>
  </si>
  <si>
    <t xml:space="preserve">1  Go to explore  search for a place_x000D_
1  View the map and make sure the place boundary is visible_x000D_
1  Rotate your phone_x000D_
_x000D_
For me this causes a consistent crash  regardless of place or other filters  Build 264 </t>
  </si>
  <si>
    <t>NoNews-NoPermission-3</t>
  </si>
  <si>
    <t>Bug when close and reopen</t>
  </si>
  <si>
    <t xml:space="preserve">Thanks for this class  The beauty of simplicity _x000D_
_x000D_
There seems to be a bug when showing the permission request to the user on the splash screen  If the user cleans his dialog and opens again the app  this secod time  the permissionHelper check() method automatically executes  success  and assumes to be granted  without showing the dialog again and without actually having the permission granted _x000D_
_x000D_
In this way  clearing the screen and reopening the app in the same point (i e  moving the app to background and back to foreground) we can navigate the app skipping the dialogs until the final security crash </t>
  </si>
  <si>
    <t>oliexdev-openScale-202</t>
  </si>
  <si>
    <t>Crash while clicking around in graph</t>
  </si>
  <si>
    <t xml:space="preserve">Got the following crash while clicking around in the graph with regression line active (degree 10)  Don t have time just now to figure out exactly what I did  but perhaps it can be fixed anyway _x000D_
_x000D_
Build version: 1 7 dev 0cba7961 _x000D_
Current date: 2018 02 24 09:53:51 _x000D_
Device: LGE Nexus 5X _x000D_
 _x000D_
Stack trace:  _x000D_
java lang ArrayIndexOutOfBoundsException: length 11  index 11_x000D_
	at com health openscale core utils PolynomialFitter gj swap(PolynomialFitter java:186)_x000D_
	at com health openscale core utils PolynomialFitter gj echelonize(PolynomialFitter java:156)_x000D_
	at com health openscale core utils PolynomialFitter getBestFit(PolynomialFitter java:118)_x000D_
	at com health openscale gui fragments GraphFragment generateLineData(GraphFragment java:425)_x000D_
	at com health openscale gui fragments GraphFragment generateGraphs(GraphFragment java:526)_x000D_
	at com health openscale gui fragments GraphFragment access 700(GraphFragment java:73)_x000D_
	at com health openscale gui fragments GraphFragment 2 onClick(GraphFragment java:158)_x000D_
	at android view View performClick(View java:6294)_x000D_
	at android view View PerformClick run(View java:24770)_x000D_
	at android os Handler handleCallback(Handler java:790)_x000D_
	at android os Handler dispatchMessage(Handler java:99)_x000D_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User actions: _x000D_
2018 02 24 09:05:18: MainActivity resumed_x000D_
2018 02 24 09:05:31: MainActivity paused_x000D_
2018 02 24 09:05:36: MainActivity resumed_x000D_
2018 02 24 09:05:43: MainActivity paused_x000D_
2018 02 24 09:05:51: MainActivity resumed_x000D_
2018 02 24 09:06:10: MainActivity paused_x000D_
2018 02 24 09:06:10: DataEntryActivity created_x000D_
2018 02 24 09:06:11: DataEntryActivity resumed_x000D_
2018 02 24 09:06:24: DataEntryActivity paused_x000D_
2018 02 24 09:06:47: DataEntryActivity resumed_x000D_
2018 02 24 09:07:02: DataEntryActivity paused_x000D_
2018 02 24 09:48:27: DataEntryActivity resumed_x000D_
2018 02 24 09:48:29: DataEntryActivity paused_x000D_
2018 02 24 09:48:29: MainActivity resumed_x000D_
2018 02 24 09:48:30: DataEntryActivity destroyed_x000D_
2018 02 24 09:48:31: MainActivity paused_x000D_
2018 02 24 09:48:31: SettingsActivity created_x000D_
2018 02 24 09:48:31: SettingsActivity resumed_x000D_
2018 02 24 09:51:07: SettingsActivity paused_x000D_
2018 02 24 09:51:07: MainActivity destroyed_x000D_
2018 02 24 09:51:07: MainActivity created_x000D_
2018 02 24 09:51:07: MainActivity resumed_x000D_
2018 02 24 09:51:08: SettingsActivity destroyed_x000D_
</t>
  </si>
  <si>
    <t>eltos-SimpleDialogFragments-27</t>
  </si>
  <si>
    <t>Dialog crash after screen rotation</t>
  </si>
  <si>
    <t xml:space="preserve">  test1 (https:  user images githubusercontent com 7030387 36724841 b50cff8e 1bb4 11e8 8742 c6a898937106 jpg)_x000D_
  test2 (https:  user images githubusercontent com 7030387 36724842 b53054f2 1bb4 11e8 90ad 86447c7819d5 jpg)_x000D_
_x000D_
When downloading and running demo test application SimpleDialogFragmentMaster and selecting dialogs from List and Choices  Date and Time  Inputs and Forms  dialog crash after screen rotation _x000D_
_x000D_
1  Start demo app   SimpleDialogFragmentsMaster  MainActivity _x000D_
2  Tap on the DATE button _x000D_
3  Rotate device_x000D_
_x000D_
 _x000D_
   Test Environment_x000D_
compileSdkVersion 25  buildToolsVersion  27 0 3 _x000D_
_x000D_
emulator Nexus 7 API 19  1200x1920 xhdpi  Android 4 4 2_x000D_
real device Lenovo A5500 F Android 4 4 2  800 x 1280 pixels  16:10 ratio ( 189 ppi density)  _x000D_
_x000D_
_x000D_
   Stack Trace_x000D_
FATAL EXCEPTION: main_x000D_
                                                                                Process: eltos simpledialogfragments test  PID: 2678_x000D_
                                                                                java lang RuntimeException: Unable to start activity ComponentInfo eltos simpledialogfragments test eltos simpledialogfragments MainActivity : java lang IllegalArgumentException: Wrong state class  expecting View State but received class android widget ScrollView SavedState instead  This usually happens when two views of different type have the same id in the same hierarchy  This view s id is id scrollView  Make sure other views do not use the same id _x000D_
                                                                                    at android app ActivityThread performLaunchActivity(ActivityThread java:2195)_x000D_
                                                                                    at android app ActivityThread handleLaunchActivity(ActivityThread java:2245)_x000D_
                                                                                    at android app ActivityThread handleRelaunchActivity(ActivityThread java:3738)_x000D_
                                                                                    at android app ActivityThread access 900(ActivityThread java:135)_x000D_
                                                                                    at android app ActivityThread H handleMessage(ActivityThread java:1202)_x000D_
                                                                                    at android os Handler dispatchMessage(Handler java:102)_x000D_
                                                                                    at android os Looper loop(Looper java:136)_x000D_
                                                                                    at android app ActivityThread main(ActivityThread java:5017)_x000D_
                                                                                    at java lang reflect Method invokeNative(Native Method)_x000D_
                                                                                    at java lang reflect Method invoke(Method java:515)_x000D_
                                                                                    at com android internal os ZygoteInit MethodAndArgsCaller run(ZygoteInit java:779)_x000D_
                                                                                    at com android internal os ZygoteInit main(ZygoteInit java:595)_x000D_
                                                                                    at dalvik system NativeStart main(Native Method)_x000D_
                                                                                 Caused by: java lang IllegalArgumentException: Wrong state class  expecting View State but received class android widget ScrollView SavedState instead  This usually happens when two views of different type have the same id in the same hierarchy  This view s id is id scrollView  Make sure other views do not use the same id _x000D_
                                                                                    at android view View onRestoreInstanceState(View java:12823)_x000D_
                                                                                    at android support v4 widget NestedScrollView onRestoreInstanceState(NestedScrollView java:1832)_x000D_
                                                                                    at android view View dispatchRestoreInstanceState(View java:12799)_x000D_
                                                                                    at android view ViewGroup dispatchRestoreInstanceState(ViewGroup java:2637)_x000D_
                                                                                    at android view ViewGroup dispatchRestoreInstanceState(ViewGroup java:2643)_x000D_
                                                                                    at android view ViewGroup dispatchRestoreInstanceState(ViewGroup java:2643)_x000D_
                                                                                    at android view ViewGroup dispatchRestoreInstanceState(ViewGroup java:2643)_x000D_
                                                                                    at android view ViewGroup dispatchRestoreInstanceState(ViewGroup java:2643)_x000D_
                                                                                    at android view ViewGroup dispatchRestoreInstanceState(ViewGroup java:2643)_x000D_
                                                                                    at android view View restoreHierarchyState(View java:12777)_x000D_
                                                                                    at com android internal policy impl PhoneWindow restoreHierarchyState(PhoneWindow java:1744)_x000D_
                                                                                    at android app Dialog onRestoreInstanceState(Dialog java:428)_x000D_
                                                                                    at android support v4 app DialogFragment onActivityCreated(DialogFragment java:407)_x000D_
                                                                                    at android support v4 app Fragment performActivityCreated(Fragment java:2198)_x000D_
                                                                                    at android support v4 app FragmentManagerImpl moveToState(FragmentManager java:1326)_x000D_
                                                                                    at android support v4 app FragmentManagerImpl moveFragmentToExpectedState(FragmentManager java:1528)_x000D_
                                                                                    at android support v4 app FragmentManagerImpl moveToState(FragmentManager java:1595)_x000D_
                                                                                    at android support v4 app FragmentManagerImpl dispatchActivityCreated(FragmentManager java:2888)_x000D_
                                                                                    at android support v4 app FragmentController dispatchActivityCreated(FragmentController java:201)_x000D_
                                                                                    at android support v4 app FragmentActivity onStart(FragmentActivity java:603)_x000D_
                                                                                    at android support v7 app AppCompatActivity onStart(AppCompatActivity java:178)_x000D_
                                                                                    at android app Instrumentation callActivityOnStart(Instrumentation java:1171)_x000D_
                                                                                    at android app Activity performStart(Activity java:5241)                    _x000D_
</t>
  </si>
  <si>
    <t>MiPushFramework-MiPushFramework-74</t>
  </si>
  <si>
    <t>最新snapshot导致系统界面不停重启</t>
  </si>
  <si>
    <t xml:space="preserve">       system ui crash   _x000D_
            icon    </t>
  </si>
  <si>
    <t>Amuff1n-Study-Buddy-3</t>
  </si>
  <si>
    <t>Application crashes on empty Sign In</t>
  </si>
  <si>
    <t xml:space="preserve">Attempting to sign in without filling both email and password fields crashes the application _x000D_
_x000D_
In action: https:  gfycat com EmotionalGrandBetafish_x000D_
_x000D_
Looks like we ll have to check for empty fields </t>
  </si>
  <si>
    <t>TeamNewPipe-NewPipe-1140</t>
  </si>
  <si>
    <t>Some video names crash the downloader</t>
  </si>
  <si>
    <t xml:space="preserve">   x  I carefully read the  contribution guidelines (https:  github com TeamNewPipe NewPipe blob HEAD  github CONTRIBUTING md) and agree to them _x000D_
   x  I checked if the issue feature exists in the latest version _x000D_
_x000D_
I noticed video names containing quotation marks     crash the UI when attempting to download a video  I get prompted with the download menu  Clicking OK crashes Newpipe  Removing the quotation marks in the filename to be saved makes it possible to download without crashing _x000D_
_x000D_
I did not report the issue through Sentry because I don t have a mail client on my phone (and do not wish to have one at the moment) and because I found how to reproduce the crash   Here (https:  www youtube com watch v ROhyYT39aM0) is a video you can try it on  I could reproduce the issue with both 0 11 5 and beta 0 11 6 _x000D_
_x000D_
Thank you for maintaining NewPipe  it s a wonder  Lots of datalove to you  3</t>
  </si>
  <si>
    <t>commons-app-apps-android-commons-1181</t>
  </si>
  <si>
    <t>Orientation Change in NearybyActivity during Map mode crashes the app.</t>
  </si>
  <si>
    <t xml:space="preserve">  Summary:   _x000D_
_x000D_
Where there occurs a orientation change in NearbyActivity during Map mode  it crashes the app _x000D_
_x000D_
  Steps to reproduce:   _x000D_
_x000D_
1  Go Nearby Places activity from navigation drawer _x000D_
2  Load the list of nearby places as shown below:_x000D_
_x000D_
  nearby places list map (https:  user images githubusercontent com 20313518 36596802 ee3dd28c 18cc 11e8 860e 236768dc4e67 jpg)_x000D_
_x000D_
_x000D_
3  Change the orientation of phone _x000D_
_x000D_
  System logs:  _x000D_
02 23 18:55:05 588 28920 28920 fr free nrw commons debug E AndroidRuntime: FATAL EXCEPTION: main_x000D_
                                                                           Process: fr free nrw commons debug  PID: 28920_x000D_
                                                                           java lang NullPointerException: Attempt to invoke virtual method  void com mapbox mapboxsdk maps NativeMapView addAnnotationIcon(java lang String  int  int  float  byte  )  on a null object reference_x000D_
                                                                               at com mapbox mapboxsdk maps IconManager loadIcon(IconManager java:115)_x000D_
                                                                               at com mapbox mapboxsdk maps IconManager  init (IconManager java:37)_x000D_
                                                                               at com mapbox mapboxsdk maps MapView initialiseMap(MapView java:174)_x000D_
                                                                               at com mapbox mapboxsdk maps MapView access 800(MapView java:70)_x000D_
                                                                               at com mapbox mapboxsdk maps MapView 6 1 run(MapView java:326)_x000D_
                                                                               at android os Handler handleCallback(Handler java:754)_x000D_
                                                                               at android os Handler dispatchMessage(Handler java:95)_x000D_
                                                                               at android os Looper loop(Looper java:163)_x000D_
                                                                               at android app ActivityThread main(ActivityThread java:6237)_x000D_
                                                                               at java lang reflect Method invoke(Native Method)_x000D_
                                                                               at com android internal os ZygoteInit MethodAndArgsCaller run(ZygoteInit java:877)_x000D_
                                                                               at com android internal os ZygoteInit main(ZygoteInit java:767)_x000D_
_x000D_
_x000D_
  Expected behavior:   _x000D_
_x000D_
Gracefully handle orientation change and should not crashes _x000D_
_x000D_
  Observed behavior:   _x000D_
_x000D_
During orientation change in NearbyActivity in Map mode  it crashes the app _x000D_
_x000D_
  crash 2 (https:  user images githubusercontent com 20313518 36596757 c4a3dd7c 18cc 11e8 92dd b9c8ef55d91c jpg)_x000D_
_x000D_
  I am working on the issue   </t>
  </si>
  <si>
    <t>nikita36078-J2ME-Loader-134</t>
  </si>
  <si>
    <t>Prince of Persia Warrior Within - Hangs/Crashes</t>
  </si>
  <si>
    <t xml:space="preserve">  screenshot 2018 02 23 09 50 10 (https:  user images githubusercontent com 36758864 36586258 62392804 1881 11e8 9313 3d723f995e27 png)_x000D_
_x000D_
Hangs Crashes after the initial loading screen _x000D_
Version 1 0 5 352x416 N90 Hangs  version 1 0 2 240x320 crashes_x000D_
Android version: 4 2 1</t>
  </si>
  <si>
    <t>timusus-Shuttle-301</t>
  </si>
  <si>
    <t>BT - Playlists and crashing</t>
  </si>
  <si>
    <t xml:space="preserve">  Shuttle version:  _x000D_
 _x000D_
 2 0 4 beta1 (Upgraded) _x000D_
 _x000D_
  Device  OS:  _x000D_
 _x000D_
Stock LG G4  Android M_x000D_
_x000D_
  Description of bug:  _x000D_
 _x000D_
App crashes when modifying playlist when connected to BT _x000D_
 _x000D_
  Steps to reproduce:  _x000D_
 _x000D_
 1  Connect to BT speaker_x000D_
 2  add a song (songs) to an existing or new playlist_x000D_
 _x000D_
  Expected outcome:  _x000D_
 _x000D_
Expected outcome here_x000D_
 _x000D_
  Observations Actual Result:  _x000D_
 _x000D_
   only when connected to BT</t>
  </si>
  <si>
    <t>k9mail-k-9-3204</t>
  </si>
  <si>
    <t>Bug in k-9 mail app setup new account section which leads app to crash.</t>
  </si>
  <si>
    <t xml:space="preserve">
     Expected behavior
When i enter invalid email format while setting up a new account on app  app needs to show me error of invalid email format instead of creating my account 
     Actual behavior
On setup new account section of app i entered invalid email format(i used   iamankit com) in email address field and the app created my account with that invalid email format without giving me error  Creating account with invalid email format is the first bug and second bug is app crashed when i try to compose a email after account setup 
     Proof that email format i used is invalid 
  Screen Shot 2018 02 19 at 11 19 55 PM png (https:  res cloudinary com hpiynhbhq image upload v1519062677 bzbfzrzn0jwxch2j7w5p png)
     How to reproduce
To reproduce the the bugs follow the steps : 
  Open app and go to set up a new account section of app 
  In email address field enter this email address  pre   something com  pre 
  Type your password and click next button 
  Select account type as IMAP in next screen  After selecting you came to internal server settings screen  (I suggest you to see recording of bug for better understanding of reproduce the bug steps )
  Now just press back button two times  pressing back button two times close the app  Open app again and you see your account is set with invalid email format  
  Now try to compose mail and you see when you click on compose mail button the app got crashed 
 pre  code   Device:  Samsung J7 Prime
  Operating system: Android 7 0 Nougatt
  App Version: v5 403
  code 
  pre 
     Recording Of The Bug
https:  www youtube com watch v Purx3ZIldSI
 br    hr   em Posted on  a href  https:  utopian io utopian io  iamankit bug in k 9 mail app setup new account section which leads app to crash  Utopian io    Rewarding Open Source Contributors  a   em  hr  </t>
  </si>
  <si>
    <t>RxViper-RxViper-55</t>
  </si>
  <si>
    <t>Crash in unit tests</t>
  </si>
  <si>
    <t xml:space="preserve">After update to  rc1  from  0 10 0   I unit tests crashes on any access to view or router methods _x000D_
See sample project  demonstrating the issue _x000D_
https:  github com SemenovAlexander RxViperReflectionBug _x000D_
_x000D_
</t>
  </si>
  <si>
    <t>dimagi-commcare-android-1951</t>
  </si>
  <si>
    <t>Updates landscape layout for update activity with recent changes</t>
  </si>
  <si>
    <t xml:space="preserve">Crash: https:  www fabric io dimagi android apps org commcare dalvik issues 5a8dad6d8cb3c2fa6387e5a0 sessions 5A8ED8FF00BC00012D0FE83CC2E3B097 DNE 0 v2 select key user_x000D_
_x000D_
Regression from https:  github com dimagi commcare android pull 1946  we missed out on adding the new error view to landscape layout causing a NPE in landscape mode  _x000D_
_x000D_
Side Note: I stumbled on this while working on integration tests  This was appearing as the infamous  HTTPClient::KeepAliveDisconnected: (HTTPClient::KeepAliveDisconnected  error on device farm with no crash logs in logcat logs  So it seems like logcat provided by device farm is not always complete accurate  </t>
  </si>
  <si>
    <t>nikita36078-J2ME-Loader-128</t>
  </si>
  <si>
    <t>Heroes of War Sandstorm crashes before gameplay</t>
  </si>
  <si>
    <t xml:space="preserve">  screenshot 2018 02 22 23 11 06 (https:  user images githubusercontent com 22563129 36546292 01c60498 1826 11e8 9453 86296aa2f0ed png)_x000D_
  Heroes of War Sandstorm    screen resolution  any _x000D_
_x000D_
After choosing  Start Game   the game loads and then crashes  This is a 3D heavy game so I think it is what those limitations  nikita36078 are referring to </t>
  </si>
  <si>
    <t>pylerSM-YouTubeBackgroundPlayback-357</t>
  </si>
  <si>
    <t>General issue reports vol. 2</t>
  </si>
  <si>
    <t xml:space="preserve">Been getting constant crashes in YouTube recently  Haven t tested without this module yet but thought I d provide this log in case it helps _x000D_
_x000D_
   _x000D_
java lang RuntimeException: An error occurred while executing doInBackground()_x000D_
	at android os AsyncTask 3 done(AsyncTask java:309)_x000D_
	at java util concurrent FutureTask finishCompletion(FutureTask java:354)_x000D_
	at java util concurrent FutureTask setException(FutureTask java:223)_x000D_
	at java util concurrent FutureTask run(FutureTask java:242)_x000D_
	at android os AsyncTask SerialExecutor 1 run(AsyncTask java:234)_x000D_
	at java util concurrent ThreadPoolExecutor runWorker(ThreadPoolExecutor java:1113)_x000D_
	at java util concurrent ThreadPoolExecutor Worker run(ThreadPoolExecutor java:588)_x000D_
	at java lang Thread run(Thread java:818)_x000D_
Caused by: java lang ClassCastException: alyl cannot be cast to javax net ssl HttpsURLConnection_x000D_
	at com pyler youtubebackgroundplayback YouTubeBackgroundPlayback HooksDownloadTask doInBackground(YouTubeBackgroundPlayback java:266)_x000D_
	at com pyler youtubebackgroundplayback YouTubeBackgroundPlayback HooksDownloadTask doInBackground(YouTubeBackgroundPlayback java:253)_x000D_
	at android os AsyncTask 2 call(AsyncTask java:295)_x000D_
	at java util concurrent FutureTask run(FutureTask java:237)_x000D_
	    4 more_x000D_
_x000D_
   </t>
  </si>
  <si>
    <t>vector-im-riot-android-2007</t>
  </si>
  <si>
    <t>Communities detail page goes blank after loading</t>
  </si>
  <si>
    <t xml:space="preserve">Sometimes  after you click on a community to load the details  the details page will go blank apart from the header after loading has compelted _x000D_
_x000D_
Also sometimes then riot crashes _x000D_
_x000D_
Rageshake to follow </t>
  </si>
  <si>
    <t>andOTP-andOTP-140</t>
  </si>
  <si>
    <t>Can't open app after system update</t>
  </si>
  <si>
    <t xml:space="preserve">     General information_x000D_
_x000D_
    App version:   0 4 0 1_x000D_
    App source:   F Droid_x000D_
    Android Version:   7 1 2_x000D_
    Custom ROM:   LineageOS 14 1 20180220_x000D_
_x000D_
     Expected result_x000D_
  What is expected     _x000D_
Application launched_x000D_
_x000D_
  What does happen instead   _x000D_
Application crash_x000D_
_x000D_
     Logcat_x000D_
   _x000D_
02 22 11:23:32 707  4894  7188 I ActivityManager: START u0  act android intent action MAIN cat  android intent category LAUNCHER  flg 0x10200000 cmp org shadowice flocke andotp  Activities MainActivity (has extras)  from uid 10028 on display 0_x000D_
02 22 11:23:32 773  4894  4911 I ActivityManager: Start proc 5303:org shadowice flocke andotp u0a91 for activity org shadowice flocke andotp  Activities MainActivity_x000D_
02 22 11:23:32 785  4894  4894 D ZenLog  : intercepted: 0 android 17039403 null 1000 alarmsOnly_x000D_
02 22 11:23:32 786  4894  4894 V NotificationService: pkg android canInterrupt false intercept true_x000D_
02 22 11:23:32 805  5303  5303 I art     : Starting a blocking GC AddRemoveAppImageSpace_x000D_
02 22 11:23:32 808  5303  5303 W System  : ClassLoader referenced unknown path:  data app org shadowice flocke andotp 1 lib arm_x000D_
02 22 11:23:32 922  5303  5303 D AndroidRuntime: Shutting down VM_x000D_
02 22 11:23:32 923  5303  5303 E AndroidRuntime: FATAL EXCEPTION: main_x000D_
02 22 11:23:32 923  5303  5303 E AndroidRuntime: Process: org shadowice flocke andotp  PID: 5303_x000D_
02 22 11:23:32 923  5303  5303 E AndroidRuntime: java lang RuntimeException: Unable to resume activity  org shadowice flocke andotp org shadowice flocke andotp Activities MainActivity : java lang UnsupportedOperationException_x000D_
02 22 11:23:32 923  5303  5303 E AndroidRuntime: 	at android app ActivityThread performResumeActivity(ActivityThread java:3454)_x000D_
02 22 11:23:32 923  5303  5303 E AndroidRuntime: 	at android app ActivityThread handleResumeActivity(ActivityThread java:3494)_x000D_
02 22 11:23:32 923  5303  5303 E AndroidRuntime: 	at android app ActivityThread handleLaunchActivity(ActivityThread java:2757)_x000D_
02 22 11:23:32 923  5303  5303 E AndroidRuntime: 	at android app ActivityThread  wrap12(ActivityThread java)_x000D_
02 22 11:23:32 923  5303  5303 E AndroidRuntime: 	at android app ActivityThread H handleMessage(ActivityThread java:1496)_x000D_
02 22 11:23:32 923  5303  5303 E AndroidRuntime: 	at android os Handler dispatchMessage(Handler java:102)_x000D_
02 22 11:23:32 923  5303  5303 E AndroidRuntime: 	at android os Looper loop(Looper java:154)_x000D_
02 22 11:23:32 923  5303  5303 E AndroidRuntime: 	at android app ActivityThread main(ActivityThread java:6186)_x000D_
02 22 11:23:32 923  5303  5303 E AndroidRuntime: 	at java lang reflect Method invoke(Native Method)_x000D_
02 22 11:23:32 923  5303  5303 E AndroidRuntime: 	at com android internal os ZygoteInit MethodAndArgsCaller run(ZygoteInit java:889)_x000D_
02 22 11:23:32 923  5303  5303 E AndroidRuntime: 	at com android internal os ZygoteInit main(ZygoteInit java:779)_x000D_
02 22 11:23:32 923  5303  5303 E AndroidRuntime: Caused by: java lang UnsupportedOperationException_x000D_
02 22 11:23:32 923  5303  5303 E AndroidRuntime: 	at java security KeyStoreSpi engineGetEntry(KeyStoreSpi java:482)_x000D_
02 22 11:23:32 923  5303  5303 E AndroidRuntime: 	at java security KeyStore getEntry(KeyStore java:1323)_x000D_
02 22 11:23:32 923  5303  5303 E AndroidRuntime: 	at org shadowice flocke andotp Utilities KeyStoreHelper loadOrGenerateAsymmetricKeyPair(KeyStoreHelper java:99)_x000D_
02 22 11:23:32 923  5303  5303 E AndroidRuntime: 	at org shadowice flocke andotp Utilities KeyStoreHelper loadEncryptionKeyFromKeyStore(KeyStoreHelper java:111)_x000D_
02 22 11:23:32 923  5303  5303 E AndroidRuntime: 	at org shadowice flocke andotp Activities MainActivity updateEncryption(MainActivity java:413)_x000D_
02 22 11:23:32 923  5303  5303 E AndroidRuntime: 	at org shadowice flocke andotp Activities MainActivity onResume(MainActivity java:324)_x000D_
02 22 11:23:32 923  5303  5303 E AndroidRuntime: 	at android app Instrumentation callActivityOnResume(Instrumentation java:1270)_x000D_
02 22 11:23:32 923  5303  5303 E AndroidRuntime: 	at android app Activity performResume(Activity java:6788)_x000D_
02 22 11:23:32 923  5303  5303 E AndroidRuntime: 	at android app ActivityThread performResumeActivity(ActivityThread java:3431)_x000D_
02 22 11:23:32 923  5303  5303 E AndroidRuntime: 	    10 more_x000D_
02 22 11:23:32 926  4894  6470 W ActivityManager:   Force finishing activity org shadowice flocke andotp  Activities MainActivity_x000D_
02 22 11:23:32 969  4894  7930 I OpenGLRenderer: Initialized EGL  version 1 4_x000D_
02 22 11:23:32 969  4894  7930 D OpenGLRenderer: Swap behavior 1_x000D_
02 22 11:23:33 429  4894  4952 W ActivityManager: Activity pause timeout for ActivityRecord e9cab99 u0 org shadowice flocke andotp  Activities MainActivity t5525 f _x000D_
02 22 11:23:33 900  4894  4984 W WindowManager: Failed looking up window_x000D_
02 22 11:23:33 900  4894  4984 W WindowManager: java lang IllegalArgumentException: Requested window android view ViewRootImpl W 5c75b36 does not exist_x000D_
02 22 11:23:33 900  4894  4984 W WindowManager: 	at com android server wm WindowManagerService windowForClientLocked(WindowManagerService java:9469)_x000D_
02 22 11:23:33 900  4894  4984 W WindowManager: 	at com android server wm WindowManagerService windowForClientLocked(WindowManagerService java:9460)_x000D_
02 22 11:23:33 900  4894  4984 W WindowManager: 	at com android server wm WindowManagerService removeWindow(WindowManagerService java:2401)_x000D_
02 22 11:23:33 900  4894  4984 W WindowManager: 	at com android server wm Session remove(Session java:202)_x000D_
02 22 11:23:33 900  4894  4984 W WindowManager: 	at android view ViewRootImpl dispatchDetachedFromWindow(ViewRootImpl java:3290)_x000D_
02 22 11:23:33 900  4894  4984 W WindowManager: 	at android view ViewRootImpl doDie(ViewRootImpl java:5923)_x000D_
02 22 11:23:33 900  4894  4984 W WindowManager: 	at android view ViewRootImpl ViewRootHandler handleMessage(ViewRootImpl java:3629)_x000D_
02 22 11:23:33 900  4894  4984 W WindowManager: 	at android os Handler dispatchMessage(Handler java:102)_x000D_
02 22 11:23:33 900  4894  4984 W WindowManager: 	at android os Looper loop(Looper java:154)_x000D_
02 22 11:23:33 900  4894  4984 W WindowManager: 	at android os HandlerThread run(HandlerThread java:61)_x000D_
02 22 11:23:33 900  4894  4984 W WindowManager: 	at com android server ServiceThread run(ServiceThread java:46)_x000D_
   _x000D_
_x000D_
     Steps to reproduce_x000D_
 _x000D_
   Open application_x000D_
_x000D_
</t>
  </si>
  <si>
    <t>nextcloud-android-2219</t>
  </si>
  <si>
    <t>AppContent null?</t>
  </si>
  <si>
    <t xml:space="preserve">Google play console:_x000D_
   _x000D_
Caused by: java lang NullPointerException: _x000D_
  at com owncloud android ui activity DrawerActivity onCreate (DrawerActivity java:1143)_x000D_
  at com owncloud android ui activity FileActivity onCreate (FileActivity java:148)_x000D_
  at com owncloud android ui activity FileDisplayActivity onCreate (FileDisplayActivity java:186)_x000D_
   _x000D_
which is first line of:_x000D_
https:  github com nextcloud android blob 314526005489943cf8a35d8c4ace2f4db802922a src main java com owncloud android ui activity DrawerActivity java L1143 L1144_x000D_
_x000D_
We could change the first line to be like second line  but I do not know if this is  then crashing later  if contentResolver is null _x000D_
_x000D_
Unfortunately I cannot reproduce this : </t>
  </si>
  <si>
    <t>Credntia-AndroidVisionPipeline-1</t>
  </si>
  <si>
    <t>Crash on devices that don't have flash</t>
  </si>
  <si>
    <t xml:space="preserve"> getSupportedFlashModes()  in  CameraSource  returns null and causes crash  </t>
  </si>
  <si>
    <t>google-ExoPlayer-3879</t>
  </si>
  <si>
    <t>void com.google.ads.interactivemedia.v3.api.AdsManager.resume() nullpointer exception</t>
  </si>
  <si>
    <t xml:space="preserve">Hi Team _x000D_
 When pre roll ad is playing and app goes in background and comes back in foreground  app crashes  Here is the stack trace _x000D_
_x000D_
 FATAL EXCEPTION: main Process: _x000D_
PID: 22373 java lang NullPointerException: Attempt to invoke interface method  void com google ads interactivemedia v3 api AdsManager resume()  on a null object reference at com google android exoplayer2 ext ima ImaAdsLoader attachPlayer(ImaAdsLoader java:396) at com google android exoplayer2 source ads AdsMediaSource 2 run(AdsMediaSource java:219) at android os Handler handleCallback(Handler java:789) at android os Handler dispatchMessage(Handler java:98) at android os Looper loop(Looper java:164) at android app ActivityThread main(ActivityThread java:6809) at java lang reflect Method invoke(Native Method) at com android internal os Zygote MethodAndArgsCaller run(Zygote java:240) at com android internal os ZygoteInit main(ZygoteInit java:767) _x000D_
_x000D_
Here are my onresume and onpause methods of fragment:_x000D_
   Override_x000D_
    public void onResume()  _x000D_
        super onResume() _x000D_
        player init(getActivity()  playerView) _x000D_
      _x000D_
_x000D_
_x000D_
   Override_x000D_
    public void onPause()  _x000D_
        super onPause() _x000D_
        player reset() _x000D_
        player release() _x000D_
        playerView getPlayer() release() _x000D_
      _x000D_
_x000D_
Please help me with the same </t>
  </si>
  <si>
    <t>TNG-JGiven-338</t>
  </si>
  <si>
    <t>given() returns null if all @Test methods in previous class are @Disabled</t>
  </si>
  <si>
    <t xml:space="preserve">Using jgiven junit5  0 15 3_x000D_
_x000D_
Given two test classes implementing ScenarioTest or SimpleScenarioTest:_x000D_
   Class A has all   Test  methods   Disabled  _x000D_
   Class B contains  normal    Test  methods _x000D_
 _x000D_
When class B is run after class A in the same test run (say  using Maven)  the  given()  call in class B returns null _x000D_
_x000D_
This only occurs if A  has    Test  methods which are  all    Disabled  _x000D_
_x000D_
E g _x000D_
_x000D_
   _x000D_
public class DisabledReproA extends ScenarioTest ReproStage  ReproStage  ReproStage   _x000D_
   Test_x000D_
   Disabled( for reasons )_x000D_
  void testA()  _x000D_
    given() something is set up() _x000D_
   _x000D_
 _x000D_
_x000D_
public class DisabledReproB extends ScenarioTest ReproStage  ReproStage  ReproStage   _x000D_
   Test_x000D_
  void testB()  _x000D_
       This will crash with a nullpointer exception:_x000D_
    given() something is set up() _x000D_
   _x000D_
 _x000D_
_x000D_
public class ReproStage extends Stage ReproStage   _x000D_
  public ReproStage something is set up()  _x000D_
    return self() _x000D_
   _x000D_
 _x000D_
   </t>
  </si>
  <si>
    <t>aaronjwood-PortAuthority-97</t>
  </si>
  <si>
    <t>NPE related to java.net.NetworkInterface.getHardwareAddress() on Chromebook</t>
  </si>
  <si>
    <t xml:space="preserve">FYI   The latest 2 2 6 update from F Droid crashes as follows on a Chromebook:_x000D_
_x000D_
   _x000D_
02 21 02:49:46 521  3402  3402 D AndroidRuntime: Shutting down VM_x000D_
02 21 02:49:46 521  3402  3402 E AndroidRuntime: FATAL EXCEPTION: main_x000D_
02 21 02:49:46 521  3402  3402 E AndroidRuntime: Process: com aaronjwood portauthority  PID: 3402_x000D_
02 21 02:49:46 521  3402  3402 E AndroidRuntime: java lang RuntimeException: Error receiving broadcast Intent   act android net wifi STATE CHANGE flg 0x4000010 (has extras)   in com aaronjwood portauthority activity MainActivity 1 490dc87_x000D_
02 21 02:49:46 521  3402  3402 E AndroidRuntime:        at android app LoadedApk ReceiverDispatcher Args run(LoadedApk java:1132)_x000D_
02 21 02:49:46 521  3402  3402 E AndroidRuntime:        at android os Handler handleCallback(Handler java:751)_x000D_
02 21 02:49:46 521  3402  3402 E AndroidRuntime:        at android os Handler dispatchMessage(Handler java:95)_x000D_
02 21 02:49:46 521  3402  3402 E AndroidRuntime:        at android os Looper loop(Looper java:154)_x000D_
02 21 02:49:46 521  3402  3402 E AndroidRuntime:        at android app ActivityThread main(ActivityThread java:6320)_x000D_
02 21 02:49:46 521  3402  3402 E AndroidRuntime:        at java lang reflect Method invoke(Native Method)_x000D_
02 21 02:49:46 521  3402  3402 E AndroidRuntime:        at com android internal os ZygoteInit MethodAndArgsCaller run(ZygoteInit java:891)_x000D_
02 21 02:49:46 521  3402  3402 E AndroidRuntime:        at com android internal os ZygoteInit main(ZygoteInit java:781)_x000D_
02 21 02:49:46 521  3402  3402 E AndroidRuntime: Caused by: java lang NullPointerException: Attempt to invoke virtual method  byte   java net NetworkInterface getHardwareAddress()  on a null object reference_x000D_
02 21 02:49:46 521  3402  3402 E AndroidRuntime:        at com aaronjwood portauthority activity MainActivity d(Unknown Source)_x000D_
02 21 02:49:46 521  3402  3402 E AndroidRuntime:        at com aaronjwood portauthority activity MainActivity a(Unknown Source)_x000D_
02 21 02:49:46 521  3402  3402 E AndroidRuntime:        at com aaronjwood portauthority activity MainActivity 1 onReceive(Unknown Source)_x000D_
02 21 02:49:46 521  3402  3402 E AndroidRuntime:        at android app LoadedApk ReceiverDispatcher Args run(LoadedApk java:1122)_x000D_
02 21 02:49:46 521  3402  3402 E AndroidRuntime:            7 more_x000D_
   </t>
  </si>
  <si>
    <t>RightMesh-meshIM-32</t>
  </si>
  <si>
    <t>Can't start RightMesh service again after turning it off via the wallet interface</t>
  </si>
  <si>
    <t>When I go to the wallet page and turn off the RightMesh service  if I leave to the profiel page and try to go back to the RightMesh wallet page it crashes and I get kicked out of the application  If I go back into the app the service doesn t restart  If I restart the phone the service doesn t restart  If I delete internal files pertaining to the app it causes the RightMesh wallet button to stop working (the app doesn t crash anymore however)</t>
  </si>
  <si>
    <t>processing-processing-android-442</t>
  </si>
  <si>
    <t>NPE when calling background or setunder P3D renderer</t>
  </si>
  <si>
    <t xml:space="preserve">Forum post  here (https:  forum processing org two discussion 26361 how do a get image files on to my android latest) which I will copy the relevant pieces next:_x000D_
_x000D_
From the trace call  I can see the problem is the background() function call in OPENGL mode  I am able to reproduce the problem with the following MCVE (plz ensure image is in the data folder):_x000D_
_x000D_
   _x000D_
import android os Environment _x000D_
import android os Build  _x000D_
import android app Activity _x000D_
import android content Context _x000D_
 _x000D_
PImage back  _x000D_
 _x000D_
void setup() _x000D_
  size(displayWidth  displayHeight  P3D) _x000D_
  back   loadImage( bg jpg ) _x000D_
 _x000D_
 _x000D_
void draw()  _x000D_
   background(back)                            NPE _x000D_
     set(0 0 back)                                 NPE _x000D_
     image(back 0 0 width height)      It works _x000D_
 _x000D_
   _x000D_
Notice that when using P3D:_x000D_
_x000D_
     Either background() or set() throws an NPE and App crashes_x000D_
     It works normally if one uses image() instead _x000D_
_x000D_
Using the default renderer  you can use either background set image and you won t have any problem  I tested this using Win10  AM 4 0 1 and P3 3 6 on SG8 Nougat _x000D_
_x000D_
Back trace output next based on background():_x000D_
_x000D_
    FATAL EXCEPTION: GLThread 181069 _x000D_
    Process: processing test sketch 180219b  PID: 7447 _x000D_
    java lang NullPointerException: src    null _x000D_
     at java lang System arraycopy(Native Method) _x000D_
     at processing opengl PGraphicsOpenGL setImpl(Unknown Source) _x000D_
     at processing core PImage set(Unknown Source) _x000D_
     at processing opengl PGraphicsOpenGL backgroundImpl(Unknown Source) _x000D_
     at processing core PGraphics background(Unknown Source) _x000D_
     at processing core PApplet background(Unknown Source) _x000D_
     at processing test sketch 180219b sketch 180219b draw(sketch 180219b java:123) _x000D_
     at processing core PApplet handleDraw(Unknown Source) _x000D_
     at processing opengl PSurfaceGLES RendererGLES onDrawFrame(Unknown Source) _x000D_
     at android opengl GLSurfaceView GLThread guardedRun(GLSurfaceView java:1562) _x000D_
     at android opengl GLSurfaceView GLThread run(GLSurfaceView java:1262)_x000D_
_x000D_
Back trace output next based on set():_x000D_
_x000D_
    FATAL EXCEPTION: GLThread 183761  _x000D_
    Process: processing test sketch 180219b  PID: 3877  _x000D_
    java lang NullPointerException: src    null  _x000D_
      at java lang System arraycopy(Native Method)  _x000D_
      at processing opengl PGraphicsOpenGL setImpl(Unknown Source)  _x000D_
      at processing core PImage set(Unknown Source)  _x000D_
      at processing core PApplet set(Unknown Source)  _x000D_
      at processing test sketch 180219b sketch 180219b draw(sketch 180219b java:132)  _x000D_
      at processing core PApplet handleDraw(Unknown Source)  _x000D_
      at processing opengl PSurfaceGLES RendererGLES onDrawFrame(Unknown Source)  _x000D_
      at android opengl GLSurfaceView GLThread guardedRun(GLSurfaceView java:1562)  _x000D_
      at android opengl GLSurfaceView GLThread run(GLSurfaceView java:1262)  _x000D_
_x000D_
_x000D_
These lines are of interest based on the trace:_x000D_
https:  github com processing processing android blob master core src processing opengl PGraphicsOpenGL java L5798   _x000D_
https:  github com processing processing android blob master core src processing core PApplet java L9670      _x000D_
https:  github com processing processing android blob master core src processing opengl PGraphicsOpenGL java L5787     _x000D_
https:  github com processing processing android blob master core src processing opengl PGraphicsOpenGL java L5474_x000D_
_x000D_
Kf_x000D_
</t>
  </si>
  <si>
    <t>zouroboros-filmchecker-3</t>
  </si>
  <si>
    <t>f-droid version 1.2 crashes</t>
  </si>
  <si>
    <t>When I add a new dm film the app crashes _x000D_
Version 1 1 from f droid works fine _x000D_
Tested with oneplus5 android8 0 0</t>
  </si>
  <si>
    <t>aerogear-aerogear-android-sdk-55</t>
  </si>
  <si>
    <t>Application crashes on start when using the Android SDK</t>
  </si>
  <si>
    <t xml:space="preserve">   Expected Behavior_x000D_
The Aerogear Android SDK can be added to my project by following the instructions  Following as per https:  github com aerogear aerogear android sdk pull 52_x000D_
_x000D_
   Actual Behavior_x000D_
Application crashes on start when you reference the Aerogear Android SDK in your project _x000D_
_x000D_
   _x000D_
Information:Gradle tasks  :app:assembleDebug _x000D_
Error:com android builder dexing DexArchiveBuilderException: Failed to process  home tjackman  gradle caches transforms 1 files 1 1 core 5 0 0 SNAPSHOT aar 022238cf764ef72c2b4febd459b7ebbf jars classes jar_x000D_
Error:com android builder dexing DexArchiveBuilderException: Error while dexing org aerogear mobile core http OkHttpResponse class_x000D_
Error:com android dx cf code SimException: invalid opcode ba (invokedynamic requires   min sdk version    26)_x000D_
Error:Execution failed for task  :app:transformClassesWithDexBuilderForDebug  _x000D_
  com android build api transform TransformException: com android builder dexing DexArchiveBuilderException: com android builder dexing DexArchiveBuilderException: Failed to process  home tjackman  gradle caches transforms 1 files 1 1 core 5 0 0 SNAPSHOT aar 022238cf764ef72c2b4febd459b7ebbf jars classes jar_x000D_
Information:BUILD FAILED in 3s_x000D_
Information:4 errors_x000D_
Information:0 warnings_x000D_
Information:See complete output in console_x000D_
   _x000D_
_x000D_
   Steps to Reproduce the Problem_x000D_
_x000D_
  1  Follow the getting started guide to add the aerogear android SDK to this project   https:  github com feedhenry mobile security android template_x000D_
  2  Try to run the application here using this PR https:  github com feedhenry mobile security android template pull 33 files_x000D_
  _x000D_
_x000D_
  Application build gradle  _x000D_
   _x000D_
apply plugin:  com android application _x000D_
_x000D_
android  _x000D_
    compileSdkVersion 27_x000D_
    buildToolsVersion  26 0 2 _x000D_
    defaultConfig  _x000D_
        applicationId  com feedhenry securenativeandroidtemplate _x000D_
        minSdkVersion 21_x000D_
        targetSdkVersion 27_x000D_
        versionCode 1_x000D_
        versionName  1 0 _x000D_
        testInstrumentationRunner  com feedhenry securenativeandroidtemplate MockTestRunner _x000D_
        manifestPlaceholders     appAuthRedirectScheme :  com feedhenry securenativeandroidtemplate  _x000D_
        vectorDrawables  _x000D_
            useSupportLibrary true_x000D_
         _x000D_
     _x000D_
    signingConfigs  _x000D_
        release  _x000D_
            storeFile file(    signing keys keystore )_x000D_
            keyAlias  developer _x000D_
            storePassword System getenv( KEYSTORE PASSWORD )_x000D_
            keyPassword System getenv( KEY PASSWORD )_x000D_
         _x000D_
     _x000D_
    buildTypes  _x000D_
        local  _x000D_
            initWith debug_x000D_
            debuggable true_x000D_
         _x000D_
_x000D_
        release  _x000D_
            versionNameSuffix System getenv( CIRCLE BUILD NUM )_x000D_
            signingConfig signingConfigs release_x000D_
            minifyEnabled true_x000D_
            proguardFiles getDefaultProguardFile( proguard android txt )   proguard rules pro _x000D_
         _x000D_
     _x000D_
    configurations all  _x000D_
        resolutionStrategy force  com google code findbugs:jsr305:1 3 9 _x000D_
     _x000D_
    testOptions  _x000D_
        unitTests returnDefaultValues   true_x000D_
     _x000D_
 _x000D_
_x000D_
ext  _x000D_
    android support version    27 0 2 _x000D_
 _x000D_
_x000D_
dependencies  _x000D_
    compile fileTree(dir:  libs   include:     jar  )_x000D_
    compile  com android support:appcompat v7: android support version _x000D_
    compile  com android support:animated vector drawable: android support version _x000D_
    compile  com android support:customtabs: android support version _x000D_
    compile  com android support:design: android support version _x000D_
    compile  com android support:cardview v7: android support version _x000D_
    compile  com android support:support v4: android support version _x000D_
    compile  com android support constraint:constraint layout:1 0 2 _x000D_
    implementation  org aerogear:core:5 0 0 SNAPSHOT _x000D_
    implementation  org aerogear:auth:5 0 0 SNAPSHOT _x000D_
    compile  com squareup okhttp3:okhttp:3 9 0 _x000D_
    compile  com datatheorem android trustkit:trustkit:1 0 1 aar _x000D_
    compile  com scottyab:rootbeer lib:0 0 6 _x000D_
    compile group:  com google code gson   name:  gson   version:  2 7 _x000D_
_x000D_
    compile  com jakewharton:butterknife:8 8 1 _x000D_
    annotationProcessor  com jakewharton:butterknife compiler:8 8 1 _x000D_
_x000D_
    compile  com google dagger:dagger:2 11 _x000D_
    compile  com google dagger:dagger android:2 11 _x000D_
    annotationProcessor  com google dagger:dagger compiler:2 11 _x000D_
    annotationProcessor  com google dagger:dagger android processor:2 11 _x000D_
_x000D_
    compile  net zetetic:android database sqlcipher:3 5 7 aar _x000D_
_x000D_
    testCompile  junit:junit:4 12 _x000D_
    testCompile  org mockito:mockito core:2 10 0 _x000D_
    testCompile  org json:json:20160810 _x000D_
    testCompile  org robolectric:robolectric:3 4 2 _x000D_
_x000D_
    androidTestCompile  org mockito:mockito android:2 10 0 _x000D_
    androidTestCompile( com android support test espresso:espresso core:2 2 2    _x000D_
        exclude group:  com android support   module:  support annotations _x000D_
     )_x000D_
    androidTestCompile( com android support test espresso:espresso contrib:2 2 2 )  _x000D_
        exclude group:  com android support   module:  support annotations _x000D_
        exclude group:  com android support   module:  appcompat v7 _x000D_
        exclude group:  com android support   module:  support v4 _x000D_
        exclude group:  com android support   module:  design _x000D_
        exclude module:  recyclerview v7 _x000D_
     _x000D_
    androidTestAnnotationProcessor  com google dagger:dagger compiler:2 11 _x000D_
    androidTestAnnotationProcessor  com google dagger:dagger android processor:2 11 _x000D_
 _x000D_
_x000D_
   _x000D_
_x000D_
   Specifications_x000D_
_x000D_
    Core SDK Version: 5 0 0 SNAPSHOT (Latest Master)_x000D_
    Relevant Service Modules: Core  Auth_x000D_
</t>
  </si>
  <si>
    <t>arunkumar9t2-lynket-browser-72</t>
  </si>
  <si>
    <t>Dynamic toolbar color causes Chromer to crash frequently</t>
  </si>
  <si>
    <t xml:space="preserve">It crashes </t>
  </si>
  <si>
    <t>andOTP-andOTP-135</t>
  </si>
  <si>
    <t>App crashes due to invalid values being processed</t>
  </si>
  <si>
    <t xml:space="preserve">    General information_x000D_
_x000D_
When entering an invalid value (empty or  0 ) in the  Advanced Options  section when manually entering details  the app crashes  This seems to be due to conversion of    (empty string) to number or a division by 0 (when value is 0)  This happens for both  the  Period  and  Digits  fields _x000D_
_x000D_
    App version:   0 4 0 1_x000D_
    App source:   Google Play_x000D_
    Android Version:   7 1 2_x000D_
    Custom ROM:   LineageOs 14 1_x000D_
_x000D_
(This also happens on my main phone but the logcat on the device above is way less cluttered  )_x000D_
_x000D_
    Expected result_x000D_
  What is expected    _x000D_
The  Save  button should be disabled while input fields contain invalid information (and maybe the input field containing a wrong value should have a short description why the value is invalid) _x000D_
_x000D_
  What does happen instead    _x000D_
App crashes _x000D_
_x000D_
    Logcat_x000D_
I ve extracted the  exceptions   stack trace  from the logcat  If you really need the whole logcat  I m willing to send it to you via mail or so  but I don t want to post it publicly (I ve seen my WiFi name in there and I m curious of what other sensitive information (like GPS coordinates ) might be there as well  ) _x000D_
_x000D_
 Empyt value in field  Period : _x000D_
   _x000D_
02 17 23:22:36 627 10690 10690 E AndroidRuntime: FATAL EXCEPTION: main_x000D_
02 17 23:22:36 627 10690 10690 E AndroidRuntime: Process: org shadowice flocke andotp  PID: 10690_x000D_
02 17 23:22:36 627 10690 10690 E AndroidRuntime: java lang NumberFormatException: For input string:   _x000D_
02 17 23:22:36 627 10690 10690 E AndroidRuntime: 	at java lang Integer parseInt(Integer java:533)_x000D_
02 17 23:22:36 627 10690 10690 E AndroidRuntime: 	at java lang Integer parseInt(Integer java:556)_x000D_
02 17 23:22:36 627 10690 10690 E AndroidRuntime: 	at org shadowice flocke andotp View ManualEntryDialog 7 onClick(ManualEntryDialog java:172)_x000D_
02 17 23:22:36 627 10690 10690 E AndroidRuntime: 	at com android internal app AlertController ButtonHandler handleMessage(AlertController java:166)_x000D_
02 17 23:22:36 627 10690 10690 E AndroidRuntime: 	at android os Handler dispatchMessage(Handler java:102)_x000D_
02 17 23:22:36 627 10690 10690 E AndroidRuntime: 	at android os Looper loop(Looper java:154)_x000D_
02 17 23:22:36 627 10690 10690 E AndroidRuntime: 	at android app ActivityThread main(ActivityThread java:6186)_x000D_
02 17 23:22:36 627 10690 10690 E AndroidRuntime: 	at java lang reflect Method invoke(Native Method)_x000D_
02 17 23:22:36 627 10690 10690 E AndroidRuntime: 	at com android internal os ZygoteInit MethodAndArgsCaller run(ZygoteInit java:889)_x000D_
02 17 23:22:36 627 10690 10690 E AndroidRuntime: 	at com android internal os ZygoteInit main(ZygoteInit java:779)_x000D_
   _x000D_
_x000D_
 Value  0  in field Period: _x000D_
   _x000D_
02 17 23:23:47 004 11016 11016 E AndroidRuntime: FATAL EXCEPTION: main_x000D_
02 17 23:23:47 004 11016 11016 E AndroidRuntime: Process: org shadowice flocke andotp  PID: 11016_x000D_
02 17 23:23:47 004 11016 11016 E AndroidRuntime: java lang ArithmeticException: divide by zero_x000D_
02 17 23:23:47 004 11016 11016 E AndroidRuntime: 	at org shadowice flocke andotp Database Entry updateOTP(Entry java:300)_x000D_
02 17 23:23:47 004 11016 11016 E AndroidRuntime: 	at org shadowice flocke andotp View ManualEntryDialog 7 onClick(ManualEntryDialog java:176)_x000D_
02 17 23:23:47 004 11016 11016 E AndroidRuntime: 	at com android internal app AlertController ButtonHandler handleMessage(AlertController java:166)_x000D_
02 17 23:23:47 004 11016 11016 E AndroidRuntime: 	at android os Handler dispatchMessage(Handler java:102)_x000D_
02 17 23:23:47 004 11016 11016 E AndroidRuntime: 	at android os Looper loop(Looper java:154)_x000D_
02 17 23:23:47 004 11016 11016 E AndroidRuntime: 	at android app ActivityThread main(ActivityThread java:6186)_x000D_
02 17 23:23:47 004 11016 11016 E AndroidRuntime: 	at java lang reflect Method invoke(Native Method)_x000D_
02 17 23:23:47 004 11016 11016 E AndroidRuntime: 	at com android internal os ZygoteInit MethodAndArgsCaller run(ZygoteInit java:889)_x000D_
02 17 23:23:47 004 11016 11016 E AndroidRuntime: 	at com android internal os ZygoteInit main(ZygoteInit java:779)_x000D_
   _x000D_
_x000D_
    Steps to reproduce_x000D_
 _x000D_
   Click the     button to add a new OTP_x000D_
   Select  Enter details _x000D_
   Fill in  Label  and  Secret _x000D_
   Click  Advanced Options _x000D_
   Change the value of  Period  or  Digit  to be empty or  0 _x000D_
   Click  Save _x000D_
_x000D_
</t>
  </si>
  <si>
    <t>Shirakumo-Ocelot-1</t>
  </si>
  <si>
    <t>Picking Emotes Crashes</t>
  </si>
  <si>
    <t xml:space="preserve">   Expected Behavior   
It should allow users to select from the available Emoji s without any error 
   Actual Behavior   
Each time any Emoji is clicked on  the app crashes 
   Test Tools  
  Operating system : Android 6 0
  Phone : Infinix hot s
  Ocelot version 0 1
   How to produce the bug   
Open the App  set up your account (it won t take up to 30sec) 
After opening  click on the text area to input text  select the Emoji icon to bring out all available emoji  now select any Emoji  it ll definitely Crash 
 Recording of the bug is shown below       
https:  youtu be fZlKY Wp4OE
 br    hr   em Posted on  a href  https:  utopian io utopian io  beckysophie bug in ocelot app  Utopian io    Rewarding Open Source Contributors  a   em  hr  </t>
  </si>
  <si>
    <t>woefe-ShoppingList-8</t>
  </si>
  <si>
    <t>Fix crash when WRITE_EXTERNAL_STORAGE is revoked</t>
  </si>
  <si>
    <t>Fix crash when WRITE EXTERNAL STORAGE is revoked while app is running (in background)</t>
  </si>
  <si>
    <t>woefe-ShoppingList-5</t>
  </si>
  <si>
    <t>Fix crash when list name changes externally</t>
  </si>
  <si>
    <t>The app crashes  when trying to reload list from disk and the name of the currently displayed list changed</t>
  </si>
  <si>
    <t>commons-app-apps-android-commons-1163</t>
  </si>
  <si>
    <t>Crash on upload picture with right to left languages</t>
  </si>
  <si>
    <t xml:space="preserve">Change your phone language to Arabic  try to upload a picture  It results this crash:_x000D_
 02 16 00:32:56 294 32006 32006 fr free nrw commons debug E AndroidRuntime: FATAL EXCEPTION: main_x000D_
                                                                           Process: fr free nrw commons debug  PID: 32006_x000D_
                                                                           java lang NullPointerException_x000D_
                                                                               at fr free nrw commons upload SingleUploadFragment titleInfo(SingleUploadFragment java:232)_x000D_
                                                                               at fr free nrw commons upload SingleUploadFragment ViewBinding 1 onTouch(SingleUploadFragment ViewBinding java:46)_x000D_
                                                                               at android view View dispatchTouchEvent(View java:7772) </t>
  </si>
  <si>
    <t>Z3r0byte-Magistify-70</t>
  </si>
  <si>
    <t>SQL injection</t>
  </si>
  <si>
    <t>In some database functions  it is possible to crash the application by having   in an input value  It also creates the possibility for SQL injection  User credentials data are not in danger</t>
  </si>
  <si>
    <t>ramack-ActivityDiary-82</t>
  </si>
  <si>
    <t>Creation of Activity crashes - ArrayIndexOutOfBoundsException</t>
  </si>
  <si>
    <t xml:space="preserve">even with v1 1 5 some users report crashes on activity creation:_x000D_
   _x000D_
java lang ArrayIndexOutOfBoundsException: start   0    end   len  start  1  end 11  len 11_x000D_
at java util Arrays checkStartAndEnd(Arrays java:1745)_x000D_
at java util Arrays fill(Arrays java:803)_x000D_
at android support v7 widget StaggeredGridLayoutManager LazySpanLookup invalidateAfter(StaggeredGridLayoutManager java:2834)_x000D_
at android support v7 widget StaggeredGridLayoutManager handleUpdate(StaggeredGridLayoutManager java:1511)_x000D_
at android support v7 widget StaggeredGridLayoutManager onItemsUpdated(StaggeredGridLayoutManager java:1487)_x000D_
at android support v7 widget RecyclerView 6 dispatchUpdate(RecyclerView java:911)_x000D_
at android support v7 widget RecyclerView 6 onDispatchFirstPass(RecyclerView java:899)_x000D_
at android support v7 widget AdapterHelper dispatchFirstPassAndUpdateViewHolders(AdapterHelper java:314)_x000D_
at android support v7 widget AdapterHelper dispatchAndUpdateViewHolders(AdapterHelper java:300)_x000D_
at android support v7 widget AdapterHelper applyUpdate(AdapterHelper java:220)_x000D_
at android support v7 widget AdapterHelper preProcess(AdapterHelper java:104)_x000D_
at android support v7 widget RecyclerView processAdapterUpdatesAndSetAnimationFlags(RecyclerView java:3352)_x000D_
at android support v7 widget RecyclerView dispatchLayoutStep1(RecyclerView java:3598)_x000D_
at android support v7 widget RecyclerView dispatchLayout(RecyclerView java:3408)_x000D_
at android support v7 widget RecyclerView onLayout(RecyclerView java:3962)_x000D_
at android view View layout(View java:14823)_x000D_
   _x000D_
_x000D_
This seems to be due to the activity created with ID  1 and only after the INSERT SQL completes a valid ID is set </t>
  </si>
  <si>
    <t>opensrp-opensrp-client-path-254</t>
  </si>
  <si>
    <t>App crashes when a user who has been transferred to a new clinic logs in</t>
  </si>
  <si>
    <t xml:space="preserve">When a user who has been transferred to a new clinic logs into the app  they get the error  Please check credentials  on the first and second attempt to login  The user manages to log in on the third attempt  Syncing data fails  service location tab is blank and the app crashes when the user taps on the service location tab  </t>
  </si>
  <si>
    <t>cgeo-cgeo-6933</t>
  </si>
  <si>
    <t>Caches disappear on map switch with new mapsforge beta</t>
  </si>
  <si>
    <t xml:space="preserve">      Detailed steps causing the problem:_x000D_
  Open live map with an offline OSM map (Freizeitkarte or Openandromaps with freizartkarte v5 xml theme)_x000D_
  Switch to Google Maps  caches are still there_x000D_
  Switch back to OSM map_x000D_
_x000D_
      Actual behavior after performing these steps:_x000D_
Caches disappeared  Whether they are saved or not is irrelevant _x000D_
The OSM theme used seems to be irrelevant  too _x000D_
_x000D_
      Other strange behavior (not sure if this is all the same problem or we need separate issues)_x000D_
  Zooming out to  2km  brings the caches back  zooming in to  1km  make them disappear again _x000D_
  If automatic rotation is active and the device is rotated then the map zooms out by 3 levels  Rotating back rotates again by 3 levels  At the c:geo crashes _x000D_
  Zoom out button is disabled at  10km   but using two fingers it is possible to zoom out to  5000km  or even to  10000km _x000D_
_x000D_
All tested using 2018 02 14 NB1 </t>
  </si>
  <si>
    <t>nextcloud-android-2184</t>
  </si>
  <si>
    <t>App crashes on back arrow and menu.</t>
  </si>
  <si>
    <t>On new version 3 nextcloud crashes when I m using the back arrow on the upper left of the app or the menu on the same place  Works fine when I use the back button of my device or slide from left to right to perform the same actions  It was ok on previous versions  
Lenovo a850   android 4 2 2</t>
  </si>
  <si>
    <t>JulianSobott-Catan-15</t>
  </si>
  <si>
    <t>Possible threading issues</t>
  </si>
  <si>
    <t xml:space="preserve">I m not quite shure whether they are caused by the treads  but i think its likely _x000D_
Sometimes the applications crashes randomly on simple tasks which worked before  This might be caused by multiple threads accessing the same memory simultaneously _x000D_
Further review needed </t>
  </si>
  <si>
    <t>aerogear-aerogear-android-sdk-43</t>
  </si>
  <si>
    <t>Example App Crashes when Suspending after Authentication</t>
  </si>
  <si>
    <t xml:space="preserve">   Expected Behavior_x000D_
App does not crash after suspending after login _x000D_
_x000D_
   Actual Behavior_x000D_
When trying to demo some SSO  the example app crashes after login when you suspend the app _x000D_
_x000D_
_x000D_
   Steps to Reproduce the Problem_x000D_
_x000D_
  1  Login _x000D_
  2  Press the home button or the menu button on the device _x000D_
  3  App crashes _x000D_
_x000D_
   Cause_x000D_
_x000D_
   _x000D_
02 15 09:03:57 953 6191 6191 org aerogear mobile example E AndroidRuntime: FATAL EXCEPTION: main_x000D_
                                                                           Process: org aerogear mobile example  PID: 6191_x000D_
                                                                           java lang RuntimeException: Parcelable encountered IOException writing serializable object (name   org aerogear mobile auth user UserPrincipalImpl)_x000D_
                                                                               at android os Parcel writeSerializable(Parcel java:1761)_x000D_
                                                                               at android os Parcel writeValue(Parcel java:1709)_x000D_
                                                                               at android os Parcel writeArrayMapInternal(Parcel java:777)_x000D_
                                                                               at android os BaseBundle writeToParcelInner(BaseBundle java:1506)_x000D_
                                                                               at android os Bundle writeToParcel(Bundle java:1181)_x000D_
                                                                               at android os Parcel writeBundle(Parcel java:817)_x000D_
                                                                               at android support v4 app FragmentState writeToParcel(FragmentState java:120)_x000D_
                                                                               at android os Parcel writeTypedArray(Parcel java:1401)_x000D_
                                                                               at android support v4 app FragmentManagerState writeToParcel(FragmentManager java:617)_x000D_
                                                                               at android os Parcel writeParcelable(Parcel java:1730)_x000D_
                                                                               at android os Parcel writeValue(Parcel java:1636)_x000D_
                                                                               at android os Parcel writeArrayMapInternal(Parcel java:777)_x000D_
                                                                               at android os BaseBundle writeToParcelInner(BaseBundle java:1506)_x000D_
                                                                               at android os Bundle writeToParcel(Bundle java:1181)_x000D_
                                                                               at android app IActivityManager Stub Proxy activityStopped(IActivityManager java:4617)_x000D_
                                                                               at android app ActivityThread StopInfo run(ActivityThread java:3998)_x000D_
                                                                               at android os Handler handleCallback(Handler java:789)_x000D_
                                                                               at android os Handler dispatchMessage(Handler java:98)_x000D_
                                                                               at android os Looper loop(Looper java:164)_x000D_
                                                                               at android app ActivityThread main(ActivityThread java:6541)_x000D_
                                                                               at java lang reflect Method invoke(Native Method)_x000D_
                                                                               at com android internal os Zygote MethodAndArgsCaller run(Zygote java:240)_x000D_
                                                                               at com android internal os ZygoteInit main(ZygoteInit java:767)_x000D_
                                                                            Caused by: java io NotSerializableException: org aerogear mobile auth user UserRole_x000D_
                                                                               at java io ObjectOutputStream writeObject0(ObjectOutputStream java:1233)_x000D_
                                                                               at java io ObjectOutputStream writeObject(ObjectOutputStream java:347)_x000D_
                                                                               at java util HashSet writeObject(HashSet java:287)_x000D_
                                                                               at java lang reflect Method invoke(Native Method)_x000D_
                                                                               at java io ObjectStreamClass invokeWriteObject(ObjectStreamClass java:977)_x000D_
                                                                               at java io ObjectOutputStream writeSerialData(ObjectOutputStream java:1545)_x000D_
                                                                               at java io ObjectOutputStream writeOrdinaryObject(ObjectOutputStream java:1481)_x000D_
                                                                               at java io ObjectOutputStream writeObject0(ObjectOutputStream java:1227)_x000D_
                                                                               at java io ObjectOutputStream defaultWriteFields(ObjectOutputStream java:1597)_x000D_
                                                                               at java io ObjectOutputStream writeSerialData(ObjectOutputStream java:1558)_x000D_
                                                                               at java io ObjectOutputStream writeOrdinaryObject(ObjectOutputStream java:1481)_x000D_
                                                                               at java io ObjectOutputStream writeObject0(ObjectOutputStream java:1227)_x000D_
                                                                               at java io ObjectOutputStream writeObject(ObjectOutputStream java:347)_x000D_
                                                                               at android os Parcel writeSerializable(Parcel java:1756)_x000D_
                                                                               at android os Parcel writeValue(Parcel java:1709) _x000D_
                                                                               at android os Parcel writeArrayMapInternal(Parcel java:777) _x000D_
                                                                               at android os BaseBundle writeToParcelInner(BaseBundle java:1506) _x000D_
                                                                               at android os Bundle writeToParcel(Bundle java:1181) _x000D_
                                                                               at android os Parcel writeBundle(Parcel java:817) _x000D_
                                                                               at android support v4 app FragmentState writeToParcel(FragmentState java:120) _x000D_
                                                                               at android os Parcel writeTypedArray(Parcel java:1401) _x000D_
                                                                               at android support v4 app FragmentManagerState writeToParcel(FragmentManager java:617) _x000D_
                                                                               at android os Parcel writeParcelable(Parcel java:1730) _x000D_
                                                                               at android os Parcel writeValue(Parcel java:1636) _x000D_
                                                                               at android os Parcel writeArrayMapInternal(Parcel java:777) _x000D_
                                                                               at android os BaseBundle writeToParcelInner(BaseBundle java:1506) _x000D_
                                                                               at android os Bundle writeToParcel(Bundle java:1181) _x000D_
                                                                               at android app IActivityManager Stub Proxy activityStopped(IActivityManager java:4617) _x000D_
                                                                               at android app ActivityThread StopInfo run(ActivityThread java:3998) _x000D_
                                                                               at android os Handler handleCallback(Handler java:789) _x000D_
                                                                               at android os Handler dispatchMessage(Handler java:98) _x000D_
                                                                               at android os Looper loop(Looper java:164) _x000D_
                                                                               at android app ActivityThread main(ActivityThread java:6541) _x000D_
                                                                               at java lang reflect Method invoke(Native Method) _x000D_
                                                                               at com android internal os Zygote MethodAndArgsCaller run(Zygote java:240) _x000D_
                                                                               at com android internal os ZygoteInit main(ZygoteInit java:767) _x000D_
_x000D_
   _x000D_
</t>
  </si>
  <si>
    <t>tanrabad-survey-54</t>
  </si>
  <si>
    <t xml:space="preserve">     in org tanrabad survey repository persistence DbProvinceRepository getInstance
  Number of crashes: 1
  Impacted devices: 1
There s a lot more information about this crash on crashlytics com:
 https:  fabric io tanrabad android apps org tanrabad survey issues 5a8534d98cb3c2fa63119d7f utm medium service hooks github utm source issue impact (https:  fabric io tanrabad android apps org tanrabad survey issues 5a8534d98cb3c2fa63119d7f utm medium service hooks github utm source issue impact)</t>
  </si>
  <si>
    <t>tonyofrancis-Fetch-111</t>
  </si>
  <si>
    <t>Unhandled Exception Database is closed</t>
  </si>
  <si>
    <t>After I terminate my application sometimes the main activity crashes with an exception that I cannot handle  Following is the Logcat output:_x000D_
_x000D_
E AndroidRuntime: FATAL EXCEPTION: fetch application           _x000D_
com tonyodev fetch2 exception FetchImplementationException: database is closed_x000D_
 at com tonyodev fetch2 database DatabaseManagerImpl throwExceptionIfClosed(DatabaseManagerImpl kt:170)_x000D_
at com tonyodev fetch2 database DatabaseManagerImpl deleteAll(DatabaseManagerImpl kt:73)_x000D_
at com tonyodev fetch2 fetch FetchHandlerImpl removeAll(FetchHandlerImpl kt:197)_x000D_
at com tonyodev fetch2 fetch FetchImpl removeAll  inlined synchronized lambda 1 run(FetchImpl kt:233)_x000D_
                                                                           at android os Handler handleCallback(Handler java:789)_x000D_
                                                                           at android os Handler dispatchMessage(Handler java:98)_x000D_
                                                                           at android os Looper loop(Looper java:180)_x000D_
                                                                           at android os HandlerThread run(HandlerThread java:65)</t>
  </si>
  <si>
    <t>eritpchy-FingerprintPay-29</t>
  </si>
  <si>
    <t>疑似本模块导致island中的微信闪退</t>
  </si>
  <si>
    <t xml:space="preserve">   omni 8 1 0 20180211 oneplus5 WEEKLY_x000D_
Xposed: 90 1 beta3 (Systemless) Magisk_x000D_
_x000D_
             island      _x000D_
_x000D_
         _x000D_
 wechat crash log (https:  github com eritpchy Xposed Fingerprint pay files 1722827 wechat crash log)_x000D_
</t>
  </si>
  <si>
    <t>inaturalist-iNaturalistAndroid-466</t>
  </si>
  <si>
    <t>Compare broken for some observations</t>
  </si>
  <si>
    <t xml:space="preserve">1  Go to Explore and search for  Acreophthiria _x000D_
1  Tap on https:  www inaturalist org observations 9825666_x000D_
1  Tap Suggest an ID from obs detail to get to Suggestions screen_x000D_
1  Tap the Compare button for the first result (or any result)_x000D_
_x000D_
At this point the app seems to crash (screen goes black) and I m either returned to the Suggestions screen or obs detail </t>
  </si>
  <si>
    <t>warmshowers-wsandroid-267</t>
  </si>
  <si>
    <t>Crash in MessageThreadListAdapter on emulator with Android 4.1</t>
  </si>
  <si>
    <t xml:space="preserve">When opening the message thread list view from the navigation drawer on an API level 16 emulator (Nexus 4 API 16)  the app crashes with below Exception:_x000D_
_x000D_
   java_x000D_
FATAL EXCEPTION: main_x000D_
	 java lang IllegalStateException: Fatal Exception thrown on Scheduler _x000D_
	     at io reactivex android schedulers HandlerScheduler ScheduledRunnable run(HandlerScheduler java:111)_x000D_
	     at android os Handler handleCallback(Handler java:615)_x000D_
	     at android os Handler dispatchMessage(Handler java:92)_x000D_
	     at android os Looper loop(Looper java:137)_x000D_
	     at android app ActivityThread main(ActivityThread java:4745)_x000D_
	     at java lang reflect Method invokeNative(Native Method)_x000D_
	     at java lang reflect Method invoke(Method java:511)_x000D_
	     at com android internal os ZygoteInit MethodAndArgsCaller run(ZygoteInit java:786)_x000D_
	     at com android internal os ZygoteInit main(ZygoteInit java:553)_x000D_
	     at dalvik system NativeStart main(Native Method)_x000D_
	  Caused by: java lang NoClassDefFoundError: java util Objects_x000D_
	     at org apache commons lang3 StringUtils join(StringUtils java:4659)_x000D_
	     at org apache commons lang3 StringUtils join(StringUtils java:4720)_x000D_
	     at fi bitrite android ws ui listadapter MessageThreadListAdapter ItemBinding lambda bind 0 MessageThreadListAdapter ItemBinding(MessageThreadListAdapter java:150)_x000D_
	     at fi bitrite android ws ui listadapter MessageThreadListAdapter ItemBinding  Lambda 1 accept(Unknown Source)_x000D_
	     at io reactivex internal observers LambdaObserver onNext(LambdaObserver java:63)_x000D_
	     at io reactivex internal operators observable ObservableObserveOn ObserveOnObserver drainNormal(ObservableObserveOn java:200)_x000D_
	     at io reactivex internal operators observable ObservableObserveOn ObserveOnObserver run(ObservableObserveOn java:252)_x000D_
	     at io reactivex android schedulers HandlerScheduler ScheduledRunnable run(HandlerScheduler java:109)_x000D_
	     at android os Handler handleCallback(Handler java:615) _x000D_
	     at android os Handler dispatchMessage(Handler java:92) _x000D_
	     at android os Looper loop(Looper java:137) _x000D_
	     at android app ActivityThread main(ActivityThread java:4745) _x000D_
	     at java lang reflect Method invokeNative(Native Method) _x000D_
	     at java lang reflect Method invoke(Method java:511) _x000D_
	     at com android internal os ZygoteInit MethodAndArgsCaller run(ZygoteInit java:786) _x000D_
	     at com android internal os ZygoteInit main(ZygoteInit java:553) _x000D_
	     at dalvik system NativeStart main(Native Method) _x000D_
   </t>
  </si>
  <si>
    <t>kazijehangir-BloodHub-22</t>
  </si>
  <si>
    <t>Sign out is weird</t>
  </si>
  <si>
    <t xml:space="preserve">If you sign out and then sign in again  the app crashes  I think </t>
  </si>
  <si>
    <t>EyeSeeTea-EReferralsApp-130</t>
  </si>
  <si>
    <t>media: pdf preview crash</t>
  </si>
  <si>
    <t xml:space="preserve">PDF preview crashes systematically on the media gallery (mosaic view)  Tested on two different devices </t>
  </si>
  <si>
    <t>zeevy-grblcontroller-33</t>
  </si>
  <si>
    <t>CH34xSerialDevice.java line 366</t>
  </si>
  <si>
    <t xml:space="preserve"> Platform: android_x000D_
 Application: Grbl Controller_x000D_
 Version: 2 1 2 (14)_x000D_
 Bundle Identifier: in co gorest grblcontroller_x000D_
 Issue : 64_x000D_
 Issue ID: 5a81483d8cb3c2fa63da1faa_x000D_
 Session ID: 5A813A77028300014D6E426D4EA0C8B3 DNE 0 v2_x000D_
 Date: 2018 02 12T07:54:36Z_x000D_
 OS Version: 7 1 1_x000D_
 Device: Galaxy J5(2016)_x000D_
 RAM Free: 19 7 _x000D_
 Disk Free: 23 3 _x000D_
_x000D_
0  Crashed: Thread 19_x000D_
       at com felhr usbserial CH34xSerialDevice openCH34X(CH34xSerialDevice java:366)_x000D_
       at com felhr usbserial CH34xSerialDevice open(CH34xSerialDevice java:115)_x000D_
       at in co gorest grblcontroller service GrblUsbSerialService ConnectionThread run(GrblUsbSerialService java:320)_x000D_
_x000D_
  _x000D_
_x000D_
Fatal Exception: java lang NullPointerException: Attempt to invoke virtual method  boolean android hardware usb UsbDeviceConnection claimInterface(android hardware usb UsbInterface  boolean)  on a null object reference_x000D_
       at com felhr usbserial CH34xSerialDevice openCH34X(CH34xSerialDevice java:366)_x000D_
       at com felhr usbserial CH34xSerialDevice open(CH34xSerialDevice java:115)_x000D_
       at in co gorest grblcontroller service GrblUsbSerialService ConnectionThread run(GrblUsbSerialService java:320)_x000D_
_x000D_
0  Crashed: Thread 19_x000D_
       at com felhr usbserial CH34xSerialDevice openCH34X(CH34xSerialDevice java:366)_x000D_
       at com felhr usbserial CH34xSerialDevice open(CH34xSerialDevice java:115)_x000D_
       at in co gorest grblcontroller service GrblUsbSerialService ConnectionThread run(GrblUsbSerialService java:320)_x000D_
_x000D_
1  Thread 19_x000D_
       at java lang Object wait(Object java)_x000D_
       at java lang Thread parkFor (Thread java:2128)_x000D_
       at sun misc Unsafe park(Unsafe java:325)_x000D_
       at java util concurrent locks LockSupport park(LockSupport java:161)_x000D_
       at java util concurrent FutureTask awaitDone(FutureTask java:421)_x000D_
       at java util concurrent FutureTask get(FutureTask java:163)_x000D_
       at com crashlytics android core CrashlyticsBackgroundWorker submitAndWait(CrashlyticsBackgroundWorker java:43)_x000D_
       at com crashlytics android core CrashlyticsController handleUncaughtException(CrashlyticsController java:312)_x000D_
       at com crashlytics android core CrashlyticsController 6 onUncaughtException(CrashlyticsController java:296)_x000D_
       at com crashlytics android core CrashlyticsUncaughtExceptionHandler uncaughtException(CrashlyticsUncaughtExceptionHandler java:30)_x000D_
       at java lang ThreadGroup uncaughtException(ThreadGroup java:1068)_x000D_
       at java lang ThreadGroup uncaughtException(ThreadGroup java:1063)_x000D_
_x000D_
2  Answers Events Handler1_x000D_
       at java lang Object wait(Object java)_x000D_
       at java lang Thread parkFor (Thread java:2128)_x000D_
       at sun misc Unsafe park(Unsafe java:325)_x000D_
       at java util concurrent locks LockSupport parkNanos(LockSupport java:201)_x000D_
       at java util concurrent locks AbstractQueuedSynchronizer ConditionObject awaitNanos(AbstractQueuedSynchronizer java:2077)_x000D_
       at java util concurrent ScheduledThreadPoolExecutor DelayedWorkQueue take(ScheduledThreadPoolExecutor java:1103)_x000D_
       at java util concurrent ScheduledThreadPoolExecutor DelayedWorkQueue take(ScheduledThreadPoolExecutor java:1084)_x000D_
       at java util concurrent ThreadPoolExecutor getTask(ThreadPoolExecutor java:1058)_x000D_
       at java util concurrent ThreadPoolExecutor runWorker(ThreadPoolExecutor java:1118)_x000D_
       at java util concurrent ThreadPoolExecutor Worker run(ThreadPoolExecutor java:607)_x000D_
       at io fabric sdk android services common ExecutorUtils 1 1 onRun(ExecutorUtils java:75)_x000D_
       at io fabric sdk android services common BackgroundPriorityRunnable run(BackgroundPriorityRunnable java:30)_x000D_
       at java lang Thread run(Thread java:762)_x000D_
_x000D_
3  Crashlytics Exception Handler1_x000D_
       at dalvik system VMStack getThreadStackTrace(VMStack java)_x000D_
       at java lang Thread getStackTrace(Thread java:1567)_x000D_
       at java lang Thread getAllStackTraces(Thread java:1617)_x000D_
       at com crashlytics android core CrashlyticsController writeSessionEvent(CrashlyticsController java:1317)_x000D_
       at com crashlytics android core CrashlyticsController writeFatal(CrashlyticsController java:1004)_x000D_
       at com crashlytics android core CrashlyticsController access 400(CrashlyticsController java:67)_x000D_
       at com crashlytics android core CrashlyticsController 7 call(CrashlyticsController java:319)_x000D_
       at com crashlytics android core CrashlyticsController 7 call(CrashlyticsController java:312)_x000D_
       at java util concurrent FutureTask run(FutureTask java:237)_x000D_
       at java util concurrent ThreadPoolExecutor runWorker(ThreadPoolExecutor java:1133)_x000D_
       at java util concurrent ThreadPoolExecutor Worker run(ThreadPoolExecutor java:607)_x000D_
       at io fabric sdk android services common ExecutorUtils 1 1 onRun(ExecutorUtils java:75)_x000D_
       at io fabric sdk android services common BackgroundPriorityRunnable run(BackgroundPriorityRunnable java:30)_x000D_
       at java lang Thread run(Thread java:762)_x000D_
_x000D_
4  ReferenceQueueDaemon_x000D_
       at java lang Object wait(Object java)_x000D_
       at java lang Daemons ReferenceQueueDaemon run(Daemons java:150)_x000D_
       at java lang Thread run(Thread java:762)_x000D_
_x000D_
5  Thread 13_x000D_
       at java lang Object wait(Object java)_x000D_
       at com felhr usbserial SerialBuffer SynchronizedBuffer get(SerialBuffer java:146)_x000D_
       at com felhr usbserial SerialBuffer getWriteBuffer(SerialBuffer java:83)_x000D_
       at com felhr usbserial UsbSerialDevice WriteThread run(UsbSerialDevice java:306)_x000D_
_x000D_
6  Queue_x000D_
       at java lang Object wait(Object java)_x000D_
       at java lang Thread parkFor (Thread java:2128)_x000D_
       at sun misc Unsafe park(Unsafe java:325)_x000D_
       at java util concurrent locks LockSupport park(LockSupport java:161)_x000D_
       at java util concurrent locks AbstractQueuedSynchronizer ConditionObject await(AbstractQueuedSynchronizer java:2035)_x000D_
       at java util concurrent PriorityBlockingQueue take(PriorityBlockingQueue java:519)_x000D_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java:1058)_x000D_
       at java util concurrent ThreadPoolExecutor runWorker(ThreadPoolExecutor java:1118)_x000D_
       at java util concurrent ThreadPoolExecutor Worker run(ThreadPoolExecutor java:607)_x000D_
       at java lang Thread run(Thread java:762)_x000D_
_x000D_
7  Queue_x000D_
       at java lang Object wait(Object java)_x000D_
       at java lang Thread parkFor (Thread java:2128)_x000D_
       at sun misc Unsafe park(Unsafe java:325)_x000D_
       at java util concurrent locks LockSupport park(LockSupport java:161)_x000D_
       at java util concurrent locks AbstractQueuedSynchronizer ConditionObject await(AbstractQueuedSynchronizer java:2035)_x000D_
       at java util concurrent PriorityBlockingQueue take(PriorityBlockingQueue java:519)_x000D_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java:1058)_x000D_
       at java util concurrent ThreadPoolExecutor runWorker(ThreadPoolExecutor java:1118)_x000D_
       at java util concurrent ThreadPoolExecutor Worker run(ThreadPoolExecutor java:607)_x000D_
       at java lang Thread run(Thread java:762)_x000D_
_x000D_
8  HeapTaskDaemon_x000D_
       at dalvik system VMRuntime runHeapTasks(VMRuntime java)_x000D_
       at java lang Daemons HeapTaskDaemon run(Daemons java:433)_x000D_
       at java lang Thread run(Thread java:762)_x000D_
_x000D_
9  Queue_x000D_
       at java lang Object wait(Object java)_x000D_
       at java lang Thread parkFor (Thread java:2128)_x000D_
       at sun misc Unsafe park(Unsafe java:325)_x000D_
       at java util concurrent locks LockSupport park(LockSupport java:161)_x000D_
       at java util concurrent locks AbstractQueuedSynchronizer ConditionObject await(AbstractQueuedSynchronizer java:2035)_x000D_
       at java util concurrent PriorityBlockingQueue take(PriorityBlockingQueue java:519)_x000D_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java:1058)_x000D_
       at java util concurrent ThreadPoolExecutor runWorker(ThreadPoolExecutor java:1118)_x000D_
       at java util concurrent ThreadPoolExecutor Worker run(ThreadPoolExecutor java:607)_x000D_
       at java lang Thread run(Thread java:762)_x000D_
_x000D_
10  Thread 17_x000D_
       at java lang Object wait(Object java)_x000D_
       at com felhr usbserial SerialBuffer SynchronizedBuffer get(SerialBuffer java:146)_x000D_
       at com felhr usbserial SerialBuffer getWriteBuffer(SerialBuffer java:83)_x000D_
       at com felhr usbserial UsbSerialDevice WriteThread run(UsbSerialDevice java:306)_x000D_
_x000D_
11  FinalizerWatchdogDaemon_x000D_
       at java lang Object wait(Object java)_x000D_
       at java lang Daemons FinalizerWatchdogDaemon sleepUntilNeeded(Daemons java:269)_x000D_
       at java lang Daemons FinalizerWatchdogDaemon run(Daemons java:249)_x000D_
       at java lang Thread run(Thread java:762)_x000D_
_x000D_
12  pool 2 thread 1_x000D_
       at java lang Object wait(Object java)_x000D_
       at java lang Thread parkFor (Thread java:2128)_x000D_
       at sun misc Unsafe park(Unsafe java:325)_x000D_
       at java util concurrent locks LockSupport park(LockSupport java:161)_x000D_
       at java util concurrent locks AbstractQueuedSynchronizer ConditionObject await(AbstractQueuedSynchronizer java:2035)_x000D_
       at java util concurrent LinkedBlockingQueue take(LinkedBlockingQueue java:413)_x000D_
       at java util concurrent ThreadPoolExecutor getTask(ThreadPoolExecutor java:1058)_x000D_
       at java util concurrent ThreadPoolExecutor runWorker(ThreadPoolExecutor java:1118)_x000D_
       at java util concurrent ThreadPoolExecutor Worker run(ThreadPoolExecutor java:607)_x000D_
       at java lang Thread run(Thread java:762)_x000D_
_x000D_
13  AsyncTask 10_x000D_
       at java lang Object wait(Object java)_x000D_
       at java lang Thread parkFor (Thread java:2128)_x000D_
       at sun misc Unsafe park(Unsafe java:325)_x000D_
       at java util concurrent locks LockSupport parkNanos(LockSupport java:201)_x000D_
       at java util concurrent locks AbstractQueuedSynchronizer ConditionObject awaitNanos(AbstractQueuedSynchronizer java:2077)_x000D_
       at java util concurrent LinkedBlockingQueue poll(LinkedBlockingQueue java:438)_x000D_
       at java util concurrent ThreadPoolExecutor getTask(ThreadPoolExecutor java:1057)_x000D_
       at java util concurrent ThreadPoolExecutor runWorker(ThreadPoolExecutor java:1118)_x000D_
       at java util concurrent ThreadPoolExecutor Worker run(ThreadPoolExecutor java:607)_x000D_
       at java lang Thread run(Thread java:762)_x000D_
_x000D_
14  AsyncTask 9_x000D_
       at java lang Object wait(Object java)_x000D_
       at java lang Thread parkFor (Thread java:2128)_x000D_
       at sun misc Unsafe park(Unsafe java:325)_x000D_
       at java util concurrent locks LockSupport parkNanos(LockSupport java:201)_x000D_
       at java util concurrent locks AbstractQueuedSynchronizer ConditionObject awaitNanos(AbstractQueuedSynchronizer java:2077)_x000D_
       at java util concurrent LinkedBlockingQueue poll(LinkedBlockingQueue java:438)_x000D_
       at java util concurrent ThreadPoolExecutor getTask(ThreadPoolExecutor java:1057)_x000D_
       at java util concurrent ThreadPoolExecutor runWorker(ThreadPoolExecutor java:1118)_x000D_
       at java util concurrent ThreadPoolExecutor Worker run(ThreadPoolExecutor java:607)_x000D_
       at java lang Thread run(Thread java:762)_x000D_
_x000D_
15  FinalizerDaemon_x000D_
       at java lang Object wait(Object java)_x000D_
       at java lang Object wait(Object java:407)_x000D_
       at java lang ref ReferenceQueue remove(ReferenceQueue java:188)_x000D_
       at java lang ref ReferenceQueue remove(ReferenceQueue java:209)_x000D_
       at java lang Daemons FinalizerDaemon run(Daemons java:204)_x000D_
       at java lang Thread run(Thread java:762)_x000D_
_x000D_
16  Queue_x000D_
       at java lang Object wait(Object java)_x000D_
       at java lang Thread parkFor (Thread java:2128)_x000D_
       at sun misc Unsafe park(Unsafe java:325)_x000D_
       at java util concurrent locks LockSupport park(LockSupport java:161)_x000D_
       at java util concurrent locks AbstractQueuedSynchronizer ConditionObject await(AbstractQueuedSynchronizer java:2035)_x000D_
       at java util concurrent PriorityBlockingQueue take(PriorityBlockingQueue java:519)_x000D_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java:1058)_x000D_
       at java util concurrent ThreadPoolExecutor runWorker(ThreadPoolExecutor java:1118)_x000D_
       at java util concurrent ThreadPoolExecutor Worker run(ThreadPoolExecutor java:607)_x000D_
       at java lang Thread run(Thread java:762)_x000D_
_x000D_
17  pool 6 thread 1_x000D_
       at java lang Object wait(Object java)_x000D_
       at java lang Thread parkFor (Thread java:2128)_x000D_
       at sun misc Unsafe park(Unsafe java:325)_x000D_
       at java util concurrent locks LockSupport park(LockSupport java:161)_x000D_
       at java util concurrent locks AbstractQueuedSynchronizer ConditionObject await(AbstractQueuedSynchronizer java:2035)_x000D_
       at java util concurrent LinkedBlockingQueue take(LinkedBlockingQueue java:413)_x000D_
       at java util concurrent ThreadPoolExecutor getTask(ThreadPoolExecutor java:1058)_x000D_
       at java util concurrent ThreadPoolExecutor runWorker(ThreadPoolExecutor java:1118)_x000D_
       at java util concurrent ThreadPoolExecutor Worker run(ThreadPoolExecutor java:607)_x000D_
       at java lang Thread run(Thread java:762)_x000D_
_x000D_
18  Queue_x000D_
       at java lang Object wait(Object java)_x000D_
       at java lang Thread parkFor (Thread java:2128)_x000D_
       at sun misc Unsafe park(Unsafe java:325)_x000D_
       at java util concurrent locks LockSupport park(LockSupport java:161)_x000D_
       at java util concurrent locks AbstractQueuedSynchronizer ConditionObject await(AbstractQueuedSynchronizer java:2035)_x000D_
       at java util concurrent PriorityBlockingQueue take(PriorityBlockingQueue java:519)_x000D_
       at io fabric sdk android services concurrency DependencyPriorityBlockingQueue performOperation(DependencyPriorityBlockingQueue java:197)_x000D_
       at io fabric sdk android services concurrency DependencyPriorityBlockingQueue get(DependencyPriorityBlockingQueue java:236)_x000D_
       at io fabric sdk android services concurrency DependencyPriorityBlockingQueue take(DependencyPriorityBlockingQueue java:65)_x000D_
       at io fabric sdk android services concurrency DependencyPriorityBlockingQueue take(DependencyPriorityBlockingQueue java:46)_x000D_
       at java util concurrent ThreadPoolExecutor getTask(ThreadPoolExecutor java:1058)_x000D_
       at java util concurrent ThreadPoolExecutor runWorker(ThreadPoolExecutor java:1118)_x000D_
       at java util concurrent ThreadPoolExecutor Worker run(ThreadPoolExecutor java:607)_x000D_
       at java lang Thread run(Thread java:762)_x000D_
</t>
  </si>
  <si>
    <t>dimagi-commcare-android-1943</t>
  </si>
  <si>
    <t>Fixes NPE on rotation for Update Prompts</t>
  </si>
  <si>
    <t xml:space="preserve">Case: https:  manage dimagi com default asp 270185_x000D_
Crash: https:  fabric io dimagi android apps org commcare dalvik issues 5a300d4a8cb3c2fa63b92579 sessions latest build 69952000_x000D_
_x000D_
On Rotation  before we could refresh the  updateToPrompt  in  onCreateSessionSafe    isBackEnabled   gets called from  BreadcrumbBarFragment configureSimpleNav  which results in this NPE   I am now refreshing the  updateToPrompt  object again if it s null and have added the isNull check in onCreateSessionSafe to avoid duplicate initialization  _x000D_
_x000D_
Product Note: Fixes Commcare crash on rotation on the update prompt screen  </t>
  </si>
  <si>
    <t>thekirankumar-carstream-android-auto-77</t>
  </si>
  <si>
    <t>Steering Wheels command cause Crash</t>
  </si>
  <si>
    <t>Hi _x000D_
_x000D_
sometime using Steering Wheels command app crash    _x000D_
_x000D_
Always   when carstream play local file and the file played is the last  if i select  next  app crash _x000D_
_x000D_
you can find a video explaining issue at this link  _x000D_
_x000D_
https:  drive google com file d 1p9Whr3G1B6Ov4JDelwEtkZUPUSMiXdzl view usp sharing_x000D_
_x000D_
Thank you</t>
  </si>
  <si>
    <t>tanrabad-survey-53</t>
  </si>
  <si>
    <t xml:space="preserve">     in org tanrabad survey repository persistence DbSubdistrictRepository getInstance
  Number of crashes: 1
  Impacted devices: 1
There s a lot more information about this crash on crashlytics com:
 https:  fabric io tanrabad android apps org tanrabad survey issues 5a7feb438cb3c2fa63c8c687 utm medium service hooks github utm source issue impact (https:  fabric io tanrabad android apps org tanrabad survey issues 5a7feb438cb3c2fa63c8c687 utm medium service hooks github utm source issue impact)</t>
  </si>
  <si>
    <t>nonsensicalthinking-planttracker-19</t>
  </si>
  <si>
    <t>Crash when selecting only 1 image to attach to record</t>
  </si>
  <si>
    <t xml:space="preserve">When attaching only a single image  getClipData() is null _x000D_
Need to get the Uri through some other field _x000D_
When attaching multiple images the crash doesn t occur </t>
  </si>
  <si>
    <t>mapbox-mapbox-plugins-android-274</t>
  </si>
  <si>
    <t>traffic plugin initialization not working consistantly</t>
  </si>
  <si>
    <t xml:space="preserve">receiving this crash when I try initializing the traffic plugin  _x000D_
_x000D_
   _x000D_
java lang NoSuchMethodError: No static method lineWidth(Lcom mapbox mapboxsdk style functions CameraFunction )Lcom mapbox mapboxsdk style layers PropertyValue  in class Lcom mapbox mapboxsdk style layers PropertyFactory  or its super classes (declaration of  com mapbox mapboxsdk style layers PropertyFactory  appears in  data app com mapbox voyage 1 base apk)_x000D_
                                                                     at com mapbox mapboxsdk plugins traffic TrafficPlugin TrafficLayer getLineLayer(TrafficPlugin java:352)_x000D_
                                                                     at com mapbox mapboxsdk plugins traffic TrafficPlugin TrafficLayer getLineLayer(TrafficPlugin java:340)_x000D_
                                                                     at com mapbox mapboxsdk plugins traffic TrafficPlugin TrafficLayer access 000(TrafficPlugin java:336)_x000D_
                                                                     at com mapbox mapboxsdk plugins traffic TrafficPlugin addLocalLayer(TrafficPlugin java:172)_x000D_
                                                                     at com mapbox mapboxsdk plugins traffic TrafficPlugin addTrafficLayers(TrafficPlugin java:161)_x000D_
                                                                     at com mapbox mapboxsdk plugins traffic TrafficPlugin initialise(TrafficPlugin java:141)_x000D_
                                                                     at com mapbox mapboxsdk plugins traffic TrafficPlugin updateState(TrafficPlugin java:127)_x000D_
                                                                     at com mapbox mapboxsdk plugins traffic TrafficPlugin  init (TrafficPlugin java:79)_x000D_
                                                                     at com mapbox voyage ui mapstyle EditMapStyleFragment onActivityCreated(EditMapStyleFragment java:96)_x000D_
                                                                     at android support v4 app Fragment performActivityCreated(Fragment java:2270)_x000D_
                                                                     at android support v4 app FragmentManagerImpl moveToState(FragmentManager java:1442)_x000D_
                                                                     at android support v4 app FragmentManagerImpl moveFragmentToExpectedState(FragmentManager java:1750)_x000D_
                                                                     at android support v4 app FragmentManagerImpl moveToState(FragmentManager java:1819)_x000D_
                                                                     at android support v4 app BackStackRecord executeOps(BackStackRecord java:797)_x000D_
                                                                     at android support v4 app FragmentManagerImpl executeOps(FragmentManager java:2590)_x000D_
                                                                     at android support v4 app FragmentManagerImpl executeOpsTogether(FragmentManager java:2377)_x000D_
                                                                     at android support v4 app FragmentManagerImpl removeRedundantOperationsAndExecute(FragmentManager java:2332)_x000D_
                                                                     at android support v4 app FragmentManagerImpl execPendingActions(FragmentManager java:2239)_x000D_
                                                                     at android support v4 app FragmentManagerImpl 1 run(FragmentManager java:700)_x000D_
                                                                     at android os Handler handleCallback(Handler java:751)_x000D_
                                                                     at android os Handler dispatchMessage(Handler java:95)_x000D_
                                                                     at android os Looper loop(Looper java:154)_x000D_
                                                                     at android app ActivityThread main(ActivityThread java:6823)_x000D_
                                                                     at java lang reflect Method invoke(Native Method)_x000D_
                                                                     at com android internal os ZygoteInit MethodAndArgsCaller run(ZygoteInit java:1563)_x000D_
                                                                     at com android internal os ZygoteInit main(ZygoteInit java:1451)_x000D_
02 10 14:58:45 707 3475 3828 com mapbox voyage E mbgl:  Map Snapshotter  Style : Failed to load source mapbox:  mapbox mapbox traffic v1: bounds latitude values must be between  90 and 90 with bottom less than top_x000D_
   _x000D_
_x000D_
cc:  tobrun </t>
  </si>
  <si>
    <t>deltachat-deltachat-android-248</t>
  </si>
  <si>
    <t>ndk-build fails for NDK r16b</t>
  </si>
  <si>
    <t xml:space="preserve">  Delta Chat version  _x000D_
_x000D_
Newest GitHub version_x000D_
_x000D_
  Expected behavior  _x000D_
_x000D_
ndk build to work : )_x000D_
_x000D_
  Actual behavior  _x000D_
_x000D_
   _x000D_
  ndk build_x000D_
 home user DeltaChat android ndk r16b build core setup app mk:81: Android NDK: Application targets deprecated ABI(s): armeabi    _x000D_
 home user DeltaChat android ndk r16b build core setup app mk:82: Android NDK: Support for these ABIs will be removed in a future NDK release _x000D_
Many lines of output   _x000D_
 armeabi  Compile arm    : messenger 1    misc c_x000D_
jni   messenger backend libs netpgp src misc c: In function  pgp mem readfile :_x000D_
jni   messenger backend libs netpgp src misc c:953:13: error: call to  mmap  declared with attribute error: mmap is not available with  FILE OFFSET BITS 64 when using GCC until android 21  Either raise your minSdkVersion  disable  FILE OFFSET BITS 64  or switch to Clang _x000D_
  mem  buf   mmap(NULL  mem  allocated  PROT READ _x000D_
              _x000D_
make:      obj local armeabi objs messenger 1   messenger backend libs netpgp src misc o  Error 1_x000D_
   _x000D_
Naturally  when i build and launch Delta Chat anyway  it crashes ( Unfortunately  Delta Chat has stopped  ) _x000D_
_x000D_
  Steps to reproduce the problem  _x000D_
_x000D_
Follow the   Install Development Environment (https:  github com deltachat deltachat android blob master README md install development environment)  and then the   Build (https:  github com deltachat deltachat android blob master README md build)  instructions in the readme (Or did I miss something   do something wrong  )_x000D_
</t>
  </si>
  <si>
    <t>ZeevoX-Ocquarium-15</t>
  </si>
  <si>
    <t>Application crash when no input provided for Octopus size</t>
  </si>
  <si>
    <t xml:space="preserve">If the user doesn t input anything into the octopus Min max  EditTextPreference  the application crashes with a  NumberFormatException  </t>
  </si>
  <si>
    <t>ankidroid-Anki-Android-4786</t>
  </si>
  <si>
    <t xml:space="preserve">       Research_x000D_
 Enter an   x   character to confirm the points below: _x000D_
_x000D_
 x   I have read the  support page (https:  ankidroid org docs help html) and am reporting a bug or enhancement request specific to AnkiDroid_x000D_
_x000D_
 x  I have checked the  manual (https:  ankidroid org docs manual html) and the  FAQ (https:  github com ankidroid Anki Android wiki FAQ) and could not find a solution to my issue_x000D_
_x000D_
 x  I have searched for similar existing issues here and on the user forum_x000D_
_x000D_
       Reproduction Steps_x000D_
_x000D_
1  Install 2 9alpha18 on Android 8 1 and launch app_x000D_
2  Restart device_x000D_
_x000D_
       Expected Result_x000D_
No crash_x000D_
_x000D_
       Actual Result_x000D_
AnkiDroid crashes as part of startup procedure   i e  does not need to be launched_x000D_
_x000D_
       Debug info_x000D_
E AndroidRuntime: FATAL EXCEPTION: main_x000D_
Process: com ichi2 anki  PID: 5265_x000D_
java lang RuntimeException: Unable to create application com ichi2 anki AnkiDroidApp: java lang IllegalStateException: Not allowed to start service Intent   cmp com ichi2 anki  services BootService  : app is in background uid UidRecord c5888c8 u0a286 RCVR idle change:uncached procs:1 seq(0 0 0) _x000D_
    at android app ActivityThread handleBindApplication(ActivityThread java:5743)_x000D_
    at android app ActivityThread  wrap1(Unknown Source:0)_x000D_
    at android app ActivityThread H handleMessage(ActivityThread java:1656)_x000D_
    at android os Handler dispatchMessage(Handler java:106)_x000D_
    at android os Looper loop(Looper java:164)_x000D_
    at android app ActivityThread main(ActivityThread java:6494)_x000D_
    at java lang reflect Method invoke(Native Method)_x000D_
    at com android internal os RuntimeInit MethodAndArgsCaller run(RuntimeInit java:438)_x000D_
    at com android internal os ZygoteInit main(ZygoteInit java:807)_x000D_
_x000D_
_x000D_
_x000D_
</t>
  </si>
  <si>
    <t>Freeyourgadget-Gadgetbridge-982</t>
  </si>
  <si>
    <t>App crashes when I try to go into Settings.</t>
  </si>
  <si>
    <t xml:space="preserve">     Before opening an issue please confirm the following:_x000D_
      I have read the  wiki (https:  github com Freeyourgadget Gadgetbridge wiki)  and I didn t find a solution to my problem   an answer to my question _x000D_
      I have searched the  issues (https:  github com Freeyourgadget Gadgetbridge issues)  and I didn t find a solution to my problem   an answer to my question _x000D_
      If you upload an image or other content  please make sure you have read and understood the  github policies and terms of services (https:  help github com articles github terms of service  1 responsibility for user generated content)_x000D_
_x000D_
     Your issue is:_x000D_
When I tap Settings  I cannot show any logs since the app crashes then _x000D_
_x000D_
     Your wearable device is:_x000D_
Pebble 2_x000D_
 Please specify model and firmware version if possible _x000D_
_x000D_
     Your android version is:_x000D_
Android 8 1 0 on Nexus 5X_x000D_
_x000D_
     Your Gadgetbridge version is:_x000D_
0 24 3_x000D_
_x000D_
_x000D_
 New issues about already solved documented topics could be closed without further comments  Same for too generic or incomplete reports  _x000D_
</t>
  </si>
  <si>
    <t>balthazar-react-native-zeroconf-54</t>
  </si>
  <si>
    <t>NsdService: Unique id with no client mapping: 209</t>
  </si>
  <si>
    <t xml:space="preserve">Hi Balthazar  _x000D_
_x000D_
Any idea what may be causing this  which makes the app crash on android devices  Android version 6:_x000D_
   :36:05 511 2601 8121   E mDnsConnector: RMV     200 495 resolveService started _x000D_
02 08 09:36:05 512 2601 8121   E mDnsConnector: SND     496 mdnssd stop resolve 239 _x000D_
02 08 09:36:05 512 2601 8122   E mDnsConnector: RCV     200 496 resolve stopped _x000D_
02 08 09:36:05 513 2601 8121   E mDnsConnector: RMV     200 496 resolve stopped _x000D_
02 08 09:36:05 513 2601 8121   E mDnsConnector: SND     497 mdnssd getaddrinfo 240 usn device d333 local  _x000D_
02 08 09:36:05 514 2601 8122   E mDnsConnector: RCV     200 497 getAddrInfo started _x000D_
02 08 09:36:05 517 2601 8122   E mDnsConnector: RCV     612 240  usn device d333 local   120 192 168 1 139 _x000D_
02 08 09:36:05 517 2601 8121   E mDnsConnector: RMV     200 497 getAddrInfo started _x000D_
02 08 09:36:05 517 2601 8122   E mDnsConnector: RCV     612 240  usn device d333 local   120 fe80::2b17:15c7:cc86:1fe0 _x000D_
02 08 09:36:05 518 2601 8121   E mDnsConnector: SND     498 mdnssd stop getaddrinfo 240 _x000D_
02 08 09:36:05 518 2601 8122   E mDnsConnector: RCV     200 498 getaddrinfo stopped _x000D_
02 08 09:36:05 519 2601 8121   E mDnsConnector: RMV     200 498 getaddrinfo stopped _x000D_
02 08 09:36:05 519 2601 8121   E NsdService: Unique id with no client mapping: 240_x000D_
02 08 09:36:05 519 2601 8121   E NsdService: Unhandled   when  1ms what 393242 obj com android server NsdService NativeEvent b3f5171 target com android internal util StateMachine SmHandler  _x000D_
   _x000D_
There are multiple services broadcasting _x000D_
Thanks </t>
  </si>
  <si>
    <t>mendhak-gpslogger-617</t>
  </si>
  <si>
    <t>start widget doesn't work when GpsLoggingService is stopped</t>
  </si>
  <si>
    <t xml:space="preserve">Since the update to version 91 GPSLogger runs but fails to write a track about 80  of the time  it also crashed 2 3 times  I am attaching the debug log of today s failed attempt: GPSLogger was started and stopped via widgets as usual and failed to write a track  Another navi program was running in parallel and GPS was functioning properly all the time  Android 6 0 1  Samsung galaxy S5  _x000D_
 debuglog txt (https:  github com mendhak gpslogger files 1705946 debuglog txt)_x000D_
</t>
  </si>
  <si>
    <t>ScreamingHawk-android-slideshow-95</t>
  </si>
  <si>
    <t>Picture in picture causes crashes</t>
  </si>
  <si>
    <t xml:space="preserve">Selecting picture in picture is causing a crash for devices that do not support it  _x000D_
_x000D_
Ideally this option should be hidden when the device doesn t support it  But at the very least it shouldn t crash </t>
  </si>
  <si>
    <t>thekirankumar-carstream-android-auto-40</t>
  </si>
  <si>
    <t>App crash when returning from bookmarks</t>
  </si>
  <si>
    <t>Hi_x000D_
I couldn t install plex media server as it is not compatible for my J7(2016) because it has arm _x000D_
If Carstream s player has some options  it can be usable for me _x000D_
Also one more thing is  when I push to back button on Carstream s player it is not giving any response  After 2 3 second  if I push to back button again and again (like 2 3 times) then it goes back but this time Carstream is crashing _x000D_
FYI</t>
  </si>
  <si>
    <t>nextcloud-android-2111</t>
  </si>
  <si>
    <t>Flash back? Please give priority to this problem</t>
  </si>
  <si>
    <t xml:space="preserve">    Actual behaviour_x000D_
When you try to move the file elsewhere  the search option seems unfriendly on the new pop up selection page  and if you do use the search  you will surely find that the program is crashing _x000D_
_x000D_
    Expected behaviour_x000D_
I think you should search the target folder  don t you _x000D_
 _x000D_
    Steps to reproduce_x000D_
1  Click on a file and select move in actionbar_x000D_
2  Then click search in the pop up folder selection page_x000D_
3  Search for any name  click on the keyboard to determine_x000D_
4  It collapsed  didn t it _x000D_
_x000D_
_x000D_
    Environment data_x000D_
Android version:_x000D_
Android 6 0_x000D_
Device model: _x000D_
Nexus 7_x000D_
Stock or customized system:_x000D_
_x000D_
Nextcloud app version:_x000D_
_x000D_
Nextcloud server version:_x000D_
_x000D_
    Logs_x000D_
     Web server error log_x000D_
I don t seem to know if there s a log  but it s definitely a problem _x000D_
Insert your webserver log here_x000D_
   _x000D_
_x000D_
     Nextcloud log (data nextcloud log)_x000D_
   _x000D_
Insert your Nextcloud log here_x000D_
   _x000D_
_x000D_
</t>
  </si>
  <si>
    <t>thekirankumar-carstream-android-auto-32</t>
  </si>
  <si>
    <t>APP CRASH ERROR</t>
  </si>
  <si>
    <t xml:space="preserve">Hi Kiran _x000D_
_x000D_
me and some other people are getting the app crashed when open it on AA (black display)  getting an error message like the one reported below   I m using the phone Honor 9   Can you help to solve this problem  Why is it crashing  What I have noted is that unistalling and installing again AA from the Play Store the app comes back to work normally  but only for once  at the second connection still have the same error and crash   Thanks in advance for your support in solving this issue  _x000D_
   Maxcar crashed_x000D_
java lang RuntimeException: Unable to create serrvice com thekirankumar youtubeauto service CarService: java lang RuntimeException:com google android gms car b:java lang reflect InvocationTargetException at andorid app ActivityThread handleCreateService(ActivityThread java:3362) at andoidapp ActivityThread  wrap5(ActivityThread java) at android app ActivityThread H handleMessage(ActivityThread java:1662)   _x000D_
</t>
  </si>
  <si>
    <t>dimagi-commcare-android-1941</t>
  </si>
  <si>
    <t>Adds Bypass aar from maven repo to include the .so files for 64 bit processors</t>
  </si>
  <si>
    <t xml:space="preserve">Case: https:  manage dimagi com default asp 269866 1454597_x000D_
Crash: https:  www fabric io dimagi android apps org commcare dalvik issues 5a7820de8cb3c2fa6356160f time last thirty days_x000D_
_x000D_
Markdown code is currently crashing on the phones with 64 bit processors because we didn t have the required  so files for 64 bit architectures   I have deleted the local aar file and jni files to use the remote aar from maven repo which contains the missing files  </t>
  </si>
  <si>
    <t>nikita36078-J2ME-Loader-93</t>
  </si>
  <si>
    <t>error with "Suspend" on MeBoy application</t>
  </si>
  <si>
    <t xml:space="preserve">  screenshot 2018 02 04 18 19 07 (https:  user images githubusercontent com 22563129 35785588 5a3883c6 0a5c 11e8 9a8a 6c94e0ad29e1 png)_x000D_
_x000D_
This is MeBoy  a gb gbc emulator _x000D_
_x000D_
It happens when you start the game on MeBoy  goes to menu and press  Suspend  option _x000D_
_x000D_
  Oh  and another thing:_x000D_
  screenshot 2018 02 14 19 26 49 (https:  user images githubusercontent com 22563129 36202054 3bb462d6 11bd 11e8 8a0c c487d41e53e0 png)_x000D_
enabling Sounds on Settings menu inside MeBoy crashes the app _x000D_
</t>
  </si>
  <si>
    <t>open-keychain-open-keychain-2262</t>
  </si>
  <si>
    <t>Crash importing key with OI file manager</t>
  </si>
  <si>
    <t xml:space="preserve">   Current Behavior_x000D_
I copied a rsa2048 gpg public key created on 2014 04 27 to my Android phone and tried to import it using  IMPORT KEY FROM FILE    I selected the key using the OI File Manager   The first time I tap the Go button in OI File Manager  nothing happens   The second time I tap the Go button  an  OpenKeychain has stopped  message is displayed for about 1 2 second and the app crashes _x000D_
_x000D_
   Steps to Reproduce (for bugs)_x000D_
Import this public key file:_x000D_
   _x000D_
     BEGIN PGP PUBLIC KEY BLOCK     _x000D_
_x000D_
mQENBFNdmeYBCACezcQOpslfXmUMXPaFMK53lPS14qm5VIuz0 6Byjag ukhhxZf_x000D_
P5Gd3 wsKLCzhfwtvzFj8AEtXOqlr502J2RTFawS1IhNZYq FU5Whkgh1KkS0Jwt_x000D_
z4R3cVoJVhsUY4x5FVf8o57bZsdmhgEznrbFbgophg4W5P XB8V7TV7F6LPqDM3w_x000D_
TKUHaJJSHERpGtkNuK98hMwtZiMOT7Tnb6ppwK2lkkeWRKsGoWnCMNXf1io8Wyvb_x000D_
FFk2iABUmx3hG2oHkLOhhoDxj2V2WyFgCQPOmCj53JsLg 0tzsDx1 1u1veQJped_x000D_
OXcwZR7hTi7dDgzS leWpav0kn9zx URucpJABEBAAG0LFRvbSBTY2h1dHRlciAo_x000D_
cGFzcykgPHQuc2NodXR0ZXJAY29tY2FzdC5uZXQ iQE4BBMBAgAiBQJTXZnmAhsD_x000D_
BgsJCAcDAgYVCAIJCgsEFgIDAQIeAQIXgAAKCRDFOKQ9Z3wDfkjVB wNUEqildZw_x000D_
dJZafCvMQPC4FB4BPLNALZKKgcugxjUq0Z47 ZGs467gEvg4ly35tL6HCele8BQ _x000D_
HtrgEdpHvbLBs iB1oXlAhwMUZsl1OIV  5pXO dZGKeXqDFqGXJTxRAXQdIR6wA_x000D_
i7NaZBLoBju53I7dDRpo2wfokbp djMgz9P6YERXTHT jeovAO0oMHlgeP N7kfk_x000D_
c22qEede3YTW6H4Enqkkd3ZpKC3wxHhRcrUmzL 9ckSj7ocNfv1k1NGD2yd2Fwg2_x000D_
r9Q 9YoQpAJbcS4p8dDorqLAm1JNyPEqSwHcuNoxJuhYGw oJ2u6rv7Iq8nWHmdx_x000D_
JdsuuVc7RH buQENBFNdmeYBCACbtbVv9zTGeW8FBIjxe5Bte2ETFt6byQ4liBgr_x000D_
Kj9pR7dwqtj5ncy5f fFuidj1hQ5w2n5qYa0i kkUL92 n1YqYl7e1X7lUQa1Z1v_x000D_
81NIEXVspXekiAVMeGZ2STUgqf3yszUrraqo  jSXpHjZnvMzJFVv7LC1WG8U4m5_x000D_
qaCZ2 rgeEMN4 BHiTdgy08PE3JMtjcxGSiov4YKBfVqCd7fqFkqW clkEMql8U8_x000D_
3tjBQ1VaP9fGuOdCbPDnRxVqNqMdc2LqaSddbHtEoHpvcGEERUFRS4mCZ87gl4Xh_x000D_
BWkt9T8V5V45APPSPIs2jBwTLtyuWRFLppoSyhrPPxdZEN5BABEBAAGJAR8EGAEC_x000D_
AAkFAlNdmeYCGwwACgkQxTikPWd8A37iPgf K5LocVlm3po5M6Vj8bfeUXtgH8HZ_x000D_
dQngYe62ZP010c433xutb0bIRJmExOUjcvvNvYzya2iXdQXsedsqsfthkZxWqCdI_x000D_
vEUoOPsSVJaNMzsG8QNli k4FTC lLygEw2MztOJIv1Snz0P8nCiRPlzB2HY1T2R_x000D_
EgQfv3 UpX1f3RTS9edaNUyLjSnUZ6pBExhOFNTeslXzwMmna5PRRIzhIW2QdOe6_x000D_
iDqG7K CAKs1bTqjLTbG3fqLK0gZqYhFseRT6SN6ZkmW2L65F5G Sk 9pF8bKryu_x000D_
lgDiqRHkf85Zr4Ob 3jt 4C0dZGND0fOGFC1pj1NiQSMu05npIct8e7f1Q  _x000D_
 HIX4_x000D_
     END PGP PUBLIC KEY BLOCK     _x000D_
   _x000D_
_x000D_
   Your Environment_x000D_
  Android Version: 7 0_x000D_
  Device Model: SM G920V (Samsung Galaxy S6)_x000D_
  OpenKeychain Version: 4 8 1_x000D_
  From Google Play or F Droid : F Droid_x000D_
 _x000D_
</t>
  </si>
  <si>
    <t>tanrabad-survey-52</t>
  </si>
  <si>
    <t>:com.google.android.gms.DynamiteModulesB@11946434 line 45</t>
  </si>
  <si>
    <t xml:space="preserve">     in mf a
  Number of crashes: 1
  Impacted devices: 1
There s a lot more information about this crash on crashlytics com:
 https:  fabric io tanrabad android apps org tanrabad survey issues 5a75a0d68cb3c2fa6335147d utm medium service hooks github utm source issue impact (https:  fabric io tanrabad android apps org tanrabad survey issues 5a75a0d68cb3c2fa6335147d utm medium service hooks github utm source issue impact)</t>
  </si>
  <si>
    <t>nextcloud-android-2096</t>
  </si>
  <si>
    <t>App crashes when opening a folder with images that the server fails to generate a preview for</t>
  </si>
  <si>
    <t xml:space="preserve">    Actual behaviour_x000D_
App crashes sometimes when opening a folder with images that the server fails to generate a preview for _x000D_
_x000D_
    Expected behaviour_x000D_
App should open the folder without crashing _x000D_
 _x000D_
    Steps to reproduce_x000D_
1  Set up NextCloud server with low memory limit_x000D_
2  Upload big image_x000D_
3  Open folder with big image in app_x000D_
_x000D_
    Environment data_x000D_
Android version: 7 0_x000D_
_x000D_
Device model: Samsung Galaxy S6 SM G920F_x000D_
_x000D_
Stock or customized system: Stock_x000D_
_x000D_
Nextcloud app version: 2 0 0_x000D_
_x000D_
Nextcloud server version: 12 0 4snap2_x000D_
_x000D_
    Stacktrace_x000D_
  screenshot 20180203 011939 (https:  user images githubusercontent com 13948008 35766071 f13568bc 08d0 11e8 984e 092a42314681 png)_x000D_
_x000D_
    Logs_x000D_
     Nextcloud log (data nextcloud log)_x000D_
   _x000D_
Allowed memory size of 134217728 bytes exhausted (tried to allocate 12288 bytes) at  snap nextcloud 4958 htdocs lib private legacy image php 477_x000D_
   _x000D_
</t>
  </si>
  <si>
    <t>Neamar-KISS-819</t>
  </si>
  <si>
    <t>v2.32.4 crashes when trying to type into the search bar</t>
  </si>
  <si>
    <t>Reproduce:_x000D_
Install upgrade to 2 32 4_x000D_
Focus search bar_x000D_
Type anything_x000D_
Expected:_x000D_
Populated search results_x000D_
Actual response:_x000D_
App crashes_x000D_
_x000D_
Same behavior after reinstall  reupgrade from working 2 32 3 and or deleting all preferences _x000D_
Everything else works _x000D_
_x000D_
Using a Moto G4 XT1622 running latest OEM update android 7 0 kernel 3 10 84 g498cc0c with security patch 01  december 2017</t>
  </si>
  <si>
    <t>OneBusAway-onebusaway-android-849</t>
  </si>
  <si>
    <t>Release builds are failing due to DuplicatePlatformClasses</t>
  </si>
  <si>
    <t xml:space="preserve">  Summary:   _x000D_
_x000D_
When I run  gradlew assembleObaGoogleRelease   I get the following:_x000D_
_x000D_
   _x000D_
E: Android Studio onebusaway android gradlew clean assembleObaGoogleRelease_x000D_
_x000D_
  Configure project :onebusaway android_x000D_
The Task leftShift(Closure) method has been deprecated and is scheduled to be removed in Gradle 5 0  Please use Task doLast(Action) instead _x000D_
        at build efsagzar1z063af95y1c43hip run(E: Android Studio onebusaway android onebusaway android build gradle:321)_x000D_
_x000D_
  Task :onebusaway android:compileObaGoogleReleaseJavaWithJavac_x000D_
Note: Some input files use or override a deprecated API _x000D_
Note: Recompile with  Xlint:deprecation for details _x000D_
Note: Some input files use unchecked or unsafe operations _x000D_
Note: Recompile with  Xlint:unchecked for details _x000D_
_x000D_
  Task :onebusaway android:lintVitalObaGoogleRelease_x000D_
E: Android Studio onebusaway android onebusaway android build gradle: Error: json defines classes that conflict with classes now provided by Android _x000D_
Solutions include finding newer versions or alternative libraries that don t have the same problem (for example  for httpclient use HttpUrlConnection_x000D_
or okhttp instead)  or repackaging the library using something like jarjar   DuplicatePlatformClasses _x000D_
_x000D_
   Explanation for issues of type  DuplicatePlatformClasses :_x000D_
   There are a number of libraries that duplicate not just functionality of_x000D_
   the Android platform but using the exact same class names as the ones_x000D_
   provided in Android    for example the apache http classes  This can lead_x000D_
   to unexpected crashes _x000D_
_x000D_
   To solve this  you need to either find a newer version of the library which_x000D_
   no longer has this problem  or to repackage the library (and all of its_x000D_
   dependencies) using something like the jarjar tool  or finally  rewriting_x000D_
   the code to use different APIs (for example  for http code  consider using_x000D_
   HttpUrlConnection or a library like okhttp )_x000D_
_x000D_
1 errors  0 warnings_x000D_
_x000D_
_x000D_
FAILURE: Build failed with an exception _x000D_
_x000D_
  What went wrong:_x000D_
Execution failed for task  :onebusaway android:lintVitalObaGoogleRelease  _x000D_
  Lint found fatal errors while assembling a release target _x000D_
_x000D_
  To proceed  either fix the issues identified by lint  or modify your build script as follows:_x000D_
     _x000D_
  android  _x000D_
      lintOptions  _x000D_
          checkReleaseBuilds false_x000D_
             Or  if you prefer  you can continue to check for errors in release builds _x000D_
             but continue the build even when errors are found:_x000D_
          abortOnError false_x000D_
       _x000D_
   _x000D_
     _x000D_
_x000D_
  Try:_x000D_
Run with   stacktrace option to get the stack trace  Run with   info or   debug option to get more log output _x000D_
_x000D_
  Get more help at https:  help gradle org_x000D_
_x000D_
BUILD FAILED in 1m 39s_x000D_
18 actionable tasks: 16 executed  2 up to date_x000D_
_x000D_
E: Android Studio onebusaway android _x000D_
   _x000D_
_x000D_
I m guessing this is now being flagged as an error instead of a warning in v3 of the plugin _x000D_
_x000D_
  Steps to reproduce:   _x000D_
_x000D_
Run  gradlew assembleObaGoogleRelease _x000D_
_x000D_
  Expected behavior:   _x000D_
_x000D_
Release build should execute  prompt you for a key password  and finish the release build_x000D_
_x000D_
  Observed behavior:   _x000D_
_x000D_
It fails before getting to the key password with the above error message_x000D_
_x000D_
  Device and Android version:   _x000D_
_x000D_
N A_x000D_
_x000D_
  Screenshots:   _x000D_
_x000D_
N A</t>
  </si>
  <si>
    <t>nextcloud-android-2085</t>
  </si>
  <si>
    <t>3.0.0: app is crashing whenever I try and enter certain folders</t>
  </si>
  <si>
    <t xml:space="preserve">    Actual behaviour_x000D_
The beta app crashes when I try and enter certain folders _x000D_
_x000D_
    Expected behaviour_x000D_
It should not crash _x000D_
 _x000D_
    Steps to reproduce_x000D_
1  Enter certain folders (always photos  I think)_x000D_
2  Crash_x000D_
3  Send crash report_x000D_
_x000D_
Do you guys get Play Store crash reports  I sent a bunch  I will debug this logcat tonight _x000D_
_x000D_
_x000D_
    Environment data_x000D_
Android version:_x000D_
_x000D_
Device model: _x000D_
_x000D_
Stock or customized system:_x000D_
_x000D_
Nextcloud app version: 3 0 0RC3_x000D_
_x000D_
Nextcloud server version: 13 RC4_x000D_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</si>
  <si>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MiPushFramework-MiPushFramework-41</t>
  </si>
  <si>
    <t>点击感叹号闪退</t>
  </si>
  <si>
    <t xml:space="preserve">                    _x000D_
_x000D_
       RuntimeEnvironmentInformation       _x000D_
crash time _x000D_
model MI 5_x000D_
android version 8 1 0(27)_x000D_
brand Xiaomi_x000D_
manufacturer Xiaomi_x000D_
board msm8996_x000D_
hardware qcom_x000D_
device gemini_x000D_
supported abis arm64 v8a   armeabi v7a   armeabi_x000D_
display aosp gemini userdebug 8 1 0 OPM1 171019 013 c18557063f test keys_x000D_
       ForceCloseCrashLog       _x000D_
FATAL EXCEPTION: main_x000D_
Process: top trumeet mipush  PID: 5778_x000D_
android util AndroidRuntimeException: Calling startActivity() from outside of an Activity  context requires the FLAG ACTIVITY NEW TASK flag  Is this really what you want _x000D_
	at android app ContextImpl startActivity(ContextImpl java:881)_x000D_
	at android app ContextImpl startActivity(ContextImpl java:855)_x000D_
	at android content ContextWrapper startActivity(ContextWrapper java:372)_x000D_
	at com android settings widget EntityHeaderController 1 onClick(EntityHeaderController java:271)_x000D_
	at android view View performClick(View java:6294)_x000D_
	at android view View PerformClick run(View java:24774)_x000D_
	at android os Handler handleCallback(Handler java:790)_x000D_
	at android os Handler dispatchMessage(Handler java:99)_x000D_
	at android os Looper loop(Looper java:164)_x000D_
	at android app ActivityThread main(ActivityThread java:6520)_x000D_
	at java lang reflect Method invoke(Native Method)_x000D_
	at com android internal os RuntimeInit MethodAndArgsCaller run(RuntimeInit java:442)_x000D_
	at com android internal os ZygoteInit main(ZygoteInit java:807)_x000D_
	at de robv android xposed XposedBridge main(XposedBridge java:108)_x000D_
</t>
  </si>
  <si>
    <t>mapbox-mapbox-plugins-android-268</t>
  </si>
  <si>
    <t>NullPointer on GeoJSON</t>
  </si>
  <si>
    <t xml:space="preserve">Recreate of ticket from  kingfisherphuoc upstream in https:  github com mapbox mapbox gl native issues 11102:_x000D_
_x000D_
  Platform: Android  _x000D_
  Mapbox SDK version: 5 3 2  _x000D_
_x000D_
    Steps to trigger behavior_x000D_
_x000D_
 1  Load map successfully_x000D_
 2  Change map style_x000D_
 3  Map crashed in some devices (some others app did not crash) _x000D_
_x000D_
I found out that the problem came from Location permission  If I dont provide permission  the style cannot be load  With other styles  it worked normally with or without the permission _x000D_
_x000D_
    Expected behavior_x000D_
 Map should not get crash _x000D_
    Actual behavior_x000D_
Map crash with below log: _x000D_
   _x000D_
JNI DETECTED ERROR IN APPLICATION: can t call java lang String com mapbox services commons geojson GeoJSON getType() on null object_x000D_
02 01 14:33:44 767 23350 23350 com map goong v2 A art: art runtime java vm ext cc:410      in call to CallObjectMethodV_x000D_
02 01 14:33:44 767 23350 23350 com map goong v2 A art: art runtime java vm ext cc:410      from void com mapbox mapboxsdk style sources GeoJsonSource nativeSetGeometry(com mapbox services commons geojson Geometry)_x000D_
02 01 14:33:44 767 23350 23350 com map goong v2 A art: art runtime java vm ext cc:410   main  prio 5 tid 1 Runnable_x000D_
02 01 14:33:44 767 23350 23350 com map goong v2 A art: art runtime java vm ext cc:410      group  main  sCount 0 dsCount 0 obj 0x77914850 self 0x7fa5a7ba00_x000D_
02 01 14:33:44 767 23350 23350 com map goong v2 A art: art runtime java vm ext cc:410      sysTid 23350 nice 0 cgrp default sched 0 0 handle 0x7fa91f3fc8_x000D_
02 01 14:33:44 767 23350 23350 com map goong v2 A art: art runtime java vm ext cc:410      state R schedstat ( 0 0 0 ) utm 281 stm 38 core 2 HZ 100_x000D_
02 01 14:33:44 767 23350 23350 com map goong v2 A art: art runtime java vm ext cc:410      stack 0x7fd61ad000 0x7fd61af000 stackSize 8MB_x000D_
02 01 14:33:44 767 23350 23350 com map goong v2 A art: art runtime java vm ext cc:410      held mutexes   mutator lock (shared held)_x000D_
02 01 14:33:44 767 23350 23350 com map goong v2 A art: art runtime java vm ext cc:410    native:  00 pc 000000000048bd98   system lib64 libart so ( ZN3art15DumpNativeStackERNSt3  113basic ostreamIcNS0 11char traitsIcEEEEiPKcPNS 9ArtMethodEPv 236)_x000D_
02 01 14:33:44 767 23350 23350 com map goong v2 A art: art runtime java vm ext cc:410    native:  01 pc 000000000045af60   system lib64 libart so ( ZNK3art6Thread4DumpERNSt3  113basic ostreamIcNS1 11char traitsIcEEEE 220)_x000D_
02 01 14:33:44 767 23350 23350 com map goong v2 A art: art runtime java vm ext cc:410    native:  02 pc 000000000030ebf0   system lib64 libart so ( ZN3art9JavaVMExt8JniAbortEPKcS2  1000)_x000D_
02 01 14:33:44 767 23350 23350 com map goong v2 A art: art runtime java vm ext cc:410    native:  03 pc 000000000030f4a8   system lib64 libart so ( ZN3art9JavaVMExt9JniAbortVEPKcS2 St9  va list 116)_x000D_
02 01 14:33:44 767 23350 23350 com map goong v2 A art: art runtime java vm ext cc:410    native:  04 pc 000000000014319c   system lib64 libart so ( ZN3art11ScopedCheck6AbortFEPKcz 144)_x000D_
02 01 14:33:44 767 23350 23350 com map goong v2 A art: art runtime java vm ext cc:410    native:  05 pc 00000000001436fc   system lib64 libart so ( ZN3art11ScopedCheck17CheckMethodAndSigERNS 18ScopedObjectAccessEP8 jobjectP7 jclassP10 jmethodIDNS 9Primitive4TypeENS 10InvokeTypeE 1084)_x000D_
02 01 14:33:44 767 23350 23350 com map goong v2 A art: art runtime java vm ext cc:410    native:  06 pc 000000000015cc78   system lib64 libart so ( ZN3art8CheckJNI11CallMethodVEPKcP7 JNIEnvP8 jobjectP7 jclassP10 jmethodIDSt9  va listNS 9Primitive4TypeENS 10InvokeTypeE 724)_x000D_
02 01 14:33:44 767 23350 23350 com map goong v2 A art: art runtime java vm ext cc:410    native:  07 pc 000000000015f80c   system lib64 libart so ( ZN3art8CheckJNI17CallObjectMethodVEP7 JNIEnvP8 jobjectP10 jmethodIDSt9  va list 68)_x000D_
02 01 14:33:44 767 23350 23350 com map goong v2 A art: art runtime java vm ext cc:410    native:  08 pc 00000000000929dc   data app com map goong v2 1 lib arm64 libmapbox gl so (   )_x000D_
02 01 14:33:44 767 23350 23350 com map goong v2 A art: art runtime java vm ext cc:410    native:  09 pc 00000000000b9988   data app com map goong v2 1 lib arm64 libmapbox gl so (   )_x000D_
02 01 14:33:44 767 23350 23350 com map goong v2 A art: art runtime java vm ext cc:410    native:  10 pc 00000000000b9510   data app com map goong v2 1 lib arm64 libmapbox gl so (   )_x000D_
02 01 14:33:44 767 23350 23350 com map goong v2 A art: art runtime java vm ext cc:410    native:  11 pc 0000000000137d4c   data app com map goong v2 1 lib arm64 libmapbox gl so (   )_x000D_
02 01 14:33:44 767 23350 23350 com map goong v2 A art: art runtime java vm ext cc:410    native:  12 pc 000000000013a96c   data app com map goong v2 1 lib arm64 libmapbox gl so (   )_x000D_
02 01 14:33:44 767 23350 23350 com map goong v2 A art: art runtime java vm ext cc:410    native:  13 pc 000000000013a9c0   data app com map goong v2 1 lib arm64 libmapbox gl so (   )_x000D_
02 01 14:33:44 767 23350 23350 com map goong v2 A art: art runtime java vm ext cc:410    native:  14 pc 0000000000128028   system lib64 libart so (art quick generic jni trampoline 152)_x000D_
02 01 14:33:44 767 23350 23350 com map goong v2 A art: art runtime java vm ext cc:410    native:  15 pc 000000000011e3e4   system lib64 libart so (art quick invoke stub 580)_x000D_
02 01 14:33:44 767 23350 23350 com map goong v2 A art: art runtime java vm ext cc:410    native:  16 pc 000000000012e29c   system lib64 libart so ( ZN3art9ArtMethod6InvokeEPNS 6ThreadEPjjPNS 6JValueEPKc 176)_x000D_
02 01 14:33:44 767 23350 23350 com map goong v2 A art: art runtime java vm ext cc:410    native:  17 pc 00000000004d0320   system lib64 libart so (artInterpreterToCompiledCodeBridge 212)_x000D_
02 01 14:33:44 767 23350 23350 com map goong v2 A art: art runtime java vm ext cc:410    native:  18 pc 00000000002a92f0   system lib64 libart so ( ZN3art11interpreter6DoCallILb0ELb0EEEbPNS 9ArtMethodEPNS 6ThreadERNS 11ShadowFrameEPKNS 11InstructionEtPNS 6JValueE 480)_x000D_
02 01 14:33:44 767 23350 23350 com map goong v2 A art: art runtime java vm ext cc:410    native:  19 pc 00000000000dd740   system lib64 libart so ( ZN3art11interpreter15ExecuteGotoImplILb0ELb0EEENS 6JValueEPNS 6ThreadEPKNS 7DexFile8CodeItemERNS 11ShadowFrameES2  22320)_x000D_
02 01 14:33:44 767 23350 23350 com map goong v2 A art: art runtime java vm ext cc:410    native:  20 pc 00000000002870f8   system lib64 libart so (artInterpreterToInterpreterBridge 220)_x000D_
02 01 14:33:44 767 23350 23350 com map goong v2 A art: art runtime java vm ext cc:410    native:  21 pc 00000000002a92f0   system lib64 libart so ( ZN3art11interpreter6DoCallILb0ELb0EEEbPNS 9ArtMethodEPNS 6ThreadERNS 11ShadowFrameEPKNS 11InstructionEtPNS 6JValueE 480)_x000D_
02 01 14:33:44 767 23350 23350 com map goong v2 A art: art runtime java vm ext cc:410    native:  22 pc 00000000002ac3b8   system lib64 libart so ( ZN3art11interpreterL8DoInvokeILNS 10InvokeTypeE2ELb0ELb0EEEbPNS 6ThreadERNS 11ShadowFrameEPKNS 11InstructionEtPNS 6JValueE 268)_x000D_
02 01 14:33:44 767 23350 23350 com map goong v2 A art: art runtime java vm ext cc:410    native:  23 pc 00000000000dd97c   system lib64 libart so ( ZN3art11interpreter15ExecuteGotoImplILb0ELb0EEENS 6JValueEPNS 6ThreadEPKNS 7DexFile8CodeItemERNS 11ShadowFrameES2  22892)_x000D_
02 01 14:33:44 767 23350 23350 com map goong v2 A art: art runtime java vm ext cc:410    native:  24 pc 00000000002870f8   system lib64 libart so (artInterpreterToInterpreterBridge 220)_x000D_
02 01 14:33:44 767 23350 23350 com map goong v2 A art: art runtime java vm ext cc:410    native:  25 pc 00000000002a92f0   system lib64 libart so ( ZN3art11interpreter6DoCallILb0ELb0EEEbPNS 9ArtMethodEPNS 6ThreadERNS 11ShadowFrameEPKNS 11InstructionEtPNS 6JValueE 480)_x000D_
02 01 14:33:44 767 23350 23350 com map goong v2 A art: art runtime java vm ext cc:410    native:  26 pc 00000000000dd740   system lib64 libart so ( ZN3art11interpreter15ExecuteGotoImplILb0ELb0EEENS 6JValueEPNS 6ThreadEPKNS 7DexFile8CodeItemERNS 11ShadowFrameES2  22320)_x000D_
02 01 14:33:44 767 23350 23350 com map goong v2 A art: art runtime java vm ext cc:410    native:  27 pc 00000000002870f8   system lib64 libart so (artInterpreterToInterpreterBridge 220)_x000D_
02 01 14:33:44 767 23350 23350 com map goong v2 A art: art runtime java vm ext cc:410    native:  28 pc 00000000002a92f0   system lib64 libart so ( ZN3art11interpreter6DoCallILb0ELb0EEEbPNS 9ArtMethodEPNS 6ThreadERNS 11ShadowFrameEPKNS 11InstructionEtPNS 6JValueE 480)_x000D_
02 01 14:33:44 767 23350 23350 com map goong v2 A art: art runtime java vm ext cc:410    native:  29 pc 00000000002aed00   system lib64 libart so ( ZN3art11interpreterL8DoInvokeILNS 10InvokeTypeE4ELb0ELb0EEEbPNS 6ThreadERNS 11ShadowFrameEPKNS 11InstructionEtPNS 6JValueE 772)_x000D_
02 01 14:33:44 767 23350 23350 com map goong v2 A art: art runtime java vm ext cc:410    native:  30 pc 00000000000dcf5c   system lib64 libart so ( ZN3art11interpreter15ExecuteGotoImplILb0ELb0EEENS 6JValueEPNS 6ThreadEPKNS 7DexFile8CodeItemERNS 11ShadowFrameES2  20300)_x000D_
02 01 14:33:44 767 23350 23350 com map goong v2 A art: art runtime java vm ext cc:410    native:  31 pc 00000000002870f8   system lib64 libart so (artInterpreterToInterpreterBridge 220)_x000D_
02 01 14:33:44 767 23350 23350 com map goong v2 A art: art runtime java vm ext cc:410    native:  32 pc 00000000002a92f0   system lib64 libart so ( ZN3art11interpreter6DoCallILb0ELb0EEEbPNS 9ArtMethodEPNS 6ThreadERNS 11ShadowFrameEPKNS 11InstructionEtPNS 6JValueE 480)_x000D_
02 01 14:33:44 767 23350 23350 com map goong v2 A art: art runtime java vm ext cc:410    native:  33 pc 00000000002ac3b8   system lib64 libart so ( ZN3art11interpreterL8DoInvokeILNS 10InvokeTypeE2ELb0ELb0EEEbPNS 6ThreadERNS 11ShadowFrameEPKNS 11InstructionEtPNS 6JValueE 268)_x000D_
02 01 14:33:44 767 23350 23350 com map goong v2 A art: art runtime java vm ext cc:410    native:  34 pc 00000000000dd97c   system lib64 libart so ( ZN3art11interpreter15ExecuteGotoImplILb0ELb0EEENS 6JValueEPNS 6ThreadEPKNS 7DexFile8CodeItemERNS 11ShadowFrameES2  22892)_x000D_
02 01 14:33:44 767 23350 23350 com map goong v2 A art: art runtime java vm ext cc:410    native:  35 pc 0000000000286d00   system lib64 libart so ( ZN3art11interpreter30EnterInterpreterFromEntryPointEPNS 6ThreadEPKNS 7DexFile8CodeItemEPNS 11ShadowFrameE 96)_x000D_
02 01 14:33:44 767 23350 23350 com map goong v2 A art: art runtime java vm ext cc:410    native:  36 pc 000000000053de30   system lib64 libart so (artQuickToInterpreterBridge 632)_x000D_
02 01 14:33:44 767 23350 23350 com map goong v2 A art: art runtime java vm ext cc:410    native:  37 pc 0000000000128164   system lib64 libart so (art quick to interpreter bridge 100)_x000D_
02 01 14:33:44 767 23350 23350 com map goong v2 A art: art runtime java vm ext cc:410    native:  38 pc 000000000011e3e4   system lib64 libart so (art quick invoke stub 580)_x000D_
02 01 14:33:44 767 23350 23350 com map goong v2 A art: art runtime java vm ext cc:410    native:  39 pc 000000000012e29c   system lib64 libart so ( ZN3art9ArtMethod6InvokeEPNS 6ThreadEPjjPNS 6JValueEPKc 176)_x000D_
02 01 14:33:44 767 23350 23350 com map goong v2 A art: art runtime java vm ext cc:410    native:  40 pc 000000000042d4d0   system lib64 libart so ( ZN3art35InvokeVirtualOrInterfaceWithVarArgsERKNS 33ScopedObjectAccessAlreadyRunnableEP8 jobjectP10 jmethodIDSt9  va list 512)_x000D_
02 01 14:33:44 767 23350 23350 com map goong v2 A art: art runtime java vm ext cc:410    native:  41 pc 000000000035026c   system lib64 libart so ( ZN3art3JNI15CallVoidMethodVEP7 JNIEnvP8 jobjectP10 jmethodIDSt9  va list 464)_x000D_
02 01 14:33:44 767 23350 23350 com map goong v2 A art: art runtime java vm ext cc:410    native:  42 pc 000000000015cf44   system lib64 libart so ( ZN3art8CheckJNI11CallMethodVEPKcP7 JNIEnvP8 jobjectP7 jclassP10 jmethodIDSt9  va listNS 9Primitive4TypeENS 10InvokeTypeE 1440)_x000D_
02 01 14:33:44 767 23350 23350 com map goong v2 A art: art runtime java vm ext cc:410    native:  43 pc 000000000015ef18   system lib64 libart so ( ZN3art8CheckJNI15CallVoidMethodVEP7 JNIEnvP8 jobjectP10 jmethodIDSt9  va list 68)_x000D_
02 01 14:33:44 767 23350 23350 com map goong v2 A art: art runtime java vm ext cc:410    native:  44 pc 0000000000083bfc   data app com map goong v2 1 lib arm64 libmapbox gl so (   )_x000D_
02 01 14:33:44 767 23350 23350 com map goong v2 A art: art runtime java vm ext cc:410    native:  45 pc 000000000009b564   data app com map goong v2 1 lib arm64 libmapbox gl so (   )_x000D_
02 01 14:33:44 767 23350 23350 com map goong v2 A art: art runtime java vm ext cc:410    native:  46 pc 0000000000093a90   data app com map goong v2 1 lib arm64 libmapbox gl so (   )_x000D_
02 01 14:33:44 767 23350 23350 com map goong v2 A art: art runtime java vm ext cc:410    native:  47 pc 000000000026fef8   data app com map goong v2 1 lib arm64 libmapbox gl so (   )_x000D_
02 01 14:33:44 767 23350 23350 com map goong v2 A art: art runtime java vm ext cc:410    native:  48 pc 00000000002e1f18   data app com map goong v2 1 lib arm64 libmapbox gl so (   )_x000D_
02 01 14:33:44 767 23350 23350 com map goong v2 A art: art runtime java vm ext cc:410    native:  49 pc 00000000002e4138   data app com map goong v2 1 lib arm64 libmapbox gl so (   )_x000D_
02 01 14:33:44 767 23350 23350 com map goong v2 A art: art runtime java vm ext cc:410    native:  50 pc 0000000000145154   data app com map goong v2 1 lib arm64 libmapbox gl so (   )_x000D_
02 01 14:33:44 767 23350 23350 com map goong v2 A art: art runtime java vm ext cc:410    native:  51 pc 000000000026cca0   data app com map goong v2 1 lib arm64 libmapbox gl so (   )_x000D_
02 01 14:33:44 767 23350 23350 com map goong v2 A art: art runtime java vm ext cc:410    native:  52 pc 000000000026cdd4   data app com map goong v2 1 lib arm64 libmapbox gl so (   )_x000D_
02 01 14:33:44 767 23350 23350 com map goong v2 A art: art runtime java vm ext cc:410    native:  53 pc 0000000000338d4c   data app com map goong v2 1 lib arm64 libmapbox gl so (   )_x000D_
02 01 14:33:44 767 23350 23350 com map goong v2 A art: art runtime java vm ext cc:410    native:  54 pc 000000000033837c   data app com map goong v2 1 lib arm64 libmapbox gl so (   )_x000D_
02 01 14:33:44 767 23350 23350 com map goong v2 A art: art runtime java vm ext cc:410    native:  55 pc 00000000003378c0   data app com map goong v2 1 lib arm64 libmapbox gl so (   )_x000D_
02 01 14:33:44 767 23350 23350 com map goong v2 A art: art runtime java vm ext cc:410    native:  56 pc 000000000001b0a8   system lib64 libutils so ( ZN7android6Looper9pollInnerEi 524)_x000D_
02 01 14:33:44 767 23350 23350 com map goong v2 A art: art runtime java vm ext cc:410    native:  57 pc 000000000001b30c   system lib64 libutils so ( ZN7android6Looper8pollOnceEiPiS1 PPv 80)_x000D_
02 01 14:33:44 767 23350 23350 com map goong v2 A art: art runtime java vm ext cc:410    native:  58 pc 00000000000d6584   system lib64 libandroid runtime so ( ZN7android18NativeMessageQueue8pollOnceEP7 JNIEnvP8 jobjecti 48)_x000D_
02 01 14:33:44 767 23350 23350 com map goong v2 A art: art runtime java vm ext cc:410    native:  59 pc 000000000095696c   system framework arm64 boot oat (   )_x000D_
02 01 14:33:44 767 23350 23350 com map goong v2 A art: art runtime java vm ext cc:410    at com mapbox mapboxsdk style sources GeoJsonSource nativeSetGeometry(Native method)_x000D_
02 01 14:33:44 767 23350 23350 com map goong v2 A art: art runtime java vm ext cc:410    at com mapbox mapboxsdk style sources GeoJsonSource setGeoJson(GeoJsonSource java:191)_x000D_
02 01 14:33:44 767 23350 23350 com map goong v2 A art: art runtime java vm ext cc:410    at com mapbox mapboxsdk plugins locationlayer LocationLayerPlugin mapStyleFinishedLoading(LocationLayerPlugin java:409)_x000D_
02 01 14:33:44 767 23350 23350 com map goong v2 A art: art runtime java vm ext cc:410    at com mapbox mapboxsdk plugins locationlayer LocationLayerPlugin onMapChanged(LocationLayerPlugin java:184)_x000D_
02 01 14:33:44 767 23350 23350 com map goong v2 A art: art runtime java vm ext cc:410    at com mapbox mapboxsdk maps MapView onMapChange(MapView java:582)_x000D_
02 01 14:33:44 767 23350 23350 com map goong v2 A art: art runtime java vm ext cc:410    at com mapbox mapboxsdk maps NativeMapView onMapChanged(NativeMapView java:862)_x000D_
02 01 14:33:44 767 23350 23350 com map goong v2 A art: art runtime java vm ext cc:410    at android os MessageQueue nativePollOnce(Native method)_x000D_
02 01 14:33:44 767 23350 23350 com map goong v2 A art: art runtime java vm ext cc:410    at android os MessageQueue next(MessageQueue java:323)_x000D_
02 01 14:33:44 767 23350 23350 com map goong v2 A art: art runtime java vm ext cc:410    at android os Looper loop(Looper java:135)_x000D_
02 01 14:33:44 767 23350 23350 com map goong v2 A art: art runtime java vm ext cc:410    at android app ActivityThread main(ActivityThread java:5551)_x000D_
02 01 14:33:44 767 23350 23350 com map goong v2 A art: art runtime java vm ext cc:410    at java lang reflect Method invoke (Native method)_x000D_
02 01 14:33:44 767 23350 23350 com map goong v2 A art: art runtime java vm ext cc:410    at com android internal os ZygoteInit MethodAndArgsCaller run(ZygoteInit java:730)_x000D_
02 01 14:33:44 767 23350 23350 com map goong v2 A art: art runtime java vm ext cc:410    at com android internal os ZygoteInit main(ZygoteInit java:620)_x000D_
   </t>
  </si>
  <si>
    <t>opensrp-opensrp-client-growth-monitoring-19</t>
  </si>
  <si>
    <t>Sample App crash when changed network connection status, from on to offline.</t>
  </si>
  <si>
    <t xml:space="preserve">App crash  when network connection unavailable_x000D_
   _x000D_
02 01 13:59:13 934 28562 28562 org smartregister growthmonitoring sample D ViewRootImpl: MSG RESIZED REPORT: ci Rect(0  48   0  0) vi Rect(0  48   0  0) or 1_x000D_
02 01 13:59:13 954 28562 28562 org smartregister growthmonitoring sample I Timeline: Timeline: Activity idle id: android os BinderProxy 2784651 time:22342902_x000D_
02 01 13:59:15 374 28562 28562 org smartregister growthmonitoring sample D ViewRootImpl: ViewPostImeInputStage processPointer 0_x000D_
02 01 13:59:15 554 28562 28562 org smartregister growthmonitoring sample D ViewRootImpl: ViewPostImeInputStage processPointer 1_x000D_
02 01 13:59:19 464 28562 28562 org smartregister growthmonitoring sample I Timeline: Timeline: Activity idle id: android os BinderProxy 2784651 time:22348412_x000D_
02 01 13:59:33 514 28562 28562 org smartregister growthmonitoring sample I DRISHTI: Connectivity change receiver triggered _x000D_
02 01 13:59:33 514 28562 28562 org smartregister growthmonitoring sample I DRISHTI: Device got connected to network  Trying to start Dristhi Sync scheduler _x000D_
02 01 13:59:46 204 28562 28562 org smartregister growthmonitoring sample I DRISHTI: Connectivity change receiver triggered _x000D_
02 01 13:59:46 204 28562 28562 org smartregister growthmonitoring sample I DRISHTI: Device got disconnected from network  Stopping Dristhi Sync scheduler _x000D_
02 01 13:59:46 204 28562 28562 org smartregister growthmonitoring sample D AndroidRuntime: Shutting down VM_x000D_
02 01 13:59:46 204 28562 28562 org smartregister growthmonitoring sample E AndroidRuntime: FATAL EXCEPTION: main_x000D_
                                                                                           Process: org smartregister growthmonitoring sample  PID: 28562_x000D_
                                                                                           java lang RuntimeException: Unable to start receiver org smartregister view receiver ConnectivityChangeReceiver: java lang NullPointerException: Attempt to invoke virtual method  java lang String java lang Class getName()  on a null object reference_x000D_
                                                                                               at android app ActivityThread handleReceiver(ActivityThread java:3644)_x000D_
                                                                                               at android app ActivityThread access 2000(ActivityThread java:223)_x000D_
                                                                                               at android app ActivityThread H handleMessage(ActivityThread java:1879)_x000D_
                                                                                               at android os Handler dispatchMessage(Handler java:102)_x000D_
                                                                                               at android os Looper loop(Looper java:158)_x000D_
                                                                                               at android app ActivityThread main(ActivityThread java:7231)_x000D_
                                                                                               at java lang reflect Method invoke(Native Method)_x000D_
                                                                                               at com android internal os ZygoteInit MethodAndArgsCaller run(ZygoteInit java:1230)_x000D_
                                                                                               at com android internal os ZygoteInit main(ZygoteInit java:1120)_x000D_
                                                                                            Caused by: java lang NullPointerException: Attempt to invoke virtual method  java lang String java lang Class getName()  on a null object reference_x000D_
                                                                                               at android content ComponentName  init (ComponentName java:129)_x000D_
                                                                                               at android content Intent  init (Intent java:5295)_x000D_
                                                                                               at org smartregister sync DrishtiSyncScheduler stop(DrishtiSyncScheduler java:69)_x000D_
                                                                                               at org smartregister view receiver ConnectivityChangeReceiver onReceive(ConnectivityChangeReceiver java:20)_x000D_
                                                                                               at android app ActivityThread handleReceiver(ActivityThread java:3637)_x000D_
                                                                                               at android app ActivityThread access 2000(ActivityThread java:223) _x000D_
                                                                                               at android app ActivityThread H handleMessage(ActivityThread java:1879) _x000D_
                                                                                               at android os Handler dispatchMessage(Handler java:102) _x000D_
                                                                                               at android os Looper loop(Looper java:158) _x000D_
                                                                                               at android app ActivityThread main(ActivityThread java:7231) _x000D_
                                                                                               at java lang reflect Method invoke(Native Method) _x000D_
                                                                                               at com android internal os ZygoteInit MethodAndArgsCaller run(ZygoteInit java:1230) _x000D_
                                                                                               at com android internal os ZygoteInit main(ZygoteInit java:1120) _x000D_
   </t>
  </si>
  <si>
    <t>BaristaVentures-android-debug-artist-69</t>
  </si>
  <si>
    <t>Remove RxLint</t>
  </si>
  <si>
    <t xml:space="preserve">Related to:_x000D_
https:  bitbucket org littlerobots rxlint issues 26 some version break with projects that uses_x000D_
_x000D_
Newer RxLint requires you to use the new android gradle plugin (3 x) to work  creating a crash on compilation otherwise </t>
  </si>
  <si>
    <t>consp1racy-android-support-preference-88</t>
  </si>
  <si>
    <t>SortCursor crash java.lang.NullPointerException: Attempt to invoke virtual method 'int java.lang.String.compareToIgnoreCase(java.lang.String)'</t>
  </si>
  <si>
    <t>As discussed in  62 _x000D_
_x000D_
   java_x000D_
Fatal Exception: java lang NullPointerException: Attempt to invoke virtual method  int java lang String compareToIgnoreCase(java lang String)  on a null object reference_x000D_
       at net xpece android support preference SortCursor (SortCursor java:82)_x000D_
       at net xpece android support preference RingtoneManagerCompat getCursor(RingtoneManagerCompat java:121)_x000D_
       at net xpece android support preference XpRingtonePreferenceDialogFragment onCreate(XpRingtonePreferenceDialogFragment java:164)_x000D_
       at android support v4 app Fragment performCreate(Fragment java:2246)_x000D_
       at android support v4 app FragmentManagerImpl moveToState(FragmentManager java:1377)_x000D_
       at android support v4 app FragmentManagerImpl moveFragmentToExpectedState(FragmentManager java:1750)_x000D_
       at android support v4 app FragmentManagerImpl moveToState(FragmentManager java:1819)_x000D_
       at android support v4 app BackStackRecord executeOps(BackStackRecord java:797)_x000D_
       at android support v4 app FragmentManagerImpl executeOps(FragmentManager java:2590)_x000D_
       at android support v4 app FragmentManagerImpl executeOpsTogether(FragmentManager java:2377)_x000D_
       at android support v4 app FragmentManagerImpl removeRedundantOperationsAndExecute(FragmentManager java:2332)_x000D_
       at android support v4 app FragmentManagerImpl execPendingActions(FragmentManager java:2239)_x000D_
       at android support v4 app FragmentManagerImpl 1 run(FragmentManager java:700)_x000D_
       at android os Handler handleCallback(Handler java:739)_x000D_
       at android os Handler dispatchMessage(Handler java:95)_x000D_
       at android os Looper loop(Looper java:135)_x000D_
       at android app ActivityThread main(ActivityThread java:5912)_x000D_
       at java lang reflect Method invoke(Method java)_x000D_
       at java lang reflect Method invoke(Method java:372)_x000D_
       at com android internal os ZygoteInit MethodAndArgsCaller run(ZygoteInit java:1405)_x000D_
       at com android internal os ZygoteInit main(ZygoteInit java:1200)_x000D_
   _x000D_
_x000D_
Version 1 3 1_x000D_
_x000D_
Happens on different devices and OS versions (very rare crash) _x000D_
_x000D_
  image (https:  user images githubusercontent com 6302839 35636611 01657fa4 06b2 11e8 9a3a cbb8d6709d32 png)_x000D_
_x000D_
Thank you</t>
  </si>
  <si>
    <t>StepicOrg-stepik-android-adaptive-16</t>
  </si>
  <si>
    <t>fix swipe after pop crash</t>
  </si>
  <si>
    <t xml:space="preserve">  YouTrack task  :   APPS 1745 (https:  vyahhi myjetbrains com youtrack issue APPS 1745)_x000D_
_x000D_
  Description List  :_x000D_
  Fix crash when card being dragged after it has been popped from list of cards</t>
  </si>
  <si>
    <t>QuantumBadger-RedReader-569</t>
  </si>
  <si>
    <t>v.redd.it videos don't work for me (Android 4.4)</t>
  </si>
  <si>
    <t xml:space="preserve">Most of the time videos hosted on v redd it result into application crash for me _x000D_
_x000D_
I m not sure those crashlogs get ever sent to you  so I m opening this ticket _x000D_
_x000D_
Android 4 4  RedReader 1 9 8 3 (latest version available from F Droid)_x000D_
_x000D_
Most of the time the crash occurs when I try to open a post while being offline or after being offline _x000D_
_x000D_
When it doesn t crash   it handles the video weirdly: it says_x000D_
   _x000D_
Download File_x000D_
This is a download link  Do you want to load this in an external browser _x000D_
   _x000D_
and choosing  OK  results into opening that video in an external browser _x000D_
_x000D_
 a href  https:  v redd it t2ifcamjibd01 DASH 1 2 M  Example video  a  is video mp4 </t>
  </si>
  <si>
    <t>UNFPAInnovation-GetIn_Mobile-91</t>
  </si>
  <si>
    <t>Call Midwife Button in VHT APP crashes on scroll</t>
  </si>
  <si>
    <t xml:space="preserve">On last visit  some VHTs phones crashed on the call Midwife scroll page  should be issue of loading more midwives not assigned to VHT objects </t>
  </si>
  <si>
    <t>consp1racy-android-support-preference-87</t>
  </si>
  <si>
    <t>Crash: java.lang.NullPointerException: Attempt to read from field 'boolean net.xpece.android.support.preference.RingtonePreference.i'</t>
  </si>
  <si>
    <t>1 3 1_x000D_
Just noticed a few crashes with this stack trace:_x000D_
   java_x000D_
Caused by java lang NullPointerException: Attempt to read from field  boolean net xpece android support preference RingtonePreference i  on a null object reference_x000D_
       at net xpece android support preference XpRingtonePreferenceDialogFragment net xpece android support preference RingtonePreference getShowDefault(XpRingtonePreferenceDialogFragment java:2165)_x000D_
       at android support v4 app Fragment performCreate(Fragment java:2246)_x000D_
       at android support v4 app FragmentManagerImpl moveToState(FragmentManager java:1377)_x000D_
       at android support v4 app FragmentManagerImpl moveFragmentToExpectedState(FragmentManager java:1750)_x000D_
       at android support v4 app FragmentManagerImpl moveToState(FragmentManager java:1819)_x000D_
       at android support v4 app FragmentManagerImpl dispatchStateChange(FragmentManager java:3227)_x000D_
       at android support v4 app FragmentManagerImpl dispatchCreate(FragmentManager java:3176)_x000D_
       at android support v4 app FragmentActivity android support v4 app FragmentController dispatchCreate(FragmentActivity java:7181)_x000D_
       at android support v7 app AppCompatActivity onCreate(AppCompatActivity java:84)_x000D_
       at  SettingsActivity onCreate(SettingsActivity java:83)_x000D_
       at android app Activity performCreate(Activity java:6876)_x000D_
       at android app Instrumentation callActivityOnCreate(Instrumentation java:1135)_x000D_
       at android app ActivityThread performLaunchActivity(ActivityThread java:3206)_x000D_
       at android app ActivityThread handleLaunchActivity(ActivityThread java:3349)_x000D_
       at android app ActivityThread handleRelaunchActivity(ActivityThread java:5382)_x000D_
       at android app ActivityThread access 1200(ActivityThread java:221)_x000D_
       at android app ActivityThread H handleMessage(ActivityThread java:1800)_x000D_
       at android os Handler dispatchMessage(Handler java:102)_x000D_
       at android os Looper loop(Looper java:158)_x000D_
       at android app ActivityThread main(ActivityThread java:7224)_x000D_
       at java lang reflect Method invoke(Method java)_x000D_
       at com android internal os ZygoteInit MethodAndArgsCaller run(ZygoteInit java:1230)_x000D_
       at com android internal os ZygoteInit main(ZygoteInit java:1120)_x000D_
   _x000D_
_x000D_
  image (https:  user images githubusercontent com 6302839 35569276 1627d464 05cc 11e8 8e52 abca16be27b6 png)_x000D_
_x000D_
Can t reproduce this  Can you please look into this _x000D_
_x000D_
Thanks</t>
  </si>
  <si>
    <t>Freeyourgadget-Gadgetbridge-960</t>
  </si>
  <si>
    <t>Issues with MPAndroidChart's nullpointers</t>
  </si>
  <si>
    <t xml:space="preserve">I ve been closely monitoring the crash reports submitted to me and one thing that stands out is the amount of crashes related to MPAndroidChart  the annoying thing is that I can t reproduce those errors and the stacktraces don t contain Gadgetbridge s code (directly)  Any help related to solving these issues for users of Gadgetbridge would be tremendously appreciated _x000D_
_x000D_
33 occurrences (Android 6 0 7 1  25 users devices encounter these crashes):_x000D_
   _x000D_
java lang NullPointerException: _x000D_
  at com github mikephil charting renderer LineChartRenderer drawValues (LineChartRenderer java:574)_x000D_
  at com github mikephil charting charts BarLineChartBase onDraw (BarLineChartBase java:264)_x000D_
  at android view View draw (View java:17189)_x000D_
  at android view View updateDisplayListIfDirty (View java:16171)_x000D_
  at android view ViewGroup recreateChildDisplayList (ViewGroup java:3711)_x000D_
  at android view ViewGroup dispatchGetDisplayList (ViewGroup java:3691)_x000D_
  at android view View updateDisplayListIfDirty (View java:16134)_x000D_
  at android view ViewGroup recreateChildDisplayList (ViewGroup java:3711)_x000D_
  at android view ViewGroup dispatchGetDisplayList (ViewGroup java:3691)_x000D_
  at android view View updateDisplayListIfDirty (View java:16134)_x000D_
  at android view ViewGroup recreateChildDisplayList (ViewGroup java:3711)_x000D_
  at android view ViewGroup dispatchGetDisplayList (ViewGroup java:3691)_x000D_
  at android view View updateDisplayListIfDirty (View java:16134)_x000D_
  at android view ViewGroup recreateChildDisplayList (ViewGroup java:3711)_x000D_
  at android view ViewGroup dispatchGetDisplayList (ViewGroup java:3691)_x000D_
  at android view View updateDisplayListIfDirty (View java:16134)_x000D_
  at android view ViewGroup recreateChildDisplayList (ViewGroup java:3711)_x000D_
  at android view ViewGroup dispatchGetDisplayList (ViewGroup java:3691)_x000D_
  at android view View updateDisplayListIfDirty (View java:16134)_x000D_
  at android view ViewGroup recreateChildDisplayList (ViewGroup java:3711)_x000D_
  at android view ViewGroup dispatchGetDisplayList (ViewGroup java:3691)_x000D_
  at android view View updateDisplayListIfDirty (View java:16134)_x000D_
  at android view ViewGroup recreateChildDisplayList (ViewGroup java:3711)_x000D_
  at android view ViewGroup dispatchGetDisplayList (ViewGroup java:3691)_x000D_
  at android view View updateDisplayListIfDirty (View java:16134)_x000D_
  at android view ViewGroup recreateChildDisplayList (ViewGroup java:3711)_x000D_
  at android view ViewGroup dispatchGetDisplayList (ViewGroup java:3691)_x000D_
  at android view View updateDisplayListIfDirty (View java:16134)_x000D_
  at android view ViewGroup recreateChildDisplayList (ViewGroup java:3711)_x000D_
  at android view ViewGroup dispatchGetDisplayList (ViewGroup java:3691)_x000D_
  at android view View updateDisplayListIfDirty (View java:16134)_x000D_
  at android view ThreadedRenderer updateViewTreeDisplayList (ThreadedRenderer java:648)_x000D_
  at android view ThreadedRenderer updateRootDisplayList (ThreadedRenderer java:654)_x000D_
  at android view ThreadedRenderer draw (ThreadedRenderer java:762)_x000D_
  at android view ViewRootImpl draw (ViewRootImpl java:3269)_x000D_
  at android view ViewRootImpl performDraw (ViewRootImpl java:3071)_x000D_
  at android view ViewRootImpl performTraversals (ViewRootImpl java:2678)_x000D_
  at android view ViewRootImpl doTraversal (ViewRootImpl java:1717)_x000D_
  at android view ViewRootImpl TraversalRunnable run (ViewRootImpl java:6908)_x000D_
  at android view Choreographer CallbackRecord run (Choreographer java:874)_x000D_
  at android view Choreographer doCallbacks (Choreographer java:686)_x000D_
  at android view Choreographer doFrame (Choreographer java:621)_x000D_
  at android view Choreographer FrameDisplayEventReceiver run (Choreographer java:860)_x000D_
  at android os Handler handleCallback (Handler java:751)_x000D_
  at android os Handler dispatchMessage (Handler java:95)_x000D_
  at android os Looper loop (Looper java:163)_x000D_
  at android app ActivityThread main (ActivityThread java:6155)_x000D_
  at java lang reflect Method invoke (Native Method)_x000D_
  at com android internal os ZygoteInit MethodAndArgsCaller run (ZygoteInit java:886)_x000D_
  at com android internal os ZygoteInit main (ZygoteInit java:776)_x000D_
   _x000D_
_x000D_
13 occurrences (Android 7 0 and 6 0  7 users device encounter these issues):_x000D_
   _x000D_
java lang NullPointerException: _x000D_
  at com github mikephil charting renderer LineChartRenderer drawValues (LineChartRenderer java:574)_x000D_
  at com github mikephil charting charts BarLineChartBase onDraw (BarLineChartBase java:264)_x000D_
  at android view View draw (View java:18394)_x000D_
  at android view View updateDisplayListIfDirty (View java:17372)_x000D_
  at android view View draw (View java:18156)_x000D_
  at android view ViewGroup drawChild (ViewGroup java:3969)_x000D_
  at android view ViewGroup dispatchDraw (ViewGroup java:3755)_x000D_
  at android view View updateDisplayListIfDirty (View java:17367)_x000D_
  at android view ViewGroup recreateChildDisplayList (ViewGroup java:3953)_x000D_
  at android view ViewGroup dispatchGetDisplayList (ViewGroup java:3933)_x000D_
  at android view View updateDisplayListIfDirty (View java:17335)_x000D_
  at android view ViewGroup recreateChildDisplayList (ViewGroup java:3953)_x000D_
  at android view ViewGroup dispatchGetDisplayList (ViewGroup java:3933)_x000D_
  at android view View updateDisplayListIfDirty (View java:17335)_x000D_
  at android view ViewGroup recreateChildDisplayList (ViewGroup java:3953)_x000D_
  at android view ViewGroup dispatchGetDisplayList (ViewGroup java:3933)_x000D_
  at android view View updateDisplayListIfDirty (View java:17335)_x000D_
  at android view ViewGroup recreateChildDisplayList (ViewGroup java:3953)_x000D_
  at android view ViewGroup dispatchGetDisplayList (ViewGroup java:3933)_x000D_
  at android view View updateDisplayListIfDirty (View java:17335)_x000D_
  at android view ViewGroup recreateChildDisplayList (ViewGroup java:3953)_x000D_
  at android view ViewGroup dispatchGetDisplayList (ViewGroup java:3933)_x000D_
  at android view View updateDisplayListIfDirty (View java:17335)_x000D_
  at android view ViewGroup recreateChildDisplayList (ViewGroup java:3953)_x000D_
  at android view ViewGroup dispatchGetDisplayList (ViewGroup java:3933)_x000D_
  at android view View updateDisplayListIfDirty (View java:17335)_x000D_
  at android view ViewGroup recreateChildDisplayList (ViewGroup java:3953)_x000D_
  at android view ViewGroup dispatchGetDisplayList (ViewGroup java:3933)_x000D_
  at android view View updateDisplayListIfDirty (View java:17335)_x000D_
  at android view ViewGroup recreateChildDisplayList (ViewGroup java:3953)_x000D_
  at android view ViewGroup dispatchGetDisplayList (ViewGroup java:3933)_x000D_
  at android view View updateDisplayListIfDirty (View java:17335)_x000D_
  at android view ThreadedRenderer updateViewTreeDisplayList (ThreadedRenderer java:722)_x000D_
  at android view ThreadedRenderer updateRootDisplayList (ThreadedRenderer java:728)_x000D_
  at android view ThreadedRenderer draw (ThreadedRenderer java:836)_x000D_
  at android view ViewRootImpl draw (ViewRootImpl java:3181)_x000D_
  at android view ViewRootImpl performDraw (ViewRootImpl java:2977)_x000D_
  at android view ViewRootImpl performTraversals (ViewRootImpl java:2565)_x000D_
  at android view ViewRootImpl doTraversal (ViewRootImpl java:1550)_x000D_
  at android view ViewRootImpl TraversalRunnable run (ViewRootImpl java:7189)_x000D_
  at android view Choreographer CallbackRecord run (Choreographer java:959)_x000D_
  at android view Choreographer doCallbacks (Choreographer java:734)_x000D_
  at android view Choreographer doFrame (Choreographer java:670)_x000D_
  at android view Choreographer FrameDisplayEventReceiver run (Choreographer java:945)_x000D_
  at android os Handler handleCallback (Handler java:751)_x000D_
  at android os Handler dispatchMessage (Handler java:95)_x000D_
  at android os Looper loop (Looper java:154)_x000D_
  at android app ActivityThread main (ActivityThread java:6776)_x000D_
  at java lang reflect Method invoke (Native Method)_x000D_
  at com android internal os ZygoteInit MethodAndArgsCaller run (ZygoteInit java:1520)_x000D_
  at com android internal os ZygoteInit main (ZygoteInit java:1410)_x000D_
   _x000D_
_x000D_
3 occurences (only seen on Android 5 1 Galaxy Note3 Neo (hllte)):_x000D_
   _x000D_
java lang NullPointerException: _x000D_
  at com github mikephil charting renderer LineChartRenderer drawCubicBezier (LineChartRenderer java)_x000D_
  or                      drawLinear (LineChartRenderer java)_x000D_
  or                      drawValues (LineChartRenderer java)_x000D_
  or                      releaseBitmap (LineChartRenderer java)_x000D_
  at com github mikephil charting charts BarLineChartBase onDraw (BarLineChartBase java)_x000D_
  at android view View draw (View java:16536)_x000D_
  at android view View updateDisplayListIfDirty (View java:15466)_x000D_
  at android view View getDisplayList (View java:15488)_x000D_
  at android view View draw (View java:16258)_x000D_
  at android view ViewGroup drawChild (ViewGroup java:3713)_x000D_
  at android view ViewGroup dispatchDraw (ViewGroup java:3506)_x000D_
  at android view View updateDisplayListIfDirty (View java:15461)_x000D_
  at android view View getDisplayList (View java:15488)_x000D_
  at android view View draw (View java:16258)_x000D_
  at android view ViewGroup drawChild (ViewGroup java:3713)_x000D_
  at android view ViewGroup dispatchDraw (ViewGroup java:3506)_x000D_
  at android view View draw (View java:16539)_x000D_
  at android support v4 view ViewPager draw (ViewPager java)_x000D_
  at android view View updateDisplayListIfDirty (View java:15466)_x000D_
  at android view View getDisplayList (View java:15488)_x000D_
  at android view View draw (View java:16258)_x000D_
  at android view ViewGroup drawChild (ViewGroup java:3713)_x000D_
  at android view ViewGroup dispatchDraw (ViewGroup java:3506)_x000D_
  at android view View updateDisplayListIfDirty (View java:15461)_x000D_
  at android view View getDisplayList (View java:15488)_x000D_
  at android view View draw (View java:16258)_x000D_
  at android view ViewGroup drawChild (ViewGroup java:3713)_x000D_
  at android view ViewGroup dispatchDraw (ViewGroup java:3506)_x000D_
  at android view View draw (View java:16539)_x000D_
  at android view View updateDisplayListIfDirty (View java:15466)_x000D_
  at android view View getDisplayList (View java:15488)_x000D_
  at android view View draw (View java:16258)_x000D_
  at android view ViewGroup drawChild (ViewGroup java:3713)_x000D_
  at android view ViewGroup dispatchDraw (ViewGroup java:3506)_x000D_
  at android view View updateDisplayListIfDirty (View java:15461)_x000D_
  at android view View getDisplayList (View java:15488)_x000D_
  at android view View draw (View java:16258)_x000D_
  at android view ViewGroup drawChild (ViewGroup java:3713)_x000D_
  at android view ViewGroup dispatchDraw (ViewGroup java:3506)_x000D_
  at android view View updateDisplayListIfDirty (View java:15461)_x000D_
  at android view View getDisplayList (View java:15488)_x000D_
  at android view View draw (View java:16258)_x000D_
  at android view ViewGroup drawChild (ViewGroup java:3713)_x000D_
  at android view ViewGroup dispatchDraw (ViewGroup java:3506)_x000D_
  at android view View updateDisplayListIfDirty (View java:15461)_x000D_
  at android view View getDisplayList (View java:15488)_x000D_
  at android view View draw (View java:16258)_x000D_
  at android view ViewGroup drawChild (ViewGroup java:3713)_x000D_
  at android view ViewGroup dispatchDraw (ViewGroup java:3506)_x000D_
  at android view View updateDisplayListIfDirty (View java:15461)_x000D_
  at android view View getDisplayList (View java:15488)_x000D_
  at android view View draw (View java:16258)_x000D_
  at android view ViewGroup drawChild (ViewGroup java:3713)_x000D_
  at android view ViewGroup dispatchDraw (ViewGroup java:3506)_x000D_
  at android view View draw (View java:16539)_x000D_
  at android widget FrameLayout draw (FrameLayout java:598)_x000D_
  at com android internal policy impl PhoneWindow DecorView draw (PhoneWindow java:3111)_x000D_
  at android view View updateDisplayListIfDirty (View java:15466)_x000D_
  at android view View getDisplayList (View java:15488)_x000D_
  at android view ThreadedRenderer updateViewTreeDisplayList (ThreadedRenderer java:309)_x000D_
  at android view ThreadedRenderer updateRootDisplayList (ThreadedRenderer java:315)_x000D_
  at android view ThreadedRenderer draw (ThreadedRenderer java:354)_x000D_
  at android view ViewRootImpl draw (ViewRootImpl java:2937)_x000D_
  at android view ViewRootImpl performDraw (ViewRootImpl java:2734)_x000D_
  at android view ViewRootImpl performTraversals (ViewRootImpl java:2320)_x000D_
  at android view ViewRootImpl doTraversal (ViewRootImpl java:1301)_x000D_
  at android view ViewRootImpl TraversalRunnable run (ViewRootImpl java:7016)_x000D_
  at android view Choreographer CallbackRecord run (Choreographer java:777)_x000D_
  at android view Choreographer doCallbacks (Choreographer java:590)_x000D_
  at android view Choreographer doFrame (Choreographer java:560)_x000D_
  at android view Choreographer FrameDisplayEventReceiver run (Choreographer java:763)_x000D_
  at android os Handler handleCallback (Handler java:739)_x000D_
  at android os Handler dispatchMessage (Handler java:95)_x000D_
  at android os Looper loop (Looper java:145)_x000D_
  at android app ActivityThread main (ActivityThread java:6912)_x000D_
  at java lang reflect Method invoke (Method java)_x000D_
  at java lang reflect Method invoke (Method java:372)_x000D_
  at com android internal os ZygoteInit MethodAndArgsCaller run (ZygoteInit java:1404)_x000D_
  at com android internal os ZygoteInit main (ZygoteInit java:1199)_x000D_
   _x000D_
_x000D_
2 occurrences (Android 7 0  LGE LG G5 SE (alicee)):_x000D_
   _x000D_
java lang NullPointerException: _x000D_
  at com github mikephil charting renderer LineChartRenderer drawCubicBezier (LineChartRenderer java)_x000D_
  or                      drawLinear (LineChartRenderer java)_x000D_
  or                      drawValues (LineChartRenderer java)_x000D_
  or                      releaseBitmap (LineChartRenderer java)_x000D_
  at com github mikephil charting charts BarLineChartBase onDraw (BarLineChartBase java)_x000D_
  at android view View draw (View java:17112)_x000D_
  at android view View updateDisplayListIfDirty (View java:16094)_x000D_
  at android view ViewGroup recreateChildDisplayList (ViewGroup java:3790)_x000D_
  at android view ViewGroup dispatchGetDisplayList (ViewGroup java:3770)_x000D_
  at android view View updateDisplayListIfDirty (View java:16057)_x000D_
  at android view ViewGroup recreateChildDisplayList (ViewGroup java:3790)_x000D_
  at android view ViewGroup dispatchGetDisplayList (ViewGroup java:3770)_x000D_
  at android view View updateDisplayListIfDirty (View java:16057)_x000D_
  at android view ViewGroup recreateChildDisplayList (ViewGroup java:3790)_x000D_
  at android view ViewGroup dispatchGetDisplayList (ViewGroup java:3770)_x000D_
  at android view View updateDisplayListIfDirty (View java:16057)_x000D_
  at android view ViewGroup recreateChildDisplayList (ViewGroup java:3790)_x000D_
  at android view ViewGroup dispatchGetDisplayList (ViewGroup java:3770)_x000D_
  at android view View updateDisplayListIfDirty (View java:16057)_x000D_
  at android view ViewGroup recreateChildDisplayList (ViewGroup java:3790)_x000D_
  at android view ViewGroup dispatchGetDisplayList (ViewGroup java:3770)_x000D_
  at android view View updateDisplayListIfDirty (View java:16057)_x000D_
  at android view ViewGroup recreateChildDisplayList (ViewGroup java:3790)_x000D_
  at android view ViewGroup dispatchGetDisplayList (ViewGroup java:3770)_x000D_
  at android view View updateDisplayListIfDirty (View java:16057)_x000D_
  at android view ViewGroup recreateChildDisplayList (ViewGroup java:3790)_x000D_
  at android view ViewGroup dispatchGetDisplayList (ViewGroup java:3770)_x000D_
  at android view View updateDisplayListIfDirty (View java:16057)_x000D_
  at android view ViewGroup recreateChildDisplayList (ViewGroup java:3790)_x000D_
  at android view ViewGroup dispatchGetDisplayList (ViewGroup java:3770)_x000D_
  at android view View updateDisplayListIfDirty (View java:16057)_x000D_
  at android view ViewGroup recreateChildDisplayList (ViewGroup java:3790)_x000D_
  at android view ViewGroup dispatchGetDisplayList (ViewGroup java:3770)_x000D_
  at android view View updateDisplayListIfDirty (View java:16057)_x000D_
  at android view ThreadedRenderer updateViewTreeDisplayList (ThreadedRenderer java:656)_x000D_
  at android view ThreadedRenderer updateRootDisplayList (ThreadedRenderer java:662)_x000D_
  at android view ThreadedRenderer draw (ThreadedRenderer java:770)_x000D_
  at android view ViewRootImpl draw (ViewRootImpl java:2864)_x000D_
  at android view ViewRootImpl performDraw (ViewRootImpl java:2672)_x000D_
  at android view ViewRootImpl performTraversals (ViewRootImpl java:2279)_x000D_
  at android view ViewRootImpl doTraversal (ViewRootImpl java:1286)_x000D_
  at android view ViewRootImpl TraversalRunnable run (ViewRootImpl java:6546)_x000D_
  at android view Choreographer CallbackRecord run (Choreographer java:871)_x000D_
  at android view Choreographer doCallbacks (Choreographer java:683)_x000D_
  at android view Choreographer doFrame (Choreographer java:619)_x000D_
  at android view Choreographer FrameDisplayEventReceiver run (Choreographer java:857)_x000D_
  at android os Handler handleCallback (Handler java:751)_x000D_
  at android os Handler dispatchMessage (Handler java:95)_x000D_
  at android os Looper loop (Looper java:154)_x000D_
  at android app ActivityThread main (ActivityThread java:6311)_x000D_
  at java lang reflect Method invoke (Method java)_x000D_
  at com android internal os ZygoteInit MethodAndArgsCaller run (ZygoteInit java:872)_x000D_
  at com android internal os ZygoteInit main (ZygoteInit java:762)_x000D_
   _x000D_
_x000D_
</t>
  </si>
  <si>
    <t>venomousboxer-watermarking-application-5</t>
  </si>
  <si>
    <t>App crashes when we press capture image button</t>
  </si>
  <si>
    <t>After last commit when new function was created to dispatch take picture intent app has started crashing when we press capture image button</t>
  </si>
  <si>
    <t>Awful-Awful.apk-588</t>
  </si>
  <si>
    <t>Swiping a code block that's at the bottom of a thread can crash the app</t>
  </si>
  <si>
    <t>If you scroll a thread right to the bottom  and there s a code block there  swiping across it and also moving your finger down can cause this crash_x000D_
    _x000D_
java lang IllegalStateException: No fake drag in progress  Call beginFakeDrag first _x000D_
    at android support v4 view ViewPager endFakeDrag(ViewPager java:2549)_x000D_
    at com ferg awfulapp widget ToggleViewPager setSwipeEnabled(ToggleViewPager java:75)_x000D_
    _x000D_
where the code in question is_x000D_
    _x000D_
if (enabled     swipeEnabled)  _x000D_
    beginFakeDrag() _x000D_
    endFakeDrag() _x000D_
 _x000D_
    _x000D_
  _x000D_
maybe it needs a sleep  or an actual   fakeDragBy()   call  or something  Related to  438 but this one is a crash instead of an annoyance</t>
  </si>
  <si>
    <t>BaseballCardTracker-bbct-android-427</t>
  </si>
  <si>
    <t>:com.google.android.gms.DynamiteModulesA line 324</t>
  </si>
  <si>
    <t xml:space="preserve">     in abi b
  Number of crashes: 1
  Impacted devices: 1
There s a lot more information about this crash on crashlytics com:
 https:  fabric io codeguru apps android apps bbct android issues 5a6e28aa8cb3c2fa63cdf5f3 utm medium service hooks github utm source issue impact (https:  fabric io codeguru apps android apps bbct android issues 5a6e28aa8cb3c2fa63cdf5f3 utm medium service hooks github utm source issue impact)</t>
  </si>
  <si>
    <t>maks-MGit-251</t>
  </si>
  <si>
    <t>Submodules not updateable</t>
  </si>
  <si>
    <t xml:space="preserve">I wasn t able to update the submodules of a git repository  so I tried to import the submodule as external repository  but MGit also does not support the submodule link format and it crashed _x000D_
_x000D_
When new submodules are added  and I already have the repo  they aren t cloned </t>
  </si>
  <si>
    <t>Leo-App-android-62</t>
  </si>
  <si>
    <t>Essensbons: Crash bei alten QR Codes</t>
  </si>
  <si>
    <t>Das alte QR Code System crasht die App beim Scannen</t>
  </si>
  <si>
    <t>venomousboxer-watermarking-application-2</t>
  </si>
  <si>
    <t>App crashes when watermarking button is pressed</t>
  </si>
  <si>
    <t>After bug fixture of upload image button app is getting crashed when we press watermarking button</t>
  </si>
  <si>
    <t>twilio-video-quickstart-android-233</t>
  </si>
  <si>
    <t>Failed to close camera connection</t>
  </si>
  <si>
    <t xml:space="preserve">_x000D_
    Description_x000D_
_x000D_
I am facing a crash whenever i try to use camera resource in 2 different places in my app _x000D_
_x000D_
    Steps to Reproduce_x000D_
_x000D_
1  Open second activity with camera from the first camera activity_x000D_
2 Close the second activity_x000D_
3  App crashes_x000D_
_x000D_
     Code_x000D_
_x000D_
https:  github com rishabhja TwilioTest_x000D_
_x000D_
     Expected Behavior_x000D_
_x000D_
App should not crash_x000D_
_x000D_
     Actual Behavior_x000D_
_x000D_
App crashes_x000D_
_x000D_
     Reproduces how Often_x000D_
_x000D_
100 _x000D_
_x000D_
     Logs_x000D_
_x000D_
01 26 22:16:09 028 22613 22925   E Camera JNI: copyAndPost: off 0  size 460800 msg 10_x000D_
01 26 22:16:09 055 22613 22807   W System err: java lang IllegalStateException: Failed to close camera_x000D_
01 26 22:16:09 056 22613 22807   W System err:     at com twilio video Preconditions checkState(Preconditions java:453)_x000D_
01 26 22:16:09 056 22613 22807   W System err:     at com twilio video CameraCapturer stopCapture(CameraCapturer java:411)_x000D_
01 26 22:16:09 057 22613 22807   W System err:     at com twilio video VideoCapturerDelegate stopCapture(VideoCapturerDelegate java:77)_x000D_
01 26 22:16:09 057 22613 22807   E rtc:  _x000D_
                                          Fatal error in  home travis build twilio twilio video android library src main jni com twilio video VideoCapturerDelegate cpp  line 129_x000D_
                                          last system error: 0_x000D_
                                          Check failed:  jni()  ExceptionCheck()_x000D_
                                          error during VideoCapturer stopCapture_x000D_
                                         _x000D_
01 26 22:16:09 058 22613 22807   A libc: Fatal signal 6 (SIGABRT)  code  6 in tid 22807 (Thread 4)_x000D_
01 26 22:16:09 068 22613 22750   E Camera JNI: copyAndPost: off 0  size 460800 msg 10_x000D_
    Versions_x000D_
_x000D_
All relevant version information for issue _x000D_
_x000D_
     Video Android SDK_x000D_
_x000D_
1 3 9_x000D_
_x000D_
     Android API_x000D_
_x000D_
26_x000D_
_x000D_
     Android Device_x000D_
_x000D_
One plus 5_x000D_
</t>
  </si>
  <si>
    <t>venomousboxer-watermarking-application-1</t>
  </si>
  <si>
    <t>App crashes on pressing upload button</t>
  </si>
  <si>
    <t>App crashes when we press upload button and try to upload image from the gallery</t>
  </si>
  <si>
    <t>gsssrao-UnityAndroidSpeechRecognition-1</t>
  </si>
  <si>
    <t>Unable to include code into Unity Project</t>
  </si>
  <si>
    <t xml:space="preserve">Hi  first off  thanks form making this public _x000D_
_x000D_
I have what it must be a very simple problem  my Unity project doesn t work after importing SpeechRecognition unitypackage  using Unity 5 3 3f1  on Win 7 64bits  and running the apk in a Samsug Galaxy S5 running Android 5 0   The first thing to mention is that your apk works wondeful on it own  but:_x000D_
1  If I run my apk (your unitypackage imported into my project)  it crashes  shows the default Unity splash for just 1 sec  besides is strange that the splash looks not centered and that the app icon is lost and replaced by the default Android icon _x000D_
2  If I delete AndroidManifest xml file from the project and compile again  the apk loads successfully  so I m able to click the  speak button   then the google api window shows up  I m able to speak  my speech is  recognized  as the google api window closes  BUT    no words are shown on  TextRecognition  UI Text component  seems that by deleting the xml file  I broke the possibility that the callback method onActivityResult() gets called   Though at least my app doesn t crash and my app icon is back again _x000D_
_x000D_
I m a good C  programmer and been using Unity for more than two years  but dealing with Android api classes and xml manifest files is beyond my knowledge  so far now _x000D_
_x000D_
Any help would be apprecciated _x000D_
_x000D_
Regards _x000D_
Rodrigo_x000D_
</t>
  </si>
  <si>
    <t>Neamar-KISS-802</t>
  </si>
  <si>
    <t>bug: deleting the widget app without removing it from KISS crashes KISS.</t>
  </si>
  <si>
    <t>Hello _x000D_
_x000D_
Here are the steps to reproduce:_x000D_
_x000D_
  install an app that provide a widget (I used  netatmo weather   but I think any app would do)_x000D_
  add the widget to kiss_x000D_
  uninstall the app_x000D_
  reboot the phone_x000D_
_x000D_
Observed: kiss launches  and quickly crashes  in loop _x000D_
Expected: kiss launches and deactivates the widget _x000D_
Workaround: delete kiss data from the android app info menu disables the phantom widget (but also deletes all the pref  etc )_x000D_
_x000D_
_x000D_
Best</t>
  </si>
  <si>
    <t>k9mail-k-9-3129</t>
  </si>
  <si>
    <t>App crashes when I click on contact logo</t>
  </si>
  <si>
    <t xml:space="preserve">Hi _x000D_
I ve not found a recent issue related to my issue _x000D_
_x000D_
Thanks for your answer_x000D_
_x000D_
    Expected behavior_x000D_
It should be create a new message with the clicked contact  as recipient _x000D_
_x000D_
    Actual behavior_x000D_
Since the update  the app crashes when I click on contact logo square _x000D_
_x000D_
    Steps to reproduce_x000D_
1  Open the app_x000D_
2  Click on the logo square of any email_x000D_
3  The app will crash_x000D_
_x000D_
    Environment_x000D_
K 9 Mail version: 5 403_x000D_
_x000D_
Android version: 5 1 with Flyme 6 2 0 0A_x000D_
_x000D_
Account type (IMAP  POP3  WebDAV Exchange): IMAP with Gmail_x000D_
</t>
  </si>
  <si>
    <t>badarshahzad-Earthquake-Report-1</t>
  </si>
  <si>
    <t xml:space="preserve">Add exception handle </t>
  </si>
  <si>
    <t xml:space="preserve">  Description:   The application work fine but it crash while you abruptly move home to setting _x000D_
_x000D_
   Demo Application:    (https:  www youtube com watch v bLBj1ZuSh84 t 19s)</t>
  </si>
  <si>
    <t>twilio-voice-quickstart-android-131</t>
  </si>
  <si>
    <t>java.lang.NullPointerException at com.twilio.voice.CallCommand.startCall</t>
  </si>
  <si>
    <t xml:space="preserve">   version_x000D_
  com twilio:voice android:2 0 3_x000D_
_x000D_
   description_x000D_
_x000D_
I found this crash in my log  It s very hard to reproduce in the sample app  But it did happen  _x000D_
_x000D_
And the crash log itself is very expressive _x000D_
_x000D_
_x000D_
    Description_x000D_
_x000D_
   _x000D_
01 24 16:45:17 652 7619 7941 E CallCommandHandlerImpl: halted due to an error_x000D_
                                                                                      java lang NullPointerException: Attempt to invoke virtual method  java lang String com twilio voice UserAgent getSipUrl(java lang String)  on a null object reference_x000D_
                                                                                          at com twilio voice CallCommand startCall(CallCommand java:25)_x000D_
                                                                                          at com twilio voice OutgoingCallCommand run(OutgoingCallCommand java:23)_x000D_
                                                                                          at android os Handler handleCallback(Handler java:739)_x000D_
                                                                                          at android os Handler dispatchMessage(Handler java:95)_x000D_
                                                                                          at android os Looper loop(Looper java:148)_x000D_
                                                                                          at com twilio voice CallCommandHandlerImpl run(CallCommandHandlerImpl java:59)_x000D_
01 24 16:45:17 652 7619 7941  D CallCommandHandlerImpl: Shutting down thread_x000D_
   _x000D_
_x000D_
After this crash  the following call will never go out _x000D_
_x000D_
I saw log like this _x000D_
   _x000D_
D Call: Exceeded the event threshold of 10000 milliseconds  Disconnecting call _x000D_
D Call: Calling disconnect CONNECTING_x000D_
   </t>
  </si>
  <si>
    <t>mapbox-mapbox-events-android-58</t>
  </si>
  <si>
    <t>Remove LOST from LocationEngineProvider</t>
  </si>
  <si>
    <t>Remove lost from LocationEngineProvider to help crash associated with including Lost dependency</t>
  </si>
  <si>
    <t>aws-amplify-aws-sdk-android-400</t>
  </si>
  <si>
    <t>Using startService for a background event is causing crashes in Android O</t>
  </si>
  <si>
    <t>https:  github com aws aws sdk android blob 67d34accb74ce4ae66d87a1a4dbd5ced3bec5322 aws android sdk s3 src main java com amazonaws mobileconnectors s3 transferutility TransferUtility java L761_x000D_
_x000D_
Android rules for background services have changed  the above line is causing our application to crash irrecoverably _x000D_
See the android migration guide for reference: https:  developer android com about versions oreo background html migration</t>
  </si>
  <si>
    <t>MiPushFramework-MiPushFramework-33</t>
  </si>
  <si>
    <t>[TODO] 一个可能导致无法收到通知的原因</t>
  </si>
  <si>
    <t xml:space="preserve">                         logs                 _x000D_
   _x000D_
Meet exception when call Method  setGroup  in android app Notification Builder e8aa112_x000D_
                                                                        java lang NullPointerException: Attempt to invoke virtual method  boolean java lang Class isInterface()  on a null object reference_x000D_
                                                                            at java lang Class isAssignableFrom(Class java:545)_x000D_
                                                                            at com xiaomi channel commonutils reflect JavaCalls compareClassLists(Unknown Source)_x000D_
                                                                            at com xiaomi channel commonutils reflect JavaCalls findMethodByName(Unknown Source)_x000D_
                                                                            at com xiaomi channel commonutils reflect JavaCalls getDeclaredMethod(Unknown Source)_x000D_
                                                                            at com xiaomi channel commonutils reflect JavaCalls callMethodOrThrow(Unknown Source)_x000D_
                                                                            at com xiaomi channel commonutils reflect JavaCalls callMethod(Unknown Source)_x000D_
                                                                            at com xiaomi push service MIPushNotificationHelper getNotificationForLargeIcons(Unknown Source)_x000D_
                                                                            at com xiaomi push service MIPushNotificationHelper notifyPushMessage(Unknown Source)_x000D_
                                                                            at com xiaomi push service MIPushEventProcessor postProcessMIPushMessage(Unknown Source)_x000D_
                                                                            at com xiaomi push service MIPushEventProcessor processMIPushMessage(Unknown Source)_x000D_
                                                                            at java lang reflect Method invoke(Native Method)_x000D_
                                                                            at com xiaomi push service MyClientEventDispatcher EventProcessor doProcessMIPushMessage(MyClientEventDispatcher java:131)_x000D_
                                                                            at com xiaomi push service MyClientEventDispatcher EventProcessor runProcessMIPushMessage(MyClientEventDispatcher java:119)_x000D_
                                                                            at com xiaomi push service MyClientEventDispatcher EventProcessor processNewPacket(MyClientEventDispatcher java:140)_x000D_
                                                                            at com xiaomi push service ClientEventDispatcher notifyPacketArrival(Unknown Source)_x000D_
                                                                            at com xiaomi push service MyClientEventDispatcher notifyPacketArrival(MyClientEventDispatcher java:76)_x000D_
                                                                            at com xiaomi push service PacketSync handleBlob(Unknown Source)_x000D_
                                                                            at com xiaomi push service PacketSync onBlobReceive(Unknown Source)_x000D_
                                                                            at com xiaomi push service XMPushService BlobReceiveJob process(Unknown Source)_x000D_
                                                                            at com xiaomi push service XMPushService Job run(Unknown Source)_x000D_
                                                                            at com xiaomi push service JobScheduler SchedulerImpl run(Unknown Source)_x000D_
   _x000D_
      API 24         Builder setGroup                        _x000D_
_x000D_
         notify         MIPushEventProcessor            crash      broadcast           _x000D_
_x000D_
         broadcast       </t>
  </si>
  <si>
    <t>square-okhttp-3794</t>
  </si>
  <si>
    <t>java.lang.IllegalArgumentException: sockaddrToInetAddress unsupported ss_family: 0</t>
  </si>
  <si>
    <t>Okhttp version: 3 3 1_x000D_
Received crash report from HUAWEI  TAG AL100 on Android 5 1  _x000D_
Stacktrace_x000D_
1Caused by: java lang IllegalArgumentException: sockaddrToInetAddress unsupported ss family: 0_x000D_
2    at libcore io Posix getsockname(Native Method)_x000D_
3    at libcore io ForwardingOs getsockname(ForwardingOs java:87)_x000D_
4    at libcore io IoBridge getSocketLocalPort(IoBridge java:681)_x000D_
5    at libcore io IoBridge closeAndSignalBlockedThreads(IoBridge java:220)_x000D_
6    at java net PlainSocketImpl close(PlainSocketImpl java:153)_x000D_
7    at java net Socket close(Socket java:328)_x000D_
8    at okhttp3 internal Util closeQuietly(Util java:105)_x000D_
9    at okhttp3 ConnectionPool cleanup(ConnectionPool java:226)_x000D_
10    at okhttp3 ConnectionPool 1 run(ConnectionPool java:59)_x000D_
11    at java util concurrent ThreadPoolExecutor runWorker(ThreadPoolExecutor java:1112)_x000D_
12    at java util concurrent ThreadPoolExecutor Worker run(ThreadPoolExecutor java:587)_x000D_
13    at java lang Thread run(Thread java:818)</t>
  </si>
  <si>
    <t>iFixit-dozuki-android-4</t>
  </si>
  <si>
    <t>Crash when adding photos to steps</t>
  </si>
  <si>
    <t xml:space="preserve">Background
When editing a guide step  trying to take photo directly from the media manager causes the app to crash (android) 
Todo
Fix the error and restore functionality </t>
  </si>
  <si>
    <t>kontalk-androidclient-1142</t>
  </si>
  <si>
    <t>Crash opening conversation view</t>
  </si>
  <si>
    <t xml:space="preserve">    Expected behavior_x000D_
Tapping on a conversation  the conversation view opens _x000D_
_x000D_
    Actual behavior_x000D_
Tapping on a conversation  the app crashes_x000D_
_x000D_
    Steps to reproduce_x000D_
1  tap on a conversation_x000D_
_x000D_
    Environment_x000D_
_x000D_
Kontalk version: 4 1 3 (290)   F Droid_x000D_
_x000D_
Android version: Alien Dalvik on SailfishOS (android 4 1 2   SDK 16)_x000D_
_x000D_
Device model: Jolla 1_x000D_
_x000D_
    Logs_x000D_
_x000D_
http:  www kirgroup net kontalk 4 1 3 crash log txt_x000D_
_x000D_
    Other_x000D_
_x000D_
The app crash only when opening a conversation with a single contact  Group chat conversation works _x000D_
</t>
  </si>
  <si>
    <t>square-okhttp-3793</t>
  </si>
  <si>
    <t>Fatal Exception: ArrayIndexOutOfBoundsException in Hpack.java</t>
  </si>
  <si>
    <t xml:space="preserve">  Okhttp version: 3 9 1_x000D_
  Retrofit version: 2 3 0_x000D_
_x000D_
Received crash report from SM G950F on Android 7 0 _x000D_
Stacktrace_x000D_
   _x000D_
Fatal Exception: java lang ArrayIndexOutOfBoundsException: length 8  index 8_x000D_
       at okhttp3 internal http2 Hpack Reader getName(Hpack java:265)_x000D_
       at okhttp3 internal http2 Hpack Reader readLiteralHeaderWithIncrementalIndexingIndexedName(Hpack java:250)_x000D_
       at okhttp3 internal http2 Hpack Reader readHeaders(Hpack java:195)_x000D_
       at okhttp3 internal http2 Http2Reader readHeaderBlock(Http2Reader java:196)_x000D_
       at okhttp3 internal http2 Http2Reader readHeaders(Http2Reader java:182)_x000D_
       at okhttp3 internal http2 Http2Reader nextFrame(Http2Reader java:129)_x000D_
       at okhttp3 internal http2 Http2Connection ReaderRunnable execute(Http2Connection java:566)_x000D_
       at okhttp3 internal NamedRunnable run(NamedRunnable java:32)_x000D_
       at java lang Thread run(Thread java:762)_x000D_
   _x000D_
</t>
  </si>
  <si>
    <t>commons-app-apps-android-commons-1087</t>
  </si>
  <si>
    <t xml:space="preserve">[Urgent] Version 2.6.6 crash </t>
  </si>
  <si>
    <t xml:space="preserve">New crash in version 2 6 6 affecting 12 users with 79 reports  :  It appears to be caused by uploading  I tried to contact the user to get more information  but we ll see if he responds _x000D_
_x000D_
   _x000D_
java lang NullPointerException: _x000D_
  at fr free nrw commons modifications ModificationsSyncAdapter onPerformSync (ModificationsSyncAdapter java:105)_x000D_
  at android content AbstractThreadedSyncAdapter SyncThread run (AbstractThreadedSyncAdapter java:272)_x000D_
   _x000D_
_x000D_
(Yes  the stack trace is only 2 lines  Not sure why)_x000D_
_x000D_
Android 5 1   60   75 9 _x000D_
Android 7 0   10   12 7 _x000D_
Android 8 0   5   6 3 _x000D_
Android 6 0   2   2 5 _x000D_
Others   2   2 5 _x000D_
_x000D_
_x000D_
A37f (A37f)   59   74 7 _x000D_
ZenFone 3 Max (ZC520TL) (ASUS X008 1)   8   10 1 _x000D_
Mi A1 (tissot sprout)   3   3 8 _x000D_
OnePlus3T (OnePlus3T)   2   2 5 _x000D_
Others   7   8 9 _x000D_
_x000D_
_x000D_
</t>
  </si>
  <si>
    <t>ozelevrim-EvrimNews-15</t>
  </si>
  <si>
    <t>Sign in/Sign up button not working (Crash)</t>
  </si>
  <si>
    <t xml:space="preserve">The button that is located in the main screen named sign in   sign up is not working when clicked _x000D_
_x000D_
 The app would crash when you click on it  </t>
  </si>
  <si>
    <t>ozelevrim-EvrimNews-13</t>
  </si>
  <si>
    <t>Crash when clicked on Settings/About</t>
  </si>
  <si>
    <t xml:space="preserve">The app crashes when the user clicks on the button located in the main screen named  Settings About (Ayarlar Hakk nda)  _x000D_
_x000D_
Suggested Fixes:_x000D_
  Remove the  Settings About  button completely _x000D_
  Define a function to the button (and design a completely new Settings screen that includes an About button to access a new about screen) </t>
  </si>
  <si>
    <t>nextcloud-android-2016</t>
  </si>
  <si>
    <t>Recurring login screen</t>
  </si>
  <si>
    <t xml:space="preserve">    Actual behaviour_x000D_
After my app updated and the Nextcloud icon changed (3 0 0 RC1)  every time i typed in my password it took me to my files but immediately back to the login screen  The only way to fix was by uninstalling and reinstalling  Also  it crashed when going to the backup contacts screen _x000D_
_x000D_
    Expected behaviour_x000D_
Normal functionality after an update _x000D_
 _x000D_
    Steps to reproduce_x000D_
1  Update the app to the mentioned version_x000D_
2  Log in_x000D_
3  Continue trying to log in_x000D_
_x000D_
_x000D_
    Environment data_x000D_
Android version: 7 0_x000D_
_x000D_
Device model: Nexus 6_x000D_
_x000D_
Stock or customized system: stock_x000D_
_x000D_
Nextcloud app version: 3 0 0 RC1_x000D_
_x000D_
Nextcloud server version: 11 0 3_x000D_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</si>
  <si>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Neamar-KISS-797</t>
  </si>
  <si>
    <t>If app with emoji name is installed, typing into search bar crashes</t>
  </si>
  <si>
    <t xml:space="preserve">On my phone  KISS s AppProvider is crashing whenever I type into the search bar  Uninstalling Image Analysis Toolset  an app with emoji in the app drawer name (but not the Settings name)  then KISS Settings Advanced Restart fixes this crash _x000D_
_x000D_
   _x000D_
java lang RuntimeException: An error occurred while executing doInBackground()_x000D_
	at android os AsyncTask 3 done(AsyncTask java:318)_x000D_
	at java util concurrent FutureTask finishCompletion(FutureTask java:354)_x000D_
	at java util concurrent FutureTask setException(FutureTask java:223)_x000D_
	at java util concurrent FutureTask run(FutureTask java:242)_x000D_
	at java util concurrent ThreadPoolExecutor runWorker(ThreadPoolExecutor java:1133)_x000D_
	at java util concurrent ThreadPoolExecutor Worker run(ThreadPoolExecutor java:607)_x000D_
	at java lang Thread run(Thread java:761)_x000D_
Caused by: java lang StringIndexOutOfBoundsException: String index out of range: 9_x000D_
	at java lang String codePointAt(String java:602)_x000D_
	at fr neamar kiss dataprovider AppProvider getResults(AppProvider java:169)_x000D_
	at fr neamar kiss searcher QuerySearcher doInBackground(QuerySearcher java:1263)_x000D_
	at android os AsyncTask 2 call(AsyncTask java:304)_x000D_
	at java util concurrent FutureTask run(FutureTask java:237)_x000D_
	    3 more_x000D_
   _x000D_
_x000D_
I discovered that the  Scoop  Xposed module automatically captures stack traces into your notifications  It s really helpful and I would recommend it for everyone </t>
  </si>
  <si>
    <t>nextcloud-android-2013</t>
  </si>
  <si>
    <t>Android App - Set Up Encryption fails</t>
  </si>
  <si>
    <t xml:space="preserve">    Actual behaviour_x000D_
Fails to setup encryption option on android app _x000D_
_x000D_
    Expected behaviour_x000D_
N A_x000D_
 _x000D_
    Steps to reproduce_x000D_
1  Select folder to encrypt   _x000D_
2  Tap menu   _x000D_
3  Select  Set as encrypted    _x000D_
4  Click folder   _x000D_
         Note your encryption passphrase       _x000D_
5  Click  Set Up Encryption    _x000D_
       Error message  Error   Storing keys was unsuccessful  please try it again   _x000D_
6  Click close _x000D_
       (If you try to enter the  encrypted  folder  the process (and error) repeats from step 4) _x000D_
_x000D_
If I try to access the encrypted folder via the web portal  it errors (probably expected behavior )   _x000D_
_x000D_
Nothing useful seen in server log because it does not record the client side error (but it does record the accessing encrypted folder failure  which is normal I think )   I am happy to try to provide additional info _x000D_
_x000D_
If I try to send app logs  the app crashes ( Nextcloud has stopped )   But even so  there are no app log entries associated with the encryption set up failure anyway _x000D_
_x000D_
    Environment data_x000D_
Android version: 8 1 0_x000D_
_x000D_
Device model: Pixel XL 2_x000D_
_x000D_
Stock or customized system: Stock_x000D_
_x000D_
Nextcloud app version:  3 0 0 RC1_x000D_
_x000D_
Nextcloud server version: 13 0 0 RC1_x000D_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</si>
  <si>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DanielPollithy-flashwifi-37</t>
  </si>
  <si>
    <t>Set blank password for wallet crashes app</t>
  </si>
  <si>
    <t xml:space="preserve">When choosing a password  leaving the password blank crashes the app </t>
  </si>
  <si>
    <t>RedApparat-FaceDetector-17</t>
  </si>
  <si>
    <t>Incompatibility with Fotoapparat 2.1.2</t>
  </si>
  <si>
    <t xml:space="preserve">Hi _x000D_
_x000D_
I m trying to couple FaceDetector to Fotoapparat but it looks like the newest version of it is incompatible with FaceDetector _x000D_
_x000D_
The following code is used to startup the camera and the detector:_x000D_
_x000D_
 val faceDetectorProcessor   FaceDetectorProcessor with(this) listener   rectanglesView setRectangles(it)   build() _x000D_
_x000D_
 fotoApparat   Fotoapparat with(this)_x000D_
                 into(cameraView)_x000D_
                 frameProcessor   faceDetectorProcessor processFrame(it)  _x000D_
                 build() _x000D_
_x000D_
As you can see  the FrameProcessor property is now a lambda  so i ve adapted the call _x000D_
_x000D_
But i m receiving the following error (the application is crashing) if i run this code:_x000D_
_x000D_
 E AndroidRuntime: FATAL EXCEPTION: pool 10 thread 1_x000D_
                                                                      Process: br com esapiens ysos  PID: 17567_x000D_
                                                                      java lang IllegalAccessError: Field  io fotoapparat preview Frame image  is inaccessible to class  io fotoapparat facedetector processor FaceDetectorProcessor  (declaration of  io fotoapparat facedetector processor FaceDetectorProcessor  appears in  data app br com esapiens ysos 1 split lib dependencies apk apk)_x000D_
                                                                          at io fotoapparat facedetector processor FaceDetectorProcessor processFrame(FaceDetectorProcessor java:37)_x000D_
                                                                          at br com esapiens ysos camera CameraActivity onCreate 1 invoke(CameraActivity kt:27)_x000D_
                                                                          at br com esapiens ysos camera CameraActivity onCreate 1 invoke(CameraActivity kt:11)_x000D_
                                                                          at io fotoapparat preview PreviewStream dispatchFrame(PreviewStream kt:92)_x000D_
                                                                          at io fotoapparat preview PreviewStream access dispatchFrame(PreviewStream kt:14)_x000D_
                                                                          at io fotoapparat preview PreviewStream dispatchFrameOnBackgroundThread 1 run(PreviewStream kt:77)_x000D_
                                                                          at java util concurrent ThreadPoolExecutor runWorker(ThreadPoolExecutor java:1113)_x000D_
                                                                          at java util concurrent ThreadPoolExecutor Worker run(ThreadPoolExecutor java:588)_x000D_
                                                                          at java lang Thread run(Thread java:818) </t>
  </si>
  <si>
    <t>mauron85-react-native-background-geolocation-149</t>
  </si>
  <si>
    <t xml:space="preserve">Android App Crash after some time </t>
  </si>
  <si>
    <t xml:space="preserve">      Provide a general summary of the issue in the Title above    _x000D_
_x000D_
   Your Environment_x000D_
      Include as many relevant details about the environment you experienced the bug in    _x000D_
  Plugin version: 0 4 1_x000D_
  Platform: Android_x000D_
  OS version: Android 6 0 Marshmallow_x000D_
  Device manufacturer and model: Sony Xperia E5 _x000D_
  React Native version: 0 47_x000D_
  Plugin configuration options:  _x000D_
  desiredAccuracy: 10 _x000D_
  stationaryRadius: 50 _x000D_
  distanceFilter: 50 _x000D_
  notificationTitle:  Title  _x000D_
  notificationText:  Text  _x000D_
  debug: false _x000D_
  startOnBoot: false _x000D_
  stopOnTerminate: false _x000D_
  locationProvider: BackgroundGeolocation ACTIVITY PROVIDER _x000D_
  interval: 5000 _x000D_
  fastestInterval: 5000 _x000D_
  activitiesInterval: 5000 _x000D_
  stopOnStillActivity: false _x000D_
 _x000D_
_x000D_
  Link to your project: N A_x000D_
_x000D_
   Context_x000D_
After some time of the app running background or foreground the app stops and close_x000D_
_x000D_
   Expected Behavior_x000D_
The app keeps running and working foreground and background_x000D_
_x000D_
   Actual Behavior_x000D_
The App crash with fatal Exception:_x000D_
java util concurrent RejectedExecutionException: Task android os AsyncTask_x000D_
_x000D_
_x000D_
   Context_x000D_
I m trying to send the user location each 5 seconds _x000D_
</t>
  </si>
  <si>
    <t>andybalaam-rabbit-escape-517</t>
  </si>
  <si>
    <t>Fix "DontStepAfterFinish" crash</t>
  </si>
  <si>
    <t xml:space="preserve">This crash was reported through the App store:_x000D_
_x000D_
   _x000D_
app version 102_x000D_
Samsung Galaxy S5 mini  1536MB RAM  Android 4 4_x000D_
Report 1 of 1_x000D_
rabbitescape engine World DontStepAfterFinish: _x000D_
  at rabbitescape engine World step (World java:251)_x000D_
  at rabbitescape render gameloop GeneralPhysics WorldModifier step (GeneralPhysics java:40)_x000D_
  at rabbitescape render gameloop GeneralPhysics step (GeneralPhysics java:135)_x000D_
  at rabbitescape render gameloop GameLoop step (GameLoop java:69)_x000D_
  at rabbitescape render gameloop GameLoop run (GameLoop java:51)_x000D_
  at rabbitescape ui android AndroidGameLaunch run (AndroidGameLaunch java:83)_x000D_
  at java lang Thread run (Thread java:841)_x000D_
   _x000D_
_x000D_
Figure out how this could have been triggered in normal play  and prevent it from happening  or handle it more gracefully if we have to </t>
  </si>
  <si>
    <t>naoufal-react-native-touch-id-67</t>
  </si>
  <si>
    <t>Android crashes when authentication fails at second time</t>
  </si>
  <si>
    <t xml:space="preserve">It seems that android still keep the Fingerprint working after the first authentication _x000D_
_x000D_
 _x000D_
ERROR: RuntimeException: Illegal callback invocation from native module  This callback type only permits a single invocation from native code _x000D_
 _x000D_
_x000D_
TEST: Loop until authentication() returns true  at the second time this will crash _x000D_
_x000D_
   js_x000D_
async validateTouchId() _x000D_
        let isAuthOk   false _x000D_
        while( isAuthOk) _x000D_
_x000D_
            try _x000D_
                let responseAuth   await TouchID authenticate( Authentication ) _x000D_
_x000D_
                if(responseAuth) _x000D_
                    isAuthOk   true _x000D_
                    return true _x000D_
                 else _x000D_
                    throw responseAuth _x000D_
                 _x000D_
_x000D_
              catch (e) _x000D_
                console log( Error  e) _x000D_
_x000D_
                let successPromise   await new Promise((resolve  reject)     _x000D_
                    Alert alert(_x000D_
                         Auth  _x000D_
                         Auth again   _x000D_
                         _x000D_
                             text:  Login again   onPress: ()     _x000D_
                                    resolve(false) _x000D_
                                   _x000D_
                             text:  Try again   onPress: async ()     _x000D_
                                    resolve(true) _x000D_
                                   _x000D_
                         _x000D_
                    ) _x000D_
                 ) _x000D_
_x000D_
                if( successPromise) _x000D_
                    return false _x000D_
                 _x000D_
             _x000D_
         _x000D_
     _x000D_
   _x000D_
_x000D_
</t>
  </si>
  <si>
    <t>pockethub-PocketHub-1148</t>
  </si>
  <si>
    <t>Application crashes when trying to access a non existing repository</t>
  </si>
  <si>
    <t xml:space="preserve">When a repository has been deleted  it still appears in the list of recent events _x000D_
When trying to access it  the application crashes _x000D_
_x000D_
Steps to reproduce : _x000D_
 1) Install the app_x000D_
 2) Log in_x000D_
 3) Follow a user that deletes a repository_x000D_
 4) Try to access the repository from the recent events list_x000D_
</t>
  </si>
  <si>
    <t>getodk-collect-1796</t>
  </si>
  <si>
    <t>Collect crash when canceling refresh and then clicking on checklist.</t>
  </si>
  <si>
    <t xml:space="preserve">     Software and hardware versions _x000D_
Collect v1 12 2_x000D_
_x000D_
     Problem description_x000D_
Collect crash when canceling refresh and then clicking on checklist _x000D_
_x000D_
     Steps to reproduce the problem_x000D_
1  Go to Get Blank Form _x000D_
2  Click on  Refresh  button _x000D_
3  Cancel that process _x000D_
4  Try to select any item from the checklist _x000D_
_x000D_
     Expected behavior_x000D_
Collect should not crash _x000D_
_x000D_
     Other information _x000D_
It doesnt t matter if items from the checklist ale selected or not  the same error occurs  _x000D_
Screenshot of behavior attached _x000D_
  screenshot crash (https:  user images githubusercontent com 33342488 35036235 06ff2b20 fb74 11e7 9e75 6f3e452cb3e8 png)_x000D_
</t>
  </si>
  <si>
    <t>getodk-collect-1794</t>
  </si>
  <si>
    <t>Could not open the database in read/write mode</t>
  </si>
  <si>
    <t>https:  console firebase google com u 0 project api project 322300403941 monitoring app android:org odk collect android cluster ec294275 reportTypes FATAL JAVA duration 2592000000 appVersions 2612_x000D_
_x000D_
It s the second most popular crash in v1 12 2 _x000D_
_x000D_
  Caused by android database sqlite SQLiteException: not an error (code 0): Could not open the database in read write mode _x000D_
android database sqlite SQLiteConnection nativeOpen (SQLiteConnection java)_x000D_
android database sqlite SQLiteConnection open (SQLiteConnection java:209)_x000D_
android database sqlite SQLiteConnection open (SQLiteConnection java:193)_x000D_
android database sqlite SQLiteConnectionPool openConnectionLocked (SQLiteConnectionPool java:463)_x000D_
android database sqlite SQLiteConnectionPool reconfigure (SQLiteConnectionPool java:306)_x000D_
android database sqlite SQLiteDatabase reopenReadWrite (SQLiteDatabase java:797)_x000D_
android database sqlite SQLiteOpenHelper getDatabaseLocked (SQLiteOpenHelper java:213)_x000D_
android database sqlite SQLiteOpenHelper getWritableDatabase (SQLiteOpenHelper java:164)_x000D_
org odk collect android provider FormsProvider delete (FormsProvider java:263)_x000D_
android content ContentProvider Transport delete (ContentProvider java:286)_x000D_
android content ContentResolver delete (ContentResolver java:1309)_x000D_
org odk collect android dao FormsDao deleteFormsFromIDs (FormsDao java:129)_x000D_
org odk collect android tasks DiskSyncTask doInBackground (DiskSyncTask java:142)_x000D_
org odk collect android tasks DiskSyncTask doInBackground (DiskSyncTask java:46)_x000D_
android os AsyncTask 2 call (AsyncTask java:288)_x000D_
java util concurrent FutureTask run (FutureTask java:237)_x000D_
android os AsyncTask SerialExecutor 1 run (AsyncTask java:231)_x000D_
java util concurrent ThreadPoolExecutor runWorker (ThreadPoolExecutor java:1112)_x000D_
java util concurrent ThreadPoolExecutor Worker run (ThreadPoolExecutor java:587)_x000D_
java lang Thread run (Thread java:848)</t>
  </si>
  <si>
    <t>nextcloud-android-1974</t>
  </si>
  <si>
    <t>3.0.0 RC1: Crash in grid view when selecting share photo before it has loaded thumbnail</t>
  </si>
  <si>
    <t xml:space="preserve">    Actual behaviour_x000D_
The Nextcloud Android app crashes if I select a photo from the grid view before the thumbnail has loaded _x000D_
_x000D_
    Expected behaviour_x000D_
No crash _x000D_
 _x000D_
    Steps to reproduce_x000D_
1  Open folder with photos_x000D_
2  Switch to grid view_x000D_
3  If thumbnails have not been loaded: crash_x000D_
_x000D_
_x000D_
    Environment data_x000D_
Android version: 7 0_x000D_
_x000D_
Device model: S8_x000D_
_x000D_
Stock or customized system: Stock_x000D_
_x000D_
Nextcloud app version: 3 0 0 RC1_x000D_
_x000D_
Nextcloud server version: 13 0 0 RC1_x000D_
_x000D_
    Logs_x000D_
     Web server error log_x000D_
   _x000D_
Insert your webserver log here_x000D_
   _x000D_
_x000D_
     Nextcloud log (data nextcloud log)_x000D_
   _x000D_
Insert your Nextcloud log here_x000D_
   _x000D_
  NOTE:   Be super sure to remove sensitive data like passwords  note that everybody can look here  You can use the Issue Template application to prefill some of the required information: https:  apps nextcloud com apps issuetemplate_x000D_
</t>
  </si>
  <si>
    <t>osmdroid-osmdroid-880</t>
  </si>
  <si>
    <t>crash responding to single tap with Polyline</t>
  </si>
  <si>
    <t xml:space="preserve">   Issue Type_x000D_
_x000D_
    Question_x000D_
    Bug_x000D_
    Improvement_x000D_
    Build system related_x000D_
    Performance_x000D_
    Documentation_x000D_
_x000D_
_x000D_
   Description and or steps code to reproduce the problem_x000D_
With a Polyline displayed containing around 1k points or more  returning false from  MapEventsReceiver singleTapConfirmedHelper(GeoPoint p)  results in a crash:_x000D_
_x000D_
 01 16 21:57:11 148 F libc    ( 5258): Fatal signal 11 (SIGSEGV)  code 1  fault addr 0xf8 in tid 5258 _x000D_
_x000D_
There is no java stack trace (which is new to me) _x000D_
_x000D_
This does not happen if true is returned  no Polyline is shown  or  5 points are in the line (I haven t tried many intermediate numbers of points)   It does happen regardless of whether hardware acceleration is on _x000D_
_x000D_
    If it s a bug  version(s) of android this affects:_x000D_
_x000D_
5 1 hardware and emulator_x000D_
_x000D_
    Version of osmdroid the issue relates to:_x000D_
_x000D_
6 0 0 d3c71cc7 (not a problem in 5 6 5)_x000D_
_x000D_
</t>
  </si>
  <si>
    <t>bumptech-glide-2818</t>
  </si>
  <si>
    <t>java.lang.IllegalArgumentException(Bitmap not large enough to support new configuration)</t>
  </si>
  <si>
    <t xml:space="preserve">    _x000D_
Please fill in the below fields with some data to help us best diagnose the issue _x000D_
The more specific you are  the better  You can help a lot by not making us ask these questions _x000D_
Feel free to remove any irrelevant parts that you know are not related to the issue _x000D_
Any HTML comment like this will be stripped when rendering markdown  no need to delete them _x000D_
   _x000D_
_x000D_
_x000D_
     What version of Glide you re running  for example: 3 7 1   3 8 0 SNAPSHOT   4 0 0 SNAPSHOT_x000D_
It s essentially the version number from your build gradle:  dependencies   compile     :x y z        _x000D_
  Glide Version  : 4 5 0_x000D_
_x000D_
     Do you use any integration library  like OkHttp3 or Volley  For example:_x000D_
Fails to display with stock networking  but works with okhttp3 1 4 0    _x000D_
  Integration libraries  : okhttp3 integration_x000D_
_x000D_
     What devices you managed to get the issue to come up on  For example:_x000D_
fails on Galaxy S4 GT I9500 4 4 2  works fine on Nexus 6P 5 1 and Genymotion Nexus 5 5 0 1    _x000D_
  Device Android Version  : doesn t seem device related_x000D_
_x000D_
     Share the details of your issue in prose  detailing actual and expected behavior  It also helps if you give some info   why   you are trying to do something as opposed to   what   is not working     _x000D_
  Issue details   Repro steps   Use case background  : _x000D_
Ok  i m going to try to give as much details as possible and be concise _x000D_
_x000D_
I have a list of conversations (think facebook messenger)  When it s a group conversation  I show the avatars of the users in a custom view (DuoAvatarLayout  a layout that wraps two  ImageView ) that shows the pictures side by side in a circle:_x000D_
   (https:  dha4w82d62smt cloudfront net items 410O140a3l3w0g003Z1s  5B194cf79c38be9f03b81ca42929362ff6 5D Image 2018 01 16 at 4 14 00 PM png)_x000D_
_x000D_
Here s the class:_x000D_
   java_x000D_
public class DuoAvatarLayout extends LinearLayout  _x000D_
_x000D_
    private Bitmap maskBitmap _x000D_
    private Paint paint  maskPaint _x000D_
    private float radius _x000D_
_x000D_
    public DuoAvatarLayout(Context context)  _x000D_
        super(context) _x000D_
        init(context  null  0) _x000D_
     _x000D_
_x000D_
       Other constructors omitted for sake of brevity _x000D_
    _x000D_
    private void init(Context context  AttributeSet attrs  int defStyle)  _x000D_
        paint   new Paint(Paint ANTI ALIAS FLAG) _x000D_
_x000D_
        maskPaint   new Paint(Paint ANTI ALIAS FLAG   Paint FILTER BITMAP FLAG) _x000D_
        maskPaint setXfermode(new PorterDuffXfermode(PorterDuff Mode CLEAR)) _x000D_
        radius   getResources() getDimension(R dimen avatar layout radius) _x000D_
_x000D_
        setWillNotDraw(false) _x000D_
     _x000D_
_x000D_
     Override_x000D_
    public void draw(Canvas canvas)  _x000D_
        Bitmap offscreenBitmap   Bitmap createBitmap(canvas getWidth()  canvas getHeight()  Bitmap Config ARGB 8888) _x000D_
        Canvas offscreenCanvas   new Canvas(offscreenBitmap) _x000D_
        super draw(offscreenCanvas) _x000D_
_x000D_
        if (maskBitmap    null)  _x000D_
            maskBitmap   createMask(canvas getWidth()  canvas getHeight()) _x000D_
         _x000D_
_x000D_
        offscreenCanvas drawBitmap(maskBitmap  0f  0f  maskPaint) _x000D_
        canvas drawBitmap(offscreenBitmap  0f  0f  paint) _x000D_
     _x000D_
_x000D_
    private Bitmap createMask(int width  int height)  _x000D_
        Bitmap mask   Bitmap createBitmap(width  height  Bitmap Config ALPHA 8) _x000D_
        Canvas canvas   new Canvas(mask) _x000D_
_x000D_
        Paint paint   new Paint(Paint ANTI ALIAS FLAG) _x000D_
        paint setColor(Color WHITE) _x000D_
_x000D_
        canvas drawRect(0  0  width  height  paint) _x000D_
        paint setXfermode(new PorterDuffXfermode(PorterDuff Mode CLEAR)) _x000D_
        canvas drawCircle(radius  radius  radius  paint) _x000D_
_x000D_
        return mask _x000D_
     _x000D_
 _x000D_
   _x000D_
And the layout:_x000D_
   xml_x000D_
 com myapp views widgets DuoAvatarLayout_x000D_
    xmlns:android  http:  schemas android com apk res android _x000D_
    xmlns:app  http:  schemas android com apk res auto _x000D_
    android:id    id duo avatar layout container _x000D_
    android:layout width  50dp _x000D_
    android:layout height  50dp _x000D_
    android:orientation  horizontal _x000D_
     _x000D_
_x000D_
     ImageView_x000D_
        android:id    id duo avatar image left _x000D_
        android:layout width  25dp _x000D_
        android:layout height  50dp _x000D_
        android:scaleType  centerCrop _x000D_
          _x000D_
_x000D_
     View_x000D_
        android:layout width  2dp _x000D_
        android:layout height  match parent _x000D_
        android:paddingHorizontal  2dp _x000D_
        android:background   color white _x000D_
          _x000D_
_x000D_
     ImageView_x000D_
        android:id    id duo avatar image right _x000D_
        android:layout width  25dp _x000D_
        android:layout height  50dp _x000D_
        android:scaleType  centerCrop _x000D_
          _x000D_
_x000D_
  com myapp views widgets DuoAvatarLayout _x000D_
   _x000D_
When the user has no picture  the API returns a 300x300 image with the initials of the user  For some reasons (and it s intermittent  it doesn t always happen and I can t seem to understand what s different when it does)  sometimes one of these image won t load and I get the stacktrace below  It doesn t crash the app though _x000D_
   java_x000D_
01 16 15:43:56 285 D Glide: Finished loading BitmapDrawable from DATA DISK CACHE for http:  192 168 1 171:5060 api avatars 1 jb png with size  66x61  in 212 897 ms_x000D_
01 16 15:43:56 287 W Glide: Load failed for http:  192 168 1 171:5060 api avatars 1 jb png with size  66x131 _x000D_
    class com bumptech glide load engine GlideException: Failed to load resource_x000D_
    There was 1 cause:_x000D_
    java lang IllegalArgumentException(Bitmap not large enough to support new configuration)_x000D_
     call GlideException logRootCauses(String) for more detail_x000D_
      Cause (1 of 1): class java lang IllegalArgumentException: Bitmap not large enough to support new configuration_x000D_
01 16 15:43:56 288 I Glide: Root cause (1 of 1)_x000D_
    java lang IllegalArgumentException: Bitmap not large enough to support new configuration_x000D_
        at android graphics Bitmap nativeReconfigure(Native Method)_x000D_
        at android graphics Bitmap reconfigure(Bitmap java:267)_x000D_
        at com bumptech glide load engine bitmap recycle SizeConfigStrategy get(SizeConfigStrategy java:70)_x000D_
        at com bumptech glide load engine bitmap recycle LruBitmapPool getDirtyOrNull(LruBitmapPool java:172)_x000D_
        at com bumptech glide load engine bitmap recycle LruBitmapPool get(LruBitmapPool java:124)_x000D_
        at com bumptech glide load resource bitmap TransformationUtils centerCrop(TransformationUtils java:140)_x000D_
        at com bumptech glide load resource bitmap CenterCrop transform(CenterCrop java:22)_x000D_
        at com bumptech glide load resource bitmap BitmapTransformation transform(BitmapTransformation java:97)_x000D_
        at com bumptech glide load engine DecodeJob onResourceDecoded(DecodeJob java:527)_x000D_
        at com bumptech glide load engine DecodeJob DecodeCallback onResourceDecoded(DecodeJob java:590)_x000D_
        at com bumptech glide load engine DecodePath decode(DecodePath java:45)_x000D_
        at com bumptech glide load engine LoadPath loadWithExceptionList(LoadPath java:56)_x000D_
        at com bumptech glide load engine LoadPath load(LoadPath java:42)_x000D_
        at com bumptech glide load engine DecodeJob runLoadPath(DecodeJob java:497)_x000D_
        at com bumptech glide load engine DecodeJob decodeFromFetcher(DecodeJob java:469)_x000D_
        at com bumptech glide load engine DecodeJob decodeFromData(DecodeJob java:455)_x000D_
        at com bumptech glide load engine DecodeJob decodeFromRetrievedData(DecodeJob java:407)_x000D_
        at com bumptech glide load engine DecodeJob onDataFetcherReady(DecodeJob java:376)_x000D_
        at com bumptech glide load engine DataCacheGenerator onDataReady(DataCacheGenerator java:95)_x000D_
        at com bumptech glide load model ByteBufferFileLoader ByteBufferFetcher loadData(ByteBufferFileLoader java:74)_x000D_
        at com bumptech glide load engine DataCacheGenerator startNext(DataCacheGenerator java:75)_x000D_
        at com bumptech glide load engine DecodeJob runGenerators(DecodeJob java:299)_x000D_
        at com bumptech glide load engine DecodeJob runWrapped(DecodeJob java:266)_x000D_
        at com bumptech glide load engine DecodeJob run(DecodeJob java:230)_x000D_
        at java util concurrent ThreadPoolExecutor runWorker(ThreadPoolExecutor java:1162)_x000D_
        at java util concurrent ThreadPoolExecutor Worker run(ThreadPoolExecutor java:636)_x000D_
        at java lang Thread run(Thread java:764)_x000D_
        at com bumptech glide load engine executor GlideExecutor DefaultThreadFactory 1 run(GlideExecutor java:446)_x000D_
   _x000D_
_x000D_
     How do you use Glide _x000D_
Make sure you include everything as is in your app s code:_x000D_
Changing a single method parameter can yield totally different results _x000D_
Please clarify any magic variables that appear in the code  for example:      this  is a Fragment _x000D_
   _x000D_
  Glide load line    GlideModule  (if any)   list Adapter code (if any)  :_x000D_
Here s the code used to load the image into each  ImageView  of my DuoAvatarLayout  This code is inside my adapter:_x000D_
   kotlin_x000D_
members forEachIndexed   index  member   _x000D_
    val requestCreator   _x000D_
        GlideApp_x000D_
             with(context)_x000D_
             load(member profile pictureThumbUrl)_x000D_
             placeholder(R drawable rectangle placeholder)_x000D_
_x000D_
    when (index)  _x000D_
        0    requestCreator into(duoAvatarLeftImage)_x000D_
        1    requestCreator into(duoAvatarRightImage)_x000D_
     _x000D_
 _x000D_
   _x000D_
_x000D_
     Bonus points if you attach a relevant screenshot  screen recording or a small demo project    _x000D_
Finally  here s the image it s supposed to load (1 jb png)_x000D_
  1 1ae317c33bd344440157e85303d49d82 (https:  user images githubusercontent com 906656 35011734 38cbf010 fad5 11e7 8d38 9a99317c9c68 png)_x000D_
Here s a row of my list with the DuoAvatarLayout  Sometimes  one of those images in the circle will not load and I will get the stacktrace _x000D_
   (https:  dha4w82d62smt cloudfront net items 410O140a3l3w0g003Z1s  5B194cf79c38be9f03b81ca42929362ff6 5D Image 2018 01 16 at 4 14 00 PM png)_x000D_
</t>
  </si>
  <si>
    <t>google-ExoPlayer-3716</t>
  </si>
  <si>
    <t xml:space="preserve">_x000D_
    Issue description_x000D_
App is crashing with unordered sequencing of timeOffset for AdBreaks_x000D_
_x000D_
    Reproduction steps_x000D_
1  Download sample app from  https:  github com google ExoPlayer tree release v2 demos main (url)  _x000D_
2  Change  ad tag url   to  https:  img vserv mobi vast ima sample2 xml (url) _x000D_
3  Load the ad and it will cause immediate crash _x000D_
_x000D_
_x000D_
    Link to test content_x000D_
 https:  img vserv mobi vast ima sample2 xml (url)_x000D_
_x000D_
    Version of ExoPlayer being used_x000D_
2 6 1_x000D_
 com google ads interactivemedia v3:interactivemedia:3 7 4 _x000D_
_x000D_
    Device(s) and version(s) of Android being used_x000D_
LG Nexus 5 (Android version 6 0 1)_x000D_
_x000D_
    A full bug report captured from the device_x000D_
E AndroidRuntime: FATAL EXCEPTION: main_x000D_
                                                                                       Process: com google android exoplayer2 imademo  PID: 24403_x000D_
                                                                                       java lang ArrayIndexOutOfBoundsException: length 3  index  1_x000D_
                                                                                           at com google android exoplayer2 source ads AdPlaybackState setAdCount(AdPlaybackState java:111)_x000D_
                                                                                           at com google android exoplayer2 ext ima ImaAdsLoader onAdEvent(ImaAdsLoader java:481)_x000D_
                                                                                           at com google obf gy a(IMASDK:57)_x000D_
                                                                                           at com google obf gy a(IMASDK:53)_x000D_
                                                                                           at com google obf gy a(IMASDK:90)_x000D_
                                                                                           at com google obf gq a(IMASDK:60)_x000D_
                                                                                           at com google obf hj f(IMASDK:163)_x000D_
                                                                                           at com google obf hj a(IMASDK:41)_x000D_
                                                                                           at com google obf hk b(IMASDK:39)_x000D_
                                                                                           at com google obf hk 1 shouldOverrideUrlLoading(IMASDK:4)_x000D_
                                                                                           at com android webview chromium WebViewContentsClientAdapter shouldOverrideUrlLoading(WebViewContentsClientAdapter java:74)_x000D_
                                                                                           at org chromium android webview AwContentsClient shouldIgnoreNavigation(AwContentsClient java:15)_x000D_
                                                                                           at org chromium android webview AwContentsClientBridge shouldOverrideUrlLoading(AwContentsClientBridge java:140)_x000D_
                                                                                           at org chromium base SystemMessageHandler nativeDoRunLoopOnce(Native Method)_x000D_
                                                                                           at org chromium base SystemMessageHandler handleMessage(SystemMessageHandler java:7)_x000D_
                                                                                           at android os Handler dispatchMessage(Handler java:102)_x000D_
                                                                                           at android os Looper loop(Looper java:148)_x000D_
                                                                                           at android app ActivityThread main(ActivityThread java:5417)_x000D_
                                                                                           at java lang reflect Method invoke(Native Method)_x000D_
                                                                                           at com android internal os ZygoteInit MethodAndArgsCaller run(ZygoteInit java:726)_x000D_
                                                                                           at com android internal os ZygoteInit main(ZygoteInit java:616)_x000D_
_x000D_
</t>
  </si>
  <si>
    <t>nextcloud-android-1970</t>
  </si>
  <si>
    <t>Android (playstore) app will not log in to server 12.04 backend</t>
  </si>
  <si>
    <t xml:space="preserve">    Actual behaviour_x000D_
  Unable to log in with either the Beta client or the regular android client  This happened on an install of server 12 03 and then an upgraded version of 12 04 as well as a fresh install of 12 04 (except I preserved the data folder)  When attempting to log in I click the  grant access  button enter a user name and password and the app  spins  for ever before prompting me to revert to the older style login  Tailing the logs on the server shows that the request is made  I see responses from  remote php webdav  and some entries  When I try and invalid password the app still spins for ever but the server logs show the invalid access attempt  _x000D_
_x000D_
If I keep trying (I spent 3 hours trying to log in and debug this myself) one in maybe 20 tries the login succeeds but I am greeted with no files or folders and what appears to be constant scanning until either the app crashes or my screen goes to sleep  When either event happens the app is logged out (despite having clicked the  remember  option) and I have to start the whole process again _x000D_
_x000D_
Using a mobile browser yields no problems  Additionally  using the  owncloud beta  android app (which is free) allows me to log in and have the instant upload of my photos (which is my main concern)  Desktop browsers as well as desktop integration works as expected so I am sure this is a problem with the android app  Previously I had no problems  I have been using the beta app for the last several months without issue_x000D_
_x000D_
    Expected behaviour_x000D_
  I expect to be able to log in and see my files as I am able to with the owncloud app_x000D_
 _x000D_
    Steps to reproduce_x000D_
1   Download the nextcloud client app (or beta) from the play store_x000D_
2   Attempt to log in with username and password_x000D_
3   Never actually able to log in_x000D_
_x000D_
_x000D_
    Environment data_x000D_
Android version: Android 7 0 with Nov 6  2017 security patches_x000D_
Kernel: 4 1 18 g6583b88_x000D_
_x000D_
Device model:  Honor 6XXX_x000D_
_x000D_
Stock or customized system: Stock_x000D_
_x000D_
Nextcloud app version: Latest version from the play store (as well as the latest beta)_x000D_
_x000D_
Nextcloud server version: 12 04_x000D_
_x000D_
    Logs_x000D_
     Web server error log_x000D_
   _x000D_
To follow shortly when I test _x000D_
   _x000D_
_x000D_
     Nextcloud log (data nextcloud log)_x000D_
   _x000D_
Unable to locate nextcloud log  it does not show up in filesystem searches and  data com nextcloud client  has no logs_x000D_
   _x000D_
_x000D_
</t>
  </si>
  <si>
    <t>hold17-cphindustries-114</t>
  </si>
  <si>
    <t>Feature/delete weapons</t>
  </si>
  <si>
    <t xml:space="preserve">Resolves  107 _x000D_
_x000D_
   Proposed Changes_x000D_
   Fixed issue with app crashing upon deletion of a  Weapon _x000D_
   Collected an if statement_x000D_
</t>
  </si>
  <si>
    <t>hold17-cphindustries-107</t>
  </si>
  <si>
    <t>Deleting weapons causes crash</t>
  </si>
  <si>
    <t xml:space="preserve">    Description_x000D_
_x000D_
Deleting a weapon and then going back to the view fragment causes the app to crash _x000D_
_x000D_
    Steps to Reproduce_x000D_
_x000D_
1  Go to a scene_x000D_
2  Go to a shoot_x000D_
3  Click the lock button_x000D_
4  Delete a weapon by swiping_x000D_
5  Click the lock button again to return to the view fragment_x000D_
_x000D_
  Expected behavior:   Display a list of weapons without the one you just deleted_x000D_
_x000D_
  Actual behaviour:   Crash_x000D_
_x000D_
  Reproduces how often:   100 _x000D_
_x000D_
    Versions_x000D_
_x000D_
  v0 4 1 SNAPSHOT_x000D_
_x000D_
    Additional Information_x000D_
_x000D_
To make this error occur  make sure to have at least: _x000D_
  1 scene_x000D_
  1 shoot and_x000D_
  1 weapon</t>
  </si>
  <si>
    <t>cgeo-cgeo-6912</t>
  </si>
  <si>
    <t>Crash after deleting GPX file using 'import' list.</t>
  </si>
  <si>
    <t xml:space="preserve">CGEO consistantly crashes after deleting a GPX file using the  import  list _x000D_
_x000D_
      Detailed steps causing the problem:_x000D_
  Open a stored list_x000D_
  Goto  Import Import GPS (A list of files is shown)_x000D_
  Long press on one of the files (Pop up:  Do you want to delete xxxx GPX  _x000D_
  Choose  OK _x000D_
  Long press on another file (I think files have to be in the same folder)_x000D_
_x000D_
_x000D_
      Actual behavior after performing these steps:_x000D_
CGEO Stops_x000D_
_x000D_
_x000D_
      Expected behavior after performing these steps:_x000D_
You should be able to delete a series of files _x000D_
_x000D_
_x000D_
      Version of c:geo used:2018 01 14 RC_x000D_
_x000D_
_x000D_
_x000D_
      Is the problem reproducible for you _x000D_
Yes_x000D_
_x000D_
_x000D_
      System information:_x000D_
    System information    _x000D_
Device: E6683 (E6683  Sony)_x000D_
Android version: 7 1 1_x000D_
Android build: 32 4 A 0 160_x000D_
c:geo version: 2018 01 14 RC_x000D_
Google Play services: enabled   11 9 51 (448 177350961)_x000D_
Low power mode: inactive_x000D_
Compass capabilities: yes_x000D_
Rotation vector sensor: present_x000D_
Orientation sensor: present_x000D_
Magnetometer   Accelerometer sensor: present_x000D_
Direction sensor used: rotation vector_x000D_
Hide own found: false_x000D_
Map strategy: auto_x000D_
HW acceleration: enabled (default state)_x000D_
System language: en GB_x000D_
System date format: dd MM y_x000D_
Debug mode active: no_x000D_
System internal c:geo dir:  data user 0 cgeo geocaching (10 6 GB free) internal_x000D_
User storage c:geo dir:  storage emulated 0 cgeo (10 6 GB free) external non removable_x000D_
Geocache data:  storage emulated 0 Android data cgeo geocaching files GeocacheData (10 6 GB free) external non removable_x000D_
Database:  storage emulated 0 Android data cgeo geocaching files databases data (25 0 MB) on user storage_x000D_
Fine location permission: granted_x000D_
Write external storage permission: granted_x000D_
Geocaching sites enabled:_x000D_
   geocaching com: Logged in (Login OK)   PREMIUM_x000D_
Geocaching com date format: dd MMM yy_x000D_
Installed c:geo plugins:  none_x000D_
    End of system information    _x000D_
   _x000D_
_x000D_
</t>
  </si>
  <si>
    <t>Haptic-Apps-Slide-2624</t>
  </si>
  <si>
    <t>App crash when tapping before image download at the image viewer</t>
  </si>
  <si>
    <t>Slide version: 5 8 alpha1 5_x000D_
Android version: 7 0_x000D_
_x000D_
I clicked on a GFYcat link  It takes forever to even start downloading  related but not the specific issue _x000D_
Right before it starts the download there is the phase in which the app sends a request to get the gif file and start the downloading  _x000D_
Tapping anywhere(as far as I know I only tried inside the image viewer)   crashes   the app _x000D_
There is a possibility that an image would crash it too  but its significantly common for me to be waiting for the app to load a GFYcat _x000D_
https:  photos app goo gl U6YIqZksqEetJcKs2 (I used  adb shell screenrecord  file location   for the video)</t>
  </si>
  <si>
    <t>doublesymmetry-react-native-track-player-118</t>
  </si>
  <si>
    <t>MediaManager.java: add null check</t>
  </si>
  <si>
    <t>Fix crashes as described in https:  github com react native kit react native track player issues 117</t>
  </si>
  <si>
    <t>nikita36078-J2ME-Loader-75</t>
  </si>
  <si>
    <t>Lost saved game after force stopping j2me-loader</t>
  </si>
  <si>
    <t>version: 1 2 6 1  1 2 6 2_x000D_
tested game: doom rpg_x000D_
_x000D_
working:_x000D_
1 save status in game_x000D_
2 exit game then reopen it without close j2me loader  continue option show in start menu_x000D_
3 exit game then quit j2me loader use function in app menu  reopen the game  continue option show in start menu_x000D_
_x000D_
not working:_x000D_
exit game then force stop  j2me loader  reopen the game  only new game option in start menu_x000D_
_x000D_
game works fine in 1 2 5  crash in 1 2 6</t>
  </si>
  <si>
    <t>andOTP-andOTP-113</t>
  </si>
  <si>
    <t>Fix crash with no Bitcoin app installed</t>
  </si>
  <si>
    <t xml:space="preserve">This is just a reminder for myself to fix the app crashing when you have no Bitcoin app installed and click on the donate link for  RichyHBM </t>
  </si>
  <si>
    <t>doublesymmetry-react-native-track-player-117</t>
  </si>
  <si>
    <t>NullPointerException in MediaManager.onPlay</t>
  </si>
  <si>
    <t>I deployed the latest version of our  Radio Garden app (https:  play google com store apps details id com jonathanpuckey radiogarden hl en) using  react native track player  to the Google Play Store  Over 100 thousand people have installed the update  Everything seems pretty stable  so I am very happy  I plan to release a new version soon with all the refinements your library offers _x000D_
_x000D_
Just wanted to start off with a huge thank you to you _x000D_
_x000D_
I have noticed a few crashes   this one occurs in approx 2 in 1000 users:_x000D_
_x000D_
   _x000D_
java lang NullPointerException: _x000D_
  at guichaguri trackplayer logic MediaManager onPlay (MediaManager java:145)_x000D_
  at guichaguri trackplayer player Playback updateState (Playback java:193)_x000D_
  at guichaguri trackplayer player players ExoPlayback onPlayerStateChanged (ExoPlayback java:201)_x000D_
  at com google android exoplayer2 ExoPlayerImpl handleEvent (ExoPlayerImpl java:364)_x000D_
  at com google android exoplayer2 ExoPlayerImpl 1 handleMessage (ExoPlayerImpl java:99)_x000D_
  at android os Handler dispatchMessage (Handler java:102)_x000D_
  at android os Looper loop (Looper java:154)_x000D_
  at android app ActivityThread main (ActivityThread java:6682)_x000D_
  at java lang reflect Method invoke (Native Method)_x000D_
  at com android internal os ZygoteInit MethodAndArgsCaller run (ZygoteInit java:1520)_x000D_
  at com android internal os ZygoteInit main (ZygoteInit java:1410)_x000D_
   _x000D_
_x000D_
Not completely sure why   when it happens  but I think it is because  playback getCurrentTrack()  is returning null: https:  github com react native kit react native track player blob b6d1272118712b2d0928055d7a20dccdb20bef23 android src main java guichaguri trackplayer logic MediaManager java L145</t>
  </si>
  <si>
    <t>the3deers-android-3D-model-viewer-34</t>
  </si>
  <si>
    <t>Bug in demo option: App crashes</t>
  </si>
  <si>
    <t xml:space="preserve">     Expected behavior_x000D_
After launching the app which am not really used to  I needed a tutorial for it s usage but I luckily found a demo of how to design the model  But unfortunately none of the demos was able to play  _x000D_
_x000D_
     Actual behavior_x000D_
The app keeps crashing everytime I click on a demo to play for how to use it  _x000D_
_x000D_
     How to reproduce_x000D_
Open the android 3D model viewer app if already installed or download from Google Play Store if not  after launching it go to demo and after it loads  click any of the demo you wish to view  immediately the app crashes  _x000D_
_x000D_
  Browser: infinix note 4 _x000D_
  Operating system:  android 7_x000D_
_x000D_
     Recording Of The Bug_x000D_
Here is a video to record the bug  _x000D_
https:  youtu be ycGrLlv1Vlg_x000D_
_x000D_
_x000D_
_x000D_
 br    hr   em Posted on  a href  https:  utopian io utopian io  onos bug found in pla 22 3EUtopian io    Rewarding Open Source Contributors  a   em  hr  </t>
  </si>
  <si>
    <t>philipphecht-react-native-doc-viewer-69</t>
  </si>
  <si>
    <t>[iOS][Local] You must override the `supportedEvents</t>
  </si>
  <si>
    <t>The following case  scenario is working fine on android  but have issue on iOS _x000D_
I can load pdf from a Server url with issue _x000D_
_x000D_
 react native doc viewer :   2 7 3 _x000D_
 react native :   0 51 0  _x000D_
_x000D_
I am generating a content in PDF using a conversion html to pdf using the following  library (https:  github com christopherdro react native html to pdf)_x000D_
_x000D_
It is saved under ilePath:   var mobile Containers Data Application 3A6E498D E A11B 4940F040BA27 Documents ResultSimulation pdf _x000D_
_x000D_
I am trying to display it using your library  (using the path without file:     or using react native fs like the example) but the app is crashing and I got those logs from xCode_x000D_
_x000D_
The breakpoint issue is in the RNRactNativeDocViewer m file in the function hitServerForUrl on the creation of the defaultSession_x000D_
_x000D_
_x000D_
   _x000D_
    Assertion failure in   RCTEventEmitter initialize ()  _x000D_
   node modules react native React Modules RCTEventEmitter m:29_x000D_
2018 01 13 18:56:42 260616 0100 1954:887806  _x000D_
    Terminating app due to uncaught exception  NSInternalInconsistencyException   _x000D_
reason:  You must override the  supportedEvents  method of fir 0x1c667a100 RNReactNativeDocViewer_x000D_
   _x000D_
_x000D_
I tried to look about this issue but I am kind of lost  Any idea  _x000D_
_x000D_
thanks_x000D_
_x000D_
PS : the pdf exist and correctly generated because I am able to send it by email</t>
  </si>
  <si>
    <t>guardianproject-haven-211</t>
  </si>
  <si>
    <t>Monitor/Camera activity crashes but background service continues</t>
  </si>
  <si>
    <t xml:space="preserve">When the app notifies me of the crash  it still sends notifications to_x000D_
     me via signal until I activated and deactivated the camera again _x000D_
What is happening here is that the foreground camera sensor is crashing  but the main background  daemon  is still running  with all the other sensors still active  </t>
  </si>
  <si>
    <t>guardianproject-haven-210</t>
  </si>
  <si>
    <t>Camera crashes with a lot of motion</t>
  </si>
  <si>
    <t xml:space="preserve">The app will frequently crash when in use  most notably when there is a lot of motion in the scene or there is a big light change (the app was tested in a room with lux levels ranging from  0 01lx to  210 lux) _x000D_
_x000D_
LG_x000D_
Phoenix 3  cost  60 </t>
  </si>
  <si>
    <t>jMonkeyEngine-jmonkeyengine-798</t>
  </si>
  <si>
    <t>LWJGLException when switching from full-screen to windowed context</t>
  </si>
  <si>
    <t xml:space="preserve">If I start a JME application in windowed mode  I can switch to full screen mode at any time  provided my settings match one of those supported by my graphic adapter _x000D_
_x000D_
However  if I start in full screen mode  any attempt to switch to windowed mode crashes the application _x000D_
I see this issue with both JME 3 1 0 stable and JME 3 2 0 stable_x000D_
_x000D_
Here is my test app:_x000D_
   _x000D_
package mygame _x000D_
_x000D_
import com jme3 app SimpleApplication _x000D_
import com jme3 input KeyInput _x000D_
import com jme3 input controls ActionListener _x000D_
import com jme3 input controls KeyTrigger _x000D_
_x000D_
public class Main extends SimpleApplication  _x000D_
_x000D_
    public static void main(String   args)  _x000D_
        Main app   new Main() _x000D_
        app start() _x000D_
     _x000D_
_x000D_
     Override_x000D_
    public void simpleInitApp()  _x000D_
        inputManager addMapping( goWindowed   new KeyTrigger(KeyInput KEY P)) _x000D_
        ActionListener listener   new ActionListener()  _x000D_
             Override_x000D_
            public void onAction(String name  boolean keyPressed  float tpf)  _x000D_
                if (name equals( goWindowed )    keyPressed)  _x000D_
                    goWindowed() _x000D_
                 _x000D_
             _x000D_
          _x000D_
        inputManager addListener(listener   goWindowed ) _x000D_
     _x000D_
_x000D_
    void goWindowed()  _x000D_
        settings setFullscreen(false) _x000D_
        setSettings(settings) _x000D_
        restart() _x000D_
     _x000D_
 _x000D_
   _x000D_
_x000D_
Here is typical output:_x000D_
   _x000D_
Jan 11  2018 2:14:48 PM com jme3 system JmeDesktopSystem initialize_x000D_
INFO: Running on jMonkeyEngine 3 1 stable_x000D_
   Branch: HEAD_x000D_
   Git Hash: af04bf9_x000D_
   Build Date: 2017 02 13_x000D_
Jan 11  2018 2:14:49 PM com jme3 system lwjgl LwjglContext printContextInitInfo_x000D_
INFO: LWJGL 2 9 3 context running on thread jME3 Main_x000D_
   Graphics Adapter: nvd3dumx nvwgf2umx nvwgf2umx_x000D_
   Driver Version: 21 21 13 7633_x000D_
   Scaling Factor: 1_x000D_
Jan 11  2018 2:14:50 PM com jme3 renderer opengl GLRenderer loadCapabilitiesCommon_x000D_
INFO: OpenGL Renderer Information_x000D_
   Vendor: NVIDIA Corporation_x000D_
   Renderer: GeForce GT 545 PCIe SSE2_x000D_
   OpenGL Version: 4 5 0 NVIDIA 376 33_x000D_
   GLSL Version: 4 50 NVIDIA_x000D_
   Profile: Compatibility_x000D_
Jan 11  2018 2:14:50 PM com jme3 audio openal ALAudioRenderer initOpenAL_x000D_
INFO: Audio Renderer Information_x000D_
   Device: OpenAL Soft_x000D_
   Vendor: OpenAL Community_x000D_
   Renderer: OpenAL Soft_x000D_
   Version: 1 1 ALSOFT 1 15 1_x000D_
   Supported channels: 64_x000D_
   ALC extensions: ALC ENUMERATE ALL EXT ALC ENUMERATION EXT ALC EXT CAPTURE ALC EXT DEDICATED ALC EXT disconnect ALC EXT EFX ALC EXT thread local context ALC SOFT loopback_x000D_
   AL extensions: AL EXT ALAW AL EXT DOUBLE AL EXT EXPONENT DISTANCE AL EXT FLOAT32 AL EXT IMA4 AL EXT LINEAR DISTANCE AL EXT MCFORMATS AL EXT MULAW AL EXT MULAW MCFORMATS AL EXT OFFSET AL EXT source distance model AL LOKI quadriphonic AL SOFT buffer samples AL SOFT buffer sub data AL SOFTX deferred updates AL SOFT direct channels AL SOFT loop points AL SOFT source latency_x000D_
Jan 11  2018 2:14:50 PM com jme3 audio openal ALAudioRenderer initOpenAL_x000D_
WARNING: Pausing audio device not supported _x000D_
Jan 11  2018 2:14:50 PM com jme3 audio openal ALAudioRenderer initOpenAL_x000D_
INFO: Audio effect extension version: 1 0_x000D_
Jan 11  2018 2:14:50 PM com jme3 audio openal ALAudioRenderer initOpenAL_x000D_
INFO: Audio max auxiliary sends: 4_x000D_
Jan 11  2018 2:14:53 PM com jme3 system lwjgl LwjglDisplay runLoop_x000D_
SEVERE: Failed to set display settings _x000D_
org lwjgl LWJGLException: Could not make context current_x000D_
	at org lwjgl opengl WindowsContextImplementation nMakeCurrent(Native Method)_x000D_
	at org lwjgl opengl WindowsContextImplementation makeCurrent(WindowsContextImplementation java:94)_x000D_
	at org lwjgl opengl ContextGL makeCurrent(ContextGL java:194)_x000D_
	at org lwjgl opengl DrawableGL makeCurrent(DrawableGL java:110)_x000D_
	at org lwjgl opengl Display makeCurrent(Display java:706)_x000D_
	at org lwjgl opengl Display makeCurrentAndSetSwapInterval(Display java:1025)_x000D_
	at org lwjgl opengl Display setDisplayModeAndFullscreenInternal(Display java:512)_x000D_
	at org lwjgl opengl Display setFullscreen(Display java:475)_x000D_
	at com jme3 system lwjgl LwjglDisplay createContext(LwjglDisplay java:119)_x000D_
	at com jme3 system lwjgl LwjglDisplay runLoop(LwjglDisplay java:180)_x000D_
	at com jme3 system lwjgl LwjglAbstractDisplay run(LwjglAbstractDisplay java:232)_x000D_
	at java lang Thread run(Thread java:745)_x000D_
_x000D_
Jan 11  2018 2:14:53 PM com jme3 app LegacyApplication handleError_x000D_
SEVERE: Uncaught exception thrown in Thread jME3 Main 5 main _x000D_
java lang IllegalStateException: Keyboard must be created before you can poll the device_x000D_
	at org lwjgl input Keyboard poll(Keyboard java:386)_x000D_
	at com jme3 input lwjgl LwjglKeyInput update(LwjglKeyInput java:79)_x000D_
	at com jme3 input InputManager update(InputManager java:896)_x000D_
	at com jme3 app LegacyApplication update(LegacyApplication java:725)_x000D_
	at com jme3 app SimpleApplication update(SimpleApplication java:227)_x000D_
	at com jme3 system lwjgl LwjglAbstractDisplay runLoop(LwjglAbstractDisplay java:151)_x000D_
	at com jme3 system lwjgl LwjglDisplay runLoop(LwjglDisplay java:193)_x000D_
	at com jme3 system lwjgl LwjglAbstractDisplay run(LwjglAbstractDisplay java:232)_x000D_
	at java lang Thread run(Thread java:745)_x000D_
_x000D_
AL lib: (EE) alc cleanup: 1 device not closed_x000D_
_x000D_
Exception: java lang RuntimeException thrown from the UncaughtExceptionHandler in thread  jME3 Main _x000D_
   </t>
  </si>
  <si>
    <t>react-native-camera-react-native-camera-1090</t>
  </si>
  <si>
    <t>Front camera not working on some iPhones</t>
  </si>
  <si>
    <t xml:space="preserve">I m having issues using the front facing camera on some iPhones  at least on iPhone 5s and 6s  both running iOS 11  I have no issues on other iPhones  e g  iPhone X  The preview is black  and the app crashes when I try to take a photo:_x000D_
_x000D_
 2018 01 11 17:22:31 577819 0100 KOMP 353:78935      Terminating app due to uncaught exception  NSInvalidArgumentException   reason:        AVCaptureStillImageOutput captureStillImageAsynchronouslyFromConnection:completionHandler:  Inactive invalid connection passed _x000D_
    First throw call stack:_x000D_
(0x183eb2364 0x1830f8528 0x189829494 0x10084e598 0x101a392cc 0x101a3928c 0x101a47f80 0x101a3c7ec 0x101a48f6c 0x101a50020 0x183ad6f1c 0x183ad6b6c)_x000D_
libc  abi dylib: terminating with uncaught exception of type NSException_x000D_
(lldb)  _x000D_
_x000D_
Anyone else experienced this _x000D_
_x000D_
  img f17a313b95f6 1 (https:  user images githubusercontent com 5970898 34834859 709a3866 f6f3 11e7 9cfd 398ecf525066 jpeg)_x000D_
 Screenshot from iPhone 6s </t>
  </si>
  <si>
    <t>mit-cml-appinventor-sources-1125</t>
  </si>
  <si>
    <t>About Menu Crashes in New APK files</t>
  </si>
  <si>
    <t xml:space="preserve">In a newly built apk  hitting the three dots at the bottom to pull up the About App options causes the app to crash  </t>
  </si>
  <si>
    <t>mapbox-mapbox-plugins-android-238</t>
  </si>
  <si>
    <t>autocomplete widget not saving complete carmen feature correctly</t>
  </si>
  <si>
    <t xml:space="preserve">   _x000D_
java lang NullPointerException: Attempt to invoke virtual method  double com mapbox geojson Point longitude()  on a null object reference_x000D_
   _x000D_
when I click on a recent search result and try to place a marker on it s center point  I get this crash </t>
  </si>
  <si>
    <t>asterics-AsTeRICS-220</t>
  </si>
  <si>
    <t>CIM Port Scanning and usage causes AsTeRICS to freeze or crash</t>
  </si>
  <si>
    <t xml:space="preserve">We encountered some strange situations  where CIM Port scanning or usage of CIM Ports caused AsTeRICS to crash  Unfortunately we could not reproduce all errors or causes of errors  These errors occur:_x000D_
  endless exceptions if disconnecting a CIM device while using it_x000D_
  freezing of AsTeRICS GUI after disconnecting a CIM device while using it  but also spontaneously on at random times_x000D_
  rescanning on USB attach does not work properly_x000D_
_x000D_
These issues should be resolved or at least improved </t>
  </si>
  <si>
    <t>tanrabad-survey-51</t>
  </si>
  <si>
    <t xml:space="preserve">     in uk co chrisjenx calligraphy CalligraphyLayoutInflater inflate
  Number of crashes: 1
  Impacted devices: 1
There s a lot more information about this crash on crashlytics com:
 https:  fabric io tanrabad android apps org tanrabad survey issues 5a55c6138cb3c2fa638aa995 utm medium service hooks github utm source issue impact (https:  fabric io tanrabad android apps org tanrabad survey issues 5a55c6138cb3c2fa638aa995 utm medium service hooks github utm source issue impact)</t>
  </si>
  <si>
    <t>mit-cml-appinventor-sources-1121</t>
  </si>
  <si>
    <t>Compiled apps with Default Theme crash, except the Companion</t>
  </si>
  <si>
    <t xml:space="preserve"> From the forum (https:  groups google com d msg mitappinventortest 9PmvHDeNi40 nU dLF9MEQAJ): Apps other than the Companion compiled targeting the new themes seem to generate a NullPointerException deep within the Android Support library  This causes the app to crash immediately upon start </t>
  </si>
  <si>
    <t>UNFPAInnovation-GetIn_Mobile-85</t>
  </si>
  <si>
    <t>CHEW APP CRASHING ON SOME PHONES</t>
  </si>
  <si>
    <t>Some reports of CHEW App crashing whenever they try mapping  Still gathering more information</t>
  </si>
  <si>
    <t>dimagi-commcare-android-1925</t>
  </si>
  <si>
    <t>Adds activitiy is Finishing checks to avoid illegalStateExceptions</t>
  </si>
  <si>
    <t xml:space="preserve">https:  manage dimagi com default asp 263214_x000D_
_x000D_
This is not going to eliminate the crash completely but should reduce the frequency of these crashes  </t>
  </si>
  <si>
    <t>rovo89-XposedInstaller-420</t>
  </si>
  <si>
    <t>Xposed v89 SDK26 crash on module download page</t>
  </si>
  <si>
    <t>When opening a module s download page  the app immediately crashes _x000D_
_x000D_
v89 arm64 beta 1 sdk26 G8441 (Xperia XZ1 Compact)</t>
  </si>
  <si>
    <t>lingochamp-okdownload-4</t>
  </si>
  <si>
    <t>sample crash</t>
  </si>
  <si>
    <t>In sample project  when I click  start  button on Single Download page  it does t work  and then I click  cancel  button  but the project crash _x000D_
_x000D_
01 09 11:14:13 819 12251 12251 com liulishuo okdownload sample E AndroidRuntime: FATAL EXCEPTION: main_x000D_
                                                                                 Process: com liulishuo okdownload sample  PID: 12251_x000D_
                                                                                 java lang NullPointerException: Attempt to read from field  com liulishuo okdownload core breakpoint BreakpointInfo com liulishuo okdownload core listener assist Listener4Assist Listener4Model info  on a null object reference_x000D_
                                                                                     at com liulishuo okdownload core listener assist Listener4Assist taskEnd(Listener4Assist java:127)_x000D_
                                                                                     at com liulishuo okdownload core listener DownloadListener4 taskEnd(DownloadListener4 java:87)_x000D_
                                                                                     at com liulishuo okdownload core dispatcher CallbackDispatcher 1 10 run(CallbackDispatcher java:191)_x000D_
                                                                                     at android os Handler handleCallback(Handler java:739)_x000D_
                                                                                     at android os Handler dispatchMessage(Handler java:95)_x000D_
                                                                                     at android os Looper loop(Looper java:135)_x000D_
                                                                                     at android app ActivityThread main(ActivityThread java:5290)_x000D_
                                                                                     at java lang reflect Method invoke(Native Method)_x000D_
                                                                                     at java lang reflect Method invoke(Method java:372)_x000D_
                                                                                     at com android internal os ZygoteInit MethodAndArgsCaller run(ZygoteInit java:911)_x000D_
                                                                                     at com android internal os ZygoteInit main(ZygoteInit java:706)</t>
  </si>
  <si>
    <t>mapbox-mapbox-plugins-android-235</t>
  </si>
  <si>
    <t>Throw a better error message when onStop isn't called</t>
  </si>
  <si>
    <t xml:space="preserve">When someone forgets to implement the onStop and onStart (or setup a lifecycle observer) and the devices configuration changes  the app crashes with a nasty error message in the log  We should clarify that this is the issue by throwing an exception internally in the lib </t>
  </si>
  <si>
    <t>jMonkeyEngine-jmonkeyengine-794</t>
  </si>
  <si>
    <t>DetailedProfilerState + assertions enabled = OpenGLException</t>
  </si>
  <si>
    <t xml:space="preserve">In JME 3 2  I created a new BasicGame project and added_x000D_
   _x000D_
stateManager attach(new DetailedProfilerState()) _x000D_
   _x000D_
to the simpleInitApp() method  I enabled assertions by putting   ea  in the runtime VM options _x000D_
_x000D_
When executed  the application crashed immediately:_x000D_
   _x000D_
Jan 08  2018 1:47:36 PM com jme3 app LegacyApplication handleError_x000D_
SEVERE: An OpenGL error has occured _x000D_
org lwjgl opengl OpenGLException: Invalid operation (1282)_x000D_
	at org lwjgl opengl Util checkGLError(Util java:59)_x000D_
	at com jme3 system lwjgl LwjglAbstractDisplay checkGLError(LwjglAbstractDisplay java:136)_x000D_
	at com jme3 system lwjgl LwjglAbstractDisplay runLoop(LwjglAbstractDisplay java:157)_x000D_
	at com jme3 system lwjgl LwjglDisplay runLoop(LwjglDisplay java:197)_x000D_
	at com jme3 system lwjgl LwjglAbstractDisplay run(LwjglAbstractDisplay java:232)_x000D_
	at java lang Thread run(Thread java:748)_x000D_
   _x000D_
_x000D_
_x000D_
</t>
  </si>
  <si>
    <t>RoboTutorLLC-RTFace_Login-3</t>
  </si>
  <si>
    <t>FaceLogin 1.6 sometimes crashes.</t>
  </si>
  <si>
    <t xml:space="preserve">Vishnu found crashes in  Both Pixel C and Samsung while simultaneously capturing audio and video (in Kiosk mode)  and otherwise (in regular non Kiosk mode)   The bug recipe works if you rotate within 5 seconds of tapping OR if you tap 2 seconds after the demo video starts and tap within 5 seconds of when the demo video ends  You might be wondering how I got these exact numbers   hint: it s right in the code :wink:   _x000D_
_x000D_
 VISHNU   PLEASE ELABORATE  WITH POINTER(S) TO SPECIFIC LINE(S) OF CODE  _x000D_
_x000D_
1  Start FaceLogin 1 6 _x000D_
2  Wait for demo video to start _x000D_
3  Tap at most 2 seconds after the demo video starts _x000D_
4  Wait for demo video to end _x000D_
5  Tap at most 5 seconds after the demo video ends   VISHNU    TAP  WHERE   _x000D_
_x000D_
Vishnu reported that this recipe crashes FaceLogin 1 6 reliably on Vishnu s Pixel but he thinks it may be due to  system processes (e g  memory overload or lack of sufficient storage)    For a rooted tablet  system logs in  ROOT    Device   Logging folder may tell _x000D_
_x000D_
ifound that tapping  2 seconds after the demo video starts caused FaceLogin 1 5 2 and 1 6 to crash sometimes  but not reproducibly   Please watch very short video example at  https:  drive google com drive u 0 folders 0B2NLAaJNgy1CcW5FN2tyUGdIWVE  _x000D_
_x000D_
I don t think chasing exotic crashes is our top priority right now   But beware that it can happen   If we can t  verifiably  exterminate it entirely  we must ensure that it s survivable    e g  by falling through into a bare bones logo screen with a button that launches FaceLogin with no video or animation that risks crashing </t>
  </si>
  <si>
    <t>nextcloud-android-1934</t>
  </si>
  <si>
    <t>When creating existing directory during loading app crashes</t>
  </si>
  <si>
    <t xml:space="preserve">    Actual behaviour_x000D_
When you create an existing directory while the app is not yet showing the files  it crashes_x000D_
_x000D_
    Expected behaviour_x000D_
Message box: folder already exists or so_x000D_
 _x000D_
    Steps to reproduce_x000D_
1  Close the app completely_x000D_
2  Open it_x000D_
3  While loading  press create directory_x000D_
4  It will crash_x000D_
_x000D_
_x000D_
    Environment data_x000D_
Android version:_x000D_
7 0_x000D_
Device model: _x000D_
Huawei Honor 6X (europe)_x000D_
Stock or customized system:_x000D_
Stock EMUI 5_x000D_
Nextcloud app version:_x000D_
2 0 0_x000D_
Nextcloud server version:_x000D_
11_x000D_
    Logs_x000D_
     Web server error log_x000D_
   _x000D_
I do not have access to the log_x000D_
   _x000D_
_x000D_
     Nextcloud log (data nextcloud log)_x000D_
   _x000D_
No access to logs_x000D_
   _x000D_
I am sorry that I could not post the webserver errors  but I think it is an issue in the app  so it wouldn t matter anyway</t>
  </si>
  <si>
    <t>mvysny-aedict-817</t>
  </si>
  <si>
    <t xml:space="preserve">Aedict "crashes" as soon as I click on a dictionary entry. </t>
  </si>
  <si>
    <t xml:space="preserve">Hello  I originally had Aedict for free on Amazon Underground  but it was so good I decided to buy it for my Fire tablet  I have also bought it for my Android phone  However  with the latest update  my Fire tablet will not allow me to view any dictionary entry for more than a second before crashing  Or sometimes it will take me to the previous screen  I have included a video to show you  https:  youtu be hurSzSjEEWw_x000D_
</t>
  </si>
  <si>
    <t>zhanghai-MaterialProgressBar-73</t>
  </si>
  <si>
    <t>cannot find class</t>
  </si>
  <si>
    <t>Here is crash log:_x000D_
 java lang RuntimeException:Unable to start activity ComponentInfo com sloar music com kabouzeid gramophone ui activities MainActivity : android view InflateException: Binary XML file line  68: Error inflating class me zhanghai android materialprogressbar MaterialProgressBar _x000D_
_x000D_
And the device info is below_x000D_
Android version: Android 4 1 1 level 16   ROM:Samsung full   CPU:armeabi v7a</t>
  </si>
  <si>
    <t>oliexdev-openScale-134</t>
  </si>
  <si>
    <t>App crash with RT-Libra-B</t>
  </si>
  <si>
    <t xml:space="preserve">Hello  _x000D_
I just tried openScale  with the latest development build (v1 7 beta 7d735146 ) and a  RT Libra B  _x000D_
After a successful connection the app displays some values which differ from the display and crashes afterwards  The issues is 100  reproduce able  I use Android version 6 0 1  How can I help  If you want I could do some tests with a development build which includes some debug traces _x000D_
_x000D_
_x000D_
</t>
  </si>
  <si>
    <t>cgeo-cgeo-6904</t>
  </si>
  <si>
    <t>App crashes on pause with calculator</t>
  </si>
  <si>
    <t xml:space="preserve">  open calculator
  press app switch button
  c:geo crashes
    System information    
Device: Redmi Note 4 (lineage mido  Xiaomi)
Android version: 7 1 2
Android build: lineage mido userdebug 7 1 2 NJH47F ce829446e0
c:geo version: 2018 01 07 NB 5367dce
Google Play services: disabled   11 9 51 (448 177350961)
Low power mode: inactive
Compass capabilities: yes
Rotation vector sensor: present
Orientation sensor: present
Magnetometer   Accelerometer sensor: present
Direction sensor used: rotation vector
Hide own found: true
Map strategy: fast
HW acceleration: enabled (default state)
System language: de DE
System date format: dd MM yy
Debug mode active: no
System internal c:geo dir:  data user 0 cgeo geocaching (12 6 GB free) internal
User storage c:geo dir:  storage emulated 0 cgeo (12 6 GB free) external non removable
Geocache data:  storage emulated 0 Android data cgeo geocaching files GeocacheData (12 6 GB free) external non removable
Database:  data user 0 cgeo geocaching databases data (260 0 KB) on system internal storage
Fine location permission: granted
Write external storage permission: granted
Geocaching sites enabled:
   geocaching com: Logged in (Anmeldung OK)   PREMIUM
   opencaching de: Logged in (Anmeldung OK)
Geocaching com date format: MM dd yyyy
Installed c:geo plugins:  none
    End of system information    
</t>
  </si>
  <si>
    <t>niclabs-adkintunmobile-androidclient-190</t>
  </si>
  <si>
    <t>MediaTestPreferenceFragment.java line 89</t>
  </si>
  <si>
    <t xml:space="preserve">     in cl niclabs adkintunmobile views activemeasurements viewfragments MediaTestPreferenceFragment onPreferenceTreeClick
  Number of crashes: 1
  Impacted devices: 1
There s a lot more information about this crash on crashlytics com:
 https:  fabric io niclabs android apps cl niclabs adkintunmobile issues 5a51a6938cb3c2fa635a2120 utm medium service hooks github utm source issue impact (https:  fabric io niclabs android apps cl niclabs adkintunmobile issues 5a51a6938cb3c2fa635a2120 utm medium service hooks github utm source issue impact)</t>
  </si>
  <si>
    <t>osmdroid-osmdroid-850</t>
  </si>
  <si>
    <t>Systematic crash with .gemf files</t>
  </si>
  <si>
    <t xml:space="preserve">   Issue Type_x000D_
 v  Bug_x000D_
_x000D_
   Description and or steps code to reproduce the problem_x000D_
  I have a  gemf file (usgssat jpg gemf) in my osmdroid folder: basically  USA at zoom 2 or 3 _x000D_
  each time I go to the USA map at zoom 2 or 3  I have a glimpse of the tiles  then within 10ths of second a crash like that:_x000D_
    _x000D_
E StrictMode: A resource was acquired at attached stack trace but never released  See java io Closeable for information on avoiding resource leaks _x000D_
              java lang Throwable: Explicit termination method  close  not called_x000D_
                  at dalvik system CloseGuard open(CloseGuard java:184)_x000D_
                  at java io RandomAccessFile  init (RandomAccessFile java:127)_x000D_
                  at java io RandomAccessFile  init (RandomAccessFile java:149)_x000D_
                  at org osmdroid util GEMFFile GEMFInputStream  init (GEMFFile java:675)_x000D_
                  at org osmdroid util GEMFFile getInputStream(GEMFFile java:617)_x000D_
                  at org osmdroid tileprovider modules GEMFFileArchive getInputStream(GEMFFileArchive java:39)_x000D_
                  at org osmdroid tileprovider modules MapTileFileArchiveProvider getInputStream(MapTileFileArchiveProvider java:181)_x000D_
                  at org osmdroid tileprovider modules MapTileFileArchiveProvider access 100(MapTileFileArchiveProvider java:30)_x000D_
                  at org osmdroid tileprovider modules MapTileFileArchiveProvider TileLoader loadTile(MapTileFileArchiveProvider java:222)_x000D_
                  at org osmdroid tileprovider modules MapTileModuleProviderBase TileLoader run(MapTileModuleProviderBase java:317)_x000D_
                  at java util concurrent ThreadPoolExecutor runWorker(ThreadPoolExecutor java:1112)_x000D_
                  at java util concurrent ThreadPoolExecutor Worker run(ThreadPoolExecutor java:587)_x000D_
                  at java lang Thread run(Thread java:818)_x000D_
    _x000D_
I don t know what the  StrictMode  of the log message represents  Maybe this bug appeared first when I recently upgraded Android Studio and had to have it modify some compilation parameters _x000D_
_x000D_
    Version of osmdroid the issue relates to:_x000D_
6 0 0</t>
  </si>
  <si>
    <t>TeamNewPipe-NewPipe-968</t>
  </si>
  <si>
    <t>Loading second page of channels makes newpip crash</t>
  </si>
  <si>
    <t xml:space="preserve">_x000D_
_x000D_
NP crashes because it can not get a channel name _x000D_
  </t>
  </si>
  <si>
    <t>ikarus23-MifareClassicTool-165</t>
  </si>
  <si>
    <t>Sharing dumps/keys on Android 7+</t>
  </si>
  <si>
    <t xml:space="preserve">Sharing dump or key files will result in a crash on devices with Android 7 _x000D_
Instead of directly sharing a URI  a content provider should be used </t>
  </si>
  <si>
    <t>square-okhttp-3761</t>
  </si>
  <si>
    <t>Okhttp crashes app with SSLException: Unable to create application data</t>
  </si>
  <si>
    <t xml:space="preserve">We were testing our app by changing the date on the device when this crash happened  I m not sure  if the crash is related to the date change or not  _x000D_
_x000D_
Here is the crash log:_x000D_
   _x000D_
java lang RuntimeException: javax net ssl SSLException: Unable to create application data_x000D_
	at com android org conscrypt ConscryptFileDescriptorSocket newSsl(ConscryptFileDescriptorSocket java:161)_x000D_
	at com android org conscrypt ConscryptFileDescriptorSocket  init (ConscryptFileDescriptorSocket java:152)_x000D_
	at com android org conscrypt OpenSSLSocketFactoryImpl createSocket(OpenSSLSocketFactoryImpl java:149)_x000D_
	at okhttp3 internal connection RealConnection connectTls(RealConnection java:230)_x000D_
	at okhttp3 internal connection RealConnection establishProtocol(RealConnection java:198)_x000D_
	at okhttp3 internal connection RealConnection buildConnection(RealConnection java:174)_x000D_
	at okhttp3 internal connection RealConnection connect(RealConnection java:114)_x000D_
	at okhttp3 internal connection StreamAllocation findConnection(StreamAllocation java:193)_x000D_
	at okhttp3 internal connection StreamAllocation findHealthyConnection(StreamAllocation java:129)_x000D_
	at okhttp3 internal connection StreamAllocation newStream(StreamAllocation java:98)_x000D_
	at okhttp3 internal connection ConnectInterceptor intercept(ConnectInterceptor java:42)_x000D_
	at okhttp3 internal http RealInterceptorChain proceed(RealInterceptorChain java:92)_x000D_
	at okhttp3 internal http RealInterceptorChain proceed(RealInterceptorChain java:67)_x000D_
	at okhttp3 internal cache CacheInterceptor intercept(CacheInterceptor java:109)_x000D_
	at okhttp3 internal http RealInterceptorChain proceed(RealInterceptorChain java:92)_x000D_
	at okhttp3 internal http RealInterceptorChain proceed(RealInterceptorChain java:67)_x000D_
	at okhttp3 internal http BridgeInterceptor intercept(BridgeInterceptor java:93)_x000D_
	at okhttp3 internal http RealInterceptorChain proceed(RealInterceptorChain java:92)_x000D_
	at okhttp3 internal http RetryAndFollowUpInterceptor intercept(RetryAndFollowUpInterceptor java:124)_x000D_
	at okhttp3 internal http RealInterceptorChain proceed(RealInterceptorChain java:92)_x000D_
	at okhttp3 internal http RealInterceptorChain proceed(RealInterceptorChain java:67)_x000D_
	at okhttp3 RealCall getResponseWithInterceptorChain(RealCall java:170)_x000D_
	at okhttp3 RealCall access 100(RealCall java:33)_x000D_
	at okhttp3 RealCall AsyncCall execute(RealCall java:120)_x000D_
	at okhttp3 internal NamedRunnable run(NamedRunnable java:32)_x000D_
	at java util concurrent ThreadPoolExecutor runWorker(ThreadPoolExecutor java:1162)_x000D_
	at java util concurrent ThreadPoolExecutor Worker run(ThreadPoolExecutor java:636)_x000D_
	at java lang Thread run(Thread java:764)_x000D_
Caused by: javax net ssl SSLException: Unable to create application data_x000D_
	at com android org conscrypt NativeCrypto SSL new(Native Method)_x000D_
	at com android org conscrypt SslWrapper newInstance(SslWrapper java:58)_x000D_
	at com android org conscrypt ConscryptFileDescriptorSocket newSsl(ConscryptFileDescriptorSocket java:159)_x000D_
	    27 more_x000D_
   _x000D_
</t>
  </si>
  <si>
    <t>TeamNewPipe-NewPipe-963</t>
  </si>
  <si>
    <t>v0.11.3 crash because of plurals</t>
  </si>
  <si>
    <t xml:space="preserve">Have to return to 11 2  because 11 3 crashes on android 4 0 4 ICS immidiately after opening the app  on android 4 4 2 KitKat once you try to search something or click on channel details  Haven t tried it on 7 0 nougat yet rather   Wonder whether it can be the cz translation related  I can provide the error screens if needed_x000D_
  </t>
  </si>
  <si>
    <t>hold17-cphindustries-50</t>
  </si>
  <si>
    <t>Crash when deleting item from SceneDaoDemo</t>
  </si>
  <si>
    <t xml:space="preserve">Using the  delete  method the crashes app </t>
  </si>
  <si>
    <t>openMF-Fineract-CN-mobile-171</t>
  </si>
  <si>
    <t xml:space="preserve">Bug in Roles/Permissions activity </t>
  </si>
  <si>
    <t xml:space="preserve">  Summary:   _x000D_
_x000D_
  Summarize your issue in one sentence (what goes wrong  what did you expect to happen)  _x000D_
_x000D_
when user press the back button in time of loading the content of roles tab app crashes_x000D_
  20180105 180304 (https:  user images githubusercontent com 23313191 34609749 f17c2f5c f243 11e7 891d 27d15a8fa9ae gif)_x000D_
_x000D_
  What make and model device (e g   Samsung Galaxy S3) did you encounter this on   What Android_x000D_
version (e g   Android 4 0 Ice Cream Sandwich or Android 6 0 Marshmallow) are you running   Is it_x000D_
 the stock_x000D_
version from the manufacturer or a custom ROM   _x000D_
_x000D_
 I have test it on real device (as shown in gif) running android 5 1 and on emulator runnig android 8 0  App crashes on both _x000D_
_x000D_
  Would you like to work on it   _x000D_
Yes</t>
  </si>
  <si>
    <t>google-ExoPlayer-3670</t>
  </si>
  <si>
    <t>File allocating tons of memory</t>
  </si>
  <si>
    <t xml:space="preserve">I have a m4a audio file that when trying to play it just allocates tons of memory in constantly triggers the garbage collection and finally lets the device crash _x000D_
_x000D_
I reproduced this on a Nexus 5x with Android 8 1 and ExoPlayer 2 6 0 and 2 6 1_x000D_
_x000D_
Audio file incoming via mail  Please let me know when I can take down the file </t>
  </si>
  <si>
    <t>michael-rapp-AndroidMaterialValidation-3</t>
  </si>
  <si>
    <t>NoSuchMethodError: android.widget.EditText.setElegantTextHeight</t>
  </si>
  <si>
    <t xml:space="preserve">Hi  I m seeing this in Crashlytics  This crash primarily happens on Samsung devices  Is it possible to wrap it in a try catch before calling setElegantTextHeight() on the view  _x000D_
_x000D_
   _x000D_
Caused by java lang NoSuchMethodError: android widget EditText setElegantTextHeight_x000D_
de mrapp android validation EditText setElegantTextHeight (EditText java:931)_x000D_
de mrapp android validation EditText obtainEditTextStyledAttributes (EditText java:285)_x000D_
de mrapp android validation EditText obtainStyledAttributes (EditText java:220)_x000D_
de mrapp android validation EditText initialize (EditText java:204)_x000D_
de mrapp android validation EditText  init  (EditText java:577)_x000D_
java lang reflect Constructor constructNative (Constructor java)_x000D_
java lang reflect Constructor newInstance (Constructor java:423)_x000D_
android view LayoutInflater createView (LayoutInflater java:600)_x000D_
android view LayoutInflater createViewFromTag (LayoutInflater java:702)_x000D_
android view LayoutInflater inflate (LayoutInflater java:470)_x000D_
android view LayoutInflater inflate (LayoutInflater java:398)_x000D_
android view LayoutInflater inflate (LayoutInflater java:354)_x000D_
android view View inflate (View java:18465)_x000D_
de mrapp android preference EditTextPreference onPrepareDialog (EditTextPreference java:346)_x000D_
de mrapp android preference DialogPreference showDialog (DialogPreference java:1001)_x000D_
de mrapp android preference DialogPreference onClick (DialogPreference java:2161)_x000D_
android preference Preference performClick (Preference java:1052)_x000D_
android preference PreferenceScreen onItemClick (PreferenceScreen java:229)_x000D_
android widget AdapterView performItemClick (AdapterView java:308)_x000D_
android widget AbsListView performItemClick (AbsListView java:1510)_x000D_
android widget AbsListView PerformClick run (AbsListView java:3472)_x000D_
android widget AbsListView 3 run (AbsListView java:4835)_x000D_
android os Handler handleCallback (Handler java:733)_x000D_
android os Handler dispatchMessage (Handler java:95)_x000D_
android os Looper loop (Looper java:146)_x000D_
android app ActivityThread main (ActivityThread java:5598)_x000D_
java lang reflect Method invokeNative (Method java)_x000D_
java lang reflect Method invoke (Method java:515)_x000D_
com android internal os ZygoteInit MethodAndArgsCaller run (ZygoteInit java:1283)_x000D_
com android internal os ZygoteInit main (ZygoteInit java:1099)_x000D_
dalvik system NativeStart main (NativeStart java)_x000D_
   _x000D_
_x000D_
Crashlytics captured this issue for a whole bunch of Samsung devices running API levels 17 19  </t>
  </si>
  <si>
    <t>Menighin-ZenSource-8</t>
  </si>
  <si>
    <t>App crashes if fragment is changed before loading</t>
  </si>
  <si>
    <t xml:space="preserve">If the users selects another fragment while the current fragment didn t finish the HTTP Request  the application crashes </t>
  </si>
  <si>
    <t>hold17-cphindustries-44</t>
  </si>
  <si>
    <t>Crashing when going to scene</t>
  </si>
  <si>
    <t xml:space="preserve">Steps to reproduce:_x000D_
_x000D_
  If no scenes has been added yet:  _x000D_
1  Start app_x000D_
2  Go to edit scene_x000D_
3  Go to create scene_x000D_
4  Create a new scene_x000D_
5  Close app_x000D_
_x000D_
  If scenes has been added:  _x000D_
1  Start app_x000D_
2  Go to any scene_x000D_
_x000D_
  To prevent crash:  _x000D_
1  Open app_x000D_
2  Go to edit scenes_x000D_
3  Go back to scene list_x000D_
4  Pick any scene_x000D_
  </t>
  </si>
  <si>
    <t>pinballmap-pbm-android-183</t>
  </si>
  <si>
    <t>Recently Added - crashing if visited before rest of data loads</t>
  </si>
  <si>
    <t xml:space="preserve">From what I can tell: _x000D_
_x000D_
  open app_x000D_
  immediately visit recently added section_x000D_
_x000D_
Result: crash _x000D_
_x000D_
If you wait and load the rest of the data (like if you visit the lookup by location section and wait for the data to load) before visiting recently added  then it doesn t crash  I replicated out a couple times </t>
  </si>
  <si>
    <t>fabian7593-MagicalCamera-36</t>
  </si>
  <si>
    <t>Crashing on takePhoto</t>
  </si>
  <si>
    <t>Device   Xiomi A1_x000D_
OS   8 0 0_x000D_
_x000D_
App is crashing when we take photo and magicalCamera resultPhoto(requestCode  resultCode  data)  is crashing in onActivityResult _x000D_
_x000D_
I have also tested your application on Google Play  that is also crashing _x000D_
_x000D_
Logs:_x000D_
Process: com test imagesearch  PID: 24454_x000D_
                                                   java lang RuntimeException: Failure delivering result ResultInfo who null  request 0  result  1  data null  to activity  com test imagesearch com test imagesearch MainActivity : java lang NullPointerException: Attempt to invoke virtual method  int android graphics Bitmap getWidth()  on a null object reference_x000D_
                                                       at android app ActivityThread deliverResults(ActivityThread java:4348)_x000D_
                                                       at android app ActivityThread handleSendResult(ActivityThread java:4391)_x000D_
                                                       at android app ActivityThread  wrap19(Unknown Source:0)_x000D_
                                                       at android app ActivityThread H handleMessage(ActivityThread java:1661)_x000D_
                                                       at android os Handler dispatchMessage(Handler java:105)_x000D_
                                                       at android os Looper loop(Looper java:172)_x000D_
                                                       at android app ActivityThread main(ActivityThread java:6637)_x000D_
                                                       at java lang reflect Method invoke(Native Method)_x000D_
                                                       at com android internal os Zygote MethodAndArgsCaller run(Zygote java:240)_x000D_
                                                       at com android internal os ZygoteInit main(ZygoteInit java:767)_x000D_
                                                    Caused by: java lang NullPointerException: Attempt to invoke virtual method  int android graphics Bitmap getWidth()  on a null object reference_x000D_
                                                       at com frosquivel magicalcamera Utilities PictureUtils resizePhoto(PictureUtils java:43)_x000D_
                                                       at com frosquivel magicalcamera Functionallities ActionPicture onTakePhotoResult(ActionPicture java:184)_x000D_
                                                       at com frosquivel magicalcamera Functionallities ActionPicture resultPhoto(ActionPicture java:203)_x000D_
                                                       at com frosquivel magicalcamera MagicalCamera resultPhoto(MagicalCamera java:206)_x000D_
                                                       at com test imagesearch MainActivity onActivityResult(MainActivity java:123)_x000D_
                                                       at android app Activity dispatchActivityResult(Activity java:7235)_x000D_
                                                       at android app ActivityThread deliverResults(ActivityThread java:4344)</t>
  </si>
  <si>
    <t>mit-cml-appinventor-sources-1105</t>
  </si>
  <si>
    <t>Non-opaque PrimaryColor or PrimaryColorDark crashes compiled apps</t>
  </si>
  <si>
    <t xml:space="preserve"> From the forum (https:  groups google com d msg mitappinventortest WYkW5JfKAKA ztkWLHu3DwAJ): Setting a primary color that is translucent or transparent causes compiled apps to crash with a logcat error  A TaskDescription s primary color should be opaque  </t>
  </si>
  <si>
    <t>hzi-braunschweig-SORMAS-Project-455</t>
  </si>
  <si>
    <t>SORMAS version 12 crashing in weekly reports form</t>
  </si>
  <si>
    <t xml:space="preserve"> MartinWahnschaffeSymeda _x000D_
SORMAS latest version keeps crashing and restarting to enter pin    Please check_x000D_
_x000D_
_x000D_
Thanks</t>
  </si>
  <si>
    <t>fenimore-DemocracyDroid-43</t>
  </si>
  <si>
    <t>App crashes when video is selected</t>
  </si>
  <si>
    <t xml:space="preserve">Using version 3 6 1 on Nexus 5x s Android 8 1 0 and the app started crashing recently when I attempt to play video from the broadcast tab  If I don t restart the app immediately via  open app again  pop up I hear the first tunes of DN </t>
  </si>
  <si>
    <t>garysheppardjr-geodev-dc-labs-140</t>
  </si>
  <si>
    <t>.NET WPF: Lock focus button causes crash if 3D has never been enabled</t>
  </si>
  <si>
    <t xml:space="preserve">Run the Exercise 2 solution  Without toggling to 3D  click the lock focus button  The program crashes _x000D_
_x000D_
This behavior probably happens in Exercises 3 through 5 as well _x000D_
_x000D_
We need to fix the bug in the solutions and then update the Exercise 2 text </t>
  </si>
  <si>
    <t>MCMrARM-revolution-irc-74</t>
  </si>
  <si>
    <t>Crash on connecting to gitter</t>
  </si>
  <si>
    <t xml:space="preserve">Connecting to the  irc gitter im  server using version 0 3 2 results in crash  Check https:  irc gitter im   for instructions on how to connect  Let me know if more information is needed </t>
  </si>
  <si>
    <t>guardianproject-haven-175</t>
  </si>
  <si>
    <t>orbot stops whenever I try to enable remote access</t>
  </si>
  <si>
    <t xml:space="preserve">Whenever I try to check the  Enable remote access via Tor Onion Service  box  Orbot opens  I get the  An app wants to open hidden server port 8888 to the Tor network  This is safe if you trust the app   message  When I click allow  I get the  Orbot has stopped  system message  Every  Time _x000D_
_x000D_
It doesn t matter if Orbot was running or not before attempting to open the hidden service _x000D_
_x000D_
This is on a Nexus 6 that I got directly from Google  running dead stock Android 7 1 1  Orbot is up to date (15 5 0 RC 1 multi SDK23) and Haven is the latest (29December2017) beta in the Google store  I ve tried uninstalling and re installing Haven and  of course  turnin  it off and back on again  Repeated tries just repeatedly crash Orbot _x000D_
_x000D_
Oddly  nobody else seems to have reported even a vaguely similar problem  yet it renders Haven useless and it s hard to conceive of a more standard Android environment _x000D_
_x000D_
Any ideas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</si>
</sst>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1"/>
      <color theme="1"/>
      <name val="宋体"/>
      <charset val="134"/>
      <scheme val="minor"/>
    </font>
    <font>
      <b/>
      <sz val="11"/>
      <color theme="1"/>
      <name val="宋体"/>
      <charset val="134"/>
      <scheme val="minor"/>
    </font>
    <font>
      <u/>
      <sz val="11"/>
      <color rgb="FF0000FF"/>
      <name val="宋体"/>
      <charset val="134"/>
      <scheme val="minor"/>
    </font>
    <font>
      <u/>
      <sz val="11"/>
      <color rgb="FF800080"/>
      <name val="宋体"/>
      <charset val="134"/>
      <scheme val="minor"/>
    </font>
    <font>
      <sz val="9"/>
      <name val="宋体"/>
      <family val="3"/>
      <charset val="134"/>
      <scheme val="minor"/>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top/>
      <bottom/>
      <diagonal/>
    </border>
  </borders>
  <cellStyleXfs count="2">
    <xf numFmtId="0" fontId="0" fillId="0" borderId="0"/>
    <xf numFmtId="0" fontId="2" fillId="0" borderId="0" applyNumberFormat="0" applyFill="0" applyBorder="0" applyAlignment="0" applyProtection="0">
      <alignment vertical="center"/>
    </xf>
  </cellStyleXfs>
  <cellXfs count="5">
    <xf numFmtId="0" fontId="0" fillId="0" borderId="0" xfId="0"/>
    <xf numFmtId="0" fontId="1" fillId="0" borderId="1" xfId="0" applyFont="1" applyBorder="1" applyAlignment="1">
      <alignment horizontal="center" vertical="top"/>
    </xf>
    <xf numFmtId="0" fontId="1" fillId="0" borderId="2" xfId="0" applyFont="1" applyBorder="1" applyAlignment="1">
      <alignment horizontal="center" vertical="top"/>
    </xf>
    <xf numFmtId="0" fontId="2" fillId="0" borderId="0" xfId="1" applyAlignment="1"/>
    <xf numFmtId="0" fontId="3" fillId="0" borderId="0" xfId="1" applyFont="1" applyAlignment="1"/>
  </cellXfs>
  <cellStyles count="2">
    <cellStyle name="常规" xfId="0" builtinId="0"/>
    <cellStyle name="超链接" xfId="1" builtinId="8"/>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10844"/>
  <sheetViews>
    <sheetView tabSelected="1" workbookViewId="0">
      <pane ySplit="1" topLeftCell="A2" activePane="bottomLeft" state="frozen"/>
      <selection pane="bottomLeft" activeCell="G1" sqref="G1:T1048576"/>
    </sheetView>
  </sheetViews>
  <sheetFormatPr baseColWidth="10" defaultColWidth="8.83203125" defaultRowHeight="14"/>
  <cols>
    <col min="2" max="2" width="56.83203125" customWidth="1"/>
    <col min="3" max="3" width="72.1640625" customWidth="1"/>
    <col min="7" max="7" width="20.33203125" customWidth="1"/>
  </cols>
  <sheetData>
    <row r="1" spans="1:7">
      <c r="A1" s="1" t="s">
        <v>0</v>
      </c>
      <c r="B1" s="1" t="s">
        <v>1</v>
      </c>
      <c r="C1" s="1" t="s">
        <v>2</v>
      </c>
      <c r="D1" s="1" t="s">
        <v>3</v>
      </c>
      <c r="E1" s="1" t="s">
        <v>4</v>
      </c>
      <c r="F1" s="1" t="s">
        <v>5</v>
      </c>
    </row>
    <row r="2" spans="1:7">
      <c r="A2" t="s">
        <v>6</v>
      </c>
      <c r="B2" t="s">
        <v>7</v>
      </c>
      <c r="C2" t="s">
        <v>8</v>
      </c>
      <c r="D2" t="str">
        <f>HYPERLINK("https://github.com/CellularPrivacy/Android-IMSI-Catcher-Detector/issues/252","show")</f>
        <v>show</v>
      </c>
      <c r="E2" t="str">
        <f>HYPERLINK("https://github.com/CellularPrivacy/Android-IMSI-Catcher-Detector","show")</f>
        <v>show</v>
      </c>
      <c r="F2" t="str">
        <f>HYPERLINK("https://github.com/CellularPrivacy/Android-IMSI-Catcher-Detector/releases","show")</f>
        <v>show</v>
      </c>
    </row>
    <row r="3" spans="1:7">
      <c r="A3" t="s">
        <v>9</v>
      </c>
      <c r="B3" t="s">
        <v>10</v>
      </c>
      <c r="C3" t="s">
        <v>11</v>
      </c>
      <c r="D3" t="str">
        <f>HYPERLINK("https://github.com/kontalk/androidclient/issues/251","show")</f>
        <v>show</v>
      </c>
      <c r="E3" t="str">
        <f>HYPERLINK("https://github.com/kontalk/androidclient","show")</f>
        <v>show</v>
      </c>
      <c r="F3" t="str">
        <f>HYPERLINK("https://github.com/kontalk/androidclient/releases","show")</f>
        <v>show</v>
      </c>
      <c r="G3" t="s">
        <v>12</v>
      </c>
    </row>
    <row r="4" spans="1:7">
      <c r="A4" t="s">
        <v>13</v>
      </c>
      <c r="B4" t="s">
        <v>14</v>
      </c>
      <c r="C4" t="s">
        <v>15</v>
      </c>
      <c r="D4" t="str">
        <f>HYPERLINK("https://github.com/jclehner/AppOpsXposed/issues/8","show")</f>
        <v>show</v>
      </c>
      <c r="E4" t="str">
        <f>HYPERLINK("https://github.com/jclehner/AppOpsXposed","show")</f>
        <v>show</v>
      </c>
      <c r="F4" t="str">
        <f>HYPERLINK("https://github.com/jclehner/AppOpsXposed/releases","show")</f>
        <v>show</v>
      </c>
      <c r="G4" t="s">
        <v>16</v>
      </c>
    </row>
    <row r="5" spans="1:7">
      <c r="A5" t="s">
        <v>17</v>
      </c>
      <c r="B5" t="s">
        <v>18</v>
      </c>
      <c r="C5" t="s">
        <v>19</v>
      </c>
      <c r="D5" t="str">
        <f>HYPERLINK("https://github.com/nostra13/Android-Universal-Image-Loader/issues/871","show")</f>
        <v>show</v>
      </c>
      <c r="E5" t="str">
        <f>HYPERLINK("https://github.com/nostra13/Android-Universal-Image-Loader","show")</f>
        <v>show</v>
      </c>
      <c r="F5" t="str">
        <f>HYPERLINK("https://github.com/nostra13/Android-Universal-Image-Loader/releases","show")</f>
        <v>show</v>
      </c>
      <c r="G5" t="s">
        <v>20</v>
      </c>
    </row>
    <row r="6" spans="1:7">
      <c r="A6" t="s">
        <v>21</v>
      </c>
      <c r="B6" t="s">
        <v>22</v>
      </c>
      <c r="C6" t="s">
        <v>23</v>
      </c>
      <c r="D6" t="str">
        <f>HYPERLINK("https://github.com/cc-archive/list/issues/94","show")</f>
        <v>show</v>
      </c>
      <c r="E6" t="str">
        <f>HYPERLINK("https://github.com/cc-archive/list","show")</f>
        <v>show</v>
      </c>
      <c r="F6" t="str">
        <f>HYPERLINK("https://github.com/cc-archive/list/releases","show")</f>
        <v>show</v>
      </c>
      <c r="G6" t="s">
        <v>24</v>
      </c>
    </row>
    <row r="7" spans="1:7">
      <c r="A7" t="s">
        <v>25</v>
      </c>
      <c r="B7" t="s">
        <v>26</v>
      </c>
      <c r="C7" t="s">
        <v>27</v>
      </c>
      <c r="D7" t="str">
        <f>HYPERLINK("https://github.com/dsoulayrol/android-sholi/issues/18","show")</f>
        <v>show</v>
      </c>
      <c r="E7" t="str">
        <f>HYPERLINK("https://github.com/dsoulayrol/android-sholi","show")</f>
        <v>show</v>
      </c>
      <c r="F7" t="str">
        <f>HYPERLINK("https://github.com/dsoulayrol/android-sholi/releases","show")</f>
        <v>show</v>
      </c>
      <c r="G7" t="s">
        <v>28</v>
      </c>
    </row>
    <row r="8" spans="1:7">
      <c r="A8" t="s">
        <v>29</v>
      </c>
      <c r="B8" t="s">
        <v>30</v>
      </c>
      <c r="C8" t="s">
        <v>31</v>
      </c>
      <c r="D8" t="str">
        <f>HYPERLINK("https://github.com/Ecchilon/SadPanda/issues/22","show")</f>
        <v>show</v>
      </c>
      <c r="E8" t="str">
        <f>HYPERLINK("https://github.com/Ecchilon/SadPanda","show")</f>
        <v>show</v>
      </c>
      <c r="F8" t="str">
        <f>HYPERLINK("https://github.com/Ecchilon/SadPanda/releases","show")</f>
        <v>show</v>
      </c>
      <c r="G8" t="s">
        <v>32</v>
      </c>
    </row>
    <row r="9" spans="1:7">
      <c r="A9" t="s">
        <v>33</v>
      </c>
      <c r="B9" t="s">
        <v>34</v>
      </c>
      <c r="C9" t="s">
        <v>35</v>
      </c>
      <c r="D9" t="str">
        <f>HYPERLINK("https://github.com/AnaelMobilia/NextINpact-Unofficial/issues/114","show")</f>
        <v>show</v>
      </c>
      <c r="E9" t="str">
        <f>HYPERLINK("https://github.com/AnaelMobilia/NextINpact-Unofficial","show")</f>
        <v>show</v>
      </c>
      <c r="F9" t="str">
        <f>HYPERLINK("https://github.com/AnaelMobilia/NextINpact-Unofficial/releases","show")</f>
        <v>show</v>
      </c>
      <c r="G9" t="s">
        <v>36</v>
      </c>
    </row>
    <row r="10" spans="1:7">
      <c r="A10" t="s">
        <v>37</v>
      </c>
      <c r="B10" t="s">
        <v>38</v>
      </c>
      <c r="C10" t="s">
        <v>39</v>
      </c>
      <c r="D10" t="str">
        <f>HYPERLINK("https://github.com/geopaparazzi/geopaparazzi/issues/219","show")</f>
        <v>show</v>
      </c>
      <c r="E10" t="str">
        <f>HYPERLINK("https://github.com/geopaparazzi/geopaparazzi","show")</f>
        <v>show</v>
      </c>
      <c r="F10" t="str">
        <f>HYPERLINK("https://github.com/geopaparazzi/geopaparazzi/releases","show")</f>
        <v>show</v>
      </c>
    </row>
    <row r="11" spans="1:7">
      <c r="A11" t="s">
        <v>40</v>
      </c>
      <c r="B11" t="s">
        <v>41</v>
      </c>
      <c r="C11" t="s">
        <v>42</v>
      </c>
      <c r="D11" t="str">
        <f>HYPERLINK("https://github.com/CellularPrivacy/Android-IMSI-Catcher-Detector/issues/272","show")</f>
        <v>show</v>
      </c>
      <c r="E11" t="str">
        <f>HYPERLINK("https://github.com/CellularPrivacy/Android-IMSI-Catcher-Detector","show")</f>
        <v>show</v>
      </c>
      <c r="F11" t="str">
        <f>HYPERLINK("https://github.com/CellularPrivacy/Android-IMSI-Catcher-Detector/releases","show")</f>
        <v>show</v>
      </c>
    </row>
    <row r="12" spans="1:7">
      <c r="A12" t="s">
        <v>43</v>
      </c>
      <c r="B12" t="s">
        <v>44</v>
      </c>
      <c r="C12" t="s">
        <v>45</v>
      </c>
      <c r="D12" t="str">
        <f>HYPERLINK("https://github.com/Natio/Places/issues/8","show")</f>
        <v>show</v>
      </c>
      <c r="E12" t="str">
        <f>HYPERLINK("https://github.com/Natio/Places","show")</f>
        <v>show</v>
      </c>
      <c r="F12" t="str">
        <f>HYPERLINK("https://github.com/Natio/Places/releases","show")</f>
        <v>show</v>
      </c>
    </row>
    <row r="13" spans="1:7">
      <c r="A13" t="s">
        <v>46</v>
      </c>
      <c r="B13" t="s">
        <v>47</v>
      </c>
      <c r="C13" t="s">
        <v>48</v>
      </c>
      <c r="D13" t="str">
        <f>HYPERLINK("https://github.com/zendesk/android-floating-action-button/issues/99","show")</f>
        <v>show</v>
      </c>
      <c r="E13" t="str">
        <f>HYPERLINK("https://github.com/zendesk/android-floating-action-button","show")</f>
        <v>show</v>
      </c>
      <c r="F13" t="str">
        <f>HYPERLINK("https://github.com/zendesk/android-floating-action-button/releases","show")</f>
        <v>show</v>
      </c>
    </row>
    <row r="14" spans="1:7">
      <c r="A14" t="s">
        <v>49</v>
      </c>
      <c r="B14" t="s">
        <v>50</v>
      </c>
      <c r="C14" t="s">
        <v>51</v>
      </c>
      <c r="D14" t="str">
        <f>HYPERLINK("https://github.com/google/ExoPlayer/issues/232","show")</f>
        <v>show</v>
      </c>
      <c r="E14" t="str">
        <f>HYPERLINK("https://github.com/google/ExoPlayer","show")</f>
        <v>show</v>
      </c>
      <c r="F14" t="str">
        <f>HYPERLINK("https://github.com/google/ExoPlayer/releases","show")</f>
        <v>show</v>
      </c>
    </row>
    <row r="15" spans="1:7">
      <c r="A15" t="s">
        <v>52</v>
      </c>
      <c r="B15" t="s">
        <v>53</v>
      </c>
      <c r="C15" t="s">
        <v>54</v>
      </c>
      <c r="D15" t="str">
        <f>HYPERLINK("https://github.com/khalid-hussain/HisnulMuslim/issues/9","show")</f>
        <v>show</v>
      </c>
      <c r="E15" t="str">
        <f>HYPERLINK("https://github.com/khalid-hussain/HisnulMuslim","show")</f>
        <v>show</v>
      </c>
      <c r="F15" t="str">
        <f>HYPERLINK("https://github.com/khalid-hussain/HisnulMuslim/releases","show")</f>
        <v>show</v>
      </c>
    </row>
    <row r="16" spans="1:7">
      <c r="A16" t="s">
        <v>55</v>
      </c>
      <c r="B16" t="s">
        <v>56</v>
      </c>
      <c r="C16" t="s">
        <v>57</v>
      </c>
      <c r="D16" t="str">
        <f>HYPERLINK("https://github.com/PanicInitiative/PanicButton/issues/57","show")</f>
        <v>show</v>
      </c>
      <c r="E16" t="str">
        <f>HYPERLINK("https://github.com/PanicInitiative/PanicButton","show")</f>
        <v>show</v>
      </c>
      <c r="F16" t="str">
        <f>HYPERLINK("https://github.com/PanicInitiative/PanicButton/releases","show")</f>
        <v>show</v>
      </c>
    </row>
    <row r="17" spans="1:6">
      <c r="A17" t="s">
        <v>58</v>
      </c>
      <c r="B17" t="s">
        <v>59</v>
      </c>
      <c r="C17" t="s">
        <v>60</v>
      </c>
      <c r="D17" t="str">
        <f>HYPERLINK("https://github.com/forcedotcom/SalesforceMobileSDK-CordovaPlugin/issues/41","show")</f>
        <v>show</v>
      </c>
      <c r="E17" t="str">
        <f>HYPERLINK("https://github.com/forcedotcom/SalesforceMobileSDK-CordovaPlugin","show")</f>
        <v>show</v>
      </c>
      <c r="F17" t="str">
        <f>HYPERLINK("https://github.com/forcedotcom/SalesforceMobileSDK-CordovaPlugin/releases","show")</f>
        <v>show</v>
      </c>
    </row>
    <row r="18" spans="1:6">
      <c r="A18" t="s">
        <v>61</v>
      </c>
      <c r="B18" t="s">
        <v>62</v>
      </c>
      <c r="C18" t="s">
        <v>63</v>
      </c>
      <c r="D18" t="str">
        <f>HYPERLINK("https://github.com/bumptech/glide/issues/303","show")</f>
        <v>show</v>
      </c>
      <c r="E18" t="str">
        <f>HYPERLINK("https://github.com/bumptech/glide","show")</f>
        <v>show</v>
      </c>
      <c r="F18" t="str">
        <f>HYPERLINK("https://github.com/bumptech/glide/releases","show")</f>
        <v>show</v>
      </c>
    </row>
    <row r="19" spans="1:6">
      <c r="A19" t="s">
        <v>64</v>
      </c>
      <c r="B19" t="s">
        <v>65</v>
      </c>
      <c r="C19" t="s">
        <v>66</v>
      </c>
      <c r="D19" t="str">
        <f>HYPERLINK("https://github.com/kontalk/androidclient/issues/263","show")</f>
        <v>show</v>
      </c>
      <c r="E19" t="str">
        <f>HYPERLINK("https://github.com/kontalk/androidclient","show")</f>
        <v>show</v>
      </c>
      <c r="F19" t="str">
        <f>HYPERLINK("https://github.com/kontalk/androidclient/releases","show")</f>
        <v>show</v>
      </c>
    </row>
    <row r="20" spans="1:6">
      <c r="A20" t="s">
        <v>67</v>
      </c>
      <c r="B20" t="s">
        <v>68</v>
      </c>
      <c r="C20" t="s">
        <v>69</v>
      </c>
      <c r="D20" t="str">
        <f>HYPERLINK("https://github.com/cgeo/cgeo/issues/4611","show")</f>
        <v>show</v>
      </c>
      <c r="E20" t="str">
        <f>HYPERLINK("https://github.com/cgeo/cgeo","show")</f>
        <v>show</v>
      </c>
      <c r="F20" t="str">
        <f>HYPERLINK("https://github.com/cgeo/cgeo/releases","show")</f>
        <v>show</v>
      </c>
    </row>
    <row r="21" spans="1:6">
      <c r="A21" t="s">
        <v>70</v>
      </c>
      <c r="B21" t="s">
        <v>71</v>
      </c>
      <c r="C21" t="s">
        <v>72</v>
      </c>
      <c r="D21" t="str">
        <f>HYPERLINK("https://github.com/fixme-lausanne/MyHackerspace/issues/30","show")</f>
        <v>show</v>
      </c>
      <c r="E21" t="str">
        <f>HYPERLINK("https://github.com/fixme-lausanne/MyHackerspace","show")</f>
        <v>show</v>
      </c>
      <c r="F21" t="str">
        <f>HYPERLINK("https://github.com/fixme-lausanne/MyHackerspace/releases","show")</f>
        <v>show</v>
      </c>
    </row>
    <row r="22" spans="1:6">
      <c r="A22" t="s">
        <v>73</v>
      </c>
      <c r="B22" t="s">
        <v>74</v>
      </c>
      <c r="C22" t="s">
        <v>75</v>
      </c>
      <c r="D22" t="str">
        <f>HYPERLINK("https://github.com/mozilla/MozStumbler/issues/1396","show")</f>
        <v>show</v>
      </c>
      <c r="E22" t="str">
        <f>HYPERLINK("https://github.com/mozilla/MozStumbler","show")</f>
        <v>show</v>
      </c>
      <c r="F22" t="str">
        <f>HYPERLINK("https://github.com/mozilla/MozStumbler/releases","show")</f>
        <v>show</v>
      </c>
    </row>
    <row r="23" spans="1:6">
      <c r="A23" t="s">
        <v>76</v>
      </c>
      <c r="B23" t="s">
        <v>77</v>
      </c>
      <c r="C23" t="s">
        <v>78</v>
      </c>
      <c r="D23" t="str">
        <f>HYPERLINK("https://github.com/eugenkiss/chanobol/issues/44","show")</f>
        <v>show</v>
      </c>
      <c r="E23" t="str">
        <f>HYPERLINK("https://github.com/eugenkiss/chanobol","show")</f>
        <v>show</v>
      </c>
      <c r="F23" t="str">
        <f>HYPERLINK("https://github.com/eugenkiss/chanobol/releases","show")</f>
        <v>show</v>
      </c>
    </row>
    <row r="24" spans="1:6">
      <c r="A24" t="s">
        <v>79</v>
      </c>
      <c r="B24" t="s">
        <v>80</v>
      </c>
      <c r="C24" t="s">
        <v>81</v>
      </c>
      <c r="D24" t="str">
        <f>HYPERLINK("https://github.com/saintlab/mobileapp_android/issues/253","show")</f>
        <v>show</v>
      </c>
      <c r="E24" t="str">
        <f>HYPERLINK("https://github.com/saintlab/mobileapp_android","show")</f>
        <v>show</v>
      </c>
      <c r="F24" t="str">
        <f>HYPERLINK("https://github.com/saintlab/mobileapp_android/releases","show")</f>
        <v>show</v>
      </c>
    </row>
    <row r="25" spans="1:6">
      <c r="A25" t="s">
        <v>82</v>
      </c>
      <c r="B25" t="s">
        <v>83</v>
      </c>
      <c r="C25" t="s">
        <v>84</v>
      </c>
      <c r="D25" t="str">
        <f>HYPERLINK("https://github.com/akvo/akvo-flow-mobile/issues/243","show")</f>
        <v>show</v>
      </c>
      <c r="E25" t="str">
        <f>HYPERLINK("https://github.com/akvo/akvo-flow-mobile","show")</f>
        <v>show</v>
      </c>
      <c r="F25" t="str">
        <f>HYPERLINK("https://github.com/akvo/akvo-flow-mobile/releases","show")</f>
        <v>show</v>
      </c>
    </row>
    <row r="26" spans="1:6">
      <c r="A26" t="s">
        <v>85</v>
      </c>
      <c r="B26" t="s">
        <v>86</v>
      </c>
      <c r="C26" t="s">
        <v>87</v>
      </c>
      <c r="D26" t="str">
        <f>HYPERLINK("https://github.com/NCU-CC/NCU-MAP/issues/1","show")</f>
        <v>show</v>
      </c>
      <c r="E26" t="str">
        <f>HYPERLINK("https://github.com/NCU-CC/NCU-MAP","show")</f>
        <v>show</v>
      </c>
      <c r="F26" t="str">
        <f>HYPERLINK("https://github.com/NCU-CC/NCU-MAP/releases","show")</f>
        <v>show</v>
      </c>
    </row>
    <row r="27" spans="1:6">
      <c r="A27" t="s">
        <v>88</v>
      </c>
      <c r="B27" t="s">
        <v>89</v>
      </c>
      <c r="C27" t="s">
        <v>90</v>
      </c>
      <c r="D27" t="str">
        <f>HYPERLINK("https://github.com/kontalk/androidclient/issues/272","show")</f>
        <v>show</v>
      </c>
      <c r="E27" t="str">
        <f>HYPERLINK("https://github.com/kontalk/androidclient","show")</f>
        <v>show</v>
      </c>
      <c r="F27" t="str">
        <f>HYPERLINK("https://github.com/kontalk/androidclient/releases","show")</f>
        <v>show</v>
      </c>
    </row>
    <row r="28" spans="1:6">
      <c r="A28" t="s">
        <v>91</v>
      </c>
      <c r="B28" t="s">
        <v>92</v>
      </c>
      <c r="C28" t="s">
        <v>93</v>
      </c>
      <c r="D28" t="str">
        <f>HYPERLINK("https://github.com/blinskey/greek-reference/issues/115","show")</f>
        <v>show</v>
      </c>
      <c r="E28" t="str">
        <f>HYPERLINK("https://github.com/blinskey/greek-reference","show")</f>
        <v>show</v>
      </c>
      <c r="F28" t="str">
        <f>HYPERLINK("https://github.com/blinskey/greek-reference/releases","show")</f>
        <v>show</v>
      </c>
    </row>
    <row r="29" spans="1:6">
      <c r="A29" t="s">
        <v>94</v>
      </c>
      <c r="B29" t="s">
        <v>95</v>
      </c>
      <c r="C29" t="s">
        <v>96</v>
      </c>
      <c r="D29" t="str">
        <f>HYPERLINK("https://github.com/eugenkiss/chanobol/issues/56","show")</f>
        <v>show</v>
      </c>
      <c r="E29" t="str">
        <f>HYPERLINK("https://github.com/eugenkiss/chanobol","show")</f>
        <v>show</v>
      </c>
      <c r="F29" t="str">
        <f>HYPERLINK("https://github.com/eugenkiss/chanobol/releases","show")</f>
        <v>show</v>
      </c>
    </row>
    <row r="30" spans="1:6">
      <c r="A30" t="s">
        <v>97</v>
      </c>
      <c r="B30" t="s">
        <v>98</v>
      </c>
      <c r="C30" t="s">
        <v>99</v>
      </c>
      <c r="D30" t="str">
        <f>HYPERLINK("https://github.com/kprikshit/android-sensor-data-recorder/issues/2","show")</f>
        <v>show</v>
      </c>
      <c r="E30" t="str">
        <f>HYPERLINK("https://github.com/kprikshit/android-sensor-data-recorder","show")</f>
        <v>show</v>
      </c>
      <c r="F30" t="str">
        <f>HYPERLINK("https://github.com/kprikshit/android-sensor-data-recorder/releases","show")</f>
        <v>show</v>
      </c>
    </row>
    <row r="31" spans="1:6">
      <c r="A31" t="s">
        <v>100</v>
      </c>
      <c r="B31" t="s">
        <v>101</v>
      </c>
      <c r="C31" t="s">
        <v>102</v>
      </c>
      <c r="D31" t="str">
        <f>HYPERLINK("https://github.com/eugenkiss/chanobol/issues/55","show")</f>
        <v>show</v>
      </c>
      <c r="E31" t="str">
        <f>HYPERLINK("https://github.com/eugenkiss/chanobol","show")</f>
        <v>show</v>
      </c>
      <c r="F31" t="str">
        <f>HYPERLINK("https://github.com/eugenkiss/chanobol/releases","show")</f>
        <v>show</v>
      </c>
    </row>
    <row r="32" spans="1:6">
      <c r="A32" t="s">
        <v>103</v>
      </c>
      <c r="B32" t="s">
        <v>104</v>
      </c>
      <c r="C32" t="s">
        <v>105</v>
      </c>
      <c r="D32" t="str">
        <f>HYPERLINK("https://github.com/raphw/byte-buddy/issues/16","show")</f>
        <v>show</v>
      </c>
      <c r="E32" t="str">
        <f>HYPERLINK("https://github.com/raphw/byte-buddy","show")</f>
        <v>show</v>
      </c>
      <c r="F32" t="str">
        <f>HYPERLINK("https://github.com/raphw/byte-buddy/releases","show")</f>
        <v>show</v>
      </c>
    </row>
    <row r="33" spans="1:12">
      <c r="A33" t="s">
        <v>106</v>
      </c>
      <c r="B33" t="s">
        <v>107</v>
      </c>
      <c r="C33" t="s">
        <v>108</v>
      </c>
      <c r="D33" t="str">
        <f>HYPERLINK("https://github.com/M66B/XPrivacy/issues/2120","show")</f>
        <v>show</v>
      </c>
      <c r="E33" t="str">
        <f>HYPERLINK("https://github.com/M66B/XPrivacy","show")</f>
        <v>show</v>
      </c>
      <c r="F33" t="str">
        <f>HYPERLINK("https://github.com/M66B/XPrivacy/releases","show")</f>
        <v>show</v>
      </c>
    </row>
    <row r="34" spans="1:12">
      <c r="A34" t="s">
        <v>109</v>
      </c>
      <c r="B34" t="s">
        <v>110</v>
      </c>
      <c r="C34" t="s">
        <v>111</v>
      </c>
      <c r="D34" t="str">
        <f>HYPERLINK("https://github.com/lwis/miband-notifier/issues/3","show")</f>
        <v>show</v>
      </c>
      <c r="E34" t="str">
        <f>HYPERLINK("https://github.com/lwis/miband-notifier","show")</f>
        <v>show</v>
      </c>
      <c r="F34" t="str">
        <f>HYPERLINK("https://github.com/lwis/miband-notifier/releases","show")</f>
        <v>show</v>
      </c>
    </row>
    <row r="35" spans="1:12">
      <c r="A35" t="s">
        <v>112</v>
      </c>
      <c r="B35" t="s">
        <v>113</v>
      </c>
      <c r="C35" t="s">
        <v>114</v>
      </c>
      <c r="D35" t="str">
        <f>HYPERLINK("https://github.com/google/ExoPlayer/issues/244","show")</f>
        <v>show</v>
      </c>
      <c r="E35" t="str">
        <f>HYPERLINK("https://github.com/google/ExoPlayer","show")</f>
        <v>show</v>
      </c>
      <c r="F35" t="str">
        <f>HYPERLINK("https://github.com/google/ExoPlayer/releases","show")</f>
        <v>show</v>
      </c>
    </row>
    <row r="36" spans="1:12">
      <c r="A36" t="s">
        <v>115</v>
      </c>
      <c r="B36" t="s">
        <v>116</v>
      </c>
      <c r="C36" t="s">
        <v>117</v>
      </c>
      <c r="D36" t="str">
        <f>HYPERLINK("https://github.com/bitcraze/crazyflie-android-client/issues/46","show")</f>
        <v>show</v>
      </c>
      <c r="E36" t="str">
        <f>HYPERLINK("https://github.com/bitcraze/crazyflie-android-client","show")</f>
        <v>show</v>
      </c>
      <c r="F36" t="str">
        <f>HYPERLINK("https://github.com/bitcraze/crazyflie-android-client/releases","show")</f>
        <v>show</v>
      </c>
    </row>
    <row r="37" spans="1:12">
      <c r="A37" t="s">
        <v>118</v>
      </c>
      <c r="B37" t="s">
        <v>119</v>
      </c>
      <c r="C37" t="s">
        <v>120</v>
      </c>
      <c r="D37" t="str">
        <f>HYPERLINK("https://github.com/unfoldingWord-dev/uw-android/issues/36","show")</f>
        <v>show</v>
      </c>
      <c r="E37" t="str">
        <f>HYPERLINK("https://github.com/unfoldingWord-dev/uw-android","show")</f>
        <v>show</v>
      </c>
      <c r="F37" t="str">
        <f>HYPERLINK("https://github.com/unfoldingWord-dev/uw-android/releases","show")</f>
        <v>show</v>
      </c>
    </row>
    <row r="38" spans="1:12">
      <c r="A38" t="s">
        <v>121</v>
      </c>
      <c r="B38" t="s">
        <v>122</v>
      </c>
      <c r="C38" t="s">
        <v>123</v>
      </c>
      <c r="D38" t="str">
        <f>HYPERLINK("https://github.com/johnzweng/bankomatinfos/issues/10","show")</f>
        <v>show</v>
      </c>
      <c r="E38" t="str">
        <f>HYPERLINK("https://github.com/johnzweng/bankomatinfos","show")</f>
        <v>show</v>
      </c>
      <c r="F38" t="str">
        <f>HYPERLINK("https://github.com/johnzweng/bankomatinfos/releases","show")</f>
        <v>show</v>
      </c>
    </row>
    <row r="39" spans="1:12">
      <c r="A39" t="s">
        <v>124</v>
      </c>
      <c r="B39" t="s">
        <v>125</v>
      </c>
      <c r="C39" t="s">
        <v>126</v>
      </c>
      <c r="D39" t="str">
        <f>HYPERLINK("https://github.com/SCCapstone/IArch/issues/28","show")</f>
        <v>show</v>
      </c>
      <c r="E39" t="str">
        <f>HYPERLINK("https://github.com/SCCapstone/IArch","show")</f>
        <v>show</v>
      </c>
      <c r="F39" t="str">
        <f>HYPERLINK("https://github.com/SCCapstone/IArch/releases","show")</f>
        <v>show</v>
      </c>
    </row>
    <row r="40" spans="1:12">
      <c r="A40" t="s">
        <v>127</v>
      </c>
      <c r="B40" t="s">
        <v>128</v>
      </c>
      <c r="C40" t="s">
        <v>129</v>
      </c>
      <c r="D40" t="str">
        <f>HYPERLINK("https://github.com/SCCapstone/IArch/issues/27","show")</f>
        <v>show</v>
      </c>
      <c r="E40" t="str">
        <f>HYPERLINK("https://github.com/SCCapstone/IArch","show")</f>
        <v>show</v>
      </c>
      <c r="F40" t="str">
        <f>HYPERLINK("https://github.com/SCCapstone/IArch/releases","show")</f>
        <v>show</v>
      </c>
    </row>
    <row r="41" spans="1:12">
      <c r="A41" t="s">
        <v>130</v>
      </c>
      <c r="B41" t="s">
        <v>131</v>
      </c>
      <c r="C41" t="s">
        <v>132</v>
      </c>
      <c r="D41" t="str">
        <f>HYPERLINK("https://github.com/SufficientlySecure/document-viewer/issues/62","show")</f>
        <v>show</v>
      </c>
      <c r="E41" t="str">
        <f>HYPERLINK("https://github.com/SufficientlySecure/document-viewer","show")</f>
        <v>show</v>
      </c>
      <c r="F41" t="str">
        <f>HYPERLINK("https://github.com/SufficientlySecure/document-viewer/releases","show")</f>
        <v>show</v>
      </c>
      <c r="L41" s="2"/>
    </row>
    <row r="42" spans="1:12">
      <c r="A42" t="s">
        <v>133</v>
      </c>
      <c r="B42" t="s">
        <v>134</v>
      </c>
      <c r="C42" t="s">
        <v>135</v>
      </c>
      <c r="D42" t="str">
        <f>HYPERLINK("https://github.com/yahel/rangzen/issues/14","show")</f>
        <v>show</v>
      </c>
      <c r="E42" t="str">
        <f>HYPERLINK("https://github.com/yahel/rangzen","show")</f>
        <v>show</v>
      </c>
      <c r="F42" t="str">
        <f>HYPERLINK("https://github.com/yahel/rangzen/releases","show")</f>
        <v>show</v>
      </c>
      <c r="L42" s="2"/>
    </row>
    <row r="43" spans="1:12">
      <c r="A43" t="s">
        <v>136</v>
      </c>
      <c r="B43" t="s">
        <v>137</v>
      </c>
      <c r="C43" t="s">
        <v>138</v>
      </c>
      <c r="D43" t="str">
        <f>HYPERLINK("https://github.com/eugenkiss/chanobol/issues/75","show")</f>
        <v>show</v>
      </c>
      <c r="E43" t="str">
        <f>HYPERLINK("https://github.com/eugenkiss/chanobol","show")</f>
        <v>show</v>
      </c>
      <c r="F43" t="str">
        <f>HYPERLINK("https://github.com/eugenkiss/chanobol/releases","show")</f>
        <v>show</v>
      </c>
      <c r="L43" s="2"/>
    </row>
    <row r="44" spans="1:12">
      <c r="A44" t="s">
        <v>139</v>
      </c>
      <c r="B44" t="s">
        <v>140</v>
      </c>
      <c r="C44" t="s">
        <v>141</v>
      </c>
      <c r="D44" t="str">
        <f>HYPERLINK("https://github.com/AnaelMobilia/NextINpact-Unofficial/issues/121","show")</f>
        <v>show</v>
      </c>
      <c r="E44" t="str">
        <f>HYPERLINK("https://github.com/AnaelMobilia/NextINpact-Unofficial","show")</f>
        <v>show</v>
      </c>
      <c r="F44" t="str">
        <f>HYPERLINK("https://github.com/AnaelMobilia/NextINpact-Unofficial/releases","show")</f>
        <v>show</v>
      </c>
      <c r="L44" s="2"/>
    </row>
    <row r="45" spans="1:12">
      <c r="A45" t="s">
        <v>142</v>
      </c>
      <c r="B45" t="s">
        <v>143</v>
      </c>
      <c r="C45" t="s">
        <v>144</v>
      </c>
      <c r="D45" t="str">
        <f>HYPERLINK("https://github.com/yahel/rangzen/issues/12","show")</f>
        <v>show</v>
      </c>
      <c r="E45" t="str">
        <f>HYPERLINK("https://github.com/yahel/rangzen","show")</f>
        <v>show</v>
      </c>
      <c r="F45" t="str">
        <f>HYPERLINK("https://github.com/yahel/rangzen/releases","show")</f>
        <v>show</v>
      </c>
      <c r="L45" s="2"/>
    </row>
    <row r="46" spans="1:12">
      <c r="A46" t="s">
        <v>145</v>
      </c>
      <c r="B46" t="s">
        <v>146</v>
      </c>
      <c r="C46" t="s">
        <v>147</v>
      </c>
      <c r="D46" t="str">
        <f>HYPERLINK("https://github.com/inaturalist/iNaturalistAndroid/issues/34","show")</f>
        <v>show</v>
      </c>
      <c r="E46" t="str">
        <f>HYPERLINK("https://github.com/inaturalist/iNaturalistAndroid","show")</f>
        <v>show</v>
      </c>
      <c r="F46" t="str">
        <f>HYPERLINK("https://github.com/inaturalist/iNaturalistAndroid/releases","show")</f>
        <v>show</v>
      </c>
      <c r="L46" s="2"/>
    </row>
    <row r="47" spans="1:12">
      <c r="A47" t="s">
        <v>148</v>
      </c>
      <c r="B47" t="s">
        <v>149</v>
      </c>
      <c r="C47" t="s">
        <v>150</v>
      </c>
      <c r="D47" t="str">
        <f>HYPERLINK("https://github.com/AnaelMobilia/NextINpact-Unofficial/issues/124","show")</f>
        <v>show</v>
      </c>
      <c r="E47" t="str">
        <f>HYPERLINK("https://github.com/AnaelMobilia/NextINpact-Unofficial","show")</f>
        <v>show</v>
      </c>
      <c r="F47" t="str">
        <f>HYPERLINK("https://github.com/AnaelMobilia/NextINpact-Unofficial/releases","show")</f>
        <v>show</v>
      </c>
      <c r="L47" s="2"/>
    </row>
    <row r="48" spans="1:12">
      <c r="A48" t="s">
        <v>151</v>
      </c>
      <c r="B48" t="s">
        <v>152</v>
      </c>
      <c r="C48" t="s">
        <v>153</v>
      </c>
      <c r="D48" t="str">
        <f>HYPERLINK("https://github.com/eugenkiss/chanobol/issues/78","show")</f>
        <v>show</v>
      </c>
      <c r="E48" t="str">
        <f>HYPERLINK("https://github.com/eugenkiss/chanobol","show")</f>
        <v>show</v>
      </c>
      <c r="F48" t="str">
        <f>HYPERLINK("https://github.com/eugenkiss/chanobol/releases","show")</f>
        <v>show</v>
      </c>
    </row>
    <row r="49" spans="1:6">
      <c r="A49" t="s">
        <v>154</v>
      </c>
      <c r="B49" t="s">
        <v>155</v>
      </c>
      <c r="C49" t="s">
        <v>156</v>
      </c>
      <c r="D49" t="str">
        <f>HYPERLINK("https://github.com/eugenkiss/chanobol/issues/77","show")</f>
        <v>show</v>
      </c>
      <c r="E49" t="str">
        <f>HYPERLINK("https://github.com/eugenkiss/chanobol","show")</f>
        <v>show</v>
      </c>
      <c r="F49" t="str">
        <f>HYPERLINK("https://github.com/eugenkiss/chanobol/releases","show")</f>
        <v>show</v>
      </c>
    </row>
    <row r="50" spans="1:6">
      <c r="A50" t="s">
        <v>157</v>
      </c>
      <c r="B50" t="s">
        <v>158</v>
      </c>
      <c r="C50" t="s">
        <v>159</v>
      </c>
      <c r="D50" t="str">
        <f>HYPERLINK("https://github.com/geftimov/android-pathview/issues/3","show")</f>
        <v>show</v>
      </c>
      <c r="E50" t="str">
        <f>HYPERLINK("https://github.com/geftimov/android-pathview","show")</f>
        <v>show</v>
      </c>
      <c r="F50" t="str">
        <f>HYPERLINK("https://github.com/geftimov/android-pathview/releases","show")</f>
        <v>show</v>
      </c>
    </row>
    <row r="51" spans="1:6">
      <c r="A51" t="s">
        <v>160</v>
      </c>
      <c r="B51" t="s">
        <v>161</v>
      </c>
      <c r="C51" t="s">
        <v>162</v>
      </c>
      <c r="D51" t="str">
        <f>HYPERLINK("https://github.com/CellularPrivacy/Android-IMSI-Catcher-Detector/issues/299","show")</f>
        <v>show</v>
      </c>
      <c r="E51" t="str">
        <f>HYPERLINK("https://github.com/CellularPrivacy/Android-IMSI-Catcher-Detector","show")</f>
        <v>show</v>
      </c>
      <c r="F51" t="str">
        <f>HYPERLINK("https://github.com/CellularPrivacy/Android-IMSI-Catcher-Detector/releases","show")</f>
        <v>show</v>
      </c>
    </row>
    <row r="52" spans="1:6">
      <c r="A52" t="s">
        <v>163</v>
      </c>
      <c r="B52" t="s">
        <v>164</v>
      </c>
      <c r="C52" t="s">
        <v>165</v>
      </c>
      <c r="D52" t="str">
        <f>HYPERLINK("https://github.com/cgeo/cgeo/issues/4634","show")</f>
        <v>show</v>
      </c>
      <c r="E52" t="str">
        <f>HYPERLINK("https://github.com/cgeo/cgeo","show")</f>
        <v>show</v>
      </c>
      <c r="F52" t="str">
        <f>HYPERLINK("https://github.com/cgeo/cgeo/releases","show")</f>
        <v>show</v>
      </c>
    </row>
    <row r="53" spans="1:6">
      <c r="A53" t="s">
        <v>166</v>
      </c>
      <c r="B53" t="s">
        <v>167</v>
      </c>
      <c r="C53" t="s">
        <v>168</v>
      </c>
      <c r="D53" t="str">
        <f>HYPERLINK("https://github.com/thecosmicfrog/LuasataGlance/issues/6","show")</f>
        <v>show</v>
      </c>
      <c r="E53" t="str">
        <f>HYPERLINK("https://github.com/thecosmicfrog/LuasataGlance","show")</f>
        <v>show</v>
      </c>
      <c r="F53" t="str">
        <f>HYPERLINK("https://github.com/thecosmicfrog/LuasataGlance/releases","show")</f>
        <v>show</v>
      </c>
    </row>
    <row r="54" spans="1:6">
      <c r="A54" t="s">
        <v>169</v>
      </c>
      <c r="B54" t="s">
        <v>170</v>
      </c>
      <c r="C54" t="s">
        <v>171</v>
      </c>
      <c r="D54" t="str">
        <f>HYPERLINK("https://github.com/CellularPrivacy/Android-IMSI-Catcher-Detector/issues/300","show")</f>
        <v>show</v>
      </c>
      <c r="E54" t="str">
        <f>HYPERLINK("https://github.com/CellularPrivacy/Android-IMSI-Catcher-Detector","show")</f>
        <v>show</v>
      </c>
      <c r="F54" t="str">
        <f>HYPERLINK("https://github.com/CellularPrivacy/Android-IMSI-Catcher-Detector/releases","show")</f>
        <v>show</v>
      </c>
    </row>
    <row r="55" spans="1:6">
      <c r="A55" t="s">
        <v>172</v>
      </c>
      <c r="B55" t="s">
        <v>173</v>
      </c>
      <c r="C55" t="s">
        <v>174</v>
      </c>
      <c r="D55" t="str">
        <f>HYPERLINK("https://github.com/eugenkiss/chanobol/issues/79","show")</f>
        <v>show</v>
      </c>
      <c r="E55" t="str">
        <f>HYPERLINK("https://github.com/eugenkiss/chanobol","show")</f>
        <v>show</v>
      </c>
      <c r="F55" t="str">
        <f>HYPERLINK("https://github.com/eugenkiss/chanobol/releases","show")</f>
        <v>show</v>
      </c>
    </row>
    <row r="56" spans="1:6">
      <c r="A56" t="s">
        <v>175</v>
      </c>
      <c r="B56" t="s">
        <v>176</v>
      </c>
      <c r="C56" t="s">
        <v>177</v>
      </c>
      <c r="D56" t="str">
        <f>HYPERLINK("https://github.com/code-troopers/android-betterpickers/issues/139","show")</f>
        <v>show</v>
      </c>
      <c r="E56" t="str">
        <f>HYPERLINK("https://github.com/code-troopers/android-betterpickers","show")</f>
        <v>show</v>
      </c>
      <c r="F56" t="str">
        <f>HYPERLINK("https://github.com/code-troopers/android-betterpickers/releases","show")</f>
        <v>show</v>
      </c>
    </row>
    <row r="57" spans="1:6">
      <c r="A57" t="s">
        <v>178</v>
      </c>
      <c r="B57" t="s">
        <v>179</v>
      </c>
      <c r="C57" t="s">
        <v>180</v>
      </c>
      <c r="D57" t="str">
        <f>HYPERLINK("https://github.com/google/physical-web/issues/278","show")</f>
        <v>show</v>
      </c>
      <c r="E57" t="str">
        <f>HYPERLINK("https://github.com/google/physical-web","show")</f>
        <v>show</v>
      </c>
      <c r="F57" t="str">
        <f>HYPERLINK("https://github.com/google/physical-web/releases","show")</f>
        <v>show</v>
      </c>
    </row>
    <row r="58" spans="1:6">
      <c r="A58" t="s">
        <v>181</v>
      </c>
      <c r="B58" t="s">
        <v>182</v>
      </c>
      <c r="C58" t="s">
        <v>183</v>
      </c>
      <c r="D58" t="str">
        <f>HYPERLINK("https://github.com/eugenkiss/chanobol/issues/81","show")</f>
        <v>show</v>
      </c>
      <c r="E58" t="str">
        <f>HYPERLINK("https://github.com/eugenkiss/chanobol","show")</f>
        <v>show</v>
      </c>
      <c r="F58" t="str">
        <f>HYPERLINK("https://github.com/eugenkiss/chanobol/releases","show")</f>
        <v>show</v>
      </c>
    </row>
    <row r="59" spans="1:6">
      <c r="A59" t="s">
        <v>184</v>
      </c>
      <c r="B59" t="s">
        <v>185</v>
      </c>
      <c r="C59" t="s">
        <v>186</v>
      </c>
      <c r="D59" t="str">
        <f>HYPERLINK("https://github.com/eugenkiss/chanobol/issues/84","show")</f>
        <v>show</v>
      </c>
      <c r="E59" t="str">
        <f>HYPERLINK("https://github.com/eugenkiss/chanobol","show")</f>
        <v>show</v>
      </c>
      <c r="F59" t="str">
        <f>HYPERLINK("https://github.com/eugenkiss/chanobol/releases","show")</f>
        <v>show</v>
      </c>
    </row>
    <row r="60" spans="1:6">
      <c r="A60" t="s">
        <v>187</v>
      </c>
      <c r="B60" t="s">
        <v>188</v>
      </c>
      <c r="C60" t="s">
        <v>189</v>
      </c>
      <c r="D60" t="str">
        <f>HYPERLINK("https://github.com/Frank-Zhu/PullZoomView/issues/10","show")</f>
        <v>show</v>
      </c>
      <c r="E60" t="str">
        <f>HYPERLINK("https://github.com/Frank-Zhu/PullZoomView","show")</f>
        <v>show</v>
      </c>
      <c r="F60" t="str">
        <f>HYPERLINK("https://github.com/Frank-Zhu/PullZoomView/releases","show")</f>
        <v>show</v>
      </c>
    </row>
    <row r="61" spans="1:6">
      <c r="A61" t="s">
        <v>190</v>
      </c>
      <c r="B61" t="s">
        <v>191</v>
      </c>
      <c r="C61" t="s">
        <v>192</v>
      </c>
      <c r="D61" t="str">
        <f>HYPERLINK("https://github.com/mit-cml/appinventor-sources/issues/236","show")</f>
        <v>show</v>
      </c>
      <c r="E61" t="str">
        <f>HYPERLINK("https://github.com/mit-cml/appinventor-sources","show")</f>
        <v>show</v>
      </c>
      <c r="F61" t="str">
        <f>HYPERLINK("https://github.com/mit-cml/appinventor-sources/releases","show")</f>
        <v>show</v>
      </c>
    </row>
    <row r="62" spans="1:6">
      <c r="A62" t="s">
        <v>193</v>
      </c>
      <c r="B62" t="s">
        <v>194</v>
      </c>
      <c r="C62" t="s">
        <v>195</v>
      </c>
      <c r="D62" t="str">
        <f>HYPERLINK("https://github.com/smartdevicelink/sdl_java_suite/issues/91","show")</f>
        <v>show</v>
      </c>
      <c r="E62" t="str">
        <f>HYPERLINK("https://github.com/smartdevicelink/sdl_java_suite","show")</f>
        <v>show</v>
      </c>
      <c r="F62" t="str">
        <f>HYPERLINK("https://github.com/smartdevicelink/sdl_java_suite/releases","show")</f>
        <v>show</v>
      </c>
    </row>
    <row r="63" spans="1:6">
      <c r="A63" t="s">
        <v>196</v>
      </c>
      <c r="B63" t="s">
        <v>197</v>
      </c>
      <c r="C63" t="s">
        <v>198</v>
      </c>
      <c r="D63" t="str">
        <f>HYPERLINK("https://github.com/citiususc/calendula/issues/16","show")</f>
        <v>show</v>
      </c>
      <c r="E63" t="str">
        <f>HYPERLINK("https://github.com/citiususc/calendula","show")</f>
        <v>show</v>
      </c>
      <c r="F63" t="str">
        <f>HYPERLINK("https://github.com/citiususc/calendula/releases","show")</f>
        <v>show</v>
      </c>
    </row>
    <row r="64" spans="1:6">
      <c r="A64" t="s">
        <v>199</v>
      </c>
      <c r="B64" t="s">
        <v>200</v>
      </c>
      <c r="C64" t="s">
        <v>201</v>
      </c>
      <c r="D64" t="str">
        <f>HYPERLINK("https://github.com/libgdx/libgdx/issues/2791","show")</f>
        <v>show</v>
      </c>
      <c r="E64" t="str">
        <f>HYPERLINK("https://github.com/libgdx/libgdx","show")</f>
        <v>show</v>
      </c>
      <c r="F64" t="str">
        <f>HYPERLINK("https://github.com/libgdx/libgdx/releases","show")</f>
        <v>show</v>
      </c>
    </row>
    <row r="65" spans="1:6">
      <c r="A65" t="s">
        <v>202</v>
      </c>
      <c r="B65" t="s">
        <v>203</v>
      </c>
      <c r="C65" t="s">
        <v>204</v>
      </c>
      <c r="D65" t="str">
        <f>HYPERLINK("https://github.com/libgdx/libgdx/issues/2790","show")</f>
        <v>show</v>
      </c>
      <c r="E65" t="str">
        <f>HYPERLINK("https://github.com/libgdx/libgdx","show")</f>
        <v>show</v>
      </c>
      <c r="F65" t="str">
        <f>HYPERLINK("https://github.com/libgdx/libgdx/releases","show")</f>
        <v>show</v>
      </c>
    </row>
    <row r="66" spans="1:6">
      <c r="A66" t="s">
        <v>205</v>
      </c>
      <c r="B66" t="s">
        <v>206</v>
      </c>
      <c r="C66" t="s">
        <v>207</v>
      </c>
      <c r="D66" t="str">
        <f>HYPERLINK("https://github.com/libgdx/libgdx/issues/2800","show")</f>
        <v>show</v>
      </c>
      <c r="E66" t="str">
        <f>HYPERLINK("https://github.com/libgdx/libgdx","show")</f>
        <v>show</v>
      </c>
      <c r="F66" t="str">
        <f>HYPERLINK("https://github.com/libgdx/libgdx/releases","show")</f>
        <v>show</v>
      </c>
    </row>
    <row r="67" spans="1:6">
      <c r="A67" t="s">
        <v>208</v>
      </c>
      <c r="B67" t="s">
        <v>209</v>
      </c>
      <c r="C67" t="s">
        <v>210</v>
      </c>
      <c r="D67" t="str">
        <f>HYPERLINK("https://github.com/the-blue-alliance/the-blue-alliance-android/issues/309","show")</f>
        <v>show</v>
      </c>
      <c r="E67" t="str">
        <f>HYPERLINK("https://github.com/the-blue-alliance/the-blue-alliance-android","show")</f>
        <v>show</v>
      </c>
      <c r="F67" t="str">
        <f>HYPERLINK("https://github.com/the-blue-alliance/the-blue-alliance-android/releases","show")</f>
        <v>show</v>
      </c>
    </row>
    <row r="68" spans="1:6">
      <c r="A68" t="s">
        <v>211</v>
      </c>
      <c r="B68" t="s">
        <v>212</v>
      </c>
      <c r="C68" t="s">
        <v>213</v>
      </c>
      <c r="D68" t="str">
        <f>HYPERLINK("https://github.com/the-blue-alliance/the-blue-alliance-android/issues/308","show")</f>
        <v>show</v>
      </c>
      <c r="E68" t="str">
        <f>HYPERLINK("https://github.com/the-blue-alliance/the-blue-alliance-android","show")</f>
        <v>show</v>
      </c>
      <c r="F68" t="str">
        <f>HYPERLINK("https://github.com/the-blue-alliance/the-blue-alliance-android/releases","show")</f>
        <v>show</v>
      </c>
    </row>
    <row r="69" spans="1:6">
      <c r="A69" t="s">
        <v>214</v>
      </c>
      <c r="B69" t="s">
        <v>215</v>
      </c>
      <c r="C69" t="s">
        <v>216</v>
      </c>
      <c r="D69" t="str">
        <f>HYPERLINK("https://github.com/the-blue-alliance/the-blue-alliance-android/issues/307","show")</f>
        <v>show</v>
      </c>
      <c r="E69" t="str">
        <f>HYPERLINK("https://github.com/the-blue-alliance/the-blue-alliance-android","show")</f>
        <v>show</v>
      </c>
      <c r="F69" t="str">
        <f>HYPERLINK("https://github.com/the-blue-alliance/the-blue-alliance-android/releases","show")</f>
        <v>show</v>
      </c>
    </row>
    <row r="70" spans="1:6">
      <c r="A70" t="s">
        <v>217</v>
      </c>
      <c r="B70" t="s">
        <v>218</v>
      </c>
      <c r="C70" t="s">
        <v>219</v>
      </c>
      <c r="D70" t="str">
        <f>HYPERLINK("https://github.com/the-blue-alliance/the-blue-alliance-android/issues/306","show")</f>
        <v>show</v>
      </c>
      <c r="E70" t="str">
        <f>HYPERLINK("https://github.com/the-blue-alliance/the-blue-alliance-android","show")</f>
        <v>show</v>
      </c>
      <c r="F70" t="str">
        <f>HYPERLINK("https://github.com/the-blue-alliance/the-blue-alliance-android/releases","show")</f>
        <v>show</v>
      </c>
    </row>
    <row r="71" spans="1:6">
      <c r="A71" t="s">
        <v>220</v>
      </c>
      <c r="B71" t="s">
        <v>221</v>
      </c>
      <c r="C71" t="s">
        <v>222</v>
      </c>
      <c r="D71" t="str">
        <f>HYPERLINK("https://github.com/cforlando/bike-orlando-android/issues/48","show")</f>
        <v>show</v>
      </c>
      <c r="E71" t="str">
        <f>HYPERLINK("https://github.com/cforlando/bike-orlando-android","show")</f>
        <v>show</v>
      </c>
      <c r="F71" t="str">
        <f>HYPERLINK("https://github.com/cforlando/bike-orlando-android/releases","show")</f>
        <v>show</v>
      </c>
    </row>
    <row r="72" spans="1:6">
      <c r="A72" t="s">
        <v>223</v>
      </c>
      <c r="B72" t="s">
        <v>224</v>
      </c>
      <c r="C72" t="s">
        <v>225</v>
      </c>
      <c r="D72" t="str">
        <f>HYPERLINK("https://github.com/cSploit/android/issues/61","show")</f>
        <v>show</v>
      </c>
      <c r="E72" t="str">
        <f>HYPERLINK("https://github.com/cSploit/android","show")</f>
        <v>show</v>
      </c>
      <c r="F72" t="str">
        <f>HYPERLINK("https://github.com/cSploit/android/releases","show")</f>
        <v>show</v>
      </c>
    </row>
    <row r="73" spans="1:6">
      <c r="A73" t="s">
        <v>226</v>
      </c>
      <c r="B73" t="s">
        <v>227</v>
      </c>
      <c r="C73" t="s">
        <v>228</v>
      </c>
      <c r="D73" t="str">
        <f>HYPERLINK("https://github.com/wallabag/android-app/issues/75","show")</f>
        <v>show</v>
      </c>
      <c r="E73" t="str">
        <f>HYPERLINK("https://github.com/wallabag/android-app","show")</f>
        <v>show</v>
      </c>
      <c r="F73" t="str">
        <f>HYPERLINK("https://github.com/wallabag/android-app/releases","show")</f>
        <v>show</v>
      </c>
    </row>
    <row r="74" spans="1:6">
      <c r="A74" t="s">
        <v>229</v>
      </c>
      <c r="B74" t="s">
        <v>230</v>
      </c>
      <c r="C74" t="s">
        <v>231</v>
      </c>
      <c r="D74" t="str">
        <f>HYPERLINK("https://github.com/SafeSlingerProject/SafeSlinger-Android/issues/99","show")</f>
        <v>show</v>
      </c>
      <c r="E74" t="str">
        <f>HYPERLINK("https://github.com/SafeSlingerProject/SafeSlinger-Android","show")</f>
        <v>show</v>
      </c>
      <c r="F74" t="str">
        <f>HYPERLINK("https://github.com/SafeSlingerProject/SafeSlinger-Android/releases","show")</f>
        <v>show</v>
      </c>
    </row>
    <row r="75" spans="1:6">
      <c r="A75" t="s">
        <v>232</v>
      </c>
      <c r="B75" t="s">
        <v>233</v>
      </c>
      <c r="C75" t="s">
        <v>234</v>
      </c>
      <c r="D75" t="str">
        <f>HYPERLINK("https://github.com/cgeo/cgeo/issues/4651","show")</f>
        <v>show</v>
      </c>
      <c r="E75" t="str">
        <f>HYPERLINK("https://github.com/cgeo/cgeo","show")</f>
        <v>show</v>
      </c>
      <c r="F75" t="str">
        <f>HYPERLINK("https://github.com/cgeo/cgeo/releases","show")</f>
        <v>show</v>
      </c>
    </row>
    <row r="76" spans="1:6">
      <c r="A76" t="s">
        <v>235</v>
      </c>
      <c r="B76" t="s">
        <v>236</v>
      </c>
      <c r="C76" t="s">
        <v>237</v>
      </c>
      <c r="D76" t="str">
        <f>HYPERLINK("https://github.com/cgeo/cgeo/issues/4647","show")</f>
        <v>show</v>
      </c>
      <c r="E76" t="str">
        <f>HYPERLINK("https://github.com/cgeo/cgeo","show")</f>
        <v>show</v>
      </c>
      <c r="F76" t="str">
        <f>HYPERLINK("https://github.com/cgeo/cgeo/releases","show")</f>
        <v>show</v>
      </c>
    </row>
    <row r="77" spans="1:6">
      <c r="A77" t="s">
        <v>238</v>
      </c>
      <c r="B77" t="s">
        <v>239</v>
      </c>
      <c r="C77" t="s">
        <v>240</v>
      </c>
      <c r="D77" t="str">
        <f>HYPERLINK("https://github.com/h6ah4i/android-openslmediaplayer/issues/4","show")</f>
        <v>show</v>
      </c>
      <c r="E77" t="str">
        <f>HYPERLINK("https://github.com/h6ah4i/android-openslmediaplayer","show")</f>
        <v>show</v>
      </c>
      <c r="F77" t="str">
        <f>HYPERLINK("https://github.com/h6ah4i/android-openslmediaplayer/releases","show")</f>
        <v>show</v>
      </c>
    </row>
    <row r="78" spans="1:6">
      <c r="A78" t="s">
        <v>241</v>
      </c>
      <c r="B78" t="s">
        <v>242</v>
      </c>
      <c r="C78" t="s">
        <v>243</v>
      </c>
      <c r="D78" t="str">
        <f>HYPERLINK("https://github.com/h6ah4i/android-advancedrecyclerview/issues/3","show")</f>
        <v>show</v>
      </c>
      <c r="E78" t="str">
        <f>HYPERLINK("https://github.com/h6ah4i/android-advancedrecyclerview","show")</f>
        <v>show</v>
      </c>
      <c r="F78" t="str">
        <f>HYPERLINK("https://github.com/h6ah4i/android-advancedrecyclerview/releases","show")</f>
        <v>show</v>
      </c>
    </row>
    <row r="79" spans="1:6">
      <c r="A79" t="s">
        <v>244</v>
      </c>
      <c r="B79" t="s">
        <v>245</v>
      </c>
      <c r="C79" t="s">
        <v>246</v>
      </c>
      <c r="D79" t="str">
        <f>HYPERLINK("https://github.com/the-blue-alliance/the-blue-alliance-android/issues/311","show")</f>
        <v>show</v>
      </c>
      <c r="E79" t="str">
        <f>HYPERLINK("https://github.com/the-blue-alliance/the-blue-alliance-android","show")</f>
        <v>show</v>
      </c>
      <c r="F79" t="str">
        <f>HYPERLINK("https://github.com/the-blue-alliance/the-blue-alliance-android/releases","show")</f>
        <v>show</v>
      </c>
    </row>
    <row r="80" spans="1:6">
      <c r="A80" t="s">
        <v>247</v>
      </c>
      <c r="B80" t="s">
        <v>248</v>
      </c>
      <c r="C80" t="s">
        <v>249</v>
      </c>
      <c r="D80" t="str">
        <f>HYPERLINK("https://github.com/libgdx/libgdx/issues/2807","show")</f>
        <v>show</v>
      </c>
      <c r="E80" t="str">
        <f>HYPERLINK("https://github.com/libgdx/libgdx","show")</f>
        <v>show</v>
      </c>
      <c r="F80" t="str">
        <f>HYPERLINK("https://github.com/libgdx/libgdx/releases","show")</f>
        <v>show</v>
      </c>
    </row>
    <row r="81" spans="1:6">
      <c r="A81" t="s">
        <v>250</v>
      </c>
      <c r="B81" t="s">
        <v>251</v>
      </c>
      <c r="C81" t="s">
        <v>252</v>
      </c>
      <c r="D81" t="str">
        <f>HYPERLINK("https://github.com/duckduckgo/android-search-and-stories/issues/148","show")</f>
        <v>show</v>
      </c>
      <c r="E81" t="str">
        <f>HYPERLINK("https://github.com/duckduckgo/android-search-and-stories","show")</f>
        <v>show</v>
      </c>
      <c r="F81" t="str">
        <f>HYPERLINK("https://github.com/duckduckgo/android-search-and-stories/releases","show")</f>
        <v>show</v>
      </c>
    </row>
    <row r="82" spans="1:6">
      <c r="A82" t="s">
        <v>253</v>
      </c>
      <c r="B82" t="s">
        <v>254</v>
      </c>
      <c r="C82" t="s">
        <v>255</v>
      </c>
      <c r="D82" t="str">
        <f>HYPERLINK("https://github.com/akvo/akvo-flow-mobile/issues/258","show")</f>
        <v>show</v>
      </c>
      <c r="E82" t="str">
        <f>HYPERLINK("https://github.com/akvo/akvo-flow-mobile","show")</f>
        <v>show</v>
      </c>
      <c r="F82" t="str">
        <f>HYPERLINK("https://github.com/akvo/akvo-flow-mobile/releases","show")</f>
        <v>show</v>
      </c>
    </row>
    <row r="83" spans="1:6">
      <c r="A83" t="s">
        <v>256</v>
      </c>
      <c r="B83" t="s">
        <v>257</v>
      </c>
      <c r="C83" t="s">
        <v>258</v>
      </c>
      <c r="D83" t="str">
        <f>HYPERLINK("https://github.com/unfoldingWord-dev/uw-android/issues/37","show")</f>
        <v>show</v>
      </c>
      <c r="E83" t="str">
        <f>HYPERLINK("https://github.com/unfoldingWord-dev/uw-android","show")</f>
        <v>show</v>
      </c>
      <c r="F83" t="str">
        <f>HYPERLINK("https://github.com/unfoldingWord-dev/uw-android/releases","show")</f>
        <v>show</v>
      </c>
    </row>
    <row r="84" spans="1:6">
      <c r="A84" t="s">
        <v>259</v>
      </c>
      <c r="B84" t="s">
        <v>260</v>
      </c>
      <c r="C84" t="s">
        <v>261</v>
      </c>
      <c r="D84" t="str">
        <f>HYPERLINK("https://github.com/eugenkiss/chanobol/issues/101","show")</f>
        <v>show</v>
      </c>
      <c r="E84" t="str">
        <f>HYPERLINK("https://github.com/eugenkiss/chanobol","show")</f>
        <v>show</v>
      </c>
      <c r="F84" t="str">
        <f>HYPERLINK("https://github.com/eugenkiss/chanobol/releases","show")</f>
        <v>show</v>
      </c>
    </row>
    <row r="85" spans="1:6">
      <c r="A85" t="s">
        <v>262</v>
      </c>
      <c r="B85" t="s">
        <v>263</v>
      </c>
      <c r="C85" t="s">
        <v>264</v>
      </c>
      <c r="D85" t="str">
        <f>HYPERLINK("https://github.com/lgallard/qBittorrent-Controller/issues/18","show")</f>
        <v>show</v>
      </c>
      <c r="E85" t="str">
        <f>HYPERLINK("https://github.com/lgallard/qBittorrent-Controller","show")</f>
        <v>show</v>
      </c>
      <c r="F85" t="str">
        <f>HYPERLINK("https://github.com/lgallard/qBittorrent-Controller/releases","show")</f>
        <v>show</v>
      </c>
    </row>
    <row r="86" spans="1:6">
      <c r="A86" t="s">
        <v>265</v>
      </c>
      <c r="B86" t="s">
        <v>266</v>
      </c>
      <c r="C86" t="s">
        <v>267</v>
      </c>
      <c r="D86" t="str">
        <f>HYPERLINK("https://github.com/bumptech/glide/issues/331","show")</f>
        <v>show</v>
      </c>
      <c r="E86" t="str">
        <f>HYPERLINK("https://github.com/bumptech/glide","show")</f>
        <v>show</v>
      </c>
      <c r="F86" t="str">
        <f>HYPERLINK("https://github.com/bumptech/glide/releases","show")</f>
        <v>show</v>
      </c>
    </row>
    <row r="87" spans="1:6">
      <c r="A87" t="s">
        <v>268</v>
      </c>
      <c r="B87" t="s">
        <v>269</v>
      </c>
      <c r="C87" t="s">
        <v>270</v>
      </c>
      <c r="D87" t="str">
        <f>HYPERLINK("https://github.com/pattch/PicToPoly/issues/5","show")</f>
        <v>show</v>
      </c>
      <c r="E87" t="str">
        <f>HYPERLINK("https://github.com/pattch/PicToPoly","show")</f>
        <v>show</v>
      </c>
      <c r="F87" t="str">
        <f>HYPERLINK("https://github.com/pattch/PicToPoly/releases","show")</f>
        <v>show</v>
      </c>
    </row>
    <row r="88" spans="1:6">
      <c r="A88" t="s">
        <v>271</v>
      </c>
      <c r="B88" t="s">
        <v>272</v>
      </c>
      <c r="C88" t="s">
        <v>273</v>
      </c>
      <c r="D88" t="str">
        <f>HYPERLINK("https://github.com/braintree/braintree_android/issues/20","show")</f>
        <v>show</v>
      </c>
      <c r="E88" t="str">
        <f>HYPERLINK("https://github.com/braintree/braintree_android","show")</f>
        <v>show</v>
      </c>
      <c r="F88" t="str">
        <f>HYPERLINK("https://github.com/braintree/braintree_android/releases","show")</f>
        <v>show</v>
      </c>
    </row>
    <row r="89" spans="1:6">
      <c r="A89" t="s">
        <v>274</v>
      </c>
      <c r="B89" t="s">
        <v>275</v>
      </c>
      <c r="C89" t="s">
        <v>276</v>
      </c>
      <c r="D89" t="str">
        <f>HYPERLINK("https://github.com/eugenkiss/chanobol/issues/102","show")</f>
        <v>show</v>
      </c>
      <c r="E89" t="str">
        <f>HYPERLINK("https://github.com/eugenkiss/chanobol","show")</f>
        <v>show</v>
      </c>
      <c r="F89" t="str">
        <f>HYPERLINK("https://github.com/eugenkiss/chanobol/releases","show")</f>
        <v>show</v>
      </c>
    </row>
    <row r="90" spans="1:6">
      <c r="A90" t="s">
        <v>277</v>
      </c>
      <c r="B90" t="s">
        <v>278</v>
      </c>
      <c r="C90" t="s">
        <v>279</v>
      </c>
      <c r="D90" t="str">
        <f>HYPERLINK("https://github.com/ikarus23/MifareClassicTool/issues/52","show")</f>
        <v>show</v>
      </c>
      <c r="E90" t="str">
        <f>HYPERLINK("https://github.com/ikarus23/MifareClassicTool","show")</f>
        <v>show</v>
      </c>
      <c r="F90" t="str">
        <f>HYPERLINK("https://github.com/ikarus23/MifareClassicTool/releases","show")</f>
        <v>show</v>
      </c>
    </row>
    <row r="91" spans="1:6">
      <c r="A91" t="s">
        <v>280</v>
      </c>
      <c r="B91" t="s">
        <v>281</v>
      </c>
      <c r="C91" t="s">
        <v>282</v>
      </c>
      <c r="D91" t="str">
        <f>HYPERLINK("https://github.com/aikuma/aikuma/issues/388","show")</f>
        <v>show</v>
      </c>
      <c r="E91" t="str">
        <f>HYPERLINK("https://github.com/aikuma/aikuma","show")</f>
        <v>show</v>
      </c>
      <c r="F91" t="str">
        <f>HYPERLINK("https://github.com/aikuma/aikuma/releases","show")</f>
        <v>show</v>
      </c>
    </row>
    <row r="92" spans="1:6">
      <c r="A92" t="s">
        <v>283</v>
      </c>
      <c r="B92" t="s">
        <v>284</v>
      </c>
      <c r="C92" t="s">
        <v>285</v>
      </c>
      <c r="D92" t="str">
        <f>HYPERLINK("https://github.com/libgdx/libgdx/issues/2833","show")</f>
        <v>show</v>
      </c>
      <c r="E92" t="str">
        <f>HYPERLINK("https://github.com/libgdx/libgdx","show")</f>
        <v>show</v>
      </c>
      <c r="F92" t="str">
        <f>HYPERLINK("https://github.com/libgdx/libgdx/releases","show")</f>
        <v>show</v>
      </c>
    </row>
    <row r="93" spans="1:6">
      <c r="A93" t="s">
        <v>286</v>
      </c>
      <c r="B93" t="s">
        <v>287</v>
      </c>
      <c r="C93" t="s">
        <v>288</v>
      </c>
      <c r="D93" t="str">
        <f>HYPERLINK("https://github.com/cgeo/cgeo/issues/4665","show")</f>
        <v>show</v>
      </c>
      <c r="E93" t="str">
        <f>HYPERLINK("https://github.com/cgeo/cgeo","show")</f>
        <v>show</v>
      </c>
      <c r="F93" t="str">
        <f>HYPERLINK("https://github.com/cgeo/cgeo/releases","show")</f>
        <v>show</v>
      </c>
    </row>
    <row r="94" spans="1:6">
      <c r="A94" t="s">
        <v>289</v>
      </c>
      <c r="B94" t="s">
        <v>290</v>
      </c>
      <c r="C94" t="s">
        <v>291</v>
      </c>
      <c r="D94" t="str">
        <f>HYPERLINK("https://github.com/dm77/barcodescanner/issues/55","show")</f>
        <v>show</v>
      </c>
      <c r="E94" t="str">
        <f>HYPERLINK("https://github.com/dm77/barcodescanner","show")</f>
        <v>show</v>
      </c>
      <c r="F94" t="str">
        <f>HYPERLINK("https://github.com/dm77/barcodescanner/releases","show")</f>
        <v>show</v>
      </c>
    </row>
    <row r="95" spans="1:6">
      <c r="A95" t="s">
        <v>292</v>
      </c>
      <c r="B95" t="s">
        <v>293</v>
      </c>
      <c r="C95" t="s">
        <v>294</v>
      </c>
      <c r="D95" t="str">
        <f>HYPERLINK("https://github.com/nerzhul/ncsms-android/issues/30","show")</f>
        <v>show</v>
      </c>
      <c r="E95" t="str">
        <f>HYPERLINK("https://github.com/nerzhul/ncsms-android","show")</f>
        <v>show</v>
      </c>
      <c r="F95" t="str">
        <f>HYPERLINK("https://github.com/nerzhul/ncsms-android/releases","show")</f>
        <v>show</v>
      </c>
    </row>
    <row r="96" spans="1:6">
      <c r="A96" t="s">
        <v>295</v>
      </c>
      <c r="B96" t="s">
        <v>296</v>
      </c>
      <c r="C96" t="s">
        <v>297</v>
      </c>
      <c r="D96" t="str">
        <f>HYPERLINK("https://github.com/segmentio/analytics-android/issues/172","show")</f>
        <v>show</v>
      </c>
      <c r="E96" t="str">
        <f>HYPERLINK("https://github.com/segmentio/analytics-android","show")</f>
        <v>show</v>
      </c>
      <c r="F96" t="str">
        <f>HYPERLINK("https://github.com/segmentio/analytics-android/releases","show")</f>
        <v>show</v>
      </c>
    </row>
    <row r="97" spans="1:6">
      <c r="A97" t="s">
        <v>298</v>
      </c>
      <c r="B97" t="s">
        <v>299</v>
      </c>
      <c r="C97" t="s">
        <v>300</v>
      </c>
      <c r="D97" t="str">
        <f>HYPERLINK("https://github.com/ConnectSDK/Connect-SDK-Android/issues/209","show")</f>
        <v>show</v>
      </c>
      <c r="E97" t="str">
        <f>HYPERLINK("https://github.com/ConnectSDK/Connect-SDK-Android","show")</f>
        <v>show</v>
      </c>
      <c r="F97" t="str">
        <f>HYPERLINK("https://github.com/ConnectSDK/Connect-SDK-Android/releases","show")</f>
        <v>show</v>
      </c>
    </row>
    <row r="98" spans="1:6">
      <c r="A98" t="s">
        <v>301</v>
      </c>
      <c r="B98" t="s">
        <v>302</v>
      </c>
      <c r="C98" t="s">
        <v>303</v>
      </c>
      <c r="D98" t="str">
        <f>HYPERLINK("https://github.com/SCCapstone/IArch/issues/54","show")</f>
        <v>show</v>
      </c>
      <c r="E98" t="str">
        <f>HYPERLINK("https://github.com/SCCapstone/IArch","show")</f>
        <v>show</v>
      </c>
      <c r="F98" t="str">
        <f>HYPERLINK("https://github.com/SCCapstone/IArch/releases","show")</f>
        <v>show</v>
      </c>
    </row>
    <row r="99" spans="1:6">
      <c r="A99" t="s">
        <v>304</v>
      </c>
      <c r="B99" t="s">
        <v>305</v>
      </c>
      <c r="C99" t="s">
        <v>306</v>
      </c>
      <c r="D99" t="str">
        <f>HYPERLINK("https://github.com/unfoldingWord-dev/uw-android/issues/38","show")</f>
        <v>show</v>
      </c>
      <c r="E99" t="str">
        <f>HYPERLINK("https://github.com/unfoldingWord-dev/uw-android","show")</f>
        <v>show</v>
      </c>
      <c r="F99" t="str">
        <f>HYPERLINK("https://github.com/unfoldingWord-dev/uw-android/releases","show")</f>
        <v>show</v>
      </c>
    </row>
    <row r="100" spans="1:6">
      <c r="A100" t="s">
        <v>307</v>
      </c>
      <c r="B100" t="s">
        <v>308</v>
      </c>
      <c r="C100" t="s">
        <v>309</v>
      </c>
      <c r="D100" t="str">
        <f>HYPERLINK("https://github.com/eugenkiss/chanobol/issues/103","show")</f>
        <v>show</v>
      </c>
      <c r="E100" t="str">
        <f>HYPERLINK("https://github.com/eugenkiss/chanobol","show")</f>
        <v>show</v>
      </c>
      <c r="F100" t="str">
        <f>HYPERLINK("https://github.com/eugenkiss/chanobol/releases","show")</f>
        <v>show</v>
      </c>
    </row>
    <row r="101" spans="1:6">
      <c r="A101" t="s">
        <v>310</v>
      </c>
      <c r="B101" t="s">
        <v>311</v>
      </c>
      <c r="C101" t="s">
        <v>312</v>
      </c>
      <c r="D101" t="str">
        <f>HYPERLINK("https://github.com/MythTV-Clients/MythtvPlayerForAndroid/issues/3","show")</f>
        <v>show</v>
      </c>
      <c r="E101" t="str">
        <f>HYPERLINK("https://github.com/MythTV-Clients/MythtvPlayerForAndroid","show")</f>
        <v>show</v>
      </c>
      <c r="F101" t="str">
        <f>HYPERLINK("https://github.com/MythTV-Clients/MythtvPlayerForAndroid/releases","show")</f>
        <v>show</v>
      </c>
    </row>
    <row r="102" spans="1:6">
      <c r="A102" t="s">
        <v>313</v>
      </c>
      <c r="B102" t="s">
        <v>314</v>
      </c>
      <c r="C102" t="s">
        <v>315</v>
      </c>
      <c r="D102" t="str">
        <f>HYPERLINK("https://github.com/JDNdeveloper/Off-By-One/issues/38","show")</f>
        <v>show</v>
      </c>
      <c r="E102" t="str">
        <f>HYPERLINK("https://github.com/JDNdeveloper/Off-By-One","show")</f>
        <v>show</v>
      </c>
      <c r="F102" t="str">
        <f>HYPERLINK("https://github.com/JDNdeveloper/Off-By-One/releases","show")</f>
        <v>show</v>
      </c>
    </row>
    <row r="103" spans="1:6">
      <c r="A103" t="s">
        <v>316</v>
      </c>
      <c r="B103" t="s">
        <v>317</v>
      </c>
      <c r="C103" t="s">
        <v>318</v>
      </c>
      <c r="D103" t="str">
        <f>HYPERLINK("https://github.com/h6ah4i/android-openslmediaplayer/issues/5","show")</f>
        <v>show</v>
      </c>
      <c r="E103" t="str">
        <f>HYPERLINK("https://github.com/h6ah4i/android-openslmediaplayer","show")</f>
        <v>show</v>
      </c>
      <c r="F103" t="str">
        <f>HYPERLINK("https://github.com/h6ah4i/android-openslmediaplayer/releases","show")</f>
        <v>show</v>
      </c>
    </row>
    <row r="104" spans="1:6">
      <c r="A104" t="s">
        <v>319</v>
      </c>
      <c r="B104" t="s">
        <v>320</v>
      </c>
      <c r="C104" t="s">
        <v>321</v>
      </c>
      <c r="D104" t="str">
        <f>HYPERLINK("https://github.com/eugenkiss/chanobol/issues/106","show")</f>
        <v>show</v>
      </c>
      <c r="E104" t="str">
        <f>HYPERLINK("https://github.com/eugenkiss/chanobol","show")</f>
        <v>show</v>
      </c>
      <c r="F104" t="str">
        <f>HYPERLINK("https://github.com/eugenkiss/chanobol/releases","show")</f>
        <v>show</v>
      </c>
    </row>
    <row r="105" spans="1:6">
      <c r="A105" t="s">
        <v>322</v>
      </c>
      <c r="B105" t="s">
        <v>323</v>
      </c>
      <c r="C105" t="s">
        <v>324</v>
      </c>
      <c r="D105" t="str">
        <f>HYPERLINK("https://github.com/eugenkiss/chanobol/issues/105","show")</f>
        <v>show</v>
      </c>
      <c r="E105" t="str">
        <f>HYPERLINK("https://github.com/eugenkiss/chanobol","show")</f>
        <v>show</v>
      </c>
      <c r="F105" t="str">
        <f>HYPERLINK("https://github.com/eugenkiss/chanobol/releases","show")</f>
        <v>show</v>
      </c>
    </row>
    <row r="106" spans="1:6">
      <c r="A106" t="s">
        <v>325</v>
      </c>
      <c r="B106" t="s">
        <v>326</v>
      </c>
      <c r="C106" t="s">
        <v>327</v>
      </c>
      <c r="D106" t="str">
        <f>HYPERLINK("https://github.com/SCCapstone/IArch/issues/59","show")</f>
        <v>show</v>
      </c>
      <c r="E106" t="str">
        <f>HYPERLINK("https://github.com/SCCapstone/IArch","show")</f>
        <v>show</v>
      </c>
      <c r="F106" t="str">
        <f>HYPERLINK("https://github.com/SCCapstone/IArch/releases","show")</f>
        <v>show</v>
      </c>
    </row>
    <row r="107" spans="1:6">
      <c r="A107" t="s">
        <v>328</v>
      </c>
      <c r="B107" t="s">
        <v>329</v>
      </c>
      <c r="C107" t="s">
        <v>330</v>
      </c>
      <c r="D107" t="str">
        <f>HYPERLINK("https://github.com/rosjava/android_core/issues/229","show")</f>
        <v>show</v>
      </c>
      <c r="E107" t="str">
        <f>HYPERLINK("https://github.com/rosjava/android_core","show")</f>
        <v>show</v>
      </c>
      <c r="F107" t="str">
        <f>HYPERLINK("https://github.com/rosjava/android_core/releases","show")</f>
        <v>show</v>
      </c>
    </row>
    <row r="108" spans="1:6">
      <c r="A108" t="s">
        <v>331</v>
      </c>
      <c r="B108" t="s">
        <v>332</v>
      </c>
      <c r="C108" t="s">
        <v>333</v>
      </c>
      <c r="D108" t="str">
        <f>HYPERLINK("https://github.com/smartEKG/SmartEKG/issues/1","show")</f>
        <v>show</v>
      </c>
      <c r="E108" t="str">
        <f>HYPERLINK("https://github.com/smartEKG/SmartEKG","show")</f>
        <v>show</v>
      </c>
      <c r="F108" t="str">
        <f>HYPERLINK("https://github.com/smartEKG/SmartEKG/releases","show")</f>
        <v>show</v>
      </c>
    </row>
    <row r="109" spans="1:6">
      <c r="A109" t="s">
        <v>334</v>
      </c>
      <c r="B109" t="s">
        <v>335</v>
      </c>
      <c r="C109" t="s">
        <v>336</v>
      </c>
      <c r="D109" t="str">
        <f>HYPERLINK("https://github.com/bumptech/glide/issues/347","show")</f>
        <v>show</v>
      </c>
      <c r="E109" t="str">
        <f>HYPERLINK("https://github.com/bumptech/glide","show")</f>
        <v>show</v>
      </c>
      <c r="F109" t="str">
        <f>HYPERLINK("https://github.com/bumptech/glide/releases","show")</f>
        <v>show</v>
      </c>
    </row>
    <row r="110" spans="1:6">
      <c r="A110" t="s">
        <v>337</v>
      </c>
      <c r="B110" t="s">
        <v>338</v>
      </c>
      <c r="C110" t="s">
        <v>339</v>
      </c>
      <c r="D110" t="str">
        <f>HYPERLINK("https://github.com/SCCapstone/IArch/issues/66","show")</f>
        <v>show</v>
      </c>
      <c r="E110" t="str">
        <f>HYPERLINK("https://github.com/SCCapstone/IArch","show")</f>
        <v>show</v>
      </c>
      <c r="F110" t="str">
        <f>HYPERLINK("https://github.com/SCCapstone/IArch/releases","show")</f>
        <v>show</v>
      </c>
    </row>
    <row r="111" spans="1:6">
      <c r="A111" t="s">
        <v>340</v>
      </c>
      <c r="B111" t="s">
        <v>341</v>
      </c>
      <c r="C111" t="s">
        <v>342</v>
      </c>
      <c r="D111" t="str">
        <f>HYPERLINK("https://github.com/libgdx/gdx-video/issues/3","show")</f>
        <v>show</v>
      </c>
      <c r="E111" t="str">
        <f>HYPERLINK("https://github.com/libgdx/gdx-video","show")</f>
        <v>show</v>
      </c>
      <c r="F111" t="str">
        <f>HYPERLINK("https://github.com/libgdx/gdx-video/releases","show")</f>
        <v>show</v>
      </c>
    </row>
    <row r="112" spans="1:6">
      <c r="A112" t="s">
        <v>343</v>
      </c>
      <c r="B112" t="s">
        <v>344</v>
      </c>
      <c r="C112" t="s">
        <v>345</v>
      </c>
      <c r="D112" t="str">
        <f>HYPERLINK("https://github.com/geopaparazzi/geopaparazzi/issues/233","show")</f>
        <v>show</v>
      </c>
      <c r="E112" t="str">
        <f>HYPERLINK("https://github.com/geopaparazzi/geopaparazzi","show")</f>
        <v>show</v>
      </c>
      <c r="F112" t="str">
        <f>HYPERLINK("https://github.com/geopaparazzi/geopaparazzi/releases","show")</f>
        <v>show</v>
      </c>
    </row>
    <row r="113" spans="1:6">
      <c r="A113" t="s">
        <v>346</v>
      </c>
      <c r="B113" t="s">
        <v>347</v>
      </c>
      <c r="C113" t="s">
        <v>348</v>
      </c>
      <c r="D113" t="str">
        <f>HYPERLINK("https://github.com/JusticeRage/ApkTrack/issues/14","show")</f>
        <v>show</v>
      </c>
      <c r="E113" t="str">
        <f>HYPERLINK("https://github.com/JusticeRage/ApkTrack","show")</f>
        <v>show</v>
      </c>
      <c r="F113" t="str">
        <f>HYPERLINK("https://github.com/JusticeRage/ApkTrack/releases","show")</f>
        <v>show</v>
      </c>
    </row>
    <row r="114" spans="1:6">
      <c r="A114" t="s">
        <v>349</v>
      </c>
      <c r="B114" t="s">
        <v>350</v>
      </c>
      <c r="C114" t="s">
        <v>351</v>
      </c>
      <c r="D114" t="str">
        <f>HYPERLINK("https://github.com/Stuart-campbell/RushOrm/issues/7","show")</f>
        <v>show</v>
      </c>
      <c r="E114" t="str">
        <f>HYPERLINK("https://github.com/Stuart-campbell/RushOrm","show")</f>
        <v>show</v>
      </c>
      <c r="F114" t="str">
        <f>HYPERLINK("https://github.com/Stuart-campbell/RushOrm/releases","show")</f>
        <v>show</v>
      </c>
    </row>
    <row r="115" spans="1:6">
      <c r="A115" t="s">
        <v>352</v>
      </c>
      <c r="B115" t="s">
        <v>353</v>
      </c>
      <c r="C115" t="s">
        <v>354</v>
      </c>
      <c r="D115" t="str">
        <f>HYPERLINK("https://github.com/FamilyParking/Project/issues/25","show")</f>
        <v>show</v>
      </c>
      <c r="E115" t="str">
        <f>HYPERLINK("https://github.com/FamilyParking/Project","show")</f>
        <v>show</v>
      </c>
      <c r="F115" t="str">
        <f>HYPERLINK("https://github.com/FamilyParking/Project/releases","show")</f>
        <v>show</v>
      </c>
    </row>
    <row r="116" spans="1:6">
      <c r="A116" t="s">
        <v>355</v>
      </c>
      <c r="B116" t="s">
        <v>356</v>
      </c>
      <c r="C116" t="s">
        <v>357</v>
      </c>
      <c r="D116" t="str">
        <f>HYPERLINK("https://github.com/furkantektas/EzanVakti/issues/1","show")</f>
        <v>show</v>
      </c>
      <c r="E116" t="str">
        <f>HYPERLINK("https://github.com/furkantektas/EzanVakti","show")</f>
        <v>show</v>
      </c>
      <c r="F116" t="str">
        <f>HYPERLINK("https://github.com/furkantektas/EzanVakti/releases","show")</f>
        <v>show</v>
      </c>
    </row>
    <row r="117" spans="1:6">
      <c r="A117" t="s">
        <v>358</v>
      </c>
      <c r="B117" t="s">
        <v>359</v>
      </c>
      <c r="C117" t="s">
        <v>360</v>
      </c>
      <c r="D117" t="str">
        <f>HYPERLINK("https://github.com/facebook/stetho/issues/59","show")</f>
        <v>show</v>
      </c>
      <c r="E117" t="str">
        <f>HYPERLINK("https://github.com/facebook/stetho","show")</f>
        <v>show</v>
      </c>
      <c r="F117" t="str">
        <f>HYPERLINK("https://github.com/facebook/stetho/releases","show")</f>
        <v>show</v>
      </c>
    </row>
    <row r="118" spans="1:6">
      <c r="A118" t="s">
        <v>361</v>
      </c>
      <c r="B118" t="s">
        <v>362</v>
      </c>
      <c r="C118" t="s">
        <v>363</v>
      </c>
      <c r="D118" t="str">
        <f>HYPERLINK("https://github.com/blazsolar/HorizontalPicker/issues/17","show")</f>
        <v>show</v>
      </c>
      <c r="E118" t="str">
        <f>HYPERLINK("https://github.com/blazsolar/HorizontalPicker","show")</f>
        <v>show</v>
      </c>
      <c r="F118" t="str">
        <f>HYPERLINK("https://github.com/blazsolar/HorizontalPicker/releases","show")</f>
        <v>show</v>
      </c>
    </row>
    <row r="119" spans="1:6">
      <c r="A119" t="s">
        <v>364</v>
      </c>
      <c r="B119" t="s">
        <v>365</v>
      </c>
      <c r="C119" t="s">
        <v>366</v>
      </c>
      <c r="D119" t="str">
        <f>HYPERLINK("https://github.com/erickok/transdroid/issues/192","show")</f>
        <v>show</v>
      </c>
      <c r="E119" t="str">
        <f>HYPERLINK("https://github.com/erickok/transdroid","show")</f>
        <v>show</v>
      </c>
      <c r="F119" t="str">
        <f>HYPERLINK("https://github.com/erickok/transdroid/releases","show")</f>
        <v>show</v>
      </c>
    </row>
    <row r="120" spans="1:6">
      <c r="A120" t="s">
        <v>367</v>
      </c>
      <c r="B120" t="s">
        <v>368</v>
      </c>
      <c r="C120" t="s">
        <v>369</v>
      </c>
      <c r="D120" t="str">
        <f>HYPERLINK("https://github.com/qb200210/ECardRe/issues/5","show")</f>
        <v>show</v>
      </c>
      <c r="E120" t="str">
        <f>HYPERLINK("https://github.com/qb200210/ECardRe","show")</f>
        <v>show</v>
      </c>
      <c r="F120" t="str">
        <f>HYPERLINK("https://github.com/qb200210/ECardRe/releases","show")</f>
        <v>show</v>
      </c>
    </row>
    <row r="121" spans="1:6">
      <c r="A121" t="s">
        <v>370</v>
      </c>
      <c r="B121" t="s">
        <v>371</v>
      </c>
      <c r="C121" t="s">
        <v>372</v>
      </c>
      <c r="D121" t="str">
        <f>HYPERLINK("https://github.com/qb200210/ECardRe/issues/4","show")</f>
        <v>show</v>
      </c>
      <c r="E121" t="str">
        <f>HYPERLINK("https://github.com/qb200210/ECardRe","show")</f>
        <v>show</v>
      </c>
      <c r="F121" t="str">
        <f>HYPERLINK("https://github.com/qb200210/ECardRe/releases","show")</f>
        <v>show</v>
      </c>
    </row>
    <row r="122" spans="1:6">
      <c r="A122" t="s">
        <v>373</v>
      </c>
      <c r="B122" t="s">
        <v>374</v>
      </c>
      <c r="C122" t="s">
        <v>375</v>
      </c>
      <c r="D122" t="str">
        <f>HYPERLINK("https://github.com/SCCapstone/IArch/issues/76","show")</f>
        <v>show</v>
      </c>
      <c r="E122" t="str">
        <f>HYPERLINK("https://github.com/SCCapstone/IArch","show")</f>
        <v>show</v>
      </c>
      <c r="F122" t="str">
        <f>HYPERLINK("https://github.com/SCCapstone/IArch/releases","show")</f>
        <v>show</v>
      </c>
    </row>
    <row r="123" spans="1:6">
      <c r="A123" t="s">
        <v>376</v>
      </c>
      <c r="B123" t="s">
        <v>377</v>
      </c>
      <c r="C123" t="s">
        <v>378</v>
      </c>
      <c r="D123" t="str">
        <f>HYPERLINK("https://github.com/rosjava/android_remocons/issues/67","show")</f>
        <v>show</v>
      </c>
      <c r="E123" t="str">
        <f>HYPERLINK("https://github.com/rosjava/android_remocons","show")</f>
        <v>show</v>
      </c>
      <c r="F123" t="str">
        <f>HYPERLINK("https://github.com/rosjava/android_remocons/releases","show")</f>
        <v>show</v>
      </c>
    </row>
    <row r="124" spans="1:6">
      <c r="A124" t="s">
        <v>379</v>
      </c>
      <c r="B124" t="s">
        <v>380</v>
      </c>
      <c r="C124" t="s">
        <v>381</v>
      </c>
      <c r="D124" t="str">
        <f>HYPERLINK("https://github.com/drpout/boilr/issues/72","show")</f>
        <v>show</v>
      </c>
      <c r="E124" t="str">
        <f>HYPERLINK("https://github.com/drpout/boilr","show")</f>
        <v>show</v>
      </c>
      <c r="F124" t="str">
        <f>HYPERLINK("https://github.com/drpout/boilr/releases","show")</f>
        <v>show</v>
      </c>
    </row>
    <row r="125" spans="1:6">
      <c r="A125" t="s">
        <v>382</v>
      </c>
      <c r="B125" t="s">
        <v>383</v>
      </c>
      <c r="C125" t="s">
        <v>384</v>
      </c>
      <c r="D125" t="str">
        <f>HYPERLINK("https://github.com/Any1s/RBTV-Sendeplan/issues/29","show")</f>
        <v>show</v>
      </c>
      <c r="E125" t="str">
        <f>HYPERLINK("https://github.com/Any1s/RBTV-Sendeplan","show")</f>
        <v>show</v>
      </c>
      <c r="F125" t="str">
        <f>HYPERLINK("https://github.com/Any1s/RBTV-Sendeplan/releases","show")</f>
        <v>show</v>
      </c>
    </row>
    <row r="126" spans="1:6">
      <c r="A126" t="s">
        <v>385</v>
      </c>
      <c r="B126" t="s">
        <v>386</v>
      </c>
      <c r="C126" t="s">
        <v>387</v>
      </c>
      <c r="D126" t="str">
        <f>HYPERLINK("https://github.com/ZieIony/Carbon/issues/22","show")</f>
        <v>show</v>
      </c>
      <c r="E126" t="str">
        <f>HYPERLINK("https://github.com/ZieIony/Carbon","show")</f>
        <v>show</v>
      </c>
      <c r="F126" t="str">
        <f>HYPERLINK("https://github.com/ZieIony/Carbon/releases","show")</f>
        <v>show</v>
      </c>
    </row>
    <row r="127" spans="1:6">
      <c r="A127" t="s">
        <v>388</v>
      </c>
      <c r="B127" t="s">
        <v>389</v>
      </c>
      <c r="C127" t="s">
        <v>390</v>
      </c>
      <c r="D127" t="str">
        <f>HYPERLINK("https://github.com/vanitasvitae/EnigmAndroid/issues/4","show")</f>
        <v>show</v>
      </c>
      <c r="E127" t="str">
        <f>HYPERLINK("https://github.com/vanitasvitae/EnigmAndroid","show")</f>
        <v>show</v>
      </c>
      <c r="F127" t="str">
        <f>HYPERLINK("https://github.com/vanitasvitae/EnigmAndroid/releases","show")</f>
        <v>show</v>
      </c>
    </row>
    <row r="128" spans="1:6">
      <c r="A128" t="s">
        <v>391</v>
      </c>
      <c r="B128" t="s">
        <v>392</v>
      </c>
      <c r="C128" t="s">
        <v>393</v>
      </c>
      <c r="D128" t="str">
        <f>HYPERLINK("https://github.com/bumptech/glide/issues/349","show")</f>
        <v>show</v>
      </c>
      <c r="E128" t="str">
        <f>HYPERLINK("https://github.com/bumptech/glide","show")</f>
        <v>show</v>
      </c>
      <c r="F128" t="str">
        <f>HYPERLINK("https://github.com/bumptech/glide/releases","show")</f>
        <v>show</v>
      </c>
    </row>
    <row r="129" spans="1:6">
      <c r="A129" t="s">
        <v>394</v>
      </c>
      <c r="B129" t="s">
        <v>395</v>
      </c>
      <c r="C129" t="s">
        <v>396</v>
      </c>
      <c r="D129" t="str">
        <f>HYPERLINK("https://github.com/radlib/radlib-cordova/issues/24","show")</f>
        <v>show</v>
      </c>
      <c r="E129" t="str">
        <f>HYPERLINK("https://github.com/radlib/radlib-cordova","show")</f>
        <v>show</v>
      </c>
      <c r="F129" t="str">
        <f>HYPERLINK("https://github.com/radlib/radlib-cordova/releases","show")</f>
        <v>show</v>
      </c>
    </row>
    <row r="130" spans="1:6">
      <c r="A130" t="s">
        <v>397</v>
      </c>
      <c r="B130" t="s">
        <v>398</v>
      </c>
      <c r="C130" t="s">
        <v>399</v>
      </c>
      <c r="D130" t="str">
        <f>HYPERLINK("https://github.com/zhuowei/Boardwalk/issues/141","show")</f>
        <v>show</v>
      </c>
      <c r="E130" t="str">
        <f>HYPERLINK("https://github.com/zhuowei/Boardwalk","show")</f>
        <v>show</v>
      </c>
      <c r="F130" t="str">
        <f>HYPERLINK("https://github.com/zhuowei/Boardwalk/releases","show")</f>
        <v>show</v>
      </c>
    </row>
    <row r="131" spans="1:6">
      <c r="A131" t="s">
        <v>400</v>
      </c>
      <c r="B131" t="s">
        <v>401</v>
      </c>
      <c r="C131" t="s">
        <v>402</v>
      </c>
      <c r="D131" t="str">
        <f>HYPERLINK("https://github.com/mozilla/webmaker-android/issues/1295","show")</f>
        <v>show</v>
      </c>
      <c r="E131" t="str">
        <f>HYPERLINK("https://github.com/mozilla/webmaker-android","show")</f>
        <v>show</v>
      </c>
      <c r="F131" t="str">
        <f>HYPERLINK("https://github.com/mozilla/webmaker-android/releases","show")</f>
        <v>show</v>
      </c>
    </row>
    <row r="132" spans="1:6">
      <c r="A132" t="s">
        <v>403</v>
      </c>
      <c r="B132" t="s">
        <v>404</v>
      </c>
      <c r="C132" t="s">
        <v>405</v>
      </c>
      <c r="D132" t="str">
        <f>HYPERLINK("https://github.com/mozilla/webmaker-android/issues/1294","show")</f>
        <v>show</v>
      </c>
      <c r="E132" t="str">
        <f>HYPERLINK("https://github.com/mozilla/webmaker-android","show")</f>
        <v>show</v>
      </c>
      <c r="F132" t="str">
        <f>HYPERLINK("https://github.com/mozilla/webmaker-android/releases","show")</f>
        <v>show</v>
      </c>
    </row>
    <row r="133" spans="1:6">
      <c r="A133" t="s">
        <v>406</v>
      </c>
      <c r="B133" t="s">
        <v>407</v>
      </c>
      <c r="C133" t="s">
        <v>408</v>
      </c>
      <c r="D133" t="str">
        <f>HYPERLINK("https://github.com/daneren2005/Subsonic/issues/459","show")</f>
        <v>show</v>
      </c>
      <c r="E133" t="str">
        <f>HYPERLINK("https://github.com/daneren2005/Subsonic","show")</f>
        <v>show</v>
      </c>
      <c r="F133" t="str">
        <f>HYPERLINK("https://github.com/daneren2005/Subsonic/releases","show")</f>
        <v>show</v>
      </c>
    </row>
    <row r="134" spans="1:6">
      <c r="A134" t="s">
        <v>409</v>
      </c>
      <c r="B134" t="s">
        <v>410</v>
      </c>
      <c r="C134" t="s">
        <v>411</v>
      </c>
      <c r="D134" t="str">
        <f>HYPERLINK("https://github.com/Any1s/RBTV-Sendeplan/issues/32","show")</f>
        <v>show</v>
      </c>
      <c r="E134" t="str">
        <f>HYPERLINK("https://github.com/Any1s/RBTV-Sendeplan","show")</f>
        <v>show</v>
      </c>
      <c r="F134" t="str">
        <f>HYPERLINK("https://github.com/Any1s/RBTV-Sendeplan/releases","show")</f>
        <v>show</v>
      </c>
    </row>
    <row r="135" spans="1:6">
      <c r="A135" t="s">
        <v>412</v>
      </c>
      <c r="B135" t="s">
        <v>413</v>
      </c>
      <c r="C135" t="s">
        <v>414</v>
      </c>
      <c r="D135" t="str">
        <f>HYPERLINK("https://github.com/hackguru/android-linkit-merchant/issues/6","show")</f>
        <v>show</v>
      </c>
      <c r="E135" t="str">
        <f>HYPERLINK("https://github.com/hackguru/android-linkit-merchant","show")</f>
        <v>show</v>
      </c>
      <c r="F135" t="str">
        <f>HYPERLINK("https://github.com/hackguru/android-linkit-merchant/releases","show")</f>
        <v>show</v>
      </c>
    </row>
    <row r="136" spans="1:6">
      <c r="A136" t="s">
        <v>415</v>
      </c>
      <c r="B136" t="s">
        <v>416</v>
      </c>
      <c r="C136" t="s">
        <v>417</v>
      </c>
      <c r="D136" t="str">
        <f>HYPERLINK("https://github.com/SCCapstone/IArch/issues/90","show")</f>
        <v>show</v>
      </c>
      <c r="E136" t="str">
        <f>HYPERLINK("https://github.com/SCCapstone/IArch","show")</f>
        <v>show</v>
      </c>
      <c r="F136" t="str">
        <f>HYPERLINK("https://github.com/SCCapstone/IArch/releases","show")</f>
        <v>show</v>
      </c>
    </row>
    <row r="137" spans="1:6">
      <c r="A137" t="s">
        <v>418</v>
      </c>
      <c r="B137" t="s">
        <v>419</v>
      </c>
      <c r="C137" t="s">
        <v>420</v>
      </c>
      <c r="D137" t="str">
        <f>HYPERLINK("https://github.com/SCCapstone/IArch/issues/89","show")</f>
        <v>show</v>
      </c>
      <c r="E137" t="str">
        <f>HYPERLINK("https://github.com/SCCapstone/IArch","show")</f>
        <v>show</v>
      </c>
      <c r="F137" t="str">
        <f>HYPERLINK("https://github.com/SCCapstone/IArch/releases","show")</f>
        <v>show</v>
      </c>
    </row>
    <row r="138" spans="1:6">
      <c r="A138" t="s">
        <v>421</v>
      </c>
      <c r="B138" t="s">
        <v>422</v>
      </c>
      <c r="C138" t="s">
        <v>423</v>
      </c>
      <c r="D138" t="str">
        <f>HYPERLINK("https://github.com/SCCapstone/IArch/issues/87","show")</f>
        <v>show</v>
      </c>
      <c r="E138" t="str">
        <f>HYPERLINK("https://github.com/SCCapstone/IArch","show")</f>
        <v>show</v>
      </c>
      <c r="F138" t="str">
        <f>HYPERLINK("https://github.com/SCCapstone/IArch/releases","show")</f>
        <v>show</v>
      </c>
    </row>
    <row r="139" spans="1:6">
      <c r="A139" t="s">
        <v>424</v>
      </c>
      <c r="B139" t="s">
        <v>425</v>
      </c>
      <c r="C139" t="s">
        <v>426</v>
      </c>
      <c r="D139" t="str">
        <f>HYPERLINK("https://github.com/liato/android-bankdroid/issues/433","show")</f>
        <v>show</v>
      </c>
      <c r="E139" t="str">
        <f>HYPERLINK("https://github.com/liato/android-bankdroid","show")</f>
        <v>show</v>
      </c>
      <c r="F139" t="str">
        <f>HYPERLINK("https://github.com/liato/android-bankdroid/releases","show")</f>
        <v>show</v>
      </c>
    </row>
    <row r="140" spans="1:6">
      <c r="A140" t="s">
        <v>427</v>
      </c>
      <c r="B140" t="s">
        <v>428</v>
      </c>
      <c r="C140" t="s">
        <v>429</v>
      </c>
      <c r="D140" t="str">
        <f>HYPERLINK("https://github.com/vickychijwani/quill/issues/21","show")</f>
        <v>show</v>
      </c>
      <c r="E140" t="str">
        <f>HYPERLINK("https://github.com/vickychijwani/quill","show")</f>
        <v>show</v>
      </c>
      <c r="F140" t="str">
        <f>HYPERLINK("https://github.com/vickychijwani/quill/releases","show")</f>
        <v>show</v>
      </c>
    </row>
    <row r="141" spans="1:6">
      <c r="A141" t="s">
        <v>430</v>
      </c>
      <c r="B141" t="s">
        <v>431</v>
      </c>
      <c r="C141" t="s">
        <v>432</v>
      </c>
      <c r="D141" t="str">
        <f>HYPERLINK("https://github.com/h6ah4i/android-advancedrecyclerview/issues/10","show")</f>
        <v>show</v>
      </c>
      <c r="E141" t="str">
        <f>HYPERLINK("https://github.com/h6ah4i/android-advancedrecyclerview","show")</f>
        <v>show</v>
      </c>
      <c r="F141" t="str">
        <f>HYPERLINK("https://github.com/h6ah4i/android-advancedrecyclerview/releases","show")</f>
        <v>show</v>
      </c>
    </row>
    <row r="142" spans="1:6">
      <c r="A142" t="s">
        <v>433</v>
      </c>
      <c r="B142" t="s">
        <v>434</v>
      </c>
      <c r="C142" t="s">
        <v>435</v>
      </c>
      <c r="D142" t="str">
        <f>HYPERLINK("https://github.com/jt19056/Notey/issues/22","show")</f>
        <v>show</v>
      </c>
      <c r="E142" t="str">
        <f>HYPERLINK("https://github.com/jt19056/Notey","show")</f>
        <v>show</v>
      </c>
      <c r="F142" t="str">
        <f>HYPERLINK("https://github.com/jt19056/Notey/releases","show")</f>
        <v>show</v>
      </c>
    </row>
    <row r="143" spans="1:6">
      <c r="A143" t="s">
        <v>436</v>
      </c>
      <c r="B143" t="s">
        <v>437</v>
      </c>
      <c r="C143" t="s">
        <v>438</v>
      </c>
      <c r="D143" t="str">
        <f>HYPERLINK("https://github.com/Any1s/RBTV-Sendeplan/issues/35","show")</f>
        <v>show</v>
      </c>
      <c r="E143" t="str">
        <f>HYPERLINK("https://github.com/Any1s/RBTV-Sendeplan","show")</f>
        <v>show</v>
      </c>
      <c r="F143" t="str">
        <f>HYPERLINK("https://github.com/Any1s/RBTV-Sendeplan/releases","show")</f>
        <v>show</v>
      </c>
    </row>
    <row r="144" spans="1:6">
      <c r="A144" t="s">
        <v>439</v>
      </c>
      <c r="B144" t="s">
        <v>440</v>
      </c>
      <c r="C144" t="s">
        <v>441</v>
      </c>
      <c r="D144" t="str">
        <f>HYPERLINK("https://github.com/mozilla/webmaker-android/issues/1402","show")</f>
        <v>show</v>
      </c>
      <c r="E144" t="str">
        <f>HYPERLINK("https://github.com/mozilla/webmaker-android","show")</f>
        <v>show</v>
      </c>
      <c r="F144" t="str">
        <f>HYPERLINK("https://github.com/mozilla/webmaker-android/releases","show")</f>
        <v>show</v>
      </c>
    </row>
    <row r="145" spans="1:6">
      <c r="A145" t="s">
        <v>442</v>
      </c>
      <c r="B145" t="s">
        <v>443</v>
      </c>
      <c r="C145" t="s">
        <v>444</v>
      </c>
      <c r="D145" t="str">
        <f>HYPERLINK("https://github.com/facebook/stetho/issues/76","show")</f>
        <v>show</v>
      </c>
      <c r="E145" t="str">
        <f>HYPERLINK("https://github.com/facebook/stetho","show")</f>
        <v>show</v>
      </c>
      <c r="F145" t="str">
        <f>HYPERLINK("https://github.com/facebook/stetho/releases","show")</f>
        <v>show</v>
      </c>
    </row>
    <row r="146" spans="1:6">
      <c r="A146" t="s">
        <v>445</v>
      </c>
      <c r="B146" t="s">
        <v>446</v>
      </c>
      <c r="C146" t="s">
        <v>447</v>
      </c>
      <c r="D146" t="str">
        <f>HYPERLINK("https://github.com/eugenkiss/chanobol/issues/121","show")</f>
        <v>show</v>
      </c>
      <c r="E146" t="str">
        <f>HYPERLINK("https://github.com/eugenkiss/chanobol","show")</f>
        <v>show</v>
      </c>
      <c r="F146" t="str">
        <f>HYPERLINK("https://github.com/eugenkiss/chanobol/releases","show")</f>
        <v>show</v>
      </c>
    </row>
    <row r="147" spans="1:6">
      <c r="A147" t="s">
        <v>448</v>
      </c>
      <c r="B147" t="s">
        <v>449</v>
      </c>
      <c r="C147" t="s">
        <v>450</v>
      </c>
      <c r="D147" t="str">
        <f>HYPERLINK("https://github.com/eugenkiss/chanobol/issues/120","show")</f>
        <v>show</v>
      </c>
      <c r="E147" t="str">
        <f>HYPERLINK("https://github.com/eugenkiss/chanobol","show")</f>
        <v>show</v>
      </c>
      <c r="F147" t="str">
        <f>HYPERLINK("https://github.com/eugenkiss/chanobol/releases","show")</f>
        <v>show</v>
      </c>
    </row>
    <row r="148" spans="1:6">
      <c r="A148" t="s">
        <v>451</v>
      </c>
      <c r="B148" t="s">
        <v>452</v>
      </c>
      <c r="C148" t="s">
        <v>453</v>
      </c>
      <c r="D148" t="str">
        <f>HYPERLINK("https://github.com/openbmap/radiocells-nlp-android/issues/1","show")</f>
        <v>show</v>
      </c>
      <c r="E148" t="str">
        <f>HYPERLINK("https://github.com/openbmap/radiocells-nlp-android","show")</f>
        <v>show</v>
      </c>
      <c r="F148" t="str">
        <f>HYPERLINK("https://github.com/openbmap/radiocells-nlp-android/releases","show")</f>
        <v>show</v>
      </c>
    </row>
    <row r="149" spans="1:6">
      <c r="A149" t="s">
        <v>454</v>
      </c>
      <c r="B149" t="s">
        <v>455</v>
      </c>
      <c r="C149" t="s">
        <v>456</v>
      </c>
      <c r="D149" t="str">
        <f>HYPERLINK("https://github.com/jt19056/Notey/issues/24","show")</f>
        <v>show</v>
      </c>
      <c r="E149" t="str">
        <f>HYPERLINK("https://github.com/jt19056/Notey","show")</f>
        <v>show</v>
      </c>
      <c r="F149" t="str">
        <f>HYPERLINK("https://github.com/jt19056/Notey/releases","show")</f>
        <v>show</v>
      </c>
    </row>
    <row r="150" spans="1:6">
      <c r="A150" t="s">
        <v>457</v>
      </c>
      <c r="B150" t="s">
        <v>458</v>
      </c>
      <c r="C150" t="s">
        <v>459</v>
      </c>
      <c r="D150" t="str">
        <f>HYPERLINK("https://github.com/eugenkiss/chanobol/issues/122","show")</f>
        <v>show</v>
      </c>
      <c r="E150" t="str">
        <f>HYPERLINK("https://github.com/eugenkiss/chanobol","show")</f>
        <v>show</v>
      </c>
      <c r="F150" t="str">
        <f>HYPERLINK("https://github.com/eugenkiss/chanobol/releases","show")</f>
        <v>show</v>
      </c>
    </row>
    <row r="151" spans="1:6">
      <c r="A151" t="s">
        <v>460</v>
      </c>
      <c r="B151" t="s">
        <v>461</v>
      </c>
      <c r="C151" t="s">
        <v>462</v>
      </c>
      <c r="D151" t="str">
        <f>HYPERLINK("https://github.com/libgdx/libgdx/issues/2886","show")</f>
        <v>show</v>
      </c>
      <c r="E151" t="str">
        <f>HYPERLINK("https://github.com/libgdx/libgdx","show")</f>
        <v>show</v>
      </c>
      <c r="F151" t="str">
        <f>HYPERLINK("https://github.com/libgdx/libgdx/releases","show")</f>
        <v>show</v>
      </c>
    </row>
    <row r="152" spans="1:6">
      <c r="A152" t="s">
        <v>463</v>
      </c>
      <c r="B152" t="s">
        <v>464</v>
      </c>
      <c r="C152" t="s">
        <v>465</v>
      </c>
      <c r="D152" t="str">
        <f>HYPERLINK("https://github.com/eugenkiss/chanobol/issues/123","show")</f>
        <v>show</v>
      </c>
      <c r="E152" t="str">
        <f>HYPERLINK("https://github.com/eugenkiss/chanobol","show")</f>
        <v>show</v>
      </c>
      <c r="F152" t="str">
        <f>HYPERLINK("https://github.com/eugenkiss/chanobol/releases","show")</f>
        <v>show</v>
      </c>
    </row>
    <row r="153" spans="1:6">
      <c r="A153" t="s">
        <v>466</v>
      </c>
      <c r="B153" t="s">
        <v>467</v>
      </c>
      <c r="C153" t="s">
        <v>468</v>
      </c>
      <c r="D153" t="str">
        <f>HYPERLINK("https://github.com/liato/android-bankdroid/issues/478","show")</f>
        <v>show</v>
      </c>
      <c r="E153" t="str">
        <f>HYPERLINK("https://github.com/liato/android-bankdroid","show")</f>
        <v>show</v>
      </c>
      <c r="F153" t="str">
        <f>HYPERLINK("https://github.com/liato/android-bankdroid/releases","show")</f>
        <v>show</v>
      </c>
    </row>
    <row r="154" spans="1:6">
      <c r="A154" t="s">
        <v>469</v>
      </c>
      <c r="B154" t="s">
        <v>470</v>
      </c>
      <c r="C154" t="s">
        <v>471</v>
      </c>
      <c r="D154" t="str">
        <f>HYPERLINK("https://github.com/liato/android-bankdroid/issues/475","show")</f>
        <v>show</v>
      </c>
      <c r="E154" t="str">
        <f>HYPERLINK("https://github.com/liato/android-bankdroid","show")</f>
        <v>show</v>
      </c>
      <c r="F154" t="str">
        <f>HYPERLINK("https://github.com/liato/android-bankdroid/releases","show")</f>
        <v>show</v>
      </c>
    </row>
    <row r="155" spans="1:6">
      <c r="A155" t="s">
        <v>472</v>
      </c>
      <c r="B155" t="s">
        <v>473</v>
      </c>
      <c r="C155" t="s">
        <v>474</v>
      </c>
      <c r="D155" t="str">
        <f>HYPERLINK("https://github.com/fixme-lausanne/MyHackerspace/issues/32","show")</f>
        <v>show</v>
      </c>
      <c r="E155" t="str">
        <f>HYPERLINK("https://github.com/fixme-lausanne/MyHackerspace","show")</f>
        <v>show</v>
      </c>
      <c r="F155" t="str">
        <f>HYPERLINK("https://github.com/fixme-lausanne/MyHackerspace/releases","show")</f>
        <v>show</v>
      </c>
    </row>
    <row r="156" spans="1:6">
      <c r="A156" t="s">
        <v>475</v>
      </c>
      <c r="B156" t="s">
        <v>476</v>
      </c>
      <c r="C156" t="s">
        <v>477</v>
      </c>
      <c r="D156" t="str">
        <f>HYPERLINK("https://github.com/JoanZapata/android-pdfview/issues/90","show")</f>
        <v>show</v>
      </c>
      <c r="E156" t="str">
        <f>HYPERLINK("https://github.com/JoanZapata/android-pdfview","show")</f>
        <v>show</v>
      </c>
      <c r="F156" t="str">
        <f>HYPERLINK("https://github.com/JoanZapata/android-pdfview/releases","show")</f>
        <v>show</v>
      </c>
    </row>
    <row r="157" spans="1:6">
      <c r="A157" t="s">
        <v>478</v>
      </c>
      <c r="B157" t="s">
        <v>479</v>
      </c>
      <c r="C157" t="s">
        <v>480</v>
      </c>
      <c r="D157" t="str">
        <f>HYPERLINK("https://github.com/SimenCodes/heads-up/issues/72","show")</f>
        <v>show</v>
      </c>
      <c r="E157" t="str">
        <f>HYPERLINK("https://github.com/SimenCodes/heads-up","show")</f>
        <v>show</v>
      </c>
      <c r="F157" t="str">
        <f>HYPERLINK("https://github.com/SimenCodes/heads-up/releases","show")</f>
        <v>show</v>
      </c>
    </row>
    <row r="158" spans="1:6">
      <c r="A158" t="s">
        <v>481</v>
      </c>
      <c r="B158" t="s">
        <v>482</v>
      </c>
      <c r="C158" t="s">
        <v>483</v>
      </c>
      <c r="D158" t="str">
        <f>HYPERLINK("https://github.com/piemasters/SmartLock/issues/5","show")</f>
        <v>show</v>
      </c>
      <c r="E158" t="str">
        <f>HYPERLINK("https://github.com/piemasters/SmartLock","show")</f>
        <v>show</v>
      </c>
      <c r="F158" t="str">
        <f>HYPERLINK("https://github.com/piemasters/SmartLock/releases","show")</f>
        <v>show</v>
      </c>
    </row>
    <row r="159" spans="1:6">
      <c r="A159" t="s">
        <v>484</v>
      </c>
      <c r="B159" t="s">
        <v>485</v>
      </c>
      <c r="C159" t="s">
        <v>486</v>
      </c>
      <c r="D159" t="str">
        <f>HYPERLINK("https://github.com/eugenkiss/chanobol/issues/129","show")</f>
        <v>show</v>
      </c>
      <c r="E159" t="str">
        <f>HYPERLINK("https://github.com/eugenkiss/chanobol","show")</f>
        <v>show</v>
      </c>
      <c r="F159" t="str">
        <f>HYPERLINK("https://github.com/eugenkiss/chanobol/releases","show")</f>
        <v>show</v>
      </c>
    </row>
    <row r="160" spans="1:6">
      <c r="A160" t="s">
        <v>487</v>
      </c>
      <c r="B160" t="s">
        <v>488</v>
      </c>
      <c r="C160" t="s">
        <v>489</v>
      </c>
      <c r="D160" t="str">
        <f>HYPERLINK("https://github.com/the-blue-alliance/the-blue-alliance-android/issues/343","show")</f>
        <v>show</v>
      </c>
      <c r="E160" t="str">
        <f>HYPERLINK("https://github.com/the-blue-alliance/the-blue-alliance-android","show")</f>
        <v>show</v>
      </c>
      <c r="F160" t="str">
        <f>HYPERLINK("https://github.com/the-blue-alliance/the-blue-alliance-android/releases","show")</f>
        <v>show</v>
      </c>
    </row>
    <row r="161" spans="1:6">
      <c r="A161" t="s">
        <v>490</v>
      </c>
      <c r="B161" t="s">
        <v>491</v>
      </c>
      <c r="C161" t="s">
        <v>492</v>
      </c>
      <c r="D161" t="str">
        <f>HYPERLINK("https://github.com/gdg-x/frisbee/issues/295","show")</f>
        <v>show</v>
      </c>
      <c r="E161" t="str">
        <f>HYPERLINK("https://github.com/gdg-x/frisbee","show")</f>
        <v>show</v>
      </c>
      <c r="F161" t="str">
        <f>HYPERLINK("https://github.com/gdg-x/frisbee/releases","show")</f>
        <v>show</v>
      </c>
    </row>
    <row r="162" spans="1:6">
      <c r="A162" t="s">
        <v>493</v>
      </c>
      <c r="B162" t="s">
        <v>494</v>
      </c>
      <c r="C162" t="s">
        <v>495</v>
      </c>
      <c r="D162" t="str">
        <f>HYPERLINK("https://github.com/glae/if_exceed_speed_limits_then_lower_music/issues/4","show")</f>
        <v>show</v>
      </c>
      <c r="E162" t="str">
        <f>HYPERLINK("https://github.com/glae/if_exceed_speed_limits_then_lower_music","show")</f>
        <v>show</v>
      </c>
      <c r="F162" t="str">
        <f>HYPERLINK("https://github.com/glae/if_exceed_speed_limits_then_lower_music/releases","show")</f>
        <v>show</v>
      </c>
    </row>
    <row r="163" spans="1:6">
      <c r="A163" t="s">
        <v>496</v>
      </c>
      <c r="B163" t="s">
        <v>497</v>
      </c>
      <c r="C163" t="s">
        <v>498</v>
      </c>
      <c r="D163" t="str">
        <f>HYPERLINK("https://github.com/gdg-x/frisbee/issues/301","show")</f>
        <v>show</v>
      </c>
      <c r="E163" t="str">
        <f>HYPERLINK("https://github.com/gdg-x/frisbee","show")</f>
        <v>show</v>
      </c>
      <c r="F163" t="str">
        <f>HYPERLINK("https://github.com/gdg-x/frisbee/releases","show")</f>
        <v>show</v>
      </c>
    </row>
    <row r="164" spans="1:6">
      <c r="A164" t="s">
        <v>499</v>
      </c>
      <c r="B164" t="s">
        <v>500</v>
      </c>
      <c r="C164" t="s">
        <v>501</v>
      </c>
      <c r="D164" t="str">
        <f>HYPERLINK("https://github.com/eugenkiss/chanobol/issues/134","show")</f>
        <v>show</v>
      </c>
      <c r="E164" t="str">
        <f>HYPERLINK("https://github.com/eugenkiss/chanobol","show")</f>
        <v>show</v>
      </c>
      <c r="F164" t="str">
        <f>HYPERLINK("https://github.com/eugenkiss/chanobol/releases","show")</f>
        <v>show</v>
      </c>
    </row>
    <row r="165" spans="1:6">
      <c r="A165" t="s">
        <v>502</v>
      </c>
      <c r="B165" t="s">
        <v>503</v>
      </c>
      <c r="C165" t="s">
        <v>504</v>
      </c>
      <c r="D165" t="str">
        <f>HYPERLINK("https://github.com/mixpanel/mixpanel-android/issues/180","show")</f>
        <v>show</v>
      </c>
      <c r="E165" t="str">
        <f>HYPERLINK("https://github.com/mixpanel/mixpanel-android","show")</f>
        <v>show</v>
      </c>
      <c r="F165" t="str">
        <f>HYPERLINK("https://github.com/mixpanel/mixpanel-android/releases","show")</f>
        <v>show</v>
      </c>
    </row>
    <row r="166" spans="1:6">
      <c r="A166" t="s">
        <v>505</v>
      </c>
      <c r="B166" t="s">
        <v>506</v>
      </c>
      <c r="C166" t="s">
        <v>507</v>
      </c>
      <c r="D166" t="str">
        <f>HYPERLINK("https://github.com/segmentio/analytics-android/issues/223","show")</f>
        <v>show</v>
      </c>
      <c r="E166" t="str">
        <f>HYPERLINK("https://github.com/segmentio/analytics-android","show")</f>
        <v>show</v>
      </c>
      <c r="F166" t="str">
        <f>HYPERLINK("https://github.com/segmentio/analytics-android/releases","show")</f>
        <v>show</v>
      </c>
    </row>
    <row r="167" spans="1:6">
      <c r="A167" t="s">
        <v>508</v>
      </c>
      <c r="B167" t="s">
        <v>509</v>
      </c>
      <c r="C167" t="s">
        <v>510</v>
      </c>
      <c r="D167" t="str">
        <f>HYPERLINK("https://github.com/eugenkiss/chanobol/issues/137","show")</f>
        <v>show</v>
      </c>
      <c r="E167" t="str">
        <f>HYPERLINK("https://github.com/eugenkiss/chanobol","show")</f>
        <v>show</v>
      </c>
      <c r="F167" t="str">
        <f>HYPERLINK("https://github.com/eugenkiss/chanobol/releases","show")</f>
        <v>show</v>
      </c>
    </row>
    <row r="168" spans="1:6">
      <c r="A168" t="s">
        <v>511</v>
      </c>
      <c r="B168" t="s">
        <v>512</v>
      </c>
      <c r="C168" t="s">
        <v>513</v>
      </c>
      <c r="D168" t="str">
        <f>HYPERLINK("https://github.com/giletvin/ornidroid/issues/134","show")</f>
        <v>show</v>
      </c>
      <c r="E168" t="str">
        <f>HYPERLINK("https://github.com/giletvin/ornidroid","show")</f>
        <v>show</v>
      </c>
      <c r="F168" t="str">
        <f>HYPERLINK("https://github.com/giletvin/ornidroid/releases","show")</f>
        <v>show</v>
      </c>
    </row>
    <row r="169" spans="1:6">
      <c r="A169" t="s">
        <v>514</v>
      </c>
      <c r="B169" t="s">
        <v>515</v>
      </c>
      <c r="C169" t="s">
        <v>516</v>
      </c>
      <c r="D169" t="str">
        <f>HYPERLINK("https://github.com/dimagi/commcare-android/issues/181","show")</f>
        <v>show</v>
      </c>
      <c r="E169" t="str">
        <f>HYPERLINK("https://github.com/dimagi/commcare-android","show")</f>
        <v>show</v>
      </c>
      <c r="F169" t="str">
        <f>HYPERLINK("https://github.com/dimagi/commcare-android/releases","show")</f>
        <v>show</v>
      </c>
    </row>
    <row r="170" spans="1:6">
      <c r="A170" t="s">
        <v>517</v>
      </c>
      <c r="B170" t="s">
        <v>518</v>
      </c>
      <c r="C170" t="s">
        <v>519</v>
      </c>
      <c r="D170" t="str">
        <f>HYPERLINK("https://github.com/Cloudkibo/Android/issues/2","show")</f>
        <v>show</v>
      </c>
      <c r="E170" t="str">
        <f>HYPERLINK("https://github.com/Cloudkibo/Android","show")</f>
        <v>show</v>
      </c>
      <c r="F170" t="str">
        <f>HYPERLINK("https://github.com/Cloudkibo/Android/releases","show")</f>
        <v>show</v>
      </c>
    </row>
    <row r="171" spans="1:6">
      <c r="A171" t="s">
        <v>520</v>
      </c>
      <c r="B171" t="s">
        <v>521</v>
      </c>
      <c r="C171" t="s">
        <v>522</v>
      </c>
      <c r="D171" t="str">
        <f>HYPERLINK("https://github.com/indication/OpenRedmine/issues/155","show")</f>
        <v>show</v>
      </c>
      <c r="E171" t="str">
        <f>HYPERLINK("https://github.com/indication/OpenRedmine","show")</f>
        <v>show</v>
      </c>
      <c r="F171" t="str">
        <f>HYPERLINK("https://github.com/indication/OpenRedmine/releases","show")</f>
        <v>show</v>
      </c>
    </row>
    <row r="172" spans="1:6">
      <c r="A172" t="s">
        <v>523</v>
      </c>
      <c r="B172" t="s">
        <v>524</v>
      </c>
      <c r="C172" t="s">
        <v>525</v>
      </c>
      <c r="D172" t="str">
        <f>HYPERLINK("https://github.com/clintonhealthaccess/chailmis-android/issues/111","show")</f>
        <v>show</v>
      </c>
      <c r="E172" t="str">
        <f>HYPERLINK("https://github.com/clintonhealthaccess/chailmis-android","show")</f>
        <v>show</v>
      </c>
      <c r="F172" t="str">
        <f>HYPERLINK("https://github.com/clintonhealthaccess/chailmis-android/releases","show")</f>
        <v>show</v>
      </c>
    </row>
    <row r="173" spans="1:6">
      <c r="A173" t="s">
        <v>526</v>
      </c>
      <c r="B173" t="s">
        <v>527</v>
      </c>
      <c r="C173" t="s">
        <v>528</v>
      </c>
      <c r="D173" t="str">
        <f>HYPERLINK("https://github.com/wordpress-mobile/MediaPicker-Android/issues/3","show")</f>
        <v>show</v>
      </c>
      <c r="E173" t="str">
        <f>HYPERLINK("https://github.com/wordpress-mobile/MediaPicker-Android","show")</f>
        <v>show</v>
      </c>
      <c r="F173" t="str">
        <f>HYPERLINK("https://github.com/wordpress-mobile/MediaPicker-Android/releases","show")</f>
        <v>show</v>
      </c>
    </row>
    <row r="174" spans="1:6">
      <c r="A174" t="s">
        <v>529</v>
      </c>
      <c r="B174" t="s">
        <v>530</v>
      </c>
      <c r="C174" t="s">
        <v>531</v>
      </c>
      <c r="D174" t="str">
        <f>HYPERLINK("https://github.com/nilsbraden/ttrss-reader-fork/issues/260","show")</f>
        <v>show</v>
      </c>
      <c r="E174" t="str">
        <f>HYPERLINK("https://github.com/nilsbraden/ttrss-reader-fork","show")</f>
        <v>show</v>
      </c>
      <c r="F174" t="str">
        <f>HYPERLINK("https://github.com/nilsbraden/ttrss-reader-fork/releases","show")</f>
        <v>show</v>
      </c>
    </row>
    <row r="175" spans="1:6">
      <c r="A175" t="s">
        <v>532</v>
      </c>
      <c r="B175" t="s">
        <v>533</v>
      </c>
      <c r="C175" t="s">
        <v>534</v>
      </c>
      <c r="D175" t="str">
        <f>HYPERLINK("https://github.com/mvysny/aedict/issues/437","show")</f>
        <v>show</v>
      </c>
      <c r="E175" t="str">
        <f>HYPERLINK("https://github.com/mvysny/aedict","show")</f>
        <v>show</v>
      </c>
      <c r="F175" t="str">
        <f>HYPERLINK("https://github.com/mvysny/aedict/releases","show")</f>
        <v>show</v>
      </c>
    </row>
    <row r="176" spans="1:6">
      <c r="A176" t="s">
        <v>535</v>
      </c>
      <c r="B176" t="s">
        <v>536</v>
      </c>
      <c r="C176" t="s">
        <v>537</v>
      </c>
      <c r="D176" t="str">
        <f>HYPERLINK("https://github.com/syncthing/syncthing-android/issues/244","show")</f>
        <v>show</v>
      </c>
      <c r="E176" t="str">
        <f>HYPERLINK("https://github.com/syncthing/syncthing-android","show")</f>
        <v>show</v>
      </c>
      <c r="F176" t="str">
        <f>HYPERLINK("https://github.com/syncthing/syncthing-android/releases","show")</f>
        <v>show</v>
      </c>
    </row>
    <row r="177" spans="1:6">
      <c r="A177" t="s">
        <v>538</v>
      </c>
      <c r="B177" t="s">
        <v>539</v>
      </c>
      <c r="C177" t="s">
        <v>540</v>
      </c>
      <c r="D177" t="str">
        <f>HYPERLINK("https://github.com/dimagi/commcare-android/issues/186","show")</f>
        <v>show</v>
      </c>
      <c r="E177" t="str">
        <f>HYPERLINK("https://github.com/dimagi/commcare-android","show")</f>
        <v>show</v>
      </c>
      <c r="F177" t="str">
        <f>HYPERLINK("https://github.com/dimagi/commcare-android/releases","show")</f>
        <v>show</v>
      </c>
    </row>
    <row r="178" spans="1:6">
      <c r="A178" t="s">
        <v>541</v>
      </c>
      <c r="B178" t="s">
        <v>542</v>
      </c>
      <c r="C178" t="s">
        <v>543</v>
      </c>
      <c r="D178" t="str">
        <f>HYPERLINK("https://github.com/nfcgate/nfcgate/issues/62","show")</f>
        <v>show</v>
      </c>
      <c r="E178" t="str">
        <f>HYPERLINK("https://github.com/nfcgate/nfcgate","show")</f>
        <v>show</v>
      </c>
      <c r="F178" t="str">
        <f>HYPERLINK("https://github.com/nfcgate/nfcgate/releases","show")</f>
        <v>show</v>
      </c>
    </row>
    <row r="179" spans="1:6">
      <c r="A179" t="s">
        <v>544</v>
      </c>
      <c r="B179" t="s">
        <v>545</v>
      </c>
      <c r="C179" t="s">
        <v>546</v>
      </c>
      <c r="D179" t="str">
        <f>HYPERLINK("https://github.com/riul88/call-recorder-for-android/issues/11","show")</f>
        <v>show</v>
      </c>
      <c r="E179" t="str">
        <f>HYPERLINK("https://github.com/riul88/call-recorder-for-android","show")</f>
        <v>show</v>
      </c>
      <c r="F179" t="str">
        <f>HYPERLINK("https://github.com/riul88/call-recorder-for-android/releases","show")</f>
        <v>show</v>
      </c>
    </row>
    <row r="180" spans="1:6">
      <c r="A180" t="s">
        <v>547</v>
      </c>
      <c r="B180" t="s">
        <v>548</v>
      </c>
      <c r="C180" t="s">
        <v>549</v>
      </c>
      <c r="D180" t="str">
        <f>HYPERLINK("https://github.com/ruiaraujo/sifeup-mobile/issues/18","show")</f>
        <v>show</v>
      </c>
      <c r="E180" t="str">
        <f>HYPERLINK("https://github.com/ruiaraujo/sifeup-mobile","show")</f>
        <v>show</v>
      </c>
      <c r="F180" t="str">
        <f>HYPERLINK("https://github.com/ruiaraujo/sifeup-mobile/releases","show")</f>
        <v>show</v>
      </c>
    </row>
    <row r="181" spans="1:6">
      <c r="A181" t="s">
        <v>550</v>
      </c>
      <c r="B181" t="s">
        <v>551</v>
      </c>
      <c r="C181" t="s">
        <v>552</v>
      </c>
      <c r="D181" t="str">
        <f>HYPERLINK("https://github.com/square/okhttp/issues/1512","show")</f>
        <v>show</v>
      </c>
      <c r="E181" t="str">
        <f>HYPERLINK("https://github.com/square/okhttp","show")</f>
        <v>show</v>
      </c>
      <c r="F181" t="str">
        <f>HYPERLINK("https://github.com/square/okhttp/releases","show")</f>
        <v>show</v>
      </c>
    </row>
    <row r="182" spans="1:6">
      <c r="A182" t="s">
        <v>553</v>
      </c>
      <c r="B182" t="s">
        <v>554</v>
      </c>
      <c r="C182" t="s">
        <v>555</v>
      </c>
      <c r="D182" t="str">
        <f>HYPERLINK("https://github.com/chennaione/sugar/issues/279","show")</f>
        <v>show</v>
      </c>
      <c r="E182" t="str">
        <f>HYPERLINK("https://github.com/chennaione/sugar","show")</f>
        <v>show</v>
      </c>
      <c r="F182" t="str">
        <f>HYPERLINK("https://github.com/chennaione/sugar/releases","show")</f>
        <v>show</v>
      </c>
    </row>
    <row r="183" spans="1:6">
      <c r="A183" t="s">
        <v>556</v>
      </c>
      <c r="B183" t="s">
        <v>557</v>
      </c>
      <c r="C183" t="s">
        <v>558</v>
      </c>
      <c r="D183" t="str">
        <f>HYPERLINK("https://github.com/Rajawali/Rajawali/issues/1383","show")</f>
        <v>show</v>
      </c>
      <c r="E183" t="str">
        <f>HYPERLINK("https://github.com/Rajawali/Rajawali","show")</f>
        <v>show</v>
      </c>
      <c r="F183" t="str">
        <f>HYPERLINK("https://github.com/Rajawali/Rajawali/releases","show")</f>
        <v>show</v>
      </c>
    </row>
    <row r="184" spans="1:6">
      <c r="A184" t="s">
        <v>559</v>
      </c>
      <c r="B184" t="s">
        <v>560</v>
      </c>
      <c r="C184" t="s">
        <v>561</v>
      </c>
      <c r="D184" t="str">
        <f>HYPERLINK("https://github.com/dimagi/commcare-android/issues/187","show")</f>
        <v>show</v>
      </c>
      <c r="E184" t="str">
        <f>HYPERLINK("https://github.com/dimagi/commcare-android","show")</f>
        <v>show</v>
      </c>
      <c r="F184" t="str">
        <f>HYPERLINK("https://github.com/dimagi/commcare-android/releases","show")</f>
        <v>show</v>
      </c>
    </row>
    <row r="185" spans="1:6">
      <c r="A185" t="s">
        <v>562</v>
      </c>
      <c r="B185" t="s">
        <v>563</v>
      </c>
      <c r="C185" t="s">
        <v>564</v>
      </c>
      <c r="D185" t="str">
        <f>HYPERLINK("https://github.com/mixpanel/mixpanel-android/issues/189","show")</f>
        <v>show</v>
      </c>
      <c r="E185" t="str">
        <f>HYPERLINK("https://github.com/mixpanel/mixpanel-android","show")</f>
        <v>show</v>
      </c>
      <c r="F185" t="str">
        <f>HYPERLINK("https://github.com/mixpanel/mixpanel-android/releases","show")</f>
        <v>show</v>
      </c>
    </row>
    <row r="186" spans="1:6">
      <c r="A186" t="s">
        <v>565</v>
      </c>
      <c r="B186" t="s">
        <v>566</v>
      </c>
      <c r="C186" t="s">
        <v>567</v>
      </c>
      <c r="D186" t="str">
        <f>HYPERLINK("https://github.com/spacecowboy/NoNonsense-FilePicker/issues/12","show")</f>
        <v>show</v>
      </c>
      <c r="E186" t="str">
        <f>HYPERLINK("https://github.com/spacecowboy/NoNonsense-FilePicker","show")</f>
        <v>show</v>
      </c>
      <c r="F186" t="str">
        <f>HYPERLINK("https://github.com/spacecowboy/NoNonsense-FilePicker/releases","show")</f>
        <v>show</v>
      </c>
    </row>
    <row r="187" spans="1:6">
      <c r="A187" t="s">
        <v>568</v>
      </c>
      <c r="B187" t="s">
        <v>569</v>
      </c>
      <c r="C187" t="s">
        <v>570</v>
      </c>
      <c r="D187" t="str">
        <f>HYPERLINK("https://github.com/iBotPeaches/Apktool/issues/745","show")</f>
        <v>show</v>
      </c>
      <c r="E187" t="str">
        <f>HYPERLINK("https://github.com/iBotPeaches/Apktool","show")</f>
        <v>show</v>
      </c>
      <c r="F187" t="str">
        <f>HYPERLINK("https://github.com/iBotPeaches/Apktool/releases","show")</f>
        <v>show</v>
      </c>
    </row>
    <row r="188" spans="1:6">
      <c r="A188" t="s">
        <v>571</v>
      </c>
      <c r="B188" t="s">
        <v>572</v>
      </c>
      <c r="C188" t="s">
        <v>573</v>
      </c>
      <c r="D188" t="str">
        <f>HYPERLINK("https://github.com/iBotPeaches/Apktool/issues/712","show")</f>
        <v>show</v>
      </c>
      <c r="E188" t="str">
        <f>HYPERLINK("https://github.com/iBotPeaches/Apktool","show")</f>
        <v>show</v>
      </c>
      <c r="F188" t="str">
        <f>HYPERLINK("https://github.com/iBotPeaches/Apktool/releases","show")</f>
        <v>show</v>
      </c>
    </row>
    <row r="189" spans="1:6">
      <c r="A189" t="s">
        <v>574</v>
      </c>
      <c r="B189" t="s">
        <v>575</v>
      </c>
      <c r="C189" t="s">
        <v>576</v>
      </c>
      <c r="D189" t="str">
        <f>HYPERLINK("https://github.com/bumptech/glide/issues/372","show")</f>
        <v>show</v>
      </c>
      <c r="E189" t="str">
        <f>HYPERLINK("https://github.com/bumptech/glide","show")</f>
        <v>show</v>
      </c>
      <c r="F189" t="str">
        <f>HYPERLINK("https://github.com/bumptech/glide/releases","show")</f>
        <v>show</v>
      </c>
    </row>
    <row r="190" spans="1:6">
      <c r="A190" t="s">
        <v>577</v>
      </c>
      <c r="B190" t="s">
        <v>578</v>
      </c>
      <c r="C190" t="s">
        <v>579</v>
      </c>
      <c r="D190" t="str">
        <f>HYPERLINK("https://github.com/iBotPeaches/Apktool/issues/315","show")</f>
        <v>show</v>
      </c>
      <c r="E190" t="str">
        <f>HYPERLINK("https://github.com/iBotPeaches/Apktool","show")</f>
        <v>show</v>
      </c>
      <c r="F190" t="str">
        <f>HYPERLINK("https://github.com/iBotPeaches/Apktool/releases","show")</f>
        <v>show</v>
      </c>
    </row>
    <row r="191" spans="1:6">
      <c r="A191" t="s">
        <v>580</v>
      </c>
      <c r="B191" t="s">
        <v>581</v>
      </c>
      <c r="C191" t="s">
        <v>582</v>
      </c>
      <c r="D191" t="str">
        <f>HYPERLINK("https://github.com/google/google-authenticator-android/issues/14","show")</f>
        <v>show</v>
      </c>
      <c r="E191" t="str">
        <f>HYPERLINK("https://github.com/google/google-authenticator-android","show")</f>
        <v>show</v>
      </c>
      <c r="F191" t="str">
        <f>HYPERLINK("https://github.com/google/google-authenticator-android/releases","show")</f>
        <v>show</v>
      </c>
    </row>
    <row r="192" spans="1:6">
      <c r="A192" t="s">
        <v>583</v>
      </c>
      <c r="B192" t="s">
        <v>584</v>
      </c>
      <c r="C192" t="s">
        <v>585</v>
      </c>
      <c r="D192" t="str">
        <f>HYPERLINK("https://github.com/dimagi/commcare-android/issues/190","show")</f>
        <v>show</v>
      </c>
      <c r="E192" t="str">
        <f>HYPERLINK("https://github.com/dimagi/commcare-android","show")</f>
        <v>show</v>
      </c>
      <c r="F192" t="str">
        <f>HYPERLINK("https://github.com/dimagi/commcare-android/releases","show")</f>
        <v>show</v>
      </c>
    </row>
    <row r="193" spans="1:6">
      <c r="A193" t="s">
        <v>586</v>
      </c>
      <c r="B193" t="s">
        <v>587</v>
      </c>
      <c r="C193" t="s">
        <v>588</v>
      </c>
      <c r="D193" t="str">
        <f>HYPERLINK("https://github.com/syncthing/syncthing-android/issues/262","show")</f>
        <v>show</v>
      </c>
      <c r="E193" t="str">
        <f>HYPERLINK("https://github.com/syncthing/syncthing-android","show")</f>
        <v>show</v>
      </c>
      <c r="F193" t="str">
        <f>HYPERLINK("https://github.com/syncthing/syncthing-android/releases","show")</f>
        <v>show</v>
      </c>
    </row>
    <row r="194" spans="1:6">
      <c r="A194" t="s">
        <v>589</v>
      </c>
      <c r="B194" t="s">
        <v>590</v>
      </c>
      <c r="C194" t="s">
        <v>591</v>
      </c>
      <c r="D194" t="str">
        <f>HYPERLINK("https://github.com/libgdx/libgdx/issues/2964","show")</f>
        <v>show</v>
      </c>
      <c r="E194" t="str">
        <f>HYPERLINK("https://github.com/libgdx/libgdx","show")</f>
        <v>show</v>
      </c>
      <c r="F194" t="str">
        <f>HYPERLINK("https://github.com/libgdx/libgdx/releases","show")</f>
        <v>show</v>
      </c>
    </row>
    <row r="195" spans="1:6">
      <c r="A195" t="s">
        <v>592</v>
      </c>
      <c r="B195" t="s">
        <v>593</v>
      </c>
      <c r="C195" t="s">
        <v>594</v>
      </c>
      <c r="D195" t="str">
        <f>HYPERLINK("https://github.com/jcricket/gwt-syncproxy/issues/44","show")</f>
        <v>show</v>
      </c>
      <c r="E195" t="str">
        <f>HYPERLINK("https://github.com/jcricket/gwt-syncproxy","show")</f>
        <v>show</v>
      </c>
      <c r="F195" t="str">
        <f>HYPERLINK("https://github.com/jcricket/gwt-syncproxy/releases","show")</f>
        <v>show</v>
      </c>
    </row>
    <row r="196" spans="1:6">
      <c r="A196" t="s">
        <v>595</v>
      </c>
      <c r="B196" t="s">
        <v>596</v>
      </c>
      <c r="C196" t="s">
        <v>597</v>
      </c>
      <c r="D196" t="str">
        <f>HYPERLINK("https://github.com/bumptech/glide/issues/374","show")</f>
        <v>show</v>
      </c>
      <c r="E196" t="str">
        <f>HYPERLINK("https://github.com/bumptech/glide","show")</f>
        <v>show</v>
      </c>
      <c r="F196" t="str">
        <f>HYPERLINK("https://github.com/bumptech/glide/releases","show")</f>
        <v>show</v>
      </c>
    </row>
    <row r="197" spans="1:6">
      <c r="A197" t="s">
        <v>598</v>
      </c>
      <c r="B197" t="s">
        <v>599</v>
      </c>
      <c r="C197" t="s">
        <v>600</v>
      </c>
      <c r="D197" t="str">
        <f>HYPERLINK("https://github.com/lecho/hellocharts-android/issues/105","show")</f>
        <v>show</v>
      </c>
      <c r="E197" t="str">
        <f>HYPERLINK("https://github.com/lecho/hellocharts-android","show")</f>
        <v>show</v>
      </c>
      <c r="F197" t="str">
        <f>HYPERLINK("https://github.com/lecho/hellocharts-android/releases","show")</f>
        <v>show</v>
      </c>
    </row>
    <row r="198" spans="1:6">
      <c r="A198" t="s">
        <v>601</v>
      </c>
      <c r="B198" t="s">
        <v>602</v>
      </c>
      <c r="C198" t="s">
        <v>603</v>
      </c>
      <c r="D198" t="str">
        <f>HYPERLINK("https://github.com/syncthing/syncthing-android/issues/289","show")</f>
        <v>show</v>
      </c>
      <c r="E198" t="str">
        <f>HYPERLINK("https://github.com/syncthing/syncthing-android","show")</f>
        <v>show</v>
      </c>
      <c r="F198" t="str">
        <f>HYPERLINK("https://github.com/syncthing/syncthing-android/releases","show")</f>
        <v>show</v>
      </c>
    </row>
    <row r="199" spans="1:6">
      <c r="A199" t="s">
        <v>604</v>
      </c>
      <c r="B199" t="s">
        <v>605</v>
      </c>
      <c r="C199" t="s">
        <v>606</v>
      </c>
      <c r="D199" t="str">
        <f>HYPERLINK("https://github.com/syncthing/syncthing-android/issues/302","show")</f>
        <v>show</v>
      </c>
      <c r="E199" t="str">
        <f>HYPERLINK("https://github.com/syncthing/syncthing-android","show")</f>
        <v>show</v>
      </c>
      <c r="F199" t="str">
        <f>HYPERLINK("https://github.com/syncthing/syncthing-android/releases","show")</f>
        <v>show</v>
      </c>
    </row>
    <row r="200" spans="1:6">
      <c r="A200" t="s">
        <v>607</v>
      </c>
      <c r="B200" t="s">
        <v>608</v>
      </c>
      <c r="C200" t="s">
        <v>609</v>
      </c>
      <c r="D200" t="str">
        <f>HYPERLINK("https://github.com/google/google-authenticator-android/issues/15","show")</f>
        <v>show</v>
      </c>
      <c r="E200" t="str">
        <f>HYPERLINK("https://github.com/google/google-authenticator-android","show")</f>
        <v>show</v>
      </c>
      <c r="F200" t="str">
        <f>HYPERLINK("https://github.com/google/google-authenticator-android/releases","show")</f>
        <v>show</v>
      </c>
    </row>
    <row r="201" spans="1:6">
      <c r="A201" t="s">
        <v>610</v>
      </c>
      <c r="B201" t="s">
        <v>611</v>
      </c>
      <c r="C201" t="s">
        <v>612</v>
      </c>
      <c r="D201" t="str">
        <f>HYPERLINK("https://github.com/aikuma/aikuma/issues/418","show")</f>
        <v>show</v>
      </c>
      <c r="E201" t="str">
        <f>HYPERLINK("https://github.com/aikuma/aikuma","show")</f>
        <v>show</v>
      </c>
      <c r="F201" t="str">
        <f>HYPERLINK("https://github.com/aikuma/aikuma/releases","show")</f>
        <v>show</v>
      </c>
    </row>
    <row r="202" spans="1:6">
      <c r="A202" t="s">
        <v>613</v>
      </c>
      <c r="B202" t="s">
        <v>614</v>
      </c>
      <c r="C202" t="s">
        <v>615</v>
      </c>
      <c r="D202" t="str">
        <f>HYPERLINK("https://github.com/cSploit/android/issues/118","show")</f>
        <v>show</v>
      </c>
      <c r="E202" t="str">
        <f>HYPERLINK("https://github.com/cSploit/android","show")</f>
        <v>show</v>
      </c>
      <c r="F202" t="str">
        <f>HYPERLINK("https://github.com/cSploit/android/releases","show")</f>
        <v>show</v>
      </c>
    </row>
    <row r="203" spans="1:6">
      <c r="A203" t="s">
        <v>616</v>
      </c>
      <c r="B203" t="s">
        <v>617</v>
      </c>
      <c r="C203" t="s">
        <v>618</v>
      </c>
      <c r="D203" t="str">
        <f>HYPERLINK("https://github.com/Stuart-campbell/RushOrm/issues/17","show")</f>
        <v>show</v>
      </c>
      <c r="E203" t="str">
        <f>HYPERLINK("https://github.com/Stuart-campbell/RushOrm","show")</f>
        <v>show</v>
      </c>
      <c r="F203" t="str">
        <f>HYPERLINK("https://github.com/Stuart-campbell/RushOrm/releases","show")</f>
        <v>show</v>
      </c>
    </row>
    <row r="204" spans="1:6">
      <c r="A204" t="s">
        <v>619</v>
      </c>
      <c r="B204" t="s">
        <v>620</v>
      </c>
      <c r="C204" t="s">
        <v>621</v>
      </c>
      <c r="D204" t="str">
        <f>HYPERLINK("https://github.com/eugenkiss/chanobol/issues/160","show")</f>
        <v>show</v>
      </c>
      <c r="E204" t="str">
        <f>HYPERLINK("https://github.com/eugenkiss/chanobol","show")</f>
        <v>show</v>
      </c>
      <c r="F204" t="str">
        <f>HYPERLINK("https://github.com/eugenkiss/chanobol/releases","show")</f>
        <v>show</v>
      </c>
    </row>
    <row r="205" spans="1:6">
      <c r="A205" t="s">
        <v>622</v>
      </c>
      <c r="B205" t="s">
        <v>623</v>
      </c>
      <c r="C205" t="s">
        <v>624</v>
      </c>
      <c r="D205" t="str">
        <f>HYPERLINK("https://github.com/connectbot/connectbot/issues/62","show")</f>
        <v>show</v>
      </c>
      <c r="E205" t="str">
        <f>HYPERLINK("https://github.com/connectbot/connectbot","show")</f>
        <v>show</v>
      </c>
      <c r="F205" t="str">
        <f>HYPERLINK("https://github.com/connectbot/connectbot/releases","show")</f>
        <v>show</v>
      </c>
    </row>
    <row r="206" spans="1:6">
      <c r="A206" t="s">
        <v>625</v>
      </c>
      <c r="B206" t="s">
        <v>626</v>
      </c>
      <c r="C206" t="s">
        <v>627</v>
      </c>
      <c r="D206" t="str">
        <f>HYPERLINK("https://github.com/MythTV-Clients/MythtvPlayerForAndroid/issues/17","show")</f>
        <v>show</v>
      </c>
      <c r="E206" t="str">
        <f>HYPERLINK("https://github.com/MythTV-Clients/MythtvPlayerForAndroid","show")</f>
        <v>show</v>
      </c>
      <c r="F206" t="str">
        <f>HYPERLINK("https://github.com/MythTV-Clients/MythtvPlayerForAndroid/releases","show")</f>
        <v>show</v>
      </c>
    </row>
    <row r="207" spans="1:6">
      <c r="A207" t="s">
        <v>628</v>
      </c>
      <c r="B207" t="s">
        <v>629</v>
      </c>
      <c r="C207" t="s">
        <v>630</v>
      </c>
      <c r="D207" t="str">
        <f>HYPERLINK("https://github.com/Natio/Places/issues/63","show")</f>
        <v>show</v>
      </c>
      <c r="E207" t="str">
        <f>HYPERLINK("https://github.com/Natio/Places","show")</f>
        <v>show</v>
      </c>
      <c r="F207" t="str">
        <f>HYPERLINK("https://github.com/Natio/Places/releases","show")</f>
        <v>show</v>
      </c>
    </row>
    <row r="208" spans="1:6">
      <c r="A208" t="s">
        <v>631</v>
      </c>
      <c r="B208" t="s">
        <v>632</v>
      </c>
      <c r="C208" t="s">
        <v>633</v>
      </c>
      <c r="D208" t="str">
        <f>HYPERLINK("https://github.com/Bathlamos/RTDC/issues/48","show")</f>
        <v>show</v>
      </c>
      <c r="E208" t="str">
        <f>HYPERLINK("https://github.com/Bathlamos/RTDC","show")</f>
        <v>show</v>
      </c>
      <c r="F208" t="str">
        <f>HYPERLINK("https://github.com/Bathlamos/RTDC/releases","show")</f>
        <v>show</v>
      </c>
    </row>
    <row r="209" spans="1:6">
      <c r="A209" t="s">
        <v>634</v>
      </c>
      <c r="B209" t="s">
        <v>635</v>
      </c>
      <c r="C209" t="s">
        <v>636</v>
      </c>
      <c r="D209" t="str">
        <f>HYPERLINK("https://github.com/marverenic/Jockey/issues/4","show")</f>
        <v>show</v>
      </c>
      <c r="E209" t="str">
        <f>HYPERLINK("https://github.com/marverenic/Jockey","show")</f>
        <v>show</v>
      </c>
      <c r="F209" t="str">
        <f>HYPERLINK("https://github.com/marverenic/Jockey/releases","show")</f>
        <v>show</v>
      </c>
    </row>
    <row r="210" spans="1:6">
      <c r="A210" t="s">
        <v>637</v>
      </c>
      <c r="B210" t="s">
        <v>638</v>
      </c>
      <c r="C210" t="s">
        <v>639</v>
      </c>
      <c r="D210" t="str">
        <f>HYPERLINK("https://github.com/rey5137/material/issues/7","show")</f>
        <v>show</v>
      </c>
      <c r="E210" t="str">
        <f>HYPERLINK("https://github.com/rey5137/material","show")</f>
        <v>show</v>
      </c>
      <c r="F210" t="str">
        <f>HYPERLINK("https://github.com/rey5137/material/releases","show")</f>
        <v>show</v>
      </c>
    </row>
    <row r="211" spans="1:6">
      <c r="A211" t="s">
        <v>640</v>
      </c>
      <c r="B211" t="s">
        <v>641</v>
      </c>
      <c r="C211" t="s">
        <v>642</v>
      </c>
      <c r="D211" t="str">
        <f>HYPERLINK("https://github.com/mozilla/MozStumbler/issues/1600","show")</f>
        <v>show</v>
      </c>
      <c r="E211" t="str">
        <f>HYPERLINK("https://github.com/mozilla/MozStumbler","show")</f>
        <v>show</v>
      </c>
      <c r="F211" t="str">
        <f>HYPERLINK("https://github.com/mozilla/MozStumbler/releases","show")</f>
        <v>show</v>
      </c>
    </row>
    <row r="212" spans="1:6">
      <c r="A212" t="s">
        <v>643</v>
      </c>
      <c r="B212" t="s">
        <v>644</v>
      </c>
      <c r="C212" t="s">
        <v>645</v>
      </c>
      <c r="D212" t="str">
        <f>HYPERLINK("https://github.com/cgeo/cgeo/issues/4801","show")</f>
        <v>show</v>
      </c>
      <c r="E212" t="str">
        <f>HYPERLINK("https://github.com/cgeo/cgeo","show")</f>
        <v>show</v>
      </c>
      <c r="F212" t="str">
        <f>HYPERLINK("https://github.com/cgeo/cgeo/releases","show")</f>
        <v>show</v>
      </c>
    </row>
    <row r="213" spans="1:6">
      <c r="A213" t="s">
        <v>646</v>
      </c>
      <c r="B213" t="s">
        <v>647</v>
      </c>
      <c r="C213" t="s">
        <v>648</v>
      </c>
      <c r="D213" t="str">
        <f>HYPERLINK("https://github.com/gitskarios/Gitskarios/issues/58","show")</f>
        <v>show</v>
      </c>
      <c r="E213" t="str">
        <f>HYPERLINK("https://github.com/gitskarios/Gitskarios","show")</f>
        <v>show</v>
      </c>
      <c r="F213" t="str">
        <f>HYPERLINK("https://github.com/gitskarios/Gitskarios/releases","show")</f>
        <v>show</v>
      </c>
    </row>
    <row r="214" spans="1:6">
      <c r="A214" t="s">
        <v>649</v>
      </c>
      <c r="B214" t="s">
        <v>650</v>
      </c>
      <c r="C214" t="s">
        <v>651</v>
      </c>
      <c r="D214" t="str">
        <f>HYPERLINK("https://github.com/mpcjanssen/simpletask-android/issues/205","show")</f>
        <v>show</v>
      </c>
      <c r="E214" t="str">
        <f>HYPERLINK("https://github.com/mpcjanssen/simpletask-android","show")</f>
        <v>show</v>
      </c>
      <c r="F214" t="str">
        <f>HYPERLINK("https://github.com/mpcjanssen/simpletask-android/releases","show")</f>
        <v>show</v>
      </c>
    </row>
    <row r="215" spans="1:6">
      <c r="A215" t="s">
        <v>652</v>
      </c>
      <c r="B215" t="s">
        <v>653</v>
      </c>
      <c r="C215" t="s">
        <v>654</v>
      </c>
      <c r="D215" t="str">
        <f>HYPERLINK("https://github.com/nfcgate/nfcgate/issues/78","show")</f>
        <v>show</v>
      </c>
      <c r="E215" t="str">
        <f>HYPERLINK("https://github.com/nfcgate/nfcgate","show")</f>
        <v>show</v>
      </c>
      <c r="F215" t="str">
        <f>HYPERLINK("https://github.com/nfcgate/nfcgate/releases","show")</f>
        <v>show</v>
      </c>
    </row>
    <row r="216" spans="1:6">
      <c r="A216" t="s">
        <v>655</v>
      </c>
      <c r="B216" t="s">
        <v>656</v>
      </c>
      <c r="C216" t="s">
        <v>657</v>
      </c>
      <c r="D216" t="str">
        <f>HYPERLINK("https://github.com/jlmd/UpcomingMoviesMVP/issues/5","show")</f>
        <v>show</v>
      </c>
      <c r="E216" t="str">
        <f>HYPERLINK("https://github.com/jlmd/UpcomingMoviesMVP","show")</f>
        <v>show</v>
      </c>
      <c r="F216" t="str">
        <f>HYPERLINK("https://github.com/jlmd/UpcomingMoviesMVP/releases","show")</f>
        <v>show</v>
      </c>
    </row>
    <row r="217" spans="1:6">
      <c r="A217" t="s">
        <v>658</v>
      </c>
      <c r="B217" t="s">
        <v>659</v>
      </c>
      <c r="C217" t="s">
        <v>660</v>
      </c>
      <c r="D217" t="str">
        <f>HYPERLINK("https://github.com/square/okhttp/issues/1540","show")</f>
        <v>show</v>
      </c>
      <c r="E217" t="str">
        <f>HYPERLINK("https://github.com/square/okhttp","show")</f>
        <v>show</v>
      </c>
      <c r="F217" t="str">
        <f>HYPERLINK("https://github.com/square/okhttp/releases","show")</f>
        <v>show</v>
      </c>
    </row>
    <row r="218" spans="1:6">
      <c r="A218" t="s">
        <v>661</v>
      </c>
      <c r="B218" t="s">
        <v>662</v>
      </c>
      <c r="C218" t="s">
        <v>663</v>
      </c>
      <c r="D218" t="str">
        <f>HYPERLINK("https://github.com/facebook/stetho/issues/117","show")</f>
        <v>show</v>
      </c>
      <c r="E218" t="str">
        <f>HYPERLINK("https://github.com/facebook/stetho","show")</f>
        <v>show</v>
      </c>
      <c r="F218" t="str">
        <f>HYPERLINK("https://github.com/facebook/stetho/releases","show")</f>
        <v>show</v>
      </c>
    </row>
    <row r="219" spans="1:6">
      <c r="A219" t="s">
        <v>664</v>
      </c>
      <c r="B219" t="s">
        <v>665</v>
      </c>
      <c r="C219" t="s">
        <v>666</v>
      </c>
      <c r="D219" t="str">
        <f>HYPERLINK("https://github.com/Odoo-mobile/crm/issues/40","show")</f>
        <v>show</v>
      </c>
      <c r="E219" t="str">
        <f>HYPERLINK("https://github.com/Odoo-mobile/crm","show")</f>
        <v>show</v>
      </c>
      <c r="F219" t="str">
        <f>HYPERLINK("https://github.com/Odoo-mobile/crm/releases","show")</f>
        <v>show</v>
      </c>
    </row>
    <row r="220" spans="1:6">
      <c r="A220" t="s">
        <v>667</v>
      </c>
      <c r="B220" t="s">
        <v>668</v>
      </c>
      <c r="C220" t="s">
        <v>669</v>
      </c>
      <c r="D220" t="str">
        <f>HYPERLINK("https://github.com/cgeo/cgeo/issues/4829","show")</f>
        <v>show</v>
      </c>
      <c r="E220" t="str">
        <f>HYPERLINK("https://github.com/cgeo/cgeo","show")</f>
        <v>show</v>
      </c>
      <c r="F220" t="str">
        <f>HYPERLINK("https://github.com/cgeo/cgeo/releases","show")</f>
        <v>show</v>
      </c>
    </row>
    <row r="221" spans="1:6">
      <c r="A221" t="s">
        <v>670</v>
      </c>
      <c r="B221" t="s">
        <v>671</v>
      </c>
      <c r="C221" t="s">
        <v>672</v>
      </c>
      <c r="D221" t="str">
        <f>HYPERLINK("https://github.com/facebook/stetho/issues/123","show")</f>
        <v>show</v>
      </c>
      <c r="E221" t="str">
        <f>HYPERLINK("https://github.com/facebook/stetho","show")</f>
        <v>show</v>
      </c>
      <c r="F221" t="str">
        <f>HYPERLINK("https://github.com/facebook/stetho/releases","show")</f>
        <v>show</v>
      </c>
    </row>
    <row r="222" spans="1:6">
      <c r="A222" t="s">
        <v>673</v>
      </c>
      <c r="B222" t="s">
        <v>674</v>
      </c>
      <c r="C222" t="s">
        <v>675</v>
      </c>
      <c r="D222" t="str">
        <f>HYPERLINK("https://github.com/AntonioRedondo/AnotherMonitor/issues/1","show")</f>
        <v>show</v>
      </c>
      <c r="E222" t="str">
        <f>HYPERLINK("https://github.com/AntonioRedondo/AnotherMonitor","show")</f>
        <v>show</v>
      </c>
      <c r="F222" t="str">
        <f>HYPERLINK("https://github.com/AntonioRedondo/AnotherMonitor/releases","show")</f>
        <v>show</v>
      </c>
    </row>
    <row r="223" spans="1:6">
      <c r="A223" t="s">
        <v>676</v>
      </c>
      <c r="B223" t="s">
        <v>677</v>
      </c>
      <c r="C223" t="s">
        <v>678</v>
      </c>
      <c r="D223" t="str">
        <f>HYPERLINK("https://github.com/federicoiosue/Omni-Notes/issues/133","show")</f>
        <v>show</v>
      </c>
      <c r="E223" t="str">
        <f>HYPERLINK("https://github.com/federicoiosue/Omni-Notes","show")</f>
        <v>show</v>
      </c>
      <c r="F223" t="str">
        <f>HYPERLINK("https://github.com/federicoiosue/Omni-Notes/releases","show")</f>
        <v>show</v>
      </c>
    </row>
    <row r="224" spans="1:6">
      <c r="A224" t="s">
        <v>679</v>
      </c>
      <c r="B224" t="s">
        <v>680</v>
      </c>
      <c r="C224" t="s">
        <v>681</v>
      </c>
      <c r="D224" t="str">
        <f>HYPERLINK("https://github.com/JusticeRage/ApkTrack/issues/36","show")</f>
        <v>show</v>
      </c>
      <c r="E224" t="str">
        <f>HYPERLINK("https://github.com/JusticeRage/ApkTrack","show")</f>
        <v>show</v>
      </c>
      <c r="F224" t="str">
        <f>HYPERLINK("https://github.com/JusticeRage/ApkTrack/releases","show")</f>
        <v>show</v>
      </c>
    </row>
    <row r="225" spans="1:6">
      <c r="A225" t="s">
        <v>682</v>
      </c>
      <c r="B225" t="s">
        <v>683</v>
      </c>
      <c r="C225" t="s">
        <v>684</v>
      </c>
      <c r="D225" t="str">
        <f>HYPERLINK("https://github.com/liato/android-bankdroid/issues/528","show")</f>
        <v>show</v>
      </c>
      <c r="E225" t="str">
        <f>HYPERLINK("https://github.com/liato/android-bankdroid","show")</f>
        <v>show</v>
      </c>
      <c r="F225" t="str">
        <f>HYPERLINK("https://github.com/liato/android-bankdroid/releases","show")</f>
        <v>show</v>
      </c>
    </row>
    <row r="226" spans="1:6">
      <c r="A226" t="s">
        <v>685</v>
      </c>
      <c r="B226" t="s">
        <v>686</v>
      </c>
      <c r="C226" t="s">
        <v>687</v>
      </c>
      <c r="D226" t="str">
        <f>HYPERLINK("https://github.com/Rajawali/Rajawali/issues/1448","show")</f>
        <v>show</v>
      </c>
      <c r="E226" t="str">
        <f>HYPERLINK("https://github.com/Rajawali/Rajawali","show")</f>
        <v>show</v>
      </c>
      <c r="F226" t="str">
        <f>HYPERLINK("https://github.com/Rajawali/Rajawali/releases","show")</f>
        <v>show</v>
      </c>
    </row>
    <row r="227" spans="1:6">
      <c r="A227" t="s">
        <v>688</v>
      </c>
      <c r="B227" t="s">
        <v>689</v>
      </c>
      <c r="C227" t="s">
        <v>690</v>
      </c>
      <c r="D227" t="str">
        <f>HYPERLINK("https://github.com/syncthing/syncthing-android/issues/333","show")</f>
        <v>show</v>
      </c>
      <c r="E227" t="str">
        <f>HYPERLINK("https://github.com/syncthing/syncthing-android","show")</f>
        <v>show</v>
      </c>
      <c r="F227" t="str">
        <f>HYPERLINK("https://github.com/syncthing/syncthing-android/releases","show")</f>
        <v>show</v>
      </c>
    </row>
    <row r="228" spans="1:6">
      <c r="A228" t="s">
        <v>691</v>
      </c>
      <c r="B228" t="s">
        <v>692</v>
      </c>
      <c r="C228" t="s">
        <v>693</v>
      </c>
      <c r="D228" t="str">
        <f>HYPERLINK("https://github.com/rey5137/material/issues/23","show")</f>
        <v>show</v>
      </c>
      <c r="E228" t="str">
        <f>HYPERLINK("https://github.com/rey5137/material","show")</f>
        <v>show</v>
      </c>
      <c r="F228" t="str">
        <f>HYPERLINK("https://github.com/rey5137/material/releases","show")</f>
        <v>show</v>
      </c>
    </row>
    <row r="229" spans="1:6">
      <c r="A229" t="s">
        <v>694</v>
      </c>
      <c r="B229" t="s">
        <v>695</v>
      </c>
      <c r="C229" t="s">
        <v>696</v>
      </c>
      <c r="D229" t="str">
        <f>HYPERLINK("https://github.com/forcedotcom/SalesforceMobileSDK-Android/issues/862","show")</f>
        <v>show</v>
      </c>
      <c r="E229" t="str">
        <f>HYPERLINK("https://github.com/forcedotcom/SalesforceMobileSDK-Android","show")</f>
        <v>show</v>
      </c>
      <c r="F229" t="str">
        <f>HYPERLINK("https://github.com/forcedotcom/SalesforceMobileSDK-Android/releases","show")</f>
        <v>show</v>
      </c>
    </row>
    <row r="230" spans="1:6">
      <c r="A230" t="s">
        <v>697</v>
      </c>
      <c r="B230" t="s">
        <v>698</v>
      </c>
      <c r="C230" t="s">
        <v>699</v>
      </c>
      <c r="D230" t="str">
        <f>HYPERLINK("https://github.com/mobilyzer/Mobilyzer/issues/5","show")</f>
        <v>show</v>
      </c>
      <c r="E230" t="str">
        <f>HYPERLINK("https://github.com/mobilyzer/Mobilyzer","show")</f>
        <v>show</v>
      </c>
      <c r="F230" t="str">
        <f>HYPERLINK("https://github.com/mobilyzer/Mobilyzer/releases","show")</f>
        <v>show</v>
      </c>
    </row>
    <row r="231" spans="1:6">
      <c r="A231" t="s">
        <v>700</v>
      </c>
      <c r="B231" t="s">
        <v>701</v>
      </c>
      <c r="C231" t="s">
        <v>702</v>
      </c>
      <c r="D231" t="str">
        <f>HYPERLINK("https://github.com/dimagi/commcare-android/issues/216","show")</f>
        <v>show</v>
      </c>
      <c r="E231" t="str">
        <f>HYPERLINK("https://github.com/dimagi/commcare-android","show")</f>
        <v>show</v>
      </c>
      <c r="F231" t="str">
        <f>HYPERLINK("https://github.com/dimagi/commcare-android/releases","show")</f>
        <v>show</v>
      </c>
    </row>
    <row r="232" spans="1:6">
      <c r="A232" t="s">
        <v>703</v>
      </c>
      <c r="B232" t="s">
        <v>704</v>
      </c>
      <c r="C232" t="s">
        <v>705</v>
      </c>
      <c r="D232" t="str">
        <f>HYPERLINK("https://github.com/ZieIony/Carbon/issues/62","show")</f>
        <v>show</v>
      </c>
      <c r="E232" t="str">
        <f>HYPERLINK("https://github.com/ZieIony/Carbon","show")</f>
        <v>show</v>
      </c>
      <c r="F232" t="str">
        <f>HYPERLINK("https://github.com/ZieIony/Carbon/releases","show")</f>
        <v>show</v>
      </c>
    </row>
    <row r="233" spans="1:6">
      <c r="A233" t="s">
        <v>706</v>
      </c>
      <c r="B233" t="s">
        <v>707</v>
      </c>
      <c r="C233" t="s">
        <v>708</v>
      </c>
      <c r="D233" t="str">
        <f>HYPERLINK("https://github.com/pattch/PicToPoly/issues/16","show")</f>
        <v>show</v>
      </c>
      <c r="E233" t="str">
        <f>HYPERLINK("https://github.com/pattch/PicToPoly","show")</f>
        <v>show</v>
      </c>
      <c r="F233" t="str">
        <f>HYPERLINK("https://github.com/pattch/PicToPoly/releases","show")</f>
        <v>show</v>
      </c>
    </row>
    <row r="234" spans="1:6">
      <c r="A234" t="s">
        <v>709</v>
      </c>
      <c r="B234" t="s">
        <v>710</v>
      </c>
      <c r="C234" t="s">
        <v>711</v>
      </c>
      <c r="D234" t="str">
        <f>HYPERLINK("https://github.com/pattch/PicToPoly/issues/14","show")</f>
        <v>show</v>
      </c>
      <c r="E234" t="str">
        <f>HYPERLINK("https://github.com/pattch/PicToPoly","show")</f>
        <v>show</v>
      </c>
      <c r="F234" t="str">
        <f>HYPERLINK("https://github.com/pattch/PicToPoly/releases","show")</f>
        <v>show</v>
      </c>
    </row>
    <row r="235" spans="1:6">
      <c r="A235" t="s">
        <v>712</v>
      </c>
      <c r="B235" t="s">
        <v>713</v>
      </c>
      <c r="C235" t="s">
        <v>714</v>
      </c>
      <c r="D235" t="str">
        <f>HYPERLINK("https://github.com/vickychijwani/quill/issues/25","show")</f>
        <v>show</v>
      </c>
      <c r="E235" t="str">
        <f>HYPERLINK("https://github.com/vickychijwani/quill","show")</f>
        <v>show</v>
      </c>
      <c r="F235" t="str">
        <f>HYPERLINK("https://github.com/vickychijwani/quill/releases","show")</f>
        <v>show</v>
      </c>
    </row>
    <row r="236" spans="1:6">
      <c r="A236" t="s">
        <v>715</v>
      </c>
      <c r="B236" t="s">
        <v>656</v>
      </c>
      <c r="C236" t="s">
        <v>716</v>
      </c>
      <c r="D236" t="str">
        <f>HYPERLINK("https://github.com/codebasepk/TrackBuddy/issues/22","show")</f>
        <v>show</v>
      </c>
      <c r="E236" t="str">
        <f>HYPERLINK("https://github.com/codebasepk/TrackBuddy","show")</f>
        <v>show</v>
      </c>
      <c r="F236" t="str">
        <f>HYPERLINK("https://github.com/codebasepk/TrackBuddy/releases","show")</f>
        <v>show</v>
      </c>
    </row>
    <row r="237" spans="1:6">
      <c r="A237" t="s">
        <v>717</v>
      </c>
      <c r="B237" t="s">
        <v>718</v>
      </c>
      <c r="C237" t="s">
        <v>719</v>
      </c>
      <c r="D237" t="str">
        <f>HYPERLINK("https://github.com/gitskarios/Gitskarios/issues/75","show")</f>
        <v>show</v>
      </c>
      <c r="E237" t="str">
        <f>HYPERLINK("https://github.com/gitskarios/Gitskarios","show")</f>
        <v>show</v>
      </c>
      <c r="F237" t="str">
        <f>HYPERLINK("https://github.com/gitskarios/Gitskarios/releases","show")</f>
        <v>show</v>
      </c>
    </row>
    <row r="238" spans="1:6">
      <c r="A238" t="s">
        <v>720</v>
      </c>
      <c r="B238" t="s">
        <v>721</v>
      </c>
      <c r="C238" t="s">
        <v>722</v>
      </c>
      <c r="D238" t="str">
        <f>HYPERLINK("https://github.com/moneymanagerex/android-money-manager-ex/issues/123","show")</f>
        <v>show</v>
      </c>
      <c r="E238" t="str">
        <f>HYPERLINK("https://github.com/moneymanagerex/android-money-manager-ex","show")</f>
        <v>show</v>
      </c>
      <c r="F238" t="str">
        <f>HYPERLINK("https://github.com/moneymanagerex/android-money-manager-ex/releases","show")</f>
        <v>show</v>
      </c>
    </row>
    <row r="239" spans="1:6">
      <c r="A239" t="s">
        <v>723</v>
      </c>
      <c r="B239" t="s">
        <v>724</v>
      </c>
      <c r="C239" t="s">
        <v>725</v>
      </c>
      <c r="D239" t="str">
        <f>HYPERLINK("https://github.com/ZieIony/Carbon/issues/65","show")</f>
        <v>show</v>
      </c>
      <c r="E239" t="str">
        <f>HYPERLINK("https://github.com/ZieIony/Carbon","show")</f>
        <v>show</v>
      </c>
      <c r="F239" t="str">
        <f>HYPERLINK("https://github.com/ZieIony/Carbon/releases","show")</f>
        <v>show</v>
      </c>
    </row>
    <row r="240" spans="1:6">
      <c r="A240" t="s">
        <v>726</v>
      </c>
      <c r="B240" t="s">
        <v>727</v>
      </c>
      <c r="C240" t="s">
        <v>728</v>
      </c>
      <c r="D240" t="str">
        <f>HYPERLINK("https://github.com/pattch/PicToPoly/issues/23","show")</f>
        <v>show</v>
      </c>
      <c r="E240" t="str">
        <f>HYPERLINK("https://github.com/pattch/PicToPoly","show")</f>
        <v>show</v>
      </c>
      <c r="F240" t="str">
        <f>HYPERLINK("https://github.com/pattch/PicToPoly/releases","show")</f>
        <v>show</v>
      </c>
    </row>
    <row r="241" spans="1:6">
      <c r="A241" t="s">
        <v>729</v>
      </c>
      <c r="B241" t="s">
        <v>730</v>
      </c>
      <c r="C241" t="s">
        <v>731</v>
      </c>
      <c r="D241" t="str">
        <f>HYPERLINK("https://github.com/unfoldingWord-dev/ts-android/issues/430","show")</f>
        <v>show</v>
      </c>
      <c r="E241" t="str">
        <f>HYPERLINK("https://github.com/unfoldingWord-dev/ts-android","show")</f>
        <v>show</v>
      </c>
      <c r="F241" t="str">
        <f>HYPERLINK("https://github.com/unfoldingWord-dev/ts-android/releases","show")</f>
        <v>show</v>
      </c>
    </row>
    <row r="242" spans="1:6">
      <c r="A242" t="s">
        <v>732</v>
      </c>
      <c r="B242" t="s">
        <v>733</v>
      </c>
      <c r="C242" t="s">
        <v>734</v>
      </c>
      <c r="D242" t="str">
        <f>HYPERLINK("https://github.com/orhanobut/logger/issues/17","show")</f>
        <v>show</v>
      </c>
      <c r="E242" t="str">
        <f>HYPERLINK("https://github.com/orhanobut/logger","show")</f>
        <v>show</v>
      </c>
      <c r="F242" t="str">
        <f>HYPERLINK("https://github.com/orhanobut/logger/releases","show")</f>
        <v>show</v>
      </c>
    </row>
    <row r="243" spans="1:6">
      <c r="A243" t="s">
        <v>735</v>
      </c>
      <c r="B243" t="s">
        <v>736</v>
      </c>
      <c r="C243" t="s">
        <v>737</v>
      </c>
      <c r="D243" t="str">
        <f>HYPERLINK("https://github.com/kontalk/androidclient/issues/385","show")</f>
        <v>show</v>
      </c>
      <c r="E243" t="str">
        <f>HYPERLINK("https://github.com/kontalk/androidclient","show")</f>
        <v>show</v>
      </c>
      <c r="F243" t="str">
        <f>HYPERLINK("https://github.com/kontalk/androidclient/releases","show")</f>
        <v>show</v>
      </c>
    </row>
    <row r="244" spans="1:6">
      <c r="A244" t="s">
        <v>738</v>
      </c>
      <c r="B244" t="s">
        <v>739</v>
      </c>
      <c r="C244" t="s">
        <v>740</v>
      </c>
      <c r="D244" t="str">
        <f>HYPERLINK("https://github.com/piemasters/SmartLock/issues/8","show")</f>
        <v>show</v>
      </c>
      <c r="E244" t="str">
        <f>HYPERLINK("https://github.com/piemasters/SmartLock","show")</f>
        <v>show</v>
      </c>
      <c r="F244" t="str">
        <f>HYPERLINK("https://github.com/piemasters/SmartLock/releases","show")</f>
        <v>show</v>
      </c>
    </row>
    <row r="245" spans="1:6">
      <c r="A245" t="s">
        <v>741</v>
      </c>
      <c r="B245" t="s">
        <v>742</v>
      </c>
      <c r="C245" t="s">
        <v>743</v>
      </c>
      <c r="D245" t="str">
        <f>HYPERLINK("https://github.com/pwittchen/prefser/issues/22","show")</f>
        <v>show</v>
      </c>
      <c r="E245" t="str">
        <f>HYPERLINK("https://github.com/pwittchen/prefser","show")</f>
        <v>show</v>
      </c>
      <c r="F245" t="str">
        <f>HYPERLINK("https://github.com/pwittchen/prefser/releases","show")</f>
        <v>show</v>
      </c>
    </row>
    <row r="246" spans="1:6">
      <c r="A246" t="s">
        <v>744</v>
      </c>
      <c r="B246" t="s">
        <v>745</v>
      </c>
      <c r="C246" t="s">
        <v>746</v>
      </c>
      <c r="D246" t="str">
        <f>HYPERLINK("https://github.com/cgeo/cgeo/issues/4868","show")</f>
        <v>show</v>
      </c>
      <c r="E246" t="str">
        <f>HYPERLINK("https://github.com/cgeo/cgeo","show")</f>
        <v>show</v>
      </c>
      <c r="F246" t="str">
        <f>HYPERLINK("https://github.com/cgeo/cgeo/releases","show")</f>
        <v>show</v>
      </c>
    </row>
    <row r="247" spans="1:6">
      <c r="A247" t="s">
        <v>747</v>
      </c>
      <c r="B247" t="s">
        <v>748</v>
      </c>
      <c r="C247" t="s">
        <v>749</v>
      </c>
      <c r="D247" t="str">
        <f>HYPERLINK("https://github.com/eugenkiss/chanobol/issues/203","show")</f>
        <v>show</v>
      </c>
      <c r="E247" t="str">
        <f>HYPERLINK("https://github.com/eugenkiss/chanobol","show")</f>
        <v>show</v>
      </c>
      <c r="F247" t="str">
        <f>HYPERLINK("https://github.com/eugenkiss/chanobol/releases","show")</f>
        <v>show</v>
      </c>
    </row>
    <row r="248" spans="1:6">
      <c r="A248" t="s">
        <v>750</v>
      </c>
      <c r="B248" t="s">
        <v>751</v>
      </c>
      <c r="C248" t="s">
        <v>752</v>
      </c>
      <c r="D248" t="str">
        <f>HYPERLINK("https://github.com/bumptech/glide/issues/401","show")</f>
        <v>show</v>
      </c>
      <c r="E248" t="str">
        <f>HYPERLINK("https://github.com/bumptech/glide","show")</f>
        <v>show</v>
      </c>
      <c r="F248" t="str">
        <f>HYPERLINK("https://github.com/bumptech/glide/releases","show")</f>
        <v>show</v>
      </c>
    </row>
    <row r="249" spans="1:6">
      <c r="A249" t="s">
        <v>753</v>
      </c>
      <c r="B249" t="s">
        <v>754</v>
      </c>
      <c r="C249" t="s">
        <v>755</v>
      </c>
      <c r="D249" t="str">
        <f>HYPERLINK("https://github.com/docprajit/MithrilApp/issues/1","show")</f>
        <v>show</v>
      </c>
      <c r="E249" t="str">
        <f>HYPERLINK("https://github.com/docprajit/MithrilApp","show")</f>
        <v>show</v>
      </c>
      <c r="F249" t="str">
        <f>HYPERLINK("https://github.com/docprajit/MithrilApp/releases","show")</f>
        <v>show</v>
      </c>
    </row>
    <row r="250" spans="1:6">
      <c r="A250" t="s">
        <v>756</v>
      </c>
      <c r="B250" t="s">
        <v>757</v>
      </c>
      <c r="C250" t="s">
        <v>758</v>
      </c>
      <c r="D250" t="str">
        <f>HYPERLINK("https://github.com/DeveloperPaul123/SimpleBluetoothLibrary/issues/1","show")</f>
        <v>show</v>
      </c>
      <c r="E250" t="str">
        <f>HYPERLINK("https://github.com/DeveloperPaul123/SimpleBluetoothLibrary","show")</f>
        <v>show</v>
      </c>
      <c r="F250" t="str">
        <f>HYPERLINK("https://github.com/DeveloperPaul123/SimpleBluetoothLibrary/releases","show")</f>
        <v>show</v>
      </c>
    </row>
    <row r="251" spans="1:6">
      <c r="A251" t="s">
        <v>759</v>
      </c>
      <c r="B251" t="s">
        <v>760</v>
      </c>
      <c r="C251" t="s">
        <v>761</v>
      </c>
      <c r="D251" t="str">
        <f>HYPERLINK("https://github.com/AltBeacon/android-beacon-library/issues/165","show")</f>
        <v>show</v>
      </c>
      <c r="E251" t="str">
        <f>HYPERLINK("https://github.com/AltBeacon/android-beacon-library","show")</f>
        <v>show</v>
      </c>
      <c r="F251" t="str">
        <f>HYPERLINK("https://github.com/AltBeacon/android-beacon-library/releases","show")</f>
        <v>show</v>
      </c>
    </row>
    <row r="252" spans="1:6">
      <c r="A252" t="s">
        <v>762</v>
      </c>
      <c r="B252" t="s">
        <v>763</v>
      </c>
      <c r="C252" t="s">
        <v>764</v>
      </c>
      <c r="D252" t="str">
        <f>HYPERLINK("https://github.com/eugenkiss/chanobol/issues/213","show")</f>
        <v>show</v>
      </c>
      <c r="E252" t="str">
        <f>HYPERLINK("https://github.com/eugenkiss/chanobol","show")</f>
        <v>show</v>
      </c>
      <c r="F252" t="str">
        <f>HYPERLINK("https://github.com/eugenkiss/chanobol/releases","show")</f>
        <v>show</v>
      </c>
    </row>
    <row r="253" spans="1:6">
      <c r="A253" t="s">
        <v>765</v>
      </c>
      <c r="B253" t="s">
        <v>766</v>
      </c>
      <c r="C253" t="s">
        <v>767</v>
      </c>
      <c r="D253" t="str">
        <f>HYPERLINK("https://github.com/eugenkiss/chanobol/issues/210","show")</f>
        <v>show</v>
      </c>
      <c r="E253" t="str">
        <f>HYPERLINK("https://github.com/eugenkiss/chanobol","show")</f>
        <v>show</v>
      </c>
      <c r="F253" t="str">
        <f>HYPERLINK("https://github.com/eugenkiss/chanobol/releases","show")</f>
        <v>show</v>
      </c>
    </row>
    <row r="254" spans="1:6">
      <c r="A254" t="s">
        <v>768</v>
      </c>
      <c r="B254" t="s">
        <v>769</v>
      </c>
      <c r="C254" t="s">
        <v>770</v>
      </c>
      <c r="D254" t="str">
        <f>HYPERLINK("https://github.com/bumptech/glide/issues/413","show")</f>
        <v>show</v>
      </c>
      <c r="E254" t="str">
        <f>HYPERLINK("https://github.com/bumptech/glide","show")</f>
        <v>show</v>
      </c>
      <c r="F254" t="str">
        <f>HYPERLINK("https://github.com/bumptech/glide/releases","show")</f>
        <v>show</v>
      </c>
    </row>
    <row r="255" spans="1:6">
      <c r="A255" t="s">
        <v>771</v>
      </c>
      <c r="B255" t="s">
        <v>772</v>
      </c>
      <c r="C255" t="s">
        <v>773</v>
      </c>
      <c r="D255" t="str">
        <f>HYPERLINK("https://github.com/dmfs/opentasks/issues/134","show")</f>
        <v>show</v>
      </c>
      <c r="E255" t="str">
        <f>HYPERLINK("https://github.com/dmfs/opentasks","show")</f>
        <v>show</v>
      </c>
      <c r="F255" t="str">
        <f>HYPERLINK("https://github.com/dmfs/opentasks/releases","show")</f>
        <v>show</v>
      </c>
    </row>
    <row r="256" spans="1:6">
      <c r="A256" t="s">
        <v>774</v>
      </c>
      <c r="B256" t="s">
        <v>775</v>
      </c>
      <c r="C256" t="s">
        <v>776</v>
      </c>
      <c r="D256" t="str">
        <f>HYPERLINK("https://github.com/rosjava/android_apps/issues/46","show")</f>
        <v>show</v>
      </c>
      <c r="E256" t="str">
        <f>HYPERLINK("https://github.com/rosjava/android_apps","show")</f>
        <v>show</v>
      </c>
      <c r="F256" t="str">
        <f>HYPERLINK("https://github.com/rosjava/android_apps/releases","show")</f>
        <v>show</v>
      </c>
    </row>
    <row r="257" spans="1:6">
      <c r="A257" t="s">
        <v>777</v>
      </c>
      <c r="B257" t="s">
        <v>778</v>
      </c>
      <c r="C257" t="s">
        <v>779</v>
      </c>
      <c r="D257" t="str">
        <f>HYPERLINK("https://github.com/mixpanel/mixpanel-android/issues/205","show")</f>
        <v>show</v>
      </c>
      <c r="E257" t="str">
        <f>HYPERLINK("https://github.com/mixpanel/mixpanel-android","show")</f>
        <v>show</v>
      </c>
      <c r="F257" t="str">
        <f>HYPERLINK("https://github.com/mixpanel/mixpanel-android/releases","show")</f>
        <v>show</v>
      </c>
    </row>
    <row r="258" spans="1:6">
      <c r="A258" t="s">
        <v>780</v>
      </c>
      <c r="B258" t="s">
        <v>781</v>
      </c>
      <c r="C258" t="s">
        <v>782</v>
      </c>
      <c r="D258" t="str">
        <f>HYPERLINK("https://github.com/michaelbarlow7/dungeon-crawl-android/issues/55","show")</f>
        <v>show</v>
      </c>
      <c r="E258" t="str">
        <f>HYPERLINK("https://github.com/michaelbarlow7/dungeon-crawl-android","show")</f>
        <v>show</v>
      </c>
      <c r="F258" t="str">
        <f>HYPERLINK("https://github.com/michaelbarlow7/dungeon-crawl-android/releases","show")</f>
        <v>show</v>
      </c>
    </row>
    <row r="259" spans="1:6">
      <c r="A259" t="s">
        <v>783</v>
      </c>
      <c r="B259" t="s">
        <v>784</v>
      </c>
      <c r="C259" t="s">
        <v>785</v>
      </c>
      <c r="D259" t="str">
        <f>HYPERLINK("https://github.com/OneDrive/onedrive-explorer-android/issues/38","show")</f>
        <v>show</v>
      </c>
      <c r="E259" t="str">
        <f>HYPERLINK("https://github.com/OneDrive/onedrive-explorer-android","show")</f>
        <v>show</v>
      </c>
      <c r="F259" t="str">
        <f>HYPERLINK("https://github.com/OneDrive/onedrive-explorer-android/releases","show")</f>
        <v>show</v>
      </c>
    </row>
    <row r="260" spans="1:6">
      <c r="A260" t="s">
        <v>786</v>
      </c>
      <c r="B260" t="s">
        <v>787</v>
      </c>
      <c r="C260" t="s">
        <v>788</v>
      </c>
      <c r="D260" t="str">
        <f>HYPERLINK("https://github.com/dhis2/dhis2-android-eventcapture/issues/14","show")</f>
        <v>show</v>
      </c>
      <c r="E260" t="str">
        <f>HYPERLINK("https://github.com/dhis2/dhis2-android-eventcapture","show")</f>
        <v>show</v>
      </c>
      <c r="F260" t="str">
        <f>HYPERLINK("https://github.com/dhis2/dhis2-android-eventcapture/releases","show")</f>
        <v>show</v>
      </c>
    </row>
    <row r="261" spans="1:6">
      <c r="A261" t="s">
        <v>789</v>
      </c>
      <c r="B261" t="s">
        <v>790</v>
      </c>
      <c r="C261" t="s">
        <v>791</v>
      </c>
      <c r="D261" t="str">
        <f>HYPERLINK("https://github.com/cc-archive/list/issues/276","show")</f>
        <v>show</v>
      </c>
      <c r="E261" t="str">
        <f>HYPERLINK("https://github.com/cc-archive/list","show")</f>
        <v>show</v>
      </c>
      <c r="F261" t="str">
        <f>HYPERLINK("https://github.com/cc-archive/list/releases","show")</f>
        <v>show</v>
      </c>
    </row>
    <row r="262" spans="1:6">
      <c r="A262" t="s">
        <v>792</v>
      </c>
      <c r="B262" t="s">
        <v>793</v>
      </c>
      <c r="C262" t="s">
        <v>794</v>
      </c>
      <c r="D262" t="str">
        <f>HYPERLINK("https://github.com/PanicInitiative/PanicButton/issues/81","show")</f>
        <v>show</v>
      </c>
      <c r="E262" t="str">
        <f>HYPERLINK("https://github.com/PanicInitiative/PanicButton","show")</f>
        <v>show</v>
      </c>
      <c r="F262" t="str">
        <f>HYPERLINK("https://github.com/PanicInitiative/PanicButton/releases","show")</f>
        <v>show</v>
      </c>
    </row>
    <row r="263" spans="1:6">
      <c r="A263" t="s">
        <v>795</v>
      </c>
      <c r="B263" t="s">
        <v>796</v>
      </c>
      <c r="C263" t="s">
        <v>797</v>
      </c>
      <c r="D263" t="str">
        <f>HYPERLINK("https://github.com/dhis2/dhis2-android-eventcapture/issues/22","show")</f>
        <v>show</v>
      </c>
      <c r="E263" t="str">
        <f>HYPERLINK("https://github.com/dhis2/dhis2-android-eventcapture","show")</f>
        <v>show</v>
      </c>
      <c r="F263" t="str">
        <f>HYPERLINK("https://github.com/dhis2/dhis2-android-eventcapture/releases","show")</f>
        <v>show</v>
      </c>
    </row>
    <row r="264" spans="1:6">
      <c r="A264" t="s">
        <v>798</v>
      </c>
      <c r="B264" t="s">
        <v>799</v>
      </c>
      <c r="C264" t="s">
        <v>800</v>
      </c>
      <c r="D264" t="str">
        <f>HYPERLINK("https://github.com/24HeuresINSA/24h-android-app/issues/100","show")</f>
        <v>show</v>
      </c>
      <c r="E264" t="str">
        <f>HYPERLINK("https://github.com/24HeuresINSA/24h-android-app","show")</f>
        <v>show</v>
      </c>
      <c r="F264" t="str">
        <f>HYPERLINK("https://github.com/24HeuresINSA/24h-android-app/releases","show")</f>
        <v>show</v>
      </c>
    </row>
    <row r="265" spans="1:6">
      <c r="A265" t="s">
        <v>801</v>
      </c>
      <c r="B265" t="s">
        <v>802</v>
      </c>
      <c r="C265" t="s">
        <v>803</v>
      </c>
      <c r="D265" t="str">
        <f>HYPERLINK("https://github.com/Natio/Places/issues/74","show")</f>
        <v>show</v>
      </c>
      <c r="E265" t="str">
        <f>HYPERLINK("https://github.com/Natio/Places","show")</f>
        <v>show</v>
      </c>
      <c r="F265" t="str">
        <f>HYPERLINK("https://github.com/Natio/Places/releases","show")</f>
        <v>show</v>
      </c>
    </row>
    <row r="266" spans="1:6">
      <c r="A266" t="s">
        <v>804</v>
      </c>
      <c r="B266" t="s">
        <v>805</v>
      </c>
      <c r="C266" t="s">
        <v>806</v>
      </c>
      <c r="D266" t="str">
        <f>HYPERLINK("https://github.com/johnkil/Android-RobotoTextView/issues/38","show")</f>
        <v>show</v>
      </c>
      <c r="E266" t="str">
        <f>HYPERLINK("https://github.com/johnkil/Android-RobotoTextView","show")</f>
        <v>show</v>
      </c>
      <c r="F266" t="str">
        <f>HYPERLINK("https://github.com/johnkil/Android-RobotoTextView/releases","show")</f>
        <v>show</v>
      </c>
    </row>
    <row r="267" spans="1:6">
      <c r="A267" t="s">
        <v>807</v>
      </c>
      <c r="B267" t="s">
        <v>808</v>
      </c>
      <c r="C267" t="s">
        <v>809</v>
      </c>
      <c r="D267" t="str">
        <f>HYPERLINK("https://github.com/libreliodev/android/issues/308","show")</f>
        <v>show</v>
      </c>
      <c r="E267" t="str">
        <f>HYPERLINK("https://github.com/libreliodev/android","show")</f>
        <v>show</v>
      </c>
      <c r="F267" t="str">
        <f>HYPERLINK("https://github.com/libreliodev/android/releases","show")</f>
        <v>show</v>
      </c>
    </row>
    <row r="268" spans="1:6">
      <c r="A268" t="s">
        <v>810</v>
      </c>
      <c r="B268" t="s">
        <v>811</v>
      </c>
      <c r="C268" t="s">
        <v>812</v>
      </c>
      <c r="D268" t="str">
        <f>HYPERLINK("https://github.com/paceuniversity/cs3892015team1/issues/28","show")</f>
        <v>show</v>
      </c>
      <c r="E268" t="str">
        <f>HYPERLINK("https://github.com/paceuniversity/cs3892015team1","show")</f>
        <v>show</v>
      </c>
      <c r="F268" t="str">
        <f>HYPERLINK("https://github.com/paceuniversity/cs3892015team1/releases","show")</f>
        <v>show</v>
      </c>
    </row>
    <row r="269" spans="1:6">
      <c r="A269" t="s">
        <v>813</v>
      </c>
      <c r="B269" t="s">
        <v>814</v>
      </c>
      <c r="C269" t="s">
        <v>815</v>
      </c>
      <c r="D269" t="str">
        <f>HYPERLINK("https://github.com/koral--/android-gif-drawable/issues/157","show")</f>
        <v>show</v>
      </c>
      <c r="E269" t="str">
        <f>HYPERLINK("https://github.com/koral--/android-gif-drawable","show")</f>
        <v>show</v>
      </c>
      <c r="F269" t="str">
        <f>HYPERLINK("https://github.com/koral--/android-gif-drawable/releases","show")</f>
        <v>show</v>
      </c>
    </row>
    <row r="270" spans="1:6">
      <c r="A270" t="s">
        <v>816</v>
      </c>
      <c r="B270" t="s">
        <v>817</v>
      </c>
      <c r="C270" t="s">
        <v>818</v>
      </c>
      <c r="D270" t="str">
        <f>HYPERLINK("https://github.com/CellularPrivacy/Android-IMSI-Catcher-Detector/issues/390","show")</f>
        <v>show</v>
      </c>
      <c r="E270" t="str">
        <f>HYPERLINK("https://github.com/CellularPrivacy/Android-IMSI-Catcher-Detector","show")</f>
        <v>show</v>
      </c>
      <c r="F270" t="str">
        <f>HYPERLINK("https://github.com/CellularPrivacy/Android-IMSI-Catcher-Detector/releases","show")</f>
        <v>show</v>
      </c>
    </row>
    <row r="271" spans="1:6">
      <c r="A271" t="s">
        <v>819</v>
      </c>
      <c r="B271" t="s">
        <v>820</v>
      </c>
      <c r="C271" t="s">
        <v>821</v>
      </c>
      <c r="D271" t="str">
        <f>HYPERLINK("https://github.com/remulasce/metroapp/issues/218","show")</f>
        <v>show</v>
      </c>
      <c r="E271" t="str">
        <f>HYPERLINK("https://github.com/remulasce/metroapp","show")</f>
        <v>show</v>
      </c>
      <c r="F271" t="str">
        <f>HYPERLINK("https://github.com/remulasce/metroapp/releases","show")</f>
        <v>show</v>
      </c>
    </row>
    <row r="272" spans="1:6">
      <c r="A272" t="s">
        <v>822</v>
      </c>
      <c r="B272" t="s">
        <v>823</v>
      </c>
      <c r="C272" t="s">
        <v>824</v>
      </c>
      <c r="D272" t="str">
        <f>HYPERLINK("https://github.com/24HeuresINSA/24h-android-app/issues/135","show")</f>
        <v>show</v>
      </c>
      <c r="E272" t="str">
        <f>HYPERLINK("https://github.com/24HeuresINSA/24h-android-app","show")</f>
        <v>show</v>
      </c>
      <c r="F272" t="str">
        <f>HYPERLINK("https://github.com/24HeuresINSA/24h-android-app/releases","show")</f>
        <v>show</v>
      </c>
    </row>
    <row r="273" spans="1:6">
      <c r="A273" t="s">
        <v>825</v>
      </c>
      <c r="B273" t="s">
        <v>826</v>
      </c>
      <c r="C273" t="s">
        <v>827</v>
      </c>
      <c r="D273" t="str">
        <f>HYPERLINK("https://github.com/mvysny/aedict/issues/485","show")</f>
        <v>show</v>
      </c>
      <c r="E273" t="str">
        <f>HYPERLINK("https://github.com/mvysny/aedict","show")</f>
        <v>show</v>
      </c>
      <c r="F273" t="str">
        <f>HYPERLINK("https://github.com/mvysny/aedict/releases","show")</f>
        <v>show</v>
      </c>
    </row>
    <row r="274" spans="1:6">
      <c r="A274" t="s">
        <v>828</v>
      </c>
      <c r="B274" t="s">
        <v>829</v>
      </c>
      <c r="C274" t="s">
        <v>830</v>
      </c>
      <c r="D274" t="str">
        <f>HYPERLINK("https://github.com/AugustanaCSC490Spring2015/SealTeamSixGame/issues/2","show")</f>
        <v>show</v>
      </c>
      <c r="E274" t="str">
        <f>HYPERLINK("https://github.com/AugustanaCSC490Spring2015/SealTeamSixGame","show")</f>
        <v>show</v>
      </c>
      <c r="F274" t="str">
        <f>HYPERLINK("https://github.com/AugustanaCSC490Spring2015/SealTeamSixGame/releases","show")</f>
        <v>show</v>
      </c>
    </row>
    <row r="275" spans="1:6">
      <c r="A275" t="s">
        <v>831</v>
      </c>
      <c r="B275" t="s">
        <v>832</v>
      </c>
      <c r="C275" t="s">
        <v>833</v>
      </c>
      <c r="D275" t="str">
        <f>HYPERLINK("https://github.com/sriharshachilakapati/SilenceEngine/issues/15","show")</f>
        <v>show</v>
      </c>
      <c r="E275" t="str">
        <f>HYPERLINK("https://github.com/sriharshachilakapati/SilenceEngine","show")</f>
        <v>show</v>
      </c>
      <c r="F275" t="str">
        <f>HYPERLINK("https://github.com/sriharshachilakapati/SilenceEngine/releases","show")</f>
        <v>show</v>
      </c>
    </row>
    <row r="276" spans="1:6">
      <c r="A276" t="s">
        <v>834</v>
      </c>
      <c r="B276" t="s">
        <v>835</v>
      </c>
      <c r="C276" t="s">
        <v>836</v>
      </c>
      <c r="D276" t="str">
        <f>HYPERLINK("https://github.com/justeat/mickeydb/issues/3","show")</f>
        <v>show</v>
      </c>
      <c r="E276" t="str">
        <f>HYPERLINK("https://github.com/justeat/mickeydb","show")</f>
        <v>show</v>
      </c>
      <c r="F276" t="str">
        <f>HYPERLINK("https://github.com/justeat/mickeydb/releases","show")</f>
        <v>show</v>
      </c>
    </row>
    <row r="277" spans="1:6">
      <c r="A277" t="s">
        <v>837</v>
      </c>
      <c r="B277" t="s">
        <v>838</v>
      </c>
      <c r="C277" t="s">
        <v>839</v>
      </c>
      <c r="D277" t="str">
        <f>HYPERLINK("https://github.com/clintonhealthaccess/chailmis-android/issues/192","show")</f>
        <v>show</v>
      </c>
      <c r="E277" t="str">
        <f>HYPERLINK("https://github.com/clintonhealthaccess/chailmis-android","show")</f>
        <v>show</v>
      </c>
      <c r="F277" t="str">
        <f>HYPERLINK("https://github.com/clintonhealthaccess/chailmis-android/releases","show")</f>
        <v>show</v>
      </c>
    </row>
    <row r="278" spans="1:6">
      <c r="A278" t="s">
        <v>840</v>
      </c>
      <c r="B278" t="s">
        <v>841</v>
      </c>
      <c r="C278" t="s">
        <v>842</v>
      </c>
      <c r="D278" t="str">
        <f>HYPERLINK("https://github.com/Stuart-campbell/RushOrm/issues/30","show")</f>
        <v>show</v>
      </c>
      <c r="E278" t="str">
        <f>HYPERLINK("https://github.com/Stuart-campbell/RushOrm","show")</f>
        <v>show</v>
      </c>
      <c r="F278" t="str">
        <f>HYPERLINK("https://github.com/Stuart-campbell/RushOrm/releases","show")</f>
        <v>show</v>
      </c>
    </row>
    <row r="279" spans="1:6">
      <c r="A279" t="s">
        <v>843</v>
      </c>
      <c r="B279" t="s">
        <v>844</v>
      </c>
      <c r="C279" t="s">
        <v>845</v>
      </c>
      <c r="D279" t="str">
        <f>HYPERLINK("https://github.com/sockeqwe/mosby/issues/23","show")</f>
        <v>show</v>
      </c>
      <c r="E279" t="str">
        <f>HYPERLINK("https://github.com/sockeqwe/mosby","show")</f>
        <v>show</v>
      </c>
      <c r="F279" t="str">
        <f>HYPERLINK("https://github.com/sockeqwe/mosby/releases","show")</f>
        <v>show</v>
      </c>
    </row>
    <row r="280" spans="1:6">
      <c r="A280" t="s">
        <v>846</v>
      </c>
      <c r="B280" t="s">
        <v>847</v>
      </c>
      <c r="C280" t="s">
        <v>848</v>
      </c>
      <c r="D280" t="str">
        <f>HYPERLINK("https://github.com/redsolution/xabber-android/issues/417","show")</f>
        <v>show</v>
      </c>
      <c r="E280" t="str">
        <f>HYPERLINK("https://github.com/redsolution/xabber-android","show")</f>
        <v>show</v>
      </c>
      <c r="F280" t="str">
        <f>HYPERLINK("https://github.com/redsolution/xabber-android/releases","show")</f>
        <v>show</v>
      </c>
    </row>
    <row r="281" spans="1:6">
      <c r="A281" t="s">
        <v>849</v>
      </c>
      <c r="B281" t="s">
        <v>850</v>
      </c>
      <c r="C281" t="s">
        <v>851</v>
      </c>
      <c r="D281" t="str">
        <f>HYPERLINK("https://github.com/paceuniversity/cs3892015team2/issues/26","show")</f>
        <v>show</v>
      </c>
      <c r="E281" t="str">
        <f>HYPERLINK("https://github.com/paceuniversity/cs3892015team2","show")</f>
        <v>show</v>
      </c>
      <c r="F281" t="str">
        <f>HYPERLINK("https://github.com/paceuniversity/cs3892015team2/releases","show")</f>
        <v>show</v>
      </c>
    </row>
    <row r="282" spans="1:6">
      <c r="A282" t="s">
        <v>852</v>
      </c>
      <c r="B282" t="s">
        <v>853</v>
      </c>
      <c r="C282" t="s">
        <v>854</v>
      </c>
      <c r="D282" t="str">
        <f>HYPERLINK("https://github.com/redsolution/xabber-android/issues/420","show")</f>
        <v>show</v>
      </c>
      <c r="E282" t="str">
        <f>HYPERLINK("https://github.com/redsolution/xabber-android","show")</f>
        <v>show</v>
      </c>
      <c r="F282" t="str">
        <f>HYPERLINK("https://github.com/redsolution/xabber-android/releases","show")</f>
        <v>show</v>
      </c>
    </row>
    <row r="283" spans="1:6">
      <c r="A283" t="s">
        <v>855</v>
      </c>
      <c r="B283" t="s">
        <v>856</v>
      </c>
      <c r="C283" t="s">
        <v>857</v>
      </c>
      <c r="D283" t="str">
        <f>HYPERLINK("https://github.com/bumptech/glide/issues/454","show")</f>
        <v>show</v>
      </c>
      <c r="E283" t="str">
        <f>HYPERLINK("https://github.com/bumptech/glide","show")</f>
        <v>show</v>
      </c>
      <c r="F283" t="str">
        <f>HYPERLINK("https://github.com/bumptech/glide/releases","show")</f>
        <v>show</v>
      </c>
    </row>
    <row r="284" spans="1:6">
      <c r="A284" t="s">
        <v>858</v>
      </c>
      <c r="B284" t="s">
        <v>859</v>
      </c>
      <c r="C284" t="s">
        <v>860</v>
      </c>
      <c r="D284" t="str">
        <f>HYPERLINK("https://github.com/sockeqwe/mosby/issues/24","show")</f>
        <v>show</v>
      </c>
      <c r="E284" t="str">
        <f>HYPERLINK("https://github.com/sockeqwe/mosby","show")</f>
        <v>show</v>
      </c>
      <c r="F284" t="str">
        <f>HYPERLINK("https://github.com/sockeqwe/mosby/releases","show")</f>
        <v>show</v>
      </c>
    </row>
    <row r="285" spans="1:6">
      <c r="A285" t="s">
        <v>861</v>
      </c>
      <c r="B285" t="s">
        <v>862</v>
      </c>
      <c r="C285" t="s">
        <v>863</v>
      </c>
      <c r="D285" t="str">
        <f>HYPERLINK("https://github.com/dhis2/dhis2-android-eventcapture/issues/34","show")</f>
        <v>show</v>
      </c>
      <c r="E285" t="str">
        <f>HYPERLINK("https://github.com/dhis2/dhis2-android-eventcapture","show")</f>
        <v>show</v>
      </c>
      <c r="F285" t="str">
        <f>HYPERLINK("https://github.com/dhis2/dhis2-android-eventcapture/releases","show")</f>
        <v>show</v>
      </c>
    </row>
    <row r="286" spans="1:6">
      <c r="A286" t="s">
        <v>864</v>
      </c>
      <c r="B286" t="s">
        <v>865</v>
      </c>
      <c r="C286" t="s">
        <v>866</v>
      </c>
      <c r="D286" t="str">
        <f>HYPERLINK("https://github.com/DigitalCampus/oppia-mobile-android/issues/427","show")</f>
        <v>show</v>
      </c>
      <c r="E286" t="str">
        <f>HYPERLINK("https://github.com/DigitalCampus/oppia-mobile-android","show")</f>
        <v>show</v>
      </c>
      <c r="F286" t="str">
        <f>HYPERLINK("https://github.com/DigitalCampus/oppia-mobile-android/releases","show")</f>
        <v>show</v>
      </c>
    </row>
    <row r="287" spans="1:6">
      <c r="A287" t="s">
        <v>867</v>
      </c>
      <c r="B287" t="s">
        <v>868</v>
      </c>
      <c r="C287" t="s">
        <v>869</v>
      </c>
      <c r="D287" t="str">
        <f>HYPERLINK("https://github.com/cgeo/cgeo/issues/4922","show")</f>
        <v>show</v>
      </c>
      <c r="E287" t="str">
        <f>HYPERLINK("https://github.com/cgeo/cgeo","show")</f>
        <v>show</v>
      </c>
      <c r="F287" t="str">
        <f>HYPERLINK("https://github.com/cgeo/cgeo/releases","show")</f>
        <v>show</v>
      </c>
    </row>
    <row r="288" spans="1:6">
      <c r="A288" t="s">
        <v>870</v>
      </c>
      <c r="B288" t="s">
        <v>871</v>
      </c>
      <c r="C288" t="s">
        <v>872</v>
      </c>
      <c r="D288" t="str">
        <f>HYPERLINK("https://github.com/elan-ev/StudIPAndroidApp/issues/67","show")</f>
        <v>show</v>
      </c>
      <c r="E288" t="str">
        <f>HYPERLINK("https://github.com/elan-ev/StudIPAndroidApp","show")</f>
        <v>show</v>
      </c>
      <c r="F288" t="str">
        <f>HYPERLINK("https://github.com/elan-ev/StudIPAndroidApp/releases","show")</f>
        <v>show</v>
      </c>
    </row>
    <row r="289" spans="1:6">
      <c r="A289" t="s">
        <v>873</v>
      </c>
      <c r="B289" t="s">
        <v>874</v>
      </c>
      <c r="C289" t="s">
        <v>875</v>
      </c>
      <c r="D289" t="str">
        <f>HYPERLINK("https://github.com/paceuniversity/cs3892015team2/issues/31","show")</f>
        <v>show</v>
      </c>
      <c r="E289" t="str">
        <f>HYPERLINK("https://github.com/paceuniversity/cs3892015team2","show")</f>
        <v>show</v>
      </c>
      <c r="F289" t="str">
        <f>HYPERLINK("https://github.com/paceuniversity/cs3892015team2/releases","show")</f>
        <v>show</v>
      </c>
    </row>
    <row r="290" spans="1:6">
      <c r="A290" t="s">
        <v>876</v>
      </c>
      <c r="B290" t="s">
        <v>877</v>
      </c>
      <c r="C290" t="s">
        <v>878</v>
      </c>
      <c r="D290" t="str">
        <f>HYPERLINK("https://github.com/sockeqwe/mosby/issues/29","show")</f>
        <v>show</v>
      </c>
      <c r="E290" t="str">
        <f>HYPERLINK("https://github.com/sockeqwe/mosby","show")</f>
        <v>show</v>
      </c>
      <c r="F290" t="str">
        <f>HYPERLINK("https://github.com/sockeqwe/mosby/releases","show")</f>
        <v>show</v>
      </c>
    </row>
    <row r="291" spans="1:6">
      <c r="A291" t="s">
        <v>879</v>
      </c>
      <c r="B291" t="s">
        <v>880</v>
      </c>
      <c r="C291" t="s">
        <v>881</v>
      </c>
      <c r="D291" t="str">
        <f>HYPERLINK("https://github.com/gdg-x/frisbee/issues/354","show")</f>
        <v>show</v>
      </c>
      <c r="E291" t="str">
        <f>HYPERLINK("https://github.com/gdg-x/frisbee","show")</f>
        <v>show</v>
      </c>
      <c r="F291" t="str">
        <f>HYPERLINK("https://github.com/gdg-x/frisbee/releases","show")</f>
        <v>show</v>
      </c>
    </row>
    <row r="292" spans="1:6">
      <c r="A292" t="s">
        <v>882</v>
      </c>
      <c r="B292" t="s">
        <v>883</v>
      </c>
      <c r="C292" t="s">
        <v>884</v>
      </c>
      <c r="D292" t="str">
        <f>HYPERLINK("https://github.com/paceuniversity/cs3892015team4/issues/44","show")</f>
        <v>show</v>
      </c>
      <c r="E292" t="str">
        <f>HYPERLINK("https://github.com/paceuniversity/cs3892015team4","show")</f>
        <v>show</v>
      </c>
      <c r="F292" t="str">
        <f>HYPERLINK("https://github.com/paceuniversity/cs3892015team4/releases","show")</f>
        <v>show</v>
      </c>
    </row>
    <row r="293" spans="1:6">
      <c r="A293" t="s">
        <v>885</v>
      </c>
      <c r="B293" t="s">
        <v>886</v>
      </c>
      <c r="C293" t="s">
        <v>887</v>
      </c>
      <c r="D293" t="str">
        <f>HYPERLINK("https://github.com/paceuniversity/cs3892015team4/issues/43","show")</f>
        <v>show</v>
      </c>
      <c r="E293" t="str">
        <f>HYPERLINK("https://github.com/paceuniversity/cs3892015team4","show")</f>
        <v>show</v>
      </c>
      <c r="F293" t="str">
        <f>HYPERLINK("https://github.com/paceuniversity/cs3892015team4/releases","show")</f>
        <v>show</v>
      </c>
    </row>
    <row r="294" spans="1:6">
      <c r="A294" t="s">
        <v>888</v>
      </c>
      <c r="B294" t="s">
        <v>889</v>
      </c>
      <c r="C294" t="s">
        <v>890</v>
      </c>
      <c r="D294" t="str">
        <f>HYPERLINK("https://github.com/microsoft/vsminecraft/issues/21","show")</f>
        <v>show</v>
      </c>
      <c r="E294" t="str">
        <f>HYPERLINK("https://github.com/microsoft/vsminecraft","show")</f>
        <v>show</v>
      </c>
      <c r="F294" t="str">
        <f>HYPERLINK("https://github.com/microsoft/vsminecraft/releases","show")</f>
        <v>show</v>
      </c>
    </row>
    <row r="295" spans="1:6">
      <c r="A295" t="s">
        <v>891</v>
      </c>
      <c r="B295" t="s">
        <v>892</v>
      </c>
      <c r="C295" t="s">
        <v>893</v>
      </c>
      <c r="D295" t="str">
        <f>HYPERLINK("https://github.com/square/okhttp/issues/1620","show")</f>
        <v>show</v>
      </c>
      <c r="E295" t="str">
        <f>HYPERLINK("https://github.com/square/okhttp","show")</f>
        <v>show</v>
      </c>
      <c r="F295" t="str">
        <f>HYPERLINK("https://github.com/square/okhttp/releases","show")</f>
        <v>show</v>
      </c>
    </row>
    <row r="296" spans="1:6">
      <c r="A296" t="s">
        <v>894</v>
      </c>
      <c r="B296" t="s">
        <v>895</v>
      </c>
      <c r="C296" t="s">
        <v>896</v>
      </c>
      <c r="D296" t="str">
        <f>HYPERLINK("https://github.com/clintonhealthaccess/chailmis-android/issues/204","show")</f>
        <v>show</v>
      </c>
      <c r="E296" t="str">
        <f>HYPERLINK("https://github.com/clintonhealthaccess/chailmis-android","show")</f>
        <v>show</v>
      </c>
      <c r="F296" t="str">
        <f>HYPERLINK("https://github.com/clintonhealthaccess/chailmis-android/releases","show")</f>
        <v>show</v>
      </c>
    </row>
    <row r="297" spans="1:6">
      <c r="A297" t="s">
        <v>897</v>
      </c>
      <c r="B297" t="s">
        <v>898</v>
      </c>
      <c r="C297" t="s">
        <v>899</v>
      </c>
      <c r="D297" t="str">
        <f>HYPERLINK("https://github.com/federicoiosue/Omni-Notes/issues/160","show")</f>
        <v>show</v>
      </c>
      <c r="E297" t="str">
        <f>HYPERLINK("https://github.com/federicoiosue/Omni-Notes","show")</f>
        <v>show</v>
      </c>
      <c r="F297" t="str">
        <f>HYPERLINK("https://github.com/federicoiosue/Omni-Notes/releases","show")</f>
        <v>show</v>
      </c>
    </row>
    <row r="298" spans="1:6">
      <c r="A298" t="s">
        <v>900</v>
      </c>
      <c r="B298" t="s">
        <v>901</v>
      </c>
      <c r="C298" t="s">
        <v>902</v>
      </c>
      <c r="D298" t="str">
        <f>HYPERLINK("https://github.com/dimagi/commcare-android/issues/286","show")</f>
        <v>show</v>
      </c>
      <c r="E298" t="str">
        <f>HYPERLINK("https://github.com/dimagi/commcare-android","show")</f>
        <v>show</v>
      </c>
      <c r="F298" t="str">
        <f>HYPERLINK("https://github.com/dimagi/commcare-android/releases","show")</f>
        <v>show</v>
      </c>
    </row>
    <row r="299" spans="1:6">
      <c r="A299" t="s">
        <v>903</v>
      </c>
      <c r="B299" t="s">
        <v>904</v>
      </c>
      <c r="C299" t="s">
        <v>905</v>
      </c>
      <c r="D299" t="str">
        <f>HYPERLINK("https://github.com/splitwise/TokenAutoComplete/issues/126","show")</f>
        <v>show</v>
      </c>
      <c r="E299" t="str">
        <f>HYPERLINK("https://github.com/splitwise/TokenAutoComplete","show")</f>
        <v>show</v>
      </c>
      <c r="F299" t="str">
        <f>HYPERLINK("https://github.com/splitwise/TokenAutoComplete/releases","show")</f>
        <v>show</v>
      </c>
    </row>
    <row r="300" spans="1:6">
      <c r="A300" t="s">
        <v>906</v>
      </c>
      <c r="B300" t="s">
        <v>907</v>
      </c>
      <c r="C300" t="s">
        <v>908</v>
      </c>
      <c r="D300" t="str">
        <f>HYPERLINK("https://github.com/nerzhul/ncsms-android/issues/57","show")</f>
        <v>show</v>
      </c>
      <c r="E300" t="str">
        <f>HYPERLINK("https://github.com/nerzhul/ncsms-android","show")</f>
        <v>show</v>
      </c>
      <c r="F300" t="str">
        <f>HYPERLINK("https://github.com/nerzhul/ncsms-android/releases","show")</f>
        <v>show</v>
      </c>
    </row>
    <row r="301" spans="1:6">
      <c r="A301" t="s">
        <v>909</v>
      </c>
      <c r="B301" t="s">
        <v>910</v>
      </c>
      <c r="C301" t="s">
        <v>911</v>
      </c>
      <c r="D301" t="str">
        <f>HYPERLINK("https://github.com/moneymanagerex/android-money-manager-ex/issues/257","show")</f>
        <v>show</v>
      </c>
      <c r="E301" t="str">
        <f>HYPERLINK("https://github.com/moneymanagerex/android-money-manager-ex","show")</f>
        <v>show</v>
      </c>
      <c r="F301" t="str">
        <f>HYPERLINK("https://github.com/moneymanagerex/android-money-manager-ex/releases","show")</f>
        <v>show</v>
      </c>
    </row>
    <row r="302" spans="1:6">
      <c r="A302" t="s">
        <v>912</v>
      </c>
      <c r="B302" t="s">
        <v>913</v>
      </c>
      <c r="C302" t="s">
        <v>914</v>
      </c>
      <c r="D302" t="str">
        <f>HYPERLINK("https://github.com/aidangrabe/material-color-picker/issues/1","show")</f>
        <v>show</v>
      </c>
      <c r="E302" t="str">
        <f>HYPERLINK("https://github.com/aidangrabe/material-color-picker","show")</f>
        <v>show</v>
      </c>
      <c r="F302" t="str">
        <f>HYPERLINK("https://github.com/aidangrabe/material-color-picker/releases","show")</f>
        <v>show</v>
      </c>
    </row>
    <row r="303" spans="1:6">
      <c r="A303" t="s">
        <v>915</v>
      </c>
      <c r="B303" t="s">
        <v>916</v>
      </c>
      <c r="C303" t="s">
        <v>917</v>
      </c>
      <c r="D303" t="str">
        <f>HYPERLINK("https://github.com/k9mail/k-9/issues/642","show")</f>
        <v>show</v>
      </c>
      <c r="E303" t="str">
        <f>HYPERLINK("https://github.com/k9mail/k-9","show")</f>
        <v>show</v>
      </c>
      <c r="F303" t="str">
        <f>HYPERLINK("https://github.com/k9mail/k-9/releases","show")</f>
        <v>show</v>
      </c>
    </row>
    <row r="304" spans="1:6">
      <c r="A304" t="s">
        <v>918</v>
      </c>
      <c r="B304" t="s">
        <v>919</v>
      </c>
      <c r="C304" t="s">
        <v>920</v>
      </c>
      <c r="D304" t="str">
        <f>HYPERLINK("https://github.com/vickychijwani/quill/issues/56","show")</f>
        <v>show</v>
      </c>
      <c r="E304" t="str">
        <f>HYPERLINK("https://github.com/vickychijwani/quill","show")</f>
        <v>show</v>
      </c>
      <c r="F304" t="str">
        <f>HYPERLINK("https://github.com/vickychijwani/quill/releases","show")</f>
        <v>show</v>
      </c>
    </row>
    <row r="305" spans="1:6">
      <c r="A305" t="s">
        <v>921</v>
      </c>
      <c r="B305" t="s">
        <v>922</v>
      </c>
      <c r="C305" t="s">
        <v>923</v>
      </c>
      <c r="D305" t="str">
        <f>HYPERLINK("https://github.com/dimagi/commcare-android/issues/292","show")</f>
        <v>show</v>
      </c>
      <c r="E305" t="str">
        <f>HYPERLINK("https://github.com/dimagi/commcare-android","show")</f>
        <v>show</v>
      </c>
      <c r="F305" t="str">
        <f>HYPERLINK("https://github.com/dimagi/commcare-android/releases","show")</f>
        <v>show</v>
      </c>
    </row>
    <row r="306" spans="1:6">
      <c r="A306" t="s">
        <v>924</v>
      </c>
      <c r="B306" t="s">
        <v>925</v>
      </c>
      <c r="C306" t="s">
        <v>926</v>
      </c>
      <c r="D306" t="str">
        <f>HYPERLINK("https://github.com/mixpanel/mixpanel-android/issues/219","show")</f>
        <v>show</v>
      </c>
      <c r="E306" t="str">
        <f>HYPERLINK("https://github.com/mixpanel/mixpanel-android","show")</f>
        <v>show</v>
      </c>
      <c r="F306" t="str">
        <f>HYPERLINK("https://github.com/mixpanel/mixpanel-android/releases","show")</f>
        <v>show</v>
      </c>
    </row>
    <row r="307" spans="1:6">
      <c r="A307" t="s">
        <v>927</v>
      </c>
      <c r="B307" t="s">
        <v>928</v>
      </c>
      <c r="C307" t="s">
        <v>929</v>
      </c>
      <c r="D307" t="str">
        <f>HYPERLINK("https://github.com/dimagi/commcare-android/issues/295","show")</f>
        <v>show</v>
      </c>
      <c r="E307" t="str">
        <f>HYPERLINK("https://github.com/dimagi/commcare-android","show")</f>
        <v>show</v>
      </c>
      <c r="F307" t="str">
        <f>HYPERLINK("https://github.com/dimagi/commcare-android/releases","show")</f>
        <v>show</v>
      </c>
    </row>
    <row r="308" spans="1:6">
      <c r="A308" t="s">
        <v>930</v>
      </c>
      <c r="B308" t="s">
        <v>931</v>
      </c>
      <c r="C308" t="s">
        <v>932</v>
      </c>
      <c r="D308" t="str">
        <f>HYPERLINK("https://github.com/square/okhttp/issues/1651","show")</f>
        <v>show</v>
      </c>
      <c r="E308" t="str">
        <f>HYPERLINK("https://github.com/square/okhttp","show")</f>
        <v>show</v>
      </c>
      <c r="F308" t="str">
        <f>HYPERLINK("https://github.com/square/okhttp/releases","show")</f>
        <v>show</v>
      </c>
    </row>
    <row r="309" spans="1:6">
      <c r="A309" t="s">
        <v>933</v>
      </c>
      <c r="B309" t="s">
        <v>934</v>
      </c>
      <c r="C309" t="s">
        <v>935</v>
      </c>
      <c r="D309" t="str">
        <f>HYPERLINK("https://github.com/xiprox/WaniKani-for-Android/issues/5","show")</f>
        <v>show</v>
      </c>
      <c r="E309" t="str">
        <f>HYPERLINK("https://github.com/xiprox/WaniKani-for-Android","show")</f>
        <v>show</v>
      </c>
      <c r="F309" t="str">
        <f>HYPERLINK("https://github.com/xiprox/WaniKani-for-Android/releases","show")</f>
        <v>show</v>
      </c>
    </row>
    <row r="310" spans="1:6">
      <c r="A310" t="s">
        <v>936</v>
      </c>
      <c r="B310" t="s">
        <v>937</v>
      </c>
      <c r="C310" t="s">
        <v>938</v>
      </c>
      <c r="D310" t="str">
        <f>HYPERLINK("https://github.com/AltBeacon/android-beacon-library/issues/185","show")</f>
        <v>show</v>
      </c>
      <c r="E310" t="str">
        <f>HYPERLINK("https://github.com/AltBeacon/android-beacon-library","show")</f>
        <v>show</v>
      </c>
      <c r="F310" t="str">
        <f>HYPERLINK("https://github.com/AltBeacon/android-beacon-library/releases","show")</f>
        <v>show</v>
      </c>
    </row>
    <row r="311" spans="1:6">
      <c r="A311" t="s">
        <v>939</v>
      </c>
      <c r="B311" t="s">
        <v>940</v>
      </c>
      <c r="C311" t="s">
        <v>941</v>
      </c>
      <c r="D311" t="str">
        <f>HYPERLINK("https://github.com/moneymanagerex/android-money-manager-ex/issues/281","show")</f>
        <v>show</v>
      </c>
      <c r="E311" t="str">
        <f>HYPERLINK("https://github.com/moneymanagerex/android-money-manager-ex","show")</f>
        <v>show</v>
      </c>
      <c r="F311" t="str">
        <f>HYPERLINK("https://github.com/moneymanagerex/android-money-manager-ex/releases","show")</f>
        <v>show</v>
      </c>
    </row>
    <row r="312" spans="1:6">
      <c r="A312" t="s">
        <v>942</v>
      </c>
      <c r="B312" t="s">
        <v>943</v>
      </c>
      <c r="C312" t="s">
        <v>944</v>
      </c>
      <c r="D312" t="str">
        <f>HYPERLINK("https://github.com/liferay/liferay-screens/issues/125","show")</f>
        <v>show</v>
      </c>
      <c r="E312" t="str">
        <f>HYPERLINK("https://github.com/liferay/liferay-screens","show")</f>
        <v>show</v>
      </c>
      <c r="F312" t="str">
        <f>HYPERLINK("https://github.com/liferay/liferay-screens/releases","show")</f>
        <v>show</v>
      </c>
    </row>
    <row r="313" spans="1:6">
      <c r="A313" t="s">
        <v>945</v>
      </c>
      <c r="B313" t="s">
        <v>946</v>
      </c>
      <c r="C313" t="s">
        <v>947</v>
      </c>
      <c r="D313" t="str">
        <f>HYPERLINK("https://github.com/AltBeacon/android-beacon-library/issues/184","show")</f>
        <v>show</v>
      </c>
      <c r="E313" t="str">
        <f>HYPERLINK("https://github.com/AltBeacon/android-beacon-library","show")</f>
        <v>show</v>
      </c>
      <c r="F313" t="str">
        <f>HYPERLINK("https://github.com/AltBeacon/android-beacon-library/releases","show")</f>
        <v>show</v>
      </c>
    </row>
    <row r="314" spans="1:6">
      <c r="A314" t="s">
        <v>948</v>
      </c>
      <c r="B314" t="s">
        <v>949</v>
      </c>
      <c r="C314" t="s">
        <v>950</v>
      </c>
      <c r="D314" t="str">
        <f>HYPERLINK("https://github.com/dhis2/dhis2-android-trackercapture/issues/19","show")</f>
        <v>show</v>
      </c>
      <c r="E314" t="str">
        <f>HYPERLINK("https://github.com/dhis2/dhis2-android-trackercapture","show")</f>
        <v>show</v>
      </c>
      <c r="F314" t="str">
        <f>HYPERLINK("https://github.com/dhis2/dhis2-android-trackercapture/releases","show")</f>
        <v>show</v>
      </c>
    </row>
    <row r="315" spans="1:6">
      <c r="A315" t="s">
        <v>951</v>
      </c>
      <c r="B315" t="s">
        <v>952</v>
      </c>
      <c r="C315" t="s">
        <v>953</v>
      </c>
      <c r="D315" t="str">
        <f>HYPERLINK("https://github.com/luispablo/pikisubs/issues/74","show")</f>
        <v>show</v>
      </c>
      <c r="E315" t="str">
        <f>HYPERLINK("https://github.com/luispablo/pikisubs","show")</f>
        <v>show</v>
      </c>
      <c r="F315" t="str">
        <f>HYPERLINK("https://github.com/luispablo/pikisubs/releases","show")</f>
        <v>show</v>
      </c>
    </row>
    <row r="316" spans="1:6">
      <c r="A316" t="s">
        <v>954</v>
      </c>
      <c r="B316" t="s">
        <v>955</v>
      </c>
      <c r="C316" t="s">
        <v>956</v>
      </c>
      <c r="D316" t="str">
        <f>HYPERLINK("https://github.com/dimagi/commcare-android/issues/307","show")</f>
        <v>show</v>
      </c>
      <c r="E316" t="str">
        <f>HYPERLINK("https://github.com/dimagi/commcare-android","show")</f>
        <v>show</v>
      </c>
      <c r="F316" t="str">
        <f>HYPERLINK("https://github.com/dimagi/commcare-android/releases","show")</f>
        <v>show</v>
      </c>
    </row>
    <row r="317" spans="1:6">
      <c r="A317" t="s">
        <v>957</v>
      </c>
      <c r="B317" t="s">
        <v>958</v>
      </c>
      <c r="C317" t="s">
        <v>959</v>
      </c>
      <c r="D317" t="str">
        <f>HYPERLINK("https://github.com/dimagi/commcare-android/issues/306","show")</f>
        <v>show</v>
      </c>
      <c r="E317" t="str">
        <f>HYPERLINK("https://github.com/dimagi/commcare-android","show")</f>
        <v>show</v>
      </c>
      <c r="F317" t="str">
        <f>HYPERLINK("https://github.com/dimagi/commcare-android/releases","show")</f>
        <v>show</v>
      </c>
    </row>
    <row r="318" spans="1:6">
      <c r="A318" t="s">
        <v>960</v>
      </c>
      <c r="B318" t="s">
        <v>961</v>
      </c>
      <c r="C318" t="s">
        <v>962</v>
      </c>
      <c r="D318" t="str">
        <f>HYPERLINK("https://github.com/M66B/XPrivacy/issues/2198","show")</f>
        <v>show</v>
      </c>
      <c r="E318" t="str">
        <f>HYPERLINK("https://github.com/M66B/XPrivacy","show")</f>
        <v>show</v>
      </c>
      <c r="F318" t="str">
        <f>HYPERLINK("https://github.com/M66B/XPrivacy/releases","show")</f>
        <v>show</v>
      </c>
    </row>
    <row r="319" spans="1:6">
      <c r="A319" t="s">
        <v>963</v>
      </c>
      <c r="B319" t="s">
        <v>964</v>
      </c>
      <c r="C319" t="s">
        <v>965</v>
      </c>
      <c r="D319" t="str">
        <f>HYPERLINK("https://github.com/ConnectSDK/Connect-SDK-Android/issues/255","show")</f>
        <v>show</v>
      </c>
      <c r="E319" t="str">
        <f>HYPERLINK("https://github.com/ConnectSDK/Connect-SDK-Android","show")</f>
        <v>show</v>
      </c>
      <c r="F319" t="str">
        <f>HYPERLINK("https://github.com/ConnectSDK/Connect-SDK-Android/releases","show")</f>
        <v>show</v>
      </c>
    </row>
    <row r="320" spans="1:6">
      <c r="A320" t="s">
        <v>966</v>
      </c>
      <c r="B320" t="s">
        <v>967</v>
      </c>
      <c r="C320" t="s">
        <v>968</v>
      </c>
      <c r="D320" t="str">
        <f>HYPERLINK("https://github.com/felixb/callmeter/issues/70","show")</f>
        <v>show</v>
      </c>
      <c r="E320" t="str">
        <f>HYPERLINK("https://github.com/felixb/callmeter","show")</f>
        <v>show</v>
      </c>
      <c r="F320" t="str">
        <f>HYPERLINK("https://github.com/felixb/callmeter/releases","show")</f>
        <v>show</v>
      </c>
    </row>
    <row r="321" spans="1:6">
      <c r="A321" t="s">
        <v>969</v>
      </c>
      <c r="B321" t="s">
        <v>970</v>
      </c>
      <c r="C321" t="s">
        <v>971</v>
      </c>
      <c r="D321" t="str">
        <f>HYPERLINK("https://github.com/asterics/AsTeRICS/issues/84","show")</f>
        <v>show</v>
      </c>
      <c r="E321" t="str">
        <f>HYPERLINK("https://github.com/asterics/AsTeRICS","show")</f>
        <v>show</v>
      </c>
      <c r="F321" t="str">
        <f>HYPERLINK("https://github.com/asterics/AsTeRICS/releases","show")</f>
        <v>show</v>
      </c>
    </row>
    <row r="322" spans="1:6">
      <c r="A322" t="s">
        <v>972</v>
      </c>
      <c r="B322" t="s">
        <v>973</v>
      </c>
      <c r="C322" t="s">
        <v>974</v>
      </c>
      <c r="D322" t="str">
        <f>HYPERLINK("https://github.com/facebook/stetho/issues/198","show")</f>
        <v>show</v>
      </c>
      <c r="E322" t="str">
        <f>HYPERLINK("https://github.com/facebook/stetho","show")</f>
        <v>show</v>
      </c>
      <c r="F322" t="str">
        <f>HYPERLINK("https://github.com/facebook/stetho/releases","show")</f>
        <v>show</v>
      </c>
    </row>
    <row r="323" spans="1:6">
      <c r="A323" t="s">
        <v>975</v>
      </c>
      <c r="B323" t="s">
        <v>976</v>
      </c>
      <c r="C323" t="s">
        <v>977</v>
      </c>
      <c r="D323" t="str">
        <f>HYPERLINK("https://github.com/ludovicroland/carousel-android/issues/4","show")</f>
        <v>show</v>
      </c>
      <c r="E323" t="str">
        <f>HYPERLINK("https://github.com/ludovicroland/carousel-android","show")</f>
        <v>show</v>
      </c>
      <c r="F323" t="str">
        <f>HYPERLINK("https://github.com/ludovicroland/carousel-android/releases","show")</f>
        <v>show</v>
      </c>
    </row>
    <row r="324" spans="1:6">
      <c r="A324" t="s">
        <v>978</v>
      </c>
      <c r="B324" t="s">
        <v>979</v>
      </c>
      <c r="C324" t="s">
        <v>980</v>
      </c>
      <c r="D324" t="str">
        <f>HYPERLINK("https://github.com/mehtank/androminion/issues/281","show")</f>
        <v>show</v>
      </c>
      <c r="E324" t="str">
        <f>HYPERLINK("https://github.com/mehtank/androminion","show")</f>
        <v>show</v>
      </c>
      <c r="F324" t="str">
        <f>HYPERLINK("https://github.com/mehtank/androminion/releases","show")</f>
        <v>show</v>
      </c>
    </row>
    <row r="325" spans="1:6">
      <c r="A325" t="s">
        <v>981</v>
      </c>
      <c r="B325" t="s">
        <v>982</v>
      </c>
      <c r="C325" t="s">
        <v>983</v>
      </c>
      <c r="D325" t="str">
        <f>HYPERLINK("https://github.com/mehtank/androminion/issues/230","show")</f>
        <v>show</v>
      </c>
      <c r="E325" t="str">
        <f>HYPERLINK("https://github.com/mehtank/androminion","show")</f>
        <v>show</v>
      </c>
      <c r="F325" t="str">
        <f>HYPERLINK("https://github.com/mehtank/androminion/releases","show")</f>
        <v>show</v>
      </c>
    </row>
    <row r="326" spans="1:6">
      <c r="A326" t="s">
        <v>984</v>
      </c>
      <c r="B326" t="s">
        <v>985</v>
      </c>
      <c r="C326" t="s">
        <v>986</v>
      </c>
      <c r="D326" t="str">
        <f>HYPERLINK("https://github.com/dimtion/Shaarlier/issues/10","show")</f>
        <v>show</v>
      </c>
      <c r="E326" t="str">
        <f>HYPERLINK("https://github.com/dimtion/Shaarlier","show")</f>
        <v>show</v>
      </c>
      <c r="F326" t="str">
        <f>HYPERLINK("https://github.com/dimtion/Shaarlier/releases","show")</f>
        <v>show</v>
      </c>
    </row>
    <row r="327" spans="1:6">
      <c r="A327" t="s">
        <v>987</v>
      </c>
      <c r="B327" t="s">
        <v>988</v>
      </c>
      <c r="C327" t="s">
        <v>989</v>
      </c>
      <c r="D327" t="str">
        <f>HYPERLINK("https://github.com/PaNaVTEC/Clean-Contacts/issues/8","show")</f>
        <v>show</v>
      </c>
      <c r="E327" t="str">
        <f>HYPERLINK("https://github.com/PaNaVTEC/Clean-Contacts","show")</f>
        <v>show</v>
      </c>
      <c r="F327" t="str">
        <f>HYPERLINK("https://github.com/PaNaVTEC/Clean-Contacts/releases","show")</f>
        <v>show</v>
      </c>
    </row>
    <row r="328" spans="1:6">
      <c r="A328" t="s">
        <v>990</v>
      </c>
      <c r="B328" t="s">
        <v>991</v>
      </c>
      <c r="C328" t="s">
        <v>992</v>
      </c>
      <c r="D328" t="str">
        <f>HYPERLINK("https://github.com/khalid-hussain/HisnulMuslim/issues/35","show")</f>
        <v>show</v>
      </c>
      <c r="E328" t="str">
        <f>HYPERLINK("https://github.com/khalid-hussain/HisnulMuslim","show")</f>
        <v>show</v>
      </c>
      <c r="F328" t="str">
        <f>HYPERLINK("https://github.com/khalid-hussain/HisnulMuslim/releases","show")</f>
        <v>show</v>
      </c>
    </row>
    <row r="329" spans="1:6">
      <c r="A329" t="s">
        <v>993</v>
      </c>
      <c r="B329" t="s">
        <v>994</v>
      </c>
      <c r="C329" t="s">
        <v>995</v>
      </c>
      <c r="D329" t="str">
        <f>HYPERLINK("https://github.com/bparmentier/OpenBikeSharing/issues/21","show")</f>
        <v>show</v>
      </c>
      <c r="E329" t="str">
        <f>HYPERLINK("https://github.com/bparmentier/OpenBikeSharing","show")</f>
        <v>show</v>
      </c>
      <c r="F329" t="str">
        <f>HYPERLINK("https://github.com/bparmentier/OpenBikeSharing/releases","show")</f>
        <v>show</v>
      </c>
    </row>
    <row r="330" spans="1:6">
      <c r="A330" t="s">
        <v>996</v>
      </c>
      <c r="B330" t="s">
        <v>997</v>
      </c>
      <c r="C330" t="s">
        <v>998</v>
      </c>
      <c r="D330" t="str">
        <f>HYPERLINK("https://github.com/mattford/scoutlink/issues/6","show")</f>
        <v>show</v>
      </c>
      <c r="E330" t="str">
        <f>HYPERLINK("https://github.com/mattford/scoutlink","show")</f>
        <v>show</v>
      </c>
      <c r="F330" t="str">
        <f>HYPERLINK("https://github.com/mattford/scoutlink/releases","show")</f>
        <v>show</v>
      </c>
    </row>
    <row r="331" spans="1:6">
      <c r="A331" t="s">
        <v>999</v>
      </c>
      <c r="B331" t="s">
        <v>1000</v>
      </c>
      <c r="C331" t="s">
        <v>1001</v>
      </c>
      <c r="D331" t="str">
        <f>HYPERLINK("https://github.com/clintonhealthaccess/chailmis-android/issues/222","show")</f>
        <v>show</v>
      </c>
      <c r="E331" t="str">
        <f>HYPERLINK("https://github.com/clintonhealthaccess/chailmis-android","show")</f>
        <v>show</v>
      </c>
      <c r="F331" t="str">
        <f>HYPERLINK("https://github.com/clintonhealthaccess/chailmis-android/releases","show")</f>
        <v>show</v>
      </c>
    </row>
    <row r="332" spans="1:6">
      <c r="A332" t="s">
        <v>1002</v>
      </c>
      <c r="B332" t="s">
        <v>1003</v>
      </c>
      <c r="C332" t="s">
        <v>1004</v>
      </c>
      <c r="D332" t="str">
        <f>HYPERLINK("https://github.com/rovo89/XposedInstaller/issues/288","show")</f>
        <v>show</v>
      </c>
      <c r="E332" t="str">
        <f>HYPERLINK("https://github.com/rovo89/XposedInstaller","show")</f>
        <v>show</v>
      </c>
      <c r="F332" t="str">
        <f>HYPERLINK("https://github.com/rovo89/XposedInstaller/releases","show")</f>
        <v>show</v>
      </c>
    </row>
    <row r="333" spans="1:6">
      <c r="A333" t="s">
        <v>1005</v>
      </c>
      <c r="B333" t="s">
        <v>1006</v>
      </c>
      <c r="C333" t="s">
        <v>1007</v>
      </c>
      <c r="D333" t="str">
        <f>HYPERLINK("https://github.com/wlky/AnkiDroid-Wear/issues/1","show")</f>
        <v>show</v>
      </c>
      <c r="E333" t="str">
        <f>HYPERLINK("https://github.com/wlky/AnkiDroid-Wear","show")</f>
        <v>show</v>
      </c>
      <c r="F333" t="str">
        <f>HYPERLINK("https://github.com/wlky/AnkiDroid-Wear/releases","show")</f>
        <v>show</v>
      </c>
    </row>
    <row r="334" spans="1:6">
      <c r="A334" t="s">
        <v>1008</v>
      </c>
      <c r="B334" t="s">
        <v>1009</v>
      </c>
      <c r="C334" t="s">
        <v>1010</v>
      </c>
      <c r="D334" t="str">
        <f>HYPERLINK("https://github.com/dimagi/commcare-android/issues/328","show")</f>
        <v>show</v>
      </c>
      <c r="E334" t="str">
        <f>HYPERLINK("https://github.com/dimagi/commcare-android","show")</f>
        <v>show</v>
      </c>
      <c r="F334" t="str">
        <f>HYPERLINK("https://github.com/dimagi/commcare-android/releases","show")</f>
        <v>show</v>
      </c>
    </row>
    <row r="335" spans="1:6">
      <c r="A335" t="s">
        <v>1011</v>
      </c>
      <c r="B335" t="s">
        <v>1012</v>
      </c>
      <c r="C335" t="s">
        <v>1013</v>
      </c>
      <c r="D335" t="str">
        <f>HYPERLINK("https://github.com/DigitalCampus/oppia-mobile-android/issues/449","show")</f>
        <v>show</v>
      </c>
      <c r="E335" t="str">
        <f>HYPERLINK("https://github.com/DigitalCampus/oppia-mobile-android","show")</f>
        <v>show</v>
      </c>
      <c r="F335" t="str">
        <f>HYPERLINK("https://github.com/DigitalCampus/oppia-mobile-android/releases","show")</f>
        <v>show</v>
      </c>
    </row>
    <row r="336" spans="1:6">
      <c r="A336" t="s">
        <v>1014</v>
      </c>
      <c r="B336" t="s">
        <v>1015</v>
      </c>
      <c r="C336" t="s">
        <v>1016</v>
      </c>
      <c r="D336" t="str">
        <f>HYPERLINK("https://github.com/DigitalCampus/oppia-mobile-android/issues/445","show")</f>
        <v>show</v>
      </c>
      <c r="E336" t="str">
        <f>HYPERLINK("https://github.com/DigitalCampus/oppia-mobile-android","show")</f>
        <v>show</v>
      </c>
      <c r="F336" t="str">
        <f>HYPERLINK("https://github.com/DigitalCampus/oppia-mobile-android/releases","show")</f>
        <v>show</v>
      </c>
    </row>
    <row r="337" spans="1:6">
      <c r="A337" t="s">
        <v>1017</v>
      </c>
      <c r="B337" t="s">
        <v>1018</v>
      </c>
      <c r="C337" t="s">
        <v>1019</v>
      </c>
      <c r="D337" t="str">
        <f>HYPERLINK("https://github.com/CellularPrivacy/Android-IMSI-Catcher-Detector/issues/464","show")</f>
        <v>show</v>
      </c>
      <c r="E337" t="str">
        <f>HYPERLINK("https://github.com/CellularPrivacy/Android-IMSI-Catcher-Detector","show")</f>
        <v>show</v>
      </c>
      <c r="F337" t="str">
        <f>HYPERLINK("https://github.com/CellularPrivacy/Android-IMSI-Catcher-Detector/releases","show")</f>
        <v>show</v>
      </c>
    </row>
    <row r="338" spans="1:6">
      <c r="A338" t="s">
        <v>1020</v>
      </c>
      <c r="B338" t="s">
        <v>1021</v>
      </c>
      <c r="C338" t="s">
        <v>1022</v>
      </c>
      <c r="D338" t="str">
        <f>HYPERLINK("https://github.com/AltBeacon/android-beacon-library/issues/212","show")</f>
        <v>show</v>
      </c>
      <c r="E338" t="str">
        <f>HYPERLINK("https://github.com/AltBeacon/android-beacon-library","show")</f>
        <v>show</v>
      </c>
      <c r="F338" t="str">
        <f>HYPERLINK("https://github.com/AltBeacon/android-beacon-library/releases","show")</f>
        <v>show</v>
      </c>
    </row>
    <row r="339" spans="1:6">
      <c r="A339" t="s">
        <v>1023</v>
      </c>
      <c r="B339" t="s">
        <v>1024</v>
      </c>
      <c r="C339" t="s">
        <v>1025</v>
      </c>
      <c r="D339" t="str">
        <f>HYPERLINK("https://github.com/mozilla/webmaker-android/issues/2176","show")</f>
        <v>show</v>
      </c>
      <c r="E339" t="str">
        <f>HYPERLINK("https://github.com/mozilla/webmaker-android","show")</f>
        <v>show</v>
      </c>
      <c r="F339" t="str">
        <f>HYPERLINK("https://github.com/mozilla/webmaker-android/releases","show")</f>
        <v>show</v>
      </c>
    </row>
    <row r="340" spans="1:6">
      <c r="A340" t="s">
        <v>1026</v>
      </c>
      <c r="B340" t="s">
        <v>1027</v>
      </c>
      <c r="C340" t="s">
        <v>1028</v>
      </c>
      <c r="D340" t="str">
        <f>HYPERLINK("https://github.com/bumptech/glide/issues/497","show")</f>
        <v>show</v>
      </c>
      <c r="E340" t="str">
        <f>HYPERLINK("https://github.com/bumptech/glide","show")</f>
        <v>show</v>
      </c>
      <c r="F340" t="str">
        <f>HYPERLINK("https://github.com/bumptech/glide/releases","show")</f>
        <v>show</v>
      </c>
    </row>
    <row r="341" spans="1:6">
      <c r="A341" t="s">
        <v>1029</v>
      </c>
      <c r="B341" t="s">
        <v>1030</v>
      </c>
      <c r="C341" t="s">
        <v>1031</v>
      </c>
      <c r="D341" t="str">
        <f>HYPERLINK("https://github.com/calvinaquino/LNReader-Android/issues/193","show")</f>
        <v>show</v>
      </c>
      <c r="E341" t="str">
        <f>HYPERLINK("https://github.com/calvinaquino/LNReader-Android","show")</f>
        <v>show</v>
      </c>
      <c r="F341" t="str">
        <f>HYPERLINK("https://github.com/calvinaquino/LNReader-Android/releases","show")</f>
        <v>show</v>
      </c>
    </row>
    <row r="342" spans="1:6">
      <c r="A342" t="s">
        <v>1032</v>
      </c>
      <c r="B342" t="s">
        <v>1033</v>
      </c>
      <c r="C342" t="s">
        <v>1034</v>
      </c>
      <c r="D342" t="str">
        <f>HYPERLINK("https://github.com/h6ah4i/android-advancedrecyclerview/issues/54","show")</f>
        <v>show</v>
      </c>
      <c r="E342" t="str">
        <f>HYPERLINK("https://github.com/h6ah4i/android-advancedrecyclerview","show")</f>
        <v>show</v>
      </c>
      <c r="F342" t="str">
        <f>HYPERLINK("https://github.com/h6ah4i/android-advancedrecyclerview/releases","show")</f>
        <v>show</v>
      </c>
    </row>
    <row r="343" spans="1:6">
      <c r="A343" t="s">
        <v>1035</v>
      </c>
      <c r="B343" t="s">
        <v>1036</v>
      </c>
      <c r="C343" t="s">
        <v>1037</v>
      </c>
      <c r="D343" t="str">
        <f>HYPERLINK("https://github.com/cgeo/cgeo/issues/5034","show")</f>
        <v>show</v>
      </c>
      <c r="E343" t="str">
        <f>HYPERLINK("https://github.com/cgeo/cgeo","show")</f>
        <v>show</v>
      </c>
      <c r="F343" t="str">
        <f>HYPERLINK("https://github.com/cgeo/cgeo/releases","show")</f>
        <v>show</v>
      </c>
    </row>
    <row r="344" spans="1:6">
      <c r="A344" t="s">
        <v>1038</v>
      </c>
      <c r="B344" t="s">
        <v>1039</v>
      </c>
      <c r="C344" t="s">
        <v>1040</v>
      </c>
      <c r="D344" t="str">
        <f>HYPERLINK("https://github.com/cgeo/cgeo/issues/5036","show")</f>
        <v>show</v>
      </c>
      <c r="E344" t="str">
        <f>HYPERLINK("https://github.com/cgeo/cgeo","show")</f>
        <v>show</v>
      </c>
      <c r="F344" t="str">
        <f>HYPERLINK("https://github.com/cgeo/cgeo/releases","show")</f>
        <v>show</v>
      </c>
    </row>
    <row r="345" spans="1:6">
      <c r="A345" t="s">
        <v>1041</v>
      </c>
      <c r="B345" t="s">
        <v>1042</v>
      </c>
      <c r="C345" t="s">
        <v>1043</v>
      </c>
      <c r="D345" t="str">
        <f>HYPERLINK("https://github.com/mthli/Ninja/issues/6","show")</f>
        <v>show</v>
      </c>
      <c r="E345" t="str">
        <f>HYPERLINK("https://github.com/mthli/Ninja","show")</f>
        <v>show</v>
      </c>
      <c r="F345" t="str">
        <f>HYPERLINK("https://github.com/mthli/Ninja/releases","show")</f>
        <v>show</v>
      </c>
    </row>
    <row r="346" spans="1:6">
      <c r="A346" t="s">
        <v>1044</v>
      </c>
      <c r="B346" t="s">
        <v>1045</v>
      </c>
      <c r="C346" t="s">
        <v>1046</v>
      </c>
      <c r="D346" t="str">
        <f>HYPERLINK("https://github.com/syncthing/syncthing-android/issues/410","show")</f>
        <v>show</v>
      </c>
      <c r="E346" t="str">
        <f>HYPERLINK("https://github.com/syncthing/syncthing-android","show")</f>
        <v>show</v>
      </c>
      <c r="F346" t="str">
        <f>HYPERLINK("https://github.com/syncthing/syncthing-android/releases","show")</f>
        <v>show</v>
      </c>
    </row>
    <row r="347" spans="1:6">
      <c r="A347" t="s">
        <v>1047</v>
      </c>
      <c r="B347" t="s">
        <v>1048</v>
      </c>
      <c r="C347" t="s">
        <v>1049</v>
      </c>
      <c r="D347" t="str">
        <f>HYPERLINK("https://github.com/mvysny/aedict/issues/526","show")</f>
        <v>show</v>
      </c>
      <c r="E347" t="str">
        <f>HYPERLINK("https://github.com/mvysny/aedict","show")</f>
        <v>show</v>
      </c>
      <c r="F347" t="str">
        <f>HYPERLINK("https://github.com/mvysny/aedict/releases","show")</f>
        <v>show</v>
      </c>
    </row>
    <row r="348" spans="1:6">
      <c r="A348" t="s">
        <v>1050</v>
      </c>
      <c r="B348" t="s">
        <v>1051</v>
      </c>
      <c r="C348" t="s">
        <v>1052</v>
      </c>
      <c r="D348" t="str">
        <f>HYPERLINK("https://github.com/gdg-x/frisbee/issues/368","show")</f>
        <v>show</v>
      </c>
      <c r="E348" t="str">
        <f>HYPERLINK("https://github.com/gdg-x/frisbee","show")</f>
        <v>show</v>
      </c>
      <c r="F348" t="str">
        <f>HYPERLINK("https://github.com/gdg-x/frisbee/releases","show")</f>
        <v>show</v>
      </c>
    </row>
    <row r="349" spans="1:6">
      <c r="A349" t="s">
        <v>1053</v>
      </c>
      <c r="B349" t="s">
        <v>1054</v>
      </c>
      <c r="C349" t="s">
        <v>1055</v>
      </c>
      <c r="D349" t="str">
        <f>HYPERLINK("https://github.com/gdg-x/frisbee/issues/367","show")</f>
        <v>show</v>
      </c>
      <c r="E349" t="str">
        <f>HYPERLINK("https://github.com/gdg-x/frisbee","show")</f>
        <v>show</v>
      </c>
      <c r="F349" t="str">
        <f>HYPERLINK("https://github.com/gdg-x/frisbee/releases","show")</f>
        <v>show</v>
      </c>
    </row>
    <row r="350" spans="1:6">
      <c r="A350" t="s">
        <v>1056</v>
      </c>
      <c r="B350" t="s">
        <v>1057</v>
      </c>
      <c r="C350" t="s">
        <v>1058</v>
      </c>
      <c r="D350" t="str">
        <f>HYPERLINK("https://github.com/geopaparazzi/geopaparazzi/issues/271","show")</f>
        <v>show</v>
      </c>
      <c r="E350" t="str">
        <f>HYPERLINK("https://github.com/geopaparazzi/geopaparazzi","show")</f>
        <v>show</v>
      </c>
      <c r="F350" t="str">
        <f>HYPERLINK("https://github.com/geopaparazzi/geopaparazzi/releases","show")</f>
        <v>show</v>
      </c>
    </row>
    <row r="351" spans="1:6">
      <c r="A351" t="s">
        <v>1059</v>
      </c>
      <c r="B351" t="s">
        <v>1060</v>
      </c>
      <c r="C351" t="s">
        <v>1061</v>
      </c>
      <c r="D351" t="str">
        <f>HYPERLINK("https://github.com/cymcsg/UltimateRecyclerView/issues/87","show")</f>
        <v>show</v>
      </c>
      <c r="E351" t="str">
        <f>HYPERLINK("https://github.com/cymcsg/UltimateRecyclerView","show")</f>
        <v>show</v>
      </c>
      <c r="F351" t="str">
        <f>HYPERLINK("https://github.com/cymcsg/UltimateRecyclerView/releases","show")</f>
        <v>show</v>
      </c>
    </row>
    <row r="352" spans="1:6">
      <c r="A352" t="s">
        <v>1062</v>
      </c>
      <c r="B352" t="s">
        <v>1063</v>
      </c>
      <c r="C352" t="s">
        <v>1064</v>
      </c>
      <c r="D352" t="str">
        <f>HYPERLINK("https://github.com/CellularPrivacy/Android-IMSI-Catcher-Detector/issues/496","show")</f>
        <v>show</v>
      </c>
      <c r="E352" t="str">
        <f>HYPERLINK("https://github.com/CellularPrivacy/Android-IMSI-Catcher-Detector","show")</f>
        <v>show</v>
      </c>
      <c r="F352" t="str">
        <f>HYPERLINK("https://github.com/CellularPrivacy/Android-IMSI-Catcher-Detector/releases","show")</f>
        <v>show</v>
      </c>
    </row>
    <row r="353" spans="1:6">
      <c r="A353" t="s">
        <v>1065</v>
      </c>
      <c r="B353" t="s">
        <v>1066</v>
      </c>
      <c r="C353" t="s">
        <v>1067</v>
      </c>
      <c r="D353" t="str">
        <f>HYPERLINK("https://github.com/artem-zinnatullin/android-wail-app/issues/162","show")</f>
        <v>show</v>
      </c>
      <c r="E353" t="str">
        <f>HYPERLINK("https://github.com/artem-zinnatullin/android-wail-app","show")</f>
        <v>show</v>
      </c>
      <c r="F353" t="str">
        <f>HYPERLINK("https://github.com/artem-zinnatullin/android-wail-app/releases","show")</f>
        <v>show</v>
      </c>
    </row>
    <row r="354" spans="1:6">
      <c r="A354" t="s">
        <v>1068</v>
      </c>
      <c r="B354" t="s">
        <v>1069</v>
      </c>
      <c r="C354" t="s">
        <v>1070</v>
      </c>
      <c r="D354" t="str">
        <f>HYPERLINK("https://github.com/h6ah4i/android-advancedrecyclerview/issues/64","show")</f>
        <v>show</v>
      </c>
      <c r="E354" t="str">
        <f>HYPERLINK("https://github.com/h6ah4i/android-advancedrecyclerview","show")</f>
        <v>show</v>
      </c>
      <c r="F354" t="str">
        <f>HYPERLINK("https://github.com/h6ah4i/android-advancedrecyclerview/releases","show")</f>
        <v>show</v>
      </c>
    </row>
    <row r="355" spans="1:6">
      <c r="A355" t="s">
        <v>1071</v>
      </c>
      <c r="B355" t="s">
        <v>1072</v>
      </c>
      <c r="C355" t="s">
        <v>1073</v>
      </c>
      <c r="D355" t="str">
        <f>HYPERLINK("https://github.com/OneBusAway/onebusaway-android/issues/270","show")</f>
        <v>show</v>
      </c>
      <c r="E355" t="str">
        <f>HYPERLINK("https://github.com/OneBusAway/onebusaway-android","show")</f>
        <v>show</v>
      </c>
      <c r="F355" t="str">
        <f>HYPERLINK("https://github.com/OneBusAway/onebusaway-android/releases","show")</f>
        <v>show</v>
      </c>
    </row>
    <row r="356" spans="1:6">
      <c r="A356" t="s">
        <v>1074</v>
      </c>
      <c r="B356" t="s">
        <v>1075</v>
      </c>
      <c r="C356" t="s">
        <v>1076</v>
      </c>
      <c r="D356" t="str">
        <f>HYPERLINK("https://github.com/OneBusAway/onebusaway-android/issues/273","show")</f>
        <v>show</v>
      </c>
      <c r="E356" t="str">
        <f>HYPERLINK("https://github.com/OneBusAway/onebusaway-android","show")</f>
        <v>show</v>
      </c>
      <c r="F356" t="str">
        <f>HYPERLINK("https://github.com/OneBusAway/onebusaway-android/releases","show")</f>
        <v>show</v>
      </c>
    </row>
    <row r="357" spans="1:6">
      <c r="A357" t="s">
        <v>1077</v>
      </c>
      <c r="B357" t="s">
        <v>1078</v>
      </c>
      <c r="C357" t="s">
        <v>1079</v>
      </c>
      <c r="D357" t="str">
        <f>HYPERLINK("https://github.com/MythTV-Clients/MythtvPlayerForAndroid/issues/86","show")</f>
        <v>show</v>
      </c>
      <c r="E357" t="str">
        <f>HYPERLINK("https://github.com/MythTV-Clients/MythtvPlayerForAndroid","show")</f>
        <v>show</v>
      </c>
      <c r="F357" t="str">
        <f>HYPERLINK("https://github.com/MythTV-Clients/MythtvPlayerForAndroid/releases","show")</f>
        <v>show</v>
      </c>
    </row>
    <row r="358" spans="1:6">
      <c r="A358" t="s">
        <v>1080</v>
      </c>
      <c r="B358" t="s">
        <v>1081</v>
      </c>
      <c r="C358" t="s">
        <v>1082</v>
      </c>
      <c r="D358" t="str">
        <f>HYPERLINK("https://github.com/the-blue-alliance/the-blue-alliance-android/issues/435","show")</f>
        <v>show</v>
      </c>
      <c r="E358" t="str">
        <f>HYPERLINK("https://github.com/the-blue-alliance/the-blue-alliance-android","show")</f>
        <v>show</v>
      </c>
      <c r="F358" t="str">
        <f>HYPERLINK("https://github.com/the-blue-alliance/the-blue-alliance-android/releases","show")</f>
        <v>show</v>
      </c>
    </row>
    <row r="359" spans="1:6">
      <c r="A359" t="s">
        <v>1083</v>
      </c>
      <c r="B359" t="s">
        <v>1084</v>
      </c>
      <c r="C359" t="s">
        <v>1085</v>
      </c>
      <c r="D359" t="str">
        <f>HYPERLINK("https://github.com/dimagi/commcare-android/issues/351","show")</f>
        <v>show</v>
      </c>
      <c r="E359" t="str">
        <f>HYPERLINK("https://github.com/dimagi/commcare-android","show")</f>
        <v>show</v>
      </c>
      <c r="F359" t="str">
        <f>HYPERLINK("https://github.com/dimagi/commcare-android/releases","show")</f>
        <v>show</v>
      </c>
    </row>
    <row r="360" spans="1:6">
      <c r="A360" t="s">
        <v>1086</v>
      </c>
      <c r="B360" t="s">
        <v>1087</v>
      </c>
      <c r="C360" t="s">
        <v>1088</v>
      </c>
      <c r="D360" t="str">
        <f>HYPERLINK("https://github.com/dimagi/commcare-android/issues/350","show")</f>
        <v>show</v>
      </c>
      <c r="E360" t="str">
        <f>HYPERLINK("https://github.com/dimagi/commcare-android","show")</f>
        <v>show</v>
      </c>
      <c r="F360" t="str">
        <f>HYPERLINK("https://github.com/dimagi/commcare-android/releases","show")</f>
        <v>show</v>
      </c>
    </row>
    <row r="361" spans="1:6">
      <c r="A361" t="s">
        <v>1089</v>
      </c>
      <c r="B361" t="s">
        <v>1090</v>
      </c>
      <c r="C361" t="s">
        <v>1091</v>
      </c>
      <c r="D361" t="str">
        <f>HYPERLINK("https://github.com/OneBusAway/onebusaway-android/issues/275","show")</f>
        <v>show</v>
      </c>
      <c r="E361" t="str">
        <f>HYPERLINK("https://github.com/OneBusAway/onebusaway-android","show")</f>
        <v>show</v>
      </c>
      <c r="F361" t="str">
        <f>HYPERLINK("https://github.com/OneBusAway/onebusaway-android/releases","show")</f>
        <v>show</v>
      </c>
    </row>
    <row r="362" spans="1:6">
      <c r="A362" t="s">
        <v>1092</v>
      </c>
      <c r="B362" t="s">
        <v>1093</v>
      </c>
      <c r="C362" t="s">
        <v>1094</v>
      </c>
      <c r="D362" t="str">
        <f>HYPERLINK("https://github.com/niteshmourya/app-inventor-for-android/issues/2213","show")</f>
        <v>show</v>
      </c>
      <c r="E362" t="str">
        <f t="shared" ref="E362:E382" si="0">HYPERLINK("https://github.com/niteshmourya/app-inventor-for-android","show")</f>
        <v>show</v>
      </c>
      <c r="F362" t="str">
        <f t="shared" ref="F362:F382" si="1">HYPERLINK("https://github.com/niteshmourya/app-inventor-for-android/releases","show")</f>
        <v>show</v>
      </c>
    </row>
    <row r="363" spans="1:6">
      <c r="A363" t="s">
        <v>1095</v>
      </c>
      <c r="B363" t="s">
        <v>1096</v>
      </c>
      <c r="C363" t="s">
        <v>1097</v>
      </c>
      <c r="D363" t="str">
        <f>HYPERLINK("https://github.com/niteshmourya/app-inventor-for-android/issues/2168","show")</f>
        <v>show</v>
      </c>
      <c r="E363" t="str">
        <f t="shared" si="0"/>
        <v>show</v>
      </c>
      <c r="F363" t="str">
        <f t="shared" si="1"/>
        <v>show</v>
      </c>
    </row>
    <row r="364" spans="1:6">
      <c r="A364" t="s">
        <v>1098</v>
      </c>
      <c r="B364" t="s">
        <v>1099</v>
      </c>
      <c r="C364" t="s">
        <v>1100</v>
      </c>
      <c r="D364" t="str">
        <f>HYPERLINK("https://github.com/niteshmourya/app-inventor-for-android/issues/2039","show")</f>
        <v>show</v>
      </c>
      <c r="E364" t="str">
        <f t="shared" si="0"/>
        <v>show</v>
      </c>
      <c r="F364" t="str">
        <f t="shared" si="1"/>
        <v>show</v>
      </c>
    </row>
    <row r="365" spans="1:6">
      <c r="A365" t="s">
        <v>1101</v>
      </c>
      <c r="B365" t="s">
        <v>1102</v>
      </c>
      <c r="C365" t="s">
        <v>1103</v>
      </c>
      <c r="D365" t="str">
        <f>HYPERLINK("https://github.com/niteshmourya/app-inventor-for-android/issues/1752","show")</f>
        <v>show</v>
      </c>
      <c r="E365" t="str">
        <f t="shared" si="0"/>
        <v>show</v>
      </c>
      <c r="F365" t="str">
        <f t="shared" si="1"/>
        <v>show</v>
      </c>
    </row>
    <row r="366" spans="1:6">
      <c r="A366" t="s">
        <v>1104</v>
      </c>
      <c r="B366" t="s">
        <v>1105</v>
      </c>
      <c r="C366" t="s">
        <v>1106</v>
      </c>
      <c r="D366" t="str">
        <f>HYPERLINK("https://github.com/niteshmourya/app-inventor-for-android/issues/1700","show")</f>
        <v>show</v>
      </c>
      <c r="E366" t="str">
        <f t="shared" si="0"/>
        <v>show</v>
      </c>
      <c r="F366" t="str">
        <f t="shared" si="1"/>
        <v>show</v>
      </c>
    </row>
    <row r="367" spans="1:6">
      <c r="A367" t="s">
        <v>1107</v>
      </c>
      <c r="B367" t="s">
        <v>1108</v>
      </c>
      <c r="C367" t="s">
        <v>1109</v>
      </c>
      <c r="D367" t="str">
        <f>HYPERLINK("https://github.com/niteshmourya/app-inventor-for-android/issues/1699","show")</f>
        <v>show</v>
      </c>
      <c r="E367" t="str">
        <f t="shared" si="0"/>
        <v>show</v>
      </c>
      <c r="F367" t="str">
        <f t="shared" si="1"/>
        <v>show</v>
      </c>
    </row>
    <row r="368" spans="1:6">
      <c r="A368" t="s">
        <v>1110</v>
      </c>
      <c r="B368" t="s">
        <v>1111</v>
      </c>
      <c r="C368" t="s">
        <v>1112</v>
      </c>
      <c r="D368" t="str">
        <f>HYPERLINK("https://github.com/niteshmourya/app-inventor-for-android/issues/1697","show")</f>
        <v>show</v>
      </c>
      <c r="E368" t="str">
        <f t="shared" si="0"/>
        <v>show</v>
      </c>
      <c r="F368" t="str">
        <f t="shared" si="1"/>
        <v>show</v>
      </c>
    </row>
    <row r="369" spans="1:6">
      <c r="A369" t="s">
        <v>1113</v>
      </c>
      <c r="B369" t="s">
        <v>1114</v>
      </c>
      <c r="C369" t="s">
        <v>1115</v>
      </c>
      <c r="D369" t="str">
        <f>HYPERLINK("https://github.com/niteshmourya/app-inventor-for-android/issues/1630","show")</f>
        <v>show</v>
      </c>
      <c r="E369" t="str">
        <f t="shared" si="0"/>
        <v>show</v>
      </c>
      <c r="F369" t="str">
        <f t="shared" si="1"/>
        <v>show</v>
      </c>
    </row>
    <row r="370" spans="1:6">
      <c r="A370" t="s">
        <v>1116</v>
      </c>
      <c r="B370" t="s">
        <v>1117</v>
      </c>
      <c r="C370" t="s">
        <v>1118</v>
      </c>
      <c r="D370" t="str">
        <f>HYPERLINK("https://github.com/niteshmourya/app-inventor-for-android/issues/1515","show")</f>
        <v>show</v>
      </c>
      <c r="E370" t="str">
        <f t="shared" si="0"/>
        <v>show</v>
      </c>
      <c r="F370" t="str">
        <f t="shared" si="1"/>
        <v>show</v>
      </c>
    </row>
    <row r="371" spans="1:6">
      <c r="A371" t="s">
        <v>1119</v>
      </c>
      <c r="B371" t="s">
        <v>1120</v>
      </c>
      <c r="C371" t="s">
        <v>1121</v>
      </c>
      <c r="D371" t="str">
        <f>HYPERLINK("https://github.com/niteshmourya/app-inventor-for-android/issues/1462","show")</f>
        <v>show</v>
      </c>
      <c r="E371" t="str">
        <f t="shared" si="0"/>
        <v>show</v>
      </c>
      <c r="F371" t="str">
        <f t="shared" si="1"/>
        <v>show</v>
      </c>
    </row>
    <row r="372" spans="1:6">
      <c r="A372" t="s">
        <v>1122</v>
      </c>
      <c r="B372" t="s">
        <v>1123</v>
      </c>
      <c r="C372" t="s">
        <v>1124</v>
      </c>
      <c r="D372" t="str">
        <f>HYPERLINK("https://github.com/niteshmourya/app-inventor-for-android/issues/1172","show")</f>
        <v>show</v>
      </c>
      <c r="E372" t="str">
        <f t="shared" si="0"/>
        <v>show</v>
      </c>
      <c r="F372" t="str">
        <f t="shared" si="1"/>
        <v>show</v>
      </c>
    </row>
    <row r="373" spans="1:6">
      <c r="A373" t="s">
        <v>1125</v>
      </c>
      <c r="B373" t="s">
        <v>1126</v>
      </c>
      <c r="C373" t="s">
        <v>1127</v>
      </c>
      <c r="D373" t="str">
        <f>HYPERLINK("https://github.com/niteshmourya/app-inventor-for-android/issues/1145","show")</f>
        <v>show</v>
      </c>
      <c r="E373" t="str">
        <f t="shared" si="0"/>
        <v>show</v>
      </c>
      <c r="F373" t="str">
        <f t="shared" si="1"/>
        <v>show</v>
      </c>
    </row>
    <row r="374" spans="1:6">
      <c r="A374" t="s">
        <v>1128</v>
      </c>
      <c r="B374" t="s">
        <v>1129</v>
      </c>
      <c r="C374" t="s">
        <v>1130</v>
      </c>
      <c r="D374" t="str">
        <f>HYPERLINK("https://github.com/niteshmourya/app-inventor-for-android/issues/1141","show")</f>
        <v>show</v>
      </c>
      <c r="E374" t="str">
        <f t="shared" si="0"/>
        <v>show</v>
      </c>
      <c r="F374" t="str">
        <f t="shared" si="1"/>
        <v>show</v>
      </c>
    </row>
    <row r="375" spans="1:6">
      <c r="A375" t="s">
        <v>1131</v>
      </c>
      <c r="B375" t="s">
        <v>1132</v>
      </c>
      <c r="C375" t="s">
        <v>1133</v>
      </c>
      <c r="D375" t="str">
        <f>HYPERLINK("https://github.com/niteshmourya/app-inventor-for-android/issues/1124","show")</f>
        <v>show</v>
      </c>
      <c r="E375" t="str">
        <f t="shared" si="0"/>
        <v>show</v>
      </c>
      <c r="F375" t="str">
        <f t="shared" si="1"/>
        <v>show</v>
      </c>
    </row>
    <row r="376" spans="1:6">
      <c r="A376" t="s">
        <v>1134</v>
      </c>
      <c r="B376" t="s">
        <v>1135</v>
      </c>
      <c r="C376" t="s">
        <v>1136</v>
      </c>
      <c r="D376" t="str">
        <f>HYPERLINK("https://github.com/niteshmourya/app-inventor-for-android/issues/1115","show")</f>
        <v>show</v>
      </c>
      <c r="E376" t="str">
        <f t="shared" si="0"/>
        <v>show</v>
      </c>
      <c r="F376" t="str">
        <f t="shared" si="1"/>
        <v>show</v>
      </c>
    </row>
    <row r="377" spans="1:6">
      <c r="A377" t="s">
        <v>1137</v>
      </c>
      <c r="B377" t="s">
        <v>1138</v>
      </c>
      <c r="C377" t="s">
        <v>1139</v>
      </c>
      <c r="D377" t="str">
        <f>HYPERLINK("https://github.com/niteshmourya/app-inventor-for-android/issues/1055","show")</f>
        <v>show</v>
      </c>
      <c r="E377" t="str">
        <f t="shared" si="0"/>
        <v>show</v>
      </c>
      <c r="F377" t="str">
        <f t="shared" si="1"/>
        <v>show</v>
      </c>
    </row>
    <row r="378" spans="1:6">
      <c r="A378" t="s">
        <v>1140</v>
      </c>
      <c r="B378" t="s">
        <v>1141</v>
      </c>
      <c r="C378" t="s">
        <v>1142</v>
      </c>
      <c r="D378" t="str">
        <f>HYPERLINK("https://github.com/niteshmourya/app-inventor-for-android/issues/1014","show")</f>
        <v>show</v>
      </c>
      <c r="E378" t="str">
        <f t="shared" si="0"/>
        <v>show</v>
      </c>
      <c r="F378" t="str">
        <f t="shared" si="1"/>
        <v>show</v>
      </c>
    </row>
    <row r="379" spans="1:6">
      <c r="A379" t="s">
        <v>1143</v>
      </c>
      <c r="B379" t="s">
        <v>1144</v>
      </c>
      <c r="C379" t="s">
        <v>1145</v>
      </c>
      <c r="D379" t="str">
        <f>HYPERLINK("https://github.com/niteshmourya/app-inventor-for-android/issues/997","show")</f>
        <v>show</v>
      </c>
      <c r="E379" t="str">
        <f t="shared" si="0"/>
        <v>show</v>
      </c>
      <c r="F379" t="str">
        <f t="shared" si="1"/>
        <v>show</v>
      </c>
    </row>
    <row r="380" spans="1:6">
      <c r="A380" t="s">
        <v>1146</v>
      </c>
      <c r="B380" t="s">
        <v>1147</v>
      </c>
      <c r="C380" t="s">
        <v>1148</v>
      </c>
      <c r="D380" t="str">
        <f>HYPERLINK("https://github.com/niteshmourya/app-inventor-for-android/issues/961","show")</f>
        <v>show</v>
      </c>
      <c r="E380" t="str">
        <f t="shared" si="0"/>
        <v>show</v>
      </c>
      <c r="F380" t="str">
        <f t="shared" si="1"/>
        <v>show</v>
      </c>
    </row>
    <row r="381" spans="1:6">
      <c r="A381" t="s">
        <v>1149</v>
      </c>
      <c r="B381" t="s">
        <v>1150</v>
      </c>
      <c r="C381" t="s">
        <v>1151</v>
      </c>
      <c r="D381" t="str">
        <f>HYPERLINK("https://github.com/niteshmourya/app-inventor-for-android/issues/955","show")</f>
        <v>show</v>
      </c>
      <c r="E381" t="str">
        <f t="shared" si="0"/>
        <v>show</v>
      </c>
      <c r="F381" t="str">
        <f t="shared" si="1"/>
        <v>show</v>
      </c>
    </row>
    <row r="382" spans="1:6">
      <c r="A382" t="s">
        <v>1152</v>
      </c>
      <c r="B382" t="s">
        <v>1153</v>
      </c>
      <c r="C382" t="s">
        <v>1154</v>
      </c>
      <c r="D382" t="str">
        <f>HYPERLINK("https://github.com/niteshmourya/app-inventor-for-android/issues/887","show")</f>
        <v>show</v>
      </c>
      <c r="E382" t="str">
        <f t="shared" si="0"/>
        <v>show</v>
      </c>
      <c r="F382" t="str">
        <f t="shared" si="1"/>
        <v>show</v>
      </c>
    </row>
    <row r="383" spans="1:6">
      <c r="A383" t="s">
        <v>1155</v>
      </c>
      <c r="B383" t="s">
        <v>1156</v>
      </c>
      <c r="C383" t="s">
        <v>1157</v>
      </c>
      <c r="D383" t="str">
        <f>HYPERLINK("https://github.com/akexorcist/RoundCornerProgressBar/issues/19","show")</f>
        <v>show</v>
      </c>
      <c r="E383" t="str">
        <f>HYPERLINK("https://github.com/akexorcist/RoundCornerProgressBar","show")</f>
        <v>show</v>
      </c>
      <c r="F383" t="str">
        <f>HYPERLINK("https://github.com/akexorcist/RoundCornerProgressBar/releases","show")</f>
        <v>show</v>
      </c>
    </row>
    <row r="384" spans="1:6">
      <c r="A384" t="s">
        <v>1158</v>
      </c>
      <c r="B384" t="s">
        <v>1159</v>
      </c>
      <c r="C384" t="s">
        <v>1160</v>
      </c>
      <c r="D384" t="str">
        <f>HYPERLINK("https://github.com/rfblue2/wolfpak_android_camera/issues/1","show")</f>
        <v>show</v>
      </c>
      <c r="E384" t="str">
        <f>HYPERLINK("https://github.com/rfblue2/wolfpak_android_camera","show")</f>
        <v>show</v>
      </c>
      <c r="F384" t="str">
        <f>HYPERLINK("https://github.com/rfblue2/wolfpak_android_camera/releases","show")</f>
        <v>show</v>
      </c>
    </row>
    <row r="385" spans="1:6">
      <c r="A385" t="s">
        <v>1161</v>
      </c>
      <c r="B385" t="s">
        <v>1162</v>
      </c>
      <c r="C385" t="s">
        <v>1163</v>
      </c>
      <c r="D385" t="str">
        <f>HYPERLINK("https://github.com/SufficientlySecure/document-viewer/issues/114","show")</f>
        <v>show</v>
      </c>
      <c r="E385" t="str">
        <f>HYPERLINK("https://github.com/SufficientlySecure/document-viewer","show")</f>
        <v>show</v>
      </c>
      <c r="F385" t="str">
        <f>HYPERLINK("https://github.com/SufficientlySecure/document-viewer/releases","show")</f>
        <v>show</v>
      </c>
    </row>
    <row r="386" spans="1:6">
      <c r="A386" t="s">
        <v>1164</v>
      </c>
      <c r="B386" t="s">
        <v>1165</v>
      </c>
      <c r="C386" t="s">
        <v>1166</v>
      </c>
      <c r="D386" t="str">
        <f>HYPERLINK("https://github.com/dimagi/commcare-android/issues/367","show")</f>
        <v>show</v>
      </c>
      <c r="E386" t="str">
        <f t="shared" ref="E386:E391" si="2">HYPERLINK("https://github.com/dimagi/commcare-android","show")</f>
        <v>show</v>
      </c>
      <c r="F386" t="str">
        <f t="shared" ref="F386:F391" si="3">HYPERLINK("https://github.com/dimagi/commcare-android/releases","show")</f>
        <v>show</v>
      </c>
    </row>
    <row r="387" spans="1:6">
      <c r="A387" t="s">
        <v>1167</v>
      </c>
      <c r="B387" t="s">
        <v>1168</v>
      </c>
      <c r="C387" t="s">
        <v>1169</v>
      </c>
      <c r="D387" t="str">
        <f>HYPERLINK("https://github.com/dimagi/commcare-android/issues/366","show")</f>
        <v>show</v>
      </c>
      <c r="E387" t="str">
        <f t="shared" si="2"/>
        <v>show</v>
      </c>
      <c r="F387" t="str">
        <f t="shared" si="3"/>
        <v>show</v>
      </c>
    </row>
    <row r="388" spans="1:6">
      <c r="A388" t="s">
        <v>1170</v>
      </c>
      <c r="B388" t="s">
        <v>1171</v>
      </c>
      <c r="C388" t="s">
        <v>1172</v>
      </c>
      <c r="D388" t="str">
        <f>HYPERLINK("https://github.com/dimagi/commcare-android/issues/364","show")</f>
        <v>show</v>
      </c>
      <c r="E388" t="str">
        <f t="shared" si="2"/>
        <v>show</v>
      </c>
      <c r="F388" t="str">
        <f t="shared" si="3"/>
        <v>show</v>
      </c>
    </row>
    <row r="389" spans="1:6">
      <c r="A389" t="s">
        <v>1173</v>
      </c>
      <c r="B389" t="s">
        <v>1174</v>
      </c>
      <c r="C389" t="s">
        <v>1172</v>
      </c>
      <c r="D389" t="str">
        <f>HYPERLINK("https://github.com/dimagi/commcare-android/issues/362","show")</f>
        <v>show</v>
      </c>
      <c r="E389" t="str">
        <f t="shared" si="2"/>
        <v>show</v>
      </c>
      <c r="F389" t="str">
        <f t="shared" si="3"/>
        <v>show</v>
      </c>
    </row>
    <row r="390" spans="1:6">
      <c r="A390" t="s">
        <v>1175</v>
      </c>
      <c r="B390" t="s">
        <v>1176</v>
      </c>
      <c r="C390" t="s">
        <v>1177</v>
      </c>
      <c r="D390" t="str">
        <f>HYPERLINK("https://github.com/dimagi/commcare-android/issues/358","show")</f>
        <v>show</v>
      </c>
      <c r="E390" t="str">
        <f t="shared" si="2"/>
        <v>show</v>
      </c>
      <c r="F390" t="str">
        <f t="shared" si="3"/>
        <v>show</v>
      </c>
    </row>
    <row r="391" spans="1:6">
      <c r="A391" t="s">
        <v>1178</v>
      </c>
      <c r="B391" t="s">
        <v>1179</v>
      </c>
      <c r="C391" t="s">
        <v>1180</v>
      </c>
      <c r="D391" t="str">
        <f>HYPERLINK("https://github.com/dimagi/commcare-android/issues/357","show")</f>
        <v>show</v>
      </c>
      <c r="E391" t="str">
        <f t="shared" si="2"/>
        <v>show</v>
      </c>
      <c r="F391" t="str">
        <f t="shared" si="3"/>
        <v>show</v>
      </c>
    </row>
    <row r="392" spans="1:6">
      <c r="A392" t="s">
        <v>1181</v>
      </c>
      <c r="B392" t="s">
        <v>1182</v>
      </c>
      <c r="C392" t="s">
        <v>1183</v>
      </c>
      <c r="D392" t="str">
        <f>HYPERLINK("https://github.com/segmentio/analytics-android/issues/309","show")</f>
        <v>show</v>
      </c>
      <c r="E392" t="str">
        <f>HYPERLINK("https://github.com/segmentio/analytics-android","show")</f>
        <v>show</v>
      </c>
      <c r="F392" t="str">
        <f>HYPERLINK("https://github.com/segmentio/analytics-android/releases","show")</f>
        <v>show</v>
      </c>
    </row>
    <row r="393" spans="1:6">
      <c r="A393" t="s">
        <v>1184</v>
      </c>
      <c r="B393" t="s">
        <v>1185</v>
      </c>
      <c r="C393" t="s">
        <v>1186</v>
      </c>
      <c r="D393" t="str">
        <f>HYPERLINK("https://github.com/dimagi/commcare-android/issues/355","show")</f>
        <v>show</v>
      </c>
      <c r="E393" t="str">
        <f>HYPERLINK("https://github.com/dimagi/commcare-android","show")</f>
        <v>show</v>
      </c>
      <c r="F393" t="str">
        <f>HYPERLINK("https://github.com/dimagi/commcare-android/releases","show")</f>
        <v>show</v>
      </c>
    </row>
    <row r="394" spans="1:6">
      <c r="A394" t="s">
        <v>1187</v>
      </c>
      <c r="B394" t="s">
        <v>1188</v>
      </c>
      <c r="C394" t="s">
        <v>1189</v>
      </c>
      <c r="D394" t="str">
        <f>HYPERLINK("https://github.com/QuickBlox/quickblox-android-sdk/issues/103","show")</f>
        <v>show</v>
      </c>
      <c r="E394" t="str">
        <f>HYPERLINK("https://github.com/QuickBlox/quickblox-android-sdk","show")</f>
        <v>show</v>
      </c>
      <c r="F394" t="str">
        <f>HYPERLINK("https://github.com/QuickBlox/quickblox-android-sdk/releases","show")</f>
        <v>show</v>
      </c>
    </row>
    <row r="395" spans="1:6">
      <c r="A395" t="s">
        <v>1190</v>
      </c>
      <c r="B395" t="s">
        <v>1191</v>
      </c>
      <c r="C395" t="s">
        <v>1192</v>
      </c>
      <c r="D395" t="str">
        <f>HYPERLINK("https://github.com/smarek/Simple-Dilbert/issues/22","show")</f>
        <v>show</v>
      </c>
      <c r="E395" t="str">
        <f>HYPERLINK("https://github.com/smarek/Simple-Dilbert","show")</f>
        <v>show</v>
      </c>
      <c r="F395" t="str">
        <f>HYPERLINK("https://github.com/smarek/Simple-Dilbert/releases","show")</f>
        <v>show</v>
      </c>
    </row>
    <row r="396" spans="1:6">
      <c r="A396" t="s">
        <v>1193</v>
      </c>
      <c r="B396" t="s">
        <v>1194</v>
      </c>
      <c r="C396" t="s">
        <v>1195</v>
      </c>
      <c r="D396" t="str">
        <f>HYPERLINK("https://github.com/yazeed44/MultiImagePicker/issues/12","show")</f>
        <v>show</v>
      </c>
      <c r="E396" t="str">
        <f>HYPERLINK("https://github.com/yazeed44/MultiImagePicker","show")</f>
        <v>show</v>
      </c>
      <c r="F396" t="str">
        <f>HYPERLINK("https://github.com/yazeed44/MultiImagePicker/releases","show")</f>
        <v>show</v>
      </c>
    </row>
    <row r="397" spans="1:6">
      <c r="A397" t="s">
        <v>1196</v>
      </c>
      <c r="B397" t="s">
        <v>1197</v>
      </c>
      <c r="C397" t="s">
        <v>1198</v>
      </c>
      <c r="D397" t="str">
        <f>HYPERLINK("https://github.com/pjuu/droidotter/issues/6","show")</f>
        <v>show</v>
      </c>
      <c r="E397" t="str">
        <f>HYPERLINK("https://github.com/pjuu/droidotter","show")</f>
        <v>show</v>
      </c>
      <c r="F397" t="str">
        <f>HYPERLINK("https://github.com/pjuu/droidotter/releases","show")</f>
        <v>show</v>
      </c>
    </row>
    <row r="398" spans="1:6">
      <c r="A398" t="s">
        <v>1199</v>
      </c>
      <c r="B398" t="s">
        <v>1200</v>
      </c>
      <c r="C398" t="s">
        <v>1201</v>
      </c>
      <c r="D398" t="str">
        <f>HYPERLINK("https://github.com/sauravpradhan/AnySound2BT/issues/1","show")</f>
        <v>show</v>
      </c>
      <c r="E398" t="str">
        <f>HYPERLINK("https://github.com/sauravpradhan/AnySound2BT","show")</f>
        <v>show</v>
      </c>
      <c r="F398" t="str">
        <f>HYPERLINK("https://github.com/sauravpradhan/AnySound2BT/releases","show")</f>
        <v>show</v>
      </c>
    </row>
    <row r="399" spans="1:6">
      <c r="A399" t="s">
        <v>1202</v>
      </c>
      <c r="B399" t="s">
        <v>1203</v>
      </c>
      <c r="C399" t="s">
        <v>1204</v>
      </c>
      <c r="D399" t="str">
        <f>HYPERLINK("https://github.com/cgeo/cgeo/issues/5074","show")</f>
        <v>show</v>
      </c>
      <c r="E399" t="str">
        <f>HYPERLINK("https://github.com/cgeo/cgeo","show")</f>
        <v>show</v>
      </c>
      <c r="F399" t="str">
        <f>HYPERLINK("https://github.com/cgeo/cgeo/releases","show")</f>
        <v>show</v>
      </c>
    </row>
    <row r="400" spans="1:6">
      <c r="A400" t="s">
        <v>1205</v>
      </c>
      <c r="B400" t="s">
        <v>1206</v>
      </c>
      <c r="C400" t="s">
        <v>1207</v>
      </c>
      <c r="D400" t="str">
        <f>HYPERLINK("https://github.com/dimagi/commcare-android/issues/390","show")</f>
        <v>show</v>
      </c>
      <c r="E400" t="str">
        <f>HYPERLINK("https://github.com/dimagi/commcare-android","show")</f>
        <v>show</v>
      </c>
      <c r="F400" t="str">
        <f>HYPERLINK("https://github.com/dimagi/commcare-android/releases","show")</f>
        <v>show</v>
      </c>
    </row>
    <row r="401" spans="1:6">
      <c r="A401" t="s">
        <v>1208</v>
      </c>
      <c r="B401" t="s">
        <v>1209</v>
      </c>
      <c r="C401" t="s">
        <v>1210</v>
      </c>
      <c r="D401" t="str">
        <f>HYPERLINK("https://github.com/SMSTicket/sms-ticket/issues/18","show")</f>
        <v>show</v>
      </c>
      <c r="E401" t="str">
        <f>HYPERLINK("https://github.com/SMSTicket/sms-ticket","show")</f>
        <v>show</v>
      </c>
      <c r="F401" t="str">
        <f>HYPERLINK("https://github.com/SMSTicket/sms-ticket/releases","show")</f>
        <v>show</v>
      </c>
    </row>
    <row r="402" spans="1:6">
      <c r="A402" t="s">
        <v>1211</v>
      </c>
      <c r="B402" t="s">
        <v>1212</v>
      </c>
      <c r="C402" t="s">
        <v>1213</v>
      </c>
      <c r="D402" t="str">
        <f>HYPERLINK("https://github.com/vickychijwani/quill/issues/87","show")</f>
        <v>show</v>
      </c>
      <c r="E402" t="str">
        <f>HYPERLINK("https://github.com/vickychijwani/quill","show")</f>
        <v>show</v>
      </c>
      <c r="F402" t="str">
        <f>HYPERLINK("https://github.com/vickychijwani/quill/releases","show")</f>
        <v>show</v>
      </c>
    </row>
    <row r="403" spans="1:6">
      <c r="A403" t="s">
        <v>1214</v>
      </c>
      <c r="B403" t="s">
        <v>1215</v>
      </c>
      <c r="C403" t="s">
        <v>1216</v>
      </c>
      <c r="D403" t="str">
        <f>HYPERLINK("https://github.com/mapsforge/mapsforge/issues/645","show")</f>
        <v>show</v>
      </c>
      <c r="E403" t="str">
        <f>HYPERLINK("https://github.com/mapsforge/mapsforge","show")</f>
        <v>show</v>
      </c>
      <c r="F403" t="str">
        <f>HYPERLINK("https://github.com/mapsforge/mapsforge/releases","show")</f>
        <v>show</v>
      </c>
    </row>
    <row r="404" spans="1:6">
      <c r="A404" t="s">
        <v>1217</v>
      </c>
      <c r="B404" t="s">
        <v>1218</v>
      </c>
      <c r="C404" t="s">
        <v>1219</v>
      </c>
      <c r="D404" t="str">
        <f>HYPERLINK("https://github.com/facebook/stetho/issues/215","show")</f>
        <v>show</v>
      </c>
      <c r="E404" t="str">
        <f>HYPERLINK("https://github.com/facebook/stetho","show")</f>
        <v>show</v>
      </c>
      <c r="F404" t="str">
        <f>HYPERLINK("https://github.com/facebook/stetho/releases","show")</f>
        <v>show</v>
      </c>
    </row>
    <row r="405" spans="1:6">
      <c r="A405" t="s">
        <v>1220</v>
      </c>
      <c r="B405" t="s">
        <v>1221</v>
      </c>
      <c r="C405" t="s">
        <v>1222</v>
      </c>
      <c r="D405" t="str">
        <f>HYPERLINK("https://github.com/forcedotcom/SalesforceMobileSDK-Android/issues/917","show")</f>
        <v>show</v>
      </c>
      <c r="E405" t="str">
        <f>HYPERLINK("https://github.com/forcedotcom/SalesforceMobileSDK-Android","show")</f>
        <v>show</v>
      </c>
      <c r="F405" t="str">
        <f>HYPERLINK("https://github.com/forcedotcom/SalesforceMobileSDK-Android/releases","show")</f>
        <v>show</v>
      </c>
    </row>
    <row r="406" spans="1:6">
      <c r="A406" t="s">
        <v>1223</v>
      </c>
      <c r="B406" t="s">
        <v>1224</v>
      </c>
      <c r="C406" t="s">
        <v>1225</v>
      </c>
      <c r="D406" t="str">
        <f>HYPERLINK("https://github.com/unfoldingWord-dev/translationKeyboard/issues/24","show")</f>
        <v>show</v>
      </c>
      <c r="E406" t="str">
        <f>HYPERLINK("https://github.com/unfoldingWord-dev/translationKeyboard","show")</f>
        <v>show</v>
      </c>
      <c r="F406" t="str">
        <f>HYPERLINK("https://github.com/unfoldingWord-dev/translationKeyboard/releases","show")</f>
        <v>show</v>
      </c>
    </row>
    <row r="407" spans="1:6">
      <c r="A407" t="s">
        <v>1226</v>
      </c>
      <c r="B407" t="s">
        <v>1227</v>
      </c>
      <c r="C407" t="s">
        <v>1228</v>
      </c>
      <c r="D407" t="str">
        <f>HYPERLINK("https://github.com/Fermat-ORG/fermat-framework/issues/532","show")</f>
        <v>show</v>
      </c>
      <c r="E407" t="str">
        <f>HYPERLINK("https://github.com/Fermat-ORG/fermat-framework","show")</f>
        <v>show</v>
      </c>
      <c r="F407" t="str">
        <f>HYPERLINK("https://github.com/Fermat-ORG/fermat-framework/releases","show")</f>
        <v>show</v>
      </c>
    </row>
    <row r="408" spans="1:6">
      <c r="A408" t="s">
        <v>1229</v>
      </c>
      <c r="B408" t="s">
        <v>1230</v>
      </c>
      <c r="C408" t="s">
        <v>1231</v>
      </c>
      <c r="D408" t="str">
        <f>HYPERLINK("https://github.com/moneymanagerex/android-money-manager-ex/issues/391","show")</f>
        <v>show</v>
      </c>
      <c r="E408" t="str">
        <f>HYPERLINK("https://github.com/moneymanagerex/android-money-manager-ex","show")</f>
        <v>show</v>
      </c>
      <c r="F408" t="str">
        <f>HYPERLINK("https://github.com/moneymanagerex/android-money-manager-ex/releases","show")</f>
        <v>show</v>
      </c>
    </row>
    <row r="409" spans="1:6">
      <c r="A409" t="s">
        <v>1232</v>
      </c>
      <c r="B409" t="s">
        <v>1233</v>
      </c>
      <c r="C409" t="s">
        <v>1234</v>
      </c>
      <c r="D409" t="str">
        <f>HYPERLINK("https://github.com/auth0/Lock.Android/issues/106","show")</f>
        <v>show</v>
      </c>
      <c r="E409" t="str">
        <f>HYPERLINK("https://github.com/auth0/Lock.Android","show")</f>
        <v>show</v>
      </c>
      <c r="F409" t="str">
        <f>HYPERLINK("https://github.com/auth0/Lock.Android/releases","show")</f>
        <v>show</v>
      </c>
    </row>
    <row r="410" spans="1:6">
      <c r="A410" t="s">
        <v>1235</v>
      </c>
      <c r="B410" t="s">
        <v>1236</v>
      </c>
      <c r="C410" t="s">
        <v>1237</v>
      </c>
      <c r="D410" t="str">
        <f>HYPERLINK("https://github.com/ConnectSDK/Connect-SDK-Android/issues/274","show")</f>
        <v>show</v>
      </c>
      <c r="E410" t="str">
        <f>HYPERLINK("https://github.com/ConnectSDK/Connect-SDK-Android","show")</f>
        <v>show</v>
      </c>
      <c r="F410" t="str">
        <f>HYPERLINK("https://github.com/ConnectSDK/Connect-SDK-Android/releases","show")</f>
        <v>show</v>
      </c>
    </row>
    <row r="411" spans="1:6">
      <c r="A411" t="s">
        <v>1238</v>
      </c>
      <c r="B411" t="s">
        <v>1239</v>
      </c>
      <c r="C411" t="s">
        <v>1240</v>
      </c>
      <c r="D411" t="str">
        <f>HYPERLINK("https://github.com/open-keychain/open-keychain/issues/1426","show")</f>
        <v>show</v>
      </c>
      <c r="E411" t="str">
        <f>HYPERLINK("https://github.com/open-keychain/open-keychain","show")</f>
        <v>show</v>
      </c>
      <c r="F411" t="str">
        <f>HYPERLINK("https://github.com/open-keychain/open-keychain/releases","show")</f>
        <v>show</v>
      </c>
    </row>
    <row r="412" spans="1:6">
      <c r="A412" t="s">
        <v>1241</v>
      </c>
      <c r="B412" t="s">
        <v>1242</v>
      </c>
      <c r="C412" t="s">
        <v>1243</v>
      </c>
      <c r="D412" t="str">
        <f>HYPERLINK("https://github.com/marverenic/Jockey/issues/19","show")</f>
        <v>show</v>
      </c>
      <c r="E412" t="str">
        <f>HYPERLINK("https://github.com/marverenic/Jockey","show")</f>
        <v>show</v>
      </c>
      <c r="F412" t="str">
        <f>HYPERLINK("https://github.com/marverenic/Jockey/releases","show")</f>
        <v>show</v>
      </c>
    </row>
    <row r="413" spans="1:6">
      <c r="A413" t="s">
        <v>1244</v>
      </c>
      <c r="B413" t="s">
        <v>1245</v>
      </c>
      <c r="C413" t="s">
        <v>1246</v>
      </c>
      <c r="D413" t="str">
        <f>HYPERLINK("https://github.com/QuantumBadger/RedReader/issues/228","show")</f>
        <v>show</v>
      </c>
      <c r="E413" t="str">
        <f>HYPERLINK("https://github.com/QuantumBadger/RedReader","show")</f>
        <v>show</v>
      </c>
      <c r="F413" t="str">
        <f>HYPERLINK("https://github.com/QuantumBadger/RedReader/releases","show")</f>
        <v>show</v>
      </c>
    </row>
    <row r="414" spans="1:6">
      <c r="A414" t="s">
        <v>1247</v>
      </c>
      <c r="B414" t="s">
        <v>1248</v>
      </c>
      <c r="C414" t="s">
        <v>1249</v>
      </c>
      <c r="D414" t="str">
        <f>HYPERLINK("https://github.com/OceanLabs/Android-Print-SDK/issues/6","show")</f>
        <v>show</v>
      </c>
      <c r="E414" t="str">
        <f>HYPERLINK("https://github.com/OceanLabs/Android-Print-SDK","show")</f>
        <v>show</v>
      </c>
      <c r="F414" t="str">
        <f>HYPERLINK("https://github.com/OceanLabs/Android-Print-SDK/releases","show")</f>
        <v>show</v>
      </c>
    </row>
    <row r="415" spans="1:6">
      <c r="A415" t="s">
        <v>1250</v>
      </c>
      <c r="B415" t="s">
        <v>1251</v>
      </c>
      <c r="C415" t="s">
        <v>1252</v>
      </c>
      <c r="D415" t="str">
        <f>HYPERLINK("https://github.com/geftimov/android-pathview/issues/10","show")</f>
        <v>show</v>
      </c>
      <c r="E415" t="str">
        <f>HYPERLINK("https://github.com/geftimov/android-pathview","show")</f>
        <v>show</v>
      </c>
      <c r="F415" t="str">
        <f>HYPERLINK("https://github.com/geftimov/android-pathview/releases","show")</f>
        <v>show</v>
      </c>
    </row>
    <row r="416" spans="1:6">
      <c r="A416" t="s">
        <v>1253</v>
      </c>
      <c r="B416" t="s">
        <v>1254</v>
      </c>
      <c r="C416" t="s">
        <v>1255</v>
      </c>
      <c r="D416" t="str">
        <f>HYPERLINK("https://github.com/px-amaac/KZFR/issues/52","show")</f>
        <v>show</v>
      </c>
      <c r="E416" t="str">
        <f>HYPERLINK("https://github.com/px-amaac/KZFR","show")</f>
        <v>show</v>
      </c>
      <c r="F416" t="str">
        <f>HYPERLINK("https://github.com/px-amaac/KZFR/releases","show")</f>
        <v>show</v>
      </c>
    </row>
    <row r="417" spans="1:6">
      <c r="A417" t="s">
        <v>1256</v>
      </c>
      <c r="B417" t="s">
        <v>1257</v>
      </c>
      <c r="C417" t="s">
        <v>1258</v>
      </c>
      <c r="D417" t="str">
        <f>HYPERLINK("https://github.com/aashrai/Skittles/issues/6","show")</f>
        <v>show</v>
      </c>
      <c r="E417" t="str">
        <f>HYPERLINK("https://github.com/aashrai/Skittles","show")</f>
        <v>show</v>
      </c>
      <c r="F417" t="str">
        <f>HYPERLINK("https://github.com/aashrai/Skittles/releases","show")</f>
        <v>show</v>
      </c>
    </row>
    <row r="418" spans="1:6">
      <c r="A418" t="s">
        <v>1259</v>
      </c>
      <c r="B418" t="s">
        <v>1260</v>
      </c>
      <c r="C418" t="s">
        <v>1261</v>
      </c>
      <c r="D418" t="str">
        <f>HYPERLINK("https://github.com/react-native-camera/react-native-camera/issues/61","show")</f>
        <v>show</v>
      </c>
      <c r="E418" t="str">
        <f>HYPERLINK("https://github.com/react-native-camera/react-native-camera","show")</f>
        <v>show</v>
      </c>
      <c r="F418" t="str">
        <f>HYPERLINK("https://github.com/react-native-camera/react-native-camera/releases","show")</f>
        <v>show</v>
      </c>
    </row>
    <row r="419" spans="1:6">
      <c r="A419" t="s">
        <v>1262</v>
      </c>
      <c r="B419" t="s">
        <v>1263</v>
      </c>
      <c r="C419" t="s">
        <v>1264</v>
      </c>
      <c r="D419" t="str">
        <f>HYPERLINK("https://github.com/netmackan/ATimeTracker/issues/35","show")</f>
        <v>show</v>
      </c>
      <c r="E419" t="str">
        <f>HYPERLINK("https://github.com/netmackan/ATimeTracker","show")</f>
        <v>show</v>
      </c>
      <c r="F419" t="str">
        <f>HYPERLINK("https://github.com/netmackan/ATimeTracker/releases","show")</f>
        <v>show</v>
      </c>
    </row>
    <row r="420" spans="1:6">
      <c r="A420" t="s">
        <v>1265</v>
      </c>
      <c r="B420" t="s">
        <v>1266</v>
      </c>
      <c r="C420" t="s">
        <v>1267</v>
      </c>
      <c r="D420" t="str">
        <f>HYPERLINK("https://github.com/CellularPrivacy/Android-IMSI-Catcher-Detector/issues/543","show")</f>
        <v>show</v>
      </c>
      <c r="E420" t="str">
        <f>HYPERLINK("https://github.com/CellularPrivacy/Android-IMSI-Catcher-Detector","show")</f>
        <v>show</v>
      </c>
      <c r="F420" t="str">
        <f>HYPERLINK("https://github.com/CellularPrivacy/Android-IMSI-Catcher-Detector/releases","show")</f>
        <v>show</v>
      </c>
    </row>
    <row r="421" spans="1:6">
      <c r="A421" t="s">
        <v>1268</v>
      </c>
      <c r="B421" t="s">
        <v>1269</v>
      </c>
      <c r="C421" t="s">
        <v>1270</v>
      </c>
      <c r="D421" t="str">
        <f>HYPERLINK("https://github.com/federvieh/selma/issues/15","show")</f>
        <v>show</v>
      </c>
      <c r="E421" t="str">
        <f>HYPERLINK("https://github.com/federvieh/selma","show")</f>
        <v>show</v>
      </c>
      <c r="F421" t="str">
        <f>HYPERLINK("https://github.com/federvieh/selma/releases","show")</f>
        <v>show</v>
      </c>
    </row>
    <row r="422" spans="1:6">
      <c r="A422" t="s">
        <v>1271</v>
      </c>
      <c r="B422" t="s">
        <v>1272</v>
      </c>
      <c r="C422" t="s">
        <v>1273</v>
      </c>
      <c r="D422" t="str">
        <f>HYPERLINK("https://github.com/dimagi/commcare-android/issues/414","show")</f>
        <v>show</v>
      </c>
      <c r="E422" t="str">
        <f>HYPERLINK("https://github.com/dimagi/commcare-android","show")</f>
        <v>show</v>
      </c>
      <c r="F422" t="str">
        <f>HYPERLINK("https://github.com/dimagi/commcare-android/releases","show")</f>
        <v>show</v>
      </c>
    </row>
    <row r="423" spans="1:6">
      <c r="A423" t="s">
        <v>1274</v>
      </c>
      <c r="B423" t="s">
        <v>1275</v>
      </c>
      <c r="C423" t="s">
        <v>1276</v>
      </c>
      <c r="D423" t="str">
        <f>HYPERLINK("https://github.com/Cloudkibo/Android/issues/21","show")</f>
        <v>show</v>
      </c>
      <c r="E423" t="str">
        <f>HYPERLINK("https://github.com/Cloudkibo/Android","show")</f>
        <v>show</v>
      </c>
      <c r="F423" t="str">
        <f>HYPERLINK("https://github.com/Cloudkibo/Android/releases","show")</f>
        <v>show</v>
      </c>
    </row>
    <row r="424" spans="1:6">
      <c r="A424" t="s">
        <v>1277</v>
      </c>
      <c r="B424" t="s">
        <v>1278</v>
      </c>
      <c r="C424" t="s">
        <v>1279</v>
      </c>
      <c r="D424" t="str">
        <f>HYPERLINK("https://github.com/jjhesk/KickAssSlidingMenu/issues/7","show")</f>
        <v>show</v>
      </c>
      <c r="E424" t="str">
        <f>HYPERLINK("https://github.com/jjhesk/KickAssSlidingMenu","show")</f>
        <v>show</v>
      </c>
      <c r="F424" t="str">
        <f>HYPERLINK("https://github.com/jjhesk/KickAssSlidingMenu/releases","show")</f>
        <v>show</v>
      </c>
    </row>
    <row r="425" spans="1:6">
      <c r="A425" t="s">
        <v>1280</v>
      </c>
      <c r="B425" t="s">
        <v>1281</v>
      </c>
      <c r="C425" t="s">
        <v>1282</v>
      </c>
      <c r="D425" t="str">
        <f>HYPERLINK("https://github.com/RFO-BASIC/Basic/issues/192","show")</f>
        <v>show</v>
      </c>
      <c r="E425" t="str">
        <f>HYPERLINK("https://github.com/RFO-BASIC/Basic","show")</f>
        <v>show</v>
      </c>
      <c r="F425" t="str">
        <f>HYPERLINK("https://github.com/RFO-BASIC/Basic/releases","show")</f>
        <v>show</v>
      </c>
    </row>
    <row r="426" spans="1:6">
      <c r="A426" t="s">
        <v>1283</v>
      </c>
      <c r="B426" t="s">
        <v>1284</v>
      </c>
      <c r="C426" t="s">
        <v>1285</v>
      </c>
      <c r="D426" t="str">
        <f>HYPERLINK("https://github.com/mozilla/MozStumbler/issues/1679","show")</f>
        <v>show</v>
      </c>
      <c r="E426" t="str">
        <f>HYPERLINK("https://github.com/mozilla/MozStumbler","show")</f>
        <v>show</v>
      </c>
      <c r="F426" t="str">
        <f>HYPERLINK("https://github.com/mozilla/MozStumbler/releases","show")</f>
        <v>show</v>
      </c>
    </row>
    <row r="427" spans="1:6">
      <c r="A427" t="s">
        <v>1286</v>
      </c>
      <c r="B427" t="s">
        <v>1287</v>
      </c>
      <c r="C427" t="s">
        <v>1288</v>
      </c>
      <c r="D427" t="str">
        <f>HYPERLINK("https://github.com/liferay/liferay-screens/issues/161","show")</f>
        <v>show</v>
      </c>
      <c r="E427" t="str">
        <f>HYPERLINK("https://github.com/liferay/liferay-screens","show")</f>
        <v>show</v>
      </c>
      <c r="F427" t="str">
        <f>HYPERLINK("https://github.com/liferay/liferay-screens/releases","show")</f>
        <v>show</v>
      </c>
    </row>
    <row r="428" spans="1:6">
      <c r="A428" t="s">
        <v>1289</v>
      </c>
      <c r="B428" t="s">
        <v>1290</v>
      </c>
      <c r="C428" t="s">
        <v>1291</v>
      </c>
      <c r="D428" t="str">
        <f>HYPERLINK("https://github.com/avluis/Hentoid/issues/14","show")</f>
        <v>show</v>
      </c>
      <c r="E428" t="str">
        <f>HYPERLINK("https://github.com/avluis/Hentoid","show")</f>
        <v>show</v>
      </c>
      <c r="F428" t="str">
        <f>HYPERLINK("https://github.com/avluis/Hentoid/releases","show")</f>
        <v>show</v>
      </c>
    </row>
    <row r="429" spans="1:6">
      <c r="A429" t="s">
        <v>1292</v>
      </c>
      <c r="B429" t="s">
        <v>1293</v>
      </c>
      <c r="C429" t="s">
        <v>1294</v>
      </c>
      <c r="D429" t="str">
        <f>HYPERLINK("https://github.com/Exlsunshine/ChatApplication/issues/38","show")</f>
        <v>show</v>
      </c>
      <c r="E429" t="str">
        <f>HYPERLINK("https://github.com/Exlsunshine/ChatApplication","show")</f>
        <v>show</v>
      </c>
      <c r="F429" t="str">
        <f>HYPERLINK("https://github.com/Exlsunshine/ChatApplication/releases","show")</f>
        <v>show</v>
      </c>
    </row>
    <row r="430" spans="1:6">
      <c r="A430" t="s">
        <v>1295</v>
      </c>
      <c r="B430" t="s">
        <v>1296</v>
      </c>
      <c r="C430" t="s">
        <v>1297</v>
      </c>
      <c r="D430" t="str">
        <f>HYPERLINK("https://github.com/Exlsunshine/ChatApplication/issues/37","show")</f>
        <v>show</v>
      </c>
      <c r="E430" t="str">
        <f>HYPERLINK("https://github.com/Exlsunshine/ChatApplication","show")</f>
        <v>show</v>
      </c>
      <c r="F430" t="str">
        <f>HYPERLINK("https://github.com/Exlsunshine/ChatApplication/releases","show")</f>
        <v>show</v>
      </c>
    </row>
    <row r="431" spans="1:6">
      <c r="A431" t="s">
        <v>1298</v>
      </c>
      <c r="B431" t="s">
        <v>1299</v>
      </c>
      <c r="C431" t="s">
        <v>1300</v>
      </c>
      <c r="D431" t="str">
        <f>HYPERLINK("https://github.com/open-keychain/open-keychain/issues/1447","show")</f>
        <v>show</v>
      </c>
      <c r="E431" t="str">
        <f>HYPERLINK("https://github.com/open-keychain/open-keychain","show")</f>
        <v>show</v>
      </c>
      <c r="F431" t="str">
        <f>HYPERLINK("https://github.com/open-keychain/open-keychain/releases","show")</f>
        <v>show</v>
      </c>
    </row>
    <row r="432" spans="1:6">
      <c r="A432" t="s">
        <v>1301</v>
      </c>
      <c r="B432" t="s">
        <v>1302</v>
      </c>
      <c r="C432" t="s">
        <v>1303</v>
      </c>
      <c r="D432" t="str">
        <f>HYPERLINK("https://github.com/cgeo/cgeo/issues/5091","show")</f>
        <v>show</v>
      </c>
      <c r="E432" t="str">
        <f>HYPERLINK("https://github.com/cgeo/cgeo","show")</f>
        <v>show</v>
      </c>
      <c r="F432" t="str">
        <f>HYPERLINK("https://github.com/cgeo/cgeo/releases","show")</f>
        <v>show</v>
      </c>
    </row>
    <row r="433" spans="1:6">
      <c r="A433" t="s">
        <v>1304</v>
      </c>
      <c r="B433" t="s">
        <v>1305</v>
      </c>
      <c r="C433" t="s">
        <v>1306</v>
      </c>
      <c r="D433" t="str">
        <f>HYPERLINK("https://github.com/ukanth/afwall/issues/385","show")</f>
        <v>show</v>
      </c>
      <c r="E433" t="str">
        <f>HYPERLINK("https://github.com/ukanth/afwall","show")</f>
        <v>show</v>
      </c>
      <c r="F433" t="str">
        <f>HYPERLINK("https://github.com/ukanth/afwall/releases","show")</f>
        <v>show</v>
      </c>
    </row>
    <row r="434" spans="1:6">
      <c r="A434" t="s">
        <v>1307</v>
      </c>
      <c r="B434" t="s">
        <v>1308</v>
      </c>
      <c r="C434" t="s">
        <v>1309</v>
      </c>
      <c r="D434" t="str">
        <f>HYPERLINK("https://github.com/dimagi/commcare-android/issues/420","show")</f>
        <v>show</v>
      </c>
      <c r="E434" t="str">
        <f>HYPERLINK("https://github.com/dimagi/commcare-android","show")</f>
        <v>show</v>
      </c>
      <c r="F434" t="str">
        <f>HYPERLINK("https://github.com/dimagi/commcare-android/releases","show")</f>
        <v>show</v>
      </c>
    </row>
    <row r="435" spans="1:6">
      <c r="A435" t="s">
        <v>1310</v>
      </c>
      <c r="B435" t="s">
        <v>1311</v>
      </c>
      <c r="C435" t="s">
        <v>1312</v>
      </c>
      <c r="D435" t="str">
        <f>HYPERLINK("https://github.com/marverenic/Jockey/issues/20","show")</f>
        <v>show</v>
      </c>
      <c r="E435" t="str">
        <f>HYPERLINK("https://github.com/marverenic/Jockey","show")</f>
        <v>show</v>
      </c>
      <c r="F435" t="str">
        <f>HYPERLINK("https://github.com/marverenic/Jockey/releases","show")</f>
        <v>show</v>
      </c>
    </row>
    <row r="436" spans="1:6">
      <c r="A436" t="s">
        <v>1313</v>
      </c>
      <c r="B436" t="s">
        <v>1314</v>
      </c>
      <c r="C436" t="s">
        <v>1315</v>
      </c>
      <c r="D436" t="str">
        <f>HYPERLINK("https://github.com/google/ExoPlayer/issues/631","show")</f>
        <v>show</v>
      </c>
      <c r="E436" t="str">
        <f>HYPERLINK("https://github.com/google/ExoPlayer","show")</f>
        <v>show</v>
      </c>
      <c r="F436" t="str">
        <f>HYPERLINK("https://github.com/google/ExoPlayer/releases","show")</f>
        <v>show</v>
      </c>
    </row>
    <row r="437" spans="1:6">
      <c r="A437" t="s">
        <v>1316</v>
      </c>
      <c r="B437" t="s">
        <v>1317</v>
      </c>
      <c r="C437" t="s">
        <v>1318</v>
      </c>
      <c r="D437" t="str">
        <f>HYPERLINK("https://github.com/nextcloud/news-android/issues/364","show")</f>
        <v>show</v>
      </c>
      <c r="E437" t="str">
        <f>HYPERLINK("https://github.com/nextcloud/news-android","show")</f>
        <v>show</v>
      </c>
      <c r="F437" t="str">
        <f>HYPERLINK("https://github.com/nextcloud/news-android/releases","show")</f>
        <v>show</v>
      </c>
    </row>
    <row r="438" spans="1:6">
      <c r="A438" t="s">
        <v>1319</v>
      </c>
      <c r="B438" t="s">
        <v>1320</v>
      </c>
      <c r="C438" t="s">
        <v>1321</v>
      </c>
      <c r="D438" t="str">
        <f>HYPERLINK("https://github.com/openbmap/radiocells-nlp-android/issues/12","show")</f>
        <v>show</v>
      </c>
      <c r="E438" t="str">
        <f>HYPERLINK("https://github.com/openbmap/radiocells-nlp-android","show")</f>
        <v>show</v>
      </c>
      <c r="F438" t="str">
        <f>HYPERLINK("https://github.com/openbmap/radiocells-nlp-android/releases","show")</f>
        <v>show</v>
      </c>
    </row>
    <row r="439" spans="1:6">
      <c r="A439" t="s">
        <v>1322</v>
      </c>
      <c r="B439" t="s">
        <v>1323</v>
      </c>
      <c r="C439" t="s">
        <v>1324</v>
      </c>
      <c r="D439" t="str">
        <f>HYPERLINK("https://github.com/splitwise/TokenAutoComplete/issues/151","show")</f>
        <v>show</v>
      </c>
      <c r="E439" t="str">
        <f>HYPERLINK("https://github.com/splitwise/TokenAutoComplete","show")</f>
        <v>show</v>
      </c>
      <c r="F439" t="str">
        <f>HYPERLINK("https://github.com/splitwise/TokenAutoComplete/releases","show")</f>
        <v>show</v>
      </c>
    </row>
    <row r="440" spans="1:6">
      <c r="A440" t="s">
        <v>1325</v>
      </c>
      <c r="B440" t="s">
        <v>1326</v>
      </c>
      <c r="C440" t="s">
        <v>1327</v>
      </c>
      <c r="D440" t="str">
        <f>HYPERLINK("https://github.com/nextcloud/news-android/issues/367","show")</f>
        <v>show</v>
      </c>
      <c r="E440" t="str">
        <f>HYPERLINK("https://github.com/nextcloud/news-android","show")</f>
        <v>show</v>
      </c>
      <c r="F440" t="str">
        <f>HYPERLINK("https://github.com/nextcloud/news-android/releases","show")</f>
        <v>show</v>
      </c>
    </row>
    <row r="441" spans="1:6">
      <c r="A441" t="s">
        <v>1328</v>
      </c>
      <c r="B441" t="s">
        <v>1329</v>
      </c>
      <c r="C441" t="s">
        <v>1330</v>
      </c>
      <c r="D441" t="str">
        <f>HYPERLINK("https://github.com/dimagi/commcare-android/issues/434","show")</f>
        <v>show</v>
      </c>
      <c r="E441" t="str">
        <f>HYPERLINK("https://github.com/dimagi/commcare-android","show")</f>
        <v>show</v>
      </c>
      <c r="F441" t="str">
        <f>HYPERLINK("https://github.com/dimagi/commcare-android/releases","show")</f>
        <v>show</v>
      </c>
    </row>
    <row r="442" spans="1:6">
      <c r="A442" t="s">
        <v>1331</v>
      </c>
      <c r="B442" t="s">
        <v>1332</v>
      </c>
      <c r="C442" t="s">
        <v>1333</v>
      </c>
      <c r="D442" t="str">
        <f>HYPERLINK("https://github.com/nethergrim/vk_client/issues/53","show")</f>
        <v>show</v>
      </c>
      <c r="E442" t="str">
        <f>HYPERLINK("https://github.com/nethergrim/vk_client","show")</f>
        <v>show</v>
      </c>
      <c r="F442" t="str">
        <f>HYPERLINK("https://github.com/nethergrim/vk_client/releases","show")</f>
        <v>show</v>
      </c>
    </row>
    <row r="443" spans="1:6">
      <c r="A443" t="s">
        <v>1334</v>
      </c>
      <c r="B443" t="s">
        <v>1335</v>
      </c>
      <c r="C443" t="s">
        <v>1336</v>
      </c>
      <c r="D443" t="str">
        <f>HYPERLINK("https://github.com/google/ExoPlayer/issues/641","show")</f>
        <v>show</v>
      </c>
      <c r="E443" t="str">
        <f>HYPERLINK("https://github.com/google/ExoPlayer","show")</f>
        <v>show</v>
      </c>
      <c r="F443" t="str">
        <f>HYPERLINK("https://github.com/google/ExoPlayer/releases","show")</f>
        <v>show</v>
      </c>
    </row>
    <row r="444" spans="1:6">
      <c r="A444" t="s">
        <v>1337</v>
      </c>
      <c r="B444" t="s">
        <v>1338</v>
      </c>
      <c r="C444" t="s">
        <v>1339</v>
      </c>
      <c r="D444" t="str">
        <f>HYPERLINK("https://github.com/dimagi/commcare-android/issues/440","show")</f>
        <v>show</v>
      </c>
      <c r="E444" t="str">
        <f>HYPERLINK("https://github.com/dimagi/commcare-android","show")</f>
        <v>show</v>
      </c>
      <c r="F444" t="str">
        <f>HYPERLINK("https://github.com/dimagi/commcare-android/releases","show")</f>
        <v>show</v>
      </c>
    </row>
    <row r="445" spans="1:6">
      <c r="A445" t="s">
        <v>1340</v>
      </c>
      <c r="B445" t="s">
        <v>1341</v>
      </c>
      <c r="C445" t="s">
        <v>1342</v>
      </c>
      <c r="D445" t="str">
        <f>HYPERLINK("https://github.com/Bathlamos/RTDC/issues/69","show")</f>
        <v>show</v>
      </c>
      <c r="E445" t="str">
        <f>HYPERLINK("https://github.com/Bathlamos/RTDC","show")</f>
        <v>show</v>
      </c>
      <c r="F445" t="str">
        <f>HYPERLINK("https://github.com/Bathlamos/RTDC/releases","show")</f>
        <v>show</v>
      </c>
    </row>
    <row r="446" spans="1:6">
      <c r="A446" t="s">
        <v>1343</v>
      </c>
      <c r="B446" t="s">
        <v>1344</v>
      </c>
      <c r="C446" t="s">
        <v>1345</v>
      </c>
      <c r="D446" t="str">
        <f>HYPERLINK("https://github.com/Bathlamos/RTDC/issues/68","show")</f>
        <v>show</v>
      </c>
      <c r="E446" t="str">
        <f>HYPERLINK("https://github.com/Bathlamos/RTDC","show")</f>
        <v>show</v>
      </c>
      <c r="F446" t="str">
        <f>HYPERLINK("https://github.com/Bathlamos/RTDC/releases","show")</f>
        <v>show</v>
      </c>
    </row>
    <row r="447" spans="1:6">
      <c r="A447" t="s">
        <v>1346</v>
      </c>
      <c r="B447" t="s">
        <v>1347</v>
      </c>
      <c r="C447" t="s">
        <v>1348</v>
      </c>
      <c r="D447" t="str">
        <f>HYPERLINK("https://github.com/gdg-x/frisbee/issues/401","show")</f>
        <v>show</v>
      </c>
      <c r="E447" t="str">
        <f>HYPERLINK("https://github.com/gdg-x/frisbee","show")</f>
        <v>show</v>
      </c>
      <c r="F447" t="str">
        <f>HYPERLINK("https://github.com/gdg-x/frisbee/releases","show")</f>
        <v>show</v>
      </c>
    </row>
    <row r="448" spans="1:6">
      <c r="A448" t="s">
        <v>1349</v>
      </c>
      <c r="B448" t="s">
        <v>1350</v>
      </c>
      <c r="C448" t="s">
        <v>1351</v>
      </c>
      <c r="D448" t="str">
        <f>HYPERLINK("https://github.com/Ereza/CustomActivityOnCrash/issues/7","show")</f>
        <v>show</v>
      </c>
      <c r="E448" t="str">
        <f>HYPERLINK("https://github.com/Ereza/CustomActivityOnCrash","show")</f>
        <v>show</v>
      </c>
      <c r="F448" t="str">
        <f>HYPERLINK("https://github.com/Ereza/CustomActivityOnCrash/releases","show")</f>
        <v>show</v>
      </c>
    </row>
    <row r="449" spans="1:6">
      <c r="A449" t="s">
        <v>1352</v>
      </c>
      <c r="B449" t="s">
        <v>1353</v>
      </c>
      <c r="C449" t="s">
        <v>1354</v>
      </c>
      <c r="D449" t="str">
        <f>HYPERLINK("https://github.com/theSoenke/Paperwork-Android/issues/6","show")</f>
        <v>show</v>
      </c>
      <c r="E449" t="str">
        <f>HYPERLINK("https://github.com/theSoenke/Paperwork-Android","show")</f>
        <v>show</v>
      </c>
      <c r="F449" t="str">
        <f>HYPERLINK("https://github.com/theSoenke/Paperwork-Android/releases","show")</f>
        <v>show</v>
      </c>
    </row>
    <row r="450" spans="1:6">
      <c r="A450" t="s">
        <v>1355</v>
      </c>
      <c r="B450" t="s">
        <v>1356</v>
      </c>
      <c r="C450" t="s">
        <v>1357</v>
      </c>
      <c r="D450" t="str">
        <f>HYPERLINK("https://github.com/Cloudkibo/Android/issues/25","show")</f>
        <v>show</v>
      </c>
      <c r="E450" t="str">
        <f>HYPERLINK("https://github.com/Cloudkibo/Android","show")</f>
        <v>show</v>
      </c>
      <c r="F450" t="str">
        <f>HYPERLINK("https://github.com/Cloudkibo/Android/releases","show")</f>
        <v>show</v>
      </c>
    </row>
    <row r="451" spans="1:6">
      <c r="A451" t="s">
        <v>1358</v>
      </c>
      <c r="B451" t="s">
        <v>1359</v>
      </c>
      <c r="C451" t="s">
        <v>1360</v>
      </c>
      <c r="D451" t="str">
        <f>HYPERLINK("https://github.com/k9mail/k-9/issues/724","show")</f>
        <v>show</v>
      </c>
      <c r="E451" t="str">
        <f>HYPERLINK("https://github.com/k9mail/k-9","show")</f>
        <v>show</v>
      </c>
      <c r="F451" t="str">
        <f>HYPERLINK("https://github.com/k9mail/k-9/releases","show")</f>
        <v>show</v>
      </c>
    </row>
    <row r="452" spans="1:6">
      <c r="A452" t="s">
        <v>1361</v>
      </c>
      <c r="B452" t="s">
        <v>1362</v>
      </c>
      <c r="C452" t="s">
        <v>1363</v>
      </c>
      <c r="D452" t="str">
        <f>HYPERLINK("https://github.com/uservoice/uservoice-android-sdk/issues/195","show")</f>
        <v>show</v>
      </c>
      <c r="E452" t="str">
        <f>HYPERLINK("https://github.com/uservoice/uservoice-android-sdk","show")</f>
        <v>show</v>
      </c>
      <c r="F452" t="str">
        <f>HYPERLINK("https://github.com/uservoice/uservoice-android-sdk/releases","show")</f>
        <v>show</v>
      </c>
    </row>
    <row r="453" spans="1:6">
      <c r="A453" t="s">
        <v>1364</v>
      </c>
      <c r="B453" t="s">
        <v>1365</v>
      </c>
      <c r="C453" t="s">
        <v>1366</v>
      </c>
      <c r="D453" t="str">
        <f>HYPERLINK("https://github.com/wdullaer/MaterialDateTimePicker/issues/71","show")</f>
        <v>show</v>
      </c>
      <c r="E453" t="str">
        <f>HYPERLINK("https://github.com/wdullaer/MaterialDateTimePicker","show")</f>
        <v>show</v>
      </c>
      <c r="F453" t="str">
        <f>HYPERLINK("https://github.com/wdullaer/MaterialDateTimePicker/releases","show")</f>
        <v>show</v>
      </c>
    </row>
    <row r="454" spans="1:6">
      <c r="A454" t="s">
        <v>1367</v>
      </c>
      <c r="B454" t="s">
        <v>1368</v>
      </c>
      <c r="C454" t="s">
        <v>1369</v>
      </c>
      <c r="D454" t="str">
        <f>HYPERLINK("https://github.com/yukihane/dq10don/issues/3","show")</f>
        <v>show</v>
      </c>
      <c r="E454" t="str">
        <f>HYPERLINK("https://github.com/yukihane/dq10don","show")</f>
        <v>show</v>
      </c>
      <c r="F454" t="str">
        <f>HYPERLINK("https://github.com/yukihane/dq10don/releases","show")</f>
        <v>show</v>
      </c>
    </row>
    <row r="455" spans="1:6">
      <c r="A455" t="s">
        <v>1370</v>
      </c>
      <c r="B455" t="s">
        <v>1371</v>
      </c>
      <c r="C455" t="s">
        <v>1372</v>
      </c>
      <c r="D455" t="str">
        <f>HYPERLINK("https://github.com/ankidroid/Anki-Android/issues/3569","show")</f>
        <v>show</v>
      </c>
      <c r="E455" t="str">
        <f t="shared" ref="E455:E518" si="4">HYPERLINK("https://github.com/ankidroid/Anki-Android","show")</f>
        <v>show</v>
      </c>
      <c r="F455" t="str">
        <f t="shared" ref="F455:F518" si="5">HYPERLINK("https://github.com/ankidroid/Anki-Android/releases","show")</f>
        <v>show</v>
      </c>
    </row>
    <row r="456" spans="1:6">
      <c r="A456" t="s">
        <v>1373</v>
      </c>
      <c r="B456" t="s">
        <v>1374</v>
      </c>
      <c r="C456" t="s">
        <v>1375</v>
      </c>
      <c r="D456" t="str">
        <f>HYPERLINK("https://github.com/ankidroid/Anki-Android/issues/3568","show")</f>
        <v>show</v>
      </c>
      <c r="E456" t="str">
        <f t="shared" si="4"/>
        <v>show</v>
      </c>
      <c r="F456" t="str">
        <f t="shared" si="5"/>
        <v>show</v>
      </c>
    </row>
    <row r="457" spans="1:6">
      <c r="A457" t="s">
        <v>1376</v>
      </c>
      <c r="B457" t="s">
        <v>1377</v>
      </c>
      <c r="C457" t="s">
        <v>1378</v>
      </c>
      <c r="D457" t="str">
        <f>HYPERLINK("https://github.com/ankidroid/Anki-Android/issues/3557","show")</f>
        <v>show</v>
      </c>
      <c r="E457" t="str">
        <f t="shared" si="4"/>
        <v>show</v>
      </c>
      <c r="F457" t="str">
        <f t="shared" si="5"/>
        <v>show</v>
      </c>
    </row>
    <row r="458" spans="1:6">
      <c r="A458" t="s">
        <v>1379</v>
      </c>
      <c r="B458" t="s">
        <v>1380</v>
      </c>
      <c r="C458" t="s">
        <v>1381</v>
      </c>
      <c r="D458" t="str">
        <f>HYPERLINK("https://github.com/ankidroid/Anki-Android/issues/3547","show")</f>
        <v>show</v>
      </c>
      <c r="E458" t="str">
        <f t="shared" si="4"/>
        <v>show</v>
      </c>
      <c r="F458" t="str">
        <f t="shared" si="5"/>
        <v>show</v>
      </c>
    </row>
    <row r="459" spans="1:6">
      <c r="A459" t="s">
        <v>1382</v>
      </c>
      <c r="B459" t="s">
        <v>1383</v>
      </c>
      <c r="C459" t="s">
        <v>1384</v>
      </c>
      <c r="D459" t="str">
        <f>HYPERLINK("https://github.com/ankidroid/Anki-Android/issues/3543","show")</f>
        <v>show</v>
      </c>
      <c r="E459" t="str">
        <f t="shared" si="4"/>
        <v>show</v>
      </c>
      <c r="F459" t="str">
        <f t="shared" si="5"/>
        <v>show</v>
      </c>
    </row>
    <row r="460" spans="1:6">
      <c r="A460" t="s">
        <v>1385</v>
      </c>
      <c r="B460" t="s">
        <v>1386</v>
      </c>
      <c r="C460" t="s">
        <v>1387</v>
      </c>
      <c r="D460" t="str">
        <f>HYPERLINK("https://github.com/ankidroid/Anki-Android/issues/3533","show")</f>
        <v>show</v>
      </c>
      <c r="E460" t="str">
        <f t="shared" si="4"/>
        <v>show</v>
      </c>
      <c r="F460" t="str">
        <f t="shared" si="5"/>
        <v>show</v>
      </c>
    </row>
    <row r="461" spans="1:6">
      <c r="A461" t="s">
        <v>1388</v>
      </c>
      <c r="B461" t="s">
        <v>1389</v>
      </c>
      <c r="C461" t="s">
        <v>1390</v>
      </c>
      <c r="D461" t="str">
        <f>HYPERLINK("https://github.com/ankidroid/Anki-Android/issues/3531","show")</f>
        <v>show</v>
      </c>
      <c r="E461" t="str">
        <f t="shared" si="4"/>
        <v>show</v>
      </c>
      <c r="F461" t="str">
        <f t="shared" si="5"/>
        <v>show</v>
      </c>
    </row>
    <row r="462" spans="1:6">
      <c r="A462" t="s">
        <v>1391</v>
      </c>
      <c r="B462" t="s">
        <v>1392</v>
      </c>
      <c r="C462" t="s">
        <v>1393</v>
      </c>
      <c r="D462" t="str">
        <f>HYPERLINK("https://github.com/ankidroid/Anki-Android/issues/3521","show")</f>
        <v>show</v>
      </c>
      <c r="E462" t="str">
        <f t="shared" si="4"/>
        <v>show</v>
      </c>
      <c r="F462" t="str">
        <f t="shared" si="5"/>
        <v>show</v>
      </c>
    </row>
    <row r="463" spans="1:6">
      <c r="A463" t="s">
        <v>1394</v>
      </c>
      <c r="B463" t="s">
        <v>1395</v>
      </c>
      <c r="C463" t="s">
        <v>1396</v>
      </c>
      <c r="D463" t="str">
        <f>HYPERLINK("https://github.com/ankidroid/Anki-Android/issues/3501","show")</f>
        <v>show</v>
      </c>
      <c r="E463" t="str">
        <f t="shared" si="4"/>
        <v>show</v>
      </c>
      <c r="F463" t="str">
        <f t="shared" si="5"/>
        <v>show</v>
      </c>
    </row>
    <row r="464" spans="1:6">
      <c r="A464" t="s">
        <v>1397</v>
      </c>
      <c r="B464" t="s">
        <v>1398</v>
      </c>
      <c r="C464" t="s">
        <v>1399</v>
      </c>
      <c r="D464" t="str">
        <f>HYPERLINK("https://github.com/ankidroid/Anki-Android/issues/3483","show")</f>
        <v>show</v>
      </c>
      <c r="E464" t="str">
        <f t="shared" si="4"/>
        <v>show</v>
      </c>
      <c r="F464" t="str">
        <f t="shared" si="5"/>
        <v>show</v>
      </c>
    </row>
    <row r="465" spans="1:6">
      <c r="A465" t="s">
        <v>1400</v>
      </c>
      <c r="B465" t="s">
        <v>1401</v>
      </c>
      <c r="C465" t="s">
        <v>1402</v>
      </c>
      <c r="D465" t="str">
        <f>HYPERLINK("https://github.com/ankidroid/Anki-Android/issues/3469","show")</f>
        <v>show</v>
      </c>
      <c r="E465" t="str">
        <f t="shared" si="4"/>
        <v>show</v>
      </c>
      <c r="F465" t="str">
        <f t="shared" si="5"/>
        <v>show</v>
      </c>
    </row>
    <row r="466" spans="1:6">
      <c r="A466" t="s">
        <v>1403</v>
      </c>
      <c r="B466" t="s">
        <v>1404</v>
      </c>
      <c r="C466" t="s">
        <v>1405</v>
      </c>
      <c r="D466" t="str">
        <f>HYPERLINK("https://github.com/ankidroid/Anki-Android/issues/3458","show")</f>
        <v>show</v>
      </c>
      <c r="E466" t="str">
        <f t="shared" si="4"/>
        <v>show</v>
      </c>
      <c r="F466" t="str">
        <f t="shared" si="5"/>
        <v>show</v>
      </c>
    </row>
    <row r="467" spans="1:6">
      <c r="A467" t="s">
        <v>1406</v>
      </c>
      <c r="B467" t="s">
        <v>1407</v>
      </c>
      <c r="C467" t="s">
        <v>1408</v>
      </c>
      <c r="D467" t="str">
        <f>HYPERLINK("https://github.com/ankidroid/Anki-Android/issues/3450","show")</f>
        <v>show</v>
      </c>
      <c r="E467" t="str">
        <f t="shared" si="4"/>
        <v>show</v>
      </c>
      <c r="F467" t="str">
        <f t="shared" si="5"/>
        <v>show</v>
      </c>
    </row>
    <row r="468" spans="1:6">
      <c r="A468" t="s">
        <v>1409</v>
      </c>
      <c r="B468" t="s">
        <v>1410</v>
      </c>
      <c r="C468" t="s">
        <v>1411</v>
      </c>
      <c r="D468" t="str">
        <f>HYPERLINK("https://github.com/ankidroid/Anki-Android/issues/3449","show")</f>
        <v>show</v>
      </c>
      <c r="E468" t="str">
        <f t="shared" si="4"/>
        <v>show</v>
      </c>
      <c r="F468" t="str">
        <f t="shared" si="5"/>
        <v>show</v>
      </c>
    </row>
    <row r="469" spans="1:6">
      <c r="A469" t="s">
        <v>1412</v>
      </c>
      <c r="B469" t="s">
        <v>1413</v>
      </c>
      <c r="C469" t="s">
        <v>1414</v>
      </c>
      <c r="D469" t="str">
        <f>HYPERLINK("https://github.com/ankidroid/Anki-Android/issues/3443","show")</f>
        <v>show</v>
      </c>
      <c r="E469" t="str">
        <f t="shared" si="4"/>
        <v>show</v>
      </c>
      <c r="F469" t="str">
        <f t="shared" si="5"/>
        <v>show</v>
      </c>
    </row>
    <row r="470" spans="1:6">
      <c r="A470" t="s">
        <v>1415</v>
      </c>
      <c r="B470" t="s">
        <v>1416</v>
      </c>
      <c r="C470" t="s">
        <v>1417</v>
      </c>
      <c r="D470" t="str">
        <f>HYPERLINK("https://github.com/ankidroid/Anki-Android/issues/3438","show")</f>
        <v>show</v>
      </c>
      <c r="E470" t="str">
        <f t="shared" si="4"/>
        <v>show</v>
      </c>
      <c r="F470" t="str">
        <f t="shared" si="5"/>
        <v>show</v>
      </c>
    </row>
    <row r="471" spans="1:6">
      <c r="A471" t="s">
        <v>1418</v>
      </c>
      <c r="B471" t="s">
        <v>1419</v>
      </c>
      <c r="C471" t="s">
        <v>1420</v>
      </c>
      <c r="D471" t="str">
        <f>HYPERLINK("https://github.com/ankidroid/Anki-Android/issues/3408","show")</f>
        <v>show</v>
      </c>
      <c r="E471" t="str">
        <f t="shared" si="4"/>
        <v>show</v>
      </c>
      <c r="F471" t="str">
        <f t="shared" si="5"/>
        <v>show</v>
      </c>
    </row>
    <row r="472" spans="1:6">
      <c r="A472" t="s">
        <v>1421</v>
      </c>
      <c r="B472" t="s">
        <v>1422</v>
      </c>
      <c r="C472" t="s">
        <v>1423</v>
      </c>
      <c r="D472" t="str">
        <f>HYPERLINK("https://github.com/ankidroid/Anki-Android/issues/3401","show")</f>
        <v>show</v>
      </c>
      <c r="E472" t="str">
        <f t="shared" si="4"/>
        <v>show</v>
      </c>
      <c r="F472" t="str">
        <f t="shared" si="5"/>
        <v>show</v>
      </c>
    </row>
    <row r="473" spans="1:6">
      <c r="A473" t="s">
        <v>1424</v>
      </c>
      <c r="B473" t="s">
        <v>1425</v>
      </c>
      <c r="C473" t="s">
        <v>1426</v>
      </c>
      <c r="D473" t="str">
        <f>HYPERLINK("https://github.com/ankidroid/Anki-Android/issues/3398","show")</f>
        <v>show</v>
      </c>
      <c r="E473" t="str">
        <f t="shared" si="4"/>
        <v>show</v>
      </c>
      <c r="F473" t="str">
        <f t="shared" si="5"/>
        <v>show</v>
      </c>
    </row>
    <row r="474" spans="1:6">
      <c r="A474" t="s">
        <v>1427</v>
      </c>
      <c r="B474" t="s">
        <v>1428</v>
      </c>
      <c r="C474" t="s">
        <v>1429</v>
      </c>
      <c r="D474" t="str">
        <f>HYPERLINK("https://github.com/ankidroid/Anki-Android/issues/3395","show")</f>
        <v>show</v>
      </c>
      <c r="E474" t="str">
        <f t="shared" si="4"/>
        <v>show</v>
      </c>
      <c r="F474" t="str">
        <f t="shared" si="5"/>
        <v>show</v>
      </c>
    </row>
    <row r="475" spans="1:6">
      <c r="A475" t="s">
        <v>1430</v>
      </c>
      <c r="B475" t="s">
        <v>1431</v>
      </c>
      <c r="C475" t="s">
        <v>1432</v>
      </c>
      <c r="D475" t="str">
        <f>HYPERLINK("https://github.com/ankidroid/Anki-Android/issues/3394","show")</f>
        <v>show</v>
      </c>
      <c r="E475" t="str">
        <f t="shared" si="4"/>
        <v>show</v>
      </c>
      <c r="F475" t="str">
        <f t="shared" si="5"/>
        <v>show</v>
      </c>
    </row>
    <row r="476" spans="1:6">
      <c r="A476" t="s">
        <v>1433</v>
      </c>
      <c r="B476" t="s">
        <v>1434</v>
      </c>
      <c r="C476" t="s">
        <v>1435</v>
      </c>
      <c r="D476" t="str">
        <f>HYPERLINK("https://github.com/ankidroid/Anki-Android/issues/3382","show")</f>
        <v>show</v>
      </c>
      <c r="E476" t="str">
        <f t="shared" si="4"/>
        <v>show</v>
      </c>
      <c r="F476" t="str">
        <f t="shared" si="5"/>
        <v>show</v>
      </c>
    </row>
    <row r="477" spans="1:6">
      <c r="A477" t="s">
        <v>1436</v>
      </c>
      <c r="B477" t="s">
        <v>1437</v>
      </c>
      <c r="C477" t="s">
        <v>1438</v>
      </c>
      <c r="D477" t="str">
        <f>HYPERLINK("https://github.com/ankidroid/Anki-Android/issues/3380","show")</f>
        <v>show</v>
      </c>
      <c r="E477" t="str">
        <f t="shared" si="4"/>
        <v>show</v>
      </c>
      <c r="F477" t="str">
        <f t="shared" si="5"/>
        <v>show</v>
      </c>
    </row>
    <row r="478" spans="1:6">
      <c r="A478" t="s">
        <v>1439</v>
      </c>
      <c r="B478" t="s">
        <v>1440</v>
      </c>
      <c r="C478" t="s">
        <v>1441</v>
      </c>
      <c r="D478" t="str">
        <f>HYPERLINK("https://github.com/ankidroid/Anki-Android/issues/3376","show")</f>
        <v>show</v>
      </c>
      <c r="E478" t="str">
        <f t="shared" si="4"/>
        <v>show</v>
      </c>
      <c r="F478" t="str">
        <f t="shared" si="5"/>
        <v>show</v>
      </c>
    </row>
    <row r="479" spans="1:6">
      <c r="A479" t="s">
        <v>1442</v>
      </c>
      <c r="B479" t="s">
        <v>1443</v>
      </c>
      <c r="C479" t="s">
        <v>1444</v>
      </c>
      <c r="D479" t="str">
        <f>HYPERLINK("https://github.com/ankidroid/Anki-Android/issues/3371","show")</f>
        <v>show</v>
      </c>
      <c r="E479" t="str">
        <f t="shared" si="4"/>
        <v>show</v>
      </c>
      <c r="F479" t="str">
        <f t="shared" si="5"/>
        <v>show</v>
      </c>
    </row>
    <row r="480" spans="1:6">
      <c r="A480" t="s">
        <v>1445</v>
      </c>
      <c r="B480" t="s">
        <v>1446</v>
      </c>
      <c r="C480" t="s">
        <v>1447</v>
      </c>
      <c r="D480" t="str">
        <f>HYPERLINK("https://github.com/ankidroid/Anki-Android/issues/3370","show")</f>
        <v>show</v>
      </c>
      <c r="E480" t="str">
        <f t="shared" si="4"/>
        <v>show</v>
      </c>
      <c r="F480" t="str">
        <f t="shared" si="5"/>
        <v>show</v>
      </c>
    </row>
    <row r="481" spans="1:6">
      <c r="A481" t="s">
        <v>1448</v>
      </c>
      <c r="B481" t="s">
        <v>1449</v>
      </c>
      <c r="C481" t="s">
        <v>1450</v>
      </c>
      <c r="D481" t="str">
        <f>HYPERLINK("https://github.com/ankidroid/Anki-Android/issues/3369","show")</f>
        <v>show</v>
      </c>
      <c r="E481" t="str">
        <f t="shared" si="4"/>
        <v>show</v>
      </c>
      <c r="F481" t="str">
        <f t="shared" si="5"/>
        <v>show</v>
      </c>
    </row>
    <row r="482" spans="1:6">
      <c r="A482" t="s">
        <v>1451</v>
      </c>
      <c r="B482" t="s">
        <v>1452</v>
      </c>
      <c r="C482" t="s">
        <v>1453</v>
      </c>
      <c r="D482" t="str">
        <f>HYPERLINK("https://github.com/ankidroid/Anki-Android/issues/3365","show")</f>
        <v>show</v>
      </c>
      <c r="E482" t="str">
        <f t="shared" si="4"/>
        <v>show</v>
      </c>
      <c r="F482" t="str">
        <f t="shared" si="5"/>
        <v>show</v>
      </c>
    </row>
    <row r="483" spans="1:6">
      <c r="A483" t="s">
        <v>1454</v>
      </c>
      <c r="B483" t="s">
        <v>1455</v>
      </c>
      <c r="C483" t="s">
        <v>1456</v>
      </c>
      <c r="D483" t="str">
        <f>HYPERLINK("https://github.com/ankidroid/Anki-Android/issues/3362","show")</f>
        <v>show</v>
      </c>
      <c r="E483" t="str">
        <f t="shared" si="4"/>
        <v>show</v>
      </c>
      <c r="F483" t="str">
        <f t="shared" si="5"/>
        <v>show</v>
      </c>
    </row>
    <row r="484" spans="1:6">
      <c r="A484" t="s">
        <v>1457</v>
      </c>
      <c r="B484" t="s">
        <v>1458</v>
      </c>
      <c r="C484" t="s">
        <v>1459</v>
      </c>
      <c r="D484" t="str">
        <f>HYPERLINK("https://github.com/ankidroid/Anki-Android/issues/3361","show")</f>
        <v>show</v>
      </c>
      <c r="E484" t="str">
        <f t="shared" si="4"/>
        <v>show</v>
      </c>
      <c r="F484" t="str">
        <f t="shared" si="5"/>
        <v>show</v>
      </c>
    </row>
    <row r="485" spans="1:6">
      <c r="A485" t="s">
        <v>1460</v>
      </c>
      <c r="B485" t="s">
        <v>1461</v>
      </c>
      <c r="C485" t="s">
        <v>1462</v>
      </c>
      <c r="D485" t="str">
        <f>HYPERLINK("https://github.com/ankidroid/Anki-Android/issues/3360","show")</f>
        <v>show</v>
      </c>
      <c r="E485" t="str">
        <f t="shared" si="4"/>
        <v>show</v>
      </c>
      <c r="F485" t="str">
        <f t="shared" si="5"/>
        <v>show</v>
      </c>
    </row>
    <row r="486" spans="1:6">
      <c r="A486" t="s">
        <v>1463</v>
      </c>
      <c r="B486" t="s">
        <v>1464</v>
      </c>
      <c r="C486" t="s">
        <v>1465</v>
      </c>
      <c r="D486" t="str">
        <f>HYPERLINK("https://github.com/ankidroid/Anki-Android/issues/3358","show")</f>
        <v>show</v>
      </c>
      <c r="E486" t="str">
        <f t="shared" si="4"/>
        <v>show</v>
      </c>
      <c r="F486" t="str">
        <f t="shared" si="5"/>
        <v>show</v>
      </c>
    </row>
    <row r="487" spans="1:6">
      <c r="A487" t="s">
        <v>1466</v>
      </c>
      <c r="B487" t="s">
        <v>1467</v>
      </c>
      <c r="C487" t="s">
        <v>1468</v>
      </c>
      <c r="D487" t="str">
        <f>HYPERLINK("https://github.com/ankidroid/Anki-Android/issues/3357","show")</f>
        <v>show</v>
      </c>
      <c r="E487" t="str">
        <f t="shared" si="4"/>
        <v>show</v>
      </c>
      <c r="F487" t="str">
        <f t="shared" si="5"/>
        <v>show</v>
      </c>
    </row>
    <row r="488" spans="1:6">
      <c r="A488" t="s">
        <v>1469</v>
      </c>
      <c r="B488" t="s">
        <v>1470</v>
      </c>
      <c r="C488" t="s">
        <v>1471</v>
      </c>
      <c r="D488" t="str">
        <f>HYPERLINK("https://github.com/ankidroid/Anki-Android/issues/3356","show")</f>
        <v>show</v>
      </c>
      <c r="E488" t="str">
        <f t="shared" si="4"/>
        <v>show</v>
      </c>
      <c r="F488" t="str">
        <f t="shared" si="5"/>
        <v>show</v>
      </c>
    </row>
    <row r="489" spans="1:6">
      <c r="A489" t="s">
        <v>1472</v>
      </c>
      <c r="B489" t="s">
        <v>1473</v>
      </c>
      <c r="C489" t="s">
        <v>1474</v>
      </c>
      <c r="D489" t="str">
        <f>HYPERLINK("https://github.com/ankidroid/Anki-Android/issues/3355","show")</f>
        <v>show</v>
      </c>
      <c r="E489" t="str">
        <f t="shared" si="4"/>
        <v>show</v>
      </c>
      <c r="F489" t="str">
        <f t="shared" si="5"/>
        <v>show</v>
      </c>
    </row>
    <row r="490" spans="1:6">
      <c r="A490" t="s">
        <v>1475</v>
      </c>
      <c r="B490" t="s">
        <v>1476</v>
      </c>
      <c r="C490" t="s">
        <v>1477</v>
      </c>
      <c r="D490" t="str">
        <f>HYPERLINK("https://github.com/ankidroid/Anki-Android/issues/3350","show")</f>
        <v>show</v>
      </c>
      <c r="E490" t="str">
        <f t="shared" si="4"/>
        <v>show</v>
      </c>
      <c r="F490" t="str">
        <f t="shared" si="5"/>
        <v>show</v>
      </c>
    </row>
    <row r="491" spans="1:6">
      <c r="A491" t="s">
        <v>1478</v>
      </c>
      <c r="B491" t="s">
        <v>1479</v>
      </c>
      <c r="C491" t="s">
        <v>1480</v>
      </c>
      <c r="D491" t="str">
        <f>HYPERLINK("https://github.com/ankidroid/Anki-Android/issues/3346","show")</f>
        <v>show</v>
      </c>
      <c r="E491" t="str">
        <f t="shared" si="4"/>
        <v>show</v>
      </c>
      <c r="F491" t="str">
        <f t="shared" si="5"/>
        <v>show</v>
      </c>
    </row>
    <row r="492" spans="1:6">
      <c r="A492" t="s">
        <v>1481</v>
      </c>
      <c r="B492" t="s">
        <v>1482</v>
      </c>
      <c r="C492" t="s">
        <v>1483</v>
      </c>
      <c r="D492" t="str">
        <f>HYPERLINK("https://github.com/ankidroid/Anki-Android/issues/3345","show")</f>
        <v>show</v>
      </c>
      <c r="E492" t="str">
        <f t="shared" si="4"/>
        <v>show</v>
      </c>
      <c r="F492" t="str">
        <f t="shared" si="5"/>
        <v>show</v>
      </c>
    </row>
    <row r="493" spans="1:6">
      <c r="A493" t="s">
        <v>1484</v>
      </c>
      <c r="B493" t="s">
        <v>1485</v>
      </c>
      <c r="C493" t="s">
        <v>1486</v>
      </c>
      <c r="D493" t="str">
        <f>HYPERLINK("https://github.com/ankidroid/Anki-Android/issues/3344","show")</f>
        <v>show</v>
      </c>
      <c r="E493" t="str">
        <f t="shared" si="4"/>
        <v>show</v>
      </c>
      <c r="F493" t="str">
        <f t="shared" si="5"/>
        <v>show</v>
      </c>
    </row>
    <row r="494" spans="1:6">
      <c r="A494" t="s">
        <v>1487</v>
      </c>
      <c r="B494" t="s">
        <v>1488</v>
      </c>
      <c r="C494" t="s">
        <v>1489</v>
      </c>
      <c r="D494" t="str">
        <f>HYPERLINK("https://github.com/ankidroid/Anki-Android/issues/3340","show")</f>
        <v>show</v>
      </c>
      <c r="E494" t="str">
        <f t="shared" si="4"/>
        <v>show</v>
      </c>
      <c r="F494" t="str">
        <f t="shared" si="5"/>
        <v>show</v>
      </c>
    </row>
    <row r="495" spans="1:6">
      <c r="A495" t="s">
        <v>1490</v>
      </c>
      <c r="B495" t="s">
        <v>1491</v>
      </c>
      <c r="C495" t="s">
        <v>1492</v>
      </c>
      <c r="D495" t="str">
        <f>HYPERLINK("https://github.com/ankidroid/Anki-Android/issues/3338","show")</f>
        <v>show</v>
      </c>
      <c r="E495" t="str">
        <f t="shared" si="4"/>
        <v>show</v>
      </c>
      <c r="F495" t="str">
        <f t="shared" si="5"/>
        <v>show</v>
      </c>
    </row>
    <row r="496" spans="1:6">
      <c r="A496" t="s">
        <v>1493</v>
      </c>
      <c r="B496" t="s">
        <v>1494</v>
      </c>
      <c r="C496" t="s">
        <v>1495</v>
      </c>
      <c r="D496" t="str">
        <f>HYPERLINK("https://github.com/ankidroid/Anki-Android/issues/3335","show")</f>
        <v>show</v>
      </c>
      <c r="E496" t="str">
        <f t="shared" si="4"/>
        <v>show</v>
      </c>
      <c r="F496" t="str">
        <f t="shared" si="5"/>
        <v>show</v>
      </c>
    </row>
    <row r="497" spans="1:6">
      <c r="A497" t="s">
        <v>1496</v>
      </c>
      <c r="B497" t="s">
        <v>1497</v>
      </c>
      <c r="C497" t="s">
        <v>1498</v>
      </c>
      <c r="D497" t="str">
        <f>HYPERLINK("https://github.com/ankidroid/Anki-Android/issues/3331","show")</f>
        <v>show</v>
      </c>
      <c r="E497" t="str">
        <f t="shared" si="4"/>
        <v>show</v>
      </c>
      <c r="F497" t="str">
        <f t="shared" si="5"/>
        <v>show</v>
      </c>
    </row>
    <row r="498" spans="1:6">
      <c r="A498" t="s">
        <v>1499</v>
      </c>
      <c r="B498" t="s">
        <v>1500</v>
      </c>
      <c r="C498" t="s">
        <v>1501</v>
      </c>
      <c r="D498" t="str">
        <f>HYPERLINK("https://github.com/ankidroid/Anki-Android/issues/3325","show")</f>
        <v>show</v>
      </c>
      <c r="E498" t="str">
        <f t="shared" si="4"/>
        <v>show</v>
      </c>
      <c r="F498" t="str">
        <f t="shared" si="5"/>
        <v>show</v>
      </c>
    </row>
    <row r="499" spans="1:6">
      <c r="A499" t="s">
        <v>1502</v>
      </c>
      <c r="B499" t="s">
        <v>1503</v>
      </c>
      <c r="C499" t="s">
        <v>1504</v>
      </c>
      <c r="D499" t="str">
        <f>HYPERLINK("https://github.com/ankidroid/Anki-Android/issues/3324","show")</f>
        <v>show</v>
      </c>
      <c r="E499" t="str">
        <f t="shared" si="4"/>
        <v>show</v>
      </c>
      <c r="F499" t="str">
        <f t="shared" si="5"/>
        <v>show</v>
      </c>
    </row>
    <row r="500" spans="1:6">
      <c r="A500" t="s">
        <v>1505</v>
      </c>
      <c r="B500" t="s">
        <v>1506</v>
      </c>
      <c r="C500" t="s">
        <v>1507</v>
      </c>
      <c r="D500" t="str">
        <f>HYPERLINK("https://github.com/ankidroid/Anki-Android/issues/3320","show")</f>
        <v>show</v>
      </c>
      <c r="E500" t="str">
        <f t="shared" si="4"/>
        <v>show</v>
      </c>
      <c r="F500" t="str">
        <f t="shared" si="5"/>
        <v>show</v>
      </c>
    </row>
    <row r="501" spans="1:6">
      <c r="A501" t="s">
        <v>1508</v>
      </c>
      <c r="B501" t="s">
        <v>1509</v>
      </c>
      <c r="C501" t="s">
        <v>1510</v>
      </c>
      <c r="D501" t="str">
        <f>HYPERLINK("https://github.com/ankidroid/Anki-Android/issues/3315","show")</f>
        <v>show</v>
      </c>
      <c r="E501" t="str">
        <f t="shared" si="4"/>
        <v>show</v>
      </c>
      <c r="F501" t="str">
        <f t="shared" si="5"/>
        <v>show</v>
      </c>
    </row>
    <row r="502" spans="1:6">
      <c r="A502" t="s">
        <v>1511</v>
      </c>
      <c r="B502" t="s">
        <v>1512</v>
      </c>
      <c r="C502" t="s">
        <v>1513</v>
      </c>
      <c r="D502" t="str">
        <f>HYPERLINK("https://github.com/ankidroid/Anki-Android/issues/3314","show")</f>
        <v>show</v>
      </c>
      <c r="E502" t="str">
        <f t="shared" si="4"/>
        <v>show</v>
      </c>
      <c r="F502" t="str">
        <f t="shared" si="5"/>
        <v>show</v>
      </c>
    </row>
    <row r="503" spans="1:6">
      <c r="A503" t="s">
        <v>1514</v>
      </c>
      <c r="B503" t="s">
        <v>1515</v>
      </c>
      <c r="C503" t="s">
        <v>1516</v>
      </c>
      <c r="D503" t="str">
        <f>HYPERLINK("https://github.com/ankidroid/Anki-Android/issues/3313","show")</f>
        <v>show</v>
      </c>
      <c r="E503" t="str">
        <f t="shared" si="4"/>
        <v>show</v>
      </c>
      <c r="F503" t="str">
        <f t="shared" si="5"/>
        <v>show</v>
      </c>
    </row>
    <row r="504" spans="1:6">
      <c r="A504" t="s">
        <v>1517</v>
      </c>
      <c r="B504" t="s">
        <v>1518</v>
      </c>
      <c r="C504" t="s">
        <v>1519</v>
      </c>
      <c r="D504" t="str">
        <f>HYPERLINK("https://github.com/ankidroid/Anki-Android/issues/3312","show")</f>
        <v>show</v>
      </c>
      <c r="E504" t="str">
        <f t="shared" si="4"/>
        <v>show</v>
      </c>
      <c r="F504" t="str">
        <f t="shared" si="5"/>
        <v>show</v>
      </c>
    </row>
    <row r="505" spans="1:6">
      <c r="A505" t="s">
        <v>1520</v>
      </c>
      <c r="B505" t="s">
        <v>1521</v>
      </c>
      <c r="C505" t="s">
        <v>1522</v>
      </c>
      <c r="D505" t="str">
        <f>HYPERLINK("https://github.com/ankidroid/Anki-Android/issues/3311","show")</f>
        <v>show</v>
      </c>
      <c r="E505" t="str">
        <f t="shared" si="4"/>
        <v>show</v>
      </c>
      <c r="F505" t="str">
        <f t="shared" si="5"/>
        <v>show</v>
      </c>
    </row>
    <row r="506" spans="1:6">
      <c r="A506" t="s">
        <v>1523</v>
      </c>
      <c r="B506" t="s">
        <v>1524</v>
      </c>
      <c r="C506" t="s">
        <v>1525</v>
      </c>
      <c r="D506" t="str">
        <f>HYPERLINK("https://github.com/ankidroid/Anki-Android/issues/3310","show")</f>
        <v>show</v>
      </c>
      <c r="E506" t="str">
        <f t="shared" si="4"/>
        <v>show</v>
      </c>
      <c r="F506" t="str">
        <f t="shared" si="5"/>
        <v>show</v>
      </c>
    </row>
    <row r="507" spans="1:6">
      <c r="A507" t="s">
        <v>1526</v>
      </c>
      <c r="B507" t="s">
        <v>1527</v>
      </c>
      <c r="C507" t="s">
        <v>1528</v>
      </c>
      <c r="D507" t="str">
        <f>HYPERLINK("https://github.com/ankidroid/Anki-Android/issues/3307","show")</f>
        <v>show</v>
      </c>
      <c r="E507" t="str">
        <f t="shared" si="4"/>
        <v>show</v>
      </c>
      <c r="F507" t="str">
        <f t="shared" si="5"/>
        <v>show</v>
      </c>
    </row>
    <row r="508" spans="1:6">
      <c r="A508" t="s">
        <v>1529</v>
      </c>
      <c r="B508" t="s">
        <v>1530</v>
      </c>
      <c r="C508" t="s">
        <v>1531</v>
      </c>
      <c r="D508" t="str">
        <f>HYPERLINK("https://github.com/ankidroid/Anki-Android/issues/3302","show")</f>
        <v>show</v>
      </c>
      <c r="E508" t="str">
        <f t="shared" si="4"/>
        <v>show</v>
      </c>
      <c r="F508" t="str">
        <f t="shared" si="5"/>
        <v>show</v>
      </c>
    </row>
    <row r="509" spans="1:6">
      <c r="A509" t="s">
        <v>1532</v>
      </c>
      <c r="B509" t="s">
        <v>1533</v>
      </c>
      <c r="C509" t="s">
        <v>1534</v>
      </c>
      <c r="D509" t="str">
        <f>HYPERLINK("https://github.com/ankidroid/Anki-Android/issues/3301","show")</f>
        <v>show</v>
      </c>
      <c r="E509" t="str">
        <f t="shared" si="4"/>
        <v>show</v>
      </c>
      <c r="F509" t="str">
        <f t="shared" si="5"/>
        <v>show</v>
      </c>
    </row>
    <row r="510" spans="1:6">
      <c r="A510" t="s">
        <v>1535</v>
      </c>
      <c r="B510" t="s">
        <v>1536</v>
      </c>
      <c r="C510" t="s">
        <v>1537</v>
      </c>
      <c r="D510" t="str">
        <f>HYPERLINK("https://github.com/ankidroid/Anki-Android/issues/3300","show")</f>
        <v>show</v>
      </c>
      <c r="E510" t="str">
        <f t="shared" si="4"/>
        <v>show</v>
      </c>
      <c r="F510" t="str">
        <f t="shared" si="5"/>
        <v>show</v>
      </c>
    </row>
    <row r="511" spans="1:6">
      <c r="A511" t="s">
        <v>1538</v>
      </c>
      <c r="B511" t="s">
        <v>1539</v>
      </c>
      <c r="C511" t="s">
        <v>1540</v>
      </c>
      <c r="D511" t="str">
        <f>HYPERLINK("https://github.com/ankidroid/Anki-Android/issues/3294","show")</f>
        <v>show</v>
      </c>
      <c r="E511" t="str">
        <f t="shared" si="4"/>
        <v>show</v>
      </c>
      <c r="F511" t="str">
        <f t="shared" si="5"/>
        <v>show</v>
      </c>
    </row>
    <row r="512" spans="1:6">
      <c r="A512" t="s">
        <v>1541</v>
      </c>
      <c r="B512" t="s">
        <v>1542</v>
      </c>
      <c r="C512" t="s">
        <v>1543</v>
      </c>
      <c r="D512" t="str">
        <f>HYPERLINK("https://github.com/ankidroid/Anki-Android/issues/3291","show")</f>
        <v>show</v>
      </c>
      <c r="E512" t="str">
        <f t="shared" si="4"/>
        <v>show</v>
      </c>
      <c r="F512" t="str">
        <f t="shared" si="5"/>
        <v>show</v>
      </c>
    </row>
    <row r="513" spans="1:6">
      <c r="A513" t="s">
        <v>1544</v>
      </c>
      <c r="B513" t="s">
        <v>1545</v>
      </c>
      <c r="C513" t="s">
        <v>1546</v>
      </c>
      <c r="D513" t="str">
        <f>HYPERLINK("https://github.com/ankidroid/Anki-Android/issues/3288","show")</f>
        <v>show</v>
      </c>
      <c r="E513" t="str">
        <f t="shared" si="4"/>
        <v>show</v>
      </c>
      <c r="F513" t="str">
        <f t="shared" si="5"/>
        <v>show</v>
      </c>
    </row>
    <row r="514" spans="1:6">
      <c r="A514" t="s">
        <v>1547</v>
      </c>
      <c r="B514" t="s">
        <v>1548</v>
      </c>
      <c r="C514" t="s">
        <v>1549</v>
      </c>
      <c r="D514" t="str">
        <f>HYPERLINK("https://github.com/ankidroid/Anki-Android/issues/3286","show")</f>
        <v>show</v>
      </c>
      <c r="E514" t="str">
        <f t="shared" si="4"/>
        <v>show</v>
      </c>
      <c r="F514" t="str">
        <f t="shared" si="5"/>
        <v>show</v>
      </c>
    </row>
    <row r="515" spans="1:6">
      <c r="A515" t="s">
        <v>1550</v>
      </c>
      <c r="B515" t="s">
        <v>1551</v>
      </c>
      <c r="C515" t="s">
        <v>1552</v>
      </c>
      <c r="D515" t="str">
        <f>HYPERLINK("https://github.com/ankidroid/Anki-Android/issues/3284","show")</f>
        <v>show</v>
      </c>
      <c r="E515" t="str">
        <f t="shared" si="4"/>
        <v>show</v>
      </c>
      <c r="F515" t="str">
        <f t="shared" si="5"/>
        <v>show</v>
      </c>
    </row>
    <row r="516" spans="1:6">
      <c r="A516" t="s">
        <v>1553</v>
      </c>
      <c r="B516" t="s">
        <v>1554</v>
      </c>
      <c r="C516" t="s">
        <v>1555</v>
      </c>
      <c r="D516" t="str">
        <f>HYPERLINK("https://github.com/ankidroid/Anki-Android/issues/3283","show")</f>
        <v>show</v>
      </c>
      <c r="E516" t="str">
        <f t="shared" si="4"/>
        <v>show</v>
      </c>
      <c r="F516" t="str">
        <f t="shared" si="5"/>
        <v>show</v>
      </c>
    </row>
    <row r="517" spans="1:6">
      <c r="A517" t="s">
        <v>1556</v>
      </c>
      <c r="B517" t="s">
        <v>1557</v>
      </c>
      <c r="C517" t="s">
        <v>1558</v>
      </c>
      <c r="D517" t="str">
        <f>HYPERLINK("https://github.com/ankidroid/Anki-Android/issues/3282","show")</f>
        <v>show</v>
      </c>
      <c r="E517" t="str">
        <f t="shared" si="4"/>
        <v>show</v>
      </c>
      <c r="F517" t="str">
        <f t="shared" si="5"/>
        <v>show</v>
      </c>
    </row>
    <row r="518" spans="1:6">
      <c r="A518" t="s">
        <v>1559</v>
      </c>
      <c r="B518" t="s">
        <v>1560</v>
      </c>
      <c r="C518" t="s">
        <v>1561</v>
      </c>
      <c r="D518" t="str">
        <f>HYPERLINK("https://github.com/ankidroid/Anki-Android/issues/3281","show")</f>
        <v>show</v>
      </c>
      <c r="E518" t="str">
        <f t="shared" si="4"/>
        <v>show</v>
      </c>
      <c r="F518" t="str">
        <f t="shared" si="5"/>
        <v>show</v>
      </c>
    </row>
    <row r="519" spans="1:6">
      <c r="A519" t="s">
        <v>1562</v>
      </c>
      <c r="B519" t="s">
        <v>1563</v>
      </c>
      <c r="C519" t="s">
        <v>1564</v>
      </c>
      <c r="D519" t="str">
        <f>HYPERLINK("https://github.com/ankidroid/Anki-Android/issues/3280","show")</f>
        <v>show</v>
      </c>
      <c r="E519" t="str">
        <f t="shared" ref="E519:E582" si="6">HYPERLINK("https://github.com/ankidroid/Anki-Android","show")</f>
        <v>show</v>
      </c>
      <c r="F519" t="str">
        <f t="shared" ref="F519:F582" si="7">HYPERLINK("https://github.com/ankidroid/Anki-Android/releases","show")</f>
        <v>show</v>
      </c>
    </row>
    <row r="520" spans="1:6">
      <c r="A520" t="s">
        <v>1565</v>
      </c>
      <c r="B520" t="s">
        <v>1566</v>
      </c>
      <c r="C520" t="s">
        <v>1567</v>
      </c>
      <c r="D520" t="str">
        <f>HYPERLINK("https://github.com/ankidroid/Anki-Android/issues/3279","show")</f>
        <v>show</v>
      </c>
      <c r="E520" t="str">
        <f t="shared" si="6"/>
        <v>show</v>
      </c>
      <c r="F520" t="str">
        <f t="shared" si="7"/>
        <v>show</v>
      </c>
    </row>
    <row r="521" spans="1:6">
      <c r="A521" t="s">
        <v>1568</v>
      </c>
      <c r="B521" t="s">
        <v>1569</v>
      </c>
      <c r="C521" t="s">
        <v>1570</v>
      </c>
      <c r="D521" t="str">
        <f>HYPERLINK("https://github.com/ankidroid/Anki-Android/issues/3278","show")</f>
        <v>show</v>
      </c>
      <c r="E521" t="str">
        <f t="shared" si="6"/>
        <v>show</v>
      </c>
      <c r="F521" t="str">
        <f t="shared" si="7"/>
        <v>show</v>
      </c>
    </row>
    <row r="522" spans="1:6">
      <c r="A522" t="s">
        <v>1571</v>
      </c>
      <c r="B522" t="s">
        <v>1572</v>
      </c>
      <c r="C522" t="s">
        <v>1573</v>
      </c>
      <c r="D522" t="str">
        <f>HYPERLINK("https://github.com/ankidroid/Anki-Android/issues/3277","show")</f>
        <v>show</v>
      </c>
      <c r="E522" t="str">
        <f t="shared" si="6"/>
        <v>show</v>
      </c>
      <c r="F522" t="str">
        <f t="shared" si="7"/>
        <v>show</v>
      </c>
    </row>
    <row r="523" spans="1:6">
      <c r="A523" t="s">
        <v>1574</v>
      </c>
      <c r="B523" t="s">
        <v>1575</v>
      </c>
      <c r="C523" t="s">
        <v>1576</v>
      </c>
      <c r="D523" t="str">
        <f>HYPERLINK("https://github.com/ankidroid/Anki-Android/issues/3276","show")</f>
        <v>show</v>
      </c>
      <c r="E523" t="str">
        <f t="shared" si="6"/>
        <v>show</v>
      </c>
      <c r="F523" t="str">
        <f t="shared" si="7"/>
        <v>show</v>
      </c>
    </row>
    <row r="524" spans="1:6">
      <c r="A524" t="s">
        <v>1577</v>
      </c>
      <c r="B524" t="s">
        <v>1578</v>
      </c>
      <c r="C524" t="s">
        <v>1579</v>
      </c>
      <c r="D524" t="str">
        <f>HYPERLINK("https://github.com/ankidroid/Anki-Android/issues/3272","show")</f>
        <v>show</v>
      </c>
      <c r="E524" t="str">
        <f t="shared" si="6"/>
        <v>show</v>
      </c>
      <c r="F524" t="str">
        <f t="shared" si="7"/>
        <v>show</v>
      </c>
    </row>
    <row r="525" spans="1:6">
      <c r="A525" t="s">
        <v>1580</v>
      </c>
      <c r="B525" t="s">
        <v>1581</v>
      </c>
      <c r="C525" t="s">
        <v>1582</v>
      </c>
      <c r="D525" t="str">
        <f>HYPERLINK("https://github.com/ankidroid/Anki-Android/issues/3271","show")</f>
        <v>show</v>
      </c>
      <c r="E525" t="str">
        <f t="shared" si="6"/>
        <v>show</v>
      </c>
      <c r="F525" t="str">
        <f t="shared" si="7"/>
        <v>show</v>
      </c>
    </row>
    <row r="526" spans="1:6">
      <c r="A526" t="s">
        <v>1583</v>
      </c>
      <c r="B526" t="s">
        <v>1584</v>
      </c>
      <c r="C526" t="s">
        <v>1585</v>
      </c>
      <c r="D526" t="str">
        <f>HYPERLINK("https://github.com/ankidroid/Anki-Android/issues/3270","show")</f>
        <v>show</v>
      </c>
      <c r="E526" t="str">
        <f t="shared" si="6"/>
        <v>show</v>
      </c>
      <c r="F526" t="str">
        <f t="shared" si="7"/>
        <v>show</v>
      </c>
    </row>
    <row r="527" spans="1:6">
      <c r="A527" t="s">
        <v>1586</v>
      </c>
      <c r="B527" t="s">
        <v>1587</v>
      </c>
      <c r="C527" t="s">
        <v>1588</v>
      </c>
      <c r="D527" t="str">
        <f>HYPERLINK("https://github.com/ankidroid/Anki-Android/issues/3265","show")</f>
        <v>show</v>
      </c>
      <c r="E527" t="str">
        <f t="shared" si="6"/>
        <v>show</v>
      </c>
      <c r="F527" t="str">
        <f t="shared" si="7"/>
        <v>show</v>
      </c>
    </row>
    <row r="528" spans="1:6">
      <c r="A528" t="s">
        <v>1589</v>
      </c>
      <c r="B528" t="s">
        <v>1590</v>
      </c>
      <c r="C528" t="s">
        <v>1591</v>
      </c>
      <c r="D528" t="str">
        <f>HYPERLINK("https://github.com/ankidroid/Anki-Android/issues/3264","show")</f>
        <v>show</v>
      </c>
      <c r="E528" t="str">
        <f t="shared" si="6"/>
        <v>show</v>
      </c>
      <c r="F528" t="str">
        <f t="shared" si="7"/>
        <v>show</v>
      </c>
    </row>
    <row r="529" spans="1:6">
      <c r="A529" t="s">
        <v>1592</v>
      </c>
      <c r="B529" t="s">
        <v>1593</v>
      </c>
      <c r="C529" t="s">
        <v>1594</v>
      </c>
      <c r="D529" t="str">
        <f>HYPERLINK("https://github.com/ankidroid/Anki-Android/issues/3258","show")</f>
        <v>show</v>
      </c>
      <c r="E529" t="str">
        <f t="shared" si="6"/>
        <v>show</v>
      </c>
      <c r="F529" t="str">
        <f t="shared" si="7"/>
        <v>show</v>
      </c>
    </row>
    <row r="530" spans="1:6">
      <c r="A530" t="s">
        <v>1595</v>
      </c>
      <c r="B530" t="s">
        <v>1596</v>
      </c>
      <c r="C530" t="s">
        <v>1597</v>
      </c>
      <c r="D530" t="str">
        <f>HYPERLINK("https://github.com/ankidroid/Anki-Android/issues/3254","show")</f>
        <v>show</v>
      </c>
      <c r="E530" t="str">
        <f t="shared" si="6"/>
        <v>show</v>
      </c>
      <c r="F530" t="str">
        <f t="shared" si="7"/>
        <v>show</v>
      </c>
    </row>
    <row r="531" spans="1:6">
      <c r="A531" t="s">
        <v>1598</v>
      </c>
      <c r="B531" t="s">
        <v>1599</v>
      </c>
      <c r="C531" t="s">
        <v>1600</v>
      </c>
      <c r="D531" t="str">
        <f>HYPERLINK("https://github.com/ankidroid/Anki-Android/issues/3253","show")</f>
        <v>show</v>
      </c>
      <c r="E531" t="str">
        <f t="shared" si="6"/>
        <v>show</v>
      </c>
      <c r="F531" t="str">
        <f t="shared" si="7"/>
        <v>show</v>
      </c>
    </row>
    <row r="532" spans="1:6">
      <c r="A532" t="s">
        <v>1601</v>
      </c>
      <c r="B532" t="s">
        <v>1602</v>
      </c>
      <c r="C532" t="s">
        <v>1603</v>
      </c>
      <c r="D532" t="str">
        <f>HYPERLINK("https://github.com/ankidroid/Anki-Android/issues/3251","show")</f>
        <v>show</v>
      </c>
      <c r="E532" t="str">
        <f t="shared" si="6"/>
        <v>show</v>
      </c>
      <c r="F532" t="str">
        <f t="shared" si="7"/>
        <v>show</v>
      </c>
    </row>
    <row r="533" spans="1:6">
      <c r="A533" t="s">
        <v>1604</v>
      </c>
      <c r="B533" t="s">
        <v>1605</v>
      </c>
      <c r="C533" t="s">
        <v>1606</v>
      </c>
      <c r="D533" t="str">
        <f>HYPERLINK("https://github.com/ankidroid/Anki-Android/issues/3250","show")</f>
        <v>show</v>
      </c>
      <c r="E533" t="str">
        <f t="shared" si="6"/>
        <v>show</v>
      </c>
      <c r="F533" t="str">
        <f t="shared" si="7"/>
        <v>show</v>
      </c>
    </row>
    <row r="534" spans="1:6">
      <c r="A534" t="s">
        <v>1607</v>
      </c>
      <c r="B534" t="s">
        <v>1608</v>
      </c>
      <c r="C534" t="s">
        <v>1609</v>
      </c>
      <c r="D534" t="str">
        <f>HYPERLINK("https://github.com/ankidroid/Anki-Android/issues/3247","show")</f>
        <v>show</v>
      </c>
      <c r="E534" t="str">
        <f t="shared" si="6"/>
        <v>show</v>
      </c>
      <c r="F534" t="str">
        <f t="shared" si="7"/>
        <v>show</v>
      </c>
    </row>
    <row r="535" spans="1:6">
      <c r="A535" t="s">
        <v>1610</v>
      </c>
      <c r="B535" t="s">
        <v>1611</v>
      </c>
      <c r="C535" t="s">
        <v>1612</v>
      </c>
      <c r="D535" t="str">
        <f>HYPERLINK("https://github.com/ankidroid/Anki-Android/issues/3246","show")</f>
        <v>show</v>
      </c>
      <c r="E535" t="str">
        <f t="shared" si="6"/>
        <v>show</v>
      </c>
      <c r="F535" t="str">
        <f t="shared" si="7"/>
        <v>show</v>
      </c>
    </row>
    <row r="536" spans="1:6">
      <c r="A536" t="s">
        <v>1613</v>
      </c>
      <c r="B536" t="s">
        <v>1614</v>
      </c>
      <c r="C536" t="s">
        <v>1615</v>
      </c>
      <c r="D536" t="str">
        <f>HYPERLINK("https://github.com/ankidroid/Anki-Android/issues/3245","show")</f>
        <v>show</v>
      </c>
      <c r="E536" t="str">
        <f t="shared" si="6"/>
        <v>show</v>
      </c>
      <c r="F536" t="str">
        <f t="shared" si="7"/>
        <v>show</v>
      </c>
    </row>
    <row r="537" spans="1:6">
      <c r="A537" t="s">
        <v>1616</v>
      </c>
      <c r="B537" t="s">
        <v>1617</v>
      </c>
      <c r="C537" t="s">
        <v>1618</v>
      </c>
      <c r="D537" t="str">
        <f>HYPERLINK("https://github.com/ankidroid/Anki-Android/issues/3244","show")</f>
        <v>show</v>
      </c>
      <c r="E537" t="str">
        <f t="shared" si="6"/>
        <v>show</v>
      </c>
      <c r="F537" t="str">
        <f t="shared" si="7"/>
        <v>show</v>
      </c>
    </row>
    <row r="538" spans="1:6">
      <c r="A538" t="s">
        <v>1619</v>
      </c>
      <c r="B538" t="s">
        <v>1620</v>
      </c>
      <c r="C538" t="s">
        <v>1621</v>
      </c>
      <c r="D538" t="str">
        <f>HYPERLINK("https://github.com/ankidroid/Anki-Android/issues/3239","show")</f>
        <v>show</v>
      </c>
      <c r="E538" t="str">
        <f t="shared" si="6"/>
        <v>show</v>
      </c>
      <c r="F538" t="str">
        <f t="shared" si="7"/>
        <v>show</v>
      </c>
    </row>
    <row r="539" spans="1:6">
      <c r="A539" t="s">
        <v>1622</v>
      </c>
      <c r="B539" t="s">
        <v>1623</v>
      </c>
      <c r="C539" t="s">
        <v>1624</v>
      </c>
      <c r="D539" t="str">
        <f>HYPERLINK("https://github.com/ankidroid/Anki-Android/issues/3235","show")</f>
        <v>show</v>
      </c>
      <c r="E539" t="str">
        <f t="shared" si="6"/>
        <v>show</v>
      </c>
      <c r="F539" t="str">
        <f t="shared" si="7"/>
        <v>show</v>
      </c>
    </row>
    <row r="540" spans="1:6">
      <c r="A540" t="s">
        <v>1625</v>
      </c>
      <c r="B540" t="s">
        <v>1626</v>
      </c>
      <c r="C540" t="s">
        <v>1627</v>
      </c>
      <c r="D540" t="str">
        <f>HYPERLINK("https://github.com/ankidroid/Anki-Android/issues/3234","show")</f>
        <v>show</v>
      </c>
      <c r="E540" t="str">
        <f t="shared" si="6"/>
        <v>show</v>
      </c>
      <c r="F540" t="str">
        <f t="shared" si="7"/>
        <v>show</v>
      </c>
    </row>
    <row r="541" spans="1:6">
      <c r="A541" t="s">
        <v>1628</v>
      </c>
      <c r="B541" t="s">
        <v>1629</v>
      </c>
      <c r="C541" t="s">
        <v>1630</v>
      </c>
      <c r="D541" t="str">
        <f>HYPERLINK("https://github.com/ankidroid/Anki-Android/issues/3232","show")</f>
        <v>show</v>
      </c>
      <c r="E541" t="str">
        <f t="shared" si="6"/>
        <v>show</v>
      </c>
      <c r="F541" t="str">
        <f t="shared" si="7"/>
        <v>show</v>
      </c>
    </row>
    <row r="542" spans="1:6">
      <c r="A542" t="s">
        <v>1631</v>
      </c>
      <c r="B542" t="s">
        <v>1632</v>
      </c>
      <c r="C542" t="s">
        <v>1633</v>
      </c>
      <c r="D542" t="str">
        <f>HYPERLINK("https://github.com/ankidroid/Anki-Android/issues/3226","show")</f>
        <v>show</v>
      </c>
      <c r="E542" t="str">
        <f t="shared" si="6"/>
        <v>show</v>
      </c>
      <c r="F542" t="str">
        <f t="shared" si="7"/>
        <v>show</v>
      </c>
    </row>
    <row r="543" spans="1:6">
      <c r="A543" t="s">
        <v>1634</v>
      </c>
      <c r="B543" t="s">
        <v>1635</v>
      </c>
      <c r="C543" t="s">
        <v>1636</v>
      </c>
      <c r="D543" t="str">
        <f>HYPERLINK("https://github.com/ankidroid/Anki-Android/issues/3224","show")</f>
        <v>show</v>
      </c>
      <c r="E543" t="str">
        <f t="shared" si="6"/>
        <v>show</v>
      </c>
      <c r="F543" t="str">
        <f t="shared" si="7"/>
        <v>show</v>
      </c>
    </row>
    <row r="544" spans="1:6">
      <c r="A544" t="s">
        <v>1637</v>
      </c>
      <c r="B544" t="s">
        <v>1638</v>
      </c>
      <c r="C544" t="s">
        <v>1639</v>
      </c>
      <c r="D544" t="str">
        <f>HYPERLINK("https://github.com/ankidroid/Anki-Android/issues/3221","show")</f>
        <v>show</v>
      </c>
      <c r="E544" t="str">
        <f t="shared" si="6"/>
        <v>show</v>
      </c>
      <c r="F544" t="str">
        <f t="shared" si="7"/>
        <v>show</v>
      </c>
    </row>
    <row r="545" spans="1:6">
      <c r="A545" t="s">
        <v>1640</v>
      </c>
      <c r="B545" t="s">
        <v>1641</v>
      </c>
      <c r="C545" t="s">
        <v>1642</v>
      </c>
      <c r="D545" t="str">
        <f>HYPERLINK("https://github.com/ankidroid/Anki-Android/issues/3220","show")</f>
        <v>show</v>
      </c>
      <c r="E545" t="str">
        <f t="shared" si="6"/>
        <v>show</v>
      </c>
      <c r="F545" t="str">
        <f t="shared" si="7"/>
        <v>show</v>
      </c>
    </row>
    <row r="546" spans="1:6">
      <c r="A546" t="s">
        <v>1643</v>
      </c>
      <c r="B546" t="s">
        <v>1644</v>
      </c>
      <c r="C546" t="s">
        <v>1645</v>
      </c>
      <c r="D546" t="str">
        <f>HYPERLINK("https://github.com/ankidroid/Anki-Android/issues/3219","show")</f>
        <v>show</v>
      </c>
      <c r="E546" t="str">
        <f t="shared" si="6"/>
        <v>show</v>
      </c>
      <c r="F546" t="str">
        <f t="shared" si="7"/>
        <v>show</v>
      </c>
    </row>
    <row r="547" spans="1:6">
      <c r="A547" t="s">
        <v>1646</v>
      </c>
      <c r="B547" t="s">
        <v>1647</v>
      </c>
      <c r="C547" t="s">
        <v>1648</v>
      </c>
      <c r="D547" t="str">
        <f>HYPERLINK("https://github.com/ankidroid/Anki-Android/issues/3218","show")</f>
        <v>show</v>
      </c>
      <c r="E547" t="str">
        <f t="shared" si="6"/>
        <v>show</v>
      </c>
      <c r="F547" t="str">
        <f t="shared" si="7"/>
        <v>show</v>
      </c>
    </row>
    <row r="548" spans="1:6">
      <c r="A548" t="s">
        <v>1649</v>
      </c>
      <c r="B548" t="s">
        <v>1650</v>
      </c>
      <c r="C548" t="s">
        <v>1651</v>
      </c>
      <c r="D548" t="str">
        <f>HYPERLINK("https://github.com/ankidroid/Anki-Android/issues/3211","show")</f>
        <v>show</v>
      </c>
      <c r="E548" t="str">
        <f t="shared" si="6"/>
        <v>show</v>
      </c>
      <c r="F548" t="str">
        <f t="shared" si="7"/>
        <v>show</v>
      </c>
    </row>
    <row r="549" spans="1:6">
      <c r="A549" t="s">
        <v>1652</v>
      </c>
      <c r="B549" t="s">
        <v>1653</v>
      </c>
      <c r="C549" t="s">
        <v>1654</v>
      </c>
      <c r="D549" t="str">
        <f>HYPERLINK("https://github.com/ankidroid/Anki-Android/issues/3209","show")</f>
        <v>show</v>
      </c>
      <c r="E549" t="str">
        <f t="shared" si="6"/>
        <v>show</v>
      </c>
      <c r="F549" t="str">
        <f t="shared" si="7"/>
        <v>show</v>
      </c>
    </row>
    <row r="550" spans="1:6">
      <c r="A550" t="s">
        <v>1655</v>
      </c>
      <c r="B550" t="s">
        <v>1656</v>
      </c>
      <c r="C550" t="s">
        <v>1657</v>
      </c>
      <c r="D550" t="str">
        <f>HYPERLINK("https://github.com/ankidroid/Anki-Android/issues/3207","show")</f>
        <v>show</v>
      </c>
      <c r="E550" t="str">
        <f t="shared" si="6"/>
        <v>show</v>
      </c>
      <c r="F550" t="str">
        <f t="shared" si="7"/>
        <v>show</v>
      </c>
    </row>
    <row r="551" spans="1:6">
      <c r="A551" t="s">
        <v>1658</v>
      </c>
      <c r="B551" t="s">
        <v>1659</v>
      </c>
      <c r="C551" t="s">
        <v>1660</v>
      </c>
      <c r="D551" t="str">
        <f>HYPERLINK("https://github.com/ankidroid/Anki-Android/issues/3204","show")</f>
        <v>show</v>
      </c>
      <c r="E551" t="str">
        <f t="shared" si="6"/>
        <v>show</v>
      </c>
      <c r="F551" t="str">
        <f t="shared" si="7"/>
        <v>show</v>
      </c>
    </row>
    <row r="552" spans="1:6">
      <c r="A552" t="s">
        <v>1661</v>
      </c>
      <c r="B552" t="s">
        <v>1662</v>
      </c>
      <c r="C552" t="s">
        <v>1663</v>
      </c>
      <c r="D552" t="str">
        <f>HYPERLINK("https://github.com/ankidroid/Anki-Android/issues/3203","show")</f>
        <v>show</v>
      </c>
      <c r="E552" t="str">
        <f t="shared" si="6"/>
        <v>show</v>
      </c>
      <c r="F552" t="str">
        <f t="shared" si="7"/>
        <v>show</v>
      </c>
    </row>
    <row r="553" spans="1:6">
      <c r="A553" t="s">
        <v>1664</v>
      </c>
      <c r="B553" t="s">
        <v>1665</v>
      </c>
      <c r="C553" t="s">
        <v>1666</v>
      </c>
      <c r="D553" t="str">
        <f>HYPERLINK("https://github.com/ankidroid/Anki-Android/issues/3198","show")</f>
        <v>show</v>
      </c>
      <c r="E553" t="str">
        <f t="shared" si="6"/>
        <v>show</v>
      </c>
      <c r="F553" t="str">
        <f t="shared" si="7"/>
        <v>show</v>
      </c>
    </row>
    <row r="554" spans="1:6">
      <c r="A554" t="s">
        <v>1667</v>
      </c>
      <c r="B554" t="s">
        <v>1668</v>
      </c>
      <c r="C554" t="s">
        <v>1669</v>
      </c>
      <c r="D554" t="str">
        <f>HYPERLINK("https://github.com/ankidroid/Anki-Android/issues/3196","show")</f>
        <v>show</v>
      </c>
      <c r="E554" t="str">
        <f t="shared" si="6"/>
        <v>show</v>
      </c>
      <c r="F554" t="str">
        <f t="shared" si="7"/>
        <v>show</v>
      </c>
    </row>
    <row r="555" spans="1:6">
      <c r="A555" t="s">
        <v>1670</v>
      </c>
      <c r="B555" t="s">
        <v>1671</v>
      </c>
      <c r="C555" t="s">
        <v>1672</v>
      </c>
      <c r="D555" t="str">
        <f>HYPERLINK("https://github.com/ankidroid/Anki-Android/issues/3194","show")</f>
        <v>show</v>
      </c>
      <c r="E555" t="str">
        <f t="shared" si="6"/>
        <v>show</v>
      </c>
      <c r="F555" t="str">
        <f t="shared" si="7"/>
        <v>show</v>
      </c>
    </row>
    <row r="556" spans="1:6">
      <c r="A556" t="s">
        <v>1673</v>
      </c>
      <c r="B556" t="s">
        <v>1674</v>
      </c>
      <c r="C556" t="s">
        <v>1675</v>
      </c>
      <c r="D556" t="str">
        <f>HYPERLINK("https://github.com/ankidroid/Anki-Android/issues/3190","show")</f>
        <v>show</v>
      </c>
      <c r="E556" t="str">
        <f t="shared" si="6"/>
        <v>show</v>
      </c>
      <c r="F556" t="str">
        <f t="shared" si="7"/>
        <v>show</v>
      </c>
    </row>
    <row r="557" spans="1:6">
      <c r="A557" t="s">
        <v>1676</v>
      </c>
      <c r="B557" t="s">
        <v>1677</v>
      </c>
      <c r="C557" t="s">
        <v>1678</v>
      </c>
      <c r="D557" t="str">
        <f>HYPERLINK("https://github.com/ankidroid/Anki-Android/issues/3186","show")</f>
        <v>show</v>
      </c>
      <c r="E557" t="str">
        <f t="shared" si="6"/>
        <v>show</v>
      </c>
      <c r="F557" t="str">
        <f t="shared" si="7"/>
        <v>show</v>
      </c>
    </row>
    <row r="558" spans="1:6">
      <c r="A558" t="s">
        <v>1679</v>
      </c>
      <c r="B558" t="s">
        <v>1680</v>
      </c>
      <c r="C558" t="s">
        <v>1681</v>
      </c>
      <c r="D558" t="str">
        <f>HYPERLINK("https://github.com/ankidroid/Anki-Android/issues/3185","show")</f>
        <v>show</v>
      </c>
      <c r="E558" t="str">
        <f t="shared" si="6"/>
        <v>show</v>
      </c>
      <c r="F558" t="str">
        <f t="shared" si="7"/>
        <v>show</v>
      </c>
    </row>
    <row r="559" spans="1:6">
      <c r="A559" t="s">
        <v>1682</v>
      </c>
      <c r="B559" t="s">
        <v>1683</v>
      </c>
      <c r="C559" t="s">
        <v>1684</v>
      </c>
      <c r="D559" t="str">
        <f>HYPERLINK("https://github.com/ankidroid/Anki-Android/issues/3183","show")</f>
        <v>show</v>
      </c>
      <c r="E559" t="str">
        <f t="shared" si="6"/>
        <v>show</v>
      </c>
      <c r="F559" t="str">
        <f t="shared" si="7"/>
        <v>show</v>
      </c>
    </row>
    <row r="560" spans="1:6">
      <c r="A560" t="s">
        <v>1685</v>
      </c>
      <c r="B560" t="s">
        <v>1686</v>
      </c>
      <c r="C560" t="s">
        <v>1687</v>
      </c>
      <c r="D560" t="str">
        <f>HYPERLINK("https://github.com/ankidroid/Anki-Android/issues/3181","show")</f>
        <v>show</v>
      </c>
      <c r="E560" t="str">
        <f t="shared" si="6"/>
        <v>show</v>
      </c>
      <c r="F560" t="str">
        <f t="shared" si="7"/>
        <v>show</v>
      </c>
    </row>
    <row r="561" spans="1:6">
      <c r="A561" t="s">
        <v>1688</v>
      </c>
      <c r="B561" t="s">
        <v>1668</v>
      </c>
      <c r="C561" t="s">
        <v>1689</v>
      </c>
      <c r="D561" t="str">
        <f>HYPERLINK("https://github.com/ankidroid/Anki-Android/issues/3178","show")</f>
        <v>show</v>
      </c>
      <c r="E561" t="str">
        <f t="shared" si="6"/>
        <v>show</v>
      </c>
      <c r="F561" t="str">
        <f t="shared" si="7"/>
        <v>show</v>
      </c>
    </row>
    <row r="562" spans="1:6">
      <c r="A562" t="s">
        <v>1690</v>
      </c>
      <c r="B562" t="s">
        <v>1691</v>
      </c>
      <c r="C562" t="s">
        <v>1692</v>
      </c>
      <c r="D562" t="str">
        <f>HYPERLINK("https://github.com/ankidroid/Anki-Android/issues/3174","show")</f>
        <v>show</v>
      </c>
      <c r="E562" t="str">
        <f t="shared" si="6"/>
        <v>show</v>
      </c>
      <c r="F562" t="str">
        <f t="shared" si="7"/>
        <v>show</v>
      </c>
    </row>
    <row r="563" spans="1:6">
      <c r="A563" t="s">
        <v>1693</v>
      </c>
      <c r="B563" t="s">
        <v>1694</v>
      </c>
      <c r="C563" t="s">
        <v>1695</v>
      </c>
      <c r="D563" t="str">
        <f>HYPERLINK("https://github.com/ankidroid/Anki-Android/issues/3173","show")</f>
        <v>show</v>
      </c>
      <c r="E563" t="str">
        <f t="shared" si="6"/>
        <v>show</v>
      </c>
      <c r="F563" t="str">
        <f t="shared" si="7"/>
        <v>show</v>
      </c>
    </row>
    <row r="564" spans="1:6">
      <c r="A564" t="s">
        <v>1696</v>
      </c>
      <c r="B564" t="s">
        <v>1697</v>
      </c>
      <c r="C564" t="s">
        <v>1698</v>
      </c>
      <c r="D564" t="str">
        <f>HYPERLINK("https://github.com/ankidroid/Anki-Android/issues/3170","show")</f>
        <v>show</v>
      </c>
      <c r="E564" t="str">
        <f t="shared" si="6"/>
        <v>show</v>
      </c>
      <c r="F564" t="str">
        <f t="shared" si="7"/>
        <v>show</v>
      </c>
    </row>
    <row r="565" spans="1:6">
      <c r="A565" t="s">
        <v>1699</v>
      </c>
      <c r="B565" t="s">
        <v>1700</v>
      </c>
      <c r="C565" t="s">
        <v>1701</v>
      </c>
      <c r="D565" t="str">
        <f>HYPERLINK("https://github.com/ankidroid/Anki-Android/issues/3167","show")</f>
        <v>show</v>
      </c>
      <c r="E565" t="str">
        <f t="shared" si="6"/>
        <v>show</v>
      </c>
      <c r="F565" t="str">
        <f t="shared" si="7"/>
        <v>show</v>
      </c>
    </row>
    <row r="566" spans="1:6">
      <c r="A566" t="s">
        <v>1702</v>
      </c>
      <c r="B566" t="s">
        <v>1703</v>
      </c>
      <c r="C566" t="s">
        <v>1704</v>
      </c>
      <c r="D566" t="str">
        <f>HYPERLINK("https://github.com/ankidroid/Anki-Android/issues/3164","show")</f>
        <v>show</v>
      </c>
      <c r="E566" t="str">
        <f t="shared" si="6"/>
        <v>show</v>
      </c>
      <c r="F566" t="str">
        <f t="shared" si="7"/>
        <v>show</v>
      </c>
    </row>
    <row r="567" spans="1:6">
      <c r="A567" t="s">
        <v>1705</v>
      </c>
      <c r="B567" t="s">
        <v>1706</v>
      </c>
      <c r="C567" t="s">
        <v>1707</v>
      </c>
      <c r="D567" t="str">
        <f>HYPERLINK("https://github.com/ankidroid/Anki-Android/issues/3163","show")</f>
        <v>show</v>
      </c>
      <c r="E567" t="str">
        <f t="shared" si="6"/>
        <v>show</v>
      </c>
      <c r="F567" t="str">
        <f t="shared" si="7"/>
        <v>show</v>
      </c>
    </row>
    <row r="568" spans="1:6">
      <c r="A568" t="s">
        <v>1708</v>
      </c>
      <c r="B568" t="s">
        <v>1709</v>
      </c>
      <c r="C568" t="s">
        <v>1710</v>
      </c>
      <c r="D568" t="str">
        <f>HYPERLINK("https://github.com/ankidroid/Anki-Android/issues/3159","show")</f>
        <v>show</v>
      </c>
      <c r="E568" t="str">
        <f t="shared" si="6"/>
        <v>show</v>
      </c>
      <c r="F568" t="str">
        <f t="shared" si="7"/>
        <v>show</v>
      </c>
    </row>
    <row r="569" spans="1:6">
      <c r="A569" t="s">
        <v>1711</v>
      </c>
      <c r="B569" t="s">
        <v>1712</v>
      </c>
      <c r="C569" t="s">
        <v>1713</v>
      </c>
      <c r="D569" t="str">
        <f>HYPERLINK("https://github.com/ankidroid/Anki-Android/issues/3157","show")</f>
        <v>show</v>
      </c>
      <c r="E569" t="str">
        <f t="shared" si="6"/>
        <v>show</v>
      </c>
      <c r="F569" t="str">
        <f t="shared" si="7"/>
        <v>show</v>
      </c>
    </row>
    <row r="570" spans="1:6">
      <c r="A570" t="s">
        <v>1714</v>
      </c>
      <c r="B570" t="s">
        <v>1715</v>
      </c>
      <c r="C570" t="s">
        <v>1716</v>
      </c>
      <c r="D570" t="str">
        <f>HYPERLINK("https://github.com/ankidroid/Anki-Android/issues/3156","show")</f>
        <v>show</v>
      </c>
      <c r="E570" t="str">
        <f t="shared" si="6"/>
        <v>show</v>
      </c>
      <c r="F570" t="str">
        <f t="shared" si="7"/>
        <v>show</v>
      </c>
    </row>
    <row r="571" spans="1:6">
      <c r="A571" t="s">
        <v>1717</v>
      </c>
      <c r="B571" t="s">
        <v>1718</v>
      </c>
      <c r="C571" t="s">
        <v>1719</v>
      </c>
      <c r="D571" t="str">
        <f>HYPERLINK("https://github.com/ankidroid/Anki-Android/issues/3153","show")</f>
        <v>show</v>
      </c>
      <c r="E571" t="str">
        <f t="shared" si="6"/>
        <v>show</v>
      </c>
      <c r="F571" t="str">
        <f t="shared" si="7"/>
        <v>show</v>
      </c>
    </row>
    <row r="572" spans="1:6">
      <c r="A572" t="s">
        <v>1720</v>
      </c>
      <c r="B572" t="s">
        <v>1721</v>
      </c>
      <c r="C572" t="s">
        <v>1722</v>
      </c>
      <c r="D572" t="str">
        <f>HYPERLINK("https://github.com/ankidroid/Anki-Android/issues/3152","show")</f>
        <v>show</v>
      </c>
      <c r="E572" t="str">
        <f t="shared" si="6"/>
        <v>show</v>
      </c>
      <c r="F572" t="str">
        <f t="shared" si="7"/>
        <v>show</v>
      </c>
    </row>
    <row r="573" spans="1:6">
      <c r="A573" t="s">
        <v>1723</v>
      </c>
      <c r="B573" t="s">
        <v>1724</v>
      </c>
      <c r="C573" t="s">
        <v>1725</v>
      </c>
      <c r="D573" t="str">
        <f>HYPERLINK("https://github.com/ankidroid/Anki-Android/issues/3149","show")</f>
        <v>show</v>
      </c>
      <c r="E573" t="str">
        <f t="shared" si="6"/>
        <v>show</v>
      </c>
      <c r="F573" t="str">
        <f t="shared" si="7"/>
        <v>show</v>
      </c>
    </row>
    <row r="574" spans="1:6">
      <c r="A574" t="s">
        <v>1726</v>
      </c>
      <c r="B574" t="s">
        <v>1727</v>
      </c>
      <c r="C574" t="s">
        <v>1728</v>
      </c>
      <c r="D574" t="str">
        <f>HYPERLINK("https://github.com/ankidroid/Anki-Android/issues/3148","show")</f>
        <v>show</v>
      </c>
      <c r="E574" t="str">
        <f t="shared" si="6"/>
        <v>show</v>
      </c>
      <c r="F574" t="str">
        <f t="shared" si="7"/>
        <v>show</v>
      </c>
    </row>
    <row r="575" spans="1:6">
      <c r="A575" t="s">
        <v>1729</v>
      </c>
      <c r="B575" t="s">
        <v>1730</v>
      </c>
      <c r="C575" t="s">
        <v>1731</v>
      </c>
      <c r="D575" t="str">
        <f>HYPERLINK("https://github.com/ankidroid/Anki-Android/issues/3146","show")</f>
        <v>show</v>
      </c>
      <c r="E575" t="str">
        <f t="shared" si="6"/>
        <v>show</v>
      </c>
      <c r="F575" t="str">
        <f t="shared" si="7"/>
        <v>show</v>
      </c>
    </row>
    <row r="576" spans="1:6">
      <c r="A576" t="s">
        <v>1732</v>
      </c>
      <c r="B576" t="s">
        <v>1733</v>
      </c>
      <c r="C576" t="s">
        <v>1734</v>
      </c>
      <c r="D576" t="str">
        <f>HYPERLINK("https://github.com/ankidroid/Anki-Android/issues/3144","show")</f>
        <v>show</v>
      </c>
      <c r="E576" t="str">
        <f t="shared" si="6"/>
        <v>show</v>
      </c>
      <c r="F576" t="str">
        <f t="shared" si="7"/>
        <v>show</v>
      </c>
    </row>
    <row r="577" spans="1:6">
      <c r="A577" t="s">
        <v>1735</v>
      </c>
      <c r="B577" t="s">
        <v>1736</v>
      </c>
      <c r="C577" t="s">
        <v>1737</v>
      </c>
      <c r="D577" t="str">
        <f>HYPERLINK("https://github.com/ankidroid/Anki-Android/issues/3142","show")</f>
        <v>show</v>
      </c>
      <c r="E577" t="str">
        <f t="shared" si="6"/>
        <v>show</v>
      </c>
      <c r="F577" t="str">
        <f t="shared" si="7"/>
        <v>show</v>
      </c>
    </row>
    <row r="578" spans="1:6">
      <c r="A578" t="s">
        <v>1738</v>
      </c>
      <c r="B578" t="s">
        <v>1739</v>
      </c>
      <c r="C578" t="s">
        <v>1740</v>
      </c>
      <c r="D578" t="str">
        <f>HYPERLINK("https://github.com/ankidroid/Anki-Android/issues/3138","show")</f>
        <v>show</v>
      </c>
      <c r="E578" t="str">
        <f t="shared" si="6"/>
        <v>show</v>
      </c>
      <c r="F578" t="str">
        <f t="shared" si="7"/>
        <v>show</v>
      </c>
    </row>
    <row r="579" spans="1:6">
      <c r="A579" t="s">
        <v>1741</v>
      </c>
      <c r="B579" t="s">
        <v>1742</v>
      </c>
      <c r="C579" t="s">
        <v>1743</v>
      </c>
      <c r="D579" t="str">
        <f>HYPERLINK("https://github.com/ankidroid/Anki-Android/issues/3127","show")</f>
        <v>show</v>
      </c>
      <c r="E579" t="str">
        <f t="shared" si="6"/>
        <v>show</v>
      </c>
      <c r="F579" t="str">
        <f t="shared" si="7"/>
        <v>show</v>
      </c>
    </row>
    <row r="580" spans="1:6">
      <c r="A580" t="s">
        <v>1744</v>
      </c>
      <c r="B580" t="s">
        <v>1745</v>
      </c>
      <c r="C580" t="s">
        <v>1746</v>
      </c>
      <c r="D580" t="str">
        <f>HYPERLINK("https://github.com/ankidroid/Anki-Android/issues/3126","show")</f>
        <v>show</v>
      </c>
      <c r="E580" t="str">
        <f t="shared" si="6"/>
        <v>show</v>
      </c>
      <c r="F580" t="str">
        <f t="shared" si="7"/>
        <v>show</v>
      </c>
    </row>
    <row r="581" spans="1:6">
      <c r="A581" t="s">
        <v>1747</v>
      </c>
      <c r="B581" t="s">
        <v>1748</v>
      </c>
      <c r="C581" t="s">
        <v>1749</v>
      </c>
      <c r="D581" t="str">
        <f>HYPERLINK("https://github.com/ankidroid/Anki-Android/issues/3125","show")</f>
        <v>show</v>
      </c>
      <c r="E581" t="str">
        <f t="shared" si="6"/>
        <v>show</v>
      </c>
      <c r="F581" t="str">
        <f t="shared" si="7"/>
        <v>show</v>
      </c>
    </row>
    <row r="582" spans="1:6">
      <c r="A582" t="s">
        <v>1750</v>
      </c>
      <c r="B582" t="s">
        <v>1751</v>
      </c>
      <c r="C582" t="s">
        <v>1752</v>
      </c>
      <c r="D582" t="str">
        <f>HYPERLINK("https://github.com/ankidroid/Anki-Android/issues/3121","show")</f>
        <v>show</v>
      </c>
      <c r="E582" t="str">
        <f t="shared" si="6"/>
        <v>show</v>
      </c>
      <c r="F582" t="str">
        <f t="shared" si="7"/>
        <v>show</v>
      </c>
    </row>
    <row r="583" spans="1:6">
      <c r="A583" t="s">
        <v>1753</v>
      </c>
      <c r="B583" t="s">
        <v>1754</v>
      </c>
      <c r="C583" t="s">
        <v>1755</v>
      </c>
      <c r="D583" t="str">
        <f>HYPERLINK("https://github.com/ankidroid/Anki-Android/issues/3119","show")</f>
        <v>show</v>
      </c>
      <c r="E583" t="str">
        <f t="shared" ref="E583:E646" si="8">HYPERLINK("https://github.com/ankidroid/Anki-Android","show")</f>
        <v>show</v>
      </c>
      <c r="F583" t="str">
        <f t="shared" ref="F583:F646" si="9">HYPERLINK("https://github.com/ankidroid/Anki-Android/releases","show")</f>
        <v>show</v>
      </c>
    </row>
    <row r="584" spans="1:6">
      <c r="A584" t="s">
        <v>1756</v>
      </c>
      <c r="B584" t="s">
        <v>1757</v>
      </c>
      <c r="C584" t="s">
        <v>1758</v>
      </c>
      <c r="D584" t="str">
        <f>HYPERLINK("https://github.com/ankidroid/Anki-Android/issues/3117","show")</f>
        <v>show</v>
      </c>
      <c r="E584" t="str">
        <f t="shared" si="8"/>
        <v>show</v>
      </c>
      <c r="F584" t="str">
        <f t="shared" si="9"/>
        <v>show</v>
      </c>
    </row>
    <row r="585" spans="1:6">
      <c r="A585" t="s">
        <v>1759</v>
      </c>
      <c r="B585" t="s">
        <v>1760</v>
      </c>
      <c r="C585" t="s">
        <v>1761</v>
      </c>
      <c r="D585" t="str">
        <f>HYPERLINK("https://github.com/ankidroid/Anki-Android/issues/3116","show")</f>
        <v>show</v>
      </c>
      <c r="E585" t="str">
        <f t="shared" si="8"/>
        <v>show</v>
      </c>
      <c r="F585" t="str">
        <f t="shared" si="9"/>
        <v>show</v>
      </c>
    </row>
    <row r="586" spans="1:6">
      <c r="A586" t="s">
        <v>1762</v>
      </c>
      <c r="B586" t="s">
        <v>1763</v>
      </c>
      <c r="C586" t="s">
        <v>1764</v>
      </c>
      <c r="D586" t="str">
        <f>HYPERLINK("https://github.com/ankidroid/Anki-Android/issues/3113","show")</f>
        <v>show</v>
      </c>
      <c r="E586" t="str">
        <f t="shared" si="8"/>
        <v>show</v>
      </c>
      <c r="F586" t="str">
        <f t="shared" si="9"/>
        <v>show</v>
      </c>
    </row>
    <row r="587" spans="1:6">
      <c r="A587" t="s">
        <v>1765</v>
      </c>
      <c r="B587" t="s">
        <v>1766</v>
      </c>
      <c r="C587" t="s">
        <v>1767</v>
      </c>
      <c r="D587" t="str">
        <f>HYPERLINK("https://github.com/ankidroid/Anki-Android/issues/3105","show")</f>
        <v>show</v>
      </c>
      <c r="E587" t="str">
        <f t="shared" si="8"/>
        <v>show</v>
      </c>
      <c r="F587" t="str">
        <f t="shared" si="9"/>
        <v>show</v>
      </c>
    </row>
    <row r="588" spans="1:6">
      <c r="A588" t="s">
        <v>1768</v>
      </c>
      <c r="B588" t="s">
        <v>1769</v>
      </c>
      <c r="C588" t="s">
        <v>1770</v>
      </c>
      <c r="D588" t="str">
        <f>HYPERLINK("https://github.com/ankidroid/Anki-Android/issues/3104","show")</f>
        <v>show</v>
      </c>
      <c r="E588" t="str">
        <f t="shared" si="8"/>
        <v>show</v>
      </c>
      <c r="F588" t="str">
        <f t="shared" si="9"/>
        <v>show</v>
      </c>
    </row>
    <row r="589" spans="1:6">
      <c r="A589" t="s">
        <v>1771</v>
      </c>
      <c r="B589" t="s">
        <v>1772</v>
      </c>
      <c r="C589" t="s">
        <v>1773</v>
      </c>
      <c r="D589" t="str">
        <f>HYPERLINK("https://github.com/ankidroid/Anki-Android/issues/3102","show")</f>
        <v>show</v>
      </c>
      <c r="E589" t="str">
        <f t="shared" si="8"/>
        <v>show</v>
      </c>
      <c r="F589" t="str">
        <f t="shared" si="9"/>
        <v>show</v>
      </c>
    </row>
    <row r="590" spans="1:6">
      <c r="A590" t="s">
        <v>1774</v>
      </c>
      <c r="B590" t="s">
        <v>1775</v>
      </c>
      <c r="C590" t="s">
        <v>1776</v>
      </c>
      <c r="D590" t="str">
        <f>HYPERLINK("https://github.com/ankidroid/Anki-Android/issues/3100","show")</f>
        <v>show</v>
      </c>
      <c r="E590" t="str">
        <f t="shared" si="8"/>
        <v>show</v>
      </c>
      <c r="F590" t="str">
        <f t="shared" si="9"/>
        <v>show</v>
      </c>
    </row>
    <row r="591" spans="1:6">
      <c r="A591" t="s">
        <v>1777</v>
      </c>
      <c r="B591" t="s">
        <v>1778</v>
      </c>
      <c r="C591" t="s">
        <v>1779</v>
      </c>
      <c r="D591" t="str">
        <f>HYPERLINK("https://github.com/ankidroid/Anki-Android/issues/3098","show")</f>
        <v>show</v>
      </c>
      <c r="E591" t="str">
        <f t="shared" si="8"/>
        <v>show</v>
      </c>
      <c r="F591" t="str">
        <f t="shared" si="9"/>
        <v>show</v>
      </c>
    </row>
    <row r="592" spans="1:6">
      <c r="A592" t="s">
        <v>1780</v>
      </c>
      <c r="B592" t="s">
        <v>1781</v>
      </c>
      <c r="C592" t="s">
        <v>1782</v>
      </c>
      <c r="D592" t="str">
        <f>HYPERLINK("https://github.com/ankidroid/Anki-Android/issues/3088","show")</f>
        <v>show</v>
      </c>
      <c r="E592" t="str">
        <f t="shared" si="8"/>
        <v>show</v>
      </c>
      <c r="F592" t="str">
        <f t="shared" si="9"/>
        <v>show</v>
      </c>
    </row>
    <row r="593" spans="1:6">
      <c r="A593" t="s">
        <v>1783</v>
      </c>
      <c r="B593" t="s">
        <v>1784</v>
      </c>
      <c r="C593" t="s">
        <v>1785</v>
      </c>
      <c r="D593" t="str">
        <f>HYPERLINK("https://github.com/ankidroid/Anki-Android/issues/3084","show")</f>
        <v>show</v>
      </c>
      <c r="E593" t="str">
        <f t="shared" si="8"/>
        <v>show</v>
      </c>
      <c r="F593" t="str">
        <f t="shared" si="9"/>
        <v>show</v>
      </c>
    </row>
    <row r="594" spans="1:6">
      <c r="A594" t="s">
        <v>1786</v>
      </c>
      <c r="B594" t="s">
        <v>1787</v>
      </c>
      <c r="C594" t="s">
        <v>1788</v>
      </c>
      <c r="D594" t="str">
        <f>HYPERLINK("https://github.com/ankidroid/Anki-Android/issues/3081","show")</f>
        <v>show</v>
      </c>
      <c r="E594" t="str">
        <f t="shared" si="8"/>
        <v>show</v>
      </c>
      <c r="F594" t="str">
        <f t="shared" si="9"/>
        <v>show</v>
      </c>
    </row>
    <row r="595" spans="1:6">
      <c r="A595" t="s">
        <v>1789</v>
      </c>
      <c r="B595" t="s">
        <v>1790</v>
      </c>
      <c r="C595" t="s">
        <v>1791</v>
      </c>
      <c r="D595" t="str">
        <f>HYPERLINK("https://github.com/ankidroid/Anki-Android/issues/3079","show")</f>
        <v>show</v>
      </c>
      <c r="E595" t="str">
        <f t="shared" si="8"/>
        <v>show</v>
      </c>
      <c r="F595" t="str">
        <f t="shared" si="9"/>
        <v>show</v>
      </c>
    </row>
    <row r="596" spans="1:6">
      <c r="A596" t="s">
        <v>1792</v>
      </c>
      <c r="B596" t="s">
        <v>1793</v>
      </c>
      <c r="C596" t="s">
        <v>1794</v>
      </c>
      <c r="D596" t="str">
        <f>HYPERLINK("https://github.com/ankidroid/Anki-Android/issues/3078","show")</f>
        <v>show</v>
      </c>
      <c r="E596" t="str">
        <f t="shared" si="8"/>
        <v>show</v>
      </c>
      <c r="F596" t="str">
        <f t="shared" si="9"/>
        <v>show</v>
      </c>
    </row>
    <row r="597" spans="1:6">
      <c r="A597" t="s">
        <v>1795</v>
      </c>
      <c r="B597" t="s">
        <v>1796</v>
      </c>
      <c r="C597" t="s">
        <v>1797</v>
      </c>
      <c r="D597" t="str">
        <f>HYPERLINK("https://github.com/ankidroid/Anki-Android/issues/3076","show")</f>
        <v>show</v>
      </c>
      <c r="E597" t="str">
        <f t="shared" si="8"/>
        <v>show</v>
      </c>
      <c r="F597" t="str">
        <f t="shared" si="9"/>
        <v>show</v>
      </c>
    </row>
    <row r="598" spans="1:6">
      <c r="A598" t="s">
        <v>1798</v>
      </c>
      <c r="B598" t="s">
        <v>1799</v>
      </c>
      <c r="C598" t="s">
        <v>1800</v>
      </c>
      <c r="D598" t="str">
        <f>HYPERLINK("https://github.com/ankidroid/Anki-Android/issues/3075","show")</f>
        <v>show</v>
      </c>
      <c r="E598" t="str">
        <f t="shared" si="8"/>
        <v>show</v>
      </c>
      <c r="F598" t="str">
        <f t="shared" si="9"/>
        <v>show</v>
      </c>
    </row>
    <row r="599" spans="1:6">
      <c r="A599" t="s">
        <v>1801</v>
      </c>
      <c r="B599" t="s">
        <v>1802</v>
      </c>
      <c r="C599" t="s">
        <v>1803</v>
      </c>
      <c r="D599" t="str">
        <f>HYPERLINK("https://github.com/ankidroid/Anki-Android/issues/3074","show")</f>
        <v>show</v>
      </c>
      <c r="E599" t="str">
        <f t="shared" si="8"/>
        <v>show</v>
      </c>
      <c r="F599" t="str">
        <f t="shared" si="9"/>
        <v>show</v>
      </c>
    </row>
    <row r="600" spans="1:6">
      <c r="A600" t="s">
        <v>1804</v>
      </c>
      <c r="B600" t="s">
        <v>1805</v>
      </c>
      <c r="C600" t="s">
        <v>1806</v>
      </c>
      <c r="D600" t="str">
        <f>HYPERLINK("https://github.com/ankidroid/Anki-Android/issues/3072","show")</f>
        <v>show</v>
      </c>
      <c r="E600" t="str">
        <f t="shared" si="8"/>
        <v>show</v>
      </c>
      <c r="F600" t="str">
        <f t="shared" si="9"/>
        <v>show</v>
      </c>
    </row>
    <row r="601" spans="1:6">
      <c r="A601" t="s">
        <v>1807</v>
      </c>
      <c r="B601" t="s">
        <v>1808</v>
      </c>
      <c r="C601" t="s">
        <v>1809</v>
      </c>
      <c r="D601" t="str">
        <f>HYPERLINK("https://github.com/ankidroid/Anki-Android/issues/3070","show")</f>
        <v>show</v>
      </c>
      <c r="E601" t="str">
        <f t="shared" si="8"/>
        <v>show</v>
      </c>
      <c r="F601" t="str">
        <f t="shared" si="9"/>
        <v>show</v>
      </c>
    </row>
    <row r="602" spans="1:6">
      <c r="A602" t="s">
        <v>1810</v>
      </c>
      <c r="B602" t="s">
        <v>1811</v>
      </c>
      <c r="C602" t="s">
        <v>1812</v>
      </c>
      <c r="D602" t="str">
        <f>HYPERLINK("https://github.com/ankidroid/Anki-Android/issues/3069","show")</f>
        <v>show</v>
      </c>
      <c r="E602" t="str">
        <f t="shared" si="8"/>
        <v>show</v>
      </c>
      <c r="F602" t="str">
        <f t="shared" si="9"/>
        <v>show</v>
      </c>
    </row>
    <row r="603" spans="1:6">
      <c r="A603" t="s">
        <v>1813</v>
      </c>
      <c r="B603" t="s">
        <v>1814</v>
      </c>
      <c r="C603" t="s">
        <v>1815</v>
      </c>
      <c r="D603" t="str">
        <f>HYPERLINK("https://github.com/ankidroid/Anki-Android/issues/3067","show")</f>
        <v>show</v>
      </c>
      <c r="E603" t="str">
        <f t="shared" si="8"/>
        <v>show</v>
      </c>
      <c r="F603" t="str">
        <f t="shared" si="9"/>
        <v>show</v>
      </c>
    </row>
    <row r="604" spans="1:6">
      <c r="A604" t="s">
        <v>1816</v>
      </c>
      <c r="B604" t="s">
        <v>1817</v>
      </c>
      <c r="C604" t="s">
        <v>1818</v>
      </c>
      <c r="D604" t="str">
        <f>HYPERLINK("https://github.com/ankidroid/Anki-Android/issues/3063","show")</f>
        <v>show</v>
      </c>
      <c r="E604" t="str">
        <f t="shared" si="8"/>
        <v>show</v>
      </c>
      <c r="F604" t="str">
        <f t="shared" si="9"/>
        <v>show</v>
      </c>
    </row>
    <row r="605" spans="1:6">
      <c r="A605" t="s">
        <v>1819</v>
      </c>
      <c r="B605" t="s">
        <v>1820</v>
      </c>
      <c r="C605" t="s">
        <v>1821</v>
      </c>
      <c r="D605" t="str">
        <f>HYPERLINK("https://github.com/ankidroid/Anki-Android/issues/3061","show")</f>
        <v>show</v>
      </c>
      <c r="E605" t="str">
        <f t="shared" si="8"/>
        <v>show</v>
      </c>
      <c r="F605" t="str">
        <f t="shared" si="9"/>
        <v>show</v>
      </c>
    </row>
    <row r="606" spans="1:6">
      <c r="A606" t="s">
        <v>1822</v>
      </c>
      <c r="B606" t="s">
        <v>1823</v>
      </c>
      <c r="C606" t="s">
        <v>1824</v>
      </c>
      <c r="D606" t="str">
        <f>HYPERLINK("https://github.com/ankidroid/Anki-Android/issues/3058","show")</f>
        <v>show</v>
      </c>
      <c r="E606" t="str">
        <f t="shared" si="8"/>
        <v>show</v>
      </c>
      <c r="F606" t="str">
        <f t="shared" si="9"/>
        <v>show</v>
      </c>
    </row>
    <row r="607" spans="1:6">
      <c r="A607" t="s">
        <v>1825</v>
      </c>
      <c r="B607" t="s">
        <v>1826</v>
      </c>
      <c r="C607" t="s">
        <v>1827</v>
      </c>
      <c r="D607" t="str">
        <f>HYPERLINK("https://github.com/ankidroid/Anki-Android/issues/3057","show")</f>
        <v>show</v>
      </c>
      <c r="E607" t="str">
        <f t="shared" si="8"/>
        <v>show</v>
      </c>
      <c r="F607" t="str">
        <f t="shared" si="9"/>
        <v>show</v>
      </c>
    </row>
    <row r="608" spans="1:6">
      <c r="A608" t="s">
        <v>1828</v>
      </c>
      <c r="B608" t="s">
        <v>1829</v>
      </c>
      <c r="C608" t="s">
        <v>1830</v>
      </c>
      <c r="D608" t="str">
        <f>HYPERLINK("https://github.com/ankidroid/Anki-Android/issues/3052","show")</f>
        <v>show</v>
      </c>
      <c r="E608" t="str">
        <f t="shared" si="8"/>
        <v>show</v>
      </c>
      <c r="F608" t="str">
        <f t="shared" si="9"/>
        <v>show</v>
      </c>
    </row>
    <row r="609" spans="1:6">
      <c r="A609" t="s">
        <v>1831</v>
      </c>
      <c r="B609" t="s">
        <v>1832</v>
      </c>
      <c r="C609" t="s">
        <v>1833</v>
      </c>
      <c r="D609" t="str">
        <f>HYPERLINK("https://github.com/ankidroid/Anki-Android/issues/3051","show")</f>
        <v>show</v>
      </c>
      <c r="E609" t="str">
        <f t="shared" si="8"/>
        <v>show</v>
      </c>
      <c r="F609" t="str">
        <f t="shared" si="9"/>
        <v>show</v>
      </c>
    </row>
    <row r="610" spans="1:6">
      <c r="A610" t="s">
        <v>1834</v>
      </c>
      <c r="B610" t="s">
        <v>1835</v>
      </c>
      <c r="C610" t="s">
        <v>1836</v>
      </c>
      <c r="D610" t="str">
        <f>HYPERLINK("https://github.com/ankidroid/Anki-Android/issues/3048","show")</f>
        <v>show</v>
      </c>
      <c r="E610" t="str">
        <f t="shared" si="8"/>
        <v>show</v>
      </c>
      <c r="F610" t="str">
        <f t="shared" si="9"/>
        <v>show</v>
      </c>
    </row>
    <row r="611" spans="1:6">
      <c r="A611" t="s">
        <v>1837</v>
      </c>
      <c r="B611" t="s">
        <v>1838</v>
      </c>
      <c r="C611" t="s">
        <v>1839</v>
      </c>
      <c r="D611" t="str">
        <f>HYPERLINK("https://github.com/ankidroid/Anki-Android/issues/3046","show")</f>
        <v>show</v>
      </c>
      <c r="E611" t="str">
        <f t="shared" si="8"/>
        <v>show</v>
      </c>
      <c r="F611" t="str">
        <f t="shared" si="9"/>
        <v>show</v>
      </c>
    </row>
    <row r="612" spans="1:6">
      <c r="A612" t="s">
        <v>1840</v>
      </c>
      <c r="B612" t="s">
        <v>1841</v>
      </c>
      <c r="C612" t="s">
        <v>1842</v>
      </c>
      <c r="D612" t="str">
        <f>HYPERLINK("https://github.com/ankidroid/Anki-Android/issues/3042","show")</f>
        <v>show</v>
      </c>
      <c r="E612" t="str">
        <f t="shared" si="8"/>
        <v>show</v>
      </c>
      <c r="F612" t="str">
        <f t="shared" si="9"/>
        <v>show</v>
      </c>
    </row>
    <row r="613" spans="1:6">
      <c r="A613" t="s">
        <v>1843</v>
      </c>
      <c r="B613" t="s">
        <v>1844</v>
      </c>
      <c r="C613" t="s">
        <v>1845</v>
      </c>
      <c r="D613" t="str">
        <f>HYPERLINK("https://github.com/ankidroid/Anki-Android/issues/3040","show")</f>
        <v>show</v>
      </c>
      <c r="E613" t="str">
        <f t="shared" si="8"/>
        <v>show</v>
      </c>
      <c r="F613" t="str">
        <f t="shared" si="9"/>
        <v>show</v>
      </c>
    </row>
    <row r="614" spans="1:6">
      <c r="A614" t="s">
        <v>1846</v>
      </c>
      <c r="B614" t="s">
        <v>1847</v>
      </c>
      <c r="C614" t="s">
        <v>1848</v>
      </c>
      <c r="D614" t="str">
        <f>HYPERLINK("https://github.com/ankidroid/Anki-Android/issues/3037","show")</f>
        <v>show</v>
      </c>
      <c r="E614" t="str">
        <f t="shared" si="8"/>
        <v>show</v>
      </c>
      <c r="F614" t="str">
        <f t="shared" si="9"/>
        <v>show</v>
      </c>
    </row>
    <row r="615" spans="1:6">
      <c r="A615" t="s">
        <v>1849</v>
      </c>
      <c r="B615" t="s">
        <v>1850</v>
      </c>
      <c r="C615" t="s">
        <v>1851</v>
      </c>
      <c r="D615" t="str">
        <f>HYPERLINK("https://github.com/ankidroid/Anki-Android/issues/3036","show")</f>
        <v>show</v>
      </c>
      <c r="E615" t="str">
        <f t="shared" si="8"/>
        <v>show</v>
      </c>
      <c r="F615" t="str">
        <f t="shared" si="9"/>
        <v>show</v>
      </c>
    </row>
    <row r="616" spans="1:6">
      <c r="A616" t="s">
        <v>1852</v>
      </c>
      <c r="B616" t="s">
        <v>1853</v>
      </c>
      <c r="C616" t="s">
        <v>1854</v>
      </c>
      <c r="D616" t="str">
        <f>HYPERLINK("https://github.com/ankidroid/Anki-Android/issues/3024","show")</f>
        <v>show</v>
      </c>
      <c r="E616" t="str">
        <f t="shared" si="8"/>
        <v>show</v>
      </c>
      <c r="F616" t="str">
        <f t="shared" si="9"/>
        <v>show</v>
      </c>
    </row>
    <row r="617" spans="1:6">
      <c r="A617" t="s">
        <v>1855</v>
      </c>
      <c r="B617" t="s">
        <v>1856</v>
      </c>
      <c r="C617" t="s">
        <v>1857</v>
      </c>
      <c r="D617" t="str">
        <f>HYPERLINK("https://github.com/ankidroid/Anki-Android/issues/3010","show")</f>
        <v>show</v>
      </c>
      <c r="E617" t="str">
        <f t="shared" si="8"/>
        <v>show</v>
      </c>
      <c r="F617" t="str">
        <f t="shared" si="9"/>
        <v>show</v>
      </c>
    </row>
    <row r="618" spans="1:6">
      <c r="A618" t="s">
        <v>1858</v>
      </c>
      <c r="B618" t="s">
        <v>1859</v>
      </c>
      <c r="C618" t="s">
        <v>1860</v>
      </c>
      <c r="D618" t="str">
        <f>HYPERLINK("https://github.com/ankidroid/Anki-Android/issues/3004","show")</f>
        <v>show</v>
      </c>
      <c r="E618" t="str">
        <f t="shared" si="8"/>
        <v>show</v>
      </c>
      <c r="F618" t="str">
        <f t="shared" si="9"/>
        <v>show</v>
      </c>
    </row>
    <row r="619" spans="1:6">
      <c r="A619" t="s">
        <v>1861</v>
      </c>
      <c r="B619" t="s">
        <v>1862</v>
      </c>
      <c r="C619" t="s">
        <v>1863</v>
      </c>
      <c r="D619" t="str">
        <f>HYPERLINK("https://github.com/ankidroid/Anki-Android/issues/2999","show")</f>
        <v>show</v>
      </c>
      <c r="E619" t="str">
        <f t="shared" si="8"/>
        <v>show</v>
      </c>
      <c r="F619" t="str">
        <f t="shared" si="9"/>
        <v>show</v>
      </c>
    </row>
    <row r="620" spans="1:6">
      <c r="A620" t="s">
        <v>1864</v>
      </c>
      <c r="B620" t="s">
        <v>1865</v>
      </c>
      <c r="C620" t="s">
        <v>1866</v>
      </c>
      <c r="D620" t="str">
        <f>HYPERLINK("https://github.com/ankidroid/Anki-Android/issues/2990","show")</f>
        <v>show</v>
      </c>
      <c r="E620" t="str">
        <f t="shared" si="8"/>
        <v>show</v>
      </c>
      <c r="F620" t="str">
        <f t="shared" si="9"/>
        <v>show</v>
      </c>
    </row>
    <row r="621" spans="1:6">
      <c r="A621" t="s">
        <v>1867</v>
      </c>
      <c r="B621" t="s">
        <v>1868</v>
      </c>
      <c r="C621" t="s">
        <v>1869</v>
      </c>
      <c r="D621" t="str">
        <f>HYPERLINK("https://github.com/ankidroid/Anki-Android/issues/2988","show")</f>
        <v>show</v>
      </c>
      <c r="E621" t="str">
        <f t="shared" si="8"/>
        <v>show</v>
      </c>
      <c r="F621" t="str">
        <f t="shared" si="9"/>
        <v>show</v>
      </c>
    </row>
    <row r="622" spans="1:6">
      <c r="A622" t="s">
        <v>1870</v>
      </c>
      <c r="B622" t="s">
        <v>1871</v>
      </c>
      <c r="C622" t="s">
        <v>1872</v>
      </c>
      <c r="D622" t="str">
        <f>HYPERLINK("https://github.com/ankidroid/Anki-Android/issues/2987","show")</f>
        <v>show</v>
      </c>
      <c r="E622" t="str">
        <f t="shared" si="8"/>
        <v>show</v>
      </c>
      <c r="F622" t="str">
        <f t="shared" si="9"/>
        <v>show</v>
      </c>
    </row>
    <row r="623" spans="1:6">
      <c r="A623" t="s">
        <v>1873</v>
      </c>
      <c r="B623" t="s">
        <v>1874</v>
      </c>
      <c r="C623" t="s">
        <v>1875</v>
      </c>
      <c r="D623" t="str">
        <f>HYPERLINK("https://github.com/ankidroid/Anki-Android/issues/2986","show")</f>
        <v>show</v>
      </c>
      <c r="E623" t="str">
        <f t="shared" si="8"/>
        <v>show</v>
      </c>
      <c r="F623" t="str">
        <f t="shared" si="9"/>
        <v>show</v>
      </c>
    </row>
    <row r="624" spans="1:6">
      <c r="A624" t="s">
        <v>1876</v>
      </c>
      <c r="B624" t="s">
        <v>1877</v>
      </c>
      <c r="C624" t="s">
        <v>1878</v>
      </c>
      <c r="D624" t="str">
        <f>HYPERLINK("https://github.com/ankidroid/Anki-Android/issues/2985","show")</f>
        <v>show</v>
      </c>
      <c r="E624" t="str">
        <f t="shared" si="8"/>
        <v>show</v>
      </c>
      <c r="F624" t="str">
        <f t="shared" si="9"/>
        <v>show</v>
      </c>
    </row>
    <row r="625" spans="1:6">
      <c r="A625" t="s">
        <v>1879</v>
      </c>
      <c r="B625" t="s">
        <v>1880</v>
      </c>
      <c r="C625" t="s">
        <v>1881</v>
      </c>
      <c r="D625" t="str">
        <f>HYPERLINK("https://github.com/ankidroid/Anki-Android/issues/2978","show")</f>
        <v>show</v>
      </c>
      <c r="E625" t="str">
        <f t="shared" si="8"/>
        <v>show</v>
      </c>
      <c r="F625" t="str">
        <f t="shared" si="9"/>
        <v>show</v>
      </c>
    </row>
    <row r="626" spans="1:6">
      <c r="A626" t="s">
        <v>1882</v>
      </c>
      <c r="B626" t="s">
        <v>1883</v>
      </c>
      <c r="C626" t="s">
        <v>1884</v>
      </c>
      <c r="D626" t="str">
        <f>HYPERLINK("https://github.com/ankidroid/Anki-Android/issues/2977","show")</f>
        <v>show</v>
      </c>
      <c r="E626" t="str">
        <f t="shared" si="8"/>
        <v>show</v>
      </c>
      <c r="F626" t="str">
        <f t="shared" si="9"/>
        <v>show</v>
      </c>
    </row>
    <row r="627" spans="1:6">
      <c r="A627" t="s">
        <v>1885</v>
      </c>
      <c r="B627" t="s">
        <v>1886</v>
      </c>
      <c r="C627" t="s">
        <v>1887</v>
      </c>
      <c r="D627" t="str">
        <f>HYPERLINK("https://github.com/ankidroid/Anki-Android/issues/2976","show")</f>
        <v>show</v>
      </c>
      <c r="E627" t="str">
        <f t="shared" si="8"/>
        <v>show</v>
      </c>
      <c r="F627" t="str">
        <f t="shared" si="9"/>
        <v>show</v>
      </c>
    </row>
    <row r="628" spans="1:6">
      <c r="A628" t="s">
        <v>1888</v>
      </c>
      <c r="B628" t="s">
        <v>1889</v>
      </c>
      <c r="C628" t="s">
        <v>1890</v>
      </c>
      <c r="D628" t="str">
        <f>HYPERLINK("https://github.com/ankidroid/Anki-Android/issues/2975","show")</f>
        <v>show</v>
      </c>
      <c r="E628" t="str">
        <f t="shared" si="8"/>
        <v>show</v>
      </c>
      <c r="F628" t="str">
        <f t="shared" si="9"/>
        <v>show</v>
      </c>
    </row>
    <row r="629" spans="1:6">
      <c r="A629" t="s">
        <v>1891</v>
      </c>
      <c r="B629" t="s">
        <v>1892</v>
      </c>
      <c r="C629" t="s">
        <v>1893</v>
      </c>
      <c r="D629" t="str">
        <f>HYPERLINK("https://github.com/ankidroid/Anki-Android/issues/2972","show")</f>
        <v>show</v>
      </c>
      <c r="E629" t="str">
        <f t="shared" si="8"/>
        <v>show</v>
      </c>
      <c r="F629" t="str">
        <f t="shared" si="9"/>
        <v>show</v>
      </c>
    </row>
    <row r="630" spans="1:6">
      <c r="A630" t="s">
        <v>1894</v>
      </c>
      <c r="B630" t="s">
        <v>1895</v>
      </c>
      <c r="C630" t="s">
        <v>1896</v>
      </c>
      <c r="D630" t="str">
        <f>HYPERLINK("https://github.com/ankidroid/Anki-Android/issues/2970","show")</f>
        <v>show</v>
      </c>
      <c r="E630" t="str">
        <f t="shared" si="8"/>
        <v>show</v>
      </c>
      <c r="F630" t="str">
        <f t="shared" si="9"/>
        <v>show</v>
      </c>
    </row>
    <row r="631" spans="1:6">
      <c r="A631" t="s">
        <v>1897</v>
      </c>
      <c r="B631" t="s">
        <v>1898</v>
      </c>
      <c r="C631" t="s">
        <v>1899</v>
      </c>
      <c r="D631" t="str">
        <f>HYPERLINK("https://github.com/ankidroid/Anki-Android/issues/2967","show")</f>
        <v>show</v>
      </c>
      <c r="E631" t="str">
        <f t="shared" si="8"/>
        <v>show</v>
      </c>
      <c r="F631" t="str">
        <f t="shared" si="9"/>
        <v>show</v>
      </c>
    </row>
    <row r="632" spans="1:6">
      <c r="A632" t="s">
        <v>1900</v>
      </c>
      <c r="B632" t="s">
        <v>1901</v>
      </c>
      <c r="C632" t="s">
        <v>1902</v>
      </c>
      <c r="D632" t="str">
        <f>HYPERLINK("https://github.com/ankidroid/Anki-Android/issues/2966","show")</f>
        <v>show</v>
      </c>
      <c r="E632" t="str">
        <f t="shared" si="8"/>
        <v>show</v>
      </c>
      <c r="F632" t="str">
        <f t="shared" si="9"/>
        <v>show</v>
      </c>
    </row>
    <row r="633" spans="1:6">
      <c r="A633" t="s">
        <v>1903</v>
      </c>
      <c r="B633" t="s">
        <v>1904</v>
      </c>
      <c r="C633" t="s">
        <v>1905</v>
      </c>
      <c r="D633" t="str">
        <f>HYPERLINK("https://github.com/ankidroid/Anki-Android/issues/2964","show")</f>
        <v>show</v>
      </c>
      <c r="E633" t="str">
        <f t="shared" si="8"/>
        <v>show</v>
      </c>
      <c r="F633" t="str">
        <f t="shared" si="9"/>
        <v>show</v>
      </c>
    </row>
    <row r="634" spans="1:6">
      <c r="A634" t="s">
        <v>1906</v>
      </c>
      <c r="B634" t="s">
        <v>1907</v>
      </c>
      <c r="C634" t="s">
        <v>1908</v>
      </c>
      <c r="D634" t="str">
        <f>HYPERLINK("https://github.com/ankidroid/Anki-Android/issues/2963","show")</f>
        <v>show</v>
      </c>
      <c r="E634" t="str">
        <f t="shared" si="8"/>
        <v>show</v>
      </c>
      <c r="F634" t="str">
        <f t="shared" si="9"/>
        <v>show</v>
      </c>
    </row>
    <row r="635" spans="1:6">
      <c r="A635" t="s">
        <v>1909</v>
      </c>
      <c r="B635" t="s">
        <v>1910</v>
      </c>
      <c r="C635" t="s">
        <v>1911</v>
      </c>
      <c r="D635" t="str">
        <f>HYPERLINK("https://github.com/ankidroid/Anki-Android/issues/2960","show")</f>
        <v>show</v>
      </c>
      <c r="E635" t="str">
        <f t="shared" si="8"/>
        <v>show</v>
      </c>
      <c r="F635" t="str">
        <f t="shared" si="9"/>
        <v>show</v>
      </c>
    </row>
    <row r="636" spans="1:6">
      <c r="A636" t="s">
        <v>1912</v>
      </c>
      <c r="B636" t="s">
        <v>1913</v>
      </c>
      <c r="C636" t="s">
        <v>1914</v>
      </c>
      <c r="D636" t="str">
        <f>HYPERLINK("https://github.com/ankidroid/Anki-Android/issues/2957","show")</f>
        <v>show</v>
      </c>
      <c r="E636" t="str">
        <f t="shared" si="8"/>
        <v>show</v>
      </c>
      <c r="F636" t="str">
        <f t="shared" si="9"/>
        <v>show</v>
      </c>
    </row>
    <row r="637" spans="1:6">
      <c r="A637" t="s">
        <v>1915</v>
      </c>
      <c r="B637" t="s">
        <v>1916</v>
      </c>
      <c r="C637" t="s">
        <v>1917</v>
      </c>
      <c r="D637" t="str">
        <f>HYPERLINK("https://github.com/ankidroid/Anki-Android/issues/2955","show")</f>
        <v>show</v>
      </c>
      <c r="E637" t="str">
        <f t="shared" si="8"/>
        <v>show</v>
      </c>
      <c r="F637" t="str">
        <f t="shared" si="9"/>
        <v>show</v>
      </c>
    </row>
    <row r="638" spans="1:6">
      <c r="A638" t="s">
        <v>1918</v>
      </c>
      <c r="B638" t="s">
        <v>1919</v>
      </c>
      <c r="C638" t="s">
        <v>1920</v>
      </c>
      <c r="D638" t="str">
        <f>HYPERLINK("https://github.com/ankidroid/Anki-Android/issues/2953","show")</f>
        <v>show</v>
      </c>
      <c r="E638" t="str">
        <f t="shared" si="8"/>
        <v>show</v>
      </c>
      <c r="F638" t="str">
        <f t="shared" si="9"/>
        <v>show</v>
      </c>
    </row>
    <row r="639" spans="1:6">
      <c r="A639" t="s">
        <v>1921</v>
      </c>
      <c r="B639" t="s">
        <v>1922</v>
      </c>
      <c r="C639" t="s">
        <v>1923</v>
      </c>
      <c r="D639" t="str">
        <f>HYPERLINK("https://github.com/ankidroid/Anki-Android/issues/2949","show")</f>
        <v>show</v>
      </c>
      <c r="E639" t="str">
        <f t="shared" si="8"/>
        <v>show</v>
      </c>
      <c r="F639" t="str">
        <f t="shared" si="9"/>
        <v>show</v>
      </c>
    </row>
    <row r="640" spans="1:6">
      <c r="A640" t="s">
        <v>1924</v>
      </c>
      <c r="B640" t="s">
        <v>1925</v>
      </c>
      <c r="C640" t="s">
        <v>1926</v>
      </c>
      <c r="D640" t="str">
        <f>HYPERLINK("https://github.com/ankidroid/Anki-Android/issues/2948","show")</f>
        <v>show</v>
      </c>
      <c r="E640" t="str">
        <f t="shared" si="8"/>
        <v>show</v>
      </c>
      <c r="F640" t="str">
        <f t="shared" si="9"/>
        <v>show</v>
      </c>
    </row>
    <row r="641" spans="1:6">
      <c r="A641" t="s">
        <v>1927</v>
      </c>
      <c r="B641" t="s">
        <v>1928</v>
      </c>
      <c r="C641" t="s">
        <v>1929</v>
      </c>
      <c r="D641" t="str">
        <f>HYPERLINK("https://github.com/ankidroid/Anki-Android/issues/2946","show")</f>
        <v>show</v>
      </c>
      <c r="E641" t="str">
        <f t="shared" si="8"/>
        <v>show</v>
      </c>
      <c r="F641" t="str">
        <f t="shared" si="9"/>
        <v>show</v>
      </c>
    </row>
    <row r="642" spans="1:6">
      <c r="A642" t="s">
        <v>1930</v>
      </c>
      <c r="B642" t="s">
        <v>1931</v>
      </c>
      <c r="C642" t="s">
        <v>1932</v>
      </c>
      <c r="D642" t="str">
        <f>HYPERLINK("https://github.com/ankidroid/Anki-Android/issues/2942","show")</f>
        <v>show</v>
      </c>
      <c r="E642" t="str">
        <f t="shared" si="8"/>
        <v>show</v>
      </c>
      <c r="F642" t="str">
        <f t="shared" si="9"/>
        <v>show</v>
      </c>
    </row>
    <row r="643" spans="1:6">
      <c r="A643" t="s">
        <v>1933</v>
      </c>
      <c r="B643" t="s">
        <v>1934</v>
      </c>
      <c r="C643" t="s">
        <v>1935</v>
      </c>
      <c r="D643" t="str">
        <f>HYPERLINK("https://github.com/ankidroid/Anki-Android/issues/2933","show")</f>
        <v>show</v>
      </c>
      <c r="E643" t="str">
        <f t="shared" si="8"/>
        <v>show</v>
      </c>
      <c r="F643" t="str">
        <f t="shared" si="9"/>
        <v>show</v>
      </c>
    </row>
    <row r="644" spans="1:6">
      <c r="A644" t="s">
        <v>1936</v>
      </c>
      <c r="B644" t="s">
        <v>1937</v>
      </c>
      <c r="C644" t="s">
        <v>1938</v>
      </c>
      <c r="D644" t="str">
        <f>HYPERLINK("https://github.com/ankidroid/Anki-Android/issues/2932","show")</f>
        <v>show</v>
      </c>
      <c r="E644" t="str">
        <f t="shared" si="8"/>
        <v>show</v>
      </c>
      <c r="F644" t="str">
        <f t="shared" si="9"/>
        <v>show</v>
      </c>
    </row>
    <row r="645" spans="1:6">
      <c r="A645" t="s">
        <v>1939</v>
      </c>
      <c r="B645" t="s">
        <v>1940</v>
      </c>
      <c r="C645" t="s">
        <v>1941</v>
      </c>
      <c r="D645" t="str">
        <f>HYPERLINK("https://github.com/ankidroid/Anki-Android/issues/2925","show")</f>
        <v>show</v>
      </c>
      <c r="E645" t="str">
        <f t="shared" si="8"/>
        <v>show</v>
      </c>
      <c r="F645" t="str">
        <f t="shared" si="9"/>
        <v>show</v>
      </c>
    </row>
    <row r="646" spans="1:6">
      <c r="A646" t="s">
        <v>1942</v>
      </c>
      <c r="B646" t="s">
        <v>1943</v>
      </c>
      <c r="C646" t="s">
        <v>1944</v>
      </c>
      <c r="D646" t="str">
        <f>HYPERLINK("https://github.com/ankidroid/Anki-Android/issues/2921","show")</f>
        <v>show</v>
      </c>
      <c r="E646" t="str">
        <f t="shared" si="8"/>
        <v>show</v>
      </c>
      <c r="F646" t="str">
        <f t="shared" si="9"/>
        <v>show</v>
      </c>
    </row>
    <row r="647" spans="1:6">
      <c r="A647" t="s">
        <v>1945</v>
      </c>
      <c r="B647" t="s">
        <v>1946</v>
      </c>
      <c r="C647" t="s">
        <v>1947</v>
      </c>
      <c r="D647" t="str">
        <f>HYPERLINK("https://github.com/ankidroid/Anki-Android/issues/2919","show")</f>
        <v>show</v>
      </c>
      <c r="E647" t="str">
        <f t="shared" ref="E647:E710" si="10">HYPERLINK("https://github.com/ankidroid/Anki-Android","show")</f>
        <v>show</v>
      </c>
      <c r="F647" t="str">
        <f t="shared" ref="F647:F710" si="11">HYPERLINK("https://github.com/ankidroid/Anki-Android/releases","show")</f>
        <v>show</v>
      </c>
    </row>
    <row r="648" spans="1:6">
      <c r="A648" t="s">
        <v>1948</v>
      </c>
      <c r="B648" t="s">
        <v>1949</v>
      </c>
      <c r="C648" t="s">
        <v>1950</v>
      </c>
      <c r="D648" t="str">
        <f>HYPERLINK("https://github.com/ankidroid/Anki-Android/issues/2917","show")</f>
        <v>show</v>
      </c>
      <c r="E648" t="str">
        <f t="shared" si="10"/>
        <v>show</v>
      </c>
      <c r="F648" t="str">
        <f t="shared" si="11"/>
        <v>show</v>
      </c>
    </row>
    <row r="649" spans="1:6">
      <c r="A649" t="s">
        <v>1951</v>
      </c>
      <c r="B649" t="s">
        <v>1952</v>
      </c>
      <c r="C649" t="s">
        <v>1953</v>
      </c>
      <c r="D649" t="str">
        <f>HYPERLINK("https://github.com/ankidroid/Anki-Android/issues/2915","show")</f>
        <v>show</v>
      </c>
      <c r="E649" t="str">
        <f t="shared" si="10"/>
        <v>show</v>
      </c>
      <c r="F649" t="str">
        <f t="shared" si="11"/>
        <v>show</v>
      </c>
    </row>
    <row r="650" spans="1:6">
      <c r="A650" t="s">
        <v>1954</v>
      </c>
      <c r="B650" t="s">
        <v>1955</v>
      </c>
      <c r="C650" t="s">
        <v>1956</v>
      </c>
      <c r="D650" t="str">
        <f>HYPERLINK("https://github.com/ankidroid/Anki-Android/issues/2911","show")</f>
        <v>show</v>
      </c>
      <c r="E650" t="str">
        <f t="shared" si="10"/>
        <v>show</v>
      </c>
      <c r="F650" t="str">
        <f t="shared" si="11"/>
        <v>show</v>
      </c>
    </row>
    <row r="651" spans="1:6">
      <c r="A651" t="s">
        <v>1957</v>
      </c>
      <c r="B651" t="s">
        <v>1958</v>
      </c>
      <c r="C651" t="s">
        <v>1959</v>
      </c>
      <c r="D651" t="str">
        <f>HYPERLINK("https://github.com/ankidroid/Anki-Android/issues/2910","show")</f>
        <v>show</v>
      </c>
      <c r="E651" t="str">
        <f t="shared" si="10"/>
        <v>show</v>
      </c>
      <c r="F651" t="str">
        <f t="shared" si="11"/>
        <v>show</v>
      </c>
    </row>
    <row r="652" spans="1:6">
      <c r="A652" t="s">
        <v>1960</v>
      </c>
      <c r="B652" t="s">
        <v>1961</v>
      </c>
      <c r="C652" t="s">
        <v>1962</v>
      </c>
      <c r="D652" t="str">
        <f>HYPERLINK("https://github.com/ankidroid/Anki-Android/issues/2909","show")</f>
        <v>show</v>
      </c>
      <c r="E652" t="str">
        <f t="shared" si="10"/>
        <v>show</v>
      </c>
      <c r="F652" t="str">
        <f t="shared" si="11"/>
        <v>show</v>
      </c>
    </row>
    <row r="653" spans="1:6">
      <c r="A653" t="s">
        <v>1963</v>
      </c>
      <c r="B653" t="s">
        <v>1964</v>
      </c>
      <c r="C653" t="s">
        <v>1965</v>
      </c>
      <c r="D653" t="str">
        <f>HYPERLINK("https://github.com/ankidroid/Anki-Android/issues/2907","show")</f>
        <v>show</v>
      </c>
      <c r="E653" t="str">
        <f t="shared" si="10"/>
        <v>show</v>
      </c>
      <c r="F653" t="str">
        <f t="shared" si="11"/>
        <v>show</v>
      </c>
    </row>
    <row r="654" spans="1:6">
      <c r="A654" t="s">
        <v>1966</v>
      </c>
      <c r="B654" t="s">
        <v>1967</v>
      </c>
      <c r="C654" t="s">
        <v>1968</v>
      </c>
      <c r="D654" t="str">
        <f>HYPERLINK("https://github.com/ankidroid/Anki-Android/issues/2906","show")</f>
        <v>show</v>
      </c>
      <c r="E654" t="str">
        <f t="shared" si="10"/>
        <v>show</v>
      </c>
      <c r="F654" t="str">
        <f t="shared" si="11"/>
        <v>show</v>
      </c>
    </row>
    <row r="655" spans="1:6">
      <c r="A655" t="s">
        <v>1969</v>
      </c>
      <c r="B655" t="s">
        <v>1970</v>
      </c>
      <c r="C655" t="s">
        <v>1971</v>
      </c>
      <c r="D655" t="str">
        <f>HYPERLINK("https://github.com/ankidroid/Anki-Android/issues/2903","show")</f>
        <v>show</v>
      </c>
      <c r="E655" t="str">
        <f t="shared" si="10"/>
        <v>show</v>
      </c>
      <c r="F655" t="str">
        <f t="shared" si="11"/>
        <v>show</v>
      </c>
    </row>
    <row r="656" spans="1:6">
      <c r="A656" t="s">
        <v>1972</v>
      </c>
      <c r="B656" t="s">
        <v>1973</v>
      </c>
      <c r="C656" t="s">
        <v>1974</v>
      </c>
      <c r="D656" t="str">
        <f>HYPERLINK("https://github.com/ankidroid/Anki-Android/issues/2902","show")</f>
        <v>show</v>
      </c>
      <c r="E656" t="str">
        <f t="shared" si="10"/>
        <v>show</v>
      </c>
      <c r="F656" t="str">
        <f t="shared" si="11"/>
        <v>show</v>
      </c>
    </row>
    <row r="657" spans="1:6">
      <c r="A657" t="s">
        <v>1975</v>
      </c>
      <c r="B657" t="s">
        <v>1976</v>
      </c>
      <c r="C657" t="s">
        <v>1977</v>
      </c>
      <c r="D657" t="str">
        <f>HYPERLINK("https://github.com/ankidroid/Anki-Android/issues/2901","show")</f>
        <v>show</v>
      </c>
      <c r="E657" t="str">
        <f t="shared" si="10"/>
        <v>show</v>
      </c>
      <c r="F657" t="str">
        <f t="shared" si="11"/>
        <v>show</v>
      </c>
    </row>
    <row r="658" spans="1:6">
      <c r="A658" t="s">
        <v>1978</v>
      </c>
      <c r="B658" t="s">
        <v>1979</v>
      </c>
      <c r="C658" t="s">
        <v>1980</v>
      </c>
      <c r="D658" t="str">
        <f>HYPERLINK("https://github.com/ankidroid/Anki-Android/issues/2896","show")</f>
        <v>show</v>
      </c>
      <c r="E658" t="str">
        <f t="shared" si="10"/>
        <v>show</v>
      </c>
      <c r="F658" t="str">
        <f t="shared" si="11"/>
        <v>show</v>
      </c>
    </row>
    <row r="659" spans="1:6">
      <c r="A659" t="s">
        <v>1981</v>
      </c>
      <c r="B659" t="s">
        <v>1982</v>
      </c>
      <c r="C659" t="s">
        <v>1983</v>
      </c>
      <c r="D659" t="str">
        <f>HYPERLINK("https://github.com/ankidroid/Anki-Android/issues/2895","show")</f>
        <v>show</v>
      </c>
      <c r="E659" t="str">
        <f t="shared" si="10"/>
        <v>show</v>
      </c>
      <c r="F659" t="str">
        <f t="shared" si="11"/>
        <v>show</v>
      </c>
    </row>
    <row r="660" spans="1:6">
      <c r="A660" t="s">
        <v>1984</v>
      </c>
      <c r="B660" t="s">
        <v>1985</v>
      </c>
      <c r="C660" t="s">
        <v>1986</v>
      </c>
      <c r="D660" t="str">
        <f>HYPERLINK("https://github.com/ankidroid/Anki-Android/issues/2884","show")</f>
        <v>show</v>
      </c>
      <c r="E660" t="str">
        <f t="shared" si="10"/>
        <v>show</v>
      </c>
      <c r="F660" t="str">
        <f t="shared" si="11"/>
        <v>show</v>
      </c>
    </row>
    <row r="661" spans="1:6">
      <c r="A661" t="s">
        <v>1987</v>
      </c>
      <c r="B661" t="s">
        <v>1988</v>
      </c>
      <c r="C661" t="s">
        <v>1989</v>
      </c>
      <c r="D661" t="str">
        <f>HYPERLINK("https://github.com/ankidroid/Anki-Android/issues/2883","show")</f>
        <v>show</v>
      </c>
      <c r="E661" t="str">
        <f t="shared" si="10"/>
        <v>show</v>
      </c>
      <c r="F661" t="str">
        <f t="shared" si="11"/>
        <v>show</v>
      </c>
    </row>
    <row r="662" spans="1:6">
      <c r="A662" t="s">
        <v>1990</v>
      </c>
      <c r="B662" t="s">
        <v>1991</v>
      </c>
      <c r="C662" t="s">
        <v>1992</v>
      </c>
      <c r="D662" t="str">
        <f>HYPERLINK("https://github.com/ankidroid/Anki-Android/issues/2878","show")</f>
        <v>show</v>
      </c>
      <c r="E662" t="str">
        <f t="shared" si="10"/>
        <v>show</v>
      </c>
      <c r="F662" t="str">
        <f t="shared" si="11"/>
        <v>show</v>
      </c>
    </row>
    <row r="663" spans="1:6">
      <c r="A663" t="s">
        <v>1993</v>
      </c>
      <c r="B663" t="s">
        <v>1994</v>
      </c>
      <c r="C663" t="s">
        <v>1995</v>
      </c>
      <c r="D663" t="str">
        <f>HYPERLINK("https://github.com/ankidroid/Anki-Android/issues/2873","show")</f>
        <v>show</v>
      </c>
      <c r="E663" t="str">
        <f t="shared" si="10"/>
        <v>show</v>
      </c>
      <c r="F663" t="str">
        <f t="shared" si="11"/>
        <v>show</v>
      </c>
    </row>
    <row r="664" spans="1:6">
      <c r="A664" t="s">
        <v>1996</v>
      </c>
      <c r="B664" t="s">
        <v>1997</v>
      </c>
      <c r="C664" t="s">
        <v>1998</v>
      </c>
      <c r="D664" t="str">
        <f>HYPERLINK("https://github.com/ankidroid/Anki-Android/issues/2872","show")</f>
        <v>show</v>
      </c>
      <c r="E664" t="str">
        <f t="shared" si="10"/>
        <v>show</v>
      </c>
      <c r="F664" t="str">
        <f t="shared" si="11"/>
        <v>show</v>
      </c>
    </row>
    <row r="665" spans="1:6">
      <c r="A665" t="s">
        <v>1999</v>
      </c>
      <c r="B665" t="s">
        <v>2000</v>
      </c>
      <c r="C665" t="s">
        <v>2001</v>
      </c>
      <c r="D665" t="str">
        <f>HYPERLINK("https://github.com/ankidroid/Anki-Android/issues/2871","show")</f>
        <v>show</v>
      </c>
      <c r="E665" t="str">
        <f t="shared" si="10"/>
        <v>show</v>
      </c>
      <c r="F665" t="str">
        <f t="shared" si="11"/>
        <v>show</v>
      </c>
    </row>
    <row r="666" spans="1:6">
      <c r="A666" t="s">
        <v>2002</v>
      </c>
      <c r="B666" t="s">
        <v>2003</v>
      </c>
      <c r="C666" t="s">
        <v>2004</v>
      </c>
      <c r="D666" t="str">
        <f>HYPERLINK("https://github.com/ankidroid/Anki-Android/issues/2869","show")</f>
        <v>show</v>
      </c>
      <c r="E666" t="str">
        <f t="shared" si="10"/>
        <v>show</v>
      </c>
      <c r="F666" t="str">
        <f t="shared" si="11"/>
        <v>show</v>
      </c>
    </row>
    <row r="667" spans="1:6">
      <c r="A667" t="s">
        <v>2005</v>
      </c>
      <c r="B667" t="s">
        <v>2006</v>
      </c>
      <c r="C667" t="s">
        <v>2007</v>
      </c>
      <c r="D667" t="str">
        <f>HYPERLINK("https://github.com/ankidroid/Anki-Android/issues/2866","show")</f>
        <v>show</v>
      </c>
      <c r="E667" t="str">
        <f t="shared" si="10"/>
        <v>show</v>
      </c>
      <c r="F667" t="str">
        <f t="shared" si="11"/>
        <v>show</v>
      </c>
    </row>
    <row r="668" spans="1:6">
      <c r="A668" t="s">
        <v>2008</v>
      </c>
      <c r="B668" t="s">
        <v>2009</v>
      </c>
      <c r="C668" t="s">
        <v>2010</v>
      </c>
      <c r="D668" t="str">
        <f>HYPERLINK("https://github.com/ankidroid/Anki-Android/issues/2861","show")</f>
        <v>show</v>
      </c>
      <c r="E668" t="str">
        <f t="shared" si="10"/>
        <v>show</v>
      </c>
      <c r="F668" t="str">
        <f t="shared" si="11"/>
        <v>show</v>
      </c>
    </row>
    <row r="669" spans="1:6">
      <c r="A669" t="s">
        <v>2011</v>
      </c>
      <c r="B669" t="s">
        <v>2012</v>
      </c>
      <c r="C669" t="s">
        <v>2013</v>
      </c>
      <c r="D669" t="str">
        <f>HYPERLINK("https://github.com/ankidroid/Anki-Android/issues/2860","show")</f>
        <v>show</v>
      </c>
      <c r="E669" t="str">
        <f t="shared" si="10"/>
        <v>show</v>
      </c>
      <c r="F669" t="str">
        <f t="shared" si="11"/>
        <v>show</v>
      </c>
    </row>
    <row r="670" spans="1:6">
      <c r="A670" t="s">
        <v>2014</v>
      </c>
      <c r="B670" t="s">
        <v>2015</v>
      </c>
      <c r="C670" t="s">
        <v>2016</v>
      </c>
      <c r="D670" t="str">
        <f>HYPERLINK("https://github.com/ankidroid/Anki-Android/issues/2857","show")</f>
        <v>show</v>
      </c>
      <c r="E670" t="str">
        <f t="shared" si="10"/>
        <v>show</v>
      </c>
      <c r="F670" t="str">
        <f t="shared" si="11"/>
        <v>show</v>
      </c>
    </row>
    <row r="671" spans="1:6">
      <c r="A671" t="s">
        <v>2017</v>
      </c>
      <c r="B671" t="s">
        <v>2018</v>
      </c>
      <c r="C671" t="s">
        <v>2019</v>
      </c>
      <c r="D671" t="str">
        <f>HYPERLINK("https://github.com/ankidroid/Anki-Android/issues/2855","show")</f>
        <v>show</v>
      </c>
      <c r="E671" t="str">
        <f t="shared" si="10"/>
        <v>show</v>
      </c>
      <c r="F671" t="str">
        <f t="shared" si="11"/>
        <v>show</v>
      </c>
    </row>
    <row r="672" spans="1:6">
      <c r="A672" t="s">
        <v>2020</v>
      </c>
      <c r="B672" t="s">
        <v>2021</v>
      </c>
      <c r="C672" t="s">
        <v>2022</v>
      </c>
      <c r="D672" t="str">
        <f>HYPERLINK("https://github.com/ankidroid/Anki-Android/issues/2852","show")</f>
        <v>show</v>
      </c>
      <c r="E672" t="str">
        <f t="shared" si="10"/>
        <v>show</v>
      </c>
      <c r="F672" t="str">
        <f t="shared" si="11"/>
        <v>show</v>
      </c>
    </row>
    <row r="673" spans="1:6">
      <c r="A673" t="s">
        <v>2023</v>
      </c>
      <c r="B673" t="s">
        <v>2024</v>
      </c>
      <c r="C673" t="s">
        <v>2025</v>
      </c>
      <c r="D673" t="str">
        <f>HYPERLINK("https://github.com/ankidroid/Anki-Android/issues/2850","show")</f>
        <v>show</v>
      </c>
      <c r="E673" t="str">
        <f t="shared" si="10"/>
        <v>show</v>
      </c>
      <c r="F673" t="str">
        <f t="shared" si="11"/>
        <v>show</v>
      </c>
    </row>
    <row r="674" spans="1:6">
      <c r="A674" t="s">
        <v>2026</v>
      </c>
      <c r="B674" t="s">
        <v>2027</v>
      </c>
      <c r="C674" t="s">
        <v>2028</v>
      </c>
      <c r="D674" t="str">
        <f>HYPERLINK("https://github.com/ankidroid/Anki-Android/issues/2848","show")</f>
        <v>show</v>
      </c>
      <c r="E674" t="str">
        <f t="shared" si="10"/>
        <v>show</v>
      </c>
      <c r="F674" t="str">
        <f t="shared" si="11"/>
        <v>show</v>
      </c>
    </row>
    <row r="675" spans="1:6">
      <c r="A675" t="s">
        <v>2029</v>
      </c>
      <c r="B675" t="s">
        <v>2030</v>
      </c>
      <c r="C675" t="s">
        <v>2031</v>
      </c>
      <c r="D675" t="str">
        <f>HYPERLINK("https://github.com/ankidroid/Anki-Android/issues/2845","show")</f>
        <v>show</v>
      </c>
      <c r="E675" t="str">
        <f t="shared" si="10"/>
        <v>show</v>
      </c>
      <c r="F675" t="str">
        <f t="shared" si="11"/>
        <v>show</v>
      </c>
    </row>
    <row r="676" spans="1:6">
      <c r="A676" t="s">
        <v>2032</v>
      </c>
      <c r="B676" t="s">
        <v>2033</v>
      </c>
      <c r="C676" t="s">
        <v>2034</v>
      </c>
      <c r="D676" t="str">
        <f>HYPERLINK("https://github.com/ankidroid/Anki-Android/issues/2833","show")</f>
        <v>show</v>
      </c>
      <c r="E676" t="str">
        <f t="shared" si="10"/>
        <v>show</v>
      </c>
      <c r="F676" t="str">
        <f t="shared" si="11"/>
        <v>show</v>
      </c>
    </row>
    <row r="677" spans="1:6">
      <c r="A677" t="s">
        <v>2035</v>
      </c>
      <c r="B677" t="s">
        <v>2036</v>
      </c>
      <c r="C677" t="s">
        <v>2037</v>
      </c>
      <c r="D677" t="str">
        <f>HYPERLINK("https://github.com/ankidroid/Anki-Android/issues/2830","show")</f>
        <v>show</v>
      </c>
      <c r="E677" t="str">
        <f t="shared" si="10"/>
        <v>show</v>
      </c>
      <c r="F677" t="str">
        <f t="shared" si="11"/>
        <v>show</v>
      </c>
    </row>
    <row r="678" spans="1:6">
      <c r="A678" t="s">
        <v>2038</v>
      </c>
      <c r="B678" t="s">
        <v>2039</v>
      </c>
      <c r="C678" t="s">
        <v>2040</v>
      </c>
      <c r="D678" t="str">
        <f>HYPERLINK("https://github.com/ankidroid/Anki-Android/issues/2827","show")</f>
        <v>show</v>
      </c>
      <c r="E678" t="str">
        <f t="shared" si="10"/>
        <v>show</v>
      </c>
      <c r="F678" t="str">
        <f t="shared" si="11"/>
        <v>show</v>
      </c>
    </row>
    <row r="679" spans="1:6">
      <c r="A679" t="s">
        <v>2041</v>
      </c>
      <c r="B679" t="s">
        <v>2042</v>
      </c>
      <c r="C679" t="s">
        <v>2043</v>
      </c>
      <c r="D679" t="str">
        <f>HYPERLINK("https://github.com/ankidroid/Anki-Android/issues/2826","show")</f>
        <v>show</v>
      </c>
      <c r="E679" t="str">
        <f t="shared" si="10"/>
        <v>show</v>
      </c>
      <c r="F679" t="str">
        <f t="shared" si="11"/>
        <v>show</v>
      </c>
    </row>
    <row r="680" spans="1:6">
      <c r="A680" t="s">
        <v>2044</v>
      </c>
      <c r="B680" t="s">
        <v>2045</v>
      </c>
      <c r="C680" t="s">
        <v>2046</v>
      </c>
      <c r="D680" t="str">
        <f>HYPERLINK("https://github.com/ankidroid/Anki-Android/issues/2824","show")</f>
        <v>show</v>
      </c>
      <c r="E680" t="str">
        <f t="shared" si="10"/>
        <v>show</v>
      </c>
      <c r="F680" t="str">
        <f t="shared" si="11"/>
        <v>show</v>
      </c>
    </row>
    <row r="681" spans="1:6">
      <c r="A681" t="s">
        <v>2047</v>
      </c>
      <c r="B681" t="s">
        <v>2048</v>
      </c>
      <c r="C681" t="s">
        <v>2049</v>
      </c>
      <c r="D681" t="str">
        <f>HYPERLINK("https://github.com/ankidroid/Anki-Android/issues/2823","show")</f>
        <v>show</v>
      </c>
      <c r="E681" t="str">
        <f t="shared" si="10"/>
        <v>show</v>
      </c>
      <c r="F681" t="str">
        <f t="shared" si="11"/>
        <v>show</v>
      </c>
    </row>
    <row r="682" spans="1:6">
      <c r="A682" t="s">
        <v>2050</v>
      </c>
      <c r="B682" t="s">
        <v>2051</v>
      </c>
      <c r="C682" t="s">
        <v>2052</v>
      </c>
      <c r="D682" t="str">
        <f>HYPERLINK("https://github.com/ankidroid/Anki-Android/issues/2822","show")</f>
        <v>show</v>
      </c>
      <c r="E682" t="str">
        <f t="shared" si="10"/>
        <v>show</v>
      </c>
      <c r="F682" t="str">
        <f t="shared" si="11"/>
        <v>show</v>
      </c>
    </row>
    <row r="683" spans="1:6">
      <c r="A683" t="s">
        <v>2053</v>
      </c>
      <c r="B683" t="s">
        <v>2054</v>
      </c>
      <c r="C683" t="s">
        <v>2055</v>
      </c>
      <c r="D683" t="str">
        <f>HYPERLINK("https://github.com/ankidroid/Anki-Android/issues/2820","show")</f>
        <v>show</v>
      </c>
      <c r="E683" t="str">
        <f t="shared" si="10"/>
        <v>show</v>
      </c>
      <c r="F683" t="str">
        <f t="shared" si="11"/>
        <v>show</v>
      </c>
    </row>
    <row r="684" spans="1:6">
      <c r="A684" t="s">
        <v>2056</v>
      </c>
      <c r="B684" t="s">
        <v>2057</v>
      </c>
      <c r="C684" t="s">
        <v>2058</v>
      </c>
      <c r="D684" t="str">
        <f>HYPERLINK("https://github.com/ankidroid/Anki-Android/issues/2817","show")</f>
        <v>show</v>
      </c>
      <c r="E684" t="str">
        <f t="shared" si="10"/>
        <v>show</v>
      </c>
      <c r="F684" t="str">
        <f t="shared" si="11"/>
        <v>show</v>
      </c>
    </row>
    <row r="685" spans="1:6">
      <c r="A685" t="s">
        <v>2059</v>
      </c>
      <c r="B685" t="s">
        <v>2060</v>
      </c>
      <c r="C685" t="s">
        <v>2061</v>
      </c>
      <c r="D685" t="str">
        <f>HYPERLINK("https://github.com/ankidroid/Anki-Android/issues/2811","show")</f>
        <v>show</v>
      </c>
      <c r="E685" t="str">
        <f t="shared" si="10"/>
        <v>show</v>
      </c>
      <c r="F685" t="str">
        <f t="shared" si="11"/>
        <v>show</v>
      </c>
    </row>
    <row r="686" spans="1:6">
      <c r="A686" t="s">
        <v>2062</v>
      </c>
      <c r="B686" t="s">
        <v>2063</v>
      </c>
      <c r="C686" t="s">
        <v>2064</v>
      </c>
      <c r="D686" t="str">
        <f>HYPERLINK("https://github.com/ankidroid/Anki-Android/issues/2809","show")</f>
        <v>show</v>
      </c>
      <c r="E686" t="str">
        <f t="shared" si="10"/>
        <v>show</v>
      </c>
      <c r="F686" t="str">
        <f t="shared" si="11"/>
        <v>show</v>
      </c>
    </row>
    <row r="687" spans="1:6">
      <c r="A687" t="s">
        <v>2065</v>
      </c>
      <c r="B687" t="s">
        <v>2066</v>
      </c>
      <c r="C687" t="s">
        <v>2067</v>
      </c>
      <c r="D687" t="str">
        <f>HYPERLINK("https://github.com/ankidroid/Anki-Android/issues/2807","show")</f>
        <v>show</v>
      </c>
      <c r="E687" t="str">
        <f t="shared" si="10"/>
        <v>show</v>
      </c>
      <c r="F687" t="str">
        <f t="shared" si="11"/>
        <v>show</v>
      </c>
    </row>
    <row r="688" spans="1:6">
      <c r="A688" t="s">
        <v>2068</v>
      </c>
      <c r="B688" t="s">
        <v>2069</v>
      </c>
      <c r="C688" t="s">
        <v>2070</v>
      </c>
      <c r="D688" t="str">
        <f>HYPERLINK("https://github.com/ankidroid/Anki-Android/issues/2800","show")</f>
        <v>show</v>
      </c>
      <c r="E688" t="str">
        <f t="shared" si="10"/>
        <v>show</v>
      </c>
      <c r="F688" t="str">
        <f t="shared" si="11"/>
        <v>show</v>
      </c>
    </row>
    <row r="689" spans="1:6">
      <c r="A689" t="s">
        <v>2071</v>
      </c>
      <c r="B689" t="s">
        <v>2072</v>
      </c>
      <c r="C689" t="s">
        <v>2073</v>
      </c>
      <c r="D689" t="str">
        <f>HYPERLINK("https://github.com/ankidroid/Anki-Android/issues/2799","show")</f>
        <v>show</v>
      </c>
      <c r="E689" t="str">
        <f t="shared" si="10"/>
        <v>show</v>
      </c>
      <c r="F689" t="str">
        <f t="shared" si="11"/>
        <v>show</v>
      </c>
    </row>
    <row r="690" spans="1:6">
      <c r="A690" t="s">
        <v>2074</v>
      </c>
      <c r="B690" t="s">
        <v>2075</v>
      </c>
      <c r="C690" t="s">
        <v>2076</v>
      </c>
      <c r="D690" t="str">
        <f>HYPERLINK("https://github.com/ankidroid/Anki-Android/issues/2798","show")</f>
        <v>show</v>
      </c>
      <c r="E690" t="str">
        <f t="shared" si="10"/>
        <v>show</v>
      </c>
      <c r="F690" t="str">
        <f t="shared" si="11"/>
        <v>show</v>
      </c>
    </row>
    <row r="691" spans="1:6">
      <c r="A691" t="s">
        <v>2077</v>
      </c>
      <c r="B691" t="s">
        <v>2078</v>
      </c>
      <c r="C691" t="s">
        <v>2079</v>
      </c>
      <c r="D691" t="str">
        <f>HYPERLINK("https://github.com/ankidroid/Anki-Android/issues/2797","show")</f>
        <v>show</v>
      </c>
      <c r="E691" t="str">
        <f t="shared" si="10"/>
        <v>show</v>
      </c>
      <c r="F691" t="str">
        <f t="shared" si="11"/>
        <v>show</v>
      </c>
    </row>
    <row r="692" spans="1:6">
      <c r="A692" t="s">
        <v>2080</v>
      </c>
      <c r="B692" t="s">
        <v>2081</v>
      </c>
      <c r="C692" t="s">
        <v>2082</v>
      </c>
      <c r="D692" t="str">
        <f>HYPERLINK("https://github.com/ankidroid/Anki-Android/issues/2793","show")</f>
        <v>show</v>
      </c>
      <c r="E692" t="str">
        <f t="shared" si="10"/>
        <v>show</v>
      </c>
      <c r="F692" t="str">
        <f t="shared" si="11"/>
        <v>show</v>
      </c>
    </row>
    <row r="693" spans="1:6">
      <c r="A693" t="s">
        <v>2083</v>
      </c>
      <c r="B693" t="s">
        <v>2084</v>
      </c>
      <c r="C693" t="s">
        <v>2085</v>
      </c>
      <c r="D693" t="str">
        <f>HYPERLINK("https://github.com/ankidroid/Anki-Android/issues/2789","show")</f>
        <v>show</v>
      </c>
      <c r="E693" t="str">
        <f t="shared" si="10"/>
        <v>show</v>
      </c>
      <c r="F693" t="str">
        <f t="shared" si="11"/>
        <v>show</v>
      </c>
    </row>
    <row r="694" spans="1:6">
      <c r="A694" t="s">
        <v>2086</v>
      </c>
      <c r="B694" t="s">
        <v>2087</v>
      </c>
      <c r="C694" t="s">
        <v>2088</v>
      </c>
      <c r="D694" t="str">
        <f>HYPERLINK("https://github.com/ankidroid/Anki-Android/issues/2787","show")</f>
        <v>show</v>
      </c>
      <c r="E694" t="str">
        <f t="shared" si="10"/>
        <v>show</v>
      </c>
      <c r="F694" t="str">
        <f t="shared" si="11"/>
        <v>show</v>
      </c>
    </row>
    <row r="695" spans="1:6">
      <c r="A695" t="s">
        <v>2089</v>
      </c>
      <c r="B695" t="s">
        <v>2090</v>
      </c>
      <c r="C695" t="s">
        <v>2091</v>
      </c>
      <c r="D695" t="str">
        <f>HYPERLINK("https://github.com/ankidroid/Anki-Android/issues/2786","show")</f>
        <v>show</v>
      </c>
      <c r="E695" t="str">
        <f t="shared" si="10"/>
        <v>show</v>
      </c>
      <c r="F695" t="str">
        <f t="shared" si="11"/>
        <v>show</v>
      </c>
    </row>
    <row r="696" spans="1:6">
      <c r="A696" t="s">
        <v>2092</v>
      </c>
      <c r="B696" t="s">
        <v>2093</v>
      </c>
      <c r="C696" t="s">
        <v>2094</v>
      </c>
      <c r="D696" t="str">
        <f>HYPERLINK("https://github.com/ankidroid/Anki-Android/issues/2784","show")</f>
        <v>show</v>
      </c>
      <c r="E696" t="str">
        <f t="shared" si="10"/>
        <v>show</v>
      </c>
      <c r="F696" t="str">
        <f t="shared" si="11"/>
        <v>show</v>
      </c>
    </row>
    <row r="697" spans="1:6">
      <c r="A697" t="s">
        <v>2095</v>
      </c>
      <c r="B697" t="s">
        <v>2096</v>
      </c>
      <c r="C697" t="s">
        <v>2097</v>
      </c>
      <c r="D697" t="str">
        <f>HYPERLINK("https://github.com/ankidroid/Anki-Android/issues/2783","show")</f>
        <v>show</v>
      </c>
      <c r="E697" t="str">
        <f t="shared" si="10"/>
        <v>show</v>
      </c>
      <c r="F697" t="str">
        <f t="shared" si="11"/>
        <v>show</v>
      </c>
    </row>
    <row r="698" spans="1:6">
      <c r="A698" t="s">
        <v>2098</v>
      </c>
      <c r="B698" t="s">
        <v>2099</v>
      </c>
      <c r="C698" t="s">
        <v>2100</v>
      </c>
      <c r="D698" t="str">
        <f>HYPERLINK("https://github.com/ankidroid/Anki-Android/issues/2782","show")</f>
        <v>show</v>
      </c>
      <c r="E698" t="str">
        <f t="shared" si="10"/>
        <v>show</v>
      </c>
      <c r="F698" t="str">
        <f t="shared" si="11"/>
        <v>show</v>
      </c>
    </row>
    <row r="699" spans="1:6">
      <c r="A699" t="s">
        <v>2101</v>
      </c>
      <c r="B699" t="s">
        <v>2102</v>
      </c>
      <c r="C699" t="s">
        <v>2103</v>
      </c>
      <c r="D699" t="str">
        <f>HYPERLINK("https://github.com/ankidroid/Anki-Android/issues/2781","show")</f>
        <v>show</v>
      </c>
      <c r="E699" t="str">
        <f t="shared" si="10"/>
        <v>show</v>
      </c>
      <c r="F699" t="str">
        <f t="shared" si="11"/>
        <v>show</v>
      </c>
    </row>
    <row r="700" spans="1:6">
      <c r="A700" t="s">
        <v>2104</v>
      </c>
      <c r="B700" t="s">
        <v>2105</v>
      </c>
      <c r="C700" t="s">
        <v>2106</v>
      </c>
      <c r="D700" t="str">
        <f>HYPERLINK("https://github.com/ankidroid/Anki-Android/issues/2778","show")</f>
        <v>show</v>
      </c>
      <c r="E700" t="str">
        <f t="shared" si="10"/>
        <v>show</v>
      </c>
      <c r="F700" t="str">
        <f t="shared" si="11"/>
        <v>show</v>
      </c>
    </row>
    <row r="701" spans="1:6">
      <c r="A701" t="s">
        <v>2107</v>
      </c>
      <c r="B701" t="s">
        <v>2108</v>
      </c>
      <c r="C701" t="s">
        <v>2109</v>
      </c>
      <c r="D701" t="str">
        <f>HYPERLINK("https://github.com/ankidroid/Anki-Android/issues/2776","show")</f>
        <v>show</v>
      </c>
      <c r="E701" t="str">
        <f t="shared" si="10"/>
        <v>show</v>
      </c>
      <c r="F701" t="str">
        <f t="shared" si="11"/>
        <v>show</v>
      </c>
    </row>
    <row r="702" spans="1:6">
      <c r="A702" t="s">
        <v>2110</v>
      </c>
      <c r="B702" t="s">
        <v>2111</v>
      </c>
      <c r="C702" t="s">
        <v>2112</v>
      </c>
      <c r="D702" t="str">
        <f>HYPERLINK("https://github.com/ankidroid/Anki-Android/issues/2774","show")</f>
        <v>show</v>
      </c>
      <c r="E702" t="str">
        <f t="shared" si="10"/>
        <v>show</v>
      </c>
      <c r="F702" t="str">
        <f t="shared" si="11"/>
        <v>show</v>
      </c>
    </row>
    <row r="703" spans="1:6">
      <c r="A703" t="s">
        <v>2113</v>
      </c>
      <c r="B703" t="s">
        <v>2114</v>
      </c>
      <c r="C703" t="s">
        <v>2115</v>
      </c>
      <c r="D703" t="str">
        <f>HYPERLINK("https://github.com/ankidroid/Anki-Android/issues/2773","show")</f>
        <v>show</v>
      </c>
      <c r="E703" t="str">
        <f t="shared" si="10"/>
        <v>show</v>
      </c>
      <c r="F703" t="str">
        <f t="shared" si="11"/>
        <v>show</v>
      </c>
    </row>
    <row r="704" spans="1:6">
      <c r="A704" t="s">
        <v>2116</v>
      </c>
      <c r="B704" t="s">
        <v>2117</v>
      </c>
      <c r="C704" t="s">
        <v>2118</v>
      </c>
      <c r="D704" t="str">
        <f>HYPERLINK("https://github.com/ankidroid/Anki-Android/issues/2771","show")</f>
        <v>show</v>
      </c>
      <c r="E704" t="str">
        <f t="shared" si="10"/>
        <v>show</v>
      </c>
      <c r="F704" t="str">
        <f t="shared" si="11"/>
        <v>show</v>
      </c>
    </row>
    <row r="705" spans="1:6">
      <c r="A705" t="s">
        <v>2119</v>
      </c>
      <c r="B705" t="s">
        <v>2120</v>
      </c>
      <c r="C705" t="s">
        <v>2121</v>
      </c>
      <c r="D705" t="str">
        <f>HYPERLINK("https://github.com/ankidroid/Anki-Android/issues/2770","show")</f>
        <v>show</v>
      </c>
      <c r="E705" t="str">
        <f t="shared" si="10"/>
        <v>show</v>
      </c>
      <c r="F705" t="str">
        <f t="shared" si="11"/>
        <v>show</v>
      </c>
    </row>
    <row r="706" spans="1:6">
      <c r="A706" t="s">
        <v>2122</v>
      </c>
      <c r="B706" t="s">
        <v>2123</v>
      </c>
      <c r="C706" t="s">
        <v>2124</v>
      </c>
      <c r="D706" t="str">
        <f>HYPERLINK("https://github.com/ankidroid/Anki-Android/issues/2766","show")</f>
        <v>show</v>
      </c>
      <c r="E706" t="str">
        <f t="shared" si="10"/>
        <v>show</v>
      </c>
      <c r="F706" t="str">
        <f t="shared" si="11"/>
        <v>show</v>
      </c>
    </row>
    <row r="707" spans="1:6">
      <c r="A707" t="s">
        <v>2125</v>
      </c>
      <c r="B707" t="s">
        <v>2126</v>
      </c>
      <c r="C707" t="s">
        <v>2127</v>
      </c>
      <c r="D707" t="str">
        <f>HYPERLINK("https://github.com/ankidroid/Anki-Android/issues/2765","show")</f>
        <v>show</v>
      </c>
      <c r="E707" t="str">
        <f t="shared" si="10"/>
        <v>show</v>
      </c>
      <c r="F707" t="str">
        <f t="shared" si="11"/>
        <v>show</v>
      </c>
    </row>
    <row r="708" spans="1:6">
      <c r="A708" t="s">
        <v>2128</v>
      </c>
      <c r="B708" t="s">
        <v>2129</v>
      </c>
      <c r="C708" t="s">
        <v>2130</v>
      </c>
      <c r="D708" t="str">
        <f>HYPERLINK("https://github.com/ankidroid/Anki-Android/issues/2764","show")</f>
        <v>show</v>
      </c>
      <c r="E708" t="str">
        <f t="shared" si="10"/>
        <v>show</v>
      </c>
      <c r="F708" t="str">
        <f t="shared" si="11"/>
        <v>show</v>
      </c>
    </row>
    <row r="709" spans="1:6">
      <c r="A709" t="s">
        <v>2131</v>
      </c>
      <c r="B709" t="s">
        <v>2132</v>
      </c>
      <c r="C709" t="s">
        <v>2133</v>
      </c>
      <c r="D709" t="str">
        <f>HYPERLINK("https://github.com/ankidroid/Anki-Android/issues/2759","show")</f>
        <v>show</v>
      </c>
      <c r="E709" t="str">
        <f t="shared" si="10"/>
        <v>show</v>
      </c>
      <c r="F709" t="str">
        <f t="shared" si="11"/>
        <v>show</v>
      </c>
    </row>
    <row r="710" spans="1:6">
      <c r="A710" t="s">
        <v>2134</v>
      </c>
      <c r="B710" t="s">
        <v>2135</v>
      </c>
      <c r="C710" t="s">
        <v>2136</v>
      </c>
      <c r="D710" t="str">
        <f>HYPERLINK("https://github.com/ankidroid/Anki-Android/issues/2755","show")</f>
        <v>show</v>
      </c>
      <c r="E710" t="str">
        <f t="shared" si="10"/>
        <v>show</v>
      </c>
      <c r="F710" t="str">
        <f t="shared" si="11"/>
        <v>show</v>
      </c>
    </row>
    <row r="711" spans="1:6">
      <c r="A711" t="s">
        <v>2137</v>
      </c>
      <c r="B711" t="s">
        <v>2138</v>
      </c>
      <c r="C711" t="s">
        <v>2139</v>
      </c>
      <c r="D711" t="str">
        <f>HYPERLINK("https://github.com/ankidroid/Anki-Android/issues/2754","show")</f>
        <v>show</v>
      </c>
      <c r="E711" t="str">
        <f t="shared" ref="E711:E774" si="12">HYPERLINK("https://github.com/ankidroid/Anki-Android","show")</f>
        <v>show</v>
      </c>
      <c r="F711" t="str">
        <f t="shared" ref="F711:F774" si="13">HYPERLINK("https://github.com/ankidroid/Anki-Android/releases","show")</f>
        <v>show</v>
      </c>
    </row>
    <row r="712" spans="1:6">
      <c r="A712" t="s">
        <v>2140</v>
      </c>
      <c r="B712" t="s">
        <v>2141</v>
      </c>
      <c r="C712" t="s">
        <v>2142</v>
      </c>
      <c r="D712" t="str">
        <f>HYPERLINK("https://github.com/ankidroid/Anki-Android/issues/2751","show")</f>
        <v>show</v>
      </c>
      <c r="E712" t="str">
        <f t="shared" si="12"/>
        <v>show</v>
      </c>
      <c r="F712" t="str">
        <f t="shared" si="13"/>
        <v>show</v>
      </c>
    </row>
    <row r="713" spans="1:6">
      <c r="A713" t="s">
        <v>2143</v>
      </c>
      <c r="B713" t="s">
        <v>2144</v>
      </c>
      <c r="C713" t="s">
        <v>2145</v>
      </c>
      <c r="D713" t="str">
        <f>HYPERLINK("https://github.com/ankidroid/Anki-Android/issues/2750","show")</f>
        <v>show</v>
      </c>
      <c r="E713" t="str">
        <f t="shared" si="12"/>
        <v>show</v>
      </c>
      <c r="F713" t="str">
        <f t="shared" si="13"/>
        <v>show</v>
      </c>
    </row>
    <row r="714" spans="1:6">
      <c r="A714" t="s">
        <v>2146</v>
      </c>
      <c r="B714" t="s">
        <v>2147</v>
      </c>
      <c r="C714" t="s">
        <v>2148</v>
      </c>
      <c r="D714" t="str">
        <f>HYPERLINK("https://github.com/ankidroid/Anki-Android/issues/2749","show")</f>
        <v>show</v>
      </c>
      <c r="E714" t="str">
        <f t="shared" si="12"/>
        <v>show</v>
      </c>
      <c r="F714" t="str">
        <f t="shared" si="13"/>
        <v>show</v>
      </c>
    </row>
    <row r="715" spans="1:6">
      <c r="A715" t="s">
        <v>2149</v>
      </c>
      <c r="B715" t="s">
        <v>2150</v>
      </c>
      <c r="C715" t="s">
        <v>2151</v>
      </c>
      <c r="D715" t="str">
        <f>HYPERLINK("https://github.com/ankidroid/Anki-Android/issues/2748","show")</f>
        <v>show</v>
      </c>
      <c r="E715" t="str">
        <f t="shared" si="12"/>
        <v>show</v>
      </c>
      <c r="F715" t="str">
        <f t="shared" si="13"/>
        <v>show</v>
      </c>
    </row>
    <row r="716" spans="1:6">
      <c r="A716" t="s">
        <v>2152</v>
      </c>
      <c r="B716" t="s">
        <v>2153</v>
      </c>
      <c r="C716" t="s">
        <v>2154</v>
      </c>
      <c r="D716" t="str">
        <f>HYPERLINK("https://github.com/ankidroid/Anki-Android/issues/2747","show")</f>
        <v>show</v>
      </c>
      <c r="E716" t="str">
        <f t="shared" si="12"/>
        <v>show</v>
      </c>
      <c r="F716" t="str">
        <f t="shared" si="13"/>
        <v>show</v>
      </c>
    </row>
    <row r="717" spans="1:6">
      <c r="A717" t="s">
        <v>2155</v>
      </c>
      <c r="B717" t="s">
        <v>2156</v>
      </c>
      <c r="C717" t="s">
        <v>2157</v>
      </c>
      <c r="D717" t="str">
        <f>HYPERLINK("https://github.com/ankidroid/Anki-Android/issues/2745","show")</f>
        <v>show</v>
      </c>
      <c r="E717" t="str">
        <f t="shared" si="12"/>
        <v>show</v>
      </c>
      <c r="F717" t="str">
        <f t="shared" si="13"/>
        <v>show</v>
      </c>
    </row>
    <row r="718" spans="1:6">
      <c r="A718" t="s">
        <v>2158</v>
      </c>
      <c r="B718" t="s">
        <v>2159</v>
      </c>
      <c r="C718" t="s">
        <v>2160</v>
      </c>
      <c r="D718" t="str">
        <f>HYPERLINK("https://github.com/ankidroid/Anki-Android/issues/2742","show")</f>
        <v>show</v>
      </c>
      <c r="E718" t="str">
        <f t="shared" si="12"/>
        <v>show</v>
      </c>
      <c r="F718" t="str">
        <f t="shared" si="13"/>
        <v>show</v>
      </c>
    </row>
    <row r="719" spans="1:6">
      <c r="A719" t="s">
        <v>2161</v>
      </c>
      <c r="B719" t="s">
        <v>2162</v>
      </c>
      <c r="C719" t="s">
        <v>2163</v>
      </c>
      <c r="D719" t="str">
        <f>HYPERLINK("https://github.com/ankidroid/Anki-Android/issues/2740","show")</f>
        <v>show</v>
      </c>
      <c r="E719" t="str">
        <f t="shared" si="12"/>
        <v>show</v>
      </c>
      <c r="F719" t="str">
        <f t="shared" si="13"/>
        <v>show</v>
      </c>
    </row>
    <row r="720" spans="1:6">
      <c r="A720" t="s">
        <v>2164</v>
      </c>
      <c r="B720" t="s">
        <v>2165</v>
      </c>
      <c r="C720" t="s">
        <v>2166</v>
      </c>
      <c r="D720" t="str">
        <f>HYPERLINK("https://github.com/ankidroid/Anki-Android/issues/2739","show")</f>
        <v>show</v>
      </c>
      <c r="E720" t="str">
        <f t="shared" si="12"/>
        <v>show</v>
      </c>
      <c r="F720" t="str">
        <f t="shared" si="13"/>
        <v>show</v>
      </c>
    </row>
    <row r="721" spans="1:6">
      <c r="A721" t="s">
        <v>2167</v>
      </c>
      <c r="B721" t="s">
        <v>2168</v>
      </c>
      <c r="C721" t="s">
        <v>2169</v>
      </c>
      <c r="D721" t="str">
        <f>HYPERLINK("https://github.com/ankidroid/Anki-Android/issues/2736","show")</f>
        <v>show</v>
      </c>
      <c r="E721" t="str">
        <f t="shared" si="12"/>
        <v>show</v>
      </c>
      <c r="F721" t="str">
        <f t="shared" si="13"/>
        <v>show</v>
      </c>
    </row>
    <row r="722" spans="1:6">
      <c r="A722" t="s">
        <v>2170</v>
      </c>
      <c r="B722" t="s">
        <v>2171</v>
      </c>
      <c r="C722" t="s">
        <v>2172</v>
      </c>
      <c r="D722" t="str">
        <f>HYPERLINK("https://github.com/ankidroid/Anki-Android/issues/2734","show")</f>
        <v>show</v>
      </c>
      <c r="E722" t="str">
        <f t="shared" si="12"/>
        <v>show</v>
      </c>
      <c r="F722" t="str">
        <f t="shared" si="13"/>
        <v>show</v>
      </c>
    </row>
    <row r="723" spans="1:6">
      <c r="A723" t="s">
        <v>2173</v>
      </c>
      <c r="B723" t="s">
        <v>2174</v>
      </c>
      <c r="C723" t="s">
        <v>2175</v>
      </c>
      <c r="D723" t="str">
        <f>HYPERLINK("https://github.com/ankidroid/Anki-Android/issues/2733","show")</f>
        <v>show</v>
      </c>
      <c r="E723" t="str">
        <f t="shared" si="12"/>
        <v>show</v>
      </c>
      <c r="F723" t="str">
        <f t="shared" si="13"/>
        <v>show</v>
      </c>
    </row>
    <row r="724" spans="1:6">
      <c r="A724" t="s">
        <v>2176</v>
      </c>
      <c r="B724" t="s">
        <v>2177</v>
      </c>
      <c r="C724" t="s">
        <v>2178</v>
      </c>
      <c r="D724" t="str">
        <f>HYPERLINK("https://github.com/ankidroid/Anki-Android/issues/2726","show")</f>
        <v>show</v>
      </c>
      <c r="E724" t="str">
        <f t="shared" si="12"/>
        <v>show</v>
      </c>
      <c r="F724" t="str">
        <f t="shared" si="13"/>
        <v>show</v>
      </c>
    </row>
    <row r="725" spans="1:6">
      <c r="A725" t="s">
        <v>2179</v>
      </c>
      <c r="B725" t="s">
        <v>2180</v>
      </c>
      <c r="C725" t="s">
        <v>2181</v>
      </c>
      <c r="D725" t="str">
        <f>HYPERLINK("https://github.com/ankidroid/Anki-Android/issues/2719","show")</f>
        <v>show</v>
      </c>
      <c r="E725" t="str">
        <f t="shared" si="12"/>
        <v>show</v>
      </c>
      <c r="F725" t="str">
        <f t="shared" si="13"/>
        <v>show</v>
      </c>
    </row>
    <row r="726" spans="1:6">
      <c r="A726" t="s">
        <v>2182</v>
      </c>
      <c r="B726" t="s">
        <v>2183</v>
      </c>
      <c r="C726" t="s">
        <v>2184</v>
      </c>
      <c r="D726" t="str">
        <f>HYPERLINK("https://github.com/ankidroid/Anki-Android/issues/2718","show")</f>
        <v>show</v>
      </c>
      <c r="E726" t="str">
        <f t="shared" si="12"/>
        <v>show</v>
      </c>
      <c r="F726" t="str">
        <f t="shared" si="13"/>
        <v>show</v>
      </c>
    </row>
    <row r="727" spans="1:6">
      <c r="A727" t="s">
        <v>2185</v>
      </c>
      <c r="B727" t="s">
        <v>2186</v>
      </c>
      <c r="C727" t="s">
        <v>2187</v>
      </c>
      <c r="D727" t="str">
        <f>HYPERLINK("https://github.com/ankidroid/Anki-Android/issues/2717","show")</f>
        <v>show</v>
      </c>
      <c r="E727" t="str">
        <f t="shared" si="12"/>
        <v>show</v>
      </c>
      <c r="F727" t="str">
        <f t="shared" si="13"/>
        <v>show</v>
      </c>
    </row>
    <row r="728" spans="1:6">
      <c r="A728" t="s">
        <v>2188</v>
      </c>
      <c r="B728" t="s">
        <v>2189</v>
      </c>
      <c r="C728" t="s">
        <v>2190</v>
      </c>
      <c r="D728" t="str">
        <f>HYPERLINK("https://github.com/ankidroid/Anki-Android/issues/2716","show")</f>
        <v>show</v>
      </c>
      <c r="E728" t="str">
        <f t="shared" si="12"/>
        <v>show</v>
      </c>
      <c r="F728" t="str">
        <f t="shared" si="13"/>
        <v>show</v>
      </c>
    </row>
    <row r="729" spans="1:6">
      <c r="A729" t="s">
        <v>2191</v>
      </c>
      <c r="B729" t="s">
        <v>2192</v>
      </c>
      <c r="C729" t="s">
        <v>2193</v>
      </c>
      <c r="D729" t="str">
        <f>HYPERLINK("https://github.com/ankidroid/Anki-Android/issues/2714","show")</f>
        <v>show</v>
      </c>
      <c r="E729" t="str">
        <f t="shared" si="12"/>
        <v>show</v>
      </c>
      <c r="F729" t="str">
        <f t="shared" si="13"/>
        <v>show</v>
      </c>
    </row>
    <row r="730" spans="1:6">
      <c r="A730" t="s">
        <v>2194</v>
      </c>
      <c r="B730" t="s">
        <v>2195</v>
      </c>
      <c r="C730" t="s">
        <v>2196</v>
      </c>
      <c r="D730" t="str">
        <f>HYPERLINK("https://github.com/ankidroid/Anki-Android/issues/2710","show")</f>
        <v>show</v>
      </c>
      <c r="E730" t="str">
        <f t="shared" si="12"/>
        <v>show</v>
      </c>
      <c r="F730" t="str">
        <f t="shared" si="13"/>
        <v>show</v>
      </c>
    </row>
    <row r="731" spans="1:6">
      <c r="A731" t="s">
        <v>2197</v>
      </c>
      <c r="B731" t="s">
        <v>2198</v>
      </c>
      <c r="C731" t="s">
        <v>2199</v>
      </c>
      <c r="D731" t="str">
        <f>HYPERLINK("https://github.com/ankidroid/Anki-Android/issues/2706","show")</f>
        <v>show</v>
      </c>
      <c r="E731" t="str">
        <f t="shared" si="12"/>
        <v>show</v>
      </c>
      <c r="F731" t="str">
        <f t="shared" si="13"/>
        <v>show</v>
      </c>
    </row>
    <row r="732" spans="1:6">
      <c r="A732" t="s">
        <v>2200</v>
      </c>
      <c r="B732" t="s">
        <v>2201</v>
      </c>
      <c r="C732" t="s">
        <v>2202</v>
      </c>
      <c r="D732" t="str">
        <f>HYPERLINK("https://github.com/ankidroid/Anki-Android/issues/2702","show")</f>
        <v>show</v>
      </c>
      <c r="E732" t="str">
        <f t="shared" si="12"/>
        <v>show</v>
      </c>
      <c r="F732" t="str">
        <f t="shared" si="13"/>
        <v>show</v>
      </c>
    </row>
    <row r="733" spans="1:6">
      <c r="A733" t="s">
        <v>2203</v>
      </c>
      <c r="B733" t="s">
        <v>2204</v>
      </c>
      <c r="C733" t="s">
        <v>2205</v>
      </c>
      <c r="D733" t="str">
        <f>HYPERLINK("https://github.com/ankidroid/Anki-Android/issues/2699","show")</f>
        <v>show</v>
      </c>
      <c r="E733" t="str">
        <f t="shared" si="12"/>
        <v>show</v>
      </c>
      <c r="F733" t="str">
        <f t="shared" si="13"/>
        <v>show</v>
      </c>
    </row>
    <row r="734" spans="1:6">
      <c r="A734" t="s">
        <v>2206</v>
      </c>
      <c r="B734" t="s">
        <v>2207</v>
      </c>
      <c r="C734" t="s">
        <v>2208</v>
      </c>
      <c r="D734" t="str">
        <f>HYPERLINK("https://github.com/ankidroid/Anki-Android/issues/2697","show")</f>
        <v>show</v>
      </c>
      <c r="E734" t="str">
        <f t="shared" si="12"/>
        <v>show</v>
      </c>
      <c r="F734" t="str">
        <f t="shared" si="13"/>
        <v>show</v>
      </c>
    </row>
    <row r="735" spans="1:6">
      <c r="A735" t="s">
        <v>2209</v>
      </c>
      <c r="B735" t="s">
        <v>2210</v>
      </c>
      <c r="C735" t="s">
        <v>2211</v>
      </c>
      <c r="D735" t="str">
        <f>HYPERLINK("https://github.com/ankidroid/Anki-Android/issues/2696","show")</f>
        <v>show</v>
      </c>
      <c r="E735" t="str">
        <f t="shared" si="12"/>
        <v>show</v>
      </c>
      <c r="F735" t="str">
        <f t="shared" si="13"/>
        <v>show</v>
      </c>
    </row>
    <row r="736" spans="1:6">
      <c r="A736" t="s">
        <v>2212</v>
      </c>
      <c r="B736" t="s">
        <v>2213</v>
      </c>
      <c r="C736" t="s">
        <v>2214</v>
      </c>
      <c r="D736" t="str">
        <f>HYPERLINK("https://github.com/ankidroid/Anki-Android/issues/2692","show")</f>
        <v>show</v>
      </c>
      <c r="E736" t="str">
        <f t="shared" si="12"/>
        <v>show</v>
      </c>
      <c r="F736" t="str">
        <f t="shared" si="13"/>
        <v>show</v>
      </c>
    </row>
    <row r="737" spans="1:6">
      <c r="A737" t="s">
        <v>2215</v>
      </c>
      <c r="B737" t="s">
        <v>2216</v>
      </c>
      <c r="C737" t="s">
        <v>2217</v>
      </c>
      <c r="D737" t="str">
        <f>HYPERLINK("https://github.com/ankidroid/Anki-Android/issues/2690","show")</f>
        <v>show</v>
      </c>
      <c r="E737" t="str">
        <f t="shared" si="12"/>
        <v>show</v>
      </c>
      <c r="F737" t="str">
        <f t="shared" si="13"/>
        <v>show</v>
      </c>
    </row>
    <row r="738" spans="1:6">
      <c r="A738" t="s">
        <v>2218</v>
      </c>
      <c r="B738" t="s">
        <v>2219</v>
      </c>
      <c r="C738" t="s">
        <v>2220</v>
      </c>
      <c r="D738" t="str">
        <f>HYPERLINK("https://github.com/ankidroid/Anki-Android/issues/2688","show")</f>
        <v>show</v>
      </c>
      <c r="E738" t="str">
        <f t="shared" si="12"/>
        <v>show</v>
      </c>
      <c r="F738" t="str">
        <f t="shared" si="13"/>
        <v>show</v>
      </c>
    </row>
    <row r="739" spans="1:6">
      <c r="A739" t="s">
        <v>2221</v>
      </c>
      <c r="B739" t="s">
        <v>2222</v>
      </c>
      <c r="C739" t="s">
        <v>2223</v>
      </c>
      <c r="D739" t="str">
        <f>HYPERLINK("https://github.com/ankidroid/Anki-Android/issues/2686","show")</f>
        <v>show</v>
      </c>
      <c r="E739" t="str">
        <f t="shared" si="12"/>
        <v>show</v>
      </c>
      <c r="F739" t="str">
        <f t="shared" si="13"/>
        <v>show</v>
      </c>
    </row>
    <row r="740" spans="1:6">
      <c r="A740" t="s">
        <v>2224</v>
      </c>
      <c r="B740" t="s">
        <v>2225</v>
      </c>
      <c r="C740" t="s">
        <v>2226</v>
      </c>
      <c r="D740" t="str">
        <f>HYPERLINK("https://github.com/ankidroid/Anki-Android/issues/2681","show")</f>
        <v>show</v>
      </c>
      <c r="E740" t="str">
        <f t="shared" si="12"/>
        <v>show</v>
      </c>
      <c r="F740" t="str">
        <f t="shared" si="13"/>
        <v>show</v>
      </c>
    </row>
    <row r="741" spans="1:6">
      <c r="A741" t="s">
        <v>2227</v>
      </c>
      <c r="B741" t="s">
        <v>2228</v>
      </c>
      <c r="C741" t="s">
        <v>2229</v>
      </c>
      <c r="D741" t="str">
        <f>HYPERLINK("https://github.com/ankidroid/Anki-Android/issues/2680","show")</f>
        <v>show</v>
      </c>
      <c r="E741" t="str">
        <f t="shared" si="12"/>
        <v>show</v>
      </c>
      <c r="F741" t="str">
        <f t="shared" si="13"/>
        <v>show</v>
      </c>
    </row>
    <row r="742" spans="1:6">
      <c r="A742" t="s">
        <v>2230</v>
      </c>
      <c r="B742" t="s">
        <v>2231</v>
      </c>
      <c r="C742" t="s">
        <v>2232</v>
      </c>
      <c r="D742" t="str">
        <f>HYPERLINK("https://github.com/ankidroid/Anki-Android/issues/2678","show")</f>
        <v>show</v>
      </c>
      <c r="E742" t="str">
        <f t="shared" si="12"/>
        <v>show</v>
      </c>
      <c r="F742" t="str">
        <f t="shared" si="13"/>
        <v>show</v>
      </c>
    </row>
    <row r="743" spans="1:6">
      <c r="A743" t="s">
        <v>2233</v>
      </c>
      <c r="B743" t="s">
        <v>2234</v>
      </c>
      <c r="C743" t="s">
        <v>2235</v>
      </c>
      <c r="D743" t="str">
        <f>HYPERLINK("https://github.com/ankidroid/Anki-Android/issues/2677","show")</f>
        <v>show</v>
      </c>
      <c r="E743" t="str">
        <f t="shared" si="12"/>
        <v>show</v>
      </c>
      <c r="F743" t="str">
        <f t="shared" si="13"/>
        <v>show</v>
      </c>
    </row>
    <row r="744" spans="1:6">
      <c r="A744" t="s">
        <v>2236</v>
      </c>
      <c r="B744" t="s">
        <v>2237</v>
      </c>
      <c r="C744" t="s">
        <v>2238</v>
      </c>
      <c r="D744" t="str">
        <f>HYPERLINK("https://github.com/ankidroid/Anki-Android/issues/2675","show")</f>
        <v>show</v>
      </c>
      <c r="E744" t="str">
        <f t="shared" si="12"/>
        <v>show</v>
      </c>
      <c r="F744" t="str">
        <f t="shared" si="13"/>
        <v>show</v>
      </c>
    </row>
    <row r="745" spans="1:6">
      <c r="A745" t="s">
        <v>2239</v>
      </c>
      <c r="B745" t="s">
        <v>2240</v>
      </c>
      <c r="C745" t="s">
        <v>2241</v>
      </c>
      <c r="D745" t="str">
        <f>HYPERLINK("https://github.com/ankidroid/Anki-Android/issues/2674","show")</f>
        <v>show</v>
      </c>
      <c r="E745" t="str">
        <f t="shared" si="12"/>
        <v>show</v>
      </c>
      <c r="F745" t="str">
        <f t="shared" si="13"/>
        <v>show</v>
      </c>
    </row>
    <row r="746" spans="1:6">
      <c r="A746" t="s">
        <v>2242</v>
      </c>
      <c r="B746" t="s">
        <v>2243</v>
      </c>
      <c r="C746" t="s">
        <v>2244</v>
      </c>
      <c r="D746" t="str">
        <f>HYPERLINK("https://github.com/ankidroid/Anki-Android/issues/2673","show")</f>
        <v>show</v>
      </c>
      <c r="E746" t="str">
        <f t="shared" si="12"/>
        <v>show</v>
      </c>
      <c r="F746" t="str">
        <f t="shared" si="13"/>
        <v>show</v>
      </c>
    </row>
    <row r="747" spans="1:6">
      <c r="A747" t="s">
        <v>2245</v>
      </c>
      <c r="B747" t="s">
        <v>2246</v>
      </c>
      <c r="C747" t="s">
        <v>2247</v>
      </c>
      <c r="D747" t="str">
        <f>HYPERLINK("https://github.com/ankidroid/Anki-Android/issues/2670","show")</f>
        <v>show</v>
      </c>
      <c r="E747" t="str">
        <f t="shared" si="12"/>
        <v>show</v>
      </c>
      <c r="F747" t="str">
        <f t="shared" si="13"/>
        <v>show</v>
      </c>
    </row>
    <row r="748" spans="1:6">
      <c r="A748" t="s">
        <v>2248</v>
      </c>
      <c r="B748" t="s">
        <v>2249</v>
      </c>
      <c r="C748" t="s">
        <v>2250</v>
      </c>
      <c r="D748" t="str">
        <f>HYPERLINK("https://github.com/ankidroid/Anki-Android/issues/2668","show")</f>
        <v>show</v>
      </c>
      <c r="E748" t="str">
        <f t="shared" si="12"/>
        <v>show</v>
      </c>
      <c r="F748" t="str">
        <f t="shared" si="13"/>
        <v>show</v>
      </c>
    </row>
    <row r="749" spans="1:6">
      <c r="A749" t="s">
        <v>2251</v>
      </c>
      <c r="B749" t="s">
        <v>2252</v>
      </c>
      <c r="C749" t="s">
        <v>2253</v>
      </c>
      <c r="D749" t="str">
        <f>HYPERLINK("https://github.com/ankidroid/Anki-Android/issues/2660","show")</f>
        <v>show</v>
      </c>
      <c r="E749" t="str">
        <f t="shared" si="12"/>
        <v>show</v>
      </c>
      <c r="F749" t="str">
        <f t="shared" si="13"/>
        <v>show</v>
      </c>
    </row>
    <row r="750" spans="1:6">
      <c r="A750" t="s">
        <v>2254</v>
      </c>
      <c r="B750" t="s">
        <v>2255</v>
      </c>
      <c r="C750" t="s">
        <v>2256</v>
      </c>
      <c r="D750" t="str">
        <f>HYPERLINK("https://github.com/ankidroid/Anki-Android/issues/2657","show")</f>
        <v>show</v>
      </c>
      <c r="E750" t="str">
        <f t="shared" si="12"/>
        <v>show</v>
      </c>
      <c r="F750" t="str">
        <f t="shared" si="13"/>
        <v>show</v>
      </c>
    </row>
    <row r="751" spans="1:6">
      <c r="A751" t="s">
        <v>2257</v>
      </c>
      <c r="B751" t="s">
        <v>2258</v>
      </c>
      <c r="C751" t="s">
        <v>2259</v>
      </c>
      <c r="D751" t="str">
        <f>HYPERLINK("https://github.com/ankidroid/Anki-Android/issues/2656","show")</f>
        <v>show</v>
      </c>
      <c r="E751" t="str">
        <f t="shared" si="12"/>
        <v>show</v>
      </c>
      <c r="F751" t="str">
        <f t="shared" si="13"/>
        <v>show</v>
      </c>
    </row>
    <row r="752" spans="1:6">
      <c r="A752" t="s">
        <v>2260</v>
      </c>
      <c r="B752" t="s">
        <v>2261</v>
      </c>
      <c r="C752" t="s">
        <v>2262</v>
      </c>
      <c r="D752" t="str">
        <f>HYPERLINK("https://github.com/ankidroid/Anki-Android/issues/2652","show")</f>
        <v>show</v>
      </c>
      <c r="E752" t="str">
        <f t="shared" si="12"/>
        <v>show</v>
      </c>
      <c r="F752" t="str">
        <f t="shared" si="13"/>
        <v>show</v>
      </c>
    </row>
    <row r="753" spans="1:6">
      <c r="A753" t="s">
        <v>2263</v>
      </c>
      <c r="B753" t="s">
        <v>2264</v>
      </c>
      <c r="C753" t="s">
        <v>2265</v>
      </c>
      <c r="D753" t="str">
        <f>HYPERLINK("https://github.com/ankidroid/Anki-Android/issues/2649","show")</f>
        <v>show</v>
      </c>
      <c r="E753" t="str">
        <f t="shared" si="12"/>
        <v>show</v>
      </c>
      <c r="F753" t="str">
        <f t="shared" si="13"/>
        <v>show</v>
      </c>
    </row>
    <row r="754" spans="1:6">
      <c r="A754" t="s">
        <v>2266</v>
      </c>
      <c r="B754" t="s">
        <v>2267</v>
      </c>
      <c r="C754" t="s">
        <v>2268</v>
      </c>
      <c r="D754" t="str">
        <f>HYPERLINK("https://github.com/ankidroid/Anki-Android/issues/2648","show")</f>
        <v>show</v>
      </c>
      <c r="E754" t="str">
        <f t="shared" si="12"/>
        <v>show</v>
      </c>
      <c r="F754" t="str">
        <f t="shared" si="13"/>
        <v>show</v>
      </c>
    </row>
    <row r="755" spans="1:6">
      <c r="A755" t="s">
        <v>2269</v>
      </c>
      <c r="B755" t="s">
        <v>2270</v>
      </c>
      <c r="C755" t="s">
        <v>2271</v>
      </c>
      <c r="D755" t="str">
        <f>HYPERLINK("https://github.com/ankidroid/Anki-Android/issues/2645","show")</f>
        <v>show</v>
      </c>
      <c r="E755" t="str">
        <f t="shared" si="12"/>
        <v>show</v>
      </c>
      <c r="F755" t="str">
        <f t="shared" si="13"/>
        <v>show</v>
      </c>
    </row>
    <row r="756" spans="1:6">
      <c r="A756" t="s">
        <v>2272</v>
      </c>
      <c r="B756" t="s">
        <v>2273</v>
      </c>
      <c r="C756" t="s">
        <v>2274</v>
      </c>
      <c r="D756" t="str">
        <f>HYPERLINK("https://github.com/ankidroid/Anki-Android/issues/2644","show")</f>
        <v>show</v>
      </c>
      <c r="E756" t="str">
        <f t="shared" si="12"/>
        <v>show</v>
      </c>
      <c r="F756" t="str">
        <f t="shared" si="13"/>
        <v>show</v>
      </c>
    </row>
    <row r="757" spans="1:6">
      <c r="A757" t="s">
        <v>2275</v>
      </c>
      <c r="B757" t="s">
        <v>2276</v>
      </c>
      <c r="C757" t="s">
        <v>2277</v>
      </c>
      <c r="D757" t="str">
        <f>HYPERLINK("https://github.com/ankidroid/Anki-Android/issues/2641","show")</f>
        <v>show</v>
      </c>
      <c r="E757" t="str">
        <f t="shared" si="12"/>
        <v>show</v>
      </c>
      <c r="F757" t="str">
        <f t="shared" si="13"/>
        <v>show</v>
      </c>
    </row>
    <row r="758" spans="1:6">
      <c r="A758" t="s">
        <v>2278</v>
      </c>
      <c r="B758" t="s">
        <v>2279</v>
      </c>
      <c r="C758" t="s">
        <v>2280</v>
      </c>
      <c r="D758" t="str">
        <f>HYPERLINK("https://github.com/ankidroid/Anki-Android/issues/2639","show")</f>
        <v>show</v>
      </c>
      <c r="E758" t="str">
        <f t="shared" si="12"/>
        <v>show</v>
      </c>
      <c r="F758" t="str">
        <f t="shared" si="13"/>
        <v>show</v>
      </c>
    </row>
    <row r="759" spans="1:6">
      <c r="A759" t="s">
        <v>2281</v>
      </c>
      <c r="B759" t="s">
        <v>2282</v>
      </c>
      <c r="C759" t="s">
        <v>2283</v>
      </c>
      <c r="D759" t="str">
        <f>HYPERLINK("https://github.com/ankidroid/Anki-Android/issues/2638","show")</f>
        <v>show</v>
      </c>
      <c r="E759" t="str">
        <f t="shared" si="12"/>
        <v>show</v>
      </c>
      <c r="F759" t="str">
        <f t="shared" si="13"/>
        <v>show</v>
      </c>
    </row>
    <row r="760" spans="1:6">
      <c r="A760" t="s">
        <v>2284</v>
      </c>
      <c r="B760" t="s">
        <v>2285</v>
      </c>
      <c r="C760" t="s">
        <v>2286</v>
      </c>
      <c r="D760" t="str">
        <f>HYPERLINK("https://github.com/ankidroid/Anki-Android/issues/2637","show")</f>
        <v>show</v>
      </c>
      <c r="E760" t="str">
        <f t="shared" si="12"/>
        <v>show</v>
      </c>
      <c r="F760" t="str">
        <f t="shared" si="13"/>
        <v>show</v>
      </c>
    </row>
    <row r="761" spans="1:6">
      <c r="A761" t="s">
        <v>2287</v>
      </c>
      <c r="B761" t="s">
        <v>2288</v>
      </c>
      <c r="C761" t="s">
        <v>2289</v>
      </c>
      <c r="D761" t="str">
        <f>HYPERLINK("https://github.com/ankidroid/Anki-Android/issues/2636","show")</f>
        <v>show</v>
      </c>
      <c r="E761" t="str">
        <f t="shared" si="12"/>
        <v>show</v>
      </c>
      <c r="F761" t="str">
        <f t="shared" si="13"/>
        <v>show</v>
      </c>
    </row>
    <row r="762" spans="1:6">
      <c r="A762" t="s">
        <v>2290</v>
      </c>
      <c r="B762" t="s">
        <v>2291</v>
      </c>
      <c r="C762" t="s">
        <v>2292</v>
      </c>
      <c r="D762" t="str">
        <f>HYPERLINK("https://github.com/ankidroid/Anki-Android/issues/2629","show")</f>
        <v>show</v>
      </c>
      <c r="E762" t="str">
        <f t="shared" si="12"/>
        <v>show</v>
      </c>
      <c r="F762" t="str">
        <f t="shared" si="13"/>
        <v>show</v>
      </c>
    </row>
    <row r="763" spans="1:6">
      <c r="A763" t="s">
        <v>2293</v>
      </c>
      <c r="B763" t="s">
        <v>2294</v>
      </c>
      <c r="C763" t="s">
        <v>2295</v>
      </c>
      <c r="D763" t="str">
        <f>HYPERLINK("https://github.com/ankidroid/Anki-Android/issues/2628","show")</f>
        <v>show</v>
      </c>
      <c r="E763" t="str">
        <f t="shared" si="12"/>
        <v>show</v>
      </c>
      <c r="F763" t="str">
        <f t="shared" si="13"/>
        <v>show</v>
      </c>
    </row>
    <row r="764" spans="1:6">
      <c r="A764" t="s">
        <v>2296</v>
      </c>
      <c r="B764" t="s">
        <v>2297</v>
      </c>
      <c r="C764" t="s">
        <v>2298</v>
      </c>
      <c r="D764" t="str">
        <f>HYPERLINK("https://github.com/ankidroid/Anki-Android/issues/2625","show")</f>
        <v>show</v>
      </c>
      <c r="E764" t="str">
        <f t="shared" si="12"/>
        <v>show</v>
      </c>
      <c r="F764" t="str">
        <f t="shared" si="13"/>
        <v>show</v>
      </c>
    </row>
    <row r="765" spans="1:6">
      <c r="A765" t="s">
        <v>2299</v>
      </c>
      <c r="B765" t="s">
        <v>2300</v>
      </c>
      <c r="C765" t="s">
        <v>2301</v>
      </c>
      <c r="D765" t="str">
        <f>HYPERLINK("https://github.com/ankidroid/Anki-Android/issues/2619","show")</f>
        <v>show</v>
      </c>
      <c r="E765" t="str">
        <f t="shared" si="12"/>
        <v>show</v>
      </c>
      <c r="F765" t="str">
        <f t="shared" si="13"/>
        <v>show</v>
      </c>
    </row>
    <row r="766" spans="1:6">
      <c r="A766" t="s">
        <v>2302</v>
      </c>
      <c r="B766" t="s">
        <v>2303</v>
      </c>
      <c r="C766" t="s">
        <v>2304</v>
      </c>
      <c r="D766" t="str">
        <f>HYPERLINK("https://github.com/ankidroid/Anki-Android/issues/2615","show")</f>
        <v>show</v>
      </c>
      <c r="E766" t="str">
        <f t="shared" si="12"/>
        <v>show</v>
      </c>
      <c r="F766" t="str">
        <f t="shared" si="13"/>
        <v>show</v>
      </c>
    </row>
    <row r="767" spans="1:6">
      <c r="A767" t="s">
        <v>2305</v>
      </c>
      <c r="B767" t="s">
        <v>2306</v>
      </c>
      <c r="C767" t="s">
        <v>2307</v>
      </c>
      <c r="D767" t="str">
        <f>HYPERLINK("https://github.com/ankidroid/Anki-Android/issues/2612","show")</f>
        <v>show</v>
      </c>
      <c r="E767" t="str">
        <f t="shared" si="12"/>
        <v>show</v>
      </c>
      <c r="F767" t="str">
        <f t="shared" si="13"/>
        <v>show</v>
      </c>
    </row>
    <row r="768" spans="1:6">
      <c r="A768" t="s">
        <v>2308</v>
      </c>
      <c r="B768" t="s">
        <v>2309</v>
      </c>
      <c r="C768" t="s">
        <v>2310</v>
      </c>
      <c r="D768" t="str">
        <f>HYPERLINK("https://github.com/ankidroid/Anki-Android/issues/2606","show")</f>
        <v>show</v>
      </c>
      <c r="E768" t="str">
        <f t="shared" si="12"/>
        <v>show</v>
      </c>
      <c r="F768" t="str">
        <f t="shared" si="13"/>
        <v>show</v>
      </c>
    </row>
    <row r="769" spans="1:6">
      <c r="A769" t="s">
        <v>2311</v>
      </c>
      <c r="B769" t="s">
        <v>2312</v>
      </c>
      <c r="C769" t="s">
        <v>2313</v>
      </c>
      <c r="D769" t="str">
        <f>HYPERLINK("https://github.com/ankidroid/Anki-Android/issues/2603","show")</f>
        <v>show</v>
      </c>
      <c r="E769" t="str">
        <f t="shared" si="12"/>
        <v>show</v>
      </c>
      <c r="F769" t="str">
        <f t="shared" si="13"/>
        <v>show</v>
      </c>
    </row>
    <row r="770" spans="1:6">
      <c r="A770" t="s">
        <v>2314</v>
      </c>
      <c r="B770" t="s">
        <v>2315</v>
      </c>
      <c r="C770" t="s">
        <v>2316</v>
      </c>
      <c r="D770" t="str">
        <f>HYPERLINK("https://github.com/ankidroid/Anki-Android/issues/2602","show")</f>
        <v>show</v>
      </c>
      <c r="E770" t="str">
        <f t="shared" si="12"/>
        <v>show</v>
      </c>
      <c r="F770" t="str">
        <f t="shared" si="13"/>
        <v>show</v>
      </c>
    </row>
    <row r="771" spans="1:6">
      <c r="A771" t="s">
        <v>2317</v>
      </c>
      <c r="B771" t="s">
        <v>2318</v>
      </c>
      <c r="C771" t="s">
        <v>2319</v>
      </c>
      <c r="D771" t="str">
        <f>HYPERLINK("https://github.com/ankidroid/Anki-Android/issues/2601","show")</f>
        <v>show</v>
      </c>
      <c r="E771" t="str">
        <f t="shared" si="12"/>
        <v>show</v>
      </c>
      <c r="F771" t="str">
        <f t="shared" si="13"/>
        <v>show</v>
      </c>
    </row>
    <row r="772" spans="1:6">
      <c r="A772" t="s">
        <v>2320</v>
      </c>
      <c r="B772" t="s">
        <v>2321</v>
      </c>
      <c r="C772" t="s">
        <v>2322</v>
      </c>
      <c r="D772" t="str">
        <f>HYPERLINK("https://github.com/ankidroid/Anki-Android/issues/2598","show")</f>
        <v>show</v>
      </c>
      <c r="E772" t="str">
        <f t="shared" si="12"/>
        <v>show</v>
      </c>
      <c r="F772" t="str">
        <f t="shared" si="13"/>
        <v>show</v>
      </c>
    </row>
    <row r="773" spans="1:6">
      <c r="A773" t="s">
        <v>2323</v>
      </c>
      <c r="B773" t="s">
        <v>2324</v>
      </c>
      <c r="C773" t="s">
        <v>2325</v>
      </c>
      <c r="D773" t="str">
        <f>HYPERLINK("https://github.com/ankidroid/Anki-Android/issues/2597","show")</f>
        <v>show</v>
      </c>
      <c r="E773" t="str">
        <f t="shared" si="12"/>
        <v>show</v>
      </c>
      <c r="F773" t="str">
        <f t="shared" si="13"/>
        <v>show</v>
      </c>
    </row>
    <row r="774" spans="1:6">
      <c r="A774" t="s">
        <v>2326</v>
      </c>
      <c r="B774" t="s">
        <v>2327</v>
      </c>
      <c r="C774" t="s">
        <v>2328</v>
      </c>
      <c r="D774" t="str">
        <f>HYPERLINK("https://github.com/ankidroid/Anki-Android/issues/2596","show")</f>
        <v>show</v>
      </c>
      <c r="E774" t="str">
        <f t="shared" si="12"/>
        <v>show</v>
      </c>
      <c r="F774" t="str">
        <f t="shared" si="13"/>
        <v>show</v>
      </c>
    </row>
    <row r="775" spans="1:6">
      <c r="A775" t="s">
        <v>2329</v>
      </c>
      <c r="B775" t="s">
        <v>2330</v>
      </c>
      <c r="C775" t="s">
        <v>2331</v>
      </c>
      <c r="D775" t="str">
        <f>HYPERLINK("https://github.com/ankidroid/Anki-Android/issues/2595","show")</f>
        <v>show</v>
      </c>
      <c r="E775" t="str">
        <f t="shared" ref="E775:E838" si="14">HYPERLINK("https://github.com/ankidroid/Anki-Android","show")</f>
        <v>show</v>
      </c>
      <c r="F775" t="str">
        <f t="shared" ref="F775:F838" si="15">HYPERLINK("https://github.com/ankidroid/Anki-Android/releases","show")</f>
        <v>show</v>
      </c>
    </row>
    <row r="776" spans="1:6">
      <c r="A776" t="s">
        <v>2332</v>
      </c>
      <c r="B776" t="s">
        <v>2333</v>
      </c>
      <c r="C776" t="s">
        <v>2334</v>
      </c>
      <c r="D776" t="str">
        <f>HYPERLINK("https://github.com/ankidroid/Anki-Android/issues/2592","show")</f>
        <v>show</v>
      </c>
      <c r="E776" t="str">
        <f t="shared" si="14"/>
        <v>show</v>
      </c>
      <c r="F776" t="str">
        <f t="shared" si="15"/>
        <v>show</v>
      </c>
    </row>
    <row r="777" spans="1:6">
      <c r="A777" t="s">
        <v>2335</v>
      </c>
      <c r="B777" t="s">
        <v>2336</v>
      </c>
      <c r="C777" t="s">
        <v>2337</v>
      </c>
      <c r="D777" t="str">
        <f>HYPERLINK("https://github.com/ankidroid/Anki-Android/issues/2585","show")</f>
        <v>show</v>
      </c>
      <c r="E777" t="str">
        <f t="shared" si="14"/>
        <v>show</v>
      </c>
      <c r="F777" t="str">
        <f t="shared" si="15"/>
        <v>show</v>
      </c>
    </row>
    <row r="778" spans="1:6">
      <c r="A778" t="s">
        <v>2338</v>
      </c>
      <c r="B778" t="s">
        <v>2339</v>
      </c>
      <c r="C778" t="s">
        <v>2340</v>
      </c>
      <c r="D778" t="str">
        <f>HYPERLINK("https://github.com/ankidroid/Anki-Android/issues/2583","show")</f>
        <v>show</v>
      </c>
      <c r="E778" t="str">
        <f t="shared" si="14"/>
        <v>show</v>
      </c>
      <c r="F778" t="str">
        <f t="shared" si="15"/>
        <v>show</v>
      </c>
    </row>
    <row r="779" spans="1:6">
      <c r="A779" t="s">
        <v>2341</v>
      </c>
      <c r="B779" t="s">
        <v>2342</v>
      </c>
      <c r="C779" t="s">
        <v>2343</v>
      </c>
      <c r="D779" t="str">
        <f>HYPERLINK("https://github.com/ankidroid/Anki-Android/issues/2581","show")</f>
        <v>show</v>
      </c>
      <c r="E779" t="str">
        <f t="shared" si="14"/>
        <v>show</v>
      </c>
      <c r="F779" t="str">
        <f t="shared" si="15"/>
        <v>show</v>
      </c>
    </row>
    <row r="780" spans="1:6">
      <c r="A780" t="s">
        <v>2344</v>
      </c>
      <c r="B780" t="s">
        <v>2345</v>
      </c>
      <c r="C780" t="s">
        <v>2346</v>
      </c>
      <c r="D780" t="str">
        <f>HYPERLINK("https://github.com/ankidroid/Anki-Android/issues/2579","show")</f>
        <v>show</v>
      </c>
      <c r="E780" t="str">
        <f t="shared" si="14"/>
        <v>show</v>
      </c>
      <c r="F780" t="str">
        <f t="shared" si="15"/>
        <v>show</v>
      </c>
    </row>
    <row r="781" spans="1:6">
      <c r="A781" t="s">
        <v>2347</v>
      </c>
      <c r="B781" t="s">
        <v>2348</v>
      </c>
      <c r="C781" t="s">
        <v>2349</v>
      </c>
      <c r="D781" t="str">
        <f>HYPERLINK("https://github.com/ankidroid/Anki-Android/issues/2573","show")</f>
        <v>show</v>
      </c>
      <c r="E781" t="str">
        <f t="shared" si="14"/>
        <v>show</v>
      </c>
      <c r="F781" t="str">
        <f t="shared" si="15"/>
        <v>show</v>
      </c>
    </row>
    <row r="782" spans="1:6">
      <c r="A782" t="s">
        <v>2350</v>
      </c>
      <c r="B782" t="s">
        <v>2351</v>
      </c>
      <c r="C782" t="s">
        <v>2352</v>
      </c>
      <c r="D782" t="str">
        <f>HYPERLINK("https://github.com/ankidroid/Anki-Android/issues/2572","show")</f>
        <v>show</v>
      </c>
      <c r="E782" t="str">
        <f t="shared" si="14"/>
        <v>show</v>
      </c>
      <c r="F782" t="str">
        <f t="shared" si="15"/>
        <v>show</v>
      </c>
    </row>
    <row r="783" spans="1:6">
      <c r="A783" t="s">
        <v>2353</v>
      </c>
      <c r="B783" t="s">
        <v>2354</v>
      </c>
      <c r="C783" t="s">
        <v>2355</v>
      </c>
      <c r="D783" t="str">
        <f>HYPERLINK("https://github.com/ankidroid/Anki-Android/issues/2571","show")</f>
        <v>show</v>
      </c>
      <c r="E783" t="str">
        <f t="shared" si="14"/>
        <v>show</v>
      </c>
      <c r="F783" t="str">
        <f t="shared" si="15"/>
        <v>show</v>
      </c>
    </row>
    <row r="784" spans="1:6">
      <c r="A784" t="s">
        <v>2356</v>
      </c>
      <c r="B784" t="s">
        <v>2357</v>
      </c>
      <c r="C784" t="s">
        <v>2358</v>
      </c>
      <c r="D784" t="str">
        <f>HYPERLINK("https://github.com/ankidroid/Anki-Android/issues/2570","show")</f>
        <v>show</v>
      </c>
      <c r="E784" t="str">
        <f t="shared" si="14"/>
        <v>show</v>
      </c>
      <c r="F784" t="str">
        <f t="shared" si="15"/>
        <v>show</v>
      </c>
    </row>
    <row r="785" spans="1:6">
      <c r="A785" t="s">
        <v>2359</v>
      </c>
      <c r="B785" t="s">
        <v>2360</v>
      </c>
      <c r="C785" t="s">
        <v>2361</v>
      </c>
      <c r="D785" t="str">
        <f>HYPERLINK("https://github.com/ankidroid/Anki-Android/issues/2569","show")</f>
        <v>show</v>
      </c>
      <c r="E785" t="str">
        <f t="shared" si="14"/>
        <v>show</v>
      </c>
      <c r="F785" t="str">
        <f t="shared" si="15"/>
        <v>show</v>
      </c>
    </row>
    <row r="786" spans="1:6">
      <c r="A786" t="s">
        <v>2362</v>
      </c>
      <c r="B786" t="s">
        <v>2363</v>
      </c>
      <c r="C786" t="s">
        <v>2364</v>
      </c>
      <c r="D786" t="str">
        <f>HYPERLINK("https://github.com/ankidroid/Anki-Android/issues/2568","show")</f>
        <v>show</v>
      </c>
      <c r="E786" t="str">
        <f t="shared" si="14"/>
        <v>show</v>
      </c>
      <c r="F786" t="str">
        <f t="shared" si="15"/>
        <v>show</v>
      </c>
    </row>
    <row r="787" spans="1:6">
      <c r="A787" t="s">
        <v>2365</v>
      </c>
      <c r="B787" t="s">
        <v>2366</v>
      </c>
      <c r="C787" t="s">
        <v>2367</v>
      </c>
      <c r="D787" t="str">
        <f>HYPERLINK("https://github.com/ankidroid/Anki-Android/issues/2567","show")</f>
        <v>show</v>
      </c>
      <c r="E787" t="str">
        <f t="shared" si="14"/>
        <v>show</v>
      </c>
      <c r="F787" t="str">
        <f t="shared" si="15"/>
        <v>show</v>
      </c>
    </row>
    <row r="788" spans="1:6">
      <c r="A788" t="s">
        <v>2368</v>
      </c>
      <c r="B788" t="s">
        <v>2369</v>
      </c>
      <c r="C788" t="s">
        <v>2370</v>
      </c>
      <c r="D788" t="str">
        <f>HYPERLINK("https://github.com/ankidroid/Anki-Android/issues/2566","show")</f>
        <v>show</v>
      </c>
      <c r="E788" t="str">
        <f t="shared" si="14"/>
        <v>show</v>
      </c>
      <c r="F788" t="str">
        <f t="shared" si="15"/>
        <v>show</v>
      </c>
    </row>
    <row r="789" spans="1:6">
      <c r="A789" t="s">
        <v>2371</v>
      </c>
      <c r="B789" t="s">
        <v>2372</v>
      </c>
      <c r="C789" t="s">
        <v>2373</v>
      </c>
      <c r="D789" t="str">
        <f>HYPERLINK("https://github.com/ankidroid/Anki-Android/issues/2564","show")</f>
        <v>show</v>
      </c>
      <c r="E789" t="str">
        <f t="shared" si="14"/>
        <v>show</v>
      </c>
      <c r="F789" t="str">
        <f t="shared" si="15"/>
        <v>show</v>
      </c>
    </row>
    <row r="790" spans="1:6">
      <c r="A790" t="s">
        <v>2374</v>
      </c>
      <c r="B790" t="s">
        <v>2375</v>
      </c>
      <c r="C790" t="s">
        <v>2376</v>
      </c>
      <c r="D790" t="str">
        <f>HYPERLINK("https://github.com/ankidroid/Anki-Android/issues/2563","show")</f>
        <v>show</v>
      </c>
      <c r="E790" t="str">
        <f t="shared" si="14"/>
        <v>show</v>
      </c>
      <c r="F790" t="str">
        <f t="shared" si="15"/>
        <v>show</v>
      </c>
    </row>
    <row r="791" spans="1:6">
      <c r="A791" t="s">
        <v>2377</v>
      </c>
      <c r="B791" t="s">
        <v>2378</v>
      </c>
      <c r="C791" t="s">
        <v>2379</v>
      </c>
      <c r="D791" t="str">
        <f>HYPERLINK("https://github.com/ankidroid/Anki-Android/issues/2561","show")</f>
        <v>show</v>
      </c>
      <c r="E791" t="str">
        <f t="shared" si="14"/>
        <v>show</v>
      </c>
      <c r="F791" t="str">
        <f t="shared" si="15"/>
        <v>show</v>
      </c>
    </row>
    <row r="792" spans="1:6">
      <c r="A792" t="s">
        <v>2380</v>
      </c>
      <c r="B792" t="s">
        <v>2381</v>
      </c>
      <c r="C792" t="s">
        <v>2382</v>
      </c>
      <c r="D792" t="str">
        <f>HYPERLINK("https://github.com/ankidroid/Anki-Android/issues/2560","show")</f>
        <v>show</v>
      </c>
      <c r="E792" t="str">
        <f t="shared" si="14"/>
        <v>show</v>
      </c>
      <c r="F792" t="str">
        <f t="shared" si="15"/>
        <v>show</v>
      </c>
    </row>
    <row r="793" spans="1:6">
      <c r="A793" t="s">
        <v>2383</v>
      </c>
      <c r="B793" t="s">
        <v>2384</v>
      </c>
      <c r="C793" t="s">
        <v>2385</v>
      </c>
      <c r="D793" t="str">
        <f>HYPERLINK("https://github.com/ankidroid/Anki-Android/issues/2559","show")</f>
        <v>show</v>
      </c>
      <c r="E793" t="str">
        <f t="shared" si="14"/>
        <v>show</v>
      </c>
      <c r="F793" t="str">
        <f t="shared" si="15"/>
        <v>show</v>
      </c>
    </row>
    <row r="794" spans="1:6">
      <c r="A794" t="s">
        <v>2386</v>
      </c>
      <c r="B794" t="s">
        <v>2387</v>
      </c>
      <c r="C794" t="s">
        <v>2388</v>
      </c>
      <c r="D794" t="str">
        <f>HYPERLINK("https://github.com/ankidroid/Anki-Android/issues/2558","show")</f>
        <v>show</v>
      </c>
      <c r="E794" t="str">
        <f t="shared" si="14"/>
        <v>show</v>
      </c>
      <c r="F794" t="str">
        <f t="shared" si="15"/>
        <v>show</v>
      </c>
    </row>
    <row r="795" spans="1:6">
      <c r="A795" t="s">
        <v>2389</v>
      </c>
      <c r="B795" t="s">
        <v>2390</v>
      </c>
      <c r="C795" t="s">
        <v>2391</v>
      </c>
      <c r="D795" t="str">
        <f>HYPERLINK("https://github.com/ankidroid/Anki-Android/issues/2551","show")</f>
        <v>show</v>
      </c>
      <c r="E795" t="str">
        <f t="shared" si="14"/>
        <v>show</v>
      </c>
      <c r="F795" t="str">
        <f t="shared" si="15"/>
        <v>show</v>
      </c>
    </row>
    <row r="796" spans="1:6">
      <c r="A796" t="s">
        <v>2392</v>
      </c>
      <c r="B796" t="s">
        <v>2393</v>
      </c>
      <c r="C796" t="s">
        <v>2394</v>
      </c>
      <c r="D796" t="str">
        <f>HYPERLINK("https://github.com/ankidroid/Anki-Android/issues/2539","show")</f>
        <v>show</v>
      </c>
      <c r="E796" t="str">
        <f t="shared" si="14"/>
        <v>show</v>
      </c>
      <c r="F796" t="str">
        <f t="shared" si="15"/>
        <v>show</v>
      </c>
    </row>
    <row r="797" spans="1:6">
      <c r="A797" t="s">
        <v>2395</v>
      </c>
      <c r="B797" t="s">
        <v>2396</v>
      </c>
      <c r="C797" t="s">
        <v>2397</v>
      </c>
      <c r="D797" t="str">
        <f>HYPERLINK("https://github.com/ankidroid/Anki-Android/issues/2530","show")</f>
        <v>show</v>
      </c>
      <c r="E797" t="str">
        <f t="shared" si="14"/>
        <v>show</v>
      </c>
      <c r="F797" t="str">
        <f t="shared" si="15"/>
        <v>show</v>
      </c>
    </row>
    <row r="798" spans="1:6">
      <c r="A798" t="s">
        <v>2398</v>
      </c>
      <c r="B798" t="s">
        <v>2399</v>
      </c>
      <c r="C798" t="s">
        <v>2400</v>
      </c>
      <c r="D798" t="str">
        <f>HYPERLINK("https://github.com/ankidroid/Anki-Android/issues/2529","show")</f>
        <v>show</v>
      </c>
      <c r="E798" t="str">
        <f t="shared" si="14"/>
        <v>show</v>
      </c>
      <c r="F798" t="str">
        <f t="shared" si="15"/>
        <v>show</v>
      </c>
    </row>
    <row r="799" spans="1:6">
      <c r="A799" t="s">
        <v>2401</v>
      </c>
      <c r="B799" t="s">
        <v>2402</v>
      </c>
      <c r="C799" t="s">
        <v>2403</v>
      </c>
      <c r="D799" t="str">
        <f>HYPERLINK("https://github.com/ankidroid/Anki-Android/issues/2528","show")</f>
        <v>show</v>
      </c>
      <c r="E799" t="str">
        <f t="shared" si="14"/>
        <v>show</v>
      </c>
      <c r="F799" t="str">
        <f t="shared" si="15"/>
        <v>show</v>
      </c>
    </row>
    <row r="800" spans="1:6">
      <c r="A800" t="s">
        <v>2404</v>
      </c>
      <c r="B800" t="s">
        <v>2405</v>
      </c>
      <c r="C800" t="s">
        <v>2406</v>
      </c>
      <c r="D800" t="str">
        <f>HYPERLINK("https://github.com/ankidroid/Anki-Android/issues/2522","show")</f>
        <v>show</v>
      </c>
      <c r="E800" t="str">
        <f t="shared" si="14"/>
        <v>show</v>
      </c>
      <c r="F800" t="str">
        <f t="shared" si="15"/>
        <v>show</v>
      </c>
    </row>
    <row r="801" spans="1:6">
      <c r="A801" t="s">
        <v>2407</v>
      </c>
      <c r="B801" t="s">
        <v>2408</v>
      </c>
      <c r="C801" t="s">
        <v>2409</v>
      </c>
      <c r="D801" t="str">
        <f>HYPERLINK("https://github.com/ankidroid/Anki-Android/issues/2517","show")</f>
        <v>show</v>
      </c>
      <c r="E801" t="str">
        <f t="shared" si="14"/>
        <v>show</v>
      </c>
      <c r="F801" t="str">
        <f t="shared" si="15"/>
        <v>show</v>
      </c>
    </row>
    <row r="802" spans="1:6">
      <c r="A802" t="s">
        <v>2410</v>
      </c>
      <c r="B802" t="s">
        <v>2411</v>
      </c>
      <c r="C802" t="s">
        <v>2412</v>
      </c>
      <c r="D802" t="str">
        <f>HYPERLINK("https://github.com/ankidroid/Anki-Android/issues/2516","show")</f>
        <v>show</v>
      </c>
      <c r="E802" t="str">
        <f t="shared" si="14"/>
        <v>show</v>
      </c>
      <c r="F802" t="str">
        <f t="shared" si="15"/>
        <v>show</v>
      </c>
    </row>
    <row r="803" spans="1:6">
      <c r="A803" t="s">
        <v>2413</v>
      </c>
      <c r="B803" t="s">
        <v>2414</v>
      </c>
      <c r="C803" t="s">
        <v>2415</v>
      </c>
      <c r="D803" t="str">
        <f>HYPERLINK("https://github.com/ankidroid/Anki-Android/issues/2515","show")</f>
        <v>show</v>
      </c>
      <c r="E803" t="str">
        <f t="shared" si="14"/>
        <v>show</v>
      </c>
      <c r="F803" t="str">
        <f t="shared" si="15"/>
        <v>show</v>
      </c>
    </row>
    <row r="804" spans="1:6">
      <c r="A804" t="s">
        <v>2416</v>
      </c>
      <c r="B804" t="s">
        <v>2417</v>
      </c>
      <c r="C804" t="s">
        <v>2418</v>
      </c>
      <c r="D804" t="str">
        <f>HYPERLINK("https://github.com/ankidroid/Anki-Android/issues/2513","show")</f>
        <v>show</v>
      </c>
      <c r="E804" t="str">
        <f t="shared" si="14"/>
        <v>show</v>
      </c>
      <c r="F804" t="str">
        <f t="shared" si="15"/>
        <v>show</v>
      </c>
    </row>
    <row r="805" spans="1:6">
      <c r="A805" t="s">
        <v>2419</v>
      </c>
      <c r="B805" t="s">
        <v>2420</v>
      </c>
      <c r="C805" t="s">
        <v>2421</v>
      </c>
      <c r="D805" t="str">
        <f>HYPERLINK("https://github.com/ankidroid/Anki-Android/issues/2510","show")</f>
        <v>show</v>
      </c>
      <c r="E805" t="str">
        <f t="shared" si="14"/>
        <v>show</v>
      </c>
      <c r="F805" t="str">
        <f t="shared" si="15"/>
        <v>show</v>
      </c>
    </row>
    <row r="806" spans="1:6">
      <c r="A806" t="s">
        <v>2422</v>
      </c>
      <c r="B806" t="s">
        <v>2423</v>
      </c>
      <c r="C806" t="s">
        <v>2424</v>
      </c>
      <c r="D806" t="str">
        <f>HYPERLINK("https://github.com/ankidroid/Anki-Android/issues/2509","show")</f>
        <v>show</v>
      </c>
      <c r="E806" t="str">
        <f t="shared" si="14"/>
        <v>show</v>
      </c>
      <c r="F806" t="str">
        <f t="shared" si="15"/>
        <v>show</v>
      </c>
    </row>
    <row r="807" spans="1:6">
      <c r="A807" t="s">
        <v>2425</v>
      </c>
      <c r="B807" t="s">
        <v>2426</v>
      </c>
      <c r="C807" t="s">
        <v>2427</v>
      </c>
      <c r="D807" t="str">
        <f>HYPERLINK("https://github.com/ankidroid/Anki-Android/issues/2505","show")</f>
        <v>show</v>
      </c>
      <c r="E807" t="str">
        <f t="shared" si="14"/>
        <v>show</v>
      </c>
      <c r="F807" t="str">
        <f t="shared" si="15"/>
        <v>show</v>
      </c>
    </row>
    <row r="808" spans="1:6">
      <c r="A808" t="s">
        <v>2428</v>
      </c>
      <c r="B808" t="s">
        <v>2429</v>
      </c>
      <c r="C808" t="s">
        <v>2430</v>
      </c>
      <c r="D808" t="str">
        <f>HYPERLINK("https://github.com/ankidroid/Anki-Android/issues/2502","show")</f>
        <v>show</v>
      </c>
      <c r="E808" t="str">
        <f t="shared" si="14"/>
        <v>show</v>
      </c>
      <c r="F808" t="str">
        <f t="shared" si="15"/>
        <v>show</v>
      </c>
    </row>
    <row r="809" spans="1:6">
      <c r="A809" t="s">
        <v>2431</v>
      </c>
      <c r="B809" t="s">
        <v>2432</v>
      </c>
      <c r="C809" t="s">
        <v>2433</v>
      </c>
      <c r="D809" t="str">
        <f>HYPERLINK("https://github.com/ankidroid/Anki-Android/issues/2500","show")</f>
        <v>show</v>
      </c>
      <c r="E809" t="str">
        <f t="shared" si="14"/>
        <v>show</v>
      </c>
      <c r="F809" t="str">
        <f t="shared" si="15"/>
        <v>show</v>
      </c>
    </row>
    <row r="810" spans="1:6">
      <c r="A810" t="s">
        <v>2434</v>
      </c>
      <c r="B810" t="s">
        <v>2435</v>
      </c>
      <c r="C810" t="s">
        <v>2436</v>
      </c>
      <c r="D810" t="str">
        <f>HYPERLINK("https://github.com/ankidroid/Anki-Android/issues/2497","show")</f>
        <v>show</v>
      </c>
      <c r="E810" t="str">
        <f t="shared" si="14"/>
        <v>show</v>
      </c>
      <c r="F810" t="str">
        <f t="shared" si="15"/>
        <v>show</v>
      </c>
    </row>
    <row r="811" spans="1:6">
      <c r="A811" t="s">
        <v>2437</v>
      </c>
      <c r="B811" t="s">
        <v>2438</v>
      </c>
      <c r="C811" t="s">
        <v>2439</v>
      </c>
      <c r="D811" t="str">
        <f>HYPERLINK("https://github.com/ankidroid/Anki-Android/issues/2496","show")</f>
        <v>show</v>
      </c>
      <c r="E811" t="str">
        <f t="shared" si="14"/>
        <v>show</v>
      </c>
      <c r="F811" t="str">
        <f t="shared" si="15"/>
        <v>show</v>
      </c>
    </row>
    <row r="812" spans="1:6">
      <c r="A812" t="s">
        <v>2440</v>
      </c>
      <c r="B812" t="s">
        <v>2441</v>
      </c>
      <c r="C812" t="s">
        <v>2442</v>
      </c>
      <c r="D812" t="str">
        <f>HYPERLINK("https://github.com/ankidroid/Anki-Android/issues/2495","show")</f>
        <v>show</v>
      </c>
      <c r="E812" t="str">
        <f t="shared" si="14"/>
        <v>show</v>
      </c>
      <c r="F812" t="str">
        <f t="shared" si="15"/>
        <v>show</v>
      </c>
    </row>
    <row r="813" spans="1:6">
      <c r="A813" t="s">
        <v>2443</v>
      </c>
      <c r="B813" t="s">
        <v>2444</v>
      </c>
      <c r="C813" t="s">
        <v>2445</v>
      </c>
      <c r="D813" t="str">
        <f>HYPERLINK("https://github.com/ankidroid/Anki-Android/issues/2492","show")</f>
        <v>show</v>
      </c>
      <c r="E813" t="str">
        <f t="shared" si="14"/>
        <v>show</v>
      </c>
      <c r="F813" t="str">
        <f t="shared" si="15"/>
        <v>show</v>
      </c>
    </row>
    <row r="814" spans="1:6">
      <c r="A814" t="s">
        <v>2446</v>
      </c>
      <c r="B814" t="s">
        <v>2447</v>
      </c>
      <c r="C814" t="s">
        <v>2448</v>
      </c>
      <c r="D814" t="str">
        <f>HYPERLINK("https://github.com/ankidroid/Anki-Android/issues/2487","show")</f>
        <v>show</v>
      </c>
      <c r="E814" t="str">
        <f t="shared" si="14"/>
        <v>show</v>
      </c>
      <c r="F814" t="str">
        <f t="shared" si="15"/>
        <v>show</v>
      </c>
    </row>
    <row r="815" spans="1:6">
      <c r="A815" t="s">
        <v>2449</v>
      </c>
      <c r="B815" t="s">
        <v>2450</v>
      </c>
      <c r="C815" t="s">
        <v>2451</v>
      </c>
      <c r="D815" t="str">
        <f>HYPERLINK("https://github.com/ankidroid/Anki-Android/issues/2486","show")</f>
        <v>show</v>
      </c>
      <c r="E815" t="str">
        <f t="shared" si="14"/>
        <v>show</v>
      </c>
      <c r="F815" t="str">
        <f t="shared" si="15"/>
        <v>show</v>
      </c>
    </row>
    <row r="816" spans="1:6">
      <c r="A816" t="s">
        <v>2452</v>
      </c>
      <c r="B816" t="s">
        <v>2453</v>
      </c>
      <c r="C816" t="s">
        <v>2454</v>
      </c>
      <c r="D816" t="str">
        <f>HYPERLINK("https://github.com/ankidroid/Anki-Android/issues/2485","show")</f>
        <v>show</v>
      </c>
      <c r="E816" t="str">
        <f t="shared" si="14"/>
        <v>show</v>
      </c>
      <c r="F816" t="str">
        <f t="shared" si="15"/>
        <v>show</v>
      </c>
    </row>
    <row r="817" spans="1:6">
      <c r="A817" t="s">
        <v>2455</v>
      </c>
      <c r="B817" t="s">
        <v>2456</v>
      </c>
      <c r="C817" t="s">
        <v>2457</v>
      </c>
      <c r="D817" t="str">
        <f>HYPERLINK("https://github.com/ankidroid/Anki-Android/issues/2481","show")</f>
        <v>show</v>
      </c>
      <c r="E817" t="str">
        <f t="shared" si="14"/>
        <v>show</v>
      </c>
      <c r="F817" t="str">
        <f t="shared" si="15"/>
        <v>show</v>
      </c>
    </row>
    <row r="818" spans="1:6">
      <c r="A818" t="s">
        <v>2458</v>
      </c>
      <c r="B818" t="s">
        <v>2459</v>
      </c>
      <c r="C818" t="s">
        <v>2460</v>
      </c>
      <c r="D818" t="str">
        <f>HYPERLINK("https://github.com/ankidroid/Anki-Android/issues/2480","show")</f>
        <v>show</v>
      </c>
      <c r="E818" t="str">
        <f t="shared" si="14"/>
        <v>show</v>
      </c>
      <c r="F818" t="str">
        <f t="shared" si="15"/>
        <v>show</v>
      </c>
    </row>
    <row r="819" spans="1:6">
      <c r="A819" t="s">
        <v>2461</v>
      </c>
      <c r="B819" t="s">
        <v>2462</v>
      </c>
      <c r="C819" t="s">
        <v>2463</v>
      </c>
      <c r="D819" t="str">
        <f>HYPERLINK("https://github.com/ankidroid/Anki-Android/issues/2476","show")</f>
        <v>show</v>
      </c>
      <c r="E819" t="str">
        <f t="shared" si="14"/>
        <v>show</v>
      </c>
      <c r="F819" t="str">
        <f t="shared" si="15"/>
        <v>show</v>
      </c>
    </row>
    <row r="820" spans="1:6">
      <c r="A820" t="s">
        <v>2464</v>
      </c>
      <c r="B820" t="s">
        <v>2465</v>
      </c>
      <c r="C820" t="s">
        <v>2466</v>
      </c>
      <c r="D820" t="str">
        <f>HYPERLINK("https://github.com/ankidroid/Anki-Android/issues/2466","show")</f>
        <v>show</v>
      </c>
      <c r="E820" t="str">
        <f t="shared" si="14"/>
        <v>show</v>
      </c>
      <c r="F820" t="str">
        <f t="shared" si="15"/>
        <v>show</v>
      </c>
    </row>
    <row r="821" spans="1:6">
      <c r="A821" t="s">
        <v>2467</v>
      </c>
      <c r="B821" t="s">
        <v>2468</v>
      </c>
      <c r="C821" t="s">
        <v>2469</v>
      </c>
      <c r="D821" t="str">
        <f>HYPERLINK("https://github.com/ankidroid/Anki-Android/issues/2461","show")</f>
        <v>show</v>
      </c>
      <c r="E821" t="str">
        <f t="shared" si="14"/>
        <v>show</v>
      </c>
      <c r="F821" t="str">
        <f t="shared" si="15"/>
        <v>show</v>
      </c>
    </row>
    <row r="822" spans="1:6">
      <c r="A822" t="s">
        <v>2470</v>
      </c>
      <c r="B822" t="s">
        <v>2471</v>
      </c>
      <c r="C822" t="s">
        <v>2472</v>
      </c>
      <c r="D822" t="str">
        <f>HYPERLINK("https://github.com/ankidroid/Anki-Android/issues/2460","show")</f>
        <v>show</v>
      </c>
      <c r="E822" t="str">
        <f t="shared" si="14"/>
        <v>show</v>
      </c>
      <c r="F822" t="str">
        <f t="shared" si="15"/>
        <v>show</v>
      </c>
    </row>
    <row r="823" spans="1:6">
      <c r="A823" t="s">
        <v>2473</v>
      </c>
      <c r="B823" t="s">
        <v>2474</v>
      </c>
      <c r="C823" t="s">
        <v>2475</v>
      </c>
      <c r="D823" t="str">
        <f>HYPERLINK("https://github.com/ankidroid/Anki-Android/issues/2454","show")</f>
        <v>show</v>
      </c>
      <c r="E823" t="str">
        <f t="shared" si="14"/>
        <v>show</v>
      </c>
      <c r="F823" t="str">
        <f t="shared" si="15"/>
        <v>show</v>
      </c>
    </row>
    <row r="824" spans="1:6">
      <c r="A824" t="s">
        <v>2476</v>
      </c>
      <c r="B824" t="s">
        <v>2477</v>
      </c>
      <c r="C824" t="s">
        <v>2478</v>
      </c>
      <c r="D824" t="str">
        <f>HYPERLINK("https://github.com/ankidroid/Anki-Android/issues/2453","show")</f>
        <v>show</v>
      </c>
      <c r="E824" t="str">
        <f t="shared" si="14"/>
        <v>show</v>
      </c>
      <c r="F824" t="str">
        <f t="shared" si="15"/>
        <v>show</v>
      </c>
    </row>
    <row r="825" spans="1:6">
      <c r="A825" t="s">
        <v>2479</v>
      </c>
      <c r="B825" t="s">
        <v>2480</v>
      </c>
      <c r="C825" t="s">
        <v>2481</v>
      </c>
      <c r="D825" t="str">
        <f>HYPERLINK("https://github.com/ankidroid/Anki-Android/issues/2451","show")</f>
        <v>show</v>
      </c>
      <c r="E825" t="str">
        <f t="shared" si="14"/>
        <v>show</v>
      </c>
      <c r="F825" t="str">
        <f t="shared" si="15"/>
        <v>show</v>
      </c>
    </row>
    <row r="826" spans="1:6">
      <c r="A826" t="s">
        <v>2482</v>
      </c>
      <c r="B826" t="s">
        <v>2483</v>
      </c>
      <c r="C826" t="s">
        <v>2484</v>
      </c>
      <c r="D826" t="str">
        <f>HYPERLINK("https://github.com/ankidroid/Anki-Android/issues/2450","show")</f>
        <v>show</v>
      </c>
      <c r="E826" t="str">
        <f t="shared" si="14"/>
        <v>show</v>
      </c>
      <c r="F826" t="str">
        <f t="shared" si="15"/>
        <v>show</v>
      </c>
    </row>
    <row r="827" spans="1:6">
      <c r="A827" t="s">
        <v>2485</v>
      </c>
      <c r="B827" t="s">
        <v>2486</v>
      </c>
      <c r="C827" t="s">
        <v>2487</v>
      </c>
      <c r="D827" t="str">
        <f>HYPERLINK("https://github.com/ankidroid/Anki-Android/issues/2448","show")</f>
        <v>show</v>
      </c>
      <c r="E827" t="str">
        <f t="shared" si="14"/>
        <v>show</v>
      </c>
      <c r="F827" t="str">
        <f t="shared" si="15"/>
        <v>show</v>
      </c>
    </row>
    <row r="828" spans="1:6">
      <c r="A828" t="s">
        <v>2488</v>
      </c>
      <c r="B828" t="s">
        <v>2489</v>
      </c>
      <c r="C828" t="s">
        <v>2490</v>
      </c>
      <c r="D828" t="str">
        <f>HYPERLINK("https://github.com/ankidroid/Anki-Android/issues/2447","show")</f>
        <v>show</v>
      </c>
      <c r="E828" t="str">
        <f t="shared" si="14"/>
        <v>show</v>
      </c>
      <c r="F828" t="str">
        <f t="shared" si="15"/>
        <v>show</v>
      </c>
    </row>
    <row r="829" spans="1:6">
      <c r="A829" t="s">
        <v>2491</v>
      </c>
      <c r="B829" t="s">
        <v>2492</v>
      </c>
      <c r="C829" t="s">
        <v>2493</v>
      </c>
      <c r="D829" t="str">
        <f>HYPERLINK("https://github.com/ankidroid/Anki-Android/issues/2443","show")</f>
        <v>show</v>
      </c>
      <c r="E829" t="str">
        <f t="shared" si="14"/>
        <v>show</v>
      </c>
      <c r="F829" t="str">
        <f t="shared" si="15"/>
        <v>show</v>
      </c>
    </row>
    <row r="830" spans="1:6">
      <c r="A830" t="s">
        <v>2494</v>
      </c>
      <c r="B830" t="s">
        <v>2495</v>
      </c>
      <c r="C830" t="s">
        <v>2496</v>
      </c>
      <c r="D830" t="str">
        <f>HYPERLINK("https://github.com/ankidroid/Anki-Android/issues/2442","show")</f>
        <v>show</v>
      </c>
      <c r="E830" t="str">
        <f t="shared" si="14"/>
        <v>show</v>
      </c>
      <c r="F830" t="str">
        <f t="shared" si="15"/>
        <v>show</v>
      </c>
    </row>
    <row r="831" spans="1:6">
      <c r="A831" t="s">
        <v>2497</v>
      </c>
      <c r="B831" t="s">
        <v>2498</v>
      </c>
      <c r="C831" t="s">
        <v>2499</v>
      </c>
      <c r="D831" t="str">
        <f>HYPERLINK("https://github.com/ankidroid/Anki-Android/issues/2441","show")</f>
        <v>show</v>
      </c>
      <c r="E831" t="str">
        <f t="shared" si="14"/>
        <v>show</v>
      </c>
      <c r="F831" t="str">
        <f t="shared" si="15"/>
        <v>show</v>
      </c>
    </row>
    <row r="832" spans="1:6">
      <c r="A832" t="s">
        <v>2500</v>
      </c>
      <c r="B832" t="s">
        <v>2501</v>
      </c>
      <c r="C832" t="s">
        <v>2502</v>
      </c>
      <c r="D832" t="str">
        <f>HYPERLINK("https://github.com/ankidroid/Anki-Android/issues/2440","show")</f>
        <v>show</v>
      </c>
      <c r="E832" t="str">
        <f t="shared" si="14"/>
        <v>show</v>
      </c>
      <c r="F832" t="str">
        <f t="shared" si="15"/>
        <v>show</v>
      </c>
    </row>
    <row r="833" spans="1:6">
      <c r="A833" t="s">
        <v>2503</v>
      </c>
      <c r="B833" t="s">
        <v>2504</v>
      </c>
      <c r="C833" t="s">
        <v>2505</v>
      </c>
      <c r="D833" t="str">
        <f>HYPERLINK("https://github.com/ankidroid/Anki-Android/issues/2438","show")</f>
        <v>show</v>
      </c>
      <c r="E833" t="str">
        <f t="shared" si="14"/>
        <v>show</v>
      </c>
      <c r="F833" t="str">
        <f t="shared" si="15"/>
        <v>show</v>
      </c>
    </row>
    <row r="834" spans="1:6">
      <c r="A834" t="s">
        <v>2506</v>
      </c>
      <c r="B834" t="s">
        <v>2507</v>
      </c>
      <c r="C834" t="s">
        <v>2508</v>
      </c>
      <c r="D834" t="str">
        <f>HYPERLINK("https://github.com/ankidroid/Anki-Android/issues/2435","show")</f>
        <v>show</v>
      </c>
      <c r="E834" t="str">
        <f t="shared" si="14"/>
        <v>show</v>
      </c>
      <c r="F834" t="str">
        <f t="shared" si="15"/>
        <v>show</v>
      </c>
    </row>
    <row r="835" spans="1:6">
      <c r="A835" t="s">
        <v>2509</v>
      </c>
      <c r="B835" t="s">
        <v>2510</v>
      </c>
      <c r="C835" t="s">
        <v>2511</v>
      </c>
      <c r="D835" t="str">
        <f>HYPERLINK("https://github.com/ankidroid/Anki-Android/issues/2434","show")</f>
        <v>show</v>
      </c>
      <c r="E835" t="str">
        <f t="shared" si="14"/>
        <v>show</v>
      </c>
      <c r="F835" t="str">
        <f t="shared" si="15"/>
        <v>show</v>
      </c>
    </row>
    <row r="836" spans="1:6">
      <c r="A836" t="s">
        <v>2512</v>
      </c>
      <c r="B836" t="s">
        <v>2513</v>
      </c>
      <c r="C836" t="s">
        <v>2514</v>
      </c>
      <c r="D836" t="str">
        <f>HYPERLINK("https://github.com/ankidroid/Anki-Android/issues/2433","show")</f>
        <v>show</v>
      </c>
      <c r="E836" t="str">
        <f t="shared" si="14"/>
        <v>show</v>
      </c>
      <c r="F836" t="str">
        <f t="shared" si="15"/>
        <v>show</v>
      </c>
    </row>
    <row r="837" spans="1:6">
      <c r="A837" t="s">
        <v>2515</v>
      </c>
      <c r="B837" t="s">
        <v>2516</v>
      </c>
      <c r="C837" t="s">
        <v>2517</v>
      </c>
      <c r="D837" t="str">
        <f>HYPERLINK("https://github.com/ankidroid/Anki-Android/issues/2431","show")</f>
        <v>show</v>
      </c>
      <c r="E837" t="str">
        <f t="shared" si="14"/>
        <v>show</v>
      </c>
      <c r="F837" t="str">
        <f t="shared" si="15"/>
        <v>show</v>
      </c>
    </row>
    <row r="838" spans="1:6">
      <c r="A838" t="s">
        <v>2518</v>
      </c>
      <c r="B838" t="s">
        <v>2519</v>
      </c>
      <c r="C838" t="s">
        <v>2520</v>
      </c>
      <c r="D838" t="str">
        <f>HYPERLINK("https://github.com/ankidroid/Anki-Android/issues/2430","show")</f>
        <v>show</v>
      </c>
      <c r="E838" t="str">
        <f t="shared" si="14"/>
        <v>show</v>
      </c>
      <c r="F838" t="str">
        <f t="shared" si="15"/>
        <v>show</v>
      </c>
    </row>
    <row r="839" spans="1:6">
      <c r="A839" t="s">
        <v>2521</v>
      </c>
      <c r="B839" t="s">
        <v>2522</v>
      </c>
      <c r="C839" t="s">
        <v>2523</v>
      </c>
      <c r="D839" t="str">
        <f>HYPERLINK("https://github.com/ankidroid/Anki-Android/issues/2429","show")</f>
        <v>show</v>
      </c>
      <c r="E839" t="str">
        <f t="shared" ref="E839:E854" si="16">HYPERLINK("https://github.com/ankidroid/Anki-Android","show")</f>
        <v>show</v>
      </c>
      <c r="F839" t="str">
        <f t="shared" ref="F839:F854" si="17">HYPERLINK("https://github.com/ankidroid/Anki-Android/releases","show")</f>
        <v>show</v>
      </c>
    </row>
    <row r="840" spans="1:6">
      <c r="A840" t="s">
        <v>2524</v>
      </c>
      <c r="B840" t="s">
        <v>2525</v>
      </c>
      <c r="C840" t="s">
        <v>2526</v>
      </c>
      <c r="D840" t="str">
        <f>HYPERLINK("https://github.com/ankidroid/Anki-Android/issues/2428","show")</f>
        <v>show</v>
      </c>
      <c r="E840" t="str">
        <f t="shared" si="16"/>
        <v>show</v>
      </c>
      <c r="F840" t="str">
        <f t="shared" si="17"/>
        <v>show</v>
      </c>
    </row>
    <row r="841" spans="1:6">
      <c r="A841" t="s">
        <v>2527</v>
      </c>
      <c r="B841" t="s">
        <v>2528</v>
      </c>
      <c r="C841" t="s">
        <v>2529</v>
      </c>
      <c r="D841" t="str">
        <f>HYPERLINK("https://github.com/ankidroid/Anki-Android/issues/2427","show")</f>
        <v>show</v>
      </c>
      <c r="E841" t="str">
        <f t="shared" si="16"/>
        <v>show</v>
      </c>
      <c r="F841" t="str">
        <f t="shared" si="17"/>
        <v>show</v>
      </c>
    </row>
    <row r="842" spans="1:6">
      <c r="A842" t="s">
        <v>2530</v>
      </c>
      <c r="B842" t="s">
        <v>2531</v>
      </c>
      <c r="C842" t="s">
        <v>2532</v>
      </c>
      <c r="D842" t="str">
        <f>HYPERLINK("https://github.com/ankidroid/Anki-Android/issues/2425","show")</f>
        <v>show</v>
      </c>
      <c r="E842" t="str">
        <f t="shared" si="16"/>
        <v>show</v>
      </c>
      <c r="F842" t="str">
        <f t="shared" si="17"/>
        <v>show</v>
      </c>
    </row>
    <row r="843" spans="1:6">
      <c r="A843" t="s">
        <v>2533</v>
      </c>
      <c r="B843" t="s">
        <v>2534</v>
      </c>
      <c r="C843" t="s">
        <v>2535</v>
      </c>
      <c r="D843" t="str">
        <f>HYPERLINK("https://github.com/ankidroid/Anki-Android/issues/2424","show")</f>
        <v>show</v>
      </c>
      <c r="E843" t="str">
        <f t="shared" si="16"/>
        <v>show</v>
      </c>
      <c r="F843" t="str">
        <f t="shared" si="17"/>
        <v>show</v>
      </c>
    </row>
    <row r="844" spans="1:6">
      <c r="A844" t="s">
        <v>2536</v>
      </c>
      <c r="B844" t="s">
        <v>2537</v>
      </c>
      <c r="C844" t="s">
        <v>2538</v>
      </c>
      <c r="D844" t="str">
        <f>HYPERLINK("https://github.com/ankidroid/Anki-Android/issues/2422","show")</f>
        <v>show</v>
      </c>
      <c r="E844" t="str">
        <f t="shared" si="16"/>
        <v>show</v>
      </c>
      <c r="F844" t="str">
        <f t="shared" si="17"/>
        <v>show</v>
      </c>
    </row>
    <row r="845" spans="1:6">
      <c r="A845" t="s">
        <v>2539</v>
      </c>
      <c r="B845" t="s">
        <v>2540</v>
      </c>
      <c r="C845" t="s">
        <v>2541</v>
      </c>
      <c r="D845" t="str">
        <f>HYPERLINK("https://github.com/ankidroid/Anki-Android/issues/2418","show")</f>
        <v>show</v>
      </c>
      <c r="E845" t="str">
        <f t="shared" si="16"/>
        <v>show</v>
      </c>
      <c r="F845" t="str">
        <f t="shared" si="17"/>
        <v>show</v>
      </c>
    </row>
    <row r="846" spans="1:6">
      <c r="A846" t="s">
        <v>2542</v>
      </c>
      <c r="B846" t="s">
        <v>2543</v>
      </c>
      <c r="C846" t="s">
        <v>2544</v>
      </c>
      <c r="D846" t="str">
        <f>HYPERLINK("https://github.com/ankidroid/Anki-Android/issues/2417","show")</f>
        <v>show</v>
      </c>
      <c r="E846" t="str">
        <f t="shared" si="16"/>
        <v>show</v>
      </c>
      <c r="F846" t="str">
        <f t="shared" si="17"/>
        <v>show</v>
      </c>
    </row>
    <row r="847" spans="1:6">
      <c r="A847" t="s">
        <v>2545</v>
      </c>
      <c r="B847" t="s">
        <v>2546</v>
      </c>
      <c r="C847" t="s">
        <v>2547</v>
      </c>
      <c r="D847" t="str">
        <f>HYPERLINK("https://github.com/ankidroid/Anki-Android/issues/2415","show")</f>
        <v>show</v>
      </c>
      <c r="E847" t="str">
        <f t="shared" si="16"/>
        <v>show</v>
      </c>
      <c r="F847" t="str">
        <f t="shared" si="17"/>
        <v>show</v>
      </c>
    </row>
    <row r="848" spans="1:6">
      <c r="A848" t="s">
        <v>2548</v>
      </c>
      <c r="B848" t="s">
        <v>2549</v>
      </c>
      <c r="C848" t="s">
        <v>2550</v>
      </c>
      <c r="D848" t="str">
        <f>HYPERLINK("https://github.com/ankidroid/Anki-Android/issues/2409","show")</f>
        <v>show</v>
      </c>
      <c r="E848" t="str">
        <f t="shared" si="16"/>
        <v>show</v>
      </c>
      <c r="F848" t="str">
        <f t="shared" si="17"/>
        <v>show</v>
      </c>
    </row>
    <row r="849" spans="1:6">
      <c r="A849" t="s">
        <v>2551</v>
      </c>
      <c r="B849" t="s">
        <v>2552</v>
      </c>
      <c r="C849" t="s">
        <v>2553</v>
      </c>
      <c r="D849" t="str">
        <f>HYPERLINK("https://github.com/ankidroid/Anki-Android/issues/2408","show")</f>
        <v>show</v>
      </c>
      <c r="E849" t="str">
        <f t="shared" si="16"/>
        <v>show</v>
      </c>
      <c r="F849" t="str">
        <f t="shared" si="17"/>
        <v>show</v>
      </c>
    </row>
    <row r="850" spans="1:6">
      <c r="A850" t="s">
        <v>2554</v>
      </c>
      <c r="B850" t="s">
        <v>2555</v>
      </c>
      <c r="C850" t="s">
        <v>2556</v>
      </c>
      <c r="D850" t="str">
        <f>HYPERLINK("https://github.com/ankidroid/Anki-Android/issues/2407","show")</f>
        <v>show</v>
      </c>
      <c r="E850" t="str">
        <f t="shared" si="16"/>
        <v>show</v>
      </c>
      <c r="F850" t="str">
        <f t="shared" si="17"/>
        <v>show</v>
      </c>
    </row>
    <row r="851" spans="1:6">
      <c r="A851" t="s">
        <v>2557</v>
      </c>
      <c r="B851" t="s">
        <v>2558</v>
      </c>
      <c r="C851" t="s">
        <v>2559</v>
      </c>
      <c r="D851" t="str">
        <f>HYPERLINK("https://github.com/ankidroid/Anki-Android/issues/2406","show")</f>
        <v>show</v>
      </c>
      <c r="E851" t="str">
        <f t="shared" si="16"/>
        <v>show</v>
      </c>
      <c r="F851" t="str">
        <f t="shared" si="17"/>
        <v>show</v>
      </c>
    </row>
    <row r="852" spans="1:6">
      <c r="A852" t="s">
        <v>2560</v>
      </c>
      <c r="B852" t="s">
        <v>2561</v>
      </c>
      <c r="C852" t="s">
        <v>2562</v>
      </c>
      <c r="D852" t="str">
        <f>HYPERLINK("https://github.com/ankidroid/Anki-Android/issues/2404","show")</f>
        <v>show</v>
      </c>
      <c r="E852" t="str">
        <f t="shared" si="16"/>
        <v>show</v>
      </c>
      <c r="F852" t="str">
        <f t="shared" si="17"/>
        <v>show</v>
      </c>
    </row>
    <row r="853" spans="1:6">
      <c r="A853" t="s">
        <v>2563</v>
      </c>
      <c r="B853" t="s">
        <v>2564</v>
      </c>
      <c r="C853" t="s">
        <v>2565</v>
      </c>
      <c r="D853" t="str">
        <f>HYPERLINK("https://github.com/ankidroid/Anki-Android/issues/2403","show")</f>
        <v>show</v>
      </c>
      <c r="E853" t="str">
        <f t="shared" si="16"/>
        <v>show</v>
      </c>
      <c r="F853" t="str">
        <f t="shared" si="17"/>
        <v>show</v>
      </c>
    </row>
    <row r="854" spans="1:6">
      <c r="A854" t="s">
        <v>2566</v>
      </c>
      <c r="B854" t="s">
        <v>2567</v>
      </c>
      <c r="C854" t="s">
        <v>2568</v>
      </c>
      <c r="D854" t="str">
        <f>HYPERLINK("https://github.com/ankidroid/Anki-Android/issues/2400","show")</f>
        <v>show</v>
      </c>
      <c r="E854" t="str">
        <f t="shared" si="16"/>
        <v>show</v>
      </c>
      <c r="F854" t="str">
        <f t="shared" si="17"/>
        <v>show</v>
      </c>
    </row>
    <row r="855" spans="1:6">
      <c r="A855" t="s">
        <v>2569</v>
      </c>
      <c r="B855" t="s">
        <v>2570</v>
      </c>
      <c r="C855" t="s">
        <v>2571</v>
      </c>
      <c r="D855" t="str">
        <f>HYPERLINK("https://github.com/Fermat-ORG/fermat-framework/issues/970","show")</f>
        <v>show</v>
      </c>
      <c r="E855" t="str">
        <f>HYPERLINK("https://github.com/Fermat-ORG/fermat-framework","show")</f>
        <v>show</v>
      </c>
      <c r="F855" t="str">
        <f>HYPERLINK("https://github.com/Fermat-ORG/fermat-framework/releases","show")</f>
        <v>show</v>
      </c>
    </row>
    <row r="856" spans="1:6">
      <c r="A856" t="s">
        <v>2572</v>
      </c>
      <c r="B856" t="s">
        <v>2573</v>
      </c>
      <c r="C856" t="s">
        <v>2574</v>
      </c>
      <c r="D856" t="str">
        <f>HYPERLINK("https://github.com/Fermat-ORG/fermat-framework/issues/967","show")</f>
        <v>show</v>
      </c>
      <c r="E856" t="str">
        <f>HYPERLINK("https://github.com/Fermat-ORG/fermat-framework","show")</f>
        <v>show</v>
      </c>
      <c r="F856" t="str">
        <f>HYPERLINK("https://github.com/Fermat-ORG/fermat-framework/releases","show")</f>
        <v>show</v>
      </c>
    </row>
    <row r="857" spans="1:6">
      <c r="A857" t="s">
        <v>2575</v>
      </c>
      <c r="B857" t="s">
        <v>2576</v>
      </c>
      <c r="C857" t="s">
        <v>2577</v>
      </c>
      <c r="D857" t="str">
        <f>HYPERLINK("https://github.com/Bathlamos/RTDC/issues/73","show")</f>
        <v>show</v>
      </c>
      <c r="E857" t="str">
        <f>HYPERLINK("https://github.com/Bathlamos/RTDC","show")</f>
        <v>show</v>
      </c>
      <c r="F857" t="str">
        <f>HYPERLINK("https://github.com/Bathlamos/RTDC/releases","show")</f>
        <v>show</v>
      </c>
    </row>
    <row r="858" spans="1:6">
      <c r="A858" t="s">
        <v>2578</v>
      </c>
      <c r="B858" t="s">
        <v>2579</v>
      </c>
      <c r="C858" t="s">
        <v>2580</v>
      </c>
      <c r="D858" t="str">
        <f>HYPERLINK("https://github.com/koral--/android-gif-drawable/issues/194","show")</f>
        <v>show</v>
      </c>
      <c r="E858" t="str">
        <f>HYPERLINK("https://github.com/koral--/android-gif-drawable","show")</f>
        <v>show</v>
      </c>
      <c r="F858" t="str">
        <f>HYPERLINK("https://github.com/koral--/android-gif-drawable/releases","show")</f>
        <v>show</v>
      </c>
    </row>
    <row r="859" spans="1:6">
      <c r="A859" t="s">
        <v>2581</v>
      </c>
      <c r="B859" t="s">
        <v>2582</v>
      </c>
      <c r="C859" t="s">
        <v>2583</v>
      </c>
      <c r="D859" t="str">
        <f>HYPERLINK("https://github.com/gdg-x/frisbee/issues/453","show")</f>
        <v>show</v>
      </c>
      <c r="E859" t="str">
        <f>HYPERLINK("https://github.com/gdg-x/frisbee","show")</f>
        <v>show</v>
      </c>
      <c r="F859" t="str">
        <f>HYPERLINK("https://github.com/gdg-x/frisbee/releases","show")</f>
        <v>show</v>
      </c>
    </row>
    <row r="860" spans="1:6">
      <c r="A860" t="s">
        <v>2584</v>
      </c>
      <c r="B860" t="s">
        <v>2585</v>
      </c>
      <c r="C860" t="s">
        <v>2586</v>
      </c>
      <c r="D860" t="str">
        <f>HYPERLINK("https://github.com/gdg-x/frisbee/issues/447","show")</f>
        <v>show</v>
      </c>
      <c r="E860" t="str">
        <f>HYPERLINK("https://github.com/gdg-x/frisbee","show")</f>
        <v>show</v>
      </c>
      <c r="F860" t="str">
        <f>HYPERLINK("https://github.com/gdg-x/frisbee/releases","show")</f>
        <v>show</v>
      </c>
    </row>
    <row r="861" spans="1:6">
      <c r="A861" t="s">
        <v>2587</v>
      </c>
      <c r="B861" t="s">
        <v>2588</v>
      </c>
      <c r="C861" t="s">
        <v>2589</v>
      </c>
      <c r="D861" t="str">
        <f>HYPERLINK("https://github.com/CellularPrivacy/Android-IMSI-Catcher-Detector/issues/595","show")</f>
        <v>show</v>
      </c>
      <c r="E861" t="str">
        <f>HYPERLINK("https://github.com/CellularPrivacy/Android-IMSI-Catcher-Detector","show")</f>
        <v>show</v>
      </c>
      <c r="F861" t="str">
        <f>HYPERLINK("https://github.com/CellularPrivacy/Android-IMSI-Catcher-Detector/releases","show")</f>
        <v>show</v>
      </c>
    </row>
    <row r="862" spans="1:6">
      <c r="A862" t="s">
        <v>2590</v>
      </c>
      <c r="B862" t="s">
        <v>2591</v>
      </c>
      <c r="C862" t="s">
        <v>2592</v>
      </c>
      <c r="D862" t="str">
        <f>HYPERLINK("https://github.com/ukanth/afwall/issues/399","show")</f>
        <v>show</v>
      </c>
      <c r="E862" t="str">
        <f>HYPERLINK("https://github.com/ukanth/afwall","show")</f>
        <v>show</v>
      </c>
      <c r="F862" t="str">
        <f>HYPERLINK("https://github.com/ukanth/afwall/releases","show")</f>
        <v>show</v>
      </c>
    </row>
    <row r="863" spans="1:6">
      <c r="A863" t="s">
        <v>2593</v>
      </c>
      <c r="B863" t="s">
        <v>2594</v>
      </c>
      <c r="C863" t="s">
        <v>2595</v>
      </c>
      <c r="D863" t="str">
        <f>HYPERLINK("https://github.com/jMonkeyEngine/jmonkeyengine/issues/313","show")</f>
        <v>show</v>
      </c>
      <c r="E863" t="str">
        <f>HYPERLINK("https://github.com/jMonkeyEngine/jmonkeyengine","show")</f>
        <v>show</v>
      </c>
      <c r="F863" t="str">
        <f>HYPERLINK("https://github.com/jMonkeyEngine/jmonkeyengine/releases","show")</f>
        <v>show</v>
      </c>
    </row>
    <row r="864" spans="1:6">
      <c r="A864" t="s">
        <v>2596</v>
      </c>
      <c r="B864" t="s">
        <v>2597</v>
      </c>
      <c r="C864" t="s">
        <v>2598</v>
      </c>
      <c r="D864" t="str">
        <f>HYPERLINK("https://github.com/google/google-authenticator-android/issues/30","show")</f>
        <v>show</v>
      </c>
      <c r="E864" t="str">
        <f>HYPERLINK("https://github.com/google/google-authenticator-android","show")</f>
        <v>show</v>
      </c>
      <c r="F864" t="str">
        <f>HYPERLINK("https://github.com/google/google-authenticator-android/releases","show")</f>
        <v>show</v>
      </c>
    </row>
    <row r="865" spans="1:6">
      <c r="A865" t="s">
        <v>2599</v>
      </c>
      <c r="B865" t="s">
        <v>2600</v>
      </c>
      <c r="C865" t="s">
        <v>2601</v>
      </c>
      <c r="D865" t="str">
        <f>HYPERLINK("https://github.com/gdg-x/frisbee/issues/457","show")</f>
        <v>show</v>
      </c>
      <c r="E865" t="str">
        <f>HYPERLINK("https://github.com/gdg-x/frisbee","show")</f>
        <v>show</v>
      </c>
      <c r="F865" t="str">
        <f>HYPERLINK("https://github.com/gdg-x/frisbee/releases","show")</f>
        <v>show</v>
      </c>
    </row>
    <row r="866" spans="1:6">
      <c r="A866" t="s">
        <v>2602</v>
      </c>
      <c r="B866" t="s">
        <v>2603</v>
      </c>
      <c r="C866" t="s">
        <v>2604</v>
      </c>
      <c r="D866" t="str">
        <f>HYPERLINK("https://github.com/Cardshifter/Cardshifter/issues/337","show")</f>
        <v>show</v>
      </c>
      <c r="E866" t="str">
        <f>HYPERLINK("https://github.com/Cardshifter/Cardshifter","show")</f>
        <v>show</v>
      </c>
      <c r="F866" t="str">
        <f>HYPERLINK("https://github.com/Cardshifter/Cardshifter/releases","show")</f>
        <v>show</v>
      </c>
    </row>
    <row r="867" spans="1:6">
      <c r="A867" t="s">
        <v>2605</v>
      </c>
      <c r="B867" t="s">
        <v>2606</v>
      </c>
      <c r="C867" t="s">
        <v>2607</v>
      </c>
      <c r="D867" t="str">
        <f>HYPERLINK("https://github.com/Ereza/CustomActivityOnCrash/issues/9","show")</f>
        <v>show</v>
      </c>
      <c r="E867" t="str">
        <f>HYPERLINK("https://github.com/Ereza/CustomActivityOnCrash","show")</f>
        <v>show</v>
      </c>
      <c r="F867" t="str">
        <f>HYPERLINK("https://github.com/Ereza/CustomActivityOnCrash/releases","show")</f>
        <v>show</v>
      </c>
    </row>
    <row r="868" spans="1:6">
      <c r="A868" t="s">
        <v>2608</v>
      </c>
      <c r="B868" t="s">
        <v>2609</v>
      </c>
      <c r="C868" t="s">
        <v>2610</v>
      </c>
      <c r="D868" t="str">
        <f>HYPERLINK("https://github.com/koral--/android-gif-drawable/issues/196","show")</f>
        <v>show</v>
      </c>
      <c r="E868" t="str">
        <f>HYPERLINK("https://github.com/koral--/android-gif-drawable","show")</f>
        <v>show</v>
      </c>
      <c r="F868" t="str">
        <f>HYPERLINK("https://github.com/koral--/android-gif-drawable/releases","show")</f>
        <v>show</v>
      </c>
    </row>
    <row r="869" spans="1:6">
      <c r="A869" t="s">
        <v>2611</v>
      </c>
      <c r="B869" t="s">
        <v>2612</v>
      </c>
      <c r="C869" t="s">
        <v>2613</v>
      </c>
      <c r="D869" t="str">
        <f>HYPERLINK("https://github.com/enviroCar/enviroCar-app/issues/258","show")</f>
        <v>show</v>
      </c>
      <c r="E869" t="str">
        <f>HYPERLINK("https://github.com/enviroCar/enviroCar-app","show")</f>
        <v>show</v>
      </c>
      <c r="F869" t="str">
        <f>HYPERLINK("https://github.com/enviroCar/enviroCar-app/releases","show")</f>
        <v>show</v>
      </c>
    </row>
    <row r="870" spans="1:6">
      <c r="A870" t="s">
        <v>2614</v>
      </c>
      <c r="B870" t="s">
        <v>2615</v>
      </c>
      <c r="C870" t="s">
        <v>2616</v>
      </c>
      <c r="D870" t="str">
        <f>HYPERLINK("https://github.com/mixpanel/mixpanel-android/issues/251","show")</f>
        <v>show</v>
      </c>
      <c r="E870" t="str">
        <f>HYPERLINK("https://github.com/mixpanel/mixpanel-android","show")</f>
        <v>show</v>
      </c>
      <c r="F870" t="str">
        <f>HYPERLINK("https://github.com/mixpanel/mixpanel-android/releases","show")</f>
        <v>show</v>
      </c>
    </row>
    <row r="871" spans="1:6">
      <c r="A871" t="s">
        <v>2617</v>
      </c>
      <c r="B871" t="s">
        <v>2618</v>
      </c>
      <c r="C871" t="s">
        <v>2619</v>
      </c>
      <c r="D871" t="str">
        <f>HYPERLINK("https://github.com/pietrorampini/UpdateChecker/issues/118","show")</f>
        <v>show</v>
      </c>
      <c r="E871" t="str">
        <f>HYPERLINK("https://github.com/pietrorampini/UpdateChecker","show")</f>
        <v>show</v>
      </c>
      <c r="F871" t="str">
        <f>HYPERLINK("https://github.com/pietrorampini/UpdateChecker/releases","show")</f>
        <v>show</v>
      </c>
    </row>
    <row r="872" spans="1:6">
      <c r="A872" t="s">
        <v>2620</v>
      </c>
      <c r="B872" t="s">
        <v>2621</v>
      </c>
      <c r="C872" t="s">
        <v>2622</v>
      </c>
      <c r="D872" t="str">
        <f>HYPERLINK("https://github.com/mrmans0n/smart-adapters/issues/5","show")</f>
        <v>show</v>
      </c>
      <c r="E872" t="str">
        <f>HYPERLINK("https://github.com/mrmans0n/smart-adapters","show")</f>
        <v>show</v>
      </c>
      <c r="F872" t="str">
        <f>HYPERLINK("https://github.com/mrmans0n/smart-adapters/releases","show")</f>
        <v>show</v>
      </c>
    </row>
    <row r="873" spans="1:6">
      <c r="A873" t="s">
        <v>2623</v>
      </c>
      <c r="B873" t="s">
        <v>2624</v>
      </c>
      <c r="C873" t="s">
        <v>2625</v>
      </c>
      <c r="D873" t="str">
        <f>HYPERLINK("https://github.com/redsolution/xabber-android/issues/520","show")</f>
        <v>show</v>
      </c>
      <c r="E873" t="str">
        <f>HYPERLINK("https://github.com/redsolution/xabber-android","show")</f>
        <v>show</v>
      </c>
      <c r="F873" t="str">
        <f>HYPERLINK("https://github.com/redsolution/xabber-android/releases","show")</f>
        <v>show</v>
      </c>
    </row>
    <row r="874" spans="1:6">
      <c r="A874" t="s">
        <v>2626</v>
      </c>
      <c r="B874" t="s">
        <v>2627</v>
      </c>
      <c r="C874" t="s">
        <v>2628</v>
      </c>
      <c r="D874" t="str">
        <f>HYPERLINK("https://github.com/NineWorlds/serenity-android/issues/302","show")</f>
        <v>show</v>
      </c>
      <c r="E874" t="str">
        <f>HYPERLINK("https://github.com/NineWorlds/serenity-android","show")</f>
        <v>show</v>
      </c>
      <c r="F874" t="str">
        <f>HYPERLINK("https://github.com/NineWorlds/serenity-android/releases","show")</f>
        <v>show</v>
      </c>
    </row>
    <row r="875" spans="1:6">
      <c r="A875" t="s">
        <v>2629</v>
      </c>
      <c r="B875" t="s">
        <v>2630</v>
      </c>
      <c r="C875" t="s">
        <v>2631</v>
      </c>
      <c r="D875" t="str">
        <f>HYPERLINK("https://github.com/google/ExoPlayer/issues/694","show")</f>
        <v>show</v>
      </c>
      <c r="E875" t="str">
        <f>HYPERLINK("https://github.com/google/ExoPlayer","show")</f>
        <v>show</v>
      </c>
      <c r="F875" t="str">
        <f>HYPERLINK("https://github.com/google/ExoPlayer/releases","show")</f>
        <v>show</v>
      </c>
    </row>
    <row r="876" spans="1:6">
      <c r="A876" t="s">
        <v>2632</v>
      </c>
      <c r="B876" t="s">
        <v>2633</v>
      </c>
      <c r="C876" t="s">
        <v>2634</v>
      </c>
      <c r="D876" t="str">
        <f>HYPERLINK("https://github.com/google/ExoPlayer/issues/693","show")</f>
        <v>show</v>
      </c>
      <c r="E876" t="str">
        <f>HYPERLINK("https://github.com/google/ExoPlayer","show")</f>
        <v>show</v>
      </c>
      <c r="F876" t="str">
        <f>HYPERLINK("https://github.com/google/ExoPlayer/releases","show")</f>
        <v>show</v>
      </c>
    </row>
    <row r="877" spans="1:6">
      <c r="A877" t="s">
        <v>2635</v>
      </c>
      <c r="B877" t="s">
        <v>2636</v>
      </c>
      <c r="C877" t="s">
        <v>2637</v>
      </c>
      <c r="D877" t="str">
        <f>HYPERLINK("https://github.com/federicoiosue/Omni-Notes/issues/190","show")</f>
        <v>show</v>
      </c>
      <c r="E877" t="str">
        <f>HYPERLINK("https://github.com/federicoiosue/Omni-Notes","show")</f>
        <v>show</v>
      </c>
      <c r="F877" t="str">
        <f>HYPERLINK("https://github.com/federicoiosue/Omni-Notes/releases","show")</f>
        <v>show</v>
      </c>
    </row>
    <row r="878" spans="1:6">
      <c r="A878" t="s">
        <v>2638</v>
      </c>
      <c r="B878" t="s">
        <v>2639</v>
      </c>
      <c r="C878" t="s">
        <v>2640</v>
      </c>
      <c r="D878" t="str">
        <f>HYPERLINK("https://github.com/nerzhul/ncsms-android/issues/64","show")</f>
        <v>show</v>
      </c>
      <c r="E878" t="str">
        <f>HYPERLINK("https://github.com/nerzhul/ncsms-android","show")</f>
        <v>show</v>
      </c>
      <c r="F878" t="str">
        <f>HYPERLINK("https://github.com/nerzhul/ncsms-android/releases","show")</f>
        <v>show</v>
      </c>
    </row>
    <row r="879" spans="1:6">
      <c r="A879" t="s">
        <v>2641</v>
      </c>
      <c r="B879" t="s">
        <v>2642</v>
      </c>
      <c r="C879" t="s">
        <v>2643</v>
      </c>
      <c r="D879" t="str">
        <f>HYPERLINK("https://github.com/ConnectSDK/Connect-SDK-Android/issues/290","show")</f>
        <v>show</v>
      </c>
      <c r="E879" t="str">
        <f>HYPERLINK("https://github.com/ConnectSDK/Connect-SDK-Android","show")</f>
        <v>show</v>
      </c>
      <c r="F879" t="str">
        <f>HYPERLINK("https://github.com/ConnectSDK/Connect-SDK-Android/releases","show")</f>
        <v>show</v>
      </c>
    </row>
    <row r="880" spans="1:6">
      <c r="A880" t="s">
        <v>2644</v>
      </c>
      <c r="B880" t="s">
        <v>2645</v>
      </c>
      <c r="C880" t="s">
        <v>2646</v>
      </c>
      <c r="D880" t="str">
        <f>HYPERLINK("https://github.com/Cloudkibo/Android/issues/26","show")</f>
        <v>show</v>
      </c>
      <c r="E880" t="str">
        <f>HYPERLINK("https://github.com/Cloudkibo/Android","show")</f>
        <v>show</v>
      </c>
      <c r="F880" t="str">
        <f>HYPERLINK("https://github.com/Cloudkibo/Android/releases","show")</f>
        <v>show</v>
      </c>
    </row>
    <row r="881" spans="1:6">
      <c r="A881" t="s">
        <v>2647</v>
      </c>
      <c r="B881" t="s">
        <v>2648</v>
      </c>
      <c r="C881" t="s">
        <v>2649</v>
      </c>
      <c r="D881" t="str">
        <f>HYPERLINK("https://github.com/Ereza/CustomActivityOnCrash/issues/12","show")</f>
        <v>show</v>
      </c>
      <c r="E881" t="str">
        <f>HYPERLINK("https://github.com/Ereza/CustomActivityOnCrash","show")</f>
        <v>show</v>
      </c>
      <c r="F881" t="str">
        <f>HYPERLINK("https://github.com/Ereza/CustomActivityOnCrash/releases","show")</f>
        <v>show</v>
      </c>
    </row>
    <row r="882" spans="1:6">
      <c r="A882" t="s">
        <v>2650</v>
      </c>
      <c r="B882" t="s">
        <v>2651</v>
      </c>
      <c r="C882" t="s">
        <v>2652</v>
      </c>
      <c r="D882" t="str">
        <f>HYPERLINK("https://github.com/zhuowei/MCPELauncher/issues/264","show")</f>
        <v>show</v>
      </c>
      <c r="E882" t="str">
        <f>HYPERLINK("https://github.com/zhuowei/MCPELauncher","show")</f>
        <v>show</v>
      </c>
      <c r="F882" t="str">
        <f>HYPERLINK("https://github.com/zhuowei/MCPELauncher/releases","show")</f>
        <v>show</v>
      </c>
    </row>
    <row r="883" spans="1:6">
      <c r="A883" t="s">
        <v>2653</v>
      </c>
      <c r="B883" t="s">
        <v>2654</v>
      </c>
      <c r="C883" t="s">
        <v>2655</v>
      </c>
      <c r="D883" t="str">
        <f>HYPERLINK("https://github.com/fossasia/open-event-droidgen/issues/70","show")</f>
        <v>show</v>
      </c>
      <c r="E883" t="str">
        <f>HYPERLINK("https://github.com/fossasia/open-event-droidgen","show")</f>
        <v>show</v>
      </c>
      <c r="F883" t="str">
        <f>HYPERLINK("https://github.com/fossasia/open-event-droidgen/releases","show")</f>
        <v>show</v>
      </c>
    </row>
    <row r="884" spans="1:6">
      <c r="A884" t="s">
        <v>2656</v>
      </c>
      <c r="B884" t="s">
        <v>2657</v>
      </c>
      <c r="C884" t="s">
        <v>2658</v>
      </c>
      <c r="D884" t="str">
        <f>HYPERLINK("https://github.com/google/google-authenticator-android/issues/31","show")</f>
        <v>show</v>
      </c>
      <c r="E884" t="str">
        <f>HYPERLINK("https://github.com/google/google-authenticator-android","show")</f>
        <v>show</v>
      </c>
      <c r="F884" t="str">
        <f>HYPERLINK("https://github.com/google/google-authenticator-android/releases","show")</f>
        <v>show</v>
      </c>
    </row>
    <row r="885" spans="1:6">
      <c r="A885" t="s">
        <v>2659</v>
      </c>
      <c r="B885" t="s">
        <v>2660</v>
      </c>
      <c r="C885" t="s">
        <v>2661</v>
      </c>
      <c r="D885" t="str">
        <f>HYPERLINK("https://github.com/uPhyca/stetho-realm/issues/6","show")</f>
        <v>show</v>
      </c>
      <c r="E885" t="str">
        <f>HYPERLINK("https://github.com/uPhyca/stetho-realm","show")</f>
        <v>show</v>
      </c>
      <c r="F885" t="str">
        <f>HYPERLINK("https://github.com/uPhyca/stetho-realm/releases","show")</f>
        <v>show</v>
      </c>
    </row>
    <row r="886" spans="1:6">
      <c r="A886" t="s">
        <v>2662</v>
      </c>
      <c r="B886" t="s">
        <v>2663</v>
      </c>
      <c r="C886" t="s">
        <v>2664</v>
      </c>
      <c r="D886" t="str">
        <f>HYPERLINK("https://github.com/Fleker/CumulusTV/issues/29","show")</f>
        <v>show</v>
      </c>
      <c r="E886" t="str">
        <f>HYPERLINK("https://github.com/Fleker/CumulusTV","show")</f>
        <v>show</v>
      </c>
      <c r="F886" t="str">
        <f>HYPERLINK("https://github.com/Fleker/CumulusTV/releases","show")</f>
        <v>show</v>
      </c>
    </row>
    <row r="887" spans="1:6">
      <c r="A887" t="s">
        <v>2665</v>
      </c>
      <c r="B887" t="s">
        <v>2666</v>
      </c>
      <c r="C887" t="s">
        <v>2667</v>
      </c>
      <c r="D887" t="str">
        <f>HYPERLINK("https://github.com/Fleker/CumulusTV/issues/28","show")</f>
        <v>show</v>
      </c>
      <c r="E887" t="str">
        <f>HYPERLINK("https://github.com/Fleker/CumulusTV","show")</f>
        <v>show</v>
      </c>
      <c r="F887" t="str">
        <f>HYPERLINK("https://github.com/Fleker/CumulusTV/releases","show")</f>
        <v>show</v>
      </c>
    </row>
    <row r="888" spans="1:6">
      <c r="A888" t="s">
        <v>2668</v>
      </c>
      <c r="B888" t="s">
        <v>2669</v>
      </c>
      <c r="C888" t="s">
        <v>2670</v>
      </c>
      <c r="D888" t="str">
        <f>HYPERLINK("https://github.com/bumptech/glide/issues/578","show")</f>
        <v>show</v>
      </c>
      <c r="E888" t="str">
        <f>HYPERLINK("https://github.com/bumptech/glide","show")</f>
        <v>show</v>
      </c>
      <c r="F888" t="str">
        <f>HYPERLINK("https://github.com/bumptech/glide/releases","show")</f>
        <v>show</v>
      </c>
    </row>
    <row r="889" spans="1:6">
      <c r="A889" t="s">
        <v>2671</v>
      </c>
      <c r="B889" t="s">
        <v>2672</v>
      </c>
      <c r="C889" t="s">
        <v>2673</v>
      </c>
      <c r="D889" t="str">
        <f>HYPERLINK("https://github.com/JordanMoffat/KitchenPal/issues/4","show")</f>
        <v>show</v>
      </c>
      <c r="E889" t="str">
        <f>HYPERLINK("https://github.com/JordanMoffat/KitchenPal","show")</f>
        <v>show</v>
      </c>
      <c r="F889" t="str">
        <f>HYPERLINK("https://github.com/JordanMoffat/KitchenPal/releases","show")</f>
        <v>show</v>
      </c>
    </row>
    <row r="890" spans="1:6">
      <c r="A890" t="s">
        <v>2674</v>
      </c>
      <c r="B890" t="s">
        <v>2675</v>
      </c>
      <c r="C890" t="s">
        <v>2676</v>
      </c>
      <c r="D890" t="str">
        <f>HYPERLINK("https://github.com/evernote/evernote-sdk-android/issues/50","show")</f>
        <v>show</v>
      </c>
      <c r="E890" t="str">
        <f>HYPERLINK("https://github.com/evernote/evernote-sdk-android","show")</f>
        <v>show</v>
      </c>
      <c r="F890" t="str">
        <f>HYPERLINK("https://github.com/evernote/evernote-sdk-android/releases","show")</f>
        <v>show</v>
      </c>
    </row>
    <row r="891" spans="1:6">
      <c r="A891" t="s">
        <v>2677</v>
      </c>
      <c r="B891" t="s">
        <v>2678</v>
      </c>
      <c r="C891" t="s">
        <v>2679</v>
      </c>
      <c r="D891" t="str">
        <f>HYPERLINK("https://github.com/Cloudkibo/Android/issues/27","show")</f>
        <v>show</v>
      </c>
      <c r="E891" t="str">
        <f>HYPERLINK("https://github.com/Cloudkibo/Android","show")</f>
        <v>show</v>
      </c>
      <c r="F891" t="str">
        <f>HYPERLINK("https://github.com/Cloudkibo/Android/releases","show")</f>
        <v>show</v>
      </c>
    </row>
    <row r="892" spans="1:6">
      <c r="A892" t="s">
        <v>2680</v>
      </c>
      <c r="B892" t="s">
        <v>2681</v>
      </c>
      <c r="C892" t="s">
        <v>2682</v>
      </c>
      <c r="D892" t="str">
        <f>HYPERLINK("https://github.com/Cloudkibo/Android/issues/46","show")</f>
        <v>show</v>
      </c>
      <c r="E892" t="str">
        <f>HYPERLINK("https://github.com/Cloudkibo/Android","show")</f>
        <v>show</v>
      </c>
      <c r="F892" t="str">
        <f>HYPERLINK("https://github.com/Cloudkibo/Android/releases","show")</f>
        <v>show</v>
      </c>
    </row>
    <row r="893" spans="1:6">
      <c r="A893" t="s">
        <v>2683</v>
      </c>
      <c r="B893" t="s">
        <v>2684</v>
      </c>
      <c r="C893" t="s">
        <v>2685</v>
      </c>
      <c r="D893" t="str">
        <f>HYPERLINK("https://github.com/Cloudkibo/Android/issues/45","show")</f>
        <v>show</v>
      </c>
      <c r="E893" t="str">
        <f>HYPERLINK("https://github.com/Cloudkibo/Android","show")</f>
        <v>show</v>
      </c>
      <c r="F893" t="str">
        <f>HYPERLINK("https://github.com/Cloudkibo/Android/releases","show")</f>
        <v>show</v>
      </c>
    </row>
    <row r="894" spans="1:6">
      <c r="A894" t="s">
        <v>2686</v>
      </c>
      <c r="B894" t="s">
        <v>2687</v>
      </c>
      <c r="C894" t="s">
        <v>2688</v>
      </c>
      <c r="D894" t="str">
        <f>HYPERLINK("https://github.com/City-of-Bloomington/open311-android/issues/83","show")</f>
        <v>show</v>
      </c>
      <c r="E894" t="str">
        <f>HYPERLINK("https://github.com/City-of-Bloomington/open311-android","show")</f>
        <v>show</v>
      </c>
      <c r="F894" t="str">
        <f>HYPERLINK("https://github.com/City-of-Bloomington/open311-android/releases","show")</f>
        <v>show</v>
      </c>
    </row>
    <row r="895" spans="1:6">
      <c r="A895" t="s">
        <v>2689</v>
      </c>
      <c r="B895" t="s">
        <v>2690</v>
      </c>
      <c r="C895" t="s">
        <v>2691</v>
      </c>
      <c r="D895" t="str">
        <f>HYPERLINK("https://github.com/square/okhttp/issues/1807","show")</f>
        <v>show</v>
      </c>
      <c r="E895" t="str">
        <f>HYPERLINK("https://github.com/square/okhttp","show")</f>
        <v>show</v>
      </c>
      <c r="F895" t="str">
        <f>HYPERLINK("https://github.com/square/okhttp/releases","show")</f>
        <v>show</v>
      </c>
    </row>
    <row r="896" spans="1:6">
      <c r="A896" t="s">
        <v>2692</v>
      </c>
      <c r="B896" t="s">
        <v>2693</v>
      </c>
      <c r="C896" t="s">
        <v>2694</v>
      </c>
      <c r="D896" t="str">
        <f>HYPERLINK("https://github.com/bumptech/glide/issues/586","show")</f>
        <v>show</v>
      </c>
      <c r="E896" t="str">
        <f>HYPERLINK("https://github.com/bumptech/glide","show")</f>
        <v>show</v>
      </c>
      <c r="F896" t="str">
        <f>HYPERLINK("https://github.com/bumptech/glide/releases","show")</f>
        <v>show</v>
      </c>
    </row>
    <row r="897" spans="1:6">
      <c r="A897" t="s">
        <v>2695</v>
      </c>
      <c r="B897" t="s">
        <v>2696</v>
      </c>
      <c r="C897" t="s">
        <v>2697</v>
      </c>
      <c r="D897" t="str">
        <f>HYPERLINK("https://github.com/jMonkeyEngine/jmonkeyengine/issues/317","show")</f>
        <v>show</v>
      </c>
      <c r="E897" t="str">
        <f>HYPERLINK("https://github.com/jMonkeyEngine/jmonkeyengine","show")</f>
        <v>show</v>
      </c>
      <c r="F897" t="str">
        <f>HYPERLINK("https://github.com/jMonkeyEngine/jmonkeyengine/releases","show")</f>
        <v>show</v>
      </c>
    </row>
    <row r="898" spans="1:6">
      <c r="A898" t="s">
        <v>2698</v>
      </c>
      <c r="B898" t="s">
        <v>2699</v>
      </c>
      <c r="C898" t="s">
        <v>2700</v>
      </c>
      <c r="D898" t="str">
        <f>HYPERLINK("https://github.com/aikuma/aikuma/issues/528","show")</f>
        <v>show</v>
      </c>
      <c r="E898" t="str">
        <f>HYPERLINK("https://github.com/aikuma/aikuma","show")</f>
        <v>show</v>
      </c>
      <c r="F898" t="str">
        <f>HYPERLINK("https://github.com/aikuma/aikuma/releases","show")</f>
        <v>show</v>
      </c>
    </row>
    <row r="899" spans="1:6">
      <c r="A899" t="s">
        <v>2701</v>
      </c>
      <c r="B899" t="s">
        <v>2702</v>
      </c>
      <c r="C899" t="s">
        <v>2703</v>
      </c>
      <c r="D899" t="str">
        <f>HYPERLINK("https://github.com/ZieIony/Carbon/issues/130","show")</f>
        <v>show</v>
      </c>
      <c r="E899" t="str">
        <f>HYPERLINK("https://github.com/ZieIony/Carbon","show")</f>
        <v>show</v>
      </c>
      <c r="F899" t="str">
        <f>HYPERLINK("https://github.com/ZieIony/Carbon/releases","show")</f>
        <v>show</v>
      </c>
    </row>
    <row r="900" spans="1:6">
      <c r="A900" t="s">
        <v>2704</v>
      </c>
      <c r="B900" t="s">
        <v>2705</v>
      </c>
      <c r="C900" t="s">
        <v>2706</v>
      </c>
      <c r="D900" t="str">
        <f>HYPERLINK("https://github.com/projectbuendia/client/issues/2","show")</f>
        <v>show</v>
      </c>
      <c r="E900" t="str">
        <f>HYPERLINK("https://github.com/projectbuendia/client","show")</f>
        <v>show</v>
      </c>
      <c r="F900" t="str">
        <f>HYPERLINK("https://github.com/projectbuendia/client/releases","show")</f>
        <v>show</v>
      </c>
    </row>
    <row r="901" spans="1:6">
      <c r="A901" t="s">
        <v>2707</v>
      </c>
      <c r="B901" t="s">
        <v>2708</v>
      </c>
      <c r="C901" t="s">
        <v>2709</v>
      </c>
      <c r="D901" t="str">
        <f>HYPERLINK("https://github.com/Fermat-ORG/fermat-framework/issues/1306","show")</f>
        <v>show</v>
      </c>
      <c r="E901" t="str">
        <f>HYPERLINK("https://github.com/Fermat-ORG/fermat-framework","show")</f>
        <v>show</v>
      </c>
      <c r="F901" t="str">
        <f>HYPERLINK("https://github.com/Fermat-ORG/fermat-framework/releases","show")</f>
        <v>show</v>
      </c>
    </row>
    <row r="902" spans="1:6">
      <c r="A902" t="s">
        <v>2710</v>
      </c>
      <c r="B902" t="s">
        <v>2711</v>
      </c>
      <c r="C902" t="s">
        <v>2712</v>
      </c>
      <c r="D902" t="str">
        <f>HYPERLINK("https://github.com/saulmm/CoordinatorBehaviorExample/issues/2","show")</f>
        <v>show</v>
      </c>
      <c r="E902" t="str">
        <f>HYPERLINK("https://github.com/saulmm/CoordinatorBehaviorExample","show")</f>
        <v>show</v>
      </c>
      <c r="F902" t="str">
        <f>HYPERLINK("https://github.com/saulmm/CoordinatorBehaviorExample/releases","show")</f>
        <v>show</v>
      </c>
    </row>
    <row r="903" spans="1:6">
      <c r="A903" t="s">
        <v>2713</v>
      </c>
      <c r="B903" t="s">
        <v>2714</v>
      </c>
      <c r="C903" t="s">
        <v>2715</v>
      </c>
      <c r="D903" t="str">
        <f>HYPERLINK("https://github.com/SandersForPresident/BernieAppAndroid/issues/3","show")</f>
        <v>show</v>
      </c>
      <c r="E903" t="str">
        <f>HYPERLINK("https://github.com/SandersForPresident/BernieAppAndroid","show")</f>
        <v>show</v>
      </c>
      <c r="F903" t="str">
        <f>HYPERLINK("https://github.com/SandersForPresident/BernieAppAndroid/releases","show")</f>
        <v>show</v>
      </c>
    </row>
    <row r="904" spans="1:6">
      <c r="A904" t="s">
        <v>2716</v>
      </c>
      <c r="B904" t="s">
        <v>2717</v>
      </c>
      <c r="C904" t="s">
        <v>2718</v>
      </c>
      <c r="D904" t="str">
        <f>HYPERLINK("https://github.com/Berlin-Vegan/berlin-vegan-guide/issues/36","show")</f>
        <v>show</v>
      </c>
      <c r="E904" t="str">
        <f>HYPERLINK("https://github.com/Berlin-Vegan/berlin-vegan-guide","show")</f>
        <v>show</v>
      </c>
      <c r="F904" t="str">
        <f>HYPERLINK("https://github.com/Berlin-Vegan/berlin-vegan-guide/releases","show")</f>
        <v>show</v>
      </c>
    </row>
    <row r="905" spans="1:6">
      <c r="A905" t="s">
        <v>2719</v>
      </c>
      <c r="B905" t="s">
        <v>2720</v>
      </c>
      <c r="C905" t="s">
        <v>2721</v>
      </c>
      <c r="D905" t="str">
        <f>HYPERLINK("https://github.com/itzikBraun/TutorialView/issues/11","show")</f>
        <v>show</v>
      </c>
      <c r="E905" t="str">
        <f>HYPERLINK("https://github.com/itzikBraun/TutorialView","show")</f>
        <v>show</v>
      </c>
      <c r="F905" t="str">
        <f>HYPERLINK("https://github.com/itzikBraun/TutorialView/releases","show")</f>
        <v>show</v>
      </c>
    </row>
    <row r="906" spans="1:6">
      <c r="A906" t="s">
        <v>2722</v>
      </c>
      <c r="B906" t="s">
        <v>2723</v>
      </c>
      <c r="C906" t="s">
        <v>2724</v>
      </c>
      <c r="D906" t="str">
        <f>HYPERLINK("https://github.com/unfoldingWord-dev/uw-android/issues/110","show")</f>
        <v>show</v>
      </c>
      <c r="E906" t="str">
        <f>HYPERLINK("https://github.com/unfoldingWord-dev/uw-android","show")</f>
        <v>show</v>
      </c>
      <c r="F906" t="str">
        <f>HYPERLINK("https://github.com/unfoldingWord-dev/uw-android/releases","show")</f>
        <v>show</v>
      </c>
    </row>
    <row r="907" spans="1:6">
      <c r="A907" t="s">
        <v>2725</v>
      </c>
      <c r="B907" t="s">
        <v>2726</v>
      </c>
      <c r="C907" t="s">
        <v>2727</v>
      </c>
      <c r="D907" t="str">
        <f>HYPERLINK("https://github.com/square/okhttp/issues/1826","show")</f>
        <v>show</v>
      </c>
      <c r="E907" t="str">
        <f>HYPERLINK("https://github.com/square/okhttp","show")</f>
        <v>show</v>
      </c>
      <c r="F907" t="str">
        <f>HYPERLINK("https://github.com/square/okhttp/releases","show")</f>
        <v>show</v>
      </c>
    </row>
    <row r="908" spans="1:6">
      <c r="A908" t="s">
        <v>2728</v>
      </c>
      <c r="B908" t="s">
        <v>2729</v>
      </c>
      <c r="C908" t="s">
        <v>2730</v>
      </c>
      <c r="D908" t="str">
        <f>HYPERLINK("https://github.com/jMonkeyEngine/jmonkeyengine/issues/322","show")</f>
        <v>show</v>
      </c>
      <c r="E908" t="str">
        <f>HYPERLINK("https://github.com/jMonkeyEngine/jmonkeyengine","show")</f>
        <v>show</v>
      </c>
      <c r="F908" t="str">
        <f>HYPERLINK("https://github.com/jMonkeyEngine/jmonkeyengine/releases","show")</f>
        <v>show</v>
      </c>
    </row>
    <row r="909" spans="1:6">
      <c r="A909" t="s">
        <v>2731</v>
      </c>
      <c r="B909" t="s">
        <v>2732</v>
      </c>
      <c r="C909" t="s">
        <v>2733</v>
      </c>
      <c r="D909" t="str">
        <f>HYPERLINK("https://github.com/card-io/card.io-Android-SDK/issues/79","show")</f>
        <v>show</v>
      </c>
      <c r="E909" t="str">
        <f>HYPERLINK("https://github.com/card-io/card.io-Android-SDK","show")</f>
        <v>show</v>
      </c>
      <c r="F909" t="str">
        <f>HYPERLINK("https://github.com/card-io/card.io-Android-SDK/releases","show")</f>
        <v>show</v>
      </c>
    </row>
    <row r="910" spans="1:6">
      <c r="A910" t="s">
        <v>2734</v>
      </c>
      <c r="B910" t="s">
        <v>2735</v>
      </c>
      <c r="C910" t="s">
        <v>2736</v>
      </c>
      <c r="D910" t="str">
        <f>HYPERLINK("https://github.com/erickok/transdroid/issues/235","show")</f>
        <v>show</v>
      </c>
      <c r="E910" t="str">
        <f>HYPERLINK("https://github.com/erickok/transdroid","show")</f>
        <v>show</v>
      </c>
      <c r="F910" t="str">
        <f>HYPERLINK("https://github.com/erickok/transdroid/releases","show")</f>
        <v>show</v>
      </c>
    </row>
    <row r="911" spans="1:6">
      <c r="A911" t="s">
        <v>2737</v>
      </c>
      <c r="B911" t="s">
        <v>2738</v>
      </c>
      <c r="C911" t="s">
        <v>2739</v>
      </c>
      <c r="D911" t="str">
        <f>HYPERLINK("https://github.com/meyersj/TamaleNow/issues/1","show")</f>
        <v>show</v>
      </c>
      <c r="E911" t="str">
        <f>HYPERLINK("https://github.com/meyersj/TamaleNow","show")</f>
        <v>show</v>
      </c>
      <c r="F911" t="str">
        <f>HYPERLINK("https://github.com/meyersj/TamaleNow/releases","show")</f>
        <v>show</v>
      </c>
    </row>
    <row r="912" spans="1:6">
      <c r="A912" t="s">
        <v>2740</v>
      </c>
      <c r="B912" t="s">
        <v>2741</v>
      </c>
      <c r="C912" t="s">
        <v>2742</v>
      </c>
      <c r="D912" t="str">
        <f>HYPERLINK("https://github.com/souliss/soulissapp/issues/32","show")</f>
        <v>show</v>
      </c>
      <c r="E912" t="str">
        <f>HYPERLINK("https://github.com/souliss/soulissapp","show")</f>
        <v>show</v>
      </c>
      <c r="F912" t="str">
        <f>HYPERLINK("https://github.com/souliss/soulissapp/releases","show")</f>
        <v>show</v>
      </c>
    </row>
    <row r="913" spans="1:6">
      <c r="A913" t="s">
        <v>2743</v>
      </c>
      <c r="B913" t="s">
        <v>2744</v>
      </c>
      <c r="C913" t="s">
        <v>2745</v>
      </c>
      <c r="D913" t="str">
        <f>HYPERLINK("https://github.com/OneBusAway/onebusaway-android/issues/289","show")</f>
        <v>show</v>
      </c>
      <c r="E913" t="str">
        <f>HYPERLINK("https://github.com/OneBusAway/onebusaway-android","show")</f>
        <v>show</v>
      </c>
      <c r="F913" t="str">
        <f>HYPERLINK("https://github.com/OneBusAway/onebusaway-android/releases","show")</f>
        <v>show</v>
      </c>
    </row>
    <row r="914" spans="1:6">
      <c r="A914" t="s">
        <v>2746</v>
      </c>
      <c r="B914" t="s">
        <v>2747</v>
      </c>
      <c r="C914" t="s">
        <v>2748</v>
      </c>
      <c r="D914" t="str">
        <f>HYPERLINK("https://github.com/marverenic/Jockey/issues/22","show")</f>
        <v>show</v>
      </c>
      <c r="E914" t="str">
        <f>HYPERLINK("https://github.com/marverenic/Jockey","show")</f>
        <v>show</v>
      </c>
      <c r="F914" t="str">
        <f>HYPERLINK("https://github.com/marverenic/Jockey/releases","show")</f>
        <v>show</v>
      </c>
    </row>
    <row r="915" spans="1:6">
      <c r="A915" t="s">
        <v>2749</v>
      </c>
      <c r="B915" t="s">
        <v>2750</v>
      </c>
      <c r="C915" t="s">
        <v>2751</v>
      </c>
      <c r="D915" t="str">
        <f>HYPERLINK("https://github.com/boxme/SquareCamera/issues/26","show")</f>
        <v>show</v>
      </c>
      <c r="E915" t="str">
        <f>HYPERLINK("https://github.com/boxme/SquareCamera","show")</f>
        <v>show</v>
      </c>
      <c r="F915" t="str">
        <f>HYPERLINK("https://github.com/boxme/SquareCamera/releases","show")</f>
        <v>show</v>
      </c>
    </row>
    <row r="916" spans="1:6">
      <c r="A916" t="s">
        <v>2752</v>
      </c>
      <c r="B916" t="s">
        <v>2753</v>
      </c>
      <c r="C916" t="s">
        <v>2754</v>
      </c>
      <c r="D916" t="str">
        <f>HYPERLINK("https://github.com/geftimov/android-pathview/issues/12","show")</f>
        <v>show</v>
      </c>
      <c r="E916" t="str">
        <f>HYPERLINK("https://github.com/geftimov/android-pathview","show")</f>
        <v>show</v>
      </c>
      <c r="F916" t="str">
        <f>HYPERLINK("https://github.com/geftimov/android-pathview/releases","show")</f>
        <v>show</v>
      </c>
    </row>
    <row r="917" spans="1:6">
      <c r="A917" t="s">
        <v>2755</v>
      </c>
      <c r="B917" t="s">
        <v>2756</v>
      </c>
      <c r="C917" t="s">
        <v>2757</v>
      </c>
      <c r="D917" t="str">
        <f>HYPERLINK("https://github.com/iBotPeaches/Apktool/issues/1031","show")</f>
        <v>show</v>
      </c>
      <c r="E917" t="str">
        <f>HYPERLINK("https://github.com/iBotPeaches/Apktool","show")</f>
        <v>show</v>
      </c>
      <c r="F917" t="str">
        <f>HYPERLINK("https://github.com/iBotPeaches/Apktool/releases","show")</f>
        <v>show</v>
      </c>
    </row>
    <row r="918" spans="1:6">
      <c r="A918" t="s">
        <v>2758</v>
      </c>
      <c r="B918" t="s">
        <v>2759</v>
      </c>
      <c r="C918" t="s">
        <v>2760</v>
      </c>
      <c r="D918" t="str">
        <f>HYPERLINK("https://github.com/Mishiranu/Dashchan/issues/11","show")</f>
        <v>show</v>
      </c>
      <c r="E918" t="str">
        <f>HYPERLINK("https://github.com/Mishiranu/Dashchan","show")</f>
        <v>show</v>
      </c>
      <c r="F918" t="str">
        <f>HYPERLINK("https://github.com/Mishiranu/Dashchan/releases","show")</f>
        <v>show</v>
      </c>
    </row>
    <row r="919" spans="1:6">
      <c r="A919" t="s">
        <v>2761</v>
      </c>
      <c r="B919" t="s">
        <v>2762</v>
      </c>
      <c r="C919" t="s">
        <v>2763</v>
      </c>
      <c r="D919" t="str">
        <f>HYPERLINK("https://github.com/Fleker/CumulusTV/issues/44","show")</f>
        <v>show</v>
      </c>
      <c r="E919" t="str">
        <f>HYPERLINK("https://github.com/Fleker/CumulusTV","show")</f>
        <v>show</v>
      </c>
      <c r="F919" t="str">
        <f>HYPERLINK("https://github.com/Fleker/CumulusTV/releases","show")</f>
        <v>show</v>
      </c>
    </row>
    <row r="920" spans="1:6">
      <c r="A920" t="s">
        <v>2764</v>
      </c>
      <c r="B920" t="s">
        <v>2765</v>
      </c>
      <c r="C920" t="s">
        <v>2766</v>
      </c>
      <c r="D920" t="str">
        <f>HYPERLINK("https://github.com/k9mail/k-9/issues/771","show")</f>
        <v>show</v>
      </c>
      <c r="E920" t="str">
        <f>HYPERLINK("https://github.com/k9mail/k-9","show")</f>
        <v>show</v>
      </c>
      <c r="F920" t="str">
        <f>HYPERLINK("https://github.com/k9mail/k-9/releases","show")</f>
        <v>show</v>
      </c>
    </row>
    <row r="921" spans="1:6">
      <c r="A921" t="s">
        <v>2767</v>
      </c>
      <c r="B921" t="s">
        <v>2768</v>
      </c>
      <c r="C921" t="s">
        <v>2769</v>
      </c>
      <c r="D921" t="str">
        <f>HYPERLINK("https://github.com/square/okhttp/issues/1838","show")</f>
        <v>show</v>
      </c>
      <c r="E921" t="str">
        <f>HYPERLINK("https://github.com/square/okhttp","show")</f>
        <v>show</v>
      </c>
      <c r="F921" t="str">
        <f>HYPERLINK("https://github.com/square/okhttp/releases","show")</f>
        <v>show</v>
      </c>
    </row>
    <row r="922" spans="1:6">
      <c r="A922" t="s">
        <v>2770</v>
      </c>
      <c r="B922" t="s">
        <v>2771</v>
      </c>
      <c r="C922" t="s">
        <v>2772</v>
      </c>
      <c r="D922" t="str">
        <f>HYPERLINK("https://github.com/facebook/stetho/issues/274","show")</f>
        <v>show</v>
      </c>
      <c r="E922" t="str">
        <f>HYPERLINK("https://github.com/facebook/stetho","show")</f>
        <v>show</v>
      </c>
      <c r="F922" t="str">
        <f>HYPERLINK("https://github.com/facebook/stetho/releases","show")</f>
        <v>show</v>
      </c>
    </row>
    <row r="923" spans="1:6">
      <c r="A923" t="s">
        <v>2773</v>
      </c>
      <c r="B923" t="s">
        <v>2774</v>
      </c>
      <c r="C923" t="s">
        <v>2775</v>
      </c>
      <c r="D923" t="str">
        <f>HYPERLINK("https://github.com/Cloudkibo/Android/issues/56","show")</f>
        <v>show</v>
      </c>
      <c r="E923" t="str">
        <f>HYPERLINK("https://github.com/Cloudkibo/Android","show")</f>
        <v>show</v>
      </c>
      <c r="F923" t="str">
        <f>HYPERLINK("https://github.com/Cloudkibo/Android/releases","show")</f>
        <v>show</v>
      </c>
    </row>
    <row r="924" spans="1:6">
      <c r="A924" t="s">
        <v>2776</v>
      </c>
      <c r="B924" t="s">
        <v>2777</v>
      </c>
      <c r="C924" t="s">
        <v>2778</v>
      </c>
      <c r="D924" t="str">
        <f>HYPERLINK("https://github.com/vanilla-music/vanilla/issues/202","show")</f>
        <v>show</v>
      </c>
      <c r="E924" t="str">
        <f>HYPERLINK("https://github.com/vanilla-music/vanilla","show")</f>
        <v>show</v>
      </c>
      <c r="F924" t="str">
        <f>HYPERLINK("https://github.com/vanilla-music/vanilla/releases","show")</f>
        <v>show</v>
      </c>
    </row>
    <row r="925" spans="1:6">
      <c r="A925" t="s">
        <v>2779</v>
      </c>
      <c r="B925" t="s">
        <v>2780</v>
      </c>
      <c r="C925" t="s">
        <v>2781</v>
      </c>
      <c r="D925" t="str">
        <f>HYPERLINK("https://github.com/umano/AndroidSlidingUpPanel/issues/536","show")</f>
        <v>show</v>
      </c>
      <c r="E925" t="str">
        <f>HYPERLINK("https://github.com/umano/AndroidSlidingUpPanel","show")</f>
        <v>show</v>
      </c>
      <c r="F925" t="str">
        <f>HYPERLINK("https://github.com/umano/AndroidSlidingUpPanel/releases","show")</f>
        <v>show</v>
      </c>
    </row>
    <row r="926" spans="1:6">
      <c r="A926" t="s">
        <v>2782</v>
      </c>
      <c r="B926" t="s">
        <v>2783</v>
      </c>
      <c r="C926" t="s">
        <v>2784</v>
      </c>
      <c r="D926" t="str">
        <f>HYPERLINK("https://github.com/k9mail/k-9/issues/783","show")</f>
        <v>show</v>
      </c>
      <c r="E926" t="str">
        <f>HYPERLINK("https://github.com/k9mail/k-9","show")</f>
        <v>show</v>
      </c>
      <c r="F926" t="str">
        <f>HYPERLINK("https://github.com/k9mail/k-9/releases","show")</f>
        <v>show</v>
      </c>
    </row>
    <row r="927" spans="1:6">
      <c r="A927" t="s">
        <v>2785</v>
      </c>
      <c r="B927" t="s">
        <v>2786</v>
      </c>
      <c r="C927" t="s">
        <v>2787</v>
      </c>
      <c r="D927" t="str">
        <f>HYPERLINK("https://github.com/uPhyca/stetho-realm/issues/7","show")</f>
        <v>show</v>
      </c>
      <c r="E927" t="str">
        <f>HYPERLINK("https://github.com/uPhyca/stetho-realm","show")</f>
        <v>show</v>
      </c>
      <c r="F927" t="str">
        <f>HYPERLINK("https://github.com/uPhyca/stetho-realm/releases","show")</f>
        <v>show</v>
      </c>
    </row>
    <row r="928" spans="1:6">
      <c r="A928" t="s">
        <v>2788</v>
      </c>
      <c r="B928" t="s">
        <v>2789</v>
      </c>
      <c r="C928" t="s">
        <v>2790</v>
      </c>
      <c r="D928" t="str">
        <f>HYPERLINK("https://github.com/openbmap/radiocells-scanner-android/issues/95","show")</f>
        <v>show</v>
      </c>
      <c r="E928" t="str">
        <f>HYPERLINK("https://github.com/openbmap/radiocells-scanner-android","show")</f>
        <v>show</v>
      </c>
      <c r="F928" t="str">
        <f>HYPERLINK("https://github.com/openbmap/radiocells-scanner-android/releases","show")</f>
        <v>show</v>
      </c>
    </row>
    <row r="929" spans="1:6">
      <c r="A929" t="s">
        <v>2791</v>
      </c>
      <c r="B929" t="s">
        <v>2792</v>
      </c>
      <c r="C929" t="s">
        <v>2793</v>
      </c>
      <c r="D929" t="str">
        <f>HYPERLINK("https://github.com/WycliffeAssociates/translationRecorder/issues/54","show")</f>
        <v>show</v>
      </c>
      <c r="E929" t="str">
        <f>HYPERLINK("https://github.com/WycliffeAssociates/translationRecorder","show")</f>
        <v>show</v>
      </c>
      <c r="F929" t="str">
        <f>HYPERLINK("https://github.com/WycliffeAssociates/translationRecorder/releases","show")</f>
        <v>show</v>
      </c>
    </row>
    <row r="930" spans="1:6">
      <c r="A930" t="s">
        <v>2794</v>
      </c>
      <c r="B930" t="s">
        <v>2795</v>
      </c>
      <c r="C930" t="s">
        <v>2796</v>
      </c>
      <c r="D930" t="str">
        <f>HYPERLINK("https://github.com/andybalaam/rabbit-escape/issues/9","show")</f>
        <v>show</v>
      </c>
      <c r="E930" t="str">
        <f>HYPERLINK("https://github.com/andybalaam/rabbit-escape","show")</f>
        <v>show</v>
      </c>
      <c r="F930" t="str">
        <f>HYPERLINK("https://github.com/andybalaam/rabbit-escape/releases","show")</f>
        <v>show</v>
      </c>
    </row>
    <row r="931" spans="1:6">
      <c r="A931" t="s">
        <v>2797</v>
      </c>
      <c r="B931" t="s">
        <v>2798</v>
      </c>
      <c r="C931" t="s">
        <v>2799</v>
      </c>
      <c r="D931" t="str">
        <f>HYPERLINK("https://github.com/unfoldingWord-dev/uw-android/issues/122","show")</f>
        <v>show</v>
      </c>
      <c r="E931" t="str">
        <f>HYPERLINK("https://github.com/unfoldingWord-dev/uw-android","show")</f>
        <v>show</v>
      </c>
      <c r="F931" t="str">
        <f>HYPERLINK("https://github.com/unfoldingWord-dev/uw-android/releases","show")</f>
        <v>show</v>
      </c>
    </row>
    <row r="932" spans="1:6">
      <c r="A932" t="s">
        <v>2800</v>
      </c>
      <c r="B932" t="s">
        <v>2801</v>
      </c>
      <c r="C932" t="s">
        <v>2802</v>
      </c>
      <c r="D932" t="str">
        <f>HYPERLINK("https://github.com/AppLozic/Applozic-Android-SDK/issues/25","show")</f>
        <v>show</v>
      </c>
      <c r="E932" t="str">
        <f>HYPERLINK("https://github.com/AppLozic/Applozic-Android-SDK","show")</f>
        <v>show</v>
      </c>
      <c r="F932" t="str">
        <f>HYPERLINK("https://github.com/AppLozic/Applozic-Android-SDK/releases","show")</f>
        <v>show</v>
      </c>
    </row>
    <row r="933" spans="1:6">
      <c r="A933" t="s">
        <v>2803</v>
      </c>
      <c r="B933" t="s">
        <v>2804</v>
      </c>
      <c r="C933" t="s">
        <v>2805</v>
      </c>
      <c r="D933" t="str">
        <f>HYPERLINK("https://github.com/cSploit/android/issues/236","show")</f>
        <v>show</v>
      </c>
      <c r="E933" t="str">
        <f>HYPERLINK("https://github.com/cSploit/android","show")</f>
        <v>show</v>
      </c>
      <c r="F933" t="str">
        <f>HYPERLINK("https://github.com/cSploit/android/releases","show")</f>
        <v>show</v>
      </c>
    </row>
    <row r="934" spans="1:6">
      <c r="A934" t="s">
        <v>2806</v>
      </c>
      <c r="B934" t="s">
        <v>2807</v>
      </c>
      <c r="C934" t="s">
        <v>2808</v>
      </c>
      <c r="D934" t="str">
        <f>HYPERLINK("https://github.com/h6ah4i/android-tablayouthelper/issues/5","show")</f>
        <v>show</v>
      </c>
      <c r="E934" t="str">
        <f>HYPERLINK("https://github.com/h6ah4i/android-tablayouthelper","show")</f>
        <v>show</v>
      </c>
      <c r="F934" t="str">
        <f>HYPERLINK("https://github.com/h6ah4i/android-tablayouthelper/releases","show")</f>
        <v>show</v>
      </c>
    </row>
    <row r="935" spans="1:6">
      <c r="A935" t="s">
        <v>2809</v>
      </c>
      <c r="B935" t="s">
        <v>2810</v>
      </c>
      <c r="C935" t="s">
        <v>2811</v>
      </c>
      <c r="D935" t="str">
        <f>HYPERLINK("https://github.com/IFTTT/SparkleMotion/issues/37","show")</f>
        <v>show</v>
      </c>
      <c r="E935" t="str">
        <f>HYPERLINK("https://github.com/IFTTT/SparkleMotion","show")</f>
        <v>show</v>
      </c>
      <c r="F935" t="str">
        <f>HYPERLINK("https://github.com/IFTTT/SparkleMotion/releases","show")</f>
        <v>show</v>
      </c>
    </row>
    <row r="936" spans="1:6">
      <c r="A936" t="s">
        <v>2812</v>
      </c>
      <c r="B936" t="s">
        <v>2813</v>
      </c>
      <c r="C936" t="s">
        <v>2814</v>
      </c>
      <c r="D936" t="str">
        <f>HYPERLINK("https://github.com/Neamar/KISS/issues/237","show")</f>
        <v>show</v>
      </c>
      <c r="E936" t="str">
        <f>HYPERLINK("https://github.com/Neamar/KISS","show")</f>
        <v>show</v>
      </c>
      <c r="F936" t="str">
        <f>HYPERLINK("https://github.com/Neamar/KISS/releases","show")</f>
        <v>show</v>
      </c>
    </row>
    <row r="937" spans="1:6">
      <c r="A937" t="s">
        <v>2815</v>
      </c>
      <c r="B937" t="s">
        <v>2816</v>
      </c>
      <c r="C937" t="s">
        <v>2817</v>
      </c>
      <c r="D937" t="str">
        <f>HYPERLINK("https://github.com/EmergentOrganization/cell-rpg/issues/52","show")</f>
        <v>show</v>
      </c>
      <c r="E937" t="str">
        <f>HYPERLINK("https://github.com/EmergentOrganization/cell-rpg","show")</f>
        <v>show</v>
      </c>
      <c r="F937" t="str">
        <f>HYPERLINK("https://github.com/EmergentOrganization/cell-rpg/releases","show")</f>
        <v>show</v>
      </c>
    </row>
    <row r="938" spans="1:6">
      <c r="A938" t="s">
        <v>2818</v>
      </c>
      <c r="B938" t="s">
        <v>2819</v>
      </c>
      <c r="C938" t="s">
        <v>2820</v>
      </c>
      <c r="D938" t="str">
        <f>HYPERLINK("https://github.com/bumptech/glide/issues/625","show")</f>
        <v>show</v>
      </c>
      <c r="E938" t="str">
        <f>HYPERLINK("https://github.com/bumptech/glide","show")</f>
        <v>show</v>
      </c>
      <c r="F938" t="str">
        <f>HYPERLINK("https://github.com/bumptech/glide/releases","show")</f>
        <v>show</v>
      </c>
    </row>
    <row r="939" spans="1:6">
      <c r="A939" t="s">
        <v>2821</v>
      </c>
      <c r="B939" t="s">
        <v>2822</v>
      </c>
      <c r="C939" t="s">
        <v>2823</v>
      </c>
      <c r="D939" t="str">
        <f>HYPERLINK("https://github.com/mrmans0n/smart-location-lib/issues/86","show")</f>
        <v>show</v>
      </c>
      <c r="E939" t="str">
        <f>HYPERLINK("https://github.com/mrmans0n/smart-location-lib","show")</f>
        <v>show</v>
      </c>
      <c r="F939" t="str">
        <f>HYPERLINK("https://github.com/mrmans0n/smart-location-lib/releases","show")</f>
        <v>show</v>
      </c>
    </row>
    <row r="940" spans="1:6">
      <c r="A940" t="s">
        <v>2824</v>
      </c>
      <c r="B940" t="s">
        <v>2825</v>
      </c>
      <c r="C940" t="s">
        <v>2826</v>
      </c>
      <c r="D940" t="str">
        <f>HYPERLINK("https://github.com/orhanobut/wasp/issues/128","show")</f>
        <v>show</v>
      </c>
      <c r="E940" t="str">
        <f>HYPERLINK("https://github.com/orhanobut/wasp","show")</f>
        <v>show</v>
      </c>
      <c r="F940" t="str">
        <f>HYPERLINK("https://github.com/orhanobut/wasp/releases","show")</f>
        <v>show</v>
      </c>
    </row>
    <row r="941" spans="1:6">
      <c r="A941" t="s">
        <v>2827</v>
      </c>
      <c r="B941" t="s">
        <v>2828</v>
      </c>
      <c r="C941" t="s">
        <v>2829</v>
      </c>
      <c r="D941" t="str">
        <f>HYPERLINK("https://github.com/mvysny/aedict/issues/567","show")</f>
        <v>show</v>
      </c>
      <c r="E941" t="str">
        <f>HYPERLINK("https://github.com/mvysny/aedict","show")</f>
        <v>show</v>
      </c>
      <c r="F941" t="str">
        <f>HYPERLINK("https://github.com/mvysny/aedict/releases","show")</f>
        <v>show</v>
      </c>
    </row>
    <row r="942" spans="1:6">
      <c r="A942" t="s">
        <v>2830</v>
      </c>
      <c r="B942" t="s">
        <v>2831</v>
      </c>
      <c r="C942" t="s">
        <v>2832</v>
      </c>
      <c r="D942" t="str">
        <f>HYPERLINK("https://github.com/AppLozic/Applozic-Android-SDK/issues/33","show")</f>
        <v>show</v>
      </c>
      <c r="E942" t="str">
        <f>HYPERLINK("https://github.com/AppLozic/Applozic-Android-SDK","show")</f>
        <v>show</v>
      </c>
      <c r="F942" t="str">
        <f>HYPERLINK("https://github.com/AppLozic/Applozic-Android-SDK/releases","show")</f>
        <v>show</v>
      </c>
    </row>
    <row r="943" spans="1:6">
      <c r="A943" t="s">
        <v>2833</v>
      </c>
      <c r="B943" t="s">
        <v>2834</v>
      </c>
      <c r="C943" t="s">
        <v>2835</v>
      </c>
      <c r="D943" t="str">
        <f>HYPERLINK("https://github.com/Fleker/CumulusTV/issues/47","show")</f>
        <v>show</v>
      </c>
      <c r="E943" t="str">
        <f>HYPERLINK("https://github.com/Fleker/CumulusTV","show")</f>
        <v>show</v>
      </c>
      <c r="F943" t="str">
        <f>HYPERLINK("https://github.com/Fleker/CumulusTV/releases","show")</f>
        <v>show</v>
      </c>
    </row>
    <row r="944" spans="1:6">
      <c r="A944" t="s">
        <v>2836</v>
      </c>
      <c r="B944" t="s">
        <v>2837</v>
      </c>
      <c r="C944" t="s">
        <v>2838</v>
      </c>
      <c r="D944" t="str">
        <f>HYPERLINK("https://github.com/ankidroid/Anki-Android/issues/3654","show")</f>
        <v>show</v>
      </c>
      <c r="E944" t="str">
        <f>HYPERLINK("https://github.com/ankidroid/Anki-Android","show")</f>
        <v>show</v>
      </c>
      <c r="F944" t="str">
        <f>HYPERLINK("https://github.com/ankidroid/Anki-Android/releases","show")</f>
        <v>show</v>
      </c>
    </row>
    <row r="945" spans="1:6">
      <c r="A945" t="s">
        <v>2839</v>
      </c>
      <c r="B945" t="s">
        <v>2840</v>
      </c>
      <c r="C945" t="s">
        <v>2841</v>
      </c>
      <c r="D945" t="str">
        <f>HYPERLINK("https://github.com/colegarien/SDDTermProject/issues/28","show")</f>
        <v>show</v>
      </c>
      <c r="E945" t="str">
        <f>HYPERLINK("https://github.com/colegarien/SDDTermProject","show")</f>
        <v>show</v>
      </c>
      <c r="F945" t="str">
        <f>HYPERLINK("https://github.com/colegarien/SDDTermProject/releases","show")</f>
        <v>show</v>
      </c>
    </row>
    <row r="946" spans="1:6">
      <c r="A946" t="s">
        <v>2842</v>
      </c>
      <c r="B946" t="s">
        <v>2843</v>
      </c>
      <c r="C946" t="s">
        <v>2844</v>
      </c>
      <c r="D946" t="str">
        <f>HYPERLINK("https://github.com/parse-community/ParseUI-Android/issues/75","show")</f>
        <v>show</v>
      </c>
      <c r="E946" t="str">
        <f>HYPERLINK("https://github.com/parse-community/ParseUI-Android","show")</f>
        <v>show</v>
      </c>
      <c r="F946" t="str">
        <f>HYPERLINK("https://github.com/parse-community/ParseUI-Android/releases","show")</f>
        <v>show</v>
      </c>
    </row>
    <row r="947" spans="1:6">
      <c r="A947" t="s">
        <v>2845</v>
      </c>
      <c r="B947" t="s">
        <v>2846</v>
      </c>
      <c r="C947" t="s">
        <v>2847</v>
      </c>
      <c r="D947" t="str">
        <f>HYPERLINK("https://github.com/AppLozic/Applozic-Android-SDK/issues/43","show")</f>
        <v>show</v>
      </c>
      <c r="E947" t="str">
        <f>HYPERLINK("https://github.com/AppLozic/Applozic-Android-SDK","show")</f>
        <v>show</v>
      </c>
      <c r="F947" t="str">
        <f>HYPERLINK("https://github.com/AppLozic/Applozic-Android-SDK/releases","show")</f>
        <v>show</v>
      </c>
    </row>
    <row r="948" spans="1:6">
      <c r="A948" t="s">
        <v>2848</v>
      </c>
      <c r="B948" t="s">
        <v>2849</v>
      </c>
      <c r="C948" t="s">
        <v>2850</v>
      </c>
      <c r="D948" t="str">
        <f>HYPERLINK("https://github.com/Cloudkibo/Android/issues/62","show")</f>
        <v>show</v>
      </c>
      <c r="E948" t="str">
        <f>HYPERLINK("https://github.com/Cloudkibo/Android","show")</f>
        <v>show</v>
      </c>
      <c r="F948" t="str">
        <f>HYPERLINK("https://github.com/Cloudkibo/Android/releases","show")</f>
        <v>show</v>
      </c>
    </row>
    <row r="949" spans="1:6">
      <c r="A949" t="s">
        <v>2851</v>
      </c>
      <c r="B949" t="s">
        <v>2852</v>
      </c>
      <c r="C949" t="s">
        <v>2853</v>
      </c>
      <c r="D949" t="str">
        <f>HYPERLINK("https://github.com/OneBusAway/onebusaway-android/issues/293","show")</f>
        <v>show</v>
      </c>
      <c r="E949" t="str">
        <f>HYPERLINK("https://github.com/OneBusAway/onebusaway-android","show")</f>
        <v>show</v>
      </c>
      <c r="F949" t="str">
        <f>HYPERLINK("https://github.com/OneBusAway/onebusaway-android/releases","show")</f>
        <v>show</v>
      </c>
    </row>
    <row r="950" spans="1:6">
      <c r="A950" t="s">
        <v>2854</v>
      </c>
      <c r="B950" t="s">
        <v>2855</v>
      </c>
      <c r="C950" t="s">
        <v>2856</v>
      </c>
      <c r="D950" t="str">
        <f>HYPERLINK("https://github.com/kontalk/androidclient/issues/550","show")</f>
        <v>show</v>
      </c>
      <c r="E950" t="str">
        <f>HYPERLINK("https://github.com/kontalk/androidclient","show")</f>
        <v>show</v>
      </c>
      <c r="F950" t="str">
        <f>HYPERLINK("https://github.com/kontalk/androidclient/releases","show")</f>
        <v>show</v>
      </c>
    </row>
    <row r="951" spans="1:6">
      <c r="A951" t="s">
        <v>2857</v>
      </c>
      <c r="B951" t="s">
        <v>2858</v>
      </c>
      <c r="C951" t="s">
        <v>2859</v>
      </c>
      <c r="D951" t="str">
        <f>HYPERLINK("https://github.com/JordanMoffat/KitchenPal/issues/32","show")</f>
        <v>show</v>
      </c>
      <c r="E951" t="str">
        <f>HYPERLINK("https://github.com/JordanMoffat/KitchenPal","show")</f>
        <v>show</v>
      </c>
      <c r="F951" t="str">
        <f>HYPERLINK("https://github.com/JordanMoffat/KitchenPal/releases","show")</f>
        <v>show</v>
      </c>
    </row>
    <row r="952" spans="1:6">
      <c r="A952" t="s">
        <v>2860</v>
      </c>
      <c r="B952" t="s">
        <v>2861</v>
      </c>
      <c r="C952" t="s">
        <v>2862</v>
      </c>
      <c r="D952" t="str">
        <f>HYPERLINK("https://github.com/dhammikamare/OfferME/issues/2","show")</f>
        <v>show</v>
      </c>
      <c r="E952" t="str">
        <f>HYPERLINK("https://github.com/dhammikamare/OfferME","show")</f>
        <v>show</v>
      </c>
      <c r="F952" t="str">
        <f>HYPERLINK("https://github.com/dhammikamare/OfferME/releases","show")</f>
        <v>show</v>
      </c>
    </row>
    <row r="953" spans="1:6">
      <c r="A953" t="s">
        <v>2863</v>
      </c>
      <c r="B953" t="s">
        <v>2864</v>
      </c>
      <c r="C953" t="s">
        <v>2865</v>
      </c>
      <c r="D953" t="str">
        <f>HYPERLINK("https://github.com/cymcsg/UltimateRecyclerView/issues/196","show")</f>
        <v>show</v>
      </c>
      <c r="E953" t="str">
        <f>HYPERLINK("https://github.com/cymcsg/UltimateRecyclerView","show")</f>
        <v>show</v>
      </c>
      <c r="F953" t="str">
        <f>HYPERLINK("https://github.com/cymcsg/UltimateRecyclerView/releases","show")</f>
        <v>show</v>
      </c>
    </row>
    <row r="954" spans="1:6">
      <c r="A954" t="s">
        <v>2866</v>
      </c>
      <c r="B954" t="s">
        <v>2867</v>
      </c>
      <c r="C954" t="s">
        <v>2868</v>
      </c>
      <c r="D954" t="str">
        <f>HYPERLINK("https://github.com/Fachschaft07/fs-android-app/issues/28","show")</f>
        <v>show</v>
      </c>
      <c r="E954" t="str">
        <f>HYPERLINK("https://github.com/Fachschaft07/fs-android-app","show")</f>
        <v>show</v>
      </c>
      <c r="F954" t="str">
        <f>HYPERLINK("https://github.com/Fachschaft07/fs-android-app/releases","show")</f>
        <v>show</v>
      </c>
    </row>
    <row r="955" spans="1:6">
      <c r="A955" t="s">
        <v>2869</v>
      </c>
      <c r="B955" t="s">
        <v>2870</v>
      </c>
      <c r="C955" t="s">
        <v>2871</v>
      </c>
      <c r="D955" t="str">
        <f>HYPERLINK("https://github.com/Abestanis/APython/issues/10","show")</f>
        <v>show</v>
      </c>
      <c r="E955" t="str">
        <f>HYPERLINK("https://github.com/Abestanis/APython","show")</f>
        <v>show</v>
      </c>
      <c r="F955" t="str">
        <f>HYPERLINK("https://github.com/Abestanis/APython/releases","show")</f>
        <v>show</v>
      </c>
    </row>
    <row r="956" spans="1:6">
      <c r="A956" t="s">
        <v>2872</v>
      </c>
      <c r="B956" t="s">
        <v>2873</v>
      </c>
      <c r="C956" t="s">
        <v>2874</v>
      </c>
      <c r="D956" t="str">
        <f>HYPERLINK("https://github.com/cSploit/android/issues/254","show")</f>
        <v>show</v>
      </c>
      <c r="E956" t="str">
        <f>HYPERLINK("https://github.com/cSploit/android","show")</f>
        <v>show</v>
      </c>
      <c r="F956" t="str">
        <f>HYPERLINK("https://github.com/cSploit/android/releases","show")</f>
        <v>show</v>
      </c>
    </row>
    <row r="957" spans="1:6">
      <c r="A957" t="s">
        <v>2875</v>
      </c>
      <c r="B957" t="s">
        <v>2876</v>
      </c>
      <c r="C957" t="s">
        <v>2877</v>
      </c>
      <c r="D957" t="str">
        <f>HYPERLINK("https://github.com/JordanMoffat/KitchenPal/issues/36","show")</f>
        <v>show</v>
      </c>
      <c r="E957" t="str">
        <f>HYPERLINK("https://github.com/JordanMoffat/KitchenPal","show")</f>
        <v>show</v>
      </c>
      <c r="F957" t="str">
        <f>HYPERLINK("https://github.com/JordanMoffat/KitchenPal/releases","show")</f>
        <v>show</v>
      </c>
    </row>
    <row r="958" spans="1:6">
      <c r="A958" t="s">
        <v>2878</v>
      </c>
      <c r="B958" t="s">
        <v>2879</v>
      </c>
      <c r="C958" t="s">
        <v>2880</v>
      </c>
      <c r="D958" t="str">
        <f>HYPERLINK("https://github.com/turing-tech/MaterialScrollBar/issues/12","show")</f>
        <v>show</v>
      </c>
      <c r="E958" t="str">
        <f>HYPERLINK("https://github.com/turing-tech/MaterialScrollBar","show")</f>
        <v>show</v>
      </c>
      <c r="F958" t="str">
        <f>HYPERLINK("https://github.com/turing-tech/MaterialScrollBar/releases","show")</f>
        <v>show</v>
      </c>
    </row>
    <row r="959" spans="1:6">
      <c r="A959" t="s">
        <v>2881</v>
      </c>
      <c r="B959" t="s">
        <v>2882</v>
      </c>
      <c r="C959" t="s">
        <v>2883</v>
      </c>
      <c r="D959" t="str">
        <f>HYPERLINK("https://github.com/cgeo/cgeo/issues/5204","show")</f>
        <v>show</v>
      </c>
      <c r="E959" t="str">
        <f>HYPERLINK("https://github.com/cgeo/cgeo","show")</f>
        <v>show</v>
      </c>
      <c r="F959" t="str">
        <f>HYPERLINK("https://github.com/cgeo/cgeo/releases","show")</f>
        <v>show</v>
      </c>
    </row>
    <row r="960" spans="1:6">
      <c r="A960" t="s">
        <v>2884</v>
      </c>
      <c r="B960" t="s">
        <v>2885</v>
      </c>
      <c r="C960" t="s">
        <v>2886</v>
      </c>
      <c r="D960" t="str">
        <f>HYPERLINK("https://github.com/AppLozic/Applozic-Android-SDK/issues/48","show")</f>
        <v>show</v>
      </c>
      <c r="E960" t="str">
        <f>HYPERLINK("https://github.com/AppLozic/Applozic-Android-SDK","show")</f>
        <v>show</v>
      </c>
      <c r="F960" t="str">
        <f>HYPERLINK("https://github.com/AppLozic/Applozic-Android-SDK/releases","show")</f>
        <v>show</v>
      </c>
    </row>
    <row r="961" spans="1:6">
      <c r="A961" t="s">
        <v>2887</v>
      </c>
      <c r="B961" t="s">
        <v>2888</v>
      </c>
      <c r="C961" t="s">
        <v>2889</v>
      </c>
      <c r="D961" t="str">
        <f>HYPERLINK("https://github.com/CellularPrivacy/Android-IMSI-Catcher-Detector/issues/620","show")</f>
        <v>show</v>
      </c>
      <c r="E961" t="str">
        <f>HYPERLINK("https://github.com/CellularPrivacy/Android-IMSI-Catcher-Detector","show")</f>
        <v>show</v>
      </c>
      <c r="F961" t="str">
        <f>HYPERLINK("https://github.com/CellularPrivacy/Android-IMSI-Catcher-Detector/releases","show")</f>
        <v>show</v>
      </c>
    </row>
    <row r="962" spans="1:6">
      <c r="A962" t="s">
        <v>2890</v>
      </c>
      <c r="B962" t="s">
        <v>2891</v>
      </c>
      <c r="C962" t="s">
        <v>2892</v>
      </c>
      <c r="D962" t="str">
        <f>HYPERLINK("https://github.com/k9mail/k-9/issues/814","show")</f>
        <v>show</v>
      </c>
      <c r="E962" t="str">
        <f>HYPERLINK("https://github.com/k9mail/k-9","show")</f>
        <v>show</v>
      </c>
      <c r="F962" t="str">
        <f>HYPERLINK("https://github.com/k9mail/k-9/releases","show")</f>
        <v>show</v>
      </c>
    </row>
    <row r="963" spans="1:6">
      <c r="A963" t="s">
        <v>2893</v>
      </c>
      <c r="B963" t="s">
        <v>2894</v>
      </c>
      <c r="C963" t="s">
        <v>2895</v>
      </c>
      <c r="D963" t="str">
        <f>HYPERLINK("https://github.com/EmergentOrganization/cell-rpg/issues/68","show")</f>
        <v>show</v>
      </c>
      <c r="E963" t="str">
        <f>HYPERLINK("https://github.com/EmergentOrganization/cell-rpg","show")</f>
        <v>show</v>
      </c>
      <c r="F963" t="str">
        <f>HYPERLINK("https://github.com/EmergentOrganization/cell-rpg/releases","show")</f>
        <v>show</v>
      </c>
    </row>
    <row r="964" spans="1:6">
      <c r="A964" t="s">
        <v>2896</v>
      </c>
      <c r="B964" t="s">
        <v>2897</v>
      </c>
      <c r="C964" t="s">
        <v>2898</v>
      </c>
      <c r="D964" t="str">
        <f>HYPERLINK("https://github.com/IOT-DSA/dslink-java-android/issues/1","show")</f>
        <v>show</v>
      </c>
      <c r="E964" t="str">
        <f>HYPERLINK("https://github.com/IOT-DSA/dslink-java-android","show")</f>
        <v>show</v>
      </c>
      <c r="F964" t="str">
        <f>HYPERLINK("https://github.com/IOT-DSA/dslink-java-android/releases","show")</f>
        <v>show</v>
      </c>
    </row>
    <row r="965" spans="1:6">
      <c r="A965" t="s">
        <v>2899</v>
      </c>
      <c r="B965" t="s">
        <v>2900</v>
      </c>
      <c r="C965" t="s">
        <v>2901</v>
      </c>
      <c r="D965" t="str">
        <f>HYPERLINK("https://github.com/dsaltares/libgdx-cookbook/issues/10","show")</f>
        <v>show</v>
      </c>
      <c r="E965" t="str">
        <f>HYPERLINK("https://github.com/dsaltares/libgdx-cookbook","show")</f>
        <v>show</v>
      </c>
      <c r="F965" t="str">
        <f>HYPERLINK("https://github.com/dsaltares/libgdx-cookbook/releases","show")</f>
        <v>show</v>
      </c>
    </row>
    <row r="966" spans="1:6">
      <c r="A966" t="s">
        <v>2902</v>
      </c>
      <c r="B966" t="s">
        <v>2903</v>
      </c>
      <c r="C966" t="s">
        <v>2904</v>
      </c>
      <c r="D966" t="str">
        <f>HYPERLINK("https://github.com/h6ah4i/android-advancedrecyclerview/issues/115","show")</f>
        <v>show</v>
      </c>
      <c r="E966" t="str">
        <f>HYPERLINK("https://github.com/h6ah4i/android-advancedrecyclerview","show")</f>
        <v>show</v>
      </c>
      <c r="F966" t="str">
        <f>HYPERLINK("https://github.com/h6ah4i/android-advancedrecyclerview/releases","show")</f>
        <v>show</v>
      </c>
    </row>
    <row r="967" spans="1:6">
      <c r="A967" t="s">
        <v>2905</v>
      </c>
      <c r="B967" t="s">
        <v>2906</v>
      </c>
      <c r="C967" t="s">
        <v>2907</v>
      </c>
      <c r="D967" t="str">
        <f>HYPERLINK("https://github.com/Andrew67/DdrFinder/issues/7","show")</f>
        <v>show</v>
      </c>
      <c r="E967" t="str">
        <f>HYPERLINK("https://github.com/Andrew67/DdrFinder","show")</f>
        <v>show</v>
      </c>
      <c r="F967" t="str">
        <f>HYPERLINK("https://github.com/Andrew67/DdrFinder/releases","show")</f>
        <v>show</v>
      </c>
    </row>
    <row r="968" spans="1:6">
      <c r="A968" t="s">
        <v>2908</v>
      </c>
      <c r="B968" t="s">
        <v>2909</v>
      </c>
      <c r="C968" t="s">
        <v>2910</v>
      </c>
      <c r="D968" t="str">
        <f>HYPERLINK("https://github.com/Cloudkibo/Android/issues/65","show")</f>
        <v>show</v>
      </c>
      <c r="E968" t="str">
        <f>HYPERLINK("https://github.com/Cloudkibo/Android","show")</f>
        <v>show</v>
      </c>
      <c r="F968" t="str">
        <f>HYPERLINK("https://github.com/Cloudkibo/Android/releases","show")</f>
        <v>show</v>
      </c>
    </row>
    <row r="969" spans="1:6">
      <c r="A969" t="s">
        <v>2911</v>
      </c>
      <c r="B969" t="s">
        <v>2912</v>
      </c>
      <c r="C969" t="s">
        <v>2913</v>
      </c>
      <c r="D969" t="str">
        <f>HYPERLINK("https://github.com/cSploit/android/issues/327","show")</f>
        <v>show</v>
      </c>
      <c r="E969" t="str">
        <f>HYPERLINK("https://github.com/cSploit/android","show")</f>
        <v>show</v>
      </c>
      <c r="F969" t="str">
        <f>HYPERLINK("https://github.com/cSploit/android/releases","show")</f>
        <v>show</v>
      </c>
    </row>
    <row r="970" spans="1:6">
      <c r="A970" t="s">
        <v>2914</v>
      </c>
      <c r="B970" t="s">
        <v>2915</v>
      </c>
      <c r="C970" t="s">
        <v>2916</v>
      </c>
      <c r="D970" t="str">
        <f>HYPERLINK("https://github.com/OneBusAway/onebusaway-android/issues/317","show")</f>
        <v>show</v>
      </c>
      <c r="E970" t="str">
        <f>HYPERLINK("https://github.com/OneBusAway/onebusaway-android","show")</f>
        <v>show</v>
      </c>
      <c r="F970" t="str">
        <f>HYPERLINK("https://github.com/OneBusAway/onebusaway-android/releases","show")</f>
        <v>show</v>
      </c>
    </row>
    <row r="971" spans="1:6">
      <c r="A971" t="s">
        <v>2917</v>
      </c>
      <c r="B971" t="s">
        <v>2918</v>
      </c>
      <c r="C971" t="s">
        <v>2919</v>
      </c>
      <c r="D971" t="str">
        <f>HYPERLINK("https://github.com/tbruyelle/RxPermissions/issues/3","show")</f>
        <v>show</v>
      </c>
      <c r="E971" t="str">
        <f>HYPERLINK("https://github.com/tbruyelle/RxPermissions","show")</f>
        <v>show</v>
      </c>
      <c r="F971" t="str">
        <f>HYPERLINK("https://github.com/tbruyelle/RxPermissions/releases","show")</f>
        <v>show</v>
      </c>
    </row>
    <row r="972" spans="1:6">
      <c r="A972" t="s">
        <v>2920</v>
      </c>
      <c r="B972" t="s">
        <v>2921</v>
      </c>
      <c r="C972" t="s">
        <v>2922</v>
      </c>
      <c r="D972" t="str">
        <f>HYPERLINK("https://github.com/dimagi/commcare-android/issues/662","show")</f>
        <v>show</v>
      </c>
      <c r="E972" t="str">
        <f>HYPERLINK("https://github.com/dimagi/commcare-android","show")</f>
        <v>show</v>
      </c>
      <c r="F972" t="str">
        <f>HYPERLINK("https://github.com/dimagi/commcare-android/releases","show")</f>
        <v>show</v>
      </c>
    </row>
    <row r="973" spans="1:6">
      <c r="A973" t="s">
        <v>2923</v>
      </c>
      <c r="B973" t="s">
        <v>2924</v>
      </c>
      <c r="C973" t="s">
        <v>2925</v>
      </c>
      <c r="D973" t="str">
        <f>HYPERLINK("https://github.com/fesch/CanZE/issues/50","show")</f>
        <v>show</v>
      </c>
      <c r="E973" t="str">
        <f>HYPERLINK("https://github.com/fesch/CanZE","show")</f>
        <v>show</v>
      </c>
      <c r="F973" t="str">
        <f>HYPERLINK("https://github.com/fesch/CanZE/releases","show")</f>
        <v>show</v>
      </c>
    </row>
    <row r="974" spans="1:6">
      <c r="A974" t="s">
        <v>2926</v>
      </c>
      <c r="B974" t="s">
        <v>2927</v>
      </c>
      <c r="C974" t="s">
        <v>2928</v>
      </c>
      <c r="D974" t="str">
        <f>HYPERLINK("https://github.com/fesch/CanZE/issues/54","show")</f>
        <v>show</v>
      </c>
      <c r="E974" t="str">
        <f>HYPERLINK("https://github.com/fesch/CanZE","show")</f>
        <v>show</v>
      </c>
      <c r="F974" t="str">
        <f>HYPERLINK("https://github.com/fesch/CanZE/releases","show")</f>
        <v>show</v>
      </c>
    </row>
    <row r="975" spans="1:6">
      <c r="A975" t="s">
        <v>2929</v>
      </c>
      <c r="B975" t="s">
        <v>2930</v>
      </c>
      <c r="C975" t="s">
        <v>2931</v>
      </c>
      <c r="D975" t="str">
        <f>HYPERLINK("https://github.com/segmentio/analytics-android/issues/358","show")</f>
        <v>show</v>
      </c>
      <c r="E975" t="str">
        <f>HYPERLINK("https://github.com/segmentio/analytics-android","show")</f>
        <v>show</v>
      </c>
      <c r="F975" t="str">
        <f>HYPERLINK("https://github.com/segmentio/analytics-android/releases","show")</f>
        <v>show</v>
      </c>
    </row>
    <row r="976" spans="1:6">
      <c r="A976" t="s">
        <v>2932</v>
      </c>
      <c r="B976" t="s">
        <v>2933</v>
      </c>
      <c r="C976" t="s">
        <v>2934</v>
      </c>
      <c r="D976" t="str">
        <f>HYPERLINK("https://github.com/souliss/soulissapp/issues/77","show")</f>
        <v>show</v>
      </c>
      <c r="E976" t="str">
        <f>HYPERLINK("https://github.com/souliss/soulissapp","show")</f>
        <v>show</v>
      </c>
      <c r="F976" t="str">
        <f>HYPERLINK("https://github.com/souliss/soulissapp/releases","show")</f>
        <v>show</v>
      </c>
    </row>
    <row r="977" spans="1:6">
      <c r="A977" t="s">
        <v>2935</v>
      </c>
      <c r="B977" t="s">
        <v>2936</v>
      </c>
      <c r="C977" t="s">
        <v>2937</v>
      </c>
      <c r="D977" t="str">
        <f>HYPERLINK("https://github.com/UweTrottmann/SeriesGuide/issues/473","show")</f>
        <v>show</v>
      </c>
      <c r="E977" t="str">
        <f>HYPERLINK("https://github.com/UweTrottmann/SeriesGuide","show")</f>
        <v>show</v>
      </c>
      <c r="F977" t="str">
        <f>HYPERLINK("https://github.com/UweTrottmann/SeriesGuide/releases","show")</f>
        <v>show</v>
      </c>
    </row>
    <row r="978" spans="1:6">
      <c r="A978" t="s">
        <v>2938</v>
      </c>
      <c r="B978" t="s">
        <v>2939</v>
      </c>
      <c r="C978" t="s">
        <v>2940</v>
      </c>
      <c r="D978" t="str">
        <f>HYPERLINK("https://github.com/zhanghai/MaterialProgressBar/issues/7","show")</f>
        <v>show</v>
      </c>
      <c r="E978" t="str">
        <f>HYPERLINK("https://github.com/zhanghai/MaterialProgressBar","show")</f>
        <v>show</v>
      </c>
      <c r="F978" t="str">
        <f>HYPERLINK("https://github.com/zhanghai/MaterialProgressBar/releases","show")</f>
        <v>show</v>
      </c>
    </row>
    <row r="979" spans="1:6">
      <c r="A979" t="s">
        <v>2941</v>
      </c>
      <c r="B979" t="s">
        <v>2942</v>
      </c>
      <c r="C979" t="s">
        <v>2943</v>
      </c>
      <c r="D979" t="str">
        <f>HYPERLINK("https://github.com/orhanobut/hawk/issues/92","show")</f>
        <v>show</v>
      </c>
      <c r="E979" t="str">
        <f>HYPERLINK("https://github.com/orhanobut/hawk","show")</f>
        <v>show</v>
      </c>
      <c r="F979" t="str">
        <f>HYPERLINK("https://github.com/orhanobut/hawk/releases","show")</f>
        <v>show</v>
      </c>
    </row>
    <row r="980" spans="1:6">
      <c r="A980" t="s">
        <v>2944</v>
      </c>
      <c r="B980" t="s">
        <v>2945</v>
      </c>
      <c r="C980" t="s">
        <v>2946</v>
      </c>
      <c r="D980" t="str">
        <f>HYPERLINK("https://github.com/smarek/Simple-Dilbert/issues/23","show")</f>
        <v>show</v>
      </c>
      <c r="E980" t="str">
        <f>HYPERLINK("https://github.com/smarek/Simple-Dilbert","show")</f>
        <v>show</v>
      </c>
      <c r="F980" t="str">
        <f>HYPERLINK("https://github.com/smarek/Simple-Dilbert/releases","show")</f>
        <v>show</v>
      </c>
    </row>
    <row r="981" spans="1:6">
      <c r="A981" t="s">
        <v>2947</v>
      </c>
      <c r="B981" t="s">
        <v>2948</v>
      </c>
      <c r="C981" t="s">
        <v>2949</v>
      </c>
      <c r="D981" t="str">
        <f>HYPERLINK("https://github.com/syncthing/syncthing-android/issues/464","show")</f>
        <v>show</v>
      </c>
      <c r="E981" t="str">
        <f>HYPERLINK("https://github.com/syncthing/syncthing-android","show")</f>
        <v>show</v>
      </c>
      <c r="F981" t="str">
        <f>HYPERLINK("https://github.com/syncthing/syncthing-android/releases","show")</f>
        <v>show</v>
      </c>
    </row>
    <row r="982" spans="1:6">
      <c r="A982" t="s">
        <v>2950</v>
      </c>
      <c r="B982" t="s">
        <v>2951</v>
      </c>
      <c r="C982" t="s">
        <v>2952</v>
      </c>
      <c r="D982" t="str">
        <f>HYPERLINK("https://github.com/projectbuendia/client/issues/54","show")</f>
        <v>show</v>
      </c>
      <c r="E982" t="str">
        <f>HYPERLINK("https://github.com/projectbuendia/client","show")</f>
        <v>show</v>
      </c>
      <c r="F982" t="str">
        <f>HYPERLINK("https://github.com/projectbuendia/client/releases","show")</f>
        <v>show</v>
      </c>
    </row>
    <row r="983" spans="1:6">
      <c r="A983" t="s">
        <v>2953</v>
      </c>
      <c r="B983" t="s">
        <v>2954</v>
      </c>
      <c r="C983" t="s">
        <v>2955</v>
      </c>
      <c r="D983" t="str">
        <f>HYPERLINK("https://github.com/fesch/CanZE/issues/80","show")</f>
        <v>show</v>
      </c>
      <c r="E983" t="str">
        <f>HYPERLINK("https://github.com/fesch/CanZE","show")</f>
        <v>show</v>
      </c>
      <c r="F983" t="str">
        <f>HYPERLINK("https://github.com/fesch/CanZE/releases","show")</f>
        <v>show</v>
      </c>
    </row>
    <row r="984" spans="1:6">
      <c r="A984" t="s">
        <v>2956</v>
      </c>
      <c r="B984" t="s">
        <v>2957</v>
      </c>
      <c r="C984" t="s">
        <v>2958</v>
      </c>
      <c r="D984" t="str">
        <f>HYPERLINK("https://github.com/ccrama/Slide/issues/7","show")</f>
        <v>show</v>
      </c>
      <c r="E984" t="str">
        <f>HYPERLINK("https://github.com/ccrama/Slide","show")</f>
        <v>show</v>
      </c>
      <c r="F984" t="str">
        <f>HYPERLINK("https://github.com/ccrama/Slide/releases","show")</f>
        <v>show</v>
      </c>
    </row>
    <row r="985" spans="1:6">
      <c r="A985" t="s">
        <v>2959</v>
      </c>
      <c r="B985" t="s">
        <v>2960</v>
      </c>
      <c r="C985" t="s">
        <v>2961</v>
      </c>
      <c r="D985" t="str">
        <f>HYPERLINK("https://github.com/gre/gl-react-native-v2/issues/16","show")</f>
        <v>show</v>
      </c>
      <c r="E985" t="str">
        <f>HYPERLINK("https://github.com/gre/gl-react-native-v2","show")</f>
        <v>show</v>
      </c>
      <c r="F985" t="str">
        <f>HYPERLINK("https://github.com/gre/gl-react-native-v2/releases","show")</f>
        <v>show</v>
      </c>
    </row>
    <row r="986" spans="1:6">
      <c r="A986" t="s">
        <v>2962</v>
      </c>
      <c r="B986" t="s">
        <v>2963</v>
      </c>
      <c r="C986" t="s">
        <v>2964</v>
      </c>
      <c r="D986" t="str">
        <f>HYPERLINK("https://github.com/mvysny/aedict/issues/574","show")</f>
        <v>show</v>
      </c>
      <c r="E986" t="str">
        <f>HYPERLINK("https://github.com/mvysny/aedict","show")</f>
        <v>show</v>
      </c>
      <c r="F986" t="str">
        <f>HYPERLINK("https://github.com/mvysny/aedict/releases","show")</f>
        <v>show</v>
      </c>
    </row>
    <row r="987" spans="1:6">
      <c r="A987" t="s">
        <v>2965</v>
      </c>
      <c r="B987" t="s">
        <v>2966</v>
      </c>
      <c r="C987" t="s">
        <v>2967</v>
      </c>
      <c r="D987" t="str">
        <f>HYPERLINK("https://github.com/projectbuendia/client/issues/61","show")</f>
        <v>show</v>
      </c>
      <c r="E987" t="str">
        <f>HYPERLINK("https://github.com/projectbuendia/client","show")</f>
        <v>show</v>
      </c>
      <c r="F987" t="str">
        <f>HYPERLINK("https://github.com/projectbuendia/client/releases","show")</f>
        <v>show</v>
      </c>
    </row>
    <row r="988" spans="1:6">
      <c r="A988" t="s">
        <v>2968</v>
      </c>
      <c r="B988" t="s">
        <v>2969</v>
      </c>
      <c r="C988" t="s">
        <v>2970</v>
      </c>
      <c r="D988" t="str">
        <f>HYPERLINK("https://github.com/ccrama/Slide/issues/17","show")</f>
        <v>show</v>
      </c>
      <c r="E988" t="str">
        <f>HYPERLINK("https://github.com/ccrama/Slide","show")</f>
        <v>show</v>
      </c>
      <c r="F988" t="str">
        <f>HYPERLINK("https://github.com/ccrama/Slide/releases","show")</f>
        <v>show</v>
      </c>
    </row>
    <row r="989" spans="1:6">
      <c r="A989" t="s">
        <v>2971</v>
      </c>
      <c r="B989" t="s">
        <v>2972</v>
      </c>
      <c r="C989" t="s">
        <v>2973</v>
      </c>
      <c r="D989" t="str">
        <f>HYPERLINK("https://github.com/scottyab/secure-preferences/issues/31","show")</f>
        <v>show</v>
      </c>
      <c r="E989" t="str">
        <f>HYPERLINK("https://github.com/scottyab/secure-preferences","show")</f>
        <v>show</v>
      </c>
      <c r="F989" t="str">
        <f>HYPERLINK("https://github.com/scottyab/secure-preferences/releases","show")</f>
        <v>show</v>
      </c>
    </row>
    <row r="990" spans="1:6">
      <c r="A990" t="s">
        <v>2974</v>
      </c>
      <c r="B990" t="s">
        <v>2975</v>
      </c>
      <c r="C990" t="s">
        <v>2976</v>
      </c>
      <c r="D990" t="str">
        <f>HYPERLINK("https://github.com/cymcsg/UltimateRecyclerView/issues/208","show")</f>
        <v>show</v>
      </c>
      <c r="E990" t="str">
        <f>HYPERLINK("https://github.com/cymcsg/UltimateRecyclerView","show")</f>
        <v>show</v>
      </c>
      <c r="F990" t="str">
        <f>HYPERLINK("https://github.com/cymcsg/UltimateRecyclerView/releases","show")</f>
        <v>show</v>
      </c>
    </row>
    <row r="991" spans="1:6">
      <c r="A991" t="s">
        <v>2977</v>
      </c>
      <c r="B991" t="s">
        <v>2978</v>
      </c>
      <c r="C991" t="s">
        <v>2979</v>
      </c>
      <c r="D991" t="str">
        <f>HYPERLINK("https://github.com/ccrama/Slide/issues/10","show")</f>
        <v>show</v>
      </c>
      <c r="E991" t="str">
        <f>HYPERLINK("https://github.com/ccrama/Slide","show")</f>
        <v>show</v>
      </c>
      <c r="F991" t="str">
        <f>HYPERLINK("https://github.com/ccrama/Slide/releases","show")</f>
        <v>show</v>
      </c>
    </row>
    <row r="992" spans="1:6">
      <c r="A992" t="s">
        <v>2980</v>
      </c>
      <c r="B992" t="s">
        <v>2981</v>
      </c>
      <c r="C992" t="s">
        <v>2982</v>
      </c>
      <c r="D992" t="str">
        <f>HYPERLINK("https://github.com/ccrama/Slide/issues/9","show")</f>
        <v>show</v>
      </c>
      <c r="E992" t="str">
        <f>HYPERLINK("https://github.com/ccrama/Slide","show")</f>
        <v>show</v>
      </c>
      <c r="F992" t="str">
        <f>HYPERLINK("https://github.com/ccrama/Slide/releases","show")</f>
        <v>show</v>
      </c>
    </row>
    <row r="993" spans="1:6">
      <c r="A993" t="s">
        <v>2983</v>
      </c>
      <c r="B993" t="s">
        <v>2984</v>
      </c>
      <c r="C993" t="s">
        <v>2985</v>
      </c>
      <c r="D993" t="str">
        <f>HYPERLINK("https://github.com/QuadFlask/colorpicker/issues/37","show")</f>
        <v>show</v>
      </c>
      <c r="E993" t="str">
        <f>HYPERLINK("https://github.com/QuadFlask/colorpicker","show")</f>
        <v>show</v>
      </c>
      <c r="F993" t="str">
        <f>HYPERLINK("https://github.com/QuadFlask/colorpicker/releases","show")</f>
        <v>show</v>
      </c>
    </row>
    <row r="994" spans="1:6">
      <c r="A994" t="s">
        <v>2986</v>
      </c>
      <c r="B994" t="s">
        <v>2987</v>
      </c>
      <c r="C994" t="s">
        <v>2988</v>
      </c>
      <c r="D994" t="str">
        <f>HYPERLINK("https://github.com/c6p/CelikAnahtar/issues/1","show")</f>
        <v>show</v>
      </c>
      <c r="E994" t="str">
        <f>HYPERLINK("https://github.com/c6p/CelikAnahtar","show")</f>
        <v>show</v>
      </c>
      <c r="F994" t="str">
        <f>HYPERLINK("https://github.com/c6p/CelikAnahtar/releases","show")</f>
        <v>show</v>
      </c>
    </row>
    <row r="995" spans="1:6">
      <c r="A995" t="s">
        <v>2989</v>
      </c>
      <c r="B995" t="s">
        <v>2990</v>
      </c>
      <c r="C995" t="s">
        <v>2991</v>
      </c>
      <c r="D995" t="str">
        <f>HYPERLINK("https://github.com/mvysny/aedict/issues/575","show")</f>
        <v>show</v>
      </c>
      <c r="E995" t="str">
        <f>HYPERLINK("https://github.com/mvysny/aedict","show")</f>
        <v>show</v>
      </c>
      <c r="F995" t="str">
        <f>HYPERLINK("https://github.com/mvysny/aedict/releases","show")</f>
        <v>show</v>
      </c>
    </row>
    <row r="996" spans="1:6">
      <c r="A996" t="s">
        <v>2992</v>
      </c>
      <c r="B996" t="s">
        <v>2993</v>
      </c>
      <c r="C996" t="s">
        <v>2994</v>
      </c>
      <c r="D996" t="str">
        <f>HYPERLINK("https://github.com/k9mail/k-9/issues/839","show")</f>
        <v>show</v>
      </c>
      <c r="E996" t="str">
        <f>HYPERLINK("https://github.com/k9mail/k-9","show")</f>
        <v>show</v>
      </c>
      <c r="F996" t="str">
        <f>HYPERLINK("https://github.com/k9mail/k-9/releases","show")</f>
        <v>show</v>
      </c>
    </row>
    <row r="997" spans="1:6">
      <c r="A997" t="s">
        <v>2995</v>
      </c>
      <c r="B997" t="s">
        <v>2996</v>
      </c>
      <c r="C997" t="s">
        <v>2997</v>
      </c>
      <c r="D997" t="str">
        <f>HYPERLINK("https://github.com/thothbot/parallax/issues/38","show")</f>
        <v>show</v>
      </c>
      <c r="E997" t="str">
        <f>HYPERLINK("https://github.com/thothbot/parallax","show")</f>
        <v>show</v>
      </c>
      <c r="F997" t="str">
        <f>HYPERLINK("https://github.com/thothbot/parallax/releases","show")</f>
        <v>show</v>
      </c>
    </row>
    <row r="998" spans="1:6">
      <c r="A998" t="s">
        <v>2998</v>
      </c>
      <c r="B998" t="s">
        <v>2999</v>
      </c>
      <c r="C998" t="s">
        <v>3000</v>
      </c>
      <c r="D998" t="str">
        <f>HYPERLINK("https://github.com/square/okhttp/issues/1921","show")</f>
        <v>show</v>
      </c>
      <c r="E998" t="str">
        <f>HYPERLINK("https://github.com/square/okhttp","show")</f>
        <v>show</v>
      </c>
      <c r="F998" t="str">
        <f>HYPERLINK("https://github.com/square/okhttp/releases","show")</f>
        <v>show</v>
      </c>
    </row>
    <row r="999" spans="1:6">
      <c r="A999" t="s">
        <v>3001</v>
      </c>
      <c r="B999" t="s">
        <v>3002</v>
      </c>
      <c r="C999" t="s">
        <v>3003</v>
      </c>
      <c r="D999" t="str">
        <f>HYPERLINK("https://github.com/ltGuillaume/DroidShows/issues/4","show")</f>
        <v>show</v>
      </c>
      <c r="E999" t="str">
        <f>HYPERLINK("https://github.com/ltGuillaume/DroidShows","show")</f>
        <v>show</v>
      </c>
      <c r="F999" t="str">
        <f>HYPERLINK("https://github.com/ltGuillaume/DroidShows/releases","show")</f>
        <v>show</v>
      </c>
    </row>
    <row r="1000" spans="1:6">
      <c r="A1000" t="s">
        <v>3004</v>
      </c>
      <c r="B1000" t="s">
        <v>3005</v>
      </c>
      <c r="C1000" t="s">
        <v>3006</v>
      </c>
      <c r="D1000" t="str">
        <f>HYPERLINK("https://github.com/ccrama/Slide/issues/58","show")</f>
        <v>show</v>
      </c>
      <c r="E1000" t="str">
        <f>HYPERLINK("https://github.com/ccrama/Slide","show")</f>
        <v>show</v>
      </c>
      <c r="F1000" t="str">
        <f>HYPERLINK("https://github.com/ccrama/Slide/releases","show")</f>
        <v>show</v>
      </c>
    </row>
    <row r="1001" spans="1:6">
      <c r="A1001" t="s">
        <v>3007</v>
      </c>
      <c r="B1001" t="s">
        <v>3008</v>
      </c>
      <c r="C1001" t="s">
        <v>3009</v>
      </c>
      <c r="D1001" t="str">
        <f>HYPERLINK("https://github.com/ccrama/Slide/issues/52","show")</f>
        <v>show</v>
      </c>
      <c r="E1001" t="str">
        <f>HYPERLINK("https://github.com/ccrama/Slide","show")</f>
        <v>show</v>
      </c>
      <c r="F1001" t="str">
        <f>HYPERLINK("https://github.com/ccrama/Slide/releases","show")</f>
        <v>show</v>
      </c>
    </row>
    <row r="1002" spans="1:6">
      <c r="A1002" t="s">
        <v>3010</v>
      </c>
      <c r="B1002" t="s">
        <v>3011</v>
      </c>
      <c r="C1002" t="s">
        <v>3012</v>
      </c>
      <c r="D1002" t="str">
        <f>HYPERLINK("https://github.com/bumptech/glide/issues/684","show")</f>
        <v>show</v>
      </c>
      <c r="E1002" t="str">
        <f>HYPERLINK("https://github.com/bumptech/glide","show")</f>
        <v>show</v>
      </c>
      <c r="F1002" t="str">
        <f>HYPERLINK("https://github.com/bumptech/glide/releases","show")</f>
        <v>show</v>
      </c>
    </row>
    <row r="1003" spans="1:6">
      <c r="A1003" t="s">
        <v>3013</v>
      </c>
      <c r="B1003" t="s">
        <v>3014</v>
      </c>
      <c r="C1003" t="s">
        <v>3015</v>
      </c>
      <c r="D1003" t="str">
        <f>HYPERLINK("https://github.com/ccrama/Slide/issues/67","show")</f>
        <v>show</v>
      </c>
      <c r="E1003" t="str">
        <f>HYPERLINK("https://github.com/ccrama/Slide","show")</f>
        <v>show</v>
      </c>
      <c r="F1003" t="str">
        <f>HYPERLINK("https://github.com/ccrama/Slide/releases","show")</f>
        <v>show</v>
      </c>
    </row>
    <row r="1004" spans="1:6">
      <c r="A1004" t="s">
        <v>3016</v>
      </c>
      <c r="B1004" t="s">
        <v>3017</v>
      </c>
      <c r="C1004" t="s">
        <v>3018</v>
      </c>
      <c r="D1004" t="str">
        <f>HYPERLINK("https://github.com/ccrama/Slide/issues/64","show")</f>
        <v>show</v>
      </c>
      <c r="E1004" t="str">
        <f>HYPERLINK("https://github.com/ccrama/Slide","show")</f>
        <v>show</v>
      </c>
      <c r="F1004" t="str">
        <f>HYPERLINK("https://github.com/ccrama/Slide/releases","show")</f>
        <v>show</v>
      </c>
    </row>
    <row r="1005" spans="1:6">
      <c r="A1005" t="s">
        <v>3019</v>
      </c>
      <c r="B1005" t="s">
        <v>3020</v>
      </c>
      <c r="C1005" t="s">
        <v>3021</v>
      </c>
      <c r="D1005" t="str">
        <f>HYPERLINK("https://github.com/elan-ev/StudIPAndroidApp/issues/102","show")</f>
        <v>show</v>
      </c>
      <c r="E1005" t="str">
        <f>HYPERLINK("https://github.com/elan-ev/StudIPAndroidApp","show")</f>
        <v>show</v>
      </c>
      <c r="F1005" t="str">
        <f>HYPERLINK("https://github.com/elan-ev/StudIPAndroidApp/releases","show")</f>
        <v>show</v>
      </c>
    </row>
    <row r="1006" spans="1:6">
      <c r="A1006" t="s">
        <v>3022</v>
      </c>
      <c r="B1006" t="s">
        <v>3023</v>
      </c>
      <c r="C1006" t="s">
        <v>3024</v>
      </c>
      <c r="D1006" t="str">
        <f>HYPERLINK("https://github.com/dimagi/commcare-android/issues/696","show")</f>
        <v>show</v>
      </c>
      <c r="E1006" t="str">
        <f>HYPERLINK("https://github.com/dimagi/commcare-android","show")</f>
        <v>show</v>
      </c>
      <c r="F1006" t="str">
        <f>HYPERLINK("https://github.com/dimagi/commcare-android/releases","show")</f>
        <v>show</v>
      </c>
    </row>
    <row r="1007" spans="1:6">
      <c r="A1007" t="s">
        <v>3025</v>
      </c>
      <c r="B1007" t="s">
        <v>3026</v>
      </c>
      <c r="C1007" t="s">
        <v>3027</v>
      </c>
      <c r="D1007" t="str">
        <f>HYPERLINK("https://github.com/Etar-Group/Etar-Calendar/issues/12","show")</f>
        <v>show</v>
      </c>
      <c r="E1007" t="str">
        <f>HYPERLINK("https://github.com/Etar-Group/Etar-Calendar","show")</f>
        <v>show</v>
      </c>
      <c r="F1007" t="str">
        <f>HYPERLINK("https://github.com/Etar-Group/Etar-Calendar/releases","show")</f>
        <v>show</v>
      </c>
    </row>
    <row r="1008" spans="1:6">
      <c r="A1008" t="s">
        <v>3028</v>
      </c>
      <c r="B1008" t="s">
        <v>2918</v>
      </c>
      <c r="C1008" t="s">
        <v>3029</v>
      </c>
      <c r="D1008" t="str">
        <f>HYPERLINK("https://github.com/saulmm/Avengers/issues/7","show")</f>
        <v>show</v>
      </c>
      <c r="E1008" t="str">
        <f>HYPERLINK("https://github.com/saulmm/Avengers","show")</f>
        <v>show</v>
      </c>
      <c r="F1008" t="str">
        <f>HYPERLINK("https://github.com/saulmm/Avengers/releases","show")</f>
        <v>show</v>
      </c>
    </row>
    <row r="1009" spans="1:6">
      <c r="A1009" t="s">
        <v>3030</v>
      </c>
      <c r="B1009" t="s">
        <v>3031</v>
      </c>
      <c r="C1009" t="s">
        <v>3032</v>
      </c>
      <c r="D1009" t="str">
        <f>HYPERLINK("https://github.com/ccrama/Slide/issues/115","show")</f>
        <v>show</v>
      </c>
      <c r="E1009" t="str">
        <f>HYPERLINK("https://github.com/ccrama/Slide","show")</f>
        <v>show</v>
      </c>
      <c r="F1009" t="str">
        <f>HYPERLINK("https://github.com/ccrama/Slide/releases","show")</f>
        <v>show</v>
      </c>
    </row>
    <row r="1010" spans="1:6">
      <c r="A1010" t="s">
        <v>3033</v>
      </c>
      <c r="B1010" t="s">
        <v>3034</v>
      </c>
      <c r="C1010" t="s">
        <v>3035</v>
      </c>
      <c r="D1010" t="str">
        <f>HYPERLINK("https://github.com/pylerSM/XInstaller/issues/25","show")</f>
        <v>show</v>
      </c>
      <c r="E1010" t="str">
        <f>HYPERLINK("https://github.com/pylerSM/XInstaller","show")</f>
        <v>show</v>
      </c>
      <c r="F1010" t="str">
        <f>HYPERLINK("https://github.com/pylerSM/XInstaller/releases","show")</f>
        <v>show</v>
      </c>
    </row>
    <row r="1011" spans="1:6">
      <c r="A1011" t="s">
        <v>3036</v>
      </c>
      <c r="B1011" t="s">
        <v>3037</v>
      </c>
      <c r="C1011" t="s">
        <v>3038</v>
      </c>
      <c r="D1011" t="str">
        <f>HYPERLINK("https://github.com/b2renger/PdDroidPublisher/issues/34","show")</f>
        <v>show</v>
      </c>
      <c r="E1011" t="str">
        <f>HYPERLINK("https://github.com/b2renger/PdDroidPublisher","show")</f>
        <v>show</v>
      </c>
      <c r="F1011" t="str">
        <f>HYPERLINK("https://github.com/b2renger/PdDroidPublisher/releases","show")</f>
        <v>show</v>
      </c>
    </row>
    <row r="1012" spans="1:6">
      <c r="A1012" t="s">
        <v>3039</v>
      </c>
      <c r="B1012" t="s">
        <v>3040</v>
      </c>
      <c r="C1012" t="s">
        <v>3041</v>
      </c>
      <c r="D1012" t="str">
        <f>HYPERLINK("https://github.com/opensensorhub/osh-android/issues/2","show")</f>
        <v>show</v>
      </c>
      <c r="E1012" t="str">
        <f>HYPERLINK("https://github.com/opensensorhub/osh-android","show")</f>
        <v>show</v>
      </c>
      <c r="F1012" t="str">
        <f>HYPERLINK("https://github.com/opensensorhub/osh-android/releases","show")</f>
        <v>show</v>
      </c>
    </row>
    <row r="1013" spans="1:6">
      <c r="A1013" t="s">
        <v>3042</v>
      </c>
      <c r="B1013" t="s">
        <v>3043</v>
      </c>
      <c r="C1013" t="s">
        <v>3044</v>
      </c>
      <c r="D1013" t="str">
        <f>HYPERLINK("https://github.com/ccrama/Slide/issues/124","show")</f>
        <v>show</v>
      </c>
      <c r="E1013" t="str">
        <f>HYPERLINK("https://github.com/ccrama/Slide","show")</f>
        <v>show</v>
      </c>
      <c r="F1013" t="str">
        <f>HYPERLINK("https://github.com/ccrama/Slide/releases","show")</f>
        <v>show</v>
      </c>
    </row>
    <row r="1014" spans="1:6">
      <c r="A1014" t="s">
        <v>3045</v>
      </c>
      <c r="B1014" t="s">
        <v>3046</v>
      </c>
      <c r="C1014" t="s">
        <v>3047</v>
      </c>
      <c r="D1014" t="str">
        <f>HYPERLINK("https://github.com/dimagi/commcare-android/issues/705","show")</f>
        <v>show</v>
      </c>
      <c r="E1014" t="str">
        <f>HYPERLINK("https://github.com/dimagi/commcare-android","show")</f>
        <v>show</v>
      </c>
      <c r="F1014" t="str">
        <f>HYPERLINK("https://github.com/dimagi/commcare-android/releases","show")</f>
        <v>show</v>
      </c>
    </row>
    <row r="1015" spans="1:6">
      <c r="A1015" t="s">
        <v>3048</v>
      </c>
      <c r="B1015" t="s">
        <v>3049</v>
      </c>
      <c r="C1015" t="s">
        <v>3050</v>
      </c>
      <c r="D1015" t="str">
        <f>HYPERLINK("https://github.com/b2renger/PdDroidPublisher/issues/43","show")</f>
        <v>show</v>
      </c>
      <c r="E1015" t="str">
        <f>HYPERLINK("https://github.com/b2renger/PdDroidPublisher","show")</f>
        <v>show</v>
      </c>
      <c r="F1015" t="str">
        <f>HYPERLINK("https://github.com/b2renger/PdDroidPublisher/releases","show")</f>
        <v>show</v>
      </c>
    </row>
    <row r="1016" spans="1:6">
      <c r="A1016" t="s">
        <v>3051</v>
      </c>
      <c r="B1016" t="s">
        <v>3052</v>
      </c>
      <c r="C1016" t="s">
        <v>3053</v>
      </c>
      <c r="D1016" t="str">
        <f>HYPERLINK("https://github.com/keigezellig/fruitHAP/issues/44","show")</f>
        <v>show</v>
      </c>
      <c r="E1016" t="str">
        <f>HYPERLINK("https://github.com/keigezellig/fruitHAP","show")</f>
        <v>show</v>
      </c>
      <c r="F1016" t="str">
        <f>HYPERLINK("https://github.com/keigezellig/fruitHAP/releases","show")</f>
        <v>show</v>
      </c>
    </row>
    <row r="1017" spans="1:6">
      <c r="A1017" t="s">
        <v>3054</v>
      </c>
      <c r="B1017" t="s">
        <v>3055</v>
      </c>
      <c r="C1017" t="s">
        <v>3056</v>
      </c>
      <c r="D1017" t="str">
        <f>HYPERLINK("https://github.com/pylerSM/XInstaller/issues/26","show")</f>
        <v>show</v>
      </c>
      <c r="E1017" t="str">
        <f>HYPERLINK("https://github.com/pylerSM/XInstaller","show")</f>
        <v>show</v>
      </c>
      <c r="F1017" t="str">
        <f>HYPERLINK("https://github.com/pylerSM/XInstaller/releases","show")</f>
        <v>show</v>
      </c>
    </row>
    <row r="1018" spans="1:6">
      <c r="A1018" t="s">
        <v>3057</v>
      </c>
      <c r="B1018" t="s">
        <v>3058</v>
      </c>
      <c r="C1018" t="s">
        <v>3059</v>
      </c>
      <c r="D1018" t="str">
        <f>HYPERLINK("https://github.com/Bathlamos/RTDC/issues/109","show")</f>
        <v>show</v>
      </c>
      <c r="E1018" t="str">
        <f>HYPERLINK("https://github.com/Bathlamos/RTDC","show")</f>
        <v>show</v>
      </c>
      <c r="F1018" t="str">
        <f>HYPERLINK("https://github.com/Bathlamos/RTDC/releases","show")</f>
        <v>show</v>
      </c>
    </row>
    <row r="1019" spans="1:6">
      <c r="A1019" t="s">
        <v>3060</v>
      </c>
      <c r="B1019" t="s">
        <v>3061</v>
      </c>
      <c r="C1019" t="s">
        <v>3062</v>
      </c>
      <c r="D1019" t="str">
        <f>HYPERLINK("https://github.com/ccrama/Slide/issues/153","show")</f>
        <v>show</v>
      </c>
      <c r="E1019" t="str">
        <f>HYPERLINK("https://github.com/ccrama/Slide","show")</f>
        <v>show</v>
      </c>
      <c r="F1019" t="str">
        <f>HYPERLINK("https://github.com/ccrama/Slide/releases","show")</f>
        <v>show</v>
      </c>
    </row>
    <row r="1020" spans="1:6">
      <c r="A1020" t="s">
        <v>3063</v>
      </c>
      <c r="B1020" t="s">
        <v>3064</v>
      </c>
      <c r="C1020" t="s">
        <v>3065</v>
      </c>
      <c r="D1020" t="str">
        <f>HYPERLINK("https://github.com/ccrama/Slide/issues/145","show")</f>
        <v>show</v>
      </c>
      <c r="E1020" t="str">
        <f>HYPERLINK("https://github.com/ccrama/Slide","show")</f>
        <v>show</v>
      </c>
      <c r="F1020" t="str">
        <f>HYPERLINK("https://github.com/ccrama/Slide/releases","show")</f>
        <v>show</v>
      </c>
    </row>
    <row r="1021" spans="1:6">
      <c r="A1021" t="s">
        <v>3066</v>
      </c>
      <c r="B1021" t="s">
        <v>3067</v>
      </c>
      <c r="C1021" t="s">
        <v>3068</v>
      </c>
      <c r="D1021" t="str">
        <f>HYPERLINK("https://github.com/chteuchteu/Munin-for-Android/issues/28","show")</f>
        <v>show</v>
      </c>
      <c r="E1021" t="str">
        <f>HYPERLINK("https://github.com/chteuchteu/Munin-for-Android","show")</f>
        <v>show</v>
      </c>
      <c r="F1021" t="str">
        <f>HYPERLINK("https://github.com/chteuchteu/Munin-for-Android/releases","show")</f>
        <v>show</v>
      </c>
    </row>
    <row r="1022" spans="1:6">
      <c r="A1022" t="s">
        <v>3069</v>
      </c>
      <c r="B1022" t="s">
        <v>3070</v>
      </c>
      <c r="C1022" t="s">
        <v>3071</v>
      </c>
      <c r="D1022" t="str">
        <f>HYPERLINK("https://github.com/jlmd/AnimatedCircleLoadingView/issues/7","show")</f>
        <v>show</v>
      </c>
      <c r="E1022" t="str">
        <f>HYPERLINK("https://github.com/jlmd/AnimatedCircleLoadingView","show")</f>
        <v>show</v>
      </c>
      <c r="F1022" t="str">
        <f>HYPERLINK("https://github.com/jlmd/AnimatedCircleLoadingView/releases","show")</f>
        <v>show</v>
      </c>
    </row>
    <row r="1023" spans="1:6">
      <c r="A1023" t="s">
        <v>3072</v>
      </c>
      <c r="B1023" t="s">
        <v>3073</v>
      </c>
      <c r="C1023" t="s">
        <v>3074</v>
      </c>
      <c r="D1023" t="str">
        <f>HYPERLINK("https://github.com/syncthing/syncthing-android/issues/467","show")</f>
        <v>show</v>
      </c>
      <c r="E1023" t="str">
        <f>HYPERLINK("https://github.com/syncthing/syncthing-android","show")</f>
        <v>show</v>
      </c>
      <c r="F1023" t="str">
        <f>HYPERLINK("https://github.com/syncthing/syncthing-android/releases","show")</f>
        <v>show</v>
      </c>
    </row>
    <row r="1024" spans="1:6">
      <c r="A1024" t="s">
        <v>3075</v>
      </c>
      <c r="B1024" t="s">
        <v>3076</v>
      </c>
      <c r="C1024" t="s">
        <v>3077</v>
      </c>
      <c r="D1024" t="str">
        <f>HYPERLINK("https://github.com/michael-rapp/AndroidMaterialPreferences/issues/2","show")</f>
        <v>show</v>
      </c>
      <c r="E1024" t="str">
        <f>HYPERLINK("https://github.com/michael-rapp/AndroidMaterialPreferences","show")</f>
        <v>show</v>
      </c>
      <c r="F1024" t="str">
        <f>HYPERLINK("https://github.com/michael-rapp/AndroidMaterialPreferences/releases","show")</f>
        <v>show</v>
      </c>
    </row>
    <row r="1025" spans="1:6">
      <c r="A1025" t="s">
        <v>3078</v>
      </c>
      <c r="B1025" t="s">
        <v>3079</v>
      </c>
      <c r="C1025" t="s">
        <v>3080</v>
      </c>
      <c r="D1025" t="str">
        <f>HYPERLINK("https://github.com/michael-rapp/AndroidMaterialPreferences/issues/1","show")</f>
        <v>show</v>
      </c>
      <c r="E1025" t="str">
        <f>HYPERLINK("https://github.com/michael-rapp/AndroidMaterialPreferences","show")</f>
        <v>show</v>
      </c>
      <c r="F1025" t="str">
        <f>HYPERLINK("https://github.com/michael-rapp/AndroidMaterialPreferences/releases","show")</f>
        <v>show</v>
      </c>
    </row>
    <row r="1026" spans="1:6">
      <c r="A1026" t="s">
        <v>3081</v>
      </c>
      <c r="B1026" t="s">
        <v>3082</v>
      </c>
      <c r="C1026" t="s">
        <v>3083</v>
      </c>
      <c r="D1026" t="str">
        <f>HYPERLINK("https://github.com/zhanghai/MaterialProgressBar/issues/8","show")</f>
        <v>show</v>
      </c>
      <c r="E1026" t="str">
        <f>HYPERLINK("https://github.com/zhanghai/MaterialProgressBar","show")</f>
        <v>show</v>
      </c>
      <c r="F1026" t="str">
        <f>HYPERLINK("https://github.com/zhanghai/MaterialProgressBar/releases","show")</f>
        <v>show</v>
      </c>
    </row>
    <row r="1027" spans="1:6">
      <c r="A1027" t="s">
        <v>3084</v>
      </c>
      <c r="B1027" t="s">
        <v>3085</v>
      </c>
      <c r="C1027" t="s">
        <v>3086</v>
      </c>
      <c r="D1027" t="str">
        <f>HYPERLINK("https://github.com/Bathlamos/RTDC/issues/110","show")</f>
        <v>show</v>
      </c>
      <c r="E1027" t="str">
        <f>HYPERLINK("https://github.com/Bathlamos/RTDC","show")</f>
        <v>show</v>
      </c>
      <c r="F1027" t="str">
        <f>HYPERLINK("https://github.com/Bathlamos/RTDC/releases","show")</f>
        <v>show</v>
      </c>
    </row>
    <row r="1028" spans="1:6">
      <c r="A1028" t="s">
        <v>3087</v>
      </c>
      <c r="B1028" t="s">
        <v>3088</v>
      </c>
      <c r="C1028" t="s">
        <v>3089</v>
      </c>
      <c r="D1028" t="str">
        <f>HYPERLINK("https://github.com/dimagi/commcare-android/issues/713","show")</f>
        <v>show</v>
      </c>
      <c r="E1028" t="str">
        <f>HYPERLINK("https://github.com/dimagi/commcare-android","show")</f>
        <v>show</v>
      </c>
      <c r="F1028" t="str">
        <f>HYPERLINK("https://github.com/dimagi/commcare-android/releases","show")</f>
        <v>show</v>
      </c>
    </row>
    <row r="1029" spans="1:6">
      <c r="A1029" t="s">
        <v>3090</v>
      </c>
      <c r="B1029" t="s">
        <v>3091</v>
      </c>
      <c r="C1029" t="s">
        <v>3092</v>
      </c>
      <c r="D1029" t="str">
        <f>HYPERLINK("https://github.com/andybalaam/rabbit-escape/issues/116","show")</f>
        <v>show</v>
      </c>
      <c r="E1029" t="str">
        <f>HYPERLINK("https://github.com/andybalaam/rabbit-escape","show")</f>
        <v>show</v>
      </c>
      <c r="F1029" t="str">
        <f>HYPERLINK("https://github.com/andybalaam/rabbit-escape/releases","show")</f>
        <v>show</v>
      </c>
    </row>
    <row r="1030" spans="1:6">
      <c r="A1030" t="s">
        <v>3093</v>
      </c>
      <c r="B1030" t="s">
        <v>3094</v>
      </c>
      <c r="C1030" t="s">
        <v>3095</v>
      </c>
      <c r="D1030" t="str">
        <f>HYPERLINK("https://github.com/dimagi/commcare-android/issues/728","show")</f>
        <v>show</v>
      </c>
      <c r="E1030" t="str">
        <f>HYPERLINK("https://github.com/dimagi/commcare-android","show")</f>
        <v>show</v>
      </c>
      <c r="F1030" t="str">
        <f>HYPERLINK("https://github.com/dimagi/commcare-android/releases","show")</f>
        <v>show</v>
      </c>
    </row>
    <row r="1031" spans="1:6">
      <c r="A1031" t="s">
        <v>3096</v>
      </c>
      <c r="B1031" t="s">
        <v>3097</v>
      </c>
      <c r="C1031" t="s">
        <v>3098</v>
      </c>
      <c r="D1031" t="str">
        <f>HYPERLINK("https://github.com/sromku/android-storage/issues/11","show")</f>
        <v>show</v>
      </c>
      <c r="E1031" t="str">
        <f>HYPERLINK("https://github.com/sromku/android-storage","show")</f>
        <v>show</v>
      </c>
      <c r="F1031" t="str">
        <f>HYPERLINK("https://github.com/sromku/android-storage/releases","show")</f>
        <v>show</v>
      </c>
    </row>
    <row r="1032" spans="1:6">
      <c r="A1032" t="s">
        <v>3099</v>
      </c>
      <c r="B1032" t="s">
        <v>3100</v>
      </c>
      <c r="C1032" t="s">
        <v>3101</v>
      </c>
      <c r="D1032" t="str">
        <f>HYPERLINK("https://github.com/dimagi/commcare-android/issues/721","show")</f>
        <v>show</v>
      </c>
      <c r="E1032" t="str">
        <f>HYPERLINK("https://github.com/dimagi/commcare-android","show")</f>
        <v>show</v>
      </c>
      <c r="F1032" t="str">
        <f>HYPERLINK("https://github.com/dimagi/commcare-android/releases","show")</f>
        <v>show</v>
      </c>
    </row>
    <row r="1033" spans="1:6">
      <c r="A1033" t="s">
        <v>3102</v>
      </c>
      <c r="B1033" t="s">
        <v>3103</v>
      </c>
      <c r="C1033" t="s">
        <v>3104</v>
      </c>
      <c r="D1033" t="str">
        <f>HYPERLINK("https://github.com/ccrama/Slide/issues/229","show")</f>
        <v>show</v>
      </c>
      <c r="E1033" t="str">
        <f>HYPERLINK("https://github.com/ccrama/Slide","show")</f>
        <v>show</v>
      </c>
      <c r="F1033" t="str">
        <f>HYPERLINK("https://github.com/ccrama/Slide/releases","show")</f>
        <v>show</v>
      </c>
    </row>
    <row r="1034" spans="1:6">
      <c r="A1034" t="s">
        <v>3105</v>
      </c>
      <c r="B1034" t="s">
        <v>3106</v>
      </c>
      <c r="C1034" t="s">
        <v>3107</v>
      </c>
      <c r="D1034" t="str">
        <f>HYPERLINK("https://github.com/OneBusAway/onebusaway-android/issues/341","show")</f>
        <v>show</v>
      </c>
      <c r="E1034" t="str">
        <f>HYPERLINK("https://github.com/OneBusAway/onebusaway-android","show")</f>
        <v>show</v>
      </c>
      <c r="F1034" t="str">
        <f>HYPERLINK("https://github.com/OneBusAway/onebusaway-android/releases","show")</f>
        <v>show</v>
      </c>
    </row>
    <row r="1035" spans="1:6">
      <c r="A1035" t="s">
        <v>3108</v>
      </c>
      <c r="B1035" t="s">
        <v>3094</v>
      </c>
      <c r="C1035" t="s">
        <v>3109</v>
      </c>
      <c r="D1035" t="str">
        <f>HYPERLINK("https://github.com/dimagi/commcare-android/issues/733","show")</f>
        <v>show</v>
      </c>
      <c r="E1035" t="str">
        <f>HYPERLINK("https://github.com/dimagi/commcare-android","show")</f>
        <v>show</v>
      </c>
      <c r="F1035" t="str">
        <f>HYPERLINK("https://github.com/dimagi/commcare-android/releases","show")</f>
        <v>show</v>
      </c>
    </row>
    <row r="1036" spans="1:6">
      <c r="A1036" t="s">
        <v>3110</v>
      </c>
      <c r="B1036" t="s">
        <v>3111</v>
      </c>
      <c r="C1036" t="s">
        <v>3112</v>
      </c>
      <c r="D1036" t="str">
        <f>HYPERLINK("https://github.com/OpenTreeMap/otm-android/issues/226","show")</f>
        <v>show</v>
      </c>
      <c r="E1036" t="str">
        <f>HYPERLINK("https://github.com/OpenTreeMap/otm-android","show")</f>
        <v>show</v>
      </c>
      <c r="F1036" t="str">
        <f>HYPERLINK("https://github.com/OpenTreeMap/otm-android/releases","show")</f>
        <v>show</v>
      </c>
    </row>
    <row r="1037" spans="1:6">
      <c r="A1037" t="s">
        <v>3113</v>
      </c>
      <c r="B1037" t="s">
        <v>3114</v>
      </c>
      <c r="C1037" t="s">
        <v>3115</v>
      </c>
      <c r="D1037" t="str">
        <f>HYPERLINK("https://github.com/scottyab/secure-preferences/issues/35","show")</f>
        <v>show</v>
      </c>
      <c r="E1037" t="str">
        <f>HYPERLINK("https://github.com/scottyab/secure-preferences","show")</f>
        <v>show</v>
      </c>
      <c r="F1037" t="str">
        <f>HYPERLINK("https://github.com/scottyab/secure-preferences/releases","show")</f>
        <v>show</v>
      </c>
    </row>
    <row r="1038" spans="1:6">
      <c r="A1038" t="s">
        <v>3116</v>
      </c>
      <c r="B1038" t="s">
        <v>3117</v>
      </c>
      <c r="C1038" t="s">
        <v>3118</v>
      </c>
      <c r="D1038" t="str">
        <f>HYPERLINK("https://github.com/rampage128/hombot-control/issues/6","show")</f>
        <v>show</v>
      </c>
      <c r="E1038" t="str">
        <f>HYPERLINK("https://github.com/rampage128/hombot-control","show")</f>
        <v>show</v>
      </c>
      <c r="F1038" t="str">
        <f>HYPERLINK("https://github.com/rampage128/hombot-control/releases","show")</f>
        <v>show</v>
      </c>
    </row>
    <row r="1039" spans="1:6">
      <c r="A1039" t="s">
        <v>3119</v>
      </c>
      <c r="B1039" t="s">
        <v>3120</v>
      </c>
      <c r="C1039" t="s">
        <v>3121</v>
      </c>
      <c r="D1039" t="str">
        <f>HYPERLINK("https://github.com/ccrama/Slide/issues/270","show")</f>
        <v>show</v>
      </c>
      <c r="E1039" t="str">
        <f>HYPERLINK("https://github.com/ccrama/Slide","show")</f>
        <v>show</v>
      </c>
      <c r="F1039" t="str">
        <f>HYPERLINK("https://github.com/ccrama/Slide/releases","show")</f>
        <v>show</v>
      </c>
    </row>
    <row r="1040" spans="1:6">
      <c r="A1040" t="s">
        <v>3122</v>
      </c>
      <c r="B1040" t="s">
        <v>3123</v>
      </c>
      <c r="C1040" t="s">
        <v>3124</v>
      </c>
      <c r="D1040" t="str">
        <f>HYPERLINK("https://github.com/stefan-niedermann/nextcloud-notes/issues/34","show")</f>
        <v>show</v>
      </c>
      <c r="E1040" t="str">
        <f>HYPERLINK("https://github.com/stefan-niedermann/nextcloud-notes","show")</f>
        <v>show</v>
      </c>
      <c r="F1040" t="str">
        <f>HYPERLINK("https://github.com/stefan-niedermann/nextcloud-notes/releases","show")</f>
        <v>show</v>
      </c>
    </row>
    <row r="1041" spans="1:6">
      <c r="A1041" t="s">
        <v>3125</v>
      </c>
      <c r="B1041" t="s">
        <v>3126</v>
      </c>
      <c r="C1041" t="s">
        <v>3127</v>
      </c>
      <c r="D1041" t="str">
        <f>HYPERLINK("https://github.com/Cloudkibo/Android/issues/74","show")</f>
        <v>show</v>
      </c>
      <c r="E1041" t="str">
        <f>HYPERLINK("https://github.com/Cloudkibo/Android","show")</f>
        <v>show</v>
      </c>
      <c r="F1041" t="str">
        <f>HYPERLINK("https://github.com/Cloudkibo/Android/releases","show")</f>
        <v>show</v>
      </c>
    </row>
    <row r="1042" spans="1:6">
      <c r="A1042" t="s">
        <v>3128</v>
      </c>
      <c r="B1042" t="s">
        <v>3129</v>
      </c>
      <c r="C1042" t="s">
        <v>3130</v>
      </c>
      <c r="D1042" t="str">
        <f>HYPERLINK("https://github.com/ccrama/Slide/issues/255","show")</f>
        <v>show</v>
      </c>
      <c r="E1042" t="str">
        <f>HYPERLINK("https://github.com/ccrama/Slide","show")</f>
        <v>show</v>
      </c>
      <c r="F1042" t="str">
        <f>HYPERLINK("https://github.com/ccrama/Slide/releases","show")</f>
        <v>show</v>
      </c>
    </row>
    <row r="1043" spans="1:6">
      <c r="A1043" t="s">
        <v>3131</v>
      </c>
      <c r="B1043" t="s">
        <v>3132</v>
      </c>
      <c r="C1043" t="s">
        <v>3133</v>
      </c>
      <c r="D1043" t="str">
        <f>HYPERLINK("https://github.com/ccrama/Slide/issues/246","show")</f>
        <v>show</v>
      </c>
      <c r="E1043" t="str">
        <f>HYPERLINK("https://github.com/ccrama/Slide","show")</f>
        <v>show</v>
      </c>
      <c r="F1043" t="str">
        <f>HYPERLINK("https://github.com/ccrama/Slide/releases","show")</f>
        <v>show</v>
      </c>
    </row>
    <row r="1044" spans="1:6">
      <c r="A1044" t="s">
        <v>3134</v>
      </c>
      <c r="B1044" t="s">
        <v>3135</v>
      </c>
      <c r="C1044" t="s">
        <v>3136</v>
      </c>
      <c r="D1044" t="str">
        <f>HYPERLINK("https://github.com/syncthing/syncthing-android/issues/471","show")</f>
        <v>show</v>
      </c>
      <c r="E1044" t="str">
        <f>HYPERLINK("https://github.com/syncthing/syncthing-android","show")</f>
        <v>show</v>
      </c>
      <c r="F1044" t="str">
        <f>HYPERLINK("https://github.com/syncthing/syncthing-android/releases","show")</f>
        <v>show</v>
      </c>
    </row>
    <row r="1045" spans="1:6">
      <c r="A1045" t="s">
        <v>3137</v>
      </c>
      <c r="B1045" t="s">
        <v>3138</v>
      </c>
      <c r="C1045" t="s">
        <v>3139</v>
      </c>
      <c r="D1045" t="str">
        <f>HYPERLINK("https://github.com/dimagi/commcare-android/issues/744","show")</f>
        <v>show</v>
      </c>
      <c r="E1045" t="str">
        <f>HYPERLINK("https://github.com/dimagi/commcare-android","show")</f>
        <v>show</v>
      </c>
      <c r="F1045" t="str">
        <f>HYPERLINK("https://github.com/dimagi/commcare-android/releases","show")</f>
        <v>show</v>
      </c>
    </row>
    <row r="1046" spans="1:6">
      <c r="A1046" t="s">
        <v>3140</v>
      </c>
      <c r="B1046" t="s">
        <v>3141</v>
      </c>
      <c r="C1046" t="s">
        <v>3142</v>
      </c>
      <c r="D1046" t="str">
        <f>HYPERLINK("https://github.com/dimagi/commcare-android/issues/743","show")</f>
        <v>show</v>
      </c>
      <c r="E1046" t="str">
        <f>HYPERLINK("https://github.com/dimagi/commcare-android","show")</f>
        <v>show</v>
      </c>
      <c r="F1046" t="str">
        <f>HYPERLINK("https://github.com/dimagi/commcare-android/releases","show")</f>
        <v>show</v>
      </c>
    </row>
    <row r="1047" spans="1:6">
      <c r="A1047" t="s">
        <v>3143</v>
      </c>
      <c r="B1047" t="s">
        <v>3144</v>
      </c>
      <c r="C1047" t="s">
        <v>3145</v>
      </c>
      <c r="D1047" t="str">
        <f>HYPERLINK("https://github.com/dimagi/commcare-android/issues/739","show")</f>
        <v>show</v>
      </c>
      <c r="E1047" t="str">
        <f>HYPERLINK("https://github.com/dimagi/commcare-android","show")</f>
        <v>show</v>
      </c>
      <c r="F1047" t="str">
        <f>HYPERLINK("https://github.com/dimagi/commcare-android/releases","show")</f>
        <v>show</v>
      </c>
    </row>
    <row r="1048" spans="1:6">
      <c r="A1048" t="s">
        <v>3146</v>
      </c>
      <c r="B1048" t="s">
        <v>3147</v>
      </c>
      <c r="C1048" t="s">
        <v>3148</v>
      </c>
      <c r="D1048" t="str">
        <f>HYPERLINK("https://github.com/syncthing/syncthing-android/issues/470","show")</f>
        <v>show</v>
      </c>
      <c r="E1048" t="str">
        <f>HYPERLINK("https://github.com/syncthing/syncthing-android","show")</f>
        <v>show</v>
      </c>
      <c r="F1048" t="str">
        <f>HYPERLINK("https://github.com/syncthing/syncthing-android/releases","show")</f>
        <v>show</v>
      </c>
    </row>
    <row r="1049" spans="1:6">
      <c r="A1049" t="s">
        <v>3149</v>
      </c>
      <c r="B1049" t="s">
        <v>3150</v>
      </c>
      <c r="C1049" t="s">
        <v>3151</v>
      </c>
      <c r="D1049" t="str">
        <f>HYPERLINK("https://github.com/ccrama/Slide/issues/283","show")</f>
        <v>show</v>
      </c>
      <c r="E1049" t="str">
        <f>HYPERLINK("https://github.com/ccrama/Slide","show")</f>
        <v>show</v>
      </c>
      <c r="F1049" t="str">
        <f>HYPERLINK("https://github.com/ccrama/Slide/releases","show")</f>
        <v>show</v>
      </c>
    </row>
    <row r="1050" spans="1:6">
      <c r="A1050" t="s">
        <v>3152</v>
      </c>
      <c r="B1050" t="s">
        <v>3153</v>
      </c>
      <c r="C1050" t="s">
        <v>3154</v>
      </c>
      <c r="D1050" t="str">
        <f>HYPERLINK("https://github.com/unfoldingWord-dev/uw-android/issues/143","show")</f>
        <v>show</v>
      </c>
      <c r="E1050" t="str">
        <f>HYPERLINK("https://github.com/unfoldingWord-dev/uw-android","show")</f>
        <v>show</v>
      </c>
      <c r="F1050" t="str">
        <f>HYPERLINK("https://github.com/unfoldingWord-dev/uw-android/releases","show")</f>
        <v>show</v>
      </c>
    </row>
    <row r="1051" spans="1:6">
      <c r="A1051" t="s">
        <v>3155</v>
      </c>
      <c r="B1051" t="s">
        <v>3156</v>
      </c>
      <c r="C1051" t="s">
        <v>3157</v>
      </c>
      <c r="D1051" t="str">
        <f>HYPERLINK("https://github.com/dimagi/commcare-android/issues/751","show")</f>
        <v>show</v>
      </c>
      <c r="E1051" t="str">
        <f>HYPERLINK("https://github.com/dimagi/commcare-android","show")</f>
        <v>show</v>
      </c>
      <c r="F1051" t="str">
        <f>HYPERLINK("https://github.com/dimagi/commcare-android/releases","show")</f>
        <v>show</v>
      </c>
    </row>
    <row r="1052" spans="1:6">
      <c r="A1052" t="s">
        <v>3158</v>
      </c>
      <c r="B1052" t="s">
        <v>3159</v>
      </c>
      <c r="C1052" t="s">
        <v>3160</v>
      </c>
      <c r="D1052" t="str">
        <f>HYPERLINK("https://github.com/TeamNewPipe/NewPipe/issues/62","show")</f>
        <v>show</v>
      </c>
      <c r="E1052" t="str">
        <f>HYPERLINK("https://github.com/TeamNewPipe/NewPipe","show")</f>
        <v>show</v>
      </c>
      <c r="F1052" t="str">
        <f>HYPERLINK("https://github.com/TeamNewPipe/NewPipe/releases","show")</f>
        <v>show</v>
      </c>
    </row>
    <row r="1053" spans="1:6">
      <c r="A1053" t="s">
        <v>3161</v>
      </c>
      <c r="B1053" t="s">
        <v>3162</v>
      </c>
      <c r="C1053" t="s">
        <v>3163</v>
      </c>
      <c r="D1053" t="str">
        <f>HYPERLINK("https://github.com/projectbuendia/client/issues/103","show")</f>
        <v>show</v>
      </c>
      <c r="E1053" t="str">
        <f>HYPERLINK("https://github.com/projectbuendia/client","show")</f>
        <v>show</v>
      </c>
      <c r="F1053" t="str">
        <f>HYPERLINK("https://github.com/projectbuendia/client/releases","show")</f>
        <v>show</v>
      </c>
    </row>
    <row r="1054" spans="1:6">
      <c r="A1054" t="s">
        <v>3164</v>
      </c>
      <c r="B1054" t="s">
        <v>3165</v>
      </c>
      <c r="C1054" t="s">
        <v>3166</v>
      </c>
      <c r="D1054" t="str">
        <f>HYPERLINK("https://github.com/dimagi/commcare-android/issues/756","show")</f>
        <v>show</v>
      </c>
      <c r="E1054" t="str">
        <f>HYPERLINK("https://github.com/dimagi/commcare-android","show")</f>
        <v>show</v>
      </c>
      <c r="F1054" t="str">
        <f>HYPERLINK("https://github.com/dimagi/commcare-android/releases","show")</f>
        <v>show</v>
      </c>
    </row>
    <row r="1055" spans="1:6">
      <c r="A1055" t="s">
        <v>3167</v>
      </c>
      <c r="B1055" t="s">
        <v>3168</v>
      </c>
      <c r="C1055" t="s">
        <v>3169</v>
      </c>
      <c r="D1055" t="str">
        <f>HYPERLINK("https://github.com/k9mail/k-9/issues/871","show")</f>
        <v>show</v>
      </c>
      <c r="E1055" t="str">
        <f>HYPERLINK("https://github.com/k9mail/k-9","show")</f>
        <v>show</v>
      </c>
      <c r="F1055" t="str">
        <f>HYPERLINK("https://github.com/k9mail/k-9/releases","show")</f>
        <v>show</v>
      </c>
    </row>
    <row r="1056" spans="1:6">
      <c r="A1056" t="s">
        <v>3170</v>
      </c>
      <c r="B1056" t="s">
        <v>3171</v>
      </c>
      <c r="C1056" t="s">
        <v>3172</v>
      </c>
      <c r="D1056" t="str">
        <f>HYPERLINK("https://github.com/nextcloud/news-android/issues/424","show")</f>
        <v>show</v>
      </c>
      <c r="E1056" t="str">
        <f>HYPERLINK("https://github.com/nextcloud/news-android","show")</f>
        <v>show</v>
      </c>
      <c r="F1056" t="str">
        <f>HYPERLINK("https://github.com/nextcloud/news-android/releases","show")</f>
        <v>show</v>
      </c>
    </row>
    <row r="1057" spans="1:6">
      <c r="A1057" t="s">
        <v>3173</v>
      </c>
      <c r="B1057" t="s">
        <v>3174</v>
      </c>
      <c r="C1057" t="s">
        <v>3175</v>
      </c>
      <c r="D1057" t="str">
        <f>HYPERLINK("https://github.com/unfoldingWord-dev/ts-android/issues/947","show")</f>
        <v>show</v>
      </c>
      <c r="E1057" t="str">
        <f>HYPERLINK("https://github.com/unfoldingWord-dev/ts-android","show")</f>
        <v>show</v>
      </c>
      <c r="F1057" t="str">
        <f>HYPERLINK("https://github.com/unfoldingWord-dev/ts-android/releases","show")</f>
        <v>show</v>
      </c>
    </row>
    <row r="1058" spans="1:6">
      <c r="A1058" t="s">
        <v>3176</v>
      </c>
      <c r="B1058" t="s">
        <v>3177</v>
      </c>
      <c r="C1058" t="s">
        <v>3178</v>
      </c>
      <c r="D1058" t="str">
        <f>HYPERLINK("https://github.com/microg/GmsCore/issues/51","show")</f>
        <v>show</v>
      </c>
      <c r="E1058" t="str">
        <f>HYPERLINK("https://github.com/microg/GmsCore","show")</f>
        <v>show</v>
      </c>
      <c r="F1058" t="str">
        <f>HYPERLINK("https://github.com/microg/GmsCore/releases","show")</f>
        <v>show</v>
      </c>
    </row>
    <row r="1059" spans="1:6">
      <c r="A1059" t="s">
        <v>3179</v>
      </c>
      <c r="B1059" t="s">
        <v>3180</v>
      </c>
      <c r="C1059" t="s">
        <v>3181</v>
      </c>
      <c r="D1059" t="str">
        <f>HYPERLINK("https://github.com/OneBusAway/onebusaway-android/issues/348","show")</f>
        <v>show</v>
      </c>
      <c r="E1059" t="str">
        <f>HYPERLINK("https://github.com/OneBusAway/onebusaway-android","show")</f>
        <v>show</v>
      </c>
      <c r="F1059" t="str">
        <f>HYPERLINK("https://github.com/OneBusAway/onebusaway-android/releases","show")</f>
        <v>show</v>
      </c>
    </row>
    <row r="1060" spans="1:6">
      <c r="A1060" t="s">
        <v>3182</v>
      </c>
      <c r="B1060" t="s">
        <v>3183</v>
      </c>
      <c r="C1060" t="s">
        <v>3184</v>
      </c>
      <c r="D1060" t="str">
        <f>HYPERLINK("https://github.com/eclipsesource/J2V8/issues/100","show")</f>
        <v>show</v>
      </c>
      <c r="E1060" t="str">
        <f>HYPERLINK("https://github.com/eclipsesource/J2V8","show")</f>
        <v>show</v>
      </c>
      <c r="F1060" t="str">
        <f>HYPERLINK("https://github.com/eclipsesource/J2V8/releases","show")</f>
        <v>show</v>
      </c>
    </row>
    <row r="1061" spans="1:6">
      <c r="A1061" t="s">
        <v>3185</v>
      </c>
      <c r="B1061" t="s">
        <v>3186</v>
      </c>
      <c r="C1061" t="s">
        <v>3187</v>
      </c>
      <c r="D1061" t="str">
        <f>HYPERLINK("https://github.com/cSploit/android/issues/480","show")</f>
        <v>show</v>
      </c>
      <c r="E1061" t="str">
        <f>HYPERLINK("https://github.com/cSploit/android","show")</f>
        <v>show</v>
      </c>
      <c r="F1061" t="str">
        <f>HYPERLINK("https://github.com/cSploit/android/releases","show")</f>
        <v>show</v>
      </c>
    </row>
    <row r="1062" spans="1:6">
      <c r="A1062" t="s">
        <v>3188</v>
      </c>
      <c r="B1062" t="s">
        <v>3189</v>
      </c>
      <c r="C1062" t="s">
        <v>3190</v>
      </c>
      <c r="D1062" t="str">
        <f>HYPERLINK("https://github.com/OneBusAway/onebusaway-android/issues/351","show")</f>
        <v>show</v>
      </c>
      <c r="E1062" t="str">
        <f>HYPERLINK("https://github.com/OneBusAway/onebusaway-android","show")</f>
        <v>show</v>
      </c>
      <c r="F1062" t="str">
        <f>HYPERLINK("https://github.com/OneBusAway/onebusaway-android/releases","show")</f>
        <v>show</v>
      </c>
    </row>
    <row r="1063" spans="1:6">
      <c r="A1063" t="s">
        <v>3191</v>
      </c>
      <c r="B1063" t="s">
        <v>3192</v>
      </c>
      <c r="C1063" t="s">
        <v>3193</v>
      </c>
      <c r="D1063" t="str">
        <f>HYPERLINK("https://github.com/OneBusAway/onebusaway-android/issues/350","show")</f>
        <v>show</v>
      </c>
      <c r="E1063" t="str">
        <f>HYPERLINK("https://github.com/OneBusAway/onebusaway-android","show")</f>
        <v>show</v>
      </c>
      <c r="F1063" t="str">
        <f>HYPERLINK("https://github.com/OneBusAway/onebusaway-android/releases","show")</f>
        <v>show</v>
      </c>
    </row>
    <row r="1064" spans="1:6">
      <c r="A1064" t="s">
        <v>3194</v>
      </c>
      <c r="B1064" t="s">
        <v>3195</v>
      </c>
      <c r="C1064" t="s">
        <v>3196</v>
      </c>
      <c r="D1064" t="str">
        <f>HYPERLINK("https://github.com/Bathlamos/RTDC/issues/116","show")</f>
        <v>show</v>
      </c>
      <c r="E1064" t="str">
        <f>HYPERLINK("https://github.com/Bathlamos/RTDC","show")</f>
        <v>show</v>
      </c>
      <c r="F1064" t="str">
        <f>HYPERLINK("https://github.com/Bathlamos/RTDC/releases","show")</f>
        <v>show</v>
      </c>
    </row>
    <row r="1065" spans="1:6">
      <c r="A1065" t="s">
        <v>3197</v>
      </c>
      <c r="B1065" t="s">
        <v>3198</v>
      </c>
      <c r="C1065" t="s">
        <v>3199</v>
      </c>
      <c r="D1065" t="str">
        <f>HYPERLINK("https://github.com/Fleker/CumulusTV/issues/68","show")</f>
        <v>show</v>
      </c>
      <c r="E1065" t="str">
        <f>HYPERLINK("https://github.com/Fleker/CumulusTV","show")</f>
        <v>show</v>
      </c>
      <c r="F1065" t="str">
        <f>HYPERLINK("https://github.com/Fleker/CumulusTV/releases","show")</f>
        <v>show</v>
      </c>
    </row>
    <row r="1066" spans="1:6">
      <c r="A1066" t="s">
        <v>3200</v>
      </c>
      <c r="B1066" t="s">
        <v>3201</v>
      </c>
      <c r="C1066" t="s">
        <v>3202</v>
      </c>
      <c r="D1066" t="str">
        <f>HYPERLINK("https://github.com/Fleker/CumulusTV/issues/66","show")</f>
        <v>show</v>
      </c>
      <c r="E1066" t="str">
        <f>HYPERLINK("https://github.com/Fleker/CumulusTV","show")</f>
        <v>show</v>
      </c>
      <c r="F1066" t="str">
        <f>HYPERLINK("https://github.com/Fleker/CumulusTV/releases","show")</f>
        <v>show</v>
      </c>
    </row>
    <row r="1067" spans="1:6">
      <c r="A1067" t="s">
        <v>3203</v>
      </c>
      <c r="B1067" t="s">
        <v>3204</v>
      </c>
      <c r="C1067" t="s">
        <v>3205</v>
      </c>
      <c r="D1067" t="str">
        <f>HYPERLINK("https://github.com/fesch/CanZE/issues/157","show")</f>
        <v>show</v>
      </c>
      <c r="E1067" t="str">
        <f>HYPERLINK("https://github.com/fesch/CanZE","show")</f>
        <v>show</v>
      </c>
      <c r="F1067" t="str">
        <f>HYPERLINK("https://github.com/fesch/CanZE/releases","show")</f>
        <v>show</v>
      </c>
    </row>
    <row r="1068" spans="1:6">
      <c r="A1068" t="s">
        <v>3206</v>
      </c>
      <c r="B1068" t="s">
        <v>3207</v>
      </c>
      <c r="C1068" t="s">
        <v>3208</v>
      </c>
      <c r="D1068" t="str">
        <f>HYPERLINK("https://github.com/ccrama/Slide/issues/328","show")</f>
        <v>show</v>
      </c>
      <c r="E1068" t="str">
        <f>HYPERLINK("https://github.com/ccrama/Slide","show")</f>
        <v>show</v>
      </c>
      <c r="F1068" t="str">
        <f>HYPERLINK("https://github.com/ccrama/Slide/releases","show")</f>
        <v>show</v>
      </c>
    </row>
    <row r="1069" spans="1:6">
      <c r="A1069" t="s">
        <v>3209</v>
      </c>
      <c r="B1069" t="s">
        <v>3210</v>
      </c>
      <c r="C1069" t="s">
        <v>3211</v>
      </c>
      <c r="D1069" t="str">
        <f>HYPERLINK("https://github.com/Cloudkibo/Android/issues/77","show")</f>
        <v>show</v>
      </c>
      <c r="E1069" t="str">
        <f>HYPERLINK("https://github.com/Cloudkibo/Android","show")</f>
        <v>show</v>
      </c>
      <c r="F1069" t="str">
        <f>HYPERLINK("https://github.com/Cloudkibo/Android/releases","show")</f>
        <v>show</v>
      </c>
    </row>
    <row r="1070" spans="1:6">
      <c r="A1070" t="s">
        <v>3212</v>
      </c>
      <c r="B1070" t="s">
        <v>3213</v>
      </c>
      <c r="C1070" t="s">
        <v>3214</v>
      </c>
      <c r="D1070" t="str">
        <f>HYPERLINK("https://github.com/ccrama/Slide/issues/322","show")</f>
        <v>show</v>
      </c>
      <c r="E1070" t="str">
        <f>HYPERLINK("https://github.com/ccrama/Slide","show")</f>
        <v>show</v>
      </c>
      <c r="F1070" t="str">
        <f>HYPERLINK("https://github.com/ccrama/Slide/releases","show")</f>
        <v>show</v>
      </c>
    </row>
    <row r="1071" spans="1:6">
      <c r="A1071" t="s">
        <v>3215</v>
      </c>
      <c r="B1071" t="s">
        <v>3216</v>
      </c>
      <c r="C1071" t="s">
        <v>3217</v>
      </c>
      <c r="D1071" t="str">
        <f>HYPERLINK("https://github.com/chennaione/sugar/issues/413","show")</f>
        <v>show</v>
      </c>
      <c r="E1071" t="str">
        <f>HYPERLINK("https://github.com/chennaione/sugar","show")</f>
        <v>show</v>
      </c>
      <c r="F1071" t="str">
        <f>HYPERLINK("https://github.com/chennaione/sugar/releases","show")</f>
        <v>show</v>
      </c>
    </row>
    <row r="1072" spans="1:6">
      <c r="A1072" t="s">
        <v>3218</v>
      </c>
      <c r="B1072" t="s">
        <v>3219</v>
      </c>
      <c r="C1072" t="s">
        <v>3220</v>
      </c>
      <c r="D1072" t="str">
        <f>HYPERLINK("https://github.com/haiwen/seadroid/issues/437","show")</f>
        <v>show</v>
      </c>
      <c r="E1072" t="str">
        <f>HYPERLINK("https://github.com/haiwen/seadroid","show")</f>
        <v>show</v>
      </c>
      <c r="F1072" t="str">
        <f>HYPERLINK("https://github.com/haiwen/seadroid/releases","show")</f>
        <v>show</v>
      </c>
    </row>
    <row r="1073" spans="1:6">
      <c r="A1073" t="s">
        <v>3221</v>
      </c>
      <c r="B1073" t="s">
        <v>3222</v>
      </c>
      <c r="C1073" t="s">
        <v>3223</v>
      </c>
      <c r="D1073" t="str">
        <f>HYPERLINK("https://github.com/ccrama/Slide/issues/320","show")</f>
        <v>show</v>
      </c>
      <c r="E1073" t="str">
        <f>HYPERLINK("https://github.com/ccrama/Slide","show")</f>
        <v>show</v>
      </c>
      <c r="F1073" t="str">
        <f>HYPERLINK("https://github.com/ccrama/Slide/releases","show")</f>
        <v>show</v>
      </c>
    </row>
    <row r="1074" spans="1:6">
      <c r="A1074" t="s">
        <v>3224</v>
      </c>
      <c r="B1074" t="s">
        <v>3225</v>
      </c>
      <c r="C1074" t="s">
        <v>3226</v>
      </c>
      <c r="D1074" t="str">
        <f>HYPERLINK("https://github.com/ccrama/Slide/issues/316","show")</f>
        <v>show</v>
      </c>
      <c r="E1074" t="str">
        <f>HYPERLINK("https://github.com/ccrama/Slide","show")</f>
        <v>show</v>
      </c>
      <c r="F1074" t="str">
        <f>HYPERLINK("https://github.com/ccrama/Slide/releases","show")</f>
        <v>show</v>
      </c>
    </row>
    <row r="1075" spans="1:6">
      <c r="A1075" t="s">
        <v>3227</v>
      </c>
      <c r="B1075" t="s">
        <v>3228</v>
      </c>
      <c r="C1075" t="s">
        <v>3229</v>
      </c>
      <c r="D1075" t="str">
        <f>HYPERLINK("https://github.com/bumptech/glide/issues/722","show")</f>
        <v>show</v>
      </c>
      <c r="E1075" t="str">
        <f>HYPERLINK("https://github.com/bumptech/glide","show")</f>
        <v>show</v>
      </c>
      <c r="F1075" t="str">
        <f>HYPERLINK("https://github.com/bumptech/glide/releases","show")</f>
        <v>show</v>
      </c>
    </row>
    <row r="1076" spans="1:6">
      <c r="A1076" t="s">
        <v>3230</v>
      </c>
      <c r="B1076" t="s">
        <v>3231</v>
      </c>
      <c r="C1076" t="s">
        <v>3232</v>
      </c>
      <c r="D1076" t="str">
        <f>HYPERLINK("https://github.com/ccrama/Slide/issues/343","show")</f>
        <v>show</v>
      </c>
      <c r="E1076" t="str">
        <f>HYPERLINK("https://github.com/ccrama/Slide","show")</f>
        <v>show</v>
      </c>
      <c r="F1076" t="str">
        <f>HYPERLINK("https://github.com/ccrama/Slide/releases","show")</f>
        <v>show</v>
      </c>
    </row>
    <row r="1077" spans="1:6">
      <c r="A1077" t="s">
        <v>3233</v>
      </c>
      <c r="B1077" t="s">
        <v>3234</v>
      </c>
      <c r="C1077" t="s">
        <v>3235</v>
      </c>
      <c r="D1077" t="str">
        <f>HYPERLINK("https://github.com/ccrama/Slide/issues/341","show")</f>
        <v>show</v>
      </c>
      <c r="E1077" t="str">
        <f>HYPERLINK("https://github.com/ccrama/Slide","show")</f>
        <v>show</v>
      </c>
      <c r="F1077" t="str">
        <f>HYPERLINK("https://github.com/ccrama/Slide/releases","show")</f>
        <v>show</v>
      </c>
    </row>
    <row r="1078" spans="1:6">
      <c r="A1078" t="s">
        <v>3236</v>
      </c>
      <c r="B1078" t="s">
        <v>3237</v>
      </c>
      <c r="C1078" t="s">
        <v>3238</v>
      </c>
      <c r="D1078" t="str">
        <f>HYPERLINK("https://github.com/alexvasilkov/GestureViews/issues/3","show")</f>
        <v>show</v>
      </c>
      <c r="E1078" t="str">
        <f>HYPERLINK("https://github.com/alexvasilkov/GestureViews","show")</f>
        <v>show</v>
      </c>
      <c r="F1078" t="str">
        <f>HYPERLINK("https://github.com/alexvasilkov/GestureViews/releases","show")</f>
        <v>show</v>
      </c>
    </row>
    <row r="1079" spans="1:6">
      <c r="A1079" t="s">
        <v>3239</v>
      </c>
      <c r="B1079" t="s">
        <v>3240</v>
      </c>
      <c r="C1079" t="s">
        <v>3241</v>
      </c>
      <c r="D1079" t="str">
        <f>HYPERLINK("https://github.com/ccrama/Slide/issues/339","show")</f>
        <v>show</v>
      </c>
      <c r="E1079" t="str">
        <f>HYPERLINK("https://github.com/ccrama/Slide","show")</f>
        <v>show</v>
      </c>
      <c r="F1079" t="str">
        <f>HYPERLINK("https://github.com/ccrama/Slide/releases","show")</f>
        <v>show</v>
      </c>
    </row>
    <row r="1080" spans="1:6">
      <c r="A1080" t="s">
        <v>3242</v>
      </c>
      <c r="B1080" t="s">
        <v>3243</v>
      </c>
      <c r="C1080" t="s">
        <v>3244</v>
      </c>
      <c r="D1080" t="str">
        <f>HYPERLINK("https://github.com/ccrama/Slide/issues/338","show")</f>
        <v>show</v>
      </c>
      <c r="E1080" t="str">
        <f>HYPERLINK("https://github.com/ccrama/Slide","show")</f>
        <v>show</v>
      </c>
      <c r="F1080" t="str">
        <f>HYPERLINK("https://github.com/ccrama/Slide/releases","show")</f>
        <v>show</v>
      </c>
    </row>
    <row r="1081" spans="1:6">
      <c r="A1081" t="s">
        <v>3245</v>
      </c>
      <c r="B1081" t="s">
        <v>3246</v>
      </c>
      <c r="C1081" t="s">
        <v>3247</v>
      </c>
      <c r="D1081" t="str">
        <f>HYPERLINK("https://github.com/microg/GmsCore/issues/55","show")</f>
        <v>show</v>
      </c>
      <c r="E1081" t="str">
        <f>HYPERLINK("https://github.com/microg/GmsCore","show")</f>
        <v>show</v>
      </c>
      <c r="F1081" t="str">
        <f>HYPERLINK("https://github.com/microg/GmsCore/releases","show")</f>
        <v>show</v>
      </c>
    </row>
    <row r="1082" spans="1:6">
      <c r="A1082" t="s">
        <v>3248</v>
      </c>
      <c r="B1082" t="s">
        <v>3249</v>
      </c>
      <c r="C1082" t="s">
        <v>3250</v>
      </c>
      <c r="D1082" t="str">
        <f>HYPERLINK("https://github.com/mobmead/EasyMPermission/issues/1","show")</f>
        <v>show</v>
      </c>
      <c r="E1082" t="str">
        <f>HYPERLINK("https://github.com/mobmead/EasyMPermission","show")</f>
        <v>show</v>
      </c>
      <c r="F1082" t="str">
        <f>HYPERLINK("https://github.com/mobmead/EasyMPermission/releases","show")</f>
        <v>show</v>
      </c>
    </row>
    <row r="1083" spans="1:6">
      <c r="A1083" t="s">
        <v>3251</v>
      </c>
      <c r="B1083" t="s">
        <v>3252</v>
      </c>
      <c r="C1083" t="s">
        <v>3253</v>
      </c>
      <c r="D1083" t="str">
        <f>HYPERLINK("https://github.com/ongakuer/CircleIndicator/issues/36","show")</f>
        <v>show</v>
      </c>
      <c r="E1083" t="str">
        <f>HYPERLINK("https://github.com/ongakuer/CircleIndicator","show")</f>
        <v>show</v>
      </c>
      <c r="F1083" t="str">
        <f>HYPERLINK("https://github.com/ongakuer/CircleIndicator/releases","show")</f>
        <v>show</v>
      </c>
    </row>
    <row r="1084" spans="1:6">
      <c r="A1084" t="s">
        <v>3254</v>
      </c>
      <c r="B1084" t="s">
        <v>3255</v>
      </c>
      <c r="C1084" t="s">
        <v>3256</v>
      </c>
      <c r="D1084" t="str">
        <f>HYPERLINK("https://github.com/marverenic/Jockey/issues/28","show")</f>
        <v>show</v>
      </c>
      <c r="E1084" t="str">
        <f>HYPERLINK("https://github.com/marverenic/Jockey","show")</f>
        <v>show</v>
      </c>
      <c r="F1084" t="str">
        <f>HYPERLINK("https://github.com/marverenic/Jockey/releases","show")</f>
        <v>show</v>
      </c>
    </row>
    <row r="1085" spans="1:6">
      <c r="A1085" t="s">
        <v>3257</v>
      </c>
      <c r="B1085" t="s">
        <v>3258</v>
      </c>
      <c r="C1085" t="s">
        <v>3259</v>
      </c>
      <c r="D1085" t="str">
        <f>HYPERLINK("https://github.com/IBM-MIL/IBM-Ready-App-for-Telecommunications/issues/9","show")</f>
        <v>show</v>
      </c>
      <c r="E1085" t="str">
        <f>HYPERLINK("https://github.com/IBM-MIL/IBM-Ready-App-for-Telecommunications","show")</f>
        <v>show</v>
      </c>
      <c r="F1085" t="str">
        <f>HYPERLINK("https://github.com/IBM-MIL/IBM-Ready-App-for-Telecommunications/releases","show")</f>
        <v>show</v>
      </c>
    </row>
    <row r="1086" spans="1:6">
      <c r="A1086" t="s">
        <v>3260</v>
      </c>
      <c r="B1086" t="s">
        <v>3261</v>
      </c>
      <c r="C1086" t="s">
        <v>3262</v>
      </c>
      <c r="D1086" t="str">
        <f>HYPERLINK("https://github.com/orhanobut/hawk/issues/103","show")</f>
        <v>show</v>
      </c>
      <c r="E1086" t="str">
        <f>HYPERLINK("https://github.com/orhanobut/hawk","show")</f>
        <v>show</v>
      </c>
      <c r="F1086" t="str">
        <f>HYPERLINK("https://github.com/orhanobut/hawk/releases","show")</f>
        <v>show</v>
      </c>
    </row>
    <row r="1087" spans="1:6">
      <c r="A1087" t="s">
        <v>3263</v>
      </c>
      <c r="B1087" t="s">
        <v>3264</v>
      </c>
      <c r="C1087" t="s">
        <v>3265</v>
      </c>
      <c r="D1087" t="str">
        <f>HYPERLINK("https://github.com/moneymanagerex/android-money-manager-ex/issues/608","show")</f>
        <v>show</v>
      </c>
      <c r="E1087" t="str">
        <f>HYPERLINK("https://github.com/moneymanagerex/android-money-manager-ex","show")</f>
        <v>show</v>
      </c>
      <c r="F1087" t="str">
        <f>HYPERLINK("https://github.com/moneymanagerex/android-money-manager-ex/releases","show")</f>
        <v>show</v>
      </c>
    </row>
    <row r="1088" spans="1:6">
      <c r="A1088" t="s">
        <v>3266</v>
      </c>
      <c r="B1088" t="s">
        <v>3267</v>
      </c>
      <c r="C1088" t="s">
        <v>3268</v>
      </c>
      <c r="D1088" t="str">
        <f>HYPERLINK("https://github.com/h6ah4i/android-advancedrecyclerview/issues/145","show")</f>
        <v>show</v>
      </c>
      <c r="E1088" t="str">
        <f>HYPERLINK("https://github.com/h6ah4i/android-advancedrecyclerview","show")</f>
        <v>show</v>
      </c>
      <c r="F1088" t="str">
        <f>HYPERLINK("https://github.com/h6ah4i/android-advancedrecyclerview/releases","show")</f>
        <v>show</v>
      </c>
    </row>
    <row r="1089" spans="1:6">
      <c r="A1089" t="s">
        <v>3269</v>
      </c>
      <c r="B1089" t="s">
        <v>3270</v>
      </c>
      <c r="C1089" t="s">
        <v>3271</v>
      </c>
      <c r="D1089" t="str">
        <f>HYPERLINK("https://github.com/ccrama/Slide/issues/364","show")</f>
        <v>show</v>
      </c>
      <c r="E1089" t="str">
        <f>HYPERLINK("https://github.com/ccrama/Slide","show")</f>
        <v>show</v>
      </c>
      <c r="F1089" t="str">
        <f>HYPERLINK("https://github.com/ccrama/Slide/releases","show")</f>
        <v>show</v>
      </c>
    </row>
    <row r="1090" spans="1:6">
      <c r="A1090" t="s">
        <v>3272</v>
      </c>
      <c r="B1090" t="s">
        <v>3273</v>
      </c>
      <c r="C1090" t="s">
        <v>3274</v>
      </c>
      <c r="D1090" t="str">
        <f>HYPERLINK("https://github.com/MirakelX/mirakel-android/issues/608","show")</f>
        <v>show</v>
      </c>
      <c r="E1090" t="str">
        <f>HYPERLINK("https://github.com/MirakelX/mirakel-android","show")</f>
        <v>show</v>
      </c>
      <c r="F1090" t="str">
        <f>HYPERLINK("https://github.com/MirakelX/mirakel-android/releases","show")</f>
        <v>show</v>
      </c>
    </row>
    <row r="1091" spans="1:6">
      <c r="A1091" t="s">
        <v>3275</v>
      </c>
      <c r="B1091" t="s">
        <v>3276</v>
      </c>
      <c r="C1091" t="s">
        <v>3277</v>
      </c>
      <c r="D1091" t="str">
        <f>HYPERLINK("https://github.com/SubstanceMobile/GEM/issues/20","show")</f>
        <v>show</v>
      </c>
      <c r="E1091" t="str">
        <f>HYPERLINK("https://github.com/SubstanceMobile/GEM","show")</f>
        <v>show</v>
      </c>
      <c r="F1091" t="str">
        <f>HYPERLINK("https://github.com/SubstanceMobile/GEM/releases","show")</f>
        <v>show</v>
      </c>
    </row>
    <row r="1092" spans="1:6">
      <c r="A1092" t="s">
        <v>3278</v>
      </c>
      <c r="B1092" t="s">
        <v>3279</v>
      </c>
      <c r="C1092" t="s">
        <v>3280</v>
      </c>
      <c r="D1092" t="str">
        <f>HYPERLINK("https://github.com/ccrama/Slide/issues/381","show")</f>
        <v>show</v>
      </c>
      <c r="E1092" t="str">
        <f>HYPERLINK("https://github.com/ccrama/Slide","show")</f>
        <v>show</v>
      </c>
      <c r="F1092" t="str">
        <f>HYPERLINK("https://github.com/ccrama/Slide/releases","show")</f>
        <v>show</v>
      </c>
    </row>
    <row r="1093" spans="1:6">
      <c r="A1093" t="s">
        <v>3281</v>
      </c>
      <c r="B1093" t="s">
        <v>3282</v>
      </c>
      <c r="C1093" t="s">
        <v>3283</v>
      </c>
      <c r="D1093" t="str">
        <f>HYPERLINK("https://github.com/dimagi/commcare-android/issues/783","show")</f>
        <v>show</v>
      </c>
      <c r="E1093" t="str">
        <f>HYPERLINK("https://github.com/dimagi/commcare-android","show")</f>
        <v>show</v>
      </c>
      <c r="F1093" t="str">
        <f>HYPERLINK("https://github.com/dimagi/commcare-android/releases","show")</f>
        <v>show</v>
      </c>
    </row>
    <row r="1094" spans="1:6">
      <c r="A1094" t="s">
        <v>3284</v>
      </c>
      <c r="B1094" t="s">
        <v>3285</v>
      </c>
      <c r="C1094" t="s">
        <v>3286</v>
      </c>
      <c r="D1094" t="str">
        <f>HYPERLINK("https://github.com/SCCapstone/5chords/issues/17","show")</f>
        <v>show</v>
      </c>
      <c r="E1094" t="str">
        <f>HYPERLINK("https://github.com/SCCapstone/5chords","show")</f>
        <v>show</v>
      </c>
      <c r="F1094" t="str">
        <f>HYPERLINK("https://github.com/SCCapstone/5chords/releases","show")</f>
        <v>show</v>
      </c>
    </row>
    <row r="1095" spans="1:6">
      <c r="A1095" t="s">
        <v>3287</v>
      </c>
      <c r="B1095" t="s">
        <v>3288</v>
      </c>
      <c r="C1095" t="s">
        <v>3289</v>
      </c>
      <c r="D1095" t="str">
        <f>HYPERLINK("https://github.com/SubstanceMobile/GEM/issues/19","show")</f>
        <v>show</v>
      </c>
      <c r="E1095" t="str">
        <f>HYPERLINK("https://github.com/SubstanceMobile/GEM","show")</f>
        <v>show</v>
      </c>
      <c r="F1095" t="str">
        <f>HYPERLINK("https://github.com/SubstanceMobile/GEM/releases","show")</f>
        <v>show</v>
      </c>
    </row>
    <row r="1096" spans="1:6">
      <c r="A1096" t="s">
        <v>3290</v>
      </c>
      <c r="B1096" t="s">
        <v>3291</v>
      </c>
      <c r="C1096" t="s">
        <v>3292</v>
      </c>
      <c r="D1096" t="str">
        <f>HYPERLINK("https://github.com/ccrama/Slide/issues/423","show")</f>
        <v>show</v>
      </c>
      <c r="E1096" t="str">
        <f>HYPERLINK("https://github.com/ccrama/Slide","show")</f>
        <v>show</v>
      </c>
      <c r="F1096" t="str">
        <f>HYPERLINK("https://github.com/ccrama/Slide/releases","show")</f>
        <v>show</v>
      </c>
    </row>
    <row r="1097" spans="1:6">
      <c r="A1097" t="s">
        <v>3293</v>
      </c>
      <c r="B1097" t="s">
        <v>3294</v>
      </c>
      <c r="C1097" t="s">
        <v>3295</v>
      </c>
      <c r="D1097" t="str">
        <f>HYPERLINK("https://github.com/ccrama/Slide/issues/422","show")</f>
        <v>show</v>
      </c>
      <c r="E1097" t="str">
        <f>HYPERLINK("https://github.com/ccrama/Slide","show")</f>
        <v>show</v>
      </c>
      <c r="F1097" t="str">
        <f>HYPERLINK("https://github.com/ccrama/Slide/releases","show")</f>
        <v>show</v>
      </c>
    </row>
    <row r="1098" spans="1:6">
      <c r="A1098" t="s">
        <v>3296</v>
      </c>
      <c r="B1098" t="s">
        <v>3297</v>
      </c>
      <c r="C1098" t="s">
        <v>3298</v>
      </c>
      <c r="D1098" t="str">
        <f>HYPERLINK("https://github.com/ccrama/Slide/issues/416","show")</f>
        <v>show</v>
      </c>
      <c r="E1098" t="str">
        <f>HYPERLINK("https://github.com/ccrama/Slide","show")</f>
        <v>show</v>
      </c>
      <c r="F1098" t="str">
        <f>HYPERLINK("https://github.com/ccrama/Slide/releases","show")</f>
        <v>show</v>
      </c>
    </row>
    <row r="1099" spans="1:6">
      <c r="A1099" t="s">
        <v>3299</v>
      </c>
      <c r="B1099" t="s">
        <v>3300</v>
      </c>
      <c r="C1099" t="s">
        <v>3301</v>
      </c>
      <c r="D1099" t="str">
        <f>HYPERLINK("https://github.com/ccrama/Slide/issues/399","show")</f>
        <v>show</v>
      </c>
      <c r="E1099" t="str">
        <f>HYPERLINK("https://github.com/ccrama/Slide","show")</f>
        <v>show</v>
      </c>
      <c r="F1099" t="str">
        <f>HYPERLINK("https://github.com/ccrama/Slide/releases","show")</f>
        <v>show</v>
      </c>
    </row>
    <row r="1100" spans="1:6">
      <c r="A1100" t="s">
        <v>3302</v>
      </c>
      <c r="B1100" t="s">
        <v>3303</v>
      </c>
      <c r="C1100" t="s">
        <v>3304</v>
      </c>
      <c r="D1100" t="str">
        <f>HYPERLINK("https://github.com/square/okhttp/issues/1978","show")</f>
        <v>show</v>
      </c>
      <c r="E1100" t="str">
        <f>HYPERLINK("https://github.com/square/okhttp","show")</f>
        <v>show</v>
      </c>
      <c r="F1100" t="str">
        <f>HYPERLINK("https://github.com/square/okhttp/releases","show")</f>
        <v>show</v>
      </c>
    </row>
    <row r="1101" spans="1:6">
      <c r="A1101" t="s">
        <v>3305</v>
      </c>
      <c r="B1101" t="s">
        <v>3306</v>
      </c>
      <c r="C1101" t="s">
        <v>3307</v>
      </c>
      <c r="D1101" t="str">
        <f>HYPERLINK("https://github.com/kentsay/Zurich-Velo-Challenge/issues/21","show")</f>
        <v>show</v>
      </c>
      <c r="E1101" t="str">
        <f>HYPERLINK("https://github.com/kentsay/Zurich-Velo-Challenge","show")</f>
        <v>show</v>
      </c>
      <c r="F1101" t="str">
        <f>HYPERLINK("https://github.com/kentsay/Zurich-Velo-Challenge/releases","show")</f>
        <v>show</v>
      </c>
    </row>
    <row r="1102" spans="1:6">
      <c r="A1102" t="s">
        <v>3308</v>
      </c>
      <c r="B1102" t="s">
        <v>3309</v>
      </c>
      <c r="C1102" t="s">
        <v>3310</v>
      </c>
      <c r="D1102" t="str">
        <f>HYPERLINK("https://github.com/ccrama/Slide/issues/392","show")</f>
        <v>show</v>
      </c>
      <c r="E1102" t="str">
        <f>HYPERLINK("https://github.com/ccrama/Slide","show")</f>
        <v>show</v>
      </c>
      <c r="F1102" t="str">
        <f>HYPERLINK("https://github.com/ccrama/Slide/releases","show")</f>
        <v>show</v>
      </c>
    </row>
    <row r="1103" spans="1:6">
      <c r="A1103" t="s">
        <v>3311</v>
      </c>
      <c r="B1103" t="s">
        <v>3312</v>
      </c>
      <c r="C1103" t="s">
        <v>3313</v>
      </c>
      <c r="D1103" t="str">
        <f>HYPERLINK("https://github.com/ccrama/Slide/issues/390","show")</f>
        <v>show</v>
      </c>
      <c r="E1103" t="str">
        <f>HYPERLINK("https://github.com/ccrama/Slide","show")</f>
        <v>show</v>
      </c>
      <c r="F1103" t="str">
        <f>HYPERLINK("https://github.com/ccrama/Slide/releases","show")</f>
        <v>show</v>
      </c>
    </row>
    <row r="1104" spans="1:6">
      <c r="A1104" t="s">
        <v>3314</v>
      </c>
      <c r="B1104" t="s">
        <v>3315</v>
      </c>
      <c r="C1104" t="s">
        <v>3316</v>
      </c>
      <c r="D1104" t="str">
        <f>HYPERLINK("https://github.com/ccrama/Slide/issues/389","show")</f>
        <v>show</v>
      </c>
      <c r="E1104" t="str">
        <f>HYPERLINK("https://github.com/ccrama/Slide","show")</f>
        <v>show</v>
      </c>
      <c r="F1104" t="str">
        <f>HYPERLINK("https://github.com/ccrama/Slide/releases","show")</f>
        <v>show</v>
      </c>
    </row>
    <row r="1105" spans="1:6">
      <c r="A1105" t="s">
        <v>3317</v>
      </c>
      <c r="B1105" t="s">
        <v>3318</v>
      </c>
      <c r="C1105" t="s">
        <v>3319</v>
      </c>
      <c r="D1105" t="str">
        <f>HYPERLINK("https://github.com/MirakelX/mirakel-android/issues/610","show")</f>
        <v>show</v>
      </c>
      <c r="E1105" t="str">
        <f>HYPERLINK("https://github.com/MirakelX/mirakel-android","show")</f>
        <v>show</v>
      </c>
      <c r="F1105" t="str">
        <f>HYPERLINK("https://github.com/MirakelX/mirakel-android/releases","show")</f>
        <v>show</v>
      </c>
    </row>
    <row r="1106" spans="1:6">
      <c r="A1106" t="s">
        <v>3320</v>
      </c>
      <c r="B1106" t="s">
        <v>3321</v>
      </c>
      <c r="C1106" t="s">
        <v>3322</v>
      </c>
      <c r="D1106" t="str">
        <f>HYPERLINK("https://github.com/Mnkai/PGPClipper/issues/6","show")</f>
        <v>show</v>
      </c>
      <c r="E1106" t="str">
        <f>HYPERLINK("https://github.com/Mnkai/PGPClipper","show")</f>
        <v>show</v>
      </c>
      <c r="F1106" t="str">
        <f>HYPERLINK("https://github.com/Mnkai/PGPClipper/releases","show")</f>
        <v>show</v>
      </c>
    </row>
    <row r="1107" spans="1:6">
      <c r="A1107" t="s">
        <v>3323</v>
      </c>
      <c r="B1107" t="s">
        <v>3324</v>
      </c>
      <c r="C1107" t="s">
        <v>3325</v>
      </c>
      <c r="D1107" t="str">
        <f>HYPERLINK("https://github.com/ccrama/Slide/issues/469","show")</f>
        <v>show</v>
      </c>
      <c r="E1107" t="str">
        <f>HYPERLINK("https://github.com/ccrama/Slide","show")</f>
        <v>show</v>
      </c>
      <c r="F1107" t="str">
        <f>HYPERLINK("https://github.com/ccrama/Slide/releases","show")</f>
        <v>show</v>
      </c>
    </row>
    <row r="1108" spans="1:6">
      <c r="A1108" t="s">
        <v>3326</v>
      </c>
      <c r="B1108" t="s">
        <v>3327</v>
      </c>
      <c r="C1108" t="s">
        <v>3328</v>
      </c>
      <c r="D1108" t="str">
        <f>HYPERLINK("https://github.com/dimagi/commcare-android/issues/807","show")</f>
        <v>show</v>
      </c>
      <c r="E1108" t="str">
        <f>HYPERLINK("https://github.com/dimagi/commcare-android","show")</f>
        <v>show</v>
      </c>
      <c r="F1108" t="str">
        <f>HYPERLINK("https://github.com/dimagi/commcare-android/releases","show")</f>
        <v>show</v>
      </c>
    </row>
    <row r="1109" spans="1:6">
      <c r="A1109" t="s">
        <v>3329</v>
      </c>
      <c r="B1109" t="s">
        <v>3330</v>
      </c>
      <c r="C1109" t="s">
        <v>3331</v>
      </c>
      <c r="D1109" t="str">
        <f>HYPERLINK("https://github.com/HeadwayApp/HTDI-Companion/issues/12","show")</f>
        <v>show</v>
      </c>
      <c r="E1109" t="str">
        <f>HYPERLINK("https://github.com/HeadwayApp/HTDI-Companion","show")</f>
        <v>show</v>
      </c>
      <c r="F1109" t="str">
        <f>HYPERLINK("https://github.com/HeadwayApp/HTDI-Companion/releases","show")</f>
        <v>show</v>
      </c>
    </row>
    <row r="1110" spans="1:6">
      <c r="A1110" t="s">
        <v>3332</v>
      </c>
      <c r="B1110" t="s">
        <v>3333</v>
      </c>
      <c r="C1110" t="s">
        <v>3334</v>
      </c>
      <c r="D1110" t="str">
        <f>HYPERLINK("https://github.com/facebook/buck/issues/501","show")</f>
        <v>show</v>
      </c>
      <c r="E1110" t="str">
        <f>HYPERLINK("https://github.com/facebook/buck","show")</f>
        <v>show</v>
      </c>
      <c r="F1110" t="str">
        <f>HYPERLINK("https://github.com/facebook/buck/releases","show")</f>
        <v>show</v>
      </c>
    </row>
    <row r="1111" spans="1:6">
      <c r="A1111" t="s">
        <v>3335</v>
      </c>
      <c r="B1111" t="s">
        <v>3336</v>
      </c>
      <c r="C1111" t="s">
        <v>3337</v>
      </c>
      <c r="D1111" t="str">
        <f>HYPERLINK("https://github.com/mixpanel/mixpanel-android/issues/284","show")</f>
        <v>show</v>
      </c>
      <c r="E1111" t="str">
        <f>HYPERLINK("https://github.com/mixpanel/mixpanel-android","show")</f>
        <v>show</v>
      </c>
      <c r="F1111" t="str">
        <f>HYPERLINK("https://github.com/mixpanel/mixpanel-android/releases","show")</f>
        <v>show</v>
      </c>
    </row>
    <row r="1112" spans="1:6">
      <c r="A1112" t="s">
        <v>3338</v>
      </c>
      <c r="B1112" t="s">
        <v>3339</v>
      </c>
      <c r="C1112" t="s">
        <v>3340</v>
      </c>
      <c r="D1112" t="str">
        <f>HYPERLINK("https://github.com/ngageoint/geopackage-android/issues/16","show")</f>
        <v>show</v>
      </c>
      <c r="E1112" t="str">
        <f>HYPERLINK("https://github.com/ngageoint/geopackage-android","show")</f>
        <v>show</v>
      </c>
      <c r="F1112" t="str">
        <f>HYPERLINK("https://github.com/ngageoint/geopackage-android/releases","show")</f>
        <v>show</v>
      </c>
    </row>
    <row r="1113" spans="1:6">
      <c r="A1113" t="s">
        <v>3341</v>
      </c>
      <c r="B1113" t="s">
        <v>3342</v>
      </c>
      <c r="C1113" t="s">
        <v>3343</v>
      </c>
      <c r="D1113" t="str">
        <f>HYPERLINK("https://github.com/Stuart-campbell/RushOrm/issues/84","show")</f>
        <v>show</v>
      </c>
      <c r="E1113" t="str">
        <f>HYPERLINK("https://github.com/Stuart-campbell/RushOrm","show")</f>
        <v>show</v>
      </c>
      <c r="F1113" t="str">
        <f>HYPERLINK("https://github.com/Stuart-campbell/RushOrm/releases","show")</f>
        <v>show</v>
      </c>
    </row>
    <row r="1114" spans="1:6">
      <c r="A1114" t="s">
        <v>3344</v>
      </c>
      <c r="B1114" t="s">
        <v>3345</v>
      </c>
      <c r="C1114" t="s">
        <v>3346</v>
      </c>
      <c r="D1114" t="str">
        <f>HYPERLINK("https://github.com/Mnkai/PGPClipper/issues/8","show")</f>
        <v>show</v>
      </c>
      <c r="E1114" t="str">
        <f>HYPERLINK("https://github.com/Mnkai/PGPClipper","show")</f>
        <v>show</v>
      </c>
      <c r="F1114" t="str">
        <f>HYPERLINK("https://github.com/Mnkai/PGPClipper/releases","show")</f>
        <v>show</v>
      </c>
    </row>
    <row r="1115" spans="1:6">
      <c r="A1115" t="s">
        <v>3347</v>
      </c>
      <c r="B1115" t="s">
        <v>3348</v>
      </c>
      <c r="C1115" t="s">
        <v>3349</v>
      </c>
      <c r="D1115" t="str">
        <f>HYPERLINK("https://github.com/google/ExoPlayer/issues/952","show")</f>
        <v>show</v>
      </c>
      <c r="E1115" t="str">
        <f>HYPERLINK("https://github.com/google/ExoPlayer","show")</f>
        <v>show</v>
      </c>
      <c r="F1115" t="str">
        <f>HYPERLINK("https://github.com/google/ExoPlayer/releases","show")</f>
        <v>show</v>
      </c>
    </row>
    <row r="1116" spans="1:6">
      <c r="A1116" t="s">
        <v>3350</v>
      </c>
      <c r="B1116" t="s">
        <v>3351</v>
      </c>
      <c r="C1116" t="s">
        <v>3352</v>
      </c>
      <c r="D1116" t="str">
        <f>HYPERLINK("https://github.com/HeadwayApp/How-To-Do-It-/issues/22","show")</f>
        <v>show</v>
      </c>
      <c r="E1116" t="str">
        <f>HYPERLINK("https://github.com/HeadwayApp/How-To-Do-It-","show")</f>
        <v>show</v>
      </c>
      <c r="F1116" t="str">
        <f>HYPERLINK("https://github.com/HeadwayApp/How-To-Do-It-/releases","show")</f>
        <v>show</v>
      </c>
    </row>
    <row r="1117" spans="1:6">
      <c r="A1117" t="s">
        <v>3353</v>
      </c>
      <c r="B1117" t="s">
        <v>3354</v>
      </c>
      <c r="C1117" t="s">
        <v>3355</v>
      </c>
      <c r="D1117" t="str">
        <f>HYPERLINK("https://github.com/square/okhttp/issues/1998","show")</f>
        <v>show</v>
      </c>
      <c r="E1117" t="str">
        <f>HYPERLINK("https://github.com/square/okhttp","show")</f>
        <v>show</v>
      </c>
      <c r="F1117" t="str">
        <f>HYPERLINK("https://github.com/square/okhttp/releases","show")</f>
        <v>show</v>
      </c>
    </row>
    <row r="1118" spans="1:6">
      <c r="A1118" t="s">
        <v>3356</v>
      </c>
      <c r="B1118" t="s">
        <v>3357</v>
      </c>
      <c r="C1118" t="s">
        <v>3358</v>
      </c>
      <c r="D1118" t="str">
        <f>HYPERLINK("https://github.com/AnimeNeko/Atarashii/issues/466","show")</f>
        <v>show</v>
      </c>
      <c r="E1118" t="str">
        <f>HYPERLINK("https://github.com/AnimeNeko/Atarashii","show")</f>
        <v>show</v>
      </c>
      <c r="F1118" t="str">
        <f>HYPERLINK("https://github.com/AnimeNeko/Atarashii/releases","show")</f>
        <v>show</v>
      </c>
    </row>
    <row r="1119" spans="1:6">
      <c r="A1119" t="s">
        <v>3359</v>
      </c>
      <c r="B1119" t="s">
        <v>3360</v>
      </c>
      <c r="C1119" t="s">
        <v>3361</v>
      </c>
      <c r="D1119" t="str">
        <f>HYPERLINK("https://github.com/colegarien/SDDTermProject/issues/122","show")</f>
        <v>show</v>
      </c>
      <c r="E1119" t="str">
        <f>HYPERLINK("https://github.com/colegarien/SDDTermProject","show")</f>
        <v>show</v>
      </c>
      <c r="F1119" t="str">
        <f>HYPERLINK("https://github.com/colegarien/SDDTermProject/releases","show")</f>
        <v>show</v>
      </c>
    </row>
    <row r="1120" spans="1:6">
      <c r="A1120" t="s">
        <v>3362</v>
      </c>
      <c r="B1120" t="s">
        <v>3363</v>
      </c>
      <c r="C1120" t="s">
        <v>3364</v>
      </c>
      <c r="D1120" t="str">
        <f>HYPERLINK("https://github.com/syncthing/syncthing-android/issues/499","show")</f>
        <v>show</v>
      </c>
      <c r="E1120" t="str">
        <f>HYPERLINK("https://github.com/syncthing/syncthing-android","show")</f>
        <v>show</v>
      </c>
      <c r="F1120" t="str">
        <f>HYPERLINK("https://github.com/syncthing/syncthing-android/releases","show")</f>
        <v>show</v>
      </c>
    </row>
    <row r="1121" spans="1:6">
      <c r="A1121" t="s">
        <v>3365</v>
      </c>
      <c r="B1121" t="s">
        <v>3366</v>
      </c>
      <c r="C1121" t="s">
        <v>3367</v>
      </c>
      <c r="D1121" t="str">
        <f>HYPERLINK("https://github.com/syncthing/syncthing-android/issues/498","show")</f>
        <v>show</v>
      </c>
      <c r="E1121" t="str">
        <f>HYPERLINK("https://github.com/syncthing/syncthing-android","show")</f>
        <v>show</v>
      </c>
      <c r="F1121" t="str">
        <f>HYPERLINK("https://github.com/syncthing/syncthing-android/releases","show")</f>
        <v>show</v>
      </c>
    </row>
    <row r="1122" spans="1:6">
      <c r="A1122" t="s">
        <v>3368</v>
      </c>
      <c r="B1122" t="s">
        <v>3369</v>
      </c>
      <c r="C1122" t="s">
        <v>3370</v>
      </c>
      <c r="D1122" t="str">
        <f>HYPERLINK("https://github.com/pedrovgs/DraggablePanel/issues/75","show")</f>
        <v>show</v>
      </c>
      <c r="E1122" t="str">
        <f>HYPERLINK("https://github.com/pedrovgs/DraggablePanel","show")</f>
        <v>show</v>
      </c>
      <c r="F1122" t="str">
        <f>HYPERLINK("https://github.com/pedrovgs/DraggablePanel/releases","show")</f>
        <v>show</v>
      </c>
    </row>
    <row r="1123" spans="1:6">
      <c r="A1123" t="s">
        <v>3371</v>
      </c>
      <c r="B1123" t="s">
        <v>3372</v>
      </c>
      <c r="C1123" t="s">
        <v>3373</v>
      </c>
      <c r="D1123" t="str">
        <f>HYPERLINK("https://github.com/enviroCar/enviroCar-app/issues/268","show")</f>
        <v>show</v>
      </c>
      <c r="E1123" t="str">
        <f>HYPERLINK("https://github.com/enviroCar/enviroCar-app","show")</f>
        <v>show</v>
      </c>
      <c r="F1123" t="str">
        <f>HYPERLINK("https://github.com/enviroCar/enviroCar-app/releases","show")</f>
        <v>show</v>
      </c>
    </row>
    <row r="1124" spans="1:6">
      <c r="A1124" t="s">
        <v>3374</v>
      </c>
      <c r="B1124" t="s">
        <v>3375</v>
      </c>
      <c r="C1124" t="s">
        <v>3376</v>
      </c>
      <c r="D1124" t="str">
        <f>HYPERLINK("https://github.com/ccrama/Slide/issues/604","show")</f>
        <v>show</v>
      </c>
      <c r="E1124" t="str">
        <f>HYPERLINK("https://github.com/ccrama/Slide","show")</f>
        <v>show</v>
      </c>
      <c r="F1124" t="str">
        <f>HYPERLINK("https://github.com/ccrama/Slide/releases","show")</f>
        <v>show</v>
      </c>
    </row>
    <row r="1125" spans="1:6">
      <c r="A1125" t="s">
        <v>3377</v>
      </c>
      <c r="B1125" t="s">
        <v>3378</v>
      </c>
      <c r="C1125" t="s">
        <v>3379</v>
      </c>
      <c r="D1125" t="str">
        <f>HYPERLINK("https://github.com/daparker/checkvalve/issues/7","show")</f>
        <v>show</v>
      </c>
      <c r="E1125" t="str">
        <f>HYPERLINK("https://github.com/daparker/checkvalve","show")</f>
        <v>show</v>
      </c>
      <c r="F1125" t="str">
        <f>HYPERLINK("https://github.com/daparker/checkvalve/releases","show")</f>
        <v>show</v>
      </c>
    </row>
    <row r="1126" spans="1:6">
      <c r="A1126" t="s">
        <v>3380</v>
      </c>
      <c r="B1126" t="s">
        <v>3381</v>
      </c>
      <c r="C1126" t="s">
        <v>3382</v>
      </c>
      <c r="D1126" t="str">
        <f>HYPERLINK("https://github.com/indywidualny/FaceSlim/issues/70","show")</f>
        <v>show</v>
      </c>
      <c r="E1126" t="str">
        <f>HYPERLINK("https://github.com/indywidualny/FaceSlim","show")</f>
        <v>show</v>
      </c>
      <c r="F1126" t="str">
        <f>HYPERLINK("https://github.com/indywidualny/FaceSlim/releases","show")</f>
        <v>show</v>
      </c>
    </row>
    <row r="1127" spans="1:6">
      <c r="A1127" t="s">
        <v>3383</v>
      </c>
      <c r="B1127" t="s">
        <v>3384</v>
      </c>
      <c r="C1127" t="s">
        <v>3385</v>
      </c>
      <c r="D1127" t="str">
        <f>HYPERLINK("https://github.com/philipheimboeck/gps-hawk/issues/30","show")</f>
        <v>show</v>
      </c>
      <c r="E1127" t="str">
        <f>HYPERLINK("https://github.com/philipheimboeck/gps-hawk","show")</f>
        <v>show</v>
      </c>
      <c r="F1127" t="str">
        <f>HYPERLINK("https://github.com/philipheimboeck/gps-hawk/releases","show")</f>
        <v>show</v>
      </c>
    </row>
    <row r="1128" spans="1:6">
      <c r="A1128" t="s">
        <v>3386</v>
      </c>
      <c r="B1128" t="s">
        <v>3387</v>
      </c>
      <c r="C1128" t="s">
        <v>3388</v>
      </c>
      <c r="D1128" t="str">
        <f>HYPERLINK("https://github.com/k9mail/k-9/issues/901","show")</f>
        <v>show</v>
      </c>
      <c r="E1128" t="str">
        <f>HYPERLINK("https://github.com/k9mail/k-9","show")</f>
        <v>show</v>
      </c>
      <c r="F1128" t="str">
        <f>HYPERLINK("https://github.com/k9mail/k-9/releases","show")</f>
        <v>show</v>
      </c>
    </row>
    <row r="1129" spans="1:6">
      <c r="A1129" t="s">
        <v>3389</v>
      </c>
      <c r="B1129" t="s">
        <v>3390</v>
      </c>
      <c r="C1129" t="s">
        <v>3391</v>
      </c>
      <c r="D1129" t="str">
        <f>HYPERLINK("https://github.com/cSploit/android/issues/509","show")</f>
        <v>show</v>
      </c>
      <c r="E1129" t="str">
        <f>HYPERLINK("https://github.com/cSploit/android","show")</f>
        <v>show</v>
      </c>
      <c r="F1129" t="str">
        <f>HYPERLINK("https://github.com/cSploit/android/releases","show")</f>
        <v>show</v>
      </c>
    </row>
    <row r="1130" spans="1:6">
      <c r="A1130" t="s">
        <v>3392</v>
      </c>
      <c r="B1130" t="s">
        <v>3393</v>
      </c>
      <c r="C1130" t="s">
        <v>3394</v>
      </c>
      <c r="D1130" t="str">
        <f>HYPERLINK("https://github.com/chandevel/Clover/issues/127","show")</f>
        <v>show</v>
      </c>
      <c r="E1130" t="str">
        <f>HYPERLINK("https://github.com/chandevel/Clover","show")</f>
        <v>show</v>
      </c>
      <c r="F1130" t="str">
        <f>HYPERLINK("https://github.com/chandevel/Clover/releases","show")</f>
        <v>show</v>
      </c>
    </row>
    <row r="1131" spans="1:6">
      <c r="A1131" t="s">
        <v>3395</v>
      </c>
      <c r="B1131" t="s">
        <v>3396</v>
      </c>
      <c r="C1131" t="s">
        <v>3397</v>
      </c>
      <c r="D1131" t="str">
        <f>HYPERLINK("https://github.com/danirod/rectball/issues/58","show")</f>
        <v>show</v>
      </c>
      <c r="E1131" t="str">
        <f>HYPERLINK("https://github.com/danirod/rectball","show")</f>
        <v>show</v>
      </c>
      <c r="F1131" t="str">
        <f>HYPERLINK("https://github.com/danirod/rectball/releases","show")</f>
        <v>show</v>
      </c>
    </row>
    <row r="1132" spans="1:6">
      <c r="A1132" t="s">
        <v>3398</v>
      </c>
      <c r="B1132" t="s">
        <v>3399</v>
      </c>
      <c r="C1132" t="s">
        <v>3400</v>
      </c>
      <c r="D1132" t="str">
        <f>HYPERLINK("https://github.com/ccrama/Slide/issues/622","show")</f>
        <v>show</v>
      </c>
      <c r="E1132" t="str">
        <f>HYPERLINK("https://github.com/ccrama/Slide","show")</f>
        <v>show</v>
      </c>
      <c r="F1132" t="str">
        <f>HYPERLINK("https://github.com/ccrama/Slide/releases","show")</f>
        <v>show</v>
      </c>
    </row>
    <row r="1133" spans="1:6">
      <c r="A1133" t="s">
        <v>3401</v>
      </c>
      <c r="B1133" t="s">
        <v>3402</v>
      </c>
      <c r="C1133" t="s">
        <v>3403</v>
      </c>
      <c r="D1133" t="str">
        <f>HYPERLINK("https://github.com/square/okhttp/issues/2016","show")</f>
        <v>show</v>
      </c>
      <c r="E1133" t="str">
        <f>HYPERLINK("https://github.com/square/okhttp","show")</f>
        <v>show</v>
      </c>
      <c r="F1133" t="str">
        <f>HYPERLINK("https://github.com/square/okhttp/releases","show")</f>
        <v>show</v>
      </c>
    </row>
    <row r="1134" spans="1:6">
      <c r="A1134" t="s">
        <v>3404</v>
      </c>
      <c r="B1134" t="s">
        <v>3405</v>
      </c>
      <c r="C1134" t="s">
        <v>3406</v>
      </c>
      <c r="D1134" t="str">
        <f>HYPERLINK("https://github.com/sriharshachilakapati/SilenceEngine/issues/49","show")</f>
        <v>show</v>
      </c>
      <c r="E1134" t="str">
        <f>HYPERLINK("https://github.com/sriharshachilakapati/SilenceEngine","show")</f>
        <v>show</v>
      </c>
      <c r="F1134" t="str">
        <f>HYPERLINK("https://github.com/sriharshachilakapati/SilenceEngine/releases","show")</f>
        <v>show</v>
      </c>
    </row>
    <row r="1135" spans="1:6">
      <c r="A1135" t="s">
        <v>3407</v>
      </c>
      <c r="B1135" t="s">
        <v>3408</v>
      </c>
      <c r="C1135" t="s">
        <v>3409</v>
      </c>
      <c r="D1135" t="str">
        <f>HYPERLINK("https://github.com/uservoice/uservoice-android-sdk/issues/211","show")</f>
        <v>show</v>
      </c>
      <c r="E1135" t="str">
        <f>HYPERLINK("https://github.com/uservoice/uservoice-android-sdk","show")</f>
        <v>show</v>
      </c>
      <c r="F1135" t="str">
        <f>HYPERLINK("https://github.com/uservoice/uservoice-android-sdk/releases","show")</f>
        <v>show</v>
      </c>
    </row>
    <row r="1136" spans="1:6">
      <c r="A1136" t="s">
        <v>3410</v>
      </c>
      <c r="B1136" t="s">
        <v>3411</v>
      </c>
      <c r="C1136" t="s">
        <v>3412</v>
      </c>
      <c r="D1136" t="str">
        <f>HYPERLINK("https://github.com/ccrama/Slide/issues/640","show")</f>
        <v>show</v>
      </c>
      <c r="E1136" t="str">
        <f>HYPERLINK("https://github.com/ccrama/Slide","show")</f>
        <v>show</v>
      </c>
      <c r="F1136" t="str">
        <f>HYPERLINK("https://github.com/ccrama/Slide/releases","show")</f>
        <v>show</v>
      </c>
    </row>
    <row r="1137" spans="1:6">
      <c r="A1137" t="s">
        <v>3413</v>
      </c>
      <c r="B1137" t="s">
        <v>3414</v>
      </c>
      <c r="C1137" t="s">
        <v>3415</v>
      </c>
      <c r="D1137" t="str">
        <f>HYPERLINK("https://github.com/dimagi/commcare-android/issues/848","show")</f>
        <v>show</v>
      </c>
      <c r="E1137" t="str">
        <f>HYPERLINK("https://github.com/dimagi/commcare-android","show")</f>
        <v>show</v>
      </c>
      <c r="F1137" t="str">
        <f>HYPERLINK("https://github.com/dimagi/commcare-android/releases","show")</f>
        <v>show</v>
      </c>
    </row>
    <row r="1138" spans="1:6">
      <c r="A1138" t="s">
        <v>3416</v>
      </c>
      <c r="B1138" t="s">
        <v>3417</v>
      </c>
      <c r="C1138" t="s">
        <v>3418</v>
      </c>
      <c r="D1138" t="str">
        <f>HYPERLINK("https://github.com/enviroCar/enviroCar-app/issues/272","show")</f>
        <v>show</v>
      </c>
      <c r="E1138" t="str">
        <f>HYPERLINK("https://github.com/enviroCar/enviroCar-app","show")</f>
        <v>show</v>
      </c>
      <c r="F1138" t="str">
        <f>HYPERLINK("https://github.com/enviroCar/enviroCar-app/releases","show")</f>
        <v>show</v>
      </c>
    </row>
    <row r="1139" spans="1:6">
      <c r="A1139" t="s">
        <v>3419</v>
      </c>
      <c r="B1139" t="s">
        <v>3420</v>
      </c>
      <c r="C1139" t="s">
        <v>3421</v>
      </c>
      <c r="D1139" t="str">
        <f>HYPERLINK("https://github.com/Karumi/Dexter/issues/14","show")</f>
        <v>show</v>
      </c>
      <c r="E1139" t="str">
        <f>HYPERLINK("https://github.com/Karumi/Dexter","show")</f>
        <v>show</v>
      </c>
      <c r="F1139" t="str">
        <f>HYPERLINK("https://github.com/Karumi/Dexter/releases","show")</f>
        <v>show</v>
      </c>
    </row>
    <row r="1140" spans="1:6">
      <c r="A1140" t="s">
        <v>3422</v>
      </c>
      <c r="B1140" t="s">
        <v>3423</v>
      </c>
      <c r="C1140" t="s">
        <v>3424</v>
      </c>
      <c r="D1140" t="str">
        <f>HYPERLINK("https://github.com/Bernie-2016/fieldthebern-android/issues/150","show")</f>
        <v>show</v>
      </c>
      <c r="E1140" t="str">
        <f>HYPERLINK("https://github.com/Bernie-2016/fieldthebern-android","show")</f>
        <v>show</v>
      </c>
      <c r="F1140" t="str">
        <f>HYPERLINK("https://github.com/Bernie-2016/fieldthebern-android/releases","show")</f>
        <v>show</v>
      </c>
    </row>
    <row r="1141" spans="1:6">
      <c r="A1141" t="s">
        <v>3425</v>
      </c>
      <c r="B1141" t="s">
        <v>3426</v>
      </c>
      <c r="C1141" t="s">
        <v>3427</v>
      </c>
      <c r="D1141" t="str">
        <f>HYPERLINK("https://github.com/projectbuendia/client/issues/156","show")</f>
        <v>show</v>
      </c>
      <c r="E1141" t="str">
        <f>HYPERLINK("https://github.com/projectbuendia/client","show")</f>
        <v>show</v>
      </c>
      <c r="F1141" t="str">
        <f>HYPERLINK("https://github.com/projectbuendia/client/releases","show")</f>
        <v>show</v>
      </c>
    </row>
    <row r="1142" spans="1:6">
      <c r="A1142" t="s">
        <v>3428</v>
      </c>
      <c r="B1142" t="s">
        <v>3429</v>
      </c>
      <c r="C1142" t="s">
        <v>3430</v>
      </c>
      <c r="D1142" t="str">
        <f>HYPERLINK("https://github.com/ccrama/Slide/issues/660","show")</f>
        <v>show</v>
      </c>
      <c r="E1142" t="str">
        <f>HYPERLINK("https://github.com/ccrama/Slide","show")</f>
        <v>show</v>
      </c>
      <c r="F1142" t="str">
        <f>HYPERLINK("https://github.com/ccrama/Slide/releases","show")</f>
        <v>show</v>
      </c>
    </row>
    <row r="1143" spans="1:6">
      <c r="A1143" t="s">
        <v>3431</v>
      </c>
      <c r="B1143" t="s">
        <v>3432</v>
      </c>
      <c r="C1143" t="s">
        <v>3433</v>
      </c>
      <c r="D1143" t="str">
        <f>HYPERLINK("https://github.com/zhuowei/MCPELauncher/issues/328","show")</f>
        <v>show</v>
      </c>
      <c r="E1143" t="str">
        <f>HYPERLINK("https://github.com/zhuowei/MCPELauncher","show")</f>
        <v>show</v>
      </c>
      <c r="F1143" t="str">
        <f>HYPERLINK("https://github.com/zhuowei/MCPELauncher/releases","show")</f>
        <v>show</v>
      </c>
    </row>
    <row r="1144" spans="1:6">
      <c r="A1144" t="s">
        <v>3434</v>
      </c>
      <c r="B1144" t="s">
        <v>3435</v>
      </c>
      <c r="C1144" t="s">
        <v>3436</v>
      </c>
      <c r="D1144" t="str">
        <f>HYPERLINK("https://github.com/SASAbus/SASAbus/issues/17","show")</f>
        <v>show</v>
      </c>
      <c r="E1144" t="str">
        <f>HYPERLINK("https://github.com/SASAbus/SASAbus","show")</f>
        <v>show</v>
      </c>
      <c r="F1144" t="str">
        <f>HYPERLINK("https://github.com/SASAbus/SASAbus/releases","show")</f>
        <v>show</v>
      </c>
    </row>
    <row r="1145" spans="1:6">
      <c r="A1145" t="s">
        <v>3437</v>
      </c>
      <c r="B1145" t="s">
        <v>3438</v>
      </c>
      <c r="C1145" t="s">
        <v>3439</v>
      </c>
      <c r="D1145" t="str">
        <f>HYPERLINK("https://github.com/zhuowei/MCPELauncher/issues/319","show")</f>
        <v>show</v>
      </c>
      <c r="E1145" t="str">
        <f>HYPERLINK("https://github.com/zhuowei/MCPELauncher","show")</f>
        <v>show</v>
      </c>
      <c r="F1145" t="str">
        <f>HYPERLINK("https://github.com/zhuowei/MCPELauncher/releases","show")</f>
        <v>show</v>
      </c>
    </row>
    <row r="1146" spans="1:6">
      <c r="A1146" t="s">
        <v>3440</v>
      </c>
      <c r="B1146" t="s">
        <v>3441</v>
      </c>
      <c r="C1146" t="s">
        <v>3442</v>
      </c>
      <c r="D1146" t="str">
        <f>HYPERLINK("https://github.com/zhuowei/MCPELauncher/issues/318","show")</f>
        <v>show</v>
      </c>
      <c r="E1146" t="str">
        <f>HYPERLINK("https://github.com/zhuowei/MCPELauncher","show")</f>
        <v>show</v>
      </c>
      <c r="F1146" t="str">
        <f>HYPERLINK("https://github.com/zhuowei/MCPELauncher/releases","show")</f>
        <v>show</v>
      </c>
    </row>
    <row r="1147" spans="1:6">
      <c r="A1147" t="s">
        <v>3443</v>
      </c>
      <c r="B1147" t="s">
        <v>3444</v>
      </c>
      <c r="C1147" t="s">
        <v>3445</v>
      </c>
      <c r="D1147" t="str">
        <f>HYPERLINK("https://github.com/PhotoBackup/client-android/issues/11","show")</f>
        <v>show</v>
      </c>
      <c r="E1147" t="str">
        <f>HYPERLINK("https://github.com/PhotoBackup/client-android","show")</f>
        <v>show</v>
      </c>
      <c r="F1147" t="str">
        <f>HYPERLINK("https://github.com/PhotoBackup/client-android/releases","show")</f>
        <v>show</v>
      </c>
    </row>
    <row r="1148" spans="1:6">
      <c r="A1148" t="s">
        <v>3446</v>
      </c>
      <c r="B1148" t="s">
        <v>3447</v>
      </c>
      <c r="C1148" t="s">
        <v>3448</v>
      </c>
      <c r="D1148" t="str">
        <f>HYPERLINK("https://github.com/zhuowei/MCPELauncher/issues/338","show")</f>
        <v>show</v>
      </c>
      <c r="E1148" t="str">
        <f>HYPERLINK("https://github.com/zhuowei/MCPELauncher","show")</f>
        <v>show</v>
      </c>
      <c r="F1148" t="str">
        <f>HYPERLINK("https://github.com/zhuowei/MCPELauncher/releases","show")</f>
        <v>show</v>
      </c>
    </row>
    <row r="1149" spans="1:6">
      <c r="A1149" t="s">
        <v>3449</v>
      </c>
      <c r="B1149" t="s">
        <v>3450</v>
      </c>
      <c r="C1149" t="s">
        <v>3451</v>
      </c>
      <c r="D1149" t="str">
        <f>HYPERLINK("https://github.com/sriharshachilakapati/SilenceEngine/issues/53","show")</f>
        <v>show</v>
      </c>
      <c r="E1149" t="str">
        <f>HYPERLINK("https://github.com/sriharshachilakapati/SilenceEngine","show")</f>
        <v>show</v>
      </c>
      <c r="F1149" t="str">
        <f>HYPERLINK("https://github.com/sriharshachilakapati/SilenceEngine/releases","show")</f>
        <v>show</v>
      </c>
    </row>
    <row r="1150" spans="1:6">
      <c r="A1150" t="s">
        <v>3452</v>
      </c>
      <c r="B1150" t="s">
        <v>3453</v>
      </c>
      <c r="C1150" t="s">
        <v>3454</v>
      </c>
      <c r="D1150" t="str">
        <f>HYPERLINK("https://github.com/k9mail/k-9/issues/916","show")</f>
        <v>show</v>
      </c>
      <c r="E1150" t="str">
        <f>HYPERLINK("https://github.com/k9mail/k-9","show")</f>
        <v>show</v>
      </c>
      <c r="F1150" t="str">
        <f>HYPERLINK("https://github.com/k9mail/k-9/releases","show")</f>
        <v>show</v>
      </c>
    </row>
    <row r="1151" spans="1:6">
      <c r="A1151" t="s">
        <v>3455</v>
      </c>
      <c r="B1151" t="s">
        <v>3456</v>
      </c>
      <c r="C1151" t="s">
        <v>3457</v>
      </c>
      <c r="D1151" t="str">
        <f>HYPERLINK("https://github.com/greysonp/permiso/issues/5","show")</f>
        <v>show</v>
      </c>
      <c r="E1151" t="str">
        <f>HYPERLINK("https://github.com/greysonp/permiso","show")</f>
        <v>show</v>
      </c>
      <c r="F1151" t="str">
        <f>HYPERLINK("https://github.com/greysonp/permiso/releases","show")</f>
        <v>show</v>
      </c>
    </row>
    <row r="1152" spans="1:6">
      <c r="A1152" t="s">
        <v>3458</v>
      </c>
      <c r="B1152" t="s">
        <v>3459</v>
      </c>
      <c r="C1152" t="s">
        <v>3460</v>
      </c>
      <c r="D1152" t="str">
        <f>HYPERLINK("https://github.com/zhuowei/MCPELauncher/issues/355","show")</f>
        <v>show</v>
      </c>
      <c r="E1152" t="str">
        <f>HYPERLINK("https://github.com/zhuowei/MCPELauncher","show")</f>
        <v>show</v>
      </c>
      <c r="F1152" t="str">
        <f>HYPERLINK("https://github.com/zhuowei/MCPELauncher/releases","show")</f>
        <v>show</v>
      </c>
    </row>
    <row r="1153" spans="1:6">
      <c r="A1153" t="s">
        <v>3461</v>
      </c>
      <c r="B1153" t="s">
        <v>3462</v>
      </c>
      <c r="C1153" t="s">
        <v>3463</v>
      </c>
      <c r="D1153" t="str">
        <f>HYPERLINK("https://github.com/dimagi/commcare-android/issues/870","show")</f>
        <v>show</v>
      </c>
      <c r="E1153" t="str">
        <f>HYPERLINK("https://github.com/dimagi/commcare-android","show")</f>
        <v>show</v>
      </c>
      <c r="F1153" t="str">
        <f>HYPERLINK("https://github.com/dimagi/commcare-android/releases","show")</f>
        <v>show</v>
      </c>
    </row>
    <row r="1154" spans="1:6">
      <c r="A1154" t="s">
        <v>3464</v>
      </c>
      <c r="B1154" t="s">
        <v>3465</v>
      </c>
      <c r="C1154" t="s">
        <v>3466</v>
      </c>
      <c r="D1154" t="str">
        <f>HYPERLINK("https://github.com/cgeo/cgeo/issues/5296","show")</f>
        <v>show</v>
      </c>
      <c r="E1154" t="str">
        <f>HYPERLINK("https://github.com/cgeo/cgeo","show")</f>
        <v>show</v>
      </c>
      <c r="F1154" t="str">
        <f>HYPERLINK("https://github.com/cgeo/cgeo/releases","show")</f>
        <v>show</v>
      </c>
    </row>
    <row r="1155" spans="1:6">
      <c r="A1155" t="s">
        <v>3467</v>
      </c>
      <c r="B1155" t="s">
        <v>3468</v>
      </c>
      <c r="C1155" t="s">
        <v>3469</v>
      </c>
      <c r="D1155" t="str">
        <f>HYPERLINK("https://github.com/arimorty/floatingsearchview/issues/1","show")</f>
        <v>show</v>
      </c>
      <c r="E1155" t="str">
        <f>HYPERLINK("https://github.com/arimorty/floatingsearchview","show")</f>
        <v>show</v>
      </c>
      <c r="F1155" t="str">
        <f>HYPERLINK("https://github.com/arimorty/floatingsearchview/releases","show")</f>
        <v>show</v>
      </c>
    </row>
    <row r="1156" spans="1:6">
      <c r="A1156" t="s">
        <v>3470</v>
      </c>
      <c r="B1156" t="s">
        <v>3471</v>
      </c>
      <c r="C1156" t="s">
        <v>3472</v>
      </c>
      <c r="D1156" t="str">
        <f>HYPERLINK("https://github.com/code-troopers/android-betterpickers/issues/214","show")</f>
        <v>show</v>
      </c>
      <c r="E1156" t="str">
        <f>HYPERLINK("https://github.com/code-troopers/android-betterpickers","show")</f>
        <v>show</v>
      </c>
      <c r="F1156" t="str">
        <f>HYPERLINK("https://github.com/code-troopers/android-betterpickers/releases","show")</f>
        <v>show</v>
      </c>
    </row>
    <row r="1157" spans="1:6">
      <c r="A1157" t="s">
        <v>3473</v>
      </c>
      <c r="B1157" t="s">
        <v>3474</v>
      </c>
      <c r="C1157" t="s">
        <v>3475</v>
      </c>
      <c r="D1157" t="str">
        <f>HYPERLINK("https://github.com/ccrama/Slide/issues/691","show")</f>
        <v>show</v>
      </c>
      <c r="E1157" t="str">
        <f>HYPERLINK("https://github.com/ccrama/Slide","show")</f>
        <v>show</v>
      </c>
      <c r="F1157" t="str">
        <f>HYPERLINK("https://github.com/ccrama/Slide/releases","show")</f>
        <v>show</v>
      </c>
    </row>
    <row r="1158" spans="1:6">
      <c r="A1158" t="s">
        <v>3476</v>
      </c>
      <c r="B1158" t="s">
        <v>3477</v>
      </c>
      <c r="C1158" t="s">
        <v>3478</v>
      </c>
      <c r="D1158" t="str">
        <f>HYPERLINK("https://github.com/coupies-gmbh/android-sdk/issues/18","show")</f>
        <v>show</v>
      </c>
      <c r="E1158" t="str">
        <f>HYPERLINK("https://github.com/coupies-gmbh/android-sdk","show")</f>
        <v>show</v>
      </c>
      <c r="F1158" t="str">
        <f>HYPERLINK("https://github.com/coupies-gmbh/android-sdk/releases","show")</f>
        <v>show</v>
      </c>
    </row>
    <row r="1159" spans="1:6">
      <c r="A1159" t="s">
        <v>3479</v>
      </c>
      <c r="B1159" t="s">
        <v>3480</v>
      </c>
      <c r="C1159" t="s">
        <v>3481</v>
      </c>
      <c r="D1159" t="str">
        <f>HYPERLINK("https://github.com/dhis2msg/DHISmessenger/issues/12","show")</f>
        <v>show</v>
      </c>
      <c r="E1159" t="str">
        <f>HYPERLINK("https://github.com/dhis2msg/DHISmessenger","show")</f>
        <v>show</v>
      </c>
      <c r="F1159" t="str">
        <f>HYPERLINK("https://github.com/dhis2msg/DHISmessenger/releases","show")</f>
        <v>show</v>
      </c>
    </row>
    <row r="1160" spans="1:6">
      <c r="A1160" t="s">
        <v>3482</v>
      </c>
      <c r="B1160" t="s">
        <v>3483</v>
      </c>
      <c r="C1160" t="s">
        <v>3484</v>
      </c>
      <c r="D1160" t="str">
        <f>HYPERLINK("https://github.com/zhuowei/MCPELauncher/issues/365","show")</f>
        <v>show</v>
      </c>
      <c r="E1160" t="str">
        <f>HYPERLINK("https://github.com/zhuowei/MCPELauncher","show")</f>
        <v>show</v>
      </c>
      <c r="F1160" t="str">
        <f>HYPERLINK("https://github.com/zhuowei/MCPELauncher/releases","show")</f>
        <v>show</v>
      </c>
    </row>
    <row r="1161" spans="1:6">
      <c r="A1161" t="s">
        <v>3485</v>
      </c>
      <c r="B1161" t="s">
        <v>3486</v>
      </c>
      <c r="C1161" t="s">
        <v>3487</v>
      </c>
      <c r="D1161" t="str">
        <f>HYPERLINK("https://github.com/PanicInitiative/PanicButton/issues/136","show")</f>
        <v>show</v>
      </c>
      <c r="E1161" t="str">
        <f>HYPERLINK("https://github.com/PanicInitiative/PanicButton","show")</f>
        <v>show</v>
      </c>
      <c r="F1161" t="str">
        <f>HYPERLINK("https://github.com/PanicInitiative/PanicButton/releases","show")</f>
        <v>show</v>
      </c>
    </row>
    <row r="1162" spans="1:6">
      <c r="A1162" t="s">
        <v>3488</v>
      </c>
      <c r="B1162" t="s">
        <v>3489</v>
      </c>
      <c r="C1162" t="s">
        <v>3490</v>
      </c>
      <c r="D1162" t="str">
        <f>HYPERLINK("https://github.com/sriharshachilakapati/SilenceEngine/issues/54","show")</f>
        <v>show</v>
      </c>
      <c r="E1162" t="str">
        <f>HYPERLINK("https://github.com/sriharshachilakapati/SilenceEngine","show")</f>
        <v>show</v>
      </c>
      <c r="F1162" t="str">
        <f>HYPERLINK("https://github.com/sriharshachilakapati/SilenceEngine/releases","show")</f>
        <v>show</v>
      </c>
    </row>
    <row r="1163" spans="1:6">
      <c r="A1163" t="s">
        <v>3491</v>
      </c>
      <c r="B1163" t="s">
        <v>3492</v>
      </c>
      <c r="C1163" t="s">
        <v>3493</v>
      </c>
      <c r="D1163" t="str">
        <f>HYPERLINK("https://github.com/MirakelX/mirakel-android/issues/614","show")</f>
        <v>show</v>
      </c>
      <c r="E1163" t="str">
        <f>HYPERLINK("https://github.com/MirakelX/mirakel-android","show")</f>
        <v>show</v>
      </c>
      <c r="F1163" t="str">
        <f>HYPERLINK("https://github.com/MirakelX/mirakel-android/releases","show")</f>
        <v>show</v>
      </c>
    </row>
    <row r="1164" spans="1:6">
      <c r="A1164" t="s">
        <v>3494</v>
      </c>
      <c r="B1164" t="s">
        <v>3495</v>
      </c>
      <c r="C1164" t="s">
        <v>3496</v>
      </c>
      <c r="D1164" t="str">
        <f>HYPERLINK("https://github.com/zhuowei/MCPELauncher/issues/377","show")</f>
        <v>show</v>
      </c>
      <c r="E1164" t="str">
        <f>HYPERLINK("https://github.com/zhuowei/MCPELauncher","show")</f>
        <v>show</v>
      </c>
      <c r="F1164" t="str">
        <f>HYPERLINK("https://github.com/zhuowei/MCPELauncher/releases","show")</f>
        <v>show</v>
      </c>
    </row>
    <row r="1165" spans="1:6">
      <c r="A1165" t="s">
        <v>3497</v>
      </c>
      <c r="B1165" t="s">
        <v>3498</v>
      </c>
      <c r="C1165" t="s">
        <v>3499</v>
      </c>
      <c r="D1165" t="str">
        <f>HYPERLINK("https://github.com/Freeyourgadget/Gadgetbridge/issues/179","show")</f>
        <v>show</v>
      </c>
      <c r="E1165" t="str">
        <f>HYPERLINK("https://github.com/Freeyourgadget/Gadgetbridge","show")</f>
        <v>show</v>
      </c>
      <c r="F1165" t="str">
        <f>HYPERLINK("https://github.com/Freeyourgadget/Gadgetbridge/releases","show")</f>
        <v>show</v>
      </c>
    </row>
    <row r="1166" spans="1:6">
      <c r="A1166" t="s">
        <v>3500</v>
      </c>
      <c r="B1166" t="s">
        <v>3501</v>
      </c>
      <c r="C1166" t="s">
        <v>3502</v>
      </c>
      <c r="D1166" t="str">
        <f>HYPERLINK("https://github.com/wallabag/android-app/issues/154","show")</f>
        <v>show</v>
      </c>
      <c r="E1166" t="str">
        <f>HYPERLINK("https://github.com/wallabag/android-app","show")</f>
        <v>show</v>
      </c>
      <c r="F1166" t="str">
        <f>HYPERLINK("https://github.com/wallabag/android-app/releases","show")</f>
        <v>show</v>
      </c>
    </row>
    <row r="1167" spans="1:6">
      <c r="A1167" t="s">
        <v>3503</v>
      </c>
      <c r="B1167" t="s">
        <v>3504</v>
      </c>
      <c r="C1167" t="s">
        <v>3505</v>
      </c>
      <c r="D1167" t="str">
        <f>HYPERLINK("https://github.com/WOCHStudios/SoundBoard/issues/9","show")</f>
        <v>show</v>
      </c>
      <c r="E1167" t="str">
        <f>HYPERLINK("https://github.com/WOCHStudios/SoundBoard","show")</f>
        <v>show</v>
      </c>
      <c r="F1167" t="str">
        <f>HYPERLINK("https://github.com/WOCHStudios/SoundBoard/releases","show")</f>
        <v>show</v>
      </c>
    </row>
    <row r="1168" spans="1:6">
      <c r="A1168" t="s">
        <v>3506</v>
      </c>
      <c r="B1168" t="s">
        <v>3507</v>
      </c>
      <c r="C1168" t="s">
        <v>3508</v>
      </c>
      <c r="D1168" t="str">
        <f>HYPERLINK("https://github.com/zhuowei/MCPELauncher/issues/382","show")</f>
        <v>show</v>
      </c>
      <c r="E1168" t="str">
        <f>HYPERLINK("https://github.com/zhuowei/MCPELauncher","show")</f>
        <v>show</v>
      </c>
      <c r="F1168" t="str">
        <f>HYPERLINK("https://github.com/zhuowei/MCPELauncher/releases","show")</f>
        <v>show</v>
      </c>
    </row>
    <row r="1169" spans="1:6">
      <c r="A1169" t="s">
        <v>3509</v>
      </c>
      <c r="B1169" t="s">
        <v>3510</v>
      </c>
      <c r="C1169" t="s">
        <v>3511</v>
      </c>
      <c r="D1169" t="str">
        <f>HYPERLINK("https://github.com/gre/gl-react-native-v2/issues/41","show")</f>
        <v>show</v>
      </c>
      <c r="E1169" t="str">
        <f>HYPERLINK("https://github.com/gre/gl-react-native-v2","show")</f>
        <v>show</v>
      </c>
      <c r="F1169" t="str">
        <f>HYPERLINK("https://github.com/gre/gl-react-native-v2/releases","show")</f>
        <v>show</v>
      </c>
    </row>
    <row r="1170" spans="1:6">
      <c r="A1170" t="s">
        <v>3512</v>
      </c>
      <c r="B1170" t="s">
        <v>3513</v>
      </c>
      <c r="C1170" t="s">
        <v>3514</v>
      </c>
      <c r="D1170" t="str">
        <f>HYPERLINK("https://github.com/square/okhttp/issues/2068","show")</f>
        <v>show</v>
      </c>
      <c r="E1170" t="str">
        <f>HYPERLINK("https://github.com/square/okhttp","show")</f>
        <v>show</v>
      </c>
      <c r="F1170" t="str">
        <f>HYPERLINK("https://github.com/square/okhttp/releases","show")</f>
        <v>show</v>
      </c>
    </row>
    <row r="1171" spans="1:6">
      <c r="A1171" t="s">
        <v>3515</v>
      </c>
      <c r="B1171" t="s">
        <v>3516</v>
      </c>
      <c r="C1171" t="s">
        <v>3517</v>
      </c>
      <c r="D1171" t="str">
        <f>HYPERLINK("https://github.com/Freeyourgadget/Gadgetbridge/issues/182","show")</f>
        <v>show</v>
      </c>
      <c r="E1171" t="str">
        <f>HYPERLINK("https://github.com/Freeyourgadget/Gadgetbridge","show")</f>
        <v>show</v>
      </c>
      <c r="F1171" t="str">
        <f>HYPERLINK("https://github.com/Freeyourgadget/Gadgetbridge/releases","show")</f>
        <v>show</v>
      </c>
    </row>
    <row r="1172" spans="1:6">
      <c r="A1172" t="s">
        <v>3518</v>
      </c>
      <c r="B1172" t="s">
        <v>3519</v>
      </c>
      <c r="C1172" t="s">
        <v>3520</v>
      </c>
      <c r="D1172" t="str">
        <f>HYPERLINK("https://github.com/enviroCar/enviroCar-app/issues/274","show")</f>
        <v>show</v>
      </c>
      <c r="E1172" t="str">
        <f>HYPERLINK("https://github.com/enviroCar/enviroCar-app","show")</f>
        <v>show</v>
      </c>
      <c r="F1172" t="str">
        <f>HYPERLINK("https://github.com/enviroCar/enviroCar-app/releases","show")</f>
        <v>show</v>
      </c>
    </row>
    <row r="1173" spans="1:6">
      <c r="A1173" t="s">
        <v>3521</v>
      </c>
      <c r="B1173" t="s">
        <v>3522</v>
      </c>
      <c r="C1173" t="s">
        <v>3523</v>
      </c>
      <c r="D1173" t="str">
        <f>HYPERLINK("https://github.com/dimagi/commcare-android/issues/898","show")</f>
        <v>show</v>
      </c>
      <c r="E1173" t="str">
        <f>HYPERLINK("https://github.com/dimagi/commcare-android","show")</f>
        <v>show</v>
      </c>
      <c r="F1173" t="str">
        <f>HYPERLINK("https://github.com/dimagi/commcare-android/releases","show")</f>
        <v>show</v>
      </c>
    </row>
    <row r="1174" spans="1:6">
      <c r="A1174" t="s">
        <v>3524</v>
      </c>
      <c r="B1174" t="s">
        <v>3525</v>
      </c>
      <c r="C1174" t="s">
        <v>3526</v>
      </c>
      <c r="D1174" t="str">
        <f>HYPERLINK("https://github.com/CellularPrivacy/Android-IMSI-Catcher-Detector/issues/661","show")</f>
        <v>show</v>
      </c>
      <c r="E1174" t="str">
        <f>HYPERLINK("https://github.com/CellularPrivacy/Android-IMSI-Catcher-Detector","show")</f>
        <v>show</v>
      </c>
      <c r="F1174" t="str">
        <f>HYPERLINK("https://github.com/CellularPrivacy/Android-IMSI-Catcher-Detector/releases","show")</f>
        <v>show</v>
      </c>
    </row>
    <row r="1175" spans="1:6">
      <c r="A1175" t="s">
        <v>3527</v>
      </c>
      <c r="B1175" t="s">
        <v>3528</v>
      </c>
      <c r="C1175" t="s">
        <v>3529</v>
      </c>
      <c r="D1175" t="str">
        <f>HYPERLINK("https://github.com/ccrama/Slide/issues/715","show")</f>
        <v>show</v>
      </c>
      <c r="E1175" t="str">
        <f>HYPERLINK("https://github.com/ccrama/Slide","show")</f>
        <v>show</v>
      </c>
      <c r="F1175" t="str">
        <f>HYPERLINK("https://github.com/ccrama/Slide/releases","show")</f>
        <v>show</v>
      </c>
    </row>
    <row r="1176" spans="1:6">
      <c r="A1176" t="s">
        <v>3530</v>
      </c>
      <c r="B1176" t="s">
        <v>3531</v>
      </c>
      <c r="C1176" t="s">
        <v>3532</v>
      </c>
      <c r="D1176" t="str">
        <f>HYPERLINK("https://github.com/CellularPrivacy/Android-IMSI-Catcher-Detector/issues/677","show")</f>
        <v>show</v>
      </c>
      <c r="E1176" t="str">
        <f>HYPERLINK("https://github.com/CellularPrivacy/Android-IMSI-Catcher-Detector","show")</f>
        <v>show</v>
      </c>
      <c r="F1176" t="str">
        <f>HYPERLINK("https://github.com/CellularPrivacy/Android-IMSI-Catcher-Detector/releases","show")</f>
        <v>show</v>
      </c>
    </row>
    <row r="1177" spans="1:6">
      <c r="A1177" t="s">
        <v>3533</v>
      </c>
      <c r="B1177" t="s">
        <v>3534</v>
      </c>
      <c r="C1177" t="s">
        <v>3535</v>
      </c>
      <c r="D1177" t="str">
        <f>HYPERLINK("https://github.com/geopaparazzi/geopaparazzi/issues/301","show")</f>
        <v>show</v>
      </c>
      <c r="E1177" t="str">
        <f>HYPERLINK("https://github.com/geopaparazzi/geopaparazzi","show")</f>
        <v>show</v>
      </c>
      <c r="F1177" t="str">
        <f>HYPERLINK("https://github.com/geopaparazzi/geopaparazzi/releases","show")</f>
        <v>show</v>
      </c>
    </row>
    <row r="1178" spans="1:6">
      <c r="A1178" t="s">
        <v>3536</v>
      </c>
      <c r="B1178" t="s">
        <v>3537</v>
      </c>
      <c r="C1178" t="s">
        <v>3538</v>
      </c>
      <c r="D1178" t="str">
        <f>HYPERLINK("https://github.com/moravianlibrary/AndroidZoomifyViewer/issues/33","show")</f>
        <v>show</v>
      </c>
      <c r="E1178" t="str">
        <f>HYPERLINK("https://github.com/moravianlibrary/AndroidZoomifyViewer","show")</f>
        <v>show</v>
      </c>
      <c r="F1178" t="str">
        <f>HYPERLINK("https://github.com/moravianlibrary/AndroidZoomifyViewer/releases","show")</f>
        <v>show</v>
      </c>
    </row>
    <row r="1179" spans="1:6">
      <c r="A1179" t="s">
        <v>3539</v>
      </c>
      <c r="B1179" t="s">
        <v>3540</v>
      </c>
      <c r="C1179" t="s">
        <v>3541</v>
      </c>
      <c r="D1179" t="str">
        <f>HYPERLINK("https://github.com/moneymanagerex/android-money-manager-ex/issues/626","show")</f>
        <v>show</v>
      </c>
      <c r="E1179" t="str">
        <f>HYPERLINK("https://github.com/moneymanagerex/android-money-manager-ex","show")</f>
        <v>show</v>
      </c>
      <c r="F1179" t="str">
        <f>HYPERLINK("https://github.com/moneymanagerex/android-money-manager-ex/releases","show")</f>
        <v>show</v>
      </c>
    </row>
    <row r="1180" spans="1:6">
      <c r="A1180" t="s">
        <v>3542</v>
      </c>
      <c r="B1180" t="s">
        <v>3543</v>
      </c>
      <c r="C1180" t="s">
        <v>3544</v>
      </c>
      <c r="D1180" t="str">
        <f>HYPERLINK("https://github.com/google/physical-web/issues/576","show")</f>
        <v>show</v>
      </c>
      <c r="E1180" t="str">
        <f>HYPERLINK("https://github.com/google/physical-web","show")</f>
        <v>show</v>
      </c>
      <c r="F1180" t="str">
        <f>HYPERLINK("https://github.com/google/physical-web/releases","show")</f>
        <v>show</v>
      </c>
    </row>
    <row r="1181" spans="1:6">
      <c r="A1181" t="s">
        <v>3545</v>
      </c>
      <c r="B1181" t="s">
        <v>3546</v>
      </c>
      <c r="C1181" t="s">
        <v>3547</v>
      </c>
      <c r="D1181" t="str">
        <f>HYPERLINK("https://github.com/h6ah4i/android-advancedrecyclerview/issues/162","show")</f>
        <v>show</v>
      </c>
      <c r="E1181" t="str">
        <f>HYPERLINK("https://github.com/h6ah4i/android-advancedrecyclerview","show")</f>
        <v>show</v>
      </c>
      <c r="F1181" t="str">
        <f>HYPERLINK("https://github.com/h6ah4i/android-advancedrecyclerview/releases","show")</f>
        <v>show</v>
      </c>
    </row>
    <row r="1182" spans="1:6">
      <c r="A1182" t="s">
        <v>3548</v>
      </c>
      <c r="B1182" t="s">
        <v>3549</v>
      </c>
      <c r="C1182" t="s">
        <v>3550</v>
      </c>
      <c r="D1182" t="str">
        <f>HYPERLINK("https://github.com/google/ExoPlayer/issues/1049","show")</f>
        <v>show</v>
      </c>
      <c r="E1182" t="str">
        <f>HYPERLINK("https://github.com/google/ExoPlayer","show")</f>
        <v>show</v>
      </c>
      <c r="F1182" t="str">
        <f>HYPERLINK("https://github.com/google/ExoPlayer/releases","show")</f>
        <v>show</v>
      </c>
    </row>
    <row r="1183" spans="1:6">
      <c r="A1183" t="s">
        <v>3551</v>
      </c>
      <c r="B1183" t="s">
        <v>3552</v>
      </c>
      <c r="C1183" t="s">
        <v>3553</v>
      </c>
      <c r="D1183" t="str">
        <f>HYPERLINK("https://github.com/dhis2msg/DHISmessenger/issues/24","show")</f>
        <v>show</v>
      </c>
      <c r="E1183" t="str">
        <f>HYPERLINK("https://github.com/dhis2msg/DHISmessenger","show")</f>
        <v>show</v>
      </c>
      <c r="F1183" t="str">
        <f>HYPERLINK("https://github.com/dhis2msg/DHISmessenger/releases","show")</f>
        <v>show</v>
      </c>
    </row>
    <row r="1184" spans="1:6">
      <c r="A1184" t="s">
        <v>3554</v>
      </c>
      <c r="B1184" t="s">
        <v>3555</v>
      </c>
      <c r="C1184" t="s">
        <v>3556</v>
      </c>
      <c r="D1184" t="str">
        <f>HYPERLINK("https://github.com/syncthing/syncthing-android/issues/515","show")</f>
        <v>show</v>
      </c>
      <c r="E1184" t="str">
        <f>HYPERLINK("https://github.com/syncthing/syncthing-android","show")</f>
        <v>show</v>
      </c>
      <c r="F1184" t="str">
        <f>HYPERLINK("https://github.com/syncthing/syncthing-android/releases","show")</f>
        <v>show</v>
      </c>
    </row>
    <row r="1185" spans="1:6">
      <c r="A1185" t="s">
        <v>3557</v>
      </c>
      <c r="B1185" t="s">
        <v>3558</v>
      </c>
      <c r="C1185" t="s">
        <v>3559</v>
      </c>
      <c r="D1185" t="str">
        <f>HYPERLINK("https://github.com/NemProject/NEMAndroidApp/issues/43","show")</f>
        <v>show</v>
      </c>
      <c r="E1185" t="str">
        <f>HYPERLINK("https://github.com/NemProject/NEMAndroidApp","show")</f>
        <v>show</v>
      </c>
      <c r="F1185" t="str">
        <f>HYPERLINK("https://github.com/NemProject/NEMAndroidApp/releases","show")</f>
        <v>show</v>
      </c>
    </row>
    <row r="1186" spans="1:6">
      <c r="A1186" t="s">
        <v>3560</v>
      </c>
      <c r="B1186" t="s">
        <v>3561</v>
      </c>
      <c r="C1186" t="s">
        <v>3562</v>
      </c>
      <c r="D1186" t="str">
        <f>HYPERLINK("https://github.com/chandevel/Clover/issues/137","show")</f>
        <v>show</v>
      </c>
      <c r="E1186" t="str">
        <f>HYPERLINK("https://github.com/chandevel/Clover","show")</f>
        <v>show</v>
      </c>
      <c r="F1186" t="str">
        <f>HYPERLINK("https://github.com/chandevel/Clover/releases","show")</f>
        <v>show</v>
      </c>
    </row>
    <row r="1187" spans="1:6">
      <c r="A1187" t="s">
        <v>3563</v>
      </c>
      <c r="B1187" t="s">
        <v>3564</v>
      </c>
      <c r="C1187" t="s">
        <v>3565</v>
      </c>
      <c r="D1187" t="str">
        <f>HYPERLINK("https://github.com/syncthing/syncthing-android/issues/518","show")</f>
        <v>show</v>
      </c>
      <c r="E1187" t="str">
        <f>HYPERLINK("https://github.com/syncthing/syncthing-android","show")</f>
        <v>show</v>
      </c>
      <c r="F1187" t="str">
        <f>HYPERLINK("https://github.com/syncthing/syncthing-android/releases","show")</f>
        <v>show</v>
      </c>
    </row>
    <row r="1188" spans="1:6">
      <c r="A1188" t="s">
        <v>3566</v>
      </c>
      <c r="B1188" t="s">
        <v>3567</v>
      </c>
      <c r="C1188" t="s">
        <v>3568</v>
      </c>
      <c r="D1188" t="str">
        <f>HYPERLINK("https://github.com/vickychijwani/udacity-p1-p2-popular-movies/issues/20","show")</f>
        <v>show</v>
      </c>
      <c r="E1188" t="str">
        <f>HYPERLINK("https://github.com/vickychijwani/udacity-p1-p2-popular-movies","show")</f>
        <v>show</v>
      </c>
      <c r="F1188" t="str">
        <f>HYPERLINK("https://github.com/vickychijwani/udacity-p1-p2-popular-movies/releases","show")</f>
        <v>show</v>
      </c>
    </row>
    <row r="1189" spans="1:6">
      <c r="A1189" t="s">
        <v>3569</v>
      </c>
      <c r="B1189" t="s">
        <v>3570</v>
      </c>
      <c r="C1189" t="s">
        <v>3571</v>
      </c>
      <c r="D1189" t="str">
        <f>HYPERLINK("https://github.com/vickychijwani/udacity-p1-p2-popular-movies/issues/19","show")</f>
        <v>show</v>
      </c>
      <c r="E1189" t="str">
        <f>HYPERLINK("https://github.com/vickychijwani/udacity-p1-p2-popular-movies","show")</f>
        <v>show</v>
      </c>
      <c r="F1189" t="str">
        <f>HYPERLINK("https://github.com/vickychijwani/udacity-p1-p2-popular-movies/releases","show")</f>
        <v>show</v>
      </c>
    </row>
    <row r="1190" spans="1:6">
      <c r="A1190" t="s">
        <v>3572</v>
      </c>
      <c r="B1190" t="s">
        <v>3573</v>
      </c>
      <c r="C1190" t="s">
        <v>3574</v>
      </c>
      <c r="D1190" t="str">
        <f>HYPERLINK("https://github.com/JoanZapata/android-iconify/issues/145","show")</f>
        <v>show</v>
      </c>
      <c r="E1190" t="str">
        <f>HYPERLINK("https://github.com/JoanZapata/android-iconify","show")</f>
        <v>show</v>
      </c>
      <c r="F1190" t="str">
        <f>HYPERLINK("https://github.com/JoanZapata/android-iconify/releases","show")</f>
        <v>show</v>
      </c>
    </row>
    <row r="1191" spans="1:6">
      <c r="A1191" t="s">
        <v>3575</v>
      </c>
      <c r="B1191" t="s">
        <v>3576</v>
      </c>
      <c r="C1191" t="s">
        <v>3577</v>
      </c>
      <c r="D1191" t="str">
        <f>HYPERLINK("https://github.com/zhuowei/MCPELauncher/issues/409","show")</f>
        <v>show</v>
      </c>
      <c r="E1191" t="str">
        <f>HYPERLINK("https://github.com/zhuowei/MCPELauncher","show")</f>
        <v>show</v>
      </c>
      <c r="F1191" t="str">
        <f>HYPERLINK("https://github.com/zhuowei/MCPELauncher/releases","show")</f>
        <v>show</v>
      </c>
    </row>
    <row r="1192" spans="1:6">
      <c r="A1192" t="s">
        <v>3578</v>
      </c>
      <c r="B1192" t="s">
        <v>3579</v>
      </c>
      <c r="C1192" t="s">
        <v>3580</v>
      </c>
      <c r="D1192" t="str">
        <f>HYPERLINK("https://github.com/lyft/scoop/issues/4","show")</f>
        <v>show</v>
      </c>
      <c r="E1192" t="str">
        <f>HYPERLINK("https://github.com/lyft/scoop","show")</f>
        <v>show</v>
      </c>
      <c r="F1192" t="str">
        <f>HYPERLINK("https://github.com/lyft/scoop/releases","show")</f>
        <v>show</v>
      </c>
    </row>
    <row r="1193" spans="1:6">
      <c r="A1193" t="s">
        <v>3581</v>
      </c>
      <c r="B1193" t="s">
        <v>3582</v>
      </c>
      <c r="C1193" t="s">
        <v>3583</v>
      </c>
      <c r="D1193" t="str">
        <f>HYPERLINK("https://github.com/Keidan/CellHistory/issues/10","show")</f>
        <v>show</v>
      </c>
      <c r="E1193" t="str">
        <f>HYPERLINK("https://github.com/Keidan/CellHistory","show")</f>
        <v>show</v>
      </c>
      <c r="F1193" t="str">
        <f>HYPERLINK("https://github.com/Keidan/CellHistory/releases","show")</f>
        <v>show</v>
      </c>
    </row>
    <row r="1194" spans="1:6">
      <c r="A1194" t="s">
        <v>3584</v>
      </c>
      <c r="B1194" t="s">
        <v>3585</v>
      </c>
      <c r="C1194" t="s">
        <v>3586</v>
      </c>
      <c r="D1194" t="str">
        <f>HYPERLINK("https://github.com/zhuowei/MCPELauncher/issues/414","show")</f>
        <v>show</v>
      </c>
      <c r="E1194" t="str">
        <f>HYPERLINK("https://github.com/zhuowei/MCPELauncher","show")</f>
        <v>show</v>
      </c>
      <c r="F1194" t="str">
        <f>HYPERLINK("https://github.com/zhuowei/MCPELauncher/releases","show")</f>
        <v>show</v>
      </c>
    </row>
    <row r="1195" spans="1:6">
      <c r="A1195" t="s">
        <v>3587</v>
      </c>
      <c r="B1195" t="s">
        <v>3588</v>
      </c>
      <c r="C1195" t="s">
        <v>3589</v>
      </c>
      <c r="D1195" t="str">
        <f>HYPERLINK("https://github.com/cSploit/android/issues/541","show")</f>
        <v>show</v>
      </c>
      <c r="E1195" t="str">
        <f>HYPERLINK("https://github.com/cSploit/android","show")</f>
        <v>show</v>
      </c>
      <c r="F1195" t="str">
        <f>HYPERLINK("https://github.com/cSploit/android/releases","show")</f>
        <v>show</v>
      </c>
    </row>
    <row r="1196" spans="1:6">
      <c r="A1196" t="s">
        <v>3590</v>
      </c>
      <c r="B1196" t="s">
        <v>3591</v>
      </c>
      <c r="C1196" t="s">
        <v>3592</v>
      </c>
      <c r="D1196" t="str">
        <f>HYPERLINK("https://github.com/square/okhttp/issues/2119","show")</f>
        <v>show</v>
      </c>
      <c r="E1196" t="str">
        <f>HYPERLINK("https://github.com/square/okhttp","show")</f>
        <v>show</v>
      </c>
      <c r="F1196" t="str">
        <f>HYPERLINK("https://github.com/square/okhttp/releases","show")</f>
        <v>show</v>
      </c>
    </row>
    <row r="1197" spans="1:6">
      <c r="A1197" t="s">
        <v>3593</v>
      </c>
      <c r="B1197" t="s">
        <v>3594</v>
      </c>
      <c r="C1197" t="s">
        <v>3595</v>
      </c>
      <c r="D1197" t="str">
        <f>HYPERLINK("https://github.com/NemProject/NEMAndroidApp/issues/51","show")</f>
        <v>show</v>
      </c>
      <c r="E1197" t="str">
        <f>HYPERLINK("https://github.com/NemProject/NEMAndroidApp","show")</f>
        <v>show</v>
      </c>
      <c r="F1197" t="str">
        <f>HYPERLINK("https://github.com/NemProject/NEMAndroidApp/releases","show")</f>
        <v>show</v>
      </c>
    </row>
    <row r="1198" spans="1:6">
      <c r="A1198" t="s">
        <v>3596</v>
      </c>
      <c r="B1198" t="s">
        <v>3597</v>
      </c>
      <c r="C1198" t="s">
        <v>3598</v>
      </c>
      <c r="D1198" t="str">
        <f>HYPERLINK("https://github.com/NemProject/NEMAndroidApp/issues/48","show")</f>
        <v>show</v>
      </c>
      <c r="E1198" t="str">
        <f>HYPERLINK("https://github.com/NemProject/NEMAndroidApp","show")</f>
        <v>show</v>
      </c>
      <c r="F1198" t="str">
        <f>HYPERLINK("https://github.com/NemProject/NEMAndroidApp/releases","show")</f>
        <v>show</v>
      </c>
    </row>
    <row r="1199" spans="1:6">
      <c r="A1199" t="s">
        <v>3599</v>
      </c>
      <c r="B1199" t="s">
        <v>3600</v>
      </c>
      <c r="C1199" t="s">
        <v>3601</v>
      </c>
      <c r="D1199" t="str">
        <f>HYPERLINK("https://github.com/SandroMachado/openalpr-android/issues/5","show")</f>
        <v>show</v>
      </c>
      <c r="E1199" t="str">
        <f>HYPERLINK("https://github.com/SandroMachado/openalpr-android","show")</f>
        <v>show</v>
      </c>
      <c r="F1199" t="str">
        <f>HYPERLINK("https://github.com/SandroMachado/openalpr-android/releases","show")</f>
        <v>show</v>
      </c>
    </row>
    <row r="1200" spans="1:6">
      <c r="A1200" t="s">
        <v>3602</v>
      </c>
      <c r="B1200" t="s">
        <v>3603</v>
      </c>
      <c r="C1200" t="s">
        <v>3604</v>
      </c>
      <c r="D1200" t="str">
        <f>HYPERLINK("https://github.com/NemProject/NEMAndroidApp/issues/60","show")</f>
        <v>show</v>
      </c>
      <c r="E1200" t="str">
        <f>HYPERLINK("https://github.com/NemProject/NEMAndroidApp","show")</f>
        <v>show</v>
      </c>
      <c r="F1200" t="str">
        <f>HYPERLINK("https://github.com/NemProject/NEMAndroidApp/releases","show")</f>
        <v>show</v>
      </c>
    </row>
    <row r="1201" spans="1:6">
      <c r="A1201" t="s">
        <v>3605</v>
      </c>
      <c r="B1201" t="s">
        <v>3606</v>
      </c>
      <c r="C1201" t="s">
        <v>3607</v>
      </c>
      <c r="D1201" t="str">
        <f>HYPERLINK("https://github.com/mauron85/cordova-plugin-background-geolocation/issues/21","show")</f>
        <v>show</v>
      </c>
      <c r="E1201" t="str">
        <f>HYPERLINK("https://github.com/mauron85/cordova-plugin-background-geolocation","show")</f>
        <v>show</v>
      </c>
      <c r="F1201" t="str">
        <f>HYPERLINK("https://github.com/mauron85/cordova-plugin-background-geolocation/releases","show")</f>
        <v>show</v>
      </c>
    </row>
    <row r="1202" spans="1:6">
      <c r="A1202" t="s">
        <v>3608</v>
      </c>
      <c r="B1202" t="s">
        <v>3609</v>
      </c>
      <c r="C1202" t="s">
        <v>3610</v>
      </c>
      <c r="D1202" t="str">
        <f>HYPERLINK("https://github.com/zhuowei/MCPELauncher/issues/418","show")</f>
        <v>show</v>
      </c>
      <c r="E1202" t="str">
        <f>HYPERLINK("https://github.com/zhuowei/MCPELauncher","show")</f>
        <v>show</v>
      </c>
      <c r="F1202" t="str">
        <f>HYPERLINK("https://github.com/zhuowei/MCPELauncher/releases","show")</f>
        <v>show</v>
      </c>
    </row>
    <row r="1203" spans="1:6">
      <c r="A1203" t="s">
        <v>3611</v>
      </c>
      <c r="B1203" t="s">
        <v>3612</v>
      </c>
      <c r="C1203" t="s">
        <v>3613</v>
      </c>
      <c r="D1203" t="str">
        <f>HYPERLINK("https://github.com/popeen/Booksonic-App/issues/9","show")</f>
        <v>show</v>
      </c>
      <c r="E1203" t="str">
        <f>HYPERLINK("https://github.com/popeen/Booksonic-App","show")</f>
        <v>show</v>
      </c>
      <c r="F1203" t="str">
        <f>HYPERLINK("https://github.com/popeen/Booksonic-App/releases","show")</f>
        <v>show</v>
      </c>
    </row>
    <row r="1204" spans="1:6">
      <c r="A1204" t="s">
        <v>3614</v>
      </c>
      <c r="B1204" t="s">
        <v>3615</v>
      </c>
      <c r="C1204" t="s">
        <v>3616</v>
      </c>
      <c r="D1204" t="str">
        <f>HYPERLINK("https://github.com/opensrp/opensrp-client/issues/120","show")</f>
        <v>show</v>
      </c>
      <c r="E1204" t="str">
        <f>HYPERLINK("https://github.com/opensrp/opensrp-client","show")</f>
        <v>show</v>
      </c>
      <c r="F1204" t="str">
        <f>HYPERLINK("https://github.com/opensrp/opensrp-client/releases","show")</f>
        <v>show</v>
      </c>
    </row>
    <row r="1205" spans="1:6">
      <c r="A1205" t="s">
        <v>3617</v>
      </c>
      <c r="B1205" t="s">
        <v>3618</v>
      </c>
      <c r="C1205" t="s">
        <v>3619</v>
      </c>
      <c r="D1205" t="str">
        <f>HYPERLINK("https://github.com/dimagi/commcare-android/issues/925","show")</f>
        <v>show</v>
      </c>
      <c r="E1205" t="str">
        <f>HYPERLINK("https://github.com/dimagi/commcare-android","show")</f>
        <v>show</v>
      </c>
      <c r="F1205" t="str">
        <f>HYPERLINK("https://github.com/dimagi/commcare-android/releases","show")</f>
        <v>show</v>
      </c>
    </row>
    <row r="1206" spans="1:6">
      <c r="A1206" t="s">
        <v>3620</v>
      </c>
      <c r="B1206" t="s">
        <v>3621</v>
      </c>
      <c r="C1206" t="s">
        <v>3622</v>
      </c>
      <c r="D1206" t="str">
        <f>HYPERLINK("https://github.com/dimagi/commcare-android/issues/924","show")</f>
        <v>show</v>
      </c>
      <c r="E1206" t="str">
        <f>HYPERLINK("https://github.com/dimagi/commcare-android","show")</f>
        <v>show</v>
      </c>
      <c r="F1206" t="str">
        <f>HYPERLINK("https://github.com/dimagi/commcare-android/releases","show")</f>
        <v>show</v>
      </c>
    </row>
    <row r="1207" spans="1:6">
      <c r="A1207" t="s">
        <v>3623</v>
      </c>
      <c r="B1207" t="s">
        <v>3624</v>
      </c>
      <c r="C1207" t="s">
        <v>3625</v>
      </c>
      <c r="D1207" t="str">
        <f>HYPERLINK("https://github.com/NemProject/NEMAndroidApp/issues/62","show")</f>
        <v>show</v>
      </c>
      <c r="E1207" t="str">
        <f>HYPERLINK("https://github.com/NemProject/NEMAndroidApp","show")</f>
        <v>show</v>
      </c>
      <c r="F1207" t="str">
        <f>HYPERLINK("https://github.com/NemProject/NEMAndroidApp/releases","show")</f>
        <v>show</v>
      </c>
    </row>
    <row r="1208" spans="1:6">
      <c r="A1208" t="s">
        <v>3626</v>
      </c>
      <c r="B1208" t="s">
        <v>3627</v>
      </c>
      <c r="C1208" t="s">
        <v>3628</v>
      </c>
      <c r="D1208" t="str">
        <f>HYPERLINK("https://github.com/android10/Android-CleanArchitecture/issues/92","show")</f>
        <v>show</v>
      </c>
      <c r="E1208" t="str">
        <f>HYPERLINK("https://github.com/android10/Android-CleanArchitecture","show")</f>
        <v>show</v>
      </c>
      <c r="F1208" t="str">
        <f>HYPERLINK("https://github.com/android10/Android-CleanArchitecture/releases","show")</f>
        <v>show</v>
      </c>
    </row>
    <row r="1209" spans="1:6">
      <c r="A1209" t="s">
        <v>3629</v>
      </c>
      <c r="B1209" t="s">
        <v>3630</v>
      </c>
      <c r="C1209" t="s">
        <v>3631</v>
      </c>
      <c r="D1209" t="str">
        <f>HYPERLINK("https://github.com/DroidPluginTeam/DroidPlugin/issues/106","show")</f>
        <v>show</v>
      </c>
      <c r="E1209" t="str">
        <f>HYPERLINK("https://github.com/DroidPluginTeam/DroidPlugin","show")</f>
        <v>show</v>
      </c>
      <c r="F1209" t="str">
        <f>HYPERLINK("https://github.com/DroidPluginTeam/DroidPlugin/releases","show")</f>
        <v>show</v>
      </c>
    </row>
    <row r="1210" spans="1:6">
      <c r="A1210" t="s">
        <v>3632</v>
      </c>
      <c r="B1210" t="s">
        <v>107</v>
      </c>
      <c r="C1210" t="s">
        <v>3633</v>
      </c>
      <c r="D1210" t="str">
        <f>HYPERLINK("https://github.com/zhuowei/MCPELauncher/issues/439","show")</f>
        <v>show</v>
      </c>
      <c r="E1210" t="str">
        <f>HYPERLINK("https://github.com/zhuowei/MCPELauncher","show")</f>
        <v>show</v>
      </c>
      <c r="F1210" t="str">
        <f>HYPERLINK("https://github.com/zhuowei/MCPELauncher/releases","show")</f>
        <v>show</v>
      </c>
    </row>
    <row r="1211" spans="1:6">
      <c r="A1211" t="s">
        <v>3634</v>
      </c>
      <c r="B1211" t="s">
        <v>3635</v>
      </c>
      <c r="C1211" t="s">
        <v>3636</v>
      </c>
      <c r="D1211" t="str">
        <f>HYPERLINK("https://github.com/zhuowei/MCPELauncher/issues/442","show")</f>
        <v>show</v>
      </c>
      <c r="E1211" t="str">
        <f>HYPERLINK("https://github.com/zhuowei/MCPELauncher","show")</f>
        <v>show</v>
      </c>
      <c r="F1211" t="str">
        <f>HYPERLINK("https://github.com/zhuowei/MCPELauncher/releases","show")</f>
        <v>show</v>
      </c>
    </row>
    <row r="1212" spans="1:6">
      <c r="A1212" t="s">
        <v>3637</v>
      </c>
      <c r="B1212" t="s">
        <v>3638</v>
      </c>
      <c r="C1212" t="s">
        <v>3639</v>
      </c>
      <c r="D1212" t="str">
        <f>HYPERLINK("https://github.com/zhuowei/MCPELauncher/issues/440","show")</f>
        <v>show</v>
      </c>
      <c r="E1212" t="str">
        <f>HYPERLINK("https://github.com/zhuowei/MCPELauncher","show")</f>
        <v>show</v>
      </c>
      <c r="F1212" t="str">
        <f>HYPERLINK("https://github.com/zhuowei/MCPELauncher/releases","show")</f>
        <v>show</v>
      </c>
    </row>
    <row r="1213" spans="1:6">
      <c r="A1213" t="s">
        <v>3640</v>
      </c>
      <c r="B1213" t="s">
        <v>3641</v>
      </c>
      <c r="C1213" t="s">
        <v>3642</v>
      </c>
      <c r="D1213" t="str">
        <f>HYPERLINK("https://github.com/MrRobotto/MrRobotto/issues/36","show")</f>
        <v>show</v>
      </c>
      <c r="E1213" t="str">
        <f>HYPERLINK("https://github.com/MrRobotto/MrRobotto","show")</f>
        <v>show</v>
      </c>
      <c r="F1213" t="str">
        <f>HYPERLINK("https://github.com/MrRobotto/MrRobotto/releases","show")</f>
        <v>show</v>
      </c>
    </row>
    <row r="1214" spans="1:6">
      <c r="A1214" t="s">
        <v>3643</v>
      </c>
      <c r="B1214" t="s">
        <v>3644</v>
      </c>
      <c r="C1214" t="s">
        <v>3645</v>
      </c>
      <c r="D1214" t="str">
        <f>HYPERLINK("https://github.com/kontalk/androidclient/issues/612","show")</f>
        <v>show</v>
      </c>
      <c r="E1214" t="str">
        <f>HYPERLINK("https://github.com/kontalk/androidclient","show")</f>
        <v>show</v>
      </c>
      <c r="F1214" t="str">
        <f>HYPERLINK("https://github.com/kontalk/androidclient/releases","show")</f>
        <v>show</v>
      </c>
    </row>
    <row r="1215" spans="1:6">
      <c r="A1215" t="s">
        <v>3646</v>
      </c>
      <c r="B1215" t="s">
        <v>3647</v>
      </c>
      <c r="C1215" t="s">
        <v>3648</v>
      </c>
      <c r="D1215" t="str">
        <f>HYPERLINK("https://github.com/dimagi/commcare-android/issues/929","show")</f>
        <v>show</v>
      </c>
      <c r="E1215" t="str">
        <f>HYPERLINK("https://github.com/dimagi/commcare-android","show")</f>
        <v>show</v>
      </c>
      <c r="F1215" t="str">
        <f>HYPERLINK("https://github.com/dimagi/commcare-android/releases","show")</f>
        <v>show</v>
      </c>
    </row>
    <row r="1216" spans="1:6">
      <c r="A1216" t="s">
        <v>3649</v>
      </c>
      <c r="B1216" t="s">
        <v>3650</v>
      </c>
      <c r="C1216" t="s">
        <v>3651</v>
      </c>
      <c r="D1216" t="str">
        <f>HYPERLINK("https://github.com/posm/OpenMapKitAndroid/issues/113","show")</f>
        <v>show</v>
      </c>
      <c r="E1216" t="str">
        <f>HYPERLINK("https://github.com/posm/OpenMapKitAndroid","show")</f>
        <v>show</v>
      </c>
      <c r="F1216" t="str">
        <f>HYPERLINK("https://github.com/posm/OpenMapKitAndroid/releases","show")</f>
        <v>show</v>
      </c>
    </row>
    <row r="1217" spans="1:6">
      <c r="A1217" t="s">
        <v>3652</v>
      </c>
      <c r="B1217" t="s">
        <v>3653</v>
      </c>
      <c r="C1217" t="s">
        <v>3654</v>
      </c>
      <c r="D1217" t="str">
        <f>HYPERLINK("https://github.com/fossilet/carmen-android/issues/9","show")</f>
        <v>show</v>
      </c>
      <c r="E1217" t="str">
        <f>HYPERLINK("https://github.com/fossilet/carmen-android","show")</f>
        <v>show</v>
      </c>
      <c r="F1217" t="str">
        <f>HYPERLINK("https://github.com/fossilet/carmen-android/releases","show")</f>
        <v>show</v>
      </c>
    </row>
    <row r="1218" spans="1:6">
      <c r="A1218" t="s">
        <v>3655</v>
      </c>
      <c r="B1218" t="s">
        <v>3656</v>
      </c>
      <c r="C1218" t="s">
        <v>3657</v>
      </c>
      <c r="D1218" t="str">
        <f>HYPERLINK("https://github.com/jimgong3/SoCo/issues/29","show")</f>
        <v>show</v>
      </c>
      <c r="E1218" t="str">
        <f>HYPERLINK("https://github.com/jimgong3/SoCo","show")</f>
        <v>show</v>
      </c>
      <c r="F1218" t="str">
        <f>HYPERLINK("https://github.com/jimgong3/SoCo/releases","show")</f>
        <v>show</v>
      </c>
    </row>
    <row r="1219" spans="1:6">
      <c r="A1219" t="s">
        <v>3658</v>
      </c>
      <c r="B1219" t="s">
        <v>3659</v>
      </c>
      <c r="C1219" t="s">
        <v>3660</v>
      </c>
      <c r="D1219" t="str">
        <f>HYPERLINK("https://github.com/nitaliano/react-native-mapbox-gl/issues/215","show")</f>
        <v>show</v>
      </c>
      <c r="E1219" t="str">
        <f>HYPERLINK("https://github.com/nitaliano/react-native-mapbox-gl","show")</f>
        <v>show</v>
      </c>
      <c r="F1219" t="str">
        <f>HYPERLINK("https://github.com/nitaliano/react-native-mapbox-gl/releases","show")</f>
        <v>show</v>
      </c>
    </row>
    <row r="1220" spans="1:6">
      <c r="A1220" t="s">
        <v>3661</v>
      </c>
      <c r="B1220" t="s">
        <v>3662</v>
      </c>
      <c r="C1220" t="s">
        <v>3663</v>
      </c>
      <c r="D1220" t="str">
        <f>HYPERLINK("https://github.com/ai212983/android-spinnerwheel/issues/64","show")</f>
        <v>show</v>
      </c>
      <c r="E1220" t="str">
        <f>HYPERLINK("https://github.com/ai212983/android-spinnerwheel","show")</f>
        <v>show</v>
      </c>
      <c r="F1220" t="str">
        <f>HYPERLINK("https://github.com/ai212983/android-spinnerwheel/releases","show")</f>
        <v>show</v>
      </c>
    </row>
    <row r="1221" spans="1:6">
      <c r="A1221" t="s">
        <v>3664</v>
      </c>
      <c r="B1221" t="s">
        <v>3665</v>
      </c>
      <c r="C1221" t="s">
        <v>3666</v>
      </c>
      <c r="D1221" t="str">
        <f>HYPERLINK("https://github.com/CellularPrivacy/Android-IMSI-Catcher-Detector/issues/737","show")</f>
        <v>show</v>
      </c>
      <c r="E1221" t="str">
        <f>HYPERLINK("https://github.com/CellularPrivacy/Android-IMSI-Catcher-Detector","show")</f>
        <v>show</v>
      </c>
      <c r="F1221" t="str">
        <f>HYPERLINK("https://github.com/CellularPrivacy/Android-IMSI-Catcher-Detector/releases","show")</f>
        <v>show</v>
      </c>
    </row>
    <row r="1222" spans="1:6">
      <c r="A1222" t="s">
        <v>3667</v>
      </c>
      <c r="B1222" t="s">
        <v>3668</v>
      </c>
      <c r="C1222" t="s">
        <v>3669</v>
      </c>
      <c r="D1222" t="str">
        <f>HYPERLINK("https://github.com/open-keychain/open-keychain/issues/1654","show")</f>
        <v>show</v>
      </c>
      <c r="E1222" t="str">
        <f>HYPERLINK("https://github.com/open-keychain/open-keychain","show")</f>
        <v>show</v>
      </c>
      <c r="F1222" t="str">
        <f>HYPERLINK("https://github.com/open-keychain/open-keychain/releases","show")</f>
        <v>show</v>
      </c>
    </row>
    <row r="1223" spans="1:6">
      <c r="A1223" t="s">
        <v>3670</v>
      </c>
      <c r="B1223" t="s">
        <v>3671</v>
      </c>
      <c r="C1223" t="s">
        <v>3672</v>
      </c>
      <c r="D1223" t="str">
        <f>HYPERLINK("https://github.com/ankidroid/Anki-Android/issues/4035","show")</f>
        <v>show</v>
      </c>
      <c r="E1223" t="str">
        <f>HYPERLINK("https://github.com/ankidroid/Anki-Android","show")</f>
        <v>show</v>
      </c>
      <c r="F1223" t="str">
        <f>HYPERLINK("https://github.com/ankidroid/Anki-Android/releases","show")</f>
        <v>show</v>
      </c>
    </row>
    <row r="1224" spans="1:6">
      <c r="A1224" t="s">
        <v>3673</v>
      </c>
      <c r="B1224" t="s">
        <v>3674</v>
      </c>
      <c r="C1224" t="s">
        <v>3675</v>
      </c>
      <c r="D1224" t="str">
        <f>HYPERLINK("https://github.com/CellularPrivacy/Android-IMSI-Catcher-Detector/issues/741","show")</f>
        <v>show</v>
      </c>
      <c r="E1224" t="str">
        <f>HYPERLINK("https://github.com/CellularPrivacy/Android-IMSI-Catcher-Detector","show")</f>
        <v>show</v>
      </c>
      <c r="F1224" t="str">
        <f>HYPERLINK("https://github.com/CellularPrivacy/Android-IMSI-Catcher-Detector/releases","show")</f>
        <v>show</v>
      </c>
    </row>
    <row r="1225" spans="1:6">
      <c r="A1225" t="s">
        <v>3676</v>
      </c>
      <c r="B1225" t="s">
        <v>3677</v>
      </c>
      <c r="C1225" t="s">
        <v>3678</v>
      </c>
      <c r="D1225" t="str">
        <f>HYPERLINK("https://github.com/ccrama/Slide/issues/743","show")</f>
        <v>show</v>
      </c>
      <c r="E1225" t="str">
        <f>HYPERLINK("https://github.com/ccrama/Slide","show")</f>
        <v>show</v>
      </c>
      <c r="F1225" t="str">
        <f>HYPERLINK("https://github.com/ccrama/Slide/releases","show")</f>
        <v>show</v>
      </c>
    </row>
    <row r="1226" spans="1:6">
      <c r="A1226" t="s">
        <v>3679</v>
      </c>
      <c r="B1226" t="s">
        <v>3680</v>
      </c>
      <c r="C1226" t="s">
        <v>3681</v>
      </c>
      <c r="D1226" t="str">
        <f>HYPERLINK("https://github.com/theksmith/CarBusInterface/issues/10","show")</f>
        <v>show</v>
      </c>
      <c r="E1226" t="str">
        <f>HYPERLINK("https://github.com/theksmith/CarBusInterface","show")</f>
        <v>show</v>
      </c>
      <c r="F1226" t="str">
        <f>HYPERLINK("https://github.com/theksmith/CarBusInterface/releases","show")</f>
        <v>show</v>
      </c>
    </row>
    <row r="1227" spans="1:6">
      <c r="A1227" t="s">
        <v>3682</v>
      </c>
      <c r="B1227" t="s">
        <v>3683</v>
      </c>
      <c r="C1227" t="s">
        <v>3684</v>
      </c>
      <c r="D1227" t="str">
        <f>HYPERLINK("https://github.com/futurice/vor/issues/46","show")</f>
        <v>show</v>
      </c>
      <c r="E1227" t="str">
        <f>HYPERLINK("https://github.com/futurice/vor","show")</f>
        <v>show</v>
      </c>
      <c r="F1227" t="str">
        <f>HYPERLINK("https://github.com/futurice/vor/releases","show")</f>
        <v>show</v>
      </c>
    </row>
    <row r="1228" spans="1:6">
      <c r="A1228" t="s">
        <v>3685</v>
      </c>
      <c r="B1228" t="s">
        <v>3686</v>
      </c>
      <c r="C1228" t="s">
        <v>3687</v>
      </c>
      <c r="D1228" t="str">
        <f>HYPERLINK("https://github.com/dimagi/commcare-android/issues/959","show")</f>
        <v>show</v>
      </c>
      <c r="E1228" t="str">
        <f>HYPERLINK("https://github.com/dimagi/commcare-android","show")</f>
        <v>show</v>
      </c>
      <c r="F1228" t="str">
        <f>HYPERLINK("https://github.com/dimagi/commcare-android/releases","show")</f>
        <v>show</v>
      </c>
    </row>
    <row r="1229" spans="1:6">
      <c r="A1229" t="s">
        <v>3688</v>
      </c>
      <c r="B1229" t="s">
        <v>3689</v>
      </c>
      <c r="C1229" t="s">
        <v>3690</v>
      </c>
      <c r="D1229" t="str">
        <f>HYPERLINK("https://github.com/osmdroid/osmdroid/issues/235","show")</f>
        <v>show</v>
      </c>
      <c r="E1229" t="str">
        <f>HYPERLINK("https://github.com/osmdroid/osmdroid","show")</f>
        <v>show</v>
      </c>
      <c r="F1229" t="str">
        <f>HYPERLINK("https://github.com/osmdroid/osmdroid/releases","show")</f>
        <v>show</v>
      </c>
    </row>
    <row r="1230" spans="1:6">
      <c r="A1230" t="s">
        <v>3691</v>
      </c>
      <c r="B1230" t="s">
        <v>3692</v>
      </c>
      <c r="C1230" t="s">
        <v>3693</v>
      </c>
      <c r="D1230" t="str">
        <f>HYPERLINK("https://github.com/TeamNewPipe/NewPipe/issues/148","show")</f>
        <v>show</v>
      </c>
      <c r="E1230" t="str">
        <f>HYPERLINK("https://github.com/TeamNewPipe/NewPipe","show")</f>
        <v>show</v>
      </c>
      <c r="F1230" t="str">
        <f>HYPERLINK("https://github.com/TeamNewPipe/NewPipe/releases","show")</f>
        <v>show</v>
      </c>
    </row>
    <row r="1231" spans="1:6">
      <c r="A1231" t="s">
        <v>3694</v>
      </c>
      <c r="B1231" t="s">
        <v>3695</v>
      </c>
      <c r="C1231" t="s">
        <v>3696</v>
      </c>
      <c r="D1231" t="str">
        <f>HYPERLINK("https://github.com/dimagi/commcare-android/issues/962","show")</f>
        <v>show</v>
      </c>
      <c r="E1231" t="str">
        <f>HYPERLINK("https://github.com/dimagi/commcare-android","show")</f>
        <v>show</v>
      </c>
      <c r="F1231" t="str">
        <f>HYPERLINK("https://github.com/dimagi/commcare-android/releases","show")</f>
        <v>show</v>
      </c>
    </row>
    <row r="1232" spans="1:6">
      <c r="A1232" t="s">
        <v>3697</v>
      </c>
      <c r="B1232" t="s">
        <v>3698</v>
      </c>
      <c r="C1232" t="s">
        <v>3699</v>
      </c>
      <c r="D1232" t="str">
        <f>HYPERLINK("https://github.com/tlaukkan/zigbee4java/issues/75","show")</f>
        <v>show</v>
      </c>
      <c r="E1232" t="str">
        <f>HYPERLINK("https://github.com/tlaukkan/zigbee4java","show")</f>
        <v>show</v>
      </c>
      <c r="F1232" t="str">
        <f>HYPERLINK("https://github.com/tlaukkan/zigbee4java/releases","show")</f>
        <v>show</v>
      </c>
    </row>
    <row r="1233" spans="1:6">
      <c r="A1233" t="s">
        <v>3700</v>
      </c>
      <c r="B1233" t="s">
        <v>3701</v>
      </c>
      <c r="C1233" t="s">
        <v>3702</v>
      </c>
      <c r="D1233" t="str">
        <f>HYPERLINK("https://github.com/koral--/android-gif-drawable/issues/240","show")</f>
        <v>show</v>
      </c>
      <c r="E1233" t="str">
        <f>HYPERLINK("https://github.com/koral--/android-gif-drawable","show")</f>
        <v>show</v>
      </c>
      <c r="F1233" t="str">
        <f>HYPERLINK("https://github.com/koral--/android-gif-drawable/releases","show")</f>
        <v>show</v>
      </c>
    </row>
    <row r="1234" spans="1:6">
      <c r="A1234" t="s">
        <v>3703</v>
      </c>
      <c r="B1234" t="s">
        <v>3704</v>
      </c>
      <c r="C1234" t="s">
        <v>3705</v>
      </c>
      <c r="D1234" t="str">
        <f>HYPERLINK("https://github.com/hidroh/materialistic/issues/329","show")</f>
        <v>show</v>
      </c>
      <c r="E1234" t="str">
        <f>HYPERLINK("https://github.com/hidroh/materialistic","show")</f>
        <v>show</v>
      </c>
      <c r="F1234" t="str">
        <f>HYPERLINK("https://github.com/hidroh/materialistic/releases","show")</f>
        <v>show</v>
      </c>
    </row>
    <row r="1235" spans="1:6">
      <c r="A1235" t="s">
        <v>3706</v>
      </c>
      <c r="B1235" t="s">
        <v>3707</v>
      </c>
      <c r="C1235" t="s">
        <v>3708</v>
      </c>
      <c r="D1235" t="str">
        <f>HYPERLINK("https://github.com/hidroh/materialistic/issues/328","show")</f>
        <v>show</v>
      </c>
      <c r="E1235" t="str">
        <f>HYPERLINK("https://github.com/hidroh/materialistic","show")</f>
        <v>show</v>
      </c>
      <c r="F1235" t="str">
        <f>HYPERLINK("https://github.com/hidroh/materialistic/releases","show")</f>
        <v>show</v>
      </c>
    </row>
    <row r="1236" spans="1:6">
      <c r="A1236" t="s">
        <v>3709</v>
      </c>
      <c r="B1236" t="s">
        <v>3710</v>
      </c>
      <c r="C1236" t="s">
        <v>3711</v>
      </c>
      <c r="D1236" t="str">
        <f>HYPERLINK("https://github.com/jonasoreland/runnerup/issues/359","show")</f>
        <v>show</v>
      </c>
      <c r="E1236" t="str">
        <f>HYPERLINK("https://github.com/jonasoreland/runnerup","show")</f>
        <v>show</v>
      </c>
      <c r="F1236" t="str">
        <f>HYPERLINK("https://github.com/jonasoreland/runnerup/releases","show")</f>
        <v>show</v>
      </c>
    </row>
    <row r="1237" spans="1:6">
      <c r="A1237" t="s">
        <v>3712</v>
      </c>
      <c r="B1237" t="s">
        <v>3713</v>
      </c>
      <c r="C1237" t="s">
        <v>3714</v>
      </c>
      <c r="D1237" t="str">
        <f>HYPERLINK("https://github.com/Bernie-2016/fieldthebern-android/issues/328","show")</f>
        <v>show</v>
      </c>
      <c r="E1237" t="str">
        <f>HYPERLINK("https://github.com/Bernie-2016/fieldthebern-android","show")</f>
        <v>show</v>
      </c>
      <c r="F1237" t="str">
        <f>HYPERLINK("https://github.com/Bernie-2016/fieldthebern-android/releases","show")</f>
        <v>show</v>
      </c>
    </row>
    <row r="1238" spans="1:6">
      <c r="A1238" t="s">
        <v>3715</v>
      </c>
      <c r="B1238" t="s">
        <v>3716</v>
      </c>
      <c r="C1238" t="s">
        <v>3717</v>
      </c>
      <c r="D1238" t="str">
        <f>HYPERLINK("https://github.com/alexvasilkov/GestureViews/issues/15","show")</f>
        <v>show</v>
      </c>
      <c r="E1238" t="str">
        <f>HYPERLINK("https://github.com/alexvasilkov/GestureViews","show")</f>
        <v>show</v>
      </c>
      <c r="F1238" t="str">
        <f>HYPERLINK("https://github.com/alexvasilkov/GestureViews/releases","show")</f>
        <v>show</v>
      </c>
    </row>
    <row r="1239" spans="1:6">
      <c r="A1239" t="s">
        <v>3718</v>
      </c>
      <c r="B1239" t="s">
        <v>3719</v>
      </c>
      <c r="C1239" t="s">
        <v>3720</v>
      </c>
      <c r="D1239" t="str">
        <f>HYPERLINK("https://github.com/opensrp/opensrp-client/issues/134","show")</f>
        <v>show</v>
      </c>
      <c r="E1239" t="str">
        <f>HYPERLINK("https://github.com/opensrp/opensrp-client","show")</f>
        <v>show</v>
      </c>
      <c r="F1239" t="str">
        <f>HYPERLINK("https://github.com/opensrp/opensrp-client/releases","show")</f>
        <v>show</v>
      </c>
    </row>
    <row r="1240" spans="1:6">
      <c r="A1240" t="s">
        <v>3721</v>
      </c>
      <c r="B1240" t="s">
        <v>3722</v>
      </c>
      <c r="C1240" t="s">
        <v>3723</v>
      </c>
      <c r="D1240" t="str">
        <f>HYPERLINK("https://github.com/hidroh/materialistic/issues/341","show")</f>
        <v>show</v>
      </c>
      <c r="E1240" t="str">
        <f>HYPERLINK("https://github.com/hidroh/materialistic","show")</f>
        <v>show</v>
      </c>
      <c r="F1240" t="str">
        <f>HYPERLINK("https://github.com/hidroh/materialistic/releases","show")</f>
        <v>show</v>
      </c>
    </row>
    <row r="1241" spans="1:6">
      <c r="A1241" t="s">
        <v>3724</v>
      </c>
      <c r="B1241" t="s">
        <v>3725</v>
      </c>
      <c r="C1241" t="s">
        <v>3726</v>
      </c>
      <c r="D1241" t="str">
        <f>HYPERLINK("https://github.com/Bernie-2016/fieldthebern-android/issues/372","show")</f>
        <v>show</v>
      </c>
      <c r="E1241" t="str">
        <f>HYPERLINK("https://github.com/Bernie-2016/fieldthebern-android","show")</f>
        <v>show</v>
      </c>
      <c r="F1241" t="str">
        <f>HYPERLINK("https://github.com/Bernie-2016/fieldthebern-android/releases","show")</f>
        <v>show</v>
      </c>
    </row>
    <row r="1242" spans="1:6">
      <c r="A1242" t="s">
        <v>3727</v>
      </c>
      <c r="B1242" t="s">
        <v>3728</v>
      </c>
      <c r="C1242" t="s">
        <v>3729</v>
      </c>
      <c r="D1242" t="str">
        <f>HYPERLINK("https://github.com/billthefarmer/tuner/issues/4","show")</f>
        <v>show</v>
      </c>
      <c r="E1242" t="str">
        <f>HYPERLINK("https://github.com/billthefarmer/tuner","show")</f>
        <v>show</v>
      </c>
      <c r="F1242" t="str">
        <f>HYPERLINK("https://github.com/billthefarmer/tuner/releases","show")</f>
        <v>show</v>
      </c>
    </row>
    <row r="1243" spans="1:6">
      <c r="A1243" t="s">
        <v>3730</v>
      </c>
      <c r="B1243" t="s">
        <v>3731</v>
      </c>
      <c r="C1243" t="s">
        <v>3732</v>
      </c>
      <c r="D1243" t="str">
        <f>HYPERLINK("https://github.com/zhuowei/MCPELauncher/issues/489","show")</f>
        <v>show</v>
      </c>
      <c r="E1243" t="str">
        <f>HYPERLINK("https://github.com/zhuowei/MCPELauncher","show")</f>
        <v>show</v>
      </c>
      <c r="F1243" t="str">
        <f>HYPERLINK("https://github.com/zhuowei/MCPELauncher/releases","show")</f>
        <v>show</v>
      </c>
    </row>
    <row r="1244" spans="1:6">
      <c r="A1244" t="s">
        <v>3733</v>
      </c>
      <c r="B1244" t="s">
        <v>3734</v>
      </c>
      <c r="C1244" t="s">
        <v>3735</v>
      </c>
      <c r="D1244" t="str">
        <f>HYPERLINK("https://github.com/ccrama/Slide/issues/790","show")</f>
        <v>show</v>
      </c>
      <c r="E1244" t="str">
        <f>HYPERLINK("https://github.com/ccrama/Slide","show")</f>
        <v>show</v>
      </c>
      <c r="F1244" t="str">
        <f>HYPERLINK("https://github.com/ccrama/Slide/releases","show")</f>
        <v>show</v>
      </c>
    </row>
    <row r="1245" spans="1:6">
      <c r="A1245" t="s">
        <v>3736</v>
      </c>
      <c r="B1245" t="s">
        <v>3737</v>
      </c>
      <c r="C1245" t="s">
        <v>3738</v>
      </c>
      <c r="D1245" t="str">
        <f>HYPERLINK("https://github.com/gorbin/ASNE/issues/104","show")</f>
        <v>show</v>
      </c>
      <c r="E1245" t="str">
        <f>HYPERLINK("https://github.com/gorbin/ASNE","show")</f>
        <v>show</v>
      </c>
      <c r="F1245" t="str">
        <f>HYPERLINK("https://github.com/gorbin/ASNE/releases","show")</f>
        <v>show</v>
      </c>
    </row>
    <row r="1246" spans="1:6">
      <c r="A1246" t="s">
        <v>3739</v>
      </c>
      <c r="B1246" t="s">
        <v>3740</v>
      </c>
      <c r="C1246" t="s">
        <v>3741</v>
      </c>
      <c r="D1246" t="str">
        <f>HYPERLINK("https://github.com/projectbuendia/client/issues/199","show")</f>
        <v>show</v>
      </c>
      <c r="E1246" t="str">
        <f>HYPERLINK("https://github.com/projectbuendia/client","show")</f>
        <v>show</v>
      </c>
      <c r="F1246" t="str">
        <f>HYPERLINK("https://github.com/projectbuendia/client/releases","show")</f>
        <v>show</v>
      </c>
    </row>
    <row r="1247" spans="1:6">
      <c r="A1247" t="s">
        <v>3742</v>
      </c>
      <c r="B1247" t="s">
        <v>3743</v>
      </c>
      <c r="C1247" t="s">
        <v>3744</v>
      </c>
      <c r="D1247" t="str">
        <f>HYPERLINK("https://github.com/ccrama/Slide/issues/808","show")</f>
        <v>show</v>
      </c>
      <c r="E1247" t="str">
        <f>HYPERLINK("https://github.com/ccrama/Slide","show")</f>
        <v>show</v>
      </c>
      <c r="F1247" t="str">
        <f>HYPERLINK("https://github.com/ccrama/Slide/releases","show")</f>
        <v>show</v>
      </c>
    </row>
    <row r="1248" spans="1:6">
      <c r="A1248" t="s">
        <v>3745</v>
      </c>
      <c r="B1248" t="s">
        <v>3746</v>
      </c>
      <c r="C1248" t="s">
        <v>3747</v>
      </c>
      <c r="D1248" t="str">
        <f>HYPERLINK("https://github.com/Bernie-2016/fieldthebern-android/issues/398","show")</f>
        <v>show</v>
      </c>
      <c r="E1248" t="str">
        <f>HYPERLINK("https://github.com/Bernie-2016/fieldthebern-android","show")</f>
        <v>show</v>
      </c>
      <c r="F1248" t="str">
        <f>HYPERLINK("https://github.com/Bernie-2016/fieldthebern-android/releases","show")</f>
        <v>show</v>
      </c>
    </row>
    <row r="1249" spans="1:6">
      <c r="A1249" t="s">
        <v>3748</v>
      </c>
      <c r="B1249" t="s">
        <v>3749</v>
      </c>
      <c r="C1249" t="s">
        <v>3750</v>
      </c>
      <c r="D1249" t="str">
        <f>HYPERLINK("https://github.com/pedrovgs/EffectiveAndroidUI/issues/16","show")</f>
        <v>show</v>
      </c>
      <c r="E1249" t="str">
        <f>HYPERLINK("https://github.com/pedrovgs/EffectiveAndroidUI","show")</f>
        <v>show</v>
      </c>
      <c r="F1249" t="str">
        <f>HYPERLINK("https://github.com/pedrovgs/EffectiveAndroidUI/releases","show")</f>
        <v>show</v>
      </c>
    </row>
    <row r="1250" spans="1:6">
      <c r="A1250" t="s">
        <v>3751</v>
      </c>
      <c r="B1250" t="s">
        <v>3752</v>
      </c>
      <c r="C1250" t="s">
        <v>3753</v>
      </c>
      <c r="D1250" t="str">
        <f>HYPERLINK("https://github.com/koral--/android-gif-drawable/issues/243","show")</f>
        <v>show</v>
      </c>
      <c r="E1250" t="str">
        <f>HYPERLINK("https://github.com/koral--/android-gif-drawable","show")</f>
        <v>show</v>
      </c>
      <c r="F1250" t="str">
        <f>HYPERLINK("https://github.com/koral--/android-gif-drawable/releases","show")</f>
        <v>show</v>
      </c>
    </row>
    <row r="1251" spans="1:6">
      <c r="A1251" t="s">
        <v>3754</v>
      </c>
      <c r="B1251" t="s">
        <v>3755</v>
      </c>
      <c r="C1251" t="s">
        <v>3756</v>
      </c>
      <c r="D1251" t="str">
        <f>HYPERLINK("https://github.com/SpartaHack/SpartaHack-Android-2016/issues/16","show")</f>
        <v>show</v>
      </c>
      <c r="E1251" t="str">
        <f>HYPERLINK("https://github.com/SpartaHack/SpartaHack-Android-2016","show")</f>
        <v>show</v>
      </c>
      <c r="F1251" t="str">
        <f>HYPERLINK("https://github.com/SpartaHack/SpartaHack-Android-2016/releases","show")</f>
        <v>show</v>
      </c>
    </row>
    <row r="1252" spans="1:6">
      <c r="A1252" t="s">
        <v>3757</v>
      </c>
      <c r="B1252" t="s">
        <v>3758</v>
      </c>
      <c r="C1252" t="s">
        <v>3759</v>
      </c>
      <c r="D1252" t="str">
        <f>HYPERLINK("https://github.com/Bernie-2016/fieldthebern-android/issues/390","show")</f>
        <v>show</v>
      </c>
      <c r="E1252" t="str">
        <f>HYPERLINK("https://github.com/Bernie-2016/fieldthebern-android","show")</f>
        <v>show</v>
      </c>
      <c r="F1252" t="str">
        <f>HYPERLINK("https://github.com/Bernie-2016/fieldthebern-android/releases","show")</f>
        <v>show</v>
      </c>
    </row>
    <row r="1253" spans="1:6">
      <c r="A1253" t="s">
        <v>3760</v>
      </c>
      <c r="B1253" t="s">
        <v>3761</v>
      </c>
      <c r="C1253" t="s">
        <v>3762</v>
      </c>
      <c r="D1253" t="str">
        <f>HYPERLINK("https://github.com/dmfs/opentasks/issues/192","show")</f>
        <v>show</v>
      </c>
      <c r="E1253" t="str">
        <f>HYPERLINK("https://github.com/dmfs/opentasks","show")</f>
        <v>show</v>
      </c>
      <c r="F1253" t="str">
        <f>HYPERLINK("https://github.com/dmfs/opentasks/releases","show")</f>
        <v>show</v>
      </c>
    </row>
    <row r="1254" spans="1:6">
      <c r="A1254" t="s">
        <v>3763</v>
      </c>
      <c r="B1254" t="s">
        <v>3764</v>
      </c>
      <c r="C1254" t="s">
        <v>3765</v>
      </c>
      <c r="D1254" t="str">
        <f>HYPERLINK("https://github.com/elman22/pocket-amc-reader/issues/13","show")</f>
        <v>show</v>
      </c>
      <c r="E1254" t="str">
        <f>HYPERLINK("https://github.com/elman22/pocket-amc-reader","show")</f>
        <v>show</v>
      </c>
      <c r="F1254" t="str">
        <f>HYPERLINK("https://github.com/elman22/pocket-amc-reader/releases","show")</f>
        <v>show</v>
      </c>
    </row>
    <row r="1255" spans="1:6">
      <c r="A1255" t="s">
        <v>3766</v>
      </c>
      <c r="B1255" t="s">
        <v>3767</v>
      </c>
      <c r="C1255" t="s">
        <v>3768</v>
      </c>
      <c r="D1255" t="str">
        <f>HYPERLINK("https://github.com/elman22/pocket-amc-reader/issues/12","show")</f>
        <v>show</v>
      </c>
      <c r="E1255" t="str">
        <f>HYPERLINK("https://github.com/elman22/pocket-amc-reader","show")</f>
        <v>show</v>
      </c>
      <c r="F1255" t="str">
        <f>HYPERLINK("https://github.com/elman22/pocket-amc-reader/releases","show")</f>
        <v>show</v>
      </c>
    </row>
    <row r="1256" spans="1:6">
      <c r="A1256" t="s">
        <v>3769</v>
      </c>
      <c r="B1256" t="s">
        <v>3770</v>
      </c>
      <c r="C1256" t="s">
        <v>3771</v>
      </c>
      <c r="D1256" t="str">
        <f>HYPERLINK("https://github.com/react-native-camera/react-native-camera/issues/154","show")</f>
        <v>show</v>
      </c>
      <c r="E1256" t="str">
        <f>HYPERLINK("https://github.com/react-native-camera/react-native-camera","show")</f>
        <v>show</v>
      </c>
      <c r="F1256" t="str">
        <f>HYPERLINK("https://github.com/react-native-camera/react-native-camera/releases","show")</f>
        <v>show</v>
      </c>
    </row>
    <row r="1257" spans="1:6">
      <c r="A1257" t="s">
        <v>3772</v>
      </c>
      <c r="B1257" t="s">
        <v>3773</v>
      </c>
      <c r="C1257" t="s">
        <v>3774</v>
      </c>
      <c r="D1257" t="str">
        <f>HYPERLINK("https://github.com/pattch/PicToPoly/issues/32","show")</f>
        <v>show</v>
      </c>
      <c r="E1257" t="str">
        <f>HYPERLINK("https://github.com/pattch/PicToPoly","show")</f>
        <v>show</v>
      </c>
      <c r="F1257" t="str">
        <f>HYPERLINK("https://github.com/pattch/PicToPoly/releases","show")</f>
        <v>show</v>
      </c>
    </row>
    <row r="1258" spans="1:6">
      <c r="A1258" t="s">
        <v>3775</v>
      </c>
      <c r="B1258" t="s">
        <v>3776</v>
      </c>
      <c r="C1258" t="s">
        <v>3777</v>
      </c>
      <c r="D1258" t="str">
        <f>HYPERLINK("https://github.com/Bernie-2016/fieldthebern-android/issues/411","show")</f>
        <v>show</v>
      </c>
      <c r="E1258" t="str">
        <f>HYPERLINK("https://github.com/Bernie-2016/fieldthebern-android","show")</f>
        <v>show</v>
      </c>
      <c r="F1258" t="str">
        <f>HYPERLINK("https://github.com/Bernie-2016/fieldthebern-android/releases","show")</f>
        <v>show</v>
      </c>
    </row>
    <row r="1259" spans="1:6">
      <c r="A1259" t="s">
        <v>3778</v>
      </c>
      <c r="B1259" t="s">
        <v>3779</v>
      </c>
      <c r="C1259" t="s">
        <v>3780</v>
      </c>
      <c r="D1259" t="str">
        <f>HYPERLINK("https://github.com/pattch/PicToPoly/issues/30","show")</f>
        <v>show</v>
      </c>
      <c r="E1259" t="str">
        <f>HYPERLINK("https://github.com/pattch/PicToPoly","show")</f>
        <v>show</v>
      </c>
      <c r="F1259" t="str">
        <f>HYPERLINK("https://github.com/pattch/PicToPoly/releases","show")</f>
        <v>show</v>
      </c>
    </row>
    <row r="1260" spans="1:6">
      <c r="A1260" t="s">
        <v>3781</v>
      </c>
      <c r="B1260" t="s">
        <v>3782</v>
      </c>
      <c r="C1260" t="s">
        <v>3783</v>
      </c>
      <c r="D1260" t="str">
        <f>HYPERLINK("https://github.com/Bernie-2016/fieldthebern-android/issues/410","show")</f>
        <v>show</v>
      </c>
      <c r="E1260" t="str">
        <f>HYPERLINK("https://github.com/Bernie-2016/fieldthebern-android","show")</f>
        <v>show</v>
      </c>
      <c r="F1260" t="str">
        <f>HYPERLINK("https://github.com/Bernie-2016/fieldthebern-android/releases","show")</f>
        <v>show</v>
      </c>
    </row>
    <row r="1261" spans="1:6">
      <c r="A1261" t="s">
        <v>3784</v>
      </c>
      <c r="B1261" t="s">
        <v>3785</v>
      </c>
      <c r="C1261" t="s">
        <v>3786</v>
      </c>
      <c r="D1261" t="str">
        <f>HYPERLINK("https://github.com/ankidroid/Anki-Android/issues/4057","show")</f>
        <v>show</v>
      </c>
      <c r="E1261" t="str">
        <f>HYPERLINK("https://github.com/ankidroid/Anki-Android","show")</f>
        <v>show</v>
      </c>
      <c r="F1261" t="str">
        <f>HYPERLINK("https://github.com/ankidroid/Anki-Android/releases","show")</f>
        <v>show</v>
      </c>
    </row>
    <row r="1262" spans="1:6">
      <c r="A1262" t="s">
        <v>3787</v>
      </c>
      <c r="B1262" t="s">
        <v>3788</v>
      </c>
      <c r="C1262" t="s">
        <v>3789</v>
      </c>
      <c r="D1262" t="str">
        <f>HYPERLINK("https://github.com/Bernie-2016/fieldthebern-android/issues/407","show")</f>
        <v>show</v>
      </c>
      <c r="E1262" t="str">
        <f>HYPERLINK("https://github.com/Bernie-2016/fieldthebern-android","show")</f>
        <v>show</v>
      </c>
      <c r="F1262" t="str">
        <f>HYPERLINK("https://github.com/Bernie-2016/fieldthebern-android/releases","show")</f>
        <v>show</v>
      </c>
    </row>
    <row r="1263" spans="1:6">
      <c r="A1263" t="s">
        <v>3790</v>
      </c>
      <c r="B1263" t="s">
        <v>3791</v>
      </c>
      <c r="C1263" t="s">
        <v>3792</v>
      </c>
      <c r="D1263" t="str">
        <f>HYPERLINK("https://github.com/longdivision/hex/issues/3","show")</f>
        <v>show</v>
      </c>
      <c r="E1263" t="str">
        <f>HYPERLINK("https://github.com/longdivision/hex","show")</f>
        <v>show</v>
      </c>
      <c r="F1263" t="str">
        <f>HYPERLINK("https://github.com/longdivision/hex/releases","show")</f>
        <v>show</v>
      </c>
    </row>
    <row r="1264" spans="1:6">
      <c r="A1264" t="s">
        <v>3793</v>
      </c>
      <c r="B1264" t="s">
        <v>656</v>
      </c>
      <c r="C1264" t="s">
        <v>3794</v>
      </c>
      <c r="D1264" t="str">
        <f>HYPERLINK("https://github.com/gitskarios/Gitskarios/issues/336","show")</f>
        <v>show</v>
      </c>
      <c r="E1264" t="str">
        <f>HYPERLINK("https://github.com/gitskarios/Gitskarios","show")</f>
        <v>show</v>
      </c>
      <c r="F1264" t="str">
        <f>HYPERLINK("https://github.com/gitskarios/Gitskarios/releases","show")</f>
        <v>show</v>
      </c>
    </row>
    <row r="1265" spans="1:6">
      <c r="A1265" t="s">
        <v>3795</v>
      </c>
      <c r="B1265" t="s">
        <v>3796</v>
      </c>
      <c r="C1265" t="s">
        <v>3797</v>
      </c>
      <c r="D1265" t="str">
        <f>HYPERLINK("https://github.com/zhuowei/MCPELauncher/issues/507","show")</f>
        <v>show</v>
      </c>
      <c r="E1265" t="str">
        <f>HYPERLINK("https://github.com/zhuowei/MCPELauncher","show")</f>
        <v>show</v>
      </c>
      <c r="F1265" t="str">
        <f>HYPERLINK("https://github.com/zhuowei/MCPELauncher/releases","show")</f>
        <v>show</v>
      </c>
    </row>
    <row r="1266" spans="1:6">
      <c r="A1266" t="s">
        <v>3798</v>
      </c>
      <c r="B1266" t="s">
        <v>3799</v>
      </c>
      <c r="C1266" t="s">
        <v>3800</v>
      </c>
      <c r="D1266" t="str">
        <f>HYPERLINK("https://github.com/zhuowei/MCPELauncher/issues/506","show")</f>
        <v>show</v>
      </c>
      <c r="E1266" t="str">
        <f>HYPERLINK("https://github.com/zhuowei/MCPELauncher","show")</f>
        <v>show</v>
      </c>
      <c r="F1266" t="str">
        <f>HYPERLINK("https://github.com/zhuowei/MCPELauncher/releases","show")</f>
        <v>show</v>
      </c>
    </row>
    <row r="1267" spans="1:6">
      <c r="A1267" t="s">
        <v>3801</v>
      </c>
      <c r="B1267" t="s">
        <v>3802</v>
      </c>
      <c r="C1267" t="s">
        <v>3803</v>
      </c>
      <c r="D1267" t="str">
        <f>HYPERLINK("https://github.com/cgeo/cgeo/issues/5402","show")</f>
        <v>show</v>
      </c>
      <c r="E1267" t="str">
        <f>HYPERLINK("https://github.com/cgeo/cgeo","show")</f>
        <v>show</v>
      </c>
      <c r="F1267" t="str">
        <f>HYPERLINK("https://github.com/cgeo/cgeo/releases","show")</f>
        <v>show</v>
      </c>
    </row>
    <row r="1268" spans="1:6">
      <c r="A1268" t="s">
        <v>3804</v>
      </c>
      <c r="B1268" t="s">
        <v>3805</v>
      </c>
      <c r="C1268" t="s">
        <v>3806</v>
      </c>
      <c r="D1268" t="str">
        <f>HYPERLINK("https://github.com/NemProject/NEMAndroidApp/issues/81","show")</f>
        <v>show</v>
      </c>
      <c r="E1268" t="str">
        <f>HYPERLINK("https://github.com/NemProject/NEMAndroidApp","show")</f>
        <v>show</v>
      </c>
      <c r="F1268" t="str">
        <f>HYPERLINK("https://github.com/NemProject/NEMAndroidApp/releases","show")</f>
        <v>show</v>
      </c>
    </row>
    <row r="1269" spans="1:6">
      <c r="A1269" t="s">
        <v>3807</v>
      </c>
      <c r="B1269" t="s">
        <v>3808</v>
      </c>
      <c r="C1269" t="s">
        <v>3809</v>
      </c>
      <c r="D1269" t="str">
        <f>HYPERLINK("https://github.com/futurice/vor/issues/60","show")</f>
        <v>show</v>
      </c>
      <c r="E1269" t="str">
        <f>HYPERLINK("https://github.com/futurice/vor","show")</f>
        <v>show</v>
      </c>
      <c r="F1269" t="str">
        <f>HYPERLINK("https://github.com/futurice/vor/releases","show")</f>
        <v>show</v>
      </c>
    </row>
    <row r="1270" spans="1:6">
      <c r="A1270" t="s">
        <v>3810</v>
      </c>
      <c r="B1270" t="s">
        <v>3811</v>
      </c>
      <c r="C1270" t="s">
        <v>3812</v>
      </c>
      <c r="D1270" t="str">
        <f>HYPERLINK("https://github.com/moneymanagerex/android-money-manager-ex/issues/652","show")</f>
        <v>show</v>
      </c>
      <c r="E1270" t="str">
        <f>HYPERLINK("https://github.com/moneymanagerex/android-money-manager-ex","show")</f>
        <v>show</v>
      </c>
      <c r="F1270" t="str">
        <f>HYPERLINK("https://github.com/moneymanagerex/android-money-manager-ex/releases","show")</f>
        <v>show</v>
      </c>
    </row>
    <row r="1271" spans="1:6">
      <c r="A1271" t="s">
        <v>3813</v>
      </c>
      <c r="B1271" t="s">
        <v>3814</v>
      </c>
      <c r="C1271" t="s">
        <v>3815</v>
      </c>
      <c r="D1271" t="str">
        <f>HYPERLINK("https://github.com/dimagi/commcare-android/issues/992","show")</f>
        <v>show</v>
      </c>
      <c r="E1271" t="str">
        <f>HYPERLINK("https://github.com/dimagi/commcare-android","show")</f>
        <v>show</v>
      </c>
      <c r="F1271" t="str">
        <f>HYPERLINK("https://github.com/dimagi/commcare-android/releases","show")</f>
        <v>show</v>
      </c>
    </row>
    <row r="1272" spans="1:6">
      <c r="A1272" t="s">
        <v>3816</v>
      </c>
      <c r="B1272" t="s">
        <v>3817</v>
      </c>
      <c r="C1272" t="s">
        <v>3818</v>
      </c>
      <c r="D1272" t="str">
        <f>HYPERLINK("https://github.com/zom/Zom-Android-XMPP/issues/67","show")</f>
        <v>show</v>
      </c>
      <c r="E1272" t="str">
        <f>HYPERLINK("https://github.com/zom/Zom-Android-XMPP","show")</f>
        <v>show</v>
      </c>
      <c r="F1272" t="str">
        <f>HYPERLINK("https://github.com/zom/Zom-Android-XMPP/releases","show")</f>
        <v>show</v>
      </c>
    </row>
    <row r="1273" spans="1:6">
      <c r="A1273" t="s">
        <v>3819</v>
      </c>
      <c r="B1273" t="s">
        <v>3820</v>
      </c>
      <c r="C1273" t="s">
        <v>3821</v>
      </c>
      <c r="D1273" t="str">
        <f>HYPERLINK("https://github.com/akexorcist/GoogleDirectionLibrary/issues/10","show")</f>
        <v>show</v>
      </c>
      <c r="E1273" t="str">
        <f>HYPERLINK("https://github.com/akexorcist/GoogleDirectionLibrary","show")</f>
        <v>show</v>
      </c>
      <c r="F1273" t="str">
        <f>HYPERLINK("https://github.com/akexorcist/GoogleDirectionLibrary/releases","show")</f>
        <v>show</v>
      </c>
    </row>
    <row r="1274" spans="1:6">
      <c r="A1274" t="s">
        <v>3822</v>
      </c>
      <c r="B1274" t="s">
        <v>3823</v>
      </c>
      <c r="C1274" t="s">
        <v>3824</v>
      </c>
      <c r="D1274" t="str">
        <f>HYPERLINK("https://github.com/prestosApps/adsbMonitor/issues/1","show")</f>
        <v>show</v>
      </c>
      <c r="E1274" t="str">
        <f>HYPERLINK("https://github.com/prestosApps/adsbMonitor","show")</f>
        <v>show</v>
      </c>
      <c r="F1274" t="str">
        <f>HYPERLINK("https://github.com/prestosApps/adsbMonitor/releases","show")</f>
        <v>show</v>
      </c>
    </row>
    <row r="1275" spans="1:6">
      <c r="A1275" t="s">
        <v>3825</v>
      </c>
      <c r="B1275" t="s">
        <v>3826</v>
      </c>
      <c r="C1275" t="s">
        <v>3827</v>
      </c>
      <c r="D1275" t="str">
        <f>HYPERLINK("https://github.com/Bernie-2016/fieldthebern-android/issues/455","show")</f>
        <v>show</v>
      </c>
      <c r="E1275" t="str">
        <f>HYPERLINK("https://github.com/Bernie-2016/fieldthebern-android","show")</f>
        <v>show</v>
      </c>
      <c r="F1275" t="str">
        <f>HYPERLINK("https://github.com/Bernie-2016/fieldthebern-android/releases","show")</f>
        <v>show</v>
      </c>
    </row>
    <row r="1276" spans="1:6">
      <c r="A1276" t="s">
        <v>3828</v>
      </c>
      <c r="B1276" t="s">
        <v>3829</v>
      </c>
      <c r="C1276" t="s">
        <v>3830</v>
      </c>
      <c r="D1276" t="str">
        <f>HYPERLINK("https://github.com/Keidan/CellHistory/issues/19","show")</f>
        <v>show</v>
      </c>
      <c r="E1276" t="str">
        <f>HYPERLINK("https://github.com/Keidan/CellHistory","show")</f>
        <v>show</v>
      </c>
      <c r="F1276" t="str">
        <f>HYPERLINK("https://github.com/Keidan/CellHistory/releases","show")</f>
        <v>show</v>
      </c>
    </row>
    <row r="1277" spans="1:6">
      <c r="A1277" t="s">
        <v>3831</v>
      </c>
      <c r="B1277" t="s">
        <v>3832</v>
      </c>
      <c r="C1277" t="s">
        <v>3833</v>
      </c>
      <c r="D1277" t="str">
        <f>HYPERLINK("https://github.com/cgeo/cgeo/issues/5408","show")</f>
        <v>show</v>
      </c>
      <c r="E1277" t="str">
        <f>HYPERLINK("https://github.com/cgeo/cgeo","show")</f>
        <v>show</v>
      </c>
      <c r="F1277" t="str">
        <f>HYPERLINK("https://github.com/cgeo/cgeo/releases","show")</f>
        <v>show</v>
      </c>
    </row>
    <row r="1278" spans="1:6">
      <c r="A1278" t="s">
        <v>3834</v>
      </c>
      <c r="B1278" t="s">
        <v>3835</v>
      </c>
      <c r="C1278" t="s">
        <v>3836</v>
      </c>
      <c r="D1278" t="str">
        <f>HYPERLINK("https://github.com/android10/frodo/issues/14","show")</f>
        <v>show</v>
      </c>
      <c r="E1278" t="str">
        <f>HYPERLINK("https://github.com/android10/frodo","show")</f>
        <v>show</v>
      </c>
      <c r="F1278" t="str">
        <f>HYPERLINK("https://github.com/android10/frodo/releases","show")</f>
        <v>show</v>
      </c>
    </row>
    <row r="1279" spans="1:6">
      <c r="A1279" t="s">
        <v>3837</v>
      </c>
      <c r="B1279" t="s">
        <v>3838</v>
      </c>
      <c r="C1279" t="s">
        <v>3839</v>
      </c>
      <c r="D1279" t="str">
        <f>HYPERLINK("https://github.com/dimagi/commcare-android/issues/998","show")</f>
        <v>show</v>
      </c>
      <c r="E1279" t="str">
        <f>HYPERLINK("https://github.com/dimagi/commcare-android","show")</f>
        <v>show</v>
      </c>
      <c r="F1279" t="str">
        <f>HYPERLINK("https://github.com/dimagi/commcare-android/releases","show")</f>
        <v>show</v>
      </c>
    </row>
    <row r="1280" spans="1:6">
      <c r="A1280" t="s">
        <v>3840</v>
      </c>
      <c r="B1280" t="s">
        <v>3841</v>
      </c>
      <c r="C1280" t="s">
        <v>3842</v>
      </c>
      <c r="D1280" t="str">
        <f>HYPERLINK("https://github.com/bparmentier/WiFiKeyShare/issues/1","show")</f>
        <v>show</v>
      </c>
      <c r="E1280" t="str">
        <f>HYPERLINK("https://github.com/bparmentier/WiFiKeyShare","show")</f>
        <v>show</v>
      </c>
      <c r="F1280" t="str">
        <f>HYPERLINK("https://github.com/bparmentier/WiFiKeyShare/releases","show")</f>
        <v>show</v>
      </c>
    </row>
    <row r="1281" spans="1:6">
      <c r="A1281" t="s">
        <v>3843</v>
      </c>
      <c r="B1281" t="s">
        <v>3844</v>
      </c>
      <c r="C1281" t="s">
        <v>3845</v>
      </c>
      <c r="D1281" t="str">
        <f>HYPERLINK("https://github.com/Bernie-2016/fieldthebern-android/issues/467","show")</f>
        <v>show</v>
      </c>
      <c r="E1281" t="str">
        <f>HYPERLINK("https://github.com/Bernie-2016/fieldthebern-android","show")</f>
        <v>show</v>
      </c>
      <c r="F1281" t="str">
        <f>HYPERLINK("https://github.com/Bernie-2016/fieldthebern-android/releases","show")</f>
        <v>show</v>
      </c>
    </row>
    <row r="1282" spans="1:6">
      <c r="A1282" t="s">
        <v>3846</v>
      </c>
      <c r="B1282" t="s">
        <v>3847</v>
      </c>
      <c r="C1282" t="s">
        <v>3848</v>
      </c>
      <c r="D1282" t="str">
        <f>HYPERLINK("https://github.com/markzhai/AndroidPerformanceMonitor/issues/18","show")</f>
        <v>show</v>
      </c>
      <c r="E1282" t="str">
        <f>HYPERLINK("https://github.com/markzhai/AndroidPerformanceMonitor","show")</f>
        <v>show</v>
      </c>
      <c r="F1282" t="str">
        <f>HYPERLINK("https://github.com/markzhai/AndroidPerformanceMonitor/releases","show")</f>
        <v>show</v>
      </c>
    </row>
    <row r="1283" spans="1:6">
      <c r="A1283" t="s">
        <v>3849</v>
      </c>
      <c r="B1283" t="s">
        <v>3850</v>
      </c>
      <c r="C1283" t="s">
        <v>3851</v>
      </c>
      <c r="D1283" t="str">
        <f>HYPERLINK("https://github.com/markzhai/AndroidPerformanceMonitor/issues/15","show")</f>
        <v>show</v>
      </c>
      <c r="E1283" t="str">
        <f>HYPERLINK("https://github.com/markzhai/AndroidPerformanceMonitor","show")</f>
        <v>show</v>
      </c>
      <c r="F1283" t="str">
        <f>HYPERLINK("https://github.com/markzhai/AndroidPerformanceMonitor/releases","show")</f>
        <v>show</v>
      </c>
    </row>
    <row r="1284" spans="1:6">
      <c r="A1284" t="s">
        <v>3852</v>
      </c>
      <c r="B1284" t="s">
        <v>3853</v>
      </c>
      <c r="C1284" t="s">
        <v>3854</v>
      </c>
      <c r="D1284" t="str">
        <f>HYPERLINK("https://github.com/Bernie-2016/fieldthebern-android/issues/466","show")</f>
        <v>show</v>
      </c>
      <c r="E1284" t="str">
        <f>HYPERLINK("https://github.com/Bernie-2016/fieldthebern-android","show")</f>
        <v>show</v>
      </c>
      <c r="F1284" t="str">
        <f>HYPERLINK("https://github.com/Bernie-2016/fieldthebern-android/releases","show")</f>
        <v>show</v>
      </c>
    </row>
    <row r="1285" spans="1:6">
      <c r="A1285" t="s">
        <v>3855</v>
      </c>
      <c r="B1285" t="s">
        <v>3856</v>
      </c>
      <c r="C1285" t="s">
        <v>3857</v>
      </c>
      <c r="D1285" t="str">
        <f>HYPERLINK("https://github.com/Bernie-2016/fieldthebern-android/issues/465","show")</f>
        <v>show</v>
      </c>
      <c r="E1285" t="str">
        <f>HYPERLINK("https://github.com/Bernie-2016/fieldthebern-android","show")</f>
        <v>show</v>
      </c>
      <c r="F1285" t="str">
        <f>HYPERLINK("https://github.com/Bernie-2016/fieldthebern-android/releases","show")</f>
        <v>show</v>
      </c>
    </row>
    <row r="1286" spans="1:6">
      <c r="A1286" t="s">
        <v>3858</v>
      </c>
      <c r="B1286" t="s">
        <v>3859</v>
      </c>
      <c r="C1286" t="s">
        <v>3860</v>
      </c>
      <c r="D1286" t="str">
        <f>HYPERLINK("https://github.com/googlearchive/easygoogle/issues/23","show")</f>
        <v>show</v>
      </c>
      <c r="E1286" t="str">
        <f>HYPERLINK("https://github.com/googlearchive/easygoogle","show")</f>
        <v>show</v>
      </c>
      <c r="F1286" t="str">
        <f>HYPERLINK("https://github.com/googlearchive/easygoogle/releases","show")</f>
        <v>show</v>
      </c>
    </row>
    <row r="1287" spans="1:6">
      <c r="A1287" t="s">
        <v>3861</v>
      </c>
      <c r="B1287" t="s">
        <v>3862</v>
      </c>
      <c r="C1287" t="s">
        <v>3863</v>
      </c>
      <c r="D1287" t="str">
        <f>HYPERLINK("https://github.com/dimagi/commcare-android/issues/1002","show")</f>
        <v>show</v>
      </c>
      <c r="E1287" t="str">
        <f>HYPERLINK("https://github.com/dimagi/commcare-android","show")</f>
        <v>show</v>
      </c>
      <c r="F1287" t="str">
        <f>HYPERLINK("https://github.com/dimagi/commcare-android/releases","show")</f>
        <v>show</v>
      </c>
    </row>
    <row r="1288" spans="1:6">
      <c r="A1288" t="s">
        <v>3864</v>
      </c>
      <c r="B1288" t="s">
        <v>3865</v>
      </c>
      <c r="C1288" t="s">
        <v>3866</v>
      </c>
      <c r="D1288" t="str">
        <f>HYPERLINK("https://github.com/sriharshachilakapati/SilenceEngine/issues/61","show")</f>
        <v>show</v>
      </c>
      <c r="E1288" t="str">
        <f>HYPERLINK("https://github.com/sriharshachilakapati/SilenceEngine","show")</f>
        <v>show</v>
      </c>
      <c r="F1288" t="str">
        <f>HYPERLINK("https://github.com/sriharshachilakapati/SilenceEngine/releases","show")</f>
        <v>show</v>
      </c>
    </row>
    <row r="1289" spans="1:6">
      <c r="A1289" t="s">
        <v>3867</v>
      </c>
      <c r="B1289" t="s">
        <v>3868</v>
      </c>
      <c r="C1289" t="s">
        <v>3869</v>
      </c>
      <c r="D1289" t="str">
        <f>HYPERLINK("https://github.com/SufficientlySecure/html-textview/issues/29","show")</f>
        <v>show</v>
      </c>
      <c r="E1289" t="str">
        <f>HYPERLINK("https://github.com/SufficientlySecure/html-textview","show")</f>
        <v>show</v>
      </c>
      <c r="F1289" t="str">
        <f>HYPERLINK("https://github.com/SufficientlySecure/html-textview/releases","show")</f>
        <v>show</v>
      </c>
    </row>
    <row r="1290" spans="1:6">
      <c r="A1290" t="s">
        <v>3870</v>
      </c>
      <c r="B1290" t="s">
        <v>3871</v>
      </c>
      <c r="C1290" t="s">
        <v>3872</v>
      </c>
      <c r="D1290" t="str">
        <f>HYPERLINK("https://github.com/hidroh/materialistic/issues/359","show")</f>
        <v>show</v>
      </c>
      <c r="E1290" t="str">
        <f>HYPERLINK("https://github.com/hidroh/materialistic","show")</f>
        <v>show</v>
      </c>
      <c r="F1290" t="str">
        <f>HYPERLINK("https://github.com/hidroh/materialistic/releases","show")</f>
        <v>show</v>
      </c>
    </row>
    <row r="1291" spans="1:6">
      <c r="A1291" t="s">
        <v>3873</v>
      </c>
      <c r="B1291" t="s">
        <v>3874</v>
      </c>
      <c r="C1291" t="s">
        <v>3875</v>
      </c>
      <c r="D1291" t="str">
        <f>HYPERLINK("https://github.com/dimagi/commcare-android/issues/1004","show")</f>
        <v>show</v>
      </c>
      <c r="E1291" t="str">
        <f>HYPERLINK("https://github.com/dimagi/commcare-android","show")</f>
        <v>show</v>
      </c>
      <c r="F1291" t="str">
        <f>HYPERLINK("https://github.com/dimagi/commcare-android/releases","show")</f>
        <v>show</v>
      </c>
    </row>
    <row r="1292" spans="1:6">
      <c r="A1292" t="s">
        <v>3876</v>
      </c>
      <c r="B1292" t="s">
        <v>3877</v>
      </c>
      <c r="C1292" t="s">
        <v>3878</v>
      </c>
      <c r="D1292" t="str">
        <f>HYPERLINK("https://github.com/dimagi/commcare-android/issues/1019","show")</f>
        <v>show</v>
      </c>
      <c r="E1292" t="str">
        <f>HYPERLINK("https://github.com/dimagi/commcare-android","show")</f>
        <v>show</v>
      </c>
      <c r="F1292" t="str">
        <f>HYPERLINK("https://github.com/dimagi/commcare-android/releases","show")</f>
        <v>show</v>
      </c>
    </row>
    <row r="1293" spans="1:6">
      <c r="A1293" t="s">
        <v>3879</v>
      </c>
      <c r="B1293" t="s">
        <v>3880</v>
      </c>
      <c r="C1293" t="s">
        <v>3881</v>
      </c>
      <c r="D1293" t="str">
        <f>HYPERLINK("https://github.com/bumptech/glide/issues/928","show")</f>
        <v>show</v>
      </c>
      <c r="E1293" t="str">
        <f>HYPERLINK("https://github.com/bumptech/glide","show")</f>
        <v>show</v>
      </c>
      <c r="F1293" t="str">
        <f>HYPERLINK("https://github.com/bumptech/glide/releases","show")</f>
        <v>show</v>
      </c>
    </row>
    <row r="1294" spans="1:6">
      <c r="A1294" t="s">
        <v>3882</v>
      </c>
      <c r="B1294" t="s">
        <v>3883</v>
      </c>
      <c r="C1294" t="s">
        <v>3884</v>
      </c>
      <c r="D1294" t="str">
        <f>HYPERLINK("https://github.com/mixpanel/mixpanel-android/issues/308","show")</f>
        <v>show</v>
      </c>
      <c r="E1294" t="str">
        <f>HYPERLINK("https://github.com/mixpanel/mixpanel-android","show")</f>
        <v>show</v>
      </c>
      <c r="F1294" t="str">
        <f>HYPERLINK("https://github.com/mixpanel/mixpanel-android/releases","show")</f>
        <v>show</v>
      </c>
    </row>
    <row r="1295" spans="1:6">
      <c r="A1295" t="s">
        <v>3885</v>
      </c>
      <c r="B1295" t="s">
        <v>3886</v>
      </c>
      <c r="C1295" t="s">
        <v>3887</v>
      </c>
      <c r="D1295" t="str">
        <f>HYPERLINK("https://github.com/k9mail/k-9/issues/1040","show")</f>
        <v>show</v>
      </c>
      <c r="E1295" t="str">
        <f>HYPERLINK("https://github.com/k9mail/k-9","show")</f>
        <v>show</v>
      </c>
      <c r="F1295" t="str">
        <f>HYPERLINK("https://github.com/k9mail/k-9/releases","show")</f>
        <v>show</v>
      </c>
    </row>
    <row r="1296" spans="1:6">
      <c r="A1296" t="s">
        <v>3888</v>
      </c>
      <c r="B1296" t="s">
        <v>3889</v>
      </c>
      <c r="C1296" t="s">
        <v>3890</v>
      </c>
      <c r="D1296" t="str">
        <f>HYPERLINK("https://github.com/k9mail/k-9/issues/1039","show")</f>
        <v>show</v>
      </c>
      <c r="E1296" t="str">
        <f>HYPERLINK("https://github.com/k9mail/k-9","show")</f>
        <v>show</v>
      </c>
      <c r="F1296" t="str">
        <f>HYPERLINK("https://github.com/k9mail/k-9/releases","show")</f>
        <v>show</v>
      </c>
    </row>
    <row r="1297" spans="1:6">
      <c r="A1297" t="s">
        <v>3891</v>
      </c>
      <c r="B1297" t="s">
        <v>3892</v>
      </c>
      <c r="C1297" t="s">
        <v>3893</v>
      </c>
      <c r="D1297" t="str">
        <f>HYPERLINK("https://github.com/8MinutesSolar/8MinutesAndroid/issues/5","show")</f>
        <v>show</v>
      </c>
      <c r="E1297" t="str">
        <f>HYPERLINK("https://github.com/8MinutesSolar/8MinutesAndroid","show")</f>
        <v>show</v>
      </c>
      <c r="F1297" t="str">
        <f>HYPERLINK("https://github.com/8MinutesSolar/8MinutesAndroid/releases","show")</f>
        <v>show</v>
      </c>
    </row>
    <row r="1298" spans="1:6">
      <c r="A1298" t="s">
        <v>3894</v>
      </c>
      <c r="B1298" t="s">
        <v>3895</v>
      </c>
      <c r="C1298" t="s">
        <v>3896</v>
      </c>
      <c r="D1298" t="str">
        <f>HYPERLINK("https://github.com/avluis/Hentoid/issues/82","show")</f>
        <v>show</v>
      </c>
      <c r="E1298" t="str">
        <f>HYPERLINK("https://github.com/avluis/Hentoid","show")</f>
        <v>show</v>
      </c>
      <c r="F1298" t="str">
        <f>HYPERLINK("https://github.com/avluis/Hentoid/releases","show")</f>
        <v>show</v>
      </c>
    </row>
    <row r="1299" spans="1:6">
      <c r="A1299" t="s">
        <v>3897</v>
      </c>
      <c r="B1299" t="s">
        <v>3898</v>
      </c>
      <c r="C1299" t="s">
        <v>3899</v>
      </c>
      <c r="D1299" t="str">
        <f>HYPERLINK("https://github.com/hidroh/materialistic/issues/361","show")</f>
        <v>show</v>
      </c>
      <c r="E1299" t="str">
        <f>HYPERLINK("https://github.com/hidroh/materialistic","show")</f>
        <v>show</v>
      </c>
      <c r="F1299" t="str">
        <f>HYPERLINK("https://github.com/hidroh/materialistic/releases","show")</f>
        <v>show</v>
      </c>
    </row>
    <row r="1300" spans="1:6">
      <c r="A1300" t="s">
        <v>3900</v>
      </c>
      <c r="B1300" t="s">
        <v>3901</v>
      </c>
      <c r="C1300" t="s">
        <v>3902</v>
      </c>
      <c r="D1300" t="str">
        <f>HYPERLINK("https://github.com/SCCapstone/diet/issues/9","show")</f>
        <v>show</v>
      </c>
      <c r="E1300" t="str">
        <f>HYPERLINK("https://github.com/SCCapstone/diet","show")</f>
        <v>show</v>
      </c>
      <c r="F1300" t="str">
        <f>HYPERLINK("https://github.com/SCCapstone/diet/releases","show")</f>
        <v>show</v>
      </c>
    </row>
    <row r="1301" spans="1:6">
      <c r="A1301" t="s">
        <v>3903</v>
      </c>
      <c r="B1301" t="s">
        <v>3904</v>
      </c>
      <c r="C1301" t="s">
        <v>3905</v>
      </c>
      <c r="D1301" t="str">
        <f>HYPERLINK("https://github.com/kontalk/androidclient/issues/638","show")</f>
        <v>show</v>
      </c>
      <c r="E1301" t="str">
        <f>HYPERLINK("https://github.com/kontalk/androidclient","show")</f>
        <v>show</v>
      </c>
      <c r="F1301" t="str">
        <f>HYPERLINK("https://github.com/kontalk/androidclient/releases","show")</f>
        <v>show</v>
      </c>
    </row>
    <row r="1302" spans="1:6">
      <c r="A1302" t="s">
        <v>3906</v>
      </c>
      <c r="B1302" t="s">
        <v>3907</v>
      </c>
      <c r="C1302" t="s">
        <v>3908</v>
      </c>
      <c r="D1302" t="str">
        <f>HYPERLINK("https://github.com/NemProject/NEMAndroidApp/issues/107","show")</f>
        <v>show</v>
      </c>
      <c r="E1302" t="str">
        <f>HYPERLINK("https://github.com/NemProject/NEMAndroidApp","show")</f>
        <v>show</v>
      </c>
      <c r="F1302" t="str">
        <f>HYPERLINK("https://github.com/NemProject/NEMAndroidApp/releases","show")</f>
        <v>show</v>
      </c>
    </row>
    <row r="1303" spans="1:6">
      <c r="A1303" t="s">
        <v>3909</v>
      </c>
      <c r="B1303" t="s">
        <v>3910</v>
      </c>
      <c r="C1303" t="s">
        <v>3911</v>
      </c>
      <c r="D1303" t="str">
        <f>HYPERLINK("https://github.com/NemProject/NEMAndroidApp/issues/105","show")</f>
        <v>show</v>
      </c>
      <c r="E1303" t="str">
        <f>HYPERLINK("https://github.com/NemProject/NEMAndroidApp","show")</f>
        <v>show</v>
      </c>
      <c r="F1303" t="str">
        <f>HYPERLINK("https://github.com/NemProject/NEMAndroidApp/releases","show")</f>
        <v>show</v>
      </c>
    </row>
    <row r="1304" spans="1:6">
      <c r="A1304" t="s">
        <v>3912</v>
      </c>
      <c r="B1304" t="s">
        <v>3913</v>
      </c>
      <c r="C1304" t="s">
        <v>3914</v>
      </c>
      <c r="D1304" t="str">
        <f>HYPERLINK("https://github.com/NemProject/NEMAndroidApp/issues/104","show")</f>
        <v>show</v>
      </c>
      <c r="E1304" t="str">
        <f>HYPERLINK("https://github.com/NemProject/NEMAndroidApp","show")</f>
        <v>show</v>
      </c>
      <c r="F1304" t="str">
        <f>HYPERLINK("https://github.com/NemProject/NEMAndroidApp/releases","show")</f>
        <v>show</v>
      </c>
    </row>
    <row r="1305" spans="1:6">
      <c r="A1305" t="s">
        <v>3915</v>
      </c>
      <c r="B1305" t="s">
        <v>3916</v>
      </c>
      <c r="C1305" t="s">
        <v>3917</v>
      </c>
      <c r="D1305" t="str">
        <f>HYPERLINK("https://github.com/NemProject/NEMAndroidApp/issues/102","show")</f>
        <v>show</v>
      </c>
      <c r="E1305" t="str">
        <f>HYPERLINK("https://github.com/NemProject/NEMAndroidApp","show")</f>
        <v>show</v>
      </c>
      <c r="F1305" t="str">
        <f>HYPERLINK("https://github.com/NemProject/NEMAndroidApp/releases","show")</f>
        <v>show</v>
      </c>
    </row>
    <row r="1306" spans="1:6">
      <c r="A1306" t="s">
        <v>3918</v>
      </c>
      <c r="B1306" t="s">
        <v>3919</v>
      </c>
      <c r="C1306" t="s">
        <v>3920</v>
      </c>
      <c r="D1306" t="str">
        <f>HYPERLINK("https://github.com/h6ah4i/android-advancedrecyclerview/issues/176","show")</f>
        <v>show</v>
      </c>
      <c r="E1306" t="str">
        <f>HYPERLINK("https://github.com/h6ah4i/android-advancedrecyclerview","show")</f>
        <v>show</v>
      </c>
      <c r="F1306" t="str">
        <f>HYPERLINK("https://github.com/h6ah4i/android-advancedrecyclerview/releases","show")</f>
        <v>show</v>
      </c>
    </row>
    <row r="1307" spans="1:6">
      <c r="A1307" t="s">
        <v>3921</v>
      </c>
      <c r="B1307" t="s">
        <v>3922</v>
      </c>
      <c r="C1307" t="s">
        <v>3923</v>
      </c>
      <c r="D1307" t="str">
        <f>HYPERLINK("https://github.com/NemProject/NEMAndroidApp/issues/95","show")</f>
        <v>show</v>
      </c>
      <c r="E1307" t="str">
        <f>HYPERLINK("https://github.com/NemProject/NEMAndroidApp","show")</f>
        <v>show</v>
      </c>
      <c r="F1307" t="str">
        <f>HYPERLINK("https://github.com/NemProject/NEMAndroidApp/releases","show")</f>
        <v>show</v>
      </c>
    </row>
    <row r="1308" spans="1:6">
      <c r="A1308" t="s">
        <v>3924</v>
      </c>
      <c r="B1308" t="s">
        <v>3925</v>
      </c>
      <c r="C1308" t="s">
        <v>3926</v>
      </c>
      <c r="D1308" t="str">
        <f>HYPERLINK("https://github.com/hidroh/materialistic/issues/365","show")</f>
        <v>show</v>
      </c>
      <c r="E1308" t="str">
        <f>HYPERLINK("https://github.com/hidroh/materialistic","show")</f>
        <v>show</v>
      </c>
      <c r="F1308" t="str">
        <f>HYPERLINK("https://github.com/hidroh/materialistic/releases","show")</f>
        <v>show</v>
      </c>
    </row>
    <row r="1309" spans="1:6">
      <c r="A1309" t="s">
        <v>3927</v>
      </c>
      <c r="B1309" t="s">
        <v>3928</v>
      </c>
      <c r="C1309" t="s">
        <v>3929</v>
      </c>
      <c r="D1309" t="str">
        <f>HYPERLINK("https://github.com/NemProject/NEMAndroidApp/issues/109","show")</f>
        <v>show</v>
      </c>
      <c r="E1309" t="str">
        <f>HYPERLINK("https://github.com/NemProject/NEMAndroidApp","show")</f>
        <v>show</v>
      </c>
      <c r="F1309" t="str">
        <f>HYPERLINK("https://github.com/NemProject/NEMAndroidApp/releases","show")</f>
        <v>show</v>
      </c>
    </row>
    <row r="1310" spans="1:6">
      <c r="A1310" t="s">
        <v>3930</v>
      </c>
      <c r="B1310" t="s">
        <v>3931</v>
      </c>
      <c r="C1310" t="s">
        <v>3932</v>
      </c>
      <c r="D1310" t="str">
        <f>HYPERLINK("https://github.com/BluStor/GateKeeperSampleApp/issues/31","show")</f>
        <v>show</v>
      </c>
      <c r="E1310" t="str">
        <f>HYPERLINK("https://github.com/BluStor/GateKeeperSampleApp","show")</f>
        <v>show</v>
      </c>
      <c r="F1310" t="str">
        <f>HYPERLINK("https://github.com/BluStor/GateKeeperSampleApp/releases","show")</f>
        <v>show</v>
      </c>
    </row>
    <row r="1311" spans="1:6">
      <c r="A1311" t="s">
        <v>3933</v>
      </c>
      <c r="B1311" t="s">
        <v>3934</v>
      </c>
      <c r="C1311" t="s">
        <v>3935</v>
      </c>
      <c r="D1311" t="str">
        <f>HYPERLINK("https://github.com/ccrama/Slide/issues/908","show")</f>
        <v>show</v>
      </c>
      <c r="E1311" t="str">
        <f>HYPERLINK("https://github.com/ccrama/Slide","show")</f>
        <v>show</v>
      </c>
      <c r="F1311" t="str">
        <f>HYPERLINK("https://github.com/ccrama/Slide/releases","show")</f>
        <v>show</v>
      </c>
    </row>
    <row r="1312" spans="1:6">
      <c r="A1312" t="s">
        <v>3936</v>
      </c>
      <c r="B1312" t="s">
        <v>3937</v>
      </c>
      <c r="C1312" t="s">
        <v>3938</v>
      </c>
      <c r="D1312" t="str">
        <f>HYPERLINK("https://github.com/pinball83/Masked-Edittext/issues/6","show")</f>
        <v>show</v>
      </c>
      <c r="E1312" t="str">
        <f>HYPERLINK("https://github.com/pinball83/Masked-Edittext","show")</f>
        <v>show</v>
      </c>
      <c r="F1312" t="str">
        <f>HYPERLINK("https://github.com/pinball83/Masked-Edittext/releases","show")</f>
        <v>show</v>
      </c>
    </row>
    <row r="1313" spans="1:6">
      <c r="A1313" t="s">
        <v>3939</v>
      </c>
      <c r="B1313" t="s">
        <v>3940</v>
      </c>
      <c r="C1313" t="s">
        <v>3941</v>
      </c>
      <c r="D1313" t="str">
        <f>HYPERLINK("https://github.com/CellularPrivacy/Android-IMSI-Catcher-Detector/issues/759","show")</f>
        <v>show</v>
      </c>
      <c r="E1313" t="str">
        <f>HYPERLINK("https://github.com/CellularPrivacy/Android-IMSI-Catcher-Detector","show")</f>
        <v>show</v>
      </c>
      <c r="F1313" t="str">
        <f>HYPERLINK("https://github.com/CellularPrivacy/Android-IMSI-Catcher-Detector/releases","show")</f>
        <v>show</v>
      </c>
    </row>
    <row r="1314" spans="1:6">
      <c r="A1314" t="s">
        <v>3942</v>
      </c>
      <c r="B1314" t="s">
        <v>3943</v>
      </c>
      <c r="C1314" t="s">
        <v>3944</v>
      </c>
      <c r="D1314" t="str">
        <f>HYPERLINK("https://github.com/MythTV-Clients/MythtvPlayerForAndroid/issues/93","show")</f>
        <v>show</v>
      </c>
      <c r="E1314" t="str">
        <f>HYPERLINK("https://github.com/MythTV-Clients/MythtvPlayerForAndroid","show")</f>
        <v>show</v>
      </c>
      <c r="F1314" t="str">
        <f>HYPERLINK("https://github.com/MythTV-Clients/MythtvPlayerForAndroid/releases","show")</f>
        <v>show</v>
      </c>
    </row>
    <row r="1315" spans="1:6">
      <c r="A1315" t="s">
        <v>3945</v>
      </c>
      <c r="B1315" t="s">
        <v>3946</v>
      </c>
      <c r="C1315" t="s">
        <v>3947</v>
      </c>
      <c r="D1315" t="str">
        <f>HYPERLINK("https://github.com/dimagi/commcare-android/issues/1030","show")</f>
        <v>show</v>
      </c>
      <c r="E1315" t="str">
        <f>HYPERLINK("https://github.com/dimagi/commcare-android","show")</f>
        <v>show</v>
      </c>
      <c r="F1315" t="str">
        <f>HYPERLINK("https://github.com/dimagi/commcare-android/releases","show")</f>
        <v>show</v>
      </c>
    </row>
    <row r="1316" spans="1:6">
      <c r="A1316" t="s">
        <v>3948</v>
      </c>
      <c r="B1316" t="s">
        <v>3949</v>
      </c>
      <c r="C1316" t="s">
        <v>3950</v>
      </c>
      <c r="D1316" t="str">
        <f>HYPERLINK("https://github.com/8MinutesSolar/8MinutesAndroid/issues/36","show")</f>
        <v>show</v>
      </c>
      <c r="E1316" t="str">
        <f>HYPERLINK("https://github.com/8MinutesSolar/8MinutesAndroid","show")</f>
        <v>show</v>
      </c>
      <c r="F1316" t="str">
        <f>HYPERLINK("https://github.com/8MinutesSolar/8MinutesAndroid/releases","show")</f>
        <v>show</v>
      </c>
    </row>
    <row r="1317" spans="1:6">
      <c r="A1317" t="s">
        <v>3951</v>
      </c>
      <c r="B1317" t="s">
        <v>3952</v>
      </c>
      <c r="C1317" t="s">
        <v>3953</v>
      </c>
      <c r="D1317" t="str">
        <f>HYPERLINK("https://github.com/cgeo/cgeo/issues/5429","show")</f>
        <v>show</v>
      </c>
      <c r="E1317" t="str">
        <f>HYPERLINK("https://github.com/cgeo/cgeo","show")</f>
        <v>show</v>
      </c>
      <c r="F1317" t="str">
        <f>HYPERLINK("https://github.com/cgeo/cgeo/releases","show")</f>
        <v>show</v>
      </c>
    </row>
    <row r="1318" spans="1:6">
      <c r="A1318" t="s">
        <v>3954</v>
      </c>
      <c r="B1318" t="s">
        <v>3955</v>
      </c>
      <c r="C1318" t="s">
        <v>3956</v>
      </c>
      <c r="D1318" t="str">
        <f>HYPERLINK("https://github.com/stefan-niedermann/nextcloud-notes/issues/65","show")</f>
        <v>show</v>
      </c>
      <c r="E1318" t="str">
        <f>HYPERLINK("https://github.com/stefan-niedermann/nextcloud-notes","show")</f>
        <v>show</v>
      </c>
      <c r="F1318" t="str">
        <f>HYPERLINK("https://github.com/stefan-niedermann/nextcloud-notes/releases","show")</f>
        <v>show</v>
      </c>
    </row>
    <row r="1319" spans="1:6">
      <c r="A1319" t="s">
        <v>3957</v>
      </c>
      <c r="B1319" t="s">
        <v>3958</v>
      </c>
      <c r="C1319" t="s">
        <v>3959</v>
      </c>
      <c r="D1319" t="str">
        <f>HYPERLINK("https://github.com/kabouzeid/Phonograph/issues/68","show")</f>
        <v>show</v>
      </c>
      <c r="E1319" t="str">
        <f>HYPERLINK("https://github.com/kabouzeid/Phonograph","show")</f>
        <v>show</v>
      </c>
      <c r="F1319" t="str">
        <f>HYPERLINK("https://github.com/kabouzeid/Phonograph/releases","show")</f>
        <v>show</v>
      </c>
    </row>
    <row r="1320" spans="1:6">
      <c r="A1320" t="s">
        <v>3960</v>
      </c>
      <c r="B1320" t="s">
        <v>3961</v>
      </c>
      <c r="C1320" t="s">
        <v>3962</v>
      </c>
      <c r="D1320" t="str">
        <f>HYPERLINK("https://github.com/ccrama/Slide/issues/937","show")</f>
        <v>show</v>
      </c>
      <c r="E1320" t="str">
        <f>HYPERLINK("https://github.com/ccrama/Slide","show")</f>
        <v>show</v>
      </c>
      <c r="F1320" t="str">
        <f>HYPERLINK("https://github.com/ccrama/Slide/releases","show")</f>
        <v>show</v>
      </c>
    </row>
    <row r="1321" spans="1:6">
      <c r="A1321" t="s">
        <v>3963</v>
      </c>
      <c r="B1321" t="s">
        <v>3964</v>
      </c>
      <c r="C1321" t="s">
        <v>3965</v>
      </c>
      <c r="D1321" t="str">
        <f>HYPERLINK("https://github.com/pinball83/Masked-Edittext/issues/7","show")</f>
        <v>show</v>
      </c>
      <c r="E1321" t="str">
        <f>HYPERLINK("https://github.com/pinball83/Masked-Edittext","show")</f>
        <v>show</v>
      </c>
      <c r="F1321" t="str">
        <f>HYPERLINK("https://github.com/pinball83/Masked-Edittext/releases","show")</f>
        <v>show</v>
      </c>
    </row>
    <row r="1322" spans="1:6">
      <c r="A1322" t="s">
        <v>3966</v>
      </c>
      <c r="B1322" t="s">
        <v>3967</v>
      </c>
      <c r="C1322" t="s">
        <v>3968</v>
      </c>
      <c r="D1322" t="str">
        <f>HYPERLINK("https://github.com/magnetsystems/message-samples-android/issues/27","show")</f>
        <v>show</v>
      </c>
      <c r="E1322" t="str">
        <f>HYPERLINK("https://github.com/magnetsystems/message-samples-android","show")</f>
        <v>show</v>
      </c>
      <c r="F1322" t="str">
        <f>HYPERLINK("https://github.com/magnetsystems/message-samples-android/releases","show")</f>
        <v>show</v>
      </c>
    </row>
    <row r="1323" spans="1:6">
      <c r="A1323" t="s">
        <v>3969</v>
      </c>
      <c r="B1323" t="s">
        <v>3970</v>
      </c>
      <c r="C1323" t="s">
        <v>3971</v>
      </c>
      <c r="D1323" t="str">
        <f>HYPERLINK("https://github.com/inaturalist/iNaturalistAndroid/issues/116","show")</f>
        <v>show</v>
      </c>
      <c r="E1323" t="str">
        <f>HYPERLINK("https://github.com/inaturalist/iNaturalistAndroid","show")</f>
        <v>show</v>
      </c>
      <c r="F1323" t="str">
        <f>HYPERLINK("https://github.com/inaturalist/iNaturalistAndroid/releases","show")</f>
        <v>show</v>
      </c>
    </row>
    <row r="1324" spans="1:6">
      <c r="A1324" t="s">
        <v>3972</v>
      </c>
      <c r="B1324" t="s">
        <v>3973</v>
      </c>
      <c r="C1324" t="s">
        <v>3974</v>
      </c>
      <c r="D1324" t="str">
        <f>HYPERLINK("https://github.com/nitaliano/react-native-mapbox-gl/issues/267","show")</f>
        <v>show</v>
      </c>
      <c r="E1324" t="str">
        <f>HYPERLINK("https://github.com/nitaliano/react-native-mapbox-gl","show")</f>
        <v>show</v>
      </c>
      <c r="F1324" t="str">
        <f>HYPERLINK("https://github.com/nitaliano/react-native-mapbox-gl/releases","show")</f>
        <v>show</v>
      </c>
    </row>
    <row r="1325" spans="1:6">
      <c r="A1325" t="s">
        <v>3975</v>
      </c>
      <c r="B1325" t="s">
        <v>3976</v>
      </c>
      <c r="C1325" t="s">
        <v>3977</v>
      </c>
      <c r="D1325" t="str">
        <f>HYPERLINK("https://github.com/magnetsystems/message-samples-android/issues/22","show")</f>
        <v>show</v>
      </c>
      <c r="E1325" t="str">
        <f>HYPERLINK("https://github.com/magnetsystems/message-samples-android","show")</f>
        <v>show</v>
      </c>
      <c r="F1325" t="str">
        <f>HYPERLINK("https://github.com/magnetsystems/message-samples-android/releases","show")</f>
        <v>show</v>
      </c>
    </row>
    <row r="1326" spans="1:6">
      <c r="A1326" t="s">
        <v>3978</v>
      </c>
      <c r="B1326" t="s">
        <v>3979</v>
      </c>
      <c r="C1326" t="s">
        <v>3980</v>
      </c>
      <c r="D1326" t="str">
        <f>HYPERLINK("https://github.com/moneymanagerex/android-money-manager-ex/issues/676","show")</f>
        <v>show</v>
      </c>
      <c r="E1326" t="str">
        <f>HYPERLINK("https://github.com/moneymanagerex/android-money-manager-ex","show")</f>
        <v>show</v>
      </c>
      <c r="F1326" t="str">
        <f>HYPERLINK("https://github.com/moneymanagerex/android-money-manager-ex/releases","show")</f>
        <v>show</v>
      </c>
    </row>
    <row r="1327" spans="1:6">
      <c r="A1327" t="s">
        <v>3981</v>
      </c>
      <c r="B1327" t="s">
        <v>3982</v>
      </c>
      <c r="C1327" t="s">
        <v>3983</v>
      </c>
      <c r="D1327" t="str">
        <f>HYPERLINK("https://github.com/k9mail/k-9/issues/1065","show")</f>
        <v>show</v>
      </c>
      <c r="E1327" t="str">
        <f>HYPERLINK("https://github.com/k9mail/k-9","show")</f>
        <v>show</v>
      </c>
      <c r="F1327" t="str">
        <f>HYPERLINK("https://github.com/k9mail/k-9/releases","show")</f>
        <v>show</v>
      </c>
    </row>
    <row r="1328" spans="1:6">
      <c r="A1328" t="s">
        <v>3984</v>
      </c>
      <c r="B1328" t="s">
        <v>3985</v>
      </c>
      <c r="C1328" t="s">
        <v>3986</v>
      </c>
      <c r="D1328" t="str">
        <f>HYPERLINK("https://github.com/square/okhttp/issues/2309","show")</f>
        <v>show</v>
      </c>
      <c r="E1328" t="str">
        <f>HYPERLINK("https://github.com/square/okhttp","show")</f>
        <v>show</v>
      </c>
      <c r="F1328" t="str">
        <f>HYPERLINK("https://github.com/square/okhttp/releases","show")</f>
        <v>show</v>
      </c>
    </row>
    <row r="1329" spans="1:6">
      <c r="A1329" t="s">
        <v>3987</v>
      </c>
      <c r="B1329" t="s">
        <v>3988</v>
      </c>
      <c r="C1329" t="s">
        <v>3989</v>
      </c>
      <c r="D1329" t="str">
        <f>HYPERLINK("https://github.com/NemProject/NEMAndroidApp/issues/126","show")</f>
        <v>show</v>
      </c>
      <c r="E1329" t="str">
        <f>HYPERLINK("https://github.com/NemProject/NEMAndroidApp","show")</f>
        <v>show</v>
      </c>
      <c r="F1329" t="str">
        <f>HYPERLINK("https://github.com/NemProject/NEMAndroidApp/releases","show")</f>
        <v>show</v>
      </c>
    </row>
    <row r="1330" spans="1:6">
      <c r="A1330" t="s">
        <v>3990</v>
      </c>
      <c r="B1330" t="s">
        <v>3991</v>
      </c>
      <c r="C1330" t="s">
        <v>3992</v>
      </c>
      <c r="D1330" t="str">
        <f>HYPERLINK("https://github.com/OneDrive/onedrive-sdk-android/issues/38","show")</f>
        <v>show</v>
      </c>
      <c r="E1330" t="str">
        <f>HYPERLINK("https://github.com/OneDrive/onedrive-sdk-android","show")</f>
        <v>show</v>
      </c>
      <c r="F1330" t="str">
        <f>HYPERLINK("https://github.com/OneDrive/onedrive-sdk-android/releases","show")</f>
        <v>show</v>
      </c>
    </row>
    <row r="1331" spans="1:6">
      <c r="A1331" t="s">
        <v>3993</v>
      </c>
      <c r="B1331" t="s">
        <v>3994</v>
      </c>
      <c r="C1331" t="s">
        <v>3995</v>
      </c>
      <c r="D1331" t="str">
        <f>HYPERLINK("https://github.com/kontalk/androidclient/issues/643","show")</f>
        <v>show</v>
      </c>
      <c r="E1331" t="str">
        <f>HYPERLINK("https://github.com/kontalk/androidclient","show")</f>
        <v>show</v>
      </c>
      <c r="F1331" t="str">
        <f>HYPERLINK("https://github.com/kontalk/androidclient/releases","show")</f>
        <v>show</v>
      </c>
    </row>
    <row r="1332" spans="1:6">
      <c r="A1332" t="s">
        <v>3996</v>
      </c>
      <c r="B1332" t="s">
        <v>3997</v>
      </c>
      <c r="C1332" t="s">
        <v>3998</v>
      </c>
      <c r="D1332" t="str">
        <f>HYPERLINK("https://github.com/mixpanel/mixpanel-android/issues/320","show")</f>
        <v>show</v>
      </c>
      <c r="E1332" t="str">
        <f>HYPERLINK("https://github.com/mixpanel/mixpanel-android","show")</f>
        <v>show</v>
      </c>
      <c r="F1332" t="str">
        <f>HYPERLINK("https://github.com/mixpanel/mixpanel-android/releases","show")</f>
        <v>show</v>
      </c>
    </row>
    <row r="1333" spans="1:6">
      <c r="A1333" t="s">
        <v>3999</v>
      </c>
      <c r="B1333" t="s">
        <v>4000</v>
      </c>
      <c r="C1333" t="s">
        <v>4001</v>
      </c>
      <c r="D1333" t="str">
        <f>HYPERLINK("https://github.com/oxoooo/pull-back-layout/issues/4","show")</f>
        <v>show</v>
      </c>
      <c r="E1333" t="str">
        <f>HYPERLINK("https://github.com/oxoooo/pull-back-layout","show")</f>
        <v>show</v>
      </c>
      <c r="F1333" t="str">
        <f>HYPERLINK("https://github.com/oxoooo/pull-back-layout/releases","show")</f>
        <v>show</v>
      </c>
    </row>
    <row r="1334" spans="1:6">
      <c r="A1334" t="s">
        <v>4002</v>
      </c>
      <c r="B1334" t="s">
        <v>4003</v>
      </c>
      <c r="C1334" t="s">
        <v>4004</v>
      </c>
      <c r="D1334" t="str">
        <f>HYPERLINK("https://github.com/vanilla-music/vanilla/issues/282","show")</f>
        <v>show</v>
      </c>
      <c r="E1334" t="str">
        <f>HYPERLINK("https://github.com/vanilla-music/vanilla","show")</f>
        <v>show</v>
      </c>
      <c r="F1334" t="str">
        <f>HYPERLINK("https://github.com/vanilla-music/vanilla/releases","show")</f>
        <v>show</v>
      </c>
    </row>
    <row r="1335" spans="1:6">
      <c r="A1335" t="s">
        <v>4005</v>
      </c>
      <c r="B1335" t="s">
        <v>4006</v>
      </c>
      <c r="C1335" t="s">
        <v>4007</v>
      </c>
      <c r="D1335" t="str">
        <f>HYPERLINK("https://github.com/open-keychain/open-keychain/issues/1714","show")</f>
        <v>show</v>
      </c>
      <c r="E1335" t="str">
        <f>HYPERLINK("https://github.com/open-keychain/open-keychain","show")</f>
        <v>show</v>
      </c>
      <c r="F1335" t="str">
        <f>HYPERLINK("https://github.com/open-keychain/open-keychain/releases","show")</f>
        <v>show</v>
      </c>
    </row>
    <row r="1336" spans="1:6">
      <c r="A1336" t="s">
        <v>4008</v>
      </c>
      <c r="B1336" t="s">
        <v>4009</v>
      </c>
      <c r="C1336" t="s">
        <v>4010</v>
      </c>
      <c r="D1336" t="str">
        <f>HYPERLINK("https://github.com/square/okhttp/issues/2323","show")</f>
        <v>show</v>
      </c>
      <c r="E1336" t="str">
        <f>HYPERLINK("https://github.com/square/okhttp","show")</f>
        <v>show</v>
      </c>
      <c r="F1336" t="str">
        <f>HYPERLINK("https://github.com/square/okhttp/releases","show")</f>
        <v>show</v>
      </c>
    </row>
    <row r="1337" spans="1:6">
      <c r="A1337" t="s">
        <v>4011</v>
      </c>
      <c r="B1337" t="s">
        <v>4012</v>
      </c>
      <c r="C1337" t="s">
        <v>4013</v>
      </c>
      <c r="D1337" t="str">
        <f>HYPERLINK("https://github.com/ucsdCSE110wi16/CSE110M240T16/issues/2","show")</f>
        <v>show</v>
      </c>
      <c r="E1337" t="str">
        <f>HYPERLINK("https://github.com/ucsdCSE110wi16/CSE110M240T16","show")</f>
        <v>show</v>
      </c>
      <c r="F1337" t="str">
        <f>HYPERLINK("https://github.com/ucsdCSE110wi16/CSE110M240T16/releases","show")</f>
        <v>show</v>
      </c>
    </row>
    <row r="1338" spans="1:6">
      <c r="A1338" t="s">
        <v>4014</v>
      </c>
      <c r="B1338" t="s">
        <v>4015</v>
      </c>
      <c r="C1338" t="s">
        <v>4016</v>
      </c>
      <c r="D1338" t="str">
        <f>HYPERLINK("https://github.com/zhuowei/MCPELauncher/issues/609","show")</f>
        <v>show</v>
      </c>
      <c r="E1338" t="str">
        <f>HYPERLINK("https://github.com/zhuowei/MCPELauncher","show")</f>
        <v>show</v>
      </c>
      <c r="F1338" t="str">
        <f>HYPERLINK("https://github.com/zhuowei/MCPELauncher/releases","show")</f>
        <v>show</v>
      </c>
    </row>
    <row r="1339" spans="1:6">
      <c r="A1339" t="s">
        <v>4017</v>
      </c>
      <c r="B1339" t="s">
        <v>4018</v>
      </c>
      <c r="C1339" t="s">
        <v>4019</v>
      </c>
      <c r="D1339" t="str">
        <f>HYPERLINK("https://github.com/OneDrive/onedrive-sdk-android/issues/48","show")</f>
        <v>show</v>
      </c>
      <c r="E1339" t="str">
        <f>HYPERLINK("https://github.com/OneDrive/onedrive-sdk-android","show")</f>
        <v>show</v>
      </c>
      <c r="F1339" t="str">
        <f>HYPERLINK("https://github.com/OneDrive/onedrive-sdk-android/releases","show")</f>
        <v>show</v>
      </c>
    </row>
    <row r="1340" spans="1:6">
      <c r="A1340" t="s">
        <v>4020</v>
      </c>
      <c r="B1340" t="s">
        <v>4021</v>
      </c>
      <c r="C1340" t="s">
        <v>4022</v>
      </c>
      <c r="D1340" t="str">
        <f>HYPERLINK("https://github.com/konifar/droidkaigi2016/issues/108","show")</f>
        <v>show</v>
      </c>
      <c r="E1340" t="str">
        <f>HYPERLINK("https://github.com/konifar/droidkaigi2016","show")</f>
        <v>show</v>
      </c>
      <c r="F1340" t="str">
        <f>HYPERLINK("https://github.com/konifar/droidkaigi2016/releases","show")</f>
        <v>show</v>
      </c>
    </row>
    <row r="1341" spans="1:6">
      <c r="A1341" t="s">
        <v>4023</v>
      </c>
      <c r="B1341" t="s">
        <v>4024</v>
      </c>
      <c r="C1341" t="s">
        <v>4025</v>
      </c>
      <c r="D1341" t="str">
        <f>HYPERLINK("https://github.com/code-troopers/android-betterpickers/issues/254","show")</f>
        <v>show</v>
      </c>
      <c r="E1341" t="str">
        <f>HYPERLINK("https://github.com/code-troopers/android-betterpickers","show")</f>
        <v>show</v>
      </c>
      <c r="F1341" t="str">
        <f>HYPERLINK("https://github.com/code-troopers/android-betterpickers/releases","show")</f>
        <v>show</v>
      </c>
    </row>
    <row r="1342" spans="1:6">
      <c r="A1342" t="s">
        <v>4026</v>
      </c>
      <c r="B1342" t="s">
        <v>4027</v>
      </c>
      <c r="C1342" t="s">
        <v>4028</v>
      </c>
      <c r="D1342" t="str">
        <f>HYPERLINK("https://github.com/shoutit/shoutit-android/issues/60","show")</f>
        <v>show</v>
      </c>
      <c r="E1342" t="str">
        <f>HYPERLINK("https://github.com/shoutit/shoutit-android","show")</f>
        <v>show</v>
      </c>
      <c r="F1342" t="str">
        <f>HYPERLINK("https://github.com/shoutit/shoutit-android/releases","show")</f>
        <v>show</v>
      </c>
    </row>
    <row r="1343" spans="1:6">
      <c r="A1343" t="s">
        <v>4029</v>
      </c>
      <c r="B1343" t="s">
        <v>4030</v>
      </c>
      <c r="C1343" t="s">
        <v>4031</v>
      </c>
      <c r="D1343" t="str">
        <f>HYPERLINK("https://github.com/k9mail/k-9/issues/1079","show")</f>
        <v>show</v>
      </c>
      <c r="E1343" t="str">
        <f>HYPERLINK("https://github.com/k9mail/k-9","show")</f>
        <v>show</v>
      </c>
      <c r="F1343" t="str">
        <f>HYPERLINK("https://github.com/k9mail/k-9/releases","show")</f>
        <v>show</v>
      </c>
    </row>
    <row r="1344" spans="1:6">
      <c r="A1344" t="s">
        <v>4032</v>
      </c>
      <c r="B1344" t="s">
        <v>4033</v>
      </c>
      <c r="C1344" t="s">
        <v>4034</v>
      </c>
      <c r="D1344" t="str">
        <f>HYPERLINK("https://github.com/konifar/droidkaigi2016/issues/95","show")</f>
        <v>show</v>
      </c>
      <c r="E1344" t="str">
        <f>HYPERLINK("https://github.com/konifar/droidkaigi2016","show")</f>
        <v>show</v>
      </c>
      <c r="F1344" t="str">
        <f>HYPERLINK("https://github.com/konifar/droidkaigi2016/releases","show")</f>
        <v>show</v>
      </c>
    </row>
    <row r="1345" spans="1:6">
      <c r="A1345" t="s">
        <v>4035</v>
      </c>
      <c r="B1345" t="s">
        <v>4036</v>
      </c>
      <c r="C1345" t="s">
        <v>4037</v>
      </c>
      <c r="D1345" t="str">
        <f>HYPERLINK("https://github.com/commons-app/apps-android-commons/issues/56","show")</f>
        <v>show</v>
      </c>
      <c r="E1345" t="str">
        <f>HYPERLINK("https://github.com/commons-app/apps-android-commons","show")</f>
        <v>show</v>
      </c>
      <c r="F1345" t="str">
        <f>HYPERLINK("https://github.com/commons-app/apps-android-commons/releases","show")</f>
        <v>show</v>
      </c>
    </row>
    <row r="1346" spans="1:6">
      <c r="A1346" t="s">
        <v>4038</v>
      </c>
      <c r="B1346" t="s">
        <v>4039</v>
      </c>
      <c r="C1346" t="s">
        <v>4040</v>
      </c>
      <c r="D1346" t="str">
        <f>HYPERLINK("https://github.com/ashqal/ChromeLikeSwipeLayout/issues/7","show")</f>
        <v>show</v>
      </c>
      <c r="E1346" t="str">
        <f>HYPERLINK("https://github.com/ashqal/ChromeLikeSwipeLayout","show")</f>
        <v>show</v>
      </c>
      <c r="F1346" t="str">
        <f>HYPERLINK("https://github.com/ashqal/ChromeLikeSwipeLayout/releases","show")</f>
        <v>show</v>
      </c>
    </row>
    <row r="1347" spans="1:6">
      <c r="A1347" t="s">
        <v>4041</v>
      </c>
      <c r="B1347" t="s">
        <v>4042</v>
      </c>
      <c r="C1347" t="s">
        <v>4043</v>
      </c>
      <c r="D1347" t="str">
        <f>HYPERLINK("https://github.com/hidroh/materialistic/issues/373","show")</f>
        <v>show</v>
      </c>
      <c r="E1347" t="str">
        <f>HYPERLINK("https://github.com/hidroh/materialistic","show")</f>
        <v>show</v>
      </c>
      <c r="F1347" t="str">
        <f>HYPERLINK("https://github.com/hidroh/materialistic/releases","show")</f>
        <v>show</v>
      </c>
    </row>
    <row r="1348" spans="1:6">
      <c r="A1348" t="s">
        <v>4044</v>
      </c>
      <c r="B1348" t="s">
        <v>4045</v>
      </c>
      <c r="C1348" t="s">
        <v>4046</v>
      </c>
      <c r="D1348" t="str">
        <f>HYPERLINK("https://github.com/brarcher/loyalty-card-locker/issues/12","show")</f>
        <v>show</v>
      </c>
      <c r="E1348" t="str">
        <f>HYPERLINK("https://github.com/brarcher/loyalty-card-locker","show")</f>
        <v>show</v>
      </c>
      <c r="F1348" t="str">
        <f>HYPERLINK("https://github.com/brarcher/loyalty-card-locker/releases","show")</f>
        <v>show</v>
      </c>
    </row>
    <row r="1349" spans="1:6">
      <c r="A1349" t="s">
        <v>4047</v>
      </c>
      <c r="B1349" t="s">
        <v>4048</v>
      </c>
      <c r="C1349" t="s">
        <v>4049</v>
      </c>
      <c r="D1349" t="str">
        <f>HYPERLINK("https://github.com/Flaredown/FlaredownAndroid/issues/11","show")</f>
        <v>show</v>
      </c>
      <c r="E1349" t="str">
        <f>HYPERLINK("https://github.com/Flaredown/FlaredownAndroid","show")</f>
        <v>show</v>
      </c>
      <c r="F1349" t="str">
        <f>HYPERLINK("https://github.com/Flaredown/FlaredownAndroid/releases","show")</f>
        <v>show</v>
      </c>
    </row>
    <row r="1350" spans="1:6">
      <c r="A1350" t="s">
        <v>4050</v>
      </c>
      <c r="B1350" t="s">
        <v>4051</v>
      </c>
      <c r="C1350" t="s">
        <v>4052</v>
      </c>
      <c r="D1350" t="str">
        <f>HYPERLINK("https://github.com/konifar/droidkaigi2016/issues/133","show")</f>
        <v>show</v>
      </c>
      <c r="E1350" t="str">
        <f>HYPERLINK("https://github.com/konifar/droidkaigi2016","show")</f>
        <v>show</v>
      </c>
      <c r="F1350" t="str">
        <f>HYPERLINK("https://github.com/konifar/droidkaigi2016/releases","show")</f>
        <v>show</v>
      </c>
    </row>
    <row r="1351" spans="1:6">
      <c r="A1351" t="s">
        <v>4053</v>
      </c>
      <c r="B1351" t="s">
        <v>4054</v>
      </c>
      <c r="C1351" t="s">
        <v>4055</v>
      </c>
      <c r="D1351" t="str">
        <f>HYPERLINK("https://github.com/ccrama/Slide/issues/972","show")</f>
        <v>show</v>
      </c>
      <c r="E1351" t="str">
        <f>HYPERLINK("https://github.com/ccrama/Slide","show")</f>
        <v>show</v>
      </c>
      <c r="F1351" t="str">
        <f>HYPERLINK("https://github.com/ccrama/Slide/releases","show")</f>
        <v>show</v>
      </c>
    </row>
    <row r="1352" spans="1:6">
      <c r="A1352" t="s">
        <v>4056</v>
      </c>
      <c r="B1352" t="s">
        <v>4057</v>
      </c>
      <c r="C1352" t="s">
        <v>4058</v>
      </c>
      <c r="D1352" t="str">
        <f>HYPERLINK("https://github.com/TeamNewPipe/NewPipe/issues/171","show")</f>
        <v>show</v>
      </c>
      <c r="E1352" t="str">
        <f>HYPERLINK("https://github.com/TeamNewPipe/NewPipe","show")</f>
        <v>show</v>
      </c>
      <c r="F1352" t="str">
        <f>HYPERLINK("https://github.com/TeamNewPipe/NewPipe/releases","show")</f>
        <v>show</v>
      </c>
    </row>
    <row r="1353" spans="1:6">
      <c r="A1353" t="s">
        <v>4059</v>
      </c>
      <c r="B1353" t="s">
        <v>4060</v>
      </c>
      <c r="C1353" t="s">
        <v>4061</v>
      </c>
      <c r="D1353" t="str">
        <f>HYPERLINK("https://github.com/Instabug/Instabug-Android/issues/2","show")</f>
        <v>show</v>
      </c>
      <c r="E1353" t="str">
        <f>HYPERLINK("https://github.com/Instabug/Instabug-Android","show")</f>
        <v>show</v>
      </c>
      <c r="F1353" t="str">
        <f>HYPERLINK("https://github.com/Instabug/Instabug-Android/releases","show")</f>
        <v>show</v>
      </c>
    </row>
    <row r="1354" spans="1:6">
      <c r="A1354" t="s">
        <v>4062</v>
      </c>
      <c r="B1354" t="s">
        <v>4063</v>
      </c>
      <c r="C1354" t="s">
        <v>4064</v>
      </c>
      <c r="D1354" t="str">
        <f>HYPERLINK("https://github.com/martykan/webTube/issues/41","show")</f>
        <v>show</v>
      </c>
      <c r="E1354" t="str">
        <f>HYPERLINK("https://github.com/martykan/webTube","show")</f>
        <v>show</v>
      </c>
      <c r="F1354" t="str">
        <f>HYPERLINK("https://github.com/martykan/webTube/releases","show")</f>
        <v>show</v>
      </c>
    </row>
    <row r="1355" spans="1:6">
      <c r="A1355" t="s">
        <v>4065</v>
      </c>
      <c r="B1355" t="s">
        <v>4066</v>
      </c>
      <c r="C1355" t="s">
        <v>4067</v>
      </c>
      <c r="D1355" t="str">
        <f>HYPERLINK("https://github.com/konifar/droidkaigi2016/issues/179","show")</f>
        <v>show</v>
      </c>
      <c r="E1355" t="str">
        <f>HYPERLINK("https://github.com/konifar/droidkaigi2016","show")</f>
        <v>show</v>
      </c>
      <c r="F1355" t="str">
        <f>HYPERLINK("https://github.com/konifar/droidkaigi2016/releases","show")</f>
        <v>show</v>
      </c>
    </row>
    <row r="1356" spans="1:6">
      <c r="A1356" t="s">
        <v>4068</v>
      </c>
      <c r="B1356" t="s">
        <v>4069</v>
      </c>
      <c r="C1356" t="s">
        <v>4070</v>
      </c>
      <c r="D1356" t="str">
        <f>HYPERLINK("https://github.com/cgeo/cgeo/issues/5445","show")</f>
        <v>show</v>
      </c>
      <c r="E1356" t="str">
        <f>HYPERLINK("https://github.com/cgeo/cgeo","show")</f>
        <v>show</v>
      </c>
      <c r="F1356" t="str">
        <f>HYPERLINK("https://github.com/cgeo/cgeo/releases","show")</f>
        <v>show</v>
      </c>
    </row>
    <row r="1357" spans="1:6">
      <c r="A1357" t="s">
        <v>4071</v>
      </c>
      <c r="B1357" t="s">
        <v>4072</v>
      </c>
      <c r="C1357" t="s">
        <v>4073</v>
      </c>
      <c r="D1357" t="str">
        <f>HYPERLINK("https://github.com/iViolinSolo/IM---Android/issues/2","show")</f>
        <v>show</v>
      </c>
      <c r="E1357" t="str">
        <f>HYPERLINK("https://github.com/iViolinSolo/IM---Android","show")</f>
        <v>show</v>
      </c>
      <c r="F1357" t="str">
        <f>HYPERLINK("https://github.com/iViolinSolo/IM---Android/releases","show")</f>
        <v>show</v>
      </c>
    </row>
    <row r="1358" spans="1:6">
      <c r="A1358" t="s">
        <v>4074</v>
      </c>
      <c r="B1358" t="s">
        <v>4075</v>
      </c>
      <c r="C1358" t="s">
        <v>4076</v>
      </c>
      <c r="D1358" t="str">
        <f>HYPERLINK("https://github.com/OneBusAway/onebusaway-android/issues/418","show")</f>
        <v>show</v>
      </c>
      <c r="E1358" t="str">
        <f>HYPERLINK("https://github.com/OneBusAway/onebusaway-android","show")</f>
        <v>show</v>
      </c>
      <c r="F1358" t="str">
        <f>HYPERLINK("https://github.com/OneBusAway/onebusaway-android/releases","show")</f>
        <v>show</v>
      </c>
    </row>
    <row r="1359" spans="1:6">
      <c r="A1359" t="s">
        <v>4077</v>
      </c>
      <c r="B1359" t="s">
        <v>4078</v>
      </c>
      <c r="C1359" t="s">
        <v>4079</v>
      </c>
      <c r="D1359" t="str">
        <f>HYPERLINK("https://github.com/ccrama/Slide/issues/996","show")</f>
        <v>show</v>
      </c>
      <c r="E1359" t="str">
        <f>HYPERLINK("https://github.com/ccrama/Slide","show")</f>
        <v>show</v>
      </c>
      <c r="F1359" t="str">
        <f>HYPERLINK("https://github.com/ccrama/Slide/releases","show")</f>
        <v>show</v>
      </c>
    </row>
    <row r="1360" spans="1:6">
      <c r="A1360" t="s">
        <v>4080</v>
      </c>
      <c r="B1360" t="s">
        <v>4081</v>
      </c>
      <c r="C1360" t="s">
        <v>4082</v>
      </c>
      <c r="D1360" t="str">
        <f>HYPERLINK("https://github.com/cymcsg/UltimateRecyclerView/issues/301","show")</f>
        <v>show</v>
      </c>
      <c r="E1360" t="str">
        <f>HYPERLINK("https://github.com/cymcsg/UltimateRecyclerView","show")</f>
        <v>show</v>
      </c>
      <c r="F1360" t="str">
        <f>HYPERLINK("https://github.com/cymcsg/UltimateRecyclerView/releases","show")</f>
        <v>show</v>
      </c>
    </row>
    <row r="1361" spans="1:6">
      <c r="A1361" t="s">
        <v>4083</v>
      </c>
      <c r="B1361" t="s">
        <v>4084</v>
      </c>
      <c r="C1361" t="s">
        <v>4085</v>
      </c>
      <c r="D1361" t="str">
        <f>HYPERLINK("https://github.com/ucsdCSE110wi16/CSE110M240T12/issues/11","show")</f>
        <v>show</v>
      </c>
      <c r="E1361" t="str">
        <f>HYPERLINK("https://github.com/ucsdCSE110wi16/CSE110M240T12","show")</f>
        <v>show</v>
      </c>
      <c r="F1361" t="str">
        <f>HYPERLINK("https://github.com/ucsdCSE110wi16/CSE110M240T12/releases","show")</f>
        <v>show</v>
      </c>
    </row>
    <row r="1362" spans="1:6">
      <c r="A1362" t="s">
        <v>4086</v>
      </c>
      <c r="B1362" t="s">
        <v>4087</v>
      </c>
      <c r="C1362" t="s">
        <v>4088</v>
      </c>
      <c r="D1362" t="str">
        <f>HYPERLINK("https://github.com/ccrama/Slide/issues/1006","show")</f>
        <v>show</v>
      </c>
      <c r="E1362" t="str">
        <f>HYPERLINK("https://github.com/ccrama/Slide","show")</f>
        <v>show</v>
      </c>
      <c r="F1362" t="str">
        <f>HYPERLINK("https://github.com/ccrama/Slide/releases","show")</f>
        <v>show</v>
      </c>
    </row>
    <row r="1363" spans="1:6">
      <c r="A1363" t="s">
        <v>4089</v>
      </c>
      <c r="B1363" t="s">
        <v>4090</v>
      </c>
      <c r="C1363" t="s">
        <v>4091</v>
      </c>
      <c r="D1363" t="str">
        <f>HYPERLINK("https://github.com/dimagi/commcare-android/issues/1078","show")</f>
        <v>show</v>
      </c>
      <c r="E1363" t="str">
        <f>HYPERLINK("https://github.com/dimagi/commcare-android","show")</f>
        <v>show</v>
      </c>
      <c r="F1363" t="str">
        <f>HYPERLINK("https://github.com/dimagi/commcare-android/releases","show")</f>
        <v>show</v>
      </c>
    </row>
    <row r="1364" spans="1:6">
      <c r="A1364" t="s">
        <v>4092</v>
      </c>
      <c r="B1364" t="s">
        <v>4093</v>
      </c>
      <c r="C1364" t="s">
        <v>4094</v>
      </c>
      <c r="D1364" t="str">
        <f>HYPERLINK("https://github.com/zhuowei/MCPELauncher/issues/636","show")</f>
        <v>show</v>
      </c>
      <c r="E1364" t="str">
        <f>HYPERLINK("https://github.com/zhuowei/MCPELauncher","show")</f>
        <v>show</v>
      </c>
      <c r="F1364" t="str">
        <f>HYPERLINK("https://github.com/zhuowei/MCPELauncher/releases","show")</f>
        <v>show</v>
      </c>
    </row>
    <row r="1365" spans="1:6">
      <c r="A1365" t="s">
        <v>4095</v>
      </c>
      <c r="B1365" t="s">
        <v>4096</v>
      </c>
      <c r="C1365" t="s">
        <v>4097</v>
      </c>
      <c r="D1365" t="str">
        <f>HYPERLINK("https://github.com/eneim/Attiq/issues/18","show")</f>
        <v>show</v>
      </c>
      <c r="E1365" t="str">
        <f>HYPERLINK("https://github.com/eneim/Attiq","show")</f>
        <v>show</v>
      </c>
      <c r="F1365" t="str">
        <f>HYPERLINK("https://github.com/eneim/Attiq/releases","show")</f>
        <v>show</v>
      </c>
    </row>
    <row r="1366" spans="1:6">
      <c r="A1366" t="s">
        <v>4098</v>
      </c>
      <c r="B1366" t="s">
        <v>4099</v>
      </c>
      <c r="C1366" t="s">
        <v>4100</v>
      </c>
      <c r="D1366" t="str">
        <f>HYPERLINK("https://github.com/martykan/forecastie/issues/61","show")</f>
        <v>show</v>
      </c>
      <c r="E1366" t="str">
        <f>HYPERLINK("https://github.com/martykan/forecastie","show")</f>
        <v>show</v>
      </c>
      <c r="F1366" t="str">
        <f>HYPERLINK("https://github.com/martykan/forecastie/releases","show")</f>
        <v>show</v>
      </c>
    </row>
    <row r="1367" spans="1:6">
      <c r="A1367" t="s">
        <v>4101</v>
      </c>
      <c r="B1367" t="s">
        <v>4102</v>
      </c>
      <c r="C1367" t="s">
        <v>4103</v>
      </c>
      <c r="D1367" t="str">
        <f>HYPERLINK("https://github.com/requery/requery/issues/5","show")</f>
        <v>show</v>
      </c>
      <c r="E1367" t="str">
        <f>HYPERLINK("https://github.com/requery/requery","show")</f>
        <v>show</v>
      </c>
      <c r="F1367" t="str">
        <f>HYPERLINK("https://github.com/requery/requery/releases","show")</f>
        <v>show</v>
      </c>
    </row>
    <row r="1368" spans="1:6">
      <c r="A1368" t="s">
        <v>4104</v>
      </c>
      <c r="B1368" t="s">
        <v>4105</v>
      </c>
      <c r="C1368" t="s">
        <v>4106</v>
      </c>
      <c r="D1368" t="str">
        <f>HYPERLINK("https://github.com/keefmarshall/fco-alerts-app/issues/4","show")</f>
        <v>show</v>
      </c>
      <c r="E1368" t="str">
        <f>HYPERLINK("https://github.com/keefmarshall/fco-alerts-app","show")</f>
        <v>show</v>
      </c>
      <c r="F1368" t="str">
        <f>HYPERLINK("https://github.com/keefmarshall/fco-alerts-app/releases","show")</f>
        <v>show</v>
      </c>
    </row>
    <row r="1369" spans="1:6">
      <c r="A1369" t="s">
        <v>4107</v>
      </c>
      <c r="B1369" t="s">
        <v>4108</v>
      </c>
      <c r="C1369" t="s">
        <v>4109</v>
      </c>
      <c r="D1369" t="str">
        <f>HYPERLINK("https://github.com/k0shk0sh/PermissionHelper/issues/7","show")</f>
        <v>show</v>
      </c>
      <c r="E1369" t="str">
        <f>HYPERLINK("https://github.com/k0shk0sh/PermissionHelper","show")</f>
        <v>show</v>
      </c>
      <c r="F1369" t="str">
        <f>HYPERLINK("https://github.com/k0shk0sh/PermissionHelper/releases","show")</f>
        <v>show</v>
      </c>
    </row>
    <row r="1370" spans="1:6">
      <c r="A1370" t="s">
        <v>4110</v>
      </c>
      <c r="B1370" t="s">
        <v>4111</v>
      </c>
      <c r="C1370" t="s">
        <v>4112</v>
      </c>
      <c r="D1370" t="str">
        <f>HYPERLINK("https://github.com/SuicSoft/Little-PDF-Merge-Android/issues/1","show")</f>
        <v>show</v>
      </c>
      <c r="E1370" t="str">
        <f>HYPERLINK("https://github.com/SuicSoft/Little-PDF-Merge-Android","show")</f>
        <v>show</v>
      </c>
      <c r="F1370" t="str">
        <f>HYPERLINK("https://github.com/SuicSoft/Little-PDF-Merge-Android/releases","show")</f>
        <v>show</v>
      </c>
    </row>
    <row r="1371" spans="1:6">
      <c r="A1371" t="s">
        <v>4113</v>
      </c>
      <c r="B1371" t="s">
        <v>4114</v>
      </c>
      <c r="C1371" t="s">
        <v>4115</v>
      </c>
      <c r="D1371" t="str">
        <f>HYPERLINK("https://github.com/twystin/twyst_ordering_app/issues/48","show")</f>
        <v>show</v>
      </c>
      <c r="E1371" t="str">
        <f>HYPERLINK("https://github.com/twystin/twyst_ordering_app","show")</f>
        <v>show</v>
      </c>
      <c r="F1371" t="str">
        <f>HYPERLINK("https://github.com/twystin/twyst_ordering_app/releases","show")</f>
        <v>show</v>
      </c>
    </row>
    <row r="1372" spans="1:6">
      <c r="A1372" t="s">
        <v>4116</v>
      </c>
      <c r="B1372" t="s">
        <v>4117</v>
      </c>
      <c r="C1372" t="s">
        <v>4118</v>
      </c>
      <c r="D1372" t="str">
        <f>HYPERLINK("https://github.com/N3ar/ShakeDetection/issues/1","show")</f>
        <v>show</v>
      </c>
      <c r="E1372" t="str">
        <f>HYPERLINK("https://github.com/N3ar/ShakeDetection","show")</f>
        <v>show</v>
      </c>
      <c r="F1372" t="str">
        <f>HYPERLINK("https://github.com/N3ar/ShakeDetection/releases","show")</f>
        <v>show</v>
      </c>
    </row>
    <row r="1373" spans="1:6">
      <c r="A1373" t="s">
        <v>4119</v>
      </c>
      <c r="B1373" t="s">
        <v>4120</v>
      </c>
      <c r="C1373" t="s">
        <v>4121</v>
      </c>
      <c r="D1373" t="str">
        <f>HYPERLINK("https://github.com/haiwen/seadroid/issues/491","show")</f>
        <v>show</v>
      </c>
      <c r="E1373" t="str">
        <f>HYPERLINK("https://github.com/haiwen/seadroid","show")</f>
        <v>show</v>
      </c>
      <c r="F1373" t="str">
        <f>HYPERLINK("https://github.com/haiwen/seadroid/releases","show")</f>
        <v>show</v>
      </c>
    </row>
    <row r="1374" spans="1:6">
      <c r="A1374" t="s">
        <v>4122</v>
      </c>
      <c r="B1374" t="s">
        <v>4123</v>
      </c>
      <c r="C1374" t="s">
        <v>4124</v>
      </c>
      <c r="D1374" t="str">
        <f>HYPERLINK("https://github.com/DarkNormal/ModernEventApp/issues/23","show")</f>
        <v>show</v>
      </c>
      <c r="E1374" t="str">
        <f>HYPERLINK("https://github.com/DarkNormal/ModernEventApp","show")</f>
        <v>show</v>
      </c>
      <c r="F1374" t="str">
        <f>HYPERLINK("https://github.com/DarkNormal/ModernEventApp/releases","show")</f>
        <v>show</v>
      </c>
    </row>
    <row r="1375" spans="1:6">
      <c r="A1375" t="s">
        <v>4125</v>
      </c>
      <c r="B1375" t="s">
        <v>4126</v>
      </c>
      <c r="C1375" t="s">
        <v>4127</v>
      </c>
      <c r="D1375" t="str">
        <f>HYPERLINK("https://github.com/spacecowboy/NoNonsense-FilePicker/issues/73","show")</f>
        <v>show</v>
      </c>
      <c r="E1375" t="str">
        <f>HYPERLINK("https://github.com/spacecowboy/NoNonsense-FilePicker","show")</f>
        <v>show</v>
      </c>
      <c r="F1375" t="str">
        <f>HYPERLINK("https://github.com/spacecowboy/NoNonsense-FilePicker/releases","show")</f>
        <v>show</v>
      </c>
    </row>
    <row r="1376" spans="1:6">
      <c r="A1376" t="s">
        <v>4128</v>
      </c>
      <c r="B1376" t="s">
        <v>4129</v>
      </c>
      <c r="C1376" t="s">
        <v>4130</v>
      </c>
      <c r="D1376" t="str">
        <f>HYPERLINK("https://github.com/aws-amplify/aws-sdk-android/issues/103","show")</f>
        <v>show</v>
      </c>
      <c r="E1376" t="str">
        <f>HYPERLINK("https://github.com/aws-amplify/aws-sdk-android","show")</f>
        <v>show</v>
      </c>
      <c r="F1376" t="str">
        <f>HYPERLINK("https://github.com/aws-amplify/aws-sdk-android/releases","show")</f>
        <v>show</v>
      </c>
    </row>
    <row r="1377" spans="1:6">
      <c r="A1377" t="s">
        <v>4131</v>
      </c>
      <c r="B1377" t="s">
        <v>4132</v>
      </c>
      <c r="C1377" t="s">
        <v>4133</v>
      </c>
      <c r="D1377" t="str">
        <f>HYPERLINK("https://github.com/Neraud/PADListener/issues/101","show")</f>
        <v>show</v>
      </c>
      <c r="E1377" t="str">
        <f>HYPERLINK("https://github.com/Neraud/PADListener","show")</f>
        <v>show</v>
      </c>
      <c r="F1377" t="str">
        <f>HYPERLINK("https://github.com/Neraud/PADListener/releases","show")</f>
        <v>show</v>
      </c>
    </row>
    <row r="1378" spans="1:6">
      <c r="A1378" t="s">
        <v>4134</v>
      </c>
      <c r="B1378" t="s">
        <v>4135</v>
      </c>
      <c r="C1378" t="s">
        <v>4136</v>
      </c>
      <c r="D1378" t="str">
        <f>HYPERLINK("https://github.com/twystin/twyst_ordering_app/issues/54","show")</f>
        <v>show</v>
      </c>
      <c r="E1378" t="str">
        <f>HYPERLINK("https://github.com/twystin/twyst_ordering_app","show")</f>
        <v>show</v>
      </c>
      <c r="F1378" t="str">
        <f>HYPERLINK("https://github.com/twystin/twyst_ordering_app/releases","show")</f>
        <v>show</v>
      </c>
    </row>
    <row r="1379" spans="1:6">
      <c r="A1379" t="s">
        <v>4137</v>
      </c>
      <c r="B1379" t="s">
        <v>4138</v>
      </c>
      <c r="C1379" t="s">
        <v>4139</v>
      </c>
      <c r="D1379" t="str">
        <f>HYPERLINK("https://github.com/MrRobotto/MrRobotto/issues/39","show")</f>
        <v>show</v>
      </c>
      <c r="E1379" t="str">
        <f>HYPERLINK("https://github.com/MrRobotto/MrRobotto","show")</f>
        <v>show</v>
      </c>
      <c r="F1379" t="str">
        <f>HYPERLINK("https://github.com/MrRobotto/MrRobotto/releases","show")</f>
        <v>show</v>
      </c>
    </row>
    <row r="1380" spans="1:6">
      <c r="A1380" t="s">
        <v>4140</v>
      </c>
      <c r="B1380" t="s">
        <v>4141</v>
      </c>
      <c r="C1380" t="s">
        <v>4142</v>
      </c>
      <c r="D1380" t="str">
        <f>HYPERLINK("https://github.com/Harlber/Moose/issues/28","show")</f>
        <v>show</v>
      </c>
      <c r="E1380" t="str">
        <f>HYPERLINK("https://github.com/Harlber/Moose","show")</f>
        <v>show</v>
      </c>
      <c r="F1380" t="str">
        <f>HYPERLINK("https://github.com/Harlber/Moose/releases","show")</f>
        <v>show</v>
      </c>
    </row>
    <row r="1381" spans="1:6">
      <c r="A1381" t="s">
        <v>4143</v>
      </c>
      <c r="B1381" t="s">
        <v>4144</v>
      </c>
      <c r="C1381" t="s">
        <v>4145</v>
      </c>
      <c r="D1381" t="str">
        <f>HYPERLINK("https://github.com/ccrama/Slide/issues/1073","show")</f>
        <v>show</v>
      </c>
      <c r="E1381" t="str">
        <f>HYPERLINK("https://github.com/ccrama/Slide","show")</f>
        <v>show</v>
      </c>
      <c r="F1381" t="str">
        <f>HYPERLINK("https://github.com/ccrama/Slide/releases","show")</f>
        <v>show</v>
      </c>
    </row>
    <row r="1382" spans="1:6">
      <c r="A1382" t="s">
        <v>4146</v>
      </c>
      <c r="B1382" t="s">
        <v>4147</v>
      </c>
      <c r="C1382" t="s">
        <v>4148</v>
      </c>
      <c r="D1382" t="str">
        <f>HYPERLINK("https://github.com/translation-cards/translation-cards/issues/32","show")</f>
        <v>show</v>
      </c>
      <c r="E1382" t="str">
        <f>HYPERLINK("https://github.com/translation-cards/translation-cards","show")</f>
        <v>show</v>
      </c>
      <c r="F1382" t="str">
        <f>HYPERLINK("https://github.com/translation-cards/translation-cards/releases","show")</f>
        <v>show</v>
      </c>
    </row>
    <row r="1383" spans="1:6">
      <c r="A1383" t="s">
        <v>4149</v>
      </c>
      <c r="B1383" t="s">
        <v>4150</v>
      </c>
      <c r="C1383" t="s">
        <v>4151</v>
      </c>
      <c r="D1383" t="str">
        <f>HYPERLINK("https://github.com/dimagi/commcare-android/issues/1091","show")</f>
        <v>show</v>
      </c>
      <c r="E1383" t="str">
        <f>HYPERLINK("https://github.com/dimagi/commcare-android","show")</f>
        <v>show</v>
      </c>
      <c r="F1383" t="str">
        <f>HYPERLINK("https://github.com/dimagi/commcare-android/releases","show")</f>
        <v>show</v>
      </c>
    </row>
    <row r="1384" spans="1:6">
      <c r="A1384" t="s">
        <v>4152</v>
      </c>
      <c r="B1384" t="s">
        <v>4153</v>
      </c>
      <c r="C1384" t="s">
        <v>4154</v>
      </c>
      <c r="D1384" t="str">
        <f>HYPERLINK("https://github.com/spacecowboy/NoNonsense-FilePicker/issues/76","show")</f>
        <v>show</v>
      </c>
      <c r="E1384" t="str">
        <f>HYPERLINK("https://github.com/spacecowboy/NoNonsense-FilePicker","show")</f>
        <v>show</v>
      </c>
      <c r="F1384" t="str">
        <f>HYPERLINK("https://github.com/spacecowboy/NoNonsense-FilePicker/releases","show")</f>
        <v>show</v>
      </c>
    </row>
    <row r="1385" spans="1:6">
      <c r="A1385" t="s">
        <v>4155</v>
      </c>
      <c r="B1385" t="s">
        <v>4156</v>
      </c>
      <c r="C1385" t="s">
        <v>4157</v>
      </c>
      <c r="D1385" t="str">
        <f>HYPERLINK("https://github.com/microg/GmsCore/issues/96","show")</f>
        <v>show</v>
      </c>
      <c r="E1385" t="str">
        <f>HYPERLINK("https://github.com/microg/GmsCore","show")</f>
        <v>show</v>
      </c>
      <c r="F1385" t="str">
        <f>HYPERLINK("https://github.com/microg/GmsCore/releases","show")</f>
        <v>show</v>
      </c>
    </row>
    <row r="1386" spans="1:6">
      <c r="A1386" t="s">
        <v>4158</v>
      </c>
      <c r="B1386" t="s">
        <v>4159</v>
      </c>
      <c r="C1386" t="s">
        <v>4160</v>
      </c>
      <c r="D1386" t="str">
        <f>HYPERLINK("https://github.com/javiersantos/AppUpdater/issues/13","show")</f>
        <v>show</v>
      </c>
      <c r="E1386" t="str">
        <f>HYPERLINK("https://github.com/javiersantos/AppUpdater","show")</f>
        <v>show</v>
      </c>
      <c r="F1386" t="str">
        <f>HYPERLINK("https://github.com/javiersantos/AppUpdater/releases","show")</f>
        <v>show</v>
      </c>
    </row>
    <row r="1387" spans="1:6">
      <c r="A1387" t="s">
        <v>4161</v>
      </c>
      <c r="B1387" t="s">
        <v>4162</v>
      </c>
      <c r="C1387" t="s">
        <v>4163</v>
      </c>
      <c r="D1387" t="str">
        <f>HYPERLINK("https://github.com/jareddlc/OpenFit/issues/31","show")</f>
        <v>show</v>
      </c>
      <c r="E1387" t="str">
        <f>HYPERLINK("https://github.com/jareddlc/OpenFit","show")</f>
        <v>show</v>
      </c>
      <c r="F1387" t="str">
        <f>HYPERLINK("https://github.com/jareddlc/OpenFit/releases","show")</f>
        <v>show</v>
      </c>
    </row>
    <row r="1388" spans="1:6">
      <c r="A1388" t="s">
        <v>4164</v>
      </c>
      <c r="B1388" t="s">
        <v>4165</v>
      </c>
      <c r="C1388" t="s">
        <v>4166</v>
      </c>
      <c r="D1388" t="str">
        <f>HYPERLINK("https://github.com/OpenTreeMap/otm-android/issues/255","show")</f>
        <v>show</v>
      </c>
      <c r="E1388" t="str">
        <f>HYPERLINK("https://github.com/OpenTreeMap/otm-android","show")</f>
        <v>show</v>
      </c>
      <c r="F1388" t="str">
        <f>HYPERLINK("https://github.com/OpenTreeMap/otm-android/releases","show")</f>
        <v>show</v>
      </c>
    </row>
    <row r="1389" spans="1:6">
      <c r="A1389" t="s">
        <v>4167</v>
      </c>
      <c r="B1389" t="s">
        <v>4168</v>
      </c>
      <c r="C1389" t="s">
        <v>4169</v>
      </c>
      <c r="D1389" t="str">
        <f>HYPERLINK("https://github.com/openintents/shoppinglist/issues/26","show")</f>
        <v>show</v>
      </c>
      <c r="E1389" t="str">
        <f>HYPERLINK("https://github.com/openintents/shoppinglist","show")</f>
        <v>show</v>
      </c>
      <c r="F1389" t="str">
        <f>HYPERLINK("https://github.com/openintents/shoppinglist/releases","show")</f>
        <v>show</v>
      </c>
    </row>
    <row r="1390" spans="1:6">
      <c r="A1390" t="s">
        <v>4170</v>
      </c>
      <c r="B1390" t="s">
        <v>4171</v>
      </c>
      <c r="C1390" t="s">
        <v>4172</v>
      </c>
      <c r="D1390" t="str">
        <f>HYPERLINK("https://github.com/popcorn-official/popcorn-android/issues/9","show")</f>
        <v>show</v>
      </c>
      <c r="E1390" t="str">
        <f>HYPERLINK("https://github.com/popcorn-official/popcorn-android","show")</f>
        <v>show</v>
      </c>
      <c r="F1390" t="str">
        <f>HYPERLINK("https://github.com/popcorn-official/popcorn-android/releases","show")</f>
        <v>show</v>
      </c>
    </row>
    <row r="1391" spans="1:6">
      <c r="A1391" t="s">
        <v>4173</v>
      </c>
      <c r="B1391" t="s">
        <v>4174</v>
      </c>
      <c r="C1391" t="s">
        <v>4175</v>
      </c>
      <c r="D1391" t="str">
        <f>HYPERLINK("https://github.com/ccrama/Slide/issues/1077","show")</f>
        <v>show</v>
      </c>
      <c r="E1391" t="str">
        <f>HYPERLINK("https://github.com/ccrama/Slide","show")</f>
        <v>show</v>
      </c>
      <c r="F1391" t="str">
        <f>HYPERLINK("https://github.com/ccrama/Slide/releases","show")</f>
        <v>show</v>
      </c>
    </row>
    <row r="1392" spans="1:6">
      <c r="A1392" t="s">
        <v>4176</v>
      </c>
      <c r="B1392" t="s">
        <v>4177</v>
      </c>
      <c r="C1392" t="s">
        <v>4178</v>
      </c>
      <c r="D1392" t="str">
        <f>HYPERLINK("https://github.com/QuantumBadger/RedReader/issues/279","show")</f>
        <v>show</v>
      </c>
      <c r="E1392" t="str">
        <f>HYPERLINK("https://github.com/QuantumBadger/RedReader","show")</f>
        <v>show</v>
      </c>
      <c r="F1392" t="str">
        <f>HYPERLINK("https://github.com/QuantumBadger/RedReader/releases","show")</f>
        <v>show</v>
      </c>
    </row>
    <row r="1393" spans="1:6">
      <c r="A1393" t="s">
        <v>4179</v>
      </c>
      <c r="B1393" t="s">
        <v>4180</v>
      </c>
      <c r="C1393" t="s">
        <v>4181</v>
      </c>
      <c r="D1393" t="str">
        <f>HYPERLINK("https://github.com/dimagi/commcare-android/issues/1098","show")</f>
        <v>show</v>
      </c>
      <c r="E1393" t="str">
        <f>HYPERLINK("https://github.com/dimagi/commcare-android","show")</f>
        <v>show</v>
      </c>
      <c r="F1393" t="str">
        <f>HYPERLINK("https://github.com/dimagi/commcare-android/releases","show")</f>
        <v>show</v>
      </c>
    </row>
    <row r="1394" spans="1:6">
      <c r="A1394" t="s">
        <v>4182</v>
      </c>
      <c r="B1394" t="s">
        <v>4183</v>
      </c>
      <c r="C1394" t="s">
        <v>4184</v>
      </c>
      <c r="D1394" t="str">
        <f>HYPERLINK("https://github.com/nextcloud/news-android/issues/493","show")</f>
        <v>show</v>
      </c>
      <c r="E1394" t="str">
        <f>HYPERLINK("https://github.com/nextcloud/news-android","show")</f>
        <v>show</v>
      </c>
      <c r="F1394" t="str">
        <f>HYPERLINK("https://github.com/nextcloud/news-android/releases","show")</f>
        <v>show</v>
      </c>
    </row>
    <row r="1395" spans="1:6">
      <c r="A1395" t="s">
        <v>4185</v>
      </c>
      <c r="B1395" t="s">
        <v>4186</v>
      </c>
      <c r="C1395" t="s">
        <v>4187</v>
      </c>
      <c r="D1395" t="str">
        <f>HYPERLINK("https://github.com/libgdx/libgdx/issues/3880","show")</f>
        <v>show</v>
      </c>
      <c r="E1395" t="str">
        <f>HYPERLINK("https://github.com/libgdx/libgdx","show")</f>
        <v>show</v>
      </c>
      <c r="F1395" t="str">
        <f>HYPERLINK("https://github.com/libgdx/libgdx/releases","show")</f>
        <v>show</v>
      </c>
    </row>
    <row r="1396" spans="1:6">
      <c r="A1396" t="s">
        <v>4188</v>
      </c>
      <c r="B1396" t="s">
        <v>4189</v>
      </c>
      <c r="C1396" t="s">
        <v>4190</v>
      </c>
      <c r="D1396" t="str">
        <f>HYPERLINK("https://github.com/google/ExoPlayer/issues/1315","show")</f>
        <v>show</v>
      </c>
      <c r="E1396" t="str">
        <f>HYPERLINK("https://github.com/google/ExoPlayer","show")</f>
        <v>show</v>
      </c>
      <c r="F1396" t="str">
        <f>HYPERLINK("https://github.com/google/ExoPlayer/releases","show")</f>
        <v>show</v>
      </c>
    </row>
    <row r="1397" spans="1:6">
      <c r="A1397" t="s">
        <v>4191</v>
      </c>
      <c r="B1397" t="s">
        <v>4192</v>
      </c>
      <c r="C1397" t="s">
        <v>4193</v>
      </c>
      <c r="D1397" t="str">
        <f>HYPERLINK("https://github.com/mariotaku/Pass/issues/4","show")</f>
        <v>show</v>
      </c>
      <c r="E1397" t="str">
        <f>HYPERLINK("https://github.com/mariotaku/Pass","show")</f>
        <v>show</v>
      </c>
      <c r="F1397" t="str">
        <f>HYPERLINK("https://github.com/mariotaku/Pass/releases","show")</f>
        <v>show</v>
      </c>
    </row>
    <row r="1398" spans="1:6">
      <c r="A1398" t="s">
        <v>4194</v>
      </c>
      <c r="B1398" t="s">
        <v>4195</v>
      </c>
      <c r="C1398" t="s">
        <v>4196</v>
      </c>
      <c r="D1398" t="str">
        <f>HYPERLINK("https://github.com/CellularPrivacy/Android-IMSI-Catcher-Detector/issues/805","show")</f>
        <v>show</v>
      </c>
      <c r="E1398" t="str">
        <f>HYPERLINK("https://github.com/CellularPrivacy/Android-IMSI-Catcher-Detector","show")</f>
        <v>show</v>
      </c>
      <c r="F1398" t="str">
        <f>HYPERLINK("https://github.com/CellularPrivacy/Android-IMSI-Catcher-Detector/releases","show")</f>
        <v>show</v>
      </c>
    </row>
    <row r="1399" spans="1:6">
      <c r="A1399" t="s">
        <v>4197</v>
      </c>
      <c r="B1399" t="s">
        <v>4198</v>
      </c>
      <c r="C1399" t="s">
        <v>4199</v>
      </c>
      <c r="D1399" t="str">
        <f>HYPERLINK("https://github.com/popcorn-official/popcorn-android/issues/14","show")</f>
        <v>show</v>
      </c>
      <c r="E1399" t="str">
        <f>HYPERLINK("https://github.com/popcorn-official/popcorn-android","show")</f>
        <v>show</v>
      </c>
      <c r="F1399" t="str">
        <f>HYPERLINK("https://github.com/popcorn-official/popcorn-android/releases","show")</f>
        <v>show</v>
      </c>
    </row>
    <row r="1400" spans="1:6">
      <c r="A1400" t="s">
        <v>4200</v>
      </c>
      <c r="B1400" t="s">
        <v>4201</v>
      </c>
      <c r="C1400" t="s">
        <v>4202</v>
      </c>
      <c r="D1400" t="str">
        <f>HYPERLINK("https://github.com/IvoGoman/Diabetes-App/issues/8","show")</f>
        <v>show</v>
      </c>
      <c r="E1400" t="str">
        <f>HYPERLINK("https://github.com/IvoGoman/Diabetes-App","show")</f>
        <v>show</v>
      </c>
      <c r="F1400" t="str">
        <f>HYPERLINK("https://github.com/IvoGoman/Diabetes-App/releases","show")</f>
        <v>show</v>
      </c>
    </row>
    <row r="1401" spans="1:6">
      <c r="A1401" t="s">
        <v>4203</v>
      </c>
      <c r="B1401" t="s">
        <v>4204</v>
      </c>
      <c r="C1401" t="s">
        <v>4205</v>
      </c>
      <c r="D1401" t="str">
        <f>HYPERLINK("https://github.com/the-blue-alliance/the-blue-alliance-android/issues/588","show")</f>
        <v>show</v>
      </c>
      <c r="E1401" t="str">
        <f>HYPERLINK("https://github.com/the-blue-alliance/the-blue-alliance-android","show")</f>
        <v>show</v>
      </c>
      <c r="F1401" t="str">
        <f>HYPERLINK("https://github.com/the-blue-alliance/the-blue-alliance-android/releases","show")</f>
        <v>show</v>
      </c>
    </row>
    <row r="1402" spans="1:6">
      <c r="A1402" t="s">
        <v>4206</v>
      </c>
      <c r="B1402" t="s">
        <v>4207</v>
      </c>
      <c r="C1402" t="s">
        <v>4208</v>
      </c>
      <c r="D1402" t="str">
        <f>HYPERLINK("https://github.com/cgeo/cgeo/issues/5493","show")</f>
        <v>show</v>
      </c>
      <c r="E1402" t="str">
        <f>HYPERLINK("https://github.com/cgeo/cgeo","show")</f>
        <v>show</v>
      </c>
      <c r="F1402" t="str">
        <f>HYPERLINK("https://github.com/cgeo/cgeo/releases","show")</f>
        <v>show</v>
      </c>
    </row>
    <row r="1403" spans="1:6">
      <c r="A1403" t="s">
        <v>4209</v>
      </c>
      <c r="B1403" t="s">
        <v>4210</v>
      </c>
      <c r="C1403" t="s">
        <v>4211</v>
      </c>
      <c r="D1403" t="str">
        <f>HYPERLINK("https://github.com/inaturalist/iNaturalistAndroid/issues/132","show")</f>
        <v>show</v>
      </c>
      <c r="E1403" t="str">
        <f>HYPERLINK("https://github.com/inaturalist/iNaturalistAndroid","show")</f>
        <v>show</v>
      </c>
      <c r="F1403" t="str">
        <f>HYPERLINK("https://github.com/inaturalist/iNaturalistAndroid/releases","show")</f>
        <v>show</v>
      </c>
    </row>
    <row r="1404" spans="1:6">
      <c r="A1404" t="s">
        <v>4212</v>
      </c>
      <c r="B1404" t="s">
        <v>4213</v>
      </c>
      <c r="C1404" t="s">
        <v>4214</v>
      </c>
      <c r="D1404" t="str">
        <f>HYPERLINK("https://github.com/cSploit/android/issues/596","show")</f>
        <v>show</v>
      </c>
      <c r="E1404" t="str">
        <f>HYPERLINK("https://github.com/cSploit/android","show")</f>
        <v>show</v>
      </c>
      <c r="F1404" t="str">
        <f>HYPERLINK("https://github.com/cSploit/android/releases","show")</f>
        <v>show</v>
      </c>
    </row>
    <row r="1405" spans="1:6">
      <c r="A1405" t="s">
        <v>4215</v>
      </c>
      <c r="B1405" t="s">
        <v>4216</v>
      </c>
      <c r="C1405" t="s">
        <v>4217</v>
      </c>
      <c r="D1405" t="str">
        <f>HYPERLINK("https://github.com/ac-pm/Inspeckage/issues/1","show")</f>
        <v>show</v>
      </c>
      <c r="E1405" t="str">
        <f>HYPERLINK("https://github.com/ac-pm/Inspeckage","show")</f>
        <v>show</v>
      </c>
      <c r="F1405" t="str">
        <f>HYPERLINK("https://github.com/ac-pm/Inspeckage/releases","show")</f>
        <v>show</v>
      </c>
    </row>
    <row r="1406" spans="1:6">
      <c r="A1406" t="s">
        <v>4218</v>
      </c>
      <c r="B1406" t="s">
        <v>4219</v>
      </c>
      <c r="C1406" t="s">
        <v>4220</v>
      </c>
      <c r="D1406" t="str">
        <f>HYPERLINK("https://github.com/eclipse/paho.mqtt.android/issues/38","show")</f>
        <v>show</v>
      </c>
      <c r="E1406" t="str">
        <f>HYPERLINK("https://github.com/eclipse/paho.mqtt.android","show")</f>
        <v>show</v>
      </c>
      <c r="F1406" t="str">
        <f>HYPERLINK("https://github.com/eclipse/paho.mqtt.android/releases","show")</f>
        <v>show</v>
      </c>
    </row>
    <row r="1407" spans="1:6">
      <c r="A1407" t="s">
        <v>4221</v>
      </c>
      <c r="B1407" t="s">
        <v>4222</v>
      </c>
      <c r="C1407" t="s">
        <v>4223</v>
      </c>
      <c r="D1407" t="str">
        <f>HYPERLINK("https://github.com/eclipse/paho.mqtt.android/issues/27","show")</f>
        <v>show</v>
      </c>
      <c r="E1407" t="str">
        <f>HYPERLINK("https://github.com/eclipse/paho.mqtt.android","show")</f>
        <v>show</v>
      </c>
      <c r="F1407" t="str">
        <f>HYPERLINK("https://github.com/eclipse/paho.mqtt.android/releases","show")</f>
        <v>show</v>
      </c>
    </row>
    <row r="1408" spans="1:6">
      <c r="A1408" t="s">
        <v>4224</v>
      </c>
      <c r="B1408" t="s">
        <v>4225</v>
      </c>
      <c r="C1408" t="s">
        <v>4226</v>
      </c>
      <c r="D1408" t="str">
        <f>HYPERLINK("https://github.com/eclipse/paho.mqtt.android/issues/18","show")</f>
        <v>show</v>
      </c>
      <c r="E1408" t="str">
        <f>HYPERLINK("https://github.com/eclipse/paho.mqtt.android","show")</f>
        <v>show</v>
      </c>
      <c r="F1408" t="str">
        <f>HYPERLINK("https://github.com/eclipse/paho.mqtt.android/releases","show")</f>
        <v>show</v>
      </c>
    </row>
    <row r="1409" spans="1:6">
      <c r="A1409" t="s">
        <v>4227</v>
      </c>
      <c r="B1409" t="s">
        <v>4228</v>
      </c>
      <c r="C1409" t="s">
        <v>4229</v>
      </c>
      <c r="D1409" t="str">
        <f>HYPERLINK("https://github.com/eclipse/paho.mqtt.android/issues/3","show")</f>
        <v>show</v>
      </c>
      <c r="E1409" t="str">
        <f>HYPERLINK("https://github.com/eclipse/paho.mqtt.android","show")</f>
        <v>show</v>
      </c>
      <c r="F1409" t="str">
        <f>HYPERLINK("https://github.com/eclipse/paho.mqtt.android/releases","show")</f>
        <v>show</v>
      </c>
    </row>
    <row r="1410" spans="1:6">
      <c r="A1410" t="s">
        <v>4230</v>
      </c>
      <c r="B1410" t="s">
        <v>4231</v>
      </c>
      <c r="C1410" t="s">
        <v>4232</v>
      </c>
      <c r="D1410" t="str">
        <f>HYPERLINK("https://github.com/eclipse/paho.mqtt.android/issues/2","show")</f>
        <v>show</v>
      </c>
      <c r="E1410" t="str">
        <f>HYPERLINK("https://github.com/eclipse/paho.mqtt.android","show")</f>
        <v>show</v>
      </c>
      <c r="F1410" t="str">
        <f>HYPERLINK("https://github.com/eclipse/paho.mqtt.android/releases","show")</f>
        <v>show</v>
      </c>
    </row>
    <row r="1411" spans="1:6">
      <c r="A1411" t="s">
        <v>4233</v>
      </c>
      <c r="B1411" t="s">
        <v>4234</v>
      </c>
      <c r="C1411" t="s">
        <v>4235</v>
      </c>
      <c r="D1411" t="str">
        <f>HYPERLINK("https://github.com/gabrielemariotti/changeloglib/issues/29","show")</f>
        <v>show</v>
      </c>
      <c r="E1411" t="str">
        <f>HYPERLINK("https://github.com/gabrielemariotti/changeloglib","show")</f>
        <v>show</v>
      </c>
      <c r="F1411" t="str">
        <f>HYPERLINK("https://github.com/gabrielemariotti/changeloglib/releases","show")</f>
        <v>show</v>
      </c>
    </row>
    <row r="1412" spans="1:6">
      <c r="A1412" t="s">
        <v>4236</v>
      </c>
      <c r="B1412" t="s">
        <v>4237</v>
      </c>
      <c r="C1412" t="s">
        <v>4238</v>
      </c>
      <c r="D1412" t="str">
        <f>HYPERLINK("https://github.com/bumptech/glide/issues/1016","show")</f>
        <v>show</v>
      </c>
      <c r="E1412" t="str">
        <f>HYPERLINK("https://github.com/bumptech/glide","show")</f>
        <v>show</v>
      </c>
      <c r="F1412" t="str">
        <f>HYPERLINK("https://github.com/bumptech/glide/releases","show")</f>
        <v>show</v>
      </c>
    </row>
    <row r="1413" spans="1:6">
      <c r="A1413" t="s">
        <v>4239</v>
      </c>
      <c r="B1413" t="s">
        <v>4240</v>
      </c>
      <c r="C1413" t="s">
        <v>4241</v>
      </c>
      <c r="D1413" t="str">
        <f>HYPERLINK("https://github.com/dmfs/opentasks/issues/221","show")</f>
        <v>show</v>
      </c>
      <c r="E1413" t="str">
        <f>HYPERLINK("https://github.com/dmfs/opentasks","show")</f>
        <v>show</v>
      </c>
      <c r="F1413" t="str">
        <f>HYPERLINK("https://github.com/dmfs/opentasks/releases","show")</f>
        <v>show</v>
      </c>
    </row>
    <row r="1414" spans="1:6">
      <c r="A1414" t="s">
        <v>4242</v>
      </c>
      <c r="B1414" t="s">
        <v>4243</v>
      </c>
      <c r="C1414" t="s">
        <v>4244</v>
      </c>
      <c r="D1414" t="str">
        <f>HYPERLINK("https://github.com/learningtitans/paperclickers/issues/4","show")</f>
        <v>show</v>
      </c>
      <c r="E1414" t="str">
        <f>HYPERLINK("https://github.com/learningtitans/paperclickers","show")</f>
        <v>show</v>
      </c>
      <c r="F1414" t="str">
        <f>HYPERLINK("https://github.com/learningtitans/paperclickers/releases","show")</f>
        <v>show</v>
      </c>
    </row>
    <row r="1415" spans="1:6">
      <c r="A1415" t="s">
        <v>4245</v>
      </c>
      <c r="B1415" t="s">
        <v>4246</v>
      </c>
      <c r="C1415" t="s">
        <v>4247</v>
      </c>
      <c r="D1415" t="str">
        <f>HYPERLINK("https://github.com/moneymanagerex/android-money-manager-ex/issues/708","show")</f>
        <v>show</v>
      </c>
      <c r="E1415" t="str">
        <f>HYPERLINK("https://github.com/moneymanagerex/android-money-manager-ex","show")</f>
        <v>show</v>
      </c>
      <c r="F1415" t="str">
        <f>HYPERLINK("https://github.com/moneymanagerex/android-money-manager-ex/releases","show")</f>
        <v>show</v>
      </c>
    </row>
    <row r="1416" spans="1:6">
      <c r="A1416" t="s">
        <v>4248</v>
      </c>
      <c r="B1416" t="s">
        <v>4249</v>
      </c>
      <c r="C1416" t="s">
        <v>4250</v>
      </c>
      <c r="D1416" t="str">
        <f>HYPERLINK("https://github.com/Simicart/Android-core/issues/6","show")</f>
        <v>show</v>
      </c>
      <c r="E1416" t="str">
        <f>HYPERLINK("https://github.com/Simicart/Android-core","show")</f>
        <v>show</v>
      </c>
      <c r="F1416" t="str">
        <f>HYPERLINK("https://github.com/Simicart/Android-core/releases","show")</f>
        <v>show</v>
      </c>
    </row>
    <row r="1417" spans="1:6">
      <c r="A1417" t="s">
        <v>4251</v>
      </c>
      <c r="B1417" t="s">
        <v>4252</v>
      </c>
      <c r="C1417" t="s">
        <v>4253</v>
      </c>
      <c r="D1417" t="str">
        <f>HYPERLINK("https://github.com/Harlber/Moose/issues/30","show")</f>
        <v>show</v>
      </c>
      <c r="E1417" t="str">
        <f>HYPERLINK("https://github.com/Harlber/Moose","show")</f>
        <v>show</v>
      </c>
      <c r="F1417" t="str">
        <f>HYPERLINK("https://github.com/Harlber/Moose/releases","show")</f>
        <v>show</v>
      </c>
    </row>
    <row r="1418" spans="1:6">
      <c r="A1418" t="s">
        <v>4254</v>
      </c>
      <c r="B1418" t="s">
        <v>4255</v>
      </c>
      <c r="C1418" t="s">
        <v>4256</v>
      </c>
      <c r="D1418" t="str">
        <f>HYPERLINK("https://github.com/jonburney/KingsgateMediaPlayer-Android/issues/14","show")</f>
        <v>show</v>
      </c>
      <c r="E1418" t="str">
        <f>HYPERLINK("https://github.com/jonburney/KingsgateMediaPlayer-Android","show")</f>
        <v>show</v>
      </c>
      <c r="F1418" t="str">
        <f>HYPERLINK("https://github.com/jonburney/KingsgateMediaPlayer-Android/releases","show")</f>
        <v>show</v>
      </c>
    </row>
    <row r="1419" spans="1:6">
      <c r="A1419" t="s">
        <v>4257</v>
      </c>
      <c r="B1419" t="s">
        <v>4258</v>
      </c>
      <c r="C1419" t="s">
        <v>4259</v>
      </c>
      <c r="D1419" t="str">
        <f>HYPERLINK("https://github.com/UweTrottmann/SeriesGuide/issues/484","show")</f>
        <v>show</v>
      </c>
      <c r="E1419" t="str">
        <f>HYPERLINK("https://github.com/UweTrottmann/SeriesGuide","show")</f>
        <v>show</v>
      </c>
      <c r="F1419" t="str">
        <f>HYPERLINK("https://github.com/UweTrottmann/SeriesGuide/releases","show")</f>
        <v>show</v>
      </c>
    </row>
    <row r="1420" spans="1:6">
      <c r="A1420" t="s">
        <v>4260</v>
      </c>
      <c r="B1420" t="s">
        <v>4261</v>
      </c>
      <c r="C1420" t="s">
        <v>4262</v>
      </c>
      <c r="D1420" t="str">
        <f>HYPERLINK("https://github.com/arimorty/floatingsearchview/issues/32","show")</f>
        <v>show</v>
      </c>
      <c r="E1420" t="str">
        <f>HYPERLINK("https://github.com/arimorty/floatingsearchview","show")</f>
        <v>show</v>
      </c>
      <c r="F1420" t="str">
        <f>HYPERLINK("https://github.com/arimorty/floatingsearchview/releases","show")</f>
        <v>show</v>
      </c>
    </row>
    <row r="1421" spans="1:6">
      <c r="A1421" t="s">
        <v>4263</v>
      </c>
      <c r="B1421" t="s">
        <v>4264</v>
      </c>
      <c r="C1421" t="s">
        <v>4265</v>
      </c>
      <c r="D1421" t="str">
        <f>HYPERLINK("https://github.com/sylvek/itracing2/issues/48","show")</f>
        <v>show</v>
      </c>
      <c r="E1421" t="str">
        <f>HYPERLINK("https://github.com/sylvek/itracing2","show")</f>
        <v>show</v>
      </c>
      <c r="F1421" t="str">
        <f>HYPERLINK("https://github.com/sylvek/itracing2/releases","show")</f>
        <v>show</v>
      </c>
    </row>
    <row r="1422" spans="1:6">
      <c r="A1422" t="s">
        <v>4266</v>
      </c>
      <c r="B1422" t="s">
        <v>4267</v>
      </c>
      <c r="C1422" t="s">
        <v>4268</v>
      </c>
      <c r="D1422" t="str">
        <f>HYPERLINK("https://github.com/square/flow/issues/175","show")</f>
        <v>show</v>
      </c>
      <c r="E1422" t="str">
        <f>HYPERLINK("https://github.com/square/flow","show")</f>
        <v>show</v>
      </c>
      <c r="F1422" t="str">
        <f>HYPERLINK("https://github.com/square/flow/releases","show")</f>
        <v>show</v>
      </c>
    </row>
    <row r="1423" spans="1:6">
      <c r="A1423" t="s">
        <v>4269</v>
      </c>
      <c r="B1423" t="s">
        <v>4270</v>
      </c>
      <c r="C1423" t="s">
        <v>4271</v>
      </c>
      <c r="D1423" t="str">
        <f>HYPERLINK("https://github.com/Ereza/CustomActivityOnCrash/issues/21","show")</f>
        <v>show</v>
      </c>
      <c r="E1423" t="str">
        <f>HYPERLINK("https://github.com/Ereza/CustomActivityOnCrash","show")</f>
        <v>show</v>
      </c>
      <c r="F1423" t="str">
        <f>HYPERLINK("https://github.com/Ereza/CustomActivityOnCrash/releases","show")</f>
        <v>show</v>
      </c>
    </row>
    <row r="1424" spans="1:6">
      <c r="A1424" t="s">
        <v>4272</v>
      </c>
      <c r="B1424" t="s">
        <v>4273</v>
      </c>
      <c r="C1424" t="s">
        <v>4274</v>
      </c>
      <c r="D1424" t="str">
        <f>HYPERLINK("https://github.com/jMonkeyEngine/sdk/issues/11","show")</f>
        <v>show</v>
      </c>
      <c r="E1424" t="str">
        <f>HYPERLINK("https://github.com/jMonkeyEngine/sdk","show")</f>
        <v>show</v>
      </c>
      <c r="F1424" t="str">
        <f>HYPERLINK("https://github.com/jMonkeyEngine/sdk/releases","show")</f>
        <v>show</v>
      </c>
    </row>
    <row r="1425" spans="1:6">
      <c r="A1425" t="s">
        <v>4275</v>
      </c>
      <c r="B1425" t="s">
        <v>4276</v>
      </c>
      <c r="C1425" t="s">
        <v>4277</v>
      </c>
      <c r="D1425" t="str">
        <f>HYPERLINK("https://github.com/cgeo/cgeo/issues/5505","show")</f>
        <v>show</v>
      </c>
      <c r="E1425" t="str">
        <f>HYPERLINK("https://github.com/cgeo/cgeo","show")</f>
        <v>show</v>
      </c>
      <c r="F1425" t="str">
        <f>HYPERLINK("https://github.com/cgeo/cgeo/releases","show")</f>
        <v>show</v>
      </c>
    </row>
    <row r="1426" spans="1:6">
      <c r="A1426" t="s">
        <v>4278</v>
      </c>
      <c r="B1426" t="s">
        <v>4279</v>
      </c>
      <c r="C1426" t="s">
        <v>4280</v>
      </c>
      <c r="D1426" t="str">
        <f>HYPERLINK("https://github.com/gabrielemariotti/changeloglib/issues/31","show")</f>
        <v>show</v>
      </c>
      <c r="E1426" t="str">
        <f>HYPERLINK("https://github.com/gabrielemariotti/changeloglib","show")</f>
        <v>show</v>
      </c>
      <c r="F1426" t="str">
        <f>HYPERLINK("https://github.com/gabrielemariotti/changeloglib/releases","show")</f>
        <v>show</v>
      </c>
    </row>
    <row r="1427" spans="1:6">
      <c r="A1427" t="s">
        <v>4281</v>
      </c>
      <c r="B1427" t="s">
        <v>4282</v>
      </c>
      <c r="C1427" t="s">
        <v>4283</v>
      </c>
      <c r="D1427" t="str">
        <f>HYPERLINK("https://github.com/thaliproject/Thali_CordovaPlugin_BtLibrary/issues/49","show")</f>
        <v>show</v>
      </c>
      <c r="E1427" t="str">
        <f>HYPERLINK("https://github.com/thaliproject/Thali_CordovaPlugin_BtLibrary","show")</f>
        <v>show</v>
      </c>
      <c r="F1427" t="str">
        <f>HYPERLINK("https://github.com/thaliproject/Thali_CordovaPlugin_BtLibrary/releases","show")</f>
        <v>show</v>
      </c>
    </row>
    <row r="1428" spans="1:6">
      <c r="A1428" t="s">
        <v>4284</v>
      </c>
      <c r="B1428" t="s">
        <v>4285</v>
      </c>
      <c r="C1428" t="s">
        <v>4286</v>
      </c>
      <c r="D1428" t="str">
        <f>HYPERLINK("https://github.com/SCCapstone/FitLivin/issues/43","show")</f>
        <v>show</v>
      </c>
      <c r="E1428" t="str">
        <f>HYPERLINK("https://github.com/SCCapstone/FitLivin","show")</f>
        <v>show</v>
      </c>
      <c r="F1428" t="str">
        <f>HYPERLINK("https://github.com/SCCapstone/FitLivin/releases","show")</f>
        <v>show</v>
      </c>
    </row>
    <row r="1429" spans="1:6">
      <c r="A1429" t="s">
        <v>4287</v>
      </c>
      <c r="B1429" t="s">
        <v>4288</v>
      </c>
      <c r="C1429" t="s">
        <v>4289</v>
      </c>
      <c r="D1429" t="str">
        <f>HYPERLINK("https://github.com/SCCapstone/FitLivin/issues/41","show")</f>
        <v>show</v>
      </c>
      <c r="E1429" t="str">
        <f>HYPERLINK("https://github.com/SCCapstone/FitLivin","show")</f>
        <v>show</v>
      </c>
      <c r="F1429" t="str">
        <f>HYPERLINK("https://github.com/SCCapstone/FitLivin/releases","show")</f>
        <v>show</v>
      </c>
    </row>
    <row r="1430" spans="1:6">
      <c r="A1430" t="s">
        <v>4290</v>
      </c>
      <c r="B1430" t="s">
        <v>4291</v>
      </c>
      <c r="C1430" t="s">
        <v>4292</v>
      </c>
      <c r="D1430" t="str">
        <f>HYPERLINK("https://github.com/SCCapstone/diet/issues/33","show")</f>
        <v>show</v>
      </c>
      <c r="E1430" t="str">
        <f>HYPERLINK("https://github.com/SCCapstone/diet","show")</f>
        <v>show</v>
      </c>
      <c r="F1430" t="str">
        <f>HYPERLINK("https://github.com/SCCapstone/diet/releases","show")</f>
        <v>show</v>
      </c>
    </row>
    <row r="1431" spans="1:6">
      <c r="A1431" t="s">
        <v>4293</v>
      </c>
      <c r="B1431" t="s">
        <v>4294</v>
      </c>
      <c r="C1431" t="s">
        <v>4295</v>
      </c>
      <c r="D1431" t="str">
        <f>HYPERLINK("https://github.com/bitstadium/HockeySDK-Android/issues/139","show")</f>
        <v>show</v>
      </c>
      <c r="E1431" t="str">
        <f>HYPERLINK("https://github.com/bitstadium/HockeySDK-Android","show")</f>
        <v>show</v>
      </c>
      <c r="F1431" t="str">
        <f>HYPERLINK("https://github.com/bitstadium/HockeySDK-Android/releases","show")</f>
        <v>show</v>
      </c>
    </row>
    <row r="1432" spans="1:6">
      <c r="A1432" t="s">
        <v>4296</v>
      </c>
      <c r="B1432" t="s">
        <v>4297</v>
      </c>
      <c r="C1432" t="s">
        <v>4298</v>
      </c>
      <c r="D1432" t="str">
        <f>HYPERLINK("https://github.com/aws-amplify/aws-sdk-android/issues/110","show")</f>
        <v>show</v>
      </c>
      <c r="E1432" t="str">
        <f>HYPERLINK("https://github.com/aws-amplify/aws-sdk-android","show")</f>
        <v>show</v>
      </c>
      <c r="F1432" t="str">
        <f>HYPERLINK("https://github.com/aws-amplify/aws-sdk-android/releases","show")</f>
        <v>show</v>
      </c>
    </row>
    <row r="1433" spans="1:6">
      <c r="A1433" t="s">
        <v>4299</v>
      </c>
      <c r="B1433" t="s">
        <v>92</v>
      </c>
      <c r="C1433" t="s">
        <v>4300</v>
      </c>
      <c r="D1433" t="str">
        <f>HYPERLINK("https://github.com/danikula/AndroidVideoCache/issues/62","show")</f>
        <v>show</v>
      </c>
      <c r="E1433" t="str">
        <f>HYPERLINK("https://github.com/danikula/AndroidVideoCache","show")</f>
        <v>show</v>
      </c>
      <c r="F1433" t="str">
        <f>HYPERLINK("https://github.com/danikula/AndroidVideoCache/releases","show")</f>
        <v>show</v>
      </c>
    </row>
    <row r="1434" spans="1:6">
      <c r="A1434" t="s">
        <v>4301</v>
      </c>
      <c r="B1434" t="s">
        <v>4302</v>
      </c>
      <c r="C1434" t="s">
        <v>4303</v>
      </c>
      <c r="D1434" t="str">
        <f>HYPERLINK("https://github.com/Rajawali/Rajawali/issues/1600","show")</f>
        <v>show</v>
      </c>
      <c r="E1434" t="str">
        <f>HYPERLINK("https://github.com/Rajawali/Rajawali","show")</f>
        <v>show</v>
      </c>
      <c r="F1434" t="str">
        <f>HYPERLINK("https://github.com/Rajawali/Rajawali/releases","show")</f>
        <v>show</v>
      </c>
    </row>
    <row r="1435" spans="1:6">
      <c r="A1435" t="s">
        <v>4304</v>
      </c>
      <c r="B1435" t="s">
        <v>4305</v>
      </c>
      <c r="C1435" t="s">
        <v>4306</v>
      </c>
      <c r="D1435" t="str">
        <f>HYPERLINK("https://github.com/coomar2841/android-multipicker-library/issues/7","show")</f>
        <v>show</v>
      </c>
      <c r="E1435" t="str">
        <f>HYPERLINK("https://github.com/coomar2841/android-multipicker-library","show")</f>
        <v>show</v>
      </c>
      <c r="F1435" t="str">
        <f>HYPERLINK("https://github.com/coomar2841/android-multipicker-library/releases","show")</f>
        <v>show</v>
      </c>
    </row>
    <row r="1436" spans="1:6">
      <c r="A1436" t="s">
        <v>4307</v>
      </c>
      <c r="B1436" t="s">
        <v>4308</v>
      </c>
      <c r="C1436" t="s">
        <v>4309</v>
      </c>
      <c r="D1436" t="str">
        <f>HYPERLINK("https://github.com/Freeyourgadget/Gadgetbridge/issues/249","show")</f>
        <v>show</v>
      </c>
      <c r="E1436" t="str">
        <f>HYPERLINK("https://github.com/Freeyourgadget/Gadgetbridge","show")</f>
        <v>show</v>
      </c>
      <c r="F1436" t="str">
        <f>HYPERLINK("https://github.com/Freeyourgadget/Gadgetbridge/releases","show")</f>
        <v>show</v>
      </c>
    </row>
    <row r="1437" spans="1:6">
      <c r="A1437" t="s">
        <v>4310</v>
      </c>
      <c r="B1437" t="s">
        <v>4311</v>
      </c>
      <c r="C1437" t="s">
        <v>4312</v>
      </c>
      <c r="D1437" t="str">
        <f>HYPERLINK("https://github.com/opensrp/opensrp-client/issues/172","show")</f>
        <v>show</v>
      </c>
      <c r="E1437" t="str">
        <f>HYPERLINK("https://github.com/opensrp/opensrp-client","show")</f>
        <v>show</v>
      </c>
      <c r="F1437" t="str">
        <f>HYPERLINK("https://github.com/opensrp/opensrp-client/releases","show")</f>
        <v>show</v>
      </c>
    </row>
    <row r="1438" spans="1:6">
      <c r="A1438" t="s">
        <v>4313</v>
      </c>
      <c r="B1438" t="s">
        <v>4314</v>
      </c>
      <c r="C1438" t="s">
        <v>4315</v>
      </c>
      <c r="D1438" t="str">
        <f>HYPERLINK("https://github.com/Harlber/Moose/issues/34","show")</f>
        <v>show</v>
      </c>
      <c r="E1438" t="str">
        <f>HYPERLINK("https://github.com/Harlber/Moose","show")</f>
        <v>show</v>
      </c>
      <c r="F1438" t="str">
        <f>HYPERLINK("https://github.com/Harlber/Moose/releases","show")</f>
        <v>show</v>
      </c>
    </row>
    <row r="1439" spans="1:6">
      <c r="A1439" t="s">
        <v>4316</v>
      </c>
      <c r="B1439" t="s">
        <v>4317</v>
      </c>
      <c r="C1439" t="s">
        <v>4318</v>
      </c>
      <c r="D1439" t="str">
        <f>HYPERLINK("https://github.com/IgorGee/Carbonizr/issues/29","show")</f>
        <v>show</v>
      </c>
      <c r="E1439" t="str">
        <f>HYPERLINK("https://github.com/IgorGee/Carbonizr","show")</f>
        <v>show</v>
      </c>
      <c r="F1439" t="str">
        <f>HYPERLINK("https://github.com/IgorGee/Carbonizr/releases","show")</f>
        <v>show</v>
      </c>
    </row>
    <row r="1440" spans="1:6">
      <c r="A1440" t="s">
        <v>4319</v>
      </c>
      <c r="B1440" t="s">
        <v>4320</v>
      </c>
      <c r="C1440" t="s">
        <v>4321</v>
      </c>
      <c r="D1440" t="str">
        <f>HYPERLINK("https://github.com/OneDrive/onedrive-picker-android/issues/12","show")</f>
        <v>show</v>
      </c>
      <c r="E1440" t="str">
        <f>HYPERLINK("https://github.com/OneDrive/onedrive-picker-android","show")</f>
        <v>show</v>
      </c>
      <c r="F1440" t="str">
        <f>HYPERLINK("https://github.com/OneDrive/onedrive-picker-android/releases","show")</f>
        <v>show</v>
      </c>
    </row>
    <row r="1441" spans="1:6">
      <c r="A1441" t="s">
        <v>4322</v>
      </c>
      <c r="B1441" t="s">
        <v>4323</v>
      </c>
      <c r="C1441" t="s">
        <v>4324</v>
      </c>
      <c r="D1441" t="str">
        <f>HYPERLINK("https://github.com/dimagi/commcare-android/issues/1127","show")</f>
        <v>show</v>
      </c>
      <c r="E1441" t="str">
        <f>HYPERLINK("https://github.com/dimagi/commcare-android","show")</f>
        <v>show</v>
      </c>
      <c r="F1441" t="str">
        <f>HYPERLINK("https://github.com/dimagi/commcare-android/releases","show")</f>
        <v>show</v>
      </c>
    </row>
    <row r="1442" spans="1:6">
      <c r="A1442" t="s">
        <v>4325</v>
      </c>
      <c r="B1442" t="s">
        <v>4326</v>
      </c>
      <c r="C1442" t="s">
        <v>4327</v>
      </c>
      <c r="D1442" t="str">
        <f>HYPERLINK("https://github.com/fossasia/open-event-droidgen/issues/281","show")</f>
        <v>show</v>
      </c>
      <c r="E1442" t="str">
        <f>HYPERLINK("https://github.com/fossasia/open-event-droidgen","show")</f>
        <v>show</v>
      </c>
      <c r="F1442" t="str">
        <f>HYPERLINK("https://github.com/fossasia/open-event-droidgen/releases","show")</f>
        <v>show</v>
      </c>
    </row>
    <row r="1443" spans="1:6">
      <c r="A1443" t="s">
        <v>4328</v>
      </c>
      <c r="B1443" t="s">
        <v>4329</v>
      </c>
      <c r="C1443" t="s">
        <v>4330</v>
      </c>
      <c r="D1443" t="str">
        <f>HYPERLINK("https://github.com/dimagi/commcare-android/issues/1134","show")</f>
        <v>show</v>
      </c>
      <c r="E1443" t="str">
        <f>HYPERLINK("https://github.com/dimagi/commcare-android","show")</f>
        <v>show</v>
      </c>
      <c r="F1443" t="str">
        <f>HYPERLINK("https://github.com/dimagi/commcare-android/releases","show")</f>
        <v>show</v>
      </c>
    </row>
    <row r="1444" spans="1:6">
      <c r="A1444" t="s">
        <v>4331</v>
      </c>
      <c r="B1444" t="s">
        <v>4332</v>
      </c>
      <c r="C1444" t="s">
        <v>4333</v>
      </c>
      <c r="D1444" t="str">
        <f>HYPERLINK("https://github.com/a-songac/MapX390/issues/56","show")</f>
        <v>show</v>
      </c>
      <c r="E1444" t="str">
        <f>HYPERLINK("https://github.com/a-songac/MapX390","show")</f>
        <v>show</v>
      </c>
      <c r="F1444" t="str">
        <f>HYPERLINK("https://github.com/a-songac/MapX390/releases","show")</f>
        <v>show</v>
      </c>
    </row>
    <row r="1445" spans="1:6">
      <c r="A1445" t="s">
        <v>4334</v>
      </c>
      <c r="B1445" t="s">
        <v>4335</v>
      </c>
      <c r="C1445" t="s">
        <v>4336</v>
      </c>
      <c r="D1445" t="str">
        <f>HYPERLINK("https://github.com/Karumi/Dexter/issues/50","show")</f>
        <v>show</v>
      </c>
      <c r="E1445" t="str">
        <f>HYPERLINK("https://github.com/Karumi/Dexter","show")</f>
        <v>show</v>
      </c>
      <c r="F1445" t="str">
        <f>HYPERLINK("https://github.com/Karumi/Dexter/releases","show")</f>
        <v>show</v>
      </c>
    </row>
    <row r="1446" spans="1:6">
      <c r="A1446" t="s">
        <v>4337</v>
      </c>
      <c r="B1446" t="s">
        <v>4338</v>
      </c>
      <c r="C1446" t="s">
        <v>4339</v>
      </c>
      <c r="D1446" t="str">
        <f>HYPERLINK("https://github.com/zhuowei/MCPELauncher/issues/776","show")</f>
        <v>show</v>
      </c>
      <c r="E1446" t="str">
        <f>HYPERLINK("https://github.com/zhuowei/MCPELauncher","show")</f>
        <v>show</v>
      </c>
      <c r="F1446" t="str">
        <f>HYPERLINK("https://github.com/zhuowei/MCPELauncher/releases","show")</f>
        <v>show</v>
      </c>
    </row>
    <row r="1447" spans="1:6">
      <c r="A1447" t="s">
        <v>4340</v>
      </c>
      <c r="B1447" t="s">
        <v>4341</v>
      </c>
      <c r="C1447" t="s">
        <v>4342</v>
      </c>
      <c r="D1447" t="str">
        <f>HYPERLINK("https://github.com/ResearchStack/ResearchStack/issues/66","show")</f>
        <v>show</v>
      </c>
      <c r="E1447" t="str">
        <f>HYPERLINK("https://github.com/ResearchStack/ResearchStack","show")</f>
        <v>show</v>
      </c>
      <c r="F1447" t="str">
        <f>HYPERLINK("https://github.com/ResearchStack/ResearchStack/releases","show")</f>
        <v>show</v>
      </c>
    </row>
    <row r="1448" spans="1:6">
      <c r="A1448" t="s">
        <v>4343</v>
      </c>
      <c r="B1448" t="s">
        <v>4344</v>
      </c>
      <c r="C1448" t="s">
        <v>4345</v>
      </c>
      <c r="D1448" t="str">
        <f>HYPERLINK("https://github.com/k9mail/k-9/issues/1176","show")</f>
        <v>show</v>
      </c>
      <c r="E1448" t="str">
        <f>HYPERLINK("https://github.com/k9mail/k-9","show")</f>
        <v>show</v>
      </c>
      <c r="F1448" t="str">
        <f>HYPERLINK("https://github.com/k9mail/k-9/releases","show")</f>
        <v>show</v>
      </c>
    </row>
    <row r="1449" spans="1:6">
      <c r="A1449" t="s">
        <v>4346</v>
      </c>
      <c r="B1449" t="s">
        <v>4347</v>
      </c>
      <c r="C1449" t="s">
        <v>4348</v>
      </c>
      <c r="D1449" t="str">
        <f>HYPERLINK("https://github.com/alhazmy13/HijriDatePicker/issues/10","show")</f>
        <v>show</v>
      </c>
      <c r="E1449" t="str">
        <f>HYPERLINK("https://github.com/alhazmy13/HijriDatePicker","show")</f>
        <v>show</v>
      </c>
      <c r="F1449" t="str">
        <f>HYPERLINK("https://github.com/alhazmy13/HijriDatePicker/releases","show")</f>
        <v>show</v>
      </c>
    </row>
    <row r="1450" spans="1:6">
      <c r="A1450" t="s">
        <v>4349</v>
      </c>
      <c r="B1450" t="s">
        <v>4350</v>
      </c>
      <c r="C1450" t="s">
        <v>4351</v>
      </c>
      <c r="D1450" t="str">
        <f>HYPERLINK("https://github.com/google/blockly-android/issues/122","show")</f>
        <v>show</v>
      </c>
      <c r="E1450" t="str">
        <f>HYPERLINK("https://github.com/google/blockly-android","show")</f>
        <v>show</v>
      </c>
      <c r="F1450" t="str">
        <f>HYPERLINK("https://github.com/google/blockly-android/releases","show")</f>
        <v>show</v>
      </c>
    </row>
    <row r="1451" spans="1:6">
      <c r="A1451" t="s">
        <v>4352</v>
      </c>
      <c r="B1451" t="s">
        <v>4353</v>
      </c>
      <c r="C1451" t="s">
        <v>4354</v>
      </c>
      <c r="D1451" t="str">
        <f>HYPERLINK("https://github.com/OneBusAway/onebusaway-android/issues/441","show")</f>
        <v>show</v>
      </c>
      <c r="E1451" t="str">
        <f>HYPERLINK("https://github.com/OneBusAway/onebusaway-android","show")</f>
        <v>show</v>
      </c>
      <c r="F1451" t="str">
        <f>HYPERLINK("https://github.com/OneBusAway/onebusaway-android/releases","show")</f>
        <v>show</v>
      </c>
    </row>
    <row r="1452" spans="1:6">
      <c r="A1452" t="s">
        <v>4355</v>
      </c>
      <c r="B1452" t="s">
        <v>4356</v>
      </c>
      <c r="C1452" t="s">
        <v>4357</v>
      </c>
      <c r="D1452" t="str">
        <f>HYPERLINK("https://github.com/OneBusAway/onebusaway-android/issues/440","show")</f>
        <v>show</v>
      </c>
      <c r="E1452" t="str">
        <f>HYPERLINK("https://github.com/OneBusAway/onebusaway-android","show")</f>
        <v>show</v>
      </c>
      <c r="F1452" t="str">
        <f>HYPERLINK("https://github.com/OneBusAway/onebusaway-android/releases","show")</f>
        <v>show</v>
      </c>
    </row>
    <row r="1453" spans="1:6">
      <c r="A1453" t="s">
        <v>4358</v>
      </c>
      <c r="B1453" t="s">
        <v>4359</v>
      </c>
      <c r="C1453" t="s">
        <v>4360</v>
      </c>
      <c r="D1453" t="str">
        <f>HYPERLINK("https://github.com/inaturalist/iNaturalistAndroid/issues/141","show")</f>
        <v>show</v>
      </c>
      <c r="E1453" t="str">
        <f>HYPERLINK("https://github.com/inaturalist/iNaturalistAndroid","show")</f>
        <v>show</v>
      </c>
      <c r="F1453" t="str">
        <f>HYPERLINK("https://github.com/inaturalist/iNaturalistAndroid/releases","show")</f>
        <v>show</v>
      </c>
    </row>
    <row r="1454" spans="1:6">
      <c r="A1454" t="s">
        <v>4361</v>
      </c>
      <c r="B1454" t="s">
        <v>4362</v>
      </c>
      <c r="C1454" t="s">
        <v>4363</v>
      </c>
      <c r="D1454" t="str">
        <f>HYPERLINK("https://github.com/nextcloud/news-android/issues/502","show")</f>
        <v>show</v>
      </c>
      <c r="E1454" t="str">
        <f>HYPERLINK("https://github.com/nextcloud/news-android","show")</f>
        <v>show</v>
      </c>
      <c r="F1454" t="str">
        <f>HYPERLINK("https://github.com/nextcloud/news-android/releases","show")</f>
        <v>show</v>
      </c>
    </row>
    <row r="1455" spans="1:6">
      <c r="A1455" t="s">
        <v>4364</v>
      </c>
      <c r="B1455" t="s">
        <v>4365</v>
      </c>
      <c r="C1455" t="s">
        <v>4366</v>
      </c>
      <c r="D1455" t="str">
        <f>HYPERLINK("https://github.com/hidroh/materialistic/issues/394","show")</f>
        <v>show</v>
      </c>
      <c r="E1455" t="str">
        <f>HYPERLINK("https://github.com/hidroh/materialistic","show")</f>
        <v>show</v>
      </c>
      <c r="F1455" t="str">
        <f>HYPERLINK("https://github.com/hidroh/materialistic/releases","show")</f>
        <v>show</v>
      </c>
    </row>
    <row r="1456" spans="1:6">
      <c r="A1456" t="s">
        <v>4367</v>
      </c>
      <c r="B1456" t="s">
        <v>4368</v>
      </c>
      <c r="C1456" t="s">
        <v>4369</v>
      </c>
      <c r="D1456" t="str">
        <f>HYPERLINK("https://github.com/VoiSmart/pjsip-android/issues/2","show")</f>
        <v>show</v>
      </c>
      <c r="E1456" t="str">
        <f>HYPERLINK("https://github.com/VoiSmart/pjsip-android","show")</f>
        <v>show</v>
      </c>
      <c r="F1456" t="str">
        <f>HYPERLINK("https://github.com/VoiSmart/pjsip-android/releases","show")</f>
        <v>show</v>
      </c>
    </row>
    <row r="1457" spans="1:6">
      <c r="A1457" t="s">
        <v>4370</v>
      </c>
      <c r="B1457" t="s">
        <v>4371</v>
      </c>
      <c r="C1457" t="s">
        <v>4372</v>
      </c>
      <c r="D1457" t="str">
        <f>HYPERLINK("https://github.com/canelmas/let/issues/5","show")</f>
        <v>show</v>
      </c>
      <c r="E1457" t="str">
        <f>HYPERLINK("https://github.com/canelmas/let","show")</f>
        <v>show</v>
      </c>
      <c r="F1457" t="str">
        <f>HYPERLINK("https://github.com/canelmas/let/releases","show")</f>
        <v>show</v>
      </c>
    </row>
    <row r="1458" spans="1:6">
      <c r="A1458" t="s">
        <v>4373</v>
      </c>
      <c r="B1458" t="s">
        <v>4374</v>
      </c>
      <c r="C1458" t="s">
        <v>4375</v>
      </c>
      <c r="D1458" t="str">
        <f>HYPERLINK("https://github.com/zhuowei/MCPELauncher/issues/792","show")</f>
        <v>show</v>
      </c>
      <c r="E1458" t="str">
        <f>HYPERLINK("https://github.com/zhuowei/MCPELauncher","show")</f>
        <v>show</v>
      </c>
      <c r="F1458" t="str">
        <f>HYPERLINK("https://github.com/zhuowei/MCPELauncher/releases","show")</f>
        <v>show</v>
      </c>
    </row>
    <row r="1459" spans="1:6">
      <c r="A1459" t="s">
        <v>4376</v>
      </c>
      <c r="B1459" t="s">
        <v>4377</v>
      </c>
      <c r="C1459" t="s">
        <v>4378</v>
      </c>
      <c r="D1459" t="str">
        <f>HYPERLINK("https://github.com/aws-amplify/aws-sdk-android/issues/113","show")</f>
        <v>show</v>
      </c>
      <c r="E1459" t="str">
        <f>HYPERLINK("https://github.com/aws-amplify/aws-sdk-android","show")</f>
        <v>show</v>
      </c>
      <c r="F1459" t="str">
        <f>HYPERLINK("https://github.com/aws-amplify/aws-sdk-android/releases","show")</f>
        <v>show</v>
      </c>
    </row>
    <row r="1460" spans="1:6">
      <c r="A1460" t="s">
        <v>4379</v>
      </c>
      <c r="B1460" t="s">
        <v>4380</v>
      </c>
      <c r="C1460" t="s">
        <v>4381</v>
      </c>
      <c r="D1460" t="str">
        <f>HYPERLINK("https://github.com/gdg-x/frisbee/issues/581","show")</f>
        <v>show</v>
      </c>
      <c r="E1460" t="str">
        <f>HYPERLINK("https://github.com/gdg-x/frisbee","show")</f>
        <v>show</v>
      </c>
      <c r="F1460" t="str">
        <f>HYPERLINK("https://github.com/gdg-x/frisbee/releases","show")</f>
        <v>show</v>
      </c>
    </row>
    <row r="1461" spans="1:6">
      <c r="A1461" t="s">
        <v>4382</v>
      </c>
      <c r="B1461" t="s">
        <v>107</v>
      </c>
      <c r="C1461" t="s">
        <v>4383</v>
      </c>
      <c r="D1461" t="str">
        <f>HYPERLINK("https://github.com/pedrovgs/Lynx/issues/18","show")</f>
        <v>show</v>
      </c>
      <c r="E1461" t="str">
        <f>HYPERLINK("https://github.com/pedrovgs/Lynx","show")</f>
        <v>show</v>
      </c>
      <c r="F1461" t="str">
        <f>HYPERLINK("https://github.com/pedrovgs/Lynx/releases","show")</f>
        <v>show</v>
      </c>
    </row>
    <row r="1462" spans="1:6">
      <c r="A1462" t="s">
        <v>4384</v>
      </c>
      <c r="B1462" t="s">
        <v>4385</v>
      </c>
      <c r="C1462" t="s">
        <v>4386</v>
      </c>
      <c r="D1462" t="str">
        <f>HYPERLINK("https://github.com/gdg-x/frisbee/issues/586","show")</f>
        <v>show</v>
      </c>
      <c r="E1462" t="str">
        <f>HYPERLINK("https://github.com/gdg-x/frisbee","show")</f>
        <v>show</v>
      </c>
      <c r="F1462" t="str">
        <f>HYPERLINK("https://github.com/gdg-x/frisbee/releases","show")</f>
        <v>show</v>
      </c>
    </row>
    <row r="1463" spans="1:6">
      <c r="A1463" t="s">
        <v>4387</v>
      </c>
      <c r="B1463" t="s">
        <v>4388</v>
      </c>
      <c r="C1463" t="s">
        <v>4389</v>
      </c>
      <c r="D1463" t="str">
        <f>HYPERLINK("https://github.com/gdg-x/frisbee/issues/583","show")</f>
        <v>show</v>
      </c>
      <c r="E1463" t="str">
        <f>HYPERLINK("https://github.com/gdg-x/frisbee","show")</f>
        <v>show</v>
      </c>
      <c r="F1463" t="str">
        <f>HYPERLINK("https://github.com/gdg-x/frisbee/releases","show")</f>
        <v>show</v>
      </c>
    </row>
    <row r="1464" spans="1:6">
      <c r="A1464" t="s">
        <v>4390</v>
      </c>
      <c r="B1464" t="s">
        <v>4391</v>
      </c>
      <c r="C1464" t="s">
        <v>4392</v>
      </c>
      <c r="D1464" t="str">
        <f>HYPERLINK("https://github.com/dimagi/commcare-android/issues/1143","show")</f>
        <v>show</v>
      </c>
      <c r="E1464" t="str">
        <f>HYPERLINK("https://github.com/dimagi/commcare-android","show")</f>
        <v>show</v>
      </c>
      <c r="F1464" t="str">
        <f>HYPERLINK("https://github.com/dimagi/commcare-android/releases","show")</f>
        <v>show</v>
      </c>
    </row>
    <row r="1465" spans="1:6">
      <c r="A1465" t="s">
        <v>4393</v>
      </c>
      <c r="B1465" t="s">
        <v>4394</v>
      </c>
      <c r="C1465" t="s">
        <v>4395</v>
      </c>
      <c r="D1465" t="str">
        <f>HYPERLINK("https://github.com/dimagi/commcare-android/issues/1142","show")</f>
        <v>show</v>
      </c>
      <c r="E1465" t="str">
        <f>HYPERLINK("https://github.com/dimagi/commcare-android","show")</f>
        <v>show</v>
      </c>
      <c r="F1465" t="str">
        <f>HYPERLINK("https://github.com/dimagi/commcare-android/releases","show")</f>
        <v>show</v>
      </c>
    </row>
    <row r="1466" spans="1:6">
      <c r="A1466" t="s">
        <v>4396</v>
      </c>
      <c r="B1466" t="s">
        <v>4397</v>
      </c>
      <c r="C1466" t="s">
        <v>4398</v>
      </c>
      <c r="D1466" t="str">
        <f>HYPERLINK("https://github.com/erickok/ratebeer/issues/10","show")</f>
        <v>show</v>
      </c>
      <c r="E1466" t="str">
        <f>HYPERLINK("https://github.com/erickok/ratebeer","show")</f>
        <v>show</v>
      </c>
      <c r="F1466" t="str">
        <f>HYPERLINK("https://github.com/erickok/ratebeer/releases","show")</f>
        <v>show</v>
      </c>
    </row>
    <row r="1467" spans="1:6">
      <c r="A1467" t="s">
        <v>4399</v>
      </c>
      <c r="B1467" t="s">
        <v>4400</v>
      </c>
      <c r="C1467" t="s">
        <v>4401</v>
      </c>
      <c r="D1467" t="str">
        <f>HYPERLINK("https://github.com/gcacace/android-signaturepad/issues/49","show")</f>
        <v>show</v>
      </c>
      <c r="E1467" t="str">
        <f>HYPERLINK("https://github.com/gcacace/android-signaturepad","show")</f>
        <v>show</v>
      </c>
      <c r="F1467" t="str">
        <f>HYPERLINK("https://github.com/gcacace/android-signaturepad/releases","show")</f>
        <v>show</v>
      </c>
    </row>
    <row r="1468" spans="1:6">
      <c r="A1468" t="s">
        <v>4402</v>
      </c>
      <c r="B1468" t="s">
        <v>4403</v>
      </c>
      <c r="C1468" t="s">
        <v>4404</v>
      </c>
      <c r="D1468" t="str">
        <f>HYPERLINK("https://github.com/nbossard/packlist/issues/18","show")</f>
        <v>show</v>
      </c>
      <c r="E1468" t="str">
        <f>HYPERLINK("https://github.com/nbossard/packlist","show")</f>
        <v>show</v>
      </c>
      <c r="F1468" t="str">
        <f>HYPERLINK("https://github.com/nbossard/packlist/releases","show")</f>
        <v>show</v>
      </c>
    </row>
    <row r="1469" spans="1:6">
      <c r="A1469" t="s">
        <v>4405</v>
      </c>
      <c r="B1469" t="s">
        <v>4406</v>
      </c>
      <c r="C1469" t="s">
        <v>4407</v>
      </c>
      <c r="D1469" t="str">
        <f>HYPERLINK("https://github.com/alter-ego/androidbound/issues/8","show")</f>
        <v>show</v>
      </c>
      <c r="E1469" t="str">
        <f>HYPERLINK("https://github.com/alter-ego/androidbound","show")</f>
        <v>show</v>
      </c>
      <c r="F1469" t="str">
        <f>HYPERLINK("https://github.com/alter-ego/androidbound/releases","show")</f>
        <v>show</v>
      </c>
    </row>
    <row r="1470" spans="1:6">
      <c r="A1470" t="s">
        <v>4408</v>
      </c>
      <c r="B1470" t="s">
        <v>4409</v>
      </c>
      <c r="C1470" t="s">
        <v>4410</v>
      </c>
      <c r="D1470" t="str">
        <f>HYPERLINK("https://github.com/SCCapstone/5chords/issues/61","show")</f>
        <v>show</v>
      </c>
      <c r="E1470" t="str">
        <f>HYPERLINK("https://github.com/SCCapstone/5chords","show")</f>
        <v>show</v>
      </c>
      <c r="F1470" t="str">
        <f>HYPERLINK("https://github.com/SCCapstone/5chords/releases","show")</f>
        <v>show</v>
      </c>
    </row>
    <row r="1471" spans="1:6">
      <c r="A1471" t="s">
        <v>4411</v>
      </c>
      <c r="B1471" t="s">
        <v>4412</v>
      </c>
      <c r="C1471" t="s">
        <v>4413</v>
      </c>
      <c r="D1471" t="str">
        <f>HYPERLINK("https://github.com/cgeo/cgeo/issues/5551","show")</f>
        <v>show</v>
      </c>
      <c r="E1471" t="str">
        <f>HYPERLINK("https://github.com/cgeo/cgeo","show")</f>
        <v>show</v>
      </c>
      <c r="F1471" t="str">
        <f>HYPERLINK("https://github.com/cgeo/cgeo/releases","show")</f>
        <v>show</v>
      </c>
    </row>
    <row r="1472" spans="1:6">
      <c r="A1472" t="s">
        <v>4414</v>
      </c>
      <c r="B1472" t="s">
        <v>4415</v>
      </c>
      <c r="C1472" t="s">
        <v>4416</v>
      </c>
      <c r="D1472" t="str">
        <f>HYPERLINK("https://github.com/Rajawali/Rajawali/issues/1629","show")</f>
        <v>show</v>
      </c>
      <c r="E1472" t="str">
        <f>HYPERLINK("https://github.com/Rajawali/Rajawali","show")</f>
        <v>show</v>
      </c>
      <c r="F1472" t="str">
        <f>HYPERLINK("https://github.com/Rajawali/Rajawali/releases","show")</f>
        <v>show</v>
      </c>
    </row>
    <row r="1473" spans="1:6">
      <c r="A1473" t="s">
        <v>4417</v>
      </c>
      <c r="B1473" t="s">
        <v>4418</v>
      </c>
      <c r="C1473" t="s">
        <v>4419</v>
      </c>
      <c r="D1473" t="str">
        <f>HYPERLINK("https://github.com/cgeo/cgeo/issues/5549","show")</f>
        <v>show</v>
      </c>
      <c r="E1473" t="str">
        <f>HYPERLINK("https://github.com/cgeo/cgeo","show")</f>
        <v>show</v>
      </c>
      <c r="F1473" t="str">
        <f>HYPERLINK("https://github.com/cgeo/cgeo/releases","show")</f>
        <v>show</v>
      </c>
    </row>
    <row r="1474" spans="1:6">
      <c r="A1474" t="s">
        <v>4420</v>
      </c>
      <c r="B1474" t="s">
        <v>4421</v>
      </c>
      <c r="C1474" t="s">
        <v>4422</v>
      </c>
      <c r="D1474" t="str">
        <f>HYPERLINK("https://github.com/crazyhitty/Munch/issues/16","show")</f>
        <v>show</v>
      </c>
      <c r="E1474" t="str">
        <f>HYPERLINK("https://github.com/crazyhitty/Munch","show")</f>
        <v>show</v>
      </c>
      <c r="F1474" t="str">
        <f>HYPERLINK("https://github.com/crazyhitty/Munch/releases","show")</f>
        <v>show</v>
      </c>
    </row>
    <row r="1475" spans="1:6">
      <c r="A1475" t="s">
        <v>4423</v>
      </c>
      <c r="B1475" t="s">
        <v>4424</v>
      </c>
      <c r="C1475" t="s">
        <v>4425</v>
      </c>
      <c r="D1475" t="str">
        <f>HYPERLINK("https://github.com/dimagi/commcare-android/issues/1149","show")</f>
        <v>show</v>
      </c>
      <c r="E1475" t="str">
        <f>HYPERLINK("https://github.com/dimagi/commcare-android","show")</f>
        <v>show</v>
      </c>
      <c r="F1475" t="str">
        <f>HYPERLINK("https://github.com/dimagi/commcare-android/releases","show")</f>
        <v>show</v>
      </c>
    </row>
    <row r="1476" spans="1:6">
      <c r="A1476" t="s">
        <v>4426</v>
      </c>
      <c r="B1476" t="s">
        <v>4427</v>
      </c>
      <c r="C1476" t="s">
        <v>4428</v>
      </c>
      <c r="D1476" t="str">
        <f>HYPERLINK("https://github.com/google/blockly-android/issues/142","show")</f>
        <v>show</v>
      </c>
      <c r="E1476" t="str">
        <f>HYPERLINK("https://github.com/google/blockly-android","show")</f>
        <v>show</v>
      </c>
      <c r="F1476" t="str">
        <f>HYPERLINK("https://github.com/google/blockly-android/releases","show")</f>
        <v>show</v>
      </c>
    </row>
    <row r="1477" spans="1:6">
      <c r="A1477" t="s">
        <v>4429</v>
      </c>
      <c r="B1477" t="s">
        <v>4430</v>
      </c>
      <c r="C1477" t="s">
        <v>4431</v>
      </c>
      <c r="D1477" t="str">
        <f>HYPERLINK("https://github.com/k9mail/k-9/issues/1201","show")</f>
        <v>show</v>
      </c>
      <c r="E1477" t="str">
        <f>HYPERLINK("https://github.com/k9mail/k-9","show")</f>
        <v>show</v>
      </c>
      <c r="F1477" t="str">
        <f>HYPERLINK("https://github.com/k9mail/k-9/releases","show")</f>
        <v>show</v>
      </c>
    </row>
    <row r="1478" spans="1:6">
      <c r="A1478" t="s">
        <v>4432</v>
      </c>
      <c r="B1478" t="s">
        <v>4433</v>
      </c>
      <c r="C1478" t="s">
        <v>4434</v>
      </c>
      <c r="D1478" t="str">
        <f>HYPERLINK("https://github.com/JakeLane/Toffeed/issues/33","show")</f>
        <v>show</v>
      </c>
      <c r="E1478" t="str">
        <f>HYPERLINK("https://github.com/JakeLane/Toffeed","show")</f>
        <v>show</v>
      </c>
      <c r="F1478" t="str">
        <f>HYPERLINK("https://github.com/JakeLane/Toffeed/releases","show")</f>
        <v>show</v>
      </c>
    </row>
    <row r="1479" spans="1:6">
      <c r="A1479" t="s">
        <v>4435</v>
      </c>
      <c r="B1479" t="s">
        <v>4436</v>
      </c>
      <c r="C1479" t="s">
        <v>4437</v>
      </c>
      <c r="D1479" t="str">
        <f>HYPERLINK("https://github.com/nextcloud/news-android/issues/508","show")</f>
        <v>show</v>
      </c>
      <c r="E1479" t="str">
        <f>HYPERLINK("https://github.com/nextcloud/news-android","show")</f>
        <v>show</v>
      </c>
      <c r="F1479" t="str">
        <f>HYPERLINK("https://github.com/nextcloud/news-android/releases","show")</f>
        <v>show</v>
      </c>
    </row>
    <row r="1480" spans="1:6">
      <c r="A1480" t="s">
        <v>4438</v>
      </c>
      <c r="B1480" t="s">
        <v>4439</v>
      </c>
      <c r="C1480" t="s">
        <v>4440</v>
      </c>
      <c r="D1480" t="str">
        <f>HYPERLINK("https://github.com/turing-tech/MaterialScrollBar/issues/33","show")</f>
        <v>show</v>
      </c>
      <c r="E1480" t="str">
        <f>HYPERLINK("https://github.com/turing-tech/MaterialScrollBar","show")</f>
        <v>show</v>
      </c>
      <c r="F1480" t="str">
        <f>HYPERLINK("https://github.com/turing-tech/MaterialScrollBar/releases","show")</f>
        <v>show</v>
      </c>
    </row>
    <row r="1481" spans="1:6">
      <c r="A1481" t="s">
        <v>4441</v>
      </c>
      <c r="B1481" t="s">
        <v>4442</v>
      </c>
      <c r="C1481" t="s">
        <v>4443</v>
      </c>
      <c r="D1481" t="str">
        <f>HYPERLINK("https://github.com/forcedotcom/SalesforceMobileSDK-Android/issues/1088","show")</f>
        <v>show</v>
      </c>
      <c r="E1481" t="str">
        <f>HYPERLINK("https://github.com/forcedotcom/SalesforceMobileSDK-Android","show")</f>
        <v>show</v>
      </c>
      <c r="F1481" t="str">
        <f>HYPERLINK("https://github.com/forcedotcom/SalesforceMobileSDK-Android/releases","show")</f>
        <v>show</v>
      </c>
    </row>
    <row r="1482" spans="1:6">
      <c r="A1482" t="s">
        <v>4444</v>
      </c>
      <c r="B1482" t="s">
        <v>4445</v>
      </c>
      <c r="C1482" t="s">
        <v>4446</v>
      </c>
      <c r="D1482" t="str">
        <f>HYPERLINK("https://github.com/deercoder/FitbitApp/issues/4","show")</f>
        <v>show</v>
      </c>
      <c r="E1482" t="str">
        <f>HYPERLINK("https://github.com/deercoder/FitbitApp","show")</f>
        <v>show</v>
      </c>
      <c r="F1482" t="str">
        <f>HYPERLINK("https://github.com/deercoder/FitbitApp/releases","show")</f>
        <v>show</v>
      </c>
    </row>
    <row r="1483" spans="1:6">
      <c r="A1483" t="s">
        <v>4447</v>
      </c>
      <c r="B1483" t="s">
        <v>4448</v>
      </c>
      <c r="C1483" t="s">
        <v>4449</v>
      </c>
      <c r="D1483" t="str">
        <f>HYPERLINK("https://github.com/CellularPrivacy/Android-IMSI-Catcher-Detector/issues/822","show")</f>
        <v>show</v>
      </c>
      <c r="E1483" t="str">
        <f>HYPERLINK("https://github.com/CellularPrivacy/Android-IMSI-Catcher-Detector","show")</f>
        <v>show</v>
      </c>
      <c r="F1483" t="str">
        <f>HYPERLINK("https://github.com/CellularPrivacy/Android-IMSI-Catcher-Detector/releases","show")</f>
        <v>show</v>
      </c>
    </row>
    <row r="1484" spans="1:6">
      <c r="A1484" t="s">
        <v>4450</v>
      </c>
      <c r="B1484" t="s">
        <v>4451</v>
      </c>
      <c r="C1484" t="s">
        <v>4452</v>
      </c>
      <c r="D1484" t="str">
        <f>HYPERLINK("https://github.com/bvolkmer/Markdown-Notes/issues/40","show")</f>
        <v>show</v>
      </c>
      <c r="E1484" t="str">
        <f>HYPERLINK("https://github.com/bvolkmer/Markdown-Notes","show")</f>
        <v>show</v>
      </c>
      <c r="F1484" t="str">
        <f>HYPERLINK("https://github.com/bvolkmer/Markdown-Notes/releases","show")</f>
        <v>show</v>
      </c>
    </row>
    <row r="1485" spans="1:6">
      <c r="A1485" t="s">
        <v>4453</v>
      </c>
      <c r="B1485" t="s">
        <v>4454</v>
      </c>
      <c r="C1485" t="s">
        <v>4455</v>
      </c>
      <c r="D1485" t="str">
        <f>HYPERLINK("https://github.com/IvoGoman/Diabetes-App/issues/18","show")</f>
        <v>show</v>
      </c>
      <c r="E1485" t="str">
        <f>HYPERLINK("https://github.com/IvoGoman/Diabetes-App","show")</f>
        <v>show</v>
      </c>
      <c r="F1485" t="str">
        <f>HYPERLINK("https://github.com/IvoGoman/Diabetes-App/releases","show")</f>
        <v>show</v>
      </c>
    </row>
    <row r="1486" spans="1:6">
      <c r="A1486" t="s">
        <v>4456</v>
      </c>
      <c r="B1486" t="s">
        <v>4457</v>
      </c>
      <c r="C1486" t="s">
        <v>4458</v>
      </c>
      <c r="D1486" t="str">
        <f>HYPERLINK("https://github.com/andysworkshop/nanocounter/issues/3","show")</f>
        <v>show</v>
      </c>
      <c r="E1486" t="str">
        <f>HYPERLINK("https://github.com/andysworkshop/nanocounter","show")</f>
        <v>show</v>
      </c>
      <c r="F1486" t="str">
        <f>HYPERLINK("https://github.com/andysworkshop/nanocounter/releases","show")</f>
        <v>show</v>
      </c>
    </row>
    <row r="1487" spans="1:6">
      <c r="A1487" t="s">
        <v>4459</v>
      </c>
      <c r="B1487" t="s">
        <v>4460</v>
      </c>
      <c r="C1487" t="s">
        <v>4461</v>
      </c>
      <c r="D1487" t="str">
        <f>HYPERLINK("https://github.com/chizmw/whogoesfirst/issues/8","show")</f>
        <v>show</v>
      </c>
      <c r="E1487" t="str">
        <f>HYPERLINK("https://github.com/chizmw/whogoesfirst","show")</f>
        <v>show</v>
      </c>
      <c r="F1487" t="str">
        <f>HYPERLINK("https://github.com/chizmw/whogoesfirst/releases","show")</f>
        <v>show</v>
      </c>
    </row>
    <row r="1488" spans="1:6">
      <c r="A1488" t="s">
        <v>4462</v>
      </c>
      <c r="B1488" t="s">
        <v>4463</v>
      </c>
      <c r="C1488" t="s">
        <v>4464</v>
      </c>
      <c r="D1488" t="str">
        <f>HYPERLINK("https://github.com/syncthing/syncthing-android/issues/595","show")</f>
        <v>show</v>
      </c>
      <c r="E1488" t="str">
        <f>HYPERLINK("https://github.com/syncthing/syncthing-android","show")</f>
        <v>show</v>
      </c>
      <c r="F1488" t="str">
        <f>HYPERLINK("https://github.com/syncthing/syncthing-android/releases","show")</f>
        <v>show</v>
      </c>
    </row>
    <row r="1489" spans="1:6">
      <c r="A1489" t="s">
        <v>4465</v>
      </c>
      <c r="B1489" t="s">
        <v>4466</v>
      </c>
      <c r="C1489" t="s">
        <v>4467</v>
      </c>
      <c r="D1489" t="str">
        <f>HYPERLINK("https://github.com/martykan/webTube/issues/49","show")</f>
        <v>show</v>
      </c>
      <c r="E1489" t="str">
        <f>HYPERLINK("https://github.com/martykan/webTube","show")</f>
        <v>show</v>
      </c>
      <c r="F1489" t="str">
        <f>HYPERLINK("https://github.com/martykan/webTube/releases","show")</f>
        <v>show</v>
      </c>
    </row>
    <row r="1490" spans="1:6">
      <c r="A1490" t="s">
        <v>4468</v>
      </c>
      <c r="B1490" t="s">
        <v>4469</v>
      </c>
      <c r="C1490" t="s">
        <v>4470</v>
      </c>
      <c r="D1490" t="str">
        <f>HYPERLINK("https://github.com/square/okhttp/issues/2440","show")</f>
        <v>show</v>
      </c>
      <c r="E1490" t="str">
        <f>HYPERLINK("https://github.com/square/okhttp","show")</f>
        <v>show</v>
      </c>
      <c r="F1490" t="str">
        <f>HYPERLINK("https://github.com/square/okhttp/releases","show")</f>
        <v>show</v>
      </c>
    </row>
    <row r="1491" spans="1:6">
      <c r="A1491" t="s">
        <v>4471</v>
      </c>
      <c r="B1491" t="s">
        <v>4472</v>
      </c>
      <c r="C1491" t="s">
        <v>4473</v>
      </c>
      <c r="D1491" t="str">
        <f>HYPERLINK("https://github.com/inaturalist/iNaturalistAndroid/issues/151","show")</f>
        <v>show</v>
      </c>
      <c r="E1491" t="str">
        <f>HYPERLINK("https://github.com/inaturalist/iNaturalistAndroid","show")</f>
        <v>show</v>
      </c>
      <c r="F1491" t="str">
        <f>HYPERLINK("https://github.com/inaturalist/iNaturalistAndroid/releases","show")</f>
        <v>show</v>
      </c>
    </row>
    <row r="1492" spans="1:6">
      <c r="A1492" t="s">
        <v>4474</v>
      </c>
      <c r="B1492" t="s">
        <v>4475</v>
      </c>
      <c r="C1492" t="s">
        <v>4476</v>
      </c>
      <c r="D1492" t="str">
        <f>HYPERLINK("https://github.com/NemProject/NEMAndroidApp/issues/186","show")</f>
        <v>show</v>
      </c>
      <c r="E1492" t="str">
        <f>HYPERLINK("https://github.com/NemProject/NEMAndroidApp","show")</f>
        <v>show</v>
      </c>
      <c r="F1492" t="str">
        <f>HYPERLINK("https://github.com/NemProject/NEMAndroidApp/releases","show")</f>
        <v>show</v>
      </c>
    </row>
    <row r="1493" spans="1:6">
      <c r="A1493" t="s">
        <v>4477</v>
      </c>
      <c r="B1493" t="s">
        <v>4478</v>
      </c>
      <c r="C1493" t="s">
        <v>4479</v>
      </c>
      <c r="D1493" t="str">
        <f>HYPERLINK("https://github.com/dimagi/commcare-android/issues/1166","show")</f>
        <v>show</v>
      </c>
      <c r="E1493" t="str">
        <f>HYPERLINK("https://github.com/dimagi/commcare-android","show")</f>
        <v>show</v>
      </c>
      <c r="F1493" t="str">
        <f>HYPERLINK("https://github.com/dimagi/commcare-android/releases","show")</f>
        <v>show</v>
      </c>
    </row>
    <row r="1494" spans="1:6">
      <c r="A1494" t="s">
        <v>4480</v>
      </c>
      <c r="B1494" t="s">
        <v>4481</v>
      </c>
      <c r="C1494" t="s">
        <v>4482</v>
      </c>
      <c r="D1494" t="str">
        <f>HYPERLINK("https://github.com/ccrama/Slide/issues/1274","show")</f>
        <v>show</v>
      </c>
      <c r="E1494" t="str">
        <f>HYPERLINK("https://github.com/ccrama/Slide","show")</f>
        <v>show</v>
      </c>
      <c r="F1494" t="str">
        <f>HYPERLINK("https://github.com/ccrama/Slide/releases","show")</f>
        <v>show</v>
      </c>
    </row>
    <row r="1495" spans="1:6">
      <c r="A1495" t="s">
        <v>4483</v>
      </c>
      <c r="B1495" t="s">
        <v>4484</v>
      </c>
      <c r="C1495" t="s">
        <v>4485</v>
      </c>
      <c r="D1495" t="str">
        <f>HYPERLINK("https://github.com/openbmap/radiocells-scanner-android/issues/140","show")</f>
        <v>show</v>
      </c>
      <c r="E1495" t="str">
        <f>HYPERLINK("https://github.com/openbmap/radiocells-scanner-android","show")</f>
        <v>show</v>
      </c>
      <c r="F1495" t="str">
        <f>HYPERLINK("https://github.com/openbmap/radiocells-scanner-android/releases","show")</f>
        <v>show</v>
      </c>
    </row>
    <row r="1496" spans="1:6">
      <c r="A1496" t="s">
        <v>4486</v>
      </c>
      <c r="B1496" t="s">
        <v>4487</v>
      </c>
      <c r="C1496" t="s">
        <v>4488</v>
      </c>
      <c r="D1496" t="str">
        <f>HYPERLINK("https://github.com/tbruyelle/RxPermissions/issues/43","show")</f>
        <v>show</v>
      </c>
      <c r="E1496" t="str">
        <f>HYPERLINK("https://github.com/tbruyelle/RxPermissions","show")</f>
        <v>show</v>
      </c>
      <c r="F1496" t="str">
        <f>HYPERLINK("https://github.com/tbruyelle/RxPermissions/releases","show")</f>
        <v>show</v>
      </c>
    </row>
    <row r="1497" spans="1:6">
      <c r="A1497" t="s">
        <v>4489</v>
      </c>
      <c r="B1497" t="s">
        <v>4490</v>
      </c>
      <c r="C1497" t="s">
        <v>4491</v>
      </c>
      <c r="D1497" t="str">
        <f>HYPERLINK("https://github.com/k9mail/k-9/issues/1227","show")</f>
        <v>show</v>
      </c>
      <c r="E1497" t="str">
        <f>HYPERLINK("https://github.com/k9mail/k-9","show")</f>
        <v>show</v>
      </c>
      <c r="F1497" t="str">
        <f>HYPERLINK("https://github.com/k9mail/k-9/releases","show")</f>
        <v>show</v>
      </c>
    </row>
    <row r="1498" spans="1:6">
      <c r="A1498" t="s">
        <v>4492</v>
      </c>
      <c r="B1498" t="s">
        <v>4493</v>
      </c>
      <c r="C1498" t="s">
        <v>4494</v>
      </c>
      <c r="D1498" t="str">
        <f>HYPERLINK("https://github.com/QuantumBadger/RedReader/issues/294","show")</f>
        <v>show</v>
      </c>
      <c r="E1498" t="str">
        <f>HYPERLINK("https://github.com/QuantumBadger/RedReader","show")</f>
        <v>show</v>
      </c>
      <c r="F1498" t="str">
        <f>HYPERLINK("https://github.com/QuantumBadger/RedReader/releases","show")</f>
        <v>show</v>
      </c>
    </row>
    <row r="1499" spans="1:6">
      <c r="A1499" t="s">
        <v>4495</v>
      </c>
      <c r="B1499" t="s">
        <v>4496</v>
      </c>
      <c r="C1499" t="s">
        <v>4497</v>
      </c>
      <c r="D1499" t="str">
        <f>HYPERLINK("https://github.com/aurelhubert/ahbottomnavigation/issues/24","show")</f>
        <v>show</v>
      </c>
      <c r="E1499" t="str">
        <f>HYPERLINK("https://github.com/aurelhubert/ahbottomnavigation","show")</f>
        <v>show</v>
      </c>
      <c r="F1499" t="str">
        <f>HYPERLINK("https://github.com/aurelhubert/ahbottomnavigation/releases","show")</f>
        <v>show</v>
      </c>
    </row>
    <row r="1500" spans="1:6">
      <c r="A1500" t="s">
        <v>4498</v>
      </c>
      <c r="B1500" t="s">
        <v>4499</v>
      </c>
      <c r="C1500" t="s">
        <v>4500</v>
      </c>
      <c r="D1500" t="str">
        <f>HYPERLINK("https://github.com/IvoGoman/Diabetes-App/issues/20","show")</f>
        <v>show</v>
      </c>
      <c r="E1500" t="str">
        <f>HYPERLINK("https://github.com/IvoGoman/Diabetes-App","show")</f>
        <v>show</v>
      </c>
      <c r="F1500" t="str">
        <f>HYPERLINK("https://github.com/IvoGoman/Diabetes-App/releases","show")</f>
        <v>show</v>
      </c>
    </row>
    <row r="1501" spans="1:6">
      <c r="A1501" t="s">
        <v>4501</v>
      </c>
      <c r="B1501" t="s">
        <v>4502</v>
      </c>
      <c r="C1501" t="s">
        <v>4503</v>
      </c>
      <c r="D1501" t="str">
        <f>HYPERLINK("https://github.com/timusus/RecyclerView-FastScroll/issues/26","show")</f>
        <v>show</v>
      </c>
      <c r="E1501" t="str">
        <f>HYPERLINK("https://github.com/timusus/RecyclerView-FastScroll","show")</f>
        <v>show</v>
      </c>
      <c r="F1501" t="str">
        <f>HYPERLINK("https://github.com/timusus/RecyclerView-FastScroll/releases","show")</f>
        <v>show</v>
      </c>
    </row>
    <row r="1502" spans="1:6">
      <c r="A1502" t="s">
        <v>4504</v>
      </c>
      <c r="B1502" t="s">
        <v>4505</v>
      </c>
      <c r="C1502" t="s">
        <v>4506</v>
      </c>
      <c r="D1502" t="str">
        <f>HYPERLINK("https://github.com/ably/ably-java/issues/124","show")</f>
        <v>show</v>
      </c>
      <c r="E1502" t="str">
        <f>HYPERLINK("https://github.com/ably/ably-java","show")</f>
        <v>show</v>
      </c>
      <c r="F1502" t="str">
        <f>HYPERLINK("https://github.com/ably/ably-java/releases","show")</f>
        <v>show</v>
      </c>
    </row>
    <row r="1503" spans="1:6">
      <c r="A1503" t="s">
        <v>4507</v>
      </c>
      <c r="B1503" t="s">
        <v>4508</v>
      </c>
      <c r="C1503" t="s">
        <v>4509</v>
      </c>
      <c r="D1503" t="str">
        <f>HYPERLINK("https://github.com/k9mail/k-9/issues/1245","show")</f>
        <v>show</v>
      </c>
      <c r="E1503" t="str">
        <f>HYPERLINK("https://github.com/k9mail/k-9","show")</f>
        <v>show</v>
      </c>
      <c r="F1503" t="str">
        <f>HYPERLINK("https://github.com/k9mail/k-9/releases","show")</f>
        <v>show</v>
      </c>
    </row>
    <row r="1504" spans="1:6">
      <c r="A1504" t="s">
        <v>4510</v>
      </c>
      <c r="B1504" t="s">
        <v>4511</v>
      </c>
      <c r="C1504" t="s">
        <v>4512</v>
      </c>
      <c r="D1504" t="str">
        <f>HYPERLINK("https://github.com/aws-amplify/aws-sdk-android/issues/117","show")</f>
        <v>show</v>
      </c>
      <c r="E1504" t="str">
        <f>HYPERLINK("https://github.com/aws-amplify/aws-sdk-android","show")</f>
        <v>show</v>
      </c>
      <c r="F1504" t="str">
        <f>HYPERLINK("https://github.com/aws-amplify/aws-sdk-android/releases","show")</f>
        <v>show</v>
      </c>
    </row>
    <row r="1505" spans="1:6">
      <c r="A1505" t="s">
        <v>4513</v>
      </c>
      <c r="B1505" t="s">
        <v>4514</v>
      </c>
      <c r="C1505" t="s">
        <v>4515</v>
      </c>
      <c r="D1505" t="str">
        <f>HYPERLINK("https://github.com/k9mail/k-9/issues/1251","show")</f>
        <v>show</v>
      </c>
      <c r="E1505" t="str">
        <f>HYPERLINK("https://github.com/k9mail/k-9","show")</f>
        <v>show</v>
      </c>
      <c r="F1505" t="str">
        <f>HYPERLINK("https://github.com/k9mail/k-9/releases","show")</f>
        <v>show</v>
      </c>
    </row>
    <row r="1506" spans="1:6">
      <c r="A1506" t="s">
        <v>4516</v>
      </c>
      <c r="B1506" t="s">
        <v>4517</v>
      </c>
      <c r="C1506" t="s">
        <v>4518</v>
      </c>
      <c r="D1506" t="str">
        <f>HYPERLINK("https://github.com/nilsbraden/ttrss-reader-fork/issues/314","show")</f>
        <v>show</v>
      </c>
      <c r="E1506" t="str">
        <f>HYPERLINK("https://github.com/nilsbraden/ttrss-reader-fork","show")</f>
        <v>show</v>
      </c>
      <c r="F1506" t="str">
        <f>HYPERLINK("https://github.com/nilsbraden/ttrss-reader-fork/releases","show")</f>
        <v>show</v>
      </c>
    </row>
    <row r="1507" spans="1:6">
      <c r="A1507" t="s">
        <v>4519</v>
      </c>
      <c r="B1507" t="s">
        <v>4520</v>
      </c>
      <c r="C1507" t="s">
        <v>4521</v>
      </c>
      <c r="D1507" t="str">
        <f>HYPERLINK("https://github.com/mixpanel/mixpanel-android/issues/343","show")</f>
        <v>show</v>
      </c>
      <c r="E1507" t="str">
        <f>HYPERLINK("https://github.com/mixpanel/mixpanel-android","show")</f>
        <v>show</v>
      </c>
      <c r="F1507" t="str">
        <f>HYPERLINK("https://github.com/mixpanel/mixpanel-android/releases","show")</f>
        <v>show</v>
      </c>
    </row>
    <row r="1508" spans="1:6">
      <c r="A1508" t="s">
        <v>4522</v>
      </c>
      <c r="B1508" t="s">
        <v>4523</v>
      </c>
      <c r="C1508" t="s">
        <v>4524</v>
      </c>
      <c r="D1508" t="str">
        <f>HYPERLINK("https://github.com/milincjoshi/To-Do/issues/1","show")</f>
        <v>show</v>
      </c>
      <c r="E1508" t="str">
        <f>HYPERLINK("https://github.com/milincjoshi/To-Do","show")</f>
        <v>show</v>
      </c>
      <c r="F1508" t="str">
        <f>HYPERLINK("https://github.com/milincjoshi/To-Do/releases","show")</f>
        <v>show</v>
      </c>
    </row>
    <row r="1509" spans="1:6">
      <c r="A1509" t="s">
        <v>4525</v>
      </c>
      <c r="B1509" t="s">
        <v>4526</v>
      </c>
      <c r="C1509" t="s">
        <v>4527</v>
      </c>
      <c r="D1509" t="str">
        <f>HYPERLINK("https://github.com/cymcsg/UltimateRecyclerView/issues/359","show")</f>
        <v>show</v>
      </c>
      <c r="E1509" t="str">
        <f>HYPERLINK("https://github.com/cymcsg/UltimateRecyclerView","show")</f>
        <v>show</v>
      </c>
      <c r="F1509" t="str">
        <f>HYPERLINK("https://github.com/cymcsg/UltimateRecyclerView/releases","show")</f>
        <v>show</v>
      </c>
    </row>
    <row r="1510" spans="1:6">
      <c r="A1510" t="s">
        <v>4528</v>
      </c>
      <c r="B1510" t="s">
        <v>4529</v>
      </c>
      <c r="C1510" t="s">
        <v>4530</v>
      </c>
      <c r="D1510" t="str">
        <f>HYPERLINK("https://github.com/davideas/FlipView/issues/9","show")</f>
        <v>show</v>
      </c>
      <c r="E1510" t="str">
        <f>HYPERLINK("https://github.com/davideas/FlipView","show")</f>
        <v>show</v>
      </c>
      <c r="F1510" t="str">
        <f>HYPERLINK("https://github.com/davideas/FlipView/releases","show")</f>
        <v>show</v>
      </c>
    </row>
    <row r="1511" spans="1:6">
      <c r="A1511" t="s">
        <v>4531</v>
      </c>
      <c r="B1511" t="s">
        <v>4532</v>
      </c>
      <c r="C1511" t="s">
        <v>4533</v>
      </c>
      <c r="D1511" t="str">
        <f>HYPERLINK("https://github.com/translation-cards/translation-cards/issues/119","show")</f>
        <v>show</v>
      </c>
      <c r="E1511" t="str">
        <f>HYPERLINK("https://github.com/translation-cards/translation-cards","show")</f>
        <v>show</v>
      </c>
      <c r="F1511" t="str">
        <f>HYPERLINK("https://github.com/translation-cards/translation-cards/releases","show")</f>
        <v>show</v>
      </c>
    </row>
    <row r="1512" spans="1:6">
      <c r="A1512" t="s">
        <v>4534</v>
      </c>
      <c r="B1512" t="s">
        <v>4535</v>
      </c>
      <c r="C1512" t="s">
        <v>4536</v>
      </c>
      <c r="D1512" t="str">
        <f>HYPERLINK("https://github.com/darsh2/MultipleImageSelect/issues/12","show")</f>
        <v>show</v>
      </c>
      <c r="E1512" t="str">
        <f>HYPERLINK("https://github.com/darsh2/MultipleImageSelect","show")</f>
        <v>show</v>
      </c>
      <c r="F1512" t="str">
        <f>HYPERLINK("https://github.com/darsh2/MultipleImageSelect/releases","show")</f>
        <v>show</v>
      </c>
    </row>
    <row r="1513" spans="1:6">
      <c r="A1513" t="s">
        <v>4537</v>
      </c>
      <c r="B1513" t="s">
        <v>4538</v>
      </c>
      <c r="C1513" t="s">
        <v>4539</v>
      </c>
      <c r="D1513" t="str">
        <f>HYPERLINK("https://github.com/unfoldingWord-dev/ts-android/issues/1422","show")</f>
        <v>show</v>
      </c>
      <c r="E1513" t="str">
        <f>HYPERLINK("https://github.com/unfoldingWord-dev/ts-android","show")</f>
        <v>show</v>
      </c>
      <c r="F1513" t="str">
        <f>HYPERLINK("https://github.com/unfoldingWord-dev/ts-android/releases","show")</f>
        <v>show</v>
      </c>
    </row>
    <row r="1514" spans="1:6">
      <c r="A1514" t="s">
        <v>4540</v>
      </c>
      <c r="B1514" t="s">
        <v>4541</v>
      </c>
      <c r="C1514" t="s">
        <v>4542</v>
      </c>
      <c r="D1514" t="str">
        <f>HYPERLINK("https://github.com/aws-amplify/aws-sdk-android/issues/118","show")</f>
        <v>show</v>
      </c>
      <c r="E1514" t="str">
        <f>HYPERLINK("https://github.com/aws-amplify/aws-sdk-android","show")</f>
        <v>show</v>
      </c>
      <c r="F1514" t="str">
        <f>HYPERLINK("https://github.com/aws-amplify/aws-sdk-android/releases","show")</f>
        <v>show</v>
      </c>
    </row>
    <row r="1515" spans="1:6">
      <c r="A1515" t="s">
        <v>4543</v>
      </c>
      <c r="B1515" t="s">
        <v>4544</v>
      </c>
      <c r="C1515" t="s">
        <v>4545</v>
      </c>
      <c r="D1515" t="str">
        <f>HYPERLINK("https://github.com/SCCapstone/diet/issues/43","show")</f>
        <v>show</v>
      </c>
      <c r="E1515" t="str">
        <f>HYPERLINK("https://github.com/SCCapstone/diet","show")</f>
        <v>show</v>
      </c>
      <c r="F1515" t="str">
        <f>HYPERLINK("https://github.com/SCCapstone/diet/releases","show")</f>
        <v>show</v>
      </c>
    </row>
    <row r="1516" spans="1:6">
      <c r="A1516" t="s">
        <v>4546</v>
      </c>
      <c r="B1516" t="s">
        <v>4547</v>
      </c>
      <c r="C1516" t="s">
        <v>4548</v>
      </c>
      <c r="D1516" t="str">
        <f>HYPERLINK("https://github.com/Freeyourgadget/Gadgetbridge/issues/277","show")</f>
        <v>show</v>
      </c>
      <c r="E1516" t="str">
        <f>HYPERLINK("https://github.com/Freeyourgadget/Gadgetbridge","show")</f>
        <v>show</v>
      </c>
      <c r="F1516" t="str">
        <f>HYPERLINK("https://github.com/Freeyourgadget/Gadgetbridge/releases","show")</f>
        <v>show</v>
      </c>
    </row>
    <row r="1517" spans="1:6">
      <c r="A1517" t="s">
        <v>4549</v>
      </c>
      <c r="B1517" t="s">
        <v>4550</v>
      </c>
      <c r="C1517" t="s">
        <v>4551</v>
      </c>
      <c r="D1517" t="str">
        <f>HYPERLINK("https://github.com/kontalk/androidclient/issues/672","show")</f>
        <v>show</v>
      </c>
      <c r="E1517" t="str">
        <f>HYPERLINK("https://github.com/kontalk/androidclient","show")</f>
        <v>show</v>
      </c>
      <c r="F1517" t="str">
        <f>HYPERLINK("https://github.com/kontalk/androidclient/releases","show")</f>
        <v>show</v>
      </c>
    </row>
    <row r="1518" spans="1:6">
      <c r="A1518" t="s">
        <v>4552</v>
      </c>
      <c r="B1518" t="s">
        <v>4553</v>
      </c>
      <c r="C1518" t="s">
        <v>4554</v>
      </c>
      <c r="D1518" t="str">
        <f>HYPERLINK("https://github.com/kontalk/androidclient/issues/671","show")</f>
        <v>show</v>
      </c>
      <c r="E1518" t="str">
        <f>HYPERLINK("https://github.com/kontalk/androidclient","show")</f>
        <v>show</v>
      </c>
      <c r="F1518" t="str">
        <f>HYPERLINK("https://github.com/kontalk/androidclient/releases","show")</f>
        <v>show</v>
      </c>
    </row>
    <row r="1519" spans="1:6">
      <c r="A1519" t="s">
        <v>4555</v>
      </c>
      <c r="B1519" t="s">
        <v>4556</v>
      </c>
      <c r="C1519" t="s">
        <v>4557</v>
      </c>
      <c r="D1519" t="str">
        <f>HYPERLINK("https://github.com/davideas/FlexibleAdapter/issues/64","show")</f>
        <v>show</v>
      </c>
      <c r="E1519" t="str">
        <f>HYPERLINK("https://github.com/davideas/FlexibleAdapter","show")</f>
        <v>show</v>
      </c>
      <c r="F1519" t="str">
        <f>HYPERLINK("https://github.com/davideas/FlexibleAdapter/releases","show")</f>
        <v>show</v>
      </c>
    </row>
    <row r="1520" spans="1:6">
      <c r="A1520" t="s">
        <v>4558</v>
      </c>
      <c r="B1520" t="s">
        <v>4559</v>
      </c>
      <c r="C1520" t="s">
        <v>4560</v>
      </c>
      <c r="D1520" t="str">
        <f>HYPERLINK("https://github.com/kontalk/androidclient/issues/674","show")</f>
        <v>show</v>
      </c>
      <c r="E1520" t="str">
        <f>HYPERLINK("https://github.com/kontalk/androidclient","show")</f>
        <v>show</v>
      </c>
      <c r="F1520" t="str">
        <f>HYPERLINK("https://github.com/kontalk/androidclient/releases","show")</f>
        <v>show</v>
      </c>
    </row>
    <row r="1521" spans="1:6">
      <c r="A1521" t="s">
        <v>4561</v>
      </c>
      <c r="B1521" t="s">
        <v>4562</v>
      </c>
      <c r="C1521" t="s">
        <v>4563</v>
      </c>
      <c r="D1521" t="str">
        <f>HYPERLINK("https://github.com/commons-app/apps-android-commons/issues/94","show")</f>
        <v>show</v>
      </c>
      <c r="E1521" t="str">
        <f>HYPERLINK("https://github.com/commons-app/apps-android-commons","show")</f>
        <v>show</v>
      </c>
      <c r="F1521" t="str">
        <f>HYPERLINK("https://github.com/commons-app/apps-android-commons/releases","show")</f>
        <v>show</v>
      </c>
    </row>
    <row r="1522" spans="1:6">
      <c r="A1522" t="s">
        <v>4564</v>
      </c>
      <c r="B1522" t="s">
        <v>4565</v>
      </c>
      <c r="C1522" t="s">
        <v>4566</v>
      </c>
      <c r="D1522" t="str">
        <f>HYPERLINK("https://github.com/jonasoreland/runnerup/issues/381","show")</f>
        <v>show</v>
      </c>
      <c r="E1522" t="str">
        <f>HYPERLINK("https://github.com/jonasoreland/runnerup","show")</f>
        <v>show</v>
      </c>
      <c r="F1522" t="str">
        <f>HYPERLINK("https://github.com/jonasoreland/runnerup/releases","show")</f>
        <v>show</v>
      </c>
    </row>
    <row r="1523" spans="1:6">
      <c r="A1523" t="s">
        <v>4567</v>
      </c>
      <c r="B1523" t="s">
        <v>4568</v>
      </c>
      <c r="C1523" t="s">
        <v>4569</v>
      </c>
      <c r="D1523" t="str">
        <f>HYPERLINK("https://github.com/3meters/patchr-android/issues/234","show")</f>
        <v>show</v>
      </c>
      <c r="E1523" t="str">
        <f>HYPERLINK("https://github.com/3meters/patchr-android","show")</f>
        <v>show</v>
      </c>
      <c r="F1523" t="str">
        <f>HYPERLINK("https://github.com/3meters/patchr-android/releases","show")</f>
        <v>show</v>
      </c>
    </row>
    <row r="1524" spans="1:6">
      <c r="A1524" t="s">
        <v>4570</v>
      </c>
      <c r="B1524" t="s">
        <v>4571</v>
      </c>
      <c r="C1524" t="s">
        <v>4572</v>
      </c>
      <c r="D1524" t="str">
        <f>HYPERLINK("https://github.com/iomodo/Wally/issues/5","show")</f>
        <v>show</v>
      </c>
      <c r="E1524" t="str">
        <f>HYPERLINK("https://github.com/iomodo/Wally","show")</f>
        <v>show</v>
      </c>
      <c r="F1524" t="str">
        <f>HYPERLINK("https://github.com/iomodo/Wally/releases","show")</f>
        <v>show</v>
      </c>
    </row>
    <row r="1525" spans="1:6">
      <c r="A1525" t="s">
        <v>4573</v>
      </c>
      <c r="B1525" t="s">
        <v>4574</v>
      </c>
      <c r="C1525" t="s">
        <v>4575</v>
      </c>
      <c r="D1525" t="str">
        <f>HYPERLINK("https://github.com/chandevel/Clover/issues/181","show")</f>
        <v>show</v>
      </c>
      <c r="E1525" t="str">
        <f>HYPERLINK("https://github.com/chandevel/Clover","show")</f>
        <v>show</v>
      </c>
      <c r="F1525" t="str">
        <f>HYPERLINK("https://github.com/chandevel/Clover/releases","show")</f>
        <v>show</v>
      </c>
    </row>
    <row r="1526" spans="1:6">
      <c r="A1526" t="s">
        <v>4576</v>
      </c>
      <c r="B1526" t="s">
        <v>4577</v>
      </c>
      <c r="C1526" t="s">
        <v>4578</v>
      </c>
      <c r="D1526" t="str">
        <f>HYPERLINK("https://github.com/dasmikko/facepunchdroid/issues/44","show")</f>
        <v>show</v>
      </c>
      <c r="E1526" t="str">
        <f>HYPERLINK("https://github.com/dasmikko/facepunchdroid","show")</f>
        <v>show</v>
      </c>
      <c r="F1526" t="str">
        <f>HYPERLINK("https://github.com/dasmikko/facepunchdroid/releases","show")</f>
        <v>show</v>
      </c>
    </row>
    <row r="1527" spans="1:6">
      <c r="A1527" t="s">
        <v>4579</v>
      </c>
      <c r="B1527" t="s">
        <v>4580</v>
      </c>
      <c r="C1527" t="s">
        <v>4581</v>
      </c>
      <c r="D1527" t="str">
        <f>HYPERLINK("https://github.com/mozilla/MozStumbler/issues/1757","show")</f>
        <v>show</v>
      </c>
      <c r="E1527" t="str">
        <f>HYPERLINK("https://github.com/mozilla/MozStumbler","show")</f>
        <v>show</v>
      </c>
      <c r="F1527" t="str">
        <f>HYPERLINK("https://github.com/mozilla/MozStumbler/releases","show")</f>
        <v>show</v>
      </c>
    </row>
    <row r="1528" spans="1:6">
      <c r="A1528" t="s">
        <v>4582</v>
      </c>
      <c r="B1528" t="s">
        <v>4583</v>
      </c>
      <c r="C1528" t="s">
        <v>4584</v>
      </c>
      <c r="D1528" t="str">
        <f>HYPERLINK("https://github.com/zhanghai/MaterialProgressBar/issues/21","show")</f>
        <v>show</v>
      </c>
      <c r="E1528" t="str">
        <f>HYPERLINK("https://github.com/zhanghai/MaterialProgressBar","show")</f>
        <v>show</v>
      </c>
      <c r="F1528" t="str">
        <f>HYPERLINK("https://github.com/zhanghai/MaterialProgressBar/releases","show")</f>
        <v>show</v>
      </c>
    </row>
    <row r="1529" spans="1:6">
      <c r="A1529" t="s">
        <v>4585</v>
      </c>
      <c r="B1529" t="s">
        <v>4586</v>
      </c>
      <c r="C1529" t="s">
        <v>4587</v>
      </c>
      <c r="D1529" t="str">
        <f>HYPERLINK("https://github.com/k9mail/k-9/issues/1271","show")</f>
        <v>show</v>
      </c>
      <c r="E1529" t="str">
        <f>HYPERLINK("https://github.com/k9mail/k-9","show")</f>
        <v>show</v>
      </c>
      <c r="F1529" t="str">
        <f>HYPERLINK("https://github.com/k9mail/k-9/releases","show")</f>
        <v>show</v>
      </c>
    </row>
    <row r="1530" spans="1:6">
      <c r="A1530" t="s">
        <v>4588</v>
      </c>
      <c r="B1530" t="s">
        <v>4589</v>
      </c>
      <c r="C1530" t="s">
        <v>4590</v>
      </c>
      <c r="D1530" t="str">
        <f>HYPERLINK("https://github.com/google/blockly-android/issues/187","show")</f>
        <v>show</v>
      </c>
      <c r="E1530" t="str">
        <f>HYPERLINK("https://github.com/google/blockly-android","show")</f>
        <v>show</v>
      </c>
      <c r="F1530" t="str">
        <f>HYPERLINK("https://github.com/google/blockly-android/releases","show")</f>
        <v>show</v>
      </c>
    </row>
    <row r="1531" spans="1:6">
      <c r="A1531" t="s">
        <v>4591</v>
      </c>
      <c r="B1531" t="s">
        <v>4592</v>
      </c>
      <c r="C1531" t="s">
        <v>4593</v>
      </c>
      <c r="D1531" t="str">
        <f>HYPERLINK("https://github.com/DigitalCampus/oppia-mobile-android/issues/531","show")</f>
        <v>show</v>
      </c>
      <c r="E1531" t="str">
        <f>HYPERLINK("https://github.com/DigitalCampus/oppia-mobile-android","show")</f>
        <v>show</v>
      </c>
      <c r="F1531" t="str">
        <f>HYPERLINK("https://github.com/DigitalCampus/oppia-mobile-android/releases","show")</f>
        <v>show</v>
      </c>
    </row>
    <row r="1532" spans="1:6">
      <c r="A1532" t="s">
        <v>4594</v>
      </c>
      <c r="B1532" t="s">
        <v>4595</v>
      </c>
      <c r="C1532" t="s">
        <v>4596</v>
      </c>
      <c r="D1532" t="str">
        <f>HYPERLINK("https://github.com/kontalk/androidclient/issues/680","show")</f>
        <v>show</v>
      </c>
      <c r="E1532" t="str">
        <f>HYPERLINK("https://github.com/kontalk/androidclient","show")</f>
        <v>show</v>
      </c>
      <c r="F1532" t="str">
        <f>HYPERLINK("https://github.com/kontalk/androidclient/releases","show")</f>
        <v>show</v>
      </c>
    </row>
    <row r="1533" spans="1:6">
      <c r="A1533" t="s">
        <v>4597</v>
      </c>
      <c r="B1533" t="s">
        <v>4598</v>
      </c>
      <c r="C1533" t="s">
        <v>4599</v>
      </c>
      <c r="D1533" t="str">
        <f>HYPERLINK("https://github.com/ccrama/Slide/issues/1388","show")</f>
        <v>show</v>
      </c>
      <c r="E1533" t="str">
        <f>HYPERLINK("https://github.com/ccrama/Slide","show")</f>
        <v>show</v>
      </c>
      <c r="F1533" t="str">
        <f>HYPERLINK("https://github.com/ccrama/Slide/releases","show")</f>
        <v>show</v>
      </c>
    </row>
    <row r="1534" spans="1:6">
      <c r="A1534" t="s">
        <v>4600</v>
      </c>
      <c r="B1534" t="s">
        <v>4601</v>
      </c>
      <c r="C1534" t="s">
        <v>4602</v>
      </c>
      <c r="D1534" t="str">
        <f>HYPERLINK("https://github.com/SCCapstone/diet/issues/56","show")</f>
        <v>show</v>
      </c>
      <c r="E1534" t="str">
        <f>HYPERLINK("https://github.com/SCCapstone/diet","show")</f>
        <v>show</v>
      </c>
      <c r="F1534" t="str">
        <f>HYPERLINK("https://github.com/SCCapstone/diet/releases","show")</f>
        <v>show</v>
      </c>
    </row>
    <row r="1535" spans="1:6">
      <c r="A1535" t="s">
        <v>4603</v>
      </c>
      <c r="B1535" t="s">
        <v>4604</v>
      </c>
      <c r="C1535" t="s">
        <v>4605</v>
      </c>
      <c r="D1535" t="str">
        <f>HYPERLINK("https://github.com/SCCapstone/diet/issues/53","show")</f>
        <v>show</v>
      </c>
      <c r="E1535" t="str">
        <f>HYPERLINK("https://github.com/SCCapstone/diet","show")</f>
        <v>show</v>
      </c>
      <c r="F1535" t="str">
        <f>HYPERLINK("https://github.com/SCCapstone/diet/releases","show")</f>
        <v>show</v>
      </c>
    </row>
    <row r="1536" spans="1:6">
      <c r="A1536" t="s">
        <v>4606</v>
      </c>
      <c r="B1536" t="s">
        <v>4607</v>
      </c>
      <c r="C1536" t="s">
        <v>4608</v>
      </c>
      <c r="D1536" t="str">
        <f>HYPERLINK("https://github.com/SCCapstone/diet/issues/50","show")</f>
        <v>show</v>
      </c>
      <c r="E1536" t="str">
        <f>HYPERLINK("https://github.com/SCCapstone/diet","show")</f>
        <v>show</v>
      </c>
      <c r="F1536" t="str">
        <f>HYPERLINK("https://github.com/SCCapstone/diet/releases","show")</f>
        <v>show</v>
      </c>
    </row>
    <row r="1537" spans="1:6">
      <c r="A1537" t="s">
        <v>4609</v>
      </c>
      <c r="B1537" t="s">
        <v>4610</v>
      </c>
      <c r="C1537" t="s">
        <v>4611</v>
      </c>
      <c r="D1537" t="str">
        <f>HYPERLINK("https://github.com/SCCapstone/diet/issues/47","show")</f>
        <v>show</v>
      </c>
      <c r="E1537" t="str">
        <f>HYPERLINK("https://github.com/SCCapstone/diet","show")</f>
        <v>show</v>
      </c>
      <c r="F1537" t="str">
        <f>HYPERLINK("https://github.com/SCCapstone/diet/releases","show")</f>
        <v>show</v>
      </c>
    </row>
    <row r="1538" spans="1:6">
      <c r="A1538" t="s">
        <v>4612</v>
      </c>
      <c r="B1538" t="s">
        <v>4613</v>
      </c>
      <c r="C1538" t="s">
        <v>4614</v>
      </c>
      <c r="D1538" t="str">
        <f>HYPERLINK("https://github.com/SCCapstone/diet/issues/45","show")</f>
        <v>show</v>
      </c>
      <c r="E1538" t="str">
        <f>HYPERLINK("https://github.com/SCCapstone/diet","show")</f>
        <v>show</v>
      </c>
      <c r="F1538" t="str">
        <f>HYPERLINK("https://github.com/SCCapstone/diet/releases","show")</f>
        <v>show</v>
      </c>
    </row>
    <row r="1539" spans="1:6">
      <c r="A1539" t="s">
        <v>4615</v>
      </c>
      <c r="B1539" t="s">
        <v>4616</v>
      </c>
      <c r="C1539" t="s">
        <v>4617</v>
      </c>
      <c r="D1539" t="str">
        <f>HYPERLINK("https://github.com/google/blockly-android/issues/190","show")</f>
        <v>show</v>
      </c>
      <c r="E1539" t="str">
        <f>HYPERLINK("https://github.com/google/blockly-android","show")</f>
        <v>show</v>
      </c>
      <c r="F1539" t="str">
        <f>HYPERLINK("https://github.com/google/blockly-android/releases","show")</f>
        <v>show</v>
      </c>
    </row>
    <row r="1540" spans="1:6">
      <c r="A1540" t="s">
        <v>4618</v>
      </c>
      <c r="B1540" t="s">
        <v>4619</v>
      </c>
      <c r="C1540" t="s">
        <v>4620</v>
      </c>
      <c r="D1540" t="str">
        <f>HYPERLINK("https://github.com/Crash-Test-Buddies/WiFi-Buddy/issues/53","show")</f>
        <v>show</v>
      </c>
      <c r="E1540" t="str">
        <f>HYPERLINK("https://github.com/Crash-Test-Buddies/WiFi-Buddy","show")</f>
        <v>show</v>
      </c>
      <c r="F1540" t="str">
        <f>HYPERLINK("https://github.com/Crash-Test-Buddies/WiFi-Buddy/releases","show")</f>
        <v>show</v>
      </c>
    </row>
    <row r="1541" spans="1:6">
      <c r="A1541" t="s">
        <v>4621</v>
      </c>
      <c r="B1541" t="s">
        <v>4622</v>
      </c>
      <c r="C1541" t="s">
        <v>4623</v>
      </c>
      <c r="D1541" t="str">
        <f>HYPERLINK("https://github.com/EdwardvanRaak/MaterialBarcodeScanner/issues/1","show")</f>
        <v>show</v>
      </c>
      <c r="E1541" t="str">
        <f>HYPERLINK("https://github.com/EdwardvanRaak/MaterialBarcodeScanner","show")</f>
        <v>show</v>
      </c>
      <c r="F1541" t="str">
        <f>HYPERLINK("https://github.com/EdwardvanRaak/MaterialBarcodeScanner/releases","show")</f>
        <v>show</v>
      </c>
    </row>
    <row r="1542" spans="1:6">
      <c r="A1542" t="s">
        <v>4624</v>
      </c>
      <c r="B1542" t="s">
        <v>4625</v>
      </c>
      <c r="C1542" t="s">
        <v>4626</v>
      </c>
      <c r="D1542" t="str">
        <f>HYPERLINK("https://github.com/mendhak/gpslogger/issues/430","show")</f>
        <v>show</v>
      </c>
      <c r="E1542" t="str">
        <f>HYPERLINK("https://github.com/mendhak/gpslogger","show")</f>
        <v>show</v>
      </c>
      <c r="F1542" t="str">
        <f>HYPERLINK("https://github.com/mendhak/gpslogger/releases","show")</f>
        <v>show</v>
      </c>
    </row>
    <row r="1543" spans="1:6">
      <c r="A1543" t="s">
        <v>4627</v>
      </c>
      <c r="B1543" t="s">
        <v>4628</v>
      </c>
      <c r="C1543" t="s">
        <v>4629</v>
      </c>
      <c r="D1543" t="str">
        <f>HYPERLINK("https://github.com/ladybirdweb/faveo-helpdesk-android-app/issues/11","show")</f>
        <v>show</v>
      </c>
      <c r="E1543" t="str">
        <f>HYPERLINK("https://github.com/ladybirdweb/faveo-helpdesk-android-app","show")</f>
        <v>show</v>
      </c>
      <c r="F1543" t="str">
        <f>HYPERLINK("https://github.com/ladybirdweb/faveo-helpdesk-android-app/releases","show")</f>
        <v>show</v>
      </c>
    </row>
    <row r="1544" spans="1:6">
      <c r="A1544" t="s">
        <v>4630</v>
      </c>
      <c r="B1544" t="s">
        <v>4631</v>
      </c>
      <c r="C1544" t="s">
        <v>4632</v>
      </c>
      <c r="D1544" t="str">
        <f>HYPERLINK("https://github.com/Scaronthesky/UK-Gebaerden_Muensterland/issues/27","show")</f>
        <v>show</v>
      </c>
      <c r="E1544" t="str">
        <f>HYPERLINK("https://github.com/Scaronthesky/UK-Gebaerden_Muensterland","show")</f>
        <v>show</v>
      </c>
      <c r="F1544" t="str">
        <f>HYPERLINK("https://github.com/Scaronthesky/UK-Gebaerden_Muensterland/releases","show")</f>
        <v>show</v>
      </c>
    </row>
    <row r="1545" spans="1:6">
      <c r="A1545" t="s">
        <v>4633</v>
      </c>
      <c r="B1545" t="s">
        <v>4634</v>
      </c>
      <c r="C1545" t="s">
        <v>4635</v>
      </c>
      <c r="D1545" t="str">
        <f>HYPERLINK("https://github.com/syncthing/syncthing-android/issues/620","show")</f>
        <v>show</v>
      </c>
      <c r="E1545" t="str">
        <f>HYPERLINK("https://github.com/syncthing/syncthing-android","show")</f>
        <v>show</v>
      </c>
      <c r="F1545" t="str">
        <f>HYPERLINK("https://github.com/syncthing/syncthing-android/releases","show")</f>
        <v>show</v>
      </c>
    </row>
    <row r="1546" spans="1:6">
      <c r="A1546" t="s">
        <v>4636</v>
      </c>
      <c r="B1546" t="s">
        <v>4637</v>
      </c>
      <c r="C1546" t="s">
        <v>4638</v>
      </c>
      <c r="D1546" t="str">
        <f>HYPERLINK("https://github.com/requery/sqlite-android/issues/11","show")</f>
        <v>show</v>
      </c>
      <c r="E1546" t="str">
        <f>HYPERLINK("https://github.com/requery/sqlite-android","show")</f>
        <v>show</v>
      </c>
      <c r="F1546" t="str">
        <f>HYPERLINK("https://github.com/requery/sqlite-android/releases","show")</f>
        <v>show</v>
      </c>
    </row>
    <row r="1547" spans="1:6">
      <c r="A1547" t="s">
        <v>4639</v>
      </c>
      <c r="B1547" t="s">
        <v>4640</v>
      </c>
      <c r="C1547" t="s">
        <v>4641</v>
      </c>
      <c r="D1547" t="str">
        <f>HYPERLINK("https://github.com/Crash-Test-Buddies/WiFi-Buddy/issues/58","show")</f>
        <v>show</v>
      </c>
      <c r="E1547" t="str">
        <f>HYPERLINK("https://github.com/Crash-Test-Buddies/WiFi-Buddy","show")</f>
        <v>show</v>
      </c>
      <c r="F1547" t="str">
        <f>HYPERLINK("https://github.com/Crash-Test-Buddies/WiFi-Buddy/releases","show")</f>
        <v>show</v>
      </c>
    </row>
    <row r="1548" spans="1:6">
      <c r="A1548" t="s">
        <v>4642</v>
      </c>
      <c r="B1548" t="s">
        <v>4643</v>
      </c>
      <c r="C1548" t="s">
        <v>4644</v>
      </c>
      <c r="D1548" t="str">
        <f>HYPERLINK("https://github.com/dimagi/commcare-android/issues/1211","show")</f>
        <v>show</v>
      </c>
      <c r="E1548" t="str">
        <f>HYPERLINK("https://github.com/dimagi/commcare-android","show")</f>
        <v>show</v>
      </c>
      <c r="F1548" t="str">
        <f>HYPERLINK("https://github.com/dimagi/commcare-android/releases","show")</f>
        <v>show</v>
      </c>
    </row>
    <row r="1549" spans="1:6">
      <c r="A1549" t="s">
        <v>4645</v>
      </c>
      <c r="B1549" t="s">
        <v>4646</v>
      </c>
      <c r="C1549" t="s">
        <v>4647</v>
      </c>
      <c r="D1549" t="str">
        <f>HYPERLINK("https://github.com/dimagi/commcare-android/issues/1214","show")</f>
        <v>show</v>
      </c>
      <c r="E1549" t="str">
        <f>HYPERLINK("https://github.com/dimagi/commcare-android","show")</f>
        <v>show</v>
      </c>
      <c r="F1549" t="str">
        <f>HYPERLINK("https://github.com/dimagi/commcare-android/releases","show")</f>
        <v>show</v>
      </c>
    </row>
    <row r="1550" spans="1:6">
      <c r="A1550" t="s">
        <v>4648</v>
      </c>
      <c r="B1550" t="s">
        <v>4649</v>
      </c>
      <c r="C1550" t="s">
        <v>4650</v>
      </c>
      <c r="D1550" t="str">
        <f>HYPERLINK("https://github.com/ZieIony/Carbon/issues/239","show")</f>
        <v>show</v>
      </c>
      <c r="E1550" t="str">
        <f>HYPERLINK("https://github.com/ZieIony/Carbon","show")</f>
        <v>show</v>
      </c>
      <c r="F1550" t="str">
        <f>HYPERLINK("https://github.com/ZieIony/Carbon/releases","show")</f>
        <v>show</v>
      </c>
    </row>
    <row r="1551" spans="1:6">
      <c r="A1551" t="s">
        <v>4651</v>
      </c>
      <c r="B1551" t="s">
        <v>4652</v>
      </c>
      <c r="C1551" t="s">
        <v>4653</v>
      </c>
      <c r="D1551" t="str">
        <f>HYPERLINK("https://github.com/ccrama/Slide/issues/1486","show")</f>
        <v>show</v>
      </c>
      <c r="E1551" t="str">
        <f>HYPERLINK("https://github.com/ccrama/Slide","show")</f>
        <v>show</v>
      </c>
      <c r="F1551" t="str">
        <f>HYPERLINK("https://github.com/ccrama/Slide/releases","show")</f>
        <v>show</v>
      </c>
    </row>
    <row r="1552" spans="1:6">
      <c r="A1552" t="s">
        <v>4654</v>
      </c>
      <c r="B1552" t="s">
        <v>4655</v>
      </c>
      <c r="C1552" t="s">
        <v>4656</v>
      </c>
      <c r="D1552" t="str">
        <f>HYPERLINK("https://github.com/k-hatano/tapchord/issues/25","show")</f>
        <v>show</v>
      </c>
      <c r="E1552" t="str">
        <f>HYPERLINK("https://github.com/k-hatano/tapchord","show")</f>
        <v>show</v>
      </c>
      <c r="F1552" t="str">
        <f>HYPERLINK("https://github.com/k-hatano/tapchord/releases","show")</f>
        <v>show</v>
      </c>
    </row>
    <row r="1553" spans="1:6">
      <c r="A1553" t="s">
        <v>4657</v>
      </c>
      <c r="B1553" t="s">
        <v>4658</v>
      </c>
      <c r="C1553" t="s">
        <v>4659</v>
      </c>
      <c r="D1553" t="str">
        <f>HYPERLINK("https://github.com/mpiannucci/HackWinds-Android/issues/105","show")</f>
        <v>show</v>
      </c>
      <c r="E1553" t="str">
        <f>HYPERLINK("https://github.com/mpiannucci/HackWinds-Android","show")</f>
        <v>show</v>
      </c>
      <c r="F1553" t="str">
        <f>HYPERLINK("https://github.com/mpiannucci/HackWinds-Android/releases","show")</f>
        <v>show</v>
      </c>
    </row>
    <row r="1554" spans="1:6">
      <c r="A1554" t="s">
        <v>4660</v>
      </c>
      <c r="B1554" t="s">
        <v>4661</v>
      </c>
      <c r="C1554" t="s">
        <v>4662</v>
      </c>
      <c r="D1554" t="str">
        <f>HYPERLINK("https://github.com/AnimeNeko/Atarashii/issues/484","show")</f>
        <v>show</v>
      </c>
      <c r="E1554" t="str">
        <f>HYPERLINK("https://github.com/AnimeNeko/Atarashii","show")</f>
        <v>show</v>
      </c>
      <c r="F1554" t="str">
        <f>HYPERLINK("https://github.com/AnimeNeko/Atarashii/releases","show")</f>
        <v>show</v>
      </c>
    </row>
    <row r="1555" spans="1:6">
      <c r="A1555" t="s">
        <v>4663</v>
      </c>
      <c r="B1555" t="s">
        <v>4664</v>
      </c>
      <c r="C1555" t="s">
        <v>4665</v>
      </c>
      <c r="D1555" t="str">
        <f>HYPERLINK("https://github.com/eurofurence/ef-app_android/issues/21","show")</f>
        <v>show</v>
      </c>
      <c r="E1555" t="str">
        <f>HYPERLINK("https://github.com/eurofurence/ef-app_android","show")</f>
        <v>show</v>
      </c>
      <c r="F1555" t="str">
        <f>HYPERLINK("https://github.com/eurofurence/ef-app_android/releases","show")</f>
        <v>show</v>
      </c>
    </row>
    <row r="1556" spans="1:6">
      <c r="A1556" t="s">
        <v>4666</v>
      </c>
      <c r="B1556" t="s">
        <v>4667</v>
      </c>
      <c r="C1556" t="s">
        <v>4668</v>
      </c>
      <c r="D1556" t="str">
        <f>HYPERLINK("https://github.com/Phantast/smartnavi/issues/10","show")</f>
        <v>show</v>
      </c>
      <c r="E1556" t="str">
        <f>HYPERLINK("https://github.com/Phantast/smartnavi","show")</f>
        <v>show</v>
      </c>
      <c r="F1556" t="str">
        <f>HYPERLINK("https://github.com/Phantast/smartnavi/releases","show")</f>
        <v>show</v>
      </c>
    </row>
    <row r="1557" spans="1:6">
      <c r="A1557" t="s">
        <v>4669</v>
      </c>
      <c r="B1557" t="s">
        <v>4670</v>
      </c>
      <c r="C1557" t="s">
        <v>4671</v>
      </c>
      <c r="D1557" t="str">
        <f>HYPERLINK("https://github.com/crazyhitty/Munch/issues/24","show")</f>
        <v>show</v>
      </c>
      <c r="E1557" t="str">
        <f>HYPERLINK("https://github.com/crazyhitty/Munch","show")</f>
        <v>show</v>
      </c>
      <c r="F1557" t="str">
        <f>HYPERLINK("https://github.com/crazyhitty/Munch/releases","show")</f>
        <v>show</v>
      </c>
    </row>
    <row r="1558" spans="1:6">
      <c r="A1558" t="s">
        <v>4672</v>
      </c>
      <c r="B1558" t="s">
        <v>4673</v>
      </c>
      <c r="C1558" t="s">
        <v>4674</v>
      </c>
      <c r="D1558" t="str">
        <f>HYPERLINK("https://github.com/crazyhitty/Munch/issues/23","show")</f>
        <v>show</v>
      </c>
      <c r="E1558" t="str">
        <f>HYPERLINK("https://github.com/crazyhitty/Munch","show")</f>
        <v>show</v>
      </c>
      <c r="F1558" t="str">
        <f>HYPERLINK("https://github.com/crazyhitty/Munch/releases","show")</f>
        <v>show</v>
      </c>
    </row>
    <row r="1559" spans="1:6">
      <c r="A1559" t="s">
        <v>4675</v>
      </c>
      <c r="B1559" t="s">
        <v>4676</v>
      </c>
      <c r="C1559" t="s">
        <v>4677</v>
      </c>
      <c r="D1559" t="str">
        <f>HYPERLINK("https://github.com/crazyhitty/Munch/issues/22","show")</f>
        <v>show</v>
      </c>
      <c r="E1559" t="str">
        <f>HYPERLINK("https://github.com/crazyhitty/Munch","show")</f>
        <v>show</v>
      </c>
      <c r="F1559" t="str">
        <f>HYPERLINK("https://github.com/crazyhitty/Munch/releases","show")</f>
        <v>show</v>
      </c>
    </row>
    <row r="1560" spans="1:6">
      <c r="A1560" t="s">
        <v>4678</v>
      </c>
      <c r="B1560" t="s">
        <v>4679</v>
      </c>
      <c r="C1560" t="s">
        <v>4680</v>
      </c>
      <c r="D1560" t="str">
        <f>HYPERLINK("https://github.com/deib-polimi/PigeonMessanger/issues/2","show")</f>
        <v>show</v>
      </c>
      <c r="E1560" t="str">
        <f>HYPERLINK("https://github.com/deib-polimi/PigeonMessanger","show")</f>
        <v>show</v>
      </c>
      <c r="F1560" t="str">
        <f>HYPERLINK("https://github.com/deib-polimi/PigeonMessanger/releases","show")</f>
        <v>show</v>
      </c>
    </row>
    <row r="1561" spans="1:6">
      <c r="A1561" t="s">
        <v>4681</v>
      </c>
      <c r="B1561" t="s">
        <v>4682</v>
      </c>
      <c r="C1561" t="s">
        <v>4683</v>
      </c>
      <c r="D1561" t="str">
        <f>HYPERLINK("https://github.com/elman22/pocket-amc-reader/issues/17","show")</f>
        <v>show</v>
      </c>
      <c r="E1561" t="str">
        <f>HYPERLINK("https://github.com/elman22/pocket-amc-reader","show")</f>
        <v>show</v>
      </c>
      <c r="F1561" t="str">
        <f>HYPERLINK("https://github.com/elman22/pocket-amc-reader/releases","show")</f>
        <v>show</v>
      </c>
    </row>
    <row r="1562" spans="1:6">
      <c r="A1562" t="s">
        <v>4684</v>
      </c>
      <c r="B1562" t="s">
        <v>4685</v>
      </c>
      <c r="C1562" t="s">
        <v>4686</v>
      </c>
      <c r="D1562" t="str">
        <f>HYPERLINK("https://github.com/crazyhitty/Munch/issues/25","show")</f>
        <v>show</v>
      </c>
      <c r="E1562" t="str">
        <f>HYPERLINK("https://github.com/crazyhitty/Munch","show")</f>
        <v>show</v>
      </c>
      <c r="F1562" t="str">
        <f>HYPERLINK("https://github.com/crazyhitty/Munch/releases","show")</f>
        <v>show</v>
      </c>
    </row>
    <row r="1563" spans="1:6">
      <c r="A1563" t="s">
        <v>4687</v>
      </c>
      <c r="B1563" t="s">
        <v>4688</v>
      </c>
      <c r="C1563" t="s">
        <v>4689</v>
      </c>
      <c r="D1563" t="str">
        <f>HYPERLINK("https://github.com/ma1co/OpenMemories-Tweak/issues/5","show")</f>
        <v>show</v>
      </c>
      <c r="E1563" t="str">
        <f>HYPERLINK("https://github.com/ma1co/OpenMemories-Tweak","show")</f>
        <v>show</v>
      </c>
      <c r="F1563" t="str">
        <f>HYPERLINK("https://github.com/ma1co/OpenMemories-Tweak/releases","show")</f>
        <v>show</v>
      </c>
    </row>
    <row r="1564" spans="1:6">
      <c r="A1564" t="s">
        <v>4690</v>
      </c>
      <c r="B1564" t="s">
        <v>4691</v>
      </c>
      <c r="C1564" t="s">
        <v>4692</v>
      </c>
      <c r="D1564" t="str">
        <f>HYPERLINK("https://github.com/ladybirdweb/faveo-helpdesk-android-app/issues/46","show")</f>
        <v>show</v>
      </c>
      <c r="E1564" t="str">
        <f>HYPERLINK("https://github.com/ladybirdweb/faveo-helpdesk-android-app","show")</f>
        <v>show</v>
      </c>
      <c r="F1564" t="str">
        <f>HYPERLINK("https://github.com/ladybirdweb/faveo-helpdesk-android-app/releases","show")</f>
        <v>show</v>
      </c>
    </row>
    <row r="1565" spans="1:6">
      <c r="A1565" t="s">
        <v>4693</v>
      </c>
      <c r="B1565" t="s">
        <v>4694</v>
      </c>
      <c r="C1565" t="s">
        <v>4695</v>
      </c>
      <c r="D1565" t="str">
        <f>HYPERLINK("https://github.com/google/ExoPlayer/issues/1474","show")</f>
        <v>show</v>
      </c>
      <c r="E1565" t="str">
        <f>HYPERLINK("https://github.com/google/ExoPlayer","show")</f>
        <v>show</v>
      </c>
      <c r="F1565" t="str">
        <f>HYPERLINK("https://github.com/google/ExoPlayer/releases","show")</f>
        <v>show</v>
      </c>
    </row>
    <row r="1566" spans="1:6">
      <c r="A1566" t="s">
        <v>4696</v>
      </c>
      <c r="B1566" t="s">
        <v>4697</v>
      </c>
      <c r="C1566" t="s">
        <v>4698</v>
      </c>
      <c r="D1566" t="str">
        <f>HYPERLINK("https://github.com/ltGuillaume/DroidShows/issues/16","show")</f>
        <v>show</v>
      </c>
      <c r="E1566" t="str">
        <f>HYPERLINK("https://github.com/ltGuillaume/DroidShows","show")</f>
        <v>show</v>
      </c>
      <c r="F1566" t="str">
        <f>HYPERLINK("https://github.com/ltGuillaume/DroidShows/releases","show")</f>
        <v>show</v>
      </c>
    </row>
    <row r="1567" spans="1:6">
      <c r="A1567" t="s">
        <v>4699</v>
      </c>
      <c r="B1567" t="s">
        <v>4700</v>
      </c>
      <c r="C1567" t="s">
        <v>4701</v>
      </c>
      <c r="D1567" t="str">
        <f>HYPERLINK("https://github.com/evernote/android-job/issues/29","show")</f>
        <v>show</v>
      </c>
      <c r="E1567" t="str">
        <f>HYPERLINK("https://github.com/evernote/android-job","show")</f>
        <v>show</v>
      </c>
      <c r="F1567" t="str">
        <f>HYPERLINK("https://github.com/evernote/android-job/releases","show")</f>
        <v>show</v>
      </c>
    </row>
    <row r="1568" spans="1:6">
      <c r="A1568" t="s">
        <v>4702</v>
      </c>
      <c r="B1568" t="s">
        <v>4703</v>
      </c>
      <c r="C1568" t="s">
        <v>4704</v>
      </c>
      <c r="D1568" t="str">
        <f>HYPERLINK("https://github.com/UnevenSoftware/LeafPic/issues/143","show")</f>
        <v>show</v>
      </c>
      <c r="E1568" t="str">
        <f>HYPERLINK("https://github.com/UnevenSoftware/LeafPic","show")</f>
        <v>show</v>
      </c>
      <c r="F1568" t="str">
        <f>HYPERLINK("https://github.com/UnevenSoftware/LeafPic/releases","show")</f>
        <v>show</v>
      </c>
    </row>
    <row r="1569" spans="1:6">
      <c r="A1569" t="s">
        <v>4705</v>
      </c>
      <c r="B1569" t="s">
        <v>4706</v>
      </c>
      <c r="C1569" t="s">
        <v>4707</v>
      </c>
      <c r="D1569" t="str">
        <f>HYPERLINK("https://github.com/TekkLabs/memoria-politica/issues/4","show")</f>
        <v>show</v>
      </c>
      <c r="E1569" t="str">
        <f>HYPERLINK("https://github.com/TekkLabs/memoria-politica","show")</f>
        <v>show</v>
      </c>
      <c r="F1569" t="str">
        <f>HYPERLINK("https://github.com/TekkLabs/memoria-politica/releases","show")</f>
        <v>show</v>
      </c>
    </row>
    <row r="1570" spans="1:6">
      <c r="A1570" t="s">
        <v>4708</v>
      </c>
      <c r="B1570" t="s">
        <v>4709</v>
      </c>
      <c r="C1570" t="s">
        <v>4710</v>
      </c>
      <c r="D1570" t="str">
        <f>HYPERLINK("https://github.com/syncthing/syncthing-android/issues/634","show")</f>
        <v>show</v>
      </c>
      <c r="E1570" t="str">
        <f>HYPERLINK("https://github.com/syncthing/syncthing-android","show")</f>
        <v>show</v>
      </c>
      <c r="F1570" t="str">
        <f>HYPERLINK("https://github.com/syncthing/syncthing-android/releases","show")</f>
        <v>show</v>
      </c>
    </row>
    <row r="1571" spans="1:6">
      <c r="A1571" t="s">
        <v>4711</v>
      </c>
      <c r="B1571" t="s">
        <v>4712</v>
      </c>
      <c r="C1571" t="s">
        <v>4713</v>
      </c>
      <c r="D1571" t="str">
        <f>HYPERLINK("https://github.com/OneBusAway/onebusaway-android/issues/473","show")</f>
        <v>show</v>
      </c>
      <c r="E1571" t="str">
        <f>HYPERLINK("https://github.com/OneBusAway/onebusaway-android","show")</f>
        <v>show</v>
      </c>
      <c r="F1571" t="str">
        <f>HYPERLINK("https://github.com/OneBusAway/onebusaway-android/releases","show")</f>
        <v>show</v>
      </c>
    </row>
    <row r="1572" spans="1:6">
      <c r="A1572" t="s">
        <v>4714</v>
      </c>
      <c r="B1572" t="s">
        <v>4715</v>
      </c>
      <c r="C1572" t="s">
        <v>4716</v>
      </c>
      <c r="D1572" t="str">
        <f>HYPERLINK("https://github.com/Odoo-mobile/framework/issues/147","show")</f>
        <v>show</v>
      </c>
      <c r="E1572" t="str">
        <f>HYPERLINK("https://github.com/Odoo-mobile/framework","show")</f>
        <v>show</v>
      </c>
      <c r="F1572" t="str">
        <f>HYPERLINK("https://github.com/Odoo-mobile/framework/releases","show")</f>
        <v>show</v>
      </c>
    </row>
    <row r="1573" spans="1:6">
      <c r="A1573" t="s">
        <v>4717</v>
      </c>
      <c r="B1573" t="s">
        <v>4718</v>
      </c>
      <c r="C1573" t="s">
        <v>4719</v>
      </c>
      <c r="D1573" t="str">
        <f>HYPERLINK("https://github.com/ganfra/MaterialSpinner/issues/68","show")</f>
        <v>show</v>
      </c>
      <c r="E1573" t="str">
        <f>HYPERLINK("https://github.com/ganfra/MaterialSpinner","show")</f>
        <v>show</v>
      </c>
      <c r="F1573" t="str">
        <f>HYPERLINK("https://github.com/ganfra/MaterialSpinner/releases","show")</f>
        <v>show</v>
      </c>
    </row>
    <row r="1574" spans="1:6">
      <c r="A1574" t="s">
        <v>4720</v>
      </c>
      <c r="B1574" t="s">
        <v>4721</v>
      </c>
      <c r="C1574" t="s">
        <v>4722</v>
      </c>
      <c r="D1574" t="str">
        <f>HYPERLINK("https://github.com/syncthing/syncthing-android/issues/637","show")</f>
        <v>show</v>
      </c>
      <c r="E1574" t="str">
        <f>HYPERLINK("https://github.com/syncthing/syncthing-android","show")</f>
        <v>show</v>
      </c>
      <c r="F1574" t="str">
        <f>HYPERLINK("https://github.com/syncthing/syncthing-android/releases","show")</f>
        <v>show</v>
      </c>
    </row>
    <row r="1575" spans="1:6">
      <c r="A1575" t="s">
        <v>4723</v>
      </c>
      <c r="B1575" t="s">
        <v>4724</v>
      </c>
      <c r="C1575" t="s">
        <v>4725</v>
      </c>
      <c r="D1575" t="str">
        <f>HYPERLINK("https://github.com/Sloy/SeviBus/issues/14","show")</f>
        <v>show</v>
      </c>
      <c r="E1575" t="str">
        <f>HYPERLINK("https://github.com/Sloy/SeviBus","show")</f>
        <v>show</v>
      </c>
      <c r="F1575" t="str">
        <f>HYPERLINK("https://github.com/Sloy/SeviBus/releases","show")</f>
        <v>show</v>
      </c>
    </row>
    <row r="1576" spans="1:6">
      <c r="A1576" t="s">
        <v>4726</v>
      </c>
      <c r="B1576" t="s">
        <v>4727</v>
      </c>
      <c r="C1576" t="s">
        <v>4728</v>
      </c>
      <c r="D1576" t="str">
        <f>HYPERLINK("https://github.com/kontalk/androidclient/issues/703","show")</f>
        <v>show</v>
      </c>
      <c r="E1576" t="str">
        <f>HYPERLINK("https://github.com/kontalk/androidclient","show")</f>
        <v>show</v>
      </c>
      <c r="F1576" t="str">
        <f>HYPERLINK("https://github.com/kontalk/androidclient/releases","show")</f>
        <v>show</v>
      </c>
    </row>
    <row r="1577" spans="1:6">
      <c r="A1577" t="s">
        <v>4729</v>
      </c>
      <c r="B1577" t="s">
        <v>4730</v>
      </c>
      <c r="C1577" t="s">
        <v>4731</v>
      </c>
      <c r="D1577" t="str">
        <f>HYPERLINK("https://github.com/ankidroid/Anki-Android/issues/4254","show")</f>
        <v>show</v>
      </c>
      <c r="E1577" t="str">
        <f>HYPERLINK("https://github.com/ankidroid/Anki-Android","show")</f>
        <v>show</v>
      </c>
      <c r="F1577" t="str">
        <f>HYPERLINK("https://github.com/ankidroid/Anki-Android/releases","show")</f>
        <v>show</v>
      </c>
    </row>
    <row r="1578" spans="1:6">
      <c r="A1578" t="s">
        <v>4732</v>
      </c>
      <c r="B1578" t="s">
        <v>4733</v>
      </c>
      <c r="C1578" t="s">
        <v>4734</v>
      </c>
      <c r="D1578" t="str">
        <f>HYPERLINK("https://github.com/google/blockly-android/issues/220","show")</f>
        <v>show</v>
      </c>
      <c r="E1578" t="str">
        <f>HYPERLINK("https://github.com/google/blockly-android","show")</f>
        <v>show</v>
      </c>
      <c r="F1578" t="str">
        <f>HYPERLINK("https://github.com/google/blockly-android/releases","show")</f>
        <v>show</v>
      </c>
    </row>
    <row r="1579" spans="1:6">
      <c r="A1579" t="s">
        <v>4735</v>
      </c>
      <c r="B1579" t="s">
        <v>4736</v>
      </c>
      <c r="C1579" t="s">
        <v>4737</v>
      </c>
      <c r="D1579" t="str">
        <f>HYPERLINK("https://github.com/adrielcafe/NMSAlphabetAndroidApp/issues/4","show")</f>
        <v>show</v>
      </c>
      <c r="E1579" t="str">
        <f>HYPERLINK("https://github.com/adrielcafe/NMSAlphabetAndroidApp","show")</f>
        <v>show</v>
      </c>
      <c r="F1579" t="str">
        <f>HYPERLINK("https://github.com/adrielcafe/NMSAlphabetAndroidApp/releases","show")</f>
        <v>show</v>
      </c>
    </row>
    <row r="1580" spans="1:6">
      <c r="A1580" t="s">
        <v>4738</v>
      </c>
      <c r="B1580" t="s">
        <v>4739</v>
      </c>
      <c r="C1580" t="s">
        <v>4740</v>
      </c>
      <c r="D1580" t="str">
        <f>HYPERLINK("https://github.com/SecUSo/privacy-friendly-boardgame-clock/issues/12","show")</f>
        <v>show</v>
      </c>
      <c r="E1580" t="str">
        <f>HYPERLINK("https://github.com/SecUSo/privacy-friendly-boardgame-clock","show")</f>
        <v>show</v>
      </c>
      <c r="F1580" t="str">
        <f>HYPERLINK("https://github.com/SecUSo/privacy-friendly-boardgame-clock/releases","show")</f>
        <v>show</v>
      </c>
    </row>
    <row r="1581" spans="1:6">
      <c r="A1581" t="s">
        <v>4741</v>
      </c>
      <c r="B1581" t="s">
        <v>4742</v>
      </c>
      <c r="C1581" t="s">
        <v>4743</v>
      </c>
      <c r="D1581" t="str">
        <f>HYPERLINK("https://github.com/ladybirdweb/faveo-helpdesk-android-app/issues/48","show")</f>
        <v>show</v>
      </c>
      <c r="E1581" t="str">
        <f>HYPERLINK("https://github.com/ladybirdweb/faveo-helpdesk-android-app","show")</f>
        <v>show</v>
      </c>
      <c r="F1581" t="str">
        <f>HYPERLINK("https://github.com/ladybirdweb/faveo-helpdesk-android-app/releases","show")</f>
        <v>show</v>
      </c>
    </row>
    <row r="1582" spans="1:6">
      <c r="A1582" t="s">
        <v>4744</v>
      </c>
      <c r="B1582" t="s">
        <v>4745</v>
      </c>
      <c r="C1582" t="s">
        <v>4746</v>
      </c>
      <c r="D1582" t="str">
        <f>HYPERLINK("https://github.com/CellularPrivacy/Android-IMSI-Catcher-Detector/issues/870","show")</f>
        <v>show</v>
      </c>
      <c r="E1582" t="str">
        <f>HYPERLINK("https://github.com/CellularPrivacy/Android-IMSI-Catcher-Detector","show")</f>
        <v>show</v>
      </c>
      <c r="F1582" t="str">
        <f>HYPERLINK("https://github.com/CellularPrivacy/Android-IMSI-Catcher-Detector/releases","show")</f>
        <v>show</v>
      </c>
    </row>
    <row r="1583" spans="1:6">
      <c r="A1583" t="s">
        <v>4747</v>
      </c>
      <c r="B1583" t="s">
        <v>4748</v>
      </c>
      <c r="C1583" t="s">
        <v>4749</v>
      </c>
      <c r="D1583" t="str">
        <f>HYPERLINK("https://github.com/wallabag/android-app/issues/237","show")</f>
        <v>show</v>
      </c>
      <c r="E1583" t="str">
        <f>HYPERLINK("https://github.com/wallabag/android-app","show")</f>
        <v>show</v>
      </c>
      <c r="F1583" t="str">
        <f>HYPERLINK("https://github.com/wallabag/android-app/releases","show")</f>
        <v>show</v>
      </c>
    </row>
    <row r="1584" spans="1:6">
      <c r="A1584" t="s">
        <v>4750</v>
      </c>
      <c r="B1584" t="s">
        <v>4751</v>
      </c>
      <c r="C1584" t="s">
        <v>4752</v>
      </c>
      <c r="D1584" t="str">
        <f>HYPERLINK("https://github.com/eneim/toro/issues/37","show")</f>
        <v>show</v>
      </c>
      <c r="E1584" t="str">
        <f>HYPERLINK("https://github.com/eneim/toro","show")</f>
        <v>show</v>
      </c>
      <c r="F1584" t="str">
        <f>HYPERLINK("https://github.com/eneim/toro/releases","show")</f>
        <v>show</v>
      </c>
    </row>
    <row r="1585" spans="1:6">
      <c r="A1585" t="s">
        <v>4753</v>
      </c>
      <c r="B1585" t="s">
        <v>4754</v>
      </c>
      <c r="C1585" t="s">
        <v>4755</v>
      </c>
      <c r="D1585" t="str">
        <f>HYPERLINK("https://github.com/konradrenner/kolabnotes-android/issues/127","show")</f>
        <v>show</v>
      </c>
      <c r="E1585" t="str">
        <f>HYPERLINK("https://github.com/konradrenner/kolabnotes-android","show")</f>
        <v>show</v>
      </c>
      <c r="F1585" t="str">
        <f>HYPERLINK("https://github.com/konradrenner/kolabnotes-android/releases","show")</f>
        <v>show</v>
      </c>
    </row>
    <row r="1586" spans="1:6">
      <c r="A1586" t="s">
        <v>4756</v>
      </c>
      <c r="B1586" t="s">
        <v>4757</v>
      </c>
      <c r="C1586" t="s">
        <v>4758</v>
      </c>
      <c r="D1586" t="str">
        <f>HYPERLINK("https://github.com/MythTV-Clients/MythtvPlayerForAndroid/issues/147","show")</f>
        <v>show</v>
      </c>
      <c r="E1586" t="str">
        <f>HYPERLINK("https://github.com/MythTV-Clients/MythtvPlayerForAndroid","show")</f>
        <v>show</v>
      </c>
      <c r="F1586" t="str">
        <f>HYPERLINK("https://github.com/MythTV-Clients/MythtvPlayerForAndroid/releases","show")</f>
        <v>show</v>
      </c>
    </row>
    <row r="1587" spans="1:6">
      <c r="A1587" t="s">
        <v>4759</v>
      </c>
      <c r="B1587" t="s">
        <v>4760</v>
      </c>
      <c r="C1587" t="s">
        <v>4761</v>
      </c>
      <c r="D1587" t="str">
        <f>HYPERLINK("https://github.com/user-don/MyRuns/issues/13","show")</f>
        <v>show</v>
      </c>
      <c r="E1587" t="str">
        <f>HYPERLINK("https://github.com/user-don/MyRuns","show")</f>
        <v>show</v>
      </c>
      <c r="F1587" t="str">
        <f>HYPERLINK("https://github.com/user-don/MyRuns/releases","show")</f>
        <v>show</v>
      </c>
    </row>
    <row r="1588" spans="1:6">
      <c r="A1588" t="s">
        <v>4762</v>
      </c>
      <c r="B1588" t="s">
        <v>4763</v>
      </c>
      <c r="C1588" t="s">
        <v>4764</v>
      </c>
      <c r="D1588" t="str">
        <f>HYPERLINK("https://github.com/OneBusAway/onebusaway-android/issues/480","show")</f>
        <v>show</v>
      </c>
      <c r="E1588" t="str">
        <f>HYPERLINK("https://github.com/OneBusAway/onebusaway-android","show")</f>
        <v>show</v>
      </c>
      <c r="F1588" t="str">
        <f>HYPERLINK("https://github.com/OneBusAway/onebusaway-android/releases","show")</f>
        <v>show</v>
      </c>
    </row>
    <row r="1589" spans="1:6">
      <c r="A1589" t="s">
        <v>4765</v>
      </c>
      <c r="B1589" t="s">
        <v>4766</v>
      </c>
      <c r="C1589" t="s">
        <v>4767</v>
      </c>
      <c r="D1589" t="str">
        <f>HYPERLINK("https://github.com/janosgyerik/bluetoothviewer/issues/18","show")</f>
        <v>show</v>
      </c>
      <c r="E1589" t="str">
        <f>HYPERLINK("https://github.com/janosgyerik/bluetoothviewer","show")</f>
        <v>show</v>
      </c>
      <c r="F1589" t="str">
        <f>HYPERLINK("https://github.com/janosgyerik/bluetoothviewer/releases","show")</f>
        <v>show</v>
      </c>
    </row>
    <row r="1590" spans="1:6">
      <c r="A1590" t="s">
        <v>4768</v>
      </c>
      <c r="B1590" t="s">
        <v>4769</v>
      </c>
      <c r="C1590" t="s">
        <v>4770</v>
      </c>
      <c r="D1590" t="str">
        <f>HYPERLINK("https://github.com/mendhak/gpslogger/issues/438","show")</f>
        <v>show</v>
      </c>
      <c r="E1590" t="str">
        <f>HYPERLINK("https://github.com/mendhak/gpslogger","show")</f>
        <v>show</v>
      </c>
      <c r="F1590" t="str">
        <f>HYPERLINK("https://github.com/mendhak/gpslogger/releases","show")</f>
        <v>show</v>
      </c>
    </row>
    <row r="1591" spans="1:6">
      <c r="A1591" t="s">
        <v>4771</v>
      </c>
      <c r="B1591" t="s">
        <v>4772</v>
      </c>
      <c r="C1591" t="s">
        <v>4773</v>
      </c>
      <c r="D1591" t="str">
        <f>HYPERLINK("https://github.com/microg/GmsCore/issues/127","show")</f>
        <v>show</v>
      </c>
      <c r="E1591" t="str">
        <f>HYPERLINK("https://github.com/microg/GmsCore","show")</f>
        <v>show</v>
      </c>
      <c r="F1591" t="str">
        <f>HYPERLINK("https://github.com/microg/GmsCore/releases","show")</f>
        <v>show</v>
      </c>
    </row>
    <row r="1592" spans="1:6">
      <c r="A1592" t="s">
        <v>4774</v>
      </c>
      <c r="B1592" t="s">
        <v>4775</v>
      </c>
      <c r="C1592" t="s">
        <v>4776</v>
      </c>
      <c r="D1592" t="str">
        <f>HYPERLINK("https://github.com/open-keychain/open-keychain/issues/1853","show")</f>
        <v>show</v>
      </c>
      <c r="E1592" t="str">
        <f>HYPERLINK("https://github.com/open-keychain/open-keychain","show")</f>
        <v>show</v>
      </c>
      <c r="F1592" t="str">
        <f>HYPERLINK("https://github.com/open-keychain/open-keychain/releases","show")</f>
        <v>show</v>
      </c>
    </row>
    <row r="1593" spans="1:6">
      <c r="A1593" t="s">
        <v>4777</v>
      </c>
      <c r="B1593" t="s">
        <v>4778</v>
      </c>
      <c r="C1593" t="s">
        <v>4779</v>
      </c>
      <c r="D1593" t="str">
        <f>HYPERLINK("https://github.com/Cleveroad/MusicBobber/issues/10","show")</f>
        <v>show</v>
      </c>
      <c r="E1593" t="str">
        <f>HYPERLINK("https://github.com/Cleveroad/MusicBobber","show")</f>
        <v>show</v>
      </c>
      <c r="F1593" t="str">
        <f>HYPERLINK("https://github.com/Cleveroad/MusicBobber/releases","show")</f>
        <v>show</v>
      </c>
    </row>
    <row r="1594" spans="1:6">
      <c r="A1594" t="s">
        <v>4780</v>
      </c>
      <c r="B1594" t="s">
        <v>4781</v>
      </c>
      <c r="C1594" t="s">
        <v>4782</v>
      </c>
      <c r="D1594" t="str">
        <f>HYPERLINK("https://github.com/vanilla-music/vanilla/issues/336","show")</f>
        <v>show</v>
      </c>
      <c r="E1594" t="str">
        <f>HYPERLINK("https://github.com/vanilla-music/vanilla","show")</f>
        <v>show</v>
      </c>
      <c r="F1594" t="str">
        <f>HYPERLINK("https://github.com/vanilla-music/vanilla/releases","show")</f>
        <v>show</v>
      </c>
    </row>
    <row r="1595" spans="1:6">
      <c r="A1595" t="s">
        <v>4783</v>
      </c>
      <c r="B1595" t="s">
        <v>4784</v>
      </c>
      <c r="C1595" t="s">
        <v>4785</v>
      </c>
      <c r="D1595" t="str">
        <f>HYPERLINK("https://github.com/popcorn-official/popcorn-android/issues/29","show")</f>
        <v>show</v>
      </c>
      <c r="E1595" t="str">
        <f>HYPERLINK("https://github.com/popcorn-official/popcorn-android","show")</f>
        <v>show</v>
      </c>
      <c r="F1595" t="str">
        <f>HYPERLINK("https://github.com/popcorn-official/popcorn-android/releases","show")</f>
        <v>show</v>
      </c>
    </row>
    <row r="1596" spans="1:6">
      <c r="A1596" t="s">
        <v>4786</v>
      </c>
      <c r="B1596" t="s">
        <v>4787</v>
      </c>
      <c r="C1596" t="s">
        <v>4788</v>
      </c>
      <c r="D1596" t="str">
        <f>HYPERLINK("https://github.com/medyo/Fancybuttons/issues/59","show")</f>
        <v>show</v>
      </c>
      <c r="E1596" t="str">
        <f>HYPERLINK("https://github.com/medyo/Fancybuttons","show")</f>
        <v>show</v>
      </c>
      <c r="F1596" t="str">
        <f>HYPERLINK("https://github.com/medyo/Fancybuttons/releases","show")</f>
        <v>show</v>
      </c>
    </row>
    <row r="1597" spans="1:6">
      <c r="A1597" t="s">
        <v>4789</v>
      </c>
      <c r="B1597" t="s">
        <v>4790</v>
      </c>
      <c r="C1597" t="s">
        <v>4791</v>
      </c>
      <c r="D1597" t="str">
        <f>HYPERLINK("https://github.com/davideas/FlexibleAdapter/issues/78","show")</f>
        <v>show</v>
      </c>
      <c r="E1597" t="str">
        <f>HYPERLINK("https://github.com/davideas/FlexibleAdapter","show")</f>
        <v>show</v>
      </c>
      <c r="F1597" t="str">
        <f>HYPERLINK("https://github.com/davideas/FlexibleAdapter/releases","show")</f>
        <v>show</v>
      </c>
    </row>
    <row r="1598" spans="1:6">
      <c r="A1598" t="s">
        <v>4792</v>
      </c>
      <c r="B1598" t="s">
        <v>4793</v>
      </c>
      <c r="C1598" t="s">
        <v>4794</v>
      </c>
      <c r="D1598" t="str">
        <f>HYPERLINK("https://github.com/zhuowei/MCPELauncher/issues/983","show")</f>
        <v>show</v>
      </c>
      <c r="E1598" t="str">
        <f>HYPERLINK("https://github.com/zhuowei/MCPELauncher","show")</f>
        <v>show</v>
      </c>
      <c r="F1598" t="str">
        <f>HYPERLINK("https://github.com/zhuowei/MCPELauncher/releases","show")</f>
        <v>show</v>
      </c>
    </row>
    <row r="1599" spans="1:6">
      <c r="A1599" t="s">
        <v>4795</v>
      </c>
      <c r="B1599" t="s">
        <v>4796</v>
      </c>
      <c r="C1599" t="s">
        <v>4797</v>
      </c>
      <c r="D1599" t="str">
        <f>HYPERLINK("https://github.com/mpcjanssen/simpletask-android/issues/444","show")</f>
        <v>show</v>
      </c>
      <c r="E1599" t="str">
        <f>HYPERLINK("https://github.com/mpcjanssen/simpletask-android","show")</f>
        <v>show</v>
      </c>
      <c r="F1599" t="str">
        <f>HYPERLINK("https://github.com/mpcjanssen/simpletask-android/releases","show")</f>
        <v>show</v>
      </c>
    </row>
    <row r="1600" spans="1:6">
      <c r="A1600" t="s">
        <v>4798</v>
      </c>
      <c r="B1600" t="s">
        <v>4799</v>
      </c>
      <c r="C1600" t="s">
        <v>4800</v>
      </c>
      <c r="D1600" t="str">
        <f>HYPERLINK("https://github.com/kontalk/androidclient/issues/723","show")</f>
        <v>show</v>
      </c>
      <c r="E1600" t="str">
        <f>HYPERLINK("https://github.com/kontalk/androidclient","show")</f>
        <v>show</v>
      </c>
      <c r="F1600" t="str">
        <f>HYPERLINK("https://github.com/kontalk/androidclient/releases","show")</f>
        <v>show</v>
      </c>
    </row>
    <row r="1601" spans="1:6">
      <c r="A1601" t="s">
        <v>4801</v>
      </c>
      <c r="B1601" t="s">
        <v>4802</v>
      </c>
      <c r="C1601" t="s">
        <v>4803</v>
      </c>
      <c r="D1601" t="str">
        <f>HYPERLINK("https://github.com/tbruyelle/RxPermissions/issues/46","show")</f>
        <v>show</v>
      </c>
      <c r="E1601" t="str">
        <f>HYPERLINK("https://github.com/tbruyelle/RxPermissions","show")</f>
        <v>show</v>
      </c>
      <c r="F1601" t="str">
        <f>HYPERLINK("https://github.com/tbruyelle/RxPermissions/releases","show")</f>
        <v>show</v>
      </c>
    </row>
    <row r="1602" spans="1:6">
      <c r="A1602" t="s">
        <v>4804</v>
      </c>
      <c r="B1602" t="s">
        <v>4805</v>
      </c>
      <c r="C1602" t="s">
        <v>4806</v>
      </c>
      <c r="D1602" t="str">
        <f>HYPERLINK("https://github.com/morenoh149/react-native-contacts/issues/59","show")</f>
        <v>show</v>
      </c>
      <c r="E1602" t="str">
        <f>HYPERLINK("https://github.com/morenoh149/react-native-contacts","show")</f>
        <v>show</v>
      </c>
      <c r="F1602" t="str">
        <f>HYPERLINK("https://github.com/morenoh149/react-native-contacts/releases","show")</f>
        <v>show</v>
      </c>
    </row>
    <row r="1603" spans="1:6">
      <c r="A1603" t="s">
        <v>4807</v>
      </c>
      <c r="B1603" t="s">
        <v>4808</v>
      </c>
      <c r="C1603" t="s">
        <v>4809</v>
      </c>
      <c r="D1603" t="str">
        <f>HYPERLINK("https://github.com/consp1racy/android-support-preference/issues/31","show")</f>
        <v>show</v>
      </c>
      <c r="E1603" t="str">
        <f>HYPERLINK("https://github.com/consp1racy/android-support-preference","show")</f>
        <v>show</v>
      </c>
      <c r="F1603" t="str">
        <f>HYPERLINK("https://github.com/consp1racy/android-support-preference/releases","show")</f>
        <v>show</v>
      </c>
    </row>
    <row r="1604" spans="1:6">
      <c r="A1604" t="s">
        <v>4810</v>
      </c>
      <c r="B1604" t="s">
        <v>4811</v>
      </c>
      <c r="C1604" t="s">
        <v>4812</v>
      </c>
      <c r="D1604" t="str">
        <f>HYPERLINK("https://github.com/consp1racy/android-support-preference/issues/30","show")</f>
        <v>show</v>
      </c>
      <c r="E1604" t="str">
        <f>HYPERLINK("https://github.com/consp1racy/android-support-preference","show")</f>
        <v>show</v>
      </c>
      <c r="F1604" t="str">
        <f>HYPERLINK("https://github.com/consp1racy/android-support-preference/releases","show")</f>
        <v>show</v>
      </c>
    </row>
    <row r="1605" spans="1:6">
      <c r="A1605" t="s">
        <v>4813</v>
      </c>
      <c r="B1605" t="s">
        <v>4814</v>
      </c>
      <c r="C1605" t="s">
        <v>4815</v>
      </c>
      <c r="D1605" t="str">
        <f>HYPERLINK("https://github.com/IvoGoman/Diabetes-App/issues/30","show")</f>
        <v>show</v>
      </c>
      <c r="E1605" t="str">
        <f>HYPERLINK("https://github.com/IvoGoman/Diabetes-App","show")</f>
        <v>show</v>
      </c>
      <c r="F1605" t="str">
        <f>HYPERLINK("https://github.com/IvoGoman/Diabetes-App/releases","show")</f>
        <v>show</v>
      </c>
    </row>
    <row r="1606" spans="1:6">
      <c r="A1606" t="s">
        <v>4816</v>
      </c>
      <c r="B1606" t="s">
        <v>4817</v>
      </c>
      <c r="C1606" t="s">
        <v>4818</v>
      </c>
      <c r="D1606" t="str">
        <f>HYPERLINK("https://github.com/evernote/android-job/issues/36","show")</f>
        <v>show</v>
      </c>
      <c r="E1606" t="str">
        <f>HYPERLINK("https://github.com/evernote/android-job","show")</f>
        <v>show</v>
      </c>
      <c r="F1606" t="str">
        <f>HYPERLINK("https://github.com/evernote/android-job/releases","show")</f>
        <v>show</v>
      </c>
    </row>
    <row r="1607" spans="1:6">
      <c r="A1607" t="s">
        <v>4819</v>
      </c>
      <c r="B1607" t="s">
        <v>4820</v>
      </c>
      <c r="C1607" t="s">
        <v>4821</v>
      </c>
      <c r="D1607" t="str">
        <f>HYPERLINK("https://github.com/tvbarthel/IntentShare/issues/30","show")</f>
        <v>show</v>
      </c>
      <c r="E1607" t="str">
        <f>HYPERLINK("https://github.com/tvbarthel/IntentShare","show")</f>
        <v>show</v>
      </c>
      <c r="F1607" t="str">
        <f>HYPERLINK("https://github.com/tvbarthel/IntentShare/releases","show")</f>
        <v>show</v>
      </c>
    </row>
    <row r="1608" spans="1:6">
      <c r="A1608" t="s">
        <v>4822</v>
      </c>
      <c r="B1608" t="s">
        <v>4823</v>
      </c>
      <c r="C1608" t="s">
        <v>4824</v>
      </c>
      <c r="D1608" t="str">
        <f>HYPERLINK("https://github.com/auth0/react-native-lock/issues/39","show")</f>
        <v>show</v>
      </c>
      <c r="E1608" t="str">
        <f>HYPERLINK("https://github.com/auth0/react-native-lock","show")</f>
        <v>show</v>
      </c>
      <c r="F1608" t="str">
        <f>HYPERLINK("https://github.com/auth0/react-native-lock/releases","show")</f>
        <v>show</v>
      </c>
    </row>
    <row r="1609" spans="1:6">
      <c r="A1609" t="s">
        <v>4825</v>
      </c>
      <c r="B1609" t="s">
        <v>4826</v>
      </c>
      <c r="C1609" t="s">
        <v>4827</v>
      </c>
      <c r="D1609" t="str">
        <f>HYPERLINK("https://github.com/koral--/android-gif-drawable/issues/297","show")</f>
        <v>show</v>
      </c>
      <c r="E1609" t="str">
        <f>HYPERLINK("https://github.com/koral--/android-gif-drawable","show")</f>
        <v>show</v>
      </c>
      <c r="F1609" t="str">
        <f>HYPERLINK("https://github.com/koral--/android-gif-drawable/releases","show")</f>
        <v>show</v>
      </c>
    </row>
    <row r="1610" spans="1:6">
      <c r="A1610" t="s">
        <v>4828</v>
      </c>
      <c r="B1610" t="s">
        <v>4829</v>
      </c>
      <c r="C1610" t="s">
        <v>4830</v>
      </c>
      <c r="D1610" t="str">
        <f>HYPERLINK("https://github.com/ankidroid/Anki-Android/issues/4279","show")</f>
        <v>show</v>
      </c>
      <c r="E1610" t="str">
        <f>HYPERLINK("https://github.com/ankidroid/Anki-Android","show")</f>
        <v>show</v>
      </c>
      <c r="F1610" t="str">
        <f>HYPERLINK("https://github.com/ankidroid/Anki-Android/releases","show")</f>
        <v>show</v>
      </c>
    </row>
    <row r="1611" spans="1:6">
      <c r="A1611" t="s">
        <v>4831</v>
      </c>
      <c r="B1611" t="s">
        <v>4832</v>
      </c>
      <c r="C1611" t="s">
        <v>4833</v>
      </c>
      <c r="D1611" t="str">
        <f>HYPERLINK("https://github.com/vector-im/riot-android/issues/124","show")</f>
        <v>show</v>
      </c>
      <c r="E1611" t="str">
        <f>HYPERLINK("https://github.com/vector-im/riot-android","show")</f>
        <v>show</v>
      </c>
      <c r="F1611" t="str">
        <f>HYPERLINK("https://github.com/vector-im/riot-android/releases","show")</f>
        <v>show</v>
      </c>
    </row>
    <row r="1612" spans="1:6">
      <c r="A1612" t="s">
        <v>4834</v>
      </c>
      <c r="B1612" t="s">
        <v>4835</v>
      </c>
      <c r="C1612" t="s">
        <v>4836</v>
      </c>
      <c r="D1612" t="str">
        <f>HYPERLINK("https://github.com/forcedotcom/SalesforceMobileSDK-CordovaPlugin/issues/191","show")</f>
        <v>show</v>
      </c>
      <c r="E1612" t="str">
        <f>HYPERLINK("https://github.com/forcedotcom/SalesforceMobileSDK-CordovaPlugin","show")</f>
        <v>show</v>
      </c>
      <c r="F1612" t="str">
        <f>HYPERLINK("https://github.com/forcedotcom/SalesforceMobileSDK-CordovaPlugin/releases","show")</f>
        <v>show</v>
      </c>
    </row>
    <row r="1613" spans="1:6">
      <c r="A1613" t="s">
        <v>4837</v>
      </c>
      <c r="B1613" t="s">
        <v>4838</v>
      </c>
      <c r="C1613" t="s">
        <v>4839</v>
      </c>
      <c r="D1613" t="str">
        <f>HYPERLINK("https://github.com/dimagi/commcare-android/issues/1254","show")</f>
        <v>show</v>
      </c>
      <c r="E1613" t="str">
        <f>HYPERLINK("https://github.com/dimagi/commcare-android","show")</f>
        <v>show</v>
      </c>
      <c r="F1613" t="str">
        <f>HYPERLINK("https://github.com/dimagi/commcare-android/releases","show")</f>
        <v>show</v>
      </c>
    </row>
    <row r="1614" spans="1:6">
      <c r="A1614" t="s">
        <v>4840</v>
      </c>
      <c r="B1614" t="s">
        <v>4841</v>
      </c>
      <c r="C1614" t="s">
        <v>4842</v>
      </c>
      <c r="D1614" t="str">
        <f>HYPERLINK("https://github.com/PhilJay/MPAndroidChart/issues/1777","show")</f>
        <v>show</v>
      </c>
      <c r="E1614" t="str">
        <f>HYPERLINK("https://github.com/PhilJay/MPAndroidChart","show")</f>
        <v>show</v>
      </c>
      <c r="F1614" t="str">
        <f>HYPERLINK("https://github.com/PhilJay/MPAndroidChart/releases","show")</f>
        <v>show</v>
      </c>
    </row>
    <row r="1615" spans="1:6">
      <c r="A1615" t="s">
        <v>4843</v>
      </c>
      <c r="B1615" t="s">
        <v>4844</v>
      </c>
      <c r="C1615" t="s">
        <v>4845</v>
      </c>
      <c r="D1615" t="str">
        <f>HYPERLINK("https://github.com/dariuszseweryn/RxAndroidBle/issues/21","show")</f>
        <v>show</v>
      </c>
      <c r="E1615" t="str">
        <f>HYPERLINK("https://github.com/dariuszseweryn/RxAndroidBle","show")</f>
        <v>show</v>
      </c>
      <c r="F1615" t="str">
        <f>HYPERLINK("https://github.com/dariuszseweryn/RxAndroidBle/releases","show")</f>
        <v>show</v>
      </c>
    </row>
    <row r="1616" spans="1:6">
      <c r="A1616" t="s">
        <v>4846</v>
      </c>
      <c r="B1616" t="s">
        <v>4847</v>
      </c>
      <c r="C1616" t="s">
        <v>4848</v>
      </c>
      <c r="D1616" t="str">
        <f>HYPERLINK("https://github.com/VictorAlbertos/RxCache/issues/24","show")</f>
        <v>show</v>
      </c>
      <c r="E1616" t="str">
        <f>HYPERLINK("https://github.com/VictorAlbertos/RxCache","show")</f>
        <v>show</v>
      </c>
      <c r="F1616" t="str">
        <f>HYPERLINK("https://github.com/VictorAlbertos/RxCache/releases","show")</f>
        <v>show</v>
      </c>
    </row>
    <row r="1617" spans="1:6">
      <c r="A1617" t="s">
        <v>4849</v>
      </c>
      <c r="B1617" t="s">
        <v>4850</v>
      </c>
      <c r="C1617" t="s">
        <v>4851</v>
      </c>
      <c r="D1617" t="str">
        <f>HYPERLINK("https://github.com/lgallard/qBittorrent-Controller/issues/82","show")</f>
        <v>show</v>
      </c>
      <c r="E1617" t="str">
        <f>HYPERLINK("https://github.com/lgallard/qBittorrent-Controller","show")</f>
        <v>show</v>
      </c>
      <c r="F1617" t="str">
        <f>HYPERLINK("https://github.com/lgallard/qBittorrent-Controller/releases","show")</f>
        <v>show</v>
      </c>
    </row>
    <row r="1618" spans="1:6">
      <c r="A1618" t="s">
        <v>4852</v>
      </c>
      <c r="B1618" t="s">
        <v>4853</v>
      </c>
      <c r="C1618" t="s">
        <v>4854</v>
      </c>
      <c r="D1618" t="str">
        <f>HYPERLINK("https://github.com/lsjwzh/RecyclerViewPager/issues/100","show")</f>
        <v>show</v>
      </c>
      <c r="E1618" t="str">
        <f>HYPERLINK("https://github.com/lsjwzh/RecyclerViewPager","show")</f>
        <v>show</v>
      </c>
      <c r="F1618" t="str">
        <f>HYPERLINK("https://github.com/lsjwzh/RecyclerViewPager/releases","show")</f>
        <v>show</v>
      </c>
    </row>
    <row r="1619" spans="1:6">
      <c r="A1619" t="s">
        <v>4855</v>
      </c>
      <c r="B1619" t="s">
        <v>4856</v>
      </c>
      <c r="C1619" t="s">
        <v>4857</v>
      </c>
      <c r="D1619" t="str">
        <f>HYPERLINK("https://github.com/0lumide/Insta-Translate/issues/2","show")</f>
        <v>show</v>
      </c>
      <c r="E1619" t="str">
        <f>HYPERLINK("https://github.com/0lumide/Insta-Translate","show")</f>
        <v>show</v>
      </c>
      <c r="F1619" t="str">
        <f>HYPERLINK("https://github.com/0lumide/Insta-Translate/releases","show")</f>
        <v>show</v>
      </c>
    </row>
    <row r="1620" spans="1:6">
      <c r="A1620" t="s">
        <v>4858</v>
      </c>
      <c r="B1620" t="s">
        <v>4859</v>
      </c>
      <c r="C1620" t="s">
        <v>4860</v>
      </c>
      <c r="D1620" t="str">
        <f>HYPERLINK("https://github.com/andybalaam/rabbit-escape/issues/451","show")</f>
        <v>show</v>
      </c>
      <c r="E1620" t="str">
        <f>HYPERLINK("https://github.com/andybalaam/rabbit-escape","show")</f>
        <v>show</v>
      </c>
      <c r="F1620" t="str">
        <f>HYPERLINK("https://github.com/andybalaam/rabbit-escape/releases","show")</f>
        <v>show</v>
      </c>
    </row>
    <row r="1621" spans="1:6">
      <c r="A1621" t="s">
        <v>4861</v>
      </c>
      <c r="B1621" t="s">
        <v>4862</v>
      </c>
      <c r="C1621" t="s">
        <v>4863</v>
      </c>
      <c r="D1621" t="str">
        <f>HYPERLINK("https://github.com/kontalk/androidclient/issues/739","show")</f>
        <v>show</v>
      </c>
      <c r="E1621" t="str">
        <f>HYPERLINK("https://github.com/kontalk/androidclient","show")</f>
        <v>show</v>
      </c>
      <c r="F1621" t="str">
        <f>HYPERLINK("https://github.com/kontalk/androidclient/releases","show")</f>
        <v>show</v>
      </c>
    </row>
    <row r="1622" spans="1:6">
      <c r="A1622" t="s">
        <v>4864</v>
      </c>
      <c r="B1622" t="s">
        <v>4865</v>
      </c>
      <c r="C1622" t="s">
        <v>4866</v>
      </c>
      <c r="D1622" t="str">
        <f>HYPERLINK("https://github.com/lukaspili/Reactive-Billing/issues/2","show")</f>
        <v>show</v>
      </c>
      <c r="E1622" t="str">
        <f>HYPERLINK("https://github.com/lukaspili/Reactive-Billing","show")</f>
        <v>show</v>
      </c>
      <c r="F1622" t="str">
        <f>HYPERLINK("https://github.com/lukaspili/Reactive-Billing/releases","show")</f>
        <v>show</v>
      </c>
    </row>
    <row r="1623" spans="1:6">
      <c r="A1623" t="s">
        <v>4867</v>
      </c>
      <c r="B1623" t="s">
        <v>4868</v>
      </c>
      <c r="C1623" t="s">
        <v>4869</v>
      </c>
      <c r="D1623" t="str">
        <f>HYPERLINK("https://github.com/twitter-archive/twitter-kit-android/issues/48","show")</f>
        <v>show</v>
      </c>
      <c r="E1623" t="str">
        <f>HYPERLINK("https://github.com/twitter-archive/twitter-kit-android","show")</f>
        <v>show</v>
      </c>
      <c r="F1623" t="str">
        <f>HYPERLINK("https://github.com/twitter-archive/twitter-kit-android/releases","show")</f>
        <v>show</v>
      </c>
    </row>
    <row r="1624" spans="1:6">
      <c r="A1624" t="s">
        <v>4870</v>
      </c>
      <c r="B1624" t="s">
        <v>4871</v>
      </c>
      <c r="C1624" t="s">
        <v>4872</v>
      </c>
      <c r="D1624" t="str">
        <f>HYPERLINK("https://github.com/dimagi/commcare-android/issues/1267","show")</f>
        <v>show</v>
      </c>
      <c r="E1624" t="str">
        <f>HYPERLINK("https://github.com/dimagi/commcare-android","show")</f>
        <v>show</v>
      </c>
      <c r="F1624" t="str">
        <f>HYPERLINK("https://github.com/dimagi/commcare-android/releases","show")</f>
        <v>show</v>
      </c>
    </row>
    <row r="1625" spans="1:6">
      <c r="A1625" t="s">
        <v>4873</v>
      </c>
      <c r="B1625" t="s">
        <v>4874</v>
      </c>
      <c r="C1625" t="s">
        <v>4875</v>
      </c>
      <c r="D1625" t="str">
        <f>HYPERLINK("https://github.com/DigitalCampus/oppia-mobile-android/issues/564","show")</f>
        <v>show</v>
      </c>
      <c r="E1625" t="str">
        <f>HYPERLINK("https://github.com/DigitalCampus/oppia-mobile-android","show")</f>
        <v>show</v>
      </c>
      <c r="F1625" t="str">
        <f>HYPERLINK("https://github.com/DigitalCampus/oppia-mobile-android/releases","show")</f>
        <v>show</v>
      </c>
    </row>
    <row r="1626" spans="1:6">
      <c r="A1626" t="s">
        <v>4876</v>
      </c>
      <c r="B1626" t="s">
        <v>4877</v>
      </c>
      <c r="C1626" t="s">
        <v>4878</v>
      </c>
      <c r="D1626" t="str">
        <f>HYPERLINK("https://github.com/k9mail/k-9/issues/1394","show")</f>
        <v>show</v>
      </c>
      <c r="E1626" t="str">
        <f>HYPERLINK("https://github.com/k9mail/k-9","show")</f>
        <v>show</v>
      </c>
      <c r="F1626" t="str">
        <f>HYPERLINK("https://github.com/k9mail/k-9/releases","show")</f>
        <v>show</v>
      </c>
    </row>
    <row r="1627" spans="1:6">
      <c r="A1627" t="s">
        <v>4879</v>
      </c>
      <c r="B1627" t="s">
        <v>4880</v>
      </c>
      <c r="C1627" t="s">
        <v>4881</v>
      </c>
      <c r="D1627" t="str">
        <f>HYPERLINK("https://github.com/Cloudkibo/Android/issues/86","show")</f>
        <v>show</v>
      </c>
      <c r="E1627" t="str">
        <f>HYPERLINK("https://github.com/Cloudkibo/Android","show")</f>
        <v>show</v>
      </c>
      <c r="F1627" t="str">
        <f>HYPERLINK("https://github.com/Cloudkibo/Android/releases","show")</f>
        <v>show</v>
      </c>
    </row>
    <row r="1628" spans="1:6">
      <c r="A1628" t="s">
        <v>4882</v>
      </c>
      <c r="B1628" t="s">
        <v>4883</v>
      </c>
      <c r="C1628" t="s">
        <v>4884</v>
      </c>
      <c r="D1628" t="str">
        <f>HYPERLINK("https://github.com/vickychijwani/quill/issues/124","show")</f>
        <v>show</v>
      </c>
      <c r="E1628" t="str">
        <f>HYPERLINK("https://github.com/vickychijwani/quill","show")</f>
        <v>show</v>
      </c>
      <c r="F1628" t="str">
        <f>HYPERLINK("https://github.com/vickychijwani/quill/releases","show")</f>
        <v>show</v>
      </c>
    </row>
    <row r="1629" spans="1:6">
      <c r="A1629" t="s">
        <v>4885</v>
      </c>
      <c r="B1629" t="s">
        <v>4886</v>
      </c>
      <c r="C1629" t="s">
        <v>4887</v>
      </c>
      <c r="D1629" t="str">
        <f>HYPERLINK("https://github.com/OneBusAway/onebusaway-android/issues/505","show")</f>
        <v>show</v>
      </c>
      <c r="E1629" t="str">
        <f>HYPERLINK("https://github.com/OneBusAway/onebusaway-android","show")</f>
        <v>show</v>
      </c>
      <c r="F1629" t="str">
        <f>HYPERLINK("https://github.com/OneBusAway/onebusaway-android/releases","show")</f>
        <v>show</v>
      </c>
    </row>
    <row r="1630" spans="1:6">
      <c r="A1630" t="s">
        <v>4888</v>
      </c>
      <c r="B1630" t="s">
        <v>4889</v>
      </c>
      <c r="C1630" t="s">
        <v>4890</v>
      </c>
      <c r="D1630" t="str">
        <f>HYPERLINK("https://github.com/lukaspili/Reactive-Billing/issues/3","show")</f>
        <v>show</v>
      </c>
      <c r="E1630" t="str">
        <f>HYPERLINK("https://github.com/lukaspili/Reactive-Billing","show")</f>
        <v>show</v>
      </c>
      <c r="F1630" t="str">
        <f>HYPERLINK("https://github.com/lukaspili/Reactive-Billing/releases","show")</f>
        <v>show</v>
      </c>
    </row>
    <row r="1631" spans="1:6">
      <c r="A1631" t="s">
        <v>4891</v>
      </c>
      <c r="B1631" t="s">
        <v>4892</v>
      </c>
      <c r="C1631" t="s">
        <v>4893</v>
      </c>
      <c r="D1631" t="str">
        <f>HYPERLINK("https://github.com/pazaan/600SeriesAndroidUploader/issues/37","show")</f>
        <v>show</v>
      </c>
      <c r="E1631" t="str">
        <f>HYPERLINK("https://github.com/pazaan/600SeriesAndroidUploader","show")</f>
        <v>show</v>
      </c>
      <c r="F1631" t="str">
        <f>HYPERLINK("https://github.com/pazaan/600SeriesAndroidUploader/releases","show")</f>
        <v>show</v>
      </c>
    </row>
    <row r="1632" spans="1:6">
      <c r="A1632" t="s">
        <v>4894</v>
      </c>
      <c r="B1632" t="s">
        <v>4895</v>
      </c>
      <c r="C1632" t="s">
        <v>4896</v>
      </c>
      <c r="D1632" t="str">
        <f>HYPERLINK("https://github.com/requery/sqlite-android/issues/20","show")</f>
        <v>show</v>
      </c>
      <c r="E1632" t="str">
        <f>HYPERLINK("https://github.com/requery/sqlite-android","show")</f>
        <v>show</v>
      </c>
      <c r="F1632" t="str">
        <f>HYPERLINK("https://github.com/requery/sqlite-android/releases","show")</f>
        <v>show</v>
      </c>
    </row>
    <row r="1633" spans="1:6">
      <c r="A1633" t="s">
        <v>4897</v>
      </c>
      <c r="B1633" t="s">
        <v>4898</v>
      </c>
      <c r="C1633" t="s">
        <v>4899</v>
      </c>
      <c r="D1633" t="str">
        <f>HYPERLINK("https://github.com/translation-cards/translation-cards/issues/196","show")</f>
        <v>show</v>
      </c>
      <c r="E1633" t="str">
        <f>HYPERLINK("https://github.com/translation-cards/translation-cards","show")</f>
        <v>show</v>
      </c>
      <c r="F1633" t="str">
        <f>HYPERLINK("https://github.com/translation-cards/translation-cards/releases","show")</f>
        <v>show</v>
      </c>
    </row>
    <row r="1634" spans="1:6">
      <c r="A1634" t="s">
        <v>4900</v>
      </c>
      <c r="B1634" t="s">
        <v>4901</v>
      </c>
      <c r="C1634" t="s">
        <v>4902</v>
      </c>
      <c r="D1634" t="str">
        <f>HYPERLINK("https://github.com/translation-cards/translation-cards/issues/195","show")</f>
        <v>show</v>
      </c>
      <c r="E1634" t="str">
        <f>HYPERLINK("https://github.com/translation-cards/translation-cards","show")</f>
        <v>show</v>
      </c>
      <c r="F1634" t="str">
        <f>HYPERLINK("https://github.com/translation-cards/translation-cards/releases","show")</f>
        <v>show</v>
      </c>
    </row>
    <row r="1635" spans="1:6">
      <c r="A1635" t="s">
        <v>4903</v>
      </c>
      <c r="B1635" t="s">
        <v>4904</v>
      </c>
      <c r="C1635" t="s">
        <v>4905</v>
      </c>
      <c r="D1635" t="str">
        <f>HYPERLINK("https://github.com/translation-cards/translation-cards/issues/192","show")</f>
        <v>show</v>
      </c>
      <c r="E1635" t="str">
        <f>HYPERLINK("https://github.com/translation-cards/translation-cards","show")</f>
        <v>show</v>
      </c>
      <c r="F1635" t="str">
        <f>HYPERLINK("https://github.com/translation-cards/translation-cards/releases","show")</f>
        <v>show</v>
      </c>
    </row>
    <row r="1636" spans="1:6">
      <c r="A1636" t="s">
        <v>4906</v>
      </c>
      <c r="B1636" t="s">
        <v>4907</v>
      </c>
      <c r="C1636" t="s">
        <v>4908</v>
      </c>
      <c r="D1636" t="str">
        <f>HYPERLINK("https://github.com/wallabag/android-app/issues/260","show")</f>
        <v>show</v>
      </c>
      <c r="E1636" t="str">
        <f>HYPERLINK("https://github.com/wallabag/android-app","show")</f>
        <v>show</v>
      </c>
      <c r="F1636" t="str">
        <f>HYPERLINK("https://github.com/wallabag/android-app/releases","show")</f>
        <v>show</v>
      </c>
    </row>
    <row r="1637" spans="1:6">
      <c r="A1637" t="s">
        <v>4909</v>
      </c>
      <c r="B1637" t="s">
        <v>4910</v>
      </c>
      <c r="C1637" t="s">
        <v>4911</v>
      </c>
      <c r="D1637" t="str">
        <f>HYPERLINK("https://github.com/zhuowei/MCPELauncher/issues/1018","show")</f>
        <v>show</v>
      </c>
      <c r="E1637" t="str">
        <f>HYPERLINK("https://github.com/zhuowei/MCPELauncher","show")</f>
        <v>show</v>
      </c>
      <c r="F1637" t="str">
        <f>HYPERLINK("https://github.com/zhuowei/MCPELauncher/releases","show")</f>
        <v>show</v>
      </c>
    </row>
    <row r="1638" spans="1:6">
      <c r="A1638" t="s">
        <v>4912</v>
      </c>
      <c r="B1638" t="s">
        <v>4913</v>
      </c>
      <c r="C1638" t="s">
        <v>4914</v>
      </c>
      <c r="D1638" t="str">
        <f>HYPERLINK("https://github.com/zhuowei/MCPELauncher/issues/1017","show")</f>
        <v>show</v>
      </c>
      <c r="E1638" t="str">
        <f>HYPERLINK("https://github.com/zhuowei/MCPELauncher","show")</f>
        <v>show</v>
      </c>
      <c r="F1638" t="str">
        <f>HYPERLINK("https://github.com/zhuowei/MCPELauncher/releases","show")</f>
        <v>show</v>
      </c>
    </row>
    <row r="1639" spans="1:6">
      <c r="A1639" t="s">
        <v>4915</v>
      </c>
      <c r="B1639" t="s">
        <v>4916</v>
      </c>
      <c r="C1639" t="s">
        <v>4917</v>
      </c>
      <c r="D1639" t="str">
        <f>HYPERLINK("https://github.com/geopaparazzi/geopaparazzi/issues/322","show")</f>
        <v>show</v>
      </c>
      <c r="E1639" t="str">
        <f>HYPERLINK("https://github.com/geopaparazzi/geopaparazzi","show")</f>
        <v>show</v>
      </c>
      <c r="F1639" t="str">
        <f>HYPERLINK("https://github.com/geopaparazzi/geopaparazzi/releases","show")</f>
        <v>show</v>
      </c>
    </row>
    <row r="1640" spans="1:6">
      <c r="A1640" t="s">
        <v>4918</v>
      </c>
      <c r="B1640" t="s">
        <v>4919</v>
      </c>
      <c r="C1640" t="s">
        <v>4920</v>
      </c>
      <c r="D1640" t="str">
        <f>HYPERLINK("https://github.com/EyeSeeTea/malariapp/issues/1034","show")</f>
        <v>show</v>
      </c>
      <c r="E1640" t="str">
        <f>HYPERLINK("https://github.com/EyeSeeTea/malariapp","show")</f>
        <v>show</v>
      </c>
      <c r="F1640" t="str">
        <f>HYPERLINK("https://github.com/EyeSeeTea/malariapp/releases","show")</f>
        <v>show</v>
      </c>
    </row>
    <row r="1641" spans="1:6">
      <c r="A1641" t="s">
        <v>4921</v>
      </c>
      <c r="B1641" t="s">
        <v>4922</v>
      </c>
      <c r="C1641" t="s">
        <v>4923</v>
      </c>
      <c r="D1641" t="str">
        <f>HYPERLINK("https://github.com/EyeSeeTea/EDSApp/issues/48","show")</f>
        <v>show</v>
      </c>
      <c r="E1641" t="str">
        <f>HYPERLINK("https://github.com/EyeSeeTea/EDSApp","show")</f>
        <v>show</v>
      </c>
      <c r="F1641" t="str">
        <f>HYPERLINK("https://github.com/EyeSeeTea/EDSApp/releases","show")</f>
        <v>show</v>
      </c>
    </row>
    <row r="1642" spans="1:6">
      <c r="A1642" t="s">
        <v>4924</v>
      </c>
      <c r="B1642" t="s">
        <v>4925</v>
      </c>
      <c r="C1642" t="s">
        <v>4926</v>
      </c>
      <c r="D1642" t="str">
        <f>HYPERLINK("https://github.com/EyeSeeTea/EDSApp/issues/47","show")</f>
        <v>show</v>
      </c>
      <c r="E1642" t="str">
        <f>HYPERLINK("https://github.com/EyeSeeTea/EDSApp","show")</f>
        <v>show</v>
      </c>
      <c r="F1642" t="str">
        <f>HYPERLINK("https://github.com/EyeSeeTea/EDSApp/releases","show")</f>
        <v>show</v>
      </c>
    </row>
    <row r="1643" spans="1:6">
      <c r="A1643" t="s">
        <v>4927</v>
      </c>
      <c r="B1643" t="s">
        <v>4928</v>
      </c>
      <c r="C1643" t="s">
        <v>4929</v>
      </c>
      <c r="D1643" t="str">
        <f>HYPERLINK("https://github.com/EyeSeeTea/EDSApp/issues/44","show")</f>
        <v>show</v>
      </c>
      <c r="E1643" t="str">
        <f>HYPERLINK("https://github.com/EyeSeeTea/EDSApp","show")</f>
        <v>show</v>
      </c>
      <c r="F1643" t="str">
        <f>HYPERLINK("https://github.com/EyeSeeTea/EDSApp/releases","show")</f>
        <v>show</v>
      </c>
    </row>
    <row r="1644" spans="1:6">
      <c r="A1644" t="s">
        <v>4930</v>
      </c>
      <c r="B1644" t="s">
        <v>4931</v>
      </c>
      <c r="C1644" t="s">
        <v>4932</v>
      </c>
      <c r="D1644" t="str">
        <f>HYPERLINK("https://github.com/EyeSeeTea/EDSApp/issues/42","show")</f>
        <v>show</v>
      </c>
      <c r="E1644" t="str">
        <f>HYPERLINK("https://github.com/EyeSeeTea/EDSApp","show")</f>
        <v>show</v>
      </c>
      <c r="F1644" t="str">
        <f>HYPERLINK("https://github.com/EyeSeeTea/EDSApp/releases","show")</f>
        <v>show</v>
      </c>
    </row>
    <row r="1645" spans="1:6">
      <c r="A1645" t="s">
        <v>4933</v>
      </c>
      <c r="B1645" t="s">
        <v>4934</v>
      </c>
      <c r="C1645" t="s">
        <v>4935</v>
      </c>
      <c r="D1645" t="str">
        <f>HYPERLINK("https://github.com/OneBusAway/onebusaway-android/issues/518","show")</f>
        <v>show</v>
      </c>
      <c r="E1645" t="str">
        <f>HYPERLINK("https://github.com/OneBusAway/onebusaway-android","show")</f>
        <v>show</v>
      </c>
      <c r="F1645" t="str">
        <f>HYPERLINK("https://github.com/OneBusAway/onebusaway-android/releases","show")</f>
        <v>show</v>
      </c>
    </row>
    <row r="1646" spans="1:6">
      <c r="A1646" t="s">
        <v>4936</v>
      </c>
      <c r="B1646" t="s">
        <v>4937</v>
      </c>
      <c r="C1646" t="s">
        <v>4938</v>
      </c>
      <c r="D1646" t="str">
        <f>HYPERLINK("https://github.com/OneBusAway/onebusaway-android/issues/515","show")</f>
        <v>show</v>
      </c>
      <c r="E1646" t="str">
        <f>HYPERLINK("https://github.com/OneBusAway/onebusaway-android","show")</f>
        <v>show</v>
      </c>
      <c r="F1646" t="str">
        <f>HYPERLINK("https://github.com/OneBusAway/onebusaway-android/releases","show")</f>
        <v>show</v>
      </c>
    </row>
    <row r="1647" spans="1:6">
      <c r="A1647" t="s">
        <v>4939</v>
      </c>
      <c r="B1647" t="s">
        <v>4940</v>
      </c>
      <c r="C1647" t="s">
        <v>4941</v>
      </c>
      <c r="D1647" t="str">
        <f>HYPERLINK("https://github.com/itachi1706/SingBuses/issues/47","show")</f>
        <v>show</v>
      </c>
      <c r="E1647" t="str">
        <f>HYPERLINK("https://github.com/itachi1706/SingBuses","show")</f>
        <v>show</v>
      </c>
      <c r="F1647" t="str">
        <f>HYPERLINK("https://github.com/itachi1706/SingBuses/releases","show")</f>
        <v>show</v>
      </c>
    </row>
    <row r="1648" spans="1:6">
      <c r="A1648" t="s">
        <v>4942</v>
      </c>
      <c r="B1648" t="s">
        <v>4943</v>
      </c>
      <c r="C1648" t="s">
        <v>4944</v>
      </c>
      <c r="D1648" t="str">
        <f>HYPERLINK("https://github.com/CellularPrivacy/Android-IMSI-Catcher-Detector/issues/879","show")</f>
        <v>show</v>
      </c>
      <c r="E1648" t="str">
        <f>HYPERLINK("https://github.com/CellularPrivacy/Android-IMSI-Catcher-Detector","show")</f>
        <v>show</v>
      </c>
      <c r="F1648" t="str">
        <f>HYPERLINK("https://github.com/CellularPrivacy/Android-IMSI-Catcher-Detector/releases","show")</f>
        <v>show</v>
      </c>
    </row>
    <row r="1649" spans="1:6">
      <c r="A1649" t="s">
        <v>4945</v>
      </c>
      <c r="B1649" t="s">
        <v>4946</v>
      </c>
      <c r="C1649" t="s">
        <v>4947</v>
      </c>
      <c r="D1649" t="str">
        <f>HYPERLINK("https://github.com/hidroh/materialistic/issues/484","show")</f>
        <v>show</v>
      </c>
      <c r="E1649" t="str">
        <f>HYPERLINK("https://github.com/hidroh/materialistic","show")</f>
        <v>show</v>
      </c>
      <c r="F1649" t="str">
        <f>HYPERLINK("https://github.com/hidroh/materialistic/releases","show")</f>
        <v>show</v>
      </c>
    </row>
    <row r="1650" spans="1:6">
      <c r="A1650" t="s">
        <v>4948</v>
      </c>
      <c r="B1650" t="s">
        <v>4949</v>
      </c>
      <c r="C1650" t="s">
        <v>4950</v>
      </c>
      <c r="D1650" t="str">
        <f>HYPERLINK("https://github.com/mycelium-com/wallet-android/issues/272","show")</f>
        <v>show</v>
      </c>
      <c r="E1650" t="str">
        <f>HYPERLINK("https://github.com/mycelium-com/wallet-android","show")</f>
        <v>show</v>
      </c>
      <c r="F1650" t="str">
        <f>HYPERLINK("https://github.com/mycelium-com/wallet-android/releases","show")</f>
        <v>show</v>
      </c>
    </row>
    <row r="1651" spans="1:6">
      <c r="A1651" t="s">
        <v>4951</v>
      </c>
      <c r="B1651" t="s">
        <v>4952</v>
      </c>
      <c r="C1651" t="s">
        <v>4953</v>
      </c>
      <c r="D1651" t="str">
        <f>HYPERLINK("https://github.com/kontalk/androidclient/issues/750","show")</f>
        <v>show</v>
      </c>
      <c r="E1651" t="str">
        <f>HYPERLINK("https://github.com/kontalk/androidclient","show")</f>
        <v>show</v>
      </c>
      <c r="F1651" t="str">
        <f>HYPERLINK("https://github.com/kontalk/androidclient/releases","show")</f>
        <v>show</v>
      </c>
    </row>
    <row r="1652" spans="1:6">
      <c r="A1652" t="s">
        <v>4954</v>
      </c>
      <c r="B1652" t="s">
        <v>4955</v>
      </c>
      <c r="C1652" t="s">
        <v>4956</v>
      </c>
      <c r="D1652" t="str">
        <f>HYPERLINK("https://github.com/gitskarios/Gitskarios/issues/429","show")</f>
        <v>show</v>
      </c>
      <c r="E1652" t="str">
        <f>HYPERLINK("https://github.com/gitskarios/Gitskarios","show")</f>
        <v>show</v>
      </c>
      <c r="F1652" t="str">
        <f>HYPERLINK("https://github.com/gitskarios/Gitskarios/releases","show")</f>
        <v>show</v>
      </c>
    </row>
    <row r="1653" spans="1:6">
      <c r="A1653" t="s">
        <v>4957</v>
      </c>
      <c r="B1653" t="s">
        <v>4958</v>
      </c>
      <c r="C1653" t="s">
        <v>4959</v>
      </c>
      <c r="D1653" t="str">
        <f>HYPERLINK("https://github.com/user-don/Caregiver/issues/14","show")</f>
        <v>show</v>
      </c>
      <c r="E1653" t="str">
        <f>HYPERLINK("https://github.com/user-don/Caregiver","show")</f>
        <v>show</v>
      </c>
      <c r="F1653" t="str">
        <f>HYPERLINK("https://github.com/user-don/Caregiver/releases","show")</f>
        <v>show</v>
      </c>
    </row>
    <row r="1654" spans="1:6">
      <c r="A1654" t="s">
        <v>4960</v>
      </c>
      <c r="B1654" t="s">
        <v>4961</v>
      </c>
      <c r="C1654" t="s">
        <v>4962</v>
      </c>
      <c r="D1654" t="str">
        <f>HYPERLINK("https://github.com/VinkasHQ/reminders-android/issues/4","show")</f>
        <v>show</v>
      </c>
      <c r="E1654" t="str">
        <f>HYPERLINK("https://github.com/VinkasHQ/reminders-android","show")</f>
        <v>show</v>
      </c>
      <c r="F1654" t="str">
        <f>HYPERLINK("https://github.com/VinkasHQ/reminders-android/releases","show")</f>
        <v>show</v>
      </c>
    </row>
    <row r="1655" spans="1:6">
      <c r="A1655" t="s">
        <v>4963</v>
      </c>
      <c r="B1655" t="s">
        <v>4964</v>
      </c>
      <c r="C1655" t="s">
        <v>4965</v>
      </c>
      <c r="D1655" t="str">
        <f>HYPERLINK("https://github.com/arimorty/floatingsearchview/issues/58","show")</f>
        <v>show</v>
      </c>
      <c r="E1655" t="str">
        <f>HYPERLINK("https://github.com/arimorty/floatingsearchview","show")</f>
        <v>show</v>
      </c>
      <c r="F1655" t="str">
        <f>HYPERLINK("https://github.com/arimorty/floatingsearchview/releases","show")</f>
        <v>show</v>
      </c>
    </row>
    <row r="1656" spans="1:6">
      <c r="A1656" t="s">
        <v>4966</v>
      </c>
      <c r="B1656" t="s">
        <v>4967</v>
      </c>
      <c r="C1656" t="s">
        <v>4968</v>
      </c>
      <c r="D1656" t="str">
        <f>HYPERLINK("https://github.com/popcorn-official/popcorn-android/issues/36","show")</f>
        <v>show</v>
      </c>
      <c r="E1656" t="str">
        <f>HYPERLINK("https://github.com/popcorn-official/popcorn-android","show")</f>
        <v>show</v>
      </c>
      <c r="F1656" t="str">
        <f>HYPERLINK("https://github.com/popcorn-official/popcorn-android/releases","show")</f>
        <v>show</v>
      </c>
    </row>
    <row r="1657" spans="1:6">
      <c r="A1657" t="s">
        <v>4969</v>
      </c>
      <c r="B1657" t="s">
        <v>4970</v>
      </c>
      <c r="C1657" t="s">
        <v>4971</v>
      </c>
      <c r="D1657" t="str">
        <f>HYPERLINK("https://github.com/AnySoftKeyboard/AnySoftKeyboard/issues/660","show")</f>
        <v>show</v>
      </c>
      <c r="E1657" t="str">
        <f>HYPERLINK("https://github.com/AnySoftKeyboard/AnySoftKeyboard","show")</f>
        <v>show</v>
      </c>
      <c r="F1657" t="str">
        <f>HYPERLINK("https://github.com/AnySoftKeyboard/AnySoftKeyboard/releases","show")</f>
        <v>show</v>
      </c>
    </row>
    <row r="1658" spans="1:6">
      <c r="A1658" t="s">
        <v>4972</v>
      </c>
      <c r="B1658" t="s">
        <v>4973</v>
      </c>
      <c r="C1658" t="s">
        <v>4974</v>
      </c>
      <c r="D1658" t="str">
        <f>HYPERLINK("https://github.com/LeafSWE/clips/issues/31","show")</f>
        <v>show</v>
      </c>
      <c r="E1658" t="str">
        <f>HYPERLINK("https://github.com/LeafSWE/clips","show")</f>
        <v>show</v>
      </c>
      <c r="F1658" t="str">
        <f>HYPERLINK("https://github.com/LeafSWE/clips/releases","show")</f>
        <v>show</v>
      </c>
    </row>
    <row r="1659" spans="1:6">
      <c r="A1659" t="s">
        <v>4975</v>
      </c>
      <c r="B1659" t="s">
        <v>4976</v>
      </c>
      <c r="C1659" t="s">
        <v>4977</v>
      </c>
      <c r="D1659" t="str">
        <f>HYPERLINK("https://github.com/davideas/FlexibleAdapter/issues/92","show")</f>
        <v>show</v>
      </c>
      <c r="E1659" t="str">
        <f>HYPERLINK("https://github.com/davideas/FlexibleAdapter","show")</f>
        <v>show</v>
      </c>
      <c r="F1659" t="str">
        <f>HYPERLINK("https://github.com/davideas/FlexibleAdapter/releases","show")</f>
        <v>show</v>
      </c>
    </row>
    <row r="1660" spans="1:6">
      <c r="A1660" t="s">
        <v>4978</v>
      </c>
      <c r="B1660" t="s">
        <v>4979</v>
      </c>
      <c r="C1660" t="s">
        <v>4980</v>
      </c>
      <c r="D1660" t="str">
        <f>HYPERLINK("https://github.com/requery/requery/issues/170","show")</f>
        <v>show</v>
      </c>
      <c r="E1660" t="str">
        <f>HYPERLINK("https://github.com/requery/requery","show")</f>
        <v>show</v>
      </c>
      <c r="F1660" t="str">
        <f>HYPERLINK("https://github.com/requery/requery/releases","show")</f>
        <v>show</v>
      </c>
    </row>
    <row r="1661" spans="1:6">
      <c r="A1661" t="s">
        <v>4981</v>
      </c>
      <c r="B1661" t="s">
        <v>4982</v>
      </c>
      <c r="C1661" t="s">
        <v>4983</v>
      </c>
      <c r="D1661" t="str">
        <f>HYPERLINK("https://github.com/davideas/FlexibleAdapter/issues/95","show")</f>
        <v>show</v>
      </c>
      <c r="E1661" t="str">
        <f>HYPERLINK("https://github.com/davideas/FlexibleAdapter","show")</f>
        <v>show</v>
      </c>
      <c r="F1661" t="str">
        <f>HYPERLINK("https://github.com/davideas/FlexibleAdapter/releases","show")</f>
        <v>show</v>
      </c>
    </row>
    <row r="1662" spans="1:6">
      <c r="A1662" t="s">
        <v>4984</v>
      </c>
      <c r="B1662" t="s">
        <v>4985</v>
      </c>
      <c r="C1662" t="s">
        <v>4986</v>
      </c>
      <c r="D1662" t="str">
        <f>HYPERLINK("https://github.com/popeen/Booksonic-App/issues/42","show")</f>
        <v>show</v>
      </c>
      <c r="E1662" t="str">
        <f>HYPERLINK("https://github.com/popeen/Booksonic-App","show")</f>
        <v>show</v>
      </c>
      <c r="F1662" t="str">
        <f>HYPERLINK("https://github.com/popeen/Booksonic-App/releases","show")</f>
        <v>show</v>
      </c>
    </row>
    <row r="1663" spans="1:6">
      <c r="A1663" t="s">
        <v>4987</v>
      </c>
      <c r="B1663" t="s">
        <v>4988</v>
      </c>
      <c r="C1663" t="s">
        <v>4989</v>
      </c>
      <c r="D1663" t="str">
        <f>HYPERLINK("https://github.com/commons-app/apps-android-commons/issues/109","show")</f>
        <v>show</v>
      </c>
      <c r="E1663" t="str">
        <f>HYPERLINK("https://github.com/commons-app/apps-android-commons","show")</f>
        <v>show</v>
      </c>
      <c r="F1663" t="str">
        <f>HYPERLINK("https://github.com/commons-app/apps-android-commons/releases","show")</f>
        <v>show</v>
      </c>
    </row>
    <row r="1664" spans="1:6">
      <c r="A1664" t="s">
        <v>4990</v>
      </c>
      <c r="B1664" t="s">
        <v>4991</v>
      </c>
      <c r="C1664" t="s">
        <v>4992</v>
      </c>
      <c r="D1664" t="str">
        <f>HYPERLINK("https://github.com/nbossard/packlist/issues/34","show")</f>
        <v>show</v>
      </c>
      <c r="E1664" t="str">
        <f>HYPERLINK("https://github.com/nbossard/packlist","show")</f>
        <v>show</v>
      </c>
      <c r="F1664" t="str">
        <f>HYPERLINK("https://github.com/nbossard/packlist/releases","show")</f>
        <v>show</v>
      </c>
    </row>
    <row r="1665" spans="1:6">
      <c r="A1665" t="s">
        <v>4993</v>
      </c>
      <c r="B1665" t="s">
        <v>4994</v>
      </c>
      <c r="C1665" t="s">
        <v>4995</v>
      </c>
      <c r="D1665" t="str">
        <f>HYPERLINK("https://github.com/EmergentOrganization/cell-rpg/issues/101","show")</f>
        <v>show</v>
      </c>
      <c r="E1665" t="str">
        <f>HYPERLINK("https://github.com/EmergentOrganization/cell-rpg","show")</f>
        <v>show</v>
      </c>
      <c r="F1665" t="str">
        <f>HYPERLINK("https://github.com/EmergentOrganization/cell-rpg/releases","show")</f>
        <v>show</v>
      </c>
    </row>
    <row r="1666" spans="1:6">
      <c r="A1666" t="s">
        <v>4996</v>
      </c>
      <c r="B1666" t="s">
        <v>4997</v>
      </c>
      <c r="C1666" t="s">
        <v>4998</v>
      </c>
      <c r="D1666" t="str">
        <f>HYPERLINK("https://github.com/Flaredown/FlaredownAndroid/issues/41","show")</f>
        <v>show</v>
      </c>
      <c r="E1666" t="str">
        <f>HYPERLINK("https://github.com/Flaredown/FlaredownAndroid","show")</f>
        <v>show</v>
      </c>
      <c r="F1666" t="str">
        <f>HYPERLINK("https://github.com/Flaredown/FlaredownAndroid/releases","show")</f>
        <v>show</v>
      </c>
    </row>
    <row r="1667" spans="1:6">
      <c r="A1667" t="s">
        <v>4999</v>
      </c>
      <c r="B1667" t="s">
        <v>5000</v>
      </c>
      <c r="C1667" t="s">
        <v>5001</v>
      </c>
      <c r="D1667" t="str">
        <f>HYPERLINK("https://github.com/Crash-Test-Buddies/WiFi-Buddy/issues/100","show")</f>
        <v>show</v>
      </c>
      <c r="E1667" t="str">
        <f>HYPERLINK("https://github.com/Crash-Test-Buddies/WiFi-Buddy","show")</f>
        <v>show</v>
      </c>
      <c r="F1667" t="str">
        <f>HYPERLINK("https://github.com/Crash-Test-Buddies/WiFi-Buddy/releases","show")</f>
        <v>show</v>
      </c>
    </row>
    <row r="1668" spans="1:6">
      <c r="A1668" t="s">
        <v>5002</v>
      </c>
      <c r="B1668" t="s">
        <v>5003</v>
      </c>
      <c r="C1668" t="s">
        <v>5004</v>
      </c>
      <c r="D1668" t="str">
        <f>HYPERLINK("https://github.com/EmergentOrganization/cell-rpg/issues/104","show")</f>
        <v>show</v>
      </c>
      <c r="E1668" t="str">
        <f>HYPERLINK("https://github.com/EmergentOrganization/cell-rpg","show")</f>
        <v>show</v>
      </c>
      <c r="F1668" t="str">
        <f>HYPERLINK("https://github.com/EmergentOrganization/cell-rpg/releases","show")</f>
        <v>show</v>
      </c>
    </row>
    <row r="1669" spans="1:6">
      <c r="A1669" t="s">
        <v>5005</v>
      </c>
      <c r="B1669" t="s">
        <v>5006</v>
      </c>
      <c r="C1669" t="s">
        <v>5007</v>
      </c>
      <c r="D1669" t="str">
        <f>HYPERLINK("https://github.com/microg/GmsCore/issues/141","show")</f>
        <v>show</v>
      </c>
      <c r="E1669" t="str">
        <f>HYPERLINK("https://github.com/microg/GmsCore","show")</f>
        <v>show</v>
      </c>
      <c r="F1669" t="str">
        <f>HYPERLINK("https://github.com/microg/GmsCore/releases","show")</f>
        <v>show</v>
      </c>
    </row>
    <row r="1670" spans="1:6">
      <c r="A1670" t="s">
        <v>5008</v>
      </c>
      <c r="B1670" t="s">
        <v>5009</v>
      </c>
      <c r="C1670" t="s">
        <v>5010</v>
      </c>
      <c r="D1670" t="str">
        <f>HYPERLINK("https://github.com/Cloudkibo/Android/issues/108","show")</f>
        <v>show</v>
      </c>
      <c r="E1670" t="str">
        <f>HYPERLINK("https://github.com/Cloudkibo/Android","show")</f>
        <v>show</v>
      </c>
      <c r="F1670" t="str">
        <f>HYPERLINK("https://github.com/Cloudkibo/Android/releases","show")</f>
        <v>show</v>
      </c>
    </row>
    <row r="1671" spans="1:6">
      <c r="A1671" t="s">
        <v>5011</v>
      </c>
      <c r="B1671" t="s">
        <v>5012</v>
      </c>
      <c r="C1671" t="s">
        <v>5013</v>
      </c>
      <c r="D1671" t="str">
        <f>HYPERLINK("https://github.com/k9mail/k-9/issues/1434","show")</f>
        <v>show</v>
      </c>
      <c r="E1671" t="str">
        <f>HYPERLINK("https://github.com/k9mail/k-9","show")</f>
        <v>show</v>
      </c>
      <c r="F1671" t="str">
        <f>HYPERLINK("https://github.com/k9mail/k-9/releases","show")</f>
        <v>show</v>
      </c>
    </row>
    <row r="1672" spans="1:6">
      <c r="A1672" t="s">
        <v>5014</v>
      </c>
      <c r="B1672" t="s">
        <v>5015</v>
      </c>
      <c r="C1672" t="s">
        <v>5016</v>
      </c>
      <c r="D1672" t="str">
        <f>HYPERLINK("https://github.com/Crash-Test-Buddies/WiFi-Buddy/issues/111","show")</f>
        <v>show</v>
      </c>
      <c r="E1672" t="str">
        <f>HYPERLINK("https://github.com/Crash-Test-Buddies/WiFi-Buddy","show")</f>
        <v>show</v>
      </c>
      <c r="F1672" t="str">
        <f>HYPERLINK("https://github.com/Crash-Test-Buddies/WiFi-Buddy/releases","show")</f>
        <v>show</v>
      </c>
    </row>
    <row r="1673" spans="1:6">
      <c r="A1673" t="s">
        <v>5017</v>
      </c>
      <c r="B1673" t="s">
        <v>5018</v>
      </c>
      <c r="C1673" t="s">
        <v>5019</v>
      </c>
      <c r="D1673" t="str">
        <f>HYPERLINK("https://github.com/Crash-Test-Buddies/WiFi-Buddy/issues/110","show")</f>
        <v>show</v>
      </c>
      <c r="E1673" t="str">
        <f>HYPERLINK("https://github.com/Crash-Test-Buddies/WiFi-Buddy","show")</f>
        <v>show</v>
      </c>
      <c r="F1673" t="str">
        <f>HYPERLINK("https://github.com/Crash-Test-Buddies/WiFi-Buddy/releases","show")</f>
        <v>show</v>
      </c>
    </row>
    <row r="1674" spans="1:6">
      <c r="A1674" t="s">
        <v>5020</v>
      </c>
      <c r="B1674" t="s">
        <v>5021</v>
      </c>
      <c r="C1674" t="s">
        <v>5022</v>
      </c>
      <c r="D1674" t="str">
        <f>HYPERLINK("https://github.com/square/picasso/issues/1406","show")</f>
        <v>show</v>
      </c>
      <c r="E1674" t="str">
        <f>HYPERLINK("https://github.com/square/picasso","show")</f>
        <v>show</v>
      </c>
      <c r="F1674" t="str">
        <f>HYPERLINK("https://github.com/square/picasso/releases","show")</f>
        <v>show</v>
      </c>
    </row>
    <row r="1675" spans="1:6">
      <c r="A1675" t="s">
        <v>5023</v>
      </c>
      <c r="B1675" t="s">
        <v>5024</v>
      </c>
      <c r="C1675" t="s">
        <v>5025</v>
      </c>
      <c r="D1675" t="str">
        <f>HYPERLINK("https://github.com/dimagi/commcare-android/issues/1303","show")</f>
        <v>show</v>
      </c>
      <c r="E1675" t="str">
        <f>HYPERLINK("https://github.com/dimagi/commcare-android","show")</f>
        <v>show</v>
      </c>
      <c r="F1675" t="str">
        <f>HYPERLINK("https://github.com/dimagi/commcare-android/releases","show")</f>
        <v>show</v>
      </c>
    </row>
    <row r="1676" spans="1:6">
      <c r="A1676" t="s">
        <v>5026</v>
      </c>
      <c r="B1676" t="s">
        <v>5027</v>
      </c>
      <c r="C1676" t="s">
        <v>5028</v>
      </c>
      <c r="D1676" t="str">
        <f>HYPERLINK("https://github.com/qtmdev/AndroidInference/issues/18","show")</f>
        <v>show</v>
      </c>
      <c r="E1676" t="str">
        <f>HYPERLINK("https://github.com/qtmdev/AndroidInference","show")</f>
        <v>show</v>
      </c>
      <c r="F1676" t="str">
        <f>HYPERLINK("https://github.com/qtmdev/AndroidInference/releases","show")</f>
        <v>show</v>
      </c>
    </row>
    <row r="1677" spans="1:6">
      <c r="A1677" t="s">
        <v>5029</v>
      </c>
      <c r="B1677" t="s">
        <v>5030</v>
      </c>
      <c r="C1677" t="s">
        <v>5031</v>
      </c>
      <c r="D1677" t="str">
        <f>HYPERLINK("https://github.com/qtmdev/AndroidInference/issues/16","show")</f>
        <v>show</v>
      </c>
      <c r="E1677" t="str">
        <f>HYPERLINK("https://github.com/qtmdev/AndroidInference","show")</f>
        <v>show</v>
      </c>
      <c r="F1677" t="str">
        <f>HYPERLINK("https://github.com/qtmdev/AndroidInference/releases","show")</f>
        <v>show</v>
      </c>
    </row>
    <row r="1678" spans="1:6">
      <c r="A1678" t="s">
        <v>5032</v>
      </c>
      <c r="B1678" t="s">
        <v>5024</v>
      </c>
      <c r="C1678" t="s">
        <v>5033</v>
      </c>
      <c r="D1678" t="str">
        <f>HYPERLINK("https://github.com/dimagi/commcare-android/issues/1300","show")</f>
        <v>show</v>
      </c>
      <c r="E1678" t="str">
        <f>HYPERLINK("https://github.com/dimagi/commcare-android","show")</f>
        <v>show</v>
      </c>
      <c r="F1678" t="str">
        <f>HYPERLINK("https://github.com/dimagi/commcare-android/releases","show")</f>
        <v>show</v>
      </c>
    </row>
    <row r="1679" spans="1:6">
      <c r="A1679" t="s">
        <v>5034</v>
      </c>
      <c r="B1679" t="s">
        <v>5035</v>
      </c>
      <c r="C1679" t="s">
        <v>5036</v>
      </c>
      <c r="D1679" t="str">
        <f>HYPERLINK("https://github.com/square/okhttp/issues/2606","show")</f>
        <v>show</v>
      </c>
      <c r="E1679" t="str">
        <f>HYPERLINK("https://github.com/square/okhttp","show")</f>
        <v>show</v>
      </c>
      <c r="F1679" t="str">
        <f>HYPERLINK("https://github.com/square/okhttp/releases","show")</f>
        <v>show</v>
      </c>
    </row>
    <row r="1680" spans="1:6">
      <c r="A1680" t="s">
        <v>5037</v>
      </c>
      <c r="B1680" t="s">
        <v>5038</v>
      </c>
      <c r="C1680" t="s">
        <v>5039</v>
      </c>
      <c r="D1680" t="str">
        <f>HYPERLINK("https://github.com/google/ExoPlayer/issues/1573","show")</f>
        <v>show</v>
      </c>
      <c r="E1680" t="str">
        <f>HYPERLINK("https://github.com/google/ExoPlayer","show")</f>
        <v>show</v>
      </c>
      <c r="F1680" t="str">
        <f>HYPERLINK("https://github.com/google/ExoPlayer/releases","show")</f>
        <v>show</v>
      </c>
    </row>
    <row r="1681" spans="1:6">
      <c r="A1681" t="s">
        <v>5040</v>
      </c>
      <c r="B1681" t="s">
        <v>5041</v>
      </c>
      <c r="C1681" t="s">
        <v>5042</v>
      </c>
      <c r="D1681" t="str">
        <f>HYPERLINK("https://github.com/davideas/FlexibleAdapter/issues/103","show")</f>
        <v>show</v>
      </c>
      <c r="E1681" t="str">
        <f>HYPERLINK("https://github.com/davideas/FlexibleAdapter","show")</f>
        <v>show</v>
      </c>
      <c r="F1681" t="str">
        <f>HYPERLINK("https://github.com/davideas/FlexibleAdapter/releases","show")</f>
        <v>show</v>
      </c>
    </row>
    <row r="1682" spans="1:6">
      <c r="A1682" t="s">
        <v>5043</v>
      </c>
      <c r="B1682" t="s">
        <v>5044</v>
      </c>
      <c r="C1682" t="s">
        <v>5045</v>
      </c>
      <c r="D1682" t="str">
        <f>HYPERLINK("https://github.com/commons-app/apps-android-commons/issues/117","show")</f>
        <v>show</v>
      </c>
      <c r="E1682" t="str">
        <f>HYPERLINK("https://github.com/commons-app/apps-android-commons","show")</f>
        <v>show</v>
      </c>
      <c r="F1682" t="str">
        <f>HYPERLINK("https://github.com/commons-app/apps-android-commons/releases","show")</f>
        <v>show</v>
      </c>
    </row>
    <row r="1683" spans="1:6">
      <c r="A1683" t="s">
        <v>5046</v>
      </c>
      <c r="B1683" t="s">
        <v>5047</v>
      </c>
      <c r="C1683" t="s">
        <v>5048</v>
      </c>
      <c r="D1683" t="str">
        <f>HYPERLINK("https://github.com/Flaredown/FlaredownAndroid/issues/42","show")</f>
        <v>show</v>
      </c>
      <c r="E1683" t="str">
        <f>HYPERLINK("https://github.com/Flaredown/FlaredownAndroid","show")</f>
        <v>show</v>
      </c>
      <c r="F1683" t="str">
        <f>HYPERLINK("https://github.com/Flaredown/FlaredownAndroid/releases","show")</f>
        <v>show</v>
      </c>
    </row>
    <row r="1684" spans="1:6">
      <c r="A1684" t="s">
        <v>5049</v>
      </c>
      <c r="B1684" t="s">
        <v>5050</v>
      </c>
      <c r="C1684" t="s">
        <v>5051</v>
      </c>
      <c r="D1684" t="str">
        <f>HYPERLINK("https://github.com/wasdennnoch/AndroidN-ify/issues/412","show")</f>
        <v>show</v>
      </c>
      <c r="E1684" t="str">
        <f>HYPERLINK("https://github.com/wasdennnoch/AndroidN-ify","show")</f>
        <v>show</v>
      </c>
      <c r="F1684" t="str">
        <f>HYPERLINK("https://github.com/wasdennnoch/AndroidN-ify/releases","show")</f>
        <v>show</v>
      </c>
    </row>
    <row r="1685" spans="1:6">
      <c r="A1685" t="s">
        <v>5052</v>
      </c>
      <c r="B1685" t="s">
        <v>5053</v>
      </c>
      <c r="C1685" t="s">
        <v>5054</v>
      </c>
      <c r="D1685" t="str">
        <f>HYPERLINK("https://github.com/wasdennnoch/AndroidN-ify/issues/411","show")</f>
        <v>show</v>
      </c>
      <c r="E1685" t="str">
        <f>HYPERLINK("https://github.com/wasdennnoch/AndroidN-ify","show")</f>
        <v>show</v>
      </c>
      <c r="F1685" t="str">
        <f>HYPERLINK("https://github.com/wasdennnoch/AndroidN-ify/releases","show")</f>
        <v>show</v>
      </c>
    </row>
    <row r="1686" spans="1:6">
      <c r="A1686" t="s">
        <v>5055</v>
      </c>
      <c r="B1686" t="s">
        <v>5056</v>
      </c>
      <c r="C1686" t="s">
        <v>5057</v>
      </c>
      <c r="D1686" t="str">
        <f>HYPERLINK("https://github.com/translation-cards/translation-cards/issues/216","show")</f>
        <v>show</v>
      </c>
      <c r="E1686" t="str">
        <f>HYPERLINK("https://github.com/translation-cards/translation-cards","show")</f>
        <v>show</v>
      </c>
      <c r="F1686" t="str">
        <f>HYPERLINK("https://github.com/translation-cards/translation-cards/releases","show")</f>
        <v>show</v>
      </c>
    </row>
    <row r="1687" spans="1:6">
      <c r="A1687" t="s">
        <v>5058</v>
      </c>
      <c r="B1687" t="s">
        <v>5059</v>
      </c>
      <c r="C1687" t="s">
        <v>5060</v>
      </c>
      <c r="D1687" t="str">
        <f>HYPERLINK("https://github.com/erickok/transdroid/issues/315","show")</f>
        <v>show</v>
      </c>
      <c r="E1687" t="str">
        <f>HYPERLINK("https://github.com/erickok/transdroid","show")</f>
        <v>show</v>
      </c>
      <c r="F1687" t="str">
        <f>HYPERLINK("https://github.com/erickok/transdroid/releases","show")</f>
        <v>show</v>
      </c>
    </row>
    <row r="1688" spans="1:6">
      <c r="A1688" t="s">
        <v>5061</v>
      </c>
      <c r="B1688" t="s">
        <v>5062</v>
      </c>
      <c r="C1688" t="s">
        <v>5063</v>
      </c>
      <c r="D1688" t="str">
        <f>HYPERLINK("https://github.com/nosybore/Tasker-MQTT-Publish-Plugin/issues/11","show")</f>
        <v>show</v>
      </c>
      <c r="E1688" t="str">
        <f>HYPERLINK("https://github.com/nosybore/Tasker-MQTT-Publish-Plugin","show")</f>
        <v>show</v>
      </c>
      <c r="F1688" t="str">
        <f>HYPERLINK("https://github.com/nosybore/Tasker-MQTT-Publish-Plugin/releases","show")</f>
        <v>show</v>
      </c>
    </row>
    <row r="1689" spans="1:6">
      <c r="A1689" t="s">
        <v>5064</v>
      </c>
      <c r="B1689" t="s">
        <v>5065</v>
      </c>
      <c r="C1689" t="s">
        <v>5066</v>
      </c>
      <c r="D1689" t="str">
        <f>HYPERLINK("https://github.com/dimagi/commcare-android/issues/1311","show")</f>
        <v>show</v>
      </c>
      <c r="E1689" t="str">
        <f>HYPERLINK("https://github.com/dimagi/commcare-android","show")</f>
        <v>show</v>
      </c>
      <c r="F1689" t="str">
        <f>HYPERLINK("https://github.com/dimagi/commcare-android/releases","show")</f>
        <v>show</v>
      </c>
    </row>
    <row r="1690" spans="1:6">
      <c r="A1690" t="s">
        <v>5067</v>
      </c>
      <c r="B1690" t="s">
        <v>5068</v>
      </c>
      <c r="C1690" t="s">
        <v>5069</v>
      </c>
      <c r="D1690" t="str">
        <f>HYPERLINK("https://github.com/OneBusAway/onebusaway-android/issues/533","show")</f>
        <v>show</v>
      </c>
      <c r="E1690" t="str">
        <f>HYPERLINK("https://github.com/OneBusAway/onebusaway-android","show")</f>
        <v>show</v>
      </c>
      <c r="F1690" t="str">
        <f>HYPERLINK("https://github.com/OneBusAway/onebusaway-android/releases","show")</f>
        <v>show</v>
      </c>
    </row>
    <row r="1691" spans="1:6">
      <c r="A1691" t="s">
        <v>5070</v>
      </c>
      <c r="B1691" t="s">
        <v>5071</v>
      </c>
      <c r="C1691" t="s">
        <v>5072</v>
      </c>
      <c r="D1691" t="str">
        <f>HYPERLINK("https://github.com/OneBusAway/onebusaway-android/issues/530","show")</f>
        <v>show</v>
      </c>
      <c r="E1691" t="str">
        <f>HYPERLINK("https://github.com/OneBusAway/onebusaway-android","show")</f>
        <v>show</v>
      </c>
      <c r="F1691" t="str">
        <f>HYPERLINK("https://github.com/OneBusAway/onebusaway-android/releases","show")</f>
        <v>show</v>
      </c>
    </row>
    <row r="1692" spans="1:6">
      <c r="A1692" t="s">
        <v>5073</v>
      </c>
      <c r="B1692" t="s">
        <v>778</v>
      </c>
      <c r="C1692" t="s">
        <v>5074</v>
      </c>
      <c r="D1692" t="str">
        <f>HYPERLINK("https://github.com/OneBusAway/onebusaway-android/issues/529","show")</f>
        <v>show</v>
      </c>
      <c r="E1692" t="str">
        <f>HYPERLINK("https://github.com/OneBusAway/onebusaway-android","show")</f>
        <v>show</v>
      </c>
      <c r="F1692" t="str">
        <f>HYPERLINK("https://github.com/OneBusAway/onebusaway-android/releases","show")</f>
        <v>show</v>
      </c>
    </row>
    <row r="1693" spans="1:6">
      <c r="A1693" t="s">
        <v>5075</v>
      </c>
      <c r="B1693" t="s">
        <v>5076</v>
      </c>
      <c r="C1693" t="s">
        <v>5077</v>
      </c>
      <c r="D1693" t="str">
        <f>HYPERLINK("https://github.com/k9mail/k-9/issues/1452","show")</f>
        <v>show</v>
      </c>
      <c r="E1693" t="str">
        <f>HYPERLINK("https://github.com/k9mail/k-9","show")</f>
        <v>show</v>
      </c>
      <c r="F1693" t="str">
        <f>HYPERLINK("https://github.com/k9mail/k-9/releases","show")</f>
        <v>show</v>
      </c>
    </row>
    <row r="1694" spans="1:6">
      <c r="A1694" t="s">
        <v>5078</v>
      </c>
      <c r="B1694" t="s">
        <v>5079</v>
      </c>
      <c r="C1694" t="s">
        <v>5080</v>
      </c>
      <c r="D1694" t="str">
        <f>HYPERLINK("https://github.com/OneBusAway/onebusaway-android/issues/538","show")</f>
        <v>show</v>
      </c>
      <c r="E1694" t="str">
        <f>HYPERLINK("https://github.com/OneBusAway/onebusaway-android","show")</f>
        <v>show</v>
      </c>
      <c r="F1694" t="str">
        <f>HYPERLINK("https://github.com/OneBusAway/onebusaway-android/releases","show")</f>
        <v>show</v>
      </c>
    </row>
    <row r="1695" spans="1:6">
      <c r="A1695" t="s">
        <v>5081</v>
      </c>
      <c r="B1695" t="s">
        <v>5082</v>
      </c>
      <c r="C1695" t="s">
        <v>5083</v>
      </c>
      <c r="D1695" t="str">
        <f>HYPERLINK("https://github.com/zxing/zxing/issues/607","show")</f>
        <v>show</v>
      </c>
      <c r="E1695" t="str">
        <f>HYPERLINK("https://github.com/zxing/zxing","show")</f>
        <v>show</v>
      </c>
      <c r="F1695" t="str">
        <f>HYPERLINK("https://github.com/zxing/zxing/releases","show")</f>
        <v>show</v>
      </c>
    </row>
    <row r="1696" spans="1:6">
      <c r="A1696" t="s">
        <v>5084</v>
      </c>
      <c r="B1696" t="s">
        <v>5085</v>
      </c>
      <c r="C1696" t="s">
        <v>5086</v>
      </c>
      <c r="D1696" t="str">
        <f>HYPERLINK("https://github.com/andpor/react-native-sqlite-storage/issues/58","show")</f>
        <v>show</v>
      </c>
      <c r="E1696" t="str">
        <f>HYPERLINK("https://github.com/andpor/react-native-sqlite-storage","show")</f>
        <v>show</v>
      </c>
      <c r="F1696" t="str">
        <f>HYPERLINK("https://github.com/andpor/react-native-sqlite-storage/releases","show")</f>
        <v>show</v>
      </c>
    </row>
    <row r="1697" spans="1:6">
      <c r="A1697" t="s">
        <v>5087</v>
      </c>
      <c r="B1697" t="s">
        <v>5088</v>
      </c>
      <c r="C1697" t="s">
        <v>5089</v>
      </c>
      <c r="D1697" t="str">
        <f>HYPERLINK("https://github.com/AEFeinstein/mtg-familiar/issues/129","show")</f>
        <v>show</v>
      </c>
      <c r="E1697" t="str">
        <f>HYPERLINK("https://github.com/AEFeinstein/mtg-familiar","show")</f>
        <v>show</v>
      </c>
      <c r="F1697" t="str">
        <f>HYPERLINK("https://github.com/AEFeinstein/mtg-familiar/releases","show")</f>
        <v>show</v>
      </c>
    </row>
    <row r="1698" spans="1:6">
      <c r="A1698" t="s">
        <v>5090</v>
      </c>
      <c r="B1698" t="s">
        <v>5091</v>
      </c>
      <c r="C1698" t="s">
        <v>5092</v>
      </c>
      <c r="D1698" t="str">
        <f>HYPERLINK("https://github.com/autyzm-pg/friendly-plans/issues/26","show")</f>
        <v>show</v>
      </c>
      <c r="E1698" t="str">
        <f>HYPERLINK("https://github.com/autyzm-pg/friendly-plans","show")</f>
        <v>show</v>
      </c>
      <c r="F1698" t="str">
        <f>HYPERLINK("https://github.com/autyzm-pg/friendly-plans/releases","show")</f>
        <v>show</v>
      </c>
    </row>
    <row r="1699" spans="1:6">
      <c r="A1699" t="s">
        <v>5093</v>
      </c>
      <c r="B1699" t="s">
        <v>5094</v>
      </c>
      <c r="C1699" t="s">
        <v>5095</v>
      </c>
      <c r="D1699" t="str">
        <f>HYPERLINK("https://github.com/zettaapi/zetta-sdk-android/issues/12","show")</f>
        <v>show</v>
      </c>
      <c r="E1699" t="str">
        <f>HYPERLINK("https://github.com/zettaapi/zetta-sdk-android","show")</f>
        <v>show</v>
      </c>
      <c r="F1699" t="str">
        <f>HYPERLINK("https://github.com/zettaapi/zetta-sdk-android/releases","show")</f>
        <v>show</v>
      </c>
    </row>
    <row r="1700" spans="1:6">
      <c r="A1700" t="s">
        <v>5096</v>
      </c>
      <c r="B1700" t="s">
        <v>5097</v>
      </c>
      <c r="C1700" t="s">
        <v>5098</v>
      </c>
      <c r="D1700" t="str">
        <f>HYPERLINK("https://github.com/autyzm-pg/friendly-plans/issues/22","show")</f>
        <v>show</v>
      </c>
      <c r="E1700" t="str">
        <f>HYPERLINK("https://github.com/autyzm-pg/friendly-plans","show")</f>
        <v>show</v>
      </c>
      <c r="F1700" t="str">
        <f>HYPERLINK("https://github.com/autyzm-pg/friendly-plans/releases","show")</f>
        <v>show</v>
      </c>
    </row>
    <row r="1701" spans="1:6">
      <c r="A1701" t="s">
        <v>5099</v>
      </c>
      <c r="B1701" t="s">
        <v>5100</v>
      </c>
      <c r="C1701" t="s">
        <v>5101</v>
      </c>
      <c r="D1701" t="str">
        <f>HYPERLINK("https://github.com/MythTV-Clients/MythtvPlayerForAndroid/issues/184","show")</f>
        <v>show</v>
      </c>
      <c r="E1701" t="str">
        <f>HYPERLINK("https://github.com/MythTV-Clients/MythtvPlayerForAndroid","show")</f>
        <v>show</v>
      </c>
      <c r="F1701" t="str">
        <f>HYPERLINK("https://github.com/MythTV-Clients/MythtvPlayerForAndroid/releases","show")</f>
        <v>show</v>
      </c>
    </row>
    <row r="1702" spans="1:6">
      <c r="A1702" t="s">
        <v>5102</v>
      </c>
      <c r="B1702" t="s">
        <v>5103</v>
      </c>
      <c r="C1702" t="s">
        <v>5104</v>
      </c>
      <c r="D1702" t="str">
        <f>HYPERLINK("https://github.com/processing/processing-android/issues/225","show")</f>
        <v>show</v>
      </c>
      <c r="E1702" t="str">
        <f>HYPERLINK("https://github.com/processing/processing-android","show")</f>
        <v>show</v>
      </c>
      <c r="F1702" t="str">
        <f>HYPERLINK("https://github.com/processing/processing-android/releases","show")</f>
        <v>show</v>
      </c>
    </row>
    <row r="1703" spans="1:6">
      <c r="A1703" t="s">
        <v>5105</v>
      </c>
      <c r="B1703" t="s">
        <v>5106</v>
      </c>
      <c r="C1703" t="s">
        <v>5107</v>
      </c>
      <c r="D1703" t="str">
        <f>HYPERLINK("https://github.com/autyzm-pg/friendly-plans/issues/28","show")</f>
        <v>show</v>
      </c>
      <c r="E1703" t="str">
        <f>HYPERLINK("https://github.com/autyzm-pg/friendly-plans","show")</f>
        <v>show</v>
      </c>
      <c r="F1703" t="str">
        <f>HYPERLINK("https://github.com/autyzm-pg/friendly-plans/releases","show")</f>
        <v>show</v>
      </c>
    </row>
    <row r="1704" spans="1:6">
      <c r="A1704" t="s">
        <v>5108</v>
      </c>
      <c r="B1704" t="s">
        <v>5109</v>
      </c>
      <c r="C1704" t="s">
        <v>5110</v>
      </c>
      <c r="D1704" t="str">
        <f>HYPERLINK("https://github.com/wasdennnoch/AndroidN-ify/issues/447","show")</f>
        <v>show</v>
      </c>
      <c r="E1704" t="str">
        <f>HYPERLINK("https://github.com/wasdennnoch/AndroidN-ify","show")</f>
        <v>show</v>
      </c>
      <c r="F1704" t="str">
        <f>HYPERLINK("https://github.com/wasdennnoch/AndroidN-ify/releases","show")</f>
        <v>show</v>
      </c>
    </row>
    <row r="1705" spans="1:6">
      <c r="A1705" t="s">
        <v>5111</v>
      </c>
      <c r="B1705" t="s">
        <v>5112</v>
      </c>
      <c r="C1705" t="s">
        <v>5113</v>
      </c>
      <c r="D1705" t="str">
        <f>HYPERLINK("https://github.com/commons-app/apps-android-commons/issues/124","show")</f>
        <v>show</v>
      </c>
      <c r="E1705" t="str">
        <f>HYPERLINK("https://github.com/commons-app/apps-android-commons","show")</f>
        <v>show</v>
      </c>
      <c r="F1705" t="str">
        <f>HYPERLINK("https://github.com/commons-app/apps-android-commons/releases","show")</f>
        <v>show</v>
      </c>
    </row>
    <row r="1706" spans="1:6">
      <c r="A1706" t="s">
        <v>5114</v>
      </c>
      <c r="B1706" t="s">
        <v>5115</v>
      </c>
      <c r="C1706" t="s">
        <v>5116</v>
      </c>
      <c r="D1706" t="str">
        <f>HYPERLINK("https://github.com/mauron85/cordova-plugin-background-geolocation/issues/89","show")</f>
        <v>show</v>
      </c>
      <c r="E1706" t="str">
        <f>HYPERLINK("https://github.com/mauron85/cordova-plugin-background-geolocation","show")</f>
        <v>show</v>
      </c>
      <c r="F1706" t="str">
        <f>HYPERLINK("https://github.com/mauron85/cordova-plugin-background-geolocation/releases","show")</f>
        <v>show</v>
      </c>
    </row>
    <row r="1707" spans="1:6">
      <c r="A1707" t="s">
        <v>5117</v>
      </c>
      <c r="B1707" t="s">
        <v>5118</v>
      </c>
      <c r="C1707" t="s">
        <v>5119</v>
      </c>
      <c r="D1707" t="str">
        <f>HYPERLINK("https://github.com/kontalk/androidclient/issues/758","show")</f>
        <v>show</v>
      </c>
      <c r="E1707" t="str">
        <f>HYPERLINK("https://github.com/kontalk/androidclient","show")</f>
        <v>show</v>
      </c>
      <c r="F1707" t="str">
        <f>HYPERLINK("https://github.com/kontalk/androidclient/releases","show")</f>
        <v>show</v>
      </c>
    </row>
    <row r="1708" spans="1:6">
      <c r="A1708" t="s">
        <v>5120</v>
      </c>
      <c r="B1708" t="s">
        <v>5121</v>
      </c>
      <c r="C1708" t="s">
        <v>5122</v>
      </c>
      <c r="D1708" t="str">
        <f>HYPERLINK("https://github.com/bumptech/glide/issues/1267","show")</f>
        <v>show</v>
      </c>
      <c r="E1708" t="str">
        <f>HYPERLINK("https://github.com/bumptech/glide","show")</f>
        <v>show</v>
      </c>
      <c r="F1708" t="str">
        <f>HYPERLINK("https://github.com/bumptech/glide/releases","show")</f>
        <v>show</v>
      </c>
    </row>
    <row r="1709" spans="1:6">
      <c r="A1709" t="s">
        <v>5123</v>
      </c>
      <c r="B1709" t="s">
        <v>5124</v>
      </c>
      <c r="C1709" t="s">
        <v>5125</v>
      </c>
      <c r="D1709" t="str">
        <f>HYPERLINK("https://github.com/Flaredown/FlaredownAndroid/issues/44","show")</f>
        <v>show</v>
      </c>
      <c r="E1709" t="str">
        <f>HYPERLINK("https://github.com/Flaredown/FlaredownAndroid","show")</f>
        <v>show</v>
      </c>
      <c r="F1709" t="str">
        <f>HYPERLINK("https://github.com/Flaredown/FlaredownAndroid/releases","show")</f>
        <v>show</v>
      </c>
    </row>
    <row r="1710" spans="1:6">
      <c r="A1710" t="s">
        <v>5126</v>
      </c>
      <c r="B1710" t="s">
        <v>5127</v>
      </c>
      <c r="C1710" t="s">
        <v>5128</v>
      </c>
      <c r="D1710" t="str">
        <f>HYPERLINK("https://github.com/zom/Zom-Android-XMPP/issues/108","show")</f>
        <v>show</v>
      </c>
      <c r="E1710" t="str">
        <f>HYPERLINK("https://github.com/zom/Zom-Android-XMPP","show")</f>
        <v>show</v>
      </c>
      <c r="F1710" t="str">
        <f>HYPERLINK("https://github.com/zom/Zom-Android-XMPP/releases","show")</f>
        <v>show</v>
      </c>
    </row>
    <row r="1711" spans="1:6">
      <c r="A1711" t="s">
        <v>5129</v>
      </c>
      <c r="B1711" t="s">
        <v>5130</v>
      </c>
      <c r="C1711" t="s">
        <v>5131</v>
      </c>
      <c r="D1711" t="str">
        <f>HYPERLINK("https://github.com/duniter/duniter-android-app/issues/53","show")</f>
        <v>show</v>
      </c>
      <c r="E1711" t="str">
        <f>HYPERLINK("https://github.com/duniter/duniter-android-app","show")</f>
        <v>show</v>
      </c>
      <c r="F1711" t="str">
        <f>HYPERLINK("https://github.com/duniter/duniter-android-app/releases","show")</f>
        <v>show</v>
      </c>
    </row>
    <row r="1712" spans="1:6">
      <c r="A1712" t="s">
        <v>5132</v>
      </c>
      <c r="B1712" t="s">
        <v>5133</v>
      </c>
      <c r="C1712" t="s">
        <v>5134</v>
      </c>
      <c r="D1712" t="str">
        <f>HYPERLINK("https://github.com/duniter/duniter-android-app/issues/50","show")</f>
        <v>show</v>
      </c>
      <c r="E1712" t="str">
        <f>HYPERLINK("https://github.com/duniter/duniter-android-app","show")</f>
        <v>show</v>
      </c>
      <c r="F1712" t="str">
        <f>HYPERLINK("https://github.com/duniter/duniter-android-app/releases","show")</f>
        <v>show</v>
      </c>
    </row>
    <row r="1713" spans="1:6">
      <c r="A1713" t="s">
        <v>5135</v>
      </c>
      <c r="B1713" t="s">
        <v>5136</v>
      </c>
      <c r="C1713" t="s">
        <v>5137</v>
      </c>
      <c r="D1713" t="str">
        <f>HYPERLINK("https://github.com/square/okhttp/issues/2628","show")</f>
        <v>show</v>
      </c>
      <c r="E1713" t="str">
        <f>HYPERLINK("https://github.com/square/okhttp","show")</f>
        <v>show</v>
      </c>
      <c r="F1713" t="str">
        <f>HYPERLINK("https://github.com/square/okhttp/releases","show")</f>
        <v>show</v>
      </c>
    </row>
    <row r="1714" spans="1:6">
      <c r="A1714" t="s">
        <v>5138</v>
      </c>
      <c r="B1714" t="s">
        <v>5139</v>
      </c>
      <c r="C1714" t="s">
        <v>5140</v>
      </c>
      <c r="D1714" t="str">
        <f>HYPERLINK("https://github.com/balthazar/react-native-zeroconf/issues/12","show")</f>
        <v>show</v>
      </c>
      <c r="E1714" t="str">
        <f>HYPERLINK("https://github.com/balthazar/react-native-zeroconf","show")</f>
        <v>show</v>
      </c>
      <c r="F1714" t="str">
        <f>HYPERLINK("https://github.com/balthazar/react-native-zeroconf/releases","show")</f>
        <v>show</v>
      </c>
    </row>
    <row r="1715" spans="1:6">
      <c r="A1715" t="s">
        <v>5141</v>
      </c>
      <c r="B1715" t="s">
        <v>5142</v>
      </c>
      <c r="C1715" t="s">
        <v>5143</v>
      </c>
      <c r="D1715" t="str">
        <f>HYPERLINK("https://github.com/wasdennnoch/AndroidN-ify/issues/469","show")</f>
        <v>show</v>
      </c>
      <c r="E1715" t="str">
        <f>HYPERLINK("https://github.com/wasdennnoch/AndroidN-ify","show")</f>
        <v>show</v>
      </c>
      <c r="F1715" t="str">
        <f>HYPERLINK("https://github.com/wasdennnoch/AndroidN-ify/releases","show")</f>
        <v>show</v>
      </c>
    </row>
    <row r="1716" spans="1:6">
      <c r="A1716" t="s">
        <v>5144</v>
      </c>
      <c r="B1716" t="s">
        <v>5145</v>
      </c>
      <c r="C1716" t="s">
        <v>5146</v>
      </c>
      <c r="D1716" t="str">
        <f>HYPERLINK("https://github.com/jMonkeyEngine/sdk/issues/78","show")</f>
        <v>show</v>
      </c>
      <c r="E1716" t="str">
        <f>HYPERLINK("https://github.com/jMonkeyEngine/sdk","show")</f>
        <v>show</v>
      </c>
      <c r="F1716" t="str">
        <f>HYPERLINK("https://github.com/jMonkeyEngine/sdk/releases","show")</f>
        <v>show</v>
      </c>
    </row>
    <row r="1717" spans="1:6">
      <c r="A1717" t="s">
        <v>5147</v>
      </c>
      <c r="B1717" t="s">
        <v>5148</v>
      </c>
      <c r="C1717" t="s">
        <v>5149</v>
      </c>
      <c r="D1717" t="str">
        <f>HYPERLINK("https://github.com/zom/Zom-Android-XMPP/issues/110","show")</f>
        <v>show</v>
      </c>
      <c r="E1717" t="str">
        <f>HYPERLINK("https://github.com/zom/Zom-Android-XMPP","show")</f>
        <v>show</v>
      </c>
      <c r="F1717" t="str">
        <f>HYPERLINK("https://github.com/zom/Zom-Android-XMPP/releases","show")</f>
        <v>show</v>
      </c>
    </row>
    <row r="1718" spans="1:6">
      <c r="A1718" t="s">
        <v>5150</v>
      </c>
      <c r="B1718" t="s">
        <v>5151</v>
      </c>
      <c r="C1718" t="s">
        <v>5152</v>
      </c>
      <c r="D1718" t="str">
        <f>HYPERLINK("https://github.com/MythTV-Clients/MythtvPlayerForAndroid/issues/186","show")</f>
        <v>show</v>
      </c>
      <c r="E1718" t="str">
        <f>HYPERLINK("https://github.com/MythTV-Clients/MythtvPlayerForAndroid","show")</f>
        <v>show</v>
      </c>
      <c r="F1718" t="str">
        <f>HYPERLINK("https://github.com/MythTV-Clients/MythtvPlayerForAndroid/releases","show")</f>
        <v>show</v>
      </c>
    </row>
    <row r="1719" spans="1:6">
      <c r="A1719" t="s">
        <v>5153</v>
      </c>
      <c r="B1719" t="s">
        <v>5154</v>
      </c>
      <c r="C1719" t="s">
        <v>5155</v>
      </c>
      <c r="D1719" t="str">
        <f>HYPERLINK("https://github.com/yigit/android-priority-jobqueue/issues/187","show")</f>
        <v>show</v>
      </c>
      <c r="E1719" t="str">
        <f>HYPERLINK("https://github.com/yigit/android-priority-jobqueue","show")</f>
        <v>show</v>
      </c>
      <c r="F1719" t="str">
        <f>HYPERLINK("https://github.com/yigit/android-priority-jobqueue/releases","show")</f>
        <v>show</v>
      </c>
    </row>
    <row r="1720" spans="1:6">
      <c r="A1720" t="s">
        <v>5156</v>
      </c>
      <c r="B1720" t="s">
        <v>5157</v>
      </c>
      <c r="C1720" t="s">
        <v>5158</v>
      </c>
      <c r="D1720" t="str">
        <f>HYPERLINK("https://github.com/square/okhttp/issues/2634","show")</f>
        <v>show</v>
      </c>
      <c r="E1720" t="str">
        <f>HYPERLINK("https://github.com/square/okhttp","show")</f>
        <v>show</v>
      </c>
      <c r="F1720" t="str">
        <f>HYPERLINK("https://github.com/square/okhttp/releases","show")</f>
        <v>show</v>
      </c>
    </row>
    <row r="1721" spans="1:6">
      <c r="A1721" t="s">
        <v>5159</v>
      </c>
      <c r="B1721" t="s">
        <v>5160</v>
      </c>
      <c r="C1721" t="s">
        <v>5161</v>
      </c>
      <c r="D1721" t="str">
        <f>HYPERLINK("https://github.com/k9mail/k-9/issues/1468","show")</f>
        <v>show</v>
      </c>
      <c r="E1721" t="str">
        <f>HYPERLINK("https://github.com/k9mail/k-9","show")</f>
        <v>show</v>
      </c>
      <c r="F1721" t="str">
        <f>HYPERLINK("https://github.com/k9mail/k-9/releases","show")</f>
        <v>show</v>
      </c>
    </row>
    <row r="1722" spans="1:6">
      <c r="A1722" t="s">
        <v>5162</v>
      </c>
      <c r="B1722" t="s">
        <v>5163</v>
      </c>
      <c r="C1722" t="s">
        <v>5164</v>
      </c>
      <c r="D1722" t="str">
        <f>HYPERLINK("https://github.com/react-native-camera/react-native-camera/issues/326","show")</f>
        <v>show</v>
      </c>
      <c r="E1722" t="str">
        <f>HYPERLINK("https://github.com/react-native-camera/react-native-camera","show")</f>
        <v>show</v>
      </c>
      <c r="F1722" t="str">
        <f>HYPERLINK("https://github.com/react-native-camera/react-native-camera/releases","show")</f>
        <v>show</v>
      </c>
    </row>
    <row r="1723" spans="1:6">
      <c r="A1723" t="s">
        <v>5165</v>
      </c>
      <c r="B1723" t="s">
        <v>5166</v>
      </c>
      <c r="C1723" t="s">
        <v>5167</v>
      </c>
      <c r="D1723" t="str">
        <f>HYPERLINK("https://github.com/stephanenicolas/toothpick/issues/94","show")</f>
        <v>show</v>
      </c>
      <c r="E1723" t="str">
        <f>HYPERLINK("https://github.com/stephanenicolas/toothpick","show")</f>
        <v>show</v>
      </c>
      <c r="F1723" t="str">
        <f>HYPERLINK("https://github.com/stephanenicolas/toothpick/releases","show")</f>
        <v>show</v>
      </c>
    </row>
    <row r="1724" spans="1:6">
      <c r="A1724" t="s">
        <v>5168</v>
      </c>
      <c r="B1724" t="s">
        <v>5169</v>
      </c>
      <c r="C1724" t="s">
        <v>5170</v>
      </c>
      <c r="D1724" t="str">
        <f>HYPERLINK("https://github.com/Crash-Test-Buddies/WiFi-Buddy/issues/138","show")</f>
        <v>show</v>
      </c>
      <c r="E1724" t="str">
        <f>HYPERLINK("https://github.com/Crash-Test-Buddies/WiFi-Buddy","show")</f>
        <v>show</v>
      </c>
      <c r="F1724" t="str">
        <f>HYPERLINK("https://github.com/Crash-Test-Buddies/WiFi-Buddy/releases","show")</f>
        <v>show</v>
      </c>
    </row>
    <row r="1725" spans="1:6">
      <c r="A1725" t="s">
        <v>5171</v>
      </c>
      <c r="B1725" t="s">
        <v>5172</v>
      </c>
      <c r="C1725" t="s">
        <v>5173</v>
      </c>
      <c r="D1725" t="str">
        <f>HYPERLINK("https://github.com/mattstraehl/AmgiNori/issues/1","show")</f>
        <v>show</v>
      </c>
      <c r="E1725" t="str">
        <f>HYPERLINK("https://github.com/mattstraehl/AmgiNori","show")</f>
        <v>show</v>
      </c>
      <c r="F1725" t="str">
        <f>HYPERLINK("https://github.com/mattstraehl/AmgiNori/releases","show")</f>
        <v>show</v>
      </c>
    </row>
    <row r="1726" spans="1:6">
      <c r="A1726" t="s">
        <v>5174</v>
      </c>
      <c r="B1726" t="s">
        <v>5175</v>
      </c>
      <c r="C1726" t="s">
        <v>5176</v>
      </c>
      <c r="D1726" t="str">
        <f>HYPERLINK("https://github.com/duniter/duniter-android-app/issues/62","show")</f>
        <v>show</v>
      </c>
      <c r="E1726" t="str">
        <f>HYPERLINK("https://github.com/duniter/duniter-android-app","show")</f>
        <v>show</v>
      </c>
      <c r="F1726" t="str">
        <f>HYPERLINK("https://github.com/duniter/duniter-android-app/releases","show")</f>
        <v>show</v>
      </c>
    </row>
    <row r="1727" spans="1:6">
      <c r="A1727" t="s">
        <v>5177</v>
      </c>
      <c r="B1727" t="s">
        <v>5178</v>
      </c>
      <c r="C1727" t="s">
        <v>5179</v>
      </c>
      <c r="D1727" t="str">
        <f>HYPERLINK("https://github.com/Z3r0byte/Magis/issues/4","show")</f>
        <v>show</v>
      </c>
      <c r="E1727" t="str">
        <f>HYPERLINK("https://github.com/Z3r0byte/Magis","show")</f>
        <v>show</v>
      </c>
      <c r="F1727" t="str">
        <f>HYPERLINK("https://github.com/Z3r0byte/Magis/releases","show")</f>
        <v>show</v>
      </c>
    </row>
    <row r="1728" spans="1:6">
      <c r="A1728" t="s">
        <v>5180</v>
      </c>
      <c r="B1728" t="s">
        <v>5181</v>
      </c>
      <c r="C1728" t="s">
        <v>5182</v>
      </c>
      <c r="D1728" t="str">
        <f>HYPERLINK("https://github.com/Crash-Test-Buddies/WiFi-Buddy/issues/143","show")</f>
        <v>show</v>
      </c>
      <c r="E1728" t="str">
        <f>HYPERLINK("https://github.com/Crash-Test-Buddies/WiFi-Buddy","show")</f>
        <v>show</v>
      </c>
      <c r="F1728" t="str">
        <f>HYPERLINK("https://github.com/Crash-Test-Buddies/WiFi-Buddy/releases","show")</f>
        <v>show</v>
      </c>
    </row>
    <row r="1729" spans="1:6">
      <c r="A1729" t="s">
        <v>5183</v>
      </c>
      <c r="B1729" t="s">
        <v>5184</v>
      </c>
      <c r="C1729" t="s">
        <v>5185</v>
      </c>
      <c r="D1729" t="str">
        <f>HYPERLINK("https://github.com/Crash-Test-Buddies/WiFi-Buddy/issues/142","show")</f>
        <v>show</v>
      </c>
      <c r="E1729" t="str">
        <f>HYPERLINK("https://github.com/Crash-Test-Buddies/WiFi-Buddy","show")</f>
        <v>show</v>
      </c>
      <c r="F1729" t="str">
        <f>HYPERLINK("https://github.com/Crash-Test-Buddies/WiFi-Buddy/releases","show")</f>
        <v>show</v>
      </c>
    </row>
    <row r="1730" spans="1:6">
      <c r="A1730" t="s">
        <v>5186</v>
      </c>
      <c r="B1730" t="s">
        <v>5187</v>
      </c>
      <c r="C1730" t="s">
        <v>5188</v>
      </c>
      <c r="D1730" t="str">
        <f>HYPERLINK("https://github.com/btkelly/gnag/issues/93","show")</f>
        <v>show</v>
      </c>
      <c r="E1730" t="str">
        <f>HYPERLINK("https://github.com/btkelly/gnag","show")</f>
        <v>show</v>
      </c>
      <c r="F1730" t="str">
        <f>HYPERLINK("https://github.com/btkelly/gnag/releases","show")</f>
        <v>show</v>
      </c>
    </row>
    <row r="1731" spans="1:6">
      <c r="A1731" t="s">
        <v>5189</v>
      </c>
      <c r="B1731" t="s">
        <v>5190</v>
      </c>
      <c r="C1731" t="s">
        <v>5191</v>
      </c>
      <c r="D1731" t="str">
        <f>HYPERLINK("https://github.com/Devlight/NavigationTabStrip/issues/9","show")</f>
        <v>show</v>
      </c>
      <c r="E1731" t="str">
        <f>HYPERLINK("https://github.com/Devlight/NavigationTabStrip","show")</f>
        <v>show</v>
      </c>
      <c r="F1731" t="str">
        <f>HYPERLINK("https://github.com/Devlight/NavigationTabStrip/releases","show")</f>
        <v>show</v>
      </c>
    </row>
    <row r="1732" spans="1:6">
      <c r="A1732" t="s">
        <v>5192</v>
      </c>
      <c r="B1732" t="s">
        <v>5193</v>
      </c>
      <c r="C1732" t="s">
        <v>5194</v>
      </c>
      <c r="D1732" t="str">
        <f>HYPERLINK("https://github.com/Crash-Test-Buddies/WiFi-Buddy/issues/149","show")</f>
        <v>show</v>
      </c>
      <c r="E1732" t="str">
        <f>HYPERLINK("https://github.com/Crash-Test-Buddies/WiFi-Buddy","show")</f>
        <v>show</v>
      </c>
      <c r="F1732" t="str">
        <f>HYPERLINK("https://github.com/Crash-Test-Buddies/WiFi-Buddy/releases","show")</f>
        <v>show</v>
      </c>
    </row>
    <row r="1733" spans="1:6">
      <c r="A1733" t="s">
        <v>5195</v>
      </c>
      <c r="B1733" t="s">
        <v>5196</v>
      </c>
      <c r="C1733" t="s">
        <v>5197</v>
      </c>
      <c r="D1733" t="str">
        <f>HYPERLINK("https://github.com/fossasia/open-event-droidgen/issues/439","show")</f>
        <v>show</v>
      </c>
      <c r="E1733" t="str">
        <f>HYPERLINK("https://github.com/fossasia/open-event-droidgen","show")</f>
        <v>show</v>
      </c>
      <c r="F1733" t="str">
        <f>HYPERLINK("https://github.com/fossasia/open-event-droidgen/releases","show")</f>
        <v>show</v>
      </c>
    </row>
    <row r="1734" spans="1:6">
      <c r="A1734" t="s">
        <v>5198</v>
      </c>
      <c r="B1734" t="s">
        <v>5199</v>
      </c>
      <c r="C1734" t="s">
        <v>5200</v>
      </c>
      <c r="D1734" t="str">
        <f>HYPERLINK("https://github.com/ttocsneb/qubed/issues/1","show")</f>
        <v>show</v>
      </c>
      <c r="E1734" t="str">
        <f>HYPERLINK("https://github.com/ttocsneb/qubed","show")</f>
        <v>show</v>
      </c>
      <c r="F1734" t="str">
        <f>HYPERLINK("https://github.com/ttocsneb/qubed/releases","show")</f>
        <v>show</v>
      </c>
    </row>
    <row r="1735" spans="1:6">
      <c r="A1735" t="s">
        <v>5201</v>
      </c>
      <c r="B1735" t="s">
        <v>5202</v>
      </c>
      <c r="C1735" t="s">
        <v>5203</v>
      </c>
      <c r="D1735" t="str">
        <f>HYPERLINK("https://github.com/k9mail/k-9/issues/1473","show")</f>
        <v>show</v>
      </c>
      <c r="E1735" t="str">
        <f>HYPERLINK("https://github.com/k9mail/k-9","show")</f>
        <v>show</v>
      </c>
      <c r="F1735" t="str">
        <f>HYPERLINK("https://github.com/k9mail/k-9/releases","show")</f>
        <v>show</v>
      </c>
    </row>
    <row r="1736" spans="1:6">
      <c r="A1736" t="s">
        <v>5204</v>
      </c>
      <c r="B1736" t="s">
        <v>5205</v>
      </c>
      <c r="C1736" t="s">
        <v>5206</v>
      </c>
      <c r="D1736" t="str">
        <f>HYPERLINK("https://github.com/nextcloud/android/issues/78","show")</f>
        <v>show</v>
      </c>
      <c r="E1736" t="str">
        <f>HYPERLINK("https://github.com/nextcloud/android","show")</f>
        <v>show</v>
      </c>
      <c r="F1736" t="str">
        <f>HYPERLINK("https://github.com/nextcloud/android/releases","show")</f>
        <v>show</v>
      </c>
    </row>
    <row r="1737" spans="1:6">
      <c r="A1737" t="s">
        <v>5207</v>
      </c>
      <c r="B1737" t="s">
        <v>5208</v>
      </c>
      <c r="C1737" t="s">
        <v>5209</v>
      </c>
      <c r="D1737" t="str">
        <f>HYPERLINK("https://github.com/IvoGoman/Diabetes-App/issues/42","show")</f>
        <v>show</v>
      </c>
      <c r="E1737" t="str">
        <f>HYPERLINK("https://github.com/IvoGoman/Diabetes-App","show")</f>
        <v>show</v>
      </c>
      <c r="F1737" t="str">
        <f>HYPERLINK("https://github.com/IvoGoman/Diabetes-App/releases","show")</f>
        <v>show</v>
      </c>
    </row>
    <row r="1738" spans="1:6">
      <c r="A1738" t="s">
        <v>5210</v>
      </c>
      <c r="B1738" t="s">
        <v>5211</v>
      </c>
      <c r="C1738" t="s">
        <v>5212</v>
      </c>
      <c r="D1738" t="str">
        <f>HYPERLINK("https://github.com/Scaronthesky/UK-Gebaerden_Muensterland/issues/65","show")</f>
        <v>show</v>
      </c>
      <c r="E1738" t="str">
        <f>HYPERLINK("https://github.com/Scaronthesky/UK-Gebaerden_Muensterland","show")</f>
        <v>show</v>
      </c>
      <c r="F1738" t="str">
        <f>HYPERLINK("https://github.com/Scaronthesky/UK-Gebaerden_Muensterland/releases","show")</f>
        <v>show</v>
      </c>
    </row>
    <row r="1739" spans="1:6">
      <c r="A1739" t="s">
        <v>5213</v>
      </c>
      <c r="B1739" t="s">
        <v>5214</v>
      </c>
      <c r="C1739" t="s">
        <v>5215</v>
      </c>
      <c r="D1739" t="str">
        <f>HYPERLINK("https://github.com/OneBusAway/onebusaway-android/issues/565","show")</f>
        <v>show</v>
      </c>
      <c r="E1739" t="str">
        <f>HYPERLINK("https://github.com/OneBusAway/onebusaway-android","show")</f>
        <v>show</v>
      </c>
      <c r="F1739" t="str">
        <f>HYPERLINK("https://github.com/OneBusAway/onebusaway-android/releases","show")</f>
        <v>show</v>
      </c>
    </row>
    <row r="1740" spans="1:6">
      <c r="A1740" t="s">
        <v>5216</v>
      </c>
      <c r="B1740" t="s">
        <v>5217</v>
      </c>
      <c r="C1740" t="s">
        <v>5218</v>
      </c>
      <c r="D1740" t="str">
        <f>HYPERLINK("https://github.com/OneBusAway/onebusaway-android/issues/563","show")</f>
        <v>show</v>
      </c>
      <c r="E1740" t="str">
        <f>HYPERLINK("https://github.com/OneBusAway/onebusaway-android","show")</f>
        <v>show</v>
      </c>
      <c r="F1740" t="str">
        <f>HYPERLINK("https://github.com/OneBusAway/onebusaway-android/releases","show")</f>
        <v>show</v>
      </c>
    </row>
    <row r="1741" spans="1:6">
      <c r="A1741" t="s">
        <v>5219</v>
      </c>
      <c r="B1741" t="s">
        <v>5220</v>
      </c>
      <c r="C1741" t="s">
        <v>5221</v>
      </c>
      <c r="D1741" t="str">
        <f>HYPERLINK("https://github.com/Dimezis/BlurView/issues/15","show")</f>
        <v>show</v>
      </c>
      <c r="E1741" t="str">
        <f>HYPERLINK("https://github.com/Dimezis/BlurView","show")</f>
        <v>show</v>
      </c>
      <c r="F1741" t="str">
        <f>HYPERLINK("https://github.com/Dimezis/BlurView/releases","show")</f>
        <v>show</v>
      </c>
    </row>
    <row r="1742" spans="1:6">
      <c r="A1742" t="s">
        <v>5222</v>
      </c>
      <c r="B1742" t="s">
        <v>5223</v>
      </c>
      <c r="C1742" t="s">
        <v>5224</v>
      </c>
      <c r="D1742" t="str">
        <f>HYPERLINK("https://github.com/commons-app/apps-android-commons/issues/146","show")</f>
        <v>show</v>
      </c>
      <c r="E1742" t="str">
        <f>HYPERLINK("https://github.com/commons-app/apps-android-commons","show")</f>
        <v>show</v>
      </c>
      <c r="F1742" t="str">
        <f>HYPERLINK("https://github.com/commons-app/apps-android-commons/releases","show")</f>
        <v>show</v>
      </c>
    </row>
    <row r="1743" spans="1:6">
      <c r="A1743" t="s">
        <v>5225</v>
      </c>
      <c r="B1743" t="s">
        <v>5226</v>
      </c>
      <c r="C1743" t="s">
        <v>5227</v>
      </c>
      <c r="D1743" t="str">
        <f>HYPERLINK("https://github.com/nextcloud/android/issues/81","show")</f>
        <v>show</v>
      </c>
      <c r="E1743" t="str">
        <f>HYPERLINK("https://github.com/nextcloud/android","show")</f>
        <v>show</v>
      </c>
      <c r="F1743" t="str">
        <f>HYPERLINK("https://github.com/nextcloud/android/releases","show")</f>
        <v>show</v>
      </c>
    </row>
    <row r="1744" spans="1:6">
      <c r="A1744" t="s">
        <v>5228</v>
      </c>
      <c r="B1744" t="s">
        <v>5229</v>
      </c>
      <c r="C1744" t="s">
        <v>5230</v>
      </c>
      <c r="D1744" t="str">
        <f>HYPERLINK("https://github.com/OneBusAway/onebusaway-android/issues/572","show")</f>
        <v>show</v>
      </c>
      <c r="E1744" t="str">
        <f>HYPERLINK("https://github.com/OneBusAway/onebusaway-android","show")</f>
        <v>show</v>
      </c>
      <c r="F1744" t="str">
        <f>HYPERLINK("https://github.com/OneBusAway/onebusaway-android/releases","show")</f>
        <v>show</v>
      </c>
    </row>
    <row r="1745" spans="1:6">
      <c r="A1745" t="s">
        <v>5231</v>
      </c>
      <c r="B1745" t="s">
        <v>5232</v>
      </c>
      <c r="C1745" t="s">
        <v>5233</v>
      </c>
      <c r="D1745" t="str">
        <f>HYPERLINK("https://github.com/OneBusAway/onebusaway-android/issues/571","show")</f>
        <v>show</v>
      </c>
      <c r="E1745" t="str">
        <f>HYPERLINK("https://github.com/OneBusAway/onebusaway-android","show")</f>
        <v>show</v>
      </c>
      <c r="F1745" t="str">
        <f>HYPERLINK("https://github.com/OneBusAway/onebusaway-android/releases","show")</f>
        <v>show</v>
      </c>
    </row>
    <row r="1746" spans="1:6">
      <c r="A1746" t="s">
        <v>5234</v>
      </c>
      <c r="B1746" t="s">
        <v>5235</v>
      </c>
      <c r="C1746" t="s">
        <v>5236</v>
      </c>
      <c r="D1746" t="str">
        <f>HYPERLINK("https://github.com/OneBusAway/onebusaway-android/issues/570","show")</f>
        <v>show</v>
      </c>
      <c r="E1746" t="str">
        <f>HYPERLINK("https://github.com/OneBusAway/onebusaway-android","show")</f>
        <v>show</v>
      </c>
      <c r="F1746" t="str">
        <f>HYPERLINK("https://github.com/OneBusAway/onebusaway-android/releases","show")</f>
        <v>show</v>
      </c>
    </row>
    <row r="1747" spans="1:6">
      <c r="A1747" t="s">
        <v>5237</v>
      </c>
      <c r="B1747" t="s">
        <v>5238</v>
      </c>
      <c r="C1747" t="s">
        <v>5239</v>
      </c>
      <c r="D1747" t="str">
        <f>HYPERLINK("https://github.com/square/okhttp/issues/2679","show")</f>
        <v>show</v>
      </c>
      <c r="E1747" t="str">
        <f>HYPERLINK("https://github.com/square/okhttp","show")</f>
        <v>show</v>
      </c>
      <c r="F1747" t="str">
        <f>HYPERLINK("https://github.com/square/okhttp/releases","show")</f>
        <v>show</v>
      </c>
    </row>
    <row r="1748" spans="1:6">
      <c r="A1748" t="s">
        <v>5240</v>
      </c>
      <c r="B1748" t="s">
        <v>5241</v>
      </c>
      <c r="C1748" t="s">
        <v>5242</v>
      </c>
      <c r="D1748" t="str">
        <f>HYPERLINK("https://github.com/OneBusAway/onebusaway-android/issues/573","show")</f>
        <v>show</v>
      </c>
      <c r="E1748" t="str">
        <f>HYPERLINK("https://github.com/OneBusAway/onebusaway-android","show")</f>
        <v>show</v>
      </c>
      <c r="F1748" t="str">
        <f>HYPERLINK("https://github.com/OneBusAway/onebusaway-android/releases","show")</f>
        <v>show</v>
      </c>
    </row>
    <row r="1749" spans="1:6">
      <c r="A1749" t="s">
        <v>5243</v>
      </c>
      <c r="B1749" t="s">
        <v>5244</v>
      </c>
      <c r="C1749" t="s">
        <v>5245</v>
      </c>
      <c r="D1749" t="str">
        <f>HYPERLINK("https://github.com/syncthing/syncthing-android/issues/690","show")</f>
        <v>show</v>
      </c>
      <c r="E1749" t="str">
        <f>HYPERLINK("https://github.com/syncthing/syncthing-android","show")</f>
        <v>show</v>
      </c>
      <c r="F1749" t="str">
        <f>HYPERLINK("https://github.com/syncthing/syncthing-android/releases","show")</f>
        <v>show</v>
      </c>
    </row>
    <row r="1750" spans="1:6">
      <c r="A1750" t="s">
        <v>5246</v>
      </c>
      <c r="B1750" t="s">
        <v>5247</v>
      </c>
      <c r="C1750" t="s">
        <v>5248</v>
      </c>
      <c r="D1750" t="str">
        <f>HYPERLINK("https://github.com/OneBusAway/onebusaway-android/issues/574","show")</f>
        <v>show</v>
      </c>
      <c r="E1750" t="str">
        <f>HYPERLINK("https://github.com/OneBusAway/onebusaway-android","show")</f>
        <v>show</v>
      </c>
      <c r="F1750" t="str">
        <f>HYPERLINK("https://github.com/OneBusAway/onebusaway-android/releases","show")</f>
        <v>show</v>
      </c>
    </row>
    <row r="1751" spans="1:6">
      <c r="A1751" t="s">
        <v>5249</v>
      </c>
      <c r="B1751" t="s">
        <v>5250</v>
      </c>
      <c r="C1751" t="s">
        <v>5251</v>
      </c>
      <c r="D1751" t="str">
        <f>HYPERLINK("https://github.com/twitter-archive/twitter-kit-android/issues/55","show")</f>
        <v>show</v>
      </c>
      <c r="E1751" t="str">
        <f>HYPERLINK("https://github.com/twitter-archive/twitter-kit-android","show")</f>
        <v>show</v>
      </c>
      <c r="F1751" t="str">
        <f>HYPERLINK("https://github.com/twitter-archive/twitter-kit-android/releases","show")</f>
        <v>show</v>
      </c>
    </row>
    <row r="1752" spans="1:6">
      <c r="A1752" t="s">
        <v>5252</v>
      </c>
      <c r="B1752" t="s">
        <v>5253</v>
      </c>
      <c r="C1752" t="s">
        <v>5254</v>
      </c>
      <c r="D1752" t="str">
        <f>HYPERLINK("https://github.com/bitstadium/HockeySDK-Android/issues/165","show")</f>
        <v>show</v>
      </c>
      <c r="E1752" t="str">
        <f>HYPERLINK("https://github.com/bitstadium/HockeySDK-Android","show")</f>
        <v>show</v>
      </c>
      <c r="F1752" t="str">
        <f>HYPERLINK("https://github.com/bitstadium/HockeySDK-Android/releases","show")</f>
        <v>show</v>
      </c>
    </row>
    <row r="1753" spans="1:6">
      <c r="A1753" t="s">
        <v>5255</v>
      </c>
      <c r="B1753" t="s">
        <v>5256</v>
      </c>
      <c r="C1753" t="s">
        <v>5257</v>
      </c>
      <c r="D1753" t="str">
        <f>HYPERLINK("https://github.com/nextcloud/android/issues/90","show")</f>
        <v>show</v>
      </c>
      <c r="E1753" t="str">
        <f>HYPERLINK("https://github.com/nextcloud/android","show")</f>
        <v>show</v>
      </c>
      <c r="F1753" t="str">
        <f>HYPERLINK("https://github.com/nextcloud/android/releases","show")</f>
        <v>show</v>
      </c>
    </row>
    <row r="1754" spans="1:6">
      <c r="A1754" t="s">
        <v>5258</v>
      </c>
      <c r="B1754" t="s">
        <v>5259</v>
      </c>
      <c r="C1754" t="s">
        <v>5260</v>
      </c>
      <c r="D1754" t="str">
        <f>HYPERLINK("https://github.com/nextcloud/android/issues/88","show")</f>
        <v>show</v>
      </c>
      <c r="E1754" t="str">
        <f>HYPERLINK("https://github.com/nextcloud/android","show")</f>
        <v>show</v>
      </c>
      <c r="F1754" t="str">
        <f>HYPERLINK("https://github.com/nextcloud/android/releases","show")</f>
        <v>show</v>
      </c>
    </row>
    <row r="1755" spans="1:6">
      <c r="A1755" t="s">
        <v>5261</v>
      </c>
      <c r="B1755" t="s">
        <v>5262</v>
      </c>
      <c r="C1755" t="s">
        <v>5263</v>
      </c>
      <c r="D1755" t="str">
        <f>HYPERLINK("https://github.com/jroal/a2dpvolume/issues/216","show")</f>
        <v>show</v>
      </c>
      <c r="E1755" t="str">
        <f>HYPERLINK("https://github.com/jroal/a2dpvolume","show")</f>
        <v>show</v>
      </c>
      <c r="F1755" t="str">
        <f>HYPERLINK("https://github.com/jroal/a2dpvolume/releases","show")</f>
        <v>show</v>
      </c>
    </row>
    <row r="1756" spans="1:6">
      <c r="A1756" t="s">
        <v>5264</v>
      </c>
      <c r="B1756" t="s">
        <v>5265</v>
      </c>
      <c r="C1756" t="s">
        <v>5266</v>
      </c>
      <c r="D1756" t="str">
        <f>HYPERLINK("https://github.com/cgeo/cgeo/issues/5810","show")</f>
        <v>show</v>
      </c>
      <c r="E1756" t="str">
        <f>HYPERLINK("https://github.com/cgeo/cgeo","show")</f>
        <v>show</v>
      </c>
      <c r="F1756" t="str">
        <f>HYPERLINK("https://github.com/cgeo/cgeo/releases","show")</f>
        <v>show</v>
      </c>
    </row>
    <row r="1757" spans="1:6">
      <c r="A1757" t="s">
        <v>5267</v>
      </c>
      <c r="B1757" t="s">
        <v>5268</v>
      </c>
      <c r="C1757" t="s">
        <v>5269</v>
      </c>
      <c r="D1757" t="str">
        <f>HYPERLINK("https://github.com/haiwen/seadroid/issues/550","show")</f>
        <v>show</v>
      </c>
      <c r="E1757" t="str">
        <f>HYPERLINK("https://github.com/haiwen/seadroid","show")</f>
        <v>show</v>
      </c>
      <c r="F1757" t="str">
        <f>HYPERLINK("https://github.com/haiwen/seadroid/releases","show")</f>
        <v>show</v>
      </c>
    </row>
    <row r="1758" spans="1:6">
      <c r="A1758" t="s">
        <v>5270</v>
      </c>
      <c r="B1758" t="s">
        <v>5271</v>
      </c>
      <c r="C1758" t="s">
        <v>5272</v>
      </c>
      <c r="D1758" t="str">
        <f>HYPERLINK("https://github.com/dimagi/commcare-android/issues/1357","show")</f>
        <v>show</v>
      </c>
      <c r="E1758" t="str">
        <f>HYPERLINK("https://github.com/dimagi/commcare-android","show")</f>
        <v>show</v>
      </c>
      <c r="F1758" t="str">
        <f>HYPERLINK("https://github.com/dimagi/commcare-android/releases","show")</f>
        <v>show</v>
      </c>
    </row>
    <row r="1759" spans="1:6">
      <c r="A1759" t="s">
        <v>5273</v>
      </c>
      <c r="B1759" t="s">
        <v>5274</v>
      </c>
      <c r="C1759" t="s">
        <v>5275</v>
      </c>
      <c r="D1759" t="str">
        <f>HYPERLINK("https://github.com/mridul-gupta/RetailerJunction/issues/1","show")</f>
        <v>show</v>
      </c>
      <c r="E1759" t="str">
        <f>HYPERLINK("https://github.com/mridul-gupta/RetailerJunction","show")</f>
        <v>show</v>
      </c>
      <c r="F1759" t="str">
        <f>HYPERLINK("https://github.com/mridul-gupta/RetailerJunction/releases","show")</f>
        <v>show</v>
      </c>
    </row>
    <row r="1760" spans="1:6">
      <c r="A1760" t="s">
        <v>5276</v>
      </c>
      <c r="B1760" t="s">
        <v>5277</v>
      </c>
      <c r="C1760" t="s">
        <v>5278</v>
      </c>
      <c r="D1760" t="str">
        <f>HYPERLINK("https://github.com/Z3r0byte/Magis/issues/18","show")</f>
        <v>show</v>
      </c>
      <c r="E1760" t="str">
        <f>HYPERLINK("https://github.com/Z3r0byte/Magis","show")</f>
        <v>show</v>
      </c>
      <c r="F1760" t="str">
        <f>HYPERLINK("https://github.com/Z3r0byte/Magis/releases","show")</f>
        <v>show</v>
      </c>
    </row>
    <row r="1761" spans="1:6">
      <c r="A1761" t="s">
        <v>5279</v>
      </c>
      <c r="B1761" t="s">
        <v>5280</v>
      </c>
      <c r="C1761" t="s">
        <v>5281</v>
      </c>
      <c r="D1761" t="str">
        <f>HYPERLINK("https://github.com/devadvance/rootcloak/issues/61","show")</f>
        <v>show</v>
      </c>
      <c r="E1761" t="str">
        <f>HYPERLINK("https://github.com/devadvance/rootcloak","show")</f>
        <v>show</v>
      </c>
      <c r="F1761" t="str">
        <f>HYPERLINK("https://github.com/devadvance/rootcloak/releases","show")</f>
        <v>show</v>
      </c>
    </row>
    <row r="1762" spans="1:6">
      <c r="A1762" t="s">
        <v>5282</v>
      </c>
      <c r="B1762" t="s">
        <v>5283</v>
      </c>
      <c r="C1762" t="s">
        <v>5284</v>
      </c>
      <c r="D1762" t="str">
        <f>HYPERLINK("https://github.com/rapidpro/surveyor/issues/9","show")</f>
        <v>show</v>
      </c>
      <c r="E1762" t="str">
        <f>HYPERLINK("https://github.com/rapidpro/surveyor","show")</f>
        <v>show</v>
      </c>
      <c r="F1762" t="str">
        <f>HYPERLINK("https://github.com/rapidpro/surveyor/releases","show")</f>
        <v>show</v>
      </c>
    </row>
    <row r="1763" spans="1:6">
      <c r="A1763" t="s">
        <v>5285</v>
      </c>
      <c r="B1763" t="s">
        <v>5286</v>
      </c>
      <c r="C1763" t="s">
        <v>5287</v>
      </c>
      <c r="D1763" t="str">
        <f>HYPERLINK("https://github.com/rapidpro/surveyor/issues/8","show")</f>
        <v>show</v>
      </c>
      <c r="E1763" t="str">
        <f>HYPERLINK("https://github.com/rapidpro/surveyor","show")</f>
        <v>show</v>
      </c>
      <c r="F1763" t="str">
        <f>HYPERLINK("https://github.com/rapidpro/surveyor/releases","show")</f>
        <v>show</v>
      </c>
    </row>
    <row r="1764" spans="1:6">
      <c r="A1764" t="s">
        <v>5288</v>
      </c>
      <c r="B1764" t="s">
        <v>5271</v>
      </c>
      <c r="C1764" t="s">
        <v>5272</v>
      </c>
      <c r="D1764" t="str">
        <f>HYPERLINK("https://github.com/dimagi/commcare-android/issues/1359","show")</f>
        <v>show</v>
      </c>
      <c r="E1764" t="str">
        <f>HYPERLINK("https://github.com/dimagi/commcare-android","show")</f>
        <v>show</v>
      </c>
      <c r="F1764" t="str">
        <f>HYPERLINK("https://github.com/dimagi/commcare-android/releases","show")</f>
        <v>show</v>
      </c>
    </row>
    <row r="1765" spans="1:6">
      <c r="A1765" t="s">
        <v>5289</v>
      </c>
      <c r="B1765" t="s">
        <v>5290</v>
      </c>
      <c r="C1765" t="s">
        <v>5291</v>
      </c>
      <c r="D1765" t="str">
        <f>HYPERLINK("https://github.com/XspeedPL/XSharedLibrary/issues/1","show")</f>
        <v>show</v>
      </c>
      <c r="E1765" t="str">
        <f>HYPERLINK("https://github.com/XspeedPL/XSharedLibrary","show")</f>
        <v>show</v>
      </c>
      <c r="F1765" t="str">
        <f>HYPERLINK("https://github.com/XspeedPL/XSharedLibrary/releases","show")</f>
        <v>show</v>
      </c>
    </row>
    <row r="1766" spans="1:6">
      <c r="A1766" t="s">
        <v>5292</v>
      </c>
      <c r="B1766" t="s">
        <v>5293</v>
      </c>
      <c r="C1766" t="s">
        <v>5294</v>
      </c>
      <c r="D1766" t="str">
        <f>HYPERLINK("https://github.com/dimagi/commcare-android/issues/1358","show")</f>
        <v>show</v>
      </c>
      <c r="E1766" t="str">
        <f>HYPERLINK("https://github.com/dimagi/commcare-android","show")</f>
        <v>show</v>
      </c>
      <c r="F1766" t="str">
        <f>HYPERLINK("https://github.com/dimagi/commcare-android/releases","show")</f>
        <v>show</v>
      </c>
    </row>
    <row r="1767" spans="1:6">
      <c r="A1767" t="s">
        <v>5295</v>
      </c>
      <c r="B1767" t="s">
        <v>5296</v>
      </c>
      <c r="C1767" t="s">
        <v>5297</v>
      </c>
      <c r="D1767" t="str">
        <f>HYPERLINK("https://github.com/arimorty/floatingsearchview/issues/87","show")</f>
        <v>show</v>
      </c>
      <c r="E1767" t="str">
        <f>HYPERLINK("https://github.com/arimorty/floatingsearchview","show")</f>
        <v>show</v>
      </c>
      <c r="F1767" t="str">
        <f>HYPERLINK("https://github.com/arimorty/floatingsearchview/releases","show")</f>
        <v>show</v>
      </c>
    </row>
    <row r="1768" spans="1:6">
      <c r="A1768" t="s">
        <v>5298</v>
      </c>
      <c r="B1768" t="s">
        <v>5299</v>
      </c>
      <c r="C1768" t="s">
        <v>5300</v>
      </c>
      <c r="D1768" t="str">
        <f>HYPERLINK("https://github.com/moneymanagerex/android-money-manager-ex/issues/856","show")</f>
        <v>show</v>
      </c>
      <c r="E1768" t="str">
        <f>HYPERLINK("https://github.com/moneymanagerex/android-money-manager-ex","show")</f>
        <v>show</v>
      </c>
      <c r="F1768" t="str">
        <f>HYPERLINK("https://github.com/moneymanagerex/android-money-manager-ex/releases","show")</f>
        <v>show</v>
      </c>
    </row>
    <row r="1769" spans="1:6">
      <c r="A1769" t="s">
        <v>5301</v>
      </c>
      <c r="B1769" t="s">
        <v>5302</v>
      </c>
      <c r="C1769" t="s">
        <v>5303</v>
      </c>
      <c r="D1769" t="str">
        <f>HYPERLINK("https://github.com/OneBusAway/onebusaway-android/issues/582","show")</f>
        <v>show</v>
      </c>
      <c r="E1769" t="str">
        <f>HYPERLINK("https://github.com/OneBusAway/onebusaway-android","show")</f>
        <v>show</v>
      </c>
      <c r="F1769" t="str">
        <f>HYPERLINK("https://github.com/OneBusAway/onebusaway-android/releases","show")</f>
        <v>show</v>
      </c>
    </row>
    <row r="1770" spans="1:6">
      <c r="A1770" t="s">
        <v>5304</v>
      </c>
      <c r="B1770" t="s">
        <v>5305</v>
      </c>
      <c r="C1770" t="s">
        <v>5306</v>
      </c>
      <c r="D1770" t="str">
        <f>HYPERLINK("https://github.com/OneBusAway/onebusaway-android/issues/581","show")</f>
        <v>show</v>
      </c>
      <c r="E1770" t="str">
        <f>HYPERLINK("https://github.com/OneBusAway/onebusaway-android","show")</f>
        <v>show</v>
      </c>
      <c r="F1770" t="str">
        <f>HYPERLINK("https://github.com/OneBusAway/onebusaway-android/releases","show")</f>
        <v>show</v>
      </c>
    </row>
    <row r="1771" spans="1:6">
      <c r="A1771" t="s">
        <v>5307</v>
      </c>
      <c r="B1771" t="s">
        <v>5308</v>
      </c>
      <c r="C1771" t="s">
        <v>5309</v>
      </c>
      <c r="D1771" t="str">
        <f>HYPERLINK("https://github.com/OneBusAway/onebusaway-android/issues/580","show")</f>
        <v>show</v>
      </c>
      <c r="E1771" t="str">
        <f>HYPERLINK("https://github.com/OneBusAway/onebusaway-android","show")</f>
        <v>show</v>
      </c>
      <c r="F1771" t="str">
        <f>HYPERLINK("https://github.com/OneBusAway/onebusaway-android/releases","show")</f>
        <v>show</v>
      </c>
    </row>
    <row r="1772" spans="1:6">
      <c r="A1772" t="s">
        <v>5310</v>
      </c>
      <c r="B1772" t="s">
        <v>5311</v>
      </c>
      <c r="C1772" t="s">
        <v>5312</v>
      </c>
      <c r="D1772" t="str">
        <f>HYPERLINK("https://github.com/dimagi/commcare-android/issues/1364","show")</f>
        <v>show</v>
      </c>
      <c r="E1772" t="str">
        <f>HYPERLINK("https://github.com/dimagi/commcare-android","show")</f>
        <v>show</v>
      </c>
      <c r="F1772" t="str">
        <f>HYPERLINK("https://github.com/dimagi/commcare-android/releases","show")</f>
        <v>show</v>
      </c>
    </row>
    <row r="1773" spans="1:6">
      <c r="A1773" t="s">
        <v>5313</v>
      </c>
      <c r="B1773" t="s">
        <v>5314</v>
      </c>
      <c r="C1773" t="s">
        <v>5315</v>
      </c>
      <c r="D1773" t="str">
        <f>HYPERLINK("https://github.com/BrimeNotes/android/issues/23","show")</f>
        <v>show</v>
      </c>
      <c r="E1773" t="str">
        <f>HYPERLINK("https://github.com/BrimeNotes/android","show")</f>
        <v>show</v>
      </c>
      <c r="F1773" t="str">
        <f>HYPERLINK("https://github.com/BrimeNotes/android/releases","show")</f>
        <v>show</v>
      </c>
    </row>
    <row r="1774" spans="1:6">
      <c r="A1774" t="s">
        <v>5316</v>
      </c>
      <c r="B1774" t="s">
        <v>5317</v>
      </c>
      <c r="C1774" t="s">
        <v>5318</v>
      </c>
      <c r="D1774" t="str">
        <f>HYPERLINK("https://github.com/k9mail/k-9/issues/1494","show")</f>
        <v>show</v>
      </c>
      <c r="E1774" t="str">
        <f>HYPERLINK("https://github.com/k9mail/k-9","show")</f>
        <v>show</v>
      </c>
      <c r="F1774" t="str">
        <f>HYPERLINK("https://github.com/k9mail/k-9/releases","show")</f>
        <v>show</v>
      </c>
    </row>
    <row r="1775" spans="1:6">
      <c r="A1775" t="s">
        <v>5319</v>
      </c>
      <c r="B1775" t="s">
        <v>5320</v>
      </c>
      <c r="C1775" t="s">
        <v>5321</v>
      </c>
      <c r="D1775" t="str">
        <f>HYPERLINK("https://github.com/translation-cards/translation-cards/issues/239","show")</f>
        <v>show</v>
      </c>
      <c r="E1775" t="str">
        <f>HYPERLINK("https://github.com/translation-cards/translation-cards","show")</f>
        <v>show</v>
      </c>
      <c r="F1775" t="str">
        <f>HYPERLINK("https://github.com/translation-cards/translation-cards/releases","show")</f>
        <v>show</v>
      </c>
    </row>
    <row r="1776" spans="1:6">
      <c r="A1776" t="s">
        <v>5322</v>
      </c>
      <c r="B1776" t="s">
        <v>5323</v>
      </c>
      <c r="C1776" t="s">
        <v>5324</v>
      </c>
      <c r="D1776" t="str">
        <f>HYPERLINK("https://github.com/EyeSeeTea/malariapp/issues/1112","show")</f>
        <v>show</v>
      </c>
      <c r="E1776" t="str">
        <f>HYPERLINK("https://github.com/EyeSeeTea/malariapp","show")</f>
        <v>show</v>
      </c>
      <c r="F1776" t="str">
        <f>HYPERLINK("https://github.com/EyeSeeTea/malariapp/releases","show")</f>
        <v>show</v>
      </c>
    </row>
    <row r="1777" spans="1:6">
      <c r="A1777" t="s">
        <v>5325</v>
      </c>
      <c r="B1777" t="s">
        <v>5326</v>
      </c>
      <c r="C1777" t="s">
        <v>5327</v>
      </c>
      <c r="D1777" t="str">
        <f>HYPERLINK("https://github.com/openbmap/radiocells-nlp-android/issues/25","show")</f>
        <v>show</v>
      </c>
      <c r="E1777" t="str">
        <f>HYPERLINK("https://github.com/openbmap/radiocells-nlp-android","show")</f>
        <v>show</v>
      </c>
      <c r="F1777" t="str">
        <f>HYPERLINK("https://github.com/openbmap/radiocells-nlp-android/releases","show")</f>
        <v>show</v>
      </c>
    </row>
    <row r="1778" spans="1:6">
      <c r="A1778" t="s">
        <v>5328</v>
      </c>
      <c r="B1778" t="s">
        <v>5329</v>
      </c>
      <c r="C1778" t="s">
        <v>5330</v>
      </c>
      <c r="D1778" t="str">
        <f>HYPERLINK("https://github.com/cgeo/cgeo/issues/5818","show")</f>
        <v>show</v>
      </c>
      <c r="E1778" t="str">
        <f>HYPERLINK("https://github.com/cgeo/cgeo","show")</f>
        <v>show</v>
      </c>
      <c r="F1778" t="str">
        <f>HYPERLINK("https://github.com/cgeo/cgeo/releases","show")</f>
        <v>show</v>
      </c>
    </row>
    <row r="1779" spans="1:6">
      <c r="A1779" t="s">
        <v>5331</v>
      </c>
      <c r="B1779" t="s">
        <v>5332</v>
      </c>
      <c r="C1779" t="s">
        <v>5333</v>
      </c>
      <c r="D1779" t="str">
        <f>HYPERLINK("https://github.com/nextcloud/android/issues/117","show")</f>
        <v>show</v>
      </c>
      <c r="E1779" t="str">
        <f>HYPERLINK("https://github.com/nextcloud/android","show")</f>
        <v>show</v>
      </c>
      <c r="F1779" t="str">
        <f>HYPERLINK("https://github.com/nextcloud/android/releases","show")</f>
        <v>show</v>
      </c>
    </row>
    <row r="1780" spans="1:6">
      <c r="A1780" t="s">
        <v>5334</v>
      </c>
      <c r="B1780" t="s">
        <v>5335</v>
      </c>
      <c r="C1780" t="s">
        <v>5336</v>
      </c>
      <c r="D1780" t="str">
        <f>HYPERLINK("https://github.com/redsolution/xabber-android/issues/658","show")</f>
        <v>show</v>
      </c>
      <c r="E1780" t="str">
        <f>HYPERLINK("https://github.com/redsolution/xabber-android","show")</f>
        <v>show</v>
      </c>
      <c r="F1780" t="str">
        <f>HYPERLINK("https://github.com/redsolution/xabber-android/releases","show")</f>
        <v>show</v>
      </c>
    </row>
    <row r="1781" spans="1:6">
      <c r="A1781" t="s">
        <v>5337</v>
      </c>
      <c r="B1781" t="s">
        <v>5338</v>
      </c>
      <c r="C1781" t="s">
        <v>5339</v>
      </c>
      <c r="D1781" t="str">
        <f>HYPERLINK("https://github.com/BrimeNotes/android/issues/34","show")</f>
        <v>show</v>
      </c>
      <c r="E1781" t="str">
        <f>HYPERLINK("https://github.com/BrimeNotes/android","show")</f>
        <v>show</v>
      </c>
      <c r="F1781" t="str">
        <f>HYPERLINK("https://github.com/BrimeNotes/android/releases","show")</f>
        <v>show</v>
      </c>
    </row>
    <row r="1782" spans="1:6">
      <c r="A1782" t="s">
        <v>5340</v>
      </c>
      <c r="B1782" t="s">
        <v>5341</v>
      </c>
      <c r="C1782" t="s">
        <v>5342</v>
      </c>
      <c r="D1782" t="str">
        <f>HYPERLINK("https://github.com/OneBusAway/onebusaway-android/issues/588","show")</f>
        <v>show</v>
      </c>
      <c r="E1782" t="str">
        <f>HYPERLINK("https://github.com/OneBusAway/onebusaway-android","show")</f>
        <v>show</v>
      </c>
      <c r="F1782" t="str">
        <f>HYPERLINK("https://github.com/OneBusAway/onebusaway-android/releases","show")</f>
        <v>show</v>
      </c>
    </row>
    <row r="1783" spans="1:6">
      <c r="A1783" t="s">
        <v>5343</v>
      </c>
      <c r="B1783" t="s">
        <v>5344</v>
      </c>
      <c r="C1783" t="s">
        <v>5345</v>
      </c>
      <c r="D1783" t="str">
        <f>HYPERLINK("https://github.com/zhuowei/MCPELauncher/issues/1272","show")</f>
        <v>show</v>
      </c>
      <c r="E1783" t="str">
        <f>HYPERLINK("https://github.com/zhuowei/MCPELauncher","show")</f>
        <v>show</v>
      </c>
      <c r="F1783" t="str">
        <f>HYPERLINK("https://github.com/zhuowei/MCPELauncher/releases","show")</f>
        <v>show</v>
      </c>
    </row>
    <row r="1784" spans="1:6">
      <c r="A1784" t="s">
        <v>5346</v>
      </c>
      <c r="B1784" t="s">
        <v>5347</v>
      </c>
      <c r="C1784" t="s">
        <v>5348</v>
      </c>
      <c r="D1784" t="str">
        <f>HYPERLINK("https://github.com/cohenadair/anglers-log/issues/73","show")</f>
        <v>show</v>
      </c>
      <c r="E1784" t="str">
        <f>HYPERLINK("https://github.com/cohenadair/anglers-log","show")</f>
        <v>show</v>
      </c>
      <c r="F1784" t="str">
        <f>HYPERLINK("https://github.com/cohenadair/anglers-log/releases","show")</f>
        <v>show</v>
      </c>
    </row>
    <row r="1785" spans="1:6">
      <c r="A1785" t="s">
        <v>5349</v>
      </c>
      <c r="B1785" t="s">
        <v>5350</v>
      </c>
      <c r="C1785" t="s">
        <v>5351</v>
      </c>
      <c r="D1785" t="str">
        <f>HYPERLINK("https://github.com/mpcjanssen/simpletask-android/issues/476","show")</f>
        <v>show</v>
      </c>
      <c r="E1785" t="str">
        <f>HYPERLINK("https://github.com/mpcjanssen/simpletask-android","show")</f>
        <v>show</v>
      </c>
      <c r="F1785" t="str">
        <f>HYPERLINK("https://github.com/mpcjanssen/simpletask-android/releases","show")</f>
        <v>show</v>
      </c>
    </row>
    <row r="1786" spans="1:6">
      <c r="A1786" t="s">
        <v>5352</v>
      </c>
      <c r="B1786" t="s">
        <v>5353</v>
      </c>
      <c r="C1786" t="s">
        <v>5354</v>
      </c>
      <c r="D1786" t="str">
        <f>HYPERLINK("https://github.com/ZorgeR/datFM/issues/1","show")</f>
        <v>show</v>
      </c>
      <c r="E1786" t="str">
        <f>HYPERLINK("https://github.com/ZorgeR/datFM","show")</f>
        <v>show</v>
      </c>
      <c r="F1786" t="str">
        <f>HYPERLINK("https://github.com/ZorgeR/datFM/releases","show")</f>
        <v>show</v>
      </c>
    </row>
    <row r="1787" spans="1:6">
      <c r="A1787" t="s">
        <v>5355</v>
      </c>
      <c r="B1787" t="s">
        <v>5356</v>
      </c>
      <c r="C1787" t="s">
        <v>5357</v>
      </c>
      <c r="D1787" t="str">
        <f>HYPERLINK("https://github.com/cohenadair/anglers-log/issues/13","show")</f>
        <v>show</v>
      </c>
      <c r="E1787" t="str">
        <f>HYPERLINK("https://github.com/cohenadair/anglers-log","show")</f>
        <v>show</v>
      </c>
      <c r="F1787" t="str">
        <f>HYPERLINK("https://github.com/cohenadair/anglers-log/releases","show")</f>
        <v>show</v>
      </c>
    </row>
    <row r="1788" spans="1:6">
      <c r="A1788" t="s">
        <v>5358</v>
      </c>
      <c r="B1788" t="s">
        <v>5359</v>
      </c>
      <c r="C1788" t="s">
        <v>5360</v>
      </c>
      <c r="D1788" t="str">
        <f>HYPERLINK("https://github.com/cohenadair/anglers-log/issues/11","show")</f>
        <v>show</v>
      </c>
      <c r="E1788" t="str">
        <f>HYPERLINK("https://github.com/cohenadair/anglers-log","show")</f>
        <v>show</v>
      </c>
      <c r="F1788" t="str">
        <f>HYPERLINK("https://github.com/cohenadair/anglers-log/releases","show")</f>
        <v>show</v>
      </c>
    </row>
    <row r="1789" spans="1:6">
      <c r="A1789" t="s">
        <v>5361</v>
      </c>
      <c r="B1789" t="s">
        <v>5362</v>
      </c>
      <c r="C1789" t="s">
        <v>5363</v>
      </c>
      <c r="D1789" t="str">
        <f>HYPERLINK("https://github.com/cohenadair/anglers-log/issues/9","show")</f>
        <v>show</v>
      </c>
      <c r="E1789" t="str">
        <f>HYPERLINK("https://github.com/cohenadair/anglers-log","show")</f>
        <v>show</v>
      </c>
      <c r="F1789" t="str">
        <f>HYPERLINK("https://github.com/cohenadair/anglers-log/releases","show")</f>
        <v>show</v>
      </c>
    </row>
    <row r="1790" spans="1:6">
      <c r="A1790" t="s">
        <v>5364</v>
      </c>
      <c r="B1790" t="s">
        <v>5365</v>
      </c>
      <c r="C1790" t="s">
        <v>5366</v>
      </c>
      <c r="D1790" t="str">
        <f>HYPERLINK("https://github.com/cohenadair/anglers-log/issues/3","show")</f>
        <v>show</v>
      </c>
      <c r="E1790" t="str">
        <f>HYPERLINK("https://github.com/cohenadair/anglers-log","show")</f>
        <v>show</v>
      </c>
      <c r="F1790" t="str">
        <f>HYPERLINK("https://github.com/cohenadair/anglers-log/releases","show")</f>
        <v>show</v>
      </c>
    </row>
    <row r="1791" spans="1:6">
      <c r="A1791" t="s">
        <v>5367</v>
      </c>
      <c r="B1791" t="s">
        <v>5368</v>
      </c>
      <c r="C1791" t="s">
        <v>5369</v>
      </c>
      <c r="D1791" t="str">
        <f>HYPERLINK("https://github.com/dbaldwin/DronePan-Android/issues/2","show")</f>
        <v>show</v>
      </c>
      <c r="E1791" t="str">
        <f>HYPERLINK("https://github.com/dbaldwin/DronePan-Android","show")</f>
        <v>show</v>
      </c>
      <c r="F1791" t="str">
        <f>HYPERLINK("https://github.com/dbaldwin/DronePan-Android/releases","show")</f>
        <v>show</v>
      </c>
    </row>
    <row r="1792" spans="1:6">
      <c r="A1792" t="s">
        <v>5370</v>
      </c>
      <c r="B1792" t="s">
        <v>5371</v>
      </c>
      <c r="C1792" t="s">
        <v>5372</v>
      </c>
      <c r="D1792" t="str">
        <f>HYPERLINK("https://github.com/OneBusAway/onebusaway-android/issues/594","show")</f>
        <v>show</v>
      </c>
      <c r="E1792" t="str">
        <f>HYPERLINK("https://github.com/OneBusAway/onebusaway-android","show")</f>
        <v>show</v>
      </c>
      <c r="F1792" t="str">
        <f>HYPERLINK("https://github.com/OneBusAway/onebusaway-android/releases","show")</f>
        <v>show</v>
      </c>
    </row>
    <row r="1793" spans="1:6">
      <c r="A1793" t="s">
        <v>5373</v>
      </c>
      <c r="B1793" t="s">
        <v>5374</v>
      </c>
      <c r="C1793" t="s">
        <v>5375</v>
      </c>
      <c r="D1793" t="str">
        <f>HYPERLINK("https://github.com/IvoGoman/Diabetes-App/issues/59","show")</f>
        <v>show</v>
      </c>
      <c r="E1793" t="str">
        <f>HYPERLINK("https://github.com/IvoGoman/Diabetes-App","show")</f>
        <v>show</v>
      </c>
      <c r="F1793" t="str">
        <f>HYPERLINK("https://github.com/IvoGoman/Diabetes-App/releases","show")</f>
        <v>show</v>
      </c>
    </row>
    <row r="1794" spans="1:6">
      <c r="A1794" t="s">
        <v>5376</v>
      </c>
      <c r="B1794" t="s">
        <v>5377</v>
      </c>
      <c r="C1794" t="s">
        <v>5378</v>
      </c>
      <c r="D1794" t="str">
        <f>HYPERLINK("https://github.com/commons-app/apps-android-commons/issues/187","show")</f>
        <v>show</v>
      </c>
      <c r="E1794" t="str">
        <f>HYPERLINK("https://github.com/commons-app/apps-android-commons","show")</f>
        <v>show</v>
      </c>
      <c r="F1794" t="str">
        <f>HYPERLINK("https://github.com/commons-app/apps-android-commons/releases","show")</f>
        <v>show</v>
      </c>
    </row>
    <row r="1795" spans="1:6">
      <c r="A1795" t="s">
        <v>5379</v>
      </c>
      <c r="B1795" t="s">
        <v>5380</v>
      </c>
      <c r="C1795" t="s">
        <v>5381</v>
      </c>
      <c r="D1795" t="str">
        <f>HYPERLINK("https://github.com/couchbaselabs/couchbase-lite-java-forestdb/issues/72","show")</f>
        <v>show</v>
      </c>
      <c r="E1795" t="str">
        <f>HYPERLINK("https://github.com/couchbaselabs/couchbase-lite-java-forestdb","show")</f>
        <v>show</v>
      </c>
      <c r="F1795" t="str">
        <f>HYPERLINK("https://github.com/couchbaselabs/couchbase-lite-java-forestdb/releases","show")</f>
        <v>show</v>
      </c>
    </row>
    <row r="1796" spans="1:6">
      <c r="A1796" t="s">
        <v>5382</v>
      </c>
      <c r="B1796" t="s">
        <v>5383</v>
      </c>
      <c r="C1796" t="s">
        <v>5384</v>
      </c>
      <c r="D1796" t="str">
        <f>HYPERLINK("https://github.com/eclipse/californium/issues/73","show")</f>
        <v>show</v>
      </c>
      <c r="E1796" t="str">
        <f>HYPERLINK("https://github.com/eclipse/californium","show")</f>
        <v>show</v>
      </c>
      <c r="F1796" t="str">
        <f>HYPERLINK("https://github.com/eclipse/californium/releases","show")</f>
        <v>show</v>
      </c>
    </row>
    <row r="1797" spans="1:6">
      <c r="A1797" t="s">
        <v>5385</v>
      </c>
      <c r="B1797" t="s">
        <v>5386</v>
      </c>
      <c r="C1797" t="s">
        <v>5387</v>
      </c>
      <c r="D1797" t="str">
        <f>HYPERLINK("https://github.com/translation-cards/translation-cards/issues/247","show")</f>
        <v>show</v>
      </c>
      <c r="E1797" t="str">
        <f>HYPERLINK("https://github.com/translation-cards/translation-cards","show")</f>
        <v>show</v>
      </c>
      <c r="F1797" t="str">
        <f>HYPERLINK("https://github.com/translation-cards/translation-cards/releases","show")</f>
        <v>show</v>
      </c>
    </row>
    <row r="1798" spans="1:6">
      <c r="A1798" t="s">
        <v>5388</v>
      </c>
      <c r="B1798" t="s">
        <v>5389</v>
      </c>
      <c r="C1798" t="s">
        <v>5390</v>
      </c>
      <c r="D1798" t="str">
        <f>HYPERLINK("https://github.com/Devsoc-BPGC/DoJMA/issues/19","show")</f>
        <v>show</v>
      </c>
      <c r="E1798" t="str">
        <f>HYPERLINK("https://github.com/Devsoc-BPGC/DoJMA","show")</f>
        <v>show</v>
      </c>
      <c r="F1798" t="str">
        <f>HYPERLINK("https://github.com/Devsoc-BPGC/DoJMA/releases","show")</f>
        <v>show</v>
      </c>
    </row>
    <row r="1799" spans="1:6">
      <c r="A1799" t="s">
        <v>5391</v>
      </c>
      <c r="B1799" t="s">
        <v>5392</v>
      </c>
      <c r="C1799" t="s">
        <v>5393</v>
      </c>
      <c r="D1799" t="str">
        <f>HYPERLINK("https://github.com/OneBusAway/onebusaway-android/issues/599","show")</f>
        <v>show</v>
      </c>
      <c r="E1799" t="str">
        <f>HYPERLINK("https://github.com/OneBusAway/onebusaway-android","show")</f>
        <v>show</v>
      </c>
      <c r="F1799" t="str">
        <f>HYPERLINK("https://github.com/OneBusAway/onebusaway-android/releases","show")</f>
        <v>show</v>
      </c>
    </row>
    <row r="1800" spans="1:6">
      <c r="A1800" t="s">
        <v>5394</v>
      </c>
      <c r="B1800" t="s">
        <v>5395</v>
      </c>
      <c r="C1800" t="s">
        <v>5396</v>
      </c>
      <c r="D1800" t="str">
        <f>HYPERLINK("https://github.com/eclipse/paho.mqtt.android/issues/101","show")</f>
        <v>show</v>
      </c>
      <c r="E1800" t="str">
        <f>HYPERLINK("https://github.com/eclipse/paho.mqtt.android","show")</f>
        <v>show</v>
      </c>
      <c r="F1800" t="str">
        <f>HYPERLINK("https://github.com/eclipse/paho.mqtt.android/releases","show")</f>
        <v>show</v>
      </c>
    </row>
    <row r="1801" spans="1:6">
      <c r="A1801" t="s">
        <v>5397</v>
      </c>
      <c r="B1801" t="s">
        <v>5398</v>
      </c>
      <c r="C1801" t="s">
        <v>5399</v>
      </c>
      <c r="D1801" t="str">
        <f>HYPERLINK("https://github.com/gearvrf/GearVRf-Demos/issues/256","show")</f>
        <v>show</v>
      </c>
      <c r="E1801" t="str">
        <f>HYPERLINK("https://github.com/gearvrf/GearVRf-Demos","show")</f>
        <v>show</v>
      </c>
      <c r="F1801" t="str">
        <f>HYPERLINK("https://github.com/gearvrf/GearVRf-Demos/releases","show")</f>
        <v>show</v>
      </c>
    </row>
    <row r="1802" spans="1:6">
      <c r="A1802" t="s">
        <v>5400</v>
      </c>
      <c r="B1802" t="s">
        <v>5401</v>
      </c>
      <c r="C1802" t="s">
        <v>5402</v>
      </c>
      <c r="D1802" t="str">
        <f>HYPERLINK("https://github.com/nextcloud/android/issues/138","show")</f>
        <v>show</v>
      </c>
      <c r="E1802" t="str">
        <f>HYPERLINK("https://github.com/nextcloud/android","show")</f>
        <v>show</v>
      </c>
      <c r="F1802" t="str">
        <f>HYPERLINK("https://github.com/nextcloud/android/releases","show")</f>
        <v>show</v>
      </c>
    </row>
    <row r="1803" spans="1:6">
      <c r="A1803" t="s">
        <v>5403</v>
      </c>
      <c r="B1803" t="s">
        <v>5404</v>
      </c>
      <c r="C1803" t="s">
        <v>5405</v>
      </c>
      <c r="D1803" t="str">
        <f>HYPERLINK("https://github.com/Gericop/Android-Support-Preference-V7-Fix/issues/29","show")</f>
        <v>show</v>
      </c>
      <c r="E1803" t="str">
        <f>HYPERLINK("https://github.com/Gericop/Android-Support-Preference-V7-Fix","show")</f>
        <v>show</v>
      </c>
      <c r="F1803" t="str">
        <f>HYPERLINK("https://github.com/Gericop/Android-Support-Preference-V7-Fix/releases","show")</f>
        <v>show</v>
      </c>
    </row>
    <row r="1804" spans="1:6">
      <c r="A1804" t="s">
        <v>5406</v>
      </c>
      <c r="B1804" t="s">
        <v>5407</v>
      </c>
      <c r="C1804" t="s">
        <v>5408</v>
      </c>
      <c r="D1804" t="str">
        <f>HYPERLINK("https://github.com/h6ah4i/android-tablayouthelper/issues/8","show")</f>
        <v>show</v>
      </c>
      <c r="E1804" t="str">
        <f>HYPERLINK("https://github.com/h6ah4i/android-tablayouthelper","show")</f>
        <v>show</v>
      </c>
      <c r="F1804" t="str">
        <f>HYPERLINK("https://github.com/h6ah4i/android-tablayouthelper/releases","show")</f>
        <v>show</v>
      </c>
    </row>
    <row r="1805" spans="1:6">
      <c r="A1805" t="s">
        <v>5409</v>
      </c>
      <c r="B1805" t="s">
        <v>5410</v>
      </c>
      <c r="C1805" t="s">
        <v>5411</v>
      </c>
      <c r="D1805" t="str">
        <f>HYPERLINK("https://github.com/omkarmoghe/Pokemap/issues/7","show")</f>
        <v>show</v>
      </c>
      <c r="E1805" t="str">
        <f>HYPERLINK("https://github.com/omkarmoghe/Pokemap","show")</f>
        <v>show</v>
      </c>
      <c r="F1805" t="str">
        <f>HYPERLINK("https://github.com/omkarmoghe/Pokemap/releases","show")</f>
        <v>show</v>
      </c>
    </row>
    <row r="1806" spans="1:6">
      <c r="A1806" t="s">
        <v>5412</v>
      </c>
      <c r="B1806" t="s">
        <v>5413</v>
      </c>
      <c r="C1806" t="s">
        <v>5414</v>
      </c>
      <c r="D1806" t="str">
        <f>HYPERLINK("https://github.com/omkarmoghe/Pokemap/issues/1","show")</f>
        <v>show</v>
      </c>
      <c r="E1806" t="str">
        <f>HYPERLINK("https://github.com/omkarmoghe/Pokemap","show")</f>
        <v>show</v>
      </c>
      <c r="F1806" t="str">
        <f>HYPERLINK("https://github.com/omkarmoghe/Pokemap/releases","show")</f>
        <v>show</v>
      </c>
    </row>
    <row r="1807" spans="1:6">
      <c r="A1807" t="s">
        <v>5415</v>
      </c>
      <c r="B1807" t="s">
        <v>5416</v>
      </c>
      <c r="C1807" t="s">
        <v>5417</v>
      </c>
      <c r="D1807" t="str">
        <f>HYPERLINK("https://github.com/commons-app/apps-android-commons/issues/197","show")</f>
        <v>show</v>
      </c>
      <c r="E1807" t="str">
        <f>HYPERLINK("https://github.com/commons-app/apps-android-commons","show")</f>
        <v>show</v>
      </c>
      <c r="F1807" t="str">
        <f>HYPERLINK("https://github.com/commons-app/apps-android-commons/releases","show")</f>
        <v>show</v>
      </c>
    </row>
    <row r="1808" spans="1:6">
      <c r="A1808" t="s">
        <v>5418</v>
      </c>
      <c r="B1808" t="s">
        <v>5419</v>
      </c>
      <c r="C1808" t="s">
        <v>5420</v>
      </c>
      <c r="D1808" t="str">
        <f>HYPERLINK("https://github.com/Devsoc-BPGC/DoJMA/issues/22","show")</f>
        <v>show</v>
      </c>
      <c r="E1808" t="str">
        <f>HYPERLINK("https://github.com/Devsoc-BPGC/DoJMA","show")</f>
        <v>show</v>
      </c>
      <c r="F1808" t="str">
        <f>HYPERLINK("https://github.com/Devsoc-BPGC/DoJMA/releases","show")</f>
        <v>show</v>
      </c>
    </row>
    <row r="1809" spans="1:6">
      <c r="A1809" t="s">
        <v>5421</v>
      </c>
      <c r="B1809" t="s">
        <v>5422</v>
      </c>
      <c r="C1809" t="s">
        <v>5423</v>
      </c>
      <c r="D1809" t="str">
        <f>HYPERLINK("https://github.com/OneBusAway/onebusaway-android/issues/612","show")</f>
        <v>show</v>
      </c>
      <c r="E1809" t="str">
        <f>HYPERLINK("https://github.com/OneBusAway/onebusaway-android","show")</f>
        <v>show</v>
      </c>
      <c r="F1809" t="str">
        <f>HYPERLINK("https://github.com/OneBusAway/onebusaway-android/releases","show")</f>
        <v>show</v>
      </c>
    </row>
    <row r="1810" spans="1:6">
      <c r="A1810" t="s">
        <v>5424</v>
      </c>
      <c r="B1810" t="s">
        <v>5425</v>
      </c>
      <c r="C1810" t="s">
        <v>5426</v>
      </c>
      <c r="D1810" t="str">
        <f>HYPERLINK("https://github.com/cgeo/cgeo/issues/5851","show")</f>
        <v>show</v>
      </c>
      <c r="E1810" t="str">
        <f>HYPERLINK("https://github.com/cgeo/cgeo","show")</f>
        <v>show</v>
      </c>
      <c r="F1810" t="str">
        <f>HYPERLINK("https://github.com/cgeo/cgeo/releases","show")</f>
        <v>show</v>
      </c>
    </row>
    <row r="1811" spans="1:6">
      <c r="A1811" t="s">
        <v>5427</v>
      </c>
      <c r="B1811" t="s">
        <v>5428</v>
      </c>
      <c r="C1811" t="s">
        <v>5429</v>
      </c>
      <c r="D1811" t="str">
        <f>HYPERLINK("https://github.com/ac-pm/Inspeckage/issues/35","show")</f>
        <v>show</v>
      </c>
      <c r="E1811" t="str">
        <f>HYPERLINK("https://github.com/ac-pm/Inspeckage","show")</f>
        <v>show</v>
      </c>
      <c r="F1811" t="str">
        <f>HYPERLINK("https://github.com/ac-pm/Inspeckage/releases","show")</f>
        <v>show</v>
      </c>
    </row>
    <row r="1812" spans="1:6">
      <c r="A1812" t="s">
        <v>5430</v>
      </c>
      <c r="B1812" t="s">
        <v>5431</v>
      </c>
      <c r="C1812" t="s">
        <v>5432</v>
      </c>
      <c r="D1812" t="str">
        <f>HYPERLINK("https://github.com/3meters/patchr-android/issues/242","show")</f>
        <v>show</v>
      </c>
      <c r="E1812" t="str">
        <f>HYPERLINK("https://github.com/3meters/patchr-android","show")</f>
        <v>show</v>
      </c>
      <c r="F1812" t="str">
        <f>HYPERLINK("https://github.com/3meters/patchr-android/releases","show")</f>
        <v>show</v>
      </c>
    </row>
    <row r="1813" spans="1:6">
      <c r="A1813" t="s">
        <v>5433</v>
      </c>
      <c r="B1813" t="s">
        <v>5434</v>
      </c>
      <c r="C1813" t="s">
        <v>5435</v>
      </c>
      <c r="D1813" t="str">
        <f>HYPERLINK("https://github.com/OneBusAway/onebusaway-android/issues/632","show")</f>
        <v>show</v>
      </c>
      <c r="E1813" t="str">
        <f>HYPERLINK("https://github.com/OneBusAway/onebusaway-android","show")</f>
        <v>show</v>
      </c>
      <c r="F1813" t="str">
        <f>HYPERLINK("https://github.com/OneBusAway/onebusaway-android/releases","show")</f>
        <v>show</v>
      </c>
    </row>
    <row r="1814" spans="1:6">
      <c r="A1814" t="s">
        <v>5436</v>
      </c>
      <c r="B1814" t="s">
        <v>5437</v>
      </c>
      <c r="C1814" t="s">
        <v>5438</v>
      </c>
      <c r="D1814" t="str">
        <f>HYPERLINK("https://github.com/requery/requery/issues/232","show")</f>
        <v>show</v>
      </c>
      <c r="E1814" t="str">
        <f>HYPERLINK("https://github.com/requery/requery","show")</f>
        <v>show</v>
      </c>
      <c r="F1814" t="str">
        <f>HYPERLINK("https://github.com/requery/requery/releases","show")</f>
        <v>show</v>
      </c>
    </row>
    <row r="1815" spans="1:6">
      <c r="A1815" t="s">
        <v>5439</v>
      </c>
      <c r="B1815" t="s">
        <v>5440</v>
      </c>
      <c r="C1815" t="s">
        <v>5441</v>
      </c>
      <c r="D1815" t="str">
        <f>HYPERLINK("https://github.com/omkarmoghe/Pokemap/issues/131","show")</f>
        <v>show</v>
      </c>
      <c r="E1815" t="str">
        <f>HYPERLINK("https://github.com/omkarmoghe/Pokemap","show")</f>
        <v>show</v>
      </c>
      <c r="F1815" t="str">
        <f>HYPERLINK("https://github.com/omkarmoghe/Pokemap/releases","show")</f>
        <v>show</v>
      </c>
    </row>
    <row r="1816" spans="1:6">
      <c r="A1816" t="s">
        <v>5442</v>
      </c>
      <c r="B1816" t="s">
        <v>5443</v>
      </c>
      <c r="C1816" t="s">
        <v>5444</v>
      </c>
      <c r="D1816" t="str">
        <f>HYPERLINK("https://github.com/OneBusAway/onebusaway-android/issues/628","show")</f>
        <v>show</v>
      </c>
      <c r="E1816" t="str">
        <f>HYPERLINK("https://github.com/OneBusAway/onebusaway-android","show")</f>
        <v>show</v>
      </c>
      <c r="F1816" t="str">
        <f>HYPERLINK("https://github.com/OneBusAway/onebusaway-android/releases","show")</f>
        <v>show</v>
      </c>
    </row>
    <row r="1817" spans="1:6">
      <c r="A1817" t="s">
        <v>5445</v>
      </c>
      <c r="B1817" t="s">
        <v>5446</v>
      </c>
      <c r="C1817" t="s">
        <v>5447</v>
      </c>
      <c r="D1817" t="str">
        <f>HYPERLINK("https://github.com/Freeyourgadget/Gadgetbridge/issues/364","show")</f>
        <v>show</v>
      </c>
      <c r="E1817" t="str">
        <f>HYPERLINK("https://github.com/Freeyourgadget/Gadgetbridge","show")</f>
        <v>show</v>
      </c>
      <c r="F1817" t="str">
        <f>HYPERLINK("https://github.com/Freeyourgadget/Gadgetbridge/releases","show")</f>
        <v>show</v>
      </c>
    </row>
    <row r="1818" spans="1:6">
      <c r="A1818" t="s">
        <v>5448</v>
      </c>
      <c r="B1818" t="s">
        <v>5449</v>
      </c>
      <c r="C1818" t="s">
        <v>5450</v>
      </c>
      <c r="D1818" t="str">
        <f>HYPERLINK("https://github.com/marverenic/Jockey/issues/102","show")</f>
        <v>show</v>
      </c>
      <c r="E1818" t="str">
        <f>HYPERLINK("https://github.com/marverenic/Jockey","show")</f>
        <v>show</v>
      </c>
      <c r="F1818" t="str">
        <f>HYPERLINK("https://github.com/marverenic/Jockey/releases","show")</f>
        <v>show</v>
      </c>
    </row>
    <row r="1819" spans="1:6">
      <c r="A1819" t="s">
        <v>5451</v>
      </c>
      <c r="B1819" t="s">
        <v>5452</v>
      </c>
      <c r="C1819" t="s">
        <v>5453</v>
      </c>
      <c r="D1819" t="str">
        <f>HYPERLINK("https://github.com/ludomuse/Ludomuse/issues/19","show")</f>
        <v>show</v>
      </c>
      <c r="E1819" t="str">
        <f>HYPERLINK("https://github.com/ludomuse/Ludomuse","show")</f>
        <v>show</v>
      </c>
      <c r="F1819" t="str">
        <f>HYPERLINK("https://github.com/ludomuse/Ludomuse/releases","show")</f>
        <v>show</v>
      </c>
    </row>
    <row r="1820" spans="1:6">
      <c r="A1820" t="s">
        <v>5454</v>
      </c>
      <c r="B1820" t="s">
        <v>5455</v>
      </c>
      <c r="C1820" t="s">
        <v>5456</v>
      </c>
      <c r="D1820" t="str">
        <f>HYPERLINK("https://github.com/OneBusAway/onebusaway-android/issues/641","show")</f>
        <v>show</v>
      </c>
      <c r="E1820" t="str">
        <f>HYPERLINK("https://github.com/OneBusAway/onebusaway-android","show")</f>
        <v>show</v>
      </c>
      <c r="F1820" t="str">
        <f>HYPERLINK("https://github.com/OneBusAway/onebusaway-android/releases","show")</f>
        <v>show</v>
      </c>
    </row>
    <row r="1821" spans="1:6">
      <c r="A1821" t="s">
        <v>5457</v>
      </c>
      <c r="B1821" t="s">
        <v>5458</v>
      </c>
      <c r="C1821" t="s">
        <v>5459</v>
      </c>
      <c r="D1821" t="str">
        <f>HYPERLINK("https://github.com/OneBusAway/onebusaway-android/issues/640","show")</f>
        <v>show</v>
      </c>
      <c r="E1821" t="str">
        <f>HYPERLINK("https://github.com/OneBusAway/onebusaway-android","show")</f>
        <v>show</v>
      </c>
      <c r="F1821" t="str">
        <f>HYPERLINK("https://github.com/OneBusAway/onebusaway-android/releases","show")</f>
        <v>show</v>
      </c>
    </row>
    <row r="1822" spans="1:6">
      <c r="A1822" t="s">
        <v>5460</v>
      </c>
      <c r="B1822" t="s">
        <v>5461</v>
      </c>
      <c r="C1822" t="s">
        <v>5462</v>
      </c>
      <c r="D1822" t="str">
        <f>HYPERLINK("https://github.com/WycliffeAssociates/translationRecorder/issues/521","show")</f>
        <v>show</v>
      </c>
      <c r="E1822" t="str">
        <f>HYPERLINK("https://github.com/WycliffeAssociates/translationRecorder","show")</f>
        <v>show</v>
      </c>
      <c r="F1822" t="str">
        <f>HYPERLINK("https://github.com/WycliffeAssociates/translationRecorder/releases","show")</f>
        <v>show</v>
      </c>
    </row>
    <row r="1823" spans="1:6">
      <c r="A1823" t="s">
        <v>5463</v>
      </c>
      <c r="B1823" t="s">
        <v>5464</v>
      </c>
      <c r="C1823" t="s">
        <v>5465</v>
      </c>
      <c r="D1823" t="str">
        <f>HYPERLINK("https://github.com/commons-app/apps-android-commons/issues/211","show")</f>
        <v>show</v>
      </c>
      <c r="E1823" t="str">
        <f>HYPERLINK("https://github.com/commons-app/apps-android-commons","show")</f>
        <v>show</v>
      </c>
      <c r="F1823" t="str">
        <f>HYPERLINK("https://github.com/commons-app/apps-android-commons/releases","show")</f>
        <v>show</v>
      </c>
    </row>
    <row r="1824" spans="1:6">
      <c r="A1824" t="s">
        <v>5466</v>
      </c>
      <c r="B1824" t="s">
        <v>5467</v>
      </c>
      <c r="C1824" t="s">
        <v>5468</v>
      </c>
      <c r="D1824" t="str">
        <f>HYPERLINK("https://github.com/aws-amplify/aws-sdk-android/issues/182","show")</f>
        <v>show</v>
      </c>
      <c r="E1824" t="str">
        <f>HYPERLINK("https://github.com/aws-amplify/aws-sdk-android","show")</f>
        <v>show</v>
      </c>
      <c r="F1824" t="str">
        <f>HYPERLINK("https://github.com/aws-amplify/aws-sdk-android/releases","show")</f>
        <v>show</v>
      </c>
    </row>
    <row r="1825" spans="1:6">
      <c r="A1825" t="s">
        <v>5469</v>
      </c>
      <c r="B1825" t="s">
        <v>5470</v>
      </c>
      <c r="C1825" t="s">
        <v>5471</v>
      </c>
      <c r="D1825" t="str">
        <f>HYPERLINK("https://github.com/omkarmoghe/Pokemap/issues/300","show")</f>
        <v>show</v>
      </c>
      <c r="E1825" t="str">
        <f>HYPERLINK("https://github.com/omkarmoghe/Pokemap","show")</f>
        <v>show</v>
      </c>
      <c r="F1825" t="str">
        <f>HYPERLINK("https://github.com/omkarmoghe/Pokemap/releases","show")</f>
        <v>show</v>
      </c>
    </row>
    <row r="1826" spans="1:6">
      <c r="A1826" t="s">
        <v>5472</v>
      </c>
      <c r="B1826" t="s">
        <v>5473</v>
      </c>
      <c r="C1826" t="s">
        <v>5474</v>
      </c>
      <c r="D1826" t="str">
        <f>HYPERLINK("https://github.com/nextcloud/android/issues/176","show")</f>
        <v>show</v>
      </c>
      <c r="E1826" t="str">
        <f>HYPERLINK("https://github.com/nextcloud/android","show")</f>
        <v>show</v>
      </c>
      <c r="F1826" t="str">
        <f>HYPERLINK("https://github.com/nextcloud/android/releases","show")</f>
        <v>show</v>
      </c>
    </row>
    <row r="1827" spans="1:6">
      <c r="A1827" t="s">
        <v>5475</v>
      </c>
      <c r="B1827" t="s">
        <v>5476</v>
      </c>
      <c r="C1827" t="s">
        <v>5477</v>
      </c>
      <c r="D1827" t="str">
        <f>HYPERLINK("https://github.com/hesa/tranarappen/issues/104","show")</f>
        <v>show</v>
      </c>
      <c r="E1827" t="str">
        <f>HYPERLINK("https://github.com/hesa/tranarappen","show")</f>
        <v>show</v>
      </c>
      <c r="F1827" t="str">
        <f>HYPERLINK("https://github.com/hesa/tranarappen/releases","show")</f>
        <v>show</v>
      </c>
    </row>
    <row r="1828" spans="1:6">
      <c r="A1828" t="s">
        <v>5478</v>
      </c>
      <c r="B1828" t="s">
        <v>5479</v>
      </c>
      <c r="C1828" t="s">
        <v>5480</v>
      </c>
      <c r="D1828" t="str">
        <f>HYPERLINK("https://github.com/bitstadium/HockeySDK-Android/issues/167","show")</f>
        <v>show</v>
      </c>
      <c r="E1828" t="str">
        <f>HYPERLINK("https://github.com/bitstadium/HockeySDK-Android","show")</f>
        <v>show</v>
      </c>
      <c r="F1828" t="str">
        <f>HYPERLINK("https://github.com/bitstadium/HockeySDK-Android/releases","show")</f>
        <v>show</v>
      </c>
    </row>
    <row r="1829" spans="1:6">
      <c r="A1829" t="s">
        <v>5481</v>
      </c>
      <c r="B1829" t="s">
        <v>5482</v>
      </c>
      <c r="C1829" t="s">
        <v>5483</v>
      </c>
      <c r="D1829" t="str">
        <f>HYPERLINK("https://github.com/QuantumBadger/RedReader/issues/360","show")</f>
        <v>show</v>
      </c>
      <c r="E1829" t="str">
        <f>HYPERLINK("https://github.com/QuantumBadger/RedReader","show")</f>
        <v>show</v>
      </c>
      <c r="F1829" t="str">
        <f>HYPERLINK("https://github.com/QuantumBadger/RedReader/releases","show")</f>
        <v>show</v>
      </c>
    </row>
    <row r="1830" spans="1:6">
      <c r="A1830" t="s">
        <v>5484</v>
      </c>
      <c r="B1830" t="s">
        <v>5485</v>
      </c>
      <c r="C1830" t="s">
        <v>5486</v>
      </c>
      <c r="D1830" t="str">
        <f>HYPERLINK("https://github.com/kartaview/android/issues/10","show")</f>
        <v>show</v>
      </c>
      <c r="E1830" t="str">
        <f>HYPERLINK("https://github.com/kartaview/android","show")</f>
        <v>show</v>
      </c>
      <c r="F1830" t="str">
        <f>HYPERLINK("https://github.com/kartaview/android/releases","show")</f>
        <v>show</v>
      </c>
    </row>
    <row r="1831" spans="1:6">
      <c r="A1831" t="s">
        <v>5487</v>
      </c>
      <c r="B1831" t="s">
        <v>5488</v>
      </c>
      <c r="C1831" t="s">
        <v>5489</v>
      </c>
      <c r="D1831" t="str">
        <f>HYPERLINK("https://github.com/yigit/android-priority-jobqueue/issues/220","show")</f>
        <v>show</v>
      </c>
      <c r="E1831" t="str">
        <f>HYPERLINK("https://github.com/yigit/android-priority-jobqueue","show")</f>
        <v>show</v>
      </c>
      <c r="F1831" t="str">
        <f>HYPERLINK("https://github.com/yigit/android-priority-jobqueue/releases","show")</f>
        <v>show</v>
      </c>
    </row>
    <row r="1832" spans="1:6">
      <c r="A1832" t="s">
        <v>5490</v>
      </c>
      <c r="B1832" t="s">
        <v>5491</v>
      </c>
      <c r="C1832" t="s">
        <v>5492</v>
      </c>
      <c r="D1832" t="str">
        <f>HYPERLINK("https://github.com/kartaview/android/issues/9","show")</f>
        <v>show</v>
      </c>
      <c r="E1832" t="str">
        <f>HYPERLINK("https://github.com/kartaview/android","show")</f>
        <v>show</v>
      </c>
      <c r="F1832" t="str">
        <f>HYPERLINK("https://github.com/kartaview/android/releases","show")</f>
        <v>show</v>
      </c>
    </row>
    <row r="1833" spans="1:6">
      <c r="A1833" t="s">
        <v>5493</v>
      </c>
      <c r="B1833" t="s">
        <v>5494</v>
      </c>
      <c r="C1833" t="s">
        <v>5495</v>
      </c>
      <c r="D1833" t="str">
        <f>HYPERLINK("https://github.com/fenimore/DemocracyDroid/issues/7","show")</f>
        <v>show</v>
      </c>
      <c r="E1833" t="str">
        <f>HYPERLINK("https://github.com/fenimore/DemocracyDroid","show")</f>
        <v>show</v>
      </c>
      <c r="F1833" t="str">
        <f>HYPERLINK("https://github.com/fenimore/DemocracyDroid/releases","show")</f>
        <v>show</v>
      </c>
    </row>
    <row r="1834" spans="1:6">
      <c r="A1834" t="s">
        <v>5496</v>
      </c>
      <c r="B1834" t="s">
        <v>5497</v>
      </c>
      <c r="C1834" t="s">
        <v>5498</v>
      </c>
      <c r="D1834" t="str">
        <f>HYPERLINK("https://github.com/coomar2841/android-multipicker-library/issues/44","show")</f>
        <v>show</v>
      </c>
      <c r="E1834" t="str">
        <f>HYPERLINK("https://github.com/coomar2841/android-multipicker-library","show")</f>
        <v>show</v>
      </c>
      <c r="F1834" t="str">
        <f>HYPERLINK("https://github.com/coomar2841/android-multipicker-library/releases","show")</f>
        <v>show</v>
      </c>
    </row>
    <row r="1835" spans="1:6">
      <c r="A1835" t="s">
        <v>5499</v>
      </c>
      <c r="B1835" t="s">
        <v>5500</v>
      </c>
      <c r="C1835" t="s">
        <v>5501</v>
      </c>
      <c r="D1835" t="str">
        <f>HYPERLINK("https://github.com/gsantner/dandelion/issues/42","show")</f>
        <v>show</v>
      </c>
      <c r="E1835" t="str">
        <f>HYPERLINK("https://github.com/gsantner/dandelion","show")</f>
        <v>show</v>
      </c>
      <c r="F1835" t="str">
        <f>HYPERLINK("https://github.com/gsantner/dandelion/releases","show")</f>
        <v>show</v>
      </c>
    </row>
    <row r="1836" spans="1:6">
      <c r="A1836" t="s">
        <v>5502</v>
      </c>
      <c r="B1836" t="s">
        <v>5503</v>
      </c>
      <c r="C1836" t="s">
        <v>5504</v>
      </c>
      <c r="D1836" t="str">
        <f>HYPERLINK("https://github.com/Beamanator/Ulti-Mate/issues/68","show")</f>
        <v>show</v>
      </c>
      <c r="E1836" t="str">
        <f>HYPERLINK("https://github.com/Beamanator/Ulti-Mate","show")</f>
        <v>show</v>
      </c>
      <c r="F1836" t="str">
        <f>HYPERLINK("https://github.com/Beamanator/Ulti-Mate/releases","show")</f>
        <v>show</v>
      </c>
    </row>
    <row r="1837" spans="1:6">
      <c r="A1837" t="s">
        <v>5505</v>
      </c>
      <c r="B1837" t="s">
        <v>5506</v>
      </c>
      <c r="C1837" t="s">
        <v>5507</v>
      </c>
      <c r="D1837" t="str">
        <f>HYPERLINK("https://github.com/nitaliano/react-native-mapbox-gl/issues/394","show")</f>
        <v>show</v>
      </c>
      <c r="E1837" t="str">
        <f>HYPERLINK("https://github.com/nitaliano/react-native-mapbox-gl","show")</f>
        <v>show</v>
      </c>
      <c r="F1837" t="str">
        <f>HYPERLINK("https://github.com/nitaliano/react-native-mapbox-gl/releases","show")</f>
        <v>show</v>
      </c>
    </row>
    <row r="1838" spans="1:6">
      <c r="A1838" t="s">
        <v>5508</v>
      </c>
      <c r="B1838" t="s">
        <v>5509</v>
      </c>
      <c r="C1838" t="s">
        <v>5510</v>
      </c>
      <c r="D1838" t="str">
        <f>HYPERLINK("https://github.com/tera-insights/2Q2R-android/issues/5","show")</f>
        <v>show</v>
      </c>
      <c r="E1838" t="str">
        <f>HYPERLINK("https://github.com/tera-insights/2Q2R-android","show")</f>
        <v>show</v>
      </c>
      <c r="F1838" t="str">
        <f>HYPERLINK("https://github.com/tera-insights/2Q2R-android/releases","show")</f>
        <v>show</v>
      </c>
    </row>
    <row r="1839" spans="1:6">
      <c r="A1839" t="s">
        <v>5511</v>
      </c>
      <c r="B1839" t="s">
        <v>5512</v>
      </c>
      <c r="C1839" t="s">
        <v>5513</v>
      </c>
      <c r="D1839" t="str">
        <f>HYPERLINK("https://github.com/Dimezis/BlurView/issues/22","show")</f>
        <v>show</v>
      </c>
      <c r="E1839" t="str">
        <f>HYPERLINK("https://github.com/Dimezis/BlurView","show")</f>
        <v>show</v>
      </c>
      <c r="F1839" t="str">
        <f>HYPERLINK("https://github.com/Dimezis/BlurView/releases","show")</f>
        <v>show</v>
      </c>
    </row>
    <row r="1840" spans="1:6">
      <c r="A1840" t="s">
        <v>5514</v>
      </c>
      <c r="B1840" t="s">
        <v>5515</v>
      </c>
      <c r="C1840" t="s">
        <v>5516</v>
      </c>
      <c r="D1840" t="str">
        <f>HYPERLINK("https://github.com/react-native-camera/react-native-camera/issues/357","show")</f>
        <v>show</v>
      </c>
      <c r="E1840" t="str">
        <f>HYPERLINK("https://github.com/react-native-camera/react-native-camera","show")</f>
        <v>show</v>
      </c>
      <c r="F1840" t="str">
        <f>HYPERLINK("https://github.com/react-native-camera/react-native-camera/releases","show")</f>
        <v>show</v>
      </c>
    </row>
    <row r="1841" spans="1:6">
      <c r="A1841" t="s">
        <v>5517</v>
      </c>
      <c r="B1841" t="s">
        <v>5518</v>
      </c>
      <c r="C1841" t="s">
        <v>5519</v>
      </c>
      <c r="D1841" t="str">
        <f>HYPERLINK("https://github.com/lingochamp/FileDownloader/issues/243","show")</f>
        <v>show</v>
      </c>
      <c r="E1841" t="str">
        <f>HYPERLINK("https://github.com/lingochamp/FileDownloader","show")</f>
        <v>show</v>
      </c>
      <c r="F1841" t="str">
        <f>HYPERLINK("https://github.com/lingochamp/FileDownloader/releases","show")</f>
        <v>show</v>
      </c>
    </row>
    <row r="1842" spans="1:6">
      <c r="A1842" t="s">
        <v>5520</v>
      </c>
      <c r="B1842" t="s">
        <v>5521</v>
      </c>
      <c r="C1842" t="s">
        <v>5522</v>
      </c>
      <c r="D1842" t="str">
        <f>HYPERLINK("https://github.com/OneBusAway/onebusaway-android/issues/649","show")</f>
        <v>show</v>
      </c>
      <c r="E1842" t="str">
        <f>HYPERLINK("https://github.com/OneBusAway/onebusaway-android","show")</f>
        <v>show</v>
      </c>
      <c r="F1842" t="str">
        <f>HYPERLINK("https://github.com/OneBusAway/onebusaway-android/releases","show")</f>
        <v>show</v>
      </c>
    </row>
    <row r="1843" spans="1:6">
      <c r="A1843" t="s">
        <v>5523</v>
      </c>
      <c r="B1843" t="s">
        <v>5524</v>
      </c>
      <c r="C1843" t="s">
        <v>5525</v>
      </c>
      <c r="D1843" t="str">
        <f>HYPERLINK("https://github.com/3meters/patchr-android/issues/244","show")</f>
        <v>show</v>
      </c>
      <c r="E1843" t="str">
        <f>HYPERLINK("https://github.com/3meters/patchr-android","show")</f>
        <v>show</v>
      </c>
      <c r="F1843" t="str">
        <f>HYPERLINK("https://github.com/3meters/patchr-android/releases","show")</f>
        <v>show</v>
      </c>
    </row>
    <row r="1844" spans="1:6">
      <c r="A1844" t="s">
        <v>5526</v>
      </c>
      <c r="B1844" t="s">
        <v>5527</v>
      </c>
      <c r="C1844" t="s">
        <v>5528</v>
      </c>
      <c r="D1844" t="str">
        <f>HYPERLINK("https://github.com/mozilla-magnet/magnet-client/issues/200","show")</f>
        <v>show</v>
      </c>
      <c r="E1844" t="str">
        <f>HYPERLINK("https://github.com/mozilla-magnet/magnet-client","show")</f>
        <v>show</v>
      </c>
      <c r="F1844" t="str">
        <f>HYPERLINK("https://github.com/mozilla-magnet/magnet-client/releases","show")</f>
        <v>show</v>
      </c>
    </row>
    <row r="1845" spans="1:6">
      <c r="A1845" t="s">
        <v>5529</v>
      </c>
      <c r="B1845" t="s">
        <v>5530</v>
      </c>
      <c r="C1845" t="s">
        <v>5531</v>
      </c>
      <c r="D1845" t="str">
        <f>HYPERLINK("https://github.com/Pushjet/Pushjet-Android/issues/9","show")</f>
        <v>show</v>
      </c>
      <c r="E1845" t="str">
        <f>HYPERLINK("https://github.com/Pushjet/Pushjet-Android","show")</f>
        <v>show</v>
      </c>
      <c r="F1845" t="str">
        <f>HYPERLINK("https://github.com/Pushjet/Pushjet-Android/releases","show")</f>
        <v>show</v>
      </c>
    </row>
    <row r="1846" spans="1:6">
      <c r="A1846" t="s">
        <v>5532</v>
      </c>
      <c r="B1846" t="s">
        <v>5533</v>
      </c>
      <c r="C1846" t="s">
        <v>5534</v>
      </c>
      <c r="D1846" t="str">
        <f>HYPERLINK("https://github.com/UWICompSociety/FSTApp/issues/4","show")</f>
        <v>show</v>
      </c>
      <c r="E1846" t="str">
        <f>HYPERLINK("https://github.com/UWICompSociety/FSTApp","show")</f>
        <v>show</v>
      </c>
      <c r="F1846" t="str">
        <f>HYPERLINK("https://github.com/UWICompSociety/FSTApp/releases","show")</f>
        <v>show</v>
      </c>
    </row>
    <row r="1847" spans="1:6">
      <c r="A1847" t="s">
        <v>5535</v>
      </c>
      <c r="B1847" t="s">
        <v>5536</v>
      </c>
      <c r="C1847" t="s">
        <v>5537</v>
      </c>
      <c r="D1847" t="str">
        <f>HYPERLINK("https://github.com/UWICompSociety/FSTApp/issues/3","show")</f>
        <v>show</v>
      </c>
      <c r="E1847" t="str">
        <f>HYPERLINK("https://github.com/UWICompSociety/FSTApp","show")</f>
        <v>show</v>
      </c>
      <c r="F1847" t="str">
        <f>HYPERLINK("https://github.com/UWICompSociety/FSTApp/releases","show")</f>
        <v>show</v>
      </c>
    </row>
    <row r="1848" spans="1:6">
      <c r="A1848" t="s">
        <v>5538</v>
      </c>
      <c r="B1848" t="s">
        <v>5539</v>
      </c>
      <c r="C1848" t="s">
        <v>5540</v>
      </c>
      <c r="D1848" t="str">
        <f>HYPERLINK("https://github.com/UWICompSociety/FSTApp/issues/2","show")</f>
        <v>show</v>
      </c>
      <c r="E1848" t="str">
        <f>HYPERLINK("https://github.com/UWICompSociety/FSTApp","show")</f>
        <v>show</v>
      </c>
      <c r="F1848" t="str">
        <f>HYPERLINK("https://github.com/UWICompSociety/FSTApp/releases","show")</f>
        <v>show</v>
      </c>
    </row>
    <row r="1849" spans="1:6">
      <c r="A1849" t="s">
        <v>5541</v>
      </c>
      <c r="B1849" t="s">
        <v>5542</v>
      </c>
      <c r="C1849" t="s">
        <v>5543</v>
      </c>
      <c r="D1849" t="str">
        <f>HYPERLINK("https://github.com/Ereza/CustomActivityOnCrash/issues/26","show")</f>
        <v>show</v>
      </c>
      <c r="E1849" t="str">
        <f>HYPERLINK("https://github.com/Ereza/CustomActivityOnCrash","show")</f>
        <v>show</v>
      </c>
      <c r="F1849" t="str">
        <f>HYPERLINK("https://github.com/Ereza/CustomActivityOnCrash/releases","show")</f>
        <v>show</v>
      </c>
    </row>
    <row r="1850" spans="1:6">
      <c r="A1850" t="s">
        <v>5544</v>
      </c>
      <c r="B1850" t="s">
        <v>5545</v>
      </c>
      <c r="C1850" t="s">
        <v>5546</v>
      </c>
      <c r="D1850" t="str">
        <f>HYPERLINK("https://github.com/google/ExoPlayer/issues/1716","show")</f>
        <v>show</v>
      </c>
      <c r="E1850" t="str">
        <f>HYPERLINK("https://github.com/google/ExoPlayer","show")</f>
        <v>show</v>
      </c>
      <c r="F1850" t="str">
        <f>HYPERLINK("https://github.com/google/ExoPlayer/releases","show")</f>
        <v>show</v>
      </c>
    </row>
    <row r="1851" spans="1:6">
      <c r="A1851" t="s">
        <v>5547</v>
      </c>
      <c r="B1851" t="s">
        <v>5548</v>
      </c>
      <c r="C1851" t="s">
        <v>5549</v>
      </c>
      <c r="D1851" t="str">
        <f>HYPERLINK("https://github.com/ukanth/afwall/issues/555","show")</f>
        <v>show</v>
      </c>
      <c r="E1851" t="str">
        <f>HYPERLINK("https://github.com/ukanth/afwall","show")</f>
        <v>show</v>
      </c>
      <c r="F1851" t="str">
        <f>HYPERLINK("https://github.com/ukanth/afwall/releases","show")</f>
        <v>show</v>
      </c>
    </row>
    <row r="1852" spans="1:6">
      <c r="A1852" t="s">
        <v>5550</v>
      </c>
      <c r="B1852" t="s">
        <v>5551</v>
      </c>
      <c r="C1852" t="s">
        <v>5552</v>
      </c>
      <c r="D1852" t="str">
        <f>HYPERLINK("https://github.com/lgallard/qBittorrent-Controller/issues/101","show")</f>
        <v>show</v>
      </c>
      <c r="E1852" t="str">
        <f>HYPERLINK("https://github.com/lgallard/qBittorrent-Controller","show")</f>
        <v>show</v>
      </c>
      <c r="F1852" t="str">
        <f>HYPERLINK("https://github.com/lgallard/qBittorrent-Controller/releases","show")</f>
        <v>show</v>
      </c>
    </row>
    <row r="1853" spans="1:6">
      <c r="A1853" t="s">
        <v>5553</v>
      </c>
      <c r="B1853" t="s">
        <v>5554</v>
      </c>
      <c r="C1853" t="s">
        <v>5555</v>
      </c>
      <c r="D1853" t="str">
        <f>HYPERLINK("https://github.com/codinguser/gnucash-android/issues/532","show")</f>
        <v>show</v>
      </c>
      <c r="E1853" t="str">
        <f>HYPERLINK("https://github.com/codinguser/gnucash-android","show")</f>
        <v>show</v>
      </c>
      <c r="F1853" t="str">
        <f>HYPERLINK("https://github.com/codinguser/gnucash-android/releases","show")</f>
        <v>show</v>
      </c>
    </row>
    <row r="1854" spans="1:6">
      <c r="A1854" t="s">
        <v>5556</v>
      </c>
      <c r="B1854" t="s">
        <v>5557</v>
      </c>
      <c r="C1854" t="s">
        <v>5558</v>
      </c>
      <c r="D1854" t="str">
        <f>HYPERLINK("https://github.com/translation-cards/translation-cards/issues/278","show")</f>
        <v>show</v>
      </c>
      <c r="E1854" t="str">
        <f>HYPERLINK("https://github.com/translation-cards/translation-cards","show")</f>
        <v>show</v>
      </c>
      <c r="F1854" t="str">
        <f>HYPERLINK("https://github.com/translation-cards/translation-cards/releases","show")</f>
        <v>show</v>
      </c>
    </row>
    <row r="1855" spans="1:6">
      <c r="A1855" t="s">
        <v>5559</v>
      </c>
      <c r="B1855" t="s">
        <v>5560</v>
      </c>
      <c r="C1855" t="s">
        <v>5561</v>
      </c>
      <c r="D1855" t="str">
        <f>HYPERLINK("https://github.com/the-blue-alliance/the-blue-alliance-android/issues/768","show")</f>
        <v>show</v>
      </c>
      <c r="E1855" t="str">
        <f>HYPERLINK("https://github.com/the-blue-alliance/the-blue-alliance-android","show")</f>
        <v>show</v>
      </c>
      <c r="F1855" t="str">
        <f>HYPERLINK("https://github.com/the-blue-alliance/the-blue-alliance-android/releases","show")</f>
        <v>show</v>
      </c>
    </row>
    <row r="1856" spans="1:6">
      <c r="A1856" t="s">
        <v>5562</v>
      </c>
      <c r="B1856" t="s">
        <v>5563</v>
      </c>
      <c r="C1856" t="s">
        <v>5564</v>
      </c>
      <c r="D1856" t="str">
        <f>HYPERLINK("https://github.com/translation-cards/translation-cards/issues/279","show")</f>
        <v>show</v>
      </c>
      <c r="E1856" t="str">
        <f>HYPERLINK("https://github.com/translation-cards/translation-cards","show")</f>
        <v>show</v>
      </c>
      <c r="F1856" t="str">
        <f>HYPERLINK("https://github.com/translation-cards/translation-cards/releases","show")</f>
        <v>show</v>
      </c>
    </row>
    <row r="1857" spans="1:6">
      <c r="A1857" t="s">
        <v>5565</v>
      </c>
      <c r="B1857" t="s">
        <v>5566</v>
      </c>
      <c r="C1857" t="s">
        <v>5567</v>
      </c>
      <c r="D1857" t="str">
        <f>HYPERLINK("https://github.com/vexelon-dot-net/currencybg.app/issues/13","show")</f>
        <v>show</v>
      </c>
      <c r="E1857" t="str">
        <f>HYPERLINK("https://github.com/vexelon-dot-net/currencybg.app","show")</f>
        <v>show</v>
      </c>
      <c r="F1857" t="str">
        <f>HYPERLINK("https://github.com/vexelon-dot-net/currencybg.app/releases","show")</f>
        <v>show</v>
      </c>
    </row>
    <row r="1858" spans="1:6">
      <c r="A1858" t="s">
        <v>5568</v>
      </c>
      <c r="B1858" t="s">
        <v>5569</v>
      </c>
      <c r="C1858" t="s">
        <v>5570</v>
      </c>
      <c r="D1858" t="str">
        <f>HYPERLINK("https://github.com/OneBusAway/onebusaway-android/issues/653","show")</f>
        <v>show</v>
      </c>
      <c r="E1858" t="str">
        <f>HYPERLINK("https://github.com/OneBusAway/onebusaway-android","show")</f>
        <v>show</v>
      </c>
      <c r="F1858" t="str">
        <f>HYPERLINK("https://github.com/OneBusAway/onebusaway-android/releases","show")</f>
        <v>show</v>
      </c>
    </row>
    <row r="1859" spans="1:6">
      <c r="A1859" t="s">
        <v>5571</v>
      </c>
      <c r="B1859" t="s">
        <v>5572</v>
      </c>
      <c r="C1859" t="s">
        <v>5573</v>
      </c>
      <c r="D1859" t="str">
        <f>HYPERLINK("https://github.com/OneBusAway/onebusaway-android/issues/652","show")</f>
        <v>show</v>
      </c>
      <c r="E1859" t="str">
        <f>HYPERLINK("https://github.com/OneBusAway/onebusaway-android","show")</f>
        <v>show</v>
      </c>
      <c r="F1859" t="str">
        <f>HYPERLINK("https://github.com/OneBusAway/onebusaway-android/releases","show")</f>
        <v>show</v>
      </c>
    </row>
    <row r="1860" spans="1:6">
      <c r="A1860" t="s">
        <v>5574</v>
      </c>
      <c r="B1860" t="s">
        <v>5575</v>
      </c>
      <c r="C1860" t="s">
        <v>5576</v>
      </c>
      <c r="D1860" t="str">
        <f>HYPERLINK("https://github.com/nextcloud/android/issues/198","show")</f>
        <v>show</v>
      </c>
      <c r="E1860" t="str">
        <f>HYPERLINK("https://github.com/nextcloud/android","show")</f>
        <v>show</v>
      </c>
      <c r="F1860" t="str">
        <f>HYPERLINK("https://github.com/nextcloud/android/releases","show")</f>
        <v>show</v>
      </c>
    </row>
    <row r="1861" spans="1:6">
      <c r="A1861" t="s">
        <v>5577</v>
      </c>
      <c r="B1861" t="s">
        <v>5578</v>
      </c>
      <c r="C1861" t="s">
        <v>5579</v>
      </c>
      <c r="D1861" t="str">
        <f>HYPERLINK("https://github.com/PhilJay/MPAndroidChart/issues/2115","show")</f>
        <v>show</v>
      </c>
      <c r="E1861" t="str">
        <f>HYPERLINK("https://github.com/PhilJay/MPAndroidChart","show")</f>
        <v>show</v>
      </c>
      <c r="F1861" t="str">
        <f>HYPERLINK("https://github.com/PhilJay/MPAndroidChart/releases","show")</f>
        <v>show</v>
      </c>
    </row>
    <row r="1862" spans="1:6">
      <c r="A1862" t="s">
        <v>5580</v>
      </c>
      <c r="B1862" t="s">
        <v>5581</v>
      </c>
      <c r="C1862" t="s">
        <v>5582</v>
      </c>
      <c r="D1862" t="str">
        <f>HYPERLINK("https://github.com/OpenTreeMap/otm-android/issues/275","show")</f>
        <v>show</v>
      </c>
      <c r="E1862" t="str">
        <f>HYPERLINK("https://github.com/OpenTreeMap/otm-android","show")</f>
        <v>show</v>
      </c>
      <c r="F1862" t="str">
        <f>HYPERLINK("https://github.com/OpenTreeMap/otm-android/releases","show")</f>
        <v>show</v>
      </c>
    </row>
    <row r="1863" spans="1:6">
      <c r="A1863" t="s">
        <v>5583</v>
      </c>
      <c r="B1863" t="s">
        <v>5584</v>
      </c>
      <c r="C1863" t="s">
        <v>5585</v>
      </c>
      <c r="D1863" t="str">
        <f>HYPERLINK("https://github.com/open-keychain/open-keychain/issues/1908","show")</f>
        <v>show</v>
      </c>
      <c r="E1863" t="str">
        <f>HYPERLINK("https://github.com/open-keychain/open-keychain","show")</f>
        <v>show</v>
      </c>
      <c r="F1863" t="str">
        <f>HYPERLINK("https://github.com/open-keychain/open-keychain/releases","show")</f>
        <v>show</v>
      </c>
    </row>
    <row r="1864" spans="1:6">
      <c r="A1864" t="s">
        <v>5586</v>
      </c>
      <c r="B1864" t="s">
        <v>5587</v>
      </c>
      <c r="C1864" t="s">
        <v>5588</v>
      </c>
      <c r="D1864" t="str">
        <f>HYPERLINK("https://github.com/JoaquimLey/avenging/issues/2","show")</f>
        <v>show</v>
      </c>
      <c r="E1864" t="str">
        <f>HYPERLINK("https://github.com/JoaquimLey/avenging","show")</f>
        <v>show</v>
      </c>
      <c r="F1864" t="str">
        <f>HYPERLINK("https://github.com/JoaquimLey/avenging/releases","show")</f>
        <v>show</v>
      </c>
    </row>
    <row r="1865" spans="1:6">
      <c r="A1865" t="s">
        <v>5589</v>
      </c>
      <c r="B1865" t="s">
        <v>5590</v>
      </c>
      <c r="C1865" t="s">
        <v>5591</v>
      </c>
      <c r="D1865" t="str">
        <f>HYPERLINK("https://github.com/JoaquimLey/avenging/issues/1","show")</f>
        <v>show</v>
      </c>
      <c r="E1865" t="str">
        <f>HYPERLINK("https://github.com/JoaquimLey/avenging","show")</f>
        <v>show</v>
      </c>
      <c r="F1865" t="str">
        <f>HYPERLINK("https://github.com/JoaquimLey/avenging/releases","show")</f>
        <v>show</v>
      </c>
    </row>
    <row r="1866" spans="1:6">
      <c r="A1866" t="s">
        <v>5592</v>
      </c>
      <c r="B1866" t="s">
        <v>5593</v>
      </c>
      <c r="C1866" t="s">
        <v>5594</v>
      </c>
      <c r="D1866" t="str">
        <f>HYPERLINK("https://github.com/pedrovgs/EffectiveAndroidUI/issues/23","show")</f>
        <v>show</v>
      </c>
      <c r="E1866" t="str">
        <f>HYPERLINK("https://github.com/pedrovgs/EffectiveAndroidUI","show")</f>
        <v>show</v>
      </c>
      <c r="F1866" t="str">
        <f>HYPERLINK("https://github.com/pedrovgs/EffectiveAndroidUI/releases","show")</f>
        <v>show</v>
      </c>
    </row>
    <row r="1867" spans="1:6">
      <c r="A1867" t="s">
        <v>5595</v>
      </c>
      <c r="B1867" t="s">
        <v>5596</v>
      </c>
      <c r="C1867" t="s">
        <v>5597</v>
      </c>
      <c r="D1867" t="str">
        <f>HYPERLINK("https://github.com/niclabs/adkintunmobile-androidclient/issues/125","show")</f>
        <v>show</v>
      </c>
      <c r="E1867" t="str">
        <f>HYPERLINK("https://github.com/niclabs/adkintunmobile-androidclient","show")</f>
        <v>show</v>
      </c>
      <c r="F1867" t="str">
        <f>HYPERLINK("https://github.com/niclabs/adkintunmobile-androidclient/releases","show")</f>
        <v>show</v>
      </c>
    </row>
    <row r="1868" spans="1:6">
      <c r="A1868" t="s">
        <v>5598</v>
      </c>
      <c r="B1868" t="s">
        <v>5599</v>
      </c>
      <c r="C1868" t="s">
        <v>5600</v>
      </c>
      <c r="D1868" t="str">
        <f>HYPERLINK("https://github.com/davideas/FlexibleAdapter/issues/161","show")</f>
        <v>show</v>
      </c>
      <c r="E1868" t="str">
        <f>HYPERLINK("https://github.com/davideas/FlexibleAdapter","show")</f>
        <v>show</v>
      </c>
      <c r="F1868" t="str">
        <f>HYPERLINK("https://github.com/davideas/FlexibleAdapter/releases","show")</f>
        <v>show</v>
      </c>
    </row>
    <row r="1869" spans="1:6">
      <c r="A1869" t="s">
        <v>5601</v>
      </c>
      <c r="B1869" t="s">
        <v>5602</v>
      </c>
      <c r="C1869" t="s">
        <v>5603</v>
      </c>
      <c r="D1869" t="str">
        <f>HYPERLINK("https://github.com/react-native-camera/react-native-camera/issues/367","show")</f>
        <v>show</v>
      </c>
      <c r="E1869" t="str">
        <f>HYPERLINK("https://github.com/react-native-camera/react-native-camera","show")</f>
        <v>show</v>
      </c>
      <c r="F1869" t="str">
        <f>HYPERLINK("https://github.com/react-native-camera/react-native-camera/releases","show")</f>
        <v>show</v>
      </c>
    </row>
    <row r="1870" spans="1:6">
      <c r="A1870" t="s">
        <v>5604</v>
      </c>
      <c r="B1870" t="s">
        <v>5605</v>
      </c>
      <c r="C1870" t="s">
        <v>5606</v>
      </c>
      <c r="D1870" t="str">
        <f>HYPERLINK("https://github.com/niclabs/adkintunmobile-androidclient/issues/126","show")</f>
        <v>show</v>
      </c>
      <c r="E1870" t="str">
        <f>HYPERLINK("https://github.com/niclabs/adkintunmobile-androidclient","show")</f>
        <v>show</v>
      </c>
      <c r="F1870" t="str">
        <f>HYPERLINK("https://github.com/niclabs/adkintunmobile-androidclient/releases","show")</f>
        <v>show</v>
      </c>
    </row>
    <row r="1871" spans="1:6">
      <c r="A1871" t="s">
        <v>5607</v>
      </c>
      <c r="B1871" t="s">
        <v>5608</v>
      </c>
      <c r="C1871" t="s">
        <v>5609</v>
      </c>
      <c r="D1871" t="str">
        <f>HYPERLINK("https://github.com/kontalk/androidclient/issues/780","show")</f>
        <v>show</v>
      </c>
      <c r="E1871" t="str">
        <f>HYPERLINK("https://github.com/kontalk/androidclient","show")</f>
        <v>show</v>
      </c>
      <c r="F1871" t="str">
        <f>HYPERLINK("https://github.com/kontalk/androidclient/releases","show")</f>
        <v>show</v>
      </c>
    </row>
    <row r="1872" spans="1:6">
      <c r="A1872" t="s">
        <v>5610</v>
      </c>
      <c r="B1872" t="s">
        <v>5611</v>
      </c>
      <c r="C1872" t="s">
        <v>5612</v>
      </c>
      <c r="D1872" t="str">
        <f>HYPERLINK("https://github.com/NemProject/NEMAndroidApp/issues/242","show")</f>
        <v>show</v>
      </c>
      <c r="E1872" t="str">
        <f>HYPERLINK("https://github.com/NemProject/NEMAndroidApp","show")</f>
        <v>show</v>
      </c>
      <c r="F1872" t="str">
        <f>HYPERLINK("https://github.com/NemProject/NEMAndroidApp/releases","show")</f>
        <v>show</v>
      </c>
    </row>
    <row r="1873" spans="1:6">
      <c r="A1873" t="s">
        <v>5613</v>
      </c>
      <c r="B1873" t="s">
        <v>5614</v>
      </c>
      <c r="C1873" t="s">
        <v>5615</v>
      </c>
      <c r="D1873" t="str">
        <f>HYPERLINK("https://github.com/ably/demo-mobile-android/issues/6","show")</f>
        <v>show</v>
      </c>
      <c r="E1873" t="str">
        <f>HYPERLINK("https://github.com/ably/demo-mobile-android","show")</f>
        <v>show</v>
      </c>
      <c r="F1873" t="str">
        <f>HYPERLINK("https://github.com/ably/demo-mobile-android/releases","show")</f>
        <v>show</v>
      </c>
    </row>
    <row r="1874" spans="1:6">
      <c r="A1874" t="s">
        <v>5616</v>
      </c>
      <c r="B1874" t="s">
        <v>5617</v>
      </c>
      <c r="C1874" t="s">
        <v>5618</v>
      </c>
      <c r="D1874" t="str">
        <f>HYPERLINK("https://github.com/k9mail/k-9/issues/1561","show")</f>
        <v>show</v>
      </c>
      <c r="E1874" t="str">
        <f>HYPERLINK("https://github.com/k9mail/k-9","show")</f>
        <v>show</v>
      </c>
      <c r="F1874" t="str">
        <f>HYPERLINK("https://github.com/k9mail/k-9/releases","show")</f>
        <v>show</v>
      </c>
    </row>
    <row r="1875" spans="1:6">
      <c r="A1875" t="s">
        <v>5619</v>
      </c>
      <c r="B1875" t="s">
        <v>5620</v>
      </c>
      <c r="C1875" t="s">
        <v>5621</v>
      </c>
      <c r="D1875" t="str">
        <f>HYPERLINK("https://github.com/ma1co/OpenMemories-Tweak/issues/95","show")</f>
        <v>show</v>
      </c>
      <c r="E1875" t="str">
        <f>HYPERLINK("https://github.com/ma1co/OpenMemories-Tweak","show")</f>
        <v>show</v>
      </c>
      <c r="F1875" t="str">
        <f>HYPERLINK("https://github.com/ma1co/OpenMemories-Tweak/releases","show")</f>
        <v>show</v>
      </c>
    </row>
    <row r="1876" spans="1:6">
      <c r="A1876" t="s">
        <v>5622</v>
      </c>
      <c r="B1876" t="s">
        <v>5623</v>
      </c>
      <c r="C1876" t="s">
        <v>5624</v>
      </c>
      <c r="D1876" t="str">
        <f>HYPERLINK("https://github.com/rosenpin/always-on-amoled/issues/217","show")</f>
        <v>show</v>
      </c>
      <c r="E1876" t="str">
        <f>HYPERLINK("https://github.com/rosenpin/always-on-amoled","show")</f>
        <v>show</v>
      </c>
      <c r="F1876" t="str">
        <f>HYPERLINK("https://github.com/rosenpin/always-on-amoled/releases","show")</f>
        <v>show</v>
      </c>
    </row>
    <row r="1877" spans="1:6">
      <c r="A1877" t="s">
        <v>5625</v>
      </c>
      <c r="B1877" t="s">
        <v>5626</v>
      </c>
      <c r="C1877" t="s">
        <v>5627</v>
      </c>
      <c r="D1877" t="str">
        <f>HYPERLINK("https://github.com/teotigraphix/CausticSDK/issues/86","show")</f>
        <v>show</v>
      </c>
      <c r="E1877" t="str">
        <f>HYPERLINK("https://github.com/teotigraphix/CausticSDK","show")</f>
        <v>show</v>
      </c>
      <c r="F1877" t="str">
        <f>HYPERLINK("https://github.com/teotigraphix/CausticSDK/releases","show")</f>
        <v>show</v>
      </c>
    </row>
    <row r="1878" spans="1:6">
      <c r="A1878" t="s">
        <v>5628</v>
      </c>
      <c r="B1878" t="s">
        <v>5629</v>
      </c>
      <c r="C1878" t="s">
        <v>5630</v>
      </c>
      <c r="D1878" t="str">
        <f>HYPERLINK("https://github.com/barteksc/AndroidPdfViewer/issues/66","show")</f>
        <v>show</v>
      </c>
      <c r="E1878" t="str">
        <f>HYPERLINK("https://github.com/barteksc/AndroidPdfViewer","show")</f>
        <v>show</v>
      </c>
      <c r="F1878" t="str">
        <f>HYPERLINK("https://github.com/barteksc/AndroidPdfViewer/releases","show")</f>
        <v>show</v>
      </c>
    </row>
    <row r="1879" spans="1:6">
      <c r="A1879" t="s">
        <v>5631</v>
      </c>
      <c r="B1879" t="s">
        <v>5632</v>
      </c>
      <c r="C1879" t="s">
        <v>5633</v>
      </c>
      <c r="D1879" t="str">
        <f>HYPERLINK("https://github.com/gsantner/dandelion/issues/52","show")</f>
        <v>show</v>
      </c>
      <c r="E1879" t="str">
        <f>HYPERLINK("https://github.com/gsantner/dandelion","show")</f>
        <v>show</v>
      </c>
      <c r="F1879" t="str">
        <f>HYPERLINK("https://github.com/gsantner/dandelion/releases","show")</f>
        <v>show</v>
      </c>
    </row>
    <row r="1880" spans="1:6">
      <c r="A1880" t="s">
        <v>5634</v>
      </c>
      <c r="B1880" t="s">
        <v>5635</v>
      </c>
      <c r="C1880" t="s">
        <v>5636</v>
      </c>
      <c r="D1880" t="str">
        <f>HYPERLINK("https://github.com/marzika/Snapprefs/issues/155","show")</f>
        <v>show</v>
      </c>
      <c r="E1880" t="str">
        <f>HYPERLINK("https://github.com/marzika/Snapprefs","show")</f>
        <v>show</v>
      </c>
      <c r="F1880" t="str">
        <f>HYPERLINK("https://github.com/marzika/Snapprefs/releases","show")</f>
        <v>show</v>
      </c>
    </row>
    <row r="1881" spans="1:6">
      <c r="A1881" t="s">
        <v>5637</v>
      </c>
      <c r="B1881" t="s">
        <v>5638</v>
      </c>
      <c r="C1881" t="s">
        <v>5639</v>
      </c>
      <c r="D1881" t="str">
        <f>HYPERLINK("https://github.com/OneBusAway/onebusaway-android/issues/669","show")</f>
        <v>show</v>
      </c>
      <c r="E1881" t="str">
        <f>HYPERLINK("https://github.com/OneBusAway/onebusaway-android","show")</f>
        <v>show</v>
      </c>
      <c r="F1881" t="str">
        <f>HYPERLINK("https://github.com/OneBusAway/onebusaway-android/releases","show")</f>
        <v>show</v>
      </c>
    </row>
    <row r="1882" spans="1:6">
      <c r="A1882" t="s">
        <v>5640</v>
      </c>
      <c r="B1882" t="s">
        <v>5641</v>
      </c>
      <c r="C1882" t="s">
        <v>5642</v>
      </c>
      <c r="D1882" t="str">
        <f>HYPERLINK("https://github.com/vector-im/riot-android/issues/387","show")</f>
        <v>show</v>
      </c>
      <c r="E1882" t="str">
        <f>HYPERLINK("https://github.com/vector-im/riot-android","show")</f>
        <v>show</v>
      </c>
      <c r="F1882" t="str">
        <f>HYPERLINK("https://github.com/vector-im/riot-android/releases","show")</f>
        <v>show</v>
      </c>
    </row>
    <row r="1883" spans="1:6">
      <c r="A1883" t="s">
        <v>5643</v>
      </c>
      <c r="B1883" t="s">
        <v>5644</v>
      </c>
      <c r="C1883" t="s">
        <v>5645</v>
      </c>
      <c r="D1883" t="str">
        <f>HYPERLINK("https://github.com/fossasia/phimpme-android/issues/11","show")</f>
        <v>show</v>
      </c>
      <c r="E1883" t="str">
        <f>HYPERLINK("https://github.com/fossasia/phimpme-android","show")</f>
        <v>show</v>
      </c>
      <c r="F1883" t="str">
        <f>HYPERLINK("https://github.com/fossasia/phimpme-android/releases","show")</f>
        <v>show</v>
      </c>
    </row>
    <row r="1884" spans="1:6">
      <c r="A1884" t="s">
        <v>5646</v>
      </c>
      <c r="B1884" t="s">
        <v>5647</v>
      </c>
      <c r="C1884" t="s">
        <v>5648</v>
      </c>
      <c r="D1884" t="str">
        <f>HYPERLINK("https://github.com/anyaudio/anyaudio-android-app/issues/19","show")</f>
        <v>show</v>
      </c>
      <c r="E1884" t="str">
        <f>HYPERLINK("https://github.com/anyaudio/anyaudio-android-app","show")</f>
        <v>show</v>
      </c>
      <c r="F1884" t="str">
        <f>HYPERLINK("https://github.com/anyaudio/anyaudio-android-app/releases","show")</f>
        <v>show</v>
      </c>
    </row>
    <row r="1885" spans="1:6">
      <c r="A1885" t="s">
        <v>5649</v>
      </c>
      <c r="B1885" t="s">
        <v>5650</v>
      </c>
      <c r="C1885" t="s">
        <v>5651</v>
      </c>
      <c r="D1885" t="str">
        <f>HYPERLINK("https://github.com/auth0/Lock.Android/issues/331","show")</f>
        <v>show</v>
      </c>
      <c r="E1885" t="str">
        <f>HYPERLINK("https://github.com/auth0/Lock.Android","show")</f>
        <v>show</v>
      </c>
      <c r="F1885" t="str">
        <f>HYPERLINK("https://github.com/auth0/Lock.Android/releases","show")</f>
        <v>show</v>
      </c>
    </row>
    <row r="1886" spans="1:6">
      <c r="A1886" t="s">
        <v>5652</v>
      </c>
      <c r="B1886" t="s">
        <v>5653</v>
      </c>
      <c r="C1886" t="s">
        <v>5654</v>
      </c>
      <c r="D1886" t="str">
        <f>HYPERLINK("https://github.com/OneBusAway/onebusaway-android/issues/674","show")</f>
        <v>show</v>
      </c>
      <c r="E1886" t="str">
        <f>HYPERLINK("https://github.com/OneBusAway/onebusaway-android","show")</f>
        <v>show</v>
      </c>
      <c r="F1886" t="str">
        <f>HYPERLINK("https://github.com/OneBusAway/onebusaway-android/releases","show")</f>
        <v>show</v>
      </c>
    </row>
    <row r="1887" spans="1:6">
      <c r="A1887" t="s">
        <v>5655</v>
      </c>
      <c r="B1887" t="s">
        <v>5656</v>
      </c>
      <c r="C1887" t="s">
        <v>5657</v>
      </c>
      <c r="D1887" t="str">
        <f>HYPERLINK("https://github.com/OneBusAway/onebusaway-android/issues/673","show")</f>
        <v>show</v>
      </c>
      <c r="E1887" t="str">
        <f>HYPERLINK("https://github.com/OneBusAway/onebusaway-android","show")</f>
        <v>show</v>
      </c>
      <c r="F1887" t="str">
        <f>HYPERLINK("https://github.com/OneBusAway/onebusaway-android/releases","show")</f>
        <v>show</v>
      </c>
    </row>
    <row r="1888" spans="1:6">
      <c r="A1888" t="s">
        <v>5658</v>
      </c>
      <c r="B1888" t="s">
        <v>5659</v>
      </c>
      <c r="C1888" t="s">
        <v>5660</v>
      </c>
      <c r="D1888" t="str">
        <f>HYPERLINK("https://github.com/javiersantos/BottomDialogs/issues/16","show")</f>
        <v>show</v>
      </c>
      <c r="E1888" t="str">
        <f>HYPERLINK("https://github.com/javiersantos/BottomDialogs","show")</f>
        <v>show</v>
      </c>
      <c r="F1888" t="str">
        <f>HYPERLINK("https://github.com/javiersantos/BottomDialogs/releases","show")</f>
        <v>show</v>
      </c>
    </row>
    <row r="1889" spans="1:6">
      <c r="A1889" t="s">
        <v>5661</v>
      </c>
      <c r="B1889" t="s">
        <v>5662</v>
      </c>
      <c r="C1889" t="s">
        <v>5663</v>
      </c>
      <c r="D1889" t="str">
        <f>HYPERLINK("https://github.com/iomodo/Wally/issues/42","show")</f>
        <v>show</v>
      </c>
      <c r="E1889" t="str">
        <f>HYPERLINK("https://github.com/iomodo/Wally","show")</f>
        <v>show</v>
      </c>
      <c r="F1889" t="str">
        <f>HYPERLINK("https://github.com/iomodo/Wally/releases","show")</f>
        <v>show</v>
      </c>
    </row>
    <row r="1890" spans="1:6">
      <c r="A1890" t="s">
        <v>5664</v>
      </c>
      <c r="B1890" t="s">
        <v>5665</v>
      </c>
      <c r="C1890" t="s">
        <v>5666</v>
      </c>
      <c r="D1890" t="str">
        <f>HYPERLINK("https://github.com/yigit/android-priority-jobqueue/issues/233","show")</f>
        <v>show</v>
      </c>
      <c r="E1890" t="str">
        <f>HYPERLINK("https://github.com/yigit/android-priority-jobqueue","show")</f>
        <v>show</v>
      </c>
      <c r="F1890" t="str">
        <f>HYPERLINK("https://github.com/yigit/android-priority-jobqueue/releases","show")</f>
        <v>show</v>
      </c>
    </row>
    <row r="1891" spans="1:6">
      <c r="A1891" t="s">
        <v>5667</v>
      </c>
      <c r="B1891" t="s">
        <v>5668</v>
      </c>
      <c r="C1891" t="s">
        <v>5669</v>
      </c>
      <c r="D1891" t="str">
        <f>HYPERLINK("https://github.com/nextcloud/android/issues/221","show")</f>
        <v>show</v>
      </c>
      <c r="E1891" t="str">
        <f>HYPERLINK("https://github.com/nextcloud/android","show")</f>
        <v>show</v>
      </c>
      <c r="F1891" t="str">
        <f>HYPERLINK("https://github.com/nextcloud/android/releases","show")</f>
        <v>show</v>
      </c>
    </row>
    <row r="1892" spans="1:6">
      <c r="A1892" t="s">
        <v>5670</v>
      </c>
      <c r="B1892" t="s">
        <v>5671</v>
      </c>
      <c r="C1892" t="s">
        <v>5672</v>
      </c>
      <c r="D1892" t="str">
        <f>HYPERLINK("https://github.com/cforlando/PetAdoption-Android/issues/41","show")</f>
        <v>show</v>
      </c>
      <c r="E1892" t="str">
        <f>HYPERLINK("https://github.com/cforlando/PetAdoption-Android","show")</f>
        <v>show</v>
      </c>
      <c r="F1892" t="str">
        <f>HYPERLINK("https://github.com/cforlando/PetAdoption-Android/releases","show")</f>
        <v>show</v>
      </c>
    </row>
    <row r="1893" spans="1:6">
      <c r="A1893" t="s">
        <v>5673</v>
      </c>
      <c r="B1893" t="s">
        <v>5674</v>
      </c>
      <c r="C1893" t="s">
        <v>5675</v>
      </c>
      <c r="D1893" t="str">
        <f>HYPERLINK("https://github.com/longdivision/hex/issues/9","show")</f>
        <v>show</v>
      </c>
      <c r="E1893" t="str">
        <f>HYPERLINK("https://github.com/longdivision/hex","show")</f>
        <v>show</v>
      </c>
      <c r="F1893" t="str">
        <f>HYPERLINK("https://github.com/longdivision/hex/releases","show")</f>
        <v>show</v>
      </c>
    </row>
    <row r="1894" spans="1:6">
      <c r="A1894" t="s">
        <v>5676</v>
      </c>
      <c r="B1894" t="s">
        <v>5677</v>
      </c>
      <c r="C1894" t="s">
        <v>5678</v>
      </c>
      <c r="D1894" t="str">
        <f>HYPERLINK("https://github.com/alibaba/freeline/issues/4","show")</f>
        <v>show</v>
      </c>
      <c r="E1894" t="str">
        <f>HYPERLINK("https://github.com/alibaba/freeline","show")</f>
        <v>show</v>
      </c>
      <c r="F1894" t="str">
        <f>HYPERLINK("https://github.com/alibaba/freeline/releases","show")</f>
        <v>show</v>
      </c>
    </row>
    <row r="1895" spans="1:6">
      <c r="A1895" t="s">
        <v>5679</v>
      </c>
      <c r="B1895" t="s">
        <v>5680</v>
      </c>
      <c r="C1895" t="s">
        <v>5681</v>
      </c>
      <c r="D1895" t="str">
        <f>HYPERLINK("https://github.com/erickok/transdroid/issues/325","show")</f>
        <v>show</v>
      </c>
      <c r="E1895" t="str">
        <f>HYPERLINK("https://github.com/erickok/transdroid","show")</f>
        <v>show</v>
      </c>
      <c r="F1895" t="str">
        <f>HYPERLINK("https://github.com/erickok/transdroid/releases","show")</f>
        <v>show</v>
      </c>
    </row>
    <row r="1896" spans="1:6">
      <c r="A1896" t="s">
        <v>5682</v>
      </c>
      <c r="B1896" t="s">
        <v>3919</v>
      </c>
      <c r="C1896" t="s">
        <v>5683</v>
      </c>
      <c r="D1896" t="str">
        <f>HYPERLINK("https://github.com/clockbyte/admobadapter/issues/20","show")</f>
        <v>show</v>
      </c>
      <c r="E1896" t="str">
        <f>HYPERLINK("https://github.com/clockbyte/admobadapter","show")</f>
        <v>show</v>
      </c>
      <c r="F1896" t="str">
        <f>HYPERLINK("https://github.com/clockbyte/admobadapter/releases","show")</f>
        <v>show</v>
      </c>
    </row>
    <row r="1897" spans="1:6">
      <c r="A1897" t="s">
        <v>5684</v>
      </c>
      <c r="B1897" t="s">
        <v>5685</v>
      </c>
      <c r="C1897" t="s">
        <v>5686</v>
      </c>
      <c r="D1897" t="str">
        <f>HYPERLINK("https://github.com/codinguser/gnucash-android/issues/553","show")</f>
        <v>show</v>
      </c>
      <c r="E1897" t="str">
        <f>HYPERLINK("https://github.com/codinguser/gnucash-android","show")</f>
        <v>show</v>
      </c>
      <c r="F1897" t="str">
        <f>HYPERLINK("https://github.com/codinguser/gnucash-android/releases","show")</f>
        <v>show</v>
      </c>
    </row>
    <row r="1898" spans="1:6">
      <c r="A1898" t="s">
        <v>5687</v>
      </c>
      <c r="B1898" t="s">
        <v>5688</v>
      </c>
      <c r="C1898" t="s">
        <v>5689</v>
      </c>
      <c r="D1898" t="str">
        <f>HYPERLINK("https://github.com/fossasia/phimpme-android/issues/15","show")</f>
        <v>show</v>
      </c>
      <c r="E1898" t="str">
        <f>HYPERLINK("https://github.com/fossasia/phimpme-android","show")</f>
        <v>show</v>
      </c>
      <c r="F1898" t="str">
        <f>HYPERLINK("https://github.com/fossasia/phimpme-android/releases","show")</f>
        <v>show</v>
      </c>
    </row>
    <row r="1899" spans="1:6">
      <c r="A1899" t="s">
        <v>5690</v>
      </c>
      <c r="B1899" t="s">
        <v>5691</v>
      </c>
      <c r="C1899" t="s">
        <v>5692</v>
      </c>
      <c r="D1899" t="str">
        <f>HYPERLINK("https://github.com/fossasia/open-event-droidgen/issues/638","show")</f>
        <v>show</v>
      </c>
      <c r="E1899" t="str">
        <f>HYPERLINK("https://github.com/fossasia/open-event-droidgen","show")</f>
        <v>show</v>
      </c>
      <c r="F1899" t="str">
        <f>HYPERLINK("https://github.com/fossasia/open-event-droidgen/releases","show")</f>
        <v>show</v>
      </c>
    </row>
    <row r="1900" spans="1:6">
      <c r="A1900" t="s">
        <v>5693</v>
      </c>
      <c r="B1900" t="s">
        <v>5694</v>
      </c>
      <c r="C1900" t="s">
        <v>5695</v>
      </c>
      <c r="D1900" t="str">
        <f>HYPERLINK("https://github.com/kentsay/Zurich-Velo-Challenge/issues/35","show")</f>
        <v>show</v>
      </c>
      <c r="E1900" t="str">
        <f>HYPERLINK("https://github.com/kentsay/Zurich-Velo-Challenge","show")</f>
        <v>show</v>
      </c>
      <c r="F1900" t="str">
        <f>HYPERLINK("https://github.com/kentsay/Zurich-Velo-Challenge/releases","show")</f>
        <v>show</v>
      </c>
    </row>
    <row r="1901" spans="1:6">
      <c r="A1901" t="s">
        <v>5696</v>
      </c>
      <c r="B1901" t="s">
        <v>5697</v>
      </c>
      <c r="C1901" t="s">
        <v>5698</v>
      </c>
      <c r="D1901" t="str">
        <f>HYPERLINK("https://github.com/cgeo/cgeo/issues/5919","show")</f>
        <v>show</v>
      </c>
      <c r="E1901" t="str">
        <f>HYPERLINK("https://github.com/cgeo/cgeo","show")</f>
        <v>show</v>
      </c>
      <c r="F1901" t="str">
        <f>HYPERLINK("https://github.com/cgeo/cgeo/releases","show")</f>
        <v>show</v>
      </c>
    </row>
    <row r="1902" spans="1:6">
      <c r="A1902" t="s">
        <v>5699</v>
      </c>
      <c r="B1902" t="s">
        <v>5700</v>
      </c>
      <c r="C1902" t="s">
        <v>5701</v>
      </c>
      <c r="D1902" t="str">
        <f>HYPERLINK("https://github.com/barteksc/AndroidPdfViewer/issues/77","show")</f>
        <v>show</v>
      </c>
      <c r="E1902" t="str">
        <f>HYPERLINK("https://github.com/barteksc/AndroidPdfViewer","show")</f>
        <v>show</v>
      </c>
      <c r="F1902" t="str">
        <f>HYPERLINK("https://github.com/barteksc/AndroidPdfViewer/releases","show")</f>
        <v>show</v>
      </c>
    </row>
    <row r="1903" spans="1:6">
      <c r="A1903" t="s">
        <v>5702</v>
      </c>
      <c r="B1903" t="s">
        <v>5703</v>
      </c>
      <c r="C1903" t="s">
        <v>5704</v>
      </c>
      <c r="D1903" t="str">
        <f>HYPERLINK("https://github.com/farkam135/GoIV/issues/171","show")</f>
        <v>show</v>
      </c>
      <c r="E1903" t="str">
        <f>HYPERLINK("https://github.com/farkam135/GoIV","show")</f>
        <v>show</v>
      </c>
      <c r="F1903" t="str">
        <f>HYPERLINK("https://github.com/farkam135/GoIV/releases","show")</f>
        <v>show</v>
      </c>
    </row>
    <row r="1904" spans="1:6">
      <c r="A1904" t="s">
        <v>5705</v>
      </c>
      <c r="B1904" t="s">
        <v>5706</v>
      </c>
      <c r="C1904" t="s">
        <v>5707</v>
      </c>
      <c r="D1904" t="str">
        <f>HYPERLINK("https://github.com/nbsp-team/MaterialFilePicker/issues/34","show")</f>
        <v>show</v>
      </c>
      <c r="E1904" t="str">
        <f>HYPERLINK("https://github.com/nbsp-team/MaterialFilePicker","show")</f>
        <v>show</v>
      </c>
      <c r="F1904" t="str">
        <f>HYPERLINK("https://github.com/nbsp-team/MaterialFilePicker/releases","show")</f>
        <v>show</v>
      </c>
    </row>
    <row r="1905" spans="1:6">
      <c r="A1905" t="s">
        <v>5708</v>
      </c>
      <c r="B1905" t="s">
        <v>5709</v>
      </c>
      <c r="C1905" t="s">
        <v>5710</v>
      </c>
      <c r="D1905" t="str">
        <f>HYPERLINK("https://github.com/dimagi/commcare-android/issues/1469","show")</f>
        <v>show</v>
      </c>
      <c r="E1905" t="str">
        <f>HYPERLINK("https://github.com/dimagi/commcare-android","show")</f>
        <v>show</v>
      </c>
      <c r="F1905" t="str">
        <f>HYPERLINK("https://github.com/dimagi/commcare-android/releases","show")</f>
        <v>show</v>
      </c>
    </row>
    <row r="1906" spans="1:6">
      <c r="A1906" t="s">
        <v>5711</v>
      </c>
      <c r="B1906" t="s">
        <v>5712</v>
      </c>
      <c r="C1906" t="s">
        <v>5713</v>
      </c>
      <c r="D1906" t="str">
        <f>HYPERLINK("https://github.com/dimagi/commcare-android/issues/1468","show")</f>
        <v>show</v>
      </c>
      <c r="E1906" t="str">
        <f>HYPERLINK("https://github.com/dimagi/commcare-android","show")</f>
        <v>show</v>
      </c>
      <c r="F1906" t="str">
        <f>HYPERLINK("https://github.com/dimagi/commcare-android/releases","show")</f>
        <v>show</v>
      </c>
    </row>
    <row r="1907" spans="1:6">
      <c r="A1907" t="s">
        <v>5714</v>
      </c>
      <c r="B1907" t="s">
        <v>5715</v>
      </c>
      <c r="C1907" t="s">
        <v>5716</v>
      </c>
      <c r="D1907" t="str">
        <f>HYPERLINK("https://github.com/farkam135/GoIV/issues/183","show")</f>
        <v>show</v>
      </c>
      <c r="E1907" t="str">
        <f>HYPERLINK("https://github.com/farkam135/GoIV","show")</f>
        <v>show</v>
      </c>
      <c r="F1907" t="str">
        <f>HYPERLINK("https://github.com/farkam135/GoIV/releases","show")</f>
        <v>show</v>
      </c>
    </row>
    <row r="1908" spans="1:6">
      <c r="A1908" t="s">
        <v>5717</v>
      </c>
      <c r="B1908" t="s">
        <v>5718</v>
      </c>
      <c r="C1908" t="s">
        <v>5719</v>
      </c>
      <c r="D1908" t="str">
        <f>HYPERLINK("https://github.com/ArtiomCX75/WeatherForecast/issues/18","show")</f>
        <v>show</v>
      </c>
      <c r="E1908" t="str">
        <f>HYPERLINK("https://github.com/ArtiomCX75/WeatherForecast","show")</f>
        <v>show</v>
      </c>
      <c r="F1908" t="str">
        <f>HYPERLINK("https://github.com/ArtiomCX75/WeatherForecast/releases","show")</f>
        <v>show</v>
      </c>
    </row>
    <row r="1909" spans="1:6">
      <c r="A1909" t="s">
        <v>5720</v>
      </c>
      <c r="B1909" t="s">
        <v>5721</v>
      </c>
      <c r="C1909" t="s">
        <v>5722</v>
      </c>
      <c r="D1909" t="str">
        <f>HYPERLINK("https://github.com/grpc/grpc-java/issues/2207","show")</f>
        <v>show</v>
      </c>
      <c r="E1909" t="str">
        <f>HYPERLINK("https://github.com/grpc/grpc-java","show")</f>
        <v>show</v>
      </c>
      <c r="F1909" t="str">
        <f>HYPERLINK("https://github.com/grpc/grpc-java/releases","show")</f>
        <v>show</v>
      </c>
    </row>
    <row r="1910" spans="1:6">
      <c r="A1910" t="s">
        <v>5723</v>
      </c>
      <c r="B1910" t="s">
        <v>5724</v>
      </c>
      <c r="C1910" t="s">
        <v>5725</v>
      </c>
      <c r="D1910" t="str">
        <f>HYPERLINK("https://github.com/thaliproject/Thali_CordovaPlugin_BtLibrary/issues/85","show")</f>
        <v>show</v>
      </c>
      <c r="E1910" t="str">
        <f>HYPERLINK("https://github.com/thaliproject/Thali_CordovaPlugin_BtLibrary","show")</f>
        <v>show</v>
      </c>
      <c r="F1910" t="str">
        <f>HYPERLINK("https://github.com/thaliproject/Thali_CordovaPlugin_BtLibrary/releases","show")</f>
        <v>show</v>
      </c>
    </row>
    <row r="1911" spans="1:6">
      <c r="A1911" t="s">
        <v>5726</v>
      </c>
      <c r="B1911" t="s">
        <v>5727</v>
      </c>
      <c r="C1911" t="s">
        <v>5728</v>
      </c>
      <c r="D1911" t="str">
        <f>HYPERLINK("https://github.com/farkam135/GoIV/issues/234","show")</f>
        <v>show</v>
      </c>
      <c r="E1911" t="str">
        <f>HYPERLINK("https://github.com/farkam135/GoIV","show")</f>
        <v>show</v>
      </c>
      <c r="F1911" t="str">
        <f>HYPERLINK("https://github.com/farkam135/GoIV/releases","show")</f>
        <v>show</v>
      </c>
    </row>
    <row r="1912" spans="1:6">
      <c r="A1912" t="s">
        <v>5729</v>
      </c>
      <c r="B1912" t="s">
        <v>5730</v>
      </c>
      <c r="C1912" t="s">
        <v>5731</v>
      </c>
      <c r="D1912" t="str">
        <f>HYPERLINK("https://github.com/fossasia/open-event-droidgen/issues/667","show")</f>
        <v>show</v>
      </c>
      <c r="E1912" t="str">
        <f>HYPERLINK("https://github.com/fossasia/open-event-droidgen","show")</f>
        <v>show</v>
      </c>
      <c r="F1912" t="str">
        <f>HYPERLINK("https://github.com/fossasia/open-event-droidgen/releases","show")</f>
        <v>show</v>
      </c>
    </row>
    <row r="1913" spans="1:6">
      <c r="A1913" t="s">
        <v>5732</v>
      </c>
      <c r="B1913" t="s">
        <v>5733</v>
      </c>
      <c r="C1913" t="s">
        <v>5734</v>
      </c>
      <c r="D1913" t="str">
        <f>HYPERLINK("https://github.com/bgogetap/StickyHeaders/issues/18","show")</f>
        <v>show</v>
      </c>
      <c r="E1913" t="str">
        <f>HYPERLINK("https://github.com/bgogetap/StickyHeaders","show")</f>
        <v>show</v>
      </c>
      <c r="F1913" t="str">
        <f>HYPERLINK("https://github.com/bgogetap/StickyHeaders/releases","show")</f>
        <v>show</v>
      </c>
    </row>
    <row r="1914" spans="1:6">
      <c r="A1914" t="s">
        <v>5735</v>
      </c>
      <c r="B1914" t="s">
        <v>5736</v>
      </c>
      <c r="C1914" t="s">
        <v>5737</v>
      </c>
      <c r="D1914" t="str">
        <f>HYPERLINK("https://github.com/marzika/Snapprefs/issues/185","show")</f>
        <v>show</v>
      </c>
      <c r="E1914" t="str">
        <f>HYPERLINK("https://github.com/marzika/Snapprefs","show")</f>
        <v>show</v>
      </c>
      <c r="F1914" t="str">
        <f>HYPERLINK("https://github.com/marzika/Snapprefs/releases","show")</f>
        <v>show</v>
      </c>
    </row>
    <row r="1915" spans="1:6">
      <c r="A1915" t="s">
        <v>5738</v>
      </c>
      <c r="B1915" t="s">
        <v>5739</v>
      </c>
      <c r="C1915" t="s">
        <v>5740</v>
      </c>
      <c r="D1915" t="str">
        <f>HYPERLINK("https://github.com/SufficientlySecure/document-viewer/issues/203","show")</f>
        <v>show</v>
      </c>
      <c r="E1915" t="str">
        <f>HYPERLINK("https://github.com/SufficientlySecure/document-viewer","show")</f>
        <v>show</v>
      </c>
      <c r="F1915" t="str">
        <f>HYPERLINK("https://github.com/SufficientlySecure/document-viewer/releases","show")</f>
        <v>show</v>
      </c>
    </row>
    <row r="1916" spans="1:6">
      <c r="A1916" t="s">
        <v>5741</v>
      </c>
      <c r="B1916" t="s">
        <v>5742</v>
      </c>
      <c r="C1916" t="s">
        <v>5743</v>
      </c>
      <c r="D1916" t="str">
        <f>HYPERLINK("https://github.com/farkam135/GoIV/issues/256","show")</f>
        <v>show</v>
      </c>
      <c r="E1916" t="str">
        <f>HYPERLINK("https://github.com/farkam135/GoIV","show")</f>
        <v>show</v>
      </c>
      <c r="F1916" t="str">
        <f>HYPERLINK("https://github.com/farkam135/GoIV/releases","show")</f>
        <v>show</v>
      </c>
    </row>
    <row r="1917" spans="1:6">
      <c r="A1917" t="s">
        <v>5744</v>
      </c>
      <c r="B1917" t="s">
        <v>5745</v>
      </c>
      <c r="C1917" t="s">
        <v>5746</v>
      </c>
      <c r="D1917" t="str">
        <f>HYPERLINK("https://github.com/iomodo/Wally/issues/53","show")</f>
        <v>show</v>
      </c>
      <c r="E1917" t="str">
        <f>HYPERLINK("https://github.com/iomodo/Wally","show")</f>
        <v>show</v>
      </c>
      <c r="F1917" t="str">
        <f>HYPERLINK("https://github.com/iomodo/Wally/releases","show")</f>
        <v>show</v>
      </c>
    </row>
    <row r="1918" spans="1:6">
      <c r="A1918" t="s">
        <v>5747</v>
      </c>
      <c r="B1918" t="s">
        <v>5748</v>
      </c>
      <c r="C1918" t="s">
        <v>5749</v>
      </c>
      <c r="D1918" t="str">
        <f>HYPERLINK("https://github.com/ELynx/pokemon-go-xposed-mitm/issues/9","show")</f>
        <v>show</v>
      </c>
      <c r="E1918" t="str">
        <f>HYPERLINK("https://github.com/ELynx/pokemon-go-xposed-mitm","show")</f>
        <v>show</v>
      </c>
      <c r="F1918" t="str">
        <f>HYPERLINK("https://github.com/ELynx/pokemon-go-xposed-mitm/releases","show")</f>
        <v>show</v>
      </c>
    </row>
    <row r="1919" spans="1:6">
      <c r="A1919" t="s">
        <v>5750</v>
      </c>
      <c r="B1919" t="s">
        <v>5751</v>
      </c>
      <c r="C1919" t="s">
        <v>5752</v>
      </c>
      <c r="D1919" t="str">
        <f>HYPERLINK("https://github.com/farkam135/GoIV/issues/284","show")</f>
        <v>show</v>
      </c>
      <c r="E1919" t="str">
        <f>HYPERLINK("https://github.com/farkam135/GoIV","show")</f>
        <v>show</v>
      </c>
      <c r="F1919" t="str">
        <f>HYPERLINK("https://github.com/farkam135/GoIV/releases","show")</f>
        <v>show</v>
      </c>
    </row>
    <row r="1920" spans="1:6">
      <c r="A1920" t="s">
        <v>5753</v>
      </c>
      <c r="B1920" t="s">
        <v>5754</v>
      </c>
      <c r="C1920" t="s">
        <v>5755</v>
      </c>
      <c r="D1920" t="str">
        <f>HYPERLINK("https://github.com/itachi1706/CheesecakeAppUpdater/issues/2","show")</f>
        <v>show</v>
      </c>
      <c r="E1920" t="str">
        <f>HYPERLINK("https://github.com/itachi1706/CheesecakeAppUpdater","show")</f>
        <v>show</v>
      </c>
      <c r="F1920" t="str">
        <f>HYPERLINK("https://github.com/itachi1706/CheesecakeAppUpdater/releases","show")</f>
        <v>show</v>
      </c>
    </row>
    <row r="1921" spans="1:6">
      <c r="A1921" t="s">
        <v>5756</v>
      </c>
      <c r="B1921" t="s">
        <v>5757</v>
      </c>
      <c r="C1921" t="s">
        <v>5758</v>
      </c>
      <c r="D1921" t="str">
        <f>HYPERLINK("https://github.com/TodorGinchev/ThePRECIOUSprojectAPP/issues/3","show")</f>
        <v>show</v>
      </c>
      <c r="E1921" t="str">
        <f>HYPERLINK("https://github.com/TodorGinchev/ThePRECIOUSprojectAPP","show")</f>
        <v>show</v>
      </c>
      <c r="F1921" t="str">
        <f>HYPERLINK("https://github.com/TodorGinchev/ThePRECIOUSprojectAPP/releases","show")</f>
        <v>show</v>
      </c>
    </row>
    <row r="1922" spans="1:6">
      <c r="A1922" t="s">
        <v>5759</v>
      </c>
      <c r="B1922" t="s">
        <v>5760</v>
      </c>
      <c r="C1922" t="s">
        <v>5761</v>
      </c>
      <c r="D1922" t="str">
        <f>HYPERLINK("https://github.com/k9mail/k-9/issues/1583","show")</f>
        <v>show</v>
      </c>
      <c r="E1922" t="str">
        <f>HYPERLINK("https://github.com/k9mail/k-9","show")</f>
        <v>show</v>
      </c>
      <c r="F1922" t="str">
        <f>HYPERLINK("https://github.com/k9mail/k-9/releases","show")</f>
        <v>show</v>
      </c>
    </row>
    <row r="1923" spans="1:6">
      <c r="A1923" t="s">
        <v>5762</v>
      </c>
      <c r="B1923" t="s">
        <v>5763</v>
      </c>
      <c r="C1923" t="s">
        <v>5764</v>
      </c>
      <c r="D1923" t="str">
        <f>HYPERLINK("https://github.com/k9mail/k-9/issues/1582","show")</f>
        <v>show</v>
      </c>
      <c r="E1923" t="str">
        <f>HYPERLINK("https://github.com/k9mail/k-9","show")</f>
        <v>show</v>
      </c>
      <c r="F1923" t="str">
        <f>HYPERLINK("https://github.com/k9mail/k-9/releases","show")</f>
        <v>show</v>
      </c>
    </row>
    <row r="1924" spans="1:6">
      <c r="A1924" t="s">
        <v>5765</v>
      </c>
      <c r="B1924" t="s">
        <v>5766</v>
      </c>
      <c r="C1924" t="s">
        <v>5767</v>
      </c>
      <c r="D1924" t="str">
        <f>HYPERLINK("https://github.com/osmdroid/osmdroid/issues/393","show")</f>
        <v>show</v>
      </c>
      <c r="E1924" t="str">
        <f>HYPERLINK("https://github.com/osmdroid/osmdroid","show")</f>
        <v>show</v>
      </c>
      <c r="F1924" t="str">
        <f>HYPERLINK("https://github.com/osmdroid/osmdroid/releases","show")</f>
        <v>show</v>
      </c>
    </row>
    <row r="1925" spans="1:6">
      <c r="A1925" t="s">
        <v>5768</v>
      </c>
      <c r="B1925" t="s">
        <v>5769</v>
      </c>
      <c r="C1925" t="s">
        <v>5770</v>
      </c>
      <c r="D1925" t="str">
        <f>HYPERLINK("https://github.com/NemProject/NEMAndroidApp/issues/248","show")</f>
        <v>show</v>
      </c>
      <c r="E1925" t="str">
        <f>HYPERLINK("https://github.com/NemProject/NEMAndroidApp","show")</f>
        <v>show</v>
      </c>
      <c r="F1925" t="str">
        <f>HYPERLINK("https://github.com/NemProject/NEMAndroidApp/releases","show")</f>
        <v>show</v>
      </c>
    </row>
    <row r="1926" spans="1:6">
      <c r="A1926" t="s">
        <v>5771</v>
      </c>
      <c r="B1926" t="s">
        <v>5772</v>
      </c>
      <c r="C1926" t="s">
        <v>5773</v>
      </c>
      <c r="D1926" t="str">
        <f>HYPERLINK("https://github.com/square/okhttp/issues/2827","show")</f>
        <v>show</v>
      </c>
      <c r="E1926" t="str">
        <f>HYPERLINK("https://github.com/square/okhttp","show")</f>
        <v>show</v>
      </c>
      <c r="F1926" t="str">
        <f>HYPERLINK("https://github.com/square/okhttp/releases","show")</f>
        <v>show</v>
      </c>
    </row>
    <row r="1927" spans="1:6">
      <c r="A1927" t="s">
        <v>5774</v>
      </c>
      <c r="B1927" t="s">
        <v>5775</v>
      </c>
      <c r="C1927" t="s">
        <v>5776</v>
      </c>
      <c r="D1927" t="str">
        <f>HYPERLINK("https://github.com/stefan-niedermann/nextcloud-notes/issues/130","show")</f>
        <v>show</v>
      </c>
      <c r="E1927" t="str">
        <f>HYPERLINK("https://github.com/stefan-niedermann/nextcloud-notes","show")</f>
        <v>show</v>
      </c>
      <c r="F1927" t="str">
        <f>HYPERLINK("https://github.com/stefan-niedermann/nextcloud-notes/releases","show")</f>
        <v>show</v>
      </c>
    </row>
    <row r="1928" spans="1:6">
      <c r="A1928" t="s">
        <v>5777</v>
      </c>
      <c r="B1928" t="s">
        <v>5778</v>
      </c>
      <c r="C1928" t="s">
        <v>5779</v>
      </c>
      <c r="D1928" t="str">
        <f>HYPERLINK("https://github.com/aws-amplify/aws-sdk-android/issues/191","show")</f>
        <v>show</v>
      </c>
      <c r="E1928" t="str">
        <f>HYPERLINK("https://github.com/aws-amplify/aws-sdk-android","show")</f>
        <v>show</v>
      </c>
      <c r="F1928" t="str">
        <f>HYPERLINK("https://github.com/aws-amplify/aws-sdk-android/releases","show")</f>
        <v>show</v>
      </c>
    </row>
    <row r="1929" spans="1:6">
      <c r="A1929" t="s">
        <v>5780</v>
      </c>
      <c r="B1929" t="s">
        <v>5781</v>
      </c>
      <c r="C1929" t="s">
        <v>5782</v>
      </c>
      <c r="D1929" t="str">
        <f>HYPERLINK("https://github.com/requery/requery/issues/267","show")</f>
        <v>show</v>
      </c>
      <c r="E1929" t="str">
        <f>HYPERLINK("https://github.com/requery/requery","show")</f>
        <v>show</v>
      </c>
      <c r="F1929" t="str">
        <f>HYPERLINK("https://github.com/requery/requery/releases","show")</f>
        <v>show</v>
      </c>
    </row>
    <row r="1930" spans="1:6">
      <c r="A1930" t="s">
        <v>5783</v>
      </c>
      <c r="B1930" t="s">
        <v>5784</v>
      </c>
      <c r="C1930" t="s">
        <v>5785</v>
      </c>
      <c r="D1930" t="str">
        <f>HYPERLINK("https://github.com/farkam135/GoIV/issues/315","show")</f>
        <v>show</v>
      </c>
      <c r="E1930" t="str">
        <f>HYPERLINK("https://github.com/farkam135/GoIV","show")</f>
        <v>show</v>
      </c>
      <c r="F1930" t="str">
        <f>HYPERLINK("https://github.com/farkam135/GoIV/releases","show")</f>
        <v>show</v>
      </c>
    </row>
    <row r="1931" spans="1:6">
      <c r="A1931" t="s">
        <v>5786</v>
      </c>
      <c r="B1931" t="s">
        <v>5787</v>
      </c>
      <c r="C1931" t="s">
        <v>5788</v>
      </c>
      <c r="D1931" t="str">
        <f>HYPERLINK("https://github.com/KeepSafe/ReLinker/issues/27","show")</f>
        <v>show</v>
      </c>
      <c r="E1931" t="str">
        <f>HYPERLINK("https://github.com/KeepSafe/ReLinker","show")</f>
        <v>show</v>
      </c>
      <c r="F1931" t="str">
        <f>HYPERLINK("https://github.com/KeepSafe/ReLinker/releases","show")</f>
        <v>show</v>
      </c>
    </row>
    <row r="1932" spans="1:6">
      <c r="A1932" t="s">
        <v>5789</v>
      </c>
      <c r="B1932" t="s">
        <v>5790</v>
      </c>
      <c r="C1932" t="s">
        <v>5791</v>
      </c>
      <c r="D1932" t="str">
        <f>HYPERLINK("https://github.com/farkam135/GoIV/issues/357","show")</f>
        <v>show</v>
      </c>
      <c r="E1932" t="str">
        <f>HYPERLINK("https://github.com/farkam135/GoIV","show")</f>
        <v>show</v>
      </c>
      <c r="F1932" t="str">
        <f>HYPERLINK("https://github.com/farkam135/GoIV/releases","show")</f>
        <v>show</v>
      </c>
    </row>
    <row r="1933" spans="1:6">
      <c r="A1933" t="s">
        <v>5792</v>
      </c>
      <c r="B1933" t="s">
        <v>5793</v>
      </c>
      <c r="C1933" t="s">
        <v>5794</v>
      </c>
      <c r="D1933" t="str">
        <f>HYPERLINK("https://github.com/hidroh/materialistic/issues/654","show")</f>
        <v>show</v>
      </c>
      <c r="E1933" t="str">
        <f>HYPERLINK("https://github.com/hidroh/materialistic","show")</f>
        <v>show</v>
      </c>
      <c r="F1933" t="str">
        <f>HYPERLINK("https://github.com/hidroh/materialistic/releases","show")</f>
        <v>show</v>
      </c>
    </row>
    <row r="1934" spans="1:6">
      <c r="A1934" t="s">
        <v>5795</v>
      </c>
      <c r="B1934" t="s">
        <v>5796</v>
      </c>
      <c r="C1934" t="s">
        <v>5797</v>
      </c>
      <c r="D1934" t="str">
        <f>HYPERLINK("https://github.com/getodk/collect/issues/188","show")</f>
        <v>show</v>
      </c>
      <c r="E1934" t="str">
        <f t="shared" ref="E1934:E1947" si="18">HYPERLINK("https://github.com/getodk/collect","show")</f>
        <v>show</v>
      </c>
      <c r="F1934" t="str">
        <f t="shared" ref="F1934:F1947" si="19">HYPERLINK("https://github.com/getodk/collect/releases","show")</f>
        <v>show</v>
      </c>
    </row>
    <row r="1935" spans="1:6">
      <c r="A1935" t="s">
        <v>5798</v>
      </c>
      <c r="B1935" t="s">
        <v>5799</v>
      </c>
      <c r="C1935" t="s">
        <v>5800</v>
      </c>
      <c r="D1935" t="str">
        <f>HYPERLINK("https://github.com/getodk/collect/issues/175","show")</f>
        <v>show</v>
      </c>
      <c r="E1935" t="str">
        <f t="shared" si="18"/>
        <v>show</v>
      </c>
      <c r="F1935" t="str">
        <f t="shared" si="19"/>
        <v>show</v>
      </c>
    </row>
    <row r="1936" spans="1:6">
      <c r="A1936" t="s">
        <v>5801</v>
      </c>
      <c r="B1936" t="s">
        <v>5802</v>
      </c>
      <c r="C1936" t="s">
        <v>5803</v>
      </c>
      <c r="D1936" t="str">
        <f>HYPERLINK("https://github.com/getodk/collect/issues/156","show")</f>
        <v>show</v>
      </c>
      <c r="E1936" t="str">
        <f t="shared" si="18"/>
        <v>show</v>
      </c>
      <c r="F1936" t="str">
        <f t="shared" si="19"/>
        <v>show</v>
      </c>
    </row>
    <row r="1937" spans="1:6">
      <c r="A1937" t="s">
        <v>5804</v>
      </c>
      <c r="B1937" t="s">
        <v>5805</v>
      </c>
      <c r="C1937" t="s">
        <v>5806</v>
      </c>
      <c r="D1937" t="str">
        <f>HYPERLINK("https://github.com/getodk/collect/issues/149","show")</f>
        <v>show</v>
      </c>
      <c r="E1937" t="str">
        <f t="shared" si="18"/>
        <v>show</v>
      </c>
      <c r="F1937" t="str">
        <f t="shared" si="19"/>
        <v>show</v>
      </c>
    </row>
    <row r="1938" spans="1:6">
      <c r="A1938" t="s">
        <v>5807</v>
      </c>
      <c r="B1938" t="s">
        <v>5808</v>
      </c>
      <c r="C1938" t="s">
        <v>5809</v>
      </c>
      <c r="D1938" t="str">
        <f>HYPERLINK("https://github.com/getodk/collect/issues/145","show")</f>
        <v>show</v>
      </c>
      <c r="E1938" t="str">
        <f t="shared" si="18"/>
        <v>show</v>
      </c>
      <c r="F1938" t="str">
        <f t="shared" si="19"/>
        <v>show</v>
      </c>
    </row>
    <row r="1939" spans="1:6">
      <c r="A1939" t="s">
        <v>5810</v>
      </c>
      <c r="B1939" t="s">
        <v>5811</v>
      </c>
      <c r="C1939" t="s">
        <v>5812</v>
      </c>
      <c r="D1939" t="str">
        <f>HYPERLINK("https://github.com/getodk/collect/issues/137","show")</f>
        <v>show</v>
      </c>
      <c r="E1939" t="str">
        <f t="shared" si="18"/>
        <v>show</v>
      </c>
      <c r="F1939" t="str">
        <f t="shared" si="19"/>
        <v>show</v>
      </c>
    </row>
    <row r="1940" spans="1:6">
      <c r="A1940" t="s">
        <v>5813</v>
      </c>
      <c r="B1940" t="s">
        <v>5814</v>
      </c>
      <c r="C1940" t="s">
        <v>5815</v>
      </c>
      <c r="D1940" t="str">
        <f>HYPERLINK("https://github.com/getodk/collect/issues/132","show")</f>
        <v>show</v>
      </c>
      <c r="E1940" t="str">
        <f t="shared" si="18"/>
        <v>show</v>
      </c>
      <c r="F1940" t="str">
        <f t="shared" si="19"/>
        <v>show</v>
      </c>
    </row>
    <row r="1941" spans="1:6">
      <c r="A1941" t="s">
        <v>5816</v>
      </c>
      <c r="B1941" t="s">
        <v>5817</v>
      </c>
      <c r="C1941" t="s">
        <v>5818</v>
      </c>
      <c r="D1941" t="str">
        <f>HYPERLINK("https://github.com/getodk/collect/issues/126","show")</f>
        <v>show</v>
      </c>
      <c r="E1941" t="str">
        <f t="shared" si="18"/>
        <v>show</v>
      </c>
      <c r="F1941" t="str">
        <f t="shared" si="19"/>
        <v>show</v>
      </c>
    </row>
    <row r="1942" spans="1:6">
      <c r="A1942" t="s">
        <v>5819</v>
      </c>
      <c r="B1942" t="s">
        <v>5820</v>
      </c>
      <c r="C1942" t="s">
        <v>5821</v>
      </c>
      <c r="D1942" t="str">
        <f>HYPERLINK("https://github.com/getodk/collect/issues/113","show")</f>
        <v>show</v>
      </c>
      <c r="E1942" t="str">
        <f t="shared" si="18"/>
        <v>show</v>
      </c>
      <c r="F1942" t="str">
        <f t="shared" si="19"/>
        <v>show</v>
      </c>
    </row>
    <row r="1943" spans="1:6">
      <c r="A1943" t="s">
        <v>5822</v>
      </c>
      <c r="B1943" t="s">
        <v>5823</v>
      </c>
      <c r="C1943" t="s">
        <v>5824</v>
      </c>
      <c r="D1943" t="str">
        <f>HYPERLINK("https://github.com/getodk/collect/issues/94","show")</f>
        <v>show</v>
      </c>
      <c r="E1943" t="str">
        <f t="shared" si="18"/>
        <v>show</v>
      </c>
      <c r="F1943" t="str">
        <f t="shared" si="19"/>
        <v>show</v>
      </c>
    </row>
    <row r="1944" spans="1:6">
      <c r="A1944" t="s">
        <v>5825</v>
      </c>
      <c r="B1944" t="s">
        <v>5826</v>
      </c>
      <c r="C1944" t="s">
        <v>5827</v>
      </c>
      <c r="D1944" t="str">
        <f>HYPERLINK("https://github.com/getodk/collect/issues/51","show")</f>
        <v>show</v>
      </c>
      <c r="E1944" t="str">
        <f t="shared" si="18"/>
        <v>show</v>
      </c>
      <c r="F1944" t="str">
        <f t="shared" si="19"/>
        <v>show</v>
      </c>
    </row>
    <row r="1945" spans="1:6">
      <c r="A1945" t="s">
        <v>5828</v>
      </c>
      <c r="B1945" t="s">
        <v>5829</v>
      </c>
      <c r="C1945" t="s">
        <v>5830</v>
      </c>
      <c r="D1945" t="str">
        <f>HYPERLINK("https://github.com/getodk/collect/issues/43","show")</f>
        <v>show</v>
      </c>
      <c r="E1945" t="str">
        <f t="shared" si="18"/>
        <v>show</v>
      </c>
      <c r="F1945" t="str">
        <f t="shared" si="19"/>
        <v>show</v>
      </c>
    </row>
    <row r="1946" spans="1:6">
      <c r="A1946" t="s">
        <v>5831</v>
      </c>
      <c r="B1946" t="s">
        <v>5832</v>
      </c>
      <c r="C1946" t="s">
        <v>5833</v>
      </c>
      <c r="D1946" t="str">
        <f>HYPERLINK("https://github.com/getodk/collect/issues/32","show")</f>
        <v>show</v>
      </c>
      <c r="E1946" t="str">
        <f t="shared" si="18"/>
        <v>show</v>
      </c>
      <c r="F1946" t="str">
        <f t="shared" si="19"/>
        <v>show</v>
      </c>
    </row>
    <row r="1947" spans="1:6">
      <c r="A1947" t="s">
        <v>5834</v>
      </c>
      <c r="B1947" t="s">
        <v>5835</v>
      </c>
      <c r="C1947" t="s">
        <v>5836</v>
      </c>
      <c r="D1947" t="str">
        <f>HYPERLINK("https://github.com/getodk/collect/issues/31","show")</f>
        <v>show</v>
      </c>
      <c r="E1947" t="str">
        <f t="shared" si="18"/>
        <v>show</v>
      </c>
      <c r="F1947" t="str">
        <f t="shared" si="19"/>
        <v>show</v>
      </c>
    </row>
    <row r="1948" spans="1:6">
      <c r="A1948" t="s">
        <v>5837</v>
      </c>
      <c r="B1948" t="s">
        <v>5838</v>
      </c>
      <c r="C1948" t="s">
        <v>5839</v>
      </c>
      <c r="D1948" t="str">
        <f>HYPERLINK("https://github.com/Karumi/Dexter/issues/86","show")</f>
        <v>show</v>
      </c>
      <c r="E1948" t="str">
        <f>HYPERLINK("https://github.com/Karumi/Dexter","show")</f>
        <v>show</v>
      </c>
      <c r="F1948" t="str">
        <f>HYPERLINK("https://github.com/Karumi/Dexter/releases","show")</f>
        <v>show</v>
      </c>
    </row>
    <row r="1949" spans="1:6">
      <c r="A1949" t="s">
        <v>5840</v>
      </c>
      <c r="B1949" t="s">
        <v>5841</v>
      </c>
      <c r="C1949" t="s">
        <v>5842</v>
      </c>
      <c r="D1949" t="str">
        <f>HYPERLINK("https://github.com/Gericop/Android-Support-Preference-V7-Fix/issues/44","show")</f>
        <v>show</v>
      </c>
      <c r="E1949" t="str">
        <f>HYPERLINK("https://github.com/Gericop/Android-Support-Preference-V7-Fix","show")</f>
        <v>show</v>
      </c>
      <c r="F1949" t="str">
        <f>HYPERLINK("https://github.com/Gericop/Android-Support-Preference-V7-Fix/releases","show")</f>
        <v>show</v>
      </c>
    </row>
    <row r="1950" spans="1:6">
      <c r="A1950" t="s">
        <v>5843</v>
      </c>
      <c r="B1950" t="s">
        <v>5844</v>
      </c>
      <c r="C1950" t="s">
        <v>5845</v>
      </c>
      <c r="D1950" t="str">
        <f>HYPERLINK("https://github.com/Cloudkibo/Android/issues/183","show")</f>
        <v>show</v>
      </c>
      <c r="E1950" t="str">
        <f>HYPERLINK("https://github.com/Cloudkibo/Android","show")</f>
        <v>show</v>
      </c>
      <c r="F1950" t="str">
        <f>HYPERLINK("https://github.com/Cloudkibo/Android/releases","show")</f>
        <v>show</v>
      </c>
    </row>
    <row r="1951" spans="1:6">
      <c r="A1951" t="s">
        <v>5846</v>
      </c>
      <c r="B1951" t="s">
        <v>5847</v>
      </c>
      <c r="C1951" t="s">
        <v>5848</v>
      </c>
      <c r="D1951" t="str">
        <f>HYPERLINK("https://github.com/OneBusAway/onebusaway-android/issues/683","show")</f>
        <v>show</v>
      </c>
      <c r="E1951" t="str">
        <f>HYPERLINK("https://github.com/OneBusAway/onebusaway-android","show")</f>
        <v>show</v>
      </c>
      <c r="F1951" t="str">
        <f>HYPERLINK("https://github.com/OneBusAway/onebusaway-android/releases","show")</f>
        <v>show</v>
      </c>
    </row>
    <row r="1952" spans="1:6">
      <c r="A1952" t="s">
        <v>5849</v>
      </c>
      <c r="B1952" t="s">
        <v>5850</v>
      </c>
      <c r="C1952" t="s">
        <v>5851</v>
      </c>
      <c r="D1952" t="str">
        <f>HYPERLINK("https://github.com/fossasia/phimpme-android/issues/20","show")</f>
        <v>show</v>
      </c>
      <c r="E1952" t="str">
        <f>HYPERLINK("https://github.com/fossasia/phimpme-android","show")</f>
        <v>show</v>
      </c>
      <c r="F1952" t="str">
        <f>HYPERLINK("https://github.com/fossasia/phimpme-android/releases","show")</f>
        <v>show</v>
      </c>
    </row>
    <row r="1953" spans="1:6">
      <c r="A1953" t="s">
        <v>5852</v>
      </c>
      <c r="B1953" t="s">
        <v>5853</v>
      </c>
      <c r="C1953" t="s">
        <v>5854</v>
      </c>
      <c r="D1953" t="str">
        <f>HYPERLINK("https://github.com/SufficientlySecure/document-viewer/issues/211","show")</f>
        <v>show</v>
      </c>
      <c r="E1953" t="str">
        <f>HYPERLINK("https://github.com/SufficientlySecure/document-viewer","show")</f>
        <v>show</v>
      </c>
      <c r="F1953" t="str">
        <f>HYPERLINK("https://github.com/SufficientlySecure/document-viewer/releases","show")</f>
        <v>show</v>
      </c>
    </row>
    <row r="1954" spans="1:6">
      <c r="A1954" t="s">
        <v>5855</v>
      </c>
      <c r="B1954" t="s">
        <v>5856</v>
      </c>
      <c r="C1954" t="s">
        <v>5857</v>
      </c>
      <c r="D1954" t="str">
        <f>HYPERLINK("https://github.com/Flaredown/FlaredownAndroid/issues/61","show")</f>
        <v>show</v>
      </c>
      <c r="E1954" t="str">
        <f>HYPERLINK("https://github.com/Flaredown/FlaredownAndroid","show")</f>
        <v>show</v>
      </c>
      <c r="F1954" t="str">
        <f>HYPERLINK("https://github.com/Flaredown/FlaredownAndroid/releases","show")</f>
        <v>show</v>
      </c>
    </row>
    <row r="1955" spans="1:6">
      <c r="A1955" t="s">
        <v>5858</v>
      </c>
      <c r="B1955" t="s">
        <v>5859</v>
      </c>
      <c r="C1955" t="s">
        <v>5860</v>
      </c>
      <c r="D1955" t="str">
        <f>HYPERLINK("https://github.com/Flaredown/FlaredownAndroid/issues/60","show")</f>
        <v>show</v>
      </c>
      <c r="E1955" t="str">
        <f>HYPERLINK("https://github.com/Flaredown/FlaredownAndroid","show")</f>
        <v>show</v>
      </c>
      <c r="F1955" t="str">
        <f>HYPERLINK("https://github.com/Flaredown/FlaredownAndroid/releases","show")</f>
        <v>show</v>
      </c>
    </row>
    <row r="1956" spans="1:6">
      <c r="A1956" t="s">
        <v>5861</v>
      </c>
      <c r="B1956" t="s">
        <v>5862</v>
      </c>
      <c r="C1956" t="s">
        <v>5863</v>
      </c>
      <c r="D1956" t="str">
        <f>HYPERLINK("https://github.com/alter-ego/androidbound/issues/57","show")</f>
        <v>show</v>
      </c>
      <c r="E1956" t="str">
        <f>HYPERLINK("https://github.com/alter-ego/androidbound","show")</f>
        <v>show</v>
      </c>
      <c r="F1956" t="str">
        <f>HYPERLINK("https://github.com/alter-ego/androidbound/releases","show")</f>
        <v>show</v>
      </c>
    </row>
    <row r="1957" spans="1:6">
      <c r="A1957" t="s">
        <v>5864</v>
      </c>
      <c r="B1957" t="s">
        <v>5865</v>
      </c>
      <c r="C1957" t="s">
        <v>5866</v>
      </c>
      <c r="D1957" t="str">
        <f>HYPERLINK("https://github.com/translation-cards/translation-cards/issues/291","show")</f>
        <v>show</v>
      </c>
      <c r="E1957" t="str">
        <f>HYPERLINK("https://github.com/translation-cards/translation-cards","show")</f>
        <v>show</v>
      </c>
      <c r="F1957" t="str">
        <f>HYPERLINK("https://github.com/translation-cards/translation-cards/releases","show")</f>
        <v>show</v>
      </c>
    </row>
    <row r="1958" spans="1:6">
      <c r="A1958" t="s">
        <v>5867</v>
      </c>
      <c r="B1958" t="s">
        <v>5868</v>
      </c>
      <c r="C1958" t="s">
        <v>5869</v>
      </c>
      <c r="D1958" t="str">
        <f>HYPERLINK("https://github.com/gsantner/dandelion/issues/65","show")</f>
        <v>show</v>
      </c>
      <c r="E1958" t="str">
        <f>HYPERLINK("https://github.com/gsantner/dandelion","show")</f>
        <v>show</v>
      </c>
      <c r="F1958" t="str">
        <f>HYPERLINK("https://github.com/gsantner/dandelion/releases","show")</f>
        <v>show</v>
      </c>
    </row>
    <row r="1959" spans="1:6">
      <c r="A1959" t="s">
        <v>5870</v>
      </c>
      <c r="B1959" t="s">
        <v>5871</v>
      </c>
      <c r="C1959" t="s">
        <v>5872</v>
      </c>
      <c r="D1959" t="str">
        <f>HYPERLINK("https://github.com/krtkush/MarsExplorer/issues/1","show")</f>
        <v>show</v>
      </c>
      <c r="E1959" t="str">
        <f>HYPERLINK("https://github.com/krtkush/MarsExplorer","show")</f>
        <v>show</v>
      </c>
      <c r="F1959" t="str">
        <f>HYPERLINK("https://github.com/krtkush/MarsExplorer/releases","show")</f>
        <v>show</v>
      </c>
    </row>
    <row r="1960" spans="1:6">
      <c r="A1960" t="s">
        <v>5873</v>
      </c>
      <c r="B1960" t="s">
        <v>5874</v>
      </c>
      <c r="C1960" t="s">
        <v>5875</v>
      </c>
      <c r="D1960" t="str">
        <f>HYPERLINK("https://github.com/alhazmy13/MediaPicker/issues/10","show")</f>
        <v>show</v>
      </c>
      <c r="E1960" t="str">
        <f>HYPERLINK("https://github.com/alhazmy13/MediaPicker","show")</f>
        <v>show</v>
      </c>
      <c r="F1960" t="str">
        <f>HYPERLINK("https://github.com/alhazmy13/MediaPicker/releases","show")</f>
        <v>show</v>
      </c>
    </row>
    <row r="1961" spans="1:6">
      <c r="A1961" t="s">
        <v>5876</v>
      </c>
      <c r="B1961" t="s">
        <v>5877</v>
      </c>
      <c r="C1961" t="s">
        <v>5878</v>
      </c>
      <c r="D1961" t="str">
        <f>HYPERLINK("https://github.com/IvoGoman/Diabetes-App/issues/69","show")</f>
        <v>show</v>
      </c>
      <c r="E1961" t="str">
        <f>HYPERLINK("https://github.com/IvoGoman/Diabetes-App","show")</f>
        <v>show</v>
      </c>
      <c r="F1961" t="str">
        <f>HYPERLINK("https://github.com/IvoGoman/Diabetes-App/releases","show")</f>
        <v>show</v>
      </c>
    </row>
    <row r="1962" spans="1:6">
      <c r="A1962" t="s">
        <v>5879</v>
      </c>
      <c r="B1962" t="s">
        <v>5880</v>
      </c>
      <c r="C1962" t="s">
        <v>5881</v>
      </c>
      <c r="D1962" t="str">
        <f>HYPERLINK("https://github.com/QuantumBadger/RedReader/issues/383","show")</f>
        <v>show</v>
      </c>
      <c r="E1962" t="str">
        <f>HYPERLINK("https://github.com/QuantumBadger/RedReader","show")</f>
        <v>show</v>
      </c>
      <c r="F1962" t="str">
        <f>HYPERLINK("https://github.com/QuantumBadger/RedReader/releases","show")</f>
        <v>show</v>
      </c>
    </row>
    <row r="1963" spans="1:6">
      <c r="A1963" t="s">
        <v>5882</v>
      </c>
      <c r="B1963" t="s">
        <v>5883</v>
      </c>
      <c r="C1963" t="s">
        <v>5884</v>
      </c>
      <c r="D1963" t="str">
        <f>HYPERLINK("https://github.com/leancloud/LeanCloudChatKit-Android/issues/25","show")</f>
        <v>show</v>
      </c>
      <c r="E1963" t="str">
        <f>HYPERLINK("https://github.com/leancloud/LeanCloudChatKit-Android","show")</f>
        <v>show</v>
      </c>
      <c r="F1963" t="str">
        <f>HYPERLINK("https://github.com/leancloud/LeanCloudChatKit-Android/releases","show")</f>
        <v>show</v>
      </c>
    </row>
    <row r="1964" spans="1:6">
      <c r="A1964" t="s">
        <v>5885</v>
      </c>
      <c r="B1964" t="s">
        <v>5886</v>
      </c>
      <c r="C1964" t="s">
        <v>5887</v>
      </c>
      <c r="D1964" t="str">
        <f>HYPERLINK("https://github.com/google/cameraview/issues/1","show")</f>
        <v>show</v>
      </c>
      <c r="E1964" t="str">
        <f>HYPERLINK("https://github.com/google/cameraview","show")</f>
        <v>show</v>
      </c>
      <c r="F1964" t="str">
        <f>HYPERLINK("https://github.com/google/cameraview/releases","show")</f>
        <v>show</v>
      </c>
    </row>
    <row r="1965" spans="1:6">
      <c r="A1965" t="s">
        <v>5888</v>
      </c>
      <c r="B1965" t="s">
        <v>5889</v>
      </c>
      <c r="C1965" t="s">
        <v>5890</v>
      </c>
      <c r="D1965" t="str">
        <f>HYPERLINK("https://github.com/Z3r0byte/Magis/issues/35","show")</f>
        <v>show</v>
      </c>
      <c r="E1965" t="str">
        <f>HYPERLINK("https://github.com/Z3r0byte/Magis","show")</f>
        <v>show</v>
      </c>
      <c r="F1965" t="str">
        <f>HYPERLINK("https://github.com/Z3r0byte/Magis/releases","show")</f>
        <v>show</v>
      </c>
    </row>
    <row r="1966" spans="1:6">
      <c r="A1966" t="s">
        <v>5891</v>
      </c>
      <c r="B1966" t="s">
        <v>5892</v>
      </c>
      <c r="C1966" t="s">
        <v>5893</v>
      </c>
      <c r="D1966" t="str">
        <f>HYPERLINK("https://github.com/Beamanator/Ulti-Mate/issues/81","show")</f>
        <v>show</v>
      </c>
      <c r="E1966" t="str">
        <f>HYPERLINK("https://github.com/Beamanator/Ulti-Mate","show")</f>
        <v>show</v>
      </c>
      <c r="F1966" t="str">
        <f>HYPERLINK("https://github.com/Beamanator/Ulti-Mate/releases","show")</f>
        <v>show</v>
      </c>
    </row>
    <row r="1967" spans="1:6">
      <c r="A1967" t="s">
        <v>5894</v>
      </c>
      <c r="B1967" t="s">
        <v>5895</v>
      </c>
      <c r="C1967" t="s">
        <v>5896</v>
      </c>
      <c r="D1967" t="str">
        <f>HYPERLINK("https://github.com/d4rken/reddit-android-appstore/issues/42","show")</f>
        <v>show</v>
      </c>
      <c r="E1967" t="str">
        <f>HYPERLINK("https://github.com/d4rken/reddit-android-appstore","show")</f>
        <v>show</v>
      </c>
      <c r="F1967" t="str">
        <f>HYPERLINK("https://github.com/d4rken/reddit-android-appstore/releases","show")</f>
        <v>show</v>
      </c>
    </row>
    <row r="1968" spans="1:6">
      <c r="A1968" t="s">
        <v>5897</v>
      </c>
      <c r="B1968" t="s">
        <v>5898</v>
      </c>
      <c r="C1968" t="s">
        <v>5899</v>
      </c>
      <c r="D1968" t="str">
        <f>HYPERLINK("https://github.com/cgeo/cgeo/issues/5948","show")</f>
        <v>show</v>
      </c>
      <c r="E1968" t="str">
        <f>HYPERLINK("https://github.com/cgeo/cgeo","show")</f>
        <v>show</v>
      </c>
      <c r="F1968" t="str">
        <f>HYPERLINK("https://github.com/cgeo/cgeo/releases","show")</f>
        <v>show</v>
      </c>
    </row>
    <row r="1969" spans="1:6">
      <c r="A1969" t="s">
        <v>5900</v>
      </c>
      <c r="B1969" t="s">
        <v>5901</v>
      </c>
      <c r="C1969" t="s">
        <v>5902</v>
      </c>
      <c r="D1969" t="str">
        <f>HYPERLINK("https://github.com/RFO-BASIC/Basic/issues/216","show")</f>
        <v>show</v>
      </c>
      <c r="E1969" t="str">
        <f>HYPERLINK("https://github.com/RFO-BASIC/Basic","show")</f>
        <v>show</v>
      </c>
      <c r="F1969" t="str">
        <f>HYPERLINK("https://github.com/RFO-BASIC/Basic/releases","show")</f>
        <v>show</v>
      </c>
    </row>
    <row r="1970" spans="1:6">
      <c r="A1970" t="s">
        <v>5903</v>
      </c>
      <c r="B1970" t="s">
        <v>5904</v>
      </c>
      <c r="C1970" t="s">
        <v>5905</v>
      </c>
      <c r="D1970" t="str">
        <f>HYPERLINK("https://github.com/lostzen/lost/issues/107","show")</f>
        <v>show</v>
      </c>
      <c r="E1970" t="str">
        <f>HYPERLINK("https://github.com/lostzen/lost","show")</f>
        <v>show</v>
      </c>
      <c r="F1970" t="str">
        <f>HYPERLINK("https://github.com/lostzen/lost/releases","show")</f>
        <v>show</v>
      </c>
    </row>
    <row r="1971" spans="1:6">
      <c r="A1971" t="s">
        <v>5906</v>
      </c>
      <c r="B1971" t="s">
        <v>5907</v>
      </c>
      <c r="C1971" t="s">
        <v>5908</v>
      </c>
      <c r="D1971" t="str">
        <f>HYPERLINK("https://github.com/OneBusAway/onebusaway-android/issues/691","show")</f>
        <v>show</v>
      </c>
      <c r="E1971" t="str">
        <f>HYPERLINK("https://github.com/OneBusAway/onebusaway-android","show")</f>
        <v>show</v>
      </c>
      <c r="F1971" t="str">
        <f>HYPERLINK("https://github.com/OneBusAway/onebusaway-android/releases","show")</f>
        <v>show</v>
      </c>
    </row>
    <row r="1972" spans="1:6">
      <c r="A1972" t="s">
        <v>5909</v>
      </c>
      <c r="B1972" t="s">
        <v>5910</v>
      </c>
      <c r="C1972" t="s">
        <v>5911</v>
      </c>
      <c r="D1972" t="str">
        <f>HYPERLINK("https://github.com/OneBusAway/onebusaway-android/issues/690","show")</f>
        <v>show</v>
      </c>
      <c r="E1972" t="str">
        <f>HYPERLINK("https://github.com/OneBusAway/onebusaway-android","show")</f>
        <v>show</v>
      </c>
      <c r="F1972" t="str">
        <f>HYPERLINK("https://github.com/OneBusAway/onebusaway-android/releases","show")</f>
        <v>show</v>
      </c>
    </row>
    <row r="1973" spans="1:6">
      <c r="A1973" t="s">
        <v>5912</v>
      </c>
      <c r="B1973" t="s">
        <v>5913</v>
      </c>
      <c r="C1973" t="s">
        <v>5914</v>
      </c>
      <c r="D1973" t="str">
        <f>HYPERLINK("https://github.com/moneymanagerex/android-money-manager-ex/issues/1005","show")</f>
        <v>show</v>
      </c>
      <c r="E1973" t="str">
        <f>HYPERLINK("https://github.com/moneymanagerex/android-money-manager-ex","show")</f>
        <v>show</v>
      </c>
      <c r="F1973" t="str">
        <f>HYPERLINK("https://github.com/moneymanagerex/android-money-manager-ex/releases","show")</f>
        <v>show</v>
      </c>
    </row>
    <row r="1974" spans="1:6">
      <c r="A1974" t="s">
        <v>5915</v>
      </c>
      <c r="B1974" t="s">
        <v>5916</v>
      </c>
      <c r="C1974" t="s">
        <v>5917</v>
      </c>
      <c r="D1974" t="str">
        <f>HYPERLINK("https://github.com/michael-rapp/AndroidPreferenceActivity/issues/18","show")</f>
        <v>show</v>
      </c>
      <c r="E1974" t="str">
        <f>HYPERLINK("https://github.com/michael-rapp/AndroidPreferenceActivity","show")</f>
        <v>show</v>
      </c>
      <c r="F1974" t="str">
        <f>HYPERLINK("https://github.com/michael-rapp/AndroidPreferenceActivity/releases","show")</f>
        <v>show</v>
      </c>
    </row>
    <row r="1975" spans="1:6">
      <c r="A1975" t="s">
        <v>5918</v>
      </c>
      <c r="B1975" t="s">
        <v>5919</v>
      </c>
      <c r="C1975" t="s">
        <v>5920</v>
      </c>
      <c r="D1975" t="str">
        <f>HYPERLINK("https://github.com/forrestguice/SuntimesWidget/issues/58","show")</f>
        <v>show</v>
      </c>
      <c r="E1975" t="str">
        <f>HYPERLINK("https://github.com/forrestguice/SuntimesWidget","show")</f>
        <v>show</v>
      </c>
      <c r="F1975" t="str">
        <f>HYPERLINK("https://github.com/forrestguice/SuntimesWidget/releases","show")</f>
        <v>show</v>
      </c>
    </row>
    <row r="1976" spans="1:6">
      <c r="A1976" t="s">
        <v>5921</v>
      </c>
      <c r="B1976" t="s">
        <v>5922</v>
      </c>
      <c r="C1976" t="s">
        <v>5923</v>
      </c>
      <c r="D1976" t="str">
        <f>HYPERLINK("https://github.com/alhazmy13/MediaPicker/issues/13","show")</f>
        <v>show</v>
      </c>
      <c r="E1976" t="str">
        <f>HYPERLINK("https://github.com/alhazmy13/MediaPicker","show")</f>
        <v>show</v>
      </c>
      <c r="F1976" t="str">
        <f>HYPERLINK("https://github.com/alhazmy13/MediaPicker/releases","show")</f>
        <v>show</v>
      </c>
    </row>
    <row r="1977" spans="1:6">
      <c r="A1977" t="s">
        <v>5924</v>
      </c>
      <c r="B1977" t="s">
        <v>5925</v>
      </c>
      <c r="C1977" t="s">
        <v>5926</v>
      </c>
      <c r="D1977" t="str">
        <f>HYPERLINK("https://github.com/tom-anders/Easy_xkcd/issues/101","show")</f>
        <v>show</v>
      </c>
      <c r="E1977" t="str">
        <f>HYPERLINK("https://github.com/tom-anders/Easy_xkcd","show")</f>
        <v>show</v>
      </c>
      <c r="F1977" t="str">
        <f>HYPERLINK("https://github.com/tom-anders/Easy_xkcd/releases","show")</f>
        <v>show</v>
      </c>
    </row>
    <row r="1978" spans="1:6">
      <c r="A1978" t="s">
        <v>5927</v>
      </c>
      <c r="B1978" t="s">
        <v>5928</v>
      </c>
      <c r="C1978" t="s">
        <v>5929</v>
      </c>
      <c r="D1978" t="str">
        <f>HYPERLINK("https://github.com/duckduckgo/android-search-and-stories/issues/258","show")</f>
        <v>show</v>
      </c>
      <c r="E1978" t="str">
        <f>HYPERLINK("https://github.com/duckduckgo/android-search-and-stories","show")</f>
        <v>show</v>
      </c>
      <c r="F1978" t="str">
        <f>HYPERLINK("https://github.com/duckduckgo/android-search-and-stories/releases","show")</f>
        <v>show</v>
      </c>
    </row>
    <row r="1979" spans="1:6">
      <c r="A1979" t="s">
        <v>5930</v>
      </c>
      <c r="B1979" t="s">
        <v>5931</v>
      </c>
      <c r="C1979" t="s">
        <v>5932</v>
      </c>
      <c r="D1979" t="str">
        <f>HYPERLINK("https://github.com/forrestguice/SuntimesWidget/issues/55","show")</f>
        <v>show</v>
      </c>
      <c r="E1979" t="str">
        <f>HYPERLINK("https://github.com/forrestguice/SuntimesWidget","show")</f>
        <v>show</v>
      </c>
      <c r="F1979" t="str">
        <f>HYPERLINK("https://github.com/forrestguice/SuntimesWidget/releases","show")</f>
        <v>show</v>
      </c>
    </row>
    <row r="1980" spans="1:6">
      <c r="A1980" t="s">
        <v>5933</v>
      </c>
      <c r="B1980" t="s">
        <v>5934</v>
      </c>
      <c r="C1980" t="s">
        <v>5935</v>
      </c>
      <c r="D1980" t="str">
        <f>HYPERLINK("https://github.com/alibaba/freeline/issues/137","show")</f>
        <v>show</v>
      </c>
      <c r="E1980" t="str">
        <f>HYPERLINK("https://github.com/alibaba/freeline","show")</f>
        <v>show</v>
      </c>
      <c r="F1980" t="str">
        <f>HYPERLINK("https://github.com/alibaba/freeline/releases","show")</f>
        <v>show</v>
      </c>
    </row>
    <row r="1981" spans="1:6">
      <c r="A1981" t="s">
        <v>5936</v>
      </c>
      <c r="B1981" t="s">
        <v>5937</v>
      </c>
      <c r="C1981" t="s">
        <v>5938</v>
      </c>
      <c r="D1981" t="str">
        <f>HYPERLINK("https://github.com/google/cameraview/issues/8","show")</f>
        <v>show</v>
      </c>
      <c r="E1981" t="str">
        <f>HYPERLINK("https://github.com/google/cameraview","show")</f>
        <v>show</v>
      </c>
      <c r="F1981" t="str">
        <f>HYPERLINK("https://github.com/google/cameraview/releases","show")</f>
        <v>show</v>
      </c>
    </row>
    <row r="1982" spans="1:6">
      <c r="A1982" t="s">
        <v>5939</v>
      </c>
      <c r="B1982" t="s">
        <v>5940</v>
      </c>
      <c r="C1982" t="s">
        <v>5941</v>
      </c>
      <c r="D1982" t="str">
        <f>HYPERLINK("https://github.com/google/cameraview/issues/7","show")</f>
        <v>show</v>
      </c>
      <c r="E1982" t="str">
        <f>HYPERLINK("https://github.com/google/cameraview","show")</f>
        <v>show</v>
      </c>
      <c r="F1982" t="str">
        <f>HYPERLINK("https://github.com/google/cameraview/releases","show")</f>
        <v>show</v>
      </c>
    </row>
    <row r="1983" spans="1:6">
      <c r="A1983" t="s">
        <v>5942</v>
      </c>
      <c r="B1983" t="s">
        <v>5943</v>
      </c>
      <c r="C1983" t="s">
        <v>5944</v>
      </c>
      <c r="D1983" t="str">
        <f>HYPERLINK("https://github.com/zom/Zom-Android-XMPP/issues/142","show")</f>
        <v>show</v>
      </c>
      <c r="E1983" t="str">
        <f>HYPERLINK("https://github.com/zom/Zom-Android-XMPP","show")</f>
        <v>show</v>
      </c>
      <c r="F1983" t="str">
        <f>HYPERLINK("https://github.com/zom/Zom-Android-XMPP/releases","show")</f>
        <v>show</v>
      </c>
    </row>
    <row r="1984" spans="1:6">
      <c r="A1984" t="s">
        <v>5945</v>
      </c>
      <c r="B1984" t="s">
        <v>5946</v>
      </c>
      <c r="C1984" t="s">
        <v>5947</v>
      </c>
      <c r="D1984" t="str">
        <f>HYPERLINK("https://github.com/Rajawali/Rajawali/issues/1773","show")</f>
        <v>show</v>
      </c>
      <c r="E1984" t="str">
        <f>HYPERLINK("https://github.com/Rajawali/Rajawali","show")</f>
        <v>show</v>
      </c>
      <c r="F1984" t="str">
        <f>HYPERLINK("https://github.com/Rajawali/Rajawali/releases","show")</f>
        <v>show</v>
      </c>
    </row>
    <row r="1985" spans="1:6">
      <c r="A1985" t="s">
        <v>5948</v>
      </c>
      <c r="B1985" t="s">
        <v>5949</v>
      </c>
      <c r="C1985" t="s">
        <v>5950</v>
      </c>
      <c r="D1985" t="str">
        <f>HYPERLINK("https://github.com/niclabs/adkintunmobile-androidclient/issues/131","show")</f>
        <v>show</v>
      </c>
      <c r="E1985" t="str">
        <f>HYPERLINK("https://github.com/niclabs/adkintunmobile-androidclient","show")</f>
        <v>show</v>
      </c>
      <c r="F1985" t="str">
        <f>HYPERLINK("https://github.com/niclabs/adkintunmobile-androidclient/releases","show")</f>
        <v>show</v>
      </c>
    </row>
    <row r="1986" spans="1:6">
      <c r="A1986" t="s">
        <v>5951</v>
      </c>
      <c r="B1986" t="s">
        <v>5952</v>
      </c>
      <c r="C1986" t="s">
        <v>5953</v>
      </c>
      <c r="D1986" t="str">
        <f>HYPERLINK("https://github.com/CodelightStudios/Android-Smart-Login/issues/29","show")</f>
        <v>show</v>
      </c>
      <c r="E1986" t="str">
        <f>HYPERLINK("https://github.com/CodelightStudios/Android-Smart-Login","show")</f>
        <v>show</v>
      </c>
      <c r="F1986" t="str">
        <f>HYPERLINK("https://github.com/CodelightStudios/Android-Smart-Login/releases","show")</f>
        <v>show</v>
      </c>
    </row>
    <row r="1987" spans="1:6">
      <c r="A1987" t="s">
        <v>5954</v>
      </c>
      <c r="B1987" t="s">
        <v>5955</v>
      </c>
      <c r="C1987" t="s">
        <v>5956</v>
      </c>
      <c r="D1987" t="str">
        <f>HYPERLINK("https://github.com/vector-im/riot-android/issues/501","show")</f>
        <v>show</v>
      </c>
      <c r="E1987" t="str">
        <f>HYPERLINK("https://github.com/vector-im/riot-android","show")</f>
        <v>show</v>
      </c>
      <c r="F1987" t="str">
        <f>HYPERLINK("https://github.com/vector-im/riot-android/releases","show")</f>
        <v>show</v>
      </c>
    </row>
    <row r="1988" spans="1:6">
      <c r="A1988" t="s">
        <v>5957</v>
      </c>
      <c r="B1988" t="s">
        <v>5958</v>
      </c>
      <c r="C1988" t="s">
        <v>5959</v>
      </c>
      <c r="D1988" t="str">
        <f>HYPERLINK("https://github.com/vector-im/riot-android/issues/499","show")</f>
        <v>show</v>
      </c>
      <c r="E1988" t="str">
        <f>HYPERLINK("https://github.com/vector-im/riot-android","show")</f>
        <v>show</v>
      </c>
      <c r="F1988" t="str">
        <f>HYPERLINK("https://github.com/vector-im/riot-android/releases","show")</f>
        <v>show</v>
      </c>
    </row>
    <row r="1989" spans="1:6">
      <c r="A1989" t="s">
        <v>5960</v>
      </c>
      <c r="B1989" t="s">
        <v>5961</v>
      </c>
      <c r="C1989" t="s">
        <v>5962</v>
      </c>
      <c r="D1989" t="str">
        <f>HYPERLINK("https://github.com/harrij15/SquareMeals/issues/35","show")</f>
        <v>show</v>
      </c>
      <c r="E1989" t="str">
        <f>HYPERLINK("https://github.com/harrij15/SquareMeals","show")</f>
        <v>show</v>
      </c>
      <c r="F1989" t="str">
        <f>HYPERLINK("https://github.com/harrij15/SquareMeals/releases","show")</f>
        <v>show</v>
      </c>
    </row>
    <row r="1990" spans="1:6">
      <c r="A1990" t="s">
        <v>5963</v>
      </c>
      <c r="B1990" t="s">
        <v>5964</v>
      </c>
      <c r="C1990" t="s">
        <v>5965</v>
      </c>
      <c r="D1990" t="str">
        <f>HYPERLINK("https://github.com/portexe/CompTIA-Aplus-Study-Practice/issues/8","show")</f>
        <v>show</v>
      </c>
      <c r="E1990" t="str">
        <f>HYPERLINK("https://github.com/portexe/CompTIA-Aplus-Study-Practice","show")</f>
        <v>show</v>
      </c>
      <c r="F1990" t="str">
        <f>HYPERLINK("https://github.com/portexe/CompTIA-Aplus-Study-Practice/releases","show")</f>
        <v>show</v>
      </c>
    </row>
    <row r="1991" spans="1:6">
      <c r="A1991" t="s">
        <v>5966</v>
      </c>
      <c r="B1991" t="s">
        <v>5967</v>
      </c>
      <c r="C1991" t="s">
        <v>5968</v>
      </c>
      <c r="D1991" t="str">
        <f>HYPERLINK("https://github.com/Intelehealth/Android-Mobile-Client/issues/164","show")</f>
        <v>show</v>
      </c>
      <c r="E1991" t="str">
        <f>HYPERLINK("https://github.com/Intelehealth/Android-Mobile-Client","show")</f>
        <v>show</v>
      </c>
      <c r="F1991" t="str">
        <f>HYPERLINK("https://github.com/Intelehealth/Android-Mobile-Client/releases","show")</f>
        <v>show</v>
      </c>
    </row>
    <row r="1992" spans="1:6">
      <c r="A1992" t="s">
        <v>5969</v>
      </c>
      <c r="B1992" t="s">
        <v>5970</v>
      </c>
      <c r="C1992" t="s">
        <v>5971</v>
      </c>
      <c r="D1992" t="str">
        <f>HYPERLINK("https://github.com/cgeo/cgeo/issues/5965","show")</f>
        <v>show</v>
      </c>
      <c r="E1992" t="str">
        <f>HYPERLINK("https://github.com/cgeo/cgeo","show")</f>
        <v>show</v>
      </c>
      <c r="F1992" t="str">
        <f>HYPERLINK("https://github.com/cgeo/cgeo/releases","show")</f>
        <v>show</v>
      </c>
    </row>
    <row r="1993" spans="1:6">
      <c r="A1993" t="s">
        <v>5972</v>
      </c>
      <c r="B1993" t="s">
        <v>5973</v>
      </c>
      <c r="C1993" t="s">
        <v>5974</v>
      </c>
      <c r="D1993" t="str">
        <f>HYPERLINK("https://github.com/cgeo/cgeo/issues/5963","show")</f>
        <v>show</v>
      </c>
      <c r="E1993" t="str">
        <f>HYPERLINK("https://github.com/cgeo/cgeo","show")</f>
        <v>show</v>
      </c>
      <c r="F1993" t="str">
        <f>HYPERLINK("https://github.com/cgeo/cgeo/releases","show")</f>
        <v>show</v>
      </c>
    </row>
    <row r="1994" spans="1:6">
      <c r="A1994" t="s">
        <v>5975</v>
      </c>
      <c r="B1994" t="s">
        <v>5976</v>
      </c>
      <c r="C1994" t="s">
        <v>5977</v>
      </c>
      <c r="D1994" t="str">
        <f>HYPERLINK("https://github.com/k3b/APhotoManager/issues/71","show")</f>
        <v>show</v>
      </c>
      <c r="E1994" t="str">
        <f>HYPERLINK("https://github.com/k3b/APhotoManager","show")</f>
        <v>show</v>
      </c>
      <c r="F1994" t="str">
        <f>HYPERLINK("https://github.com/k3b/APhotoManager/releases","show")</f>
        <v>show</v>
      </c>
    </row>
    <row r="1995" spans="1:6">
      <c r="A1995" t="s">
        <v>5978</v>
      </c>
      <c r="B1995" t="s">
        <v>5979</v>
      </c>
      <c r="C1995" t="s">
        <v>5980</v>
      </c>
      <c r="D1995" t="str">
        <f>HYPERLINK("https://github.com/IvoGoman/Diabetes-App/issues/76","show")</f>
        <v>show</v>
      </c>
      <c r="E1995" t="str">
        <f>HYPERLINK("https://github.com/IvoGoman/Diabetes-App","show")</f>
        <v>show</v>
      </c>
      <c r="F1995" t="str">
        <f>HYPERLINK("https://github.com/IvoGoman/Diabetes-App/releases","show")</f>
        <v>show</v>
      </c>
    </row>
    <row r="1996" spans="1:6">
      <c r="A1996" t="s">
        <v>5981</v>
      </c>
      <c r="B1996" t="s">
        <v>5982</v>
      </c>
      <c r="C1996" t="s">
        <v>5983</v>
      </c>
      <c r="D1996" t="str">
        <f>HYPERLINK("https://github.com/IvoGoman/Diabetes-App/issues/73","show")</f>
        <v>show</v>
      </c>
      <c r="E1996" t="str">
        <f>HYPERLINK("https://github.com/IvoGoman/Diabetes-App","show")</f>
        <v>show</v>
      </c>
      <c r="F1996" t="str">
        <f>HYPERLINK("https://github.com/IvoGoman/Diabetes-App/releases","show")</f>
        <v>show</v>
      </c>
    </row>
    <row r="1997" spans="1:6">
      <c r="A1997" t="s">
        <v>5984</v>
      </c>
      <c r="B1997" t="s">
        <v>5985</v>
      </c>
      <c r="C1997" t="s">
        <v>5986</v>
      </c>
      <c r="D1997" t="str">
        <f>HYPERLINK("https://github.com/Cloudkibo/Android/issues/189","show")</f>
        <v>show</v>
      </c>
      <c r="E1997" t="str">
        <f>HYPERLINK("https://github.com/Cloudkibo/Android","show")</f>
        <v>show</v>
      </c>
      <c r="F1997" t="str">
        <f>HYPERLINK("https://github.com/Cloudkibo/Android/releases","show")</f>
        <v>show</v>
      </c>
    </row>
    <row r="1998" spans="1:6">
      <c r="A1998" t="s">
        <v>5987</v>
      </c>
      <c r="B1998" t="s">
        <v>5988</v>
      </c>
      <c r="C1998" t="s">
        <v>5989</v>
      </c>
      <c r="D1998" t="str">
        <f>HYPERLINK("https://github.com/farkam135/GoIV/issues/420","show")</f>
        <v>show</v>
      </c>
      <c r="E1998" t="str">
        <f>HYPERLINK("https://github.com/farkam135/GoIV","show")</f>
        <v>show</v>
      </c>
      <c r="F1998" t="str">
        <f>HYPERLINK("https://github.com/farkam135/GoIV/releases","show")</f>
        <v>show</v>
      </c>
    </row>
    <row r="1999" spans="1:6">
      <c r="A1999" t="s">
        <v>5990</v>
      </c>
      <c r="B1999" t="s">
        <v>5991</v>
      </c>
      <c r="C1999" t="s">
        <v>5992</v>
      </c>
      <c r="D1999" t="str">
        <f>HYPERLINK("https://github.com/Cloudkibo/Android/issues/191","show")</f>
        <v>show</v>
      </c>
      <c r="E1999" t="str">
        <f>HYPERLINK("https://github.com/Cloudkibo/Android","show")</f>
        <v>show</v>
      </c>
      <c r="F1999" t="str">
        <f>HYPERLINK("https://github.com/Cloudkibo/Android/releases","show")</f>
        <v>show</v>
      </c>
    </row>
    <row r="2000" spans="1:6">
      <c r="A2000" t="s">
        <v>5993</v>
      </c>
      <c r="B2000" t="s">
        <v>5994</v>
      </c>
      <c r="C2000" t="s">
        <v>5995</v>
      </c>
      <c r="D2000" t="str">
        <f>HYPERLINK("https://github.com/redsolution/xabber-android/issues/663","show")</f>
        <v>show</v>
      </c>
      <c r="E2000" t="str">
        <f>HYPERLINK("https://github.com/redsolution/xabber-android","show")</f>
        <v>show</v>
      </c>
      <c r="F2000" t="str">
        <f>HYPERLINK("https://github.com/redsolution/xabber-android/releases","show")</f>
        <v>show</v>
      </c>
    </row>
    <row r="2001" spans="1:6">
      <c r="A2001" t="s">
        <v>5996</v>
      </c>
      <c r="B2001" t="s">
        <v>5997</v>
      </c>
      <c r="C2001" t="s">
        <v>5998</v>
      </c>
      <c r="D2001" t="str">
        <f>HYPERLINK("https://github.com/lgallard/qBittorrent-Controller/issues/109","show")</f>
        <v>show</v>
      </c>
      <c r="E2001" t="str">
        <f>HYPERLINK("https://github.com/lgallard/qBittorrent-Controller","show")</f>
        <v>show</v>
      </c>
      <c r="F2001" t="str">
        <f>HYPERLINK("https://github.com/lgallard/qBittorrent-Controller/releases","show")</f>
        <v>show</v>
      </c>
    </row>
    <row r="2002" spans="1:6">
      <c r="A2002" t="s">
        <v>5999</v>
      </c>
      <c r="B2002" t="s">
        <v>6000</v>
      </c>
      <c r="C2002" t="s">
        <v>6001</v>
      </c>
      <c r="D2002" t="str">
        <f>HYPERLINK("https://github.com/mvysny/aedict/issues/700","show")</f>
        <v>show</v>
      </c>
      <c r="E2002" t="str">
        <f>HYPERLINK("https://github.com/mvysny/aedict","show")</f>
        <v>show</v>
      </c>
      <c r="F2002" t="str">
        <f>HYPERLINK("https://github.com/mvysny/aedict/releases","show")</f>
        <v>show</v>
      </c>
    </row>
    <row r="2003" spans="1:6">
      <c r="A2003" t="s">
        <v>6002</v>
      </c>
      <c r="B2003" t="s">
        <v>6003</v>
      </c>
      <c r="C2003" t="s">
        <v>6004</v>
      </c>
      <c r="D2003" t="str">
        <f>HYPERLINK("https://github.com/Cloudkibo/Android/issues/198","show")</f>
        <v>show</v>
      </c>
      <c r="E2003" t="str">
        <f>HYPERLINK("https://github.com/Cloudkibo/Android","show")</f>
        <v>show</v>
      </c>
      <c r="F2003" t="str">
        <f>HYPERLINK("https://github.com/Cloudkibo/Android/releases","show")</f>
        <v>show</v>
      </c>
    </row>
    <row r="2004" spans="1:6">
      <c r="A2004" t="s">
        <v>6005</v>
      </c>
      <c r="B2004" t="s">
        <v>6006</v>
      </c>
      <c r="C2004" t="s">
        <v>6007</v>
      </c>
      <c r="D2004" t="str">
        <f>HYPERLINK("https://github.com/nextcloud/android/issues/279","show")</f>
        <v>show</v>
      </c>
      <c r="E2004" t="str">
        <f>HYPERLINK("https://github.com/nextcloud/android","show")</f>
        <v>show</v>
      </c>
      <c r="F2004" t="str">
        <f>HYPERLINK("https://github.com/nextcloud/android/releases","show")</f>
        <v>show</v>
      </c>
    </row>
    <row r="2005" spans="1:6">
      <c r="A2005" t="s">
        <v>6008</v>
      </c>
      <c r="B2005" t="s">
        <v>6009</v>
      </c>
      <c r="C2005" t="s">
        <v>6010</v>
      </c>
      <c r="D2005" t="str">
        <f>HYPERLINK("https://github.com/react-native-camera/react-native-camera/issues/417","show")</f>
        <v>show</v>
      </c>
      <c r="E2005" t="str">
        <f>HYPERLINK("https://github.com/react-native-camera/react-native-camera","show")</f>
        <v>show</v>
      </c>
      <c r="F2005" t="str">
        <f>HYPERLINK("https://github.com/react-native-camera/react-native-camera/releases","show")</f>
        <v>show</v>
      </c>
    </row>
    <row r="2006" spans="1:6">
      <c r="A2006" t="s">
        <v>6011</v>
      </c>
      <c r="B2006" t="s">
        <v>6012</v>
      </c>
      <c r="C2006" t="s">
        <v>6013</v>
      </c>
      <c r="D2006" t="str">
        <f>HYPERLINK("https://github.com/processing/processing-android/issues/253","show")</f>
        <v>show</v>
      </c>
      <c r="E2006" t="str">
        <f>HYPERLINK("https://github.com/processing/processing-android","show")</f>
        <v>show</v>
      </c>
      <c r="F2006" t="str">
        <f>HYPERLINK("https://github.com/processing/processing-android/releases","show")</f>
        <v>show</v>
      </c>
    </row>
    <row r="2007" spans="1:6">
      <c r="A2007" t="s">
        <v>6014</v>
      </c>
      <c r="B2007" t="s">
        <v>6015</v>
      </c>
      <c r="C2007" t="s">
        <v>6016</v>
      </c>
      <c r="D2007" t="str">
        <f>HYPERLINK("https://github.com/k9mail/k-9/issues/1627","show")</f>
        <v>show</v>
      </c>
      <c r="E2007" t="str">
        <f>HYPERLINK("https://github.com/k9mail/k-9","show")</f>
        <v>show</v>
      </c>
      <c r="F2007" t="str">
        <f>HYPERLINK("https://github.com/k9mail/k-9/releases","show")</f>
        <v>show</v>
      </c>
    </row>
    <row r="2008" spans="1:6">
      <c r="A2008" t="s">
        <v>6017</v>
      </c>
      <c r="B2008" t="s">
        <v>6018</v>
      </c>
      <c r="C2008" t="s">
        <v>6019</v>
      </c>
      <c r="D2008" t="str">
        <f>HYPERLINK("https://github.com/yongjhih/RetroFacebook/issues/41","show")</f>
        <v>show</v>
      </c>
      <c r="E2008" t="str">
        <f>HYPERLINK("https://github.com/yongjhih/RetroFacebook","show")</f>
        <v>show</v>
      </c>
      <c r="F2008" t="str">
        <f>HYPERLINK("https://github.com/yongjhih/RetroFacebook/releases","show")</f>
        <v>show</v>
      </c>
    </row>
    <row r="2009" spans="1:6">
      <c r="A2009" t="s">
        <v>6020</v>
      </c>
      <c r="B2009" t="s">
        <v>6021</v>
      </c>
      <c r="C2009" t="s">
        <v>6022</v>
      </c>
      <c r="D2009" t="str">
        <f>HYPERLINK("https://github.com/osmdroid/osmdroid/issues/424","show")</f>
        <v>show</v>
      </c>
      <c r="E2009" t="str">
        <f>HYPERLINK("https://github.com/osmdroid/osmdroid","show")</f>
        <v>show</v>
      </c>
      <c r="F2009" t="str">
        <f>HYPERLINK("https://github.com/osmdroid/osmdroid/releases","show")</f>
        <v>show</v>
      </c>
    </row>
    <row r="2010" spans="1:6">
      <c r="A2010" t="s">
        <v>6023</v>
      </c>
      <c r="B2010" t="s">
        <v>6024</v>
      </c>
      <c r="C2010" t="s">
        <v>6025</v>
      </c>
      <c r="D2010" t="str">
        <f>HYPERLINK("https://github.com/koelleChristian/trickytripper/issues/21","show")</f>
        <v>show</v>
      </c>
      <c r="E2010" t="str">
        <f>HYPERLINK("https://github.com/koelleChristian/trickytripper","show")</f>
        <v>show</v>
      </c>
      <c r="F2010" t="str">
        <f>HYPERLINK("https://github.com/koelleChristian/trickytripper/releases","show")</f>
        <v>show</v>
      </c>
    </row>
    <row r="2011" spans="1:6">
      <c r="A2011" t="s">
        <v>6026</v>
      </c>
      <c r="B2011" t="s">
        <v>6027</v>
      </c>
      <c r="C2011" t="s">
        <v>6028</v>
      </c>
      <c r="D2011" t="str">
        <f>HYPERLINK("https://github.com/eleme/Amigo/issues/73","show")</f>
        <v>show</v>
      </c>
      <c r="E2011" t="str">
        <f>HYPERLINK("https://github.com/eleme/Amigo","show")</f>
        <v>show</v>
      </c>
      <c r="F2011" t="str">
        <f>HYPERLINK("https://github.com/eleme/Amigo/releases","show")</f>
        <v>show</v>
      </c>
    </row>
    <row r="2012" spans="1:6">
      <c r="A2012" t="s">
        <v>6029</v>
      </c>
      <c r="B2012" t="s">
        <v>6030</v>
      </c>
      <c r="C2012" t="s">
        <v>6031</v>
      </c>
      <c r="D2012" t="str">
        <f>HYPERLINK("https://github.com/Intelehealth/Android-Mobile-Client/issues/184","show")</f>
        <v>show</v>
      </c>
      <c r="E2012" t="str">
        <f>HYPERLINK("https://github.com/Intelehealth/Android-Mobile-Client","show")</f>
        <v>show</v>
      </c>
      <c r="F2012" t="str">
        <f>HYPERLINK("https://github.com/Intelehealth/Android-Mobile-Client/releases","show")</f>
        <v>show</v>
      </c>
    </row>
    <row r="2013" spans="1:6">
      <c r="A2013" t="s">
        <v>6032</v>
      </c>
      <c r="B2013" t="s">
        <v>6033</v>
      </c>
      <c r="C2013" t="s">
        <v>6034</v>
      </c>
      <c r="D2013" t="str">
        <f>HYPERLINK("https://github.com/mauron85/cordova-plugin-background-geolocation/issues/173","show")</f>
        <v>show</v>
      </c>
      <c r="E2013" t="str">
        <f>HYPERLINK("https://github.com/mauron85/cordova-plugin-background-geolocation","show")</f>
        <v>show</v>
      </c>
      <c r="F2013" t="str">
        <f>HYPERLINK("https://github.com/mauron85/cordova-plugin-background-geolocation/releases","show")</f>
        <v>show</v>
      </c>
    </row>
    <row r="2014" spans="1:6">
      <c r="A2014" t="s">
        <v>6035</v>
      </c>
      <c r="B2014" t="s">
        <v>6036</v>
      </c>
      <c r="C2014" t="s">
        <v>6037</v>
      </c>
      <c r="D2014" t="str">
        <f>HYPERLINK("https://github.com/k9mail/k-9/issues/1628","show")</f>
        <v>show</v>
      </c>
      <c r="E2014" t="str">
        <f>HYPERLINK("https://github.com/k9mail/k-9","show")</f>
        <v>show</v>
      </c>
      <c r="F2014" t="str">
        <f>HYPERLINK("https://github.com/k9mail/k-9/releases","show")</f>
        <v>show</v>
      </c>
    </row>
    <row r="2015" spans="1:6">
      <c r="A2015" t="s">
        <v>6038</v>
      </c>
      <c r="B2015" t="s">
        <v>6039</v>
      </c>
      <c r="C2015" t="s">
        <v>6040</v>
      </c>
      <c r="D2015" t="str">
        <f>HYPERLINK("https://github.com/Odoo-mobile/framework/issues/228","show")</f>
        <v>show</v>
      </c>
      <c r="E2015" t="str">
        <f>HYPERLINK("https://github.com/Odoo-mobile/framework","show")</f>
        <v>show</v>
      </c>
      <c r="F2015" t="str">
        <f>HYPERLINK("https://github.com/Odoo-mobile/framework/releases","show")</f>
        <v>show</v>
      </c>
    </row>
    <row r="2016" spans="1:6">
      <c r="A2016" t="s">
        <v>6041</v>
      </c>
      <c r="B2016" t="s">
        <v>6042</v>
      </c>
      <c r="C2016" t="s">
        <v>6043</v>
      </c>
      <c r="D2016" t="str">
        <f>HYPERLINK("https://github.com/farkam135/GoIV/issues/463","show")</f>
        <v>show</v>
      </c>
      <c r="E2016" t="str">
        <f>HYPERLINK("https://github.com/farkam135/GoIV","show")</f>
        <v>show</v>
      </c>
      <c r="F2016" t="str">
        <f>HYPERLINK("https://github.com/farkam135/GoIV/releases","show")</f>
        <v>show</v>
      </c>
    </row>
    <row r="2017" spans="1:6">
      <c r="A2017" t="s">
        <v>6044</v>
      </c>
      <c r="B2017" t="s">
        <v>6045</v>
      </c>
      <c r="C2017" t="s">
        <v>6046</v>
      </c>
      <c r="D2017" t="str">
        <f>HYPERLINK("https://github.com/koral--/android-gif-drawable/issues/343","show")</f>
        <v>show</v>
      </c>
      <c r="E2017" t="str">
        <f>HYPERLINK("https://github.com/koral--/android-gif-drawable","show")</f>
        <v>show</v>
      </c>
      <c r="F2017" t="str">
        <f>HYPERLINK("https://github.com/koral--/android-gif-drawable/releases","show")</f>
        <v>show</v>
      </c>
    </row>
    <row r="2018" spans="1:6">
      <c r="A2018" t="s">
        <v>6047</v>
      </c>
      <c r="B2018" t="s">
        <v>6048</v>
      </c>
      <c r="C2018" t="s">
        <v>6049</v>
      </c>
      <c r="D2018" t="str">
        <f>HYPERLINK("https://github.com/google/physical-web/issues/838","show")</f>
        <v>show</v>
      </c>
      <c r="E2018" t="str">
        <f>HYPERLINK("https://github.com/google/physical-web","show")</f>
        <v>show</v>
      </c>
      <c r="F2018" t="str">
        <f>HYPERLINK("https://github.com/google/physical-web/releases","show")</f>
        <v>show</v>
      </c>
    </row>
    <row r="2019" spans="1:6">
      <c r="A2019" t="s">
        <v>6050</v>
      </c>
      <c r="B2019" t="s">
        <v>6051</v>
      </c>
      <c r="C2019" t="s">
        <v>6052</v>
      </c>
      <c r="D2019" t="str">
        <f>HYPERLINK("https://github.com/davideas/FlexibleAdapter/issues/173","show")</f>
        <v>show</v>
      </c>
      <c r="E2019" t="str">
        <f>HYPERLINK("https://github.com/davideas/FlexibleAdapter","show")</f>
        <v>show</v>
      </c>
      <c r="F2019" t="str">
        <f>HYPERLINK("https://github.com/davideas/FlexibleAdapter/releases","show")</f>
        <v>show</v>
      </c>
    </row>
    <row r="2020" spans="1:6">
      <c r="A2020" t="s">
        <v>6053</v>
      </c>
      <c r="B2020" t="s">
        <v>6054</v>
      </c>
      <c r="C2020" t="s">
        <v>6055</v>
      </c>
      <c r="D2020" t="str">
        <f>HYPERLINK("https://github.com/eclipse/paho.mqtt.android/issues/122","show")</f>
        <v>show</v>
      </c>
      <c r="E2020" t="str">
        <f>HYPERLINK("https://github.com/eclipse/paho.mqtt.android","show")</f>
        <v>show</v>
      </c>
      <c r="F2020" t="str">
        <f>HYPERLINK("https://github.com/eclipse/paho.mqtt.android/releases","show")</f>
        <v>show</v>
      </c>
    </row>
    <row r="2021" spans="1:6">
      <c r="A2021" t="s">
        <v>6056</v>
      </c>
      <c r="B2021" t="s">
        <v>6057</v>
      </c>
      <c r="C2021" t="s">
        <v>6058</v>
      </c>
      <c r="D2021" t="str">
        <f>HYPERLINK("https://github.com/k9mail/k-9/issues/1629","show")</f>
        <v>show</v>
      </c>
      <c r="E2021" t="str">
        <f>HYPERLINK("https://github.com/k9mail/k-9","show")</f>
        <v>show</v>
      </c>
      <c r="F2021" t="str">
        <f>HYPERLINK("https://github.com/k9mail/k-9/releases","show")</f>
        <v>show</v>
      </c>
    </row>
    <row r="2022" spans="1:6">
      <c r="A2022" t="s">
        <v>6059</v>
      </c>
      <c r="B2022" t="s">
        <v>6060</v>
      </c>
      <c r="C2022" t="s">
        <v>6061</v>
      </c>
      <c r="D2022" t="str">
        <f>HYPERLINK("https://github.com/farkam135/GoIV/issues/477","show")</f>
        <v>show</v>
      </c>
      <c r="E2022" t="str">
        <f>HYPERLINK("https://github.com/farkam135/GoIV","show")</f>
        <v>show</v>
      </c>
      <c r="F2022" t="str">
        <f>HYPERLINK("https://github.com/farkam135/GoIV/releases","show")</f>
        <v>show</v>
      </c>
    </row>
    <row r="2023" spans="1:6">
      <c r="A2023" t="s">
        <v>6062</v>
      </c>
      <c r="B2023" t="s">
        <v>6063</v>
      </c>
      <c r="C2023" t="s">
        <v>6064</v>
      </c>
      <c r="D2023" t="str">
        <f>HYPERLINK("https://github.com/wasdennnoch/AndroidN-ify/issues/953","show")</f>
        <v>show</v>
      </c>
      <c r="E2023" t="str">
        <f>HYPERLINK("https://github.com/wasdennnoch/AndroidN-ify","show")</f>
        <v>show</v>
      </c>
      <c r="F2023" t="str">
        <f>HYPERLINK("https://github.com/wasdennnoch/AndroidN-ify/releases","show")</f>
        <v>show</v>
      </c>
    </row>
    <row r="2024" spans="1:6">
      <c r="A2024" t="s">
        <v>6065</v>
      </c>
      <c r="B2024" t="s">
        <v>6066</v>
      </c>
      <c r="C2024" t="s">
        <v>6067</v>
      </c>
      <c r="D2024" t="str">
        <f>HYPERLINK("https://github.com/farkam135/GoIV/issues/475","show")</f>
        <v>show</v>
      </c>
      <c r="E2024" t="str">
        <f>HYPERLINK("https://github.com/farkam135/GoIV","show")</f>
        <v>show</v>
      </c>
      <c r="F2024" t="str">
        <f>HYPERLINK("https://github.com/farkam135/GoIV/releases","show")</f>
        <v>show</v>
      </c>
    </row>
    <row r="2025" spans="1:6">
      <c r="A2025" t="s">
        <v>6068</v>
      </c>
      <c r="B2025" t="s">
        <v>6069</v>
      </c>
      <c r="C2025" t="s">
        <v>6070</v>
      </c>
      <c r="D2025" t="str">
        <f>HYPERLINK("https://github.com/farkam135/GoIV/issues/472","show")</f>
        <v>show</v>
      </c>
      <c r="E2025" t="str">
        <f>HYPERLINK("https://github.com/farkam135/GoIV","show")</f>
        <v>show</v>
      </c>
      <c r="F2025" t="str">
        <f>HYPERLINK("https://github.com/farkam135/GoIV/releases","show")</f>
        <v>show</v>
      </c>
    </row>
    <row r="2026" spans="1:6">
      <c r="A2026" t="s">
        <v>6071</v>
      </c>
      <c r="B2026" t="s">
        <v>6072</v>
      </c>
      <c r="C2026" t="s">
        <v>6073</v>
      </c>
      <c r="D2026" t="str">
        <f>HYPERLINK("https://github.com/microg/RemoteDroidGuard/issues/1","show")</f>
        <v>show</v>
      </c>
      <c r="E2026" t="str">
        <f>HYPERLINK("https://github.com/microg/RemoteDroidGuard","show")</f>
        <v>show</v>
      </c>
      <c r="F2026" t="str">
        <f>HYPERLINK("https://github.com/microg/RemoteDroidGuard/releases","show")</f>
        <v>show</v>
      </c>
    </row>
    <row r="2027" spans="1:6">
      <c r="A2027" t="s">
        <v>6074</v>
      </c>
      <c r="B2027" t="s">
        <v>6075</v>
      </c>
      <c r="C2027" t="s">
        <v>6076</v>
      </c>
      <c r="D2027" t="str">
        <f>HYPERLINK("https://github.com/CellularPrivacy/Android-IMSI-Catcher-Detector/issues/900","show")</f>
        <v>show</v>
      </c>
      <c r="E2027" t="str">
        <f>HYPERLINK("https://github.com/CellularPrivacy/Android-IMSI-Catcher-Detector","show")</f>
        <v>show</v>
      </c>
      <c r="F2027" t="str">
        <f>HYPERLINK("https://github.com/CellularPrivacy/Android-IMSI-Catcher-Detector/releases","show")</f>
        <v>show</v>
      </c>
    </row>
    <row r="2028" spans="1:6">
      <c r="A2028" t="s">
        <v>6077</v>
      </c>
      <c r="B2028" t="s">
        <v>6078</v>
      </c>
      <c r="C2028" t="s">
        <v>6079</v>
      </c>
      <c r="D2028" t="str">
        <f>HYPERLINK("https://github.com/nextcloud/android/issues/290","show")</f>
        <v>show</v>
      </c>
      <c r="E2028" t="str">
        <f>HYPERLINK("https://github.com/nextcloud/android","show")</f>
        <v>show</v>
      </c>
      <c r="F2028" t="str">
        <f>HYPERLINK("https://github.com/nextcloud/android/releases","show")</f>
        <v>show</v>
      </c>
    </row>
    <row r="2029" spans="1:6">
      <c r="A2029" t="s">
        <v>6080</v>
      </c>
      <c r="B2029" t="s">
        <v>6081</v>
      </c>
      <c r="C2029" t="s">
        <v>6082</v>
      </c>
      <c r="D2029" t="str">
        <f>HYPERLINK("https://github.com/google/ExoPlayer/issues/1865","show")</f>
        <v>show</v>
      </c>
      <c r="E2029" t="str">
        <f>HYPERLINK("https://github.com/google/ExoPlayer","show")</f>
        <v>show</v>
      </c>
      <c r="F2029" t="str">
        <f>HYPERLINK("https://github.com/google/ExoPlayer/releases","show")</f>
        <v>show</v>
      </c>
    </row>
    <row r="2030" spans="1:6">
      <c r="A2030" t="s">
        <v>6083</v>
      </c>
      <c r="B2030" t="s">
        <v>6084</v>
      </c>
      <c r="C2030" t="s">
        <v>6085</v>
      </c>
      <c r="D2030" t="str">
        <f>HYPERLINK("https://github.com/ikurek/PWr-App/issues/30","show")</f>
        <v>show</v>
      </c>
      <c r="E2030" t="str">
        <f>HYPERLINK("https://github.com/ikurek/PWr-App","show")</f>
        <v>show</v>
      </c>
      <c r="F2030" t="str">
        <f>HYPERLINK("https://github.com/ikurek/PWr-App/releases","show")</f>
        <v>show</v>
      </c>
    </row>
    <row r="2031" spans="1:6">
      <c r="A2031" t="s">
        <v>6086</v>
      </c>
      <c r="B2031" t="s">
        <v>6087</v>
      </c>
      <c r="C2031" t="s">
        <v>6088</v>
      </c>
      <c r="D2031" t="str">
        <f>HYPERLINK("https://github.com/nitaliano/react-native-mapbox-gl/issues/428","show")</f>
        <v>show</v>
      </c>
      <c r="E2031" t="str">
        <f>HYPERLINK("https://github.com/nitaliano/react-native-mapbox-gl","show")</f>
        <v>show</v>
      </c>
      <c r="F2031" t="str">
        <f>HYPERLINK("https://github.com/nitaliano/react-native-mapbox-gl/releases","show")</f>
        <v>show</v>
      </c>
    </row>
    <row r="2032" spans="1:6">
      <c r="A2032" t="s">
        <v>6089</v>
      </c>
      <c r="B2032" t="s">
        <v>6090</v>
      </c>
      <c r="C2032" t="s">
        <v>6091</v>
      </c>
      <c r="D2032" t="str">
        <f>HYPERLINK("https://github.com/vector-im/riot-android/issues/563","show")</f>
        <v>show</v>
      </c>
      <c r="E2032" t="str">
        <f>HYPERLINK("https://github.com/vector-im/riot-android","show")</f>
        <v>show</v>
      </c>
      <c r="F2032" t="str">
        <f>HYPERLINK("https://github.com/vector-im/riot-android/releases","show")</f>
        <v>show</v>
      </c>
    </row>
    <row r="2033" spans="1:6">
      <c r="A2033" t="s">
        <v>6092</v>
      </c>
      <c r="B2033" t="s">
        <v>6093</v>
      </c>
      <c r="C2033" t="s">
        <v>6094</v>
      </c>
      <c r="D2033" t="str">
        <f>HYPERLINK("https://github.com/inaturalist/iNaturalistAndroid/issues/249","show")</f>
        <v>show</v>
      </c>
      <c r="E2033" t="str">
        <f>HYPERLINK("https://github.com/inaturalist/iNaturalistAndroid","show")</f>
        <v>show</v>
      </c>
      <c r="F2033" t="str">
        <f>HYPERLINK("https://github.com/inaturalist/iNaturalistAndroid/releases","show")</f>
        <v>show</v>
      </c>
    </row>
    <row r="2034" spans="1:6">
      <c r="A2034" t="s">
        <v>6095</v>
      </c>
      <c r="B2034" t="s">
        <v>6096</v>
      </c>
      <c r="C2034" t="s">
        <v>6097</v>
      </c>
      <c r="D2034" t="str">
        <f>HYPERLINK("https://github.com/Rajawali/Rajawali/issues/1781","show")</f>
        <v>show</v>
      </c>
      <c r="E2034" t="str">
        <f>HYPERLINK("https://github.com/Rajawali/Rajawali","show")</f>
        <v>show</v>
      </c>
      <c r="F2034" t="str">
        <f>HYPERLINK("https://github.com/Rajawali/Rajawali/releases","show")</f>
        <v>show</v>
      </c>
    </row>
    <row r="2035" spans="1:6">
      <c r="A2035" t="s">
        <v>6098</v>
      </c>
      <c r="B2035" t="s">
        <v>6099</v>
      </c>
      <c r="C2035" t="s">
        <v>6100</v>
      </c>
      <c r="D2035" t="str">
        <f>HYPERLINK("https://github.com/OneBusAway/onebusaway-android/issues/703","show")</f>
        <v>show</v>
      </c>
      <c r="E2035" t="str">
        <f>HYPERLINK("https://github.com/OneBusAway/onebusaway-android","show")</f>
        <v>show</v>
      </c>
      <c r="F2035" t="str">
        <f>HYPERLINK("https://github.com/OneBusAway/onebusaway-android/releases","show")</f>
        <v>show</v>
      </c>
    </row>
    <row r="2036" spans="1:6">
      <c r="A2036" t="s">
        <v>6101</v>
      </c>
      <c r="B2036" t="s">
        <v>6102</v>
      </c>
      <c r="C2036" t="s">
        <v>6103</v>
      </c>
      <c r="D2036" t="str">
        <f>HYPERLINK("https://github.com/RestComm/restcomm-android-sdk/issues/412","show")</f>
        <v>show</v>
      </c>
      <c r="E2036" t="str">
        <f>HYPERLINK("https://github.com/RestComm/restcomm-android-sdk","show")</f>
        <v>show</v>
      </c>
      <c r="F2036" t="str">
        <f>HYPERLINK("https://github.com/RestComm/restcomm-android-sdk/releases","show")</f>
        <v>show</v>
      </c>
    </row>
    <row r="2037" spans="1:6">
      <c r="A2037" t="s">
        <v>6104</v>
      </c>
      <c r="B2037" t="s">
        <v>6105</v>
      </c>
      <c r="C2037" t="s">
        <v>6106</v>
      </c>
      <c r="D2037" t="str">
        <f>HYPERLINK("https://github.com/daneren2005/Subsonic/issues/738","show")</f>
        <v>show</v>
      </c>
      <c r="E2037" t="str">
        <f>HYPERLINK("https://github.com/daneren2005/Subsonic","show")</f>
        <v>show</v>
      </c>
      <c r="F2037" t="str">
        <f>HYPERLINK("https://github.com/daneren2005/Subsonic/releases","show")</f>
        <v>show</v>
      </c>
    </row>
    <row r="2038" spans="1:6">
      <c r="A2038" t="s">
        <v>6107</v>
      </c>
      <c r="B2038" t="s">
        <v>6108</v>
      </c>
      <c r="C2038" t="s">
        <v>6109</v>
      </c>
      <c r="D2038" t="str">
        <f>HYPERLINK("https://github.com/RestComm/restcomm-android-sdk/issues/415","show")</f>
        <v>show</v>
      </c>
      <c r="E2038" t="str">
        <f>HYPERLINK("https://github.com/RestComm/restcomm-android-sdk","show")</f>
        <v>show</v>
      </c>
      <c r="F2038" t="str">
        <f>HYPERLINK("https://github.com/RestComm/restcomm-android-sdk/releases","show")</f>
        <v>show</v>
      </c>
    </row>
    <row r="2039" spans="1:6">
      <c r="A2039" t="s">
        <v>6110</v>
      </c>
      <c r="B2039" t="s">
        <v>6111</v>
      </c>
      <c r="C2039" t="s">
        <v>6112</v>
      </c>
      <c r="D2039" t="str">
        <f>HYPERLINK("https://github.com/pwittchen/ReactiveNetwork/issues/87","show")</f>
        <v>show</v>
      </c>
      <c r="E2039" t="str">
        <f>HYPERLINK("https://github.com/pwittchen/ReactiveNetwork","show")</f>
        <v>show</v>
      </c>
      <c r="F2039" t="str">
        <f>HYPERLINK("https://github.com/pwittchen/ReactiveNetwork/releases","show")</f>
        <v>show</v>
      </c>
    </row>
    <row r="2040" spans="1:6">
      <c r="A2040" t="s">
        <v>6113</v>
      </c>
      <c r="B2040" t="s">
        <v>6114</v>
      </c>
      <c r="C2040" t="s">
        <v>6115</v>
      </c>
      <c r="D2040" t="str">
        <f>HYPERLINK("https://github.com/google/ExoPlayer/issues/1882","show")</f>
        <v>show</v>
      </c>
      <c r="E2040" t="str">
        <f>HYPERLINK("https://github.com/google/ExoPlayer","show")</f>
        <v>show</v>
      </c>
      <c r="F2040" t="str">
        <f>HYPERLINK("https://github.com/google/ExoPlayer/releases","show")</f>
        <v>show</v>
      </c>
    </row>
    <row r="2041" spans="1:6">
      <c r="A2041" t="s">
        <v>6116</v>
      </c>
      <c r="B2041" t="s">
        <v>6117</v>
      </c>
      <c r="C2041" t="s">
        <v>6118</v>
      </c>
      <c r="D2041" t="str">
        <f>HYPERLINK("https://github.com/couchbaselabs/couchbase-lite-java-forestdb/issues/89","show")</f>
        <v>show</v>
      </c>
      <c r="E2041" t="str">
        <f>HYPERLINK("https://github.com/couchbaselabs/couchbase-lite-java-forestdb","show")</f>
        <v>show</v>
      </c>
      <c r="F2041" t="str">
        <f>HYPERLINK("https://github.com/couchbaselabs/couchbase-lite-java-forestdb/releases","show")</f>
        <v>show</v>
      </c>
    </row>
    <row r="2042" spans="1:6">
      <c r="A2042" t="s">
        <v>6119</v>
      </c>
      <c r="B2042" t="s">
        <v>6120</v>
      </c>
      <c r="C2042" t="s">
        <v>6121</v>
      </c>
      <c r="D2042" t="str">
        <f>HYPERLINK("https://github.com/ludomuse/Ludomuse/issues/22","show")</f>
        <v>show</v>
      </c>
      <c r="E2042" t="str">
        <f>HYPERLINK("https://github.com/ludomuse/Ludomuse","show")</f>
        <v>show</v>
      </c>
      <c r="F2042" t="str">
        <f>HYPERLINK("https://github.com/ludomuse/Ludomuse/releases","show")</f>
        <v>show</v>
      </c>
    </row>
    <row r="2043" spans="1:6">
      <c r="A2043" t="s">
        <v>6122</v>
      </c>
      <c r="B2043" t="s">
        <v>6123</v>
      </c>
      <c r="C2043" t="s">
        <v>6124</v>
      </c>
      <c r="D2043" t="str">
        <f>HYPERLINK("https://github.com/bgogetap/StickyHeaders/issues/23","show")</f>
        <v>show</v>
      </c>
      <c r="E2043" t="str">
        <f>HYPERLINK("https://github.com/bgogetap/StickyHeaders","show")</f>
        <v>show</v>
      </c>
      <c r="F2043" t="str">
        <f>HYPERLINK("https://github.com/bgogetap/StickyHeaders/releases","show")</f>
        <v>show</v>
      </c>
    </row>
    <row r="2044" spans="1:6">
      <c r="A2044" t="s">
        <v>6125</v>
      </c>
      <c r="B2044" t="s">
        <v>6126</v>
      </c>
      <c r="C2044" t="s">
        <v>6127</v>
      </c>
      <c r="D2044" t="str">
        <f>HYPERLINK("https://github.com/k9mail/k-9/issues/1658","show")</f>
        <v>show</v>
      </c>
      <c r="E2044" t="str">
        <f>HYPERLINK("https://github.com/k9mail/k-9","show")</f>
        <v>show</v>
      </c>
      <c r="F2044" t="str">
        <f>HYPERLINK("https://github.com/k9mail/k-9/releases","show")</f>
        <v>show</v>
      </c>
    </row>
    <row r="2045" spans="1:6">
      <c r="A2045" t="s">
        <v>6128</v>
      </c>
      <c r="B2045" t="s">
        <v>6129</v>
      </c>
      <c r="C2045" t="s">
        <v>6130</v>
      </c>
      <c r="D2045" t="str">
        <f>HYPERLINK("https://github.com/wasdennnoch/AndroidN-ify/issues/1016","show")</f>
        <v>show</v>
      </c>
      <c r="E2045" t="str">
        <f>HYPERLINK("https://github.com/wasdennnoch/AndroidN-ify","show")</f>
        <v>show</v>
      </c>
      <c r="F2045" t="str">
        <f>HYPERLINK("https://github.com/wasdennnoch/AndroidN-ify/releases","show")</f>
        <v>show</v>
      </c>
    </row>
    <row r="2046" spans="1:6">
      <c r="A2046" t="s">
        <v>6131</v>
      </c>
      <c r="B2046" t="s">
        <v>6132</v>
      </c>
      <c r="C2046" t="s">
        <v>6133</v>
      </c>
      <c r="D2046" t="str">
        <f>HYPERLINK("https://github.com/google/cameraview/issues/29","show")</f>
        <v>show</v>
      </c>
      <c r="E2046" t="str">
        <f>HYPERLINK("https://github.com/google/cameraview","show")</f>
        <v>show</v>
      </c>
      <c r="F2046" t="str">
        <f>HYPERLINK("https://github.com/google/cameraview/releases","show")</f>
        <v>show</v>
      </c>
    </row>
    <row r="2047" spans="1:6">
      <c r="A2047" t="s">
        <v>6134</v>
      </c>
      <c r="B2047" t="s">
        <v>6135</v>
      </c>
      <c r="C2047" t="s">
        <v>6136</v>
      </c>
      <c r="D2047" t="str">
        <f>HYPERLINK("https://github.com/iomodo/Wally/issues/74","show")</f>
        <v>show</v>
      </c>
      <c r="E2047" t="str">
        <f>HYPERLINK("https://github.com/iomodo/Wally","show")</f>
        <v>show</v>
      </c>
      <c r="F2047" t="str">
        <f>HYPERLINK("https://github.com/iomodo/Wally/releases","show")</f>
        <v>show</v>
      </c>
    </row>
    <row r="2048" spans="1:6">
      <c r="A2048" t="s">
        <v>6137</v>
      </c>
      <c r="B2048" t="s">
        <v>6138</v>
      </c>
      <c r="C2048" t="s">
        <v>6139</v>
      </c>
      <c r="D2048" t="str">
        <f>HYPERLINK("https://github.com/Z3r0byte/Magis/issues/47","show")</f>
        <v>show</v>
      </c>
      <c r="E2048" t="str">
        <f>HYPERLINK("https://github.com/Z3r0byte/Magis","show")</f>
        <v>show</v>
      </c>
      <c r="F2048" t="str">
        <f>HYPERLINK("https://github.com/Z3r0byte/Magis/releases","show")</f>
        <v>show</v>
      </c>
    </row>
    <row r="2049" spans="1:6">
      <c r="A2049" t="s">
        <v>6140</v>
      </c>
      <c r="B2049" t="s">
        <v>6141</v>
      </c>
      <c r="C2049" t="s">
        <v>6142</v>
      </c>
      <c r="D2049" t="str">
        <f>HYPERLINK("https://github.com/google/ExoPlayer/issues/1899","show")</f>
        <v>show</v>
      </c>
      <c r="E2049" t="str">
        <f>HYPERLINK("https://github.com/google/ExoPlayer","show")</f>
        <v>show</v>
      </c>
      <c r="F2049" t="str">
        <f>HYPERLINK("https://github.com/google/ExoPlayer/releases","show")</f>
        <v>show</v>
      </c>
    </row>
    <row r="2050" spans="1:6">
      <c r="A2050" t="s">
        <v>6143</v>
      </c>
      <c r="B2050" t="s">
        <v>6144</v>
      </c>
      <c r="C2050" t="s">
        <v>6145</v>
      </c>
      <c r="D2050" t="str">
        <f>HYPERLINK("https://github.com/ludomuse/Ludomuse/issues/23","show")</f>
        <v>show</v>
      </c>
      <c r="E2050" t="str">
        <f>HYPERLINK("https://github.com/ludomuse/Ludomuse","show")</f>
        <v>show</v>
      </c>
      <c r="F2050" t="str">
        <f>HYPERLINK("https://github.com/ludomuse/Ludomuse/releases","show")</f>
        <v>show</v>
      </c>
    </row>
    <row r="2051" spans="1:6">
      <c r="A2051" t="s">
        <v>6146</v>
      </c>
      <c r="B2051" t="s">
        <v>6147</v>
      </c>
      <c r="C2051" t="s">
        <v>6148</v>
      </c>
      <c r="D2051" t="str">
        <f>HYPERLINK("https://github.com/chandevel/Clover/issues/239","show")</f>
        <v>show</v>
      </c>
      <c r="E2051" t="str">
        <f>HYPERLINK("https://github.com/chandevel/Clover","show")</f>
        <v>show</v>
      </c>
      <c r="F2051" t="str">
        <f>HYPERLINK("https://github.com/chandevel/Clover/releases","show")</f>
        <v>show</v>
      </c>
    </row>
    <row r="2052" spans="1:6">
      <c r="A2052" t="s">
        <v>6149</v>
      </c>
      <c r="B2052" t="s">
        <v>6150</v>
      </c>
      <c r="C2052" t="s">
        <v>6151</v>
      </c>
      <c r="D2052" t="str">
        <f>HYPERLINK("https://github.com/ftctechnh/ftc_app/issues/224","show")</f>
        <v>show</v>
      </c>
      <c r="E2052" t="str">
        <f>HYPERLINK("https://github.com/ftctechnh/ftc_app","show")</f>
        <v>show</v>
      </c>
      <c r="F2052" t="str">
        <f>HYPERLINK("https://github.com/ftctechnh/ftc_app/releases","show")</f>
        <v>show</v>
      </c>
    </row>
    <row r="2053" spans="1:6">
      <c r="A2053" t="s">
        <v>6152</v>
      </c>
      <c r="B2053" t="s">
        <v>6153</v>
      </c>
      <c r="C2053" t="s">
        <v>6154</v>
      </c>
      <c r="D2053" t="str">
        <f>HYPERLINK("https://github.com/OneBusAway/onebusaway-android/issues/704","show")</f>
        <v>show</v>
      </c>
      <c r="E2053" t="str">
        <f>HYPERLINK("https://github.com/OneBusAway/onebusaway-android","show")</f>
        <v>show</v>
      </c>
      <c r="F2053" t="str">
        <f>HYPERLINK("https://github.com/OneBusAway/onebusaway-android/releases","show")</f>
        <v>show</v>
      </c>
    </row>
    <row r="2054" spans="1:6">
      <c r="A2054" t="s">
        <v>6155</v>
      </c>
      <c r="B2054" t="s">
        <v>6156</v>
      </c>
      <c r="C2054" t="s">
        <v>6157</v>
      </c>
      <c r="D2054" t="str">
        <f>HYPERLINK("https://github.com/innoveit/react-native-ble-manager/issues/64","show")</f>
        <v>show</v>
      </c>
      <c r="E2054" t="str">
        <f>HYPERLINK("https://github.com/innoveit/react-native-ble-manager","show")</f>
        <v>show</v>
      </c>
      <c r="F2054" t="str">
        <f>HYPERLINK("https://github.com/innoveit/react-native-ble-manager/releases","show")</f>
        <v>show</v>
      </c>
    </row>
    <row r="2055" spans="1:6">
      <c r="A2055" t="s">
        <v>6158</v>
      </c>
      <c r="B2055" t="s">
        <v>6159</v>
      </c>
      <c r="C2055" t="s">
        <v>6160</v>
      </c>
      <c r="D2055" t="str">
        <f>HYPERLINK("https://github.com/davideas/FlexibleAdapter/issues/191","show")</f>
        <v>show</v>
      </c>
      <c r="E2055" t="str">
        <f>HYPERLINK("https://github.com/davideas/FlexibleAdapter","show")</f>
        <v>show</v>
      </c>
      <c r="F2055" t="str">
        <f>HYPERLINK("https://github.com/davideas/FlexibleAdapter/releases","show")</f>
        <v>show</v>
      </c>
    </row>
    <row r="2056" spans="1:6">
      <c r="A2056" t="s">
        <v>6161</v>
      </c>
      <c r="B2056" t="s">
        <v>6162</v>
      </c>
      <c r="C2056" t="s">
        <v>6163</v>
      </c>
      <c r="D2056" t="str">
        <f>HYPERLINK("https://github.com/iomodo/Wally/issues/76","show")</f>
        <v>show</v>
      </c>
      <c r="E2056" t="str">
        <f>HYPERLINK("https://github.com/iomodo/Wally","show")</f>
        <v>show</v>
      </c>
      <c r="F2056" t="str">
        <f>HYPERLINK("https://github.com/iomodo/Wally/releases","show")</f>
        <v>show</v>
      </c>
    </row>
    <row r="2057" spans="1:6">
      <c r="A2057" t="s">
        <v>6164</v>
      </c>
      <c r="B2057" t="s">
        <v>6165</v>
      </c>
      <c r="C2057" t="s">
        <v>6166</v>
      </c>
      <c r="D2057" t="str">
        <f>HYPERLINK("https://github.com/cgeo/cgeo/issues/6025","show")</f>
        <v>show</v>
      </c>
      <c r="E2057" t="str">
        <f>HYPERLINK("https://github.com/cgeo/cgeo","show")</f>
        <v>show</v>
      </c>
      <c r="F2057" t="str">
        <f>HYPERLINK("https://github.com/cgeo/cgeo/releases","show")</f>
        <v>show</v>
      </c>
    </row>
    <row r="2058" spans="1:6">
      <c r="A2058" t="s">
        <v>6167</v>
      </c>
      <c r="B2058" t="s">
        <v>6168</v>
      </c>
      <c r="C2058" t="s">
        <v>6169</v>
      </c>
      <c r="D2058" t="str">
        <f>HYPERLINK("https://github.com/marzika/Snapprefs/issues/261","show")</f>
        <v>show</v>
      </c>
      <c r="E2058" t="str">
        <f>HYPERLINK("https://github.com/marzika/Snapprefs","show")</f>
        <v>show</v>
      </c>
      <c r="F2058" t="str">
        <f>HYPERLINK("https://github.com/marzika/Snapprefs/releases","show")</f>
        <v>show</v>
      </c>
    </row>
    <row r="2059" spans="1:6">
      <c r="A2059" t="s">
        <v>6170</v>
      </c>
      <c r="B2059" t="s">
        <v>6171</v>
      </c>
      <c r="C2059" t="s">
        <v>6172</v>
      </c>
      <c r="D2059" t="str">
        <f>HYPERLINK("https://github.com/alter-ego/androidbound/issues/63","show")</f>
        <v>show</v>
      </c>
      <c r="E2059" t="str">
        <f>HYPERLINK("https://github.com/alter-ego/androidbound","show")</f>
        <v>show</v>
      </c>
      <c r="F2059" t="str">
        <f>HYPERLINK("https://github.com/alter-ego/androidbound/releases","show")</f>
        <v>show</v>
      </c>
    </row>
    <row r="2060" spans="1:6">
      <c r="A2060" t="s">
        <v>6173</v>
      </c>
      <c r="B2060" t="s">
        <v>6174</v>
      </c>
      <c r="C2060" t="s">
        <v>6175</v>
      </c>
      <c r="D2060" t="str">
        <f>HYPERLINK("https://github.com/dmfs/opentasks/issues/286","show")</f>
        <v>show</v>
      </c>
      <c r="E2060" t="str">
        <f>HYPERLINK("https://github.com/dmfs/opentasks","show")</f>
        <v>show</v>
      </c>
      <c r="F2060" t="str">
        <f>HYPERLINK("https://github.com/dmfs/opentasks/releases","show")</f>
        <v>show</v>
      </c>
    </row>
    <row r="2061" spans="1:6">
      <c r="A2061" t="s">
        <v>6176</v>
      </c>
      <c r="B2061" t="s">
        <v>6177</v>
      </c>
      <c r="C2061" t="s">
        <v>6178</v>
      </c>
      <c r="D2061" t="str">
        <f>HYPERLINK("https://github.com/barbeau/gpstest/issues/61","show")</f>
        <v>show</v>
      </c>
      <c r="E2061" t="str">
        <f>HYPERLINK("https://github.com/barbeau/gpstest","show")</f>
        <v>show</v>
      </c>
      <c r="F2061" t="str">
        <f>HYPERLINK("https://github.com/barbeau/gpstest/releases","show")</f>
        <v>show</v>
      </c>
    </row>
    <row r="2062" spans="1:6">
      <c r="A2062" t="s">
        <v>6179</v>
      </c>
      <c r="B2062" t="s">
        <v>6180</v>
      </c>
      <c r="C2062" t="s">
        <v>6181</v>
      </c>
      <c r="D2062" t="str">
        <f>HYPERLINK("https://github.com/open-keychain/open-keychain/issues/1936","show")</f>
        <v>show</v>
      </c>
      <c r="E2062" t="str">
        <f>HYPERLINK("https://github.com/open-keychain/open-keychain","show")</f>
        <v>show</v>
      </c>
      <c r="F2062" t="str">
        <f>HYPERLINK("https://github.com/open-keychain/open-keychain/releases","show")</f>
        <v>show</v>
      </c>
    </row>
    <row r="2063" spans="1:6">
      <c r="A2063" t="s">
        <v>6182</v>
      </c>
      <c r="B2063" t="s">
        <v>6183</v>
      </c>
      <c r="C2063" t="s">
        <v>6184</v>
      </c>
      <c r="D2063" t="str">
        <f>HYPERLINK("https://github.com/greenrobot/greenDAO/issues/466","show")</f>
        <v>show</v>
      </c>
      <c r="E2063" t="str">
        <f>HYPERLINK("https://github.com/greenrobot/greenDAO","show")</f>
        <v>show</v>
      </c>
      <c r="F2063" t="str">
        <f>HYPERLINK("https://github.com/greenrobot/greenDAO/releases","show")</f>
        <v>show</v>
      </c>
    </row>
    <row r="2064" spans="1:6">
      <c r="A2064" t="s">
        <v>6185</v>
      </c>
      <c r="B2064" t="s">
        <v>6186</v>
      </c>
      <c r="C2064" t="s">
        <v>6187</v>
      </c>
      <c r="D2064" t="str">
        <f>HYPERLINK("https://github.com/google/ExoPlayer/issues/1943","show")</f>
        <v>show</v>
      </c>
      <c r="E2064" t="str">
        <f>HYPERLINK("https://github.com/google/ExoPlayer","show")</f>
        <v>show</v>
      </c>
      <c r="F2064" t="str">
        <f>HYPERLINK("https://github.com/google/ExoPlayer/releases","show")</f>
        <v>show</v>
      </c>
    </row>
    <row r="2065" spans="1:6">
      <c r="A2065" t="s">
        <v>6188</v>
      </c>
      <c r="B2065" t="s">
        <v>6189</v>
      </c>
      <c r="C2065" t="s">
        <v>6190</v>
      </c>
      <c r="D2065" t="str">
        <f>HYPERLINK("https://github.com/openid/AppAuth-Android/issues/114","show")</f>
        <v>show</v>
      </c>
      <c r="E2065" t="str">
        <f>HYPERLINK("https://github.com/openid/AppAuth-Android","show")</f>
        <v>show</v>
      </c>
      <c r="F2065" t="str">
        <f>HYPERLINK("https://github.com/openid/AppAuth-Android/releases","show")</f>
        <v>show</v>
      </c>
    </row>
    <row r="2066" spans="1:6">
      <c r="A2066" t="s">
        <v>6191</v>
      </c>
      <c r="B2066" t="s">
        <v>6192</v>
      </c>
      <c r="C2066" t="s">
        <v>6193</v>
      </c>
      <c r="D2066" t="str">
        <f>HYPERLINK("https://github.com/bumptech/glide/issues/1523","show")</f>
        <v>show</v>
      </c>
      <c r="E2066" t="str">
        <f>HYPERLINK("https://github.com/bumptech/glide","show")</f>
        <v>show</v>
      </c>
      <c r="F2066" t="str">
        <f>HYPERLINK("https://github.com/bumptech/glide/releases","show")</f>
        <v>show</v>
      </c>
    </row>
    <row r="2067" spans="1:6">
      <c r="A2067" t="s">
        <v>6194</v>
      </c>
      <c r="B2067" t="s">
        <v>6195</v>
      </c>
      <c r="C2067" t="s">
        <v>6196</v>
      </c>
      <c r="D2067" t="str">
        <f>HYPERLINK("https://github.com/mapzen/android/issues/201","show")</f>
        <v>show</v>
      </c>
      <c r="E2067" t="str">
        <f>HYPERLINK("https://github.com/mapzen/android","show")</f>
        <v>show</v>
      </c>
      <c r="F2067" t="str">
        <f>HYPERLINK("https://github.com/mapzen/android/releases","show")</f>
        <v>show</v>
      </c>
    </row>
    <row r="2068" spans="1:6">
      <c r="A2068" t="s">
        <v>6197</v>
      </c>
      <c r="B2068" t="s">
        <v>6198</v>
      </c>
      <c r="C2068" t="s">
        <v>6199</v>
      </c>
      <c r="D2068" t="str">
        <f>HYPERLINK("https://github.com/twilio/video-quickstart-android/issues/31","show")</f>
        <v>show</v>
      </c>
      <c r="E2068" t="str">
        <f>HYPERLINK("https://github.com/twilio/video-quickstart-android","show")</f>
        <v>show</v>
      </c>
      <c r="F2068" t="str">
        <f>HYPERLINK("https://github.com/twilio/video-quickstart-android/releases","show")</f>
        <v>show</v>
      </c>
    </row>
    <row r="2069" spans="1:6">
      <c r="A2069" t="s">
        <v>6200</v>
      </c>
      <c r="B2069" t="s">
        <v>6201</v>
      </c>
      <c r="C2069" t="s">
        <v>6202</v>
      </c>
      <c r="D2069" t="str">
        <f>HYPERLINK("https://github.com/wasdennnoch/AndroidN-ify/issues/1049","show")</f>
        <v>show</v>
      </c>
      <c r="E2069" t="str">
        <f>HYPERLINK("https://github.com/wasdennnoch/AndroidN-ify","show")</f>
        <v>show</v>
      </c>
      <c r="F2069" t="str">
        <f>HYPERLINK("https://github.com/wasdennnoch/AndroidN-ify/releases","show")</f>
        <v>show</v>
      </c>
    </row>
    <row r="2070" spans="1:6">
      <c r="A2070" t="s">
        <v>6203</v>
      </c>
      <c r="B2070" t="s">
        <v>6204</v>
      </c>
      <c r="C2070" t="s">
        <v>6205</v>
      </c>
      <c r="D2070" t="str">
        <f>HYPERLINK("https://github.com/gitskarios/Gitskarios/issues/592","show")</f>
        <v>show</v>
      </c>
      <c r="E2070" t="str">
        <f>HYPERLINK("https://github.com/gitskarios/Gitskarios","show")</f>
        <v>show</v>
      </c>
      <c r="F2070" t="str">
        <f>HYPERLINK("https://github.com/gitskarios/Gitskarios/releases","show")</f>
        <v>show</v>
      </c>
    </row>
    <row r="2071" spans="1:6">
      <c r="A2071" t="s">
        <v>6206</v>
      </c>
      <c r="B2071" t="s">
        <v>6207</v>
      </c>
      <c r="C2071" t="s">
        <v>6208</v>
      </c>
      <c r="D2071" t="str">
        <f>HYPERLINK("https://github.com/nextcloud/android/issues/336","show")</f>
        <v>show</v>
      </c>
      <c r="E2071" t="str">
        <f>HYPERLINK("https://github.com/nextcloud/android","show")</f>
        <v>show</v>
      </c>
      <c r="F2071" t="str">
        <f>HYPERLINK("https://github.com/nextcloud/android/releases","show")</f>
        <v>show</v>
      </c>
    </row>
    <row r="2072" spans="1:6">
      <c r="A2072" t="s">
        <v>6209</v>
      </c>
      <c r="B2072" t="s">
        <v>6210</v>
      </c>
      <c r="C2072" t="s">
        <v>6211</v>
      </c>
      <c r="D2072" t="str">
        <f>HYPERLINK("https://github.com/BaseballCardTracker/bbct-android/issues/401","show")</f>
        <v>show</v>
      </c>
      <c r="E2072" t="str">
        <f>HYPERLINK("https://github.com/BaseballCardTracker/bbct-android","show")</f>
        <v>show</v>
      </c>
      <c r="F2072" t="str">
        <f>HYPERLINK("https://github.com/BaseballCardTracker/bbct-android/releases","show")</f>
        <v>show</v>
      </c>
    </row>
    <row r="2073" spans="1:6">
      <c r="A2073" t="s">
        <v>6212</v>
      </c>
      <c r="B2073" t="s">
        <v>6213</v>
      </c>
      <c r="C2073" t="s">
        <v>6214</v>
      </c>
      <c r="D2073" t="str">
        <f>HYPERLINK("https://github.com/barbeau/gpstest/issues/64","show")</f>
        <v>show</v>
      </c>
      <c r="E2073" t="str">
        <f>HYPERLINK("https://github.com/barbeau/gpstest","show")</f>
        <v>show</v>
      </c>
      <c r="F2073" t="str">
        <f>HYPERLINK("https://github.com/barbeau/gpstest/releases","show")</f>
        <v>show</v>
      </c>
    </row>
    <row r="2074" spans="1:6">
      <c r="A2074" t="s">
        <v>6215</v>
      </c>
      <c r="B2074" t="s">
        <v>6216</v>
      </c>
      <c r="C2074" t="s">
        <v>6217</v>
      </c>
      <c r="D2074" t="str">
        <f>HYPERLINK("https://github.com/nextcloud/android/issues/346","show")</f>
        <v>show</v>
      </c>
      <c r="E2074" t="str">
        <f>HYPERLINK("https://github.com/nextcloud/android","show")</f>
        <v>show</v>
      </c>
      <c r="F2074" t="str">
        <f>HYPERLINK("https://github.com/nextcloud/android/releases","show")</f>
        <v>show</v>
      </c>
    </row>
    <row r="2075" spans="1:6">
      <c r="A2075" t="s">
        <v>6218</v>
      </c>
      <c r="B2075" t="s">
        <v>6219</v>
      </c>
      <c r="C2075" t="s">
        <v>6220</v>
      </c>
      <c r="D2075" t="str">
        <f>HYPERLINK("https://github.com/vector-im/riot-android/issues/634","show")</f>
        <v>show</v>
      </c>
      <c r="E2075" t="str">
        <f>HYPERLINK("https://github.com/vector-im/riot-android","show")</f>
        <v>show</v>
      </c>
      <c r="F2075" t="str">
        <f>HYPERLINK("https://github.com/vector-im/riot-android/releases","show")</f>
        <v>show</v>
      </c>
    </row>
    <row r="2076" spans="1:6">
      <c r="A2076" t="s">
        <v>6221</v>
      </c>
      <c r="B2076" t="s">
        <v>6222</v>
      </c>
      <c r="C2076" t="s">
        <v>6223</v>
      </c>
      <c r="D2076" t="str">
        <f>HYPERLINK("https://github.com/sidgvpta/ContactifyAndroid/issues/2","show")</f>
        <v>show</v>
      </c>
      <c r="E2076" t="str">
        <f>HYPERLINK("https://github.com/sidgvpta/ContactifyAndroid","show")</f>
        <v>show</v>
      </c>
      <c r="F2076" t="str">
        <f>HYPERLINK("https://github.com/sidgvpta/ContactifyAndroid/releases","show")</f>
        <v>show</v>
      </c>
    </row>
    <row r="2077" spans="1:6">
      <c r="A2077" t="s">
        <v>6224</v>
      </c>
      <c r="B2077" t="s">
        <v>6225</v>
      </c>
      <c r="C2077" t="s">
        <v>6226</v>
      </c>
      <c r="D2077" t="str">
        <f>HYPERLINK("https://github.com/Tencent/tinker/issues/127","show")</f>
        <v>show</v>
      </c>
      <c r="E2077" t="str">
        <f>HYPERLINK("https://github.com/Tencent/tinker","show")</f>
        <v>show</v>
      </c>
      <c r="F2077" t="str">
        <f>HYPERLINK("https://github.com/Tencent/tinker/releases","show")</f>
        <v>show</v>
      </c>
    </row>
    <row r="2078" spans="1:6">
      <c r="A2078" t="s">
        <v>6227</v>
      </c>
      <c r="B2078" t="s">
        <v>6228</v>
      </c>
      <c r="C2078" t="s">
        <v>6229</v>
      </c>
      <c r="D2078" t="str">
        <f>HYPERLINK("https://github.com/SkyTubeTeam/SkyTube/issues/34","show")</f>
        <v>show</v>
      </c>
      <c r="E2078" t="str">
        <f>HYPERLINK("https://github.com/SkyTubeTeam/SkyTube","show")</f>
        <v>show</v>
      </c>
      <c r="F2078" t="str">
        <f>HYPERLINK("https://github.com/SkyTubeTeam/SkyTube/releases","show")</f>
        <v>show</v>
      </c>
    </row>
    <row r="2079" spans="1:6">
      <c r="A2079" t="s">
        <v>6230</v>
      </c>
      <c r="B2079" t="s">
        <v>6231</v>
      </c>
      <c r="C2079" t="s">
        <v>6232</v>
      </c>
      <c r="D2079" t="str">
        <f>HYPERLINK("https://github.com/flowupio/FlowUpAndroidSDK/issues/91","show")</f>
        <v>show</v>
      </c>
      <c r="E2079" t="str">
        <f>HYPERLINK("https://github.com/flowupio/FlowUpAndroidSDK","show")</f>
        <v>show</v>
      </c>
      <c r="F2079" t="str">
        <f>HYPERLINK("https://github.com/flowupio/FlowUpAndroidSDK/releases","show")</f>
        <v>show</v>
      </c>
    </row>
    <row r="2080" spans="1:6">
      <c r="A2080" t="s">
        <v>6233</v>
      </c>
      <c r="B2080" t="s">
        <v>6234</v>
      </c>
      <c r="C2080" t="s">
        <v>6235</v>
      </c>
      <c r="D2080" t="str">
        <f>HYPERLINK("https://github.com/d4rken/reddit-android-appstore/issues/74","show")</f>
        <v>show</v>
      </c>
      <c r="E2080" t="str">
        <f>HYPERLINK("https://github.com/d4rken/reddit-android-appstore","show")</f>
        <v>show</v>
      </c>
      <c r="F2080" t="str">
        <f>HYPERLINK("https://github.com/d4rken/reddit-android-appstore/releases","show")</f>
        <v>show</v>
      </c>
    </row>
    <row r="2081" spans="1:6">
      <c r="A2081" t="s">
        <v>6236</v>
      </c>
      <c r="B2081" t="s">
        <v>6237</v>
      </c>
      <c r="C2081" t="s">
        <v>6238</v>
      </c>
      <c r="D2081" t="str">
        <f>HYPERLINK("https://github.com/nilsbraden/ttrss-reader-fork/issues/331","show")</f>
        <v>show</v>
      </c>
      <c r="E2081" t="str">
        <f>HYPERLINK("https://github.com/nilsbraden/ttrss-reader-fork","show")</f>
        <v>show</v>
      </c>
      <c r="F2081" t="str">
        <f>HYPERLINK("https://github.com/nilsbraden/ttrss-reader-fork/releases","show")</f>
        <v>show</v>
      </c>
    </row>
    <row r="2082" spans="1:6">
      <c r="A2082" t="s">
        <v>6239</v>
      </c>
      <c r="B2082" t="s">
        <v>6240</v>
      </c>
      <c r="C2082" t="s">
        <v>6241</v>
      </c>
      <c r="D2082" t="str">
        <f>HYPERLINK("https://github.com/JakeWharton/butterknife/issues/782","show")</f>
        <v>show</v>
      </c>
      <c r="E2082" t="str">
        <f>HYPERLINK("https://github.com/JakeWharton/butterknife","show")</f>
        <v>show</v>
      </c>
      <c r="F2082" t="str">
        <f>HYPERLINK("https://github.com/JakeWharton/butterknife/releases","show")</f>
        <v>show</v>
      </c>
    </row>
    <row r="2083" spans="1:6">
      <c r="A2083" t="s">
        <v>6242</v>
      </c>
      <c r="B2083" t="s">
        <v>6243</v>
      </c>
      <c r="C2083" t="s">
        <v>6244</v>
      </c>
      <c r="D2083" t="str">
        <f>HYPERLINK("https://github.com/syncthing/syncthing-android/issues/767","show")</f>
        <v>show</v>
      </c>
      <c r="E2083" t="str">
        <f>HYPERLINK("https://github.com/syncthing/syncthing-android","show")</f>
        <v>show</v>
      </c>
      <c r="F2083" t="str">
        <f>HYPERLINK("https://github.com/syncthing/syncthing-android/releases","show")</f>
        <v>show</v>
      </c>
    </row>
    <row r="2084" spans="1:6">
      <c r="A2084" t="s">
        <v>6245</v>
      </c>
      <c r="B2084" t="s">
        <v>6246</v>
      </c>
      <c r="C2084" t="s">
        <v>6247</v>
      </c>
      <c r="D2084" t="str">
        <f>HYPERLINK("https://github.com/dariuszseweryn/RxAndroidBle/issues/83","show")</f>
        <v>show</v>
      </c>
      <c r="E2084" t="str">
        <f>HYPERLINK("https://github.com/dariuszseweryn/RxAndroidBle","show")</f>
        <v>show</v>
      </c>
      <c r="F2084" t="str">
        <f>HYPERLINK("https://github.com/dariuszseweryn/RxAndroidBle/releases","show")</f>
        <v>show</v>
      </c>
    </row>
    <row r="2085" spans="1:6">
      <c r="A2085" t="s">
        <v>6248</v>
      </c>
      <c r="B2085" t="s">
        <v>6249</v>
      </c>
      <c r="C2085" t="s">
        <v>6250</v>
      </c>
      <c r="D2085" t="str">
        <f>HYPERLINK("https://github.com/lostzen/lost/issues/132","show")</f>
        <v>show</v>
      </c>
      <c r="E2085" t="str">
        <f>HYPERLINK("https://github.com/lostzen/lost","show")</f>
        <v>show</v>
      </c>
      <c r="F2085" t="str">
        <f>HYPERLINK("https://github.com/lostzen/lost/releases","show")</f>
        <v>show</v>
      </c>
    </row>
    <row r="2086" spans="1:6">
      <c r="A2086" t="s">
        <v>6251</v>
      </c>
      <c r="B2086" t="s">
        <v>6252</v>
      </c>
      <c r="C2086" t="s">
        <v>6253</v>
      </c>
      <c r="D2086" t="str">
        <f>HYPERLINK("https://github.com/grpc/grpc-java/issues/2363","show")</f>
        <v>show</v>
      </c>
      <c r="E2086" t="str">
        <f>HYPERLINK("https://github.com/grpc/grpc-java","show")</f>
        <v>show</v>
      </c>
      <c r="F2086" t="str">
        <f>HYPERLINK("https://github.com/grpc/grpc-java/releases","show")</f>
        <v>show</v>
      </c>
    </row>
    <row r="2087" spans="1:6">
      <c r="A2087" t="s">
        <v>6254</v>
      </c>
      <c r="B2087" t="s">
        <v>6255</v>
      </c>
      <c r="C2087" t="s">
        <v>6256</v>
      </c>
      <c r="D2087" t="str">
        <f>HYPERLINK("https://github.com/square/okhttp/issues/2934","show")</f>
        <v>show</v>
      </c>
      <c r="E2087" t="str">
        <f>HYPERLINK("https://github.com/square/okhttp","show")</f>
        <v>show</v>
      </c>
      <c r="F2087" t="str">
        <f>HYPERLINK("https://github.com/square/okhttp/releases","show")</f>
        <v>show</v>
      </c>
    </row>
    <row r="2088" spans="1:6">
      <c r="A2088" t="s">
        <v>6257</v>
      </c>
      <c r="B2088" t="s">
        <v>6258</v>
      </c>
      <c r="C2088" t="s">
        <v>6259</v>
      </c>
      <c r="D2088" t="str">
        <f>HYPERLINK("https://github.com/alexstyl/Memento-Calendar/issues/65","show")</f>
        <v>show</v>
      </c>
      <c r="E2088" t="str">
        <f>HYPERLINK("https://github.com/alexstyl/Memento-Calendar","show")</f>
        <v>show</v>
      </c>
      <c r="F2088" t="str">
        <f>HYPERLINK("https://github.com/alexstyl/Memento-Calendar/releases","show")</f>
        <v>show</v>
      </c>
    </row>
    <row r="2089" spans="1:6">
      <c r="A2089" t="s">
        <v>6260</v>
      </c>
      <c r="B2089" t="s">
        <v>6261</v>
      </c>
      <c r="C2089" t="s">
        <v>6262</v>
      </c>
      <c r="D2089" t="str">
        <f>HYPERLINK("https://github.com/appteam-nith/Hillffair/issues/118","show")</f>
        <v>show</v>
      </c>
      <c r="E2089" t="str">
        <f>HYPERLINK("https://github.com/appteam-nith/Hillffair","show")</f>
        <v>show</v>
      </c>
      <c r="F2089" t="str">
        <f>HYPERLINK("https://github.com/appteam-nith/Hillffair/releases","show")</f>
        <v>show</v>
      </c>
    </row>
    <row r="2090" spans="1:6">
      <c r="A2090" t="s">
        <v>6263</v>
      </c>
      <c r="B2090" t="s">
        <v>6264</v>
      </c>
      <c r="C2090" t="s">
        <v>6265</v>
      </c>
      <c r="D2090" t="str">
        <f>HYPERLINK("https://github.com/gitskarios/Gitskarios/issues/607","show")</f>
        <v>show</v>
      </c>
      <c r="E2090" t="str">
        <f>HYPERLINK("https://github.com/gitskarios/Gitskarios","show")</f>
        <v>show</v>
      </c>
      <c r="F2090" t="str">
        <f>HYPERLINK("https://github.com/gitskarios/Gitskarios/releases","show")</f>
        <v>show</v>
      </c>
    </row>
    <row r="2091" spans="1:6">
      <c r="A2091" t="s">
        <v>6266</v>
      </c>
      <c r="B2091" t="s">
        <v>6267</v>
      </c>
      <c r="C2091" t="s">
        <v>6268</v>
      </c>
      <c r="D2091" t="str">
        <f>HYPERLINK("https://github.com/Yalantis/uCrop/issues/212","show")</f>
        <v>show</v>
      </c>
      <c r="E2091" t="str">
        <f>HYPERLINK("https://github.com/Yalantis/uCrop","show")</f>
        <v>show</v>
      </c>
      <c r="F2091" t="str">
        <f>HYPERLINK("https://github.com/Yalantis/uCrop/releases","show")</f>
        <v>show</v>
      </c>
    </row>
    <row r="2092" spans="1:6">
      <c r="A2092" t="s">
        <v>6269</v>
      </c>
      <c r="B2092" t="s">
        <v>6270</v>
      </c>
      <c r="C2092" t="s">
        <v>6271</v>
      </c>
      <c r="D2092" t="str">
        <f>HYPERLINK("https://github.com/dimagi/commcare-android/issues/1524","show")</f>
        <v>show</v>
      </c>
      <c r="E2092" t="str">
        <f>HYPERLINK("https://github.com/dimagi/commcare-android","show")</f>
        <v>show</v>
      </c>
      <c r="F2092" t="str">
        <f>HYPERLINK("https://github.com/dimagi/commcare-android/releases","show")</f>
        <v>show</v>
      </c>
    </row>
    <row r="2093" spans="1:6">
      <c r="A2093" t="s">
        <v>6272</v>
      </c>
      <c r="B2093" t="s">
        <v>6273</v>
      </c>
      <c r="C2093" t="s">
        <v>6274</v>
      </c>
      <c r="D2093" t="str">
        <f>HYPERLINK("https://github.com/gsantner/dandelion/issues/97","show")</f>
        <v>show</v>
      </c>
      <c r="E2093" t="str">
        <f>HYPERLINK("https://github.com/gsantner/dandelion","show")</f>
        <v>show</v>
      </c>
      <c r="F2093" t="str">
        <f>HYPERLINK("https://github.com/gsantner/dandelion/releases","show")</f>
        <v>show</v>
      </c>
    </row>
    <row r="2094" spans="1:6">
      <c r="A2094" t="s">
        <v>6275</v>
      </c>
      <c r="B2094" t="s">
        <v>6276</v>
      </c>
      <c r="C2094" t="s">
        <v>6277</v>
      </c>
      <c r="D2094" t="str">
        <f>HYPERLINK("https://github.com/appdockProject/appDockApp/issues/2","show")</f>
        <v>show</v>
      </c>
      <c r="E2094" t="str">
        <f>HYPERLINK("https://github.com/appdockProject/appDockApp","show")</f>
        <v>show</v>
      </c>
      <c r="F2094" t="str">
        <f>HYPERLINK("https://github.com/appdockProject/appDockApp/releases","show")</f>
        <v>show</v>
      </c>
    </row>
    <row r="2095" spans="1:6">
      <c r="A2095" t="s">
        <v>6278</v>
      </c>
      <c r="B2095" t="s">
        <v>6279</v>
      </c>
      <c r="C2095" t="s">
        <v>6280</v>
      </c>
      <c r="D2095" t="str">
        <f>HYPERLINK("https://github.com/Ereza/CustomActivityOnCrash/issues/28","show")</f>
        <v>show</v>
      </c>
      <c r="E2095" t="str">
        <f>HYPERLINK("https://github.com/Ereza/CustomActivityOnCrash","show")</f>
        <v>show</v>
      </c>
      <c r="F2095" t="str">
        <f>HYPERLINK("https://github.com/Ereza/CustomActivityOnCrash/releases","show")</f>
        <v>show</v>
      </c>
    </row>
    <row r="2096" spans="1:6">
      <c r="A2096" t="s">
        <v>6281</v>
      </c>
      <c r="B2096" t="s">
        <v>6282</v>
      </c>
      <c r="C2096" t="s">
        <v>6283</v>
      </c>
      <c r="D2096" t="str">
        <f>HYPERLINK("https://github.com/WishCanTaiwan/VocabuLazy-Android/issues/55","show")</f>
        <v>show</v>
      </c>
      <c r="E2096" t="str">
        <f>HYPERLINK("https://github.com/WishCanTaiwan/VocabuLazy-Android","show")</f>
        <v>show</v>
      </c>
      <c r="F2096" t="str">
        <f>HYPERLINK("https://github.com/WishCanTaiwan/VocabuLazy-Android/releases","show")</f>
        <v>show</v>
      </c>
    </row>
    <row r="2097" spans="1:6">
      <c r="A2097" t="s">
        <v>6284</v>
      </c>
      <c r="B2097" t="s">
        <v>6285</v>
      </c>
      <c r="C2097" t="s">
        <v>6286</v>
      </c>
      <c r="D2097" t="str">
        <f>HYPERLINK("https://github.com/gsantner/dandelion/issues/99","show")</f>
        <v>show</v>
      </c>
      <c r="E2097" t="str">
        <f>HYPERLINK("https://github.com/gsantner/dandelion","show")</f>
        <v>show</v>
      </c>
      <c r="F2097" t="str">
        <f>HYPERLINK("https://github.com/gsantner/dandelion/releases","show")</f>
        <v>show</v>
      </c>
    </row>
    <row r="2098" spans="1:6">
      <c r="A2098" t="s">
        <v>6287</v>
      </c>
      <c r="B2098" t="s">
        <v>6288</v>
      </c>
      <c r="C2098" t="s">
        <v>6289</v>
      </c>
      <c r="D2098" t="str">
        <f>HYPERLINK("https://github.com/smartdevicelink/sdl_java_suite/issues/350","show")</f>
        <v>show</v>
      </c>
      <c r="E2098" t="str">
        <f>HYPERLINK("https://github.com/smartdevicelink/sdl_java_suite","show")</f>
        <v>show</v>
      </c>
      <c r="F2098" t="str">
        <f>HYPERLINK("https://github.com/smartdevicelink/sdl_java_suite/releases","show")</f>
        <v>show</v>
      </c>
    </row>
    <row r="2099" spans="1:6">
      <c r="A2099" t="s">
        <v>6290</v>
      </c>
      <c r="B2099" t="s">
        <v>6291</v>
      </c>
      <c r="C2099" t="s">
        <v>6292</v>
      </c>
      <c r="D2099" t="str">
        <f>HYPERLINK("https://github.com/OneBusAway/onebusaway-android/issues/711","show")</f>
        <v>show</v>
      </c>
      <c r="E2099" t="str">
        <f>HYPERLINK("https://github.com/OneBusAway/onebusaway-android","show")</f>
        <v>show</v>
      </c>
      <c r="F2099" t="str">
        <f>HYPERLINK("https://github.com/OneBusAway/onebusaway-android/releases","show")</f>
        <v>show</v>
      </c>
    </row>
    <row r="2100" spans="1:6">
      <c r="A2100" t="s">
        <v>6293</v>
      </c>
      <c r="B2100" t="s">
        <v>6294</v>
      </c>
      <c r="C2100" t="s">
        <v>6295</v>
      </c>
      <c r="D2100" t="str">
        <f>HYPERLINK("https://github.com/nextcloud/android/issues/361","show")</f>
        <v>show</v>
      </c>
      <c r="E2100" t="str">
        <f>HYPERLINK("https://github.com/nextcloud/android","show")</f>
        <v>show</v>
      </c>
      <c r="F2100" t="str">
        <f>HYPERLINK("https://github.com/nextcloud/android/releases","show")</f>
        <v>show</v>
      </c>
    </row>
    <row r="2101" spans="1:6">
      <c r="A2101" t="s">
        <v>6296</v>
      </c>
      <c r="B2101" t="s">
        <v>6297</v>
      </c>
      <c r="C2101" t="s">
        <v>6298</v>
      </c>
      <c r="D2101" t="str">
        <f>HYPERLINK("https://github.com/jaagameister/learning/issues/170","show")</f>
        <v>show</v>
      </c>
      <c r="E2101" t="str">
        <f>HYPERLINK("https://github.com/jaagameister/learning","show")</f>
        <v>show</v>
      </c>
      <c r="F2101" t="str">
        <f>HYPERLINK("https://github.com/jaagameister/learning/releases","show")</f>
        <v>show</v>
      </c>
    </row>
    <row r="2102" spans="1:6">
      <c r="A2102" t="s">
        <v>6299</v>
      </c>
      <c r="B2102" t="s">
        <v>6300</v>
      </c>
      <c r="C2102" t="s">
        <v>6301</v>
      </c>
      <c r="D2102" t="str">
        <f>HYPERLINK("https://github.com/KeepSafe/TapTargetView/issues/55","show")</f>
        <v>show</v>
      </c>
      <c r="E2102" t="str">
        <f>HYPERLINK("https://github.com/KeepSafe/TapTargetView","show")</f>
        <v>show</v>
      </c>
      <c r="F2102" t="str">
        <f>HYPERLINK("https://github.com/KeepSafe/TapTargetView/releases","show")</f>
        <v>show</v>
      </c>
    </row>
    <row r="2103" spans="1:6">
      <c r="A2103" t="s">
        <v>6302</v>
      </c>
      <c r="B2103" t="s">
        <v>6303</v>
      </c>
      <c r="C2103" t="s">
        <v>6304</v>
      </c>
      <c r="D2103" t="str">
        <f>HYPERLINK("https://github.com/GCX-HCI/ThirtyInch/issues/28","show")</f>
        <v>show</v>
      </c>
      <c r="E2103" t="str">
        <f>HYPERLINK("https://github.com/GCX-HCI/ThirtyInch","show")</f>
        <v>show</v>
      </c>
      <c r="F2103" t="str">
        <f>HYPERLINK("https://github.com/GCX-HCI/ThirtyInch/releases","show")</f>
        <v>show</v>
      </c>
    </row>
    <row r="2104" spans="1:6">
      <c r="A2104" t="s">
        <v>6305</v>
      </c>
      <c r="B2104" t="s">
        <v>6306</v>
      </c>
      <c r="C2104" t="s">
        <v>6307</v>
      </c>
      <c r="D2104" t="str">
        <f>HYPERLINK("https://github.com/Tencent/tinker/issues/144","show")</f>
        <v>show</v>
      </c>
      <c r="E2104" t="str">
        <f>HYPERLINK("https://github.com/Tencent/tinker","show")</f>
        <v>show</v>
      </c>
      <c r="F2104" t="str">
        <f>HYPERLINK("https://github.com/Tencent/tinker/releases","show")</f>
        <v>show</v>
      </c>
    </row>
    <row r="2105" spans="1:6">
      <c r="A2105" t="s">
        <v>6308</v>
      </c>
      <c r="B2105" t="s">
        <v>6309</v>
      </c>
      <c r="C2105" t="s">
        <v>6310</v>
      </c>
      <c r="D2105" t="str">
        <f>HYPERLINK("https://github.com/square/okhttp/issues/2940","show")</f>
        <v>show</v>
      </c>
      <c r="E2105" t="str">
        <f>HYPERLINK("https://github.com/square/okhttp","show")</f>
        <v>show</v>
      </c>
      <c r="F2105" t="str">
        <f>HYPERLINK("https://github.com/square/okhttp/releases","show")</f>
        <v>show</v>
      </c>
    </row>
    <row r="2106" spans="1:6">
      <c r="A2106" t="s">
        <v>6311</v>
      </c>
      <c r="B2106" t="s">
        <v>6312</v>
      </c>
      <c r="C2106" t="s">
        <v>6313</v>
      </c>
      <c r="D2106" t="str">
        <f>HYPERLINK("https://github.com/haiwen/seadroid/issues/592","show")</f>
        <v>show</v>
      </c>
      <c r="E2106" t="str">
        <f>HYPERLINK("https://github.com/haiwen/seadroid","show")</f>
        <v>show</v>
      </c>
      <c r="F2106" t="str">
        <f>HYPERLINK("https://github.com/haiwen/seadroid/releases","show")</f>
        <v>show</v>
      </c>
    </row>
    <row r="2107" spans="1:6">
      <c r="A2107" t="s">
        <v>6314</v>
      </c>
      <c r="B2107" t="s">
        <v>6315</v>
      </c>
      <c r="C2107" t="s">
        <v>6316</v>
      </c>
      <c r="D2107" t="str">
        <f>HYPERLINK("https://github.com/tlenclos/react-native-audio-streaming/issues/33","show")</f>
        <v>show</v>
      </c>
      <c r="E2107" t="str">
        <f>HYPERLINK("https://github.com/tlenclos/react-native-audio-streaming","show")</f>
        <v>show</v>
      </c>
      <c r="F2107" t="str">
        <f>HYPERLINK("https://github.com/tlenclos/react-native-audio-streaming/releases","show")</f>
        <v>show</v>
      </c>
    </row>
    <row r="2108" spans="1:6">
      <c r="A2108" t="s">
        <v>6317</v>
      </c>
      <c r="B2108" t="s">
        <v>6318</v>
      </c>
      <c r="C2108" t="s">
        <v>6319</v>
      </c>
      <c r="D2108" t="str">
        <f>HYPERLINK("https://github.com/nerzhul/ncsms-android/issues/113","show")</f>
        <v>show</v>
      </c>
      <c r="E2108" t="str">
        <f>HYPERLINK("https://github.com/nerzhul/ncsms-android","show")</f>
        <v>show</v>
      </c>
      <c r="F2108" t="str">
        <f>HYPERLINK("https://github.com/nerzhul/ncsms-android/releases","show")</f>
        <v>show</v>
      </c>
    </row>
    <row r="2109" spans="1:6">
      <c r="A2109" t="s">
        <v>6320</v>
      </c>
      <c r="B2109" t="s">
        <v>6321</v>
      </c>
      <c r="C2109" t="s">
        <v>6322</v>
      </c>
      <c r="D2109" t="str">
        <f>HYPERLINK("https://github.com/NikitaKozlov/Pury/issues/26","show")</f>
        <v>show</v>
      </c>
      <c r="E2109" t="str">
        <f>HYPERLINK("https://github.com/NikitaKozlov/Pury","show")</f>
        <v>show</v>
      </c>
      <c r="F2109" t="str">
        <f>HYPERLINK("https://github.com/NikitaKozlov/Pury/releases","show")</f>
        <v>show</v>
      </c>
    </row>
    <row r="2110" spans="1:6">
      <c r="A2110" t="s">
        <v>6323</v>
      </c>
      <c r="B2110" t="s">
        <v>6324</v>
      </c>
      <c r="C2110" t="s">
        <v>6325</v>
      </c>
      <c r="D2110" t="str">
        <f>HYPERLINK("https://github.com/pretix/pretixdroid/issues/2","show")</f>
        <v>show</v>
      </c>
      <c r="E2110" t="str">
        <f>HYPERLINK("https://github.com/pretix/pretixdroid","show")</f>
        <v>show</v>
      </c>
      <c r="F2110" t="str">
        <f>HYPERLINK("https://github.com/pretix/pretixdroid/releases","show")</f>
        <v>show</v>
      </c>
    </row>
    <row r="2111" spans="1:6">
      <c r="A2111" t="s">
        <v>6326</v>
      </c>
      <c r="B2111" t="s">
        <v>6327</v>
      </c>
      <c r="C2111" t="s">
        <v>6328</v>
      </c>
      <c r="D2111" t="str">
        <f>HYPERLINK("https://github.com/vickychijwani/quill/issues/147","show")</f>
        <v>show</v>
      </c>
      <c r="E2111" t="str">
        <f>HYPERLINK("https://github.com/vickychijwani/quill","show")</f>
        <v>show</v>
      </c>
      <c r="F2111" t="str">
        <f>HYPERLINK("https://github.com/vickychijwani/quill/releases","show")</f>
        <v>show</v>
      </c>
    </row>
    <row r="2112" spans="1:6">
      <c r="A2112" t="s">
        <v>6329</v>
      </c>
      <c r="B2112" t="s">
        <v>6330</v>
      </c>
      <c r="C2112" t="s">
        <v>6331</v>
      </c>
      <c r="D2112" t="str">
        <f>HYPERLINK("https://github.com/pcuco/eSettings/issues/2","show")</f>
        <v>show</v>
      </c>
      <c r="E2112" t="str">
        <f>HYPERLINK("https://github.com/pcuco/eSettings","show")</f>
        <v>show</v>
      </c>
      <c r="F2112" t="str">
        <f>HYPERLINK("https://github.com/pcuco/eSettings/releases","show")</f>
        <v>show</v>
      </c>
    </row>
    <row r="2113" spans="1:6">
      <c r="A2113" t="s">
        <v>6332</v>
      </c>
      <c r="B2113" t="s">
        <v>6333</v>
      </c>
      <c r="C2113" t="s">
        <v>6334</v>
      </c>
      <c r="D2113" t="str">
        <f>HYPERLINK("https://github.com/iamMehedi/Secured-Preference-Store/issues/5","show")</f>
        <v>show</v>
      </c>
      <c r="E2113" t="str">
        <f>HYPERLINK("https://github.com/iamMehedi/Secured-Preference-Store","show")</f>
        <v>show</v>
      </c>
      <c r="F2113" t="str">
        <f>HYPERLINK("https://github.com/iamMehedi/Secured-Preference-Store/releases","show")</f>
        <v>show</v>
      </c>
    </row>
    <row r="2114" spans="1:6">
      <c r="A2114" t="s">
        <v>6335</v>
      </c>
      <c r="B2114" t="s">
        <v>6336</v>
      </c>
      <c r="C2114" t="s">
        <v>6337</v>
      </c>
      <c r="D2114" t="str">
        <f>HYPERLINK("https://github.com/SimoUmbMos/TL_Project/issues/2","show")</f>
        <v>show</v>
      </c>
      <c r="E2114" t="str">
        <f>HYPERLINK("https://github.com/SimoUmbMos/TL_Project","show")</f>
        <v>show</v>
      </c>
      <c r="F2114" t="str">
        <f>HYPERLINK("https://github.com/SimoUmbMos/TL_Project/releases","show")</f>
        <v>show</v>
      </c>
    </row>
    <row r="2115" spans="1:6">
      <c r="A2115" t="s">
        <v>6338</v>
      </c>
      <c r="B2115" t="s">
        <v>6339</v>
      </c>
      <c r="C2115" t="s">
        <v>6340</v>
      </c>
      <c r="D2115" t="str">
        <f>HYPERLINK("https://github.com/kiall/android-tvheadend/issues/84","show")</f>
        <v>show</v>
      </c>
      <c r="E2115" t="str">
        <f>HYPERLINK("https://github.com/kiall/android-tvheadend","show")</f>
        <v>show</v>
      </c>
      <c r="F2115" t="str">
        <f>HYPERLINK("https://github.com/kiall/android-tvheadend/releases","show")</f>
        <v>show</v>
      </c>
    </row>
    <row r="2116" spans="1:6">
      <c r="A2116" t="s">
        <v>6341</v>
      </c>
      <c r="B2116" t="s">
        <v>6342</v>
      </c>
      <c r="C2116" t="s">
        <v>6343</v>
      </c>
      <c r="D2116" t="str">
        <f>HYPERLINK("https://github.com/dividiti/crowdsource-video-experiments-on-android/issues/27","show")</f>
        <v>show</v>
      </c>
      <c r="E2116" t="str">
        <f>HYPERLINK("https://github.com/dividiti/crowdsource-video-experiments-on-android","show")</f>
        <v>show</v>
      </c>
      <c r="F2116" t="str">
        <f>HYPERLINK("https://github.com/dividiti/crowdsource-video-experiments-on-android/releases","show")</f>
        <v>show</v>
      </c>
    </row>
    <row r="2117" spans="1:6">
      <c r="A2117" t="s">
        <v>6344</v>
      </c>
      <c r="B2117" t="s">
        <v>6345</v>
      </c>
      <c r="C2117" t="s">
        <v>6346</v>
      </c>
      <c r="D2117" t="str">
        <f>HYPERLINK("https://github.com/mauron85/cordova-plugin-background-geolocation/issues/202","show")</f>
        <v>show</v>
      </c>
      <c r="E2117" t="str">
        <f>HYPERLINK("https://github.com/mauron85/cordova-plugin-background-geolocation","show")</f>
        <v>show</v>
      </c>
      <c r="F2117" t="str">
        <f>HYPERLINK("https://github.com/mauron85/cordova-plugin-background-geolocation/releases","show")</f>
        <v>show</v>
      </c>
    </row>
    <row r="2118" spans="1:6">
      <c r="A2118" t="s">
        <v>6347</v>
      </c>
      <c r="B2118" t="s">
        <v>6348</v>
      </c>
      <c r="C2118" t="s">
        <v>6349</v>
      </c>
      <c r="D2118" t="str">
        <f>HYPERLINK("https://github.com/Diolor/Swipecards/issues/165","show")</f>
        <v>show</v>
      </c>
      <c r="E2118" t="str">
        <f>HYPERLINK("https://github.com/Diolor/Swipecards","show")</f>
        <v>show</v>
      </c>
      <c r="F2118" t="str">
        <f>HYPERLINK("https://github.com/Diolor/Swipecards/releases","show")</f>
        <v>show</v>
      </c>
    </row>
    <row r="2119" spans="1:6">
      <c r="A2119" t="s">
        <v>6350</v>
      </c>
      <c r="B2119" t="s">
        <v>6351</v>
      </c>
      <c r="C2119" t="s">
        <v>6352</v>
      </c>
      <c r="D2119" t="str">
        <f>HYPERLINK("https://github.com/infinum/MjolnirRecyclerView/issues/16","show")</f>
        <v>show</v>
      </c>
      <c r="E2119" t="str">
        <f>HYPERLINK("https://github.com/infinum/MjolnirRecyclerView","show")</f>
        <v>show</v>
      </c>
      <c r="F2119" t="str">
        <f>HYPERLINK("https://github.com/infinum/MjolnirRecyclerView/releases","show")</f>
        <v>show</v>
      </c>
    </row>
    <row r="2120" spans="1:6">
      <c r="A2120" t="s">
        <v>6353</v>
      </c>
      <c r="B2120" t="s">
        <v>6354</v>
      </c>
      <c r="C2120" t="s">
        <v>6355</v>
      </c>
      <c r="D2120" t="str">
        <f>HYPERLINK("https://github.com/Diolor/Swipecards/issues/166","show")</f>
        <v>show</v>
      </c>
      <c r="E2120" t="str">
        <f>HYPERLINK("https://github.com/Diolor/Swipecards","show")</f>
        <v>show</v>
      </c>
      <c r="F2120" t="str">
        <f>HYPERLINK("https://github.com/Diolor/Swipecards/releases","show")</f>
        <v>show</v>
      </c>
    </row>
    <row r="2121" spans="1:6">
      <c r="A2121" t="s">
        <v>6356</v>
      </c>
      <c r="B2121" t="s">
        <v>6357</v>
      </c>
      <c r="C2121" t="s">
        <v>6358</v>
      </c>
      <c r="D2121" t="str">
        <f>HYPERLINK("https://github.com/NemProject/NEMAndroidApp/issues/261","show")</f>
        <v>show</v>
      </c>
      <c r="E2121" t="str">
        <f>HYPERLINK("https://github.com/NemProject/NEMAndroidApp","show")</f>
        <v>show</v>
      </c>
      <c r="F2121" t="str">
        <f>HYPERLINK("https://github.com/NemProject/NEMAndroidApp/releases","show")</f>
        <v>show</v>
      </c>
    </row>
    <row r="2122" spans="1:6">
      <c r="A2122" t="s">
        <v>6359</v>
      </c>
      <c r="B2122" t="s">
        <v>6360</v>
      </c>
      <c r="C2122" t="s">
        <v>6361</v>
      </c>
      <c r="D2122" t="str">
        <f>HYPERLINK("https://github.com/couchbaselabs/react-native-couchbase-lite/issues/98","show")</f>
        <v>show</v>
      </c>
      <c r="E2122" t="str">
        <f>HYPERLINK("https://github.com/couchbaselabs/react-native-couchbase-lite","show")</f>
        <v>show</v>
      </c>
      <c r="F2122" t="str">
        <f>HYPERLINK("https://github.com/couchbaselabs/react-native-couchbase-lite/releases","show")</f>
        <v>show</v>
      </c>
    </row>
    <row r="2123" spans="1:6">
      <c r="A2123" t="s">
        <v>6362</v>
      </c>
      <c r="B2123" t="s">
        <v>6363</v>
      </c>
      <c r="C2123" t="s">
        <v>6364</v>
      </c>
      <c r="D2123" t="str">
        <f>HYPERLINK("https://github.com/requery/requery/issues/329","show")</f>
        <v>show</v>
      </c>
      <c r="E2123" t="str">
        <f>HYPERLINK("https://github.com/requery/requery","show")</f>
        <v>show</v>
      </c>
      <c r="F2123" t="str">
        <f>HYPERLINK("https://github.com/requery/requery/releases","show")</f>
        <v>show</v>
      </c>
    </row>
    <row r="2124" spans="1:6">
      <c r="A2124" t="s">
        <v>6365</v>
      </c>
      <c r="B2124" t="s">
        <v>6366</v>
      </c>
      <c r="C2124" t="s">
        <v>6367</v>
      </c>
      <c r="D2124" t="str">
        <f>HYPERLINK("https://github.com/requery/requery/issues/332","show")</f>
        <v>show</v>
      </c>
      <c r="E2124" t="str">
        <f>HYPERLINK("https://github.com/requery/requery","show")</f>
        <v>show</v>
      </c>
      <c r="F2124" t="str">
        <f>HYPERLINK("https://github.com/requery/requery/releases","show")</f>
        <v>show</v>
      </c>
    </row>
    <row r="2125" spans="1:6">
      <c r="A2125" t="s">
        <v>6368</v>
      </c>
      <c r="B2125" t="s">
        <v>6369</v>
      </c>
      <c r="C2125" t="s">
        <v>6370</v>
      </c>
      <c r="D2125" t="str">
        <f>HYPERLINK("https://github.com/smartdevicelink/sdl_java_suite/issues/363","show")</f>
        <v>show</v>
      </c>
      <c r="E2125" t="str">
        <f>HYPERLINK("https://github.com/smartdevicelink/sdl_java_suite","show")</f>
        <v>show</v>
      </c>
      <c r="F2125" t="str">
        <f>HYPERLINK("https://github.com/smartdevicelink/sdl_java_suite/releases","show")</f>
        <v>show</v>
      </c>
    </row>
    <row r="2126" spans="1:6">
      <c r="A2126" t="s">
        <v>6371</v>
      </c>
      <c r="B2126" t="s">
        <v>6372</v>
      </c>
      <c r="C2126" t="s">
        <v>6373</v>
      </c>
      <c r="D2126" t="str">
        <f>HYPERLINK("https://github.com/kennanmell/Handoff/issues/4","show")</f>
        <v>show</v>
      </c>
      <c r="E2126" t="str">
        <f>HYPERLINK("https://github.com/kennanmell/Handoff","show")</f>
        <v>show</v>
      </c>
      <c r="F2126" t="str">
        <f>HYPERLINK("https://github.com/kennanmell/Handoff/releases","show")</f>
        <v>show</v>
      </c>
    </row>
    <row r="2127" spans="1:6">
      <c r="A2127" t="s">
        <v>6374</v>
      </c>
      <c r="B2127" t="s">
        <v>6375</v>
      </c>
      <c r="C2127" t="s">
        <v>6376</v>
      </c>
      <c r="D2127" t="str">
        <f>HYPERLINK("https://github.com/CSE403FindersKeepers/finders-keepers/issues/14","show")</f>
        <v>show</v>
      </c>
      <c r="E2127" t="str">
        <f>HYPERLINK("https://github.com/CSE403FindersKeepers/finders-keepers","show")</f>
        <v>show</v>
      </c>
      <c r="F2127" t="str">
        <f>HYPERLINK("https://github.com/CSE403FindersKeepers/finders-keepers/releases","show")</f>
        <v>show</v>
      </c>
    </row>
    <row r="2128" spans="1:6">
      <c r="A2128" t="s">
        <v>6377</v>
      </c>
      <c r="B2128" t="s">
        <v>6378</v>
      </c>
      <c r="C2128" t="s">
        <v>6379</v>
      </c>
      <c r="D2128" t="str">
        <f>HYPERLINK("https://github.com/flowupio/FlowUpAndroidSDK/issues/124","show")</f>
        <v>show</v>
      </c>
      <c r="E2128" t="str">
        <f>HYPERLINK("https://github.com/flowupio/FlowUpAndroidSDK","show")</f>
        <v>show</v>
      </c>
      <c r="F2128" t="str">
        <f>HYPERLINK("https://github.com/flowupio/FlowUpAndroidSDK/releases","show")</f>
        <v>show</v>
      </c>
    </row>
    <row r="2129" spans="1:6">
      <c r="A2129" t="s">
        <v>6380</v>
      </c>
      <c r="B2129" t="s">
        <v>6381</v>
      </c>
      <c r="C2129" t="s">
        <v>6382</v>
      </c>
      <c r="D2129" t="str">
        <f>HYPERLINK("https://github.com/avluis/Hentoid/issues/131","show")</f>
        <v>show</v>
      </c>
      <c r="E2129" t="str">
        <f>HYPERLINK("https://github.com/avluis/Hentoid","show")</f>
        <v>show</v>
      </c>
      <c r="F2129" t="str">
        <f>HYPERLINK("https://github.com/avluis/Hentoid/releases","show")</f>
        <v>show</v>
      </c>
    </row>
    <row r="2130" spans="1:6">
      <c r="A2130" t="s">
        <v>6383</v>
      </c>
      <c r="B2130" t="s">
        <v>6384</v>
      </c>
      <c r="C2130" t="s">
        <v>6385</v>
      </c>
      <c r="D2130" t="str">
        <f>HYPERLINK("https://github.com/codinguser/gnucash-android/issues/613","show")</f>
        <v>show</v>
      </c>
      <c r="E2130" t="str">
        <f>HYPERLINK("https://github.com/codinguser/gnucash-android","show")</f>
        <v>show</v>
      </c>
      <c r="F2130" t="str">
        <f>HYPERLINK("https://github.com/codinguser/gnucash-android/releases","show")</f>
        <v>show</v>
      </c>
    </row>
    <row r="2131" spans="1:6">
      <c r="A2131" t="s">
        <v>6386</v>
      </c>
      <c r="B2131" t="s">
        <v>6387</v>
      </c>
      <c r="C2131" t="s">
        <v>6388</v>
      </c>
      <c r="D2131" t="str">
        <f>HYPERLINK("https://github.com/nextcloud/android/issues/380","show")</f>
        <v>show</v>
      </c>
      <c r="E2131" t="str">
        <f>HYPERLINK("https://github.com/nextcloud/android","show")</f>
        <v>show</v>
      </c>
      <c r="F2131" t="str">
        <f>HYPERLINK("https://github.com/nextcloud/android/releases","show")</f>
        <v>show</v>
      </c>
    </row>
    <row r="2132" spans="1:6">
      <c r="A2132" t="s">
        <v>6389</v>
      </c>
      <c r="B2132" t="s">
        <v>6390</v>
      </c>
      <c r="C2132" t="s">
        <v>6391</v>
      </c>
      <c r="D2132" t="str">
        <f>HYPERLINK("https://github.com/cgeo/cgeo/issues/6114","show")</f>
        <v>show</v>
      </c>
      <c r="E2132" t="str">
        <f>HYPERLINK("https://github.com/cgeo/cgeo","show")</f>
        <v>show</v>
      </c>
      <c r="F2132" t="str">
        <f>HYPERLINK("https://github.com/cgeo/cgeo/releases","show")</f>
        <v>show</v>
      </c>
    </row>
    <row r="2133" spans="1:6">
      <c r="A2133" t="s">
        <v>6392</v>
      </c>
      <c r="B2133" t="s">
        <v>6393</v>
      </c>
      <c r="C2133" t="s">
        <v>6394</v>
      </c>
      <c r="D2133" t="str">
        <f>HYPERLINK("https://github.com/CSE403FindersKeepers/finders-keepers/issues/23","show")</f>
        <v>show</v>
      </c>
      <c r="E2133" t="str">
        <f>HYPERLINK("https://github.com/CSE403FindersKeepers/finders-keepers","show")</f>
        <v>show</v>
      </c>
      <c r="F2133" t="str">
        <f>HYPERLINK("https://github.com/CSE403FindersKeepers/finders-keepers/releases","show")</f>
        <v>show</v>
      </c>
    </row>
    <row r="2134" spans="1:6">
      <c r="A2134" t="s">
        <v>6395</v>
      </c>
      <c r="B2134" t="s">
        <v>6396</v>
      </c>
      <c r="C2134" t="s">
        <v>6397</v>
      </c>
      <c r="D2134" t="str">
        <f>HYPERLINK("https://github.com/kennanmell/Handoff/issues/8","show")</f>
        <v>show</v>
      </c>
      <c r="E2134" t="str">
        <f>HYPERLINK("https://github.com/kennanmell/Handoff","show")</f>
        <v>show</v>
      </c>
      <c r="F2134" t="str">
        <f>HYPERLINK("https://github.com/kennanmell/Handoff/releases","show")</f>
        <v>show</v>
      </c>
    </row>
    <row r="2135" spans="1:6">
      <c r="A2135" t="s">
        <v>6398</v>
      </c>
      <c r="B2135" t="s">
        <v>6399</v>
      </c>
      <c r="C2135" t="s">
        <v>6400</v>
      </c>
      <c r="D2135" t="str">
        <f>HYPERLINK("https://github.com/dxl360/Student_Portal/issues/6","show")</f>
        <v>show</v>
      </c>
      <c r="E2135" t="str">
        <f>HYPERLINK("https://github.com/dxl360/Student_Portal","show")</f>
        <v>show</v>
      </c>
      <c r="F2135" t="str">
        <f>HYPERLINK("https://github.com/dxl360/Student_Portal/releases","show")</f>
        <v>show</v>
      </c>
    </row>
    <row r="2136" spans="1:6">
      <c r="A2136" t="s">
        <v>6401</v>
      </c>
      <c r="B2136" t="s">
        <v>6402</v>
      </c>
      <c r="C2136" t="s">
        <v>6403</v>
      </c>
      <c r="D2136" t="str">
        <f>HYPERLINK("https://github.com/dimamo5/movimento1euro-android/issues/22","show")</f>
        <v>show</v>
      </c>
      <c r="E2136" t="str">
        <f>HYPERLINK("https://github.com/dimamo5/movimento1euro-android","show")</f>
        <v>show</v>
      </c>
      <c r="F2136" t="str">
        <f>HYPERLINK("https://github.com/dimamo5/movimento1euro-android/releases","show")</f>
        <v>show</v>
      </c>
    </row>
    <row r="2137" spans="1:6">
      <c r="A2137" t="s">
        <v>6404</v>
      </c>
      <c r="B2137" t="s">
        <v>6405</v>
      </c>
      <c r="C2137" t="s">
        <v>6406</v>
      </c>
      <c r="D2137" t="str">
        <f>HYPERLINK("https://github.com/atroutt/AndroidBeginnerFirstApp/issues/2","show")</f>
        <v>show</v>
      </c>
      <c r="E2137" t="str">
        <f>HYPERLINK("https://github.com/atroutt/AndroidBeginnerFirstApp","show")</f>
        <v>show</v>
      </c>
      <c r="F2137" t="str">
        <f>HYPERLINK("https://github.com/atroutt/AndroidBeginnerFirstApp/releases","show")</f>
        <v>show</v>
      </c>
    </row>
    <row r="2138" spans="1:6">
      <c r="A2138" t="s">
        <v>6407</v>
      </c>
      <c r="B2138" t="s">
        <v>6408</v>
      </c>
      <c r="C2138" t="s">
        <v>6409</v>
      </c>
      <c r="D2138" t="str">
        <f>HYPERLINK("https://github.com/vector-im/riot-android/issues/697","show")</f>
        <v>show</v>
      </c>
      <c r="E2138" t="str">
        <f>HYPERLINK("https://github.com/vector-im/riot-android","show")</f>
        <v>show</v>
      </c>
      <c r="F2138" t="str">
        <f>HYPERLINK("https://github.com/vector-im/riot-android/releases","show")</f>
        <v>show</v>
      </c>
    </row>
    <row r="2139" spans="1:6">
      <c r="A2139" t="s">
        <v>6410</v>
      </c>
      <c r="B2139" t="s">
        <v>6411</v>
      </c>
      <c r="C2139" t="s">
        <v>6412</v>
      </c>
      <c r="D2139" t="str">
        <f>HYPERLINK("https://github.com/flowupio/FlowUpAndroidSDK/issues/127","show")</f>
        <v>show</v>
      </c>
      <c r="E2139" t="str">
        <f>HYPERLINK("https://github.com/flowupio/FlowUpAndroidSDK","show")</f>
        <v>show</v>
      </c>
      <c r="F2139" t="str">
        <f>HYPERLINK("https://github.com/flowupio/FlowUpAndroidSDK/releases","show")</f>
        <v>show</v>
      </c>
    </row>
    <row r="2140" spans="1:6">
      <c r="A2140" t="s">
        <v>6413</v>
      </c>
      <c r="B2140" t="s">
        <v>6414</v>
      </c>
      <c r="C2140" t="s">
        <v>6415</v>
      </c>
      <c r="D2140" t="str">
        <f>HYPERLINK("https://github.com/akexorcist/GoogleDirectionLibrary/issues/22","show")</f>
        <v>show</v>
      </c>
      <c r="E2140" t="str">
        <f>HYPERLINK("https://github.com/akexorcist/GoogleDirectionLibrary","show")</f>
        <v>show</v>
      </c>
      <c r="F2140" t="str">
        <f>HYPERLINK("https://github.com/akexorcist/GoogleDirectionLibrary/releases","show")</f>
        <v>show</v>
      </c>
    </row>
    <row r="2141" spans="1:6">
      <c r="A2141" t="s">
        <v>6416</v>
      </c>
      <c r="B2141" t="s">
        <v>6417</v>
      </c>
      <c r="C2141" t="s">
        <v>6418</v>
      </c>
      <c r="D2141" t="str">
        <f>HYPERLINK("https://github.com/chatrealm/DctvAndroid/issues/16","show")</f>
        <v>show</v>
      </c>
      <c r="E2141" t="str">
        <f>HYPERLINK("https://github.com/chatrealm/DctvAndroid","show")</f>
        <v>show</v>
      </c>
      <c r="F2141" t="str">
        <f>HYPERLINK("https://github.com/chatrealm/DctvAndroid/releases","show")</f>
        <v>show</v>
      </c>
    </row>
    <row r="2142" spans="1:6">
      <c r="A2142" t="s">
        <v>6419</v>
      </c>
      <c r="B2142" t="s">
        <v>6420</v>
      </c>
      <c r="C2142" t="s">
        <v>6421</v>
      </c>
      <c r="D2142" t="str">
        <f>HYPERLINK("https://github.com/rodrif/RecorridasZOTP/issues/87","show")</f>
        <v>show</v>
      </c>
      <c r="E2142" t="str">
        <f>HYPERLINK("https://github.com/rodrif/RecorridasZOTP","show")</f>
        <v>show</v>
      </c>
      <c r="F2142" t="str">
        <f>HYPERLINK("https://github.com/rodrif/RecorridasZOTP/releases","show")</f>
        <v>show</v>
      </c>
    </row>
    <row r="2143" spans="1:6">
      <c r="A2143" t="s">
        <v>6422</v>
      </c>
      <c r="B2143" t="s">
        <v>6423</v>
      </c>
      <c r="C2143" t="s">
        <v>6424</v>
      </c>
      <c r="D2143" t="str">
        <f>HYPERLINK("https://github.com/vector-im/riot-android/issues/704","show")</f>
        <v>show</v>
      </c>
      <c r="E2143" t="str">
        <f>HYPERLINK("https://github.com/vector-im/riot-android","show")</f>
        <v>show</v>
      </c>
      <c r="F2143" t="str">
        <f>HYPERLINK("https://github.com/vector-im/riot-android/releases","show")</f>
        <v>show</v>
      </c>
    </row>
    <row r="2144" spans="1:6">
      <c r="A2144" t="s">
        <v>6425</v>
      </c>
      <c r="B2144" t="s">
        <v>6426</v>
      </c>
      <c r="C2144" t="s">
        <v>6427</v>
      </c>
      <c r="D2144" t="str">
        <f>HYPERLINK("https://github.com/vector-im/riot-android/issues/699","show")</f>
        <v>show</v>
      </c>
      <c r="E2144" t="str">
        <f>HYPERLINK("https://github.com/vector-im/riot-android","show")</f>
        <v>show</v>
      </c>
      <c r="F2144" t="str">
        <f>HYPERLINK("https://github.com/vector-im/riot-android/releases","show")</f>
        <v>show</v>
      </c>
    </row>
    <row r="2145" spans="1:6">
      <c r="A2145" t="s">
        <v>6428</v>
      </c>
      <c r="B2145" t="s">
        <v>6429</v>
      </c>
      <c r="C2145" t="s">
        <v>6430</v>
      </c>
      <c r="D2145" t="str">
        <f>HYPERLINK("https://github.com/flowupio/FlowUpAndroidSDK/issues/135","show")</f>
        <v>show</v>
      </c>
      <c r="E2145" t="str">
        <f>HYPERLINK("https://github.com/flowupio/FlowUpAndroidSDK","show")</f>
        <v>show</v>
      </c>
      <c r="F2145" t="str">
        <f>HYPERLINK("https://github.com/flowupio/FlowUpAndroidSDK/releases","show")</f>
        <v>show</v>
      </c>
    </row>
    <row r="2146" spans="1:6">
      <c r="A2146" t="s">
        <v>6431</v>
      </c>
      <c r="B2146" t="s">
        <v>6432</v>
      </c>
      <c r="C2146" t="s">
        <v>6433</v>
      </c>
      <c r="D2146" t="str">
        <f>HYPERLINK("https://github.com/wasdennnoch/AndroidN-ify/issues/1225","show")</f>
        <v>show</v>
      </c>
      <c r="E2146" t="str">
        <f>HYPERLINK("https://github.com/wasdennnoch/AndroidN-ify","show")</f>
        <v>show</v>
      </c>
      <c r="F2146" t="str">
        <f>HYPERLINK("https://github.com/wasdennnoch/AndroidN-ify/releases","show")</f>
        <v>show</v>
      </c>
    </row>
    <row r="2147" spans="1:6">
      <c r="A2147" t="s">
        <v>6434</v>
      </c>
      <c r="B2147" t="s">
        <v>6435</v>
      </c>
      <c r="C2147" t="s">
        <v>6436</v>
      </c>
      <c r="D2147" t="str">
        <f>HYPERLINK("https://github.com/azb/SE195A_SeniorProject/issues/16","show")</f>
        <v>show</v>
      </c>
      <c r="E2147" t="str">
        <f>HYPERLINK("https://github.com/azb/SE195A_SeniorProject","show")</f>
        <v>show</v>
      </c>
      <c r="F2147" t="str">
        <f>HYPERLINK("https://github.com/azb/SE195A_SeniorProject/releases","show")</f>
        <v>show</v>
      </c>
    </row>
    <row r="2148" spans="1:6">
      <c r="A2148" t="s">
        <v>6437</v>
      </c>
      <c r="B2148" t="s">
        <v>6438</v>
      </c>
      <c r="C2148" t="s">
        <v>6439</v>
      </c>
      <c r="D2148" t="str">
        <f>HYPERLINK("https://github.com/commons-app/apps-android-commons/issues/326","show")</f>
        <v>show</v>
      </c>
      <c r="E2148" t="str">
        <f>HYPERLINK("https://github.com/commons-app/apps-android-commons","show")</f>
        <v>show</v>
      </c>
      <c r="F2148" t="str">
        <f>HYPERLINK("https://github.com/commons-app/apps-android-commons/releases","show")</f>
        <v>show</v>
      </c>
    </row>
    <row r="2149" spans="1:6">
      <c r="A2149" t="s">
        <v>6440</v>
      </c>
      <c r="B2149" t="s">
        <v>6441</v>
      </c>
      <c r="C2149" t="s">
        <v>6442</v>
      </c>
      <c r="D2149" t="str">
        <f>HYPERLINK("https://github.com/vector-im/riot-android/issues/709","show")</f>
        <v>show</v>
      </c>
      <c r="E2149" t="str">
        <f>HYPERLINK("https://github.com/vector-im/riot-android","show")</f>
        <v>show</v>
      </c>
      <c r="F2149" t="str">
        <f>HYPERLINK("https://github.com/vector-im/riot-android/releases","show")</f>
        <v>show</v>
      </c>
    </row>
    <row r="2150" spans="1:6">
      <c r="A2150" t="s">
        <v>6443</v>
      </c>
      <c r="B2150" t="s">
        <v>6444</v>
      </c>
      <c r="C2150" t="s">
        <v>6445</v>
      </c>
      <c r="D2150" t="str">
        <f>HYPERLINK("https://github.com/bumptech/glide/issues/1592","show")</f>
        <v>show</v>
      </c>
      <c r="E2150" t="str">
        <f>HYPERLINK("https://github.com/bumptech/glide","show")</f>
        <v>show</v>
      </c>
      <c r="F2150" t="str">
        <f>HYPERLINK("https://github.com/bumptech/glide/releases","show")</f>
        <v>show</v>
      </c>
    </row>
    <row r="2151" spans="1:6">
      <c r="A2151" t="s">
        <v>6446</v>
      </c>
      <c r="B2151" t="s">
        <v>6447</v>
      </c>
      <c r="C2151" t="s">
        <v>6448</v>
      </c>
      <c r="D2151" t="str">
        <f>HYPERLINK("https://github.com/JRempel/HKBU-Map/issues/33","show")</f>
        <v>show</v>
      </c>
      <c r="E2151" t="str">
        <f>HYPERLINK("https://github.com/JRempel/HKBU-Map","show")</f>
        <v>show</v>
      </c>
      <c r="F2151" t="str">
        <f>HYPERLINK("https://github.com/JRempel/HKBU-Map/releases","show")</f>
        <v>show</v>
      </c>
    </row>
    <row r="2152" spans="1:6">
      <c r="A2152" t="s">
        <v>6449</v>
      </c>
      <c r="B2152" t="s">
        <v>6450</v>
      </c>
      <c r="C2152" t="s">
        <v>6451</v>
      </c>
      <c r="D2152" t="str">
        <f>HYPERLINK("https://github.com/nextcloud/android/issues/388","show")</f>
        <v>show</v>
      </c>
      <c r="E2152" t="str">
        <f>HYPERLINK("https://github.com/nextcloud/android","show")</f>
        <v>show</v>
      </c>
      <c r="F2152" t="str">
        <f>HYPERLINK("https://github.com/nextcloud/android/releases","show")</f>
        <v>show</v>
      </c>
    </row>
    <row r="2153" spans="1:6">
      <c r="A2153" t="s">
        <v>6452</v>
      </c>
      <c r="B2153" t="s">
        <v>6453</v>
      </c>
      <c r="C2153" t="s">
        <v>6454</v>
      </c>
      <c r="D2153" t="str">
        <f>HYPERLINK("https://github.com/vijai1996/screenrecorder/issues/9","show")</f>
        <v>show</v>
      </c>
      <c r="E2153" t="str">
        <f>HYPERLINK("https://github.com/vijai1996/screenrecorder","show")</f>
        <v>show</v>
      </c>
      <c r="F2153" t="str">
        <f>HYPERLINK("https://github.com/vijai1996/screenrecorder/releases","show")</f>
        <v>show</v>
      </c>
    </row>
    <row r="2154" spans="1:6">
      <c r="A2154" t="s">
        <v>6455</v>
      </c>
      <c r="B2154" t="s">
        <v>6456</v>
      </c>
      <c r="C2154" t="s">
        <v>6457</v>
      </c>
      <c r="D2154" t="str">
        <f>HYPERLINK("https://github.com/haiwen/seadroid/issues/598","show")</f>
        <v>show</v>
      </c>
      <c r="E2154" t="str">
        <f>HYPERLINK("https://github.com/haiwen/seadroid","show")</f>
        <v>show</v>
      </c>
      <c r="F2154" t="str">
        <f>HYPERLINK("https://github.com/haiwen/seadroid/releases","show")</f>
        <v>show</v>
      </c>
    </row>
    <row r="2155" spans="1:6">
      <c r="A2155" t="s">
        <v>6458</v>
      </c>
      <c r="B2155" t="s">
        <v>6459</v>
      </c>
      <c r="C2155" t="s">
        <v>6460</v>
      </c>
      <c r="D2155" t="str">
        <f>HYPERLINK("https://github.com/kontalk/androidclient/issues/863","show")</f>
        <v>show</v>
      </c>
      <c r="E2155" t="str">
        <f>HYPERLINK("https://github.com/kontalk/androidclient","show")</f>
        <v>show</v>
      </c>
      <c r="F2155" t="str">
        <f>HYPERLINK("https://github.com/kontalk/androidclient/releases","show")</f>
        <v>show</v>
      </c>
    </row>
    <row r="2156" spans="1:6">
      <c r="A2156" t="s">
        <v>6461</v>
      </c>
      <c r="B2156" t="s">
        <v>6462</v>
      </c>
      <c r="C2156" t="s">
        <v>6463</v>
      </c>
      <c r="D2156" t="str">
        <f>HYPERLINK("https://github.com/kontalk/androidclient/issues/862","show")</f>
        <v>show</v>
      </c>
      <c r="E2156" t="str">
        <f>HYPERLINK("https://github.com/kontalk/androidclient","show")</f>
        <v>show</v>
      </c>
      <c r="F2156" t="str">
        <f>HYPERLINK("https://github.com/kontalk/androidclient/releases","show")</f>
        <v>show</v>
      </c>
    </row>
    <row r="2157" spans="1:6">
      <c r="A2157" t="s">
        <v>6464</v>
      </c>
      <c r="B2157" t="s">
        <v>6465</v>
      </c>
      <c r="C2157" t="s">
        <v>6466</v>
      </c>
      <c r="D2157" t="str">
        <f>HYPERLINK("https://github.com/google/cameraview/issues/51","show")</f>
        <v>show</v>
      </c>
      <c r="E2157" t="str">
        <f>HYPERLINK("https://github.com/google/cameraview","show")</f>
        <v>show</v>
      </c>
      <c r="F2157" t="str">
        <f>HYPERLINK("https://github.com/google/cameraview/releases","show")</f>
        <v>show</v>
      </c>
    </row>
    <row r="2158" spans="1:6">
      <c r="A2158" t="s">
        <v>6467</v>
      </c>
      <c r="B2158" t="s">
        <v>6468</v>
      </c>
      <c r="C2158" t="s">
        <v>6469</v>
      </c>
      <c r="D2158" t="str">
        <f>HYPERLINK("https://github.com/google/physical-web/issues/856","show")</f>
        <v>show</v>
      </c>
      <c r="E2158" t="str">
        <f>HYPERLINK("https://github.com/google/physical-web","show")</f>
        <v>show</v>
      </c>
      <c r="F2158" t="str">
        <f>HYPERLINK("https://github.com/google/physical-web/releases","show")</f>
        <v>show</v>
      </c>
    </row>
    <row r="2159" spans="1:6">
      <c r="A2159" t="s">
        <v>6470</v>
      </c>
      <c r="B2159" t="s">
        <v>6471</v>
      </c>
      <c r="C2159" t="s">
        <v>6472</v>
      </c>
      <c r="D2159" t="str">
        <f>HYPERLINK("https://github.com/CSE403FindersKeepers/finders-keepers/issues/29","show")</f>
        <v>show</v>
      </c>
      <c r="E2159" t="str">
        <f>HYPERLINK("https://github.com/CSE403FindersKeepers/finders-keepers","show")</f>
        <v>show</v>
      </c>
      <c r="F2159" t="str">
        <f>HYPERLINK("https://github.com/CSE403FindersKeepers/finders-keepers/releases","show")</f>
        <v>show</v>
      </c>
    </row>
    <row r="2160" spans="1:6">
      <c r="A2160" t="s">
        <v>6473</v>
      </c>
      <c r="B2160" t="s">
        <v>6474</v>
      </c>
      <c r="C2160" t="s">
        <v>6475</v>
      </c>
      <c r="D2160" t="str">
        <f>HYPERLINK("https://github.com/aricneto/TwistyTimer/issues/68","show")</f>
        <v>show</v>
      </c>
      <c r="E2160" t="str">
        <f>HYPERLINK("https://github.com/aricneto/TwistyTimer","show")</f>
        <v>show</v>
      </c>
      <c r="F2160" t="str">
        <f>HYPERLINK("https://github.com/aricneto/TwistyTimer/releases","show")</f>
        <v>show</v>
      </c>
    </row>
    <row r="2161" spans="1:6">
      <c r="A2161" t="s">
        <v>6476</v>
      </c>
      <c r="B2161" t="s">
        <v>6477</v>
      </c>
      <c r="C2161" t="s">
        <v>6478</v>
      </c>
      <c r="D2161" t="str">
        <f>HYPERLINK("https://github.com/yigit/android-priority-jobqueue/issues/288","show")</f>
        <v>show</v>
      </c>
      <c r="E2161" t="str">
        <f>HYPERLINK("https://github.com/yigit/android-priority-jobqueue","show")</f>
        <v>show</v>
      </c>
      <c r="F2161" t="str">
        <f>HYPERLINK("https://github.com/yigit/android-priority-jobqueue/releases","show")</f>
        <v>show</v>
      </c>
    </row>
    <row r="2162" spans="1:6">
      <c r="A2162" t="s">
        <v>6479</v>
      </c>
      <c r="B2162" t="s">
        <v>6480</v>
      </c>
      <c r="C2162" t="s">
        <v>6481</v>
      </c>
      <c r="D2162" t="str">
        <f>HYPERLINK("https://github.com/leobel/WinLine98/issues/29","show")</f>
        <v>show</v>
      </c>
      <c r="E2162" t="str">
        <f>HYPERLINK("https://github.com/leobel/WinLine98","show")</f>
        <v>show</v>
      </c>
      <c r="F2162" t="str">
        <f>HYPERLINK("https://github.com/leobel/WinLine98/releases","show")</f>
        <v>show</v>
      </c>
    </row>
    <row r="2163" spans="1:6">
      <c r="A2163" t="s">
        <v>6482</v>
      </c>
      <c r="B2163" t="s">
        <v>6483</v>
      </c>
      <c r="C2163" t="s">
        <v>6484</v>
      </c>
      <c r="D2163" t="str">
        <f>HYPERLINK("https://github.com/cgeo/cgeo/issues/6159","show")</f>
        <v>show</v>
      </c>
      <c r="E2163" t="str">
        <f>HYPERLINK("https://github.com/cgeo/cgeo","show")</f>
        <v>show</v>
      </c>
      <c r="F2163" t="str">
        <f>HYPERLINK("https://github.com/cgeo/cgeo/releases","show")</f>
        <v>show</v>
      </c>
    </row>
    <row r="2164" spans="1:6">
      <c r="A2164" t="s">
        <v>6485</v>
      </c>
      <c r="B2164" t="s">
        <v>6486</v>
      </c>
      <c r="C2164" t="s">
        <v>6487</v>
      </c>
      <c r="D2164" t="str">
        <f>HYPERLINK("https://github.com/Cloudkibo/Android/issues/313","show")</f>
        <v>show</v>
      </c>
      <c r="E2164" t="str">
        <f>HYPERLINK("https://github.com/Cloudkibo/Android","show")</f>
        <v>show</v>
      </c>
      <c r="F2164" t="str">
        <f>HYPERLINK("https://github.com/Cloudkibo/Android/releases","show")</f>
        <v>show</v>
      </c>
    </row>
    <row r="2165" spans="1:6">
      <c r="A2165" t="s">
        <v>6488</v>
      </c>
      <c r="B2165" t="s">
        <v>6489</v>
      </c>
      <c r="C2165" t="s">
        <v>6490</v>
      </c>
      <c r="D2165" t="str">
        <f>HYPERLINK("https://github.com/vector-im/riot-android/issues/754","show")</f>
        <v>show</v>
      </c>
      <c r="E2165" t="str">
        <f>HYPERLINK("https://github.com/vector-im/riot-android","show")</f>
        <v>show</v>
      </c>
      <c r="F2165" t="str">
        <f>HYPERLINK("https://github.com/vector-im/riot-android/releases","show")</f>
        <v>show</v>
      </c>
    </row>
    <row r="2166" spans="1:6">
      <c r="A2166" t="s">
        <v>6491</v>
      </c>
      <c r="B2166" t="s">
        <v>6492</v>
      </c>
      <c r="C2166" t="s">
        <v>6493</v>
      </c>
      <c r="D2166" t="str">
        <f>HYPERLINK("https://github.com/elimu-ai/appstore/issues/38","show")</f>
        <v>show</v>
      </c>
      <c r="E2166" t="str">
        <f>HYPERLINK("https://github.com/elimu-ai/appstore","show")</f>
        <v>show</v>
      </c>
      <c r="F2166" t="str">
        <f>HYPERLINK("https://github.com/elimu-ai/appstore/releases","show")</f>
        <v>show</v>
      </c>
    </row>
    <row r="2167" spans="1:6">
      <c r="A2167" t="s">
        <v>6494</v>
      </c>
      <c r="B2167" t="s">
        <v>6495</v>
      </c>
      <c r="C2167" t="s">
        <v>6496</v>
      </c>
      <c r="D2167" t="str">
        <f>HYPERLINK("https://github.com/barbeau/gpstest/issues/77","show")</f>
        <v>show</v>
      </c>
      <c r="E2167" t="str">
        <f>HYPERLINK("https://github.com/barbeau/gpstest","show")</f>
        <v>show</v>
      </c>
      <c r="F2167" t="str">
        <f>HYPERLINK("https://github.com/barbeau/gpstest/releases","show")</f>
        <v>show</v>
      </c>
    </row>
    <row r="2168" spans="1:6">
      <c r="A2168" t="s">
        <v>6497</v>
      </c>
      <c r="B2168" t="s">
        <v>6498</v>
      </c>
      <c r="C2168" t="s">
        <v>6499</v>
      </c>
      <c r="D2168" t="str">
        <f>HYPERLINK("https://github.com/flowupio/FlowUpAndroidSDK/issues/147","show")</f>
        <v>show</v>
      </c>
      <c r="E2168" t="str">
        <f>HYPERLINK("https://github.com/flowupio/FlowUpAndroidSDK","show")</f>
        <v>show</v>
      </c>
      <c r="F2168" t="str">
        <f>HYPERLINK("https://github.com/flowupio/FlowUpAndroidSDK/releases","show")</f>
        <v>show</v>
      </c>
    </row>
    <row r="2169" spans="1:6">
      <c r="A2169" t="s">
        <v>6500</v>
      </c>
      <c r="B2169" t="s">
        <v>6501</v>
      </c>
      <c r="C2169" t="s">
        <v>6502</v>
      </c>
      <c r="D2169" t="str">
        <f>HYPERLINK("https://github.com/ParanoidAndroid3/Journey/issues/30","show")</f>
        <v>show</v>
      </c>
      <c r="E2169" t="str">
        <f>HYPERLINK("https://github.com/ParanoidAndroid3/Journey","show")</f>
        <v>show</v>
      </c>
      <c r="F2169" t="str">
        <f>HYPERLINK("https://github.com/ParanoidAndroid3/Journey/releases","show")</f>
        <v>show</v>
      </c>
    </row>
    <row r="2170" spans="1:6">
      <c r="A2170" t="s">
        <v>6503</v>
      </c>
      <c r="B2170" t="s">
        <v>6504</v>
      </c>
      <c r="C2170" t="s">
        <v>6505</v>
      </c>
      <c r="D2170" t="str">
        <f>HYPERLINK("https://github.com/ParanoidAndroid3/Journey/issues/28","show")</f>
        <v>show</v>
      </c>
      <c r="E2170" t="str">
        <f>HYPERLINK("https://github.com/ParanoidAndroid3/Journey","show")</f>
        <v>show</v>
      </c>
      <c r="F2170" t="str">
        <f>HYPERLINK("https://github.com/ParanoidAndroid3/Journey/releases","show")</f>
        <v>show</v>
      </c>
    </row>
    <row r="2171" spans="1:6">
      <c r="A2171" t="s">
        <v>6506</v>
      </c>
      <c r="B2171" t="s">
        <v>5470</v>
      </c>
      <c r="C2171" t="s">
        <v>6507</v>
      </c>
      <c r="D2171" t="str">
        <f>HYPERLINK("https://github.com/teamOSC/DigitalOceanApp/issues/34","show")</f>
        <v>show</v>
      </c>
      <c r="E2171" t="str">
        <f>HYPERLINK("https://github.com/teamOSC/DigitalOceanApp","show")</f>
        <v>show</v>
      </c>
      <c r="F2171" t="str">
        <f>HYPERLINK("https://github.com/teamOSC/DigitalOceanApp/releases","show")</f>
        <v>show</v>
      </c>
    </row>
    <row r="2172" spans="1:6">
      <c r="A2172" t="s">
        <v>6508</v>
      </c>
      <c r="B2172" t="s">
        <v>6509</v>
      </c>
      <c r="C2172" t="s">
        <v>6510</v>
      </c>
      <c r="D2172" t="str">
        <f>HYPERLINK("https://github.com/inaturalist/iNaturalistAndroid/issues/266","show")</f>
        <v>show</v>
      </c>
      <c r="E2172" t="str">
        <f>HYPERLINK("https://github.com/inaturalist/iNaturalistAndroid","show")</f>
        <v>show</v>
      </c>
      <c r="F2172" t="str">
        <f>HYPERLINK("https://github.com/inaturalist/iNaturalistAndroid/releases","show")</f>
        <v>show</v>
      </c>
    </row>
    <row r="2173" spans="1:6">
      <c r="A2173" t="s">
        <v>6511</v>
      </c>
      <c r="B2173" t="s">
        <v>6512</v>
      </c>
      <c r="C2173" t="s">
        <v>6513</v>
      </c>
      <c r="D2173" t="str">
        <f>HYPERLINK("https://github.com/unfoldingWord-dev/uw-android/issues/181","show")</f>
        <v>show</v>
      </c>
      <c r="E2173" t="str">
        <f>HYPERLINK("https://github.com/unfoldingWord-dev/uw-android","show")</f>
        <v>show</v>
      </c>
      <c r="F2173" t="str">
        <f>HYPERLINK("https://github.com/unfoldingWord-dev/uw-android/releases","show")</f>
        <v>show</v>
      </c>
    </row>
    <row r="2174" spans="1:6">
      <c r="A2174" t="s">
        <v>6514</v>
      </c>
      <c r="B2174" t="s">
        <v>6515</v>
      </c>
      <c r="C2174" t="s">
        <v>6516</v>
      </c>
      <c r="D2174" t="str">
        <f>HYPERLINK("https://github.com/frc2052/FRC-Krawler/issues/15","show")</f>
        <v>show</v>
      </c>
      <c r="E2174" t="str">
        <f>HYPERLINK("https://github.com/frc2052/FRC-Krawler","show")</f>
        <v>show</v>
      </c>
      <c r="F2174" t="str">
        <f>HYPERLINK("https://github.com/frc2052/FRC-Krawler/releases","show")</f>
        <v>show</v>
      </c>
    </row>
    <row r="2175" spans="1:6">
      <c r="A2175" t="s">
        <v>6517</v>
      </c>
      <c r="B2175" t="s">
        <v>6518</v>
      </c>
      <c r="C2175" t="s">
        <v>6519</v>
      </c>
      <c r="D2175" t="str">
        <f>HYPERLINK("https://github.com/praekeltfoundation/gem-bbb-indo/issues/155","show")</f>
        <v>show</v>
      </c>
      <c r="E2175" t="str">
        <f>HYPERLINK("https://github.com/praekeltfoundation/gem-bbb-indo","show")</f>
        <v>show</v>
      </c>
      <c r="F2175" t="str">
        <f>HYPERLINK("https://github.com/praekeltfoundation/gem-bbb-indo/releases","show")</f>
        <v>show</v>
      </c>
    </row>
    <row r="2176" spans="1:6">
      <c r="A2176" t="s">
        <v>6520</v>
      </c>
      <c r="B2176" t="s">
        <v>6521</v>
      </c>
      <c r="C2176" t="s">
        <v>6522</v>
      </c>
      <c r="D2176" t="str">
        <f>HYPERLINK("https://github.com/nextcloud/android/issues/413","show")</f>
        <v>show</v>
      </c>
      <c r="E2176" t="str">
        <f>HYPERLINK("https://github.com/nextcloud/android","show")</f>
        <v>show</v>
      </c>
      <c r="F2176" t="str">
        <f>HYPERLINK("https://github.com/nextcloud/android/releases","show")</f>
        <v>show</v>
      </c>
    </row>
    <row r="2177" spans="1:6">
      <c r="A2177" t="s">
        <v>6523</v>
      </c>
      <c r="B2177" t="s">
        <v>6477</v>
      </c>
      <c r="C2177" t="s">
        <v>6524</v>
      </c>
      <c r="D2177" t="str">
        <f>HYPERLINK("https://github.com/flowupio/FlowUpAndroidSDK/issues/155","show")</f>
        <v>show</v>
      </c>
      <c r="E2177" t="str">
        <f>HYPERLINK("https://github.com/flowupio/FlowUpAndroidSDK","show")</f>
        <v>show</v>
      </c>
      <c r="F2177" t="str">
        <f>HYPERLINK("https://github.com/flowupio/FlowUpAndroidSDK/releases","show")</f>
        <v>show</v>
      </c>
    </row>
    <row r="2178" spans="1:6">
      <c r="A2178" t="s">
        <v>6525</v>
      </c>
      <c r="B2178" t="s">
        <v>6526</v>
      </c>
      <c r="C2178" t="s">
        <v>6527</v>
      </c>
      <c r="D2178" t="str">
        <f>HYPERLINK("https://github.com/k9mail/k-9/issues/1826","show")</f>
        <v>show</v>
      </c>
      <c r="E2178" t="str">
        <f>HYPERLINK("https://github.com/k9mail/k-9","show")</f>
        <v>show</v>
      </c>
      <c r="F2178" t="str">
        <f>HYPERLINK("https://github.com/k9mail/k-9/releases","show")</f>
        <v>show</v>
      </c>
    </row>
    <row r="2179" spans="1:6">
      <c r="A2179" t="s">
        <v>6528</v>
      </c>
      <c r="B2179" t="s">
        <v>6529</v>
      </c>
      <c r="C2179" t="s">
        <v>6530</v>
      </c>
      <c r="D2179" t="str">
        <f>HYPERLINK("https://github.com/WhatAKitty/react-native-bottom-sheet/issues/4","show")</f>
        <v>show</v>
      </c>
      <c r="E2179" t="str">
        <f>HYPERLINK("https://github.com/WhatAKitty/react-native-bottom-sheet","show")</f>
        <v>show</v>
      </c>
      <c r="F2179" t="str">
        <f>HYPERLINK("https://github.com/WhatAKitty/react-native-bottom-sheet/releases","show")</f>
        <v>show</v>
      </c>
    </row>
    <row r="2180" spans="1:6">
      <c r="A2180" t="s">
        <v>6531</v>
      </c>
      <c r="B2180" t="s">
        <v>6532</v>
      </c>
      <c r="C2180" t="s">
        <v>6533</v>
      </c>
      <c r="D2180" t="str">
        <f>HYPERLINK("https://github.com/BandUp/band-up-android/issues/6","show")</f>
        <v>show</v>
      </c>
      <c r="E2180" t="str">
        <f>HYPERLINK("https://github.com/BandUp/band-up-android","show")</f>
        <v>show</v>
      </c>
      <c r="F2180" t="str">
        <f>HYPERLINK("https://github.com/BandUp/band-up-android/releases","show")</f>
        <v>show</v>
      </c>
    </row>
    <row r="2181" spans="1:6">
      <c r="A2181" t="s">
        <v>6534</v>
      </c>
      <c r="B2181" t="s">
        <v>6535</v>
      </c>
      <c r="C2181" t="s">
        <v>6536</v>
      </c>
      <c r="D2181" t="str">
        <f>HYPERLINK("https://github.com/ludomuse/Ludomuse/issues/26","show")</f>
        <v>show</v>
      </c>
      <c r="E2181" t="str">
        <f>HYPERLINK("https://github.com/ludomuse/Ludomuse","show")</f>
        <v>show</v>
      </c>
      <c r="F2181" t="str">
        <f>HYPERLINK("https://github.com/ludomuse/Ludomuse/releases","show")</f>
        <v>show</v>
      </c>
    </row>
    <row r="2182" spans="1:6">
      <c r="A2182" t="s">
        <v>6537</v>
      </c>
      <c r="B2182" t="s">
        <v>6538</v>
      </c>
      <c r="C2182" t="s">
        <v>6539</v>
      </c>
      <c r="D2182" t="str">
        <f>HYPERLINK("https://github.com/tanrabad/survey/issues/2","show")</f>
        <v>show</v>
      </c>
      <c r="E2182" t="str">
        <f>HYPERLINK("https://github.com/tanrabad/survey","show")</f>
        <v>show</v>
      </c>
      <c r="F2182" t="str">
        <f>HYPERLINK("https://github.com/tanrabad/survey/releases","show")</f>
        <v>show</v>
      </c>
    </row>
    <row r="2183" spans="1:6">
      <c r="A2183" t="s">
        <v>6540</v>
      </c>
      <c r="B2183" t="s">
        <v>6541</v>
      </c>
      <c r="C2183" t="s">
        <v>6542</v>
      </c>
      <c r="D2183" t="str">
        <f>HYPERLINK("https://github.com/Cloudkibo/Android/issues/330","show")</f>
        <v>show</v>
      </c>
      <c r="E2183" t="str">
        <f>HYPERLINK("https://github.com/Cloudkibo/Android","show")</f>
        <v>show</v>
      </c>
      <c r="F2183" t="str">
        <f>HYPERLINK("https://github.com/Cloudkibo/Android/releases","show")</f>
        <v>show</v>
      </c>
    </row>
    <row r="2184" spans="1:6">
      <c r="A2184" t="s">
        <v>6543</v>
      </c>
      <c r="B2184" t="s">
        <v>6544</v>
      </c>
      <c r="C2184" t="s">
        <v>6545</v>
      </c>
      <c r="D2184" t="str">
        <f>HYPERLINK("https://github.com/danimahardhika/candybar-library/issues/10","show")</f>
        <v>show</v>
      </c>
      <c r="E2184" t="str">
        <f>HYPERLINK("https://github.com/danimahardhika/candybar-library","show")</f>
        <v>show</v>
      </c>
      <c r="F2184" t="str">
        <f>HYPERLINK("https://github.com/danimahardhika/candybar-library/releases","show")</f>
        <v>show</v>
      </c>
    </row>
    <row r="2185" spans="1:6">
      <c r="A2185" t="s">
        <v>6546</v>
      </c>
      <c r="B2185" t="s">
        <v>4460</v>
      </c>
      <c r="C2185" t="s">
        <v>6547</v>
      </c>
      <c r="D2185" t="str">
        <f>HYPERLINK("https://github.com/tanrabad/survey/issues/5","show")</f>
        <v>show</v>
      </c>
      <c r="E2185" t="str">
        <f>HYPERLINK("https://github.com/tanrabad/survey","show")</f>
        <v>show</v>
      </c>
      <c r="F2185" t="str">
        <f>HYPERLINK("https://github.com/tanrabad/survey/releases","show")</f>
        <v>show</v>
      </c>
    </row>
    <row r="2186" spans="1:6">
      <c r="A2186" t="s">
        <v>6548</v>
      </c>
      <c r="B2186" t="s">
        <v>4460</v>
      </c>
      <c r="C2186" t="s">
        <v>6549</v>
      </c>
      <c r="D2186" t="str">
        <f>HYPERLINK("https://github.com/tanrabad/survey/issues/4","show")</f>
        <v>show</v>
      </c>
      <c r="E2186" t="str">
        <f>HYPERLINK("https://github.com/tanrabad/survey","show")</f>
        <v>show</v>
      </c>
      <c r="F2186" t="str">
        <f>HYPERLINK("https://github.com/tanrabad/survey/releases","show")</f>
        <v>show</v>
      </c>
    </row>
    <row r="2187" spans="1:6">
      <c r="A2187" t="s">
        <v>6550</v>
      </c>
      <c r="B2187" t="s">
        <v>4460</v>
      </c>
      <c r="C2187" t="s">
        <v>6551</v>
      </c>
      <c r="D2187" t="str">
        <f>HYPERLINK("https://github.com/tanrabad/survey/issues/3","show")</f>
        <v>show</v>
      </c>
      <c r="E2187" t="str">
        <f>HYPERLINK("https://github.com/tanrabad/survey","show")</f>
        <v>show</v>
      </c>
      <c r="F2187" t="str">
        <f>HYPERLINK("https://github.com/tanrabad/survey/releases","show")</f>
        <v>show</v>
      </c>
    </row>
    <row r="2188" spans="1:6">
      <c r="A2188" t="s">
        <v>6552</v>
      </c>
      <c r="B2188" t="s">
        <v>6553</v>
      </c>
      <c r="C2188" t="s">
        <v>6554</v>
      </c>
      <c r="D2188" t="str">
        <f>HYPERLINK("https://github.com/nextcloud/android/issues/425","show")</f>
        <v>show</v>
      </c>
      <c r="E2188" t="str">
        <f>HYPERLINK("https://github.com/nextcloud/android","show")</f>
        <v>show</v>
      </c>
      <c r="F2188" t="str">
        <f>HYPERLINK("https://github.com/nextcloud/android/releases","show")</f>
        <v>show</v>
      </c>
    </row>
    <row r="2189" spans="1:6">
      <c r="A2189" t="s">
        <v>6555</v>
      </c>
      <c r="B2189" t="s">
        <v>6556</v>
      </c>
      <c r="C2189" t="s">
        <v>6557</v>
      </c>
      <c r="D2189" t="str">
        <f>HYPERLINK("https://github.com/Fleker/CumulusTV/issues/199","show")</f>
        <v>show</v>
      </c>
      <c r="E2189" t="str">
        <f>HYPERLINK("https://github.com/Fleker/CumulusTV","show")</f>
        <v>show</v>
      </c>
      <c r="F2189" t="str">
        <f>HYPERLINK("https://github.com/Fleker/CumulusTV/releases","show")</f>
        <v>show</v>
      </c>
    </row>
    <row r="2190" spans="1:6">
      <c r="A2190" t="s">
        <v>6558</v>
      </c>
      <c r="B2190" t="s">
        <v>6559</v>
      </c>
      <c r="C2190" t="s">
        <v>6560</v>
      </c>
      <c r="D2190" t="str">
        <f>HYPERLINK("https://github.com/ozelevrim/EvrimNews/issues/4","show")</f>
        <v>show</v>
      </c>
      <c r="E2190" t="str">
        <f>HYPERLINK("https://github.com/ozelevrim/EvrimNews","show")</f>
        <v>show</v>
      </c>
      <c r="F2190" t="str">
        <f>HYPERLINK("https://github.com/ozelevrim/EvrimNews/releases","show")</f>
        <v>show</v>
      </c>
    </row>
    <row r="2191" spans="1:6">
      <c r="A2191" t="s">
        <v>6561</v>
      </c>
      <c r="B2191" t="s">
        <v>6562</v>
      </c>
      <c r="C2191" t="s">
        <v>6563</v>
      </c>
      <c r="D2191" t="str">
        <f>HYPERLINK("https://github.com/ozelevrim/EvrimNews/issues/1","show")</f>
        <v>show</v>
      </c>
      <c r="E2191" t="str">
        <f>HYPERLINK("https://github.com/ozelevrim/EvrimNews","show")</f>
        <v>show</v>
      </c>
      <c r="F2191" t="str">
        <f>HYPERLINK("https://github.com/ozelevrim/EvrimNews/releases","show")</f>
        <v>show</v>
      </c>
    </row>
    <row r="2192" spans="1:6">
      <c r="A2192" t="s">
        <v>6564</v>
      </c>
      <c r="B2192" t="s">
        <v>6565</v>
      </c>
      <c r="C2192" t="s">
        <v>6566</v>
      </c>
      <c r="D2192" t="str">
        <f>HYPERLINK("https://github.com/k9mail/k-9/issues/1836","show")</f>
        <v>show</v>
      </c>
      <c r="E2192" t="str">
        <f>HYPERLINK("https://github.com/k9mail/k-9","show")</f>
        <v>show</v>
      </c>
      <c r="F2192" t="str">
        <f>HYPERLINK("https://github.com/k9mail/k-9/releases","show")</f>
        <v>show</v>
      </c>
    </row>
    <row r="2193" spans="1:6">
      <c r="A2193" t="s">
        <v>6567</v>
      </c>
      <c r="B2193" t="s">
        <v>6568</v>
      </c>
      <c r="C2193" t="s">
        <v>6569</v>
      </c>
      <c r="D2193" t="str">
        <f>HYPERLINK("https://github.com/elimu-ai/ml-authentication/issues/230","show")</f>
        <v>show</v>
      </c>
      <c r="E2193" t="str">
        <f>HYPERLINK("https://github.com/elimu-ai/ml-authentication","show")</f>
        <v>show</v>
      </c>
      <c r="F2193" t="str">
        <f>HYPERLINK("https://github.com/elimu-ai/ml-authentication/releases","show")</f>
        <v>show</v>
      </c>
    </row>
    <row r="2194" spans="1:6">
      <c r="A2194" t="s">
        <v>6570</v>
      </c>
      <c r="B2194" t="s">
        <v>6571</v>
      </c>
      <c r="C2194" t="s">
        <v>6572</v>
      </c>
      <c r="D2194" t="str">
        <f>HYPERLINK("https://github.com/HugoGresse/Anecdote/issues/19","show")</f>
        <v>show</v>
      </c>
      <c r="E2194" t="str">
        <f>HYPERLINK("https://github.com/HugoGresse/Anecdote","show")</f>
        <v>show</v>
      </c>
      <c r="F2194" t="str">
        <f>HYPERLINK("https://github.com/HugoGresse/Anecdote/releases","show")</f>
        <v>show</v>
      </c>
    </row>
    <row r="2195" spans="1:6">
      <c r="A2195" t="s">
        <v>6573</v>
      </c>
      <c r="B2195" t="s">
        <v>6574</v>
      </c>
      <c r="C2195" t="s">
        <v>6575</v>
      </c>
      <c r="D2195" t="str">
        <f>HYPERLINK("https://github.com/Cloudkibo/Android/issues/337","show")</f>
        <v>show</v>
      </c>
      <c r="E2195" t="str">
        <f>HYPERLINK("https://github.com/Cloudkibo/Android","show")</f>
        <v>show</v>
      </c>
      <c r="F2195" t="str">
        <f>HYPERLINK("https://github.com/Cloudkibo/Android/releases","show")</f>
        <v>show</v>
      </c>
    </row>
    <row r="2196" spans="1:6">
      <c r="A2196" t="s">
        <v>6576</v>
      </c>
      <c r="B2196" t="s">
        <v>6577</v>
      </c>
      <c r="C2196" t="s">
        <v>6578</v>
      </c>
      <c r="D2196" t="str">
        <f>HYPERLINK("https://github.com/inaturalist/iNaturalistAndroid/issues/275","show")</f>
        <v>show</v>
      </c>
      <c r="E2196" t="str">
        <f>HYPERLINK("https://github.com/inaturalist/iNaturalistAndroid","show")</f>
        <v>show</v>
      </c>
      <c r="F2196" t="str">
        <f>HYPERLINK("https://github.com/inaturalist/iNaturalistAndroid/releases","show")</f>
        <v>show</v>
      </c>
    </row>
    <row r="2197" spans="1:6">
      <c r="A2197" t="s">
        <v>6579</v>
      </c>
      <c r="B2197" t="s">
        <v>6580</v>
      </c>
      <c r="C2197" t="s">
        <v>6581</v>
      </c>
      <c r="D2197" t="str">
        <f>HYPERLINK("https://github.com/Cloudkibo/Android/issues/339","show")</f>
        <v>show</v>
      </c>
      <c r="E2197" t="str">
        <f>HYPERLINK("https://github.com/Cloudkibo/Android","show")</f>
        <v>show</v>
      </c>
      <c r="F2197" t="str">
        <f>HYPERLINK("https://github.com/Cloudkibo/Android/releases","show")</f>
        <v>show</v>
      </c>
    </row>
    <row r="2198" spans="1:6">
      <c r="A2198" t="s">
        <v>6582</v>
      </c>
      <c r="B2198" t="s">
        <v>6583</v>
      </c>
      <c r="C2198" t="s">
        <v>6584</v>
      </c>
      <c r="D2198" t="str">
        <f>HYPERLINK("https://github.com/AppsFlyerSDK/appsflyer-react-native-plugin/issues/4","show")</f>
        <v>show</v>
      </c>
      <c r="E2198" t="str">
        <f>HYPERLINK("https://github.com/AppsFlyerSDK/appsflyer-react-native-plugin","show")</f>
        <v>show</v>
      </c>
      <c r="F2198" t="str">
        <f>HYPERLINK("https://github.com/AppsFlyerSDK/appsflyer-react-native-plugin/releases","show")</f>
        <v>show</v>
      </c>
    </row>
    <row r="2199" spans="1:6">
      <c r="A2199" t="s">
        <v>6585</v>
      </c>
      <c r="B2199" t="s">
        <v>6586</v>
      </c>
      <c r="C2199" t="s">
        <v>6587</v>
      </c>
      <c r="D2199" t="str">
        <f>HYPERLINK("https://github.com/AdevintaSpain/Parallax-Layer-Layout/issues/12","show")</f>
        <v>show</v>
      </c>
      <c r="E2199" t="str">
        <f>HYPERLINK("https://github.com/AdevintaSpain/Parallax-Layer-Layout","show")</f>
        <v>show</v>
      </c>
      <c r="F2199" t="str">
        <f>HYPERLINK("https://github.com/AdevintaSpain/Parallax-Layer-Layout/releases","show")</f>
        <v>show</v>
      </c>
    </row>
    <row r="2200" spans="1:6">
      <c r="A2200" t="s">
        <v>6588</v>
      </c>
      <c r="B2200" t="s">
        <v>6589</v>
      </c>
      <c r="C2200" t="s">
        <v>6590</v>
      </c>
      <c r="D2200" t="str">
        <f>HYPERLINK("https://github.com/getodk/collect/issues/289","show")</f>
        <v>show</v>
      </c>
      <c r="E2200" t="str">
        <f>HYPERLINK("https://github.com/getodk/collect","show")</f>
        <v>show</v>
      </c>
      <c r="F2200" t="str">
        <f>HYPERLINK("https://github.com/getodk/collect/releases","show")</f>
        <v>show</v>
      </c>
    </row>
    <row r="2201" spans="1:6">
      <c r="A2201" t="s">
        <v>6591</v>
      </c>
      <c r="B2201" t="s">
        <v>6592</v>
      </c>
      <c r="C2201" t="s">
        <v>6593</v>
      </c>
      <c r="D2201" t="str">
        <f>HYPERLINK("https://github.com/klinker-apps/Android-Blur-Launcher/issues/7","show")</f>
        <v>show</v>
      </c>
      <c r="E2201" t="str">
        <f>HYPERLINK("https://github.com/klinker-apps/Android-Blur-Launcher","show")</f>
        <v>show</v>
      </c>
      <c r="F2201" t="str">
        <f>HYPERLINK("https://github.com/klinker-apps/Android-Blur-Launcher/releases","show")</f>
        <v>show</v>
      </c>
    </row>
    <row r="2202" spans="1:6">
      <c r="A2202" t="s">
        <v>6594</v>
      </c>
      <c r="B2202" t="s">
        <v>6595</v>
      </c>
      <c r="C2202" t="s">
        <v>6596</v>
      </c>
      <c r="D2202" t="str">
        <f>HYPERLINK("https://github.com/lingochamp/FileDownloader/issues/420","show")</f>
        <v>show</v>
      </c>
      <c r="E2202" t="str">
        <f>HYPERLINK("https://github.com/lingochamp/FileDownloader","show")</f>
        <v>show</v>
      </c>
      <c r="F2202" t="str">
        <f>HYPERLINK("https://github.com/lingochamp/FileDownloader/releases","show")</f>
        <v>show</v>
      </c>
    </row>
    <row r="2203" spans="1:6">
      <c r="A2203" t="s">
        <v>6597</v>
      </c>
      <c r="B2203" t="s">
        <v>6598</v>
      </c>
      <c r="C2203" t="s">
        <v>6599</v>
      </c>
      <c r="D2203" t="str">
        <f>HYPERLINK("https://github.com/syncthing/syncthing-android/issues/806","show")</f>
        <v>show</v>
      </c>
      <c r="E2203" t="str">
        <f>HYPERLINK("https://github.com/syncthing/syncthing-android","show")</f>
        <v>show</v>
      </c>
      <c r="F2203" t="str">
        <f>HYPERLINK("https://github.com/syncthing/syncthing-android/releases","show")</f>
        <v>show</v>
      </c>
    </row>
    <row r="2204" spans="1:6">
      <c r="A2204" t="s">
        <v>6600</v>
      </c>
      <c r="B2204" t="s">
        <v>6601</v>
      </c>
      <c r="C2204" t="s">
        <v>6602</v>
      </c>
      <c r="D2204" t="str">
        <f>HYPERLINK("https://github.com/popcorn-official/popcorn-android/issues/106","show")</f>
        <v>show</v>
      </c>
      <c r="E2204" t="str">
        <f>HYPERLINK("https://github.com/popcorn-official/popcorn-android","show")</f>
        <v>show</v>
      </c>
      <c r="F2204" t="str">
        <f>HYPERLINK("https://github.com/popcorn-official/popcorn-android/releases","show")</f>
        <v>show</v>
      </c>
    </row>
    <row r="2205" spans="1:6">
      <c r="A2205" t="s">
        <v>6603</v>
      </c>
      <c r="B2205" t="s">
        <v>6604</v>
      </c>
      <c r="C2205" t="s">
        <v>6605</v>
      </c>
      <c r="D2205" t="str">
        <f>HYPERLINK("https://github.com/HugoGresse/Anecdote/issues/27","show")</f>
        <v>show</v>
      </c>
      <c r="E2205" t="str">
        <f>HYPERLINK("https://github.com/HugoGresse/Anecdote","show")</f>
        <v>show</v>
      </c>
      <c r="F2205" t="str">
        <f>HYPERLINK("https://github.com/HugoGresse/Anecdote/releases","show")</f>
        <v>show</v>
      </c>
    </row>
    <row r="2206" spans="1:6">
      <c r="A2206" t="s">
        <v>6606</v>
      </c>
      <c r="B2206" t="s">
        <v>6607</v>
      </c>
      <c r="C2206" t="s">
        <v>6608</v>
      </c>
      <c r="D2206" t="str">
        <f>HYPERLINK("https://github.com/yydcdut/RxMarkdown/issues/8","show")</f>
        <v>show</v>
      </c>
      <c r="E2206" t="str">
        <f>HYPERLINK("https://github.com/yydcdut/RxMarkdown","show")</f>
        <v>show</v>
      </c>
      <c r="F2206" t="str">
        <f>HYPERLINK("https://github.com/yydcdut/RxMarkdown/releases","show")</f>
        <v>show</v>
      </c>
    </row>
    <row r="2207" spans="1:6">
      <c r="A2207" t="s">
        <v>6609</v>
      </c>
      <c r="B2207" t="s">
        <v>6610</v>
      </c>
      <c r="C2207" t="s">
        <v>6611</v>
      </c>
      <c r="D2207" t="str">
        <f>HYPERLINK("https://github.com/maximova136/EffectiveTravel-client/issues/25","show")</f>
        <v>show</v>
      </c>
      <c r="E2207" t="str">
        <f>HYPERLINK("https://github.com/maximova136/EffectiveTravel-client","show")</f>
        <v>show</v>
      </c>
      <c r="F2207" t="str">
        <f>HYPERLINK("https://github.com/maximova136/EffectiveTravel-client/releases","show")</f>
        <v>show</v>
      </c>
    </row>
    <row r="2208" spans="1:6">
      <c r="A2208" t="s">
        <v>6612</v>
      </c>
      <c r="B2208" t="s">
        <v>6613</v>
      </c>
      <c r="C2208" t="s">
        <v>6614</v>
      </c>
      <c r="D2208" t="str">
        <f>HYPERLINK("https://github.com/nextcloud/android/issues/442","show")</f>
        <v>show</v>
      </c>
      <c r="E2208" t="str">
        <f>HYPERLINK("https://github.com/nextcloud/android","show")</f>
        <v>show</v>
      </c>
      <c r="F2208" t="str">
        <f>HYPERLINK("https://github.com/nextcloud/android/releases","show")</f>
        <v>show</v>
      </c>
    </row>
    <row r="2209" spans="1:6">
      <c r="A2209" t="s">
        <v>6615</v>
      </c>
      <c r="B2209" t="s">
        <v>6616</v>
      </c>
      <c r="C2209" t="s">
        <v>6617</v>
      </c>
      <c r="D2209" t="str">
        <f>HYPERLINK("https://github.com/wasdennnoch/AndroidN-ify/issues/1259","show")</f>
        <v>show</v>
      </c>
      <c r="E2209" t="str">
        <f>HYPERLINK("https://github.com/wasdennnoch/AndroidN-ify","show")</f>
        <v>show</v>
      </c>
      <c r="F2209" t="str">
        <f>HYPERLINK("https://github.com/wasdennnoch/AndroidN-ify/releases","show")</f>
        <v>show</v>
      </c>
    </row>
    <row r="2210" spans="1:6">
      <c r="A2210" t="s">
        <v>6618</v>
      </c>
      <c r="B2210" t="s">
        <v>6619</v>
      </c>
      <c r="C2210" t="s">
        <v>6620</v>
      </c>
      <c r="D2210" t="str">
        <f>HYPERLINK("https://github.com/niclabs/adkintunmobile-androidclient/issues/142","show")</f>
        <v>show</v>
      </c>
      <c r="E2210" t="str">
        <f>HYPERLINK("https://github.com/niclabs/adkintunmobile-androidclient","show")</f>
        <v>show</v>
      </c>
      <c r="F2210" t="str">
        <f>HYPERLINK("https://github.com/niclabs/adkintunmobile-androidclient/releases","show")</f>
        <v>show</v>
      </c>
    </row>
    <row r="2211" spans="1:6">
      <c r="A2211" t="s">
        <v>6621</v>
      </c>
      <c r="B2211" t="s">
        <v>6622</v>
      </c>
      <c r="C2211" t="s">
        <v>6623</v>
      </c>
      <c r="D2211" t="str">
        <f>HYPERLINK("https://github.com/Cloudkibo/Android/issues/351","show")</f>
        <v>show</v>
      </c>
      <c r="E2211" t="str">
        <f>HYPERLINK("https://github.com/Cloudkibo/Android","show")</f>
        <v>show</v>
      </c>
      <c r="F2211" t="str">
        <f>HYPERLINK("https://github.com/Cloudkibo/Android/releases","show")</f>
        <v>show</v>
      </c>
    </row>
    <row r="2212" spans="1:6">
      <c r="A2212" t="s">
        <v>6624</v>
      </c>
      <c r="B2212" t="s">
        <v>6625</v>
      </c>
      <c r="C2212" t="s">
        <v>6626</v>
      </c>
      <c r="D2212" t="str">
        <f>HYPERLINK("https://github.com/wasdennnoch/AndroidN-ify/issues/1267","show")</f>
        <v>show</v>
      </c>
      <c r="E2212" t="str">
        <f>HYPERLINK("https://github.com/wasdennnoch/AndroidN-ify","show")</f>
        <v>show</v>
      </c>
      <c r="F2212" t="str">
        <f>HYPERLINK("https://github.com/wasdennnoch/AndroidN-ify/releases","show")</f>
        <v>show</v>
      </c>
    </row>
    <row r="2213" spans="1:6">
      <c r="A2213" t="s">
        <v>6627</v>
      </c>
      <c r="B2213" t="s">
        <v>6628</v>
      </c>
      <c r="C2213" t="s">
        <v>6629</v>
      </c>
      <c r="D2213" t="str">
        <f>HYPERLINK("https://github.com/zom/Zom-Android-XMPP/issues/168","show")</f>
        <v>show</v>
      </c>
      <c r="E2213" t="str">
        <f>HYPERLINK("https://github.com/zom/Zom-Android-XMPP","show")</f>
        <v>show</v>
      </c>
      <c r="F2213" t="str">
        <f>HYPERLINK("https://github.com/zom/Zom-Android-XMPP/releases","show")</f>
        <v>show</v>
      </c>
    </row>
    <row r="2214" spans="1:6">
      <c r="A2214" t="s">
        <v>6630</v>
      </c>
      <c r="B2214" t="s">
        <v>6631</v>
      </c>
      <c r="C2214" t="s">
        <v>6632</v>
      </c>
      <c r="D2214" t="str">
        <f>HYPERLINK("https://github.com/julian-klode/dns66/issues/51","show")</f>
        <v>show</v>
      </c>
      <c r="E2214" t="str">
        <f>HYPERLINK("https://github.com/julian-klode/dns66","show")</f>
        <v>show</v>
      </c>
      <c r="F2214" t="str">
        <f>HYPERLINK("https://github.com/julian-klode/dns66/releases","show")</f>
        <v>show</v>
      </c>
    </row>
    <row r="2215" spans="1:6">
      <c r="A2215" t="s">
        <v>6633</v>
      </c>
      <c r="B2215" t="s">
        <v>6634</v>
      </c>
      <c r="C2215" t="s">
        <v>6635</v>
      </c>
      <c r="D2215" t="str">
        <f>HYPERLINK("https://github.com/praekeltfoundation/gem-bbb-indo/issues/265","show")</f>
        <v>show</v>
      </c>
      <c r="E2215" t="str">
        <f>HYPERLINK("https://github.com/praekeltfoundation/gem-bbb-indo","show")</f>
        <v>show</v>
      </c>
      <c r="F2215" t="str">
        <f>HYPERLINK("https://github.com/praekeltfoundation/gem-bbb-indo/releases","show")</f>
        <v>show</v>
      </c>
    </row>
    <row r="2216" spans="1:6">
      <c r="A2216" t="s">
        <v>6636</v>
      </c>
      <c r="B2216" t="s">
        <v>6637</v>
      </c>
      <c r="C2216" t="s">
        <v>6638</v>
      </c>
      <c r="D2216" t="str">
        <f>HYPERLINK("https://github.com/OneBusAway/onebusaway-android/issues/730","show")</f>
        <v>show</v>
      </c>
      <c r="E2216" t="str">
        <f>HYPERLINK("https://github.com/OneBusAway/onebusaway-android","show")</f>
        <v>show</v>
      </c>
      <c r="F2216" t="str">
        <f>HYPERLINK("https://github.com/OneBusAway/onebusaway-android/releases","show")</f>
        <v>show</v>
      </c>
    </row>
    <row r="2217" spans="1:6">
      <c r="A2217" t="s">
        <v>6639</v>
      </c>
      <c r="B2217" t="s">
        <v>6640</v>
      </c>
      <c r="C2217" t="s">
        <v>6641</v>
      </c>
      <c r="D2217" t="str">
        <f>HYPERLINK("https://github.com/OneBusAway/onebusaway-android/issues/729","show")</f>
        <v>show</v>
      </c>
      <c r="E2217" t="str">
        <f>HYPERLINK("https://github.com/OneBusAway/onebusaway-android","show")</f>
        <v>show</v>
      </c>
      <c r="F2217" t="str">
        <f>HYPERLINK("https://github.com/OneBusAway/onebusaway-android/releases","show")</f>
        <v>show</v>
      </c>
    </row>
    <row r="2218" spans="1:6">
      <c r="A2218" t="s">
        <v>6642</v>
      </c>
      <c r="B2218" t="s">
        <v>6643</v>
      </c>
      <c r="C2218" t="s">
        <v>6644</v>
      </c>
      <c r="D2218" t="str">
        <f>HYPERLINK("https://github.com/googlesamples/easypermissions/issues/65","show")</f>
        <v>show</v>
      </c>
      <c r="E2218" t="str">
        <f>HYPERLINK("https://github.com/googlesamples/easypermissions","show")</f>
        <v>show</v>
      </c>
      <c r="F2218" t="str">
        <f>HYPERLINK("https://github.com/googlesamples/easypermissions/releases","show")</f>
        <v>show</v>
      </c>
    </row>
    <row r="2219" spans="1:6">
      <c r="A2219" t="s">
        <v>6645</v>
      </c>
      <c r="B2219" t="s">
        <v>6646</v>
      </c>
      <c r="C2219" t="s">
        <v>6647</v>
      </c>
      <c r="D2219" t="str">
        <f>HYPERLINK("https://github.com/OpenArchive/Save-app-android/issues/51","show")</f>
        <v>show</v>
      </c>
      <c r="E2219" t="str">
        <f>HYPERLINK("https://github.com/OpenArchive/Save-app-android","show")</f>
        <v>show</v>
      </c>
      <c r="F2219" t="str">
        <f>HYPERLINK("https://github.com/OpenArchive/Save-app-android/releases","show")</f>
        <v>show</v>
      </c>
    </row>
    <row r="2220" spans="1:6">
      <c r="A2220" t="s">
        <v>6648</v>
      </c>
      <c r="B2220" t="s">
        <v>6649</v>
      </c>
      <c r="C2220" t="s">
        <v>6650</v>
      </c>
      <c r="D2220" t="str">
        <f>HYPERLINK("https://github.com/HRVBand/hrv-band/issues/76","show")</f>
        <v>show</v>
      </c>
      <c r="E2220" t="str">
        <f>HYPERLINK("https://github.com/HRVBand/hrv-band","show")</f>
        <v>show</v>
      </c>
      <c r="F2220" t="str">
        <f>HYPERLINK("https://github.com/HRVBand/hrv-band/releases","show")</f>
        <v>show</v>
      </c>
    </row>
    <row r="2221" spans="1:6">
      <c r="A2221" t="s">
        <v>6651</v>
      </c>
      <c r="B2221" t="s">
        <v>6652</v>
      </c>
      <c r="C2221" t="s">
        <v>6653</v>
      </c>
      <c r="D2221" t="str">
        <f>HYPERLINK("https://github.com/schotten-totten-company/schotten-totten/issues/8","show")</f>
        <v>show</v>
      </c>
      <c r="E2221" t="str">
        <f>HYPERLINK("https://github.com/schotten-totten-company/schotten-totten","show")</f>
        <v>show</v>
      </c>
      <c r="F2221" t="str">
        <f>HYPERLINK("https://github.com/schotten-totten-company/schotten-totten/releases","show")</f>
        <v>show</v>
      </c>
    </row>
    <row r="2222" spans="1:6">
      <c r="A2222" t="s">
        <v>6654</v>
      </c>
      <c r="B2222" t="s">
        <v>6655</v>
      </c>
      <c r="C2222" t="s">
        <v>6656</v>
      </c>
      <c r="D2222" t="str">
        <f>HYPERLINK("https://github.com/projectwife/mtesitoo-android/issues/59","show")</f>
        <v>show</v>
      </c>
      <c r="E2222" t="str">
        <f>HYPERLINK("https://github.com/projectwife/mtesitoo-android","show")</f>
        <v>show</v>
      </c>
      <c r="F2222" t="str">
        <f>HYPERLINK("https://github.com/projectwife/mtesitoo-android/releases","show")</f>
        <v>show</v>
      </c>
    </row>
    <row r="2223" spans="1:6">
      <c r="A2223" t="s">
        <v>6657</v>
      </c>
      <c r="B2223" t="s">
        <v>6658</v>
      </c>
      <c r="C2223" t="s">
        <v>6659</v>
      </c>
      <c r="D2223" t="str">
        <f>HYPERLINK("https://github.com/veritrans/veritrans-android/issues/194","show")</f>
        <v>show</v>
      </c>
      <c r="E2223" t="str">
        <f>HYPERLINK("https://github.com/veritrans/veritrans-android","show")</f>
        <v>show</v>
      </c>
      <c r="F2223" t="str">
        <f>HYPERLINK("https://github.com/veritrans/veritrans-android/releases","show")</f>
        <v>show</v>
      </c>
    </row>
    <row r="2224" spans="1:6">
      <c r="A2224" t="s">
        <v>6660</v>
      </c>
      <c r="B2224" t="s">
        <v>6661</v>
      </c>
      <c r="C2224" t="s">
        <v>6662</v>
      </c>
      <c r="D2224" t="str">
        <f>HYPERLINK("https://github.com/tvbarthel/IntentShare/issues/46","show")</f>
        <v>show</v>
      </c>
      <c r="E2224" t="str">
        <f>HYPERLINK("https://github.com/tvbarthel/IntentShare","show")</f>
        <v>show</v>
      </c>
      <c r="F2224" t="str">
        <f>HYPERLINK("https://github.com/tvbarthel/IntentShare/releases","show")</f>
        <v>show</v>
      </c>
    </row>
    <row r="2225" spans="1:6">
      <c r="A2225" t="s">
        <v>6663</v>
      </c>
      <c r="B2225" t="s">
        <v>6664</v>
      </c>
      <c r="C2225" t="s">
        <v>6665</v>
      </c>
      <c r="D2225" t="str">
        <f>HYPERLINK("https://github.com/google/cameraview/issues/70","show")</f>
        <v>show</v>
      </c>
      <c r="E2225" t="str">
        <f>HYPERLINK("https://github.com/google/cameraview","show")</f>
        <v>show</v>
      </c>
      <c r="F2225" t="str">
        <f>HYPERLINK("https://github.com/google/cameraview/releases","show")</f>
        <v>show</v>
      </c>
    </row>
    <row r="2226" spans="1:6">
      <c r="A2226" t="s">
        <v>6666</v>
      </c>
      <c r="B2226" t="s">
        <v>6667</v>
      </c>
      <c r="C2226" t="s">
        <v>6668</v>
      </c>
      <c r="D2226" t="str">
        <f>HYPERLINK("https://github.com/kontalk/androidclient/issues/908","show")</f>
        <v>show</v>
      </c>
      <c r="E2226" t="str">
        <f>HYPERLINK("https://github.com/kontalk/androidclient","show")</f>
        <v>show</v>
      </c>
      <c r="F2226" t="str">
        <f>HYPERLINK("https://github.com/kontalk/androidclient/releases","show")</f>
        <v>show</v>
      </c>
    </row>
    <row r="2227" spans="1:6">
      <c r="A2227" t="s">
        <v>6669</v>
      </c>
      <c r="B2227" t="s">
        <v>6670</v>
      </c>
      <c r="C2227" t="s">
        <v>6671</v>
      </c>
      <c r="D2227" t="str">
        <f>HYPERLINK("https://github.com/danikula/AndroidVideoCache/issues/105","show")</f>
        <v>show</v>
      </c>
      <c r="E2227" t="str">
        <f>HYPERLINK("https://github.com/danikula/AndroidVideoCache","show")</f>
        <v>show</v>
      </c>
      <c r="F2227" t="str">
        <f>HYPERLINK("https://github.com/danikula/AndroidVideoCache/releases","show")</f>
        <v>show</v>
      </c>
    </row>
    <row r="2228" spans="1:6">
      <c r="A2228" t="s">
        <v>6672</v>
      </c>
      <c r="B2228" t="s">
        <v>6673</v>
      </c>
      <c r="C2228" t="s">
        <v>6674</v>
      </c>
      <c r="D2228" t="str">
        <f>HYPERLINK("https://github.com/schedjoules/android-event-discovery-sdk/issues/48","show")</f>
        <v>show</v>
      </c>
      <c r="E2228" t="str">
        <f>HYPERLINK("https://github.com/schedjoules/android-event-discovery-sdk","show")</f>
        <v>show</v>
      </c>
      <c r="F2228" t="str">
        <f>HYPERLINK("https://github.com/schedjoules/android-event-discovery-sdk/releases","show")</f>
        <v>show</v>
      </c>
    </row>
    <row r="2229" spans="1:6">
      <c r="A2229" t="s">
        <v>6675</v>
      </c>
      <c r="B2229" t="s">
        <v>6676</v>
      </c>
      <c r="C2229" t="s">
        <v>6677</v>
      </c>
      <c r="D2229" t="str">
        <f>HYPERLINK("https://github.com/kontalk/androidclient/issues/911","show")</f>
        <v>show</v>
      </c>
      <c r="E2229" t="str">
        <f>HYPERLINK("https://github.com/kontalk/androidclient","show")</f>
        <v>show</v>
      </c>
      <c r="F2229" t="str">
        <f>HYPERLINK("https://github.com/kontalk/androidclient/releases","show")</f>
        <v>show</v>
      </c>
    </row>
    <row r="2230" spans="1:6">
      <c r="A2230" t="s">
        <v>6678</v>
      </c>
      <c r="B2230" t="s">
        <v>6679</v>
      </c>
      <c r="C2230" t="s">
        <v>6680</v>
      </c>
      <c r="D2230" t="str">
        <f>HYPERLINK("https://github.com/flowupio/FlowUpAndroidSDK/issues/173","show")</f>
        <v>show</v>
      </c>
      <c r="E2230" t="str">
        <f>HYPERLINK("https://github.com/flowupio/FlowUpAndroidSDK","show")</f>
        <v>show</v>
      </c>
      <c r="F2230" t="str">
        <f>HYPERLINK("https://github.com/flowupio/FlowUpAndroidSDK/releases","show")</f>
        <v>show</v>
      </c>
    </row>
    <row r="2231" spans="1:6">
      <c r="A2231" t="s">
        <v>6681</v>
      </c>
      <c r="B2231" t="s">
        <v>6682</v>
      </c>
      <c r="C2231" t="s">
        <v>6683</v>
      </c>
      <c r="D2231" t="str">
        <f>HYPERLINK("https://github.com/flowupio/FlowUpAndroidSDK/issues/172","show")</f>
        <v>show</v>
      </c>
      <c r="E2231" t="str">
        <f>HYPERLINK("https://github.com/flowupio/FlowUpAndroidSDK","show")</f>
        <v>show</v>
      </c>
      <c r="F2231" t="str">
        <f>HYPERLINK("https://github.com/flowupio/FlowUpAndroidSDK/releases","show")</f>
        <v>show</v>
      </c>
    </row>
    <row r="2232" spans="1:6">
      <c r="A2232" t="s">
        <v>6684</v>
      </c>
      <c r="B2232" t="s">
        <v>6685</v>
      </c>
      <c r="C2232" t="s">
        <v>6686</v>
      </c>
      <c r="D2232" t="str">
        <f>HYPERLINK("https://github.com/flowupio/FlowUpAndroidSDK/issues/171","show")</f>
        <v>show</v>
      </c>
      <c r="E2232" t="str">
        <f>HYPERLINK("https://github.com/flowupio/FlowUpAndroidSDK","show")</f>
        <v>show</v>
      </c>
      <c r="F2232" t="str">
        <f>HYPERLINK("https://github.com/flowupio/FlowUpAndroidSDK/releases","show")</f>
        <v>show</v>
      </c>
    </row>
    <row r="2233" spans="1:6">
      <c r="A2233" t="s">
        <v>6687</v>
      </c>
      <c r="B2233" t="s">
        <v>6688</v>
      </c>
      <c r="C2233" t="s">
        <v>6689</v>
      </c>
      <c r="D2233" t="str">
        <f>HYPERLINK("https://github.com/syncthing/syncthing-android/issues/822","show")</f>
        <v>show</v>
      </c>
      <c r="E2233" t="str">
        <f>HYPERLINK("https://github.com/syncthing/syncthing-android","show")</f>
        <v>show</v>
      </c>
      <c r="F2233" t="str">
        <f>HYPERLINK("https://github.com/syncthing/syncthing-android/releases","show")</f>
        <v>show</v>
      </c>
    </row>
    <row r="2234" spans="1:6">
      <c r="A2234" t="s">
        <v>6690</v>
      </c>
      <c r="B2234" t="s">
        <v>6691</v>
      </c>
      <c r="C2234" t="s">
        <v>6692</v>
      </c>
      <c r="D2234" t="str">
        <f>HYPERLINK("https://github.com/SecUSo/privacy-friendly-pedometer/issues/28","show")</f>
        <v>show</v>
      </c>
      <c r="E2234" t="str">
        <f>HYPERLINK("https://github.com/SecUSo/privacy-friendly-pedometer","show")</f>
        <v>show</v>
      </c>
      <c r="F2234" t="str">
        <f>HYPERLINK("https://github.com/SecUSo/privacy-friendly-pedometer/releases","show")</f>
        <v>show</v>
      </c>
    </row>
    <row r="2235" spans="1:6">
      <c r="A2235" t="s">
        <v>6693</v>
      </c>
      <c r="B2235" t="s">
        <v>6694</v>
      </c>
      <c r="C2235" t="s">
        <v>6695</v>
      </c>
      <c r="D2235" t="str">
        <f>HYPERLINK("https://github.com/Cloudkibo/Android/issues/380","show")</f>
        <v>show</v>
      </c>
      <c r="E2235" t="str">
        <f>HYPERLINK("https://github.com/Cloudkibo/Android","show")</f>
        <v>show</v>
      </c>
      <c r="F2235" t="str">
        <f>HYPERLINK("https://github.com/Cloudkibo/Android/releases","show")</f>
        <v>show</v>
      </c>
    </row>
    <row r="2236" spans="1:6">
      <c r="A2236" t="s">
        <v>6696</v>
      </c>
      <c r="B2236" t="s">
        <v>6697</v>
      </c>
      <c r="C2236" t="s">
        <v>6698</v>
      </c>
      <c r="D2236" t="str">
        <f>HYPERLINK("https://github.com/morenoh149/react-native-contacts/issues/136","show")</f>
        <v>show</v>
      </c>
      <c r="E2236" t="str">
        <f>HYPERLINK("https://github.com/morenoh149/react-native-contacts","show")</f>
        <v>show</v>
      </c>
      <c r="F2236" t="str">
        <f>HYPERLINK("https://github.com/morenoh149/react-native-contacts/releases","show")</f>
        <v>show</v>
      </c>
    </row>
    <row r="2237" spans="1:6">
      <c r="A2237" t="s">
        <v>6699</v>
      </c>
      <c r="B2237" t="s">
        <v>6700</v>
      </c>
      <c r="C2237" t="s">
        <v>6701</v>
      </c>
      <c r="D2237" t="str">
        <f>HYPERLINK("https://github.com/nextcloud/android/issues/477","show")</f>
        <v>show</v>
      </c>
      <c r="E2237" t="str">
        <f>HYPERLINK("https://github.com/nextcloud/android","show")</f>
        <v>show</v>
      </c>
      <c r="F2237" t="str">
        <f>HYPERLINK("https://github.com/nextcloud/android/releases","show")</f>
        <v>show</v>
      </c>
    </row>
    <row r="2238" spans="1:6">
      <c r="A2238" t="s">
        <v>6702</v>
      </c>
      <c r="B2238" t="s">
        <v>6703</v>
      </c>
      <c r="C2238" t="s">
        <v>6704</v>
      </c>
      <c r="D2238" t="str">
        <f>HYPERLINK("https://github.com/cgeo/cgeo/issues/6205","show")</f>
        <v>show</v>
      </c>
      <c r="E2238" t="str">
        <f>HYPERLINK("https://github.com/cgeo/cgeo","show")</f>
        <v>show</v>
      </c>
      <c r="F2238" t="str">
        <f>HYPERLINK("https://github.com/cgeo/cgeo/releases","show")</f>
        <v>show</v>
      </c>
    </row>
    <row r="2239" spans="1:6">
      <c r="A2239" t="s">
        <v>6705</v>
      </c>
      <c r="B2239" t="s">
        <v>6706</v>
      </c>
      <c r="C2239" t="s">
        <v>6707</v>
      </c>
      <c r="D2239" t="str">
        <f>HYPERLINK("https://github.com/openbmap/radiocells-scanner-android/issues/173","show")</f>
        <v>show</v>
      </c>
      <c r="E2239" t="str">
        <f>HYPERLINK("https://github.com/openbmap/radiocells-scanner-android","show")</f>
        <v>show</v>
      </c>
      <c r="F2239" t="str">
        <f>HYPERLINK("https://github.com/openbmap/radiocells-scanner-android/releases","show")</f>
        <v>show</v>
      </c>
    </row>
    <row r="2240" spans="1:6">
      <c r="A2240" t="s">
        <v>6708</v>
      </c>
      <c r="B2240" t="s">
        <v>6709</v>
      </c>
      <c r="C2240" t="s">
        <v>6710</v>
      </c>
      <c r="D2240" t="str">
        <f>HYPERLINK("https://github.com/dimagi/commcare-android/issues/1608","show")</f>
        <v>show</v>
      </c>
      <c r="E2240" t="str">
        <f>HYPERLINK("https://github.com/dimagi/commcare-android","show")</f>
        <v>show</v>
      </c>
      <c r="F2240" t="str">
        <f>HYPERLINK("https://github.com/dimagi/commcare-android/releases","show")</f>
        <v>show</v>
      </c>
    </row>
    <row r="2241" spans="1:6">
      <c r="A2241" t="s">
        <v>6711</v>
      </c>
      <c r="B2241" t="s">
        <v>6712</v>
      </c>
      <c r="C2241" t="s">
        <v>6713</v>
      </c>
      <c r="D2241" t="str">
        <f>HYPERLINK("https://github.com/google/ExoPlayer/issues/2264","show")</f>
        <v>show</v>
      </c>
      <c r="E2241" t="str">
        <f>HYPERLINK("https://github.com/google/ExoPlayer","show")</f>
        <v>show</v>
      </c>
      <c r="F2241" t="str">
        <f>HYPERLINK("https://github.com/google/ExoPlayer/releases","show")</f>
        <v>show</v>
      </c>
    </row>
    <row r="2242" spans="1:6">
      <c r="A2242" t="s">
        <v>6714</v>
      </c>
      <c r="B2242" t="s">
        <v>6715</v>
      </c>
      <c r="C2242" t="s">
        <v>6716</v>
      </c>
      <c r="D2242" t="str">
        <f>HYPERLINK("https://github.com/romandanylyk/PageIndicatorView/issues/13","show")</f>
        <v>show</v>
      </c>
      <c r="E2242" t="str">
        <f>HYPERLINK("https://github.com/romandanylyk/PageIndicatorView","show")</f>
        <v>show</v>
      </c>
      <c r="F2242" t="str">
        <f>HYPERLINK("https://github.com/romandanylyk/PageIndicatorView/releases","show")</f>
        <v>show</v>
      </c>
    </row>
    <row r="2243" spans="1:6">
      <c r="A2243" t="s">
        <v>6717</v>
      </c>
      <c r="B2243" t="s">
        <v>6718</v>
      </c>
      <c r="C2243" t="s">
        <v>6719</v>
      </c>
      <c r="D2243" t="str">
        <f>HYPERLINK("https://github.com/cachapa/AerialDream/issues/4","show")</f>
        <v>show</v>
      </c>
      <c r="E2243" t="str">
        <f>HYPERLINK("https://github.com/cachapa/AerialDream","show")</f>
        <v>show</v>
      </c>
      <c r="F2243" t="str">
        <f>HYPERLINK("https://github.com/cachapa/AerialDream/releases","show")</f>
        <v>show</v>
      </c>
    </row>
    <row r="2244" spans="1:6">
      <c r="A2244" t="s">
        <v>6720</v>
      </c>
      <c r="B2244" t="s">
        <v>6721</v>
      </c>
      <c r="C2244" t="s">
        <v>6722</v>
      </c>
      <c r="D2244" t="str">
        <f>HYPERLINK("https://github.com/nextcloud/android/issues/483","show")</f>
        <v>show</v>
      </c>
      <c r="E2244" t="str">
        <f>HYPERLINK("https://github.com/nextcloud/android","show")</f>
        <v>show</v>
      </c>
      <c r="F2244" t="str">
        <f>HYPERLINK("https://github.com/nextcloud/android/releases","show")</f>
        <v>show</v>
      </c>
    </row>
    <row r="2245" spans="1:6">
      <c r="A2245" t="s">
        <v>6723</v>
      </c>
      <c r="B2245" t="s">
        <v>6724</v>
      </c>
      <c r="C2245" t="s">
        <v>6725</v>
      </c>
      <c r="D2245" t="str">
        <f>HYPERLINK("https://github.com/inaturalist/iNaturalistAndroid/issues/287","show")</f>
        <v>show</v>
      </c>
      <c r="E2245" t="str">
        <f>HYPERLINK("https://github.com/inaturalist/iNaturalistAndroid","show")</f>
        <v>show</v>
      </c>
      <c r="F2245" t="str">
        <f>HYPERLINK("https://github.com/inaturalist/iNaturalistAndroid/releases","show")</f>
        <v>show</v>
      </c>
    </row>
    <row r="2246" spans="1:6">
      <c r="A2246" t="s">
        <v>6726</v>
      </c>
      <c r="B2246" t="s">
        <v>6727</v>
      </c>
      <c r="C2246" t="s">
        <v>6728</v>
      </c>
      <c r="D2246" t="str">
        <f>HYPERLINK("https://github.com/niclabs/adkintunmobile-androidclient/issues/149","show")</f>
        <v>show</v>
      </c>
      <c r="E2246" t="str">
        <f>HYPERLINK("https://github.com/niclabs/adkintunmobile-androidclient","show")</f>
        <v>show</v>
      </c>
      <c r="F2246" t="str">
        <f>HYPERLINK("https://github.com/niclabs/adkintunmobile-androidclient/releases","show")</f>
        <v>show</v>
      </c>
    </row>
    <row r="2247" spans="1:6">
      <c r="A2247" t="s">
        <v>6729</v>
      </c>
      <c r="B2247" t="s">
        <v>6730</v>
      </c>
      <c r="C2247" t="s">
        <v>6731</v>
      </c>
      <c r="D2247" t="str">
        <f>HYPERLINK("https://github.com/eclipse/californium/issues/187","show")</f>
        <v>show</v>
      </c>
      <c r="E2247" t="str">
        <f>HYPERLINK("https://github.com/eclipse/californium","show")</f>
        <v>show</v>
      </c>
      <c r="F2247" t="str">
        <f>HYPERLINK("https://github.com/eclipse/californium/releases","show")</f>
        <v>show</v>
      </c>
    </row>
    <row r="2248" spans="1:6">
      <c r="A2248" t="s">
        <v>6732</v>
      </c>
      <c r="B2248" t="s">
        <v>6733</v>
      </c>
      <c r="C2248" t="s">
        <v>6734</v>
      </c>
      <c r="D2248" t="str">
        <f>HYPERLINK("https://github.com/elimu-ai/ml-authentication/issues/308","show")</f>
        <v>show</v>
      </c>
      <c r="E2248" t="str">
        <f>HYPERLINK("https://github.com/elimu-ai/ml-authentication","show")</f>
        <v>show</v>
      </c>
      <c r="F2248" t="str">
        <f>HYPERLINK("https://github.com/elimu-ai/ml-authentication/releases","show")</f>
        <v>show</v>
      </c>
    </row>
    <row r="2249" spans="1:6">
      <c r="A2249" t="s">
        <v>6735</v>
      </c>
      <c r="B2249" t="s">
        <v>6736</v>
      </c>
      <c r="C2249" t="s">
        <v>6737</v>
      </c>
      <c r="D2249" t="str">
        <f>HYPERLINK("https://github.com/nextcloud/android/issues/492","show")</f>
        <v>show</v>
      </c>
      <c r="E2249" t="str">
        <f>HYPERLINK("https://github.com/nextcloud/android","show")</f>
        <v>show</v>
      </c>
      <c r="F2249" t="str">
        <f>HYPERLINK("https://github.com/nextcloud/android/releases","show")</f>
        <v>show</v>
      </c>
    </row>
    <row r="2250" spans="1:6">
      <c r="A2250" t="s">
        <v>6738</v>
      </c>
      <c r="B2250" t="s">
        <v>6739</v>
      </c>
      <c r="C2250" t="s">
        <v>6740</v>
      </c>
      <c r="D2250" t="str">
        <f>HYPERLINK("https://github.com/nextcloud/android/issues/491","show")</f>
        <v>show</v>
      </c>
      <c r="E2250" t="str">
        <f>HYPERLINK("https://github.com/nextcloud/android","show")</f>
        <v>show</v>
      </c>
      <c r="F2250" t="str">
        <f>HYPERLINK("https://github.com/nextcloud/android/releases","show")</f>
        <v>show</v>
      </c>
    </row>
    <row r="2251" spans="1:6">
      <c r="A2251" t="s">
        <v>6741</v>
      </c>
      <c r="B2251" t="s">
        <v>6742</v>
      </c>
      <c r="C2251" t="s">
        <v>6743</v>
      </c>
      <c r="D2251" t="str">
        <f>HYPERLINK("https://github.com/elimu-ai/ml-authentication/issues/301","show")</f>
        <v>show</v>
      </c>
      <c r="E2251" t="str">
        <f>HYPERLINK("https://github.com/elimu-ai/ml-authentication","show")</f>
        <v>show</v>
      </c>
      <c r="F2251" t="str">
        <f>HYPERLINK("https://github.com/elimu-ai/ml-authentication/releases","show")</f>
        <v>show</v>
      </c>
    </row>
    <row r="2252" spans="1:6">
      <c r="A2252" t="s">
        <v>6744</v>
      </c>
      <c r="B2252" t="s">
        <v>6745</v>
      </c>
      <c r="C2252" t="s">
        <v>6746</v>
      </c>
      <c r="D2252" t="str">
        <f>HYPERLINK("https://github.com/niclabs/adkintunmobile-androidclient/issues/152","show")</f>
        <v>show</v>
      </c>
      <c r="E2252" t="str">
        <f>HYPERLINK("https://github.com/niclabs/adkintunmobile-androidclient","show")</f>
        <v>show</v>
      </c>
      <c r="F2252" t="str">
        <f>HYPERLINK("https://github.com/niclabs/adkintunmobile-androidclient/releases","show")</f>
        <v>show</v>
      </c>
    </row>
    <row r="2253" spans="1:6">
      <c r="A2253" t="s">
        <v>6747</v>
      </c>
      <c r="B2253" t="s">
        <v>6748</v>
      </c>
      <c r="C2253" t="s">
        <v>6749</v>
      </c>
      <c r="D2253" t="str">
        <f>HYPERLINK("https://github.com/codinguser/gnucash-android/issues/633","show")</f>
        <v>show</v>
      </c>
      <c r="E2253" t="str">
        <f>HYPERLINK("https://github.com/codinguser/gnucash-android","show")</f>
        <v>show</v>
      </c>
      <c r="F2253" t="str">
        <f>HYPERLINK("https://github.com/codinguser/gnucash-android/releases","show")</f>
        <v>show</v>
      </c>
    </row>
    <row r="2254" spans="1:6">
      <c r="A2254" t="s">
        <v>6750</v>
      </c>
      <c r="B2254" t="s">
        <v>6751</v>
      </c>
      <c r="C2254" t="s">
        <v>6752</v>
      </c>
      <c r="D2254" t="str">
        <f>HYPERLINK("https://github.com/Neamar/KISS/issues/597","show")</f>
        <v>show</v>
      </c>
      <c r="E2254" t="str">
        <f>HYPERLINK("https://github.com/Neamar/KISS","show")</f>
        <v>show</v>
      </c>
      <c r="F2254" t="str">
        <f>HYPERLINK("https://github.com/Neamar/KISS/releases","show")</f>
        <v>show</v>
      </c>
    </row>
    <row r="2255" spans="1:6">
      <c r="A2255" t="s">
        <v>6753</v>
      </c>
      <c r="B2255" t="s">
        <v>6754</v>
      </c>
      <c r="C2255" t="s">
        <v>6755</v>
      </c>
      <c r="D2255" t="str">
        <f>HYPERLINK("https://github.com/k9mail/k-9/issues/1908","show")</f>
        <v>show</v>
      </c>
      <c r="E2255" t="str">
        <f>HYPERLINK("https://github.com/k9mail/k-9","show")</f>
        <v>show</v>
      </c>
      <c r="F2255" t="str">
        <f>HYPERLINK("https://github.com/k9mail/k-9/releases","show")</f>
        <v>show</v>
      </c>
    </row>
    <row r="2256" spans="1:6">
      <c r="A2256" t="s">
        <v>6756</v>
      </c>
      <c r="B2256" t="s">
        <v>6757</v>
      </c>
      <c r="C2256" t="s">
        <v>6758</v>
      </c>
      <c r="D2256" t="str">
        <f>HYPERLINK("https://github.com/niclabs/adkintunmobile-androidclient/issues/153","show")</f>
        <v>show</v>
      </c>
      <c r="E2256" t="str">
        <f>HYPERLINK("https://github.com/niclabs/adkintunmobile-androidclient","show")</f>
        <v>show</v>
      </c>
      <c r="F2256" t="str">
        <f>HYPERLINK("https://github.com/niclabs/adkintunmobile-androidclient/releases","show")</f>
        <v>show</v>
      </c>
    </row>
    <row r="2257" spans="1:6">
      <c r="A2257" t="s">
        <v>6759</v>
      </c>
      <c r="B2257" t="s">
        <v>6760</v>
      </c>
      <c r="C2257" t="s">
        <v>6761</v>
      </c>
      <c r="D2257" t="str">
        <f>HYPERLINK("https://github.com/schedjoules/android-event-discovery-sdk/issues/66","show")</f>
        <v>show</v>
      </c>
      <c r="E2257" t="str">
        <f>HYPERLINK("https://github.com/schedjoules/android-event-discovery-sdk","show")</f>
        <v>show</v>
      </c>
      <c r="F2257" t="str">
        <f>HYPERLINK("https://github.com/schedjoules/android-event-discovery-sdk/releases","show")</f>
        <v>show</v>
      </c>
    </row>
    <row r="2258" spans="1:6">
      <c r="A2258" t="s">
        <v>6762</v>
      </c>
      <c r="B2258" t="s">
        <v>6763</v>
      </c>
      <c r="C2258" t="s">
        <v>6764</v>
      </c>
      <c r="D2258" t="str">
        <f>HYPERLINK("https://github.com/k9mail/k-9/issues/1910","show")</f>
        <v>show</v>
      </c>
      <c r="E2258" t="str">
        <f>HYPERLINK("https://github.com/k9mail/k-9","show")</f>
        <v>show</v>
      </c>
      <c r="F2258" t="str">
        <f>HYPERLINK("https://github.com/k9mail/k-9/releases","show")</f>
        <v>show</v>
      </c>
    </row>
    <row r="2259" spans="1:6">
      <c r="A2259" t="s">
        <v>6765</v>
      </c>
      <c r="B2259" t="s">
        <v>6766</v>
      </c>
      <c r="C2259" t="s">
        <v>6767</v>
      </c>
      <c r="D2259" t="str">
        <f>HYPERLINK("https://github.com/BaseballCardTracker/bbct-android/issues/410","show")</f>
        <v>show</v>
      </c>
      <c r="E2259" t="str">
        <f>HYPERLINK("https://github.com/BaseballCardTracker/bbct-android","show")</f>
        <v>show</v>
      </c>
      <c r="F2259" t="str">
        <f>HYPERLINK("https://github.com/BaseballCardTracker/bbct-android/releases","show")</f>
        <v>show</v>
      </c>
    </row>
    <row r="2260" spans="1:6">
      <c r="A2260" t="s">
        <v>6768</v>
      </c>
      <c r="B2260" t="s">
        <v>6769</v>
      </c>
      <c r="C2260" t="s">
        <v>6770</v>
      </c>
      <c r="D2260" t="str">
        <f>HYPERLINK("https://github.com/reloZid/android-anuto/issues/61","show")</f>
        <v>show</v>
      </c>
      <c r="E2260" t="str">
        <f>HYPERLINK("https://github.com/reloZid/android-anuto","show")</f>
        <v>show</v>
      </c>
      <c r="F2260" t="str">
        <f>HYPERLINK("https://github.com/reloZid/android-anuto/releases","show")</f>
        <v>show</v>
      </c>
    </row>
    <row r="2261" spans="1:6">
      <c r="A2261" t="s">
        <v>6771</v>
      </c>
      <c r="B2261" t="s">
        <v>6772</v>
      </c>
      <c r="C2261" t="s">
        <v>6773</v>
      </c>
      <c r="D2261" t="str">
        <f>HYPERLINK("https://github.com/StoryMaker/storymaker/issues/181","show")</f>
        <v>show</v>
      </c>
      <c r="E2261" t="str">
        <f>HYPERLINK("https://github.com/StoryMaker/storymaker","show")</f>
        <v>show</v>
      </c>
      <c r="F2261" t="str">
        <f>HYPERLINK("https://github.com/StoryMaker/storymaker/releases","show")</f>
        <v>show</v>
      </c>
    </row>
    <row r="2262" spans="1:6">
      <c r="A2262" t="s">
        <v>6774</v>
      </c>
      <c r="B2262" t="s">
        <v>6775</v>
      </c>
      <c r="C2262" t="s">
        <v>6776</v>
      </c>
      <c r="D2262" t="str">
        <f>HYPERLINK("https://github.com/k9mail/k-9/issues/1940","show")</f>
        <v>show</v>
      </c>
      <c r="E2262" t="str">
        <f>HYPERLINK("https://github.com/k9mail/k-9","show")</f>
        <v>show</v>
      </c>
      <c r="F2262" t="str">
        <f>HYPERLINK("https://github.com/k9mail/k-9/releases","show")</f>
        <v>show</v>
      </c>
    </row>
    <row r="2263" spans="1:6">
      <c r="A2263" t="s">
        <v>6777</v>
      </c>
      <c r="B2263" t="s">
        <v>6778</v>
      </c>
      <c r="C2263" t="s">
        <v>6779</v>
      </c>
      <c r="D2263" t="str">
        <f>HYPERLINK("https://github.com/davcpas1234/MaterialSettings/issues/17","show")</f>
        <v>show</v>
      </c>
      <c r="E2263" t="str">
        <f>HYPERLINK("https://github.com/davcpas1234/MaterialSettings","show")</f>
        <v>show</v>
      </c>
      <c r="F2263" t="str">
        <f>HYPERLINK("https://github.com/davcpas1234/MaterialSettings/releases","show")</f>
        <v>show</v>
      </c>
    </row>
    <row r="2264" spans="1:6">
      <c r="A2264" t="s">
        <v>6780</v>
      </c>
      <c r="B2264" t="s">
        <v>6781</v>
      </c>
      <c r="C2264" t="s">
        <v>6782</v>
      </c>
      <c r="D2264" t="str">
        <f>HYPERLINK("https://github.com/niclabs/adkintunmobile-androidclient/issues/154","show")</f>
        <v>show</v>
      </c>
      <c r="E2264" t="str">
        <f>HYPERLINK("https://github.com/niclabs/adkintunmobile-androidclient","show")</f>
        <v>show</v>
      </c>
      <c r="F2264" t="str">
        <f>HYPERLINK("https://github.com/niclabs/adkintunmobile-androidclient/releases","show")</f>
        <v>show</v>
      </c>
    </row>
    <row r="2265" spans="1:6">
      <c r="A2265" t="s">
        <v>6783</v>
      </c>
      <c r="B2265" t="s">
        <v>6784</v>
      </c>
      <c r="C2265" t="s">
        <v>6785</v>
      </c>
      <c r="D2265" t="str">
        <f>HYPERLINK("https://github.com/balthazar/react-native-zeroconf/issues/23","show")</f>
        <v>show</v>
      </c>
      <c r="E2265" t="str">
        <f>HYPERLINK("https://github.com/balthazar/react-native-zeroconf","show")</f>
        <v>show</v>
      </c>
      <c r="F2265" t="str">
        <f>HYPERLINK("https://github.com/balthazar/react-native-zeroconf/releases","show")</f>
        <v>show</v>
      </c>
    </row>
    <row r="2266" spans="1:6">
      <c r="A2266" t="s">
        <v>6786</v>
      </c>
      <c r="B2266" t="s">
        <v>6787</v>
      </c>
      <c r="C2266" t="s">
        <v>6788</v>
      </c>
      <c r="D2266" t="str">
        <f>HYPERLINK("https://github.com/OpenTreeMap/otm-android/issues/299","show")</f>
        <v>show</v>
      </c>
      <c r="E2266" t="str">
        <f>HYPERLINK("https://github.com/OpenTreeMap/otm-android","show")</f>
        <v>show</v>
      </c>
      <c r="F2266" t="str">
        <f>HYPERLINK("https://github.com/OpenTreeMap/otm-android/releases","show")</f>
        <v>show</v>
      </c>
    </row>
    <row r="2267" spans="1:6">
      <c r="A2267" t="s">
        <v>6789</v>
      </c>
      <c r="B2267" t="s">
        <v>6790</v>
      </c>
      <c r="C2267" t="s">
        <v>6791</v>
      </c>
      <c r="D2267" t="str">
        <f>HYPERLINK("https://github.com/grmpl/StepandHeightcounter/issues/6","show")</f>
        <v>show</v>
      </c>
      <c r="E2267" t="str">
        <f>HYPERLINK("https://github.com/grmpl/StepandHeightcounter","show")</f>
        <v>show</v>
      </c>
      <c r="F2267" t="str">
        <f>HYPERLINK("https://github.com/grmpl/StepandHeightcounter/releases","show")</f>
        <v>show</v>
      </c>
    </row>
    <row r="2268" spans="1:6">
      <c r="A2268" t="s">
        <v>6792</v>
      </c>
      <c r="B2268" t="s">
        <v>4460</v>
      </c>
      <c r="C2268" t="s">
        <v>6793</v>
      </c>
      <c r="D2268" t="str">
        <f>HYPERLINK("https://github.com/niclabs/adkintunmobile-androidclient/issues/157","show")</f>
        <v>show</v>
      </c>
      <c r="E2268" t="str">
        <f>HYPERLINK("https://github.com/niclabs/adkintunmobile-androidclient","show")</f>
        <v>show</v>
      </c>
      <c r="F2268" t="str">
        <f>HYPERLINK("https://github.com/niclabs/adkintunmobile-androidclient/releases","show")</f>
        <v>show</v>
      </c>
    </row>
    <row r="2269" spans="1:6">
      <c r="A2269" t="s">
        <v>6794</v>
      </c>
      <c r="B2269" t="s">
        <v>6795</v>
      </c>
      <c r="C2269" t="s">
        <v>6796</v>
      </c>
      <c r="D2269" t="str">
        <f>HYPERLINK("https://github.com/sriharshachilakapati/SilenceEngine/issues/86","show")</f>
        <v>show</v>
      </c>
      <c r="E2269" t="str">
        <f>HYPERLINK("https://github.com/sriharshachilakapati/SilenceEngine","show")</f>
        <v>show</v>
      </c>
      <c r="F2269" t="str">
        <f>HYPERLINK("https://github.com/sriharshachilakapati/SilenceEngine/releases","show")</f>
        <v>show</v>
      </c>
    </row>
    <row r="2270" spans="1:6">
      <c r="A2270" t="s">
        <v>6797</v>
      </c>
      <c r="B2270" t="s">
        <v>6798</v>
      </c>
      <c r="C2270" t="s">
        <v>6799</v>
      </c>
      <c r="D2270" t="str">
        <f>HYPERLINK("https://github.com/niclabs/adkintunmobile-androidclient/issues/158","show")</f>
        <v>show</v>
      </c>
      <c r="E2270" t="str">
        <f>HYPERLINK("https://github.com/niclabs/adkintunmobile-androidclient","show")</f>
        <v>show</v>
      </c>
      <c r="F2270" t="str">
        <f>HYPERLINK("https://github.com/niclabs/adkintunmobile-androidclient/releases","show")</f>
        <v>show</v>
      </c>
    </row>
    <row r="2271" spans="1:6">
      <c r="A2271" t="s">
        <v>6800</v>
      </c>
      <c r="B2271" t="s">
        <v>6801</v>
      </c>
      <c r="C2271" t="s">
        <v>6802</v>
      </c>
      <c r="D2271" t="str">
        <f>HYPERLINK("https://github.com/syncthing/syncthing-android/issues/829","show")</f>
        <v>show</v>
      </c>
      <c r="E2271" t="str">
        <f>HYPERLINK("https://github.com/syncthing/syncthing-android","show")</f>
        <v>show</v>
      </c>
      <c r="F2271" t="str">
        <f>HYPERLINK("https://github.com/syncthing/syncthing-android/releases","show")</f>
        <v>show</v>
      </c>
    </row>
    <row r="2272" spans="1:6">
      <c r="A2272" t="s">
        <v>6803</v>
      </c>
      <c r="B2272" t="s">
        <v>6804</v>
      </c>
      <c r="C2272" t="s">
        <v>6805</v>
      </c>
      <c r="D2272" t="str">
        <f>HYPERLINK("https://github.com/elimu-ai/ml-authentication/issues/327","show")</f>
        <v>show</v>
      </c>
      <c r="E2272" t="str">
        <f>HYPERLINK("https://github.com/elimu-ai/ml-authentication","show")</f>
        <v>show</v>
      </c>
      <c r="F2272" t="str">
        <f>HYPERLINK("https://github.com/elimu-ai/ml-authentication/releases","show")</f>
        <v>show</v>
      </c>
    </row>
    <row r="2273" spans="1:6">
      <c r="A2273" t="s">
        <v>6806</v>
      </c>
      <c r="B2273" t="s">
        <v>6807</v>
      </c>
      <c r="C2273" t="s">
        <v>6808</v>
      </c>
      <c r="D2273" t="str">
        <f>HYPERLINK("https://github.com/elimu-ai/ml-authentication/issues/326","show")</f>
        <v>show</v>
      </c>
      <c r="E2273" t="str">
        <f>HYPERLINK("https://github.com/elimu-ai/ml-authentication","show")</f>
        <v>show</v>
      </c>
      <c r="F2273" t="str">
        <f>HYPERLINK("https://github.com/elimu-ai/ml-authentication/releases","show")</f>
        <v>show</v>
      </c>
    </row>
    <row r="2274" spans="1:6">
      <c r="A2274" t="s">
        <v>6809</v>
      </c>
      <c r="B2274" t="s">
        <v>6810</v>
      </c>
      <c r="C2274" t="s">
        <v>6811</v>
      </c>
      <c r="D2274" t="str">
        <f>HYPERLINK("https://github.com/forrestguice/SuntimesWidget/issues/74","show")</f>
        <v>show</v>
      </c>
      <c r="E2274" t="str">
        <f>HYPERLINK("https://github.com/forrestguice/SuntimesWidget","show")</f>
        <v>show</v>
      </c>
      <c r="F2274" t="str">
        <f>HYPERLINK("https://github.com/forrestguice/SuntimesWidget/releases","show")</f>
        <v>show</v>
      </c>
    </row>
    <row r="2275" spans="1:6">
      <c r="A2275" t="s">
        <v>6812</v>
      </c>
      <c r="B2275" t="s">
        <v>6813</v>
      </c>
      <c r="C2275" t="s">
        <v>6814</v>
      </c>
      <c r="D2275" t="str">
        <f>HYPERLINK("https://github.com/twilio/voice-quickstart-android/issues/12","show")</f>
        <v>show</v>
      </c>
      <c r="E2275" t="str">
        <f>HYPERLINK("https://github.com/twilio/voice-quickstart-android","show")</f>
        <v>show</v>
      </c>
      <c r="F2275" t="str">
        <f>HYPERLINK("https://github.com/twilio/voice-quickstart-android/releases","show")</f>
        <v>show</v>
      </c>
    </row>
    <row r="2276" spans="1:6">
      <c r="A2276" t="s">
        <v>6815</v>
      </c>
      <c r="B2276" t="s">
        <v>6816</v>
      </c>
      <c r="C2276" t="s">
        <v>6817</v>
      </c>
      <c r="D2276" t="str">
        <f>HYPERLINK("https://github.com/syncthing/syncthing-android/issues/831","show")</f>
        <v>show</v>
      </c>
      <c r="E2276" t="str">
        <f>HYPERLINK("https://github.com/syncthing/syncthing-android","show")</f>
        <v>show</v>
      </c>
      <c r="F2276" t="str">
        <f>HYPERLINK("https://github.com/syncthing/syncthing-android/releases","show")</f>
        <v>show</v>
      </c>
    </row>
    <row r="2277" spans="1:6">
      <c r="A2277" t="s">
        <v>6818</v>
      </c>
      <c r="B2277" t="s">
        <v>6819</v>
      </c>
      <c r="C2277" t="s">
        <v>6820</v>
      </c>
      <c r="D2277" t="str">
        <f>HYPERLINK("https://github.com/cgeo/cgeo/issues/6241","show")</f>
        <v>show</v>
      </c>
      <c r="E2277" t="str">
        <f>HYPERLINK("https://github.com/cgeo/cgeo","show")</f>
        <v>show</v>
      </c>
      <c r="F2277" t="str">
        <f>HYPERLINK("https://github.com/cgeo/cgeo/releases","show")</f>
        <v>show</v>
      </c>
    </row>
    <row r="2278" spans="1:6">
      <c r="A2278" t="s">
        <v>6821</v>
      </c>
      <c r="B2278" t="s">
        <v>6822</v>
      </c>
      <c r="C2278" t="s">
        <v>6823</v>
      </c>
      <c r="D2278" t="str">
        <f>HYPERLINK("https://github.com/cloudant/sync-android/issues/470","show")</f>
        <v>show</v>
      </c>
      <c r="E2278" t="str">
        <f>HYPERLINK("https://github.com/cloudant/sync-android","show")</f>
        <v>show</v>
      </c>
      <c r="F2278" t="str">
        <f>HYPERLINK("https://github.com/cloudant/sync-android/releases","show")</f>
        <v>show</v>
      </c>
    </row>
    <row r="2279" spans="1:6">
      <c r="A2279" t="s">
        <v>6824</v>
      </c>
      <c r="B2279" t="s">
        <v>6825</v>
      </c>
      <c r="C2279" t="s">
        <v>6826</v>
      </c>
      <c r="D2279" t="str">
        <f>HYPERLINK("https://github.com/cgeo/cgeo/issues/6240","show")</f>
        <v>show</v>
      </c>
      <c r="E2279" t="str">
        <f>HYPERLINK("https://github.com/cgeo/cgeo","show")</f>
        <v>show</v>
      </c>
      <c r="F2279" t="str">
        <f>HYPERLINK("https://github.com/cgeo/cgeo/releases","show")</f>
        <v>show</v>
      </c>
    </row>
    <row r="2280" spans="1:6">
      <c r="A2280" t="s">
        <v>6827</v>
      </c>
      <c r="B2280" t="s">
        <v>6828</v>
      </c>
      <c r="C2280" t="s">
        <v>6829</v>
      </c>
      <c r="D2280" t="str">
        <f>HYPERLINK("https://github.com/tanrabad/survey/issues/6","show")</f>
        <v>show</v>
      </c>
      <c r="E2280" t="str">
        <f>HYPERLINK("https://github.com/tanrabad/survey","show")</f>
        <v>show</v>
      </c>
      <c r="F2280" t="str">
        <f>HYPERLINK("https://github.com/tanrabad/survey/releases","show")</f>
        <v>show</v>
      </c>
    </row>
    <row r="2281" spans="1:6">
      <c r="A2281" t="s">
        <v>6830</v>
      </c>
      <c r="B2281" t="s">
        <v>6831</v>
      </c>
      <c r="C2281" t="s">
        <v>6832</v>
      </c>
      <c r="D2281" t="str">
        <f>HYPERLINK("https://github.com/SteamGifts/SteamGifts/issues/44","show")</f>
        <v>show</v>
      </c>
      <c r="E2281" t="str">
        <f>HYPERLINK("https://github.com/SteamGifts/SteamGifts","show")</f>
        <v>show</v>
      </c>
      <c r="F2281" t="str">
        <f>HYPERLINK("https://github.com/SteamGifts/SteamGifts/releases","show")</f>
        <v>show</v>
      </c>
    </row>
    <row r="2282" spans="1:6">
      <c r="A2282" t="s">
        <v>6833</v>
      </c>
      <c r="B2282" t="s">
        <v>6834</v>
      </c>
      <c r="C2282" t="s">
        <v>6835</v>
      </c>
      <c r="D2282" t="str">
        <f>HYPERLINK("https://github.com/userid451/HiddenEye/issues/30","show")</f>
        <v>show</v>
      </c>
      <c r="E2282" t="str">
        <f>HYPERLINK("https://github.com/userid451/HiddenEye","show")</f>
        <v>show</v>
      </c>
      <c r="F2282" t="str">
        <f>HYPERLINK("https://github.com/userid451/HiddenEye/releases","show")</f>
        <v>show</v>
      </c>
    </row>
    <row r="2283" spans="1:6">
      <c r="A2283" t="s">
        <v>6836</v>
      </c>
      <c r="B2283" t="s">
        <v>6837</v>
      </c>
      <c r="C2283" t="s">
        <v>6838</v>
      </c>
      <c r="D2283" t="str">
        <f>HYPERLINK("https://github.com/kontalk/androidclient/issues/930","show")</f>
        <v>show</v>
      </c>
      <c r="E2283" t="str">
        <f>HYPERLINK("https://github.com/kontalk/androidclient","show")</f>
        <v>show</v>
      </c>
      <c r="F2283" t="str">
        <f>HYPERLINK("https://github.com/kontalk/androidclient/releases","show")</f>
        <v>show</v>
      </c>
    </row>
    <row r="2284" spans="1:6">
      <c r="A2284" t="s">
        <v>6839</v>
      </c>
      <c r="B2284" t="s">
        <v>6840</v>
      </c>
      <c r="C2284" t="s">
        <v>6841</v>
      </c>
      <c r="D2284" t="str">
        <f>HYPERLINK("https://github.com/jehy/rutracker-free/issues/28","show")</f>
        <v>show</v>
      </c>
      <c r="E2284" t="str">
        <f>HYPERLINK("https://github.com/jehy/rutracker-free","show")</f>
        <v>show</v>
      </c>
      <c r="F2284" t="str">
        <f>HYPERLINK("https://github.com/jehy/rutracker-free/releases","show")</f>
        <v>show</v>
      </c>
    </row>
    <row r="2285" spans="1:6">
      <c r="A2285" t="s">
        <v>6842</v>
      </c>
      <c r="B2285" t="s">
        <v>6843</v>
      </c>
      <c r="C2285" t="s">
        <v>6844</v>
      </c>
      <c r="D2285" t="str">
        <f>HYPERLINK("https://github.com/rubensousa/BottomSheetBuilder/issues/12","show")</f>
        <v>show</v>
      </c>
      <c r="E2285" t="str">
        <f>HYPERLINK("https://github.com/rubensousa/BottomSheetBuilder","show")</f>
        <v>show</v>
      </c>
      <c r="F2285" t="str">
        <f>HYPERLINK("https://github.com/rubensousa/BottomSheetBuilder/releases","show")</f>
        <v>show</v>
      </c>
    </row>
    <row r="2286" spans="1:6">
      <c r="A2286" t="s">
        <v>6845</v>
      </c>
      <c r="B2286" t="s">
        <v>6846</v>
      </c>
      <c r="C2286" t="s">
        <v>6847</v>
      </c>
      <c r="D2286" t="str">
        <f>HYPERLINK("https://github.com/maks/MGit/issues/102","show")</f>
        <v>show</v>
      </c>
      <c r="E2286" t="str">
        <f>HYPERLINK("https://github.com/maks/MGit","show")</f>
        <v>show</v>
      </c>
      <c r="F2286" t="str">
        <f>HYPERLINK("https://github.com/maks/MGit/releases","show")</f>
        <v>show</v>
      </c>
    </row>
    <row r="2287" spans="1:6">
      <c r="A2287" t="s">
        <v>6848</v>
      </c>
      <c r="B2287" t="s">
        <v>6849</v>
      </c>
      <c r="C2287" t="s">
        <v>6850</v>
      </c>
      <c r="D2287" t="str">
        <f>HYPERLINK("https://github.com/Fleker/CumulusTV/issues/234","show")</f>
        <v>show</v>
      </c>
      <c r="E2287" t="str">
        <f>HYPERLINK("https://github.com/Fleker/CumulusTV","show")</f>
        <v>show</v>
      </c>
      <c r="F2287" t="str">
        <f>HYPERLINK("https://github.com/Fleker/CumulusTV/releases","show")</f>
        <v>show</v>
      </c>
    </row>
    <row r="2288" spans="1:6">
      <c r="A2288" t="s">
        <v>6851</v>
      </c>
      <c r="B2288" t="s">
        <v>6852</v>
      </c>
      <c r="C2288" t="s">
        <v>6853</v>
      </c>
      <c r="D2288" t="str">
        <f>HYPERLINK("https://github.com/amirarcane/recent-images/issues/20","show")</f>
        <v>show</v>
      </c>
      <c r="E2288" t="str">
        <f>HYPERLINK("https://github.com/amirarcane/recent-images","show")</f>
        <v>show</v>
      </c>
      <c r="F2288" t="str">
        <f>HYPERLINK("https://github.com/amirarcane/recent-images/releases","show")</f>
        <v>show</v>
      </c>
    </row>
    <row r="2289" spans="1:6">
      <c r="A2289" t="s">
        <v>6854</v>
      </c>
      <c r="B2289" t="s">
        <v>6855</v>
      </c>
      <c r="C2289" t="s">
        <v>6856</v>
      </c>
      <c r="D2289" t="str">
        <f>HYPERLINK("https://github.com/ashqal/MD360Player4Android/issues/145","show")</f>
        <v>show</v>
      </c>
      <c r="E2289" t="str">
        <f>HYPERLINK("https://github.com/ashqal/MD360Player4Android","show")</f>
        <v>show</v>
      </c>
      <c r="F2289" t="str">
        <f>HYPERLINK("https://github.com/ashqal/MD360Player4Android/releases","show")</f>
        <v>show</v>
      </c>
    </row>
    <row r="2290" spans="1:6">
      <c r="A2290" t="s">
        <v>6857</v>
      </c>
      <c r="B2290" t="s">
        <v>6858</v>
      </c>
      <c r="C2290" t="s">
        <v>6859</v>
      </c>
      <c r="D2290" t="str">
        <f>HYPERLINK("https://github.com/praekeltfoundation/gem-bbb-indo/issues/420","show")</f>
        <v>show</v>
      </c>
      <c r="E2290" t="str">
        <f>HYPERLINK("https://github.com/praekeltfoundation/gem-bbb-indo","show")</f>
        <v>show</v>
      </c>
      <c r="F2290" t="str">
        <f>HYPERLINK("https://github.com/praekeltfoundation/gem-bbb-indo/releases","show")</f>
        <v>show</v>
      </c>
    </row>
    <row r="2291" spans="1:6">
      <c r="A2291" t="s">
        <v>6860</v>
      </c>
      <c r="B2291" t="s">
        <v>6861</v>
      </c>
      <c r="C2291" t="s">
        <v>6862</v>
      </c>
      <c r="D2291" t="str">
        <f>HYPERLINK("https://github.com/forrestguice/SuntimesWidget/issues/75","show")</f>
        <v>show</v>
      </c>
      <c r="E2291" t="str">
        <f>HYPERLINK("https://github.com/forrestguice/SuntimesWidget","show")</f>
        <v>show</v>
      </c>
      <c r="F2291" t="str">
        <f>HYPERLINK("https://github.com/forrestguice/SuntimesWidget/releases","show")</f>
        <v>show</v>
      </c>
    </row>
    <row r="2292" spans="1:6">
      <c r="A2292" t="s">
        <v>6863</v>
      </c>
      <c r="B2292" t="s">
        <v>6864</v>
      </c>
      <c r="C2292" t="s">
        <v>6865</v>
      </c>
      <c r="D2292" t="str">
        <f>HYPERLINK("https://github.com/TeamNewPipe/NewPipe/issues/412","show")</f>
        <v>show</v>
      </c>
      <c r="E2292" t="str">
        <f>HYPERLINK("https://github.com/TeamNewPipe/NewPipe","show")</f>
        <v>show</v>
      </c>
      <c r="F2292" t="str">
        <f>HYPERLINK("https://github.com/TeamNewPipe/NewPipe/releases","show")</f>
        <v>show</v>
      </c>
    </row>
    <row r="2293" spans="1:6">
      <c r="A2293" t="s">
        <v>6866</v>
      </c>
      <c r="B2293" t="s">
        <v>6867</v>
      </c>
      <c r="C2293" t="s">
        <v>6868</v>
      </c>
      <c r="D2293" t="str">
        <f>HYPERLINK("https://github.com/cgeo/cgeo/issues/6258","show")</f>
        <v>show</v>
      </c>
      <c r="E2293" t="str">
        <f>HYPERLINK("https://github.com/cgeo/cgeo","show")</f>
        <v>show</v>
      </c>
      <c r="F2293" t="str">
        <f>HYPERLINK("https://github.com/cgeo/cgeo/releases","show")</f>
        <v>show</v>
      </c>
    </row>
    <row r="2294" spans="1:6">
      <c r="A2294" t="s">
        <v>6869</v>
      </c>
      <c r="B2294" t="s">
        <v>6870</v>
      </c>
      <c r="C2294" t="s">
        <v>6871</v>
      </c>
      <c r="D2294" t="str">
        <f>HYPERLINK("https://github.com/jehy/rutracker-free/issues/29","show")</f>
        <v>show</v>
      </c>
      <c r="E2294" t="str">
        <f>HYPERLINK("https://github.com/jehy/rutracker-free","show")</f>
        <v>show</v>
      </c>
      <c r="F2294" t="str">
        <f>HYPERLINK("https://github.com/jehy/rutracker-free/releases","show")</f>
        <v>show</v>
      </c>
    </row>
    <row r="2295" spans="1:6">
      <c r="A2295" t="s">
        <v>6872</v>
      </c>
      <c r="B2295" t="s">
        <v>6873</v>
      </c>
      <c r="C2295" t="s">
        <v>6874</v>
      </c>
      <c r="D2295" t="str">
        <f>HYPERLINK("https://github.com/justdave/MCStatus/issues/10","show")</f>
        <v>show</v>
      </c>
      <c r="E2295" t="str">
        <f>HYPERLINK("https://github.com/justdave/MCStatus","show")</f>
        <v>show</v>
      </c>
      <c r="F2295" t="str">
        <f>HYPERLINK("https://github.com/justdave/MCStatus/releases","show")</f>
        <v>show</v>
      </c>
    </row>
    <row r="2296" spans="1:6">
      <c r="A2296" t="s">
        <v>6875</v>
      </c>
      <c r="B2296" t="s">
        <v>6876</v>
      </c>
      <c r="C2296" t="s">
        <v>6877</v>
      </c>
      <c r="D2296" t="str">
        <f>HYPERLINK("https://github.com/Cloudkibo/Android/issues/424","show")</f>
        <v>show</v>
      </c>
      <c r="E2296" t="str">
        <f>HYPERLINK("https://github.com/Cloudkibo/Android","show")</f>
        <v>show</v>
      </c>
      <c r="F2296" t="str">
        <f>HYPERLINK("https://github.com/Cloudkibo/Android/releases","show")</f>
        <v>show</v>
      </c>
    </row>
    <row r="2297" spans="1:6">
      <c r="A2297" t="s">
        <v>6878</v>
      </c>
      <c r="B2297" t="s">
        <v>6879</v>
      </c>
      <c r="C2297" t="s">
        <v>6880</v>
      </c>
      <c r="D2297" t="str">
        <f>HYPERLINK("https://github.com/CrazyOrr/FFmpegRecorder/issues/15","show")</f>
        <v>show</v>
      </c>
      <c r="E2297" t="str">
        <f>HYPERLINK("https://github.com/CrazyOrr/FFmpegRecorder","show")</f>
        <v>show</v>
      </c>
      <c r="F2297" t="str">
        <f>HYPERLINK("https://github.com/CrazyOrr/FFmpegRecorder/releases","show")</f>
        <v>show</v>
      </c>
    </row>
    <row r="2298" spans="1:6">
      <c r="A2298" t="s">
        <v>6881</v>
      </c>
      <c r="B2298" t="s">
        <v>6882</v>
      </c>
      <c r="C2298" t="s">
        <v>6883</v>
      </c>
      <c r="D2298" t="str">
        <f>HYPERLINK("https://github.com/h6ah4i/android-advancedrecyclerview/issues/339","show")</f>
        <v>show</v>
      </c>
      <c r="E2298" t="str">
        <f>HYPERLINK("https://github.com/h6ah4i/android-advancedrecyclerview","show")</f>
        <v>show</v>
      </c>
      <c r="F2298" t="str">
        <f>HYPERLINK("https://github.com/h6ah4i/android-advancedrecyclerview/releases","show")</f>
        <v>show</v>
      </c>
    </row>
    <row r="2299" spans="1:6">
      <c r="A2299" t="s">
        <v>6884</v>
      </c>
      <c r="B2299" t="s">
        <v>6885</v>
      </c>
      <c r="C2299" t="s">
        <v>6886</v>
      </c>
      <c r="D2299" t="str">
        <f>HYPERLINK("https://github.com/gsantner/dandelion/issues/139","show")</f>
        <v>show</v>
      </c>
      <c r="E2299" t="str">
        <f>HYPERLINK("https://github.com/gsantner/dandelion","show")</f>
        <v>show</v>
      </c>
      <c r="F2299" t="str">
        <f>HYPERLINK("https://github.com/gsantner/dandelion/releases","show")</f>
        <v>show</v>
      </c>
    </row>
    <row r="2300" spans="1:6">
      <c r="A2300" t="s">
        <v>6887</v>
      </c>
      <c r="B2300" t="s">
        <v>6888</v>
      </c>
      <c r="C2300" t="s">
        <v>6889</v>
      </c>
      <c r="D2300" t="str">
        <f>HYPERLINK("https://github.com/cgeo/cgeo/issues/6261","show")</f>
        <v>show</v>
      </c>
      <c r="E2300" t="str">
        <f>HYPERLINK("https://github.com/cgeo/cgeo","show")</f>
        <v>show</v>
      </c>
      <c r="F2300" t="str">
        <f>HYPERLINK("https://github.com/cgeo/cgeo/releases","show")</f>
        <v>show</v>
      </c>
    </row>
    <row r="2301" spans="1:6">
      <c r="A2301" t="s">
        <v>6890</v>
      </c>
      <c r="B2301" t="s">
        <v>6891</v>
      </c>
      <c r="C2301" t="s">
        <v>6892</v>
      </c>
      <c r="D2301" t="str">
        <f>HYPERLINK("https://github.com/ataulm/talkback-toggle-tile/issues/2","show")</f>
        <v>show</v>
      </c>
      <c r="E2301" t="str">
        <f>HYPERLINK("https://github.com/ataulm/talkback-toggle-tile","show")</f>
        <v>show</v>
      </c>
      <c r="F2301" t="str">
        <f>HYPERLINK("https://github.com/ataulm/talkback-toggle-tile/releases","show")</f>
        <v>show</v>
      </c>
    </row>
    <row r="2302" spans="1:6">
      <c r="A2302" t="s">
        <v>6893</v>
      </c>
      <c r="B2302" t="s">
        <v>6894</v>
      </c>
      <c r="C2302" t="s">
        <v>6895</v>
      </c>
      <c r="D2302" t="str">
        <f>HYPERLINK("https://github.com/tanrabad/survey/issues/7","show")</f>
        <v>show</v>
      </c>
      <c r="E2302" t="str">
        <f>HYPERLINK("https://github.com/tanrabad/survey","show")</f>
        <v>show</v>
      </c>
      <c r="F2302" t="str">
        <f>HYPERLINK("https://github.com/tanrabad/survey/releases","show")</f>
        <v>show</v>
      </c>
    </row>
    <row r="2303" spans="1:6">
      <c r="A2303" t="s">
        <v>6896</v>
      </c>
      <c r="B2303" t="s">
        <v>6897</v>
      </c>
      <c r="C2303" t="s">
        <v>6898</v>
      </c>
      <c r="D2303" t="str">
        <f>HYPERLINK("https://github.com/Karumi/Dexter/issues/107","show")</f>
        <v>show</v>
      </c>
      <c r="E2303" t="str">
        <f>HYPERLINK("https://github.com/Karumi/Dexter","show")</f>
        <v>show</v>
      </c>
      <c r="F2303" t="str">
        <f>HYPERLINK("https://github.com/Karumi/Dexter/releases","show")</f>
        <v>show</v>
      </c>
    </row>
    <row r="2304" spans="1:6">
      <c r="A2304" t="s">
        <v>6899</v>
      </c>
      <c r="B2304" t="s">
        <v>6900</v>
      </c>
      <c r="C2304" t="s">
        <v>6901</v>
      </c>
      <c r="D2304" t="str">
        <f>HYPERLINK("https://github.com/Calsign/APDE/issues/24","show")</f>
        <v>show</v>
      </c>
      <c r="E2304" t="str">
        <f>HYPERLINK("https://github.com/Calsign/APDE","show")</f>
        <v>show</v>
      </c>
      <c r="F2304" t="str">
        <f>HYPERLINK("https://github.com/Calsign/APDE/releases","show")</f>
        <v>show</v>
      </c>
    </row>
    <row r="2305" spans="1:6">
      <c r="A2305" t="s">
        <v>6902</v>
      </c>
      <c r="B2305" t="s">
        <v>6903</v>
      </c>
      <c r="C2305" t="s">
        <v>6904</v>
      </c>
      <c r="D2305" t="str">
        <f>HYPERLINK("https://github.com/niclabs/adkintunmobile-androidclient/issues/159","show")</f>
        <v>show</v>
      </c>
      <c r="E2305" t="str">
        <f>HYPERLINK("https://github.com/niclabs/adkintunmobile-androidclient","show")</f>
        <v>show</v>
      </c>
      <c r="F2305" t="str">
        <f>HYPERLINK("https://github.com/niclabs/adkintunmobile-androidclient/releases","show")</f>
        <v>show</v>
      </c>
    </row>
    <row r="2306" spans="1:6">
      <c r="A2306" t="s">
        <v>6905</v>
      </c>
      <c r="B2306" t="s">
        <v>6906</v>
      </c>
      <c r="C2306" t="s">
        <v>6907</v>
      </c>
      <c r="D2306" t="str">
        <f>HYPERLINK("https://github.com/jehy/rutracker-free/issues/30","show")</f>
        <v>show</v>
      </c>
      <c r="E2306" t="str">
        <f>HYPERLINK("https://github.com/jehy/rutracker-free","show")</f>
        <v>show</v>
      </c>
      <c r="F2306" t="str">
        <f>HYPERLINK("https://github.com/jehy/rutracker-free/releases","show")</f>
        <v>show</v>
      </c>
    </row>
    <row r="2307" spans="1:6">
      <c r="A2307" t="s">
        <v>6908</v>
      </c>
      <c r="B2307" t="s">
        <v>4460</v>
      </c>
      <c r="C2307" t="s">
        <v>6909</v>
      </c>
      <c r="D2307" t="str">
        <f>HYPERLINK("https://github.com/tanrabad/survey/issues/10","show")</f>
        <v>show</v>
      </c>
      <c r="E2307" t="str">
        <f>HYPERLINK("https://github.com/tanrabad/survey","show")</f>
        <v>show</v>
      </c>
      <c r="F2307" t="str">
        <f>HYPERLINK("https://github.com/tanrabad/survey/releases","show")</f>
        <v>show</v>
      </c>
    </row>
    <row r="2308" spans="1:6">
      <c r="A2308" t="s">
        <v>6910</v>
      </c>
      <c r="B2308" t="s">
        <v>4460</v>
      </c>
      <c r="C2308" t="s">
        <v>6911</v>
      </c>
      <c r="D2308" t="str">
        <f>HYPERLINK("https://github.com/tanrabad/survey/issues/9","show")</f>
        <v>show</v>
      </c>
      <c r="E2308" t="str">
        <f>HYPERLINK("https://github.com/tanrabad/survey","show")</f>
        <v>show</v>
      </c>
      <c r="F2308" t="str">
        <f>HYPERLINK("https://github.com/tanrabad/survey/releases","show")</f>
        <v>show</v>
      </c>
    </row>
    <row r="2309" spans="1:6">
      <c r="A2309" t="s">
        <v>6912</v>
      </c>
      <c r="B2309" t="s">
        <v>6913</v>
      </c>
      <c r="C2309" t="s">
        <v>6914</v>
      </c>
      <c r="D2309" t="str">
        <f>HYPERLINK("https://github.com/syncthing/syncthing-android/issues/834","show")</f>
        <v>show</v>
      </c>
      <c r="E2309" t="str">
        <f>HYPERLINK("https://github.com/syncthing/syncthing-android","show")</f>
        <v>show</v>
      </c>
      <c r="F2309" t="str">
        <f>HYPERLINK("https://github.com/syncthing/syncthing-android/releases","show")</f>
        <v>show</v>
      </c>
    </row>
    <row r="2310" spans="1:6">
      <c r="A2310" t="s">
        <v>6915</v>
      </c>
      <c r="B2310" t="s">
        <v>6916</v>
      </c>
      <c r="C2310" t="s">
        <v>6917</v>
      </c>
      <c r="D2310" t="str">
        <f>HYPERLINK("https://github.com/openbmap/radiocells-scanner-android/issues/179","show")</f>
        <v>show</v>
      </c>
      <c r="E2310" t="str">
        <f>HYPERLINK("https://github.com/openbmap/radiocells-scanner-android","show")</f>
        <v>show</v>
      </c>
      <c r="F2310" t="str">
        <f>HYPERLINK("https://github.com/openbmap/radiocells-scanner-android/releases","show")</f>
        <v>show</v>
      </c>
    </row>
    <row r="2311" spans="1:6">
      <c r="A2311" t="s">
        <v>6918</v>
      </c>
      <c r="B2311" t="s">
        <v>4460</v>
      </c>
      <c r="C2311" t="s">
        <v>6919</v>
      </c>
      <c r="D2311" t="str">
        <f>HYPERLINK("https://github.com/tanrabad/survey/issues/8","show")</f>
        <v>show</v>
      </c>
      <c r="E2311" t="str">
        <f>HYPERLINK("https://github.com/tanrabad/survey","show")</f>
        <v>show</v>
      </c>
      <c r="F2311" t="str">
        <f>HYPERLINK("https://github.com/tanrabad/survey/releases","show")</f>
        <v>show</v>
      </c>
    </row>
    <row r="2312" spans="1:6">
      <c r="A2312" t="s">
        <v>6920</v>
      </c>
      <c r="B2312" t="s">
        <v>6921</v>
      </c>
      <c r="C2312" t="s">
        <v>6922</v>
      </c>
      <c r="D2312" t="str">
        <f>HYPERLINK("https://github.com/praekeltfoundation/gem-bbb-indo/issues/440","show")</f>
        <v>show</v>
      </c>
      <c r="E2312" t="str">
        <f>HYPERLINK("https://github.com/praekeltfoundation/gem-bbb-indo","show")</f>
        <v>show</v>
      </c>
      <c r="F2312" t="str">
        <f>HYPERLINK("https://github.com/praekeltfoundation/gem-bbb-indo/releases","show")</f>
        <v>show</v>
      </c>
    </row>
    <row r="2313" spans="1:6">
      <c r="A2313" t="s">
        <v>6923</v>
      </c>
      <c r="B2313" t="s">
        <v>6924</v>
      </c>
      <c r="C2313" t="s">
        <v>6925</v>
      </c>
      <c r="D2313" t="str">
        <f>HYPERLINK("https://github.com/MythTV-Clients/MythtvPlayerForAndroid/issues/212","show")</f>
        <v>show</v>
      </c>
      <c r="E2313" t="str">
        <f>HYPERLINK("https://github.com/MythTV-Clients/MythtvPlayerForAndroid","show")</f>
        <v>show</v>
      </c>
      <c r="F2313" t="str">
        <f>HYPERLINK("https://github.com/MythTV-Clients/MythtvPlayerForAndroid/releases","show")</f>
        <v>show</v>
      </c>
    </row>
    <row r="2314" spans="1:6">
      <c r="A2314" t="s">
        <v>6926</v>
      </c>
      <c r="B2314" t="s">
        <v>6927</v>
      </c>
      <c r="C2314" t="s">
        <v>6928</v>
      </c>
      <c r="D2314" t="str">
        <f>HYPERLINK("https://github.com/inaturalist/iNaturalistAndroid/issues/292","show")</f>
        <v>show</v>
      </c>
      <c r="E2314" t="str">
        <f>HYPERLINK("https://github.com/inaturalist/iNaturalistAndroid","show")</f>
        <v>show</v>
      </c>
      <c r="F2314" t="str">
        <f>HYPERLINK("https://github.com/inaturalist/iNaturalistAndroid/releases","show")</f>
        <v>show</v>
      </c>
    </row>
    <row r="2315" spans="1:6">
      <c r="A2315" t="s">
        <v>6929</v>
      </c>
      <c r="B2315" t="s">
        <v>6930</v>
      </c>
      <c r="C2315" t="s">
        <v>6931</v>
      </c>
      <c r="D2315" t="str">
        <f>HYPERLINK("https://github.com/FindItPS/findit/issues/4","show")</f>
        <v>show</v>
      </c>
      <c r="E2315" t="str">
        <f>HYPERLINK("https://github.com/FindItPS/findit","show")</f>
        <v>show</v>
      </c>
      <c r="F2315" t="str">
        <f>HYPERLINK("https://github.com/FindItPS/findit/releases","show")</f>
        <v>show</v>
      </c>
    </row>
    <row r="2316" spans="1:6">
      <c r="A2316" t="s">
        <v>6932</v>
      </c>
      <c r="B2316" t="s">
        <v>107</v>
      </c>
      <c r="C2316" t="s">
        <v>6933</v>
      </c>
      <c r="D2316" t="str">
        <f>HYPERLINK("https://github.com/PSDev/LicensesDialog/issues/73","show")</f>
        <v>show</v>
      </c>
      <c r="E2316" t="str">
        <f>HYPERLINK("https://github.com/PSDev/LicensesDialog","show")</f>
        <v>show</v>
      </c>
      <c r="F2316" t="str">
        <f>HYPERLINK("https://github.com/PSDev/LicensesDialog/releases","show")</f>
        <v>show</v>
      </c>
    </row>
    <row r="2317" spans="1:6">
      <c r="A2317" t="s">
        <v>6934</v>
      </c>
      <c r="B2317" t="s">
        <v>4460</v>
      </c>
      <c r="C2317" t="s">
        <v>6935</v>
      </c>
      <c r="D2317" t="str">
        <f>HYPERLINK("https://github.com/tanrabad/survey/issues/11","show")</f>
        <v>show</v>
      </c>
      <c r="E2317" t="str">
        <f>HYPERLINK("https://github.com/tanrabad/survey","show")</f>
        <v>show</v>
      </c>
      <c r="F2317" t="str">
        <f>HYPERLINK("https://github.com/tanrabad/survey/releases","show")</f>
        <v>show</v>
      </c>
    </row>
    <row r="2318" spans="1:6">
      <c r="A2318" t="s">
        <v>6936</v>
      </c>
      <c r="B2318" t="s">
        <v>6937</v>
      </c>
      <c r="C2318" t="s">
        <v>6938</v>
      </c>
      <c r="D2318" t="str">
        <f>HYPERLINK("https://github.com/consp1racy/android-support-preference/issues/59","show")</f>
        <v>show</v>
      </c>
      <c r="E2318" t="str">
        <f>HYPERLINK("https://github.com/consp1racy/android-support-preference","show")</f>
        <v>show</v>
      </c>
      <c r="F2318" t="str">
        <f>HYPERLINK("https://github.com/consp1racy/android-support-preference/releases","show")</f>
        <v>show</v>
      </c>
    </row>
    <row r="2319" spans="1:6">
      <c r="A2319" t="s">
        <v>6939</v>
      </c>
      <c r="B2319" t="s">
        <v>6940</v>
      </c>
      <c r="C2319" t="s">
        <v>6941</v>
      </c>
      <c r="D2319" t="str">
        <f>HYPERLINK("https://github.com/danvim/Procal/issues/29","show")</f>
        <v>show</v>
      </c>
      <c r="E2319" t="str">
        <f>HYPERLINK("https://github.com/danvim/Procal","show")</f>
        <v>show</v>
      </c>
      <c r="F2319" t="str">
        <f>HYPERLINK("https://github.com/danvim/Procal/releases","show")</f>
        <v>show</v>
      </c>
    </row>
    <row r="2320" spans="1:6">
      <c r="A2320" t="s">
        <v>6942</v>
      </c>
      <c r="B2320" t="s">
        <v>6943</v>
      </c>
      <c r="C2320" t="s">
        <v>6944</v>
      </c>
      <c r="D2320" t="str">
        <f>HYPERLINK("https://github.com/praekeltfoundation/gem-bbb-indo/issues/469","show")</f>
        <v>show</v>
      </c>
      <c r="E2320" t="str">
        <f>HYPERLINK("https://github.com/praekeltfoundation/gem-bbb-indo","show")</f>
        <v>show</v>
      </c>
      <c r="F2320" t="str">
        <f>HYPERLINK("https://github.com/praekeltfoundation/gem-bbb-indo/releases","show")</f>
        <v>show</v>
      </c>
    </row>
    <row r="2321" spans="1:6">
      <c r="A2321" t="s">
        <v>6945</v>
      </c>
      <c r="B2321" t="s">
        <v>6946</v>
      </c>
      <c r="C2321" t="s">
        <v>6947</v>
      </c>
      <c r="D2321" t="str">
        <f>HYPERLINK("https://github.com/praekeltfoundation/gem-bbb-indo/issues/468","show")</f>
        <v>show</v>
      </c>
      <c r="E2321" t="str">
        <f>HYPERLINK("https://github.com/praekeltfoundation/gem-bbb-indo","show")</f>
        <v>show</v>
      </c>
      <c r="F2321" t="str">
        <f>HYPERLINK("https://github.com/praekeltfoundation/gem-bbb-indo/releases","show")</f>
        <v>show</v>
      </c>
    </row>
    <row r="2322" spans="1:6">
      <c r="A2322" t="s">
        <v>6948</v>
      </c>
      <c r="B2322" t="s">
        <v>6949</v>
      </c>
      <c r="C2322" t="s">
        <v>6950</v>
      </c>
      <c r="D2322" t="str">
        <f>HYPERLINK("https://github.com/wasdennnoch/Scoop/issues/3","show")</f>
        <v>show</v>
      </c>
      <c r="E2322" t="str">
        <f>HYPERLINK("https://github.com/wasdennnoch/Scoop","show")</f>
        <v>show</v>
      </c>
      <c r="F2322" t="str">
        <f>HYPERLINK("https://github.com/wasdennnoch/Scoop/releases","show")</f>
        <v>show</v>
      </c>
    </row>
    <row r="2323" spans="1:6">
      <c r="A2323" t="s">
        <v>6951</v>
      </c>
      <c r="B2323" t="s">
        <v>6952</v>
      </c>
      <c r="C2323" t="s">
        <v>6953</v>
      </c>
      <c r="D2323" t="str">
        <f>HYPERLINK("https://github.com/praekeltfoundation/gem-bbb-indo/issues/457","show")</f>
        <v>show</v>
      </c>
      <c r="E2323" t="str">
        <f>HYPERLINK("https://github.com/praekeltfoundation/gem-bbb-indo","show")</f>
        <v>show</v>
      </c>
      <c r="F2323" t="str">
        <f>HYPERLINK("https://github.com/praekeltfoundation/gem-bbb-indo/releases","show")</f>
        <v>show</v>
      </c>
    </row>
    <row r="2324" spans="1:6">
      <c r="A2324" t="s">
        <v>6954</v>
      </c>
      <c r="B2324" t="s">
        <v>4460</v>
      </c>
      <c r="C2324" t="s">
        <v>6955</v>
      </c>
      <c r="D2324" t="str">
        <f>HYPERLINK("https://github.com/tanrabad/survey/issues/12","show")</f>
        <v>show</v>
      </c>
      <c r="E2324" t="str">
        <f>HYPERLINK("https://github.com/tanrabad/survey","show")</f>
        <v>show</v>
      </c>
      <c r="F2324" t="str">
        <f>HYPERLINK("https://github.com/tanrabad/survey/releases","show")</f>
        <v>show</v>
      </c>
    </row>
    <row r="2325" spans="1:6">
      <c r="A2325" t="s">
        <v>6956</v>
      </c>
      <c r="B2325" t="s">
        <v>6957</v>
      </c>
      <c r="C2325" t="s">
        <v>6958</v>
      </c>
      <c r="D2325" t="str">
        <f>HYPERLINK("https://github.com/inaturalist/iNaturalistAndroid/issues/295","show")</f>
        <v>show</v>
      </c>
      <c r="E2325" t="str">
        <f>HYPERLINK("https://github.com/inaturalist/iNaturalistAndroid","show")</f>
        <v>show</v>
      </c>
      <c r="F2325" t="str">
        <f>HYPERLINK("https://github.com/inaturalist/iNaturalistAndroid/releases","show")</f>
        <v>show</v>
      </c>
    </row>
    <row r="2326" spans="1:6">
      <c r="A2326" t="s">
        <v>6959</v>
      </c>
      <c r="B2326" t="s">
        <v>6960</v>
      </c>
      <c r="C2326" t="s">
        <v>6961</v>
      </c>
      <c r="D2326" t="str">
        <f>HYPERLINK("https://github.com/jklmnn/ParkenDD/issues/38","show")</f>
        <v>show</v>
      </c>
      <c r="E2326" t="str">
        <f>HYPERLINK("https://github.com/jklmnn/ParkenDD","show")</f>
        <v>show</v>
      </c>
      <c r="F2326" t="str">
        <f>HYPERLINK("https://github.com/jklmnn/ParkenDD/releases","show")</f>
        <v>show</v>
      </c>
    </row>
    <row r="2327" spans="1:6">
      <c r="A2327" t="s">
        <v>6962</v>
      </c>
      <c r="B2327" t="s">
        <v>6963</v>
      </c>
      <c r="C2327" t="s">
        <v>6964</v>
      </c>
      <c r="D2327" t="str">
        <f>HYPERLINK("https://github.com/alexstyl/Memento-Calendar/issues/83","show")</f>
        <v>show</v>
      </c>
      <c r="E2327" t="str">
        <f>HYPERLINK("https://github.com/alexstyl/Memento-Calendar","show")</f>
        <v>show</v>
      </c>
      <c r="F2327" t="str">
        <f>HYPERLINK("https://github.com/alexstyl/Memento-Calendar/releases","show")</f>
        <v>show</v>
      </c>
    </row>
    <row r="2328" spans="1:6">
      <c r="A2328" t="s">
        <v>6965</v>
      </c>
      <c r="B2328" t="s">
        <v>4460</v>
      </c>
      <c r="C2328" t="s">
        <v>6966</v>
      </c>
      <c r="D2328" t="str">
        <f>HYPERLINK("https://github.com/tanrabad/survey/issues/13","show")</f>
        <v>show</v>
      </c>
      <c r="E2328" t="str">
        <f>HYPERLINK("https://github.com/tanrabad/survey","show")</f>
        <v>show</v>
      </c>
      <c r="F2328" t="str">
        <f>HYPERLINK("https://github.com/tanrabad/survey/releases","show")</f>
        <v>show</v>
      </c>
    </row>
    <row r="2329" spans="1:6">
      <c r="A2329" t="s">
        <v>6967</v>
      </c>
      <c r="B2329" t="s">
        <v>6968</v>
      </c>
      <c r="C2329" t="s">
        <v>6969</v>
      </c>
      <c r="D2329" t="str">
        <f>HYPERLINK("https://github.com/peng8350/JPTabBar/issues/8","show")</f>
        <v>show</v>
      </c>
      <c r="E2329" t="str">
        <f>HYPERLINK("https://github.com/peng8350/JPTabBar","show")</f>
        <v>show</v>
      </c>
      <c r="F2329" t="str">
        <f>HYPERLINK("https://github.com/peng8350/JPTabBar/releases","show")</f>
        <v>show</v>
      </c>
    </row>
    <row r="2330" spans="1:6">
      <c r="A2330" t="s">
        <v>6970</v>
      </c>
      <c r="B2330" t="s">
        <v>6971</v>
      </c>
      <c r="C2330" t="s">
        <v>6972</v>
      </c>
      <c r="D2330" t="str">
        <f>HYPERLINK("https://github.com/kontalk/androidclient/issues/935","show")</f>
        <v>show</v>
      </c>
      <c r="E2330" t="str">
        <f>HYPERLINK("https://github.com/kontalk/androidclient","show")</f>
        <v>show</v>
      </c>
      <c r="F2330" t="str">
        <f>HYPERLINK("https://github.com/kontalk/androidclient/releases","show")</f>
        <v>show</v>
      </c>
    </row>
    <row r="2331" spans="1:6">
      <c r="A2331" t="s">
        <v>6973</v>
      </c>
      <c r="B2331" t="s">
        <v>6974</v>
      </c>
      <c r="C2331" t="s">
        <v>6975</v>
      </c>
      <c r="D2331" t="str">
        <f>HYPERLINK("https://github.com/Cloudkibo/Android/issues/438","show")</f>
        <v>show</v>
      </c>
      <c r="E2331" t="str">
        <f>HYPERLINK("https://github.com/Cloudkibo/Android","show")</f>
        <v>show</v>
      </c>
      <c r="F2331" t="str">
        <f>HYPERLINK("https://github.com/Cloudkibo/Android/releases","show")</f>
        <v>show</v>
      </c>
    </row>
    <row r="2332" spans="1:6">
      <c r="A2332" t="s">
        <v>6976</v>
      </c>
      <c r="B2332" t="s">
        <v>6977</v>
      </c>
      <c r="C2332" t="s">
        <v>6978</v>
      </c>
      <c r="D2332" t="str">
        <f>HYPERLINK("https://github.com/Cloudkibo/Android/issues/437","show")</f>
        <v>show</v>
      </c>
      <c r="E2332" t="str">
        <f>HYPERLINK("https://github.com/Cloudkibo/Android","show")</f>
        <v>show</v>
      </c>
      <c r="F2332" t="str">
        <f>HYPERLINK("https://github.com/Cloudkibo/Android/releases","show")</f>
        <v>show</v>
      </c>
    </row>
    <row r="2333" spans="1:6">
      <c r="A2333" t="s">
        <v>6979</v>
      </c>
      <c r="B2333" t="s">
        <v>6980</v>
      </c>
      <c r="C2333" t="s">
        <v>6981</v>
      </c>
      <c r="D2333" t="str">
        <f>HYPERLINK("https://github.com/dermalikmann/burning-series/issues/4","show")</f>
        <v>show</v>
      </c>
      <c r="E2333" t="str">
        <f>HYPERLINK("https://github.com/dermalikmann/burning-series","show")</f>
        <v>show</v>
      </c>
      <c r="F2333" t="str">
        <f>HYPERLINK("https://github.com/dermalikmann/burning-series/releases","show")</f>
        <v>show</v>
      </c>
    </row>
    <row r="2334" spans="1:6">
      <c r="A2334" t="s">
        <v>6982</v>
      </c>
      <c r="B2334" t="s">
        <v>6983</v>
      </c>
      <c r="C2334" t="s">
        <v>6984</v>
      </c>
      <c r="D2334" t="str">
        <f>HYPERLINK("https://github.com/Cloudkibo/Android/issues/441","show")</f>
        <v>show</v>
      </c>
      <c r="E2334" t="str">
        <f>HYPERLINK("https://github.com/Cloudkibo/Android","show")</f>
        <v>show</v>
      </c>
      <c r="F2334" t="str">
        <f>HYPERLINK("https://github.com/Cloudkibo/Android/releases","show")</f>
        <v>show</v>
      </c>
    </row>
    <row r="2335" spans="1:6">
      <c r="A2335" t="s">
        <v>6985</v>
      </c>
      <c r="B2335" t="s">
        <v>6986</v>
      </c>
      <c r="C2335" t="s">
        <v>6987</v>
      </c>
      <c r="D2335" t="str">
        <f>HYPERLINK("https://github.com/dermalikmann/burning-series/issues/3","show")</f>
        <v>show</v>
      </c>
      <c r="E2335" t="str">
        <f>HYPERLINK("https://github.com/dermalikmann/burning-series","show")</f>
        <v>show</v>
      </c>
      <c r="F2335" t="str">
        <f>HYPERLINK("https://github.com/dermalikmann/burning-series/releases","show")</f>
        <v>show</v>
      </c>
    </row>
    <row r="2336" spans="1:6">
      <c r="A2336" t="s">
        <v>6988</v>
      </c>
      <c r="B2336" t="s">
        <v>6989</v>
      </c>
      <c r="C2336" t="s">
        <v>6990</v>
      </c>
      <c r="D2336" t="str">
        <f>HYPERLINK("https://github.com/elimu-ai/ml-authentication/issues/354","show")</f>
        <v>show</v>
      </c>
      <c r="E2336" t="str">
        <f>HYPERLINK("https://github.com/elimu-ai/ml-authentication","show")</f>
        <v>show</v>
      </c>
      <c r="F2336" t="str">
        <f>HYPERLINK("https://github.com/elimu-ai/ml-authentication/releases","show")</f>
        <v>show</v>
      </c>
    </row>
    <row r="2337" spans="1:6">
      <c r="A2337" t="s">
        <v>6991</v>
      </c>
      <c r="B2337" t="s">
        <v>6992</v>
      </c>
      <c r="C2337" t="s">
        <v>6993</v>
      </c>
      <c r="D2337" t="str">
        <f>HYPERLINK("https://github.com/Joseph82/PinnedRecyclerView-Android/issues/2","show")</f>
        <v>show</v>
      </c>
      <c r="E2337" t="str">
        <f>HYPERLINK("https://github.com/Joseph82/PinnedRecyclerView-Android","show")</f>
        <v>show</v>
      </c>
      <c r="F2337" t="str">
        <f>HYPERLINK("https://github.com/Joseph82/PinnedRecyclerView-Android/releases","show")</f>
        <v>show</v>
      </c>
    </row>
    <row r="2338" spans="1:6">
      <c r="A2338" t="s">
        <v>6994</v>
      </c>
      <c r="B2338" t="s">
        <v>4460</v>
      </c>
      <c r="C2338" t="s">
        <v>6995</v>
      </c>
      <c r="D2338" t="str">
        <f>HYPERLINK("https://github.com/tanrabad/survey/issues/14","show")</f>
        <v>show</v>
      </c>
      <c r="E2338" t="str">
        <f>HYPERLINK("https://github.com/tanrabad/survey","show")</f>
        <v>show</v>
      </c>
      <c r="F2338" t="str">
        <f>HYPERLINK("https://github.com/tanrabad/survey/releases","show")</f>
        <v>show</v>
      </c>
    </row>
    <row r="2339" spans="1:6">
      <c r="A2339" t="s">
        <v>6996</v>
      </c>
      <c r="B2339" t="s">
        <v>6997</v>
      </c>
      <c r="C2339" t="s">
        <v>6998</v>
      </c>
      <c r="D2339" t="str">
        <f>HYPERLINK("https://github.com/praekeltfoundation/gem-bbb-indo/issues/470","show")</f>
        <v>show</v>
      </c>
      <c r="E2339" t="str">
        <f>HYPERLINK("https://github.com/praekeltfoundation/gem-bbb-indo","show")</f>
        <v>show</v>
      </c>
      <c r="F2339" t="str">
        <f>HYPERLINK("https://github.com/praekeltfoundation/gem-bbb-indo/releases","show")</f>
        <v>show</v>
      </c>
    </row>
    <row r="2340" spans="1:6">
      <c r="A2340" t="s">
        <v>6999</v>
      </c>
      <c r="B2340" t="s">
        <v>7000</v>
      </c>
      <c r="C2340" t="s">
        <v>7001</v>
      </c>
      <c r="D2340" t="str">
        <f>HYPERLINK("https://github.com/quaap/LaunchTime/issues/4","show")</f>
        <v>show</v>
      </c>
      <c r="E2340" t="str">
        <f>HYPERLINK("https://github.com/quaap/LaunchTime","show")</f>
        <v>show</v>
      </c>
      <c r="F2340" t="str">
        <f>HYPERLINK("https://github.com/quaap/LaunchTime/releases","show")</f>
        <v>show</v>
      </c>
    </row>
    <row r="2341" spans="1:6">
      <c r="A2341" t="s">
        <v>7002</v>
      </c>
      <c r="B2341" t="s">
        <v>7003</v>
      </c>
      <c r="C2341" t="s">
        <v>7004</v>
      </c>
      <c r="D2341" t="str">
        <f>HYPERLINK("https://github.com/getodk/collect/issues/356","show")</f>
        <v>show</v>
      </c>
      <c r="E2341" t="str">
        <f>HYPERLINK("https://github.com/getodk/collect","show")</f>
        <v>show</v>
      </c>
      <c r="F2341" t="str">
        <f>HYPERLINK("https://github.com/getodk/collect/releases","show")</f>
        <v>show</v>
      </c>
    </row>
    <row r="2342" spans="1:6">
      <c r="A2342" t="s">
        <v>7005</v>
      </c>
      <c r="B2342" t="s">
        <v>7006</v>
      </c>
      <c r="C2342" t="s">
        <v>7007</v>
      </c>
      <c r="D2342" t="str">
        <f>HYPERLINK("https://github.com/square/okhttp/issues/3135","show")</f>
        <v>show</v>
      </c>
      <c r="E2342" t="str">
        <f>HYPERLINK("https://github.com/square/okhttp","show")</f>
        <v>show</v>
      </c>
      <c r="F2342" t="str">
        <f>HYPERLINK("https://github.com/square/okhttp/releases","show")</f>
        <v>show</v>
      </c>
    </row>
    <row r="2343" spans="1:6">
      <c r="A2343" t="s">
        <v>7008</v>
      </c>
      <c r="B2343" t="s">
        <v>7009</v>
      </c>
      <c r="C2343" t="s">
        <v>7010</v>
      </c>
      <c r="D2343" t="str">
        <f>HYPERLINK("https://github.com/Fleker/CumulusTV/issues/241","show")</f>
        <v>show</v>
      </c>
      <c r="E2343" t="str">
        <f>HYPERLINK("https://github.com/Fleker/CumulusTV","show")</f>
        <v>show</v>
      </c>
      <c r="F2343" t="str">
        <f>HYPERLINK("https://github.com/Fleker/CumulusTV/releases","show")</f>
        <v>show</v>
      </c>
    </row>
    <row r="2344" spans="1:6">
      <c r="A2344" t="s">
        <v>7011</v>
      </c>
      <c r="B2344" t="s">
        <v>7012</v>
      </c>
      <c r="C2344" t="s">
        <v>7013</v>
      </c>
      <c r="D2344" t="str">
        <f>HYPERLINK("https://github.com/osmdroid/osmdroid/issues/550","show")</f>
        <v>show</v>
      </c>
      <c r="E2344" t="str">
        <f>HYPERLINK("https://github.com/osmdroid/osmdroid","show")</f>
        <v>show</v>
      </c>
      <c r="F2344" t="str">
        <f>HYPERLINK("https://github.com/osmdroid/osmdroid/releases","show")</f>
        <v>show</v>
      </c>
    </row>
    <row r="2345" spans="1:6">
      <c r="A2345" t="s">
        <v>7014</v>
      </c>
      <c r="B2345" t="s">
        <v>7015</v>
      </c>
      <c r="C2345" t="s">
        <v>7016</v>
      </c>
      <c r="D2345" t="str">
        <f>HYPERLINK("https://github.com/quaap/LaunchTime/issues/7","show")</f>
        <v>show</v>
      </c>
      <c r="E2345" t="str">
        <f>HYPERLINK("https://github.com/quaap/LaunchTime","show")</f>
        <v>show</v>
      </c>
      <c r="F2345" t="str">
        <f>HYPERLINK("https://github.com/quaap/LaunchTime/releases","show")</f>
        <v>show</v>
      </c>
    </row>
    <row r="2346" spans="1:6">
      <c r="A2346" t="s">
        <v>7017</v>
      </c>
      <c r="B2346" t="s">
        <v>7018</v>
      </c>
      <c r="C2346" t="s">
        <v>7019</v>
      </c>
      <c r="D2346" t="str">
        <f>HYPERLINK("https://github.com/RestComm/restcomm-android-sdk/issues/502","show")</f>
        <v>show</v>
      </c>
      <c r="E2346" t="str">
        <f>HYPERLINK("https://github.com/RestComm/restcomm-android-sdk","show")</f>
        <v>show</v>
      </c>
      <c r="F2346" t="str">
        <f>HYPERLINK("https://github.com/RestComm/restcomm-android-sdk/releases","show")</f>
        <v>show</v>
      </c>
    </row>
    <row r="2347" spans="1:6">
      <c r="A2347" t="s">
        <v>7020</v>
      </c>
      <c r="B2347" t="s">
        <v>7021</v>
      </c>
      <c r="C2347" t="s">
        <v>7022</v>
      </c>
      <c r="D2347" t="str">
        <f>HYPERLINK("https://github.com/romandanylyk/PageIndicatorView/issues/17","show")</f>
        <v>show</v>
      </c>
      <c r="E2347" t="str">
        <f>HYPERLINK("https://github.com/romandanylyk/PageIndicatorView","show")</f>
        <v>show</v>
      </c>
      <c r="F2347" t="str">
        <f>HYPERLINK("https://github.com/romandanylyk/PageIndicatorView/releases","show")</f>
        <v>show</v>
      </c>
    </row>
    <row r="2348" spans="1:6">
      <c r="A2348" t="s">
        <v>7023</v>
      </c>
      <c r="B2348" t="s">
        <v>7024</v>
      </c>
      <c r="C2348" t="s">
        <v>7025</v>
      </c>
      <c r="D2348" t="str">
        <f>HYPERLINK("https://github.com/BenGoBlue05/UdacityAlumni/issues/40","show")</f>
        <v>show</v>
      </c>
      <c r="E2348" t="str">
        <f>HYPERLINK("https://github.com/BenGoBlue05/UdacityAlumni","show")</f>
        <v>show</v>
      </c>
      <c r="F2348" t="str">
        <f>HYPERLINK("https://github.com/BenGoBlue05/UdacityAlumni/releases","show")</f>
        <v>show</v>
      </c>
    </row>
    <row r="2349" spans="1:6">
      <c r="A2349" t="s">
        <v>7026</v>
      </c>
      <c r="B2349" t="s">
        <v>7027</v>
      </c>
      <c r="C2349" t="s">
        <v>7028</v>
      </c>
      <c r="D2349" t="str">
        <f>HYPERLINK("https://github.com/HellPie/dev.hellpie.apps.music09/issues/1","show")</f>
        <v>show</v>
      </c>
      <c r="E2349" t="str">
        <f>HYPERLINK("https://github.com/HellPie/dev.hellpie.apps.music09","show")</f>
        <v>show</v>
      </c>
      <c r="F2349" t="str">
        <f>HYPERLINK("https://github.com/HellPie/dev.hellpie.apps.music09/releases","show")</f>
        <v>show</v>
      </c>
    </row>
    <row r="2350" spans="1:6">
      <c r="A2350" t="s">
        <v>7029</v>
      </c>
      <c r="B2350" t="s">
        <v>4460</v>
      </c>
      <c r="C2350" t="s">
        <v>7030</v>
      </c>
      <c r="D2350" t="str">
        <f>HYPERLINK("https://github.com/tanrabad/survey/issues/15","show")</f>
        <v>show</v>
      </c>
      <c r="E2350" t="str">
        <f>HYPERLINK("https://github.com/tanrabad/survey","show")</f>
        <v>show</v>
      </c>
      <c r="F2350" t="str">
        <f>HYPERLINK("https://github.com/tanrabad/survey/releases","show")</f>
        <v>show</v>
      </c>
    </row>
    <row r="2351" spans="1:6">
      <c r="A2351" t="s">
        <v>7031</v>
      </c>
      <c r="B2351" t="s">
        <v>7032</v>
      </c>
      <c r="C2351" t="s">
        <v>7033</v>
      </c>
      <c r="D2351" t="str">
        <f>HYPERLINK("https://github.com/praekeltfoundation/gem-bbb-indo/issues/501","show")</f>
        <v>show</v>
      </c>
      <c r="E2351" t="str">
        <f>HYPERLINK("https://github.com/praekeltfoundation/gem-bbb-indo","show")</f>
        <v>show</v>
      </c>
      <c r="F2351" t="str">
        <f>HYPERLINK("https://github.com/praekeltfoundation/gem-bbb-indo/releases","show")</f>
        <v>show</v>
      </c>
    </row>
    <row r="2352" spans="1:6">
      <c r="A2352" t="s">
        <v>7034</v>
      </c>
      <c r="B2352" t="s">
        <v>7035</v>
      </c>
      <c r="C2352" t="s">
        <v>7036</v>
      </c>
      <c r="D2352" t="str">
        <f>HYPERLINK("https://github.com/WycliffeAssociates/translationRecorder/issues/800","show")</f>
        <v>show</v>
      </c>
      <c r="E2352" t="str">
        <f>HYPERLINK("https://github.com/WycliffeAssociates/translationRecorder","show")</f>
        <v>show</v>
      </c>
      <c r="F2352" t="str">
        <f>HYPERLINK("https://github.com/WycliffeAssociates/translationRecorder/releases","show")</f>
        <v>show</v>
      </c>
    </row>
    <row r="2353" spans="1:6">
      <c r="A2353" t="s">
        <v>7037</v>
      </c>
      <c r="B2353" t="s">
        <v>7038</v>
      </c>
      <c r="C2353" t="s">
        <v>7039</v>
      </c>
      <c r="D2353" t="str">
        <f>HYPERLINK("https://github.com/journeyapps/zxing-android-embedded/issues/272","show")</f>
        <v>show</v>
      </c>
      <c r="E2353" t="str">
        <f>HYPERLINK("https://github.com/journeyapps/zxing-android-embedded","show")</f>
        <v>show</v>
      </c>
      <c r="F2353" t="str">
        <f>HYPERLINK("https://github.com/journeyapps/zxing-android-embedded/releases","show")</f>
        <v>show</v>
      </c>
    </row>
    <row r="2354" spans="1:6">
      <c r="A2354" t="s">
        <v>7040</v>
      </c>
      <c r="B2354" t="s">
        <v>7041</v>
      </c>
      <c r="C2354" t="s">
        <v>7042</v>
      </c>
      <c r="D2354" t="str">
        <f>HYPERLINK("https://github.com/HutchBusinessGroup/ELDv3.0/issues/65","show")</f>
        <v>show</v>
      </c>
      <c r="E2354" t="str">
        <f>HYPERLINK("https://github.com/HutchBusinessGroup/ELDv3.0","show")</f>
        <v>show</v>
      </c>
      <c r="F2354" t="str">
        <f>HYPERLINK("https://github.com/HutchBusinessGroup/ELDv3.0/releases","show")</f>
        <v>show</v>
      </c>
    </row>
    <row r="2355" spans="1:6">
      <c r="A2355" t="s">
        <v>7043</v>
      </c>
      <c r="B2355" t="s">
        <v>7044</v>
      </c>
      <c r="C2355" t="s">
        <v>7045</v>
      </c>
      <c r="D2355" t="str">
        <f>HYPERLINK("https://github.com/quaap/LaunchTime/issues/9","show")</f>
        <v>show</v>
      </c>
      <c r="E2355" t="str">
        <f>HYPERLINK("https://github.com/quaap/LaunchTime","show")</f>
        <v>show</v>
      </c>
      <c r="F2355" t="str">
        <f>HYPERLINK("https://github.com/quaap/LaunchTime/releases","show")</f>
        <v>show</v>
      </c>
    </row>
    <row r="2356" spans="1:6">
      <c r="A2356" t="s">
        <v>7046</v>
      </c>
      <c r="B2356" t="s">
        <v>7047</v>
      </c>
      <c r="C2356" t="s">
        <v>7048</v>
      </c>
      <c r="D2356" t="str">
        <f>HYPERLINK("https://github.com/quaap/LaunchTime/issues/10","show")</f>
        <v>show</v>
      </c>
      <c r="E2356" t="str">
        <f>HYPERLINK("https://github.com/quaap/LaunchTime","show")</f>
        <v>show</v>
      </c>
      <c r="F2356" t="str">
        <f>HYPERLINK("https://github.com/quaap/LaunchTime/releases","show")</f>
        <v>show</v>
      </c>
    </row>
    <row r="2357" spans="1:6">
      <c r="A2357" t="s">
        <v>7049</v>
      </c>
      <c r="B2357" t="s">
        <v>7050</v>
      </c>
      <c r="C2357" t="s">
        <v>7051</v>
      </c>
      <c r="D2357" t="str">
        <f>HYPERLINK("https://github.com/shymmq/librus-client/issues/50","show")</f>
        <v>show</v>
      </c>
      <c r="E2357" t="str">
        <f>HYPERLINK("https://github.com/shymmq/librus-client","show")</f>
        <v>show</v>
      </c>
      <c r="F2357" t="str">
        <f>HYPERLINK("https://github.com/shymmq/librus-client/releases","show")</f>
        <v>show</v>
      </c>
    </row>
    <row r="2358" spans="1:6">
      <c r="A2358" t="s">
        <v>7052</v>
      </c>
      <c r="B2358" t="s">
        <v>7053</v>
      </c>
      <c r="C2358" t="s">
        <v>7054</v>
      </c>
      <c r="D2358" t="str">
        <f>HYPERLINK("https://github.com/wallabag/android-app/issues/410","show")</f>
        <v>show</v>
      </c>
      <c r="E2358" t="str">
        <f>HYPERLINK("https://github.com/wallabag/android-app","show")</f>
        <v>show</v>
      </c>
      <c r="F2358" t="str">
        <f>HYPERLINK("https://github.com/wallabag/android-app/releases","show")</f>
        <v>show</v>
      </c>
    </row>
    <row r="2359" spans="1:6">
      <c r="A2359" t="s">
        <v>7055</v>
      </c>
      <c r="B2359" t="s">
        <v>7056</v>
      </c>
      <c r="C2359" t="s">
        <v>7057</v>
      </c>
      <c r="D2359" t="str">
        <f>HYPERLINK("https://github.com/emcorrales/location-spoofer-android/issues/4","show")</f>
        <v>show</v>
      </c>
      <c r="E2359" t="str">
        <f>HYPERLINK("https://github.com/emcorrales/location-spoofer-android","show")</f>
        <v>show</v>
      </c>
      <c r="F2359" t="str">
        <f>HYPERLINK("https://github.com/emcorrales/location-spoofer-android/releases","show")</f>
        <v>show</v>
      </c>
    </row>
    <row r="2360" spans="1:6">
      <c r="A2360" t="s">
        <v>7058</v>
      </c>
      <c r="B2360" t="s">
        <v>7059</v>
      </c>
      <c r="C2360" t="s">
        <v>7060</v>
      </c>
      <c r="D2360" t="str">
        <f>HYPERLINK("https://github.com/Mishiranu/Dashchan/issues/112","show")</f>
        <v>show</v>
      </c>
      <c r="E2360" t="str">
        <f>HYPERLINK("https://github.com/Mishiranu/Dashchan","show")</f>
        <v>show</v>
      </c>
      <c r="F2360" t="str">
        <f>HYPERLINK("https://github.com/Mishiranu/Dashchan/releases","show")</f>
        <v>show</v>
      </c>
    </row>
    <row r="2361" spans="1:6">
      <c r="A2361" t="s">
        <v>7061</v>
      </c>
      <c r="B2361" t="s">
        <v>7062</v>
      </c>
      <c r="C2361" t="s">
        <v>7063</v>
      </c>
      <c r="D2361" t="str">
        <f>HYPERLINK("https://github.com/aws-amplify/aws-sdk-android/issues/249","show")</f>
        <v>show</v>
      </c>
      <c r="E2361" t="str">
        <f>HYPERLINK("https://github.com/aws-amplify/aws-sdk-android","show")</f>
        <v>show</v>
      </c>
      <c r="F2361" t="str">
        <f>HYPERLINK("https://github.com/aws-amplify/aws-sdk-android/releases","show")</f>
        <v>show</v>
      </c>
    </row>
    <row r="2362" spans="1:6">
      <c r="A2362" t="s">
        <v>7064</v>
      </c>
      <c r="B2362" t="s">
        <v>7065</v>
      </c>
      <c r="C2362" t="s">
        <v>7066</v>
      </c>
      <c r="D2362" t="str">
        <f>HYPERLINK("https://github.com/Freeyourgadget/Gadgetbridge/issues/533","show")</f>
        <v>show</v>
      </c>
      <c r="E2362" t="str">
        <f>HYPERLINK("https://github.com/Freeyourgadget/Gadgetbridge","show")</f>
        <v>show</v>
      </c>
      <c r="F2362" t="str">
        <f>HYPERLINK("https://github.com/Freeyourgadget/Gadgetbridge/releases","show")</f>
        <v>show</v>
      </c>
    </row>
    <row r="2363" spans="1:6">
      <c r="A2363" t="s">
        <v>7067</v>
      </c>
      <c r="B2363" t="s">
        <v>7068</v>
      </c>
      <c r="C2363" t="s">
        <v>7069</v>
      </c>
      <c r="D2363" t="str">
        <f>HYPERLINK("https://github.com/OneBusAway/onebusaway-android/issues/749","show")</f>
        <v>show</v>
      </c>
      <c r="E2363" t="str">
        <f>HYPERLINK("https://github.com/OneBusAway/onebusaway-android","show")</f>
        <v>show</v>
      </c>
      <c r="F2363" t="str">
        <f>HYPERLINK("https://github.com/OneBusAway/onebusaway-android/releases","show")</f>
        <v>show</v>
      </c>
    </row>
    <row r="2364" spans="1:6">
      <c r="A2364" t="s">
        <v>7070</v>
      </c>
      <c r="B2364" t="s">
        <v>7071</v>
      </c>
      <c r="C2364" t="s">
        <v>7072</v>
      </c>
      <c r="D2364" t="str">
        <f>HYPERLINK("https://github.com/niclabs/adkintunmobile-androidclient/issues/160","show")</f>
        <v>show</v>
      </c>
      <c r="E2364" t="str">
        <f>HYPERLINK("https://github.com/niclabs/adkintunmobile-androidclient","show")</f>
        <v>show</v>
      </c>
      <c r="F2364" t="str">
        <f>HYPERLINK("https://github.com/niclabs/adkintunmobile-androidclient/releases","show")</f>
        <v>show</v>
      </c>
    </row>
    <row r="2365" spans="1:6">
      <c r="A2365" t="s">
        <v>7073</v>
      </c>
      <c r="B2365" t="s">
        <v>7074</v>
      </c>
      <c r="C2365" t="s">
        <v>7075</v>
      </c>
      <c r="D2365" t="str">
        <f>HYPERLINK("https://github.com/DigitalCampus/oppia-mobile-android/issues/610","show")</f>
        <v>show</v>
      </c>
      <c r="E2365" t="str">
        <f>HYPERLINK("https://github.com/DigitalCampus/oppia-mobile-android","show")</f>
        <v>show</v>
      </c>
      <c r="F2365" t="str">
        <f>HYPERLINK("https://github.com/DigitalCampus/oppia-mobile-android/releases","show")</f>
        <v>show</v>
      </c>
    </row>
    <row r="2366" spans="1:6">
      <c r="A2366" t="s">
        <v>7076</v>
      </c>
      <c r="B2366" t="s">
        <v>7077</v>
      </c>
      <c r="C2366" t="s">
        <v>7078</v>
      </c>
      <c r="D2366" t="str">
        <f>HYPERLINK("https://github.com/alexkats/Space-Arcade/issues/22","show")</f>
        <v>show</v>
      </c>
      <c r="E2366" t="str">
        <f>HYPERLINK("https://github.com/alexkats/Space-Arcade","show")</f>
        <v>show</v>
      </c>
      <c r="F2366" t="str">
        <f>HYPERLINK("https://github.com/alexkats/Space-Arcade/releases","show")</f>
        <v>show</v>
      </c>
    </row>
    <row r="2367" spans="1:6">
      <c r="A2367" t="s">
        <v>7079</v>
      </c>
      <c r="B2367" t="s">
        <v>7080</v>
      </c>
      <c r="C2367" t="s">
        <v>7081</v>
      </c>
      <c r="D2367" t="str">
        <f>HYPERLINK("https://github.com/praekeltfoundation/gem-bbb-indo/issues/515","show")</f>
        <v>show</v>
      </c>
      <c r="E2367" t="str">
        <f>HYPERLINK("https://github.com/praekeltfoundation/gem-bbb-indo","show")</f>
        <v>show</v>
      </c>
      <c r="F2367" t="str">
        <f>HYPERLINK("https://github.com/praekeltfoundation/gem-bbb-indo/releases","show")</f>
        <v>show</v>
      </c>
    </row>
    <row r="2368" spans="1:6">
      <c r="A2368" t="s">
        <v>7082</v>
      </c>
      <c r="B2368" t="s">
        <v>7083</v>
      </c>
      <c r="C2368" t="s">
        <v>7084</v>
      </c>
      <c r="D2368" t="str">
        <f>HYPERLINK("https://github.com/praekeltfoundation/gem-bbb-indo/issues/513","show")</f>
        <v>show</v>
      </c>
      <c r="E2368" t="str">
        <f>HYPERLINK("https://github.com/praekeltfoundation/gem-bbb-indo","show")</f>
        <v>show</v>
      </c>
      <c r="F2368" t="str">
        <f>HYPERLINK("https://github.com/praekeltfoundation/gem-bbb-indo/releases","show")</f>
        <v>show</v>
      </c>
    </row>
    <row r="2369" spans="1:6">
      <c r="A2369" t="s">
        <v>7085</v>
      </c>
      <c r="B2369" t="s">
        <v>7086</v>
      </c>
      <c r="C2369" t="s">
        <v>7087</v>
      </c>
      <c r="D2369" t="str">
        <f>HYPERLINK("https://github.com/Fleker/CumulusTV/issues/253","show")</f>
        <v>show</v>
      </c>
      <c r="E2369" t="str">
        <f>HYPERLINK("https://github.com/Fleker/CumulusTV","show")</f>
        <v>show</v>
      </c>
      <c r="F2369" t="str">
        <f>HYPERLINK("https://github.com/Fleker/CumulusTV/releases","show")</f>
        <v>show</v>
      </c>
    </row>
    <row r="2370" spans="1:6">
      <c r="A2370" t="s">
        <v>7088</v>
      </c>
      <c r="B2370" t="s">
        <v>7089</v>
      </c>
      <c r="C2370" t="s">
        <v>7090</v>
      </c>
      <c r="D2370" t="str">
        <f>HYPERLINK("https://github.com/HRVBand/hrv-band/issues/116","show")</f>
        <v>show</v>
      </c>
      <c r="E2370" t="str">
        <f>HYPERLINK("https://github.com/HRVBand/hrv-band","show")</f>
        <v>show</v>
      </c>
      <c r="F2370" t="str">
        <f>HYPERLINK("https://github.com/HRVBand/hrv-band/releases","show")</f>
        <v>show</v>
      </c>
    </row>
    <row r="2371" spans="1:6">
      <c r="A2371" t="s">
        <v>7091</v>
      </c>
      <c r="B2371" t="s">
        <v>7092</v>
      </c>
      <c r="C2371" t="s">
        <v>7093</v>
      </c>
      <c r="D2371" t="str">
        <f>HYPERLINK("https://github.com/tpb1908/AndroidProjectsClient/issues/85","show")</f>
        <v>show</v>
      </c>
      <c r="E2371" t="str">
        <f>HYPERLINK("https://github.com/tpb1908/AndroidProjectsClient","show")</f>
        <v>show</v>
      </c>
      <c r="F2371" t="str">
        <f>HYPERLINK("https://github.com/tpb1908/AndroidProjectsClient/releases","show")</f>
        <v>show</v>
      </c>
    </row>
    <row r="2372" spans="1:6">
      <c r="A2372" t="s">
        <v>7094</v>
      </c>
      <c r="B2372" t="s">
        <v>7095</v>
      </c>
      <c r="C2372" t="s">
        <v>7096</v>
      </c>
      <c r="D2372" t="str">
        <f>HYPERLINK("https://github.com/Criptext/Monkey-Chat-Android/issues/93","show")</f>
        <v>show</v>
      </c>
      <c r="E2372" t="str">
        <f>HYPERLINK("https://github.com/Criptext/Monkey-Chat-Android","show")</f>
        <v>show</v>
      </c>
      <c r="F2372" t="str">
        <f>HYPERLINK("https://github.com/Criptext/Monkey-Chat-Android/releases","show")</f>
        <v>show</v>
      </c>
    </row>
    <row r="2373" spans="1:6">
      <c r="A2373" t="s">
        <v>7097</v>
      </c>
      <c r="B2373" t="s">
        <v>7098</v>
      </c>
      <c r="C2373" t="s">
        <v>7099</v>
      </c>
      <c r="D2373" t="str">
        <f>HYPERLINK("https://github.com/open-keychain/open-keychain/issues/2033","show")</f>
        <v>show</v>
      </c>
      <c r="E2373" t="str">
        <f>HYPERLINK("https://github.com/open-keychain/open-keychain","show")</f>
        <v>show</v>
      </c>
      <c r="F2373" t="str">
        <f>HYPERLINK("https://github.com/open-keychain/open-keychain/releases","show")</f>
        <v>show</v>
      </c>
    </row>
    <row r="2374" spans="1:6">
      <c r="A2374" t="s">
        <v>7100</v>
      </c>
      <c r="B2374" t="s">
        <v>7101</v>
      </c>
      <c r="C2374" t="s">
        <v>7102</v>
      </c>
      <c r="D2374" t="str">
        <f>HYPERLINK("https://github.com/niclabs/adkintunmobile-androidclient/issues/161","show")</f>
        <v>show</v>
      </c>
      <c r="E2374" t="str">
        <f>HYPERLINK("https://github.com/niclabs/adkintunmobile-androidclient","show")</f>
        <v>show</v>
      </c>
      <c r="F2374" t="str">
        <f>HYPERLINK("https://github.com/niclabs/adkintunmobile-androidclient/releases","show")</f>
        <v>show</v>
      </c>
    </row>
    <row r="2375" spans="1:6">
      <c r="A2375" t="s">
        <v>7103</v>
      </c>
      <c r="B2375" t="s">
        <v>7104</v>
      </c>
      <c r="C2375" t="s">
        <v>7105</v>
      </c>
      <c r="D2375" t="str">
        <f>HYPERLINK("https://github.com/scottyab/rootbeer/issues/35","show")</f>
        <v>show</v>
      </c>
      <c r="E2375" t="str">
        <f>HYPERLINK("https://github.com/scottyab/rootbeer","show")</f>
        <v>show</v>
      </c>
      <c r="F2375" t="str">
        <f>HYPERLINK("https://github.com/scottyab/rootbeer/releases","show")</f>
        <v>show</v>
      </c>
    </row>
    <row r="2376" spans="1:6">
      <c r="A2376" t="s">
        <v>7106</v>
      </c>
      <c r="B2376" t="s">
        <v>7107</v>
      </c>
      <c r="C2376" t="s">
        <v>7108</v>
      </c>
      <c r="D2376" t="str">
        <f>HYPERLINK("https://github.com/nextcloud/android/issues/617","show")</f>
        <v>show</v>
      </c>
      <c r="E2376" t="str">
        <f>HYPERLINK("https://github.com/nextcloud/android","show")</f>
        <v>show</v>
      </c>
      <c r="F2376" t="str">
        <f>HYPERLINK("https://github.com/nextcloud/android/releases","show")</f>
        <v>show</v>
      </c>
    </row>
    <row r="2377" spans="1:6">
      <c r="A2377" t="s">
        <v>7109</v>
      </c>
      <c r="B2377" t="s">
        <v>7110</v>
      </c>
      <c r="C2377" t="s">
        <v>7111</v>
      </c>
      <c r="D2377" t="str">
        <f>HYPERLINK("https://github.com/5calls/android/issues/25","show")</f>
        <v>show</v>
      </c>
      <c r="E2377" t="str">
        <f>HYPERLINK("https://github.com/5calls/android","show")</f>
        <v>show</v>
      </c>
      <c r="F2377" t="str">
        <f>HYPERLINK("https://github.com/5calls/android/releases","show")</f>
        <v>show</v>
      </c>
    </row>
    <row r="2378" spans="1:6">
      <c r="A2378" t="s">
        <v>7112</v>
      </c>
      <c r="B2378" t="s">
        <v>7113</v>
      </c>
      <c r="C2378" t="s">
        <v>7114</v>
      </c>
      <c r="D2378" t="str">
        <f>HYPERLINK("https://github.com/niclabs/adkintunmobile-androidclient/issues/163","show")</f>
        <v>show</v>
      </c>
      <c r="E2378" t="str">
        <f>HYPERLINK("https://github.com/niclabs/adkintunmobile-androidclient","show")</f>
        <v>show</v>
      </c>
      <c r="F2378" t="str">
        <f>HYPERLINK("https://github.com/niclabs/adkintunmobile-androidclient/releases","show")</f>
        <v>show</v>
      </c>
    </row>
    <row r="2379" spans="1:6">
      <c r="A2379" t="s">
        <v>7115</v>
      </c>
      <c r="B2379" t="s">
        <v>4460</v>
      </c>
      <c r="C2379" t="s">
        <v>7116</v>
      </c>
      <c r="D2379" t="str">
        <f>HYPERLINK("https://github.com/niclabs/adkintunmobile-androidclient/issues/162","show")</f>
        <v>show</v>
      </c>
      <c r="E2379" t="str">
        <f>HYPERLINK("https://github.com/niclabs/adkintunmobile-androidclient","show")</f>
        <v>show</v>
      </c>
      <c r="F2379" t="str">
        <f>HYPERLINK("https://github.com/niclabs/adkintunmobile-androidclient/releases","show")</f>
        <v>show</v>
      </c>
    </row>
    <row r="2380" spans="1:6">
      <c r="A2380" t="s">
        <v>7117</v>
      </c>
      <c r="B2380" t="s">
        <v>7118</v>
      </c>
      <c r="C2380" t="s">
        <v>7119</v>
      </c>
      <c r="D2380" t="str">
        <f>HYPERLINK("https://github.com/jaychang0917/SimpleRecyclerView/issues/1","show")</f>
        <v>show</v>
      </c>
      <c r="E2380" t="str">
        <f>HYPERLINK("https://github.com/jaychang0917/SimpleRecyclerView","show")</f>
        <v>show</v>
      </c>
      <c r="F2380" t="str">
        <f>HYPERLINK("https://github.com/jaychang0917/SimpleRecyclerView/releases","show")</f>
        <v>show</v>
      </c>
    </row>
    <row r="2381" spans="1:6">
      <c r="A2381" t="s">
        <v>7120</v>
      </c>
      <c r="B2381" t="s">
        <v>7121</v>
      </c>
      <c r="C2381" t="s">
        <v>7122</v>
      </c>
      <c r="D2381" t="str">
        <f>HYPERLINK("https://github.com/deltachat/deltachat-android/issues/26","show")</f>
        <v>show</v>
      </c>
      <c r="E2381" t="str">
        <f>HYPERLINK("https://github.com/deltachat/deltachat-android","show")</f>
        <v>show</v>
      </c>
      <c r="F2381" t="str">
        <f>HYPERLINK("https://github.com/deltachat/deltachat-android/releases","show")</f>
        <v>show</v>
      </c>
    </row>
    <row r="2382" spans="1:6">
      <c r="A2382" t="s">
        <v>7123</v>
      </c>
      <c r="B2382" t="s">
        <v>7124</v>
      </c>
      <c r="C2382" t="s">
        <v>7125</v>
      </c>
      <c r="D2382" t="str">
        <f>HYPERLINK("https://github.com/Cloudkibo/Android/issues/490","show")</f>
        <v>show</v>
      </c>
      <c r="E2382" t="str">
        <f>HYPERLINK("https://github.com/Cloudkibo/Android","show")</f>
        <v>show</v>
      </c>
      <c r="F2382" t="str">
        <f>HYPERLINK("https://github.com/Cloudkibo/Android/releases","show")</f>
        <v>show</v>
      </c>
    </row>
    <row r="2383" spans="1:6">
      <c r="A2383" t="s">
        <v>7126</v>
      </c>
      <c r="B2383" t="s">
        <v>7127</v>
      </c>
      <c r="C2383" t="s">
        <v>7128</v>
      </c>
      <c r="D2383" t="str">
        <f>HYPERLINK("https://github.com/Cloudkibo/Android/issues/489","show")</f>
        <v>show</v>
      </c>
      <c r="E2383" t="str">
        <f>HYPERLINK("https://github.com/Cloudkibo/Android","show")</f>
        <v>show</v>
      </c>
      <c r="F2383" t="str">
        <f>HYPERLINK("https://github.com/Cloudkibo/Android/releases","show")</f>
        <v>show</v>
      </c>
    </row>
    <row r="2384" spans="1:6">
      <c r="A2384" t="s">
        <v>7129</v>
      </c>
      <c r="B2384" t="s">
        <v>7130</v>
      </c>
      <c r="C2384" t="s">
        <v>7131</v>
      </c>
      <c r="D2384" t="str">
        <f>HYPERLINK("https://github.com/cgeo/cgeo/issues/6301","show")</f>
        <v>show</v>
      </c>
      <c r="E2384" t="str">
        <f>HYPERLINK("https://github.com/cgeo/cgeo","show")</f>
        <v>show</v>
      </c>
      <c r="F2384" t="str">
        <f>HYPERLINK("https://github.com/cgeo/cgeo/releases","show")</f>
        <v>show</v>
      </c>
    </row>
    <row r="2385" spans="1:6">
      <c r="A2385" t="s">
        <v>7132</v>
      </c>
      <c r="B2385" t="s">
        <v>7133</v>
      </c>
      <c r="C2385" t="s">
        <v>7134</v>
      </c>
      <c r="D2385" t="str">
        <f>HYPERLINK("https://github.com/react-native-camera/react-native-camera/issues/588","show")</f>
        <v>show</v>
      </c>
      <c r="E2385" t="str">
        <f>HYPERLINK("https://github.com/react-native-camera/react-native-camera","show")</f>
        <v>show</v>
      </c>
      <c r="F2385" t="str">
        <f>HYPERLINK("https://github.com/react-native-camera/react-native-camera/releases","show")</f>
        <v>show</v>
      </c>
    </row>
    <row r="2386" spans="1:6">
      <c r="A2386" t="s">
        <v>7135</v>
      </c>
      <c r="B2386" t="s">
        <v>7136</v>
      </c>
      <c r="C2386" t="s">
        <v>7137</v>
      </c>
      <c r="D2386" t="str">
        <f>HYPERLINK("https://github.com/flowupio/FlowUpAndroidSDK/issues/182","show")</f>
        <v>show</v>
      </c>
      <c r="E2386" t="str">
        <f>HYPERLINK("https://github.com/flowupio/FlowUpAndroidSDK","show")</f>
        <v>show</v>
      </c>
      <c r="F2386" t="str">
        <f>HYPERLINK("https://github.com/flowupio/FlowUpAndroidSDK/releases","show")</f>
        <v>show</v>
      </c>
    </row>
    <row r="2387" spans="1:6">
      <c r="A2387" t="s">
        <v>7138</v>
      </c>
      <c r="B2387" t="s">
        <v>7139</v>
      </c>
      <c r="C2387" t="s">
        <v>7140</v>
      </c>
      <c r="D2387" t="str">
        <f>HYPERLINK("https://github.com/TedaLIEz/ParsingPlayer/issues/2","show")</f>
        <v>show</v>
      </c>
      <c r="E2387" t="str">
        <f>HYPERLINK("https://github.com/TedaLIEz/ParsingPlayer","show")</f>
        <v>show</v>
      </c>
      <c r="F2387" t="str">
        <f>HYPERLINK("https://github.com/TedaLIEz/ParsingPlayer/releases","show")</f>
        <v>show</v>
      </c>
    </row>
    <row r="2388" spans="1:6">
      <c r="A2388" t="s">
        <v>7141</v>
      </c>
      <c r="B2388" t="s">
        <v>7142</v>
      </c>
      <c r="C2388" t="s">
        <v>7143</v>
      </c>
      <c r="D2388" t="str">
        <f>HYPERLINK("https://github.com/DSpotDevelopers/declex/issues/58","show")</f>
        <v>show</v>
      </c>
      <c r="E2388" t="str">
        <f>HYPERLINK("https://github.com/DSpotDevelopers/declex","show")</f>
        <v>show</v>
      </c>
      <c r="F2388" t="str">
        <f>HYPERLINK("https://github.com/DSpotDevelopers/declex/releases","show")</f>
        <v>show</v>
      </c>
    </row>
    <row r="2389" spans="1:6">
      <c r="A2389" t="s">
        <v>7144</v>
      </c>
      <c r="B2389" t="s">
        <v>7145</v>
      </c>
      <c r="C2389" t="s">
        <v>7146</v>
      </c>
      <c r="D2389" t="str">
        <f>HYPERLINK("https://github.com/DSpotDevelopers/declex/issues/57","show")</f>
        <v>show</v>
      </c>
      <c r="E2389" t="str">
        <f>HYPERLINK("https://github.com/DSpotDevelopers/declex","show")</f>
        <v>show</v>
      </c>
      <c r="F2389" t="str">
        <f>HYPERLINK("https://github.com/DSpotDevelopers/declex/releases","show")</f>
        <v>show</v>
      </c>
    </row>
    <row r="2390" spans="1:6">
      <c r="A2390" t="s">
        <v>7147</v>
      </c>
      <c r="B2390" t="s">
        <v>7148</v>
      </c>
      <c r="C2390" t="s">
        <v>7149</v>
      </c>
      <c r="D2390" t="str">
        <f>HYPERLINK("https://github.com/open-keychain/open-keychain/issues/2042","show")</f>
        <v>show</v>
      </c>
      <c r="E2390" t="str">
        <f>HYPERLINK("https://github.com/open-keychain/open-keychain","show")</f>
        <v>show</v>
      </c>
      <c r="F2390" t="str">
        <f>HYPERLINK("https://github.com/open-keychain/open-keychain/releases","show")</f>
        <v>show</v>
      </c>
    </row>
    <row r="2391" spans="1:6">
      <c r="A2391" t="s">
        <v>7150</v>
      </c>
      <c r="B2391" t="s">
        <v>7151</v>
      </c>
      <c r="C2391" t="s">
        <v>7152</v>
      </c>
      <c r="D2391" t="str">
        <f>HYPERLINK("https://github.com/yigit/android-priority-jobqueue/issues/314","show")</f>
        <v>show</v>
      </c>
      <c r="E2391" t="str">
        <f>HYPERLINK("https://github.com/yigit/android-priority-jobqueue","show")</f>
        <v>show</v>
      </c>
      <c r="F2391" t="str">
        <f>HYPERLINK("https://github.com/yigit/android-priority-jobqueue/releases","show")</f>
        <v>show</v>
      </c>
    </row>
    <row r="2392" spans="1:6">
      <c r="A2392" t="s">
        <v>7153</v>
      </c>
      <c r="B2392" t="s">
        <v>7154</v>
      </c>
      <c r="C2392" t="s">
        <v>7155</v>
      </c>
      <c r="D2392" t="str">
        <f>HYPERLINK("https://github.com/sonicmax/eti-app/issues/36","show")</f>
        <v>show</v>
      </c>
      <c r="E2392" t="str">
        <f>HYPERLINK("https://github.com/sonicmax/eti-app","show")</f>
        <v>show</v>
      </c>
      <c r="F2392" t="str">
        <f>HYPERLINK("https://github.com/sonicmax/eti-app/releases","show")</f>
        <v>show</v>
      </c>
    </row>
    <row r="2393" spans="1:6">
      <c r="A2393" t="s">
        <v>7156</v>
      </c>
      <c r="B2393" t="s">
        <v>7157</v>
      </c>
      <c r="C2393" t="s">
        <v>7158</v>
      </c>
      <c r="D2393" t="str">
        <f>HYPERLINK("https://github.com/f2prateek/dart/issues/150","show")</f>
        <v>show</v>
      </c>
      <c r="E2393" t="str">
        <f>HYPERLINK("https://github.com/f2prateek/dart","show")</f>
        <v>show</v>
      </c>
      <c r="F2393" t="str">
        <f>HYPERLINK("https://github.com/f2prateek/dart/releases","show")</f>
        <v>show</v>
      </c>
    </row>
    <row r="2394" spans="1:6">
      <c r="A2394" t="s">
        <v>7159</v>
      </c>
      <c r="B2394" t="s">
        <v>7160</v>
      </c>
      <c r="C2394" t="s">
        <v>7161</v>
      </c>
      <c r="D2394" t="str">
        <f>HYPERLINK("https://github.com/ForstaLabs/relay/issues/12","show")</f>
        <v>show</v>
      </c>
      <c r="E2394" t="str">
        <f>HYPERLINK("https://github.com/ForstaLabs/relay","show")</f>
        <v>show</v>
      </c>
      <c r="F2394" t="str">
        <f>HYPERLINK("https://github.com/ForstaLabs/relay/releases","show")</f>
        <v>show</v>
      </c>
    </row>
    <row r="2395" spans="1:6">
      <c r="A2395" t="s">
        <v>7162</v>
      </c>
      <c r="B2395" t="s">
        <v>7163</v>
      </c>
      <c r="C2395" t="s">
        <v>7164</v>
      </c>
      <c r="D2395" t="str">
        <f>HYPERLINK("https://github.com/Karumi/Rosie/issues/84","show")</f>
        <v>show</v>
      </c>
      <c r="E2395" t="str">
        <f>HYPERLINK("https://github.com/Karumi/Rosie","show")</f>
        <v>show</v>
      </c>
      <c r="F2395" t="str">
        <f>HYPERLINK("https://github.com/Karumi/Rosie/releases","show")</f>
        <v>show</v>
      </c>
    </row>
    <row r="2396" spans="1:6">
      <c r="A2396" t="s">
        <v>7165</v>
      </c>
      <c r="B2396" t="s">
        <v>7166</v>
      </c>
      <c r="C2396" t="s">
        <v>7167</v>
      </c>
      <c r="D2396" t="str">
        <f>HYPERLINK("https://github.com/nextcloud/news-android/issues/553","show")</f>
        <v>show</v>
      </c>
      <c r="E2396" t="str">
        <f>HYPERLINK("https://github.com/nextcloud/news-android","show")</f>
        <v>show</v>
      </c>
      <c r="F2396" t="str">
        <f>HYPERLINK("https://github.com/nextcloud/news-android/releases","show")</f>
        <v>show</v>
      </c>
    </row>
    <row r="2397" spans="1:6">
      <c r="A2397" t="s">
        <v>7168</v>
      </c>
      <c r="B2397" t="s">
        <v>7169</v>
      </c>
      <c r="C2397" t="s">
        <v>7170</v>
      </c>
      <c r="D2397" t="str">
        <f>HYPERLINK("https://github.com/mvysny/aedict/issues/727","show")</f>
        <v>show</v>
      </c>
      <c r="E2397" t="str">
        <f>HYPERLINK("https://github.com/mvysny/aedict","show")</f>
        <v>show</v>
      </c>
      <c r="F2397" t="str">
        <f>HYPERLINK("https://github.com/mvysny/aedict/releases","show")</f>
        <v>show</v>
      </c>
    </row>
    <row r="2398" spans="1:6">
      <c r="A2398" t="s">
        <v>7171</v>
      </c>
      <c r="B2398" t="s">
        <v>7172</v>
      </c>
      <c r="C2398" t="s">
        <v>7173</v>
      </c>
      <c r="D2398" t="str">
        <f>HYPERLINK("https://github.com/open-keychain/open-keychain/issues/2044","show")</f>
        <v>show</v>
      </c>
      <c r="E2398" t="str">
        <f>HYPERLINK("https://github.com/open-keychain/open-keychain","show")</f>
        <v>show</v>
      </c>
      <c r="F2398" t="str">
        <f>HYPERLINK("https://github.com/open-keychain/open-keychain/releases","show")</f>
        <v>show</v>
      </c>
    </row>
    <row r="2399" spans="1:6">
      <c r="A2399" t="s">
        <v>7174</v>
      </c>
      <c r="B2399" t="s">
        <v>7175</v>
      </c>
      <c r="C2399" t="s">
        <v>7176</v>
      </c>
      <c r="D2399" t="str">
        <f>HYPERLINK("https://github.com/flowupio/FlowUpAndroidSDK/issues/183","show")</f>
        <v>show</v>
      </c>
      <c r="E2399" t="str">
        <f>HYPERLINK("https://github.com/flowupio/FlowUpAndroidSDK","show")</f>
        <v>show</v>
      </c>
      <c r="F2399" t="str">
        <f>HYPERLINK("https://github.com/flowupio/FlowUpAndroidSDK/releases","show")</f>
        <v>show</v>
      </c>
    </row>
    <row r="2400" spans="1:6">
      <c r="A2400" t="s">
        <v>7177</v>
      </c>
      <c r="B2400" t="s">
        <v>4460</v>
      </c>
      <c r="C2400" t="s">
        <v>7178</v>
      </c>
      <c r="D2400" t="str">
        <f>HYPERLINK("https://github.com/tanrabad/survey/issues/16","show")</f>
        <v>show</v>
      </c>
      <c r="E2400" t="str">
        <f>HYPERLINK("https://github.com/tanrabad/survey","show")</f>
        <v>show</v>
      </c>
      <c r="F2400" t="str">
        <f>HYPERLINK("https://github.com/tanrabad/survey/releases","show")</f>
        <v>show</v>
      </c>
    </row>
    <row r="2401" spans="1:6">
      <c r="A2401" t="s">
        <v>7179</v>
      </c>
      <c r="B2401" t="s">
        <v>7180</v>
      </c>
      <c r="C2401" t="s">
        <v>7181</v>
      </c>
      <c r="D2401" t="str">
        <f>HYPERLINK("https://github.com/andresth/Kandroid/issues/2","show")</f>
        <v>show</v>
      </c>
      <c r="E2401" t="str">
        <f>HYPERLINK("https://github.com/andresth/Kandroid","show")</f>
        <v>show</v>
      </c>
      <c r="F2401" t="str">
        <f>HYPERLINK("https://github.com/andresth/Kandroid/releases","show")</f>
        <v>show</v>
      </c>
    </row>
    <row r="2402" spans="1:6">
      <c r="A2402" t="s">
        <v>7182</v>
      </c>
      <c r="B2402" t="s">
        <v>7183</v>
      </c>
      <c r="C2402" t="s">
        <v>7184</v>
      </c>
      <c r="D2402" t="str">
        <f>HYPERLINK("https://github.com/requery/requery/issues/429","show")</f>
        <v>show</v>
      </c>
      <c r="E2402" t="str">
        <f>HYPERLINK("https://github.com/requery/requery","show")</f>
        <v>show</v>
      </c>
      <c r="F2402" t="str">
        <f>HYPERLINK("https://github.com/requery/requery/releases","show")</f>
        <v>show</v>
      </c>
    </row>
    <row r="2403" spans="1:6">
      <c r="A2403" t="s">
        <v>7185</v>
      </c>
      <c r="B2403" t="s">
        <v>7186</v>
      </c>
      <c r="C2403" t="s">
        <v>7187</v>
      </c>
      <c r="D2403" t="str">
        <f>HYPERLINK("https://github.com/Ereza/CustomActivityOnCrash/issues/29","show")</f>
        <v>show</v>
      </c>
      <c r="E2403" t="str">
        <f>HYPERLINK("https://github.com/Ereza/CustomActivityOnCrash","show")</f>
        <v>show</v>
      </c>
      <c r="F2403" t="str">
        <f>HYPERLINK("https://github.com/Ereza/CustomActivityOnCrash/releases","show")</f>
        <v>show</v>
      </c>
    </row>
    <row r="2404" spans="1:6">
      <c r="A2404" t="s">
        <v>7188</v>
      </c>
      <c r="B2404" t="s">
        <v>7189</v>
      </c>
      <c r="C2404" t="s">
        <v>7190</v>
      </c>
      <c r="D2404" t="str">
        <f>HYPERLINK("https://github.com/k9mail/k-9/issues/2225","show")</f>
        <v>show</v>
      </c>
      <c r="E2404" t="str">
        <f>HYPERLINK("https://github.com/k9mail/k-9","show")</f>
        <v>show</v>
      </c>
      <c r="F2404" t="str">
        <f>HYPERLINK("https://github.com/k9mail/k-9/releases","show")</f>
        <v>show</v>
      </c>
    </row>
    <row r="2405" spans="1:6">
      <c r="A2405" t="s">
        <v>7191</v>
      </c>
      <c r="B2405" t="s">
        <v>7192</v>
      </c>
      <c r="C2405" t="s">
        <v>7193</v>
      </c>
      <c r="D2405" t="str">
        <f>HYPERLINK("https://github.com/stefan-niedermann/nextcloud-notes/issues/177","show")</f>
        <v>show</v>
      </c>
      <c r="E2405" t="str">
        <f>HYPERLINK("https://github.com/stefan-niedermann/nextcloud-notes","show")</f>
        <v>show</v>
      </c>
      <c r="F2405" t="str">
        <f>HYPERLINK("https://github.com/stefan-niedermann/nextcloud-notes/releases","show")</f>
        <v>show</v>
      </c>
    </row>
    <row r="2406" spans="1:6">
      <c r="A2406" t="s">
        <v>7194</v>
      </c>
      <c r="B2406" t="s">
        <v>7192</v>
      </c>
      <c r="C2406" t="s">
        <v>7195</v>
      </c>
      <c r="D2406" t="str">
        <f>HYPERLINK("https://github.com/try2codesecure/ShellMS/issues/14","show")</f>
        <v>show</v>
      </c>
      <c r="E2406" t="str">
        <f>HYPERLINK("https://github.com/try2codesecure/ShellMS","show")</f>
        <v>show</v>
      </c>
      <c r="F2406" t="str">
        <f>HYPERLINK("https://github.com/try2codesecure/ShellMS/releases","show")</f>
        <v>show</v>
      </c>
    </row>
    <row r="2407" spans="1:6">
      <c r="A2407" t="s">
        <v>7196</v>
      </c>
      <c r="B2407" t="s">
        <v>7197</v>
      </c>
      <c r="C2407" t="s">
        <v>7198</v>
      </c>
      <c r="D2407" t="str">
        <f>HYPERLINK("https://github.com/ScreamingHawk/android-slideshow/issues/18","show")</f>
        <v>show</v>
      </c>
      <c r="E2407" t="str">
        <f>HYPERLINK("https://github.com/ScreamingHawk/android-slideshow","show")</f>
        <v>show</v>
      </c>
      <c r="F2407" t="str">
        <f>HYPERLINK("https://github.com/ScreamingHawk/android-slideshow/releases","show")</f>
        <v>show</v>
      </c>
    </row>
    <row r="2408" spans="1:6">
      <c r="A2408" t="s">
        <v>7199</v>
      </c>
      <c r="B2408" t="s">
        <v>7200</v>
      </c>
      <c r="C2408" t="s">
        <v>7201</v>
      </c>
      <c r="D2408" t="str">
        <f>HYPERLINK("https://github.com/tpb1908/AndroidProjectsClient/issues/103","show")</f>
        <v>show</v>
      </c>
      <c r="E2408" t="str">
        <f>HYPERLINK("https://github.com/tpb1908/AndroidProjectsClient","show")</f>
        <v>show</v>
      </c>
      <c r="F2408" t="str">
        <f>HYPERLINK("https://github.com/tpb1908/AndroidProjectsClient/releases","show")</f>
        <v>show</v>
      </c>
    </row>
    <row r="2409" spans="1:6">
      <c r="A2409" t="s">
        <v>7202</v>
      </c>
      <c r="B2409" t="s">
        <v>7203</v>
      </c>
      <c r="C2409" t="s">
        <v>7204</v>
      </c>
      <c r="D2409" t="str">
        <f>HYPERLINK("https://github.com/cgeo/cgeo/issues/6318","show")</f>
        <v>show</v>
      </c>
      <c r="E2409" t="str">
        <f>HYPERLINK("https://github.com/cgeo/cgeo","show")</f>
        <v>show</v>
      </c>
      <c r="F2409" t="str">
        <f>HYPERLINK("https://github.com/cgeo/cgeo/releases","show")</f>
        <v>show</v>
      </c>
    </row>
    <row r="2410" spans="1:6">
      <c r="A2410" t="s">
        <v>7205</v>
      </c>
      <c r="B2410" t="s">
        <v>7206</v>
      </c>
      <c r="C2410" t="s">
        <v>7207</v>
      </c>
      <c r="D2410" t="str">
        <f>HYPERLINK("https://github.com/friendlyrobotnyc/TinyDancer/issues/56","show")</f>
        <v>show</v>
      </c>
      <c r="E2410" t="str">
        <f>HYPERLINK("https://github.com/friendlyrobotnyc/TinyDancer","show")</f>
        <v>show</v>
      </c>
      <c r="F2410" t="str">
        <f>HYPERLINK("https://github.com/friendlyrobotnyc/TinyDancer/releases","show")</f>
        <v>show</v>
      </c>
    </row>
    <row r="2411" spans="1:6">
      <c r="A2411" t="s">
        <v>7208</v>
      </c>
      <c r="B2411" t="s">
        <v>7209</v>
      </c>
      <c r="C2411" t="s">
        <v>7210</v>
      </c>
      <c r="D2411" t="str">
        <f>HYPERLINK("https://github.com/BelooS/ChipsLayoutManager/issues/30","show")</f>
        <v>show</v>
      </c>
      <c r="E2411" t="str">
        <f>HYPERLINK("https://github.com/BelooS/ChipsLayoutManager","show")</f>
        <v>show</v>
      </c>
      <c r="F2411" t="str">
        <f>HYPERLINK("https://github.com/BelooS/ChipsLayoutManager/releases","show")</f>
        <v>show</v>
      </c>
    </row>
    <row r="2412" spans="1:6">
      <c r="A2412" t="s">
        <v>7211</v>
      </c>
      <c r="B2412" t="s">
        <v>7212</v>
      </c>
      <c r="C2412" t="s">
        <v>7213</v>
      </c>
      <c r="D2412" t="str">
        <f>HYPERLINK("https://github.com/syncthing/syncthing-android/issues/847","show")</f>
        <v>show</v>
      </c>
      <c r="E2412" t="str">
        <f>HYPERLINK("https://github.com/syncthing/syncthing-android","show")</f>
        <v>show</v>
      </c>
      <c r="F2412" t="str">
        <f>HYPERLINK("https://github.com/syncthing/syncthing-android/releases","show")</f>
        <v>show</v>
      </c>
    </row>
    <row r="2413" spans="1:6">
      <c r="A2413" t="s">
        <v>7214</v>
      </c>
      <c r="B2413" t="s">
        <v>7215</v>
      </c>
      <c r="C2413" t="s">
        <v>7216</v>
      </c>
      <c r="D2413" t="str">
        <f>HYPERLINK("https://github.com/dariuszseweryn/RxAndroidBle/issues/135","show")</f>
        <v>show</v>
      </c>
      <c r="E2413" t="str">
        <f>HYPERLINK("https://github.com/dariuszseweryn/RxAndroidBle","show")</f>
        <v>show</v>
      </c>
      <c r="F2413" t="str">
        <f>HYPERLINK("https://github.com/dariuszseweryn/RxAndroidBle/releases","show")</f>
        <v>show</v>
      </c>
    </row>
    <row r="2414" spans="1:6">
      <c r="A2414" t="s">
        <v>7217</v>
      </c>
      <c r="B2414" t="s">
        <v>6210</v>
      </c>
      <c r="C2414" t="s">
        <v>7218</v>
      </c>
      <c r="D2414" t="str">
        <f>HYPERLINK("https://github.com/BaseballCardTracker/bbct-android/issues/411","show")</f>
        <v>show</v>
      </c>
      <c r="E2414" t="str">
        <f>HYPERLINK("https://github.com/BaseballCardTracker/bbct-android","show")</f>
        <v>show</v>
      </c>
      <c r="F2414" t="str">
        <f>HYPERLINK("https://github.com/BaseballCardTracker/bbct-android/releases","show")</f>
        <v>show</v>
      </c>
    </row>
    <row r="2415" spans="1:6">
      <c r="A2415" t="s">
        <v>7219</v>
      </c>
      <c r="B2415" t="s">
        <v>7220</v>
      </c>
      <c r="C2415" t="s">
        <v>7221</v>
      </c>
      <c r="D2415" t="str">
        <f>HYPERLINK("https://github.com/kontalk/androidclient/issues/954","show")</f>
        <v>show</v>
      </c>
      <c r="E2415" t="str">
        <f>HYPERLINK("https://github.com/kontalk/androidclient","show")</f>
        <v>show</v>
      </c>
      <c r="F2415" t="str">
        <f>HYPERLINK("https://github.com/kontalk/androidclient/releases","show")</f>
        <v>show</v>
      </c>
    </row>
    <row r="2416" spans="1:6">
      <c r="A2416" t="s">
        <v>7222</v>
      </c>
      <c r="B2416" t="s">
        <v>7223</v>
      </c>
      <c r="C2416" t="s">
        <v>7224</v>
      </c>
      <c r="D2416" t="str">
        <f>HYPERLINK("https://github.com/ForstaLabs/relay/issues/18","show")</f>
        <v>show</v>
      </c>
      <c r="E2416" t="str">
        <f>HYPERLINK("https://github.com/ForstaLabs/relay","show")</f>
        <v>show</v>
      </c>
      <c r="F2416" t="str">
        <f>HYPERLINK("https://github.com/ForstaLabs/relay/releases","show")</f>
        <v>show</v>
      </c>
    </row>
    <row r="2417" spans="1:6">
      <c r="A2417" t="s">
        <v>7225</v>
      </c>
      <c r="B2417" t="s">
        <v>7226</v>
      </c>
      <c r="C2417" t="s">
        <v>7227</v>
      </c>
      <c r="D2417" t="str">
        <f>HYPERLINK("https://github.com/florent37/CameraFragment/issues/12","show")</f>
        <v>show</v>
      </c>
      <c r="E2417" t="str">
        <f>HYPERLINK("https://github.com/florent37/CameraFragment","show")</f>
        <v>show</v>
      </c>
      <c r="F2417" t="str">
        <f>HYPERLINK("https://github.com/florent37/CameraFragment/releases","show")</f>
        <v>show</v>
      </c>
    </row>
    <row r="2418" spans="1:6">
      <c r="A2418" t="s">
        <v>7228</v>
      </c>
      <c r="B2418" t="s">
        <v>7229</v>
      </c>
      <c r="C2418" t="s">
        <v>7230</v>
      </c>
      <c r="D2418" t="str">
        <f>HYPERLINK("https://github.com/scottwainstock/pbm-android/issues/146","show")</f>
        <v>show</v>
      </c>
      <c r="E2418" t="str">
        <f>HYPERLINK("https://github.com/scottwainstock/pbm-android","show")</f>
        <v>show</v>
      </c>
      <c r="F2418" t="str">
        <f>HYPERLINK("https://github.com/scottwainstock/pbm-android/releases","show")</f>
        <v>show</v>
      </c>
    </row>
    <row r="2419" spans="1:6">
      <c r="A2419" t="s">
        <v>7231</v>
      </c>
      <c r="B2419" t="s">
        <v>7232</v>
      </c>
      <c r="C2419" t="s">
        <v>7233</v>
      </c>
      <c r="D2419" t="str">
        <f>HYPERLINK("https://github.com/fr3ts0n/AndrOBD/issues/27","show")</f>
        <v>show</v>
      </c>
      <c r="E2419" t="str">
        <f>HYPERLINK("https://github.com/fr3ts0n/AndrOBD","show")</f>
        <v>show</v>
      </c>
      <c r="F2419" t="str">
        <f>HYPERLINK("https://github.com/fr3ts0n/AndrOBD/releases","show")</f>
        <v>show</v>
      </c>
    </row>
    <row r="2420" spans="1:6">
      <c r="A2420" t="s">
        <v>7234</v>
      </c>
      <c r="B2420" t="s">
        <v>7235</v>
      </c>
      <c r="C2420" t="s">
        <v>7236</v>
      </c>
      <c r="D2420" t="str">
        <f>HYPERLINK("https://github.com/crazyhitty/Capstone-Project/issues/9","show")</f>
        <v>show</v>
      </c>
      <c r="E2420" t="str">
        <f>HYPERLINK("https://github.com/crazyhitty/Capstone-Project","show")</f>
        <v>show</v>
      </c>
      <c r="F2420" t="str">
        <f>HYPERLINK("https://github.com/crazyhitty/Capstone-Project/releases","show")</f>
        <v>show</v>
      </c>
    </row>
    <row r="2421" spans="1:6">
      <c r="A2421" t="s">
        <v>7237</v>
      </c>
      <c r="B2421" t="s">
        <v>7238</v>
      </c>
      <c r="C2421" t="s">
        <v>7239</v>
      </c>
      <c r="D2421" t="str">
        <f>HYPERLINK("https://github.com/Cloudkibo/Android/issues/499","show")</f>
        <v>show</v>
      </c>
      <c r="E2421" t="str">
        <f>HYPERLINK("https://github.com/Cloudkibo/Android","show")</f>
        <v>show</v>
      </c>
      <c r="F2421" t="str">
        <f>HYPERLINK("https://github.com/Cloudkibo/Android/releases","show")</f>
        <v>show</v>
      </c>
    </row>
    <row r="2422" spans="1:6">
      <c r="A2422" t="s">
        <v>7240</v>
      </c>
      <c r="B2422" t="s">
        <v>7241</v>
      </c>
      <c r="C2422" t="s">
        <v>7242</v>
      </c>
      <c r="D2422" t="str">
        <f>HYPERLINK("https://github.com/michael-rapp/AndroidPreferenceActivity/issues/20","show")</f>
        <v>show</v>
      </c>
      <c r="E2422" t="str">
        <f>HYPERLINK("https://github.com/michael-rapp/AndroidPreferenceActivity","show")</f>
        <v>show</v>
      </c>
      <c r="F2422" t="str">
        <f>HYPERLINK("https://github.com/michael-rapp/AndroidPreferenceActivity/releases","show")</f>
        <v>show</v>
      </c>
    </row>
    <row r="2423" spans="1:6">
      <c r="A2423" t="s">
        <v>7243</v>
      </c>
      <c r="B2423" t="s">
        <v>7244</v>
      </c>
      <c r="C2423" t="s">
        <v>7245</v>
      </c>
      <c r="D2423" t="str">
        <f>HYPERLINK("https://github.com/nextcloud/android/issues/665","show")</f>
        <v>show</v>
      </c>
      <c r="E2423" t="str">
        <f>HYPERLINK("https://github.com/nextcloud/android","show")</f>
        <v>show</v>
      </c>
      <c r="F2423" t="str">
        <f>HYPERLINK("https://github.com/nextcloud/android/releases","show")</f>
        <v>show</v>
      </c>
    </row>
    <row r="2424" spans="1:6">
      <c r="A2424" t="s">
        <v>7246</v>
      </c>
      <c r="B2424" t="s">
        <v>7247</v>
      </c>
      <c r="C2424" t="s">
        <v>7248</v>
      </c>
      <c r="D2424" t="str">
        <f>HYPERLINK("https://github.com/requery/sqlite-android/issues/35","show")</f>
        <v>show</v>
      </c>
      <c r="E2424" t="str">
        <f>HYPERLINK("https://github.com/requery/sqlite-android","show")</f>
        <v>show</v>
      </c>
      <c r="F2424" t="str">
        <f>HYPERLINK("https://github.com/requery/sqlite-android/releases","show")</f>
        <v>show</v>
      </c>
    </row>
    <row r="2425" spans="1:6">
      <c r="A2425" t="s">
        <v>7249</v>
      </c>
      <c r="B2425" t="s">
        <v>7250</v>
      </c>
      <c r="C2425" t="s">
        <v>7251</v>
      </c>
      <c r="D2425" t="str">
        <f>HYPERLINK("https://github.com/codinguser/gnucash-android/issues/654","show")</f>
        <v>show</v>
      </c>
      <c r="E2425" t="str">
        <f>HYPERLINK("https://github.com/codinguser/gnucash-android","show")</f>
        <v>show</v>
      </c>
      <c r="F2425" t="str">
        <f>HYPERLINK("https://github.com/codinguser/gnucash-android/releases","show")</f>
        <v>show</v>
      </c>
    </row>
    <row r="2426" spans="1:6">
      <c r="A2426" t="s">
        <v>7252</v>
      </c>
      <c r="B2426" t="s">
        <v>7253</v>
      </c>
      <c r="C2426" t="s">
        <v>7254</v>
      </c>
      <c r="D2426" t="str">
        <f>HYPERLINK("https://github.com/google/conscrypt/issues/97","show")</f>
        <v>show</v>
      </c>
      <c r="E2426" t="str">
        <f>HYPERLINK("https://github.com/google/conscrypt","show")</f>
        <v>show</v>
      </c>
      <c r="F2426" t="str">
        <f>HYPERLINK("https://github.com/google/conscrypt/releases","show")</f>
        <v>show</v>
      </c>
    </row>
    <row r="2427" spans="1:6">
      <c r="A2427" t="s">
        <v>7255</v>
      </c>
      <c r="B2427" t="s">
        <v>7256</v>
      </c>
      <c r="C2427" t="s">
        <v>7257</v>
      </c>
      <c r="D2427" t="str">
        <f>HYPERLINK("https://github.com/react-native-svg/react-native-svg/issues/258","show")</f>
        <v>show</v>
      </c>
      <c r="E2427" t="str">
        <f>HYPERLINK("https://github.com/react-native-svg/react-native-svg","show")</f>
        <v>show</v>
      </c>
      <c r="F2427" t="str">
        <f>HYPERLINK("https://github.com/react-native-svg/react-native-svg/releases","show")</f>
        <v>show</v>
      </c>
    </row>
    <row r="2428" spans="1:6">
      <c r="A2428" t="s">
        <v>7258</v>
      </c>
      <c r="B2428" t="s">
        <v>7259</v>
      </c>
      <c r="C2428" t="s">
        <v>7260</v>
      </c>
      <c r="D2428" t="str">
        <f>HYPERLINK("https://github.com/rodrif/RecorridasZOTP/issues/90","show")</f>
        <v>show</v>
      </c>
      <c r="E2428" t="str">
        <f>HYPERLINK("https://github.com/rodrif/RecorridasZOTP","show")</f>
        <v>show</v>
      </c>
      <c r="F2428" t="str">
        <f>HYPERLINK("https://github.com/rodrif/RecorridasZOTP/releases","show")</f>
        <v>show</v>
      </c>
    </row>
    <row r="2429" spans="1:6">
      <c r="A2429" t="s">
        <v>7261</v>
      </c>
      <c r="B2429" t="s">
        <v>7262</v>
      </c>
      <c r="C2429" t="s">
        <v>7263</v>
      </c>
      <c r="D2429" t="str">
        <f>HYPERLINK("https://github.com/Devsoc-BPGC/DoJMA/issues/52","show")</f>
        <v>show</v>
      </c>
      <c r="E2429" t="str">
        <f>HYPERLINK("https://github.com/Devsoc-BPGC/DoJMA","show")</f>
        <v>show</v>
      </c>
      <c r="F2429" t="str">
        <f>HYPERLINK("https://github.com/Devsoc-BPGC/DoJMA/releases","show")</f>
        <v>show</v>
      </c>
    </row>
    <row r="2430" spans="1:6">
      <c r="A2430" t="s">
        <v>7264</v>
      </c>
      <c r="B2430" t="s">
        <v>7265</v>
      </c>
      <c r="C2430" t="s">
        <v>7266</v>
      </c>
      <c r="D2430" t="str">
        <f>HYPERLINK("https://github.com/nextcloud/android/issues/669","show")</f>
        <v>show</v>
      </c>
      <c r="E2430" t="str">
        <f>HYPERLINK("https://github.com/nextcloud/android","show")</f>
        <v>show</v>
      </c>
      <c r="F2430" t="str">
        <f>HYPERLINK("https://github.com/nextcloud/android/releases","show")</f>
        <v>show</v>
      </c>
    </row>
    <row r="2431" spans="1:6">
      <c r="A2431" t="s">
        <v>7267</v>
      </c>
      <c r="B2431" t="s">
        <v>7268</v>
      </c>
      <c r="C2431" t="s">
        <v>7269</v>
      </c>
      <c r="D2431" t="str">
        <f>HYPERLINK("https://github.com/niclabs/adkintunmobile-androidclient/issues/164","show")</f>
        <v>show</v>
      </c>
      <c r="E2431" t="str">
        <f>HYPERLINK("https://github.com/niclabs/adkintunmobile-androidclient","show")</f>
        <v>show</v>
      </c>
      <c r="F2431" t="str">
        <f>HYPERLINK("https://github.com/niclabs/adkintunmobile-androidclient/releases","show")</f>
        <v>show</v>
      </c>
    </row>
    <row r="2432" spans="1:6">
      <c r="A2432" t="s">
        <v>7270</v>
      </c>
      <c r="B2432" t="s">
        <v>7271</v>
      </c>
      <c r="C2432" t="s">
        <v>7272</v>
      </c>
      <c r="D2432" t="str">
        <f>HYPERLINK("https://github.com/ably/ably-java/issues/309","show")</f>
        <v>show</v>
      </c>
      <c r="E2432" t="str">
        <f>HYPERLINK("https://github.com/ably/ably-java","show")</f>
        <v>show</v>
      </c>
      <c r="F2432" t="str">
        <f>HYPERLINK("https://github.com/ably/ably-java/releases","show")</f>
        <v>show</v>
      </c>
    </row>
    <row r="2433" spans="1:6">
      <c r="A2433" t="s">
        <v>7273</v>
      </c>
      <c r="B2433" t="s">
        <v>7274</v>
      </c>
      <c r="C2433" t="s">
        <v>7275</v>
      </c>
      <c r="D2433" t="str">
        <f>HYPERLINK("https://github.com/the-blue-alliance/the-blue-alliance-android/issues/805","show")</f>
        <v>show</v>
      </c>
      <c r="E2433" t="str">
        <f>HYPERLINK("https://github.com/the-blue-alliance/the-blue-alliance-android","show")</f>
        <v>show</v>
      </c>
      <c r="F2433" t="str">
        <f>HYPERLINK("https://github.com/the-blue-alliance/the-blue-alliance-android/releases","show")</f>
        <v>show</v>
      </c>
    </row>
    <row r="2434" spans="1:6">
      <c r="A2434" t="s">
        <v>7276</v>
      </c>
      <c r="B2434" t="s">
        <v>7277</v>
      </c>
      <c r="C2434" t="s">
        <v>7278</v>
      </c>
      <c r="D2434" t="str">
        <f>HYPERLINK("https://github.com/mvysny/aedict/issues/731","show")</f>
        <v>show</v>
      </c>
      <c r="E2434" t="str">
        <f>HYPERLINK("https://github.com/mvysny/aedict","show")</f>
        <v>show</v>
      </c>
      <c r="F2434" t="str">
        <f>HYPERLINK("https://github.com/mvysny/aedict/releases","show")</f>
        <v>show</v>
      </c>
    </row>
    <row r="2435" spans="1:6">
      <c r="A2435" t="s">
        <v>7279</v>
      </c>
      <c r="B2435" t="s">
        <v>7280</v>
      </c>
      <c r="C2435" t="s">
        <v>7281</v>
      </c>
      <c r="D2435" t="str">
        <f>HYPERLINK("https://github.com/square/okhttp/issues/3171","show")</f>
        <v>show</v>
      </c>
      <c r="E2435" t="str">
        <f>HYPERLINK("https://github.com/square/okhttp","show")</f>
        <v>show</v>
      </c>
      <c r="F2435" t="str">
        <f>HYPERLINK("https://github.com/square/okhttp/releases","show")</f>
        <v>show</v>
      </c>
    </row>
    <row r="2436" spans="1:6">
      <c r="A2436" t="s">
        <v>7282</v>
      </c>
      <c r="B2436" t="s">
        <v>7283</v>
      </c>
      <c r="C2436" t="s">
        <v>7284</v>
      </c>
      <c r="D2436" t="str">
        <f>HYPERLINK("https://github.com/Etar-Group/Etar-Calendar/issues/176","show")</f>
        <v>show</v>
      </c>
      <c r="E2436" t="str">
        <f>HYPERLINK("https://github.com/Etar-Group/Etar-Calendar","show")</f>
        <v>show</v>
      </c>
      <c r="F2436" t="str">
        <f>HYPERLINK("https://github.com/Etar-Group/Etar-Calendar/releases","show")</f>
        <v>show</v>
      </c>
    </row>
    <row r="2437" spans="1:6">
      <c r="A2437" t="s">
        <v>7285</v>
      </c>
      <c r="B2437" t="s">
        <v>7286</v>
      </c>
      <c r="C2437" t="s">
        <v>7287</v>
      </c>
      <c r="D2437" t="str">
        <f>HYPERLINK("https://github.com/twilio/video-quickstart-android/issues/61","show")</f>
        <v>show</v>
      </c>
      <c r="E2437" t="str">
        <f>HYPERLINK("https://github.com/twilio/video-quickstart-android","show")</f>
        <v>show</v>
      </c>
      <c r="F2437" t="str">
        <f>HYPERLINK("https://github.com/twilio/video-quickstart-android/releases","show")</f>
        <v>show</v>
      </c>
    </row>
    <row r="2438" spans="1:6">
      <c r="A2438" t="s">
        <v>7288</v>
      </c>
      <c r="B2438" t="s">
        <v>7289</v>
      </c>
      <c r="C2438" t="s">
        <v>7290</v>
      </c>
      <c r="D2438" t="str">
        <f>HYPERLINK("https://github.com/OpenCVBlueprints/OpenCVBlueprints/issues/21","show")</f>
        <v>show</v>
      </c>
      <c r="E2438" t="str">
        <f>HYPERLINK("https://github.com/OpenCVBlueprints/OpenCVBlueprints","show")</f>
        <v>show</v>
      </c>
      <c r="F2438" t="str">
        <f>HYPERLINK("https://github.com/OpenCVBlueprints/OpenCVBlueprints/releases","show")</f>
        <v>show</v>
      </c>
    </row>
    <row r="2439" spans="1:6">
      <c r="A2439" t="s">
        <v>7291</v>
      </c>
      <c r="B2439" t="s">
        <v>7292</v>
      </c>
      <c r="C2439" t="s">
        <v>7293</v>
      </c>
      <c r="D2439" t="str">
        <f>HYPERLINK("https://github.com/twilio/video-quickstart-android/issues/60","show")</f>
        <v>show</v>
      </c>
      <c r="E2439" t="str">
        <f>HYPERLINK("https://github.com/twilio/video-quickstart-android","show")</f>
        <v>show</v>
      </c>
      <c r="F2439" t="str">
        <f>HYPERLINK("https://github.com/twilio/video-quickstart-android/releases","show")</f>
        <v>show</v>
      </c>
    </row>
    <row r="2440" spans="1:6">
      <c r="A2440" t="s">
        <v>7294</v>
      </c>
      <c r="B2440" t="s">
        <v>7295</v>
      </c>
      <c r="C2440" t="s">
        <v>7296</v>
      </c>
      <c r="D2440" t="str">
        <f>HYPERLINK("https://github.com/twilio/video-quickstart-android/issues/59","show")</f>
        <v>show</v>
      </c>
      <c r="E2440" t="str">
        <f>HYPERLINK("https://github.com/twilio/video-quickstart-android","show")</f>
        <v>show</v>
      </c>
      <c r="F2440" t="str">
        <f>HYPERLINK("https://github.com/twilio/video-quickstart-android/releases","show")</f>
        <v>show</v>
      </c>
    </row>
    <row r="2441" spans="1:6">
      <c r="A2441" t="s">
        <v>7297</v>
      </c>
      <c r="B2441" t="s">
        <v>7298</v>
      </c>
      <c r="C2441" t="s">
        <v>7299</v>
      </c>
      <c r="D2441" t="str">
        <f>HYPERLINK("https://github.com/Fleker/CumulusTV/issues/272","show")</f>
        <v>show</v>
      </c>
      <c r="E2441" t="str">
        <f>HYPERLINK("https://github.com/Fleker/CumulusTV","show")</f>
        <v>show</v>
      </c>
      <c r="F2441" t="str">
        <f>HYPERLINK("https://github.com/Fleker/CumulusTV/releases","show")</f>
        <v>show</v>
      </c>
    </row>
    <row r="2442" spans="1:6">
      <c r="A2442" t="s">
        <v>7300</v>
      </c>
      <c r="B2442" t="s">
        <v>7301</v>
      </c>
      <c r="C2442" t="s">
        <v>7302</v>
      </c>
      <c r="D2442" t="str">
        <f>HYPERLINK("https://github.com/microg/GmsCore/issues/321","show")</f>
        <v>show</v>
      </c>
      <c r="E2442" t="str">
        <f>HYPERLINK("https://github.com/microg/GmsCore","show")</f>
        <v>show</v>
      </c>
      <c r="F2442" t="str">
        <f>HYPERLINK("https://github.com/microg/GmsCore/releases","show")</f>
        <v>show</v>
      </c>
    </row>
    <row r="2443" spans="1:6">
      <c r="A2443" t="s">
        <v>7303</v>
      </c>
      <c r="B2443" t="s">
        <v>7304</v>
      </c>
      <c r="C2443" t="s">
        <v>7305</v>
      </c>
      <c r="D2443" t="str">
        <f>HYPERLINK("https://github.com/lostzen/lost/issues/164","show")</f>
        <v>show</v>
      </c>
      <c r="E2443" t="str">
        <f>HYPERLINK("https://github.com/lostzen/lost","show")</f>
        <v>show</v>
      </c>
      <c r="F2443" t="str">
        <f>HYPERLINK("https://github.com/lostzen/lost/releases","show")</f>
        <v>show</v>
      </c>
    </row>
    <row r="2444" spans="1:6">
      <c r="A2444" t="s">
        <v>7306</v>
      </c>
      <c r="B2444" t="s">
        <v>7307</v>
      </c>
      <c r="C2444" t="s">
        <v>7308</v>
      </c>
      <c r="D2444" t="str">
        <f>HYPERLINK("https://github.com/google/ExoPlayer/issues/2497","show")</f>
        <v>show</v>
      </c>
      <c r="E2444" t="str">
        <f>HYPERLINK("https://github.com/google/ExoPlayer","show")</f>
        <v>show</v>
      </c>
      <c r="F2444" t="str">
        <f>HYPERLINK("https://github.com/google/ExoPlayer/releases","show")</f>
        <v>show</v>
      </c>
    </row>
    <row r="2445" spans="1:6">
      <c r="A2445" t="s">
        <v>7309</v>
      </c>
      <c r="B2445" t="s">
        <v>7310</v>
      </c>
      <c r="C2445" t="s">
        <v>7311</v>
      </c>
      <c r="D2445" t="str">
        <f>HYPERLINK("https://github.com/mauron85/cordova-plugin-background-geolocation/issues/268","show")</f>
        <v>show</v>
      </c>
      <c r="E2445" t="str">
        <f>HYPERLINK("https://github.com/mauron85/cordova-plugin-background-geolocation","show")</f>
        <v>show</v>
      </c>
      <c r="F2445" t="str">
        <f>HYPERLINK("https://github.com/mauron85/cordova-plugin-background-geolocation/releases","show")</f>
        <v>show</v>
      </c>
    </row>
    <row r="2446" spans="1:6">
      <c r="A2446" t="s">
        <v>7312</v>
      </c>
      <c r="B2446" t="s">
        <v>7313</v>
      </c>
      <c r="C2446" t="s">
        <v>7314</v>
      </c>
      <c r="D2446" t="str">
        <f>HYPERLINK("https://github.com/frostwire/frostwire/issues/355","show")</f>
        <v>show</v>
      </c>
      <c r="E2446" t="str">
        <f>HYPERLINK("https://github.com/frostwire/frostwire","show")</f>
        <v>show</v>
      </c>
      <c r="F2446" t="str">
        <f>HYPERLINK("https://github.com/frostwire/frostwire/releases","show")</f>
        <v>show</v>
      </c>
    </row>
    <row r="2447" spans="1:6">
      <c r="A2447" t="s">
        <v>7315</v>
      </c>
      <c r="B2447" t="s">
        <v>7316</v>
      </c>
      <c r="C2447" t="s">
        <v>7317</v>
      </c>
      <c r="D2447" t="str">
        <f>HYPERLINK("https://github.com/SecUSo/privacy-friendly-netmonitor/issues/17","show")</f>
        <v>show</v>
      </c>
      <c r="E2447" t="str">
        <f>HYPERLINK("https://github.com/SecUSo/privacy-friendly-netmonitor","show")</f>
        <v>show</v>
      </c>
      <c r="F2447" t="str">
        <f>HYPERLINK("https://github.com/SecUSo/privacy-friendly-netmonitor/releases","show")</f>
        <v>show</v>
      </c>
    </row>
    <row r="2448" spans="1:6">
      <c r="A2448" t="s">
        <v>7318</v>
      </c>
      <c r="B2448" t="s">
        <v>7319</v>
      </c>
      <c r="C2448" t="s">
        <v>7320</v>
      </c>
      <c r="D2448" t="str">
        <f>HYPERLINK("https://github.com/hzi-braunschweig/SORMAS-Project/issues/130","show")</f>
        <v>show</v>
      </c>
      <c r="E2448" t="str">
        <f>HYPERLINK("https://github.com/hzi-braunschweig/SORMAS-Project","show")</f>
        <v>show</v>
      </c>
      <c r="F2448" t="str">
        <f>HYPERLINK("https://github.com/hzi-braunschweig/SORMAS-Project/releases","show")</f>
        <v>show</v>
      </c>
    </row>
    <row r="2449" spans="1:6">
      <c r="A2449" t="s">
        <v>7321</v>
      </c>
      <c r="B2449" t="s">
        <v>7322</v>
      </c>
      <c r="C2449" t="s">
        <v>7323</v>
      </c>
      <c r="D2449" t="str">
        <f>HYPERLINK("https://github.com/lskk/Semut-Android/issues/1","show")</f>
        <v>show</v>
      </c>
      <c r="E2449" t="str">
        <f>HYPERLINK("https://github.com/lskk/Semut-Android","show")</f>
        <v>show</v>
      </c>
      <c r="F2449" t="str">
        <f>HYPERLINK("https://github.com/lskk/Semut-Android/releases","show")</f>
        <v>show</v>
      </c>
    </row>
    <row r="2450" spans="1:6">
      <c r="A2450" t="s">
        <v>7324</v>
      </c>
      <c r="B2450" t="s">
        <v>7325</v>
      </c>
      <c r="C2450" t="s">
        <v>7326</v>
      </c>
      <c r="D2450" t="str">
        <f>HYPERLINK("https://github.com/Fleker/CumulusTV/issues/273","show")</f>
        <v>show</v>
      </c>
      <c r="E2450" t="str">
        <f>HYPERLINK("https://github.com/Fleker/CumulusTV","show")</f>
        <v>show</v>
      </c>
      <c r="F2450" t="str">
        <f>HYPERLINK("https://github.com/Fleker/CumulusTV/releases","show")</f>
        <v>show</v>
      </c>
    </row>
    <row r="2451" spans="1:6">
      <c r="A2451" t="s">
        <v>7327</v>
      </c>
      <c r="B2451" t="s">
        <v>7328</v>
      </c>
      <c r="C2451" t="s">
        <v>7329</v>
      </c>
      <c r="D2451" t="str">
        <f>HYPERLINK("https://github.com/smarek/httpclient-android/issues/15","show")</f>
        <v>show</v>
      </c>
      <c r="E2451" t="str">
        <f>HYPERLINK("https://github.com/smarek/httpclient-android","show")</f>
        <v>show</v>
      </c>
      <c r="F2451" t="str">
        <f>HYPERLINK("https://github.com/smarek/httpclient-android/releases","show")</f>
        <v>show</v>
      </c>
    </row>
    <row r="2452" spans="1:6">
      <c r="A2452" t="s">
        <v>7330</v>
      </c>
      <c r="B2452" t="s">
        <v>7331</v>
      </c>
      <c r="C2452" t="s">
        <v>7332</v>
      </c>
      <c r="D2452" t="str">
        <f>HYPERLINK("https://github.com/esoxjem/MovieGuide/issues/20","show")</f>
        <v>show</v>
      </c>
      <c r="E2452" t="str">
        <f>HYPERLINK("https://github.com/esoxjem/MovieGuide","show")</f>
        <v>show</v>
      </c>
      <c r="F2452" t="str">
        <f>HYPERLINK("https://github.com/esoxjem/MovieGuide/releases","show")</f>
        <v>show</v>
      </c>
    </row>
    <row r="2453" spans="1:6">
      <c r="A2453" t="s">
        <v>7333</v>
      </c>
      <c r="B2453" t="s">
        <v>7334</v>
      </c>
      <c r="C2453" t="s">
        <v>7335</v>
      </c>
      <c r="D2453" t="str">
        <f>HYPERLINK("https://github.com/k9mail/k-9/issues/2282","show")</f>
        <v>show</v>
      </c>
      <c r="E2453" t="str">
        <f>HYPERLINK("https://github.com/k9mail/k-9","show")</f>
        <v>show</v>
      </c>
      <c r="F2453" t="str">
        <f>HYPERLINK("https://github.com/k9mail/k-9/releases","show")</f>
        <v>show</v>
      </c>
    </row>
    <row r="2454" spans="1:6">
      <c r="A2454" t="s">
        <v>7336</v>
      </c>
      <c r="B2454" t="s">
        <v>7337</v>
      </c>
      <c r="C2454" t="s">
        <v>7338</v>
      </c>
      <c r="D2454" t="str">
        <f>HYPERLINK("https://github.com/google/blockly-android/issues/537","show")</f>
        <v>show</v>
      </c>
      <c r="E2454" t="str">
        <f>HYPERLINK("https://github.com/google/blockly-android","show")</f>
        <v>show</v>
      </c>
      <c r="F2454" t="str">
        <f>HYPERLINK("https://github.com/google/blockly-android/releases","show")</f>
        <v>show</v>
      </c>
    </row>
    <row r="2455" spans="1:6">
      <c r="A2455" t="s">
        <v>7339</v>
      </c>
      <c r="B2455" t="s">
        <v>7340</v>
      </c>
      <c r="C2455" t="s">
        <v>7341</v>
      </c>
      <c r="D2455" t="str">
        <f>HYPERLINK("https://github.com/connectbot/connectbot/issues/493","show")</f>
        <v>show</v>
      </c>
      <c r="E2455" t="str">
        <f>HYPERLINK("https://github.com/connectbot/connectbot","show")</f>
        <v>show</v>
      </c>
      <c r="F2455" t="str">
        <f>HYPERLINK("https://github.com/connectbot/connectbot/releases","show")</f>
        <v>show</v>
      </c>
    </row>
    <row r="2456" spans="1:6">
      <c r="A2456" t="s">
        <v>7342</v>
      </c>
      <c r="B2456" t="s">
        <v>7343</v>
      </c>
      <c r="C2456" t="s">
        <v>7344</v>
      </c>
      <c r="D2456" t="str">
        <f>HYPERLINK("https://github.com/Tencent/tinker/issues/374","show")</f>
        <v>show</v>
      </c>
      <c r="E2456" t="str">
        <f>HYPERLINK("https://github.com/Tencent/tinker","show")</f>
        <v>show</v>
      </c>
      <c r="F2456" t="str">
        <f>HYPERLINK("https://github.com/Tencent/tinker/releases","show")</f>
        <v>show</v>
      </c>
    </row>
    <row r="2457" spans="1:6">
      <c r="A2457" t="s">
        <v>7345</v>
      </c>
      <c r="B2457" t="s">
        <v>7346</v>
      </c>
      <c r="C2457" t="s">
        <v>7347</v>
      </c>
      <c r="D2457" t="str">
        <f>HYPERLINK("https://github.com/SecUSo/privacy-friendly-shopping-list/issues/33","show")</f>
        <v>show</v>
      </c>
      <c r="E2457" t="str">
        <f>HYPERLINK("https://github.com/SecUSo/privacy-friendly-shopping-list","show")</f>
        <v>show</v>
      </c>
      <c r="F2457" t="str">
        <f>HYPERLINK("https://github.com/SecUSo/privacy-friendly-shopping-list/releases","show")</f>
        <v>show</v>
      </c>
    </row>
    <row r="2458" spans="1:6">
      <c r="A2458" t="s">
        <v>7348</v>
      </c>
      <c r="B2458" t="s">
        <v>7349</v>
      </c>
      <c r="C2458" t="s">
        <v>7350</v>
      </c>
      <c r="D2458" t="str">
        <f>HYPERLINK("https://github.com/platypusllc/tablet/issues/28","show")</f>
        <v>show</v>
      </c>
      <c r="E2458" t="str">
        <f>HYPERLINK("https://github.com/platypusllc/tablet","show")</f>
        <v>show</v>
      </c>
      <c r="F2458" t="str">
        <f>HYPERLINK("https://github.com/platypusllc/tablet/releases","show")</f>
        <v>show</v>
      </c>
    </row>
    <row r="2459" spans="1:6">
      <c r="A2459" t="s">
        <v>7351</v>
      </c>
      <c r="B2459" t="s">
        <v>7352</v>
      </c>
      <c r="C2459" t="s">
        <v>7353</v>
      </c>
      <c r="D2459" t="str">
        <f>HYPERLINK("https://github.com/getodk/collect/issues/488","show")</f>
        <v>show</v>
      </c>
      <c r="E2459" t="str">
        <f>HYPERLINK("https://github.com/getodk/collect","show")</f>
        <v>show</v>
      </c>
      <c r="F2459" t="str">
        <f>HYPERLINK("https://github.com/getodk/collect/releases","show")</f>
        <v>show</v>
      </c>
    </row>
    <row r="2460" spans="1:6">
      <c r="A2460" t="s">
        <v>7354</v>
      </c>
      <c r="B2460" t="s">
        <v>7355</v>
      </c>
      <c r="C2460" t="s">
        <v>7356</v>
      </c>
      <c r="D2460" t="str">
        <f>HYPERLINK("https://github.com/timusus/Shuttle/issues/46","show")</f>
        <v>show</v>
      </c>
      <c r="E2460" t="str">
        <f>HYPERLINK("https://github.com/timusus/Shuttle","show")</f>
        <v>show</v>
      </c>
      <c r="F2460" t="str">
        <f>HYPERLINK("https://github.com/timusus/Shuttle/releases","show")</f>
        <v>show</v>
      </c>
    </row>
    <row r="2461" spans="1:6">
      <c r="A2461" t="s">
        <v>7357</v>
      </c>
      <c r="B2461" t="s">
        <v>7358</v>
      </c>
      <c r="C2461" t="s">
        <v>7359</v>
      </c>
      <c r="D2461" t="str">
        <f>HYPERLINK("https://github.com/alexanderg931/ReviewApp/issues/1","show")</f>
        <v>show</v>
      </c>
      <c r="E2461" t="str">
        <f>HYPERLINK("https://github.com/alexanderg931/ReviewApp","show")</f>
        <v>show</v>
      </c>
      <c r="F2461" t="str">
        <f>HYPERLINK("https://github.com/alexanderg931/ReviewApp/releases","show")</f>
        <v>show</v>
      </c>
    </row>
    <row r="2462" spans="1:6">
      <c r="A2462" t="s">
        <v>7360</v>
      </c>
      <c r="B2462" t="s">
        <v>7361</v>
      </c>
      <c r="C2462" t="s">
        <v>7362</v>
      </c>
      <c r="D2462" t="str">
        <f>HYPERLINK("https://github.com/Fleker/CumulusTV/issues/274","show")</f>
        <v>show</v>
      </c>
      <c r="E2462" t="str">
        <f>HYPERLINK("https://github.com/Fleker/CumulusTV","show")</f>
        <v>show</v>
      </c>
      <c r="F2462" t="str">
        <f>HYPERLINK("https://github.com/Fleker/CumulusTV/releases","show")</f>
        <v>show</v>
      </c>
    </row>
    <row r="2463" spans="1:6">
      <c r="A2463" t="s">
        <v>7363</v>
      </c>
      <c r="B2463" t="s">
        <v>7364</v>
      </c>
      <c r="C2463" t="s">
        <v>7365</v>
      </c>
      <c r="D2463" t="str">
        <f>HYPERLINK("https://github.com/fossasia/phimpme-android/issues/59","show")</f>
        <v>show</v>
      </c>
      <c r="E2463" t="str">
        <f>HYPERLINK("https://github.com/fossasia/phimpme-android","show")</f>
        <v>show</v>
      </c>
      <c r="F2463" t="str">
        <f>HYPERLINK("https://github.com/fossasia/phimpme-android/releases","show")</f>
        <v>show</v>
      </c>
    </row>
    <row r="2464" spans="1:6">
      <c r="A2464" t="s">
        <v>7366</v>
      </c>
      <c r="B2464" t="s">
        <v>7367</v>
      </c>
      <c r="C2464" t="s">
        <v>7368</v>
      </c>
      <c r="D2464" t="str">
        <f>HYPERLINK("https://github.com/facebook/stetho/issues/505","show")</f>
        <v>show</v>
      </c>
      <c r="E2464" t="str">
        <f>HYPERLINK("https://github.com/facebook/stetho","show")</f>
        <v>show</v>
      </c>
      <c r="F2464" t="str">
        <f>HYPERLINK("https://github.com/facebook/stetho/releases","show")</f>
        <v>show</v>
      </c>
    </row>
    <row r="2465" spans="1:6">
      <c r="A2465" t="s">
        <v>7369</v>
      </c>
      <c r="B2465" t="s">
        <v>7370</v>
      </c>
      <c r="C2465" t="s">
        <v>7371</v>
      </c>
      <c r="D2465" t="str">
        <f>HYPERLINK("https://github.com/square/okhttp/issues/3200","show")</f>
        <v>show</v>
      </c>
      <c r="E2465" t="str">
        <f>HYPERLINK("https://github.com/square/okhttp","show")</f>
        <v>show</v>
      </c>
      <c r="F2465" t="str">
        <f>HYPERLINK("https://github.com/square/okhttp/releases","show")</f>
        <v>show</v>
      </c>
    </row>
    <row r="2466" spans="1:6">
      <c r="A2466" t="s">
        <v>7372</v>
      </c>
      <c r="B2466" t="s">
        <v>7373</v>
      </c>
      <c r="C2466" t="s">
        <v>7374</v>
      </c>
      <c r="D2466" t="str">
        <f>HYPERLINK("https://github.com/pinball83/Masked-Edittext/issues/28","show")</f>
        <v>show</v>
      </c>
      <c r="E2466" t="str">
        <f>HYPERLINK("https://github.com/pinball83/Masked-Edittext","show")</f>
        <v>show</v>
      </c>
      <c r="F2466" t="str">
        <f>HYPERLINK("https://github.com/pinball83/Masked-Edittext/releases","show")</f>
        <v>show</v>
      </c>
    </row>
    <row r="2467" spans="1:6">
      <c r="A2467" t="s">
        <v>7375</v>
      </c>
      <c r="B2467" t="s">
        <v>7376</v>
      </c>
      <c r="C2467" t="s">
        <v>7377</v>
      </c>
      <c r="D2467" t="str">
        <f>HYPERLINK("https://github.com/geopaparazzi/geopaparazzi/issues/393","show")</f>
        <v>show</v>
      </c>
      <c r="E2467" t="str">
        <f>HYPERLINK("https://github.com/geopaparazzi/geopaparazzi","show")</f>
        <v>show</v>
      </c>
      <c r="F2467" t="str">
        <f>HYPERLINK("https://github.com/geopaparazzi/geopaparazzi/releases","show")</f>
        <v>show</v>
      </c>
    </row>
    <row r="2468" spans="1:6">
      <c r="A2468" t="s">
        <v>7378</v>
      </c>
      <c r="B2468" t="s">
        <v>7379</v>
      </c>
      <c r="C2468" t="s">
        <v>7380</v>
      </c>
      <c r="D2468" t="str">
        <f>HYPERLINK("https://github.com/midhunhk/trip-o-meter/issues/11","show")</f>
        <v>show</v>
      </c>
      <c r="E2468" t="str">
        <f>HYPERLINK("https://github.com/midhunhk/trip-o-meter","show")</f>
        <v>show</v>
      </c>
      <c r="F2468" t="str">
        <f>HYPERLINK("https://github.com/midhunhk/trip-o-meter/releases","show")</f>
        <v>show</v>
      </c>
    </row>
    <row r="2469" spans="1:6">
      <c r="A2469" t="s">
        <v>7381</v>
      </c>
      <c r="B2469" t="s">
        <v>7382</v>
      </c>
      <c r="C2469" t="s">
        <v>7383</v>
      </c>
      <c r="D2469" t="str">
        <f>HYPERLINK("https://github.com/akexorcist/GoogleDirectionLibrary/issues/28","show")</f>
        <v>show</v>
      </c>
      <c r="E2469" t="str">
        <f>HYPERLINK("https://github.com/akexorcist/GoogleDirectionLibrary","show")</f>
        <v>show</v>
      </c>
      <c r="F2469" t="str">
        <f>HYPERLINK("https://github.com/akexorcist/GoogleDirectionLibrary/releases","show")</f>
        <v>show</v>
      </c>
    </row>
    <row r="2470" spans="1:6">
      <c r="A2470" t="s">
        <v>7384</v>
      </c>
      <c r="B2470" t="s">
        <v>7385</v>
      </c>
      <c r="C2470" t="s">
        <v>7386</v>
      </c>
      <c r="D2470" t="str">
        <f>HYPERLINK("https://github.com/jacob-g/cleveland-rta-next-bus-train/issues/49","show")</f>
        <v>show</v>
      </c>
      <c r="E2470" t="str">
        <f>HYPERLINK("https://github.com/jacob-g/cleveland-rta-next-bus-train","show")</f>
        <v>show</v>
      </c>
      <c r="F2470" t="str">
        <f>HYPERLINK("https://github.com/jacob-g/cleveland-rta-next-bus-train/releases","show")</f>
        <v>show</v>
      </c>
    </row>
    <row r="2471" spans="1:6">
      <c r="A2471" t="s">
        <v>7387</v>
      </c>
      <c r="B2471" t="s">
        <v>7388</v>
      </c>
      <c r="C2471" t="s">
        <v>7389</v>
      </c>
      <c r="D2471" t="str">
        <f>HYPERLINK("https://github.com/SufficientlySecure/html-textview/issues/95","show")</f>
        <v>show</v>
      </c>
      <c r="E2471" t="str">
        <f>HYPERLINK("https://github.com/SufficientlySecure/html-textview","show")</f>
        <v>show</v>
      </c>
      <c r="F2471" t="str">
        <f>HYPERLINK("https://github.com/SufficientlySecure/html-textview/releases","show")</f>
        <v>show</v>
      </c>
    </row>
    <row r="2472" spans="1:6">
      <c r="A2472" t="s">
        <v>7390</v>
      </c>
      <c r="B2472" t="s">
        <v>7391</v>
      </c>
      <c r="C2472" t="s">
        <v>7392</v>
      </c>
      <c r="D2472" t="str">
        <f>HYPERLINK("https://github.com/nextcloud/android/issues/718","show")</f>
        <v>show</v>
      </c>
      <c r="E2472" t="str">
        <f>HYPERLINK("https://github.com/nextcloud/android","show")</f>
        <v>show</v>
      </c>
      <c r="F2472" t="str">
        <f>HYPERLINK("https://github.com/nextcloud/android/releases","show")</f>
        <v>show</v>
      </c>
    </row>
    <row r="2473" spans="1:6">
      <c r="A2473" t="s">
        <v>7393</v>
      </c>
      <c r="B2473" t="s">
        <v>7394</v>
      </c>
      <c r="C2473" t="s">
        <v>7395</v>
      </c>
      <c r="D2473" t="str">
        <f>HYPERLINK("https://github.com/midhunhk/trip-o-meter/issues/12","show")</f>
        <v>show</v>
      </c>
      <c r="E2473" t="str">
        <f>HYPERLINK("https://github.com/midhunhk/trip-o-meter","show")</f>
        <v>show</v>
      </c>
      <c r="F2473" t="str">
        <f>HYPERLINK("https://github.com/midhunhk/trip-o-meter/releases","show")</f>
        <v>show</v>
      </c>
    </row>
    <row r="2474" spans="1:6">
      <c r="A2474" t="s">
        <v>7396</v>
      </c>
      <c r="B2474" t="s">
        <v>7397</v>
      </c>
      <c r="C2474" t="s">
        <v>7398</v>
      </c>
      <c r="D2474" t="str">
        <f>HYPERLINK("https://github.com/nextcloud/android/issues/717","show")</f>
        <v>show</v>
      </c>
      <c r="E2474" t="str">
        <f>HYPERLINK("https://github.com/nextcloud/android","show")</f>
        <v>show</v>
      </c>
      <c r="F2474" t="str">
        <f>HYPERLINK("https://github.com/nextcloud/android/releases","show")</f>
        <v>show</v>
      </c>
    </row>
    <row r="2475" spans="1:6">
      <c r="A2475" t="s">
        <v>7399</v>
      </c>
      <c r="B2475" t="s">
        <v>7400</v>
      </c>
      <c r="C2475" t="s">
        <v>7401</v>
      </c>
      <c r="D2475" t="str">
        <f>HYPERLINK("https://github.com/SecUSo/privacy-friendly-werewolf/issues/111","show")</f>
        <v>show</v>
      </c>
      <c r="E2475" t="str">
        <f>HYPERLINK("https://github.com/SecUSo/privacy-friendly-werewolf","show")</f>
        <v>show</v>
      </c>
      <c r="F2475" t="str">
        <f>HYPERLINK("https://github.com/SecUSo/privacy-friendly-werewolf/releases","show")</f>
        <v>show</v>
      </c>
    </row>
    <row r="2476" spans="1:6">
      <c r="A2476" t="s">
        <v>7402</v>
      </c>
      <c r="B2476" t="s">
        <v>7403</v>
      </c>
      <c r="C2476" t="s">
        <v>7404</v>
      </c>
      <c r="D2476" t="str">
        <f>HYPERLINK("https://github.com/airbnb/DeepLinkDispatch/issues/163","show")</f>
        <v>show</v>
      </c>
      <c r="E2476" t="str">
        <f>HYPERLINK("https://github.com/airbnb/DeepLinkDispatch","show")</f>
        <v>show</v>
      </c>
      <c r="F2476" t="str">
        <f>HYPERLINK("https://github.com/airbnb/DeepLinkDispatch/releases","show")</f>
        <v>show</v>
      </c>
    </row>
    <row r="2477" spans="1:6">
      <c r="A2477" t="s">
        <v>7405</v>
      </c>
      <c r="B2477" t="s">
        <v>7406</v>
      </c>
      <c r="C2477" t="s">
        <v>7407</v>
      </c>
      <c r="D2477" t="str">
        <f>HYPERLINK("https://github.com/kgehmlich/soen341-group2/issues/79","show")</f>
        <v>show</v>
      </c>
      <c r="E2477" t="str">
        <f>HYPERLINK("https://github.com/kgehmlich/soen341-group2","show")</f>
        <v>show</v>
      </c>
      <c r="F2477" t="str">
        <f>HYPERLINK("https://github.com/kgehmlich/soen341-group2/releases","show")</f>
        <v>show</v>
      </c>
    </row>
    <row r="2478" spans="1:6">
      <c r="A2478" t="s">
        <v>7408</v>
      </c>
      <c r="B2478" t="s">
        <v>7409</v>
      </c>
      <c r="C2478" t="s">
        <v>7410</v>
      </c>
      <c r="D2478" t="str">
        <f>HYPERLINK("https://github.com/getodk/collect/issues/518","show")</f>
        <v>show</v>
      </c>
      <c r="E2478" t="str">
        <f>HYPERLINK("https://github.com/getodk/collect","show")</f>
        <v>show</v>
      </c>
      <c r="F2478" t="str">
        <f>HYPERLINK("https://github.com/getodk/collect/releases","show")</f>
        <v>show</v>
      </c>
    </row>
    <row r="2479" spans="1:6">
      <c r="A2479" t="s">
        <v>7411</v>
      </c>
      <c r="B2479" t="s">
        <v>7412</v>
      </c>
      <c r="C2479" t="s">
        <v>7413</v>
      </c>
      <c r="D2479" t="str">
        <f>HYPERLINK("https://github.com/callstack/react-native-fbads/issues/48","show")</f>
        <v>show</v>
      </c>
      <c r="E2479" t="str">
        <f>HYPERLINK("https://github.com/callstack/react-native-fbads","show")</f>
        <v>show</v>
      </c>
      <c r="F2479" t="str">
        <f>HYPERLINK("https://github.com/callstack/react-native-fbads/releases","show")</f>
        <v>show</v>
      </c>
    </row>
    <row r="2480" spans="1:6">
      <c r="A2480" t="s">
        <v>7414</v>
      </c>
      <c r="B2480" t="s">
        <v>7415</v>
      </c>
      <c r="C2480" t="s">
        <v>7416</v>
      </c>
      <c r="D2480" t="str">
        <f>HYPERLINK("https://github.com/bergconnor/cis642-Team5/issues/2","show")</f>
        <v>show</v>
      </c>
      <c r="E2480" t="str">
        <f>HYPERLINK("https://github.com/bergconnor/cis642-Team5","show")</f>
        <v>show</v>
      </c>
      <c r="F2480" t="str">
        <f>HYPERLINK("https://github.com/bergconnor/cis642-Team5/releases","show")</f>
        <v>show</v>
      </c>
    </row>
    <row r="2481" spans="1:6">
      <c r="A2481" t="s">
        <v>7417</v>
      </c>
      <c r="B2481" t="s">
        <v>7418</v>
      </c>
      <c r="C2481" t="s">
        <v>7419</v>
      </c>
      <c r="D2481" t="str">
        <f>HYPERLINK("https://github.com/nextcloud/android/issues/729","show")</f>
        <v>show</v>
      </c>
      <c r="E2481" t="str">
        <f>HYPERLINK("https://github.com/nextcloud/android","show")</f>
        <v>show</v>
      </c>
      <c r="F2481" t="str">
        <f>HYPERLINK("https://github.com/nextcloud/android/releases","show")</f>
        <v>show</v>
      </c>
    </row>
    <row r="2482" spans="1:6">
      <c r="A2482" t="s">
        <v>7420</v>
      </c>
      <c r="B2482" t="s">
        <v>7421</v>
      </c>
      <c r="C2482" t="s">
        <v>7422</v>
      </c>
      <c r="D2482" t="str">
        <f>HYPERLINK("https://github.com/vector-im/riot-android/issues/1004","show")</f>
        <v>show</v>
      </c>
      <c r="E2482" t="str">
        <f>HYPERLINK("https://github.com/vector-im/riot-android","show")</f>
        <v>show</v>
      </c>
      <c r="F2482" t="str">
        <f>HYPERLINK("https://github.com/vector-im/riot-android/releases","show")</f>
        <v>show</v>
      </c>
    </row>
    <row r="2483" spans="1:6">
      <c r="A2483" t="s">
        <v>7423</v>
      </c>
      <c r="B2483" t="s">
        <v>7424</v>
      </c>
      <c r="C2483" t="s">
        <v>7425</v>
      </c>
      <c r="D2483" t="str">
        <f>HYPERLINK("https://github.com/fossasia/phimpme-android/issues/102","show")</f>
        <v>show</v>
      </c>
      <c r="E2483" t="str">
        <f>HYPERLINK("https://github.com/fossasia/phimpme-android","show")</f>
        <v>show</v>
      </c>
      <c r="F2483" t="str">
        <f>HYPERLINK("https://github.com/fossasia/phimpme-android/releases","show")</f>
        <v>show</v>
      </c>
    </row>
    <row r="2484" spans="1:6">
      <c r="A2484" t="s">
        <v>7426</v>
      </c>
      <c r="B2484" t="s">
        <v>7427</v>
      </c>
      <c r="C2484" t="s">
        <v>7428</v>
      </c>
      <c r="D2484" t="str">
        <f>HYPERLINK("https://github.com/timusus/Shuttle/issues/67","show")</f>
        <v>show</v>
      </c>
      <c r="E2484" t="str">
        <f>HYPERLINK("https://github.com/timusus/Shuttle","show")</f>
        <v>show</v>
      </c>
      <c r="F2484" t="str">
        <f>HYPERLINK("https://github.com/timusus/Shuttle/releases","show")</f>
        <v>show</v>
      </c>
    </row>
    <row r="2485" spans="1:6">
      <c r="A2485" t="s">
        <v>7429</v>
      </c>
      <c r="B2485" t="s">
        <v>7430</v>
      </c>
      <c r="C2485" t="s">
        <v>7431</v>
      </c>
      <c r="D2485" t="str">
        <f>HYPERLINK("https://github.com/koral--/android-gif-drawable/issues/391","show")</f>
        <v>show</v>
      </c>
      <c r="E2485" t="str">
        <f>HYPERLINK("https://github.com/koral--/android-gif-drawable","show")</f>
        <v>show</v>
      </c>
      <c r="F2485" t="str">
        <f>HYPERLINK("https://github.com/koral--/android-gif-drawable/releases","show")</f>
        <v>show</v>
      </c>
    </row>
    <row r="2486" spans="1:6">
      <c r="A2486" t="s">
        <v>7432</v>
      </c>
      <c r="B2486" t="s">
        <v>7433</v>
      </c>
      <c r="C2486" t="s">
        <v>7434</v>
      </c>
      <c r="D2486" t="str">
        <f>HYPERLINK("https://github.com/OCSInventory-NG/AndroidAgent/issues/17","show")</f>
        <v>show</v>
      </c>
      <c r="E2486" t="str">
        <f>HYPERLINK("https://github.com/OCSInventory-NG/AndroidAgent","show")</f>
        <v>show</v>
      </c>
      <c r="F2486" t="str">
        <f>HYPERLINK("https://github.com/OCSInventory-NG/AndroidAgent/releases","show")</f>
        <v>show</v>
      </c>
    </row>
    <row r="2487" spans="1:6">
      <c r="A2487" t="s">
        <v>7435</v>
      </c>
      <c r="B2487" t="s">
        <v>7436</v>
      </c>
      <c r="C2487" t="s">
        <v>7437</v>
      </c>
      <c r="D2487" t="str">
        <f>HYPERLINK("https://github.com/Ekalips/ExpandableCardViewList/issues/1","show")</f>
        <v>show</v>
      </c>
      <c r="E2487" t="str">
        <f>HYPERLINK("https://github.com/Ekalips/ExpandableCardViewList","show")</f>
        <v>show</v>
      </c>
      <c r="F2487" t="str">
        <f>HYPERLINK("https://github.com/Ekalips/ExpandableCardViewList/releases","show")</f>
        <v>show</v>
      </c>
    </row>
    <row r="2488" spans="1:6">
      <c r="A2488" t="s">
        <v>7438</v>
      </c>
      <c r="B2488" t="s">
        <v>7439</v>
      </c>
      <c r="C2488" t="s">
        <v>7440</v>
      </c>
      <c r="D2488" t="str">
        <f>HYPERLINK("https://github.com/pinball83/Masked-Edittext/issues/29","show")</f>
        <v>show</v>
      </c>
      <c r="E2488" t="str">
        <f>HYPERLINK("https://github.com/pinball83/Masked-Edittext","show")</f>
        <v>show</v>
      </c>
      <c r="F2488" t="str">
        <f>HYPERLINK("https://github.com/pinball83/Masked-Edittext/releases","show")</f>
        <v>show</v>
      </c>
    </row>
    <row r="2489" spans="1:6">
      <c r="A2489" t="s">
        <v>7441</v>
      </c>
      <c r="B2489" t="s">
        <v>7442</v>
      </c>
      <c r="C2489" t="s">
        <v>7443</v>
      </c>
      <c r="D2489" t="str">
        <f>HYPERLINK("https://github.com/arunkumar9t2/lynket-browser/issues/17","show")</f>
        <v>show</v>
      </c>
      <c r="E2489" t="str">
        <f>HYPERLINK("https://github.com/arunkumar9t2/lynket-browser","show")</f>
        <v>show</v>
      </c>
      <c r="F2489" t="str">
        <f>HYPERLINK("https://github.com/arunkumar9t2/lynket-browser/releases","show")</f>
        <v>show</v>
      </c>
    </row>
    <row r="2490" spans="1:6">
      <c r="A2490" t="s">
        <v>7444</v>
      </c>
      <c r="B2490" t="s">
        <v>7445</v>
      </c>
      <c r="C2490" t="s">
        <v>7446</v>
      </c>
      <c r="D2490" t="str">
        <f>HYPERLINK("https://github.com/arunkumar9t2/lynket-browser/issues/16","show")</f>
        <v>show</v>
      </c>
      <c r="E2490" t="str">
        <f>HYPERLINK("https://github.com/arunkumar9t2/lynket-browser","show")</f>
        <v>show</v>
      </c>
      <c r="F2490" t="str">
        <f>HYPERLINK("https://github.com/arunkumar9t2/lynket-browser/releases","show")</f>
        <v>show</v>
      </c>
    </row>
    <row r="2491" spans="1:6">
      <c r="A2491" t="s">
        <v>7447</v>
      </c>
      <c r="B2491" t="s">
        <v>7448</v>
      </c>
      <c r="C2491" t="s">
        <v>7449</v>
      </c>
      <c r="D2491" t="str">
        <f>HYPERLINK("https://github.com/commons-app/apps-android-commons/issues/429","show")</f>
        <v>show</v>
      </c>
      <c r="E2491" t="str">
        <f>HYPERLINK("https://github.com/commons-app/apps-android-commons","show")</f>
        <v>show</v>
      </c>
      <c r="F2491" t="str">
        <f>HYPERLINK("https://github.com/commons-app/apps-android-commons/releases","show")</f>
        <v>show</v>
      </c>
    </row>
    <row r="2492" spans="1:6">
      <c r="A2492" t="s">
        <v>7450</v>
      </c>
      <c r="B2492" t="s">
        <v>7451</v>
      </c>
      <c r="C2492" t="s">
        <v>7452</v>
      </c>
      <c r="D2492" t="str">
        <f>HYPERLINK("https://github.com/czyzby/gdx-lml/issues/53","show")</f>
        <v>show</v>
      </c>
      <c r="E2492" t="str">
        <f>HYPERLINK("https://github.com/czyzby/gdx-lml","show")</f>
        <v>show</v>
      </c>
      <c r="F2492" t="str">
        <f>HYPERLINK("https://github.com/czyzby/gdx-lml/releases","show")</f>
        <v>show</v>
      </c>
    </row>
    <row r="2493" spans="1:6">
      <c r="A2493" t="s">
        <v>7453</v>
      </c>
      <c r="B2493" t="s">
        <v>7454</v>
      </c>
      <c r="C2493" t="s">
        <v>7455</v>
      </c>
      <c r="D2493" t="str">
        <f>HYPERLINK("https://github.com/platypusllc/tablet/issues/41","show")</f>
        <v>show</v>
      </c>
      <c r="E2493" t="str">
        <f>HYPERLINK("https://github.com/platypusllc/tablet","show")</f>
        <v>show</v>
      </c>
      <c r="F2493" t="str">
        <f>HYPERLINK("https://github.com/platypusllc/tablet/releases","show")</f>
        <v>show</v>
      </c>
    </row>
    <row r="2494" spans="1:6">
      <c r="A2494" t="s">
        <v>7456</v>
      </c>
      <c r="B2494" t="s">
        <v>7457</v>
      </c>
      <c r="C2494" t="s">
        <v>7458</v>
      </c>
      <c r="D2494" t="str">
        <f>HYPERLINK("https://github.com/platypusllc/tablet/issues/38","show")</f>
        <v>show</v>
      </c>
      <c r="E2494" t="str">
        <f>HYPERLINK("https://github.com/platypusllc/tablet","show")</f>
        <v>show</v>
      </c>
      <c r="F2494" t="str">
        <f>HYPERLINK("https://github.com/platypusllc/tablet/releases","show")</f>
        <v>show</v>
      </c>
    </row>
    <row r="2495" spans="1:6">
      <c r="A2495" t="s">
        <v>7459</v>
      </c>
      <c r="B2495" t="s">
        <v>7460</v>
      </c>
      <c r="C2495" t="s">
        <v>7461</v>
      </c>
      <c r="D2495" t="str">
        <f>HYPERLINK("https://github.com/nextcloud/android/issues/738","show")</f>
        <v>show</v>
      </c>
      <c r="E2495" t="str">
        <f>HYPERLINK("https://github.com/nextcloud/android","show")</f>
        <v>show</v>
      </c>
      <c r="F2495" t="str">
        <f>HYPERLINK("https://github.com/nextcloud/android/releases","show")</f>
        <v>show</v>
      </c>
    </row>
    <row r="2496" spans="1:6">
      <c r="A2496" t="s">
        <v>7462</v>
      </c>
      <c r="B2496" t="s">
        <v>7463</v>
      </c>
      <c r="C2496" t="s">
        <v>7464</v>
      </c>
      <c r="D2496" t="str">
        <f>HYPERLINK("https://github.com/cross-border-bridge/data-bus-android/issues/2","show")</f>
        <v>show</v>
      </c>
      <c r="E2496" t="str">
        <f>HYPERLINK("https://github.com/cross-border-bridge/data-bus-android","show")</f>
        <v>show</v>
      </c>
      <c r="F2496" t="str">
        <f>HYPERLINK("https://github.com/cross-border-bridge/data-bus-android/releases","show")</f>
        <v>show</v>
      </c>
    </row>
    <row r="2497" spans="1:6">
      <c r="A2497" t="s">
        <v>7465</v>
      </c>
      <c r="B2497" t="s">
        <v>7466</v>
      </c>
      <c r="C2497" t="s">
        <v>7467</v>
      </c>
      <c r="D2497" t="str">
        <f>HYPERLINK("https://github.com/twilio/video-quickstart-android/issues/80","show")</f>
        <v>show</v>
      </c>
      <c r="E2497" t="str">
        <f>HYPERLINK("https://github.com/twilio/video-quickstart-android","show")</f>
        <v>show</v>
      </c>
      <c r="F2497" t="str">
        <f>HYPERLINK("https://github.com/twilio/video-quickstart-android/releases","show")</f>
        <v>show</v>
      </c>
    </row>
    <row r="2498" spans="1:6">
      <c r="A2498" t="s">
        <v>7468</v>
      </c>
      <c r="B2498" t="s">
        <v>7469</v>
      </c>
      <c r="C2498" t="s">
        <v>7470</v>
      </c>
      <c r="D2498" t="str">
        <f>HYPERLINK("https://github.com/KeepSafe/TapTargetView/issues/146","show")</f>
        <v>show</v>
      </c>
      <c r="E2498" t="str">
        <f>HYPERLINK("https://github.com/KeepSafe/TapTargetView","show")</f>
        <v>show</v>
      </c>
      <c r="F2498" t="str">
        <f>HYPERLINK("https://github.com/KeepSafe/TapTargetView/releases","show")</f>
        <v>show</v>
      </c>
    </row>
    <row r="2499" spans="1:6">
      <c r="A2499" t="s">
        <v>7471</v>
      </c>
      <c r="B2499" t="s">
        <v>4460</v>
      </c>
      <c r="C2499" t="s">
        <v>7472</v>
      </c>
      <c r="D2499" t="str">
        <f>HYPERLINK("https://github.com/tanrabad/survey/issues/17","show")</f>
        <v>show</v>
      </c>
      <c r="E2499" t="str">
        <f>HYPERLINK("https://github.com/tanrabad/survey","show")</f>
        <v>show</v>
      </c>
      <c r="F2499" t="str">
        <f>HYPERLINK("https://github.com/tanrabad/survey/releases","show")</f>
        <v>show</v>
      </c>
    </row>
    <row r="2500" spans="1:6">
      <c r="A2500" t="s">
        <v>7473</v>
      </c>
      <c r="B2500" t="s">
        <v>7474</v>
      </c>
      <c r="C2500" t="s">
        <v>7475</v>
      </c>
      <c r="D2500" t="str">
        <f>HYPERLINK("https://github.com/getodk/collect/issues/651","show")</f>
        <v>show</v>
      </c>
      <c r="E2500" t="str">
        <f>HYPERLINK("https://github.com/getodk/collect","show")</f>
        <v>show</v>
      </c>
      <c r="F2500" t="str">
        <f>HYPERLINK("https://github.com/getodk/collect/releases","show")</f>
        <v>show</v>
      </c>
    </row>
    <row r="2501" spans="1:6">
      <c r="A2501" t="s">
        <v>7476</v>
      </c>
      <c r="B2501" t="s">
        <v>7477</v>
      </c>
      <c r="C2501" t="s">
        <v>7478</v>
      </c>
      <c r="D2501" t="str">
        <f>HYPERLINK("https://github.com/evernote/android-job/issues/153","show")</f>
        <v>show</v>
      </c>
      <c r="E2501" t="str">
        <f>HYPERLINK("https://github.com/evernote/android-job","show")</f>
        <v>show</v>
      </c>
      <c r="F2501" t="str">
        <f>HYPERLINK("https://github.com/evernote/android-job/releases","show")</f>
        <v>show</v>
      </c>
    </row>
    <row r="2502" spans="1:6">
      <c r="A2502" t="s">
        <v>7479</v>
      </c>
      <c r="B2502" t="s">
        <v>7480</v>
      </c>
      <c r="C2502" t="s">
        <v>7481</v>
      </c>
      <c r="D2502" t="str">
        <f>HYPERLINK("https://github.com/Cloudkibo/Android/issues/543","show")</f>
        <v>show</v>
      </c>
      <c r="E2502" t="str">
        <f>HYPERLINK("https://github.com/Cloudkibo/Android","show")</f>
        <v>show</v>
      </c>
      <c r="F2502" t="str">
        <f>HYPERLINK("https://github.com/Cloudkibo/Android/releases","show")</f>
        <v>show</v>
      </c>
    </row>
    <row r="2503" spans="1:6">
      <c r="A2503" t="s">
        <v>7482</v>
      </c>
      <c r="B2503" t="s">
        <v>7483</v>
      </c>
      <c r="C2503" t="s">
        <v>7484</v>
      </c>
      <c r="D2503" t="str">
        <f>HYPERLINK("https://github.com/react-native-camera/react-native-camera/issues/632","show")</f>
        <v>show</v>
      </c>
      <c r="E2503" t="str">
        <f>HYPERLINK("https://github.com/react-native-camera/react-native-camera","show")</f>
        <v>show</v>
      </c>
      <c r="F2503" t="str">
        <f>HYPERLINK("https://github.com/react-native-camera/react-native-camera/releases","show")</f>
        <v>show</v>
      </c>
    </row>
    <row r="2504" spans="1:6">
      <c r="A2504" t="s">
        <v>7485</v>
      </c>
      <c r="B2504" t="s">
        <v>4460</v>
      </c>
      <c r="C2504" t="s">
        <v>7486</v>
      </c>
      <c r="D2504" t="str">
        <f>HYPERLINK("https://github.com/tanrabad/survey/issues/18","show")</f>
        <v>show</v>
      </c>
      <c r="E2504" t="str">
        <f>HYPERLINK("https://github.com/tanrabad/survey","show")</f>
        <v>show</v>
      </c>
      <c r="F2504" t="str">
        <f>HYPERLINK("https://github.com/tanrabad/survey/releases","show")</f>
        <v>show</v>
      </c>
    </row>
    <row r="2505" spans="1:6">
      <c r="A2505" t="s">
        <v>7487</v>
      </c>
      <c r="B2505" t="s">
        <v>7488</v>
      </c>
      <c r="C2505" t="s">
        <v>7489</v>
      </c>
      <c r="D2505" t="str">
        <f>HYPERLINK("https://github.com/Freeyourgadget/Gadgetbridge/issues/603","show")</f>
        <v>show</v>
      </c>
      <c r="E2505" t="str">
        <f>HYPERLINK("https://github.com/Freeyourgadget/Gadgetbridge","show")</f>
        <v>show</v>
      </c>
      <c r="F2505" t="str">
        <f>HYPERLINK("https://github.com/Freeyourgadget/Gadgetbridge/releases","show")</f>
        <v>show</v>
      </c>
    </row>
    <row r="2506" spans="1:6">
      <c r="A2506" t="s">
        <v>7490</v>
      </c>
      <c r="B2506" t="s">
        <v>7491</v>
      </c>
      <c r="C2506" t="s">
        <v>7492</v>
      </c>
      <c r="D2506" t="str">
        <f>HYPERLINK("https://github.com/BaseballCardTracker/bbct-android/issues/412","show")</f>
        <v>show</v>
      </c>
      <c r="E2506" t="str">
        <f>HYPERLINK("https://github.com/BaseballCardTracker/bbct-android","show")</f>
        <v>show</v>
      </c>
      <c r="F2506" t="str">
        <f>HYPERLINK("https://github.com/BaseballCardTracker/bbct-android/releases","show")</f>
        <v>show</v>
      </c>
    </row>
    <row r="2507" spans="1:6">
      <c r="A2507" t="s">
        <v>7493</v>
      </c>
      <c r="B2507" t="s">
        <v>7494</v>
      </c>
      <c r="C2507" t="s">
        <v>7495</v>
      </c>
      <c r="D2507" t="str">
        <f>HYPERLINK("https://github.com/fossasia/phimpme-android/issues/200","show")</f>
        <v>show</v>
      </c>
      <c r="E2507" t="str">
        <f>HYPERLINK("https://github.com/fossasia/phimpme-android","show")</f>
        <v>show</v>
      </c>
      <c r="F2507" t="str">
        <f>HYPERLINK("https://github.com/fossasia/phimpme-android/releases","show")</f>
        <v>show</v>
      </c>
    </row>
    <row r="2508" spans="1:6">
      <c r="A2508" t="s">
        <v>7496</v>
      </c>
      <c r="B2508" t="s">
        <v>7497</v>
      </c>
      <c r="C2508" t="s">
        <v>7498</v>
      </c>
      <c r="D2508" t="str">
        <f>HYPERLINK("https://github.com/getodk/collect/issues/709","show")</f>
        <v>show</v>
      </c>
      <c r="E2508" t="str">
        <f>HYPERLINK("https://github.com/getodk/collect","show")</f>
        <v>show</v>
      </c>
      <c r="F2508" t="str">
        <f>HYPERLINK("https://github.com/getodk/collect/releases","show")</f>
        <v>show</v>
      </c>
    </row>
    <row r="2509" spans="1:6">
      <c r="A2509" t="s">
        <v>7499</v>
      </c>
      <c r="B2509" t="s">
        <v>7500</v>
      </c>
      <c r="C2509" t="s">
        <v>7501</v>
      </c>
      <c r="D2509" t="str">
        <f>HYPERLINK("https://github.com/getodk/collect/issues/705","show")</f>
        <v>show</v>
      </c>
      <c r="E2509" t="str">
        <f>HYPERLINK("https://github.com/getodk/collect","show")</f>
        <v>show</v>
      </c>
      <c r="F2509" t="str">
        <f>HYPERLINK("https://github.com/getodk/collect/releases","show")</f>
        <v>show</v>
      </c>
    </row>
    <row r="2510" spans="1:6">
      <c r="A2510" t="s">
        <v>7502</v>
      </c>
      <c r="B2510" t="s">
        <v>7503</v>
      </c>
      <c r="C2510" t="s">
        <v>7504</v>
      </c>
      <c r="D2510" t="str">
        <f>HYPERLINK("https://github.com/fossasia/phimpme-android/issues/183","show")</f>
        <v>show</v>
      </c>
      <c r="E2510" t="str">
        <f>HYPERLINK("https://github.com/fossasia/phimpme-android","show")</f>
        <v>show</v>
      </c>
      <c r="F2510" t="str">
        <f>HYPERLINK("https://github.com/fossasia/phimpme-android/releases","show")</f>
        <v>show</v>
      </c>
    </row>
    <row r="2511" spans="1:6">
      <c r="A2511" t="s">
        <v>7505</v>
      </c>
      <c r="B2511" t="s">
        <v>7506</v>
      </c>
      <c r="C2511" t="s">
        <v>7507</v>
      </c>
      <c r="D2511" t="str">
        <f>HYPERLINK("https://github.com/QuadFlask/colorpicker/issues/74","show")</f>
        <v>show</v>
      </c>
      <c r="E2511" t="str">
        <f>HYPERLINK("https://github.com/QuadFlask/colorpicker","show")</f>
        <v>show</v>
      </c>
      <c r="F2511" t="str">
        <f>HYPERLINK("https://github.com/QuadFlask/colorpicker/releases","show")</f>
        <v>show</v>
      </c>
    </row>
    <row r="2512" spans="1:6">
      <c r="A2512" t="s">
        <v>7508</v>
      </c>
      <c r="B2512" t="s">
        <v>7509</v>
      </c>
      <c r="C2512" t="s">
        <v>7510</v>
      </c>
      <c r="D2512" t="str">
        <f>HYPERLINK("https://github.com/fossasia/phimpme-android/issues/217","show")</f>
        <v>show</v>
      </c>
      <c r="E2512" t="str">
        <f>HYPERLINK("https://github.com/fossasia/phimpme-android","show")</f>
        <v>show</v>
      </c>
      <c r="F2512" t="str">
        <f>HYPERLINK("https://github.com/fossasia/phimpme-android/releases","show")</f>
        <v>show</v>
      </c>
    </row>
    <row r="2513" spans="1:6">
      <c r="A2513" t="s">
        <v>7511</v>
      </c>
      <c r="B2513" t="s">
        <v>7512</v>
      </c>
      <c r="C2513" t="s">
        <v>7513</v>
      </c>
      <c r="D2513" t="str">
        <f>HYPERLINK("https://github.com/commons-app/apps-android-commons/issues/443","show")</f>
        <v>show</v>
      </c>
      <c r="E2513" t="str">
        <f>HYPERLINK("https://github.com/commons-app/apps-android-commons","show")</f>
        <v>show</v>
      </c>
      <c r="F2513" t="str">
        <f>HYPERLINK("https://github.com/commons-app/apps-android-commons/releases","show")</f>
        <v>show</v>
      </c>
    </row>
    <row r="2514" spans="1:6">
      <c r="A2514" t="s">
        <v>7514</v>
      </c>
      <c r="B2514" t="s">
        <v>7515</v>
      </c>
      <c r="C2514" t="s">
        <v>7516</v>
      </c>
      <c r="D2514" t="str">
        <f>HYPERLINK("https://github.com/Cloudkibo/Android/issues/555","show")</f>
        <v>show</v>
      </c>
      <c r="E2514" t="str">
        <f>HYPERLINK("https://github.com/Cloudkibo/Android","show")</f>
        <v>show</v>
      </c>
      <c r="F2514" t="str">
        <f>HYPERLINK("https://github.com/Cloudkibo/Android/releases","show")</f>
        <v>show</v>
      </c>
    </row>
    <row r="2515" spans="1:6">
      <c r="A2515" t="s">
        <v>7517</v>
      </c>
      <c r="B2515" t="s">
        <v>7518</v>
      </c>
      <c r="C2515" t="s">
        <v>7519</v>
      </c>
      <c r="D2515" t="str">
        <f>HYPERLINK("https://github.com/mauron85/cordova-plugin-background-geolocation/issues/276","show")</f>
        <v>show</v>
      </c>
      <c r="E2515" t="str">
        <f>HYPERLINK("https://github.com/mauron85/cordova-plugin-background-geolocation","show")</f>
        <v>show</v>
      </c>
      <c r="F2515" t="str">
        <f>HYPERLINK("https://github.com/mauron85/cordova-plugin-background-geolocation/releases","show")</f>
        <v>show</v>
      </c>
    </row>
    <row r="2516" spans="1:6">
      <c r="A2516" t="s">
        <v>7520</v>
      </c>
      <c r="B2516" t="s">
        <v>7521</v>
      </c>
      <c r="C2516" t="s">
        <v>7522</v>
      </c>
      <c r="D2516" t="str">
        <f>HYPERLINK("https://github.com/cgeo/cgeo/issues/6419","show")</f>
        <v>show</v>
      </c>
      <c r="E2516" t="str">
        <f>HYPERLINK("https://github.com/cgeo/cgeo","show")</f>
        <v>show</v>
      </c>
      <c r="F2516" t="str">
        <f>HYPERLINK("https://github.com/cgeo/cgeo/releases","show")</f>
        <v>show</v>
      </c>
    </row>
    <row r="2517" spans="1:6">
      <c r="A2517" t="s">
        <v>7523</v>
      </c>
      <c r="B2517" t="s">
        <v>7524</v>
      </c>
      <c r="C2517" t="s">
        <v>7525</v>
      </c>
      <c r="D2517" t="str">
        <f>HYPERLINK("https://github.com/google/ExoPlayer/issues/2592","show")</f>
        <v>show</v>
      </c>
      <c r="E2517" t="str">
        <f>HYPERLINK("https://github.com/google/ExoPlayer","show")</f>
        <v>show</v>
      </c>
      <c r="F2517" t="str">
        <f>HYPERLINK("https://github.com/google/ExoPlayer/releases","show")</f>
        <v>show</v>
      </c>
    </row>
    <row r="2518" spans="1:6">
      <c r="A2518" t="s">
        <v>7526</v>
      </c>
      <c r="B2518" t="s">
        <v>7527</v>
      </c>
      <c r="C2518" t="s">
        <v>7528</v>
      </c>
      <c r="D2518" t="str">
        <f>HYPERLINK("https://github.com/commons-app/apps-android-commons/issues/457","show")</f>
        <v>show</v>
      </c>
      <c r="E2518" t="str">
        <f>HYPERLINK("https://github.com/commons-app/apps-android-commons","show")</f>
        <v>show</v>
      </c>
      <c r="F2518" t="str">
        <f>HYPERLINK("https://github.com/commons-app/apps-android-commons/releases","show")</f>
        <v>show</v>
      </c>
    </row>
    <row r="2519" spans="1:6">
      <c r="A2519" t="s">
        <v>7529</v>
      </c>
      <c r="B2519" t="s">
        <v>7530</v>
      </c>
      <c r="C2519" t="s">
        <v>7531</v>
      </c>
      <c r="D2519" t="str">
        <f>HYPERLINK("https://github.com/grawin/ParkingReminder/issues/2","show")</f>
        <v>show</v>
      </c>
      <c r="E2519" t="str">
        <f>HYPERLINK("https://github.com/grawin/ParkingReminder","show")</f>
        <v>show</v>
      </c>
      <c r="F2519" t="str">
        <f>HYPERLINK("https://github.com/grawin/ParkingReminder/releases","show")</f>
        <v>show</v>
      </c>
    </row>
    <row r="2520" spans="1:6">
      <c r="A2520" t="s">
        <v>7532</v>
      </c>
      <c r="B2520" t="s">
        <v>7533</v>
      </c>
      <c r="C2520" t="s">
        <v>7534</v>
      </c>
      <c r="D2520" t="str">
        <f>HYPERLINK("https://github.com/projectwife/mtesitoo-android/issues/75","show")</f>
        <v>show</v>
      </c>
      <c r="E2520" t="str">
        <f>HYPERLINK("https://github.com/projectwife/mtesitoo-android","show")</f>
        <v>show</v>
      </c>
      <c r="F2520" t="str">
        <f>HYPERLINK("https://github.com/projectwife/mtesitoo-android/releases","show")</f>
        <v>show</v>
      </c>
    </row>
    <row r="2521" spans="1:6">
      <c r="A2521" t="s">
        <v>7535</v>
      </c>
      <c r="B2521" t="s">
        <v>7536</v>
      </c>
      <c r="C2521" t="s">
        <v>7537</v>
      </c>
      <c r="D2521" t="str">
        <f>HYPERLINK("https://github.com/google/ExoPlayer/issues/2604","show")</f>
        <v>show</v>
      </c>
      <c r="E2521" t="str">
        <f>HYPERLINK("https://github.com/google/ExoPlayer","show")</f>
        <v>show</v>
      </c>
      <c r="F2521" t="str">
        <f>HYPERLINK("https://github.com/google/ExoPlayer/releases","show")</f>
        <v>show</v>
      </c>
    </row>
    <row r="2522" spans="1:6">
      <c r="A2522" t="s">
        <v>7538</v>
      </c>
      <c r="B2522" t="s">
        <v>7539</v>
      </c>
      <c r="C2522" t="s">
        <v>7540</v>
      </c>
      <c r="D2522" t="str">
        <f>HYPERLINK("https://github.com/chat-sdk/chat-sdk-android/issues/51","show")</f>
        <v>show</v>
      </c>
      <c r="E2522" t="str">
        <f>HYPERLINK("https://github.com/chat-sdk/chat-sdk-android","show")</f>
        <v>show</v>
      </c>
      <c r="F2522" t="str">
        <f>HYPERLINK("https://github.com/chat-sdk/chat-sdk-android/releases","show")</f>
        <v>show</v>
      </c>
    </row>
    <row r="2523" spans="1:6">
      <c r="A2523" t="s">
        <v>7541</v>
      </c>
      <c r="B2523" t="s">
        <v>7542</v>
      </c>
      <c r="C2523" t="s">
        <v>7543</v>
      </c>
      <c r="D2523" t="str">
        <f>HYPERLINK("https://github.com/getodk/collect/issues/768","show")</f>
        <v>show</v>
      </c>
      <c r="E2523" t="str">
        <f>HYPERLINK("https://github.com/getodk/collect","show")</f>
        <v>show</v>
      </c>
      <c r="F2523" t="str">
        <f>HYPERLINK("https://github.com/getodk/collect/releases","show")</f>
        <v>show</v>
      </c>
    </row>
    <row r="2524" spans="1:6">
      <c r="A2524" t="s">
        <v>7544</v>
      </c>
      <c r="B2524" t="s">
        <v>7545</v>
      </c>
      <c r="C2524" t="s">
        <v>7546</v>
      </c>
      <c r="D2524" t="str">
        <f>HYPERLINK("https://github.com/cgeo/cgeo/issues/6446","show")</f>
        <v>show</v>
      </c>
      <c r="E2524" t="str">
        <f>HYPERLINK("https://github.com/cgeo/cgeo","show")</f>
        <v>show</v>
      </c>
      <c r="F2524" t="str">
        <f>HYPERLINK("https://github.com/cgeo/cgeo/releases","show")</f>
        <v>show</v>
      </c>
    </row>
    <row r="2525" spans="1:6">
      <c r="A2525" t="s">
        <v>7547</v>
      </c>
      <c r="B2525" t="s">
        <v>7548</v>
      </c>
      <c r="C2525" t="s">
        <v>7549</v>
      </c>
      <c r="D2525" t="str">
        <f>HYPERLINK("https://github.com/mattmikolay/pocket-ctc/issues/2","show")</f>
        <v>show</v>
      </c>
      <c r="E2525" t="str">
        <f>HYPERLINK("https://github.com/mattmikolay/pocket-ctc","show")</f>
        <v>show</v>
      </c>
      <c r="F2525" t="str">
        <f>HYPERLINK("https://github.com/mattmikolay/pocket-ctc/releases","show")</f>
        <v>show</v>
      </c>
    </row>
    <row r="2526" spans="1:6">
      <c r="A2526" t="s">
        <v>7550</v>
      </c>
      <c r="B2526" t="s">
        <v>7551</v>
      </c>
      <c r="C2526" t="s">
        <v>7552</v>
      </c>
      <c r="D2526" t="str">
        <f>HYPERLINK("https://github.com/evernote/android-state/issues/13","show")</f>
        <v>show</v>
      </c>
      <c r="E2526" t="str">
        <f>HYPERLINK("https://github.com/evernote/android-state","show")</f>
        <v>show</v>
      </c>
      <c r="F2526" t="str">
        <f>HYPERLINK("https://github.com/evernote/android-state/releases","show")</f>
        <v>show</v>
      </c>
    </row>
    <row r="2527" spans="1:6">
      <c r="A2527" t="s">
        <v>7553</v>
      </c>
      <c r="B2527" t="s">
        <v>7554</v>
      </c>
      <c r="C2527" t="s">
        <v>7555</v>
      </c>
      <c r="D2527" t="str">
        <f>HYPERLINK("https://github.com/cgeo/cgeo/issues/6450","show")</f>
        <v>show</v>
      </c>
      <c r="E2527" t="str">
        <f>HYPERLINK("https://github.com/cgeo/cgeo","show")</f>
        <v>show</v>
      </c>
      <c r="F2527" t="str">
        <f>HYPERLINK("https://github.com/cgeo/cgeo/releases","show")</f>
        <v>show</v>
      </c>
    </row>
    <row r="2528" spans="1:6">
      <c r="A2528" t="s">
        <v>7556</v>
      </c>
      <c r="B2528" t="s">
        <v>7557</v>
      </c>
      <c r="C2528" t="s">
        <v>7558</v>
      </c>
      <c r="D2528" t="str">
        <f>HYPERLINK("https://github.com/ZeeRooo/MaterialFBook/issues/59","show")</f>
        <v>show</v>
      </c>
      <c r="E2528" t="str">
        <f>HYPERLINK("https://github.com/ZeeRooo/MaterialFBook","show")</f>
        <v>show</v>
      </c>
      <c r="F2528" t="str">
        <f>HYPERLINK("https://github.com/ZeeRooo/MaterialFBook/releases","show")</f>
        <v>show</v>
      </c>
    </row>
    <row r="2529" spans="1:6">
      <c r="A2529" t="s">
        <v>7559</v>
      </c>
      <c r="B2529" t="s">
        <v>7560</v>
      </c>
      <c r="C2529" t="s">
        <v>7561</v>
      </c>
      <c r="D2529" t="str">
        <f>HYPERLINK("https://github.com/inaturalist/iNaturalistAndroid/issues/312","show")</f>
        <v>show</v>
      </c>
      <c r="E2529" t="str">
        <f>HYPERLINK("https://github.com/inaturalist/iNaturalistAndroid","show")</f>
        <v>show</v>
      </c>
      <c r="F2529" t="str">
        <f>HYPERLINK("https://github.com/inaturalist/iNaturalistAndroid/releases","show")</f>
        <v>show</v>
      </c>
    </row>
    <row r="2530" spans="1:6">
      <c r="A2530" t="s">
        <v>7562</v>
      </c>
      <c r="B2530" t="s">
        <v>7563</v>
      </c>
      <c r="C2530" t="s">
        <v>7564</v>
      </c>
      <c r="D2530" t="str">
        <f>HYPERLINK("https://github.com/alexvasilkov/GestureViews/issues/66","show")</f>
        <v>show</v>
      </c>
      <c r="E2530" t="str">
        <f>HYPERLINK("https://github.com/alexvasilkov/GestureViews","show")</f>
        <v>show</v>
      </c>
      <c r="F2530" t="str">
        <f>HYPERLINK("https://github.com/alexvasilkov/GestureViews/releases","show")</f>
        <v>show</v>
      </c>
    </row>
    <row r="2531" spans="1:6">
      <c r="A2531" t="s">
        <v>7565</v>
      </c>
      <c r="B2531" t="s">
        <v>7566</v>
      </c>
      <c r="C2531" t="s">
        <v>7567</v>
      </c>
      <c r="D2531" t="str">
        <f>HYPERLINK("https://github.com/playmusicexporter/playmusicexporter/issues/24","show")</f>
        <v>show</v>
      </c>
      <c r="E2531" t="str">
        <f>HYPERLINK("https://github.com/playmusicexporter/playmusicexporter","show")</f>
        <v>show</v>
      </c>
      <c r="F2531" t="str">
        <f>HYPERLINK("https://github.com/playmusicexporter/playmusicexporter/releases","show")</f>
        <v>show</v>
      </c>
    </row>
    <row r="2532" spans="1:6">
      <c r="A2532" t="s">
        <v>7568</v>
      </c>
      <c r="B2532" t="s">
        <v>7569</v>
      </c>
      <c r="C2532" t="s">
        <v>7570</v>
      </c>
      <c r="D2532" t="str">
        <f>HYPERLINK("https://github.com/google/ExoPlayer/issues/2607","show")</f>
        <v>show</v>
      </c>
      <c r="E2532" t="str">
        <f>HYPERLINK("https://github.com/google/ExoPlayer","show")</f>
        <v>show</v>
      </c>
      <c r="F2532" t="str">
        <f>HYPERLINK("https://github.com/google/ExoPlayer/releases","show")</f>
        <v>show</v>
      </c>
    </row>
    <row r="2533" spans="1:6">
      <c r="A2533" t="s">
        <v>7571</v>
      </c>
      <c r="B2533" t="s">
        <v>7572</v>
      </c>
      <c r="C2533" t="s">
        <v>7573</v>
      </c>
      <c r="D2533" t="str">
        <f>HYPERLINK("https://github.com/kabouzeid/Phonograph/issues/112","show")</f>
        <v>show</v>
      </c>
      <c r="E2533" t="str">
        <f>HYPERLINK("https://github.com/kabouzeid/Phonograph","show")</f>
        <v>show</v>
      </c>
      <c r="F2533" t="str">
        <f>HYPERLINK("https://github.com/kabouzeid/Phonograph/releases","show")</f>
        <v>show</v>
      </c>
    </row>
    <row r="2534" spans="1:6">
      <c r="A2534" t="s">
        <v>7574</v>
      </c>
      <c r="B2534" t="s">
        <v>7575</v>
      </c>
      <c r="C2534" t="s">
        <v>7576</v>
      </c>
      <c r="D2534" t="str">
        <f>HYPERLINK("https://github.com/fossasia/phimpme-android/issues/252","show")</f>
        <v>show</v>
      </c>
      <c r="E2534" t="str">
        <f>HYPERLINK("https://github.com/fossasia/phimpme-android","show")</f>
        <v>show</v>
      </c>
      <c r="F2534" t="str">
        <f>HYPERLINK("https://github.com/fossasia/phimpme-android/releases","show")</f>
        <v>show</v>
      </c>
    </row>
    <row r="2535" spans="1:6">
      <c r="A2535" t="s">
        <v>7577</v>
      </c>
      <c r="B2535" t="s">
        <v>6843</v>
      </c>
      <c r="C2535" t="s">
        <v>7578</v>
      </c>
      <c r="D2535" t="str">
        <f>HYPERLINK("https://github.com/0xbowerbird/Wallser/issues/1","show")</f>
        <v>show</v>
      </c>
      <c r="E2535" t="str">
        <f>HYPERLINK("https://github.com/0xbowerbird/Wallser","show")</f>
        <v>show</v>
      </c>
      <c r="F2535" t="str">
        <f>HYPERLINK("https://github.com/0xbowerbird/Wallser/releases","show")</f>
        <v>show</v>
      </c>
    </row>
    <row r="2536" spans="1:6">
      <c r="A2536" t="s">
        <v>7579</v>
      </c>
      <c r="B2536" t="s">
        <v>7580</v>
      </c>
      <c r="C2536" t="s">
        <v>7581</v>
      </c>
      <c r="D2536" t="str">
        <f>HYPERLINK("https://github.com/square/okhttp/issues/3251","show")</f>
        <v>show</v>
      </c>
      <c r="E2536" t="str">
        <f>HYPERLINK("https://github.com/square/okhttp","show")</f>
        <v>show</v>
      </c>
      <c r="F2536" t="str">
        <f>HYPERLINK("https://github.com/square/okhttp/releases","show")</f>
        <v>show</v>
      </c>
    </row>
    <row r="2537" spans="1:6">
      <c r="A2537" t="s">
        <v>7582</v>
      </c>
      <c r="B2537" t="s">
        <v>7583</v>
      </c>
      <c r="C2537" t="s">
        <v>7584</v>
      </c>
      <c r="D2537" t="str">
        <f>HYPERLINK("https://github.com/butterproject/butter-android/issues/153","show")</f>
        <v>show</v>
      </c>
      <c r="E2537" t="str">
        <f>HYPERLINK("https://github.com/butterproject/butter-android","show")</f>
        <v>show</v>
      </c>
      <c r="F2537" t="str">
        <f>HYPERLINK("https://github.com/butterproject/butter-android/releases","show")</f>
        <v>show</v>
      </c>
    </row>
    <row r="2538" spans="1:6">
      <c r="A2538" t="s">
        <v>7585</v>
      </c>
      <c r="B2538" t="s">
        <v>7586</v>
      </c>
      <c r="C2538" t="s">
        <v>7587</v>
      </c>
      <c r="D2538" t="str">
        <f>HYPERLINK("https://github.com/danimahardhika/wallpaperboard/issues/8","show")</f>
        <v>show</v>
      </c>
      <c r="E2538" t="str">
        <f>HYPERLINK("https://github.com/danimahardhika/wallpaperboard","show")</f>
        <v>show</v>
      </c>
      <c r="F2538" t="str">
        <f>HYPERLINK("https://github.com/danimahardhika/wallpaperboard/releases","show")</f>
        <v>show</v>
      </c>
    </row>
    <row r="2539" spans="1:6">
      <c r="A2539" t="s">
        <v>7588</v>
      </c>
      <c r="B2539" t="s">
        <v>7589</v>
      </c>
      <c r="C2539" t="s">
        <v>7590</v>
      </c>
      <c r="D2539" t="str">
        <f>HYPERLINK("https://github.com/codinguser/gnucash-android/issues/663","show")</f>
        <v>show</v>
      </c>
      <c r="E2539" t="str">
        <f>HYPERLINK("https://github.com/codinguser/gnucash-android","show")</f>
        <v>show</v>
      </c>
      <c r="F2539" t="str">
        <f>HYPERLINK("https://github.com/codinguser/gnucash-android/releases","show")</f>
        <v>show</v>
      </c>
    </row>
    <row r="2540" spans="1:6">
      <c r="A2540" t="s">
        <v>7591</v>
      </c>
      <c r="B2540" t="s">
        <v>7592</v>
      </c>
      <c r="C2540" t="s">
        <v>7593</v>
      </c>
      <c r="D2540" t="str">
        <f>HYPERLINK("https://github.com/google/ExoPlayer/issues/2632","show")</f>
        <v>show</v>
      </c>
      <c r="E2540" t="str">
        <f>HYPERLINK("https://github.com/google/ExoPlayer","show")</f>
        <v>show</v>
      </c>
      <c r="F2540" t="str">
        <f>HYPERLINK("https://github.com/google/ExoPlayer/releases","show")</f>
        <v>show</v>
      </c>
    </row>
    <row r="2541" spans="1:6">
      <c r="A2541" t="s">
        <v>7594</v>
      </c>
      <c r="B2541" t="s">
        <v>7595</v>
      </c>
      <c r="C2541" t="s">
        <v>7596</v>
      </c>
      <c r="D2541" t="str">
        <f>HYPERLINK("https://github.com/tanguyantoine/react-native-music-control/issues/55","show")</f>
        <v>show</v>
      </c>
      <c r="E2541" t="str">
        <f>HYPERLINK("https://github.com/tanguyantoine/react-native-music-control","show")</f>
        <v>show</v>
      </c>
      <c r="F2541" t="str">
        <f>HYPERLINK("https://github.com/tanguyantoine/react-native-music-control/releases","show")</f>
        <v>show</v>
      </c>
    </row>
    <row r="2542" spans="1:6">
      <c r="A2542" t="s">
        <v>7597</v>
      </c>
      <c r="B2542" t="s">
        <v>7598</v>
      </c>
      <c r="C2542" t="s">
        <v>7599</v>
      </c>
      <c r="D2542" t="str">
        <f>HYPERLINK("https://github.com/jruesga/rview/issues/24","show")</f>
        <v>show</v>
      </c>
      <c r="E2542" t="str">
        <f>HYPERLINK("https://github.com/jruesga/rview","show")</f>
        <v>show</v>
      </c>
      <c r="F2542" t="str">
        <f>HYPERLINK("https://github.com/jruesga/rview/releases","show")</f>
        <v>show</v>
      </c>
    </row>
    <row r="2543" spans="1:6">
      <c r="A2543" t="s">
        <v>7600</v>
      </c>
      <c r="B2543" t="s">
        <v>7601</v>
      </c>
      <c r="C2543" t="s">
        <v>7602</v>
      </c>
      <c r="D2543" t="str">
        <f>HYPERLINK("https://github.com/grantkang/LandfillE-Forms/issues/21","show")</f>
        <v>show</v>
      </c>
      <c r="E2543" t="str">
        <f>HYPERLINK("https://github.com/grantkang/LandfillE-Forms","show")</f>
        <v>show</v>
      </c>
      <c r="F2543" t="str">
        <f>HYPERLINK("https://github.com/grantkang/LandfillE-Forms/releases","show")</f>
        <v>show</v>
      </c>
    </row>
    <row r="2544" spans="1:6">
      <c r="A2544" t="s">
        <v>7603</v>
      </c>
      <c r="B2544" t="s">
        <v>7604</v>
      </c>
      <c r="C2544" t="s">
        <v>7605</v>
      </c>
      <c r="D2544" t="str">
        <f>HYPERLINK("https://github.com/xenione/swipe-maker/issues/7","show")</f>
        <v>show</v>
      </c>
      <c r="E2544" t="str">
        <f>HYPERLINK("https://github.com/xenione/swipe-maker","show")</f>
        <v>show</v>
      </c>
      <c r="F2544" t="str">
        <f>HYPERLINK("https://github.com/xenione/swipe-maker/releases","show")</f>
        <v>show</v>
      </c>
    </row>
    <row r="2545" spans="1:6">
      <c r="A2545" t="s">
        <v>7606</v>
      </c>
      <c r="B2545" t="s">
        <v>7607</v>
      </c>
      <c r="C2545" t="s">
        <v>7608</v>
      </c>
      <c r="D2545" t="str">
        <f>HYPERLINK("https://github.com/stefan-niedermann/nextcloud-notes/issues/199","show")</f>
        <v>show</v>
      </c>
      <c r="E2545" t="str">
        <f>HYPERLINK("https://github.com/stefan-niedermann/nextcloud-notes","show")</f>
        <v>show</v>
      </c>
      <c r="F2545" t="str">
        <f>HYPERLINK("https://github.com/stefan-niedermann/nextcloud-notes/releases","show")</f>
        <v>show</v>
      </c>
    </row>
    <row r="2546" spans="1:6">
      <c r="A2546" t="s">
        <v>7609</v>
      </c>
      <c r="B2546" t="s">
        <v>7610</v>
      </c>
      <c r="C2546" t="s">
        <v>7611</v>
      </c>
      <c r="D2546" t="str">
        <f>HYPERLINK("https://github.com/lostzen/lost/issues/178","show")</f>
        <v>show</v>
      </c>
      <c r="E2546" t="str">
        <f>HYPERLINK("https://github.com/lostzen/lost","show")</f>
        <v>show</v>
      </c>
      <c r="F2546" t="str">
        <f>HYPERLINK("https://github.com/lostzen/lost/releases","show")</f>
        <v>show</v>
      </c>
    </row>
    <row r="2547" spans="1:6">
      <c r="A2547" t="s">
        <v>7612</v>
      </c>
      <c r="B2547" t="s">
        <v>7613</v>
      </c>
      <c r="C2547" t="s">
        <v>7614</v>
      </c>
      <c r="D2547" t="str">
        <f>HYPERLINK("https://github.com/kgehmlich/soen341-group2/issues/135","show")</f>
        <v>show</v>
      </c>
      <c r="E2547" t="str">
        <f>HYPERLINK("https://github.com/kgehmlich/soen341-group2","show")</f>
        <v>show</v>
      </c>
      <c r="F2547" t="str">
        <f>HYPERLINK("https://github.com/kgehmlich/soen341-group2/releases","show")</f>
        <v>show</v>
      </c>
    </row>
    <row r="2548" spans="1:6">
      <c r="A2548" t="s">
        <v>7615</v>
      </c>
      <c r="B2548" t="s">
        <v>7616</v>
      </c>
      <c r="C2548" t="s">
        <v>7617</v>
      </c>
      <c r="D2548" t="str">
        <f>HYPERLINK("https://github.com/fossasia/phimpme-android/issues/294","show")</f>
        <v>show</v>
      </c>
      <c r="E2548" t="str">
        <f>HYPERLINK("https://github.com/fossasia/phimpme-android","show")</f>
        <v>show</v>
      </c>
      <c r="F2548" t="str">
        <f>HYPERLINK("https://github.com/fossasia/phimpme-android/releases","show")</f>
        <v>show</v>
      </c>
    </row>
    <row r="2549" spans="1:6">
      <c r="A2549" t="s">
        <v>7618</v>
      </c>
      <c r="B2549" t="s">
        <v>7619</v>
      </c>
      <c r="C2549" t="s">
        <v>7620</v>
      </c>
      <c r="D2549" t="str">
        <f>HYPERLINK("https://github.com/google/ExoPlayer/issues/2646","show")</f>
        <v>show</v>
      </c>
      <c r="E2549" t="str">
        <f>HYPERLINK("https://github.com/google/ExoPlayer","show")</f>
        <v>show</v>
      </c>
      <c r="F2549" t="str">
        <f>HYPERLINK("https://github.com/google/ExoPlayer/releases","show")</f>
        <v>show</v>
      </c>
    </row>
    <row r="2550" spans="1:6">
      <c r="A2550" t="s">
        <v>7621</v>
      </c>
      <c r="B2550" t="s">
        <v>7622</v>
      </c>
      <c r="C2550" t="s">
        <v>7623</v>
      </c>
      <c r="D2550" t="str">
        <f>HYPERLINK("https://github.com/Futsal-Manager/android-client/issues/12","show")</f>
        <v>show</v>
      </c>
      <c r="E2550" t="str">
        <f>HYPERLINK("https://github.com/Futsal-Manager/android-client","show")</f>
        <v>show</v>
      </c>
      <c r="F2550" t="str">
        <f>HYPERLINK("https://github.com/Futsal-Manager/android-client/releases","show")</f>
        <v>show</v>
      </c>
    </row>
    <row r="2551" spans="1:6">
      <c r="A2551" t="s">
        <v>7624</v>
      </c>
      <c r="B2551" t="s">
        <v>7625</v>
      </c>
      <c r="C2551" t="s">
        <v>7626</v>
      </c>
      <c r="D2551" t="str">
        <f>HYPERLINK("https://github.com/jMonkeyEngine/sdk/issues/121","show")</f>
        <v>show</v>
      </c>
      <c r="E2551" t="str">
        <f>HYPERLINK("https://github.com/jMonkeyEngine/sdk","show")</f>
        <v>show</v>
      </c>
      <c r="F2551" t="str">
        <f>HYPERLINK("https://github.com/jMonkeyEngine/sdk/releases","show")</f>
        <v>show</v>
      </c>
    </row>
    <row r="2552" spans="1:6">
      <c r="A2552" t="s">
        <v>7627</v>
      </c>
      <c r="B2552" t="s">
        <v>7628</v>
      </c>
      <c r="C2552" t="s">
        <v>7629</v>
      </c>
      <c r="D2552" t="str">
        <f>HYPERLINK("https://github.com/nextcloud/android/issues/809","show")</f>
        <v>show</v>
      </c>
      <c r="E2552" t="str">
        <f>HYPERLINK("https://github.com/nextcloud/android","show")</f>
        <v>show</v>
      </c>
      <c r="F2552" t="str">
        <f>HYPERLINK("https://github.com/nextcloud/android/releases","show")</f>
        <v>show</v>
      </c>
    </row>
    <row r="2553" spans="1:6">
      <c r="A2553" t="s">
        <v>7630</v>
      </c>
      <c r="B2553" t="s">
        <v>7631</v>
      </c>
      <c r="C2553" t="s">
        <v>7632</v>
      </c>
      <c r="D2553" t="str">
        <f>HYPERLINK("https://github.com/niclabs/adkintunmobile-androidclient/issues/165","show")</f>
        <v>show</v>
      </c>
      <c r="E2553" t="str">
        <f>HYPERLINK("https://github.com/niclabs/adkintunmobile-androidclient","show")</f>
        <v>show</v>
      </c>
      <c r="F2553" t="str">
        <f>HYPERLINK("https://github.com/niclabs/adkintunmobile-androidclient/releases","show")</f>
        <v>show</v>
      </c>
    </row>
    <row r="2554" spans="1:6">
      <c r="A2554" t="s">
        <v>7633</v>
      </c>
      <c r="B2554" t="s">
        <v>7634</v>
      </c>
      <c r="C2554" t="s">
        <v>7635</v>
      </c>
      <c r="D2554" t="str">
        <f>HYPERLINK("https://github.com/OpenLauncherTeam/openlauncher/issues/54","show")</f>
        <v>show</v>
      </c>
      <c r="E2554" t="str">
        <f>HYPERLINK("https://github.com/OpenLauncherTeam/openlauncher","show")</f>
        <v>show</v>
      </c>
      <c r="F2554" t="str">
        <f>HYPERLINK("https://github.com/OpenLauncherTeam/openlauncher/releases","show")</f>
        <v>show</v>
      </c>
    </row>
    <row r="2555" spans="1:6">
      <c r="A2555" t="s">
        <v>7636</v>
      </c>
      <c r="B2555" t="s">
        <v>7637</v>
      </c>
      <c r="C2555" t="s">
        <v>7638</v>
      </c>
      <c r="D2555" t="str">
        <f>HYPERLINK("https://github.com/codinguser/gnucash-android/issues/664","show")</f>
        <v>show</v>
      </c>
      <c r="E2555" t="str">
        <f>HYPERLINK("https://github.com/codinguser/gnucash-android","show")</f>
        <v>show</v>
      </c>
      <c r="F2555" t="str">
        <f>HYPERLINK("https://github.com/codinguser/gnucash-android/releases","show")</f>
        <v>show</v>
      </c>
    </row>
    <row r="2556" spans="1:6">
      <c r="A2556" t="s">
        <v>7639</v>
      </c>
      <c r="B2556" t="s">
        <v>7640</v>
      </c>
      <c r="C2556" t="s">
        <v>7641</v>
      </c>
      <c r="D2556" t="str">
        <f>HYPERLINK("https://github.com/spacecowboy/NoNonsense-FilePicker/issues/136","show")</f>
        <v>show</v>
      </c>
      <c r="E2556" t="str">
        <f>HYPERLINK("https://github.com/spacecowboy/NoNonsense-FilePicker","show")</f>
        <v>show</v>
      </c>
      <c r="F2556" t="str">
        <f>HYPERLINK("https://github.com/spacecowboy/NoNonsense-FilePicker/releases","show")</f>
        <v>show</v>
      </c>
    </row>
    <row r="2557" spans="1:6">
      <c r="A2557" t="s">
        <v>7642</v>
      </c>
      <c r="B2557" t="s">
        <v>7643</v>
      </c>
      <c r="C2557" t="s">
        <v>7644</v>
      </c>
      <c r="D2557" t="str">
        <f>HYPERLINK("https://github.com/5calls/android/issues/81","show")</f>
        <v>show</v>
      </c>
      <c r="E2557" t="str">
        <f>HYPERLINK("https://github.com/5calls/android","show")</f>
        <v>show</v>
      </c>
      <c r="F2557" t="str">
        <f>HYPERLINK("https://github.com/5calls/android/releases","show")</f>
        <v>show</v>
      </c>
    </row>
    <row r="2558" spans="1:6">
      <c r="A2558" t="s">
        <v>7645</v>
      </c>
      <c r="B2558" t="s">
        <v>4460</v>
      </c>
      <c r="C2558" t="s">
        <v>7646</v>
      </c>
      <c r="D2558" t="str">
        <f>HYPERLINK("https://github.com/tanrabad/survey/issues/19","show")</f>
        <v>show</v>
      </c>
      <c r="E2558" t="str">
        <f>HYPERLINK("https://github.com/tanrabad/survey","show")</f>
        <v>show</v>
      </c>
      <c r="F2558" t="str">
        <f>HYPERLINK("https://github.com/tanrabad/survey/releases","show")</f>
        <v>show</v>
      </c>
    </row>
    <row r="2559" spans="1:6">
      <c r="A2559" t="s">
        <v>7647</v>
      </c>
      <c r="B2559" t="s">
        <v>7648</v>
      </c>
      <c r="C2559" t="s">
        <v>7649</v>
      </c>
      <c r="D2559" t="str">
        <f>HYPERLINK("https://github.com/google/ExoPlayer/issues/2663","show")</f>
        <v>show</v>
      </c>
      <c r="E2559" t="str">
        <f>HYPERLINK("https://github.com/google/ExoPlayer","show")</f>
        <v>show</v>
      </c>
      <c r="F2559" t="str">
        <f>HYPERLINK("https://github.com/google/ExoPlayer/releases","show")</f>
        <v>show</v>
      </c>
    </row>
    <row r="2560" spans="1:6">
      <c r="A2560" t="s">
        <v>7650</v>
      </c>
      <c r="B2560" t="s">
        <v>7651</v>
      </c>
      <c r="C2560" t="s">
        <v>7652</v>
      </c>
      <c r="D2560" t="str">
        <f>HYPERLINK("https://github.com/tom-anders/Easy_xkcd/issues/110","show")</f>
        <v>show</v>
      </c>
      <c r="E2560" t="str">
        <f>HYPERLINK("https://github.com/tom-anders/Easy_xkcd","show")</f>
        <v>show</v>
      </c>
      <c r="F2560" t="str">
        <f>HYPERLINK("https://github.com/tom-anders/Easy_xkcd/releases","show")</f>
        <v>show</v>
      </c>
    </row>
    <row r="2561" spans="1:6">
      <c r="A2561" t="s">
        <v>7653</v>
      </c>
      <c r="B2561" t="s">
        <v>7654</v>
      </c>
      <c r="C2561" t="s">
        <v>7655</v>
      </c>
      <c r="D2561" t="str">
        <f>HYPERLINK("https://github.com/konradrenner/kolabnotes-android/issues/160","show")</f>
        <v>show</v>
      </c>
      <c r="E2561" t="str">
        <f>HYPERLINK("https://github.com/konradrenner/kolabnotes-android","show")</f>
        <v>show</v>
      </c>
      <c r="F2561" t="str">
        <f>HYPERLINK("https://github.com/konradrenner/kolabnotes-android/releases","show")</f>
        <v>show</v>
      </c>
    </row>
    <row r="2562" spans="1:6">
      <c r="A2562" t="s">
        <v>7656</v>
      </c>
      <c r="B2562" t="s">
        <v>7657</v>
      </c>
      <c r="C2562" t="s">
        <v>7658</v>
      </c>
      <c r="D2562" t="str">
        <f>HYPERLINK("https://github.com/cgeo/cgeo/issues/6481","show")</f>
        <v>show</v>
      </c>
      <c r="E2562" t="str">
        <f>HYPERLINK("https://github.com/cgeo/cgeo","show")</f>
        <v>show</v>
      </c>
      <c r="F2562" t="str">
        <f>HYPERLINK("https://github.com/cgeo/cgeo/releases","show")</f>
        <v>show</v>
      </c>
    </row>
    <row r="2563" spans="1:6">
      <c r="A2563" t="s">
        <v>7659</v>
      </c>
      <c r="B2563" t="s">
        <v>7660</v>
      </c>
      <c r="C2563" t="s">
        <v>7661</v>
      </c>
      <c r="D2563" t="str">
        <f>HYPERLINK("https://github.com/AdBlocker-Reborn/AdBlocker_Reborn/issues/17","show")</f>
        <v>show</v>
      </c>
      <c r="E2563" t="str">
        <f>HYPERLINK("https://github.com/AdBlocker-Reborn/AdBlocker_Reborn","show")</f>
        <v>show</v>
      </c>
      <c r="F2563" t="str">
        <f>HYPERLINK("https://github.com/AdBlocker-Reborn/AdBlocker_Reborn/releases","show")</f>
        <v>show</v>
      </c>
    </row>
    <row r="2564" spans="1:6">
      <c r="A2564" t="s">
        <v>7662</v>
      </c>
      <c r="B2564" t="s">
        <v>7663</v>
      </c>
      <c r="C2564" t="s">
        <v>7664</v>
      </c>
      <c r="D2564" t="str">
        <f>HYPERLINK("https://github.com/ankidroid/Anki-Android/issues/4617","show")</f>
        <v>show</v>
      </c>
      <c r="E2564" t="str">
        <f>HYPERLINK("https://github.com/ankidroid/Anki-Android","show")</f>
        <v>show</v>
      </c>
      <c r="F2564" t="str">
        <f>HYPERLINK("https://github.com/ankidroid/Anki-Android/releases","show")</f>
        <v>show</v>
      </c>
    </row>
    <row r="2565" spans="1:6">
      <c r="A2565" t="s">
        <v>7665</v>
      </c>
      <c r="B2565" t="s">
        <v>4460</v>
      </c>
      <c r="C2565" t="s">
        <v>7666</v>
      </c>
      <c r="D2565" t="str">
        <f>HYPERLINK("https://github.com/tanrabad/survey/issues/20","show")</f>
        <v>show</v>
      </c>
      <c r="E2565" t="str">
        <f>HYPERLINK("https://github.com/tanrabad/survey","show")</f>
        <v>show</v>
      </c>
      <c r="F2565" t="str">
        <f>HYPERLINK("https://github.com/tanrabad/survey/releases","show")</f>
        <v>show</v>
      </c>
    </row>
    <row r="2566" spans="1:6">
      <c r="A2566" t="s">
        <v>7667</v>
      </c>
      <c r="B2566" t="s">
        <v>7668</v>
      </c>
      <c r="C2566" t="s">
        <v>7669</v>
      </c>
      <c r="D2566" t="str">
        <f>HYPERLINK("https://github.com/getodk/collect/issues/869","show")</f>
        <v>show</v>
      </c>
      <c r="E2566" t="str">
        <f>HYPERLINK("https://github.com/getodk/collect","show")</f>
        <v>show</v>
      </c>
      <c r="F2566" t="str">
        <f>HYPERLINK("https://github.com/getodk/collect/releases","show")</f>
        <v>show</v>
      </c>
    </row>
    <row r="2567" spans="1:6">
      <c r="A2567" t="s">
        <v>7670</v>
      </c>
      <c r="B2567" t="s">
        <v>7671</v>
      </c>
      <c r="C2567" t="s">
        <v>7672</v>
      </c>
      <c r="D2567" t="str">
        <f>HYPERLINK("https://github.com/DroidsOnRoids/Workcation/issues/3","show")</f>
        <v>show</v>
      </c>
      <c r="E2567" t="str">
        <f>HYPERLINK("https://github.com/DroidsOnRoids/Workcation","show")</f>
        <v>show</v>
      </c>
      <c r="F2567" t="str">
        <f>HYPERLINK("https://github.com/DroidsOnRoids/Workcation/releases","show")</f>
        <v>show</v>
      </c>
    </row>
    <row r="2568" spans="1:6">
      <c r="A2568" t="s">
        <v>7673</v>
      </c>
      <c r="B2568" t="s">
        <v>7674</v>
      </c>
      <c r="C2568" t="s">
        <v>7675</v>
      </c>
      <c r="D2568" t="str">
        <f>HYPERLINK("https://github.com/nextcloud/android/issues/820","show")</f>
        <v>show</v>
      </c>
      <c r="E2568" t="str">
        <f>HYPERLINK("https://github.com/nextcloud/android","show")</f>
        <v>show</v>
      </c>
      <c r="F2568" t="str">
        <f>HYPERLINK("https://github.com/nextcloud/android/releases","show")</f>
        <v>show</v>
      </c>
    </row>
    <row r="2569" spans="1:6">
      <c r="A2569" t="s">
        <v>7676</v>
      </c>
      <c r="B2569" t="s">
        <v>7677</v>
      </c>
      <c r="C2569" t="s">
        <v>7678</v>
      </c>
      <c r="D2569" t="str">
        <f>HYPERLINK("https://github.com/zhanhui913/Budget/issues/172","show")</f>
        <v>show</v>
      </c>
      <c r="E2569" t="str">
        <f>HYPERLINK("https://github.com/zhanhui913/Budget","show")</f>
        <v>show</v>
      </c>
      <c r="F2569" t="str">
        <f>HYPERLINK("https://github.com/zhanhui913/Budget/releases","show")</f>
        <v>show</v>
      </c>
    </row>
    <row r="2570" spans="1:6">
      <c r="A2570" t="s">
        <v>7679</v>
      </c>
      <c r="B2570" t="s">
        <v>7680</v>
      </c>
      <c r="C2570" t="s">
        <v>7681</v>
      </c>
      <c r="D2570" t="str">
        <f>HYPERLINK("https://github.com/SCCapstone/Gamecock-Study/issues/45","show")</f>
        <v>show</v>
      </c>
      <c r="E2570" t="str">
        <f>HYPERLINK("https://github.com/SCCapstone/Gamecock-Study","show")</f>
        <v>show</v>
      </c>
      <c r="F2570" t="str">
        <f>HYPERLINK("https://github.com/SCCapstone/Gamecock-Study/releases","show")</f>
        <v>show</v>
      </c>
    </row>
    <row r="2571" spans="1:6">
      <c r="A2571" t="s">
        <v>7682</v>
      </c>
      <c r="B2571" t="s">
        <v>7683</v>
      </c>
      <c r="C2571" t="s">
        <v>7684</v>
      </c>
      <c r="D2571" t="str">
        <f>HYPERLINK("https://github.com/ViHtarb/Tooltip/issues/26","show")</f>
        <v>show</v>
      </c>
      <c r="E2571" t="str">
        <f>HYPERLINK("https://github.com/ViHtarb/Tooltip","show")</f>
        <v>show</v>
      </c>
      <c r="F2571" t="str">
        <f>HYPERLINK("https://github.com/ViHtarb/Tooltip/releases","show")</f>
        <v>show</v>
      </c>
    </row>
    <row r="2572" spans="1:6">
      <c r="A2572" t="s">
        <v>7685</v>
      </c>
      <c r="B2572" t="s">
        <v>7686</v>
      </c>
      <c r="C2572" t="s">
        <v>7687</v>
      </c>
      <c r="D2572" t="str">
        <f>HYPERLINK("https://github.com/schedjoules/android-event-discovery-sdk/issues/195","show")</f>
        <v>show</v>
      </c>
      <c r="E2572" t="str">
        <f>HYPERLINK("https://github.com/schedjoules/android-event-discovery-sdk","show")</f>
        <v>show</v>
      </c>
      <c r="F2572" t="str">
        <f>HYPERLINK("https://github.com/schedjoules/android-event-discovery-sdk/releases","show")</f>
        <v>show</v>
      </c>
    </row>
    <row r="2573" spans="1:6">
      <c r="A2573" t="s">
        <v>7688</v>
      </c>
      <c r="B2573" t="s">
        <v>7689</v>
      </c>
      <c r="C2573" t="s">
        <v>7690</v>
      </c>
      <c r="D2573" t="str">
        <f>HYPERLINK("https://github.com/Automattic/Automattic-Tracks-Android/issues/28","show")</f>
        <v>show</v>
      </c>
      <c r="E2573" t="str">
        <f>HYPERLINK("https://github.com/Automattic/Automattic-Tracks-Android","show")</f>
        <v>show</v>
      </c>
      <c r="F2573" t="str">
        <f>HYPERLINK("https://github.com/Automattic/Automattic-Tracks-Android/releases","show")</f>
        <v>show</v>
      </c>
    </row>
    <row r="2574" spans="1:6">
      <c r="A2574" t="s">
        <v>7691</v>
      </c>
      <c r="B2574" t="s">
        <v>7692</v>
      </c>
      <c r="C2574" t="s">
        <v>7693</v>
      </c>
      <c r="D2574" t="str">
        <f>HYPERLINK("https://github.com/evernote/android-job/issues/176","show")</f>
        <v>show</v>
      </c>
      <c r="E2574" t="str">
        <f>HYPERLINK("https://github.com/evernote/android-job","show")</f>
        <v>show</v>
      </c>
      <c r="F2574" t="str">
        <f>HYPERLINK("https://github.com/evernote/android-job/releases","show")</f>
        <v>show</v>
      </c>
    </row>
    <row r="2575" spans="1:6">
      <c r="A2575" t="s">
        <v>7694</v>
      </c>
      <c r="B2575" t="s">
        <v>7695</v>
      </c>
      <c r="C2575" t="s">
        <v>7696</v>
      </c>
      <c r="D2575" t="str">
        <f>HYPERLINK("https://github.com/amahi/android/issues/198","show")</f>
        <v>show</v>
      </c>
      <c r="E2575" t="str">
        <f>HYPERLINK("https://github.com/amahi/android","show")</f>
        <v>show</v>
      </c>
      <c r="F2575" t="str">
        <f>HYPERLINK("https://github.com/amahi/android/releases","show")</f>
        <v>show</v>
      </c>
    </row>
    <row r="2576" spans="1:6">
      <c r="A2576" t="s">
        <v>7697</v>
      </c>
      <c r="B2576" t="s">
        <v>7698</v>
      </c>
      <c r="C2576" t="s">
        <v>7699</v>
      </c>
      <c r="D2576" t="str">
        <f>HYPERLINK("https://github.com/ozelevrim/EvrimNews/issues/11","show")</f>
        <v>show</v>
      </c>
      <c r="E2576" t="str">
        <f>HYPERLINK("https://github.com/ozelevrim/EvrimNews","show")</f>
        <v>show</v>
      </c>
      <c r="F2576" t="str">
        <f>HYPERLINK("https://github.com/ozelevrim/EvrimNews/releases","show")</f>
        <v>show</v>
      </c>
    </row>
    <row r="2577" spans="1:6">
      <c r="A2577" t="s">
        <v>7700</v>
      </c>
      <c r="B2577" t="s">
        <v>7701</v>
      </c>
      <c r="C2577" t="s">
        <v>7702</v>
      </c>
      <c r="D2577" t="str">
        <f>HYPERLINK("https://github.com/ozelevrim/EvrimNews/issues/8","show")</f>
        <v>show</v>
      </c>
      <c r="E2577" t="str">
        <f>HYPERLINK("https://github.com/ozelevrim/EvrimNews","show")</f>
        <v>show</v>
      </c>
      <c r="F2577" t="str">
        <f>HYPERLINK("https://github.com/ozelevrim/EvrimNews/releases","show")</f>
        <v>show</v>
      </c>
    </row>
    <row r="2578" spans="1:6">
      <c r="A2578" t="s">
        <v>7703</v>
      </c>
      <c r="B2578" t="s">
        <v>7704</v>
      </c>
      <c r="C2578" t="s">
        <v>7705</v>
      </c>
      <c r="D2578" t="str">
        <f>HYPERLINK("https://github.com/erickok/transdroid/issues/367","show")</f>
        <v>show</v>
      </c>
      <c r="E2578" t="str">
        <f>HYPERLINK("https://github.com/erickok/transdroid","show")</f>
        <v>show</v>
      </c>
      <c r="F2578" t="str">
        <f>HYPERLINK("https://github.com/erickok/transdroid/releases","show")</f>
        <v>show</v>
      </c>
    </row>
    <row r="2579" spans="1:6">
      <c r="A2579" t="s">
        <v>7706</v>
      </c>
      <c r="B2579" t="s">
        <v>7707</v>
      </c>
      <c r="C2579" t="s">
        <v>7708</v>
      </c>
      <c r="D2579" t="str">
        <f>HYPERLINK("https://github.com/timusus/Shuttle/issues/91","show")</f>
        <v>show</v>
      </c>
      <c r="E2579" t="str">
        <f>HYPERLINK("https://github.com/timusus/Shuttle","show")</f>
        <v>show</v>
      </c>
      <c r="F2579" t="str">
        <f>HYPERLINK("https://github.com/timusus/Shuttle/releases","show")</f>
        <v>show</v>
      </c>
    </row>
    <row r="2580" spans="1:6">
      <c r="A2580" t="s">
        <v>7709</v>
      </c>
      <c r="B2580" t="s">
        <v>7710</v>
      </c>
      <c r="C2580" t="s">
        <v>7711</v>
      </c>
      <c r="D2580" t="str">
        <f>HYPERLINK("https://github.com/username115/FRCScouting/issues/182","show")</f>
        <v>show</v>
      </c>
      <c r="E2580" t="str">
        <f>HYPERLINK("https://github.com/username115/FRCScouting","show")</f>
        <v>show</v>
      </c>
      <c r="F2580" t="str">
        <f>HYPERLINK("https://github.com/username115/FRCScouting/releases","show")</f>
        <v>show</v>
      </c>
    </row>
    <row r="2581" spans="1:6">
      <c r="A2581" t="s">
        <v>7712</v>
      </c>
      <c r="B2581" t="s">
        <v>7713</v>
      </c>
      <c r="C2581" t="s">
        <v>7714</v>
      </c>
      <c r="D2581" t="str">
        <f>HYPERLINK("https://github.com/codinguser/gnucash-android/issues/672","show")</f>
        <v>show</v>
      </c>
      <c r="E2581" t="str">
        <f>HYPERLINK("https://github.com/codinguser/gnucash-android","show")</f>
        <v>show</v>
      </c>
      <c r="F2581" t="str">
        <f>HYPERLINK("https://github.com/codinguser/gnucash-android/releases","show")</f>
        <v>show</v>
      </c>
    </row>
    <row r="2582" spans="1:6">
      <c r="A2582" t="s">
        <v>7715</v>
      </c>
      <c r="B2582" t="s">
        <v>7716</v>
      </c>
      <c r="C2582" t="s">
        <v>7717</v>
      </c>
      <c r="D2582" t="str">
        <f>HYPERLINK("https://github.com/commons-app/apps-android-commons/issues/506","show")</f>
        <v>show</v>
      </c>
      <c r="E2582" t="str">
        <f>HYPERLINK("https://github.com/commons-app/apps-android-commons","show")</f>
        <v>show</v>
      </c>
      <c r="F2582" t="str">
        <f>HYPERLINK("https://github.com/commons-app/apps-android-commons/releases","show")</f>
        <v>show</v>
      </c>
    </row>
    <row r="2583" spans="1:6">
      <c r="A2583" t="s">
        <v>7718</v>
      </c>
      <c r="B2583" t="s">
        <v>7719</v>
      </c>
      <c r="C2583" t="s">
        <v>7720</v>
      </c>
      <c r="D2583" t="str">
        <f>HYPERLINK("https://github.com/evernote/android-job/issues/178","show")</f>
        <v>show</v>
      </c>
      <c r="E2583" t="str">
        <f>HYPERLINK("https://github.com/evernote/android-job","show")</f>
        <v>show</v>
      </c>
      <c r="F2583" t="str">
        <f>HYPERLINK("https://github.com/evernote/android-job/releases","show")</f>
        <v>show</v>
      </c>
    </row>
    <row r="2584" spans="1:6">
      <c r="A2584" t="s">
        <v>7721</v>
      </c>
      <c r="B2584" t="s">
        <v>7722</v>
      </c>
      <c r="C2584" t="s">
        <v>7723</v>
      </c>
      <c r="D2584" t="str">
        <f>HYPERLINK("https://github.com/midhunhk/trip-o-meter/issues/16","show")</f>
        <v>show</v>
      </c>
      <c r="E2584" t="str">
        <f>HYPERLINK("https://github.com/midhunhk/trip-o-meter","show")</f>
        <v>show</v>
      </c>
      <c r="F2584" t="str">
        <f>HYPERLINK("https://github.com/midhunhk/trip-o-meter/releases","show")</f>
        <v>show</v>
      </c>
    </row>
    <row r="2585" spans="1:6">
      <c r="A2585" t="s">
        <v>7724</v>
      </c>
      <c r="B2585" t="s">
        <v>7725</v>
      </c>
      <c r="C2585" t="s">
        <v>7726</v>
      </c>
      <c r="D2585" t="str">
        <f>HYPERLINK("https://github.com/i2p/i2p.i2p-bote/issues/17","show")</f>
        <v>show</v>
      </c>
      <c r="E2585" t="str">
        <f>HYPERLINK("https://github.com/i2p/i2p.i2p-bote","show")</f>
        <v>show</v>
      </c>
      <c r="F2585" t="str">
        <f>HYPERLINK("https://github.com/i2p/i2p.i2p-bote/releases","show")</f>
        <v>show</v>
      </c>
    </row>
    <row r="2586" spans="1:6">
      <c r="A2586" t="s">
        <v>7727</v>
      </c>
      <c r="B2586" t="s">
        <v>7728</v>
      </c>
      <c r="C2586" t="s">
        <v>7729</v>
      </c>
      <c r="D2586" t="str">
        <f>HYPERLINK("https://github.com/collls/SmartCityCrowd/issues/3","show")</f>
        <v>show</v>
      </c>
      <c r="E2586" t="str">
        <f>HYPERLINK("https://github.com/collls/SmartCityCrowd","show")</f>
        <v>show</v>
      </c>
      <c r="F2586" t="str">
        <f>HYPERLINK("https://github.com/collls/SmartCityCrowd/releases","show")</f>
        <v>show</v>
      </c>
    </row>
    <row r="2587" spans="1:6">
      <c r="A2587" t="s">
        <v>7730</v>
      </c>
      <c r="B2587" t="s">
        <v>7731</v>
      </c>
      <c r="C2587" t="s">
        <v>7732</v>
      </c>
      <c r="D2587" t="str">
        <f>HYPERLINK("https://github.com/pchmn/MaterialChipsInput/issues/1","show")</f>
        <v>show</v>
      </c>
      <c r="E2587" t="str">
        <f>HYPERLINK("https://github.com/pchmn/MaterialChipsInput","show")</f>
        <v>show</v>
      </c>
      <c r="F2587" t="str">
        <f>HYPERLINK("https://github.com/pchmn/MaterialChipsInput/releases","show")</f>
        <v>show</v>
      </c>
    </row>
    <row r="2588" spans="1:6">
      <c r="A2588" t="s">
        <v>7733</v>
      </c>
      <c r="B2588" t="s">
        <v>7734</v>
      </c>
      <c r="C2588" t="s">
        <v>7735</v>
      </c>
      <c r="D2588" t="str">
        <f>HYPERLINK("https://github.com/commons-app/apps-android-commons/issues/510","show")</f>
        <v>show</v>
      </c>
      <c r="E2588" t="str">
        <f>HYPERLINK("https://github.com/commons-app/apps-android-commons","show")</f>
        <v>show</v>
      </c>
      <c r="F2588" t="str">
        <f>HYPERLINK("https://github.com/commons-app/apps-android-commons/releases","show")</f>
        <v>show</v>
      </c>
    </row>
    <row r="2589" spans="1:6">
      <c r="A2589" t="s">
        <v>7736</v>
      </c>
      <c r="B2589" t="s">
        <v>7737</v>
      </c>
      <c r="C2589" t="s">
        <v>7738</v>
      </c>
      <c r="D2589" t="str">
        <f>HYPERLINK("https://github.com/cientopolis/samplers/issues/38","show")</f>
        <v>show</v>
      </c>
      <c r="E2589" t="str">
        <f>HYPERLINK("https://github.com/cientopolis/samplers","show")</f>
        <v>show</v>
      </c>
      <c r="F2589" t="str">
        <f>HYPERLINK("https://github.com/cientopolis/samplers/releases","show")</f>
        <v>show</v>
      </c>
    </row>
    <row r="2590" spans="1:6">
      <c r="A2590" t="s">
        <v>7739</v>
      </c>
      <c r="B2590" t="s">
        <v>7740</v>
      </c>
      <c r="C2590" t="s">
        <v>7741</v>
      </c>
      <c r="D2590" t="str">
        <f>HYPERLINK("https://github.com/inaturalist/iNaturalistAndroid/issues/329","show")</f>
        <v>show</v>
      </c>
      <c r="E2590" t="str">
        <f>HYPERLINK("https://github.com/inaturalist/iNaturalistAndroid","show")</f>
        <v>show</v>
      </c>
      <c r="F2590" t="str">
        <f>HYPERLINK("https://github.com/inaturalist/iNaturalistAndroid/releases","show")</f>
        <v>show</v>
      </c>
    </row>
    <row r="2591" spans="1:6">
      <c r="A2591" t="s">
        <v>7742</v>
      </c>
      <c r="B2591" t="s">
        <v>7743</v>
      </c>
      <c r="C2591" t="s">
        <v>7744</v>
      </c>
      <c r="D2591" t="str">
        <f>HYPERLINK("https://github.com/sbugert/react-native-admob/issues/123","show")</f>
        <v>show</v>
      </c>
      <c r="E2591" t="str">
        <f>HYPERLINK("https://github.com/sbugert/react-native-admob","show")</f>
        <v>show</v>
      </c>
      <c r="F2591" t="str">
        <f>HYPERLINK("https://github.com/sbugert/react-native-admob/releases","show")</f>
        <v>show</v>
      </c>
    </row>
    <row r="2592" spans="1:6">
      <c r="A2592" t="s">
        <v>7745</v>
      </c>
      <c r="B2592" t="s">
        <v>7746</v>
      </c>
      <c r="C2592" t="s">
        <v>7747</v>
      </c>
      <c r="D2592" t="str">
        <f>HYPERLINK("https://github.com/zom/Zom-Android-XMPP/issues/218","show")</f>
        <v>show</v>
      </c>
      <c r="E2592" t="str">
        <f>HYPERLINK("https://github.com/zom/Zom-Android-XMPP","show")</f>
        <v>show</v>
      </c>
      <c r="F2592" t="str">
        <f>HYPERLINK("https://github.com/zom/Zom-Android-XMPP/releases","show")</f>
        <v>show</v>
      </c>
    </row>
    <row r="2593" spans="1:6">
      <c r="A2593" t="s">
        <v>7748</v>
      </c>
      <c r="B2593" t="s">
        <v>7749</v>
      </c>
      <c r="C2593" t="s">
        <v>7750</v>
      </c>
      <c r="D2593" t="str">
        <f>HYPERLINK("https://github.com/zom/Zom-Android-XMPP/issues/215","show")</f>
        <v>show</v>
      </c>
      <c r="E2593" t="str">
        <f>HYPERLINK("https://github.com/zom/Zom-Android-XMPP","show")</f>
        <v>show</v>
      </c>
      <c r="F2593" t="str">
        <f>HYPERLINK("https://github.com/zom/Zom-Android-XMPP/releases","show")</f>
        <v>show</v>
      </c>
    </row>
    <row r="2594" spans="1:6">
      <c r="A2594" t="s">
        <v>7751</v>
      </c>
      <c r="B2594" t="s">
        <v>7752</v>
      </c>
      <c r="C2594" t="s">
        <v>7753</v>
      </c>
      <c r="D2594" t="str">
        <f>HYPERLINK("https://github.com/nextcloud/android/issues/850","show")</f>
        <v>show</v>
      </c>
      <c r="E2594" t="str">
        <f>HYPERLINK("https://github.com/nextcloud/android","show")</f>
        <v>show</v>
      </c>
      <c r="F2594" t="str">
        <f>HYPERLINK("https://github.com/nextcloud/android/releases","show")</f>
        <v>show</v>
      </c>
    </row>
    <row r="2595" spans="1:6">
      <c r="A2595" t="s">
        <v>7754</v>
      </c>
      <c r="B2595" t="s">
        <v>7755</v>
      </c>
      <c r="C2595" t="s">
        <v>7756</v>
      </c>
      <c r="D2595" t="str">
        <f>HYPERLINK("https://github.com/platypusllc/tablet/issues/52","show")</f>
        <v>show</v>
      </c>
      <c r="E2595" t="str">
        <f>HYPERLINK("https://github.com/platypusllc/tablet","show")</f>
        <v>show</v>
      </c>
      <c r="F2595" t="str">
        <f>HYPERLINK("https://github.com/platypusllc/tablet/releases","show")</f>
        <v>show</v>
      </c>
    </row>
    <row r="2596" spans="1:6">
      <c r="A2596" t="s">
        <v>7757</v>
      </c>
      <c r="B2596" t="s">
        <v>7758</v>
      </c>
      <c r="C2596" t="s">
        <v>7759</v>
      </c>
      <c r="D2596" t="str">
        <f>HYPERLINK("https://github.com/nextcloud/android/issues/843","show")</f>
        <v>show</v>
      </c>
      <c r="E2596" t="str">
        <f>HYPERLINK("https://github.com/nextcloud/android","show")</f>
        <v>show</v>
      </c>
      <c r="F2596" t="str">
        <f>HYPERLINK("https://github.com/nextcloud/android/releases","show")</f>
        <v>show</v>
      </c>
    </row>
    <row r="2597" spans="1:6">
      <c r="A2597" t="s">
        <v>7760</v>
      </c>
      <c r="B2597" t="s">
        <v>7761</v>
      </c>
      <c r="C2597" t="s">
        <v>7762</v>
      </c>
      <c r="D2597" t="str">
        <f>HYPERLINK("https://github.com/PhilJay/MPAndroidChart/issues/3032","show")</f>
        <v>show</v>
      </c>
      <c r="E2597" t="str">
        <f>HYPERLINK("https://github.com/PhilJay/MPAndroidChart","show")</f>
        <v>show</v>
      </c>
      <c r="F2597" t="str">
        <f>HYPERLINK("https://github.com/PhilJay/MPAndroidChart/releases","show")</f>
        <v>show</v>
      </c>
    </row>
    <row r="2598" spans="1:6">
      <c r="A2598" t="s">
        <v>7763</v>
      </c>
      <c r="B2598" t="s">
        <v>7764</v>
      </c>
      <c r="C2598" t="s">
        <v>7765</v>
      </c>
      <c r="D2598" t="str">
        <f>HYPERLINK("https://github.com/nextcloud/android/issues/858","show")</f>
        <v>show</v>
      </c>
      <c r="E2598" t="str">
        <f>HYPERLINK("https://github.com/nextcloud/android","show")</f>
        <v>show</v>
      </c>
      <c r="F2598" t="str">
        <f>HYPERLINK("https://github.com/nextcloud/android/releases","show")</f>
        <v>show</v>
      </c>
    </row>
    <row r="2599" spans="1:6">
      <c r="A2599" t="s">
        <v>7766</v>
      </c>
      <c r="B2599" t="s">
        <v>7767</v>
      </c>
      <c r="C2599" t="s">
        <v>7768</v>
      </c>
      <c r="D2599" t="str">
        <f>HYPERLINK("https://github.com/amosyuen/FFmpegVideoRecorder/issues/5","show")</f>
        <v>show</v>
      </c>
      <c r="E2599" t="str">
        <f>HYPERLINK("https://github.com/amosyuen/FFmpegVideoRecorder","show")</f>
        <v>show</v>
      </c>
      <c r="F2599" t="str">
        <f>HYPERLINK("https://github.com/amosyuen/FFmpegVideoRecorder/releases","show")</f>
        <v>show</v>
      </c>
    </row>
    <row r="2600" spans="1:6">
      <c r="A2600" t="s">
        <v>7769</v>
      </c>
      <c r="B2600" t="s">
        <v>7770</v>
      </c>
      <c r="C2600" t="s">
        <v>7771</v>
      </c>
      <c r="D2600" t="str">
        <f>HYPERLINK("https://github.com/zom/Zom-Android-XMPP/issues/221","show")</f>
        <v>show</v>
      </c>
      <c r="E2600" t="str">
        <f>HYPERLINK("https://github.com/zom/Zom-Android-XMPP","show")</f>
        <v>show</v>
      </c>
      <c r="F2600" t="str">
        <f>HYPERLINK("https://github.com/zom/Zom-Android-XMPP/releases","show")</f>
        <v>show</v>
      </c>
    </row>
    <row r="2601" spans="1:6">
      <c r="A2601" t="s">
        <v>7772</v>
      </c>
      <c r="B2601" t="s">
        <v>7773</v>
      </c>
      <c r="C2601" t="s">
        <v>7774</v>
      </c>
      <c r="D2601" t="str">
        <f>HYPERLINK("https://github.com/zom/Zom-Android-XMPP/issues/220","show")</f>
        <v>show</v>
      </c>
      <c r="E2601" t="str">
        <f>HYPERLINK("https://github.com/zom/Zom-Android-XMPP","show")</f>
        <v>show</v>
      </c>
      <c r="F2601" t="str">
        <f>HYPERLINK("https://github.com/zom/Zom-Android-XMPP/releases","show")</f>
        <v>show</v>
      </c>
    </row>
    <row r="2602" spans="1:6">
      <c r="A2602" t="s">
        <v>7775</v>
      </c>
      <c r="B2602" t="s">
        <v>7776</v>
      </c>
      <c r="C2602" t="s">
        <v>7777</v>
      </c>
      <c r="D2602" t="str">
        <f>HYPERLINK("https://github.com/openid/OpenYOLO-Android/issues/27","show")</f>
        <v>show</v>
      </c>
      <c r="E2602" t="str">
        <f>HYPERLINK("https://github.com/openid/OpenYOLO-Android","show")</f>
        <v>show</v>
      </c>
      <c r="F2602" t="str">
        <f>HYPERLINK("https://github.com/openid/OpenYOLO-Android/releases","show")</f>
        <v>show</v>
      </c>
    </row>
    <row r="2603" spans="1:6">
      <c r="A2603" t="s">
        <v>7778</v>
      </c>
      <c r="B2603" t="s">
        <v>7779</v>
      </c>
      <c r="C2603" t="s">
        <v>7780</v>
      </c>
      <c r="D2603" t="str">
        <f>HYPERLINK("https://github.com/nextcloud/android/issues/874","show")</f>
        <v>show</v>
      </c>
      <c r="E2603" t="str">
        <f>HYPERLINK("https://github.com/nextcloud/android","show")</f>
        <v>show</v>
      </c>
      <c r="F2603" t="str">
        <f>HYPERLINK("https://github.com/nextcloud/android/releases","show")</f>
        <v>show</v>
      </c>
    </row>
    <row r="2604" spans="1:6">
      <c r="A2604" t="s">
        <v>7781</v>
      </c>
      <c r="B2604" t="s">
        <v>7782</v>
      </c>
      <c r="C2604" t="s">
        <v>7783</v>
      </c>
      <c r="D2604" t="str">
        <f>HYPERLINK("https://github.com/vector-im/riot-android/issues/1148","show")</f>
        <v>show</v>
      </c>
      <c r="E2604" t="str">
        <f>HYPERLINK("https://github.com/vector-im/riot-android","show")</f>
        <v>show</v>
      </c>
      <c r="F2604" t="str">
        <f>HYPERLINK("https://github.com/vector-im/riot-android/releases","show")</f>
        <v>show</v>
      </c>
    </row>
    <row r="2605" spans="1:6">
      <c r="A2605" t="s">
        <v>7784</v>
      </c>
      <c r="B2605" t="s">
        <v>7785</v>
      </c>
      <c r="C2605" t="s">
        <v>7786</v>
      </c>
      <c r="D2605" t="str">
        <f>HYPERLINK("https://github.com/Freeyourgadget/Gadgetbridge/issues/662","show")</f>
        <v>show</v>
      </c>
      <c r="E2605" t="str">
        <f>HYPERLINK("https://github.com/Freeyourgadget/Gadgetbridge","show")</f>
        <v>show</v>
      </c>
      <c r="F2605" t="str">
        <f>HYPERLINK("https://github.com/Freeyourgadget/Gadgetbridge/releases","show")</f>
        <v>show</v>
      </c>
    </row>
    <row r="2606" spans="1:6">
      <c r="A2606" t="s">
        <v>7787</v>
      </c>
      <c r="B2606" t="s">
        <v>7788</v>
      </c>
      <c r="C2606" t="s">
        <v>7789</v>
      </c>
      <c r="D2606" t="str">
        <f>HYPERLINK("https://github.com/Openu20950/OpenApp/issues/83","show")</f>
        <v>show</v>
      </c>
      <c r="E2606" t="str">
        <f>HYPERLINK("https://github.com/Openu20950/OpenApp","show")</f>
        <v>show</v>
      </c>
      <c r="F2606" t="str">
        <f>HYPERLINK("https://github.com/Openu20950/OpenApp/releases","show")</f>
        <v>show</v>
      </c>
    </row>
    <row r="2607" spans="1:6">
      <c r="A2607" t="s">
        <v>7790</v>
      </c>
      <c r="B2607" t="s">
        <v>7791</v>
      </c>
      <c r="C2607" t="s">
        <v>7792</v>
      </c>
      <c r="D2607" t="str">
        <f>HYPERLINK("https://github.com/Openu20950/OpenApp/issues/82","show")</f>
        <v>show</v>
      </c>
      <c r="E2607" t="str">
        <f>HYPERLINK("https://github.com/Openu20950/OpenApp","show")</f>
        <v>show</v>
      </c>
      <c r="F2607" t="str">
        <f>HYPERLINK("https://github.com/Openu20950/OpenApp/releases","show")</f>
        <v>show</v>
      </c>
    </row>
    <row r="2608" spans="1:6">
      <c r="A2608" t="s">
        <v>7793</v>
      </c>
      <c r="B2608" t="s">
        <v>7794</v>
      </c>
      <c r="C2608" t="s">
        <v>7795</v>
      </c>
      <c r="D2608" t="str">
        <f>HYPERLINK("https://github.com/regulaforensics/RegulaDocumentReader-Android/issues/2","show")</f>
        <v>show</v>
      </c>
      <c r="E2608" t="str">
        <f>HYPERLINK("https://github.com/regulaforensics/RegulaDocumentReader-Android","show")</f>
        <v>show</v>
      </c>
      <c r="F2608" t="str">
        <f>HYPERLINK("https://github.com/regulaforensics/RegulaDocumentReader-Android/releases","show")</f>
        <v>show</v>
      </c>
    </row>
    <row r="2609" spans="1:6">
      <c r="A2609" t="s">
        <v>7796</v>
      </c>
      <c r="B2609" t="s">
        <v>7797</v>
      </c>
      <c r="C2609" t="s">
        <v>7798</v>
      </c>
      <c r="D2609" t="str">
        <f>HYPERLINK("https://github.com/kaczmarkiewiczp/GitCracking/issues/285","show")</f>
        <v>show</v>
      </c>
      <c r="E2609" t="str">
        <f>HYPERLINK("https://github.com/kaczmarkiewiczp/GitCracking","show")</f>
        <v>show</v>
      </c>
      <c r="F2609" t="str">
        <f>HYPERLINK("https://github.com/kaczmarkiewiczp/GitCracking/releases","show")</f>
        <v>show</v>
      </c>
    </row>
    <row r="2610" spans="1:6">
      <c r="A2610" t="s">
        <v>7799</v>
      </c>
      <c r="B2610" t="s">
        <v>7800</v>
      </c>
      <c r="C2610" t="s">
        <v>7801</v>
      </c>
      <c r="D2610" t="str">
        <f>HYPERLINK("https://github.com/kiall/android-tvheadend/issues/166","show")</f>
        <v>show</v>
      </c>
      <c r="E2610" t="str">
        <f>HYPERLINK("https://github.com/kiall/android-tvheadend","show")</f>
        <v>show</v>
      </c>
      <c r="F2610" t="str">
        <f>HYPERLINK("https://github.com/kiall/android-tvheadend/releases","show")</f>
        <v>show</v>
      </c>
    </row>
    <row r="2611" spans="1:6">
      <c r="A2611" t="s">
        <v>7802</v>
      </c>
      <c r="B2611" t="s">
        <v>7803</v>
      </c>
      <c r="C2611" t="s">
        <v>7804</v>
      </c>
      <c r="D2611" t="str">
        <f>HYPERLINK("https://github.com/jonasrottmann/realm-browser/issues/14","show")</f>
        <v>show</v>
      </c>
      <c r="E2611" t="str">
        <f>HYPERLINK("https://github.com/jonasrottmann/realm-browser","show")</f>
        <v>show</v>
      </c>
      <c r="F2611" t="str">
        <f>HYPERLINK("https://github.com/jonasrottmann/realm-browser/releases","show")</f>
        <v>show</v>
      </c>
    </row>
    <row r="2612" spans="1:6">
      <c r="A2612" t="s">
        <v>7805</v>
      </c>
      <c r="B2612" t="s">
        <v>7806</v>
      </c>
      <c r="C2612" t="s">
        <v>7807</v>
      </c>
      <c r="D2612" t="str">
        <f>HYPERLINK("https://github.com/twilio/video-quickstart-android/issues/102","show")</f>
        <v>show</v>
      </c>
      <c r="E2612" t="str">
        <f>HYPERLINK("https://github.com/twilio/video-quickstart-android","show")</f>
        <v>show</v>
      </c>
      <c r="F2612" t="str">
        <f>HYPERLINK("https://github.com/twilio/video-quickstart-android/releases","show")</f>
        <v>show</v>
      </c>
    </row>
    <row r="2613" spans="1:6">
      <c r="A2613" t="s">
        <v>7808</v>
      </c>
      <c r="B2613" t="s">
        <v>7809</v>
      </c>
      <c r="C2613" t="s">
        <v>7810</v>
      </c>
      <c r="D2613" t="str">
        <f>HYPERLINK("https://github.com/nextcloud/android/issues/883","show")</f>
        <v>show</v>
      </c>
      <c r="E2613" t="str">
        <f>HYPERLINK("https://github.com/nextcloud/android","show")</f>
        <v>show</v>
      </c>
      <c r="F2613" t="str">
        <f>HYPERLINK("https://github.com/nextcloud/android/releases","show")</f>
        <v>show</v>
      </c>
    </row>
    <row r="2614" spans="1:6">
      <c r="A2614" t="s">
        <v>7811</v>
      </c>
      <c r="B2614" t="s">
        <v>7812</v>
      </c>
      <c r="C2614" t="s">
        <v>7813</v>
      </c>
      <c r="D2614" t="str">
        <f>HYPERLINK("https://github.com/fossasia/phimpme-android/issues/391","show")</f>
        <v>show</v>
      </c>
      <c r="E2614" t="str">
        <f>HYPERLINK("https://github.com/fossasia/phimpme-android","show")</f>
        <v>show</v>
      </c>
      <c r="F2614" t="str">
        <f>HYPERLINK("https://github.com/fossasia/phimpme-android/releases","show")</f>
        <v>show</v>
      </c>
    </row>
    <row r="2615" spans="1:6">
      <c r="A2615" t="s">
        <v>7814</v>
      </c>
      <c r="B2615" t="s">
        <v>7806</v>
      </c>
      <c r="C2615" t="s">
        <v>7815</v>
      </c>
      <c r="D2615" t="str">
        <f>HYPERLINK("https://github.com/twilio/voice-quickstart-android/issues/31","show")</f>
        <v>show</v>
      </c>
      <c r="E2615" t="str">
        <f>HYPERLINK("https://github.com/twilio/voice-quickstart-android","show")</f>
        <v>show</v>
      </c>
      <c r="F2615" t="str">
        <f>HYPERLINK("https://github.com/twilio/voice-quickstart-android/releases","show")</f>
        <v>show</v>
      </c>
    </row>
    <row r="2616" spans="1:6">
      <c r="A2616" t="s">
        <v>7816</v>
      </c>
      <c r="B2616" t="s">
        <v>7817</v>
      </c>
      <c r="C2616" t="s">
        <v>7818</v>
      </c>
      <c r="D2616" t="str">
        <f>HYPERLINK("https://github.com/nextcloud/android/issues/890","show")</f>
        <v>show</v>
      </c>
      <c r="E2616" t="str">
        <f>HYPERLINK("https://github.com/nextcloud/android","show")</f>
        <v>show</v>
      </c>
      <c r="F2616" t="str">
        <f>HYPERLINK("https://github.com/nextcloud/android/releases","show")</f>
        <v>show</v>
      </c>
    </row>
    <row r="2617" spans="1:6">
      <c r="A2617" t="s">
        <v>7819</v>
      </c>
      <c r="B2617" t="s">
        <v>7820</v>
      </c>
      <c r="C2617" t="s">
        <v>7821</v>
      </c>
      <c r="D2617" t="str">
        <f>HYPERLINK("https://github.com/twilio/video-quickstart-android/issues/105","show")</f>
        <v>show</v>
      </c>
      <c r="E2617" t="str">
        <f>HYPERLINK("https://github.com/twilio/video-quickstart-android","show")</f>
        <v>show</v>
      </c>
      <c r="F2617" t="str">
        <f>HYPERLINK("https://github.com/twilio/video-quickstart-android/releases","show")</f>
        <v>show</v>
      </c>
    </row>
    <row r="2618" spans="1:6">
      <c r="A2618" t="s">
        <v>7822</v>
      </c>
      <c r="B2618" t="s">
        <v>7823</v>
      </c>
      <c r="C2618" t="s">
        <v>7824</v>
      </c>
      <c r="D2618" t="str">
        <f>HYPERLINK("https://github.com/appium/appium-uiautomator2-server/issues/55","show")</f>
        <v>show</v>
      </c>
      <c r="E2618" t="str">
        <f>HYPERLINK("https://github.com/appium/appium-uiautomator2-server","show")</f>
        <v>show</v>
      </c>
      <c r="F2618" t="str">
        <f>HYPERLINK("https://github.com/appium/appium-uiautomator2-server/releases","show")</f>
        <v>show</v>
      </c>
    </row>
    <row r="2619" spans="1:6">
      <c r="A2619" t="s">
        <v>7825</v>
      </c>
      <c r="B2619" t="s">
        <v>7826</v>
      </c>
      <c r="C2619" t="s">
        <v>7827</v>
      </c>
      <c r="D2619" t="str">
        <f>HYPERLINK("https://github.com/evernote/android-job/issues/184","show")</f>
        <v>show</v>
      </c>
      <c r="E2619" t="str">
        <f>HYPERLINK("https://github.com/evernote/android-job","show")</f>
        <v>show</v>
      </c>
      <c r="F2619" t="str">
        <f>HYPERLINK("https://github.com/evernote/android-job/releases","show")</f>
        <v>show</v>
      </c>
    </row>
    <row r="2620" spans="1:6">
      <c r="A2620" t="s">
        <v>7828</v>
      </c>
      <c r="B2620" t="s">
        <v>4460</v>
      </c>
      <c r="C2620" t="s">
        <v>7829</v>
      </c>
      <c r="D2620" t="str">
        <f>HYPERLINK("https://github.com/tanrabad/survey/issues/21","show")</f>
        <v>show</v>
      </c>
      <c r="E2620" t="str">
        <f>HYPERLINK("https://github.com/tanrabad/survey","show")</f>
        <v>show</v>
      </c>
      <c r="F2620" t="str">
        <f>HYPERLINK("https://github.com/tanrabad/survey/releases","show")</f>
        <v>show</v>
      </c>
    </row>
    <row r="2621" spans="1:6">
      <c r="A2621" t="s">
        <v>7830</v>
      </c>
      <c r="B2621" t="s">
        <v>7831</v>
      </c>
      <c r="C2621" t="s">
        <v>7832</v>
      </c>
      <c r="D2621" t="str">
        <f>HYPERLINK("https://github.com/projectwife/mtesitoo-android/issues/92","show")</f>
        <v>show</v>
      </c>
      <c r="E2621" t="str">
        <f>HYPERLINK("https://github.com/projectwife/mtesitoo-android","show")</f>
        <v>show</v>
      </c>
      <c r="F2621" t="str">
        <f>HYPERLINK("https://github.com/projectwife/mtesitoo-android/releases","show")</f>
        <v>show</v>
      </c>
    </row>
    <row r="2622" spans="1:6">
      <c r="A2622" t="s">
        <v>7833</v>
      </c>
      <c r="B2622" t="s">
        <v>7834</v>
      </c>
      <c r="C2622" t="s">
        <v>7835</v>
      </c>
      <c r="D2622" t="str">
        <f>HYPERLINK("https://github.com/cgeo/cgeo/issues/6525","show")</f>
        <v>show</v>
      </c>
      <c r="E2622" t="str">
        <f>HYPERLINK("https://github.com/cgeo/cgeo","show")</f>
        <v>show</v>
      </c>
      <c r="F2622" t="str">
        <f>HYPERLINK("https://github.com/cgeo/cgeo/releases","show")</f>
        <v>show</v>
      </c>
    </row>
    <row r="2623" spans="1:6">
      <c r="A2623" t="s">
        <v>7836</v>
      </c>
      <c r="B2623" t="s">
        <v>7837</v>
      </c>
      <c r="C2623" t="s">
        <v>7838</v>
      </c>
      <c r="D2623" t="str">
        <f>HYPERLINK("https://github.com/kabouzeid/Phonograph/issues/142","show")</f>
        <v>show</v>
      </c>
      <c r="E2623" t="str">
        <f>HYPERLINK("https://github.com/kabouzeid/Phonograph","show")</f>
        <v>show</v>
      </c>
      <c r="F2623" t="str">
        <f>HYPERLINK("https://github.com/kabouzeid/Phonograph/releases","show")</f>
        <v>show</v>
      </c>
    </row>
    <row r="2624" spans="1:6">
      <c r="A2624" t="s">
        <v>7839</v>
      </c>
      <c r="B2624" t="s">
        <v>7840</v>
      </c>
      <c r="C2624" t="s">
        <v>7841</v>
      </c>
      <c r="D2624" t="str">
        <f>HYPERLINK("https://github.com/pchmn/MaterialChipsInput/issues/7","show")</f>
        <v>show</v>
      </c>
      <c r="E2624" t="str">
        <f>HYPERLINK("https://github.com/pchmn/MaterialChipsInput","show")</f>
        <v>show</v>
      </c>
      <c r="F2624" t="str">
        <f>HYPERLINK("https://github.com/pchmn/MaterialChipsInput/releases","show")</f>
        <v>show</v>
      </c>
    </row>
    <row r="2625" spans="1:6">
      <c r="A2625" t="s">
        <v>7842</v>
      </c>
      <c r="B2625" t="s">
        <v>7843</v>
      </c>
      <c r="C2625" t="s">
        <v>7844</v>
      </c>
      <c r="D2625" t="str">
        <f>HYPERLINK("https://github.com/linkedin/test-butler/issues/60","show")</f>
        <v>show</v>
      </c>
      <c r="E2625" t="str">
        <f>HYPERLINK("https://github.com/linkedin/test-butler","show")</f>
        <v>show</v>
      </c>
      <c r="F2625" t="str">
        <f>HYPERLINK("https://github.com/linkedin/test-butler/releases","show")</f>
        <v>show</v>
      </c>
    </row>
    <row r="2626" spans="1:6">
      <c r="A2626" t="s">
        <v>7845</v>
      </c>
      <c r="B2626" t="s">
        <v>7846</v>
      </c>
      <c r="C2626" t="s">
        <v>7847</v>
      </c>
      <c r="D2626" t="str">
        <f>HYPERLINK("https://github.com/inaturalist/iNaturalistAndroid/issues/337","show")</f>
        <v>show</v>
      </c>
      <c r="E2626" t="str">
        <f>HYPERLINK("https://github.com/inaturalist/iNaturalistAndroid","show")</f>
        <v>show</v>
      </c>
      <c r="F2626" t="str">
        <f>HYPERLINK("https://github.com/inaturalist/iNaturalistAndroid/releases","show")</f>
        <v>show</v>
      </c>
    </row>
    <row r="2627" spans="1:6">
      <c r="A2627" t="s">
        <v>7848</v>
      </c>
      <c r="B2627" t="s">
        <v>7849</v>
      </c>
      <c r="C2627" t="s">
        <v>7850</v>
      </c>
      <c r="D2627" t="str">
        <f>HYPERLINK("https://github.com/vector-im/riot-android/issues/1172","show")</f>
        <v>show</v>
      </c>
      <c r="E2627" t="str">
        <f>HYPERLINK("https://github.com/vector-im/riot-android","show")</f>
        <v>show</v>
      </c>
      <c r="F2627" t="str">
        <f>HYPERLINK("https://github.com/vector-im/riot-android/releases","show")</f>
        <v>show</v>
      </c>
    </row>
    <row r="2628" spans="1:6">
      <c r="A2628" t="s">
        <v>7851</v>
      </c>
      <c r="B2628" t="s">
        <v>7852</v>
      </c>
      <c r="C2628" t="s">
        <v>7853</v>
      </c>
      <c r="D2628" t="str">
        <f>HYPERLINK("https://github.com/chandevel/Clover/issues/310","show")</f>
        <v>show</v>
      </c>
      <c r="E2628" t="str">
        <f>HYPERLINK("https://github.com/chandevel/Clover","show")</f>
        <v>show</v>
      </c>
      <c r="F2628" t="str">
        <f>HYPERLINK("https://github.com/chandevel/Clover/releases","show")</f>
        <v>show</v>
      </c>
    </row>
    <row r="2629" spans="1:6">
      <c r="A2629" t="s">
        <v>7854</v>
      </c>
      <c r="B2629" t="s">
        <v>7855</v>
      </c>
      <c r="C2629" t="s">
        <v>7856</v>
      </c>
      <c r="D2629" t="str">
        <f>HYPERLINK("https://github.com/hnocturna/project.kitchen/issues/7","show")</f>
        <v>show</v>
      </c>
      <c r="E2629" t="str">
        <f>HYPERLINK("https://github.com/hnocturna/project.kitchen","show")</f>
        <v>show</v>
      </c>
      <c r="F2629" t="str">
        <f>HYPERLINK("https://github.com/hnocturna/project.kitchen/releases","show")</f>
        <v>show</v>
      </c>
    </row>
    <row r="2630" spans="1:6">
      <c r="A2630" t="s">
        <v>7857</v>
      </c>
      <c r="B2630" t="s">
        <v>7858</v>
      </c>
      <c r="C2630" t="s">
        <v>7859</v>
      </c>
      <c r="D2630" t="str">
        <f>HYPERLINK("https://github.com/inaturalist/iNaturalistAndroid/issues/340","show")</f>
        <v>show</v>
      </c>
      <c r="E2630" t="str">
        <f>HYPERLINK("https://github.com/inaturalist/iNaturalistAndroid","show")</f>
        <v>show</v>
      </c>
      <c r="F2630" t="str">
        <f>HYPERLINK("https://github.com/inaturalist/iNaturalistAndroid/releases","show")</f>
        <v>show</v>
      </c>
    </row>
    <row r="2631" spans="1:6">
      <c r="A2631" t="s">
        <v>7860</v>
      </c>
      <c r="B2631" t="s">
        <v>7861</v>
      </c>
      <c r="C2631" t="s">
        <v>7862</v>
      </c>
      <c r="D2631" t="str">
        <f>HYPERLINK("https://github.com/OpenLauncherTeam/openlauncher/issues/79","show")</f>
        <v>show</v>
      </c>
      <c r="E2631" t="str">
        <f>HYPERLINK("https://github.com/OpenLauncherTeam/openlauncher","show")</f>
        <v>show</v>
      </c>
      <c r="F2631" t="str">
        <f>HYPERLINK("https://github.com/OpenLauncherTeam/openlauncher/releases","show")</f>
        <v>show</v>
      </c>
    </row>
    <row r="2632" spans="1:6">
      <c r="A2632" t="s">
        <v>7863</v>
      </c>
      <c r="B2632" t="s">
        <v>7864</v>
      </c>
      <c r="C2632" t="s">
        <v>7865</v>
      </c>
      <c r="D2632" t="str">
        <f>HYPERLINK("https://github.com/getodk/collect/issues/997","show")</f>
        <v>show</v>
      </c>
      <c r="E2632" t="str">
        <f>HYPERLINK("https://github.com/getodk/collect","show")</f>
        <v>show</v>
      </c>
      <c r="F2632" t="str">
        <f>HYPERLINK("https://github.com/getodk/collect/releases","show")</f>
        <v>show</v>
      </c>
    </row>
    <row r="2633" spans="1:6">
      <c r="A2633" t="s">
        <v>7866</v>
      </c>
      <c r="B2633" t="s">
        <v>7867</v>
      </c>
      <c r="C2633" t="s">
        <v>7868</v>
      </c>
      <c r="D2633" t="str">
        <f>HYPERLINK("https://github.com/mycelium-com/wallet-android/issues/351","show")</f>
        <v>show</v>
      </c>
      <c r="E2633" t="str">
        <f>HYPERLINK("https://github.com/mycelium-com/wallet-android","show")</f>
        <v>show</v>
      </c>
      <c r="F2633" t="str">
        <f>HYPERLINK("https://github.com/mycelium-com/wallet-android/releases","show")</f>
        <v>show</v>
      </c>
    </row>
    <row r="2634" spans="1:6">
      <c r="A2634" t="s">
        <v>7869</v>
      </c>
      <c r="B2634" t="s">
        <v>7870</v>
      </c>
      <c r="C2634" t="s">
        <v>7871</v>
      </c>
      <c r="D2634" t="str">
        <f>HYPERLINK("https://github.com/getodk/collect/issues/995","show")</f>
        <v>show</v>
      </c>
      <c r="E2634" t="str">
        <f>HYPERLINK("https://github.com/getodk/collect","show")</f>
        <v>show</v>
      </c>
      <c r="F2634" t="str">
        <f>HYPERLINK("https://github.com/getodk/collect/releases","show")</f>
        <v>show</v>
      </c>
    </row>
    <row r="2635" spans="1:6">
      <c r="A2635" t="s">
        <v>7872</v>
      </c>
      <c r="B2635" t="s">
        <v>7873</v>
      </c>
      <c r="C2635" t="s">
        <v>7874</v>
      </c>
      <c r="D2635" t="str">
        <f>HYPERLINK("https://github.com/ShawnLin013/NumberPicker/issues/57","show")</f>
        <v>show</v>
      </c>
      <c r="E2635" t="str">
        <f>HYPERLINK("https://github.com/ShawnLin013/NumberPicker","show")</f>
        <v>show</v>
      </c>
      <c r="F2635" t="str">
        <f>HYPERLINK("https://github.com/ShawnLin013/NumberPicker/releases","show")</f>
        <v>show</v>
      </c>
    </row>
    <row r="2636" spans="1:6">
      <c r="A2636" t="s">
        <v>7875</v>
      </c>
      <c r="B2636" t="s">
        <v>7876</v>
      </c>
      <c r="C2636" t="s">
        <v>7877</v>
      </c>
      <c r="D2636" t="str">
        <f>HYPERLINK("https://github.com/yigit/android-priority-jobqueue/issues/363","show")</f>
        <v>show</v>
      </c>
      <c r="E2636" t="str">
        <f>HYPERLINK("https://github.com/yigit/android-priority-jobqueue","show")</f>
        <v>show</v>
      </c>
      <c r="F2636" t="str">
        <f>HYPERLINK("https://github.com/yigit/android-priority-jobqueue/releases","show")</f>
        <v>show</v>
      </c>
    </row>
    <row r="2637" spans="1:6">
      <c r="A2637" t="s">
        <v>7878</v>
      </c>
      <c r="B2637" t="s">
        <v>7879</v>
      </c>
      <c r="C2637" t="s">
        <v>7880</v>
      </c>
      <c r="D2637" t="str">
        <f>HYPERLINK("https://github.com/google/ExoPlayer/issues/2774","show")</f>
        <v>show</v>
      </c>
      <c r="E2637" t="str">
        <f>HYPERLINK("https://github.com/google/ExoPlayer","show")</f>
        <v>show</v>
      </c>
      <c r="F2637" t="str">
        <f>HYPERLINK("https://github.com/google/ExoPlayer/releases","show")</f>
        <v>show</v>
      </c>
    </row>
    <row r="2638" spans="1:6">
      <c r="A2638" t="s">
        <v>7881</v>
      </c>
      <c r="B2638" t="s">
        <v>7882</v>
      </c>
      <c r="C2638" t="s">
        <v>7883</v>
      </c>
      <c r="D2638" t="str">
        <f>HYPERLINK("https://github.com/maks/MGit/issues/147","show")</f>
        <v>show</v>
      </c>
      <c r="E2638" t="str">
        <f>HYPERLINK("https://github.com/maks/MGit","show")</f>
        <v>show</v>
      </c>
      <c r="F2638" t="str">
        <f>HYPERLINK("https://github.com/maks/MGit/releases","show")</f>
        <v>show</v>
      </c>
    </row>
    <row r="2639" spans="1:6">
      <c r="A2639" t="s">
        <v>7884</v>
      </c>
      <c r="B2639" t="s">
        <v>7885</v>
      </c>
      <c r="C2639" t="s">
        <v>7886</v>
      </c>
      <c r="D2639" t="str">
        <f>HYPERLINK("https://github.com/nextcloud/android/issues/959","show")</f>
        <v>show</v>
      </c>
      <c r="E2639" t="str">
        <f>HYPERLINK("https://github.com/nextcloud/android","show")</f>
        <v>show</v>
      </c>
      <c r="F2639" t="str">
        <f>HYPERLINK("https://github.com/nextcloud/android/releases","show")</f>
        <v>show</v>
      </c>
    </row>
    <row r="2640" spans="1:6">
      <c r="A2640" t="s">
        <v>7887</v>
      </c>
      <c r="B2640" t="s">
        <v>7888</v>
      </c>
      <c r="C2640" t="s">
        <v>7889</v>
      </c>
      <c r="D2640" t="str">
        <f>HYPERLINK("https://github.com/projectwife/mtesitoo-android/issues/94","show")</f>
        <v>show</v>
      </c>
      <c r="E2640" t="str">
        <f>HYPERLINK("https://github.com/projectwife/mtesitoo-android","show")</f>
        <v>show</v>
      </c>
      <c r="F2640" t="str">
        <f>HYPERLINK("https://github.com/projectwife/mtesitoo-android/releases","show")</f>
        <v>show</v>
      </c>
    </row>
    <row r="2641" spans="1:6">
      <c r="A2641" t="s">
        <v>7890</v>
      </c>
      <c r="B2641" t="s">
        <v>7891</v>
      </c>
      <c r="C2641" t="s">
        <v>7892</v>
      </c>
      <c r="D2641" t="str">
        <f>HYPERLINK("https://github.com/opensrp/opensrp-client/issues/488","show")</f>
        <v>show</v>
      </c>
      <c r="E2641" t="str">
        <f>HYPERLINK("https://github.com/opensrp/opensrp-client","show")</f>
        <v>show</v>
      </c>
      <c r="F2641" t="str">
        <f>HYPERLINK("https://github.com/opensrp/opensrp-client/releases","show")</f>
        <v>show</v>
      </c>
    </row>
    <row r="2642" spans="1:6">
      <c r="A2642" t="s">
        <v>7893</v>
      </c>
      <c r="B2642" t="s">
        <v>7894</v>
      </c>
      <c r="C2642" t="s">
        <v>7895</v>
      </c>
      <c r="D2642" t="str">
        <f>HYPERLINK("https://github.com/novoda/view-pager-adapter/issues/14","show")</f>
        <v>show</v>
      </c>
      <c r="E2642" t="str">
        <f>HYPERLINK("https://github.com/novoda/view-pager-adapter","show")</f>
        <v>show</v>
      </c>
      <c r="F2642" t="str">
        <f>HYPERLINK("https://github.com/novoda/view-pager-adapter/releases","show")</f>
        <v>show</v>
      </c>
    </row>
    <row r="2643" spans="1:6">
      <c r="A2643" t="s">
        <v>7896</v>
      </c>
      <c r="B2643" t="s">
        <v>7897</v>
      </c>
      <c r="C2643" t="s">
        <v>7898</v>
      </c>
      <c r="D2643" t="str">
        <f>HYPERLINK("https://github.com/uber/AutoDispose/issues/67","show")</f>
        <v>show</v>
      </c>
      <c r="E2643" t="str">
        <f>HYPERLINK("https://github.com/uber/AutoDispose","show")</f>
        <v>show</v>
      </c>
      <c r="F2643" t="str">
        <f>HYPERLINK("https://github.com/uber/AutoDispose/releases","show")</f>
        <v>show</v>
      </c>
    </row>
    <row r="2644" spans="1:6">
      <c r="A2644" t="s">
        <v>7899</v>
      </c>
      <c r="B2644" t="s">
        <v>7900</v>
      </c>
      <c r="C2644" t="s">
        <v>7901</v>
      </c>
      <c r="D2644" t="str">
        <f>HYPERLINK("https://github.com/Freeyourgadget/Gadgetbridge/issues/678","show")</f>
        <v>show</v>
      </c>
      <c r="E2644" t="str">
        <f>HYPERLINK("https://github.com/Freeyourgadget/Gadgetbridge","show")</f>
        <v>show</v>
      </c>
      <c r="F2644" t="str">
        <f>HYPERLINK("https://github.com/Freeyourgadget/Gadgetbridge/releases","show")</f>
        <v>show</v>
      </c>
    </row>
    <row r="2645" spans="1:6">
      <c r="A2645" t="s">
        <v>7902</v>
      </c>
      <c r="B2645" t="s">
        <v>7903</v>
      </c>
      <c r="C2645" t="s">
        <v>7904</v>
      </c>
      <c r="D2645" t="str">
        <f>HYPERLINK("https://github.com/codinguser/gnucash-android/issues/685","show")</f>
        <v>show</v>
      </c>
      <c r="E2645" t="str">
        <f>HYPERLINK("https://github.com/codinguser/gnucash-android","show")</f>
        <v>show</v>
      </c>
      <c r="F2645" t="str">
        <f>HYPERLINK("https://github.com/codinguser/gnucash-android/releases","show")</f>
        <v>show</v>
      </c>
    </row>
    <row r="2646" spans="1:6">
      <c r="A2646" t="s">
        <v>7905</v>
      </c>
      <c r="B2646" t="s">
        <v>7906</v>
      </c>
      <c r="C2646" t="s">
        <v>7907</v>
      </c>
      <c r="D2646" t="str">
        <f>HYPERLINK("https://github.com/google/ExoPlayer/issues/2782","show")</f>
        <v>show</v>
      </c>
      <c r="E2646" t="str">
        <f>HYPERLINK("https://github.com/google/ExoPlayer","show")</f>
        <v>show</v>
      </c>
      <c r="F2646" t="str">
        <f>HYPERLINK("https://github.com/google/ExoPlayer/releases","show")</f>
        <v>show</v>
      </c>
    </row>
    <row r="2647" spans="1:6">
      <c r="A2647" t="s">
        <v>7908</v>
      </c>
      <c r="B2647" t="s">
        <v>7909</v>
      </c>
      <c r="C2647" t="s">
        <v>7910</v>
      </c>
      <c r="D2647" t="str">
        <f>HYPERLINK("https://github.com/projectwife/mtesitoo-android/issues/97","show")</f>
        <v>show</v>
      </c>
      <c r="E2647" t="str">
        <f>HYPERLINK("https://github.com/projectwife/mtesitoo-android","show")</f>
        <v>show</v>
      </c>
      <c r="F2647" t="str">
        <f>HYPERLINK("https://github.com/projectwife/mtesitoo-android/releases","show")</f>
        <v>show</v>
      </c>
    </row>
    <row r="2648" spans="1:6">
      <c r="A2648" t="s">
        <v>7911</v>
      </c>
      <c r="B2648" t="s">
        <v>7912</v>
      </c>
      <c r="C2648" t="s">
        <v>7913</v>
      </c>
      <c r="D2648" t="str">
        <f>HYPERLINK("https://github.com/kollerlukas/Camera-Roll-Android-App/issues/14","show")</f>
        <v>show</v>
      </c>
      <c r="E2648" t="str">
        <f>HYPERLINK("https://github.com/kollerlukas/Camera-Roll-Android-App","show")</f>
        <v>show</v>
      </c>
      <c r="F2648" t="str">
        <f>HYPERLINK("https://github.com/kollerlukas/Camera-Roll-Android-App/releases","show")</f>
        <v>show</v>
      </c>
    </row>
    <row r="2649" spans="1:6">
      <c r="A2649" t="s">
        <v>7914</v>
      </c>
      <c r="B2649" t="s">
        <v>7915</v>
      </c>
      <c r="C2649" t="s">
        <v>7916</v>
      </c>
      <c r="D2649" t="str">
        <f>HYPERLINK("https://github.com/projectwife/mtesitoo-android/issues/101","show")</f>
        <v>show</v>
      </c>
      <c r="E2649" t="str">
        <f>HYPERLINK("https://github.com/projectwife/mtesitoo-android","show")</f>
        <v>show</v>
      </c>
      <c r="F2649" t="str">
        <f>HYPERLINK("https://github.com/projectwife/mtesitoo-android/releases","show")</f>
        <v>show</v>
      </c>
    </row>
    <row r="2650" spans="1:6">
      <c r="A2650" t="s">
        <v>7917</v>
      </c>
      <c r="B2650" t="s">
        <v>7918</v>
      </c>
      <c r="C2650" t="s">
        <v>7919</v>
      </c>
      <c r="D2650" t="str">
        <f>HYPERLINK("https://github.com/ably/ably-java/issues/323","show")</f>
        <v>show</v>
      </c>
      <c r="E2650" t="str">
        <f>HYPERLINK("https://github.com/ably/ably-java","show")</f>
        <v>show</v>
      </c>
      <c r="F2650" t="str">
        <f>HYPERLINK("https://github.com/ably/ably-java/releases","show")</f>
        <v>show</v>
      </c>
    </row>
    <row r="2651" spans="1:6">
      <c r="A2651" t="s">
        <v>7920</v>
      </c>
      <c r="B2651" t="s">
        <v>7921</v>
      </c>
      <c r="C2651" t="s">
        <v>7922</v>
      </c>
      <c r="D2651" t="str">
        <f>HYPERLINK("https://github.com/google/ExoPlayer/issues/2795","show")</f>
        <v>show</v>
      </c>
      <c r="E2651" t="str">
        <f>HYPERLINK("https://github.com/google/ExoPlayer","show")</f>
        <v>show</v>
      </c>
      <c r="F2651" t="str">
        <f>HYPERLINK("https://github.com/google/ExoPlayer/releases","show")</f>
        <v>show</v>
      </c>
    </row>
    <row r="2652" spans="1:6">
      <c r="A2652" t="s">
        <v>7923</v>
      </c>
      <c r="B2652" t="s">
        <v>7924</v>
      </c>
      <c r="C2652" t="s">
        <v>7925</v>
      </c>
      <c r="D2652" t="str">
        <f>HYPERLINK("https://github.com/maks/MGit/issues/153","show")</f>
        <v>show</v>
      </c>
      <c r="E2652" t="str">
        <f>HYPERLINK("https://github.com/maks/MGit","show")</f>
        <v>show</v>
      </c>
      <c r="F2652" t="str">
        <f>HYPERLINK("https://github.com/maks/MGit/releases","show")</f>
        <v>show</v>
      </c>
    </row>
    <row r="2653" spans="1:6">
      <c r="A2653" t="s">
        <v>7926</v>
      </c>
      <c r="B2653" t="s">
        <v>7927</v>
      </c>
      <c r="C2653" t="s">
        <v>7928</v>
      </c>
      <c r="D2653" t="str">
        <f>HYPERLINK("https://github.com/square/okhttp/issues/3334","show")</f>
        <v>show</v>
      </c>
      <c r="E2653" t="str">
        <f>HYPERLINK("https://github.com/square/okhttp","show")</f>
        <v>show</v>
      </c>
      <c r="F2653" t="str">
        <f>HYPERLINK("https://github.com/square/okhttp/releases","show")</f>
        <v>show</v>
      </c>
    </row>
    <row r="2654" spans="1:6">
      <c r="A2654" t="s">
        <v>7929</v>
      </c>
      <c r="B2654" t="s">
        <v>7930</v>
      </c>
      <c r="C2654" t="s">
        <v>7931</v>
      </c>
      <c r="D2654" t="str">
        <f>HYPERLINK("https://github.com/twilio/video-quickstart-android/issues/116","show")</f>
        <v>show</v>
      </c>
      <c r="E2654" t="str">
        <f>HYPERLINK("https://github.com/twilio/video-quickstart-android","show")</f>
        <v>show</v>
      </c>
      <c r="F2654" t="str">
        <f>HYPERLINK("https://github.com/twilio/video-quickstart-android/releases","show")</f>
        <v>show</v>
      </c>
    </row>
    <row r="2655" spans="1:6">
      <c r="A2655" t="s">
        <v>7932</v>
      </c>
      <c r="B2655" t="s">
        <v>7933</v>
      </c>
      <c r="C2655" t="s">
        <v>7934</v>
      </c>
      <c r="D2655" t="str">
        <f>HYPERLINK("https://github.com/inaturalist/iNaturalistAndroid/issues/350","show")</f>
        <v>show</v>
      </c>
      <c r="E2655" t="str">
        <f>HYPERLINK("https://github.com/inaturalist/iNaturalistAndroid","show")</f>
        <v>show</v>
      </c>
      <c r="F2655" t="str">
        <f>HYPERLINK("https://github.com/inaturalist/iNaturalistAndroid/releases","show")</f>
        <v>show</v>
      </c>
    </row>
    <row r="2656" spans="1:6">
      <c r="A2656" t="s">
        <v>7935</v>
      </c>
      <c r="B2656" t="s">
        <v>7936</v>
      </c>
      <c r="C2656" t="s">
        <v>7937</v>
      </c>
      <c r="D2656" t="str">
        <f>HYPERLINK("https://github.com/t3rmian/PBMap/issues/2","show")</f>
        <v>show</v>
      </c>
      <c r="E2656" t="str">
        <f>HYPERLINK("https://github.com/t3rmian/PBMap","show")</f>
        <v>show</v>
      </c>
      <c r="F2656" t="str">
        <f>HYPERLINK("https://github.com/t3rmian/PBMap/releases","show")</f>
        <v>show</v>
      </c>
    </row>
    <row r="2657" spans="1:6">
      <c r="A2657" t="s">
        <v>7938</v>
      </c>
      <c r="B2657" t="s">
        <v>7939</v>
      </c>
      <c r="C2657" t="s">
        <v>7940</v>
      </c>
      <c r="D2657" t="str">
        <f>HYPERLINK("https://github.com/pwittchen/ReactiveWiFi/issues/28","show")</f>
        <v>show</v>
      </c>
      <c r="E2657" t="str">
        <f>HYPERLINK("https://github.com/pwittchen/ReactiveWiFi","show")</f>
        <v>show</v>
      </c>
      <c r="F2657" t="str">
        <f>HYPERLINK("https://github.com/pwittchen/ReactiveWiFi/releases","show")</f>
        <v>show</v>
      </c>
    </row>
    <row r="2658" spans="1:6">
      <c r="A2658" t="s">
        <v>7941</v>
      </c>
      <c r="B2658" t="s">
        <v>7942</v>
      </c>
      <c r="C2658" t="s">
        <v>7943</v>
      </c>
      <c r="D2658" t="str">
        <f>HYPERLINK("https://github.com/inaturalist/iNaturalistAndroid/issues/353","show")</f>
        <v>show</v>
      </c>
      <c r="E2658" t="str">
        <f>HYPERLINK("https://github.com/inaturalist/iNaturalistAndroid","show")</f>
        <v>show</v>
      </c>
      <c r="F2658" t="str">
        <f>HYPERLINK("https://github.com/inaturalist/iNaturalistAndroid/releases","show")</f>
        <v>show</v>
      </c>
    </row>
    <row r="2659" spans="1:6">
      <c r="A2659" t="s">
        <v>7944</v>
      </c>
      <c r="B2659" t="s">
        <v>7945</v>
      </c>
      <c r="C2659" t="s">
        <v>7946</v>
      </c>
      <c r="D2659" t="str">
        <f>HYPERLINK("https://github.com/opw0011/OpenToiletAndroid/issues/24","show")</f>
        <v>show</v>
      </c>
      <c r="E2659" t="str">
        <f>HYPERLINK("https://github.com/opw0011/OpenToiletAndroid","show")</f>
        <v>show</v>
      </c>
      <c r="F2659" t="str">
        <f>HYPERLINK("https://github.com/opw0011/OpenToiletAndroid/releases","show")</f>
        <v>show</v>
      </c>
    </row>
    <row r="2660" spans="1:6">
      <c r="A2660" t="s">
        <v>7947</v>
      </c>
      <c r="B2660" t="s">
        <v>7948</v>
      </c>
      <c r="C2660" t="s">
        <v>7949</v>
      </c>
      <c r="D2660" t="str">
        <f>HYPERLINK("https://github.com/cgeo/cgeo/issues/6560","show")</f>
        <v>show</v>
      </c>
      <c r="E2660" t="str">
        <f>HYPERLINK("https://github.com/cgeo/cgeo","show")</f>
        <v>show</v>
      </c>
      <c r="F2660" t="str">
        <f>HYPERLINK("https://github.com/cgeo/cgeo/releases","show")</f>
        <v>show</v>
      </c>
    </row>
    <row r="2661" spans="1:6">
      <c r="A2661" t="s">
        <v>7950</v>
      </c>
      <c r="B2661" t="s">
        <v>7951</v>
      </c>
      <c r="C2661" t="s">
        <v>7952</v>
      </c>
      <c r="D2661" t="str">
        <f>HYPERLINK("https://github.com/microsoft/project-rome/issues/17","show")</f>
        <v>show</v>
      </c>
      <c r="E2661" t="str">
        <f>HYPERLINK("https://github.com/microsoft/project-rome","show")</f>
        <v>show</v>
      </c>
      <c r="F2661" t="str">
        <f>HYPERLINK("https://github.com/microsoft/project-rome/releases","show")</f>
        <v>show</v>
      </c>
    </row>
    <row r="2662" spans="1:6">
      <c r="A2662" t="s">
        <v>7953</v>
      </c>
      <c r="B2662" t="s">
        <v>7954</v>
      </c>
      <c r="C2662" t="s">
        <v>7955</v>
      </c>
      <c r="D2662" t="str">
        <f>HYPERLINK("https://github.com/SkyTubeTeam/SkyTube/issues/111","show")</f>
        <v>show</v>
      </c>
      <c r="E2662" t="str">
        <f>HYPERLINK("https://github.com/SkyTubeTeam/SkyTube","show")</f>
        <v>show</v>
      </c>
      <c r="F2662" t="str">
        <f>HYPERLINK("https://github.com/SkyTubeTeam/SkyTube/releases","show")</f>
        <v>show</v>
      </c>
    </row>
    <row r="2663" spans="1:6">
      <c r="A2663" t="s">
        <v>7956</v>
      </c>
      <c r="B2663" t="s">
        <v>7957</v>
      </c>
      <c r="C2663" t="s">
        <v>7958</v>
      </c>
      <c r="D2663" t="str">
        <f>HYPERLINK("https://github.com/Kunzisoft/Android-SwitchDateTimePicker/issues/19","show")</f>
        <v>show</v>
      </c>
      <c r="E2663" t="str">
        <f>HYPERLINK("https://github.com/Kunzisoft/Android-SwitchDateTimePicker","show")</f>
        <v>show</v>
      </c>
      <c r="F2663" t="str">
        <f>HYPERLINK("https://github.com/Kunzisoft/Android-SwitchDateTimePicker/releases","show")</f>
        <v>show</v>
      </c>
    </row>
    <row r="2664" spans="1:6">
      <c r="A2664" t="s">
        <v>7959</v>
      </c>
      <c r="B2664" t="s">
        <v>7960</v>
      </c>
      <c r="C2664" t="s">
        <v>7961</v>
      </c>
      <c r="D2664" t="str">
        <f>HYPERLINK("https://github.com/yayaa/LocationManager/issues/43","show")</f>
        <v>show</v>
      </c>
      <c r="E2664" t="str">
        <f>HYPERLINK("https://github.com/yayaa/LocationManager","show")</f>
        <v>show</v>
      </c>
      <c r="F2664" t="str">
        <f>HYPERLINK("https://github.com/yayaa/LocationManager/releases","show")</f>
        <v>show</v>
      </c>
    </row>
    <row r="2665" spans="1:6">
      <c r="A2665" t="s">
        <v>7962</v>
      </c>
      <c r="B2665" t="s">
        <v>7963</v>
      </c>
      <c r="C2665" t="s">
        <v>7964</v>
      </c>
      <c r="D2665" t="str">
        <f>HYPERLINK("https://github.com/aaronjwood/PortAuthority/issues/72","show")</f>
        <v>show</v>
      </c>
      <c r="E2665" t="str">
        <f>HYPERLINK("https://github.com/aaronjwood/PortAuthority","show")</f>
        <v>show</v>
      </c>
      <c r="F2665" t="str">
        <f>HYPERLINK("https://github.com/aaronjwood/PortAuthority/releases","show")</f>
        <v>show</v>
      </c>
    </row>
    <row r="2666" spans="1:6">
      <c r="A2666" t="s">
        <v>7965</v>
      </c>
      <c r="B2666" t="s">
        <v>7966</v>
      </c>
      <c r="C2666" t="s">
        <v>7967</v>
      </c>
      <c r="D2666" t="str">
        <f>HYPERLINK("https://github.com/QuantumBadger/RedReader/issues/498","show")</f>
        <v>show</v>
      </c>
      <c r="E2666" t="str">
        <f>HYPERLINK("https://github.com/QuantumBadger/RedReader","show")</f>
        <v>show</v>
      </c>
      <c r="F2666" t="str">
        <f>HYPERLINK("https://github.com/QuantumBadger/RedReader/releases","show")</f>
        <v>show</v>
      </c>
    </row>
    <row r="2667" spans="1:6">
      <c r="A2667" t="s">
        <v>7968</v>
      </c>
      <c r="B2667" t="s">
        <v>7969</v>
      </c>
      <c r="C2667" t="s">
        <v>7970</v>
      </c>
      <c r="D2667" t="str">
        <f>HYPERLINK("https://github.com/commons-app/apps-android-commons/issues/614","show")</f>
        <v>show</v>
      </c>
      <c r="E2667" t="str">
        <f>HYPERLINK("https://github.com/commons-app/apps-android-commons","show")</f>
        <v>show</v>
      </c>
      <c r="F2667" t="str">
        <f>HYPERLINK("https://github.com/commons-app/apps-android-commons/releases","show")</f>
        <v>show</v>
      </c>
    </row>
    <row r="2668" spans="1:6">
      <c r="A2668" t="s">
        <v>7971</v>
      </c>
      <c r="B2668" t="s">
        <v>7972</v>
      </c>
      <c r="C2668" t="s">
        <v>7973</v>
      </c>
      <c r="D2668" t="str">
        <f>HYPERLINK("https://github.com/digital-voting-pass/polling-station-app/issues/34","show")</f>
        <v>show</v>
      </c>
      <c r="E2668" t="str">
        <f>HYPERLINK("https://github.com/digital-voting-pass/polling-station-app","show")</f>
        <v>show</v>
      </c>
      <c r="F2668" t="str">
        <f>HYPERLINK("https://github.com/digital-voting-pass/polling-station-app/releases","show")</f>
        <v>show</v>
      </c>
    </row>
    <row r="2669" spans="1:6">
      <c r="A2669" t="s">
        <v>7974</v>
      </c>
      <c r="B2669" t="s">
        <v>7975</v>
      </c>
      <c r="C2669" t="s">
        <v>7976</v>
      </c>
      <c r="D2669" t="str">
        <f>HYPERLINK("https://github.com/Cloudkibo/Android/issues/595","show")</f>
        <v>show</v>
      </c>
      <c r="E2669" t="str">
        <f>HYPERLINK("https://github.com/Cloudkibo/Android","show")</f>
        <v>show</v>
      </c>
      <c r="F2669" t="str">
        <f>HYPERLINK("https://github.com/Cloudkibo/Android/releases","show")</f>
        <v>show</v>
      </c>
    </row>
    <row r="2670" spans="1:6">
      <c r="A2670" t="s">
        <v>7977</v>
      </c>
      <c r="B2670" t="s">
        <v>7978</v>
      </c>
      <c r="C2670" t="s">
        <v>7979</v>
      </c>
      <c r="D2670" t="str">
        <f>HYPERLINK("https://github.com/nextcloud/android/issues/1017","show")</f>
        <v>show</v>
      </c>
      <c r="E2670" t="str">
        <f>HYPERLINK("https://github.com/nextcloud/android","show")</f>
        <v>show</v>
      </c>
      <c r="F2670" t="str">
        <f>HYPERLINK("https://github.com/nextcloud/android/releases","show")</f>
        <v>show</v>
      </c>
    </row>
    <row r="2671" spans="1:6">
      <c r="A2671" t="s">
        <v>7980</v>
      </c>
      <c r="B2671" t="s">
        <v>7981</v>
      </c>
      <c r="C2671" t="s">
        <v>7982</v>
      </c>
      <c r="D2671" t="str">
        <f>HYPERLINK("https://github.com/yayaa/LocationManager/issues/48","show")</f>
        <v>show</v>
      </c>
      <c r="E2671" t="str">
        <f>HYPERLINK("https://github.com/yayaa/LocationManager","show")</f>
        <v>show</v>
      </c>
      <c r="F2671" t="str">
        <f>HYPERLINK("https://github.com/yayaa/LocationManager/releases","show")</f>
        <v>show</v>
      </c>
    </row>
    <row r="2672" spans="1:6">
      <c r="A2672" t="s">
        <v>7983</v>
      </c>
      <c r="B2672" t="s">
        <v>7984</v>
      </c>
      <c r="C2672" t="s">
        <v>7985</v>
      </c>
      <c r="D2672" t="str">
        <f>HYPERLINK("https://github.com/tanguyantoine/react-native-music-control/issues/68","show")</f>
        <v>show</v>
      </c>
      <c r="E2672" t="str">
        <f>HYPERLINK("https://github.com/tanguyantoine/react-native-music-control","show")</f>
        <v>show</v>
      </c>
      <c r="F2672" t="str">
        <f>HYPERLINK("https://github.com/tanguyantoine/react-native-music-control/releases","show")</f>
        <v>show</v>
      </c>
    </row>
    <row r="2673" spans="1:6">
      <c r="A2673" t="s">
        <v>7986</v>
      </c>
      <c r="B2673" t="s">
        <v>7987</v>
      </c>
      <c r="C2673" t="s">
        <v>7988</v>
      </c>
      <c r="D2673" t="str">
        <f>HYPERLINK("https://github.com/commons-app/apps-android-commons/issues/631","show")</f>
        <v>show</v>
      </c>
      <c r="E2673" t="str">
        <f>HYPERLINK("https://github.com/commons-app/apps-android-commons","show")</f>
        <v>show</v>
      </c>
      <c r="F2673" t="str">
        <f>HYPERLINK("https://github.com/commons-app/apps-android-commons/releases","show")</f>
        <v>show</v>
      </c>
    </row>
    <row r="2674" spans="1:6">
      <c r="A2674" t="s">
        <v>7989</v>
      </c>
      <c r="B2674" t="s">
        <v>7990</v>
      </c>
      <c r="C2674" t="s">
        <v>7991</v>
      </c>
      <c r="D2674" t="str">
        <f>HYPERLINK("https://github.com/niclabs/adkintunmobile-androidclient/issues/172","show")</f>
        <v>show</v>
      </c>
      <c r="E2674" t="str">
        <f>HYPERLINK("https://github.com/niclabs/adkintunmobile-androidclient","show")</f>
        <v>show</v>
      </c>
      <c r="F2674" t="str">
        <f>HYPERLINK("https://github.com/niclabs/adkintunmobile-androidclient/releases","show")</f>
        <v>show</v>
      </c>
    </row>
    <row r="2675" spans="1:6">
      <c r="A2675" t="s">
        <v>7992</v>
      </c>
      <c r="B2675" t="s">
        <v>7993</v>
      </c>
      <c r="C2675" t="s">
        <v>7994</v>
      </c>
      <c r="D2675" t="str">
        <f>HYPERLINK("https://github.com/projectwife/mtesitoo-android/issues/107","show")</f>
        <v>show</v>
      </c>
      <c r="E2675" t="str">
        <f>HYPERLINK("https://github.com/projectwife/mtesitoo-android","show")</f>
        <v>show</v>
      </c>
      <c r="F2675" t="str">
        <f>HYPERLINK("https://github.com/projectwife/mtesitoo-android/releases","show")</f>
        <v>show</v>
      </c>
    </row>
    <row r="2676" spans="1:6">
      <c r="A2676" t="s">
        <v>7995</v>
      </c>
      <c r="B2676" t="s">
        <v>7996</v>
      </c>
      <c r="C2676" t="s">
        <v>7997</v>
      </c>
      <c r="D2676" t="str">
        <f>HYPERLINK("https://github.com/Telegram-FOSS-Team/Telegram-FOSS/issues/153","show")</f>
        <v>show</v>
      </c>
      <c r="E2676" t="str">
        <f>HYPERLINK("https://github.com/Telegram-FOSS-Team/Telegram-FOSS","show")</f>
        <v>show</v>
      </c>
      <c r="F2676" t="str">
        <f>HYPERLINK("https://github.com/Telegram-FOSS-Team/Telegram-FOSS/releases","show")</f>
        <v>show</v>
      </c>
    </row>
    <row r="2677" spans="1:6">
      <c r="A2677" t="s">
        <v>7998</v>
      </c>
      <c r="B2677" t="s">
        <v>7999</v>
      </c>
      <c r="C2677" t="s">
        <v>8000</v>
      </c>
      <c r="D2677" t="str">
        <f>HYPERLINK("https://github.com/openbase/bco.bcomfy/issues/12","show")</f>
        <v>show</v>
      </c>
      <c r="E2677" t="str">
        <f>HYPERLINK("https://github.com/openbase/bco.bcomfy","show")</f>
        <v>show</v>
      </c>
      <c r="F2677" t="str">
        <f>HYPERLINK("https://github.com/openbase/bco.bcomfy/releases","show")</f>
        <v>show</v>
      </c>
    </row>
    <row r="2678" spans="1:6">
      <c r="A2678" t="s">
        <v>8001</v>
      </c>
      <c r="B2678" t="s">
        <v>8002</v>
      </c>
      <c r="C2678" t="s">
        <v>8003</v>
      </c>
      <c r="D2678" t="str">
        <f>HYPERLINK("https://github.com/mdg-iitr/trianglify/issues/36","show")</f>
        <v>show</v>
      </c>
      <c r="E2678" t="str">
        <f>HYPERLINK("https://github.com/mdg-iitr/trianglify","show")</f>
        <v>show</v>
      </c>
      <c r="F2678" t="str">
        <f>HYPERLINK("https://github.com/mdg-iitr/trianglify/releases","show")</f>
        <v>show</v>
      </c>
    </row>
    <row r="2679" spans="1:6">
      <c r="A2679" t="s">
        <v>8004</v>
      </c>
      <c r="B2679" t="s">
        <v>8005</v>
      </c>
      <c r="C2679" t="s">
        <v>8006</v>
      </c>
      <c r="D2679" t="str">
        <f>HYPERLINK("https://github.com/salRoid/Filmy/issues/104","show")</f>
        <v>show</v>
      </c>
      <c r="E2679" t="str">
        <f>HYPERLINK("https://github.com/salRoid/Filmy","show")</f>
        <v>show</v>
      </c>
      <c r="F2679" t="str">
        <f>HYPERLINK("https://github.com/salRoid/Filmy/releases","show")</f>
        <v>show</v>
      </c>
    </row>
    <row r="2680" spans="1:6">
      <c r="A2680" t="s">
        <v>8007</v>
      </c>
      <c r="B2680" t="s">
        <v>8008</v>
      </c>
      <c r="C2680" t="s">
        <v>8009</v>
      </c>
      <c r="D2680" t="str">
        <f>HYPERLINK("https://github.com/openid/AppAuth-Android/issues/228","show")</f>
        <v>show</v>
      </c>
      <c r="E2680" t="str">
        <f>HYPERLINK("https://github.com/openid/AppAuth-Android","show")</f>
        <v>show</v>
      </c>
      <c r="F2680" t="str">
        <f>HYPERLINK("https://github.com/openid/AppAuth-Android/releases","show")</f>
        <v>show</v>
      </c>
    </row>
    <row r="2681" spans="1:6">
      <c r="A2681" t="s">
        <v>8010</v>
      </c>
      <c r="B2681" t="s">
        <v>8011</v>
      </c>
      <c r="C2681" t="s">
        <v>8012</v>
      </c>
      <c r="D2681" t="str">
        <f>HYPERLINK("https://github.com/Mariovc/ImagePicker/issues/21","show")</f>
        <v>show</v>
      </c>
      <c r="E2681" t="str">
        <f>HYPERLINK("https://github.com/Mariovc/ImagePicker","show")</f>
        <v>show</v>
      </c>
      <c r="F2681" t="str">
        <f>HYPERLINK("https://github.com/Mariovc/ImagePicker/releases","show")</f>
        <v>show</v>
      </c>
    </row>
    <row r="2682" spans="1:6">
      <c r="A2682" t="s">
        <v>8013</v>
      </c>
      <c r="B2682" t="s">
        <v>8014</v>
      </c>
      <c r="C2682" t="s">
        <v>8015</v>
      </c>
      <c r="D2682" t="str">
        <f>HYPERLINK("https://github.com/MatthijsKok/TI2806-Contextproject/issues/123","show")</f>
        <v>show</v>
      </c>
      <c r="E2682" t="str">
        <f>HYPERLINK("https://github.com/MatthijsKok/TI2806-Contextproject","show")</f>
        <v>show</v>
      </c>
      <c r="F2682" t="str">
        <f>HYPERLINK("https://github.com/MatthijsKok/TI2806-Contextproject/releases","show")</f>
        <v>show</v>
      </c>
    </row>
    <row r="2683" spans="1:6">
      <c r="A2683" t="s">
        <v>8016</v>
      </c>
      <c r="B2683" t="s">
        <v>8017</v>
      </c>
      <c r="C2683" t="s">
        <v>8018</v>
      </c>
      <c r="D2683" t="str">
        <f>HYPERLINK("https://github.com/smartdevicelink/sdl_java_suite/issues/518","show")</f>
        <v>show</v>
      </c>
      <c r="E2683" t="str">
        <f>HYPERLINK("https://github.com/smartdevicelink/sdl_java_suite","show")</f>
        <v>show</v>
      </c>
      <c r="F2683" t="str">
        <f>HYPERLINK("https://github.com/smartdevicelink/sdl_java_suite/releases","show")</f>
        <v>show</v>
      </c>
    </row>
    <row r="2684" spans="1:6">
      <c r="A2684" t="s">
        <v>8019</v>
      </c>
      <c r="B2684" t="s">
        <v>8020</v>
      </c>
      <c r="C2684" t="s">
        <v>8021</v>
      </c>
      <c r="D2684" t="str">
        <f>HYPERLINK("https://github.com/7LPdWcaW/GrowTracker-Android/issues/47","show")</f>
        <v>show</v>
      </c>
      <c r="E2684" t="str">
        <f>HYPERLINK("https://github.com/7LPdWcaW/GrowTracker-Android","show")</f>
        <v>show</v>
      </c>
      <c r="F2684" t="str">
        <f>HYPERLINK("https://github.com/7LPdWcaW/GrowTracker-Android/releases","show")</f>
        <v>show</v>
      </c>
    </row>
    <row r="2685" spans="1:6">
      <c r="A2685" t="s">
        <v>8022</v>
      </c>
      <c r="B2685" t="s">
        <v>8023</v>
      </c>
      <c r="C2685" t="s">
        <v>8024</v>
      </c>
      <c r="D2685" t="str">
        <f>HYPERLINK("https://github.com/evernote/android-job/issues/200","show")</f>
        <v>show</v>
      </c>
      <c r="E2685" t="str">
        <f>HYPERLINK("https://github.com/evernote/android-job","show")</f>
        <v>show</v>
      </c>
      <c r="F2685" t="str">
        <f>HYPERLINK("https://github.com/evernote/android-job/releases","show")</f>
        <v>show</v>
      </c>
    </row>
    <row r="2686" spans="1:6">
      <c r="A2686" t="s">
        <v>8025</v>
      </c>
      <c r="B2686" t="s">
        <v>8026</v>
      </c>
      <c r="C2686" t="s">
        <v>8027</v>
      </c>
      <c r="D2686" t="str">
        <f>HYPERLINK("https://github.com/inaturalist/iNaturalistAndroid/issues/355","show")</f>
        <v>show</v>
      </c>
      <c r="E2686" t="str">
        <f>HYPERLINK("https://github.com/inaturalist/iNaturalistAndroid","show")</f>
        <v>show</v>
      </c>
      <c r="F2686" t="str">
        <f>HYPERLINK("https://github.com/inaturalist/iNaturalistAndroid/releases","show")</f>
        <v>show</v>
      </c>
    </row>
    <row r="2687" spans="1:6">
      <c r="A2687" t="s">
        <v>8028</v>
      </c>
      <c r="B2687" t="s">
        <v>8029</v>
      </c>
      <c r="C2687" t="s">
        <v>8030</v>
      </c>
      <c r="D2687" t="str">
        <f>HYPERLINK("https://github.com/fossasia/phimpme-android/issues/477","show")</f>
        <v>show</v>
      </c>
      <c r="E2687" t="str">
        <f>HYPERLINK("https://github.com/fossasia/phimpme-android","show")</f>
        <v>show</v>
      </c>
      <c r="F2687" t="str">
        <f>HYPERLINK("https://github.com/fossasia/phimpme-android/releases","show")</f>
        <v>show</v>
      </c>
    </row>
    <row r="2688" spans="1:6">
      <c r="A2688" t="s">
        <v>8031</v>
      </c>
      <c r="B2688" t="s">
        <v>8032</v>
      </c>
      <c r="C2688" t="s">
        <v>8033</v>
      </c>
      <c r="D2688" t="str">
        <f>HYPERLINK("https://github.com/cgeo/cgeo/issues/6580","show")</f>
        <v>show</v>
      </c>
      <c r="E2688" t="str">
        <f>HYPERLINK("https://github.com/cgeo/cgeo","show")</f>
        <v>show</v>
      </c>
      <c r="F2688" t="str">
        <f>HYPERLINK("https://github.com/cgeo/cgeo/releases","show")</f>
        <v>show</v>
      </c>
    </row>
    <row r="2689" spans="1:6">
      <c r="A2689" t="s">
        <v>8034</v>
      </c>
      <c r="B2689" t="s">
        <v>8035</v>
      </c>
      <c r="C2689" t="s">
        <v>8036</v>
      </c>
      <c r="D2689" t="str">
        <f>HYPERLINK("https://github.com/schedjoules/android-event-discovery-sdk/issues/283","show")</f>
        <v>show</v>
      </c>
      <c r="E2689" t="str">
        <f>HYPERLINK("https://github.com/schedjoules/android-event-discovery-sdk","show")</f>
        <v>show</v>
      </c>
      <c r="F2689" t="str">
        <f>HYPERLINK("https://github.com/schedjoules/android-event-discovery-sdk/releases","show")</f>
        <v>show</v>
      </c>
    </row>
    <row r="2690" spans="1:6">
      <c r="A2690" t="s">
        <v>8037</v>
      </c>
      <c r="B2690" t="s">
        <v>8038</v>
      </c>
      <c r="C2690" t="s">
        <v>8039</v>
      </c>
      <c r="D2690" t="str">
        <f>HYPERLINK("https://github.com/jklmnn/ParkenDD/issues/43","show")</f>
        <v>show</v>
      </c>
      <c r="E2690" t="str">
        <f>HYPERLINK("https://github.com/jklmnn/ParkenDD","show")</f>
        <v>show</v>
      </c>
      <c r="F2690" t="str">
        <f>HYPERLINK("https://github.com/jklmnn/ParkenDD/releases","show")</f>
        <v>show</v>
      </c>
    </row>
    <row r="2691" spans="1:6">
      <c r="A2691" t="s">
        <v>8040</v>
      </c>
      <c r="B2691" t="s">
        <v>8041</v>
      </c>
      <c r="C2691" t="s">
        <v>8042</v>
      </c>
      <c r="D2691" t="str">
        <f>HYPERLINK("https://github.com/getodk/collect/issues/1057","show")</f>
        <v>show</v>
      </c>
      <c r="E2691" t="str">
        <f>HYPERLINK("https://github.com/getodk/collect","show")</f>
        <v>show</v>
      </c>
      <c r="F2691" t="str">
        <f>HYPERLINK("https://github.com/getodk/collect/releases","show")</f>
        <v>show</v>
      </c>
    </row>
    <row r="2692" spans="1:6">
      <c r="A2692" t="s">
        <v>8043</v>
      </c>
      <c r="B2692" t="s">
        <v>8044</v>
      </c>
      <c r="C2692" t="s">
        <v>8045</v>
      </c>
      <c r="D2692" t="str">
        <f>HYPERLINK("https://github.com/searles/FractviewAndroid/issues/14","show")</f>
        <v>show</v>
      </c>
      <c r="E2692" t="str">
        <f>HYPERLINK("https://github.com/searles/FractviewAndroid","show")</f>
        <v>show</v>
      </c>
      <c r="F2692" t="str">
        <f>HYPERLINK("https://github.com/searles/FractviewAndroid/releases","show")</f>
        <v>show</v>
      </c>
    </row>
    <row r="2693" spans="1:6">
      <c r="A2693" t="s">
        <v>8046</v>
      </c>
      <c r="B2693" t="s">
        <v>8047</v>
      </c>
      <c r="C2693" t="s">
        <v>8048</v>
      </c>
      <c r="D2693" t="str">
        <f>HYPERLINK("https://github.com/uw-ictd/dfs-phishing-sms-client/issues/2","show")</f>
        <v>show</v>
      </c>
      <c r="E2693" t="str">
        <f>HYPERLINK("https://github.com/uw-ictd/dfs-phishing-sms-client","show")</f>
        <v>show</v>
      </c>
      <c r="F2693" t="str">
        <f>HYPERLINK("https://github.com/uw-ictd/dfs-phishing-sms-client/releases","show")</f>
        <v>show</v>
      </c>
    </row>
    <row r="2694" spans="1:6">
      <c r="A2694" t="s">
        <v>8049</v>
      </c>
      <c r="B2694" t="s">
        <v>4460</v>
      </c>
      <c r="C2694" t="s">
        <v>8050</v>
      </c>
      <c r="D2694" t="str">
        <f>HYPERLINK("https://github.com/tanrabad/survey/issues/22","show")</f>
        <v>show</v>
      </c>
      <c r="E2694" t="str">
        <f>HYPERLINK("https://github.com/tanrabad/survey","show")</f>
        <v>show</v>
      </c>
      <c r="F2694" t="str">
        <f>HYPERLINK("https://github.com/tanrabad/survey/releases","show")</f>
        <v>show</v>
      </c>
    </row>
    <row r="2695" spans="1:6">
      <c r="A2695" t="s">
        <v>8051</v>
      </c>
      <c r="B2695" t="s">
        <v>8052</v>
      </c>
      <c r="C2695" t="s">
        <v>8053</v>
      </c>
      <c r="D2695" t="str">
        <f>HYPERLINK("https://github.com/shivamsriva31093/MovieFinder/issues/3","show")</f>
        <v>show</v>
      </c>
      <c r="E2695" t="str">
        <f>HYPERLINK("https://github.com/shivamsriva31093/MovieFinder","show")</f>
        <v>show</v>
      </c>
      <c r="F2695" t="str">
        <f>HYPERLINK("https://github.com/shivamsriva31093/MovieFinder/releases","show")</f>
        <v>show</v>
      </c>
    </row>
    <row r="2696" spans="1:6">
      <c r="A2696" t="s">
        <v>8054</v>
      </c>
      <c r="B2696" t="s">
        <v>8055</v>
      </c>
      <c r="C2696" t="s">
        <v>8056</v>
      </c>
      <c r="D2696" t="str">
        <f>HYPERLINK("https://github.com/getodk/collect/issues/1074","show")</f>
        <v>show</v>
      </c>
      <c r="E2696" t="str">
        <f>HYPERLINK("https://github.com/getodk/collect","show")</f>
        <v>show</v>
      </c>
      <c r="F2696" t="str">
        <f>HYPERLINK("https://github.com/getodk/collect/releases","show")</f>
        <v>show</v>
      </c>
    </row>
    <row r="2697" spans="1:6">
      <c r="A2697" t="s">
        <v>8057</v>
      </c>
      <c r="B2697" t="s">
        <v>4460</v>
      </c>
      <c r="C2697" t="s">
        <v>8058</v>
      </c>
      <c r="D2697" t="str">
        <f>HYPERLINK("https://github.com/tanrabad/survey/issues/24","show")</f>
        <v>show</v>
      </c>
      <c r="E2697" t="str">
        <f>HYPERLINK("https://github.com/tanrabad/survey","show")</f>
        <v>show</v>
      </c>
      <c r="F2697" t="str">
        <f>HYPERLINK("https://github.com/tanrabad/survey/releases","show")</f>
        <v>show</v>
      </c>
    </row>
    <row r="2698" spans="1:6">
      <c r="A2698" t="s">
        <v>8059</v>
      </c>
      <c r="B2698" t="s">
        <v>8060</v>
      </c>
      <c r="C2698" t="s">
        <v>8061</v>
      </c>
      <c r="D2698" t="str">
        <f>HYPERLINK("https://github.com/Mariovc/ImagePicker/issues/23","show")</f>
        <v>show</v>
      </c>
      <c r="E2698" t="str">
        <f>HYPERLINK("https://github.com/Mariovc/ImagePicker","show")</f>
        <v>show</v>
      </c>
      <c r="F2698" t="str">
        <f>HYPERLINK("https://github.com/Mariovc/ImagePicker/releases","show")</f>
        <v>show</v>
      </c>
    </row>
    <row r="2699" spans="1:6">
      <c r="A2699" t="s">
        <v>8062</v>
      </c>
      <c r="B2699" t="s">
        <v>4460</v>
      </c>
      <c r="C2699" t="s">
        <v>8063</v>
      </c>
      <c r="D2699" t="str">
        <f>HYPERLINK("https://github.com/tanrabad/survey/issues/23","show")</f>
        <v>show</v>
      </c>
      <c r="E2699" t="str">
        <f>HYPERLINK("https://github.com/tanrabad/survey","show")</f>
        <v>show</v>
      </c>
      <c r="F2699" t="str">
        <f>HYPERLINK("https://github.com/tanrabad/survey/releases","show")</f>
        <v>show</v>
      </c>
    </row>
    <row r="2700" spans="1:6">
      <c r="A2700" t="s">
        <v>8064</v>
      </c>
      <c r="B2700" t="s">
        <v>8065</v>
      </c>
      <c r="C2700" t="s">
        <v>8066</v>
      </c>
      <c r="D2700" t="str">
        <f>HYPERLINK("https://github.com/dariuszseweryn/RxAndroidBle/issues/206","show")</f>
        <v>show</v>
      </c>
      <c r="E2700" t="str">
        <f>HYPERLINK("https://github.com/dariuszseweryn/RxAndroidBle","show")</f>
        <v>show</v>
      </c>
      <c r="F2700" t="str">
        <f>HYPERLINK("https://github.com/dariuszseweryn/RxAndroidBle/releases","show")</f>
        <v>show</v>
      </c>
    </row>
    <row r="2701" spans="1:6">
      <c r="A2701" t="s">
        <v>8067</v>
      </c>
      <c r="B2701" t="s">
        <v>8068</v>
      </c>
      <c r="C2701" t="s">
        <v>8069</v>
      </c>
      <c r="D2701" t="str">
        <f>HYPERLINK("https://github.com/mancj/SlideUp-Android/issues/28","show")</f>
        <v>show</v>
      </c>
      <c r="E2701" t="str">
        <f>HYPERLINK("https://github.com/mancj/SlideUp-Android","show")</f>
        <v>show</v>
      </c>
      <c r="F2701" t="str">
        <f>HYPERLINK("https://github.com/mancj/SlideUp-Android/releases","show")</f>
        <v>show</v>
      </c>
    </row>
    <row r="2702" spans="1:6">
      <c r="A2702" t="s">
        <v>8070</v>
      </c>
      <c r="B2702" t="s">
        <v>8071</v>
      </c>
      <c r="C2702" t="s">
        <v>8072</v>
      </c>
      <c r="D2702" t="str">
        <f>HYPERLINK("https://github.com/ericcornelissen/NervousFish/issues/182","show")</f>
        <v>show</v>
      </c>
      <c r="E2702" t="str">
        <f>HYPERLINK("https://github.com/ericcornelissen/NervousFish","show")</f>
        <v>show</v>
      </c>
      <c r="F2702" t="str">
        <f>HYPERLINK("https://github.com/ericcornelissen/NervousFish/releases","show")</f>
        <v>show</v>
      </c>
    </row>
    <row r="2703" spans="1:6">
      <c r="A2703" t="s">
        <v>8073</v>
      </c>
      <c r="B2703" t="s">
        <v>8074</v>
      </c>
      <c r="C2703" t="s">
        <v>8075</v>
      </c>
      <c r="D2703" t="str">
        <f>HYPERLINK("https://github.com/IBM-Cloud/chatbot-watson-android/issues/3","show")</f>
        <v>show</v>
      </c>
      <c r="E2703" t="str">
        <f>HYPERLINK("https://github.com/IBM-Cloud/chatbot-watson-android","show")</f>
        <v>show</v>
      </c>
      <c r="F2703" t="str">
        <f>HYPERLINK("https://github.com/IBM-Cloud/chatbot-watson-android/releases","show")</f>
        <v>show</v>
      </c>
    </row>
    <row r="2704" spans="1:6">
      <c r="A2704" t="s">
        <v>8076</v>
      </c>
      <c r="B2704" t="s">
        <v>8077</v>
      </c>
      <c r="C2704" t="s">
        <v>8078</v>
      </c>
      <c r="D2704" t="str">
        <f>HYPERLINK("https://github.com/kontalk/androidclient/issues/1011","show")</f>
        <v>show</v>
      </c>
      <c r="E2704" t="str">
        <f>HYPERLINK("https://github.com/kontalk/androidclient","show")</f>
        <v>show</v>
      </c>
      <c r="F2704" t="str">
        <f>HYPERLINK("https://github.com/kontalk/androidclient/releases","show")</f>
        <v>show</v>
      </c>
    </row>
    <row r="2705" spans="1:6">
      <c r="A2705" t="s">
        <v>8079</v>
      </c>
      <c r="B2705" t="s">
        <v>8080</v>
      </c>
      <c r="C2705" t="s">
        <v>8081</v>
      </c>
      <c r="D2705" t="str">
        <f>HYPERLINK("https://github.com/akvo/akvo-flow-mobile/issues/740","show")</f>
        <v>show</v>
      </c>
      <c r="E2705" t="str">
        <f>HYPERLINK("https://github.com/akvo/akvo-flow-mobile","show")</f>
        <v>show</v>
      </c>
      <c r="F2705" t="str">
        <f>HYPERLINK("https://github.com/akvo/akvo-flow-mobile/releases","show")</f>
        <v>show</v>
      </c>
    </row>
    <row r="2706" spans="1:6">
      <c r="A2706" t="s">
        <v>8082</v>
      </c>
      <c r="B2706" t="s">
        <v>8083</v>
      </c>
      <c r="C2706" t="s">
        <v>8084</v>
      </c>
      <c r="D2706" t="str">
        <f>HYPERLINK("https://github.com/vector-im/riot-android/issues/1262","show")</f>
        <v>show</v>
      </c>
      <c r="E2706" t="str">
        <f>HYPERLINK("https://github.com/vector-im/riot-android","show")</f>
        <v>show</v>
      </c>
      <c r="F2706" t="str">
        <f>HYPERLINK("https://github.com/vector-im/riot-android/releases","show")</f>
        <v>show</v>
      </c>
    </row>
    <row r="2707" spans="1:6">
      <c r="A2707" t="s">
        <v>8085</v>
      </c>
      <c r="B2707" t="s">
        <v>8086</v>
      </c>
      <c r="C2707" t="s">
        <v>8087</v>
      </c>
      <c r="D2707" t="str">
        <f>HYPERLINK("https://github.com/bumptech/glide/issues/1991","show")</f>
        <v>show</v>
      </c>
      <c r="E2707" t="str">
        <f>HYPERLINK("https://github.com/bumptech/glide","show")</f>
        <v>show</v>
      </c>
      <c r="F2707" t="str">
        <f>HYPERLINK("https://github.com/bumptech/glide/releases","show")</f>
        <v>show</v>
      </c>
    </row>
    <row r="2708" spans="1:6">
      <c r="A2708" t="s">
        <v>8088</v>
      </c>
      <c r="B2708" t="s">
        <v>8089</v>
      </c>
      <c r="C2708" t="s">
        <v>8090</v>
      </c>
      <c r="D2708" t="str">
        <f>HYPERLINK("https://github.com/nitroshare/nitroshare-android/issues/25","show")</f>
        <v>show</v>
      </c>
      <c r="E2708" t="str">
        <f>HYPERLINK("https://github.com/nitroshare/nitroshare-android","show")</f>
        <v>show</v>
      </c>
      <c r="F2708" t="str">
        <f>HYPERLINK("https://github.com/nitroshare/nitroshare-android/releases","show")</f>
        <v>show</v>
      </c>
    </row>
    <row r="2709" spans="1:6">
      <c r="A2709" t="s">
        <v>8091</v>
      </c>
      <c r="B2709" t="s">
        <v>8092</v>
      </c>
      <c r="C2709" t="s">
        <v>8093</v>
      </c>
      <c r="D2709" t="str">
        <f>HYPERLINK("https://github.com/fossasia/phimpme-android/issues/519","show")</f>
        <v>show</v>
      </c>
      <c r="E2709" t="str">
        <f>HYPERLINK("https://github.com/fossasia/phimpme-android","show")</f>
        <v>show</v>
      </c>
      <c r="F2709" t="str">
        <f>HYPERLINK("https://github.com/fossasia/phimpme-android/releases","show")</f>
        <v>show</v>
      </c>
    </row>
    <row r="2710" spans="1:6">
      <c r="A2710" t="s">
        <v>8094</v>
      </c>
      <c r="B2710" t="s">
        <v>8095</v>
      </c>
      <c r="C2710" t="s">
        <v>8096</v>
      </c>
      <c r="D2710" t="str">
        <f>HYPERLINK("https://github.com/fossasia/phimpme-android/issues/517","show")</f>
        <v>show</v>
      </c>
      <c r="E2710" t="str">
        <f>HYPERLINK("https://github.com/fossasia/phimpme-android","show")</f>
        <v>show</v>
      </c>
      <c r="F2710" t="str">
        <f>HYPERLINK("https://github.com/fossasia/phimpme-android/releases","show")</f>
        <v>show</v>
      </c>
    </row>
    <row r="2711" spans="1:6">
      <c r="A2711" t="s">
        <v>8097</v>
      </c>
      <c r="B2711" t="s">
        <v>8098</v>
      </c>
      <c r="C2711" t="s">
        <v>8099</v>
      </c>
      <c r="D2711" t="str">
        <f>HYPERLINK("https://github.com/dermalikmann/burning-series/issues/32","show")</f>
        <v>show</v>
      </c>
      <c r="E2711" t="str">
        <f>HYPERLINK("https://github.com/dermalikmann/burning-series","show")</f>
        <v>show</v>
      </c>
      <c r="F2711" t="str">
        <f>HYPERLINK("https://github.com/dermalikmann/burning-series/releases","show")</f>
        <v>show</v>
      </c>
    </row>
    <row r="2712" spans="1:6">
      <c r="A2712" t="s">
        <v>8100</v>
      </c>
      <c r="B2712" t="s">
        <v>8101</v>
      </c>
      <c r="C2712" t="s">
        <v>8102</v>
      </c>
      <c r="D2712" t="str">
        <f>HYPERLINK("https://github.com/ZeeRooo/MaterialFBook/issues/88","show")</f>
        <v>show</v>
      </c>
      <c r="E2712" t="str">
        <f>HYPERLINK("https://github.com/ZeeRooo/MaterialFBook","show")</f>
        <v>show</v>
      </c>
      <c r="F2712" t="str">
        <f>HYPERLINK("https://github.com/ZeeRooo/MaterialFBook/releases","show")</f>
        <v>show</v>
      </c>
    </row>
    <row r="2713" spans="1:6">
      <c r="A2713" t="s">
        <v>8103</v>
      </c>
      <c r="B2713" t="s">
        <v>8104</v>
      </c>
      <c r="C2713" t="s">
        <v>8105</v>
      </c>
      <c r="D2713" t="str">
        <f>HYPERLINK("https://github.com/tanrabad/survey/issues/25","show")</f>
        <v>show</v>
      </c>
      <c r="E2713" t="str">
        <f>HYPERLINK("https://github.com/tanrabad/survey","show")</f>
        <v>show</v>
      </c>
      <c r="F2713" t="str">
        <f>HYPERLINK("https://github.com/tanrabad/survey/releases","show")</f>
        <v>show</v>
      </c>
    </row>
    <row r="2714" spans="1:6">
      <c r="A2714" t="s">
        <v>8106</v>
      </c>
      <c r="B2714" t="s">
        <v>8107</v>
      </c>
      <c r="C2714" t="s">
        <v>8108</v>
      </c>
      <c r="D2714" t="str">
        <f>HYPERLINK("https://github.com/danimahardhika/candybar-library/issues/63","show")</f>
        <v>show</v>
      </c>
      <c r="E2714" t="str">
        <f>HYPERLINK("https://github.com/danimahardhika/candybar-library","show")</f>
        <v>show</v>
      </c>
      <c r="F2714" t="str">
        <f>HYPERLINK("https://github.com/danimahardhika/candybar-library/releases","show")</f>
        <v>show</v>
      </c>
    </row>
    <row r="2715" spans="1:6">
      <c r="A2715" t="s">
        <v>8109</v>
      </c>
      <c r="B2715" t="s">
        <v>4460</v>
      </c>
      <c r="C2715" t="s">
        <v>8110</v>
      </c>
      <c r="D2715" t="str">
        <f>HYPERLINK("https://github.com/tanrabad/survey/issues/26","show")</f>
        <v>show</v>
      </c>
      <c r="E2715" t="str">
        <f>HYPERLINK("https://github.com/tanrabad/survey","show")</f>
        <v>show</v>
      </c>
      <c r="F2715" t="str">
        <f>HYPERLINK("https://github.com/tanrabad/survey/releases","show")</f>
        <v>show</v>
      </c>
    </row>
    <row r="2716" spans="1:6">
      <c r="A2716" t="s">
        <v>8111</v>
      </c>
      <c r="B2716" t="s">
        <v>8112</v>
      </c>
      <c r="C2716" t="s">
        <v>8113</v>
      </c>
      <c r="D2716" t="str">
        <f>HYPERLINK("https://github.com/syncthing/syncthing-android/issues/901","show")</f>
        <v>show</v>
      </c>
      <c r="E2716" t="str">
        <f>HYPERLINK("https://github.com/syncthing/syncthing-android","show")</f>
        <v>show</v>
      </c>
      <c r="F2716" t="str">
        <f>HYPERLINK("https://github.com/syncthing/syncthing-android/releases","show")</f>
        <v>show</v>
      </c>
    </row>
    <row r="2717" spans="1:6">
      <c r="A2717" t="s">
        <v>8114</v>
      </c>
      <c r="B2717" t="s">
        <v>8115</v>
      </c>
      <c r="C2717" t="s">
        <v>8116</v>
      </c>
      <c r="D2717" t="str">
        <f>HYPERLINK("https://github.com/k9mail/k-9/issues/2569","show")</f>
        <v>show</v>
      </c>
      <c r="E2717" t="str">
        <f>HYPERLINK("https://github.com/k9mail/k-9","show")</f>
        <v>show</v>
      </c>
      <c r="F2717" t="str">
        <f>HYPERLINK("https://github.com/k9mail/k-9/releases","show")</f>
        <v>show</v>
      </c>
    </row>
    <row r="2718" spans="1:6">
      <c r="A2718" t="s">
        <v>8117</v>
      </c>
      <c r="B2718" t="s">
        <v>8118</v>
      </c>
      <c r="C2718" t="s">
        <v>8119</v>
      </c>
      <c r="D2718" t="str">
        <f>HYPERLINK("https://github.com/nextcloud/android/issues/1070","show")</f>
        <v>show</v>
      </c>
      <c r="E2718" t="str">
        <f>HYPERLINK("https://github.com/nextcloud/android","show")</f>
        <v>show</v>
      </c>
      <c r="F2718" t="str">
        <f>HYPERLINK("https://github.com/nextcloud/android/releases","show")</f>
        <v>show</v>
      </c>
    </row>
    <row r="2719" spans="1:6">
      <c r="A2719" t="s">
        <v>8120</v>
      </c>
      <c r="B2719" t="s">
        <v>8121</v>
      </c>
      <c r="C2719" t="s">
        <v>8122</v>
      </c>
      <c r="D2719" t="str">
        <f>HYPERLINK("https://github.com/deltachat/deltachat-android/issues/96","show")</f>
        <v>show</v>
      </c>
      <c r="E2719" t="str">
        <f>HYPERLINK("https://github.com/deltachat/deltachat-android","show")</f>
        <v>show</v>
      </c>
      <c r="F2719" t="str">
        <f>HYPERLINK("https://github.com/deltachat/deltachat-android/releases","show")</f>
        <v>show</v>
      </c>
    </row>
    <row r="2720" spans="1:6">
      <c r="A2720" t="s">
        <v>8123</v>
      </c>
      <c r="B2720" t="s">
        <v>8124</v>
      </c>
      <c r="C2720" t="s">
        <v>8125</v>
      </c>
      <c r="D2720" t="str">
        <f>HYPERLINK("https://github.com/universAAL/nativeandroid/issues/464","show")</f>
        <v>show</v>
      </c>
      <c r="E2720" t="str">
        <f>HYPERLINK("https://github.com/universAAL/nativeandroid","show")</f>
        <v>show</v>
      </c>
      <c r="F2720" t="str">
        <f>HYPERLINK("https://github.com/universAAL/nativeandroid/releases","show")</f>
        <v>show</v>
      </c>
    </row>
    <row r="2721" spans="1:6">
      <c r="A2721" t="s">
        <v>8126</v>
      </c>
      <c r="B2721" t="s">
        <v>8127</v>
      </c>
      <c r="C2721" t="s">
        <v>8128</v>
      </c>
      <c r="D2721" t="str">
        <f>HYPERLINK("https://github.com/huhx0015/DashNearby/issues/3","show")</f>
        <v>show</v>
      </c>
      <c r="E2721" t="str">
        <f>HYPERLINK("https://github.com/huhx0015/DashNearby","show")</f>
        <v>show</v>
      </c>
      <c r="F2721" t="str">
        <f>HYPERLINK("https://github.com/huhx0015/DashNearby/releases","show")</f>
        <v>show</v>
      </c>
    </row>
    <row r="2722" spans="1:6">
      <c r="A2722" t="s">
        <v>8129</v>
      </c>
      <c r="B2722" t="s">
        <v>8130</v>
      </c>
      <c r="C2722" t="s">
        <v>8131</v>
      </c>
      <c r="D2722" t="str">
        <f>HYPERLINK("https://github.com/shivamsriva31093/MovieFinder/issues/12","show")</f>
        <v>show</v>
      </c>
      <c r="E2722" t="str">
        <f>HYPERLINK("https://github.com/shivamsriva31093/MovieFinder","show")</f>
        <v>show</v>
      </c>
      <c r="F2722" t="str">
        <f>HYPERLINK("https://github.com/shivamsriva31093/MovieFinder/releases","show")</f>
        <v>show</v>
      </c>
    </row>
    <row r="2723" spans="1:6">
      <c r="A2723" t="s">
        <v>8132</v>
      </c>
      <c r="B2723" t="s">
        <v>8133</v>
      </c>
      <c r="C2723" t="s">
        <v>8134</v>
      </c>
      <c r="D2723" t="str">
        <f>HYPERLINK("https://github.com/renyuneyun/Easer/issues/12","show")</f>
        <v>show</v>
      </c>
      <c r="E2723" t="str">
        <f>HYPERLINK("https://github.com/renyuneyun/Easer","show")</f>
        <v>show</v>
      </c>
      <c r="F2723" t="str">
        <f>HYPERLINK("https://github.com/renyuneyun/Easer/releases","show")</f>
        <v>show</v>
      </c>
    </row>
    <row r="2724" spans="1:6">
      <c r="A2724" t="s">
        <v>8135</v>
      </c>
      <c r="B2724" t="s">
        <v>8136</v>
      </c>
      <c r="C2724" t="s">
        <v>8137</v>
      </c>
      <c r="D2724" t="str">
        <f>HYPERLINK("https://github.com/inaturalist/iNaturalistAndroid/issues/359","show")</f>
        <v>show</v>
      </c>
      <c r="E2724" t="str">
        <f>HYPERLINK("https://github.com/inaturalist/iNaturalistAndroid","show")</f>
        <v>show</v>
      </c>
      <c r="F2724" t="str">
        <f>HYPERLINK("https://github.com/inaturalist/iNaturalistAndroid/releases","show")</f>
        <v>show</v>
      </c>
    </row>
    <row r="2725" spans="1:6">
      <c r="A2725" t="s">
        <v>8138</v>
      </c>
      <c r="B2725" t="s">
        <v>8139</v>
      </c>
      <c r="C2725" t="s">
        <v>8140</v>
      </c>
      <c r="D2725" t="str">
        <f>HYPERLINK("https://github.com/ericcornelissen/NervousFish/issues/216","show")</f>
        <v>show</v>
      </c>
      <c r="E2725" t="str">
        <f>HYPERLINK("https://github.com/ericcornelissen/NervousFish","show")</f>
        <v>show</v>
      </c>
      <c r="F2725" t="str">
        <f>HYPERLINK("https://github.com/ericcornelissen/NervousFish/releases","show")</f>
        <v>show</v>
      </c>
    </row>
    <row r="2726" spans="1:6">
      <c r="A2726" t="s">
        <v>8141</v>
      </c>
      <c r="B2726" t="s">
        <v>8142</v>
      </c>
      <c r="C2726" t="s">
        <v>8143</v>
      </c>
      <c r="D2726" t="str">
        <f>HYPERLINK("https://github.com/geopaparazzi/geopaparazzi/issues/404","show")</f>
        <v>show</v>
      </c>
      <c r="E2726" t="str">
        <f>HYPERLINK("https://github.com/geopaparazzi/geopaparazzi","show")</f>
        <v>show</v>
      </c>
      <c r="F2726" t="str">
        <f>HYPERLINK("https://github.com/geopaparazzi/geopaparazzi/releases","show")</f>
        <v>show</v>
      </c>
    </row>
    <row r="2727" spans="1:6">
      <c r="A2727" t="s">
        <v>8144</v>
      </c>
      <c r="B2727" t="s">
        <v>8145</v>
      </c>
      <c r="C2727" t="s">
        <v>8146</v>
      </c>
      <c r="D2727" t="str">
        <f>HYPERLINK("https://github.com/jacob-g/cleveland-rta-next-bus-train/issues/70","show")</f>
        <v>show</v>
      </c>
      <c r="E2727" t="str">
        <f>HYPERLINK("https://github.com/jacob-g/cleveland-rta-next-bus-train","show")</f>
        <v>show</v>
      </c>
      <c r="F2727" t="str">
        <f>HYPERLINK("https://github.com/jacob-g/cleveland-rta-next-bus-train/releases","show")</f>
        <v>show</v>
      </c>
    </row>
    <row r="2728" spans="1:6">
      <c r="A2728" t="s">
        <v>8147</v>
      </c>
      <c r="B2728" t="s">
        <v>4460</v>
      </c>
      <c r="C2728" t="s">
        <v>8148</v>
      </c>
      <c r="D2728" t="str">
        <f>HYPERLINK("https://github.com/tanrabad/survey/issues/27","show")</f>
        <v>show</v>
      </c>
      <c r="E2728" t="str">
        <f>HYPERLINK("https://github.com/tanrabad/survey","show")</f>
        <v>show</v>
      </c>
      <c r="F2728" t="str">
        <f>HYPERLINK("https://github.com/tanrabad/survey/releases","show")</f>
        <v>show</v>
      </c>
    </row>
    <row r="2729" spans="1:6">
      <c r="A2729" t="s">
        <v>8149</v>
      </c>
      <c r="B2729" t="s">
        <v>8150</v>
      </c>
      <c r="C2729" t="s">
        <v>8151</v>
      </c>
      <c r="D2729" t="str">
        <f>HYPERLINK("https://github.com/fossasia/open-event-organizer-android/issues/158","show")</f>
        <v>show</v>
      </c>
      <c r="E2729" t="str">
        <f>HYPERLINK("https://github.com/fossasia/open-event-organizer-android","show")</f>
        <v>show</v>
      </c>
      <c r="F2729" t="str">
        <f>HYPERLINK("https://github.com/fossasia/open-event-organizer-android/releases","show")</f>
        <v>show</v>
      </c>
    </row>
    <row r="2730" spans="1:6">
      <c r="A2730" t="s">
        <v>8152</v>
      </c>
      <c r="B2730" t="s">
        <v>8153</v>
      </c>
      <c r="C2730" t="s">
        <v>8154</v>
      </c>
      <c r="D2730" t="str">
        <f>HYPERLINK("https://github.com/ericcornelissen/NervousFish/issues/223","show")</f>
        <v>show</v>
      </c>
      <c r="E2730" t="str">
        <f>HYPERLINK("https://github.com/ericcornelissen/NervousFish","show")</f>
        <v>show</v>
      </c>
      <c r="F2730" t="str">
        <f>HYPERLINK("https://github.com/ericcornelissen/NervousFish/releases","show")</f>
        <v>show</v>
      </c>
    </row>
    <row r="2731" spans="1:6">
      <c r="A2731" t="s">
        <v>8155</v>
      </c>
      <c r="B2731" t="s">
        <v>8156</v>
      </c>
      <c r="C2731" t="s">
        <v>8157</v>
      </c>
      <c r="D2731" t="str">
        <f>HYPERLINK("https://github.com/ganfra/MaterialSpinner/issues/93","show")</f>
        <v>show</v>
      </c>
      <c r="E2731" t="str">
        <f>HYPERLINK("https://github.com/ganfra/MaterialSpinner","show")</f>
        <v>show</v>
      </c>
      <c r="F2731" t="str">
        <f>HYPERLINK("https://github.com/ganfra/MaterialSpinner/releases","show")</f>
        <v>show</v>
      </c>
    </row>
    <row r="2732" spans="1:6">
      <c r="A2732" t="s">
        <v>8158</v>
      </c>
      <c r="B2732" t="s">
        <v>8159</v>
      </c>
      <c r="C2732" t="s">
        <v>8160</v>
      </c>
      <c r="D2732" t="str">
        <f>HYPERLINK("https://github.com/twilio/voice-quickstart-android/issues/61","show")</f>
        <v>show</v>
      </c>
      <c r="E2732" t="str">
        <f>HYPERLINK("https://github.com/twilio/voice-quickstart-android","show")</f>
        <v>show</v>
      </c>
      <c r="F2732" t="str">
        <f>HYPERLINK("https://github.com/twilio/voice-quickstart-android/releases","show")</f>
        <v>show</v>
      </c>
    </row>
    <row r="2733" spans="1:6">
      <c r="A2733" t="s">
        <v>8161</v>
      </c>
      <c r="B2733" t="s">
        <v>8162</v>
      </c>
      <c r="C2733" t="s">
        <v>8163</v>
      </c>
      <c r="D2733" t="str">
        <f>HYPERLINK("https://github.com/twilio/voice-quickstart-android/issues/60","show")</f>
        <v>show</v>
      </c>
      <c r="E2733" t="str">
        <f>HYPERLINK("https://github.com/twilio/voice-quickstart-android","show")</f>
        <v>show</v>
      </c>
      <c r="F2733" t="str">
        <f>HYPERLINK("https://github.com/twilio/voice-quickstart-android/releases","show")</f>
        <v>show</v>
      </c>
    </row>
    <row r="2734" spans="1:6">
      <c r="A2734" t="s">
        <v>8164</v>
      </c>
      <c r="B2734" t="s">
        <v>8165</v>
      </c>
      <c r="C2734" t="s">
        <v>8166</v>
      </c>
      <c r="D2734" t="str">
        <f>HYPERLINK("https://github.com/lingochamp/FileDownloader/issues/598","show")</f>
        <v>show</v>
      </c>
      <c r="E2734" t="str">
        <f>HYPERLINK("https://github.com/lingochamp/FileDownloader","show")</f>
        <v>show</v>
      </c>
      <c r="F2734" t="str">
        <f>HYPERLINK("https://github.com/lingochamp/FileDownloader/releases","show")</f>
        <v>show</v>
      </c>
    </row>
    <row r="2735" spans="1:6">
      <c r="A2735" t="s">
        <v>8167</v>
      </c>
      <c r="B2735" t="s">
        <v>8168</v>
      </c>
      <c r="C2735" t="s">
        <v>8169</v>
      </c>
      <c r="D2735" t="str">
        <f>HYPERLINK("https://github.com/DSpotDevelopers/declex/issues/156","show")</f>
        <v>show</v>
      </c>
      <c r="E2735" t="str">
        <f>HYPERLINK("https://github.com/DSpotDevelopers/declex","show")</f>
        <v>show</v>
      </c>
      <c r="F2735" t="str">
        <f>HYPERLINK("https://github.com/DSpotDevelopers/declex/releases","show")</f>
        <v>show</v>
      </c>
    </row>
    <row r="2736" spans="1:6">
      <c r="A2736" t="s">
        <v>8170</v>
      </c>
      <c r="B2736" t="s">
        <v>8171</v>
      </c>
      <c r="C2736" t="s">
        <v>8172</v>
      </c>
      <c r="D2736" t="str">
        <f>HYPERLINK("https://github.com/nextcloud/android/issues/1074","show")</f>
        <v>show</v>
      </c>
      <c r="E2736" t="str">
        <f>HYPERLINK("https://github.com/nextcloud/android","show")</f>
        <v>show</v>
      </c>
      <c r="F2736" t="str">
        <f>HYPERLINK("https://github.com/nextcloud/android/releases","show")</f>
        <v>show</v>
      </c>
    </row>
    <row r="2737" spans="1:6">
      <c r="A2737" t="s">
        <v>8173</v>
      </c>
      <c r="B2737" t="s">
        <v>8174</v>
      </c>
      <c r="C2737" t="s">
        <v>8175</v>
      </c>
      <c r="D2737" t="str">
        <f>HYPERLINK("https://github.com/philipphecht/react-native-doc-viewer/issues/16","show")</f>
        <v>show</v>
      </c>
      <c r="E2737" t="str">
        <f>HYPERLINK("https://github.com/philipphecht/react-native-doc-viewer","show")</f>
        <v>show</v>
      </c>
      <c r="F2737" t="str">
        <f>HYPERLINK("https://github.com/philipphecht/react-native-doc-viewer/releases","show")</f>
        <v>show</v>
      </c>
    </row>
    <row r="2738" spans="1:6">
      <c r="A2738" t="s">
        <v>8176</v>
      </c>
      <c r="B2738" t="s">
        <v>8177</v>
      </c>
      <c r="C2738" t="s">
        <v>8178</v>
      </c>
      <c r="D2738" t="str">
        <f>HYPERLINK("https://github.com/requery/requery/issues/582","show")</f>
        <v>show</v>
      </c>
      <c r="E2738" t="str">
        <f>HYPERLINK("https://github.com/requery/requery","show")</f>
        <v>show</v>
      </c>
      <c r="F2738" t="str">
        <f>HYPERLINK("https://github.com/requery/requery/releases","show")</f>
        <v>show</v>
      </c>
    </row>
    <row r="2739" spans="1:6">
      <c r="A2739" t="s">
        <v>8179</v>
      </c>
      <c r="B2739" t="s">
        <v>8180</v>
      </c>
      <c r="C2739" t="s">
        <v>8181</v>
      </c>
      <c r="D2739" t="str">
        <f>HYPERLINK("https://github.com/commons-app/apps-android-commons/issues/728","show")</f>
        <v>show</v>
      </c>
      <c r="E2739" t="str">
        <f>HYPERLINK("https://github.com/commons-app/apps-android-commons","show")</f>
        <v>show</v>
      </c>
      <c r="F2739" t="str">
        <f>HYPERLINK("https://github.com/commons-app/apps-android-commons/releases","show")</f>
        <v>show</v>
      </c>
    </row>
    <row r="2740" spans="1:6">
      <c r="A2740" t="s">
        <v>8182</v>
      </c>
      <c r="B2740" t="s">
        <v>8183</v>
      </c>
      <c r="C2740" t="s">
        <v>8184</v>
      </c>
      <c r="D2740" t="str">
        <f>HYPERLINK("https://github.com/Intelehealth/Android-Mobile-Client/issues/253","show")</f>
        <v>show</v>
      </c>
      <c r="E2740" t="str">
        <f>HYPERLINK("https://github.com/Intelehealth/Android-Mobile-Client","show")</f>
        <v>show</v>
      </c>
      <c r="F2740" t="str">
        <f>HYPERLINK("https://github.com/Intelehealth/Android-Mobile-Client/releases","show")</f>
        <v>show</v>
      </c>
    </row>
    <row r="2741" spans="1:6">
      <c r="A2741" t="s">
        <v>8185</v>
      </c>
      <c r="B2741" t="s">
        <v>4460</v>
      </c>
      <c r="C2741" t="s">
        <v>8186</v>
      </c>
      <c r="D2741" t="str">
        <f>HYPERLINK("https://github.com/tanrabad/survey/issues/28","show")</f>
        <v>show</v>
      </c>
      <c r="E2741" t="str">
        <f>HYPERLINK("https://github.com/tanrabad/survey","show")</f>
        <v>show</v>
      </c>
      <c r="F2741" t="str">
        <f>HYPERLINK("https://github.com/tanrabad/survey/releases","show")</f>
        <v>show</v>
      </c>
    </row>
    <row r="2742" spans="1:6">
      <c r="A2742" t="s">
        <v>8187</v>
      </c>
      <c r="B2742" t="s">
        <v>8188</v>
      </c>
      <c r="C2742" t="s">
        <v>8189</v>
      </c>
      <c r="D2742" t="str">
        <f>HYPERLINK("https://github.com/lingochamp/FileDownloader/issues/601","show")</f>
        <v>show</v>
      </c>
      <c r="E2742" t="str">
        <f>HYPERLINK("https://github.com/lingochamp/FileDownloader","show")</f>
        <v>show</v>
      </c>
      <c r="F2742" t="str">
        <f>HYPERLINK("https://github.com/lingochamp/FileDownloader/releases","show")</f>
        <v>show</v>
      </c>
    </row>
    <row r="2743" spans="1:6">
      <c r="A2743" t="s">
        <v>8190</v>
      </c>
      <c r="B2743" t="s">
        <v>8191</v>
      </c>
      <c r="C2743" t="s">
        <v>8192</v>
      </c>
      <c r="D2743" t="str">
        <f>HYPERLINK("https://github.com/fossasia/phimpme-android/issues/553","show")</f>
        <v>show</v>
      </c>
      <c r="E2743" t="str">
        <f>HYPERLINK("https://github.com/fossasia/phimpme-android","show")</f>
        <v>show</v>
      </c>
      <c r="F2743" t="str">
        <f>HYPERLINK("https://github.com/fossasia/phimpme-android/releases","show")</f>
        <v>show</v>
      </c>
    </row>
    <row r="2744" spans="1:6">
      <c r="A2744" t="s">
        <v>8193</v>
      </c>
      <c r="B2744" t="s">
        <v>8194</v>
      </c>
      <c r="C2744" t="s">
        <v>8195</v>
      </c>
      <c r="D2744" t="str">
        <f>HYPERLINK("https://github.com/pathsense/pathsense-samples-android/issues/12","show")</f>
        <v>show</v>
      </c>
      <c r="E2744" t="str">
        <f>HYPERLINK("https://github.com/pathsense/pathsense-samples-android","show")</f>
        <v>show</v>
      </c>
      <c r="F2744" t="str">
        <f>HYPERLINK("https://github.com/pathsense/pathsense-samples-android/releases","show")</f>
        <v>show</v>
      </c>
    </row>
    <row r="2745" spans="1:6">
      <c r="A2745" t="s">
        <v>8196</v>
      </c>
      <c r="B2745" t="s">
        <v>8197</v>
      </c>
      <c r="C2745" t="s">
        <v>8198</v>
      </c>
      <c r="D2745" t="str">
        <f>HYPERLINK("https://github.com/fossasia/phimpme-android/issues/564","show")</f>
        <v>show</v>
      </c>
      <c r="E2745" t="str">
        <f>HYPERLINK("https://github.com/fossasia/phimpme-android","show")</f>
        <v>show</v>
      </c>
      <c r="F2745" t="str">
        <f>HYPERLINK("https://github.com/fossasia/phimpme-android/releases","show")</f>
        <v>show</v>
      </c>
    </row>
    <row r="2746" spans="1:6">
      <c r="A2746" t="s">
        <v>8199</v>
      </c>
      <c r="B2746" t="s">
        <v>8200</v>
      </c>
      <c r="C2746" t="s">
        <v>8201</v>
      </c>
      <c r="D2746" t="str">
        <f>HYPERLINK("https://github.com/ac-pm/Inspeckage/issues/56","show")</f>
        <v>show</v>
      </c>
      <c r="E2746" t="str">
        <f>HYPERLINK("https://github.com/ac-pm/Inspeckage","show")</f>
        <v>show</v>
      </c>
      <c r="F2746" t="str">
        <f>HYPERLINK("https://github.com/ac-pm/Inspeckage/releases","show")</f>
        <v>show</v>
      </c>
    </row>
    <row r="2747" spans="1:6">
      <c r="A2747" t="s">
        <v>8202</v>
      </c>
      <c r="B2747" t="s">
        <v>8203</v>
      </c>
      <c r="C2747" t="s">
        <v>8204</v>
      </c>
      <c r="D2747" t="str">
        <f>HYPERLINK("https://github.com/fossasia/open-event-droidgen/issues/1682","show")</f>
        <v>show</v>
      </c>
      <c r="E2747" t="str">
        <f>HYPERLINK("https://github.com/fossasia/open-event-droidgen","show")</f>
        <v>show</v>
      </c>
      <c r="F2747" t="str">
        <f>HYPERLINK("https://github.com/fossasia/open-event-droidgen/releases","show")</f>
        <v>show</v>
      </c>
    </row>
    <row r="2748" spans="1:6">
      <c r="A2748" t="s">
        <v>8205</v>
      </c>
      <c r="B2748" t="s">
        <v>8206</v>
      </c>
      <c r="C2748" t="s">
        <v>8207</v>
      </c>
      <c r="D2748" t="str">
        <f>HYPERLINK("https://github.com/OpenLauncherTeam/openlauncher/issues/161","show")</f>
        <v>show</v>
      </c>
      <c r="E2748" t="str">
        <f>HYPERLINK("https://github.com/OpenLauncherTeam/openlauncher","show")</f>
        <v>show</v>
      </c>
      <c r="F2748" t="str">
        <f>HYPERLINK("https://github.com/OpenLauncherTeam/openlauncher/releases","show")</f>
        <v>show</v>
      </c>
    </row>
    <row r="2749" spans="1:6">
      <c r="A2749" t="s">
        <v>8208</v>
      </c>
      <c r="B2749" t="s">
        <v>8209</v>
      </c>
      <c r="C2749" t="s">
        <v>8210</v>
      </c>
      <c r="D2749" t="str">
        <f>HYPERLINK("https://github.com/commons-app/apps-android-commons/issues/731","show")</f>
        <v>show</v>
      </c>
      <c r="E2749" t="str">
        <f>HYPERLINK("https://github.com/commons-app/apps-android-commons","show")</f>
        <v>show</v>
      </c>
      <c r="F2749" t="str">
        <f>HYPERLINK("https://github.com/commons-app/apps-android-commons/releases","show")</f>
        <v>show</v>
      </c>
    </row>
    <row r="2750" spans="1:6">
      <c r="A2750" t="s">
        <v>8211</v>
      </c>
      <c r="B2750" t="s">
        <v>8212</v>
      </c>
      <c r="C2750" t="s">
        <v>8213</v>
      </c>
      <c r="D2750" t="str">
        <f>HYPERLINK("https://github.com/fossasia/open-event-droidgen/issues/1689","show")</f>
        <v>show</v>
      </c>
      <c r="E2750" t="str">
        <f>HYPERLINK("https://github.com/fossasia/open-event-droidgen","show")</f>
        <v>show</v>
      </c>
      <c r="F2750" t="str">
        <f>HYPERLINK("https://github.com/fossasia/open-event-droidgen/releases","show")</f>
        <v>show</v>
      </c>
    </row>
    <row r="2751" spans="1:6">
      <c r="A2751" t="s">
        <v>8214</v>
      </c>
      <c r="B2751" t="s">
        <v>8215</v>
      </c>
      <c r="C2751" t="s">
        <v>8216</v>
      </c>
      <c r="D2751" t="str">
        <f>HYPERLINK("https://github.com/osmdroid/osmdroid/issues/616","show")</f>
        <v>show</v>
      </c>
      <c r="E2751" t="str">
        <f>HYPERLINK("https://github.com/osmdroid/osmdroid","show")</f>
        <v>show</v>
      </c>
      <c r="F2751" t="str">
        <f>HYPERLINK("https://github.com/osmdroid/osmdroid/releases","show")</f>
        <v>show</v>
      </c>
    </row>
    <row r="2752" spans="1:6">
      <c r="A2752" t="s">
        <v>8217</v>
      </c>
      <c r="B2752" t="s">
        <v>8218</v>
      </c>
      <c r="C2752" t="s">
        <v>8219</v>
      </c>
      <c r="D2752" t="str">
        <f>HYPERLINK("https://github.com/ericcornelissen/NervousFish/issues/247","show")</f>
        <v>show</v>
      </c>
      <c r="E2752" t="str">
        <f>HYPERLINK("https://github.com/ericcornelissen/NervousFish","show")</f>
        <v>show</v>
      </c>
      <c r="F2752" t="str">
        <f>HYPERLINK("https://github.com/ericcornelissen/NervousFish/releases","show")</f>
        <v>show</v>
      </c>
    </row>
    <row r="2753" spans="1:6">
      <c r="A2753" t="s">
        <v>8220</v>
      </c>
      <c r="B2753" t="s">
        <v>8221</v>
      </c>
      <c r="C2753" t="s">
        <v>8222</v>
      </c>
      <c r="D2753" t="str">
        <f>HYPERLINK("https://github.com/deepaktwr/BitFrames/issues/8","show")</f>
        <v>show</v>
      </c>
      <c r="E2753" t="str">
        <f>HYPERLINK("https://github.com/deepaktwr/BitFrames","show")</f>
        <v>show</v>
      </c>
      <c r="F2753" t="str">
        <f>HYPERLINK("https://github.com/deepaktwr/BitFrames/releases","show")</f>
        <v>show</v>
      </c>
    </row>
    <row r="2754" spans="1:6">
      <c r="A2754" t="s">
        <v>8223</v>
      </c>
      <c r="B2754" t="s">
        <v>8224</v>
      </c>
      <c r="C2754" t="s">
        <v>8225</v>
      </c>
      <c r="D2754" t="str">
        <f>HYPERLINK("https://github.com/Sloy/SeviBus/issues/36","show")</f>
        <v>show</v>
      </c>
      <c r="E2754" t="str">
        <f>HYPERLINK("https://github.com/Sloy/SeviBus","show")</f>
        <v>show</v>
      </c>
      <c r="F2754" t="str">
        <f>HYPERLINK("https://github.com/Sloy/SeviBus/releases","show")</f>
        <v>show</v>
      </c>
    </row>
    <row r="2755" spans="1:6">
      <c r="A2755" t="s">
        <v>8226</v>
      </c>
      <c r="B2755" t="s">
        <v>8227</v>
      </c>
      <c r="C2755" t="s">
        <v>8228</v>
      </c>
      <c r="D2755" t="str">
        <f>HYPERLINK("https://github.com/DoubleSymmetry/react-native-track-player/issues/22","show")</f>
        <v>show</v>
      </c>
      <c r="E2755" t="str">
        <f>HYPERLINK("https://github.com/DoubleSymmetry/react-native-track-player","show")</f>
        <v>show</v>
      </c>
      <c r="F2755" t="str">
        <f>HYPERLINK("https://github.com/DoubleSymmetry/react-native-track-player/releases","show")</f>
        <v>show</v>
      </c>
    </row>
    <row r="2756" spans="1:6">
      <c r="A2756" t="s">
        <v>8229</v>
      </c>
      <c r="B2756" t="s">
        <v>8230</v>
      </c>
      <c r="C2756" t="s">
        <v>8231</v>
      </c>
      <c r="D2756" t="str">
        <f>HYPERLINK("https://github.com/digital-voting-pass/polling-station-app/issues/123","show")</f>
        <v>show</v>
      </c>
      <c r="E2756" t="str">
        <f>HYPERLINK("https://github.com/digital-voting-pass/polling-station-app","show")</f>
        <v>show</v>
      </c>
      <c r="F2756" t="str">
        <f>HYPERLINK("https://github.com/digital-voting-pass/polling-station-app/releases","show")</f>
        <v>show</v>
      </c>
    </row>
    <row r="2757" spans="1:6">
      <c r="A2757" t="s">
        <v>8232</v>
      </c>
      <c r="B2757" t="s">
        <v>8233</v>
      </c>
      <c r="C2757" t="s">
        <v>8234</v>
      </c>
      <c r="D2757" t="str">
        <f>HYPERLINK("https://github.com/novoda/view-pager-adapter/issues/16","show")</f>
        <v>show</v>
      </c>
      <c r="E2757" t="str">
        <f>HYPERLINK("https://github.com/novoda/view-pager-adapter","show")</f>
        <v>show</v>
      </c>
      <c r="F2757" t="str">
        <f>HYPERLINK("https://github.com/novoda/view-pager-adapter/releases","show")</f>
        <v>show</v>
      </c>
    </row>
    <row r="2758" spans="1:6">
      <c r="A2758" t="s">
        <v>8235</v>
      </c>
      <c r="B2758" t="s">
        <v>8236</v>
      </c>
      <c r="C2758" t="s">
        <v>8237</v>
      </c>
      <c r="D2758" t="str">
        <f>HYPERLINK("https://github.com/mycelium-com/wallet-android/issues/362","show")</f>
        <v>show</v>
      </c>
      <c r="E2758" t="str">
        <f>HYPERLINK("https://github.com/mycelium-com/wallet-android","show")</f>
        <v>show</v>
      </c>
      <c r="F2758" t="str">
        <f>HYPERLINK("https://github.com/mycelium-com/wallet-android/releases","show")</f>
        <v>show</v>
      </c>
    </row>
    <row r="2759" spans="1:6">
      <c r="A2759" t="s">
        <v>8238</v>
      </c>
      <c r="B2759" t="s">
        <v>8239</v>
      </c>
      <c r="C2759" t="s">
        <v>8240</v>
      </c>
      <c r="D2759" t="str">
        <f>HYPERLINK("https://github.com/chandevel/Clover/issues/319","show")</f>
        <v>show</v>
      </c>
      <c r="E2759" t="str">
        <f>HYPERLINK("https://github.com/chandevel/Clover","show")</f>
        <v>show</v>
      </c>
      <c r="F2759" t="str">
        <f>HYPERLINK("https://github.com/chandevel/Clover/releases","show")</f>
        <v>show</v>
      </c>
    </row>
    <row r="2760" spans="1:6">
      <c r="A2760" t="s">
        <v>8241</v>
      </c>
      <c r="B2760" t="s">
        <v>8242</v>
      </c>
      <c r="C2760" t="s">
        <v>8243</v>
      </c>
      <c r="D2760" t="str">
        <f>HYPERLINK("https://github.com/seiginonakama/BlockCanaryEx/issues/16","show")</f>
        <v>show</v>
      </c>
      <c r="E2760" t="str">
        <f>HYPERLINK("https://github.com/seiginonakama/BlockCanaryEx","show")</f>
        <v>show</v>
      </c>
      <c r="F2760" t="str">
        <f>HYPERLINK("https://github.com/seiginonakama/BlockCanaryEx/releases","show")</f>
        <v>show</v>
      </c>
    </row>
    <row r="2761" spans="1:6">
      <c r="A2761" t="s">
        <v>8244</v>
      </c>
      <c r="B2761" t="s">
        <v>8245</v>
      </c>
      <c r="C2761" t="s">
        <v>8246</v>
      </c>
      <c r="D2761" t="str">
        <f>HYPERLINK("https://github.com/kiwiandroiddev/starcraft-2-build-player/issues/1","show")</f>
        <v>show</v>
      </c>
      <c r="E2761" t="str">
        <f>HYPERLINK("https://github.com/kiwiandroiddev/starcraft-2-build-player","show")</f>
        <v>show</v>
      </c>
      <c r="F2761" t="str">
        <f>HYPERLINK("https://github.com/kiwiandroiddev/starcraft-2-build-player/releases","show")</f>
        <v>show</v>
      </c>
    </row>
    <row r="2762" spans="1:6">
      <c r="A2762" t="s">
        <v>8247</v>
      </c>
      <c r="B2762" t="s">
        <v>8248</v>
      </c>
      <c r="C2762" t="s">
        <v>8249</v>
      </c>
      <c r="D2762" t="str">
        <f>HYPERLINK("https://github.com/lingochamp/FileDownloader/issues/610","show")</f>
        <v>show</v>
      </c>
      <c r="E2762" t="str">
        <f>HYPERLINK("https://github.com/lingochamp/FileDownloader","show")</f>
        <v>show</v>
      </c>
      <c r="F2762" t="str">
        <f>HYPERLINK("https://github.com/lingochamp/FileDownloader/releases","show")</f>
        <v>show</v>
      </c>
    </row>
    <row r="2763" spans="1:6">
      <c r="A2763" t="s">
        <v>8250</v>
      </c>
      <c r="B2763" t="s">
        <v>8251</v>
      </c>
      <c r="C2763" t="s">
        <v>8252</v>
      </c>
      <c r="D2763" t="str">
        <f>HYPERLINK("https://github.com/nextcloud/android/issues/1090","show")</f>
        <v>show</v>
      </c>
      <c r="E2763" t="str">
        <f>HYPERLINK("https://github.com/nextcloud/android","show")</f>
        <v>show</v>
      </c>
      <c r="F2763" t="str">
        <f>HYPERLINK("https://github.com/nextcloud/android/releases","show")</f>
        <v>show</v>
      </c>
    </row>
    <row r="2764" spans="1:6">
      <c r="A2764" t="s">
        <v>8253</v>
      </c>
      <c r="B2764" t="s">
        <v>8254</v>
      </c>
      <c r="C2764" t="s">
        <v>8255</v>
      </c>
      <c r="D2764" t="str">
        <f>HYPERLINK("https://github.com/Openu20950/OpenApp/issues/132","show")</f>
        <v>show</v>
      </c>
      <c r="E2764" t="str">
        <f>HYPERLINK("https://github.com/Openu20950/OpenApp","show")</f>
        <v>show</v>
      </c>
      <c r="F2764" t="str">
        <f>HYPERLINK("https://github.com/Openu20950/OpenApp/releases","show")</f>
        <v>show</v>
      </c>
    </row>
    <row r="2765" spans="1:6">
      <c r="A2765" t="s">
        <v>8256</v>
      </c>
      <c r="B2765" t="s">
        <v>8257</v>
      </c>
      <c r="C2765" t="s">
        <v>8258</v>
      </c>
      <c r="D2765" t="str">
        <f>HYPERLINK("https://github.com/vector-im/riot-android/issues/1335","show")</f>
        <v>show</v>
      </c>
      <c r="E2765" t="str">
        <f>HYPERLINK("https://github.com/vector-im/riot-android","show")</f>
        <v>show</v>
      </c>
      <c r="F2765" t="str">
        <f>HYPERLINK("https://github.com/vector-im/riot-android/releases","show")</f>
        <v>show</v>
      </c>
    </row>
    <row r="2766" spans="1:6">
      <c r="A2766" t="s">
        <v>8259</v>
      </c>
      <c r="B2766" t="s">
        <v>8260</v>
      </c>
      <c r="C2766" t="s">
        <v>8261</v>
      </c>
      <c r="D2766" t="str">
        <f>HYPERLINK("https://github.com/Schmitt-Florian/SchoolPlanner/issues/57","show")</f>
        <v>show</v>
      </c>
      <c r="E2766" t="str">
        <f>HYPERLINK("https://github.com/Schmitt-Florian/SchoolPlanner","show")</f>
        <v>show</v>
      </c>
      <c r="F2766" t="str">
        <f>HYPERLINK("https://github.com/Schmitt-Florian/SchoolPlanner/releases","show")</f>
        <v>show</v>
      </c>
    </row>
    <row r="2767" spans="1:6">
      <c r="A2767" t="s">
        <v>8262</v>
      </c>
      <c r="B2767" t="s">
        <v>8263</v>
      </c>
      <c r="C2767" t="s">
        <v>8264</v>
      </c>
      <c r="D2767" t="str">
        <f>HYPERLINK("https://github.com/romankh/gat-app/issues/6","show")</f>
        <v>show</v>
      </c>
      <c r="E2767" t="str">
        <f>HYPERLINK("https://github.com/romankh/gat-app","show")</f>
        <v>show</v>
      </c>
      <c r="F2767" t="str">
        <f>HYPERLINK("https://github.com/romankh/gat-app/releases","show")</f>
        <v>show</v>
      </c>
    </row>
    <row r="2768" spans="1:6">
      <c r="A2768" t="s">
        <v>8265</v>
      </c>
      <c r="B2768" t="s">
        <v>8266</v>
      </c>
      <c r="C2768" t="s">
        <v>8267</v>
      </c>
      <c r="D2768" t="str">
        <f>HYPERLINK("https://github.com/jonasoreland/runnerup/issues/568","show")</f>
        <v>show</v>
      </c>
      <c r="E2768" t="str">
        <f>HYPERLINK("https://github.com/jonasoreland/runnerup","show")</f>
        <v>show</v>
      </c>
      <c r="F2768" t="str">
        <f>HYPERLINK("https://github.com/jonasoreland/runnerup/releases","show")</f>
        <v>show</v>
      </c>
    </row>
    <row r="2769" spans="1:6">
      <c r="A2769" t="s">
        <v>8268</v>
      </c>
      <c r="B2769" t="s">
        <v>8269</v>
      </c>
      <c r="C2769" t="s">
        <v>8270</v>
      </c>
      <c r="D2769" t="str">
        <f>HYPERLINK("https://github.com/ericcornelissen/NervousFish/issues/263","show")</f>
        <v>show</v>
      </c>
      <c r="E2769" t="str">
        <f>HYPERLINK("https://github.com/ericcornelissen/NervousFish","show")</f>
        <v>show</v>
      </c>
      <c r="F2769" t="str">
        <f>HYPERLINK("https://github.com/ericcornelissen/NervousFish/releases","show")</f>
        <v>show</v>
      </c>
    </row>
    <row r="2770" spans="1:6">
      <c r="A2770" t="s">
        <v>8271</v>
      </c>
      <c r="B2770" t="s">
        <v>8272</v>
      </c>
      <c r="C2770" t="s">
        <v>8273</v>
      </c>
      <c r="D2770" t="str">
        <f>HYPERLINK("https://github.com/Mishiranu/Dashchan/issues/146","show")</f>
        <v>show</v>
      </c>
      <c r="E2770" t="str">
        <f>HYPERLINK("https://github.com/Mishiranu/Dashchan","show")</f>
        <v>show</v>
      </c>
      <c r="F2770" t="str">
        <f>HYPERLINK("https://github.com/Mishiranu/Dashchan/releases","show")</f>
        <v>show</v>
      </c>
    </row>
    <row r="2771" spans="1:6">
      <c r="A2771" t="s">
        <v>8274</v>
      </c>
      <c r="B2771" t="s">
        <v>8275</v>
      </c>
      <c r="C2771" t="s">
        <v>8276</v>
      </c>
      <c r="D2771" t="str">
        <f>HYPERLINK("https://github.com/OpenLauncherTeam/openlauncher/issues/164","show")</f>
        <v>show</v>
      </c>
      <c r="E2771" t="str">
        <f>HYPERLINK("https://github.com/OpenLauncherTeam/openlauncher","show")</f>
        <v>show</v>
      </c>
      <c r="F2771" t="str">
        <f>HYPERLINK("https://github.com/OpenLauncherTeam/openlauncher/releases","show")</f>
        <v>show</v>
      </c>
    </row>
    <row r="2772" spans="1:6">
      <c r="A2772" t="s">
        <v>8277</v>
      </c>
      <c r="B2772" t="s">
        <v>8278</v>
      </c>
      <c r="C2772" t="s">
        <v>8279</v>
      </c>
      <c r="D2772" t="str">
        <f>HYPERLINK("https://github.com/fossasia/pslab-android/issues/193","show")</f>
        <v>show</v>
      </c>
      <c r="E2772" t="str">
        <f>HYPERLINK("https://github.com/fossasia/pslab-android","show")</f>
        <v>show</v>
      </c>
      <c r="F2772" t="str">
        <f>HYPERLINK("https://github.com/fossasia/pslab-android/releases","show")</f>
        <v>show</v>
      </c>
    </row>
    <row r="2773" spans="1:6">
      <c r="A2773" t="s">
        <v>8280</v>
      </c>
      <c r="B2773" t="s">
        <v>8281</v>
      </c>
      <c r="C2773" t="s">
        <v>8282</v>
      </c>
      <c r="D2773" t="str">
        <f>HYPERLINK("https://github.com/fossasia/phimpme-android/issues/620","show")</f>
        <v>show</v>
      </c>
      <c r="E2773" t="str">
        <f>HYPERLINK("https://github.com/fossasia/phimpme-android","show")</f>
        <v>show</v>
      </c>
      <c r="F2773" t="str">
        <f>HYPERLINK("https://github.com/fossasia/phimpme-android/releases","show")</f>
        <v>show</v>
      </c>
    </row>
    <row r="2774" spans="1:6">
      <c r="A2774" t="s">
        <v>8283</v>
      </c>
      <c r="B2774" t="s">
        <v>8284</v>
      </c>
      <c r="C2774" t="s">
        <v>8285</v>
      </c>
      <c r="D2774" t="str">
        <f>HYPERLINK("https://github.com/fossasia/phimpme-android/issues/615","show")</f>
        <v>show</v>
      </c>
      <c r="E2774" t="str">
        <f>HYPERLINK("https://github.com/fossasia/phimpme-android","show")</f>
        <v>show</v>
      </c>
      <c r="F2774" t="str">
        <f>HYPERLINK("https://github.com/fossasia/phimpme-android/releases","show")</f>
        <v>show</v>
      </c>
    </row>
    <row r="2775" spans="1:6">
      <c r="A2775" t="s">
        <v>8286</v>
      </c>
      <c r="B2775" t="s">
        <v>8287</v>
      </c>
      <c r="C2775" t="s">
        <v>8288</v>
      </c>
      <c r="D2775" t="str">
        <f>HYPERLINK("https://github.com/ForstaLabs/relay/issues/73","show")</f>
        <v>show</v>
      </c>
      <c r="E2775" t="str">
        <f>HYPERLINK("https://github.com/ForstaLabs/relay","show")</f>
        <v>show</v>
      </c>
      <c r="F2775" t="str">
        <f>HYPERLINK("https://github.com/ForstaLabs/relay/releases","show")</f>
        <v>show</v>
      </c>
    </row>
    <row r="2776" spans="1:6">
      <c r="A2776" t="s">
        <v>8289</v>
      </c>
      <c r="B2776" t="s">
        <v>8290</v>
      </c>
      <c r="C2776" t="s">
        <v>8291</v>
      </c>
      <c r="D2776" t="str">
        <f>HYPERLINK("https://github.com/vector-im/riot-android/issues/1347","show")</f>
        <v>show</v>
      </c>
      <c r="E2776" t="str">
        <f>HYPERLINK("https://github.com/vector-im/riot-android","show")</f>
        <v>show</v>
      </c>
      <c r="F2776" t="str">
        <f>HYPERLINK("https://github.com/vector-im/riot-android/releases","show")</f>
        <v>show</v>
      </c>
    </row>
    <row r="2777" spans="1:6">
      <c r="A2777" t="s">
        <v>8292</v>
      </c>
      <c r="B2777" t="s">
        <v>8293</v>
      </c>
      <c r="C2777" t="s">
        <v>8294</v>
      </c>
      <c r="D2777" t="str">
        <f>HYPERLINK("https://github.com/ericcornelissen/NervousFish/issues/294","show")</f>
        <v>show</v>
      </c>
      <c r="E2777" t="str">
        <f>HYPERLINK("https://github.com/ericcornelissen/NervousFish","show")</f>
        <v>show</v>
      </c>
      <c r="F2777" t="str">
        <f>HYPERLINK("https://github.com/ericcornelissen/NervousFish/releases","show")</f>
        <v>show</v>
      </c>
    </row>
    <row r="2778" spans="1:6">
      <c r="A2778" t="s">
        <v>8295</v>
      </c>
      <c r="B2778" t="s">
        <v>8296</v>
      </c>
      <c r="C2778" t="s">
        <v>8297</v>
      </c>
      <c r="D2778" t="str">
        <f>HYPERLINK("https://github.com/maks/MGit/issues/171","show")</f>
        <v>show</v>
      </c>
      <c r="E2778" t="str">
        <f>HYPERLINK("https://github.com/maks/MGit","show")</f>
        <v>show</v>
      </c>
      <c r="F2778" t="str">
        <f>HYPERLINK("https://github.com/maks/MGit/releases","show")</f>
        <v>show</v>
      </c>
    </row>
    <row r="2779" spans="1:6">
      <c r="A2779" t="s">
        <v>8298</v>
      </c>
      <c r="B2779" t="s">
        <v>8299</v>
      </c>
      <c r="C2779" t="s">
        <v>8300</v>
      </c>
      <c r="D2779" t="str">
        <f>HYPERLINK("https://github.com/sockeqwe/mosby/issues/256","show")</f>
        <v>show</v>
      </c>
      <c r="E2779" t="str">
        <f>HYPERLINK("https://github.com/sockeqwe/mosby","show")</f>
        <v>show</v>
      </c>
      <c r="F2779" t="str">
        <f>HYPERLINK("https://github.com/sockeqwe/mosby/releases","show")</f>
        <v>show</v>
      </c>
    </row>
    <row r="2780" spans="1:6">
      <c r="A2780" t="s">
        <v>8301</v>
      </c>
      <c r="B2780" t="s">
        <v>8302</v>
      </c>
      <c r="C2780" t="s">
        <v>8303</v>
      </c>
      <c r="D2780" t="str">
        <f>HYPERLINK("https://github.com/fossasia/phimpme-android/issues/638","show")</f>
        <v>show</v>
      </c>
      <c r="E2780" t="str">
        <f>HYPERLINK("https://github.com/fossasia/phimpme-android","show")</f>
        <v>show</v>
      </c>
      <c r="F2780" t="str">
        <f>HYPERLINK("https://github.com/fossasia/phimpme-android/releases","show")</f>
        <v>show</v>
      </c>
    </row>
    <row r="2781" spans="1:6">
      <c r="A2781" t="s">
        <v>8304</v>
      </c>
      <c r="B2781" t="s">
        <v>8305</v>
      </c>
      <c r="C2781" t="s">
        <v>8306</v>
      </c>
      <c r="D2781" t="str">
        <f>HYPERLINK("https://github.com/getodk/collect/issues/1191","show")</f>
        <v>show</v>
      </c>
      <c r="E2781" t="str">
        <f>HYPERLINK("https://github.com/getodk/collect","show")</f>
        <v>show</v>
      </c>
      <c r="F2781" t="str">
        <f>HYPERLINK("https://github.com/getodk/collect/releases","show")</f>
        <v>show</v>
      </c>
    </row>
    <row r="2782" spans="1:6">
      <c r="A2782" t="s">
        <v>8307</v>
      </c>
      <c r="B2782" t="s">
        <v>8308</v>
      </c>
      <c r="C2782" t="s">
        <v>8309</v>
      </c>
      <c r="D2782" t="str">
        <f>HYPERLINK("https://github.com/nextcloud/android/issues/1100","show")</f>
        <v>show</v>
      </c>
      <c r="E2782" t="str">
        <f>HYPERLINK("https://github.com/nextcloud/android","show")</f>
        <v>show</v>
      </c>
      <c r="F2782" t="str">
        <f>HYPERLINK("https://github.com/nextcloud/android/releases","show")</f>
        <v>show</v>
      </c>
    </row>
    <row r="2783" spans="1:6">
      <c r="A2783" t="s">
        <v>8310</v>
      </c>
      <c r="B2783" t="s">
        <v>8311</v>
      </c>
      <c r="C2783" t="s">
        <v>8312</v>
      </c>
      <c r="D2783" t="str">
        <f>HYPERLINK("https://github.com/ericcornelissen/NervousFish/issues/313","show")</f>
        <v>show</v>
      </c>
      <c r="E2783" t="str">
        <f>HYPERLINK("https://github.com/ericcornelissen/NervousFish","show")</f>
        <v>show</v>
      </c>
      <c r="F2783" t="str">
        <f>HYPERLINK("https://github.com/ericcornelissen/NervousFish/releases","show")</f>
        <v>show</v>
      </c>
    </row>
    <row r="2784" spans="1:6">
      <c r="A2784" t="s">
        <v>8313</v>
      </c>
      <c r="B2784" t="s">
        <v>8314</v>
      </c>
      <c r="C2784" t="s">
        <v>8315</v>
      </c>
      <c r="D2784" t="str">
        <f>HYPERLINK("https://github.com/nextcloud/android/issues/1107","show")</f>
        <v>show</v>
      </c>
      <c r="E2784" t="str">
        <f>HYPERLINK("https://github.com/nextcloud/android","show")</f>
        <v>show</v>
      </c>
      <c r="F2784" t="str">
        <f>HYPERLINK("https://github.com/nextcloud/android/releases","show")</f>
        <v>show</v>
      </c>
    </row>
    <row r="2785" spans="1:6">
      <c r="A2785" t="s">
        <v>8316</v>
      </c>
      <c r="B2785" t="s">
        <v>8317</v>
      </c>
      <c r="C2785" t="s">
        <v>8318</v>
      </c>
      <c r="D2785" t="str">
        <f>HYPERLINK("https://github.com/RestComm/restcomm-android-sdk/issues/621","show")</f>
        <v>show</v>
      </c>
      <c r="E2785" t="str">
        <f>HYPERLINK("https://github.com/RestComm/restcomm-android-sdk","show")</f>
        <v>show</v>
      </c>
      <c r="F2785" t="str">
        <f>HYPERLINK("https://github.com/RestComm/restcomm-android-sdk/releases","show")</f>
        <v>show</v>
      </c>
    </row>
    <row r="2786" spans="1:6">
      <c r="A2786" t="s">
        <v>8319</v>
      </c>
      <c r="B2786" t="s">
        <v>8320</v>
      </c>
      <c r="C2786" t="s">
        <v>8321</v>
      </c>
      <c r="D2786" t="str">
        <f>HYPERLINK("https://github.com/twilio/video-quickstart-android/issues/126","show")</f>
        <v>show</v>
      </c>
      <c r="E2786" t="str">
        <f>HYPERLINK("https://github.com/twilio/video-quickstart-android","show")</f>
        <v>show</v>
      </c>
      <c r="F2786" t="str">
        <f>HYPERLINK("https://github.com/twilio/video-quickstart-android/releases","show")</f>
        <v>show</v>
      </c>
    </row>
    <row r="2787" spans="1:6">
      <c r="A2787" t="s">
        <v>8322</v>
      </c>
      <c r="B2787" t="s">
        <v>8323</v>
      </c>
      <c r="C2787" t="s">
        <v>8324</v>
      </c>
      <c r="D2787" t="str">
        <f>HYPERLINK("https://github.com/nextcloud/android/issues/1123","show")</f>
        <v>show</v>
      </c>
      <c r="E2787" t="str">
        <f>HYPERLINK("https://github.com/nextcloud/android","show")</f>
        <v>show</v>
      </c>
      <c r="F2787" t="str">
        <f>HYPERLINK("https://github.com/nextcloud/android/releases","show")</f>
        <v>show</v>
      </c>
    </row>
    <row r="2788" spans="1:6">
      <c r="A2788" t="s">
        <v>8325</v>
      </c>
      <c r="B2788" t="s">
        <v>8326</v>
      </c>
      <c r="C2788" t="s">
        <v>8327</v>
      </c>
      <c r="D2788" t="str">
        <f>HYPERLINK("https://github.com/project-travel-mate/Travel-Mate/issues/22","show")</f>
        <v>show</v>
      </c>
      <c r="E2788" t="str">
        <f>HYPERLINK("https://github.com/project-travel-mate/Travel-Mate","show")</f>
        <v>show</v>
      </c>
      <c r="F2788" t="str">
        <f>HYPERLINK("https://github.com/project-travel-mate/Travel-Mate/releases","show")</f>
        <v>show</v>
      </c>
    </row>
    <row r="2789" spans="1:6">
      <c r="A2789" t="s">
        <v>8328</v>
      </c>
      <c r="B2789" t="s">
        <v>8329</v>
      </c>
      <c r="C2789" t="s">
        <v>8330</v>
      </c>
      <c r="D2789" t="str">
        <f>HYPERLINK("https://github.com/fossasia/phimpme-android/issues/670","show")</f>
        <v>show</v>
      </c>
      <c r="E2789" t="str">
        <f>HYPERLINK("https://github.com/fossasia/phimpme-android","show")</f>
        <v>show</v>
      </c>
      <c r="F2789" t="str">
        <f>HYPERLINK("https://github.com/fossasia/phimpme-android/releases","show")</f>
        <v>show</v>
      </c>
    </row>
    <row r="2790" spans="1:6">
      <c r="A2790" t="s">
        <v>8331</v>
      </c>
      <c r="B2790" t="s">
        <v>8332</v>
      </c>
      <c r="C2790" t="s">
        <v>8333</v>
      </c>
      <c r="D2790" t="str">
        <f>HYPERLINK("https://github.com/tanrabad/survey/issues/29","show")</f>
        <v>show</v>
      </c>
      <c r="E2790" t="str">
        <f>HYPERLINK("https://github.com/tanrabad/survey","show")</f>
        <v>show</v>
      </c>
      <c r="F2790" t="str">
        <f>HYPERLINK("https://github.com/tanrabad/survey/releases","show")</f>
        <v>show</v>
      </c>
    </row>
    <row r="2791" spans="1:6">
      <c r="A2791" t="s">
        <v>8334</v>
      </c>
      <c r="B2791" t="s">
        <v>8335</v>
      </c>
      <c r="C2791" t="s">
        <v>8336</v>
      </c>
      <c r="D2791" t="str">
        <f>HYPERLINK("https://github.com/fossasia/pslab-android/issues/231","show")</f>
        <v>show</v>
      </c>
      <c r="E2791" t="str">
        <f>HYPERLINK("https://github.com/fossasia/pslab-android","show")</f>
        <v>show</v>
      </c>
      <c r="F2791" t="str">
        <f>HYPERLINK("https://github.com/fossasia/pslab-android/releases","show")</f>
        <v>show</v>
      </c>
    </row>
    <row r="2792" spans="1:6">
      <c r="A2792" t="s">
        <v>8337</v>
      </c>
      <c r="B2792" t="s">
        <v>8338</v>
      </c>
      <c r="C2792" t="s">
        <v>8339</v>
      </c>
      <c r="D2792" t="str">
        <f>HYPERLINK("https://github.com/lingochamp/FileDownloader/issues/631","show")</f>
        <v>show</v>
      </c>
      <c r="E2792" t="str">
        <f>HYPERLINK("https://github.com/lingochamp/FileDownloader","show")</f>
        <v>show</v>
      </c>
      <c r="F2792" t="str">
        <f>HYPERLINK("https://github.com/lingochamp/FileDownloader/releases","show")</f>
        <v>show</v>
      </c>
    </row>
    <row r="2793" spans="1:6">
      <c r="A2793" t="s">
        <v>8340</v>
      </c>
      <c r="B2793" t="s">
        <v>8341</v>
      </c>
      <c r="C2793" t="s">
        <v>8342</v>
      </c>
      <c r="D2793" t="str">
        <f>HYPERLINK("https://github.com/LawnchairLauncher/lawnchair/issues/71","show")</f>
        <v>show</v>
      </c>
      <c r="E2793" t="str">
        <f>HYPERLINK("https://github.com/LawnchairLauncher/lawnchair","show")</f>
        <v>show</v>
      </c>
      <c r="F2793" t="str">
        <f>HYPERLINK("https://github.com/LawnchairLauncher/lawnchair/releases","show")</f>
        <v>show</v>
      </c>
    </row>
    <row r="2794" spans="1:6">
      <c r="A2794" t="s">
        <v>8343</v>
      </c>
      <c r="B2794" t="s">
        <v>8344</v>
      </c>
      <c r="C2794" t="s">
        <v>8345</v>
      </c>
      <c r="D2794" t="str">
        <f>HYPERLINK("https://github.com/k9mail/k-9/issues/2604","show")</f>
        <v>show</v>
      </c>
      <c r="E2794" t="str">
        <f>HYPERLINK("https://github.com/k9mail/k-9","show")</f>
        <v>show</v>
      </c>
      <c r="F2794" t="str">
        <f>HYPERLINK("https://github.com/k9mail/k-9/releases","show")</f>
        <v>show</v>
      </c>
    </row>
    <row r="2795" spans="1:6">
      <c r="A2795" t="s">
        <v>8346</v>
      </c>
      <c r="B2795" t="s">
        <v>8347</v>
      </c>
      <c r="C2795" t="s">
        <v>8348</v>
      </c>
      <c r="D2795" t="str">
        <f>HYPERLINK("https://github.com/getodk/collect/issues/1206","show")</f>
        <v>show</v>
      </c>
      <c r="E2795" t="str">
        <f>HYPERLINK("https://github.com/getodk/collect","show")</f>
        <v>show</v>
      </c>
      <c r="F2795" t="str">
        <f>HYPERLINK("https://github.com/getodk/collect/releases","show")</f>
        <v>show</v>
      </c>
    </row>
    <row r="2796" spans="1:6">
      <c r="A2796" t="s">
        <v>8349</v>
      </c>
      <c r="B2796" t="s">
        <v>8350</v>
      </c>
      <c r="C2796" t="s">
        <v>8351</v>
      </c>
      <c r="D2796" t="str">
        <f>HYPERLINK("https://github.com/searles/FractviewAndroid/issues/46","show")</f>
        <v>show</v>
      </c>
      <c r="E2796" t="str">
        <f>HYPERLINK("https://github.com/searles/FractviewAndroid","show")</f>
        <v>show</v>
      </c>
      <c r="F2796" t="str">
        <f>HYPERLINK("https://github.com/searles/FractviewAndroid/releases","show")</f>
        <v>show</v>
      </c>
    </row>
    <row r="2797" spans="1:6">
      <c r="A2797" t="s">
        <v>8352</v>
      </c>
      <c r="B2797" t="s">
        <v>8353</v>
      </c>
      <c r="C2797" t="s">
        <v>8354</v>
      </c>
      <c r="D2797" t="str">
        <f>HYPERLINK("https://github.com/hendraanggrian/socialview/issues/10","show")</f>
        <v>show</v>
      </c>
      <c r="E2797" t="str">
        <f>HYPERLINK("https://github.com/hendraanggrian/socialview","show")</f>
        <v>show</v>
      </c>
      <c r="F2797" t="str">
        <f>HYPERLINK("https://github.com/hendraanggrian/socialview/releases","show")</f>
        <v>show</v>
      </c>
    </row>
    <row r="2798" spans="1:6">
      <c r="A2798" t="s">
        <v>8355</v>
      </c>
      <c r="B2798" t="s">
        <v>8356</v>
      </c>
      <c r="C2798" t="s">
        <v>8357</v>
      </c>
      <c r="D2798" t="str">
        <f>HYPERLINK("https://github.com/mauron85/cordova-plugin-background-geolocation/issues/308","show")</f>
        <v>show</v>
      </c>
      <c r="E2798" t="str">
        <f>HYPERLINK("https://github.com/mauron85/cordova-plugin-background-geolocation","show")</f>
        <v>show</v>
      </c>
      <c r="F2798" t="str">
        <f>HYPERLINK("https://github.com/mauron85/cordova-plugin-background-geolocation/releases","show")</f>
        <v>show</v>
      </c>
    </row>
    <row r="2799" spans="1:6">
      <c r="A2799" t="s">
        <v>8358</v>
      </c>
      <c r="B2799" t="s">
        <v>8359</v>
      </c>
      <c r="C2799" t="s">
        <v>8360</v>
      </c>
      <c r="D2799" t="str">
        <f>HYPERLINK("https://github.com/HueToYou/ChatExchange-old/issues/5","show")</f>
        <v>show</v>
      </c>
      <c r="E2799" t="str">
        <f>HYPERLINK("https://github.com/HueToYou/ChatExchange-old","show")</f>
        <v>show</v>
      </c>
      <c r="F2799" t="str">
        <f>HYPERLINK("https://github.com/HueToYou/ChatExchange-old/releases","show")</f>
        <v>show</v>
      </c>
    </row>
    <row r="2800" spans="1:6">
      <c r="A2800" t="s">
        <v>8361</v>
      </c>
      <c r="B2800" t="s">
        <v>8362</v>
      </c>
      <c r="C2800" t="s">
        <v>8363</v>
      </c>
      <c r="D2800" t="str">
        <f>HYPERLINK("https://github.com/wallabag/android-app/issues/580","show")</f>
        <v>show</v>
      </c>
      <c r="E2800" t="str">
        <f>HYPERLINK("https://github.com/wallabag/android-app","show")</f>
        <v>show</v>
      </c>
      <c r="F2800" t="str">
        <f>HYPERLINK("https://github.com/wallabag/android-app/releases","show")</f>
        <v>show</v>
      </c>
    </row>
    <row r="2801" spans="1:6">
      <c r="A2801" t="s">
        <v>8364</v>
      </c>
      <c r="B2801" t="s">
        <v>8365</v>
      </c>
      <c r="C2801" t="s">
        <v>8366</v>
      </c>
      <c r="D2801" t="str">
        <f>HYPERLINK("https://github.com/RestComm/restcomm-android-sdk/issues/634","show")</f>
        <v>show</v>
      </c>
      <c r="E2801" t="str">
        <f>HYPERLINK("https://github.com/RestComm/restcomm-android-sdk","show")</f>
        <v>show</v>
      </c>
      <c r="F2801" t="str">
        <f>HYPERLINK("https://github.com/RestComm/restcomm-android-sdk/releases","show")</f>
        <v>show</v>
      </c>
    </row>
    <row r="2802" spans="1:6">
      <c r="A2802" t="s">
        <v>8367</v>
      </c>
      <c r="B2802" t="s">
        <v>8368</v>
      </c>
      <c r="C2802" t="s">
        <v>8369</v>
      </c>
      <c r="D2802" t="str">
        <f>HYPERLINK("https://github.com/novoda/no-player/issues/61","show")</f>
        <v>show</v>
      </c>
      <c r="E2802" t="str">
        <f>HYPERLINK("https://github.com/novoda/no-player","show")</f>
        <v>show</v>
      </c>
      <c r="F2802" t="str">
        <f>HYPERLINK("https://github.com/novoda/no-player/releases","show")</f>
        <v>show</v>
      </c>
    </row>
    <row r="2803" spans="1:6">
      <c r="A2803" t="s">
        <v>8370</v>
      </c>
      <c r="B2803" t="s">
        <v>8371</v>
      </c>
      <c r="C2803" t="s">
        <v>8372</v>
      </c>
      <c r="D2803" t="str">
        <f>HYPERLINK("https://github.com/fossasia/phimpme-android/issues/689","show")</f>
        <v>show</v>
      </c>
      <c r="E2803" t="str">
        <f>HYPERLINK("https://github.com/fossasia/phimpme-android","show")</f>
        <v>show</v>
      </c>
      <c r="F2803" t="str">
        <f>HYPERLINK("https://github.com/fossasia/phimpme-android/releases","show")</f>
        <v>show</v>
      </c>
    </row>
    <row r="2804" spans="1:6">
      <c r="A2804" t="s">
        <v>8373</v>
      </c>
      <c r="B2804" t="s">
        <v>8374</v>
      </c>
      <c r="C2804" t="s">
        <v>8375</v>
      </c>
      <c r="D2804" t="str">
        <f>HYPERLINK("https://github.com/novoda/merlin/issues/134","show")</f>
        <v>show</v>
      </c>
      <c r="E2804" t="str">
        <f>HYPERLINK("https://github.com/novoda/merlin","show")</f>
        <v>show</v>
      </c>
      <c r="F2804" t="str">
        <f>HYPERLINK("https://github.com/novoda/merlin/releases","show")</f>
        <v>show</v>
      </c>
    </row>
    <row r="2805" spans="1:6">
      <c r="A2805" t="s">
        <v>8376</v>
      </c>
      <c r="B2805" t="s">
        <v>8377</v>
      </c>
      <c r="C2805" t="s">
        <v>8378</v>
      </c>
      <c r="D2805" t="str">
        <f>HYPERLINK("https://github.com/square/okhttp/issues/3438","show")</f>
        <v>show</v>
      </c>
      <c r="E2805" t="str">
        <f>HYPERLINK("https://github.com/square/okhttp","show")</f>
        <v>show</v>
      </c>
      <c r="F2805" t="str">
        <f>HYPERLINK("https://github.com/square/okhttp/releases","show")</f>
        <v>show</v>
      </c>
    </row>
    <row r="2806" spans="1:6">
      <c r="A2806" t="s">
        <v>8379</v>
      </c>
      <c r="B2806" t="s">
        <v>8380</v>
      </c>
      <c r="C2806" t="s">
        <v>8381</v>
      </c>
      <c r="D2806" t="str">
        <f>HYPERLINK("https://github.com/fossasia/pslab-android/issues/248","show")</f>
        <v>show</v>
      </c>
      <c r="E2806" t="str">
        <f>HYPERLINK("https://github.com/fossasia/pslab-android","show")</f>
        <v>show</v>
      </c>
      <c r="F2806" t="str">
        <f>HYPERLINK("https://github.com/fossasia/pslab-android/releases","show")</f>
        <v>show</v>
      </c>
    </row>
    <row r="2807" spans="1:6">
      <c r="A2807" t="s">
        <v>8382</v>
      </c>
      <c r="B2807" t="s">
        <v>8383</v>
      </c>
      <c r="C2807" t="s">
        <v>8384</v>
      </c>
      <c r="D2807" t="str">
        <f>HYPERLINK("https://github.com/eltos/SimpleDialogFragments/issues/12","show")</f>
        <v>show</v>
      </c>
      <c r="E2807" t="str">
        <f>HYPERLINK("https://github.com/eltos/SimpleDialogFragments","show")</f>
        <v>show</v>
      </c>
      <c r="F2807" t="str">
        <f>HYPERLINK("https://github.com/eltos/SimpleDialogFragments/releases","show")</f>
        <v>show</v>
      </c>
    </row>
    <row r="2808" spans="1:6">
      <c r="A2808" t="s">
        <v>8385</v>
      </c>
      <c r="B2808" t="s">
        <v>8386</v>
      </c>
      <c r="C2808" t="s">
        <v>8387</v>
      </c>
      <c r="D2808" t="str">
        <f>HYPERLINK("https://github.com/fekracomputers/IslamicLibraryAndroid/issues/29","show")</f>
        <v>show</v>
      </c>
      <c r="E2808" t="str">
        <f>HYPERLINK("https://github.com/fekracomputers/IslamicLibraryAndroid","show")</f>
        <v>show</v>
      </c>
      <c r="F2808" t="str">
        <f>HYPERLINK("https://github.com/fekracomputers/IslamicLibraryAndroid/releases","show")</f>
        <v>show</v>
      </c>
    </row>
    <row r="2809" spans="1:6">
      <c r="A2809" t="s">
        <v>8388</v>
      </c>
      <c r="B2809" t="s">
        <v>8389</v>
      </c>
      <c r="C2809" t="s">
        <v>8390</v>
      </c>
      <c r="D2809" t="str">
        <f>HYPERLINK("https://github.com/gelin/weather-notification/issues/45","show")</f>
        <v>show</v>
      </c>
      <c r="E2809" t="str">
        <f>HYPERLINK("https://github.com/gelin/weather-notification","show")</f>
        <v>show</v>
      </c>
      <c r="F2809" t="str">
        <f>HYPERLINK("https://github.com/gelin/weather-notification/releases","show")</f>
        <v>show</v>
      </c>
    </row>
    <row r="2810" spans="1:6">
      <c r="A2810" t="s">
        <v>8391</v>
      </c>
      <c r="B2810" t="s">
        <v>8392</v>
      </c>
      <c r="C2810" t="s">
        <v>8393</v>
      </c>
      <c r="D2810" t="str">
        <f>HYPERLINK("https://github.com/hyperrail/hyperrail-for-android/issues/40","show")</f>
        <v>show</v>
      </c>
      <c r="E2810" t="str">
        <f>HYPERLINK("https://github.com/hyperrail/hyperrail-for-android","show")</f>
        <v>show</v>
      </c>
      <c r="F2810" t="str">
        <f>HYPERLINK("https://github.com/hyperrail/hyperrail-for-android/releases","show")</f>
        <v>show</v>
      </c>
    </row>
    <row r="2811" spans="1:6">
      <c r="A2811" t="s">
        <v>8394</v>
      </c>
      <c r="B2811" t="s">
        <v>8395</v>
      </c>
      <c r="C2811" t="s">
        <v>8396</v>
      </c>
      <c r="D2811" t="str">
        <f>HYPERLINK("https://github.com/dhbw-timetable/dhbw-timetable-android/issues/41","show")</f>
        <v>show</v>
      </c>
      <c r="E2811" t="str">
        <f>HYPERLINK("https://github.com/dhbw-timetable/dhbw-timetable-android","show")</f>
        <v>show</v>
      </c>
      <c r="F2811" t="str">
        <f>HYPERLINK("https://github.com/dhbw-timetable/dhbw-timetable-android/releases","show")</f>
        <v>show</v>
      </c>
    </row>
    <row r="2812" spans="1:6">
      <c r="A2812" t="s">
        <v>8397</v>
      </c>
      <c r="B2812" t="s">
        <v>8398</v>
      </c>
      <c r="C2812" t="s">
        <v>8399</v>
      </c>
      <c r="D2812" t="str">
        <f>HYPERLINK("https://github.com/Nightonke/BoomMenu/issues/134","show")</f>
        <v>show</v>
      </c>
      <c r="E2812" t="str">
        <f>HYPERLINK("https://github.com/Nightonke/BoomMenu","show")</f>
        <v>show</v>
      </c>
      <c r="F2812" t="str">
        <f>HYPERLINK("https://github.com/Nightonke/BoomMenu/releases","show")</f>
        <v>show</v>
      </c>
    </row>
    <row r="2813" spans="1:6">
      <c r="A2813" t="s">
        <v>8400</v>
      </c>
      <c r="B2813" t="s">
        <v>8401</v>
      </c>
      <c r="C2813" t="s">
        <v>8402</v>
      </c>
      <c r="D2813" t="str">
        <f>HYPERLINK("https://github.com/fenimore/DemocracyDroid/issues/30","show")</f>
        <v>show</v>
      </c>
      <c r="E2813" t="str">
        <f>HYPERLINK("https://github.com/fenimore/DemocracyDroid","show")</f>
        <v>show</v>
      </c>
      <c r="F2813" t="str">
        <f>HYPERLINK("https://github.com/fenimore/DemocracyDroid/releases","show")</f>
        <v>show</v>
      </c>
    </row>
    <row r="2814" spans="1:6">
      <c r="A2814" t="s">
        <v>8403</v>
      </c>
      <c r="B2814" t="s">
        <v>8404</v>
      </c>
      <c r="C2814" t="s">
        <v>8405</v>
      </c>
      <c r="D2814" t="str">
        <f>HYPERLINK("https://github.com/vector-im/riot-android/issues/1398","show")</f>
        <v>show</v>
      </c>
      <c r="E2814" t="str">
        <f>HYPERLINK("https://github.com/vector-im/riot-android","show")</f>
        <v>show</v>
      </c>
      <c r="F2814" t="str">
        <f>HYPERLINK("https://github.com/vector-im/riot-android/releases","show")</f>
        <v>show</v>
      </c>
    </row>
    <row r="2815" spans="1:6">
      <c r="A2815" t="s">
        <v>8406</v>
      </c>
      <c r="B2815" t="s">
        <v>8407</v>
      </c>
      <c r="C2815" t="s">
        <v>8408</v>
      </c>
      <c r="D2815" t="str">
        <f>HYPERLINK("https://github.com/redsolution/xabber-android/issues/739","show")</f>
        <v>show</v>
      </c>
      <c r="E2815" t="str">
        <f>HYPERLINK("https://github.com/redsolution/xabber-android","show")</f>
        <v>show</v>
      </c>
      <c r="F2815" t="str">
        <f>HYPERLINK("https://github.com/redsolution/xabber-android/releases","show")</f>
        <v>show</v>
      </c>
    </row>
    <row r="2816" spans="1:6">
      <c r="A2816" t="s">
        <v>8409</v>
      </c>
      <c r="B2816" t="s">
        <v>8410</v>
      </c>
      <c r="C2816" t="s">
        <v>8411</v>
      </c>
      <c r="D2816" t="str">
        <f>HYPERLINK("https://github.com/LawnchairLauncher/lawnchair/issues/122","show")</f>
        <v>show</v>
      </c>
      <c r="E2816" t="str">
        <f>HYPERLINK("https://github.com/LawnchairLauncher/lawnchair","show")</f>
        <v>show</v>
      </c>
      <c r="F2816" t="str">
        <f>HYPERLINK("https://github.com/LawnchairLauncher/lawnchair/releases","show")</f>
        <v>show</v>
      </c>
    </row>
    <row r="2817" spans="1:6">
      <c r="A2817" t="s">
        <v>8412</v>
      </c>
      <c r="B2817" t="s">
        <v>8413</v>
      </c>
      <c r="C2817" t="s">
        <v>8414</v>
      </c>
      <c r="D2817" t="str">
        <f>HYPERLINK("https://github.com/LawnchairLauncher/lawnchair/issues/121","show")</f>
        <v>show</v>
      </c>
      <c r="E2817" t="str">
        <f>HYPERLINK("https://github.com/LawnchairLauncher/lawnchair","show")</f>
        <v>show</v>
      </c>
      <c r="F2817" t="str">
        <f>HYPERLINK("https://github.com/LawnchairLauncher/lawnchair/releases","show")</f>
        <v>show</v>
      </c>
    </row>
    <row r="2818" spans="1:6">
      <c r="A2818" t="s">
        <v>8415</v>
      </c>
      <c r="B2818" t="s">
        <v>8416</v>
      </c>
      <c r="C2818" t="s">
        <v>8417</v>
      </c>
      <c r="D2818" t="str">
        <f>HYPERLINK("https://github.com/react-native-camera/react-native-camera/issues/774","show")</f>
        <v>show</v>
      </c>
      <c r="E2818" t="str">
        <f>HYPERLINK("https://github.com/react-native-camera/react-native-camera","show")</f>
        <v>show</v>
      </c>
      <c r="F2818" t="str">
        <f>HYPERLINK("https://github.com/react-native-camera/react-native-camera/releases","show")</f>
        <v>show</v>
      </c>
    </row>
    <row r="2819" spans="1:6">
      <c r="A2819" t="s">
        <v>8418</v>
      </c>
      <c r="B2819" t="s">
        <v>8419</v>
      </c>
      <c r="C2819" t="s">
        <v>8420</v>
      </c>
      <c r="D2819" t="str">
        <f>HYPERLINK("https://github.com/wiglenet/wigle-wifi-wardriving/issues/149","show")</f>
        <v>show</v>
      </c>
      <c r="E2819" t="str">
        <f>HYPERLINK("https://github.com/wiglenet/wigle-wifi-wardriving","show")</f>
        <v>show</v>
      </c>
      <c r="F2819" t="str">
        <f>HYPERLINK("https://github.com/wiglenet/wigle-wifi-wardriving/releases","show")</f>
        <v>show</v>
      </c>
    </row>
    <row r="2820" spans="1:6">
      <c r="A2820" t="s">
        <v>8421</v>
      </c>
      <c r="B2820" t="s">
        <v>8422</v>
      </c>
      <c r="C2820" t="s">
        <v>8423</v>
      </c>
      <c r="D2820" t="str">
        <f>HYPERLINK("https://github.com/HueToYou/ChatExchange-old/issues/7","show")</f>
        <v>show</v>
      </c>
      <c r="E2820" t="str">
        <f>HYPERLINK("https://github.com/HueToYou/ChatExchange-old","show")</f>
        <v>show</v>
      </c>
      <c r="F2820" t="str">
        <f>HYPERLINK("https://github.com/HueToYou/ChatExchange-old/releases","show")</f>
        <v>show</v>
      </c>
    </row>
    <row r="2821" spans="1:6">
      <c r="A2821" t="s">
        <v>8424</v>
      </c>
      <c r="B2821" t="s">
        <v>8425</v>
      </c>
      <c r="C2821" t="s">
        <v>8426</v>
      </c>
      <c r="D2821" t="str">
        <f>HYPERLINK("https://github.com/SecUSo/privacy-friendly-shopping-list/issues/41","show")</f>
        <v>show</v>
      </c>
      <c r="E2821" t="str">
        <f>HYPERLINK("https://github.com/SecUSo/privacy-friendly-shopping-list","show")</f>
        <v>show</v>
      </c>
      <c r="F2821" t="str">
        <f>HYPERLINK("https://github.com/SecUSo/privacy-friendly-shopping-list/releases","show")</f>
        <v>show</v>
      </c>
    </row>
    <row r="2822" spans="1:6">
      <c r="A2822" t="s">
        <v>8427</v>
      </c>
      <c r="B2822" t="s">
        <v>8428</v>
      </c>
      <c r="C2822" t="s">
        <v>8429</v>
      </c>
      <c r="D2822" t="str">
        <f>HYPERLINK("https://github.com/eurofurence/ef-app_android/issues/97","show")</f>
        <v>show</v>
      </c>
      <c r="E2822" t="str">
        <f>HYPERLINK("https://github.com/eurofurence/ef-app_android","show")</f>
        <v>show</v>
      </c>
      <c r="F2822" t="str">
        <f>HYPERLINK("https://github.com/eurofurence/ef-app_android/releases","show")</f>
        <v>show</v>
      </c>
    </row>
    <row r="2823" spans="1:6">
      <c r="A2823" t="s">
        <v>8430</v>
      </c>
      <c r="B2823" t="s">
        <v>8431</v>
      </c>
      <c r="C2823" t="s">
        <v>8432</v>
      </c>
      <c r="D2823" t="str">
        <f>HYPERLINK("https://github.com/vector-im/riot-android/issues/1410","show")</f>
        <v>show</v>
      </c>
      <c r="E2823" t="str">
        <f>HYPERLINK("https://github.com/vector-im/riot-android","show")</f>
        <v>show</v>
      </c>
      <c r="F2823" t="str">
        <f>HYPERLINK("https://github.com/vector-im/riot-android/releases","show")</f>
        <v>show</v>
      </c>
    </row>
    <row r="2824" spans="1:6">
      <c r="A2824" t="s">
        <v>8433</v>
      </c>
      <c r="B2824" t="s">
        <v>8434</v>
      </c>
      <c r="C2824" t="s">
        <v>8435</v>
      </c>
      <c r="D2824" t="str">
        <f>HYPERLINK("https://github.com/twilio/voice-quickstart-android/issues/74","show")</f>
        <v>show</v>
      </c>
      <c r="E2824" t="str">
        <f>HYPERLINK("https://github.com/twilio/voice-quickstart-android","show")</f>
        <v>show</v>
      </c>
      <c r="F2824" t="str">
        <f>HYPERLINK("https://github.com/twilio/voice-quickstart-android/releases","show")</f>
        <v>show</v>
      </c>
    </row>
    <row r="2825" spans="1:6">
      <c r="A2825" t="s">
        <v>8436</v>
      </c>
      <c r="B2825" t="s">
        <v>8437</v>
      </c>
      <c r="C2825" t="s">
        <v>8438</v>
      </c>
      <c r="D2825" t="str">
        <f>HYPERLINK("https://github.com/inaturalist/iNaturalistAndroid/issues/377","show")</f>
        <v>show</v>
      </c>
      <c r="E2825" t="str">
        <f>HYPERLINK("https://github.com/inaturalist/iNaturalistAndroid","show")</f>
        <v>show</v>
      </c>
      <c r="F2825" t="str">
        <f>HYPERLINK("https://github.com/inaturalist/iNaturalistAndroid/releases","show")</f>
        <v>show</v>
      </c>
    </row>
    <row r="2826" spans="1:6">
      <c r="A2826" t="s">
        <v>8439</v>
      </c>
      <c r="B2826" t="s">
        <v>8440</v>
      </c>
      <c r="C2826" t="s">
        <v>8441</v>
      </c>
      <c r="D2826" t="str">
        <f>HYPERLINK("https://github.com/niclabs/adkintunmobile-androidclient/issues/178","show")</f>
        <v>show</v>
      </c>
      <c r="E2826" t="str">
        <f>HYPERLINK("https://github.com/niclabs/adkintunmobile-androidclient","show")</f>
        <v>show</v>
      </c>
      <c r="F2826" t="str">
        <f>HYPERLINK("https://github.com/niclabs/adkintunmobile-androidclient/releases","show")</f>
        <v>show</v>
      </c>
    </row>
    <row r="2827" spans="1:6">
      <c r="A2827" t="s">
        <v>8442</v>
      </c>
      <c r="B2827" t="s">
        <v>8443</v>
      </c>
      <c r="C2827" t="s">
        <v>8444</v>
      </c>
      <c r="D2827" t="str">
        <f>HYPERLINK("https://github.com/HueToYou/ChatExchange-old/issues/8","show")</f>
        <v>show</v>
      </c>
      <c r="E2827" t="str">
        <f>HYPERLINK("https://github.com/HueToYou/ChatExchange-old","show")</f>
        <v>show</v>
      </c>
      <c r="F2827" t="str">
        <f>HYPERLINK("https://github.com/HueToYou/ChatExchange-old/releases","show")</f>
        <v>show</v>
      </c>
    </row>
    <row r="2828" spans="1:6">
      <c r="A2828" t="s">
        <v>8445</v>
      </c>
      <c r="B2828" t="s">
        <v>8446</v>
      </c>
      <c r="C2828" t="s">
        <v>8447</v>
      </c>
      <c r="D2828" t="str">
        <f>HYPERLINK("https://github.com/fossasia/pslab-android/issues/286","show")</f>
        <v>show</v>
      </c>
      <c r="E2828" t="str">
        <f>HYPERLINK("https://github.com/fossasia/pslab-android","show")</f>
        <v>show</v>
      </c>
      <c r="F2828" t="str">
        <f>HYPERLINK("https://github.com/fossasia/pslab-android/releases","show")</f>
        <v>show</v>
      </c>
    </row>
    <row r="2829" spans="1:6">
      <c r="A2829" t="s">
        <v>8448</v>
      </c>
      <c r="B2829" t="s">
        <v>8449</v>
      </c>
      <c r="C2829" t="s">
        <v>8450</v>
      </c>
      <c r="D2829" t="str">
        <f>HYPERLINK("https://github.com/myinnos/AlphabetIndex-Fast-Scroll-RecyclerView/issues/13","show")</f>
        <v>show</v>
      </c>
      <c r="E2829" t="str">
        <f>HYPERLINK("https://github.com/myinnos/AlphabetIndex-Fast-Scroll-RecyclerView","show")</f>
        <v>show</v>
      </c>
      <c r="F2829" t="str">
        <f>HYPERLINK("https://github.com/myinnos/AlphabetIndex-Fast-Scroll-RecyclerView/releases","show")</f>
        <v>show</v>
      </c>
    </row>
    <row r="2830" spans="1:6">
      <c r="A2830" t="s">
        <v>8451</v>
      </c>
      <c r="B2830" t="s">
        <v>8452</v>
      </c>
      <c r="C2830" t="s">
        <v>8453</v>
      </c>
      <c r="D2830" t="str">
        <f>HYPERLINK("https://github.com/LawnchairLauncher/lawnchair/issues/156","show")</f>
        <v>show</v>
      </c>
      <c r="E2830" t="str">
        <f>HYPERLINK("https://github.com/LawnchairLauncher/lawnchair","show")</f>
        <v>show</v>
      </c>
      <c r="F2830" t="str">
        <f>HYPERLINK("https://github.com/LawnchairLauncher/lawnchair/releases","show")</f>
        <v>show</v>
      </c>
    </row>
    <row r="2831" spans="1:6">
      <c r="A2831" t="s">
        <v>8454</v>
      </c>
      <c r="B2831" t="s">
        <v>4460</v>
      </c>
      <c r="C2831" t="s">
        <v>8455</v>
      </c>
      <c r="D2831" t="str">
        <f>HYPERLINK("https://github.com/tanrabad/survey/issues/30","show")</f>
        <v>show</v>
      </c>
      <c r="E2831" t="str">
        <f>HYPERLINK("https://github.com/tanrabad/survey","show")</f>
        <v>show</v>
      </c>
      <c r="F2831" t="str">
        <f>HYPERLINK("https://github.com/tanrabad/survey/releases","show")</f>
        <v>show</v>
      </c>
    </row>
    <row r="2832" spans="1:6">
      <c r="A2832" t="s">
        <v>8456</v>
      </c>
      <c r="B2832" t="s">
        <v>8457</v>
      </c>
      <c r="C2832" t="s">
        <v>8458</v>
      </c>
      <c r="D2832" t="str">
        <f>HYPERLINK("https://github.com/Ashok-Varma/BottomNavigation/issues/134","show")</f>
        <v>show</v>
      </c>
      <c r="E2832" t="str">
        <f>HYPERLINK("https://github.com/Ashok-Varma/BottomNavigation","show")</f>
        <v>show</v>
      </c>
      <c r="F2832" t="str">
        <f>HYPERLINK("https://github.com/Ashok-Varma/BottomNavigation/releases","show")</f>
        <v>show</v>
      </c>
    </row>
    <row r="2833" spans="1:6">
      <c r="A2833" t="s">
        <v>8459</v>
      </c>
      <c r="B2833" t="s">
        <v>8460</v>
      </c>
      <c r="C2833" t="s">
        <v>8461</v>
      </c>
      <c r="D2833" t="str">
        <f>HYPERLINK("https://github.com/kwmt/GitHubSearch/issues/112","show")</f>
        <v>show</v>
      </c>
      <c r="E2833" t="str">
        <f>HYPERLINK("https://github.com/kwmt/GitHubSearch","show")</f>
        <v>show</v>
      </c>
      <c r="F2833" t="str">
        <f>HYPERLINK("https://github.com/kwmt/GitHubSearch/releases","show")</f>
        <v>show</v>
      </c>
    </row>
    <row r="2834" spans="1:6">
      <c r="A2834" t="s">
        <v>8462</v>
      </c>
      <c r="B2834" t="s">
        <v>8463</v>
      </c>
      <c r="C2834" t="s">
        <v>8464</v>
      </c>
      <c r="D2834" t="str">
        <f>HYPERLINK("https://github.com/ZieIony/Carbon/issues/306","show")</f>
        <v>show</v>
      </c>
      <c r="E2834" t="str">
        <f>HYPERLINK("https://github.com/ZieIony/Carbon","show")</f>
        <v>show</v>
      </c>
      <c r="F2834" t="str">
        <f>HYPERLINK("https://github.com/ZieIony/Carbon/releases","show")</f>
        <v>show</v>
      </c>
    </row>
    <row r="2835" spans="1:6">
      <c r="A2835" t="s">
        <v>8465</v>
      </c>
      <c r="B2835" t="s">
        <v>8466</v>
      </c>
      <c r="C2835" t="s">
        <v>8467</v>
      </c>
      <c r="D2835" t="str">
        <f>HYPERLINK("https://github.com/smartdevicelink/sdl_java_suite/issues/555","show")</f>
        <v>show</v>
      </c>
      <c r="E2835" t="str">
        <f>HYPERLINK("https://github.com/smartdevicelink/sdl_java_suite","show")</f>
        <v>show</v>
      </c>
      <c r="F2835" t="str">
        <f>HYPERLINK("https://github.com/smartdevicelink/sdl_java_suite/releases","show")</f>
        <v>show</v>
      </c>
    </row>
    <row r="2836" spans="1:6">
      <c r="A2836" t="s">
        <v>8468</v>
      </c>
      <c r="B2836" t="s">
        <v>8469</v>
      </c>
      <c r="C2836" t="s">
        <v>8470</v>
      </c>
      <c r="D2836" t="str">
        <f>HYPERLINK("https://github.com/fuzz-productions/CutoutViewIndicator/issues/71","show")</f>
        <v>show</v>
      </c>
      <c r="E2836" t="str">
        <f>HYPERLINK("https://github.com/fuzz-productions/CutoutViewIndicator","show")</f>
        <v>show</v>
      </c>
      <c r="F2836" t="str">
        <f>HYPERLINK("https://github.com/fuzz-productions/CutoutViewIndicator/releases","show")</f>
        <v>show</v>
      </c>
    </row>
    <row r="2837" spans="1:6">
      <c r="A2837" t="s">
        <v>8471</v>
      </c>
      <c r="B2837" t="s">
        <v>8472</v>
      </c>
      <c r="C2837" t="s">
        <v>8473</v>
      </c>
      <c r="D2837" t="str">
        <f>HYPERLINK("https://github.com/RestComm/restcomm-android-sdk/issues/637","show")</f>
        <v>show</v>
      </c>
      <c r="E2837" t="str">
        <f>HYPERLINK("https://github.com/RestComm/restcomm-android-sdk","show")</f>
        <v>show</v>
      </c>
      <c r="F2837" t="str">
        <f>HYPERLINK("https://github.com/RestComm/restcomm-android-sdk/releases","show")</f>
        <v>show</v>
      </c>
    </row>
    <row r="2838" spans="1:6">
      <c r="A2838" t="s">
        <v>8474</v>
      </c>
      <c r="B2838" t="s">
        <v>8475</v>
      </c>
      <c r="C2838" t="s">
        <v>8476</v>
      </c>
      <c r="D2838" t="str">
        <f>HYPERLINK("https://github.com/cgeo/cgeo/issues/6634","show")</f>
        <v>show</v>
      </c>
      <c r="E2838" t="str">
        <f>HYPERLINK("https://github.com/cgeo/cgeo","show")</f>
        <v>show</v>
      </c>
      <c r="F2838" t="str">
        <f>HYPERLINK("https://github.com/cgeo/cgeo/releases","show")</f>
        <v>show</v>
      </c>
    </row>
    <row r="2839" spans="1:6">
      <c r="A2839" t="s">
        <v>8477</v>
      </c>
      <c r="B2839" t="s">
        <v>8478</v>
      </c>
      <c r="C2839" t="s">
        <v>8479</v>
      </c>
      <c r="D2839" t="str">
        <f>HYPERLINK("https://github.com/novoda/merlin/issues/139","show")</f>
        <v>show</v>
      </c>
      <c r="E2839" t="str">
        <f>HYPERLINK("https://github.com/novoda/merlin","show")</f>
        <v>show</v>
      </c>
      <c r="F2839" t="str">
        <f>HYPERLINK("https://github.com/novoda/merlin/releases","show")</f>
        <v>show</v>
      </c>
    </row>
    <row r="2840" spans="1:6">
      <c r="A2840" t="s">
        <v>8480</v>
      </c>
      <c r="B2840" t="s">
        <v>8481</v>
      </c>
      <c r="C2840" t="s">
        <v>8482</v>
      </c>
      <c r="D2840" t="str">
        <f>HYPERLINK("https://github.com/davideas/FlexibleAdapter/issues/409","show")</f>
        <v>show</v>
      </c>
      <c r="E2840" t="str">
        <f>HYPERLINK("https://github.com/davideas/FlexibleAdapter","show")</f>
        <v>show</v>
      </c>
      <c r="F2840" t="str">
        <f>HYPERLINK("https://github.com/davideas/FlexibleAdapter/releases","show")</f>
        <v>show</v>
      </c>
    </row>
    <row r="2841" spans="1:6">
      <c r="A2841" t="s">
        <v>8483</v>
      </c>
      <c r="B2841" t="s">
        <v>8484</v>
      </c>
      <c r="C2841" t="s">
        <v>8485</v>
      </c>
      <c r="D2841" t="str">
        <f>HYPERLINK("https://github.com/NineWorlds/serenity-android/issues/336","show")</f>
        <v>show</v>
      </c>
      <c r="E2841" t="str">
        <f>HYPERLINK("https://github.com/NineWorlds/serenity-android","show")</f>
        <v>show</v>
      </c>
      <c r="F2841" t="str">
        <f>HYPERLINK("https://github.com/NineWorlds/serenity-android/releases","show")</f>
        <v>show</v>
      </c>
    </row>
    <row r="2842" spans="1:6">
      <c r="A2842" t="s">
        <v>8486</v>
      </c>
      <c r="B2842" t="s">
        <v>1102</v>
      </c>
      <c r="C2842" t="s">
        <v>8487</v>
      </c>
      <c r="D2842" t="str">
        <f>HYPERLINK("https://github.com/EyeSeeTea/SurveillanceCambodiaApp/issues/124","show")</f>
        <v>show</v>
      </c>
      <c r="E2842" t="str">
        <f>HYPERLINK("https://github.com/EyeSeeTea/SurveillanceCambodiaApp","show")</f>
        <v>show</v>
      </c>
      <c r="F2842" t="str">
        <f>HYPERLINK("https://github.com/EyeSeeTea/SurveillanceCambodiaApp/releases","show")</f>
        <v>show</v>
      </c>
    </row>
    <row r="2843" spans="1:6">
      <c r="A2843" t="s">
        <v>8488</v>
      </c>
      <c r="B2843" t="s">
        <v>8489</v>
      </c>
      <c r="C2843" t="s">
        <v>8490</v>
      </c>
      <c r="D2843" t="str">
        <f>HYPERLINK("https://github.com/novoda/no-player/issues/70","show")</f>
        <v>show</v>
      </c>
      <c r="E2843" t="str">
        <f>HYPERLINK("https://github.com/novoda/no-player","show")</f>
        <v>show</v>
      </c>
      <c r="F2843" t="str">
        <f>HYPERLINK("https://github.com/novoda/no-player/releases","show")</f>
        <v>show</v>
      </c>
    </row>
    <row r="2844" spans="1:6">
      <c r="A2844" t="s">
        <v>8491</v>
      </c>
      <c r="B2844" t="s">
        <v>8492</v>
      </c>
      <c r="C2844" t="s">
        <v>8493</v>
      </c>
      <c r="D2844" t="str">
        <f>HYPERLINK("https://github.com/Tornaco/DataMigration/issues/3","show")</f>
        <v>show</v>
      </c>
      <c r="E2844" t="str">
        <f>HYPERLINK("https://github.com/Tornaco/DataMigration","show")</f>
        <v>show</v>
      </c>
      <c r="F2844" t="str">
        <f>HYPERLINK("https://github.com/Tornaco/DataMigration/releases","show")</f>
        <v>show</v>
      </c>
    </row>
    <row r="2845" spans="1:6">
      <c r="A2845" t="s">
        <v>8494</v>
      </c>
      <c r="B2845" t="s">
        <v>8495</v>
      </c>
      <c r="C2845" t="s">
        <v>8496</v>
      </c>
      <c r="D2845" t="str">
        <f>HYPERLINK("https://github.com/simoneapp/S3-16-simone/issues/22","show")</f>
        <v>show</v>
      </c>
      <c r="E2845" t="str">
        <f>HYPERLINK("https://github.com/simoneapp/S3-16-simone","show")</f>
        <v>show</v>
      </c>
      <c r="F2845" t="str">
        <f>HYPERLINK("https://github.com/simoneapp/S3-16-simone/releases","show")</f>
        <v>show</v>
      </c>
    </row>
    <row r="2846" spans="1:6">
      <c r="A2846" t="s">
        <v>8497</v>
      </c>
      <c r="B2846" t="s">
        <v>8498</v>
      </c>
      <c r="C2846" t="s">
        <v>8499</v>
      </c>
      <c r="D2846" t="str">
        <f>HYPERLINK("https://github.com/timusus/Shuttle/issues/108","show")</f>
        <v>show</v>
      </c>
      <c r="E2846" t="str">
        <f>HYPERLINK("https://github.com/timusus/Shuttle","show")</f>
        <v>show</v>
      </c>
      <c r="F2846" t="str">
        <f>HYPERLINK("https://github.com/timusus/Shuttle/releases","show")</f>
        <v>show</v>
      </c>
    </row>
    <row r="2847" spans="1:6">
      <c r="A2847" t="s">
        <v>8500</v>
      </c>
      <c r="B2847" t="s">
        <v>8501</v>
      </c>
      <c r="C2847" t="s">
        <v>8502</v>
      </c>
      <c r="D2847" t="str">
        <f>HYPERLINK("https://github.com/nextcloud/android/issues/1184","show")</f>
        <v>show</v>
      </c>
      <c r="E2847" t="str">
        <f>HYPERLINK("https://github.com/nextcloud/android","show")</f>
        <v>show</v>
      </c>
      <c r="F2847" t="str">
        <f>HYPERLINK("https://github.com/nextcloud/android/releases","show")</f>
        <v>show</v>
      </c>
    </row>
    <row r="2848" spans="1:6">
      <c r="A2848" t="s">
        <v>8503</v>
      </c>
      <c r="B2848" t="s">
        <v>8504</v>
      </c>
      <c r="C2848" t="s">
        <v>8505</v>
      </c>
      <c r="D2848" t="str">
        <f>HYPERLINK("https://github.com/barbeau/gpstest/issues/85","show")</f>
        <v>show</v>
      </c>
      <c r="E2848" t="str">
        <f>HYPERLINK("https://github.com/barbeau/gpstest","show")</f>
        <v>show</v>
      </c>
      <c r="F2848" t="str">
        <f>HYPERLINK("https://github.com/barbeau/gpstest/releases","show")</f>
        <v>show</v>
      </c>
    </row>
    <row r="2849" spans="1:6">
      <c r="A2849" t="s">
        <v>8506</v>
      </c>
      <c r="B2849" t="s">
        <v>8507</v>
      </c>
      <c r="C2849" t="s">
        <v>8508</v>
      </c>
      <c r="D2849" t="str">
        <f>HYPERLINK("https://github.com/k9mail/k-9/issues/2627","show")</f>
        <v>show</v>
      </c>
      <c r="E2849" t="str">
        <f>HYPERLINK("https://github.com/k9mail/k-9","show")</f>
        <v>show</v>
      </c>
      <c r="F2849" t="str">
        <f>HYPERLINK("https://github.com/k9mail/k-9/releases","show")</f>
        <v>show</v>
      </c>
    </row>
    <row r="2850" spans="1:6">
      <c r="A2850" t="s">
        <v>8509</v>
      </c>
      <c r="B2850" t="s">
        <v>8510</v>
      </c>
      <c r="C2850" t="s">
        <v>8511</v>
      </c>
      <c r="D2850" t="str">
        <f>HYPERLINK("https://github.com/fossasia/pslab-android/issues/316","show")</f>
        <v>show</v>
      </c>
      <c r="E2850" t="str">
        <f>HYPERLINK("https://github.com/fossasia/pslab-android","show")</f>
        <v>show</v>
      </c>
      <c r="F2850" t="str">
        <f>HYPERLINK("https://github.com/fossasia/pslab-android/releases","show")</f>
        <v>show</v>
      </c>
    </row>
    <row r="2851" spans="1:6">
      <c r="A2851" t="s">
        <v>8512</v>
      </c>
      <c r="B2851" t="s">
        <v>4460</v>
      </c>
      <c r="C2851" t="s">
        <v>8513</v>
      </c>
      <c r="D2851" t="str">
        <f>HYPERLINK("https://github.com/tanrabad/survey/issues/31","show")</f>
        <v>show</v>
      </c>
      <c r="E2851" t="str">
        <f>HYPERLINK("https://github.com/tanrabad/survey","show")</f>
        <v>show</v>
      </c>
      <c r="F2851" t="str">
        <f>HYPERLINK("https://github.com/tanrabad/survey/releases","show")</f>
        <v>show</v>
      </c>
    </row>
    <row r="2852" spans="1:6">
      <c r="A2852" t="s">
        <v>8514</v>
      </c>
      <c r="B2852" t="s">
        <v>8515</v>
      </c>
      <c r="C2852" t="s">
        <v>8516</v>
      </c>
      <c r="D2852" t="str">
        <f>HYPERLINK("https://github.com/AppLozic/Applozic-Android-SDK/issues/268","show")</f>
        <v>show</v>
      </c>
      <c r="E2852" t="str">
        <f>HYPERLINK("https://github.com/AppLozic/Applozic-Android-SDK","show")</f>
        <v>show</v>
      </c>
      <c r="F2852" t="str">
        <f>HYPERLINK("https://github.com/AppLozic/Applozic-Android-SDK/releases","show")</f>
        <v>show</v>
      </c>
    </row>
    <row r="2853" spans="1:6">
      <c r="A2853" t="s">
        <v>8517</v>
      </c>
      <c r="B2853" t="s">
        <v>8518</v>
      </c>
      <c r="C2853" t="s">
        <v>8519</v>
      </c>
      <c r="D2853" t="str">
        <f>HYPERLINK("https://github.com/nextcloud/android/issues/1197","show")</f>
        <v>show</v>
      </c>
      <c r="E2853" t="str">
        <f>HYPERLINK("https://github.com/nextcloud/android","show")</f>
        <v>show</v>
      </c>
      <c r="F2853" t="str">
        <f>HYPERLINK("https://github.com/nextcloud/android/releases","show")</f>
        <v>show</v>
      </c>
    </row>
    <row r="2854" spans="1:6">
      <c r="A2854" t="s">
        <v>8520</v>
      </c>
      <c r="B2854" t="s">
        <v>8521</v>
      </c>
      <c r="C2854" t="s">
        <v>8522</v>
      </c>
      <c r="D2854" t="str">
        <f>HYPERLINK("https://github.com/fekracomputers/IslamicLibraryAndroid/issues/32","show")</f>
        <v>show</v>
      </c>
      <c r="E2854" t="str">
        <f>HYPERLINK("https://github.com/fekracomputers/IslamicLibraryAndroid","show")</f>
        <v>show</v>
      </c>
      <c r="F2854" t="str">
        <f>HYPERLINK("https://github.com/fekracomputers/IslamicLibraryAndroid/releases","show")</f>
        <v>show</v>
      </c>
    </row>
    <row r="2855" spans="1:6">
      <c r="A2855" t="s">
        <v>8523</v>
      </c>
      <c r="B2855" t="s">
        <v>8524</v>
      </c>
      <c r="C2855" t="s">
        <v>8525</v>
      </c>
      <c r="D2855" t="str">
        <f>HYPERLINK("https://github.com/xkik-dev/XKik/issues/5","show")</f>
        <v>show</v>
      </c>
      <c r="E2855" t="str">
        <f>HYPERLINK("https://github.com/xkik-dev/XKik","show")</f>
        <v>show</v>
      </c>
      <c r="F2855" t="str">
        <f>HYPERLINK("https://github.com/xkik-dev/XKik/releases","show")</f>
        <v>show</v>
      </c>
    </row>
    <row r="2856" spans="1:6">
      <c r="A2856" t="s">
        <v>8526</v>
      </c>
      <c r="B2856" t="s">
        <v>8527</v>
      </c>
      <c r="C2856" t="s">
        <v>8528</v>
      </c>
      <c r="D2856" t="str">
        <f>HYPERLINK("https://github.com/projectwife/mtesitoo-android/issues/120","show")</f>
        <v>show</v>
      </c>
      <c r="E2856" t="str">
        <f>HYPERLINK("https://github.com/projectwife/mtesitoo-android","show")</f>
        <v>show</v>
      </c>
      <c r="F2856" t="str">
        <f>HYPERLINK("https://github.com/projectwife/mtesitoo-android/releases","show")</f>
        <v>show</v>
      </c>
    </row>
    <row r="2857" spans="1:6">
      <c r="A2857" t="s">
        <v>8529</v>
      </c>
      <c r="B2857" t="s">
        <v>8530</v>
      </c>
      <c r="C2857" t="s">
        <v>8531</v>
      </c>
      <c r="D2857" t="str">
        <f>HYPERLINK("https://github.com/cientopolis/samplers/issues/65","show")</f>
        <v>show</v>
      </c>
      <c r="E2857" t="str">
        <f>HYPERLINK("https://github.com/cientopolis/samplers","show")</f>
        <v>show</v>
      </c>
      <c r="F2857" t="str">
        <f>HYPERLINK("https://github.com/cientopolis/samplers/releases","show")</f>
        <v>show</v>
      </c>
    </row>
    <row r="2858" spans="1:6">
      <c r="A2858" t="s">
        <v>8532</v>
      </c>
      <c r="B2858" t="s">
        <v>8533</v>
      </c>
      <c r="C2858" t="s">
        <v>8534</v>
      </c>
      <c r="D2858" t="str">
        <f>HYPERLINK("https://github.com/maks/MGit/issues/182","show")</f>
        <v>show</v>
      </c>
      <c r="E2858" t="str">
        <f>HYPERLINK("https://github.com/maks/MGit","show")</f>
        <v>show</v>
      </c>
      <c r="F2858" t="str">
        <f>HYPERLINK("https://github.com/maks/MGit/releases","show")</f>
        <v>show</v>
      </c>
    </row>
    <row r="2859" spans="1:6">
      <c r="A2859" t="s">
        <v>8535</v>
      </c>
      <c r="B2859" t="s">
        <v>8536</v>
      </c>
      <c r="C2859" t="s">
        <v>8537</v>
      </c>
      <c r="D2859" t="str">
        <f>HYPERLINK("https://github.com/GCX-HCI/ThirtyInch/issues/107","show")</f>
        <v>show</v>
      </c>
      <c r="E2859" t="str">
        <f>HYPERLINK("https://github.com/GCX-HCI/ThirtyInch","show")</f>
        <v>show</v>
      </c>
      <c r="F2859" t="str">
        <f>HYPERLINK("https://github.com/GCX-HCI/ThirtyInch/releases","show")</f>
        <v>show</v>
      </c>
    </row>
    <row r="2860" spans="1:6">
      <c r="A2860" t="s">
        <v>8538</v>
      </c>
      <c r="B2860" t="s">
        <v>8539</v>
      </c>
      <c r="C2860" t="s">
        <v>8540</v>
      </c>
      <c r="D2860" t="str">
        <f>HYPERLINK("https://github.com/fossasia/phimpme-android/issues/815","show")</f>
        <v>show</v>
      </c>
      <c r="E2860" t="str">
        <f>HYPERLINK("https://github.com/fossasia/phimpme-android","show")</f>
        <v>show</v>
      </c>
      <c r="F2860" t="str">
        <f>HYPERLINK("https://github.com/fossasia/phimpme-android/releases","show")</f>
        <v>show</v>
      </c>
    </row>
    <row r="2861" spans="1:6">
      <c r="A2861" t="s">
        <v>8541</v>
      </c>
      <c r="B2861" t="s">
        <v>8542</v>
      </c>
      <c r="C2861" t="s">
        <v>8543</v>
      </c>
      <c r="D2861" t="str">
        <f>HYPERLINK("https://github.com/novoda/no-player/issues/72","show")</f>
        <v>show</v>
      </c>
      <c r="E2861" t="str">
        <f>HYPERLINK("https://github.com/novoda/no-player","show")</f>
        <v>show</v>
      </c>
      <c r="F2861" t="str">
        <f>HYPERLINK("https://github.com/novoda/no-player/releases","show")</f>
        <v>show</v>
      </c>
    </row>
    <row r="2862" spans="1:6">
      <c r="A2862" t="s">
        <v>8544</v>
      </c>
      <c r="B2862" t="s">
        <v>8545</v>
      </c>
      <c r="C2862" t="s">
        <v>8546</v>
      </c>
      <c r="D2862" t="str">
        <f>HYPERLINK("https://github.com/google/ExoPlayer/issues/3079","show")</f>
        <v>show</v>
      </c>
      <c r="E2862" t="str">
        <f>HYPERLINK("https://github.com/google/ExoPlayer","show")</f>
        <v>show</v>
      </c>
      <c r="F2862" t="str">
        <f>HYPERLINK("https://github.com/google/ExoPlayer/releases","show")</f>
        <v>show</v>
      </c>
    </row>
    <row r="2863" spans="1:6">
      <c r="A2863" t="s">
        <v>8547</v>
      </c>
      <c r="B2863" t="s">
        <v>8548</v>
      </c>
      <c r="C2863" t="s">
        <v>8549</v>
      </c>
      <c r="D2863" t="str">
        <f>HYPERLINK("https://github.com/LawnchairLauncher/lawnchair/issues/237","show")</f>
        <v>show</v>
      </c>
      <c r="E2863" t="str">
        <f>HYPERLINK("https://github.com/LawnchairLauncher/lawnchair","show")</f>
        <v>show</v>
      </c>
      <c r="F2863" t="str">
        <f>HYPERLINK("https://github.com/LawnchairLauncher/lawnchair/releases","show")</f>
        <v>show</v>
      </c>
    </row>
    <row r="2864" spans="1:6">
      <c r="A2864" t="s">
        <v>8550</v>
      </c>
      <c r="B2864" t="s">
        <v>8551</v>
      </c>
      <c r="C2864" t="s">
        <v>8552</v>
      </c>
      <c r="D2864" t="str">
        <f>HYPERLINK("https://github.com/alter-ego/androidbound/issues/126","show")</f>
        <v>show</v>
      </c>
      <c r="E2864" t="str">
        <f>HYPERLINK("https://github.com/alter-ego/androidbound","show")</f>
        <v>show</v>
      </c>
      <c r="F2864" t="str">
        <f>HYPERLINK("https://github.com/alter-ego/androidbound/releases","show")</f>
        <v>show</v>
      </c>
    </row>
    <row r="2865" spans="1:6">
      <c r="A2865" t="s">
        <v>8553</v>
      </c>
      <c r="B2865" t="s">
        <v>8554</v>
      </c>
      <c r="C2865" t="s">
        <v>8555</v>
      </c>
      <c r="D2865" t="str">
        <f>HYPERLINK("https://github.com/vector-im/riot-android/issues/1442","show")</f>
        <v>show</v>
      </c>
      <c r="E2865" t="str">
        <f>HYPERLINK("https://github.com/vector-im/riot-android","show")</f>
        <v>show</v>
      </c>
      <c r="F2865" t="str">
        <f>HYPERLINK("https://github.com/vector-im/riot-android/releases","show")</f>
        <v>show</v>
      </c>
    </row>
    <row r="2866" spans="1:6">
      <c r="A2866" t="s">
        <v>8556</v>
      </c>
      <c r="B2866" t="s">
        <v>4460</v>
      </c>
      <c r="C2866" t="s">
        <v>8557</v>
      </c>
      <c r="D2866" t="str">
        <f>HYPERLINK("https://github.com/tanrabad/survey/issues/32","show")</f>
        <v>show</v>
      </c>
      <c r="E2866" t="str">
        <f>HYPERLINK("https://github.com/tanrabad/survey","show")</f>
        <v>show</v>
      </c>
      <c r="F2866" t="str">
        <f>HYPERLINK("https://github.com/tanrabad/survey/releases","show")</f>
        <v>show</v>
      </c>
    </row>
    <row r="2867" spans="1:6">
      <c r="A2867" t="s">
        <v>8558</v>
      </c>
      <c r="B2867" t="s">
        <v>8559</v>
      </c>
      <c r="C2867" t="s">
        <v>8560</v>
      </c>
      <c r="D2867" t="str">
        <f>HYPERLINK("https://github.com/BaseballCardTracker/bbct-android/issues/416","show")</f>
        <v>show</v>
      </c>
      <c r="E2867" t="str">
        <f>HYPERLINK("https://github.com/BaseballCardTracker/bbct-android","show")</f>
        <v>show</v>
      </c>
      <c r="F2867" t="str">
        <f>HYPERLINK("https://github.com/BaseballCardTracker/bbct-android/releases","show")</f>
        <v>show</v>
      </c>
    </row>
    <row r="2868" spans="1:6">
      <c r="A2868" t="s">
        <v>8561</v>
      </c>
      <c r="B2868" t="s">
        <v>8562</v>
      </c>
      <c r="C2868" t="s">
        <v>8563</v>
      </c>
      <c r="D2868" t="str">
        <f>HYPERLINK("https://github.com/TeamNewPipe/NewPipe/issues/635","show")</f>
        <v>show</v>
      </c>
      <c r="E2868" t="str">
        <f>HYPERLINK("https://github.com/TeamNewPipe/NewPipe","show")</f>
        <v>show</v>
      </c>
      <c r="F2868" t="str">
        <f>HYPERLINK("https://github.com/TeamNewPipe/NewPipe/releases","show")</f>
        <v>show</v>
      </c>
    </row>
    <row r="2869" spans="1:6">
      <c r="A2869" t="s">
        <v>8564</v>
      </c>
      <c r="B2869" t="s">
        <v>8565</v>
      </c>
      <c r="C2869" t="s">
        <v>8566</v>
      </c>
      <c r="D2869" t="str">
        <f>HYPERLINK("https://github.com/billthefarmer/editor/issues/1","show")</f>
        <v>show</v>
      </c>
      <c r="E2869" t="str">
        <f>HYPERLINK("https://github.com/billthefarmer/editor","show")</f>
        <v>show</v>
      </c>
      <c r="F2869" t="str">
        <f>HYPERLINK("https://github.com/billthefarmer/editor/releases","show")</f>
        <v>show</v>
      </c>
    </row>
    <row r="2870" spans="1:6">
      <c r="A2870" t="s">
        <v>8567</v>
      </c>
      <c r="B2870" t="s">
        <v>8568</v>
      </c>
      <c r="C2870" t="s">
        <v>8569</v>
      </c>
      <c r="D2870" t="str">
        <f>HYPERLINK("https://github.com/dji-sdk/Mobile-SDK-Android/issues/143","show")</f>
        <v>show</v>
      </c>
      <c r="E2870" t="str">
        <f>HYPERLINK("https://github.com/dji-sdk/Mobile-SDK-Android","show")</f>
        <v>show</v>
      </c>
      <c r="F2870" t="str">
        <f>HYPERLINK("https://github.com/dji-sdk/Mobile-SDK-Android/releases","show")</f>
        <v>show</v>
      </c>
    </row>
    <row r="2871" spans="1:6">
      <c r="A2871" t="s">
        <v>8570</v>
      </c>
      <c r="B2871" t="s">
        <v>8571</v>
      </c>
      <c r="C2871" t="s">
        <v>8572</v>
      </c>
      <c r="D2871" t="str">
        <f>HYPERLINK("https://github.com/ZeusWPI/hydra-android/issues/163","show")</f>
        <v>show</v>
      </c>
      <c r="E2871" t="str">
        <f>HYPERLINK("https://github.com/ZeusWPI/hydra-android","show")</f>
        <v>show</v>
      </c>
      <c r="F2871" t="str">
        <f>HYPERLINK("https://github.com/ZeusWPI/hydra-android/releases","show")</f>
        <v>show</v>
      </c>
    </row>
    <row r="2872" spans="1:6">
      <c r="A2872" t="s">
        <v>8573</v>
      </c>
      <c r="B2872" t="s">
        <v>8574</v>
      </c>
      <c r="C2872" t="s">
        <v>8575</v>
      </c>
      <c r="D2872" t="str">
        <f>HYPERLINK("https://github.com/turing-tech/MaterialScrollBar/issues/100","show")</f>
        <v>show</v>
      </c>
      <c r="E2872" t="str">
        <f>HYPERLINK("https://github.com/turing-tech/MaterialScrollBar","show")</f>
        <v>show</v>
      </c>
      <c r="F2872" t="str">
        <f>HYPERLINK("https://github.com/turing-tech/MaterialScrollBar/releases","show")</f>
        <v>show</v>
      </c>
    </row>
    <row r="2873" spans="1:6">
      <c r="A2873" t="s">
        <v>8576</v>
      </c>
      <c r="B2873" t="s">
        <v>8577</v>
      </c>
      <c r="C2873" t="s">
        <v>8578</v>
      </c>
      <c r="D2873" t="str">
        <f>HYPERLINK("https://github.com/novoda/no-player/issues/74","show")</f>
        <v>show</v>
      </c>
      <c r="E2873" t="str">
        <f>HYPERLINK("https://github.com/novoda/no-player","show")</f>
        <v>show</v>
      </c>
      <c r="F2873" t="str">
        <f>HYPERLINK("https://github.com/novoda/no-player/releases","show")</f>
        <v>show</v>
      </c>
    </row>
    <row r="2874" spans="1:6">
      <c r="A2874" t="s">
        <v>8579</v>
      </c>
      <c r="B2874" t="s">
        <v>8580</v>
      </c>
      <c r="C2874" t="s">
        <v>8581</v>
      </c>
      <c r="D2874" t="str">
        <f>HYPERLINK("https://github.com/codekidX/storage-chooser/issues/43","show")</f>
        <v>show</v>
      </c>
      <c r="E2874" t="str">
        <f>HYPERLINK("https://github.com/codekidX/storage-chooser","show")</f>
        <v>show</v>
      </c>
      <c r="F2874" t="str">
        <f>HYPERLINK("https://github.com/codekidX/storage-chooser/releases","show")</f>
        <v>show</v>
      </c>
    </row>
    <row r="2875" spans="1:6">
      <c r="A2875" t="s">
        <v>8582</v>
      </c>
      <c r="B2875" t="s">
        <v>8583</v>
      </c>
      <c r="C2875" t="s">
        <v>8584</v>
      </c>
      <c r="D2875" t="str">
        <f>HYPERLINK("https://github.com/novoda/no-player/issues/76","show")</f>
        <v>show</v>
      </c>
      <c r="E2875" t="str">
        <f>HYPERLINK("https://github.com/novoda/no-player","show")</f>
        <v>show</v>
      </c>
      <c r="F2875" t="str">
        <f>HYPERLINK("https://github.com/novoda/no-player/releases","show")</f>
        <v>show</v>
      </c>
    </row>
    <row r="2876" spans="1:6">
      <c r="A2876" t="s">
        <v>8585</v>
      </c>
      <c r="B2876" t="s">
        <v>8586</v>
      </c>
      <c r="C2876" t="s">
        <v>8587</v>
      </c>
      <c r="D2876" t="str">
        <f>HYPERLINK("https://github.com/AniTrend/anitrend-app/issues/4","show")</f>
        <v>show</v>
      </c>
      <c r="E2876" t="str">
        <f>HYPERLINK("https://github.com/AniTrend/anitrend-app","show")</f>
        <v>show</v>
      </c>
      <c r="F2876" t="str">
        <f>HYPERLINK("https://github.com/AniTrend/anitrend-app/releases","show")</f>
        <v>show</v>
      </c>
    </row>
    <row r="2877" spans="1:6">
      <c r="A2877" t="s">
        <v>8588</v>
      </c>
      <c r="B2877" t="s">
        <v>4460</v>
      </c>
      <c r="C2877" t="s">
        <v>8589</v>
      </c>
      <c r="D2877" t="str">
        <f>HYPERLINK("https://github.com/tanrabad/survey/issues/33","show")</f>
        <v>show</v>
      </c>
      <c r="E2877" t="str">
        <f>HYPERLINK("https://github.com/tanrabad/survey","show")</f>
        <v>show</v>
      </c>
      <c r="F2877" t="str">
        <f>HYPERLINK("https://github.com/tanrabad/survey/releases","show")</f>
        <v>show</v>
      </c>
    </row>
    <row r="2878" spans="1:6">
      <c r="A2878" t="s">
        <v>8590</v>
      </c>
      <c r="B2878" t="s">
        <v>8591</v>
      </c>
      <c r="C2878" t="s">
        <v>8592</v>
      </c>
      <c r="D2878" t="str">
        <f>HYPERLINK("https://github.com/open-keychain/open-keychain/issues/2141","show")</f>
        <v>show</v>
      </c>
      <c r="E2878" t="str">
        <f>HYPERLINK("https://github.com/open-keychain/open-keychain","show")</f>
        <v>show</v>
      </c>
      <c r="F2878" t="str">
        <f>HYPERLINK("https://github.com/open-keychain/open-keychain/releases","show")</f>
        <v>show</v>
      </c>
    </row>
    <row r="2879" spans="1:6">
      <c r="A2879" t="s">
        <v>8593</v>
      </c>
      <c r="B2879" t="s">
        <v>8594</v>
      </c>
      <c r="C2879" t="s">
        <v>8595</v>
      </c>
      <c r="D2879" t="str">
        <f>HYPERLINK("https://github.com/getodk/collect/issues/1277","show")</f>
        <v>show</v>
      </c>
      <c r="E2879" t="str">
        <f>HYPERLINK("https://github.com/getodk/collect","show")</f>
        <v>show</v>
      </c>
      <c r="F2879" t="str">
        <f>HYPERLINK("https://github.com/getodk/collect/releases","show")</f>
        <v>show</v>
      </c>
    </row>
    <row r="2880" spans="1:6">
      <c r="A2880" t="s">
        <v>8596</v>
      </c>
      <c r="B2880" t="s">
        <v>8597</v>
      </c>
      <c r="C2880" t="s">
        <v>8598</v>
      </c>
      <c r="D2880" t="str">
        <f>HYPERLINK("https://github.com/fossasia/phimpme-android/issues/896","show")</f>
        <v>show</v>
      </c>
      <c r="E2880" t="str">
        <f>HYPERLINK("https://github.com/fossasia/phimpme-android","show")</f>
        <v>show</v>
      </c>
      <c r="F2880" t="str">
        <f>HYPERLINK("https://github.com/fossasia/phimpme-android/releases","show")</f>
        <v>show</v>
      </c>
    </row>
    <row r="2881" spans="1:6">
      <c r="A2881" t="s">
        <v>8599</v>
      </c>
      <c r="B2881" t="s">
        <v>8600</v>
      </c>
      <c r="C2881" t="s">
        <v>8601</v>
      </c>
      <c r="D2881" t="str">
        <f>HYPERLINK("https://github.com/hendraanggrian/socialview/issues/15","show")</f>
        <v>show</v>
      </c>
      <c r="E2881" t="str">
        <f>HYPERLINK("https://github.com/hendraanggrian/socialview","show")</f>
        <v>show</v>
      </c>
      <c r="F2881" t="str">
        <f>HYPERLINK("https://github.com/hendraanggrian/socialview/releases","show")</f>
        <v>show</v>
      </c>
    </row>
    <row r="2882" spans="1:6">
      <c r="A2882" t="s">
        <v>8602</v>
      </c>
      <c r="B2882" t="s">
        <v>8603</v>
      </c>
      <c r="C2882" t="s">
        <v>8604</v>
      </c>
      <c r="D2882" t="str">
        <f>HYPERLINK("https://github.com/rubensousa/FloatingToolbar/issues/32","show")</f>
        <v>show</v>
      </c>
      <c r="E2882" t="str">
        <f>HYPERLINK("https://github.com/rubensousa/FloatingToolbar","show")</f>
        <v>show</v>
      </c>
      <c r="F2882" t="str">
        <f>HYPERLINK("https://github.com/rubensousa/FloatingToolbar/releases","show")</f>
        <v>show</v>
      </c>
    </row>
    <row r="2883" spans="1:6">
      <c r="A2883" t="s">
        <v>8605</v>
      </c>
      <c r="B2883" t="s">
        <v>8606</v>
      </c>
      <c r="C2883" t="s">
        <v>8607</v>
      </c>
      <c r="D2883" t="str">
        <f>HYPERLINK("https://github.com/nextcloud/android/issues/1242","show")</f>
        <v>show</v>
      </c>
      <c r="E2883" t="str">
        <f>HYPERLINK("https://github.com/nextcloud/android","show")</f>
        <v>show</v>
      </c>
      <c r="F2883" t="str">
        <f>HYPERLINK("https://github.com/nextcloud/android/releases","show")</f>
        <v>show</v>
      </c>
    </row>
    <row r="2884" spans="1:6">
      <c r="A2884" t="s">
        <v>8608</v>
      </c>
      <c r="B2884" t="s">
        <v>8609</v>
      </c>
      <c r="C2884" t="s">
        <v>8610</v>
      </c>
      <c r="D2884" t="str">
        <f>HYPERLINK("https://github.com/niclabs/adkintunmobile-androidclient/issues/179","show")</f>
        <v>show</v>
      </c>
      <c r="E2884" t="str">
        <f>HYPERLINK("https://github.com/niclabs/adkintunmobile-androidclient","show")</f>
        <v>show</v>
      </c>
      <c r="F2884" t="str">
        <f>HYPERLINK("https://github.com/niclabs/adkintunmobile-androidclient/releases","show")</f>
        <v>show</v>
      </c>
    </row>
    <row r="2885" spans="1:6">
      <c r="A2885" t="s">
        <v>8611</v>
      </c>
      <c r="B2885" t="s">
        <v>8612</v>
      </c>
      <c r="C2885" t="s">
        <v>8613</v>
      </c>
      <c r="D2885" t="str">
        <f>HYPERLINK("https://github.com/itachi1706/SingBuses/issues/83","show")</f>
        <v>show</v>
      </c>
      <c r="E2885" t="str">
        <f>HYPERLINK("https://github.com/itachi1706/SingBuses","show")</f>
        <v>show</v>
      </c>
      <c r="F2885" t="str">
        <f>HYPERLINK("https://github.com/itachi1706/SingBuses/releases","show")</f>
        <v>show</v>
      </c>
    </row>
    <row r="2886" spans="1:6">
      <c r="A2886" t="s">
        <v>8614</v>
      </c>
      <c r="B2886" t="s">
        <v>8615</v>
      </c>
      <c r="C2886" t="s">
        <v>8616</v>
      </c>
      <c r="D2886" t="str">
        <f>HYPERLINK("https://github.com/cgeo/cgeo/issues/6669","show")</f>
        <v>show</v>
      </c>
      <c r="E2886" t="str">
        <f>HYPERLINK("https://github.com/cgeo/cgeo","show")</f>
        <v>show</v>
      </c>
      <c r="F2886" t="str">
        <f>HYPERLINK("https://github.com/cgeo/cgeo/releases","show")</f>
        <v>show</v>
      </c>
    </row>
    <row r="2887" spans="1:6">
      <c r="A2887" t="s">
        <v>8617</v>
      </c>
      <c r="B2887" t="s">
        <v>8618</v>
      </c>
      <c r="C2887" t="s">
        <v>8619</v>
      </c>
      <c r="D2887" t="str">
        <f>HYPERLINK("https://github.com/nisrulz/screenshott/issues/8","show")</f>
        <v>show</v>
      </c>
      <c r="E2887" t="str">
        <f>HYPERLINK("https://github.com/nisrulz/screenshott","show")</f>
        <v>show</v>
      </c>
      <c r="F2887" t="str">
        <f>HYPERLINK("https://github.com/nisrulz/screenshott/releases","show")</f>
        <v>show</v>
      </c>
    </row>
    <row r="2888" spans="1:6">
      <c r="A2888" t="s">
        <v>8620</v>
      </c>
      <c r="B2888" t="s">
        <v>8621</v>
      </c>
      <c r="C2888" t="s">
        <v>8622</v>
      </c>
      <c r="D2888" t="str">
        <f>HYPERLINK("https://github.com/ForstaLabs/relay/issues/133","show")</f>
        <v>show</v>
      </c>
      <c r="E2888" t="str">
        <f>HYPERLINK("https://github.com/ForstaLabs/relay","show")</f>
        <v>show</v>
      </c>
      <c r="F2888" t="str">
        <f>HYPERLINK("https://github.com/ForstaLabs/relay/releases","show")</f>
        <v>show</v>
      </c>
    </row>
    <row r="2889" spans="1:6">
      <c r="A2889" t="s">
        <v>8623</v>
      </c>
      <c r="B2889" t="s">
        <v>8624</v>
      </c>
      <c r="C2889" t="s">
        <v>8625</v>
      </c>
      <c r="D2889" t="str">
        <f>HYPERLINK("https://github.com/processing/processing-android/issues/368","show")</f>
        <v>show</v>
      </c>
      <c r="E2889" t="str">
        <f>HYPERLINK("https://github.com/processing/processing-android","show")</f>
        <v>show</v>
      </c>
      <c r="F2889" t="str">
        <f>HYPERLINK("https://github.com/processing/processing-android/releases","show")</f>
        <v>show</v>
      </c>
    </row>
    <row r="2890" spans="1:6">
      <c r="A2890" t="s">
        <v>8626</v>
      </c>
      <c r="B2890" t="s">
        <v>8627</v>
      </c>
      <c r="C2890" t="s">
        <v>8628</v>
      </c>
      <c r="D2890" t="str">
        <f>HYPERLINK("https://github.com/nextcloud/android/issues/1255","show")</f>
        <v>show</v>
      </c>
      <c r="E2890" t="str">
        <f>HYPERLINK("https://github.com/nextcloud/android","show")</f>
        <v>show</v>
      </c>
      <c r="F2890" t="str">
        <f>HYPERLINK("https://github.com/nextcloud/android/releases","show")</f>
        <v>show</v>
      </c>
    </row>
    <row r="2891" spans="1:6">
      <c r="A2891" t="s">
        <v>8629</v>
      </c>
      <c r="B2891" t="s">
        <v>8630</v>
      </c>
      <c r="C2891" t="s">
        <v>8631</v>
      </c>
      <c r="D2891" t="str">
        <f>HYPERLINK("https://github.com/kollerlukas/Camera-Roll-Android-App/issues/64","show")</f>
        <v>show</v>
      </c>
      <c r="E2891" t="str">
        <f>HYPERLINK("https://github.com/kollerlukas/Camera-Roll-Android-App","show")</f>
        <v>show</v>
      </c>
      <c r="F2891" t="str">
        <f>HYPERLINK("https://github.com/kollerlukas/Camera-Roll-Android-App/releases","show")</f>
        <v>show</v>
      </c>
    </row>
    <row r="2892" spans="1:6">
      <c r="A2892" t="s">
        <v>8632</v>
      </c>
      <c r="B2892" t="s">
        <v>8633</v>
      </c>
      <c r="C2892" t="s">
        <v>8634</v>
      </c>
      <c r="D2892" t="str">
        <f>HYPERLINK("https://github.com/martykan/forecastie/issues/234","show")</f>
        <v>show</v>
      </c>
      <c r="E2892" t="str">
        <f>HYPERLINK("https://github.com/martykan/forecastie","show")</f>
        <v>show</v>
      </c>
      <c r="F2892" t="str">
        <f>HYPERLINK("https://github.com/martykan/forecastie/releases","show")</f>
        <v>show</v>
      </c>
    </row>
    <row r="2893" spans="1:6">
      <c r="A2893" t="s">
        <v>8635</v>
      </c>
      <c r="B2893" t="s">
        <v>8636</v>
      </c>
      <c r="C2893" t="s">
        <v>8637</v>
      </c>
      <c r="D2893" t="str">
        <f>HYPERLINK("https://github.com/fossasia/pslab-android/issues/400","show")</f>
        <v>show</v>
      </c>
      <c r="E2893" t="str">
        <f>HYPERLINK("https://github.com/fossasia/pslab-android","show")</f>
        <v>show</v>
      </c>
      <c r="F2893" t="str">
        <f>HYPERLINK("https://github.com/fossasia/pslab-android/releases","show")</f>
        <v>show</v>
      </c>
    </row>
    <row r="2894" spans="1:6">
      <c r="A2894" t="s">
        <v>8638</v>
      </c>
      <c r="B2894" t="s">
        <v>8639</v>
      </c>
      <c r="C2894" t="s">
        <v>8640</v>
      </c>
      <c r="D2894" t="str">
        <f>HYPERLINK("https://github.com/inaturalist/iNaturalistAndroid/issues/392","show")</f>
        <v>show</v>
      </c>
      <c r="E2894" t="str">
        <f>HYPERLINK("https://github.com/inaturalist/iNaturalistAndroid","show")</f>
        <v>show</v>
      </c>
      <c r="F2894" t="str">
        <f>HYPERLINK("https://github.com/inaturalist/iNaturalistAndroid/releases","show")</f>
        <v>show</v>
      </c>
    </row>
    <row r="2895" spans="1:6">
      <c r="A2895" t="s">
        <v>8641</v>
      </c>
      <c r="B2895" t="s">
        <v>8642</v>
      </c>
      <c r="C2895" t="s">
        <v>8643</v>
      </c>
      <c r="D2895" t="str">
        <f>HYPERLINK("https://github.com/simoneapp/S3-16-simone/issues/27","show")</f>
        <v>show</v>
      </c>
      <c r="E2895" t="str">
        <f>HYPERLINK("https://github.com/simoneapp/S3-16-simone","show")</f>
        <v>show</v>
      </c>
      <c r="F2895" t="str">
        <f>HYPERLINK("https://github.com/simoneapp/S3-16-simone/releases","show")</f>
        <v>show</v>
      </c>
    </row>
    <row r="2896" spans="1:6">
      <c r="A2896" t="s">
        <v>8644</v>
      </c>
      <c r="B2896" t="s">
        <v>8645</v>
      </c>
      <c r="C2896" t="s">
        <v>8646</v>
      </c>
      <c r="D2896" t="str">
        <f>HYPERLINK("https://github.com/Awful/Awful.apk/issues/518","show")</f>
        <v>show</v>
      </c>
      <c r="E2896" t="str">
        <f>HYPERLINK("https://github.com/Awful/Awful.apk","show")</f>
        <v>show</v>
      </c>
      <c r="F2896" t="str">
        <f>HYPERLINK("https://github.com/Awful/Awful.apk/releases","show")</f>
        <v>show</v>
      </c>
    </row>
    <row r="2897" spans="1:6">
      <c r="A2897" t="s">
        <v>8647</v>
      </c>
      <c r="B2897" t="s">
        <v>8648</v>
      </c>
      <c r="C2897" t="s">
        <v>8649</v>
      </c>
      <c r="D2897" t="str">
        <f>HYPERLINK("https://github.com/fossasia/phimpme-android/issues/944","show")</f>
        <v>show</v>
      </c>
      <c r="E2897" t="str">
        <f>HYPERLINK("https://github.com/fossasia/phimpme-android","show")</f>
        <v>show</v>
      </c>
      <c r="F2897" t="str">
        <f>HYPERLINK("https://github.com/fossasia/phimpme-android/releases","show")</f>
        <v>show</v>
      </c>
    </row>
    <row r="2898" spans="1:6">
      <c r="A2898" t="s">
        <v>8650</v>
      </c>
      <c r="B2898" t="s">
        <v>8651</v>
      </c>
      <c r="C2898" t="s">
        <v>8652</v>
      </c>
      <c r="D2898" t="str">
        <f>HYPERLINK("https://github.com/openbase/bco.bcomfy/issues/46","show")</f>
        <v>show</v>
      </c>
      <c r="E2898" t="str">
        <f>HYPERLINK("https://github.com/openbase/bco.bcomfy","show")</f>
        <v>show</v>
      </c>
      <c r="F2898" t="str">
        <f>HYPERLINK("https://github.com/openbase/bco.bcomfy/releases","show")</f>
        <v>show</v>
      </c>
    </row>
    <row r="2899" spans="1:6">
      <c r="A2899" t="s">
        <v>8653</v>
      </c>
      <c r="B2899" t="s">
        <v>8654</v>
      </c>
      <c r="C2899" t="s">
        <v>8655</v>
      </c>
      <c r="D2899" t="str">
        <f>HYPERLINK("https://github.com/getodk/collect/issues/1313","show")</f>
        <v>show</v>
      </c>
      <c r="E2899" t="str">
        <f>HYPERLINK("https://github.com/getodk/collect","show")</f>
        <v>show</v>
      </c>
      <c r="F2899" t="str">
        <f>HYPERLINK("https://github.com/getodk/collect/releases","show")</f>
        <v>show</v>
      </c>
    </row>
    <row r="2900" spans="1:6">
      <c r="A2900" t="s">
        <v>8656</v>
      </c>
      <c r="B2900" t="s">
        <v>8657</v>
      </c>
      <c r="C2900" t="s">
        <v>8658</v>
      </c>
      <c r="D2900" t="str">
        <f>HYPERLINK("https://github.com/billthefarmer/editor/issues/3","show")</f>
        <v>show</v>
      </c>
      <c r="E2900" t="str">
        <f>HYPERLINK("https://github.com/billthefarmer/editor","show")</f>
        <v>show</v>
      </c>
      <c r="F2900" t="str">
        <f>HYPERLINK("https://github.com/billthefarmer/editor/releases","show")</f>
        <v>show</v>
      </c>
    </row>
    <row r="2901" spans="1:6">
      <c r="A2901" t="s">
        <v>8659</v>
      </c>
      <c r="B2901" t="s">
        <v>8660</v>
      </c>
      <c r="C2901" t="s">
        <v>8661</v>
      </c>
      <c r="D2901" t="str">
        <f>HYPERLINK("https://github.com/ccrama/Slide/issues/2503","show")</f>
        <v>show</v>
      </c>
      <c r="E2901" t="str">
        <f>HYPERLINK("https://github.com/ccrama/Slide","show")</f>
        <v>show</v>
      </c>
      <c r="F2901" t="str">
        <f>HYPERLINK("https://github.com/ccrama/Slide/releases","show")</f>
        <v>show</v>
      </c>
    </row>
    <row r="2902" spans="1:6">
      <c r="A2902" t="s">
        <v>8662</v>
      </c>
      <c r="B2902" t="s">
        <v>8663</v>
      </c>
      <c r="C2902" t="s">
        <v>8664</v>
      </c>
      <c r="D2902" t="str">
        <f>HYPERLINK("https://github.com/koral--/android-gif-drawable/issues/434","show")</f>
        <v>show</v>
      </c>
      <c r="E2902" t="str">
        <f>HYPERLINK("https://github.com/koral--/android-gif-drawable","show")</f>
        <v>show</v>
      </c>
      <c r="F2902" t="str">
        <f>HYPERLINK("https://github.com/koral--/android-gif-drawable/releases","show")</f>
        <v>show</v>
      </c>
    </row>
    <row r="2903" spans="1:6">
      <c r="A2903" t="s">
        <v>8665</v>
      </c>
      <c r="B2903" t="s">
        <v>8666</v>
      </c>
      <c r="C2903" t="s">
        <v>8667</v>
      </c>
      <c r="D2903" t="str">
        <f>HYPERLINK("https://github.com/OWASP-Ruhrpott/owasp-workshop-android-pentest/issues/20","show")</f>
        <v>show</v>
      </c>
      <c r="E2903" t="str">
        <f>HYPERLINK("https://github.com/OWASP-Ruhrpott/owasp-workshop-android-pentest","show")</f>
        <v>show</v>
      </c>
      <c r="F2903" t="str">
        <f>HYPERLINK("https://github.com/OWASP-Ruhrpott/owasp-workshop-android-pentest/releases","show")</f>
        <v>show</v>
      </c>
    </row>
    <row r="2904" spans="1:6">
      <c r="A2904" t="s">
        <v>8668</v>
      </c>
      <c r="B2904" t="s">
        <v>8669</v>
      </c>
      <c r="C2904" t="s">
        <v>8670</v>
      </c>
      <c r="D2904" t="str">
        <f>HYPERLINK("https://github.com/ccrama/Slide/issues/2506","show")</f>
        <v>show</v>
      </c>
      <c r="E2904" t="str">
        <f>HYPERLINK("https://github.com/ccrama/Slide","show")</f>
        <v>show</v>
      </c>
      <c r="F2904" t="str">
        <f>HYPERLINK("https://github.com/ccrama/Slide/releases","show")</f>
        <v>show</v>
      </c>
    </row>
    <row r="2905" spans="1:6">
      <c r="A2905" t="s">
        <v>8671</v>
      </c>
      <c r="B2905" t="s">
        <v>8672</v>
      </c>
      <c r="C2905" t="s">
        <v>8673</v>
      </c>
      <c r="D2905" t="str">
        <f>HYPERLINK("https://github.com/jacob-g/cleveland-rta-next-bus-train/issues/87","show")</f>
        <v>show</v>
      </c>
      <c r="E2905" t="str">
        <f>HYPERLINK("https://github.com/jacob-g/cleveland-rta-next-bus-train","show")</f>
        <v>show</v>
      </c>
      <c r="F2905" t="str">
        <f>HYPERLINK("https://github.com/jacob-g/cleveland-rta-next-bus-train/releases","show")</f>
        <v>show</v>
      </c>
    </row>
    <row r="2906" spans="1:6">
      <c r="A2906" t="s">
        <v>8674</v>
      </c>
      <c r="B2906" t="s">
        <v>8675</v>
      </c>
      <c r="C2906" t="s">
        <v>8676</v>
      </c>
      <c r="D2906" t="str">
        <f>HYPERLINK("https://github.com/projectwife/mtesitoo-android/issues/135","show")</f>
        <v>show</v>
      </c>
      <c r="E2906" t="str">
        <f>HYPERLINK("https://github.com/projectwife/mtesitoo-android","show")</f>
        <v>show</v>
      </c>
      <c r="F2906" t="str">
        <f>HYPERLINK("https://github.com/projectwife/mtesitoo-android/releases","show")</f>
        <v>show</v>
      </c>
    </row>
    <row r="2907" spans="1:6">
      <c r="A2907" t="s">
        <v>8677</v>
      </c>
      <c r="B2907" t="s">
        <v>8678</v>
      </c>
      <c r="C2907" t="s">
        <v>8679</v>
      </c>
      <c r="D2907" t="str">
        <f>HYPERLINK("https://github.com/Vinetos/Hello-Music/issues/7","show")</f>
        <v>show</v>
      </c>
      <c r="E2907" t="str">
        <f>HYPERLINK("https://github.com/Vinetos/Hello-Music","show")</f>
        <v>show</v>
      </c>
      <c r="F2907" t="str">
        <f>HYPERLINK("https://github.com/Vinetos/Hello-Music/releases","show")</f>
        <v>show</v>
      </c>
    </row>
    <row r="2908" spans="1:6">
      <c r="A2908" t="s">
        <v>8680</v>
      </c>
      <c r="B2908" t="s">
        <v>8681</v>
      </c>
      <c r="C2908" t="s">
        <v>8682</v>
      </c>
      <c r="D2908" t="str">
        <f>HYPERLINK("https://github.com/itachi1706/SingBuses/issues/85","show")</f>
        <v>show</v>
      </c>
      <c r="E2908" t="str">
        <f>HYPERLINK("https://github.com/itachi1706/SingBuses","show")</f>
        <v>show</v>
      </c>
      <c r="F2908" t="str">
        <f>HYPERLINK("https://github.com/itachi1706/SingBuses/releases","show")</f>
        <v>show</v>
      </c>
    </row>
    <row r="2909" spans="1:6">
      <c r="A2909" t="s">
        <v>8683</v>
      </c>
      <c r="B2909" t="s">
        <v>8684</v>
      </c>
      <c r="C2909" t="s">
        <v>8685</v>
      </c>
      <c r="D2909" t="str">
        <f>HYPERLINK("https://github.com/alhazmy13/MediaPicker/issues/35","show")</f>
        <v>show</v>
      </c>
      <c r="E2909" t="str">
        <f>HYPERLINK("https://github.com/alhazmy13/MediaPicker","show")</f>
        <v>show</v>
      </c>
      <c r="F2909" t="str">
        <f>HYPERLINK("https://github.com/alhazmy13/MediaPicker/releases","show")</f>
        <v>show</v>
      </c>
    </row>
    <row r="2910" spans="1:6">
      <c r="A2910" t="s">
        <v>8686</v>
      </c>
      <c r="B2910" t="s">
        <v>8687</v>
      </c>
      <c r="C2910" t="s">
        <v>8688</v>
      </c>
      <c r="D2910" t="str">
        <f>HYPERLINK("https://github.com/psych-tech/smart-pm/issues/30","show")</f>
        <v>show</v>
      </c>
      <c r="E2910" t="str">
        <f>HYPERLINK("https://github.com/psych-tech/smart-pm","show")</f>
        <v>show</v>
      </c>
      <c r="F2910" t="str">
        <f>HYPERLINK("https://github.com/psych-tech/smart-pm/releases","show")</f>
        <v>show</v>
      </c>
    </row>
    <row r="2911" spans="1:6">
      <c r="A2911" t="s">
        <v>8689</v>
      </c>
      <c r="B2911" t="s">
        <v>8690</v>
      </c>
      <c r="C2911" t="s">
        <v>8691</v>
      </c>
      <c r="D2911" t="str">
        <f>HYPERLINK("https://github.com/BaseballCardTracker/bbct-android/issues/421","show")</f>
        <v>show</v>
      </c>
      <c r="E2911" t="str">
        <f>HYPERLINK("https://github.com/BaseballCardTracker/bbct-android","show")</f>
        <v>show</v>
      </c>
      <c r="F2911" t="str">
        <f>HYPERLINK("https://github.com/BaseballCardTracker/bbct-android/releases","show")</f>
        <v>show</v>
      </c>
    </row>
    <row r="2912" spans="1:6">
      <c r="A2912" t="s">
        <v>8692</v>
      </c>
      <c r="B2912" t="s">
        <v>8690</v>
      </c>
      <c r="C2912" t="s">
        <v>8693</v>
      </c>
      <c r="D2912" t="str">
        <f>HYPERLINK("https://github.com/BaseballCardTracker/bbct-android/issues/420","show")</f>
        <v>show</v>
      </c>
      <c r="E2912" t="str">
        <f>HYPERLINK("https://github.com/BaseballCardTracker/bbct-android","show")</f>
        <v>show</v>
      </c>
      <c r="F2912" t="str">
        <f>HYPERLINK("https://github.com/BaseballCardTracker/bbct-android/releases","show")</f>
        <v>show</v>
      </c>
    </row>
    <row r="2913" spans="1:6">
      <c r="A2913" t="s">
        <v>8694</v>
      </c>
      <c r="B2913" t="s">
        <v>8695</v>
      </c>
      <c r="C2913" t="s">
        <v>8696</v>
      </c>
      <c r="D2913" t="str">
        <f>HYPERLINK("https://github.com/fossasia/pslab-android/issues/453","show")</f>
        <v>show</v>
      </c>
      <c r="E2913" t="str">
        <f>HYPERLINK("https://github.com/fossasia/pslab-android","show")</f>
        <v>show</v>
      </c>
      <c r="F2913" t="str">
        <f>HYPERLINK("https://github.com/fossasia/pslab-android/releases","show")</f>
        <v>show</v>
      </c>
    </row>
    <row r="2914" spans="1:6">
      <c r="A2914" t="s">
        <v>8697</v>
      </c>
      <c r="B2914" t="s">
        <v>4460</v>
      </c>
      <c r="C2914" t="s">
        <v>8698</v>
      </c>
      <c r="D2914" t="str">
        <f>HYPERLINK("https://github.com/tanrabad/survey/issues/34","show")</f>
        <v>show</v>
      </c>
      <c r="E2914" t="str">
        <f>HYPERLINK("https://github.com/tanrabad/survey","show")</f>
        <v>show</v>
      </c>
      <c r="F2914" t="str">
        <f>HYPERLINK("https://github.com/tanrabad/survey/releases","show")</f>
        <v>show</v>
      </c>
    </row>
    <row r="2915" spans="1:6">
      <c r="A2915" t="s">
        <v>8699</v>
      </c>
      <c r="B2915" t="s">
        <v>8700</v>
      </c>
      <c r="C2915" t="s">
        <v>8701</v>
      </c>
      <c r="D2915" t="str">
        <f>HYPERLINK("https://github.com/fossasia/phimpme-android/issues/984","show")</f>
        <v>show</v>
      </c>
      <c r="E2915" t="str">
        <f>HYPERLINK("https://github.com/fossasia/phimpme-android","show")</f>
        <v>show</v>
      </c>
      <c r="F2915" t="str">
        <f>HYPERLINK("https://github.com/fossasia/phimpme-android/releases","show")</f>
        <v>show</v>
      </c>
    </row>
    <row r="2916" spans="1:6">
      <c r="A2916" t="s">
        <v>8702</v>
      </c>
      <c r="B2916" t="s">
        <v>8703</v>
      </c>
      <c r="C2916" t="s">
        <v>8704</v>
      </c>
      <c r="D2916" t="str">
        <f>HYPERLINK("https://github.com/tanrabad/survey/issues/35","show")</f>
        <v>show</v>
      </c>
      <c r="E2916" t="str">
        <f>HYPERLINK("https://github.com/tanrabad/survey","show")</f>
        <v>show</v>
      </c>
      <c r="F2916" t="str">
        <f>HYPERLINK("https://github.com/tanrabad/survey/releases","show")</f>
        <v>show</v>
      </c>
    </row>
    <row r="2917" spans="1:6">
      <c r="A2917" t="s">
        <v>8705</v>
      </c>
      <c r="B2917" t="s">
        <v>8706</v>
      </c>
      <c r="C2917" t="s">
        <v>8707</v>
      </c>
      <c r="D2917" t="str">
        <f>HYPERLINK("https://github.com/no131614/Spion-C/issues/1","show")</f>
        <v>show</v>
      </c>
      <c r="E2917" t="str">
        <f>HYPERLINK("https://github.com/no131614/Spion-C","show")</f>
        <v>show</v>
      </c>
      <c r="F2917" t="str">
        <f>HYPERLINK("https://github.com/no131614/Spion-C/releases","show")</f>
        <v>show</v>
      </c>
    </row>
    <row r="2918" spans="1:6">
      <c r="A2918" t="s">
        <v>8708</v>
      </c>
      <c r="B2918" t="s">
        <v>8709</v>
      </c>
      <c r="C2918" t="s">
        <v>8710</v>
      </c>
      <c r="D2918" t="str">
        <f>HYPERLINK("https://github.com/square/okhttp/issues/3514","show")</f>
        <v>show</v>
      </c>
      <c r="E2918" t="str">
        <f>HYPERLINK("https://github.com/square/okhttp","show")</f>
        <v>show</v>
      </c>
      <c r="F2918" t="str">
        <f>HYPERLINK("https://github.com/square/okhttp/releases","show")</f>
        <v>show</v>
      </c>
    </row>
    <row r="2919" spans="1:6">
      <c r="A2919" t="s">
        <v>8711</v>
      </c>
      <c r="B2919" t="s">
        <v>8712</v>
      </c>
      <c r="C2919" t="s">
        <v>8713</v>
      </c>
      <c r="D2919" t="str">
        <f>HYPERLINK("https://github.com/d4rken/reddit-android-appstore/issues/124","show")</f>
        <v>show</v>
      </c>
      <c r="E2919" t="str">
        <f>HYPERLINK("https://github.com/d4rken/reddit-android-appstore","show")</f>
        <v>show</v>
      </c>
      <c r="F2919" t="str">
        <f>HYPERLINK("https://github.com/d4rken/reddit-android-appstore/releases","show")</f>
        <v>show</v>
      </c>
    </row>
    <row r="2920" spans="1:6">
      <c r="A2920" t="s">
        <v>8714</v>
      </c>
      <c r="B2920" t="s">
        <v>8715</v>
      </c>
      <c r="C2920" t="s">
        <v>8716</v>
      </c>
      <c r="D2920" t="str">
        <f>HYPERLINK("https://github.com/novoda/merlin/issues/148","show")</f>
        <v>show</v>
      </c>
      <c r="E2920" t="str">
        <f>HYPERLINK("https://github.com/novoda/merlin","show")</f>
        <v>show</v>
      </c>
      <c r="F2920" t="str">
        <f>HYPERLINK("https://github.com/novoda/merlin/releases","show")</f>
        <v>show</v>
      </c>
    </row>
    <row r="2921" spans="1:6">
      <c r="A2921" t="s">
        <v>8717</v>
      </c>
      <c r="B2921" t="s">
        <v>8718</v>
      </c>
      <c r="C2921" t="s">
        <v>8719</v>
      </c>
      <c r="D2921" t="str">
        <f>HYPERLINK("https://github.com/novoda/merlin/issues/146","show")</f>
        <v>show</v>
      </c>
      <c r="E2921" t="str">
        <f>HYPERLINK("https://github.com/novoda/merlin","show")</f>
        <v>show</v>
      </c>
      <c r="F2921" t="str">
        <f>HYPERLINK("https://github.com/novoda/merlin/releases","show")</f>
        <v>show</v>
      </c>
    </row>
    <row r="2922" spans="1:6">
      <c r="A2922" t="s">
        <v>8720</v>
      </c>
      <c r="B2922" t="s">
        <v>4460</v>
      </c>
      <c r="C2922" t="s">
        <v>8721</v>
      </c>
      <c r="D2922" t="str">
        <f>HYPERLINK("https://github.com/tanrabad/survey/issues/36","show")</f>
        <v>show</v>
      </c>
      <c r="E2922" t="str">
        <f>HYPERLINK("https://github.com/tanrabad/survey","show")</f>
        <v>show</v>
      </c>
      <c r="F2922" t="str">
        <f>HYPERLINK("https://github.com/tanrabad/survey/releases","show")</f>
        <v>show</v>
      </c>
    </row>
    <row r="2923" spans="1:6">
      <c r="A2923" t="s">
        <v>8722</v>
      </c>
      <c r="B2923" t="s">
        <v>8723</v>
      </c>
      <c r="C2923" t="s">
        <v>8724</v>
      </c>
      <c r="D2923" t="str">
        <f>HYPERLINK("https://github.com/getodk/collect/issues/1340","show")</f>
        <v>show</v>
      </c>
      <c r="E2923" t="str">
        <f>HYPERLINK("https://github.com/getodk/collect","show")</f>
        <v>show</v>
      </c>
      <c r="F2923" t="str">
        <f>HYPERLINK("https://github.com/getodk/collect/releases","show")</f>
        <v>show</v>
      </c>
    </row>
    <row r="2924" spans="1:6">
      <c r="A2924" t="s">
        <v>8725</v>
      </c>
      <c r="B2924" t="s">
        <v>8726</v>
      </c>
      <c r="C2924" t="s">
        <v>8727</v>
      </c>
      <c r="D2924" t="str">
        <f>HYPERLINK("https://github.com/bumptech/glide/issues/2237","show")</f>
        <v>show</v>
      </c>
      <c r="E2924" t="str">
        <f>HYPERLINK("https://github.com/bumptech/glide","show")</f>
        <v>show</v>
      </c>
      <c r="F2924" t="str">
        <f>HYPERLINK("https://github.com/bumptech/glide/releases","show")</f>
        <v>show</v>
      </c>
    </row>
    <row r="2925" spans="1:6">
      <c r="A2925" t="s">
        <v>8728</v>
      </c>
      <c r="B2925" t="s">
        <v>8729</v>
      </c>
      <c r="C2925" t="s">
        <v>8730</v>
      </c>
      <c r="D2925" t="str">
        <f>HYPERLINK("https://github.com/nextcloud/android/issues/1316","show")</f>
        <v>show</v>
      </c>
      <c r="E2925" t="str">
        <f>HYPERLINK("https://github.com/nextcloud/android","show")</f>
        <v>show</v>
      </c>
      <c r="F2925" t="str">
        <f>HYPERLINK("https://github.com/nextcloud/android/releases","show")</f>
        <v>show</v>
      </c>
    </row>
    <row r="2926" spans="1:6">
      <c r="A2926" t="s">
        <v>8731</v>
      </c>
      <c r="B2926" t="s">
        <v>8732</v>
      </c>
      <c r="C2926" t="s">
        <v>8733</v>
      </c>
      <c r="D2926" t="str">
        <f>HYPERLINK("https://github.com/fossasia/phimpme-android/issues/1005","show")</f>
        <v>show</v>
      </c>
      <c r="E2926" t="str">
        <f>HYPERLINK("https://github.com/fossasia/phimpme-android","show")</f>
        <v>show</v>
      </c>
      <c r="F2926" t="str">
        <f>HYPERLINK("https://github.com/fossasia/phimpme-android/releases","show")</f>
        <v>show</v>
      </c>
    </row>
    <row r="2927" spans="1:6">
      <c r="A2927" t="s">
        <v>8734</v>
      </c>
      <c r="B2927" t="s">
        <v>8735</v>
      </c>
      <c r="C2927" t="s">
        <v>8736</v>
      </c>
      <c r="D2927" t="str">
        <f>HYPERLINK("https://github.com/timusus/Shuttle/issues/121","show")</f>
        <v>show</v>
      </c>
      <c r="E2927" t="str">
        <f>HYPERLINK("https://github.com/timusus/Shuttle","show")</f>
        <v>show</v>
      </c>
      <c r="F2927" t="str">
        <f>HYPERLINK("https://github.com/timusus/Shuttle/releases","show")</f>
        <v>show</v>
      </c>
    </row>
    <row r="2928" spans="1:6">
      <c r="A2928" t="s">
        <v>8737</v>
      </c>
      <c r="B2928" t="s">
        <v>8738</v>
      </c>
      <c r="C2928" t="s">
        <v>8739</v>
      </c>
      <c r="D2928" t="str">
        <f>HYPERLINK("https://github.com/fossasia/phimpme-android/issues/1014","show")</f>
        <v>show</v>
      </c>
      <c r="E2928" t="str">
        <f>HYPERLINK("https://github.com/fossasia/phimpme-android","show")</f>
        <v>show</v>
      </c>
      <c r="F2928" t="str">
        <f>HYPERLINK("https://github.com/fossasia/phimpme-android/releases","show")</f>
        <v>show</v>
      </c>
    </row>
    <row r="2929" spans="1:6">
      <c r="A2929" t="s">
        <v>8740</v>
      </c>
      <c r="B2929" t="s">
        <v>8741</v>
      </c>
      <c r="C2929" t="s">
        <v>8742</v>
      </c>
      <c r="D2929" t="str">
        <f>HYPERLINK("https://github.com/cgeo/cgeo/issues/6681","show")</f>
        <v>show</v>
      </c>
      <c r="E2929" t="str">
        <f>HYPERLINK("https://github.com/cgeo/cgeo","show")</f>
        <v>show</v>
      </c>
      <c r="F2929" t="str">
        <f>HYPERLINK("https://github.com/cgeo/cgeo/releases","show")</f>
        <v>show</v>
      </c>
    </row>
    <row r="2930" spans="1:6">
      <c r="A2930" t="s">
        <v>8743</v>
      </c>
      <c r="B2930" t="s">
        <v>8744</v>
      </c>
      <c r="C2930" t="s">
        <v>8745</v>
      </c>
      <c r="D2930" t="str">
        <f>HYPERLINK("https://github.com/vestrel00/android-dagger-butterknife-mvp/issues/46","show")</f>
        <v>show</v>
      </c>
      <c r="E2930" t="str">
        <f>HYPERLINK("https://github.com/vestrel00/android-dagger-butterknife-mvp","show")</f>
        <v>show</v>
      </c>
      <c r="F2930" t="str">
        <f>HYPERLINK("https://github.com/vestrel00/android-dagger-butterknife-mvp/releases","show")</f>
        <v>show</v>
      </c>
    </row>
    <row r="2931" spans="1:6">
      <c r="A2931" t="s">
        <v>8746</v>
      </c>
      <c r="B2931" t="s">
        <v>8747</v>
      </c>
      <c r="C2931" t="s">
        <v>8748</v>
      </c>
      <c r="D2931" t="str">
        <f>HYPERLINK("https://github.com/CityZenApp/AndroidApp/issues/3","show")</f>
        <v>show</v>
      </c>
      <c r="E2931" t="str">
        <f>HYPERLINK("https://github.com/CityZenApp/AndroidApp","show")</f>
        <v>show</v>
      </c>
      <c r="F2931" t="str">
        <f>HYPERLINK("https://github.com/CityZenApp/AndroidApp/releases","show")</f>
        <v>show</v>
      </c>
    </row>
    <row r="2932" spans="1:6">
      <c r="A2932" t="s">
        <v>8749</v>
      </c>
      <c r="B2932" t="s">
        <v>8750</v>
      </c>
      <c r="C2932" t="s">
        <v>8751</v>
      </c>
      <c r="D2932" t="str">
        <f>HYPERLINK("https://github.com/fossasia/phimpme-android/issues/1021","show")</f>
        <v>show</v>
      </c>
      <c r="E2932" t="str">
        <f>HYPERLINK("https://github.com/fossasia/phimpme-android","show")</f>
        <v>show</v>
      </c>
      <c r="F2932" t="str">
        <f>HYPERLINK("https://github.com/fossasia/phimpme-android/releases","show")</f>
        <v>show</v>
      </c>
    </row>
    <row r="2933" spans="1:6">
      <c r="A2933" t="s">
        <v>8752</v>
      </c>
      <c r="B2933" t="s">
        <v>8753</v>
      </c>
      <c r="C2933" t="s">
        <v>8754</v>
      </c>
      <c r="D2933" t="str">
        <f>HYPERLINK("https://github.com/segler-alex/RadioDroid/issues/157","show")</f>
        <v>show</v>
      </c>
      <c r="E2933" t="str">
        <f>HYPERLINK("https://github.com/segler-alex/RadioDroid","show")</f>
        <v>show</v>
      </c>
      <c r="F2933" t="str">
        <f>HYPERLINK("https://github.com/segler-alex/RadioDroid/releases","show")</f>
        <v>show</v>
      </c>
    </row>
    <row r="2934" spans="1:6">
      <c r="A2934" t="s">
        <v>8755</v>
      </c>
      <c r="B2934" t="s">
        <v>8756</v>
      </c>
      <c r="C2934" t="s">
        <v>8757</v>
      </c>
      <c r="D2934" t="str">
        <f>HYPERLINK("https://github.com/nextcloud/android/issues/1347","show")</f>
        <v>show</v>
      </c>
      <c r="E2934" t="str">
        <f>HYPERLINK("https://github.com/nextcloud/android","show")</f>
        <v>show</v>
      </c>
      <c r="F2934" t="str">
        <f>HYPERLINK("https://github.com/nextcloud/android/releases","show")</f>
        <v>show</v>
      </c>
    </row>
    <row r="2935" spans="1:6">
      <c r="A2935" t="s">
        <v>8758</v>
      </c>
      <c r="B2935" t="s">
        <v>8759</v>
      </c>
      <c r="C2935" t="s">
        <v>8760</v>
      </c>
      <c r="D2935" t="str">
        <f>HYPERLINK("https://github.com/OpenLauncherTeam/openlauncher/issues/220","show")</f>
        <v>show</v>
      </c>
      <c r="E2935" t="str">
        <f>HYPERLINK("https://github.com/OpenLauncherTeam/openlauncher","show")</f>
        <v>show</v>
      </c>
      <c r="F2935" t="str">
        <f>HYPERLINK("https://github.com/OpenLauncherTeam/openlauncher/releases","show")</f>
        <v>show</v>
      </c>
    </row>
    <row r="2936" spans="1:6">
      <c r="A2936" t="s">
        <v>8761</v>
      </c>
      <c r="B2936" t="s">
        <v>8762</v>
      </c>
      <c r="C2936" t="s">
        <v>8763</v>
      </c>
      <c r="D2936" t="str">
        <f>HYPERLINK("https://github.com/fossasia/phimpme-android/issues/1032","show")</f>
        <v>show</v>
      </c>
      <c r="E2936" t="str">
        <f>HYPERLINK("https://github.com/fossasia/phimpme-android","show")</f>
        <v>show</v>
      </c>
      <c r="F2936" t="str">
        <f>HYPERLINK("https://github.com/fossasia/phimpme-android/releases","show")</f>
        <v>show</v>
      </c>
    </row>
    <row r="2937" spans="1:6">
      <c r="A2937" t="s">
        <v>8764</v>
      </c>
      <c r="B2937" t="s">
        <v>8765</v>
      </c>
      <c r="C2937" t="s">
        <v>8766</v>
      </c>
      <c r="D2937" t="str">
        <f>HYPERLINK("https://github.com/uDevel/widgetlab/issues/8","show")</f>
        <v>show</v>
      </c>
      <c r="E2937" t="str">
        <f>HYPERLINK("https://github.com/uDevel/widgetlab","show")</f>
        <v>show</v>
      </c>
      <c r="F2937" t="str">
        <f>HYPERLINK("https://github.com/uDevel/widgetlab/releases","show")</f>
        <v>show</v>
      </c>
    </row>
    <row r="2938" spans="1:6">
      <c r="A2938" t="s">
        <v>8767</v>
      </c>
      <c r="B2938" t="s">
        <v>8768</v>
      </c>
      <c r="C2938" t="s">
        <v>8769</v>
      </c>
      <c r="D2938" t="str">
        <f>HYPERLINK("https://github.com/getodk/collect/issues/1351","show")</f>
        <v>show</v>
      </c>
      <c r="E2938" t="str">
        <f>HYPERLINK("https://github.com/getodk/collect","show")</f>
        <v>show</v>
      </c>
      <c r="F2938" t="str">
        <f>HYPERLINK("https://github.com/getodk/collect/releases","show")</f>
        <v>show</v>
      </c>
    </row>
    <row r="2939" spans="1:6">
      <c r="A2939" t="s">
        <v>8770</v>
      </c>
      <c r="B2939" t="s">
        <v>8771</v>
      </c>
      <c r="C2939" t="s">
        <v>8772</v>
      </c>
      <c r="D2939" t="str">
        <f>HYPERLINK("https://github.com/getodk/collect/issues/1350","show")</f>
        <v>show</v>
      </c>
      <c r="E2939" t="str">
        <f>HYPERLINK("https://github.com/getodk/collect","show")</f>
        <v>show</v>
      </c>
      <c r="F2939" t="str">
        <f>HYPERLINK("https://github.com/getodk/collect/releases","show")</f>
        <v>show</v>
      </c>
    </row>
    <row r="2940" spans="1:6">
      <c r="A2940" t="s">
        <v>8773</v>
      </c>
      <c r="B2940" t="s">
        <v>8774</v>
      </c>
      <c r="C2940" t="s">
        <v>8775</v>
      </c>
      <c r="D2940" t="str">
        <f>HYPERLINK("https://github.com/nextcloud/android/issues/1365","show")</f>
        <v>show</v>
      </c>
      <c r="E2940" t="str">
        <f>HYPERLINK("https://github.com/nextcloud/android","show")</f>
        <v>show</v>
      </c>
      <c r="F2940" t="str">
        <f>HYPERLINK("https://github.com/nextcloud/android/releases","show")</f>
        <v>show</v>
      </c>
    </row>
    <row r="2941" spans="1:6">
      <c r="A2941" t="s">
        <v>8776</v>
      </c>
      <c r="B2941" t="s">
        <v>8777</v>
      </c>
      <c r="C2941" t="s">
        <v>8778</v>
      </c>
      <c r="D2941" t="str">
        <f>HYPERLINK("https://github.com/nextcloud/android/issues/1364","show")</f>
        <v>show</v>
      </c>
      <c r="E2941" t="str">
        <f>HYPERLINK("https://github.com/nextcloud/android","show")</f>
        <v>show</v>
      </c>
      <c r="F2941" t="str">
        <f>HYPERLINK("https://github.com/nextcloud/android/releases","show")</f>
        <v>show</v>
      </c>
    </row>
    <row r="2942" spans="1:6">
      <c r="A2942" t="s">
        <v>8779</v>
      </c>
      <c r="B2942" t="s">
        <v>8780</v>
      </c>
      <c r="C2942" t="s">
        <v>8781</v>
      </c>
      <c r="D2942" t="str">
        <f>HYPERLINK("https://github.com/ZieIony/Carbon/issues/316","show")</f>
        <v>show</v>
      </c>
      <c r="E2942" t="str">
        <f>HYPERLINK("https://github.com/ZieIony/Carbon","show")</f>
        <v>show</v>
      </c>
      <c r="F2942" t="str">
        <f>HYPERLINK("https://github.com/ZieIony/Carbon/releases","show")</f>
        <v>show</v>
      </c>
    </row>
    <row r="2943" spans="1:6">
      <c r="A2943" t="s">
        <v>8782</v>
      </c>
      <c r="B2943" t="s">
        <v>8783</v>
      </c>
      <c r="C2943" t="s">
        <v>8784</v>
      </c>
      <c r="D2943" t="str">
        <f>HYPERLINK("https://github.com/getodk/collect/issues/1357","show")</f>
        <v>show</v>
      </c>
      <c r="E2943" t="str">
        <f>HYPERLINK("https://github.com/getodk/collect","show")</f>
        <v>show</v>
      </c>
      <c r="F2943" t="str">
        <f>HYPERLINK("https://github.com/getodk/collect/releases","show")</f>
        <v>show</v>
      </c>
    </row>
    <row r="2944" spans="1:6">
      <c r="A2944" t="s">
        <v>8785</v>
      </c>
      <c r="B2944" t="s">
        <v>8786</v>
      </c>
      <c r="C2944" t="s">
        <v>8787</v>
      </c>
      <c r="D2944" t="str">
        <f>HYPERLINK("https://github.com/bumptech/glide/issues/2262","show")</f>
        <v>show</v>
      </c>
      <c r="E2944" t="str">
        <f>HYPERLINK("https://github.com/bumptech/glide","show")</f>
        <v>show</v>
      </c>
      <c r="F2944" t="str">
        <f>HYPERLINK("https://github.com/bumptech/glide/releases","show")</f>
        <v>show</v>
      </c>
    </row>
    <row r="2945" spans="1:6">
      <c r="A2945" t="s">
        <v>8788</v>
      </c>
      <c r="B2945" t="s">
        <v>8789</v>
      </c>
      <c r="C2945" t="s">
        <v>8790</v>
      </c>
      <c r="D2945" t="str">
        <f>HYPERLINK("https://github.com/square/okhttp/issues/3530","show")</f>
        <v>show</v>
      </c>
      <c r="E2945" t="str">
        <f>HYPERLINK("https://github.com/square/okhttp","show")</f>
        <v>show</v>
      </c>
      <c r="F2945" t="str">
        <f>HYPERLINK("https://github.com/square/okhttp/releases","show")</f>
        <v>show</v>
      </c>
    </row>
    <row r="2946" spans="1:6">
      <c r="A2946" t="s">
        <v>8791</v>
      </c>
      <c r="B2946" t="s">
        <v>8792</v>
      </c>
      <c r="C2946" t="s">
        <v>8793</v>
      </c>
      <c r="D2946" t="str">
        <f>HYPERLINK("https://github.com/fossasia/phimpme-android/issues/1046","show")</f>
        <v>show</v>
      </c>
      <c r="E2946" t="str">
        <f>HYPERLINK("https://github.com/fossasia/phimpme-android","show")</f>
        <v>show</v>
      </c>
      <c r="F2946" t="str">
        <f>HYPERLINK("https://github.com/fossasia/phimpme-android/releases","show")</f>
        <v>show</v>
      </c>
    </row>
    <row r="2947" spans="1:6">
      <c r="A2947" t="s">
        <v>8794</v>
      </c>
      <c r="B2947" t="s">
        <v>8795</v>
      </c>
      <c r="C2947" t="s">
        <v>8796</v>
      </c>
      <c r="D2947" t="str">
        <f>HYPERLINK("https://github.com/Etar-Group/Etar-Calendar/issues/248","show")</f>
        <v>show</v>
      </c>
      <c r="E2947" t="str">
        <f>HYPERLINK("https://github.com/Etar-Group/Etar-Calendar","show")</f>
        <v>show</v>
      </c>
      <c r="F2947" t="str">
        <f>HYPERLINK("https://github.com/Etar-Group/Etar-Calendar/releases","show")</f>
        <v>show</v>
      </c>
    </row>
    <row r="2948" spans="1:6">
      <c r="A2948" t="s">
        <v>8797</v>
      </c>
      <c r="B2948" t="s">
        <v>8798</v>
      </c>
      <c r="C2948" t="s">
        <v>8799</v>
      </c>
      <c r="D2948" t="str">
        <f>HYPERLINK("https://github.com/timusus/Shuttle/issues/126","show")</f>
        <v>show</v>
      </c>
      <c r="E2948" t="str">
        <f>HYPERLINK("https://github.com/timusus/Shuttle","show")</f>
        <v>show</v>
      </c>
      <c r="F2948" t="str">
        <f>HYPERLINK("https://github.com/timusus/Shuttle/releases","show")</f>
        <v>show</v>
      </c>
    </row>
    <row r="2949" spans="1:6">
      <c r="A2949" t="s">
        <v>8800</v>
      </c>
      <c r="B2949" t="s">
        <v>8801</v>
      </c>
      <c r="C2949" t="s">
        <v>8802</v>
      </c>
      <c r="D2949" t="str">
        <f>HYPERLINK("https://github.com/pwittchen/ReactiveNetwork/issues/209","show")</f>
        <v>show</v>
      </c>
      <c r="E2949" t="str">
        <f>HYPERLINK("https://github.com/pwittchen/ReactiveNetwork","show")</f>
        <v>show</v>
      </c>
      <c r="F2949" t="str">
        <f>HYPERLINK("https://github.com/pwittchen/ReactiveNetwork/releases","show")</f>
        <v>show</v>
      </c>
    </row>
    <row r="2950" spans="1:6">
      <c r="A2950" t="s">
        <v>8803</v>
      </c>
      <c r="B2950" t="s">
        <v>8804</v>
      </c>
      <c r="C2950" t="s">
        <v>8805</v>
      </c>
      <c r="D2950" t="str">
        <f>HYPERLINK("https://github.com/fossasia/phimpme-android/issues/1063","show")</f>
        <v>show</v>
      </c>
      <c r="E2950" t="str">
        <f>HYPERLINK("https://github.com/fossasia/phimpme-android","show")</f>
        <v>show</v>
      </c>
      <c r="F2950" t="str">
        <f>HYPERLINK("https://github.com/fossasia/phimpme-android/releases","show")</f>
        <v>show</v>
      </c>
    </row>
    <row r="2951" spans="1:6">
      <c r="A2951" t="s">
        <v>8806</v>
      </c>
      <c r="B2951" t="s">
        <v>8807</v>
      </c>
      <c r="C2951" t="s">
        <v>8808</v>
      </c>
      <c r="D2951" t="str">
        <f>HYPERLINK("https://github.com/getodk/collect/issues/1362","show")</f>
        <v>show</v>
      </c>
      <c r="E2951" t="str">
        <f>HYPERLINK("https://github.com/getodk/collect","show")</f>
        <v>show</v>
      </c>
      <c r="F2951" t="str">
        <f>HYPERLINK("https://github.com/getodk/collect/releases","show")</f>
        <v>show</v>
      </c>
    </row>
    <row r="2952" spans="1:6">
      <c r="A2952" t="s">
        <v>8809</v>
      </c>
      <c r="B2952" t="s">
        <v>8810</v>
      </c>
      <c r="C2952" t="s">
        <v>8811</v>
      </c>
      <c r="D2952" t="str">
        <f>HYPERLINK("https://github.com/nilsbraden/ttrss-reader-fork/issues/346","show")</f>
        <v>show</v>
      </c>
      <c r="E2952" t="str">
        <f>HYPERLINK("https://github.com/nilsbraden/ttrss-reader-fork","show")</f>
        <v>show</v>
      </c>
      <c r="F2952" t="str">
        <f>HYPERLINK("https://github.com/nilsbraden/ttrss-reader-fork/releases","show")</f>
        <v>show</v>
      </c>
    </row>
    <row r="2953" spans="1:6">
      <c r="A2953" t="s">
        <v>8812</v>
      </c>
      <c r="B2953" t="s">
        <v>8813</v>
      </c>
      <c r="C2953" t="s">
        <v>8814</v>
      </c>
      <c r="D2953" t="str">
        <f>HYPERLINK("https://github.com/RestComm/restcomm-android-sdk/issues/679","show")</f>
        <v>show</v>
      </c>
      <c r="E2953" t="str">
        <f>HYPERLINK("https://github.com/RestComm/restcomm-android-sdk","show")</f>
        <v>show</v>
      </c>
      <c r="F2953" t="str">
        <f>HYPERLINK("https://github.com/RestComm/restcomm-android-sdk/releases","show")</f>
        <v>show</v>
      </c>
    </row>
    <row r="2954" spans="1:6">
      <c r="A2954" t="s">
        <v>8815</v>
      </c>
      <c r="B2954" t="s">
        <v>8816</v>
      </c>
      <c r="C2954" t="s">
        <v>8817</v>
      </c>
      <c r="D2954" t="str">
        <f>HYPERLINK("https://github.com/kontalk/androidclient/issues/1046","show")</f>
        <v>show</v>
      </c>
      <c r="E2954" t="str">
        <f>HYPERLINK("https://github.com/kontalk/androidclient","show")</f>
        <v>show</v>
      </c>
      <c r="F2954" t="str">
        <f>HYPERLINK("https://github.com/kontalk/androidclient/releases","show")</f>
        <v>show</v>
      </c>
    </row>
    <row r="2955" spans="1:6">
      <c r="A2955" t="s">
        <v>8818</v>
      </c>
      <c r="B2955" t="s">
        <v>8819</v>
      </c>
      <c r="C2955" t="s">
        <v>8820</v>
      </c>
      <c r="D2955" t="str">
        <f>HYPERLINK("https://github.com/Maxr1998/MaxLock/issues/113","show")</f>
        <v>show</v>
      </c>
      <c r="E2955" t="str">
        <f>HYPERLINK("https://github.com/Maxr1998/MaxLock","show")</f>
        <v>show</v>
      </c>
      <c r="F2955" t="str">
        <f>HYPERLINK("https://github.com/Maxr1998/MaxLock/releases","show")</f>
        <v>show</v>
      </c>
    </row>
    <row r="2956" spans="1:6">
      <c r="A2956" t="s">
        <v>8821</v>
      </c>
      <c r="B2956" t="s">
        <v>8822</v>
      </c>
      <c r="C2956" t="s">
        <v>8823</v>
      </c>
      <c r="D2956" t="str">
        <f>HYPERLINK("https://github.com/timusus/Shuttle/issues/146","show")</f>
        <v>show</v>
      </c>
      <c r="E2956" t="str">
        <f>HYPERLINK("https://github.com/timusus/Shuttle","show")</f>
        <v>show</v>
      </c>
      <c r="F2956" t="str">
        <f>HYPERLINK("https://github.com/timusus/Shuttle/releases","show")</f>
        <v>show</v>
      </c>
    </row>
    <row r="2957" spans="1:6">
      <c r="A2957" t="s">
        <v>8824</v>
      </c>
      <c r="B2957" t="s">
        <v>8825</v>
      </c>
      <c r="C2957" t="s">
        <v>8826</v>
      </c>
      <c r="D2957" t="str">
        <f>HYPERLINK("https://github.com/nextcloud/android/issues/1386","show")</f>
        <v>show</v>
      </c>
      <c r="E2957" t="str">
        <f>HYPERLINK("https://github.com/nextcloud/android","show")</f>
        <v>show</v>
      </c>
      <c r="F2957" t="str">
        <f>HYPERLINK("https://github.com/nextcloud/android/releases","show")</f>
        <v>show</v>
      </c>
    </row>
    <row r="2958" spans="1:6">
      <c r="A2958" t="s">
        <v>8827</v>
      </c>
      <c r="B2958" t="s">
        <v>8828</v>
      </c>
      <c r="C2958" t="s">
        <v>8829</v>
      </c>
      <c r="D2958" t="str">
        <f>HYPERLINK("https://github.com/testpress/android-sdk/issues/50","show")</f>
        <v>show</v>
      </c>
      <c r="E2958" t="str">
        <f>HYPERLINK("https://github.com/testpress/android-sdk","show")</f>
        <v>show</v>
      </c>
      <c r="F2958" t="str">
        <f>HYPERLINK("https://github.com/testpress/android-sdk/releases","show")</f>
        <v>show</v>
      </c>
    </row>
    <row r="2959" spans="1:6">
      <c r="A2959" t="s">
        <v>8830</v>
      </c>
      <c r="B2959" t="s">
        <v>8828</v>
      </c>
      <c r="C2959" t="s">
        <v>8831</v>
      </c>
      <c r="D2959" t="str">
        <f>HYPERLINK("https://github.com/testpress/android-sdk/issues/49","show")</f>
        <v>show</v>
      </c>
      <c r="E2959" t="str">
        <f>HYPERLINK("https://github.com/testpress/android-sdk","show")</f>
        <v>show</v>
      </c>
      <c r="F2959" t="str">
        <f>HYPERLINK("https://github.com/testpress/android-sdk/releases","show")</f>
        <v>show</v>
      </c>
    </row>
    <row r="2960" spans="1:6">
      <c r="A2960" t="s">
        <v>8832</v>
      </c>
      <c r="B2960" t="s">
        <v>8833</v>
      </c>
      <c r="C2960" t="s">
        <v>8834</v>
      </c>
      <c r="D2960" t="str">
        <f>HYPERLINK("https://github.com/chat-sdk/chat-sdk-android/issues/132","show")</f>
        <v>show</v>
      </c>
      <c r="E2960" t="str">
        <f>HYPERLINK("https://github.com/chat-sdk/chat-sdk-android","show")</f>
        <v>show</v>
      </c>
      <c r="F2960" t="str">
        <f>HYPERLINK("https://github.com/chat-sdk/chat-sdk-android/releases","show")</f>
        <v>show</v>
      </c>
    </row>
    <row r="2961" spans="1:6">
      <c r="A2961" t="s">
        <v>8835</v>
      </c>
      <c r="B2961" t="s">
        <v>8836</v>
      </c>
      <c r="C2961" t="s">
        <v>8837</v>
      </c>
      <c r="D2961" t="str">
        <f>HYPERLINK("https://github.com/nextcloud/android/issues/1401","show")</f>
        <v>show</v>
      </c>
      <c r="E2961" t="str">
        <f>HYPERLINK("https://github.com/nextcloud/android","show")</f>
        <v>show</v>
      </c>
      <c r="F2961" t="str">
        <f>HYPERLINK("https://github.com/nextcloud/android/releases","show")</f>
        <v>show</v>
      </c>
    </row>
    <row r="2962" spans="1:6">
      <c r="A2962" t="s">
        <v>8838</v>
      </c>
      <c r="B2962" t="s">
        <v>8839</v>
      </c>
      <c r="C2962" t="s">
        <v>8840</v>
      </c>
      <c r="D2962" t="str">
        <f>HYPERLINK("https://github.com/nextcloud/android/issues/1400","show")</f>
        <v>show</v>
      </c>
      <c r="E2962" t="str">
        <f>HYPERLINK("https://github.com/nextcloud/android","show")</f>
        <v>show</v>
      </c>
      <c r="F2962" t="str">
        <f>HYPERLINK("https://github.com/nextcloud/android/releases","show")</f>
        <v>show</v>
      </c>
    </row>
    <row r="2963" spans="1:6">
      <c r="A2963" t="s">
        <v>8841</v>
      </c>
      <c r="B2963" t="s">
        <v>4460</v>
      </c>
      <c r="C2963" t="s">
        <v>8842</v>
      </c>
      <c r="D2963" t="str">
        <f>HYPERLINK("https://github.com/tanrabad/survey/issues/37","show")</f>
        <v>show</v>
      </c>
      <c r="E2963" t="str">
        <f>HYPERLINK("https://github.com/tanrabad/survey","show")</f>
        <v>show</v>
      </c>
      <c r="F2963" t="str">
        <f>HYPERLINK("https://github.com/tanrabad/survey/releases","show")</f>
        <v>show</v>
      </c>
    </row>
    <row r="2964" spans="1:6">
      <c r="A2964" t="s">
        <v>8843</v>
      </c>
      <c r="B2964" t="s">
        <v>8844</v>
      </c>
      <c r="C2964" t="s">
        <v>8845</v>
      </c>
      <c r="D2964" t="str">
        <f>HYPERLINK("https://github.com/aurelhubert/ahbottomnavigation/issues/277","show")</f>
        <v>show</v>
      </c>
      <c r="E2964" t="str">
        <f>HYPERLINK("https://github.com/aurelhubert/ahbottomnavigation","show")</f>
        <v>show</v>
      </c>
      <c r="F2964" t="str">
        <f>HYPERLINK("https://github.com/aurelhubert/ahbottomnavigation/releases","show")</f>
        <v>show</v>
      </c>
    </row>
    <row r="2965" spans="1:6">
      <c r="A2965" t="s">
        <v>8846</v>
      </c>
      <c r="B2965" t="s">
        <v>8847</v>
      </c>
      <c r="C2965" t="s">
        <v>8848</v>
      </c>
      <c r="D2965" t="str">
        <f>HYPERLINK("https://github.com/thiagoprochnow/carteiradeativos/issues/133","show")</f>
        <v>show</v>
      </c>
      <c r="E2965" t="str">
        <f>HYPERLINK("https://github.com/thiagoprochnow/carteiradeativos","show")</f>
        <v>show</v>
      </c>
      <c r="F2965" t="str">
        <f>HYPERLINK("https://github.com/thiagoprochnow/carteiradeativos/releases","show")</f>
        <v>show</v>
      </c>
    </row>
    <row r="2966" spans="1:6">
      <c r="A2966" t="s">
        <v>8849</v>
      </c>
      <c r="B2966" t="s">
        <v>8850</v>
      </c>
      <c r="C2966" t="s">
        <v>8851</v>
      </c>
      <c r="D2966" t="str">
        <f>HYPERLINK("https://github.com/NeXT-Workshops/mindroid/issues/65","show")</f>
        <v>show</v>
      </c>
      <c r="E2966" t="str">
        <f>HYPERLINK("https://github.com/NeXT-Workshops/mindroid","show")</f>
        <v>show</v>
      </c>
      <c r="F2966" t="str">
        <f>HYPERLINK("https://github.com/NeXT-Workshops/mindroid/releases","show")</f>
        <v>show</v>
      </c>
    </row>
    <row r="2967" spans="1:6">
      <c r="A2967" t="s">
        <v>8852</v>
      </c>
      <c r="B2967" t="s">
        <v>8853</v>
      </c>
      <c r="C2967" t="s">
        <v>8854</v>
      </c>
      <c r="D2967" t="str">
        <f>HYPERLINK("https://github.com/NeXT-Workshops/mindroid/issues/62","show")</f>
        <v>show</v>
      </c>
      <c r="E2967" t="str">
        <f>HYPERLINK("https://github.com/NeXT-Workshops/mindroid","show")</f>
        <v>show</v>
      </c>
      <c r="F2967" t="str">
        <f>HYPERLINK("https://github.com/NeXT-Workshops/mindroid/releases","show")</f>
        <v>show</v>
      </c>
    </row>
    <row r="2968" spans="1:6">
      <c r="A2968" t="s">
        <v>8855</v>
      </c>
      <c r="B2968" t="s">
        <v>8856</v>
      </c>
      <c r="C2968" t="s">
        <v>8857</v>
      </c>
      <c r="D2968" t="str">
        <f>HYPERLINK("https://github.com/ASU-CodeDevils/FlashCards/issues/13","show")</f>
        <v>show</v>
      </c>
      <c r="E2968" t="str">
        <f>HYPERLINK("https://github.com/ASU-CodeDevils/FlashCards","show")</f>
        <v>show</v>
      </c>
      <c r="F2968" t="str">
        <f>HYPERLINK("https://github.com/ASU-CodeDevils/FlashCards/releases","show")</f>
        <v>show</v>
      </c>
    </row>
    <row r="2969" spans="1:6">
      <c r="A2969" t="s">
        <v>8858</v>
      </c>
      <c r="B2969" t="s">
        <v>8859</v>
      </c>
      <c r="C2969" t="s">
        <v>8860</v>
      </c>
      <c r="D2969" t="str">
        <f>HYPERLINK("https://github.com/k9mail/k-9/issues/2708","show")</f>
        <v>show</v>
      </c>
      <c r="E2969" t="str">
        <f>HYPERLINK("https://github.com/k9mail/k-9","show")</f>
        <v>show</v>
      </c>
      <c r="F2969" t="str">
        <f>HYPERLINK("https://github.com/k9mail/k-9/releases","show")</f>
        <v>show</v>
      </c>
    </row>
    <row r="2970" spans="1:6">
      <c r="A2970" t="s">
        <v>8861</v>
      </c>
      <c r="B2970" t="s">
        <v>8862</v>
      </c>
      <c r="C2970" t="s">
        <v>8863</v>
      </c>
      <c r="D2970" t="str">
        <f>HYPERLINK("https://github.com/MiPushFramework/MiPushFramework/issues/9","show")</f>
        <v>show</v>
      </c>
      <c r="E2970" t="str">
        <f>HYPERLINK("https://github.com/MiPushFramework/MiPushFramework","show")</f>
        <v>show</v>
      </c>
      <c r="F2970" t="str">
        <f>HYPERLINK("https://github.com/MiPushFramework/MiPushFramework/releases","show")</f>
        <v>show</v>
      </c>
    </row>
    <row r="2971" spans="1:6">
      <c r="A2971" t="s">
        <v>8864</v>
      </c>
      <c r="B2971" t="s">
        <v>8865</v>
      </c>
      <c r="C2971" t="s">
        <v>8866</v>
      </c>
      <c r="D2971" t="str">
        <f>HYPERLINK("https://github.com/OneBusAway/onebusaway-android/issues/790","show")</f>
        <v>show</v>
      </c>
      <c r="E2971" t="str">
        <f>HYPERLINK("https://github.com/OneBusAway/onebusaway-android","show")</f>
        <v>show</v>
      </c>
      <c r="F2971" t="str">
        <f>HYPERLINK("https://github.com/OneBusAway/onebusaway-android/releases","show")</f>
        <v>show</v>
      </c>
    </row>
    <row r="2972" spans="1:6">
      <c r="A2972" t="s">
        <v>8867</v>
      </c>
      <c r="B2972" t="s">
        <v>8868</v>
      </c>
      <c r="C2972" t="s">
        <v>8869</v>
      </c>
      <c r="D2972" t="str">
        <f>HYPERLINK("https://github.com/zom/Zom-Android-XMPP/issues/293","show")</f>
        <v>show</v>
      </c>
      <c r="E2972" t="str">
        <f>HYPERLINK("https://github.com/zom/Zom-Android-XMPP","show")</f>
        <v>show</v>
      </c>
      <c r="F2972" t="str">
        <f>HYPERLINK("https://github.com/zom/Zom-Android-XMPP/releases","show")</f>
        <v>show</v>
      </c>
    </row>
    <row r="2973" spans="1:6">
      <c r="A2973" t="s">
        <v>8870</v>
      </c>
      <c r="B2973" t="s">
        <v>8871</v>
      </c>
      <c r="C2973" t="s">
        <v>8872</v>
      </c>
      <c r="D2973" t="str">
        <f>HYPERLINK("https://github.com/sockeqwe/mosby/issues/271","show")</f>
        <v>show</v>
      </c>
      <c r="E2973" t="str">
        <f>HYPERLINK("https://github.com/sockeqwe/mosby","show")</f>
        <v>show</v>
      </c>
      <c r="F2973" t="str">
        <f>HYPERLINK("https://github.com/sockeqwe/mosby/releases","show")</f>
        <v>show</v>
      </c>
    </row>
    <row r="2974" spans="1:6">
      <c r="A2974" t="s">
        <v>8873</v>
      </c>
      <c r="B2974" t="s">
        <v>8874</v>
      </c>
      <c r="C2974" t="s">
        <v>8875</v>
      </c>
      <c r="D2974" t="str">
        <f>HYPERLINK("https://github.com/permissions-dispatcher/PermissionsDispatcher/issues/356","show")</f>
        <v>show</v>
      </c>
      <c r="E2974" t="str">
        <f>HYPERLINK("https://github.com/permissions-dispatcher/PermissionsDispatcher","show")</f>
        <v>show</v>
      </c>
      <c r="F2974" t="str">
        <f>HYPERLINK("https://github.com/permissions-dispatcher/PermissionsDispatcher/releases","show")</f>
        <v>show</v>
      </c>
    </row>
    <row r="2975" spans="1:6">
      <c r="A2975" t="s">
        <v>8876</v>
      </c>
      <c r="B2975" t="s">
        <v>8877</v>
      </c>
      <c r="C2975" t="s">
        <v>8878</v>
      </c>
      <c r="D2975" t="str">
        <f>HYPERLINK("https://github.com/ankidroid/Anki-Android/issues/4691","show")</f>
        <v>show</v>
      </c>
      <c r="E2975" t="str">
        <f>HYPERLINK("https://github.com/ankidroid/Anki-Android","show")</f>
        <v>show</v>
      </c>
      <c r="F2975" t="str">
        <f>HYPERLINK("https://github.com/ankidroid/Anki-Android/releases","show")</f>
        <v>show</v>
      </c>
    </row>
    <row r="2976" spans="1:6">
      <c r="A2976" t="s">
        <v>8879</v>
      </c>
      <c r="B2976" t="s">
        <v>8880</v>
      </c>
      <c r="C2976" t="s">
        <v>8881</v>
      </c>
      <c r="D2976" t="str">
        <f>HYPERLINK("https://github.com/google/ExoPlayer/issues/3215","show")</f>
        <v>show</v>
      </c>
      <c r="E2976" t="str">
        <f>HYPERLINK("https://github.com/google/ExoPlayer","show")</f>
        <v>show</v>
      </c>
      <c r="F2976" t="str">
        <f>HYPERLINK("https://github.com/google/ExoPlayer/releases","show")</f>
        <v>show</v>
      </c>
    </row>
    <row r="2977" spans="1:6">
      <c r="A2977" t="s">
        <v>8882</v>
      </c>
      <c r="B2977" t="s">
        <v>8883</v>
      </c>
      <c r="C2977" t="s">
        <v>8884</v>
      </c>
      <c r="D2977" t="str">
        <f>HYPERLINK("https://github.com/OneBusAway/onebusaway-android/issues/791","show")</f>
        <v>show</v>
      </c>
      <c r="E2977" t="str">
        <f>HYPERLINK("https://github.com/OneBusAway/onebusaway-android","show")</f>
        <v>show</v>
      </c>
      <c r="F2977" t="str">
        <f>HYPERLINK("https://github.com/OneBusAway/onebusaway-android/releases","show")</f>
        <v>show</v>
      </c>
    </row>
    <row r="2978" spans="1:6">
      <c r="A2978" t="s">
        <v>8885</v>
      </c>
      <c r="B2978" t="s">
        <v>8886</v>
      </c>
      <c r="C2978" t="s">
        <v>8887</v>
      </c>
      <c r="D2978" t="str">
        <f>HYPERLINK("https://github.com/kontalk/androidclient/issues/1055","show")</f>
        <v>show</v>
      </c>
      <c r="E2978" t="str">
        <f>HYPERLINK("https://github.com/kontalk/androidclient","show")</f>
        <v>show</v>
      </c>
      <c r="F2978" t="str">
        <f>HYPERLINK("https://github.com/kontalk/androidclient/releases","show")</f>
        <v>show</v>
      </c>
    </row>
    <row r="2979" spans="1:6">
      <c r="A2979" t="s">
        <v>8888</v>
      </c>
      <c r="B2979" t="s">
        <v>8889</v>
      </c>
      <c r="C2979" t="s">
        <v>8890</v>
      </c>
      <c r="D2979" t="str">
        <f>HYPERLINK("https://github.com/ccrama/Slide/issues/2521","show")</f>
        <v>show</v>
      </c>
      <c r="E2979" t="str">
        <f>HYPERLINK("https://github.com/ccrama/Slide","show")</f>
        <v>show</v>
      </c>
      <c r="F2979" t="str">
        <f>HYPERLINK("https://github.com/ccrama/Slide/releases","show")</f>
        <v>show</v>
      </c>
    </row>
    <row r="2980" spans="1:6">
      <c r="A2980" t="s">
        <v>8891</v>
      </c>
      <c r="B2980" t="s">
        <v>8892</v>
      </c>
      <c r="C2980" t="s">
        <v>8893</v>
      </c>
      <c r="D2980" t="str">
        <f>HYPERLINK("https://github.com/DoubleSymmetry/react-native-track-player/issues/35","show")</f>
        <v>show</v>
      </c>
      <c r="E2980" t="str">
        <f>HYPERLINK("https://github.com/DoubleSymmetry/react-native-track-player","show")</f>
        <v>show</v>
      </c>
      <c r="F2980" t="str">
        <f>HYPERLINK("https://github.com/DoubleSymmetry/react-native-track-player/releases","show")</f>
        <v>show</v>
      </c>
    </row>
    <row r="2981" spans="1:6">
      <c r="A2981" t="s">
        <v>8894</v>
      </c>
      <c r="B2981" t="s">
        <v>8895</v>
      </c>
      <c r="C2981" t="s">
        <v>8896</v>
      </c>
      <c r="D2981" t="str">
        <f>HYPERLINK("https://github.com/NeXT-Workshops/mindroid/issues/81","show")</f>
        <v>show</v>
      </c>
      <c r="E2981" t="str">
        <f>HYPERLINK("https://github.com/NeXT-Workshops/mindroid","show")</f>
        <v>show</v>
      </c>
      <c r="F2981" t="str">
        <f>HYPERLINK("https://github.com/NeXT-Workshops/mindroid/releases","show")</f>
        <v>show</v>
      </c>
    </row>
    <row r="2982" spans="1:6">
      <c r="A2982" t="s">
        <v>8897</v>
      </c>
      <c r="B2982" t="s">
        <v>8898</v>
      </c>
      <c r="C2982" t="s">
        <v>8899</v>
      </c>
      <c r="D2982" t="str">
        <f>HYPERLINK("https://github.com/nextcloud/android/issues/1469","show")</f>
        <v>show</v>
      </c>
      <c r="E2982" t="str">
        <f>HYPERLINK("https://github.com/nextcloud/android","show")</f>
        <v>show</v>
      </c>
      <c r="F2982" t="str">
        <f>HYPERLINK("https://github.com/nextcloud/android/releases","show")</f>
        <v>show</v>
      </c>
    </row>
    <row r="2983" spans="1:6">
      <c r="A2983" t="s">
        <v>8900</v>
      </c>
      <c r="B2983" t="s">
        <v>4460</v>
      </c>
      <c r="C2983" t="s">
        <v>8901</v>
      </c>
      <c r="D2983" t="str">
        <f>HYPERLINK("https://github.com/tanrabad/survey/issues/38","show")</f>
        <v>show</v>
      </c>
      <c r="E2983" t="str">
        <f>HYPERLINK("https://github.com/tanrabad/survey","show")</f>
        <v>show</v>
      </c>
      <c r="F2983" t="str">
        <f>HYPERLINK("https://github.com/tanrabad/survey/releases","show")</f>
        <v>show</v>
      </c>
    </row>
    <row r="2984" spans="1:6">
      <c r="A2984" t="s">
        <v>8902</v>
      </c>
      <c r="B2984" t="s">
        <v>8903</v>
      </c>
      <c r="C2984" t="s">
        <v>8904</v>
      </c>
      <c r="D2984" t="str">
        <f>HYPERLINK("https://github.com/getodk/collect/issues/1393","show")</f>
        <v>show</v>
      </c>
      <c r="E2984" t="str">
        <f>HYPERLINK("https://github.com/getodk/collect","show")</f>
        <v>show</v>
      </c>
      <c r="F2984" t="str">
        <f>HYPERLINK("https://github.com/getodk/collect/releases","show")</f>
        <v>show</v>
      </c>
    </row>
    <row r="2985" spans="1:6">
      <c r="A2985" t="s">
        <v>8905</v>
      </c>
      <c r="B2985" t="s">
        <v>8906</v>
      </c>
      <c r="C2985" t="s">
        <v>8907</v>
      </c>
      <c r="D2985" t="str">
        <f>HYPERLINK("https://github.com/niclabs/adkintunmobile-androidclient/issues/180","show")</f>
        <v>show</v>
      </c>
      <c r="E2985" t="str">
        <f>HYPERLINK("https://github.com/niclabs/adkintunmobile-androidclient","show")</f>
        <v>show</v>
      </c>
      <c r="F2985" t="str">
        <f>HYPERLINK("https://github.com/niclabs/adkintunmobile-androidclient/releases","show")</f>
        <v>show</v>
      </c>
    </row>
    <row r="2986" spans="1:6">
      <c r="A2986" t="s">
        <v>8908</v>
      </c>
      <c r="B2986" t="s">
        <v>8909</v>
      </c>
      <c r="C2986" t="s">
        <v>8910</v>
      </c>
      <c r="D2986" t="str">
        <f>HYPERLINK("https://github.com/EnventureEnterprises/EnventureAndroid-MVP/issues/4","show")</f>
        <v>show</v>
      </c>
      <c r="E2986" t="str">
        <f>HYPERLINK("https://github.com/EnventureEnterprises/EnventureAndroid-MVP","show")</f>
        <v>show</v>
      </c>
      <c r="F2986" t="str">
        <f>HYPERLINK("https://github.com/EnventureEnterprises/EnventureAndroid-MVP/releases","show")</f>
        <v>show</v>
      </c>
    </row>
    <row r="2987" spans="1:6">
      <c r="A2987" t="s">
        <v>8911</v>
      </c>
      <c r="B2987" t="s">
        <v>8912</v>
      </c>
      <c r="C2987" t="s">
        <v>8913</v>
      </c>
      <c r="D2987" t="str">
        <f>HYPERLINK("https://github.com/jruesga/PhotoPhase/issues/32","show")</f>
        <v>show</v>
      </c>
      <c r="E2987" t="str">
        <f>HYPERLINK("https://github.com/jruesga/PhotoPhase","show")</f>
        <v>show</v>
      </c>
      <c r="F2987" t="str">
        <f>HYPERLINK("https://github.com/jruesga/PhotoPhase/releases","show")</f>
        <v>show</v>
      </c>
    </row>
    <row r="2988" spans="1:6">
      <c r="A2988" t="s">
        <v>8914</v>
      </c>
      <c r="B2988" t="s">
        <v>8915</v>
      </c>
      <c r="C2988" t="s">
        <v>8916</v>
      </c>
      <c r="D2988" t="str">
        <f>HYPERLINK("https://github.com/aricneto/TwistyTimer/issues/101","show")</f>
        <v>show</v>
      </c>
      <c r="E2988" t="str">
        <f>HYPERLINK("https://github.com/aricneto/TwistyTimer","show")</f>
        <v>show</v>
      </c>
      <c r="F2988" t="str">
        <f>HYPERLINK("https://github.com/aricneto/TwistyTimer/releases","show")</f>
        <v>show</v>
      </c>
    </row>
    <row r="2989" spans="1:6">
      <c r="A2989" t="s">
        <v>8917</v>
      </c>
      <c r="B2989" t="s">
        <v>8918</v>
      </c>
      <c r="C2989" t="s">
        <v>8919</v>
      </c>
      <c r="D2989" t="str">
        <f>HYPERLINK("https://github.com/walkap/X-android/issues/24","show")</f>
        <v>show</v>
      </c>
      <c r="E2989" t="str">
        <f>HYPERLINK("https://github.com/walkap/X-android","show")</f>
        <v>show</v>
      </c>
      <c r="F2989" t="str">
        <f>HYPERLINK("https://github.com/walkap/X-android/releases","show")</f>
        <v>show</v>
      </c>
    </row>
    <row r="2990" spans="1:6">
      <c r="A2990" t="s">
        <v>8920</v>
      </c>
      <c r="B2990" t="s">
        <v>8921</v>
      </c>
      <c r="C2990" t="s">
        <v>8922</v>
      </c>
      <c r="D2990" t="str">
        <f>HYPERLINK("https://github.com/stefan-niedermann/nextcloud-notes/issues/252","show")</f>
        <v>show</v>
      </c>
      <c r="E2990" t="str">
        <f>HYPERLINK("https://github.com/stefan-niedermann/nextcloud-notes","show")</f>
        <v>show</v>
      </c>
      <c r="F2990" t="str">
        <f>HYPERLINK("https://github.com/stefan-niedermann/nextcloud-notes/releases","show")</f>
        <v>show</v>
      </c>
    </row>
    <row r="2991" spans="1:6">
      <c r="A2991" t="s">
        <v>8923</v>
      </c>
      <c r="B2991" t="s">
        <v>8924</v>
      </c>
      <c r="C2991" t="s">
        <v>8925</v>
      </c>
      <c r="D2991" t="str">
        <f>HYPERLINK("https://github.com/33mhz/robin/issues/31","show")</f>
        <v>show</v>
      </c>
      <c r="E2991" t="str">
        <f>HYPERLINK("https://github.com/33mhz/robin","show")</f>
        <v>show</v>
      </c>
      <c r="F2991" t="str">
        <f>HYPERLINK("https://github.com/33mhz/robin/releases","show")</f>
        <v>show</v>
      </c>
    </row>
    <row r="2992" spans="1:6">
      <c r="A2992" t="s">
        <v>8926</v>
      </c>
      <c r="B2992" t="s">
        <v>8927</v>
      </c>
      <c r="C2992" t="s">
        <v>8928</v>
      </c>
      <c r="D2992" t="str">
        <f>HYPERLINK("https://github.com/33mhz/robin/issues/23","show")</f>
        <v>show</v>
      </c>
      <c r="E2992" t="str">
        <f>HYPERLINK("https://github.com/33mhz/robin","show")</f>
        <v>show</v>
      </c>
      <c r="F2992" t="str">
        <f>HYPERLINK("https://github.com/33mhz/robin/releases","show")</f>
        <v>show</v>
      </c>
    </row>
    <row r="2993" spans="1:6">
      <c r="A2993" t="s">
        <v>8929</v>
      </c>
      <c r="B2993" t="s">
        <v>8930</v>
      </c>
      <c r="C2993" t="s">
        <v>8931</v>
      </c>
      <c r="D2993" t="str">
        <f>HYPERLINK("https://github.com/commons-app/apps-android-commons/issues/861","show")</f>
        <v>show</v>
      </c>
      <c r="E2993" t="str">
        <f>HYPERLINK("https://github.com/commons-app/apps-android-commons","show")</f>
        <v>show</v>
      </c>
      <c r="F2993" t="str">
        <f>HYPERLINK("https://github.com/commons-app/apps-android-commons/releases","show")</f>
        <v>show</v>
      </c>
    </row>
    <row r="2994" spans="1:6">
      <c r="A2994" t="s">
        <v>8932</v>
      </c>
      <c r="B2994" t="s">
        <v>8933</v>
      </c>
      <c r="C2994" t="s">
        <v>8934</v>
      </c>
      <c r="D2994" t="str">
        <f>HYPERLINK("https://github.com/bumptech/glide/issues/2326","show")</f>
        <v>show</v>
      </c>
      <c r="E2994" t="str">
        <f>HYPERLINK("https://github.com/bumptech/glide","show")</f>
        <v>show</v>
      </c>
      <c r="F2994" t="str">
        <f>HYPERLINK("https://github.com/bumptech/glide/releases","show")</f>
        <v>show</v>
      </c>
    </row>
    <row r="2995" spans="1:6">
      <c r="A2995" t="s">
        <v>8935</v>
      </c>
      <c r="B2995" t="s">
        <v>8936</v>
      </c>
      <c r="C2995" t="s">
        <v>8937</v>
      </c>
      <c r="D2995" t="str">
        <f>HYPERLINK("https://github.com/hyb1996/Auto.js/issues/233","show")</f>
        <v>show</v>
      </c>
      <c r="E2995" t="str">
        <f>HYPERLINK("https://github.com/hyb1996/Auto.js","show")</f>
        <v>show</v>
      </c>
      <c r="F2995" t="str">
        <f>HYPERLINK("https://github.com/hyb1996/Auto.js/releases","show")</f>
        <v>show</v>
      </c>
    </row>
    <row r="2996" spans="1:6">
      <c r="A2996" t="s">
        <v>8938</v>
      </c>
      <c r="B2996" t="s">
        <v>8939</v>
      </c>
      <c r="C2996" t="s">
        <v>8940</v>
      </c>
      <c r="D2996" t="str">
        <f>HYPERLINK("https://github.com/walkap/X-android/issues/27","show")</f>
        <v>show</v>
      </c>
      <c r="E2996" t="str">
        <f>HYPERLINK("https://github.com/walkap/X-android","show")</f>
        <v>show</v>
      </c>
      <c r="F2996" t="str">
        <f>HYPERLINK("https://github.com/walkap/X-android/releases","show")</f>
        <v>show</v>
      </c>
    </row>
    <row r="2997" spans="1:6">
      <c r="A2997" t="s">
        <v>8941</v>
      </c>
      <c r="B2997" t="s">
        <v>8942</v>
      </c>
      <c r="C2997" t="s">
        <v>8943</v>
      </c>
      <c r="D2997" t="str">
        <f>HYPERLINK("https://github.com/inaturalist/iNaturalistAndroid/issues/401","show")</f>
        <v>show</v>
      </c>
      <c r="E2997" t="str">
        <f>HYPERLINK("https://github.com/inaturalist/iNaturalistAndroid","show")</f>
        <v>show</v>
      </c>
      <c r="F2997" t="str">
        <f>HYPERLINK("https://github.com/inaturalist/iNaturalistAndroid/releases","show")</f>
        <v>show</v>
      </c>
    </row>
    <row r="2998" spans="1:6">
      <c r="A2998" t="s">
        <v>8944</v>
      </c>
      <c r="B2998" t="s">
        <v>8945</v>
      </c>
      <c r="C2998" t="s">
        <v>8946</v>
      </c>
      <c r="D2998" t="str">
        <f>HYPERLINK("https://github.com/kontalk/androidclient/issues/1063","show")</f>
        <v>show</v>
      </c>
      <c r="E2998" t="str">
        <f>HYPERLINK("https://github.com/kontalk/androidclient","show")</f>
        <v>show</v>
      </c>
      <c r="F2998" t="str">
        <f>HYPERLINK("https://github.com/kontalk/androidclient/releases","show")</f>
        <v>show</v>
      </c>
    </row>
    <row r="2999" spans="1:6">
      <c r="A2999" t="s">
        <v>8947</v>
      </c>
      <c r="B2999" t="s">
        <v>8948</v>
      </c>
      <c r="C2999" t="s">
        <v>8949</v>
      </c>
      <c r="D2999" t="str">
        <f>HYPERLINK("https://github.com/getodk/collect/issues/1424","show")</f>
        <v>show</v>
      </c>
      <c r="E2999" t="str">
        <f>HYPERLINK("https://github.com/getodk/collect","show")</f>
        <v>show</v>
      </c>
      <c r="F2999" t="str">
        <f>HYPERLINK("https://github.com/getodk/collect/releases","show")</f>
        <v>show</v>
      </c>
    </row>
    <row r="3000" spans="1:6">
      <c r="A3000" t="s">
        <v>8950</v>
      </c>
      <c r="B3000" t="s">
        <v>8951</v>
      </c>
      <c r="C3000" t="s">
        <v>8952</v>
      </c>
      <c r="D3000" t="str">
        <f>HYPERLINK("https://github.com/inaturalist/iNaturalistAndroid/issues/403","show")</f>
        <v>show</v>
      </c>
      <c r="E3000" t="str">
        <f>HYPERLINK("https://github.com/inaturalist/iNaturalistAndroid","show")</f>
        <v>show</v>
      </c>
      <c r="F3000" t="str">
        <f>HYPERLINK("https://github.com/inaturalist/iNaturalistAndroid/releases","show")</f>
        <v>show</v>
      </c>
    </row>
    <row r="3001" spans="1:6">
      <c r="A3001" t="s">
        <v>8953</v>
      </c>
      <c r="B3001" t="s">
        <v>8954</v>
      </c>
      <c r="C3001" t="s">
        <v>8955</v>
      </c>
      <c r="D3001" t="str">
        <f>HYPERLINK("https://github.com/kontalk/androidclient/issues/1064","show")</f>
        <v>show</v>
      </c>
      <c r="E3001" t="str">
        <f>HYPERLINK("https://github.com/kontalk/androidclient","show")</f>
        <v>show</v>
      </c>
      <c r="F3001" t="str">
        <f>HYPERLINK("https://github.com/kontalk/androidclient/releases","show")</f>
        <v>show</v>
      </c>
    </row>
    <row r="3002" spans="1:6">
      <c r="A3002" t="s">
        <v>8956</v>
      </c>
      <c r="B3002" t="s">
        <v>8957</v>
      </c>
      <c r="C3002" t="s">
        <v>8958</v>
      </c>
      <c r="D3002" t="str">
        <f>HYPERLINK("https://github.com/itachi1706/SingBuses/issues/90","show")</f>
        <v>show</v>
      </c>
      <c r="E3002" t="str">
        <f>HYPERLINK("https://github.com/itachi1706/SingBuses","show")</f>
        <v>show</v>
      </c>
      <c r="F3002" t="str">
        <f>HYPERLINK("https://github.com/itachi1706/SingBuses/releases","show")</f>
        <v>show</v>
      </c>
    </row>
    <row r="3003" spans="1:6">
      <c r="A3003" t="s">
        <v>8959</v>
      </c>
      <c r="B3003" t="s">
        <v>8960</v>
      </c>
      <c r="C3003" t="s">
        <v>8961</v>
      </c>
      <c r="D3003" t="str">
        <f>HYPERLINK("https://github.com/divvun/giellakbd-android/issues/3","show")</f>
        <v>show</v>
      </c>
      <c r="E3003" t="str">
        <f>HYPERLINK("https://github.com/divvun/giellakbd-android","show")</f>
        <v>show</v>
      </c>
      <c r="F3003" t="str">
        <f>HYPERLINK("https://github.com/divvun/giellakbd-android/releases","show")</f>
        <v>show</v>
      </c>
    </row>
    <row r="3004" spans="1:6">
      <c r="A3004" t="s">
        <v>8962</v>
      </c>
      <c r="B3004" t="s">
        <v>8963</v>
      </c>
      <c r="C3004" t="s">
        <v>8964</v>
      </c>
      <c r="D3004" t="str">
        <f>HYPERLINK("https://github.com/NineWorlds/serenity-android/issues/365","show")</f>
        <v>show</v>
      </c>
      <c r="E3004" t="str">
        <f>HYPERLINK("https://github.com/NineWorlds/serenity-android","show")</f>
        <v>show</v>
      </c>
      <c r="F3004" t="str">
        <f>HYPERLINK("https://github.com/NineWorlds/serenity-android/releases","show")</f>
        <v>show</v>
      </c>
    </row>
    <row r="3005" spans="1:6">
      <c r="A3005" t="s">
        <v>8965</v>
      </c>
      <c r="B3005" t="s">
        <v>8966</v>
      </c>
      <c r="C3005" t="s">
        <v>8967</v>
      </c>
      <c r="D3005" t="str">
        <f>HYPERLINK("https://github.com/BasicAirData/GPSLogger/issues/35","show")</f>
        <v>show</v>
      </c>
      <c r="E3005" t="str">
        <f>HYPERLINK("https://github.com/BasicAirData/GPSLogger","show")</f>
        <v>show</v>
      </c>
      <c r="F3005" t="str">
        <f>HYPERLINK("https://github.com/BasicAirData/GPSLogger/releases","show")</f>
        <v>show</v>
      </c>
    </row>
    <row r="3006" spans="1:6">
      <c r="A3006" t="s">
        <v>8968</v>
      </c>
      <c r="B3006" t="s">
        <v>8969</v>
      </c>
      <c r="C3006" t="s">
        <v>8970</v>
      </c>
      <c r="D3006" t="str">
        <f>HYPERLINK("https://github.com/OpenLauncherTeam/openlauncher/issues/231","show")</f>
        <v>show</v>
      </c>
      <c r="E3006" t="str">
        <f>HYPERLINK("https://github.com/OpenLauncherTeam/openlauncher","show")</f>
        <v>show</v>
      </c>
      <c r="F3006" t="str">
        <f>HYPERLINK("https://github.com/OpenLauncherTeam/openlauncher/releases","show")</f>
        <v>show</v>
      </c>
    </row>
    <row r="3007" spans="1:6">
      <c r="A3007" t="s">
        <v>8971</v>
      </c>
      <c r="B3007" t="s">
        <v>8972</v>
      </c>
      <c r="C3007" t="s">
        <v>8973</v>
      </c>
      <c r="D3007" t="str">
        <f>HYPERLINK("https://github.com/vector-im/riot-android/issues/1580","show")</f>
        <v>show</v>
      </c>
      <c r="E3007" t="str">
        <f>HYPERLINK("https://github.com/vector-im/riot-android","show")</f>
        <v>show</v>
      </c>
      <c r="F3007" t="str">
        <f>HYPERLINK("https://github.com/vector-im/riot-android/releases","show")</f>
        <v>show</v>
      </c>
    </row>
    <row r="3008" spans="1:6">
      <c r="A3008" t="s">
        <v>8974</v>
      </c>
      <c r="B3008" t="s">
        <v>8975</v>
      </c>
      <c r="C3008" t="s">
        <v>8976</v>
      </c>
      <c r="D3008" t="str">
        <f>HYPERLINK("https://github.com/AlexZhukovich/CircleImageView/issues/8","show")</f>
        <v>show</v>
      </c>
      <c r="E3008" t="str">
        <f>HYPERLINK("https://github.com/AlexZhukovich/CircleImageView","show")</f>
        <v>show</v>
      </c>
      <c r="F3008" t="str">
        <f>HYPERLINK("https://github.com/AlexZhukovich/CircleImageView/releases","show")</f>
        <v>show</v>
      </c>
    </row>
    <row r="3009" spans="1:6">
      <c r="A3009" t="s">
        <v>8977</v>
      </c>
      <c r="B3009" t="s">
        <v>8978</v>
      </c>
      <c r="C3009" t="s">
        <v>8979</v>
      </c>
      <c r="D3009" t="str">
        <f>HYPERLINK("https://github.com/DoubleSymmetry/react-native-track-player/issues/39","show")</f>
        <v>show</v>
      </c>
      <c r="E3009" t="str">
        <f>HYPERLINK("https://github.com/DoubleSymmetry/react-native-track-player","show")</f>
        <v>show</v>
      </c>
      <c r="F3009" t="str">
        <f>HYPERLINK("https://github.com/DoubleSymmetry/react-native-track-player/releases","show")</f>
        <v>show</v>
      </c>
    </row>
    <row r="3010" spans="1:6">
      <c r="A3010" t="s">
        <v>8980</v>
      </c>
      <c r="B3010" t="s">
        <v>8981</v>
      </c>
      <c r="C3010" t="s">
        <v>8982</v>
      </c>
      <c r="D3010" t="str">
        <f>HYPERLINK("https://github.com/Devsoc-BPGC/ARD/issues/157","show")</f>
        <v>show</v>
      </c>
      <c r="E3010" t="str">
        <f>HYPERLINK("https://github.com/Devsoc-BPGC/ARD","show")</f>
        <v>show</v>
      </c>
      <c r="F3010" t="str">
        <f>HYPERLINK("https://github.com/Devsoc-BPGC/ARD/releases","show")</f>
        <v>show</v>
      </c>
    </row>
    <row r="3011" spans="1:6">
      <c r="A3011" t="s">
        <v>8983</v>
      </c>
      <c r="B3011" t="s">
        <v>8984</v>
      </c>
      <c r="C3011" t="s">
        <v>8985</v>
      </c>
      <c r="D3011" t="str">
        <f>HYPERLINK("https://github.com/timusus/Shuttle/issues/187","show")</f>
        <v>show</v>
      </c>
      <c r="E3011" t="str">
        <f>HYPERLINK("https://github.com/timusus/Shuttle","show")</f>
        <v>show</v>
      </c>
      <c r="F3011" t="str">
        <f>HYPERLINK("https://github.com/timusus/Shuttle/releases","show")</f>
        <v>show</v>
      </c>
    </row>
    <row r="3012" spans="1:6">
      <c r="A3012" t="s">
        <v>8986</v>
      </c>
      <c r="B3012" t="s">
        <v>8987</v>
      </c>
      <c r="C3012" t="s">
        <v>8988</v>
      </c>
      <c r="D3012" t="str">
        <f>HYPERLINK("https://github.com/kabouzeid/Phonograph/issues/288","show")</f>
        <v>show</v>
      </c>
      <c r="E3012" t="str">
        <f>HYPERLINK("https://github.com/kabouzeid/Phonograph","show")</f>
        <v>show</v>
      </c>
      <c r="F3012" t="str">
        <f>HYPERLINK("https://github.com/kabouzeid/Phonograph/releases","show")</f>
        <v>show</v>
      </c>
    </row>
    <row r="3013" spans="1:6">
      <c r="A3013" t="s">
        <v>8989</v>
      </c>
      <c r="B3013" t="s">
        <v>8990</v>
      </c>
      <c r="C3013" t="s">
        <v>8991</v>
      </c>
      <c r="D3013" t="str">
        <f>HYPERLINK("https://github.com/fossasia/phimpme-android/issues/1102","show")</f>
        <v>show</v>
      </c>
      <c r="E3013" t="str">
        <f>HYPERLINK("https://github.com/fossasia/phimpme-android","show")</f>
        <v>show</v>
      </c>
      <c r="F3013" t="str">
        <f>HYPERLINK("https://github.com/fossasia/phimpme-android/releases","show")</f>
        <v>show</v>
      </c>
    </row>
    <row r="3014" spans="1:6">
      <c r="A3014" t="s">
        <v>8992</v>
      </c>
      <c r="B3014" t="s">
        <v>8993</v>
      </c>
      <c r="C3014" t="s">
        <v>8994</v>
      </c>
      <c r="D3014" t="str">
        <f>HYPERLINK("https://github.com/nextcloud/android/issues/1531","show")</f>
        <v>show</v>
      </c>
      <c r="E3014" t="str">
        <f>HYPERLINK("https://github.com/nextcloud/android","show")</f>
        <v>show</v>
      </c>
      <c r="F3014" t="str">
        <f>HYPERLINK("https://github.com/nextcloud/android/releases","show")</f>
        <v>show</v>
      </c>
    </row>
    <row r="3015" spans="1:6">
      <c r="A3015" t="s">
        <v>8995</v>
      </c>
      <c r="B3015" t="s">
        <v>8996</v>
      </c>
      <c r="C3015" t="s">
        <v>8997</v>
      </c>
      <c r="D3015" t="str">
        <f>HYPERLINK("https://github.com/k9mail/k-9/issues/2758","show")</f>
        <v>show</v>
      </c>
      <c r="E3015" t="str">
        <f>HYPERLINK("https://github.com/k9mail/k-9","show")</f>
        <v>show</v>
      </c>
      <c r="F3015" t="str">
        <f>HYPERLINK("https://github.com/k9mail/k-9/releases","show")</f>
        <v>show</v>
      </c>
    </row>
    <row r="3016" spans="1:6">
      <c r="A3016" t="s">
        <v>8998</v>
      </c>
      <c r="B3016" t="s">
        <v>8999</v>
      </c>
      <c r="C3016" t="s">
        <v>9000</v>
      </c>
      <c r="D3016" t="str">
        <f>HYPERLINK("https://github.com/square/okhttp/issues/3597","show")</f>
        <v>show</v>
      </c>
      <c r="E3016" t="str">
        <f>HYPERLINK("https://github.com/square/okhttp","show")</f>
        <v>show</v>
      </c>
      <c r="F3016" t="str">
        <f>HYPERLINK("https://github.com/square/okhttp/releases","show")</f>
        <v>show</v>
      </c>
    </row>
    <row r="3017" spans="1:6">
      <c r="A3017" t="s">
        <v>9001</v>
      </c>
      <c r="B3017" t="s">
        <v>9002</v>
      </c>
      <c r="C3017" t="s">
        <v>9003</v>
      </c>
      <c r="D3017" t="str">
        <f>HYPERLINK("https://github.com/BaseballCardTracker/bbct-android/issues/422","show")</f>
        <v>show</v>
      </c>
      <c r="E3017" t="str">
        <f>HYPERLINK("https://github.com/BaseballCardTracker/bbct-android","show")</f>
        <v>show</v>
      </c>
      <c r="F3017" t="str">
        <f>HYPERLINK("https://github.com/BaseballCardTracker/bbct-android/releases","show")</f>
        <v>show</v>
      </c>
    </row>
    <row r="3018" spans="1:6">
      <c r="A3018" t="s">
        <v>9004</v>
      </c>
      <c r="B3018" t="s">
        <v>9005</v>
      </c>
      <c r="C3018" t="s">
        <v>9006</v>
      </c>
      <c r="D3018" t="str">
        <f>HYPERLINK("https://github.com/renyuneyun/Easer/issues/32","show")</f>
        <v>show</v>
      </c>
      <c r="E3018" t="str">
        <f>HYPERLINK("https://github.com/renyuneyun/Easer","show")</f>
        <v>show</v>
      </c>
      <c r="F3018" t="str">
        <f>HYPERLINK("https://github.com/renyuneyun/Easer/releases","show")</f>
        <v>show</v>
      </c>
    </row>
    <row r="3019" spans="1:6">
      <c r="A3019" t="s">
        <v>9007</v>
      </c>
      <c r="B3019" t="s">
        <v>9008</v>
      </c>
      <c r="C3019" t="s">
        <v>9009</v>
      </c>
      <c r="D3019" t="str">
        <f>HYPERLINK("https://github.com/nextcloud/android/issues/1544","show")</f>
        <v>show</v>
      </c>
      <c r="E3019" t="str">
        <f>HYPERLINK("https://github.com/nextcloud/android","show")</f>
        <v>show</v>
      </c>
      <c r="F3019" t="str">
        <f>HYPERLINK("https://github.com/nextcloud/android/releases","show")</f>
        <v>show</v>
      </c>
    </row>
    <row r="3020" spans="1:6">
      <c r="A3020" t="s">
        <v>9010</v>
      </c>
      <c r="B3020" t="s">
        <v>9011</v>
      </c>
      <c r="C3020" t="s">
        <v>9012</v>
      </c>
      <c r="D3020" t="str">
        <f>HYPERLINK("https://github.com/ForstaLabs/relay/issues/168","show")</f>
        <v>show</v>
      </c>
      <c r="E3020" t="str">
        <f>HYPERLINK("https://github.com/ForstaLabs/relay","show")</f>
        <v>show</v>
      </c>
      <c r="F3020" t="str">
        <f>HYPERLINK("https://github.com/ForstaLabs/relay/releases","show")</f>
        <v>show</v>
      </c>
    </row>
    <row r="3021" spans="1:6">
      <c r="A3021" t="s">
        <v>9013</v>
      </c>
      <c r="B3021" t="s">
        <v>9014</v>
      </c>
      <c r="C3021" t="s">
        <v>9015</v>
      </c>
      <c r="D3021" t="str">
        <f>HYPERLINK("https://github.com/wdullaer/MaterialDateTimePicker/issues/404","show")</f>
        <v>show</v>
      </c>
      <c r="E3021" t="str">
        <f>HYPERLINK("https://github.com/wdullaer/MaterialDateTimePicker","show")</f>
        <v>show</v>
      </c>
      <c r="F3021" t="str">
        <f>HYPERLINK("https://github.com/wdullaer/MaterialDateTimePicker/releases","show")</f>
        <v>show</v>
      </c>
    </row>
    <row r="3022" spans="1:6">
      <c r="A3022" t="s">
        <v>9016</v>
      </c>
      <c r="B3022" t="s">
        <v>9017</v>
      </c>
      <c r="C3022" t="s">
        <v>9018</v>
      </c>
      <c r="D3022" t="str">
        <f>HYPERLINK("https://github.com/nextcloud/android/issues/1549","show")</f>
        <v>show</v>
      </c>
      <c r="E3022" t="str">
        <f>HYPERLINK("https://github.com/nextcloud/android","show")</f>
        <v>show</v>
      </c>
      <c r="F3022" t="str">
        <f>HYPERLINK("https://github.com/nextcloud/android/releases","show")</f>
        <v>show</v>
      </c>
    </row>
    <row r="3023" spans="1:6">
      <c r="A3023" t="s">
        <v>9019</v>
      </c>
      <c r="B3023" t="s">
        <v>9020</v>
      </c>
      <c r="C3023" t="s">
        <v>9021</v>
      </c>
      <c r="D3023" t="str">
        <f>HYPERLINK("https://github.com/wiglenet/wigle-wifi-wardriving/issues/175","show")</f>
        <v>show</v>
      </c>
      <c r="E3023" t="str">
        <f>HYPERLINK("https://github.com/wiglenet/wigle-wifi-wardriving","show")</f>
        <v>show</v>
      </c>
      <c r="F3023" t="str">
        <f>HYPERLINK("https://github.com/wiglenet/wigle-wifi-wardriving/releases","show")</f>
        <v>show</v>
      </c>
    </row>
    <row r="3024" spans="1:6">
      <c r="A3024" t="s">
        <v>9022</v>
      </c>
      <c r="B3024" t="s">
        <v>9023</v>
      </c>
      <c r="C3024" t="s">
        <v>9024</v>
      </c>
      <c r="D3024" t="str">
        <f>HYPERLINK("https://github.com/moneymanagerex/android-money-manager-ex/issues/1145","show")</f>
        <v>show</v>
      </c>
      <c r="E3024" t="str">
        <f>HYPERLINK("https://github.com/moneymanagerex/android-money-manager-ex","show")</f>
        <v>show</v>
      </c>
      <c r="F3024" t="str">
        <f>HYPERLINK("https://github.com/moneymanagerex/android-money-manager-ex/releases","show")</f>
        <v>show</v>
      </c>
    </row>
    <row r="3025" spans="1:6">
      <c r="A3025" t="s">
        <v>9025</v>
      </c>
      <c r="B3025" t="s">
        <v>9026</v>
      </c>
      <c r="C3025" t="s">
        <v>9027</v>
      </c>
      <c r="D3025" t="str">
        <f>HYPERLINK("https://github.com/OpenLauncherTeam/openlauncher/issues/235","show")</f>
        <v>show</v>
      </c>
      <c r="E3025" t="str">
        <f>HYPERLINK("https://github.com/OpenLauncherTeam/openlauncher","show")</f>
        <v>show</v>
      </c>
      <c r="F3025" t="str">
        <f>HYPERLINK("https://github.com/OpenLauncherTeam/openlauncher/releases","show")</f>
        <v>show</v>
      </c>
    </row>
    <row r="3026" spans="1:6">
      <c r="A3026" t="s">
        <v>9028</v>
      </c>
      <c r="B3026" t="s">
        <v>9029</v>
      </c>
      <c r="C3026" t="s">
        <v>9030</v>
      </c>
      <c r="D3026" t="str">
        <f>HYPERLINK("https://github.com/dji-sdk/Mobile-SDK-Android/issues/164","show")</f>
        <v>show</v>
      </c>
      <c r="E3026" t="str">
        <f>HYPERLINK("https://github.com/dji-sdk/Mobile-SDK-Android","show")</f>
        <v>show</v>
      </c>
      <c r="F3026" t="str">
        <f>HYPERLINK("https://github.com/dji-sdk/Mobile-SDK-Android/releases","show")</f>
        <v>show</v>
      </c>
    </row>
    <row r="3027" spans="1:6">
      <c r="A3027" t="s">
        <v>9031</v>
      </c>
      <c r="B3027" t="s">
        <v>9032</v>
      </c>
      <c r="C3027" t="s">
        <v>9033</v>
      </c>
      <c r="D3027" t="str">
        <f>HYPERLINK("https://github.com/Onelio/ConnectU/issues/11","show")</f>
        <v>show</v>
      </c>
      <c r="E3027" t="str">
        <f>HYPERLINK("https://github.com/Onelio/ConnectU","show")</f>
        <v>show</v>
      </c>
      <c r="F3027" t="str">
        <f>HYPERLINK("https://github.com/Onelio/ConnectU/releases","show")</f>
        <v>show</v>
      </c>
    </row>
    <row r="3028" spans="1:6">
      <c r="A3028" t="s">
        <v>9034</v>
      </c>
      <c r="B3028" t="s">
        <v>9035</v>
      </c>
      <c r="C3028" t="s">
        <v>9036</v>
      </c>
      <c r="D3028" t="str">
        <f>HYPERLINK("https://github.com/DeveloperCielo/LIO-SDK-Sample-Integracao-Local/issues/15","show")</f>
        <v>show</v>
      </c>
      <c r="E3028" t="str">
        <f>HYPERLINK("https://github.com/DeveloperCielo/LIO-SDK-Sample-Integracao-Local","show")</f>
        <v>show</v>
      </c>
      <c r="F3028" t="str">
        <f>HYPERLINK("https://github.com/DeveloperCielo/LIO-SDK-Sample-Integracao-Local/releases","show")</f>
        <v>show</v>
      </c>
    </row>
    <row r="3029" spans="1:6">
      <c r="A3029" t="s">
        <v>9037</v>
      </c>
      <c r="B3029" t="s">
        <v>9038</v>
      </c>
      <c r="C3029" t="s">
        <v>9039</v>
      </c>
      <c r="D3029" t="str">
        <f>HYPERLINK("https://github.com/getodk/collect/issues/1472","show")</f>
        <v>show</v>
      </c>
      <c r="E3029" t="str">
        <f>HYPERLINK("https://github.com/getodk/collect","show")</f>
        <v>show</v>
      </c>
      <c r="F3029" t="str">
        <f>HYPERLINK("https://github.com/getodk/collect/releases","show")</f>
        <v>show</v>
      </c>
    </row>
    <row r="3030" spans="1:6">
      <c r="A3030" t="s">
        <v>9040</v>
      </c>
      <c r="B3030" t="s">
        <v>9041</v>
      </c>
      <c r="C3030" t="s">
        <v>9042</v>
      </c>
      <c r="D3030" t="str">
        <f>HYPERLINK("https://github.com/WallPanel-Project/wallpanel-android/issues/39","show")</f>
        <v>show</v>
      </c>
      <c r="E3030" t="str">
        <f>HYPERLINK("https://github.com/WallPanel-Project/wallpanel-android","show")</f>
        <v>show</v>
      </c>
      <c r="F3030" t="str">
        <f>HYPERLINK("https://github.com/WallPanel-Project/wallpanel-android/releases","show")</f>
        <v>show</v>
      </c>
    </row>
    <row r="3031" spans="1:6">
      <c r="A3031" t="s">
        <v>9043</v>
      </c>
      <c r="B3031" t="s">
        <v>9044</v>
      </c>
      <c r="C3031" t="s">
        <v>9045</v>
      </c>
      <c r="D3031" t="str">
        <f>HYPERLINK("https://github.com/google/blockly-android/issues/658","show")</f>
        <v>show</v>
      </c>
      <c r="E3031" t="str">
        <f>HYPERLINK("https://github.com/google/blockly-android","show")</f>
        <v>show</v>
      </c>
      <c r="F3031" t="str">
        <f>HYPERLINK("https://github.com/google/blockly-android/releases","show")</f>
        <v>show</v>
      </c>
    </row>
    <row r="3032" spans="1:6">
      <c r="A3032" t="s">
        <v>9046</v>
      </c>
      <c r="B3032" t="s">
        <v>9047</v>
      </c>
      <c r="C3032" t="s">
        <v>9048</v>
      </c>
      <c r="D3032" t="str">
        <f>HYPERLINK("https://github.com/stefan-niedermann/nextcloud-notes/issues/267","show")</f>
        <v>show</v>
      </c>
      <c r="E3032" t="str">
        <f>HYPERLINK("https://github.com/stefan-niedermann/nextcloud-notes","show")</f>
        <v>show</v>
      </c>
      <c r="F3032" t="str">
        <f>HYPERLINK("https://github.com/stefan-niedermann/nextcloud-notes/releases","show")</f>
        <v>show</v>
      </c>
    </row>
    <row r="3033" spans="1:6">
      <c r="A3033" t="s">
        <v>9049</v>
      </c>
      <c r="B3033" t="s">
        <v>9050</v>
      </c>
      <c r="C3033" t="s">
        <v>9051</v>
      </c>
      <c r="D3033" t="str">
        <f>HYPERLINK("https://github.com/ForstaLabs/relay/issues/174","show")</f>
        <v>show</v>
      </c>
      <c r="E3033" t="str">
        <f>HYPERLINK("https://github.com/ForstaLabs/relay","show")</f>
        <v>show</v>
      </c>
      <c r="F3033" t="str">
        <f>HYPERLINK("https://github.com/ForstaLabs/relay/releases","show")</f>
        <v>show</v>
      </c>
    </row>
    <row r="3034" spans="1:6">
      <c r="A3034" t="s">
        <v>9052</v>
      </c>
      <c r="B3034" t="s">
        <v>9053</v>
      </c>
      <c r="C3034" t="s">
        <v>9054</v>
      </c>
      <c r="D3034" t="str">
        <f>HYPERLINK("https://github.com/jMonkeyEngine/jmonkeyengine/issues/740","show")</f>
        <v>show</v>
      </c>
      <c r="E3034" t="str">
        <f>HYPERLINK("https://github.com/jMonkeyEngine/jmonkeyengine","show")</f>
        <v>show</v>
      </c>
      <c r="F3034" t="str">
        <f>HYPERLINK("https://github.com/jMonkeyEngine/jmonkeyengine/releases","show")</f>
        <v>show</v>
      </c>
    </row>
    <row r="3035" spans="1:6">
      <c r="A3035" t="s">
        <v>9055</v>
      </c>
      <c r="B3035" t="s">
        <v>9056</v>
      </c>
      <c r="C3035" t="s">
        <v>9057</v>
      </c>
      <c r="D3035" t="str">
        <f>HYPERLINK("https://github.com/bumptech/glide/issues/2413","show")</f>
        <v>show</v>
      </c>
      <c r="E3035" t="str">
        <f>HYPERLINK("https://github.com/bumptech/glide","show")</f>
        <v>show</v>
      </c>
      <c r="F3035" t="str">
        <f>HYPERLINK("https://github.com/bumptech/glide/releases","show")</f>
        <v>show</v>
      </c>
    </row>
    <row r="3036" spans="1:6">
      <c r="A3036" t="s">
        <v>9058</v>
      </c>
      <c r="B3036" t="s">
        <v>9059</v>
      </c>
      <c r="C3036" t="s">
        <v>9060</v>
      </c>
      <c r="D3036" t="str">
        <f>HYPERLINK("https://github.com/andreynovikov/trekarta/issues/45","show")</f>
        <v>show</v>
      </c>
      <c r="E3036" t="str">
        <f>HYPERLINK("https://github.com/andreynovikov/trekarta","show")</f>
        <v>show</v>
      </c>
      <c r="F3036" t="str">
        <f>HYPERLINK("https://github.com/andreynovikov/trekarta/releases","show")</f>
        <v>show</v>
      </c>
    </row>
    <row r="3037" spans="1:6">
      <c r="A3037" t="s">
        <v>9061</v>
      </c>
      <c r="B3037" t="s">
        <v>9062</v>
      </c>
      <c r="C3037" t="s">
        <v>9063</v>
      </c>
      <c r="D3037" t="str">
        <f>HYPERLINK("https://github.com/AbyxBelgium/Loyalty/issues/30","show")</f>
        <v>show</v>
      </c>
      <c r="E3037" t="str">
        <f>HYPERLINK("https://github.com/AbyxBelgium/Loyalty","show")</f>
        <v>show</v>
      </c>
      <c r="F3037" t="str">
        <f>HYPERLINK("https://github.com/AbyxBelgium/Loyalty/releases","show")</f>
        <v>show</v>
      </c>
    </row>
    <row r="3038" spans="1:6">
      <c r="A3038" t="s">
        <v>9064</v>
      </c>
      <c r="B3038" t="s">
        <v>9065</v>
      </c>
      <c r="C3038" t="s">
        <v>9066</v>
      </c>
      <c r="D3038" t="str">
        <f>HYPERLINK("https://github.com/LawnchairLauncher/lawnchair/issues/736","show")</f>
        <v>show</v>
      </c>
      <c r="E3038" t="str">
        <f>HYPERLINK("https://github.com/LawnchairLauncher/lawnchair","show")</f>
        <v>show</v>
      </c>
      <c r="F3038" t="str">
        <f>HYPERLINK("https://github.com/LawnchairLauncher/lawnchair/releases","show")</f>
        <v>show</v>
      </c>
    </row>
    <row r="3039" spans="1:6">
      <c r="A3039" t="s">
        <v>9067</v>
      </c>
      <c r="B3039" t="s">
        <v>9068</v>
      </c>
      <c r="C3039" t="s">
        <v>9069</v>
      </c>
      <c r="D3039" t="str">
        <f>HYPERLINK("https://github.com/nextcloud/android/issues/1583","show")</f>
        <v>show</v>
      </c>
      <c r="E3039" t="str">
        <f>HYPERLINK("https://github.com/nextcloud/android","show")</f>
        <v>show</v>
      </c>
      <c r="F3039" t="str">
        <f>HYPERLINK("https://github.com/nextcloud/android/releases","show")</f>
        <v>show</v>
      </c>
    </row>
    <row r="3040" spans="1:6">
      <c r="A3040" t="s">
        <v>9070</v>
      </c>
      <c r="B3040" t="s">
        <v>9071</v>
      </c>
      <c r="C3040" t="s">
        <v>9072</v>
      </c>
      <c r="D3040" t="str">
        <f>HYPERLINK("https://github.com/kontalk/androidclient/issues/1070","show")</f>
        <v>show</v>
      </c>
      <c r="E3040" t="str">
        <f>HYPERLINK("https://github.com/kontalk/androidclient","show")</f>
        <v>show</v>
      </c>
      <c r="F3040" t="str">
        <f>HYPERLINK("https://github.com/kontalk/androidclient/releases","show")</f>
        <v>show</v>
      </c>
    </row>
    <row r="3041" spans="1:6">
      <c r="A3041" t="s">
        <v>9073</v>
      </c>
      <c r="B3041" t="s">
        <v>9074</v>
      </c>
      <c r="C3041" t="s">
        <v>9075</v>
      </c>
      <c r="D3041" t="str">
        <f>HYPERLINK("https://github.com/mo3rfan/syncplayer/issues/4","show")</f>
        <v>show</v>
      </c>
      <c r="E3041" t="str">
        <f>HYPERLINK("https://github.com/mo3rfan/syncplayer","show")</f>
        <v>show</v>
      </c>
      <c r="F3041" t="str">
        <f>HYPERLINK("https://github.com/mo3rfan/syncplayer/releases","show")</f>
        <v>show</v>
      </c>
    </row>
    <row r="3042" spans="1:6">
      <c r="A3042" t="s">
        <v>9076</v>
      </c>
      <c r="B3042" t="s">
        <v>9077</v>
      </c>
      <c r="C3042" t="s">
        <v>9078</v>
      </c>
      <c r="D3042" t="str">
        <f>HYPERLINK("https://github.com/OneBusAway/onebusaway-android/issues/807","show")</f>
        <v>show</v>
      </c>
      <c r="E3042" t="str">
        <f>HYPERLINK("https://github.com/OneBusAway/onebusaway-android","show")</f>
        <v>show</v>
      </c>
      <c r="F3042" t="str">
        <f>HYPERLINK("https://github.com/OneBusAway/onebusaway-android/releases","show")</f>
        <v>show</v>
      </c>
    </row>
    <row r="3043" spans="1:6">
      <c r="A3043" t="s">
        <v>9079</v>
      </c>
      <c r="B3043" t="s">
        <v>9080</v>
      </c>
      <c r="C3043" t="s">
        <v>9081</v>
      </c>
      <c r="D3043" t="str">
        <f>HYPERLINK("https://github.com/dgets/MinTone/issues/1","show")</f>
        <v>show</v>
      </c>
      <c r="E3043" t="str">
        <f>HYPERLINK("https://github.com/dgets/MinTone","show")</f>
        <v>show</v>
      </c>
      <c r="F3043" t="str">
        <f>HYPERLINK("https://github.com/dgets/MinTone/releases","show")</f>
        <v>show</v>
      </c>
    </row>
    <row r="3044" spans="1:6">
      <c r="A3044" t="s">
        <v>9082</v>
      </c>
      <c r="B3044" t="s">
        <v>9083</v>
      </c>
      <c r="C3044" t="s">
        <v>9084</v>
      </c>
      <c r="D3044" t="str">
        <f>HYPERLINK("https://github.com/vector-im/riot-android/issues/1618","show")</f>
        <v>show</v>
      </c>
      <c r="E3044" t="str">
        <f>HYPERLINK("https://github.com/vector-im/riot-android","show")</f>
        <v>show</v>
      </c>
      <c r="F3044" t="str">
        <f>HYPERLINK("https://github.com/vector-im/riot-android/releases","show")</f>
        <v>show</v>
      </c>
    </row>
    <row r="3045" spans="1:6">
      <c r="A3045" t="s">
        <v>9085</v>
      </c>
      <c r="B3045" t="s">
        <v>9086</v>
      </c>
      <c r="C3045" t="s">
        <v>9087</v>
      </c>
      <c r="D3045" t="str">
        <f>HYPERLINK("https://github.com/lmilunovic/Mine-Field-Alarm-Android/issues/7","show")</f>
        <v>show</v>
      </c>
      <c r="E3045" t="str">
        <f>HYPERLINK("https://github.com/lmilunovic/Mine-Field-Alarm-Android","show")</f>
        <v>show</v>
      </c>
      <c r="F3045" t="str">
        <f>HYPERLINK("https://github.com/lmilunovic/Mine-Field-Alarm-Android/releases","show")</f>
        <v>show</v>
      </c>
    </row>
    <row r="3046" spans="1:6">
      <c r="A3046" t="s">
        <v>9088</v>
      </c>
      <c r="B3046" t="s">
        <v>9089</v>
      </c>
      <c r="C3046" t="s">
        <v>9090</v>
      </c>
      <c r="D3046" t="str">
        <f>HYPERLINK("https://github.com/M66B/XPrivacy/issues/2425","show")</f>
        <v>show</v>
      </c>
      <c r="E3046" t="str">
        <f>HYPERLINK("https://github.com/M66B/XPrivacy","show")</f>
        <v>show</v>
      </c>
      <c r="F3046" t="str">
        <f>HYPERLINK("https://github.com/M66B/XPrivacy/releases","show")</f>
        <v>show</v>
      </c>
    </row>
    <row r="3047" spans="1:6">
      <c r="A3047" t="s">
        <v>9091</v>
      </c>
      <c r="B3047" t="s">
        <v>9092</v>
      </c>
      <c r="C3047" t="s">
        <v>9093</v>
      </c>
      <c r="D3047" t="str">
        <f>HYPERLINK("https://github.com/fabian7593/MagicalCamera/issues/28","show")</f>
        <v>show</v>
      </c>
      <c r="E3047" t="str">
        <f>HYPERLINK("https://github.com/fabian7593/MagicalCamera","show")</f>
        <v>show</v>
      </c>
      <c r="F3047" t="str">
        <f>HYPERLINK("https://github.com/fabian7593/MagicalCamera/releases","show")</f>
        <v>show</v>
      </c>
    </row>
    <row r="3048" spans="1:6">
      <c r="A3048" t="s">
        <v>9094</v>
      </c>
      <c r="B3048" t="s">
        <v>9095</v>
      </c>
      <c r="C3048" t="s">
        <v>9096</v>
      </c>
      <c r="D3048" t="str">
        <f>HYPERLINK("https://github.com/8enet/AppOpsX/issues/17","show")</f>
        <v>show</v>
      </c>
      <c r="E3048" t="str">
        <f>HYPERLINK("https://github.com/8enet/AppOpsX","show")</f>
        <v>show</v>
      </c>
      <c r="F3048" t="str">
        <f>HYPERLINK("https://github.com/8enet/AppOpsX/releases","show")</f>
        <v>show</v>
      </c>
    </row>
    <row r="3049" spans="1:6">
      <c r="A3049" t="s">
        <v>9097</v>
      </c>
      <c r="B3049" t="s">
        <v>9098</v>
      </c>
      <c r="C3049" t="s">
        <v>9099</v>
      </c>
      <c r="D3049" t="str">
        <f>HYPERLINK("https://github.com/the3deers/android-3D-model-viewer/issues/24","show")</f>
        <v>show</v>
      </c>
      <c r="E3049" t="str">
        <f>HYPERLINK("https://github.com/the3deers/android-3D-model-viewer","show")</f>
        <v>show</v>
      </c>
      <c r="F3049" t="str">
        <f>HYPERLINK("https://github.com/the3deers/android-3D-model-viewer/releases","show")</f>
        <v>show</v>
      </c>
    </row>
    <row r="3050" spans="1:6">
      <c r="A3050" t="s">
        <v>9100</v>
      </c>
      <c r="B3050" t="s">
        <v>9101</v>
      </c>
      <c r="C3050" t="s">
        <v>9102</v>
      </c>
      <c r="D3050" t="str">
        <f>HYPERLINK("https://github.com/consp1racy/android-support-preference/issues/81","show")</f>
        <v>show</v>
      </c>
      <c r="E3050" t="str">
        <f>HYPERLINK("https://github.com/consp1racy/android-support-preference","show")</f>
        <v>show</v>
      </c>
      <c r="F3050" t="str">
        <f>HYPERLINK("https://github.com/consp1racy/android-support-preference/releases","show")</f>
        <v>show</v>
      </c>
    </row>
    <row r="3051" spans="1:6">
      <c r="A3051" t="s">
        <v>9103</v>
      </c>
      <c r="B3051" t="s">
        <v>9104</v>
      </c>
      <c r="C3051" t="s">
        <v>9105</v>
      </c>
      <c r="D3051" t="str">
        <f>HYPERLINK("https://github.com/geopaparazzi/geopaparazzi/issues/415","show")</f>
        <v>show</v>
      </c>
      <c r="E3051" t="str">
        <f>HYPERLINK("https://github.com/geopaparazzi/geopaparazzi","show")</f>
        <v>show</v>
      </c>
      <c r="F3051" t="str">
        <f>HYPERLINK("https://github.com/geopaparazzi/geopaparazzi/releases","show")</f>
        <v>show</v>
      </c>
    </row>
    <row r="3052" spans="1:6">
      <c r="A3052" t="s">
        <v>9106</v>
      </c>
      <c r="B3052" t="s">
        <v>9107</v>
      </c>
      <c r="C3052" t="s">
        <v>9108</v>
      </c>
      <c r="D3052" t="str">
        <f>HYPERLINK("https://github.com/TeamNewPipe/NewPipe/issues/744","show")</f>
        <v>show</v>
      </c>
      <c r="E3052" t="str">
        <f>HYPERLINK("https://github.com/TeamNewPipe/NewPipe","show")</f>
        <v>show</v>
      </c>
      <c r="F3052" t="str">
        <f>HYPERLINK("https://github.com/TeamNewPipe/NewPipe/releases","show")</f>
        <v>show</v>
      </c>
    </row>
    <row r="3053" spans="1:6">
      <c r="A3053" t="s">
        <v>9109</v>
      </c>
      <c r="B3053" t="s">
        <v>9110</v>
      </c>
      <c r="C3053" t="s">
        <v>9111</v>
      </c>
      <c r="D3053" t="str">
        <f>HYPERLINK("https://github.com/erickok/transdroid/issues/391","show")</f>
        <v>show</v>
      </c>
      <c r="E3053" t="str">
        <f>HYPERLINK("https://github.com/erickok/transdroid","show")</f>
        <v>show</v>
      </c>
      <c r="F3053" t="str">
        <f>HYPERLINK("https://github.com/erickok/transdroid/releases","show")</f>
        <v>show</v>
      </c>
    </row>
    <row r="3054" spans="1:6">
      <c r="A3054" t="s">
        <v>9112</v>
      </c>
      <c r="B3054" t="s">
        <v>9113</v>
      </c>
      <c r="C3054" t="s">
        <v>9114</v>
      </c>
      <c r="D3054" t="str">
        <f>HYPERLINK("https://github.com/arunkumar9t2/lynket-browser/issues/33","show")</f>
        <v>show</v>
      </c>
      <c r="E3054" t="str">
        <f>HYPERLINK("https://github.com/arunkumar9t2/lynket-browser","show")</f>
        <v>show</v>
      </c>
      <c r="F3054" t="str">
        <f>HYPERLINK("https://github.com/arunkumar9t2/lynket-browser/releases","show")</f>
        <v>show</v>
      </c>
    </row>
    <row r="3055" spans="1:6">
      <c r="A3055" t="s">
        <v>9115</v>
      </c>
      <c r="B3055" t="s">
        <v>9116</v>
      </c>
      <c r="C3055" t="s">
        <v>9117</v>
      </c>
      <c r="D3055" t="str">
        <f>HYPERLINK("https://github.com/antest1/kcanotify/issues/21","show")</f>
        <v>show</v>
      </c>
      <c r="E3055" t="str">
        <f>HYPERLINK("https://github.com/antest1/kcanotify","show")</f>
        <v>show</v>
      </c>
      <c r="F3055" t="str">
        <f>HYPERLINK("https://github.com/antest1/kcanotify/releases","show")</f>
        <v>show</v>
      </c>
    </row>
    <row r="3056" spans="1:6">
      <c r="A3056" t="s">
        <v>9118</v>
      </c>
      <c r="B3056" t="s">
        <v>9119</v>
      </c>
      <c r="C3056" t="s">
        <v>9120</v>
      </c>
      <c r="D3056" t="str">
        <f>HYPERLINK("https://github.com/nextcloud/android/issues/1601","show")</f>
        <v>show</v>
      </c>
      <c r="E3056" t="str">
        <f>HYPERLINK("https://github.com/nextcloud/android","show")</f>
        <v>show</v>
      </c>
      <c r="F3056" t="str">
        <f>HYPERLINK("https://github.com/nextcloud/android/releases","show")</f>
        <v>show</v>
      </c>
    </row>
    <row r="3057" spans="1:6">
      <c r="A3057" t="s">
        <v>9121</v>
      </c>
      <c r="B3057" t="s">
        <v>9122</v>
      </c>
      <c r="C3057" t="s">
        <v>9123</v>
      </c>
      <c r="D3057" t="str">
        <f>HYPERLINK("https://github.com/OneBusAway/onebusaway-android/issues/810","show")</f>
        <v>show</v>
      </c>
      <c r="E3057" t="str">
        <f>HYPERLINK("https://github.com/OneBusAway/onebusaway-android","show")</f>
        <v>show</v>
      </c>
      <c r="F3057" t="str">
        <f>HYPERLINK("https://github.com/OneBusAway/onebusaway-android/releases","show")</f>
        <v>show</v>
      </c>
    </row>
    <row r="3058" spans="1:6">
      <c r="A3058" t="s">
        <v>9124</v>
      </c>
      <c r="B3058" t="s">
        <v>9125</v>
      </c>
      <c r="C3058" t="s">
        <v>9126</v>
      </c>
      <c r="D3058" t="str">
        <f>HYPERLINK("https://github.com/OneBusAway/onebusaway-android/issues/809","show")</f>
        <v>show</v>
      </c>
      <c r="E3058" t="str">
        <f>HYPERLINK("https://github.com/OneBusAway/onebusaway-android","show")</f>
        <v>show</v>
      </c>
      <c r="F3058" t="str">
        <f>HYPERLINK("https://github.com/OneBusAway/onebusaway-android/releases","show")</f>
        <v>show</v>
      </c>
    </row>
    <row r="3059" spans="1:6">
      <c r="A3059" t="s">
        <v>9127</v>
      </c>
      <c r="B3059" t="s">
        <v>9128</v>
      </c>
      <c r="C3059" t="s">
        <v>9129</v>
      </c>
      <c r="D3059" t="str">
        <f>HYPERLINK("https://github.com/MCMrARM/revolution-irc/issues/3","show")</f>
        <v>show</v>
      </c>
      <c r="E3059" t="str">
        <f>HYPERLINK("https://github.com/MCMrARM/revolution-irc","show")</f>
        <v>show</v>
      </c>
      <c r="F3059" t="str">
        <f>HYPERLINK("https://github.com/MCMrARM/revolution-irc/releases","show")</f>
        <v>show</v>
      </c>
    </row>
    <row r="3060" spans="1:6">
      <c r="A3060" t="s">
        <v>9130</v>
      </c>
      <c r="B3060" t="s">
        <v>9131</v>
      </c>
      <c r="C3060" t="s">
        <v>9132</v>
      </c>
      <c r="D3060" t="str">
        <f>HYPERLINK("https://github.com/TeamWalrus/Walrus/issues/11","show")</f>
        <v>show</v>
      </c>
      <c r="E3060" t="str">
        <f>HYPERLINK("https://github.com/TeamWalrus/Walrus","show")</f>
        <v>show</v>
      </c>
      <c r="F3060" t="str">
        <f>HYPERLINK("https://github.com/TeamWalrus/Walrus/releases","show")</f>
        <v>show</v>
      </c>
    </row>
    <row r="3061" spans="1:6">
      <c r="A3061" t="s">
        <v>9133</v>
      </c>
      <c r="B3061" t="s">
        <v>9134</v>
      </c>
      <c r="C3061" t="s">
        <v>9135</v>
      </c>
      <c r="D3061" t="str">
        <f>HYPERLINK("https://github.com/BaseballCardTracker/bbct-android/issues/423","show")</f>
        <v>show</v>
      </c>
      <c r="E3061" t="str">
        <f>HYPERLINK("https://github.com/BaseballCardTracker/bbct-android","show")</f>
        <v>show</v>
      </c>
      <c r="F3061" t="str">
        <f>HYPERLINK("https://github.com/BaseballCardTracker/bbct-android/releases","show")</f>
        <v>show</v>
      </c>
    </row>
    <row r="3062" spans="1:6">
      <c r="A3062" t="s">
        <v>9136</v>
      </c>
      <c r="B3062" t="s">
        <v>9137</v>
      </c>
      <c r="C3062" t="s">
        <v>9138</v>
      </c>
      <c r="D3062" t="str">
        <f>HYPERLINK("https://github.com/dgets/MinTone/issues/11","show")</f>
        <v>show</v>
      </c>
      <c r="E3062" t="str">
        <f>HYPERLINK("https://github.com/dgets/MinTone","show")</f>
        <v>show</v>
      </c>
      <c r="F3062" t="str">
        <f>HYPERLINK("https://github.com/dgets/MinTone/releases","show")</f>
        <v>show</v>
      </c>
    </row>
    <row r="3063" spans="1:6">
      <c r="A3063" t="s">
        <v>9139</v>
      </c>
      <c r="B3063" t="s">
        <v>9140</v>
      </c>
      <c r="C3063" t="s">
        <v>9141</v>
      </c>
      <c r="D3063" t="str">
        <f>HYPERLINK("https://github.com/mkjensen/tv/issues/2","show")</f>
        <v>show</v>
      </c>
      <c r="E3063" t="str">
        <f>HYPERLINK("https://github.com/mkjensen/tv","show")</f>
        <v>show</v>
      </c>
      <c r="F3063" t="str">
        <f>HYPERLINK("https://github.com/mkjensen/tv/releases","show")</f>
        <v>show</v>
      </c>
    </row>
    <row r="3064" spans="1:6">
      <c r="A3064" t="s">
        <v>9142</v>
      </c>
      <c r="B3064" t="s">
        <v>9143</v>
      </c>
      <c r="C3064" t="s">
        <v>9144</v>
      </c>
      <c r="D3064" t="str">
        <f>HYPERLINK("https://github.com/st1hy/Red-Calorie/issues/32","show")</f>
        <v>show</v>
      </c>
      <c r="E3064" t="str">
        <f>HYPERLINK("https://github.com/st1hy/Red-Calorie","show")</f>
        <v>show</v>
      </c>
      <c r="F3064" t="str">
        <f>HYPERLINK("https://github.com/st1hy/Red-Calorie/releases","show")</f>
        <v>show</v>
      </c>
    </row>
    <row r="3065" spans="1:6">
      <c r="A3065" t="s">
        <v>9145</v>
      </c>
      <c r="B3065" t="s">
        <v>9146</v>
      </c>
      <c r="C3065" t="s">
        <v>9147</v>
      </c>
      <c r="D3065" t="str">
        <f>HYPERLINK("https://github.com/dgets/MinTone/issues/15","show")</f>
        <v>show</v>
      </c>
      <c r="E3065" t="str">
        <f>HYPERLINK("https://github.com/dgets/MinTone","show")</f>
        <v>show</v>
      </c>
      <c r="F3065" t="str">
        <f>HYPERLINK("https://github.com/dgets/MinTone/releases","show")</f>
        <v>show</v>
      </c>
    </row>
    <row r="3066" spans="1:6">
      <c r="A3066" t="s">
        <v>9148</v>
      </c>
      <c r="B3066" t="s">
        <v>9149</v>
      </c>
      <c r="C3066" t="s">
        <v>9150</v>
      </c>
      <c r="D3066" t="str">
        <f>HYPERLINK("https://github.com/iBotPeaches/Apktool/issues/1632","show")</f>
        <v>show</v>
      </c>
      <c r="E3066" t="str">
        <f>HYPERLINK("https://github.com/iBotPeaches/Apktool","show")</f>
        <v>show</v>
      </c>
      <c r="F3066" t="str">
        <f>HYPERLINK("https://github.com/iBotPeaches/Apktool/releases","show")</f>
        <v>show</v>
      </c>
    </row>
    <row r="3067" spans="1:6">
      <c r="A3067" t="s">
        <v>9151</v>
      </c>
      <c r="B3067" t="s">
        <v>9152</v>
      </c>
      <c r="C3067" t="s">
        <v>9153</v>
      </c>
      <c r="D3067" t="str">
        <f>HYPERLINK("https://github.com/dimagi/commcare-android/issues/1842","show")</f>
        <v>show</v>
      </c>
      <c r="E3067" t="str">
        <f>HYPERLINK("https://github.com/dimagi/commcare-android","show")</f>
        <v>show</v>
      </c>
      <c r="F3067" t="str">
        <f>HYPERLINK("https://github.com/dimagi/commcare-android/releases","show")</f>
        <v>show</v>
      </c>
    </row>
    <row r="3068" spans="1:6">
      <c r="A3068" t="s">
        <v>9154</v>
      </c>
      <c r="B3068" t="s">
        <v>9155</v>
      </c>
      <c r="C3068" t="s">
        <v>9156</v>
      </c>
      <c r="D3068" t="str">
        <f>HYPERLINK("https://github.com/dimagi/commcare-android/issues/1845","show")</f>
        <v>show</v>
      </c>
      <c r="E3068" t="str">
        <f>HYPERLINK("https://github.com/dimagi/commcare-android","show")</f>
        <v>show</v>
      </c>
      <c r="F3068" t="str">
        <f>HYPERLINK("https://github.com/dimagi/commcare-android/releases","show")</f>
        <v>show</v>
      </c>
    </row>
    <row r="3069" spans="1:6">
      <c r="A3069" t="s">
        <v>9157</v>
      </c>
      <c r="B3069" t="s">
        <v>9158</v>
      </c>
      <c r="C3069" t="s">
        <v>9159</v>
      </c>
      <c r="D3069" t="str">
        <f>HYPERLINK("https://github.com/Rajawali/Rajawali/issues/1991","show")</f>
        <v>show</v>
      </c>
      <c r="E3069" t="str">
        <f>HYPERLINK("https://github.com/Rajawali/Rajawali","show")</f>
        <v>show</v>
      </c>
      <c r="F3069" t="str">
        <f>HYPERLINK("https://github.com/Rajawali/Rajawali/releases","show")</f>
        <v>show</v>
      </c>
    </row>
    <row r="3070" spans="1:6">
      <c r="A3070" t="s">
        <v>9160</v>
      </c>
      <c r="B3070" t="s">
        <v>9161</v>
      </c>
      <c r="C3070" t="s">
        <v>9162</v>
      </c>
      <c r="D3070" t="str">
        <f>HYPERLINK("https://github.com/philipphecht/react-native-doc-viewer/issues/49","show")</f>
        <v>show</v>
      </c>
      <c r="E3070" t="str">
        <f>HYPERLINK("https://github.com/philipphecht/react-native-doc-viewer","show")</f>
        <v>show</v>
      </c>
      <c r="F3070" t="str">
        <f>HYPERLINK("https://github.com/philipphecht/react-native-doc-viewer/releases","show")</f>
        <v>show</v>
      </c>
    </row>
    <row r="3071" spans="1:6">
      <c r="A3071" t="s">
        <v>9163</v>
      </c>
      <c r="B3071" t="s">
        <v>9164</v>
      </c>
      <c r="C3071" t="s">
        <v>9165</v>
      </c>
      <c r="D3071" t="str">
        <f>HYPERLINK("https://github.com/requery/requery/issues/693","show")</f>
        <v>show</v>
      </c>
      <c r="E3071" t="str">
        <f>HYPERLINK("https://github.com/requery/requery","show")</f>
        <v>show</v>
      </c>
      <c r="F3071" t="str">
        <f>HYPERLINK("https://github.com/requery/requery/releases","show")</f>
        <v>show</v>
      </c>
    </row>
    <row r="3072" spans="1:6">
      <c r="A3072" t="s">
        <v>9166</v>
      </c>
      <c r="B3072" t="s">
        <v>9167</v>
      </c>
      <c r="C3072" t="s">
        <v>9168</v>
      </c>
      <c r="D3072" t="str">
        <f>HYPERLINK("https://github.com/twilio/voice-quickstart-android/issues/99","show")</f>
        <v>show</v>
      </c>
      <c r="E3072" t="str">
        <f>HYPERLINK("https://github.com/twilio/voice-quickstart-android","show")</f>
        <v>show</v>
      </c>
      <c r="F3072" t="str">
        <f>HYPERLINK("https://github.com/twilio/voice-quickstart-android/releases","show")</f>
        <v>show</v>
      </c>
    </row>
    <row r="3073" spans="1:6">
      <c r="A3073" t="s">
        <v>9169</v>
      </c>
      <c r="B3073" t="s">
        <v>9170</v>
      </c>
      <c r="C3073" t="s">
        <v>9171</v>
      </c>
      <c r="D3073" t="str">
        <f>HYPERLINK("https://github.com/RafalManka/ScrollCalendar/issues/1","show")</f>
        <v>show</v>
      </c>
      <c r="E3073" t="str">
        <f>HYPERLINK("https://github.com/RafalManka/ScrollCalendar","show")</f>
        <v>show</v>
      </c>
      <c r="F3073" t="str">
        <f>HYPERLINK("https://github.com/RafalManka/ScrollCalendar/releases","show")</f>
        <v>show</v>
      </c>
    </row>
    <row r="3074" spans="1:6">
      <c r="A3074" t="s">
        <v>9172</v>
      </c>
      <c r="B3074" t="s">
        <v>9173</v>
      </c>
      <c r="C3074" t="s">
        <v>9174</v>
      </c>
      <c r="D3074" t="str">
        <f>HYPERLINK("https://github.com/requery/requery/issues/696","show")</f>
        <v>show</v>
      </c>
      <c r="E3074" t="str">
        <f>HYPERLINK("https://github.com/requery/requery","show")</f>
        <v>show</v>
      </c>
      <c r="F3074" t="str">
        <f>HYPERLINK("https://github.com/requery/requery/releases","show")</f>
        <v>show</v>
      </c>
    </row>
    <row r="3075" spans="1:6">
      <c r="A3075" t="s">
        <v>9175</v>
      </c>
      <c r="B3075" t="s">
        <v>9176</v>
      </c>
      <c r="C3075" t="s">
        <v>9177</v>
      </c>
      <c r="D3075" t="str">
        <f>HYPERLINK("https://github.com/niclabs/adkintunmobile-androidclient/issues/181","show")</f>
        <v>show</v>
      </c>
      <c r="E3075" t="str">
        <f>HYPERLINK("https://github.com/niclabs/adkintunmobile-androidclient","show")</f>
        <v>show</v>
      </c>
      <c r="F3075" t="str">
        <f>HYPERLINK("https://github.com/niclabs/adkintunmobile-androidclient/releases","show")</f>
        <v>show</v>
      </c>
    </row>
    <row r="3076" spans="1:6">
      <c r="A3076" t="s">
        <v>9178</v>
      </c>
      <c r="B3076" t="s">
        <v>9179</v>
      </c>
      <c r="C3076" t="s">
        <v>9180</v>
      </c>
      <c r="D3076" t="str">
        <f>HYPERLINK("https://github.com/vexelon-dot-net/currencybg.app/issues/86","show")</f>
        <v>show</v>
      </c>
      <c r="E3076" t="str">
        <f>HYPERLINK("https://github.com/vexelon-dot-net/currencybg.app","show")</f>
        <v>show</v>
      </c>
      <c r="F3076" t="str">
        <f>HYPERLINK("https://github.com/vexelon-dot-net/currencybg.app/releases","show")</f>
        <v>show</v>
      </c>
    </row>
    <row r="3077" spans="1:6">
      <c r="A3077" t="s">
        <v>9181</v>
      </c>
      <c r="B3077" t="s">
        <v>9182</v>
      </c>
      <c r="C3077" t="s">
        <v>9183</v>
      </c>
      <c r="D3077" t="str">
        <f>HYPERLINK("https://github.com/SecUSo/privacy-friendly-weather/issues/51","show")</f>
        <v>show</v>
      </c>
      <c r="E3077" t="str">
        <f>HYPERLINK("https://github.com/SecUSo/privacy-friendly-weather","show")</f>
        <v>show</v>
      </c>
      <c r="F3077" t="str">
        <f>HYPERLINK("https://github.com/SecUSo/privacy-friendly-weather/releases","show")</f>
        <v>show</v>
      </c>
    </row>
    <row r="3078" spans="1:6">
      <c r="A3078" t="s">
        <v>9184</v>
      </c>
      <c r="B3078" t="s">
        <v>9185</v>
      </c>
      <c r="C3078" t="s">
        <v>9186</v>
      </c>
      <c r="D3078" t="str">
        <f>HYPERLINK("https://github.com/jawg/osm-contributor/issues/136","show")</f>
        <v>show</v>
      </c>
      <c r="E3078" t="str">
        <f>HYPERLINK("https://github.com/jawg/osm-contributor","show")</f>
        <v>show</v>
      </c>
      <c r="F3078" t="str">
        <f>HYPERLINK("https://github.com/jawg/osm-contributor/releases","show")</f>
        <v>show</v>
      </c>
    </row>
    <row r="3079" spans="1:6">
      <c r="A3079" t="s">
        <v>9187</v>
      </c>
      <c r="B3079" t="s">
        <v>9188</v>
      </c>
      <c r="C3079" t="s">
        <v>9189</v>
      </c>
      <c r="D3079" t="str">
        <f>HYPERLINK("https://github.com/rosenpin/quick-draw-everywhere/issues/3","show")</f>
        <v>show</v>
      </c>
      <c r="E3079" t="str">
        <f>HYPERLINK("https://github.com/rosenpin/quick-draw-everywhere","show")</f>
        <v>show</v>
      </c>
      <c r="F3079" t="str">
        <f>HYPERLINK("https://github.com/rosenpin/quick-draw-everywhere/releases","show")</f>
        <v>show</v>
      </c>
    </row>
    <row r="3080" spans="1:6">
      <c r="A3080" t="s">
        <v>9190</v>
      </c>
      <c r="B3080" t="s">
        <v>9191</v>
      </c>
      <c r="C3080" t="s">
        <v>9192</v>
      </c>
      <c r="D3080" t="str">
        <f>HYPERLINK("https://github.com/nitrite/nitrite-java/issues/29","show")</f>
        <v>show</v>
      </c>
      <c r="E3080" t="str">
        <f>HYPERLINK("https://github.com/nitrite/nitrite-java","show")</f>
        <v>show</v>
      </c>
      <c r="F3080" t="str">
        <f>HYPERLINK("https://github.com/nitrite/nitrite-java/releases","show")</f>
        <v>show</v>
      </c>
    </row>
    <row r="3081" spans="1:6">
      <c r="A3081" t="s">
        <v>9193</v>
      </c>
      <c r="B3081" t="s">
        <v>9194</v>
      </c>
      <c r="C3081" t="s">
        <v>9195</v>
      </c>
      <c r="D3081" t="str">
        <f>HYPERLINK("https://github.com/PhilippC/keepass2android/issues/33","show")</f>
        <v>show</v>
      </c>
      <c r="E3081" t="str">
        <f>HYPERLINK("https://github.com/PhilippC/keepass2android","show")</f>
        <v>show</v>
      </c>
      <c r="F3081" t="str">
        <f>HYPERLINK("https://github.com/PhilippC/keepass2android/releases","show")</f>
        <v>show</v>
      </c>
    </row>
    <row r="3082" spans="1:6">
      <c r="A3082" t="s">
        <v>9196</v>
      </c>
      <c r="B3082" t="s">
        <v>9197</v>
      </c>
      <c r="C3082" t="s">
        <v>9198</v>
      </c>
      <c r="D3082" t="str">
        <f>HYPERLINK("https://github.com/cgeo/cgeo/issues/6751","show")</f>
        <v>show</v>
      </c>
      <c r="E3082" t="str">
        <f>HYPERLINK("https://github.com/cgeo/cgeo","show")</f>
        <v>show</v>
      </c>
      <c r="F3082" t="str">
        <f>HYPERLINK("https://github.com/cgeo/cgeo/releases","show")</f>
        <v>show</v>
      </c>
    </row>
    <row r="3083" spans="1:6">
      <c r="A3083" t="s">
        <v>9199</v>
      </c>
      <c r="B3083" t="s">
        <v>9200</v>
      </c>
      <c r="C3083" t="s">
        <v>9201</v>
      </c>
      <c r="D3083" t="str">
        <f>HYPERLINK("https://github.com/syncthing/syncthing-android/issues/963","show")</f>
        <v>show</v>
      </c>
      <c r="E3083" t="str">
        <f>HYPERLINK("https://github.com/syncthing/syncthing-android","show")</f>
        <v>show</v>
      </c>
      <c r="F3083" t="str">
        <f>HYPERLINK("https://github.com/syncthing/syncthing-android/releases","show")</f>
        <v>show</v>
      </c>
    </row>
    <row r="3084" spans="1:6">
      <c r="A3084" t="s">
        <v>9202</v>
      </c>
      <c r="B3084" t="s">
        <v>9203</v>
      </c>
      <c r="C3084" t="s">
        <v>9204</v>
      </c>
      <c r="D3084" t="str">
        <f>HYPERLINK("https://github.com/Pritom14/Password-Storage/issues/14","show")</f>
        <v>show</v>
      </c>
      <c r="E3084" t="str">
        <f>HYPERLINK("https://github.com/Pritom14/Password-Storage","show")</f>
        <v>show</v>
      </c>
      <c r="F3084" t="str">
        <f>HYPERLINK("https://github.com/Pritom14/Password-Storage/releases","show")</f>
        <v>show</v>
      </c>
    </row>
    <row r="3085" spans="1:6">
      <c r="A3085" t="s">
        <v>9205</v>
      </c>
      <c r="B3085" t="s">
        <v>9206</v>
      </c>
      <c r="C3085" t="s">
        <v>9207</v>
      </c>
      <c r="D3085" t="str">
        <f>HYPERLINK("https://github.com/nextcloud/news-android/issues/583","show")</f>
        <v>show</v>
      </c>
      <c r="E3085" t="str">
        <f>HYPERLINK("https://github.com/nextcloud/news-android","show")</f>
        <v>show</v>
      </c>
      <c r="F3085" t="str">
        <f>HYPERLINK("https://github.com/nextcloud/news-android/releases","show")</f>
        <v>show</v>
      </c>
    </row>
    <row r="3086" spans="1:6">
      <c r="A3086" t="s">
        <v>9208</v>
      </c>
      <c r="B3086" t="s">
        <v>9209</v>
      </c>
      <c r="C3086" t="s">
        <v>9210</v>
      </c>
      <c r="D3086" t="str">
        <f>HYPERLINK("https://github.com/zom/Zom-Android-XMPP/issues/353","show")</f>
        <v>show</v>
      </c>
      <c r="E3086" t="str">
        <f>HYPERLINK("https://github.com/zom/Zom-Android-XMPP","show")</f>
        <v>show</v>
      </c>
      <c r="F3086" t="str">
        <f>HYPERLINK("https://github.com/zom/Zom-Android-XMPP/releases","show")</f>
        <v>show</v>
      </c>
    </row>
    <row r="3087" spans="1:6">
      <c r="A3087" t="s">
        <v>9211</v>
      </c>
      <c r="B3087" t="s">
        <v>9212</v>
      </c>
      <c r="C3087" t="s">
        <v>9213</v>
      </c>
      <c r="D3087" t="str">
        <f>HYPERLINK("https://github.com/Calsign/APDE/issues/32","show")</f>
        <v>show</v>
      </c>
      <c r="E3087" t="str">
        <f>HYPERLINK("https://github.com/Calsign/APDE","show")</f>
        <v>show</v>
      </c>
      <c r="F3087" t="str">
        <f>HYPERLINK("https://github.com/Calsign/APDE/releases","show")</f>
        <v>show</v>
      </c>
    </row>
    <row r="3088" spans="1:6">
      <c r="A3088" t="s">
        <v>9214</v>
      </c>
      <c r="B3088" t="s">
        <v>9215</v>
      </c>
      <c r="C3088" t="s">
        <v>9216</v>
      </c>
      <c r="D3088" t="str">
        <f>HYPERLINK("https://github.com/LawnchairLauncher/lawnchair/issues/817","show")</f>
        <v>show</v>
      </c>
      <c r="E3088" t="str">
        <f>HYPERLINK("https://github.com/LawnchairLauncher/lawnchair","show")</f>
        <v>show</v>
      </c>
      <c r="F3088" t="str">
        <f>HYPERLINK("https://github.com/LawnchairLauncher/lawnchair/releases","show")</f>
        <v>show</v>
      </c>
    </row>
    <row r="3089" spans="1:6">
      <c r="A3089" t="s">
        <v>9217</v>
      </c>
      <c r="B3089" t="s">
        <v>9218</v>
      </c>
      <c r="C3089" t="s">
        <v>9219</v>
      </c>
      <c r="D3089" t="str">
        <f>HYPERLINK("https://github.com/twilio/video-quickstart-android/issues/180","show")</f>
        <v>show</v>
      </c>
      <c r="E3089" t="str">
        <f>HYPERLINK("https://github.com/twilio/video-quickstart-android","show")</f>
        <v>show</v>
      </c>
      <c r="F3089" t="str">
        <f>HYPERLINK("https://github.com/twilio/video-quickstart-android/releases","show")</f>
        <v>show</v>
      </c>
    </row>
    <row r="3090" spans="1:6">
      <c r="A3090" t="s">
        <v>9220</v>
      </c>
      <c r="B3090" t="s">
        <v>9221</v>
      </c>
      <c r="C3090" t="s">
        <v>9222</v>
      </c>
      <c r="D3090" t="str">
        <f>HYPERLINK("https://github.com/mvysny/aedict/issues/805","show")</f>
        <v>show</v>
      </c>
      <c r="E3090" t="str">
        <f>HYPERLINK("https://github.com/mvysny/aedict","show")</f>
        <v>show</v>
      </c>
      <c r="F3090" t="str">
        <f>HYPERLINK("https://github.com/mvysny/aedict/releases","show")</f>
        <v>show</v>
      </c>
    </row>
    <row r="3091" spans="1:6">
      <c r="A3091" t="s">
        <v>9223</v>
      </c>
      <c r="B3091" t="s">
        <v>9224</v>
      </c>
      <c r="C3091" t="s">
        <v>9225</v>
      </c>
      <c r="D3091" t="str">
        <f>HYPERLINK("https://github.com/SecUSo/privacy-friendly-netmonitor/issues/44","show")</f>
        <v>show</v>
      </c>
      <c r="E3091" t="str">
        <f>HYPERLINK("https://github.com/SecUSo/privacy-friendly-netmonitor","show")</f>
        <v>show</v>
      </c>
      <c r="F3091" t="str">
        <f>HYPERLINK("https://github.com/SecUSo/privacy-friendly-netmonitor/releases","show")</f>
        <v>show</v>
      </c>
    </row>
    <row r="3092" spans="1:6">
      <c r="A3092" t="s">
        <v>9226</v>
      </c>
      <c r="B3092" t="s">
        <v>9227</v>
      </c>
      <c r="C3092" t="s">
        <v>9228</v>
      </c>
      <c r="D3092" t="str">
        <f>HYPERLINK("https://github.com/zom/Zom-Android-XMPP/issues/357","show")</f>
        <v>show</v>
      </c>
      <c r="E3092" t="str">
        <f>HYPERLINK("https://github.com/zom/Zom-Android-XMPP","show")</f>
        <v>show</v>
      </c>
      <c r="F3092" t="str">
        <f>HYPERLINK("https://github.com/zom/Zom-Android-XMPP/releases","show")</f>
        <v>show</v>
      </c>
    </row>
    <row r="3093" spans="1:6">
      <c r="A3093" t="s">
        <v>9229</v>
      </c>
      <c r="B3093" t="s">
        <v>9230</v>
      </c>
      <c r="C3093" t="s">
        <v>9231</v>
      </c>
      <c r="D3093" t="str">
        <f>HYPERLINK("https://github.com/zom/Zom-Android-XMPP/issues/356","show")</f>
        <v>show</v>
      </c>
      <c r="E3093" t="str">
        <f>HYPERLINK("https://github.com/zom/Zom-Android-XMPP","show")</f>
        <v>show</v>
      </c>
      <c r="F3093" t="str">
        <f>HYPERLINK("https://github.com/zom/Zom-Android-XMPP/releases","show")</f>
        <v>show</v>
      </c>
    </row>
    <row r="3094" spans="1:6">
      <c r="A3094" t="s">
        <v>9232</v>
      </c>
      <c r="B3094" t="s">
        <v>9233</v>
      </c>
      <c r="C3094" t="s">
        <v>9234</v>
      </c>
      <c r="D3094" t="str">
        <f>HYPERLINK("https://github.com/guolindev/LitePal/issues/300","show")</f>
        <v>show</v>
      </c>
      <c r="E3094" t="str">
        <f>HYPERLINK("https://github.com/guolindev/LitePal","show")</f>
        <v>show</v>
      </c>
      <c r="F3094" t="str">
        <f>HYPERLINK("https://github.com/guolindev/LitePal/releases","show")</f>
        <v>show</v>
      </c>
    </row>
    <row r="3095" spans="1:6">
      <c r="A3095" t="s">
        <v>9235</v>
      </c>
      <c r="B3095" t="s">
        <v>9236</v>
      </c>
      <c r="C3095" t="s">
        <v>9237</v>
      </c>
      <c r="D3095" t="str">
        <f>HYPERLINK("https://github.com/mapbox/mapbox-plugins-android/issues/135","show")</f>
        <v>show</v>
      </c>
      <c r="E3095" t="str">
        <f>HYPERLINK("https://github.com/mapbox/mapbox-plugins-android","show")</f>
        <v>show</v>
      </c>
      <c r="F3095" t="str">
        <f>HYPERLINK("https://github.com/mapbox/mapbox-plugins-android/releases","show")</f>
        <v>show</v>
      </c>
    </row>
    <row r="3096" spans="1:6">
      <c r="A3096" t="s">
        <v>9238</v>
      </c>
      <c r="B3096" t="s">
        <v>9239</v>
      </c>
      <c r="C3096" t="s">
        <v>9240</v>
      </c>
      <c r="D3096" t="str">
        <f>HYPERLINK("https://github.com/mkeresztes/AndiCar/issues/15","show")</f>
        <v>show</v>
      </c>
      <c r="E3096" t="str">
        <f>HYPERLINK("https://github.com/mkeresztes/AndiCar","show")</f>
        <v>show</v>
      </c>
      <c r="F3096" t="str">
        <f>HYPERLINK("https://github.com/mkeresztes/AndiCar/releases","show")</f>
        <v>show</v>
      </c>
    </row>
    <row r="3097" spans="1:6">
      <c r="A3097" t="s">
        <v>9241</v>
      </c>
      <c r="B3097" t="s">
        <v>9242</v>
      </c>
      <c r="C3097" t="s">
        <v>9243</v>
      </c>
      <c r="D3097" t="str">
        <f>HYPERLINK("https://github.com/google/blockly-android/issues/678","show")</f>
        <v>show</v>
      </c>
      <c r="E3097" t="str">
        <f>HYPERLINK("https://github.com/google/blockly-android","show")</f>
        <v>show</v>
      </c>
      <c r="F3097" t="str">
        <f>HYPERLINK("https://github.com/google/blockly-android/releases","show")</f>
        <v>show</v>
      </c>
    </row>
    <row r="3098" spans="1:6">
      <c r="A3098" t="s">
        <v>9244</v>
      </c>
      <c r="B3098" t="s">
        <v>9245</v>
      </c>
      <c r="C3098" t="s">
        <v>9246</v>
      </c>
      <c r="D3098" t="str">
        <f>HYPERLINK("https://github.com/patrickfav/Dali/issues/9","show")</f>
        <v>show</v>
      </c>
      <c r="E3098" t="str">
        <f>HYPERLINK("https://github.com/patrickfav/Dali","show")</f>
        <v>show</v>
      </c>
      <c r="F3098" t="str">
        <f>HYPERLINK("https://github.com/patrickfav/Dali/releases","show")</f>
        <v>show</v>
      </c>
    </row>
    <row r="3099" spans="1:6">
      <c r="A3099" t="s">
        <v>9247</v>
      </c>
      <c r="B3099" t="s">
        <v>9248</v>
      </c>
      <c r="C3099" t="s">
        <v>9249</v>
      </c>
      <c r="D3099" t="str">
        <f>HYPERLINK("https://github.com/novoda/no-player/issues/96","show")</f>
        <v>show</v>
      </c>
      <c r="E3099" t="str">
        <f>HYPERLINK("https://github.com/novoda/no-player","show")</f>
        <v>show</v>
      </c>
      <c r="F3099" t="str">
        <f>HYPERLINK("https://github.com/novoda/no-player/releases","show")</f>
        <v>show</v>
      </c>
    </row>
    <row r="3100" spans="1:6">
      <c r="A3100" t="s">
        <v>9250</v>
      </c>
      <c r="B3100" t="s">
        <v>9251</v>
      </c>
      <c r="C3100" t="s">
        <v>9252</v>
      </c>
      <c r="D3100" t="str">
        <f>HYPERLINK("https://github.com/osmdroid/osmdroid/issues/736","show")</f>
        <v>show</v>
      </c>
      <c r="E3100" t="str">
        <f>HYPERLINK("https://github.com/osmdroid/osmdroid","show")</f>
        <v>show</v>
      </c>
      <c r="F3100" t="str">
        <f>HYPERLINK("https://github.com/osmdroid/osmdroid/releases","show")</f>
        <v>show</v>
      </c>
    </row>
    <row r="3101" spans="1:6">
      <c r="A3101" t="s">
        <v>9253</v>
      </c>
      <c r="B3101" t="s">
        <v>9254</v>
      </c>
      <c r="C3101" t="s">
        <v>9255</v>
      </c>
      <c r="D3101" t="str">
        <f>HYPERLINK("https://github.com/timusus/Shuttle/issues/202","show")</f>
        <v>show</v>
      </c>
      <c r="E3101" t="str">
        <f>HYPERLINK("https://github.com/timusus/Shuttle","show")</f>
        <v>show</v>
      </c>
      <c r="F3101" t="str">
        <f>HYPERLINK("https://github.com/timusus/Shuttle/releases","show")</f>
        <v>show</v>
      </c>
    </row>
    <row r="3102" spans="1:6">
      <c r="A3102" t="s">
        <v>9256</v>
      </c>
      <c r="B3102" t="s">
        <v>9257</v>
      </c>
      <c r="C3102" t="s">
        <v>9258</v>
      </c>
      <c r="D3102" t="str">
        <f>HYPERLINK("https://github.com/dgets/MinTone/issues/22","show")</f>
        <v>show</v>
      </c>
      <c r="E3102" t="str">
        <f>HYPERLINK("https://github.com/dgets/MinTone","show")</f>
        <v>show</v>
      </c>
      <c r="F3102" t="str">
        <f>HYPERLINK("https://github.com/dgets/MinTone/releases","show")</f>
        <v>show</v>
      </c>
    </row>
    <row r="3103" spans="1:6">
      <c r="A3103" t="s">
        <v>9259</v>
      </c>
      <c r="B3103" t="s">
        <v>9260</v>
      </c>
      <c r="C3103" t="s">
        <v>9261</v>
      </c>
      <c r="D3103" t="str">
        <f>HYPERLINK("https://github.com/google/google-authenticator-android/issues/70","show")</f>
        <v>show</v>
      </c>
      <c r="E3103" t="str">
        <f>HYPERLINK("https://github.com/google/google-authenticator-android","show")</f>
        <v>show</v>
      </c>
      <c r="F3103" t="str">
        <f>HYPERLINK("https://github.com/google/google-authenticator-android/releases","show")</f>
        <v>show</v>
      </c>
    </row>
    <row r="3104" spans="1:6">
      <c r="A3104" t="s">
        <v>9262</v>
      </c>
      <c r="B3104" t="s">
        <v>9263</v>
      </c>
      <c r="C3104" t="s">
        <v>9264</v>
      </c>
      <c r="D3104" t="str">
        <f>HYPERLINK("https://github.com/Etar-Group/Etar-Calendar/issues/259","show")</f>
        <v>show</v>
      </c>
      <c r="E3104" t="str">
        <f>HYPERLINK("https://github.com/Etar-Group/Etar-Calendar","show")</f>
        <v>show</v>
      </c>
      <c r="F3104" t="str">
        <f>HYPERLINK("https://github.com/Etar-Group/Etar-Calendar/releases","show")</f>
        <v>show</v>
      </c>
    </row>
    <row r="3105" spans="1:6">
      <c r="A3105" t="s">
        <v>9265</v>
      </c>
      <c r="B3105" t="s">
        <v>9266</v>
      </c>
      <c r="C3105" t="s">
        <v>9267</v>
      </c>
      <c r="D3105" t="str">
        <f>HYPERLINK("https://github.com/zom/Zom-Android-XMPP/issues/364","show")</f>
        <v>show</v>
      </c>
      <c r="E3105" t="str">
        <f>HYPERLINK("https://github.com/zom/Zom-Android-XMPP","show")</f>
        <v>show</v>
      </c>
      <c r="F3105" t="str">
        <f>HYPERLINK("https://github.com/zom/Zom-Android-XMPP/releases","show")</f>
        <v>show</v>
      </c>
    </row>
    <row r="3106" spans="1:6">
      <c r="A3106" t="s">
        <v>9268</v>
      </c>
      <c r="B3106" t="s">
        <v>9269</v>
      </c>
      <c r="C3106" t="s">
        <v>9270</v>
      </c>
      <c r="D3106" t="str">
        <f>HYPERLINK("https://github.com/zom/Zom-Android-XMPP/issues/362","show")</f>
        <v>show</v>
      </c>
      <c r="E3106" t="str">
        <f>HYPERLINK("https://github.com/zom/Zom-Android-XMPP","show")</f>
        <v>show</v>
      </c>
      <c r="F3106" t="str">
        <f>HYPERLINK("https://github.com/zom/Zom-Android-XMPP/releases","show")</f>
        <v>show</v>
      </c>
    </row>
    <row r="3107" spans="1:6">
      <c r="A3107" t="s">
        <v>9271</v>
      </c>
      <c r="B3107" t="s">
        <v>9272</v>
      </c>
      <c r="C3107" t="s">
        <v>9273</v>
      </c>
      <c r="D3107" t="str">
        <f>HYPERLINK("https://github.com/zom/Zom-Android-XMPP/issues/361","show")</f>
        <v>show</v>
      </c>
      <c r="E3107" t="str">
        <f>HYPERLINK("https://github.com/zom/Zom-Android-XMPP","show")</f>
        <v>show</v>
      </c>
      <c r="F3107" t="str">
        <f>HYPERLINK("https://github.com/zom/Zom-Android-XMPP/releases","show")</f>
        <v>show</v>
      </c>
    </row>
    <row r="3108" spans="1:6">
      <c r="A3108" t="s">
        <v>9274</v>
      </c>
      <c r="B3108" t="s">
        <v>9275</v>
      </c>
      <c r="C3108" t="s">
        <v>9276</v>
      </c>
      <c r="D3108" t="str">
        <f>HYPERLINK("https://github.com/PhilippC/keepass2android/issues/50","show")</f>
        <v>show</v>
      </c>
      <c r="E3108" t="str">
        <f>HYPERLINK("https://github.com/PhilippC/keepass2android","show")</f>
        <v>show</v>
      </c>
      <c r="F3108" t="str">
        <f>HYPERLINK("https://github.com/PhilippC/keepass2android/releases","show")</f>
        <v>show</v>
      </c>
    </row>
    <row r="3109" spans="1:6">
      <c r="A3109" t="s">
        <v>9277</v>
      </c>
      <c r="B3109" t="s">
        <v>9278</v>
      </c>
      <c r="C3109" t="s">
        <v>9279</v>
      </c>
      <c r="D3109" t="str">
        <f>HYPERLINK("https://github.com/drawers/SpinnerDatePicker/issues/1","show")</f>
        <v>show</v>
      </c>
      <c r="E3109" t="str">
        <f>HYPERLINK("https://github.com/drawers/SpinnerDatePicker","show")</f>
        <v>show</v>
      </c>
      <c r="F3109" t="str">
        <f>HYPERLINK("https://github.com/drawers/SpinnerDatePicker/releases","show")</f>
        <v>show</v>
      </c>
    </row>
    <row r="3110" spans="1:6">
      <c r="A3110" t="s">
        <v>9280</v>
      </c>
      <c r="B3110" t="s">
        <v>9281</v>
      </c>
      <c r="C3110" t="s">
        <v>9282</v>
      </c>
      <c r="D3110" t="str">
        <f>HYPERLINK("https://github.com/akaita/RxJava2Debug/issues/2","show")</f>
        <v>show</v>
      </c>
      <c r="E3110" t="str">
        <f>HYPERLINK("https://github.com/akaita/RxJava2Debug","show")</f>
        <v>show</v>
      </c>
      <c r="F3110" t="str">
        <f>HYPERLINK("https://github.com/akaita/RxJava2Debug/releases","show")</f>
        <v>show</v>
      </c>
    </row>
    <row r="3111" spans="1:6">
      <c r="A3111" t="s">
        <v>9283</v>
      </c>
      <c r="B3111" t="s">
        <v>9284</v>
      </c>
      <c r="C3111" t="s">
        <v>9285</v>
      </c>
      <c r="D3111" t="str">
        <f>HYPERLINK("https://github.com/ayltai/Newspaper/issues/111","show")</f>
        <v>show</v>
      </c>
      <c r="E3111" t="str">
        <f>HYPERLINK("https://github.com/ayltai/Newspaper","show")</f>
        <v>show</v>
      </c>
      <c r="F3111" t="str">
        <f>HYPERLINK("https://github.com/ayltai/Newspaper/releases","show")</f>
        <v>show</v>
      </c>
    </row>
    <row r="3112" spans="1:6">
      <c r="A3112" t="s">
        <v>9286</v>
      </c>
      <c r="B3112" t="s">
        <v>9287</v>
      </c>
      <c r="C3112" t="s">
        <v>9288</v>
      </c>
      <c r="D3112" t="str">
        <f>HYPERLINK("https://github.com/cgeo/cgeo/issues/6776","show")</f>
        <v>show</v>
      </c>
      <c r="E3112" t="str">
        <f>HYPERLINK("https://github.com/cgeo/cgeo","show")</f>
        <v>show</v>
      </c>
      <c r="F3112" t="str">
        <f>HYPERLINK("https://github.com/cgeo/cgeo/releases","show")</f>
        <v>show</v>
      </c>
    </row>
    <row r="3113" spans="1:6">
      <c r="A3113" t="s">
        <v>9289</v>
      </c>
      <c r="B3113" t="s">
        <v>9290</v>
      </c>
      <c r="C3113" t="s">
        <v>9291</v>
      </c>
      <c r="D3113" t="str">
        <f>HYPERLINK("https://github.com/niclabs/adkintunmobile-androidclient/issues/183","show")</f>
        <v>show</v>
      </c>
      <c r="E3113" t="str">
        <f>HYPERLINK("https://github.com/niclabs/adkintunmobile-androidclient","show")</f>
        <v>show</v>
      </c>
      <c r="F3113" t="str">
        <f>HYPERLINK("https://github.com/niclabs/adkintunmobile-androidclient/releases","show")</f>
        <v>show</v>
      </c>
    </row>
    <row r="3114" spans="1:6">
      <c r="A3114" t="s">
        <v>9292</v>
      </c>
      <c r="B3114" t="s">
        <v>9293</v>
      </c>
      <c r="C3114" t="s">
        <v>9294</v>
      </c>
      <c r="D3114" t="str">
        <f>HYPERLINK("https://github.com/niclabs/adkintunmobile-androidclient/issues/182","show")</f>
        <v>show</v>
      </c>
      <c r="E3114" t="str">
        <f>HYPERLINK("https://github.com/niclabs/adkintunmobile-androidclient","show")</f>
        <v>show</v>
      </c>
      <c r="F3114" t="str">
        <f>HYPERLINK("https://github.com/niclabs/adkintunmobile-androidclient/releases","show")</f>
        <v>show</v>
      </c>
    </row>
    <row r="3115" spans="1:6">
      <c r="A3115" t="s">
        <v>9295</v>
      </c>
      <c r="B3115" t="s">
        <v>9296</v>
      </c>
      <c r="C3115" t="s">
        <v>9297</v>
      </c>
      <c r="D3115" t="str">
        <f>HYPERLINK("https://github.com/nextcloud/android/issues/1678","show")</f>
        <v>show</v>
      </c>
      <c r="E3115" t="str">
        <f>HYPERLINK("https://github.com/nextcloud/android","show")</f>
        <v>show</v>
      </c>
      <c r="F3115" t="str">
        <f>HYPERLINK("https://github.com/nextcloud/android/releases","show")</f>
        <v>show</v>
      </c>
    </row>
    <row r="3116" spans="1:6">
      <c r="A3116" t="s">
        <v>9298</v>
      </c>
      <c r="B3116" t="s">
        <v>9299</v>
      </c>
      <c r="C3116" t="s">
        <v>9300</v>
      </c>
      <c r="D3116" t="str">
        <f>HYPERLINK("https://github.com/google/ExoPlayer/issues/3362","show")</f>
        <v>show</v>
      </c>
      <c r="E3116" t="str">
        <f>HYPERLINK("https://github.com/google/ExoPlayer","show")</f>
        <v>show</v>
      </c>
      <c r="F3116" t="str">
        <f>HYPERLINK("https://github.com/google/ExoPlayer/releases","show")</f>
        <v>show</v>
      </c>
    </row>
    <row r="3117" spans="1:6">
      <c r="A3117" t="s">
        <v>9301</v>
      </c>
      <c r="B3117" t="s">
        <v>9302</v>
      </c>
      <c r="C3117" t="s">
        <v>9303</v>
      </c>
      <c r="D3117" t="str">
        <f>HYPERLINK("https://github.com/cgeo/cgeo/issues/6783","show")</f>
        <v>show</v>
      </c>
      <c r="E3117" t="str">
        <f>HYPERLINK("https://github.com/cgeo/cgeo","show")</f>
        <v>show</v>
      </c>
      <c r="F3117" t="str">
        <f>HYPERLINK("https://github.com/cgeo/cgeo/releases","show")</f>
        <v>show</v>
      </c>
    </row>
    <row r="3118" spans="1:6">
      <c r="A3118" t="s">
        <v>9304</v>
      </c>
      <c r="B3118" t="s">
        <v>9305</v>
      </c>
      <c r="C3118" t="s">
        <v>9306</v>
      </c>
      <c r="D3118" t="str">
        <f>HYPERLINK("https://github.com/syncthing/syncthing-android/issues/972","show")</f>
        <v>show</v>
      </c>
      <c r="E3118" t="str">
        <f>HYPERLINK("https://github.com/syncthing/syncthing-android","show")</f>
        <v>show</v>
      </c>
      <c r="F3118" t="str">
        <f>HYPERLINK("https://github.com/syncthing/syncthing-android/releases","show")</f>
        <v>show</v>
      </c>
    </row>
    <row r="3119" spans="1:6">
      <c r="A3119" t="s">
        <v>9307</v>
      </c>
      <c r="B3119" t="s">
        <v>9308</v>
      </c>
      <c r="C3119" t="s">
        <v>9309</v>
      </c>
      <c r="D3119" t="str">
        <f>HYPERLINK("https://github.com/k9mail/k-9/issues/2846","show")</f>
        <v>show</v>
      </c>
      <c r="E3119" t="str">
        <f>HYPERLINK("https://github.com/k9mail/k-9","show")</f>
        <v>show</v>
      </c>
      <c r="F3119" t="str">
        <f>HYPERLINK("https://github.com/k9mail/k-9/releases","show")</f>
        <v>show</v>
      </c>
    </row>
    <row r="3120" spans="1:6">
      <c r="A3120" t="s">
        <v>9310</v>
      </c>
      <c r="B3120" t="s">
        <v>9311</v>
      </c>
      <c r="C3120" t="s">
        <v>9312</v>
      </c>
      <c r="D3120" t="str">
        <f>HYPERLINK("https://github.com/dgets/CPURecord/issues/2","show")</f>
        <v>show</v>
      </c>
      <c r="E3120" t="str">
        <f>HYPERLINK("https://github.com/dgets/CPURecord","show")</f>
        <v>show</v>
      </c>
      <c r="F3120" t="str">
        <f>HYPERLINK("https://github.com/dgets/CPURecord/releases","show")</f>
        <v>show</v>
      </c>
    </row>
    <row r="3121" spans="1:6">
      <c r="A3121" t="s">
        <v>9313</v>
      </c>
      <c r="B3121" t="s">
        <v>9314</v>
      </c>
      <c r="C3121" t="s">
        <v>9315</v>
      </c>
      <c r="D3121" t="str">
        <f>HYPERLINK("https://github.com/nextcloud/android/issues/1695","show")</f>
        <v>show</v>
      </c>
      <c r="E3121" t="str">
        <f>HYPERLINK("https://github.com/nextcloud/android","show")</f>
        <v>show</v>
      </c>
      <c r="F3121" t="str">
        <f>HYPERLINK("https://github.com/nextcloud/android/releases","show")</f>
        <v>show</v>
      </c>
    </row>
    <row r="3122" spans="1:6">
      <c r="A3122" t="s">
        <v>9316</v>
      </c>
      <c r="B3122" t="s">
        <v>9317</v>
      </c>
      <c r="C3122" t="s">
        <v>9318</v>
      </c>
      <c r="D3122" t="str">
        <f>HYPERLINK("https://github.com/cgeo/cgeo/issues/6784","show")</f>
        <v>show</v>
      </c>
      <c r="E3122" t="str">
        <f>HYPERLINK("https://github.com/cgeo/cgeo","show")</f>
        <v>show</v>
      </c>
      <c r="F3122" t="str">
        <f>HYPERLINK("https://github.com/cgeo/cgeo/releases","show")</f>
        <v>show</v>
      </c>
    </row>
    <row r="3123" spans="1:6">
      <c r="A3123" t="s">
        <v>9319</v>
      </c>
      <c r="B3123" t="s">
        <v>9320</v>
      </c>
      <c r="C3123" t="s">
        <v>9321</v>
      </c>
      <c r="D3123" t="str">
        <f>HYPERLINK("https://github.com/mycelium-com/wallet-android/issues/411","show")</f>
        <v>show</v>
      </c>
      <c r="E3123" t="str">
        <f>HYPERLINK("https://github.com/mycelium-com/wallet-android","show")</f>
        <v>show</v>
      </c>
      <c r="F3123" t="str">
        <f>HYPERLINK("https://github.com/mycelium-com/wallet-android/releases","show")</f>
        <v>show</v>
      </c>
    </row>
    <row r="3124" spans="1:6">
      <c r="A3124" t="s">
        <v>9322</v>
      </c>
      <c r="B3124" t="s">
        <v>9323</v>
      </c>
      <c r="C3124" t="s">
        <v>9324</v>
      </c>
      <c r="D3124" t="str">
        <f>HYPERLINK("https://github.com/HenriDellal/emerald/issues/11","show")</f>
        <v>show</v>
      </c>
      <c r="E3124" t="str">
        <f>HYPERLINK("https://github.com/HenriDellal/emerald","show")</f>
        <v>show</v>
      </c>
      <c r="F3124" t="str">
        <f>HYPERLINK("https://github.com/HenriDellal/emerald/releases","show")</f>
        <v>show</v>
      </c>
    </row>
    <row r="3125" spans="1:6">
      <c r="A3125" t="s">
        <v>9325</v>
      </c>
      <c r="B3125" t="s">
        <v>9326</v>
      </c>
      <c r="C3125" t="s">
        <v>9327</v>
      </c>
      <c r="D3125" t="str">
        <f>HYPERLINK("https://github.com/MCMrARM/revolution-irc/issues/16","show")</f>
        <v>show</v>
      </c>
      <c r="E3125" t="str">
        <f>HYPERLINK("https://github.com/MCMrARM/revolution-irc","show")</f>
        <v>show</v>
      </c>
      <c r="F3125" t="str">
        <f>HYPERLINK("https://github.com/MCMrARM/revolution-irc/releases","show")</f>
        <v>show</v>
      </c>
    </row>
    <row r="3126" spans="1:6">
      <c r="A3126" t="s">
        <v>9328</v>
      </c>
      <c r="B3126" t="s">
        <v>9329</v>
      </c>
      <c r="C3126" t="s">
        <v>9330</v>
      </c>
      <c r="D3126" t="str">
        <f>HYPERLINK("https://github.com/MCMrARM/revolution-irc/issues/15","show")</f>
        <v>show</v>
      </c>
      <c r="E3126" t="str">
        <f>HYPERLINK("https://github.com/MCMrARM/revolution-irc","show")</f>
        <v>show</v>
      </c>
      <c r="F3126" t="str">
        <f>HYPERLINK("https://github.com/MCMrARM/revolution-irc/releases","show")</f>
        <v>show</v>
      </c>
    </row>
    <row r="3127" spans="1:6">
      <c r="A3127" t="s">
        <v>9331</v>
      </c>
      <c r="B3127" t="s">
        <v>9332</v>
      </c>
      <c r="C3127" t="s">
        <v>9333</v>
      </c>
      <c r="D3127" t="str">
        <f>HYPERLINK("https://github.com/scottwainstock/pbm-android/issues/159","show")</f>
        <v>show</v>
      </c>
      <c r="E3127" t="str">
        <f>HYPERLINK("https://github.com/scottwainstock/pbm-android","show")</f>
        <v>show</v>
      </c>
      <c r="F3127" t="str">
        <f>HYPERLINK("https://github.com/scottwainstock/pbm-android/releases","show")</f>
        <v>show</v>
      </c>
    </row>
    <row r="3128" spans="1:6">
      <c r="A3128" t="s">
        <v>9334</v>
      </c>
      <c r="B3128" t="s">
        <v>9335</v>
      </c>
      <c r="C3128" t="s">
        <v>9336</v>
      </c>
      <c r="D3128" t="str">
        <f>HYPERLINK("https://github.com/gsantner/dandelion/issues/173","show")</f>
        <v>show</v>
      </c>
      <c r="E3128" t="str">
        <f>HYPERLINK("https://github.com/gsantner/dandelion","show")</f>
        <v>show</v>
      </c>
      <c r="F3128" t="str">
        <f>HYPERLINK("https://github.com/gsantner/dandelion/releases","show")</f>
        <v>show</v>
      </c>
    </row>
    <row r="3129" spans="1:6">
      <c r="A3129" t="s">
        <v>9337</v>
      </c>
      <c r="B3129" t="s">
        <v>9338</v>
      </c>
      <c r="C3129" t="s">
        <v>9339</v>
      </c>
      <c r="D3129" t="str">
        <f>HYPERLINK("https://github.com/getodk/collect/issues/1552","show")</f>
        <v>show</v>
      </c>
      <c r="E3129" t="str">
        <f>HYPERLINK("https://github.com/getodk/collect","show")</f>
        <v>show</v>
      </c>
      <c r="F3129" t="str">
        <f>HYPERLINK("https://github.com/getodk/collect/releases","show")</f>
        <v>show</v>
      </c>
    </row>
    <row r="3130" spans="1:6">
      <c r="A3130" t="s">
        <v>9340</v>
      </c>
      <c r="B3130" t="s">
        <v>9341</v>
      </c>
      <c r="C3130" t="s">
        <v>9342</v>
      </c>
      <c r="D3130" t="str">
        <f>HYPERLINK("https://github.com/DaylightingSociety/WhereAreTheEyes/issues/54","show")</f>
        <v>show</v>
      </c>
      <c r="E3130" t="str">
        <f>HYPERLINK("https://github.com/DaylightingSociety/WhereAreTheEyes","show")</f>
        <v>show</v>
      </c>
      <c r="F3130" t="str">
        <f>HYPERLINK("https://github.com/DaylightingSociety/WhereAreTheEyes/releases","show")</f>
        <v>show</v>
      </c>
    </row>
    <row r="3131" spans="1:6">
      <c r="A3131" t="s">
        <v>9343</v>
      </c>
      <c r="B3131" t="s">
        <v>9344</v>
      </c>
      <c r="C3131" t="s">
        <v>9345</v>
      </c>
      <c r="D3131" t="str">
        <f>HYPERLINK("https://github.com/taekwonjoe01/sweepersd/issues/74","show")</f>
        <v>show</v>
      </c>
      <c r="E3131" t="str">
        <f>HYPERLINK("https://github.com/taekwonjoe01/sweepersd","show")</f>
        <v>show</v>
      </c>
      <c r="F3131" t="str">
        <f>HYPERLINK("https://github.com/taekwonjoe01/sweepersd/releases","show")</f>
        <v>show</v>
      </c>
    </row>
    <row r="3132" spans="1:6">
      <c r="A3132" t="s">
        <v>9346</v>
      </c>
      <c r="B3132" t="s">
        <v>9347</v>
      </c>
      <c r="C3132" t="s">
        <v>9348</v>
      </c>
      <c r="D3132" t="str">
        <f>HYPERLINK("https://github.com/syncthing/syncthing-android/issues/978","show")</f>
        <v>show</v>
      </c>
      <c r="E3132" t="str">
        <f>HYPERLINK("https://github.com/syncthing/syncthing-android","show")</f>
        <v>show</v>
      </c>
      <c r="F3132" t="str">
        <f>HYPERLINK("https://github.com/syncthing/syncthing-android/releases","show")</f>
        <v>show</v>
      </c>
    </row>
    <row r="3133" spans="1:6">
      <c r="A3133" t="s">
        <v>9349</v>
      </c>
      <c r="B3133" t="s">
        <v>9350</v>
      </c>
      <c r="C3133" t="s">
        <v>9351</v>
      </c>
      <c r="D3133" t="str">
        <f>HYPERLINK("https://github.com/twilio/video-quickstart-android/issues/182","show")</f>
        <v>show</v>
      </c>
      <c r="E3133" t="str">
        <f>HYPERLINK("https://github.com/twilio/video-quickstart-android","show")</f>
        <v>show</v>
      </c>
      <c r="F3133" t="str">
        <f>HYPERLINK("https://github.com/twilio/video-quickstart-android/releases","show")</f>
        <v>show</v>
      </c>
    </row>
    <row r="3134" spans="1:6">
      <c r="A3134" t="s">
        <v>9352</v>
      </c>
      <c r="B3134" t="s">
        <v>9353</v>
      </c>
      <c r="C3134" t="s">
        <v>9354</v>
      </c>
      <c r="D3134" t="str">
        <f>HYPERLINK("https://github.com/ChicoState/Smart-Nap/issues/12","show")</f>
        <v>show</v>
      </c>
      <c r="E3134" t="str">
        <f>HYPERLINK("https://github.com/ChicoState/Smart-Nap","show")</f>
        <v>show</v>
      </c>
      <c r="F3134" t="str">
        <f>HYPERLINK("https://github.com/ChicoState/Smart-Nap/releases","show")</f>
        <v>show</v>
      </c>
    </row>
    <row r="3135" spans="1:6">
      <c r="A3135" t="s">
        <v>9355</v>
      </c>
      <c r="B3135" t="s">
        <v>9356</v>
      </c>
      <c r="C3135" t="s">
        <v>9357</v>
      </c>
      <c r="D3135" t="str">
        <f>HYPERLINK("https://github.com/google/ExoPlayer/issues/3396","show")</f>
        <v>show</v>
      </c>
      <c r="E3135" t="str">
        <f>HYPERLINK("https://github.com/google/ExoPlayer","show")</f>
        <v>show</v>
      </c>
      <c r="F3135" t="str">
        <f>HYPERLINK("https://github.com/google/ExoPlayer/releases","show")</f>
        <v>show</v>
      </c>
    </row>
    <row r="3136" spans="1:6">
      <c r="A3136" t="s">
        <v>9358</v>
      </c>
      <c r="B3136" t="s">
        <v>9359</v>
      </c>
      <c r="C3136" t="s">
        <v>9360</v>
      </c>
      <c r="D3136" t="str">
        <f>HYPERLINK("https://github.com/requery/sqlite-android/issues/49","show")</f>
        <v>show</v>
      </c>
      <c r="E3136" t="str">
        <f>HYPERLINK("https://github.com/requery/sqlite-android","show")</f>
        <v>show</v>
      </c>
      <c r="F3136" t="str">
        <f>HYPERLINK("https://github.com/requery/sqlite-android/releases","show")</f>
        <v>show</v>
      </c>
    </row>
    <row r="3137" spans="1:6">
      <c r="A3137" t="s">
        <v>9361</v>
      </c>
      <c r="B3137" t="s">
        <v>9362</v>
      </c>
      <c r="C3137" t="s">
        <v>9363</v>
      </c>
      <c r="D3137" t="str">
        <f>HYPERLINK("https://github.com/google/blockly-android/issues/681","show")</f>
        <v>show</v>
      </c>
      <c r="E3137" t="str">
        <f>HYPERLINK("https://github.com/google/blockly-android","show")</f>
        <v>show</v>
      </c>
      <c r="F3137" t="str">
        <f>HYPERLINK("https://github.com/google/blockly-android/releases","show")</f>
        <v>show</v>
      </c>
    </row>
    <row r="3138" spans="1:6">
      <c r="A3138" t="s">
        <v>9364</v>
      </c>
      <c r="B3138" t="s">
        <v>9365</v>
      </c>
      <c r="C3138" t="s">
        <v>9366</v>
      </c>
      <c r="D3138" t="str">
        <f>HYPERLINK("https://github.com/andremion/Louvre/issues/16","show")</f>
        <v>show</v>
      </c>
      <c r="E3138" t="str">
        <f>HYPERLINK("https://github.com/andremion/Louvre","show")</f>
        <v>show</v>
      </c>
      <c r="F3138" t="str">
        <f>HYPERLINK("https://github.com/andremion/Louvre/releases","show")</f>
        <v>show</v>
      </c>
    </row>
    <row r="3139" spans="1:6">
      <c r="A3139" t="s">
        <v>9367</v>
      </c>
      <c r="B3139" t="s">
        <v>9368</v>
      </c>
      <c r="C3139" t="s">
        <v>9369</v>
      </c>
      <c r="D3139" t="str">
        <f>HYPERLINK("https://github.com/tanrabad/survey/issues/39","show")</f>
        <v>show</v>
      </c>
      <c r="E3139" t="str">
        <f>HYPERLINK("https://github.com/tanrabad/survey","show")</f>
        <v>show</v>
      </c>
      <c r="F3139" t="str">
        <f>HYPERLINK("https://github.com/tanrabad/survey/releases","show")</f>
        <v>show</v>
      </c>
    </row>
    <row r="3140" spans="1:6">
      <c r="A3140" t="s">
        <v>9370</v>
      </c>
      <c r="B3140" t="s">
        <v>9371</v>
      </c>
      <c r="C3140" t="s">
        <v>9372</v>
      </c>
      <c r="D3140" t="str">
        <f>HYPERLINK("https://github.com/OneBusAway/onebusaway-android/issues/813","show")</f>
        <v>show</v>
      </c>
      <c r="E3140" t="str">
        <f>HYPERLINK("https://github.com/OneBusAway/onebusaway-android","show")</f>
        <v>show</v>
      </c>
      <c r="F3140" t="str">
        <f>HYPERLINK("https://github.com/OneBusAway/onebusaway-android/releases","show")</f>
        <v>show</v>
      </c>
    </row>
    <row r="3141" spans="1:6">
      <c r="A3141" t="s">
        <v>9373</v>
      </c>
      <c r="B3141" t="s">
        <v>9374</v>
      </c>
      <c r="C3141" t="s">
        <v>9375</v>
      </c>
      <c r="D3141" t="str">
        <f>HYPERLINK("https://github.com/OneBusAway/onebusaway-android/issues/812","show")</f>
        <v>show</v>
      </c>
      <c r="E3141" t="str">
        <f>HYPERLINK("https://github.com/OneBusAway/onebusaway-android","show")</f>
        <v>show</v>
      </c>
      <c r="F3141" t="str">
        <f>HYPERLINK("https://github.com/OneBusAway/onebusaway-android/releases","show")</f>
        <v>show</v>
      </c>
    </row>
    <row r="3142" spans="1:6">
      <c r="A3142" t="s">
        <v>9376</v>
      </c>
      <c r="B3142" t="s">
        <v>9377</v>
      </c>
      <c r="C3142" t="s">
        <v>9378</v>
      </c>
      <c r="D3142" t="str">
        <f>HYPERLINK("https://github.com/MrStahlfelge/gdx-gamesvcs/issues/16","show")</f>
        <v>show</v>
      </c>
      <c r="E3142" t="str">
        <f>HYPERLINK("https://github.com/MrStahlfelge/gdx-gamesvcs","show")</f>
        <v>show</v>
      </c>
      <c r="F3142" t="str">
        <f>HYPERLINK("https://github.com/MrStahlfelge/gdx-gamesvcs/releases","show")</f>
        <v>show</v>
      </c>
    </row>
    <row r="3143" spans="1:6">
      <c r="A3143" t="s">
        <v>9379</v>
      </c>
      <c r="B3143" t="s">
        <v>9380</v>
      </c>
      <c r="C3143" t="s">
        <v>9381</v>
      </c>
      <c r="D3143" t="str">
        <f>HYPERLINK("https://github.com/Project-ARTist/ArtistGui/issues/26","show")</f>
        <v>show</v>
      </c>
      <c r="E3143" t="str">
        <f>HYPERLINK("https://github.com/Project-ARTist/ArtistGui","show")</f>
        <v>show</v>
      </c>
      <c r="F3143" t="str">
        <f>HYPERLINK("https://github.com/Project-ARTist/ArtistGui/releases","show")</f>
        <v>show</v>
      </c>
    </row>
    <row r="3144" spans="1:6">
      <c r="A3144" t="s">
        <v>9382</v>
      </c>
      <c r="B3144" t="s">
        <v>9383</v>
      </c>
      <c r="C3144" t="s">
        <v>9384</v>
      </c>
      <c r="D3144" t="str">
        <f>HYPERLINK("https://github.com/opensrp/opensrp-client-sid/issues/2","show")</f>
        <v>show</v>
      </c>
      <c r="E3144" t="str">
        <f>HYPERLINK("https://github.com/opensrp/opensrp-client-sid","show")</f>
        <v>show</v>
      </c>
      <c r="F3144" t="str">
        <f>HYPERLINK("https://github.com/opensrp/opensrp-client-sid/releases","show")</f>
        <v>show</v>
      </c>
    </row>
    <row r="3145" spans="1:6">
      <c r="A3145" t="s">
        <v>9385</v>
      </c>
      <c r="B3145" t="s">
        <v>9386</v>
      </c>
      <c r="C3145" t="s">
        <v>9387</v>
      </c>
      <c r="D3145" t="str">
        <f>HYPERLINK("https://github.com/zeevy/grblcontroller/issues/2","show")</f>
        <v>show</v>
      </c>
      <c r="E3145" t="str">
        <f>HYPERLINK("https://github.com/zeevy/grblcontroller","show")</f>
        <v>show</v>
      </c>
      <c r="F3145" t="str">
        <f>HYPERLINK("https://github.com/zeevy/grblcontroller/releases","show")</f>
        <v>show</v>
      </c>
    </row>
    <row r="3146" spans="1:6">
      <c r="A3146" t="s">
        <v>9388</v>
      </c>
      <c r="B3146" t="s">
        <v>9389</v>
      </c>
      <c r="C3146" t="s">
        <v>9390</v>
      </c>
      <c r="D3146" t="str">
        <f>HYPERLINK("https://github.com/EzequielAdrianM/Camera2Vision/issues/8","show")</f>
        <v>show</v>
      </c>
      <c r="E3146" t="str">
        <f>HYPERLINK("https://github.com/EzequielAdrianM/Camera2Vision","show")</f>
        <v>show</v>
      </c>
      <c r="F3146" t="str">
        <f>HYPERLINK("https://github.com/EzequielAdrianM/Camera2Vision/releases","show")</f>
        <v>show</v>
      </c>
    </row>
    <row r="3147" spans="1:6">
      <c r="A3147" t="s">
        <v>9391</v>
      </c>
      <c r="B3147" t="s">
        <v>9392</v>
      </c>
      <c r="C3147" t="s">
        <v>9393</v>
      </c>
      <c r="D3147" t="str">
        <f>HYPERLINK("https://github.com/zeevy/grblcontroller/issues/4","show")</f>
        <v>show</v>
      </c>
      <c r="E3147" t="str">
        <f>HYPERLINK("https://github.com/zeevy/grblcontroller","show")</f>
        <v>show</v>
      </c>
      <c r="F3147" t="str">
        <f>HYPERLINK("https://github.com/zeevy/grblcontroller/releases","show")</f>
        <v>show</v>
      </c>
    </row>
    <row r="3148" spans="1:6">
      <c r="A3148" t="s">
        <v>9394</v>
      </c>
      <c r="B3148" t="s">
        <v>9395</v>
      </c>
      <c r="C3148" t="s">
        <v>9396</v>
      </c>
      <c r="D3148" t="str">
        <f>HYPERLINK("https://github.com/AEFeinstein/mtg-familiar/issues/284","show")</f>
        <v>show</v>
      </c>
      <c r="E3148" t="str">
        <f>HYPERLINK("https://github.com/AEFeinstein/mtg-familiar","show")</f>
        <v>show</v>
      </c>
      <c r="F3148" t="str">
        <f>HYPERLINK("https://github.com/AEFeinstein/mtg-familiar/releases","show")</f>
        <v>show</v>
      </c>
    </row>
    <row r="3149" spans="1:6">
      <c r="A3149" t="s">
        <v>9397</v>
      </c>
      <c r="B3149" t="s">
        <v>9398</v>
      </c>
      <c r="C3149" t="s">
        <v>9399</v>
      </c>
      <c r="D3149" t="str">
        <f>HYPERLINK("https://github.com/CityZenApp/AndroidApp/issues/43","show")</f>
        <v>show</v>
      </c>
      <c r="E3149" t="str">
        <f>HYPERLINK("https://github.com/CityZenApp/AndroidApp","show")</f>
        <v>show</v>
      </c>
      <c r="F3149" t="str">
        <f>HYPERLINK("https://github.com/CityZenApp/AndroidApp/releases","show")</f>
        <v>show</v>
      </c>
    </row>
    <row r="3150" spans="1:6">
      <c r="A3150" t="s">
        <v>9400</v>
      </c>
      <c r="B3150" t="s">
        <v>9401</v>
      </c>
      <c r="C3150" t="s">
        <v>9402</v>
      </c>
      <c r="D3150" t="str">
        <f>HYPERLINK("https://github.com/thiagoprochnow/carteiradeativos/issues/152","show")</f>
        <v>show</v>
      </c>
      <c r="E3150" t="str">
        <f>HYPERLINK("https://github.com/thiagoprochnow/carteiradeativos","show")</f>
        <v>show</v>
      </c>
      <c r="F3150" t="str">
        <f>HYPERLINK("https://github.com/thiagoprochnow/carteiradeativos/releases","show")</f>
        <v>show</v>
      </c>
    </row>
    <row r="3151" spans="1:6">
      <c r="A3151" t="s">
        <v>9403</v>
      </c>
      <c r="B3151" t="s">
        <v>9404</v>
      </c>
      <c r="C3151" t="s">
        <v>9405</v>
      </c>
      <c r="D3151" t="str">
        <f>HYPERLINK("https://github.com/Pattonville-Robotics/2867/issues/7","show")</f>
        <v>show</v>
      </c>
      <c r="E3151" t="str">
        <f>HYPERLINK("https://github.com/Pattonville-Robotics/2867","show")</f>
        <v>show</v>
      </c>
      <c r="F3151" t="str">
        <f>HYPERLINK("https://github.com/Pattonville-Robotics/2867/releases","show")</f>
        <v>show</v>
      </c>
    </row>
    <row r="3152" spans="1:6">
      <c r="A3152" t="s">
        <v>9406</v>
      </c>
      <c r="B3152" t="s">
        <v>9407</v>
      </c>
      <c r="C3152" t="s">
        <v>9408</v>
      </c>
      <c r="D3152" t="str">
        <f>HYPERLINK("https://github.com/Z3r0byte/Magis/issues/69","show")</f>
        <v>show</v>
      </c>
      <c r="E3152" t="str">
        <f>HYPERLINK("https://github.com/Z3r0byte/Magis","show")</f>
        <v>show</v>
      </c>
      <c r="F3152" t="str">
        <f>HYPERLINK("https://github.com/Z3r0byte/Magis/releases","show")</f>
        <v>show</v>
      </c>
    </row>
    <row r="3153" spans="1:6">
      <c r="A3153" t="s">
        <v>9409</v>
      </c>
      <c r="B3153" t="s">
        <v>9410</v>
      </c>
      <c r="C3153" t="s">
        <v>9411</v>
      </c>
      <c r="D3153" t="str">
        <f>HYPERLINK("https://github.com/nextcloud/android/issues/1730","show")</f>
        <v>show</v>
      </c>
      <c r="E3153" t="str">
        <f>HYPERLINK("https://github.com/nextcloud/android","show")</f>
        <v>show</v>
      </c>
      <c r="F3153" t="str">
        <f>HYPERLINK("https://github.com/nextcloud/android/releases","show")</f>
        <v>show</v>
      </c>
    </row>
    <row r="3154" spans="1:6">
      <c r="A3154" t="s">
        <v>9412</v>
      </c>
      <c r="B3154" t="s">
        <v>9413</v>
      </c>
      <c r="C3154" t="s">
        <v>9414</v>
      </c>
      <c r="D3154" t="str">
        <f>HYPERLINK("https://github.com/iBotPeaches/Apktool/issues/1649","show")</f>
        <v>show</v>
      </c>
      <c r="E3154" t="str">
        <f>HYPERLINK("https://github.com/iBotPeaches/Apktool","show")</f>
        <v>show</v>
      </c>
      <c r="F3154" t="str">
        <f>HYPERLINK("https://github.com/iBotPeaches/Apktool/releases","show")</f>
        <v>show</v>
      </c>
    </row>
    <row r="3155" spans="1:6">
      <c r="A3155" t="s">
        <v>9415</v>
      </c>
      <c r="B3155" t="s">
        <v>9416</v>
      </c>
      <c r="C3155" t="s">
        <v>9417</v>
      </c>
      <c r="D3155" t="str">
        <f>HYPERLINK("https://github.com/dimagi/commcare-android/issues/1872","show")</f>
        <v>show</v>
      </c>
      <c r="E3155" t="str">
        <f>HYPERLINK("https://github.com/dimagi/commcare-android","show")</f>
        <v>show</v>
      </c>
      <c r="F3155" t="str">
        <f>HYPERLINK("https://github.com/dimagi/commcare-android/releases","show")</f>
        <v>show</v>
      </c>
    </row>
    <row r="3156" spans="1:6">
      <c r="A3156" t="s">
        <v>9418</v>
      </c>
      <c r="B3156" t="s">
        <v>9419</v>
      </c>
      <c r="C3156" t="s">
        <v>9420</v>
      </c>
      <c r="D3156" t="str">
        <f>HYPERLINK("https://github.com/MCMrARM/revolution-irc/issues/19","show")</f>
        <v>show</v>
      </c>
      <c r="E3156" t="str">
        <f>HYPERLINK("https://github.com/MCMrARM/revolution-irc","show")</f>
        <v>show</v>
      </c>
      <c r="F3156" t="str">
        <f>HYPERLINK("https://github.com/MCMrARM/revolution-irc/releases","show")</f>
        <v>show</v>
      </c>
    </row>
    <row r="3157" spans="1:6">
      <c r="A3157" t="s">
        <v>9421</v>
      </c>
      <c r="B3157" t="s">
        <v>9422</v>
      </c>
      <c r="C3157" t="s">
        <v>9423</v>
      </c>
      <c r="D3157" t="str">
        <f>HYPERLINK("https://github.com/nextcloud/android/issues/1728","show")</f>
        <v>show</v>
      </c>
      <c r="E3157" t="str">
        <f>HYPERLINK("https://github.com/nextcloud/android","show")</f>
        <v>show</v>
      </c>
      <c r="F3157" t="str">
        <f>HYPERLINK("https://github.com/nextcloud/android/releases","show")</f>
        <v>show</v>
      </c>
    </row>
    <row r="3158" spans="1:6">
      <c r="A3158" t="s">
        <v>9424</v>
      </c>
      <c r="B3158" t="s">
        <v>9425</v>
      </c>
      <c r="C3158" t="s">
        <v>9426</v>
      </c>
      <c r="D3158" t="str">
        <f>HYPERLINK("https://github.com/zeevy/grblcontroller/issues/5","show")</f>
        <v>show</v>
      </c>
      <c r="E3158" t="str">
        <f>HYPERLINK("https://github.com/zeevy/grblcontroller","show")</f>
        <v>show</v>
      </c>
      <c r="F3158" t="str">
        <f>HYPERLINK("https://github.com/zeevy/grblcontroller/releases","show")</f>
        <v>show</v>
      </c>
    </row>
    <row r="3159" spans="1:6">
      <c r="A3159" t="s">
        <v>9427</v>
      </c>
      <c r="B3159" t="s">
        <v>9428</v>
      </c>
      <c r="C3159" t="s">
        <v>9429</v>
      </c>
      <c r="D3159" t="str">
        <f>HYPERLINK("https://github.com/qualaroo/android-sdk/issues/2","show")</f>
        <v>show</v>
      </c>
      <c r="E3159" t="str">
        <f>HYPERLINK("https://github.com/qualaroo/android-sdk","show")</f>
        <v>show</v>
      </c>
      <c r="F3159" t="str">
        <f>HYPERLINK("https://github.com/qualaroo/android-sdk/releases","show")</f>
        <v>show</v>
      </c>
    </row>
    <row r="3160" spans="1:6">
      <c r="A3160" t="s">
        <v>9430</v>
      </c>
      <c r="B3160" t="s">
        <v>9431</v>
      </c>
      <c r="C3160" t="s">
        <v>9432</v>
      </c>
      <c r="D3160" t="str">
        <f>HYPERLINK("https://github.com/eduvpn/android/issues/112","show")</f>
        <v>show</v>
      </c>
      <c r="E3160" t="str">
        <f>HYPERLINK("https://github.com/eduvpn/android","show")</f>
        <v>show</v>
      </c>
      <c r="F3160" t="str">
        <f>HYPERLINK("https://github.com/eduvpn/android/releases","show")</f>
        <v>show</v>
      </c>
    </row>
    <row r="3161" spans="1:6">
      <c r="A3161" t="s">
        <v>9433</v>
      </c>
      <c r="B3161" t="s">
        <v>9434</v>
      </c>
      <c r="C3161" t="s">
        <v>9435</v>
      </c>
      <c r="D3161" t="str">
        <f>HYPERLINK("https://github.com/bumptech/glide/issues/2548","show")</f>
        <v>show</v>
      </c>
      <c r="E3161" t="str">
        <f>HYPERLINK("https://github.com/bumptech/glide","show")</f>
        <v>show</v>
      </c>
      <c r="F3161" t="str">
        <f>HYPERLINK("https://github.com/bumptech/glide/releases","show")</f>
        <v>show</v>
      </c>
    </row>
    <row r="3162" spans="1:6">
      <c r="A3162" t="s">
        <v>9436</v>
      </c>
      <c r="B3162" t="s">
        <v>9437</v>
      </c>
      <c r="C3162" t="s">
        <v>9438</v>
      </c>
      <c r="D3162" t="str">
        <f>HYPERLINK("https://github.com/jumaallan/andela-crypto-app/issues/2","show")</f>
        <v>show</v>
      </c>
      <c r="E3162" t="str">
        <f>HYPERLINK("https://github.com/jumaallan/andela-crypto-app","show")</f>
        <v>show</v>
      </c>
      <c r="F3162" t="str">
        <f>HYPERLINK("https://github.com/jumaallan/andela-crypto-app/releases","show")</f>
        <v>show</v>
      </c>
    </row>
    <row r="3163" spans="1:6">
      <c r="A3163" t="s">
        <v>9439</v>
      </c>
      <c r="B3163" t="s">
        <v>9440</v>
      </c>
      <c r="C3163" t="s">
        <v>9441</v>
      </c>
      <c r="D3163" t="str">
        <f>HYPERLINK("https://github.com/moneymanagerex/android-money-manager-ex/issues/1153","show")</f>
        <v>show</v>
      </c>
      <c r="E3163" t="str">
        <f>HYPERLINK("https://github.com/moneymanagerex/android-money-manager-ex","show")</f>
        <v>show</v>
      </c>
      <c r="F3163" t="str">
        <f>HYPERLINK("https://github.com/moneymanagerex/android-money-manager-ex/releases","show")</f>
        <v>show</v>
      </c>
    </row>
    <row r="3164" spans="1:6">
      <c r="A3164" t="s">
        <v>9442</v>
      </c>
      <c r="B3164" t="s">
        <v>9443</v>
      </c>
      <c r="C3164" t="s">
        <v>9444</v>
      </c>
      <c r="D3164" t="str">
        <f>HYPERLINK("https://github.com/mkulesh/microMathematics/issues/39","show")</f>
        <v>show</v>
      </c>
      <c r="E3164" t="str">
        <f>HYPERLINK("https://github.com/mkulesh/microMathematics","show")</f>
        <v>show</v>
      </c>
      <c r="F3164" t="str">
        <f>HYPERLINK("https://github.com/mkulesh/microMathematics/releases","show")</f>
        <v>show</v>
      </c>
    </row>
    <row r="3165" spans="1:6">
      <c r="A3165" t="s">
        <v>9445</v>
      </c>
      <c r="B3165" t="s">
        <v>9446</v>
      </c>
      <c r="C3165" t="s">
        <v>9447</v>
      </c>
      <c r="D3165" t="str">
        <f>HYPERLINK("https://github.com/flyve-mdm/android-mdm-agent/issues/174","show")</f>
        <v>show</v>
      </c>
      <c r="E3165" t="str">
        <f>HYPERLINK("https://github.com/flyve-mdm/android-mdm-agent","show")</f>
        <v>show</v>
      </c>
      <c r="F3165" t="str">
        <f>HYPERLINK("https://github.com/flyve-mdm/android-mdm-agent/releases","show")</f>
        <v>show</v>
      </c>
    </row>
    <row r="3166" spans="1:6">
      <c r="A3166" t="s">
        <v>9448</v>
      </c>
      <c r="B3166" t="s">
        <v>9449</v>
      </c>
      <c r="C3166" t="s">
        <v>9450</v>
      </c>
      <c r="D3166" t="str">
        <f>HYPERLINK("https://github.com/vic797/prowebview/issues/2","show")</f>
        <v>show</v>
      </c>
      <c r="E3166" t="str">
        <f>HYPERLINK("https://github.com/vic797/prowebview","show")</f>
        <v>show</v>
      </c>
      <c r="F3166" t="str">
        <f>HYPERLINK("https://github.com/vic797/prowebview/releases","show")</f>
        <v>show</v>
      </c>
    </row>
    <row r="3167" spans="1:6">
      <c r="A3167" t="s">
        <v>9451</v>
      </c>
      <c r="B3167" t="s">
        <v>9452</v>
      </c>
      <c r="C3167" t="s">
        <v>9453</v>
      </c>
      <c r="D3167" t="str">
        <f>HYPERLINK("https://github.com/mapbox/mapbox-plugins-android/issues/146","show")</f>
        <v>show</v>
      </c>
      <c r="E3167" t="str">
        <f>HYPERLINK("https://github.com/mapbox/mapbox-plugins-android","show")</f>
        <v>show</v>
      </c>
      <c r="F3167" t="str">
        <f>HYPERLINK("https://github.com/mapbox/mapbox-plugins-android/releases","show")</f>
        <v>show</v>
      </c>
    </row>
    <row r="3168" spans="1:6">
      <c r="A3168" t="s">
        <v>9454</v>
      </c>
      <c r="B3168" t="s">
        <v>9455</v>
      </c>
      <c r="C3168" t="s">
        <v>9456</v>
      </c>
      <c r="D3168" t="str">
        <f>HYPERLINK("https://github.com/nextcloud/android/issues/1744","show")</f>
        <v>show</v>
      </c>
      <c r="E3168" t="str">
        <f>HYPERLINK("https://github.com/nextcloud/android","show")</f>
        <v>show</v>
      </c>
      <c r="F3168" t="str">
        <f>HYPERLINK("https://github.com/nextcloud/android/releases","show")</f>
        <v>show</v>
      </c>
    </row>
    <row r="3169" spans="1:6">
      <c r="A3169" t="s">
        <v>9457</v>
      </c>
      <c r="B3169" t="s">
        <v>9458</v>
      </c>
      <c r="C3169" t="s">
        <v>9459</v>
      </c>
      <c r="D3169" t="str">
        <f>HYPERLINK("https://github.com/MCMrARM/revolution-irc/issues/22","show")</f>
        <v>show</v>
      </c>
      <c r="E3169" t="str">
        <f>HYPERLINK("https://github.com/MCMrARM/revolution-irc","show")</f>
        <v>show</v>
      </c>
      <c r="F3169" t="str">
        <f>HYPERLINK("https://github.com/MCMrARM/revolution-irc/releases","show")</f>
        <v>show</v>
      </c>
    </row>
    <row r="3170" spans="1:6">
      <c r="A3170" t="s">
        <v>9460</v>
      </c>
      <c r="B3170" t="s">
        <v>9461</v>
      </c>
      <c r="C3170" t="s">
        <v>9462</v>
      </c>
      <c r="D3170" t="str">
        <f>HYPERLINK("https://github.com/dimagi/commcare-android/issues/1877","show")</f>
        <v>show</v>
      </c>
      <c r="E3170" t="str">
        <f>HYPERLINK("https://github.com/dimagi/commcare-android","show")</f>
        <v>show</v>
      </c>
      <c r="F3170" t="str">
        <f>HYPERLINK("https://github.com/dimagi/commcare-android/releases","show")</f>
        <v>show</v>
      </c>
    </row>
    <row r="3171" spans="1:6">
      <c r="A3171" t="s">
        <v>9463</v>
      </c>
      <c r="B3171" t="s">
        <v>9464</v>
      </c>
      <c r="C3171" t="s">
        <v>9465</v>
      </c>
      <c r="D3171" t="str">
        <f>HYPERLINK("https://github.com/getodk/collect/issues/1593","show")</f>
        <v>show</v>
      </c>
      <c r="E3171" t="str">
        <f>HYPERLINK("https://github.com/getodk/collect","show")</f>
        <v>show</v>
      </c>
      <c r="F3171" t="str">
        <f>HYPERLINK("https://github.com/getodk/collect/releases","show")</f>
        <v>show</v>
      </c>
    </row>
    <row r="3172" spans="1:6">
      <c r="A3172" t="s">
        <v>9466</v>
      </c>
      <c r="B3172" t="s">
        <v>9467</v>
      </c>
      <c r="C3172" t="s">
        <v>9468</v>
      </c>
      <c r="D3172" t="str">
        <f>HYPERLINK("https://github.com/bumptech/glide/issues/2555","show")</f>
        <v>show</v>
      </c>
      <c r="E3172" t="str">
        <f>HYPERLINK("https://github.com/bumptech/glide","show")</f>
        <v>show</v>
      </c>
      <c r="F3172" t="str">
        <f>HYPERLINK("https://github.com/bumptech/glide/releases","show")</f>
        <v>show</v>
      </c>
    </row>
    <row r="3173" spans="1:6">
      <c r="A3173" t="s">
        <v>9469</v>
      </c>
      <c r="B3173" t="s">
        <v>9470</v>
      </c>
      <c r="C3173" t="s">
        <v>9471</v>
      </c>
      <c r="D3173" t="str">
        <f>HYPERLINK("https://github.com/bumptech/glide/issues/2562","show")</f>
        <v>show</v>
      </c>
      <c r="E3173" t="str">
        <f>HYPERLINK("https://github.com/bumptech/glide","show")</f>
        <v>show</v>
      </c>
      <c r="F3173" t="str">
        <f>HYPERLINK("https://github.com/bumptech/glide/releases","show")</f>
        <v>show</v>
      </c>
    </row>
    <row r="3174" spans="1:6">
      <c r="A3174" t="s">
        <v>9472</v>
      </c>
      <c r="B3174" t="s">
        <v>9473</v>
      </c>
      <c r="C3174" t="s">
        <v>9474</v>
      </c>
      <c r="D3174" t="str">
        <f>HYPERLINK("https://github.com/amirzaidi/Launcher3/issues/282","show")</f>
        <v>show</v>
      </c>
      <c r="E3174" t="str">
        <f>HYPERLINK("https://github.com/amirzaidi/Launcher3","show")</f>
        <v>show</v>
      </c>
      <c r="F3174" t="str">
        <f>HYPERLINK("https://github.com/amirzaidi/Launcher3/releases","show")</f>
        <v>show</v>
      </c>
    </row>
    <row r="3175" spans="1:6">
      <c r="A3175" t="s">
        <v>9475</v>
      </c>
      <c r="B3175" t="s">
        <v>9476</v>
      </c>
      <c r="C3175" t="s">
        <v>9477</v>
      </c>
      <c r="D3175" t="str">
        <f>HYPERLINK("https://github.com/niclabs/adkintunmobile-androidclient/issues/184","show")</f>
        <v>show</v>
      </c>
      <c r="E3175" t="str">
        <f>HYPERLINK("https://github.com/niclabs/adkintunmobile-androidclient","show")</f>
        <v>show</v>
      </c>
      <c r="F3175" t="str">
        <f>HYPERLINK("https://github.com/niclabs/adkintunmobile-androidclient/releases","show")</f>
        <v>show</v>
      </c>
    </row>
    <row r="3176" spans="1:6">
      <c r="A3176" t="s">
        <v>9478</v>
      </c>
      <c r="B3176" t="s">
        <v>9479</v>
      </c>
      <c r="C3176" t="s">
        <v>9480</v>
      </c>
      <c r="D3176" t="str">
        <f>HYPERLINK("https://github.com/dimagi/commcare-android/issues/1878","show")</f>
        <v>show</v>
      </c>
      <c r="E3176" t="str">
        <f>HYPERLINK("https://github.com/dimagi/commcare-android","show")</f>
        <v>show</v>
      </c>
      <c r="F3176" t="str">
        <f>HYPERLINK("https://github.com/dimagi/commcare-android/releases","show")</f>
        <v>show</v>
      </c>
    </row>
    <row r="3177" spans="1:6">
      <c r="A3177" t="s">
        <v>9481</v>
      </c>
      <c r="B3177" t="s">
        <v>9482</v>
      </c>
      <c r="C3177" t="s">
        <v>9483</v>
      </c>
      <c r="D3177" t="str">
        <f>HYPERLINK("https://github.com/stefan-niedermann/nextcloud-notes/issues/293","show")</f>
        <v>show</v>
      </c>
      <c r="E3177" t="str">
        <f>HYPERLINK("https://github.com/stefan-niedermann/nextcloud-notes","show")</f>
        <v>show</v>
      </c>
      <c r="F3177" t="str">
        <f>HYPERLINK("https://github.com/stefan-niedermann/nextcloud-notes/releases","show")</f>
        <v>show</v>
      </c>
    </row>
    <row r="3178" spans="1:6">
      <c r="A3178" t="s">
        <v>9484</v>
      </c>
      <c r="B3178" t="s">
        <v>9485</v>
      </c>
      <c r="C3178" t="s">
        <v>9486</v>
      </c>
      <c r="D3178" t="str">
        <f>HYPERLINK("https://github.com/mit-cml/appinventor-extensions/issues/6","show")</f>
        <v>show</v>
      </c>
      <c r="E3178" t="str">
        <f>HYPERLINK("https://github.com/mit-cml/appinventor-extensions","show")</f>
        <v>show</v>
      </c>
      <c r="F3178" t="str">
        <f>HYPERLINK("https://github.com/mit-cml/appinventor-extensions/releases","show")</f>
        <v>show</v>
      </c>
    </row>
    <row r="3179" spans="1:6">
      <c r="A3179" t="s">
        <v>9487</v>
      </c>
      <c r="B3179" t="s">
        <v>9488</v>
      </c>
      <c r="C3179" t="s">
        <v>9489</v>
      </c>
      <c r="D3179" t="str">
        <f>HYPERLINK("https://github.com/yuyakaido/CardStackView/issues/41","show")</f>
        <v>show</v>
      </c>
      <c r="E3179" t="str">
        <f>HYPERLINK("https://github.com/yuyakaido/CardStackView","show")</f>
        <v>show</v>
      </c>
      <c r="F3179" t="str">
        <f>HYPERLINK("https://github.com/yuyakaido/CardStackView/releases","show")</f>
        <v>show</v>
      </c>
    </row>
    <row r="3180" spans="1:6">
      <c r="A3180" t="s">
        <v>9490</v>
      </c>
      <c r="B3180" t="s">
        <v>9491</v>
      </c>
      <c r="C3180" t="s">
        <v>9492</v>
      </c>
      <c r="D3180" t="str">
        <f>HYPERLINK("https://github.com/TeamNewPipe/NewPipe/issues/813","show")</f>
        <v>show</v>
      </c>
      <c r="E3180" t="str">
        <f>HYPERLINK("https://github.com/TeamNewPipe/NewPipe","show")</f>
        <v>show</v>
      </c>
      <c r="F3180" t="str">
        <f>HYPERLINK("https://github.com/TeamNewPipe/NewPipe/releases","show")</f>
        <v>show</v>
      </c>
    </row>
    <row r="3181" spans="1:6">
      <c r="A3181" t="s">
        <v>9493</v>
      </c>
      <c r="B3181" t="s">
        <v>9494</v>
      </c>
      <c r="C3181" t="s">
        <v>9495</v>
      </c>
      <c r="D3181" t="str">
        <f>HYPERLINK("https://github.com/flyve-mdm/android-mdm-agent/issues/177","show")</f>
        <v>show</v>
      </c>
      <c r="E3181" t="str">
        <f>HYPERLINK("https://github.com/flyve-mdm/android-mdm-agent","show")</f>
        <v>show</v>
      </c>
      <c r="F3181" t="str">
        <f>HYPERLINK("https://github.com/flyve-mdm/android-mdm-agent/releases","show")</f>
        <v>show</v>
      </c>
    </row>
    <row r="3182" spans="1:6">
      <c r="A3182" t="s">
        <v>9496</v>
      </c>
      <c r="B3182" t="s">
        <v>9497</v>
      </c>
      <c r="C3182" t="s">
        <v>9498</v>
      </c>
      <c r="D3182" t="str">
        <f>HYPERLINK("https://github.com/square/okhttp/issues/3675","show")</f>
        <v>show</v>
      </c>
      <c r="E3182" t="str">
        <f>HYPERLINK("https://github.com/square/okhttp","show")</f>
        <v>show</v>
      </c>
      <c r="F3182" t="str">
        <f>HYPERLINK("https://github.com/square/okhttp/releases","show")</f>
        <v>show</v>
      </c>
    </row>
    <row r="3183" spans="1:6">
      <c r="A3183" t="s">
        <v>9499</v>
      </c>
      <c r="B3183" t="s">
        <v>9500</v>
      </c>
      <c r="C3183" t="s">
        <v>9501</v>
      </c>
      <c r="D3183" t="str">
        <f>HYPERLINK("https://github.com/moneymanagerex/android-money-manager-ex/issues/1159","show")</f>
        <v>show</v>
      </c>
      <c r="E3183" t="str">
        <f>HYPERLINK("https://github.com/moneymanagerex/android-money-manager-ex","show")</f>
        <v>show</v>
      </c>
      <c r="F3183" t="str">
        <f>HYPERLINK("https://github.com/moneymanagerex/android-money-manager-ex/releases","show")</f>
        <v>show</v>
      </c>
    </row>
    <row r="3184" spans="1:6">
      <c r="A3184" t="s">
        <v>9502</v>
      </c>
      <c r="B3184" t="s">
        <v>9503</v>
      </c>
      <c r="C3184" t="s">
        <v>9504</v>
      </c>
      <c r="D3184" t="str">
        <f>HYPERLINK("https://github.com/dariuszseweryn/RxAndroidBle/issues/308","show")</f>
        <v>show</v>
      </c>
      <c r="E3184" t="str">
        <f>HYPERLINK("https://github.com/dariuszseweryn/RxAndroidBle","show")</f>
        <v>show</v>
      </c>
      <c r="F3184" t="str">
        <f>HYPERLINK("https://github.com/dariuszseweryn/RxAndroidBle/releases","show")</f>
        <v>show</v>
      </c>
    </row>
    <row r="3185" spans="1:6">
      <c r="A3185" t="s">
        <v>9505</v>
      </c>
      <c r="B3185" t="s">
        <v>9506</v>
      </c>
      <c r="C3185" t="s">
        <v>9507</v>
      </c>
      <c r="D3185" t="str">
        <f>HYPERLINK("https://github.com/15calebsmith/Help-From-Above/issues/8","show")</f>
        <v>show</v>
      </c>
      <c r="E3185" t="str">
        <f>HYPERLINK("https://github.com/15calebsmith/Help-From-Above","show")</f>
        <v>show</v>
      </c>
      <c r="F3185" t="str">
        <f>HYPERLINK("https://github.com/15calebsmith/Help-From-Above/releases","show")</f>
        <v>show</v>
      </c>
    </row>
    <row r="3186" spans="1:6">
      <c r="A3186" t="s">
        <v>9508</v>
      </c>
      <c r="B3186" t="s">
        <v>9509</v>
      </c>
      <c r="C3186" t="s">
        <v>9510</v>
      </c>
      <c r="D3186" t="str">
        <f>HYPERLINK("https://github.com/bumptech/glide/issues/2574","show")</f>
        <v>show</v>
      </c>
      <c r="E3186" t="str">
        <f>HYPERLINK("https://github.com/bumptech/glide","show")</f>
        <v>show</v>
      </c>
      <c r="F3186" t="str">
        <f>HYPERLINK("https://github.com/bumptech/glide/releases","show")</f>
        <v>show</v>
      </c>
    </row>
    <row r="3187" spans="1:6">
      <c r="A3187" t="s">
        <v>9511</v>
      </c>
      <c r="B3187" t="s">
        <v>9512</v>
      </c>
      <c r="C3187" t="s">
        <v>9513</v>
      </c>
      <c r="D3187" t="str">
        <f>HYPERLINK("https://github.com/TeamNewPipe/NewPipe/issues/824","show")</f>
        <v>show</v>
      </c>
      <c r="E3187" t="str">
        <f>HYPERLINK("https://github.com/TeamNewPipe/NewPipe","show")</f>
        <v>show</v>
      </c>
      <c r="F3187" t="str">
        <f>HYPERLINK("https://github.com/TeamNewPipe/NewPipe/releases","show")</f>
        <v>show</v>
      </c>
    </row>
    <row r="3188" spans="1:6">
      <c r="A3188" t="s">
        <v>9514</v>
      </c>
      <c r="B3188" t="s">
        <v>9515</v>
      </c>
      <c r="C3188" t="s">
        <v>9516</v>
      </c>
      <c r="D3188" t="str">
        <f>HYPERLINK("https://github.com/Cleveroad/AdaptiveTableLayout/issues/19","show")</f>
        <v>show</v>
      </c>
      <c r="E3188" t="str">
        <f>HYPERLINK("https://github.com/Cleveroad/AdaptiveTableLayout","show")</f>
        <v>show</v>
      </c>
      <c r="F3188" t="str">
        <f>HYPERLINK("https://github.com/Cleveroad/AdaptiveTableLayout/releases","show")</f>
        <v>show</v>
      </c>
    </row>
    <row r="3189" spans="1:6">
      <c r="A3189" t="s">
        <v>9517</v>
      </c>
      <c r="B3189" t="s">
        <v>9518</v>
      </c>
      <c r="C3189" t="s">
        <v>9519</v>
      </c>
      <c r="D3189" t="str">
        <f>HYPERLINK("https://github.com/TeamNewPipe/NewPipe/issues/827","show")</f>
        <v>show</v>
      </c>
      <c r="E3189" t="str">
        <f>HYPERLINK("https://github.com/TeamNewPipe/NewPipe","show")</f>
        <v>show</v>
      </c>
      <c r="F3189" t="str">
        <f>HYPERLINK("https://github.com/TeamNewPipe/NewPipe/releases","show")</f>
        <v>show</v>
      </c>
    </row>
    <row r="3190" spans="1:6">
      <c r="A3190" t="s">
        <v>9520</v>
      </c>
      <c r="B3190" t="s">
        <v>9521</v>
      </c>
      <c r="C3190" t="s">
        <v>9522</v>
      </c>
      <c r="D3190" t="str">
        <f>HYPERLINK("https://github.com/andOTP/andOTP/issues/60","show")</f>
        <v>show</v>
      </c>
      <c r="E3190" t="str">
        <f>HYPERLINK("https://github.com/andOTP/andOTP","show")</f>
        <v>show</v>
      </c>
      <c r="F3190" t="str">
        <f>HYPERLINK("https://github.com/andOTP/andOTP/releases","show")</f>
        <v>show</v>
      </c>
    </row>
    <row r="3191" spans="1:6">
      <c r="A3191" t="s">
        <v>9523</v>
      </c>
      <c r="B3191" t="s">
        <v>9524</v>
      </c>
      <c r="C3191" t="s">
        <v>9525</v>
      </c>
      <c r="D3191" t="str">
        <f>HYPERLINK("https://github.com/dimagi/commcare-android/issues/1882","show")</f>
        <v>show</v>
      </c>
      <c r="E3191" t="str">
        <f>HYPERLINK("https://github.com/dimagi/commcare-android","show")</f>
        <v>show</v>
      </c>
      <c r="F3191" t="str">
        <f>HYPERLINK("https://github.com/dimagi/commcare-android/releases","show")</f>
        <v>show</v>
      </c>
    </row>
    <row r="3192" spans="1:6">
      <c r="A3192" t="s">
        <v>9526</v>
      </c>
      <c r="B3192" t="s">
        <v>9527</v>
      </c>
      <c r="C3192" t="s">
        <v>9528</v>
      </c>
      <c r="D3192" t="str">
        <f>HYPERLINK("https://github.com/nextcloud/android/issues/1770","show")</f>
        <v>show</v>
      </c>
      <c r="E3192" t="str">
        <f>HYPERLINK("https://github.com/nextcloud/android","show")</f>
        <v>show</v>
      </c>
      <c r="F3192" t="str">
        <f>HYPERLINK("https://github.com/nextcloud/android/releases","show")</f>
        <v>show</v>
      </c>
    </row>
    <row r="3193" spans="1:6">
      <c r="A3193" t="s">
        <v>9529</v>
      </c>
      <c r="B3193" t="s">
        <v>9530</v>
      </c>
      <c r="C3193" t="s">
        <v>9531</v>
      </c>
      <c r="D3193" t="str">
        <f>HYPERLINK("https://github.com/OCSInventory-NG/AndroidAgent/issues/22","show")</f>
        <v>show</v>
      </c>
      <c r="E3193" t="str">
        <f>HYPERLINK("https://github.com/OCSInventory-NG/AndroidAgent","show")</f>
        <v>show</v>
      </c>
      <c r="F3193" t="str">
        <f>HYPERLINK("https://github.com/OCSInventory-NG/AndroidAgent/releases","show")</f>
        <v>show</v>
      </c>
    </row>
    <row r="3194" spans="1:6">
      <c r="A3194" t="s">
        <v>9532</v>
      </c>
      <c r="B3194" t="s">
        <v>9533</v>
      </c>
      <c r="C3194" t="s">
        <v>9534</v>
      </c>
      <c r="D3194" t="str">
        <f>HYPERLINK("https://github.com/zeevy/grblcontroller/issues/6","show")</f>
        <v>show</v>
      </c>
      <c r="E3194" t="str">
        <f>HYPERLINK("https://github.com/zeevy/grblcontroller","show")</f>
        <v>show</v>
      </c>
      <c r="F3194" t="str">
        <f>HYPERLINK("https://github.com/zeevy/grblcontroller/releases","show")</f>
        <v>show</v>
      </c>
    </row>
    <row r="3195" spans="1:6">
      <c r="A3195" t="s">
        <v>9535</v>
      </c>
      <c r="B3195" t="s">
        <v>9536</v>
      </c>
      <c r="C3195" t="s">
        <v>9537</v>
      </c>
      <c r="D3195" t="str">
        <f>HYPERLINK("https://github.com/CMPUT301F17T29/HabitUp/issues/84","show")</f>
        <v>show</v>
      </c>
      <c r="E3195" t="str">
        <f>HYPERLINK("https://github.com/CMPUT301F17T29/HabitUp","show")</f>
        <v>show</v>
      </c>
      <c r="F3195" t="str">
        <f>HYPERLINK("https://github.com/CMPUT301F17T29/HabitUp/releases","show")</f>
        <v>show</v>
      </c>
    </row>
    <row r="3196" spans="1:6">
      <c r="A3196" t="s">
        <v>9538</v>
      </c>
      <c r="B3196" t="s">
        <v>9539</v>
      </c>
      <c r="C3196" t="s">
        <v>9540</v>
      </c>
      <c r="D3196" t="str">
        <f>HYPERLINK("https://github.com/CMPUT301F17T02/BAARD/issues/33","show")</f>
        <v>show</v>
      </c>
      <c r="E3196" t="str">
        <f>HYPERLINK("https://github.com/CMPUT301F17T02/BAARD","show")</f>
        <v>show</v>
      </c>
      <c r="F3196" t="str">
        <f>HYPERLINK("https://github.com/CMPUT301F17T02/BAARD/releases","show")</f>
        <v>show</v>
      </c>
    </row>
    <row r="3197" spans="1:6">
      <c r="A3197" t="s">
        <v>9541</v>
      </c>
      <c r="B3197" t="s">
        <v>9542</v>
      </c>
      <c r="C3197" t="s">
        <v>9543</v>
      </c>
      <c r="D3197" t="str">
        <f>HYPERLINK("https://github.com/CMPUT301F17T29/HabitUp/issues/111","show")</f>
        <v>show</v>
      </c>
      <c r="E3197" t="str">
        <f>HYPERLINK("https://github.com/CMPUT301F17T29/HabitUp","show")</f>
        <v>show</v>
      </c>
      <c r="F3197" t="str">
        <f>HYPERLINK("https://github.com/CMPUT301F17T29/HabitUp/releases","show")</f>
        <v>show</v>
      </c>
    </row>
    <row r="3198" spans="1:6">
      <c r="A3198" t="s">
        <v>9544</v>
      </c>
      <c r="B3198" t="s">
        <v>9545</v>
      </c>
      <c r="C3198" t="s">
        <v>9546</v>
      </c>
      <c r="D3198" t="str">
        <f>HYPERLINK("https://github.com/dimagi/commcare-android/issues/1884","show")</f>
        <v>show</v>
      </c>
      <c r="E3198" t="str">
        <f>HYPERLINK("https://github.com/dimagi/commcare-android","show")</f>
        <v>show</v>
      </c>
      <c r="F3198" t="str">
        <f>HYPERLINK("https://github.com/dimagi/commcare-android/releases","show")</f>
        <v>show</v>
      </c>
    </row>
    <row r="3199" spans="1:6">
      <c r="A3199" t="s">
        <v>9547</v>
      </c>
      <c r="B3199" t="s">
        <v>9548</v>
      </c>
      <c r="C3199" t="s">
        <v>9549</v>
      </c>
      <c r="D3199" t="str">
        <f>HYPERLINK("https://github.com/novoda/download-manager/issues/250","show")</f>
        <v>show</v>
      </c>
      <c r="E3199" t="str">
        <f>HYPERLINK("https://github.com/novoda/download-manager","show")</f>
        <v>show</v>
      </c>
      <c r="F3199" t="str">
        <f>HYPERLINK("https://github.com/novoda/download-manager/releases","show")</f>
        <v>show</v>
      </c>
    </row>
    <row r="3200" spans="1:6">
      <c r="A3200" t="s">
        <v>9550</v>
      </c>
      <c r="B3200" t="s">
        <v>4460</v>
      </c>
      <c r="C3200" t="s">
        <v>9551</v>
      </c>
      <c r="D3200" t="str">
        <f>HYPERLINK("https://github.com/tanrabad/survey/issues/41","show")</f>
        <v>show</v>
      </c>
      <c r="E3200" t="str">
        <f>HYPERLINK("https://github.com/tanrabad/survey","show")</f>
        <v>show</v>
      </c>
      <c r="F3200" t="str">
        <f>HYPERLINK("https://github.com/tanrabad/survey/releases","show")</f>
        <v>show</v>
      </c>
    </row>
    <row r="3201" spans="1:6">
      <c r="A3201" t="s">
        <v>9552</v>
      </c>
      <c r="B3201" t="s">
        <v>9553</v>
      </c>
      <c r="C3201" t="s">
        <v>9554</v>
      </c>
      <c r="D3201" t="str">
        <f>HYPERLINK("https://github.com/dimagi/commcare-android/issues/1887","show")</f>
        <v>show</v>
      </c>
      <c r="E3201" t="str">
        <f>HYPERLINK("https://github.com/dimagi/commcare-android","show")</f>
        <v>show</v>
      </c>
      <c r="F3201" t="str">
        <f>HYPERLINK("https://github.com/dimagi/commcare-android/releases","show")</f>
        <v>show</v>
      </c>
    </row>
    <row r="3202" spans="1:6">
      <c r="A3202" t="s">
        <v>9555</v>
      </c>
      <c r="B3202" t="s">
        <v>9556</v>
      </c>
      <c r="C3202" t="s">
        <v>9557</v>
      </c>
      <c r="D3202" t="str">
        <f>HYPERLINK("https://github.com/LonamiWebs/Stringlate/issues/161","show")</f>
        <v>show</v>
      </c>
      <c r="E3202" t="str">
        <f>HYPERLINK("https://github.com/LonamiWebs/Stringlate","show")</f>
        <v>show</v>
      </c>
      <c r="F3202" t="str">
        <f>HYPERLINK("https://github.com/LonamiWebs/Stringlate/releases","show")</f>
        <v>show</v>
      </c>
    </row>
    <row r="3203" spans="1:6">
      <c r="A3203" t="s">
        <v>9558</v>
      </c>
      <c r="B3203" t="s">
        <v>4460</v>
      </c>
      <c r="C3203" t="s">
        <v>9559</v>
      </c>
      <c r="D3203" t="str">
        <f>HYPERLINK("https://github.com/tanrabad/survey/issues/42","show")</f>
        <v>show</v>
      </c>
      <c r="E3203" t="str">
        <f>HYPERLINK("https://github.com/tanrabad/survey","show")</f>
        <v>show</v>
      </c>
      <c r="F3203" t="str">
        <f>HYPERLINK("https://github.com/tanrabad/survey/releases","show")</f>
        <v>show</v>
      </c>
    </row>
    <row r="3204" spans="1:6">
      <c r="A3204" t="s">
        <v>9560</v>
      </c>
      <c r="B3204" t="s">
        <v>9561</v>
      </c>
      <c r="C3204" t="s">
        <v>9562</v>
      </c>
      <c r="D3204" t="str">
        <f>HYPERLINK("https://github.com/Del-S/WearFingerprint/issues/5","show")</f>
        <v>show</v>
      </c>
      <c r="E3204" t="str">
        <f>HYPERLINK("https://github.com/Del-S/WearFingerprint","show")</f>
        <v>show</v>
      </c>
      <c r="F3204" t="str">
        <f>HYPERLINK("https://github.com/Del-S/WearFingerprint/releases","show")</f>
        <v>show</v>
      </c>
    </row>
    <row r="3205" spans="1:6">
      <c r="A3205" t="s">
        <v>9563</v>
      </c>
      <c r="B3205" t="s">
        <v>9564</v>
      </c>
      <c r="C3205" t="s">
        <v>9565</v>
      </c>
      <c r="D3205" t="str">
        <f>HYPERLINK("https://github.com/Del-S/WearFingerprint/issues/4","show")</f>
        <v>show</v>
      </c>
      <c r="E3205" t="str">
        <f>HYPERLINK("https://github.com/Del-S/WearFingerprint","show")</f>
        <v>show</v>
      </c>
      <c r="F3205" t="str">
        <f>HYPERLINK("https://github.com/Del-S/WearFingerprint/releases","show")</f>
        <v>show</v>
      </c>
    </row>
    <row r="3206" spans="1:6">
      <c r="A3206" t="s">
        <v>9566</v>
      </c>
      <c r="B3206" t="s">
        <v>6300</v>
      </c>
      <c r="C3206" t="s">
        <v>9567</v>
      </c>
      <c r="D3206" t="str">
        <f>HYPERLINK("https://github.com/Meisterschueler/ogn-viewer-android/issues/3","show")</f>
        <v>show</v>
      </c>
      <c r="E3206" t="str">
        <f>HYPERLINK("https://github.com/Meisterschueler/ogn-viewer-android","show")</f>
        <v>show</v>
      </c>
      <c r="F3206" t="str">
        <f>HYPERLINK("https://github.com/Meisterschueler/ogn-viewer-android/releases","show")</f>
        <v>show</v>
      </c>
    </row>
    <row r="3207" spans="1:6">
      <c r="A3207" t="s">
        <v>9568</v>
      </c>
      <c r="B3207" t="s">
        <v>9569</v>
      </c>
      <c r="C3207" t="s">
        <v>9570</v>
      </c>
      <c r="D3207" t="str">
        <f>HYPERLINK("https://github.com/alhazmy13/MediaPicker/issues/39","show")</f>
        <v>show</v>
      </c>
      <c r="E3207" t="str">
        <f>HYPERLINK("https://github.com/alhazmy13/MediaPicker","show")</f>
        <v>show</v>
      </c>
      <c r="F3207" t="str">
        <f>HYPERLINK("https://github.com/alhazmy13/MediaPicker/releases","show")</f>
        <v>show</v>
      </c>
    </row>
    <row r="3208" spans="1:6">
      <c r="A3208" t="s">
        <v>9571</v>
      </c>
      <c r="B3208" t="s">
        <v>9572</v>
      </c>
      <c r="C3208" t="s">
        <v>9573</v>
      </c>
      <c r="D3208" t="str">
        <f>HYPERLINK("https://github.com/davidohayon669/react-native-youtube/issues/238","show")</f>
        <v>show</v>
      </c>
      <c r="E3208" t="str">
        <f>HYPERLINK("https://github.com/davidohayon669/react-native-youtube","show")</f>
        <v>show</v>
      </c>
      <c r="F3208" t="str">
        <f>HYPERLINK("https://github.com/davidohayon669/react-native-youtube/releases","show")</f>
        <v>show</v>
      </c>
    </row>
    <row r="3209" spans="1:6">
      <c r="A3209" t="s">
        <v>9574</v>
      </c>
      <c r="B3209" t="s">
        <v>9575</v>
      </c>
      <c r="C3209" t="s">
        <v>9576</v>
      </c>
      <c r="D3209" t="str">
        <f>HYPERLINK("https://github.com/dimagi/commcare-android/issues/1888","show")</f>
        <v>show</v>
      </c>
      <c r="E3209" t="str">
        <f>HYPERLINK("https://github.com/dimagi/commcare-android","show")</f>
        <v>show</v>
      </c>
      <c r="F3209" t="str">
        <f>HYPERLINK("https://github.com/dimagi/commcare-android/releases","show")</f>
        <v>show</v>
      </c>
    </row>
    <row r="3210" spans="1:6">
      <c r="A3210" t="s">
        <v>9577</v>
      </c>
      <c r="B3210" t="s">
        <v>9578</v>
      </c>
      <c r="C3210" t="s">
        <v>9579</v>
      </c>
      <c r="D3210" t="str">
        <f>HYPERLINK("https://github.com/ekstep/Integrated-Partner-App/issues/3","show")</f>
        <v>show</v>
      </c>
      <c r="E3210" t="str">
        <f>HYPERLINK("https://github.com/ekstep/Integrated-Partner-App","show")</f>
        <v>show</v>
      </c>
      <c r="F3210" t="str">
        <f>HYPERLINK("https://github.com/ekstep/Integrated-Partner-App/releases","show")</f>
        <v>show</v>
      </c>
    </row>
    <row r="3211" spans="1:6">
      <c r="A3211" t="s">
        <v>9580</v>
      </c>
      <c r="B3211" t="s">
        <v>9581</v>
      </c>
      <c r="C3211" t="s">
        <v>9582</v>
      </c>
      <c r="D3211" t="str">
        <f>HYPERLINK("https://github.com/commons-app/apps-android-commons/issues/966","show")</f>
        <v>show</v>
      </c>
      <c r="E3211" t="str">
        <f>HYPERLINK("https://github.com/commons-app/apps-android-commons","show")</f>
        <v>show</v>
      </c>
      <c r="F3211" t="str">
        <f>HYPERLINK("https://github.com/commons-app/apps-android-commons/releases","show")</f>
        <v>show</v>
      </c>
    </row>
    <row r="3212" spans="1:6">
      <c r="A3212" t="s">
        <v>9583</v>
      </c>
      <c r="B3212" t="s">
        <v>9584</v>
      </c>
      <c r="C3212" t="s">
        <v>9585</v>
      </c>
      <c r="D3212" t="str">
        <f>HYPERLINK("https://github.com/ramack/ActivityDiary/issues/41","show")</f>
        <v>show</v>
      </c>
      <c r="E3212" t="str">
        <f>HYPERLINK("https://github.com/ramack/ActivityDiary","show")</f>
        <v>show</v>
      </c>
      <c r="F3212" t="str">
        <f>HYPERLINK("https://github.com/ramack/ActivityDiary/releases","show")</f>
        <v>show</v>
      </c>
    </row>
    <row r="3213" spans="1:6">
      <c r="A3213" t="s">
        <v>9586</v>
      </c>
      <c r="B3213" t="s">
        <v>9587</v>
      </c>
      <c r="C3213" t="s">
        <v>9588</v>
      </c>
      <c r="D3213" t="str">
        <f>HYPERLINK("https://github.com/Leo-App/android/issues/14","show")</f>
        <v>show</v>
      </c>
      <c r="E3213" t="str">
        <f>HYPERLINK("https://github.com/Leo-App/android","show")</f>
        <v>show</v>
      </c>
      <c r="F3213" t="str">
        <f>HYPERLINK("https://github.com/Leo-App/android/releases","show")</f>
        <v>show</v>
      </c>
    </row>
    <row r="3214" spans="1:6">
      <c r="A3214" t="s">
        <v>9589</v>
      </c>
      <c r="B3214" t="s">
        <v>9590</v>
      </c>
      <c r="C3214" t="s">
        <v>9591</v>
      </c>
      <c r="D3214" t="str">
        <f>HYPERLINK("https://github.com/mehtank/androminion/issues/494","show")</f>
        <v>show</v>
      </c>
      <c r="E3214" t="str">
        <f>HYPERLINK("https://github.com/mehtank/androminion","show")</f>
        <v>show</v>
      </c>
      <c r="F3214" t="str">
        <f>HYPERLINK("https://github.com/mehtank/androminion/releases","show")</f>
        <v>show</v>
      </c>
    </row>
    <row r="3215" spans="1:6">
      <c r="A3215" t="s">
        <v>9592</v>
      </c>
      <c r="B3215" t="s">
        <v>9593</v>
      </c>
      <c r="C3215" t="s">
        <v>9594</v>
      </c>
      <c r="D3215" t="str">
        <f>HYPERLINK("https://github.com/niclabs/adkintunmobile-androidclient/issues/185","show")</f>
        <v>show</v>
      </c>
      <c r="E3215" t="str">
        <f>HYPERLINK("https://github.com/niclabs/adkintunmobile-androidclient","show")</f>
        <v>show</v>
      </c>
      <c r="F3215" t="str">
        <f>HYPERLINK("https://github.com/niclabs/adkintunmobile-androidclient/releases","show")</f>
        <v>show</v>
      </c>
    </row>
    <row r="3216" spans="1:6">
      <c r="A3216" t="s">
        <v>9595</v>
      </c>
      <c r="B3216" t="s">
        <v>9596</v>
      </c>
      <c r="C3216" t="s">
        <v>9597</v>
      </c>
      <c r="D3216" t="str">
        <f>HYPERLINK("https://github.com/vijai1996/screenrecorder/issues/32","show")</f>
        <v>show</v>
      </c>
      <c r="E3216" t="str">
        <f>HYPERLINK("https://github.com/vijai1996/screenrecorder","show")</f>
        <v>show</v>
      </c>
      <c r="F3216" t="str">
        <f>HYPERLINK("https://github.com/vijai1996/screenrecorder/releases","show")</f>
        <v>show</v>
      </c>
    </row>
    <row r="3217" spans="1:6">
      <c r="A3217" t="s">
        <v>9598</v>
      </c>
      <c r="B3217" t="s">
        <v>9599</v>
      </c>
      <c r="C3217" t="s">
        <v>9600</v>
      </c>
      <c r="D3217" t="str">
        <f>HYPERLINK("https://github.com/hcbpassos/step/issues/9","show")</f>
        <v>show</v>
      </c>
      <c r="E3217" t="str">
        <f>HYPERLINK("https://github.com/hcbpassos/step","show")</f>
        <v>show</v>
      </c>
      <c r="F3217" t="str">
        <f>HYPERLINK("https://github.com/hcbpassos/step/releases","show")</f>
        <v>show</v>
      </c>
    </row>
    <row r="3218" spans="1:6">
      <c r="A3218" t="s">
        <v>9601</v>
      </c>
      <c r="B3218" t="s">
        <v>9602</v>
      </c>
      <c r="C3218" t="s">
        <v>9603</v>
      </c>
      <c r="D3218" t="str">
        <f>HYPERLINK("https://github.com/yashovardhan99/InstagramLayoutTest/issues/8","show")</f>
        <v>show</v>
      </c>
      <c r="E3218" t="str">
        <f>HYPERLINK("https://github.com/yashovardhan99/InstagramLayoutTest","show")</f>
        <v>show</v>
      </c>
      <c r="F3218" t="str">
        <f>HYPERLINK("https://github.com/yashovardhan99/InstagramLayoutTest/releases","show")</f>
        <v>show</v>
      </c>
    </row>
    <row r="3219" spans="1:6">
      <c r="A3219" t="s">
        <v>9604</v>
      </c>
      <c r="B3219" t="s">
        <v>9605</v>
      </c>
      <c r="C3219" t="s">
        <v>9606</v>
      </c>
      <c r="D3219" t="str">
        <f>HYPERLINK("https://github.com/requery/requery/issues/728","show")</f>
        <v>show</v>
      </c>
      <c r="E3219" t="str">
        <f>HYPERLINK("https://github.com/requery/requery","show")</f>
        <v>show</v>
      </c>
      <c r="F3219" t="str">
        <f>HYPERLINK("https://github.com/requery/requery/releases","show")</f>
        <v>show</v>
      </c>
    </row>
    <row r="3220" spans="1:6">
      <c r="A3220" t="s">
        <v>9607</v>
      </c>
      <c r="B3220" t="s">
        <v>9608</v>
      </c>
      <c r="C3220" t="s">
        <v>9609</v>
      </c>
      <c r="D3220" t="str">
        <f>HYPERLINK("https://github.com/dimagi/commcare-android/issues/1890","show")</f>
        <v>show</v>
      </c>
      <c r="E3220" t="str">
        <f>HYPERLINK("https://github.com/dimagi/commcare-android","show")</f>
        <v>show</v>
      </c>
      <c r="F3220" t="str">
        <f>HYPERLINK("https://github.com/dimagi/commcare-android/releases","show")</f>
        <v>show</v>
      </c>
    </row>
    <row r="3221" spans="1:6">
      <c r="A3221" t="s">
        <v>9610</v>
      </c>
      <c r="B3221" t="s">
        <v>9611</v>
      </c>
      <c r="C3221" t="s">
        <v>9612</v>
      </c>
      <c r="D3221" t="str">
        <f>HYPERLINK("https://github.com/alhazmy13/MediaPicker/issues/40","show")</f>
        <v>show</v>
      </c>
      <c r="E3221" t="str">
        <f>HYPERLINK("https://github.com/alhazmy13/MediaPicker","show")</f>
        <v>show</v>
      </c>
      <c r="F3221" t="str">
        <f>HYPERLINK("https://github.com/alhazmy13/MediaPicker/releases","show")</f>
        <v>show</v>
      </c>
    </row>
    <row r="3222" spans="1:6">
      <c r="A3222" t="s">
        <v>9613</v>
      </c>
      <c r="B3222" t="s">
        <v>9614</v>
      </c>
      <c r="C3222" t="s">
        <v>9615</v>
      </c>
      <c r="D3222" t="str">
        <f>HYPERLINK("https://github.com/nextcloud/android/issues/1800","show")</f>
        <v>show</v>
      </c>
      <c r="E3222" t="str">
        <f>HYPERLINK("https://github.com/nextcloud/android","show")</f>
        <v>show</v>
      </c>
      <c r="F3222" t="str">
        <f>HYPERLINK("https://github.com/nextcloud/android/releases","show")</f>
        <v>show</v>
      </c>
    </row>
    <row r="3223" spans="1:6">
      <c r="A3223" t="s">
        <v>9616</v>
      </c>
      <c r="B3223" t="s">
        <v>9617</v>
      </c>
      <c r="C3223" t="s">
        <v>9618</v>
      </c>
      <c r="D3223" t="str">
        <f>HYPERLINK("https://github.com/michael-rapp/AndroidMaterialPreferences/issues/16","show")</f>
        <v>show</v>
      </c>
      <c r="E3223" t="str">
        <f>HYPERLINK("https://github.com/michael-rapp/AndroidMaterialPreferences","show")</f>
        <v>show</v>
      </c>
      <c r="F3223" t="str">
        <f>HYPERLINK("https://github.com/michael-rapp/AndroidMaterialPreferences/releases","show")</f>
        <v>show</v>
      </c>
    </row>
    <row r="3224" spans="1:6">
      <c r="A3224" t="s">
        <v>9619</v>
      </c>
      <c r="B3224" t="s">
        <v>9620</v>
      </c>
      <c r="C3224" t="s">
        <v>9621</v>
      </c>
      <c r="D3224" t="str">
        <f>HYPERLINK("https://github.com/Sw24Softwares/StarkeVerben/issues/12","show")</f>
        <v>show</v>
      </c>
      <c r="E3224" t="str">
        <f>HYPERLINK("https://github.com/Sw24Softwares/StarkeVerben","show")</f>
        <v>show</v>
      </c>
      <c r="F3224" t="str">
        <f>HYPERLINK("https://github.com/Sw24Softwares/StarkeVerben/releases","show")</f>
        <v>show</v>
      </c>
    </row>
    <row r="3225" spans="1:6">
      <c r="A3225" t="s">
        <v>9622</v>
      </c>
      <c r="B3225" t="s">
        <v>4460</v>
      </c>
      <c r="C3225" t="s">
        <v>9623</v>
      </c>
      <c r="D3225" t="str">
        <f>HYPERLINK("https://github.com/tanrabad/survey/issues/43","show")</f>
        <v>show</v>
      </c>
      <c r="E3225" t="str">
        <f>HYPERLINK("https://github.com/tanrabad/survey","show")</f>
        <v>show</v>
      </c>
      <c r="F3225" t="str">
        <f>HYPERLINK("https://github.com/tanrabad/survey/releases","show")</f>
        <v>show</v>
      </c>
    </row>
    <row r="3226" spans="1:6">
      <c r="A3226" t="s">
        <v>9624</v>
      </c>
      <c r="B3226" t="s">
        <v>9625</v>
      </c>
      <c r="C3226" t="s">
        <v>9626</v>
      </c>
      <c r="D3226" t="str">
        <f>HYPERLINK("https://github.com/Cleveroad/AdaptiveTableLayout/issues/20","show")</f>
        <v>show</v>
      </c>
      <c r="E3226" t="str">
        <f>HYPERLINK("https://github.com/Cleveroad/AdaptiveTableLayout","show")</f>
        <v>show</v>
      </c>
      <c r="F3226" t="str">
        <f>HYPERLINK("https://github.com/Cleveroad/AdaptiveTableLayout/releases","show")</f>
        <v>show</v>
      </c>
    </row>
    <row r="3227" spans="1:6">
      <c r="A3227" t="s">
        <v>9627</v>
      </c>
      <c r="B3227" t="s">
        <v>9628</v>
      </c>
      <c r="C3227" t="s">
        <v>9629</v>
      </c>
      <c r="D3227" t="str">
        <f>HYPERLINK("https://github.com/zeevy/grblcontroller/issues/7","show")</f>
        <v>show</v>
      </c>
      <c r="E3227" t="str">
        <f>HYPERLINK("https://github.com/zeevy/grblcontroller","show")</f>
        <v>show</v>
      </c>
      <c r="F3227" t="str">
        <f>HYPERLINK("https://github.com/zeevy/grblcontroller/releases","show")</f>
        <v>show</v>
      </c>
    </row>
    <row r="3228" spans="1:6">
      <c r="A3228" t="s">
        <v>9630</v>
      </c>
      <c r="B3228" t="s">
        <v>9631</v>
      </c>
      <c r="C3228" t="s">
        <v>9632</v>
      </c>
      <c r="D3228" t="str">
        <f>HYPERLINK("https://github.com/MCMrARM/revolution-irc/issues/43","show")</f>
        <v>show</v>
      </c>
      <c r="E3228" t="str">
        <f>HYPERLINK("https://github.com/MCMrARM/revolution-irc","show")</f>
        <v>show</v>
      </c>
      <c r="F3228" t="str">
        <f>HYPERLINK("https://github.com/MCMrARM/revolution-irc/releases","show")</f>
        <v>show</v>
      </c>
    </row>
    <row r="3229" spans="1:6">
      <c r="A3229" t="s">
        <v>9633</v>
      </c>
      <c r="B3229" t="s">
        <v>9634</v>
      </c>
      <c r="C3229" t="s">
        <v>9635</v>
      </c>
      <c r="D3229" t="str">
        <f>HYPERLINK("https://github.com/niclabs/adkintunmobile-androidclient/issues/186","show")</f>
        <v>show</v>
      </c>
      <c r="E3229" t="str">
        <f>HYPERLINK("https://github.com/niclabs/adkintunmobile-androidclient","show")</f>
        <v>show</v>
      </c>
      <c r="F3229" t="str">
        <f>HYPERLINK("https://github.com/niclabs/adkintunmobile-androidclient/releases","show")</f>
        <v>show</v>
      </c>
    </row>
    <row r="3230" spans="1:6">
      <c r="A3230" t="s">
        <v>9636</v>
      </c>
      <c r="B3230" t="s">
        <v>9637</v>
      </c>
      <c r="C3230" t="s">
        <v>9638</v>
      </c>
      <c r="D3230" t="str">
        <f>HYPERLINK("https://github.com/ZieIony/Carbon/issues/326","show")</f>
        <v>show</v>
      </c>
      <c r="E3230" t="str">
        <f>HYPERLINK("https://github.com/ZieIony/Carbon","show")</f>
        <v>show</v>
      </c>
      <c r="F3230" t="str">
        <f>HYPERLINK("https://github.com/ZieIony/Carbon/releases","show")</f>
        <v>show</v>
      </c>
    </row>
    <row r="3231" spans="1:6">
      <c r="A3231" t="s">
        <v>9639</v>
      </c>
      <c r="B3231" t="s">
        <v>9640</v>
      </c>
      <c r="C3231" t="s">
        <v>9641</v>
      </c>
      <c r="D3231" t="str">
        <f>HYPERLINK("https://github.com/PhilippC/keepass2android/issues/138","show")</f>
        <v>show</v>
      </c>
      <c r="E3231" t="str">
        <f>HYPERLINK("https://github.com/PhilippC/keepass2android","show")</f>
        <v>show</v>
      </c>
      <c r="F3231" t="str">
        <f>HYPERLINK("https://github.com/PhilippC/keepass2android/releases","show")</f>
        <v>show</v>
      </c>
    </row>
    <row r="3232" spans="1:6">
      <c r="A3232" t="s">
        <v>9642</v>
      </c>
      <c r="B3232" t="s">
        <v>9643</v>
      </c>
      <c r="C3232" t="s">
        <v>9644</v>
      </c>
      <c r="D3232" t="str">
        <f>HYPERLINK("https://github.com/SoftwareEngineeringDaily/SEDaily-Android/issues/76","show")</f>
        <v>show</v>
      </c>
      <c r="E3232" t="str">
        <f>HYPERLINK("https://github.com/SoftwareEngineeringDaily/SEDaily-Android","show")</f>
        <v>show</v>
      </c>
      <c r="F3232" t="str">
        <f>HYPERLINK("https://github.com/SoftwareEngineeringDaily/SEDaily-Android/releases","show")</f>
        <v>show</v>
      </c>
    </row>
    <row r="3233" spans="1:6">
      <c r="A3233" t="s">
        <v>9645</v>
      </c>
      <c r="B3233" t="s">
        <v>9646</v>
      </c>
      <c r="C3233" t="s">
        <v>9647</v>
      </c>
      <c r="D3233" t="str">
        <f>HYPERLINK("https://github.com/CMPUT301F17T02/BAARD/issues/98","show")</f>
        <v>show</v>
      </c>
      <c r="E3233" t="str">
        <f>HYPERLINK("https://github.com/CMPUT301F17T02/BAARD","show")</f>
        <v>show</v>
      </c>
      <c r="F3233" t="str">
        <f>HYPERLINK("https://github.com/CMPUT301F17T02/BAARD/releases","show")</f>
        <v>show</v>
      </c>
    </row>
    <row r="3234" spans="1:6">
      <c r="A3234" t="s">
        <v>9648</v>
      </c>
      <c r="B3234" t="s">
        <v>9649</v>
      </c>
      <c r="C3234" t="s">
        <v>9650</v>
      </c>
      <c r="D3234" t="str">
        <f>HYPERLINK("https://github.com/ccrama/Slide/issues/2596","show")</f>
        <v>show</v>
      </c>
      <c r="E3234" t="str">
        <f>HYPERLINK("https://github.com/ccrama/Slide","show")</f>
        <v>show</v>
      </c>
      <c r="F3234" t="str">
        <f>HYPERLINK("https://github.com/ccrama/Slide/releases","show")</f>
        <v>show</v>
      </c>
    </row>
    <row r="3235" spans="1:6">
      <c r="A3235" t="s">
        <v>9651</v>
      </c>
      <c r="B3235" t="s">
        <v>9652</v>
      </c>
      <c r="C3235" t="s">
        <v>9653</v>
      </c>
      <c r="D3235" t="str">
        <f>HYPERLINK("https://github.com/scorelab/kute/issues/81","show")</f>
        <v>show</v>
      </c>
      <c r="E3235" t="str">
        <f>HYPERLINK("https://github.com/scorelab/kute","show")</f>
        <v>show</v>
      </c>
      <c r="F3235" t="str">
        <f>HYPERLINK("https://github.com/scorelab/kute/releases","show")</f>
        <v>show</v>
      </c>
    </row>
    <row r="3236" spans="1:6">
      <c r="A3236" t="s">
        <v>9654</v>
      </c>
      <c r="B3236" t="s">
        <v>9655</v>
      </c>
      <c r="C3236" t="s">
        <v>9656</v>
      </c>
      <c r="D3236" t="str">
        <f>HYPERLINK("https://github.com/dimagi/commcare-android/issues/1897","show")</f>
        <v>show</v>
      </c>
      <c r="E3236" t="str">
        <f>HYPERLINK("https://github.com/dimagi/commcare-android","show")</f>
        <v>show</v>
      </c>
      <c r="F3236" t="str">
        <f>HYPERLINK("https://github.com/dimagi/commcare-android/releases","show")</f>
        <v>show</v>
      </c>
    </row>
    <row r="3237" spans="1:6">
      <c r="A3237" t="s">
        <v>9657</v>
      </c>
      <c r="B3237" t="s">
        <v>9658</v>
      </c>
      <c r="C3237" t="s">
        <v>9659</v>
      </c>
      <c r="D3237" t="str">
        <f>HYPERLINK("https://github.com/dmfs/opentasks/issues/516","show")</f>
        <v>show</v>
      </c>
      <c r="E3237" t="str">
        <f>HYPERLINK("https://github.com/dmfs/opentasks","show")</f>
        <v>show</v>
      </c>
      <c r="F3237" t="str">
        <f>HYPERLINK("https://github.com/dmfs/opentasks/releases","show")</f>
        <v>show</v>
      </c>
    </row>
    <row r="3238" spans="1:6">
      <c r="A3238" t="s">
        <v>9660</v>
      </c>
      <c r="B3238" t="s">
        <v>9661</v>
      </c>
      <c r="C3238" t="s">
        <v>9662</v>
      </c>
      <c r="D3238" t="str">
        <f>HYPERLINK("https://github.com/tanrabad/survey/issues/44","show")</f>
        <v>show</v>
      </c>
      <c r="E3238" t="str">
        <f>HYPERLINK("https://github.com/tanrabad/survey","show")</f>
        <v>show</v>
      </c>
      <c r="F3238" t="str">
        <f>HYPERLINK("https://github.com/tanrabad/survey/releases","show")</f>
        <v>show</v>
      </c>
    </row>
    <row r="3239" spans="1:6">
      <c r="A3239" t="s">
        <v>9663</v>
      </c>
      <c r="B3239" t="s">
        <v>9664</v>
      </c>
      <c r="C3239" t="s">
        <v>9665</v>
      </c>
      <c r="D3239" t="str">
        <f>HYPERLINK("https://github.com/dimagi/commcare-android/issues/1901","show")</f>
        <v>show</v>
      </c>
      <c r="E3239" t="str">
        <f>HYPERLINK("https://github.com/dimagi/commcare-android","show")</f>
        <v>show</v>
      </c>
      <c r="F3239" t="str">
        <f>HYPERLINK("https://github.com/dimagi/commcare-android/releases","show")</f>
        <v>show</v>
      </c>
    </row>
    <row r="3240" spans="1:6">
      <c r="A3240" t="s">
        <v>9666</v>
      </c>
      <c r="B3240" t="s">
        <v>9667</v>
      </c>
      <c r="C3240" t="s">
        <v>9668</v>
      </c>
      <c r="D3240" t="str">
        <f>HYPERLINK("https://github.com/dmfs/opentasks/issues/521","show")</f>
        <v>show</v>
      </c>
      <c r="E3240" t="str">
        <f>HYPERLINK("https://github.com/dmfs/opentasks","show")</f>
        <v>show</v>
      </c>
      <c r="F3240" t="str">
        <f>HYPERLINK("https://github.com/dmfs/opentasks/releases","show")</f>
        <v>show</v>
      </c>
    </row>
    <row r="3241" spans="1:6">
      <c r="A3241" t="s">
        <v>9669</v>
      </c>
      <c r="B3241" t="s">
        <v>9670</v>
      </c>
      <c r="C3241" t="s">
        <v>9671</v>
      </c>
      <c r="D3241" t="str">
        <f>HYPERLINK("https://github.com/twilio/voice-quickstart-android/issues/116","show")</f>
        <v>show</v>
      </c>
      <c r="E3241" t="str">
        <f>HYPERLINK("https://github.com/twilio/voice-quickstart-android","show")</f>
        <v>show</v>
      </c>
      <c r="F3241" t="str">
        <f>HYPERLINK("https://github.com/twilio/voice-quickstart-android/releases","show")</f>
        <v>show</v>
      </c>
    </row>
    <row r="3242" spans="1:6">
      <c r="A3242" t="s">
        <v>9672</v>
      </c>
      <c r="B3242" t="s">
        <v>9673</v>
      </c>
      <c r="C3242" t="s">
        <v>9674</v>
      </c>
      <c r="D3242" t="str">
        <f>HYPERLINK("https://github.com/ponewheel/android-ponewheel/issues/30","show")</f>
        <v>show</v>
      </c>
      <c r="E3242" t="str">
        <f>HYPERLINK("https://github.com/ponewheel/android-ponewheel","show")</f>
        <v>show</v>
      </c>
      <c r="F3242" t="str">
        <f>HYPERLINK("https://github.com/ponewheel/android-ponewheel/releases","show")</f>
        <v>show</v>
      </c>
    </row>
    <row r="3243" spans="1:6">
      <c r="A3243" t="s">
        <v>9675</v>
      </c>
      <c r="B3243" t="s">
        <v>9676</v>
      </c>
      <c r="C3243" t="s">
        <v>9677</v>
      </c>
      <c r="D3243" t="str">
        <f>HYPERLINK("https://github.com/bpercy11/CalfTrackerRepo/issues/2","show")</f>
        <v>show</v>
      </c>
      <c r="E3243" t="str">
        <f>HYPERLINK("https://github.com/bpercy11/CalfTrackerRepo","show")</f>
        <v>show</v>
      </c>
      <c r="F3243" t="str">
        <f>HYPERLINK("https://github.com/bpercy11/CalfTrackerRepo/releases","show")</f>
        <v>show</v>
      </c>
    </row>
    <row r="3244" spans="1:6">
      <c r="A3244" t="s">
        <v>9678</v>
      </c>
      <c r="B3244" t="s">
        <v>9679</v>
      </c>
      <c r="C3244" t="s">
        <v>9680</v>
      </c>
      <c r="D3244" t="str">
        <f>HYPERLINK("https://github.com/andOTP/andOTP/issues/76","show")</f>
        <v>show</v>
      </c>
      <c r="E3244" t="str">
        <f>HYPERLINK("https://github.com/andOTP/andOTP","show")</f>
        <v>show</v>
      </c>
      <c r="F3244" t="str">
        <f>HYPERLINK("https://github.com/andOTP/andOTP/releases","show")</f>
        <v>show</v>
      </c>
    </row>
    <row r="3245" spans="1:6">
      <c r="A3245" t="s">
        <v>9681</v>
      </c>
      <c r="B3245" t="s">
        <v>9682</v>
      </c>
      <c r="C3245" t="s">
        <v>9683</v>
      </c>
      <c r="D3245" t="str">
        <f>HYPERLINK("https://github.com/netceteragroup/react-native-twitterkit/issues/19","show")</f>
        <v>show</v>
      </c>
      <c r="E3245" t="str">
        <f>HYPERLINK("https://github.com/netceteragroup/react-native-twitterkit","show")</f>
        <v>show</v>
      </c>
      <c r="F3245" t="str">
        <f>HYPERLINK("https://github.com/netceteragroup/react-native-twitterkit/releases","show")</f>
        <v>show</v>
      </c>
    </row>
    <row r="3246" spans="1:6">
      <c r="A3246" t="s">
        <v>9684</v>
      </c>
      <c r="B3246" t="s">
        <v>9685</v>
      </c>
      <c r="C3246" t="s">
        <v>9686</v>
      </c>
      <c r="D3246" t="str">
        <f>HYPERLINK("https://github.com/Freeyourgadget/Gadgetbridge/issues/897","show")</f>
        <v>show</v>
      </c>
      <c r="E3246" t="str">
        <f>HYPERLINK("https://github.com/Freeyourgadget/Gadgetbridge","show")</f>
        <v>show</v>
      </c>
      <c r="F3246" t="str">
        <f>HYPERLINK("https://github.com/Freeyourgadget/Gadgetbridge/releases","show")</f>
        <v>show</v>
      </c>
    </row>
    <row r="3247" spans="1:6">
      <c r="A3247" t="s">
        <v>9687</v>
      </c>
      <c r="B3247" t="s">
        <v>9688</v>
      </c>
      <c r="C3247" t="s">
        <v>9689</v>
      </c>
      <c r="D3247" t="str">
        <f>HYPERLINK("https://github.com/bumptech/glide/issues/2658","show")</f>
        <v>show</v>
      </c>
      <c r="E3247" t="str">
        <f>HYPERLINK("https://github.com/bumptech/glide","show")</f>
        <v>show</v>
      </c>
      <c r="F3247" t="str">
        <f>HYPERLINK("https://github.com/bumptech/glide/releases","show")</f>
        <v>show</v>
      </c>
    </row>
    <row r="3248" spans="1:6">
      <c r="A3248" t="s">
        <v>9690</v>
      </c>
      <c r="B3248" t="s">
        <v>9691</v>
      </c>
      <c r="C3248" t="s">
        <v>9692</v>
      </c>
      <c r="D3248" t="str">
        <f>HYPERLINK("https://github.com/requery/requery/issues/731","show")</f>
        <v>show</v>
      </c>
      <c r="E3248" t="str">
        <f>HYPERLINK("https://github.com/requery/requery","show")</f>
        <v>show</v>
      </c>
      <c r="F3248" t="str">
        <f>HYPERLINK("https://github.com/requery/requery/releases","show")</f>
        <v>show</v>
      </c>
    </row>
    <row r="3249" spans="1:6">
      <c r="A3249" t="s">
        <v>9693</v>
      </c>
      <c r="B3249" t="s">
        <v>9694</v>
      </c>
      <c r="C3249" t="s">
        <v>9695</v>
      </c>
      <c r="D3249" t="str">
        <f>HYPERLINK("https://github.com/zeevy/grblcontroller/issues/8","show")</f>
        <v>show</v>
      </c>
      <c r="E3249" t="str">
        <f>HYPERLINK("https://github.com/zeevy/grblcontroller","show")</f>
        <v>show</v>
      </c>
      <c r="F3249" t="str">
        <f>HYPERLINK("https://github.com/zeevy/grblcontroller/releases","show")</f>
        <v>show</v>
      </c>
    </row>
    <row r="3250" spans="1:6">
      <c r="A3250" t="s">
        <v>9696</v>
      </c>
      <c r="B3250" t="s">
        <v>9697</v>
      </c>
      <c r="C3250" t="s">
        <v>9698</v>
      </c>
      <c r="D3250" t="str">
        <f>HYPERLINK("https://github.com/CMPUT301F17T29/HabitUp/issues/194","show")</f>
        <v>show</v>
      </c>
      <c r="E3250" t="str">
        <f>HYPERLINK("https://github.com/CMPUT301F17T29/HabitUp","show")</f>
        <v>show</v>
      </c>
      <c r="F3250" t="str">
        <f>HYPERLINK("https://github.com/CMPUT301F17T29/HabitUp/releases","show")</f>
        <v>show</v>
      </c>
    </row>
    <row r="3251" spans="1:6">
      <c r="A3251" t="s">
        <v>9699</v>
      </c>
      <c r="B3251" t="s">
        <v>4460</v>
      </c>
      <c r="C3251" t="s">
        <v>9700</v>
      </c>
      <c r="D3251" t="str">
        <f>HYPERLINK("https://github.com/tanrabad/survey/issues/45","show")</f>
        <v>show</v>
      </c>
      <c r="E3251" t="str">
        <f>HYPERLINK("https://github.com/tanrabad/survey","show")</f>
        <v>show</v>
      </c>
      <c r="F3251" t="str">
        <f>HYPERLINK("https://github.com/tanrabad/survey/releases","show")</f>
        <v>show</v>
      </c>
    </row>
    <row r="3252" spans="1:6">
      <c r="A3252" t="s">
        <v>9701</v>
      </c>
      <c r="B3252" t="s">
        <v>9702</v>
      </c>
      <c r="C3252" t="s">
        <v>9703</v>
      </c>
      <c r="D3252" t="str">
        <f>HYPERLINK("https://github.com/OpenLauncherTeam/openlauncher/issues/291","show")</f>
        <v>show</v>
      </c>
      <c r="E3252" t="str">
        <f>HYPERLINK("https://github.com/OpenLauncherTeam/openlauncher","show")</f>
        <v>show</v>
      </c>
      <c r="F3252" t="str">
        <f>HYPERLINK("https://github.com/OpenLauncherTeam/openlauncher/releases","show")</f>
        <v>show</v>
      </c>
    </row>
    <row r="3253" spans="1:6">
      <c r="A3253" t="s">
        <v>9704</v>
      </c>
      <c r="B3253" t="s">
        <v>9705</v>
      </c>
      <c r="C3253" t="s">
        <v>9706</v>
      </c>
      <c r="D3253" t="str">
        <f>HYPERLINK("https://github.com/jroal/a2dpvolume/issues/259","show")</f>
        <v>show</v>
      </c>
      <c r="E3253" t="str">
        <f>HYPERLINK("https://github.com/jroal/a2dpvolume","show")</f>
        <v>show</v>
      </c>
      <c r="F3253" t="str">
        <f>HYPERLINK("https://github.com/jroal/a2dpvolume/releases","show")</f>
        <v>show</v>
      </c>
    </row>
    <row r="3254" spans="1:6">
      <c r="A3254" t="s">
        <v>9707</v>
      </c>
      <c r="B3254" t="s">
        <v>9708</v>
      </c>
      <c r="C3254" t="s">
        <v>9709</v>
      </c>
      <c r="D3254" t="str">
        <f>HYPERLINK("https://github.com/stefan-niedermann/nextcloud-notes/issues/303","show")</f>
        <v>show</v>
      </c>
      <c r="E3254" t="str">
        <f>HYPERLINK("https://github.com/stefan-niedermann/nextcloud-notes","show")</f>
        <v>show</v>
      </c>
      <c r="F3254" t="str">
        <f>HYPERLINK("https://github.com/stefan-niedermann/nextcloud-notes/releases","show")</f>
        <v>show</v>
      </c>
    </row>
    <row r="3255" spans="1:6">
      <c r="A3255" t="s">
        <v>9710</v>
      </c>
      <c r="B3255" t="s">
        <v>9711</v>
      </c>
      <c r="C3255" t="s">
        <v>9712</v>
      </c>
      <c r="D3255" t="str">
        <f>HYPERLINK("https://github.com/commons-app/apps-android-commons/issues/998","show")</f>
        <v>show</v>
      </c>
      <c r="E3255" t="str">
        <f>HYPERLINK("https://github.com/commons-app/apps-android-commons","show")</f>
        <v>show</v>
      </c>
      <c r="F3255" t="str">
        <f>HYPERLINK("https://github.com/commons-app/apps-android-commons/releases","show")</f>
        <v>show</v>
      </c>
    </row>
    <row r="3256" spans="1:6">
      <c r="A3256" t="s">
        <v>9713</v>
      </c>
      <c r="B3256" t="s">
        <v>9714</v>
      </c>
      <c r="C3256" t="s">
        <v>9715</v>
      </c>
      <c r="D3256" t="str">
        <f>HYPERLINK("https://github.com/ZeeRooo/MaterialFBook/issues/120","show")</f>
        <v>show</v>
      </c>
      <c r="E3256" t="str">
        <f>HYPERLINK("https://github.com/ZeeRooo/MaterialFBook","show")</f>
        <v>show</v>
      </c>
      <c r="F3256" t="str">
        <f>HYPERLINK("https://github.com/ZeeRooo/MaterialFBook/releases","show")</f>
        <v>show</v>
      </c>
    </row>
    <row r="3257" spans="1:6">
      <c r="A3257" t="s">
        <v>9716</v>
      </c>
      <c r="B3257" t="s">
        <v>9717</v>
      </c>
      <c r="C3257" t="s">
        <v>9718</v>
      </c>
      <c r="D3257" t="str">
        <f>HYPERLINK("https://github.com/kontalk/androidclient/issues/1112","show")</f>
        <v>show</v>
      </c>
      <c r="E3257" t="str">
        <f>HYPERLINK("https://github.com/kontalk/androidclient","show")</f>
        <v>show</v>
      </c>
      <c r="F3257" t="str">
        <f>HYPERLINK("https://github.com/kontalk/androidclient/releases","show")</f>
        <v>show</v>
      </c>
    </row>
    <row r="3258" spans="1:6">
      <c r="A3258" t="s">
        <v>9719</v>
      </c>
      <c r="B3258" t="s">
        <v>9720</v>
      </c>
      <c r="C3258" t="s">
        <v>9721</v>
      </c>
      <c r="D3258" t="str">
        <f>HYPERLINK("https://github.com/vector-im/riot-android/issues/1789","show")</f>
        <v>show</v>
      </c>
      <c r="E3258" t="str">
        <f>HYPERLINK("https://github.com/vector-im/riot-android","show")</f>
        <v>show</v>
      </c>
      <c r="F3258" t="str">
        <f>HYPERLINK("https://github.com/vector-im/riot-android/releases","show")</f>
        <v>show</v>
      </c>
    </row>
    <row r="3259" spans="1:6">
      <c r="A3259" t="s">
        <v>9722</v>
      </c>
      <c r="B3259" t="s">
        <v>9723</v>
      </c>
      <c r="C3259" t="s">
        <v>9724</v>
      </c>
      <c r="D3259" t="str">
        <f>HYPERLINK("https://github.com/commons-app/apps-android-commons/issues/997","show")</f>
        <v>show</v>
      </c>
      <c r="E3259" t="str">
        <f>HYPERLINK("https://github.com/commons-app/apps-android-commons","show")</f>
        <v>show</v>
      </c>
      <c r="F3259" t="str">
        <f>HYPERLINK("https://github.com/commons-app/apps-android-commons/releases","show")</f>
        <v>show</v>
      </c>
    </row>
    <row r="3260" spans="1:6">
      <c r="A3260" t="s">
        <v>9725</v>
      </c>
      <c r="B3260" t="s">
        <v>9726</v>
      </c>
      <c r="C3260" t="s">
        <v>9727</v>
      </c>
      <c r="D3260" t="str">
        <f>HYPERLINK("https://github.com/bumptech/glide/issues/2675","show")</f>
        <v>show</v>
      </c>
      <c r="E3260" t="str">
        <f>HYPERLINK("https://github.com/bumptech/glide","show")</f>
        <v>show</v>
      </c>
      <c r="F3260" t="str">
        <f>HYPERLINK("https://github.com/bumptech/glide/releases","show")</f>
        <v>show</v>
      </c>
    </row>
    <row r="3261" spans="1:6">
      <c r="A3261" t="s">
        <v>9728</v>
      </c>
      <c r="B3261" t="s">
        <v>9729</v>
      </c>
      <c r="C3261" t="s">
        <v>9730</v>
      </c>
      <c r="D3261" t="str">
        <f>HYPERLINK("https://github.com/facebook/buck/issues/1667","show")</f>
        <v>show</v>
      </c>
      <c r="E3261" t="str">
        <f>HYPERLINK("https://github.com/facebook/buck","show")</f>
        <v>show</v>
      </c>
      <c r="F3261" t="str">
        <f>HYPERLINK("https://github.com/facebook/buck/releases","show")</f>
        <v>show</v>
      </c>
    </row>
    <row r="3262" spans="1:6">
      <c r="A3262" t="s">
        <v>9731</v>
      </c>
      <c r="B3262" t="s">
        <v>9732</v>
      </c>
      <c r="C3262" t="s">
        <v>9733</v>
      </c>
      <c r="D3262" t="str">
        <f>HYPERLINK("https://github.com/react-native-camera/react-native-camera/issues/1023","show")</f>
        <v>show</v>
      </c>
      <c r="E3262" t="str">
        <f>HYPERLINK("https://github.com/react-native-camera/react-native-camera","show")</f>
        <v>show</v>
      </c>
      <c r="F3262" t="str">
        <f>HYPERLINK("https://github.com/react-native-camera/react-native-camera/releases","show")</f>
        <v>show</v>
      </c>
    </row>
    <row r="3263" spans="1:6">
      <c r="A3263" t="s">
        <v>9734</v>
      </c>
      <c r="B3263" t="s">
        <v>9735</v>
      </c>
      <c r="C3263" t="s">
        <v>9736</v>
      </c>
      <c r="D3263" t="str">
        <f>HYPERLINK("https://github.com/google/ExoPlayer/issues/3552","show")</f>
        <v>show</v>
      </c>
      <c r="E3263" t="str">
        <f>HYPERLINK("https://github.com/google/ExoPlayer","show")</f>
        <v>show</v>
      </c>
      <c r="F3263" t="str">
        <f>HYPERLINK("https://github.com/google/ExoPlayer/releases","show")</f>
        <v>show</v>
      </c>
    </row>
    <row r="3264" spans="1:6">
      <c r="A3264" t="s">
        <v>9737</v>
      </c>
      <c r="B3264" t="s">
        <v>9738</v>
      </c>
      <c r="C3264" t="s">
        <v>9739</v>
      </c>
      <c r="D3264" t="str">
        <f>HYPERLINK("https://github.com/niclabs/adkintunmobile-androidclient/issues/187","show")</f>
        <v>show</v>
      </c>
      <c r="E3264" t="str">
        <f>HYPERLINK("https://github.com/niclabs/adkintunmobile-androidclient","show")</f>
        <v>show</v>
      </c>
      <c r="F3264" t="str">
        <f>HYPERLINK("https://github.com/niclabs/adkintunmobile-androidclient/releases","show")</f>
        <v>show</v>
      </c>
    </row>
    <row r="3265" spans="1:6">
      <c r="A3265" t="s">
        <v>9740</v>
      </c>
      <c r="B3265" t="s">
        <v>9741</v>
      </c>
      <c r="C3265" t="s">
        <v>9742</v>
      </c>
      <c r="D3265" t="str">
        <f>HYPERLINK("https://github.com/bumptech/glide/issues/2689","show")</f>
        <v>show</v>
      </c>
      <c r="E3265" t="str">
        <f>HYPERLINK("https://github.com/bumptech/glide","show")</f>
        <v>show</v>
      </c>
      <c r="F3265" t="str">
        <f>HYPERLINK("https://github.com/bumptech/glide/releases","show")</f>
        <v>show</v>
      </c>
    </row>
    <row r="3266" spans="1:6">
      <c r="A3266" t="s">
        <v>9743</v>
      </c>
      <c r="B3266" t="s">
        <v>9744</v>
      </c>
      <c r="C3266" t="s">
        <v>9745</v>
      </c>
      <c r="D3266" t="str">
        <f>HYPERLINK("https://github.com/dragonrollers/thoughtbubble-app/issues/70","show")</f>
        <v>show</v>
      </c>
      <c r="E3266" t="str">
        <f>HYPERLINK("https://github.com/dragonrollers/thoughtbubble-app","show")</f>
        <v>show</v>
      </c>
      <c r="F3266" t="str">
        <f>HYPERLINK("https://github.com/dragonrollers/thoughtbubble-app/releases","show")</f>
        <v>show</v>
      </c>
    </row>
    <row r="3267" spans="1:6">
      <c r="A3267" t="s">
        <v>9746</v>
      </c>
      <c r="B3267" t="s">
        <v>9747</v>
      </c>
      <c r="C3267" t="s">
        <v>9748</v>
      </c>
      <c r="D3267" t="str">
        <f>HYPERLINK("https://github.com/nextcloud/android/issues/1841","show")</f>
        <v>show</v>
      </c>
      <c r="E3267" t="str">
        <f>HYPERLINK("https://github.com/nextcloud/android","show")</f>
        <v>show</v>
      </c>
      <c r="F3267" t="str">
        <f>HYPERLINK("https://github.com/nextcloud/android/releases","show")</f>
        <v>show</v>
      </c>
    </row>
    <row r="3268" spans="1:6">
      <c r="A3268" t="s">
        <v>9749</v>
      </c>
      <c r="B3268" t="s">
        <v>9750</v>
      </c>
      <c r="C3268" t="s">
        <v>9751</v>
      </c>
      <c r="D3268" t="str">
        <f>HYPERLINK("https://github.com/dragonrollers/thoughtbubble-app/issues/42","show")</f>
        <v>show</v>
      </c>
      <c r="E3268" t="str">
        <f>HYPERLINK("https://github.com/dragonrollers/thoughtbubble-app","show")</f>
        <v>show</v>
      </c>
      <c r="F3268" t="str">
        <f>HYPERLINK("https://github.com/dragonrollers/thoughtbubble-app/releases","show")</f>
        <v>show</v>
      </c>
    </row>
    <row r="3269" spans="1:6">
      <c r="A3269" t="s">
        <v>9752</v>
      </c>
      <c r="B3269" t="s">
        <v>9753</v>
      </c>
      <c r="C3269" t="s">
        <v>9754</v>
      </c>
      <c r="D3269" t="str">
        <f>HYPERLINK("https://github.com/bumptech/glide/issues/2696","show")</f>
        <v>show</v>
      </c>
      <c r="E3269" t="str">
        <f>HYPERLINK("https://github.com/bumptech/glide","show")</f>
        <v>show</v>
      </c>
      <c r="F3269" t="str">
        <f>HYPERLINK("https://github.com/bumptech/glide/releases","show")</f>
        <v>show</v>
      </c>
    </row>
    <row r="3270" spans="1:6">
      <c r="A3270" t="s">
        <v>9755</v>
      </c>
      <c r="B3270" t="s">
        <v>9756</v>
      </c>
      <c r="C3270" t="s">
        <v>9757</v>
      </c>
      <c r="D3270" t="str">
        <f>HYPERLINK("https://github.com/scottwainstock/pbm-android/issues/175","show")</f>
        <v>show</v>
      </c>
      <c r="E3270" t="str">
        <f>HYPERLINK("https://github.com/scottwainstock/pbm-android","show")</f>
        <v>show</v>
      </c>
      <c r="F3270" t="str">
        <f>HYPERLINK("https://github.com/scottwainstock/pbm-android/releases","show")</f>
        <v>show</v>
      </c>
    </row>
    <row r="3271" spans="1:6">
      <c r="A3271" t="s">
        <v>9758</v>
      </c>
      <c r="B3271" t="s">
        <v>9759</v>
      </c>
      <c r="C3271" t="s">
        <v>9760</v>
      </c>
      <c r="D3271" t="str">
        <f>HYPERLINK("https://github.com/billthefarmer/scope/issues/16","show")</f>
        <v>show</v>
      </c>
      <c r="E3271" t="str">
        <f>HYPERLINK("https://github.com/billthefarmer/scope","show")</f>
        <v>show</v>
      </c>
      <c r="F3271" t="str">
        <f>HYPERLINK("https://github.com/billthefarmer/scope/releases","show")</f>
        <v>show</v>
      </c>
    </row>
    <row r="3272" spans="1:6">
      <c r="A3272" t="s">
        <v>9761</v>
      </c>
      <c r="B3272" t="s">
        <v>9762</v>
      </c>
      <c r="C3272" t="s">
        <v>9763</v>
      </c>
      <c r="D3272" t="str">
        <f>HYPERLINK("https://github.com/ramack/ActivityDiary/issues/60","show")</f>
        <v>show</v>
      </c>
      <c r="E3272" t="str">
        <f>HYPERLINK("https://github.com/ramack/ActivityDiary","show")</f>
        <v>show</v>
      </c>
      <c r="F3272" t="str">
        <f>HYPERLINK("https://github.com/ramack/ActivityDiary/releases","show")</f>
        <v>show</v>
      </c>
    </row>
    <row r="3273" spans="1:6">
      <c r="A3273" t="s">
        <v>9764</v>
      </c>
      <c r="B3273" t="s">
        <v>9765</v>
      </c>
      <c r="C3273" t="s">
        <v>9766</v>
      </c>
      <c r="D3273" t="str">
        <f>HYPERLINK("https://github.com/nextcloud/android/issues/1848","show")</f>
        <v>show</v>
      </c>
      <c r="E3273" t="str">
        <f>HYPERLINK("https://github.com/nextcloud/android","show")</f>
        <v>show</v>
      </c>
      <c r="F3273" t="str">
        <f>HYPERLINK("https://github.com/nextcloud/android/releases","show")</f>
        <v>show</v>
      </c>
    </row>
    <row r="3274" spans="1:6">
      <c r="A3274" t="s">
        <v>9767</v>
      </c>
      <c r="B3274" t="s">
        <v>9768</v>
      </c>
      <c r="C3274" t="s">
        <v>9769</v>
      </c>
      <c r="D3274" t="str">
        <f>HYPERLINK("https://github.com/simonpoole/OpeningHoursFragment/issues/21","show")</f>
        <v>show</v>
      </c>
      <c r="E3274" t="str">
        <f>HYPERLINK("https://github.com/simonpoole/OpeningHoursFragment","show")</f>
        <v>show</v>
      </c>
      <c r="F3274" t="str">
        <f>HYPERLINK("https://github.com/simonpoole/OpeningHoursFragment/releases","show")</f>
        <v>show</v>
      </c>
    </row>
    <row r="3275" spans="1:6">
      <c r="A3275" t="s">
        <v>9770</v>
      </c>
      <c r="B3275" t="s">
        <v>6387</v>
      </c>
      <c r="C3275" t="s">
        <v>9771</v>
      </c>
      <c r="D3275" t="str">
        <f>HYPERLINK("https://github.com/dmfs/opentasks/issues/575","show")</f>
        <v>show</v>
      </c>
      <c r="E3275" t="str">
        <f>HYPERLINK("https://github.com/dmfs/opentasks","show")</f>
        <v>show</v>
      </c>
      <c r="F3275" t="str">
        <f>HYPERLINK("https://github.com/dmfs/opentasks/releases","show")</f>
        <v>show</v>
      </c>
    </row>
    <row r="3276" spans="1:6">
      <c r="A3276" t="s">
        <v>9772</v>
      </c>
      <c r="B3276" t="s">
        <v>9773</v>
      </c>
      <c r="C3276" t="s">
        <v>9774</v>
      </c>
      <c r="D3276" t="str">
        <f>HYPERLINK("https://github.com/square/okhttp/issues/3719","show")</f>
        <v>show</v>
      </c>
      <c r="E3276" t="str">
        <f>HYPERLINK("https://github.com/square/okhttp","show")</f>
        <v>show</v>
      </c>
      <c r="F3276" t="str">
        <f>HYPERLINK("https://github.com/square/okhttp/releases","show")</f>
        <v>show</v>
      </c>
    </row>
    <row r="3277" spans="1:6">
      <c r="A3277" t="s">
        <v>9775</v>
      </c>
      <c r="B3277" t="s">
        <v>9776</v>
      </c>
      <c r="C3277" t="s">
        <v>9777</v>
      </c>
      <c r="D3277" t="str">
        <f>HYPERLINK("https://github.com/Glucosio/glucosio-android/issues/385","show")</f>
        <v>show</v>
      </c>
      <c r="E3277" t="str">
        <f>HYPERLINK("https://github.com/Glucosio/glucosio-android","show")</f>
        <v>show</v>
      </c>
      <c r="F3277" t="str">
        <f>HYPERLINK("https://github.com/Glucosio/glucosio-android/releases","show")</f>
        <v>show</v>
      </c>
    </row>
    <row r="3278" spans="1:6">
      <c r="A3278" t="s">
        <v>9778</v>
      </c>
      <c r="B3278" t="s">
        <v>9779</v>
      </c>
      <c r="C3278" t="s">
        <v>9780</v>
      </c>
      <c r="D3278" t="str">
        <f>HYPERLINK("https://github.com/lisawray/groupie/issues/135","show")</f>
        <v>show</v>
      </c>
      <c r="E3278" t="str">
        <f>HYPERLINK("https://github.com/lisawray/groupie","show")</f>
        <v>show</v>
      </c>
      <c r="F3278" t="str">
        <f>HYPERLINK("https://github.com/lisawray/groupie/releases","show")</f>
        <v>show</v>
      </c>
    </row>
    <row r="3279" spans="1:6">
      <c r="A3279" t="s">
        <v>9781</v>
      </c>
      <c r="B3279" t="s">
        <v>9782</v>
      </c>
      <c r="C3279" t="s">
        <v>9783</v>
      </c>
      <c r="D3279" t="str">
        <f>HYPERLINK("https://github.com/niclabs/adkintunmobile-androidclient/issues/188","show")</f>
        <v>show</v>
      </c>
      <c r="E3279" t="str">
        <f>HYPERLINK("https://github.com/niclabs/adkintunmobile-androidclient","show")</f>
        <v>show</v>
      </c>
      <c r="F3279" t="str">
        <f>HYPERLINK("https://github.com/niclabs/adkintunmobile-androidclient/releases","show")</f>
        <v>show</v>
      </c>
    </row>
    <row r="3280" spans="1:6">
      <c r="A3280" t="s">
        <v>9784</v>
      </c>
      <c r="B3280" t="s">
        <v>9785</v>
      </c>
      <c r="C3280" t="s">
        <v>9786</v>
      </c>
      <c r="D3280" t="str">
        <f>HYPERLINK("https://github.com/kabouzeid/Phonograph/issues/372","show")</f>
        <v>show</v>
      </c>
      <c r="E3280" t="str">
        <f>HYPERLINK("https://github.com/kabouzeid/Phonograph","show")</f>
        <v>show</v>
      </c>
      <c r="F3280" t="str">
        <f>HYPERLINK("https://github.com/kabouzeid/Phonograph/releases","show")</f>
        <v>show</v>
      </c>
    </row>
    <row r="3281" spans="1:6">
      <c r="A3281" t="s">
        <v>9787</v>
      </c>
      <c r="B3281" t="s">
        <v>9788</v>
      </c>
      <c r="C3281" t="s">
        <v>9789</v>
      </c>
      <c r="D3281" t="str">
        <f>HYPERLINK("https://github.com/Swrve/swrve-android-sdk/issues/271","show")</f>
        <v>show</v>
      </c>
      <c r="E3281" t="str">
        <f>HYPERLINK("https://github.com/Swrve/swrve-android-sdk","show")</f>
        <v>show</v>
      </c>
      <c r="F3281" t="str">
        <f>HYPERLINK("https://github.com/Swrve/swrve-android-sdk/releases","show")</f>
        <v>show</v>
      </c>
    </row>
    <row r="3282" spans="1:6">
      <c r="A3282" t="s">
        <v>9790</v>
      </c>
      <c r="B3282" t="s">
        <v>9791</v>
      </c>
      <c r="C3282" t="s">
        <v>9792</v>
      </c>
      <c r="D3282" t="str">
        <f>HYPERLINK("https://github.com/ZeeRooo/MaterialFBook/issues/121","show")</f>
        <v>show</v>
      </c>
      <c r="E3282" t="str">
        <f>HYPERLINK("https://github.com/ZeeRooo/MaterialFBook","show")</f>
        <v>show</v>
      </c>
      <c r="F3282" t="str">
        <f>HYPERLINK("https://github.com/ZeeRooo/MaterialFBook/releases","show")</f>
        <v>show</v>
      </c>
    </row>
    <row r="3283" spans="1:6">
      <c r="A3283" t="s">
        <v>9793</v>
      </c>
      <c r="B3283" t="s">
        <v>9794</v>
      </c>
      <c r="C3283" t="s">
        <v>9795</v>
      </c>
      <c r="D3283" t="str">
        <f>HYPERLINK("https://github.com/WyrnCael/JotDownThatMovie/issues/1","show")</f>
        <v>show</v>
      </c>
      <c r="E3283" t="str">
        <f>HYPERLINK("https://github.com/WyrnCael/JotDownThatMovie","show")</f>
        <v>show</v>
      </c>
      <c r="F3283" t="str">
        <f>HYPERLINK("https://github.com/WyrnCael/JotDownThatMovie/releases","show")</f>
        <v>show</v>
      </c>
    </row>
    <row r="3284" spans="1:6">
      <c r="A3284" t="s">
        <v>9796</v>
      </c>
      <c r="B3284" t="s">
        <v>9797</v>
      </c>
      <c r="C3284" t="s">
        <v>9798</v>
      </c>
      <c r="D3284" t="str">
        <f>HYPERLINK("https://github.com/k9mail/k-9/issues/2973","show")</f>
        <v>show</v>
      </c>
      <c r="E3284" t="str">
        <f>HYPERLINK("https://github.com/k9mail/k-9","show")</f>
        <v>show</v>
      </c>
      <c r="F3284" t="str">
        <f>HYPERLINK("https://github.com/k9mail/k-9/releases","show")</f>
        <v>show</v>
      </c>
    </row>
    <row r="3285" spans="1:6">
      <c r="A3285" t="s">
        <v>9799</v>
      </c>
      <c r="B3285" t="s">
        <v>9800</v>
      </c>
      <c r="C3285" t="s">
        <v>9801</v>
      </c>
      <c r="D3285" t="str">
        <f>HYPERLINK("https://github.com/zeevy/grblcontroller/issues/9","show")</f>
        <v>show</v>
      </c>
      <c r="E3285" t="str">
        <f>HYPERLINK("https://github.com/zeevy/grblcontroller","show")</f>
        <v>show</v>
      </c>
      <c r="F3285" t="str">
        <f>HYPERLINK("https://github.com/zeevy/grblcontroller/releases","show")</f>
        <v>show</v>
      </c>
    </row>
    <row r="3286" spans="1:6">
      <c r="A3286" t="s">
        <v>9802</v>
      </c>
      <c r="B3286" t="s">
        <v>9803</v>
      </c>
      <c r="C3286" t="s">
        <v>9804</v>
      </c>
      <c r="D3286" t="str">
        <f>HYPERLINK("https://github.com/popeen/Booksonic-App/issues/69","show")</f>
        <v>show</v>
      </c>
      <c r="E3286" t="str">
        <f>HYPERLINK("https://github.com/popeen/Booksonic-App","show")</f>
        <v>show</v>
      </c>
      <c r="F3286" t="str">
        <f>HYPERLINK("https://github.com/popeen/Booksonic-App/releases","show")</f>
        <v>show</v>
      </c>
    </row>
    <row r="3287" spans="1:6">
      <c r="A3287" t="s">
        <v>9805</v>
      </c>
      <c r="B3287" t="s">
        <v>9806</v>
      </c>
      <c r="C3287" t="s">
        <v>9807</v>
      </c>
      <c r="D3287" t="str">
        <f>HYPERLINK("https://github.com/wotomas/VoiceRipple/issues/10","show")</f>
        <v>show</v>
      </c>
      <c r="E3287" t="str">
        <f>HYPERLINK("https://github.com/wotomas/VoiceRipple","show")</f>
        <v>show</v>
      </c>
      <c r="F3287" t="str">
        <f>HYPERLINK("https://github.com/wotomas/VoiceRipple/releases","show")</f>
        <v>show</v>
      </c>
    </row>
    <row r="3288" spans="1:6">
      <c r="A3288" t="s">
        <v>9808</v>
      </c>
      <c r="B3288" t="s">
        <v>9809</v>
      </c>
      <c r="C3288" t="s">
        <v>9810</v>
      </c>
      <c r="D3288" t="str">
        <f>HYPERLINK("https://github.com/fr3ts0n/AndrOBD/issues/43","show")</f>
        <v>show</v>
      </c>
      <c r="E3288" t="str">
        <f>HYPERLINK("https://github.com/fr3ts0n/AndrOBD","show")</f>
        <v>show</v>
      </c>
      <c r="F3288" t="str">
        <f>HYPERLINK("https://github.com/fr3ts0n/AndrOBD/releases","show")</f>
        <v>show</v>
      </c>
    </row>
    <row r="3289" spans="1:6">
      <c r="A3289" t="s">
        <v>9811</v>
      </c>
      <c r="B3289" t="s">
        <v>9812</v>
      </c>
      <c r="C3289" t="s">
        <v>9813</v>
      </c>
      <c r="D3289" t="str">
        <f>HYPERLINK("https://github.com/novoda/download-manager/issues/274","show")</f>
        <v>show</v>
      </c>
      <c r="E3289" t="str">
        <f>HYPERLINK("https://github.com/novoda/download-manager","show")</f>
        <v>show</v>
      </c>
      <c r="F3289" t="str">
        <f>HYPERLINK("https://github.com/novoda/download-manager/releases","show")</f>
        <v>show</v>
      </c>
    </row>
    <row r="3290" spans="1:6">
      <c r="A3290" t="s">
        <v>9814</v>
      </c>
      <c r="B3290" t="s">
        <v>4460</v>
      </c>
      <c r="C3290" t="s">
        <v>9815</v>
      </c>
      <c r="D3290" t="str">
        <f>HYPERLINK("https://github.com/tanrabad/survey/issues/49","show")</f>
        <v>show</v>
      </c>
      <c r="E3290" t="str">
        <f>HYPERLINK("https://github.com/tanrabad/survey","show")</f>
        <v>show</v>
      </c>
      <c r="F3290" t="str">
        <f>HYPERLINK("https://github.com/tanrabad/survey/releases","show")</f>
        <v>show</v>
      </c>
    </row>
    <row r="3291" spans="1:6">
      <c r="A3291" t="s">
        <v>9816</v>
      </c>
      <c r="B3291" t="s">
        <v>4460</v>
      </c>
      <c r="C3291" t="s">
        <v>9817</v>
      </c>
      <c r="D3291" t="str">
        <f>HYPERLINK("https://github.com/tanrabad/survey/issues/48","show")</f>
        <v>show</v>
      </c>
      <c r="E3291" t="str">
        <f>HYPERLINK("https://github.com/tanrabad/survey","show")</f>
        <v>show</v>
      </c>
      <c r="F3291" t="str">
        <f>HYPERLINK("https://github.com/tanrabad/survey/releases","show")</f>
        <v>show</v>
      </c>
    </row>
    <row r="3292" spans="1:6">
      <c r="A3292" t="s">
        <v>9818</v>
      </c>
      <c r="B3292" t="s">
        <v>4460</v>
      </c>
      <c r="C3292" t="s">
        <v>9819</v>
      </c>
      <c r="D3292" t="str">
        <f>HYPERLINK("https://github.com/tanrabad/survey/issues/47","show")</f>
        <v>show</v>
      </c>
      <c r="E3292" t="str">
        <f>HYPERLINK("https://github.com/tanrabad/survey","show")</f>
        <v>show</v>
      </c>
      <c r="F3292" t="str">
        <f>HYPERLINK("https://github.com/tanrabad/survey/releases","show")</f>
        <v>show</v>
      </c>
    </row>
    <row r="3293" spans="1:6">
      <c r="A3293" t="s">
        <v>9820</v>
      </c>
      <c r="B3293" t="s">
        <v>4460</v>
      </c>
      <c r="C3293" t="s">
        <v>9821</v>
      </c>
      <c r="D3293" t="str">
        <f>HYPERLINK("https://github.com/tanrabad/survey/issues/46","show")</f>
        <v>show</v>
      </c>
      <c r="E3293" t="str">
        <f>HYPERLINK("https://github.com/tanrabad/survey","show")</f>
        <v>show</v>
      </c>
      <c r="F3293" t="str">
        <f>HYPERLINK("https://github.com/tanrabad/survey/releases","show")</f>
        <v>show</v>
      </c>
    </row>
    <row r="3294" spans="1:6">
      <c r="A3294" t="s">
        <v>9822</v>
      </c>
      <c r="B3294" t="s">
        <v>9823</v>
      </c>
      <c r="C3294" t="s">
        <v>9824</v>
      </c>
      <c r="D3294" t="str">
        <f>HYPERLINK("https://github.com/jruesga/rview/issues/57","show")</f>
        <v>show</v>
      </c>
      <c r="E3294" t="str">
        <f>HYPERLINK("https://github.com/jruesga/rview","show")</f>
        <v>show</v>
      </c>
      <c r="F3294" t="str">
        <f>HYPERLINK("https://github.com/jruesga/rview/releases","show")</f>
        <v>show</v>
      </c>
    </row>
    <row r="3295" spans="1:6">
      <c r="A3295" t="s">
        <v>9825</v>
      </c>
      <c r="B3295" t="s">
        <v>9826</v>
      </c>
      <c r="C3295" t="s">
        <v>9827</v>
      </c>
      <c r="D3295" t="str">
        <f>HYPERLINK("https://github.com/alhazmy13/MediaPicker/issues/49","show")</f>
        <v>show</v>
      </c>
      <c r="E3295" t="str">
        <f>HYPERLINK("https://github.com/alhazmy13/MediaPicker","show")</f>
        <v>show</v>
      </c>
      <c r="F3295" t="str">
        <f>HYPERLINK("https://github.com/alhazmy13/MediaPicker/releases","show")</f>
        <v>show</v>
      </c>
    </row>
    <row r="3296" spans="1:6">
      <c r="A3296" t="s">
        <v>9828</v>
      </c>
      <c r="B3296" t="s">
        <v>9829</v>
      </c>
      <c r="C3296" t="s">
        <v>9830</v>
      </c>
      <c r="D3296" t="str">
        <f>HYPERLINK("https://github.com/alhazmy13/MediaPicker/issues/51","show")</f>
        <v>show</v>
      </c>
      <c r="E3296" t="str">
        <f>HYPERLINK("https://github.com/alhazmy13/MediaPicker","show")</f>
        <v>show</v>
      </c>
      <c r="F3296" t="str">
        <f>HYPERLINK("https://github.com/alhazmy13/MediaPicker/releases","show")</f>
        <v>show</v>
      </c>
    </row>
    <row r="3297" spans="1:6">
      <c r="A3297" t="s">
        <v>9831</v>
      </c>
      <c r="B3297" t="s">
        <v>9832</v>
      </c>
      <c r="C3297" t="s">
        <v>9833</v>
      </c>
      <c r="D3297" t="str">
        <f>HYPERLINK("https://github.com/moneymanagerex/android-money-manager-ex/issues/1186","show")</f>
        <v>show</v>
      </c>
      <c r="E3297" t="str">
        <f>HYPERLINK("https://github.com/moneymanagerex/android-money-manager-ex","show")</f>
        <v>show</v>
      </c>
      <c r="F3297" t="str">
        <f>HYPERLINK("https://github.com/moneymanagerex/android-money-manager-ex/releases","show")</f>
        <v>show</v>
      </c>
    </row>
    <row r="3298" spans="1:6">
      <c r="A3298" t="s">
        <v>9834</v>
      </c>
      <c r="B3298" t="s">
        <v>9835</v>
      </c>
      <c r="C3298" t="s">
        <v>9836</v>
      </c>
      <c r="D3298" t="str">
        <f>HYPERLINK("https://github.com/dariuszseweryn/RxAndroidBle/issues/342","show")</f>
        <v>show</v>
      </c>
      <c r="E3298" t="str">
        <f>HYPERLINK("https://github.com/dariuszseweryn/RxAndroidBle","show")</f>
        <v>show</v>
      </c>
      <c r="F3298" t="str">
        <f>HYPERLINK("https://github.com/dariuszseweryn/RxAndroidBle/releases","show")</f>
        <v>show</v>
      </c>
    </row>
    <row r="3299" spans="1:6">
      <c r="A3299" t="s">
        <v>9837</v>
      </c>
      <c r="B3299" t="s">
        <v>9838</v>
      </c>
      <c r="C3299" t="s">
        <v>9839</v>
      </c>
      <c r="D3299" t="str">
        <f>HYPERLINK("https://github.com/tanrabad/survey/issues/50","show")</f>
        <v>show</v>
      </c>
      <c r="E3299" t="str">
        <f>HYPERLINK("https://github.com/tanrabad/survey","show")</f>
        <v>show</v>
      </c>
      <c r="F3299" t="str">
        <f>HYPERLINK("https://github.com/tanrabad/survey/releases","show")</f>
        <v>show</v>
      </c>
    </row>
    <row r="3300" spans="1:6">
      <c r="A3300" t="s">
        <v>9840</v>
      </c>
      <c r="B3300" t="s">
        <v>9841</v>
      </c>
      <c r="C3300" t="s">
        <v>9842</v>
      </c>
      <c r="D3300" t="str">
        <f>HYPERLINK("https://github.com/yrom/ScreenRecorder/issues/8","show")</f>
        <v>show</v>
      </c>
      <c r="E3300" t="str">
        <f>HYPERLINK("https://github.com/yrom/ScreenRecorder","show")</f>
        <v>show</v>
      </c>
      <c r="F3300" t="str">
        <f>HYPERLINK("https://github.com/yrom/ScreenRecorder/releases","show")</f>
        <v>show</v>
      </c>
    </row>
    <row r="3301" spans="1:6">
      <c r="A3301" t="s">
        <v>9843</v>
      </c>
      <c r="B3301" t="s">
        <v>9844</v>
      </c>
      <c r="C3301" t="s">
        <v>9845</v>
      </c>
      <c r="D3301" t="str">
        <f>HYPERLINK("https://github.com/mycelium-com/wallet-android/issues/441","show")</f>
        <v>show</v>
      </c>
      <c r="E3301" t="str">
        <f>HYPERLINK("https://github.com/mycelium-com/wallet-android","show")</f>
        <v>show</v>
      </c>
      <c r="F3301" t="str">
        <f>HYPERLINK("https://github.com/mycelium-com/wallet-android/releases","show")</f>
        <v>show</v>
      </c>
    </row>
    <row r="3302" spans="1:6">
      <c r="A3302" t="s">
        <v>9846</v>
      </c>
      <c r="B3302" t="s">
        <v>9847</v>
      </c>
      <c r="C3302" t="s">
        <v>9848</v>
      </c>
      <c r="D3302" t="str">
        <f>HYPERLINK("https://github.com/kyroschow/MinigameMarathon/issues/61","show")</f>
        <v>show</v>
      </c>
      <c r="E3302" t="str">
        <f>HYPERLINK("https://github.com/kyroschow/MinigameMarathon","show")</f>
        <v>show</v>
      </c>
      <c r="F3302" t="str">
        <f>HYPERLINK("https://github.com/kyroschow/MinigameMarathon/releases","show")</f>
        <v>show</v>
      </c>
    </row>
    <row r="3303" spans="1:6">
      <c r="A3303" t="s">
        <v>9849</v>
      </c>
      <c r="B3303" t="s">
        <v>9850</v>
      </c>
      <c r="C3303" t="s">
        <v>9851</v>
      </c>
      <c r="D3303" t="str">
        <f>HYPERLINK("https://github.com/getodk/collect/issues/1756","show")</f>
        <v>show</v>
      </c>
      <c r="E3303" t="str">
        <f>HYPERLINK("https://github.com/getodk/collect","show")</f>
        <v>show</v>
      </c>
      <c r="F3303" t="str">
        <f>HYPERLINK("https://github.com/getodk/collect/releases","show")</f>
        <v>show</v>
      </c>
    </row>
    <row r="3304" spans="1:6">
      <c r="A3304" t="s">
        <v>9852</v>
      </c>
      <c r="B3304" t="s">
        <v>9853</v>
      </c>
      <c r="C3304" t="s">
        <v>9854</v>
      </c>
      <c r="D3304" t="str">
        <f>HYPERLINK("https://github.com/mapbox/mapbox-plugins-android/issues/223","show")</f>
        <v>show</v>
      </c>
      <c r="E3304" t="str">
        <f>HYPERLINK("https://github.com/mapbox/mapbox-plugins-android","show")</f>
        <v>show</v>
      </c>
      <c r="F3304" t="str">
        <f>HYPERLINK("https://github.com/mapbox/mapbox-plugins-android/releases","show")</f>
        <v>show</v>
      </c>
    </row>
    <row r="3305" spans="1:6">
      <c r="A3305" t="s">
        <v>9855</v>
      </c>
      <c r="B3305" t="s">
        <v>9856</v>
      </c>
      <c r="C3305" t="s">
        <v>9857</v>
      </c>
      <c r="D3305" t="str">
        <f>HYPERLINK("https://github.com/kyroschow/MinigameMarathon/issues/59","show")</f>
        <v>show</v>
      </c>
      <c r="E3305" t="str">
        <f>HYPERLINK("https://github.com/kyroschow/MinigameMarathon","show")</f>
        <v>show</v>
      </c>
      <c r="F3305" t="str">
        <f>HYPERLINK("https://github.com/kyroschow/MinigameMarathon/releases","show")</f>
        <v>show</v>
      </c>
    </row>
    <row r="3306" spans="1:6">
      <c r="A3306" t="s">
        <v>9858</v>
      </c>
      <c r="B3306" t="s">
        <v>9859</v>
      </c>
      <c r="C3306" t="s">
        <v>9860</v>
      </c>
      <c r="D3306" t="str">
        <f>HYPERLINK("https://github.com/guardianproject/haven/issues/90","show")</f>
        <v>show</v>
      </c>
      <c r="E3306" t="str">
        <f>HYPERLINK("https://github.com/guardianproject/haven","show")</f>
        <v>show</v>
      </c>
      <c r="F3306" t="str">
        <f>HYPERLINK("https://github.com/guardianproject/haven/releases","show")</f>
        <v>show</v>
      </c>
    </row>
    <row r="3307" spans="1:6">
      <c r="A3307" t="s">
        <v>9861</v>
      </c>
      <c r="B3307" t="s">
        <v>9862</v>
      </c>
      <c r="C3307" t="s">
        <v>9863</v>
      </c>
      <c r="D3307" t="str">
        <f>HYPERLINK("https://github.com/guardianproject/haven/issues/84","show")</f>
        <v>show</v>
      </c>
      <c r="E3307" t="str">
        <f>HYPERLINK("https://github.com/guardianproject/haven","show")</f>
        <v>show</v>
      </c>
      <c r="F3307" t="str">
        <f>HYPERLINK("https://github.com/guardianproject/haven/releases","show")</f>
        <v>show</v>
      </c>
    </row>
    <row r="3308" spans="1:6">
      <c r="A3308" t="s">
        <v>9864</v>
      </c>
      <c r="B3308" t="s">
        <v>9865</v>
      </c>
      <c r="C3308" t="s">
        <v>9866</v>
      </c>
      <c r="D3308" t="str">
        <f>HYPERLINK("https://github.com/DoubleSymmetry/react-native-track-player/issues/100","show")</f>
        <v>show</v>
      </c>
      <c r="E3308" t="str">
        <f>HYPERLINK("https://github.com/DoubleSymmetry/react-native-track-player","show")</f>
        <v>show</v>
      </c>
      <c r="F3308" t="str">
        <f>HYPERLINK("https://github.com/DoubleSymmetry/react-native-track-player/releases","show")</f>
        <v>show</v>
      </c>
    </row>
    <row r="3309" spans="1:6">
      <c r="A3309" t="s">
        <v>9867</v>
      </c>
      <c r="B3309" t="s">
        <v>9868</v>
      </c>
      <c r="C3309" t="s">
        <v>9869</v>
      </c>
      <c r="D3309" t="str">
        <f>HYPERLINK("https://github.com/guardianproject/haven/issues/105","show")</f>
        <v>show</v>
      </c>
      <c r="E3309" t="str">
        <f>HYPERLINK("https://github.com/guardianproject/haven","show")</f>
        <v>show</v>
      </c>
      <c r="F3309" t="str">
        <f>HYPERLINK("https://github.com/guardianproject/haven/releases","show")</f>
        <v>show</v>
      </c>
    </row>
    <row r="3310" spans="1:6">
      <c r="A3310" t="s">
        <v>9870</v>
      </c>
      <c r="B3310" t="s">
        <v>9871</v>
      </c>
      <c r="C3310" t="s">
        <v>9872</v>
      </c>
      <c r="D3310" t="str">
        <f>HYPERLINK("https://github.com/tom-anders/Easy_xkcd/issues/121","show")</f>
        <v>show</v>
      </c>
      <c r="E3310" t="str">
        <f>HYPERLINK("https://github.com/tom-anders/Easy_xkcd","show")</f>
        <v>show</v>
      </c>
      <c r="F3310" t="str">
        <f>HYPERLINK("https://github.com/tom-anders/Easy_xkcd/releases","show")</f>
        <v>show</v>
      </c>
    </row>
    <row r="3311" spans="1:6">
      <c r="A3311" t="s">
        <v>9873</v>
      </c>
      <c r="B3311" t="s">
        <v>9874</v>
      </c>
      <c r="C3311" t="s">
        <v>9875</v>
      </c>
      <c r="D3311" t="str">
        <f>HYPERLINK("https://github.com/google/ExoPlayer/issues/3645","show")</f>
        <v>show</v>
      </c>
      <c r="E3311" t="str">
        <f>HYPERLINK("https://github.com/google/ExoPlayer","show")</f>
        <v>show</v>
      </c>
      <c r="F3311" t="str">
        <f>HYPERLINK("https://github.com/google/ExoPlayer/releases","show")</f>
        <v>show</v>
      </c>
    </row>
    <row r="3312" spans="1:6">
      <c r="A3312" t="s">
        <v>9876</v>
      </c>
      <c r="B3312" t="s">
        <v>9877</v>
      </c>
      <c r="C3312" t="s">
        <v>9878</v>
      </c>
      <c r="D3312" t="str">
        <f>HYPERLINK("https://github.com/k9mail/k-9/issues/2990","show")</f>
        <v>show</v>
      </c>
      <c r="E3312" t="str">
        <f>HYPERLINK("https://github.com/k9mail/k-9","show")</f>
        <v>show</v>
      </c>
      <c r="F3312" t="str">
        <f>HYPERLINK("https://github.com/k9mail/k-9/releases","show")</f>
        <v>show</v>
      </c>
    </row>
    <row r="3313" spans="1:6">
      <c r="A3313" t="s">
        <v>9879</v>
      </c>
      <c r="B3313" t="s">
        <v>9880</v>
      </c>
      <c r="C3313" t="s">
        <v>9881</v>
      </c>
      <c r="D3313" t="str">
        <f>HYPERLINK("https://github.com/rollbar/rollbar-react-native/issues/8","show")</f>
        <v>show</v>
      </c>
      <c r="E3313" t="str">
        <f>HYPERLINK("https://github.com/rollbar/rollbar-react-native","show")</f>
        <v>show</v>
      </c>
      <c r="F3313" t="str">
        <f>HYPERLINK("https://github.com/rollbar/rollbar-react-native/releases","show")</f>
        <v>show</v>
      </c>
    </row>
    <row r="3314" spans="1:6">
      <c r="A3314" t="s">
        <v>9882</v>
      </c>
      <c r="B3314" t="s">
        <v>9883</v>
      </c>
      <c r="C3314" t="s">
        <v>9884</v>
      </c>
      <c r="D3314" t="str">
        <f>HYPERLINK("https://github.com/Gear61/Food-Diary/issues/72","show")</f>
        <v>show</v>
      </c>
      <c r="E3314" t="str">
        <f>HYPERLINK("https://github.com/Gear61/Food-Diary","show")</f>
        <v>show</v>
      </c>
      <c r="F3314" t="str">
        <f>HYPERLINK("https://github.com/Gear61/Food-Diary/releases","show")</f>
        <v>show</v>
      </c>
    </row>
    <row r="3315" spans="1:6">
      <c r="A3315" t="s">
        <v>9885</v>
      </c>
      <c r="B3315" t="s">
        <v>9886</v>
      </c>
      <c r="C3315" t="s">
        <v>9887</v>
      </c>
      <c r="D3315" t="str">
        <f>HYPERLINK("https://github.com/bumptech/glide/issues/2767","show")</f>
        <v>show</v>
      </c>
      <c r="E3315" t="str">
        <f>HYPERLINK("https://github.com/bumptech/glide","show")</f>
        <v>show</v>
      </c>
      <c r="F3315" t="str">
        <f>HYPERLINK("https://github.com/bumptech/glide/releases","show")</f>
        <v>show</v>
      </c>
    </row>
    <row r="3316" spans="1:6">
      <c r="A3316" t="s">
        <v>9888</v>
      </c>
      <c r="B3316" t="s">
        <v>9889</v>
      </c>
      <c r="C3316" t="s">
        <v>9890</v>
      </c>
      <c r="D3316" t="str">
        <f>HYPERLINK("https://github.com/vovkasm/react-native-web-image/issues/18","show")</f>
        <v>show</v>
      </c>
      <c r="E3316" t="str">
        <f>HYPERLINK("https://github.com/vovkasm/react-native-web-image","show")</f>
        <v>show</v>
      </c>
      <c r="F3316" t="str">
        <f>HYPERLINK("https://github.com/vovkasm/react-native-web-image/releases","show")</f>
        <v>show</v>
      </c>
    </row>
    <row r="3317" spans="1:6">
      <c r="A3317" t="s">
        <v>9891</v>
      </c>
      <c r="B3317" t="s">
        <v>9892</v>
      </c>
      <c r="C3317" t="s">
        <v>9893</v>
      </c>
      <c r="D3317" t="str">
        <f>HYPERLINK("https://github.com/microg/GmsCore/issues/463","show")</f>
        <v>show</v>
      </c>
      <c r="E3317" t="str">
        <f>HYPERLINK("https://github.com/microg/GmsCore","show")</f>
        <v>show</v>
      </c>
      <c r="F3317" t="str">
        <f>HYPERLINK("https://github.com/microg/GmsCore/releases","show")</f>
        <v>show</v>
      </c>
    </row>
    <row r="3318" spans="1:6">
      <c r="A3318" t="s">
        <v>9894</v>
      </c>
      <c r="B3318" t="s">
        <v>9895</v>
      </c>
      <c r="C3318" t="s">
        <v>9896</v>
      </c>
      <c r="D3318" t="str">
        <f>HYPERLINK("https://github.com/niclabs/adkintunmobile-androidclient/issues/189","show")</f>
        <v>show</v>
      </c>
      <c r="E3318" t="str">
        <f>HYPERLINK("https://github.com/niclabs/adkintunmobile-androidclient","show")</f>
        <v>show</v>
      </c>
      <c r="F3318" t="str">
        <f>HYPERLINK("https://github.com/niclabs/adkintunmobile-androidclient/releases","show")</f>
        <v>show</v>
      </c>
    </row>
    <row r="3319" spans="1:6">
      <c r="A3319" t="s">
        <v>9897</v>
      </c>
      <c r="B3319" t="s">
        <v>9898</v>
      </c>
      <c r="C3319" t="s">
        <v>9899</v>
      </c>
      <c r="D3319" t="str">
        <f>HYPERLINK("https://github.com/victordiaz/PHONK/issues/1","show")</f>
        <v>show</v>
      </c>
      <c r="E3319" t="str">
        <f>HYPERLINK("https://github.com/victordiaz/PHONK","show")</f>
        <v>show</v>
      </c>
      <c r="F3319" t="str">
        <f>HYPERLINK("https://github.com/victordiaz/PHONK/releases","show")</f>
        <v>show</v>
      </c>
    </row>
    <row r="3320" spans="1:6">
      <c r="A3320" t="s">
        <v>9900</v>
      </c>
      <c r="B3320" t="s">
        <v>9901</v>
      </c>
      <c r="C3320" t="s">
        <v>9902</v>
      </c>
      <c r="D3320" t="str">
        <f>HYPERLINK("https://github.com/commons-app/apps-android-commons/issues/1036","show")</f>
        <v>show</v>
      </c>
      <c r="E3320" t="str">
        <f>HYPERLINK("https://github.com/commons-app/apps-android-commons","show")</f>
        <v>show</v>
      </c>
      <c r="F3320" t="str">
        <f>HYPERLINK("https://github.com/commons-app/apps-android-commons/releases","show")</f>
        <v>show</v>
      </c>
    </row>
    <row r="3321" spans="1:6">
      <c r="A3321" t="s">
        <v>9903</v>
      </c>
      <c r="B3321" t="s">
        <v>9904</v>
      </c>
      <c r="C3321" t="s">
        <v>9905</v>
      </c>
      <c r="D3321" t="str">
        <f>HYPERLINK("https://github.com/PojavLauncherTeam/PojavLauncher/issues/3126","show")</f>
        <v>show</v>
      </c>
      <c r="E3321" t="str">
        <f>HYPERLINK("https://github.com/PojavLauncherTeam/PojavLauncher","show")</f>
        <v>show</v>
      </c>
      <c r="F3321" t="str">
        <f>HYPERLINK("https://github.com/PojavLauncherTeam/PojavLauncher/releases","show")</f>
        <v>show</v>
      </c>
    </row>
    <row r="3322" spans="1:6">
      <c r="A3322" t="s">
        <v>9906</v>
      </c>
      <c r="B3322" t="s">
        <v>9907</v>
      </c>
      <c r="C3322" t="s">
        <v>9908</v>
      </c>
      <c r="D3322" t="str">
        <f>HYPERLINK("https://github.com/PojavLauncherTeam/PojavLauncher/issues/3122","show")</f>
        <v>show</v>
      </c>
      <c r="E3322" t="str">
        <f>HYPERLINK("https://github.com/PojavLauncherTeam/PojavLauncher","show")</f>
        <v>show</v>
      </c>
      <c r="F3322" t="str">
        <f>HYPERLINK("https://github.com/PojavLauncherTeam/PojavLauncher/releases","show")</f>
        <v>show</v>
      </c>
    </row>
    <row r="3323" spans="1:6">
      <c r="A3323" t="s">
        <v>9909</v>
      </c>
      <c r="B3323" t="s">
        <v>9910</v>
      </c>
      <c r="C3323" t="s">
        <v>9911</v>
      </c>
      <c r="D3323" t="str">
        <f>HYPERLINK("https://github.com/mtotschnig/MyExpenses/issues/960","show")</f>
        <v>show</v>
      </c>
      <c r="E3323" t="str">
        <f>HYPERLINK("https://github.com/mtotschnig/MyExpenses","show")</f>
        <v>show</v>
      </c>
      <c r="F3323" t="str">
        <f>HYPERLINK("https://github.com/mtotschnig/MyExpenses/releases","show")</f>
        <v>show</v>
      </c>
    </row>
    <row r="3324" spans="1:6">
      <c r="A3324" t="s">
        <v>9912</v>
      </c>
      <c r="B3324" t="s">
        <v>9913</v>
      </c>
      <c r="C3324" t="s">
        <v>9914</v>
      </c>
      <c r="D3324" t="str">
        <f>HYPERLINK("https://github.com/TeamNewPipe/NewPipe/issues/8282","show")</f>
        <v>show</v>
      </c>
      <c r="E3324" t="str">
        <f>HYPERLINK("https://github.com/TeamNewPipe/NewPipe","show")</f>
        <v>show</v>
      </c>
      <c r="F3324" t="str">
        <f>HYPERLINK("https://github.com/TeamNewPipe/NewPipe/releases","show")</f>
        <v>show</v>
      </c>
    </row>
    <row r="3325" spans="1:6">
      <c r="A3325" t="s">
        <v>9915</v>
      </c>
      <c r="B3325" t="s">
        <v>9916</v>
      </c>
      <c r="C3325" t="s">
        <v>9917</v>
      </c>
      <c r="D3325" t="str">
        <f>HYPERLINK("https://github.com/commons-app/apps-android-commons/issues/4942","show")</f>
        <v>show</v>
      </c>
      <c r="E3325" t="str">
        <f>HYPERLINK("https://github.com/commons-app/apps-android-commons","show")</f>
        <v>show</v>
      </c>
      <c r="F3325" t="str">
        <f>HYPERLINK("https://github.com/commons-app/apps-android-commons/releases","show")</f>
        <v>show</v>
      </c>
    </row>
    <row r="3326" spans="1:6">
      <c r="A3326" t="s">
        <v>9918</v>
      </c>
      <c r="B3326" t="s">
        <v>9919</v>
      </c>
      <c r="C3326" t="s">
        <v>9920</v>
      </c>
      <c r="D3326" t="str">
        <f>HYPERLINK("https://github.com/PojavLauncherTeam/PojavLauncher/issues/3115","show")</f>
        <v>show</v>
      </c>
      <c r="E3326" t="str">
        <f>HYPERLINK("https://github.com/PojavLauncherTeam/PojavLauncher","show")</f>
        <v>show</v>
      </c>
      <c r="F3326" t="str">
        <f>HYPERLINK("https://github.com/PojavLauncherTeam/PojavLauncher/releases","show")</f>
        <v>show</v>
      </c>
    </row>
    <row r="3327" spans="1:6">
      <c r="A3327" t="s">
        <v>9921</v>
      </c>
      <c r="B3327" t="s">
        <v>9922</v>
      </c>
      <c r="C3327" t="s">
        <v>9923</v>
      </c>
      <c r="D3327" t="str">
        <f>HYPERLINK("https://github.com/PojavLauncherTeam/PojavLauncher/issues/3114","show")</f>
        <v>show</v>
      </c>
      <c r="E3327" t="str">
        <f>HYPERLINK("https://github.com/PojavLauncherTeam/PojavLauncher","show")</f>
        <v>show</v>
      </c>
      <c r="F3327" t="str">
        <f>HYPERLINK("https://github.com/PojavLauncherTeam/PojavLauncher/releases","show")</f>
        <v>show</v>
      </c>
    </row>
    <row r="3328" spans="1:6">
      <c r="A3328" t="s">
        <v>9924</v>
      </c>
      <c r="B3328" t="s">
        <v>9925</v>
      </c>
      <c r="C3328" t="s">
        <v>9926</v>
      </c>
      <c r="D3328" t="str">
        <f>HYPERLINK("https://github.com/TeamNewPipe/NewPipe/issues/8278","show")</f>
        <v>show</v>
      </c>
      <c r="E3328" t="str">
        <f>HYPERLINK("https://github.com/TeamNewPipe/NewPipe","show")</f>
        <v>show</v>
      </c>
      <c r="F3328" t="str">
        <f>HYPERLINK("https://github.com/TeamNewPipe/NewPipe/releases","show")</f>
        <v>show</v>
      </c>
    </row>
    <row r="3329" spans="1:6">
      <c r="A3329" t="s">
        <v>9927</v>
      </c>
      <c r="B3329" t="s">
        <v>9928</v>
      </c>
      <c r="C3329" t="s">
        <v>9929</v>
      </c>
      <c r="D3329" t="str">
        <f>HYPERLINK("https://github.com/leandrosimoes/react-native-android-notification-listener/issues/42","show")</f>
        <v>show</v>
      </c>
      <c r="E3329" t="str">
        <f>HYPERLINK("https://github.com/leandrosimoes/react-native-android-notification-listener","show")</f>
        <v>show</v>
      </c>
      <c r="F3329" t="str">
        <f>HYPERLINK("https://github.com/leandrosimoes/react-native-android-notification-listener/releases","show")</f>
        <v>show</v>
      </c>
    </row>
    <row r="3330" spans="1:6">
      <c r="A3330" t="s">
        <v>9930</v>
      </c>
      <c r="B3330" t="s">
        <v>9931</v>
      </c>
      <c r="C3330" t="s">
        <v>9932</v>
      </c>
      <c r="D3330" t="str">
        <f>HYPERLINK("https://github.com/doublesymmetry/react-native-track-player/issues/1484","show")</f>
        <v>show</v>
      </c>
      <c r="E3330" t="str">
        <f>HYPERLINK("https://github.com/doublesymmetry/react-native-track-player","show")</f>
        <v>show</v>
      </c>
      <c r="F3330" t="str">
        <f>HYPERLINK("https://github.com/doublesymmetry/react-native-track-player/releases","show")</f>
        <v>show</v>
      </c>
    </row>
    <row r="3331" spans="1:6">
      <c r="A3331" t="s">
        <v>9933</v>
      </c>
      <c r="B3331" t="s">
        <v>9934</v>
      </c>
      <c r="C3331" t="s">
        <v>9935</v>
      </c>
      <c r="D3331" t="str">
        <f>HYPERLINK("https://github.com/TeamNewPipe/NewPipe/issues/8270","show")</f>
        <v>show</v>
      </c>
      <c r="E3331" t="str">
        <f>HYPERLINK("https://github.com/TeamNewPipe/NewPipe","show")</f>
        <v>show</v>
      </c>
      <c r="F3331" t="str">
        <f>HYPERLINK("https://github.com/TeamNewPipe/NewPipe/releases","show")</f>
        <v>show</v>
      </c>
    </row>
    <row r="3332" spans="1:6">
      <c r="A3332" t="s">
        <v>9936</v>
      </c>
      <c r="B3332" t="s">
        <v>9937</v>
      </c>
      <c r="C3332" t="s">
        <v>9938</v>
      </c>
      <c r="D3332" t="str">
        <f>HYPERLINK("https://github.com/TeamNewPipe/NewPipe/issues/8267","show")</f>
        <v>show</v>
      </c>
      <c r="E3332" t="str">
        <f>HYPERLINK("https://github.com/TeamNewPipe/NewPipe","show")</f>
        <v>show</v>
      </c>
      <c r="F3332" t="str">
        <f>HYPERLINK("https://github.com/TeamNewPipe/NewPipe/releases","show")</f>
        <v>show</v>
      </c>
    </row>
    <row r="3333" spans="1:6">
      <c r="A3333" t="s">
        <v>9939</v>
      </c>
      <c r="B3333" t="s">
        <v>9940</v>
      </c>
      <c r="C3333" t="s">
        <v>9941</v>
      </c>
      <c r="D3333" t="str">
        <f>HYPERLINK("https://github.com/Zhuinden/simple-stack/issues/256","show")</f>
        <v>show</v>
      </c>
      <c r="E3333" t="str">
        <f>HYPERLINK("https://github.com/Zhuinden/simple-stack","show")</f>
        <v>show</v>
      </c>
      <c r="F3333" t="str">
        <f>HYPERLINK("https://github.com/Zhuinden/simple-stack/releases","show")</f>
        <v>show</v>
      </c>
    </row>
    <row r="3334" spans="1:6">
      <c r="A3334" t="s">
        <v>9942</v>
      </c>
      <c r="B3334" t="s">
        <v>9943</v>
      </c>
      <c r="C3334" t="s">
        <v>9944</v>
      </c>
      <c r="D3334" t="str">
        <f>HYPERLINK("https://github.com/nextcloud/android/issues/10096","show")</f>
        <v>show</v>
      </c>
      <c r="E3334" t="str">
        <f>HYPERLINK("https://github.com/nextcloud/android","show")</f>
        <v>show</v>
      </c>
      <c r="F3334" t="str">
        <f>HYPERLINK("https://github.com/nextcloud/android/releases","show")</f>
        <v>show</v>
      </c>
    </row>
    <row r="3335" spans="1:6">
      <c r="A3335" t="s">
        <v>9945</v>
      </c>
      <c r="B3335" t="s">
        <v>9946</v>
      </c>
      <c r="C3335" t="s">
        <v>9947</v>
      </c>
      <c r="D3335" t="str">
        <f>HYPERLINK("https://github.com/hzi-braunschweig/SORMAS-Project/issues/8871","show")</f>
        <v>show</v>
      </c>
      <c r="E3335" t="str">
        <f>HYPERLINK("https://github.com/hzi-braunschweig/SORMAS-Project","show")</f>
        <v>show</v>
      </c>
      <c r="F3335" t="str">
        <f>HYPERLINK("https://github.com/hzi-braunschweig/SORMAS-Project/releases","show")</f>
        <v>show</v>
      </c>
    </row>
    <row r="3336" spans="1:6">
      <c r="A3336" t="s">
        <v>9948</v>
      </c>
      <c r="B3336" t="s">
        <v>9949</v>
      </c>
      <c r="C3336" t="s">
        <v>9950</v>
      </c>
      <c r="D3336" t="str">
        <f>HYPERLINK("https://github.com/TeamNewPipe/NewPipe-legacy/issues/92","show")</f>
        <v>show</v>
      </c>
      <c r="E3336" t="str">
        <f>HYPERLINK("https://github.com/TeamNewPipe/NewPipe-legacy","show")</f>
        <v>show</v>
      </c>
      <c r="F3336" t="str">
        <f>HYPERLINK("https://github.com/TeamNewPipe/NewPipe-legacy/releases","show")</f>
        <v>show</v>
      </c>
    </row>
    <row r="3337" spans="1:6">
      <c r="A3337" t="s">
        <v>9951</v>
      </c>
      <c r="B3337" t="s">
        <v>9952</v>
      </c>
      <c r="C3337" t="s">
        <v>9953</v>
      </c>
      <c r="D3337" t="str">
        <f>HYPERLINK("https://github.com/Anuken/Mindustry/issues/6721","show")</f>
        <v>show</v>
      </c>
      <c r="E3337" t="str">
        <f>HYPERLINK("https://github.com/Anuken/Mindustry","show")</f>
        <v>show</v>
      </c>
      <c r="F3337" t="str">
        <f>HYPERLINK("https://github.com/Anuken/Mindustry/releases","show")</f>
        <v>show</v>
      </c>
    </row>
    <row r="3338" spans="1:6">
      <c r="A3338" t="s">
        <v>9954</v>
      </c>
      <c r="B3338" t="s">
        <v>9955</v>
      </c>
      <c r="C3338" t="s">
        <v>9956</v>
      </c>
      <c r="D3338" t="str">
        <f>HYPERLINK("https://github.com/PojavLauncherTeam/PojavLauncher/issues/3097","show")</f>
        <v>show</v>
      </c>
      <c r="E3338" t="str">
        <f>HYPERLINK("https://github.com/PojavLauncherTeam/PojavLauncher","show")</f>
        <v>show</v>
      </c>
      <c r="F3338" t="str">
        <f>HYPERLINK("https://github.com/PojavLauncherTeam/PojavLauncher/releases","show")</f>
        <v>show</v>
      </c>
    </row>
    <row r="3339" spans="1:6">
      <c r="A3339" t="s">
        <v>9957</v>
      </c>
      <c r="B3339" t="s">
        <v>9958</v>
      </c>
      <c r="C3339" t="s">
        <v>9959</v>
      </c>
      <c r="D3339" t="str">
        <f>HYPERLINK("https://github.com/PojavLauncherTeam/PojavLauncher/issues/3096","show")</f>
        <v>show</v>
      </c>
      <c r="E3339" t="str">
        <f>HYPERLINK("https://github.com/PojavLauncherTeam/PojavLauncher","show")</f>
        <v>show</v>
      </c>
      <c r="F3339" t="str">
        <f>HYPERLINK("https://github.com/PojavLauncherTeam/PojavLauncher/releases","show")</f>
        <v>show</v>
      </c>
    </row>
    <row r="3340" spans="1:6">
      <c r="A3340" t="s">
        <v>9960</v>
      </c>
      <c r="B3340" t="s">
        <v>9961</v>
      </c>
      <c r="C3340" t="s">
        <v>9962</v>
      </c>
      <c r="D3340" t="str">
        <f>HYPERLINK("https://github.com/TeamNewPipe/NewPipe/issues/8234","show")</f>
        <v>show</v>
      </c>
      <c r="E3340" t="str">
        <f>HYPERLINK("https://github.com/TeamNewPipe/NewPipe","show")</f>
        <v>show</v>
      </c>
      <c r="F3340" t="str">
        <f>HYPERLINK("https://github.com/TeamNewPipe/NewPipe/releases","show")</f>
        <v>show</v>
      </c>
    </row>
    <row r="3341" spans="1:6">
      <c r="A3341" t="s">
        <v>9963</v>
      </c>
      <c r="B3341" t="s">
        <v>9964</v>
      </c>
      <c r="C3341" t="s">
        <v>9965</v>
      </c>
      <c r="D3341" t="str">
        <f>HYPERLINK("https://github.com/doublesymmetry/react-native-track-player/issues/1477","show")</f>
        <v>show</v>
      </c>
      <c r="E3341" t="str">
        <f>HYPERLINK("https://github.com/doublesymmetry/react-native-track-player","show")</f>
        <v>show</v>
      </c>
      <c r="F3341" t="str">
        <f>HYPERLINK("https://github.com/doublesymmetry/react-native-track-player/releases","show")</f>
        <v>show</v>
      </c>
    </row>
    <row r="3342" spans="1:6">
      <c r="A3342" t="s">
        <v>9966</v>
      </c>
      <c r="B3342" t="s">
        <v>9967</v>
      </c>
      <c r="C3342" t="s">
        <v>9968</v>
      </c>
      <c r="D3342" t="str">
        <f>HYPERLINK("https://github.com/XiangRongLin/NewPipe-preuinified/issues/25","show")</f>
        <v>show</v>
      </c>
      <c r="E3342" t="str">
        <f>HYPERLINK("https://github.com/XiangRongLin/NewPipe-preuinified","show")</f>
        <v>show</v>
      </c>
      <c r="F3342" t="str">
        <f>HYPERLINK("https://github.com/XiangRongLin/NewPipe-preuinified/releases","show")</f>
        <v>show</v>
      </c>
    </row>
    <row r="3343" spans="1:6">
      <c r="A3343" t="s">
        <v>9969</v>
      </c>
      <c r="B3343" t="s">
        <v>9970</v>
      </c>
      <c r="C3343" t="s">
        <v>9971</v>
      </c>
      <c r="D3343" t="str">
        <f>HYPERLINK("https://github.com/khpylon/MachEWidget/issues/12","show")</f>
        <v>show</v>
      </c>
      <c r="E3343" t="str">
        <f>HYPERLINK("https://github.com/khpylon/MachEWidget","show")</f>
        <v>show</v>
      </c>
      <c r="F3343" t="str">
        <f>HYPERLINK("https://github.com/khpylon/MachEWidget/releases","show")</f>
        <v>show</v>
      </c>
    </row>
    <row r="3344" spans="1:6">
      <c r="A3344" t="s">
        <v>9972</v>
      </c>
      <c r="B3344" t="s">
        <v>9973</v>
      </c>
      <c r="C3344" t="s">
        <v>9974</v>
      </c>
      <c r="D3344" t="str">
        <f>HYPERLINK("https://github.com/patzly/grocy-android/issues/518","show")</f>
        <v>show</v>
      </c>
      <c r="E3344" t="str">
        <f>HYPERLINK("https://github.com/patzly/grocy-android","show")</f>
        <v>show</v>
      </c>
      <c r="F3344" t="str">
        <f>HYPERLINK("https://github.com/patzly/grocy-android/releases","show")</f>
        <v>show</v>
      </c>
    </row>
    <row r="3345" spans="1:6">
      <c r="A3345" t="s">
        <v>9975</v>
      </c>
      <c r="B3345" t="s">
        <v>9976</v>
      </c>
      <c r="C3345" t="s">
        <v>9977</v>
      </c>
      <c r="D3345" t="str">
        <f>HYPERLINK("https://github.com/Woosmap/geofencing-android-sdk/issues/78","show")</f>
        <v>show</v>
      </c>
      <c r="E3345" t="str">
        <f>HYPERLINK("https://github.com/Woosmap/geofencing-android-sdk","show")</f>
        <v>show</v>
      </c>
      <c r="F3345" t="str">
        <f>HYPERLINK("https://github.com/Woosmap/geofencing-android-sdk/releases","show")</f>
        <v>show</v>
      </c>
    </row>
    <row r="3346" spans="1:6">
      <c r="A3346" t="s">
        <v>9978</v>
      </c>
      <c r="B3346" t="s">
        <v>9979</v>
      </c>
      <c r="C3346" t="s">
        <v>9980</v>
      </c>
      <c r="D3346" t="str">
        <f>HYPERLINK("https://github.com/PojavLauncherTeam/PojavLauncher/issues/3093","show")</f>
        <v>show</v>
      </c>
      <c r="E3346" t="str">
        <f>HYPERLINK("https://github.com/PojavLauncherTeam/PojavLauncher","show")</f>
        <v>show</v>
      </c>
      <c r="F3346" t="str">
        <f>HYPERLINK("https://github.com/PojavLauncherTeam/PojavLauncher/releases","show")</f>
        <v>show</v>
      </c>
    </row>
    <row r="3347" spans="1:6">
      <c r="A3347" t="s">
        <v>9981</v>
      </c>
      <c r="B3347" t="s">
        <v>9982</v>
      </c>
      <c r="C3347" t="s">
        <v>9983</v>
      </c>
      <c r="D3347" t="str">
        <f>HYPERLINK("https://github.com/itsaky/AndroidIDE/issues/161","show")</f>
        <v>show</v>
      </c>
      <c r="E3347" t="str">
        <f>HYPERLINK("https://github.com/itsaky/AndroidIDE","show")</f>
        <v>show</v>
      </c>
      <c r="F3347" t="str">
        <f>HYPERLINK("https://github.com/itsaky/AndroidIDE/releases","show")</f>
        <v>show</v>
      </c>
    </row>
    <row r="3348" spans="1:6">
      <c r="A3348" t="s">
        <v>9984</v>
      </c>
      <c r="B3348" t="s">
        <v>9985</v>
      </c>
      <c r="C3348" t="s">
        <v>9986</v>
      </c>
      <c r="D3348" t="str">
        <f>HYPERLINK("https://github.com/doublesymmetry/react-native-track-player/issues/1475","show")</f>
        <v>show</v>
      </c>
      <c r="E3348" t="str">
        <f>HYPERLINK("https://github.com/doublesymmetry/react-native-track-player","show")</f>
        <v>show</v>
      </c>
      <c r="F3348" t="str">
        <f>HYPERLINK("https://github.com/doublesymmetry/react-native-track-player/releases","show")</f>
        <v>show</v>
      </c>
    </row>
    <row r="3349" spans="1:6">
      <c r="A3349" t="s">
        <v>9987</v>
      </c>
      <c r="B3349" t="s">
        <v>9988</v>
      </c>
      <c r="C3349" t="s">
        <v>9989</v>
      </c>
      <c r="D3349" t="str">
        <f>HYPERLINK("https://github.com/mercadopago/px-android/issues/2710","show")</f>
        <v>show</v>
      </c>
      <c r="E3349" t="str">
        <f>HYPERLINK("https://github.com/mercadopago/px-android","show")</f>
        <v>show</v>
      </c>
      <c r="F3349" t="str">
        <f>HYPERLINK("https://github.com/mercadopago/px-android/releases","show")</f>
        <v>show</v>
      </c>
    </row>
    <row r="3350" spans="1:6">
      <c r="A3350" t="s">
        <v>9990</v>
      </c>
      <c r="B3350" t="s">
        <v>9991</v>
      </c>
      <c r="C3350" t="s">
        <v>9992</v>
      </c>
      <c r="D3350" t="str">
        <f>HYPERLINK("https://github.com/Orange-OpenSource/ods-android/issues/98","show")</f>
        <v>show</v>
      </c>
      <c r="E3350" t="str">
        <f>HYPERLINK("https://github.com/Orange-OpenSource/ods-android","show")</f>
        <v>show</v>
      </c>
      <c r="F3350" t="str">
        <f>HYPERLINK("https://github.com/Orange-OpenSource/ods-android/releases","show")</f>
        <v>show</v>
      </c>
    </row>
    <row r="3351" spans="1:6">
      <c r="A3351" t="s">
        <v>9993</v>
      </c>
      <c r="B3351" t="s">
        <v>9994</v>
      </c>
      <c r="C3351" t="s">
        <v>9995</v>
      </c>
      <c r="D3351" t="str">
        <f>HYPERLINK("https://github.com/itsaky/AndroidIDE/issues/160","show")</f>
        <v>show</v>
      </c>
      <c r="E3351" t="str">
        <f>HYPERLINK("https://github.com/itsaky/AndroidIDE","show")</f>
        <v>show</v>
      </c>
      <c r="F3351" t="str">
        <f>HYPERLINK("https://github.com/itsaky/AndroidIDE/releases","show")</f>
        <v>show</v>
      </c>
    </row>
    <row r="3352" spans="1:6">
      <c r="A3352" t="s">
        <v>9996</v>
      </c>
      <c r="B3352" t="s">
        <v>9997</v>
      </c>
      <c r="C3352" t="s">
        <v>9998</v>
      </c>
      <c r="D3352" t="str">
        <f>HYPERLINK("https://github.com/hzi-braunschweig/SORMAS-Project/issues/8832","show")</f>
        <v>show</v>
      </c>
      <c r="E3352" t="str">
        <f>HYPERLINK("https://github.com/hzi-braunschweig/SORMAS-Project","show")</f>
        <v>show</v>
      </c>
      <c r="F3352" t="str">
        <f>HYPERLINK("https://github.com/hzi-braunschweig/SORMAS-Project/releases","show")</f>
        <v>show</v>
      </c>
    </row>
    <row r="3353" spans="1:6">
      <c r="A3353" t="s">
        <v>9999</v>
      </c>
      <c r="B3353" t="s">
        <v>10000</v>
      </c>
      <c r="C3353" t="s">
        <v>10001</v>
      </c>
      <c r="D3353" t="str">
        <f>HYPERLINK("https://github.com/doublesymmetry/react-native-track-player/issues/1474","show")</f>
        <v>show</v>
      </c>
      <c r="E3353" t="str">
        <f>HYPERLINK("https://github.com/doublesymmetry/react-native-track-player","show")</f>
        <v>show</v>
      </c>
      <c r="F3353" t="str">
        <f>HYPERLINK("https://github.com/doublesymmetry/react-native-track-player/releases","show")</f>
        <v>show</v>
      </c>
    </row>
    <row r="3354" spans="1:6">
      <c r="A3354" t="s">
        <v>10002</v>
      </c>
      <c r="B3354" t="s">
        <v>10003</v>
      </c>
      <c r="C3354" t="s">
        <v>10004</v>
      </c>
      <c r="D3354" t="str">
        <f>HYPERLINK("https://github.com/microg/GmsCore/issues/1703","show")</f>
        <v>show</v>
      </c>
      <c r="E3354" t="str">
        <f>HYPERLINK("https://github.com/microg/GmsCore","show")</f>
        <v>show</v>
      </c>
      <c r="F3354" t="str">
        <f>HYPERLINK("https://github.com/microg/GmsCore/releases","show")</f>
        <v>show</v>
      </c>
    </row>
    <row r="3355" spans="1:6">
      <c r="A3355" t="s">
        <v>10005</v>
      </c>
      <c r="B3355" t="s">
        <v>10006</v>
      </c>
      <c r="C3355" t="s">
        <v>10007</v>
      </c>
      <c r="D3355" t="str">
        <f>HYPERLINK("https://github.com/nextcloud/android/issues/10076","show")</f>
        <v>show</v>
      </c>
      <c r="E3355" t="str">
        <f>HYPERLINK("https://github.com/nextcloud/android","show")</f>
        <v>show</v>
      </c>
      <c r="F3355" t="str">
        <f>HYPERLINK("https://github.com/nextcloud/android/releases","show")</f>
        <v>show</v>
      </c>
    </row>
    <row r="3356" spans="1:6">
      <c r="A3356" t="s">
        <v>10008</v>
      </c>
      <c r="B3356" t="s">
        <v>10009</v>
      </c>
      <c r="C3356" t="s">
        <v>10010</v>
      </c>
      <c r="D3356" t="str">
        <f>HYPERLINK("https://github.com/PojavLauncherTeam/PojavLauncher/issues/3084","show")</f>
        <v>show</v>
      </c>
      <c r="E3356" t="str">
        <f>HYPERLINK("https://github.com/PojavLauncherTeam/PojavLauncher","show")</f>
        <v>show</v>
      </c>
      <c r="F3356" t="str">
        <f>HYPERLINK("https://github.com/PojavLauncherTeam/PojavLauncher/releases","show")</f>
        <v>show</v>
      </c>
    </row>
    <row r="3357" spans="1:6">
      <c r="A3357" t="s">
        <v>10011</v>
      </c>
      <c r="B3357" t="s">
        <v>10012</v>
      </c>
      <c r="C3357" t="s">
        <v>10013</v>
      </c>
      <c r="D3357" t="str">
        <f>HYPERLINK("https://github.com/jellyfin/jellyfin-androidtv/issues/1621","show")</f>
        <v>show</v>
      </c>
      <c r="E3357" t="str">
        <f>HYPERLINK("https://github.com/jellyfin/jellyfin-androidtv","show")</f>
        <v>show</v>
      </c>
      <c r="F3357" t="str">
        <f>HYPERLINK("https://github.com/jellyfin/jellyfin-androidtv/releases","show")</f>
        <v>show</v>
      </c>
    </row>
    <row r="3358" spans="1:6">
      <c r="A3358" t="s">
        <v>10014</v>
      </c>
      <c r="B3358" t="s">
        <v>10015</v>
      </c>
      <c r="C3358" t="s">
        <v>10016</v>
      </c>
      <c r="D3358" t="str">
        <f>HYPERLINK("https://github.com/aws-amplify/aws-sdk-android/issues/2866","show")</f>
        <v>show</v>
      </c>
      <c r="E3358" t="str">
        <f>HYPERLINK("https://github.com/aws-amplify/aws-sdk-android","show")</f>
        <v>show</v>
      </c>
      <c r="F3358" t="str">
        <f>HYPERLINK("https://github.com/aws-amplify/aws-sdk-android/releases","show")</f>
        <v>show</v>
      </c>
    </row>
    <row r="3359" spans="1:6">
      <c r="A3359" t="s">
        <v>10017</v>
      </c>
      <c r="B3359" t="s">
        <v>10018</v>
      </c>
      <c r="C3359" t="s">
        <v>10019</v>
      </c>
      <c r="D3359" t="str">
        <f>HYPERLINK("https://github.com/lisawray/groupie/issues/426","show")</f>
        <v>show</v>
      </c>
      <c r="E3359" t="str">
        <f>HYPERLINK("https://github.com/lisawray/groupie","show")</f>
        <v>show</v>
      </c>
      <c r="F3359" t="str">
        <f>HYPERLINK("https://github.com/lisawray/groupie/releases","show")</f>
        <v>show</v>
      </c>
    </row>
    <row r="3360" spans="1:6">
      <c r="A3360" t="s">
        <v>10020</v>
      </c>
      <c r="B3360" t="s">
        <v>10021</v>
      </c>
      <c r="C3360" t="s">
        <v>10022</v>
      </c>
      <c r="D3360" t="str">
        <f>HYPERLINK("https://github.com/getsentry/sentry-java/issues/1985","show")</f>
        <v>show</v>
      </c>
      <c r="E3360" t="str">
        <f>HYPERLINK("https://github.com/getsentry/sentry-java","show")</f>
        <v>show</v>
      </c>
      <c r="F3360" t="str">
        <f>HYPERLINK("https://github.com/getsentry/sentry-java/releases","show")</f>
        <v>show</v>
      </c>
    </row>
    <row r="3361" spans="1:6">
      <c r="A3361" t="s">
        <v>10023</v>
      </c>
      <c r="B3361" t="s">
        <v>10024</v>
      </c>
      <c r="C3361" t="s">
        <v>10025</v>
      </c>
      <c r="D3361" t="str">
        <f>HYPERLINK("https://github.com/PojavLauncherTeam/PojavLauncher/issues/3077","show")</f>
        <v>show</v>
      </c>
      <c r="E3361" t="str">
        <f>HYPERLINK("https://github.com/PojavLauncherTeam/PojavLauncher","show")</f>
        <v>show</v>
      </c>
      <c r="F3361" t="str">
        <f>HYPERLINK("https://github.com/PojavLauncherTeam/PojavLauncher/releases","show")</f>
        <v>show</v>
      </c>
    </row>
    <row r="3362" spans="1:6">
      <c r="A3362" t="s">
        <v>10026</v>
      </c>
      <c r="B3362" t="s">
        <v>10027</v>
      </c>
      <c r="C3362" t="s">
        <v>10028</v>
      </c>
      <c r="D3362" t="str">
        <f>HYPERLINK("https://github.com/k9mail/k-9/issues/6009","show")</f>
        <v>show</v>
      </c>
      <c r="E3362" t="str">
        <f>HYPERLINK("https://github.com/k9mail/k-9","show")</f>
        <v>show</v>
      </c>
      <c r="F3362" t="str">
        <f>HYPERLINK("https://github.com/k9mail/k-9/releases","show")</f>
        <v>show</v>
      </c>
    </row>
    <row r="3363" spans="1:6">
      <c r="A3363" t="s">
        <v>10029</v>
      </c>
      <c r="B3363" t="s">
        <v>10030</v>
      </c>
      <c r="C3363" t="s">
        <v>10031</v>
      </c>
      <c r="D3363" t="str">
        <f>HYPERLINK("https://github.com/aws/aws-iot-device-sdk-java-v2/issues/257","show")</f>
        <v>show</v>
      </c>
      <c r="E3363" t="str">
        <f>HYPERLINK("https://github.com/aws/aws-iot-device-sdk-java-v2","show")</f>
        <v>show</v>
      </c>
      <c r="F3363" t="str">
        <f>HYPERLINK("https://github.com/aws/aws-iot-device-sdk-java-v2/releases","show")</f>
        <v>show</v>
      </c>
    </row>
    <row r="3364" spans="1:6">
      <c r="A3364" t="s">
        <v>10032</v>
      </c>
      <c r="B3364" t="s">
        <v>10033</v>
      </c>
      <c r="C3364" t="s">
        <v>10034</v>
      </c>
      <c r="D3364" t="str">
        <f>HYPERLINK("https://github.com/PojavLauncherTeam/PojavLauncher/issues/3073","show")</f>
        <v>show</v>
      </c>
      <c r="E3364" t="str">
        <f>HYPERLINK("https://github.com/PojavLauncherTeam/PojavLauncher","show")</f>
        <v>show</v>
      </c>
      <c r="F3364" t="str">
        <f>HYPERLINK("https://github.com/PojavLauncherTeam/PojavLauncher/releases","show")</f>
        <v>show</v>
      </c>
    </row>
    <row r="3365" spans="1:6">
      <c r="A3365" t="s">
        <v>10035</v>
      </c>
      <c r="B3365" t="s">
        <v>10036</v>
      </c>
      <c r="C3365" t="s">
        <v>10037</v>
      </c>
      <c r="D3365" t="str">
        <f>HYPERLINK("https://github.com/PojavLauncherTeam/PojavLauncher/issues/3070","show")</f>
        <v>show</v>
      </c>
      <c r="E3365" t="str">
        <f>HYPERLINK("https://github.com/PojavLauncherTeam/PojavLauncher","show")</f>
        <v>show</v>
      </c>
      <c r="F3365" t="str">
        <f>HYPERLINK("https://github.com/PojavLauncherTeam/PojavLauncher/releases","show")</f>
        <v>show</v>
      </c>
    </row>
    <row r="3366" spans="1:6">
      <c r="A3366" t="s">
        <v>10038</v>
      </c>
      <c r="B3366" t="s">
        <v>10039</v>
      </c>
      <c r="C3366" t="s">
        <v>10040</v>
      </c>
      <c r="D3366" t="str">
        <f>HYPERLINK("https://github.com/PojavLauncherTeam/PojavLauncher/issues/3064","show")</f>
        <v>show</v>
      </c>
      <c r="E3366" t="str">
        <f>HYPERLINK("https://github.com/PojavLauncherTeam/PojavLauncher","show")</f>
        <v>show</v>
      </c>
      <c r="F3366" t="str">
        <f>HYPERLINK("https://github.com/PojavLauncherTeam/PojavLauncher/releases","show")</f>
        <v>show</v>
      </c>
    </row>
    <row r="3367" spans="1:6">
      <c r="A3367" t="s">
        <v>10041</v>
      </c>
      <c r="B3367" t="s">
        <v>10042</v>
      </c>
      <c r="C3367" t="s">
        <v>10043</v>
      </c>
      <c r="D3367" t="str">
        <f>HYPERLINK("https://github.com/deltachat/deltachat-android/issues/2270","show")</f>
        <v>show</v>
      </c>
      <c r="E3367" t="str">
        <f>HYPERLINK("https://github.com/deltachat/deltachat-android","show")</f>
        <v>show</v>
      </c>
      <c r="F3367" t="str">
        <f>HYPERLINK("https://github.com/deltachat/deltachat-android/releases","show")</f>
        <v>show</v>
      </c>
    </row>
    <row r="3368" spans="1:6">
      <c r="A3368" t="s">
        <v>10044</v>
      </c>
      <c r="B3368" t="s">
        <v>10045</v>
      </c>
      <c r="C3368" t="s">
        <v>10046</v>
      </c>
      <c r="D3368" t="str">
        <f>HYPERLINK("https://github.com/PojavLauncherTeam/PojavLauncher/issues/3060","show")</f>
        <v>show</v>
      </c>
      <c r="E3368" t="str">
        <f>HYPERLINK("https://github.com/PojavLauncherTeam/PojavLauncher","show")</f>
        <v>show</v>
      </c>
      <c r="F3368" t="str">
        <f>HYPERLINK("https://github.com/PojavLauncherTeam/PojavLauncher/releases","show")</f>
        <v>show</v>
      </c>
    </row>
    <row r="3369" spans="1:6">
      <c r="A3369" t="s">
        <v>10047</v>
      </c>
      <c r="B3369" t="s">
        <v>10048</v>
      </c>
      <c r="C3369" t="s">
        <v>10049</v>
      </c>
      <c r="D3369" t="str">
        <f>HYPERLINK("https://github.com/Anuken/Mindustry/issues/6702","show")</f>
        <v>show</v>
      </c>
      <c r="E3369" t="str">
        <f>HYPERLINK("https://github.com/Anuken/Mindustry","show")</f>
        <v>show</v>
      </c>
      <c r="F3369" t="str">
        <f>HYPERLINK("https://github.com/Anuken/Mindustry/releases","show")</f>
        <v>show</v>
      </c>
    </row>
    <row r="3370" spans="1:6">
      <c r="A3370" t="s">
        <v>10050</v>
      </c>
      <c r="B3370" t="s">
        <v>9922</v>
      </c>
      <c r="C3370" t="s">
        <v>10051</v>
      </c>
      <c r="D3370" t="str">
        <f>HYPERLINK("https://github.com/PojavLauncherTeam/PojavLauncher/issues/3052","show")</f>
        <v>show</v>
      </c>
      <c r="E3370" t="str">
        <f>HYPERLINK("https://github.com/PojavLauncherTeam/PojavLauncher","show")</f>
        <v>show</v>
      </c>
      <c r="F3370" t="str">
        <f>HYPERLINK("https://github.com/PojavLauncherTeam/PojavLauncher/releases","show")</f>
        <v>show</v>
      </c>
    </row>
    <row r="3371" spans="1:6">
      <c r="A3371" t="s">
        <v>10052</v>
      </c>
      <c r="B3371" t="s">
        <v>10053</v>
      </c>
      <c r="C3371" t="s">
        <v>10054</v>
      </c>
      <c r="D3371" t="str">
        <f>HYPERLINK("https://github.com/PojavLauncherTeam/PojavLauncher/issues/3051","show")</f>
        <v>show</v>
      </c>
      <c r="E3371" t="str">
        <f>HYPERLINK("https://github.com/PojavLauncherTeam/PojavLauncher","show")</f>
        <v>show</v>
      </c>
      <c r="F3371" t="str">
        <f>HYPERLINK("https://github.com/PojavLauncherTeam/PojavLauncher/releases","show")</f>
        <v>show</v>
      </c>
    </row>
    <row r="3372" spans="1:6">
      <c r="A3372" t="s">
        <v>10055</v>
      </c>
      <c r="B3372" t="s">
        <v>10056</v>
      </c>
      <c r="C3372" t="s">
        <v>10057</v>
      </c>
      <c r="D3372" t="str">
        <f>HYPERLINK("https://github.com/PojavLauncherTeam/PojavLauncher/issues/3050","show")</f>
        <v>show</v>
      </c>
      <c r="E3372" t="str">
        <f>HYPERLINK("https://github.com/PojavLauncherTeam/PojavLauncher","show")</f>
        <v>show</v>
      </c>
      <c r="F3372" t="str">
        <f>HYPERLINK("https://github.com/PojavLauncherTeam/PojavLauncher/releases","show")</f>
        <v>show</v>
      </c>
    </row>
    <row r="3373" spans="1:6">
      <c r="A3373" t="s">
        <v>10058</v>
      </c>
      <c r="B3373" t="s">
        <v>10059</v>
      </c>
      <c r="C3373" t="s">
        <v>10060</v>
      </c>
      <c r="D3373" t="str">
        <f>HYPERLINK("https://github.com/okta/okta-oidc-android/issues/310","show")</f>
        <v>show</v>
      </c>
      <c r="E3373" t="str">
        <f>HYPERLINK("https://github.com/okta/okta-oidc-android","show")</f>
        <v>show</v>
      </c>
      <c r="F3373" t="str">
        <f>HYPERLINK("https://github.com/okta/okta-oidc-android/releases","show")</f>
        <v>show</v>
      </c>
    </row>
    <row r="3374" spans="1:6">
      <c r="A3374" t="s">
        <v>10061</v>
      </c>
      <c r="B3374" t="s">
        <v>10062</v>
      </c>
      <c r="C3374" t="s">
        <v>10063</v>
      </c>
      <c r="D3374" t="str">
        <f>HYPERLINK("https://github.com/falzonv/discreet-launcher/issues/205","show")</f>
        <v>show</v>
      </c>
      <c r="E3374" t="str">
        <f>HYPERLINK("https://github.com/falzonv/discreet-launcher","show")</f>
        <v>show</v>
      </c>
      <c r="F3374" t="str">
        <f>HYPERLINK("https://github.com/falzonv/discreet-launcher/releases","show")</f>
        <v>show</v>
      </c>
    </row>
    <row r="3375" spans="1:6">
      <c r="A3375" t="s">
        <v>10064</v>
      </c>
      <c r="B3375" t="s">
        <v>10065</v>
      </c>
      <c r="C3375" t="s">
        <v>10066</v>
      </c>
      <c r="D3375" t="str">
        <f>HYPERLINK("https://github.com/nextcloud/talk-android/issues/1908","show")</f>
        <v>show</v>
      </c>
      <c r="E3375" t="str">
        <f>HYPERLINK("https://github.com/nextcloud/talk-android","show")</f>
        <v>show</v>
      </c>
      <c r="F3375" t="str">
        <f>HYPERLINK("https://github.com/nextcloud/talk-android/releases","show")</f>
        <v>show</v>
      </c>
    </row>
    <row r="3376" spans="1:6">
      <c r="A3376" t="s">
        <v>10067</v>
      </c>
      <c r="B3376" t="s">
        <v>10068</v>
      </c>
      <c r="C3376" t="s">
        <v>10069</v>
      </c>
      <c r="D3376" t="str">
        <f>HYPERLINK("https://github.com/XspeedPL/PhysicalButtonMod/issues/6","show")</f>
        <v>show</v>
      </c>
      <c r="E3376" t="str">
        <f>HYPERLINK("https://github.com/XspeedPL/PhysicalButtonMod","show")</f>
        <v>show</v>
      </c>
      <c r="F3376" t="str">
        <f>HYPERLINK("https://github.com/XspeedPL/PhysicalButtonMod/releases","show")</f>
        <v>show</v>
      </c>
    </row>
    <row r="3377" spans="1:6">
      <c r="A3377" t="s">
        <v>10070</v>
      </c>
      <c r="B3377" t="s">
        <v>10071</v>
      </c>
      <c r="C3377" t="s">
        <v>10072</v>
      </c>
      <c r="D3377" t="str">
        <f>HYPERLINK("https://github.com/QGdev/OpenWeather/issues/6","show")</f>
        <v>show</v>
      </c>
      <c r="E3377" t="str">
        <f>HYPERLINK("https://github.com/QGdev/OpenWeather","show")</f>
        <v>show</v>
      </c>
      <c r="F3377" t="str">
        <f>HYPERLINK("https://github.com/QGdev/OpenWeather/releases","show")</f>
        <v>show</v>
      </c>
    </row>
    <row r="3378" spans="1:6">
      <c r="A3378" t="s">
        <v>10073</v>
      </c>
      <c r="B3378" t="s">
        <v>10074</v>
      </c>
      <c r="C3378" t="s">
        <v>10075</v>
      </c>
      <c r="D3378" t="str">
        <f>HYPERLINK("https://github.com/google/ExoPlayer/issues/10165","show")</f>
        <v>show</v>
      </c>
      <c r="E3378" t="str">
        <f>HYPERLINK("https://github.com/google/ExoPlayer","show")</f>
        <v>show</v>
      </c>
      <c r="F3378" t="str">
        <f>HYPERLINK("https://github.com/google/ExoPlayer/releases","show")</f>
        <v>show</v>
      </c>
    </row>
    <row r="3379" spans="1:6">
      <c r="A3379" t="s">
        <v>10076</v>
      </c>
      <c r="B3379" t="s">
        <v>10077</v>
      </c>
      <c r="C3379" t="s">
        <v>10078</v>
      </c>
      <c r="D3379" t="str">
        <f>HYPERLINK("https://github.com/PojavLauncherTeam/PojavLauncher/issues/3045","show")</f>
        <v>show</v>
      </c>
      <c r="E3379" t="str">
        <f>HYPERLINK("https://github.com/PojavLauncherTeam/PojavLauncher","show")</f>
        <v>show</v>
      </c>
      <c r="F3379" t="str">
        <f>HYPERLINK("https://github.com/PojavLauncherTeam/PojavLauncher/releases","show")</f>
        <v>show</v>
      </c>
    </row>
    <row r="3380" spans="1:6">
      <c r="A3380" t="s">
        <v>10079</v>
      </c>
      <c r="B3380" t="s">
        <v>107</v>
      </c>
      <c r="C3380" t="s">
        <v>10080</v>
      </c>
      <c r="D3380" t="str">
        <f>HYPERLINK("https://github.com/PojavLauncherTeam/PojavLauncher/issues/3042","show")</f>
        <v>show</v>
      </c>
      <c r="E3380" t="str">
        <f>HYPERLINK("https://github.com/PojavLauncherTeam/PojavLauncher","show")</f>
        <v>show</v>
      </c>
      <c r="F3380" t="str">
        <f>HYPERLINK("https://github.com/PojavLauncherTeam/PojavLauncher/releases","show")</f>
        <v>show</v>
      </c>
    </row>
    <row r="3381" spans="1:6">
      <c r="A3381" t="s">
        <v>10081</v>
      </c>
      <c r="B3381" t="s">
        <v>10082</v>
      </c>
      <c r="C3381" t="s">
        <v>10083</v>
      </c>
      <c r="D3381" t="str">
        <f>HYPERLINK("https://github.com/PojavLauncherTeam/PojavLauncher/issues/3041","show")</f>
        <v>show</v>
      </c>
      <c r="E3381" t="str">
        <f>HYPERLINK("https://github.com/PojavLauncherTeam/PojavLauncher","show")</f>
        <v>show</v>
      </c>
      <c r="F3381" t="str">
        <f>HYPERLINK("https://github.com/PojavLauncherTeam/PojavLauncher/releases","show")</f>
        <v>show</v>
      </c>
    </row>
    <row r="3382" spans="1:6">
      <c r="A3382" t="s">
        <v>10084</v>
      </c>
      <c r="B3382" t="s">
        <v>10085</v>
      </c>
      <c r="C3382" t="s">
        <v>10086</v>
      </c>
      <c r="D3382" t="str">
        <f>HYPERLINK("https://github.com/material-components/material-components-android/issues/2630","show")</f>
        <v>show</v>
      </c>
      <c r="E3382" t="str">
        <f>HYPERLINK("https://github.com/material-components/material-components-android","show")</f>
        <v>show</v>
      </c>
      <c r="F3382" t="str">
        <f>HYPERLINK("https://github.com/material-components/material-components-android/releases","show")</f>
        <v>show</v>
      </c>
    </row>
    <row r="3383" spans="1:6">
      <c r="A3383" t="s">
        <v>10087</v>
      </c>
      <c r="B3383" t="s">
        <v>10088</v>
      </c>
      <c r="C3383" t="s">
        <v>10089</v>
      </c>
      <c r="D3383" t="str">
        <f>HYPERLINK("https://github.com/PojavLauncherTeam/PojavLauncher/issues/3040","show")</f>
        <v>show</v>
      </c>
      <c r="E3383" t="str">
        <f>HYPERLINK("https://github.com/PojavLauncherTeam/PojavLauncher","show")</f>
        <v>show</v>
      </c>
      <c r="F3383" t="str">
        <f>HYPERLINK("https://github.com/PojavLauncherTeam/PojavLauncher/releases","show")</f>
        <v>show</v>
      </c>
    </row>
    <row r="3384" spans="1:6">
      <c r="A3384" t="s">
        <v>10090</v>
      </c>
      <c r="B3384" t="s">
        <v>10091</v>
      </c>
      <c r="C3384" t="s">
        <v>10092</v>
      </c>
      <c r="D3384" t="str">
        <f>HYPERLINK("https://github.com/TeamNewPipe/NewPipe-legacy/issues/90","show")</f>
        <v>show</v>
      </c>
      <c r="E3384" t="str">
        <f>HYPERLINK("https://github.com/TeamNewPipe/NewPipe-legacy","show")</f>
        <v>show</v>
      </c>
      <c r="F3384" t="str">
        <f>HYPERLINK("https://github.com/TeamNewPipe/NewPipe-legacy/releases","show")</f>
        <v>show</v>
      </c>
    </row>
    <row r="3385" spans="1:6">
      <c r="A3385" t="s">
        <v>10093</v>
      </c>
      <c r="B3385" t="s">
        <v>10094</v>
      </c>
      <c r="C3385" t="s">
        <v>10095</v>
      </c>
      <c r="D3385" t="str">
        <f>HYPERLINK("https://github.com/TeamNewPipe/NewPipe-legacy/issues/89","show")</f>
        <v>show</v>
      </c>
      <c r="E3385" t="str">
        <f>HYPERLINK("https://github.com/TeamNewPipe/NewPipe-legacy","show")</f>
        <v>show</v>
      </c>
      <c r="F3385" t="str">
        <f>HYPERLINK("https://github.com/TeamNewPipe/NewPipe-legacy/releases","show")</f>
        <v>show</v>
      </c>
    </row>
    <row r="3386" spans="1:6">
      <c r="A3386" t="s">
        <v>10096</v>
      </c>
      <c r="B3386" t="s">
        <v>10097</v>
      </c>
      <c r="C3386" t="s">
        <v>10098</v>
      </c>
      <c r="D3386" t="str">
        <f>HYPERLINK("https://github.com/Aliucord/Aliucord/issues/236","show")</f>
        <v>show</v>
      </c>
      <c r="E3386" t="str">
        <f>HYPERLINK("https://github.com/Aliucord/Aliucord","show")</f>
        <v>show</v>
      </c>
      <c r="F3386" t="str">
        <f>HYPERLINK("https://github.com/Aliucord/Aliucord/releases","show")</f>
        <v>show</v>
      </c>
    </row>
    <row r="3387" spans="1:6">
      <c r="A3387" t="s">
        <v>10099</v>
      </c>
      <c r="B3387" t="s">
        <v>10100</v>
      </c>
      <c r="C3387" t="s">
        <v>10101</v>
      </c>
      <c r="D3387" t="str">
        <f>HYPERLINK("https://github.com/Anuken/Mindustry/issues/6700","show")</f>
        <v>show</v>
      </c>
      <c r="E3387" t="str">
        <f>HYPERLINK("https://github.com/Anuken/Mindustry","show")</f>
        <v>show</v>
      </c>
      <c r="F3387" t="str">
        <f>HYPERLINK("https://github.com/Anuken/Mindustry/releases","show")</f>
        <v>show</v>
      </c>
    </row>
    <row r="3388" spans="1:6">
      <c r="A3388" t="s">
        <v>10102</v>
      </c>
      <c r="B3388" t="s">
        <v>10103</v>
      </c>
      <c r="C3388" t="s">
        <v>10104</v>
      </c>
      <c r="D3388" t="str">
        <f>HYPERLINK("https://github.com/HBiSoft/HBRecorder/issues/112","show")</f>
        <v>show</v>
      </c>
      <c r="E3388" t="str">
        <f>HYPERLINK("https://github.com/HBiSoft/HBRecorder","show")</f>
        <v>show</v>
      </c>
      <c r="F3388" t="str">
        <f>HYPERLINK("https://github.com/HBiSoft/HBRecorder/releases","show")</f>
        <v>show</v>
      </c>
    </row>
    <row r="3389" spans="1:6">
      <c r="A3389" t="s">
        <v>10105</v>
      </c>
      <c r="B3389" t="s">
        <v>10106</v>
      </c>
      <c r="C3389" t="s">
        <v>10107</v>
      </c>
      <c r="D3389" t="str">
        <f>HYPERLINK("https://github.com/NordicSemiconductor/Android-nRF-Mesh-Library/issues/495","show")</f>
        <v>show</v>
      </c>
      <c r="E3389" t="str">
        <f>HYPERLINK("https://github.com/NordicSemiconductor/Android-nRF-Mesh-Library","show")</f>
        <v>show</v>
      </c>
      <c r="F3389" t="str">
        <f>HYPERLINK("https://github.com/NordicSemiconductor/Android-nRF-Mesh-Library/releases","show")</f>
        <v>show</v>
      </c>
    </row>
    <row r="3390" spans="1:6">
      <c r="A3390" t="s">
        <v>10108</v>
      </c>
      <c r="B3390" t="s">
        <v>10109</v>
      </c>
      <c r="C3390" t="s">
        <v>10110</v>
      </c>
      <c r="D3390" t="str">
        <f>HYPERLINK("https://github.com/PojavLauncherTeam/PojavLauncher/issues/3034","show")</f>
        <v>show</v>
      </c>
      <c r="E3390" t="str">
        <f>HYPERLINK("https://github.com/PojavLauncherTeam/PojavLauncher","show")</f>
        <v>show</v>
      </c>
      <c r="F3390" t="str">
        <f>HYPERLINK("https://github.com/PojavLauncherTeam/PojavLauncher/releases","show")</f>
        <v>show</v>
      </c>
    </row>
    <row r="3391" spans="1:6">
      <c r="A3391" t="s">
        <v>10111</v>
      </c>
      <c r="B3391" t="s">
        <v>10112</v>
      </c>
      <c r="C3391" t="s">
        <v>10113</v>
      </c>
      <c r="D3391" t="str">
        <f>HYPERLINK("https://github.com/Azure/azure-iot-sdk-java/issues/1518","show")</f>
        <v>show</v>
      </c>
      <c r="E3391" t="str">
        <f>HYPERLINK("https://github.com/Azure/azure-iot-sdk-java","show")</f>
        <v>show</v>
      </c>
      <c r="F3391" t="str">
        <f>HYPERLINK("https://github.com/Azure/azure-iot-sdk-java/releases","show")</f>
        <v>show</v>
      </c>
    </row>
    <row r="3392" spans="1:6">
      <c r="A3392" t="s">
        <v>10114</v>
      </c>
      <c r="B3392" t="s">
        <v>10115</v>
      </c>
      <c r="C3392" t="s">
        <v>10116</v>
      </c>
      <c r="D3392" t="str">
        <f>HYPERLINK("https://github.com/popcorn-official/popcorn-android/issues/794","show")</f>
        <v>show</v>
      </c>
      <c r="E3392" t="str">
        <f>HYPERLINK("https://github.com/popcorn-official/popcorn-android","show")</f>
        <v>show</v>
      </c>
      <c r="F3392" t="str">
        <f>HYPERLINK("https://github.com/popcorn-official/popcorn-android/releases","show")</f>
        <v>show</v>
      </c>
    </row>
    <row r="3393" spans="1:6">
      <c r="A3393" t="s">
        <v>10117</v>
      </c>
      <c r="B3393" t="s">
        <v>10118</v>
      </c>
      <c r="C3393" t="s">
        <v>10119</v>
      </c>
      <c r="D3393" t="str">
        <f>HYPERLINK("https://github.com/TeamNewPipe/NewPipe/issues/8153","show")</f>
        <v>show</v>
      </c>
      <c r="E3393" t="str">
        <f>HYPERLINK("https://github.com/TeamNewPipe/NewPipe","show")</f>
        <v>show</v>
      </c>
      <c r="F3393" t="str">
        <f>HYPERLINK("https://github.com/TeamNewPipe/NewPipe/releases","show")</f>
        <v>show</v>
      </c>
    </row>
    <row r="3394" spans="1:6">
      <c r="A3394" t="s">
        <v>10120</v>
      </c>
      <c r="B3394" t="s">
        <v>10121</v>
      </c>
      <c r="C3394" t="s">
        <v>10122</v>
      </c>
      <c r="D3394" t="str">
        <f>HYPERLINK("https://github.com/deltachat/deltachat-android/issues/2263","show")</f>
        <v>show</v>
      </c>
      <c r="E3394" t="str">
        <f>HYPERLINK("https://github.com/deltachat/deltachat-android","show")</f>
        <v>show</v>
      </c>
      <c r="F3394" t="str">
        <f>HYPERLINK("https://github.com/deltachat/deltachat-android/releases","show")</f>
        <v>show</v>
      </c>
    </row>
    <row r="3395" spans="1:6">
      <c r="A3395" t="s">
        <v>10123</v>
      </c>
      <c r="B3395" t="s">
        <v>10124</v>
      </c>
      <c r="C3395" t="s">
        <v>10125</v>
      </c>
      <c r="D3395" t="str">
        <f>HYPERLINK("https://github.com/PojavLauncherTeam/PojavLauncher/issues/3027","show")</f>
        <v>show</v>
      </c>
      <c r="E3395" t="str">
        <f>HYPERLINK("https://github.com/PojavLauncherTeam/PojavLauncher","show")</f>
        <v>show</v>
      </c>
      <c r="F3395" t="str">
        <f>HYPERLINK("https://github.com/PojavLauncherTeam/PojavLauncher/releases","show")</f>
        <v>show</v>
      </c>
    </row>
    <row r="3396" spans="1:6">
      <c r="A3396" t="s">
        <v>10126</v>
      </c>
      <c r="B3396" t="s">
        <v>10127</v>
      </c>
      <c r="C3396" t="s">
        <v>10128</v>
      </c>
      <c r="D3396" t="str">
        <f>HYPERLINK("https://github.com/PojavLauncherTeam/PojavLauncher/issues/3025","show")</f>
        <v>show</v>
      </c>
      <c r="E3396" t="str">
        <f>HYPERLINK("https://github.com/PojavLauncherTeam/PojavLauncher","show")</f>
        <v>show</v>
      </c>
      <c r="F3396" t="str">
        <f>HYPERLINK("https://github.com/PojavLauncherTeam/PojavLauncher/releases","show")</f>
        <v>show</v>
      </c>
    </row>
    <row r="3397" spans="1:6">
      <c r="A3397" t="s">
        <v>10129</v>
      </c>
      <c r="B3397" t="s">
        <v>10130</v>
      </c>
      <c r="C3397" t="s">
        <v>10131</v>
      </c>
      <c r="D3397" t="str">
        <f>HYPERLINK("https://github.com/aws-amplify/amplify-android/issues/1693","show")</f>
        <v>show</v>
      </c>
      <c r="E3397" t="str">
        <f>HYPERLINK("https://github.com/aws-amplify/amplify-android","show")</f>
        <v>show</v>
      </c>
      <c r="F3397" t="str">
        <f>HYPERLINK("https://github.com/aws-amplify/amplify-android/releases","show")</f>
        <v>show</v>
      </c>
    </row>
    <row r="3398" spans="1:6">
      <c r="A3398" t="s">
        <v>10132</v>
      </c>
      <c r="B3398" t="s">
        <v>10133</v>
      </c>
      <c r="C3398" t="s">
        <v>10134</v>
      </c>
      <c r="D3398" t="str">
        <f>HYPERLINK("https://github.com/mercadopago/px-android/issues/2696","show")</f>
        <v>show</v>
      </c>
      <c r="E3398" t="str">
        <f>HYPERLINK("https://github.com/mercadopago/px-android","show")</f>
        <v>show</v>
      </c>
      <c r="F3398" t="str">
        <f>HYPERLINK("https://github.com/mercadopago/px-android/releases","show")</f>
        <v>show</v>
      </c>
    </row>
    <row r="3399" spans="1:6">
      <c r="A3399" t="s">
        <v>10135</v>
      </c>
      <c r="B3399" t="s">
        <v>10136</v>
      </c>
      <c r="C3399" t="s">
        <v>10137</v>
      </c>
      <c r="D3399" t="str">
        <f>HYPERLINK("https://github.com/ASE-Projekte-WS-2021/ase-ws-21-course-matcher/issues/284","show")</f>
        <v>show</v>
      </c>
      <c r="E3399" t="str">
        <f>HYPERLINK("https://github.com/ASE-Projekte-WS-2021/ase-ws-21-course-matcher","show")</f>
        <v>show</v>
      </c>
      <c r="F3399" t="str">
        <f>HYPERLINK("https://github.com/ASE-Projekte-WS-2021/ase-ws-21-course-matcher/releases","show")</f>
        <v>show</v>
      </c>
    </row>
    <row r="3400" spans="1:6">
      <c r="A3400" t="s">
        <v>10138</v>
      </c>
      <c r="B3400" t="s">
        <v>10139</v>
      </c>
      <c r="C3400" t="s">
        <v>10140</v>
      </c>
      <c r="D3400" t="str">
        <f>HYPERLINK("https://github.com/k9mail/k-9/issues/5999","show")</f>
        <v>show</v>
      </c>
      <c r="E3400" t="str">
        <f>HYPERLINK("https://github.com/k9mail/k-9","show")</f>
        <v>show</v>
      </c>
      <c r="F3400" t="str">
        <f>HYPERLINK("https://github.com/k9mail/k-9/releases","show")</f>
        <v>show</v>
      </c>
    </row>
    <row r="3401" spans="1:6">
      <c r="A3401" t="s">
        <v>10141</v>
      </c>
      <c r="B3401" t="s">
        <v>10142</v>
      </c>
      <c r="C3401" t="s">
        <v>10143</v>
      </c>
      <c r="D3401" t="str">
        <f>HYPERLINK("https://github.com/ASE-Projekte-WS-2021/ase-ws-21-course-matcher/issues/283","show")</f>
        <v>show</v>
      </c>
      <c r="E3401" t="str">
        <f>HYPERLINK("https://github.com/ASE-Projekte-WS-2021/ase-ws-21-course-matcher","show")</f>
        <v>show</v>
      </c>
      <c r="F3401" t="str">
        <f>HYPERLINK("https://github.com/ASE-Projekte-WS-2021/ase-ws-21-course-matcher/releases","show")</f>
        <v>show</v>
      </c>
    </row>
    <row r="3402" spans="1:6">
      <c r="A3402" t="s">
        <v>10144</v>
      </c>
      <c r="B3402" t="s">
        <v>10145</v>
      </c>
      <c r="C3402" t="s">
        <v>10146</v>
      </c>
      <c r="D3402" t="str">
        <f>HYPERLINK("https://github.com/Anuken/Mindustry/issues/6694","show")</f>
        <v>show</v>
      </c>
      <c r="E3402" t="str">
        <f>HYPERLINK("https://github.com/Anuken/Mindustry","show")</f>
        <v>show</v>
      </c>
      <c r="F3402" t="str">
        <f>HYPERLINK("https://github.com/Anuken/Mindustry/releases","show")</f>
        <v>show</v>
      </c>
    </row>
    <row r="3403" spans="1:6">
      <c r="A3403" t="s">
        <v>10147</v>
      </c>
      <c r="B3403" t="s">
        <v>10148</v>
      </c>
      <c r="C3403" t="s">
        <v>10149</v>
      </c>
      <c r="D3403" t="str">
        <f>HYPERLINK("https://github.com/Rosemoe/sora-editor/issues/168","show")</f>
        <v>show</v>
      </c>
      <c r="E3403" t="str">
        <f>HYPERLINK("https://github.com/Rosemoe/sora-editor","show")</f>
        <v>show</v>
      </c>
      <c r="F3403" t="str">
        <f>HYPERLINK("https://github.com/Rosemoe/sora-editor/releases","show")</f>
        <v>show</v>
      </c>
    </row>
    <row r="3404" spans="1:6">
      <c r="A3404" t="s">
        <v>10150</v>
      </c>
      <c r="B3404" t="s">
        <v>10151</v>
      </c>
      <c r="C3404" t="s">
        <v>10152</v>
      </c>
      <c r="D3404" t="str">
        <f>HYPERLINK("https://github.com/PojavLauncherTeam/PojavLauncher/issues/3020","show")</f>
        <v>show</v>
      </c>
      <c r="E3404" t="str">
        <f>HYPERLINK("https://github.com/PojavLauncherTeam/PojavLauncher","show")</f>
        <v>show</v>
      </c>
      <c r="F3404" t="str">
        <f>HYPERLINK("https://github.com/PojavLauncherTeam/PojavLauncher/releases","show")</f>
        <v>show</v>
      </c>
    </row>
    <row r="3405" spans="1:6">
      <c r="A3405" t="s">
        <v>10153</v>
      </c>
      <c r="B3405" t="s">
        <v>10154</v>
      </c>
      <c r="C3405" t="s">
        <v>10155</v>
      </c>
      <c r="D3405" t="str">
        <f>HYPERLINK("https://github.com/ankidroid/Anki-Android/issues/10698","show")</f>
        <v>show</v>
      </c>
      <c r="E3405" t="str">
        <f>HYPERLINK("https://github.com/ankidroid/Anki-Android","show")</f>
        <v>show</v>
      </c>
      <c r="F3405" t="str">
        <f>HYPERLINK("https://github.com/ankidroid/Anki-Android/releases","show")</f>
        <v>show</v>
      </c>
    </row>
    <row r="3406" spans="1:6">
      <c r="A3406" t="s">
        <v>10156</v>
      </c>
      <c r="B3406" t="s">
        <v>10157</v>
      </c>
      <c r="C3406" t="s">
        <v>10158</v>
      </c>
      <c r="D3406" t="str">
        <f>HYPERLINK("https://github.com/nextcloud/android/issues/10039","show")</f>
        <v>show</v>
      </c>
      <c r="E3406" t="str">
        <f>HYPERLINK("https://github.com/nextcloud/android","show")</f>
        <v>show</v>
      </c>
      <c r="F3406" t="str">
        <f>HYPERLINK("https://github.com/nextcloud/android/releases","show")</f>
        <v>show</v>
      </c>
    </row>
    <row r="3407" spans="1:6">
      <c r="A3407" t="s">
        <v>10159</v>
      </c>
      <c r="B3407" t="s">
        <v>10160</v>
      </c>
      <c r="C3407" t="s">
        <v>10161</v>
      </c>
      <c r="D3407" t="str">
        <f>HYPERLINK("https://github.com/OpenTracksApp/OpenTracks/issues/1167","show")</f>
        <v>show</v>
      </c>
      <c r="E3407" t="str">
        <f>HYPERLINK("https://github.com/OpenTracksApp/OpenTracks","show")</f>
        <v>show</v>
      </c>
      <c r="F3407" t="str">
        <f>HYPERLINK("https://github.com/OpenTracksApp/OpenTracks/releases","show")</f>
        <v>show</v>
      </c>
    </row>
    <row r="3408" spans="1:6">
      <c r="A3408" t="s">
        <v>10162</v>
      </c>
      <c r="B3408" t="s">
        <v>10163</v>
      </c>
      <c r="C3408" t="s">
        <v>10164</v>
      </c>
      <c r="D3408" t="str">
        <f>HYPERLINK("https://github.com/jellyfin/jellyfin-androidtv/issues/1598","show")</f>
        <v>show</v>
      </c>
      <c r="E3408" t="str">
        <f>HYPERLINK("https://github.com/jellyfin/jellyfin-androidtv","show")</f>
        <v>show</v>
      </c>
      <c r="F3408" t="str">
        <f>HYPERLINK("https://github.com/jellyfin/jellyfin-androidtv/releases","show")</f>
        <v>show</v>
      </c>
    </row>
    <row r="3409" spans="1:6">
      <c r="A3409" t="s">
        <v>10165</v>
      </c>
      <c r="B3409" t="s">
        <v>10166</v>
      </c>
      <c r="C3409" t="s">
        <v>10167</v>
      </c>
      <c r="D3409" t="str">
        <f>HYPERLINK("https://github.com/CMPUT301W22T16/QR-Go/issues/102","show")</f>
        <v>show</v>
      </c>
      <c r="E3409" t="str">
        <f>HYPERLINK("https://github.com/CMPUT301W22T16/QR-Go","show")</f>
        <v>show</v>
      </c>
      <c r="F3409" t="str">
        <f>HYPERLINK("https://github.com/CMPUT301W22T16/QR-Go/releases","show")</f>
        <v>show</v>
      </c>
    </row>
    <row r="3410" spans="1:6">
      <c r="A3410" t="s">
        <v>10168</v>
      </c>
      <c r="B3410" t="s">
        <v>10169</v>
      </c>
      <c r="C3410" t="s">
        <v>10170</v>
      </c>
      <c r="D3410" t="str">
        <f>HYPERLINK("https://github.com/Anuken/Mindustry/issues/6692","show")</f>
        <v>show</v>
      </c>
      <c r="E3410" t="str">
        <f>HYPERLINK("https://github.com/Anuken/Mindustry","show")</f>
        <v>show</v>
      </c>
      <c r="F3410" t="str">
        <f>HYPERLINK("https://github.com/Anuken/Mindustry/releases","show")</f>
        <v>show</v>
      </c>
    </row>
    <row r="3411" spans="1:6">
      <c r="A3411" t="s">
        <v>10171</v>
      </c>
      <c r="B3411" t="s">
        <v>10172</v>
      </c>
      <c r="C3411" t="s">
        <v>10173</v>
      </c>
      <c r="D3411" t="str">
        <f>HYPERLINK("https://github.com/OpenTracksApp/OpenTracks/issues/1165","show")</f>
        <v>show</v>
      </c>
      <c r="E3411" t="str">
        <f>HYPERLINK("https://github.com/OpenTracksApp/OpenTracks","show")</f>
        <v>show</v>
      </c>
      <c r="F3411" t="str">
        <f>HYPERLINK("https://github.com/OpenTracksApp/OpenTracks/releases","show")</f>
        <v>show</v>
      </c>
    </row>
    <row r="3412" spans="1:6">
      <c r="A3412" t="s">
        <v>10174</v>
      </c>
      <c r="B3412" t="s">
        <v>10175</v>
      </c>
      <c r="C3412" t="s">
        <v>10176</v>
      </c>
      <c r="D3412" t="str">
        <f>HYPERLINK("https://github.com/Anuken/Mindustry/issues/6691","show")</f>
        <v>show</v>
      </c>
      <c r="E3412" t="str">
        <f>HYPERLINK("https://github.com/Anuken/Mindustry","show")</f>
        <v>show</v>
      </c>
      <c r="F3412" t="str">
        <f>HYPERLINK("https://github.com/Anuken/Mindustry/releases","show")</f>
        <v>show</v>
      </c>
    </row>
    <row r="3413" spans="1:6">
      <c r="A3413" t="s">
        <v>10177</v>
      </c>
      <c r="B3413" t="s">
        <v>10178</v>
      </c>
      <c r="C3413" t="s">
        <v>10179</v>
      </c>
      <c r="D3413" t="str">
        <f>HYPERLINK("https://github.com/XspeedPL/PhysicalButtonMod/issues/5","show")</f>
        <v>show</v>
      </c>
      <c r="E3413" t="str">
        <f>HYPERLINK("https://github.com/XspeedPL/PhysicalButtonMod","show")</f>
        <v>show</v>
      </c>
      <c r="F3413" t="str">
        <f>HYPERLINK("https://github.com/XspeedPL/PhysicalButtonMod/releases","show")</f>
        <v>show</v>
      </c>
    </row>
    <row r="3414" spans="1:6">
      <c r="A3414" t="s">
        <v>10180</v>
      </c>
      <c r="B3414" t="s">
        <v>10181</v>
      </c>
      <c r="C3414" t="s">
        <v>10182</v>
      </c>
      <c r="D3414" t="str">
        <f>HYPERLINK("https://github.com/AOF-Dev/MCinaBox/issues/1130","show")</f>
        <v>show</v>
      </c>
      <c r="E3414" t="str">
        <f>HYPERLINK("https://github.com/AOF-Dev/MCinaBox","show")</f>
        <v>show</v>
      </c>
      <c r="F3414" t="str">
        <f>HYPERLINK("https://github.com/AOF-Dev/MCinaBox/releases","show")</f>
        <v>show</v>
      </c>
    </row>
    <row r="3415" spans="1:6">
      <c r="A3415" t="s">
        <v>10183</v>
      </c>
      <c r="B3415" t="s">
        <v>10184</v>
      </c>
      <c r="C3415" t="s">
        <v>10185</v>
      </c>
      <c r="D3415" t="str">
        <f>HYPERLINK("https://github.com/MuntashirAkon/AppManager/issues/722","show")</f>
        <v>show</v>
      </c>
      <c r="E3415" t="str">
        <f>HYPERLINK("https://github.com/MuntashirAkon/AppManager","show")</f>
        <v>show</v>
      </c>
      <c r="F3415" t="str">
        <f>HYPERLINK("https://github.com/MuntashirAkon/AppManager/releases","show")</f>
        <v>show</v>
      </c>
    </row>
    <row r="3416" spans="1:6">
      <c r="A3416" t="s">
        <v>10186</v>
      </c>
      <c r="B3416" t="s">
        <v>10187</v>
      </c>
      <c r="C3416" t="s">
        <v>10188</v>
      </c>
      <c r="D3416" t="str">
        <f>HYPERLINK("https://github.com/google/ExoPlayer/issues/10147","show")</f>
        <v>show</v>
      </c>
      <c r="E3416" t="str">
        <f>HYPERLINK("https://github.com/google/ExoPlayer","show")</f>
        <v>show</v>
      </c>
      <c r="F3416" t="str">
        <f>HYPERLINK("https://github.com/google/ExoPlayer/releases","show")</f>
        <v>show</v>
      </c>
    </row>
    <row r="3417" spans="1:6">
      <c r="A3417" t="s">
        <v>10189</v>
      </c>
      <c r="B3417" t="s">
        <v>10190</v>
      </c>
      <c r="C3417" t="s">
        <v>10191</v>
      </c>
      <c r="D3417" t="str">
        <f>HYPERLINK("https://github.com/Anuken/Mindustry/issues/6687","show")</f>
        <v>show</v>
      </c>
      <c r="E3417" t="str">
        <f>HYPERLINK("https://github.com/Anuken/Mindustry","show")</f>
        <v>show</v>
      </c>
      <c r="F3417" t="str">
        <f>HYPERLINK("https://github.com/Anuken/Mindustry/releases","show")</f>
        <v>show</v>
      </c>
    </row>
    <row r="3418" spans="1:6">
      <c r="A3418" t="s">
        <v>10192</v>
      </c>
      <c r="B3418" t="s">
        <v>10193</v>
      </c>
      <c r="C3418" t="s">
        <v>10194</v>
      </c>
      <c r="D3418" t="str">
        <f>HYPERLINK("https://github.com/PojavLauncherTeam/PojavLauncher/issues/3005","show")</f>
        <v>show</v>
      </c>
      <c r="E3418" t="str">
        <f>HYPERLINK("https://github.com/PojavLauncherTeam/PojavLauncher","show")</f>
        <v>show</v>
      </c>
      <c r="F3418" t="str">
        <f>HYPERLINK("https://github.com/PojavLauncherTeam/PojavLauncher/releases","show")</f>
        <v>show</v>
      </c>
    </row>
    <row r="3419" spans="1:6">
      <c r="A3419" t="s">
        <v>10195</v>
      </c>
      <c r="B3419" t="s">
        <v>10196</v>
      </c>
      <c r="C3419" t="s">
        <v>10197</v>
      </c>
      <c r="D3419" t="str">
        <f>HYPERLINK("https://github.com/ASE-Projekte-WS-2021/ase-ws-21-konferenzassistent/issues/189","show")</f>
        <v>show</v>
      </c>
      <c r="E3419" t="str">
        <f>HYPERLINK("https://github.com/ASE-Projekte-WS-2021/ase-ws-21-konferenzassistent","show")</f>
        <v>show</v>
      </c>
      <c r="F3419" t="str">
        <f>HYPERLINK("https://github.com/ASE-Projekte-WS-2021/ase-ws-21-konferenzassistent/releases","show")</f>
        <v>show</v>
      </c>
    </row>
    <row r="3420" spans="1:6">
      <c r="A3420" t="s">
        <v>10198</v>
      </c>
      <c r="B3420" t="s">
        <v>10199</v>
      </c>
      <c r="C3420" t="s">
        <v>10200</v>
      </c>
      <c r="D3420" t="str">
        <f>HYPERLINK("https://github.com/microg/GmsCore/issues/1698","show")</f>
        <v>show</v>
      </c>
      <c r="E3420" t="str">
        <f>HYPERLINK("https://github.com/microg/GmsCore","show")</f>
        <v>show</v>
      </c>
      <c r="F3420" t="str">
        <f>HYPERLINK("https://github.com/microg/GmsCore/releases","show")</f>
        <v>show</v>
      </c>
    </row>
    <row r="3421" spans="1:6">
      <c r="A3421" t="s">
        <v>10201</v>
      </c>
      <c r="B3421" t="s">
        <v>10202</v>
      </c>
      <c r="C3421" t="s">
        <v>10203</v>
      </c>
      <c r="D3421" t="str">
        <f>HYPERLINK("https://github.com/dedis/popstellar/issues/912","show")</f>
        <v>show</v>
      </c>
      <c r="E3421" t="str">
        <f>HYPERLINK("https://github.com/dedis/popstellar","show")</f>
        <v>show</v>
      </c>
      <c r="F3421" t="str">
        <f>HYPERLINK("https://github.com/dedis/popstellar/releases","show")</f>
        <v>show</v>
      </c>
    </row>
    <row r="3422" spans="1:6">
      <c r="A3422" t="s">
        <v>10204</v>
      </c>
      <c r="B3422" t="s">
        <v>10205</v>
      </c>
      <c r="C3422" t="s">
        <v>10206</v>
      </c>
      <c r="D3422" t="str">
        <f>HYPERLINK("https://github.com/nextcloud/talk-android/issues/1893","show")</f>
        <v>show</v>
      </c>
      <c r="E3422" t="str">
        <f>HYPERLINK("https://github.com/nextcloud/talk-android","show")</f>
        <v>show</v>
      </c>
      <c r="F3422" t="str">
        <f>HYPERLINK("https://github.com/nextcloud/talk-android/releases","show")</f>
        <v>show</v>
      </c>
    </row>
    <row r="3423" spans="1:6">
      <c r="A3423" t="s">
        <v>10207</v>
      </c>
      <c r="B3423" t="s">
        <v>10208</v>
      </c>
      <c r="C3423" t="s">
        <v>10209</v>
      </c>
      <c r="D3423" t="str">
        <f>HYPERLINK("https://github.com/MuntashirAkon/AppManager/issues/718","show")</f>
        <v>show</v>
      </c>
      <c r="E3423" t="str">
        <f>HYPERLINK("https://github.com/MuntashirAkon/AppManager","show")</f>
        <v>show</v>
      </c>
      <c r="F3423" t="str">
        <f>HYPERLINK("https://github.com/MuntashirAkon/AppManager/releases","show")</f>
        <v>show</v>
      </c>
    </row>
    <row r="3424" spans="1:6">
      <c r="A3424" t="s">
        <v>10210</v>
      </c>
      <c r="B3424" t="s">
        <v>10211</v>
      </c>
      <c r="C3424" t="s">
        <v>10212</v>
      </c>
      <c r="D3424" t="str">
        <f>HYPERLINK("https://github.com/Aliucord/Aliucord/issues/231","show")</f>
        <v>show</v>
      </c>
      <c r="E3424" t="str">
        <f>HYPERLINK("https://github.com/Aliucord/Aliucord","show")</f>
        <v>show</v>
      </c>
      <c r="F3424" t="str">
        <f>HYPERLINK("https://github.com/Aliucord/Aliucord/releases","show")</f>
        <v>show</v>
      </c>
    </row>
    <row r="3425" spans="1:6">
      <c r="A3425" t="s">
        <v>10213</v>
      </c>
      <c r="B3425" t="s">
        <v>10214</v>
      </c>
      <c r="C3425" t="s">
        <v>10215</v>
      </c>
      <c r="D3425" t="str">
        <f>HYPERLINK("https://github.com/PojavLauncherTeam/PojavLauncher/issues/3001","show")</f>
        <v>show</v>
      </c>
      <c r="E3425" t="str">
        <f>HYPERLINK("https://github.com/PojavLauncherTeam/PojavLauncher","show")</f>
        <v>show</v>
      </c>
      <c r="F3425" t="str">
        <f>HYPERLINK("https://github.com/PojavLauncherTeam/PojavLauncher/releases","show")</f>
        <v>show</v>
      </c>
    </row>
    <row r="3426" spans="1:6">
      <c r="A3426" t="s">
        <v>10216</v>
      </c>
      <c r="B3426" t="s">
        <v>10217</v>
      </c>
      <c r="C3426" t="s">
        <v>10218</v>
      </c>
      <c r="D3426" t="str">
        <f>HYPERLINK("https://github.com/smartdevicelink/sdl_java_suite/issues/1800","show")</f>
        <v>show</v>
      </c>
      <c r="E3426" t="str">
        <f>HYPERLINK("https://github.com/smartdevicelink/sdl_java_suite","show")</f>
        <v>show</v>
      </c>
      <c r="F3426" t="str">
        <f>HYPERLINK("https://github.com/smartdevicelink/sdl_java_suite/releases","show")</f>
        <v>show</v>
      </c>
    </row>
    <row r="3427" spans="1:6">
      <c r="A3427" t="s">
        <v>10219</v>
      </c>
      <c r="B3427" t="s">
        <v>10220</v>
      </c>
      <c r="C3427" t="s">
        <v>10221</v>
      </c>
      <c r="D3427" t="str">
        <f>HYPERLINK("https://github.com/GoogleCloudPlatform/fda-mystudies/issues/4517","show")</f>
        <v>show</v>
      </c>
      <c r="E3427" t="str">
        <f>HYPERLINK("https://github.com/GoogleCloudPlatform/fda-mystudies","show")</f>
        <v>show</v>
      </c>
      <c r="F3427" t="str">
        <f>HYPERLINK("https://github.com/GoogleCloudPlatform/fda-mystudies/releases","show")</f>
        <v>show</v>
      </c>
    </row>
    <row r="3428" spans="1:6">
      <c r="A3428" t="s">
        <v>10222</v>
      </c>
      <c r="B3428" t="s">
        <v>10223</v>
      </c>
      <c r="C3428" t="s">
        <v>10224</v>
      </c>
      <c r="D3428" t="str">
        <f>HYPERLINK("https://github.com/khpylon/MachEWidget/issues/11","show")</f>
        <v>show</v>
      </c>
      <c r="E3428" t="str">
        <f>HYPERLINK("https://github.com/khpylon/MachEWidget","show")</f>
        <v>show</v>
      </c>
      <c r="F3428" t="str">
        <f>HYPERLINK("https://github.com/khpylon/MachEWidget/releases","show")</f>
        <v>show</v>
      </c>
    </row>
    <row r="3429" spans="1:6">
      <c r="A3429" t="s">
        <v>10225</v>
      </c>
      <c r="B3429" t="s">
        <v>10226</v>
      </c>
      <c r="C3429" t="s">
        <v>10227</v>
      </c>
      <c r="D3429" t="str">
        <f>HYPERLINK("https://github.com/k9mail/k-9/issues/5991","show")</f>
        <v>show</v>
      </c>
      <c r="E3429" t="str">
        <f>HYPERLINK("https://github.com/k9mail/k-9","show")</f>
        <v>show</v>
      </c>
      <c r="F3429" t="str">
        <f>HYPERLINK("https://github.com/k9mail/k-9/releases","show")</f>
        <v>show</v>
      </c>
    </row>
    <row r="3430" spans="1:6">
      <c r="A3430" t="s">
        <v>10228</v>
      </c>
      <c r="B3430" t="s">
        <v>10229</v>
      </c>
      <c r="C3430" t="s">
        <v>10230</v>
      </c>
      <c r="D3430" t="str">
        <f>HYPERLINK("https://github.com/ASE-Projekte-WS-2021/ase-ws-21-unser-horsaal/issues/239","show")</f>
        <v>show</v>
      </c>
      <c r="E3430" t="str">
        <f>HYPERLINK("https://github.com/ASE-Projekte-WS-2021/ase-ws-21-unser-horsaal","show")</f>
        <v>show</v>
      </c>
      <c r="F3430" t="str">
        <f>HYPERLINK("https://github.com/ASE-Projekte-WS-2021/ase-ws-21-unser-horsaal/releases","show")</f>
        <v>show</v>
      </c>
    </row>
    <row r="3431" spans="1:6">
      <c r="A3431" t="s">
        <v>10231</v>
      </c>
      <c r="B3431" t="s">
        <v>10232</v>
      </c>
      <c r="C3431" t="s">
        <v>10233</v>
      </c>
      <c r="D3431" t="str">
        <f>HYPERLINK("https://github.com/Fox2Code/FoxMagiskModuleManager/issues/108","show")</f>
        <v>show</v>
      </c>
      <c r="E3431" t="str">
        <f>HYPERLINK("https://github.com/Fox2Code/FoxMagiskModuleManager","show")</f>
        <v>show</v>
      </c>
      <c r="F3431" t="str">
        <f>HYPERLINK("https://github.com/Fox2Code/FoxMagiskModuleManager/releases","show")</f>
        <v>show</v>
      </c>
    </row>
    <row r="3432" spans="1:6">
      <c r="A3432" t="s">
        <v>10234</v>
      </c>
      <c r="B3432" t="s">
        <v>10235</v>
      </c>
      <c r="C3432" t="s">
        <v>10236</v>
      </c>
      <c r="D3432" t="str">
        <f>HYPERLINK("https://github.com/PojavLauncherTeam/PojavLauncher/issues/2998","show")</f>
        <v>show</v>
      </c>
      <c r="E3432" t="str">
        <f>HYPERLINK("https://github.com/PojavLauncherTeam/PojavLauncher","show")</f>
        <v>show</v>
      </c>
      <c r="F3432" t="str">
        <f>HYPERLINK("https://github.com/PojavLauncherTeam/PojavLauncher/releases","show")</f>
        <v>show</v>
      </c>
    </row>
    <row r="3433" spans="1:6">
      <c r="A3433" t="s">
        <v>10237</v>
      </c>
      <c r="B3433" t="s">
        <v>10238</v>
      </c>
      <c r="C3433" t="s">
        <v>10239</v>
      </c>
      <c r="D3433" t="str">
        <f>HYPERLINK("https://github.com/PojavLauncherTeam/PojavLauncher/issues/2997","show")</f>
        <v>show</v>
      </c>
      <c r="E3433" t="str">
        <f>HYPERLINK("https://github.com/PojavLauncherTeam/PojavLauncher","show")</f>
        <v>show</v>
      </c>
      <c r="F3433" t="str">
        <f>HYPERLINK("https://github.com/PojavLauncherTeam/PojavLauncher/releases","show")</f>
        <v>show</v>
      </c>
    </row>
    <row r="3434" spans="1:6">
      <c r="A3434" t="s">
        <v>10240</v>
      </c>
      <c r="B3434" t="s">
        <v>10241</v>
      </c>
      <c r="C3434" t="s">
        <v>10242</v>
      </c>
      <c r="D3434" t="str">
        <f>HYPERLINK("https://github.com/getActivity/GsonFactory/issues/18","show")</f>
        <v>show</v>
      </c>
      <c r="E3434" t="str">
        <f>HYPERLINK("https://github.com/getActivity/GsonFactory","show")</f>
        <v>show</v>
      </c>
      <c r="F3434" t="str">
        <f>HYPERLINK("https://github.com/getActivity/GsonFactory/releases","show")</f>
        <v>show</v>
      </c>
    </row>
    <row r="3435" spans="1:6">
      <c r="A3435" t="s">
        <v>10243</v>
      </c>
      <c r="B3435" t="s">
        <v>10244</v>
      </c>
      <c r="C3435" t="s">
        <v>10245</v>
      </c>
      <c r="D3435" t="str">
        <f>HYPERLINK("https://github.com/PojavLauncherTeam/PojavLauncher/issues/2995","show")</f>
        <v>show</v>
      </c>
      <c r="E3435" t="str">
        <f>HYPERLINK("https://github.com/PojavLauncherTeam/PojavLauncher","show")</f>
        <v>show</v>
      </c>
      <c r="F3435" t="str">
        <f>HYPERLINK("https://github.com/PojavLauncherTeam/PojavLauncher/releases","show")</f>
        <v>show</v>
      </c>
    </row>
    <row r="3436" spans="1:6">
      <c r="A3436" t="s">
        <v>10246</v>
      </c>
      <c r="B3436" t="s">
        <v>10247</v>
      </c>
      <c r="C3436" t="s">
        <v>10248</v>
      </c>
      <c r="D3436" t="str">
        <f>HYPERLINK("https://github.com/PojavLauncherTeam/PojavLauncher/issues/2994","show")</f>
        <v>show</v>
      </c>
      <c r="E3436" t="str">
        <f>HYPERLINK("https://github.com/PojavLauncherTeam/PojavLauncher","show")</f>
        <v>show</v>
      </c>
      <c r="F3436" t="str">
        <f>HYPERLINK("https://github.com/PojavLauncherTeam/PojavLauncher/releases","show")</f>
        <v>show</v>
      </c>
    </row>
    <row r="3437" spans="1:6">
      <c r="A3437" t="s">
        <v>10249</v>
      </c>
      <c r="B3437" t="s">
        <v>10250</v>
      </c>
      <c r="C3437" t="s">
        <v>10251</v>
      </c>
      <c r="D3437" t="str">
        <f>HYPERLINK("https://github.com/mercadopago/px-android/issues/2690","show")</f>
        <v>show</v>
      </c>
      <c r="E3437" t="str">
        <f>HYPERLINK("https://github.com/mercadopago/px-android","show")</f>
        <v>show</v>
      </c>
      <c r="F3437" t="str">
        <f>HYPERLINK("https://github.com/mercadopago/px-android/releases","show")</f>
        <v>show</v>
      </c>
    </row>
    <row r="3438" spans="1:6">
      <c r="A3438" t="s">
        <v>10252</v>
      </c>
      <c r="B3438" t="s">
        <v>10253</v>
      </c>
      <c r="C3438" t="s">
        <v>10254</v>
      </c>
      <c r="D3438" t="str">
        <f>HYPERLINK("https://github.com/Appboy/appboy-android-sdk/issues/220","show")</f>
        <v>show</v>
      </c>
      <c r="E3438" t="str">
        <f>HYPERLINK("https://github.com/Appboy/appboy-android-sdk","show")</f>
        <v>show</v>
      </c>
      <c r="F3438" t="str">
        <f>HYPERLINK("https://github.com/Appboy/appboy-android-sdk/releases","show")</f>
        <v>show</v>
      </c>
    </row>
    <row r="3439" spans="1:6">
      <c r="A3439" t="s">
        <v>10255</v>
      </c>
      <c r="B3439" t="s">
        <v>10256</v>
      </c>
      <c r="C3439" t="s">
        <v>10257</v>
      </c>
      <c r="D3439" t="str">
        <f>HYPERLINK("https://github.com/Aliucord/Aliucord/issues/230","show")</f>
        <v>show</v>
      </c>
      <c r="E3439" t="str">
        <f>HYPERLINK("https://github.com/Aliucord/Aliucord","show")</f>
        <v>show</v>
      </c>
      <c r="F3439" t="str">
        <f>HYPERLINK("https://github.com/Aliucord/Aliucord/releases","show")</f>
        <v>show</v>
      </c>
    </row>
    <row r="3440" spans="1:6">
      <c r="A3440" t="s">
        <v>10258</v>
      </c>
      <c r="B3440" t="s">
        <v>10259</v>
      </c>
      <c r="C3440" t="s">
        <v>10260</v>
      </c>
      <c r="D3440" t="str">
        <f>HYPERLINK("https://github.com/PojavLauncherTeam/PojavLauncher/issues/2991","show")</f>
        <v>show</v>
      </c>
      <c r="E3440" t="str">
        <f>HYPERLINK("https://github.com/PojavLauncherTeam/PojavLauncher","show")</f>
        <v>show</v>
      </c>
      <c r="F3440" t="str">
        <f>HYPERLINK("https://github.com/PojavLauncherTeam/PojavLauncher/releases","show")</f>
        <v>show</v>
      </c>
    </row>
    <row r="3441" spans="1:6">
      <c r="A3441" t="s">
        <v>10261</v>
      </c>
      <c r="B3441" t="s">
        <v>10262</v>
      </c>
      <c r="C3441" t="s">
        <v>10263</v>
      </c>
      <c r="D3441" t="str">
        <f>HYPERLINK("https://github.com/getsentry/sentry-java/issues/1961","show")</f>
        <v>show</v>
      </c>
      <c r="E3441" t="str">
        <f>HYPERLINK("https://github.com/getsentry/sentry-java","show")</f>
        <v>show</v>
      </c>
      <c r="F3441" t="str">
        <f>HYPERLINK("https://github.com/getsentry/sentry-java/releases","show")</f>
        <v>show</v>
      </c>
    </row>
    <row r="3442" spans="1:6">
      <c r="A3442" t="s">
        <v>10264</v>
      </c>
      <c r="B3442" t="s">
        <v>10265</v>
      </c>
      <c r="C3442" t="s">
        <v>10266</v>
      </c>
      <c r="D3442" t="str">
        <f>HYPERLINK("https://github.com/PojavLauncherTeam/PojavLauncher/issues/2990","show")</f>
        <v>show</v>
      </c>
      <c r="E3442" t="str">
        <f>HYPERLINK("https://github.com/PojavLauncherTeam/PojavLauncher","show")</f>
        <v>show</v>
      </c>
      <c r="F3442" t="str">
        <f>HYPERLINK("https://github.com/PojavLauncherTeam/PojavLauncher/releases","show")</f>
        <v>show</v>
      </c>
    </row>
    <row r="3443" spans="1:6">
      <c r="A3443" t="s">
        <v>10267</v>
      </c>
      <c r="B3443" t="s">
        <v>10268</v>
      </c>
      <c r="C3443" t="s">
        <v>10269</v>
      </c>
      <c r="D3443" t="str">
        <f>HYPERLINK("https://github.com/PojavLauncherTeam/PojavLauncher/issues/2989","show")</f>
        <v>show</v>
      </c>
      <c r="E3443" t="str">
        <f>HYPERLINK("https://github.com/PojavLauncherTeam/PojavLauncher","show")</f>
        <v>show</v>
      </c>
      <c r="F3443" t="str">
        <f>HYPERLINK("https://github.com/PojavLauncherTeam/PojavLauncher/releases","show")</f>
        <v>show</v>
      </c>
    </row>
    <row r="3444" spans="1:6">
      <c r="A3444" t="s">
        <v>10270</v>
      </c>
      <c r="B3444" t="s">
        <v>10271</v>
      </c>
      <c r="C3444" t="s">
        <v>10272</v>
      </c>
      <c r="D3444" t="str">
        <f>HYPERLINK("https://github.com/PojavLauncherTeam/PojavLauncher/issues/2988","show")</f>
        <v>show</v>
      </c>
      <c r="E3444" t="str">
        <f>HYPERLINK("https://github.com/PojavLauncherTeam/PojavLauncher","show")</f>
        <v>show</v>
      </c>
      <c r="F3444" t="str">
        <f>HYPERLINK("https://github.com/PojavLauncherTeam/PojavLauncher/releases","show")</f>
        <v>show</v>
      </c>
    </row>
    <row r="3445" spans="1:6">
      <c r="A3445" t="s">
        <v>10273</v>
      </c>
      <c r="B3445" t="s">
        <v>10274</v>
      </c>
      <c r="C3445" t="s">
        <v>10275</v>
      </c>
      <c r="D3445" t="str">
        <f>HYPERLINK("https://github.com/PojavLauncherTeam/PojavLauncher/issues/2982","show")</f>
        <v>show</v>
      </c>
      <c r="E3445" t="str">
        <f>HYPERLINK("https://github.com/PojavLauncherTeam/PojavLauncher","show")</f>
        <v>show</v>
      </c>
      <c r="F3445" t="str">
        <f>HYPERLINK("https://github.com/PojavLauncherTeam/PojavLauncher/releases","show")</f>
        <v>show</v>
      </c>
    </row>
    <row r="3446" spans="1:6">
      <c r="A3446" t="s">
        <v>10276</v>
      </c>
      <c r="B3446" t="s">
        <v>10277</v>
      </c>
      <c r="C3446" t="s">
        <v>10278</v>
      </c>
      <c r="D3446" t="str">
        <f>HYPERLINK("https://github.com/Aliucord/Aliucord/issues/229","show")</f>
        <v>show</v>
      </c>
      <c r="E3446" t="str">
        <f>HYPERLINK("https://github.com/Aliucord/Aliucord","show")</f>
        <v>show</v>
      </c>
      <c r="F3446" t="str">
        <f>HYPERLINK("https://github.com/Aliucord/Aliucord/releases","show")</f>
        <v>show</v>
      </c>
    </row>
    <row r="3447" spans="1:6">
      <c r="A3447" t="s">
        <v>10279</v>
      </c>
      <c r="B3447" t="s">
        <v>10280</v>
      </c>
      <c r="C3447" t="s">
        <v>10281</v>
      </c>
      <c r="D3447" t="str">
        <f>HYPERLINK("https://github.com/Aliucord/Aliucord/issues/228","show")</f>
        <v>show</v>
      </c>
      <c r="E3447" t="str">
        <f>HYPERLINK("https://github.com/Aliucord/Aliucord","show")</f>
        <v>show</v>
      </c>
      <c r="F3447" t="str">
        <f>HYPERLINK("https://github.com/Aliucord/Aliucord/releases","show")</f>
        <v>show</v>
      </c>
    </row>
    <row r="3448" spans="1:6">
      <c r="A3448" t="s">
        <v>10282</v>
      </c>
      <c r="B3448" t="s">
        <v>10283</v>
      </c>
      <c r="C3448" t="s">
        <v>10284</v>
      </c>
      <c r="D3448" t="str">
        <f>HYPERLINK("https://github.com/cgeo/WhereYouGo/issues/382","show")</f>
        <v>show</v>
      </c>
      <c r="E3448" t="str">
        <f>HYPERLINK("https://github.com/cgeo/WhereYouGo","show")</f>
        <v>show</v>
      </c>
      <c r="F3448" t="str">
        <f>HYPERLINK("https://github.com/cgeo/WhereYouGo/releases","show")</f>
        <v>show</v>
      </c>
    </row>
    <row r="3449" spans="1:6">
      <c r="A3449" t="s">
        <v>10285</v>
      </c>
      <c r="B3449" t="s">
        <v>10286</v>
      </c>
      <c r="C3449" t="s">
        <v>10287</v>
      </c>
      <c r="D3449" t="str">
        <f>HYPERLINK("https://github.com/commons-app/apps-android-commons/issues/4923","show")</f>
        <v>show</v>
      </c>
      <c r="E3449" t="str">
        <f>HYPERLINK("https://github.com/commons-app/apps-android-commons","show")</f>
        <v>show</v>
      </c>
      <c r="F3449" t="str">
        <f>HYPERLINK("https://github.com/commons-app/apps-android-commons/releases","show")</f>
        <v>show</v>
      </c>
    </row>
    <row r="3450" spans="1:6">
      <c r="A3450" t="s">
        <v>10288</v>
      </c>
      <c r="B3450" t="s">
        <v>10289</v>
      </c>
      <c r="C3450" t="s">
        <v>10290</v>
      </c>
      <c r="D3450" t="str">
        <f>HYPERLINK("https://github.com/PojavLauncherTeam/PojavLauncher/issues/2976","show")</f>
        <v>show</v>
      </c>
      <c r="E3450" t="str">
        <f>HYPERLINK("https://github.com/PojavLauncherTeam/PojavLauncher","show")</f>
        <v>show</v>
      </c>
      <c r="F3450" t="str">
        <f>HYPERLINK("https://github.com/PojavLauncherTeam/PojavLauncher/releases","show")</f>
        <v>show</v>
      </c>
    </row>
    <row r="3451" spans="1:6">
      <c r="A3451" t="s">
        <v>10291</v>
      </c>
      <c r="B3451" t="s">
        <v>10292</v>
      </c>
      <c r="C3451" t="s">
        <v>10293</v>
      </c>
      <c r="D3451" t="str">
        <f>HYPERLINK("https://github.com/nextcloud/android/issues/10017","show")</f>
        <v>show</v>
      </c>
      <c r="E3451" t="str">
        <f>HYPERLINK("https://github.com/nextcloud/android","show")</f>
        <v>show</v>
      </c>
      <c r="F3451" t="str">
        <f>HYPERLINK("https://github.com/nextcloud/android/releases","show")</f>
        <v>show</v>
      </c>
    </row>
    <row r="3452" spans="1:6">
      <c r="A3452" t="s">
        <v>10294</v>
      </c>
      <c r="B3452" t="s">
        <v>10295</v>
      </c>
      <c r="C3452" t="s">
        <v>10296</v>
      </c>
      <c r="D3452" t="str">
        <f>HYPERLINK("https://github.com/bytedance/AabResGuard/issues/79","show")</f>
        <v>show</v>
      </c>
      <c r="E3452" t="str">
        <f>HYPERLINK("https://github.com/bytedance/AabResGuard","show")</f>
        <v>show</v>
      </c>
      <c r="F3452" t="str">
        <f>HYPERLINK("https://github.com/bytedance/AabResGuard/releases","show")</f>
        <v>show</v>
      </c>
    </row>
    <row r="3453" spans="1:6">
      <c r="A3453" t="s">
        <v>10297</v>
      </c>
      <c r="B3453" t="s">
        <v>10298</v>
      </c>
      <c r="C3453" t="s">
        <v>10299</v>
      </c>
      <c r="D3453" t="str">
        <f>HYPERLINK("https://github.com/Anuken/Mindustry/issues/6665","show")</f>
        <v>show</v>
      </c>
      <c r="E3453" t="str">
        <f>HYPERLINK("https://github.com/Anuken/Mindustry","show")</f>
        <v>show</v>
      </c>
      <c r="F3453" t="str">
        <f>HYPERLINK("https://github.com/Anuken/Mindustry/releases","show")</f>
        <v>show</v>
      </c>
    </row>
    <row r="3454" spans="1:6">
      <c r="A3454" t="s">
        <v>10300</v>
      </c>
      <c r="B3454" t="s">
        <v>10301</v>
      </c>
      <c r="C3454" t="s">
        <v>10302</v>
      </c>
      <c r="D3454" t="str">
        <f>HYPERLINK("https://github.com/PojavLauncherTeam/PojavLauncher/issues/2972","show")</f>
        <v>show</v>
      </c>
      <c r="E3454" t="str">
        <f>HYPERLINK("https://github.com/PojavLauncherTeam/PojavLauncher","show")</f>
        <v>show</v>
      </c>
      <c r="F3454" t="str">
        <f>HYPERLINK("https://github.com/PojavLauncherTeam/PojavLauncher/releases","show")</f>
        <v>show</v>
      </c>
    </row>
    <row r="3455" spans="1:6">
      <c r="A3455" t="s">
        <v>10303</v>
      </c>
      <c r="B3455" t="s">
        <v>10304</v>
      </c>
      <c r="C3455" t="s">
        <v>10305</v>
      </c>
      <c r="D3455" t="str">
        <f>HYPERLINK("https://github.com/mercadopago/px-android/issues/2686","show")</f>
        <v>show</v>
      </c>
      <c r="E3455" t="str">
        <f>HYPERLINK("https://github.com/mercadopago/px-android","show")</f>
        <v>show</v>
      </c>
      <c r="F3455" t="str">
        <f>HYPERLINK("https://github.com/mercadopago/px-android/releases","show")</f>
        <v>show</v>
      </c>
    </row>
    <row r="3456" spans="1:6">
      <c r="A3456" t="s">
        <v>10306</v>
      </c>
      <c r="B3456" t="s">
        <v>10307</v>
      </c>
      <c r="C3456" t="s">
        <v>10308</v>
      </c>
      <c r="D3456" t="str">
        <f>HYPERLINK("https://github.com/cohenadair/anglers-log/issues/649","show")</f>
        <v>show</v>
      </c>
      <c r="E3456" t="str">
        <f>HYPERLINK("https://github.com/cohenadair/anglers-log","show")</f>
        <v>show</v>
      </c>
      <c r="F3456" t="str">
        <f>HYPERLINK("https://github.com/cohenadair/anglers-log/releases","show")</f>
        <v>show</v>
      </c>
    </row>
    <row r="3457" spans="1:6">
      <c r="A3457" t="s">
        <v>10309</v>
      </c>
      <c r="B3457" t="s">
        <v>9922</v>
      </c>
      <c r="C3457" t="s">
        <v>10310</v>
      </c>
      <c r="D3457" t="str">
        <f>HYPERLINK("https://github.com/PojavLauncherTeam/PojavLauncher/issues/2968","show")</f>
        <v>show</v>
      </c>
      <c r="E3457" t="str">
        <f>HYPERLINK("https://github.com/PojavLauncherTeam/PojavLauncher","show")</f>
        <v>show</v>
      </c>
      <c r="F3457" t="str">
        <f>HYPERLINK("https://github.com/PojavLauncherTeam/PojavLauncher/releases","show")</f>
        <v>show</v>
      </c>
    </row>
    <row r="3458" spans="1:6">
      <c r="A3458" t="s">
        <v>10311</v>
      </c>
      <c r="B3458" t="s">
        <v>10312</v>
      </c>
      <c r="C3458" t="s">
        <v>10313</v>
      </c>
      <c r="D3458" t="str">
        <f>HYPERLINK("https://github.com/ASE-Projekte-WS-2021/ase-ws-21-unser-horsaal/issues/219","show")</f>
        <v>show</v>
      </c>
      <c r="E3458" t="str">
        <f>HYPERLINK("https://github.com/ASE-Projekte-WS-2021/ase-ws-21-unser-horsaal","show")</f>
        <v>show</v>
      </c>
      <c r="F3458" t="str">
        <f>HYPERLINK("https://github.com/ASE-Projekte-WS-2021/ase-ws-21-unser-horsaal/releases","show")</f>
        <v>show</v>
      </c>
    </row>
    <row r="3459" spans="1:6">
      <c r="A3459" t="s">
        <v>10314</v>
      </c>
      <c r="B3459" t="s">
        <v>10315</v>
      </c>
      <c r="C3459" t="s">
        <v>10316</v>
      </c>
      <c r="D3459" t="str">
        <f>HYPERLINK("https://github.com/jellyfin/jellyfin-androidtv/issues/1560","show")</f>
        <v>show</v>
      </c>
      <c r="E3459" t="str">
        <f>HYPERLINK("https://github.com/jellyfin/jellyfin-androidtv","show")</f>
        <v>show</v>
      </c>
      <c r="F3459" t="str">
        <f>HYPERLINK("https://github.com/jellyfin/jellyfin-androidtv/releases","show")</f>
        <v>show</v>
      </c>
    </row>
    <row r="3460" spans="1:6">
      <c r="A3460" t="s">
        <v>10317</v>
      </c>
      <c r="B3460" t="s">
        <v>10318</v>
      </c>
      <c r="C3460" t="s">
        <v>10319</v>
      </c>
      <c r="D3460" t="str">
        <f>HYPERLINK("https://github.com/commons-app/apps-android-commons/issues/4919","show")</f>
        <v>show</v>
      </c>
      <c r="E3460" t="str">
        <f>HYPERLINK("https://github.com/commons-app/apps-android-commons","show")</f>
        <v>show</v>
      </c>
      <c r="F3460" t="str">
        <f>HYPERLINK("https://github.com/commons-app/apps-android-commons/releases","show")</f>
        <v>show</v>
      </c>
    </row>
    <row r="3461" spans="1:6">
      <c r="A3461" t="s">
        <v>10320</v>
      </c>
      <c r="B3461" t="s">
        <v>10321</v>
      </c>
      <c r="C3461" t="s">
        <v>10322</v>
      </c>
      <c r="D3461" t="str">
        <f>HYPERLINK("https://github.com/PojavLauncherTeam/PojavLauncher/issues/2962","show")</f>
        <v>show</v>
      </c>
      <c r="E3461" t="str">
        <f>HYPERLINK("https://github.com/PojavLauncherTeam/PojavLauncher","show")</f>
        <v>show</v>
      </c>
      <c r="F3461" t="str">
        <f>HYPERLINK("https://github.com/PojavLauncherTeam/PojavLauncher/releases","show")</f>
        <v>show</v>
      </c>
    </row>
    <row r="3462" spans="1:6">
      <c r="A3462" t="s">
        <v>10323</v>
      </c>
      <c r="B3462" t="s">
        <v>10324</v>
      </c>
      <c r="C3462" t="s">
        <v>10325</v>
      </c>
      <c r="D3462" t="str">
        <f>HYPERLINK("https://github.com/google/ExoPlayer/issues/10104","show")</f>
        <v>show</v>
      </c>
      <c r="E3462" t="str">
        <f>HYPERLINK("https://github.com/google/ExoPlayer","show")</f>
        <v>show</v>
      </c>
      <c r="F3462" t="str">
        <f>HYPERLINK("https://github.com/google/ExoPlayer/releases","show")</f>
        <v>show</v>
      </c>
    </row>
    <row r="3463" spans="1:6">
      <c r="A3463" t="s">
        <v>10326</v>
      </c>
      <c r="B3463" t="s">
        <v>10327</v>
      </c>
      <c r="C3463" t="s">
        <v>10328</v>
      </c>
      <c r="D3463" t="str">
        <f>HYPERLINK("https://github.com/mercadopago/px-android/issues/2683","show")</f>
        <v>show</v>
      </c>
      <c r="E3463" t="str">
        <f>HYPERLINK("https://github.com/mercadopago/px-android","show")</f>
        <v>show</v>
      </c>
      <c r="F3463" t="str">
        <f>HYPERLINK("https://github.com/mercadopago/px-android/releases","show")</f>
        <v>show</v>
      </c>
    </row>
    <row r="3464" spans="1:6">
      <c r="A3464" t="s">
        <v>10329</v>
      </c>
      <c r="B3464" t="s">
        <v>10330</v>
      </c>
      <c r="C3464" t="s">
        <v>10331</v>
      </c>
      <c r="D3464" t="str">
        <f>HYPERLINK("https://github.com/mercadopago/px-android/issues/2682","show")</f>
        <v>show</v>
      </c>
      <c r="E3464" t="str">
        <f>HYPERLINK("https://github.com/mercadopago/px-android","show")</f>
        <v>show</v>
      </c>
      <c r="F3464" t="str">
        <f>HYPERLINK("https://github.com/mercadopago/px-android/releases","show")</f>
        <v>show</v>
      </c>
    </row>
    <row r="3465" spans="1:6">
      <c r="A3465" t="s">
        <v>10332</v>
      </c>
      <c r="B3465" t="s">
        <v>10333</v>
      </c>
      <c r="C3465" t="s">
        <v>10334</v>
      </c>
      <c r="D3465" t="str">
        <f>HYPERLINK("https://github.com/TacoTheDank/Scoop/issues/50","show")</f>
        <v>show</v>
      </c>
      <c r="E3465" t="str">
        <f>HYPERLINK("https://github.com/TacoTheDank/Scoop","show")</f>
        <v>show</v>
      </c>
      <c r="F3465" t="str">
        <f>HYPERLINK("https://github.com/TacoTheDank/Scoop/releases","show")</f>
        <v>show</v>
      </c>
    </row>
    <row r="3466" spans="1:6">
      <c r="A3466" t="s">
        <v>10335</v>
      </c>
      <c r="B3466" t="s">
        <v>10336</v>
      </c>
      <c r="C3466" t="s">
        <v>10337</v>
      </c>
      <c r="D3466" t="str">
        <f>HYPERLINK("https://github.com/itsaky/AndroidIDE/issues/140","show")</f>
        <v>show</v>
      </c>
      <c r="E3466" t="str">
        <f>HYPERLINK("https://github.com/itsaky/AndroidIDE","show")</f>
        <v>show</v>
      </c>
      <c r="F3466" t="str">
        <f>HYPERLINK("https://github.com/itsaky/AndroidIDE/releases","show")</f>
        <v>show</v>
      </c>
    </row>
    <row r="3467" spans="1:6">
      <c r="A3467" t="s">
        <v>10338</v>
      </c>
      <c r="B3467" t="s">
        <v>10339</v>
      </c>
      <c r="C3467" t="s">
        <v>10340</v>
      </c>
      <c r="D3467" t="str">
        <f>HYPERLINK("https://github.com/deltachat/deltachat-android/issues/2242","show")</f>
        <v>show</v>
      </c>
      <c r="E3467" t="str">
        <f>HYPERLINK("https://github.com/deltachat/deltachat-android","show")</f>
        <v>show</v>
      </c>
      <c r="F3467" t="str">
        <f>HYPERLINK("https://github.com/deltachat/deltachat-android/releases","show")</f>
        <v>show</v>
      </c>
    </row>
    <row r="3468" spans="1:6">
      <c r="A3468" t="s">
        <v>10341</v>
      </c>
      <c r="B3468" t="s">
        <v>10342</v>
      </c>
      <c r="C3468" t="s">
        <v>10343</v>
      </c>
      <c r="D3468" t="str">
        <f>HYPERLINK("https://github.com/Jelmer1887/OnlyFarms/issues/31","show")</f>
        <v>show</v>
      </c>
      <c r="E3468" t="str">
        <f>HYPERLINK("https://github.com/Jelmer1887/OnlyFarms","show")</f>
        <v>show</v>
      </c>
      <c r="F3468" t="str">
        <f>HYPERLINK("https://github.com/Jelmer1887/OnlyFarms/releases","show")</f>
        <v>show</v>
      </c>
    </row>
    <row r="3469" spans="1:6">
      <c r="A3469" t="s">
        <v>10344</v>
      </c>
      <c r="B3469" t="s">
        <v>10345</v>
      </c>
      <c r="C3469" t="s">
        <v>10346</v>
      </c>
      <c r="D3469" t="str">
        <f>HYPERLINK("https://github.com/ASE-Projekte-WS-2021/ase-ws-21-course-matcher/issues/219","show")</f>
        <v>show</v>
      </c>
      <c r="E3469" t="str">
        <f>HYPERLINK("https://github.com/ASE-Projekte-WS-2021/ase-ws-21-course-matcher","show")</f>
        <v>show</v>
      </c>
      <c r="F3469" t="str">
        <f>HYPERLINK("https://github.com/ASE-Projekte-WS-2021/ase-ws-21-course-matcher/releases","show")</f>
        <v>show</v>
      </c>
    </row>
    <row r="3470" spans="1:6">
      <c r="A3470" t="s">
        <v>10347</v>
      </c>
      <c r="B3470" t="s">
        <v>10348</v>
      </c>
      <c r="C3470" t="s">
        <v>10349</v>
      </c>
      <c r="D3470" t="str">
        <f>HYPERLINK("https://github.com/k9mail/k-9/issues/5978","show")</f>
        <v>show</v>
      </c>
      <c r="E3470" t="str">
        <f>HYPERLINK("https://github.com/k9mail/k-9","show")</f>
        <v>show</v>
      </c>
      <c r="F3470" t="str">
        <f>HYPERLINK("https://github.com/k9mail/k-9/releases","show")</f>
        <v>show</v>
      </c>
    </row>
    <row r="3471" spans="1:6">
      <c r="A3471" t="s">
        <v>10350</v>
      </c>
      <c r="B3471" t="s">
        <v>10351</v>
      </c>
      <c r="C3471" t="s">
        <v>10352</v>
      </c>
      <c r="D3471" t="str">
        <f>HYPERLINK("https://github.com/k9mail/k-9/issues/5976","show")</f>
        <v>show</v>
      </c>
      <c r="E3471" t="str">
        <f>HYPERLINK("https://github.com/k9mail/k-9","show")</f>
        <v>show</v>
      </c>
      <c r="F3471" t="str">
        <f>HYPERLINK("https://github.com/k9mail/k-9/releases","show")</f>
        <v>show</v>
      </c>
    </row>
    <row r="3472" spans="1:6">
      <c r="A3472" t="s">
        <v>10353</v>
      </c>
      <c r="B3472" t="s">
        <v>10354</v>
      </c>
      <c r="C3472" t="s">
        <v>10355</v>
      </c>
      <c r="D3472" t="str">
        <f>HYPERLINK("https://github.com/Agontuk/react-native-geolocation-service/issues/335","show")</f>
        <v>show</v>
      </c>
      <c r="E3472" t="str">
        <f>HYPERLINK("https://github.com/Agontuk/react-native-geolocation-service","show")</f>
        <v>show</v>
      </c>
      <c r="F3472" t="str">
        <f>HYPERLINK("https://github.com/Agontuk/react-native-geolocation-service/releases","show")</f>
        <v>show</v>
      </c>
    </row>
    <row r="3473" spans="1:6">
      <c r="A3473" t="s">
        <v>10356</v>
      </c>
      <c r="B3473" t="s">
        <v>10357</v>
      </c>
      <c r="C3473" t="s">
        <v>10358</v>
      </c>
      <c r="D3473" t="str">
        <f>HYPERLINK("https://github.com/PojavLauncherTeam/PojavLauncher/issues/2954","show")</f>
        <v>show</v>
      </c>
      <c r="E3473" t="str">
        <f>HYPERLINK("https://github.com/PojavLauncherTeam/PojavLauncher","show")</f>
        <v>show</v>
      </c>
      <c r="F3473" t="str">
        <f>HYPERLINK("https://github.com/PojavLauncherTeam/PojavLauncher/releases","show")</f>
        <v>show</v>
      </c>
    </row>
    <row r="3474" spans="1:6">
      <c r="A3474" t="s">
        <v>10359</v>
      </c>
      <c r="B3474" t="s">
        <v>10360</v>
      </c>
      <c r="C3474" t="s">
        <v>10361</v>
      </c>
      <c r="D3474" t="str">
        <f>HYPERLINK("https://github.com/PojavLauncherTeam/PojavLauncher/issues/2949","show")</f>
        <v>show</v>
      </c>
      <c r="E3474" t="str">
        <f>HYPERLINK("https://github.com/PojavLauncherTeam/PojavLauncher","show")</f>
        <v>show</v>
      </c>
      <c r="F3474" t="str">
        <f>HYPERLINK("https://github.com/PojavLauncherTeam/PojavLauncher/releases","show")</f>
        <v>show</v>
      </c>
    </row>
    <row r="3475" spans="1:6">
      <c r="A3475" t="s">
        <v>10362</v>
      </c>
      <c r="B3475" t="s">
        <v>10363</v>
      </c>
      <c r="C3475" t="s">
        <v>10364</v>
      </c>
      <c r="D3475" t="str">
        <f>HYPERLINK("https://github.com/therealsujitk/android-vtop-chennai/issues/21","show")</f>
        <v>show</v>
      </c>
      <c r="E3475" t="str">
        <f>HYPERLINK("https://github.com/therealsujitk/android-vtop-chennai","show")</f>
        <v>show</v>
      </c>
      <c r="F3475" t="str">
        <f>HYPERLINK("https://github.com/therealsujitk/android-vtop-chennai/releases","show")</f>
        <v>show</v>
      </c>
    </row>
    <row r="3476" spans="1:6">
      <c r="A3476" t="s">
        <v>10365</v>
      </c>
      <c r="B3476" t="s">
        <v>10366</v>
      </c>
      <c r="C3476" t="s">
        <v>10367</v>
      </c>
      <c r="D3476" t="str">
        <f>HYPERLINK("https://github.com/cohenadair/anglers-log/issues/640","show")</f>
        <v>show</v>
      </c>
      <c r="E3476" t="str">
        <f>HYPERLINK("https://github.com/cohenadair/anglers-log","show")</f>
        <v>show</v>
      </c>
      <c r="F3476" t="str">
        <f>HYPERLINK("https://github.com/cohenadair/anglers-log/releases","show")</f>
        <v>show</v>
      </c>
    </row>
    <row r="3477" spans="1:6">
      <c r="A3477" t="s">
        <v>10368</v>
      </c>
      <c r="B3477" t="s">
        <v>4808</v>
      </c>
      <c r="C3477" t="s">
        <v>10369</v>
      </c>
      <c r="D3477" t="str">
        <f>HYPERLINK("https://github.com/googleads/googleads-mobile-flutter/issues/536","show")</f>
        <v>show</v>
      </c>
      <c r="E3477" t="str">
        <f>HYPERLINK("https://github.com/googleads/googleads-mobile-flutter","show")</f>
        <v>show</v>
      </c>
      <c r="F3477" t="str">
        <f>HYPERLINK("https://github.com/googleads/googleads-mobile-flutter/releases","show")</f>
        <v>show</v>
      </c>
    </row>
    <row r="3478" spans="1:6">
      <c r="A3478" t="s">
        <v>10370</v>
      </c>
      <c r="B3478" t="s">
        <v>10371</v>
      </c>
      <c r="C3478" t="s">
        <v>10372</v>
      </c>
      <c r="D3478" t="str">
        <f>HYPERLINK("https://github.com/ASE-Projekte-WS-2021/ase-ws-21-konferenzassistent/issues/151","show")</f>
        <v>show</v>
      </c>
      <c r="E3478" t="str">
        <f>HYPERLINK("https://github.com/ASE-Projekte-WS-2021/ase-ws-21-konferenzassistent","show")</f>
        <v>show</v>
      </c>
      <c r="F3478" t="str">
        <f>HYPERLINK("https://github.com/ASE-Projekte-WS-2021/ase-ws-21-konferenzassistent/releases","show")</f>
        <v>show</v>
      </c>
    </row>
    <row r="3479" spans="1:6">
      <c r="A3479" t="s">
        <v>10373</v>
      </c>
      <c r="B3479" t="s">
        <v>10374</v>
      </c>
      <c r="C3479" t="s">
        <v>10375</v>
      </c>
      <c r="D3479" t="str">
        <f>HYPERLINK("https://github.com/itsaky/AndroidIDE/issues/134","show")</f>
        <v>show</v>
      </c>
      <c r="E3479" t="str">
        <f>HYPERLINK("https://github.com/itsaky/AndroidIDE","show")</f>
        <v>show</v>
      </c>
      <c r="F3479" t="str">
        <f>HYPERLINK("https://github.com/itsaky/AndroidIDE/releases","show")</f>
        <v>show</v>
      </c>
    </row>
    <row r="3480" spans="1:6">
      <c r="A3480" t="s">
        <v>10376</v>
      </c>
      <c r="B3480" t="s">
        <v>10377</v>
      </c>
      <c r="C3480" t="s">
        <v>10378</v>
      </c>
      <c r="D3480" t="str">
        <f>HYPERLINK("https://github.com/nextcloud/android/issues/9990","show")</f>
        <v>show</v>
      </c>
      <c r="E3480" t="str">
        <f>HYPERLINK("https://github.com/nextcloud/android","show")</f>
        <v>show</v>
      </c>
      <c r="F3480" t="str">
        <f>HYPERLINK("https://github.com/nextcloud/android/releases","show")</f>
        <v>show</v>
      </c>
    </row>
    <row r="3481" spans="1:6">
      <c r="A3481" t="s">
        <v>10379</v>
      </c>
      <c r="B3481" t="s">
        <v>10380</v>
      </c>
      <c r="C3481" t="s">
        <v>10381</v>
      </c>
      <c r="D3481" t="str">
        <f>HYPERLINK("https://github.com/PojavLauncherTeam/PojavLauncher/issues/2943","show")</f>
        <v>show</v>
      </c>
      <c r="E3481" t="str">
        <f>HYPERLINK("https://github.com/PojavLauncherTeam/PojavLauncher","show")</f>
        <v>show</v>
      </c>
      <c r="F3481" t="str">
        <f>HYPERLINK("https://github.com/PojavLauncherTeam/PojavLauncher/releases","show")</f>
        <v>show</v>
      </c>
    </row>
    <row r="3482" spans="1:6">
      <c r="A3482" t="s">
        <v>10382</v>
      </c>
      <c r="B3482" t="s">
        <v>10383</v>
      </c>
      <c r="C3482" t="s">
        <v>10384</v>
      </c>
      <c r="D3482" t="str">
        <f>HYPERLINK("https://github.com/Satya-Prakash0/media_player/issues/2","show")</f>
        <v>show</v>
      </c>
      <c r="E3482" t="str">
        <f>HYPERLINK("https://github.com/Satya-Prakash0/media_player","show")</f>
        <v>show</v>
      </c>
      <c r="F3482" t="str">
        <f>HYPERLINK("https://github.com/Satya-Prakash0/media_player/releases","show")</f>
        <v>show</v>
      </c>
    </row>
    <row r="3483" spans="1:6">
      <c r="A3483" t="s">
        <v>10385</v>
      </c>
      <c r="B3483" t="s">
        <v>10386</v>
      </c>
      <c r="C3483" t="s">
        <v>10387</v>
      </c>
      <c r="D3483" t="str">
        <f>HYPERLINK("https://github.com/doublesymmetry/react-native-track-player/issues/1438","show")</f>
        <v>show</v>
      </c>
      <c r="E3483" t="str">
        <f>HYPERLINK("https://github.com/doublesymmetry/react-native-track-player","show")</f>
        <v>show</v>
      </c>
      <c r="F3483" t="str">
        <f>HYPERLINK("https://github.com/doublesymmetry/react-native-track-player/releases","show")</f>
        <v>show</v>
      </c>
    </row>
    <row r="3484" spans="1:6">
      <c r="A3484" t="s">
        <v>10388</v>
      </c>
      <c r="B3484" t="s">
        <v>10389</v>
      </c>
      <c r="C3484" t="s">
        <v>10390</v>
      </c>
      <c r="D3484" t="str">
        <f>HYPERLINK("https://github.com/PojavLauncherTeam/PojavLauncher/issues/2936","show")</f>
        <v>show</v>
      </c>
      <c r="E3484" t="str">
        <f>HYPERLINK("https://github.com/PojavLauncherTeam/PojavLauncher","show")</f>
        <v>show</v>
      </c>
      <c r="F3484" t="str">
        <f>HYPERLINK("https://github.com/PojavLauncherTeam/PojavLauncher/releases","show")</f>
        <v>show</v>
      </c>
    </row>
    <row r="3485" spans="1:6">
      <c r="A3485" t="s">
        <v>10391</v>
      </c>
      <c r="B3485" t="s">
        <v>10392</v>
      </c>
      <c r="C3485" t="s">
        <v>10393</v>
      </c>
      <c r="D3485" t="str">
        <f>HYPERLINK("https://github.com/PojavLauncherTeam/PojavLauncher/issues/2935","show")</f>
        <v>show</v>
      </c>
      <c r="E3485" t="str">
        <f>HYPERLINK("https://github.com/PojavLauncherTeam/PojavLauncher","show")</f>
        <v>show</v>
      </c>
      <c r="F3485" t="str">
        <f>HYPERLINK("https://github.com/PojavLauncherTeam/PojavLauncher/releases","show")</f>
        <v>show</v>
      </c>
    </row>
    <row r="3486" spans="1:6">
      <c r="A3486" t="s">
        <v>10394</v>
      </c>
      <c r="B3486" t="s">
        <v>10395</v>
      </c>
      <c r="C3486" t="s">
        <v>10396</v>
      </c>
      <c r="D3486" t="str">
        <f>HYPERLINK("https://github.com/PojavLauncherTeam/PojavLauncher/issues/2934","show")</f>
        <v>show</v>
      </c>
      <c r="E3486" t="str">
        <f>HYPERLINK("https://github.com/PojavLauncherTeam/PojavLauncher","show")</f>
        <v>show</v>
      </c>
      <c r="F3486" t="str">
        <f>HYPERLINK("https://github.com/PojavLauncherTeam/PojavLauncher/releases","show")</f>
        <v>show</v>
      </c>
    </row>
    <row r="3487" spans="1:6">
      <c r="A3487" t="s">
        <v>10397</v>
      </c>
      <c r="B3487" t="s">
        <v>10398</v>
      </c>
      <c r="C3487" t="s">
        <v>10399</v>
      </c>
      <c r="D3487" t="str">
        <f>HYPERLINK("https://github.com/ankidroid/Anki-Android/issues/10584","show")</f>
        <v>show</v>
      </c>
      <c r="E3487" t="str">
        <f>HYPERLINK("https://github.com/ankidroid/Anki-Android","show")</f>
        <v>show</v>
      </c>
      <c r="F3487" t="str">
        <f>HYPERLINK("https://github.com/ankidroid/Anki-Android/releases","show")</f>
        <v>show</v>
      </c>
    </row>
    <row r="3488" spans="1:6">
      <c r="A3488" t="s">
        <v>10400</v>
      </c>
      <c r="B3488" t="s">
        <v>10401</v>
      </c>
      <c r="C3488" t="s">
        <v>10402</v>
      </c>
      <c r="D3488" t="str">
        <f>HYPERLINK("https://github.com/jMonkeyEngine/jmonkeyengine/issues/1785","show")</f>
        <v>show</v>
      </c>
      <c r="E3488" t="str">
        <f>HYPERLINK("https://github.com/jMonkeyEngine/jmonkeyengine","show")</f>
        <v>show</v>
      </c>
      <c r="F3488" t="str">
        <f>HYPERLINK("https://github.com/jMonkeyEngine/jmonkeyengine/releases","show")</f>
        <v>show</v>
      </c>
    </row>
    <row r="3489" spans="1:6">
      <c r="A3489" t="s">
        <v>10403</v>
      </c>
      <c r="B3489" t="s">
        <v>10404</v>
      </c>
      <c r="C3489" t="s">
        <v>10405</v>
      </c>
      <c r="D3489" t="str">
        <f>HYPERLINK("https://github.com/androidx/constraintlayout/issues/546","show")</f>
        <v>show</v>
      </c>
      <c r="E3489" t="str">
        <f>HYPERLINK("https://github.com/androidx/constraintlayout","show")</f>
        <v>show</v>
      </c>
      <c r="F3489" t="str">
        <f>HYPERLINK("https://github.com/androidx/constraintlayout/releases","show")</f>
        <v>show</v>
      </c>
    </row>
    <row r="3490" spans="1:6">
      <c r="A3490" t="s">
        <v>10406</v>
      </c>
      <c r="B3490" t="s">
        <v>10407</v>
      </c>
      <c r="C3490" t="s">
        <v>10408</v>
      </c>
      <c r="D3490" t="str">
        <f>HYPERLINK("https://github.com/k3b/ToGoZip/issues/28","show")</f>
        <v>show</v>
      </c>
      <c r="E3490" t="str">
        <f>HYPERLINK("https://github.com/k3b/ToGoZip","show")</f>
        <v>show</v>
      </c>
      <c r="F3490" t="str">
        <f>HYPERLINK("https://github.com/k3b/ToGoZip/releases","show")</f>
        <v>show</v>
      </c>
    </row>
    <row r="3491" spans="1:6">
      <c r="A3491" t="s">
        <v>10409</v>
      </c>
      <c r="B3491" t="s">
        <v>10410</v>
      </c>
      <c r="C3491" t="s">
        <v>10411</v>
      </c>
      <c r="D3491" t="str">
        <f>HYPERLINK("https://github.com/PojavLauncherTeam/PojavLauncher/issues/2926","show")</f>
        <v>show</v>
      </c>
      <c r="E3491" t="str">
        <f>HYPERLINK("https://github.com/PojavLauncherTeam/PojavLauncher","show")</f>
        <v>show</v>
      </c>
      <c r="F3491" t="str">
        <f>HYPERLINK("https://github.com/PojavLauncherTeam/PojavLauncher/releases","show")</f>
        <v>show</v>
      </c>
    </row>
    <row r="3492" spans="1:6">
      <c r="A3492" t="s">
        <v>10412</v>
      </c>
      <c r="B3492" t="s">
        <v>10413</v>
      </c>
      <c r="C3492" t="s">
        <v>10414</v>
      </c>
      <c r="D3492" t="str">
        <f>HYPERLINK("https://github.com/PojavLauncherTeam/PojavLauncher/issues/2925","show")</f>
        <v>show</v>
      </c>
      <c r="E3492" t="str">
        <f>HYPERLINK("https://github.com/PojavLauncherTeam/PojavLauncher","show")</f>
        <v>show</v>
      </c>
      <c r="F3492" t="str">
        <f>HYPERLINK("https://github.com/PojavLauncherTeam/PojavLauncher/releases","show")</f>
        <v>show</v>
      </c>
    </row>
    <row r="3493" spans="1:6">
      <c r="A3493" t="s">
        <v>10415</v>
      </c>
      <c r="B3493" t="s">
        <v>10416</v>
      </c>
      <c r="C3493" t="s">
        <v>10417</v>
      </c>
      <c r="D3493" t="str">
        <f>HYPERLINK("https://github.com/Rosemoe/sora-editor/issues/158","show")</f>
        <v>show</v>
      </c>
      <c r="E3493" t="str">
        <f>HYPERLINK("https://github.com/Rosemoe/sora-editor","show")</f>
        <v>show</v>
      </c>
      <c r="F3493" t="str">
        <f>HYPERLINK("https://github.com/Rosemoe/sora-editor/releases","show")</f>
        <v>show</v>
      </c>
    </row>
    <row r="3494" spans="1:6">
      <c r="A3494" t="s">
        <v>10418</v>
      </c>
      <c r="B3494" t="s">
        <v>10419</v>
      </c>
      <c r="C3494" t="s">
        <v>10420</v>
      </c>
      <c r="D3494" t="str">
        <f>HYPERLINK("https://github.com/PojavLauncherTeam/PojavLauncher/issues/2922","show")</f>
        <v>show</v>
      </c>
      <c r="E3494" t="str">
        <f>HYPERLINK("https://github.com/PojavLauncherTeam/PojavLauncher","show")</f>
        <v>show</v>
      </c>
      <c r="F3494" t="str">
        <f>HYPERLINK("https://github.com/PojavLauncherTeam/PojavLauncher/releases","show")</f>
        <v>show</v>
      </c>
    </row>
    <row r="3495" spans="1:6">
      <c r="A3495" t="s">
        <v>10421</v>
      </c>
      <c r="B3495" t="s">
        <v>10422</v>
      </c>
      <c r="C3495" t="s">
        <v>10423</v>
      </c>
      <c r="D3495" t="str">
        <f>HYPERLINK("https://github.com/Anuken/Mindustry/issues/6645","show")</f>
        <v>show</v>
      </c>
      <c r="E3495" t="str">
        <f>HYPERLINK("https://github.com/Anuken/Mindustry","show")</f>
        <v>show</v>
      </c>
      <c r="F3495" t="str">
        <f>HYPERLINK("https://github.com/Anuken/Mindustry/releases","show")</f>
        <v>show</v>
      </c>
    </row>
    <row r="3496" spans="1:6">
      <c r="A3496" t="s">
        <v>10424</v>
      </c>
      <c r="B3496" t="s">
        <v>10425</v>
      </c>
      <c r="C3496" t="s">
        <v>10426</v>
      </c>
      <c r="D3496" t="str">
        <f>HYPERLINK("https://github.com/Rapsssito/react-native-tcp-socket/issues/145","show")</f>
        <v>show</v>
      </c>
      <c r="E3496" t="str">
        <f>HYPERLINK("https://github.com/Rapsssito/react-native-tcp-socket","show")</f>
        <v>show</v>
      </c>
      <c r="F3496" t="str">
        <f>HYPERLINK("https://github.com/Rapsssito/react-native-tcp-socket/releases","show")</f>
        <v>show</v>
      </c>
    </row>
    <row r="3497" spans="1:6">
      <c r="A3497" t="s">
        <v>10427</v>
      </c>
      <c r="B3497" t="s">
        <v>10428</v>
      </c>
      <c r="C3497" t="s">
        <v>10429</v>
      </c>
      <c r="D3497" t="str">
        <f>HYPERLINK("https://github.com/k9mail/k-9/issues/5968","show")</f>
        <v>show</v>
      </c>
      <c r="E3497" t="str">
        <f>HYPERLINK("https://github.com/k9mail/k-9","show")</f>
        <v>show</v>
      </c>
      <c r="F3497" t="str">
        <f>HYPERLINK("https://github.com/k9mail/k-9/releases","show")</f>
        <v>show</v>
      </c>
    </row>
    <row r="3498" spans="1:6">
      <c r="A3498" t="s">
        <v>10430</v>
      </c>
      <c r="B3498" t="s">
        <v>10431</v>
      </c>
      <c r="C3498" t="s">
        <v>10432</v>
      </c>
      <c r="D3498" t="str">
        <f>HYPERLINK("https://github.com/dedis/popstellar/issues/881","show")</f>
        <v>show</v>
      </c>
      <c r="E3498" t="str">
        <f>HYPERLINK("https://github.com/dedis/popstellar","show")</f>
        <v>show</v>
      </c>
      <c r="F3498" t="str">
        <f>HYPERLINK("https://github.com/dedis/popstellar/releases","show")</f>
        <v>show</v>
      </c>
    </row>
    <row r="3499" spans="1:6">
      <c r="A3499" t="s">
        <v>10433</v>
      </c>
      <c r="B3499" t="s">
        <v>10434</v>
      </c>
      <c r="C3499" t="s">
        <v>10435</v>
      </c>
      <c r="D3499" t="str">
        <f>HYPERLINK("https://github.com/TeamNewPipe/NewPipe/issues/8060","show")</f>
        <v>show</v>
      </c>
      <c r="E3499" t="str">
        <f>HYPERLINK("https://github.com/TeamNewPipe/NewPipe","show")</f>
        <v>show</v>
      </c>
      <c r="F3499" t="str">
        <f>HYPERLINK("https://github.com/TeamNewPipe/NewPipe/releases","show")</f>
        <v>show</v>
      </c>
    </row>
    <row r="3500" spans="1:6">
      <c r="A3500" t="s">
        <v>10436</v>
      </c>
      <c r="B3500" t="s">
        <v>10437</v>
      </c>
      <c r="C3500" t="s">
        <v>10438</v>
      </c>
      <c r="D3500" t="str">
        <f>HYPERLINK("https://github.com/itsaky/AndroidIDE/issues/126","show")</f>
        <v>show</v>
      </c>
      <c r="E3500" t="str">
        <f>HYPERLINK("https://github.com/itsaky/AndroidIDE","show")</f>
        <v>show</v>
      </c>
      <c r="F3500" t="str">
        <f>HYPERLINK("https://github.com/itsaky/AndroidIDE/releases","show")</f>
        <v>show</v>
      </c>
    </row>
    <row r="3501" spans="1:6">
      <c r="A3501" t="s">
        <v>10439</v>
      </c>
      <c r="B3501" t="s">
        <v>10440</v>
      </c>
      <c r="C3501" t="s">
        <v>10441</v>
      </c>
      <c r="D3501" t="str">
        <f>HYPERLINK("https://github.com/TeamNewPipe/NewPipe/issues/8058","show")</f>
        <v>show</v>
      </c>
      <c r="E3501" t="str">
        <f>HYPERLINK("https://github.com/TeamNewPipe/NewPipe","show")</f>
        <v>show</v>
      </c>
      <c r="F3501" t="str">
        <f>HYPERLINK("https://github.com/TeamNewPipe/NewPipe/releases","show")</f>
        <v>show</v>
      </c>
    </row>
    <row r="3502" spans="1:6">
      <c r="A3502" t="s">
        <v>10442</v>
      </c>
      <c r="B3502" t="s">
        <v>10443</v>
      </c>
      <c r="C3502" t="s">
        <v>10444</v>
      </c>
      <c r="D3502" t="str">
        <f>HYPERLINK("https://github.com/microsoft/appcenter-sdk-android/issues/1610","show")</f>
        <v>show</v>
      </c>
      <c r="E3502" t="str">
        <f>HYPERLINK("https://github.com/microsoft/appcenter-sdk-android","show")</f>
        <v>show</v>
      </c>
      <c r="F3502" t="str">
        <f>HYPERLINK("https://github.com/microsoft/appcenter-sdk-android/releases","show")</f>
        <v>show</v>
      </c>
    </row>
    <row r="3503" spans="1:6">
      <c r="A3503" t="s">
        <v>10445</v>
      </c>
      <c r="B3503" t="s">
        <v>10446</v>
      </c>
      <c r="C3503" t="s">
        <v>10447</v>
      </c>
      <c r="D3503" t="str">
        <f>HYPERLINK("https://github.com/TeamNewPipe/NewPipe/issues/8054","show")</f>
        <v>show</v>
      </c>
      <c r="E3503" t="str">
        <f>HYPERLINK("https://github.com/TeamNewPipe/NewPipe","show")</f>
        <v>show</v>
      </c>
      <c r="F3503" t="str">
        <f>HYPERLINK("https://github.com/TeamNewPipe/NewPipe/releases","show")</f>
        <v>show</v>
      </c>
    </row>
    <row r="3504" spans="1:6">
      <c r="A3504" t="s">
        <v>10448</v>
      </c>
      <c r="B3504" t="s">
        <v>10449</v>
      </c>
      <c r="C3504" t="s">
        <v>10450</v>
      </c>
      <c r="D3504" t="str">
        <f>HYPERLINK("https://github.com/itsaky/AndroidIDE/issues/124","show")</f>
        <v>show</v>
      </c>
      <c r="E3504" t="str">
        <f>HYPERLINK("https://github.com/itsaky/AndroidIDE","show")</f>
        <v>show</v>
      </c>
      <c r="F3504" t="str">
        <f>HYPERLINK("https://github.com/itsaky/AndroidIDE/releases","show")</f>
        <v>show</v>
      </c>
    </row>
    <row r="3505" spans="1:6">
      <c r="A3505" t="s">
        <v>10451</v>
      </c>
      <c r="B3505" t="s">
        <v>10452</v>
      </c>
      <c r="C3505" t="s">
        <v>10453</v>
      </c>
      <c r="D3505" t="str">
        <f>HYPERLINK("https://github.com/Azure/azure-iot-sdk-java/issues/1492","show")</f>
        <v>show</v>
      </c>
      <c r="E3505" t="str">
        <f>HYPERLINK("https://github.com/Azure/azure-iot-sdk-java","show")</f>
        <v>show</v>
      </c>
      <c r="F3505" t="str">
        <f>HYPERLINK("https://github.com/Azure/azure-iot-sdk-java/releases","show")</f>
        <v>show</v>
      </c>
    </row>
    <row r="3506" spans="1:6">
      <c r="A3506" t="s">
        <v>10454</v>
      </c>
      <c r="B3506" t="s">
        <v>10455</v>
      </c>
      <c r="C3506" t="s">
        <v>10456</v>
      </c>
      <c r="D3506" t="str">
        <f>HYPERLINK("https://github.com/jzy3d/jogl/issues/24","show")</f>
        <v>show</v>
      </c>
      <c r="E3506" t="str">
        <f>HYPERLINK("https://github.com/jzy3d/jogl","show")</f>
        <v>show</v>
      </c>
      <c r="F3506" t="str">
        <f>HYPERLINK("https://github.com/jzy3d/jogl/releases","show")</f>
        <v>show</v>
      </c>
    </row>
    <row r="3507" spans="1:6">
      <c r="A3507" t="s">
        <v>10457</v>
      </c>
      <c r="B3507" t="s">
        <v>10458</v>
      </c>
      <c r="C3507" t="s">
        <v>10459</v>
      </c>
      <c r="D3507" t="str">
        <f>HYPERLINK("https://github.com/CMPUT301W22T02/explQRer/issues/67","show")</f>
        <v>show</v>
      </c>
      <c r="E3507" t="str">
        <f>HYPERLINK("https://github.com/CMPUT301W22T02/explQRer","show")</f>
        <v>show</v>
      </c>
      <c r="F3507" t="str">
        <f>HYPERLINK("https://github.com/CMPUT301W22T02/explQRer/releases","show")</f>
        <v>show</v>
      </c>
    </row>
    <row r="3508" spans="1:6">
      <c r="A3508" t="s">
        <v>10460</v>
      </c>
      <c r="B3508" t="s">
        <v>10461</v>
      </c>
      <c r="C3508" t="s">
        <v>10462</v>
      </c>
      <c r="D3508" t="str">
        <f>HYPERLINK("https://github.com/jellyfin/jellyfin-androidtv/issues/1526","show")</f>
        <v>show</v>
      </c>
      <c r="E3508" t="str">
        <f>HYPERLINK("https://github.com/jellyfin/jellyfin-androidtv","show")</f>
        <v>show</v>
      </c>
      <c r="F3508" t="str">
        <f>HYPERLINK("https://github.com/jellyfin/jellyfin-androidtv/releases","show")</f>
        <v>show</v>
      </c>
    </row>
    <row r="3509" spans="1:6">
      <c r="A3509" t="s">
        <v>10463</v>
      </c>
      <c r="B3509" t="s">
        <v>10464</v>
      </c>
      <c r="C3509" t="s">
        <v>10465</v>
      </c>
      <c r="D3509" t="str">
        <f>HYPERLINK("https://github.com/SceneView/sceneview-android/issues/45","show")</f>
        <v>show</v>
      </c>
      <c r="E3509" t="str">
        <f>HYPERLINK("https://github.com/SceneView/sceneview-android","show")</f>
        <v>show</v>
      </c>
      <c r="F3509" t="str">
        <f>HYPERLINK("https://github.com/SceneView/sceneview-android/releases","show")</f>
        <v>show</v>
      </c>
    </row>
    <row r="3510" spans="1:6">
      <c r="A3510" t="s">
        <v>10466</v>
      </c>
      <c r="B3510" t="s">
        <v>10467</v>
      </c>
      <c r="C3510" t="s">
        <v>10468</v>
      </c>
      <c r="D3510" t="str">
        <f>HYPERLINK("https://github.com/CMPUT301W22T02/explQRer/issues/66","show")</f>
        <v>show</v>
      </c>
      <c r="E3510" t="str">
        <f>HYPERLINK("https://github.com/CMPUT301W22T02/explQRer","show")</f>
        <v>show</v>
      </c>
      <c r="F3510" t="str">
        <f>HYPERLINK("https://github.com/CMPUT301W22T02/explQRer/releases","show")</f>
        <v>show</v>
      </c>
    </row>
    <row r="3511" spans="1:6">
      <c r="A3511" t="s">
        <v>10469</v>
      </c>
      <c r="B3511" t="s">
        <v>10470</v>
      </c>
      <c r="C3511" t="s">
        <v>10471</v>
      </c>
      <c r="D3511" t="str">
        <f>HYPERLINK("https://github.com/TeamNewPipe/NewPipe/issues/8040","show")</f>
        <v>show</v>
      </c>
      <c r="E3511" t="str">
        <f>HYPERLINK("https://github.com/TeamNewPipe/NewPipe","show")</f>
        <v>show</v>
      </c>
      <c r="F3511" t="str">
        <f>HYPERLINK("https://github.com/TeamNewPipe/NewPipe/releases","show")</f>
        <v>show</v>
      </c>
    </row>
    <row r="3512" spans="1:6">
      <c r="A3512" t="s">
        <v>10472</v>
      </c>
      <c r="B3512" t="s">
        <v>10473</v>
      </c>
      <c r="C3512" t="s">
        <v>10474</v>
      </c>
      <c r="D3512" t="str">
        <f>HYPERLINK("https://github.com/jzy3d/jogl/issues/23","show")</f>
        <v>show</v>
      </c>
      <c r="E3512" t="str">
        <f>HYPERLINK("https://github.com/jzy3d/jogl","show")</f>
        <v>show</v>
      </c>
      <c r="F3512" t="str">
        <f>HYPERLINK("https://github.com/jzy3d/jogl/releases","show")</f>
        <v>show</v>
      </c>
    </row>
    <row r="3513" spans="1:6">
      <c r="A3513" t="s">
        <v>10475</v>
      </c>
      <c r="B3513" t="s">
        <v>10476</v>
      </c>
      <c r="C3513" t="s">
        <v>10477</v>
      </c>
      <c r="D3513" t="str">
        <f>HYPERLINK("https://github.com/CMPUT301W22T02/explQRer/issues/65","show")</f>
        <v>show</v>
      </c>
      <c r="E3513" t="str">
        <f>HYPERLINK("https://github.com/CMPUT301W22T02/explQRer","show")</f>
        <v>show</v>
      </c>
      <c r="F3513" t="str">
        <f>HYPERLINK("https://github.com/CMPUT301W22T02/explQRer/releases","show")</f>
        <v>show</v>
      </c>
    </row>
    <row r="3514" spans="1:6">
      <c r="A3514" t="s">
        <v>10478</v>
      </c>
      <c r="B3514" t="s">
        <v>10479</v>
      </c>
      <c r="C3514" t="s">
        <v>10480</v>
      </c>
      <c r="D3514" t="str">
        <f>HYPERLINK("https://github.com/rm3l/maoni/issues/283","show")</f>
        <v>show</v>
      </c>
      <c r="E3514" t="str">
        <f>HYPERLINK("https://github.com/rm3l/maoni","show")</f>
        <v>show</v>
      </c>
      <c r="F3514" t="str">
        <f>HYPERLINK("https://github.com/rm3l/maoni/releases","show")</f>
        <v>show</v>
      </c>
    </row>
    <row r="3515" spans="1:6">
      <c r="A3515" t="s">
        <v>10481</v>
      </c>
      <c r="B3515" t="s">
        <v>10482</v>
      </c>
      <c r="C3515" t="s">
        <v>10483</v>
      </c>
      <c r="D3515" t="str">
        <f>HYPERLINK("https://github.com/SkyTubeTeam/SkyTube/issues/1033","show")</f>
        <v>show</v>
      </c>
      <c r="E3515" t="str">
        <f>HYPERLINK("https://github.com/SkyTubeTeam/SkyTube","show")</f>
        <v>show</v>
      </c>
      <c r="F3515" t="str">
        <f>HYPERLINK("https://github.com/SkyTubeTeam/SkyTube/releases","show")</f>
        <v>show</v>
      </c>
    </row>
    <row r="3516" spans="1:6">
      <c r="A3516" t="s">
        <v>10484</v>
      </c>
      <c r="B3516" t="s">
        <v>10485</v>
      </c>
      <c r="C3516" t="s">
        <v>10486</v>
      </c>
      <c r="D3516" t="str">
        <f>HYPERLINK("https://github.com/MuntashirAkon/AppManager/issues/705","show")</f>
        <v>show</v>
      </c>
      <c r="E3516" t="str">
        <f>HYPERLINK("https://github.com/MuntashirAkon/AppManager","show")</f>
        <v>show</v>
      </c>
      <c r="F3516" t="str">
        <f>HYPERLINK("https://github.com/MuntashirAkon/AppManager/releases","show")</f>
        <v>show</v>
      </c>
    </row>
    <row r="3517" spans="1:6">
      <c r="A3517" t="s">
        <v>10487</v>
      </c>
      <c r="B3517" t="s">
        <v>10488</v>
      </c>
      <c r="C3517" t="s">
        <v>10489</v>
      </c>
      <c r="D3517" t="str">
        <f>HYPERLINK("https://github.com/OpenTracksApp/OpenTracks/issues/1156","show")</f>
        <v>show</v>
      </c>
      <c r="E3517" t="str">
        <f>HYPERLINK("https://github.com/OpenTracksApp/OpenTracks","show")</f>
        <v>show</v>
      </c>
      <c r="F3517" t="str">
        <f>HYPERLINK("https://github.com/OpenTracksApp/OpenTracks/releases","show")</f>
        <v>show</v>
      </c>
    </row>
    <row r="3518" spans="1:6">
      <c r="A3518" t="s">
        <v>10490</v>
      </c>
      <c r="B3518" t="s">
        <v>10491</v>
      </c>
      <c r="C3518" t="s">
        <v>10492</v>
      </c>
      <c r="D3518" t="str">
        <f>HYPERLINK("https://github.com/PojavLauncherTeam/PojavLauncher/issues/2896","show")</f>
        <v>show</v>
      </c>
      <c r="E3518" t="str">
        <f>HYPERLINK("https://github.com/PojavLauncherTeam/PojavLauncher","show")</f>
        <v>show</v>
      </c>
      <c r="F3518" t="str">
        <f>HYPERLINK("https://github.com/PojavLauncherTeam/PojavLauncher/releases","show")</f>
        <v>show</v>
      </c>
    </row>
    <row r="3519" spans="1:6">
      <c r="A3519" t="s">
        <v>10493</v>
      </c>
      <c r="B3519" t="s">
        <v>10494</v>
      </c>
      <c r="C3519" t="s">
        <v>10495</v>
      </c>
      <c r="D3519" t="str">
        <f>HYPERLINK("https://github.com/PojavLauncherTeam/PojavLauncher/issues/2895","show")</f>
        <v>show</v>
      </c>
      <c r="E3519" t="str">
        <f>HYPERLINK("https://github.com/PojavLauncherTeam/PojavLauncher","show")</f>
        <v>show</v>
      </c>
      <c r="F3519" t="str">
        <f>HYPERLINK("https://github.com/PojavLauncherTeam/PojavLauncher/releases","show")</f>
        <v>show</v>
      </c>
    </row>
    <row r="3520" spans="1:6">
      <c r="A3520" t="s">
        <v>10496</v>
      </c>
      <c r="B3520" t="s">
        <v>10497</v>
      </c>
      <c r="C3520" t="s">
        <v>10498</v>
      </c>
      <c r="D3520" t="str">
        <f>HYPERLINK("https://github.com/nextcloud/android/issues/9962","show")</f>
        <v>show</v>
      </c>
      <c r="E3520" t="str">
        <f>HYPERLINK("https://github.com/nextcloud/android","show")</f>
        <v>show</v>
      </c>
      <c r="F3520" t="str">
        <f>HYPERLINK("https://github.com/nextcloud/android/releases","show")</f>
        <v>show</v>
      </c>
    </row>
    <row r="3521" spans="1:6">
      <c r="A3521" t="s">
        <v>10499</v>
      </c>
      <c r="B3521" t="s">
        <v>10500</v>
      </c>
      <c r="C3521" t="s">
        <v>10501</v>
      </c>
      <c r="D3521" t="str">
        <f>HYPERLINK("https://github.com/OpenSeizureDetector/Android_Pebble_SD/issues/48","show")</f>
        <v>show</v>
      </c>
      <c r="E3521" t="str">
        <f>HYPERLINK("https://github.com/OpenSeizureDetector/Android_Pebble_SD","show")</f>
        <v>show</v>
      </c>
      <c r="F3521" t="str">
        <f>HYPERLINK("https://github.com/OpenSeizureDetector/Android_Pebble_SD/releases","show")</f>
        <v>show</v>
      </c>
    </row>
    <row r="3522" spans="1:6">
      <c r="A3522" t="s">
        <v>10502</v>
      </c>
      <c r="B3522" t="s">
        <v>10503</v>
      </c>
      <c r="C3522" t="s">
        <v>10504</v>
      </c>
      <c r="D3522" t="str">
        <f>HYPERLINK("https://github.com/TeamNewPipe/NewPipe/issues/8028","show")</f>
        <v>show</v>
      </c>
      <c r="E3522" t="str">
        <f>HYPERLINK("https://github.com/TeamNewPipe/NewPipe","show")</f>
        <v>show</v>
      </c>
      <c r="F3522" t="str">
        <f>HYPERLINK("https://github.com/TeamNewPipe/NewPipe/releases","show")</f>
        <v>show</v>
      </c>
    </row>
    <row r="3523" spans="1:6">
      <c r="A3523" t="s">
        <v>10505</v>
      </c>
      <c r="B3523" t="s">
        <v>10506</v>
      </c>
      <c r="C3523" t="s">
        <v>10507</v>
      </c>
      <c r="D3523" t="str">
        <f>HYPERLINK("https://github.com/nextcloud/android/issues/9961","show")</f>
        <v>show</v>
      </c>
      <c r="E3523" t="str">
        <f>HYPERLINK("https://github.com/nextcloud/android","show")</f>
        <v>show</v>
      </c>
      <c r="F3523" t="str">
        <f>HYPERLINK("https://github.com/nextcloud/android/releases","show")</f>
        <v>show</v>
      </c>
    </row>
    <row r="3524" spans="1:6">
      <c r="A3524" t="s">
        <v>10508</v>
      </c>
      <c r="B3524" t="s">
        <v>10509</v>
      </c>
      <c r="C3524" t="s">
        <v>10510</v>
      </c>
      <c r="D3524" t="str">
        <f>HYPERLINK("https://github.com/google/ExoPlayer/issues/10060","show")</f>
        <v>show</v>
      </c>
      <c r="E3524" t="str">
        <f>HYPERLINK("https://github.com/google/ExoPlayer","show")</f>
        <v>show</v>
      </c>
      <c r="F3524" t="str">
        <f>HYPERLINK("https://github.com/google/ExoPlayer/releases","show")</f>
        <v>show</v>
      </c>
    </row>
    <row r="3525" spans="1:6">
      <c r="A3525" t="s">
        <v>10511</v>
      </c>
      <c r="B3525" t="s">
        <v>10512</v>
      </c>
      <c r="C3525" t="s">
        <v>10513</v>
      </c>
      <c r="D3525" t="str">
        <f>HYPERLINK("https://github.com/MuntashirAkon/AppManager/issues/701","show")</f>
        <v>show</v>
      </c>
      <c r="E3525" t="str">
        <f>HYPERLINK("https://github.com/MuntashirAkon/AppManager","show")</f>
        <v>show</v>
      </c>
      <c r="F3525" t="str">
        <f>HYPERLINK("https://github.com/MuntashirAkon/AppManager/releases","show")</f>
        <v>show</v>
      </c>
    </row>
    <row r="3526" spans="1:6">
      <c r="A3526" t="s">
        <v>10514</v>
      </c>
      <c r="B3526" t="s">
        <v>10515</v>
      </c>
      <c r="C3526" t="s">
        <v>10516</v>
      </c>
      <c r="D3526" t="str">
        <f>HYPERLINK("https://github.com/PojavLauncherTeam/PojavLauncher/issues/2884","show")</f>
        <v>show</v>
      </c>
      <c r="E3526" t="str">
        <f>HYPERLINK("https://github.com/PojavLauncherTeam/PojavLauncher","show")</f>
        <v>show</v>
      </c>
      <c r="F3526" t="str">
        <f>HYPERLINK("https://github.com/PojavLauncherTeam/PojavLauncher/releases","show")</f>
        <v>show</v>
      </c>
    </row>
    <row r="3527" spans="1:6">
      <c r="A3527" t="s">
        <v>10517</v>
      </c>
      <c r="B3527" t="s">
        <v>10518</v>
      </c>
      <c r="C3527" t="s">
        <v>10519</v>
      </c>
      <c r="D3527" t="str">
        <f>HYPERLINK("https://github.com/xManager-v2/xManager-Spotify/issues/76","show")</f>
        <v>show</v>
      </c>
      <c r="E3527" t="str">
        <f>HYPERLINK("https://github.com/xManager-v2/xManager-Spotify","show")</f>
        <v>show</v>
      </c>
      <c r="F3527" t="str">
        <f>HYPERLINK("https://github.com/xManager-v2/xManager-Spotify/releases","show")</f>
        <v>show</v>
      </c>
    </row>
    <row r="3528" spans="1:6">
      <c r="A3528" t="s">
        <v>10520</v>
      </c>
      <c r="B3528" t="s">
        <v>10521</v>
      </c>
      <c r="C3528" t="s">
        <v>10522</v>
      </c>
      <c r="D3528" t="str">
        <f>HYPERLINK("https://github.com/TeamNewPipe/NewPipe/issues/8015","show")</f>
        <v>show</v>
      </c>
      <c r="E3528" t="str">
        <f>HYPERLINK("https://github.com/TeamNewPipe/NewPipe","show")</f>
        <v>show</v>
      </c>
      <c r="F3528" t="str">
        <f>HYPERLINK("https://github.com/TeamNewPipe/NewPipe/releases","show")</f>
        <v>show</v>
      </c>
    </row>
    <row r="3529" spans="1:6">
      <c r="A3529" t="s">
        <v>10523</v>
      </c>
      <c r="B3529" t="s">
        <v>10524</v>
      </c>
      <c r="C3529" t="s">
        <v>10525</v>
      </c>
      <c r="D3529" t="str">
        <f>HYPERLINK("https://github.com/PojavLauncherTeam/PojavLauncher/issues/2883","show")</f>
        <v>show</v>
      </c>
      <c r="E3529" t="str">
        <f>HYPERLINK("https://github.com/PojavLauncherTeam/PojavLauncher","show")</f>
        <v>show</v>
      </c>
      <c r="F3529" t="str">
        <f>HYPERLINK("https://github.com/PojavLauncherTeam/PojavLauncher/releases","show")</f>
        <v>show</v>
      </c>
    </row>
    <row r="3530" spans="1:6">
      <c r="A3530" t="s">
        <v>10526</v>
      </c>
      <c r="B3530" t="s">
        <v>10527</v>
      </c>
      <c r="C3530" t="s">
        <v>10528</v>
      </c>
      <c r="D3530" t="str">
        <f>HYPERLINK("https://github.com/PojavLauncherTeam/PojavLauncher/issues/2882","show")</f>
        <v>show</v>
      </c>
      <c r="E3530" t="str">
        <f>HYPERLINK("https://github.com/PojavLauncherTeam/PojavLauncher","show")</f>
        <v>show</v>
      </c>
      <c r="F3530" t="str">
        <f>HYPERLINK("https://github.com/PojavLauncherTeam/PojavLauncher/releases","show")</f>
        <v>show</v>
      </c>
    </row>
    <row r="3531" spans="1:6">
      <c r="A3531" t="s">
        <v>10529</v>
      </c>
      <c r="B3531" t="s">
        <v>10530</v>
      </c>
      <c r="C3531" t="s">
        <v>10531</v>
      </c>
      <c r="D3531" t="str">
        <f>HYPERLINK("https://github.com/itsaky/AndroidIDE/issues/117","show")</f>
        <v>show</v>
      </c>
      <c r="E3531" t="str">
        <f>HYPERLINK("https://github.com/itsaky/AndroidIDE","show")</f>
        <v>show</v>
      </c>
      <c r="F3531" t="str">
        <f>HYPERLINK("https://github.com/itsaky/AndroidIDE/releases","show")</f>
        <v>show</v>
      </c>
    </row>
    <row r="3532" spans="1:6">
      <c r="A3532" t="s">
        <v>10532</v>
      </c>
      <c r="B3532" t="s">
        <v>10533</v>
      </c>
      <c r="C3532" t="s">
        <v>10534</v>
      </c>
      <c r="D3532" t="str">
        <f>HYPERLINK("https://github.com/google/ExoPlayer/issues/10057","show")</f>
        <v>show</v>
      </c>
      <c r="E3532" t="str">
        <f>HYPERLINK("https://github.com/google/ExoPlayer","show")</f>
        <v>show</v>
      </c>
      <c r="F3532" t="str">
        <f>HYPERLINK("https://github.com/google/ExoPlayer/releases","show")</f>
        <v>show</v>
      </c>
    </row>
    <row r="3533" spans="1:6">
      <c r="A3533" t="s">
        <v>10535</v>
      </c>
      <c r="B3533" t="s">
        <v>10536</v>
      </c>
      <c r="C3533" t="s">
        <v>10537</v>
      </c>
      <c r="D3533" t="str">
        <f>HYPERLINK("https://github.com/nextcloud/talk-android/issues/1869","show")</f>
        <v>show</v>
      </c>
      <c r="E3533" t="str">
        <f>HYPERLINK("https://github.com/nextcloud/talk-android","show")</f>
        <v>show</v>
      </c>
      <c r="F3533" t="str">
        <f>HYPERLINK("https://github.com/nextcloud/talk-android/releases","show")</f>
        <v>show</v>
      </c>
    </row>
    <row r="3534" spans="1:6">
      <c r="A3534" t="s">
        <v>10538</v>
      </c>
      <c r="B3534" t="s">
        <v>10539</v>
      </c>
      <c r="C3534" t="s">
        <v>10540</v>
      </c>
      <c r="D3534" t="str">
        <f>HYPERLINK("https://github.com/Giua-app/Giua-App/issues/131","show")</f>
        <v>show</v>
      </c>
      <c r="E3534" t="str">
        <f>HYPERLINK("https://github.com/Giua-app/Giua-App","show")</f>
        <v>show</v>
      </c>
      <c r="F3534" t="str">
        <f>HYPERLINK("https://github.com/Giua-app/Giua-App/releases","show")</f>
        <v>show</v>
      </c>
    </row>
    <row r="3535" spans="1:6">
      <c r="A3535" t="s">
        <v>10541</v>
      </c>
      <c r="B3535" t="s">
        <v>10542</v>
      </c>
      <c r="C3535" t="s">
        <v>10543</v>
      </c>
      <c r="D3535" t="str">
        <f>HYPERLINK("https://github.com/PojavLauncherTeam/PojavLauncher/issues/2878","show")</f>
        <v>show</v>
      </c>
      <c r="E3535" t="str">
        <f>HYPERLINK("https://github.com/PojavLauncherTeam/PojavLauncher","show")</f>
        <v>show</v>
      </c>
      <c r="F3535" t="str">
        <f>HYPERLINK("https://github.com/PojavLauncherTeam/PojavLauncher/releases","show")</f>
        <v>show</v>
      </c>
    </row>
    <row r="3536" spans="1:6">
      <c r="A3536" t="s">
        <v>10544</v>
      </c>
      <c r="B3536" t="s">
        <v>10545</v>
      </c>
      <c r="C3536" t="s">
        <v>10546</v>
      </c>
      <c r="D3536" t="str">
        <f>HYPERLINK("https://github.com/PojavLauncherTeam/PojavLauncher/issues/2877","show")</f>
        <v>show</v>
      </c>
      <c r="E3536" t="str">
        <f>HYPERLINK("https://github.com/PojavLauncherTeam/PojavLauncher","show")</f>
        <v>show</v>
      </c>
      <c r="F3536" t="str">
        <f>HYPERLINK("https://github.com/PojavLauncherTeam/PojavLauncher/releases","show")</f>
        <v>show</v>
      </c>
    </row>
    <row r="3537" spans="1:6">
      <c r="A3537" t="s">
        <v>10547</v>
      </c>
      <c r="B3537" t="s">
        <v>10548</v>
      </c>
      <c r="C3537" t="s">
        <v>10549</v>
      </c>
      <c r="D3537" t="str">
        <f>HYPERLINK("https://github.com/doublesymmetry/react-native-track-player/issues/1433","show")</f>
        <v>show</v>
      </c>
      <c r="E3537" t="str">
        <f>HYPERLINK("https://github.com/doublesymmetry/react-native-track-player","show")</f>
        <v>show</v>
      </c>
      <c r="F3537" t="str">
        <f>HYPERLINK("https://github.com/doublesymmetry/react-native-track-player/releases","show")</f>
        <v>show</v>
      </c>
    </row>
    <row r="3538" spans="1:6">
      <c r="A3538" t="s">
        <v>10550</v>
      </c>
      <c r="B3538" t="s">
        <v>10551</v>
      </c>
      <c r="C3538" t="s">
        <v>10552</v>
      </c>
      <c r="D3538" t="str">
        <f>HYPERLINK("https://github.com/cgeo/cgeo/issues/12848","show")</f>
        <v>show</v>
      </c>
      <c r="E3538" t="str">
        <f>HYPERLINK("https://github.com/cgeo/cgeo","show")</f>
        <v>show</v>
      </c>
      <c r="F3538" t="str">
        <f>HYPERLINK("https://github.com/cgeo/cgeo/releases","show")</f>
        <v>show</v>
      </c>
    </row>
    <row r="3539" spans="1:6">
      <c r="A3539" t="s">
        <v>10553</v>
      </c>
      <c r="B3539" t="s">
        <v>10554</v>
      </c>
      <c r="C3539" t="s">
        <v>10555</v>
      </c>
      <c r="D3539" t="str">
        <f>HYPERLINK("https://github.com/cgeo/cgeo/issues/12846","show")</f>
        <v>show</v>
      </c>
      <c r="E3539" t="str">
        <f>HYPERLINK("https://github.com/cgeo/cgeo","show")</f>
        <v>show</v>
      </c>
      <c r="F3539" t="str">
        <f>HYPERLINK("https://github.com/cgeo/cgeo/releases","show")</f>
        <v>show</v>
      </c>
    </row>
    <row r="3540" spans="1:6">
      <c r="A3540" t="s">
        <v>10556</v>
      </c>
      <c r="B3540" t="s">
        <v>10557</v>
      </c>
      <c r="C3540" t="s">
        <v>10558</v>
      </c>
      <c r="D3540" t="str">
        <f>HYPERLINK("https://github.com/cgeo/cgeo/issues/12845","show")</f>
        <v>show</v>
      </c>
      <c r="E3540" t="str">
        <f>HYPERLINK("https://github.com/cgeo/cgeo","show")</f>
        <v>show</v>
      </c>
      <c r="F3540" t="str">
        <f>HYPERLINK("https://github.com/cgeo/cgeo/releases","show")</f>
        <v>show</v>
      </c>
    </row>
    <row r="3541" spans="1:6">
      <c r="A3541" t="s">
        <v>10559</v>
      </c>
      <c r="B3541" t="s">
        <v>10560</v>
      </c>
      <c r="C3541" t="s">
        <v>10561</v>
      </c>
      <c r="D3541" t="str">
        <f>HYPERLINK("https://github.com/JonasBernard/FakeStandby/issues/30","show")</f>
        <v>show</v>
      </c>
      <c r="E3541" t="str">
        <f>HYPERLINK("https://github.com/JonasBernard/FakeStandby","show")</f>
        <v>show</v>
      </c>
      <c r="F3541" t="str">
        <f>HYPERLINK("https://github.com/JonasBernard/FakeStandby/releases","show")</f>
        <v>show</v>
      </c>
    </row>
    <row r="3542" spans="1:6">
      <c r="A3542" t="s">
        <v>10562</v>
      </c>
      <c r="B3542" t="s">
        <v>10563</v>
      </c>
      <c r="C3542" t="s">
        <v>10564</v>
      </c>
      <c r="D3542" t="str">
        <f>HYPERLINK("https://github.com/Anuken/Mindustry/issues/6633","show")</f>
        <v>show</v>
      </c>
      <c r="E3542" t="str">
        <f>HYPERLINK("https://github.com/Anuken/Mindustry","show")</f>
        <v>show</v>
      </c>
      <c r="F3542" t="str">
        <f>HYPERLINK("https://github.com/Anuken/Mindustry/releases","show")</f>
        <v>show</v>
      </c>
    </row>
    <row r="3543" spans="1:6">
      <c r="A3543" t="s">
        <v>10565</v>
      </c>
      <c r="B3543" t="s">
        <v>10566</v>
      </c>
      <c r="C3543" t="s">
        <v>10567</v>
      </c>
      <c r="D3543" t="str">
        <f>HYPERLINK("https://github.com/PojavLauncherTeam/PojavLauncher/issues/2870","show")</f>
        <v>show</v>
      </c>
      <c r="E3543" t="str">
        <f>HYPERLINK("https://github.com/PojavLauncherTeam/PojavLauncher","show")</f>
        <v>show</v>
      </c>
      <c r="F3543" t="str">
        <f>HYPERLINK("https://github.com/PojavLauncherTeam/PojavLauncher/releases","show")</f>
        <v>show</v>
      </c>
    </row>
    <row r="3544" spans="1:6">
      <c r="A3544" t="s">
        <v>10568</v>
      </c>
      <c r="B3544" t="s">
        <v>10569</v>
      </c>
      <c r="C3544" t="s">
        <v>10570</v>
      </c>
      <c r="D3544" t="str">
        <f>HYPERLINK("https://github.com/k9mail/k-9/issues/5953","show")</f>
        <v>show</v>
      </c>
      <c r="E3544" t="str">
        <f>HYPERLINK("https://github.com/k9mail/k-9","show")</f>
        <v>show</v>
      </c>
      <c r="F3544" t="str">
        <f>HYPERLINK("https://github.com/k9mail/k-9/releases","show")</f>
        <v>show</v>
      </c>
    </row>
    <row r="3545" spans="1:6">
      <c r="A3545" t="s">
        <v>10571</v>
      </c>
      <c r="B3545" t="s">
        <v>10572</v>
      </c>
      <c r="C3545" t="s">
        <v>10573</v>
      </c>
      <c r="D3545" t="str">
        <f>HYPERLINK("https://github.com/PojavLauncherTeam/PojavLauncher/issues/2869","show")</f>
        <v>show</v>
      </c>
      <c r="E3545" t="str">
        <f>HYPERLINK("https://github.com/PojavLauncherTeam/PojavLauncher","show")</f>
        <v>show</v>
      </c>
      <c r="F3545" t="str">
        <f>HYPERLINK("https://github.com/PojavLauncherTeam/PojavLauncher/releases","show")</f>
        <v>show</v>
      </c>
    </row>
    <row r="3546" spans="1:6">
      <c r="A3546" t="s">
        <v>10574</v>
      </c>
      <c r="B3546" t="s">
        <v>10575</v>
      </c>
      <c r="C3546" t="s">
        <v>10576</v>
      </c>
      <c r="D3546" t="str">
        <f>HYPERLINK("https://github.com/PojavLauncherTeam/PojavLauncher/issues/2868","show")</f>
        <v>show</v>
      </c>
      <c r="E3546" t="str">
        <f>HYPERLINK("https://github.com/PojavLauncherTeam/PojavLauncher","show")</f>
        <v>show</v>
      </c>
      <c r="F3546" t="str">
        <f>HYPERLINK("https://github.com/PojavLauncherTeam/PojavLauncher/releases","show")</f>
        <v>show</v>
      </c>
    </row>
    <row r="3547" spans="1:6">
      <c r="A3547" t="s">
        <v>10577</v>
      </c>
      <c r="B3547" t="s">
        <v>10578</v>
      </c>
      <c r="C3547" t="s">
        <v>10579</v>
      </c>
      <c r="D3547" t="str">
        <f>HYPERLINK("https://github.com/Anuken/Mindustry/issues/6629","show")</f>
        <v>show</v>
      </c>
      <c r="E3547" t="str">
        <f>HYPERLINK("https://github.com/Anuken/Mindustry","show")</f>
        <v>show</v>
      </c>
      <c r="F3547" t="str">
        <f>HYPERLINK("https://github.com/Anuken/Mindustry/releases","show")</f>
        <v>show</v>
      </c>
    </row>
    <row r="3548" spans="1:6">
      <c r="A3548" t="s">
        <v>10580</v>
      </c>
      <c r="B3548" t="s">
        <v>10581</v>
      </c>
      <c r="C3548" t="s">
        <v>10582</v>
      </c>
      <c r="D3548" t="str">
        <f>HYPERLINK("https://github.com/czlucius/code-scanner/issues/41","show")</f>
        <v>show</v>
      </c>
      <c r="E3548" t="str">
        <f>HYPERLINK("https://github.com/czlucius/code-scanner","show")</f>
        <v>show</v>
      </c>
      <c r="F3548" t="str">
        <f>HYPERLINK("https://github.com/czlucius/code-scanner/releases","show")</f>
        <v>show</v>
      </c>
    </row>
    <row r="3549" spans="1:6">
      <c r="A3549" t="s">
        <v>10583</v>
      </c>
      <c r="B3549" t="s">
        <v>10584</v>
      </c>
      <c r="C3549" t="s">
        <v>10585</v>
      </c>
      <c r="D3549" t="str">
        <f>HYPERLINK("https://github.com/aws-amplify/amplify-android/issues/1676","show")</f>
        <v>show</v>
      </c>
      <c r="E3549" t="str">
        <f>HYPERLINK("https://github.com/aws-amplify/amplify-android","show")</f>
        <v>show</v>
      </c>
      <c r="F3549" t="str">
        <f>HYPERLINK("https://github.com/aws-amplify/amplify-android/releases","show")</f>
        <v>show</v>
      </c>
    </row>
    <row r="3550" spans="1:6">
      <c r="A3550" t="s">
        <v>10586</v>
      </c>
      <c r="B3550" t="s">
        <v>10587</v>
      </c>
      <c r="C3550" t="s">
        <v>10588</v>
      </c>
      <c r="D3550" t="str">
        <f>HYPERLINK("https://github.com/PojavLauncherTeam/PojavLauncher/issues/2864","show")</f>
        <v>show</v>
      </c>
      <c r="E3550" t="str">
        <f>HYPERLINK("https://github.com/PojavLauncherTeam/PojavLauncher","show")</f>
        <v>show</v>
      </c>
      <c r="F3550" t="str">
        <f>HYPERLINK("https://github.com/PojavLauncherTeam/PojavLauncher/releases","show")</f>
        <v>show</v>
      </c>
    </row>
    <row r="3551" spans="1:6">
      <c r="A3551" t="s">
        <v>10589</v>
      </c>
      <c r="B3551" t="s">
        <v>10590</v>
      </c>
      <c r="C3551" t="s">
        <v>10591</v>
      </c>
      <c r="D3551" t="str">
        <f>HYPERLINK("https://github.com/jzy3d/jogl/issues/22","show")</f>
        <v>show</v>
      </c>
      <c r="E3551" t="str">
        <f>HYPERLINK("https://github.com/jzy3d/jogl","show")</f>
        <v>show</v>
      </c>
      <c r="F3551" t="str">
        <f>HYPERLINK("https://github.com/jzy3d/jogl/releases","show")</f>
        <v>show</v>
      </c>
    </row>
    <row r="3552" spans="1:6">
      <c r="A3552" t="s">
        <v>10592</v>
      </c>
      <c r="B3552" t="s">
        <v>10593</v>
      </c>
      <c r="C3552" t="s">
        <v>10594</v>
      </c>
      <c r="D3552" t="str">
        <f>HYPERLINK("https://github.com/jzy3d/jogl/issues/21","show")</f>
        <v>show</v>
      </c>
      <c r="E3552" t="str">
        <f>HYPERLINK("https://github.com/jzy3d/jogl","show")</f>
        <v>show</v>
      </c>
      <c r="F3552" t="str">
        <f>HYPERLINK("https://github.com/jzy3d/jogl/releases","show")</f>
        <v>show</v>
      </c>
    </row>
    <row r="3553" spans="1:6">
      <c r="A3553" t="s">
        <v>10595</v>
      </c>
      <c r="B3553" t="s">
        <v>10596</v>
      </c>
      <c r="C3553" t="s">
        <v>10597</v>
      </c>
      <c r="D3553" t="str">
        <f>HYPERLINK("https://github.com/PojavLauncherTeam/PojavLauncher/issues/2859","show")</f>
        <v>show</v>
      </c>
      <c r="E3553" t="str">
        <f>HYPERLINK("https://github.com/PojavLauncherTeam/PojavLauncher","show")</f>
        <v>show</v>
      </c>
      <c r="F3553" t="str">
        <f>HYPERLINK("https://github.com/PojavLauncherTeam/PojavLauncher/releases","show")</f>
        <v>show</v>
      </c>
    </row>
    <row r="3554" spans="1:6">
      <c r="A3554" t="s">
        <v>10598</v>
      </c>
      <c r="B3554" t="s">
        <v>10599</v>
      </c>
      <c r="C3554" t="s">
        <v>10600</v>
      </c>
      <c r="D3554" t="str">
        <f>HYPERLINK("https://github.com/MuntashirAkon/AppManager/issues/697","show")</f>
        <v>show</v>
      </c>
      <c r="E3554" t="str">
        <f>HYPERLINK("https://github.com/MuntashirAkon/AppManager","show")</f>
        <v>show</v>
      </c>
      <c r="F3554" t="str">
        <f>HYPERLINK("https://github.com/MuntashirAkon/AppManager/releases","show")</f>
        <v>show</v>
      </c>
    </row>
    <row r="3555" spans="1:6">
      <c r="A3555" t="s">
        <v>10601</v>
      </c>
      <c r="B3555" t="s">
        <v>10602</v>
      </c>
      <c r="C3555" t="s">
        <v>10603</v>
      </c>
      <c r="D3555" t="str">
        <f>HYPERLINK("https://github.com/Appboy/appboy-android-sdk/issues/218","show")</f>
        <v>show</v>
      </c>
      <c r="E3555" t="str">
        <f>HYPERLINK("https://github.com/Appboy/appboy-android-sdk","show")</f>
        <v>show</v>
      </c>
      <c r="F3555" t="str">
        <f>HYPERLINK("https://github.com/Appboy/appboy-android-sdk/releases","show")</f>
        <v>show</v>
      </c>
    </row>
    <row r="3556" spans="1:6">
      <c r="A3556" t="s">
        <v>10604</v>
      </c>
      <c r="B3556" t="s">
        <v>10605</v>
      </c>
      <c r="C3556" t="s">
        <v>10606</v>
      </c>
      <c r="D3556" t="str">
        <f>HYPERLINK("https://github.com/androidx/media/issues/51","show")</f>
        <v>show</v>
      </c>
      <c r="E3556" t="str">
        <f>HYPERLINK("https://github.com/androidx/media","show")</f>
        <v>show</v>
      </c>
      <c r="F3556" t="str">
        <f>HYPERLINK("https://github.com/androidx/media/releases","show")</f>
        <v>show</v>
      </c>
    </row>
    <row r="3557" spans="1:6">
      <c r="A3557" t="s">
        <v>10607</v>
      </c>
      <c r="B3557" t="s">
        <v>10608</v>
      </c>
      <c r="C3557" t="s">
        <v>10609</v>
      </c>
      <c r="D3557" t="str">
        <f>HYPERLINK("https://github.com/MuntashirAkon/AppManager/issues/694","show")</f>
        <v>show</v>
      </c>
      <c r="E3557" t="str">
        <f>HYPERLINK("https://github.com/MuntashirAkon/AppManager","show")</f>
        <v>show</v>
      </c>
      <c r="F3557" t="str">
        <f>HYPERLINK("https://github.com/MuntashirAkon/AppManager/releases","show")</f>
        <v>show</v>
      </c>
    </row>
    <row r="3558" spans="1:6">
      <c r="A3558" t="s">
        <v>10610</v>
      </c>
      <c r="B3558" t="s">
        <v>10611</v>
      </c>
      <c r="C3558" t="s">
        <v>10612</v>
      </c>
      <c r="D3558" t="str">
        <f>HYPERLINK("https://github.com/forrestguice/SuntimesWidget/issues/567","show")</f>
        <v>show</v>
      </c>
      <c r="E3558" t="str">
        <f>HYPERLINK("https://github.com/forrestguice/SuntimesWidget","show")</f>
        <v>show</v>
      </c>
      <c r="F3558" t="str">
        <f>HYPERLINK("https://github.com/forrestguice/SuntimesWidget/releases","show")</f>
        <v>show</v>
      </c>
    </row>
    <row r="3559" spans="1:6">
      <c r="A3559" t="s">
        <v>10613</v>
      </c>
      <c r="B3559" t="s">
        <v>10614</v>
      </c>
      <c r="C3559" t="s">
        <v>10615</v>
      </c>
      <c r="D3559" t="str">
        <f>HYPERLINK("https://github.com/connectbot/connectbot/issues/1094","show")</f>
        <v>show</v>
      </c>
      <c r="E3559" t="str">
        <f>HYPERLINK("https://github.com/connectbot/connectbot","show")</f>
        <v>show</v>
      </c>
      <c r="F3559" t="str">
        <f>HYPERLINK("https://github.com/connectbot/connectbot/releases","show")</f>
        <v>show</v>
      </c>
    </row>
    <row r="3560" spans="1:6">
      <c r="A3560" t="s">
        <v>10616</v>
      </c>
      <c r="B3560" t="s">
        <v>10617</v>
      </c>
      <c r="C3560" t="s">
        <v>10618</v>
      </c>
      <c r="D3560" t="str">
        <f>HYPERLINK("https://github.com/TeamNewPipe/NewPipe/issues/7992","show")</f>
        <v>show</v>
      </c>
      <c r="E3560" t="str">
        <f>HYPERLINK("https://github.com/TeamNewPipe/NewPipe","show")</f>
        <v>show</v>
      </c>
      <c r="F3560" t="str">
        <f>HYPERLINK("https://github.com/TeamNewPipe/NewPipe/releases","show")</f>
        <v>show</v>
      </c>
    </row>
    <row r="3561" spans="1:6">
      <c r="A3561" t="s">
        <v>10619</v>
      </c>
      <c r="B3561" t="s">
        <v>10620</v>
      </c>
      <c r="C3561" t="s">
        <v>10621</v>
      </c>
      <c r="D3561" t="str">
        <f>HYPERLINK("https://github.com/ASE-Projekte-WS-2021/ase-ws-21-course-matcher/issues/159","show")</f>
        <v>show</v>
      </c>
      <c r="E3561" t="str">
        <f>HYPERLINK("https://github.com/ASE-Projekte-WS-2021/ase-ws-21-course-matcher","show")</f>
        <v>show</v>
      </c>
      <c r="F3561" t="str">
        <f>HYPERLINK("https://github.com/ASE-Projekte-WS-2021/ase-ws-21-course-matcher/releases","show")</f>
        <v>show</v>
      </c>
    </row>
    <row r="3562" spans="1:6">
      <c r="A3562" t="s">
        <v>10622</v>
      </c>
      <c r="B3562" t="s">
        <v>10623</v>
      </c>
      <c r="C3562" t="s">
        <v>10624</v>
      </c>
      <c r="D3562" t="str">
        <f>HYPERLINK("https://github.com/OpenSeizureDetector/Android_Pebble_SD/issues/43","show")</f>
        <v>show</v>
      </c>
      <c r="E3562" t="str">
        <f>HYPERLINK("https://github.com/OpenSeizureDetector/Android_Pebble_SD","show")</f>
        <v>show</v>
      </c>
      <c r="F3562" t="str">
        <f>HYPERLINK("https://github.com/OpenSeizureDetector/Android_Pebble_SD/releases","show")</f>
        <v>show</v>
      </c>
    </row>
    <row r="3563" spans="1:6">
      <c r="A3563" t="s">
        <v>10625</v>
      </c>
      <c r="B3563" t="s">
        <v>10626</v>
      </c>
      <c r="C3563" t="s">
        <v>10627</v>
      </c>
      <c r="D3563" t="str">
        <f>HYPERLINK("https://github.com/material-components/material-components-android/issues/2590","show")</f>
        <v>show</v>
      </c>
      <c r="E3563" t="str">
        <f>HYPERLINK("https://github.com/material-components/material-components-android","show")</f>
        <v>show</v>
      </c>
      <c r="F3563" t="str">
        <f>HYPERLINK("https://github.com/material-components/material-components-android/releases","show")</f>
        <v>show</v>
      </c>
    </row>
    <row r="3564" spans="1:6">
      <c r="A3564" t="s">
        <v>10628</v>
      </c>
      <c r="B3564" t="s">
        <v>10629</v>
      </c>
      <c r="C3564" t="s">
        <v>10630</v>
      </c>
      <c r="D3564" t="str">
        <f>HYPERLINK("https://github.com/PojavLauncherTeam/PojavLauncher/issues/2850","show")</f>
        <v>show</v>
      </c>
      <c r="E3564" t="str">
        <f>HYPERLINK("https://github.com/PojavLauncherTeam/PojavLauncher","show")</f>
        <v>show</v>
      </c>
      <c r="F3564" t="str">
        <f>HYPERLINK("https://github.com/PojavLauncherTeam/PojavLauncher/releases","show")</f>
        <v>show</v>
      </c>
    </row>
    <row r="3565" spans="1:6">
      <c r="A3565" t="s">
        <v>10631</v>
      </c>
      <c r="B3565" t="s">
        <v>10632</v>
      </c>
      <c r="C3565" t="s">
        <v>10633</v>
      </c>
      <c r="D3565" t="str">
        <f>HYPERLINK("https://github.com/PojavLauncherTeam/PojavLauncher/issues/2848","show")</f>
        <v>show</v>
      </c>
      <c r="E3565" t="str">
        <f>HYPERLINK("https://github.com/PojavLauncherTeam/PojavLauncher","show")</f>
        <v>show</v>
      </c>
      <c r="F3565" t="str">
        <f>HYPERLINK("https://github.com/PojavLauncherTeam/PojavLauncher/releases","show")</f>
        <v>show</v>
      </c>
    </row>
    <row r="3566" spans="1:6">
      <c r="A3566" t="s">
        <v>10634</v>
      </c>
      <c r="B3566" t="s">
        <v>10635</v>
      </c>
      <c r="C3566" t="s">
        <v>10636</v>
      </c>
      <c r="D3566" t="str">
        <f>HYPERLINK("https://github.com/Anuken/Mindustry/issues/6620","show")</f>
        <v>show</v>
      </c>
      <c r="E3566" t="str">
        <f>HYPERLINK("https://github.com/Anuken/Mindustry","show")</f>
        <v>show</v>
      </c>
      <c r="F3566" t="str">
        <f>HYPERLINK("https://github.com/Anuken/Mindustry/releases","show")</f>
        <v>show</v>
      </c>
    </row>
    <row r="3567" spans="1:6">
      <c r="A3567" t="s">
        <v>10637</v>
      </c>
      <c r="B3567" t="s">
        <v>10638</v>
      </c>
      <c r="C3567" t="s">
        <v>10095</v>
      </c>
      <c r="D3567" t="str">
        <f>HYPERLINK("https://github.com/TeamNewPipe/NewPipe-legacy/issues/87","show")</f>
        <v>show</v>
      </c>
      <c r="E3567" t="str">
        <f>HYPERLINK("https://github.com/TeamNewPipe/NewPipe-legacy","show")</f>
        <v>show</v>
      </c>
      <c r="F3567" t="str">
        <f>HYPERLINK("https://github.com/TeamNewPipe/NewPipe-legacy/releases","show")</f>
        <v>show</v>
      </c>
    </row>
    <row r="3568" spans="1:6">
      <c r="A3568" t="s">
        <v>10639</v>
      </c>
      <c r="B3568" t="s">
        <v>10640</v>
      </c>
      <c r="C3568" t="s">
        <v>10641</v>
      </c>
      <c r="D3568" t="str">
        <f>HYPERLINK("https://github.com/maityamit/Tracky-Track-your-goals-or-targets/issues/155","show")</f>
        <v>show</v>
      </c>
      <c r="E3568" t="str">
        <f>HYPERLINK("https://github.com/maityamit/Tracky-Track-your-goals-or-targets","show")</f>
        <v>show</v>
      </c>
      <c r="F3568" t="str">
        <f>HYPERLINK("https://github.com/maityamit/Tracky-Track-your-goals-or-targets/releases","show")</f>
        <v>show</v>
      </c>
    </row>
    <row r="3569" spans="1:6">
      <c r="A3569" t="s">
        <v>10642</v>
      </c>
      <c r="B3569" t="s">
        <v>10643</v>
      </c>
      <c r="C3569" t="s">
        <v>10644</v>
      </c>
      <c r="D3569" t="str">
        <f>HYPERLINK("https://github.com/OpenSeizureDetector/Android_Pebble_SD/issues/40","show")</f>
        <v>show</v>
      </c>
      <c r="E3569" t="str">
        <f>HYPERLINK("https://github.com/OpenSeizureDetector/Android_Pebble_SD","show")</f>
        <v>show</v>
      </c>
      <c r="F3569" t="str">
        <f>HYPERLINK("https://github.com/OpenSeizureDetector/Android_Pebble_SD/releases","show")</f>
        <v>show</v>
      </c>
    </row>
    <row r="3570" spans="1:6">
      <c r="A3570" t="s">
        <v>10645</v>
      </c>
      <c r="B3570" t="s">
        <v>10646</v>
      </c>
      <c r="C3570" t="s">
        <v>10647</v>
      </c>
      <c r="D3570" t="str">
        <f>HYPERLINK("https://github.com/PojavLauncherTeam/PojavLauncher/issues/2842","show")</f>
        <v>show</v>
      </c>
      <c r="E3570" t="str">
        <f>HYPERLINK("https://github.com/PojavLauncherTeam/PojavLauncher","show")</f>
        <v>show</v>
      </c>
      <c r="F3570" t="str">
        <f>HYPERLINK("https://github.com/PojavLauncherTeam/PojavLauncher/releases","show")</f>
        <v>show</v>
      </c>
    </row>
    <row r="3571" spans="1:6">
      <c r="A3571" t="s">
        <v>10648</v>
      </c>
      <c r="B3571" t="s">
        <v>10649</v>
      </c>
      <c r="C3571" t="s">
        <v>10650</v>
      </c>
      <c r="D3571" t="str">
        <f>HYPERLINK("https://github.com/jellyfin/jellyfin-androidtv/issues/1488","show")</f>
        <v>show</v>
      </c>
      <c r="E3571" t="str">
        <f>HYPERLINK("https://github.com/jellyfin/jellyfin-androidtv","show")</f>
        <v>show</v>
      </c>
      <c r="F3571" t="str">
        <f>HYPERLINK("https://github.com/jellyfin/jellyfin-androidtv/releases","show")</f>
        <v>show</v>
      </c>
    </row>
    <row r="3572" spans="1:6">
      <c r="A3572" t="s">
        <v>10651</v>
      </c>
      <c r="B3572" t="s">
        <v>10652</v>
      </c>
      <c r="C3572" t="s">
        <v>10653</v>
      </c>
      <c r="D3572" t="str">
        <f>HYPERLINK("https://github.com/mercadopago/px-android/issues/2667","show")</f>
        <v>show</v>
      </c>
      <c r="E3572" t="str">
        <f>HYPERLINK("https://github.com/mercadopago/px-android","show")</f>
        <v>show</v>
      </c>
      <c r="F3572" t="str">
        <f>HYPERLINK("https://github.com/mercadopago/px-android/releases","show")</f>
        <v>show</v>
      </c>
    </row>
    <row r="3573" spans="1:6">
      <c r="A3573" t="s">
        <v>10654</v>
      </c>
      <c r="B3573" t="s">
        <v>10655</v>
      </c>
      <c r="C3573" t="s">
        <v>10656</v>
      </c>
      <c r="D3573" t="str">
        <f>HYPERLINK("https://github.com/androidx/media/issues/49","show")</f>
        <v>show</v>
      </c>
      <c r="E3573" t="str">
        <f>HYPERLINK("https://github.com/androidx/media","show")</f>
        <v>show</v>
      </c>
      <c r="F3573" t="str">
        <f>HYPERLINK("https://github.com/androidx/media/releases","show")</f>
        <v>show</v>
      </c>
    </row>
    <row r="3574" spans="1:6">
      <c r="A3574" t="s">
        <v>10657</v>
      </c>
      <c r="B3574" t="s">
        <v>10658</v>
      </c>
      <c r="C3574" t="s">
        <v>10659</v>
      </c>
      <c r="D3574" t="str">
        <f>HYPERLINK("https://github.com/MuntashirAkon/AppManager/issues/690","show")</f>
        <v>show</v>
      </c>
      <c r="E3574" t="str">
        <f>HYPERLINK("https://github.com/MuntashirAkon/AppManager","show")</f>
        <v>show</v>
      </c>
      <c r="F3574" t="str">
        <f>HYPERLINK("https://github.com/MuntashirAkon/AppManager/releases","show")</f>
        <v>show</v>
      </c>
    </row>
    <row r="3575" spans="1:6">
      <c r="A3575" t="s">
        <v>10660</v>
      </c>
      <c r="B3575" t="s">
        <v>10661</v>
      </c>
      <c r="C3575" t="s">
        <v>10662</v>
      </c>
      <c r="D3575" t="str">
        <f>HYPERLINK("https://github.com/Azure/azure-iot-sdk-java/issues/1478","show")</f>
        <v>show</v>
      </c>
      <c r="E3575" t="str">
        <f>HYPERLINK("https://github.com/Azure/azure-iot-sdk-java","show")</f>
        <v>show</v>
      </c>
      <c r="F3575" t="str">
        <f>HYPERLINK("https://github.com/Azure/azure-iot-sdk-java/releases","show")</f>
        <v>show</v>
      </c>
    </row>
    <row r="3576" spans="1:6">
      <c r="A3576" t="s">
        <v>10663</v>
      </c>
      <c r="B3576" t="s">
        <v>10664</v>
      </c>
      <c r="C3576" t="s">
        <v>10665</v>
      </c>
      <c r="D3576" t="str">
        <f>HYPERLINK("https://github.com/jMonkeyEngine/jmonkeyengine/issues/1778","show")</f>
        <v>show</v>
      </c>
      <c r="E3576" t="str">
        <f>HYPERLINK("https://github.com/jMonkeyEngine/jmonkeyengine","show")</f>
        <v>show</v>
      </c>
      <c r="F3576" t="str">
        <f>HYPERLINK("https://github.com/jMonkeyEngine/jmonkeyengine/releases","show")</f>
        <v>show</v>
      </c>
    </row>
    <row r="3577" spans="1:6">
      <c r="A3577" t="s">
        <v>10666</v>
      </c>
      <c r="B3577" t="s">
        <v>10667</v>
      </c>
      <c r="C3577" t="s">
        <v>10668</v>
      </c>
      <c r="D3577" t="str">
        <f>HYPERLINK("https://github.com/enviroCar/enviroCar-app/issues/887","show")</f>
        <v>show</v>
      </c>
      <c r="E3577" t="str">
        <f>HYPERLINK("https://github.com/enviroCar/enviroCar-app","show")</f>
        <v>show</v>
      </c>
      <c r="F3577" t="str">
        <f>HYPERLINK("https://github.com/enviroCar/enviroCar-app/releases","show")</f>
        <v>show</v>
      </c>
    </row>
    <row r="3578" spans="1:6">
      <c r="A3578" t="s">
        <v>10669</v>
      </c>
      <c r="B3578" t="s">
        <v>10670</v>
      </c>
      <c r="C3578" t="s">
        <v>10671</v>
      </c>
      <c r="D3578" t="str">
        <f>HYPERLINK("https://github.com/PojavLauncherTeam/PojavLauncher/issues/2837","show")</f>
        <v>show</v>
      </c>
      <c r="E3578" t="str">
        <f>HYPERLINK("https://github.com/PojavLauncherTeam/PojavLauncher","show")</f>
        <v>show</v>
      </c>
      <c r="F3578" t="str">
        <f>HYPERLINK("https://github.com/PojavLauncherTeam/PojavLauncher/releases","show")</f>
        <v>show</v>
      </c>
    </row>
    <row r="3579" spans="1:6">
      <c r="A3579" t="s">
        <v>10672</v>
      </c>
      <c r="B3579" t="s">
        <v>10673</v>
      </c>
      <c r="C3579" t="s">
        <v>10674</v>
      </c>
      <c r="D3579" t="str">
        <f>HYPERLINK("https://github.com/Anuken/Mindustry/issues/6614","show")</f>
        <v>show</v>
      </c>
      <c r="E3579" t="str">
        <f>HYPERLINK("https://github.com/Anuken/Mindustry","show")</f>
        <v>show</v>
      </c>
      <c r="F3579" t="str">
        <f>HYPERLINK("https://github.com/Anuken/Mindustry/releases","show")</f>
        <v>show</v>
      </c>
    </row>
    <row r="3580" spans="1:6">
      <c r="A3580" t="s">
        <v>10675</v>
      </c>
      <c r="B3580" t="s">
        <v>10676</v>
      </c>
      <c r="C3580" t="s">
        <v>10677</v>
      </c>
      <c r="D3580" t="str">
        <f>HYPERLINK("https://github.com/commons-app/apps-android-commons/issues/4878","show")</f>
        <v>show</v>
      </c>
      <c r="E3580" t="str">
        <f>HYPERLINK("https://github.com/commons-app/apps-android-commons","show")</f>
        <v>show</v>
      </c>
      <c r="F3580" t="str">
        <f>HYPERLINK("https://github.com/commons-app/apps-android-commons/releases","show")</f>
        <v>show</v>
      </c>
    </row>
    <row r="3581" spans="1:6">
      <c r="A3581" t="s">
        <v>10678</v>
      </c>
      <c r="B3581" t="s">
        <v>10679</v>
      </c>
      <c r="C3581" t="s">
        <v>10680</v>
      </c>
      <c r="D3581" t="str">
        <f>HYPERLINK("https://github.com/inaturalist/iNaturalistAndroid/issues/1190","show")</f>
        <v>show</v>
      </c>
      <c r="E3581" t="str">
        <f>HYPERLINK("https://github.com/inaturalist/iNaturalistAndroid","show")</f>
        <v>show</v>
      </c>
      <c r="F3581" t="str">
        <f>HYPERLINK("https://github.com/inaturalist/iNaturalistAndroid/releases","show")</f>
        <v>show</v>
      </c>
    </row>
    <row r="3582" spans="1:6">
      <c r="A3582" t="s">
        <v>10681</v>
      </c>
      <c r="B3582" t="s">
        <v>10682</v>
      </c>
      <c r="C3582" t="s">
        <v>10683</v>
      </c>
      <c r="D3582" t="str">
        <f>HYPERLINK("https://github.com/dedis/popstellar/issues/853","show")</f>
        <v>show</v>
      </c>
      <c r="E3582" t="str">
        <f>HYPERLINK("https://github.com/dedis/popstellar","show")</f>
        <v>show</v>
      </c>
      <c r="F3582" t="str">
        <f>HYPERLINK("https://github.com/dedis/popstellar/releases","show")</f>
        <v>show</v>
      </c>
    </row>
    <row r="3583" spans="1:6">
      <c r="A3583" t="s">
        <v>10684</v>
      </c>
      <c r="B3583" t="s">
        <v>10685</v>
      </c>
      <c r="C3583" t="s">
        <v>10686</v>
      </c>
      <c r="D3583" t="str">
        <f>HYPERLINK("https://github.com/TeamNewPipe/NewPipe/issues/7977","show")</f>
        <v>show</v>
      </c>
      <c r="E3583" t="str">
        <f>HYPERLINK("https://github.com/TeamNewPipe/NewPipe","show")</f>
        <v>show</v>
      </c>
      <c r="F3583" t="str">
        <f>HYPERLINK("https://github.com/TeamNewPipe/NewPipe/releases","show")</f>
        <v>show</v>
      </c>
    </row>
    <row r="3584" spans="1:6">
      <c r="A3584" t="s">
        <v>10687</v>
      </c>
      <c r="B3584" t="s">
        <v>10688</v>
      </c>
      <c r="C3584" t="s">
        <v>10689</v>
      </c>
      <c r="D3584" t="str">
        <f>HYPERLINK("https://github.com/PojavLauncherTeam/PojavLauncher/issues/2835","show")</f>
        <v>show</v>
      </c>
      <c r="E3584" t="str">
        <f>HYPERLINK("https://github.com/PojavLauncherTeam/PojavLauncher","show")</f>
        <v>show</v>
      </c>
      <c r="F3584" t="str">
        <f>HYPERLINK("https://github.com/PojavLauncherTeam/PojavLauncher/releases","show")</f>
        <v>show</v>
      </c>
    </row>
    <row r="3585" spans="1:6">
      <c r="A3585" t="s">
        <v>10690</v>
      </c>
      <c r="B3585" t="s">
        <v>10691</v>
      </c>
      <c r="C3585" t="s">
        <v>10692</v>
      </c>
      <c r="D3585" t="str">
        <f>HYPERLINK("https://github.com/itsaky/AndroidIDE/issues/109","show")</f>
        <v>show</v>
      </c>
      <c r="E3585" t="str">
        <f>HYPERLINK("https://github.com/itsaky/AndroidIDE","show")</f>
        <v>show</v>
      </c>
      <c r="F3585" t="str">
        <f>HYPERLINK("https://github.com/itsaky/AndroidIDE/releases","show")</f>
        <v>show</v>
      </c>
    </row>
    <row r="3586" spans="1:6">
      <c r="A3586" t="s">
        <v>10693</v>
      </c>
      <c r="B3586" t="s">
        <v>10694</v>
      </c>
      <c r="C3586" t="s">
        <v>10695</v>
      </c>
      <c r="D3586" t="str">
        <f>HYPERLINK("https://github.com/PojavLauncherTeam/PojavLauncher/issues/2833","show")</f>
        <v>show</v>
      </c>
      <c r="E3586" t="str">
        <f>HYPERLINK("https://github.com/PojavLauncherTeam/PojavLauncher","show")</f>
        <v>show</v>
      </c>
      <c r="F3586" t="str">
        <f>HYPERLINK("https://github.com/PojavLauncherTeam/PojavLauncher/releases","show")</f>
        <v>show</v>
      </c>
    </row>
    <row r="3587" spans="1:6">
      <c r="A3587" t="s">
        <v>10696</v>
      </c>
      <c r="B3587" t="s">
        <v>10697</v>
      </c>
      <c r="C3587" t="s">
        <v>10698</v>
      </c>
      <c r="D3587" t="str">
        <f>HYPERLINK("https://github.com/PojavLauncherTeam/PojavLauncher/issues/2832","show")</f>
        <v>show</v>
      </c>
      <c r="E3587" t="str">
        <f>HYPERLINK("https://github.com/PojavLauncherTeam/PojavLauncher","show")</f>
        <v>show</v>
      </c>
      <c r="F3587" t="str">
        <f>HYPERLINK("https://github.com/PojavLauncherTeam/PojavLauncher/releases","show")</f>
        <v>show</v>
      </c>
    </row>
    <row r="3588" spans="1:6">
      <c r="A3588" t="s">
        <v>10699</v>
      </c>
      <c r="B3588" t="s">
        <v>10700</v>
      </c>
      <c r="C3588" t="s">
        <v>10701</v>
      </c>
      <c r="D3588" t="str">
        <f>HYPERLINK("https://github.com/PojavLauncherTeam/PojavLauncher/issues/2831","show")</f>
        <v>show</v>
      </c>
      <c r="E3588" t="str">
        <f>HYPERLINK("https://github.com/PojavLauncherTeam/PojavLauncher","show")</f>
        <v>show</v>
      </c>
      <c r="F3588" t="str">
        <f>HYPERLINK("https://github.com/PojavLauncherTeam/PojavLauncher/releases","show")</f>
        <v>show</v>
      </c>
    </row>
    <row r="3589" spans="1:6">
      <c r="A3589" t="s">
        <v>10702</v>
      </c>
      <c r="B3589" t="s">
        <v>10703</v>
      </c>
      <c r="C3589" t="s">
        <v>10704</v>
      </c>
      <c r="D3589" t="str">
        <f>HYPERLINK("https://github.com/microsoft/accessibility-insights-for-android-service/issues/150","show")</f>
        <v>show</v>
      </c>
      <c r="E3589" t="str">
        <f>HYPERLINK("https://github.com/microsoft/accessibility-insights-for-android-service","show")</f>
        <v>show</v>
      </c>
      <c r="F3589" t="str">
        <f>HYPERLINK("https://github.com/microsoft/accessibility-insights-for-android-service/releases","show")</f>
        <v>show</v>
      </c>
    </row>
    <row r="3590" spans="1:6">
      <c r="A3590" t="s">
        <v>10705</v>
      </c>
      <c r="B3590" t="s">
        <v>10706</v>
      </c>
      <c r="C3590" t="s">
        <v>10707</v>
      </c>
      <c r="D3590" t="str">
        <f>HYPERLINK("https://github.com/therealsujitk/android-vtop-chennai/issues/18","show")</f>
        <v>show</v>
      </c>
      <c r="E3590" t="str">
        <f>HYPERLINK("https://github.com/therealsujitk/android-vtop-chennai","show")</f>
        <v>show</v>
      </c>
      <c r="F3590" t="str">
        <f>HYPERLINK("https://github.com/therealsujitk/android-vtop-chennai/releases","show")</f>
        <v>show</v>
      </c>
    </row>
    <row r="3591" spans="1:6">
      <c r="A3591" t="s">
        <v>10708</v>
      </c>
      <c r="B3591" t="s">
        <v>10709</v>
      </c>
      <c r="C3591" t="s">
        <v>10710</v>
      </c>
      <c r="D3591" t="str">
        <f>HYPERLINK("https://github.com/CMPUT301W22T23/QR-Code-Game/issues/45","show")</f>
        <v>show</v>
      </c>
      <c r="E3591" t="str">
        <f>HYPERLINK("https://github.com/CMPUT301W22T23/QR-Code-Game","show")</f>
        <v>show</v>
      </c>
      <c r="F3591" t="str">
        <f>HYPERLINK("https://github.com/CMPUT301W22T23/QR-Code-Game/releases","show")</f>
        <v>show</v>
      </c>
    </row>
    <row r="3592" spans="1:6">
      <c r="A3592" t="s">
        <v>10711</v>
      </c>
      <c r="B3592" t="s">
        <v>10712</v>
      </c>
      <c r="C3592" t="s">
        <v>10713</v>
      </c>
      <c r="D3592" t="str">
        <f>HYPERLINK("https://github.com/material-components/material-components-android/issues/2585","show")</f>
        <v>show</v>
      </c>
      <c r="E3592" t="str">
        <f>HYPERLINK("https://github.com/material-components/material-components-android","show")</f>
        <v>show</v>
      </c>
      <c r="F3592" t="str">
        <f>HYPERLINK("https://github.com/material-components/material-components-android/releases","show")</f>
        <v>show</v>
      </c>
    </row>
    <row r="3593" spans="1:6">
      <c r="A3593" t="s">
        <v>10714</v>
      </c>
      <c r="B3593" t="s">
        <v>10715</v>
      </c>
      <c r="C3593" t="s">
        <v>10716</v>
      </c>
      <c r="D3593" t="str">
        <f>HYPERLINK("https://github.com/jellyfin/jellyfin-androidtv/issues/1478","show")</f>
        <v>show</v>
      </c>
      <c r="E3593" t="str">
        <f>HYPERLINK("https://github.com/jellyfin/jellyfin-androidtv","show")</f>
        <v>show</v>
      </c>
      <c r="F3593" t="str">
        <f>HYPERLINK("https://github.com/jellyfin/jellyfin-androidtv/releases","show")</f>
        <v>show</v>
      </c>
    </row>
    <row r="3594" spans="1:6">
      <c r="A3594" t="s">
        <v>10717</v>
      </c>
      <c r="B3594" t="s">
        <v>10718</v>
      </c>
      <c r="C3594" t="s">
        <v>10719</v>
      </c>
      <c r="D3594" t="str">
        <f>HYPERLINK("https://github.com/PojavLauncherTeam/PojavLauncher/issues/2826","show")</f>
        <v>show</v>
      </c>
      <c r="E3594" t="str">
        <f>HYPERLINK("https://github.com/PojavLauncherTeam/PojavLauncher","show")</f>
        <v>show</v>
      </c>
      <c r="F3594" t="str">
        <f>HYPERLINK("https://github.com/PojavLauncherTeam/PojavLauncher/releases","show")</f>
        <v>show</v>
      </c>
    </row>
    <row r="3595" spans="1:6">
      <c r="A3595" t="s">
        <v>10720</v>
      </c>
      <c r="B3595" t="s">
        <v>10721</v>
      </c>
      <c r="C3595" t="s">
        <v>10722</v>
      </c>
      <c r="D3595" t="str">
        <f>HYPERLINK("https://github.com/Blankj/AndroidUtilCode/issues/1613","show")</f>
        <v>show</v>
      </c>
      <c r="E3595" t="str">
        <f>HYPERLINK("https://github.com/Blankj/AndroidUtilCode","show")</f>
        <v>show</v>
      </c>
      <c r="F3595" t="str">
        <f>HYPERLINK("https://github.com/Blankj/AndroidUtilCode/releases","show")</f>
        <v>show</v>
      </c>
    </row>
    <row r="3596" spans="1:6">
      <c r="A3596" t="s">
        <v>10723</v>
      </c>
      <c r="B3596" t="s">
        <v>10724</v>
      </c>
      <c r="C3596" t="s">
        <v>10725</v>
      </c>
      <c r="D3596" t="str">
        <f>HYPERLINK("https://github.com/PojavLauncherTeam/PojavLauncher/issues/2825","show")</f>
        <v>show</v>
      </c>
      <c r="E3596" t="str">
        <f>HYPERLINK("https://github.com/PojavLauncherTeam/PojavLauncher","show")</f>
        <v>show</v>
      </c>
      <c r="F3596" t="str">
        <f>HYPERLINK("https://github.com/PojavLauncherTeam/PojavLauncher/releases","show")</f>
        <v>show</v>
      </c>
    </row>
    <row r="3597" spans="1:6">
      <c r="A3597" t="s">
        <v>10726</v>
      </c>
      <c r="B3597" t="s">
        <v>10727</v>
      </c>
      <c r="C3597" t="s">
        <v>10728</v>
      </c>
      <c r="D3597" t="str">
        <f>HYPERLINK("https://github.com/cgeo/cgeo/issues/12813","show")</f>
        <v>show</v>
      </c>
      <c r="E3597" t="str">
        <f>HYPERLINK("https://github.com/cgeo/cgeo","show")</f>
        <v>show</v>
      </c>
      <c r="F3597" t="str">
        <f>HYPERLINK("https://github.com/cgeo/cgeo/releases","show")</f>
        <v>show</v>
      </c>
    </row>
    <row r="3598" spans="1:6">
      <c r="A3598" t="s">
        <v>10729</v>
      </c>
      <c r="B3598" t="s">
        <v>10730</v>
      </c>
      <c r="C3598" t="s">
        <v>10731</v>
      </c>
      <c r="D3598" t="str">
        <f>HYPERLINK("https://github.com/MuntashirAkon/AppManager/issues/687","show")</f>
        <v>show</v>
      </c>
      <c r="E3598" t="str">
        <f>HYPERLINK("https://github.com/MuntashirAkon/AppManager","show")</f>
        <v>show</v>
      </c>
      <c r="F3598" t="str">
        <f>HYPERLINK("https://github.com/MuntashirAkon/AppManager/releases","show")</f>
        <v>show</v>
      </c>
    </row>
    <row r="3599" spans="1:6">
      <c r="A3599" t="s">
        <v>10732</v>
      </c>
      <c r="B3599" t="s">
        <v>10733</v>
      </c>
      <c r="C3599" t="s">
        <v>10734</v>
      </c>
      <c r="D3599" t="str">
        <f>HYPERLINK("https://github.com/openboard-team/openboard/issues/551","show")</f>
        <v>show</v>
      </c>
      <c r="E3599" t="str">
        <f>HYPERLINK("https://github.com/openboard-team/openboard","show")</f>
        <v>show</v>
      </c>
      <c r="F3599" t="str">
        <f>HYPERLINK("https://github.com/openboard-team/openboard/releases","show")</f>
        <v>show</v>
      </c>
    </row>
    <row r="3600" spans="1:6">
      <c r="A3600" t="s">
        <v>10735</v>
      </c>
      <c r="B3600" t="s">
        <v>10736</v>
      </c>
      <c r="C3600" t="s">
        <v>10737</v>
      </c>
      <c r="D3600" t="str">
        <f>HYPERLINK("https://github.com/PojavLauncherTeam/PojavLauncher/issues/2820","show")</f>
        <v>show</v>
      </c>
      <c r="E3600" t="str">
        <f>HYPERLINK("https://github.com/PojavLauncherTeam/PojavLauncher","show")</f>
        <v>show</v>
      </c>
      <c r="F3600" t="str">
        <f>HYPERLINK("https://github.com/PojavLauncherTeam/PojavLauncher/releases","show")</f>
        <v>show</v>
      </c>
    </row>
    <row r="3601" spans="1:6">
      <c r="A3601" t="s">
        <v>10738</v>
      </c>
      <c r="B3601" t="s">
        <v>10739</v>
      </c>
      <c r="C3601" t="s">
        <v>10740</v>
      </c>
      <c r="D3601" t="str">
        <f>HYPERLINK("https://github.com/PojavLauncherTeam/PojavLauncher/issues/2819","show")</f>
        <v>show</v>
      </c>
      <c r="E3601" t="str">
        <f>HYPERLINK("https://github.com/PojavLauncherTeam/PojavLauncher","show")</f>
        <v>show</v>
      </c>
      <c r="F3601" t="str">
        <f>HYPERLINK("https://github.com/PojavLauncherTeam/PojavLauncher/releases","show")</f>
        <v>show</v>
      </c>
    </row>
    <row r="3602" spans="1:6">
      <c r="A3602" t="s">
        <v>10741</v>
      </c>
      <c r="B3602" t="s">
        <v>10742</v>
      </c>
      <c r="C3602" t="s">
        <v>10743</v>
      </c>
      <c r="D3602" t="str">
        <f>HYPERLINK("https://github.com/Anuken/Mindustry/issues/6605","show")</f>
        <v>show</v>
      </c>
      <c r="E3602" t="str">
        <f>HYPERLINK("https://github.com/Anuken/Mindustry","show")</f>
        <v>show</v>
      </c>
      <c r="F3602" t="str">
        <f>HYPERLINK("https://github.com/Anuken/Mindustry/releases","show")</f>
        <v>show</v>
      </c>
    </row>
    <row r="3603" spans="1:6">
      <c r="A3603" t="s">
        <v>10744</v>
      </c>
      <c r="B3603" t="s">
        <v>10745</v>
      </c>
      <c r="C3603" t="s">
        <v>10746</v>
      </c>
      <c r="D3603" t="str">
        <f>HYPERLINK("https://github.com/SkyTubeTeam/SkyTube/issues/1032","show")</f>
        <v>show</v>
      </c>
      <c r="E3603" t="str">
        <f>HYPERLINK("https://github.com/SkyTubeTeam/SkyTube","show")</f>
        <v>show</v>
      </c>
      <c r="F3603" t="str">
        <f>HYPERLINK("https://github.com/SkyTubeTeam/SkyTube/releases","show")</f>
        <v>show</v>
      </c>
    </row>
    <row r="3604" spans="1:6">
      <c r="A3604" t="s">
        <v>10747</v>
      </c>
      <c r="B3604" t="s">
        <v>10748</v>
      </c>
      <c r="C3604" t="s">
        <v>10749</v>
      </c>
      <c r="D3604" t="str">
        <f>HYPERLINK("https://github.com/PojavLauncherTeam/PojavLauncher/issues/2808","show")</f>
        <v>show</v>
      </c>
      <c r="E3604" t="str">
        <f>HYPERLINK("https://github.com/PojavLauncherTeam/PojavLauncher","show")</f>
        <v>show</v>
      </c>
      <c r="F3604" t="str">
        <f>HYPERLINK("https://github.com/PojavLauncherTeam/PojavLauncher/releases","show")</f>
        <v>show</v>
      </c>
    </row>
    <row r="3605" spans="1:6">
      <c r="A3605" t="s">
        <v>10750</v>
      </c>
      <c r="B3605" t="s">
        <v>10751</v>
      </c>
      <c r="C3605" t="s">
        <v>10752</v>
      </c>
      <c r="D3605" t="str">
        <f>HYPERLINK("https://github.com/doublesymmetry/react-native-track-player/issues/1420","show")</f>
        <v>show</v>
      </c>
      <c r="E3605" t="str">
        <f>HYPERLINK("https://github.com/doublesymmetry/react-native-track-player","show")</f>
        <v>show</v>
      </c>
      <c r="F3605" t="str">
        <f>HYPERLINK("https://github.com/doublesymmetry/react-native-track-player/releases","show")</f>
        <v>show</v>
      </c>
    </row>
    <row r="3606" spans="1:6">
      <c r="A3606" t="s">
        <v>10753</v>
      </c>
      <c r="B3606" t="s">
        <v>10754</v>
      </c>
      <c r="C3606" t="s">
        <v>10755</v>
      </c>
      <c r="D3606" t="str">
        <f>HYPERLINK("https://github.com/PojavLauncherTeam/PojavLauncher/issues/2807","show")</f>
        <v>show</v>
      </c>
      <c r="E3606" t="str">
        <f>HYPERLINK("https://github.com/PojavLauncherTeam/PojavLauncher","show")</f>
        <v>show</v>
      </c>
      <c r="F3606" t="str">
        <f>HYPERLINK("https://github.com/PojavLauncherTeam/PojavLauncher/releases","show")</f>
        <v>show</v>
      </c>
    </row>
    <row r="3607" spans="1:6">
      <c r="A3607" t="s">
        <v>10756</v>
      </c>
      <c r="B3607" t="s">
        <v>10757</v>
      </c>
      <c r="C3607" t="s">
        <v>10758</v>
      </c>
      <c r="D3607" t="str">
        <f>HYPERLINK("https://github.com/PojavLauncherTeam/PojavLauncher/issues/2805","show")</f>
        <v>show</v>
      </c>
      <c r="E3607" t="str">
        <f>HYPERLINK("https://github.com/PojavLauncherTeam/PojavLauncher","show")</f>
        <v>show</v>
      </c>
      <c r="F3607" t="str">
        <f>HYPERLINK("https://github.com/PojavLauncherTeam/PojavLauncher/releases","show")</f>
        <v>show</v>
      </c>
    </row>
    <row r="3608" spans="1:6">
      <c r="A3608" t="s">
        <v>10759</v>
      </c>
      <c r="B3608" t="s">
        <v>10760</v>
      </c>
      <c r="C3608" t="s">
        <v>10761</v>
      </c>
      <c r="D3608" t="str">
        <f>HYPERLINK("https://github.com/dedis/popstellar/issues/849","show")</f>
        <v>show</v>
      </c>
      <c r="E3608" t="str">
        <f>HYPERLINK("https://github.com/dedis/popstellar","show")</f>
        <v>show</v>
      </c>
      <c r="F3608" t="str">
        <f>HYPERLINK("https://github.com/dedis/popstellar/releases","show")</f>
        <v>show</v>
      </c>
    </row>
    <row r="3609" spans="1:6">
      <c r="A3609" t="s">
        <v>10762</v>
      </c>
      <c r="B3609" t="s">
        <v>10763</v>
      </c>
      <c r="C3609" t="s">
        <v>10764</v>
      </c>
      <c r="D3609" t="str">
        <f>HYPERLINK("https://github.com/androidx/constraintlayout/issues/526","show")</f>
        <v>show</v>
      </c>
      <c r="E3609" t="str">
        <f>HYPERLINK("https://github.com/androidx/constraintlayout","show")</f>
        <v>show</v>
      </c>
      <c r="F3609" t="str">
        <f>HYPERLINK("https://github.com/androidx/constraintlayout/releases","show")</f>
        <v>show</v>
      </c>
    </row>
    <row r="3610" spans="1:6">
      <c r="A3610" t="s">
        <v>10765</v>
      </c>
      <c r="B3610" t="s">
        <v>10766</v>
      </c>
      <c r="C3610" t="s">
        <v>10767</v>
      </c>
      <c r="D3610" t="str">
        <f>HYPERLINK("https://github.com/PojavLauncherTeam/PojavLauncher/issues/2793","show")</f>
        <v>show</v>
      </c>
      <c r="E3610" t="str">
        <f>HYPERLINK("https://github.com/PojavLauncherTeam/PojavLauncher","show")</f>
        <v>show</v>
      </c>
      <c r="F3610" t="str">
        <f>HYPERLINK("https://github.com/PojavLauncherTeam/PojavLauncher/releases","show")</f>
        <v>show</v>
      </c>
    </row>
    <row r="3611" spans="1:6">
      <c r="A3611" t="s">
        <v>10768</v>
      </c>
      <c r="B3611" t="s">
        <v>10769</v>
      </c>
      <c r="C3611" t="s">
        <v>10770</v>
      </c>
      <c r="D3611" t="str">
        <f>HYPERLINK("https://github.com/Tornaco/Thanox/issues/420","show")</f>
        <v>show</v>
      </c>
      <c r="E3611" t="str">
        <f>HYPERLINK("https://github.com/Tornaco/Thanox","show")</f>
        <v>show</v>
      </c>
      <c r="F3611" t="str">
        <f>HYPERLINK("https://github.com/Tornaco/Thanox/releases","show")</f>
        <v>show</v>
      </c>
    </row>
    <row r="3612" spans="1:6">
      <c r="A3612" t="s">
        <v>10771</v>
      </c>
      <c r="B3612" t="s">
        <v>10772</v>
      </c>
      <c r="C3612" t="s">
        <v>10773</v>
      </c>
      <c r="D3612" t="str">
        <f>HYPERLINK("https://github.com/PojavLauncherTeam/PojavLauncher/issues/2788","show")</f>
        <v>show</v>
      </c>
      <c r="E3612" t="str">
        <f>HYPERLINK("https://github.com/PojavLauncherTeam/PojavLauncher","show")</f>
        <v>show</v>
      </c>
      <c r="F3612" t="str">
        <f>HYPERLINK("https://github.com/PojavLauncherTeam/PojavLauncher/releases","show")</f>
        <v>show</v>
      </c>
    </row>
    <row r="3613" spans="1:6">
      <c r="A3613" t="s">
        <v>10774</v>
      </c>
      <c r="B3613" t="s">
        <v>10775</v>
      </c>
      <c r="C3613" t="s">
        <v>10776</v>
      </c>
      <c r="D3613" t="str">
        <f>HYPERLINK("https://github.com/Anuken/Mindustry/issues/6600","show")</f>
        <v>show</v>
      </c>
      <c r="E3613" t="str">
        <f>HYPERLINK("https://github.com/Anuken/Mindustry","show")</f>
        <v>show</v>
      </c>
      <c r="F3613" t="str">
        <f>HYPERLINK("https://github.com/Anuken/Mindustry/releases","show")</f>
        <v>show</v>
      </c>
    </row>
    <row r="3614" spans="1:6">
      <c r="A3614" t="s">
        <v>10777</v>
      </c>
      <c r="B3614" t="s">
        <v>10778</v>
      </c>
      <c r="C3614" t="s">
        <v>10779</v>
      </c>
      <c r="D3614" t="str">
        <f>HYPERLINK("https://github.com/cgeo/cgeo/issues/12803","show")</f>
        <v>show</v>
      </c>
      <c r="E3614" t="str">
        <f>HYPERLINK("https://github.com/cgeo/cgeo","show")</f>
        <v>show</v>
      </c>
      <c r="F3614" t="str">
        <f>HYPERLINK("https://github.com/cgeo/cgeo/releases","show")</f>
        <v>show</v>
      </c>
    </row>
    <row r="3615" spans="1:6">
      <c r="A3615" t="s">
        <v>10780</v>
      </c>
      <c r="B3615" t="s">
        <v>10781</v>
      </c>
      <c r="C3615" t="s">
        <v>10782</v>
      </c>
      <c r="D3615" t="str">
        <f>HYPERLINK("https://github.com/Anuken/Mindustry/issues/6599","show")</f>
        <v>show</v>
      </c>
      <c r="E3615" t="str">
        <f>HYPERLINK("https://github.com/Anuken/Mindustry","show")</f>
        <v>show</v>
      </c>
      <c r="F3615" t="str">
        <f>HYPERLINK("https://github.com/Anuken/Mindustry/releases","show")</f>
        <v>show</v>
      </c>
    </row>
    <row r="3616" spans="1:6">
      <c r="A3616" t="s">
        <v>10783</v>
      </c>
      <c r="B3616" t="s">
        <v>10784</v>
      </c>
      <c r="C3616" t="s">
        <v>10785</v>
      </c>
      <c r="D3616" t="str">
        <f>HYPERLINK("https://github.com/overlevelsesguiden/The10H-Android/issues/15","show")</f>
        <v>show</v>
      </c>
      <c r="E3616" t="str">
        <f>HYPERLINK("https://github.com/overlevelsesguiden/The10H-Android","show")</f>
        <v>show</v>
      </c>
      <c r="F3616" t="str">
        <f>HYPERLINK("https://github.com/overlevelsesguiden/The10H-Android/releases","show")</f>
        <v>show</v>
      </c>
    </row>
    <row r="3617" spans="1:6">
      <c r="A3617" t="s">
        <v>10786</v>
      </c>
      <c r="B3617" t="s">
        <v>10787</v>
      </c>
      <c r="C3617" t="s">
        <v>10788</v>
      </c>
      <c r="D3617" t="str">
        <f>HYPERLINK("https://github.com/PojavLauncherTeam/PojavLauncher/issues/2780","show")</f>
        <v>show</v>
      </c>
      <c r="E3617" t="str">
        <f>HYPERLINK("https://github.com/PojavLauncherTeam/PojavLauncher","show")</f>
        <v>show</v>
      </c>
      <c r="F3617" t="str">
        <f>HYPERLINK("https://github.com/PojavLauncherTeam/PojavLauncher/releases","show")</f>
        <v>show</v>
      </c>
    </row>
    <row r="3618" spans="1:6">
      <c r="A3618" t="s">
        <v>10789</v>
      </c>
      <c r="B3618" t="s">
        <v>10790</v>
      </c>
      <c r="C3618" t="s">
        <v>10791</v>
      </c>
      <c r="D3618" t="str">
        <f>HYPERLINK("https://github.com/Anuken/Mindustry/issues/6597","show")</f>
        <v>show</v>
      </c>
      <c r="E3618" t="str">
        <f>HYPERLINK("https://github.com/Anuken/Mindustry","show")</f>
        <v>show</v>
      </c>
      <c r="F3618" t="str">
        <f>HYPERLINK("https://github.com/Anuken/Mindustry/releases","show")</f>
        <v>show</v>
      </c>
    </row>
    <row r="3619" spans="1:6">
      <c r="A3619" t="s">
        <v>10792</v>
      </c>
      <c r="B3619" t="s">
        <v>10793</v>
      </c>
      <c r="C3619" t="s">
        <v>10794</v>
      </c>
      <c r="D3619" t="str">
        <f>HYPERLINK("https://github.com/Aliucord/Aliucord/issues/220","show")</f>
        <v>show</v>
      </c>
      <c r="E3619" t="str">
        <f>HYPERLINK("https://github.com/Aliucord/Aliucord","show")</f>
        <v>show</v>
      </c>
      <c r="F3619" t="str">
        <f>HYPERLINK("https://github.com/Aliucord/Aliucord/releases","show")</f>
        <v>show</v>
      </c>
    </row>
    <row r="3620" spans="1:6">
      <c r="A3620" t="s">
        <v>10795</v>
      </c>
      <c r="B3620" t="s">
        <v>10796</v>
      </c>
      <c r="C3620" t="s">
        <v>10797</v>
      </c>
      <c r="D3620" t="str">
        <f>HYPERLINK("https://github.com/czlucius/code-scanner/issues/36","show")</f>
        <v>show</v>
      </c>
      <c r="E3620" t="str">
        <f>HYPERLINK("https://github.com/czlucius/code-scanner","show")</f>
        <v>show</v>
      </c>
      <c r="F3620" t="str">
        <f>HYPERLINK("https://github.com/czlucius/code-scanner/releases","show")</f>
        <v>show</v>
      </c>
    </row>
    <row r="3621" spans="1:6">
      <c r="A3621" t="s">
        <v>10798</v>
      </c>
      <c r="B3621" t="s">
        <v>10799</v>
      </c>
      <c r="C3621" t="s">
        <v>10800</v>
      </c>
      <c r="D3621" t="str">
        <f>HYPERLINK("https://github.com/Anuken/Mindustry/issues/6594","show")</f>
        <v>show</v>
      </c>
      <c r="E3621" t="str">
        <f>HYPERLINK("https://github.com/Anuken/Mindustry","show")</f>
        <v>show</v>
      </c>
      <c r="F3621" t="str">
        <f>HYPERLINK("https://github.com/Anuken/Mindustry/releases","show")</f>
        <v>show</v>
      </c>
    </row>
    <row r="3622" spans="1:6">
      <c r="A3622" t="s">
        <v>10801</v>
      </c>
      <c r="B3622" t="s">
        <v>10802</v>
      </c>
      <c r="C3622" t="s">
        <v>10803</v>
      </c>
      <c r="D3622" t="str">
        <f>HYPERLINK("https://github.com/Giua-app/Giua-App/issues/121","show")</f>
        <v>show</v>
      </c>
      <c r="E3622" t="str">
        <f>HYPERLINK("https://github.com/Giua-app/Giua-App","show")</f>
        <v>show</v>
      </c>
      <c r="F3622" t="str">
        <f>HYPERLINK("https://github.com/Giua-app/Giua-App/releases","show")</f>
        <v>show</v>
      </c>
    </row>
    <row r="3623" spans="1:6">
      <c r="A3623" t="s">
        <v>10804</v>
      </c>
      <c r="B3623" t="s">
        <v>10805</v>
      </c>
      <c r="C3623" t="s">
        <v>10806</v>
      </c>
      <c r="D3623" t="str">
        <f>HYPERLINK("https://github.com/brodeurlv/fastnfitness/issues/252","show")</f>
        <v>show</v>
      </c>
      <c r="E3623" t="str">
        <f>HYPERLINK("https://github.com/brodeurlv/fastnfitness","show")</f>
        <v>show</v>
      </c>
      <c r="F3623" t="str">
        <f>HYPERLINK("https://github.com/brodeurlv/fastnfitness/releases","show")</f>
        <v>show</v>
      </c>
    </row>
    <row r="3624" spans="1:6">
      <c r="A3624" t="s">
        <v>10807</v>
      </c>
      <c r="B3624" t="s">
        <v>10808</v>
      </c>
      <c r="C3624" t="s">
        <v>10809</v>
      </c>
      <c r="D3624" t="str">
        <f>HYPERLINK("https://github.com/PojavLauncherTeam/PojavLauncher/issues/2770","show")</f>
        <v>show</v>
      </c>
      <c r="E3624" t="str">
        <f>HYPERLINK("https://github.com/PojavLauncherTeam/PojavLauncher","show")</f>
        <v>show</v>
      </c>
      <c r="F3624" t="str">
        <f>HYPERLINK("https://github.com/PojavLauncherTeam/PojavLauncher/releases","show")</f>
        <v>show</v>
      </c>
    </row>
    <row r="3625" spans="1:6">
      <c r="A3625" t="s">
        <v>10810</v>
      </c>
      <c r="B3625" t="s">
        <v>10811</v>
      </c>
      <c r="C3625" t="s">
        <v>10812</v>
      </c>
      <c r="D3625" t="str">
        <f>HYPERLINK("https://github.com/TeamNewPipe/NewPipe/issues/7914","show")</f>
        <v>show</v>
      </c>
      <c r="E3625" t="str">
        <f>HYPERLINK("https://github.com/TeamNewPipe/NewPipe","show")</f>
        <v>show</v>
      </c>
      <c r="F3625" t="str">
        <f>HYPERLINK("https://github.com/TeamNewPipe/NewPipe/releases","show")</f>
        <v>show</v>
      </c>
    </row>
    <row r="3626" spans="1:6">
      <c r="A3626" t="s">
        <v>10813</v>
      </c>
      <c r="B3626" t="s">
        <v>9922</v>
      </c>
      <c r="C3626" t="s">
        <v>10814</v>
      </c>
      <c r="D3626" t="str">
        <f>HYPERLINK("https://github.com/PojavLauncherTeam/PojavLauncher/issues/2764","show")</f>
        <v>show</v>
      </c>
      <c r="E3626" t="str">
        <f>HYPERLINK("https://github.com/PojavLauncherTeam/PojavLauncher","show")</f>
        <v>show</v>
      </c>
      <c r="F3626" t="str">
        <f>HYPERLINK("https://github.com/PojavLauncherTeam/PojavLauncher/releases","show")</f>
        <v>show</v>
      </c>
    </row>
    <row r="3627" spans="1:6">
      <c r="A3627" t="s">
        <v>10815</v>
      </c>
      <c r="B3627" t="s">
        <v>10816</v>
      </c>
      <c r="C3627" t="s">
        <v>10817</v>
      </c>
      <c r="D3627" t="str">
        <f>HYPERLINK("https://github.com/TeamVanced/Integrations/issues/73","show")</f>
        <v>show</v>
      </c>
      <c r="E3627" t="str">
        <f>HYPERLINK("https://github.com/TeamVanced/Integrations","show")</f>
        <v>show</v>
      </c>
      <c r="F3627" t="str">
        <f>HYPERLINK("https://github.com/TeamVanced/Integrations/releases","show")</f>
        <v>show</v>
      </c>
    </row>
    <row r="3628" spans="1:6">
      <c r="A3628" t="s">
        <v>10818</v>
      </c>
      <c r="B3628" t="s">
        <v>10819</v>
      </c>
      <c r="C3628" t="s">
        <v>10820</v>
      </c>
      <c r="D3628" t="str">
        <f>HYPERLINK("https://github.com/voxeet/voxeet-uxkit-reactnative/issues/61","show")</f>
        <v>show</v>
      </c>
      <c r="E3628" t="str">
        <f>HYPERLINK("https://github.com/voxeet/voxeet-uxkit-reactnative","show")</f>
        <v>show</v>
      </c>
      <c r="F3628" t="str">
        <f>HYPERLINK("https://github.com/voxeet/voxeet-uxkit-reactnative/releases","show")</f>
        <v>show</v>
      </c>
    </row>
    <row r="3629" spans="1:6">
      <c r="A3629" t="s">
        <v>10821</v>
      </c>
      <c r="B3629" t="s">
        <v>10822</v>
      </c>
      <c r="C3629" t="s">
        <v>10823</v>
      </c>
      <c r="D3629" t="str">
        <f>HYPERLINK("https://github.com/Udhayarajan/VidSnap/issues/7","show")</f>
        <v>show</v>
      </c>
      <c r="E3629" t="str">
        <f>HYPERLINK("https://github.com/Udhayarajan/VidSnap","show")</f>
        <v>show</v>
      </c>
      <c r="F3629" t="str">
        <f>HYPERLINK("https://github.com/Udhayarajan/VidSnap/releases","show")</f>
        <v>show</v>
      </c>
    </row>
    <row r="3630" spans="1:6">
      <c r="A3630" t="s">
        <v>10824</v>
      </c>
      <c r="B3630" t="s">
        <v>10825</v>
      </c>
      <c r="C3630" t="s">
        <v>10826</v>
      </c>
      <c r="D3630" t="str">
        <f>HYPERLINK("https://github.com/nextcloud/android/issues/9860","show")</f>
        <v>show</v>
      </c>
      <c r="E3630" t="str">
        <f>HYPERLINK("https://github.com/nextcloud/android","show")</f>
        <v>show</v>
      </c>
      <c r="F3630" t="str">
        <f>HYPERLINK("https://github.com/nextcloud/android/releases","show")</f>
        <v>show</v>
      </c>
    </row>
    <row r="3631" spans="1:6">
      <c r="A3631" t="s">
        <v>10827</v>
      </c>
      <c r="B3631" t="s">
        <v>10828</v>
      </c>
      <c r="C3631" t="s">
        <v>10829</v>
      </c>
      <c r="D3631" t="str">
        <f>HYPERLINK("https://github.com/LawnchairLauncher/lawnchair/issues/2485","show")</f>
        <v>show</v>
      </c>
      <c r="E3631" t="str">
        <f>HYPERLINK("https://github.com/LawnchairLauncher/lawnchair","show")</f>
        <v>show</v>
      </c>
      <c r="F3631" t="str">
        <f>HYPERLINK("https://github.com/LawnchairLauncher/lawnchair/releases","show")</f>
        <v>show</v>
      </c>
    </row>
    <row r="3632" spans="1:6">
      <c r="A3632" t="s">
        <v>10830</v>
      </c>
      <c r="B3632" t="s">
        <v>10831</v>
      </c>
      <c r="C3632" t="s">
        <v>10832</v>
      </c>
      <c r="D3632" t="str">
        <f>HYPERLINK("https://github.com/PojavLauncherTeam/PojavLauncher/issues/2757","show")</f>
        <v>show</v>
      </c>
      <c r="E3632" t="str">
        <f>HYPERLINK("https://github.com/PojavLauncherTeam/PojavLauncher","show")</f>
        <v>show</v>
      </c>
      <c r="F3632" t="str">
        <f>HYPERLINK("https://github.com/PojavLauncherTeam/PojavLauncher/releases","show")</f>
        <v>show</v>
      </c>
    </row>
    <row r="3633" spans="1:6">
      <c r="A3633" t="s">
        <v>10833</v>
      </c>
      <c r="B3633" t="s">
        <v>10834</v>
      </c>
      <c r="C3633" t="s">
        <v>10835</v>
      </c>
      <c r="D3633" t="str">
        <f>HYPERLINK("https://github.com/google/ExoPlayer/issues/9989","show")</f>
        <v>show</v>
      </c>
      <c r="E3633" t="str">
        <f>HYPERLINK("https://github.com/google/ExoPlayer","show")</f>
        <v>show</v>
      </c>
      <c r="F3633" t="str">
        <f>HYPERLINK("https://github.com/google/ExoPlayer/releases","show")</f>
        <v>show</v>
      </c>
    </row>
    <row r="3634" spans="1:6">
      <c r="A3634" t="s">
        <v>10836</v>
      </c>
      <c r="B3634" t="s">
        <v>10837</v>
      </c>
      <c r="C3634" t="s">
        <v>10838</v>
      </c>
      <c r="D3634" t="str">
        <f>HYPERLINK("https://github.com/PojavLauncherTeam/PojavLauncher/issues/2753","show")</f>
        <v>show</v>
      </c>
      <c r="E3634" t="str">
        <f>HYPERLINK("https://github.com/PojavLauncherTeam/PojavLauncher","show")</f>
        <v>show</v>
      </c>
      <c r="F3634" t="str">
        <f>HYPERLINK("https://github.com/PojavLauncherTeam/PojavLauncher/releases","show")</f>
        <v>show</v>
      </c>
    </row>
    <row r="3635" spans="1:6">
      <c r="A3635" t="s">
        <v>10839</v>
      </c>
      <c r="B3635" t="s">
        <v>10840</v>
      </c>
      <c r="C3635" t="s">
        <v>10841</v>
      </c>
      <c r="D3635" t="str">
        <f>HYPERLINK("https://github.com/PojavLauncherTeam/PojavLauncher/issues/2752","show")</f>
        <v>show</v>
      </c>
      <c r="E3635" t="str">
        <f>HYPERLINK("https://github.com/PojavLauncherTeam/PojavLauncher","show")</f>
        <v>show</v>
      </c>
      <c r="F3635" t="str">
        <f>HYPERLINK("https://github.com/PojavLauncherTeam/PojavLauncher/releases","show")</f>
        <v>show</v>
      </c>
    </row>
    <row r="3636" spans="1:6">
      <c r="A3636" t="s">
        <v>10842</v>
      </c>
      <c r="B3636" t="s">
        <v>10843</v>
      </c>
      <c r="C3636" t="s">
        <v>10844</v>
      </c>
      <c r="D3636" t="str">
        <f>HYPERLINK("https://github.com/Anuken/Mindustry/issues/6585","show")</f>
        <v>show</v>
      </c>
      <c r="E3636" t="str">
        <f>HYPERLINK("https://github.com/Anuken/Mindustry","show")</f>
        <v>show</v>
      </c>
      <c r="F3636" t="str">
        <f>HYPERLINK("https://github.com/Anuken/Mindustry/releases","show")</f>
        <v>show</v>
      </c>
    </row>
    <row r="3637" spans="1:6">
      <c r="A3637" t="s">
        <v>10845</v>
      </c>
      <c r="B3637" t="s">
        <v>10846</v>
      </c>
      <c r="C3637" t="s">
        <v>10847</v>
      </c>
      <c r="D3637" t="str">
        <f>HYPERLINK("https://github.com/Aliucord/Aliucord/issues/217","show")</f>
        <v>show</v>
      </c>
      <c r="E3637" t="str">
        <f>HYPERLINK("https://github.com/Aliucord/Aliucord","show")</f>
        <v>show</v>
      </c>
      <c r="F3637" t="str">
        <f>HYPERLINK("https://github.com/Aliucord/Aliucord/releases","show")</f>
        <v>show</v>
      </c>
    </row>
    <row r="3638" spans="1:6">
      <c r="A3638" t="s">
        <v>10848</v>
      </c>
      <c r="B3638" t="s">
        <v>10849</v>
      </c>
      <c r="C3638" t="s">
        <v>10850</v>
      </c>
      <c r="D3638" t="str">
        <f>HYPERLINK("https://github.com/jellyfin/jellyfin-androidtv/issues/1450","show")</f>
        <v>show</v>
      </c>
      <c r="E3638" t="str">
        <f>HYPERLINK("https://github.com/jellyfin/jellyfin-androidtv","show")</f>
        <v>show</v>
      </c>
      <c r="F3638" t="str">
        <f>HYPERLINK("https://github.com/jellyfin/jellyfin-androidtv/releases","show")</f>
        <v>show</v>
      </c>
    </row>
    <row r="3639" spans="1:6">
      <c r="A3639" t="s">
        <v>10851</v>
      </c>
      <c r="B3639" t="s">
        <v>10852</v>
      </c>
      <c r="C3639" t="s">
        <v>10853</v>
      </c>
      <c r="D3639" t="str">
        <f>HYPERLINK("https://github.com/Anuken/Mindustry/issues/6581","show")</f>
        <v>show</v>
      </c>
      <c r="E3639" t="str">
        <f>HYPERLINK("https://github.com/Anuken/Mindustry","show")</f>
        <v>show</v>
      </c>
      <c r="F3639" t="str">
        <f>HYPERLINK("https://github.com/Anuken/Mindustry/releases","show")</f>
        <v>show</v>
      </c>
    </row>
    <row r="3640" spans="1:6">
      <c r="A3640" t="s">
        <v>10854</v>
      </c>
      <c r="B3640" t="s">
        <v>10855</v>
      </c>
      <c r="C3640" t="s">
        <v>10856</v>
      </c>
      <c r="D3640" t="str">
        <f>HYPERLINK("https://github.com/aws-amplify/aws-sdk-android/issues/2802","show")</f>
        <v>show</v>
      </c>
      <c r="E3640" t="str">
        <f>HYPERLINK("https://github.com/aws-amplify/aws-sdk-android","show")</f>
        <v>show</v>
      </c>
      <c r="F3640" t="str">
        <f>HYPERLINK("https://github.com/aws-amplify/aws-sdk-android/releases","show")</f>
        <v>show</v>
      </c>
    </row>
    <row r="3641" spans="1:6">
      <c r="A3641" t="s">
        <v>10857</v>
      </c>
      <c r="B3641" t="s">
        <v>10858</v>
      </c>
      <c r="C3641" t="s">
        <v>10859</v>
      </c>
      <c r="D3641" t="str">
        <f>HYPERLINK("https://github.com/inaturalist/iNaturalistAndroid/issues/1186","show")</f>
        <v>show</v>
      </c>
      <c r="E3641" t="str">
        <f>HYPERLINK("https://github.com/inaturalist/iNaturalistAndroid","show")</f>
        <v>show</v>
      </c>
      <c r="F3641" t="str">
        <f>HYPERLINK("https://github.com/inaturalist/iNaturalistAndroid/releases","show")</f>
        <v>show</v>
      </c>
    </row>
    <row r="3642" spans="1:6">
      <c r="A3642" t="s">
        <v>10860</v>
      </c>
      <c r="B3642" t="s">
        <v>10861</v>
      </c>
      <c r="C3642" t="s">
        <v>10862</v>
      </c>
      <c r="D3642" t="str">
        <f>HYPERLINK("https://github.com/PojavLauncherTeam/PojavLauncher/issues/2745","show")</f>
        <v>show</v>
      </c>
      <c r="E3642" t="str">
        <f>HYPERLINK("https://github.com/PojavLauncherTeam/PojavLauncher","show")</f>
        <v>show</v>
      </c>
      <c r="F3642" t="str">
        <f>HYPERLINK("https://github.com/PojavLauncherTeam/PojavLauncher/releases","show")</f>
        <v>show</v>
      </c>
    </row>
    <row r="3643" spans="1:6">
      <c r="A3643" t="s">
        <v>10863</v>
      </c>
      <c r="B3643" t="s">
        <v>10864</v>
      </c>
      <c r="C3643" t="s">
        <v>10865</v>
      </c>
      <c r="D3643" t="str">
        <f>HYPERLINK("https://github.com/PojavLauncherTeam/PojavLauncher/issues/2743","show")</f>
        <v>show</v>
      </c>
      <c r="E3643" t="str">
        <f>HYPERLINK("https://github.com/PojavLauncherTeam/PojavLauncher","show")</f>
        <v>show</v>
      </c>
      <c r="F3643" t="str">
        <f>HYPERLINK("https://github.com/PojavLauncherTeam/PojavLauncher/releases","show")</f>
        <v>show</v>
      </c>
    </row>
    <row r="3644" spans="1:6">
      <c r="A3644" t="s">
        <v>10866</v>
      </c>
      <c r="B3644" t="s">
        <v>10867</v>
      </c>
      <c r="C3644" t="s">
        <v>10868</v>
      </c>
      <c r="D3644" t="str">
        <f>HYPERLINK("https://github.com/canyie/pine/issues/25","show")</f>
        <v>show</v>
      </c>
      <c r="E3644" t="str">
        <f>HYPERLINK("https://github.com/canyie/pine","show")</f>
        <v>show</v>
      </c>
      <c r="F3644" t="str">
        <f>HYPERLINK("https://github.com/canyie/pine/releases","show")</f>
        <v>show</v>
      </c>
    </row>
    <row r="3645" spans="1:6">
      <c r="A3645" t="s">
        <v>10869</v>
      </c>
      <c r="B3645" t="s">
        <v>10870</v>
      </c>
      <c r="C3645" t="s">
        <v>10871</v>
      </c>
      <c r="D3645" t="str">
        <f>HYPERLINK("https://github.com/cgeo/cgeo/issues/12752","show")</f>
        <v>show</v>
      </c>
      <c r="E3645" t="str">
        <f>HYPERLINK("https://github.com/cgeo/cgeo","show")</f>
        <v>show</v>
      </c>
      <c r="F3645" t="str">
        <f>HYPERLINK("https://github.com/cgeo/cgeo/releases","show")</f>
        <v>show</v>
      </c>
    </row>
    <row r="3646" spans="1:6">
      <c r="A3646" t="s">
        <v>10872</v>
      </c>
      <c r="B3646" t="s">
        <v>10873</v>
      </c>
      <c r="C3646" t="s">
        <v>10874</v>
      </c>
      <c r="D3646" t="str">
        <f>HYPERLINK("https://github.com/Anuken/Mindustry/issues/6578","show")</f>
        <v>show</v>
      </c>
      <c r="E3646" t="str">
        <f>HYPERLINK("https://github.com/Anuken/Mindustry","show")</f>
        <v>show</v>
      </c>
      <c r="F3646" t="str">
        <f>HYPERLINK("https://github.com/Anuken/Mindustry/releases","show")</f>
        <v>show</v>
      </c>
    </row>
    <row r="3647" spans="1:6">
      <c r="A3647" t="s">
        <v>10875</v>
      </c>
      <c r="B3647" t="s">
        <v>10876</v>
      </c>
      <c r="C3647" t="s">
        <v>10877</v>
      </c>
      <c r="D3647" t="str">
        <f>HYPERLINK("https://github.com/czlucius/code-scanner/issues/34","show")</f>
        <v>show</v>
      </c>
      <c r="E3647" t="str">
        <f>HYPERLINK("https://github.com/czlucius/code-scanner","show")</f>
        <v>show</v>
      </c>
      <c r="F3647" t="str">
        <f>HYPERLINK("https://github.com/czlucius/code-scanner/releases","show")</f>
        <v>show</v>
      </c>
    </row>
    <row r="3648" spans="1:6">
      <c r="A3648" t="s">
        <v>10878</v>
      </c>
      <c r="B3648" t="s">
        <v>10879</v>
      </c>
      <c r="C3648" t="s">
        <v>10880</v>
      </c>
      <c r="D3648" t="str">
        <f>HYPERLINK("https://github.com/PojavLauncherTeam/PojavLauncher/issues/2737","show")</f>
        <v>show</v>
      </c>
      <c r="E3648" t="str">
        <f>HYPERLINK("https://github.com/PojavLauncherTeam/PojavLauncher","show")</f>
        <v>show</v>
      </c>
      <c r="F3648" t="str">
        <f>HYPERLINK("https://github.com/PojavLauncherTeam/PojavLauncher/releases","show")</f>
        <v>show</v>
      </c>
    </row>
    <row r="3649" spans="1:6">
      <c r="A3649" t="s">
        <v>10881</v>
      </c>
      <c r="B3649" t="s">
        <v>10882</v>
      </c>
      <c r="C3649" t="s">
        <v>10883</v>
      </c>
      <c r="D3649" t="str">
        <f>HYPERLINK("https://github.com/cgeo/cgeo/issues/12745","show")</f>
        <v>show</v>
      </c>
      <c r="E3649" t="str">
        <f>HYPERLINK("https://github.com/cgeo/cgeo","show")</f>
        <v>show</v>
      </c>
      <c r="F3649" t="str">
        <f>HYPERLINK("https://github.com/cgeo/cgeo/releases","show")</f>
        <v>show</v>
      </c>
    </row>
    <row r="3650" spans="1:6">
      <c r="A3650" t="s">
        <v>10884</v>
      </c>
      <c r="B3650" t="s">
        <v>10885</v>
      </c>
      <c r="C3650" t="s">
        <v>10886</v>
      </c>
      <c r="D3650" t="str">
        <f>HYPERLINK("https://github.com/MuntashirAkon/AppManager/issues/680","show")</f>
        <v>show</v>
      </c>
      <c r="E3650" t="str">
        <f>HYPERLINK("https://github.com/MuntashirAkon/AppManager","show")</f>
        <v>show</v>
      </c>
      <c r="F3650" t="str">
        <f>HYPERLINK("https://github.com/MuntashirAkon/AppManager/releases","show")</f>
        <v>show</v>
      </c>
    </row>
    <row r="3651" spans="1:6">
      <c r="A3651" t="s">
        <v>10887</v>
      </c>
      <c r="B3651" t="s">
        <v>10888</v>
      </c>
      <c r="C3651" t="s">
        <v>10889</v>
      </c>
      <c r="D3651" t="str">
        <f>HYPERLINK("https://github.com/inaturalist/iNaturalistAndroid/issues/1185","show")</f>
        <v>show</v>
      </c>
      <c r="E3651" t="str">
        <f>HYPERLINK("https://github.com/inaturalist/iNaturalistAndroid","show")</f>
        <v>show</v>
      </c>
      <c r="F3651" t="str">
        <f>HYPERLINK("https://github.com/inaturalist/iNaturalistAndroid/releases","show")</f>
        <v>show</v>
      </c>
    </row>
    <row r="3652" spans="1:6">
      <c r="A3652" t="s">
        <v>10890</v>
      </c>
      <c r="B3652" t="s">
        <v>10891</v>
      </c>
      <c r="C3652" t="s">
        <v>10892</v>
      </c>
      <c r="D3652" t="str">
        <f>HYPERLINK("https://github.com/Anuken/Mindustry/issues/6573","show")</f>
        <v>show</v>
      </c>
      <c r="E3652" t="str">
        <f>HYPERLINK("https://github.com/Anuken/Mindustry","show")</f>
        <v>show</v>
      </c>
      <c r="F3652" t="str">
        <f>HYPERLINK("https://github.com/Anuken/Mindustry/releases","show")</f>
        <v>show</v>
      </c>
    </row>
    <row r="3653" spans="1:6">
      <c r="A3653" t="s">
        <v>10893</v>
      </c>
      <c r="B3653" t="s">
        <v>10894</v>
      </c>
      <c r="C3653" t="s">
        <v>10895</v>
      </c>
      <c r="D3653" t="str">
        <f>HYPERLINK("https://github.com/hzi-braunschweig/SORMAS-Project/issues/7982","show")</f>
        <v>show</v>
      </c>
      <c r="E3653" t="str">
        <f>HYPERLINK("https://github.com/hzi-braunschweig/SORMAS-Project","show")</f>
        <v>show</v>
      </c>
      <c r="F3653" t="str">
        <f>HYPERLINK("https://github.com/hzi-braunschweig/SORMAS-Project/releases","show")</f>
        <v>show</v>
      </c>
    </row>
    <row r="3654" spans="1:6">
      <c r="A3654" t="s">
        <v>10896</v>
      </c>
      <c r="B3654" t="s">
        <v>10897</v>
      </c>
      <c r="C3654" t="s">
        <v>10898</v>
      </c>
      <c r="D3654" t="str">
        <f>HYPERLINK("https://github.com/aws-amplify/aws-sdk-android/issues/2798","show")</f>
        <v>show</v>
      </c>
      <c r="E3654" t="str">
        <f>HYPERLINK("https://github.com/aws-amplify/aws-sdk-android","show")</f>
        <v>show</v>
      </c>
      <c r="F3654" t="str">
        <f>HYPERLINK("https://github.com/aws-amplify/aws-sdk-android/releases","show")</f>
        <v>show</v>
      </c>
    </row>
    <row r="3655" spans="1:6">
      <c r="A3655" t="s">
        <v>10899</v>
      </c>
      <c r="B3655" t="s">
        <v>10900</v>
      </c>
      <c r="C3655" t="s">
        <v>10901</v>
      </c>
      <c r="D3655" t="str">
        <f>HYPERLINK("https://github.com/lisawray/groupie/issues/420","show")</f>
        <v>show</v>
      </c>
      <c r="E3655" t="str">
        <f>HYPERLINK("https://github.com/lisawray/groupie","show")</f>
        <v>show</v>
      </c>
      <c r="F3655" t="str">
        <f>HYPERLINK("https://github.com/lisawray/groupie/releases","show")</f>
        <v>show</v>
      </c>
    </row>
    <row r="3656" spans="1:6">
      <c r="A3656" t="s">
        <v>10902</v>
      </c>
      <c r="B3656" t="s">
        <v>10903</v>
      </c>
      <c r="C3656" t="s">
        <v>10904</v>
      </c>
      <c r="D3656" t="str">
        <f>HYPERLINK("https://github.com/PojavLauncherTeam/PojavLauncher/issues/2731","show")</f>
        <v>show</v>
      </c>
      <c r="E3656" t="str">
        <f>HYPERLINK("https://github.com/PojavLauncherTeam/PojavLauncher","show")</f>
        <v>show</v>
      </c>
      <c r="F3656" t="str">
        <f>HYPERLINK("https://github.com/PojavLauncherTeam/PojavLauncher/releases","show")</f>
        <v>show</v>
      </c>
    </row>
    <row r="3657" spans="1:6">
      <c r="A3657" t="s">
        <v>10905</v>
      </c>
      <c r="B3657" t="s">
        <v>10906</v>
      </c>
      <c r="C3657" t="s">
        <v>10907</v>
      </c>
      <c r="D3657" t="str">
        <f>HYPERLINK("https://github.com/TeamNewPipe/NewPipe/issues/7865","show")</f>
        <v>show</v>
      </c>
      <c r="E3657" t="str">
        <f>HYPERLINK("https://github.com/TeamNewPipe/NewPipe","show")</f>
        <v>show</v>
      </c>
      <c r="F3657" t="str">
        <f>HYPERLINK("https://github.com/TeamNewPipe/NewPipe/releases","show")</f>
        <v>show</v>
      </c>
    </row>
    <row r="3658" spans="1:6">
      <c r="A3658" t="s">
        <v>10908</v>
      </c>
      <c r="B3658" t="s">
        <v>10909</v>
      </c>
      <c r="C3658" t="s">
        <v>10910</v>
      </c>
      <c r="D3658" t="str">
        <f>HYPERLINK("https://github.com/AOF-Dev/MCinaBox/issues/1127","show")</f>
        <v>show</v>
      </c>
      <c r="E3658" t="str">
        <f>HYPERLINK("https://github.com/AOF-Dev/MCinaBox","show")</f>
        <v>show</v>
      </c>
      <c r="F3658" t="str">
        <f>HYPERLINK("https://github.com/AOF-Dev/MCinaBox/releases","show")</f>
        <v>show</v>
      </c>
    </row>
    <row r="3659" spans="1:6">
      <c r="A3659" t="s">
        <v>10911</v>
      </c>
      <c r="B3659" t="s">
        <v>10912</v>
      </c>
      <c r="C3659" t="s">
        <v>10913</v>
      </c>
      <c r="D3659" t="str">
        <f>HYPERLINK("https://github.com/TeamNewPipe/NewPipe/issues/7864","show")</f>
        <v>show</v>
      </c>
      <c r="E3659" t="str">
        <f>HYPERLINK("https://github.com/TeamNewPipe/NewPipe","show")</f>
        <v>show</v>
      </c>
      <c r="F3659" t="str">
        <f>HYPERLINK("https://github.com/TeamNewPipe/NewPipe/releases","show")</f>
        <v>show</v>
      </c>
    </row>
    <row r="3660" spans="1:6">
      <c r="A3660" t="s">
        <v>10914</v>
      </c>
      <c r="B3660" t="s">
        <v>10915</v>
      </c>
      <c r="C3660" t="s">
        <v>10916</v>
      </c>
      <c r="D3660" t="str">
        <f>HYPERLINK("https://github.com/forrestguice/SuntimesWidget/issues/556","show")</f>
        <v>show</v>
      </c>
      <c r="E3660" t="str">
        <f>HYPERLINK("https://github.com/forrestguice/SuntimesWidget","show")</f>
        <v>show</v>
      </c>
      <c r="F3660" t="str">
        <f>HYPERLINK("https://github.com/forrestguice/SuntimesWidget/releases","show")</f>
        <v>show</v>
      </c>
    </row>
    <row r="3661" spans="1:6">
      <c r="A3661" t="s">
        <v>10917</v>
      </c>
      <c r="B3661" t="s">
        <v>10918</v>
      </c>
      <c r="C3661" t="s">
        <v>10919</v>
      </c>
      <c r="D3661" t="str">
        <f>HYPERLINK("https://github.com/googleads/googleads-mobile-flutter/issues/514","show")</f>
        <v>show</v>
      </c>
      <c r="E3661" t="str">
        <f>HYPERLINK("https://github.com/googleads/googleads-mobile-flutter","show")</f>
        <v>show</v>
      </c>
      <c r="F3661" t="str">
        <f>HYPERLINK("https://github.com/googleads/googleads-mobile-flutter/releases","show")</f>
        <v>show</v>
      </c>
    </row>
    <row r="3662" spans="1:6">
      <c r="A3662" t="s">
        <v>10920</v>
      </c>
      <c r="B3662" t="s">
        <v>10921</v>
      </c>
      <c r="C3662" t="s">
        <v>10922</v>
      </c>
      <c r="D3662" t="str">
        <f>HYPERLINK("https://github.com/PojavLauncherTeam/PojavLauncher/issues/2727","show")</f>
        <v>show</v>
      </c>
      <c r="E3662" t="str">
        <f>HYPERLINK("https://github.com/PojavLauncherTeam/PojavLauncher","show")</f>
        <v>show</v>
      </c>
      <c r="F3662" t="str">
        <f>HYPERLINK("https://github.com/PojavLauncherTeam/PojavLauncher/releases","show")</f>
        <v>show</v>
      </c>
    </row>
    <row r="3663" spans="1:6">
      <c r="A3663" t="s">
        <v>10923</v>
      </c>
      <c r="B3663" t="s">
        <v>10924</v>
      </c>
      <c r="C3663" t="s">
        <v>10925</v>
      </c>
      <c r="D3663" t="str">
        <f>HYPERLINK("https://github.com/Anuken/Mindustry/issues/6567","show")</f>
        <v>show</v>
      </c>
      <c r="E3663" t="str">
        <f>HYPERLINK("https://github.com/Anuken/Mindustry","show")</f>
        <v>show</v>
      </c>
      <c r="F3663" t="str">
        <f>HYPERLINK("https://github.com/Anuken/Mindustry/releases","show")</f>
        <v>show</v>
      </c>
    </row>
    <row r="3664" spans="1:6">
      <c r="A3664" t="s">
        <v>10926</v>
      </c>
      <c r="B3664" t="s">
        <v>10927</v>
      </c>
      <c r="C3664" t="s">
        <v>10928</v>
      </c>
      <c r="D3664" t="str">
        <f>HYPERLINK("https://github.com/LawnchairLauncher/lawnchair/issues/2476","show")</f>
        <v>show</v>
      </c>
      <c r="E3664" t="str">
        <f>HYPERLINK("https://github.com/LawnchairLauncher/lawnchair","show")</f>
        <v>show</v>
      </c>
      <c r="F3664" t="str">
        <f>HYPERLINK("https://github.com/LawnchairLauncher/lawnchair/releases","show")</f>
        <v>show</v>
      </c>
    </row>
    <row r="3665" spans="1:6">
      <c r="A3665" t="s">
        <v>10929</v>
      </c>
      <c r="B3665" t="s">
        <v>10930</v>
      </c>
      <c r="C3665" t="s">
        <v>10931</v>
      </c>
      <c r="D3665" t="str">
        <f>HYPERLINK("https://github.com/hzi-braunschweig/SORMAS-Project/issues/7975","show")</f>
        <v>show</v>
      </c>
      <c r="E3665" t="str">
        <f>HYPERLINK("https://github.com/hzi-braunschweig/SORMAS-Project","show")</f>
        <v>show</v>
      </c>
      <c r="F3665" t="str">
        <f>HYPERLINK("https://github.com/hzi-braunschweig/SORMAS-Project/releases","show")</f>
        <v>show</v>
      </c>
    </row>
    <row r="3666" spans="1:6">
      <c r="A3666" t="s">
        <v>10932</v>
      </c>
      <c r="B3666" t="s">
        <v>10933</v>
      </c>
      <c r="C3666" t="s">
        <v>10934</v>
      </c>
      <c r="D3666" t="str">
        <f>HYPERLINK("https://github.com/TeamNewPipe/NewPipe/issues/7854","show")</f>
        <v>show</v>
      </c>
      <c r="E3666" t="str">
        <f>HYPERLINK("https://github.com/TeamNewPipe/NewPipe","show")</f>
        <v>show</v>
      </c>
      <c r="F3666" t="str">
        <f>HYPERLINK("https://github.com/TeamNewPipe/NewPipe/releases","show")</f>
        <v>show</v>
      </c>
    </row>
    <row r="3667" spans="1:6">
      <c r="A3667" t="s">
        <v>10935</v>
      </c>
      <c r="B3667" t="s">
        <v>10936</v>
      </c>
      <c r="C3667" t="s">
        <v>10937</v>
      </c>
      <c r="D3667" t="str">
        <f>HYPERLINK("https://github.com/Anuken/Mindustry/issues/6565","show")</f>
        <v>show</v>
      </c>
      <c r="E3667" t="str">
        <f>HYPERLINK("https://github.com/Anuken/Mindustry","show")</f>
        <v>show</v>
      </c>
      <c r="F3667" t="str">
        <f>HYPERLINK("https://github.com/Anuken/Mindustry/releases","show")</f>
        <v>show</v>
      </c>
    </row>
    <row r="3668" spans="1:6">
      <c r="A3668" t="s">
        <v>10938</v>
      </c>
      <c r="B3668" t="s">
        <v>10939</v>
      </c>
      <c r="C3668" t="s">
        <v>10940</v>
      </c>
      <c r="D3668" t="str">
        <f>HYPERLINK("https://github.com/PojavLauncherTeam/PojavLauncher/issues/2723","show")</f>
        <v>show</v>
      </c>
      <c r="E3668" t="str">
        <f>HYPERLINK("https://github.com/PojavLauncherTeam/PojavLauncher","show")</f>
        <v>show</v>
      </c>
      <c r="F3668" t="str">
        <f>HYPERLINK("https://github.com/PojavLauncherTeam/PojavLauncher/releases","show")</f>
        <v>show</v>
      </c>
    </row>
    <row r="3669" spans="1:6">
      <c r="A3669" t="s">
        <v>10941</v>
      </c>
      <c r="B3669" t="s">
        <v>10942</v>
      </c>
      <c r="C3669" t="s">
        <v>10943</v>
      </c>
      <c r="D3669" t="str">
        <f>HYPERLINK("https://github.com/PojavLauncherTeam/PojavLauncher/issues/2721","show")</f>
        <v>show</v>
      </c>
      <c r="E3669" t="str">
        <f>HYPERLINK("https://github.com/PojavLauncherTeam/PojavLauncher","show")</f>
        <v>show</v>
      </c>
      <c r="F3669" t="str">
        <f>HYPERLINK("https://github.com/PojavLauncherTeam/PojavLauncher/releases","show")</f>
        <v>show</v>
      </c>
    </row>
    <row r="3670" spans="1:6">
      <c r="A3670" t="s">
        <v>10944</v>
      </c>
      <c r="B3670" t="s">
        <v>10945</v>
      </c>
      <c r="C3670" t="s">
        <v>10946</v>
      </c>
      <c r="D3670" t="str">
        <f>HYPERLINK("https://github.com/PojavLauncherTeam/PojavLauncher/issues/2717","show")</f>
        <v>show</v>
      </c>
      <c r="E3670" t="str">
        <f>HYPERLINK("https://github.com/PojavLauncherTeam/PojavLauncher","show")</f>
        <v>show</v>
      </c>
      <c r="F3670" t="str">
        <f>HYPERLINK("https://github.com/PojavLauncherTeam/PojavLauncher/releases","show")</f>
        <v>show</v>
      </c>
    </row>
    <row r="3671" spans="1:6">
      <c r="A3671" t="s">
        <v>10947</v>
      </c>
      <c r="B3671" t="s">
        <v>10948</v>
      </c>
      <c r="C3671" t="s">
        <v>10949</v>
      </c>
      <c r="D3671" t="str">
        <f>HYPERLINK("https://github.com/GoogleCloudPlatform/fda-mystudies/issues/4428","show")</f>
        <v>show</v>
      </c>
      <c r="E3671" t="str">
        <f>HYPERLINK("https://github.com/GoogleCloudPlatform/fda-mystudies","show")</f>
        <v>show</v>
      </c>
      <c r="F3671" t="str">
        <f>HYPERLINK("https://github.com/GoogleCloudPlatform/fda-mystudies/releases","show")</f>
        <v>show</v>
      </c>
    </row>
    <row r="3672" spans="1:6">
      <c r="A3672" t="s">
        <v>10950</v>
      </c>
      <c r="B3672" t="s">
        <v>10951</v>
      </c>
      <c r="C3672" t="s">
        <v>10952</v>
      </c>
      <c r="D3672" t="str">
        <f>HYPERLINK("https://github.com/noahvogt/snailmail/issues/1","show")</f>
        <v>show</v>
      </c>
      <c r="E3672" t="str">
        <f>HYPERLINK("https://github.com/noahvogt/snailmail","show")</f>
        <v>show</v>
      </c>
      <c r="F3672" t="str">
        <f>HYPERLINK("https://github.com/noahvogt/snailmail/releases","show")</f>
        <v>show</v>
      </c>
    </row>
    <row r="3673" spans="1:6">
      <c r="A3673" t="s">
        <v>10953</v>
      </c>
      <c r="B3673" t="s">
        <v>10954</v>
      </c>
      <c r="C3673" t="s">
        <v>10955</v>
      </c>
      <c r="D3673" t="str">
        <f>HYPERLINK("https://github.com/google/ExoPlayer/issues/9956","show")</f>
        <v>show</v>
      </c>
      <c r="E3673" t="str">
        <f>HYPERLINK("https://github.com/google/ExoPlayer","show")</f>
        <v>show</v>
      </c>
      <c r="F3673" t="str">
        <f>HYPERLINK("https://github.com/google/ExoPlayer/releases","show")</f>
        <v>show</v>
      </c>
    </row>
    <row r="3674" spans="1:6">
      <c r="A3674" t="s">
        <v>10956</v>
      </c>
      <c r="B3674" t="s">
        <v>10957</v>
      </c>
      <c r="C3674" t="s">
        <v>10958</v>
      </c>
      <c r="D3674" t="str">
        <f>HYPERLINK("https://github.com/PojavLauncherTeam/PojavLauncher/issues/2713","show")</f>
        <v>show</v>
      </c>
      <c r="E3674" t="str">
        <f>HYPERLINK("https://github.com/PojavLauncherTeam/PojavLauncher","show")</f>
        <v>show</v>
      </c>
      <c r="F3674" t="str">
        <f>HYPERLINK("https://github.com/PojavLauncherTeam/PojavLauncher/releases","show")</f>
        <v>show</v>
      </c>
    </row>
    <row r="3675" spans="1:6">
      <c r="A3675" t="s">
        <v>10959</v>
      </c>
      <c r="B3675" t="s">
        <v>10960</v>
      </c>
      <c r="C3675" t="s">
        <v>10961</v>
      </c>
      <c r="D3675" t="str">
        <f>HYPERLINK("https://github.com/TeamNewPipe/NewPipe/issues/7844","show")</f>
        <v>show</v>
      </c>
      <c r="E3675" t="str">
        <f>HYPERLINK("https://github.com/TeamNewPipe/NewPipe","show")</f>
        <v>show</v>
      </c>
      <c r="F3675" t="str">
        <f>HYPERLINK("https://github.com/TeamNewPipe/NewPipe/releases","show")</f>
        <v>show</v>
      </c>
    </row>
    <row r="3676" spans="1:6">
      <c r="A3676" t="s">
        <v>10962</v>
      </c>
      <c r="B3676" t="s">
        <v>10963</v>
      </c>
      <c r="C3676" t="s">
        <v>10964</v>
      </c>
      <c r="D3676" t="str">
        <f>HYPERLINK("https://github.com/TeamNewPipe/NewPipe/issues/7843","show")</f>
        <v>show</v>
      </c>
      <c r="E3676" t="str">
        <f>HYPERLINK("https://github.com/TeamNewPipe/NewPipe","show")</f>
        <v>show</v>
      </c>
      <c r="F3676" t="str">
        <f>HYPERLINK("https://github.com/TeamNewPipe/NewPipe/releases","show")</f>
        <v>show</v>
      </c>
    </row>
    <row r="3677" spans="1:6">
      <c r="A3677" t="s">
        <v>10965</v>
      </c>
      <c r="B3677" t="s">
        <v>10966</v>
      </c>
      <c r="C3677" t="s">
        <v>10967</v>
      </c>
      <c r="D3677" t="str">
        <f>HYPERLINK("https://github.com/PojavLauncherTeam/PojavLauncher/issues/2708","show")</f>
        <v>show</v>
      </c>
      <c r="E3677" t="str">
        <f>HYPERLINK("https://github.com/PojavLauncherTeam/PojavLauncher","show")</f>
        <v>show</v>
      </c>
      <c r="F3677" t="str">
        <f>HYPERLINK("https://github.com/PojavLauncherTeam/PojavLauncher/releases","show")</f>
        <v>show</v>
      </c>
    </row>
    <row r="3678" spans="1:6">
      <c r="A3678" t="s">
        <v>10968</v>
      </c>
      <c r="B3678" t="s">
        <v>10969</v>
      </c>
      <c r="C3678" t="s">
        <v>10970</v>
      </c>
      <c r="D3678" t="str">
        <f>HYPERLINK("https://github.com/TeamNewPipe/NewPipe/issues/7834","show")</f>
        <v>show</v>
      </c>
      <c r="E3678" t="str">
        <f>HYPERLINK("https://github.com/TeamNewPipe/NewPipe","show")</f>
        <v>show</v>
      </c>
      <c r="F3678" t="str">
        <f>HYPERLINK("https://github.com/TeamNewPipe/NewPipe/releases","show")</f>
        <v>show</v>
      </c>
    </row>
    <row r="3679" spans="1:6">
      <c r="A3679" t="s">
        <v>10971</v>
      </c>
      <c r="B3679" t="s">
        <v>10972</v>
      </c>
      <c r="C3679" t="s">
        <v>10973</v>
      </c>
      <c r="D3679" t="str">
        <f>HYPERLINK("https://github.com/Anuken/Mindustry/issues/6560","show")</f>
        <v>show</v>
      </c>
      <c r="E3679" t="str">
        <f>HYPERLINK("https://github.com/Anuken/Mindustry","show")</f>
        <v>show</v>
      </c>
      <c r="F3679" t="str">
        <f>HYPERLINK("https://github.com/Anuken/Mindustry/releases","show")</f>
        <v>show</v>
      </c>
    </row>
    <row r="3680" spans="1:6">
      <c r="A3680" t="s">
        <v>10974</v>
      </c>
      <c r="B3680" t="s">
        <v>10975</v>
      </c>
      <c r="C3680" t="s">
        <v>10976</v>
      </c>
      <c r="D3680" t="str">
        <f>HYPERLINK("https://github.com/doublesymmetry/react-native-track-player/issues/1403","show")</f>
        <v>show</v>
      </c>
      <c r="E3680" t="str">
        <f>HYPERLINK("https://github.com/doublesymmetry/react-native-track-player","show")</f>
        <v>show</v>
      </c>
      <c r="F3680" t="str">
        <f>HYPERLINK("https://github.com/doublesymmetry/react-native-track-player/releases","show")</f>
        <v>show</v>
      </c>
    </row>
    <row r="3681" spans="1:6">
      <c r="A3681" t="s">
        <v>10977</v>
      </c>
      <c r="B3681" t="s">
        <v>10978</v>
      </c>
      <c r="C3681" t="s">
        <v>10979</v>
      </c>
      <c r="D3681" t="str">
        <f>HYPERLINK("https://github.com/PojavLauncherTeam/PojavLauncher/issues/2706","show")</f>
        <v>show</v>
      </c>
      <c r="E3681" t="str">
        <f>HYPERLINK("https://github.com/PojavLauncherTeam/PojavLauncher","show")</f>
        <v>show</v>
      </c>
      <c r="F3681" t="str">
        <f>HYPERLINK("https://github.com/PojavLauncherTeam/PojavLauncher/releases","show")</f>
        <v>show</v>
      </c>
    </row>
    <row r="3682" spans="1:6">
      <c r="A3682" t="s">
        <v>10980</v>
      </c>
      <c r="B3682" t="s">
        <v>10981</v>
      </c>
      <c r="C3682" t="s">
        <v>10982</v>
      </c>
      <c r="D3682" t="str">
        <f>HYPERLINK("https://github.com/PojavLauncherTeam/PojavLauncher/issues/2703","show")</f>
        <v>show</v>
      </c>
      <c r="E3682" t="str">
        <f>HYPERLINK("https://github.com/PojavLauncherTeam/PojavLauncher","show")</f>
        <v>show</v>
      </c>
      <c r="F3682" t="str">
        <f>HYPERLINK("https://github.com/PojavLauncherTeam/PojavLauncher/releases","show")</f>
        <v>show</v>
      </c>
    </row>
    <row r="3683" spans="1:6">
      <c r="A3683" t="s">
        <v>10983</v>
      </c>
      <c r="B3683" t="s">
        <v>10984</v>
      </c>
      <c r="C3683" t="s">
        <v>10985</v>
      </c>
      <c r="D3683" t="str">
        <f>HYPERLINK("https://github.com/fossasia/pslab-android/issues/2320","show")</f>
        <v>show</v>
      </c>
      <c r="E3683" t="str">
        <f>HYPERLINK("https://github.com/fossasia/pslab-android","show")</f>
        <v>show</v>
      </c>
      <c r="F3683" t="str">
        <f>HYPERLINK("https://github.com/fossasia/pslab-android/releases","show")</f>
        <v>show</v>
      </c>
    </row>
    <row r="3684" spans="1:6">
      <c r="A3684" t="s">
        <v>10986</v>
      </c>
      <c r="B3684" t="s">
        <v>10987</v>
      </c>
      <c r="C3684" t="s">
        <v>10988</v>
      </c>
      <c r="D3684" t="str">
        <f>HYPERLINK("https://github.com/PojavLauncherTeam/PojavLauncher/issues/2699","show")</f>
        <v>show</v>
      </c>
      <c r="E3684" t="str">
        <f>HYPERLINK("https://github.com/PojavLauncherTeam/PojavLauncher","show")</f>
        <v>show</v>
      </c>
      <c r="F3684" t="str">
        <f>HYPERLINK("https://github.com/PojavLauncherTeam/PojavLauncher/releases","show")</f>
        <v>show</v>
      </c>
    </row>
    <row r="3685" spans="1:6">
      <c r="A3685" t="s">
        <v>10989</v>
      </c>
      <c r="B3685" t="s">
        <v>10990</v>
      </c>
      <c r="C3685" t="s">
        <v>10991</v>
      </c>
      <c r="D3685" t="str">
        <f>HYPERLINK("https://github.com/PojavLauncherTeam/PojavLauncher/issues/2698","show")</f>
        <v>show</v>
      </c>
      <c r="E3685" t="str">
        <f>HYPERLINK("https://github.com/PojavLauncherTeam/PojavLauncher","show")</f>
        <v>show</v>
      </c>
      <c r="F3685" t="str">
        <f>HYPERLINK("https://github.com/PojavLauncherTeam/PojavLauncher/releases","show")</f>
        <v>show</v>
      </c>
    </row>
    <row r="3686" spans="1:6">
      <c r="A3686" t="s">
        <v>10992</v>
      </c>
      <c r="B3686" t="s">
        <v>10993</v>
      </c>
      <c r="C3686" t="s">
        <v>10994</v>
      </c>
      <c r="D3686" t="str">
        <f>HYPERLINK("https://github.com/TeamNewPipe/NewPipe/issues/7825","show")</f>
        <v>show</v>
      </c>
      <c r="E3686" t="str">
        <f>HYPERLINK("https://github.com/TeamNewPipe/NewPipe","show")</f>
        <v>show</v>
      </c>
      <c r="F3686" t="str">
        <f>HYPERLINK("https://github.com/TeamNewPipe/NewPipe/releases","show")</f>
        <v>show</v>
      </c>
    </row>
    <row r="3687" spans="1:6">
      <c r="A3687" t="s">
        <v>10995</v>
      </c>
      <c r="B3687" t="s">
        <v>10996</v>
      </c>
      <c r="C3687" t="s">
        <v>10997</v>
      </c>
      <c r="D3687" t="str">
        <f>HYPERLINK("https://github.com/itsaky/AndroidIDE/issues/99","show")</f>
        <v>show</v>
      </c>
      <c r="E3687" t="str">
        <f>HYPERLINK("https://github.com/itsaky/AndroidIDE","show")</f>
        <v>show</v>
      </c>
      <c r="F3687" t="str">
        <f>HYPERLINK("https://github.com/itsaky/AndroidIDE/releases","show")</f>
        <v>show</v>
      </c>
    </row>
    <row r="3688" spans="1:6">
      <c r="A3688" t="s">
        <v>10998</v>
      </c>
      <c r="B3688" t="s">
        <v>10999</v>
      </c>
      <c r="C3688" t="s">
        <v>11000</v>
      </c>
      <c r="D3688" t="str">
        <f>HYPERLINK("https://github.com/PojavLauncherTeam/PojavLauncher/issues/2691","show")</f>
        <v>show</v>
      </c>
      <c r="E3688" t="str">
        <f>HYPERLINK("https://github.com/PojavLauncherTeam/PojavLauncher","show")</f>
        <v>show</v>
      </c>
      <c r="F3688" t="str">
        <f>HYPERLINK("https://github.com/PojavLauncherTeam/PojavLauncher/releases","show")</f>
        <v>show</v>
      </c>
    </row>
    <row r="3689" spans="1:6">
      <c r="A3689" t="s">
        <v>11001</v>
      </c>
      <c r="B3689" t="s">
        <v>11002</v>
      </c>
      <c r="C3689" t="s">
        <v>11003</v>
      </c>
      <c r="D3689" t="str">
        <f>HYPERLINK("https://github.com/TeamNewPipe/NewPipe/issues/7823","show")</f>
        <v>show</v>
      </c>
      <c r="E3689" t="str">
        <f>HYPERLINK("https://github.com/TeamNewPipe/NewPipe","show")</f>
        <v>show</v>
      </c>
      <c r="F3689" t="str">
        <f>HYPERLINK("https://github.com/TeamNewPipe/NewPipe/releases","show")</f>
        <v>show</v>
      </c>
    </row>
    <row r="3690" spans="1:6">
      <c r="A3690" t="s">
        <v>11004</v>
      </c>
      <c r="B3690" t="s">
        <v>11005</v>
      </c>
      <c r="C3690" t="s">
        <v>11006</v>
      </c>
      <c r="D3690" t="str">
        <f>HYPERLINK("https://github.com/TeamNewPipe/NewPipe/issues/7821","show")</f>
        <v>show</v>
      </c>
      <c r="E3690" t="str">
        <f>HYPERLINK("https://github.com/TeamNewPipe/NewPipe","show")</f>
        <v>show</v>
      </c>
      <c r="F3690" t="str">
        <f>HYPERLINK("https://github.com/TeamNewPipe/NewPipe/releases","show")</f>
        <v>show</v>
      </c>
    </row>
    <row r="3691" spans="1:6">
      <c r="A3691" t="s">
        <v>11007</v>
      </c>
      <c r="B3691" t="s">
        <v>11008</v>
      </c>
      <c r="C3691" t="s">
        <v>11009</v>
      </c>
      <c r="D3691" t="str">
        <f>HYPERLINK("https://github.com/PojavLauncherTeam/PojavLauncher/issues/2688","show")</f>
        <v>show</v>
      </c>
      <c r="E3691" t="str">
        <f>HYPERLINK("https://github.com/PojavLauncherTeam/PojavLauncher","show")</f>
        <v>show</v>
      </c>
      <c r="F3691" t="str">
        <f>HYPERLINK("https://github.com/PojavLauncherTeam/PojavLauncher/releases","show")</f>
        <v>show</v>
      </c>
    </row>
    <row r="3692" spans="1:6">
      <c r="A3692" t="s">
        <v>11010</v>
      </c>
      <c r="B3692" t="s">
        <v>11008</v>
      </c>
      <c r="C3692" t="s">
        <v>11009</v>
      </c>
      <c r="D3692" t="str">
        <f>HYPERLINK("https://github.com/PojavLauncherTeam/PojavLauncher/issues/2687","show")</f>
        <v>show</v>
      </c>
      <c r="E3692" t="str">
        <f>HYPERLINK("https://github.com/PojavLauncherTeam/PojavLauncher","show")</f>
        <v>show</v>
      </c>
      <c r="F3692" t="str">
        <f>HYPERLINK("https://github.com/PojavLauncherTeam/PojavLauncher/releases","show")</f>
        <v>show</v>
      </c>
    </row>
    <row r="3693" spans="1:6">
      <c r="A3693" t="s">
        <v>11011</v>
      </c>
      <c r="B3693" t="s">
        <v>11012</v>
      </c>
      <c r="C3693" t="s">
        <v>11013</v>
      </c>
      <c r="D3693" t="str">
        <f>HYPERLINK("https://github.com/PojavLauncherTeam/PojavLauncher/issues/2685","show")</f>
        <v>show</v>
      </c>
      <c r="E3693" t="str">
        <f>HYPERLINK("https://github.com/PojavLauncherTeam/PojavLauncher","show")</f>
        <v>show</v>
      </c>
      <c r="F3693" t="str">
        <f>HYPERLINK("https://github.com/PojavLauncherTeam/PojavLauncher/releases","show")</f>
        <v>show</v>
      </c>
    </row>
    <row r="3694" spans="1:6">
      <c r="A3694" t="s">
        <v>11014</v>
      </c>
      <c r="B3694" t="s">
        <v>11015</v>
      </c>
      <c r="C3694" t="s">
        <v>11016</v>
      </c>
      <c r="D3694" t="str">
        <f>HYPERLINK("https://github.com/canyie/pine/issues/24","show")</f>
        <v>show</v>
      </c>
      <c r="E3694" t="str">
        <f>HYPERLINK("https://github.com/canyie/pine","show")</f>
        <v>show</v>
      </c>
      <c r="F3694" t="str">
        <f>HYPERLINK("https://github.com/canyie/pine/releases","show")</f>
        <v>show</v>
      </c>
    </row>
    <row r="3695" spans="1:6">
      <c r="A3695" t="s">
        <v>11017</v>
      </c>
      <c r="B3695" t="s">
        <v>11018</v>
      </c>
      <c r="C3695" t="s">
        <v>11019</v>
      </c>
      <c r="D3695" t="str">
        <f>HYPERLINK("https://github.com/inaturalist/iNaturalistAndroid/issues/1182","show")</f>
        <v>show</v>
      </c>
      <c r="E3695" t="str">
        <f>HYPERLINK("https://github.com/inaturalist/iNaturalistAndroid","show")</f>
        <v>show</v>
      </c>
      <c r="F3695" t="str">
        <f>HYPERLINK("https://github.com/inaturalist/iNaturalistAndroid/releases","show")</f>
        <v>show</v>
      </c>
    </row>
    <row r="3696" spans="1:6">
      <c r="A3696" t="s">
        <v>11020</v>
      </c>
      <c r="B3696" t="s">
        <v>11021</v>
      </c>
      <c r="C3696" t="s">
        <v>11022</v>
      </c>
      <c r="D3696" t="str">
        <f>HYPERLINK("https://github.com/PojavLauncherTeam/PojavLauncher/issues/2683","show")</f>
        <v>show</v>
      </c>
      <c r="E3696" t="str">
        <f>HYPERLINK("https://github.com/PojavLauncherTeam/PojavLauncher","show")</f>
        <v>show</v>
      </c>
      <c r="F3696" t="str">
        <f>HYPERLINK("https://github.com/PojavLauncherTeam/PojavLauncher/releases","show")</f>
        <v>show</v>
      </c>
    </row>
    <row r="3697" spans="1:6">
      <c r="A3697" t="s">
        <v>11023</v>
      </c>
      <c r="B3697" t="s">
        <v>11024</v>
      </c>
      <c r="C3697" t="s">
        <v>11025</v>
      </c>
      <c r="D3697" t="str">
        <f>HYPERLINK("https://github.com/kuldeepsinghrai/social-app/issues/12","show")</f>
        <v>show</v>
      </c>
      <c r="E3697" t="str">
        <f>HYPERLINK("https://github.com/kuldeepsinghrai/social-app","show")</f>
        <v>show</v>
      </c>
      <c r="F3697" t="str">
        <f>HYPERLINK("https://github.com/kuldeepsinghrai/social-app/releases","show")</f>
        <v>show</v>
      </c>
    </row>
    <row r="3698" spans="1:6">
      <c r="A3698" t="s">
        <v>11026</v>
      </c>
      <c r="B3698" t="s">
        <v>11027</v>
      </c>
      <c r="C3698" t="s">
        <v>11028</v>
      </c>
      <c r="D3698" t="str">
        <f>HYPERLINK("https://github.com/kuldeepsinghrai/social-app/issues/9","show")</f>
        <v>show</v>
      </c>
      <c r="E3698" t="str">
        <f>HYPERLINK("https://github.com/kuldeepsinghrai/social-app","show")</f>
        <v>show</v>
      </c>
      <c r="F3698" t="str">
        <f>HYPERLINK("https://github.com/kuldeepsinghrai/social-app/releases","show")</f>
        <v>show</v>
      </c>
    </row>
    <row r="3699" spans="1:6">
      <c r="A3699" t="s">
        <v>11029</v>
      </c>
      <c r="B3699" t="s">
        <v>11030</v>
      </c>
      <c r="C3699" t="s">
        <v>11031</v>
      </c>
      <c r="D3699" t="str">
        <f>HYPERLINK("https://github.com/kuldeepsinghrai/social-app/issues/5","show")</f>
        <v>show</v>
      </c>
      <c r="E3699" t="str">
        <f>HYPERLINK("https://github.com/kuldeepsinghrai/social-app","show")</f>
        <v>show</v>
      </c>
      <c r="F3699" t="str">
        <f>HYPERLINK("https://github.com/kuldeepsinghrai/social-app/releases","show")</f>
        <v>show</v>
      </c>
    </row>
    <row r="3700" spans="1:6">
      <c r="A3700" t="s">
        <v>11032</v>
      </c>
      <c r="B3700" t="s">
        <v>11033</v>
      </c>
      <c r="C3700" t="s">
        <v>11034</v>
      </c>
      <c r="D3700" t="str">
        <f>HYPERLINK("https://github.com/PojavLauncherTeam/PojavLauncher/issues/2679","show")</f>
        <v>show</v>
      </c>
      <c r="E3700" t="str">
        <f>HYPERLINK("https://github.com/PojavLauncherTeam/PojavLauncher","show")</f>
        <v>show</v>
      </c>
      <c r="F3700" t="str">
        <f>HYPERLINK("https://github.com/PojavLauncherTeam/PojavLauncher/releases","show")</f>
        <v>show</v>
      </c>
    </row>
    <row r="3701" spans="1:6">
      <c r="A3701" t="s">
        <v>11035</v>
      </c>
      <c r="B3701" t="s">
        <v>11036</v>
      </c>
      <c r="C3701" t="s">
        <v>11037</v>
      </c>
      <c r="D3701" t="str">
        <f>HYPERLINK("https://github.com/PojavLauncherTeam/PojavLauncher/issues/2674","show")</f>
        <v>show</v>
      </c>
      <c r="E3701" t="str">
        <f>HYPERLINK("https://github.com/PojavLauncherTeam/PojavLauncher","show")</f>
        <v>show</v>
      </c>
      <c r="F3701" t="str">
        <f>HYPERLINK("https://github.com/PojavLauncherTeam/PojavLauncher/releases","show")</f>
        <v>show</v>
      </c>
    </row>
    <row r="3702" spans="1:6">
      <c r="A3702" t="s">
        <v>11038</v>
      </c>
      <c r="B3702" t="s">
        <v>9922</v>
      </c>
      <c r="C3702" t="s">
        <v>11039</v>
      </c>
      <c r="D3702" t="str">
        <f>HYPERLINK("https://github.com/PojavLauncherTeam/PojavLauncher/issues/2673","show")</f>
        <v>show</v>
      </c>
      <c r="E3702" t="str">
        <f>HYPERLINK("https://github.com/PojavLauncherTeam/PojavLauncher","show")</f>
        <v>show</v>
      </c>
      <c r="F3702" t="str">
        <f>HYPERLINK("https://github.com/PojavLauncherTeam/PojavLauncher/releases","show")</f>
        <v>show</v>
      </c>
    </row>
    <row r="3703" spans="1:6">
      <c r="A3703" t="s">
        <v>11040</v>
      </c>
      <c r="B3703" t="s">
        <v>11041</v>
      </c>
      <c r="C3703" t="s">
        <v>11042</v>
      </c>
      <c r="D3703" t="str">
        <f>HYPERLINK("https://github.com/TeamNewPipe/NewPipe/issues/7792","show")</f>
        <v>show</v>
      </c>
      <c r="E3703" t="str">
        <f>HYPERLINK("https://github.com/TeamNewPipe/NewPipe","show")</f>
        <v>show</v>
      </c>
      <c r="F3703" t="str">
        <f>HYPERLINK("https://github.com/TeamNewPipe/NewPipe/releases","show")</f>
        <v>show</v>
      </c>
    </row>
    <row r="3704" spans="1:6">
      <c r="A3704" t="s">
        <v>11043</v>
      </c>
      <c r="B3704" t="s">
        <v>11044</v>
      </c>
      <c r="C3704" t="s">
        <v>11045</v>
      </c>
      <c r="D3704" t="str">
        <f>HYPERLINK("https://github.com/Marmo/debitum/issues/86","show")</f>
        <v>show</v>
      </c>
      <c r="E3704" t="str">
        <f>HYPERLINK("https://github.com/Marmo/debitum","show")</f>
        <v>show</v>
      </c>
      <c r="F3704" t="str">
        <f>HYPERLINK("https://github.com/Marmo/debitum/releases","show")</f>
        <v>show</v>
      </c>
    </row>
    <row r="3705" spans="1:6">
      <c r="A3705" t="s">
        <v>11046</v>
      </c>
      <c r="B3705" t="s">
        <v>11047</v>
      </c>
      <c r="C3705" t="s">
        <v>11048</v>
      </c>
      <c r="D3705" t="str">
        <f>HYPERLINK("https://github.com/material-components/material-components-android/issues/2550","show")</f>
        <v>show</v>
      </c>
      <c r="E3705" t="str">
        <f>HYPERLINK("https://github.com/material-components/material-components-android","show")</f>
        <v>show</v>
      </c>
      <c r="F3705" t="str">
        <f>HYPERLINK("https://github.com/material-components/material-components-android/releases","show")</f>
        <v>show</v>
      </c>
    </row>
    <row r="3706" spans="1:6">
      <c r="A3706" t="s">
        <v>11049</v>
      </c>
      <c r="B3706" t="s">
        <v>11050</v>
      </c>
      <c r="C3706" t="s">
        <v>11051</v>
      </c>
      <c r="D3706" t="str">
        <f>HYPERLINK("https://github.com/aws-amplify/amplify-android/issues/1651","show")</f>
        <v>show</v>
      </c>
      <c r="E3706" t="str">
        <f>HYPERLINK("https://github.com/aws-amplify/amplify-android","show")</f>
        <v>show</v>
      </c>
      <c r="F3706" t="str">
        <f>HYPERLINK("https://github.com/aws-amplify/amplify-android/releases","show")</f>
        <v>show</v>
      </c>
    </row>
    <row r="3707" spans="1:6">
      <c r="A3707" t="s">
        <v>11052</v>
      </c>
      <c r="B3707" t="s">
        <v>11053</v>
      </c>
      <c r="C3707" t="s">
        <v>11054</v>
      </c>
      <c r="D3707" t="str">
        <f>HYPERLINK("https://github.com/TeamNewPipe/NewPipe/issues/7785","show")</f>
        <v>show</v>
      </c>
      <c r="E3707" t="str">
        <f>HYPERLINK("https://github.com/TeamNewPipe/NewPipe","show")</f>
        <v>show</v>
      </c>
      <c r="F3707" t="str">
        <f>HYPERLINK("https://github.com/TeamNewPipe/NewPipe/releases","show")</f>
        <v>show</v>
      </c>
    </row>
    <row r="3708" spans="1:6">
      <c r="A3708" t="s">
        <v>11055</v>
      </c>
      <c r="B3708" t="s">
        <v>11056</v>
      </c>
      <c r="C3708" t="s">
        <v>11057</v>
      </c>
      <c r="D3708" t="str">
        <f>HYPERLINK("https://github.com/PojavLauncherTeam/PojavLauncher/issues/2669","show")</f>
        <v>show</v>
      </c>
      <c r="E3708" t="str">
        <f>HYPERLINK("https://github.com/PojavLauncherTeam/PojavLauncher","show")</f>
        <v>show</v>
      </c>
      <c r="F3708" t="str">
        <f>HYPERLINK("https://github.com/PojavLauncherTeam/PojavLauncher/releases","show")</f>
        <v>show</v>
      </c>
    </row>
    <row r="3709" spans="1:6">
      <c r="A3709" t="s">
        <v>11058</v>
      </c>
      <c r="B3709" t="s">
        <v>11059</v>
      </c>
      <c r="C3709" t="s">
        <v>11060</v>
      </c>
      <c r="D3709" t="str">
        <f>HYPERLINK("https://github.com/TeamNewPipe/NewPipe/issues/7783","show")</f>
        <v>show</v>
      </c>
      <c r="E3709" t="str">
        <f>HYPERLINK("https://github.com/TeamNewPipe/NewPipe","show")</f>
        <v>show</v>
      </c>
      <c r="F3709" t="str">
        <f>HYPERLINK("https://github.com/TeamNewPipe/NewPipe/releases","show")</f>
        <v>show</v>
      </c>
    </row>
    <row r="3710" spans="1:6">
      <c r="A3710" t="s">
        <v>11061</v>
      </c>
      <c r="B3710" t="s">
        <v>11062</v>
      </c>
      <c r="C3710" t="s">
        <v>11063</v>
      </c>
      <c r="D3710" t="str">
        <f>HYPERLINK("https://github.com/PojavLauncherTeam/PojavLauncher/issues/2668","show")</f>
        <v>show</v>
      </c>
      <c r="E3710" t="str">
        <f>HYPERLINK("https://github.com/PojavLauncherTeam/PojavLauncher","show")</f>
        <v>show</v>
      </c>
      <c r="F3710" t="str">
        <f>HYPERLINK("https://github.com/PojavLauncherTeam/PojavLauncher/releases","show")</f>
        <v>show</v>
      </c>
    </row>
    <row r="3711" spans="1:6">
      <c r="A3711" t="s">
        <v>11064</v>
      </c>
      <c r="B3711" t="s">
        <v>11065</v>
      </c>
      <c r="C3711" t="s">
        <v>11066</v>
      </c>
      <c r="D3711" t="str">
        <f>HYPERLINK("https://github.com/freenet-mobile/app/issues/112","show")</f>
        <v>show</v>
      </c>
      <c r="E3711" t="str">
        <f>HYPERLINK("https://github.com/freenet-mobile/app","show")</f>
        <v>show</v>
      </c>
      <c r="F3711" t="str">
        <f>HYPERLINK("https://github.com/freenet-mobile/app/releases","show")</f>
        <v>show</v>
      </c>
    </row>
    <row r="3712" spans="1:6">
      <c r="A3712" t="s">
        <v>11067</v>
      </c>
      <c r="B3712" t="s">
        <v>11068</v>
      </c>
      <c r="C3712" t="s">
        <v>11069</v>
      </c>
      <c r="D3712" t="str">
        <f>HYPERLINK("https://github.com/TeamNewPipe/NewPipe/issues/7780","show")</f>
        <v>show</v>
      </c>
      <c r="E3712" t="str">
        <f>HYPERLINK("https://github.com/TeamNewPipe/NewPipe","show")</f>
        <v>show</v>
      </c>
      <c r="F3712" t="str">
        <f>HYPERLINK("https://github.com/TeamNewPipe/NewPipe/releases","show")</f>
        <v>show</v>
      </c>
    </row>
    <row r="3713" spans="1:6">
      <c r="A3713" t="s">
        <v>11070</v>
      </c>
      <c r="B3713" t="s">
        <v>11071</v>
      </c>
      <c r="C3713" t="s">
        <v>11072</v>
      </c>
      <c r="D3713" t="str">
        <f>HYPERLINK("https://github.com/google/gson/issues/2070","show")</f>
        <v>show</v>
      </c>
      <c r="E3713" t="str">
        <f>HYPERLINK("https://github.com/google/gson","show")</f>
        <v>show</v>
      </c>
      <c r="F3713" t="str">
        <f>HYPERLINK("https://github.com/google/gson/releases","show")</f>
        <v>show</v>
      </c>
    </row>
    <row r="3714" spans="1:6">
      <c r="A3714" t="s">
        <v>11073</v>
      </c>
      <c r="B3714" t="s">
        <v>11074</v>
      </c>
      <c r="C3714" t="s">
        <v>11069</v>
      </c>
      <c r="D3714" t="str">
        <f>HYPERLINK("https://github.com/TeamNewPipe/NewPipe/issues/7777","show")</f>
        <v>show</v>
      </c>
      <c r="E3714" t="str">
        <f>HYPERLINK("https://github.com/TeamNewPipe/NewPipe","show")</f>
        <v>show</v>
      </c>
      <c r="F3714" t="str">
        <f>HYPERLINK("https://github.com/TeamNewPipe/NewPipe/releases","show")</f>
        <v>show</v>
      </c>
    </row>
    <row r="3715" spans="1:6">
      <c r="A3715" t="s">
        <v>11075</v>
      </c>
      <c r="B3715" t="s">
        <v>11076</v>
      </c>
      <c r="C3715" t="s">
        <v>11077</v>
      </c>
      <c r="D3715" t="str">
        <f>HYPERLINK("https://github.com/PojavLauncherTeam/PojavLauncher/issues/2664","show")</f>
        <v>show</v>
      </c>
      <c r="E3715" t="str">
        <f>HYPERLINK("https://github.com/PojavLauncherTeam/PojavLauncher","show")</f>
        <v>show</v>
      </c>
      <c r="F3715" t="str">
        <f>HYPERLINK("https://github.com/PojavLauncherTeam/PojavLauncher/releases","show")</f>
        <v>show</v>
      </c>
    </row>
    <row r="3716" spans="1:6">
      <c r="A3716" t="s">
        <v>11078</v>
      </c>
      <c r="B3716" t="s">
        <v>11079</v>
      </c>
      <c r="C3716" t="s">
        <v>11080</v>
      </c>
      <c r="D3716" t="str">
        <f>HYPERLINK("https://github.com/hzi-braunschweig/SORMAS-Project/issues/7849","show")</f>
        <v>show</v>
      </c>
      <c r="E3716" t="str">
        <f>HYPERLINK("https://github.com/hzi-braunschweig/SORMAS-Project","show")</f>
        <v>show</v>
      </c>
      <c r="F3716" t="str">
        <f>HYPERLINK("https://github.com/hzi-braunschweig/SORMAS-Project/releases","show")</f>
        <v>show</v>
      </c>
    </row>
    <row r="3717" spans="1:6">
      <c r="A3717" t="s">
        <v>11081</v>
      </c>
      <c r="B3717" t="s">
        <v>11082</v>
      </c>
      <c r="C3717" t="s">
        <v>11083</v>
      </c>
      <c r="D3717" t="str">
        <f>HYPERLINK("https://github.com/TeamNewPipe/NewPipe/issues/7775","show")</f>
        <v>show</v>
      </c>
      <c r="E3717" t="str">
        <f>HYPERLINK("https://github.com/TeamNewPipe/NewPipe","show")</f>
        <v>show</v>
      </c>
      <c r="F3717" t="str">
        <f>HYPERLINK("https://github.com/TeamNewPipe/NewPipe/releases","show")</f>
        <v>show</v>
      </c>
    </row>
    <row r="3718" spans="1:6">
      <c r="A3718" t="s">
        <v>11084</v>
      </c>
      <c r="B3718" t="s">
        <v>11085</v>
      </c>
      <c r="C3718" t="s">
        <v>11086</v>
      </c>
      <c r="D3718" t="str">
        <f>HYPERLINK("https://github.com/massivemadness/Squircle-IDE/issues/110","show")</f>
        <v>show</v>
      </c>
      <c r="E3718" t="str">
        <f>HYPERLINK("https://github.com/massivemadness/Squircle-IDE","show")</f>
        <v>show</v>
      </c>
      <c r="F3718" t="str">
        <f>HYPERLINK("https://github.com/massivemadness/Squircle-IDE/releases","show")</f>
        <v>show</v>
      </c>
    </row>
    <row r="3719" spans="1:6">
      <c r="A3719" t="s">
        <v>11087</v>
      </c>
      <c r="B3719" t="s">
        <v>11088</v>
      </c>
      <c r="C3719" t="s">
        <v>11089</v>
      </c>
      <c r="D3719" t="str">
        <f>HYPERLINK("https://github.com/hzi-braunschweig/SORMAS-Project/issues/7839","show")</f>
        <v>show</v>
      </c>
      <c r="E3719" t="str">
        <f>HYPERLINK("https://github.com/hzi-braunschweig/SORMAS-Project","show")</f>
        <v>show</v>
      </c>
      <c r="F3719" t="str">
        <f>HYPERLINK("https://github.com/hzi-braunschweig/SORMAS-Project/releases","show")</f>
        <v>show</v>
      </c>
    </row>
    <row r="3720" spans="1:6">
      <c r="A3720" t="s">
        <v>11090</v>
      </c>
      <c r="B3720" t="s">
        <v>11091</v>
      </c>
      <c r="C3720" t="s">
        <v>11092</v>
      </c>
      <c r="D3720" t="str">
        <f>HYPERLINK("https://github.com/TeamNewPipe/NewPipe/issues/7756","show")</f>
        <v>show</v>
      </c>
      <c r="E3720" t="str">
        <f>HYPERLINK("https://github.com/TeamNewPipe/NewPipe","show")</f>
        <v>show</v>
      </c>
      <c r="F3720" t="str">
        <f>HYPERLINK("https://github.com/TeamNewPipe/NewPipe/releases","show")</f>
        <v>show</v>
      </c>
    </row>
    <row r="3721" spans="1:6">
      <c r="A3721" t="s">
        <v>11093</v>
      </c>
      <c r="B3721" t="s">
        <v>11094</v>
      </c>
      <c r="C3721" t="s">
        <v>11095</v>
      </c>
      <c r="D3721" t="str">
        <f>HYPERLINK("https://github.com/TeamNewPipe/NewPipe/issues/7755","show")</f>
        <v>show</v>
      </c>
      <c r="E3721" t="str">
        <f>HYPERLINK("https://github.com/TeamNewPipe/NewPipe","show")</f>
        <v>show</v>
      </c>
      <c r="F3721" t="str">
        <f>HYPERLINK("https://github.com/TeamNewPipe/NewPipe/releases","show")</f>
        <v>show</v>
      </c>
    </row>
    <row r="3722" spans="1:6">
      <c r="A3722" t="s">
        <v>11096</v>
      </c>
      <c r="B3722" t="s">
        <v>11097</v>
      </c>
      <c r="C3722" t="s">
        <v>11098</v>
      </c>
      <c r="D3722" t="str">
        <f>HYPERLINK("https://github.com/PojavLauncherTeam/PojavLauncher/issues/2661","show")</f>
        <v>show</v>
      </c>
      <c r="E3722" t="str">
        <f>HYPERLINK("https://github.com/PojavLauncherTeam/PojavLauncher","show")</f>
        <v>show</v>
      </c>
      <c r="F3722" t="str">
        <f>HYPERLINK("https://github.com/PojavLauncherTeam/PojavLauncher/releases","show")</f>
        <v>show</v>
      </c>
    </row>
    <row r="3723" spans="1:6">
      <c r="A3723" t="s">
        <v>11099</v>
      </c>
      <c r="B3723" t="s">
        <v>11100</v>
      </c>
      <c r="C3723" t="s">
        <v>11101</v>
      </c>
      <c r="D3723" t="str">
        <f>HYPERLINK("https://github.com/inaturalist/iNaturalistAndroid/issues/1180","show")</f>
        <v>show</v>
      </c>
      <c r="E3723" t="str">
        <f>HYPERLINK("https://github.com/inaturalist/iNaturalistAndroid","show")</f>
        <v>show</v>
      </c>
      <c r="F3723" t="str">
        <f>HYPERLINK("https://github.com/inaturalist/iNaturalistAndroid/releases","show")</f>
        <v>show</v>
      </c>
    </row>
    <row r="3724" spans="1:6">
      <c r="A3724" t="s">
        <v>11102</v>
      </c>
      <c r="B3724" t="s">
        <v>11103</v>
      </c>
      <c r="C3724" t="s">
        <v>11104</v>
      </c>
      <c r="D3724" t="str">
        <f>HYPERLINK("https://github.com/ably/ably-java/issues/743","show")</f>
        <v>show</v>
      </c>
      <c r="E3724" t="str">
        <f>HYPERLINK("https://github.com/ably/ably-java","show")</f>
        <v>show</v>
      </c>
      <c r="F3724" t="str">
        <f>HYPERLINK("https://github.com/ably/ably-java/releases","show")</f>
        <v>show</v>
      </c>
    </row>
    <row r="3725" spans="1:6">
      <c r="A3725" t="s">
        <v>11105</v>
      </c>
      <c r="B3725" t="s">
        <v>11106</v>
      </c>
      <c r="C3725" t="s">
        <v>11107</v>
      </c>
      <c r="D3725" t="str">
        <f>HYPERLINK("https://github.com/PojavLauncherTeam/PojavLauncher/issues/2659","show")</f>
        <v>show</v>
      </c>
      <c r="E3725" t="str">
        <f>HYPERLINK("https://github.com/PojavLauncherTeam/PojavLauncher","show")</f>
        <v>show</v>
      </c>
      <c r="F3725" t="str">
        <f>HYPERLINK("https://github.com/PojavLauncherTeam/PojavLauncher/releases","show")</f>
        <v>show</v>
      </c>
    </row>
    <row r="3726" spans="1:6">
      <c r="A3726" t="s">
        <v>11108</v>
      </c>
      <c r="B3726" t="s">
        <v>11109</v>
      </c>
      <c r="C3726" t="s">
        <v>11110</v>
      </c>
      <c r="D3726" t="str">
        <f>HYPERLINK("https://github.com/Aliucord/Aliucord/issues/210","show")</f>
        <v>show</v>
      </c>
      <c r="E3726" t="str">
        <f>HYPERLINK("https://github.com/Aliucord/Aliucord","show")</f>
        <v>show</v>
      </c>
      <c r="F3726" t="str">
        <f>HYPERLINK("https://github.com/Aliucord/Aliucord/releases","show")</f>
        <v>show</v>
      </c>
    </row>
    <row r="3727" spans="1:6">
      <c r="A3727" t="s">
        <v>11111</v>
      </c>
      <c r="B3727" t="s">
        <v>11112</v>
      </c>
      <c r="C3727" t="s">
        <v>11113</v>
      </c>
      <c r="D3727" t="str">
        <f>HYPERLINK("https://github.com/PojavLauncherTeam/PojavLauncher/issues/2656","show")</f>
        <v>show</v>
      </c>
      <c r="E3727" t="str">
        <f>HYPERLINK("https://github.com/PojavLauncherTeam/PojavLauncher","show")</f>
        <v>show</v>
      </c>
      <c r="F3727" t="str">
        <f>HYPERLINK("https://github.com/PojavLauncherTeam/PojavLauncher/releases","show")</f>
        <v>show</v>
      </c>
    </row>
    <row r="3728" spans="1:6">
      <c r="A3728" t="s">
        <v>11114</v>
      </c>
      <c r="B3728" t="s">
        <v>11115</v>
      </c>
      <c r="C3728" t="s">
        <v>11116</v>
      </c>
      <c r="D3728" t="str">
        <f>HYPERLINK("https://github.com/nextcloud/android/issues/9780","show")</f>
        <v>show</v>
      </c>
      <c r="E3728" t="str">
        <f>HYPERLINK("https://github.com/nextcloud/android","show")</f>
        <v>show</v>
      </c>
      <c r="F3728" t="str">
        <f>HYPERLINK("https://github.com/nextcloud/android/releases","show")</f>
        <v>show</v>
      </c>
    </row>
    <row r="3729" spans="1:6">
      <c r="A3729" t="s">
        <v>11117</v>
      </c>
      <c r="B3729" t="s">
        <v>11118</v>
      </c>
      <c r="C3729" t="s">
        <v>11119</v>
      </c>
      <c r="D3729" t="str">
        <f>HYPERLINK("https://github.com/PojavLauncherTeam/PojavLauncher/issues/2654","show")</f>
        <v>show</v>
      </c>
      <c r="E3729" t="str">
        <f>HYPERLINK("https://github.com/PojavLauncherTeam/PojavLauncher","show")</f>
        <v>show</v>
      </c>
      <c r="F3729" t="str">
        <f>HYPERLINK("https://github.com/PojavLauncherTeam/PojavLauncher/releases","show")</f>
        <v>show</v>
      </c>
    </row>
    <row r="3730" spans="1:6">
      <c r="A3730" t="s">
        <v>11120</v>
      </c>
      <c r="B3730" t="s">
        <v>11121</v>
      </c>
      <c r="C3730" t="s">
        <v>11122</v>
      </c>
      <c r="D3730" t="str">
        <f>HYPERLINK("https://github.com/Anuken/Mindustry/issues/6541","show")</f>
        <v>show</v>
      </c>
      <c r="E3730" t="str">
        <f>HYPERLINK("https://github.com/Anuken/Mindustry","show")</f>
        <v>show</v>
      </c>
      <c r="F3730" t="str">
        <f>HYPERLINK("https://github.com/Anuken/Mindustry/releases","show")</f>
        <v>show</v>
      </c>
    </row>
    <row r="3731" spans="1:6">
      <c r="A3731" t="s">
        <v>11123</v>
      </c>
      <c r="B3731" t="s">
        <v>11124</v>
      </c>
      <c r="C3731" t="s">
        <v>11125</v>
      </c>
      <c r="D3731" t="str">
        <f>HYPERLINK("https://github.com/jellyfin/jellyfin-androidtv/issues/1396","show")</f>
        <v>show</v>
      </c>
      <c r="E3731" t="str">
        <f>HYPERLINK("https://github.com/jellyfin/jellyfin-androidtv","show")</f>
        <v>show</v>
      </c>
      <c r="F3731" t="str">
        <f>HYPERLINK("https://github.com/jellyfin/jellyfin-androidtv/releases","show")</f>
        <v>show</v>
      </c>
    </row>
    <row r="3732" spans="1:6">
      <c r="A3732" t="s">
        <v>11126</v>
      </c>
      <c r="B3732" t="s">
        <v>11127</v>
      </c>
      <c r="C3732" t="s">
        <v>11128</v>
      </c>
      <c r="D3732" t="str">
        <f>HYPERLINK("https://github.com/TeamNewPipe/NewPipe/issues/7716","show")</f>
        <v>show</v>
      </c>
      <c r="E3732" t="str">
        <f>HYPERLINK("https://github.com/TeamNewPipe/NewPipe","show")</f>
        <v>show</v>
      </c>
      <c r="F3732" t="str">
        <f>HYPERLINK("https://github.com/TeamNewPipe/NewPipe/releases","show")</f>
        <v>show</v>
      </c>
    </row>
    <row r="3733" spans="1:6">
      <c r="A3733" t="s">
        <v>11129</v>
      </c>
      <c r="B3733" t="s">
        <v>11130</v>
      </c>
      <c r="C3733" t="s">
        <v>11131</v>
      </c>
      <c r="D3733" t="str">
        <f>HYPERLINK("https://github.com/PojavLauncherTeam/PojavLauncher/issues/2639","show")</f>
        <v>show</v>
      </c>
      <c r="E3733" t="str">
        <f>HYPERLINK("https://github.com/PojavLauncherTeam/PojavLauncher","show")</f>
        <v>show</v>
      </c>
      <c r="F3733" t="str">
        <f>HYPERLINK("https://github.com/PojavLauncherTeam/PojavLauncher/releases","show")</f>
        <v>show</v>
      </c>
    </row>
    <row r="3734" spans="1:6">
      <c r="A3734" t="s">
        <v>11132</v>
      </c>
      <c r="B3734" t="s">
        <v>11133</v>
      </c>
      <c r="C3734" t="s">
        <v>11134</v>
      </c>
      <c r="D3734" t="str">
        <f>HYPERLINK("https://github.com/kamaravichow/safe-dot-android/issues/30","show")</f>
        <v>show</v>
      </c>
      <c r="E3734" t="str">
        <f>HYPERLINK("https://github.com/kamaravichow/safe-dot-android","show")</f>
        <v>show</v>
      </c>
      <c r="F3734" t="str">
        <f>HYPERLINK("https://github.com/kamaravichow/safe-dot-android/releases","show")</f>
        <v>show</v>
      </c>
    </row>
    <row r="3735" spans="1:6">
      <c r="A3735" t="s">
        <v>11135</v>
      </c>
      <c r="B3735" t="s">
        <v>11136</v>
      </c>
      <c r="C3735" t="s">
        <v>11137</v>
      </c>
      <c r="D3735" t="str">
        <f>HYPERLINK("https://github.com/Anuken/Mindustry/issues/6537","show")</f>
        <v>show</v>
      </c>
      <c r="E3735" t="str">
        <f>HYPERLINK("https://github.com/Anuken/Mindustry","show")</f>
        <v>show</v>
      </c>
      <c r="F3735" t="str">
        <f>HYPERLINK("https://github.com/Anuken/Mindustry/releases","show")</f>
        <v>show</v>
      </c>
    </row>
    <row r="3736" spans="1:6">
      <c r="A3736" t="s">
        <v>11138</v>
      </c>
      <c r="B3736" t="s">
        <v>11139</v>
      </c>
      <c r="C3736" t="s">
        <v>11140</v>
      </c>
      <c r="D3736" t="str">
        <f>HYPERLINK("https://github.com/nextcloud/news-android/issues/1055","show")</f>
        <v>show</v>
      </c>
      <c r="E3736" t="str">
        <f>HYPERLINK("https://github.com/nextcloud/news-android","show")</f>
        <v>show</v>
      </c>
      <c r="F3736" t="str">
        <f>HYPERLINK("https://github.com/nextcloud/news-android/releases","show")</f>
        <v>show</v>
      </c>
    </row>
    <row r="3737" spans="1:6">
      <c r="A3737" t="s">
        <v>11141</v>
      </c>
      <c r="B3737" t="s">
        <v>11142</v>
      </c>
      <c r="C3737" t="s">
        <v>11143</v>
      </c>
      <c r="D3737" t="str">
        <f>HYPERLINK("https://github.com/PojavLauncherTeam/PojavLauncher/issues/2635","show")</f>
        <v>show</v>
      </c>
      <c r="E3737" t="str">
        <f>HYPERLINK("https://github.com/PojavLauncherTeam/PojavLauncher","show")</f>
        <v>show</v>
      </c>
      <c r="F3737" t="str">
        <f>HYPERLINK("https://github.com/PojavLauncherTeam/PojavLauncher/releases","show")</f>
        <v>show</v>
      </c>
    </row>
    <row r="3738" spans="1:6">
      <c r="A3738" t="s">
        <v>11144</v>
      </c>
      <c r="B3738" t="s">
        <v>11145</v>
      </c>
      <c r="C3738" t="s">
        <v>11146</v>
      </c>
      <c r="D3738" t="str">
        <f>HYPERLINK("https://github.com/TeamNewPipe/NewPipe/issues/7711","show")</f>
        <v>show</v>
      </c>
      <c r="E3738" t="str">
        <f>HYPERLINK("https://github.com/TeamNewPipe/NewPipe","show")</f>
        <v>show</v>
      </c>
      <c r="F3738" t="str">
        <f>HYPERLINK("https://github.com/TeamNewPipe/NewPipe/releases","show")</f>
        <v>show</v>
      </c>
    </row>
    <row r="3739" spans="1:6">
      <c r="A3739" t="s">
        <v>11147</v>
      </c>
      <c r="B3739" t="s">
        <v>11148</v>
      </c>
      <c r="C3739" t="s">
        <v>11149</v>
      </c>
      <c r="D3739" t="str">
        <f>HYPERLINK("https://github.com/PojavLauncherTeam/PojavLauncher/issues/2633","show")</f>
        <v>show</v>
      </c>
      <c r="E3739" t="str">
        <f>HYPERLINK("https://github.com/PojavLauncherTeam/PojavLauncher","show")</f>
        <v>show</v>
      </c>
      <c r="F3739" t="str">
        <f>HYPERLINK("https://github.com/PojavLauncherTeam/PojavLauncher/releases","show")</f>
        <v>show</v>
      </c>
    </row>
    <row r="3740" spans="1:6">
      <c r="A3740" t="s">
        <v>11150</v>
      </c>
      <c r="B3740" t="s">
        <v>11151</v>
      </c>
      <c r="C3740" t="s">
        <v>11152</v>
      </c>
      <c r="D3740" t="str">
        <f>HYPERLINK("https://github.com/PojavLauncherTeam/PojavLauncher/issues/2631","show")</f>
        <v>show</v>
      </c>
      <c r="E3740" t="str">
        <f>HYPERLINK("https://github.com/PojavLauncherTeam/PojavLauncher","show")</f>
        <v>show</v>
      </c>
      <c r="F3740" t="str">
        <f>HYPERLINK("https://github.com/PojavLauncherTeam/PojavLauncher/releases","show")</f>
        <v>show</v>
      </c>
    </row>
    <row r="3741" spans="1:6">
      <c r="A3741" t="s">
        <v>11153</v>
      </c>
      <c r="B3741" t="s">
        <v>11154</v>
      </c>
      <c r="C3741" t="s">
        <v>11155</v>
      </c>
      <c r="D3741" t="str">
        <f>HYPERLINK("https://github.com/dariuszseweryn/RxAndroidBle/issues/775","show")</f>
        <v>show</v>
      </c>
      <c r="E3741" t="str">
        <f>HYPERLINK("https://github.com/dariuszseweryn/RxAndroidBle","show")</f>
        <v>show</v>
      </c>
      <c r="F3741" t="str">
        <f>HYPERLINK("https://github.com/dariuszseweryn/RxAndroidBle/releases","show")</f>
        <v>show</v>
      </c>
    </row>
    <row r="3742" spans="1:6">
      <c r="A3742" t="s">
        <v>11156</v>
      </c>
      <c r="B3742" t="s">
        <v>11157</v>
      </c>
      <c r="C3742" t="s">
        <v>11158</v>
      </c>
      <c r="D3742" t="str">
        <f>HYPERLINK("https://github.com/TeamNewPipe/NewPipe/issues/7709","show")</f>
        <v>show</v>
      </c>
      <c r="E3742" t="str">
        <f>HYPERLINK("https://github.com/TeamNewPipe/NewPipe","show")</f>
        <v>show</v>
      </c>
      <c r="F3742" t="str">
        <f>HYPERLINK("https://github.com/TeamNewPipe/NewPipe/releases","show")</f>
        <v>show</v>
      </c>
    </row>
    <row r="3743" spans="1:6">
      <c r="A3743" t="s">
        <v>11159</v>
      </c>
      <c r="B3743" t="s">
        <v>11160</v>
      </c>
      <c r="C3743" t="s">
        <v>11161</v>
      </c>
      <c r="D3743" t="str">
        <f>HYPERLINK("https://github.com/ferredoxin/QNotified/issues/1253","show")</f>
        <v>show</v>
      </c>
      <c r="E3743" t="str">
        <f>HYPERLINK("https://github.com/ferredoxin/QNotified","show")</f>
        <v>show</v>
      </c>
      <c r="F3743" t="str">
        <f>HYPERLINK("https://github.com/ferredoxin/QNotified/releases","show")</f>
        <v>show</v>
      </c>
    </row>
    <row r="3744" spans="1:6">
      <c r="A3744" t="s">
        <v>11162</v>
      </c>
      <c r="B3744" t="s">
        <v>11163</v>
      </c>
      <c r="C3744" t="s">
        <v>11164</v>
      </c>
      <c r="D3744" t="str">
        <f>HYPERLINK("https://github.com/ASE-Projekte-WS-2021/ase-ws-21-servus/issues/50","show")</f>
        <v>show</v>
      </c>
      <c r="E3744" t="str">
        <f>HYPERLINK("https://github.com/ASE-Projekte-WS-2021/ase-ws-21-servus","show")</f>
        <v>show</v>
      </c>
      <c r="F3744" t="str">
        <f>HYPERLINK("https://github.com/ASE-Projekte-WS-2021/ase-ws-21-servus/releases","show")</f>
        <v>show</v>
      </c>
    </row>
    <row r="3745" spans="1:6">
      <c r="A3745" t="s">
        <v>11165</v>
      </c>
      <c r="B3745" t="s">
        <v>11166</v>
      </c>
      <c r="C3745" t="s">
        <v>11167</v>
      </c>
      <c r="D3745" t="str">
        <f>HYPERLINK("https://github.com/TeamNewPipe/NewPipe/issues/7707","show")</f>
        <v>show</v>
      </c>
      <c r="E3745" t="str">
        <f>HYPERLINK("https://github.com/TeamNewPipe/NewPipe","show")</f>
        <v>show</v>
      </c>
      <c r="F3745" t="str">
        <f>HYPERLINK("https://github.com/TeamNewPipe/NewPipe/releases","show")</f>
        <v>show</v>
      </c>
    </row>
    <row r="3746" spans="1:6">
      <c r="A3746" t="s">
        <v>11168</v>
      </c>
      <c r="B3746" t="s">
        <v>11169</v>
      </c>
      <c r="C3746" t="s">
        <v>11170</v>
      </c>
      <c r="D3746" t="str">
        <f>HYPERLINK("https://github.com/PojavLauncherTeam/PojavLauncher/issues/2624","show")</f>
        <v>show</v>
      </c>
      <c r="E3746" t="str">
        <f>HYPERLINK("https://github.com/PojavLauncherTeam/PojavLauncher","show")</f>
        <v>show</v>
      </c>
      <c r="F3746" t="str">
        <f>HYPERLINK("https://github.com/PojavLauncherTeam/PojavLauncher/releases","show")</f>
        <v>show</v>
      </c>
    </row>
    <row r="3747" spans="1:6">
      <c r="A3747" t="s">
        <v>11171</v>
      </c>
      <c r="B3747" t="s">
        <v>11172</v>
      </c>
      <c r="C3747" t="s">
        <v>11173</v>
      </c>
      <c r="D3747" t="str">
        <f>HYPERLINK("https://github.com/ably/ably-java/issues/741","show")</f>
        <v>show</v>
      </c>
      <c r="E3747" t="str">
        <f>HYPERLINK("https://github.com/ably/ably-java","show")</f>
        <v>show</v>
      </c>
      <c r="F3747" t="str">
        <f>HYPERLINK("https://github.com/ably/ably-java/releases","show")</f>
        <v>show</v>
      </c>
    </row>
    <row r="3748" spans="1:6">
      <c r="A3748" t="s">
        <v>11174</v>
      </c>
      <c r="B3748" t="s">
        <v>11175</v>
      </c>
      <c r="C3748" t="s">
        <v>11176</v>
      </c>
      <c r="D3748" t="str">
        <f>HYPERLINK("https://github.com/PojavLauncherTeam/PojavLauncher/issues/2622","show")</f>
        <v>show</v>
      </c>
      <c r="E3748" t="str">
        <f>HYPERLINK("https://github.com/PojavLauncherTeam/PojavLauncher","show")</f>
        <v>show</v>
      </c>
      <c r="F3748" t="str">
        <f>HYPERLINK("https://github.com/PojavLauncherTeam/PojavLauncher/releases","show")</f>
        <v>show</v>
      </c>
    </row>
    <row r="3749" spans="1:6">
      <c r="A3749" t="s">
        <v>11177</v>
      </c>
      <c r="B3749" t="s">
        <v>11178</v>
      </c>
      <c r="C3749" t="s">
        <v>11179</v>
      </c>
      <c r="D3749" t="str">
        <f>HYPERLINK("https://github.com/PojavLauncherTeam/PojavLauncher/issues/2621","show")</f>
        <v>show</v>
      </c>
      <c r="E3749" t="str">
        <f>HYPERLINK("https://github.com/PojavLauncherTeam/PojavLauncher","show")</f>
        <v>show</v>
      </c>
      <c r="F3749" t="str">
        <f>HYPERLINK("https://github.com/PojavLauncherTeam/PojavLauncher/releases","show")</f>
        <v>show</v>
      </c>
    </row>
    <row r="3750" spans="1:6">
      <c r="A3750" t="s">
        <v>11180</v>
      </c>
      <c r="B3750" t="s">
        <v>11181</v>
      </c>
      <c r="C3750" t="s">
        <v>11182</v>
      </c>
      <c r="D3750" t="str">
        <f>HYPERLINK("https://github.com/PojavLauncherTeam/PojavLauncher/issues/2616","show")</f>
        <v>show</v>
      </c>
      <c r="E3750" t="str">
        <f>HYPERLINK("https://github.com/PojavLauncherTeam/PojavLauncher","show")</f>
        <v>show</v>
      </c>
      <c r="F3750" t="str">
        <f>HYPERLINK("https://github.com/PojavLauncherTeam/PojavLauncher/releases","show")</f>
        <v>show</v>
      </c>
    </row>
    <row r="3751" spans="1:6">
      <c r="A3751" t="s">
        <v>11183</v>
      </c>
      <c r="B3751" t="s">
        <v>11184</v>
      </c>
      <c r="C3751" t="s">
        <v>11185</v>
      </c>
      <c r="D3751" t="str">
        <f>HYPERLINK("https://github.com/Anuken/Mindustry/issues/6533","show")</f>
        <v>show</v>
      </c>
      <c r="E3751" t="str">
        <f>HYPERLINK("https://github.com/Anuken/Mindustry","show")</f>
        <v>show</v>
      </c>
      <c r="F3751" t="str">
        <f>HYPERLINK("https://github.com/Anuken/Mindustry/releases","show")</f>
        <v>show</v>
      </c>
    </row>
    <row r="3752" spans="1:6">
      <c r="A3752" t="s">
        <v>11186</v>
      </c>
      <c r="B3752" t="s">
        <v>11187</v>
      </c>
      <c r="C3752" t="s">
        <v>11188</v>
      </c>
      <c r="D3752" t="str">
        <f>HYPERLINK("https://github.com/doublesymmetry/react-native-track-player/issues/1392","show")</f>
        <v>show</v>
      </c>
      <c r="E3752" t="str">
        <f>HYPERLINK("https://github.com/doublesymmetry/react-native-track-player","show")</f>
        <v>show</v>
      </c>
      <c r="F3752" t="str">
        <f>HYPERLINK("https://github.com/doublesymmetry/react-native-track-player/releases","show")</f>
        <v>show</v>
      </c>
    </row>
    <row r="3753" spans="1:6">
      <c r="A3753" t="s">
        <v>11189</v>
      </c>
      <c r="B3753" t="s">
        <v>11190</v>
      </c>
      <c r="C3753" t="s">
        <v>11191</v>
      </c>
      <c r="D3753" t="str">
        <f>HYPERLINK("https://github.com/PojavLauncherTeam/PojavLauncher/issues/2613","show")</f>
        <v>show</v>
      </c>
      <c r="E3753" t="str">
        <f>HYPERLINK("https://github.com/PojavLauncherTeam/PojavLauncher","show")</f>
        <v>show</v>
      </c>
      <c r="F3753" t="str">
        <f>HYPERLINK("https://github.com/PojavLauncherTeam/PojavLauncher/releases","show")</f>
        <v>show</v>
      </c>
    </row>
    <row r="3754" spans="1:6">
      <c r="A3754" t="s">
        <v>11192</v>
      </c>
      <c r="B3754" t="s">
        <v>11193</v>
      </c>
      <c r="C3754" t="s">
        <v>11194</v>
      </c>
      <c r="D3754" t="str">
        <f>HYPERLINK("https://github.com/NordicSemiconductor/Android-DFU-Library/issues/321","show")</f>
        <v>show</v>
      </c>
      <c r="E3754" t="str">
        <f>HYPERLINK("https://github.com/NordicSemiconductor/Android-DFU-Library","show")</f>
        <v>show</v>
      </c>
      <c r="F3754" t="str">
        <f>HYPERLINK("https://github.com/NordicSemiconductor/Android-DFU-Library/releases","show")</f>
        <v>show</v>
      </c>
    </row>
    <row r="3755" spans="1:6">
      <c r="A3755" t="s">
        <v>11195</v>
      </c>
      <c r="B3755" t="s">
        <v>11196</v>
      </c>
      <c r="C3755" t="s">
        <v>11197</v>
      </c>
      <c r="D3755" t="str">
        <f>HYPERLINK("https://github.com/Blankj/AndroidUtilCode/issues/1598","show")</f>
        <v>show</v>
      </c>
      <c r="E3755" t="str">
        <f>HYPERLINK("https://github.com/Blankj/AndroidUtilCode","show")</f>
        <v>show</v>
      </c>
      <c r="F3755" t="str">
        <f>HYPERLINK("https://github.com/Blankj/AndroidUtilCode/releases","show")</f>
        <v>show</v>
      </c>
    </row>
    <row r="3756" spans="1:6">
      <c r="A3756" t="s">
        <v>11198</v>
      </c>
      <c r="B3756" t="s">
        <v>11199</v>
      </c>
      <c r="C3756" t="s">
        <v>11200</v>
      </c>
      <c r="D3756" t="str">
        <f>HYPERLINK("https://github.com/ferredoxin/QNotified/issues/1244","show")</f>
        <v>show</v>
      </c>
      <c r="E3756" t="str">
        <f>HYPERLINK("https://github.com/ferredoxin/QNotified","show")</f>
        <v>show</v>
      </c>
      <c r="F3756" t="str">
        <f>HYPERLINK("https://github.com/ferredoxin/QNotified/releases","show")</f>
        <v>show</v>
      </c>
    </row>
    <row r="3757" spans="1:6">
      <c r="A3757" t="s">
        <v>11201</v>
      </c>
      <c r="B3757" t="s">
        <v>11202</v>
      </c>
      <c r="C3757" t="s">
        <v>11203</v>
      </c>
      <c r="D3757" t="str">
        <f>HYPERLINK("https://github.com/material-components/material-components-android/issues/2532","show")</f>
        <v>show</v>
      </c>
      <c r="E3757" t="str">
        <f>HYPERLINK("https://github.com/material-components/material-components-android","show")</f>
        <v>show</v>
      </c>
      <c r="F3757" t="str">
        <f>HYPERLINK("https://github.com/material-components/material-components-android/releases","show")</f>
        <v>show</v>
      </c>
    </row>
    <row r="3758" spans="1:6">
      <c r="A3758" t="s">
        <v>11204</v>
      </c>
      <c r="B3758" t="s">
        <v>11205</v>
      </c>
      <c r="C3758" t="s">
        <v>11206</v>
      </c>
      <c r="D3758" t="str">
        <f>HYPERLINK("https://github.com/square/reader-sdk-flutter-plugin/issues/80","show")</f>
        <v>show</v>
      </c>
      <c r="E3758" t="str">
        <f>HYPERLINK("https://github.com/square/reader-sdk-flutter-plugin","show")</f>
        <v>show</v>
      </c>
      <c r="F3758" t="str">
        <f>HYPERLINK("https://github.com/square/reader-sdk-flutter-plugin/releases","show")</f>
        <v>show</v>
      </c>
    </row>
    <row r="3759" spans="1:6">
      <c r="A3759" t="s">
        <v>11207</v>
      </c>
      <c r="B3759" t="s">
        <v>11208</v>
      </c>
      <c r="C3759" t="s">
        <v>11209</v>
      </c>
      <c r="D3759" t="str">
        <f>HYPERLINK("https://github.com/popeen/Booksonic-App/issues/239","show")</f>
        <v>show</v>
      </c>
      <c r="E3759" t="str">
        <f>HYPERLINK("https://github.com/popeen/Booksonic-App","show")</f>
        <v>show</v>
      </c>
      <c r="F3759" t="str">
        <f>HYPERLINK("https://github.com/popeen/Booksonic-App/releases","show")</f>
        <v>show</v>
      </c>
    </row>
    <row r="3760" spans="1:6">
      <c r="A3760" t="s">
        <v>11210</v>
      </c>
      <c r="B3760" t="s">
        <v>11211</v>
      </c>
      <c r="C3760" t="s">
        <v>11212</v>
      </c>
      <c r="D3760" t="str">
        <f>HYPERLINK("https://github.com/PojavLauncherTeam/PojavLauncher/issues/2611","show")</f>
        <v>show</v>
      </c>
      <c r="E3760" t="str">
        <f>HYPERLINK("https://github.com/PojavLauncherTeam/PojavLauncher","show")</f>
        <v>show</v>
      </c>
      <c r="F3760" t="str">
        <f>HYPERLINK("https://github.com/PojavLauncherTeam/PojavLauncher/releases","show")</f>
        <v>show</v>
      </c>
    </row>
    <row r="3761" spans="1:6">
      <c r="A3761" t="s">
        <v>11213</v>
      </c>
      <c r="B3761" t="s">
        <v>11214</v>
      </c>
      <c r="C3761" t="s">
        <v>11215</v>
      </c>
      <c r="D3761" t="str">
        <f>HYPERLINK("https://github.com/TeamNewPipe/NewPipe/issues/7696","show")</f>
        <v>show</v>
      </c>
      <c r="E3761" t="str">
        <f>HYPERLINK("https://github.com/TeamNewPipe/NewPipe","show")</f>
        <v>show</v>
      </c>
      <c r="F3761" t="str">
        <f>HYPERLINK("https://github.com/TeamNewPipe/NewPipe/releases","show")</f>
        <v>show</v>
      </c>
    </row>
    <row r="3762" spans="1:6">
      <c r="A3762" t="s">
        <v>11216</v>
      </c>
      <c r="B3762" t="s">
        <v>11217</v>
      </c>
      <c r="C3762" t="s">
        <v>11218</v>
      </c>
      <c r="D3762" t="str">
        <f>HYPERLINK("https://github.com/androidx/constraintlayout/issues/500","show")</f>
        <v>show</v>
      </c>
      <c r="E3762" t="str">
        <f>HYPERLINK("https://github.com/androidx/constraintlayout","show")</f>
        <v>show</v>
      </c>
      <c r="F3762" t="str">
        <f>HYPERLINK("https://github.com/androidx/constraintlayout/releases","show")</f>
        <v>show</v>
      </c>
    </row>
    <row r="3763" spans="1:6">
      <c r="A3763" t="s">
        <v>11219</v>
      </c>
      <c r="B3763" t="s">
        <v>11220</v>
      </c>
      <c r="C3763" t="s">
        <v>11221</v>
      </c>
      <c r="D3763" t="str">
        <f>HYPERLINK("https://github.com/deepjavalibrary/djl/issues/1480","show")</f>
        <v>show</v>
      </c>
      <c r="E3763" t="str">
        <f>HYPERLINK("https://github.com/deepjavalibrary/djl","show")</f>
        <v>show</v>
      </c>
      <c r="F3763" t="str">
        <f>HYPERLINK("https://github.com/deepjavalibrary/djl/releases","show")</f>
        <v>show</v>
      </c>
    </row>
    <row r="3764" spans="1:6">
      <c r="A3764" t="s">
        <v>11222</v>
      </c>
      <c r="B3764" t="s">
        <v>11223</v>
      </c>
      <c r="C3764" t="s">
        <v>11224</v>
      </c>
      <c r="D3764" t="str">
        <f>HYPERLINK("https://github.com/PojavLauncherTeam/PojavLauncher/issues/2604","show")</f>
        <v>show</v>
      </c>
      <c r="E3764" t="str">
        <f>HYPERLINK("https://github.com/PojavLauncherTeam/PojavLauncher","show")</f>
        <v>show</v>
      </c>
      <c r="F3764" t="str">
        <f>HYPERLINK("https://github.com/PojavLauncherTeam/PojavLauncher/releases","show")</f>
        <v>show</v>
      </c>
    </row>
    <row r="3765" spans="1:6">
      <c r="A3765" t="s">
        <v>11225</v>
      </c>
      <c r="B3765" t="s">
        <v>11226</v>
      </c>
      <c r="C3765" t="s">
        <v>11227</v>
      </c>
      <c r="D3765" t="str">
        <f>HYPERLINK("https://github.com/TacoTheDank/Scoop/issues/45","show")</f>
        <v>show</v>
      </c>
      <c r="E3765" t="str">
        <f>HYPERLINK("https://github.com/TacoTheDank/Scoop","show")</f>
        <v>show</v>
      </c>
      <c r="F3765" t="str">
        <f>HYPERLINK("https://github.com/TacoTheDank/Scoop/releases","show")</f>
        <v>show</v>
      </c>
    </row>
    <row r="3766" spans="1:6">
      <c r="A3766" t="s">
        <v>11228</v>
      </c>
      <c r="B3766" t="s">
        <v>11229</v>
      </c>
      <c r="C3766" t="s">
        <v>11230</v>
      </c>
      <c r="D3766" t="str">
        <f>HYPERLINK("https://github.com/TeamNewPipe/NewPipe/issues/7687","show")</f>
        <v>show</v>
      </c>
      <c r="E3766" t="str">
        <f>HYPERLINK("https://github.com/TeamNewPipe/NewPipe","show")</f>
        <v>show</v>
      </c>
      <c r="F3766" t="str">
        <f>HYPERLINK("https://github.com/TeamNewPipe/NewPipe/releases","show")</f>
        <v>show</v>
      </c>
    </row>
    <row r="3767" spans="1:6">
      <c r="A3767" t="s">
        <v>11231</v>
      </c>
      <c r="B3767" t="s">
        <v>11232</v>
      </c>
      <c r="C3767" t="s">
        <v>11233</v>
      </c>
      <c r="D3767" t="str">
        <f>HYPERLINK("https://github.com/nextcloud/android/issues/9730","show")</f>
        <v>show</v>
      </c>
      <c r="E3767" t="str">
        <f>HYPERLINK("https://github.com/nextcloud/android","show")</f>
        <v>show</v>
      </c>
      <c r="F3767" t="str">
        <f>HYPERLINK("https://github.com/nextcloud/android/releases","show")</f>
        <v>show</v>
      </c>
    </row>
    <row r="3768" spans="1:6">
      <c r="A3768" t="s">
        <v>11234</v>
      </c>
      <c r="B3768" t="s">
        <v>11235</v>
      </c>
      <c r="C3768" t="s">
        <v>11236</v>
      </c>
      <c r="D3768" t="str">
        <f>HYPERLINK("https://github.com/MuntashirAkon/AppManager/issues/658","show")</f>
        <v>show</v>
      </c>
      <c r="E3768" t="str">
        <f>HYPERLINK("https://github.com/MuntashirAkon/AppManager","show")</f>
        <v>show</v>
      </c>
      <c r="F3768" t="str">
        <f>HYPERLINK("https://github.com/MuntashirAkon/AppManager/releases","show")</f>
        <v>show</v>
      </c>
    </row>
    <row r="3769" spans="1:6">
      <c r="A3769" t="s">
        <v>11237</v>
      </c>
      <c r="B3769" t="s">
        <v>11238</v>
      </c>
      <c r="C3769" t="s">
        <v>11239</v>
      </c>
      <c r="D3769" t="str">
        <f>HYPERLINK("https://github.com/Anuken/Mindustry/issues/6519","show")</f>
        <v>show</v>
      </c>
      <c r="E3769" t="str">
        <f>HYPERLINK("https://github.com/Anuken/Mindustry","show")</f>
        <v>show</v>
      </c>
      <c r="F3769" t="str">
        <f>HYPERLINK("https://github.com/Anuken/Mindustry/releases","show")</f>
        <v>show</v>
      </c>
    </row>
    <row r="3770" spans="1:6">
      <c r="A3770" t="s">
        <v>11240</v>
      </c>
      <c r="B3770" t="s">
        <v>11241</v>
      </c>
      <c r="C3770" t="s">
        <v>11242</v>
      </c>
      <c r="D3770" t="str">
        <f>HYPERLINK("https://github.com/VishnuSanal/DialogMusicPlayer/issues/14","show")</f>
        <v>show</v>
      </c>
      <c r="E3770" t="str">
        <f>HYPERLINK("https://github.com/VishnuSanal/DialogMusicPlayer","show")</f>
        <v>show</v>
      </c>
      <c r="F3770" t="str">
        <f>HYPERLINK("https://github.com/VishnuSanal/DialogMusicPlayer/releases","show")</f>
        <v>show</v>
      </c>
    </row>
    <row r="3771" spans="1:6">
      <c r="A3771" t="s">
        <v>11243</v>
      </c>
      <c r="B3771" t="s">
        <v>11244</v>
      </c>
      <c r="C3771" t="s">
        <v>11245</v>
      </c>
      <c r="D3771" t="str">
        <f>HYPERLINK("https://github.com/Anuken/Mindustry/issues/6516","show")</f>
        <v>show</v>
      </c>
      <c r="E3771" t="str">
        <f>HYPERLINK("https://github.com/Anuken/Mindustry","show")</f>
        <v>show</v>
      </c>
      <c r="F3771" t="str">
        <f>HYPERLINK("https://github.com/Anuken/Mindustry/releases","show")</f>
        <v>show</v>
      </c>
    </row>
    <row r="3772" spans="1:6">
      <c r="A3772" t="s">
        <v>11246</v>
      </c>
      <c r="B3772" t="s">
        <v>11247</v>
      </c>
      <c r="C3772" t="s">
        <v>11248</v>
      </c>
      <c r="D3772" t="str">
        <f>HYPERLINK("https://github.com/itsaky/AndroidIDE/issues/59","show")</f>
        <v>show</v>
      </c>
      <c r="E3772" t="str">
        <f>HYPERLINK("https://github.com/itsaky/AndroidIDE","show")</f>
        <v>show</v>
      </c>
      <c r="F3772" t="str">
        <f>HYPERLINK("https://github.com/itsaky/AndroidIDE/releases","show")</f>
        <v>show</v>
      </c>
    </row>
    <row r="3773" spans="1:6">
      <c r="A3773" t="s">
        <v>11249</v>
      </c>
      <c r="B3773" t="s">
        <v>11250</v>
      </c>
      <c r="C3773" t="s">
        <v>11251</v>
      </c>
      <c r="D3773" t="str">
        <f>HYPERLINK("https://github.com/TeamNewPipe/NewPipe/issues/7675","show")</f>
        <v>show</v>
      </c>
      <c r="E3773" t="str">
        <f>HYPERLINK("https://github.com/TeamNewPipe/NewPipe","show")</f>
        <v>show</v>
      </c>
      <c r="F3773" t="str">
        <f>HYPERLINK("https://github.com/TeamNewPipe/NewPipe/releases","show")</f>
        <v>show</v>
      </c>
    </row>
    <row r="3774" spans="1:6">
      <c r="A3774" t="s">
        <v>11252</v>
      </c>
      <c r="B3774" t="s">
        <v>11253</v>
      </c>
      <c r="C3774" t="s">
        <v>11254</v>
      </c>
      <c r="D3774" t="str">
        <f>HYPERLINK("https://github.com/PojavLauncherTeam/PojavLauncher/issues/2596","show")</f>
        <v>show</v>
      </c>
      <c r="E3774" t="str">
        <f>HYPERLINK("https://github.com/PojavLauncherTeam/PojavLauncher","show")</f>
        <v>show</v>
      </c>
      <c r="F3774" t="str">
        <f>HYPERLINK("https://github.com/PojavLauncherTeam/PojavLauncher/releases","show")</f>
        <v>show</v>
      </c>
    </row>
    <row r="3775" spans="1:6">
      <c r="A3775" t="s">
        <v>11255</v>
      </c>
      <c r="B3775" t="s">
        <v>11256</v>
      </c>
      <c r="C3775" t="s">
        <v>11257</v>
      </c>
      <c r="D3775" t="str">
        <f>HYPERLINK("https://github.com/patzly/grocy-android/issues/485","show")</f>
        <v>show</v>
      </c>
      <c r="E3775" t="str">
        <f>HYPERLINK("https://github.com/patzly/grocy-android","show")</f>
        <v>show</v>
      </c>
      <c r="F3775" t="str">
        <f>HYPERLINK("https://github.com/patzly/grocy-android/releases","show")</f>
        <v>show</v>
      </c>
    </row>
    <row r="3776" spans="1:6">
      <c r="A3776" t="s">
        <v>11258</v>
      </c>
      <c r="B3776" t="s">
        <v>11259</v>
      </c>
      <c r="C3776" t="s">
        <v>11260</v>
      </c>
      <c r="D3776" t="str">
        <f>HYPERLINK("https://github.com/cgeo/cgeo/issues/12577","show")</f>
        <v>show</v>
      </c>
      <c r="E3776" t="str">
        <f>HYPERLINK("https://github.com/cgeo/cgeo","show")</f>
        <v>show</v>
      </c>
      <c r="F3776" t="str">
        <f>HYPERLINK("https://github.com/cgeo/cgeo/releases","show")</f>
        <v>show</v>
      </c>
    </row>
    <row r="3777" spans="1:6">
      <c r="A3777" t="s">
        <v>11261</v>
      </c>
      <c r="B3777" t="s">
        <v>11262</v>
      </c>
      <c r="C3777" t="s">
        <v>11263</v>
      </c>
      <c r="D3777" t="str">
        <f>HYPERLINK("https://github.com/SATYAJIT1910/MediClock/issues/1","show")</f>
        <v>show</v>
      </c>
      <c r="E3777" t="str">
        <f>HYPERLINK("https://github.com/SATYAJIT1910/MediClock","show")</f>
        <v>show</v>
      </c>
      <c r="F3777" t="str">
        <f>HYPERLINK("https://github.com/SATYAJIT1910/MediClock/releases","show")</f>
        <v>show</v>
      </c>
    </row>
    <row r="3778" spans="1:6">
      <c r="A3778" t="s">
        <v>11264</v>
      </c>
      <c r="B3778" t="s">
        <v>11265</v>
      </c>
      <c r="C3778" t="s">
        <v>11266</v>
      </c>
      <c r="D3778" t="str">
        <f>HYPERLINK("https://github.com/inaturalist/iNaturalistAndroid/issues/1177","show")</f>
        <v>show</v>
      </c>
      <c r="E3778" t="str">
        <f>HYPERLINK("https://github.com/inaturalist/iNaturalistAndroid","show")</f>
        <v>show</v>
      </c>
      <c r="F3778" t="str">
        <f>HYPERLINK("https://github.com/inaturalist/iNaturalistAndroid/releases","show")</f>
        <v>show</v>
      </c>
    </row>
    <row r="3779" spans="1:6">
      <c r="A3779" t="s">
        <v>11267</v>
      </c>
      <c r="B3779" t="s">
        <v>11268</v>
      </c>
      <c r="C3779" t="s">
        <v>11269</v>
      </c>
      <c r="D3779" t="str">
        <f>HYPERLINK("https://github.com/inaturalist/iNaturalistAndroid/issues/1176","show")</f>
        <v>show</v>
      </c>
      <c r="E3779" t="str">
        <f>HYPERLINK("https://github.com/inaturalist/iNaturalistAndroid","show")</f>
        <v>show</v>
      </c>
      <c r="F3779" t="str">
        <f>HYPERLINK("https://github.com/inaturalist/iNaturalistAndroid/releases","show")</f>
        <v>show</v>
      </c>
    </row>
    <row r="3780" spans="1:6">
      <c r="A3780" t="s">
        <v>11270</v>
      </c>
      <c r="B3780" t="s">
        <v>11271</v>
      </c>
      <c r="C3780" t="s">
        <v>11272</v>
      </c>
      <c r="D3780" t="str">
        <f>HYPERLINK("https://github.com/inaturalist/iNaturalistAndroid/issues/1175","show")</f>
        <v>show</v>
      </c>
      <c r="E3780" t="str">
        <f>HYPERLINK("https://github.com/inaturalist/iNaturalistAndroid","show")</f>
        <v>show</v>
      </c>
      <c r="F3780" t="str">
        <f>HYPERLINK("https://github.com/inaturalist/iNaturalistAndroid/releases","show")</f>
        <v>show</v>
      </c>
    </row>
    <row r="3781" spans="1:6">
      <c r="A3781" t="s">
        <v>11273</v>
      </c>
      <c r="B3781" t="s">
        <v>11274</v>
      </c>
      <c r="C3781" t="s">
        <v>11275</v>
      </c>
      <c r="D3781" t="str">
        <f>HYPERLINK("https://github.com/PojavLauncherTeam/PojavLauncher/issues/2594","show")</f>
        <v>show</v>
      </c>
      <c r="E3781" t="str">
        <f>HYPERLINK("https://github.com/PojavLauncherTeam/PojavLauncher","show")</f>
        <v>show</v>
      </c>
      <c r="F3781" t="str">
        <f>HYPERLINK("https://github.com/PojavLauncherTeam/PojavLauncher/releases","show")</f>
        <v>show</v>
      </c>
    </row>
    <row r="3782" spans="1:6">
      <c r="A3782" t="s">
        <v>11276</v>
      </c>
      <c r="B3782" t="s">
        <v>11277</v>
      </c>
      <c r="C3782" t="s">
        <v>11278</v>
      </c>
      <c r="D3782" t="str">
        <f>HYPERLINK("https://github.com/PojavLauncherTeam/PojavLauncher/issues/2586","show")</f>
        <v>show</v>
      </c>
      <c r="E3782" t="str">
        <f>HYPERLINK("https://github.com/PojavLauncherTeam/PojavLauncher","show")</f>
        <v>show</v>
      </c>
      <c r="F3782" t="str">
        <f>HYPERLINK("https://github.com/PojavLauncherTeam/PojavLauncher/releases","show")</f>
        <v>show</v>
      </c>
    </row>
    <row r="3783" spans="1:6">
      <c r="A3783" t="s">
        <v>11279</v>
      </c>
      <c r="B3783" t="s">
        <v>11280</v>
      </c>
      <c r="C3783" t="s">
        <v>11281</v>
      </c>
      <c r="D3783" t="str">
        <f>HYPERLINK("https://github.com/Anuken/Mindustry/issues/6508","show")</f>
        <v>show</v>
      </c>
      <c r="E3783" t="str">
        <f>HYPERLINK("https://github.com/Anuken/Mindustry","show")</f>
        <v>show</v>
      </c>
      <c r="F3783" t="str">
        <f>HYPERLINK("https://github.com/Anuken/Mindustry/releases","show")</f>
        <v>show</v>
      </c>
    </row>
    <row r="3784" spans="1:6">
      <c r="A3784" t="s">
        <v>11282</v>
      </c>
      <c r="B3784" t="s">
        <v>11283</v>
      </c>
      <c r="C3784" t="s">
        <v>11284</v>
      </c>
      <c r="D3784" t="str">
        <f>HYPERLINK("https://github.com/jellyfin/jellyfin-androidtv/issues/1367","show")</f>
        <v>show</v>
      </c>
      <c r="E3784" t="str">
        <f>HYPERLINK("https://github.com/jellyfin/jellyfin-androidtv","show")</f>
        <v>show</v>
      </c>
      <c r="F3784" t="str">
        <f>HYPERLINK("https://github.com/jellyfin/jellyfin-androidtv/releases","show")</f>
        <v>show</v>
      </c>
    </row>
    <row r="3785" spans="1:6">
      <c r="A3785" t="s">
        <v>11285</v>
      </c>
      <c r="B3785" t="s">
        <v>11286</v>
      </c>
      <c r="C3785" t="s">
        <v>11287</v>
      </c>
      <c r="D3785" t="str">
        <f>HYPERLINK("https://github.com/ASE-Projekte-WS-2021/ase-ws-21-konferenzassistent/issues/29","show")</f>
        <v>show</v>
      </c>
      <c r="E3785" t="str">
        <f>HYPERLINK("https://github.com/ASE-Projekte-WS-2021/ase-ws-21-konferenzassistent","show")</f>
        <v>show</v>
      </c>
      <c r="F3785" t="str">
        <f>HYPERLINK("https://github.com/ASE-Projekte-WS-2021/ase-ws-21-konferenzassistent/releases","show")</f>
        <v>show</v>
      </c>
    </row>
    <row r="3786" spans="1:6">
      <c r="A3786" t="s">
        <v>11288</v>
      </c>
      <c r="B3786" t="s">
        <v>11289</v>
      </c>
      <c r="C3786" t="s">
        <v>11290</v>
      </c>
      <c r="D3786" t="str">
        <f>HYPERLINK("https://github.com/googleads/googleads-mobile-flutter/issues/495","show")</f>
        <v>show</v>
      </c>
      <c r="E3786" t="str">
        <f>HYPERLINK("https://github.com/googleads/googleads-mobile-flutter","show")</f>
        <v>show</v>
      </c>
      <c r="F3786" t="str">
        <f>HYPERLINK("https://github.com/googleads/googleads-mobile-flutter/releases","show")</f>
        <v>show</v>
      </c>
    </row>
    <row r="3787" spans="1:6">
      <c r="A3787" t="s">
        <v>11291</v>
      </c>
      <c r="B3787" t="s">
        <v>11292</v>
      </c>
      <c r="C3787" t="s">
        <v>11293</v>
      </c>
      <c r="D3787" t="str">
        <f>HYPERLINK("https://github.com/cgeo/WhereYouGo/issues/368","show")</f>
        <v>show</v>
      </c>
      <c r="E3787" t="str">
        <f>HYPERLINK("https://github.com/cgeo/WhereYouGo","show")</f>
        <v>show</v>
      </c>
      <c r="F3787" t="str">
        <f>HYPERLINK("https://github.com/cgeo/WhereYouGo/releases","show")</f>
        <v>show</v>
      </c>
    </row>
    <row r="3788" spans="1:6">
      <c r="A3788" t="s">
        <v>11294</v>
      </c>
      <c r="B3788" t="s">
        <v>11295</v>
      </c>
      <c r="C3788" t="s">
        <v>11296</v>
      </c>
      <c r="D3788" t="str">
        <f>HYPERLINK("https://github.com/microg/GmsCore/issues/1641","show")</f>
        <v>show</v>
      </c>
      <c r="E3788" t="str">
        <f>HYPERLINK("https://github.com/microg/GmsCore","show")</f>
        <v>show</v>
      </c>
      <c r="F3788" t="str">
        <f>HYPERLINK("https://github.com/microg/GmsCore/releases","show")</f>
        <v>show</v>
      </c>
    </row>
    <row r="3789" spans="1:6">
      <c r="A3789" t="s">
        <v>11297</v>
      </c>
      <c r="B3789" t="s">
        <v>11298</v>
      </c>
      <c r="C3789" t="s">
        <v>11299</v>
      </c>
      <c r="D3789" t="str">
        <f>HYPERLINK("https://github.com/inaturalist/iNaturalistAndroid/issues/1174","show")</f>
        <v>show</v>
      </c>
      <c r="E3789" t="str">
        <f>HYPERLINK("https://github.com/inaturalist/iNaturalistAndroid","show")</f>
        <v>show</v>
      </c>
      <c r="F3789" t="str">
        <f>HYPERLINK("https://github.com/inaturalist/iNaturalistAndroid/releases","show")</f>
        <v>show</v>
      </c>
    </row>
    <row r="3790" spans="1:6">
      <c r="A3790" t="s">
        <v>11300</v>
      </c>
      <c r="B3790" t="s">
        <v>11268</v>
      </c>
      <c r="C3790" t="s">
        <v>11301</v>
      </c>
      <c r="D3790" t="str">
        <f>HYPERLINK("https://github.com/inaturalist/iNaturalistAndroid/issues/1172","show")</f>
        <v>show</v>
      </c>
      <c r="E3790" t="str">
        <f>HYPERLINK("https://github.com/inaturalist/iNaturalistAndroid","show")</f>
        <v>show</v>
      </c>
      <c r="F3790" t="str">
        <f>HYPERLINK("https://github.com/inaturalist/iNaturalistAndroid/releases","show")</f>
        <v>show</v>
      </c>
    </row>
    <row r="3791" spans="1:6">
      <c r="A3791" t="s">
        <v>11302</v>
      </c>
      <c r="B3791" t="s">
        <v>11265</v>
      </c>
      <c r="C3791" t="s">
        <v>11303</v>
      </c>
      <c r="D3791" t="str">
        <f>HYPERLINK("https://github.com/inaturalist/iNaturalistAndroid/issues/1171","show")</f>
        <v>show</v>
      </c>
      <c r="E3791" t="str">
        <f>HYPERLINK("https://github.com/inaturalist/iNaturalistAndroid","show")</f>
        <v>show</v>
      </c>
      <c r="F3791" t="str">
        <f>HYPERLINK("https://github.com/inaturalist/iNaturalistAndroid/releases","show")</f>
        <v>show</v>
      </c>
    </row>
    <row r="3792" spans="1:6">
      <c r="A3792" t="s">
        <v>11304</v>
      </c>
      <c r="B3792" t="s">
        <v>11305</v>
      </c>
      <c r="C3792" t="s">
        <v>11306</v>
      </c>
      <c r="D3792" t="str">
        <f>HYPERLINK("https://github.com/TeamNewPipe/NewPipe/issues/7671","show")</f>
        <v>show</v>
      </c>
      <c r="E3792" t="str">
        <f>HYPERLINK("https://github.com/TeamNewPipe/NewPipe","show")</f>
        <v>show</v>
      </c>
      <c r="F3792" t="str">
        <f>HYPERLINK("https://github.com/TeamNewPipe/NewPipe/releases","show")</f>
        <v>show</v>
      </c>
    </row>
    <row r="3793" spans="1:6">
      <c r="A3793" t="s">
        <v>11307</v>
      </c>
      <c r="B3793" t="s">
        <v>11308</v>
      </c>
      <c r="C3793" t="s">
        <v>11309</v>
      </c>
      <c r="D3793" t="str">
        <f>HYPERLINK("https://github.com/PojavLauncherTeam/PojavLauncher/issues/2581","show")</f>
        <v>show</v>
      </c>
      <c r="E3793" t="str">
        <f>HYPERLINK("https://github.com/PojavLauncherTeam/PojavLauncher","show")</f>
        <v>show</v>
      </c>
      <c r="F3793" t="str">
        <f>HYPERLINK("https://github.com/PojavLauncherTeam/PojavLauncher/releases","show")</f>
        <v>show</v>
      </c>
    </row>
    <row r="3794" spans="1:6">
      <c r="A3794" t="s">
        <v>11310</v>
      </c>
      <c r="B3794" t="s">
        <v>11311</v>
      </c>
      <c r="C3794" t="s">
        <v>11312</v>
      </c>
      <c r="D3794" t="str">
        <f>HYPERLINK("https://github.com/cgeo/cgeo/issues/12556","show")</f>
        <v>show</v>
      </c>
      <c r="E3794" t="str">
        <f>HYPERLINK("https://github.com/cgeo/cgeo","show")</f>
        <v>show</v>
      </c>
      <c r="F3794" t="str">
        <f>HYPERLINK("https://github.com/cgeo/cgeo/releases","show")</f>
        <v>show</v>
      </c>
    </row>
    <row r="3795" spans="1:6">
      <c r="A3795" t="s">
        <v>11313</v>
      </c>
      <c r="B3795" t="s">
        <v>11314</v>
      </c>
      <c r="C3795" t="s">
        <v>11315</v>
      </c>
      <c r="D3795" t="str">
        <f>HYPERLINK("https://github.com/jellyfin/jellyfin-androidtv/issues/1361","show")</f>
        <v>show</v>
      </c>
      <c r="E3795" t="str">
        <f>HYPERLINK("https://github.com/jellyfin/jellyfin-androidtv","show")</f>
        <v>show</v>
      </c>
      <c r="F3795" t="str">
        <f>HYPERLINK("https://github.com/jellyfin/jellyfin-androidtv/releases","show")</f>
        <v>show</v>
      </c>
    </row>
    <row r="3796" spans="1:6">
      <c r="A3796" t="s">
        <v>11316</v>
      </c>
      <c r="B3796" t="s">
        <v>11317</v>
      </c>
      <c r="C3796" t="s">
        <v>11318</v>
      </c>
      <c r="D3796" t="str">
        <f>HYPERLINK("https://github.com/mgsx-dev/gdx-gltf/issues/63","show")</f>
        <v>show</v>
      </c>
      <c r="E3796" t="str">
        <f>HYPERLINK("https://github.com/mgsx-dev/gdx-gltf","show")</f>
        <v>show</v>
      </c>
      <c r="F3796" t="str">
        <f>HYPERLINK("https://github.com/mgsx-dev/gdx-gltf/releases","show")</f>
        <v>show</v>
      </c>
    </row>
    <row r="3797" spans="1:6">
      <c r="A3797" t="s">
        <v>11319</v>
      </c>
      <c r="B3797" t="s">
        <v>11320</v>
      </c>
      <c r="C3797" t="s">
        <v>11321</v>
      </c>
      <c r="D3797" t="str">
        <f>HYPERLINK("https://github.com/nextcloud/android/issues/9712","show")</f>
        <v>show</v>
      </c>
      <c r="E3797" t="str">
        <f>HYPERLINK("https://github.com/nextcloud/android","show")</f>
        <v>show</v>
      </c>
      <c r="F3797" t="str">
        <f>HYPERLINK("https://github.com/nextcloud/android/releases","show")</f>
        <v>show</v>
      </c>
    </row>
    <row r="3798" spans="1:6">
      <c r="A3798" t="s">
        <v>11322</v>
      </c>
      <c r="B3798" t="s">
        <v>11323</v>
      </c>
      <c r="C3798" t="s">
        <v>11324</v>
      </c>
      <c r="D3798" t="str">
        <f>HYPERLINK("https://github.com/TacoTheDank/Scoop/issues/44","show")</f>
        <v>show</v>
      </c>
      <c r="E3798" t="str">
        <f>HYPERLINK("https://github.com/TacoTheDank/Scoop","show")</f>
        <v>show</v>
      </c>
      <c r="F3798" t="str">
        <f>HYPERLINK("https://github.com/TacoTheDank/Scoop/releases","show")</f>
        <v>show</v>
      </c>
    </row>
    <row r="3799" spans="1:6">
      <c r="A3799" t="s">
        <v>11325</v>
      </c>
      <c r="B3799" t="s">
        <v>11326</v>
      </c>
      <c r="C3799" t="s">
        <v>11327</v>
      </c>
      <c r="D3799" t="str">
        <f>HYPERLINK("https://github.com/PojavLauncherTeam/PojavLauncher/issues/2575","show")</f>
        <v>show</v>
      </c>
      <c r="E3799" t="str">
        <f>HYPERLINK("https://github.com/PojavLauncherTeam/PojavLauncher","show")</f>
        <v>show</v>
      </c>
      <c r="F3799" t="str">
        <f>HYPERLINK("https://github.com/PojavLauncherTeam/PojavLauncher/releases","show")</f>
        <v>show</v>
      </c>
    </row>
    <row r="3800" spans="1:6">
      <c r="A3800" t="s">
        <v>11328</v>
      </c>
      <c r="B3800" t="s">
        <v>11329</v>
      </c>
      <c r="C3800" t="s">
        <v>11330</v>
      </c>
      <c r="D3800" t="str">
        <f>HYPERLINK("https://github.com/PojavLauncherTeam/PojavLauncher/issues/2571","show")</f>
        <v>show</v>
      </c>
      <c r="E3800" t="str">
        <f>HYPERLINK("https://github.com/PojavLauncherTeam/PojavLauncher","show")</f>
        <v>show</v>
      </c>
      <c r="F3800" t="str">
        <f>HYPERLINK("https://github.com/PojavLauncherTeam/PojavLauncher/releases","show")</f>
        <v>show</v>
      </c>
    </row>
    <row r="3801" spans="1:6">
      <c r="A3801" t="s">
        <v>11331</v>
      </c>
      <c r="B3801" t="s">
        <v>11332</v>
      </c>
      <c r="C3801" t="s">
        <v>11333</v>
      </c>
      <c r="D3801" t="str">
        <f>HYPERLINK("https://github.com/PojavLauncherTeam/PojavLauncher/issues/2570","show")</f>
        <v>show</v>
      </c>
      <c r="E3801" t="str">
        <f>HYPERLINK("https://github.com/PojavLauncherTeam/PojavLauncher","show")</f>
        <v>show</v>
      </c>
      <c r="F3801" t="str">
        <f>HYPERLINK("https://github.com/PojavLauncherTeam/PojavLauncher/releases","show")</f>
        <v>show</v>
      </c>
    </row>
    <row r="3802" spans="1:6">
      <c r="A3802" t="s">
        <v>11334</v>
      </c>
      <c r="B3802" t="s">
        <v>11335</v>
      </c>
      <c r="C3802" t="s">
        <v>11336</v>
      </c>
      <c r="D3802" t="str">
        <f>HYPERLINK("https://github.com/gsantner/markor/issues/1565","show")</f>
        <v>show</v>
      </c>
      <c r="E3802" t="str">
        <f>HYPERLINK("https://github.com/gsantner/markor","show")</f>
        <v>show</v>
      </c>
      <c r="F3802" t="str">
        <f>HYPERLINK("https://github.com/gsantner/markor/releases","show")</f>
        <v>show</v>
      </c>
    </row>
    <row r="3803" spans="1:6">
      <c r="A3803" t="s">
        <v>11337</v>
      </c>
      <c r="B3803" t="s">
        <v>11338</v>
      </c>
      <c r="C3803" t="s">
        <v>11339</v>
      </c>
      <c r="D3803" t="str">
        <f>HYPERLINK("https://github.com/cgeo/WhereYouGo/issues/367","show")</f>
        <v>show</v>
      </c>
      <c r="E3803" t="str">
        <f>HYPERLINK("https://github.com/cgeo/WhereYouGo","show")</f>
        <v>show</v>
      </c>
      <c r="F3803" t="str">
        <f>HYPERLINK("https://github.com/cgeo/WhereYouGo/releases","show")</f>
        <v>show</v>
      </c>
    </row>
    <row r="3804" spans="1:6">
      <c r="A3804" t="s">
        <v>11340</v>
      </c>
      <c r="B3804" t="s">
        <v>11341</v>
      </c>
      <c r="C3804" t="s">
        <v>11342</v>
      </c>
      <c r="D3804" t="str">
        <f>HYPERLINK("https://github.com/TeamNewPipe/NewPipe/issues/7662","show")</f>
        <v>show</v>
      </c>
      <c r="E3804" t="str">
        <f>HYPERLINK("https://github.com/TeamNewPipe/NewPipe","show")</f>
        <v>show</v>
      </c>
      <c r="F3804" t="str">
        <f>HYPERLINK("https://github.com/TeamNewPipe/NewPipe/releases","show")</f>
        <v>show</v>
      </c>
    </row>
    <row r="3805" spans="1:6">
      <c r="A3805" t="s">
        <v>11343</v>
      </c>
      <c r="B3805" t="s">
        <v>11344</v>
      </c>
      <c r="C3805" t="s">
        <v>11345</v>
      </c>
      <c r="D3805" t="str">
        <f>HYPERLINK("https://github.com/PojavLauncherTeam/PojavLauncher/issues/2564","show")</f>
        <v>show</v>
      </c>
      <c r="E3805" t="str">
        <f>HYPERLINK("https://github.com/PojavLauncherTeam/PojavLauncher","show")</f>
        <v>show</v>
      </c>
      <c r="F3805" t="str">
        <f>HYPERLINK("https://github.com/PojavLauncherTeam/PojavLauncher/releases","show")</f>
        <v>show</v>
      </c>
    </row>
    <row r="3806" spans="1:6">
      <c r="A3806" t="s">
        <v>11346</v>
      </c>
      <c r="B3806" t="s">
        <v>11347</v>
      </c>
      <c r="C3806" t="s">
        <v>11348</v>
      </c>
      <c r="D3806" t="str">
        <f>HYPERLINK("https://github.com/PaulWoitaschek/ExoPlayer-Extensions/issues/4","show")</f>
        <v>show</v>
      </c>
      <c r="E3806" t="str">
        <f>HYPERLINK("https://github.com/PaulWoitaschek/ExoPlayer-Extensions","show")</f>
        <v>show</v>
      </c>
      <c r="F3806" t="str">
        <f>HYPERLINK("https://github.com/PaulWoitaschek/ExoPlayer-Extensions/releases","show")</f>
        <v>show</v>
      </c>
    </row>
    <row r="3807" spans="1:6">
      <c r="A3807" t="s">
        <v>11349</v>
      </c>
      <c r="B3807" t="s">
        <v>11350</v>
      </c>
      <c r="C3807" t="s">
        <v>11351</v>
      </c>
      <c r="D3807" t="str">
        <f>HYPERLINK("https://github.com/PojavLauncherTeam/PojavLauncher/issues/2561","show")</f>
        <v>show</v>
      </c>
      <c r="E3807" t="str">
        <f>HYPERLINK("https://github.com/PojavLauncherTeam/PojavLauncher","show")</f>
        <v>show</v>
      </c>
      <c r="F3807" t="str">
        <f>HYPERLINK("https://github.com/PojavLauncherTeam/PojavLauncher/releases","show")</f>
        <v>show</v>
      </c>
    </row>
    <row r="3808" spans="1:6">
      <c r="A3808" t="s">
        <v>11352</v>
      </c>
      <c r="B3808" t="s">
        <v>11353</v>
      </c>
      <c r="C3808" t="s">
        <v>11354</v>
      </c>
      <c r="D3808" t="str">
        <f>HYPERLINK("https://github.com/TeamNewPipe/NewPipe/issues/7657","show")</f>
        <v>show</v>
      </c>
      <c r="E3808" t="str">
        <f>HYPERLINK("https://github.com/TeamNewPipe/NewPipe","show")</f>
        <v>show</v>
      </c>
      <c r="F3808" t="str">
        <f>HYPERLINK("https://github.com/TeamNewPipe/NewPipe/releases","show")</f>
        <v>show</v>
      </c>
    </row>
    <row r="3809" spans="1:6">
      <c r="A3809" t="s">
        <v>11355</v>
      </c>
      <c r="B3809" t="s">
        <v>11356</v>
      </c>
      <c r="C3809" t="s">
        <v>11357</v>
      </c>
      <c r="D3809" t="str">
        <f>HYPERLINK("https://github.com/SecUSo/privacy-friendly-pedometer/issues/101","show")</f>
        <v>show</v>
      </c>
      <c r="E3809" t="str">
        <f>HYPERLINK("https://github.com/SecUSo/privacy-friendly-pedometer","show")</f>
        <v>show</v>
      </c>
      <c r="F3809" t="str">
        <f>HYPERLINK("https://github.com/SecUSo/privacy-friendly-pedometer/releases","show")</f>
        <v>show</v>
      </c>
    </row>
    <row r="3810" spans="1:6">
      <c r="A3810" t="s">
        <v>11358</v>
      </c>
      <c r="B3810" t="s">
        <v>11359</v>
      </c>
      <c r="C3810" t="s">
        <v>11360</v>
      </c>
      <c r="D3810" t="str">
        <f>HYPERLINK("https://github.com/TeamNewPipe/NewPipe/issues/7655","show")</f>
        <v>show</v>
      </c>
      <c r="E3810" t="str">
        <f>HYPERLINK("https://github.com/TeamNewPipe/NewPipe","show")</f>
        <v>show</v>
      </c>
      <c r="F3810" t="str">
        <f>HYPERLINK("https://github.com/TeamNewPipe/NewPipe/releases","show")</f>
        <v>show</v>
      </c>
    </row>
    <row r="3811" spans="1:6">
      <c r="A3811" t="s">
        <v>11361</v>
      </c>
      <c r="B3811" t="s">
        <v>11362</v>
      </c>
      <c r="C3811" t="s">
        <v>11363</v>
      </c>
      <c r="D3811" t="str">
        <f>HYPERLINK("https://github.com/PojavLauncherTeam/PojavLauncher/issues/2554","show")</f>
        <v>show</v>
      </c>
      <c r="E3811" t="str">
        <f>HYPERLINK("https://github.com/PojavLauncherTeam/PojavLauncher","show")</f>
        <v>show</v>
      </c>
      <c r="F3811" t="str">
        <f>HYPERLINK("https://github.com/PojavLauncherTeam/PojavLauncher/releases","show")</f>
        <v>show</v>
      </c>
    </row>
    <row r="3812" spans="1:6">
      <c r="A3812" t="s">
        <v>11364</v>
      </c>
      <c r="B3812" t="s">
        <v>11365</v>
      </c>
      <c r="C3812" t="s">
        <v>11366</v>
      </c>
      <c r="D3812" t="str">
        <f>HYPERLINK("https://github.com/nextcloud/android/issues/9695","show")</f>
        <v>show</v>
      </c>
      <c r="E3812" t="str">
        <f>HYPERLINK("https://github.com/nextcloud/android","show")</f>
        <v>show</v>
      </c>
      <c r="F3812" t="str">
        <f>HYPERLINK("https://github.com/nextcloud/android/releases","show")</f>
        <v>show</v>
      </c>
    </row>
    <row r="3813" spans="1:6">
      <c r="A3813" t="s">
        <v>11367</v>
      </c>
      <c r="B3813" t="s">
        <v>11368</v>
      </c>
      <c r="C3813" t="s">
        <v>11369</v>
      </c>
      <c r="D3813" t="str">
        <f>HYPERLINK("https://github.com/nextcloud/android/issues/9693","show")</f>
        <v>show</v>
      </c>
      <c r="E3813" t="str">
        <f>HYPERLINK("https://github.com/nextcloud/android","show")</f>
        <v>show</v>
      </c>
      <c r="F3813" t="str">
        <f>HYPERLINK("https://github.com/nextcloud/android/releases","show")</f>
        <v>show</v>
      </c>
    </row>
    <row r="3814" spans="1:6">
      <c r="A3814" t="s">
        <v>11370</v>
      </c>
      <c r="B3814" t="s">
        <v>11371</v>
      </c>
      <c r="C3814" t="s">
        <v>11372</v>
      </c>
      <c r="D3814" t="str">
        <f>HYPERLINK("https://github.com/voxeet/voxeet-uxkit-reactnative/issues/57","show")</f>
        <v>show</v>
      </c>
      <c r="E3814" t="str">
        <f>HYPERLINK("https://github.com/voxeet/voxeet-uxkit-reactnative","show")</f>
        <v>show</v>
      </c>
      <c r="F3814" t="str">
        <f>HYPERLINK("https://github.com/voxeet/voxeet-uxkit-reactnative/releases","show")</f>
        <v>show</v>
      </c>
    </row>
    <row r="3815" spans="1:6">
      <c r="A3815" t="s">
        <v>11373</v>
      </c>
      <c r="B3815" t="s">
        <v>11374</v>
      </c>
      <c r="C3815" t="s">
        <v>11375</v>
      </c>
      <c r="D3815" t="str">
        <f>HYPERLINK("https://github.com/PojavLauncherTeam/PojavLauncher/issues/2549","show")</f>
        <v>show</v>
      </c>
      <c r="E3815" t="str">
        <f>HYPERLINK("https://github.com/PojavLauncherTeam/PojavLauncher","show")</f>
        <v>show</v>
      </c>
      <c r="F3815" t="str">
        <f>HYPERLINK("https://github.com/PojavLauncherTeam/PojavLauncher/releases","show")</f>
        <v>show</v>
      </c>
    </row>
    <row r="3816" spans="1:6">
      <c r="A3816" t="s">
        <v>11376</v>
      </c>
      <c r="B3816" t="s">
        <v>11377</v>
      </c>
      <c r="C3816" t="s">
        <v>11378</v>
      </c>
      <c r="D3816" t="str">
        <f>HYPERLINK("https://github.com/PojavLauncherTeam/PojavLauncher/issues/2546","show")</f>
        <v>show</v>
      </c>
      <c r="E3816" t="str">
        <f>HYPERLINK("https://github.com/PojavLauncherTeam/PojavLauncher","show")</f>
        <v>show</v>
      </c>
      <c r="F3816" t="str">
        <f>HYPERLINK("https://github.com/PojavLauncherTeam/PojavLauncher/releases","show")</f>
        <v>show</v>
      </c>
    </row>
    <row r="3817" spans="1:6">
      <c r="A3817" t="s">
        <v>11379</v>
      </c>
      <c r="B3817" t="s">
        <v>11380</v>
      </c>
      <c r="C3817" t="s">
        <v>11381</v>
      </c>
      <c r="D3817" t="str">
        <f>HYPERLINK("https://github.com/itsaky/AndroidIDE/issues/51","show")</f>
        <v>show</v>
      </c>
      <c r="E3817" t="str">
        <f>HYPERLINK("https://github.com/itsaky/AndroidIDE","show")</f>
        <v>show</v>
      </c>
      <c r="F3817" t="str">
        <f>HYPERLINK("https://github.com/itsaky/AndroidIDE/releases","show")</f>
        <v>show</v>
      </c>
    </row>
    <row r="3818" spans="1:6">
      <c r="A3818" t="s">
        <v>11382</v>
      </c>
      <c r="B3818" t="s">
        <v>11383</v>
      </c>
      <c r="C3818" t="s">
        <v>11384</v>
      </c>
      <c r="D3818" t="str">
        <f>HYPERLINK("https://github.com/PojavLauncherTeam/PojavLauncher/issues/2545","show")</f>
        <v>show</v>
      </c>
      <c r="E3818" t="str">
        <f>HYPERLINK("https://github.com/PojavLauncherTeam/PojavLauncher","show")</f>
        <v>show</v>
      </c>
      <c r="F3818" t="str">
        <f>HYPERLINK("https://github.com/PojavLauncherTeam/PojavLauncher/releases","show")</f>
        <v>show</v>
      </c>
    </row>
    <row r="3819" spans="1:6">
      <c r="A3819" t="s">
        <v>11385</v>
      </c>
      <c r="B3819" t="s">
        <v>11386</v>
      </c>
      <c r="C3819" t="s">
        <v>11387</v>
      </c>
      <c r="D3819" t="str">
        <f>HYPERLINK("https://github.com/ankidroid/Anki-Android/issues/10175","show")</f>
        <v>show</v>
      </c>
      <c r="E3819" t="str">
        <f>HYPERLINK("https://github.com/ankidroid/Anki-Android","show")</f>
        <v>show</v>
      </c>
      <c r="F3819" t="str">
        <f>HYPERLINK("https://github.com/ankidroid/Anki-Android/releases","show")</f>
        <v>show</v>
      </c>
    </row>
    <row r="3820" spans="1:6">
      <c r="A3820" t="s">
        <v>11388</v>
      </c>
      <c r="B3820" t="s">
        <v>11389</v>
      </c>
      <c r="C3820" t="s">
        <v>11390</v>
      </c>
      <c r="D3820" t="str">
        <f>HYPERLINK("https://github.com/Anuken/Mindustry/issues/6486","show")</f>
        <v>show</v>
      </c>
      <c r="E3820" t="str">
        <f>HYPERLINK("https://github.com/Anuken/Mindustry","show")</f>
        <v>show</v>
      </c>
      <c r="F3820" t="str">
        <f>HYPERLINK("https://github.com/Anuken/Mindustry/releases","show")</f>
        <v>show</v>
      </c>
    </row>
    <row r="3821" spans="1:6">
      <c r="A3821" t="s">
        <v>11391</v>
      </c>
      <c r="B3821" t="s">
        <v>11392</v>
      </c>
      <c r="C3821" t="s">
        <v>11393</v>
      </c>
      <c r="D3821" t="str">
        <f>HYPERLINK("https://github.com/TeamNewPipe/NewPipe/issues/7647","show")</f>
        <v>show</v>
      </c>
      <c r="E3821" t="str">
        <f>HYPERLINK("https://github.com/TeamNewPipe/NewPipe","show")</f>
        <v>show</v>
      </c>
      <c r="F3821" t="str">
        <f>HYPERLINK("https://github.com/TeamNewPipe/NewPipe/releases","show")</f>
        <v>show</v>
      </c>
    </row>
    <row r="3822" spans="1:6">
      <c r="A3822" t="s">
        <v>11394</v>
      </c>
      <c r="B3822" t="s">
        <v>11395</v>
      </c>
      <c r="C3822" t="s">
        <v>11396</v>
      </c>
      <c r="D3822" t="str">
        <f>HYPERLINK("https://github.com/PojavLauncherTeam/PojavLauncher/issues/2541","show")</f>
        <v>show</v>
      </c>
      <c r="E3822" t="str">
        <f>HYPERLINK("https://github.com/PojavLauncherTeam/PojavLauncher","show")</f>
        <v>show</v>
      </c>
      <c r="F3822" t="str">
        <f>HYPERLINK("https://github.com/PojavLauncherTeam/PojavLauncher/releases","show")</f>
        <v>show</v>
      </c>
    </row>
    <row r="3823" spans="1:6">
      <c r="A3823" t="s">
        <v>11397</v>
      </c>
      <c r="B3823" t="s">
        <v>11398</v>
      </c>
      <c r="C3823" t="s">
        <v>11399</v>
      </c>
      <c r="D3823" t="str">
        <f>HYPERLINK("https://github.com/OpenTracksApp/OpenTracks/issues/1086","show")</f>
        <v>show</v>
      </c>
      <c r="E3823" t="str">
        <f>HYPERLINK("https://github.com/OpenTracksApp/OpenTracks","show")</f>
        <v>show</v>
      </c>
      <c r="F3823" t="str">
        <f>HYPERLINK("https://github.com/OpenTracksApp/OpenTracks/releases","show")</f>
        <v>show</v>
      </c>
    </row>
    <row r="3824" spans="1:6">
      <c r="A3824" t="s">
        <v>11400</v>
      </c>
      <c r="B3824" t="s">
        <v>11401</v>
      </c>
      <c r="C3824" t="s">
        <v>11402</v>
      </c>
      <c r="D3824" t="str">
        <f>HYPERLINK("https://github.com/yasirkula/UnityNativeFilePicker/issues/18","show")</f>
        <v>show</v>
      </c>
      <c r="E3824" t="str">
        <f>HYPERLINK("https://github.com/yasirkula/UnityNativeFilePicker","show")</f>
        <v>show</v>
      </c>
      <c r="F3824" t="str">
        <f>HYPERLINK("https://github.com/yasirkula/UnityNativeFilePicker/releases","show")</f>
        <v>show</v>
      </c>
    </row>
    <row r="3825" spans="1:6">
      <c r="A3825" t="s">
        <v>11403</v>
      </c>
      <c r="B3825" t="s">
        <v>11404</v>
      </c>
      <c r="C3825" t="s">
        <v>11405</v>
      </c>
      <c r="D3825" t="str">
        <f>HYPERLINK("https://github.com/PojavLauncherTeam/PojavLauncher/issues/2536","show")</f>
        <v>show</v>
      </c>
      <c r="E3825" t="str">
        <f>HYPERLINK("https://github.com/PojavLauncherTeam/PojavLauncher","show")</f>
        <v>show</v>
      </c>
      <c r="F3825" t="str">
        <f>HYPERLINK("https://github.com/PojavLauncherTeam/PojavLauncher/releases","show")</f>
        <v>show</v>
      </c>
    </row>
    <row r="3826" spans="1:6">
      <c r="A3826" t="s">
        <v>11406</v>
      </c>
      <c r="B3826" t="s">
        <v>11407</v>
      </c>
      <c r="C3826" t="s">
        <v>11408</v>
      </c>
      <c r="D3826" t="str">
        <f>HYPERLINK("https://github.com/TeamNewPipe/NewPipe/issues/7643","show")</f>
        <v>show</v>
      </c>
      <c r="E3826" t="str">
        <f>HYPERLINK("https://github.com/TeamNewPipe/NewPipe","show")</f>
        <v>show</v>
      </c>
      <c r="F3826" t="str">
        <f>HYPERLINK("https://github.com/TeamNewPipe/NewPipe/releases","show")</f>
        <v>show</v>
      </c>
    </row>
    <row r="3827" spans="1:6">
      <c r="A3827" t="s">
        <v>11409</v>
      </c>
      <c r="B3827" t="s">
        <v>11410</v>
      </c>
      <c r="C3827" t="s">
        <v>11411</v>
      </c>
      <c r="D3827" t="str">
        <f>HYPERLINK("https://github.com/PojavLauncherTeam/PojavLauncher/issues/2532","show")</f>
        <v>show</v>
      </c>
      <c r="E3827" t="str">
        <f>HYPERLINK("https://github.com/PojavLauncherTeam/PojavLauncher","show")</f>
        <v>show</v>
      </c>
      <c r="F3827" t="str">
        <f>HYPERLINK("https://github.com/PojavLauncherTeam/PojavLauncher/releases","show")</f>
        <v>show</v>
      </c>
    </row>
    <row r="3828" spans="1:6">
      <c r="A3828" t="s">
        <v>11412</v>
      </c>
      <c r="B3828" t="s">
        <v>11413</v>
      </c>
      <c r="C3828" t="s">
        <v>11414</v>
      </c>
      <c r="D3828" t="str">
        <f>HYPERLINK("https://github.com/lisawray/groupie/issues/417","show")</f>
        <v>show</v>
      </c>
      <c r="E3828" t="str">
        <f>HYPERLINK("https://github.com/lisawray/groupie","show")</f>
        <v>show</v>
      </c>
      <c r="F3828" t="str">
        <f>HYPERLINK("https://github.com/lisawray/groupie/releases","show")</f>
        <v>show</v>
      </c>
    </row>
    <row r="3829" spans="1:6">
      <c r="A3829" t="s">
        <v>11415</v>
      </c>
      <c r="B3829" t="s">
        <v>11416</v>
      </c>
      <c r="C3829" t="s">
        <v>11417</v>
      </c>
      <c r="D3829" t="str">
        <f>HYPERLINK("https://github.com/TeamNewPipe/NewPipe/issues/7637","show")</f>
        <v>show</v>
      </c>
      <c r="E3829" t="str">
        <f>HYPERLINK("https://github.com/TeamNewPipe/NewPipe","show")</f>
        <v>show</v>
      </c>
      <c r="F3829" t="str">
        <f>HYPERLINK("https://github.com/TeamNewPipe/NewPipe/releases","show")</f>
        <v>show</v>
      </c>
    </row>
    <row r="3830" spans="1:6">
      <c r="A3830" t="s">
        <v>11418</v>
      </c>
      <c r="B3830" t="s">
        <v>11419</v>
      </c>
      <c r="C3830" t="s">
        <v>11420</v>
      </c>
      <c r="D3830" t="str">
        <f>HYPERLINK("https://github.com/TeamNewPipe/NewPipe/issues/7635","show")</f>
        <v>show</v>
      </c>
      <c r="E3830" t="str">
        <f>HYPERLINK("https://github.com/TeamNewPipe/NewPipe","show")</f>
        <v>show</v>
      </c>
      <c r="F3830" t="str">
        <f>HYPERLINK("https://github.com/TeamNewPipe/NewPipe/releases","show")</f>
        <v>show</v>
      </c>
    </row>
    <row r="3831" spans="1:6">
      <c r="A3831" t="s">
        <v>11421</v>
      </c>
      <c r="B3831" t="s">
        <v>11422</v>
      </c>
      <c r="C3831" t="s">
        <v>11423</v>
      </c>
      <c r="D3831" t="str">
        <f>HYPERLINK("https://github.com/ankidroid/Anki-Android/issues/10121","show")</f>
        <v>show</v>
      </c>
      <c r="E3831" t="str">
        <f>HYPERLINK("https://github.com/ankidroid/Anki-Android","show")</f>
        <v>show</v>
      </c>
      <c r="F3831" t="str">
        <f>HYPERLINK("https://github.com/ankidroid/Anki-Android/releases","show")</f>
        <v>show</v>
      </c>
    </row>
    <row r="3832" spans="1:6">
      <c r="A3832" t="s">
        <v>11424</v>
      </c>
      <c r="B3832" t="s">
        <v>11425</v>
      </c>
      <c r="C3832" t="s">
        <v>11426</v>
      </c>
      <c r="D3832" t="str">
        <f>HYPERLINK("https://github.com/SleepingApps/Slurp/issues/106","show")</f>
        <v>show</v>
      </c>
      <c r="E3832" t="str">
        <f>HYPERLINK("https://github.com/SleepingApps/Slurp","show")</f>
        <v>show</v>
      </c>
      <c r="F3832" t="str">
        <f>HYPERLINK("https://github.com/SleepingApps/Slurp/releases","show")</f>
        <v>show</v>
      </c>
    </row>
    <row r="3833" spans="1:6">
      <c r="A3833" t="s">
        <v>11427</v>
      </c>
      <c r="B3833" t="s">
        <v>11428</v>
      </c>
      <c r="C3833" t="s">
        <v>11429</v>
      </c>
      <c r="D3833" t="str">
        <f>HYPERLINK("https://github.com/PojavLauncherTeam/PojavLauncher/issues/2526","show")</f>
        <v>show</v>
      </c>
      <c r="E3833" t="str">
        <f>HYPERLINK("https://github.com/PojavLauncherTeam/PojavLauncher","show")</f>
        <v>show</v>
      </c>
      <c r="F3833" t="str">
        <f>HYPERLINK("https://github.com/PojavLauncherTeam/PojavLauncher/releases","show")</f>
        <v>show</v>
      </c>
    </row>
    <row r="3834" spans="1:6">
      <c r="A3834" t="s">
        <v>11430</v>
      </c>
      <c r="B3834" t="s">
        <v>11431</v>
      </c>
      <c r="C3834" t="s">
        <v>11432</v>
      </c>
      <c r="D3834" t="str">
        <f>HYPERLINK("https://github.com/PojavLauncherTeam/PojavLauncher/issues/2525","show")</f>
        <v>show</v>
      </c>
      <c r="E3834" t="str">
        <f>HYPERLINK("https://github.com/PojavLauncherTeam/PojavLauncher","show")</f>
        <v>show</v>
      </c>
      <c r="F3834" t="str">
        <f>HYPERLINK("https://github.com/PojavLauncherTeam/PojavLauncher/releases","show")</f>
        <v>show</v>
      </c>
    </row>
    <row r="3835" spans="1:6">
      <c r="A3835" t="s">
        <v>11433</v>
      </c>
      <c r="B3835" t="s">
        <v>11434</v>
      </c>
      <c r="C3835" t="s">
        <v>11435</v>
      </c>
      <c r="D3835" t="str">
        <f>HYPERLINK("https://github.com/PojavLauncherTeam/PojavLauncher/issues/2523","show")</f>
        <v>show</v>
      </c>
      <c r="E3835" t="str">
        <f>HYPERLINK("https://github.com/PojavLauncherTeam/PojavLauncher","show")</f>
        <v>show</v>
      </c>
      <c r="F3835" t="str">
        <f>HYPERLINK("https://github.com/PojavLauncherTeam/PojavLauncher/releases","show")</f>
        <v>show</v>
      </c>
    </row>
    <row r="3836" spans="1:6">
      <c r="A3836" t="s">
        <v>11436</v>
      </c>
      <c r="B3836" t="s">
        <v>11437</v>
      </c>
      <c r="C3836" t="s">
        <v>11438</v>
      </c>
      <c r="D3836" t="str">
        <f>HYPERLINK("https://github.com/itsaky/AndroidIDE/issues/45","show")</f>
        <v>show</v>
      </c>
      <c r="E3836" t="str">
        <f>HYPERLINK("https://github.com/itsaky/AndroidIDE","show")</f>
        <v>show</v>
      </c>
      <c r="F3836" t="str">
        <f>HYPERLINK("https://github.com/itsaky/AndroidIDE/releases","show")</f>
        <v>show</v>
      </c>
    </row>
    <row r="3837" spans="1:6">
      <c r="A3837" t="s">
        <v>11439</v>
      </c>
      <c r="B3837" t="s">
        <v>11440</v>
      </c>
      <c r="C3837" t="s">
        <v>11441</v>
      </c>
      <c r="D3837" t="str">
        <f>HYPERLINK("https://github.com/TeamNewPipe/NewPipe/issues/7630","show")</f>
        <v>show</v>
      </c>
      <c r="E3837" t="str">
        <f>HYPERLINK("https://github.com/TeamNewPipe/NewPipe","show")</f>
        <v>show</v>
      </c>
      <c r="F3837" t="str">
        <f>HYPERLINK("https://github.com/TeamNewPipe/NewPipe/releases","show")</f>
        <v>show</v>
      </c>
    </row>
    <row r="3838" spans="1:6">
      <c r="A3838" t="s">
        <v>11442</v>
      </c>
      <c r="B3838" t="s">
        <v>11443</v>
      </c>
      <c r="C3838" t="s">
        <v>11444</v>
      </c>
      <c r="D3838" t="str">
        <f>HYPERLINK("https://github.com/doublesymmetry/react-native-track-player/issues/1364","show")</f>
        <v>show</v>
      </c>
      <c r="E3838" t="str">
        <f>HYPERLINK("https://github.com/doublesymmetry/react-native-track-player","show")</f>
        <v>show</v>
      </c>
      <c r="F3838" t="str">
        <f>HYPERLINK("https://github.com/doublesymmetry/react-native-track-player/releases","show")</f>
        <v>show</v>
      </c>
    </row>
    <row r="3839" spans="1:6">
      <c r="A3839" t="s">
        <v>11445</v>
      </c>
      <c r="B3839" t="s">
        <v>11446</v>
      </c>
      <c r="C3839" t="s">
        <v>11447</v>
      </c>
      <c r="D3839" t="str">
        <f>HYPERLINK("https://github.com/Anuken/Mindustry/issues/6473","show")</f>
        <v>show</v>
      </c>
      <c r="E3839" t="str">
        <f>HYPERLINK("https://github.com/Anuken/Mindustry","show")</f>
        <v>show</v>
      </c>
      <c r="F3839" t="str">
        <f>HYPERLINK("https://github.com/Anuken/Mindustry/releases","show")</f>
        <v>show</v>
      </c>
    </row>
    <row r="3840" spans="1:6">
      <c r="A3840" t="s">
        <v>11448</v>
      </c>
      <c r="B3840" t="s">
        <v>11449</v>
      </c>
      <c r="C3840" t="s">
        <v>11450</v>
      </c>
      <c r="D3840" t="str">
        <f>HYPERLINK("https://github.com/TeamNewPipe/NewPipe/issues/7629","show")</f>
        <v>show</v>
      </c>
      <c r="E3840" t="str">
        <f>HYPERLINK("https://github.com/TeamNewPipe/NewPipe","show")</f>
        <v>show</v>
      </c>
      <c r="F3840" t="str">
        <f>HYPERLINK("https://github.com/TeamNewPipe/NewPipe/releases","show")</f>
        <v>show</v>
      </c>
    </row>
    <row r="3841" spans="1:6">
      <c r="A3841" t="s">
        <v>11451</v>
      </c>
      <c r="B3841" t="s">
        <v>11452</v>
      </c>
      <c r="C3841" t="s">
        <v>11453</v>
      </c>
      <c r="D3841" t="str">
        <f>HYPERLINK("https://github.com/Anuken/Mindustry/issues/6472","show")</f>
        <v>show</v>
      </c>
      <c r="E3841" t="str">
        <f>HYPERLINK("https://github.com/Anuken/Mindustry","show")</f>
        <v>show</v>
      </c>
      <c r="F3841" t="str">
        <f>HYPERLINK("https://github.com/Anuken/Mindustry/releases","show")</f>
        <v>show</v>
      </c>
    </row>
    <row r="3842" spans="1:6">
      <c r="A3842" t="s">
        <v>11454</v>
      </c>
      <c r="B3842" t="s">
        <v>11455</v>
      </c>
      <c r="C3842" t="s">
        <v>11456</v>
      </c>
      <c r="D3842" t="str">
        <f>HYPERLINK("https://github.com/connectbot/connectbot/issues/1071","show")</f>
        <v>show</v>
      </c>
      <c r="E3842" t="str">
        <f>HYPERLINK("https://github.com/connectbot/connectbot","show")</f>
        <v>show</v>
      </c>
      <c r="F3842" t="str">
        <f>HYPERLINK("https://github.com/connectbot/connectbot/releases","show")</f>
        <v>show</v>
      </c>
    </row>
    <row r="3843" spans="1:6">
      <c r="A3843" t="s">
        <v>11457</v>
      </c>
      <c r="B3843" t="s">
        <v>11458</v>
      </c>
      <c r="C3843" t="s">
        <v>11459</v>
      </c>
      <c r="D3843" t="str">
        <f>HYPERLINK("https://github.com/PojavLauncherTeam/PojavLauncher/issues/2518","show")</f>
        <v>show</v>
      </c>
      <c r="E3843" t="str">
        <f>HYPERLINK("https://github.com/PojavLauncherTeam/PojavLauncher","show")</f>
        <v>show</v>
      </c>
      <c r="F3843" t="str">
        <f>HYPERLINK("https://github.com/PojavLauncherTeam/PojavLauncher/releases","show")</f>
        <v>show</v>
      </c>
    </row>
    <row r="3844" spans="1:6">
      <c r="A3844" t="s">
        <v>11460</v>
      </c>
      <c r="B3844" t="s">
        <v>11461</v>
      </c>
      <c r="C3844" t="s">
        <v>11462</v>
      </c>
      <c r="D3844" t="str">
        <f>HYPERLINK("https://github.com/mh-/corona-warn-companion-android/issues/143","show")</f>
        <v>show</v>
      </c>
      <c r="E3844" t="str">
        <f>HYPERLINK("https://github.com/mh-/corona-warn-companion-android","show")</f>
        <v>show</v>
      </c>
      <c r="F3844" t="str">
        <f>HYPERLINK("https://github.com/mh-/corona-warn-companion-android/releases","show")</f>
        <v>show</v>
      </c>
    </row>
    <row r="3845" spans="1:6">
      <c r="A3845" t="s">
        <v>11463</v>
      </c>
      <c r="B3845" t="s">
        <v>11464</v>
      </c>
      <c r="C3845" t="s">
        <v>11465</v>
      </c>
      <c r="D3845" t="str">
        <f>HYPERLINK("https://github.com/MuntashirAkon/AppManager/issues/652","show")</f>
        <v>show</v>
      </c>
      <c r="E3845" t="str">
        <f>HYPERLINK("https://github.com/MuntashirAkon/AppManager","show")</f>
        <v>show</v>
      </c>
      <c r="F3845" t="str">
        <f>HYPERLINK("https://github.com/MuntashirAkon/AppManager/releases","show")</f>
        <v>show</v>
      </c>
    </row>
    <row r="3846" spans="1:6">
      <c r="A3846" t="s">
        <v>11466</v>
      </c>
      <c r="B3846" t="s">
        <v>11467</v>
      </c>
      <c r="C3846" t="s">
        <v>11468</v>
      </c>
      <c r="D3846" t="str">
        <f>HYPERLINK("https://github.com/OpenTracksApp/OpenTracks/issues/1081","show")</f>
        <v>show</v>
      </c>
      <c r="E3846" t="str">
        <f>HYPERLINK("https://github.com/OpenTracksApp/OpenTracks","show")</f>
        <v>show</v>
      </c>
      <c r="F3846" t="str">
        <f>HYPERLINK("https://github.com/OpenTracksApp/OpenTracks/releases","show")</f>
        <v>show</v>
      </c>
    </row>
    <row r="3847" spans="1:6">
      <c r="A3847" t="s">
        <v>11469</v>
      </c>
      <c r="B3847" t="s">
        <v>11470</v>
      </c>
      <c r="C3847" t="s">
        <v>11471</v>
      </c>
      <c r="D3847" t="str">
        <f>HYPERLINK("https://github.com/Benji377/SocyMusic/issues/208","show")</f>
        <v>show</v>
      </c>
      <c r="E3847" t="str">
        <f>HYPERLINK("https://github.com/Benji377/SocyMusic","show")</f>
        <v>show</v>
      </c>
      <c r="F3847" t="str">
        <f>HYPERLINK("https://github.com/Benji377/SocyMusic/releases","show")</f>
        <v>show</v>
      </c>
    </row>
    <row r="3848" spans="1:6">
      <c r="A3848" t="s">
        <v>11472</v>
      </c>
      <c r="B3848" t="s">
        <v>11473</v>
      </c>
      <c r="C3848" t="s">
        <v>11474</v>
      </c>
      <c r="D3848" t="str">
        <f>HYPERLINK("https://github.com/jellyfin/jellyfin-androidtv/issues/1335","show")</f>
        <v>show</v>
      </c>
      <c r="E3848" t="str">
        <f>HYPERLINK("https://github.com/jellyfin/jellyfin-androidtv","show")</f>
        <v>show</v>
      </c>
      <c r="F3848" t="str">
        <f>HYPERLINK("https://github.com/jellyfin/jellyfin-androidtv/releases","show")</f>
        <v>show</v>
      </c>
    </row>
    <row r="3849" spans="1:6">
      <c r="A3849" t="s">
        <v>11475</v>
      </c>
      <c r="B3849" t="s">
        <v>11476</v>
      </c>
      <c r="C3849" t="s">
        <v>11477</v>
      </c>
      <c r="D3849" t="str">
        <f>HYPERLINK("https://github.com/itsaky/AndroidIDE/issues/43","show")</f>
        <v>show</v>
      </c>
      <c r="E3849" t="str">
        <f>HYPERLINK("https://github.com/itsaky/AndroidIDE","show")</f>
        <v>show</v>
      </c>
      <c r="F3849" t="str">
        <f>HYPERLINK("https://github.com/itsaky/AndroidIDE/releases","show")</f>
        <v>show</v>
      </c>
    </row>
    <row r="3850" spans="1:6">
      <c r="A3850" t="s">
        <v>11478</v>
      </c>
      <c r="B3850" t="s">
        <v>11479</v>
      </c>
      <c r="C3850" t="s">
        <v>11480</v>
      </c>
      <c r="D3850" t="str">
        <f>HYPERLINK("https://github.com/PojavLauncherTeam/PojavLauncher/issues/2511","show")</f>
        <v>show</v>
      </c>
      <c r="E3850" t="str">
        <f>HYPERLINK("https://github.com/PojavLauncherTeam/PojavLauncher","show")</f>
        <v>show</v>
      </c>
      <c r="F3850" t="str">
        <f>HYPERLINK("https://github.com/PojavLauncherTeam/PojavLauncher/releases","show")</f>
        <v>show</v>
      </c>
    </row>
    <row r="3851" spans="1:6">
      <c r="A3851" t="s">
        <v>11481</v>
      </c>
      <c r="B3851" t="s">
        <v>11482</v>
      </c>
      <c r="C3851" t="s">
        <v>11483</v>
      </c>
      <c r="D3851" t="str">
        <f>HYPERLINK("https://github.com/PojavLauncherTeam/PojavLauncher/issues/2510","show")</f>
        <v>show</v>
      </c>
      <c r="E3851" t="str">
        <f>HYPERLINK("https://github.com/PojavLauncherTeam/PojavLauncher","show")</f>
        <v>show</v>
      </c>
      <c r="F3851" t="str">
        <f>HYPERLINK("https://github.com/PojavLauncherTeam/PojavLauncher/releases","show")</f>
        <v>show</v>
      </c>
    </row>
    <row r="3852" spans="1:6">
      <c r="A3852" t="s">
        <v>11484</v>
      </c>
      <c r="B3852" t="s">
        <v>11485</v>
      </c>
      <c r="C3852" t="s">
        <v>11486</v>
      </c>
      <c r="D3852" t="str">
        <f>HYPERLINK("https://github.com/PojavLauncherTeam/PojavLauncher/issues/2509","show")</f>
        <v>show</v>
      </c>
      <c r="E3852" t="str">
        <f>HYPERLINK("https://github.com/PojavLauncherTeam/PojavLauncher","show")</f>
        <v>show</v>
      </c>
      <c r="F3852" t="str">
        <f>HYPERLINK("https://github.com/PojavLauncherTeam/PojavLauncher/releases","show")</f>
        <v>show</v>
      </c>
    </row>
    <row r="3853" spans="1:6">
      <c r="A3853" t="s">
        <v>11487</v>
      </c>
      <c r="B3853" t="s">
        <v>11488</v>
      </c>
      <c r="C3853" t="s">
        <v>11489</v>
      </c>
      <c r="D3853" t="str">
        <f>HYPERLINK("https://github.com/inaturalist/iNaturalistAndroid/issues/1168","show")</f>
        <v>show</v>
      </c>
      <c r="E3853" t="str">
        <f>HYPERLINK("https://github.com/inaturalist/iNaturalistAndroid","show")</f>
        <v>show</v>
      </c>
      <c r="F3853" t="str">
        <f>HYPERLINK("https://github.com/inaturalist/iNaturalistAndroid/releases","show")</f>
        <v>show</v>
      </c>
    </row>
    <row r="3854" spans="1:6">
      <c r="A3854" t="s">
        <v>11490</v>
      </c>
      <c r="B3854" t="s">
        <v>11491</v>
      </c>
      <c r="C3854" t="s">
        <v>11492</v>
      </c>
      <c r="D3854" t="str">
        <f>HYPERLINK("https://github.com/inaturalist/iNaturalistAndroid/issues/1167","show")</f>
        <v>show</v>
      </c>
      <c r="E3854" t="str">
        <f>HYPERLINK("https://github.com/inaturalist/iNaturalistAndroid","show")</f>
        <v>show</v>
      </c>
      <c r="F3854" t="str">
        <f>HYPERLINK("https://github.com/inaturalist/iNaturalistAndroid/releases","show")</f>
        <v>show</v>
      </c>
    </row>
    <row r="3855" spans="1:6">
      <c r="A3855" t="s">
        <v>11493</v>
      </c>
      <c r="B3855" t="s">
        <v>11494</v>
      </c>
      <c r="C3855" t="s">
        <v>11495</v>
      </c>
      <c r="D3855" t="str">
        <f>HYPERLINK("https://github.com/canyie/pine/issues/23","show")</f>
        <v>show</v>
      </c>
      <c r="E3855" t="str">
        <f>HYPERLINK("https://github.com/canyie/pine","show")</f>
        <v>show</v>
      </c>
      <c r="F3855" t="str">
        <f>HYPERLINK("https://github.com/canyie/pine/releases","show")</f>
        <v>show</v>
      </c>
    </row>
    <row r="3856" spans="1:6">
      <c r="A3856" t="s">
        <v>11496</v>
      </c>
      <c r="B3856" t="s">
        <v>11497</v>
      </c>
      <c r="C3856" t="s">
        <v>11498</v>
      </c>
      <c r="D3856" t="str">
        <f>HYPERLINK("https://github.com/flololan/GoToMetz/issues/2","show")</f>
        <v>show</v>
      </c>
      <c r="E3856" t="str">
        <f>HYPERLINK("https://github.com/flololan/GoToMetz","show")</f>
        <v>show</v>
      </c>
      <c r="F3856" t="str">
        <f>HYPERLINK("https://github.com/flololan/GoToMetz/releases","show")</f>
        <v>show</v>
      </c>
    </row>
    <row r="3857" spans="1:6">
      <c r="A3857" t="s">
        <v>11499</v>
      </c>
      <c r="B3857" t="s">
        <v>11500</v>
      </c>
      <c r="C3857" t="s">
        <v>11501</v>
      </c>
      <c r="D3857" t="str">
        <f>HYPERLINK("https://github.com/nextcloud/android/issues/9650","show")</f>
        <v>show</v>
      </c>
      <c r="E3857" t="str">
        <f>HYPERLINK("https://github.com/nextcloud/android","show")</f>
        <v>show</v>
      </c>
      <c r="F3857" t="str">
        <f>HYPERLINK("https://github.com/nextcloud/android/releases","show")</f>
        <v>show</v>
      </c>
    </row>
    <row r="3858" spans="1:6">
      <c r="A3858" t="s">
        <v>11502</v>
      </c>
      <c r="B3858" t="s">
        <v>11503</v>
      </c>
      <c r="C3858" t="s">
        <v>11504</v>
      </c>
      <c r="D3858" t="str">
        <f>HYPERLINK("https://github.com/Anuken/Mindustry/issues/6468","show")</f>
        <v>show</v>
      </c>
      <c r="E3858" t="str">
        <f>HYPERLINK("https://github.com/Anuken/Mindustry","show")</f>
        <v>show</v>
      </c>
      <c r="F3858" t="str">
        <f>HYPERLINK("https://github.com/Anuken/Mindustry/releases","show")</f>
        <v>show</v>
      </c>
    </row>
    <row r="3859" spans="1:6">
      <c r="A3859" t="s">
        <v>11505</v>
      </c>
      <c r="B3859" t="s">
        <v>11506</v>
      </c>
      <c r="C3859" t="s">
        <v>11507</v>
      </c>
      <c r="D3859" t="str">
        <f>HYPERLINK("https://github.com/mh-/corona-warn-companion-android/issues/140","show")</f>
        <v>show</v>
      </c>
      <c r="E3859" t="str">
        <f>HYPERLINK("https://github.com/mh-/corona-warn-companion-android","show")</f>
        <v>show</v>
      </c>
      <c r="F3859" t="str">
        <f>HYPERLINK("https://github.com/mh-/corona-warn-companion-android/releases","show")</f>
        <v>show</v>
      </c>
    </row>
    <row r="3860" spans="1:6">
      <c r="A3860" t="s">
        <v>11508</v>
      </c>
      <c r="B3860" t="s">
        <v>11509</v>
      </c>
      <c r="C3860" t="s">
        <v>11510</v>
      </c>
      <c r="D3860" t="str">
        <f>HYPERLINK("https://github.com/square/react-native-square-reader-sdk/issues/157","show")</f>
        <v>show</v>
      </c>
      <c r="E3860" t="str">
        <f>HYPERLINK("https://github.com/square/react-native-square-reader-sdk","show")</f>
        <v>show</v>
      </c>
      <c r="F3860" t="str">
        <f>HYPERLINK("https://github.com/square/react-native-square-reader-sdk/releases","show")</f>
        <v>show</v>
      </c>
    </row>
    <row r="3861" spans="1:6">
      <c r="A3861" t="s">
        <v>11511</v>
      </c>
      <c r="B3861" t="s">
        <v>11512</v>
      </c>
      <c r="C3861" t="s">
        <v>11513</v>
      </c>
      <c r="D3861" t="str">
        <f>HYPERLINK("https://github.com/PojavLauncherTeam/PojavLauncher/issues/2505","show")</f>
        <v>show</v>
      </c>
      <c r="E3861" t="str">
        <f>HYPERLINK("https://github.com/PojavLauncherTeam/PojavLauncher","show")</f>
        <v>show</v>
      </c>
      <c r="F3861" t="str">
        <f>HYPERLINK("https://github.com/PojavLauncherTeam/PojavLauncher/releases","show")</f>
        <v>show</v>
      </c>
    </row>
    <row r="3862" spans="1:6">
      <c r="A3862" t="s">
        <v>11514</v>
      </c>
      <c r="B3862" t="s">
        <v>11515</v>
      </c>
      <c r="C3862" t="s">
        <v>11516</v>
      </c>
      <c r="D3862" t="str">
        <f>HYPERLINK("https://github.com/mh-/corona-warn-companion-android/issues/137","show")</f>
        <v>show</v>
      </c>
      <c r="E3862" t="str">
        <f>HYPERLINK("https://github.com/mh-/corona-warn-companion-android","show")</f>
        <v>show</v>
      </c>
      <c r="F3862" t="str">
        <f>HYPERLINK("https://github.com/mh-/corona-warn-companion-android/releases","show")</f>
        <v>show</v>
      </c>
    </row>
    <row r="3863" spans="1:6">
      <c r="A3863" t="s">
        <v>11517</v>
      </c>
      <c r="B3863" t="s">
        <v>11518</v>
      </c>
      <c r="C3863" t="s">
        <v>11519</v>
      </c>
      <c r="D3863" t="str">
        <f>HYPERLINK("https://github.com/kike-canaries/canairio_android/issues/126","show")</f>
        <v>show</v>
      </c>
      <c r="E3863" t="str">
        <f>HYPERLINK("https://github.com/kike-canaries/canairio_android","show")</f>
        <v>show</v>
      </c>
      <c r="F3863" t="str">
        <f>HYPERLINK("https://github.com/kike-canaries/canairio_android/releases","show")</f>
        <v>show</v>
      </c>
    </row>
    <row r="3864" spans="1:6">
      <c r="A3864" t="s">
        <v>11520</v>
      </c>
      <c r="B3864" t="s">
        <v>11521</v>
      </c>
      <c r="C3864" t="s">
        <v>11522</v>
      </c>
      <c r="D3864" t="str">
        <f>HYPERLINK("https://github.com/Anuken/Mindustry/issues/6467","show")</f>
        <v>show</v>
      </c>
      <c r="E3864" t="str">
        <f>HYPERLINK("https://github.com/Anuken/Mindustry","show")</f>
        <v>show</v>
      </c>
      <c r="F3864" t="str">
        <f>HYPERLINK("https://github.com/Anuken/Mindustry/releases","show")</f>
        <v>show</v>
      </c>
    </row>
    <row r="3865" spans="1:6">
      <c r="A3865" t="s">
        <v>11523</v>
      </c>
      <c r="B3865" t="s">
        <v>11524</v>
      </c>
      <c r="C3865" t="s">
        <v>11525</v>
      </c>
      <c r="D3865" t="str">
        <f>HYPERLINK("https://github.com/TeamNewPipe/NewPipe/issues/7617","show")</f>
        <v>show</v>
      </c>
      <c r="E3865" t="str">
        <f>HYPERLINK("https://github.com/TeamNewPipe/NewPipe","show")</f>
        <v>show</v>
      </c>
      <c r="F3865" t="str">
        <f>HYPERLINK("https://github.com/TeamNewPipe/NewPipe/releases","show")</f>
        <v>show</v>
      </c>
    </row>
    <row r="3866" spans="1:6">
      <c r="A3866" t="s">
        <v>11526</v>
      </c>
      <c r="B3866" t="s">
        <v>11527</v>
      </c>
      <c r="C3866" t="s">
        <v>11528</v>
      </c>
      <c r="D3866" t="str">
        <f>HYPERLINK("https://github.com/SecUSo/privacy-friendly-qr-scanner/issues/115","show")</f>
        <v>show</v>
      </c>
      <c r="E3866" t="str">
        <f>HYPERLINK("https://github.com/SecUSo/privacy-friendly-qr-scanner","show")</f>
        <v>show</v>
      </c>
      <c r="F3866" t="str">
        <f>HYPERLINK("https://github.com/SecUSo/privacy-friendly-qr-scanner/releases","show")</f>
        <v>show</v>
      </c>
    </row>
    <row r="3867" spans="1:6">
      <c r="A3867" t="s">
        <v>11529</v>
      </c>
      <c r="B3867" t="s">
        <v>11530</v>
      </c>
      <c r="C3867" t="s">
        <v>11531</v>
      </c>
      <c r="D3867" t="str">
        <f>HYPERLINK("https://github.com/SubhamTyagi/android-ocr/issues/40","show")</f>
        <v>show</v>
      </c>
      <c r="E3867" t="str">
        <f>HYPERLINK("https://github.com/SubhamTyagi/android-ocr","show")</f>
        <v>show</v>
      </c>
      <c r="F3867" t="str">
        <f>HYPERLINK("https://github.com/SubhamTyagi/android-ocr/releases","show")</f>
        <v>show</v>
      </c>
    </row>
    <row r="3868" spans="1:6">
      <c r="A3868" t="s">
        <v>11532</v>
      </c>
      <c r="B3868" t="s">
        <v>11533</v>
      </c>
      <c r="C3868" t="s">
        <v>11534</v>
      </c>
      <c r="D3868" t="str">
        <f>HYPERLINK("https://github.com/bounswe/2021SpringGroup9/issues/556","show")</f>
        <v>show</v>
      </c>
      <c r="E3868" t="str">
        <f>HYPERLINK("https://github.com/bounswe/2021SpringGroup9","show")</f>
        <v>show</v>
      </c>
      <c r="F3868" t="str">
        <f>HYPERLINK("https://github.com/bounswe/2021SpringGroup9/releases","show")</f>
        <v>show</v>
      </c>
    </row>
    <row r="3869" spans="1:6">
      <c r="A3869" t="s">
        <v>11535</v>
      </c>
      <c r="B3869" t="s">
        <v>11536</v>
      </c>
      <c r="C3869" t="s">
        <v>11537</v>
      </c>
      <c r="D3869" t="str">
        <f>HYPERLINK("https://github.com/jellyfin/jellyfin-androidtv/issues/1330","show")</f>
        <v>show</v>
      </c>
      <c r="E3869" t="str">
        <f>HYPERLINK("https://github.com/jellyfin/jellyfin-androidtv","show")</f>
        <v>show</v>
      </c>
      <c r="F3869" t="str">
        <f>HYPERLINK("https://github.com/jellyfin/jellyfin-androidtv/releases","show")</f>
        <v>show</v>
      </c>
    </row>
    <row r="3870" spans="1:6">
      <c r="A3870" t="s">
        <v>11538</v>
      </c>
      <c r="B3870" t="s">
        <v>11539</v>
      </c>
      <c r="C3870" t="s">
        <v>11540</v>
      </c>
      <c r="D3870" t="str">
        <f>HYPERLINK("https://github.com/jsibbold/zoomage/issues/113","show")</f>
        <v>show</v>
      </c>
      <c r="E3870" t="str">
        <f>HYPERLINK("https://github.com/jsibbold/zoomage","show")</f>
        <v>show</v>
      </c>
      <c r="F3870" t="str">
        <f>HYPERLINK("https://github.com/jsibbold/zoomage/releases","show")</f>
        <v>show</v>
      </c>
    </row>
    <row r="3871" spans="1:6">
      <c r="A3871" t="s">
        <v>11541</v>
      </c>
      <c r="B3871" t="s">
        <v>11542</v>
      </c>
      <c r="C3871" t="s">
        <v>11543</v>
      </c>
      <c r="D3871" t="str">
        <f>HYPERLINK("https://github.com/therealsujitk/android-vtop-chennai/issues/12","show")</f>
        <v>show</v>
      </c>
      <c r="E3871" t="str">
        <f>HYPERLINK("https://github.com/therealsujitk/android-vtop-chennai","show")</f>
        <v>show</v>
      </c>
      <c r="F3871" t="str">
        <f>HYPERLINK("https://github.com/therealsujitk/android-vtop-chennai/releases","show")</f>
        <v>show</v>
      </c>
    </row>
    <row r="3872" spans="1:6">
      <c r="A3872" t="s">
        <v>11544</v>
      </c>
      <c r="B3872" t="s">
        <v>11545</v>
      </c>
      <c r="C3872" t="s">
        <v>11546</v>
      </c>
      <c r="D3872" t="str">
        <f>HYPERLINK("https://github.com/nextcloud/android/issues/9640","show")</f>
        <v>show</v>
      </c>
      <c r="E3872" t="str">
        <f>HYPERLINK("https://github.com/nextcloud/android","show")</f>
        <v>show</v>
      </c>
      <c r="F3872" t="str">
        <f>HYPERLINK("https://github.com/nextcloud/android/releases","show")</f>
        <v>show</v>
      </c>
    </row>
    <row r="3873" spans="1:6">
      <c r="A3873" t="s">
        <v>11547</v>
      </c>
      <c r="B3873" t="s">
        <v>11548</v>
      </c>
      <c r="C3873" t="s">
        <v>11549</v>
      </c>
      <c r="D3873" t="str">
        <f>HYPERLINK("https://github.com/TeamNewPipe/NewPipe/issues/7608","show")</f>
        <v>show</v>
      </c>
      <c r="E3873" t="str">
        <f>HYPERLINK("https://github.com/TeamNewPipe/NewPipe","show")</f>
        <v>show</v>
      </c>
      <c r="F3873" t="str">
        <f>HYPERLINK("https://github.com/TeamNewPipe/NewPipe/releases","show")</f>
        <v>show</v>
      </c>
    </row>
    <row r="3874" spans="1:6">
      <c r="A3874" t="s">
        <v>11550</v>
      </c>
      <c r="B3874" t="s">
        <v>11551</v>
      </c>
      <c r="C3874" t="s">
        <v>11552</v>
      </c>
      <c r="D3874" t="str">
        <f>HYPERLINK("https://github.com/PojavLauncherTeam/PojavLauncher/issues/2494","show")</f>
        <v>show</v>
      </c>
      <c r="E3874" t="str">
        <f>HYPERLINK("https://github.com/PojavLauncherTeam/PojavLauncher","show")</f>
        <v>show</v>
      </c>
      <c r="F3874" t="str">
        <f>HYPERLINK("https://github.com/PojavLauncherTeam/PojavLauncher/releases","show")</f>
        <v>show</v>
      </c>
    </row>
    <row r="3875" spans="1:6">
      <c r="A3875" t="s">
        <v>11553</v>
      </c>
      <c r="B3875" t="s">
        <v>11554</v>
      </c>
      <c r="C3875" t="s">
        <v>11555</v>
      </c>
      <c r="D3875" t="str">
        <f>HYPERLINK("https://github.com/PojavLauncherTeam/PojavLauncher/issues/2493","show")</f>
        <v>show</v>
      </c>
      <c r="E3875" t="str">
        <f>HYPERLINK("https://github.com/PojavLauncherTeam/PojavLauncher","show")</f>
        <v>show</v>
      </c>
      <c r="F3875" t="str">
        <f>HYPERLINK("https://github.com/PojavLauncherTeam/PojavLauncher/releases","show")</f>
        <v>show</v>
      </c>
    </row>
    <row r="3876" spans="1:6">
      <c r="A3876" t="s">
        <v>11556</v>
      </c>
      <c r="B3876" t="s">
        <v>11557</v>
      </c>
      <c r="C3876" t="s">
        <v>11558</v>
      </c>
      <c r="D3876" t="str">
        <f>HYPERLINK("https://github.com/PojavLauncherTeam/PojavLauncher/issues/2490","show")</f>
        <v>show</v>
      </c>
      <c r="E3876" t="str">
        <f>HYPERLINK("https://github.com/PojavLauncherTeam/PojavLauncher","show")</f>
        <v>show</v>
      </c>
      <c r="F3876" t="str">
        <f>HYPERLINK("https://github.com/PojavLauncherTeam/PojavLauncher/releases","show")</f>
        <v>show</v>
      </c>
    </row>
    <row r="3877" spans="1:6">
      <c r="A3877" t="s">
        <v>11559</v>
      </c>
      <c r="B3877" t="s">
        <v>11560</v>
      </c>
      <c r="C3877" t="s">
        <v>11561</v>
      </c>
      <c r="D3877" t="str">
        <f>HYPERLINK("https://github.com/nextcloud/android/issues/9639","show")</f>
        <v>show</v>
      </c>
      <c r="E3877" t="str">
        <f>HYPERLINK("https://github.com/nextcloud/android","show")</f>
        <v>show</v>
      </c>
      <c r="F3877" t="str">
        <f>HYPERLINK("https://github.com/nextcloud/android/releases","show")</f>
        <v>show</v>
      </c>
    </row>
    <row r="3878" spans="1:6">
      <c r="A3878" t="s">
        <v>11562</v>
      </c>
      <c r="B3878" t="s">
        <v>11563</v>
      </c>
      <c r="C3878" t="s">
        <v>11564</v>
      </c>
      <c r="D3878" t="str">
        <f>HYPERLINK("https://github.com/PojavLauncherTeam/PojavLauncher/issues/2488","show")</f>
        <v>show</v>
      </c>
      <c r="E3878" t="str">
        <f>HYPERLINK("https://github.com/PojavLauncherTeam/PojavLauncher","show")</f>
        <v>show</v>
      </c>
      <c r="F3878" t="str">
        <f>HYPERLINK("https://github.com/PojavLauncherTeam/PojavLauncher/releases","show")</f>
        <v>show</v>
      </c>
    </row>
    <row r="3879" spans="1:6">
      <c r="A3879" t="s">
        <v>11565</v>
      </c>
      <c r="B3879" t="s">
        <v>11566</v>
      </c>
      <c r="C3879" t="s">
        <v>11567</v>
      </c>
      <c r="D3879" t="str">
        <f>HYPERLINK("https://github.com/Anuken/Mindustry/issues/6462","show")</f>
        <v>show</v>
      </c>
      <c r="E3879" t="str">
        <f>HYPERLINK("https://github.com/Anuken/Mindustry","show")</f>
        <v>show</v>
      </c>
      <c r="F3879" t="str">
        <f>HYPERLINK("https://github.com/Anuken/Mindustry/releases","show")</f>
        <v>show</v>
      </c>
    </row>
    <row r="3880" spans="1:6">
      <c r="A3880" t="s">
        <v>11568</v>
      </c>
      <c r="B3880" t="s">
        <v>11569</v>
      </c>
      <c r="C3880" t="s">
        <v>10722</v>
      </c>
      <c r="D3880" t="str">
        <f>HYPERLINK("https://github.com/Blankj/AndroidUtilCode/issues/1588","show")</f>
        <v>show</v>
      </c>
      <c r="E3880" t="str">
        <f>HYPERLINK("https://github.com/Blankj/AndroidUtilCode","show")</f>
        <v>show</v>
      </c>
      <c r="F3880" t="str">
        <f>HYPERLINK("https://github.com/Blankj/AndroidUtilCode/releases","show")</f>
        <v>show</v>
      </c>
    </row>
    <row r="3881" spans="1:6">
      <c r="A3881" t="s">
        <v>11570</v>
      </c>
      <c r="B3881" t="s">
        <v>11571</v>
      </c>
      <c r="C3881" t="s">
        <v>11572</v>
      </c>
      <c r="D3881" t="str">
        <f>HYPERLINK("https://github.com/Anuken/Mindustry/issues/6460","show")</f>
        <v>show</v>
      </c>
      <c r="E3881" t="str">
        <f>HYPERLINK("https://github.com/Anuken/Mindustry","show")</f>
        <v>show</v>
      </c>
      <c r="F3881" t="str">
        <f>HYPERLINK("https://github.com/Anuken/Mindustry/releases","show")</f>
        <v>show</v>
      </c>
    </row>
    <row r="3882" spans="1:6">
      <c r="A3882" t="s">
        <v>11573</v>
      </c>
      <c r="B3882" t="s">
        <v>11574</v>
      </c>
      <c r="C3882" t="s">
        <v>11575</v>
      </c>
      <c r="D3882" t="str">
        <f>HYPERLINK("https://github.com/TeamNewPipe/NewPipe/issues/7601","show")</f>
        <v>show</v>
      </c>
      <c r="E3882" t="str">
        <f>HYPERLINK("https://github.com/TeamNewPipe/NewPipe","show")</f>
        <v>show</v>
      </c>
      <c r="F3882" t="str">
        <f>HYPERLINK("https://github.com/TeamNewPipe/NewPipe/releases","show")</f>
        <v>show</v>
      </c>
    </row>
    <row r="3883" spans="1:6">
      <c r="A3883" t="s">
        <v>11576</v>
      </c>
      <c r="B3883" t="s">
        <v>11577</v>
      </c>
      <c r="C3883" t="s">
        <v>11578</v>
      </c>
      <c r="D3883" t="str">
        <f>HYPERLINK("https://github.com/jellyfin/jellyfin-androidtv/issues/1319","show")</f>
        <v>show</v>
      </c>
      <c r="E3883" t="str">
        <f>HYPERLINK("https://github.com/jellyfin/jellyfin-androidtv","show")</f>
        <v>show</v>
      </c>
      <c r="F3883" t="str">
        <f>HYPERLINK("https://github.com/jellyfin/jellyfin-androidtv/releases","show")</f>
        <v>show</v>
      </c>
    </row>
    <row r="3884" spans="1:6">
      <c r="A3884" t="s">
        <v>11579</v>
      </c>
      <c r="B3884" t="s">
        <v>11580</v>
      </c>
      <c r="C3884" t="s">
        <v>11581</v>
      </c>
      <c r="D3884" t="str">
        <f>HYPERLINK("https://github.com/Anuken/Mindustry/issues/6456","show")</f>
        <v>show</v>
      </c>
      <c r="E3884" t="str">
        <f>HYPERLINK("https://github.com/Anuken/Mindustry","show")</f>
        <v>show</v>
      </c>
      <c r="F3884" t="str">
        <f>HYPERLINK("https://github.com/Anuken/Mindustry/releases","show")</f>
        <v>show</v>
      </c>
    </row>
    <row r="3885" spans="1:6">
      <c r="A3885" t="s">
        <v>11582</v>
      </c>
      <c r="B3885" t="s">
        <v>11583</v>
      </c>
      <c r="C3885" t="s">
        <v>11584</v>
      </c>
      <c r="D3885" t="str">
        <f>HYPERLINK("https://github.com/Codepath-UIC-Team2/SportCave/issues/33","show")</f>
        <v>show</v>
      </c>
      <c r="E3885" t="str">
        <f>HYPERLINK("https://github.com/Codepath-UIC-Team2/SportCave","show")</f>
        <v>show</v>
      </c>
      <c r="F3885" t="str">
        <f>HYPERLINK("https://github.com/Codepath-UIC-Team2/SportCave/releases","show")</f>
        <v>show</v>
      </c>
    </row>
    <row r="3886" spans="1:6">
      <c r="A3886" t="s">
        <v>11585</v>
      </c>
      <c r="B3886" t="s">
        <v>11586</v>
      </c>
      <c r="C3886" t="s">
        <v>11587</v>
      </c>
      <c r="D3886" t="str">
        <f>HYPERLINK("https://github.com/Codepath-UIC-Team2/SportCave/issues/32","show")</f>
        <v>show</v>
      </c>
      <c r="E3886" t="str">
        <f>HYPERLINK("https://github.com/Codepath-UIC-Team2/SportCave","show")</f>
        <v>show</v>
      </c>
      <c r="F3886" t="str">
        <f>HYPERLINK("https://github.com/Codepath-UIC-Team2/SportCave/releases","show")</f>
        <v>show</v>
      </c>
    </row>
    <row r="3887" spans="1:6">
      <c r="A3887" t="s">
        <v>11588</v>
      </c>
      <c r="B3887" t="s">
        <v>11589</v>
      </c>
      <c r="C3887" t="s">
        <v>11590</v>
      </c>
      <c r="D3887" t="str">
        <f>HYPERLINK("https://github.com/TeamNewPipe/NewPipe/issues/7597","show")</f>
        <v>show</v>
      </c>
      <c r="E3887" t="str">
        <f>HYPERLINK("https://github.com/TeamNewPipe/NewPipe","show")</f>
        <v>show</v>
      </c>
      <c r="F3887" t="str">
        <f>HYPERLINK("https://github.com/TeamNewPipe/NewPipe/releases","show")</f>
        <v>show</v>
      </c>
    </row>
    <row r="3888" spans="1:6">
      <c r="A3888" t="s">
        <v>11591</v>
      </c>
      <c r="B3888" t="s">
        <v>11592</v>
      </c>
      <c r="C3888" t="s">
        <v>11593</v>
      </c>
      <c r="D3888" t="str">
        <f>HYPERLINK("https://github.com/PojavLauncherTeam/PojavLauncher/issues/2480","show")</f>
        <v>show</v>
      </c>
      <c r="E3888" t="str">
        <f>HYPERLINK("https://github.com/PojavLauncherTeam/PojavLauncher","show")</f>
        <v>show</v>
      </c>
      <c r="F3888" t="str">
        <f>HYPERLINK("https://github.com/PojavLauncherTeam/PojavLauncher/releases","show")</f>
        <v>show</v>
      </c>
    </row>
    <row r="3889" spans="1:6">
      <c r="A3889" t="s">
        <v>11594</v>
      </c>
      <c r="B3889" t="s">
        <v>11595</v>
      </c>
      <c r="C3889" t="s">
        <v>11596</v>
      </c>
      <c r="D3889" t="str">
        <f>HYPERLINK("https://github.com/Exodus-Privacy/exodus-android-app/issues/110","show")</f>
        <v>show</v>
      </c>
      <c r="E3889" t="str">
        <f>HYPERLINK("https://github.com/Exodus-Privacy/exodus-android-app","show")</f>
        <v>show</v>
      </c>
      <c r="F3889" t="str">
        <f>HYPERLINK("https://github.com/Exodus-Privacy/exodus-android-app/releases","show")</f>
        <v>show</v>
      </c>
    </row>
    <row r="3890" spans="1:6">
      <c r="A3890" t="s">
        <v>11597</v>
      </c>
      <c r="B3890" t="s">
        <v>11598</v>
      </c>
      <c r="C3890" t="s">
        <v>11599</v>
      </c>
      <c r="D3890" t="str">
        <f>HYPERLINK("https://github.com/cgeo/cgeo/issues/12430","show")</f>
        <v>show</v>
      </c>
      <c r="E3890" t="str">
        <f>HYPERLINK("https://github.com/cgeo/cgeo","show")</f>
        <v>show</v>
      </c>
      <c r="F3890" t="str">
        <f>HYPERLINK("https://github.com/cgeo/cgeo/releases","show")</f>
        <v>show</v>
      </c>
    </row>
    <row r="3891" spans="1:6">
      <c r="A3891" t="s">
        <v>11600</v>
      </c>
      <c r="B3891" t="s">
        <v>11601</v>
      </c>
      <c r="C3891" t="s">
        <v>11602</v>
      </c>
      <c r="D3891" t="str">
        <f>HYPERLINK("https://github.com/MuntashirAkon/AppManager/issues/650","show")</f>
        <v>show</v>
      </c>
      <c r="E3891" t="str">
        <f>HYPERLINK("https://github.com/MuntashirAkon/AppManager","show")</f>
        <v>show</v>
      </c>
      <c r="F3891" t="str">
        <f>HYPERLINK("https://github.com/MuntashirAkon/AppManager/releases","show")</f>
        <v>show</v>
      </c>
    </row>
    <row r="3892" spans="1:6">
      <c r="A3892" t="s">
        <v>11603</v>
      </c>
      <c r="B3892" t="s">
        <v>11604</v>
      </c>
      <c r="C3892" t="s">
        <v>11605</v>
      </c>
      <c r="D3892" t="str">
        <f>HYPERLINK("https://github.com/TeamNewPipe/NewPipe/issues/7594","show")</f>
        <v>show</v>
      </c>
      <c r="E3892" t="str">
        <f>HYPERLINK("https://github.com/TeamNewPipe/NewPipe","show")</f>
        <v>show</v>
      </c>
      <c r="F3892" t="str">
        <f>HYPERLINK("https://github.com/TeamNewPipe/NewPipe/releases","show")</f>
        <v>show</v>
      </c>
    </row>
    <row r="3893" spans="1:6">
      <c r="A3893" t="s">
        <v>11606</v>
      </c>
      <c r="B3893" t="s">
        <v>11607</v>
      </c>
      <c r="C3893" t="s">
        <v>11608</v>
      </c>
      <c r="D3893" t="str">
        <f>HYPERLINK("https://github.com/PojavLauncherTeam/PojavLauncher/issues/2475","show")</f>
        <v>show</v>
      </c>
      <c r="E3893" t="str">
        <f>HYPERLINK("https://github.com/PojavLauncherTeam/PojavLauncher","show")</f>
        <v>show</v>
      </c>
      <c r="F3893" t="str">
        <f>HYPERLINK("https://github.com/PojavLauncherTeam/PojavLauncher/releases","show")</f>
        <v>show</v>
      </c>
    </row>
    <row r="3894" spans="1:6">
      <c r="A3894" t="s">
        <v>11609</v>
      </c>
      <c r="B3894" t="s">
        <v>11610</v>
      </c>
      <c r="C3894" t="s">
        <v>11611</v>
      </c>
      <c r="D3894" t="str">
        <f>HYPERLINK("https://github.com/TeamNewPipe/NewPipe/issues/7590","show")</f>
        <v>show</v>
      </c>
      <c r="E3894" t="str">
        <f>HYPERLINK("https://github.com/TeamNewPipe/NewPipe","show")</f>
        <v>show</v>
      </c>
      <c r="F3894" t="str">
        <f>HYPERLINK("https://github.com/TeamNewPipe/NewPipe/releases","show")</f>
        <v>show</v>
      </c>
    </row>
    <row r="3895" spans="1:6">
      <c r="A3895" t="s">
        <v>11612</v>
      </c>
      <c r="B3895" t="s">
        <v>11613</v>
      </c>
      <c r="C3895" t="s">
        <v>11614</v>
      </c>
      <c r="D3895" t="str">
        <f>HYPERLINK("https://github.com/nextcloud/talk-android/issues/1751","show")</f>
        <v>show</v>
      </c>
      <c r="E3895" t="str">
        <f>HYPERLINK("https://github.com/nextcloud/talk-android","show")</f>
        <v>show</v>
      </c>
      <c r="F3895" t="str">
        <f>HYPERLINK("https://github.com/nextcloud/talk-android/releases","show")</f>
        <v>show</v>
      </c>
    </row>
    <row r="3896" spans="1:6">
      <c r="A3896" t="s">
        <v>11615</v>
      </c>
      <c r="B3896" t="s">
        <v>11616</v>
      </c>
      <c r="C3896" t="s">
        <v>11617</v>
      </c>
      <c r="D3896" t="str">
        <f>HYPERLINK("https://github.com/nextcloud/android/issues/9623","show")</f>
        <v>show</v>
      </c>
      <c r="E3896" t="str">
        <f>HYPERLINK("https://github.com/nextcloud/android","show")</f>
        <v>show</v>
      </c>
      <c r="F3896" t="str">
        <f>HYPERLINK("https://github.com/nextcloud/android/releases","show")</f>
        <v>show</v>
      </c>
    </row>
    <row r="3897" spans="1:6">
      <c r="A3897" t="s">
        <v>11618</v>
      </c>
      <c r="B3897" t="s">
        <v>11619</v>
      </c>
      <c r="C3897" t="s">
        <v>11620</v>
      </c>
      <c r="D3897" t="str">
        <f>HYPERLINK("https://github.com/nextcloud/android/issues/9621","show")</f>
        <v>show</v>
      </c>
      <c r="E3897" t="str">
        <f>HYPERLINK("https://github.com/nextcloud/android","show")</f>
        <v>show</v>
      </c>
      <c r="F3897" t="str">
        <f>HYPERLINK("https://github.com/nextcloud/android/releases","show")</f>
        <v>show</v>
      </c>
    </row>
    <row r="3898" spans="1:6">
      <c r="A3898" t="s">
        <v>11621</v>
      </c>
      <c r="B3898" t="s">
        <v>11622</v>
      </c>
      <c r="C3898" t="s">
        <v>11623</v>
      </c>
      <c r="D3898" t="str">
        <f>HYPERLINK("https://github.com/dedis/popstellar/issues/702","show")</f>
        <v>show</v>
      </c>
      <c r="E3898" t="str">
        <f>HYPERLINK("https://github.com/dedis/popstellar","show")</f>
        <v>show</v>
      </c>
      <c r="F3898" t="str">
        <f>HYPERLINK("https://github.com/dedis/popstellar/releases","show")</f>
        <v>show</v>
      </c>
    </row>
    <row r="3899" spans="1:6">
      <c r="A3899" t="s">
        <v>11624</v>
      </c>
      <c r="B3899" t="s">
        <v>11625</v>
      </c>
      <c r="C3899" t="s">
        <v>11626</v>
      </c>
      <c r="D3899" t="str">
        <f>HYPERLINK("https://github.com/lisawray/groupie/issues/416","show")</f>
        <v>show</v>
      </c>
      <c r="E3899" t="str">
        <f>HYPERLINK("https://github.com/lisawray/groupie","show")</f>
        <v>show</v>
      </c>
      <c r="F3899" t="str">
        <f>HYPERLINK("https://github.com/lisawray/groupie/releases","show")</f>
        <v>show</v>
      </c>
    </row>
    <row r="3900" spans="1:6">
      <c r="A3900" t="s">
        <v>11627</v>
      </c>
      <c r="B3900" t="s">
        <v>11628</v>
      </c>
      <c r="C3900" t="s">
        <v>11629</v>
      </c>
      <c r="D3900" t="str">
        <f>HYPERLINK("https://github.com/TeamNewPipe/NewPipe/issues/7585","show")</f>
        <v>show</v>
      </c>
      <c r="E3900" t="str">
        <f>HYPERLINK("https://github.com/TeamNewPipe/NewPipe","show")</f>
        <v>show</v>
      </c>
      <c r="F3900" t="str">
        <f>HYPERLINK("https://github.com/TeamNewPipe/NewPipe/releases","show")</f>
        <v>show</v>
      </c>
    </row>
    <row r="3901" spans="1:6">
      <c r="A3901" t="s">
        <v>11630</v>
      </c>
      <c r="B3901" t="s">
        <v>11631</v>
      </c>
      <c r="C3901" t="s">
        <v>11632</v>
      </c>
      <c r="D3901" t="str">
        <f>HYPERLINK("https://github.com/MuntashirAkon/AppManager/issues/649","show")</f>
        <v>show</v>
      </c>
      <c r="E3901" t="str">
        <f>HYPERLINK("https://github.com/MuntashirAkon/AppManager","show")</f>
        <v>show</v>
      </c>
      <c r="F3901" t="str">
        <f>HYPERLINK("https://github.com/MuntashirAkon/AppManager/releases","show")</f>
        <v>show</v>
      </c>
    </row>
    <row r="3902" spans="1:6">
      <c r="A3902" t="s">
        <v>11633</v>
      </c>
      <c r="B3902" t="s">
        <v>11634</v>
      </c>
      <c r="C3902" t="s">
        <v>11635</v>
      </c>
      <c r="D3902" t="str">
        <f>HYPERLINK("https://github.com/Exodus-Privacy/exodus-android-app/issues/109","show")</f>
        <v>show</v>
      </c>
      <c r="E3902" t="str">
        <f>HYPERLINK("https://github.com/Exodus-Privacy/exodus-android-app","show")</f>
        <v>show</v>
      </c>
      <c r="F3902" t="str">
        <f>HYPERLINK("https://github.com/Exodus-Privacy/exodus-android-app/releases","show")</f>
        <v>show</v>
      </c>
    </row>
    <row r="3903" spans="1:6">
      <c r="A3903" t="s">
        <v>11636</v>
      </c>
      <c r="B3903" t="s">
        <v>11637</v>
      </c>
      <c r="C3903" t="s">
        <v>11638</v>
      </c>
      <c r="D3903" t="str">
        <f>HYPERLINK("https://github.com/TeamNewPipe/NewPipe/issues/7583","show")</f>
        <v>show</v>
      </c>
      <c r="E3903" t="str">
        <f>HYPERLINK("https://github.com/TeamNewPipe/NewPipe","show")</f>
        <v>show</v>
      </c>
      <c r="F3903" t="str">
        <f>HYPERLINK("https://github.com/TeamNewPipe/NewPipe/releases","show")</f>
        <v>show</v>
      </c>
    </row>
    <row r="3904" spans="1:6">
      <c r="A3904" t="s">
        <v>11639</v>
      </c>
      <c r="B3904" t="s">
        <v>11640</v>
      </c>
      <c r="C3904" t="s">
        <v>11641</v>
      </c>
      <c r="D3904" t="str">
        <f>HYPERLINK("https://github.com/cgeo/cgeo/issues/12406","show")</f>
        <v>show</v>
      </c>
      <c r="E3904" t="str">
        <f>HYPERLINK("https://github.com/cgeo/cgeo","show")</f>
        <v>show</v>
      </c>
      <c r="F3904" t="str">
        <f>HYPERLINK("https://github.com/cgeo/cgeo/releases","show")</f>
        <v>show</v>
      </c>
    </row>
    <row r="3905" spans="1:6">
      <c r="A3905" t="s">
        <v>11642</v>
      </c>
      <c r="B3905" t="s">
        <v>11643</v>
      </c>
      <c r="C3905" t="s">
        <v>10722</v>
      </c>
      <c r="D3905" t="str">
        <f>HYPERLINK("https://github.com/Blankj/AndroidUtilCode/issues/1583","show")</f>
        <v>show</v>
      </c>
      <c r="E3905" t="str">
        <f>HYPERLINK("https://github.com/Blankj/AndroidUtilCode","show")</f>
        <v>show</v>
      </c>
      <c r="F3905" t="str">
        <f>HYPERLINK("https://github.com/Blankj/AndroidUtilCode/releases","show")</f>
        <v>show</v>
      </c>
    </row>
    <row r="3906" spans="1:6">
      <c r="A3906" t="s">
        <v>11644</v>
      </c>
      <c r="B3906" t="s">
        <v>11645</v>
      </c>
      <c r="C3906" t="s">
        <v>11646</v>
      </c>
      <c r="D3906" t="str">
        <f>HYPERLINK("https://github.com/PojavLauncherTeam/PojavLauncher/issues/2451","show")</f>
        <v>show</v>
      </c>
      <c r="E3906" t="str">
        <f>HYPERLINK("https://github.com/PojavLauncherTeam/PojavLauncher","show")</f>
        <v>show</v>
      </c>
      <c r="F3906" t="str">
        <f>HYPERLINK("https://github.com/PojavLauncherTeam/PojavLauncher/releases","show")</f>
        <v>show</v>
      </c>
    </row>
    <row r="3907" spans="1:6">
      <c r="A3907" t="s">
        <v>11647</v>
      </c>
      <c r="B3907" t="s">
        <v>11648</v>
      </c>
      <c r="C3907" t="s">
        <v>11649</v>
      </c>
      <c r="D3907" t="str">
        <f>HYPERLINK("https://github.com/inaturalist/iNaturalistAndroid/issues/1163","show")</f>
        <v>show</v>
      </c>
      <c r="E3907" t="str">
        <f>HYPERLINK("https://github.com/inaturalist/iNaturalistAndroid","show")</f>
        <v>show</v>
      </c>
      <c r="F3907" t="str">
        <f>HYPERLINK("https://github.com/inaturalist/iNaturalistAndroid/releases","show")</f>
        <v>show</v>
      </c>
    </row>
    <row r="3908" spans="1:6">
      <c r="A3908" t="s">
        <v>11650</v>
      </c>
      <c r="B3908" t="s">
        <v>11651</v>
      </c>
      <c r="C3908" t="s">
        <v>11652</v>
      </c>
      <c r="D3908" t="str">
        <f>HYPERLINK("https://github.com/inaturalist/iNaturalistAndroid/issues/1162","show")</f>
        <v>show</v>
      </c>
      <c r="E3908" t="str">
        <f>HYPERLINK("https://github.com/inaturalist/iNaturalistAndroid","show")</f>
        <v>show</v>
      </c>
      <c r="F3908" t="str">
        <f>HYPERLINK("https://github.com/inaturalist/iNaturalistAndroid/releases","show")</f>
        <v>show</v>
      </c>
    </row>
    <row r="3909" spans="1:6">
      <c r="A3909" t="s">
        <v>11653</v>
      </c>
      <c r="B3909" t="s">
        <v>11654</v>
      </c>
      <c r="C3909" t="s">
        <v>11655</v>
      </c>
      <c r="D3909" t="str">
        <f>HYPERLINK("https://github.com/VishnuSanal/DialogMusicPlayer/issues/9","show")</f>
        <v>show</v>
      </c>
      <c r="E3909" t="str">
        <f>HYPERLINK("https://github.com/VishnuSanal/DialogMusicPlayer","show")</f>
        <v>show</v>
      </c>
      <c r="F3909" t="str">
        <f>HYPERLINK("https://github.com/VishnuSanal/DialogMusicPlayer/releases","show")</f>
        <v>show</v>
      </c>
    </row>
    <row r="3910" spans="1:6">
      <c r="A3910" t="s">
        <v>11656</v>
      </c>
      <c r="B3910" t="s">
        <v>11657</v>
      </c>
      <c r="C3910" t="s">
        <v>11658</v>
      </c>
      <c r="D3910" t="str">
        <f>HYPERLINK("https://github.com/yasirkula/UnityNativeShare/issues/137","show")</f>
        <v>show</v>
      </c>
      <c r="E3910" t="str">
        <f>HYPERLINK("https://github.com/yasirkula/UnityNativeShare","show")</f>
        <v>show</v>
      </c>
      <c r="F3910" t="str">
        <f>HYPERLINK("https://github.com/yasirkula/UnityNativeShare/releases","show")</f>
        <v>show</v>
      </c>
    </row>
    <row r="3911" spans="1:6">
      <c r="A3911" t="s">
        <v>11659</v>
      </c>
      <c r="B3911" t="s">
        <v>11660</v>
      </c>
      <c r="C3911" t="s">
        <v>11661</v>
      </c>
      <c r="D3911" t="str">
        <f>HYPERLINK("https://github.com/nextcloud/android/issues/9617","show")</f>
        <v>show</v>
      </c>
      <c r="E3911" t="str">
        <f>HYPERLINK("https://github.com/nextcloud/android","show")</f>
        <v>show</v>
      </c>
      <c r="F3911" t="str">
        <f>HYPERLINK("https://github.com/nextcloud/android/releases","show")</f>
        <v>show</v>
      </c>
    </row>
    <row r="3912" spans="1:6">
      <c r="A3912" t="s">
        <v>11662</v>
      </c>
      <c r="B3912" t="s">
        <v>11663</v>
      </c>
      <c r="C3912" t="s">
        <v>11664</v>
      </c>
      <c r="D3912" t="str">
        <f>HYPERLINK("https://github.com/google/gson/issues/2038","show")</f>
        <v>show</v>
      </c>
      <c r="E3912" t="str">
        <f>HYPERLINK("https://github.com/google/gson","show")</f>
        <v>show</v>
      </c>
      <c r="F3912" t="str">
        <f>HYPERLINK("https://github.com/google/gson/releases","show")</f>
        <v>show</v>
      </c>
    </row>
    <row r="3913" spans="1:6">
      <c r="A3913" t="s">
        <v>11665</v>
      </c>
      <c r="B3913" t="s">
        <v>11666</v>
      </c>
      <c r="C3913" t="s">
        <v>11667</v>
      </c>
      <c r="D3913" t="str">
        <f>HYPERLINK("https://github.com/PojavLauncherTeam/PojavLauncher/issues/2446","show")</f>
        <v>show</v>
      </c>
      <c r="E3913" t="str">
        <f>HYPERLINK("https://github.com/PojavLauncherTeam/PojavLauncher","show")</f>
        <v>show</v>
      </c>
      <c r="F3913" t="str">
        <f>HYPERLINK("https://github.com/PojavLauncherTeam/PojavLauncher/releases","show")</f>
        <v>show</v>
      </c>
    </row>
    <row r="3914" spans="1:6">
      <c r="A3914" t="s">
        <v>11668</v>
      </c>
      <c r="B3914" t="s">
        <v>11669</v>
      </c>
      <c r="C3914" t="s">
        <v>11670</v>
      </c>
      <c r="D3914" t="str">
        <f>HYPERLINK("https://github.com/CTemplar/android/issues/438","show")</f>
        <v>show</v>
      </c>
      <c r="E3914" t="str">
        <f>HYPERLINK("https://github.com/CTemplar/android","show")</f>
        <v>show</v>
      </c>
      <c r="F3914" t="str">
        <f>HYPERLINK("https://github.com/CTemplar/android/releases","show")</f>
        <v>show</v>
      </c>
    </row>
    <row r="3915" spans="1:6">
      <c r="A3915" t="s">
        <v>11671</v>
      </c>
      <c r="B3915" t="s">
        <v>11672</v>
      </c>
      <c r="C3915" t="s">
        <v>11673</v>
      </c>
      <c r="D3915" t="str">
        <f>HYPERLINK("https://github.com/ViroCommunity/viro/issues/75","show")</f>
        <v>show</v>
      </c>
      <c r="E3915" t="str">
        <f>HYPERLINK("https://github.com/ViroCommunity/viro","show")</f>
        <v>show</v>
      </c>
      <c r="F3915" t="str">
        <f>HYPERLINK("https://github.com/ViroCommunity/viro/releases","show")</f>
        <v>show</v>
      </c>
    </row>
    <row r="3916" spans="1:6">
      <c r="A3916" t="s">
        <v>11674</v>
      </c>
      <c r="B3916" t="s">
        <v>11675</v>
      </c>
      <c r="C3916" t="s">
        <v>11676</v>
      </c>
      <c r="D3916" t="str">
        <f>HYPERLINK("https://github.com/ViroCommunity/viro/issues/74","show")</f>
        <v>show</v>
      </c>
      <c r="E3916" t="str">
        <f>HYPERLINK("https://github.com/ViroCommunity/viro","show")</f>
        <v>show</v>
      </c>
      <c r="F3916" t="str">
        <f>HYPERLINK("https://github.com/ViroCommunity/viro/releases","show")</f>
        <v>show</v>
      </c>
    </row>
    <row r="3917" spans="1:6">
      <c r="A3917" t="s">
        <v>11677</v>
      </c>
      <c r="B3917" t="s">
        <v>11678</v>
      </c>
      <c r="C3917" t="s">
        <v>11679</v>
      </c>
      <c r="D3917" t="str">
        <f>HYPERLINK("https://github.com/AniTrend/anitrend-app/issues/463","show")</f>
        <v>show</v>
      </c>
      <c r="E3917" t="str">
        <f>HYPERLINK("https://github.com/AniTrend/anitrend-app","show")</f>
        <v>show</v>
      </c>
      <c r="F3917" t="str">
        <f>HYPERLINK("https://github.com/AniTrend/anitrend-app/releases","show")</f>
        <v>show</v>
      </c>
    </row>
    <row r="3918" spans="1:6">
      <c r="A3918" t="s">
        <v>11680</v>
      </c>
      <c r="B3918" t="s">
        <v>11681</v>
      </c>
      <c r="C3918" t="s">
        <v>11682</v>
      </c>
      <c r="D3918" t="str">
        <f>HYPERLINK("https://github.com/AniTrend/anitrend-app/issues/462","show")</f>
        <v>show</v>
      </c>
      <c r="E3918" t="str">
        <f>HYPERLINK("https://github.com/AniTrend/anitrend-app","show")</f>
        <v>show</v>
      </c>
      <c r="F3918" t="str">
        <f>HYPERLINK("https://github.com/AniTrend/anitrend-app/releases","show")</f>
        <v>show</v>
      </c>
    </row>
    <row r="3919" spans="1:6">
      <c r="A3919" t="s">
        <v>11683</v>
      </c>
      <c r="B3919" t="s">
        <v>11684</v>
      </c>
      <c r="C3919" t="s">
        <v>11685</v>
      </c>
      <c r="D3919" t="str">
        <f>HYPERLINK("https://github.com/AniTrend/anitrend-app/issues/460","show")</f>
        <v>show</v>
      </c>
      <c r="E3919" t="str">
        <f>HYPERLINK("https://github.com/AniTrend/anitrend-app","show")</f>
        <v>show</v>
      </c>
      <c r="F3919" t="str">
        <f>HYPERLINK("https://github.com/AniTrend/anitrend-app/releases","show")</f>
        <v>show</v>
      </c>
    </row>
    <row r="3920" spans="1:6">
      <c r="A3920" t="s">
        <v>11686</v>
      </c>
      <c r="B3920" t="s">
        <v>11687</v>
      </c>
      <c r="C3920" t="s">
        <v>11688</v>
      </c>
      <c r="D3920" t="str">
        <f>HYPERLINK("https://github.com/TeamNewPipe/NewPipe/issues/7572","show")</f>
        <v>show</v>
      </c>
      <c r="E3920" t="str">
        <f>HYPERLINK("https://github.com/TeamNewPipe/NewPipe","show")</f>
        <v>show</v>
      </c>
      <c r="F3920" t="str">
        <f>HYPERLINK("https://github.com/TeamNewPipe/NewPipe/releases","show")</f>
        <v>show</v>
      </c>
    </row>
    <row r="3921" spans="1:6">
      <c r="A3921" t="s">
        <v>11689</v>
      </c>
      <c r="B3921" t="s">
        <v>11690</v>
      </c>
      <c r="C3921" t="s">
        <v>11691</v>
      </c>
      <c r="D3921" t="str">
        <f>HYPERLINK("https://github.com/cal-itp/graas/issues/18","show")</f>
        <v>show</v>
      </c>
      <c r="E3921" t="str">
        <f>HYPERLINK("https://github.com/cal-itp/graas","show")</f>
        <v>show</v>
      </c>
      <c r="F3921" t="str">
        <f>HYPERLINK("https://github.com/cal-itp/graas/releases","show")</f>
        <v>show</v>
      </c>
    </row>
    <row r="3922" spans="1:6">
      <c r="A3922" t="s">
        <v>11692</v>
      </c>
      <c r="B3922" t="s">
        <v>11693</v>
      </c>
      <c r="C3922" t="s">
        <v>11694</v>
      </c>
      <c r="D3922" t="str">
        <f>HYPERLINK("https://github.com/k9mail/k-9/issues/5835","show")</f>
        <v>show</v>
      </c>
      <c r="E3922" t="str">
        <f>HYPERLINK("https://github.com/k9mail/k-9","show")</f>
        <v>show</v>
      </c>
      <c r="F3922" t="str">
        <f>HYPERLINK("https://github.com/k9mail/k-9/releases","show")</f>
        <v>show</v>
      </c>
    </row>
    <row r="3923" spans="1:6">
      <c r="A3923" t="s">
        <v>11695</v>
      </c>
      <c r="B3923" t="s">
        <v>11696</v>
      </c>
      <c r="C3923" t="s">
        <v>11697</v>
      </c>
      <c r="D3923" t="str">
        <f>HYPERLINK("https://github.com/commons-app/apps-android-commons/issues/4742","show")</f>
        <v>show</v>
      </c>
      <c r="E3923" t="str">
        <f>HYPERLINK("https://github.com/commons-app/apps-android-commons","show")</f>
        <v>show</v>
      </c>
      <c r="F3923" t="str">
        <f>HYPERLINK("https://github.com/commons-app/apps-android-commons/releases","show")</f>
        <v>show</v>
      </c>
    </row>
    <row r="3924" spans="1:6">
      <c r="A3924" t="s">
        <v>11698</v>
      </c>
      <c r="B3924" t="s">
        <v>11699</v>
      </c>
      <c r="C3924" t="s">
        <v>11700</v>
      </c>
      <c r="D3924" t="str">
        <f>HYPERLINK("https://github.com/Exodus-Privacy/exodus-android-app/issues/106","show")</f>
        <v>show</v>
      </c>
      <c r="E3924" t="str">
        <f>HYPERLINK("https://github.com/Exodus-Privacy/exodus-android-app","show")</f>
        <v>show</v>
      </c>
      <c r="F3924" t="str">
        <f>HYPERLINK("https://github.com/Exodus-Privacy/exodus-android-app/releases","show")</f>
        <v>show</v>
      </c>
    </row>
    <row r="3925" spans="1:6">
      <c r="A3925" t="s">
        <v>11701</v>
      </c>
      <c r="B3925" t="s">
        <v>11702</v>
      </c>
      <c r="C3925" t="s">
        <v>11703</v>
      </c>
      <c r="D3925" t="str">
        <f>HYPERLINK("https://github.com/Exodus-Privacy/exodus-android-app/issues/102","show")</f>
        <v>show</v>
      </c>
      <c r="E3925" t="str">
        <f>HYPERLINK("https://github.com/Exodus-Privacy/exodus-android-app","show")</f>
        <v>show</v>
      </c>
      <c r="F3925" t="str">
        <f>HYPERLINK("https://github.com/Exodus-Privacy/exodus-android-app/releases","show")</f>
        <v>show</v>
      </c>
    </row>
    <row r="3926" spans="1:6">
      <c r="A3926" t="s">
        <v>11704</v>
      </c>
      <c r="B3926" t="s">
        <v>11705</v>
      </c>
      <c r="C3926" t="s">
        <v>11706</v>
      </c>
      <c r="D3926" t="str">
        <f>HYPERLINK("https://github.com/Exodus-Privacy/exodus-android-app/issues/100","show")</f>
        <v>show</v>
      </c>
      <c r="E3926" t="str">
        <f>HYPERLINK("https://github.com/Exodus-Privacy/exodus-android-app","show")</f>
        <v>show</v>
      </c>
      <c r="F3926" t="str">
        <f>HYPERLINK("https://github.com/Exodus-Privacy/exodus-android-app/releases","show")</f>
        <v>show</v>
      </c>
    </row>
    <row r="3927" spans="1:6">
      <c r="A3927" t="s">
        <v>11707</v>
      </c>
      <c r="B3927" t="s">
        <v>11708</v>
      </c>
      <c r="C3927" t="s">
        <v>11709</v>
      </c>
      <c r="D3927" t="str">
        <f>HYPERLINK("https://github.com/TeamNewPipe/NewPipe/issues/7569","show")</f>
        <v>show</v>
      </c>
      <c r="E3927" t="str">
        <f>HYPERLINK("https://github.com/TeamNewPipe/NewPipe","show")</f>
        <v>show</v>
      </c>
      <c r="F3927" t="str">
        <f>HYPERLINK("https://github.com/TeamNewPipe/NewPipe/releases","show")</f>
        <v>show</v>
      </c>
    </row>
    <row r="3928" spans="1:6">
      <c r="A3928" t="s">
        <v>11710</v>
      </c>
      <c r="B3928" t="s">
        <v>11711</v>
      </c>
      <c r="C3928" t="s">
        <v>11712</v>
      </c>
      <c r="D3928" t="str">
        <f>HYPERLINK("https://github.com/flutter-package/images_picker/issues/64","show")</f>
        <v>show</v>
      </c>
      <c r="E3928" t="str">
        <f>HYPERLINK("https://github.com/flutter-package/images_picker","show")</f>
        <v>show</v>
      </c>
      <c r="F3928" t="str">
        <f>HYPERLINK("https://github.com/flutter-package/images_picker/releases","show")</f>
        <v>show</v>
      </c>
    </row>
    <row r="3929" spans="1:6">
      <c r="A3929" t="s">
        <v>11713</v>
      </c>
      <c r="B3929" t="s">
        <v>11100</v>
      </c>
      <c r="C3929" t="s">
        <v>11714</v>
      </c>
      <c r="D3929" t="str">
        <f>HYPERLINK("https://github.com/inaturalist/iNaturalistAndroid/issues/1161","show")</f>
        <v>show</v>
      </c>
      <c r="E3929" t="str">
        <f>HYPERLINK("https://github.com/inaturalist/iNaturalistAndroid","show")</f>
        <v>show</v>
      </c>
      <c r="F3929" t="str">
        <f>HYPERLINK("https://github.com/inaturalist/iNaturalistAndroid/releases","show")</f>
        <v>show</v>
      </c>
    </row>
    <row r="3930" spans="1:6">
      <c r="A3930" t="s">
        <v>11715</v>
      </c>
      <c r="B3930" t="s">
        <v>11716</v>
      </c>
      <c r="C3930" t="s">
        <v>11717</v>
      </c>
      <c r="D3930" t="str">
        <f>HYPERLINK("https://github.com/material-components/material-components-android/issues/2507","show")</f>
        <v>show</v>
      </c>
      <c r="E3930" t="str">
        <f>HYPERLINK("https://github.com/material-components/material-components-android","show")</f>
        <v>show</v>
      </c>
      <c r="F3930" t="str">
        <f>HYPERLINK("https://github.com/material-components/material-components-android/releases","show")</f>
        <v>show</v>
      </c>
    </row>
    <row r="3931" spans="1:6">
      <c r="A3931" t="s">
        <v>11718</v>
      </c>
      <c r="B3931" t="s">
        <v>11719</v>
      </c>
      <c r="C3931" t="s">
        <v>11720</v>
      </c>
      <c r="D3931" t="str">
        <f>HYPERLINK("https://github.com/TeamNewPipe/NewPipe/issues/7564","show")</f>
        <v>show</v>
      </c>
      <c r="E3931" t="str">
        <f>HYPERLINK("https://github.com/TeamNewPipe/NewPipe","show")</f>
        <v>show</v>
      </c>
      <c r="F3931" t="str">
        <f>HYPERLINK("https://github.com/TeamNewPipe/NewPipe/releases","show")</f>
        <v>show</v>
      </c>
    </row>
    <row r="3932" spans="1:6">
      <c r="A3932" t="s">
        <v>11721</v>
      </c>
      <c r="B3932" t="s">
        <v>11722</v>
      </c>
      <c r="C3932" t="s">
        <v>11723</v>
      </c>
      <c r="D3932" t="str">
        <f>HYPERLINK("https://github.com/TeamNewPipe/NewPipe/issues/7563","show")</f>
        <v>show</v>
      </c>
      <c r="E3932" t="str">
        <f>HYPERLINK("https://github.com/TeamNewPipe/NewPipe","show")</f>
        <v>show</v>
      </c>
      <c r="F3932" t="str">
        <f>HYPERLINK("https://github.com/TeamNewPipe/NewPipe/releases","show")</f>
        <v>show</v>
      </c>
    </row>
    <row r="3933" spans="1:6">
      <c r="A3933" t="s">
        <v>11724</v>
      </c>
      <c r="B3933" t="s">
        <v>11725</v>
      </c>
      <c r="C3933" t="s">
        <v>11726</v>
      </c>
      <c r="D3933" t="str">
        <f>HYPERLINK("https://github.com/PojavLauncherTeam/PojavLauncher/issues/2437","show")</f>
        <v>show</v>
      </c>
      <c r="E3933" t="str">
        <f>HYPERLINK("https://github.com/PojavLauncherTeam/PojavLauncher","show")</f>
        <v>show</v>
      </c>
      <c r="F3933" t="str">
        <f>HYPERLINK("https://github.com/PojavLauncherTeam/PojavLauncher/releases","show")</f>
        <v>show</v>
      </c>
    </row>
    <row r="3934" spans="1:6">
      <c r="A3934" t="s">
        <v>11727</v>
      </c>
      <c r="B3934" t="s">
        <v>11728</v>
      </c>
      <c r="C3934" t="s">
        <v>11729</v>
      </c>
      <c r="D3934" t="str">
        <f>HYPERLINK("https://github.com/PojavLauncherTeam/PojavLauncher/issues/2435","show")</f>
        <v>show</v>
      </c>
      <c r="E3934" t="str">
        <f>HYPERLINK("https://github.com/PojavLauncherTeam/PojavLauncher","show")</f>
        <v>show</v>
      </c>
      <c r="F3934" t="str">
        <f>HYPERLINK("https://github.com/PojavLauncherTeam/PojavLauncher/releases","show")</f>
        <v>show</v>
      </c>
    </row>
    <row r="3935" spans="1:6">
      <c r="A3935" t="s">
        <v>11730</v>
      </c>
      <c r="B3935" t="s">
        <v>11731</v>
      </c>
      <c r="C3935" t="s">
        <v>11732</v>
      </c>
      <c r="D3935" t="str">
        <f>HYPERLINK("https://github.com/Anuken/Mindustry/issues/6447","show")</f>
        <v>show</v>
      </c>
      <c r="E3935" t="str">
        <f>HYPERLINK("https://github.com/Anuken/Mindustry","show")</f>
        <v>show</v>
      </c>
      <c r="F3935" t="str">
        <f>HYPERLINK("https://github.com/Anuken/Mindustry/releases","show")</f>
        <v>show</v>
      </c>
    </row>
    <row r="3936" spans="1:6">
      <c r="A3936" t="s">
        <v>11733</v>
      </c>
      <c r="B3936" t="s">
        <v>11734</v>
      </c>
      <c r="C3936" t="s">
        <v>11735</v>
      </c>
      <c r="D3936" t="str">
        <f>HYPERLINK("https://github.com/cgeo/cgeo/issues/12371","show")</f>
        <v>show</v>
      </c>
      <c r="E3936" t="str">
        <f>HYPERLINK("https://github.com/cgeo/cgeo","show")</f>
        <v>show</v>
      </c>
      <c r="F3936" t="str">
        <f>HYPERLINK("https://github.com/cgeo/cgeo/releases","show")</f>
        <v>show</v>
      </c>
    </row>
    <row r="3937" spans="1:6">
      <c r="A3937" t="s">
        <v>11736</v>
      </c>
      <c r="B3937" t="s">
        <v>11737</v>
      </c>
      <c r="C3937" t="s">
        <v>11738</v>
      </c>
      <c r="D3937" t="str">
        <f>HYPERLINK("https://github.com/Benji377/SocyMusic/issues/206","show")</f>
        <v>show</v>
      </c>
      <c r="E3937" t="str">
        <f>HYPERLINK("https://github.com/Benji377/SocyMusic","show")</f>
        <v>show</v>
      </c>
      <c r="F3937" t="str">
        <f>HYPERLINK("https://github.com/Benji377/SocyMusic/releases","show")</f>
        <v>show</v>
      </c>
    </row>
    <row r="3938" spans="1:6">
      <c r="A3938" t="s">
        <v>11739</v>
      </c>
      <c r="B3938" t="s">
        <v>11740</v>
      </c>
      <c r="C3938" t="s">
        <v>11741</v>
      </c>
      <c r="D3938" t="str">
        <f>HYPERLINK("https://github.com/nextcloud/android/issues/9593","show")</f>
        <v>show</v>
      </c>
      <c r="E3938" t="str">
        <f>HYPERLINK("https://github.com/nextcloud/android","show")</f>
        <v>show</v>
      </c>
      <c r="F3938" t="str">
        <f>HYPERLINK("https://github.com/nextcloud/android/releases","show")</f>
        <v>show</v>
      </c>
    </row>
    <row r="3939" spans="1:6">
      <c r="A3939" t="s">
        <v>11742</v>
      </c>
      <c r="B3939" t="s">
        <v>11743</v>
      </c>
      <c r="C3939" t="s">
        <v>11744</v>
      </c>
      <c r="D3939" t="str">
        <f>HYPERLINK("https://github.com/PojavLauncherTeam/PojavLauncher/issues/2431","show")</f>
        <v>show</v>
      </c>
      <c r="E3939" t="str">
        <f>HYPERLINK("https://github.com/PojavLauncherTeam/PojavLauncher","show")</f>
        <v>show</v>
      </c>
      <c r="F3939" t="str">
        <f>HYPERLINK("https://github.com/PojavLauncherTeam/PojavLauncher/releases","show")</f>
        <v>show</v>
      </c>
    </row>
    <row r="3940" spans="1:6">
      <c r="A3940" t="s">
        <v>11745</v>
      </c>
      <c r="B3940" t="s">
        <v>11746</v>
      </c>
      <c r="C3940" t="s">
        <v>11747</v>
      </c>
      <c r="D3940" t="str">
        <f>HYPERLINK("https://github.com/PojavLauncherTeam/PojavLauncher/issues/2425","show")</f>
        <v>show</v>
      </c>
      <c r="E3940" t="str">
        <f>HYPERLINK("https://github.com/PojavLauncherTeam/PojavLauncher","show")</f>
        <v>show</v>
      </c>
      <c r="F3940" t="str">
        <f>HYPERLINK("https://github.com/PojavLauncherTeam/PojavLauncher/releases","show")</f>
        <v>show</v>
      </c>
    </row>
    <row r="3941" spans="1:6">
      <c r="A3941" t="s">
        <v>11748</v>
      </c>
      <c r="B3941" t="s">
        <v>11749</v>
      </c>
      <c r="C3941" t="s">
        <v>11750</v>
      </c>
      <c r="D3941" t="str">
        <f>HYPERLINK("https://github.com/nextcloud/android/issues/9588","show")</f>
        <v>show</v>
      </c>
      <c r="E3941" t="str">
        <f>HYPERLINK("https://github.com/nextcloud/android","show")</f>
        <v>show</v>
      </c>
      <c r="F3941" t="str">
        <f>HYPERLINK("https://github.com/nextcloud/android/releases","show")</f>
        <v>show</v>
      </c>
    </row>
    <row r="3942" spans="1:6">
      <c r="A3942" t="s">
        <v>11751</v>
      </c>
      <c r="B3942" t="s">
        <v>11752</v>
      </c>
      <c r="C3942" t="s">
        <v>11753</v>
      </c>
      <c r="D3942" t="str">
        <f>HYPERLINK("https://github.com/microsoft/appcenter-sdk-android/issues/1587","show")</f>
        <v>show</v>
      </c>
      <c r="E3942" t="str">
        <f>HYPERLINK("https://github.com/microsoft/appcenter-sdk-android","show")</f>
        <v>show</v>
      </c>
      <c r="F3942" t="str">
        <f>HYPERLINK("https://github.com/microsoft/appcenter-sdk-android/releases","show")</f>
        <v>show</v>
      </c>
    </row>
    <row r="3943" spans="1:6">
      <c r="A3943" t="s">
        <v>11754</v>
      </c>
      <c r="B3943" t="s">
        <v>11755</v>
      </c>
      <c r="C3943" t="s">
        <v>11756</v>
      </c>
      <c r="D3943" t="str">
        <f>HYPERLINK("https://github.com/TeamNewPipe/NewPipe/issues/7554","show")</f>
        <v>show</v>
      </c>
      <c r="E3943" t="str">
        <f>HYPERLINK("https://github.com/TeamNewPipe/NewPipe","show")</f>
        <v>show</v>
      </c>
      <c r="F3943" t="str">
        <f>HYPERLINK("https://github.com/TeamNewPipe/NewPipe/releases","show")</f>
        <v>show</v>
      </c>
    </row>
    <row r="3944" spans="1:6">
      <c r="A3944" t="s">
        <v>11757</v>
      </c>
      <c r="B3944" t="s">
        <v>11758</v>
      </c>
      <c r="C3944" t="s">
        <v>11759</v>
      </c>
      <c r="D3944" t="str">
        <f>HYPERLINK("https://github.com/TeamNewPipe/NewPipe/issues/7550","show")</f>
        <v>show</v>
      </c>
      <c r="E3944" t="str">
        <f>HYPERLINK("https://github.com/TeamNewPipe/NewPipe","show")</f>
        <v>show</v>
      </c>
      <c r="F3944" t="str">
        <f>HYPERLINK("https://github.com/TeamNewPipe/NewPipe/releases","show")</f>
        <v>show</v>
      </c>
    </row>
    <row r="3945" spans="1:6">
      <c r="A3945" t="s">
        <v>11760</v>
      </c>
      <c r="B3945" t="s">
        <v>11761</v>
      </c>
      <c r="C3945" t="s">
        <v>11762</v>
      </c>
      <c r="D3945" t="str">
        <f>HYPERLINK("https://github.com/TeamNewPipe/NewPipe/issues/7549","show")</f>
        <v>show</v>
      </c>
      <c r="E3945" t="str">
        <f>HYPERLINK("https://github.com/TeamNewPipe/NewPipe","show")</f>
        <v>show</v>
      </c>
      <c r="F3945" t="str">
        <f>HYPERLINK("https://github.com/TeamNewPipe/NewPipe/releases","show")</f>
        <v>show</v>
      </c>
    </row>
    <row r="3946" spans="1:6">
      <c r="A3946" t="s">
        <v>11763</v>
      </c>
      <c r="B3946" t="s">
        <v>11764</v>
      </c>
      <c r="C3946" t="s">
        <v>11765</v>
      </c>
      <c r="D3946" t="str">
        <f>HYPERLINK("https://github.com/PojavLauncherTeam/PojavLauncher/issues/2414","show")</f>
        <v>show</v>
      </c>
      <c r="E3946" t="str">
        <f>HYPERLINK("https://github.com/PojavLauncherTeam/PojavLauncher","show")</f>
        <v>show</v>
      </c>
      <c r="F3946" t="str">
        <f>HYPERLINK("https://github.com/PojavLauncherTeam/PojavLauncher/releases","show")</f>
        <v>show</v>
      </c>
    </row>
    <row r="3947" spans="1:6">
      <c r="A3947" t="s">
        <v>11766</v>
      </c>
      <c r="B3947" t="s">
        <v>11767</v>
      </c>
      <c r="C3947" t="s">
        <v>11768</v>
      </c>
      <c r="D3947" t="str">
        <f>HYPERLINK("https://github.com/nextcloud/android/issues/9585","show")</f>
        <v>show</v>
      </c>
      <c r="E3947" t="str">
        <f>HYPERLINK("https://github.com/nextcloud/android","show")</f>
        <v>show</v>
      </c>
      <c r="F3947" t="str">
        <f>HYPERLINK("https://github.com/nextcloud/android/releases","show")</f>
        <v>show</v>
      </c>
    </row>
    <row r="3948" spans="1:6">
      <c r="A3948" t="s">
        <v>11769</v>
      </c>
      <c r="B3948" t="s">
        <v>11770</v>
      </c>
      <c r="C3948" t="s">
        <v>11771</v>
      </c>
      <c r="D3948" t="str">
        <f>HYPERLINK("https://github.com/twilio/video-quickstart-android/issues/692","show")</f>
        <v>show</v>
      </c>
      <c r="E3948" t="str">
        <f>HYPERLINK("https://github.com/twilio/video-quickstart-android","show")</f>
        <v>show</v>
      </c>
      <c r="F3948" t="str">
        <f>HYPERLINK("https://github.com/twilio/video-quickstart-android/releases","show")</f>
        <v>show</v>
      </c>
    </row>
    <row r="3949" spans="1:6">
      <c r="A3949" t="s">
        <v>11772</v>
      </c>
      <c r="B3949" t="s">
        <v>11773</v>
      </c>
      <c r="C3949" t="s">
        <v>11774</v>
      </c>
      <c r="D3949" t="str">
        <f>HYPERLINK("https://github.com/PojavLauncherTeam/PojavLauncher/issues/2412","show")</f>
        <v>show</v>
      </c>
      <c r="E3949" t="str">
        <f>HYPERLINK("https://github.com/PojavLauncherTeam/PojavLauncher","show")</f>
        <v>show</v>
      </c>
      <c r="F3949" t="str">
        <f>HYPERLINK("https://github.com/PojavLauncherTeam/PojavLauncher/releases","show")</f>
        <v>show</v>
      </c>
    </row>
    <row r="3950" spans="1:6">
      <c r="A3950" t="s">
        <v>11775</v>
      </c>
      <c r="B3950" t="s">
        <v>11776</v>
      </c>
      <c r="C3950" t="s">
        <v>11777</v>
      </c>
      <c r="D3950" t="str">
        <f>HYPERLINK("https://github.com/enviroCar/enviroCar-app/issues/877","show")</f>
        <v>show</v>
      </c>
      <c r="E3950" t="str">
        <f>HYPERLINK("https://github.com/enviroCar/enviroCar-app","show")</f>
        <v>show</v>
      </c>
      <c r="F3950" t="str">
        <f>HYPERLINK("https://github.com/enviroCar/enviroCar-app/releases","show")</f>
        <v>show</v>
      </c>
    </row>
    <row r="3951" spans="1:6">
      <c r="A3951" t="s">
        <v>11778</v>
      </c>
      <c r="B3951" t="s">
        <v>11779</v>
      </c>
      <c r="C3951" t="s">
        <v>11780</v>
      </c>
      <c r="D3951" t="str">
        <f>HYPERLINK("https://github.com/PojavLauncherTeam/PojavLauncher/issues/2407","show")</f>
        <v>show</v>
      </c>
      <c r="E3951" t="str">
        <f>HYPERLINK("https://github.com/PojavLauncherTeam/PojavLauncher","show")</f>
        <v>show</v>
      </c>
      <c r="F3951" t="str">
        <f>HYPERLINK("https://github.com/PojavLauncherTeam/PojavLauncher/releases","show")</f>
        <v>show</v>
      </c>
    </row>
    <row r="3952" spans="1:6">
      <c r="A3952" t="s">
        <v>11781</v>
      </c>
      <c r="B3952" t="s">
        <v>11782</v>
      </c>
      <c r="C3952" t="s">
        <v>11783</v>
      </c>
      <c r="D3952" t="str">
        <f>HYPERLINK("https://github.com/mit-cml/appinventor-extensions/issues/60","show")</f>
        <v>show</v>
      </c>
      <c r="E3952" t="str">
        <f>HYPERLINK("https://github.com/mit-cml/appinventor-extensions","show")</f>
        <v>show</v>
      </c>
      <c r="F3952" t="str">
        <f>HYPERLINK("https://github.com/mit-cml/appinventor-extensions/releases","show")</f>
        <v>show</v>
      </c>
    </row>
    <row r="3953" spans="1:6">
      <c r="A3953" t="s">
        <v>11784</v>
      </c>
      <c r="B3953" t="s">
        <v>11785</v>
      </c>
      <c r="C3953" t="s">
        <v>11786</v>
      </c>
      <c r="D3953" t="str">
        <f>HYPERLINK("https://github.com/googleads/googleads-mobile-flutter/issues/471","show")</f>
        <v>show</v>
      </c>
      <c r="E3953" t="str">
        <f>HYPERLINK("https://github.com/googleads/googleads-mobile-flutter","show")</f>
        <v>show</v>
      </c>
      <c r="F3953" t="str">
        <f>HYPERLINK("https://github.com/googleads/googleads-mobile-flutter/releases","show")</f>
        <v>show</v>
      </c>
    </row>
    <row r="3954" spans="1:6">
      <c r="A3954" t="s">
        <v>11787</v>
      </c>
      <c r="B3954" t="s">
        <v>11788</v>
      </c>
      <c r="C3954" t="s">
        <v>11789</v>
      </c>
      <c r="D3954" t="str">
        <f>HYPERLINK("https://github.com/gluonhq/substrate/issues/1069","show")</f>
        <v>show</v>
      </c>
      <c r="E3954" t="str">
        <f>HYPERLINK("https://github.com/gluonhq/substrate","show")</f>
        <v>show</v>
      </c>
      <c r="F3954" t="str">
        <f>HYPERLINK("https://github.com/gluonhq/substrate/releases","show")</f>
        <v>show</v>
      </c>
    </row>
    <row r="3955" spans="1:6">
      <c r="A3955" t="s">
        <v>11790</v>
      </c>
      <c r="B3955" t="s">
        <v>11791</v>
      </c>
      <c r="C3955" t="s">
        <v>11792</v>
      </c>
      <c r="D3955" t="str">
        <f>HYPERLINK("https://github.com/microsoft/appcenter-sdk-android/issues/1584","show")</f>
        <v>show</v>
      </c>
      <c r="E3955" t="str">
        <f>HYPERLINK("https://github.com/microsoft/appcenter-sdk-android","show")</f>
        <v>show</v>
      </c>
      <c r="F3955" t="str">
        <f>HYPERLINK("https://github.com/microsoft/appcenter-sdk-android/releases","show")</f>
        <v>show</v>
      </c>
    </row>
    <row r="3956" spans="1:6">
      <c r="A3956" t="s">
        <v>11793</v>
      </c>
      <c r="B3956" t="s">
        <v>11794</v>
      </c>
      <c r="C3956" t="s">
        <v>11795</v>
      </c>
      <c r="D3956" t="str">
        <f>HYPERLINK("https://github.com/androidx/media/issues/20","show")</f>
        <v>show</v>
      </c>
      <c r="E3956" t="str">
        <f>HYPERLINK("https://github.com/androidx/media","show")</f>
        <v>show</v>
      </c>
      <c r="F3956" t="str">
        <f>HYPERLINK("https://github.com/androidx/media/releases","show")</f>
        <v>show</v>
      </c>
    </row>
    <row r="3957" spans="1:6">
      <c r="A3957" t="s">
        <v>11796</v>
      </c>
      <c r="B3957" t="s">
        <v>11797</v>
      </c>
      <c r="C3957" t="s">
        <v>11798</v>
      </c>
      <c r="D3957" t="str">
        <f>HYPERLINK("https://github.com/OTTAA-Project/OTTAAProject/issues/118","show")</f>
        <v>show</v>
      </c>
      <c r="E3957" t="str">
        <f>HYPERLINK("https://github.com/OTTAA-Project/OTTAAProject","show")</f>
        <v>show</v>
      </c>
      <c r="F3957" t="str">
        <f>HYPERLINK("https://github.com/OTTAA-Project/OTTAAProject/releases","show")</f>
        <v>show</v>
      </c>
    </row>
    <row r="3958" spans="1:6">
      <c r="A3958" t="s">
        <v>11799</v>
      </c>
      <c r="B3958" t="s">
        <v>11800</v>
      </c>
      <c r="C3958" t="s">
        <v>11801</v>
      </c>
      <c r="D3958" t="str">
        <f>HYPERLINK("https://github.com/TeamNewPipe/NewPipe/issues/7540","show")</f>
        <v>show</v>
      </c>
      <c r="E3958" t="str">
        <f>HYPERLINK("https://github.com/TeamNewPipe/NewPipe","show")</f>
        <v>show</v>
      </c>
      <c r="F3958" t="str">
        <f>HYPERLINK("https://github.com/TeamNewPipe/NewPipe/releases","show")</f>
        <v>show</v>
      </c>
    </row>
    <row r="3959" spans="1:6">
      <c r="A3959" t="s">
        <v>11802</v>
      </c>
      <c r="B3959" t="s">
        <v>11803</v>
      </c>
      <c r="C3959" t="s">
        <v>11804</v>
      </c>
      <c r="D3959" t="str">
        <f>HYPERLINK("https://github.com/cgeo/cgeo/issues/12326","show")</f>
        <v>show</v>
      </c>
      <c r="E3959" t="str">
        <f>HYPERLINK("https://github.com/cgeo/cgeo","show")</f>
        <v>show</v>
      </c>
      <c r="F3959" t="str">
        <f>HYPERLINK("https://github.com/cgeo/cgeo/releases","show")</f>
        <v>show</v>
      </c>
    </row>
    <row r="3960" spans="1:6">
      <c r="A3960" t="s">
        <v>11805</v>
      </c>
      <c r="B3960" t="s">
        <v>11806</v>
      </c>
      <c r="C3960" t="s">
        <v>11807</v>
      </c>
      <c r="D3960" t="str">
        <f>HYPERLINK("https://github.com/PojavLauncherTeam/PojavLauncher/issues/2393","show")</f>
        <v>show</v>
      </c>
      <c r="E3960" t="str">
        <f>HYPERLINK("https://github.com/PojavLauncherTeam/PojavLauncher","show")</f>
        <v>show</v>
      </c>
      <c r="F3960" t="str">
        <f>HYPERLINK("https://github.com/PojavLauncherTeam/PojavLauncher/releases","show")</f>
        <v>show</v>
      </c>
    </row>
    <row r="3961" spans="1:6">
      <c r="A3961" t="s">
        <v>11808</v>
      </c>
      <c r="B3961" t="s">
        <v>11809</v>
      </c>
      <c r="C3961" t="s">
        <v>11810</v>
      </c>
      <c r="D3961" t="str">
        <f>HYPERLINK("https://github.com/opensrp/opensrp-client-reveal/issues/1547","show")</f>
        <v>show</v>
      </c>
      <c r="E3961" t="str">
        <f>HYPERLINK("https://github.com/opensrp/opensrp-client-reveal","show")</f>
        <v>show</v>
      </c>
      <c r="F3961" t="str">
        <f>HYPERLINK("https://github.com/opensrp/opensrp-client-reveal/releases","show")</f>
        <v>show</v>
      </c>
    </row>
    <row r="3962" spans="1:6">
      <c r="A3962" t="s">
        <v>11811</v>
      </c>
      <c r="B3962" t="s">
        <v>11812</v>
      </c>
      <c r="C3962" t="s">
        <v>11813</v>
      </c>
      <c r="D3962" t="str">
        <f>HYPERLINK("https://github.com/voxeet/voxeet-uxkit-reactnative/issues/53","show")</f>
        <v>show</v>
      </c>
      <c r="E3962" t="str">
        <f>HYPERLINK("https://github.com/voxeet/voxeet-uxkit-reactnative","show")</f>
        <v>show</v>
      </c>
      <c r="F3962" t="str">
        <f>HYPERLINK("https://github.com/voxeet/voxeet-uxkit-reactnative/releases","show")</f>
        <v>show</v>
      </c>
    </row>
    <row r="3963" spans="1:6">
      <c r="A3963" t="s">
        <v>11814</v>
      </c>
      <c r="B3963" t="s">
        <v>11815</v>
      </c>
      <c r="C3963" t="s">
        <v>11816</v>
      </c>
      <c r="D3963" t="str">
        <f>HYPERLINK("https://github.com/TeamNewPipe/NewPipe/issues/7537","show")</f>
        <v>show</v>
      </c>
      <c r="E3963" t="str">
        <f>HYPERLINK("https://github.com/TeamNewPipe/NewPipe","show")</f>
        <v>show</v>
      </c>
      <c r="F3963" t="str">
        <f>HYPERLINK("https://github.com/TeamNewPipe/NewPipe/releases","show")</f>
        <v>show</v>
      </c>
    </row>
    <row r="3964" spans="1:6">
      <c r="A3964" t="s">
        <v>11817</v>
      </c>
      <c r="B3964" t="s">
        <v>11818</v>
      </c>
      <c r="C3964" t="s">
        <v>11819</v>
      </c>
      <c r="D3964" t="str">
        <f>HYPERLINK("https://github.com/PojavLauncherTeam/PojavLauncher/issues/2388","show")</f>
        <v>show</v>
      </c>
      <c r="E3964" t="str">
        <f>HYPERLINK("https://github.com/PojavLauncherTeam/PojavLauncher","show")</f>
        <v>show</v>
      </c>
      <c r="F3964" t="str">
        <f>HYPERLINK("https://github.com/PojavLauncherTeam/PojavLauncher/releases","show")</f>
        <v>show</v>
      </c>
    </row>
    <row r="3965" spans="1:6">
      <c r="A3965" t="s">
        <v>11820</v>
      </c>
      <c r="B3965" t="s">
        <v>11821</v>
      </c>
      <c r="C3965" t="s">
        <v>11822</v>
      </c>
      <c r="D3965" t="str">
        <f>HYPERLINK("https://github.com/TeamNewPipe/NewPipe/issues/7536","show")</f>
        <v>show</v>
      </c>
      <c r="E3965" t="str">
        <f>HYPERLINK("https://github.com/TeamNewPipe/NewPipe","show")</f>
        <v>show</v>
      </c>
      <c r="F3965" t="str">
        <f>HYPERLINK("https://github.com/TeamNewPipe/NewPipe/releases","show")</f>
        <v>show</v>
      </c>
    </row>
    <row r="3966" spans="1:6">
      <c r="A3966" t="s">
        <v>11823</v>
      </c>
      <c r="B3966" t="s">
        <v>107</v>
      </c>
      <c r="C3966" t="s">
        <v>11824</v>
      </c>
      <c r="D3966" t="str">
        <f>HYPERLINK("https://github.com/nextcloud/android/issues/9539","show")</f>
        <v>show</v>
      </c>
      <c r="E3966" t="str">
        <f>HYPERLINK("https://github.com/nextcloud/android","show")</f>
        <v>show</v>
      </c>
      <c r="F3966" t="str">
        <f>HYPERLINK("https://github.com/nextcloud/android/releases","show")</f>
        <v>show</v>
      </c>
    </row>
    <row r="3967" spans="1:6">
      <c r="A3967" t="s">
        <v>11825</v>
      </c>
      <c r="B3967" t="s">
        <v>11826</v>
      </c>
      <c r="C3967" t="s">
        <v>11827</v>
      </c>
      <c r="D3967" t="str">
        <f>HYPERLINK("https://github.com/TeamNewPipe/NewPipe/issues/7533","show")</f>
        <v>show</v>
      </c>
      <c r="E3967" t="str">
        <f>HYPERLINK("https://github.com/TeamNewPipe/NewPipe","show")</f>
        <v>show</v>
      </c>
      <c r="F3967" t="str">
        <f>HYPERLINK("https://github.com/TeamNewPipe/NewPipe/releases","show")</f>
        <v>show</v>
      </c>
    </row>
    <row r="3968" spans="1:6">
      <c r="A3968" t="s">
        <v>11828</v>
      </c>
      <c r="B3968" t="s">
        <v>11829</v>
      </c>
      <c r="C3968" t="s">
        <v>11830</v>
      </c>
      <c r="D3968" t="str">
        <f>HYPERLINK("https://github.com/TeamNewPipe/NewPipe/issues/7532","show")</f>
        <v>show</v>
      </c>
      <c r="E3968" t="str">
        <f>HYPERLINK("https://github.com/TeamNewPipe/NewPipe","show")</f>
        <v>show</v>
      </c>
      <c r="F3968" t="str">
        <f>HYPERLINK("https://github.com/TeamNewPipe/NewPipe/releases","show")</f>
        <v>show</v>
      </c>
    </row>
    <row r="3969" spans="1:6">
      <c r="A3969" t="s">
        <v>11831</v>
      </c>
      <c r="B3969" t="s">
        <v>11832</v>
      </c>
      <c r="C3969" t="s">
        <v>11833</v>
      </c>
      <c r="D3969" t="str">
        <f>HYPERLINK("https://github.com/TeamNewPipe/NewPipe/issues/7531","show")</f>
        <v>show</v>
      </c>
      <c r="E3969" t="str">
        <f>HYPERLINK("https://github.com/TeamNewPipe/NewPipe","show")</f>
        <v>show</v>
      </c>
      <c r="F3969" t="str">
        <f>HYPERLINK("https://github.com/TeamNewPipe/NewPipe/releases","show")</f>
        <v>show</v>
      </c>
    </row>
    <row r="3970" spans="1:6">
      <c r="A3970" t="s">
        <v>11834</v>
      </c>
      <c r="B3970" t="s">
        <v>11835</v>
      </c>
      <c r="C3970" t="s">
        <v>11836</v>
      </c>
      <c r="D3970" t="str">
        <f>HYPERLINK("https://github.com/TeamNewPipe/NewPipe/issues/7529","show")</f>
        <v>show</v>
      </c>
      <c r="E3970" t="str">
        <f>HYPERLINK("https://github.com/TeamNewPipe/NewPipe","show")</f>
        <v>show</v>
      </c>
      <c r="F3970" t="str">
        <f>HYPERLINK("https://github.com/TeamNewPipe/NewPipe/releases","show")</f>
        <v>show</v>
      </c>
    </row>
    <row r="3971" spans="1:6">
      <c r="A3971" t="s">
        <v>11837</v>
      </c>
      <c r="B3971" t="s">
        <v>11838</v>
      </c>
      <c r="C3971" t="s">
        <v>11839</v>
      </c>
      <c r="D3971" t="str">
        <f>HYPERLINK("https://github.com/TeamNewPipe/NewPipe/issues/7528","show")</f>
        <v>show</v>
      </c>
      <c r="E3971" t="str">
        <f>HYPERLINK("https://github.com/TeamNewPipe/NewPipe","show")</f>
        <v>show</v>
      </c>
      <c r="F3971" t="str">
        <f>HYPERLINK("https://github.com/TeamNewPipe/NewPipe/releases","show")</f>
        <v>show</v>
      </c>
    </row>
    <row r="3972" spans="1:6">
      <c r="A3972" t="s">
        <v>11840</v>
      </c>
      <c r="B3972" t="s">
        <v>11841</v>
      </c>
      <c r="C3972" t="s">
        <v>11842</v>
      </c>
      <c r="D3972" t="str">
        <f>HYPERLINK("https://github.com/mh-/corona-warn-companion-android/issues/134","show")</f>
        <v>show</v>
      </c>
      <c r="E3972" t="str">
        <f>HYPERLINK("https://github.com/mh-/corona-warn-companion-android","show")</f>
        <v>show</v>
      </c>
      <c r="F3972" t="str">
        <f>HYPERLINK("https://github.com/mh-/corona-warn-companion-android/releases","show")</f>
        <v>show</v>
      </c>
    </row>
    <row r="3973" spans="1:6">
      <c r="A3973" t="s">
        <v>11843</v>
      </c>
      <c r="B3973" t="s">
        <v>11844</v>
      </c>
      <c r="C3973" t="s">
        <v>11845</v>
      </c>
      <c r="D3973" t="str">
        <f>HYPERLINK("https://github.com/PojavLauncherTeam/PojavLauncher/issues/2381","show")</f>
        <v>show</v>
      </c>
      <c r="E3973" t="str">
        <f>HYPERLINK("https://github.com/PojavLauncherTeam/PojavLauncher","show")</f>
        <v>show</v>
      </c>
      <c r="F3973" t="str">
        <f>HYPERLINK("https://github.com/PojavLauncherTeam/PojavLauncher/releases","show")</f>
        <v>show</v>
      </c>
    </row>
    <row r="3974" spans="1:6">
      <c r="A3974" t="s">
        <v>11846</v>
      </c>
      <c r="B3974" t="s">
        <v>11847</v>
      </c>
      <c r="C3974" t="s">
        <v>11848</v>
      </c>
      <c r="D3974" t="str">
        <f>HYPERLINK("https://github.com/PojavLauncherTeam/PojavLauncher/issues/2372","show")</f>
        <v>show</v>
      </c>
      <c r="E3974" t="str">
        <f>HYPERLINK("https://github.com/PojavLauncherTeam/PojavLauncher","show")</f>
        <v>show</v>
      </c>
      <c r="F3974" t="str">
        <f>HYPERLINK("https://github.com/PojavLauncherTeam/PojavLauncher/releases","show")</f>
        <v>show</v>
      </c>
    </row>
    <row r="3975" spans="1:6">
      <c r="A3975" t="s">
        <v>11849</v>
      </c>
      <c r="B3975" t="s">
        <v>11850</v>
      </c>
      <c r="C3975" t="s">
        <v>11851</v>
      </c>
      <c r="D3975" t="str">
        <f>HYPERLINK("https://github.com/PojavLauncherTeam/PojavLauncher/issues/2371","show")</f>
        <v>show</v>
      </c>
      <c r="E3975" t="str">
        <f>HYPERLINK("https://github.com/PojavLauncherTeam/PojavLauncher","show")</f>
        <v>show</v>
      </c>
      <c r="F3975" t="str">
        <f>HYPERLINK("https://github.com/PojavLauncherTeam/PojavLauncher/releases","show")</f>
        <v>show</v>
      </c>
    </row>
    <row r="3976" spans="1:6">
      <c r="A3976" t="s">
        <v>11852</v>
      </c>
      <c r="B3976" t="s">
        <v>11853</v>
      </c>
      <c r="C3976" t="s">
        <v>11854</v>
      </c>
      <c r="D3976" t="str">
        <f>HYPERLINK("https://github.com/BloodCall/BloodCall/issues/26","show")</f>
        <v>show</v>
      </c>
      <c r="E3976" t="str">
        <f>HYPERLINK("https://github.com/BloodCall/BloodCall","show")</f>
        <v>show</v>
      </c>
      <c r="F3976" t="str">
        <f>HYPERLINK("https://github.com/BloodCall/BloodCall/releases","show")</f>
        <v>show</v>
      </c>
    </row>
    <row r="3977" spans="1:6">
      <c r="A3977" t="s">
        <v>11855</v>
      </c>
      <c r="B3977" t="s">
        <v>11856</v>
      </c>
      <c r="C3977" t="s">
        <v>11857</v>
      </c>
      <c r="D3977" t="str">
        <f>HYPERLINK("https://github.com/PojavLauncherTeam/PojavLauncher/issues/2370","show")</f>
        <v>show</v>
      </c>
      <c r="E3977" t="str">
        <f>HYPERLINK("https://github.com/PojavLauncherTeam/PojavLauncher","show")</f>
        <v>show</v>
      </c>
      <c r="F3977" t="str">
        <f>HYPERLINK("https://github.com/PojavLauncherTeam/PojavLauncher/releases","show")</f>
        <v>show</v>
      </c>
    </row>
    <row r="3978" spans="1:6">
      <c r="A3978" t="s">
        <v>11858</v>
      </c>
      <c r="B3978" t="s">
        <v>11859</v>
      </c>
      <c r="C3978" t="s">
        <v>11860</v>
      </c>
      <c r="D3978" t="str">
        <f>HYPERLINK("https://github.com/androidx/media/issues/18","show")</f>
        <v>show</v>
      </c>
      <c r="E3978" t="str">
        <f>HYPERLINK("https://github.com/androidx/media","show")</f>
        <v>show</v>
      </c>
      <c r="F3978" t="str">
        <f>HYPERLINK("https://github.com/androidx/media/releases","show")</f>
        <v>show</v>
      </c>
    </row>
    <row r="3979" spans="1:6">
      <c r="A3979" t="s">
        <v>11861</v>
      </c>
      <c r="B3979" t="s">
        <v>11862</v>
      </c>
      <c r="C3979" t="s">
        <v>11863</v>
      </c>
      <c r="D3979" t="str">
        <f>HYPERLINK("https://github.com/Anuken/Mindustry/issues/6424","show")</f>
        <v>show</v>
      </c>
      <c r="E3979" t="str">
        <f>HYPERLINK("https://github.com/Anuken/Mindustry","show")</f>
        <v>show</v>
      </c>
      <c r="F3979" t="str">
        <f>HYPERLINK("https://github.com/Anuken/Mindustry/releases","show")</f>
        <v>show</v>
      </c>
    </row>
    <row r="3980" spans="1:6">
      <c r="A3980" t="s">
        <v>11864</v>
      </c>
      <c r="B3980" t="s">
        <v>11865</v>
      </c>
      <c r="C3980" t="s">
        <v>11866</v>
      </c>
      <c r="D3980" t="str">
        <f>HYPERLINK("https://github.com/voxeet/voxeet-uxkit-reactnative/issues/52","show")</f>
        <v>show</v>
      </c>
      <c r="E3980" t="str">
        <f>HYPERLINK("https://github.com/voxeet/voxeet-uxkit-reactnative","show")</f>
        <v>show</v>
      </c>
      <c r="F3980" t="str">
        <f>HYPERLINK("https://github.com/voxeet/voxeet-uxkit-reactnative/releases","show")</f>
        <v>show</v>
      </c>
    </row>
    <row r="3981" spans="1:6">
      <c r="A3981" t="s">
        <v>11867</v>
      </c>
      <c r="B3981" t="s">
        <v>11868</v>
      </c>
      <c r="C3981" t="s">
        <v>11869</v>
      </c>
      <c r="D3981" t="str">
        <f>HYPERLINK("https://github.com/doublesymmetry/react-native-track-player/issues/1347","show")</f>
        <v>show</v>
      </c>
      <c r="E3981" t="str">
        <f>HYPERLINK("https://github.com/doublesymmetry/react-native-track-player","show")</f>
        <v>show</v>
      </c>
      <c r="F3981" t="str">
        <f>HYPERLINK("https://github.com/doublesymmetry/react-native-track-player/releases","show")</f>
        <v>show</v>
      </c>
    </row>
    <row r="3982" spans="1:6">
      <c r="A3982" t="s">
        <v>11870</v>
      </c>
      <c r="B3982" t="s">
        <v>11871</v>
      </c>
      <c r="C3982" t="s">
        <v>11872</v>
      </c>
      <c r="D3982" t="str">
        <f>HYPERLINK("https://github.com/PojavLauncherTeam/PojavLauncher/issues/2364","show")</f>
        <v>show</v>
      </c>
      <c r="E3982" t="str">
        <f>HYPERLINK("https://github.com/PojavLauncherTeam/PojavLauncher","show")</f>
        <v>show</v>
      </c>
      <c r="F3982" t="str">
        <f>HYPERLINK("https://github.com/PojavLauncherTeam/PojavLauncher/releases","show")</f>
        <v>show</v>
      </c>
    </row>
    <row r="3983" spans="1:6">
      <c r="A3983" t="s">
        <v>11873</v>
      </c>
      <c r="B3983" t="s">
        <v>11874</v>
      </c>
      <c r="C3983" t="s">
        <v>11875</v>
      </c>
      <c r="D3983" t="str">
        <f>HYPERLINK("https://github.com/popcorn-official/popcorn-android/issues/780","show")</f>
        <v>show</v>
      </c>
      <c r="E3983" t="str">
        <f>HYPERLINK("https://github.com/popcorn-official/popcorn-android","show")</f>
        <v>show</v>
      </c>
      <c r="F3983" t="str">
        <f>HYPERLINK("https://github.com/popcorn-official/popcorn-android/releases","show")</f>
        <v>show</v>
      </c>
    </row>
    <row r="3984" spans="1:6">
      <c r="A3984" t="s">
        <v>11876</v>
      </c>
      <c r="B3984" t="s">
        <v>11877</v>
      </c>
      <c r="C3984" t="s">
        <v>11878</v>
      </c>
      <c r="D3984" t="str">
        <f>HYPERLINK("https://github.com/doublesymmetry/react-native-track-player/issues/1346","show")</f>
        <v>show</v>
      </c>
      <c r="E3984" t="str">
        <f>HYPERLINK("https://github.com/doublesymmetry/react-native-track-player","show")</f>
        <v>show</v>
      </c>
      <c r="F3984" t="str">
        <f>HYPERLINK("https://github.com/doublesymmetry/react-native-track-player/releases","show")</f>
        <v>show</v>
      </c>
    </row>
    <row r="3985" spans="1:6">
      <c r="A3985" t="s">
        <v>11879</v>
      </c>
      <c r="B3985" t="s">
        <v>11880</v>
      </c>
      <c r="C3985" t="s">
        <v>11881</v>
      </c>
      <c r="D3985" t="str">
        <f>HYPERLINK("https://github.com/ViroCommunity/viro/issues/65","show")</f>
        <v>show</v>
      </c>
      <c r="E3985" t="str">
        <f>HYPERLINK("https://github.com/ViroCommunity/viro","show")</f>
        <v>show</v>
      </c>
      <c r="F3985" t="str">
        <f>HYPERLINK("https://github.com/ViroCommunity/viro/releases","show")</f>
        <v>show</v>
      </c>
    </row>
    <row r="3986" spans="1:6">
      <c r="A3986" t="s">
        <v>11882</v>
      </c>
      <c r="B3986" t="s">
        <v>11883</v>
      </c>
      <c r="C3986" t="s">
        <v>11884</v>
      </c>
      <c r="D3986" t="str">
        <f>HYPERLINK("https://github.com/aws-amplify/amplify-android/issues/1599","show")</f>
        <v>show</v>
      </c>
      <c r="E3986" t="str">
        <f>HYPERLINK("https://github.com/aws-amplify/amplify-android","show")</f>
        <v>show</v>
      </c>
      <c r="F3986" t="str">
        <f>HYPERLINK("https://github.com/aws-amplify/amplify-android/releases","show")</f>
        <v>show</v>
      </c>
    </row>
    <row r="3987" spans="1:6">
      <c r="A3987" t="s">
        <v>11885</v>
      </c>
      <c r="B3987" t="s">
        <v>11886</v>
      </c>
      <c r="C3987" t="s">
        <v>11887</v>
      </c>
      <c r="D3987" t="str">
        <f>HYPERLINK("https://github.com/Anuken/Mindustry/issues/6417","show")</f>
        <v>show</v>
      </c>
      <c r="E3987" t="str">
        <f>HYPERLINK("https://github.com/Anuken/Mindustry","show")</f>
        <v>show</v>
      </c>
      <c r="F3987" t="str">
        <f>HYPERLINK("https://github.com/Anuken/Mindustry/releases","show")</f>
        <v>show</v>
      </c>
    </row>
    <row r="3988" spans="1:6">
      <c r="A3988" t="s">
        <v>11888</v>
      </c>
      <c r="B3988" t="s">
        <v>11889</v>
      </c>
      <c r="C3988" t="s">
        <v>11890</v>
      </c>
      <c r="D3988" t="str">
        <f>HYPERLINK("https://github.com/NordicSemiconductor/Android-BLE-Library/issues/338","show")</f>
        <v>show</v>
      </c>
      <c r="E3988" t="str">
        <f>HYPERLINK("https://github.com/NordicSemiconductor/Android-BLE-Library","show")</f>
        <v>show</v>
      </c>
      <c r="F3988" t="str">
        <f>HYPERLINK("https://github.com/NordicSemiconductor/Android-BLE-Library/releases","show")</f>
        <v>show</v>
      </c>
    </row>
    <row r="3989" spans="1:6">
      <c r="A3989" t="s">
        <v>11891</v>
      </c>
      <c r="B3989" t="s">
        <v>11892</v>
      </c>
      <c r="C3989" t="s">
        <v>11893</v>
      </c>
      <c r="D3989" t="str">
        <f>HYPERLINK("https://github.com/PojavLauncherTeam/PojavLauncher/issues/2356","show")</f>
        <v>show</v>
      </c>
      <c r="E3989" t="str">
        <f>HYPERLINK("https://github.com/PojavLauncherTeam/PojavLauncher","show")</f>
        <v>show</v>
      </c>
      <c r="F3989" t="str">
        <f>HYPERLINK("https://github.com/PojavLauncherTeam/PojavLauncher/releases","show")</f>
        <v>show</v>
      </c>
    </row>
    <row r="3990" spans="1:6">
      <c r="A3990" t="s">
        <v>11894</v>
      </c>
      <c r="B3990" t="s">
        <v>11895</v>
      </c>
      <c r="C3990" t="s">
        <v>11896</v>
      </c>
      <c r="D3990" t="str">
        <f>HYPERLINK("https://github.com/Anuken/Mindustry/issues/6411","show")</f>
        <v>show</v>
      </c>
      <c r="E3990" t="str">
        <f>HYPERLINK("https://github.com/Anuken/Mindustry","show")</f>
        <v>show</v>
      </c>
      <c r="F3990" t="str">
        <f>HYPERLINK("https://github.com/Anuken/Mindustry/releases","show")</f>
        <v>show</v>
      </c>
    </row>
    <row r="3991" spans="1:6">
      <c r="A3991" t="s">
        <v>11897</v>
      </c>
      <c r="B3991" t="s">
        <v>11898</v>
      </c>
      <c r="C3991" t="s">
        <v>11899</v>
      </c>
      <c r="D3991" t="str">
        <f>HYPERLINK("https://github.com/garrettramela/gwu-mobile-app/issues/5","show")</f>
        <v>show</v>
      </c>
      <c r="E3991" t="str">
        <f>HYPERLINK("https://github.com/garrettramela/gwu-mobile-app","show")</f>
        <v>show</v>
      </c>
      <c r="F3991" t="str">
        <f>HYPERLINK("https://github.com/garrettramela/gwu-mobile-app/releases","show")</f>
        <v>show</v>
      </c>
    </row>
    <row r="3992" spans="1:6">
      <c r="A3992" t="s">
        <v>11900</v>
      </c>
      <c r="B3992" t="s">
        <v>11901</v>
      </c>
      <c r="C3992" t="s">
        <v>11902</v>
      </c>
      <c r="D3992" t="str">
        <f>HYPERLINK("https://github.com/PojavLauncherTeam/PojavLauncher/issues/2354","show")</f>
        <v>show</v>
      </c>
      <c r="E3992" t="str">
        <f>HYPERLINK("https://github.com/PojavLauncherTeam/PojavLauncher","show")</f>
        <v>show</v>
      </c>
      <c r="F3992" t="str">
        <f>HYPERLINK("https://github.com/PojavLauncherTeam/PojavLauncher/releases","show")</f>
        <v>show</v>
      </c>
    </row>
    <row r="3993" spans="1:6">
      <c r="A3993" t="s">
        <v>11903</v>
      </c>
      <c r="B3993" t="s">
        <v>11904</v>
      </c>
      <c r="C3993" t="s">
        <v>11905</v>
      </c>
      <c r="D3993" t="str">
        <f>HYPERLINK("https://github.com/PojavLauncherTeam/PojavLauncher/issues/2352","show")</f>
        <v>show</v>
      </c>
      <c r="E3993" t="str">
        <f>HYPERLINK("https://github.com/PojavLauncherTeam/PojavLauncher","show")</f>
        <v>show</v>
      </c>
      <c r="F3993" t="str">
        <f>HYPERLINK("https://github.com/PojavLauncherTeam/PojavLauncher/releases","show")</f>
        <v>show</v>
      </c>
    </row>
    <row r="3994" spans="1:6">
      <c r="A3994" t="s">
        <v>11906</v>
      </c>
      <c r="B3994" t="s">
        <v>11907</v>
      </c>
      <c r="C3994" t="s">
        <v>11908</v>
      </c>
      <c r="D3994" t="str">
        <f>HYPERLINK("https://github.com/TeamNewPipe/NewPipe/issues/7513","show")</f>
        <v>show</v>
      </c>
      <c r="E3994" t="str">
        <f>HYPERLINK("https://github.com/TeamNewPipe/NewPipe","show")</f>
        <v>show</v>
      </c>
      <c r="F3994" t="str">
        <f>HYPERLINK("https://github.com/TeamNewPipe/NewPipe/releases","show")</f>
        <v>show</v>
      </c>
    </row>
    <row r="3995" spans="1:6">
      <c r="A3995" t="s">
        <v>11909</v>
      </c>
      <c r="B3995" t="s">
        <v>11910</v>
      </c>
      <c r="C3995" t="s">
        <v>11911</v>
      </c>
      <c r="D3995" t="str">
        <f>HYPERLINK("https://github.com/TeamNewPipe/NewPipe/issues/7511","show")</f>
        <v>show</v>
      </c>
      <c r="E3995" t="str">
        <f>HYPERLINK("https://github.com/TeamNewPipe/NewPipe","show")</f>
        <v>show</v>
      </c>
      <c r="F3995" t="str">
        <f>HYPERLINK("https://github.com/TeamNewPipe/NewPipe/releases","show")</f>
        <v>show</v>
      </c>
    </row>
    <row r="3996" spans="1:6">
      <c r="A3996" t="s">
        <v>11912</v>
      </c>
      <c r="B3996" t="s">
        <v>11913</v>
      </c>
      <c r="C3996" t="s">
        <v>11914</v>
      </c>
      <c r="D3996" t="str">
        <f>HYPERLINK("https://github.com/PojavLauncherTeam/PojavLauncher/issues/2347","show")</f>
        <v>show</v>
      </c>
      <c r="E3996" t="str">
        <f>HYPERLINK("https://github.com/PojavLauncherTeam/PojavLauncher","show")</f>
        <v>show</v>
      </c>
      <c r="F3996" t="str">
        <f>HYPERLINK("https://github.com/PojavLauncherTeam/PojavLauncher/releases","show")</f>
        <v>show</v>
      </c>
    </row>
    <row r="3997" spans="1:6">
      <c r="A3997" t="s">
        <v>11915</v>
      </c>
      <c r="B3997" t="s">
        <v>11916</v>
      </c>
      <c r="C3997" t="s">
        <v>11917</v>
      </c>
      <c r="D3997" t="str">
        <f>HYPERLINK("https://github.com/inaturalist/iNaturalistAndroid/issues/1156","show")</f>
        <v>show</v>
      </c>
      <c r="E3997" t="str">
        <f>HYPERLINK("https://github.com/inaturalist/iNaturalistAndroid","show")</f>
        <v>show</v>
      </c>
      <c r="F3997" t="str">
        <f>HYPERLINK("https://github.com/inaturalist/iNaturalistAndroid/releases","show")</f>
        <v>show</v>
      </c>
    </row>
    <row r="3998" spans="1:6">
      <c r="A3998" t="s">
        <v>11918</v>
      </c>
      <c r="B3998" t="s">
        <v>11919</v>
      </c>
      <c r="C3998" t="s">
        <v>11920</v>
      </c>
      <c r="D3998" t="str">
        <f>HYPERLINK("https://github.com/muralimanohar2002/Chatting-App/issues/13","show")</f>
        <v>show</v>
      </c>
      <c r="E3998" t="str">
        <f>HYPERLINK("https://github.com/muralimanohar2002/Chatting-App","show")</f>
        <v>show</v>
      </c>
      <c r="F3998" t="str">
        <f>HYPERLINK("https://github.com/muralimanohar2002/Chatting-App/releases","show")</f>
        <v>show</v>
      </c>
    </row>
    <row r="3999" spans="1:6">
      <c r="A3999" t="s">
        <v>11921</v>
      </c>
      <c r="B3999" t="s">
        <v>11922</v>
      </c>
      <c r="C3999" t="s">
        <v>11923</v>
      </c>
      <c r="D3999" t="str">
        <f>HYPERLINK("https://github.com/nextcloud/android/issues/9471","show")</f>
        <v>show</v>
      </c>
      <c r="E3999" t="str">
        <f>HYPERLINK("https://github.com/nextcloud/android","show")</f>
        <v>show</v>
      </c>
      <c r="F3999" t="str">
        <f>HYPERLINK("https://github.com/nextcloud/android/releases","show")</f>
        <v>show</v>
      </c>
    </row>
    <row r="4000" spans="1:6">
      <c r="A4000" t="s">
        <v>11924</v>
      </c>
      <c r="B4000" t="s">
        <v>11925</v>
      </c>
      <c r="C4000" t="s">
        <v>11926</v>
      </c>
      <c r="D4000" t="str">
        <f>HYPERLINK("https://github.com/TeamNewPipe/NewPipe/issues/7506","show")</f>
        <v>show</v>
      </c>
      <c r="E4000" t="str">
        <f>HYPERLINK("https://github.com/TeamNewPipe/NewPipe","show")</f>
        <v>show</v>
      </c>
      <c r="F4000" t="str">
        <f>HYPERLINK("https://github.com/TeamNewPipe/NewPipe/releases","show")</f>
        <v>show</v>
      </c>
    </row>
    <row r="4001" spans="1:6">
      <c r="A4001" t="s">
        <v>11927</v>
      </c>
      <c r="B4001" t="s">
        <v>11928</v>
      </c>
      <c r="C4001" t="s">
        <v>11929</v>
      </c>
      <c r="D4001" t="str">
        <f>HYPERLINK("https://github.com/Blankj/AndroidUtilCode/issues/1577","show")</f>
        <v>show</v>
      </c>
      <c r="E4001" t="str">
        <f>HYPERLINK("https://github.com/Blankj/AndroidUtilCode","show")</f>
        <v>show</v>
      </c>
      <c r="F4001" t="str">
        <f>HYPERLINK("https://github.com/Blankj/AndroidUtilCode/releases","show")</f>
        <v>show</v>
      </c>
    </row>
    <row r="4002" spans="1:6">
      <c r="A4002" t="s">
        <v>11930</v>
      </c>
      <c r="B4002" t="s">
        <v>9922</v>
      </c>
      <c r="C4002" t="s">
        <v>11931</v>
      </c>
      <c r="D4002" t="str">
        <f>HYPERLINK("https://github.com/PojavLauncherTeam/PojavLauncher/issues/2344","show")</f>
        <v>show</v>
      </c>
      <c r="E4002" t="str">
        <f>HYPERLINK("https://github.com/PojavLauncherTeam/PojavLauncher","show")</f>
        <v>show</v>
      </c>
      <c r="F4002" t="str">
        <f>HYPERLINK("https://github.com/PojavLauncherTeam/PojavLauncher/releases","show")</f>
        <v>show</v>
      </c>
    </row>
    <row r="4003" spans="1:6">
      <c r="A4003" t="s">
        <v>11932</v>
      </c>
      <c r="B4003" t="s">
        <v>11933</v>
      </c>
      <c r="C4003" t="s">
        <v>11934</v>
      </c>
      <c r="D4003" t="str">
        <f>HYPERLINK("https://github.com/PojavLauncherTeam/PojavLauncher/issues/2342","show")</f>
        <v>show</v>
      </c>
      <c r="E4003" t="str">
        <f>HYPERLINK("https://github.com/PojavLauncherTeam/PojavLauncher","show")</f>
        <v>show</v>
      </c>
      <c r="F4003" t="str">
        <f>HYPERLINK("https://github.com/PojavLauncherTeam/PojavLauncher/releases","show")</f>
        <v>show</v>
      </c>
    </row>
    <row r="4004" spans="1:6">
      <c r="A4004" t="s">
        <v>11935</v>
      </c>
      <c r="B4004" t="s">
        <v>11936</v>
      </c>
      <c r="C4004" t="s">
        <v>11937</v>
      </c>
      <c r="D4004" t="str">
        <f>HYPERLINK("https://github.com/muralimanohar2002/Chatting-App/issues/3","show")</f>
        <v>show</v>
      </c>
      <c r="E4004" t="str">
        <f>HYPERLINK("https://github.com/muralimanohar2002/Chatting-App","show")</f>
        <v>show</v>
      </c>
      <c r="F4004" t="str">
        <f>HYPERLINK("https://github.com/muralimanohar2002/Chatting-App/releases","show")</f>
        <v>show</v>
      </c>
    </row>
    <row r="4005" spans="1:6">
      <c r="A4005" t="s">
        <v>11938</v>
      </c>
      <c r="B4005" t="s">
        <v>11939</v>
      </c>
      <c r="C4005" t="s">
        <v>11940</v>
      </c>
      <c r="D4005" t="str">
        <f>HYPERLINK("https://github.com/TeamNewPipe/NewPipe/issues/7504","show")</f>
        <v>show</v>
      </c>
      <c r="E4005" t="str">
        <f>HYPERLINK("https://github.com/TeamNewPipe/NewPipe","show")</f>
        <v>show</v>
      </c>
      <c r="F4005" t="str">
        <f>HYPERLINK("https://github.com/TeamNewPipe/NewPipe/releases","show")</f>
        <v>show</v>
      </c>
    </row>
    <row r="4006" spans="1:6">
      <c r="A4006" t="s">
        <v>11941</v>
      </c>
      <c r="B4006" t="s">
        <v>11942</v>
      </c>
      <c r="C4006" t="s">
        <v>11943</v>
      </c>
      <c r="D4006" t="str">
        <f>HYPERLINK("https://github.com/BloodCall/BloodCall/issues/13","show")</f>
        <v>show</v>
      </c>
      <c r="E4006" t="str">
        <f>HYPERLINK("https://github.com/BloodCall/BloodCall","show")</f>
        <v>show</v>
      </c>
      <c r="F4006" t="str">
        <f>HYPERLINK("https://github.com/BloodCall/BloodCall/releases","show")</f>
        <v>show</v>
      </c>
    </row>
    <row r="4007" spans="1:6">
      <c r="A4007" t="s">
        <v>11944</v>
      </c>
      <c r="B4007" t="s">
        <v>11945</v>
      </c>
      <c r="C4007" t="s">
        <v>11946</v>
      </c>
      <c r="D4007" t="str">
        <f>HYPERLINK("https://github.com/PojavLauncherTeam/PojavLauncher/issues/2338","show")</f>
        <v>show</v>
      </c>
      <c r="E4007" t="str">
        <f>HYPERLINK("https://github.com/PojavLauncherTeam/PojavLauncher","show")</f>
        <v>show</v>
      </c>
      <c r="F4007" t="str">
        <f>HYPERLINK("https://github.com/PojavLauncherTeam/PojavLauncher/releases","show")</f>
        <v>show</v>
      </c>
    </row>
    <row r="4008" spans="1:6">
      <c r="A4008" t="s">
        <v>11947</v>
      </c>
      <c r="B4008" t="s">
        <v>11948</v>
      </c>
      <c r="C4008" t="s">
        <v>11949</v>
      </c>
      <c r="D4008" t="str">
        <f>HYPERLINK("https://github.com/VishnuSanal/Quotes/issues/75","show")</f>
        <v>show</v>
      </c>
      <c r="E4008" t="str">
        <f>HYPERLINK("https://github.com/VishnuSanal/Quotes","show")</f>
        <v>show</v>
      </c>
      <c r="F4008" t="str">
        <f>HYPERLINK("https://github.com/VishnuSanal/Quotes/releases","show")</f>
        <v>show</v>
      </c>
    </row>
    <row r="4009" spans="1:6">
      <c r="A4009" t="s">
        <v>11950</v>
      </c>
      <c r="B4009" t="s">
        <v>11951</v>
      </c>
      <c r="C4009" t="s">
        <v>11952</v>
      </c>
      <c r="D4009" t="str">
        <f>HYPERLINK("https://github.com/PojavLauncherTeam/PojavLauncher/issues/2336","show")</f>
        <v>show</v>
      </c>
      <c r="E4009" t="str">
        <f>HYPERLINK("https://github.com/PojavLauncherTeam/PojavLauncher","show")</f>
        <v>show</v>
      </c>
      <c r="F4009" t="str">
        <f>HYPERLINK("https://github.com/PojavLauncherTeam/PojavLauncher/releases","show")</f>
        <v>show</v>
      </c>
    </row>
    <row r="4010" spans="1:6">
      <c r="A4010" t="s">
        <v>11953</v>
      </c>
      <c r="B4010" t="s">
        <v>11954</v>
      </c>
      <c r="C4010" t="s">
        <v>11955</v>
      </c>
      <c r="D4010" t="str">
        <f>HYPERLINK("https://github.com/PojavLauncherTeam/PojavLauncher/issues/2332","show")</f>
        <v>show</v>
      </c>
      <c r="E4010" t="str">
        <f>HYPERLINK("https://github.com/PojavLauncherTeam/PojavLauncher","show")</f>
        <v>show</v>
      </c>
      <c r="F4010" t="str">
        <f>HYPERLINK("https://github.com/PojavLauncherTeam/PojavLauncher/releases","show")</f>
        <v>show</v>
      </c>
    </row>
    <row r="4011" spans="1:6">
      <c r="A4011" t="s">
        <v>11956</v>
      </c>
      <c r="B4011" t="s">
        <v>11957</v>
      </c>
      <c r="C4011" t="s">
        <v>11958</v>
      </c>
      <c r="D4011" t="str">
        <f>HYPERLINK("https://github.com/microg/UnifiedNlp/issues/228","show")</f>
        <v>show</v>
      </c>
      <c r="E4011" t="str">
        <f>HYPERLINK("https://github.com/microg/UnifiedNlp","show")</f>
        <v>show</v>
      </c>
      <c r="F4011" t="str">
        <f>HYPERLINK("https://github.com/microg/UnifiedNlp/releases","show")</f>
        <v>show</v>
      </c>
    </row>
    <row r="4012" spans="1:6">
      <c r="A4012" t="s">
        <v>11959</v>
      </c>
      <c r="B4012" t="s">
        <v>11960</v>
      </c>
      <c r="C4012" t="s">
        <v>11961</v>
      </c>
      <c r="D4012" t="str">
        <f>HYPERLINK("https://github.com/PojavLauncherTeam/PojavLauncher/issues/2331","show")</f>
        <v>show</v>
      </c>
      <c r="E4012" t="str">
        <f>HYPERLINK("https://github.com/PojavLauncherTeam/PojavLauncher","show")</f>
        <v>show</v>
      </c>
      <c r="F4012" t="str">
        <f>HYPERLINK("https://github.com/PojavLauncherTeam/PojavLauncher/releases","show")</f>
        <v>show</v>
      </c>
    </row>
    <row r="4013" spans="1:6">
      <c r="A4013" t="s">
        <v>11962</v>
      </c>
      <c r="B4013" t="s">
        <v>11963</v>
      </c>
      <c r="C4013" t="s">
        <v>11964</v>
      </c>
      <c r="D4013" t="str">
        <f>HYPERLINK("https://github.com/cgeo/cgeo/issues/12242","show")</f>
        <v>show</v>
      </c>
      <c r="E4013" t="str">
        <f>HYPERLINK("https://github.com/cgeo/cgeo","show")</f>
        <v>show</v>
      </c>
      <c r="F4013" t="str">
        <f>HYPERLINK("https://github.com/cgeo/cgeo/releases","show")</f>
        <v>show</v>
      </c>
    </row>
    <row r="4014" spans="1:6">
      <c r="A4014" t="s">
        <v>11965</v>
      </c>
      <c r="B4014" t="s">
        <v>11966</v>
      </c>
      <c r="C4014" t="s">
        <v>11967</v>
      </c>
      <c r="D4014" t="str">
        <f>HYPERLINK("https://github.com/PojavLauncherTeam/PojavLauncher/issues/2330","show")</f>
        <v>show</v>
      </c>
      <c r="E4014" t="str">
        <f>HYPERLINK("https://github.com/PojavLauncherTeam/PojavLauncher","show")</f>
        <v>show</v>
      </c>
      <c r="F4014" t="str">
        <f>HYPERLINK("https://github.com/PojavLauncherTeam/PojavLauncher/releases","show")</f>
        <v>show</v>
      </c>
    </row>
    <row r="4015" spans="1:6">
      <c r="A4015" t="s">
        <v>11968</v>
      </c>
      <c r="B4015" t="s">
        <v>11969</v>
      </c>
      <c r="C4015" t="s">
        <v>11970</v>
      </c>
      <c r="D4015" t="str">
        <f>HYPERLINK("https://github.com/TeamNewPipe/NewPipe/issues/7495","show")</f>
        <v>show</v>
      </c>
      <c r="E4015" t="str">
        <f>HYPERLINK("https://github.com/TeamNewPipe/NewPipe","show")</f>
        <v>show</v>
      </c>
      <c r="F4015" t="str">
        <f>HYPERLINK("https://github.com/TeamNewPipe/NewPipe/releases","show")</f>
        <v>show</v>
      </c>
    </row>
    <row r="4016" spans="1:6">
      <c r="A4016" t="s">
        <v>11971</v>
      </c>
      <c r="B4016" t="s">
        <v>11972</v>
      </c>
      <c r="C4016" t="s">
        <v>11973</v>
      </c>
      <c r="D4016" t="str">
        <f>HYPERLINK("https://github.com/PojavLauncherTeam/PojavLauncher/issues/2329","show")</f>
        <v>show</v>
      </c>
      <c r="E4016" t="str">
        <f>HYPERLINK("https://github.com/PojavLauncherTeam/PojavLauncher","show")</f>
        <v>show</v>
      </c>
      <c r="F4016" t="str">
        <f>HYPERLINK("https://github.com/PojavLauncherTeam/PojavLauncher/releases","show")</f>
        <v>show</v>
      </c>
    </row>
    <row r="4017" spans="1:6">
      <c r="A4017" t="s">
        <v>11974</v>
      </c>
      <c r="B4017" t="s">
        <v>11975</v>
      </c>
      <c r="C4017" t="s">
        <v>11976</v>
      </c>
      <c r="D4017" t="str">
        <f>HYPERLINK("https://github.com/MuntashirAkon/AppManager/issues/645","show")</f>
        <v>show</v>
      </c>
      <c r="E4017" t="str">
        <f>HYPERLINK("https://github.com/MuntashirAkon/AppManager","show")</f>
        <v>show</v>
      </c>
      <c r="F4017" t="str">
        <f>HYPERLINK("https://github.com/MuntashirAkon/AppManager/releases","show")</f>
        <v>show</v>
      </c>
    </row>
    <row r="4018" spans="1:6">
      <c r="A4018" t="s">
        <v>11977</v>
      </c>
      <c r="B4018" t="s">
        <v>11978</v>
      </c>
      <c r="C4018" t="s">
        <v>11979</v>
      </c>
      <c r="D4018" t="str">
        <f>HYPERLINK("https://github.com/PojavLauncherTeam/PojavLauncher/issues/2327","show")</f>
        <v>show</v>
      </c>
      <c r="E4018" t="str">
        <f>HYPERLINK("https://github.com/PojavLauncherTeam/PojavLauncher","show")</f>
        <v>show</v>
      </c>
      <c r="F4018" t="str">
        <f>HYPERLINK("https://github.com/PojavLauncherTeam/PojavLauncher/releases","show")</f>
        <v>show</v>
      </c>
    </row>
    <row r="4019" spans="1:6">
      <c r="A4019" t="s">
        <v>11980</v>
      </c>
      <c r="B4019" t="s">
        <v>11981</v>
      </c>
      <c r="C4019" t="s">
        <v>11982</v>
      </c>
      <c r="D4019" t="str">
        <f>HYPERLINK("https://github.com/PojavLauncherTeam/PojavLauncher/issues/2325","show")</f>
        <v>show</v>
      </c>
      <c r="E4019" t="str">
        <f>HYPERLINK("https://github.com/PojavLauncherTeam/PojavLauncher","show")</f>
        <v>show</v>
      </c>
      <c r="F4019" t="str">
        <f>HYPERLINK("https://github.com/PojavLauncherTeam/PojavLauncher/releases","show")</f>
        <v>show</v>
      </c>
    </row>
    <row r="4020" spans="1:6">
      <c r="A4020" t="s">
        <v>11983</v>
      </c>
      <c r="B4020" t="s">
        <v>11984</v>
      </c>
      <c r="C4020" t="s">
        <v>11985</v>
      </c>
      <c r="D4020" t="str">
        <f>HYPERLINK("https://github.com/QGdev/OpenWeather/issues/1","show")</f>
        <v>show</v>
      </c>
      <c r="E4020" t="str">
        <f>HYPERLINK("https://github.com/QGdev/OpenWeather","show")</f>
        <v>show</v>
      </c>
      <c r="F4020" t="str">
        <f>HYPERLINK("https://github.com/QGdev/OpenWeather/releases","show")</f>
        <v>show</v>
      </c>
    </row>
    <row r="4021" spans="1:6">
      <c r="A4021" t="s">
        <v>11986</v>
      </c>
      <c r="B4021" t="s">
        <v>11987</v>
      </c>
      <c r="C4021" t="s">
        <v>11988</v>
      </c>
      <c r="D4021" t="str">
        <f>HYPERLINK("https://github.com/nextcloud/android/issues/9441","show")</f>
        <v>show</v>
      </c>
      <c r="E4021" t="str">
        <f>HYPERLINK("https://github.com/nextcloud/android","show")</f>
        <v>show</v>
      </c>
      <c r="F4021" t="str">
        <f>HYPERLINK("https://github.com/nextcloud/android/releases","show")</f>
        <v>show</v>
      </c>
    </row>
    <row r="4022" spans="1:6">
      <c r="A4022" t="s">
        <v>11989</v>
      </c>
      <c r="B4022" t="s">
        <v>11990</v>
      </c>
      <c r="C4022" t="s">
        <v>11991</v>
      </c>
      <c r="D4022" t="str">
        <f>HYPERLINK("https://github.com/TeamNewPipe/NewPipe/issues/7486","show")</f>
        <v>show</v>
      </c>
      <c r="E4022" t="str">
        <f>HYPERLINK("https://github.com/TeamNewPipe/NewPipe","show")</f>
        <v>show</v>
      </c>
      <c r="F4022" t="str">
        <f>HYPERLINK("https://github.com/TeamNewPipe/NewPipe/releases","show")</f>
        <v>show</v>
      </c>
    </row>
    <row r="4023" spans="1:6">
      <c r="A4023" t="s">
        <v>11992</v>
      </c>
      <c r="B4023" t="s">
        <v>11993</v>
      </c>
      <c r="C4023" t="s">
        <v>11994</v>
      </c>
      <c r="D4023" t="str">
        <f>HYPERLINK("https://github.com/deepjavalibrary/djl/issues/1398","show")</f>
        <v>show</v>
      </c>
      <c r="E4023" t="str">
        <f>HYPERLINK("https://github.com/deepjavalibrary/djl","show")</f>
        <v>show</v>
      </c>
      <c r="F4023" t="str">
        <f>HYPERLINK("https://github.com/deepjavalibrary/djl/releases","show")</f>
        <v>show</v>
      </c>
    </row>
    <row r="4024" spans="1:6">
      <c r="A4024" t="s">
        <v>11995</v>
      </c>
      <c r="B4024" t="s">
        <v>11996</v>
      </c>
      <c r="C4024" t="s">
        <v>11997</v>
      </c>
      <c r="D4024" t="str">
        <f>HYPERLINK("https://github.com/nextcloud/android/issues/9428","show")</f>
        <v>show</v>
      </c>
      <c r="E4024" t="str">
        <f>HYPERLINK("https://github.com/nextcloud/android","show")</f>
        <v>show</v>
      </c>
      <c r="F4024" t="str">
        <f>HYPERLINK("https://github.com/nextcloud/android/releases","show")</f>
        <v>show</v>
      </c>
    </row>
    <row r="4025" spans="1:6">
      <c r="A4025" t="s">
        <v>11998</v>
      </c>
      <c r="B4025" t="s">
        <v>11999</v>
      </c>
      <c r="C4025" t="s">
        <v>12000</v>
      </c>
      <c r="D4025" t="str">
        <f>HYPERLINK("https://github.com/cgeo/cgeo/issues/12211","show")</f>
        <v>show</v>
      </c>
      <c r="E4025" t="str">
        <f>HYPERLINK("https://github.com/cgeo/cgeo","show")</f>
        <v>show</v>
      </c>
      <c r="F4025" t="str">
        <f>HYPERLINK("https://github.com/cgeo/cgeo/releases","show")</f>
        <v>show</v>
      </c>
    </row>
    <row r="4026" spans="1:6">
      <c r="A4026" t="s">
        <v>12001</v>
      </c>
      <c r="B4026" t="s">
        <v>12002</v>
      </c>
      <c r="C4026" t="s">
        <v>12003</v>
      </c>
      <c r="D4026" t="str">
        <f>HYPERLINK("https://github.com/Anuken/Mindustry/issues/6394","show")</f>
        <v>show</v>
      </c>
      <c r="E4026" t="str">
        <f>HYPERLINK("https://github.com/Anuken/Mindustry","show")</f>
        <v>show</v>
      </c>
      <c r="F4026" t="str">
        <f>HYPERLINK("https://github.com/Anuken/Mindustry/releases","show")</f>
        <v>show</v>
      </c>
    </row>
    <row r="4027" spans="1:6">
      <c r="A4027" t="s">
        <v>12004</v>
      </c>
      <c r="B4027" t="s">
        <v>12005</v>
      </c>
      <c r="C4027" t="s">
        <v>11069</v>
      </c>
      <c r="D4027" t="str">
        <f>HYPERLINK("https://github.com/TeamNewPipe/NewPipe/issues/7477","show")</f>
        <v>show</v>
      </c>
      <c r="E4027" t="str">
        <f>HYPERLINK("https://github.com/TeamNewPipe/NewPipe","show")</f>
        <v>show</v>
      </c>
      <c r="F4027" t="str">
        <f>HYPERLINK("https://github.com/TeamNewPipe/NewPipe/releases","show")</f>
        <v>show</v>
      </c>
    </row>
    <row r="4028" spans="1:6">
      <c r="A4028" t="s">
        <v>12006</v>
      </c>
      <c r="B4028" t="s">
        <v>12007</v>
      </c>
      <c r="C4028" t="s">
        <v>12008</v>
      </c>
      <c r="D4028" t="str">
        <f>HYPERLINK("https://github.com/nextcloud/android/issues/9407","show")</f>
        <v>show</v>
      </c>
      <c r="E4028" t="str">
        <f>HYPERLINK("https://github.com/nextcloud/android","show")</f>
        <v>show</v>
      </c>
      <c r="F4028" t="str">
        <f>HYPERLINK("https://github.com/nextcloud/android/releases","show")</f>
        <v>show</v>
      </c>
    </row>
    <row r="4029" spans="1:6">
      <c r="A4029" t="s">
        <v>12009</v>
      </c>
      <c r="B4029" t="s">
        <v>12010</v>
      </c>
      <c r="C4029" t="s">
        <v>12011</v>
      </c>
      <c r="D4029" t="str">
        <f>HYPERLINK("https://github.com/TeamNewPipe/NewPipe/issues/7470","show")</f>
        <v>show</v>
      </c>
      <c r="E4029" t="str">
        <f>HYPERLINK("https://github.com/TeamNewPipe/NewPipe","show")</f>
        <v>show</v>
      </c>
      <c r="F4029" t="str">
        <f>HYPERLINK("https://github.com/TeamNewPipe/NewPipe/releases","show")</f>
        <v>show</v>
      </c>
    </row>
    <row r="4030" spans="1:6">
      <c r="A4030" t="s">
        <v>12012</v>
      </c>
      <c r="B4030" t="s">
        <v>12013</v>
      </c>
      <c r="C4030" t="s">
        <v>12014</v>
      </c>
      <c r="D4030" t="str">
        <f>HYPERLINK("https://github.com/PojavLauncherTeam/PojavLauncher/issues/2307","show")</f>
        <v>show</v>
      </c>
      <c r="E4030" t="str">
        <f>HYPERLINK("https://github.com/PojavLauncherTeam/PojavLauncher","show")</f>
        <v>show</v>
      </c>
      <c r="F4030" t="str">
        <f>HYPERLINK("https://github.com/PojavLauncherTeam/PojavLauncher/releases","show")</f>
        <v>show</v>
      </c>
    </row>
    <row r="4031" spans="1:6">
      <c r="A4031" t="s">
        <v>12015</v>
      </c>
      <c r="B4031" t="s">
        <v>12016</v>
      </c>
      <c r="C4031" t="s">
        <v>12017</v>
      </c>
      <c r="D4031" t="str">
        <f>HYPERLINK("https://github.com/PojavLauncherTeam/PojavLauncher/issues/2306","show")</f>
        <v>show</v>
      </c>
      <c r="E4031" t="str">
        <f>HYPERLINK("https://github.com/PojavLauncherTeam/PojavLauncher","show")</f>
        <v>show</v>
      </c>
      <c r="F4031" t="str">
        <f>HYPERLINK("https://github.com/PojavLauncherTeam/PojavLauncher/releases","show")</f>
        <v>show</v>
      </c>
    </row>
    <row r="4032" spans="1:6">
      <c r="A4032" t="s">
        <v>12018</v>
      </c>
      <c r="B4032" t="s">
        <v>12019</v>
      </c>
      <c r="C4032" t="s">
        <v>12020</v>
      </c>
      <c r="D4032" t="str">
        <f>HYPERLINK("https://github.com/hzi-braunschweig/SORMAS-Project/issues/7398","show")</f>
        <v>show</v>
      </c>
      <c r="E4032" t="str">
        <f>HYPERLINK("https://github.com/hzi-braunschweig/SORMAS-Project","show")</f>
        <v>show</v>
      </c>
      <c r="F4032" t="str">
        <f>HYPERLINK("https://github.com/hzi-braunschweig/SORMAS-Project/releases","show")</f>
        <v>show</v>
      </c>
    </row>
    <row r="4033" spans="1:6">
      <c r="A4033" t="s">
        <v>12021</v>
      </c>
      <c r="B4033" t="s">
        <v>12022</v>
      </c>
      <c r="C4033" t="s">
        <v>12023</v>
      </c>
      <c r="D4033" t="str">
        <f>HYPERLINK("https://github.com/nextcloud/android/issues/9400","show")</f>
        <v>show</v>
      </c>
      <c r="E4033" t="str">
        <f>HYPERLINK("https://github.com/nextcloud/android","show")</f>
        <v>show</v>
      </c>
      <c r="F4033" t="str">
        <f>HYPERLINK("https://github.com/nextcloud/android/releases","show")</f>
        <v>show</v>
      </c>
    </row>
    <row r="4034" spans="1:6">
      <c r="A4034" t="s">
        <v>12024</v>
      </c>
      <c r="B4034" t="s">
        <v>12025</v>
      </c>
      <c r="C4034" t="s">
        <v>12026</v>
      </c>
      <c r="D4034" t="str">
        <f>HYPERLINK("https://github.com/Anuken/Mindustry/issues/6389","show")</f>
        <v>show</v>
      </c>
      <c r="E4034" t="str">
        <f>HYPERLINK("https://github.com/Anuken/Mindustry","show")</f>
        <v>show</v>
      </c>
      <c r="F4034" t="str">
        <f>HYPERLINK("https://github.com/Anuken/Mindustry/releases","show")</f>
        <v>show</v>
      </c>
    </row>
    <row r="4035" spans="1:6">
      <c r="A4035" t="s">
        <v>12027</v>
      </c>
      <c r="B4035" t="s">
        <v>12028</v>
      </c>
      <c r="C4035" t="s">
        <v>12029</v>
      </c>
      <c r="D4035" t="str">
        <f>HYPERLINK("https://github.com/deltachat/deltachat-android/issues/2156","show")</f>
        <v>show</v>
      </c>
      <c r="E4035" t="str">
        <f>HYPERLINK("https://github.com/deltachat/deltachat-android","show")</f>
        <v>show</v>
      </c>
      <c r="F4035" t="str">
        <f>HYPERLINK("https://github.com/deltachat/deltachat-android/releases","show")</f>
        <v>show</v>
      </c>
    </row>
    <row r="4036" spans="1:6">
      <c r="A4036" t="s">
        <v>12030</v>
      </c>
      <c r="B4036" t="s">
        <v>12031</v>
      </c>
      <c r="C4036" t="s">
        <v>12032</v>
      </c>
      <c r="D4036" t="str">
        <f>HYPERLINK("https://github.com/jzy3d/jogl/issues/9","show")</f>
        <v>show</v>
      </c>
      <c r="E4036" t="str">
        <f>HYPERLINK("https://github.com/jzy3d/jogl","show")</f>
        <v>show</v>
      </c>
      <c r="F4036" t="str">
        <f>HYPERLINK("https://github.com/jzy3d/jogl/releases","show")</f>
        <v>show</v>
      </c>
    </row>
    <row r="4037" spans="1:6">
      <c r="A4037" t="s">
        <v>12033</v>
      </c>
      <c r="B4037" t="s">
        <v>12034</v>
      </c>
      <c r="C4037" t="s">
        <v>12035</v>
      </c>
      <c r="D4037" t="str">
        <f>HYPERLINK("https://github.com/TeamNewPipe/NewPipe/issues/7463","show")</f>
        <v>show</v>
      </c>
      <c r="E4037" t="str">
        <f>HYPERLINK("https://github.com/TeamNewPipe/NewPipe","show")</f>
        <v>show</v>
      </c>
      <c r="F4037" t="str">
        <f>HYPERLINK("https://github.com/TeamNewPipe/NewPipe/releases","show")</f>
        <v>show</v>
      </c>
    </row>
    <row r="4038" spans="1:6">
      <c r="A4038" t="s">
        <v>12036</v>
      </c>
      <c r="B4038" t="s">
        <v>12037</v>
      </c>
      <c r="C4038" t="s">
        <v>12038</v>
      </c>
      <c r="D4038" t="str">
        <f>HYPERLINK("https://github.com/MuntashirAkon/AppManager/issues/638","show")</f>
        <v>show</v>
      </c>
      <c r="E4038" t="str">
        <f>HYPERLINK("https://github.com/MuntashirAkon/AppManager","show")</f>
        <v>show</v>
      </c>
      <c r="F4038" t="str">
        <f>HYPERLINK("https://github.com/MuntashirAkon/AppManager/releases","show")</f>
        <v>show</v>
      </c>
    </row>
    <row r="4039" spans="1:6">
      <c r="A4039" t="s">
        <v>12039</v>
      </c>
      <c r="B4039" t="s">
        <v>12040</v>
      </c>
      <c r="C4039" t="s">
        <v>12041</v>
      </c>
      <c r="D4039" t="str">
        <f>HYPERLINK("https://github.com/oliexdev/openScale/issues/803","show")</f>
        <v>show</v>
      </c>
      <c r="E4039" t="str">
        <f>HYPERLINK("https://github.com/oliexdev/openScale","show")</f>
        <v>show</v>
      </c>
      <c r="F4039" t="str">
        <f>HYPERLINK("https://github.com/oliexdev/openScale/releases","show")</f>
        <v>show</v>
      </c>
    </row>
    <row r="4040" spans="1:6">
      <c r="A4040" t="s">
        <v>12042</v>
      </c>
      <c r="B4040" t="s">
        <v>12043</v>
      </c>
      <c r="C4040" t="s">
        <v>12044</v>
      </c>
      <c r="D4040" t="str">
        <f>HYPERLINK("https://github.com/Neamar/KISS/issues/1839","show")</f>
        <v>show</v>
      </c>
      <c r="E4040" t="str">
        <f>HYPERLINK("https://github.com/Neamar/KISS","show")</f>
        <v>show</v>
      </c>
      <c r="F4040" t="str">
        <f>HYPERLINK("https://github.com/Neamar/KISS/releases","show")</f>
        <v>show</v>
      </c>
    </row>
    <row r="4041" spans="1:6">
      <c r="A4041" t="s">
        <v>12045</v>
      </c>
      <c r="B4041" t="s">
        <v>12046</v>
      </c>
      <c r="C4041" t="s">
        <v>12047</v>
      </c>
      <c r="D4041" t="str">
        <f>HYPERLINK("https://github.com/PojavLauncherTeam/PojavLauncher/issues/2298","show")</f>
        <v>show</v>
      </c>
      <c r="E4041" t="str">
        <f>HYPERLINK("https://github.com/PojavLauncherTeam/PojavLauncher","show")</f>
        <v>show</v>
      </c>
      <c r="F4041" t="str">
        <f>HYPERLINK("https://github.com/PojavLauncherTeam/PojavLauncher/releases","show")</f>
        <v>show</v>
      </c>
    </row>
    <row r="4042" spans="1:6">
      <c r="A4042" t="s">
        <v>12048</v>
      </c>
      <c r="B4042" t="s">
        <v>12049</v>
      </c>
      <c r="C4042" t="s">
        <v>12050</v>
      </c>
      <c r="D4042" t="str">
        <f>HYPERLINK("https://github.com/CMPUT301F21T23/HabitTracker/issues/191","show")</f>
        <v>show</v>
      </c>
      <c r="E4042" t="str">
        <f>HYPERLINK("https://github.com/CMPUT301F21T23/HabitTracker","show")</f>
        <v>show</v>
      </c>
      <c r="F4042" t="str">
        <f>HYPERLINK("https://github.com/CMPUT301F21T23/HabitTracker/releases","show")</f>
        <v>show</v>
      </c>
    </row>
    <row r="4043" spans="1:6">
      <c r="A4043" t="s">
        <v>12051</v>
      </c>
      <c r="B4043" t="s">
        <v>12052</v>
      </c>
      <c r="C4043" t="s">
        <v>12053</v>
      </c>
      <c r="D4043" t="str">
        <f>HYPERLINK("https://github.com/PojavLauncherTeam/PojavLauncher/issues/2297","show")</f>
        <v>show</v>
      </c>
      <c r="E4043" t="str">
        <f>HYPERLINK("https://github.com/PojavLauncherTeam/PojavLauncher","show")</f>
        <v>show</v>
      </c>
      <c r="F4043" t="str">
        <f>HYPERLINK("https://github.com/PojavLauncherTeam/PojavLauncher/releases","show")</f>
        <v>show</v>
      </c>
    </row>
    <row r="4044" spans="1:6">
      <c r="A4044" t="s">
        <v>12054</v>
      </c>
      <c r="B4044" t="s">
        <v>12055</v>
      </c>
      <c r="C4044" t="s">
        <v>12056</v>
      </c>
      <c r="D4044" t="str">
        <f>HYPERLINK("https://github.com/CMPUT301F21T09/BudgetProjectName/issues/279","show")</f>
        <v>show</v>
      </c>
      <c r="E4044" t="str">
        <f>HYPERLINK("https://github.com/CMPUT301F21T09/BudgetProjectName","show")</f>
        <v>show</v>
      </c>
      <c r="F4044" t="str">
        <f>HYPERLINK("https://github.com/CMPUT301F21T09/BudgetProjectName/releases","show")</f>
        <v>show</v>
      </c>
    </row>
    <row r="4045" spans="1:6">
      <c r="A4045" t="s">
        <v>12057</v>
      </c>
      <c r="B4045" t="s">
        <v>12058</v>
      </c>
      <c r="C4045" t="s">
        <v>12059</v>
      </c>
      <c r="D4045" t="str">
        <f>HYPERLINK("https://github.com/CMPUT301F21T23/HabitTracker/issues/188","show")</f>
        <v>show</v>
      </c>
      <c r="E4045" t="str">
        <f>HYPERLINK("https://github.com/CMPUT301F21T23/HabitTracker","show")</f>
        <v>show</v>
      </c>
      <c r="F4045" t="str">
        <f>HYPERLINK("https://github.com/CMPUT301F21T23/HabitTracker/releases","show")</f>
        <v>show</v>
      </c>
    </row>
    <row r="4046" spans="1:6">
      <c r="A4046" t="s">
        <v>12060</v>
      </c>
      <c r="B4046" t="s">
        <v>12061</v>
      </c>
      <c r="C4046" t="s">
        <v>12062</v>
      </c>
      <c r="D4046" t="str">
        <f>HYPERLINK("https://github.com/TeamNewPipe/NewPipe/issues/7460","show")</f>
        <v>show</v>
      </c>
      <c r="E4046" t="str">
        <f>HYPERLINK("https://github.com/TeamNewPipe/NewPipe","show")</f>
        <v>show</v>
      </c>
      <c r="F4046" t="str">
        <f>HYPERLINK("https://github.com/TeamNewPipe/NewPipe/releases","show")</f>
        <v>show</v>
      </c>
    </row>
    <row r="4047" spans="1:6">
      <c r="A4047" t="s">
        <v>12063</v>
      </c>
      <c r="B4047" t="s">
        <v>12064</v>
      </c>
      <c r="C4047" t="s">
        <v>12065</v>
      </c>
      <c r="D4047" t="str">
        <f>HYPERLINK("https://github.com/LawnchairLauncher/lawnchair/issues/2347","show")</f>
        <v>show</v>
      </c>
      <c r="E4047" t="str">
        <f>HYPERLINK("https://github.com/LawnchairLauncher/lawnchair","show")</f>
        <v>show</v>
      </c>
      <c r="F4047" t="str">
        <f>HYPERLINK("https://github.com/LawnchairLauncher/lawnchair/releases","show")</f>
        <v>show</v>
      </c>
    </row>
    <row r="4048" spans="1:6">
      <c r="A4048" t="s">
        <v>12066</v>
      </c>
      <c r="B4048" t="s">
        <v>12067</v>
      </c>
      <c r="C4048" t="s">
        <v>12068</v>
      </c>
      <c r="D4048" t="str">
        <f>HYPERLINK("https://github.com/nextcloud/android/issues/9388","show")</f>
        <v>show</v>
      </c>
      <c r="E4048" t="str">
        <f>HYPERLINK("https://github.com/nextcloud/android","show")</f>
        <v>show</v>
      </c>
      <c r="F4048" t="str">
        <f>HYPERLINK("https://github.com/nextcloud/android/releases","show")</f>
        <v>show</v>
      </c>
    </row>
    <row r="4049" spans="1:6">
      <c r="A4049" t="s">
        <v>12069</v>
      </c>
      <c r="B4049" t="s">
        <v>9922</v>
      </c>
      <c r="C4049" t="s">
        <v>12070</v>
      </c>
      <c r="D4049" t="str">
        <f>HYPERLINK("https://github.com/PojavLauncherTeam/PojavLauncher/issues/2292","show")</f>
        <v>show</v>
      </c>
      <c r="E4049" t="str">
        <f>HYPERLINK("https://github.com/PojavLauncherTeam/PojavLauncher","show")</f>
        <v>show</v>
      </c>
      <c r="F4049" t="str">
        <f>HYPERLINK("https://github.com/PojavLauncherTeam/PojavLauncher/releases","show")</f>
        <v>show</v>
      </c>
    </row>
    <row r="4050" spans="1:6">
      <c r="A4050" t="s">
        <v>12071</v>
      </c>
      <c r="B4050" t="s">
        <v>12072</v>
      </c>
      <c r="C4050" t="s">
        <v>12073</v>
      </c>
      <c r="D4050" t="str">
        <f>HYPERLINK("https://github.com/TeamNewPipe/NewPipe/issues/7454","show")</f>
        <v>show</v>
      </c>
      <c r="E4050" t="str">
        <f>HYPERLINK("https://github.com/TeamNewPipe/NewPipe","show")</f>
        <v>show</v>
      </c>
      <c r="F4050" t="str">
        <f>HYPERLINK("https://github.com/TeamNewPipe/NewPipe/releases","show")</f>
        <v>show</v>
      </c>
    </row>
    <row r="4051" spans="1:6">
      <c r="A4051" t="s">
        <v>12074</v>
      </c>
      <c r="B4051" t="s">
        <v>12075</v>
      </c>
      <c r="C4051" t="s">
        <v>12076</v>
      </c>
      <c r="D4051" t="str">
        <f>HYPERLINK("https://github.com/TeamNewPipe/NewPipe/issues/7452","show")</f>
        <v>show</v>
      </c>
      <c r="E4051" t="str">
        <f>HYPERLINK("https://github.com/TeamNewPipe/NewPipe","show")</f>
        <v>show</v>
      </c>
      <c r="F4051" t="str">
        <f>HYPERLINK("https://github.com/TeamNewPipe/NewPipe/releases","show")</f>
        <v>show</v>
      </c>
    </row>
    <row r="4052" spans="1:6">
      <c r="A4052" t="s">
        <v>12077</v>
      </c>
      <c r="B4052" t="s">
        <v>12078</v>
      </c>
      <c r="C4052" t="s">
        <v>12079</v>
      </c>
      <c r="D4052" t="str">
        <f>HYPERLINK("https://github.com/TeamNewPipe/NewPipe/issues/7450","show")</f>
        <v>show</v>
      </c>
      <c r="E4052" t="str">
        <f>HYPERLINK("https://github.com/TeamNewPipe/NewPipe","show")</f>
        <v>show</v>
      </c>
      <c r="F4052" t="str">
        <f>HYPERLINK("https://github.com/TeamNewPipe/NewPipe/releases","show")</f>
        <v>show</v>
      </c>
    </row>
    <row r="4053" spans="1:6">
      <c r="A4053" t="s">
        <v>12080</v>
      </c>
      <c r="B4053" t="s">
        <v>12081</v>
      </c>
      <c r="C4053" t="s">
        <v>12082</v>
      </c>
      <c r="D4053" t="str">
        <f>HYPERLINK("https://github.com/PojavLauncherTeam/PojavLauncher/issues/2286","show")</f>
        <v>show</v>
      </c>
      <c r="E4053" t="str">
        <f>HYPERLINK("https://github.com/PojavLauncherTeam/PojavLauncher","show")</f>
        <v>show</v>
      </c>
      <c r="F4053" t="str">
        <f>HYPERLINK("https://github.com/PojavLauncherTeam/PojavLauncher/releases","show")</f>
        <v>show</v>
      </c>
    </row>
    <row r="4054" spans="1:6">
      <c r="A4054" t="s">
        <v>12083</v>
      </c>
      <c r="B4054" t="s">
        <v>12084</v>
      </c>
      <c r="C4054" t="s">
        <v>12085</v>
      </c>
      <c r="D4054" t="str">
        <f>HYPERLINK("https://github.com/TeamNewPipe/NewPipe/issues/7447","show")</f>
        <v>show</v>
      </c>
      <c r="E4054" t="str">
        <f>HYPERLINK("https://github.com/TeamNewPipe/NewPipe","show")</f>
        <v>show</v>
      </c>
      <c r="F4054" t="str">
        <f>HYPERLINK("https://github.com/TeamNewPipe/NewPipe/releases","show")</f>
        <v>show</v>
      </c>
    </row>
    <row r="4055" spans="1:6">
      <c r="A4055" t="s">
        <v>12086</v>
      </c>
      <c r="B4055" t="s">
        <v>12087</v>
      </c>
      <c r="C4055" t="s">
        <v>12088</v>
      </c>
      <c r="D4055" t="str">
        <f>HYPERLINK("https://github.com/TeamNewPipe/NewPipe/issues/7446","show")</f>
        <v>show</v>
      </c>
      <c r="E4055" t="str">
        <f>HYPERLINK("https://github.com/TeamNewPipe/NewPipe","show")</f>
        <v>show</v>
      </c>
      <c r="F4055" t="str">
        <f>HYPERLINK("https://github.com/TeamNewPipe/NewPipe/releases","show")</f>
        <v>show</v>
      </c>
    </row>
    <row r="4056" spans="1:6">
      <c r="A4056" t="s">
        <v>12089</v>
      </c>
      <c r="B4056" t="s">
        <v>12090</v>
      </c>
      <c r="C4056" t="s">
        <v>12091</v>
      </c>
      <c r="D4056" t="str">
        <f>HYPERLINK("https://github.com/jellyfin/jellyfin-androidtv/issues/1269","show")</f>
        <v>show</v>
      </c>
      <c r="E4056" t="str">
        <f>HYPERLINK("https://github.com/jellyfin/jellyfin-androidtv","show")</f>
        <v>show</v>
      </c>
      <c r="F4056" t="str">
        <f>HYPERLINK("https://github.com/jellyfin/jellyfin-androidtv/releases","show")</f>
        <v>show</v>
      </c>
    </row>
    <row r="4057" spans="1:6">
      <c r="A4057" t="s">
        <v>12092</v>
      </c>
      <c r="B4057" t="s">
        <v>12093</v>
      </c>
      <c r="C4057" t="s">
        <v>12094</v>
      </c>
      <c r="D4057" t="str">
        <f>HYPERLINK("https://github.com/Anuken/Mindustry/issues/6381","show")</f>
        <v>show</v>
      </c>
      <c r="E4057" t="str">
        <f>HYPERLINK("https://github.com/Anuken/Mindustry","show")</f>
        <v>show</v>
      </c>
      <c r="F4057" t="str">
        <f>HYPERLINK("https://github.com/Anuken/Mindustry/releases","show")</f>
        <v>show</v>
      </c>
    </row>
    <row r="4058" spans="1:6">
      <c r="A4058" t="s">
        <v>12095</v>
      </c>
      <c r="B4058" t="s">
        <v>12096</v>
      </c>
      <c r="C4058" t="s">
        <v>12097</v>
      </c>
      <c r="D4058" t="str">
        <f>HYPERLINK("https://github.com/nextcloud/android/issues/9384","show")</f>
        <v>show</v>
      </c>
      <c r="E4058" t="str">
        <f>HYPERLINK("https://github.com/nextcloud/android","show")</f>
        <v>show</v>
      </c>
      <c r="F4058" t="str">
        <f>HYPERLINK("https://github.com/nextcloud/android/releases","show")</f>
        <v>show</v>
      </c>
    </row>
    <row r="4059" spans="1:6">
      <c r="A4059" t="s">
        <v>12098</v>
      </c>
      <c r="B4059" t="s">
        <v>12099</v>
      </c>
      <c r="C4059" t="s">
        <v>12100</v>
      </c>
      <c r="D4059" t="str">
        <f>HYPERLINK("https://github.com/hzi-braunschweig/SORMAS-Project/issues/7380","show")</f>
        <v>show</v>
      </c>
      <c r="E4059" t="str">
        <f>HYPERLINK("https://github.com/hzi-braunschweig/SORMAS-Project","show")</f>
        <v>show</v>
      </c>
      <c r="F4059" t="str">
        <f>HYPERLINK("https://github.com/hzi-braunschweig/SORMAS-Project/releases","show")</f>
        <v>show</v>
      </c>
    </row>
    <row r="4060" spans="1:6">
      <c r="A4060" t="s">
        <v>12101</v>
      </c>
      <c r="B4060" t="s">
        <v>12102</v>
      </c>
      <c r="C4060" t="s">
        <v>12103</v>
      </c>
      <c r="D4060" t="str">
        <f>HYPERLINK("https://github.com/TeamNewPipe/NewPipe/issues/7444","show")</f>
        <v>show</v>
      </c>
      <c r="E4060" t="str">
        <f>HYPERLINK("https://github.com/TeamNewPipe/NewPipe","show")</f>
        <v>show</v>
      </c>
      <c r="F4060" t="str">
        <f>HYPERLINK("https://github.com/TeamNewPipe/NewPipe/releases","show")</f>
        <v>show</v>
      </c>
    </row>
    <row r="4061" spans="1:6">
      <c r="A4061" t="s">
        <v>12104</v>
      </c>
      <c r="B4061" t="s">
        <v>12105</v>
      </c>
      <c r="C4061" t="s">
        <v>11069</v>
      </c>
      <c r="D4061" t="str">
        <f>HYPERLINK("https://github.com/TeamNewPipe/NewPipe/issues/7443","show")</f>
        <v>show</v>
      </c>
      <c r="E4061" t="str">
        <f>HYPERLINK("https://github.com/TeamNewPipe/NewPipe","show")</f>
        <v>show</v>
      </c>
      <c r="F4061" t="str">
        <f>HYPERLINK("https://github.com/TeamNewPipe/NewPipe/releases","show")</f>
        <v>show</v>
      </c>
    </row>
    <row r="4062" spans="1:6">
      <c r="A4062" t="s">
        <v>12106</v>
      </c>
      <c r="B4062" t="s">
        <v>12107</v>
      </c>
      <c r="C4062" t="s">
        <v>12108</v>
      </c>
      <c r="D4062" t="str">
        <f>HYPERLINK("https://github.com/Anuken/Mindustry/issues/6374","show")</f>
        <v>show</v>
      </c>
      <c r="E4062" t="str">
        <f>HYPERLINK("https://github.com/Anuken/Mindustry","show")</f>
        <v>show</v>
      </c>
      <c r="F4062" t="str">
        <f>HYPERLINK("https://github.com/Anuken/Mindustry/releases","show")</f>
        <v>show</v>
      </c>
    </row>
    <row r="4063" spans="1:6">
      <c r="A4063" t="s">
        <v>12109</v>
      </c>
      <c r="B4063" t="s">
        <v>12110</v>
      </c>
      <c r="C4063" t="s">
        <v>12111</v>
      </c>
      <c r="D4063" t="str">
        <f>HYPERLINK("https://github.com/MuntashirAkon/AppManager/issues/633","show")</f>
        <v>show</v>
      </c>
      <c r="E4063" t="str">
        <f>HYPERLINK("https://github.com/MuntashirAkon/AppManager","show")</f>
        <v>show</v>
      </c>
      <c r="F4063" t="str">
        <f>HYPERLINK("https://github.com/MuntashirAkon/AppManager/releases","show")</f>
        <v>show</v>
      </c>
    </row>
    <row r="4064" spans="1:6">
      <c r="A4064" t="s">
        <v>12112</v>
      </c>
      <c r="B4064" t="s">
        <v>12113</v>
      </c>
      <c r="C4064" t="s">
        <v>12114</v>
      </c>
      <c r="D4064" t="str">
        <f>HYPERLINK("https://github.com/Anuken/Mindustry/issues/6370","show")</f>
        <v>show</v>
      </c>
      <c r="E4064" t="str">
        <f>HYPERLINK("https://github.com/Anuken/Mindustry","show")</f>
        <v>show</v>
      </c>
      <c r="F4064" t="str">
        <f>HYPERLINK("https://github.com/Anuken/Mindustry/releases","show")</f>
        <v>show</v>
      </c>
    </row>
    <row r="4065" spans="1:6">
      <c r="A4065" t="s">
        <v>12115</v>
      </c>
      <c r="B4065" t="s">
        <v>12116</v>
      </c>
      <c r="C4065" t="s">
        <v>12117</v>
      </c>
      <c r="D4065" t="str">
        <f>HYPERLINK("https://github.com/OTTAA-Project/OTTAAProject/issues/109","show")</f>
        <v>show</v>
      </c>
      <c r="E4065" t="str">
        <f>HYPERLINK("https://github.com/OTTAA-Project/OTTAAProject","show")</f>
        <v>show</v>
      </c>
      <c r="F4065" t="str">
        <f>HYPERLINK("https://github.com/OTTAA-Project/OTTAAProject/releases","show")</f>
        <v>show</v>
      </c>
    </row>
    <row r="4066" spans="1:6">
      <c r="A4066" t="s">
        <v>12118</v>
      </c>
      <c r="B4066" t="s">
        <v>12119</v>
      </c>
      <c r="C4066" t="s">
        <v>12120</v>
      </c>
      <c r="D4066" t="str">
        <f>HYPERLINK("https://github.com/TeamNewPipe/NewPipe/issues/7441","show")</f>
        <v>show</v>
      </c>
      <c r="E4066" t="str">
        <f>HYPERLINK("https://github.com/TeamNewPipe/NewPipe","show")</f>
        <v>show</v>
      </c>
      <c r="F4066" t="str">
        <f>HYPERLINK("https://github.com/TeamNewPipe/NewPipe/releases","show")</f>
        <v>show</v>
      </c>
    </row>
    <row r="4067" spans="1:6">
      <c r="A4067" t="s">
        <v>12121</v>
      </c>
      <c r="B4067" t="s">
        <v>12122</v>
      </c>
      <c r="C4067" t="s">
        <v>12123</v>
      </c>
      <c r="D4067" t="str">
        <f>HYPERLINK("https://github.com/SceneView/react-native-sceneform/issues/5","show")</f>
        <v>show</v>
      </c>
      <c r="E4067" t="str">
        <f>HYPERLINK("https://github.com/SceneView/react-native-sceneform","show")</f>
        <v>show</v>
      </c>
      <c r="F4067" t="str">
        <f>HYPERLINK("https://github.com/SceneView/react-native-sceneform/releases","show")</f>
        <v>show</v>
      </c>
    </row>
    <row r="4068" spans="1:6">
      <c r="A4068" t="s">
        <v>12124</v>
      </c>
      <c r="B4068" t="s">
        <v>12125</v>
      </c>
      <c r="C4068" t="s">
        <v>12126</v>
      </c>
      <c r="D4068" t="str">
        <f>HYPERLINK("https://github.com/dedis/popstellar/issues/620","show")</f>
        <v>show</v>
      </c>
      <c r="E4068" t="str">
        <f>HYPERLINK("https://github.com/dedis/popstellar","show")</f>
        <v>show</v>
      </c>
      <c r="F4068" t="str">
        <f>HYPERLINK("https://github.com/dedis/popstellar/releases","show")</f>
        <v>show</v>
      </c>
    </row>
    <row r="4069" spans="1:6">
      <c r="A4069" t="s">
        <v>12127</v>
      </c>
      <c r="B4069" t="s">
        <v>12128</v>
      </c>
      <c r="C4069" t="s">
        <v>12129</v>
      </c>
      <c r="D4069" t="str">
        <f>HYPERLINK("https://github.com/brodeurlv/fastnfitness/issues/240","show")</f>
        <v>show</v>
      </c>
      <c r="E4069" t="str">
        <f>HYPERLINK("https://github.com/brodeurlv/fastnfitness","show")</f>
        <v>show</v>
      </c>
      <c r="F4069" t="str">
        <f>HYPERLINK("https://github.com/brodeurlv/fastnfitness/releases","show")</f>
        <v>show</v>
      </c>
    </row>
    <row r="4070" spans="1:6">
      <c r="A4070" t="s">
        <v>12130</v>
      </c>
      <c r="B4070" t="s">
        <v>12131</v>
      </c>
      <c r="C4070" t="s">
        <v>12132</v>
      </c>
      <c r="D4070" t="str">
        <f>HYPERLINK("https://github.com/nextcloud/android/issues/9353","show")</f>
        <v>show</v>
      </c>
      <c r="E4070" t="str">
        <f>HYPERLINK("https://github.com/nextcloud/android","show")</f>
        <v>show</v>
      </c>
      <c r="F4070" t="str">
        <f>HYPERLINK("https://github.com/nextcloud/android/releases","show")</f>
        <v>show</v>
      </c>
    </row>
    <row r="4071" spans="1:6">
      <c r="A4071" t="s">
        <v>12133</v>
      </c>
      <c r="B4071" t="s">
        <v>12134</v>
      </c>
      <c r="C4071" t="s">
        <v>12135</v>
      </c>
      <c r="D4071" t="str">
        <f>HYPERLINK("https://github.com/PojavLauncherTeam/PojavLauncher/issues/2275","show")</f>
        <v>show</v>
      </c>
      <c r="E4071" t="str">
        <f>HYPERLINK("https://github.com/PojavLauncherTeam/PojavLauncher","show")</f>
        <v>show</v>
      </c>
      <c r="F4071" t="str">
        <f>HYPERLINK("https://github.com/PojavLauncherTeam/PojavLauncher/releases","show")</f>
        <v>show</v>
      </c>
    </row>
    <row r="4072" spans="1:6">
      <c r="A4072" t="s">
        <v>12136</v>
      </c>
      <c r="B4072" t="s">
        <v>12137</v>
      </c>
      <c r="C4072" t="s">
        <v>12138</v>
      </c>
      <c r="D4072" t="str">
        <f>HYPERLINK("https://github.com/hzi-braunschweig/SORMAS-Project/issues/7354","show")</f>
        <v>show</v>
      </c>
      <c r="E4072" t="str">
        <f>HYPERLINK("https://github.com/hzi-braunschweig/SORMAS-Project","show")</f>
        <v>show</v>
      </c>
      <c r="F4072" t="str">
        <f>HYPERLINK("https://github.com/hzi-braunschweig/SORMAS-Project/releases","show")</f>
        <v>show</v>
      </c>
    </row>
    <row r="4073" spans="1:6">
      <c r="A4073" t="s">
        <v>12139</v>
      </c>
      <c r="B4073" t="s">
        <v>12140</v>
      </c>
      <c r="C4073" t="s">
        <v>12141</v>
      </c>
      <c r="D4073" t="str">
        <f>HYPERLINK("https://github.com/mI-PIV/app/issues/203","show")</f>
        <v>show</v>
      </c>
      <c r="E4073" t="str">
        <f>HYPERLINK("https://github.com/mI-PIV/app","show")</f>
        <v>show</v>
      </c>
      <c r="F4073" t="str">
        <f>HYPERLINK("https://github.com/mI-PIV/app/releases","show")</f>
        <v>show</v>
      </c>
    </row>
    <row r="4074" spans="1:6">
      <c r="A4074" t="s">
        <v>12142</v>
      </c>
      <c r="B4074" t="s">
        <v>12143</v>
      </c>
      <c r="C4074" t="s">
        <v>12144</v>
      </c>
      <c r="D4074" t="str">
        <f>HYPERLINK("https://github.com/hzi-braunschweig/SORMAS-Project/issues/7352","show")</f>
        <v>show</v>
      </c>
      <c r="E4074" t="str">
        <f>HYPERLINK("https://github.com/hzi-braunschweig/SORMAS-Project","show")</f>
        <v>show</v>
      </c>
      <c r="F4074" t="str">
        <f>HYPERLINK("https://github.com/hzi-braunschweig/SORMAS-Project/releases","show")</f>
        <v>show</v>
      </c>
    </row>
    <row r="4075" spans="1:6">
      <c r="A4075" t="s">
        <v>12145</v>
      </c>
      <c r="B4075" t="s">
        <v>12146</v>
      </c>
      <c r="C4075" t="s">
        <v>12147</v>
      </c>
      <c r="D4075" t="str">
        <f>HYPERLINK("https://github.com/dedis/popstellar/issues/616","show")</f>
        <v>show</v>
      </c>
      <c r="E4075" t="str">
        <f>HYPERLINK("https://github.com/dedis/popstellar","show")</f>
        <v>show</v>
      </c>
      <c r="F4075" t="str">
        <f>HYPERLINK("https://github.com/dedis/popstellar/releases","show")</f>
        <v>show</v>
      </c>
    </row>
    <row r="4076" spans="1:6">
      <c r="A4076" t="s">
        <v>12148</v>
      </c>
      <c r="B4076" t="s">
        <v>12149</v>
      </c>
      <c r="C4076" t="s">
        <v>12150</v>
      </c>
      <c r="D4076" t="str">
        <f>HYPERLINK("https://github.com/Rapsssito/react-native-background-actions/issues/113","show")</f>
        <v>show</v>
      </c>
      <c r="E4076" t="str">
        <f>HYPERLINK("https://github.com/Rapsssito/react-native-background-actions","show")</f>
        <v>show</v>
      </c>
      <c r="F4076" t="str">
        <f>HYPERLINK("https://github.com/Rapsssito/react-native-background-actions/releases","show")</f>
        <v>show</v>
      </c>
    </row>
    <row r="4077" spans="1:6">
      <c r="A4077" t="s">
        <v>12151</v>
      </c>
      <c r="B4077" t="s">
        <v>12152</v>
      </c>
      <c r="C4077" t="s">
        <v>12153</v>
      </c>
      <c r="D4077" t="str">
        <f>HYPERLINK("https://github.com/gluonhq/substrate/issues/1047","show")</f>
        <v>show</v>
      </c>
      <c r="E4077" t="str">
        <f>HYPERLINK("https://github.com/gluonhq/substrate","show")</f>
        <v>show</v>
      </c>
      <c r="F4077" t="str">
        <f>HYPERLINK("https://github.com/gluonhq/substrate/releases","show")</f>
        <v>show</v>
      </c>
    </row>
    <row r="4078" spans="1:6">
      <c r="A4078" t="s">
        <v>12154</v>
      </c>
      <c r="B4078" t="s">
        <v>12155</v>
      </c>
      <c r="C4078" t="s">
        <v>12156</v>
      </c>
      <c r="D4078" t="str">
        <f>HYPERLINK("https://github.com/SceneView/sceneform-android/issues/209","show")</f>
        <v>show</v>
      </c>
      <c r="E4078" t="str">
        <f>HYPERLINK("https://github.com/SceneView/sceneform-android","show")</f>
        <v>show</v>
      </c>
      <c r="F4078" t="str">
        <f>HYPERLINK("https://github.com/SceneView/sceneform-android/releases","show")</f>
        <v>show</v>
      </c>
    </row>
    <row r="4079" spans="1:6">
      <c r="A4079" t="s">
        <v>12157</v>
      </c>
      <c r="B4079" t="s">
        <v>12158</v>
      </c>
      <c r="C4079" t="s">
        <v>12159</v>
      </c>
      <c r="D4079" t="str">
        <f>HYPERLINK("https://github.com/inaturalist/iNaturalistAndroid/issues/1153","show")</f>
        <v>show</v>
      </c>
      <c r="E4079" t="str">
        <f>HYPERLINK("https://github.com/inaturalist/iNaturalistAndroid","show")</f>
        <v>show</v>
      </c>
      <c r="F4079" t="str">
        <f>HYPERLINK("https://github.com/inaturalist/iNaturalistAndroid/releases","show")</f>
        <v>show</v>
      </c>
    </row>
    <row r="4080" spans="1:6">
      <c r="A4080" t="s">
        <v>12160</v>
      </c>
      <c r="B4080" t="s">
        <v>12161</v>
      </c>
      <c r="C4080" t="s">
        <v>12162</v>
      </c>
      <c r="D4080" t="str">
        <f>HYPERLINK("https://github.com/MuntashirAkon/AppManager/issues/632","show")</f>
        <v>show</v>
      </c>
      <c r="E4080" t="str">
        <f>HYPERLINK("https://github.com/MuntashirAkon/AppManager","show")</f>
        <v>show</v>
      </c>
      <c r="F4080" t="str">
        <f>HYPERLINK("https://github.com/MuntashirAkon/AppManager/releases","show")</f>
        <v>show</v>
      </c>
    </row>
    <row r="4081" spans="1:6">
      <c r="A4081" t="s">
        <v>12163</v>
      </c>
      <c r="B4081" t="s">
        <v>12164</v>
      </c>
      <c r="C4081" t="s">
        <v>12165</v>
      </c>
      <c r="D4081" t="str">
        <f>HYPERLINK("https://github.com/PojavLauncherTeam/PojavLauncher/issues/2270","show")</f>
        <v>show</v>
      </c>
      <c r="E4081" t="str">
        <f>HYPERLINK("https://github.com/PojavLauncherTeam/PojavLauncher","show")</f>
        <v>show</v>
      </c>
      <c r="F4081" t="str">
        <f>HYPERLINK("https://github.com/PojavLauncherTeam/PojavLauncher/releases","show")</f>
        <v>show</v>
      </c>
    </row>
    <row r="4082" spans="1:6">
      <c r="A4082" t="s">
        <v>12166</v>
      </c>
      <c r="B4082" t="s">
        <v>12167</v>
      </c>
      <c r="C4082" t="s">
        <v>12168</v>
      </c>
      <c r="D4082" t="str">
        <f>HYPERLINK("https://github.com/didi/DoraemonKit/issues/949","show")</f>
        <v>show</v>
      </c>
      <c r="E4082" t="str">
        <f>HYPERLINK("https://github.com/didi/DoraemonKit","show")</f>
        <v>show</v>
      </c>
      <c r="F4082" t="str">
        <f>HYPERLINK("https://github.com/didi/DoraemonKit/releases","show")</f>
        <v>show</v>
      </c>
    </row>
    <row r="4083" spans="1:6">
      <c r="A4083" t="s">
        <v>12169</v>
      </c>
      <c r="B4083" t="s">
        <v>12170</v>
      </c>
      <c r="C4083" t="s">
        <v>12171</v>
      </c>
      <c r="D4083" t="str">
        <f>HYPERLINK("https://github.com/PojavLauncherTeam/PojavLauncher/issues/2263","show")</f>
        <v>show</v>
      </c>
      <c r="E4083" t="str">
        <f>HYPERLINK("https://github.com/PojavLauncherTeam/PojavLauncher","show")</f>
        <v>show</v>
      </c>
      <c r="F4083" t="str">
        <f>HYPERLINK("https://github.com/PojavLauncherTeam/PojavLauncher/releases","show")</f>
        <v>show</v>
      </c>
    </row>
    <row r="4084" spans="1:6">
      <c r="A4084" t="s">
        <v>12172</v>
      </c>
      <c r="B4084" t="s">
        <v>12173</v>
      </c>
      <c r="C4084" t="s">
        <v>12174</v>
      </c>
      <c r="D4084" t="str">
        <f>HYPERLINK("https://github.com/PojavLauncherTeam/PojavLauncher/issues/2261","show")</f>
        <v>show</v>
      </c>
      <c r="E4084" t="str">
        <f>HYPERLINK("https://github.com/PojavLauncherTeam/PojavLauncher","show")</f>
        <v>show</v>
      </c>
      <c r="F4084" t="str">
        <f>HYPERLINK("https://github.com/PojavLauncherTeam/PojavLauncher/releases","show")</f>
        <v>show</v>
      </c>
    </row>
    <row r="4085" spans="1:6">
      <c r="A4085" t="s">
        <v>12175</v>
      </c>
      <c r="B4085" t="s">
        <v>12176</v>
      </c>
      <c r="C4085" t="s">
        <v>12177</v>
      </c>
      <c r="D4085" t="str">
        <f>HYPERLINK("https://github.com/Anuken/Mindustry/issues/6351","show")</f>
        <v>show</v>
      </c>
      <c r="E4085" t="str">
        <f>HYPERLINK("https://github.com/Anuken/Mindustry","show")</f>
        <v>show</v>
      </c>
      <c r="F4085" t="str">
        <f>HYPERLINK("https://github.com/Anuken/Mindustry/releases","show")</f>
        <v>show</v>
      </c>
    </row>
    <row r="4086" spans="1:6">
      <c r="A4086" t="s">
        <v>12178</v>
      </c>
      <c r="B4086" t="s">
        <v>12179</v>
      </c>
      <c r="C4086" t="s">
        <v>12180</v>
      </c>
      <c r="D4086" t="str">
        <f>HYPERLINK("https://github.com/TeamNewPipe/NewPipe/issues/7427","show")</f>
        <v>show</v>
      </c>
      <c r="E4086" t="str">
        <f>HYPERLINK("https://github.com/TeamNewPipe/NewPipe","show")</f>
        <v>show</v>
      </c>
      <c r="F4086" t="str">
        <f>HYPERLINK("https://github.com/TeamNewPipe/NewPipe/releases","show")</f>
        <v>show</v>
      </c>
    </row>
    <row r="4087" spans="1:6">
      <c r="A4087" t="s">
        <v>12181</v>
      </c>
      <c r="B4087" t="s">
        <v>12182</v>
      </c>
      <c r="C4087" t="s">
        <v>12183</v>
      </c>
      <c r="D4087" t="str">
        <f>HYPERLINK("https://github.com/nextcloud/android/issues/9324","show")</f>
        <v>show</v>
      </c>
      <c r="E4087" t="str">
        <f>HYPERLINK("https://github.com/nextcloud/android","show")</f>
        <v>show</v>
      </c>
      <c r="F4087" t="str">
        <f>HYPERLINK("https://github.com/nextcloud/android/releases","show")</f>
        <v>show</v>
      </c>
    </row>
    <row r="4088" spans="1:6">
      <c r="A4088" t="s">
        <v>12184</v>
      </c>
      <c r="B4088" t="s">
        <v>12185</v>
      </c>
      <c r="C4088" t="s">
        <v>12186</v>
      </c>
      <c r="D4088" t="str">
        <f>HYPERLINK("https://github.com/inaturalist/iNaturalistAndroid/issues/1152","show")</f>
        <v>show</v>
      </c>
      <c r="E4088" t="str">
        <f>HYPERLINK("https://github.com/inaturalist/iNaturalistAndroid","show")</f>
        <v>show</v>
      </c>
      <c r="F4088" t="str">
        <f>HYPERLINK("https://github.com/inaturalist/iNaturalistAndroid/releases","show")</f>
        <v>show</v>
      </c>
    </row>
    <row r="4089" spans="1:6">
      <c r="A4089" t="s">
        <v>12187</v>
      </c>
      <c r="B4089" t="s">
        <v>12188</v>
      </c>
      <c r="C4089" t="s">
        <v>12189</v>
      </c>
      <c r="D4089" t="str">
        <f>HYPERLINK("https://github.com/PojavLauncherTeam/PojavLauncher/issues/2258","show")</f>
        <v>show</v>
      </c>
      <c r="E4089" t="str">
        <f>HYPERLINK("https://github.com/PojavLauncherTeam/PojavLauncher","show")</f>
        <v>show</v>
      </c>
      <c r="F4089" t="str">
        <f>HYPERLINK("https://github.com/PojavLauncherTeam/PojavLauncher/releases","show")</f>
        <v>show</v>
      </c>
    </row>
    <row r="4090" spans="1:6">
      <c r="A4090" t="s">
        <v>12190</v>
      </c>
      <c r="B4090" t="s">
        <v>12191</v>
      </c>
      <c r="C4090" t="s">
        <v>12192</v>
      </c>
      <c r="D4090" t="str">
        <f>HYPERLINK("https://github.com/MuntashirAkon/AppManager/issues/631","show")</f>
        <v>show</v>
      </c>
      <c r="E4090" t="str">
        <f>HYPERLINK("https://github.com/MuntashirAkon/AppManager","show")</f>
        <v>show</v>
      </c>
      <c r="F4090" t="str">
        <f>HYPERLINK("https://github.com/MuntashirAkon/AppManager/releases","show")</f>
        <v>show</v>
      </c>
    </row>
    <row r="4091" spans="1:6">
      <c r="A4091" t="s">
        <v>12193</v>
      </c>
      <c r="B4091" t="s">
        <v>12194</v>
      </c>
      <c r="C4091" t="s">
        <v>12195</v>
      </c>
      <c r="D4091" t="str">
        <f>HYPERLINK("https://github.com/TeamNewPipe/NewPipe/issues/7425","show")</f>
        <v>show</v>
      </c>
      <c r="E4091" t="str">
        <f>HYPERLINK("https://github.com/TeamNewPipe/NewPipe","show")</f>
        <v>show</v>
      </c>
      <c r="F4091" t="str">
        <f>HYPERLINK("https://github.com/TeamNewPipe/NewPipe/releases","show")</f>
        <v>show</v>
      </c>
    </row>
    <row r="4092" spans="1:6">
      <c r="A4092" t="s">
        <v>12196</v>
      </c>
      <c r="B4092" t="s">
        <v>12197</v>
      </c>
      <c r="C4092" t="s">
        <v>12198</v>
      </c>
      <c r="D4092" t="str">
        <f>HYPERLINK("https://github.com/TeamNewPipe/NewPipe/issues/7424","show")</f>
        <v>show</v>
      </c>
      <c r="E4092" t="str">
        <f>HYPERLINK("https://github.com/TeamNewPipe/NewPipe","show")</f>
        <v>show</v>
      </c>
      <c r="F4092" t="str">
        <f>HYPERLINK("https://github.com/TeamNewPipe/NewPipe/releases","show")</f>
        <v>show</v>
      </c>
    </row>
    <row r="4093" spans="1:6">
      <c r="A4093" t="s">
        <v>12199</v>
      </c>
      <c r="B4093" t="s">
        <v>12200</v>
      </c>
      <c r="C4093" t="s">
        <v>12201</v>
      </c>
      <c r="D4093" t="str">
        <f>HYPERLINK("https://github.com/mh-/corona-warn-companion-android/issues/133","show")</f>
        <v>show</v>
      </c>
      <c r="E4093" t="str">
        <f>HYPERLINK("https://github.com/mh-/corona-warn-companion-android","show")</f>
        <v>show</v>
      </c>
      <c r="F4093" t="str">
        <f>HYPERLINK("https://github.com/mh-/corona-warn-companion-android/releases","show")</f>
        <v>show</v>
      </c>
    </row>
    <row r="4094" spans="1:6">
      <c r="A4094" t="s">
        <v>12202</v>
      </c>
      <c r="B4094" t="s">
        <v>12203</v>
      </c>
      <c r="C4094" t="s">
        <v>12204</v>
      </c>
      <c r="D4094" t="str">
        <f>HYPERLINK("https://github.com/PojavLauncherTeam/PojavLauncher/issues/2256","show")</f>
        <v>show</v>
      </c>
      <c r="E4094" t="str">
        <f>HYPERLINK("https://github.com/PojavLauncherTeam/PojavLauncher","show")</f>
        <v>show</v>
      </c>
      <c r="F4094" t="str">
        <f>HYPERLINK("https://github.com/PojavLauncherTeam/PojavLauncher/releases","show")</f>
        <v>show</v>
      </c>
    </row>
    <row r="4095" spans="1:6">
      <c r="A4095" t="s">
        <v>12205</v>
      </c>
      <c r="B4095" t="s">
        <v>12206</v>
      </c>
      <c r="C4095" t="s">
        <v>12207</v>
      </c>
      <c r="D4095" t="str">
        <f>HYPERLINK("https://github.com/nextcloud/android/issues/9321","show")</f>
        <v>show</v>
      </c>
      <c r="E4095" t="str">
        <f>HYPERLINK("https://github.com/nextcloud/android","show")</f>
        <v>show</v>
      </c>
      <c r="F4095" t="str">
        <f>HYPERLINK("https://github.com/nextcloud/android/releases","show")</f>
        <v>show</v>
      </c>
    </row>
    <row r="4096" spans="1:6">
      <c r="A4096" t="s">
        <v>12208</v>
      </c>
      <c r="B4096" t="s">
        <v>12209</v>
      </c>
      <c r="C4096" t="s">
        <v>12210</v>
      </c>
      <c r="D4096" t="str">
        <f>HYPERLINK("https://github.com/btcontract/wallet/issues/112","show")</f>
        <v>show</v>
      </c>
      <c r="E4096" t="str">
        <f>HYPERLINK("https://github.com/btcontract/wallet","show")</f>
        <v>show</v>
      </c>
      <c r="F4096" t="str">
        <f>HYPERLINK("https://github.com/btcontract/wallet/releases","show")</f>
        <v>show</v>
      </c>
    </row>
    <row r="4097" spans="1:6">
      <c r="A4097" t="s">
        <v>12211</v>
      </c>
      <c r="B4097" t="s">
        <v>12212</v>
      </c>
      <c r="C4097" t="s">
        <v>12213</v>
      </c>
      <c r="D4097" t="str">
        <f>HYPERLINK("https://github.com/nextcloud/android/issues/9313","show")</f>
        <v>show</v>
      </c>
      <c r="E4097" t="str">
        <f>HYPERLINK("https://github.com/nextcloud/android","show")</f>
        <v>show</v>
      </c>
      <c r="F4097" t="str">
        <f>HYPERLINK("https://github.com/nextcloud/android/releases","show")</f>
        <v>show</v>
      </c>
    </row>
    <row r="4098" spans="1:6">
      <c r="A4098" t="s">
        <v>12214</v>
      </c>
      <c r="B4098" t="s">
        <v>12215</v>
      </c>
      <c r="C4098" t="s">
        <v>12216</v>
      </c>
      <c r="D4098" t="str">
        <f>HYPERLINK("https://github.com/OTTAA-Project/OTTAAProject/issues/106","show")</f>
        <v>show</v>
      </c>
      <c r="E4098" t="str">
        <f>HYPERLINK("https://github.com/OTTAA-Project/OTTAAProject","show")</f>
        <v>show</v>
      </c>
      <c r="F4098" t="str">
        <f>HYPERLINK("https://github.com/OTTAA-Project/OTTAAProject/releases","show")</f>
        <v>show</v>
      </c>
    </row>
    <row r="4099" spans="1:6">
      <c r="A4099" t="s">
        <v>12217</v>
      </c>
      <c r="B4099" t="s">
        <v>12218</v>
      </c>
      <c r="C4099" t="s">
        <v>12219</v>
      </c>
      <c r="D4099" t="str">
        <f>HYPERLINK("https://github.com/PojavLauncherTeam/PojavLauncher/issues/2254","show")</f>
        <v>show</v>
      </c>
      <c r="E4099" t="str">
        <f>HYPERLINK("https://github.com/PojavLauncherTeam/PojavLauncher","show")</f>
        <v>show</v>
      </c>
      <c r="F4099" t="str">
        <f>HYPERLINK("https://github.com/PojavLauncherTeam/PojavLauncher/releases","show")</f>
        <v>show</v>
      </c>
    </row>
    <row r="4100" spans="1:6">
      <c r="A4100" t="s">
        <v>12220</v>
      </c>
      <c r="B4100" t="s">
        <v>12221</v>
      </c>
      <c r="C4100" t="s">
        <v>12222</v>
      </c>
      <c r="D4100" t="str">
        <f>HYPERLINK("https://github.com/OTTAA-Project/OTTAAProject/issues/104","show")</f>
        <v>show</v>
      </c>
      <c r="E4100" t="str">
        <f>HYPERLINK("https://github.com/OTTAA-Project/OTTAAProject","show")</f>
        <v>show</v>
      </c>
      <c r="F4100" t="str">
        <f>HYPERLINK("https://github.com/OTTAA-Project/OTTAAProject/releases","show")</f>
        <v>show</v>
      </c>
    </row>
    <row r="4101" spans="1:6">
      <c r="A4101" t="s">
        <v>12223</v>
      </c>
      <c r="B4101" t="s">
        <v>12224</v>
      </c>
      <c r="C4101" t="s">
        <v>12225</v>
      </c>
      <c r="D4101" t="str">
        <f>HYPERLINK("https://github.com/SmartPack/SmartPack-Kernel-Manager/issues/116","show")</f>
        <v>show</v>
      </c>
      <c r="E4101" t="str">
        <f>HYPERLINK("https://github.com/SmartPack/SmartPack-Kernel-Manager","show")</f>
        <v>show</v>
      </c>
      <c r="F4101" t="str">
        <f>HYPERLINK("https://github.com/SmartPack/SmartPack-Kernel-Manager/releases","show")</f>
        <v>show</v>
      </c>
    </row>
    <row r="4102" spans="1:6">
      <c r="A4102" t="s">
        <v>12226</v>
      </c>
      <c r="B4102" t="s">
        <v>12227</v>
      </c>
      <c r="C4102" t="s">
        <v>12228</v>
      </c>
      <c r="D4102" t="str">
        <f>HYPERLINK("https://github.com/ankidroid/Anki-Android/issues/9914","show")</f>
        <v>show</v>
      </c>
      <c r="E4102" t="str">
        <f>HYPERLINK("https://github.com/ankidroid/Anki-Android","show")</f>
        <v>show</v>
      </c>
      <c r="F4102" t="str">
        <f>HYPERLINK("https://github.com/ankidroid/Anki-Android/releases","show")</f>
        <v>show</v>
      </c>
    </row>
    <row r="4103" spans="1:6">
      <c r="A4103" t="s">
        <v>12229</v>
      </c>
      <c r="B4103" t="s">
        <v>12230</v>
      </c>
      <c r="C4103" t="s">
        <v>12231</v>
      </c>
      <c r="D4103" t="str">
        <f>HYPERLINK("https://github.com/jreese14/2021-fall-cs160-black-widow/issues/41","show")</f>
        <v>show</v>
      </c>
      <c r="E4103" t="str">
        <f>HYPERLINK("https://github.com/jreese14/2021-fall-cs160-black-widow","show")</f>
        <v>show</v>
      </c>
      <c r="F4103" t="str">
        <f>HYPERLINK("https://github.com/jreese14/2021-fall-cs160-black-widow/releases","show")</f>
        <v>show</v>
      </c>
    </row>
    <row r="4104" spans="1:6">
      <c r="A4104" t="s">
        <v>12232</v>
      </c>
      <c r="B4104" t="s">
        <v>12233</v>
      </c>
      <c r="C4104" t="s">
        <v>12234</v>
      </c>
      <c r="D4104" t="str">
        <f>HYPERLINK("https://github.com/cgeo/cgeo/issues/12127","show")</f>
        <v>show</v>
      </c>
      <c r="E4104" t="str">
        <f>HYPERLINK("https://github.com/cgeo/cgeo","show")</f>
        <v>show</v>
      </c>
      <c r="F4104" t="str">
        <f>HYPERLINK("https://github.com/cgeo/cgeo/releases","show")</f>
        <v>show</v>
      </c>
    </row>
    <row r="4105" spans="1:6">
      <c r="A4105" t="s">
        <v>12235</v>
      </c>
      <c r="B4105" t="s">
        <v>12236</v>
      </c>
      <c r="C4105" t="s">
        <v>12237</v>
      </c>
      <c r="D4105" t="str">
        <f>HYPERLINK("https://github.com/TeamNewPipe/NewPipe/issues/7416","show")</f>
        <v>show</v>
      </c>
      <c r="E4105" t="str">
        <f>HYPERLINK("https://github.com/TeamNewPipe/NewPipe","show")</f>
        <v>show</v>
      </c>
      <c r="F4105" t="str">
        <f>HYPERLINK("https://github.com/TeamNewPipe/NewPipe/releases","show")</f>
        <v>show</v>
      </c>
    </row>
    <row r="4106" spans="1:6">
      <c r="A4106" t="s">
        <v>12238</v>
      </c>
      <c r="B4106" t="s">
        <v>12239</v>
      </c>
      <c r="C4106" t="s">
        <v>12240</v>
      </c>
      <c r="D4106" t="str">
        <f>HYPERLINK("https://github.com/inaturalist/iNaturalistAndroid/issues/1151","show")</f>
        <v>show</v>
      </c>
      <c r="E4106" t="str">
        <f>HYPERLINK("https://github.com/inaturalist/iNaturalistAndroid","show")</f>
        <v>show</v>
      </c>
      <c r="F4106" t="str">
        <f>HYPERLINK("https://github.com/inaturalist/iNaturalistAndroid/releases","show")</f>
        <v>show</v>
      </c>
    </row>
    <row r="4107" spans="1:6">
      <c r="A4107" t="s">
        <v>12241</v>
      </c>
      <c r="B4107" t="s">
        <v>12242</v>
      </c>
      <c r="C4107" t="s">
        <v>12243</v>
      </c>
      <c r="D4107" t="str">
        <f>HYPERLINK("https://github.com/inaturalist/iNaturalistAndroid/issues/1150","show")</f>
        <v>show</v>
      </c>
      <c r="E4107" t="str">
        <f>HYPERLINK("https://github.com/inaturalist/iNaturalistAndroid","show")</f>
        <v>show</v>
      </c>
      <c r="F4107" t="str">
        <f>HYPERLINK("https://github.com/inaturalist/iNaturalistAndroid/releases","show")</f>
        <v>show</v>
      </c>
    </row>
    <row r="4108" spans="1:6">
      <c r="A4108" t="s">
        <v>12244</v>
      </c>
      <c r="B4108" t="s">
        <v>12245</v>
      </c>
      <c r="C4108" t="s">
        <v>12246</v>
      </c>
      <c r="D4108" t="str">
        <f>HYPERLINK("https://github.com/google/gson/issues/2020","show")</f>
        <v>show</v>
      </c>
      <c r="E4108" t="str">
        <f>HYPERLINK("https://github.com/google/gson","show")</f>
        <v>show</v>
      </c>
      <c r="F4108" t="str">
        <f>HYPERLINK("https://github.com/google/gson/releases","show")</f>
        <v>show</v>
      </c>
    </row>
    <row r="4109" spans="1:6">
      <c r="A4109" t="s">
        <v>12247</v>
      </c>
      <c r="B4109" t="s">
        <v>12248</v>
      </c>
      <c r="C4109" t="s">
        <v>12249</v>
      </c>
      <c r="D4109" t="str">
        <f>HYPERLINK("https://github.com/nextcloud/android/issues/9282","show")</f>
        <v>show</v>
      </c>
      <c r="E4109" t="str">
        <f>HYPERLINK("https://github.com/nextcloud/android","show")</f>
        <v>show</v>
      </c>
      <c r="F4109" t="str">
        <f>HYPERLINK("https://github.com/nextcloud/android/releases","show")</f>
        <v>show</v>
      </c>
    </row>
    <row r="4110" spans="1:6">
      <c r="A4110" t="s">
        <v>12250</v>
      </c>
      <c r="B4110" t="s">
        <v>12251</v>
      </c>
      <c r="C4110" t="s">
        <v>12252</v>
      </c>
      <c r="D4110" t="str">
        <f>HYPERLINK("https://github.com/MuntashirAkon/AppManager/issues/629","show")</f>
        <v>show</v>
      </c>
      <c r="E4110" t="str">
        <f>HYPERLINK("https://github.com/MuntashirAkon/AppManager","show")</f>
        <v>show</v>
      </c>
      <c r="F4110" t="str">
        <f>HYPERLINK("https://github.com/MuntashirAkon/AppManager/releases","show")</f>
        <v>show</v>
      </c>
    </row>
    <row r="4111" spans="1:6">
      <c r="A4111" t="s">
        <v>12253</v>
      </c>
      <c r="B4111" t="s">
        <v>12251</v>
      </c>
      <c r="C4111" t="s">
        <v>12252</v>
      </c>
      <c r="D4111" t="str">
        <f>HYPERLINK("https://github.com/MuntashirAkon/AppManager/issues/628","show")</f>
        <v>show</v>
      </c>
      <c r="E4111" t="str">
        <f>HYPERLINK("https://github.com/MuntashirAkon/AppManager","show")</f>
        <v>show</v>
      </c>
      <c r="F4111" t="str">
        <f>HYPERLINK("https://github.com/MuntashirAkon/AppManager/releases","show")</f>
        <v>show</v>
      </c>
    </row>
    <row r="4112" spans="1:6">
      <c r="A4112" t="s">
        <v>12254</v>
      </c>
      <c r="B4112" t="s">
        <v>12251</v>
      </c>
      <c r="C4112" t="s">
        <v>12252</v>
      </c>
      <c r="D4112" t="str">
        <f>HYPERLINK("https://github.com/MuntashirAkon/AppManager/issues/627","show")</f>
        <v>show</v>
      </c>
      <c r="E4112" t="str">
        <f>HYPERLINK("https://github.com/MuntashirAkon/AppManager","show")</f>
        <v>show</v>
      </c>
      <c r="F4112" t="str">
        <f>HYPERLINK("https://github.com/MuntashirAkon/AppManager/releases","show")</f>
        <v>show</v>
      </c>
    </row>
    <row r="4113" spans="1:6">
      <c r="A4113" t="s">
        <v>12255</v>
      </c>
      <c r="B4113" t="s">
        <v>12256</v>
      </c>
      <c r="C4113" t="s">
        <v>12257</v>
      </c>
      <c r="D4113" t="str">
        <f>HYPERLINK("https://github.com/google/ExoPlayer/issues/9696","show")</f>
        <v>show</v>
      </c>
      <c r="E4113" t="str">
        <f>HYPERLINK("https://github.com/google/ExoPlayer","show")</f>
        <v>show</v>
      </c>
      <c r="F4113" t="str">
        <f>HYPERLINK("https://github.com/google/ExoPlayer/releases","show")</f>
        <v>show</v>
      </c>
    </row>
    <row r="4114" spans="1:6">
      <c r="A4114" t="s">
        <v>12258</v>
      </c>
      <c r="B4114" t="s">
        <v>12259</v>
      </c>
      <c r="C4114" t="s">
        <v>12260</v>
      </c>
      <c r="D4114" t="str">
        <f>HYPERLINK("https://github.com/google/ExoPlayer/issues/9695","show")</f>
        <v>show</v>
      </c>
      <c r="E4114" t="str">
        <f>HYPERLINK("https://github.com/google/ExoPlayer","show")</f>
        <v>show</v>
      </c>
      <c r="F4114" t="str">
        <f>HYPERLINK("https://github.com/google/ExoPlayer/releases","show")</f>
        <v>show</v>
      </c>
    </row>
    <row r="4115" spans="1:6">
      <c r="A4115" t="s">
        <v>12261</v>
      </c>
      <c r="B4115" t="s">
        <v>10679</v>
      </c>
      <c r="C4115" t="s">
        <v>12262</v>
      </c>
      <c r="D4115" t="str">
        <f>HYPERLINK("https://github.com/inaturalist/iNaturalistAndroid/issues/1149","show")</f>
        <v>show</v>
      </c>
      <c r="E4115" t="str">
        <f>HYPERLINK("https://github.com/inaturalist/iNaturalistAndroid","show")</f>
        <v>show</v>
      </c>
      <c r="F4115" t="str">
        <f>HYPERLINK("https://github.com/inaturalist/iNaturalistAndroid/releases","show")</f>
        <v>show</v>
      </c>
    </row>
    <row r="4116" spans="1:6">
      <c r="A4116" t="s">
        <v>12263</v>
      </c>
      <c r="B4116" t="s">
        <v>12264</v>
      </c>
      <c r="C4116" t="s">
        <v>12265</v>
      </c>
      <c r="D4116" t="str">
        <f>HYPERLINK("https://github.com/inaturalist/iNaturalistAndroid/issues/1148","show")</f>
        <v>show</v>
      </c>
      <c r="E4116" t="str">
        <f>HYPERLINK("https://github.com/inaturalist/iNaturalistAndroid","show")</f>
        <v>show</v>
      </c>
      <c r="F4116" t="str">
        <f>HYPERLINK("https://github.com/inaturalist/iNaturalistAndroid/releases","show")</f>
        <v>show</v>
      </c>
    </row>
    <row r="4117" spans="1:6">
      <c r="A4117" t="s">
        <v>12266</v>
      </c>
      <c r="B4117" t="s">
        <v>12267</v>
      </c>
      <c r="C4117" t="s">
        <v>12268</v>
      </c>
      <c r="D4117" t="str">
        <f>HYPERLINK("https://github.com/inaturalist/iNaturalistAndroid/issues/1147","show")</f>
        <v>show</v>
      </c>
      <c r="E4117" t="str">
        <f>HYPERLINK("https://github.com/inaturalist/iNaturalistAndroid","show")</f>
        <v>show</v>
      </c>
      <c r="F4117" t="str">
        <f>HYPERLINK("https://github.com/inaturalist/iNaturalistAndroid/releases","show")</f>
        <v>show</v>
      </c>
    </row>
    <row r="4118" spans="1:6">
      <c r="A4118" t="s">
        <v>12269</v>
      </c>
      <c r="B4118" t="s">
        <v>12270</v>
      </c>
      <c r="C4118" t="s">
        <v>12271</v>
      </c>
      <c r="D4118" t="str">
        <f>HYPERLINK("https://github.com/inaturalist/iNaturalistAndroid/issues/1146","show")</f>
        <v>show</v>
      </c>
      <c r="E4118" t="str">
        <f>HYPERLINK("https://github.com/inaturalist/iNaturalistAndroid","show")</f>
        <v>show</v>
      </c>
      <c r="F4118" t="str">
        <f>HYPERLINK("https://github.com/inaturalist/iNaturalistAndroid/releases","show")</f>
        <v>show</v>
      </c>
    </row>
    <row r="4119" spans="1:6">
      <c r="A4119" t="s">
        <v>12272</v>
      </c>
      <c r="B4119" t="s">
        <v>12273</v>
      </c>
      <c r="C4119" t="s">
        <v>12274</v>
      </c>
      <c r="D4119" t="str">
        <f>HYPERLINK("https://github.com/PojavLauncherTeam/PojavLauncher/issues/2247","show")</f>
        <v>show</v>
      </c>
      <c r="E4119" t="str">
        <f>HYPERLINK("https://github.com/PojavLauncherTeam/PojavLauncher","show")</f>
        <v>show</v>
      </c>
      <c r="F4119" t="str">
        <f>HYPERLINK("https://github.com/PojavLauncherTeam/PojavLauncher/releases","show")</f>
        <v>show</v>
      </c>
    </row>
    <row r="4120" spans="1:6">
      <c r="A4120" t="s">
        <v>12275</v>
      </c>
      <c r="B4120" t="s">
        <v>12276</v>
      </c>
      <c r="C4120" t="s">
        <v>12277</v>
      </c>
      <c r="D4120" t="str">
        <f>HYPERLINK("https://github.com/PojavLauncherTeam/PojavLauncher/issues/2244","show")</f>
        <v>show</v>
      </c>
      <c r="E4120" t="str">
        <f>HYPERLINK("https://github.com/PojavLauncherTeam/PojavLauncher","show")</f>
        <v>show</v>
      </c>
      <c r="F4120" t="str">
        <f>HYPERLINK("https://github.com/PojavLauncherTeam/PojavLauncher/releases","show")</f>
        <v>show</v>
      </c>
    </row>
    <row r="4121" spans="1:6">
      <c r="A4121" t="s">
        <v>12278</v>
      </c>
      <c r="B4121" t="s">
        <v>12279</v>
      </c>
      <c r="C4121" t="s">
        <v>12280</v>
      </c>
      <c r="D4121" t="str">
        <f>HYPERLINK("https://github.com/ViroCommunity/viro/issues/61","show")</f>
        <v>show</v>
      </c>
      <c r="E4121" t="str">
        <f>HYPERLINK("https://github.com/ViroCommunity/viro","show")</f>
        <v>show</v>
      </c>
      <c r="F4121" t="str">
        <f>HYPERLINK("https://github.com/ViroCommunity/viro/releases","show")</f>
        <v>show</v>
      </c>
    </row>
    <row r="4122" spans="1:6">
      <c r="A4122" t="s">
        <v>12281</v>
      </c>
      <c r="B4122" t="s">
        <v>12282</v>
      </c>
      <c r="C4122" t="s">
        <v>12283</v>
      </c>
      <c r="D4122" t="str">
        <f>HYPERLINK("https://github.com/TeamNewPipe/NewPipe/issues/7409","show")</f>
        <v>show</v>
      </c>
      <c r="E4122" t="str">
        <f>HYPERLINK("https://github.com/TeamNewPipe/NewPipe","show")</f>
        <v>show</v>
      </c>
      <c r="F4122" t="str">
        <f>HYPERLINK("https://github.com/TeamNewPipe/NewPipe/releases","show")</f>
        <v>show</v>
      </c>
    </row>
    <row r="4123" spans="1:6">
      <c r="A4123" t="s">
        <v>12284</v>
      </c>
      <c r="B4123" t="s">
        <v>12285</v>
      </c>
      <c r="C4123" t="s">
        <v>12286</v>
      </c>
      <c r="D4123" t="str">
        <f>HYPERLINK("https://github.com/PojavLauncherTeam/PojavLauncher/issues/2241","show")</f>
        <v>show</v>
      </c>
      <c r="E4123" t="str">
        <f>HYPERLINK("https://github.com/PojavLauncherTeam/PojavLauncher","show")</f>
        <v>show</v>
      </c>
      <c r="F4123" t="str">
        <f>HYPERLINK("https://github.com/PojavLauncherTeam/PojavLauncher/releases","show")</f>
        <v>show</v>
      </c>
    </row>
    <row r="4124" spans="1:6">
      <c r="A4124" t="s">
        <v>12287</v>
      </c>
      <c r="B4124" t="s">
        <v>12288</v>
      </c>
      <c r="C4124" t="s">
        <v>12289</v>
      </c>
      <c r="D4124" t="str">
        <f>HYPERLINK("https://github.com/nextcloud/android/issues/9263","show")</f>
        <v>show</v>
      </c>
      <c r="E4124" t="str">
        <f>HYPERLINK("https://github.com/nextcloud/android","show")</f>
        <v>show</v>
      </c>
      <c r="F4124" t="str">
        <f>HYPERLINK("https://github.com/nextcloud/android/releases","show")</f>
        <v>show</v>
      </c>
    </row>
    <row r="4125" spans="1:6">
      <c r="A4125" t="s">
        <v>12290</v>
      </c>
      <c r="B4125" t="s">
        <v>12291</v>
      </c>
      <c r="C4125" t="s">
        <v>11122</v>
      </c>
      <c r="D4125" t="str">
        <f>HYPERLINK("https://github.com/Anuken/Mindustry/issues/6335","show")</f>
        <v>show</v>
      </c>
      <c r="E4125" t="str">
        <f>HYPERLINK("https://github.com/Anuken/Mindustry","show")</f>
        <v>show</v>
      </c>
      <c r="F4125" t="str">
        <f>HYPERLINK("https://github.com/Anuken/Mindustry/releases","show")</f>
        <v>show</v>
      </c>
    </row>
    <row r="4126" spans="1:6">
      <c r="A4126" t="s">
        <v>12292</v>
      </c>
      <c r="B4126" t="s">
        <v>12293</v>
      </c>
      <c r="C4126" t="s">
        <v>12294</v>
      </c>
      <c r="D4126" t="str">
        <f>HYPERLINK("https://github.com/oliexdev/openScale/issues/791","show")</f>
        <v>show</v>
      </c>
      <c r="E4126" t="str">
        <f>HYPERLINK("https://github.com/oliexdev/openScale","show")</f>
        <v>show</v>
      </c>
      <c r="F4126" t="str">
        <f>HYPERLINK("https://github.com/oliexdev/openScale/releases","show")</f>
        <v>show</v>
      </c>
    </row>
    <row r="4127" spans="1:6">
      <c r="A4127" t="s">
        <v>12295</v>
      </c>
      <c r="B4127" t="s">
        <v>12296</v>
      </c>
      <c r="C4127" t="s">
        <v>12297</v>
      </c>
      <c r="D4127" t="str">
        <f>HYPERLINK("https://github.com/TeamNewPipe/NewPipe/issues/7404","show")</f>
        <v>show</v>
      </c>
      <c r="E4127" t="str">
        <f>HYPERLINK("https://github.com/TeamNewPipe/NewPipe","show")</f>
        <v>show</v>
      </c>
      <c r="F4127" t="str">
        <f>HYPERLINK("https://github.com/TeamNewPipe/NewPipe/releases","show")</f>
        <v>show</v>
      </c>
    </row>
    <row r="4128" spans="1:6">
      <c r="A4128" t="s">
        <v>12298</v>
      </c>
      <c r="B4128" t="s">
        <v>12299</v>
      </c>
      <c r="C4128" t="s">
        <v>12300</v>
      </c>
      <c r="D4128" t="str">
        <f>HYPERLINK("https://github.com/iNPUTmice/lttrs-android/issues/128","show")</f>
        <v>show</v>
      </c>
      <c r="E4128" t="str">
        <f>HYPERLINK("https://github.com/iNPUTmice/lttrs-android","show")</f>
        <v>show</v>
      </c>
      <c r="F4128" t="str">
        <f>HYPERLINK("https://github.com/iNPUTmice/lttrs-android/releases","show")</f>
        <v>show</v>
      </c>
    </row>
    <row r="4129" spans="1:6">
      <c r="A4129" t="s">
        <v>12301</v>
      </c>
      <c r="B4129" t="s">
        <v>12302</v>
      </c>
      <c r="C4129" t="s">
        <v>12303</v>
      </c>
      <c r="D4129" t="str">
        <f>HYPERLINK("https://github.com/Anuken/Mindustry/issues/6333","show")</f>
        <v>show</v>
      </c>
      <c r="E4129" t="str">
        <f>HYPERLINK("https://github.com/Anuken/Mindustry","show")</f>
        <v>show</v>
      </c>
      <c r="F4129" t="str">
        <f>HYPERLINK("https://github.com/Anuken/Mindustry/releases","show")</f>
        <v>show</v>
      </c>
    </row>
    <row r="4130" spans="1:6">
      <c r="A4130" t="s">
        <v>12304</v>
      </c>
      <c r="B4130" t="s">
        <v>12305</v>
      </c>
      <c r="C4130" t="s">
        <v>12306</v>
      </c>
      <c r="D4130" t="str">
        <f>HYPERLINK("https://github.com/TeamNewPipe/NewPipe/issues/7401","show")</f>
        <v>show</v>
      </c>
      <c r="E4130" t="str">
        <f>HYPERLINK("https://github.com/TeamNewPipe/NewPipe","show")</f>
        <v>show</v>
      </c>
      <c r="F4130" t="str">
        <f>HYPERLINK("https://github.com/TeamNewPipe/NewPipe/releases","show")</f>
        <v>show</v>
      </c>
    </row>
    <row r="4131" spans="1:6">
      <c r="A4131" t="s">
        <v>12307</v>
      </c>
      <c r="B4131" t="s">
        <v>12308</v>
      </c>
      <c r="C4131" t="s">
        <v>12309</v>
      </c>
      <c r="D4131" t="str">
        <f>HYPERLINK("https://github.com/PojavLauncherTeam/PojavLauncher/issues/2234","show")</f>
        <v>show</v>
      </c>
      <c r="E4131" t="str">
        <f>HYPERLINK("https://github.com/PojavLauncherTeam/PojavLauncher","show")</f>
        <v>show</v>
      </c>
      <c r="F4131" t="str">
        <f>HYPERLINK("https://github.com/PojavLauncherTeam/PojavLauncher/releases","show")</f>
        <v>show</v>
      </c>
    </row>
    <row r="4132" spans="1:6">
      <c r="A4132" t="s">
        <v>12310</v>
      </c>
      <c r="B4132" t="s">
        <v>12311</v>
      </c>
      <c r="C4132" t="s">
        <v>12312</v>
      </c>
      <c r="D4132" t="str">
        <f>HYPERLINK("https://github.com/inaturalist/iNaturalistAndroid/issues/1145","show")</f>
        <v>show</v>
      </c>
      <c r="E4132" t="str">
        <f>HYPERLINK("https://github.com/inaturalist/iNaturalistAndroid","show")</f>
        <v>show</v>
      </c>
      <c r="F4132" t="str">
        <f>HYPERLINK("https://github.com/inaturalist/iNaturalistAndroid/releases","show")</f>
        <v>show</v>
      </c>
    </row>
    <row r="4133" spans="1:6">
      <c r="A4133" t="s">
        <v>12313</v>
      </c>
      <c r="B4133" t="s">
        <v>12314</v>
      </c>
      <c r="C4133" t="s">
        <v>12315</v>
      </c>
      <c r="D4133" t="str">
        <f>HYPERLINK("https://github.com/inaturalist/iNaturalistAndroid/issues/1144","show")</f>
        <v>show</v>
      </c>
      <c r="E4133" t="str">
        <f>HYPERLINK("https://github.com/inaturalist/iNaturalistAndroid","show")</f>
        <v>show</v>
      </c>
      <c r="F4133" t="str">
        <f>HYPERLINK("https://github.com/inaturalist/iNaturalistAndroid/releases","show")</f>
        <v>show</v>
      </c>
    </row>
    <row r="4134" spans="1:6">
      <c r="A4134" t="s">
        <v>12316</v>
      </c>
      <c r="B4134" t="s">
        <v>10679</v>
      </c>
      <c r="C4134" t="s">
        <v>12317</v>
      </c>
      <c r="D4134" t="str">
        <f>HYPERLINK("https://github.com/inaturalist/iNaturalistAndroid/issues/1143","show")</f>
        <v>show</v>
      </c>
      <c r="E4134" t="str">
        <f>HYPERLINK("https://github.com/inaturalist/iNaturalistAndroid","show")</f>
        <v>show</v>
      </c>
      <c r="F4134" t="str">
        <f>HYPERLINK("https://github.com/inaturalist/iNaturalistAndroid/releases","show")</f>
        <v>show</v>
      </c>
    </row>
    <row r="4135" spans="1:6">
      <c r="A4135" t="s">
        <v>12318</v>
      </c>
      <c r="B4135" t="s">
        <v>12319</v>
      </c>
      <c r="C4135" t="s">
        <v>12320</v>
      </c>
      <c r="D4135" t="str">
        <f>HYPERLINK("https://github.com/inaturalist/iNaturalistAndroid/issues/1142","show")</f>
        <v>show</v>
      </c>
      <c r="E4135" t="str">
        <f>HYPERLINK("https://github.com/inaturalist/iNaturalistAndroid","show")</f>
        <v>show</v>
      </c>
      <c r="F4135" t="str">
        <f>HYPERLINK("https://github.com/inaturalist/iNaturalistAndroid/releases","show")</f>
        <v>show</v>
      </c>
    </row>
    <row r="4136" spans="1:6">
      <c r="A4136" t="s">
        <v>12321</v>
      </c>
      <c r="B4136" t="s">
        <v>12322</v>
      </c>
      <c r="C4136" t="s">
        <v>12323</v>
      </c>
      <c r="D4136" t="str">
        <f>HYPERLINK("https://github.com/MuntashirAkon/AppManager/issues/621","show")</f>
        <v>show</v>
      </c>
      <c r="E4136" t="str">
        <f>HYPERLINK("https://github.com/MuntashirAkon/AppManager","show")</f>
        <v>show</v>
      </c>
      <c r="F4136" t="str">
        <f>HYPERLINK("https://github.com/MuntashirAkon/AppManager/releases","show")</f>
        <v>show</v>
      </c>
    </row>
    <row r="4137" spans="1:6">
      <c r="A4137" t="s">
        <v>12324</v>
      </c>
      <c r="B4137" t="s">
        <v>12325</v>
      </c>
      <c r="C4137" t="s">
        <v>12326</v>
      </c>
      <c r="D4137" t="str">
        <f>HYPERLINK("https://github.com/TeamNewPipe/NewPipe/issues/7397","show")</f>
        <v>show</v>
      </c>
      <c r="E4137" t="str">
        <f>HYPERLINK("https://github.com/TeamNewPipe/NewPipe","show")</f>
        <v>show</v>
      </c>
      <c r="F4137" t="str">
        <f>HYPERLINK("https://github.com/TeamNewPipe/NewPipe/releases","show")</f>
        <v>show</v>
      </c>
    </row>
    <row r="4138" spans="1:6">
      <c r="A4138" t="s">
        <v>12327</v>
      </c>
      <c r="B4138" t="s">
        <v>12328</v>
      </c>
      <c r="C4138" t="s">
        <v>12329</v>
      </c>
      <c r="D4138" t="str">
        <f>HYPERLINK("https://github.com/nextcloud/android/issues/9254","show")</f>
        <v>show</v>
      </c>
      <c r="E4138" t="str">
        <f>HYPERLINK("https://github.com/nextcloud/android","show")</f>
        <v>show</v>
      </c>
      <c r="F4138" t="str">
        <f>HYPERLINK("https://github.com/nextcloud/android/releases","show")</f>
        <v>show</v>
      </c>
    </row>
    <row r="4139" spans="1:6">
      <c r="A4139" t="s">
        <v>12330</v>
      </c>
      <c r="B4139" t="s">
        <v>12331</v>
      </c>
      <c r="C4139" t="s">
        <v>12332</v>
      </c>
      <c r="D4139" t="str">
        <f>HYPERLINK("https://github.com/PojavLauncherTeam/PojavLauncher/issues/2229","show")</f>
        <v>show</v>
      </c>
      <c r="E4139" t="str">
        <f>HYPERLINK("https://github.com/PojavLauncherTeam/PojavLauncher","show")</f>
        <v>show</v>
      </c>
      <c r="F4139" t="str">
        <f>HYPERLINK("https://github.com/PojavLauncherTeam/PojavLauncher/releases","show")</f>
        <v>show</v>
      </c>
    </row>
    <row r="4140" spans="1:6">
      <c r="A4140" t="s">
        <v>12333</v>
      </c>
      <c r="B4140" t="s">
        <v>12334</v>
      </c>
      <c r="C4140" t="s">
        <v>12335</v>
      </c>
      <c r="D4140" t="str">
        <f>HYPERLINK("https://github.com/nextcloud/talk-android/issues/1678","show")</f>
        <v>show</v>
      </c>
      <c r="E4140" t="str">
        <f>HYPERLINK("https://github.com/nextcloud/talk-android","show")</f>
        <v>show</v>
      </c>
      <c r="F4140" t="str">
        <f>HYPERLINK("https://github.com/nextcloud/talk-android/releases","show")</f>
        <v>show</v>
      </c>
    </row>
    <row r="4141" spans="1:6">
      <c r="A4141" t="s">
        <v>12336</v>
      </c>
      <c r="B4141" t="s">
        <v>12337</v>
      </c>
      <c r="C4141" t="s">
        <v>12338</v>
      </c>
      <c r="D4141" t="str">
        <f>HYPERLINK("https://github.com/Anuken/Mindustry/issues/6326","show")</f>
        <v>show</v>
      </c>
      <c r="E4141" t="str">
        <f>HYPERLINK("https://github.com/Anuken/Mindustry","show")</f>
        <v>show</v>
      </c>
      <c r="F4141" t="str">
        <f>HYPERLINK("https://github.com/Anuken/Mindustry/releases","show")</f>
        <v>show</v>
      </c>
    </row>
    <row r="4142" spans="1:6">
      <c r="A4142" t="s">
        <v>12339</v>
      </c>
      <c r="B4142" t="s">
        <v>12340</v>
      </c>
      <c r="C4142" t="s">
        <v>12341</v>
      </c>
      <c r="D4142" t="str">
        <f>HYPERLINK("https://github.com/Anuken/Mindustry/issues/6325","show")</f>
        <v>show</v>
      </c>
      <c r="E4142" t="str">
        <f>HYPERLINK("https://github.com/Anuken/Mindustry","show")</f>
        <v>show</v>
      </c>
      <c r="F4142" t="str">
        <f>HYPERLINK("https://github.com/Anuken/Mindustry/releases","show")</f>
        <v>show</v>
      </c>
    </row>
    <row r="4143" spans="1:6">
      <c r="A4143" t="s">
        <v>12342</v>
      </c>
      <c r="B4143" t="s">
        <v>12343</v>
      </c>
      <c r="C4143" t="s">
        <v>12344</v>
      </c>
      <c r="D4143" t="str">
        <f>HYPERLINK("https://github.com/Anuken/Mindustry/issues/6324","show")</f>
        <v>show</v>
      </c>
      <c r="E4143" t="str">
        <f>HYPERLINK("https://github.com/Anuken/Mindustry","show")</f>
        <v>show</v>
      </c>
      <c r="F4143" t="str">
        <f>HYPERLINK("https://github.com/Anuken/Mindustry/releases","show")</f>
        <v>show</v>
      </c>
    </row>
    <row r="4144" spans="1:6">
      <c r="A4144" t="s">
        <v>12345</v>
      </c>
      <c r="B4144" t="s">
        <v>12346</v>
      </c>
      <c r="C4144" t="s">
        <v>12347</v>
      </c>
      <c r="D4144" t="str">
        <f>HYPERLINK("https://github.com/TeamNewPipe/NewPipe/issues/7394","show")</f>
        <v>show</v>
      </c>
      <c r="E4144" t="str">
        <f>HYPERLINK("https://github.com/TeamNewPipe/NewPipe","show")</f>
        <v>show</v>
      </c>
      <c r="F4144" t="str">
        <f>HYPERLINK("https://github.com/TeamNewPipe/NewPipe/releases","show")</f>
        <v>show</v>
      </c>
    </row>
    <row r="4145" spans="1:6">
      <c r="A4145" t="s">
        <v>12348</v>
      </c>
      <c r="B4145" t="s">
        <v>12349</v>
      </c>
      <c r="C4145" t="s">
        <v>12350</v>
      </c>
      <c r="D4145" t="str">
        <f>HYPERLINK("https://github.com/TeamNewPipe/NewPipe/issues/7391","show")</f>
        <v>show</v>
      </c>
      <c r="E4145" t="str">
        <f>HYPERLINK("https://github.com/TeamNewPipe/NewPipe","show")</f>
        <v>show</v>
      </c>
      <c r="F4145" t="str">
        <f>HYPERLINK("https://github.com/TeamNewPipe/NewPipe/releases","show")</f>
        <v>show</v>
      </c>
    </row>
    <row r="4146" spans="1:6">
      <c r="A4146" t="s">
        <v>12351</v>
      </c>
      <c r="B4146" t="s">
        <v>12352</v>
      </c>
      <c r="C4146" t="s">
        <v>12353</v>
      </c>
      <c r="D4146" t="str">
        <f>HYPERLINK("https://github.com/harysuryanto/dinografi/issues/1","show")</f>
        <v>show</v>
      </c>
      <c r="E4146" t="str">
        <f>HYPERLINK("https://github.com/harysuryanto/dinografi","show")</f>
        <v>show</v>
      </c>
      <c r="F4146" t="str">
        <f>HYPERLINK("https://github.com/harysuryanto/dinografi/releases","show")</f>
        <v>show</v>
      </c>
    </row>
    <row r="4147" spans="1:6">
      <c r="A4147" t="s">
        <v>12354</v>
      </c>
      <c r="B4147" t="s">
        <v>12355</v>
      </c>
      <c r="C4147" t="s">
        <v>12356</v>
      </c>
      <c r="D4147" t="str">
        <f>HYPERLINK("https://github.com/TeamNewPipe/NewPipe/issues/7389","show")</f>
        <v>show</v>
      </c>
      <c r="E4147" t="str">
        <f>HYPERLINK("https://github.com/TeamNewPipe/NewPipe","show")</f>
        <v>show</v>
      </c>
      <c r="F4147" t="str">
        <f>HYPERLINK("https://github.com/TeamNewPipe/NewPipe/releases","show")</f>
        <v>show</v>
      </c>
    </row>
    <row r="4148" spans="1:6">
      <c r="A4148" t="s">
        <v>12357</v>
      </c>
      <c r="B4148" t="s">
        <v>12358</v>
      </c>
      <c r="C4148" t="s">
        <v>12359</v>
      </c>
      <c r="D4148" t="str">
        <f>HYPERLINK("https://github.com/MuntashirAkon/AppManager/issues/620","show")</f>
        <v>show</v>
      </c>
      <c r="E4148" t="str">
        <f>HYPERLINK("https://github.com/MuntashirAkon/AppManager","show")</f>
        <v>show</v>
      </c>
      <c r="F4148" t="str">
        <f>HYPERLINK("https://github.com/MuntashirAkon/AppManager/releases","show")</f>
        <v>show</v>
      </c>
    </row>
    <row r="4149" spans="1:6">
      <c r="A4149" t="s">
        <v>12360</v>
      </c>
      <c r="B4149" t="s">
        <v>12361</v>
      </c>
      <c r="C4149" t="s">
        <v>12362</v>
      </c>
      <c r="D4149" t="str">
        <f>HYPERLINK("https://github.com/TeamNewPipe/NewPipe/issues/7388","show")</f>
        <v>show</v>
      </c>
      <c r="E4149" t="str">
        <f>HYPERLINK("https://github.com/TeamNewPipe/NewPipe","show")</f>
        <v>show</v>
      </c>
      <c r="F4149" t="str">
        <f>HYPERLINK("https://github.com/TeamNewPipe/NewPipe/releases","show")</f>
        <v>show</v>
      </c>
    </row>
    <row r="4150" spans="1:6">
      <c r="A4150" t="s">
        <v>12363</v>
      </c>
      <c r="B4150" t="s">
        <v>12364</v>
      </c>
      <c r="C4150" t="s">
        <v>12365</v>
      </c>
      <c r="D4150" t="str">
        <f>HYPERLINK("https://github.com/mI-PIV/app/issues/190","show")</f>
        <v>show</v>
      </c>
      <c r="E4150" t="str">
        <f>HYPERLINK("https://github.com/mI-PIV/app","show")</f>
        <v>show</v>
      </c>
      <c r="F4150" t="str">
        <f>HYPERLINK("https://github.com/mI-PIV/app/releases","show")</f>
        <v>show</v>
      </c>
    </row>
    <row r="4151" spans="1:6">
      <c r="A4151" t="s">
        <v>12366</v>
      </c>
      <c r="B4151" t="s">
        <v>12367</v>
      </c>
      <c r="C4151" t="s">
        <v>12368</v>
      </c>
      <c r="D4151" t="str">
        <f>HYPERLINK("https://github.com/TeamNewPipe/NewPipe/issues/7387","show")</f>
        <v>show</v>
      </c>
      <c r="E4151" t="str">
        <f>HYPERLINK("https://github.com/TeamNewPipe/NewPipe","show")</f>
        <v>show</v>
      </c>
      <c r="F4151" t="str">
        <f>HYPERLINK("https://github.com/TeamNewPipe/NewPipe/releases","show")</f>
        <v>show</v>
      </c>
    </row>
    <row r="4152" spans="1:6">
      <c r="A4152" t="s">
        <v>12369</v>
      </c>
      <c r="B4152" t="s">
        <v>12370</v>
      </c>
      <c r="C4152" t="s">
        <v>12371</v>
      </c>
      <c r="D4152" t="str">
        <f>HYPERLINK("https://github.com/inaturalist/iNaturalistAndroid/issues/1140","show")</f>
        <v>show</v>
      </c>
      <c r="E4152" t="str">
        <f>HYPERLINK("https://github.com/inaturalist/iNaturalistAndroid","show")</f>
        <v>show</v>
      </c>
      <c r="F4152" t="str">
        <f>HYPERLINK("https://github.com/inaturalist/iNaturalistAndroid/releases","show")</f>
        <v>show</v>
      </c>
    </row>
    <row r="4153" spans="1:6">
      <c r="A4153" t="s">
        <v>12372</v>
      </c>
      <c r="B4153" t="s">
        <v>12373</v>
      </c>
      <c r="C4153" t="s">
        <v>12374</v>
      </c>
      <c r="D4153" t="str">
        <f>HYPERLINK("https://github.com/inaturalist/iNaturalistAndroid/issues/1139","show")</f>
        <v>show</v>
      </c>
      <c r="E4153" t="str">
        <f>HYPERLINK("https://github.com/inaturalist/iNaturalistAndroid","show")</f>
        <v>show</v>
      </c>
      <c r="F4153" t="str">
        <f>HYPERLINK("https://github.com/inaturalist/iNaturalistAndroid/releases","show")</f>
        <v>show</v>
      </c>
    </row>
    <row r="4154" spans="1:6">
      <c r="A4154" t="s">
        <v>12375</v>
      </c>
      <c r="B4154" t="s">
        <v>12376</v>
      </c>
      <c r="C4154" t="s">
        <v>12377</v>
      </c>
      <c r="D4154" t="str">
        <f>HYPERLINK("https://github.com/OneBusAway/onebusaway-android/issues/1084","show")</f>
        <v>show</v>
      </c>
      <c r="E4154" t="str">
        <f>HYPERLINK("https://github.com/OneBusAway/onebusaway-android","show")</f>
        <v>show</v>
      </c>
      <c r="F4154" t="str">
        <f>HYPERLINK("https://github.com/OneBusAway/onebusaway-android/releases","show")</f>
        <v>show</v>
      </c>
    </row>
    <row r="4155" spans="1:6">
      <c r="A4155" t="s">
        <v>12378</v>
      </c>
      <c r="B4155" t="s">
        <v>12379</v>
      </c>
      <c r="C4155" t="s">
        <v>12380</v>
      </c>
      <c r="D4155" t="str">
        <f>HYPERLINK("https://github.com/yasirkula/UnityNativeShare/issues/130","show")</f>
        <v>show</v>
      </c>
      <c r="E4155" t="str">
        <f>HYPERLINK("https://github.com/yasirkula/UnityNativeShare","show")</f>
        <v>show</v>
      </c>
      <c r="F4155" t="str">
        <f>HYPERLINK("https://github.com/yasirkula/UnityNativeShare/releases","show")</f>
        <v>show</v>
      </c>
    </row>
    <row r="4156" spans="1:6">
      <c r="A4156" t="s">
        <v>12381</v>
      </c>
      <c r="B4156" t="s">
        <v>12382</v>
      </c>
      <c r="C4156" t="s">
        <v>12383</v>
      </c>
      <c r="D4156" t="str">
        <f>HYPERLINK("https://github.com/TeamNewPipe/NewPipe/issues/7382","show")</f>
        <v>show</v>
      </c>
      <c r="E4156" t="str">
        <f>HYPERLINK("https://github.com/TeamNewPipe/NewPipe","show")</f>
        <v>show</v>
      </c>
      <c r="F4156" t="str">
        <f>HYPERLINK("https://github.com/TeamNewPipe/NewPipe/releases","show")</f>
        <v>show</v>
      </c>
    </row>
    <row r="4157" spans="1:6">
      <c r="A4157" t="s">
        <v>12384</v>
      </c>
      <c r="B4157" t="s">
        <v>12385</v>
      </c>
      <c r="C4157" t="s">
        <v>12386</v>
      </c>
      <c r="D4157" t="str">
        <f>HYPERLINK("https://github.com/getsentry/sentry-java/issues/1798","show")</f>
        <v>show</v>
      </c>
      <c r="E4157" t="str">
        <f>HYPERLINK("https://github.com/getsentry/sentry-java","show")</f>
        <v>show</v>
      </c>
      <c r="F4157" t="str">
        <f>HYPERLINK("https://github.com/getsentry/sentry-java/releases","show")</f>
        <v>show</v>
      </c>
    </row>
    <row r="4158" spans="1:6">
      <c r="A4158" t="s">
        <v>12387</v>
      </c>
      <c r="B4158" t="s">
        <v>12388</v>
      </c>
      <c r="C4158" t="s">
        <v>12389</v>
      </c>
      <c r="D4158" t="str">
        <f>HYPERLINK("https://github.com/connectbot/connectbot/issues/1036","show")</f>
        <v>show</v>
      </c>
      <c r="E4158" t="str">
        <f>HYPERLINK("https://github.com/connectbot/connectbot","show")</f>
        <v>show</v>
      </c>
      <c r="F4158" t="str">
        <f>HYPERLINK("https://github.com/connectbot/connectbot/releases","show")</f>
        <v>show</v>
      </c>
    </row>
    <row r="4159" spans="1:6">
      <c r="A4159" t="s">
        <v>12390</v>
      </c>
      <c r="B4159" t="s">
        <v>12391</v>
      </c>
      <c r="C4159" t="s">
        <v>12392</v>
      </c>
      <c r="D4159" t="str">
        <f>HYPERLINK("https://github.com/PojavLauncherTeam/PojavLauncher/issues/2218","show")</f>
        <v>show</v>
      </c>
      <c r="E4159" t="str">
        <f>HYPERLINK("https://github.com/PojavLauncherTeam/PojavLauncher","show")</f>
        <v>show</v>
      </c>
      <c r="F4159" t="str">
        <f>HYPERLINK("https://github.com/PojavLauncherTeam/PojavLauncher/releases","show")</f>
        <v>show</v>
      </c>
    </row>
    <row r="4160" spans="1:6">
      <c r="A4160" t="s">
        <v>12393</v>
      </c>
      <c r="B4160" t="s">
        <v>12394</v>
      </c>
      <c r="C4160" t="s">
        <v>12395</v>
      </c>
      <c r="D4160" t="str">
        <f>HYPERLINK("https://github.com/PojavLauncherTeam/PojavLauncher/issues/2217","show")</f>
        <v>show</v>
      </c>
      <c r="E4160" t="str">
        <f>HYPERLINK("https://github.com/PojavLauncherTeam/PojavLauncher","show")</f>
        <v>show</v>
      </c>
      <c r="F4160" t="str">
        <f>HYPERLINK("https://github.com/PojavLauncherTeam/PojavLauncher/releases","show")</f>
        <v>show</v>
      </c>
    </row>
    <row r="4161" spans="1:6">
      <c r="A4161" t="s">
        <v>12396</v>
      </c>
      <c r="B4161" t="s">
        <v>12397</v>
      </c>
      <c r="C4161" t="s">
        <v>12398</v>
      </c>
      <c r="D4161" t="str">
        <f>HYPERLINK("https://github.com/TeamNewPipe/NewPipe/issues/7379","show")</f>
        <v>show</v>
      </c>
      <c r="E4161" t="str">
        <f>HYPERLINK("https://github.com/TeamNewPipe/NewPipe","show")</f>
        <v>show</v>
      </c>
      <c r="F4161" t="str">
        <f>HYPERLINK("https://github.com/TeamNewPipe/NewPipe/releases","show")</f>
        <v>show</v>
      </c>
    </row>
    <row r="4162" spans="1:6">
      <c r="A4162" t="s">
        <v>12399</v>
      </c>
      <c r="B4162" t="s">
        <v>12400</v>
      </c>
      <c r="C4162" t="s">
        <v>12401</v>
      </c>
      <c r="D4162" t="str">
        <f>HYPERLINK("https://github.com/PojavLauncherTeam/PojavLauncher/issues/2215","show")</f>
        <v>show</v>
      </c>
      <c r="E4162" t="str">
        <f>HYPERLINK("https://github.com/PojavLauncherTeam/PojavLauncher","show")</f>
        <v>show</v>
      </c>
      <c r="F4162" t="str">
        <f>HYPERLINK("https://github.com/PojavLauncherTeam/PojavLauncher/releases","show")</f>
        <v>show</v>
      </c>
    </row>
    <row r="4163" spans="1:6">
      <c r="A4163" t="s">
        <v>12402</v>
      </c>
      <c r="B4163" t="s">
        <v>12403</v>
      </c>
      <c r="C4163" t="s">
        <v>12404</v>
      </c>
      <c r="D4163" t="str">
        <f>HYPERLINK("https://github.com/canyie/pine/issues/21","show")</f>
        <v>show</v>
      </c>
      <c r="E4163" t="str">
        <f>HYPERLINK("https://github.com/canyie/pine","show")</f>
        <v>show</v>
      </c>
      <c r="F4163" t="str">
        <f>HYPERLINK("https://github.com/canyie/pine/releases","show")</f>
        <v>show</v>
      </c>
    </row>
    <row r="4164" spans="1:6">
      <c r="A4164" t="s">
        <v>12405</v>
      </c>
      <c r="B4164" t="s">
        <v>12406</v>
      </c>
      <c r="C4164" t="s">
        <v>12407</v>
      </c>
      <c r="D4164" t="str">
        <f>HYPERLINK("https://github.com/NekoX-Dev/NekoX/issues/663","show")</f>
        <v>show</v>
      </c>
      <c r="E4164" t="str">
        <f>HYPERLINK("https://github.com/NekoX-Dev/NekoX","show")</f>
        <v>show</v>
      </c>
      <c r="F4164" t="str">
        <f>HYPERLINK("https://github.com/NekoX-Dev/NekoX/releases","show")</f>
        <v>show</v>
      </c>
    </row>
    <row r="4165" spans="1:6">
      <c r="A4165" t="s">
        <v>12408</v>
      </c>
      <c r="B4165" t="s">
        <v>12409</v>
      </c>
      <c r="C4165" t="s">
        <v>12410</v>
      </c>
      <c r="D4165" t="str">
        <f>HYPERLINK("https://github.com/doublesymmetry/react-native-track-player/issues/1327","show")</f>
        <v>show</v>
      </c>
      <c r="E4165" t="str">
        <f>HYPERLINK("https://github.com/doublesymmetry/react-native-track-player","show")</f>
        <v>show</v>
      </c>
      <c r="F4165" t="str">
        <f>HYPERLINK("https://github.com/doublesymmetry/react-native-track-player/releases","show")</f>
        <v>show</v>
      </c>
    </row>
    <row r="4166" spans="1:6">
      <c r="A4166" t="s">
        <v>12411</v>
      </c>
      <c r="B4166" t="s">
        <v>12412</v>
      </c>
      <c r="C4166" t="s">
        <v>12413</v>
      </c>
      <c r="D4166" t="str">
        <f>HYPERLINK("https://github.com/cgeo/cgeo/issues/12060","show")</f>
        <v>show</v>
      </c>
      <c r="E4166" t="str">
        <f>HYPERLINK("https://github.com/cgeo/cgeo","show")</f>
        <v>show</v>
      </c>
      <c r="F4166" t="str">
        <f>HYPERLINK("https://github.com/cgeo/cgeo/releases","show")</f>
        <v>show</v>
      </c>
    </row>
    <row r="4167" spans="1:6">
      <c r="A4167" t="s">
        <v>12414</v>
      </c>
      <c r="B4167" t="s">
        <v>12415</v>
      </c>
      <c r="C4167" t="s">
        <v>12416</v>
      </c>
      <c r="D4167" t="str">
        <f>HYPERLINK("https://github.com/material-components/material-components-android/issues/2462","show")</f>
        <v>show</v>
      </c>
      <c r="E4167" t="str">
        <f>HYPERLINK("https://github.com/material-components/material-components-android","show")</f>
        <v>show</v>
      </c>
      <c r="F4167" t="str">
        <f>HYPERLINK("https://github.com/material-components/material-components-android/releases","show")</f>
        <v>show</v>
      </c>
    </row>
    <row r="4168" spans="1:6">
      <c r="A4168" t="s">
        <v>12417</v>
      </c>
      <c r="B4168" t="s">
        <v>12418</v>
      </c>
      <c r="C4168" t="s">
        <v>12419</v>
      </c>
      <c r="D4168" t="str">
        <f>HYPERLINK("https://github.com/getodk/collect/issues/4899","show")</f>
        <v>show</v>
      </c>
      <c r="E4168" t="str">
        <f>HYPERLINK("https://github.com/getodk/collect","show")</f>
        <v>show</v>
      </c>
      <c r="F4168" t="str">
        <f>HYPERLINK("https://github.com/getodk/collect/releases","show")</f>
        <v>show</v>
      </c>
    </row>
    <row r="4169" spans="1:6">
      <c r="A4169" t="s">
        <v>12420</v>
      </c>
      <c r="B4169" t="s">
        <v>12143</v>
      </c>
      <c r="C4169" t="s">
        <v>12421</v>
      </c>
      <c r="D4169" t="str">
        <f>HYPERLINK("https://github.com/hzi-braunschweig/SORMAS-Project/issues/7167","show")</f>
        <v>show</v>
      </c>
      <c r="E4169" t="str">
        <f>HYPERLINK("https://github.com/hzi-braunschweig/SORMAS-Project","show")</f>
        <v>show</v>
      </c>
      <c r="F4169" t="str">
        <f>HYPERLINK("https://github.com/hzi-braunschweig/SORMAS-Project/releases","show")</f>
        <v>show</v>
      </c>
    </row>
    <row r="4170" spans="1:6">
      <c r="A4170" t="s">
        <v>12422</v>
      </c>
      <c r="B4170" t="s">
        <v>9922</v>
      </c>
      <c r="C4170" t="s">
        <v>12423</v>
      </c>
      <c r="D4170" t="str">
        <f>HYPERLINK("https://github.com/PojavLauncherTeam/PojavLauncher/issues/2206","show")</f>
        <v>show</v>
      </c>
      <c r="E4170" t="str">
        <f>HYPERLINK("https://github.com/PojavLauncherTeam/PojavLauncher","show")</f>
        <v>show</v>
      </c>
      <c r="F4170" t="str">
        <f>HYPERLINK("https://github.com/PojavLauncherTeam/PojavLauncher/releases","show")</f>
        <v>show</v>
      </c>
    </row>
    <row r="4171" spans="1:6">
      <c r="A4171" t="s">
        <v>12424</v>
      </c>
      <c r="B4171" t="s">
        <v>12425</v>
      </c>
      <c r="C4171" t="s">
        <v>12426</v>
      </c>
      <c r="D4171" t="str">
        <f>HYPERLINK("https://github.com/getodk/collect/issues/4896","show")</f>
        <v>show</v>
      </c>
      <c r="E4171" t="str">
        <f>HYPERLINK("https://github.com/getodk/collect","show")</f>
        <v>show</v>
      </c>
      <c r="F4171" t="str">
        <f>HYPERLINK("https://github.com/getodk/collect/releases","show")</f>
        <v>show</v>
      </c>
    </row>
    <row r="4172" spans="1:6">
      <c r="A4172" t="s">
        <v>12427</v>
      </c>
      <c r="B4172" t="s">
        <v>12428</v>
      </c>
      <c r="C4172" t="s">
        <v>12429</v>
      </c>
      <c r="D4172" t="str">
        <f>HYPERLINK("https://github.com/ElderDrivers/EdXposed/issues/902","show")</f>
        <v>show</v>
      </c>
      <c r="E4172" t="str">
        <f>HYPERLINK("https://github.com/ElderDrivers/EdXposed","show")</f>
        <v>show</v>
      </c>
      <c r="F4172" t="str">
        <f>HYPERLINK("https://github.com/ElderDrivers/EdXposed/releases","show")</f>
        <v>show</v>
      </c>
    </row>
    <row r="4173" spans="1:6">
      <c r="A4173" t="s">
        <v>12430</v>
      </c>
      <c r="B4173" t="s">
        <v>12431</v>
      </c>
      <c r="C4173" t="s">
        <v>12432</v>
      </c>
      <c r="D4173" t="str">
        <f>HYPERLINK("https://github.com/OTTAA-Project/OTTAAProject/issues/99","show")</f>
        <v>show</v>
      </c>
      <c r="E4173" t="str">
        <f>HYPERLINK("https://github.com/OTTAA-Project/OTTAAProject","show")</f>
        <v>show</v>
      </c>
      <c r="F4173" t="str">
        <f>HYPERLINK("https://github.com/OTTAA-Project/OTTAAProject/releases","show")</f>
        <v>show</v>
      </c>
    </row>
    <row r="4174" spans="1:6">
      <c r="A4174" t="s">
        <v>12433</v>
      </c>
      <c r="B4174" t="s">
        <v>12434</v>
      </c>
      <c r="C4174" t="s">
        <v>12435</v>
      </c>
      <c r="D4174" t="str">
        <f>HYPERLINK("https://github.com/TeamNewPipe/NewPipe/issues/7358","show")</f>
        <v>show</v>
      </c>
      <c r="E4174" t="str">
        <f>HYPERLINK("https://github.com/TeamNewPipe/NewPipe","show")</f>
        <v>show</v>
      </c>
      <c r="F4174" t="str">
        <f>HYPERLINK("https://github.com/TeamNewPipe/NewPipe/releases","show")</f>
        <v>show</v>
      </c>
    </row>
    <row r="4175" spans="1:6">
      <c r="A4175" t="s">
        <v>12436</v>
      </c>
      <c r="B4175" t="s">
        <v>12437</v>
      </c>
      <c r="C4175" t="s">
        <v>12438</v>
      </c>
      <c r="D4175" t="str">
        <f>HYPERLINK("https://github.com/nextcloud/android/issues/9196","show")</f>
        <v>show</v>
      </c>
      <c r="E4175" t="str">
        <f>HYPERLINK("https://github.com/nextcloud/android","show")</f>
        <v>show</v>
      </c>
      <c r="F4175" t="str">
        <f>HYPERLINK("https://github.com/nextcloud/android/releases","show")</f>
        <v>show</v>
      </c>
    </row>
    <row r="4176" spans="1:6">
      <c r="A4176" t="s">
        <v>12439</v>
      </c>
      <c r="B4176" t="s">
        <v>12440</v>
      </c>
      <c r="C4176" t="s">
        <v>12441</v>
      </c>
      <c r="D4176" t="str">
        <f>HYPERLINK("https://github.com/aryan-vishwakarma/Operations/issues/2","show")</f>
        <v>show</v>
      </c>
      <c r="E4176" t="str">
        <f>HYPERLINK("https://github.com/aryan-vishwakarma/Operations","show")</f>
        <v>show</v>
      </c>
      <c r="F4176" t="str">
        <f>HYPERLINK("https://github.com/aryan-vishwakarma/Operations/releases","show")</f>
        <v>show</v>
      </c>
    </row>
    <row r="4177" spans="1:6">
      <c r="A4177" t="s">
        <v>12442</v>
      </c>
      <c r="B4177" t="s">
        <v>12443</v>
      </c>
      <c r="C4177" t="s">
        <v>12444</v>
      </c>
      <c r="D4177" t="str">
        <f>HYPERLINK("https://github.com/aryan-vishwakarma/Operations/issues/1","show")</f>
        <v>show</v>
      </c>
      <c r="E4177" t="str">
        <f>HYPERLINK("https://github.com/aryan-vishwakarma/Operations","show")</f>
        <v>show</v>
      </c>
      <c r="F4177" t="str">
        <f>HYPERLINK("https://github.com/aryan-vishwakarma/Operations/releases","show")</f>
        <v>show</v>
      </c>
    </row>
    <row r="4178" spans="1:6">
      <c r="A4178" t="s">
        <v>12445</v>
      </c>
      <c r="B4178" t="s">
        <v>12446</v>
      </c>
      <c r="C4178" t="s">
        <v>12447</v>
      </c>
      <c r="D4178" t="str">
        <f>HYPERLINK("https://github.com/green-green-avk/AnotherTerm/issues/22","show")</f>
        <v>show</v>
      </c>
      <c r="E4178" t="str">
        <f>HYPERLINK("https://github.com/green-green-avk/AnotherTerm","show")</f>
        <v>show</v>
      </c>
      <c r="F4178" t="str">
        <f>HYPERLINK("https://github.com/green-green-avk/AnotherTerm/releases","show")</f>
        <v>show</v>
      </c>
    </row>
    <row r="4179" spans="1:6">
      <c r="A4179" t="s">
        <v>12448</v>
      </c>
      <c r="B4179" t="s">
        <v>12449</v>
      </c>
      <c r="C4179" t="s">
        <v>12450</v>
      </c>
      <c r="D4179" t="str">
        <f>HYPERLINK("https://github.com/jellyfin/jellyfin-androidtv/issues/1236","show")</f>
        <v>show</v>
      </c>
      <c r="E4179" t="str">
        <f>HYPERLINK("https://github.com/jellyfin/jellyfin-androidtv","show")</f>
        <v>show</v>
      </c>
      <c r="F4179" t="str">
        <f>HYPERLINK("https://github.com/jellyfin/jellyfin-androidtv/releases","show")</f>
        <v>show</v>
      </c>
    </row>
    <row r="4180" spans="1:6">
      <c r="A4180" t="s">
        <v>12451</v>
      </c>
      <c r="B4180" t="s">
        <v>12452</v>
      </c>
      <c r="C4180" t="s">
        <v>12453</v>
      </c>
      <c r="D4180" t="str">
        <f>HYPERLINK("https://github.com/googleads/googleads-mobile-flutter/issues/422","show")</f>
        <v>show</v>
      </c>
      <c r="E4180" t="str">
        <f>HYPERLINK("https://github.com/googleads/googleads-mobile-flutter","show")</f>
        <v>show</v>
      </c>
      <c r="F4180" t="str">
        <f>HYPERLINK("https://github.com/googleads/googleads-mobile-flutter/releases","show")</f>
        <v>show</v>
      </c>
    </row>
    <row r="4181" spans="1:6">
      <c r="A4181" t="s">
        <v>12454</v>
      </c>
      <c r="B4181" t="s">
        <v>12455</v>
      </c>
      <c r="C4181" t="s">
        <v>12456</v>
      </c>
      <c r="D4181" t="str">
        <f>HYPERLINK("https://github.com/itsaky/AndroidIDE/issues/21","show")</f>
        <v>show</v>
      </c>
      <c r="E4181" t="str">
        <f>HYPERLINK("https://github.com/itsaky/AndroidIDE","show")</f>
        <v>show</v>
      </c>
      <c r="F4181" t="str">
        <f>HYPERLINK("https://github.com/itsaky/AndroidIDE/releases","show")</f>
        <v>show</v>
      </c>
    </row>
    <row r="4182" spans="1:6">
      <c r="A4182" t="s">
        <v>12457</v>
      </c>
      <c r="B4182" t="s">
        <v>12458</v>
      </c>
      <c r="C4182" t="s">
        <v>12459</v>
      </c>
      <c r="D4182" t="str">
        <f>HYPERLINK("https://github.com/jellyfin/jellyfin-androidtv/issues/1235","show")</f>
        <v>show</v>
      </c>
      <c r="E4182" t="str">
        <f>HYPERLINK("https://github.com/jellyfin/jellyfin-androidtv","show")</f>
        <v>show</v>
      </c>
      <c r="F4182" t="str">
        <f>HYPERLINK("https://github.com/jellyfin/jellyfin-androidtv/releases","show")</f>
        <v>show</v>
      </c>
    </row>
    <row r="4183" spans="1:6">
      <c r="A4183" t="s">
        <v>12460</v>
      </c>
      <c r="B4183" t="s">
        <v>12461</v>
      </c>
      <c r="C4183" t="s">
        <v>12462</v>
      </c>
      <c r="D4183" t="str">
        <f>HYPERLINK("https://github.com/VishnuSanal/Quotes/issues/65","show")</f>
        <v>show</v>
      </c>
      <c r="E4183" t="str">
        <f>HYPERLINK("https://github.com/VishnuSanal/Quotes","show")</f>
        <v>show</v>
      </c>
      <c r="F4183" t="str">
        <f>HYPERLINK("https://github.com/VishnuSanal/Quotes/releases","show")</f>
        <v>show</v>
      </c>
    </row>
    <row r="4184" spans="1:6">
      <c r="A4184" t="s">
        <v>12463</v>
      </c>
      <c r="B4184" t="s">
        <v>12464</v>
      </c>
      <c r="C4184" t="s">
        <v>12465</v>
      </c>
      <c r="D4184" t="str">
        <f>HYPERLINK("https://github.com/material-components/material-components-android/issues/2455","show")</f>
        <v>show</v>
      </c>
      <c r="E4184" t="str">
        <f>HYPERLINK("https://github.com/material-components/material-components-android","show")</f>
        <v>show</v>
      </c>
      <c r="F4184" t="str">
        <f>HYPERLINK("https://github.com/material-components/material-components-android/releases","show")</f>
        <v>show</v>
      </c>
    </row>
    <row r="4185" spans="1:6">
      <c r="A4185" t="s">
        <v>12466</v>
      </c>
      <c r="B4185" t="s">
        <v>12467</v>
      </c>
      <c r="C4185" t="s">
        <v>12468</v>
      </c>
      <c r="D4185" t="str">
        <f>HYPERLINK("https://github.com/doublesymmetry/react-native-track-player/issues/1322","show")</f>
        <v>show</v>
      </c>
      <c r="E4185" t="str">
        <f>HYPERLINK("https://github.com/doublesymmetry/react-native-track-player","show")</f>
        <v>show</v>
      </c>
      <c r="F4185" t="str">
        <f>HYPERLINK("https://github.com/doublesymmetry/react-native-track-player/releases","show")</f>
        <v>show</v>
      </c>
    </row>
    <row r="4186" spans="1:6">
      <c r="A4186" t="s">
        <v>12469</v>
      </c>
      <c r="B4186" t="s">
        <v>12470</v>
      </c>
      <c r="C4186" t="s">
        <v>12471</v>
      </c>
      <c r="D4186" t="str">
        <f>HYPERLINK("https://github.com/CMPUT301F21T06/TheHabitController/issues/15","show")</f>
        <v>show</v>
      </c>
      <c r="E4186" t="str">
        <f>HYPERLINK("https://github.com/CMPUT301F21T06/TheHabitController","show")</f>
        <v>show</v>
      </c>
      <c r="F4186" t="str">
        <f>HYPERLINK("https://github.com/CMPUT301F21T06/TheHabitController/releases","show")</f>
        <v>show</v>
      </c>
    </row>
    <row r="4187" spans="1:6">
      <c r="A4187" t="s">
        <v>12472</v>
      </c>
      <c r="B4187" t="s">
        <v>12473</v>
      </c>
      <c r="C4187" t="s">
        <v>12474</v>
      </c>
      <c r="D4187" t="str">
        <f>HYPERLINK("https://github.com/PojavLauncherTeam/PojavLauncher/issues/2196","show")</f>
        <v>show</v>
      </c>
      <c r="E4187" t="str">
        <f>HYPERLINK("https://github.com/PojavLauncherTeam/PojavLauncher","show")</f>
        <v>show</v>
      </c>
      <c r="F4187" t="str">
        <f>HYPERLINK("https://github.com/PojavLauncherTeam/PojavLauncher/releases","show")</f>
        <v>show</v>
      </c>
    </row>
    <row r="4188" spans="1:6">
      <c r="A4188" t="s">
        <v>12475</v>
      </c>
      <c r="B4188" t="s">
        <v>12476</v>
      </c>
      <c r="C4188" t="s">
        <v>12477</v>
      </c>
      <c r="D4188" t="str">
        <f>HYPERLINK("https://github.com/PojavLauncherTeam/PojavLauncher/issues/2194","show")</f>
        <v>show</v>
      </c>
      <c r="E4188" t="str">
        <f>HYPERLINK("https://github.com/PojavLauncherTeam/PojavLauncher","show")</f>
        <v>show</v>
      </c>
      <c r="F4188" t="str">
        <f>HYPERLINK("https://github.com/PojavLauncherTeam/PojavLauncher/releases","show")</f>
        <v>show</v>
      </c>
    </row>
    <row r="4189" spans="1:6">
      <c r="A4189" t="s">
        <v>12478</v>
      </c>
      <c r="B4189" t="s">
        <v>12479</v>
      </c>
      <c r="C4189" t="s">
        <v>12480</v>
      </c>
      <c r="D4189" t="str">
        <f>HYPERLINK("https://github.com/Anuken/Mindustry/issues/6282","show")</f>
        <v>show</v>
      </c>
      <c r="E4189" t="str">
        <f>HYPERLINK("https://github.com/Anuken/Mindustry","show")</f>
        <v>show</v>
      </c>
      <c r="F4189" t="str">
        <f>HYPERLINK("https://github.com/Anuken/Mindustry/releases","show")</f>
        <v>show</v>
      </c>
    </row>
    <row r="4190" spans="1:6">
      <c r="A4190" t="s">
        <v>12481</v>
      </c>
      <c r="B4190" t="s">
        <v>12482</v>
      </c>
      <c r="C4190" t="s">
        <v>12483</v>
      </c>
      <c r="D4190" t="str">
        <f>HYPERLINK("https://github.com/Anuken/Mindustry/issues/6281","show")</f>
        <v>show</v>
      </c>
      <c r="E4190" t="str">
        <f>HYPERLINK("https://github.com/Anuken/Mindustry","show")</f>
        <v>show</v>
      </c>
      <c r="F4190" t="str">
        <f>HYPERLINK("https://github.com/Anuken/Mindustry/releases","show")</f>
        <v>show</v>
      </c>
    </row>
    <row r="4191" spans="1:6">
      <c r="A4191" t="s">
        <v>12484</v>
      </c>
      <c r="B4191" t="s">
        <v>12485</v>
      </c>
      <c r="C4191" t="s">
        <v>12486</v>
      </c>
      <c r="D4191" t="str">
        <f>HYPERLINK("https://github.com/PojavLauncherTeam/PojavLauncher/issues/2188","show")</f>
        <v>show</v>
      </c>
      <c r="E4191" t="str">
        <f>HYPERLINK("https://github.com/PojavLauncherTeam/PojavLauncher","show")</f>
        <v>show</v>
      </c>
      <c r="F4191" t="str">
        <f>HYPERLINK("https://github.com/PojavLauncherTeam/PojavLauncher/releases","show")</f>
        <v>show</v>
      </c>
    </row>
    <row r="4192" spans="1:6">
      <c r="A4192" t="s">
        <v>12487</v>
      </c>
      <c r="B4192" t="s">
        <v>12488</v>
      </c>
      <c r="C4192" t="s">
        <v>12489</v>
      </c>
      <c r="D4192" t="str">
        <f>HYPERLINK("https://github.com/nextcloud/android/issues/9184","show")</f>
        <v>show</v>
      </c>
      <c r="E4192" t="str">
        <f>HYPERLINK("https://github.com/nextcloud/android","show")</f>
        <v>show</v>
      </c>
      <c r="F4192" t="str">
        <f>HYPERLINK("https://github.com/nextcloud/android/releases","show")</f>
        <v>show</v>
      </c>
    </row>
    <row r="4193" spans="1:6">
      <c r="A4193" t="s">
        <v>12490</v>
      </c>
      <c r="B4193" t="s">
        <v>12491</v>
      </c>
      <c r="C4193" t="s">
        <v>12492</v>
      </c>
      <c r="D4193" t="str">
        <f>HYPERLINK("https://github.com/PojavLauncherTeam/PojavLauncher/issues/2187","show")</f>
        <v>show</v>
      </c>
      <c r="E4193" t="str">
        <f>HYPERLINK("https://github.com/PojavLauncherTeam/PojavLauncher","show")</f>
        <v>show</v>
      </c>
      <c r="F4193" t="str">
        <f>HYPERLINK("https://github.com/PojavLauncherTeam/PojavLauncher/releases","show")</f>
        <v>show</v>
      </c>
    </row>
    <row r="4194" spans="1:6">
      <c r="A4194" t="s">
        <v>12493</v>
      </c>
      <c r="B4194" t="s">
        <v>12494</v>
      </c>
      <c r="C4194" t="s">
        <v>12495</v>
      </c>
      <c r="D4194" t="str">
        <f>HYPERLINK("https://github.com/doublesymmetry/react-native-track-player/issues/1321","show")</f>
        <v>show</v>
      </c>
      <c r="E4194" t="str">
        <f>HYPERLINK("https://github.com/doublesymmetry/react-native-track-player","show")</f>
        <v>show</v>
      </c>
      <c r="F4194" t="str">
        <f>HYPERLINK("https://github.com/doublesymmetry/react-native-track-player/releases","show")</f>
        <v>show</v>
      </c>
    </row>
    <row r="4195" spans="1:6">
      <c r="A4195" t="s">
        <v>12496</v>
      </c>
      <c r="B4195" t="s">
        <v>12497</v>
      </c>
      <c r="C4195" t="s">
        <v>12498</v>
      </c>
      <c r="D4195" t="str">
        <f>HYPERLINK("https://github.com/Anuken/Mindustry/issues/6272","show")</f>
        <v>show</v>
      </c>
      <c r="E4195" t="str">
        <f>HYPERLINK("https://github.com/Anuken/Mindustry","show")</f>
        <v>show</v>
      </c>
      <c r="F4195" t="str">
        <f>HYPERLINK("https://github.com/Anuken/Mindustry/releases","show")</f>
        <v>show</v>
      </c>
    </row>
    <row r="4196" spans="1:6">
      <c r="A4196" t="s">
        <v>12499</v>
      </c>
      <c r="B4196" t="s">
        <v>12500</v>
      </c>
      <c r="C4196" t="s">
        <v>12501</v>
      </c>
      <c r="D4196" t="str">
        <f>HYPERLINK("https://github.com/Anuken/Mindustry/issues/6268","show")</f>
        <v>show</v>
      </c>
      <c r="E4196" t="str">
        <f>HYPERLINK("https://github.com/Anuken/Mindustry","show")</f>
        <v>show</v>
      </c>
      <c r="F4196" t="str">
        <f>HYPERLINK("https://github.com/Anuken/Mindustry/releases","show")</f>
        <v>show</v>
      </c>
    </row>
    <row r="4197" spans="1:6">
      <c r="A4197" t="s">
        <v>12502</v>
      </c>
      <c r="B4197" t="s">
        <v>12503</v>
      </c>
      <c r="C4197" t="s">
        <v>12504</v>
      </c>
      <c r="D4197" t="str">
        <f>HYPERLINK("https://github.com/nextcloud/android/issues/9178","show")</f>
        <v>show</v>
      </c>
      <c r="E4197" t="str">
        <f>HYPERLINK("https://github.com/nextcloud/android","show")</f>
        <v>show</v>
      </c>
      <c r="F4197" t="str">
        <f>HYPERLINK("https://github.com/nextcloud/android/releases","show")</f>
        <v>show</v>
      </c>
    </row>
    <row r="4198" spans="1:6">
      <c r="A4198" t="s">
        <v>12505</v>
      </c>
      <c r="B4198" t="s">
        <v>12506</v>
      </c>
      <c r="C4198" t="s">
        <v>12507</v>
      </c>
      <c r="D4198" t="str">
        <f>HYPERLINK("https://github.com/HiddenRamblings/TagMo/issues/306","show")</f>
        <v>show</v>
      </c>
      <c r="E4198" t="str">
        <f>HYPERLINK("https://github.com/HiddenRamblings/TagMo","show")</f>
        <v>show</v>
      </c>
      <c r="F4198" t="str">
        <f>HYPERLINK("https://github.com/HiddenRamblings/TagMo/releases","show")</f>
        <v>show</v>
      </c>
    </row>
    <row r="4199" spans="1:6">
      <c r="A4199" t="s">
        <v>12508</v>
      </c>
      <c r="B4199" t="s">
        <v>12509</v>
      </c>
      <c r="C4199" t="s">
        <v>12510</v>
      </c>
      <c r="D4199" t="str">
        <f>HYPERLINK("https://github.com/TeamNewPipe/NewPipe/issues/7328","show")</f>
        <v>show</v>
      </c>
      <c r="E4199" t="str">
        <f>HYPERLINK("https://github.com/TeamNewPipe/NewPipe","show")</f>
        <v>show</v>
      </c>
      <c r="F4199" t="str">
        <f>HYPERLINK("https://github.com/TeamNewPipe/NewPipe/releases","show")</f>
        <v>show</v>
      </c>
    </row>
    <row r="4200" spans="1:6">
      <c r="A4200" t="s">
        <v>12511</v>
      </c>
      <c r="B4200" t="s">
        <v>12512</v>
      </c>
      <c r="C4200" t="s">
        <v>12513</v>
      </c>
      <c r="D4200" t="str">
        <f>HYPERLINK("https://github.com/nextcloud/android/issues/9173","show")</f>
        <v>show</v>
      </c>
      <c r="E4200" t="str">
        <f>HYPERLINK("https://github.com/nextcloud/android","show")</f>
        <v>show</v>
      </c>
      <c r="F4200" t="str">
        <f>HYPERLINK("https://github.com/nextcloud/android/releases","show")</f>
        <v>show</v>
      </c>
    </row>
    <row r="4201" spans="1:6">
      <c r="A4201" t="s">
        <v>12514</v>
      </c>
      <c r="B4201" t="s">
        <v>12515</v>
      </c>
      <c r="C4201" t="s">
        <v>12516</v>
      </c>
      <c r="D4201" t="str">
        <f>HYPERLINK("https://github.com/Anuken/Mindustry/issues/6256","show")</f>
        <v>show</v>
      </c>
      <c r="E4201" t="str">
        <f>HYPERLINK("https://github.com/Anuken/Mindustry","show")</f>
        <v>show</v>
      </c>
      <c r="F4201" t="str">
        <f>HYPERLINK("https://github.com/Anuken/Mindustry/releases","show")</f>
        <v>show</v>
      </c>
    </row>
    <row r="4202" spans="1:6">
      <c r="A4202" t="s">
        <v>12517</v>
      </c>
      <c r="B4202" t="s">
        <v>12518</v>
      </c>
      <c r="C4202" t="s">
        <v>12519</v>
      </c>
      <c r="D4202" t="str">
        <f>HYPERLINK("https://github.com/dedis/popstellar/issues/552","show")</f>
        <v>show</v>
      </c>
      <c r="E4202" t="str">
        <f>HYPERLINK("https://github.com/dedis/popstellar","show")</f>
        <v>show</v>
      </c>
      <c r="F4202" t="str">
        <f>HYPERLINK("https://github.com/dedis/popstellar/releases","show")</f>
        <v>show</v>
      </c>
    </row>
    <row r="4203" spans="1:6">
      <c r="A4203" t="s">
        <v>12520</v>
      </c>
      <c r="B4203" t="s">
        <v>12521</v>
      </c>
      <c r="C4203" t="s">
        <v>12522</v>
      </c>
      <c r="D4203" t="str">
        <f>HYPERLINK("https://github.com/TeamNewPipe/NewPipe/issues/7321","show")</f>
        <v>show</v>
      </c>
      <c r="E4203" t="str">
        <f>HYPERLINK("https://github.com/TeamNewPipe/NewPipe","show")</f>
        <v>show</v>
      </c>
      <c r="F4203" t="str">
        <f>HYPERLINK("https://github.com/TeamNewPipe/NewPipe/releases","show")</f>
        <v>show</v>
      </c>
    </row>
    <row r="4204" spans="1:6">
      <c r="A4204" t="s">
        <v>12523</v>
      </c>
      <c r="B4204" t="s">
        <v>12524</v>
      </c>
      <c r="C4204" t="s">
        <v>12525</v>
      </c>
      <c r="D4204" t="str">
        <f>HYPERLINK("https://github.com/PojavLauncherTeam/PojavLauncher/issues/2174","show")</f>
        <v>show</v>
      </c>
      <c r="E4204" t="str">
        <f>HYPERLINK("https://github.com/PojavLauncherTeam/PojavLauncher","show")</f>
        <v>show</v>
      </c>
      <c r="F4204" t="str">
        <f>HYPERLINK("https://github.com/PojavLauncherTeam/PojavLauncher/releases","show")</f>
        <v>show</v>
      </c>
    </row>
    <row r="4205" spans="1:6">
      <c r="A4205" t="s">
        <v>12526</v>
      </c>
      <c r="B4205" t="s">
        <v>12527</v>
      </c>
      <c r="C4205" t="s">
        <v>12528</v>
      </c>
      <c r="D4205" t="str">
        <f>HYPERLINK("https://github.com/PojavLauncherTeam/PojavLauncher/issues/2173","show")</f>
        <v>show</v>
      </c>
      <c r="E4205" t="str">
        <f>HYPERLINK("https://github.com/PojavLauncherTeam/PojavLauncher","show")</f>
        <v>show</v>
      </c>
      <c r="F4205" t="str">
        <f>HYPERLINK("https://github.com/PojavLauncherTeam/PojavLauncher/releases","show")</f>
        <v>show</v>
      </c>
    </row>
    <row r="4206" spans="1:6">
      <c r="A4206" t="s">
        <v>12529</v>
      </c>
      <c r="B4206" t="s">
        <v>12530</v>
      </c>
      <c r="C4206" t="s">
        <v>12531</v>
      </c>
      <c r="D4206" t="str">
        <f>HYPERLINK("https://github.com/popcorn-official/popcorn-android/issues/778","show")</f>
        <v>show</v>
      </c>
      <c r="E4206" t="str">
        <f>HYPERLINK("https://github.com/popcorn-official/popcorn-android","show")</f>
        <v>show</v>
      </c>
      <c r="F4206" t="str">
        <f>HYPERLINK("https://github.com/popcorn-official/popcorn-android/releases","show")</f>
        <v>show</v>
      </c>
    </row>
    <row r="4207" spans="1:6">
      <c r="A4207" t="s">
        <v>12532</v>
      </c>
      <c r="B4207" t="s">
        <v>12533</v>
      </c>
      <c r="C4207" t="s">
        <v>12094</v>
      </c>
      <c r="D4207" t="str">
        <f>HYPERLINK("https://github.com/Anuken/Mindustry/issues/6249","show")</f>
        <v>show</v>
      </c>
      <c r="E4207" t="str">
        <f>HYPERLINK("https://github.com/Anuken/Mindustry","show")</f>
        <v>show</v>
      </c>
      <c r="F4207" t="str">
        <f>HYPERLINK("https://github.com/Anuken/Mindustry/releases","show")</f>
        <v>show</v>
      </c>
    </row>
    <row r="4208" spans="1:6">
      <c r="A4208" t="s">
        <v>12534</v>
      </c>
      <c r="B4208" t="s">
        <v>12535</v>
      </c>
      <c r="C4208" t="s">
        <v>12536</v>
      </c>
      <c r="D4208" t="str">
        <f>HYPERLINK("https://github.com/dedis/popstellar/issues/546","show")</f>
        <v>show</v>
      </c>
      <c r="E4208" t="str">
        <f>HYPERLINK("https://github.com/dedis/popstellar","show")</f>
        <v>show</v>
      </c>
      <c r="F4208" t="str">
        <f>HYPERLINK("https://github.com/dedis/popstellar/releases","show")</f>
        <v>show</v>
      </c>
    </row>
    <row r="4209" spans="1:6">
      <c r="A4209" t="s">
        <v>12537</v>
      </c>
      <c r="B4209" t="s">
        <v>12538</v>
      </c>
      <c r="C4209" t="s">
        <v>12539</v>
      </c>
      <c r="D4209" t="str">
        <f>HYPERLINK("https://github.com/TeamNewPipe/NewPipe/issues/7319","show")</f>
        <v>show</v>
      </c>
      <c r="E4209" t="str">
        <f>HYPERLINK("https://github.com/TeamNewPipe/NewPipe","show")</f>
        <v>show</v>
      </c>
      <c r="F4209" t="str">
        <f>HYPERLINK("https://github.com/TeamNewPipe/NewPipe/releases","show")</f>
        <v>show</v>
      </c>
    </row>
    <row r="4210" spans="1:6">
      <c r="A4210" t="s">
        <v>12540</v>
      </c>
      <c r="B4210" t="s">
        <v>12541</v>
      </c>
      <c r="C4210" t="s">
        <v>12542</v>
      </c>
      <c r="D4210" t="str">
        <f>HYPERLINK("https://github.com/AniTrend/anitrend-app/issues/453","show")</f>
        <v>show</v>
      </c>
      <c r="E4210" t="str">
        <f>HYPERLINK("https://github.com/AniTrend/anitrend-app","show")</f>
        <v>show</v>
      </c>
      <c r="F4210" t="str">
        <f>HYPERLINK("https://github.com/AniTrend/anitrend-app/releases","show")</f>
        <v>show</v>
      </c>
    </row>
    <row r="4211" spans="1:6">
      <c r="A4211" t="s">
        <v>12543</v>
      </c>
      <c r="B4211" t="s">
        <v>12544</v>
      </c>
      <c r="C4211" t="s">
        <v>12545</v>
      </c>
      <c r="D4211" t="str">
        <f>HYPERLINK("https://github.com/Anuken/Mindustry/issues/6245","show")</f>
        <v>show</v>
      </c>
      <c r="E4211" t="str">
        <f>HYPERLINK("https://github.com/Anuken/Mindustry","show")</f>
        <v>show</v>
      </c>
      <c r="F4211" t="str">
        <f>HYPERLINK("https://github.com/Anuken/Mindustry/releases","show")</f>
        <v>show</v>
      </c>
    </row>
    <row r="4212" spans="1:6">
      <c r="A4212" t="s">
        <v>12546</v>
      </c>
      <c r="B4212" t="s">
        <v>12547</v>
      </c>
      <c r="C4212" t="s">
        <v>12548</v>
      </c>
      <c r="D4212" t="str">
        <f>HYPERLINK("https://github.com/Anuken/Mindustry/issues/6244","show")</f>
        <v>show</v>
      </c>
      <c r="E4212" t="str">
        <f>HYPERLINK("https://github.com/Anuken/Mindustry","show")</f>
        <v>show</v>
      </c>
      <c r="F4212" t="str">
        <f>HYPERLINK("https://github.com/Anuken/Mindustry/releases","show")</f>
        <v>show</v>
      </c>
    </row>
    <row r="4213" spans="1:6">
      <c r="A4213" t="s">
        <v>12549</v>
      </c>
      <c r="B4213" t="s">
        <v>12550</v>
      </c>
      <c r="C4213" t="s">
        <v>12551</v>
      </c>
      <c r="D4213" t="str">
        <f>HYPERLINK("https://github.com/nextcloud/android/issues/9160","show")</f>
        <v>show</v>
      </c>
      <c r="E4213" t="str">
        <f>HYPERLINK("https://github.com/nextcloud/android","show")</f>
        <v>show</v>
      </c>
      <c r="F4213" t="str">
        <f>HYPERLINK("https://github.com/nextcloud/android/releases","show")</f>
        <v>show</v>
      </c>
    </row>
    <row r="4214" spans="1:6">
      <c r="A4214" t="s">
        <v>12552</v>
      </c>
      <c r="B4214" t="s">
        <v>12553</v>
      </c>
      <c r="C4214" t="s">
        <v>12554</v>
      </c>
      <c r="D4214" t="str">
        <f>HYPERLINK("https://github.com/TeamNewPipe/NewPipe/issues/7316","show")</f>
        <v>show</v>
      </c>
      <c r="E4214" t="str">
        <f>HYPERLINK("https://github.com/TeamNewPipe/NewPipe","show")</f>
        <v>show</v>
      </c>
      <c r="F4214" t="str">
        <f>HYPERLINK("https://github.com/TeamNewPipe/NewPipe/releases","show")</f>
        <v>show</v>
      </c>
    </row>
    <row r="4215" spans="1:6">
      <c r="A4215" t="s">
        <v>12555</v>
      </c>
      <c r="B4215" t="s">
        <v>12556</v>
      </c>
      <c r="C4215" t="s">
        <v>12557</v>
      </c>
      <c r="D4215" t="str">
        <f>HYPERLINK("https://github.com/TeamNewPipe/NewPipe/issues/7315","show")</f>
        <v>show</v>
      </c>
      <c r="E4215" t="str">
        <f>HYPERLINK("https://github.com/TeamNewPipe/NewPipe","show")</f>
        <v>show</v>
      </c>
      <c r="F4215" t="str">
        <f>HYPERLINK("https://github.com/TeamNewPipe/NewPipe/releases","show")</f>
        <v>show</v>
      </c>
    </row>
    <row r="4216" spans="1:6">
      <c r="A4216" t="s">
        <v>12558</v>
      </c>
      <c r="B4216" t="s">
        <v>12559</v>
      </c>
      <c r="C4216" t="s">
        <v>12560</v>
      </c>
      <c r="D4216" t="str">
        <f>HYPERLINK("https://github.com/TeamNewPipe/NewPipe/issues/7314","show")</f>
        <v>show</v>
      </c>
      <c r="E4216" t="str">
        <f>HYPERLINK("https://github.com/TeamNewPipe/NewPipe","show")</f>
        <v>show</v>
      </c>
      <c r="F4216" t="str">
        <f>HYPERLINK("https://github.com/TeamNewPipe/NewPipe/releases","show")</f>
        <v>show</v>
      </c>
    </row>
    <row r="4217" spans="1:6">
      <c r="A4217" t="s">
        <v>12561</v>
      </c>
      <c r="B4217" t="s">
        <v>12562</v>
      </c>
      <c r="C4217" t="s">
        <v>12563</v>
      </c>
      <c r="D4217" t="str">
        <f>HYPERLINK("https://github.com/openboard-team/openboard/issues/463","show")</f>
        <v>show</v>
      </c>
      <c r="E4217" t="str">
        <f>HYPERLINK("https://github.com/openboard-team/openboard","show")</f>
        <v>show</v>
      </c>
      <c r="F4217" t="str">
        <f>HYPERLINK("https://github.com/openboard-team/openboard/releases","show")</f>
        <v>show</v>
      </c>
    </row>
    <row r="4218" spans="1:6">
      <c r="A4218" t="s">
        <v>12564</v>
      </c>
      <c r="B4218" t="s">
        <v>12565</v>
      </c>
      <c r="C4218" t="s">
        <v>12566</v>
      </c>
      <c r="D4218" t="str">
        <f>HYPERLINK("https://github.com/NordicSemiconductor/Android-DFU-Library/issues/315","show")</f>
        <v>show</v>
      </c>
      <c r="E4218" t="str">
        <f>HYPERLINK("https://github.com/NordicSemiconductor/Android-DFU-Library","show")</f>
        <v>show</v>
      </c>
      <c r="F4218" t="str">
        <f>HYPERLINK("https://github.com/NordicSemiconductor/Android-DFU-Library/releases","show")</f>
        <v>show</v>
      </c>
    </row>
    <row r="4219" spans="1:6">
      <c r="A4219" t="s">
        <v>12567</v>
      </c>
      <c r="B4219" t="s">
        <v>12568</v>
      </c>
      <c r="C4219" t="s">
        <v>12569</v>
      </c>
      <c r="D4219" t="str">
        <f>HYPERLINK("https://github.com/nextcloud/android/issues/9155","show")</f>
        <v>show</v>
      </c>
      <c r="E4219" t="str">
        <f>HYPERLINK("https://github.com/nextcloud/android","show")</f>
        <v>show</v>
      </c>
      <c r="F4219" t="str">
        <f>HYPERLINK("https://github.com/nextcloud/android/releases","show")</f>
        <v>show</v>
      </c>
    </row>
    <row r="4220" spans="1:6">
      <c r="A4220" t="s">
        <v>12570</v>
      </c>
      <c r="B4220" t="s">
        <v>12571</v>
      </c>
      <c r="C4220" t="s">
        <v>12572</v>
      </c>
      <c r="D4220" t="str">
        <f>HYPERLINK("https://github.com/doublesymmetry/react-native-track-player/issues/1313","show")</f>
        <v>show</v>
      </c>
      <c r="E4220" t="str">
        <f>HYPERLINK("https://github.com/doublesymmetry/react-native-track-player","show")</f>
        <v>show</v>
      </c>
      <c r="F4220" t="str">
        <f>HYPERLINK("https://github.com/doublesymmetry/react-native-track-player/releases","show")</f>
        <v>show</v>
      </c>
    </row>
    <row r="4221" spans="1:6">
      <c r="A4221" t="s">
        <v>12573</v>
      </c>
      <c r="B4221" t="s">
        <v>12574</v>
      </c>
      <c r="C4221" t="s">
        <v>12575</v>
      </c>
      <c r="D4221" t="str">
        <f>HYPERLINK("https://github.com/PojavLauncherTeam/PojavLauncher/issues/2169","show")</f>
        <v>show</v>
      </c>
      <c r="E4221" t="str">
        <f>HYPERLINK("https://github.com/PojavLauncherTeam/PojavLauncher","show")</f>
        <v>show</v>
      </c>
      <c r="F4221" t="str">
        <f>HYPERLINK("https://github.com/PojavLauncherTeam/PojavLauncher/releases","show")</f>
        <v>show</v>
      </c>
    </row>
    <row r="4222" spans="1:6">
      <c r="A4222" t="s">
        <v>12576</v>
      </c>
      <c r="B4222" t="s">
        <v>12577</v>
      </c>
      <c r="C4222" t="s">
        <v>12578</v>
      </c>
      <c r="D4222" t="str">
        <f>HYPERLINK("https://github.com/androidx/constraintlayout/issues/430","show")</f>
        <v>show</v>
      </c>
      <c r="E4222" t="str">
        <f>HYPERLINK("https://github.com/androidx/constraintlayout","show")</f>
        <v>show</v>
      </c>
      <c r="F4222" t="str">
        <f>HYPERLINK("https://github.com/androidx/constraintlayout/releases","show")</f>
        <v>show</v>
      </c>
    </row>
    <row r="4223" spans="1:6">
      <c r="A4223" t="s">
        <v>12579</v>
      </c>
      <c r="B4223" t="s">
        <v>12580</v>
      </c>
      <c r="C4223" t="s">
        <v>12581</v>
      </c>
      <c r="D4223" t="str">
        <f>HYPERLINK("https://github.com/aws-amplify/aws-sdk-android/issues/2813","show")</f>
        <v>show</v>
      </c>
      <c r="E4223" t="str">
        <f>HYPERLINK("https://github.com/aws-amplify/aws-sdk-android","show")</f>
        <v>show</v>
      </c>
      <c r="F4223" t="str">
        <f>HYPERLINK("https://github.com/aws-amplify/aws-sdk-android/releases","show")</f>
        <v>show</v>
      </c>
    </row>
    <row r="4224" spans="1:6">
      <c r="A4224" t="s">
        <v>12582</v>
      </c>
      <c r="B4224" t="s">
        <v>12583</v>
      </c>
      <c r="C4224" t="s">
        <v>12584</v>
      </c>
      <c r="D4224" t="str">
        <f>HYPERLINK("https://github.com/nextcloud/android/issues/9147","show")</f>
        <v>show</v>
      </c>
      <c r="E4224" t="str">
        <f>HYPERLINK("https://github.com/nextcloud/android","show")</f>
        <v>show</v>
      </c>
      <c r="F4224" t="str">
        <f>HYPERLINK("https://github.com/nextcloud/android/releases","show")</f>
        <v>show</v>
      </c>
    </row>
    <row r="4225" spans="1:6">
      <c r="A4225" t="s">
        <v>12585</v>
      </c>
      <c r="B4225" t="s">
        <v>12586</v>
      </c>
      <c r="C4225" t="s">
        <v>12587</v>
      </c>
      <c r="D4225" t="str">
        <f>HYPERLINK("https://github.com/TeamNewPipe/NewPipe/issues/7305","show")</f>
        <v>show</v>
      </c>
      <c r="E4225" t="str">
        <f>HYPERLINK("https://github.com/TeamNewPipe/NewPipe","show")</f>
        <v>show</v>
      </c>
      <c r="F4225" t="str">
        <f>HYPERLINK("https://github.com/TeamNewPipe/NewPipe/releases","show")</f>
        <v>show</v>
      </c>
    </row>
    <row r="4226" spans="1:6">
      <c r="A4226" t="s">
        <v>12588</v>
      </c>
      <c r="B4226" t="s">
        <v>12589</v>
      </c>
      <c r="C4226" t="s">
        <v>12590</v>
      </c>
      <c r="D4226" t="str">
        <f>HYPERLINK("https://github.com/Anuken/Mindustry/issues/6223","show")</f>
        <v>show</v>
      </c>
      <c r="E4226" t="str">
        <f>HYPERLINK("https://github.com/Anuken/Mindustry","show")</f>
        <v>show</v>
      </c>
      <c r="F4226" t="str">
        <f>HYPERLINK("https://github.com/Anuken/Mindustry/releases","show")</f>
        <v>show</v>
      </c>
    </row>
    <row r="4227" spans="1:6">
      <c r="A4227" t="s">
        <v>12591</v>
      </c>
      <c r="B4227" t="s">
        <v>12592</v>
      </c>
      <c r="C4227" t="s">
        <v>12593</v>
      </c>
      <c r="D4227" t="str">
        <f>HYPERLINK("https://github.com/Anuken/Mindustry/issues/6222","show")</f>
        <v>show</v>
      </c>
      <c r="E4227" t="str">
        <f>HYPERLINK("https://github.com/Anuken/Mindustry","show")</f>
        <v>show</v>
      </c>
      <c r="F4227" t="str">
        <f>HYPERLINK("https://github.com/Anuken/Mindustry/releases","show")</f>
        <v>show</v>
      </c>
    </row>
    <row r="4228" spans="1:6">
      <c r="A4228" t="s">
        <v>12594</v>
      </c>
      <c r="B4228" t="s">
        <v>12595</v>
      </c>
      <c r="C4228" t="s">
        <v>12596</v>
      </c>
      <c r="D4228" t="str">
        <f>HYPERLINK("https://github.com/material-components/material-components-android/issues/2442","show")</f>
        <v>show</v>
      </c>
      <c r="E4228" t="str">
        <f>HYPERLINK("https://github.com/material-components/material-components-android","show")</f>
        <v>show</v>
      </c>
      <c r="F4228" t="str">
        <f>HYPERLINK("https://github.com/material-components/material-components-android/releases","show")</f>
        <v>show</v>
      </c>
    </row>
    <row r="4229" spans="1:6">
      <c r="A4229" t="s">
        <v>12597</v>
      </c>
      <c r="B4229" t="s">
        <v>12598</v>
      </c>
      <c r="C4229" t="s">
        <v>12599</v>
      </c>
      <c r="D4229" t="str">
        <f>HYPERLINK("https://github.com/Etar-Group/Etar-Calendar/issues/1025","show")</f>
        <v>show</v>
      </c>
      <c r="E4229" t="str">
        <f>HYPERLINK("https://github.com/Etar-Group/Etar-Calendar","show")</f>
        <v>show</v>
      </c>
      <c r="F4229" t="str">
        <f>HYPERLINK("https://github.com/Etar-Group/Etar-Calendar/releases","show")</f>
        <v>show</v>
      </c>
    </row>
    <row r="4230" spans="1:6">
      <c r="A4230" t="s">
        <v>12600</v>
      </c>
      <c r="B4230" t="s">
        <v>12601</v>
      </c>
      <c r="C4230" t="s">
        <v>12602</v>
      </c>
      <c r="D4230" t="str">
        <f>HYPERLINK("https://github.com/nextcloud/android/issues/9132","show")</f>
        <v>show</v>
      </c>
      <c r="E4230" t="str">
        <f>HYPERLINK("https://github.com/nextcloud/android","show")</f>
        <v>show</v>
      </c>
      <c r="F4230" t="str">
        <f>HYPERLINK("https://github.com/nextcloud/android/releases","show")</f>
        <v>show</v>
      </c>
    </row>
    <row r="4231" spans="1:6">
      <c r="A4231" t="s">
        <v>12603</v>
      </c>
      <c r="B4231" t="s">
        <v>12604</v>
      </c>
      <c r="C4231" t="s">
        <v>12605</v>
      </c>
      <c r="D4231" t="str">
        <f>HYPERLINK("https://github.com/Anuken/Mindustry/issues/6221","show")</f>
        <v>show</v>
      </c>
      <c r="E4231" t="str">
        <f>HYPERLINK("https://github.com/Anuken/Mindustry","show")</f>
        <v>show</v>
      </c>
      <c r="F4231" t="str">
        <f>HYPERLINK("https://github.com/Anuken/Mindustry/releases","show")</f>
        <v>show</v>
      </c>
    </row>
    <row r="4232" spans="1:6">
      <c r="A4232" t="s">
        <v>12606</v>
      </c>
      <c r="B4232" t="s">
        <v>12607</v>
      </c>
      <c r="C4232" t="s">
        <v>12608</v>
      </c>
      <c r="D4232" t="str">
        <f>HYPERLINK("https://github.com/TeamNewPipe/NewPipe/issues/7301","show")</f>
        <v>show</v>
      </c>
      <c r="E4232" t="str">
        <f>HYPERLINK("https://github.com/TeamNewPipe/NewPipe","show")</f>
        <v>show</v>
      </c>
      <c r="F4232" t="str">
        <f>HYPERLINK("https://github.com/TeamNewPipe/NewPipe/releases","show")</f>
        <v>show</v>
      </c>
    </row>
    <row r="4233" spans="1:6">
      <c r="A4233" t="s">
        <v>12609</v>
      </c>
      <c r="B4233" t="s">
        <v>12610</v>
      </c>
      <c r="C4233" t="s">
        <v>12611</v>
      </c>
      <c r="D4233" t="str">
        <f>HYPERLINK("https://github.com/cgeo/cgeo/issues/11959","show")</f>
        <v>show</v>
      </c>
      <c r="E4233" t="str">
        <f>HYPERLINK("https://github.com/cgeo/cgeo","show")</f>
        <v>show</v>
      </c>
      <c r="F4233" t="str">
        <f>HYPERLINK("https://github.com/cgeo/cgeo/releases","show")</f>
        <v>show</v>
      </c>
    </row>
    <row r="4234" spans="1:6">
      <c r="A4234" t="s">
        <v>12612</v>
      </c>
      <c r="B4234" t="s">
        <v>12613</v>
      </c>
      <c r="C4234" t="s">
        <v>12614</v>
      </c>
      <c r="D4234" t="str">
        <f>HYPERLINK("https://github.com/TeamNewPipe/NewPipe/issues/7299","show")</f>
        <v>show</v>
      </c>
      <c r="E4234" t="str">
        <f>HYPERLINK("https://github.com/TeamNewPipe/NewPipe","show")</f>
        <v>show</v>
      </c>
      <c r="F4234" t="str">
        <f>HYPERLINK("https://github.com/TeamNewPipe/NewPipe/releases","show")</f>
        <v>show</v>
      </c>
    </row>
    <row r="4235" spans="1:6">
      <c r="A4235" t="s">
        <v>12615</v>
      </c>
      <c r="B4235" t="s">
        <v>12616</v>
      </c>
      <c r="C4235" t="s">
        <v>12617</v>
      </c>
      <c r="D4235" t="str">
        <f>HYPERLINK("https://github.com/TeamNewPipe/NewPipe/issues/7298","show")</f>
        <v>show</v>
      </c>
      <c r="E4235" t="str">
        <f>HYPERLINK("https://github.com/TeamNewPipe/NewPipe","show")</f>
        <v>show</v>
      </c>
      <c r="F4235" t="str">
        <f>HYPERLINK("https://github.com/TeamNewPipe/NewPipe/releases","show")</f>
        <v>show</v>
      </c>
    </row>
    <row r="4236" spans="1:6">
      <c r="A4236" t="s">
        <v>12618</v>
      </c>
      <c r="B4236" t="s">
        <v>12619</v>
      </c>
      <c r="C4236" t="s">
        <v>12620</v>
      </c>
      <c r="D4236" t="str">
        <f>HYPERLINK("https://github.com/MuntashirAkon/AppManager/issues/606","show")</f>
        <v>show</v>
      </c>
      <c r="E4236" t="str">
        <f>HYPERLINK("https://github.com/MuntashirAkon/AppManager","show")</f>
        <v>show</v>
      </c>
      <c r="F4236" t="str">
        <f>HYPERLINK("https://github.com/MuntashirAkon/AppManager/releases","show")</f>
        <v>show</v>
      </c>
    </row>
    <row r="4237" spans="1:6">
      <c r="A4237" t="s">
        <v>12621</v>
      </c>
      <c r="B4237" t="s">
        <v>12622</v>
      </c>
      <c r="C4237" t="s">
        <v>12623</v>
      </c>
      <c r="D4237" t="str">
        <f>HYPERLINK("https://github.com/cgeo/cgeo/issues/11958","show")</f>
        <v>show</v>
      </c>
      <c r="E4237" t="str">
        <f>HYPERLINK("https://github.com/cgeo/cgeo","show")</f>
        <v>show</v>
      </c>
      <c r="F4237" t="str">
        <f>HYPERLINK("https://github.com/cgeo/cgeo/releases","show")</f>
        <v>show</v>
      </c>
    </row>
    <row r="4238" spans="1:6">
      <c r="A4238" t="s">
        <v>12624</v>
      </c>
      <c r="B4238" t="s">
        <v>107</v>
      </c>
      <c r="C4238" t="s">
        <v>12625</v>
      </c>
      <c r="D4238" t="str">
        <f>HYPERLINK("https://github.com/eidottermihi/rpicheck/issues/221","show")</f>
        <v>show</v>
      </c>
      <c r="E4238" t="str">
        <f>HYPERLINK("https://github.com/eidottermihi/rpicheck","show")</f>
        <v>show</v>
      </c>
      <c r="F4238" t="str">
        <f>HYPERLINK("https://github.com/eidottermihi/rpicheck/releases","show")</f>
        <v>show</v>
      </c>
    </row>
    <row r="4239" spans="1:6">
      <c r="A4239" t="s">
        <v>12626</v>
      </c>
      <c r="B4239" t="s">
        <v>12627</v>
      </c>
      <c r="C4239" t="s">
        <v>12628</v>
      </c>
      <c r="D4239" t="str">
        <f>HYPERLINK("https://github.com/cgeo/cgeo/issues/11951","show")</f>
        <v>show</v>
      </c>
      <c r="E4239" t="str">
        <f>HYPERLINK("https://github.com/cgeo/cgeo","show")</f>
        <v>show</v>
      </c>
      <c r="F4239" t="str">
        <f>HYPERLINK("https://github.com/cgeo/cgeo/releases","show")</f>
        <v>show</v>
      </c>
    </row>
    <row r="4240" spans="1:6">
      <c r="A4240" t="s">
        <v>12629</v>
      </c>
      <c r="B4240" t="s">
        <v>12630</v>
      </c>
      <c r="C4240" t="s">
        <v>12631</v>
      </c>
      <c r="D4240" t="str">
        <f>HYPERLINK("https://github.com/norkator/apcupsd-monitor/issues/69","show")</f>
        <v>show</v>
      </c>
      <c r="E4240" t="str">
        <f>HYPERLINK("https://github.com/norkator/apcupsd-monitor","show")</f>
        <v>show</v>
      </c>
      <c r="F4240" t="str">
        <f>HYPERLINK("https://github.com/norkator/apcupsd-monitor/releases","show")</f>
        <v>show</v>
      </c>
    </row>
    <row r="4241" spans="1:6">
      <c r="A4241" t="s">
        <v>12632</v>
      </c>
      <c r="B4241" t="s">
        <v>12633</v>
      </c>
      <c r="C4241" t="s">
        <v>12634</v>
      </c>
      <c r="D4241" t="str">
        <f>HYPERLINK("https://github.com/inaturalist/iNaturalistAndroid/issues/1136","show")</f>
        <v>show</v>
      </c>
      <c r="E4241" t="str">
        <f>HYPERLINK("https://github.com/inaturalist/iNaturalistAndroid","show")</f>
        <v>show</v>
      </c>
      <c r="F4241" t="str">
        <f>HYPERLINK("https://github.com/inaturalist/iNaturalistAndroid/releases","show")</f>
        <v>show</v>
      </c>
    </row>
    <row r="4242" spans="1:6">
      <c r="A4242" t="s">
        <v>12635</v>
      </c>
      <c r="B4242" t="s">
        <v>12636</v>
      </c>
      <c r="C4242" t="s">
        <v>12637</v>
      </c>
      <c r="D4242" t="str">
        <f>HYPERLINK("https://github.com/TeamNewPipe/NewPipe/issues/7290","show")</f>
        <v>show</v>
      </c>
      <c r="E4242" t="str">
        <f>HYPERLINK("https://github.com/TeamNewPipe/NewPipe","show")</f>
        <v>show</v>
      </c>
      <c r="F4242" t="str">
        <f>HYPERLINK("https://github.com/TeamNewPipe/NewPipe/releases","show")</f>
        <v>show</v>
      </c>
    </row>
    <row r="4243" spans="1:6">
      <c r="A4243" t="s">
        <v>12638</v>
      </c>
      <c r="B4243" t="s">
        <v>12639</v>
      </c>
      <c r="C4243" t="s">
        <v>12640</v>
      </c>
      <c r="D4243" t="str">
        <f>HYPERLINK("https://github.com/material-components/material-components-android/issues/2438","show")</f>
        <v>show</v>
      </c>
      <c r="E4243" t="str">
        <f>HYPERLINK("https://github.com/material-components/material-components-android","show")</f>
        <v>show</v>
      </c>
      <c r="F4243" t="str">
        <f>HYPERLINK("https://github.com/material-components/material-components-android/releases","show")</f>
        <v>show</v>
      </c>
    </row>
    <row r="4244" spans="1:6">
      <c r="A4244" t="s">
        <v>12641</v>
      </c>
      <c r="B4244" t="s">
        <v>12642</v>
      </c>
      <c r="C4244" t="s">
        <v>12643</v>
      </c>
      <c r="D4244" t="str">
        <f>HYPERLINK("https://github.com/MuntashirAkon/AppManager/issues/605","show")</f>
        <v>show</v>
      </c>
      <c r="E4244" t="str">
        <f>HYPERLINK("https://github.com/MuntashirAkon/AppManager","show")</f>
        <v>show</v>
      </c>
      <c r="F4244" t="str">
        <f>HYPERLINK("https://github.com/MuntashirAkon/AppManager/releases","show")</f>
        <v>show</v>
      </c>
    </row>
    <row r="4245" spans="1:6">
      <c r="A4245" t="s">
        <v>12644</v>
      </c>
      <c r="B4245" t="s">
        <v>3919</v>
      </c>
      <c r="C4245" t="s">
        <v>12645</v>
      </c>
      <c r="D4245" t="str">
        <f>HYPERLINK("https://github.com/voxeet/voxeet-uxkit-android/issues/33","show")</f>
        <v>show</v>
      </c>
      <c r="E4245" t="str">
        <f>HYPERLINK("https://github.com/voxeet/voxeet-uxkit-android","show")</f>
        <v>show</v>
      </c>
      <c r="F4245" t="str">
        <f>HYPERLINK("https://github.com/voxeet/voxeet-uxkit-android/releases","show")</f>
        <v>show</v>
      </c>
    </row>
    <row r="4246" spans="1:6">
      <c r="A4246" t="s">
        <v>12646</v>
      </c>
      <c r="B4246" t="s">
        <v>12647</v>
      </c>
      <c r="C4246" t="s">
        <v>12648</v>
      </c>
      <c r="D4246" t="str">
        <f>HYPERLINK("https://github.com/Anuken/Mindustry/issues/6200","show")</f>
        <v>show</v>
      </c>
      <c r="E4246" t="str">
        <f>HYPERLINK("https://github.com/Anuken/Mindustry","show")</f>
        <v>show</v>
      </c>
      <c r="F4246" t="str">
        <f>HYPERLINK("https://github.com/Anuken/Mindustry/releases","show")</f>
        <v>show</v>
      </c>
    </row>
    <row r="4247" spans="1:6">
      <c r="A4247" t="s">
        <v>12649</v>
      </c>
      <c r="B4247" t="s">
        <v>9922</v>
      </c>
      <c r="C4247" t="s">
        <v>12650</v>
      </c>
      <c r="D4247" t="str">
        <f>HYPERLINK("https://github.com/PojavLauncherTeam/PojavLauncher/issues/2148","show")</f>
        <v>show</v>
      </c>
      <c r="E4247" t="str">
        <f>HYPERLINK("https://github.com/PojavLauncherTeam/PojavLauncher","show")</f>
        <v>show</v>
      </c>
      <c r="F4247" t="str">
        <f>HYPERLINK("https://github.com/PojavLauncherTeam/PojavLauncher/releases","show")</f>
        <v>show</v>
      </c>
    </row>
    <row r="4248" spans="1:6">
      <c r="A4248" t="s">
        <v>12651</v>
      </c>
      <c r="B4248" t="s">
        <v>12652</v>
      </c>
      <c r="C4248" t="s">
        <v>12653</v>
      </c>
      <c r="D4248" t="str">
        <f>HYPERLINK("https://github.com/PojavLauncherTeam/PojavLauncher/issues/2147","show")</f>
        <v>show</v>
      </c>
      <c r="E4248" t="str">
        <f>HYPERLINK("https://github.com/PojavLauncherTeam/PojavLauncher","show")</f>
        <v>show</v>
      </c>
      <c r="F4248" t="str">
        <f>HYPERLINK("https://github.com/PojavLauncherTeam/PojavLauncher/releases","show")</f>
        <v>show</v>
      </c>
    </row>
    <row r="4249" spans="1:6">
      <c r="A4249" t="s">
        <v>12654</v>
      </c>
      <c r="B4249" t="s">
        <v>12655</v>
      </c>
      <c r="C4249" t="s">
        <v>12656</v>
      </c>
      <c r="D4249" t="str">
        <f>HYPERLINK("https://github.com/nextcloud/android/issues/9120","show")</f>
        <v>show</v>
      </c>
      <c r="E4249" t="str">
        <f>HYPERLINK("https://github.com/nextcloud/android","show")</f>
        <v>show</v>
      </c>
      <c r="F4249" t="str">
        <f>HYPERLINK("https://github.com/nextcloud/android/releases","show")</f>
        <v>show</v>
      </c>
    </row>
    <row r="4250" spans="1:6">
      <c r="A4250" t="s">
        <v>12657</v>
      </c>
      <c r="B4250" t="s">
        <v>12658</v>
      </c>
      <c r="C4250" t="s">
        <v>12659</v>
      </c>
      <c r="D4250" t="str">
        <f>HYPERLINK("https://github.com/TacoTheDank/Scoop/issues/38","show")</f>
        <v>show</v>
      </c>
      <c r="E4250" t="str">
        <f>HYPERLINK("https://github.com/TacoTheDank/Scoop","show")</f>
        <v>show</v>
      </c>
      <c r="F4250" t="str">
        <f>HYPERLINK("https://github.com/TacoTheDank/Scoop/releases","show")</f>
        <v>show</v>
      </c>
    </row>
    <row r="4251" spans="1:6">
      <c r="A4251" t="s">
        <v>12660</v>
      </c>
      <c r="B4251" t="s">
        <v>12661</v>
      </c>
      <c r="C4251" t="s">
        <v>12662</v>
      </c>
      <c r="D4251" t="str">
        <f>HYPERLINK("https://github.com/TacoTheDank/Scoop/issues/37","show")</f>
        <v>show</v>
      </c>
      <c r="E4251" t="str">
        <f>HYPERLINK("https://github.com/TacoTheDank/Scoop","show")</f>
        <v>show</v>
      </c>
      <c r="F4251" t="str">
        <f>HYPERLINK("https://github.com/TacoTheDank/Scoop/releases","show")</f>
        <v>show</v>
      </c>
    </row>
    <row r="4252" spans="1:6">
      <c r="A4252" t="s">
        <v>12663</v>
      </c>
      <c r="B4252" t="s">
        <v>12664</v>
      </c>
      <c r="C4252" t="s">
        <v>12665</v>
      </c>
      <c r="D4252" t="str">
        <f>HYPERLINK("https://github.com/TeamNewPipe/NewPipe/issues/7283","show")</f>
        <v>show</v>
      </c>
      <c r="E4252" t="str">
        <f>HYPERLINK("https://github.com/TeamNewPipe/NewPipe","show")</f>
        <v>show</v>
      </c>
      <c r="F4252" t="str">
        <f>HYPERLINK("https://github.com/TeamNewPipe/NewPipe/releases","show")</f>
        <v>show</v>
      </c>
    </row>
    <row r="4253" spans="1:6">
      <c r="A4253" t="s">
        <v>12666</v>
      </c>
      <c r="B4253" t="s">
        <v>12667</v>
      </c>
      <c r="C4253" t="s">
        <v>12668</v>
      </c>
      <c r="D4253" t="str">
        <f>HYPERLINK("https://github.com/TacoTheDank/Scoop/issues/36","show")</f>
        <v>show</v>
      </c>
      <c r="E4253" t="str">
        <f>HYPERLINK("https://github.com/TacoTheDank/Scoop","show")</f>
        <v>show</v>
      </c>
      <c r="F4253" t="str">
        <f>HYPERLINK("https://github.com/TacoTheDank/Scoop/releases","show")</f>
        <v>show</v>
      </c>
    </row>
    <row r="4254" spans="1:6">
      <c r="A4254" t="s">
        <v>12669</v>
      </c>
      <c r="B4254" t="s">
        <v>12670</v>
      </c>
      <c r="C4254" t="s">
        <v>12671</v>
      </c>
      <c r="D4254" t="str">
        <f>HYPERLINK("https://github.com/Anuken/Mindustry/issues/6196","show")</f>
        <v>show</v>
      </c>
      <c r="E4254" t="str">
        <f>HYPERLINK("https://github.com/Anuken/Mindustry","show")</f>
        <v>show</v>
      </c>
      <c r="F4254" t="str">
        <f>HYPERLINK("https://github.com/Anuken/Mindustry/releases","show")</f>
        <v>show</v>
      </c>
    </row>
    <row r="4255" spans="1:6">
      <c r="A4255" t="s">
        <v>12672</v>
      </c>
      <c r="B4255" t="s">
        <v>12673</v>
      </c>
      <c r="C4255" t="s">
        <v>11069</v>
      </c>
      <c r="D4255" t="str">
        <f>HYPERLINK("https://github.com/TeamNewPipe/NewPipe/issues/7278","show")</f>
        <v>show</v>
      </c>
      <c r="E4255" t="str">
        <f>HYPERLINK("https://github.com/TeamNewPipe/NewPipe","show")</f>
        <v>show</v>
      </c>
      <c r="F4255" t="str">
        <f>HYPERLINK("https://github.com/TeamNewPipe/NewPipe/releases","show")</f>
        <v>show</v>
      </c>
    </row>
    <row r="4256" spans="1:6">
      <c r="A4256" t="s">
        <v>12674</v>
      </c>
      <c r="B4256" t="s">
        <v>12675</v>
      </c>
      <c r="C4256" t="s">
        <v>12676</v>
      </c>
      <c r="D4256" t="str">
        <f>HYPERLINK("https://github.com/Anuken/Mindustry/issues/6188","show")</f>
        <v>show</v>
      </c>
      <c r="E4256" t="str">
        <f>HYPERLINK("https://github.com/Anuken/Mindustry","show")</f>
        <v>show</v>
      </c>
      <c r="F4256" t="str">
        <f>HYPERLINK("https://github.com/Anuken/Mindustry/releases","show")</f>
        <v>show</v>
      </c>
    </row>
    <row r="4257" spans="1:6">
      <c r="A4257" t="s">
        <v>12677</v>
      </c>
      <c r="B4257" t="s">
        <v>12678</v>
      </c>
      <c r="C4257" t="s">
        <v>12679</v>
      </c>
      <c r="D4257" t="str">
        <f>HYPERLINK("https://github.com/hzi-braunschweig/SORMAS-Project/issues/6994","show")</f>
        <v>show</v>
      </c>
      <c r="E4257" t="str">
        <f>HYPERLINK("https://github.com/hzi-braunschweig/SORMAS-Project","show")</f>
        <v>show</v>
      </c>
      <c r="F4257" t="str">
        <f>HYPERLINK("https://github.com/hzi-braunschweig/SORMAS-Project/releases","show")</f>
        <v>show</v>
      </c>
    </row>
    <row r="4258" spans="1:6">
      <c r="A4258" t="s">
        <v>12680</v>
      </c>
      <c r="B4258" t="s">
        <v>12681</v>
      </c>
      <c r="C4258" t="s">
        <v>12682</v>
      </c>
      <c r="D4258" t="str">
        <f>HYPERLINK("https://github.com/LSPosed/LSPosed/issues/1307","show")</f>
        <v>show</v>
      </c>
      <c r="E4258" t="str">
        <f>HYPERLINK("https://github.com/LSPosed/LSPosed","show")</f>
        <v>show</v>
      </c>
      <c r="F4258" t="str">
        <f>HYPERLINK("https://github.com/LSPosed/LSPosed/releases","show")</f>
        <v>show</v>
      </c>
    </row>
    <row r="4259" spans="1:6">
      <c r="A4259" t="s">
        <v>12683</v>
      </c>
      <c r="B4259" t="s">
        <v>12684</v>
      </c>
      <c r="C4259" t="s">
        <v>12685</v>
      </c>
      <c r="D4259" t="str">
        <f>HYPERLINK("https://github.com/Anuken/Mindustry/issues/6184","show")</f>
        <v>show</v>
      </c>
      <c r="E4259" t="str">
        <f>HYPERLINK("https://github.com/Anuken/Mindustry","show")</f>
        <v>show</v>
      </c>
      <c r="F4259" t="str">
        <f>HYPERLINK("https://github.com/Anuken/Mindustry/releases","show")</f>
        <v>show</v>
      </c>
    </row>
    <row r="4260" spans="1:6">
      <c r="A4260" t="s">
        <v>12686</v>
      </c>
      <c r="B4260" t="s">
        <v>12509</v>
      </c>
      <c r="C4260" t="s">
        <v>12510</v>
      </c>
      <c r="D4260" t="str">
        <f>HYPERLINK("https://github.com/TeamNewPipe/NewPipe/issues/7272","show")</f>
        <v>show</v>
      </c>
      <c r="E4260" t="str">
        <f>HYPERLINK("https://github.com/TeamNewPipe/NewPipe","show")</f>
        <v>show</v>
      </c>
      <c r="F4260" t="str">
        <f>HYPERLINK("https://github.com/TeamNewPipe/NewPipe/releases","show")</f>
        <v>show</v>
      </c>
    </row>
    <row r="4261" spans="1:6">
      <c r="A4261" t="s">
        <v>12687</v>
      </c>
      <c r="B4261" t="s">
        <v>12688</v>
      </c>
      <c r="C4261" t="s">
        <v>12689</v>
      </c>
      <c r="D4261" t="str">
        <f>HYPERLINK("https://github.com/cgeo/cgeo/issues/11927","show")</f>
        <v>show</v>
      </c>
      <c r="E4261" t="str">
        <f>HYPERLINK("https://github.com/cgeo/cgeo","show")</f>
        <v>show</v>
      </c>
      <c r="F4261" t="str">
        <f>HYPERLINK("https://github.com/cgeo/cgeo/releases","show")</f>
        <v>show</v>
      </c>
    </row>
    <row r="4262" spans="1:6">
      <c r="A4262" t="s">
        <v>12690</v>
      </c>
      <c r="B4262" t="s">
        <v>12691</v>
      </c>
      <c r="C4262" t="s">
        <v>12692</v>
      </c>
      <c r="D4262" t="str">
        <f>HYPERLINK("https://github.com/mI-PIV/app/issues/168","show")</f>
        <v>show</v>
      </c>
      <c r="E4262" t="str">
        <f>HYPERLINK("https://github.com/mI-PIV/app","show")</f>
        <v>show</v>
      </c>
      <c r="F4262" t="str">
        <f>HYPERLINK("https://github.com/mI-PIV/app/releases","show")</f>
        <v>show</v>
      </c>
    </row>
    <row r="4263" spans="1:6">
      <c r="A4263" t="s">
        <v>12693</v>
      </c>
      <c r="B4263" t="s">
        <v>12694</v>
      </c>
      <c r="C4263" t="s">
        <v>12695</v>
      </c>
      <c r="D4263" t="str">
        <f>HYPERLINK("https://github.com/MuntashirAkon/AppManager/issues/600","show")</f>
        <v>show</v>
      </c>
      <c r="E4263" t="str">
        <f>HYPERLINK("https://github.com/MuntashirAkon/AppManager","show")</f>
        <v>show</v>
      </c>
      <c r="F4263" t="str">
        <f>HYPERLINK("https://github.com/MuntashirAkon/AppManager/releases","show")</f>
        <v>show</v>
      </c>
    </row>
    <row r="4264" spans="1:6">
      <c r="A4264" t="s">
        <v>12696</v>
      </c>
      <c r="B4264" t="s">
        <v>12697</v>
      </c>
      <c r="C4264" t="s">
        <v>12698</v>
      </c>
      <c r="D4264" t="str">
        <f>HYPERLINK("https://github.com/PojavLauncherTeam/PojavLauncher/issues/2140","show")</f>
        <v>show</v>
      </c>
      <c r="E4264" t="str">
        <f>HYPERLINK("https://github.com/PojavLauncherTeam/PojavLauncher","show")</f>
        <v>show</v>
      </c>
      <c r="F4264" t="str">
        <f>HYPERLINK("https://github.com/PojavLauncherTeam/PojavLauncher/releases","show")</f>
        <v>show</v>
      </c>
    </row>
    <row r="4265" spans="1:6">
      <c r="A4265" t="s">
        <v>12699</v>
      </c>
      <c r="B4265" t="s">
        <v>12700</v>
      </c>
      <c r="C4265" t="s">
        <v>12701</v>
      </c>
      <c r="D4265" t="str">
        <f>HYPERLINK("https://github.com/canyie/pine/issues/18","show")</f>
        <v>show</v>
      </c>
      <c r="E4265" t="str">
        <f>HYPERLINK("https://github.com/canyie/pine","show")</f>
        <v>show</v>
      </c>
      <c r="F4265" t="str">
        <f>HYPERLINK("https://github.com/canyie/pine/releases","show")</f>
        <v>show</v>
      </c>
    </row>
    <row r="4266" spans="1:6">
      <c r="A4266" t="s">
        <v>12702</v>
      </c>
      <c r="B4266" t="s">
        <v>12703</v>
      </c>
      <c r="C4266" t="s">
        <v>12704</v>
      </c>
      <c r="D4266" t="str">
        <f>HYPERLINK("https://github.com/Anuken/Mindustry/issues/6177","show")</f>
        <v>show</v>
      </c>
      <c r="E4266" t="str">
        <f>HYPERLINK("https://github.com/Anuken/Mindustry","show")</f>
        <v>show</v>
      </c>
      <c r="F4266" t="str">
        <f>HYPERLINK("https://github.com/Anuken/Mindustry/releases","show")</f>
        <v>show</v>
      </c>
    </row>
    <row r="4267" spans="1:6">
      <c r="A4267" t="s">
        <v>12705</v>
      </c>
      <c r="B4267" t="s">
        <v>12706</v>
      </c>
      <c r="C4267" t="s">
        <v>12707</v>
      </c>
      <c r="D4267" t="str">
        <f>HYPERLINK("https://github.com/PojavLauncherTeam/PojavLauncher/issues/2139","show")</f>
        <v>show</v>
      </c>
      <c r="E4267" t="str">
        <f>HYPERLINK("https://github.com/PojavLauncherTeam/PojavLauncher","show")</f>
        <v>show</v>
      </c>
      <c r="F4267" t="str">
        <f>HYPERLINK("https://github.com/PojavLauncherTeam/PojavLauncher/releases","show")</f>
        <v>show</v>
      </c>
    </row>
    <row r="4268" spans="1:6">
      <c r="A4268" t="s">
        <v>12708</v>
      </c>
      <c r="B4268" t="s">
        <v>12709</v>
      </c>
      <c r="C4268" t="s">
        <v>12710</v>
      </c>
      <c r="D4268" t="str">
        <f>HYPERLINK("https://github.com/Anuken/Mindustry/issues/6174","show")</f>
        <v>show</v>
      </c>
      <c r="E4268" t="str">
        <f>HYPERLINK("https://github.com/Anuken/Mindustry","show")</f>
        <v>show</v>
      </c>
      <c r="F4268" t="str">
        <f>HYPERLINK("https://github.com/Anuken/Mindustry/releases","show")</f>
        <v>show</v>
      </c>
    </row>
    <row r="4269" spans="1:6">
      <c r="A4269" t="s">
        <v>12711</v>
      </c>
      <c r="B4269" t="s">
        <v>12712</v>
      </c>
      <c r="C4269" t="s">
        <v>12713</v>
      </c>
      <c r="D4269" t="str">
        <f>HYPERLINK("https://github.com/cgeo/cgeo/issues/11919","show")</f>
        <v>show</v>
      </c>
      <c r="E4269" t="str">
        <f>HYPERLINK("https://github.com/cgeo/cgeo","show")</f>
        <v>show</v>
      </c>
      <c r="F4269" t="str">
        <f>HYPERLINK("https://github.com/cgeo/cgeo/releases","show")</f>
        <v>show</v>
      </c>
    </row>
    <row r="4270" spans="1:6">
      <c r="A4270" t="s">
        <v>12714</v>
      </c>
      <c r="B4270" t="s">
        <v>12715</v>
      </c>
      <c r="C4270" t="s">
        <v>12716</v>
      </c>
      <c r="D4270" t="str">
        <f>HYPERLINK("https://github.com/TeamNewPipe/NewPipe/issues/7262","show")</f>
        <v>show</v>
      </c>
      <c r="E4270" t="str">
        <f>HYPERLINK("https://github.com/TeamNewPipe/NewPipe","show")</f>
        <v>show</v>
      </c>
      <c r="F4270" t="str">
        <f>HYPERLINK("https://github.com/TeamNewPipe/NewPipe/releases","show")</f>
        <v>show</v>
      </c>
    </row>
    <row r="4271" spans="1:6">
      <c r="A4271" t="s">
        <v>12717</v>
      </c>
      <c r="B4271" t="s">
        <v>12718</v>
      </c>
      <c r="C4271" t="s">
        <v>12719</v>
      </c>
      <c r="D4271" t="str">
        <f>HYPERLINK("https://github.com/nextcloud/android/issues/9101","show")</f>
        <v>show</v>
      </c>
      <c r="E4271" t="str">
        <f>HYPERLINK("https://github.com/nextcloud/android","show")</f>
        <v>show</v>
      </c>
      <c r="F4271" t="str">
        <f>HYPERLINK("https://github.com/nextcloud/android/releases","show")</f>
        <v>show</v>
      </c>
    </row>
    <row r="4272" spans="1:6">
      <c r="A4272" t="s">
        <v>12720</v>
      </c>
      <c r="B4272" t="s">
        <v>12721</v>
      </c>
      <c r="C4272" t="s">
        <v>12722</v>
      </c>
      <c r="D4272" t="str">
        <f>HYPERLINK("https://github.com/AOF-Dev/MCinaBox/issues/1119","show")</f>
        <v>show</v>
      </c>
      <c r="E4272" t="str">
        <f>HYPERLINK("https://github.com/AOF-Dev/MCinaBox","show")</f>
        <v>show</v>
      </c>
      <c r="F4272" t="str">
        <f>HYPERLINK("https://github.com/AOF-Dev/MCinaBox/releases","show")</f>
        <v>show</v>
      </c>
    </row>
    <row r="4273" spans="1:6">
      <c r="A4273" t="s">
        <v>12723</v>
      </c>
      <c r="B4273" t="s">
        <v>12724</v>
      </c>
      <c r="C4273" t="s">
        <v>12725</v>
      </c>
      <c r="D4273" t="str">
        <f>HYPERLINK("https://github.com/PojavLauncherTeam/PojavLauncher/issues/2127","show")</f>
        <v>show</v>
      </c>
      <c r="E4273" t="str">
        <f>HYPERLINK("https://github.com/PojavLauncherTeam/PojavLauncher","show")</f>
        <v>show</v>
      </c>
      <c r="F4273" t="str">
        <f>HYPERLINK("https://github.com/PojavLauncherTeam/PojavLauncher/releases","show")</f>
        <v>show</v>
      </c>
    </row>
    <row r="4274" spans="1:6">
      <c r="A4274" t="s">
        <v>12726</v>
      </c>
      <c r="B4274" t="s">
        <v>12727</v>
      </c>
      <c r="C4274" t="s">
        <v>12728</v>
      </c>
      <c r="D4274" t="str">
        <f>HYPERLINK("https://github.com/Anuken/Mindustry/issues/6167","show")</f>
        <v>show</v>
      </c>
      <c r="E4274" t="str">
        <f>HYPERLINK("https://github.com/Anuken/Mindustry","show")</f>
        <v>show</v>
      </c>
      <c r="F4274" t="str">
        <f>HYPERLINK("https://github.com/Anuken/Mindustry/releases","show")</f>
        <v>show</v>
      </c>
    </row>
    <row r="4275" spans="1:6">
      <c r="A4275" t="s">
        <v>12729</v>
      </c>
      <c r="B4275" t="s">
        <v>12730</v>
      </c>
      <c r="C4275" t="s">
        <v>12731</v>
      </c>
      <c r="D4275" t="str">
        <f>HYPERLINK("https://github.com/PDFTron/pdftron-flutter/issues/137","show")</f>
        <v>show</v>
      </c>
      <c r="E4275" t="str">
        <f>HYPERLINK("https://github.com/PDFTron/pdftron-flutter","show")</f>
        <v>show</v>
      </c>
      <c r="F4275" t="str">
        <f>HYPERLINK("https://github.com/PDFTron/pdftron-flutter/releases","show")</f>
        <v>show</v>
      </c>
    </row>
    <row r="4276" spans="1:6">
      <c r="A4276" t="s">
        <v>12732</v>
      </c>
      <c r="B4276" t="s">
        <v>12733</v>
      </c>
      <c r="C4276" t="s">
        <v>12734</v>
      </c>
      <c r="D4276" t="str">
        <f>HYPERLINK("https://github.com/TeamNewPipe/NewPipe/issues/7257","show")</f>
        <v>show</v>
      </c>
      <c r="E4276" t="str">
        <f>HYPERLINK("https://github.com/TeamNewPipe/NewPipe","show")</f>
        <v>show</v>
      </c>
      <c r="F4276" t="str">
        <f>HYPERLINK("https://github.com/TeamNewPipe/NewPipe/releases","show")</f>
        <v>show</v>
      </c>
    </row>
    <row r="4277" spans="1:6">
      <c r="A4277" t="s">
        <v>12735</v>
      </c>
      <c r="B4277" t="s">
        <v>12736</v>
      </c>
      <c r="C4277" t="s">
        <v>12737</v>
      </c>
      <c r="D4277" t="str">
        <f>HYPERLINK("https://github.com/TeamNewPipe/NewPipe/issues/7254","show")</f>
        <v>show</v>
      </c>
      <c r="E4277" t="str">
        <f>HYPERLINK("https://github.com/TeamNewPipe/NewPipe","show")</f>
        <v>show</v>
      </c>
      <c r="F4277" t="str">
        <f>HYPERLINK("https://github.com/TeamNewPipe/NewPipe/releases","show")</f>
        <v>show</v>
      </c>
    </row>
    <row r="4278" spans="1:6">
      <c r="A4278" t="s">
        <v>12738</v>
      </c>
      <c r="B4278" t="s">
        <v>12739</v>
      </c>
      <c r="C4278" t="s">
        <v>12740</v>
      </c>
      <c r="D4278" t="str">
        <f>HYPERLINK("https://github.com/fossasia/pslab-android/issues/2258","show")</f>
        <v>show</v>
      </c>
      <c r="E4278" t="str">
        <f>HYPERLINK("https://github.com/fossasia/pslab-android","show")</f>
        <v>show</v>
      </c>
      <c r="F4278" t="str">
        <f>HYPERLINK("https://github.com/fossasia/pslab-android/releases","show")</f>
        <v>show</v>
      </c>
    </row>
    <row r="4279" spans="1:6">
      <c r="A4279" t="s">
        <v>12741</v>
      </c>
      <c r="B4279" t="s">
        <v>12742</v>
      </c>
      <c r="C4279" t="s">
        <v>12743</v>
      </c>
      <c r="D4279" t="str">
        <f>HYPERLINK("https://github.com/fossasia/pslab-android/issues/2257","show")</f>
        <v>show</v>
      </c>
      <c r="E4279" t="str">
        <f>HYPERLINK("https://github.com/fossasia/pslab-android","show")</f>
        <v>show</v>
      </c>
      <c r="F4279" t="str">
        <f>HYPERLINK("https://github.com/fossasia/pslab-android/releases","show")</f>
        <v>show</v>
      </c>
    </row>
    <row r="4280" spans="1:6">
      <c r="A4280" t="s">
        <v>12744</v>
      </c>
      <c r="B4280" t="s">
        <v>12745</v>
      </c>
      <c r="C4280" t="s">
        <v>12746</v>
      </c>
      <c r="D4280" t="str">
        <f>HYPERLINK("https://github.com/fossasia/pslab-android/issues/2256","show")</f>
        <v>show</v>
      </c>
      <c r="E4280" t="str">
        <f>HYPERLINK("https://github.com/fossasia/pslab-android","show")</f>
        <v>show</v>
      </c>
      <c r="F4280" t="str">
        <f>HYPERLINK("https://github.com/fossasia/pslab-android/releases","show")</f>
        <v>show</v>
      </c>
    </row>
    <row r="4281" spans="1:6">
      <c r="A4281" t="s">
        <v>12747</v>
      </c>
      <c r="B4281" t="s">
        <v>12748</v>
      </c>
      <c r="C4281" t="s">
        <v>12749</v>
      </c>
      <c r="D4281" t="str">
        <f>HYPERLINK("https://github.com/fossasia/pslab-android/issues/2255","show")</f>
        <v>show</v>
      </c>
      <c r="E4281" t="str">
        <f>HYPERLINK("https://github.com/fossasia/pslab-android","show")</f>
        <v>show</v>
      </c>
      <c r="F4281" t="str">
        <f>HYPERLINK("https://github.com/fossasia/pslab-android/releases","show")</f>
        <v>show</v>
      </c>
    </row>
    <row r="4282" spans="1:6">
      <c r="A4282" t="s">
        <v>12750</v>
      </c>
      <c r="B4282" t="s">
        <v>12751</v>
      </c>
      <c r="C4282" t="s">
        <v>12752</v>
      </c>
      <c r="D4282" t="str">
        <f>HYPERLINK("https://github.com/TeamNewPipe/NewPipe/issues/7251","show")</f>
        <v>show</v>
      </c>
      <c r="E4282" t="str">
        <f>HYPERLINK("https://github.com/TeamNewPipe/NewPipe","show")</f>
        <v>show</v>
      </c>
      <c r="F4282" t="str">
        <f>HYPERLINK("https://github.com/TeamNewPipe/NewPipe/releases","show")</f>
        <v>show</v>
      </c>
    </row>
    <row r="4283" spans="1:6">
      <c r="A4283" t="s">
        <v>12753</v>
      </c>
      <c r="B4283" t="s">
        <v>12754</v>
      </c>
      <c r="C4283" t="s">
        <v>12755</v>
      </c>
      <c r="D4283" t="str">
        <f>HYPERLINK("https://github.com/Anuken/Mindustry/issues/6155","show")</f>
        <v>show</v>
      </c>
      <c r="E4283" t="str">
        <f>HYPERLINK("https://github.com/Anuken/Mindustry","show")</f>
        <v>show</v>
      </c>
      <c r="F4283" t="str">
        <f>HYPERLINK("https://github.com/Anuken/Mindustry/releases","show")</f>
        <v>show</v>
      </c>
    </row>
    <row r="4284" spans="1:6">
      <c r="A4284" t="s">
        <v>12756</v>
      </c>
      <c r="B4284" t="s">
        <v>12757</v>
      </c>
      <c r="C4284" t="s">
        <v>12758</v>
      </c>
      <c r="D4284" t="str">
        <f>HYPERLINK("https://github.com/SmartPack/PackageManager/issues/64","show")</f>
        <v>show</v>
      </c>
      <c r="E4284" t="str">
        <f>HYPERLINK("https://github.com/SmartPack/PackageManager","show")</f>
        <v>show</v>
      </c>
      <c r="F4284" t="str">
        <f>HYPERLINK("https://github.com/SmartPack/PackageManager/releases","show")</f>
        <v>show</v>
      </c>
    </row>
    <row r="4285" spans="1:6">
      <c r="A4285" t="s">
        <v>12759</v>
      </c>
      <c r="B4285" t="s">
        <v>12760</v>
      </c>
      <c r="C4285" t="s">
        <v>12761</v>
      </c>
      <c r="D4285" t="str">
        <f>HYPERLINK("https://github.com/norkator/apcupsd-monitor/issues/67","show")</f>
        <v>show</v>
      </c>
      <c r="E4285" t="str">
        <f>HYPERLINK("https://github.com/norkator/apcupsd-monitor","show")</f>
        <v>show</v>
      </c>
      <c r="F4285" t="str">
        <f>HYPERLINK("https://github.com/norkator/apcupsd-monitor/releases","show")</f>
        <v>show</v>
      </c>
    </row>
    <row r="4286" spans="1:6">
      <c r="A4286" t="s">
        <v>12762</v>
      </c>
      <c r="B4286" t="s">
        <v>12763</v>
      </c>
      <c r="C4286" t="s">
        <v>12764</v>
      </c>
      <c r="D4286" t="str">
        <f>HYPERLINK("https://github.com/TeamNewPipe/NewPipe/issues/7250","show")</f>
        <v>show</v>
      </c>
      <c r="E4286" t="str">
        <f>HYPERLINK("https://github.com/TeamNewPipe/NewPipe","show")</f>
        <v>show</v>
      </c>
      <c r="F4286" t="str">
        <f>HYPERLINK("https://github.com/TeamNewPipe/NewPipe/releases","show")</f>
        <v>show</v>
      </c>
    </row>
    <row r="4287" spans="1:6">
      <c r="A4287" t="s">
        <v>12765</v>
      </c>
      <c r="B4287" t="s">
        <v>12766</v>
      </c>
      <c r="C4287" t="s">
        <v>12767</v>
      </c>
      <c r="D4287" t="str">
        <f>HYPERLINK("https://github.com/stefan-niedermann/nextcloud-notes/issues/1374","show")</f>
        <v>show</v>
      </c>
      <c r="E4287" t="str">
        <f>HYPERLINK("https://github.com/stefan-niedermann/nextcloud-notes","show")</f>
        <v>show</v>
      </c>
      <c r="F4287" t="str">
        <f>HYPERLINK("https://github.com/stefan-niedermann/nextcloud-notes/releases","show")</f>
        <v>show</v>
      </c>
    </row>
    <row r="4288" spans="1:6">
      <c r="A4288" t="s">
        <v>12768</v>
      </c>
      <c r="B4288" t="s">
        <v>12769</v>
      </c>
      <c r="C4288" t="s">
        <v>12770</v>
      </c>
      <c r="D4288" t="str">
        <f>HYPERLINK("https://github.com/TeamNewPipe/NewPipe/issues/7249","show")</f>
        <v>show</v>
      </c>
      <c r="E4288" t="str">
        <f>HYPERLINK("https://github.com/TeamNewPipe/NewPipe","show")</f>
        <v>show</v>
      </c>
      <c r="F4288" t="str">
        <f>HYPERLINK("https://github.com/TeamNewPipe/NewPipe/releases","show")</f>
        <v>show</v>
      </c>
    </row>
    <row r="4289" spans="1:6">
      <c r="A4289" t="s">
        <v>12771</v>
      </c>
      <c r="B4289" t="s">
        <v>12772</v>
      </c>
      <c r="C4289" t="s">
        <v>11069</v>
      </c>
      <c r="D4289" t="str">
        <f>HYPERLINK("https://github.com/TeamNewPipe/NewPipe/issues/7247","show")</f>
        <v>show</v>
      </c>
      <c r="E4289" t="str">
        <f>HYPERLINK("https://github.com/TeamNewPipe/NewPipe","show")</f>
        <v>show</v>
      </c>
      <c r="F4289" t="str">
        <f>HYPERLINK("https://github.com/TeamNewPipe/NewPipe/releases","show")</f>
        <v>show</v>
      </c>
    </row>
    <row r="4290" spans="1:6">
      <c r="A4290" t="s">
        <v>12773</v>
      </c>
      <c r="B4290" t="s">
        <v>12774</v>
      </c>
      <c r="C4290" t="s">
        <v>12775</v>
      </c>
      <c r="D4290" t="str">
        <f>HYPERLINK("https://github.com/TeamNewPipe/NewPipe/issues/7246","show")</f>
        <v>show</v>
      </c>
      <c r="E4290" t="str">
        <f>HYPERLINK("https://github.com/TeamNewPipe/NewPipe","show")</f>
        <v>show</v>
      </c>
      <c r="F4290" t="str">
        <f>HYPERLINK("https://github.com/TeamNewPipe/NewPipe/releases","show")</f>
        <v>show</v>
      </c>
    </row>
    <row r="4291" spans="1:6">
      <c r="A4291" t="s">
        <v>12776</v>
      </c>
      <c r="B4291" t="s">
        <v>12777</v>
      </c>
      <c r="C4291" t="s">
        <v>12778</v>
      </c>
      <c r="D4291" t="str">
        <f>HYPERLINK("https://github.com/project-anuvaad/Project-Saral/issues/67","show")</f>
        <v>show</v>
      </c>
      <c r="E4291" t="str">
        <f>HYPERLINK("https://github.com/project-anuvaad/Project-Saral","show")</f>
        <v>show</v>
      </c>
      <c r="F4291" t="str">
        <f>HYPERLINK("https://github.com/project-anuvaad/Project-Saral/releases","show")</f>
        <v>show</v>
      </c>
    </row>
    <row r="4292" spans="1:6">
      <c r="A4292" t="s">
        <v>12779</v>
      </c>
      <c r="B4292" t="s">
        <v>12780</v>
      </c>
      <c r="C4292" t="s">
        <v>12781</v>
      </c>
      <c r="D4292" t="str">
        <f>HYPERLINK("https://github.com/inaturalist/iNaturalistAndroid/issues/1135","show")</f>
        <v>show</v>
      </c>
      <c r="E4292" t="str">
        <f>HYPERLINK("https://github.com/inaturalist/iNaturalistAndroid","show")</f>
        <v>show</v>
      </c>
      <c r="F4292" t="str">
        <f>HYPERLINK("https://github.com/inaturalist/iNaturalistAndroid/releases","show")</f>
        <v>show</v>
      </c>
    </row>
    <row r="4293" spans="1:6">
      <c r="A4293" t="s">
        <v>12782</v>
      </c>
      <c r="B4293" t="s">
        <v>12783</v>
      </c>
      <c r="C4293" t="s">
        <v>12784</v>
      </c>
      <c r="D4293" t="str">
        <f>HYPERLINK("https://github.com/cgeo/cgeo/issues/11880","show")</f>
        <v>show</v>
      </c>
      <c r="E4293" t="str">
        <f>HYPERLINK("https://github.com/cgeo/cgeo","show")</f>
        <v>show</v>
      </c>
      <c r="F4293" t="str">
        <f>HYPERLINK("https://github.com/cgeo/cgeo/releases","show")</f>
        <v>show</v>
      </c>
    </row>
    <row r="4294" spans="1:6">
      <c r="A4294" t="s">
        <v>12785</v>
      </c>
      <c r="B4294" t="s">
        <v>12786</v>
      </c>
      <c r="C4294" t="s">
        <v>12787</v>
      </c>
      <c r="D4294" t="str">
        <f>HYPERLINK("https://github.com/cgeo/cgeo/issues/11878","show")</f>
        <v>show</v>
      </c>
      <c r="E4294" t="str">
        <f>HYPERLINK("https://github.com/cgeo/cgeo","show")</f>
        <v>show</v>
      </c>
      <c r="F4294" t="str">
        <f>HYPERLINK("https://github.com/cgeo/cgeo/releases","show")</f>
        <v>show</v>
      </c>
    </row>
    <row r="4295" spans="1:6">
      <c r="A4295" t="s">
        <v>12788</v>
      </c>
      <c r="B4295" t="s">
        <v>12789</v>
      </c>
      <c r="C4295" t="s">
        <v>12790</v>
      </c>
      <c r="D4295" t="str">
        <f>HYPERLINK("https://github.com/TeamNewPipe/NewPipe/issues/7240","show")</f>
        <v>show</v>
      </c>
      <c r="E4295" t="str">
        <f>HYPERLINK("https://github.com/TeamNewPipe/NewPipe","show")</f>
        <v>show</v>
      </c>
      <c r="F4295" t="str">
        <f>HYPERLINK("https://github.com/TeamNewPipe/NewPipe/releases","show")</f>
        <v>show</v>
      </c>
    </row>
    <row r="4296" spans="1:6">
      <c r="A4296" t="s">
        <v>12791</v>
      </c>
      <c r="B4296" t="s">
        <v>12792</v>
      </c>
      <c r="C4296" t="s">
        <v>12793</v>
      </c>
      <c r="D4296" t="str">
        <f>HYPERLINK("https://github.com/TeamNewPipe/NewPipe/issues/7239","show")</f>
        <v>show</v>
      </c>
      <c r="E4296" t="str">
        <f>HYPERLINK("https://github.com/TeamNewPipe/NewPipe","show")</f>
        <v>show</v>
      </c>
      <c r="F4296" t="str">
        <f>HYPERLINK("https://github.com/TeamNewPipe/NewPipe/releases","show")</f>
        <v>show</v>
      </c>
    </row>
    <row r="4297" spans="1:6">
      <c r="A4297" t="s">
        <v>12794</v>
      </c>
      <c r="B4297" t="s">
        <v>12795</v>
      </c>
      <c r="C4297" t="s">
        <v>12796</v>
      </c>
      <c r="D4297" t="str">
        <f>HYPERLINK("https://github.com/NightscoutFoundation/xDrip/issues/1850","show")</f>
        <v>show</v>
      </c>
      <c r="E4297" t="str">
        <f>HYPERLINK("https://github.com/NightscoutFoundation/xDrip","show")</f>
        <v>show</v>
      </c>
      <c r="F4297" t="str">
        <f>HYPERLINK("https://github.com/NightscoutFoundation/xDrip/releases","show")</f>
        <v>show</v>
      </c>
    </row>
    <row r="4298" spans="1:6">
      <c r="A4298" t="s">
        <v>12797</v>
      </c>
      <c r="B4298" t="s">
        <v>12798</v>
      </c>
      <c r="C4298" t="s">
        <v>12799</v>
      </c>
      <c r="D4298" t="str">
        <f>HYPERLINK("https://github.com/enviroCar/enviroCar-app/issues/844","show")</f>
        <v>show</v>
      </c>
      <c r="E4298" t="str">
        <f>HYPERLINK("https://github.com/enviroCar/enviroCar-app","show")</f>
        <v>show</v>
      </c>
      <c r="F4298" t="str">
        <f>HYPERLINK("https://github.com/enviroCar/enviroCar-app/releases","show")</f>
        <v>show</v>
      </c>
    </row>
    <row r="4299" spans="1:6">
      <c r="A4299" t="s">
        <v>12800</v>
      </c>
      <c r="B4299" t="s">
        <v>12801</v>
      </c>
      <c r="C4299" t="s">
        <v>12802</v>
      </c>
      <c r="D4299" t="str">
        <f>HYPERLINK("https://github.com/TeamNewPipe/NewPipe/issues/7237","show")</f>
        <v>show</v>
      </c>
      <c r="E4299" t="str">
        <f>HYPERLINK("https://github.com/TeamNewPipe/NewPipe","show")</f>
        <v>show</v>
      </c>
      <c r="F4299" t="str">
        <f>HYPERLINK("https://github.com/TeamNewPipe/NewPipe/releases","show")</f>
        <v>show</v>
      </c>
    </row>
    <row r="4300" spans="1:6">
      <c r="A4300" t="s">
        <v>12803</v>
      </c>
      <c r="B4300" t="s">
        <v>12804</v>
      </c>
      <c r="C4300" t="s">
        <v>12805</v>
      </c>
      <c r="D4300" t="str">
        <f>HYPERLINK("https://github.com/getsentry/sentry-java/issues/1760","show")</f>
        <v>show</v>
      </c>
      <c r="E4300" t="str">
        <f>HYPERLINK("https://github.com/getsentry/sentry-java","show")</f>
        <v>show</v>
      </c>
      <c r="F4300" t="str">
        <f>HYPERLINK("https://github.com/getsentry/sentry-java/releases","show")</f>
        <v>show</v>
      </c>
    </row>
    <row r="4301" spans="1:6">
      <c r="A4301" t="s">
        <v>12806</v>
      </c>
      <c r="B4301" t="s">
        <v>12807</v>
      </c>
      <c r="C4301" t="s">
        <v>12808</v>
      </c>
      <c r="D4301" t="str">
        <f>HYPERLINK("https://github.com/k9mail/k-9/issues/5736","show")</f>
        <v>show</v>
      </c>
      <c r="E4301" t="str">
        <f>HYPERLINK("https://github.com/k9mail/k-9","show")</f>
        <v>show</v>
      </c>
      <c r="F4301" t="str">
        <f>HYPERLINK("https://github.com/k9mail/k-9/releases","show")</f>
        <v>show</v>
      </c>
    </row>
    <row r="4302" spans="1:6">
      <c r="A4302" t="s">
        <v>12809</v>
      </c>
      <c r="B4302" t="s">
        <v>12810</v>
      </c>
      <c r="C4302" t="s">
        <v>12811</v>
      </c>
      <c r="D4302" t="str">
        <f>HYPERLINK("https://github.com/TeamNewPipe/NewPipe/issues/7234","show")</f>
        <v>show</v>
      </c>
      <c r="E4302" t="str">
        <f>HYPERLINK("https://github.com/TeamNewPipe/NewPipe","show")</f>
        <v>show</v>
      </c>
      <c r="F4302" t="str">
        <f>HYPERLINK("https://github.com/TeamNewPipe/NewPipe/releases","show")</f>
        <v>show</v>
      </c>
    </row>
    <row r="4303" spans="1:6">
      <c r="A4303" t="s">
        <v>12812</v>
      </c>
      <c r="B4303" t="s">
        <v>12813</v>
      </c>
      <c r="C4303" t="s">
        <v>12814</v>
      </c>
      <c r="D4303" t="str">
        <f>HYPERLINK("https://github.com/nextcloud/android/issues/9089","show")</f>
        <v>show</v>
      </c>
      <c r="E4303" t="str">
        <f>HYPERLINK("https://github.com/nextcloud/android","show")</f>
        <v>show</v>
      </c>
      <c r="F4303" t="str">
        <f>HYPERLINK("https://github.com/nextcloud/android/releases","show")</f>
        <v>show</v>
      </c>
    </row>
    <row r="4304" spans="1:6">
      <c r="A4304" t="s">
        <v>12815</v>
      </c>
      <c r="B4304" t="s">
        <v>12816</v>
      </c>
      <c r="C4304" t="s">
        <v>12817</v>
      </c>
      <c r="D4304" t="str">
        <f>HYPERLINK("https://github.com/opensrp/opensrp-client-eusm/issues/94","show")</f>
        <v>show</v>
      </c>
      <c r="E4304" t="str">
        <f>HYPERLINK("https://github.com/opensrp/opensrp-client-eusm","show")</f>
        <v>show</v>
      </c>
      <c r="F4304" t="str">
        <f>HYPERLINK("https://github.com/opensrp/opensrp-client-eusm/releases","show")</f>
        <v>show</v>
      </c>
    </row>
    <row r="4305" spans="1:6">
      <c r="A4305" t="s">
        <v>12818</v>
      </c>
      <c r="B4305" t="s">
        <v>12819</v>
      </c>
      <c r="C4305" t="s">
        <v>12820</v>
      </c>
      <c r="D4305" t="str">
        <f>HYPERLINK("https://github.com/openid/AppAuth-Android/issues/755","show")</f>
        <v>show</v>
      </c>
      <c r="E4305" t="str">
        <f>HYPERLINK("https://github.com/openid/AppAuth-Android","show")</f>
        <v>show</v>
      </c>
      <c r="F4305" t="str">
        <f>HYPERLINK("https://github.com/openid/AppAuth-Android/releases","show")</f>
        <v>show</v>
      </c>
    </row>
    <row r="4306" spans="1:6">
      <c r="A4306" t="s">
        <v>12821</v>
      </c>
      <c r="B4306" t="s">
        <v>12822</v>
      </c>
      <c r="C4306" t="s">
        <v>12823</v>
      </c>
      <c r="D4306" t="str">
        <f>HYPERLINK("https://github.com/opensrp/opensrp-client-unicef-tunisia/issues/133","show")</f>
        <v>show</v>
      </c>
      <c r="E4306" t="str">
        <f>HYPERLINK("https://github.com/opensrp/opensrp-client-unicef-tunisia","show")</f>
        <v>show</v>
      </c>
      <c r="F4306" t="str">
        <f>HYPERLINK("https://github.com/opensrp/opensrp-client-unicef-tunisia/releases","show")</f>
        <v>show</v>
      </c>
    </row>
    <row r="4307" spans="1:6">
      <c r="A4307" t="s">
        <v>12824</v>
      </c>
      <c r="B4307" t="s">
        <v>12825</v>
      </c>
      <c r="C4307" t="s">
        <v>12826</v>
      </c>
      <c r="D4307" t="str">
        <f>HYPERLINK("https://github.com/enviroCar/enviroCar-app/issues/842","show")</f>
        <v>show</v>
      </c>
      <c r="E4307" t="str">
        <f>HYPERLINK("https://github.com/enviroCar/enviroCar-app","show")</f>
        <v>show</v>
      </c>
      <c r="F4307" t="str">
        <f>HYPERLINK("https://github.com/enviroCar/enviroCar-app/releases","show")</f>
        <v>show</v>
      </c>
    </row>
    <row r="4308" spans="1:6">
      <c r="A4308" t="s">
        <v>12827</v>
      </c>
      <c r="B4308" t="s">
        <v>12828</v>
      </c>
      <c r="C4308" t="s">
        <v>12829</v>
      </c>
      <c r="D4308" t="str">
        <f>HYPERLINK("https://github.com/inaturalist/iNaturalistAndroid/issues/1134","show")</f>
        <v>show</v>
      </c>
      <c r="E4308" t="str">
        <f>HYPERLINK("https://github.com/inaturalist/iNaturalistAndroid","show")</f>
        <v>show</v>
      </c>
      <c r="F4308" t="str">
        <f>HYPERLINK("https://github.com/inaturalist/iNaturalistAndroid/releases","show")</f>
        <v>show</v>
      </c>
    </row>
    <row r="4309" spans="1:6">
      <c r="A4309" t="s">
        <v>12830</v>
      </c>
      <c r="B4309" t="s">
        <v>12831</v>
      </c>
      <c r="C4309" t="s">
        <v>12832</v>
      </c>
      <c r="D4309" t="str">
        <f>HYPERLINK("https://github.com/nextcloud/android/issues/9084","show")</f>
        <v>show</v>
      </c>
      <c r="E4309" t="str">
        <f>HYPERLINK("https://github.com/nextcloud/android","show")</f>
        <v>show</v>
      </c>
      <c r="F4309" t="str">
        <f>HYPERLINK("https://github.com/nextcloud/android/releases","show")</f>
        <v>show</v>
      </c>
    </row>
    <row r="4310" spans="1:6">
      <c r="A4310" t="s">
        <v>12833</v>
      </c>
      <c r="B4310" t="s">
        <v>12834</v>
      </c>
      <c r="C4310" t="s">
        <v>12835</v>
      </c>
      <c r="D4310" t="str">
        <f>HYPERLINK("https://github.com/andOTP/andOTP/issues/893","show")</f>
        <v>show</v>
      </c>
      <c r="E4310" t="str">
        <f>HYPERLINK("https://github.com/andOTP/andOTP","show")</f>
        <v>show</v>
      </c>
      <c r="F4310" t="str">
        <f>HYPERLINK("https://github.com/andOTP/andOTP/releases","show")</f>
        <v>show</v>
      </c>
    </row>
    <row r="4311" spans="1:6">
      <c r="A4311" t="s">
        <v>12836</v>
      </c>
      <c r="B4311" t="s">
        <v>12837</v>
      </c>
      <c r="C4311" t="s">
        <v>12838</v>
      </c>
      <c r="D4311" t="str">
        <f>HYPERLINK("https://github.com/nextcloud/android/issues/9082","show")</f>
        <v>show</v>
      </c>
      <c r="E4311" t="str">
        <f>HYPERLINK("https://github.com/nextcloud/android","show")</f>
        <v>show</v>
      </c>
      <c r="F4311" t="str">
        <f>HYPERLINK("https://github.com/nextcloud/android/releases","show")</f>
        <v>show</v>
      </c>
    </row>
    <row r="4312" spans="1:6">
      <c r="A4312" t="s">
        <v>12839</v>
      </c>
      <c r="B4312" t="s">
        <v>12840</v>
      </c>
      <c r="C4312" t="s">
        <v>12841</v>
      </c>
      <c r="D4312" t="str">
        <f>HYPERLINK("https://github.com/TeamNewPipe/NewPipe/issues/7223","show")</f>
        <v>show</v>
      </c>
      <c r="E4312" t="str">
        <f>HYPERLINK("https://github.com/TeamNewPipe/NewPipe","show")</f>
        <v>show</v>
      </c>
      <c r="F4312" t="str">
        <f>HYPERLINK("https://github.com/TeamNewPipe/NewPipe/releases","show")</f>
        <v>show</v>
      </c>
    </row>
    <row r="4313" spans="1:6">
      <c r="A4313" t="s">
        <v>12842</v>
      </c>
      <c r="B4313" t="s">
        <v>12843</v>
      </c>
      <c r="C4313" t="s">
        <v>12844</v>
      </c>
      <c r="D4313" t="str">
        <f>HYPERLINK("https://github.com/smartdevicelink/sdl_java_suite/issues/1751","show")</f>
        <v>show</v>
      </c>
      <c r="E4313" t="str">
        <f>HYPERLINK("https://github.com/smartdevicelink/sdl_java_suite","show")</f>
        <v>show</v>
      </c>
      <c r="F4313" t="str">
        <f>HYPERLINK("https://github.com/smartdevicelink/sdl_java_suite/releases","show")</f>
        <v>show</v>
      </c>
    </row>
    <row r="4314" spans="1:6">
      <c r="A4314" t="s">
        <v>12845</v>
      </c>
      <c r="B4314" t="s">
        <v>12846</v>
      </c>
      <c r="C4314" t="s">
        <v>12094</v>
      </c>
      <c r="D4314" t="str">
        <f>HYPERLINK("https://github.com/Anuken/Mindustry/issues/6131","show")</f>
        <v>show</v>
      </c>
      <c r="E4314" t="str">
        <f>HYPERLINK("https://github.com/Anuken/Mindustry","show")</f>
        <v>show</v>
      </c>
      <c r="F4314" t="str">
        <f>HYPERLINK("https://github.com/Anuken/Mindustry/releases","show")</f>
        <v>show</v>
      </c>
    </row>
    <row r="4315" spans="1:6">
      <c r="A4315" t="s">
        <v>12847</v>
      </c>
      <c r="B4315" t="s">
        <v>12848</v>
      </c>
      <c r="C4315" t="s">
        <v>11069</v>
      </c>
      <c r="D4315" t="str">
        <f>HYPERLINK("https://github.com/TeamNewPipe/NewPipe/issues/7218","show")</f>
        <v>show</v>
      </c>
      <c r="E4315" t="str">
        <f>HYPERLINK("https://github.com/TeamNewPipe/NewPipe","show")</f>
        <v>show</v>
      </c>
      <c r="F4315" t="str">
        <f>HYPERLINK("https://github.com/TeamNewPipe/NewPipe/releases","show")</f>
        <v>show</v>
      </c>
    </row>
    <row r="4316" spans="1:6">
      <c r="A4316" t="s">
        <v>12849</v>
      </c>
      <c r="B4316" t="s">
        <v>12850</v>
      </c>
      <c r="C4316" t="s">
        <v>12851</v>
      </c>
      <c r="D4316" t="str">
        <f>HYPERLINK("https://github.com/Aliucord/Aliucord/issues/113","show")</f>
        <v>show</v>
      </c>
      <c r="E4316" t="str">
        <f>HYPERLINK("https://github.com/Aliucord/Aliucord","show")</f>
        <v>show</v>
      </c>
      <c r="F4316" t="str">
        <f>HYPERLINK("https://github.com/Aliucord/Aliucord/releases","show")</f>
        <v>show</v>
      </c>
    </row>
    <row r="4317" spans="1:6">
      <c r="A4317" t="s">
        <v>12852</v>
      </c>
      <c r="B4317" t="s">
        <v>12853</v>
      </c>
      <c r="C4317" t="s">
        <v>12854</v>
      </c>
      <c r="D4317" t="str">
        <f>HYPERLINK("https://github.com/cgeo/cgeo/issues/11815","show")</f>
        <v>show</v>
      </c>
      <c r="E4317" t="str">
        <f>HYPERLINK("https://github.com/cgeo/cgeo","show")</f>
        <v>show</v>
      </c>
      <c r="F4317" t="str">
        <f>HYPERLINK("https://github.com/cgeo/cgeo/releases","show")</f>
        <v>show</v>
      </c>
    </row>
    <row r="4318" spans="1:6">
      <c r="A4318" t="s">
        <v>12855</v>
      </c>
      <c r="B4318" t="s">
        <v>12856</v>
      </c>
      <c r="C4318" t="s">
        <v>12857</v>
      </c>
      <c r="D4318" t="str">
        <f>HYPERLINK("https://github.com/Anuken/Mindustry/issues/6124","show")</f>
        <v>show</v>
      </c>
      <c r="E4318" t="str">
        <f>HYPERLINK("https://github.com/Anuken/Mindustry","show")</f>
        <v>show</v>
      </c>
      <c r="F4318" t="str">
        <f>HYPERLINK("https://github.com/Anuken/Mindustry/releases","show")</f>
        <v>show</v>
      </c>
    </row>
    <row r="4319" spans="1:6">
      <c r="A4319" t="s">
        <v>12858</v>
      </c>
      <c r="B4319" t="s">
        <v>12859</v>
      </c>
      <c r="C4319" t="s">
        <v>12860</v>
      </c>
      <c r="D4319" t="str">
        <f>HYPERLINK("https://github.com/nextcloud/android/issues/9076","show")</f>
        <v>show</v>
      </c>
      <c r="E4319" t="str">
        <f>HYPERLINK("https://github.com/nextcloud/android","show")</f>
        <v>show</v>
      </c>
      <c r="F4319" t="str">
        <f>HYPERLINK("https://github.com/nextcloud/android/releases","show")</f>
        <v>show</v>
      </c>
    </row>
    <row r="4320" spans="1:6">
      <c r="A4320" t="s">
        <v>12861</v>
      </c>
      <c r="B4320" t="s">
        <v>12862</v>
      </c>
      <c r="C4320" t="s">
        <v>12863</v>
      </c>
      <c r="D4320" t="str">
        <f>HYPERLINK("https://github.com/nextcloud/android/issues/9075","show")</f>
        <v>show</v>
      </c>
      <c r="E4320" t="str">
        <f>HYPERLINK("https://github.com/nextcloud/android","show")</f>
        <v>show</v>
      </c>
      <c r="F4320" t="str">
        <f>HYPERLINK("https://github.com/nextcloud/android/releases","show")</f>
        <v>show</v>
      </c>
    </row>
    <row r="4321" spans="1:6">
      <c r="A4321" t="s">
        <v>12864</v>
      </c>
      <c r="B4321" t="s">
        <v>12865</v>
      </c>
      <c r="C4321" t="s">
        <v>12866</v>
      </c>
      <c r="D4321" t="str">
        <f>HYPERLINK("https://github.com/Anuken/Mindustry/issues/6120","show")</f>
        <v>show</v>
      </c>
      <c r="E4321" t="str">
        <f>HYPERLINK("https://github.com/Anuken/Mindustry","show")</f>
        <v>show</v>
      </c>
      <c r="F4321" t="str">
        <f>HYPERLINK("https://github.com/Anuken/Mindustry/releases","show")</f>
        <v>show</v>
      </c>
    </row>
    <row r="4322" spans="1:6">
      <c r="A4322" t="s">
        <v>12867</v>
      </c>
      <c r="B4322" t="s">
        <v>12868</v>
      </c>
      <c r="C4322" t="s">
        <v>12869</v>
      </c>
      <c r="D4322" t="str">
        <f>HYPERLINK("https://github.com/material-components/material-components-android/issues/2416","show")</f>
        <v>show</v>
      </c>
      <c r="E4322" t="str">
        <f>HYPERLINK("https://github.com/material-components/material-components-android","show")</f>
        <v>show</v>
      </c>
      <c r="F4322" t="str">
        <f>HYPERLINK("https://github.com/material-components/material-components-android/releases","show")</f>
        <v>show</v>
      </c>
    </row>
    <row r="4323" spans="1:6">
      <c r="A4323" t="s">
        <v>12870</v>
      </c>
      <c r="B4323" t="s">
        <v>12871</v>
      </c>
      <c r="C4323" t="s">
        <v>12872</v>
      </c>
      <c r="D4323" t="str">
        <f>HYPERLINK("https://github.com/OTTAA-Project/OTTAAProject/issues/91","show")</f>
        <v>show</v>
      </c>
      <c r="E4323" t="str">
        <f>HYPERLINK("https://github.com/OTTAA-Project/OTTAAProject","show")</f>
        <v>show</v>
      </c>
      <c r="F4323" t="str">
        <f>HYPERLINK("https://github.com/OTTAA-Project/OTTAAProject/releases","show")</f>
        <v>show</v>
      </c>
    </row>
    <row r="4324" spans="1:6">
      <c r="A4324" t="s">
        <v>12873</v>
      </c>
      <c r="B4324" t="s">
        <v>12874</v>
      </c>
      <c r="C4324" t="s">
        <v>12875</v>
      </c>
      <c r="D4324" t="str">
        <f>HYPERLINK("https://github.com/TeamNewPipe/NewPipe/issues/7208","show")</f>
        <v>show</v>
      </c>
      <c r="E4324" t="str">
        <f>HYPERLINK("https://github.com/TeamNewPipe/NewPipe","show")</f>
        <v>show</v>
      </c>
      <c r="F4324" t="str">
        <f>HYPERLINK("https://github.com/TeamNewPipe/NewPipe/releases","show")</f>
        <v>show</v>
      </c>
    </row>
    <row r="4325" spans="1:6">
      <c r="A4325" t="s">
        <v>12876</v>
      </c>
      <c r="B4325" t="s">
        <v>12877</v>
      </c>
      <c r="C4325" t="s">
        <v>12878</v>
      </c>
      <c r="D4325" t="str">
        <f>HYPERLINK("https://github.com/google/ExoPlayer/issues/9541","show")</f>
        <v>show</v>
      </c>
      <c r="E4325" t="str">
        <f>HYPERLINK("https://github.com/google/ExoPlayer","show")</f>
        <v>show</v>
      </c>
      <c r="F4325" t="str">
        <f>HYPERLINK("https://github.com/google/ExoPlayer/releases","show")</f>
        <v>show</v>
      </c>
    </row>
    <row r="4326" spans="1:6">
      <c r="A4326" t="s">
        <v>12879</v>
      </c>
      <c r="B4326" t="s">
        <v>12880</v>
      </c>
      <c r="C4326" t="s">
        <v>12881</v>
      </c>
      <c r="D4326" t="str">
        <f>HYPERLINK("https://github.com/XBigTK13X/snowgloo/issues/39","show")</f>
        <v>show</v>
      </c>
      <c r="E4326" t="str">
        <f>HYPERLINK("https://github.com/XBigTK13X/snowgloo","show")</f>
        <v>show</v>
      </c>
      <c r="F4326" t="str">
        <f>HYPERLINK("https://github.com/XBigTK13X/snowgloo/releases","show")</f>
        <v>show</v>
      </c>
    </row>
    <row r="4327" spans="1:6">
      <c r="A4327" t="s">
        <v>12882</v>
      </c>
      <c r="B4327" t="s">
        <v>12883</v>
      </c>
      <c r="C4327" t="s">
        <v>12884</v>
      </c>
      <c r="D4327" t="str">
        <f>HYPERLINK("https://github.com/TeamNewPipe/NewPipe/issues/7205","show")</f>
        <v>show</v>
      </c>
      <c r="E4327" t="str">
        <f>HYPERLINK("https://github.com/TeamNewPipe/NewPipe","show")</f>
        <v>show</v>
      </c>
      <c r="F4327" t="str">
        <f>HYPERLINK("https://github.com/TeamNewPipe/NewPipe/releases","show")</f>
        <v>show</v>
      </c>
    </row>
    <row r="4328" spans="1:6">
      <c r="A4328" t="s">
        <v>12885</v>
      </c>
      <c r="B4328" t="s">
        <v>12886</v>
      </c>
      <c r="C4328" t="s">
        <v>12887</v>
      </c>
      <c r="D4328" t="str">
        <f>HYPERLINK("https://github.com/ankidroid/Anki-Android/issues/9592","show")</f>
        <v>show</v>
      </c>
      <c r="E4328" t="str">
        <f>HYPERLINK("https://github.com/ankidroid/Anki-Android","show")</f>
        <v>show</v>
      </c>
      <c r="F4328" t="str">
        <f>HYPERLINK("https://github.com/ankidroid/Anki-Android/releases","show")</f>
        <v>show</v>
      </c>
    </row>
    <row r="4329" spans="1:6">
      <c r="A4329" t="s">
        <v>12888</v>
      </c>
      <c r="B4329" t="s">
        <v>12889</v>
      </c>
      <c r="C4329" t="s">
        <v>12890</v>
      </c>
      <c r="D4329" t="str">
        <f>HYPERLINK("https://github.com/Anuken/Mindustry/issues/6111","show")</f>
        <v>show</v>
      </c>
      <c r="E4329" t="str">
        <f>HYPERLINK("https://github.com/Anuken/Mindustry","show")</f>
        <v>show</v>
      </c>
      <c r="F4329" t="str">
        <f>HYPERLINK("https://github.com/Anuken/Mindustry/releases","show")</f>
        <v>show</v>
      </c>
    </row>
    <row r="4330" spans="1:6">
      <c r="A4330" t="s">
        <v>12891</v>
      </c>
      <c r="B4330" t="s">
        <v>12892</v>
      </c>
      <c r="C4330" t="s">
        <v>12893</v>
      </c>
      <c r="D4330" t="str">
        <f>HYPERLINK("https://github.com/fossasia/pslab-android/issues/2240","show")</f>
        <v>show</v>
      </c>
      <c r="E4330" t="str">
        <f>HYPERLINK("https://github.com/fossasia/pslab-android","show")</f>
        <v>show</v>
      </c>
      <c r="F4330" t="str">
        <f>HYPERLINK("https://github.com/fossasia/pslab-android/releases","show")</f>
        <v>show</v>
      </c>
    </row>
    <row r="4331" spans="1:6">
      <c r="A4331" t="s">
        <v>12894</v>
      </c>
      <c r="B4331" t="s">
        <v>12895</v>
      </c>
      <c r="C4331" t="s">
        <v>12896</v>
      </c>
      <c r="D4331" t="str">
        <f>HYPERLINK("https://github.com/TeamNewPipe/NewPipe/issues/7203","show")</f>
        <v>show</v>
      </c>
      <c r="E4331" t="str">
        <f>HYPERLINK("https://github.com/TeamNewPipe/NewPipe","show")</f>
        <v>show</v>
      </c>
      <c r="F4331" t="str">
        <f>HYPERLINK("https://github.com/TeamNewPipe/NewPipe/releases","show")</f>
        <v>show</v>
      </c>
    </row>
    <row r="4332" spans="1:6">
      <c r="A4332" t="s">
        <v>12897</v>
      </c>
      <c r="B4332" t="s">
        <v>12898</v>
      </c>
      <c r="C4332" t="s">
        <v>12899</v>
      </c>
      <c r="D4332" t="str">
        <f>HYPERLINK("https://github.com/PojavLauncherTeam/PojavLauncher/issues/2091","show")</f>
        <v>show</v>
      </c>
      <c r="E4332" t="str">
        <f>HYPERLINK("https://github.com/PojavLauncherTeam/PojavLauncher","show")</f>
        <v>show</v>
      </c>
      <c r="F4332" t="str">
        <f>HYPERLINK("https://github.com/PojavLauncherTeam/PojavLauncher/releases","show")</f>
        <v>show</v>
      </c>
    </row>
    <row r="4333" spans="1:6">
      <c r="A4333" t="s">
        <v>12900</v>
      </c>
      <c r="B4333" t="s">
        <v>12901</v>
      </c>
      <c r="C4333" t="s">
        <v>12902</v>
      </c>
      <c r="D4333" t="str">
        <f>HYPERLINK("https://github.com/Rapsssito/react-native-tcp-socket/issues/127","show")</f>
        <v>show</v>
      </c>
      <c r="E4333" t="str">
        <f>HYPERLINK("https://github.com/Rapsssito/react-native-tcp-socket","show")</f>
        <v>show</v>
      </c>
      <c r="F4333" t="str">
        <f>HYPERLINK("https://github.com/Rapsssito/react-native-tcp-socket/releases","show")</f>
        <v>show</v>
      </c>
    </row>
    <row r="4334" spans="1:6">
      <c r="A4334" t="s">
        <v>12903</v>
      </c>
      <c r="B4334" t="s">
        <v>12904</v>
      </c>
      <c r="C4334" t="s">
        <v>12905</v>
      </c>
      <c r="D4334" t="str">
        <f>HYPERLINK("https://github.com/capacitor-community/google-maps/issues/114","show")</f>
        <v>show</v>
      </c>
      <c r="E4334" t="str">
        <f>HYPERLINK("https://github.com/capacitor-community/google-maps","show")</f>
        <v>show</v>
      </c>
      <c r="F4334" t="str">
        <f>HYPERLINK("https://github.com/capacitor-community/google-maps/releases","show")</f>
        <v>show</v>
      </c>
    </row>
    <row r="4335" spans="1:6">
      <c r="A4335" t="s">
        <v>12906</v>
      </c>
      <c r="B4335" t="s">
        <v>12907</v>
      </c>
      <c r="C4335" t="s">
        <v>12908</v>
      </c>
      <c r="D4335" t="str">
        <f>HYPERLINK("https://github.com/TeamNewPipe/NewPipe/issues/7199","show")</f>
        <v>show</v>
      </c>
      <c r="E4335" t="str">
        <f>HYPERLINK("https://github.com/TeamNewPipe/NewPipe","show")</f>
        <v>show</v>
      </c>
      <c r="F4335" t="str">
        <f>HYPERLINK("https://github.com/TeamNewPipe/NewPipe/releases","show")</f>
        <v>show</v>
      </c>
    </row>
    <row r="4336" spans="1:6">
      <c r="A4336" t="s">
        <v>12909</v>
      </c>
      <c r="B4336" t="s">
        <v>12910</v>
      </c>
      <c r="C4336" t="s">
        <v>12911</v>
      </c>
      <c r="D4336" t="str">
        <f>HYPERLINK("https://github.com/TeamNewPipe/NewPipe/issues/7198","show")</f>
        <v>show</v>
      </c>
      <c r="E4336" t="str">
        <f>HYPERLINK("https://github.com/TeamNewPipe/NewPipe","show")</f>
        <v>show</v>
      </c>
      <c r="F4336" t="str">
        <f>HYPERLINK("https://github.com/TeamNewPipe/NewPipe/releases","show")</f>
        <v>show</v>
      </c>
    </row>
    <row r="4337" spans="1:6">
      <c r="A4337" t="s">
        <v>12912</v>
      </c>
      <c r="B4337" t="s">
        <v>12913</v>
      </c>
      <c r="C4337" t="s">
        <v>12914</v>
      </c>
      <c r="D4337" t="str">
        <f>HYPERLINK("https://github.com/dedis/popstellar/issues/479","show")</f>
        <v>show</v>
      </c>
      <c r="E4337" t="str">
        <f>HYPERLINK("https://github.com/dedis/popstellar","show")</f>
        <v>show</v>
      </c>
      <c r="F4337" t="str">
        <f>HYPERLINK("https://github.com/dedis/popstellar/releases","show")</f>
        <v>show</v>
      </c>
    </row>
    <row r="4338" spans="1:6">
      <c r="A4338" t="s">
        <v>12915</v>
      </c>
      <c r="B4338" t="s">
        <v>12916</v>
      </c>
      <c r="C4338" t="s">
        <v>12917</v>
      </c>
      <c r="D4338" t="str">
        <f>HYPERLINK("https://github.com/aws-amplify/aws-sdk-android/issues/2655","show")</f>
        <v>show</v>
      </c>
      <c r="E4338" t="str">
        <f>HYPERLINK("https://github.com/aws-amplify/aws-sdk-android","show")</f>
        <v>show</v>
      </c>
      <c r="F4338" t="str">
        <f>HYPERLINK("https://github.com/aws-amplify/aws-sdk-android/releases","show")</f>
        <v>show</v>
      </c>
    </row>
    <row r="4339" spans="1:6">
      <c r="A4339" t="s">
        <v>12918</v>
      </c>
      <c r="B4339" t="s">
        <v>12919</v>
      </c>
      <c r="C4339" t="s">
        <v>12920</v>
      </c>
      <c r="D4339" t="str">
        <f>HYPERLINK("https://github.com/nextcloud/android/issues/9053","show")</f>
        <v>show</v>
      </c>
      <c r="E4339" t="str">
        <f>HYPERLINK("https://github.com/nextcloud/android","show")</f>
        <v>show</v>
      </c>
      <c r="F4339" t="str">
        <f>HYPERLINK("https://github.com/nextcloud/android/releases","show")</f>
        <v>show</v>
      </c>
    </row>
    <row r="4340" spans="1:6">
      <c r="A4340" t="s">
        <v>12921</v>
      </c>
      <c r="B4340" t="s">
        <v>12922</v>
      </c>
      <c r="C4340" t="s">
        <v>12923</v>
      </c>
      <c r="D4340" t="str">
        <f>HYPERLINK("https://github.com/jellyfin/jellyfin-androidtv/issues/1176","show")</f>
        <v>show</v>
      </c>
      <c r="E4340" t="str">
        <f>HYPERLINK("https://github.com/jellyfin/jellyfin-androidtv","show")</f>
        <v>show</v>
      </c>
      <c r="F4340" t="str">
        <f>HYPERLINK("https://github.com/jellyfin/jellyfin-androidtv/releases","show")</f>
        <v>show</v>
      </c>
    </row>
    <row r="4341" spans="1:6">
      <c r="A4341" t="s">
        <v>12924</v>
      </c>
      <c r="B4341" t="s">
        <v>12925</v>
      </c>
      <c r="C4341" t="s">
        <v>12926</v>
      </c>
      <c r="D4341" t="str">
        <f>HYPERLINK("https://github.com/jMonkeyEngine/jmonkeyengine/issues/1614","show")</f>
        <v>show</v>
      </c>
      <c r="E4341" t="str">
        <f>HYPERLINK("https://github.com/jMonkeyEngine/jmonkeyengine","show")</f>
        <v>show</v>
      </c>
      <c r="F4341" t="str">
        <f>HYPERLINK("https://github.com/jMonkeyEngine/jmonkeyengine/releases","show")</f>
        <v>show</v>
      </c>
    </row>
    <row r="4342" spans="1:6">
      <c r="A4342" t="s">
        <v>12927</v>
      </c>
      <c r="B4342" t="s">
        <v>12928</v>
      </c>
      <c r="C4342" t="s">
        <v>12929</v>
      </c>
      <c r="D4342" t="str">
        <f>HYPERLINK("https://github.com/IEEE-VIT/weatherbes-android/issues/22","show")</f>
        <v>show</v>
      </c>
      <c r="E4342" t="str">
        <f>HYPERLINK("https://github.com/IEEE-VIT/weatherbes-android","show")</f>
        <v>show</v>
      </c>
      <c r="F4342" t="str">
        <f>HYPERLINK("https://github.com/IEEE-VIT/weatherbes-android/releases","show")</f>
        <v>show</v>
      </c>
    </row>
    <row r="4343" spans="1:6">
      <c r="A4343" t="s">
        <v>12930</v>
      </c>
      <c r="B4343" t="s">
        <v>12931</v>
      </c>
      <c r="C4343" t="s">
        <v>12932</v>
      </c>
      <c r="D4343" t="str">
        <f>HYPERLINK("https://github.com/TeamNewPipe/NewPipe/issues/7190","show")</f>
        <v>show</v>
      </c>
      <c r="E4343" t="str">
        <f>HYPERLINK("https://github.com/TeamNewPipe/NewPipe","show")</f>
        <v>show</v>
      </c>
      <c r="F4343" t="str">
        <f>HYPERLINK("https://github.com/TeamNewPipe/NewPipe/releases","show")</f>
        <v>show</v>
      </c>
    </row>
    <row r="4344" spans="1:6">
      <c r="A4344" t="s">
        <v>12933</v>
      </c>
      <c r="B4344" t="s">
        <v>12934</v>
      </c>
      <c r="C4344" t="s">
        <v>12935</v>
      </c>
      <c r="D4344" t="str">
        <f>HYPERLINK("https://github.com/TeamNewPipe/NewPipe/issues/7189","show")</f>
        <v>show</v>
      </c>
      <c r="E4344" t="str">
        <f>HYPERLINK("https://github.com/TeamNewPipe/NewPipe","show")</f>
        <v>show</v>
      </c>
      <c r="F4344" t="str">
        <f>HYPERLINK("https://github.com/TeamNewPipe/NewPipe/releases","show")</f>
        <v>show</v>
      </c>
    </row>
    <row r="4345" spans="1:6">
      <c r="A4345" t="s">
        <v>12936</v>
      </c>
      <c r="B4345" t="s">
        <v>12937</v>
      </c>
      <c r="C4345" t="s">
        <v>12938</v>
      </c>
      <c r="D4345" t="str">
        <f>HYPERLINK("https://github.com/Anuken/Mindustry/issues/6088","show")</f>
        <v>show</v>
      </c>
      <c r="E4345" t="str">
        <f>HYPERLINK("https://github.com/Anuken/Mindustry","show")</f>
        <v>show</v>
      </c>
      <c r="F4345" t="str">
        <f>HYPERLINK("https://github.com/Anuken/Mindustry/releases","show")</f>
        <v>show</v>
      </c>
    </row>
    <row r="4346" spans="1:6">
      <c r="A4346" t="s">
        <v>12939</v>
      </c>
      <c r="B4346" t="s">
        <v>12940</v>
      </c>
      <c r="C4346" t="s">
        <v>12941</v>
      </c>
      <c r="D4346" t="str">
        <f>HYPERLINK("https://github.com/AOF-Dev/MCinaBox/issues/1112","show")</f>
        <v>show</v>
      </c>
      <c r="E4346" t="str">
        <f>HYPERLINK("https://github.com/AOF-Dev/MCinaBox","show")</f>
        <v>show</v>
      </c>
      <c r="F4346" t="str">
        <f>HYPERLINK("https://github.com/AOF-Dev/MCinaBox/releases","show")</f>
        <v>show</v>
      </c>
    </row>
    <row r="4347" spans="1:6">
      <c r="A4347" t="s">
        <v>12942</v>
      </c>
      <c r="B4347" t="s">
        <v>12943</v>
      </c>
      <c r="C4347" t="s">
        <v>12944</v>
      </c>
      <c r="D4347" t="str">
        <f>HYPERLINK("https://github.com/dedis/popstellar/issues/468","show")</f>
        <v>show</v>
      </c>
      <c r="E4347" t="str">
        <f>HYPERLINK("https://github.com/dedis/popstellar","show")</f>
        <v>show</v>
      </c>
      <c r="F4347" t="str">
        <f>HYPERLINK("https://github.com/dedis/popstellar/releases","show")</f>
        <v>show</v>
      </c>
    </row>
    <row r="4348" spans="1:6">
      <c r="A4348" t="s">
        <v>12945</v>
      </c>
      <c r="B4348" t="s">
        <v>12946</v>
      </c>
      <c r="C4348" t="s">
        <v>12947</v>
      </c>
      <c r="D4348" t="str">
        <f>HYPERLINK("https://github.com/inaturalist/iNaturalistAndroid/issues/1131","show")</f>
        <v>show</v>
      </c>
      <c r="E4348" t="str">
        <f>HYPERLINK("https://github.com/inaturalist/iNaturalistAndroid","show")</f>
        <v>show</v>
      </c>
      <c r="F4348" t="str">
        <f>HYPERLINK("https://github.com/inaturalist/iNaturalistAndroid/releases","show")</f>
        <v>show</v>
      </c>
    </row>
    <row r="4349" spans="1:6">
      <c r="A4349" t="s">
        <v>12948</v>
      </c>
      <c r="B4349" t="s">
        <v>12949</v>
      </c>
      <c r="C4349" t="s">
        <v>12950</v>
      </c>
      <c r="D4349" t="str">
        <f>HYPERLINK("https://github.com/jellyfin/jellyfin-androidtv/issues/1161","show")</f>
        <v>show</v>
      </c>
      <c r="E4349" t="str">
        <f>HYPERLINK("https://github.com/jellyfin/jellyfin-androidtv","show")</f>
        <v>show</v>
      </c>
      <c r="F4349" t="str">
        <f>HYPERLINK("https://github.com/jellyfin/jellyfin-androidtv/releases","show")</f>
        <v>show</v>
      </c>
    </row>
    <row r="4350" spans="1:6">
      <c r="A4350" t="s">
        <v>12951</v>
      </c>
      <c r="B4350" t="s">
        <v>12952</v>
      </c>
      <c r="C4350" t="s">
        <v>12953</v>
      </c>
      <c r="D4350" t="str">
        <f>HYPERLINK("https://github.com/jellyfin/jellyfin-androidtv/issues/1160","show")</f>
        <v>show</v>
      </c>
      <c r="E4350" t="str">
        <f>HYPERLINK("https://github.com/jellyfin/jellyfin-androidtv","show")</f>
        <v>show</v>
      </c>
      <c r="F4350" t="str">
        <f>HYPERLINK("https://github.com/jellyfin/jellyfin-androidtv/releases","show")</f>
        <v>show</v>
      </c>
    </row>
    <row r="4351" spans="1:6">
      <c r="A4351" t="s">
        <v>12954</v>
      </c>
      <c r="B4351" t="s">
        <v>12955</v>
      </c>
      <c r="C4351" t="s">
        <v>12956</v>
      </c>
      <c r="D4351" t="str">
        <f>HYPERLINK("https://github.com/k9mail/k-9/issues/5711","show")</f>
        <v>show</v>
      </c>
      <c r="E4351" t="str">
        <f>HYPERLINK("https://github.com/k9mail/k-9","show")</f>
        <v>show</v>
      </c>
      <c r="F4351" t="str">
        <f>HYPERLINK("https://github.com/k9mail/k-9/releases","show")</f>
        <v>show</v>
      </c>
    </row>
    <row r="4352" spans="1:6">
      <c r="A4352" t="s">
        <v>12957</v>
      </c>
      <c r="B4352" t="s">
        <v>12958</v>
      </c>
      <c r="C4352" t="s">
        <v>12959</v>
      </c>
      <c r="D4352" t="str">
        <f>HYPERLINK("https://github.com/Anuken/Mindustry/issues/6080","show")</f>
        <v>show</v>
      </c>
      <c r="E4352" t="str">
        <f>HYPERLINK("https://github.com/Anuken/Mindustry","show")</f>
        <v>show</v>
      </c>
      <c r="F4352" t="str">
        <f>HYPERLINK("https://github.com/Anuken/Mindustry/releases","show")</f>
        <v>show</v>
      </c>
    </row>
    <row r="4353" spans="1:6">
      <c r="A4353" t="s">
        <v>12960</v>
      </c>
      <c r="B4353" t="s">
        <v>12961</v>
      </c>
      <c r="C4353" t="s">
        <v>12962</v>
      </c>
      <c r="D4353" t="str">
        <f>HYPERLINK("https://github.com/noties/Markwon/issues/372","show")</f>
        <v>show</v>
      </c>
      <c r="E4353" t="str">
        <f>HYPERLINK("https://github.com/noties/Markwon","show")</f>
        <v>show</v>
      </c>
      <c r="F4353" t="str">
        <f>HYPERLINK("https://github.com/noties/Markwon/releases","show")</f>
        <v>show</v>
      </c>
    </row>
    <row r="4354" spans="1:6">
      <c r="A4354" t="s">
        <v>12963</v>
      </c>
      <c r="B4354" t="s">
        <v>12964</v>
      </c>
      <c r="C4354" t="s">
        <v>12965</v>
      </c>
      <c r="D4354" t="str">
        <f>HYPERLINK("https://github.com/LiamAbyss/Scorpion/issues/17","show")</f>
        <v>show</v>
      </c>
      <c r="E4354" t="str">
        <f>HYPERLINK("https://github.com/LiamAbyss/Scorpion","show")</f>
        <v>show</v>
      </c>
      <c r="F4354" t="str">
        <f>HYPERLINK("https://github.com/LiamAbyss/Scorpion/releases","show")</f>
        <v>show</v>
      </c>
    </row>
    <row r="4355" spans="1:6">
      <c r="A4355" t="s">
        <v>12966</v>
      </c>
      <c r="B4355" t="s">
        <v>12967</v>
      </c>
      <c r="C4355" t="s">
        <v>12968</v>
      </c>
      <c r="D4355" t="str">
        <f>HYPERLINK("https://github.com/TeamNewPipe/NewPipe/issues/7183","show")</f>
        <v>show</v>
      </c>
      <c r="E4355" t="str">
        <f>HYPERLINK("https://github.com/TeamNewPipe/NewPipe","show")</f>
        <v>show</v>
      </c>
      <c r="F4355" t="str">
        <f>HYPERLINK("https://github.com/TeamNewPipe/NewPipe/releases","show")</f>
        <v>show</v>
      </c>
    </row>
    <row r="4356" spans="1:6">
      <c r="A4356" t="s">
        <v>12969</v>
      </c>
      <c r="B4356" t="s">
        <v>12970</v>
      </c>
      <c r="C4356" t="s">
        <v>12971</v>
      </c>
      <c r="D4356" t="str">
        <f>HYPERLINK("https://github.com/smartdevicelink/sdl_java_suite/issues/1741","show")</f>
        <v>show</v>
      </c>
      <c r="E4356" t="str">
        <f>HYPERLINK("https://github.com/smartdevicelink/sdl_java_suite","show")</f>
        <v>show</v>
      </c>
      <c r="F4356" t="str">
        <f>HYPERLINK("https://github.com/smartdevicelink/sdl_java_suite/releases","show")</f>
        <v>show</v>
      </c>
    </row>
    <row r="4357" spans="1:6">
      <c r="A4357" t="s">
        <v>12972</v>
      </c>
      <c r="B4357" t="s">
        <v>12973</v>
      </c>
      <c r="C4357" t="s">
        <v>12974</v>
      </c>
      <c r="D4357" t="str">
        <f>HYPERLINK("https://github.com/PojavLauncherTeam/PojavLauncher/issues/2077","show")</f>
        <v>show</v>
      </c>
      <c r="E4357" t="str">
        <f>HYPERLINK("https://github.com/PojavLauncherTeam/PojavLauncher","show")</f>
        <v>show</v>
      </c>
      <c r="F4357" t="str">
        <f>HYPERLINK("https://github.com/PojavLauncherTeam/PojavLauncher/releases","show")</f>
        <v>show</v>
      </c>
    </row>
    <row r="4358" spans="1:6">
      <c r="A4358" t="s">
        <v>12975</v>
      </c>
      <c r="B4358" t="s">
        <v>12976</v>
      </c>
      <c r="C4358" t="s">
        <v>12977</v>
      </c>
      <c r="D4358" t="str">
        <f>HYPERLINK("https://github.com/Anuken/Mindustry/issues/6070","show")</f>
        <v>show</v>
      </c>
      <c r="E4358" t="str">
        <f>HYPERLINK("https://github.com/Anuken/Mindustry","show")</f>
        <v>show</v>
      </c>
      <c r="F4358" t="str">
        <f>HYPERLINK("https://github.com/Anuken/Mindustry/releases","show")</f>
        <v>show</v>
      </c>
    </row>
    <row r="4359" spans="1:6">
      <c r="A4359" t="s">
        <v>12978</v>
      </c>
      <c r="B4359" t="s">
        <v>12979</v>
      </c>
      <c r="C4359" t="s">
        <v>12980</v>
      </c>
      <c r="D4359" t="str">
        <f>HYPERLINK("https://github.com/Anuken/Mindustry/issues/6067","show")</f>
        <v>show</v>
      </c>
      <c r="E4359" t="str">
        <f>HYPERLINK("https://github.com/Anuken/Mindustry","show")</f>
        <v>show</v>
      </c>
      <c r="F4359" t="str">
        <f>HYPERLINK("https://github.com/Anuken/Mindustry/releases","show")</f>
        <v>show</v>
      </c>
    </row>
    <row r="4360" spans="1:6">
      <c r="A4360" t="s">
        <v>12981</v>
      </c>
      <c r="B4360" t="s">
        <v>12982</v>
      </c>
      <c r="C4360" t="s">
        <v>12983</v>
      </c>
      <c r="D4360" t="str">
        <f>HYPERLINK("https://github.com/nextcloud/android/issues/9020","show")</f>
        <v>show</v>
      </c>
      <c r="E4360" t="str">
        <f>HYPERLINK("https://github.com/nextcloud/android","show")</f>
        <v>show</v>
      </c>
      <c r="F4360" t="str">
        <f>HYPERLINK("https://github.com/nextcloud/android/releases","show")</f>
        <v>show</v>
      </c>
    </row>
    <row r="4361" spans="1:6">
      <c r="A4361" t="s">
        <v>12984</v>
      </c>
      <c r="B4361" t="s">
        <v>12985</v>
      </c>
      <c r="C4361" t="s">
        <v>12986</v>
      </c>
      <c r="D4361" t="str">
        <f>HYPERLINK("https://github.com/PojavLauncherTeam/PojavLauncher/issues/2075","show")</f>
        <v>show</v>
      </c>
      <c r="E4361" t="str">
        <f>HYPERLINK("https://github.com/PojavLauncherTeam/PojavLauncher","show")</f>
        <v>show</v>
      </c>
      <c r="F4361" t="str">
        <f>HYPERLINK("https://github.com/PojavLauncherTeam/PojavLauncher/releases","show")</f>
        <v>show</v>
      </c>
    </row>
    <row r="4362" spans="1:6">
      <c r="A4362" t="s">
        <v>12987</v>
      </c>
      <c r="B4362" t="s">
        <v>12988</v>
      </c>
      <c r="C4362" t="s">
        <v>12989</v>
      </c>
      <c r="D4362" t="str">
        <f>HYPERLINK("https://github.com/GoogleCloudPlatform/fda-mystudies/issues/4157","show")</f>
        <v>show</v>
      </c>
      <c r="E4362" t="str">
        <f>HYPERLINK("https://github.com/GoogleCloudPlatform/fda-mystudies","show")</f>
        <v>show</v>
      </c>
      <c r="F4362" t="str">
        <f>HYPERLINK("https://github.com/GoogleCloudPlatform/fda-mystudies/releases","show")</f>
        <v>show</v>
      </c>
    </row>
    <row r="4363" spans="1:6">
      <c r="A4363" t="s">
        <v>12990</v>
      </c>
      <c r="B4363" t="s">
        <v>10667</v>
      </c>
      <c r="C4363" t="s">
        <v>12991</v>
      </c>
      <c r="D4363" t="str">
        <f>HYPERLINK("https://github.com/NordicSemiconductor/Android-DFU-Library/issues/312","show")</f>
        <v>show</v>
      </c>
      <c r="E4363" t="str">
        <f>HYPERLINK("https://github.com/NordicSemiconductor/Android-DFU-Library","show")</f>
        <v>show</v>
      </c>
      <c r="F4363" t="str">
        <f>HYPERLINK("https://github.com/NordicSemiconductor/Android-DFU-Library/releases","show")</f>
        <v>show</v>
      </c>
    </row>
    <row r="4364" spans="1:6">
      <c r="A4364" t="s">
        <v>12992</v>
      </c>
      <c r="B4364" t="s">
        <v>12993</v>
      </c>
      <c r="C4364" t="s">
        <v>12994</v>
      </c>
      <c r="D4364" t="str">
        <f>HYPERLINK("https://github.com/LawnchairLauncher/lawnchair/issues/2238","show")</f>
        <v>show</v>
      </c>
      <c r="E4364" t="str">
        <f>HYPERLINK("https://github.com/LawnchairLauncher/lawnchair","show")</f>
        <v>show</v>
      </c>
      <c r="F4364" t="str">
        <f>HYPERLINK("https://github.com/LawnchairLauncher/lawnchair/releases","show")</f>
        <v>show</v>
      </c>
    </row>
    <row r="4365" spans="1:6">
      <c r="A4365" t="s">
        <v>12995</v>
      </c>
      <c r="B4365" t="s">
        <v>12996</v>
      </c>
      <c r="C4365" t="s">
        <v>12997</v>
      </c>
      <c r="D4365" t="str">
        <f>HYPERLINK("https://github.com/Keidan/HexViewer/issues/120","show")</f>
        <v>show</v>
      </c>
      <c r="E4365" t="str">
        <f>HYPERLINK("https://github.com/Keidan/HexViewer","show")</f>
        <v>show</v>
      </c>
      <c r="F4365" t="str">
        <f>HYPERLINK("https://github.com/Keidan/HexViewer/releases","show")</f>
        <v>show</v>
      </c>
    </row>
    <row r="4366" spans="1:6">
      <c r="A4366" t="s">
        <v>12998</v>
      </c>
      <c r="B4366" t="s">
        <v>12999</v>
      </c>
      <c r="C4366" t="s">
        <v>13000</v>
      </c>
      <c r="D4366" t="str">
        <f>HYPERLINK("https://github.com/nextcloud/talk-android/issues/1603","show")</f>
        <v>show</v>
      </c>
      <c r="E4366" t="str">
        <f>HYPERLINK("https://github.com/nextcloud/talk-android","show")</f>
        <v>show</v>
      </c>
      <c r="F4366" t="str">
        <f>HYPERLINK("https://github.com/nextcloud/talk-android/releases","show")</f>
        <v>show</v>
      </c>
    </row>
    <row r="4367" spans="1:6">
      <c r="A4367" t="s">
        <v>13001</v>
      </c>
      <c r="B4367" t="s">
        <v>13002</v>
      </c>
      <c r="C4367" t="s">
        <v>13003</v>
      </c>
      <c r="D4367" t="str">
        <f>HYPERLINK("https://github.com/nikita36078/J2ME-Loader/issues/838","show")</f>
        <v>show</v>
      </c>
      <c r="E4367" t="str">
        <f>HYPERLINK("https://github.com/nikita36078/J2ME-Loader","show")</f>
        <v>show</v>
      </c>
      <c r="F4367" t="str">
        <f>HYPERLINK("https://github.com/nikita36078/J2ME-Loader/releases","show")</f>
        <v>show</v>
      </c>
    </row>
    <row r="4368" spans="1:6">
      <c r="A4368" t="s">
        <v>13004</v>
      </c>
      <c r="B4368" t="s">
        <v>13005</v>
      </c>
      <c r="C4368" t="s">
        <v>13006</v>
      </c>
      <c r="D4368" t="str">
        <f>HYPERLINK("https://github.com/TeamNewPipe/NewPipe/issues/7174","show")</f>
        <v>show</v>
      </c>
      <c r="E4368" t="str">
        <f>HYPERLINK("https://github.com/TeamNewPipe/NewPipe","show")</f>
        <v>show</v>
      </c>
      <c r="F4368" t="str">
        <f>HYPERLINK("https://github.com/TeamNewPipe/NewPipe/releases","show")</f>
        <v>show</v>
      </c>
    </row>
    <row r="4369" spans="1:6">
      <c r="A4369" t="s">
        <v>13007</v>
      </c>
      <c r="B4369" t="s">
        <v>13008</v>
      </c>
      <c r="C4369" t="s">
        <v>13009</v>
      </c>
      <c r="D4369" t="str">
        <f>HYPERLINK("https://github.com/nextcloud/android/issues/9012","show")</f>
        <v>show</v>
      </c>
      <c r="E4369" t="str">
        <f>HYPERLINK("https://github.com/nextcloud/android","show")</f>
        <v>show</v>
      </c>
      <c r="F4369" t="str">
        <f>HYPERLINK("https://github.com/nextcloud/android/releases","show")</f>
        <v>show</v>
      </c>
    </row>
    <row r="4370" spans="1:6">
      <c r="A4370" t="s">
        <v>13010</v>
      </c>
      <c r="B4370" t="s">
        <v>13011</v>
      </c>
      <c r="C4370" t="s">
        <v>13012</v>
      </c>
      <c r="D4370" t="str">
        <f>HYPERLINK("https://github.com/nextcloud/android/issues/9007","show")</f>
        <v>show</v>
      </c>
      <c r="E4370" t="str">
        <f>HYPERLINK("https://github.com/nextcloud/android","show")</f>
        <v>show</v>
      </c>
      <c r="F4370" t="str">
        <f>HYPERLINK("https://github.com/nextcloud/android/releases","show")</f>
        <v>show</v>
      </c>
    </row>
    <row r="4371" spans="1:6">
      <c r="A4371" t="s">
        <v>13013</v>
      </c>
      <c r="B4371" t="s">
        <v>13014</v>
      </c>
      <c r="C4371" t="s">
        <v>13015</v>
      </c>
      <c r="D4371" t="str">
        <f>HYPERLINK("https://github.com/PojavLauncherTeam/PojavLauncher/issues/2072","show")</f>
        <v>show</v>
      </c>
      <c r="E4371" t="str">
        <f>HYPERLINK("https://github.com/PojavLauncherTeam/PojavLauncher","show")</f>
        <v>show</v>
      </c>
      <c r="F4371" t="str">
        <f>HYPERLINK("https://github.com/PojavLauncherTeam/PojavLauncher/releases","show")</f>
        <v>show</v>
      </c>
    </row>
    <row r="4372" spans="1:6">
      <c r="A4372" t="s">
        <v>13016</v>
      </c>
      <c r="B4372" t="s">
        <v>13017</v>
      </c>
      <c r="C4372" t="s">
        <v>13018</v>
      </c>
      <c r="D4372" t="str">
        <f>HYPERLINK("https://github.com/smartdevicelink/sdl_java_suite/issues/1738","show")</f>
        <v>show</v>
      </c>
      <c r="E4372" t="str">
        <f>HYPERLINK("https://github.com/smartdevicelink/sdl_java_suite","show")</f>
        <v>show</v>
      </c>
      <c r="F4372" t="str">
        <f>HYPERLINK("https://github.com/smartdevicelink/sdl_java_suite/releases","show")</f>
        <v>show</v>
      </c>
    </row>
    <row r="4373" spans="1:6">
      <c r="A4373" t="s">
        <v>13019</v>
      </c>
      <c r="B4373" t="s">
        <v>13020</v>
      </c>
      <c r="C4373" t="s">
        <v>13021</v>
      </c>
      <c r="D4373" t="str">
        <f>HYPERLINK("https://github.com/Nostradongus/Financify/issues/5","show")</f>
        <v>show</v>
      </c>
      <c r="E4373" t="str">
        <f>HYPERLINK("https://github.com/Nostradongus/Financify","show")</f>
        <v>show</v>
      </c>
      <c r="F4373" t="str">
        <f>HYPERLINK("https://github.com/Nostradongus/Financify/releases","show")</f>
        <v>show</v>
      </c>
    </row>
    <row r="4374" spans="1:6">
      <c r="A4374" t="s">
        <v>13022</v>
      </c>
      <c r="B4374" t="s">
        <v>13023</v>
      </c>
      <c r="C4374" t="s">
        <v>13024</v>
      </c>
      <c r="D4374" t="str">
        <f>HYPERLINK("https://github.com/PojavLauncherTeam/PojavLauncher/issues/2066","show")</f>
        <v>show</v>
      </c>
      <c r="E4374" t="str">
        <f>HYPERLINK("https://github.com/PojavLauncherTeam/PojavLauncher","show")</f>
        <v>show</v>
      </c>
      <c r="F4374" t="str">
        <f>HYPERLINK("https://github.com/PojavLauncherTeam/PojavLauncher/releases","show")</f>
        <v>show</v>
      </c>
    </row>
    <row r="4375" spans="1:6">
      <c r="A4375" t="s">
        <v>13025</v>
      </c>
      <c r="B4375" t="s">
        <v>13026</v>
      </c>
      <c r="C4375" t="s">
        <v>13027</v>
      </c>
      <c r="D4375" t="str">
        <f>HYPERLINK("https://github.com/inaturalist/iNaturalistAndroid/issues/1130","show")</f>
        <v>show</v>
      </c>
      <c r="E4375" t="str">
        <f>HYPERLINK("https://github.com/inaturalist/iNaturalistAndroid","show")</f>
        <v>show</v>
      </c>
      <c r="F4375" t="str">
        <f>HYPERLINK("https://github.com/inaturalist/iNaturalistAndroid/releases","show")</f>
        <v>show</v>
      </c>
    </row>
    <row r="4376" spans="1:6">
      <c r="A4376" t="s">
        <v>13028</v>
      </c>
      <c r="B4376" t="s">
        <v>13029</v>
      </c>
      <c r="C4376" t="s">
        <v>13030</v>
      </c>
      <c r="D4376" t="str">
        <f>HYPERLINK("https://github.com/mapbox/mapbox-gl-native-android/issues/702","show")</f>
        <v>show</v>
      </c>
      <c r="E4376" t="str">
        <f>HYPERLINK("https://github.com/mapbox/mapbox-gl-native-android","show")</f>
        <v>show</v>
      </c>
      <c r="F4376" t="str">
        <f>HYPERLINK("https://github.com/mapbox/mapbox-gl-native-android/releases","show")</f>
        <v>show</v>
      </c>
    </row>
    <row r="4377" spans="1:6">
      <c r="A4377" t="s">
        <v>13031</v>
      </c>
      <c r="B4377" t="s">
        <v>13032</v>
      </c>
      <c r="C4377" t="s">
        <v>13033</v>
      </c>
      <c r="D4377" t="str">
        <f>HYPERLINK("https://github.com/PojavLauncherTeam/PojavLauncher/issues/2062","show")</f>
        <v>show</v>
      </c>
      <c r="E4377" t="str">
        <f>HYPERLINK("https://github.com/PojavLauncherTeam/PojavLauncher","show")</f>
        <v>show</v>
      </c>
      <c r="F4377" t="str">
        <f>HYPERLINK("https://github.com/PojavLauncherTeam/PojavLauncher/releases","show")</f>
        <v>show</v>
      </c>
    </row>
    <row r="4378" spans="1:6">
      <c r="A4378" t="s">
        <v>13034</v>
      </c>
      <c r="B4378" t="s">
        <v>13035</v>
      </c>
      <c r="C4378" t="s">
        <v>13036</v>
      </c>
      <c r="D4378" t="str">
        <f>HYPERLINK("https://github.com/jellyfin/jellyfin-androidtv/issues/1152","show")</f>
        <v>show</v>
      </c>
      <c r="E4378" t="str">
        <f>HYPERLINK("https://github.com/jellyfin/jellyfin-androidtv","show")</f>
        <v>show</v>
      </c>
      <c r="F4378" t="str">
        <f>HYPERLINK("https://github.com/jellyfin/jellyfin-androidtv/releases","show")</f>
        <v>show</v>
      </c>
    </row>
    <row r="4379" spans="1:6">
      <c r="A4379" t="s">
        <v>13037</v>
      </c>
      <c r="B4379" t="s">
        <v>13038</v>
      </c>
      <c r="C4379" t="s">
        <v>13039</v>
      </c>
      <c r="D4379" t="str">
        <f>HYPERLINK("https://github.com/inaturalist/iNaturalistAndroid/issues/1126","show")</f>
        <v>show</v>
      </c>
      <c r="E4379" t="str">
        <f>HYPERLINK("https://github.com/inaturalist/iNaturalistAndroid","show")</f>
        <v>show</v>
      </c>
      <c r="F4379" t="str">
        <f>HYPERLINK("https://github.com/inaturalist/iNaturalistAndroid/releases","show")</f>
        <v>show</v>
      </c>
    </row>
    <row r="4380" spans="1:6">
      <c r="A4380" t="s">
        <v>13040</v>
      </c>
      <c r="B4380" t="s">
        <v>13041</v>
      </c>
      <c r="C4380" t="s">
        <v>13042</v>
      </c>
      <c r="D4380" t="str">
        <f>HYPERLINK("https://github.com/nextcloud/android/issues/8995","show")</f>
        <v>show</v>
      </c>
      <c r="E4380" t="str">
        <f>HYPERLINK("https://github.com/nextcloud/android","show")</f>
        <v>show</v>
      </c>
      <c r="F4380" t="str">
        <f>HYPERLINK("https://github.com/nextcloud/android/releases","show")</f>
        <v>show</v>
      </c>
    </row>
    <row r="4381" spans="1:6">
      <c r="A4381" t="s">
        <v>13043</v>
      </c>
      <c r="B4381" t="s">
        <v>13044</v>
      </c>
      <c r="C4381" t="s">
        <v>13045</v>
      </c>
      <c r="D4381" t="str">
        <f>HYPERLINK("https://github.com/TeamNewPipe/NewPipe/issues/7144","show")</f>
        <v>show</v>
      </c>
      <c r="E4381" t="str">
        <f>HYPERLINK("https://github.com/TeamNewPipe/NewPipe","show")</f>
        <v>show</v>
      </c>
      <c r="F4381" t="str">
        <f>HYPERLINK("https://github.com/TeamNewPipe/NewPipe/releases","show")</f>
        <v>show</v>
      </c>
    </row>
    <row r="4382" spans="1:6">
      <c r="A4382" t="s">
        <v>13046</v>
      </c>
      <c r="B4382" t="s">
        <v>13047</v>
      </c>
      <c r="C4382" t="s">
        <v>13048</v>
      </c>
      <c r="D4382" t="str">
        <f>HYPERLINK("https://github.com/EffnerAppArchive/effnerapp-android-legacy/issues/150","show")</f>
        <v>show</v>
      </c>
      <c r="E4382" t="str">
        <f>HYPERLINK("https://github.com/EffnerAppArchive/effnerapp-android-legacy","show")</f>
        <v>show</v>
      </c>
      <c r="F4382" t="str">
        <f>HYPERLINK("https://github.com/EffnerAppArchive/effnerapp-android-legacy/releases","show")</f>
        <v>show</v>
      </c>
    </row>
    <row r="4383" spans="1:6">
      <c r="A4383" t="s">
        <v>13049</v>
      </c>
      <c r="B4383" t="s">
        <v>13050</v>
      </c>
      <c r="C4383" t="s">
        <v>13051</v>
      </c>
      <c r="D4383" t="str">
        <f>HYPERLINK("https://github.com/TeamNewPipe/NewPipe/issues/7141","show")</f>
        <v>show</v>
      </c>
      <c r="E4383" t="str">
        <f>HYPERLINK("https://github.com/TeamNewPipe/NewPipe","show")</f>
        <v>show</v>
      </c>
      <c r="F4383" t="str">
        <f>HYPERLINK("https://github.com/TeamNewPipe/NewPipe/releases","show")</f>
        <v>show</v>
      </c>
    </row>
    <row r="4384" spans="1:6">
      <c r="A4384" t="s">
        <v>13052</v>
      </c>
      <c r="B4384" t="s">
        <v>13053</v>
      </c>
      <c r="C4384" t="s">
        <v>13054</v>
      </c>
      <c r="D4384" t="str">
        <f>HYPERLINK("https://github.com/Anuken/Mindustry/issues/6032","show")</f>
        <v>show</v>
      </c>
      <c r="E4384" t="str">
        <f>HYPERLINK("https://github.com/Anuken/Mindustry","show")</f>
        <v>show</v>
      </c>
      <c r="F4384" t="str">
        <f>HYPERLINK("https://github.com/Anuken/Mindustry/releases","show")</f>
        <v>show</v>
      </c>
    </row>
    <row r="4385" spans="1:6">
      <c r="A4385" t="s">
        <v>13055</v>
      </c>
      <c r="B4385" t="s">
        <v>13056</v>
      </c>
      <c r="C4385" t="s">
        <v>13057</v>
      </c>
      <c r="D4385" t="str">
        <f>HYPERLINK("https://github.com/TeamNewPipe/NewPipe/issues/7136","show")</f>
        <v>show</v>
      </c>
      <c r="E4385" t="str">
        <f>HYPERLINK("https://github.com/TeamNewPipe/NewPipe","show")</f>
        <v>show</v>
      </c>
      <c r="F4385" t="str">
        <f>HYPERLINK("https://github.com/TeamNewPipe/NewPipe/releases","show")</f>
        <v>show</v>
      </c>
    </row>
    <row r="4386" spans="1:6">
      <c r="A4386" t="s">
        <v>13058</v>
      </c>
      <c r="B4386" t="s">
        <v>13059</v>
      </c>
      <c r="C4386" t="s">
        <v>13060</v>
      </c>
      <c r="D4386" t="str">
        <f>HYPERLINK("https://github.com/react-native-share/react-native-share/issues/1095","show")</f>
        <v>show</v>
      </c>
      <c r="E4386" t="str">
        <f>HYPERLINK("https://github.com/react-native-share/react-native-share","show")</f>
        <v>show</v>
      </c>
      <c r="F4386" t="str">
        <f>HYPERLINK("https://github.com/react-native-share/react-native-share/releases","show")</f>
        <v>show</v>
      </c>
    </row>
    <row r="4387" spans="1:6">
      <c r="A4387" t="s">
        <v>13061</v>
      </c>
      <c r="B4387" t="s">
        <v>13062</v>
      </c>
      <c r="C4387" t="s">
        <v>13063</v>
      </c>
      <c r="D4387" t="str">
        <f>HYPERLINK("https://github.com/commons-app/apps-android-commons/issues/4642","show")</f>
        <v>show</v>
      </c>
      <c r="E4387" t="str">
        <f>HYPERLINK("https://github.com/commons-app/apps-android-commons","show")</f>
        <v>show</v>
      </c>
      <c r="F4387" t="str">
        <f>HYPERLINK("https://github.com/commons-app/apps-android-commons/releases","show")</f>
        <v>show</v>
      </c>
    </row>
    <row r="4388" spans="1:6">
      <c r="A4388" t="s">
        <v>13064</v>
      </c>
      <c r="B4388" t="s">
        <v>13065</v>
      </c>
      <c r="C4388" t="s">
        <v>13066</v>
      </c>
      <c r="D4388" t="str">
        <f>HYPERLINK("https://github.com/LSPosed/LSPosed/issues/1151","show")</f>
        <v>show</v>
      </c>
      <c r="E4388" t="str">
        <f>HYPERLINK("https://github.com/LSPosed/LSPosed","show")</f>
        <v>show</v>
      </c>
      <c r="F4388" t="str">
        <f>HYPERLINK("https://github.com/LSPosed/LSPosed/releases","show")</f>
        <v>show</v>
      </c>
    </row>
    <row r="4389" spans="1:6">
      <c r="A4389" t="s">
        <v>13067</v>
      </c>
      <c r="B4389" t="s">
        <v>13068</v>
      </c>
      <c r="C4389" t="s">
        <v>13069</v>
      </c>
      <c r="D4389" t="str">
        <f>HYPERLINK("https://github.com/PojavLauncherTeam/PojavLauncher/issues/2054","show")</f>
        <v>show</v>
      </c>
      <c r="E4389" t="str">
        <f>HYPERLINK("https://github.com/PojavLauncherTeam/PojavLauncher","show")</f>
        <v>show</v>
      </c>
      <c r="F4389" t="str">
        <f>HYPERLINK("https://github.com/PojavLauncherTeam/PojavLauncher/releases","show")</f>
        <v>show</v>
      </c>
    </row>
    <row r="4390" spans="1:6">
      <c r="A4390" t="s">
        <v>13070</v>
      </c>
      <c r="B4390" t="s">
        <v>13071</v>
      </c>
      <c r="C4390" t="s">
        <v>13072</v>
      </c>
      <c r="D4390" t="str">
        <f>HYPERLINK("https://github.com/Azizadx/Newsly/issues/22","show")</f>
        <v>show</v>
      </c>
      <c r="E4390" t="str">
        <f>HYPERLINK("https://github.com/Azizadx/Newsly","show")</f>
        <v>show</v>
      </c>
      <c r="F4390" t="str">
        <f>HYPERLINK("https://github.com/Azizadx/Newsly/releases","show")</f>
        <v>show</v>
      </c>
    </row>
    <row r="4391" spans="1:6">
      <c r="A4391" t="s">
        <v>13073</v>
      </c>
      <c r="B4391" t="s">
        <v>13074</v>
      </c>
      <c r="C4391" t="s">
        <v>13075</v>
      </c>
      <c r="D4391" t="str">
        <f>HYPERLINK("https://github.com/k9mail/k-9/issues/5683","show")</f>
        <v>show</v>
      </c>
      <c r="E4391" t="str">
        <f>HYPERLINK("https://github.com/k9mail/k-9","show")</f>
        <v>show</v>
      </c>
      <c r="F4391" t="str">
        <f>HYPERLINK("https://github.com/k9mail/k-9/releases","show")</f>
        <v>show</v>
      </c>
    </row>
    <row r="4392" spans="1:6">
      <c r="A4392" t="s">
        <v>13076</v>
      </c>
      <c r="B4392" t="s">
        <v>13077</v>
      </c>
      <c r="C4392" t="s">
        <v>13078</v>
      </c>
      <c r="D4392" t="str">
        <f>HYPERLINK("https://github.com/Anuken/Mindustry/issues/6025","show")</f>
        <v>show</v>
      </c>
      <c r="E4392" t="str">
        <f>HYPERLINK("https://github.com/Anuken/Mindustry","show")</f>
        <v>show</v>
      </c>
      <c r="F4392" t="str">
        <f>HYPERLINK("https://github.com/Anuken/Mindustry/releases","show")</f>
        <v>show</v>
      </c>
    </row>
    <row r="4393" spans="1:6">
      <c r="A4393" t="s">
        <v>13079</v>
      </c>
      <c r="B4393" t="s">
        <v>13080</v>
      </c>
      <c r="C4393" t="s">
        <v>13081</v>
      </c>
      <c r="D4393" t="str">
        <f>HYPERLINK("https://github.com/Anuken/Mindustry/issues/6024","show")</f>
        <v>show</v>
      </c>
      <c r="E4393" t="str">
        <f>HYPERLINK("https://github.com/Anuken/Mindustry","show")</f>
        <v>show</v>
      </c>
      <c r="F4393" t="str">
        <f>HYPERLINK("https://github.com/Anuken/Mindustry/releases","show")</f>
        <v>show</v>
      </c>
    </row>
    <row r="4394" spans="1:6">
      <c r="A4394" t="s">
        <v>13082</v>
      </c>
      <c r="B4394" t="s">
        <v>13083</v>
      </c>
      <c r="C4394" t="s">
        <v>13084</v>
      </c>
      <c r="D4394" t="str">
        <f>HYPERLINK("https://github.com/Anuken/Mindustry/issues/6023","show")</f>
        <v>show</v>
      </c>
      <c r="E4394" t="str">
        <f>HYPERLINK("https://github.com/Anuken/Mindustry","show")</f>
        <v>show</v>
      </c>
      <c r="F4394" t="str">
        <f>HYPERLINK("https://github.com/Anuken/Mindustry/releases","show")</f>
        <v>show</v>
      </c>
    </row>
    <row r="4395" spans="1:6">
      <c r="A4395" t="s">
        <v>13085</v>
      </c>
      <c r="B4395" t="s">
        <v>13086</v>
      </c>
      <c r="C4395" t="s">
        <v>13087</v>
      </c>
      <c r="D4395" t="str">
        <f>HYPERLINK("https://github.com/vinzscam/react-native-file-viewer/issues/117","show")</f>
        <v>show</v>
      </c>
      <c r="E4395" t="str">
        <f>HYPERLINK("https://github.com/vinzscam/react-native-file-viewer","show")</f>
        <v>show</v>
      </c>
      <c r="F4395" t="str">
        <f>HYPERLINK("https://github.com/vinzscam/react-native-file-viewer/releases","show")</f>
        <v>show</v>
      </c>
    </row>
    <row r="4396" spans="1:6">
      <c r="A4396" t="s">
        <v>13088</v>
      </c>
      <c r="B4396" t="s">
        <v>13089</v>
      </c>
      <c r="C4396" t="s">
        <v>13090</v>
      </c>
      <c r="D4396" t="str">
        <f>HYPERLINK("https://github.com/MuntashirAkon/AppManager/issues/587","show")</f>
        <v>show</v>
      </c>
      <c r="E4396" t="str">
        <f>HYPERLINK("https://github.com/MuntashirAkon/AppManager","show")</f>
        <v>show</v>
      </c>
      <c r="F4396" t="str">
        <f>HYPERLINK("https://github.com/MuntashirAkon/AppManager/releases","show")</f>
        <v>show</v>
      </c>
    </row>
    <row r="4397" spans="1:6">
      <c r="A4397" t="s">
        <v>13091</v>
      </c>
      <c r="B4397" t="s">
        <v>13092</v>
      </c>
      <c r="C4397" t="s">
        <v>13093</v>
      </c>
      <c r="D4397" t="str">
        <f>HYPERLINK("https://github.com/LSPosed/LSPosed/issues/1144","show")</f>
        <v>show</v>
      </c>
      <c r="E4397" t="str">
        <f>HYPERLINK("https://github.com/LSPosed/LSPosed","show")</f>
        <v>show</v>
      </c>
      <c r="F4397" t="str">
        <f>HYPERLINK("https://github.com/LSPosed/LSPosed/releases","show")</f>
        <v>show</v>
      </c>
    </row>
    <row r="4398" spans="1:6">
      <c r="A4398" t="s">
        <v>13094</v>
      </c>
      <c r="B4398" t="s">
        <v>13095</v>
      </c>
      <c r="C4398" t="s">
        <v>13096</v>
      </c>
      <c r="D4398" t="str">
        <f>HYPERLINK("https://github.com/PojavLauncherTeam/PojavLauncher/issues/2046","show")</f>
        <v>show</v>
      </c>
      <c r="E4398" t="str">
        <f>HYPERLINK("https://github.com/PojavLauncherTeam/PojavLauncher","show")</f>
        <v>show</v>
      </c>
      <c r="F4398" t="str">
        <f>HYPERLINK("https://github.com/PojavLauncherTeam/PojavLauncher/releases","show")</f>
        <v>show</v>
      </c>
    </row>
    <row r="4399" spans="1:6">
      <c r="A4399" t="s">
        <v>13097</v>
      </c>
      <c r="B4399" t="s">
        <v>13098</v>
      </c>
      <c r="C4399" t="s">
        <v>13099</v>
      </c>
      <c r="D4399" t="str">
        <f>HYPERLINK("https://github.com/PojavLauncherTeam/PojavLauncher/issues/2044","show")</f>
        <v>show</v>
      </c>
      <c r="E4399" t="str">
        <f>HYPERLINK("https://github.com/PojavLauncherTeam/PojavLauncher","show")</f>
        <v>show</v>
      </c>
      <c r="F4399" t="str">
        <f>HYPERLINK("https://github.com/PojavLauncherTeam/PojavLauncher/releases","show")</f>
        <v>show</v>
      </c>
    </row>
    <row r="4400" spans="1:6">
      <c r="A4400" t="s">
        <v>13100</v>
      </c>
      <c r="B4400" t="s">
        <v>13101</v>
      </c>
      <c r="C4400" t="s">
        <v>13102</v>
      </c>
      <c r="D4400" t="str">
        <f>HYPERLINK("https://github.com/TeamNewPipe/NewPipe/issues/7124","show")</f>
        <v>show</v>
      </c>
      <c r="E4400" t="str">
        <f>HYPERLINK("https://github.com/TeamNewPipe/NewPipe","show")</f>
        <v>show</v>
      </c>
      <c r="F4400" t="str">
        <f>HYPERLINK("https://github.com/TeamNewPipe/NewPipe/releases","show")</f>
        <v>show</v>
      </c>
    </row>
    <row r="4401" spans="1:6">
      <c r="A4401" t="s">
        <v>13103</v>
      </c>
      <c r="B4401" t="s">
        <v>13104</v>
      </c>
      <c r="C4401" t="s">
        <v>13105</v>
      </c>
      <c r="D4401" t="str">
        <f>HYPERLINK("https://github.com/simenheg/simple-chess-clock/issues/19","show")</f>
        <v>show</v>
      </c>
      <c r="E4401" t="str">
        <f>HYPERLINK("https://github.com/simenheg/simple-chess-clock","show")</f>
        <v>show</v>
      </c>
      <c r="F4401" t="str">
        <f>HYPERLINK("https://github.com/simenheg/simple-chess-clock/releases","show")</f>
        <v>show</v>
      </c>
    </row>
    <row r="4402" spans="1:6">
      <c r="A4402" t="s">
        <v>13106</v>
      </c>
      <c r="B4402" t="s">
        <v>13107</v>
      </c>
      <c r="C4402" t="s">
        <v>13108</v>
      </c>
      <c r="D4402" t="str">
        <f>HYPERLINK("https://github.com/TeamNewPipe/NewPipe/issues/7122","show")</f>
        <v>show</v>
      </c>
      <c r="E4402" t="str">
        <f>HYPERLINK("https://github.com/TeamNewPipe/NewPipe","show")</f>
        <v>show</v>
      </c>
      <c r="F4402" t="str">
        <f>HYPERLINK("https://github.com/TeamNewPipe/NewPipe/releases","show")</f>
        <v>show</v>
      </c>
    </row>
    <row r="4403" spans="1:6">
      <c r="A4403" t="s">
        <v>13109</v>
      </c>
      <c r="B4403" t="s">
        <v>13110</v>
      </c>
      <c r="C4403" t="s">
        <v>13111</v>
      </c>
      <c r="D4403" t="str">
        <f>HYPERLINK("https://github.com/PojavLauncherTeam/PojavLauncher/issues/2042","show")</f>
        <v>show</v>
      </c>
      <c r="E4403" t="str">
        <f>HYPERLINK("https://github.com/PojavLauncherTeam/PojavLauncher","show")</f>
        <v>show</v>
      </c>
      <c r="F4403" t="str">
        <f>HYPERLINK("https://github.com/PojavLauncherTeam/PojavLauncher/releases","show")</f>
        <v>show</v>
      </c>
    </row>
    <row r="4404" spans="1:6">
      <c r="A4404" t="s">
        <v>13112</v>
      </c>
      <c r="B4404" t="s">
        <v>13113</v>
      </c>
      <c r="C4404" t="s">
        <v>13114</v>
      </c>
      <c r="D4404" t="str">
        <f>HYPERLINK("https://github.com/Tornaco/Thanox/issues/320","show")</f>
        <v>show</v>
      </c>
      <c r="E4404" t="str">
        <f>HYPERLINK("https://github.com/Tornaco/Thanox","show")</f>
        <v>show</v>
      </c>
      <c r="F4404" t="str">
        <f>HYPERLINK("https://github.com/Tornaco/Thanox/releases","show")</f>
        <v>show</v>
      </c>
    </row>
    <row r="4405" spans="1:6">
      <c r="A4405" t="s">
        <v>13115</v>
      </c>
      <c r="B4405" t="s">
        <v>13116</v>
      </c>
      <c r="C4405" t="s">
        <v>13117</v>
      </c>
      <c r="D4405" t="str">
        <f>HYPERLINK("https://github.com/GrapheneOS/Auditor/issues/120","show")</f>
        <v>show</v>
      </c>
      <c r="E4405" t="str">
        <f>HYPERLINK("https://github.com/GrapheneOS/Auditor","show")</f>
        <v>show</v>
      </c>
      <c r="F4405" t="str">
        <f>HYPERLINK("https://github.com/GrapheneOS/Auditor/releases","show")</f>
        <v>show</v>
      </c>
    </row>
    <row r="4406" spans="1:6">
      <c r="A4406" t="s">
        <v>13118</v>
      </c>
      <c r="B4406" t="s">
        <v>6453</v>
      </c>
      <c r="C4406" t="s">
        <v>13119</v>
      </c>
      <c r="D4406" t="str">
        <f>HYPERLINK("https://github.com/nextcloud/android/issues/8986","show")</f>
        <v>show</v>
      </c>
      <c r="E4406" t="str">
        <f>HYPERLINK("https://github.com/nextcloud/android","show")</f>
        <v>show</v>
      </c>
      <c r="F4406" t="str">
        <f>HYPERLINK("https://github.com/nextcloud/android/releases","show")</f>
        <v>show</v>
      </c>
    </row>
    <row r="4407" spans="1:6">
      <c r="A4407" t="s">
        <v>13120</v>
      </c>
      <c r="B4407" t="s">
        <v>13121</v>
      </c>
      <c r="C4407" t="s">
        <v>13122</v>
      </c>
      <c r="D4407" t="str">
        <f>HYPERLINK("https://github.com/Marmo/debitum/issues/58","show")</f>
        <v>show</v>
      </c>
      <c r="E4407" t="str">
        <f>HYPERLINK("https://github.com/Marmo/debitum","show")</f>
        <v>show</v>
      </c>
      <c r="F4407" t="str">
        <f>HYPERLINK("https://github.com/Marmo/debitum/releases","show")</f>
        <v>show</v>
      </c>
    </row>
    <row r="4408" spans="1:6">
      <c r="A4408" t="s">
        <v>13123</v>
      </c>
      <c r="B4408" t="s">
        <v>13124</v>
      </c>
      <c r="C4408" t="s">
        <v>13125</v>
      </c>
      <c r="D4408" t="str">
        <f>HYPERLINK("https://github.com/TeamNewPipe/NewPipe/issues/7119","show")</f>
        <v>show</v>
      </c>
      <c r="E4408" t="str">
        <f>HYPERLINK("https://github.com/TeamNewPipe/NewPipe","show")</f>
        <v>show</v>
      </c>
      <c r="F4408" t="str">
        <f>HYPERLINK("https://github.com/TeamNewPipe/NewPipe/releases","show")</f>
        <v>show</v>
      </c>
    </row>
    <row r="4409" spans="1:6">
      <c r="A4409" t="s">
        <v>13126</v>
      </c>
      <c r="B4409" t="s">
        <v>13127</v>
      </c>
      <c r="C4409" t="s">
        <v>13128</v>
      </c>
      <c r="D4409" t="str">
        <f>HYPERLINK("https://github.com/Krow10/Lab1-Calc/issues/11","show")</f>
        <v>show</v>
      </c>
      <c r="E4409" t="str">
        <f>HYPERLINK("https://github.com/Krow10/Lab1-Calc","show")</f>
        <v>show</v>
      </c>
      <c r="F4409" t="str">
        <f>HYPERLINK("https://github.com/Krow10/Lab1-Calc/releases","show")</f>
        <v>show</v>
      </c>
    </row>
    <row r="4410" spans="1:6">
      <c r="A4410" t="s">
        <v>13129</v>
      </c>
      <c r="B4410" t="s">
        <v>13130</v>
      </c>
      <c r="C4410" t="s">
        <v>13131</v>
      </c>
      <c r="D4410" t="str">
        <f>HYPERLINK("https://github.com/hzi-braunschweig/SORMAS-Project/issues/6726","show")</f>
        <v>show</v>
      </c>
      <c r="E4410" t="str">
        <f>HYPERLINK("https://github.com/hzi-braunschweig/SORMAS-Project","show")</f>
        <v>show</v>
      </c>
      <c r="F4410" t="str">
        <f>HYPERLINK("https://github.com/hzi-braunschweig/SORMAS-Project/releases","show")</f>
        <v>show</v>
      </c>
    </row>
    <row r="4411" spans="1:6">
      <c r="A4411" t="s">
        <v>13132</v>
      </c>
      <c r="B4411" t="s">
        <v>13133</v>
      </c>
      <c r="C4411" t="s">
        <v>13134</v>
      </c>
      <c r="D4411" t="str">
        <f>HYPERLINK("https://github.com/google/ExoPlayer/issues/9436","show")</f>
        <v>show</v>
      </c>
      <c r="E4411" t="str">
        <f>HYPERLINK("https://github.com/google/ExoPlayer","show")</f>
        <v>show</v>
      </c>
      <c r="F4411" t="str">
        <f>HYPERLINK("https://github.com/google/ExoPlayer/releases","show")</f>
        <v>show</v>
      </c>
    </row>
    <row r="4412" spans="1:6">
      <c r="A4412" t="s">
        <v>13135</v>
      </c>
      <c r="B4412" t="s">
        <v>13136</v>
      </c>
      <c r="C4412" t="s">
        <v>13137</v>
      </c>
      <c r="D4412" t="str">
        <f>HYPERLINK("https://github.com/material-components/material-components-android/issues/2376","show")</f>
        <v>show</v>
      </c>
      <c r="E4412" t="str">
        <f>HYPERLINK("https://github.com/material-components/material-components-android","show")</f>
        <v>show</v>
      </c>
      <c r="F4412" t="str">
        <f>HYPERLINK("https://github.com/material-components/material-components-android/releases","show")</f>
        <v>show</v>
      </c>
    </row>
    <row r="4413" spans="1:6">
      <c r="A4413" t="s">
        <v>13138</v>
      </c>
      <c r="B4413" t="s">
        <v>13139</v>
      </c>
      <c r="C4413" t="s">
        <v>13140</v>
      </c>
      <c r="D4413" t="str">
        <f>HYPERLINK("https://github.com/Anuken/Mindustry/issues/6005","show")</f>
        <v>show</v>
      </c>
      <c r="E4413" t="str">
        <f>HYPERLINK("https://github.com/Anuken/Mindustry","show")</f>
        <v>show</v>
      </c>
      <c r="F4413" t="str">
        <f>HYPERLINK("https://github.com/Anuken/Mindustry/releases","show")</f>
        <v>show</v>
      </c>
    </row>
    <row r="4414" spans="1:6">
      <c r="A4414" t="s">
        <v>13141</v>
      </c>
      <c r="B4414" t="s">
        <v>13142</v>
      </c>
      <c r="C4414" t="s">
        <v>13143</v>
      </c>
      <c r="D4414" t="str">
        <f>HYPERLINK("https://github.com/ankidroid/Anki-Android/issues/9518","show")</f>
        <v>show</v>
      </c>
      <c r="E4414" t="str">
        <f>HYPERLINK("https://github.com/ankidroid/Anki-Android","show")</f>
        <v>show</v>
      </c>
      <c r="F4414" t="str">
        <f>HYPERLINK("https://github.com/ankidroid/Anki-Android/releases","show")</f>
        <v>show</v>
      </c>
    </row>
    <row r="4415" spans="1:6">
      <c r="A4415" t="s">
        <v>13144</v>
      </c>
      <c r="B4415" t="s">
        <v>13145</v>
      </c>
      <c r="C4415" t="s">
        <v>13146</v>
      </c>
      <c r="D4415" t="str">
        <f>HYPERLINK("https://github.com/TeamNewPipe/NewPipe/issues/7112","show")</f>
        <v>show</v>
      </c>
      <c r="E4415" t="str">
        <f>HYPERLINK("https://github.com/TeamNewPipe/NewPipe","show")</f>
        <v>show</v>
      </c>
      <c r="F4415" t="str">
        <f>HYPERLINK("https://github.com/TeamNewPipe/NewPipe/releases","show")</f>
        <v>show</v>
      </c>
    </row>
    <row r="4416" spans="1:6">
      <c r="A4416" t="s">
        <v>13147</v>
      </c>
      <c r="B4416" t="s">
        <v>13148</v>
      </c>
      <c r="C4416" t="s">
        <v>13149</v>
      </c>
      <c r="D4416" t="str">
        <f>HYPERLINK("https://github.com/divvun/giellakbd-android/issues/29","show")</f>
        <v>show</v>
      </c>
      <c r="E4416" t="str">
        <f>HYPERLINK("https://github.com/divvun/giellakbd-android","show")</f>
        <v>show</v>
      </c>
      <c r="F4416" t="str">
        <f>HYPERLINK("https://github.com/divvun/giellakbd-android/releases","show")</f>
        <v>show</v>
      </c>
    </row>
    <row r="4417" spans="1:6">
      <c r="A4417" t="s">
        <v>13150</v>
      </c>
      <c r="B4417" t="s">
        <v>13151</v>
      </c>
      <c r="C4417" t="s">
        <v>11069</v>
      </c>
      <c r="D4417" t="str">
        <f>HYPERLINK("https://github.com/TeamNewPipe/NewPipe/issues/7111","show")</f>
        <v>show</v>
      </c>
      <c r="E4417" t="str">
        <f>HYPERLINK("https://github.com/TeamNewPipe/NewPipe","show")</f>
        <v>show</v>
      </c>
      <c r="F4417" t="str">
        <f>HYPERLINK("https://github.com/TeamNewPipe/NewPipe/releases","show")</f>
        <v>show</v>
      </c>
    </row>
    <row r="4418" spans="1:6">
      <c r="A4418" t="s">
        <v>13152</v>
      </c>
      <c r="B4418" t="s">
        <v>13153</v>
      </c>
      <c r="C4418" t="s">
        <v>13154</v>
      </c>
      <c r="D4418" t="str">
        <f>HYPERLINK("https://github.com/PojavLauncherTeam/PojavLauncher/issues/2036","show")</f>
        <v>show</v>
      </c>
      <c r="E4418" t="str">
        <f>HYPERLINK("https://github.com/PojavLauncherTeam/PojavLauncher","show")</f>
        <v>show</v>
      </c>
      <c r="F4418" t="str">
        <f>HYPERLINK("https://github.com/PojavLauncherTeam/PojavLauncher/releases","show")</f>
        <v>show</v>
      </c>
    </row>
    <row r="4419" spans="1:6">
      <c r="A4419" t="s">
        <v>13155</v>
      </c>
      <c r="B4419" t="s">
        <v>13156</v>
      </c>
      <c r="C4419" t="s">
        <v>13157</v>
      </c>
      <c r="D4419" t="str">
        <f>HYPERLINK("https://github.com/aws-amplify/aws-sdk-android/issues/2635","show")</f>
        <v>show</v>
      </c>
      <c r="E4419" t="str">
        <f>HYPERLINK("https://github.com/aws-amplify/aws-sdk-android","show")</f>
        <v>show</v>
      </c>
      <c r="F4419" t="str">
        <f>HYPERLINK("https://github.com/aws-amplify/aws-sdk-android/releases","show")</f>
        <v>show</v>
      </c>
    </row>
    <row r="4420" spans="1:6">
      <c r="A4420" t="s">
        <v>13158</v>
      </c>
      <c r="B4420" t="s">
        <v>9922</v>
      </c>
      <c r="C4420" t="s">
        <v>13159</v>
      </c>
      <c r="D4420" t="str">
        <f>HYPERLINK("https://github.com/PojavLauncherTeam/PojavLauncher/issues/2033","show")</f>
        <v>show</v>
      </c>
      <c r="E4420" t="str">
        <f>HYPERLINK("https://github.com/PojavLauncherTeam/PojavLauncher","show")</f>
        <v>show</v>
      </c>
      <c r="F4420" t="str">
        <f>HYPERLINK("https://github.com/PojavLauncherTeam/PojavLauncher/releases","show")</f>
        <v>show</v>
      </c>
    </row>
    <row r="4421" spans="1:6">
      <c r="A4421" t="s">
        <v>13160</v>
      </c>
      <c r="B4421" t="s">
        <v>13161</v>
      </c>
      <c r="C4421" t="s">
        <v>13162</v>
      </c>
      <c r="D4421" t="str">
        <f>HYPERLINK("https://github.com/TeamNewPipe/NewPipe/issues/7108","show")</f>
        <v>show</v>
      </c>
      <c r="E4421" t="str">
        <f>HYPERLINK("https://github.com/TeamNewPipe/NewPipe","show")</f>
        <v>show</v>
      </c>
      <c r="F4421" t="str">
        <f>HYPERLINK("https://github.com/TeamNewPipe/NewPipe/releases","show")</f>
        <v>show</v>
      </c>
    </row>
    <row r="4422" spans="1:6">
      <c r="A4422" t="s">
        <v>13163</v>
      </c>
      <c r="B4422" t="s">
        <v>13164</v>
      </c>
      <c r="C4422" t="s">
        <v>13165</v>
      </c>
      <c r="D4422" t="str">
        <f>HYPERLINK("https://github.com/iZettle/sdk-android/issues/39","show")</f>
        <v>show</v>
      </c>
      <c r="E4422" t="str">
        <f>HYPERLINK("https://github.com/iZettle/sdk-android","show")</f>
        <v>show</v>
      </c>
      <c r="F4422" t="str">
        <f>HYPERLINK("https://github.com/iZettle/sdk-android/releases","show")</f>
        <v>show</v>
      </c>
    </row>
    <row r="4423" spans="1:6">
      <c r="A4423" t="s">
        <v>13166</v>
      </c>
      <c r="B4423" t="s">
        <v>13167</v>
      </c>
      <c r="C4423" t="s">
        <v>13168</v>
      </c>
      <c r="D4423" t="str">
        <f>HYPERLINK("https://github.com/popcorn-official/popcorn-android/issues/775","show")</f>
        <v>show</v>
      </c>
      <c r="E4423" t="str">
        <f>HYPERLINK("https://github.com/popcorn-official/popcorn-android","show")</f>
        <v>show</v>
      </c>
      <c r="F4423" t="str">
        <f>HYPERLINK("https://github.com/popcorn-official/popcorn-android/releases","show")</f>
        <v>show</v>
      </c>
    </row>
    <row r="4424" spans="1:6">
      <c r="A4424" t="s">
        <v>13169</v>
      </c>
      <c r="B4424" t="s">
        <v>13170</v>
      </c>
      <c r="C4424" t="s">
        <v>13171</v>
      </c>
      <c r="D4424" t="str">
        <f>HYPERLINK("https://github.com/inaturalist/iNaturalistAndroid/issues/1123","show")</f>
        <v>show</v>
      </c>
      <c r="E4424" t="str">
        <f>HYPERLINK("https://github.com/inaturalist/iNaturalistAndroid","show")</f>
        <v>show</v>
      </c>
      <c r="F4424" t="str">
        <f>HYPERLINK("https://github.com/inaturalist/iNaturalistAndroid/releases","show")</f>
        <v>show</v>
      </c>
    </row>
    <row r="4425" spans="1:6">
      <c r="A4425" t="s">
        <v>13172</v>
      </c>
      <c r="B4425" t="s">
        <v>13173</v>
      </c>
      <c r="C4425" t="s">
        <v>13174</v>
      </c>
      <c r="D4425" t="str">
        <f>HYPERLINK("https://github.com/cgeo/cgeo/issues/11658","show")</f>
        <v>show</v>
      </c>
      <c r="E4425" t="str">
        <f>HYPERLINK("https://github.com/cgeo/cgeo","show")</f>
        <v>show</v>
      </c>
      <c r="F4425" t="str">
        <f>HYPERLINK("https://github.com/cgeo/cgeo/releases","show")</f>
        <v>show</v>
      </c>
    </row>
    <row r="4426" spans="1:6">
      <c r="A4426" t="s">
        <v>13175</v>
      </c>
      <c r="B4426" t="s">
        <v>13176</v>
      </c>
      <c r="C4426" t="s">
        <v>13177</v>
      </c>
      <c r="D4426" t="str">
        <f>HYPERLINK("https://github.com/nextcloud/android/issues/8977","show")</f>
        <v>show</v>
      </c>
      <c r="E4426" t="str">
        <f>HYPERLINK("https://github.com/nextcloud/android","show")</f>
        <v>show</v>
      </c>
      <c r="F4426" t="str">
        <f>HYPERLINK("https://github.com/nextcloud/android/releases","show")</f>
        <v>show</v>
      </c>
    </row>
    <row r="4427" spans="1:6">
      <c r="A4427" t="s">
        <v>13178</v>
      </c>
      <c r="B4427" t="s">
        <v>13179</v>
      </c>
      <c r="C4427" t="s">
        <v>13180</v>
      </c>
      <c r="D4427" t="str">
        <f>HYPERLINK("https://github.com/TeamNewPipe/NewPipe/issues/7104","show")</f>
        <v>show</v>
      </c>
      <c r="E4427" t="str">
        <f>HYPERLINK("https://github.com/TeamNewPipe/NewPipe","show")</f>
        <v>show</v>
      </c>
      <c r="F4427" t="str">
        <f>HYPERLINK("https://github.com/TeamNewPipe/NewPipe/releases","show")</f>
        <v>show</v>
      </c>
    </row>
    <row r="4428" spans="1:6">
      <c r="A4428" t="s">
        <v>13181</v>
      </c>
      <c r="B4428" t="s">
        <v>13182</v>
      </c>
      <c r="C4428" t="s">
        <v>13183</v>
      </c>
      <c r="D4428" t="str">
        <f>HYPERLINK("https://github.com/k9mail/k-9/issues/5665","show")</f>
        <v>show</v>
      </c>
      <c r="E4428" t="str">
        <f>HYPERLINK("https://github.com/k9mail/k-9","show")</f>
        <v>show</v>
      </c>
      <c r="F4428" t="str">
        <f>HYPERLINK("https://github.com/k9mail/k-9/releases","show")</f>
        <v>show</v>
      </c>
    </row>
    <row r="4429" spans="1:6">
      <c r="A4429" t="s">
        <v>13184</v>
      </c>
      <c r="B4429" t="s">
        <v>13185</v>
      </c>
      <c r="C4429" t="s">
        <v>13186</v>
      </c>
      <c r="D4429" t="str">
        <f>HYPERLINK("https://github.com/PojavLauncherTeam/PojavLauncher/issues/2026","show")</f>
        <v>show</v>
      </c>
      <c r="E4429" t="str">
        <f>HYPERLINK("https://github.com/PojavLauncherTeam/PojavLauncher","show")</f>
        <v>show</v>
      </c>
      <c r="F4429" t="str">
        <f>HYPERLINK("https://github.com/PojavLauncherTeam/PojavLauncher/releases","show")</f>
        <v>show</v>
      </c>
    </row>
    <row r="4430" spans="1:6">
      <c r="A4430" t="s">
        <v>13187</v>
      </c>
      <c r="B4430" t="s">
        <v>13188</v>
      </c>
      <c r="C4430" t="s">
        <v>13189</v>
      </c>
      <c r="D4430" t="str">
        <f>HYPERLINK("https://github.com/PojavLauncherTeam/PojavLauncher/issues/2024","show")</f>
        <v>show</v>
      </c>
      <c r="E4430" t="str">
        <f>HYPERLINK("https://github.com/PojavLauncherTeam/PojavLauncher","show")</f>
        <v>show</v>
      </c>
      <c r="F4430" t="str">
        <f>HYPERLINK("https://github.com/PojavLauncherTeam/PojavLauncher/releases","show")</f>
        <v>show</v>
      </c>
    </row>
    <row r="4431" spans="1:6">
      <c r="A4431" t="s">
        <v>13190</v>
      </c>
      <c r="B4431" t="s">
        <v>13191</v>
      </c>
      <c r="C4431" t="s">
        <v>13192</v>
      </c>
      <c r="D4431" t="str">
        <f>HYPERLINK("https://github.com/AlphaWallet/alpha-wallet-android/issues/2014","show")</f>
        <v>show</v>
      </c>
      <c r="E4431" t="str">
        <f>HYPERLINK("https://github.com/AlphaWallet/alpha-wallet-android","show")</f>
        <v>show</v>
      </c>
      <c r="F4431" t="str">
        <f>HYPERLINK("https://github.com/AlphaWallet/alpha-wallet-android/releases","show")</f>
        <v>show</v>
      </c>
    </row>
    <row r="4432" spans="1:6">
      <c r="A4432" t="s">
        <v>13193</v>
      </c>
      <c r="B4432" t="s">
        <v>13194</v>
      </c>
      <c r="C4432" t="s">
        <v>13195</v>
      </c>
      <c r="D4432" t="str">
        <f>HYPERLINK("https://github.com/yasirkula/UnityNativeShare/issues/126","show")</f>
        <v>show</v>
      </c>
      <c r="E4432" t="str">
        <f>HYPERLINK("https://github.com/yasirkula/UnityNativeShare","show")</f>
        <v>show</v>
      </c>
      <c r="F4432" t="str">
        <f>HYPERLINK("https://github.com/yasirkula/UnityNativeShare/releases","show")</f>
        <v>show</v>
      </c>
    </row>
    <row r="4433" spans="1:6">
      <c r="A4433" t="s">
        <v>13196</v>
      </c>
      <c r="B4433" t="s">
        <v>13197</v>
      </c>
      <c r="C4433" t="s">
        <v>13198</v>
      </c>
      <c r="D4433" t="str">
        <f>HYPERLINK("https://github.com/amplitude/Amplitude-Android/issues/299","show")</f>
        <v>show</v>
      </c>
      <c r="E4433" t="str">
        <f>HYPERLINK("https://github.com/amplitude/Amplitude-Android","show")</f>
        <v>show</v>
      </c>
      <c r="F4433" t="str">
        <f>HYPERLINK("https://github.com/amplitude/Amplitude-Android/releases","show")</f>
        <v>show</v>
      </c>
    </row>
    <row r="4434" spans="1:6">
      <c r="A4434" t="s">
        <v>13199</v>
      </c>
      <c r="B4434" t="s">
        <v>13200</v>
      </c>
      <c r="C4434" t="s">
        <v>13201</v>
      </c>
      <c r="D4434" t="str">
        <f>HYPERLINK("https://github.com/Krow10/Lab1-Calc/issues/7","show")</f>
        <v>show</v>
      </c>
      <c r="E4434" t="str">
        <f>HYPERLINK("https://github.com/Krow10/Lab1-Calc","show")</f>
        <v>show</v>
      </c>
      <c r="F4434" t="str">
        <f>HYPERLINK("https://github.com/Krow10/Lab1-Calc/releases","show")</f>
        <v>show</v>
      </c>
    </row>
    <row r="4435" spans="1:6">
      <c r="A4435" t="s">
        <v>13202</v>
      </c>
      <c r="B4435" t="s">
        <v>13203</v>
      </c>
      <c r="C4435" t="s">
        <v>13204</v>
      </c>
      <c r="D4435" t="str">
        <f>HYPERLINK("https://github.com/MuntashirAkon/AppManager/issues/577","show")</f>
        <v>show</v>
      </c>
      <c r="E4435" t="str">
        <f>HYPERLINK("https://github.com/MuntashirAkon/AppManager","show")</f>
        <v>show</v>
      </c>
      <c r="F4435" t="str">
        <f>HYPERLINK("https://github.com/MuntashirAkon/AppManager/releases","show")</f>
        <v>show</v>
      </c>
    </row>
    <row r="4436" spans="1:6">
      <c r="A4436" t="s">
        <v>13205</v>
      </c>
      <c r="B4436" t="s">
        <v>13206</v>
      </c>
      <c r="C4436" t="s">
        <v>13207</v>
      </c>
      <c r="D4436" t="str">
        <f>HYPERLINK("https://github.com/material-components/material-components-android/issues/2370","show")</f>
        <v>show</v>
      </c>
      <c r="E4436" t="str">
        <f>HYPERLINK("https://github.com/material-components/material-components-android","show")</f>
        <v>show</v>
      </c>
      <c r="F4436" t="str">
        <f>HYPERLINK("https://github.com/material-components/material-components-android/releases","show")</f>
        <v>show</v>
      </c>
    </row>
    <row r="4437" spans="1:6">
      <c r="A4437" t="s">
        <v>13208</v>
      </c>
      <c r="B4437" t="s">
        <v>13209</v>
      </c>
      <c r="C4437" t="s">
        <v>13210</v>
      </c>
      <c r="D4437" t="str">
        <f>HYPERLINK("https://github.com/PojavLauncherTeam/PojavLauncher/issues/2020","show")</f>
        <v>show</v>
      </c>
      <c r="E4437" t="str">
        <f>HYPERLINK("https://github.com/PojavLauncherTeam/PojavLauncher","show")</f>
        <v>show</v>
      </c>
      <c r="F4437" t="str">
        <f>HYPERLINK("https://github.com/PojavLauncherTeam/PojavLauncher/releases","show")</f>
        <v>show</v>
      </c>
    </row>
    <row r="4438" spans="1:6">
      <c r="A4438" t="s">
        <v>13211</v>
      </c>
      <c r="B4438" t="s">
        <v>13212</v>
      </c>
      <c r="C4438" t="s">
        <v>13213</v>
      </c>
      <c r="D4438" t="str">
        <f>HYPERLINK("https://github.com/george2209/PlanesAndShips/issues/8","show")</f>
        <v>show</v>
      </c>
      <c r="E4438" t="str">
        <f>HYPERLINK("https://github.com/george2209/PlanesAndShips","show")</f>
        <v>show</v>
      </c>
      <c r="F4438" t="str">
        <f>HYPERLINK("https://github.com/george2209/PlanesAndShips/releases","show")</f>
        <v>show</v>
      </c>
    </row>
    <row r="4439" spans="1:6">
      <c r="A4439" t="s">
        <v>13214</v>
      </c>
      <c r="B4439" t="s">
        <v>13215</v>
      </c>
      <c r="C4439" t="s">
        <v>13216</v>
      </c>
      <c r="D4439" t="str">
        <f>HYPERLINK("https://github.com/TeamNewPipe/NewPipe/issues/7092","show")</f>
        <v>show</v>
      </c>
      <c r="E4439" t="str">
        <f>HYPERLINK("https://github.com/TeamNewPipe/NewPipe","show")</f>
        <v>show</v>
      </c>
      <c r="F4439" t="str">
        <f>HYPERLINK("https://github.com/TeamNewPipe/NewPipe/releases","show")</f>
        <v>show</v>
      </c>
    </row>
    <row r="4440" spans="1:6">
      <c r="A4440" t="s">
        <v>13217</v>
      </c>
      <c r="B4440" t="s">
        <v>13218</v>
      </c>
      <c r="C4440" t="s">
        <v>13219</v>
      </c>
      <c r="D4440" t="str">
        <f>HYPERLINK("https://github.com/capacitor-community/google-maps/issues/98","show")</f>
        <v>show</v>
      </c>
      <c r="E4440" t="str">
        <f>HYPERLINK("https://github.com/capacitor-community/google-maps","show")</f>
        <v>show</v>
      </c>
      <c r="F4440" t="str">
        <f>HYPERLINK("https://github.com/capacitor-community/google-maps/releases","show")</f>
        <v>show</v>
      </c>
    </row>
    <row r="4441" spans="1:6">
      <c r="A4441" t="s">
        <v>13220</v>
      </c>
      <c r="B4441" t="s">
        <v>13221</v>
      </c>
      <c r="C4441" t="s">
        <v>13222</v>
      </c>
      <c r="D4441" t="str">
        <f>HYPERLINK("https://github.com/TeamNewPipe/NewPipe-legacy/issues/82","show")</f>
        <v>show</v>
      </c>
      <c r="E4441" t="str">
        <f>HYPERLINK("https://github.com/TeamNewPipe/NewPipe-legacy","show")</f>
        <v>show</v>
      </c>
      <c r="F4441" t="str">
        <f>HYPERLINK("https://github.com/TeamNewPipe/NewPipe-legacy/releases","show")</f>
        <v>show</v>
      </c>
    </row>
    <row r="4442" spans="1:6">
      <c r="A4442" t="s">
        <v>13223</v>
      </c>
      <c r="B4442" t="s">
        <v>13224</v>
      </c>
      <c r="C4442" t="s">
        <v>13225</v>
      </c>
      <c r="D4442" t="str">
        <f>HYPERLINK("https://github.com/TeamNewPipe/NewPipe/issues/7089","show")</f>
        <v>show</v>
      </c>
      <c r="E4442" t="str">
        <f>HYPERLINK("https://github.com/TeamNewPipe/NewPipe","show")</f>
        <v>show</v>
      </c>
      <c r="F4442" t="str">
        <f>HYPERLINK("https://github.com/TeamNewPipe/NewPipe/releases","show")</f>
        <v>show</v>
      </c>
    </row>
    <row r="4443" spans="1:6">
      <c r="A4443" t="s">
        <v>13226</v>
      </c>
      <c r="B4443" t="s">
        <v>13227</v>
      </c>
      <c r="C4443" t="s">
        <v>13228</v>
      </c>
      <c r="D4443" t="str">
        <f>HYPERLINK("https://github.com/TeamNewPipe/NewPipe/issues/7087","show")</f>
        <v>show</v>
      </c>
      <c r="E4443" t="str">
        <f>HYPERLINK("https://github.com/TeamNewPipe/NewPipe","show")</f>
        <v>show</v>
      </c>
      <c r="F4443" t="str">
        <f>HYPERLINK("https://github.com/TeamNewPipe/NewPipe/releases","show")</f>
        <v>show</v>
      </c>
    </row>
    <row r="4444" spans="1:6">
      <c r="A4444" t="s">
        <v>13229</v>
      </c>
      <c r="B4444" t="s">
        <v>13230</v>
      </c>
      <c r="C4444" t="s">
        <v>13231</v>
      </c>
      <c r="D4444" t="str">
        <f>HYPERLINK("https://github.com/inaturalist/iNaturalistAndroid/issues/1121","show")</f>
        <v>show</v>
      </c>
      <c r="E4444" t="str">
        <f>HYPERLINK("https://github.com/inaturalist/iNaturalistAndroid","show")</f>
        <v>show</v>
      </c>
      <c r="F4444" t="str">
        <f>HYPERLINK("https://github.com/inaturalist/iNaturalistAndroid/releases","show")</f>
        <v>show</v>
      </c>
    </row>
    <row r="4445" spans="1:6">
      <c r="A4445" t="s">
        <v>13232</v>
      </c>
      <c r="B4445" t="s">
        <v>13233</v>
      </c>
      <c r="C4445" t="s">
        <v>13234</v>
      </c>
      <c r="D4445" t="str">
        <f>HYPERLINK("https://github.com/inaturalist/iNaturalistAndroid/issues/1120","show")</f>
        <v>show</v>
      </c>
      <c r="E4445" t="str">
        <f>HYPERLINK("https://github.com/inaturalist/iNaturalistAndroid","show")</f>
        <v>show</v>
      </c>
      <c r="F4445" t="str">
        <f>HYPERLINK("https://github.com/inaturalist/iNaturalistAndroid/releases","show")</f>
        <v>show</v>
      </c>
    </row>
    <row r="4446" spans="1:6">
      <c r="A4446" t="s">
        <v>13235</v>
      </c>
      <c r="B4446" t="s">
        <v>13236</v>
      </c>
      <c r="C4446" t="s">
        <v>13237</v>
      </c>
      <c r="D4446" t="str">
        <f>HYPERLINK("https://github.com/TeamNewPipe/NewPipe/issues/7086","show")</f>
        <v>show</v>
      </c>
      <c r="E4446" t="str">
        <f>HYPERLINK("https://github.com/TeamNewPipe/NewPipe","show")</f>
        <v>show</v>
      </c>
      <c r="F4446" t="str">
        <f>HYPERLINK("https://github.com/TeamNewPipe/NewPipe/releases","show")</f>
        <v>show</v>
      </c>
    </row>
    <row r="4447" spans="1:6">
      <c r="A4447" t="s">
        <v>13238</v>
      </c>
      <c r="B4447" t="s">
        <v>13239</v>
      </c>
      <c r="C4447" t="s">
        <v>13240</v>
      </c>
      <c r="D4447" t="str">
        <f>HYPERLINK("https://github.com/googleads/googleads-mobile-flutter/issues/369","show")</f>
        <v>show</v>
      </c>
      <c r="E4447" t="str">
        <f>HYPERLINK("https://github.com/googleads/googleads-mobile-flutter","show")</f>
        <v>show</v>
      </c>
      <c r="F4447" t="str">
        <f>HYPERLINK("https://github.com/googleads/googleads-mobile-flutter/releases","show")</f>
        <v>show</v>
      </c>
    </row>
    <row r="4448" spans="1:6">
      <c r="A4448" t="s">
        <v>13241</v>
      </c>
      <c r="B4448" t="s">
        <v>13242</v>
      </c>
      <c r="C4448" t="s">
        <v>13243</v>
      </c>
      <c r="D4448" t="str">
        <f>HYPERLINK("https://github.com/nextcloud/android/issues/8963","show")</f>
        <v>show</v>
      </c>
      <c r="E4448" t="str">
        <f>HYPERLINK("https://github.com/nextcloud/android","show")</f>
        <v>show</v>
      </c>
      <c r="F4448" t="str">
        <f>HYPERLINK("https://github.com/nextcloud/android/releases","show")</f>
        <v>show</v>
      </c>
    </row>
    <row r="4449" spans="1:6">
      <c r="A4449" t="s">
        <v>13244</v>
      </c>
      <c r="B4449" t="s">
        <v>13245</v>
      </c>
      <c r="C4449" t="s">
        <v>13246</v>
      </c>
      <c r="D4449" t="str">
        <f>HYPERLINK("https://github.com/Krow10/Lab1-Calc/issues/1","show")</f>
        <v>show</v>
      </c>
      <c r="E4449" t="str">
        <f>HYPERLINK("https://github.com/Krow10/Lab1-Calc","show")</f>
        <v>show</v>
      </c>
      <c r="F4449" t="str">
        <f>HYPERLINK("https://github.com/Krow10/Lab1-Calc/releases","show")</f>
        <v>show</v>
      </c>
    </row>
    <row r="4450" spans="1:6">
      <c r="A4450" t="s">
        <v>13247</v>
      </c>
      <c r="B4450" t="s">
        <v>9922</v>
      </c>
      <c r="C4450" t="s">
        <v>13248</v>
      </c>
      <c r="D4450" t="str">
        <f>HYPERLINK("https://github.com/PojavLauncherTeam/PojavLauncher/issues/2004","show")</f>
        <v>show</v>
      </c>
      <c r="E4450" t="str">
        <f>HYPERLINK("https://github.com/PojavLauncherTeam/PojavLauncher","show")</f>
        <v>show</v>
      </c>
      <c r="F4450" t="str">
        <f>HYPERLINK("https://github.com/PojavLauncherTeam/PojavLauncher/releases","show")</f>
        <v>show</v>
      </c>
    </row>
    <row r="4451" spans="1:6">
      <c r="A4451" t="s">
        <v>13249</v>
      </c>
      <c r="B4451" t="s">
        <v>13250</v>
      </c>
      <c r="C4451" t="s">
        <v>13251</v>
      </c>
      <c r="D4451" t="str">
        <f>HYPERLINK("https://github.com/microg/GmsCore/issues/1560","show")</f>
        <v>show</v>
      </c>
      <c r="E4451" t="str">
        <f>HYPERLINK("https://github.com/microg/GmsCore","show")</f>
        <v>show</v>
      </c>
      <c r="F4451" t="str">
        <f>HYPERLINK("https://github.com/microg/GmsCore/releases","show")</f>
        <v>show</v>
      </c>
    </row>
    <row r="4452" spans="1:6">
      <c r="A4452" t="s">
        <v>13252</v>
      </c>
      <c r="B4452" t="s">
        <v>13253</v>
      </c>
      <c r="C4452" t="s">
        <v>13254</v>
      </c>
      <c r="D4452" t="str">
        <f>HYPERLINK("https://github.com/inaturalist/iNaturalistAndroid/issues/1119","show")</f>
        <v>show</v>
      </c>
      <c r="E4452" t="str">
        <f>HYPERLINK("https://github.com/inaturalist/iNaturalistAndroid","show")</f>
        <v>show</v>
      </c>
      <c r="F4452" t="str">
        <f>HYPERLINK("https://github.com/inaturalist/iNaturalistAndroid/releases","show")</f>
        <v>show</v>
      </c>
    </row>
    <row r="4453" spans="1:6">
      <c r="A4453" t="s">
        <v>13255</v>
      </c>
      <c r="B4453" t="s">
        <v>13256</v>
      </c>
      <c r="C4453" t="s">
        <v>11122</v>
      </c>
      <c r="D4453" t="str">
        <f>HYPERLINK("https://github.com/Anuken/Mindustry/issues/5961","show")</f>
        <v>show</v>
      </c>
      <c r="E4453" t="str">
        <f>HYPERLINK("https://github.com/Anuken/Mindustry","show")</f>
        <v>show</v>
      </c>
      <c r="F4453" t="str">
        <f>HYPERLINK("https://github.com/Anuken/Mindustry/releases","show")</f>
        <v>show</v>
      </c>
    </row>
    <row r="4454" spans="1:6">
      <c r="A4454" t="s">
        <v>13257</v>
      </c>
      <c r="B4454" t="s">
        <v>13258</v>
      </c>
      <c r="C4454" t="s">
        <v>13259</v>
      </c>
      <c r="D4454" t="str">
        <f>HYPERLINK("https://github.com/TeamNewPipe/NewPipe/issues/7079","show")</f>
        <v>show</v>
      </c>
      <c r="E4454" t="str">
        <f>HYPERLINK("https://github.com/TeamNewPipe/NewPipe","show")</f>
        <v>show</v>
      </c>
      <c r="F4454" t="str">
        <f>HYPERLINK("https://github.com/TeamNewPipe/NewPipe/releases","show")</f>
        <v>show</v>
      </c>
    </row>
    <row r="4455" spans="1:6">
      <c r="A4455" t="s">
        <v>13260</v>
      </c>
      <c r="B4455" t="s">
        <v>13261</v>
      </c>
      <c r="C4455" t="s">
        <v>13262</v>
      </c>
      <c r="D4455" t="str">
        <f>HYPERLINK("https://github.com/google/ExoPlayer/issues/9407","show")</f>
        <v>show</v>
      </c>
      <c r="E4455" t="str">
        <f>HYPERLINK("https://github.com/google/ExoPlayer","show")</f>
        <v>show</v>
      </c>
      <c r="F4455" t="str">
        <f>HYPERLINK("https://github.com/google/ExoPlayer/releases","show")</f>
        <v>show</v>
      </c>
    </row>
    <row r="4456" spans="1:6">
      <c r="A4456" t="s">
        <v>13263</v>
      </c>
      <c r="B4456" t="s">
        <v>13264</v>
      </c>
      <c r="C4456" t="s">
        <v>13265</v>
      </c>
      <c r="D4456" t="str">
        <f>HYPERLINK("https://github.com/TikitakaDiary/MemoryTrace-Android/issues/49","show")</f>
        <v>show</v>
      </c>
      <c r="E4456" t="str">
        <f>HYPERLINK("https://github.com/TikitakaDiary/MemoryTrace-Android","show")</f>
        <v>show</v>
      </c>
      <c r="F4456" t="str">
        <f>HYPERLINK("https://github.com/TikitakaDiary/MemoryTrace-Android/releases","show")</f>
        <v>show</v>
      </c>
    </row>
    <row r="4457" spans="1:6">
      <c r="A4457" t="s">
        <v>13266</v>
      </c>
      <c r="B4457" t="s">
        <v>13267</v>
      </c>
      <c r="C4457" t="s">
        <v>13268</v>
      </c>
      <c r="D4457" t="str">
        <f>HYPERLINK("https://github.com/TeamNewPipe/NewPipe/issues/7076","show")</f>
        <v>show</v>
      </c>
      <c r="E4457" t="str">
        <f>HYPERLINK("https://github.com/TeamNewPipe/NewPipe","show")</f>
        <v>show</v>
      </c>
      <c r="F4457" t="str">
        <f>HYPERLINK("https://github.com/TeamNewPipe/NewPipe/releases","show")</f>
        <v>show</v>
      </c>
    </row>
    <row r="4458" spans="1:6">
      <c r="A4458" t="s">
        <v>13269</v>
      </c>
      <c r="B4458" t="s">
        <v>13270</v>
      </c>
      <c r="C4458" t="s">
        <v>13271</v>
      </c>
      <c r="D4458" t="str">
        <f>HYPERLINK("https://github.com/Blankj/AndroidUtilCode/issues/1541","show")</f>
        <v>show</v>
      </c>
      <c r="E4458" t="str">
        <f>HYPERLINK("https://github.com/Blankj/AndroidUtilCode","show")</f>
        <v>show</v>
      </c>
      <c r="F4458" t="str">
        <f>HYPERLINK("https://github.com/Blankj/AndroidUtilCode/releases","show")</f>
        <v>show</v>
      </c>
    </row>
    <row r="4459" spans="1:6">
      <c r="A4459" t="s">
        <v>13272</v>
      </c>
      <c r="B4459" t="s">
        <v>13273</v>
      </c>
      <c r="C4459" t="s">
        <v>13274</v>
      </c>
      <c r="D4459" t="str">
        <f>HYPERLINK("https://github.com/nextcloud/android/issues/8957","show")</f>
        <v>show</v>
      </c>
      <c r="E4459" t="str">
        <f>HYPERLINK("https://github.com/nextcloud/android","show")</f>
        <v>show</v>
      </c>
      <c r="F4459" t="str">
        <f>HYPERLINK("https://github.com/nextcloud/android/releases","show")</f>
        <v>show</v>
      </c>
    </row>
    <row r="4460" spans="1:6">
      <c r="A4460" t="s">
        <v>13275</v>
      </c>
      <c r="B4460" t="s">
        <v>13276</v>
      </c>
      <c r="C4460" t="s">
        <v>13277</v>
      </c>
      <c r="D4460" t="str">
        <f>HYPERLINK("https://github.com/Anuken/Mindustry/issues/5958","show")</f>
        <v>show</v>
      </c>
      <c r="E4460" t="str">
        <f>HYPERLINK("https://github.com/Anuken/Mindustry","show")</f>
        <v>show</v>
      </c>
      <c r="F4460" t="str">
        <f>HYPERLINK("https://github.com/Anuken/Mindustry/releases","show")</f>
        <v>show</v>
      </c>
    </row>
    <row r="4461" spans="1:6">
      <c r="A4461" t="s">
        <v>13278</v>
      </c>
      <c r="B4461" t="s">
        <v>13279</v>
      </c>
      <c r="C4461" t="s">
        <v>13280</v>
      </c>
      <c r="D4461" t="str">
        <f>HYPERLINK("https://github.com/Anuken/Mindustry/issues/5955","show")</f>
        <v>show</v>
      </c>
      <c r="E4461" t="str">
        <f>HYPERLINK("https://github.com/Anuken/Mindustry","show")</f>
        <v>show</v>
      </c>
      <c r="F4461" t="str">
        <f>HYPERLINK("https://github.com/Anuken/Mindustry/releases","show")</f>
        <v>show</v>
      </c>
    </row>
    <row r="4462" spans="1:6">
      <c r="A4462" t="s">
        <v>13281</v>
      </c>
      <c r="B4462" t="s">
        <v>13282</v>
      </c>
      <c r="C4462" t="s">
        <v>13283</v>
      </c>
      <c r="D4462" t="str">
        <f>HYPERLINK("https://github.com/MuntashirAkon/AppManager/issues/574","show")</f>
        <v>show</v>
      </c>
      <c r="E4462" t="str">
        <f>HYPERLINK("https://github.com/MuntashirAkon/AppManager","show")</f>
        <v>show</v>
      </c>
      <c r="F4462" t="str">
        <f>HYPERLINK("https://github.com/MuntashirAkon/AppManager/releases","show")</f>
        <v>show</v>
      </c>
    </row>
    <row r="4463" spans="1:6">
      <c r="A4463" t="s">
        <v>13284</v>
      </c>
      <c r="B4463" t="s">
        <v>13285</v>
      </c>
      <c r="C4463" t="s">
        <v>13286</v>
      </c>
      <c r="D4463" t="str">
        <f>HYPERLINK("https://github.com/capacitor-community/google-maps/issues/97","show")</f>
        <v>show</v>
      </c>
      <c r="E4463" t="str">
        <f>HYPERLINK("https://github.com/capacitor-community/google-maps","show")</f>
        <v>show</v>
      </c>
      <c r="F4463" t="str">
        <f>HYPERLINK("https://github.com/capacitor-community/google-maps/releases","show")</f>
        <v>show</v>
      </c>
    </row>
    <row r="4464" spans="1:6">
      <c r="A4464" t="s">
        <v>13287</v>
      </c>
      <c r="B4464" t="s">
        <v>13288</v>
      </c>
      <c r="C4464" t="s">
        <v>13289</v>
      </c>
      <c r="D4464" t="str">
        <f>HYPERLINK("https://github.com/RelymeApp/RelymeAndroid/issues/1","show")</f>
        <v>show</v>
      </c>
      <c r="E4464" t="str">
        <f>HYPERLINK("https://github.com/RelymeApp/RelymeAndroid","show")</f>
        <v>show</v>
      </c>
      <c r="F4464" t="str">
        <f>HYPERLINK("https://github.com/RelymeApp/RelymeAndroid/releases","show")</f>
        <v>show</v>
      </c>
    </row>
    <row r="4465" spans="1:6">
      <c r="A4465" t="s">
        <v>13290</v>
      </c>
      <c r="B4465" t="s">
        <v>13291</v>
      </c>
      <c r="C4465" t="s">
        <v>13292</v>
      </c>
      <c r="D4465" t="str">
        <f>HYPERLINK("https://github.com/bytedance/AabResGuard/issues/71","show")</f>
        <v>show</v>
      </c>
      <c r="E4465" t="str">
        <f>HYPERLINK("https://github.com/bytedance/AabResGuard","show")</f>
        <v>show</v>
      </c>
      <c r="F4465" t="str">
        <f>HYPERLINK("https://github.com/bytedance/AabResGuard/releases","show")</f>
        <v>show</v>
      </c>
    </row>
    <row r="4466" spans="1:6">
      <c r="A4466" t="s">
        <v>13293</v>
      </c>
      <c r="B4466" t="s">
        <v>13294</v>
      </c>
      <c r="C4466" t="s">
        <v>13295</v>
      </c>
      <c r="D4466" t="str">
        <f>HYPERLINK("https://github.com/nextcloud/android/issues/8951","show")</f>
        <v>show</v>
      </c>
      <c r="E4466" t="str">
        <f>HYPERLINK("https://github.com/nextcloud/android","show")</f>
        <v>show</v>
      </c>
      <c r="F4466" t="str">
        <f>HYPERLINK("https://github.com/nextcloud/android/releases","show")</f>
        <v>show</v>
      </c>
    </row>
    <row r="4467" spans="1:6">
      <c r="A4467" t="s">
        <v>13296</v>
      </c>
      <c r="B4467" t="s">
        <v>13297</v>
      </c>
      <c r="C4467" t="s">
        <v>13298</v>
      </c>
      <c r="D4467" t="str">
        <f>HYPERLINK("https://github.com/TeamNewPipe/NewPipe/issues/7069","show")</f>
        <v>show</v>
      </c>
      <c r="E4467" t="str">
        <f>HYPERLINK("https://github.com/TeamNewPipe/NewPipe","show")</f>
        <v>show</v>
      </c>
      <c r="F4467" t="str">
        <f>HYPERLINK("https://github.com/TeamNewPipe/NewPipe/releases","show")</f>
        <v>show</v>
      </c>
    </row>
    <row r="4468" spans="1:6">
      <c r="A4468" t="s">
        <v>13299</v>
      </c>
      <c r="B4468" t="s">
        <v>13300</v>
      </c>
      <c r="C4468" t="s">
        <v>13301</v>
      </c>
      <c r="D4468" t="str">
        <f>HYPERLINK("https://github.com/TeamNewPipe/NewPipe/issues/7068","show")</f>
        <v>show</v>
      </c>
      <c r="E4468" t="str">
        <f>HYPERLINK("https://github.com/TeamNewPipe/NewPipe","show")</f>
        <v>show</v>
      </c>
      <c r="F4468" t="str">
        <f>HYPERLINK("https://github.com/TeamNewPipe/NewPipe/releases","show")</f>
        <v>show</v>
      </c>
    </row>
    <row r="4469" spans="1:6">
      <c r="A4469" t="s">
        <v>13302</v>
      </c>
      <c r="B4469" t="s">
        <v>13303</v>
      </c>
      <c r="C4469" t="s">
        <v>13304</v>
      </c>
      <c r="D4469" t="str">
        <f>HYPERLINK("https://github.com/TeamNewPipe/NewPipe/issues/7067","show")</f>
        <v>show</v>
      </c>
      <c r="E4469" t="str">
        <f>HYPERLINK("https://github.com/TeamNewPipe/NewPipe","show")</f>
        <v>show</v>
      </c>
      <c r="F4469" t="str">
        <f>HYPERLINK("https://github.com/TeamNewPipe/NewPipe/releases","show")</f>
        <v>show</v>
      </c>
    </row>
    <row r="4470" spans="1:6">
      <c r="A4470" t="s">
        <v>13305</v>
      </c>
      <c r="B4470" t="s">
        <v>13306</v>
      </c>
      <c r="C4470" t="s">
        <v>13307</v>
      </c>
      <c r="D4470" t="str">
        <f>HYPERLINK("https://github.com/google/ExoPlayer/issues/9392","show")</f>
        <v>show</v>
      </c>
      <c r="E4470" t="str">
        <f>HYPERLINK("https://github.com/google/ExoPlayer","show")</f>
        <v>show</v>
      </c>
      <c r="F4470" t="str">
        <f>HYPERLINK("https://github.com/google/ExoPlayer/releases","show")</f>
        <v>show</v>
      </c>
    </row>
    <row r="4471" spans="1:6">
      <c r="A4471" t="s">
        <v>13308</v>
      </c>
      <c r="B4471" t="s">
        <v>13309</v>
      </c>
      <c r="C4471" t="s">
        <v>13310</v>
      </c>
      <c r="D4471" t="str">
        <f>HYPERLINK("https://github.com/muxinc/mux-stats-sdk-exoplayer/issues/152","show")</f>
        <v>show</v>
      </c>
      <c r="E4471" t="str">
        <f>HYPERLINK("https://github.com/muxinc/mux-stats-sdk-exoplayer","show")</f>
        <v>show</v>
      </c>
      <c r="F4471" t="str">
        <f>HYPERLINK("https://github.com/muxinc/mux-stats-sdk-exoplayer/releases","show")</f>
        <v>show</v>
      </c>
    </row>
    <row r="4472" spans="1:6">
      <c r="A4472" t="s">
        <v>13311</v>
      </c>
      <c r="B4472" t="s">
        <v>13312</v>
      </c>
      <c r="C4472" t="s">
        <v>13313</v>
      </c>
      <c r="D4472" t="str">
        <f>HYPERLINK("https://github.com/material-components/material-components-android/issues/2360","show")</f>
        <v>show</v>
      </c>
      <c r="E4472" t="str">
        <f>HYPERLINK("https://github.com/material-components/material-components-android","show")</f>
        <v>show</v>
      </c>
      <c r="F4472" t="str">
        <f>HYPERLINK("https://github.com/material-components/material-components-android/releases","show")</f>
        <v>show</v>
      </c>
    </row>
    <row r="4473" spans="1:6">
      <c r="A4473" t="s">
        <v>13314</v>
      </c>
      <c r="B4473" t="s">
        <v>13315</v>
      </c>
      <c r="C4473" t="s">
        <v>13316</v>
      </c>
      <c r="D4473" t="str">
        <f>HYPERLINK("https://github.com/PojavLauncherTeam/PojavLauncher/issues/1988","show")</f>
        <v>show</v>
      </c>
      <c r="E4473" t="str">
        <f>HYPERLINK("https://github.com/PojavLauncherTeam/PojavLauncher","show")</f>
        <v>show</v>
      </c>
      <c r="F4473" t="str">
        <f>HYPERLINK("https://github.com/PojavLauncherTeam/PojavLauncher/releases","show")</f>
        <v>show</v>
      </c>
    </row>
    <row r="4474" spans="1:6">
      <c r="A4474" t="s">
        <v>13317</v>
      </c>
      <c r="B4474" t="s">
        <v>13318</v>
      </c>
      <c r="C4474" t="s">
        <v>13319</v>
      </c>
      <c r="D4474" t="str">
        <f>HYPERLINK("https://github.com/PojavLauncherTeam/PojavLauncher/issues/1986","show")</f>
        <v>show</v>
      </c>
      <c r="E4474" t="str">
        <f>HYPERLINK("https://github.com/PojavLauncherTeam/PojavLauncher","show")</f>
        <v>show</v>
      </c>
      <c r="F4474" t="str">
        <f>HYPERLINK("https://github.com/PojavLauncherTeam/PojavLauncher/releases","show")</f>
        <v>show</v>
      </c>
    </row>
    <row r="4475" spans="1:6">
      <c r="A4475" t="s">
        <v>13320</v>
      </c>
      <c r="B4475" t="s">
        <v>13321</v>
      </c>
      <c r="C4475" t="s">
        <v>13322</v>
      </c>
      <c r="D4475" t="str">
        <f>HYPERLINK("https://github.com/TeamNewPipe/NewPipe/issues/7064","show")</f>
        <v>show</v>
      </c>
      <c r="E4475" t="str">
        <f>HYPERLINK("https://github.com/TeamNewPipe/NewPipe","show")</f>
        <v>show</v>
      </c>
      <c r="F4475" t="str">
        <f>HYPERLINK("https://github.com/TeamNewPipe/NewPipe/releases","show")</f>
        <v>show</v>
      </c>
    </row>
    <row r="4476" spans="1:6">
      <c r="A4476" t="s">
        <v>13323</v>
      </c>
      <c r="B4476" t="s">
        <v>13324</v>
      </c>
      <c r="C4476" t="s">
        <v>13325</v>
      </c>
      <c r="D4476" t="str">
        <f>HYPERLINK("https://github.com/Anuken/Mindustry/issues/5944","show")</f>
        <v>show</v>
      </c>
      <c r="E4476" t="str">
        <f>HYPERLINK("https://github.com/Anuken/Mindustry","show")</f>
        <v>show</v>
      </c>
      <c r="F4476" t="str">
        <f>HYPERLINK("https://github.com/Anuken/Mindustry/releases","show")</f>
        <v>show</v>
      </c>
    </row>
    <row r="4477" spans="1:6">
      <c r="A4477" t="s">
        <v>13326</v>
      </c>
      <c r="B4477" t="s">
        <v>13327</v>
      </c>
      <c r="C4477" t="s">
        <v>13328</v>
      </c>
      <c r="D4477" t="str">
        <f>HYPERLINK("https://github.com/Anuken/Mindustry/issues/5941","show")</f>
        <v>show</v>
      </c>
      <c r="E4477" t="str">
        <f>HYPERLINK("https://github.com/Anuken/Mindustry","show")</f>
        <v>show</v>
      </c>
      <c r="F4477" t="str">
        <f>HYPERLINK("https://github.com/Anuken/Mindustry/releases","show")</f>
        <v>show</v>
      </c>
    </row>
    <row r="4478" spans="1:6">
      <c r="A4478" t="s">
        <v>13329</v>
      </c>
      <c r="B4478" t="s">
        <v>13330</v>
      </c>
      <c r="C4478" t="s">
        <v>13331</v>
      </c>
      <c r="D4478" t="str">
        <f>HYPERLINK("https://github.com/PojavLauncherTeam/PojavLauncher/issues/1984","show")</f>
        <v>show</v>
      </c>
      <c r="E4478" t="str">
        <f>HYPERLINK("https://github.com/PojavLauncherTeam/PojavLauncher","show")</f>
        <v>show</v>
      </c>
      <c r="F4478" t="str">
        <f>HYPERLINK("https://github.com/PojavLauncherTeam/PojavLauncher/releases","show")</f>
        <v>show</v>
      </c>
    </row>
    <row r="4479" spans="1:6">
      <c r="A4479" t="s">
        <v>13332</v>
      </c>
      <c r="B4479" t="s">
        <v>13333</v>
      </c>
      <c r="C4479" t="s">
        <v>13334</v>
      </c>
      <c r="D4479" t="str">
        <f>HYPERLINK("https://github.com/leandrosimoes/react-native-android-notification-listener/issues/27","show")</f>
        <v>show</v>
      </c>
      <c r="E4479" t="str">
        <f>HYPERLINK("https://github.com/leandrosimoes/react-native-android-notification-listener","show")</f>
        <v>show</v>
      </c>
      <c r="F4479" t="str">
        <f>HYPERLINK("https://github.com/leandrosimoes/react-native-android-notification-listener/releases","show")</f>
        <v>show</v>
      </c>
    </row>
    <row r="4480" spans="1:6">
      <c r="A4480" t="s">
        <v>13335</v>
      </c>
      <c r="B4480" t="s">
        <v>13336</v>
      </c>
      <c r="C4480" t="s">
        <v>13337</v>
      </c>
      <c r="D4480" t="str">
        <f>HYPERLINK("https://github.com/TeamNewPipe/NewPipe/issues/7060","show")</f>
        <v>show</v>
      </c>
      <c r="E4480" t="str">
        <f>HYPERLINK("https://github.com/TeamNewPipe/NewPipe","show")</f>
        <v>show</v>
      </c>
      <c r="F4480" t="str">
        <f>HYPERLINK("https://github.com/TeamNewPipe/NewPipe/releases","show")</f>
        <v>show</v>
      </c>
    </row>
    <row r="4481" spans="1:6">
      <c r="A4481" t="s">
        <v>13338</v>
      </c>
      <c r="B4481" t="s">
        <v>13339</v>
      </c>
      <c r="C4481" t="s">
        <v>13340</v>
      </c>
      <c r="D4481" t="str">
        <f>HYPERLINK("https://github.com/martinloren/HScope/issues/41","show")</f>
        <v>show</v>
      </c>
      <c r="E4481" t="str">
        <f>HYPERLINK("https://github.com/martinloren/HScope","show")</f>
        <v>show</v>
      </c>
      <c r="F4481" t="str">
        <f>HYPERLINK("https://github.com/martinloren/HScope/releases","show")</f>
        <v>show</v>
      </c>
    </row>
    <row r="4482" spans="1:6">
      <c r="A4482" t="s">
        <v>13341</v>
      </c>
      <c r="B4482" t="s">
        <v>13342</v>
      </c>
      <c r="C4482" t="s">
        <v>13343</v>
      </c>
      <c r="D4482" t="str">
        <f>HYPERLINK("https://github.com/PojavLauncherTeam/PojavLauncher/issues/1977","show")</f>
        <v>show</v>
      </c>
      <c r="E4482" t="str">
        <f>HYPERLINK("https://github.com/PojavLauncherTeam/PojavLauncher","show")</f>
        <v>show</v>
      </c>
      <c r="F4482" t="str">
        <f>HYPERLINK("https://github.com/PojavLauncherTeam/PojavLauncher/releases","show")</f>
        <v>show</v>
      </c>
    </row>
    <row r="4483" spans="1:6">
      <c r="A4483" t="s">
        <v>13344</v>
      </c>
      <c r="B4483" t="s">
        <v>13345</v>
      </c>
      <c r="C4483" t="s">
        <v>13346</v>
      </c>
      <c r="D4483" t="str">
        <f>HYPERLINK("https://github.com/cgeo/cgeo/issues/11628","show")</f>
        <v>show</v>
      </c>
      <c r="E4483" t="str">
        <f>HYPERLINK("https://github.com/cgeo/cgeo","show")</f>
        <v>show</v>
      </c>
      <c r="F4483" t="str">
        <f>HYPERLINK("https://github.com/cgeo/cgeo/releases","show")</f>
        <v>show</v>
      </c>
    </row>
    <row r="4484" spans="1:6">
      <c r="A4484" t="s">
        <v>13347</v>
      </c>
      <c r="B4484" t="s">
        <v>13348</v>
      </c>
      <c r="C4484" t="s">
        <v>13349</v>
      </c>
      <c r="D4484" t="str">
        <f>HYPERLINK("https://github.com/TeamNewPipe/NewPipe/issues/7057","show")</f>
        <v>show</v>
      </c>
      <c r="E4484" t="str">
        <f>HYPERLINK("https://github.com/TeamNewPipe/NewPipe","show")</f>
        <v>show</v>
      </c>
      <c r="F4484" t="str">
        <f>HYPERLINK("https://github.com/TeamNewPipe/NewPipe/releases","show")</f>
        <v>show</v>
      </c>
    </row>
    <row r="4485" spans="1:6">
      <c r="A4485" t="s">
        <v>13350</v>
      </c>
      <c r="B4485" t="s">
        <v>13351</v>
      </c>
      <c r="C4485" t="s">
        <v>13352</v>
      </c>
      <c r="D4485" t="str">
        <f>HYPERLINK("https://github.com/nextcloud/android/issues/8938","show")</f>
        <v>show</v>
      </c>
      <c r="E4485" t="str">
        <f>HYPERLINK("https://github.com/nextcloud/android","show")</f>
        <v>show</v>
      </c>
      <c r="F4485" t="str">
        <f>HYPERLINK("https://github.com/nextcloud/android/releases","show")</f>
        <v>show</v>
      </c>
    </row>
    <row r="4486" spans="1:6">
      <c r="A4486" t="s">
        <v>13353</v>
      </c>
      <c r="B4486" t="s">
        <v>13354</v>
      </c>
      <c r="C4486" t="s">
        <v>13355</v>
      </c>
      <c r="D4486" t="str">
        <f>HYPERLINK("https://github.com/Benji377/SocyMusic/issues/189","show")</f>
        <v>show</v>
      </c>
      <c r="E4486" t="str">
        <f>HYPERLINK("https://github.com/Benji377/SocyMusic","show")</f>
        <v>show</v>
      </c>
      <c r="F4486" t="str">
        <f>HYPERLINK("https://github.com/Benji377/SocyMusic/releases","show")</f>
        <v>show</v>
      </c>
    </row>
    <row r="4487" spans="1:6">
      <c r="A4487" t="s">
        <v>13356</v>
      </c>
      <c r="B4487" t="s">
        <v>13357</v>
      </c>
      <c r="C4487" t="s">
        <v>13358</v>
      </c>
      <c r="D4487" t="str">
        <f>HYPERLINK("https://github.com/Azure/azure-sdk-for-android/issues/862","show")</f>
        <v>show</v>
      </c>
      <c r="E4487" t="str">
        <f>HYPERLINK("https://github.com/Azure/azure-sdk-for-android","show")</f>
        <v>show</v>
      </c>
      <c r="F4487" t="str">
        <f>HYPERLINK("https://github.com/Azure/azure-sdk-for-android/releases","show")</f>
        <v>show</v>
      </c>
    </row>
    <row r="4488" spans="1:6">
      <c r="A4488" t="s">
        <v>13359</v>
      </c>
      <c r="B4488" t="s">
        <v>13360</v>
      </c>
      <c r="C4488" t="s">
        <v>13361</v>
      </c>
      <c r="D4488" t="str">
        <f>HYPERLINK("https://github.com/Benji377/SocyMusic/issues/187","show")</f>
        <v>show</v>
      </c>
      <c r="E4488" t="str">
        <f>HYPERLINK("https://github.com/Benji377/SocyMusic","show")</f>
        <v>show</v>
      </c>
      <c r="F4488" t="str">
        <f>HYPERLINK("https://github.com/Benji377/SocyMusic/releases","show")</f>
        <v>show</v>
      </c>
    </row>
    <row r="4489" spans="1:6">
      <c r="A4489" t="s">
        <v>13362</v>
      </c>
      <c r="B4489" t="s">
        <v>13363</v>
      </c>
      <c r="C4489" t="s">
        <v>13364</v>
      </c>
      <c r="D4489" t="str">
        <f>HYPERLINK("https://github.com/PojavLauncherTeam/PojavLauncher/issues/1964","show")</f>
        <v>show</v>
      </c>
      <c r="E4489" t="str">
        <f>HYPERLINK("https://github.com/PojavLauncherTeam/PojavLauncher","show")</f>
        <v>show</v>
      </c>
      <c r="F4489" t="str">
        <f>HYPERLINK("https://github.com/PojavLauncherTeam/PojavLauncher/releases","show")</f>
        <v>show</v>
      </c>
    </row>
    <row r="4490" spans="1:6">
      <c r="A4490" t="s">
        <v>13365</v>
      </c>
      <c r="B4490" t="s">
        <v>13366</v>
      </c>
      <c r="C4490" t="s">
        <v>13367</v>
      </c>
      <c r="D4490" t="str">
        <f>HYPERLINK("https://github.com/Anuken/Mindustry/issues/5928","show")</f>
        <v>show</v>
      </c>
      <c r="E4490" t="str">
        <f>HYPERLINK("https://github.com/Anuken/Mindustry","show")</f>
        <v>show</v>
      </c>
      <c r="F4490" t="str">
        <f>HYPERLINK("https://github.com/Anuken/Mindustry/releases","show")</f>
        <v>show</v>
      </c>
    </row>
    <row r="4491" spans="1:6">
      <c r="A4491" t="s">
        <v>13368</v>
      </c>
      <c r="B4491" t="s">
        <v>13369</v>
      </c>
      <c r="C4491" t="s">
        <v>13370</v>
      </c>
      <c r="D4491" t="str">
        <f>HYPERLINK("https://github.com/myxor/WhoRules/issues/14","show")</f>
        <v>show</v>
      </c>
      <c r="E4491" t="str">
        <f>HYPERLINK("https://github.com/myxor/WhoRules","show")</f>
        <v>show</v>
      </c>
      <c r="F4491" t="str">
        <f>HYPERLINK("https://github.com/myxor/WhoRules/releases","show")</f>
        <v>show</v>
      </c>
    </row>
    <row r="4492" spans="1:6">
      <c r="A4492" t="s">
        <v>13371</v>
      </c>
      <c r="B4492" t="s">
        <v>13372</v>
      </c>
      <c r="C4492" t="s">
        <v>13373</v>
      </c>
      <c r="D4492" t="str">
        <f>HYPERLINK("https://github.com/MuntashirAkon/AppManager/issues/569","show")</f>
        <v>show</v>
      </c>
      <c r="E4492" t="str">
        <f>HYPERLINK("https://github.com/MuntashirAkon/AppManager","show")</f>
        <v>show</v>
      </c>
      <c r="F4492" t="str">
        <f>HYPERLINK("https://github.com/MuntashirAkon/AppManager/releases","show")</f>
        <v>show</v>
      </c>
    </row>
    <row r="4493" spans="1:6">
      <c r="A4493" t="s">
        <v>13374</v>
      </c>
      <c r="B4493" t="s">
        <v>13375</v>
      </c>
      <c r="C4493" t="s">
        <v>13376</v>
      </c>
      <c r="D4493" t="str">
        <f>HYPERLINK("https://github.com/TeamNewPipe/NewPipe/issues/7041","show")</f>
        <v>show</v>
      </c>
      <c r="E4493" t="str">
        <f>HYPERLINK("https://github.com/TeamNewPipe/NewPipe","show")</f>
        <v>show</v>
      </c>
      <c r="F4493" t="str">
        <f>HYPERLINK("https://github.com/TeamNewPipe/NewPipe/releases","show")</f>
        <v>show</v>
      </c>
    </row>
    <row r="4494" spans="1:6">
      <c r="A4494" t="s">
        <v>13377</v>
      </c>
      <c r="B4494" t="s">
        <v>13378</v>
      </c>
      <c r="C4494" t="s">
        <v>13379</v>
      </c>
      <c r="D4494" t="str">
        <f>HYPERLINK("https://github.com/elimu-ai/content-provider/issues/83","show")</f>
        <v>show</v>
      </c>
      <c r="E4494" t="str">
        <f>HYPERLINK("https://github.com/elimu-ai/content-provider","show")</f>
        <v>show</v>
      </c>
      <c r="F4494" t="str">
        <f>HYPERLINK("https://github.com/elimu-ai/content-provider/releases","show")</f>
        <v>show</v>
      </c>
    </row>
    <row r="4495" spans="1:6">
      <c r="A4495" t="s">
        <v>13380</v>
      </c>
      <c r="B4495" t="s">
        <v>13381</v>
      </c>
      <c r="C4495" t="s">
        <v>13382</v>
      </c>
      <c r="D4495" t="str">
        <f>HYPERLINK("https://github.com/nextcloud/android/issues/8926","show")</f>
        <v>show</v>
      </c>
      <c r="E4495" t="str">
        <f>HYPERLINK("https://github.com/nextcloud/android","show")</f>
        <v>show</v>
      </c>
      <c r="F4495" t="str">
        <f>HYPERLINK("https://github.com/nextcloud/android/releases","show")</f>
        <v>show</v>
      </c>
    </row>
    <row r="4496" spans="1:6">
      <c r="A4496" t="s">
        <v>13383</v>
      </c>
      <c r="B4496" t="s">
        <v>10530</v>
      </c>
      <c r="C4496" t="s">
        <v>13384</v>
      </c>
      <c r="D4496" t="str">
        <f>HYPERLINK("https://github.com/0xD34D/barinsta/issues/1","show")</f>
        <v>show</v>
      </c>
      <c r="E4496" t="str">
        <f>HYPERLINK("https://github.com/0xD34D/barinsta","show")</f>
        <v>show</v>
      </c>
      <c r="F4496" t="str">
        <f>HYPERLINK("https://github.com/0xD34D/barinsta/releases","show")</f>
        <v>show</v>
      </c>
    </row>
    <row r="4497" spans="1:6">
      <c r="A4497" t="s">
        <v>13385</v>
      </c>
      <c r="B4497" t="s">
        <v>13386</v>
      </c>
      <c r="C4497" t="s">
        <v>13387</v>
      </c>
      <c r="D4497" t="str">
        <f>HYPERLINK("https://github.com/material-components/material-components-android/issues/2352","show")</f>
        <v>show</v>
      </c>
      <c r="E4497" t="str">
        <f>HYPERLINK("https://github.com/material-components/material-components-android","show")</f>
        <v>show</v>
      </c>
      <c r="F4497" t="str">
        <f>HYPERLINK("https://github.com/material-components/material-components-android/releases","show")</f>
        <v>show</v>
      </c>
    </row>
    <row r="4498" spans="1:6">
      <c r="A4498" t="s">
        <v>13388</v>
      </c>
      <c r="B4498" t="s">
        <v>13389</v>
      </c>
      <c r="C4498" t="s">
        <v>13390</v>
      </c>
      <c r="D4498" t="str">
        <f>HYPERLINK("https://github.com/zxing/zxing/issues/1427","show")</f>
        <v>show</v>
      </c>
      <c r="E4498" t="str">
        <f>HYPERLINK("https://github.com/zxing/zxing","show")</f>
        <v>show</v>
      </c>
      <c r="F4498" t="str">
        <f>HYPERLINK("https://github.com/zxing/zxing/releases","show")</f>
        <v>show</v>
      </c>
    </row>
    <row r="4499" spans="1:6">
      <c r="A4499" t="s">
        <v>13391</v>
      </c>
      <c r="B4499" t="s">
        <v>13392</v>
      </c>
      <c r="C4499" t="s">
        <v>13393</v>
      </c>
      <c r="D4499" t="str">
        <f>HYPERLINK("https://github.com/opensrp/opensrp-client-path-zeir/issues/201","show")</f>
        <v>show</v>
      </c>
      <c r="E4499" t="str">
        <f>HYPERLINK("https://github.com/opensrp/opensrp-client-path-zeir","show")</f>
        <v>show</v>
      </c>
      <c r="F4499" t="str">
        <f>HYPERLINK("https://github.com/opensrp/opensrp-client-path-zeir/releases","show")</f>
        <v>show</v>
      </c>
    </row>
    <row r="4500" spans="1:6">
      <c r="A4500" t="s">
        <v>13394</v>
      </c>
      <c r="B4500" t="s">
        <v>13395</v>
      </c>
      <c r="C4500" t="s">
        <v>13396</v>
      </c>
      <c r="D4500" t="str">
        <f>HYPERLINK("https://github.com/hzi-braunschweig/SORMAS-Project/issues/6571","show")</f>
        <v>show</v>
      </c>
      <c r="E4500" t="str">
        <f>HYPERLINK("https://github.com/hzi-braunschweig/SORMAS-Project","show")</f>
        <v>show</v>
      </c>
      <c r="F4500" t="str">
        <f>HYPERLINK("https://github.com/hzi-braunschweig/SORMAS-Project/releases","show")</f>
        <v>show</v>
      </c>
    </row>
    <row r="4501" spans="1:6">
      <c r="A4501" t="s">
        <v>13397</v>
      </c>
      <c r="B4501" t="s">
        <v>13398</v>
      </c>
      <c r="C4501" t="s">
        <v>13399</v>
      </c>
      <c r="D4501" t="str">
        <f>HYPERLINK("https://github.com/MuntashirAkon/AppManager/issues/567","show")</f>
        <v>show</v>
      </c>
      <c r="E4501" t="str">
        <f>HYPERLINK("https://github.com/MuntashirAkon/AppManager","show")</f>
        <v>show</v>
      </c>
      <c r="F4501" t="str">
        <f>HYPERLINK("https://github.com/MuntashirAkon/AppManager/releases","show")</f>
        <v>show</v>
      </c>
    </row>
    <row r="4502" spans="1:6">
      <c r="A4502" t="s">
        <v>13400</v>
      </c>
      <c r="B4502" t="s">
        <v>13401</v>
      </c>
      <c r="C4502" t="s">
        <v>13402</v>
      </c>
      <c r="D4502" t="str">
        <f>HYPERLINK("https://github.com/TeamNewPipe/NewPipe/issues/7034","show")</f>
        <v>show</v>
      </c>
      <c r="E4502" t="str">
        <f>HYPERLINK("https://github.com/TeamNewPipe/NewPipe","show")</f>
        <v>show</v>
      </c>
      <c r="F4502" t="str">
        <f>HYPERLINK("https://github.com/TeamNewPipe/NewPipe/releases","show")</f>
        <v>show</v>
      </c>
    </row>
    <row r="4503" spans="1:6">
      <c r="A4503" t="s">
        <v>13403</v>
      </c>
      <c r="B4503" t="s">
        <v>13404</v>
      </c>
      <c r="C4503" t="s">
        <v>13405</v>
      </c>
      <c r="D4503" t="str">
        <f>HYPERLINK("https://github.com/TeamNewPipe/NewPipe/issues/7033","show")</f>
        <v>show</v>
      </c>
      <c r="E4503" t="str">
        <f>HYPERLINK("https://github.com/TeamNewPipe/NewPipe","show")</f>
        <v>show</v>
      </c>
      <c r="F4503" t="str">
        <f>HYPERLINK("https://github.com/TeamNewPipe/NewPipe/releases","show")</f>
        <v>show</v>
      </c>
    </row>
    <row r="4504" spans="1:6">
      <c r="A4504" t="s">
        <v>13406</v>
      </c>
      <c r="B4504" t="s">
        <v>13407</v>
      </c>
      <c r="C4504" t="s">
        <v>13408</v>
      </c>
      <c r="D4504" t="str">
        <f>HYPERLINK("https://github.com/nextcloud/android/issues/8918","show")</f>
        <v>show</v>
      </c>
      <c r="E4504" t="str">
        <f>HYPERLINK("https://github.com/nextcloud/android","show")</f>
        <v>show</v>
      </c>
      <c r="F4504" t="str">
        <f>HYPERLINK("https://github.com/nextcloud/android/releases","show")</f>
        <v>show</v>
      </c>
    </row>
    <row r="4505" spans="1:6">
      <c r="A4505" t="s">
        <v>13409</v>
      </c>
      <c r="B4505" t="s">
        <v>13410</v>
      </c>
      <c r="C4505" t="s">
        <v>13411</v>
      </c>
      <c r="D4505" t="str">
        <f>HYPERLINK("https://github.com/hzi-braunschweig/SORMAS-Project/issues/6553","show")</f>
        <v>show</v>
      </c>
      <c r="E4505" t="str">
        <f>HYPERLINK("https://github.com/hzi-braunschweig/SORMAS-Project","show")</f>
        <v>show</v>
      </c>
      <c r="F4505" t="str">
        <f>HYPERLINK("https://github.com/hzi-braunschweig/SORMAS-Project/releases","show")</f>
        <v>show</v>
      </c>
    </row>
    <row r="4506" spans="1:6">
      <c r="A4506" t="s">
        <v>13412</v>
      </c>
      <c r="B4506" t="s">
        <v>13413</v>
      </c>
      <c r="C4506" t="s">
        <v>13414</v>
      </c>
      <c r="D4506" t="str">
        <f>HYPERLINK("https://github.com/inaturalist/iNaturalistAndroid/issues/1111","show")</f>
        <v>show</v>
      </c>
      <c r="E4506" t="str">
        <f>HYPERLINK("https://github.com/inaturalist/iNaturalistAndroid","show")</f>
        <v>show</v>
      </c>
      <c r="F4506" t="str">
        <f>HYPERLINK("https://github.com/inaturalist/iNaturalistAndroid/releases","show")</f>
        <v>show</v>
      </c>
    </row>
    <row r="4507" spans="1:6">
      <c r="A4507" t="s">
        <v>13415</v>
      </c>
      <c r="B4507" t="s">
        <v>13416</v>
      </c>
      <c r="C4507" t="s">
        <v>13417</v>
      </c>
      <c r="D4507" t="str">
        <f>HYPERLINK("https://github.com/PojavLauncherTeam/PojavLauncher/issues/1934","show")</f>
        <v>show</v>
      </c>
      <c r="E4507" t="str">
        <f>HYPERLINK("https://github.com/PojavLauncherTeam/PojavLauncher","show")</f>
        <v>show</v>
      </c>
      <c r="F4507" t="str">
        <f>HYPERLINK("https://github.com/PojavLauncherTeam/PojavLauncher/releases","show")</f>
        <v>show</v>
      </c>
    </row>
    <row r="4508" spans="1:6">
      <c r="A4508" t="s">
        <v>13418</v>
      </c>
      <c r="B4508" t="s">
        <v>9922</v>
      </c>
      <c r="C4508" t="s">
        <v>13417</v>
      </c>
      <c r="D4508" t="str">
        <f>HYPERLINK("https://github.com/PojavLauncherTeam/PojavLauncher/issues/1933","show")</f>
        <v>show</v>
      </c>
      <c r="E4508" t="str">
        <f>HYPERLINK("https://github.com/PojavLauncherTeam/PojavLauncher","show")</f>
        <v>show</v>
      </c>
      <c r="F4508" t="str">
        <f>HYPERLINK("https://github.com/PojavLauncherTeam/PojavLauncher/releases","show")</f>
        <v>show</v>
      </c>
    </row>
    <row r="4509" spans="1:6">
      <c r="A4509" t="s">
        <v>13419</v>
      </c>
      <c r="B4509" t="s">
        <v>13420</v>
      </c>
      <c r="C4509" t="s">
        <v>13421</v>
      </c>
      <c r="D4509" t="str">
        <f>HYPERLINK("https://github.com/commons-app/apps-android-commons/issues/4594","show")</f>
        <v>show</v>
      </c>
      <c r="E4509" t="str">
        <f>HYPERLINK("https://github.com/commons-app/apps-android-commons","show")</f>
        <v>show</v>
      </c>
      <c r="F4509" t="str">
        <f>HYPERLINK("https://github.com/commons-app/apps-android-commons/releases","show")</f>
        <v>show</v>
      </c>
    </row>
    <row r="4510" spans="1:6">
      <c r="A4510" t="s">
        <v>13422</v>
      </c>
      <c r="B4510" t="s">
        <v>13423</v>
      </c>
      <c r="C4510" t="s">
        <v>13424</v>
      </c>
      <c r="D4510" t="str">
        <f>HYPERLINK("https://github.com/tchapgouv/tchap-android-legacy/issues/721","show")</f>
        <v>show</v>
      </c>
      <c r="E4510" t="str">
        <f>HYPERLINK("https://github.com/tchapgouv/tchap-android-legacy","show")</f>
        <v>show</v>
      </c>
      <c r="F4510" t="str">
        <f>HYPERLINK("https://github.com/tchapgouv/tchap-android-legacy/releases","show")</f>
        <v>show</v>
      </c>
    </row>
    <row r="4511" spans="1:6">
      <c r="A4511" t="s">
        <v>13425</v>
      </c>
      <c r="B4511" t="s">
        <v>13426</v>
      </c>
      <c r="C4511" t="s">
        <v>13427</v>
      </c>
      <c r="D4511" t="str">
        <f>HYPERLINK("https://github.com/TeamNewPipe/NewPipe/issues/7021","show")</f>
        <v>show</v>
      </c>
      <c r="E4511" t="str">
        <f>HYPERLINK("https://github.com/TeamNewPipe/NewPipe","show")</f>
        <v>show</v>
      </c>
      <c r="F4511" t="str">
        <f>HYPERLINK("https://github.com/TeamNewPipe/NewPipe/releases","show")</f>
        <v>show</v>
      </c>
    </row>
    <row r="4512" spans="1:6">
      <c r="A4512" t="s">
        <v>13428</v>
      </c>
      <c r="B4512" t="s">
        <v>13429</v>
      </c>
      <c r="C4512" t="s">
        <v>13430</v>
      </c>
      <c r="D4512" t="str">
        <f>HYPERLINK("https://github.com/oliexdev/openScale/issues/771","show")</f>
        <v>show</v>
      </c>
      <c r="E4512" t="str">
        <f>HYPERLINK("https://github.com/oliexdev/openScale","show")</f>
        <v>show</v>
      </c>
      <c r="F4512" t="str">
        <f>HYPERLINK("https://github.com/oliexdev/openScale/releases","show")</f>
        <v>show</v>
      </c>
    </row>
    <row r="4513" spans="1:6">
      <c r="A4513" t="s">
        <v>13431</v>
      </c>
      <c r="B4513" t="s">
        <v>13432</v>
      </c>
      <c r="C4513" t="s">
        <v>13433</v>
      </c>
      <c r="D4513" t="str">
        <f>HYPERLINK("https://github.com/Anuken/Mindustry/issues/5896","show")</f>
        <v>show</v>
      </c>
      <c r="E4513" t="str">
        <f>HYPERLINK("https://github.com/Anuken/Mindustry","show")</f>
        <v>show</v>
      </c>
      <c r="F4513" t="str">
        <f>HYPERLINK("https://github.com/Anuken/Mindustry/releases","show")</f>
        <v>show</v>
      </c>
    </row>
    <row r="4514" spans="1:6">
      <c r="A4514" t="s">
        <v>13434</v>
      </c>
      <c r="B4514" t="s">
        <v>13435</v>
      </c>
      <c r="C4514" t="s">
        <v>13436</v>
      </c>
      <c r="D4514" t="str">
        <f>HYPERLINK("https://github.com/nextcloud/android/issues/8912","show")</f>
        <v>show</v>
      </c>
      <c r="E4514" t="str">
        <f>HYPERLINK("https://github.com/nextcloud/android","show")</f>
        <v>show</v>
      </c>
      <c r="F4514" t="str">
        <f>HYPERLINK("https://github.com/nextcloud/android/releases","show")</f>
        <v>show</v>
      </c>
    </row>
    <row r="4515" spans="1:6">
      <c r="A4515" t="s">
        <v>13437</v>
      </c>
      <c r="B4515" t="s">
        <v>13438</v>
      </c>
      <c r="C4515" t="s">
        <v>13439</v>
      </c>
      <c r="D4515" t="str">
        <f>HYPERLINK("https://github.com/jellyfin/jellyfin-androidtv/issues/1118","show")</f>
        <v>show</v>
      </c>
      <c r="E4515" t="str">
        <f>HYPERLINK("https://github.com/jellyfin/jellyfin-androidtv","show")</f>
        <v>show</v>
      </c>
      <c r="F4515" t="str">
        <f>HYPERLINK("https://github.com/jellyfin/jellyfin-androidtv/releases","show")</f>
        <v>show</v>
      </c>
    </row>
    <row r="4516" spans="1:6">
      <c r="A4516" t="s">
        <v>13440</v>
      </c>
      <c r="B4516" t="s">
        <v>13441</v>
      </c>
      <c r="C4516" t="s">
        <v>13442</v>
      </c>
      <c r="D4516" t="str">
        <f>HYPERLINK("https://github.com/TeamNewPipe/NewPipe/issues/7012","show")</f>
        <v>show</v>
      </c>
      <c r="E4516" t="str">
        <f>HYPERLINK("https://github.com/TeamNewPipe/NewPipe","show")</f>
        <v>show</v>
      </c>
      <c r="F4516" t="str">
        <f>HYPERLINK("https://github.com/TeamNewPipe/NewPipe/releases","show")</f>
        <v>show</v>
      </c>
    </row>
    <row r="4517" spans="1:6">
      <c r="A4517" t="s">
        <v>13443</v>
      </c>
      <c r="B4517" t="s">
        <v>13444</v>
      </c>
      <c r="C4517" t="s">
        <v>13445</v>
      </c>
      <c r="D4517" t="str">
        <f>HYPERLINK("https://github.com/PojavLauncherTeam/PojavLauncher/issues/1920","show")</f>
        <v>show</v>
      </c>
      <c r="E4517" t="str">
        <f>HYPERLINK("https://github.com/PojavLauncherTeam/PojavLauncher","show")</f>
        <v>show</v>
      </c>
      <c r="F4517" t="str">
        <f>HYPERLINK("https://github.com/PojavLauncherTeam/PojavLauncher/releases","show")</f>
        <v>show</v>
      </c>
    </row>
    <row r="4518" spans="1:6">
      <c r="A4518" t="s">
        <v>13446</v>
      </c>
      <c r="B4518" t="s">
        <v>13447</v>
      </c>
      <c r="C4518" t="s">
        <v>13448</v>
      </c>
      <c r="D4518" t="str">
        <f>HYPERLINK("https://github.com/TeamNewPipe/NewPipe/issues/7007","show")</f>
        <v>show</v>
      </c>
      <c r="E4518" t="str">
        <f>HYPERLINK("https://github.com/TeamNewPipe/NewPipe","show")</f>
        <v>show</v>
      </c>
      <c r="F4518" t="str">
        <f>HYPERLINK("https://github.com/TeamNewPipe/NewPipe/releases","show")</f>
        <v>show</v>
      </c>
    </row>
    <row r="4519" spans="1:6">
      <c r="A4519" t="s">
        <v>13449</v>
      </c>
      <c r="B4519" t="s">
        <v>13450</v>
      </c>
      <c r="C4519" t="s">
        <v>13451</v>
      </c>
      <c r="D4519" t="str">
        <f>HYPERLINK("https://github.com/nextcloud/android/issues/8910","show")</f>
        <v>show</v>
      </c>
      <c r="E4519" t="str">
        <f>HYPERLINK("https://github.com/nextcloud/android","show")</f>
        <v>show</v>
      </c>
      <c r="F4519" t="str">
        <f>HYPERLINK("https://github.com/nextcloud/android/releases","show")</f>
        <v>show</v>
      </c>
    </row>
    <row r="4520" spans="1:6">
      <c r="A4520" t="s">
        <v>13452</v>
      </c>
      <c r="B4520" t="s">
        <v>13453</v>
      </c>
      <c r="C4520" t="s">
        <v>13454</v>
      </c>
      <c r="D4520" t="str">
        <f>HYPERLINK("https://github.com/MuntashirAkon/AppManager/issues/566","show")</f>
        <v>show</v>
      </c>
      <c r="E4520" t="str">
        <f>HYPERLINK("https://github.com/MuntashirAkon/AppManager","show")</f>
        <v>show</v>
      </c>
      <c r="F4520" t="str">
        <f>HYPERLINK("https://github.com/MuntashirAkon/AppManager/releases","show")</f>
        <v>show</v>
      </c>
    </row>
    <row r="4521" spans="1:6">
      <c r="A4521" t="s">
        <v>13455</v>
      </c>
      <c r="B4521" t="s">
        <v>13456</v>
      </c>
      <c r="C4521" t="s">
        <v>13457</v>
      </c>
      <c r="D4521" t="str">
        <f>HYPERLINK("https://github.com/PojavLauncherTeam/PojavLauncher/issues/1914","show")</f>
        <v>show</v>
      </c>
      <c r="E4521" t="str">
        <f>HYPERLINK("https://github.com/PojavLauncherTeam/PojavLauncher","show")</f>
        <v>show</v>
      </c>
      <c r="F4521" t="str">
        <f>HYPERLINK("https://github.com/PojavLauncherTeam/PojavLauncher/releases","show")</f>
        <v>show</v>
      </c>
    </row>
    <row r="4522" spans="1:6">
      <c r="A4522" t="s">
        <v>13458</v>
      </c>
      <c r="B4522" t="s">
        <v>13459</v>
      </c>
      <c r="C4522" t="s">
        <v>13460</v>
      </c>
      <c r="D4522" t="str">
        <f>HYPERLINK("https://github.com/nextcloud/android/issues/8908","show")</f>
        <v>show</v>
      </c>
      <c r="E4522" t="str">
        <f>HYPERLINK("https://github.com/nextcloud/android","show")</f>
        <v>show</v>
      </c>
      <c r="F4522" t="str">
        <f>HYPERLINK("https://github.com/nextcloud/android/releases","show")</f>
        <v>show</v>
      </c>
    </row>
    <row r="4523" spans="1:6">
      <c r="A4523" t="s">
        <v>13461</v>
      </c>
      <c r="B4523" t="s">
        <v>13462</v>
      </c>
      <c r="C4523" t="s">
        <v>13463</v>
      </c>
      <c r="D4523" t="str">
        <f>HYPERLINK("https://github.com/PojavLauncherTeam/PojavLauncher/issues/1913","show")</f>
        <v>show</v>
      </c>
      <c r="E4523" t="str">
        <f>HYPERLINK("https://github.com/PojavLauncherTeam/PojavLauncher","show")</f>
        <v>show</v>
      </c>
      <c r="F4523" t="str">
        <f>HYPERLINK("https://github.com/PojavLauncherTeam/PojavLauncher/releases","show")</f>
        <v>show</v>
      </c>
    </row>
    <row r="4524" spans="1:6">
      <c r="A4524" t="s">
        <v>13464</v>
      </c>
      <c r="B4524" t="s">
        <v>13465</v>
      </c>
      <c r="C4524" t="s">
        <v>13466</v>
      </c>
      <c r="D4524" t="str">
        <f>HYPERLINK("https://github.com/cgeo/cgeo/issues/11558","show")</f>
        <v>show</v>
      </c>
      <c r="E4524" t="str">
        <f>HYPERLINK("https://github.com/cgeo/cgeo","show")</f>
        <v>show</v>
      </c>
      <c r="F4524" t="str">
        <f>HYPERLINK("https://github.com/cgeo/cgeo/releases","show")</f>
        <v>show</v>
      </c>
    </row>
    <row r="4525" spans="1:6">
      <c r="A4525" t="s">
        <v>13467</v>
      </c>
      <c r="B4525" t="s">
        <v>13468</v>
      </c>
      <c r="C4525" t="s">
        <v>13469</v>
      </c>
      <c r="D4525" t="str">
        <f>HYPERLINK("https://github.com/inaturalist/iNaturalistAndroid/issues/1107","show")</f>
        <v>show</v>
      </c>
      <c r="E4525" t="str">
        <f>HYPERLINK("https://github.com/inaturalist/iNaturalistAndroid","show")</f>
        <v>show</v>
      </c>
      <c r="F4525" t="str">
        <f>HYPERLINK("https://github.com/inaturalist/iNaturalistAndroid/releases","show")</f>
        <v>show</v>
      </c>
    </row>
    <row r="4526" spans="1:6">
      <c r="A4526" t="s">
        <v>13470</v>
      </c>
      <c r="B4526" t="s">
        <v>13471</v>
      </c>
      <c r="C4526" t="s">
        <v>13472</v>
      </c>
      <c r="D4526" t="str">
        <f>HYPERLINK("https://github.com/BugBattle/ReactNative-SDK/issues/19","show")</f>
        <v>show</v>
      </c>
      <c r="E4526" t="str">
        <f>HYPERLINK("https://github.com/BugBattle/ReactNative-SDK","show")</f>
        <v>show</v>
      </c>
      <c r="F4526" t="str">
        <f>HYPERLINK("https://github.com/BugBattle/ReactNative-SDK/releases","show")</f>
        <v>show</v>
      </c>
    </row>
    <row r="4527" spans="1:6">
      <c r="A4527" t="s">
        <v>13473</v>
      </c>
      <c r="B4527" t="s">
        <v>13474</v>
      </c>
      <c r="C4527" t="s">
        <v>13475</v>
      </c>
      <c r="D4527" t="str">
        <f>HYPERLINK("https://github.com/TeamNewPipe/NewPipe/issues/6992","show")</f>
        <v>show</v>
      </c>
      <c r="E4527" t="str">
        <f>HYPERLINK("https://github.com/TeamNewPipe/NewPipe","show")</f>
        <v>show</v>
      </c>
      <c r="F4527" t="str">
        <f>HYPERLINK("https://github.com/TeamNewPipe/NewPipe/releases","show")</f>
        <v>show</v>
      </c>
    </row>
    <row r="4528" spans="1:6">
      <c r="A4528" t="s">
        <v>13476</v>
      </c>
      <c r="B4528" t="s">
        <v>13477</v>
      </c>
      <c r="C4528" t="s">
        <v>13478</v>
      </c>
      <c r="D4528" t="str">
        <f>HYPERLINK("https://github.com/TeamNewPipe/NewPipe/issues/6991","show")</f>
        <v>show</v>
      </c>
      <c r="E4528" t="str">
        <f>HYPERLINK("https://github.com/TeamNewPipe/NewPipe","show")</f>
        <v>show</v>
      </c>
      <c r="F4528" t="str">
        <f>HYPERLINK("https://github.com/TeamNewPipe/NewPipe/releases","show")</f>
        <v>show</v>
      </c>
    </row>
    <row r="4529" spans="1:6">
      <c r="A4529" t="s">
        <v>13479</v>
      </c>
      <c r="B4529" t="s">
        <v>13480</v>
      </c>
      <c r="C4529" t="s">
        <v>13481</v>
      </c>
      <c r="D4529" t="str">
        <f>HYPERLINK("https://github.com/TeamNewPipe/NewPipe/issues/6989","show")</f>
        <v>show</v>
      </c>
      <c r="E4529" t="str">
        <f>HYPERLINK("https://github.com/TeamNewPipe/NewPipe","show")</f>
        <v>show</v>
      </c>
      <c r="F4529" t="str">
        <f>HYPERLINK("https://github.com/TeamNewPipe/NewPipe/releases","show")</f>
        <v>show</v>
      </c>
    </row>
    <row r="4530" spans="1:6">
      <c r="A4530" t="s">
        <v>13482</v>
      </c>
      <c r="B4530" t="s">
        <v>13483</v>
      </c>
      <c r="C4530" t="s">
        <v>13484</v>
      </c>
      <c r="D4530" t="str">
        <f>HYPERLINK("https://github.com/deltachat/deltachat-android/issues/2043","show")</f>
        <v>show</v>
      </c>
      <c r="E4530" t="str">
        <f>HYPERLINK("https://github.com/deltachat/deltachat-android","show")</f>
        <v>show</v>
      </c>
      <c r="F4530" t="str">
        <f>HYPERLINK("https://github.com/deltachat/deltachat-android/releases","show")</f>
        <v>show</v>
      </c>
    </row>
    <row r="4531" spans="1:6">
      <c r="A4531" t="s">
        <v>13485</v>
      </c>
      <c r="B4531" t="s">
        <v>13486</v>
      </c>
      <c r="C4531" t="s">
        <v>13487</v>
      </c>
      <c r="D4531" t="str">
        <f>HYPERLINK("https://github.com/TeamNewPipe/NewPipe/issues/6987","show")</f>
        <v>show</v>
      </c>
      <c r="E4531" t="str">
        <f>HYPERLINK("https://github.com/TeamNewPipe/NewPipe","show")</f>
        <v>show</v>
      </c>
      <c r="F4531" t="str">
        <f>HYPERLINK("https://github.com/TeamNewPipe/NewPipe/releases","show")</f>
        <v>show</v>
      </c>
    </row>
    <row r="4532" spans="1:6">
      <c r="A4532" t="s">
        <v>13488</v>
      </c>
      <c r="B4532" t="s">
        <v>13489</v>
      </c>
      <c r="C4532" t="s">
        <v>13490</v>
      </c>
      <c r="D4532" t="str">
        <f>HYPERLINK("https://github.com/LSPosed/LSPosed/issues/1017","show")</f>
        <v>show</v>
      </c>
      <c r="E4532" t="str">
        <f>HYPERLINK("https://github.com/LSPosed/LSPosed","show")</f>
        <v>show</v>
      </c>
      <c r="F4532" t="str">
        <f>HYPERLINK("https://github.com/LSPosed/LSPosed/releases","show")</f>
        <v>show</v>
      </c>
    </row>
    <row r="4533" spans="1:6">
      <c r="A4533" t="s">
        <v>13491</v>
      </c>
      <c r="B4533" t="s">
        <v>13492</v>
      </c>
      <c r="C4533" t="s">
        <v>13493</v>
      </c>
      <c r="D4533" t="str">
        <f>HYPERLINK("https://github.com/nextcloud/android/issues/8902","show")</f>
        <v>show</v>
      </c>
      <c r="E4533" t="str">
        <f>HYPERLINK("https://github.com/nextcloud/android","show")</f>
        <v>show</v>
      </c>
      <c r="F4533" t="str">
        <f>HYPERLINK("https://github.com/nextcloud/android/releases","show")</f>
        <v>show</v>
      </c>
    </row>
    <row r="4534" spans="1:6">
      <c r="A4534" t="s">
        <v>13494</v>
      </c>
      <c r="B4534" t="s">
        <v>13495</v>
      </c>
      <c r="C4534" t="s">
        <v>13496</v>
      </c>
      <c r="D4534" t="str">
        <f>HYPERLINK("https://github.com/TeamNewPipe/NewPipe-legacy/issues/81","show")</f>
        <v>show</v>
      </c>
      <c r="E4534" t="str">
        <f>HYPERLINK("https://github.com/TeamNewPipe/NewPipe-legacy","show")</f>
        <v>show</v>
      </c>
      <c r="F4534" t="str">
        <f>HYPERLINK("https://github.com/TeamNewPipe/NewPipe-legacy/releases","show")</f>
        <v>show</v>
      </c>
    </row>
    <row r="4535" spans="1:6">
      <c r="A4535" t="s">
        <v>13497</v>
      </c>
      <c r="B4535" t="s">
        <v>13498</v>
      </c>
      <c r="C4535" t="s">
        <v>13499</v>
      </c>
      <c r="D4535" t="str">
        <f>HYPERLINK("https://github.com/Anuken/Mindustry/issues/5869","show")</f>
        <v>show</v>
      </c>
      <c r="E4535" t="str">
        <f>HYPERLINK("https://github.com/Anuken/Mindustry","show")</f>
        <v>show</v>
      </c>
      <c r="F4535" t="str">
        <f>HYPERLINK("https://github.com/Anuken/Mindustry/releases","show")</f>
        <v>show</v>
      </c>
    </row>
    <row r="4536" spans="1:6">
      <c r="A4536" t="s">
        <v>13500</v>
      </c>
      <c r="B4536" t="s">
        <v>13501</v>
      </c>
      <c r="C4536" t="s">
        <v>13502</v>
      </c>
      <c r="D4536" t="str">
        <f>HYPERLINK("https://github.com/nextcloud/android/issues/8901","show")</f>
        <v>show</v>
      </c>
      <c r="E4536" t="str">
        <f>HYPERLINK("https://github.com/nextcloud/android","show")</f>
        <v>show</v>
      </c>
      <c r="F4536" t="str">
        <f>HYPERLINK("https://github.com/nextcloud/android/releases","show")</f>
        <v>show</v>
      </c>
    </row>
    <row r="4537" spans="1:6">
      <c r="A4537" t="s">
        <v>13503</v>
      </c>
      <c r="B4537" t="s">
        <v>13504</v>
      </c>
      <c r="C4537" t="s">
        <v>13505</v>
      </c>
      <c r="D4537" t="str">
        <f>HYPERLINK("https://github.com/TeamNewPipe/NewPipe/issues/6983","show")</f>
        <v>show</v>
      </c>
      <c r="E4537" t="str">
        <f>HYPERLINK("https://github.com/TeamNewPipe/NewPipe","show")</f>
        <v>show</v>
      </c>
      <c r="F4537" t="str">
        <f>HYPERLINK("https://github.com/TeamNewPipe/NewPipe/releases","show")</f>
        <v>show</v>
      </c>
    </row>
    <row r="4538" spans="1:6">
      <c r="A4538" t="s">
        <v>13506</v>
      </c>
      <c r="B4538" t="s">
        <v>13507</v>
      </c>
      <c r="C4538" t="s">
        <v>13508</v>
      </c>
      <c r="D4538" t="str">
        <f>HYPERLINK("https://github.com/TeamNewPipe/NewPipe/issues/6979","show")</f>
        <v>show</v>
      </c>
      <c r="E4538" t="str">
        <f>HYPERLINK("https://github.com/TeamNewPipe/NewPipe","show")</f>
        <v>show</v>
      </c>
      <c r="F4538" t="str">
        <f>HYPERLINK("https://github.com/TeamNewPipe/NewPipe/releases","show")</f>
        <v>show</v>
      </c>
    </row>
    <row r="4539" spans="1:6">
      <c r="A4539" t="s">
        <v>13509</v>
      </c>
      <c r="B4539" t="s">
        <v>13510</v>
      </c>
      <c r="C4539" t="s">
        <v>13511</v>
      </c>
      <c r="D4539" t="str">
        <f>HYPERLINK("https://github.com/TeamNewPipe/NewPipe/issues/6977","show")</f>
        <v>show</v>
      </c>
      <c r="E4539" t="str">
        <f>HYPERLINK("https://github.com/TeamNewPipe/NewPipe","show")</f>
        <v>show</v>
      </c>
      <c r="F4539" t="str">
        <f>HYPERLINK("https://github.com/TeamNewPipe/NewPipe/releases","show")</f>
        <v>show</v>
      </c>
    </row>
    <row r="4540" spans="1:6">
      <c r="A4540" t="s">
        <v>13512</v>
      </c>
      <c r="B4540" t="s">
        <v>13513</v>
      </c>
      <c r="C4540" t="s">
        <v>13514</v>
      </c>
      <c r="D4540" t="str">
        <f>HYPERLINK("https://github.com/TeamNewPipe/NewPipe/issues/6976","show")</f>
        <v>show</v>
      </c>
      <c r="E4540" t="str">
        <f>HYPERLINK("https://github.com/TeamNewPipe/NewPipe","show")</f>
        <v>show</v>
      </c>
      <c r="F4540" t="str">
        <f>HYPERLINK("https://github.com/TeamNewPipe/NewPipe/releases","show")</f>
        <v>show</v>
      </c>
    </row>
    <row r="4541" spans="1:6">
      <c r="A4541" t="s">
        <v>13515</v>
      </c>
      <c r="B4541" t="s">
        <v>13516</v>
      </c>
      <c r="C4541" t="s">
        <v>13517</v>
      </c>
      <c r="D4541" t="str">
        <f>HYPERLINK("https://github.com/aws-amplify/amplify-android/issues/1464","show")</f>
        <v>show</v>
      </c>
      <c r="E4541" t="str">
        <f>HYPERLINK("https://github.com/aws-amplify/amplify-android","show")</f>
        <v>show</v>
      </c>
      <c r="F4541" t="str">
        <f>HYPERLINK("https://github.com/aws-amplify/amplify-android/releases","show")</f>
        <v>show</v>
      </c>
    </row>
    <row r="4542" spans="1:6">
      <c r="A4542" t="s">
        <v>13518</v>
      </c>
      <c r="B4542" t="s">
        <v>13519</v>
      </c>
      <c r="C4542" t="s">
        <v>13520</v>
      </c>
      <c r="D4542" t="str">
        <f>HYPERLINK("https://github.com/PojavLauncherTeam/PojavLauncher/issues/1901","show")</f>
        <v>show</v>
      </c>
      <c r="E4542" t="str">
        <f>HYPERLINK("https://github.com/PojavLauncherTeam/PojavLauncher","show")</f>
        <v>show</v>
      </c>
      <c r="F4542" t="str">
        <f>HYPERLINK("https://github.com/PojavLauncherTeam/PojavLauncher/releases","show")</f>
        <v>show</v>
      </c>
    </row>
    <row r="4543" spans="1:6">
      <c r="A4543" t="s">
        <v>13521</v>
      </c>
      <c r="B4543" t="s">
        <v>13522</v>
      </c>
      <c r="C4543" t="s">
        <v>13523</v>
      </c>
      <c r="D4543" t="str">
        <f>HYPERLINK("https://github.com/PojavLauncherTeam/PojavLauncher/issues/1898","show")</f>
        <v>show</v>
      </c>
      <c r="E4543" t="str">
        <f>HYPERLINK("https://github.com/PojavLauncherTeam/PojavLauncher","show")</f>
        <v>show</v>
      </c>
      <c r="F4543" t="str">
        <f>HYPERLINK("https://github.com/PojavLauncherTeam/PojavLauncher/releases","show")</f>
        <v>show</v>
      </c>
    </row>
    <row r="4544" spans="1:6">
      <c r="A4544" t="s">
        <v>13524</v>
      </c>
      <c r="B4544" t="s">
        <v>13525</v>
      </c>
      <c r="C4544" t="s">
        <v>13526</v>
      </c>
      <c r="D4544" t="str">
        <f>HYPERLINK("https://github.com/Anuken/Mindustry/issues/5857","show")</f>
        <v>show</v>
      </c>
      <c r="E4544" t="str">
        <f>HYPERLINK("https://github.com/Anuken/Mindustry","show")</f>
        <v>show</v>
      </c>
      <c r="F4544" t="str">
        <f>HYPERLINK("https://github.com/Anuken/Mindustry/releases","show")</f>
        <v>show</v>
      </c>
    </row>
    <row r="4545" spans="1:6">
      <c r="A4545" t="s">
        <v>13527</v>
      </c>
      <c r="B4545" t="s">
        <v>13528</v>
      </c>
      <c r="C4545" t="s">
        <v>13529</v>
      </c>
      <c r="D4545" t="str">
        <f>HYPERLINK("https://github.com/TeamNewPipe/NewPipe/issues/6971","show")</f>
        <v>show</v>
      </c>
      <c r="E4545" t="str">
        <f>HYPERLINK("https://github.com/TeamNewPipe/NewPipe","show")</f>
        <v>show</v>
      </c>
      <c r="F4545" t="str">
        <f>HYPERLINK("https://github.com/TeamNewPipe/NewPipe/releases","show")</f>
        <v>show</v>
      </c>
    </row>
    <row r="4546" spans="1:6">
      <c r="A4546" t="s">
        <v>13530</v>
      </c>
      <c r="B4546" t="s">
        <v>13531</v>
      </c>
      <c r="C4546" t="s">
        <v>13532</v>
      </c>
      <c r="D4546" t="str">
        <f>HYPERLINK("https://github.com/Benji377/SocyMusic/issues/170","show")</f>
        <v>show</v>
      </c>
      <c r="E4546" t="str">
        <f>HYPERLINK("https://github.com/Benji377/SocyMusic","show")</f>
        <v>show</v>
      </c>
      <c r="F4546" t="str">
        <f>HYPERLINK("https://github.com/Benji377/SocyMusic/releases","show")</f>
        <v>show</v>
      </c>
    </row>
    <row r="4547" spans="1:6">
      <c r="A4547" t="s">
        <v>13533</v>
      </c>
      <c r="B4547" t="s">
        <v>13534</v>
      </c>
      <c r="C4547" t="s">
        <v>13535</v>
      </c>
      <c r="D4547" t="str">
        <f>HYPERLINK("https://github.com/nextcloud/android/issues/8893","show")</f>
        <v>show</v>
      </c>
      <c r="E4547" t="str">
        <f>HYPERLINK("https://github.com/nextcloud/android","show")</f>
        <v>show</v>
      </c>
      <c r="F4547" t="str">
        <f>HYPERLINK("https://github.com/nextcloud/android/releases","show")</f>
        <v>show</v>
      </c>
    </row>
    <row r="4548" spans="1:6">
      <c r="A4548" t="s">
        <v>13536</v>
      </c>
      <c r="B4548" t="s">
        <v>13537</v>
      </c>
      <c r="C4548" t="s">
        <v>13538</v>
      </c>
      <c r="D4548" t="str">
        <f>HYPERLINK("https://github.com/PojavLauncherTeam/PojavLauncher/issues/1892","show")</f>
        <v>show</v>
      </c>
      <c r="E4548" t="str">
        <f>HYPERLINK("https://github.com/PojavLauncherTeam/PojavLauncher","show")</f>
        <v>show</v>
      </c>
      <c r="F4548" t="str">
        <f>HYPERLINK("https://github.com/PojavLauncherTeam/PojavLauncher/releases","show")</f>
        <v>show</v>
      </c>
    </row>
    <row r="4549" spans="1:6">
      <c r="A4549" t="s">
        <v>13539</v>
      </c>
      <c r="B4549" t="s">
        <v>13540</v>
      </c>
      <c r="C4549" t="s">
        <v>13541</v>
      </c>
      <c r="D4549" t="str">
        <f>HYPERLINK("https://github.com/TeamNewPipe/NewPipe/issues/6967","show")</f>
        <v>show</v>
      </c>
      <c r="E4549" t="str">
        <f>HYPERLINK("https://github.com/TeamNewPipe/NewPipe","show")</f>
        <v>show</v>
      </c>
      <c r="F4549" t="str">
        <f>HYPERLINK("https://github.com/TeamNewPipe/NewPipe/releases","show")</f>
        <v>show</v>
      </c>
    </row>
    <row r="4550" spans="1:6">
      <c r="A4550" t="s">
        <v>13542</v>
      </c>
      <c r="B4550" t="s">
        <v>13543</v>
      </c>
      <c r="C4550" t="s">
        <v>13544</v>
      </c>
      <c r="D4550" t="str">
        <f>HYPERLINK("https://github.com/PojavLauncherTeam/PojavLauncher/issues/1889","show")</f>
        <v>show</v>
      </c>
      <c r="E4550" t="str">
        <f>HYPERLINK("https://github.com/PojavLauncherTeam/PojavLauncher","show")</f>
        <v>show</v>
      </c>
      <c r="F4550" t="str">
        <f>HYPERLINK("https://github.com/PojavLauncherTeam/PojavLauncher/releases","show")</f>
        <v>show</v>
      </c>
    </row>
    <row r="4551" spans="1:6">
      <c r="A4551" t="s">
        <v>13545</v>
      </c>
      <c r="B4551" t="s">
        <v>13546</v>
      </c>
      <c r="C4551" t="s">
        <v>13547</v>
      </c>
      <c r="D4551" t="str">
        <f>HYPERLINK("https://github.com/Anuken/Mindustry/issues/5850","show")</f>
        <v>show</v>
      </c>
      <c r="E4551" t="str">
        <f>HYPERLINK("https://github.com/Anuken/Mindustry","show")</f>
        <v>show</v>
      </c>
      <c r="F4551" t="str">
        <f>HYPERLINK("https://github.com/Anuken/Mindustry/releases","show")</f>
        <v>show</v>
      </c>
    </row>
    <row r="4552" spans="1:6">
      <c r="A4552" t="s">
        <v>13548</v>
      </c>
      <c r="B4552" t="s">
        <v>13549</v>
      </c>
      <c r="C4552" t="s">
        <v>13550</v>
      </c>
      <c r="D4552" t="str">
        <f>HYPERLINK("https://github.com/PojavLauncherTeam/PojavLauncher/issues/1887","show")</f>
        <v>show</v>
      </c>
      <c r="E4552" t="str">
        <f>HYPERLINK("https://github.com/PojavLauncherTeam/PojavLauncher","show")</f>
        <v>show</v>
      </c>
      <c r="F4552" t="str">
        <f>HYPERLINK("https://github.com/PojavLauncherTeam/PojavLauncher/releases","show")</f>
        <v>show</v>
      </c>
    </row>
    <row r="4553" spans="1:6">
      <c r="A4553" t="s">
        <v>13551</v>
      </c>
      <c r="B4553" t="s">
        <v>13552</v>
      </c>
      <c r="C4553" t="s">
        <v>13553</v>
      </c>
      <c r="D4553" t="str">
        <f>HYPERLINK("https://github.com/Anuken/Mindustry/issues/5847","show")</f>
        <v>show</v>
      </c>
      <c r="E4553" t="str">
        <f>HYPERLINK("https://github.com/Anuken/Mindustry","show")</f>
        <v>show</v>
      </c>
      <c r="F4553" t="str">
        <f>HYPERLINK("https://github.com/Anuken/Mindustry/releases","show")</f>
        <v>show</v>
      </c>
    </row>
    <row r="4554" spans="1:6">
      <c r="A4554" t="s">
        <v>13554</v>
      </c>
      <c r="B4554" t="s">
        <v>13555</v>
      </c>
      <c r="C4554" t="s">
        <v>13556</v>
      </c>
      <c r="D4554" t="str">
        <f>HYPERLINK("https://github.com/TeamNewPipe/NewPipe/issues/6963","show")</f>
        <v>show</v>
      </c>
      <c r="E4554" t="str">
        <f>HYPERLINK("https://github.com/TeamNewPipe/NewPipe","show")</f>
        <v>show</v>
      </c>
      <c r="F4554" t="str">
        <f>HYPERLINK("https://github.com/TeamNewPipe/NewPipe/releases","show")</f>
        <v>show</v>
      </c>
    </row>
    <row r="4555" spans="1:6">
      <c r="A4555" t="s">
        <v>13557</v>
      </c>
      <c r="B4555" t="s">
        <v>13558</v>
      </c>
      <c r="C4555" t="s">
        <v>13559</v>
      </c>
      <c r="D4555" t="str">
        <f>HYPERLINK("https://github.com/PojavLauncherTeam/PojavLauncher/issues/1886","show")</f>
        <v>show</v>
      </c>
      <c r="E4555" t="str">
        <f>HYPERLINK("https://github.com/PojavLauncherTeam/PojavLauncher","show")</f>
        <v>show</v>
      </c>
      <c r="F4555" t="str">
        <f>HYPERLINK("https://github.com/PojavLauncherTeam/PojavLauncher/releases","show")</f>
        <v>show</v>
      </c>
    </row>
    <row r="4556" spans="1:6">
      <c r="A4556" t="s">
        <v>13560</v>
      </c>
      <c r="B4556" t="s">
        <v>13561</v>
      </c>
      <c r="C4556" t="s">
        <v>13562</v>
      </c>
      <c r="D4556" t="str">
        <f>HYPERLINK("https://github.com/inaturalist/iNaturalistAndroid/issues/1104","show")</f>
        <v>show</v>
      </c>
      <c r="E4556" t="str">
        <f>HYPERLINK("https://github.com/inaturalist/iNaturalistAndroid","show")</f>
        <v>show</v>
      </c>
      <c r="F4556" t="str">
        <f>HYPERLINK("https://github.com/inaturalist/iNaturalistAndroid/releases","show")</f>
        <v>show</v>
      </c>
    </row>
    <row r="4557" spans="1:6">
      <c r="A4557" t="s">
        <v>13563</v>
      </c>
      <c r="B4557" t="s">
        <v>13230</v>
      </c>
      <c r="C4557" t="s">
        <v>13564</v>
      </c>
      <c r="D4557" t="str">
        <f>HYPERLINK("https://github.com/inaturalist/iNaturalistAndroid/issues/1103","show")</f>
        <v>show</v>
      </c>
      <c r="E4557" t="str">
        <f>HYPERLINK("https://github.com/inaturalist/iNaturalistAndroid","show")</f>
        <v>show</v>
      </c>
      <c r="F4557" t="str">
        <f>HYPERLINK("https://github.com/inaturalist/iNaturalistAndroid/releases","show")</f>
        <v>show</v>
      </c>
    </row>
    <row r="4558" spans="1:6">
      <c r="A4558" t="s">
        <v>13565</v>
      </c>
      <c r="B4558" t="s">
        <v>13566</v>
      </c>
      <c r="C4558" t="s">
        <v>13567</v>
      </c>
      <c r="D4558" t="str">
        <f>HYPERLINK("https://github.com/ankidroid/Anki-Android/issues/9442","show")</f>
        <v>show</v>
      </c>
      <c r="E4558" t="str">
        <f>HYPERLINK("https://github.com/ankidroid/Anki-Android","show")</f>
        <v>show</v>
      </c>
      <c r="F4558" t="str">
        <f>HYPERLINK("https://github.com/ankidroid/Anki-Android/releases","show")</f>
        <v>show</v>
      </c>
    </row>
    <row r="4559" spans="1:6">
      <c r="A4559" t="s">
        <v>13568</v>
      </c>
      <c r="B4559" t="s">
        <v>13569</v>
      </c>
      <c r="C4559" t="s">
        <v>13570</v>
      </c>
      <c r="D4559" t="str">
        <f>HYPERLINK("https://github.com/mit-cml/appinventor-sources/issues/2539","show")</f>
        <v>show</v>
      </c>
      <c r="E4559" t="str">
        <f>HYPERLINK("https://github.com/mit-cml/appinventor-sources","show")</f>
        <v>show</v>
      </c>
      <c r="F4559" t="str">
        <f>HYPERLINK("https://github.com/mit-cml/appinventor-sources/releases","show")</f>
        <v>show</v>
      </c>
    </row>
    <row r="4560" spans="1:6">
      <c r="A4560" t="s">
        <v>13571</v>
      </c>
      <c r="B4560" t="s">
        <v>13572</v>
      </c>
      <c r="C4560" t="s">
        <v>13573</v>
      </c>
      <c r="D4560" t="str">
        <f>HYPERLINK("https://github.com/Anuken/Mindustry/issues/5838","show")</f>
        <v>show</v>
      </c>
      <c r="E4560" t="str">
        <f>HYPERLINK("https://github.com/Anuken/Mindustry","show")</f>
        <v>show</v>
      </c>
      <c r="F4560" t="str">
        <f>HYPERLINK("https://github.com/Anuken/Mindustry/releases","show")</f>
        <v>show</v>
      </c>
    </row>
    <row r="4561" spans="1:6">
      <c r="A4561" t="s">
        <v>13574</v>
      </c>
      <c r="B4561" t="s">
        <v>13575</v>
      </c>
      <c r="C4561" t="s">
        <v>13576</v>
      </c>
      <c r="D4561" t="str">
        <f>HYPERLINK("https://github.com/PojavLauncherTeam/PojavLauncher/issues/1881","show")</f>
        <v>show</v>
      </c>
      <c r="E4561" t="str">
        <f>HYPERLINK("https://github.com/PojavLauncherTeam/PojavLauncher","show")</f>
        <v>show</v>
      </c>
      <c r="F4561" t="str">
        <f>HYPERLINK("https://github.com/PojavLauncherTeam/PojavLauncher/releases","show")</f>
        <v>show</v>
      </c>
    </row>
    <row r="4562" spans="1:6">
      <c r="A4562" t="s">
        <v>13577</v>
      </c>
      <c r="B4562" t="s">
        <v>13578</v>
      </c>
      <c r="C4562" t="s">
        <v>13579</v>
      </c>
      <c r="D4562" t="str">
        <f>HYPERLINK("https://github.com/hackslash-nitp/Messsy-Admin/issues/52","show")</f>
        <v>show</v>
      </c>
      <c r="E4562" t="str">
        <f>HYPERLINK("https://github.com/hackslash-nitp/Messsy-Admin","show")</f>
        <v>show</v>
      </c>
      <c r="F4562" t="str">
        <f>HYPERLINK("https://github.com/hackslash-nitp/Messsy-Admin/releases","show")</f>
        <v>show</v>
      </c>
    </row>
    <row r="4563" spans="1:6">
      <c r="A4563" t="s">
        <v>13580</v>
      </c>
      <c r="B4563" t="s">
        <v>13581</v>
      </c>
      <c r="C4563" t="s">
        <v>13582</v>
      </c>
      <c r="D4563" t="str">
        <f>HYPERLINK("https://github.com/k9mail/k-9/issues/5600","show")</f>
        <v>show</v>
      </c>
      <c r="E4563" t="str">
        <f>HYPERLINK("https://github.com/k9mail/k-9","show")</f>
        <v>show</v>
      </c>
      <c r="F4563" t="str">
        <f>HYPERLINK("https://github.com/k9mail/k-9/releases","show")</f>
        <v>show</v>
      </c>
    </row>
    <row r="4564" spans="1:6">
      <c r="A4564" t="s">
        <v>13583</v>
      </c>
      <c r="B4564" t="s">
        <v>13584</v>
      </c>
      <c r="C4564" t="s">
        <v>13585</v>
      </c>
      <c r="D4564" t="str">
        <f>HYPERLINK("https://github.com/bk138/droidVNC-NG/issues/32","show")</f>
        <v>show</v>
      </c>
      <c r="E4564" t="str">
        <f>HYPERLINK("https://github.com/bk138/droidVNC-NG","show")</f>
        <v>show</v>
      </c>
      <c r="F4564" t="str">
        <f>HYPERLINK("https://github.com/bk138/droidVNC-NG/releases","show")</f>
        <v>show</v>
      </c>
    </row>
    <row r="4565" spans="1:6">
      <c r="A4565" t="s">
        <v>13586</v>
      </c>
      <c r="B4565" t="s">
        <v>13587</v>
      </c>
      <c r="C4565" t="s">
        <v>13588</v>
      </c>
      <c r="D4565" t="str">
        <f>HYPERLINK("https://github.com/Anuken/Mindustry/issues/5833","show")</f>
        <v>show</v>
      </c>
      <c r="E4565" t="str">
        <f>HYPERLINK("https://github.com/Anuken/Mindustry","show")</f>
        <v>show</v>
      </c>
      <c r="F4565" t="str">
        <f>HYPERLINK("https://github.com/Anuken/Mindustry/releases","show")</f>
        <v>show</v>
      </c>
    </row>
    <row r="4566" spans="1:6">
      <c r="A4566" t="s">
        <v>13589</v>
      </c>
      <c r="B4566" t="s">
        <v>13590</v>
      </c>
      <c r="C4566" t="s">
        <v>13591</v>
      </c>
      <c r="D4566" t="str">
        <f>HYPERLINK("https://github.com/Anuken/Mindustry/issues/5831","show")</f>
        <v>show</v>
      </c>
      <c r="E4566" t="str">
        <f>HYPERLINK("https://github.com/Anuken/Mindustry","show")</f>
        <v>show</v>
      </c>
      <c r="F4566" t="str">
        <f>HYPERLINK("https://github.com/Anuken/Mindustry/releases","show")</f>
        <v>show</v>
      </c>
    </row>
    <row r="4567" spans="1:6">
      <c r="A4567" t="s">
        <v>13592</v>
      </c>
      <c r="B4567" t="s">
        <v>4063</v>
      </c>
      <c r="C4567" t="s">
        <v>13593</v>
      </c>
      <c r="D4567" t="str">
        <f>HYPERLINK("https://github.com/oliexdev/openScale/issues/768","show")</f>
        <v>show</v>
      </c>
      <c r="E4567" t="str">
        <f>HYPERLINK("https://github.com/oliexdev/openScale","show")</f>
        <v>show</v>
      </c>
      <c r="F4567" t="str">
        <f>HYPERLINK("https://github.com/oliexdev/openScale/releases","show")</f>
        <v>show</v>
      </c>
    </row>
    <row r="4568" spans="1:6">
      <c r="A4568" t="s">
        <v>13594</v>
      </c>
      <c r="B4568" t="s">
        <v>13595</v>
      </c>
      <c r="C4568" t="s">
        <v>13596</v>
      </c>
      <c r="D4568" t="str">
        <f>HYPERLINK("https://github.com/Anuken/Mindustry/issues/5826","show")</f>
        <v>show</v>
      </c>
      <c r="E4568" t="str">
        <f>HYPERLINK("https://github.com/Anuken/Mindustry","show")</f>
        <v>show</v>
      </c>
      <c r="F4568" t="str">
        <f>HYPERLINK("https://github.com/Anuken/Mindustry/releases","show")</f>
        <v>show</v>
      </c>
    </row>
    <row r="4569" spans="1:6">
      <c r="A4569" t="s">
        <v>13597</v>
      </c>
      <c r="B4569" t="s">
        <v>13598</v>
      </c>
      <c r="C4569" t="s">
        <v>13599</v>
      </c>
      <c r="D4569" t="str">
        <f>HYPERLINK("https://github.com/k9mail/k-9/issues/5595","show")</f>
        <v>show</v>
      </c>
      <c r="E4569" t="str">
        <f>HYPERLINK("https://github.com/k9mail/k-9","show")</f>
        <v>show</v>
      </c>
      <c r="F4569" t="str">
        <f>HYPERLINK("https://github.com/k9mail/k-9/releases","show")</f>
        <v>show</v>
      </c>
    </row>
    <row r="4570" spans="1:6">
      <c r="A4570" t="s">
        <v>13600</v>
      </c>
      <c r="B4570" t="s">
        <v>13601</v>
      </c>
      <c r="C4570" t="s">
        <v>13602</v>
      </c>
      <c r="D4570" t="str">
        <f>HYPERLINK("https://github.com/PojavLauncherTeam/PojavLauncher/issues/1875","show")</f>
        <v>show</v>
      </c>
      <c r="E4570" t="str">
        <f>HYPERLINK("https://github.com/PojavLauncherTeam/PojavLauncher","show")</f>
        <v>show</v>
      </c>
      <c r="F4570" t="str">
        <f>HYPERLINK("https://github.com/PojavLauncherTeam/PojavLauncher/releases","show")</f>
        <v>show</v>
      </c>
    </row>
    <row r="4571" spans="1:6">
      <c r="A4571" t="s">
        <v>13603</v>
      </c>
      <c r="B4571" t="s">
        <v>13604</v>
      </c>
      <c r="C4571" t="s">
        <v>13605</v>
      </c>
      <c r="D4571" t="str">
        <f>HYPERLINK("https://github.com/TeamNewPipe/NewPipe/issues/6951","show")</f>
        <v>show</v>
      </c>
      <c r="E4571" t="str">
        <f>HYPERLINK("https://github.com/TeamNewPipe/NewPipe","show")</f>
        <v>show</v>
      </c>
      <c r="F4571" t="str">
        <f>HYPERLINK("https://github.com/TeamNewPipe/NewPipe/releases","show")</f>
        <v>show</v>
      </c>
    </row>
    <row r="4572" spans="1:6">
      <c r="A4572" t="s">
        <v>13606</v>
      </c>
      <c r="B4572" t="s">
        <v>13607</v>
      </c>
      <c r="C4572" t="s">
        <v>13608</v>
      </c>
      <c r="D4572" t="str">
        <f>HYPERLINK("https://github.com/cgeo/cgeo/issues/11504","show")</f>
        <v>show</v>
      </c>
      <c r="E4572" t="str">
        <f>HYPERLINK("https://github.com/cgeo/cgeo","show")</f>
        <v>show</v>
      </c>
      <c r="F4572" t="str">
        <f>HYPERLINK("https://github.com/cgeo/cgeo/releases","show")</f>
        <v>show</v>
      </c>
    </row>
    <row r="4573" spans="1:6">
      <c r="A4573" t="s">
        <v>13609</v>
      </c>
      <c r="B4573" t="s">
        <v>13610</v>
      </c>
      <c r="C4573" t="s">
        <v>13611</v>
      </c>
      <c r="D4573" t="str">
        <f>HYPERLINK("https://github.com/Anuken/Mindustry/issues/5821","show")</f>
        <v>show</v>
      </c>
      <c r="E4573" t="str">
        <f>HYPERLINK("https://github.com/Anuken/Mindustry","show")</f>
        <v>show</v>
      </c>
      <c r="F4573" t="str">
        <f>HYPERLINK("https://github.com/Anuken/Mindustry/releases","show")</f>
        <v>show</v>
      </c>
    </row>
    <row r="4574" spans="1:6">
      <c r="A4574" t="s">
        <v>13612</v>
      </c>
      <c r="B4574" t="s">
        <v>13613</v>
      </c>
      <c r="C4574" t="s">
        <v>13614</v>
      </c>
      <c r="D4574" t="str">
        <f>HYPERLINK("https://github.com/LawnchairLauncher/lawnchair/issues/2211","show")</f>
        <v>show</v>
      </c>
      <c r="E4574" t="str">
        <f>HYPERLINK("https://github.com/LawnchairLauncher/lawnchair","show")</f>
        <v>show</v>
      </c>
      <c r="F4574" t="str">
        <f>HYPERLINK("https://github.com/LawnchairLauncher/lawnchair/releases","show")</f>
        <v>show</v>
      </c>
    </row>
    <row r="4575" spans="1:6">
      <c r="A4575" t="s">
        <v>13615</v>
      </c>
      <c r="B4575" t="s">
        <v>13616</v>
      </c>
      <c r="C4575" t="s">
        <v>13617</v>
      </c>
      <c r="D4575" t="str">
        <f>HYPERLINK("https://github.com/LawnchairLauncher/lawnchair/issues/2210","show")</f>
        <v>show</v>
      </c>
      <c r="E4575" t="str">
        <f>HYPERLINK("https://github.com/LawnchairLauncher/lawnchair","show")</f>
        <v>show</v>
      </c>
      <c r="F4575" t="str">
        <f>HYPERLINK("https://github.com/LawnchairLauncher/lawnchair/releases","show")</f>
        <v>show</v>
      </c>
    </row>
    <row r="4576" spans="1:6">
      <c r="A4576" t="s">
        <v>13618</v>
      </c>
      <c r="B4576" t="s">
        <v>13619</v>
      </c>
      <c r="C4576" t="s">
        <v>13620</v>
      </c>
      <c r="D4576" t="str">
        <f>HYPERLINK("https://github.com/Anuken/Mindustry/issues/5818","show")</f>
        <v>show</v>
      </c>
      <c r="E4576" t="str">
        <f>HYPERLINK("https://github.com/Anuken/Mindustry","show")</f>
        <v>show</v>
      </c>
      <c r="F4576" t="str">
        <f>HYPERLINK("https://github.com/Anuken/Mindustry/releases","show")</f>
        <v>show</v>
      </c>
    </row>
    <row r="4577" spans="1:6">
      <c r="A4577" t="s">
        <v>13621</v>
      </c>
      <c r="B4577" t="s">
        <v>13622</v>
      </c>
      <c r="C4577" t="s">
        <v>13623</v>
      </c>
      <c r="D4577" t="str">
        <f>HYPERLINK("https://github.com/NordicSemiconductor/Android-nRF-Mesh-Library/issues/447","show")</f>
        <v>show</v>
      </c>
      <c r="E4577" t="str">
        <f>HYPERLINK("https://github.com/NordicSemiconductor/Android-nRF-Mesh-Library","show")</f>
        <v>show</v>
      </c>
      <c r="F4577" t="str">
        <f>HYPERLINK("https://github.com/NordicSemiconductor/Android-nRF-Mesh-Library/releases","show")</f>
        <v>show</v>
      </c>
    </row>
    <row r="4578" spans="1:6">
      <c r="A4578" t="s">
        <v>13624</v>
      </c>
      <c r="B4578" t="s">
        <v>13625</v>
      </c>
      <c r="C4578" t="s">
        <v>13626</v>
      </c>
      <c r="D4578" t="str">
        <f>HYPERLINK("https://github.com/muxinc/mux-stats-sdk-exoplayer/issues/144","show")</f>
        <v>show</v>
      </c>
      <c r="E4578" t="str">
        <f>HYPERLINK("https://github.com/muxinc/mux-stats-sdk-exoplayer","show")</f>
        <v>show</v>
      </c>
      <c r="F4578" t="str">
        <f>HYPERLINK("https://github.com/muxinc/mux-stats-sdk-exoplayer/releases","show")</f>
        <v>show</v>
      </c>
    </row>
    <row r="4579" spans="1:6">
      <c r="A4579" t="s">
        <v>13627</v>
      </c>
      <c r="B4579" t="s">
        <v>13628</v>
      </c>
      <c r="C4579" t="s">
        <v>13629</v>
      </c>
      <c r="D4579" t="str">
        <f>HYPERLINK("https://github.com/Blankj/AndroidUtilCode/issues/1536","show")</f>
        <v>show</v>
      </c>
      <c r="E4579" t="str">
        <f>HYPERLINK("https://github.com/Blankj/AndroidUtilCode","show")</f>
        <v>show</v>
      </c>
      <c r="F4579" t="str">
        <f>HYPERLINK("https://github.com/Blankj/AndroidUtilCode/releases","show")</f>
        <v>show</v>
      </c>
    </row>
    <row r="4580" spans="1:6">
      <c r="A4580" t="s">
        <v>13630</v>
      </c>
      <c r="B4580" t="s">
        <v>13631</v>
      </c>
      <c r="C4580" t="s">
        <v>13632</v>
      </c>
      <c r="D4580" t="str">
        <f>HYPERLINK("https://github.com/Anuken/Mindustry/issues/5812","show")</f>
        <v>show</v>
      </c>
      <c r="E4580" t="str">
        <f>HYPERLINK("https://github.com/Anuken/Mindustry","show")</f>
        <v>show</v>
      </c>
      <c r="F4580" t="str">
        <f>HYPERLINK("https://github.com/Anuken/Mindustry/releases","show")</f>
        <v>show</v>
      </c>
    </row>
    <row r="4581" spans="1:6">
      <c r="A4581" t="s">
        <v>13633</v>
      </c>
      <c r="B4581" t="s">
        <v>13634</v>
      </c>
      <c r="C4581" t="s">
        <v>13635</v>
      </c>
      <c r="D4581" t="str">
        <f>HYPERLINK("https://github.com/PojavLauncherTeam/PojavLauncher/issues/1868","show")</f>
        <v>show</v>
      </c>
      <c r="E4581" t="str">
        <f>HYPERLINK("https://github.com/PojavLauncherTeam/PojavLauncher","show")</f>
        <v>show</v>
      </c>
      <c r="F4581" t="str">
        <f>HYPERLINK("https://github.com/PojavLauncherTeam/PojavLauncher/releases","show")</f>
        <v>show</v>
      </c>
    </row>
    <row r="4582" spans="1:6">
      <c r="A4582" t="s">
        <v>13636</v>
      </c>
      <c r="B4582" t="s">
        <v>13637</v>
      </c>
      <c r="C4582" t="s">
        <v>13638</v>
      </c>
      <c r="D4582" t="str">
        <f>HYPERLINK("https://github.com/Anuken/Mindustry/issues/5804","show")</f>
        <v>show</v>
      </c>
      <c r="E4582" t="str">
        <f>HYPERLINK("https://github.com/Anuken/Mindustry","show")</f>
        <v>show</v>
      </c>
      <c r="F4582" t="str">
        <f>HYPERLINK("https://github.com/Anuken/Mindustry/releases","show")</f>
        <v>show</v>
      </c>
    </row>
    <row r="4583" spans="1:6">
      <c r="A4583" t="s">
        <v>13639</v>
      </c>
      <c r="B4583" t="s">
        <v>13640</v>
      </c>
      <c r="C4583" t="s">
        <v>13641</v>
      </c>
      <c r="D4583" t="str">
        <f>HYPERLINK("https://github.com/Anuken/Mindustry/issues/5803","show")</f>
        <v>show</v>
      </c>
      <c r="E4583" t="str">
        <f>HYPERLINK("https://github.com/Anuken/Mindustry","show")</f>
        <v>show</v>
      </c>
      <c r="F4583" t="str">
        <f>HYPERLINK("https://github.com/Anuken/Mindustry/releases","show")</f>
        <v>show</v>
      </c>
    </row>
    <row r="4584" spans="1:6">
      <c r="A4584" t="s">
        <v>13642</v>
      </c>
      <c r="B4584" t="s">
        <v>13643</v>
      </c>
      <c r="C4584" t="s">
        <v>13644</v>
      </c>
      <c r="D4584" t="str">
        <f>HYPERLINK("https://github.com/Anuken/Mindustry/issues/5802","show")</f>
        <v>show</v>
      </c>
      <c r="E4584" t="str">
        <f>HYPERLINK("https://github.com/Anuken/Mindustry","show")</f>
        <v>show</v>
      </c>
      <c r="F4584" t="str">
        <f>HYPERLINK("https://github.com/Anuken/Mindustry/releases","show")</f>
        <v>show</v>
      </c>
    </row>
    <row r="4585" spans="1:6">
      <c r="A4585" t="s">
        <v>13645</v>
      </c>
      <c r="B4585" t="s">
        <v>13646</v>
      </c>
      <c r="C4585" t="s">
        <v>13647</v>
      </c>
      <c r="D4585" t="str">
        <f>HYPERLINK("https://github.com/Anuken/Mindustry/issues/5797","show")</f>
        <v>show</v>
      </c>
      <c r="E4585" t="str">
        <f>HYPERLINK("https://github.com/Anuken/Mindustry","show")</f>
        <v>show</v>
      </c>
      <c r="F4585" t="str">
        <f>HYPERLINK("https://github.com/Anuken/Mindustry/releases","show")</f>
        <v>show</v>
      </c>
    </row>
    <row r="4586" spans="1:6">
      <c r="A4586" t="s">
        <v>13648</v>
      </c>
      <c r="B4586" t="s">
        <v>13649</v>
      </c>
      <c r="C4586" t="s">
        <v>13650</v>
      </c>
      <c r="D4586" t="str">
        <f>HYPERLINK("https://github.com/GoogleCloudPlatform/fda-mystudies/issues/4033","show")</f>
        <v>show</v>
      </c>
      <c r="E4586" t="str">
        <f>HYPERLINK("https://github.com/GoogleCloudPlatform/fda-mystudies","show")</f>
        <v>show</v>
      </c>
      <c r="F4586" t="str">
        <f>HYPERLINK("https://github.com/GoogleCloudPlatform/fda-mystudies/releases","show")</f>
        <v>show</v>
      </c>
    </row>
    <row r="4587" spans="1:6">
      <c r="A4587" t="s">
        <v>13651</v>
      </c>
      <c r="B4587" t="s">
        <v>13652</v>
      </c>
      <c r="C4587" t="s">
        <v>13653</v>
      </c>
      <c r="D4587" t="str">
        <f>HYPERLINK("https://github.com/material-components/material-components-android/issues/2339","show")</f>
        <v>show</v>
      </c>
      <c r="E4587" t="str">
        <f>HYPERLINK("https://github.com/material-components/material-components-android","show")</f>
        <v>show</v>
      </c>
      <c r="F4587" t="str">
        <f>HYPERLINK("https://github.com/material-components/material-components-android/releases","show")</f>
        <v>show</v>
      </c>
    </row>
    <row r="4588" spans="1:6">
      <c r="A4588" t="s">
        <v>13654</v>
      </c>
      <c r="B4588" t="s">
        <v>13655</v>
      </c>
      <c r="C4588" t="s">
        <v>13656</v>
      </c>
      <c r="D4588" t="str">
        <f>HYPERLINK("https://github.com/TeamNewPipe/NewPipe/issues/6939","show")</f>
        <v>show</v>
      </c>
      <c r="E4588" t="str">
        <f>HYPERLINK("https://github.com/TeamNewPipe/NewPipe","show")</f>
        <v>show</v>
      </c>
      <c r="F4588" t="str">
        <f>HYPERLINK("https://github.com/TeamNewPipe/NewPipe/releases","show")</f>
        <v>show</v>
      </c>
    </row>
    <row r="4589" spans="1:6">
      <c r="A4589" t="s">
        <v>13657</v>
      </c>
      <c r="B4589" t="s">
        <v>13658</v>
      </c>
      <c r="C4589" t="s">
        <v>13659</v>
      </c>
      <c r="D4589" t="str">
        <f>HYPERLINK("https://github.com/guolindev/PermissionX/issues/116","show")</f>
        <v>show</v>
      </c>
      <c r="E4589" t="str">
        <f>HYPERLINK("https://github.com/guolindev/PermissionX","show")</f>
        <v>show</v>
      </c>
      <c r="F4589" t="str">
        <f>HYPERLINK("https://github.com/guolindev/PermissionX/releases","show")</f>
        <v>show</v>
      </c>
    </row>
    <row r="4590" spans="1:6">
      <c r="A4590" t="s">
        <v>13660</v>
      </c>
      <c r="B4590" t="s">
        <v>13661</v>
      </c>
      <c r="C4590" t="s">
        <v>13662</v>
      </c>
      <c r="D4590" t="str">
        <f>HYPERLINK("https://github.com/Anuken/Mindustry/issues/5787","show")</f>
        <v>show</v>
      </c>
      <c r="E4590" t="str">
        <f>HYPERLINK("https://github.com/Anuken/Mindustry","show")</f>
        <v>show</v>
      </c>
      <c r="F4590" t="str">
        <f>HYPERLINK("https://github.com/Anuken/Mindustry/releases","show")</f>
        <v>show</v>
      </c>
    </row>
    <row r="4591" spans="1:6">
      <c r="A4591" t="s">
        <v>13663</v>
      </c>
      <c r="B4591" t="s">
        <v>13664</v>
      </c>
      <c r="C4591" t="s">
        <v>13665</v>
      </c>
      <c r="D4591" t="str">
        <f>HYPERLINK("https://github.com/inaturalist/iNaturalistAndroid/issues/1097","show")</f>
        <v>show</v>
      </c>
      <c r="E4591" t="str">
        <f>HYPERLINK("https://github.com/inaturalist/iNaturalistAndroid","show")</f>
        <v>show</v>
      </c>
      <c r="F4591" t="str">
        <f>HYPERLINK("https://github.com/inaturalist/iNaturalistAndroid/releases","show")</f>
        <v>show</v>
      </c>
    </row>
    <row r="4592" spans="1:6">
      <c r="A4592" t="s">
        <v>13666</v>
      </c>
      <c r="B4592" t="s">
        <v>13667</v>
      </c>
      <c r="C4592" t="s">
        <v>13668</v>
      </c>
      <c r="D4592" t="str">
        <f>HYPERLINK("https://github.com/Rapsssito/react-native-tcp-socket/issues/121","show")</f>
        <v>show</v>
      </c>
      <c r="E4592" t="str">
        <f>HYPERLINK("https://github.com/Rapsssito/react-native-tcp-socket","show")</f>
        <v>show</v>
      </c>
      <c r="F4592" t="str">
        <f>HYPERLINK("https://github.com/Rapsssito/react-native-tcp-socket/releases","show")</f>
        <v>show</v>
      </c>
    </row>
    <row r="4593" spans="1:6">
      <c r="A4593" t="s">
        <v>13669</v>
      </c>
      <c r="B4593" t="s">
        <v>13670</v>
      </c>
      <c r="C4593" t="s">
        <v>13671</v>
      </c>
      <c r="D4593" t="str">
        <f>HYPERLINK("https://github.com/PojavLauncherTeam/PojavLauncher/issues/1855","show")</f>
        <v>show</v>
      </c>
      <c r="E4593" t="str">
        <f>HYPERLINK("https://github.com/PojavLauncherTeam/PojavLauncher","show")</f>
        <v>show</v>
      </c>
      <c r="F4593" t="str">
        <f>HYPERLINK("https://github.com/PojavLauncherTeam/PojavLauncher/releases","show")</f>
        <v>show</v>
      </c>
    </row>
    <row r="4594" spans="1:6">
      <c r="A4594" t="s">
        <v>13672</v>
      </c>
      <c r="B4594" t="s">
        <v>13673</v>
      </c>
      <c r="C4594" t="s">
        <v>13674</v>
      </c>
      <c r="D4594" t="str">
        <f>HYPERLINK("https://github.com/Rapsssito/react-native-tcp-socket/issues/120","show")</f>
        <v>show</v>
      </c>
      <c r="E4594" t="str">
        <f>HYPERLINK("https://github.com/Rapsssito/react-native-tcp-socket","show")</f>
        <v>show</v>
      </c>
      <c r="F4594" t="str">
        <f>HYPERLINK("https://github.com/Rapsssito/react-native-tcp-socket/releases","show")</f>
        <v>show</v>
      </c>
    </row>
    <row r="4595" spans="1:6">
      <c r="A4595" t="s">
        <v>13675</v>
      </c>
      <c r="B4595" t="s">
        <v>13676</v>
      </c>
      <c r="C4595" t="s">
        <v>13677</v>
      </c>
      <c r="D4595" s="3" t="str">
        <f>HYPERLINK("https://github.com/Anuken/Mindustry/issues/5784","show")</f>
        <v>show</v>
      </c>
      <c r="E4595" t="str">
        <f>HYPERLINK("https://github.com/Anuken/Mindustry","show")</f>
        <v>show</v>
      </c>
      <c r="F4595" t="str">
        <f>HYPERLINK("https://github.com/Anuken/Mindustry/releases","show")</f>
        <v>show</v>
      </c>
    </row>
    <row r="4596" spans="1:6">
      <c r="A4596" t="s">
        <v>13678</v>
      </c>
      <c r="B4596" t="s">
        <v>13679</v>
      </c>
      <c r="C4596" t="s">
        <v>13680</v>
      </c>
      <c r="D4596" t="str">
        <f>HYPERLINK("https://github.com/Anuken/Mindustry/issues/5783","show")</f>
        <v>show</v>
      </c>
      <c r="E4596" t="str">
        <f>HYPERLINK("https://github.com/Anuken/Mindustry","show")</f>
        <v>show</v>
      </c>
      <c r="F4596" t="str">
        <f>HYPERLINK("https://github.com/Anuken/Mindustry/releases","show")</f>
        <v>show</v>
      </c>
    </row>
    <row r="4597" spans="1:6">
      <c r="A4597" t="s">
        <v>13681</v>
      </c>
      <c r="B4597" t="s">
        <v>13682</v>
      </c>
      <c r="C4597" t="s">
        <v>13683</v>
      </c>
      <c r="D4597" t="str">
        <f>HYPERLINK("https://github.com/Rapsssito/react-native-tcp-socket/issues/119","show")</f>
        <v>show</v>
      </c>
      <c r="E4597" t="str">
        <f>HYPERLINK("https://github.com/Rapsssito/react-native-tcp-socket","show")</f>
        <v>show</v>
      </c>
      <c r="F4597" t="str">
        <f>HYPERLINK("https://github.com/Rapsssito/react-native-tcp-socket/releases","show")</f>
        <v>show</v>
      </c>
    </row>
    <row r="4598" spans="1:6">
      <c r="A4598" t="s">
        <v>13684</v>
      </c>
      <c r="B4598" t="s">
        <v>13685</v>
      </c>
      <c r="C4598" t="s">
        <v>13686</v>
      </c>
      <c r="D4598" t="str">
        <f>HYPERLINK("https://github.com/PojavLauncherTeam/PojavLauncher/issues/1852","show")</f>
        <v>show</v>
      </c>
      <c r="E4598" t="str">
        <f>HYPERLINK("https://github.com/PojavLauncherTeam/PojavLauncher","show")</f>
        <v>show</v>
      </c>
      <c r="F4598" t="str">
        <f>HYPERLINK("https://github.com/PojavLauncherTeam/PojavLauncher/releases","show")</f>
        <v>show</v>
      </c>
    </row>
    <row r="4599" spans="1:6">
      <c r="A4599" t="s">
        <v>13687</v>
      </c>
      <c r="B4599" t="s">
        <v>13688</v>
      </c>
      <c r="C4599" t="s">
        <v>13689</v>
      </c>
      <c r="D4599" t="str">
        <f>HYPERLINK("https://github.com/TeamNewPipe/NewPipe/issues/6928","show")</f>
        <v>show</v>
      </c>
      <c r="E4599" t="str">
        <f>HYPERLINK("https://github.com/TeamNewPipe/NewPipe","show")</f>
        <v>show</v>
      </c>
      <c r="F4599" t="str">
        <f>HYPERLINK("https://github.com/TeamNewPipe/NewPipe/releases","show")</f>
        <v>show</v>
      </c>
    </row>
    <row r="4600" spans="1:6">
      <c r="A4600" t="s">
        <v>13690</v>
      </c>
      <c r="B4600" t="s">
        <v>13691</v>
      </c>
      <c r="C4600" t="s">
        <v>13692</v>
      </c>
      <c r="D4600" t="str">
        <f>HYPERLINK("https://github.com/TeamNewPipe/NewPipe/issues/6927","show")</f>
        <v>show</v>
      </c>
      <c r="E4600" t="str">
        <f>HYPERLINK("https://github.com/TeamNewPipe/NewPipe","show")</f>
        <v>show</v>
      </c>
      <c r="F4600" t="str">
        <f>HYPERLINK("https://github.com/TeamNewPipe/NewPipe/releases","show")</f>
        <v>show</v>
      </c>
    </row>
    <row r="4601" spans="1:6">
      <c r="A4601" t="s">
        <v>13693</v>
      </c>
      <c r="B4601" t="s">
        <v>13694</v>
      </c>
      <c r="C4601" t="s">
        <v>13695</v>
      </c>
      <c r="D4601" t="str">
        <f>HYPERLINK("https://github.com/TeamNewPipe/NewPipe/issues/6925","show")</f>
        <v>show</v>
      </c>
      <c r="E4601" t="str">
        <f>HYPERLINK("https://github.com/TeamNewPipe/NewPipe","show")</f>
        <v>show</v>
      </c>
      <c r="F4601" t="str">
        <f>HYPERLINK("https://github.com/TeamNewPipe/NewPipe/releases","show")</f>
        <v>show</v>
      </c>
    </row>
    <row r="4602" spans="1:6">
      <c r="A4602" t="s">
        <v>13696</v>
      </c>
      <c r="B4602" t="s">
        <v>13697</v>
      </c>
      <c r="C4602" t="s">
        <v>13698</v>
      </c>
      <c r="D4602" t="str">
        <f>HYPERLINK("https://github.com/Anuken/Mindustry/issues/5763","show")</f>
        <v>show</v>
      </c>
      <c r="E4602" t="str">
        <f>HYPERLINK("https://github.com/Anuken/Mindustry","show")</f>
        <v>show</v>
      </c>
      <c r="F4602" t="str">
        <f>HYPERLINK("https://github.com/Anuken/Mindustry/releases","show")</f>
        <v>show</v>
      </c>
    </row>
    <row r="4603" spans="1:6">
      <c r="A4603" t="s">
        <v>13699</v>
      </c>
      <c r="B4603" t="s">
        <v>13700</v>
      </c>
      <c r="C4603" t="s">
        <v>13701</v>
      </c>
      <c r="D4603" t="str">
        <f>HYPERLINK("https://github.com/TeamNewPipe/NewPipe/issues/6921","show")</f>
        <v>show</v>
      </c>
      <c r="E4603" t="str">
        <f>HYPERLINK("https://github.com/TeamNewPipe/NewPipe","show")</f>
        <v>show</v>
      </c>
      <c r="F4603" t="str">
        <f>HYPERLINK("https://github.com/TeamNewPipe/NewPipe/releases","show")</f>
        <v>show</v>
      </c>
    </row>
    <row r="4604" spans="1:6">
      <c r="A4604" t="s">
        <v>13702</v>
      </c>
      <c r="B4604" t="s">
        <v>13703</v>
      </c>
      <c r="C4604" t="s">
        <v>13704</v>
      </c>
      <c r="D4604" t="str">
        <f>HYPERLINK("https://github.com/nextcloud/android/issues/8856","show")</f>
        <v>show</v>
      </c>
      <c r="E4604" t="str">
        <f>HYPERLINK("https://github.com/nextcloud/android","show")</f>
        <v>show</v>
      </c>
      <c r="F4604" t="str">
        <f>HYPERLINK("https://github.com/nextcloud/android/releases","show")</f>
        <v>show</v>
      </c>
    </row>
    <row r="4605" spans="1:6">
      <c r="A4605" t="s">
        <v>13705</v>
      </c>
      <c r="B4605" t="s">
        <v>13706</v>
      </c>
      <c r="C4605" t="s">
        <v>13707</v>
      </c>
      <c r="D4605" t="str">
        <f>HYPERLINK("https://github.com/TeamNewPipe/NewPipe/issues/6920","show")</f>
        <v>show</v>
      </c>
      <c r="E4605" t="str">
        <f>HYPERLINK("https://github.com/TeamNewPipe/NewPipe","show")</f>
        <v>show</v>
      </c>
      <c r="F4605" t="str">
        <f>HYPERLINK("https://github.com/TeamNewPipe/NewPipe/releases","show")</f>
        <v>show</v>
      </c>
    </row>
    <row r="4606" spans="1:6">
      <c r="A4606" t="s">
        <v>13708</v>
      </c>
      <c r="B4606" t="s">
        <v>13709</v>
      </c>
      <c r="C4606" t="s">
        <v>13710</v>
      </c>
      <c r="D4606" t="str">
        <f>HYPERLINK("https://github.com/Keidan/HexViewer/issues/102","show")</f>
        <v>show</v>
      </c>
      <c r="E4606" t="str">
        <f>HYPERLINK("https://github.com/Keidan/HexViewer","show")</f>
        <v>show</v>
      </c>
      <c r="F4606" t="str">
        <f>HYPERLINK("https://github.com/Keidan/HexViewer/releases","show")</f>
        <v>show</v>
      </c>
    </row>
    <row r="4607" spans="1:6">
      <c r="A4607" t="s">
        <v>13711</v>
      </c>
      <c r="B4607" t="s">
        <v>13712</v>
      </c>
      <c r="C4607" t="s">
        <v>13713</v>
      </c>
      <c r="D4607" t="str">
        <f>HYPERLINK("https://github.com/Keidan/HexViewer/issues/96","show")</f>
        <v>show</v>
      </c>
      <c r="E4607" t="str">
        <f>HYPERLINK("https://github.com/Keidan/HexViewer","show")</f>
        <v>show</v>
      </c>
      <c r="F4607" t="str">
        <f>HYPERLINK("https://github.com/Keidan/HexViewer/releases","show")</f>
        <v>show</v>
      </c>
    </row>
    <row r="4608" spans="1:6">
      <c r="A4608" t="s">
        <v>13714</v>
      </c>
      <c r="B4608" t="s">
        <v>13715</v>
      </c>
      <c r="C4608" t="s">
        <v>13716</v>
      </c>
      <c r="D4608" t="str">
        <f>HYPERLINK("https://github.com/Anuken/Mindustry/issues/5760","show")</f>
        <v>show</v>
      </c>
      <c r="E4608" t="str">
        <f>HYPERLINK("https://github.com/Anuken/Mindustry","show")</f>
        <v>show</v>
      </c>
      <c r="F4608" t="str">
        <f>HYPERLINK("https://github.com/Anuken/Mindustry/releases","show")</f>
        <v>show</v>
      </c>
    </row>
    <row r="4609" spans="1:6">
      <c r="A4609" t="s">
        <v>13717</v>
      </c>
      <c r="B4609" t="s">
        <v>13718</v>
      </c>
      <c r="C4609" t="s">
        <v>13719</v>
      </c>
      <c r="D4609" t="str">
        <f>HYPERLINK("https://github.com/MuntashirAkon/AppManager/issues/554","show")</f>
        <v>show</v>
      </c>
      <c r="E4609" t="str">
        <f>HYPERLINK("https://github.com/MuntashirAkon/AppManager","show")</f>
        <v>show</v>
      </c>
      <c r="F4609" t="str">
        <f>HYPERLINK("https://github.com/MuntashirAkon/AppManager/releases","show")</f>
        <v>show</v>
      </c>
    </row>
    <row r="4610" spans="1:6">
      <c r="A4610" t="s">
        <v>13720</v>
      </c>
      <c r="B4610" t="s">
        <v>13721</v>
      </c>
      <c r="C4610" t="s">
        <v>13722</v>
      </c>
      <c r="D4610" t="str">
        <f>HYPERLINK("https://github.com/martykan/forecastie/issues/598","show")</f>
        <v>show</v>
      </c>
      <c r="E4610" t="str">
        <f>HYPERLINK("https://github.com/martykan/forecastie","show")</f>
        <v>show</v>
      </c>
      <c r="F4610" t="str">
        <f>HYPERLINK("https://github.com/martykan/forecastie/releases","show")</f>
        <v>show</v>
      </c>
    </row>
    <row r="4611" spans="1:6">
      <c r="A4611" t="s">
        <v>13723</v>
      </c>
      <c r="B4611" t="s">
        <v>13724</v>
      </c>
      <c r="C4611" t="s">
        <v>13725</v>
      </c>
      <c r="D4611" t="str">
        <f>HYPERLINK("https://github.com/nikita36078/J2ME-Loader/issues/821","show")</f>
        <v>show</v>
      </c>
      <c r="E4611" t="str">
        <f>HYPERLINK("https://github.com/nikita36078/J2ME-Loader","show")</f>
        <v>show</v>
      </c>
      <c r="F4611" t="str">
        <f>HYPERLINK("https://github.com/nikita36078/J2ME-Loader/releases","show")</f>
        <v>show</v>
      </c>
    </row>
    <row r="4612" spans="1:6">
      <c r="A4612" t="s">
        <v>13726</v>
      </c>
      <c r="B4612" t="s">
        <v>13727</v>
      </c>
      <c r="C4612" t="s">
        <v>13728</v>
      </c>
      <c r="D4612" t="str">
        <f>HYPERLINK("https://github.com/Benji377/SocyMusic/issues/155","show")</f>
        <v>show</v>
      </c>
      <c r="E4612" t="str">
        <f>HYPERLINK("https://github.com/Benji377/SocyMusic","show")</f>
        <v>show</v>
      </c>
      <c r="F4612" t="str">
        <f>HYPERLINK("https://github.com/Benji377/SocyMusic/releases","show")</f>
        <v>show</v>
      </c>
    </row>
    <row r="4613" spans="1:6">
      <c r="A4613" t="s">
        <v>13729</v>
      </c>
      <c r="B4613" t="s">
        <v>13730</v>
      </c>
      <c r="C4613" t="s">
        <v>13731</v>
      </c>
      <c r="D4613" t="str">
        <f>HYPERLINK("https://github.com/nextcloud/android/issues/8852","show")</f>
        <v>show</v>
      </c>
      <c r="E4613" t="str">
        <f>HYPERLINK("https://github.com/nextcloud/android","show")</f>
        <v>show</v>
      </c>
      <c r="F4613" t="str">
        <f>HYPERLINK("https://github.com/nextcloud/android/releases","show")</f>
        <v>show</v>
      </c>
    </row>
    <row r="4614" spans="1:6">
      <c r="A4614" t="s">
        <v>13732</v>
      </c>
      <c r="B4614" t="s">
        <v>13733</v>
      </c>
      <c r="C4614" t="s">
        <v>13734</v>
      </c>
      <c r="D4614" t="str">
        <f>HYPERLINK("https://github.com/Anuken/Mindustry/issues/5751","show")</f>
        <v>show</v>
      </c>
      <c r="E4614" t="str">
        <f>HYPERLINK("https://github.com/Anuken/Mindustry","show")</f>
        <v>show</v>
      </c>
      <c r="F4614" t="str">
        <f>HYPERLINK("https://github.com/Anuken/Mindustry/releases","show")</f>
        <v>show</v>
      </c>
    </row>
    <row r="4615" spans="1:6">
      <c r="A4615" t="s">
        <v>13735</v>
      </c>
      <c r="B4615" t="s">
        <v>13736</v>
      </c>
      <c r="C4615" t="s">
        <v>13737</v>
      </c>
      <c r="D4615" t="str">
        <f>HYPERLINK("https://github.com/TeamNewPipe/NewPipe/issues/6910","show")</f>
        <v>show</v>
      </c>
      <c r="E4615" t="str">
        <f>HYPERLINK("https://github.com/TeamNewPipe/NewPipe","show")</f>
        <v>show</v>
      </c>
      <c r="F4615" t="str">
        <f>HYPERLINK("https://github.com/TeamNewPipe/NewPipe/releases","show")</f>
        <v>show</v>
      </c>
    </row>
    <row r="4616" spans="1:6">
      <c r="A4616" t="s">
        <v>13738</v>
      </c>
      <c r="B4616" t="s">
        <v>13739</v>
      </c>
      <c r="C4616" t="s">
        <v>13740</v>
      </c>
      <c r="D4616" t="str">
        <f>HYPERLINK("https://github.com/TeamNewPipe/NewPipe/issues/6909","show")</f>
        <v>show</v>
      </c>
      <c r="E4616" t="str">
        <f>HYPERLINK("https://github.com/TeamNewPipe/NewPipe","show")</f>
        <v>show</v>
      </c>
      <c r="F4616" t="str">
        <f>HYPERLINK("https://github.com/TeamNewPipe/NewPipe/releases","show")</f>
        <v>show</v>
      </c>
    </row>
    <row r="4617" spans="1:6">
      <c r="A4617" t="s">
        <v>13741</v>
      </c>
      <c r="B4617" t="s">
        <v>13742</v>
      </c>
      <c r="C4617" t="s">
        <v>13743</v>
      </c>
      <c r="D4617" t="str">
        <f>HYPERLINK("https://github.com/Anuken/Mindustry/issues/5749","show")</f>
        <v>show</v>
      </c>
      <c r="E4617" t="str">
        <f>HYPERLINK("https://github.com/Anuken/Mindustry","show")</f>
        <v>show</v>
      </c>
      <c r="F4617" t="str">
        <f>HYPERLINK("https://github.com/Anuken/Mindustry/releases","show")</f>
        <v>show</v>
      </c>
    </row>
    <row r="4618" spans="1:6">
      <c r="A4618" t="s">
        <v>13744</v>
      </c>
      <c r="B4618" t="s">
        <v>13745</v>
      </c>
      <c r="C4618" t="s">
        <v>13746</v>
      </c>
      <c r="D4618" t="str">
        <f>HYPERLINK("https://github.com/Anuken/Mindustry/issues/5746","show")</f>
        <v>show</v>
      </c>
      <c r="E4618" t="str">
        <f>HYPERLINK("https://github.com/Anuken/Mindustry","show")</f>
        <v>show</v>
      </c>
      <c r="F4618" t="str">
        <f>HYPERLINK("https://github.com/Anuken/Mindustry/releases","show")</f>
        <v>show</v>
      </c>
    </row>
    <row r="4619" spans="1:6">
      <c r="A4619" t="s">
        <v>13747</v>
      </c>
      <c r="B4619" t="s">
        <v>13748</v>
      </c>
      <c r="C4619" t="s">
        <v>13749</v>
      </c>
      <c r="D4619" t="str">
        <f>HYPERLINK("https://github.com/dashevo/dash-wallet/issues/708","show")</f>
        <v>show</v>
      </c>
      <c r="E4619" t="str">
        <f>HYPERLINK("https://github.com/dashevo/dash-wallet","show")</f>
        <v>show</v>
      </c>
      <c r="F4619" t="str">
        <f>HYPERLINK("https://github.com/dashevo/dash-wallet/releases","show")</f>
        <v>show</v>
      </c>
    </row>
    <row r="4620" spans="1:6">
      <c r="A4620" t="s">
        <v>13750</v>
      </c>
      <c r="B4620" t="s">
        <v>13751</v>
      </c>
      <c r="C4620" t="s">
        <v>13752</v>
      </c>
      <c r="D4620" t="str">
        <f>HYPERLINK("https://github.com/TeamNewPipe/NewPipe/issues/6907","show")</f>
        <v>show</v>
      </c>
      <c r="E4620" t="str">
        <f>HYPERLINK("https://github.com/TeamNewPipe/NewPipe","show")</f>
        <v>show</v>
      </c>
      <c r="F4620" t="str">
        <f>HYPERLINK("https://github.com/TeamNewPipe/NewPipe/releases","show")</f>
        <v>show</v>
      </c>
    </row>
    <row r="4621" spans="1:6">
      <c r="A4621" t="s">
        <v>13753</v>
      </c>
      <c r="B4621" t="s">
        <v>13754</v>
      </c>
      <c r="C4621" t="s">
        <v>13755</v>
      </c>
      <c r="D4621" t="str">
        <f>HYPERLINK("https://github.com/MuntashirAkon/AppManager/issues/550","show")</f>
        <v>show</v>
      </c>
      <c r="E4621" t="str">
        <f>HYPERLINK("https://github.com/MuntashirAkon/AppManager","show")</f>
        <v>show</v>
      </c>
      <c r="F4621" t="str">
        <f>HYPERLINK("https://github.com/MuntashirAkon/AppManager/releases","show")</f>
        <v>show</v>
      </c>
    </row>
    <row r="4622" spans="1:6">
      <c r="A4622" t="s">
        <v>13756</v>
      </c>
      <c r="B4622" t="s">
        <v>13757</v>
      </c>
      <c r="C4622" t="s">
        <v>13758</v>
      </c>
      <c r="D4622" t="str">
        <f>HYPERLINK("https://github.com/Anuken/Mindustry/issues/5742","show")</f>
        <v>show</v>
      </c>
      <c r="E4622" t="str">
        <f>HYPERLINK("https://github.com/Anuken/Mindustry","show")</f>
        <v>show</v>
      </c>
      <c r="F4622" t="str">
        <f>HYPERLINK("https://github.com/Anuken/Mindustry/releases","show")</f>
        <v>show</v>
      </c>
    </row>
    <row r="4623" spans="1:6">
      <c r="A4623" t="s">
        <v>13759</v>
      </c>
      <c r="B4623" t="s">
        <v>13760</v>
      </c>
      <c r="C4623" t="s">
        <v>13761</v>
      </c>
      <c r="D4623" t="str">
        <f>HYPERLINK("https://github.com/twilio/video-quickstart-android/issues/668","show")</f>
        <v>show</v>
      </c>
      <c r="E4623" t="str">
        <f>HYPERLINK("https://github.com/twilio/video-quickstart-android","show")</f>
        <v>show</v>
      </c>
      <c r="F4623" t="str">
        <f>HYPERLINK("https://github.com/twilio/video-quickstart-android/releases","show")</f>
        <v>show</v>
      </c>
    </row>
    <row r="4624" spans="1:6">
      <c r="A4624" t="s">
        <v>13762</v>
      </c>
      <c r="B4624" t="s">
        <v>13763</v>
      </c>
      <c r="C4624" t="s">
        <v>13764</v>
      </c>
      <c r="D4624" t="str">
        <f>HYPERLINK("https://github.com/TeamNewPipe/NewPipe/issues/6905","show")</f>
        <v>show</v>
      </c>
      <c r="E4624" t="str">
        <f>HYPERLINK("https://github.com/TeamNewPipe/NewPipe","show")</f>
        <v>show</v>
      </c>
      <c r="F4624" t="str">
        <f>HYPERLINK("https://github.com/TeamNewPipe/NewPipe/releases","show")</f>
        <v>show</v>
      </c>
    </row>
    <row r="4625" spans="1:6">
      <c r="A4625" t="s">
        <v>13765</v>
      </c>
      <c r="B4625" t="s">
        <v>13766</v>
      </c>
      <c r="C4625" t="s">
        <v>13767</v>
      </c>
      <c r="D4625" t="str">
        <f>HYPERLINK("https://github.com/deepjavalibrary/djl/issues/1160","show")</f>
        <v>show</v>
      </c>
      <c r="E4625" t="str">
        <f>HYPERLINK("https://github.com/deepjavalibrary/djl","show")</f>
        <v>show</v>
      </c>
      <c r="F4625" t="str">
        <f>HYPERLINK("https://github.com/deepjavalibrary/djl/releases","show")</f>
        <v>show</v>
      </c>
    </row>
    <row r="4626" spans="1:6">
      <c r="A4626" t="s">
        <v>13768</v>
      </c>
      <c r="B4626" t="s">
        <v>13769</v>
      </c>
      <c r="C4626" t="s">
        <v>13770</v>
      </c>
      <c r="D4626" t="str">
        <f>HYPERLINK("https://github.com/aws-amplify/amplify-android/issues/1447","show")</f>
        <v>show</v>
      </c>
      <c r="E4626" t="str">
        <f>HYPERLINK("https://github.com/aws-amplify/amplify-android","show")</f>
        <v>show</v>
      </c>
      <c r="F4626" t="str">
        <f>HYPERLINK("https://github.com/aws-amplify/amplify-android/releases","show")</f>
        <v>show</v>
      </c>
    </row>
    <row r="4627" spans="1:6">
      <c r="A4627" t="s">
        <v>13771</v>
      </c>
      <c r="B4627" t="s">
        <v>13772</v>
      </c>
      <c r="C4627" t="s">
        <v>13773</v>
      </c>
      <c r="D4627" t="str">
        <f>HYPERLINK("https://github.com/TeamNewPipe/NewPipe/issues/6902","show")</f>
        <v>show</v>
      </c>
      <c r="E4627" t="str">
        <f>HYPERLINK("https://github.com/TeamNewPipe/NewPipe","show")</f>
        <v>show</v>
      </c>
      <c r="F4627" t="str">
        <f>HYPERLINK("https://github.com/TeamNewPipe/NewPipe/releases","show")</f>
        <v>show</v>
      </c>
    </row>
    <row r="4628" spans="1:6">
      <c r="A4628" t="s">
        <v>13774</v>
      </c>
      <c r="B4628" t="s">
        <v>13775</v>
      </c>
      <c r="C4628" t="s">
        <v>13776</v>
      </c>
      <c r="D4628" t="str">
        <f>HYPERLINK("https://github.com/TeamNewPipe/NewPipe/issues/6899","show")</f>
        <v>show</v>
      </c>
      <c r="E4628" t="str">
        <f>HYPERLINK("https://github.com/TeamNewPipe/NewPipe","show")</f>
        <v>show</v>
      </c>
      <c r="F4628" t="str">
        <f>HYPERLINK("https://github.com/TeamNewPipe/NewPipe/releases","show")</f>
        <v>show</v>
      </c>
    </row>
    <row r="4629" spans="1:6">
      <c r="A4629" t="s">
        <v>13777</v>
      </c>
      <c r="B4629" t="s">
        <v>13778</v>
      </c>
      <c r="C4629" t="s">
        <v>13779</v>
      </c>
      <c r="D4629" t="str">
        <f>HYPERLINK("https://github.com/Anuken/Mindustry/issues/5738","show")</f>
        <v>show</v>
      </c>
      <c r="E4629" t="str">
        <f>HYPERLINK("https://github.com/Anuken/Mindustry","show")</f>
        <v>show</v>
      </c>
      <c r="F4629" t="str">
        <f>HYPERLINK("https://github.com/Anuken/Mindustry/releases","show")</f>
        <v>show</v>
      </c>
    </row>
    <row r="4630" spans="1:6">
      <c r="A4630" t="s">
        <v>13780</v>
      </c>
      <c r="B4630" t="s">
        <v>13781</v>
      </c>
      <c r="C4630" t="s">
        <v>13782</v>
      </c>
      <c r="D4630" t="str">
        <f>HYPERLINK("https://github.com/Anuken/Mindustry/issues/5737","show")</f>
        <v>show</v>
      </c>
      <c r="E4630" t="str">
        <f>HYPERLINK("https://github.com/Anuken/Mindustry","show")</f>
        <v>show</v>
      </c>
      <c r="F4630" t="str">
        <f>HYPERLINK("https://github.com/Anuken/Mindustry/releases","show")</f>
        <v>show</v>
      </c>
    </row>
    <row r="4631" spans="1:6">
      <c r="A4631" t="s">
        <v>13783</v>
      </c>
      <c r="B4631" t="s">
        <v>13784</v>
      </c>
      <c r="C4631" t="s">
        <v>13785</v>
      </c>
      <c r="D4631" t="str">
        <f>HYPERLINK("https://github.com/TeamNewPipe/NewPipe/issues/6897","show")</f>
        <v>show</v>
      </c>
      <c r="E4631" t="str">
        <f>HYPERLINK("https://github.com/TeamNewPipe/NewPipe","show")</f>
        <v>show</v>
      </c>
      <c r="F4631" t="str">
        <f>HYPERLINK("https://github.com/TeamNewPipe/NewPipe/releases","show")</f>
        <v>show</v>
      </c>
    </row>
    <row r="4632" spans="1:6">
      <c r="A4632" t="s">
        <v>13786</v>
      </c>
      <c r="B4632" t="s">
        <v>13787</v>
      </c>
      <c r="C4632" t="s">
        <v>13788</v>
      </c>
      <c r="D4632" t="str">
        <f>HYPERLINK("https://github.com/TeamNewPipe/NewPipe/issues/6894","show")</f>
        <v>show</v>
      </c>
      <c r="E4632" t="str">
        <f>HYPERLINK("https://github.com/TeamNewPipe/NewPipe","show")</f>
        <v>show</v>
      </c>
      <c r="F4632" t="str">
        <f>HYPERLINK("https://github.com/TeamNewPipe/NewPipe/releases","show")</f>
        <v>show</v>
      </c>
    </row>
    <row r="4633" spans="1:6">
      <c r="A4633" t="s">
        <v>13789</v>
      </c>
      <c r="B4633" t="s">
        <v>13790</v>
      </c>
      <c r="C4633" t="s">
        <v>13541</v>
      </c>
      <c r="D4633" t="str">
        <f>HYPERLINK("https://github.com/TeamNewPipe/NewPipe/issues/6890","show")</f>
        <v>show</v>
      </c>
      <c r="E4633" t="str">
        <f>HYPERLINK("https://github.com/TeamNewPipe/NewPipe","show")</f>
        <v>show</v>
      </c>
      <c r="F4633" t="str">
        <f>HYPERLINK("https://github.com/TeamNewPipe/NewPipe/releases","show")</f>
        <v>show</v>
      </c>
    </row>
    <row r="4634" spans="1:6">
      <c r="A4634" t="s">
        <v>13791</v>
      </c>
      <c r="B4634" t="s">
        <v>13792</v>
      </c>
      <c r="C4634" t="s">
        <v>13793</v>
      </c>
      <c r="D4634" t="str">
        <f>HYPERLINK("https://github.com/nextcloud/android/issues/8840","show")</f>
        <v>show</v>
      </c>
      <c r="E4634" t="str">
        <f>HYPERLINK("https://github.com/nextcloud/android","show")</f>
        <v>show</v>
      </c>
      <c r="F4634" t="str">
        <f>HYPERLINK("https://github.com/nextcloud/android/releases","show")</f>
        <v>show</v>
      </c>
    </row>
    <row r="4635" spans="1:6">
      <c r="A4635" t="s">
        <v>13794</v>
      </c>
      <c r="B4635" t="s">
        <v>13795</v>
      </c>
      <c r="C4635" t="s">
        <v>13796</v>
      </c>
      <c r="D4635" t="str">
        <f>HYPERLINK("https://github.com/TeamNewPipe/NewPipe-legacy/issues/79","show")</f>
        <v>show</v>
      </c>
      <c r="E4635" t="str">
        <f>HYPERLINK("https://github.com/TeamNewPipe/NewPipe-legacy","show")</f>
        <v>show</v>
      </c>
      <c r="F4635" t="str">
        <f>HYPERLINK("https://github.com/TeamNewPipe/NewPipe-legacy/releases","show")</f>
        <v>show</v>
      </c>
    </row>
    <row r="4636" spans="1:6">
      <c r="A4636" t="s">
        <v>13797</v>
      </c>
      <c r="B4636" t="s">
        <v>13795</v>
      </c>
      <c r="C4636" t="s">
        <v>13798</v>
      </c>
      <c r="D4636" t="str">
        <f>HYPERLINK("https://github.com/TeamNewPipe/NewPipe-legacy/issues/78","show")</f>
        <v>show</v>
      </c>
      <c r="E4636" t="str">
        <f>HYPERLINK("https://github.com/TeamNewPipe/NewPipe-legacy","show")</f>
        <v>show</v>
      </c>
      <c r="F4636" t="str">
        <f>HYPERLINK("https://github.com/TeamNewPipe/NewPipe-legacy/releases","show")</f>
        <v>show</v>
      </c>
    </row>
    <row r="4637" spans="1:6">
      <c r="A4637" t="s">
        <v>13799</v>
      </c>
      <c r="B4637" t="s">
        <v>13800</v>
      </c>
      <c r="C4637" t="s">
        <v>13801</v>
      </c>
      <c r="D4637" t="str">
        <f>HYPERLINK("https://github.com/TeamNewPipe/NewPipe-legacy/issues/77","show")</f>
        <v>show</v>
      </c>
      <c r="E4637" t="str">
        <f>HYPERLINK("https://github.com/TeamNewPipe/NewPipe-legacy","show")</f>
        <v>show</v>
      </c>
      <c r="F4637" t="str">
        <f>HYPERLINK("https://github.com/TeamNewPipe/NewPipe-legacy/releases","show")</f>
        <v>show</v>
      </c>
    </row>
    <row r="4638" spans="1:6">
      <c r="A4638" t="s">
        <v>13802</v>
      </c>
      <c r="B4638" t="s">
        <v>13803</v>
      </c>
      <c r="C4638" t="s">
        <v>13804</v>
      </c>
      <c r="D4638" t="str">
        <f>HYPERLINK("https://github.com/cgeo/cgeo/issues/11452","show")</f>
        <v>show</v>
      </c>
      <c r="E4638" t="str">
        <f>HYPERLINK("https://github.com/cgeo/cgeo","show")</f>
        <v>show</v>
      </c>
      <c r="F4638" t="str">
        <f>HYPERLINK("https://github.com/cgeo/cgeo/releases","show")</f>
        <v>show</v>
      </c>
    </row>
    <row r="4639" spans="1:6">
      <c r="A4639" t="s">
        <v>13805</v>
      </c>
      <c r="B4639" t="s">
        <v>13806</v>
      </c>
      <c r="C4639" t="s">
        <v>13807</v>
      </c>
      <c r="D4639" t="str">
        <f>HYPERLINK("https://github.com/Anuken/Mindustry/issues/5725","show")</f>
        <v>show</v>
      </c>
      <c r="E4639" t="str">
        <f>HYPERLINK("https://github.com/Anuken/Mindustry","show")</f>
        <v>show</v>
      </c>
      <c r="F4639" t="str">
        <f>HYPERLINK("https://github.com/Anuken/Mindustry/releases","show")</f>
        <v>show</v>
      </c>
    </row>
    <row r="4640" spans="1:6">
      <c r="A4640" t="s">
        <v>13808</v>
      </c>
      <c r="B4640" t="s">
        <v>13809</v>
      </c>
      <c r="C4640" t="s">
        <v>13810</v>
      </c>
      <c r="D4640" t="str">
        <f>HYPERLINK("https://github.com/mahmudur85/PjDroid/issues/16","show")</f>
        <v>show</v>
      </c>
      <c r="E4640" t="str">
        <f>HYPERLINK("https://github.com/mahmudur85/PjDroid","show")</f>
        <v>show</v>
      </c>
      <c r="F4640" t="str">
        <f>HYPERLINK("https://github.com/mahmudur85/PjDroid/releases","show")</f>
        <v>show</v>
      </c>
    </row>
    <row r="4641" spans="1:6">
      <c r="A4641" t="s">
        <v>13811</v>
      </c>
      <c r="B4641" t="s">
        <v>13812</v>
      </c>
      <c r="C4641" t="s">
        <v>13813</v>
      </c>
      <c r="D4641" t="str">
        <f>HYPERLINK("https://github.com/aws-amplify/amplify-android/issues/1446","show")</f>
        <v>show</v>
      </c>
      <c r="E4641" t="str">
        <f>HYPERLINK("https://github.com/aws-amplify/amplify-android","show")</f>
        <v>show</v>
      </c>
      <c r="F4641" t="str">
        <f>HYPERLINK("https://github.com/aws-amplify/amplify-android/releases","show")</f>
        <v>show</v>
      </c>
    </row>
    <row r="4642" spans="1:6">
      <c r="A4642" t="s">
        <v>13814</v>
      </c>
      <c r="B4642" t="s">
        <v>13815</v>
      </c>
      <c r="C4642" t="s">
        <v>13816</v>
      </c>
      <c r="D4642" t="str">
        <f>HYPERLINK("https://github.com/forrestguice/SuntimesCalendars/issues/43","show")</f>
        <v>show</v>
      </c>
      <c r="E4642" t="str">
        <f>HYPERLINK("https://github.com/forrestguice/SuntimesCalendars","show")</f>
        <v>show</v>
      </c>
      <c r="F4642" t="str">
        <f>HYPERLINK("https://github.com/forrestguice/SuntimesCalendars/releases","show")</f>
        <v>show</v>
      </c>
    </row>
    <row r="4643" spans="1:6">
      <c r="A4643" t="s">
        <v>13817</v>
      </c>
      <c r="B4643" t="s">
        <v>13818</v>
      </c>
      <c r="C4643" t="s">
        <v>13819</v>
      </c>
      <c r="D4643" t="str">
        <f>HYPERLINK("https://github.com/TeamNewPipe/NewPipe/issues/6881","show")</f>
        <v>show</v>
      </c>
      <c r="E4643" t="str">
        <f>HYPERLINK("https://github.com/TeamNewPipe/NewPipe","show")</f>
        <v>show</v>
      </c>
      <c r="F4643" t="str">
        <f>HYPERLINK("https://github.com/TeamNewPipe/NewPipe/releases","show")</f>
        <v>show</v>
      </c>
    </row>
    <row r="4644" spans="1:6">
      <c r="A4644" t="s">
        <v>13820</v>
      </c>
      <c r="B4644" t="s">
        <v>13821</v>
      </c>
      <c r="C4644" t="s">
        <v>13822</v>
      </c>
      <c r="D4644" t="str">
        <f>HYPERLINK("https://github.com/PojavLauncherTeam/PojavLauncher/issues/1814","show")</f>
        <v>show</v>
      </c>
      <c r="E4644" t="str">
        <f>HYPERLINK("https://github.com/PojavLauncherTeam/PojavLauncher","show")</f>
        <v>show</v>
      </c>
      <c r="F4644" t="str">
        <f>HYPERLINK("https://github.com/PojavLauncherTeam/PojavLauncher/releases","show")</f>
        <v>show</v>
      </c>
    </row>
    <row r="4645" spans="1:6">
      <c r="A4645" t="s">
        <v>13823</v>
      </c>
      <c r="B4645" t="s">
        <v>13824</v>
      </c>
      <c r="C4645" t="s">
        <v>13825</v>
      </c>
      <c r="D4645" t="str">
        <f>HYPERLINK("https://github.com/PojavLauncherTeam/PojavLauncher/issues/1809","show")</f>
        <v>show</v>
      </c>
      <c r="E4645" t="str">
        <f>HYPERLINK("https://github.com/PojavLauncherTeam/PojavLauncher","show")</f>
        <v>show</v>
      </c>
      <c r="F4645" t="str">
        <f>HYPERLINK("https://github.com/PojavLauncherTeam/PojavLauncher/releases","show")</f>
        <v>show</v>
      </c>
    </row>
    <row r="4646" spans="1:6">
      <c r="A4646" t="s">
        <v>13826</v>
      </c>
      <c r="B4646" t="s">
        <v>13827</v>
      </c>
      <c r="C4646" t="s">
        <v>13828</v>
      </c>
      <c r="D4646" t="str">
        <f>HYPERLINK("https://github.com/TeamNewPipe/NewPipe/issues/6873","show")</f>
        <v>show</v>
      </c>
      <c r="E4646" t="str">
        <f>HYPERLINK("https://github.com/TeamNewPipe/NewPipe","show")</f>
        <v>show</v>
      </c>
      <c r="F4646" t="str">
        <f>HYPERLINK("https://github.com/TeamNewPipe/NewPipe/releases","show")</f>
        <v>show</v>
      </c>
    </row>
    <row r="4647" spans="1:6">
      <c r="A4647" t="s">
        <v>13829</v>
      </c>
      <c r="B4647" t="s">
        <v>13830</v>
      </c>
      <c r="C4647" t="s">
        <v>13831</v>
      </c>
      <c r="D4647" t="str">
        <f>HYPERLINK("https://github.com/Anuken/Mindustry/issues/5713","show")</f>
        <v>show</v>
      </c>
      <c r="E4647" t="str">
        <f>HYPERLINK("https://github.com/Anuken/Mindustry","show")</f>
        <v>show</v>
      </c>
      <c r="F4647" t="str">
        <f>HYPERLINK("https://github.com/Anuken/Mindustry/releases","show")</f>
        <v>show</v>
      </c>
    </row>
    <row r="4648" spans="1:6">
      <c r="A4648" t="s">
        <v>13832</v>
      </c>
      <c r="B4648" t="s">
        <v>13833</v>
      </c>
      <c r="C4648" t="s">
        <v>13834</v>
      </c>
      <c r="D4648" t="str">
        <f>HYPERLINK("https://github.com/TeamNewPipe/NewPipe/issues/6870","show")</f>
        <v>show</v>
      </c>
      <c r="E4648" t="str">
        <f>HYPERLINK("https://github.com/TeamNewPipe/NewPipe","show")</f>
        <v>show</v>
      </c>
      <c r="F4648" t="str">
        <f>HYPERLINK("https://github.com/TeamNewPipe/NewPipe/releases","show")</f>
        <v>show</v>
      </c>
    </row>
    <row r="4649" spans="1:6">
      <c r="A4649" t="s">
        <v>13835</v>
      </c>
      <c r="B4649" t="s">
        <v>13836</v>
      </c>
      <c r="C4649" t="s">
        <v>13837</v>
      </c>
      <c r="D4649" t="str">
        <f>HYPERLINK("https://github.com/TeamNewPipe/NewPipe/issues/6868","show")</f>
        <v>show</v>
      </c>
      <c r="E4649" t="str">
        <f>HYPERLINK("https://github.com/TeamNewPipe/NewPipe","show")</f>
        <v>show</v>
      </c>
      <c r="F4649" t="str">
        <f>HYPERLINK("https://github.com/TeamNewPipe/NewPipe/releases","show")</f>
        <v>show</v>
      </c>
    </row>
    <row r="4650" spans="1:6">
      <c r="A4650" t="s">
        <v>13838</v>
      </c>
      <c r="B4650" t="s">
        <v>13839</v>
      </c>
      <c r="C4650" t="s">
        <v>13840</v>
      </c>
      <c r="D4650" t="str">
        <f>HYPERLINK("https://github.com/TeamNewPipe/NewPipe/issues/6867","show")</f>
        <v>show</v>
      </c>
      <c r="E4650" t="str">
        <f>HYPERLINK("https://github.com/TeamNewPipe/NewPipe","show")</f>
        <v>show</v>
      </c>
      <c r="F4650" t="str">
        <f>HYPERLINK("https://github.com/TeamNewPipe/NewPipe/releases","show")</f>
        <v>show</v>
      </c>
    </row>
    <row r="4651" spans="1:6">
      <c r="A4651" t="s">
        <v>13841</v>
      </c>
      <c r="B4651" t="s">
        <v>13842</v>
      </c>
      <c r="C4651" t="s">
        <v>13843</v>
      </c>
      <c r="D4651" t="str">
        <f>HYPERLINK("https://github.com/PojavLauncherTeam/PojavLauncher/issues/1804","show")</f>
        <v>show</v>
      </c>
      <c r="E4651" t="str">
        <f>HYPERLINK("https://github.com/PojavLauncherTeam/PojavLauncher","show")</f>
        <v>show</v>
      </c>
      <c r="F4651" t="str">
        <f>HYPERLINK("https://github.com/PojavLauncherTeam/PojavLauncher/releases","show")</f>
        <v>show</v>
      </c>
    </row>
    <row r="4652" spans="1:6">
      <c r="A4652" t="s">
        <v>13844</v>
      </c>
      <c r="B4652" t="s">
        <v>13845</v>
      </c>
      <c r="C4652" t="s">
        <v>13846</v>
      </c>
      <c r="D4652" t="str">
        <f>HYPERLINK("https://github.com/Anuken/Mindustry/issues/5710","show")</f>
        <v>show</v>
      </c>
      <c r="E4652" t="str">
        <f>HYPERLINK("https://github.com/Anuken/Mindustry","show")</f>
        <v>show</v>
      </c>
      <c r="F4652" t="str">
        <f>HYPERLINK("https://github.com/Anuken/Mindustry/releases","show")</f>
        <v>show</v>
      </c>
    </row>
    <row r="4653" spans="1:6">
      <c r="A4653" t="s">
        <v>13847</v>
      </c>
      <c r="B4653" t="s">
        <v>13848</v>
      </c>
      <c r="C4653" t="s">
        <v>13849</v>
      </c>
      <c r="D4653" t="str">
        <f>HYPERLINK("https://github.com/Anuken/Mindustry/issues/5706","show")</f>
        <v>show</v>
      </c>
      <c r="E4653" t="str">
        <f>HYPERLINK("https://github.com/Anuken/Mindustry","show")</f>
        <v>show</v>
      </c>
      <c r="F4653" t="str">
        <f>HYPERLINK("https://github.com/Anuken/Mindustry/releases","show")</f>
        <v>show</v>
      </c>
    </row>
    <row r="4654" spans="1:6">
      <c r="A4654" t="s">
        <v>13850</v>
      </c>
      <c r="B4654" t="s">
        <v>13851</v>
      </c>
      <c r="C4654" t="s">
        <v>13852</v>
      </c>
      <c r="D4654" t="str">
        <f>HYPERLINK("https://github.com/TeamNewPipe/NewPipe/issues/6861","show")</f>
        <v>show</v>
      </c>
      <c r="E4654" t="str">
        <f>HYPERLINK("https://github.com/TeamNewPipe/NewPipe","show")</f>
        <v>show</v>
      </c>
      <c r="F4654" t="str">
        <f>HYPERLINK("https://github.com/TeamNewPipe/NewPipe/releases","show")</f>
        <v>show</v>
      </c>
    </row>
    <row r="4655" spans="1:6">
      <c r="A4655" t="s">
        <v>13853</v>
      </c>
      <c r="B4655" t="s">
        <v>13854</v>
      </c>
      <c r="C4655" t="s">
        <v>13855</v>
      </c>
      <c r="D4655" t="str">
        <f>HYPERLINK("https://github.com/PojavLauncherTeam/PojavLauncher/issues/1801","show")</f>
        <v>show</v>
      </c>
      <c r="E4655" t="str">
        <f>HYPERLINK("https://github.com/PojavLauncherTeam/PojavLauncher","show")</f>
        <v>show</v>
      </c>
      <c r="F4655" t="str">
        <f>HYPERLINK("https://github.com/PojavLauncherTeam/PojavLauncher/releases","show")</f>
        <v>show</v>
      </c>
    </row>
    <row r="4656" spans="1:6">
      <c r="A4656" t="s">
        <v>13856</v>
      </c>
      <c r="B4656" t="s">
        <v>13857</v>
      </c>
      <c r="C4656" t="s">
        <v>13858</v>
      </c>
      <c r="D4656" t="str">
        <f>HYPERLINK("https://github.com/Anuken/Mindustry/issues/5703","show")</f>
        <v>show</v>
      </c>
      <c r="E4656" t="str">
        <f>HYPERLINK("https://github.com/Anuken/Mindustry","show")</f>
        <v>show</v>
      </c>
      <c r="F4656" t="str">
        <f>HYPERLINK("https://github.com/Anuken/Mindustry/releases","show")</f>
        <v>show</v>
      </c>
    </row>
    <row r="4657" spans="1:6">
      <c r="A4657" t="s">
        <v>13859</v>
      </c>
      <c r="B4657" t="s">
        <v>13860</v>
      </c>
      <c r="C4657" t="s">
        <v>13861</v>
      </c>
      <c r="D4657" t="str">
        <f>HYPERLINK("https://github.com/Anuken/Mindustry/issues/5702","show")</f>
        <v>show</v>
      </c>
      <c r="E4657" t="str">
        <f>HYPERLINK("https://github.com/Anuken/Mindustry","show")</f>
        <v>show</v>
      </c>
      <c r="F4657" t="str">
        <f>HYPERLINK("https://github.com/Anuken/Mindustry/releases","show")</f>
        <v>show</v>
      </c>
    </row>
    <row r="4658" spans="1:6">
      <c r="A4658" t="s">
        <v>13862</v>
      </c>
      <c r="B4658" t="s">
        <v>13863</v>
      </c>
      <c r="C4658" t="s">
        <v>13864</v>
      </c>
      <c r="D4658" t="str">
        <f>HYPERLINK("https://github.com/Anuken/Mindustry/issues/5701","show")</f>
        <v>show</v>
      </c>
      <c r="E4658" t="str">
        <f>HYPERLINK("https://github.com/Anuken/Mindustry","show")</f>
        <v>show</v>
      </c>
      <c r="F4658" t="str">
        <f>HYPERLINK("https://github.com/Anuken/Mindustry/releases","show")</f>
        <v>show</v>
      </c>
    </row>
    <row r="4659" spans="1:6">
      <c r="A4659" t="s">
        <v>13865</v>
      </c>
      <c r="B4659" t="s">
        <v>13866</v>
      </c>
      <c r="C4659" t="s">
        <v>13867</v>
      </c>
      <c r="D4659" t="str">
        <f>HYPERLINK("https://github.com/libgdx/libgdx/issues/6618","show")</f>
        <v>show</v>
      </c>
      <c r="E4659" t="str">
        <f>HYPERLINK("https://github.com/libgdx/libgdx","show")</f>
        <v>show</v>
      </c>
      <c r="F4659" t="str">
        <f>HYPERLINK("https://github.com/libgdx/libgdx/releases","show")</f>
        <v>show</v>
      </c>
    </row>
    <row r="4660" spans="1:6">
      <c r="A4660" t="s">
        <v>13868</v>
      </c>
      <c r="B4660" t="s">
        <v>13869</v>
      </c>
      <c r="C4660" t="s">
        <v>13870</v>
      </c>
      <c r="D4660" t="str">
        <f>HYPERLINK("https://github.com/k9mail/k-9/issues/5525","show")</f>
        <v>show</v>
      </c>
      <c r="E4660" t="str">
        <f>HYPERLINK("https://github.com/k9mail/k-9","show")</f>
        <v>show</v>
      </c>
      <c r="F4660" t="str">
        <f>HYPERLINK("https://github.com/k9mail/k-9/releases","show")</f>
        <v>show</v>
      </c>
    </row>
    <row r="4661" spans="1:6">
      <c r="A4661" t="s">
        <v>13871</v>
      </c>
      <c r="B4661" t="s">
        <v>13872</v>
      </c>
      <c r="C4661" t="s">
        <v>13873</v>
      </c>
      <c r="D4661" t="str">
        <f>HYPERLINK("https://github.com/GoogleCloudPlatform/fda-mystudies/issues/3996","show")</f>
        <v>show</v>
      </c>
      <c r="E4661" t="str">
        <f>HYPERLINK("https://github.com/GoogleCloudPlatform/fda-mystudies","show")</f>
        <v>show</v>
      </c>
      <c r="F4661" t="str">
        <f>HYPERLINK("https://github.com/GoogleCloudPlatform/fda-mystudies/releases","show")</f>
        <v>show</v>
      </c>
    </row>
    <row r="4662" spans="1:6">
      <c r="A4662" t="s">
        <v>13874</v>
      </c>
      <c r="B4662" t="s">
        <v>13875</v>
      </c>
      <c r="C4662" t="s">
        <v>13876</v>
      </c>
      <c r="D4662" t="str">
        <f>HYPERLINK("https://github.com/GoogleCloudPlatform/fda-mystudies/issues/3991","show")</f>
        <v>show</v>
      </c>
      <c r="E4662" t="str">
        <f>HYPERLINK("https://github.com/GoogleCloudPlatform/fda-mystudies","show")</f>
        <v>show</v>
      </c>
      <c r="F4662" t="str">
        <f>HYPERLINK("https://github.com/GoogleCloudPlatform/fda-mystudies/releases","show")</f>
        <v>show</v>
      </c>
    </row>
    <row r="4663" spans="1:6">
      <c r="A4663" t="s">
        <v>13877</v>
      </c>
      <c r="B4663" t="s">
        <v>13878</v>
      </c>
      <c r="C4663" t="s">
        <v>13879</v>
      </c>
      <c r="D4663" t="str">
        <f>HYPERLINK("https://github.com/hzi-braunschweig/SORMAS-Project/issues/6294","show")</f>
        <v>show</v>
      </c>
      <c r="E4663" t="str">
        <f>HYPERLINK("https://github.com/hzi-braunschweig/SORMAS-Project","show")</f>
        <v>show</v>
      </c>
      <c r="F4663" t="str">
        <f>HYPERLINK("https://github.com/hzi-braunschweig/SORMAS-Project/releases","show")</f>
        <v>show</v>
      </c>
    </row>
    <row r="4664" spans="1:6">
      <c r="A4664" t="s">
        <v>13880</v>
      </c>
      <c r="B4664" t="s">
        <v>13881</v>
      </c>
      <c r="C4664" t="s">
        <v>13882</v>
      </c>
      <c r="D4664" t="str">
        <f>HYPERLINK("https://github.com/google/ExoPlayer/issues/9257","show")</f>
        <v>show</v>
      </c>
      <c r="E4664" t="str">
        <f>HYPERLINK("https://github.com/google/ExoPlayer","show")</f>
        <v>show</v>
      </c>
      <c r="F4664" t="str">
        <f>HYPERLINK("https://github.com/google/ExoPlayer/releases","show")</f>
        <v>show</v>
      </c>
    </row>
    <row r="4665" spans="1:6">
      <c r="A4665" t="s">
        <v>13883</v>
      </c>
      <c r="B4665" t="s">
        <v>13884</v>
      </c>
      <c r="C4665" t="s">
        <v>13885</v>
      </c>
      <c r="D4665" t="str">
        <f>HYPERLINK("https://github.com/TeamNewPipe/NewPipe/issues/6850","show")</f>
        <v>show</v>
      </c>
      <c r="E4665" t="str">
        <f>HYPERLINK("https://github.com/TeamNewPipe/NewPipe","show")</f>
        <v>show</v>
      </c>
      <c r="F4665" t="str">
        <f>HYPERLINK("https://github.com/TeamNewPipe/NewPipe/releases","show")</f>
        <v>show</v>
      </c>
    </row>
    <row r="4666" spans="1:6">
      <c r="A4666" t="s">
        <v>13886</v>
      </c>
      <c r="B4666" t="s">
        <v>13887</v>
      </c>
      <c r="C4666" t="s">
        <v>13888</v>
      </c>
      <c r="D4666" t="str">
        <f>HYPERLINK("https://github.com/PojavLauncherTeam/PojavLauncher/issues/1790","show")</f>
        <v>show</v>
      </c>
      <c r="E4666" t="str">
        <f>HYPERLINK("https://github.com/PojavLauncherTeam/PojavLauncher","show")</f>
        <v>show</v>
      </c>
      <c r="F4666" t="str">
        <f>HYPERLINK("https://github.com/PojavLauncherTeam/PojavLauncher/releases","show")</f>
        <v>show</v>
      </c>
    </row>
    <row r="4667" spans="1:6">
      <c r="A4667" t="s">
        <v>13889</v>
      </c>
      <c r="B4667" t="s">
        <v>13890</v>
      </c>
      <c r="C4667" t="s">
        <v>13891</v>
      </c>
      <c r="D4667" t="str">
        <f>HYPERLINK("https://github.com/Anuken/Mindustry/issues/5699","show")</f>
        <v>show</v>
      </c>
      <c r="E4667" t="str">
        <f>HYPERLINK("https://github.com/Anuken/Mindustry","show")</f>
        <v>show</v>
      </c>
      <c r="F4667" t="str">
        <f>HYPERLINK("https://github.com/Anuken/Mindustry/releases","show")</f>
        <v>show</v>
      </c>
    </row>
    <row r="4668" spans="1:6">
      <c r="A4668" t="s">
        <v>13892</v>
      </c>
      <c r="B4668" t="s">
        <v>13893</v>
      </c>
      <c r="C4668" t="s">
        <v>13894</v>
      </c>
      <c r="D4668" t="str">
        <f>HYPERLINK("https://github.com/TeamNewPipe/NewPipe/issues/6845","show")</f>
        <v>show</v>
      </c>
      <c r="E4668" t="str">
        <f>HYPERLINK("https://github.com/TeamNewPipe/NewPipe","show")</f>
        <v>show</v>
      </c>
      <c r="F4668" t="str">
        <f>HYPERLINK("https://github.com/TeamNewPipe/NewPipe/releases","show")</f>
        <v>show</v>
      </c>
    </row>
    <row r="4669" spans="1:6">
      <c r="A4669" t="s">
        <v>13895</v>
      </c>
      <c r="B4669" t="s">
        <v>13896</v>
      </c>
      <c r="C4669" t="s">
        <v>13897</v>
      </c>
      <c r="D4669" t="str">
        <f>HYPERLINK("https://github.com/TeamNewPipe/NewPipe/issues/6843","show")</f>
        <v>show</v>
      </c>
      <c r="E4669" t="str">
        <f>HYPERLINK("https://github.com/TeamNewPipe/NewPipe","show")</f>
        <v>show</v>
      </c>
      <c r="F4669" t="str">
        <f>HYPERLINK("https://github.com/TeamNewPipe/NewPipe/releases","show")</f>
        <v>show</v>
      </c>
    </row>
    <row r="4670" spans="1:6">
      <c r="A4670" t="s">
        <v>13898</v>
      </c>
      <c r="B4670" t="s">
        <v>13899</v>
      </c>
      <c r="C4670" t="s">
        <v>13900</v>
      </c>
      <c r="D4670" t="str">
        <f>HYPERLINK("https://github.com/cgeo/cgeo/issues/11412","show")</f>
        <v>show</v>
      </c>
      <c r="E4670" t="str">
        <f>HYPERLINK("https://github.com/cgeo/cgeo","show")</f>
        <v>show</v>
      </c>
      <c r="F4670" t="str">
        <f>HYPERLINK("https://github.com/cgeo/cgeo/releases","show")</f>
        <v>show</v>
      </c>
    </row>
    <row r="4671" spans="1:6">
      <c r="A4671" t="s">
        <v>13901</v>
      </c>
      <c r="B4671" t="s">
        <v>4063</v>
      </c>
      <c r="C4671" t="s">
        <v>13902</v>
      </c>
      <c r="D4671" t="str">
        <f>HYPERLINK("https://github.com/Anuken/Mindustry/issues/5697","show")</f>
        <v>show</v>
      </c>
      <c r="E4671" t="str">
        <f>HYPERLINK("https://github.com/Anuken/Mindustry","show")</f>
        <v>show</v>
      </c>
      <c r="F4671" t="str">
        <f>HYPERLINK("https://github.com/Anuken/Mindustry/releases","show")</f>
        <v>show</v>
      </c>
    </row>
    <row r="4672" spans="1:6">
      <c r="A4672" t="s">
        <v>13903</v>
      </c>
      <c r="B4672" t="s">
        <v>13904</v>
      </c>
      <c r="C4672" t="s">
        <v>13905</v>
      </c>
      <c r="D4672" t="str">
        <f>HYPERLINK("https://github.com/TeamNewPipe/NewPipe/issues/6842","show")</f>
        <v>show</v>
      </c>
      <c r="E4672" t="str">
        <f>HYPERLINK("https://github.com/TeamNewPipe/NewPipe","show")</f>
        <v>show</v>
      </c>
      <c r="F4672" t="str">
        <f>HYPERLINK("https://github.com/TeamNewPipe/NewPipe/releases","show")</f>
        <v>show</v>
      </c>
    </row>
    <row r="4673" spans="1:6">
      <c r="A4673" t="s">
        <v>13906</v>
      </c>
      <c r="B4673" t="s">
        <v>13907</v>
      </c>
      <c r="C4673" t="s">
        <v>13908</v>
      </c>
      <c r="D4673" t="str">
        <f>HYPERLINK("https://github.com/aws-amplify/amplify-android/issues/1439","show")</f>
        <v>show</v>
      </c>
      <c r="E4673" t="str">
        <f>HYPERLINK("https://github.com/aws-amplify/amplify-android","show")</f>
        <v>show</v>
      </c>
      <c r="F4673" t="str">
        <f>HYPERLINK("https://github.com/aws-amplify/amplify-android/releases","show")</f>
        <v>show</v>
      </c>
    </row>
    <row r="4674" spans="1:6">
      <c r="A4674" t="s">
        <v>13909</v>
      </c>
      <c r="B4674" t="s">
        <v>13910</v>
      </c>
      <c r="C4674" t="s">
        <v>13911</v>
      </c>
      <c r="D4674" t="str">
        <f>HYPERLINK("https://github.com/PojavLauncherTeam/PojavLauncher/issues/1784","show")</f>
        <v>show</v>
      </c>
      <c r="E4674" t="str">
        <f>HYPERLINK("https://github.com/PojavLauncherTeam/PojavLauncher","show")</f>
        <v>show</v>
      </c>
      <c r="F4674" t="str">
        <f>HYPERLINK("https://github.com/PojavLauncherTeam/PojavLauncher/releases","show")</f>
        <v>show</v>
      </c>
    </row>
    <row r="4675" spans="1:6">
      <c r="A4675" t="s">
        <v>13912</v>
      </c>
      <c r="B4675" t="s">
        <v>13913</v>
      </c>
      <c r="C4675" t="s">
        <v>13914</v>
      </c>
      <c r="D4675" t="str">
        <f>HYPERLINK("https://github.com/PojavLauncherTeam/PojavLauncher/issues/1783","show")</f>
        <v>show</v>
      </c>
      <c r="E4675" t="str">
        <f>HYPERLINK("https://github.com/PojavLauncherTeam/PojavLauncher","show")</f>
        <v>show</v>
      </c>
      <c r="F4675" t="str">
        <f>HYPERLINK("https://github.com/PojavLauncherTeam/PojavLauncher/releases","show")</f>
        <v>show</v>
      </c>
    </row>
    <row r="4676" spans="1:6">
      <c r="A4676" t="s">
        <v>13915</v>
      </c>
      <c r="B4676" t="s">
        <v>13916</v>
      </c>
      <c r="C4676" t="s">
        <v>13917</v>
      </c>
      <c r="D4676" t="str">
        <f>HYPERLINK("https://github.com/pwittchen/ReactiveNetwork/issues/461","show")</f>
        <v>show</v>
      </c>
      <c r="E4676" t="str">
        <f>HYPERLINK("https://github.com/pwittchen/ReactiveNetwork","show")</f>
        <v>show</v>
      </c>
      <c r="F4676" t="str">
        <f>HYPERLINK("https://github.com/pwittchen/ReactiveNetwork/releases","show")</f>
        <v>show</v>
      </c>
    </row>
    <row r="4677" spans="1:6">
      <c r="A4677" t="s">
        <v>13918</v>
      </c>
      <c r="B4677" t="s">
        <v>13919</v>
      </c>
      <c r="C4677" t="s">
        <v>13920</v>
      </c>
      <c r="D4677" t="str">
        <f>HYPERLINK("https://github.com/nextcloud/android/issues/8804","show")</f>
        <v>show</v>
      </c>
      <c r="E4677" t="str">
        <f>HYPERLINK("https://github.com/nextcloud/android","show")</f>
        <v>show</v>
      </c>
      <c r="F4677" t="str">
        <f>HYPERLINK("https://github.com/nextcloud/android/releases","show")</f>
        <v>show</v>
      </c>
    </row>
    <row r="4678" spans="1:6">
      <c r="A4678" t="s">
        <v>13921</v>
      </c>
      <c r="B4678" t="s">
        <v>13922</v>
      </c>
      <c r="C4678" t="s">
        <v>13923</v>
      </c>
      <c r="D4678" t="str">
        <f>HYPERLINK("https://github.com/material-components/material-components-android/issues/2324","show")</f>
        <v>show</v>
      </c>
      <c r="E4678" t="str">
        <f>HYPERLINK("https://github.com/material-components/material-components-android","show")</f>
        <v>show</v>
      </c>
      <c r="F4678" t="str">
        <f>HYPERLINK("https://github.com/material-components/material-components-android/releases","show")</f>
        <v>show</v>
      </c>
    </row>
    <row r="4679" spans="1:6">
      <c r="A4679" t="s">
        <v>13924</v>
      </c>
      <c r="B4679" t="s">
        <v>13925</v>
      </c>
      <c r="C4679" t="s">
        <v>13926</v>
      </c>
      <c r="D4679" t="str">
        <f>HYPERLINK("https://github.com/deltachat/deltachat-android/issues/2012","show")</f>
        <v>show</v>
      </c>
      <c r="E4679" t="str">
        <f>HYPERLINK("https://github.com/deltachat/deltachat-android","show")</f>
        <v>show</v>
      </c>
      <c r="F4679" t="str">
        <f>HYPERLINK("https://github.com/deltachat/deltachat-android/releases","show")</f>
        <v>show</v>
      </c>
    </row>
    <row r="4680" spans="1:6">
      <c r="A4680" t="s">
        <v>13927</v>
      </c>
      <c r="B4680" t="s">
        <v>13928</v>
      </c>
      <c r="C4680" t="s">
        <v>13929</v>
      </c>
      <c r="D4680" t="str">
        <f>HYPERLINK("https://github.com/Anuken/Mindustry/issues/5693","show")</f>
        <v>show</v>
      </c>
      <c r="E4680" t="str">
        <f>HYPERLINK("https://github.com/Anuken/Mindustry","show")</f>
        <v>show</v>
      </c>
      <c r="F4680" t="str">
        <f>HYPERLINK("https://github.com/Anuken/Mindustry/releases","show")</f>
        <v>show</v>
      </c>
    </row>
    <row r="4681" spans="1:6">
      <c r="A4681" t="s">
        <v>13930</v>
      </c>
      <c r="B4681" t="s">
        <v>13931</v>
      </c>
      <c r="C4681" t="s">
        <v>13932</v>
      </c>
      <c r="D4681" t="str">
        <f>HYPERLINK("https://github.com/openid/AppAuth-Android/issues/726","show")</f>
        <v>show</v>
      </c>
      <c r="E4681" t="str">
        <f>HYPERLINK("https://github.com/openid/AppAuth-Android","show")</f>
        <v>show</v>
      </c>
      <c r="F4681" t="str">
        <f>HYPERLINK("https://github.com/openid/AppAuth-Android/releases","show")</f>
        <v>show</v>
      </c>
    </row>
    <row r="4682" spans="1:6">
      <c r="A4682" t="s">
        <v>13933</v>
      </c>
      <c r="B4682" t="s">
        <v>13934</v>
      </c>
      <c r="C4682" t="s">
        <v>13935</v>
      </c>
      <c r="D4682" t="str">
        <f>HYPERLINK("https://github.com/googleads/googleads-mobile-flutter/issues/329","show")</f>
        <v>show</v>
      </c>
      <c r="E4682" t="str">
        <f>HYPERLINK("https://github.com/googleads/googleads-mobile-flutter","show")</f>
        <v>show</v>
      </c>
      <c r="F4682" t="str">
        <f>HYPERLINK("https://github.com/googleads/googleads-mobile-flutter/releases","show")</f>
        <v>show</v>
      </c>
    </row>
    <row r="4683" spans="1:6">
      <c r="A4683" t="s">
        <v>13936</v>
      </c>
      <c r="B4683" t="s">
        <v>13937</v>
      </c>
      <c r="C4683" t="s">
        <v>13938</v>
      </c>
      <c r="D4683" t="str">
        <f>HYPERLINK("https://github.com/Anuken/Mindustry/issues/5691","show")</f>
        <v>show</v>
      </c>
      <c r="E4683" t="str">
        <f>HYPERLINK("https://github.com/Anuken/Mindustry","show")</f>
        <v>show</v>
      </c>
      <c r="F4683" t="str">
        <f>HYPERLINK("https://github.com/Anuken/Mindustry/releases","show")</f>
        <v>show</v>
      </c>
    </row>
    <row r="4684" spans="1:6">
      <c r="A4684" t="s">
        <v>13939</v>
      </c>
      <c r="B4684" t="s">
        <v>13940</v>
      </c>
      <c r="C4684" t="s">
        <v>13941</v>
      </c>
      <c r="D4684" t="str">
        <f>HYPERLINK("https://github.com/nextcloud/talk-android/issues/1510","show")</f>
        <v>show</v>
      </c>
      <c r="E4684" t="str">
        <f>HYPERLINK("https://github.com/nextcloud/talk-android","show")</f>
        <v>show</v>
      </c>
      <c r="F4684" t="str">
        <f>HYPERLINK("https://github.com/nextcloud/talk-android/releases","show")</f>
        <v>show</v>
      </c>
    </row>
    <row r="4685" spans="1:6">
      <c r="A4685" t="s">
        <v>13942</v>
      </c>
      <c r="B4685" t="s">
        <v>13943</v>
      </c>
      <c r="C4685" t="s">
        <v>13944</v>
      </c>
      <c r="D4685" t="str">
        <f>HYPERLINK("https://github.com/TeamNewPipe/NewPipe/issues/6831","show")</f>
        <v>show</v>
      </c>
      <c r="E4685" t="str">
        <f>HYPERLINK("https://github.com/TeamNewPipe/NewPipe","show")</f>
        <v>show</v>
      </c>
      <c r="F4685" t="str">
        <f>HYPERLINK("https://github.com/TeamNewPipe/NewPipe/releases","show")</f>
        <v>show</v>
      </c>
    </row>
    <row r="4686" spans="1:6">
      <c r="A4686" t="s">
        <v>13945</v>
      </c>
      <c r="B4686" t="s">
        <v>13946</v>
      </c>
      <c r="C4686" t="s">
        <v>13947</v>
      </c>
      <c r="D4686" t="str">
        <f>HYPERLINK("https://github.com/JoseJuanSE/Neo-Alexandria/issues/96","show")</f>
        <v>show</v>
      </c>
      <c r="E4686" t="str">
        <f>HYPERLINK("https://github.com/JoseJuanSE/Neo-Alexandria","show")</f>
        <v>show</v>
      </c>
      <c r="F4686" t="str">
        <f>HYPERLINK("https://github.com/JoseJuanSE/Neo-Alexandria/releases","show")</f>
        <v>show</v>
      </c>
    </row>
    <row r="4687" spans="1:6">
      <c r="A4687" t="s">
        <v>13948</v>
      </c>
      <c r="B4687" t="s">
        <v>13949</v>
      </c>
      <c r="C4687" t="s">
        <v>13950</v>
      </c>
      <c r="D4687" t="str">
        <f>HYPERLINK("https://github.com/gluonhq/substrate/issues/973","show")</f>
        <v>show</v>
      </c>
      <c r="E4687" t="str">
        <f>HYPERLINK("https://github.com/gluonhq/substrate","show")</f>
        <v>show</v>
      </c>
      <c r="F4687" t="str">
        <f>HYPERLINK("https://github.com/gluonhq/substrate/releases","show")</f>
        <v>show</v>
      </c>
    </row>
    <row r="4688" spans="1:6">
      <c r="A4688" t="s">
        <v>13951</v>
      </c>
      <c r="B4688" t="s">
        <v>13952</v>
      </c>
      <c r="C4688" t="s">
        <v>13953</v>
      </c>
      <c r="D4688" t="str">
        <f>HYPERLINK("https://github.com/iNPUTmice/lttrs-android/issues/118","show")</f>
        <v>show</v>
      </c>
      <c r="E4688" t="str">
        <f>HYPERLINK("https://github.com/iNPUTmice/lttrs-android","show")</f>
        <v>show</v>
      </c>
      <c r="F4688" t="str">
        <f>HYPERLINK("https://github.com/iNPUTmice/lttrs-android/releases","show")</f>
        <v>show</v>
      </c>
    </row>
    <row r="4689" spans="1:6">
      <c r="A4689" t="s">
        <v>13954</v>
      </c>
      <c r="B4689" t="s">
        <v>13955</v>
      </c>
      <c r="C4689" t="s">
        <v>13956</v>
      </c>
      <c r="D4689" t="str">
        <f>HYPERLINK("https://github.com/PojavLauncherTeam/PojavLauncher/issues/1771","show")</f>
        <v>show</v>
      </c>
      <c r="E4689" t="str">
        <f>HYPERLINK("https://github.com/PojavLauncherTeam/PojavLauncher","show")</f>
        <v>show</v>
      </c>
      <c r="F4689" t="str">
        <f>HYPERLINK("https://github.com/PojavLauncherTeam/PojavLauncher/releases","show")</f>
        <v>show</v>
      </c>
    </row>
    <row r="4690" spans="1:6">
      <c r="A4690" t="s">
        <v>13957</v>
      </c>
      <c r="B4690" t="s">
        <v>13958</v>
      </c>
      <c r="C4690" t="s">
        <v>13959</v>
      </c>
      <c r="D4690" t="str">
        <f>HYPERLINK("https://github.com/jellyfin/jellyfin-androidtv/issues/1061","show")</f>
        <v>show</v>
      </c>
      <c r="E4690" t="str">
        <f>HYPERLINK("https://github.com/jellyfin/jellyfin-androidtv","show")</f>
        <v>show</v>
      </c>
      <c r="F4690" t="str">
        <f>HYPERLINK("https://github.com/jellyfin/jellyfin-androidtv/releases","show")</f>
        <v>show</v>
      </c>
    </row>
    <row r="4691" spans="1:6">
      <c r="A4691" t="s">
        <v>13960</v>
      </c>
      <c r="B4691" t="s">
        <v>13961</v>
      </c>
      <c r="C4691" t="s">
        <v>13962</v>
      </c>
      <c r="D4691" t="str">
        <f>HYPERLINK("https://github.com/Anuken/Mindustry/issues/5685","show")</f>
        <v>show</v>
      </c>
      <c r="E4691" t="str">
        <f>HYPERLINK("https://github.com/Anuken/Mindustry","show")</f>
        <v>show</v>
      </c>
      <c r="F4691" t="str">
        <f>HYPERLINK("https://github.com/Anuken/Mindustry/releases","show")</f>
        <v>show</v>
      </c>
    </row>
    <row r="4692" spans="1:6">
      <c r="A4692" t="s">
        <v>13963</v>
      </c>
      <c r="B4692" t="s">
        <v>13964</v>
      </c>
      <c r="C4692" t="s">
        <v>13965</v>
      </c>
      <c r="D4692" t="str">
        <f>HYPERLINK("https://github.com/Anuken/Mindustry/issues/5684","show")</f>
        <v>show</v>
      </c>
      <c r="E4692" t="str">
        <f>HYPERLINK("https://github.com/Anuken/Mindustry","show")</f>
        <v>show</v>
      </c>
      <c r="F4692" t="str">
        <f>HYPERLINK("https://github.com/Anuken/Mindustry/releases","show")</f>
        <v>show</v>
      </c>
    </row>
    <row r="4693" spans="1:6">
      <c r="A4693" t="s">
        <v>13966</v>
      </c>
      <c r="B4693" t="s">
        <v>13967</v>
      </c>
      <c r="C4693" t="s">
        <v>13968</v>
      </c>
      <c r="D4693" t="str">
        <f>HYPERLINK("https://github.com/TeamNewPipe/NewPipe/issues/6822","show")</f>
        <v>show</v>
      </c>
      <c r="E4693" t="str">
        <f>HYPERLINK("https://github.com/TeamNewPipe/NewPipe","show")</f>
        <v>show</v>
      </c>
      <c r="F4693" t="str">
        <f>HYPERLINK("https://github.com/TeamNewPipe/NewPipe/releases","show")</f>
        <v>show</v>
      </c>
    </row>
    <row r="4694" spans="1:6">
      <c r="A4694" t="s">
        <v>13969</v>
      </c>
      <c r="B4694" t="s">
        <v>13970</v>
      </c>
      <c r="C4694" t="s">
        <v>13971</v>
      </c>
      <c r="D4694" t="str">
        <f>HYPERLINK("https://github.com/nextcloud/android/issues/8797","show")</f>
        <v>show</v>
      </c>
      <c r="E4694" t="str">
        <f>HYPERLINK("https://github.com/nextcloud/android","show")</f>
        <v>show</v>
      </c>
      <c r="F4694" t="str">
        <f>HYPERLINK("https://github.com/nextcloud/android/releases","show")</f>
        <v>show</v>
      </c>
    </row>
    <row r="4695" spans="1:6">
      <c r="A4695" t="s">
        <v>13972</v>
      </c>
      <c r="B4695" t="s">
        <v>13973</v>
      </c>
      <c r="C4695" t="s">
        <v>13974</v>
      </c>
      <c r="D4695" t="str">
        <f>HYPERLINK("https://github.com/TeamNewPipe/NewPipe/issues/6819","show")</f>
        <v>show</v>
      </c>
      <c r="E4695" t="str">
        <f>HYPERLINK("https://github.com/TeamNewPipe/NewPipe","show")</f>
        <v>show</v>
      </c>
      <c r="F4695" t="str">
        <f>HYPERLINK("https://github.com/TeamNewPipe/NewPipe/releases","show")</f>
        <v>show</v>
      </c>
    </row>
    <row r="4696" spans="1:6">
      <c r="A4696" t="s">
        <v>13975</v>
      </c>
      <c r="B4696" t="s">
        <v>13976</v>
      </c>
      <c r="C4696" t="s">
        <v>13977</v>
      </c>
      <c r="D4696" t="str">
        <f>HYPERLINK("https://github.com/Anuken/Mindustry/issues/5681","show")</f>
        <v>show</v>
      </c>
      <c r="E4696" t="str">
        <f>HYPERLINK("https://github.com/Anuken/Mindustry","show")</f>
        <v>show</v>
      </c>
      <c r="F4696" t="str">
        <f>HYPERLINK("https://github.com/Anuken/Mindustry/releases","show")</f>
        <v>show</v>
      </c>
    </row>
    <row r="4697" spans="1:6">
      <c r="A4697" t="s">
        <v>13978</v>
      </c>
      <c r="B4697" t="s">
        <v>13979</v>
      </c>
      <c r="C4697" t="s">
        <v>13980</v>
      </c>
      <c r="D4697" t="str">
        <f>HYPERLINK("https://github.com/Anuken/Mindustry/issues/5679","show")</f>
        <v>show</v>
      </c>
      <c r="E4697" t="str">
        <f>HYPERLINK("https://github.com/Anuken/Mindustry","show")</f>
        <v>show</v>
      </c>
      <c r="F4697" t="str">
        <f>HYPERLINK("https://github.com/Anuken/Mindustry/releases","show")</f>
        <v>show</v>
      </c>
    </row>
    <row r="4698" spans="1:6">
      <c r="A4698" t="s">
        <v>13981</v>
      </c>
      <c r="B4698" t="s">
        <v>13982</v>
      </c>
      <c r="C4698" t="s">
        <v>13983</v>
      </c>
      <c r="D4698" t="str">
        <f>HYPERLINK("https://github.com/Anuken/Mindustry/issues/5678","show")</f>
        <v>show</v>
      </c>
      <c r="E4698" t="str">
        <f>HYPERLINK("https://github.com/Anuken/Mindustry","show")</f>
        <v>show</v>
      </c>
      <c r="F4698" t="str">
        <f>HYPERLINK("https://github.com/Anuken/Mindustry/releases","show")</f>
        <v>show</v>
      </c>
    </row>
    <row r="4699" spans="1:6">
      <c r="A4699" t="s">
        <v>13984</v>
      </c>
      <c r="B4699" t="s">
        <v>13985</v>
      </c>
      <c r="C4699" t="s">
        <v>13986</v>
      </c>
      <c r="D4699" t="str">
        <f>HYPERLINK("https://github.com/Anuken/Mindustry/issues/5677","show")</f>
        <v>show</v>
      </c>
      <c r="E4699" t="str">
        <f>HYPERLINK("https://github.com/Anuken/Mindustry","show")</f>
        <v>show</v>
      </c>
      <c r="F4699" t="str">
        <f>HYPERLINK("https://github.com/Anuken/Mindustry/releases","show")</f>
        <v>show</v>
      </c>
    </row>
    <row r="4700" spans="1:6">
      <c r="A4700" t="s">
        <v>13987</v>
      </c>
      <c r="B4700" t="s">
        <v>13988</v>
      </c>
      <c r="C4700" t="s">
        <v>13989</v>
      </c>
      <c r="D4700" t="str">
        <f>HYPERLINK("https://github.com/PojavLauncherTeam/PojavLauncher/issues/1760","show")</f>
        <v>show</v>
      </c>
      <c r="E4700" t="str">
        <f>HYPERLINK("https://github.com/PojavLauncherTeam/PojavLauncher","show")</f>
        <v>show</v>
      </c>
      <c r="F4700" t="str">
        <f>HYPERLINK("https://github.com/PojavLauncherTeam/PojavLauncher/releases","show")</f>
        <v>show</v>
      </c>
    </row>
    <row r="4701" spans="1:6">
      <c r="A4701" t="s">
        <v>13990</v>
      </c>
      <c r="B4701" t="s">
        <v>13991</v>
      </c>
      <c r="C4701" t="s">
        <v>13992</v>
      </c>
      <c r="D4701" t="str">
        <f>HYPERLINK("https://github.com/PojavLauncherTeam/PojavLauncher/issues/1759","show")</f>
        <v>show</v>
      </c>
      <c r="E4701" t="str">
        <f>HYPERLINK("https://github.com/PojavLauncherTeam/PojavLauncher","show")</f>
        <v>show</v>
      </c>
      <c r="F4701" t="str">
        <f>HYPERLINK("https://github.com/PojavLauncherTeam/PojavLauncher/releases","show")</f>
        <v>show</v>
      </c>
    </row>
    <row r="4702" spans="1:6">
      <c r="A4702" t="s">
        <v>13993</v>
      </c>
      <c r="B4702" t="s">
        <v>13994</v>
      </c>
      <c r="C4702" t="s">
        <v>13995</v>
      </c>
      <c r="D4702" t="str">
        <f>HYPERLINK("https://github.com/flutter-package/images_picker/issues/41","show")</f>
        <v>show</v>
      </c>
      <c r="E4702" t="str">
        <f>HYPERLINK("https://github.com/flutter-package/images_picker","show")</f>
        <v>show</v>
      </c>
      <c r="F4702" t="str">
        <f>HYPERLINK("https://github.com/flutter-package/images_picker/releases","show")</f>
        <v>show</v>
      </c>
    </row>
    <row r="4703" spans="1:6">
      <c r="A4703" t="s">
        <v>13996</v>
      </c>
      <c r="B4703" t="s">
        <v>13997</v>
      </c>
      <c r="C4703" t="s">
        <v>13998</v>
      </c>
      <c r="D4703" t="str">
        <f>HYPERLINK("https://github.com/nextcloud/android/issues/8793","show")</f>
        <v>show</v>
      </c>
      <c r="E4703" t="str">
        <f>HYPERLINK("https://github.com/nextcloud/android","show")</f>
        <v>show</v>
      </c>
      <c r="F4703" t="str">
        <f>HYPERLINK("https://github.com/nextcloud/android/releases","show")</f>
        <v>show</v>
      </c>
    </row>
    <row r="4704" spans="1:6">
      <c r="A4704" t="s">
        <v>13999</v>
      </c>
      <c r="B4704" t="s">
        <v>14000</v>
      </c>
      <c r="C4704" t="s">
        <v>14001</v>
      </c>
      <c r="D4704" t="str">
        <f>HYPERLINK("https://github.com/Anuken/Mindustry/issues/5675","show")</f>
        <v>show</v>
      </c>
      <c r="E4704" t="str">
        <f>HYPERLINK("https://github.com/Anuken/Mindustry","show")</f>
        <v>show</v>
      </c>
      <c r="F4704" t="str">
        <f>HYPERLINK("https://github.com/Anuken/Mindustry/releases","show")</f>
        <v>show</v>
      </c>
    </row>
    <row r="4705" spans="1:6">
      <c r="A4705" t="s">
        <v>14002</v>
      </c>
      <c r="B4705" t="s">
        <v>14003</v>
      </c>
      <c r="C4705" t="s">
        <v>14004</v>
      </c>
      <c r="D4705" t="str">
        <f>HYPERLINK("https://github.com/Anuken/Mindustry/issues/5672","show")</f>
        <v>show</v>
      </c>
      <c r="E4705" t="str">
        <f>HYPERLINK("https://github.com/Anuken/Mindustry","show")</f>
        <v>show</v>
      </c>
      <c r="F4705" t="str">
        <f>HYPERLINK("https://github.com/Anuken/Mindustry/releases","show")</f>
        <v>show</v>
      </c>
    </row>
    <row r="4706" spans="1:6">
      <c r="A4706" t="s">
        <v>14005</v>
      </c>
      <c r="B4706" t="s">
        <v>14006</v>
      </c>
      <c r="C4706" t="s">
        <v>14007</v>
      </c>
      <c r="D4706" t="str">
        <f>HYPERLINK("https://github.com/PojavLauncherTeam/PojavLauncher/issues/1756","show")</f>
        <v>show</v>
      </c>
      <c r="E4706" t="str">
        <f>HYPERLINK("https://github.com/PojavLauncherTeam/PojavLauncher","show")</f>
        <v>show</v>
      </c>
      <c r="F4706" t="str">
        <f>HYPERLINK("https://github.com/PojavLauncherTeam/PojavLauncher/releases","show")</f>
        <v>show</v>
      </c>
    </row>
    <row r="4707" spans="1:6">
      <c r="A4707" t="s">
        <v>14008</v>
      </c>
      <c r="B4707" t="s">
        <v>14009</v>
      </c>
      <c r="C4707" t="s">
        <v>14010</v>
      </c>
      <c r="D4707" t="str">
        <f>HYPERLINK("https://github.com/k9mail/k-9/issues/5486","show")</f>
        <v>show</v>
      </c>
      <c r="E4707" t="str">
        <f>HYPERLINK("https://github.com/k9mail/k-9","show")</f>
        <v>show</v>
      </c>
      <c r="F4707" t="str">
        <f>HYPERLINK("https://github.com/k9mail/k-9/releases","show")</f>
        <v>show</v>
      </c>
    </row>
    <row r="4708" spans="1:6">
      <c r="A4708" t="s">
        <v>14011</v>
      </c>
      <c r="B4708" t="s">
        <v>14012</v>
      </c>
      <c r="C4708" t="s">
        <v>14013</v>
      </c>
      <c r="D4708" t="str">
        <f>HYPERLINK("https://github.com/andOTP/andOTP/issues/879","show")</f>
        <v>show</v>
      </c>
      <c r="E4708" t="str">
        <f>HYPERLINK("https://github.com/andOTP/andOTP","show")</f>
        <v>show</v>
      </c>
      <c r="F4708" t="str">
        <f>HYPERLINK("https://github.com/andOTP/andOTP/releases","show")</f>
        <v>show</v>
      </c>
    </row>
    <row r="4709" spans="1:6">
      <c r="A4709" t="s">
        <v>14014</v>
      </c>
      <c r="B4709" t="s">
        <v>14015</v>
      </c>
      <c r="C4709" t="s">
        <v>14016</v>
      </c>
      <c r="D4709" t="str">
        <f>HYPERLINK("https://github.com/GoogleCloudPlatform/fda-mystudies/issues/3974","show")</f>
        <v>show</v>
      </c>
      <c r="E4709" t="str">
        <f>HYPERLINK("https://github.com/GoogleCloudPlatform/fda-mystudies","show")</f>
        <v>show</v>
      </c>
      <c r="F4709" t="str">
        <f>HYPERLINK("https://github.com/GoogleCloudPlatform/fda-mystudies/releases","show")</f>
        <v>show</v>
      </c>
    </row>
    <row r="4710" spans="1:6">
      <c r="A4710" t="s">
        <v>14017</v>
      </c>
      <c r="B4710" t="s">
        <v>14018</v>
      </c>
      <c r="C4710" t="s">
        <v>14019</v>
      </c>
      <c r="D4710" t="str">
        <f>HYPERLINK("https://github.com/MuntashirAkon/AppManager/issues/536","show")</f>
        <v>show</v>
      </c>
      <c r="E4710" t="str">
        <f>HYPERLINK("https://github.com/MuntashirAkon/AppManager","show")</f>
        <v>show</v>
      </c>
      <c r="F4710" t="str">
        <f>HYPERLINK("https://github.com/MuntashirAkon/AppManager/releases","show")</f>
        <v>show</v>
      </c>
    </row>
    <row r="4711" spans="1:6">
      <c r="A4711" t="s">
        <v>14020</v>
      </c>
      <c r="B4711" t="s">
        <v>14021</v>
      </c>
      <c r="C4711" t="s">
        <v>14022</v>
      </c>
      <c r="D4711" t="str">
        <f>HYPERLINK("https://github.com/TeamNewPipe/NewPipe/issues/6806","show")</f>
        <v>show</v>
      </c>
      <c r="E4711" t="str">
        <f>HYPERLINK("https://github.com/TeamNewPipe/NewPipe","show")</f>
        <v>show</v>
      </c>
      <c r="F4711" t="str">
        <f>HYPERLINK("https://github.com/TeamNewPipe/NewPipe/releases","show")</f>
        <v>show</v>
      </c>
    </row>
    <row r="4712" spans="1:6">
      <c r="A4712" t="s">
        <v>14023</v>
      </c>
      <c r="B4712" t="s">
        <v>14024</v>
      </c>
      <c r="C4712" t="s">
        <v>14025</v>
      </c>
      <c r="D4712" t="str">
        <f>HYPERLINK("https://github.com/TeamNewPipe/NewPipe/issues/6805","show")</f>
        <v>show</v>
      </c>
      <c r="E4712" t="str">
        <f>HYPERLINK("https://github.com/TeamNewPipe/NewPipe","show")</f>
        <v>show</v>
      </c>
      <c r="F4712" t="str">
        <f>HYPERLINK("https://github.com/TeamNewPipe/NewPipe/releases","show")</f>
        <v>show</v>
      </c>
    </row>
    <row r="4713" spans="1:6">
      <c r="A4713" t="s">
        <v>14026</v>
      </c>
      <c r="B4713" t="s">
        <v>14027</v>
      </c>
      <c r="C4713" t="s">
        <v>14028</v>
      </c>
      <c r="D4713" t="str">
        <f>HYPERLINK("https://github.com/TeamNewPipe/NewPipe/issues/6804","show")</f>
        <v>show</v>
      </c>
      <c r="E4713" t="str">
        <f>HYPERLINK("https://github.com/TeamNewPipe/NewPipe","show")</f>
        <v>show</v>
      </c>
      <c r="F4713" t="str">
        <f>HYPERLINK("https://github.com/TeamNewPipe/NewPipe/releases","show")</f>
        <v>show</v>
      </c>
    </row>
    <row r="4714" spans="1:6">
      <c r="A4714" t="s">
        <v>14029</v>
      </c>
      <c r="B4714" t="s">
        <v>14030</v>
      </c>
      <c r="C4714" t="s">
        <v>14031</v>
      </c>
      <c r="D4714" t="str">
        <f>HYPERLINK("https://github.com/PhenoApps/Field-Book/issues/299","show")</f>
        <v>show</v>
      </c>
      <c r="E4714" t="str">
        <f>HYPERLINK("https://github.com/PhenoApps/Field-Book","show")</f>
        <v>show</v>
      </c>
      <c r="F4714" t="str">
        <f>HYPERLINK("https://github.com/PhenoApps/Field-Book/releases","show")</f>
        <v>show</v>
      </c>
    </row>
    <row r="4715" spans="1:6">
      <c r="A4715" t="s">
        <v>14032</v>
      </c>
      <c r="B4715" t="s">
        <v>14033</v>
      </c>
      <c r="C4715" t="s">
        <v>14034</v>
      </c>
      <c r="D4715" t="str">
        <f>HYPERLINK("https://github.com/nextcloud/android/issues/8785","show")</f>
        <v>show</v>
      </c>
      <c r="E4715" t="str">
        <f>HYPERLINK("https://github.com/nextcloud/android","show")</f>
        <v>show</v>
      </c>
      <c r="F4715" t="str">
        <f>HYPERLINK("https://github.com/nextcloud/android/releases","show")</f>
        <v>show</v>
      </c>
    </row>
    <row r="4716" spans="1:6">
      <c r="A4716" t="s">
        <v>14035</v>
      </c>
      <c r="B4716" t="s">
        <v>14036</v>
      </c>
      <c r="C4716" t="s">
        <v>14037</v>
      </c>
      <c r="D4716" t="str">
        <f>HYPERLINK("https://github.com/TeamNewPipe/NewPipe/issues/6803","show")</f>
        <v>show</v>
      </c>
      <c r="E4716" t="str">
        <f>HYPERLINK("https://github.com/TeamNewPipe/NewPipe","show")</f>
        <v>show</v>
      </c>
      <c r="F4716" t="str">
        <f>HYPERLINK("https://github.com/TeamNewPipe/NewPipe/releases","show")</f>
        <v>show</v>
      </c>
    </row>
    <row r="4717" spans="1:6">
      <c r="A4717" t="s">
        <v>14038</v>
      </c>
      <c r="B4717" t="s">
        <v>14039</v>
      </c>
      <c r="C4717" t="s">
        <v>14040</v>
      </c>
      <c r="D4717" t="str">
        <f>HYPERLINK("https://github.com/TeamNewPipe/NewPipe/issues/6802","show")</f>
        <v>show</v>
      </c>
      <c r="E4717" t="str">
        <f>HYPERLINK("https://github.com/TeamNewPipe/NewPipe","show")</f>
        <v>show</v>
      </c>
      <c r="F4717" t="str">
        <f>HYPERLINK("https://github.com/TeamNewPipe/NewPipe/releases","show")</f>
        <v>show</v>
      </c>
    </row>
    <row r="4718" spans="1:6">
      <c r="A4718" t="s">
        <v>14041</v>
      </c>
      <c r="B4718" t="s">
        <v>14042</v>
      </c>
      <c r="C4718" t="s">
        <v>13541</v>
      </c>
      <c r="D4718" t="str">
        <f>HYPERLINK("https://github.com/TeamNewPipe/NewPipe/issues/6801","show")</f>
        <v>show</v>
      </c>
      <c r="E4718" t="str">
        <f>HYPERLINK("https://github.com/TeamNewPipe/NewPipe","show")</f>
        <v>show</v>
      </c>
      <c r="F4718" t="str">
        <f>HYPERLINK("https://github.com/TeamNewPipe/NewPipe/releases","show")</f>
        <v>show</v>
      </c>
    </row>
    <row r="4719" spans="1:6">
      <c r="A4719" t="s">
        <v>14043</v>
      </c>
      <c r="B4719" t="s">
        <v>14044</v>
      </c>
      <c r="C4719" t="s">
        <v>14045</v>
      </c>
      <c r="D4719" t="str">
        <f>HYPERLINK("https://github.com/OdyseeTeam/odysee-android/issues/1","show")</f>
        <v>show</v>
      </c>
      <c r="E4719" t="str">
        <f>HYPERLINK("https://github.com/OdyseeTeam/odysee-android","show")</f>
        <v>show</v>
      </c>
      <c r="F4719" t="str">
        <f>HYPERLINK("https://github.com/OdyseeTeam/odysee-android/releases","show")</f>
        <v>show</v>
      </c>
    </row>
    <row r="4720" spans="1:6">
      <c r="A4720" t="s">
        <v>14046</v>
      </c>
      <c r="B4720" t="s">
        <v>14047</v>
      </c>
      <c r="C4720" t="s">
        <v>14048</v>
      </c>
      <c r="D4720" t="str">
        <f>HYPERLINK("https://github.com/TeamNewPipe/NewPipe/issues/6799","show")</f>
        <v>show</v>
      </c>
      <c r="E4720" t="str">
        <f>HYPERLINK("https://github.com/TeamNewPipe/NewPipe","show")</f>
        <v>show</v>
      </c>
      <c r="F4720" t="str">
        <f>HYPERLINK("https://github.com/TeamNewPipe/NewPipe/releases","show")</f>
        <v>show</v>
      </c>
    </row>
    <row r="4721" spans="1:6">
      <c r="A4721" t="s">
        <v>14049</v>
      </c>
      <c r="B4721" t="s">
        <v>14050</v>
      </c>
      <c r="C4721" t="s">
        <v>14051</v>
      </c>
      <c r="D4721" t="str">
        <f>HYPERLINK("https://github.com/XiangRongLin/NewPipe-preuinified/issues/6","show")</f>
        <v>show</v>
      </c>
      <c r="E4721" t="str">
        <f>HYPERLINK("https://github.com/XiangRongLin/NewPipe-preuinified","show")</f>
        <v>show</v>
      </c>
      <c r="F4721" t="str">
        <f>HYPERLINK("https://github.com/XiangRongLin/NewPipe-preuinified/releases","show")</f>
        <v>show</v>
      </c>
    </row>
    <row r="4722" spans="1:6">
      <c r="A4722" t="s">
        <v>14052</v>
      </c>
      <c r="B4722" t="s">
        <v>14053</v>
      </c>
      <c r="C4722" t="s">
        <v>14054</v>
      </c>
      <c r="D4722" t="str">
        <f>HYPERLINK("https://github.com/PojavLauncherTeam/PojavLauncher/issues/1745","show")</f>
        <v>show</v>
      </c>
      <c r="E4722" t="str">
        <f>HYPERLINK("https://github.com/PojavLauncherTeam/PojavLauncher","show")</f>
        <v>show</v>
      </c>
      <c r="F4722" t="str">
        <f>HYPERLINK("https://github.com/PojavLauncherTeam/PojavLauncher/releases","show")</f>
        <v>show</v>
      </c>
    </row>
    <row r="4723" spans="1:6">
      <c r="A4723" t="s">
        <v>14055</v>
      </c>
      <c r="B4723" t="s">
        <v>14056</v>
      </c>
      <c r="C4723" t="s">
        <v>14057</v>
      </c>
      <c r="D4723" t="str">
        <f>HYPERLINK("https://github.com/TeamNewPipe/NewPipe/issues/6794","show")</f>
        <v>show</v>
      </c>
      <c r="E4723" t="str">
        <f>HYPERLINK("https://github.com/TeamNewPipe/NewPipe","show")</f>
        <v>show</v>
      </c>
      <c r="F4723" t="str">
        <f>HYPERLINK("https://github.com/TeamNewPipe/NewPipe/releases","show")</f>
        <v>show</v>
      </c>
    </row>
    <row r="4724" spans="1:6">
      <c r="A4724" t="s">
        <v>14058</v>
      </c>
      <c r="B4724" t="s">
        <v>14059</v>
      </c>
      <c r="C4724" t="s">
        <v>14060</v>
      </c>
      <c r="D4724" t="str">
        <f>HYPERLINK("https://github.com/TeamNewPipe/NewPipe/issues/6793","show")</f>
        <v>show</v>
      </c>
      <c r="E4724" t="str">
        <f>HYPERLINK("https://github.com/TeamNewPipe/NewPipe","show")</f>
        <v>show</v>
      </c>
      <c r="F4724" t="str">
        <f>HYPERLINK("https://github.com/TeamNewPipe/NewPipe/releases","show")</f>
        <v>show</v>
      </c>
    </row>
    <row r="4725" spans="1:6">
      <c r="A4725" t="s">
        <v>14061</v>
      </c>
      <c r="B4725" t="s">
        <v>14062</v>
      </c>
      <c r="C4725" t="s">
        <v>14063</v>
      </c>
      <c r="D4725" t="str">
        <f>HYPERLINK("https://github.com/getodk/collect/issues/4747","show")</f>
        <v>show</v>
      </c>
      <c r="E4725" t="str">
        <f>HYPERLINK("https://github.com/getodk/collect","show")</f>
        <v>show</v>
      </c>
      <c r="F4725" t="str">
        <f>HYPERLINK("https://github.com/getodk/collect/releases","show")</f>
        <v>show</v>
      </c>
    </row>
    <row r="4726" spans="1:6">
      <c r="A4726" t="s">
        <v>14064</v>
      </c>
      <c r="B4726" t="s">
        <v>14065</v>
      </c>
      <c r="C4726" t="s">
        <v>14066</v>
      </c>
      <c r="D4726" t="str">
        <f>HYPERLINK("https://github.com/TeamNewPipe/NewPipe/issues/6790","show")</f>
        <v>show</v>
      </c>
      <c r="E4726" t="str">
        <f>HYPERLINK("https://github.com/TeamNewPipe/NewPipe","show")</f>
        <v>show</v>
      </c>
      <c r="F4726" t="str">
        <f>HYPERLINK("https://github.com/TeamNewPipe/NewPipe/releases","show")</f>
        <v>show</v>
      </c>
    </row>
    <row r="4727" spans="1:6">
      <c r="A4727" t="s">
        <v>14067</v>
      </c>
      <c r="B4727" t="s">
        <v>14068</v>
      </c>
      <c r="C4727" t="s">
        <v>14069</v>
      </c>
      <c r="D4727" t="str">
        <f>HYPERLINK("https://github.com/stefan-niedermann/nextcloud-notes/issues/1308","show")</f>
        <v>show</v>
      </c>
      <c r="E4727" t="str">
        <f>HYPERLINK("https://github.com/stefan-niedermann/nextcloud-notes","show")</f>
        <v>show</v>
      </c>
      <c r="F4727" t="str">
        <f>HYPERLINK("https://github.com/stefan-niedermann/nextcloud-notes/releases","show")</f>
        <v>show</v>
      </c>
    </row>
    <row r="4728" spans="1:6">
      <c r="A4728" t="s">
        <v>14070</v>
      </c>
      <c r="B4728" t="s">
        <v>14071</v>
      </c>
      <c r="C4728" t="s">
        <v>14072</v>
      </c>
      <c r="D4728" t="str">
        <f>HYPERLINK("https://github.com/getodk/collect/issues/4744","show")</f>
        <v>show</v>
      </c>
      <c r="E4728" t="str">
        <f>HYPERLINK("https://github.com/getodk/collect","show")</f>
        <v>show</v>
      </c>
      <c r="F4728" t="str">
        <f>HYPERLINK("https://github.com/getodk/collect/releases","show")</f>
        <v>show</v>
      </c>
    </row>
    <row r="4729" spans="1:6">
      <c r="A4729" t="s">
        <v>14073</v>
      </c>
      <c r="B4729" t="s">
        <v>14074</v>
      </c>
      <c r="C4729" t="s">
        <v>14075</v>
      </c>
      <c r="D4729" t="str">
        <f>HYPERLINK("https://github.com/getodk/collect/issues/4743","show")</f>
        <v>show</v>
      </c>
      <c r="E4729" t="str">
        <f>HYPERLINK("https://github.com/getodk/collect","show")</f>
        <v>show</v>
      </c>
      <c r="F4729" t="str">
        <f>HYPERLINK("https://github.com/getodk/collect/releases","show")</f>
        <v>show</v>
      </c>
    </row>
    <row r="4730" spans="1:6">
      <c r="A4730" t="s">
        <v>14076</v>
      </c>
      <c r="B4730" t="s">
        <v>14077</v>
      </c>
      <c r="C4730" t="s">
        <v>14078</v>
      </c>
      <c r="D4730" t="str">
        <f>HYPERLINK("https://github.com/gluonhq/substrate/issues/970","show")</f>
        <v>show</v>
      </c>
      <c r="E4730" t="str">
        <f>HYPERLINK("https://github.com/gluonhq/substrate","show")</f>
        <v>show</v>
      </c>
      <c r="F4730" t="str">
        <f>HYPERLINK("https://github.com/gluonhq/substrate/releases","show")</f>
        <v>show</v>
      </c>
    </row>
    <row r="4731" spans="1:6">
      <c r="A4731" t="s">
        <v>14079</v>
      </c>
      <c r="B4731" t="s">
        <v>14080</v>
      </c>
      <c r="C4731" t="s">
        <v>14081</v>
      </c>
      <c r="D4731" t="str">
        <f>HYPERLINK("https://github.com/getodk/collect/issues/4741","show")</f>
        <v>show</v>
      </c>
      <c r="E4731" t="str">
        <f>HYPERLINK("https://github.com/getodk/collect","show")</f>
        <v>show</v>
      </c>
      <c r="F4731" t="str">
        <f>HYPERLINK("https://github.com/getodk/collect/releases","show")</f>
        <v>show</v>
      </c>
    </row>
    <row r="4732" spans="1:6">
      <c r="A4732" t="s">
        <v>14082</v>
      </c>
      <c r="B4732" t="s">
        <v>14083</v>
      </c>
      <c r="C4732" t="s">
        <v>14084</v>
      </c>
      <c r="D4732" t="str">
        <f>HYPERLINK("https://github.com/TeamNewPipe/NewPipe/issues/6788","show")</f>
        <v>show</v>
      </c>
      <c r="E4732" t="str">
        <f>HYPERLINK("https://github.com/TeamNewPipe/NewPipe","show")</f>
        <v>show</v>
      </c>
      <c r="F4732" t="str">
        <f>HYPERLINK("https://github.com/TeamNewPipe/NewPipe/releases","show")</f>
        <v>show</v>
      </c>
    </row>
    <row r="4733" spans="1:6">
      <c r="A4733" t="s">
        <v>14085</v>
      </c>
      <c r="B4733" t="s">
        <v>14086</v>
      </c>
      <c r="C4733" t="s">
        <v>14087</v>
      </c>
      <c r="D4733" t="str">
        <f>HYPERLINK("https://github.com/getodk/collect/issues/4740","show")</f>
        <v>show</v>
      </c>
      <c r="E4733" t="str">
        <f>HYPERLINK("https://github.com/getodk/collect","show")</f>
        <v>show</v>
      </c>
      <c r="F4733" t="str">
        <f>HYPERLINK("https://github.com/getodk/collect/releases","show")</f>
        <v>show</v>
      </c>
    </row>
    <row r="4734" spans="1:6">
      <c r="A4734" t="s">
        <v>14088</v>
      </c>
      <c r="B4734" t="s">
        <v>14089</v>
      </c>
      <c r="C4734" t="s">
        <v>14090</v>
      </c>
      <c r="D4734" t="str">
        <f>HYPERLINK("https://github.com/MadivaLenny/Calculator/issues/1","show")</f>
        <v>show</v>
      </c>
      <c r="E4734" t="str">
        <f>HYPERLINK("https://github.com/MadivaLenny/Calculator","show")</f>
        <v>show</v>
      </c>
      <c r="F4734" t="str">
        <f>HYPERLINK("https://github.com/MadivaLenny/Calculator/releases","show")</f>
        <v>show</v>
      </c>
    </row>
    <row r="4735" spans="1:6">
      <c r="A4735" t="s">
        <v>14091</v>
      </c>
      <c r="B4735" t="s">
        <v>14092</v>
      </c>
      <c r="C4735" t="s">
        <v>14093</v>
      </c>
      <c r="D4735" t="str">
        <f>HYPERLINK("https://github.com/opensrp/opensrp-client-chw/issues/1842","show")</f>
        <v>show</v>
      </c>
      <c r="E4735" t="str">
        <f>HYPERLINK("https://github.com/opensrp/opensrp-client-chw","show")</f>
        <v>show</v>
      </c>
      <c r="F4735" t="str">
        <f>HYPERLINK("https://github.com/opensrp/opensrp-client-chw/releases","show")</f>
        <v>show</v>
      </c>
    </row>
    <row r="4736" spans="1:6">
      <c r="A4736" t="s">
        <v>14094</v>
      </c>
      <c r="B4736" t="s">
        <v>14095</v>
      </c>
      <c r="C4736" t="s">
        <v>14096</v>
      </c>
      <c r="D4736" t="str">
        <f>HYPERLINK("https://github.com/TeamNewPipe/NewPipe/issues/6783","show")</f>
        <v>show</v>
      </c>
      <c r="E4736" t="str">
        <f>HYPERLINK("https://github.com/TeamNewPipe/NewPipe","show")</f>
        <v>show</v>
      </c>
      <c r="F4736" t="str">
        <f>HYPERLINK("https://github.com/TeamNewPipe/NewPipe/releases","show")</f>
        <v>show</v>
      </c>
    </row>
    <row r="4737" spans="1:6">
      <c r="A4737" t="s">
        <v>14097</v>
      </c>
      <c r="B4737" t="s">
        <v>14098</v>
      </c>
      <c r="C4737" t="s">
        <v>14099</v>
      </c>
      <c r="D4737" t="str">
        <f>HYPERLINK("https://github.com/TeamNewPipe/NewPipe/issues/6781","show")</f>
        <v>show</v>
      </c>
      <c r="E4737" t="str">
        <f>HYPERLINK("https://github.com/TeamNewPipe/NewPipe","show")</f>
        <v>show</v>
      </c>
      <c r="F4737" t="str">
        <f>HYPERLINK("https://github.com/TeamNewPipe/NewPipe/releases","show")</f>
        <v>show</v>
      </c>
    </row>
    <row r="4738" spans="1:6">
      <c r="A4738" t="s">
        <v>14100</v>
      </c>
      <c r="B4738" t="s">
        <v>14101</v>
      </c>
      <c r="C4738" t="s">
        <v>14102</v>
      </c>
      <c r="D4738" t="str">
        <f>HYPERLINK("https://github.com/nextcloud/android/issues/8772","show")</f>
        <v>show</v>
      </c>
      <c r="E4738" t="str">
        <f>HYPERLINK("https://github.com/nextcloud/android","show")</f>
        <v>show</v>
      </c>
      <c r="F4738" t="str">
        <f>HYPERLINK("https://github.com/nextcloud/android/releases","show")</f>
        <v>show</v>
      </c>
    </row>
    <row r="4739" spans="1:6">
      <c r="A4739" t="s">
        <v>14103</v>
      </c>
      <c r="B4739" t="s">
        <v>14104</v>
      </c>
      <c r="C4739" t="s">
        <v>14105</v>
      </c>
      <c r="D4739" t="str">
        <f>HYPERLINK("https://github.com/k9mail/k-9/issues/5457","show")</f>
        <v>show</v>
      </c>
      <c r="E4739" t="str">
        <f>HYPERLINK("https://github.com/k9mail/k-9","show")</f>
        <v>show</v>
      </c>
      <c r="F4739" t="str">
        <f>HYPERLINK("https://github.com/k9mail/k-9/releases","show")</f>
        <v>show</v>
      </c>
    </row>
    <row r="4740" spans="1:6">
      <c r="A4740" t="s">
        <v>14106</v>
      </c>
      <c r="B4740" t="s">
        <v>14107</v>
      </c>
      <c r="C4740" t="s">
        <v>14108</v>
      </c>
      <c r="D4740" t="str">
        <f>HYPERLINK("https://github.com/TeamNewPipe/NewPipe/issues/6780","show")</f>
        <v>show</v>
      </c>
      <c r="E4740" t="str">
        <f>HYPERLINK("https://github.com/TeamNewPipe/NewPipe","show")</f>
        <v>show</v>
      </c>
      <c r="F4740" t="str">
        <f>HYPERLINK("https://github.com/TeamNewPipe/NewPipe/releases","show")</f>
        <v>show</v>
      </c>
    </row>
    <row r="4741" spans="1:6">
      <c r="A4741" t="s">
        <v>14109</v>
      </c>
      <c r="B4741" t="s">
        <v>14110</v>
      </c>
      <c r="C4741" t="s">
        <v>14111</v>
      </c>
      <c r="D4741" t="str">
        <f>HYPERLINK("https://github.com/nextcloud/android/issues/8771","show")</f>
        <v>show</v>
      </c>
      <c r="E4741" t="str">
        <f>HYPERLINK("https://github.com/nextcloud/android","show")</f>
        <v>show</v>
      </c>
      <c r="F4741" t="str">
        <f>HYPERLINK("https://github.com/nextcloud/android/releases","show")</f>
        <v>show</v>
      </c>
    </row>
    <row r="4742" spans="1:6">
      <c r="A4742" t="s">
        <v>14112</v>
      </c>
      <c r="B4742" t="s">
        <v>14113</v>
      </c>
      <c r="C4742" t="s">
        <v>14114</v>
      </c>
      <c r="D4742" t="str">
        <f>HYPERLINK("https://github.com/google/ExoPlayer/issues/9227","show")</f>
        <v>show</v>
      </c>
      <c r="E4742" t="str">
        <f>HYPERLINK("https://github.com/google/ExoPlayer","show")</f>
        <v>show</v>
      </c>
      <c r="F4742" t="str">
        <f>HYPERLINK("https://github.com/google/ExoPlayer/releases","show")</f>
        <v>show</v>
      </c>
    </row>
    <row r="4743" spans="1:6">
      <c r="A4743" t="s">
        <v>14115</v>
      </c>
      <c r="B4743" t="s">
        <v>14116</v>
      </c>
      <c r="C4743" t="s">
        <v>14117</v>
      </c>
      <c r="D4743" t="str">
        <f>HYPERLINK("https://github.com/getodk/collect/issues/4733","show")</f>
        <v>show</v>
      </c>
      <c r="E4743" t="str">
        <f>HYPERLINK("https://github.com/getodk/collect","show")</f>
        <v>show</v>
      </c>
      <c r="F4743" t="str">
        <f>HYPERLINK("https://github.com/getodk/collect/releases","show")</f>
        <v>show</v>
      </c>
    </row>
    <row r="4744" spans="1:6">
      <c r="A4744" t="s">
        <v>14118</v>
      </c>
      <c r="B4744" t="s">
        <v>14119</v>
      </c>
      <c r="C4744" t="s">
        <v>12094</v>
      </c>
      <c r="D4744" t="str">
        <f>HYPERLINK("https://github.com/Anuken/Mindustry/issues/5654","show")</f>
        <v>show</v>
      </c>
      <c r="E4744" t="str">
        <f>HYPERLINK("https://github.com/Anuken/Mindustry","show")</f>
        <v>show</v>
      </c>
      <c r="F4744" t="str">
        <f>HYPERLINK("https://github.com/Anuken/Mindustry/releases","show")</f>
        <v>show</v>
      </c>
    </row>
    <row r="4745" spans="1:6">
      <c r="A4745" t="s">
        <v>14120</v>
      </c>
      <c r="B4745" t="s">
        <v>14121</v>
      </c>
      <c r="C4745" t="s">
        <v>14122</v>
      </c>
      <c r="D4745" t="str">
        <f>HYPERLINK("https://github.com/cgeo/cgeo/issues/11332","show")</f>
        <v>show</v>
      </c>
      <c r="E4745" t="str">
        <f>HYPERLINK("https://github.com/cgeo/cgeo","show")</f>
        <v>show</v>
      </c>
      <c r="F4745" t="str">
        <f>HYPERLINK("https://github.com/cgeo/cgeo/releases","show")</f>
        <v>show</v>
      </c>
    </row>
    <row r="4746" spans="1:6">
      <c r="A4746" t="s">
        <v>14123</v>
      </c>
      <c r="B4746" t="s">
        <v>14124</v>
      </c>
      <c r="C4746" t="s">
        <v>14125</v>
      </c>
      <c r="D4746" t="str">
        <f>HYPERLINK("https://github.com/Benji377/SocyMusic/issues/134","show")</f>
        <v>show</v>
      </c>
      <c r="E4746" t="str">
        <f>HYPERLINK("https://github.com/Benji377/SocyMusic","show")</f>
        <v>show</v>
      </c>
      <c r="F4746" t="str">
        <f>HYPERLINK("https://github.com/Benji377/SocyMusic/releases","show")</f>
        <v>show</v>
      </c>
    </row>
    <row r="4747" spans="1:6">
      <c r="A4747" t="s">
        <v>14126</v>
      </c>
      <c r="B4747" t="s">
        <v>14127</v>
      </c>
      <c r="C4747" t="s">
        <v>14128</v>
      </c>
      <c r="D4747" t="str">
        <f>HYPERLINK("https://github.com/inaturalist/iNaturalistAndroid/issues/1081","show")</f>
        <v>show</v>
      </c>
      <c r="E4747" t="str">
        <f>HYPERLINK("https://github.com/inaturalist/iNaturalistAndroid","show")</f>
        <v>show</v>
      </c>
      <c r="F4747" t="str">
        <f>HYPERLINK("https://github.com/inaturalist/iNaturalistAndroid/releases","show")</f>
        <v>show</v>
      </c>
    </row>
    <row r="4748" spans="1:6">
      <c r="A4748" t="s">
        <v>14129</v>
      </c>
      <c r="B4748" t="s">
        <v>14130</v>
      </c>
      <c r="C4748" t="s">
        <v>14131</v>
      </c>
      <c r="D4748" t="str">
        <f>HYPERLINK("https://github.com/inaturalist/iNaturalistAndroid/issues/1080","show")</f>
        <v>show</v>
      </c>
      <c r="E4748" t="str">
        <f>HYPERLINK("https://github.com/inaturalist/iNaturalistAndroid","show")</f>
        <v>show</v>
      </c>
      <c r="F4748" t="str">
        <f>HYPERLINK("https://github.com/inaturalist/iNaturalistAndroid/releases","show")</f>
        <v>show</v>
      </c>
    </row>
    <row r="4749" spans="1:6">
      <c r="A4749" t="s">
        <v>14132</v>
      </c>
      <c r="B4749" t="s">
        <v>14133</v>
      </c>
      <c r="C4749" t="s">
        <v>14134</v>
      </c>
      <c r="D4749" t="str">
        <f>HYPERLINK("https://github.com/Anuken/Mindustry/issues/5650","show")</f>
        <v>show</v>
      </c>
      <c r="E4749" t="str">
        <f>HYPERLINK("https://github.com/Anuken/Mindustry","show")</f>
        <v>show</v>
      </c>
      <c r="F4749" t="str">
        <f>HYPERLINK("https://github.com/Anuken/Mindustry/releases","show")</f>
        <v>show</v>
      </c>
    </row>
    <row r="4750" spans="1:6">
      <c r="A4750" t="s">
        <v>14135</v>
      </c>
      <c r="B4750" t="s">
        <v>14136</v>
      </c>
      <c r="C4750" t="s">
        <v>14137</v>
      </c>
      <c r="D4750" t="str">
        <f>HYPERLINK("https://github.com/TeamNewPipe/NewPipe/issues/6767","show")</f>
        <v>show</v>
      </c>
      <c r="E4750" t="str">
        <f>HYPERLINK("https://github.com/TeamNewPipe/NewPipe","show")</f>
        <v>show</v>
      </c>
      <c r="F4750" t="str">
        <f>HYPERLINK("https://github.com/TeamNewPipe/NewPipe/releases","show")</f>
        <v>show</v>
      </c>
    </row>
    <row r="4751" spans="1:6">
      <c r="A4751" t="s">
        <v>14138</v>
      </c>
      <c r="B4751" t="s">
        <v>14139</v>
      </c>
      <c r="C4751" t="s">
        <v>14140</v>
      </c>
      <c r="D4751" t="str">
        <f>HYPERLINK("https://github.com/k9mail/k-9/issues/5446","show")</f>
        <v>show</v>
      </c>
      <c r="E4751" t="str">
        <f>HYPERLINK("https://github.com/k9mail/k-9","show")</f>
        <v>show</v>
      </c>
      <c r="F4751" t="str">
        <f>HYPERLINK("https://github.com/k9mail/k-9/releases","show")</f>
        <v>show</v>
      </c>
    </row>
    <row r="4752" spans="1:6">
      <c r="A4752" t="s">
        <v>14141</v>
      </c>
      <c r="B4752" t="s">
        <v>14142</v>
      </c>
      <c r="C4752" t="s">
        <v>14143</v>
      </c>
      <c r="D4752" t="str">
        <f>HYPERLINK("https://github.com/sachuss/Raksha-SOS-Alert-/issues/23","show")</f>
        <v>show</v>
      </c>
      <c r="E4752" t="str">
        <f>HYPERLINK("https://github.com/sachuss/Raksha-SOS-Alert-","show")</f>
        <v>show</v>
      </c>
      <c r="F4752" t="str">
        <f>HYPERLINK("https://github.com/sachuss/Raksha-SOS-Alert-/releases","show")</f>
        <v>show</v>
      </c>
    </row>
    <row r="4753" spans="1:6">
      <c r="A4753" t="s">
        <v>14144</v>
      </c>
      <c r="B4753" t="s">
        <v>14145</v>
      </c>
      <c r="C4753" t="s">
        <v>14146</v>
      </c>
      <c r="D4753" t="str">
        <f>HYPERLINK("https://github.com/CTemplar/android/issues/399","show")</f>
        <v>show</v>
      </c>
      <c r="E4753" t="str">
        <f>HYPERLINK("https://github.com/CTemplar/android","show")</f>
        <v>show</v>
      </c>
      <c r="F4753" t="str">
        <f>HYPERLINK("https://github.com/CTemplar/android/releases","show")</f>
        <v>show</v>
      </c>
    </row>
    <row r="4754" spans="1:6">
      <c r="A4754" t="s">
        <v>14147</v>
      </c>
      <c r="B4754" t="s">
        <v>14148</v>
      </c>
      <c r="C4754" t="s">
        <v>14149</v>
      </c>
      <c r="D4754" t="str">
        <f>HYPERLINK("https://github.com/Anuken/Mindustry/issues/5648","show")</f>
        <v>show</v>
      </c>
      <c r="E4754" t="str">
        <f>HYPERLINK("https://github.com/Anuken/Mindustry","show")</f>
        <v>show</v>
      </c>
      <c r="F4754" t="str">
        <f>HYPERLINK("https://github.com/Anuken/Mindustry/releases","show")</f>
        <v>show</v>
      </c>
    </row>
    <row r="4755" spans="1:6">
      <c r="A4755" t="s">
        <v>14150</v>
      </c>
      <c r="B4755" t="s">
        <v>14151</v>
      </c>
      <c r="C4755" t="s">
        <v>14152</v>
      </c>
      <c r="D4755" t="str">
        <f>HYPERLINK("https://github.com/Anuken/Mindustry/issues/5647","show")</f>
        <v>show</v>
      </c>
      <c r="E4755" t="str">
        <f>HYPERLINK("https://github.com/Anuken/Mindustry","show")</f>
        <v>show</v>
      </c>
      <c r="F4755" t="str">
        <f>HYPERLINK("https://github.com/Anuken/Mindustry/releases","show")</f>
        <v>show</v>
      </c>
    </row>
    <row r="4756" spans="1:6">
      <c r="A4756" t="s">
        <v>14153</v>
      </c>
      <c r="B4756" t="s">
        <v>14154</v>
      </c>
      <c r="C4756" t="s">
        <v>14155</v>
      </c>
      <c r="D4756" t="str">
        <f>HYPERLINK("https://github.com/Anuken/Mindustry/issues/5646","show")</f>
        <v>show</v>
      </c>
      <c r="E4756" t="str">
        <f>HYPERLINK("https://github.com/Anuken/Mindustry","show")</f>
        <v>show</v>
      </c>
      <c r="F4756" t="str">
        <f>HYPERLINK("https://github.com/Anuken/Mindustry/releases","show")</f>
        <v>show</v>
      </c>
    </row>
    <row r="4757" spans="1:6">
      <c r="A4757" t="s">
        <v>14156</v>
      </c>
      <c r="B4757" t="s">
        <v>14157</v>
      </c>
      <c r="C4757" t="s">
        <v>14158</v>
      </c>
      <c r="D4757" t="str">
        <f>HYPERLINK("https://github.com/k9mail/k-9/issues/5442","show")</f>
        <v>show</v>
      </c>
      <c r="E4757" t="str">
        <f>HYPERLINK("https://github.com/k9mail/k-9","show")</f>
        <v>show</v>
      </c>
      <c r="F4757" t="str">
        <f>HYPERLINK("https://github.com/k9mail/k-9/releases","show")</f>
        <v>show</v>
      </c>
    </row>
    <row r="4758" spans="1:6">
      <c r="A4758" t="s">
        <v>14159</v>
      </c>
      <c r="B4758" t="s">
        <v>14160</v>
      </c>
      <c r="C4758" t="s">
        <v>14161</v>
      </c>
      <c r="D4758" t="str">
        <f>HYPERLINK("https://github.com/Anuken/Mindustry/issues/5643","show")</f>
        <v>show</v>
      </c>
      <c r="E4758" t="str">
        <f>HYPERLINK("https://github.com/Anuken/Mindustry","show")</f>
        <v>show</v>
      </c>
      <c r="F4758" t="str">
        <f>HYPERLINK("https://github.com/Anuken/Mindustry/releases","show")</f>
        <v>show</v>
      </c>
    </row>
    <row r="4759" spans="1:6">
      <c r="A4759" t="s">
        <v>14162</v>
      </c>
      <c r="B4759" t="s">
        <v>14163</v>
      </c>
      <c r="C4759" t="s">
        <v>14164</v>
      </c>
      <c r="D4759" t="str">
        <f>HYPERLINK("https://github.com/Anuken/Mindustry/issues/5642","show")</f>
        <v>show</v>
      </c>
      <c r="E4759" t="str">
        <f>HYPERLINK("https://github.com/Anuken/Mindustry","show")</f>
        <v>show</v>
      </c>
      <c r="F4759" t="str">
        <f>HYPERLINK("https://github.com/Anuken/Mindustry/releases","show")</f>
        <v>show</v>
      </c>
    </row>
    <row r="4760" spans="1:6">
      <c r="A4760" t="s">
        <v>14165</v>
      </c>
      <c r="B4760" t="s">
        <v>14166</v>
      </c>
      <c r="C4760" t="s">
        <v>14167</v>
      </c>
      <c r="D4760" t="str">
        <f>HYPERLINK("https://github.com/PojavLauncherTeam/PojavLauncher/issues/1728","show")</f>
        <v>show</v>
      </c>
      <c r="E4760" t="str">
        <f>HYPERLINK("https://github.com/PojavLauncherTeam/PojavLauncher","show")</f>
        <v>show</v>
      </c>
      <c r="F4760" t="str">
        <f>HYPERLINK("https://github.com/PojavLauncherTeam/PojavLauncher/releases","show")</f>
        <v>show</v>
      </c>
    </row>
    <row r="4761" spans="1:6">
      <c r="A4761" t="s">
        <v>14168</v>
      </c>
      <c r="B4761" t="s">
        <v>14169</v>
      </c>
      <c r="C4761" t="s">
        <v>14170</v>
      </c>
      <c r="D4761" t="str">
        <f>HYPERLINK("https://github.com/TeamNewPipe/NewPipe/issues/6755","show")</f>
        <v>show</v>
      </c>
      <c r="E4761" t="str">
        <f>HYPERLINK("https://github.com/TeamNewPipe/NewPipe","show")</f>
        <v>show</v>
      </c>
      <c r="F4761" t="str">
        <f>HYPERLINK("https://github.com/TeamNewPipe/NewPipe/releases","show")</f>
        <v>show</v>
      </c>
    </row>
    <row r="4762" spans="1:6">
      <c r="A4762" t="s">
        <v>14171</v>
      </c>
      <c r="B4762" t="s">
        <v>14172</v>
      </c>
      <c r="C4762" t="s">
        <v>14173</v>
      </c>
      <c r="D4762" t="str">
        <f>HYPERLINK("https://github.com/Calsign/APDE/issues/112","show")</f>
        <v>show</v>
      </c>
      <c r="E4762" t="str">
        <f>HYPERLINK("https://github.com/Calsign/APDE","show")</f>
        <v>show</v>
      </c>
      <c r="F4762" t="str">
        <f>HYPERLINK("https://github.com/Calsign/APDE/releases","show")</f>
        <v>show</v>
      </c>
    </row>
    <row r="4763" spans="1:6">
      <c r="A4763" t="s">
        <v>14174</v>
      </c>
      <c r="B4763" t="s">
        <v>14175</v>
      </c>
      <c r="C4763" t="s">
        <v>14176</v>
      </c>
      <c r="D4763" t="str">
        <f>HYPERLINK("https://github.com/nextcloud/android/issues/8764","show")</f>
        <v>show</v>
      </c>
      <c r="E4763" t="str">
        <f>HYPERLINK("https://github.com/nextcloud/android","show")</f>
        <v>show</v>
      </c>
      <c r="F4763" t="str">
        <f>HYPERLINK("https://github.com/nextcloud/android/releases","show")</f>
        <v>show</v>
      </c>
    </row>
    <row r="4764" spans="1:6">
      <c r="A4764" t="s">
        <v>14177</v>
      </c>
      <c r="B4764" t="s">
        <v>14178</v>
      </c>
      <c r="C4764" t="s">
        <v>14179</v>
      </c>
      <c r="D4764" t="str">
        <f>HYPERLINK("https://github.com/TeamNewPipe/NewPipe/issues/6747","show")</f>
        <v>show</v>
      </c>
      <c r="E4764" t="str">
        <f>HYPERLINK("https://github.com/TeamNewPipe/NewPipe","show")</f>
        <v>show</v>
      </c>
      <c r="F4764" t="str">
        <f>HYPERLINK("https://github.com/TeamNewPipe/NewPipe/releases","show")</f>
        <v>show</v>
      </c>
    </row>
    <row r="4765" spans="1:6">
      <c r="A4765" t="s">
        <v>14180</v>
      </c>
      <c r="B4765" t="s">
        <v>14181</v>
      </c>
      <c r="C4765" t="s">
        <v>14182</v>
      </c>
      <c r="D4765" t="str">
        <f>HYPERLINK("https://github.com/TeamNewPipe/NewPipe/issues/6743","show")</f>
        <v>show</v>
      </c>
      <c r="E4765" t="str">
        <f>HYPERLINK("https://github.com/TeamNewPipe/NewPipe","show")</f>
        <v>show</v>
      </c>
      <c r="F4765" t="str">
        <f>HYPERLINK("https://github.com/TeamNewPipe/NewPipe/releases","show")</f>
        <v>show</v>
      </c>
    </row>
    <row r="4766" spans="1:6">
      <c r="A4766" t="s">
        <v>14183</v>
      </c>
      <c r="B4766" t="s">
        <v>14184</v>
      </c>
      <c r="C4766" t="s">
        <v>14185</v>
      </c>
      <c r="D4766" t="str">
        <f>HYPERLINK("https://github.com/doublesymmetry/react-native-track-player/issues/1210","show")</f>
        <v>show</v>
      </c>
      <c r="E4766" t="str">
        <f>HYPERLINK("https://github.com/doublesymmetry/react-native-track-player","show")</f>
        <v>show</v>
      </c>
      <c r="F4766" t="str">
        <f>HYPERLINK("https://github.com/doublesymmetry/react-native-track-player/releases","show")</f>
        <v>show</v>
      </c>
    </row>
    <row r="4767" spans="1:6">
      <c r="A4767" t="s">
        <v>14186</v>
      </c>
      <c r="B4767" t="s">
        <v>14187</v>
      </c>
      <c r="C4767" t="s">
        <v>14188</v>
      </c>
      <c r="D4767" t="str">
        <f>HYPERLINK("https://github.com/TeamNewPipe/NewPipe/issues/6739","show")</f>
        <v>show</v>
      </c>
      <c r="E4767" t="str">
        <f>HYPERLINK("https://github.com/TeamNewPipe/NewPipe","show")</f>
        <v>show</v>
      </c>
      <c r="F4767" t="str">
        <f>HYPERLINK("https://github.com/TeamNewPipe/NewPipe/releases","show")</f>
        <v>show</v>
      </c>
    </row>
    <row r="4768" spans="1:6">
      <c r="A4768" t="s">
        <v>14189</v>
      </c>
      <c r="B4768" t="s">
        <v>14190</v>
      </c>
      <c r="C4768" t="s">
        <v>14191</v>
      </c>
      <c r="D4768" t="str">
        <f>HYPERLINK("https://github.com/PojavLauncherTeam/PojavLauncher/issues/1723","show")</f>
        <v>show</v>
      </c>
      <c r="E4768" t="str">
        <f>HYPERLINK("https://github.com/PojavLauncherTeam/PojavLauncher","show")</f>
        <v>show</v>
      </c>
      <c r="F4768" t="str">
        <f>HYPERLINK("https://github.com/PojavLauncherTeam/PojavLauncher/releases","show")</f>
        <v>show</v>
      </c>
    </row>
    <row r="4769" spans="1:6">
      <c r="A4769" t="s">
        <v>14192</v>
      </c>
      <c r="B4769" t="s">
        <v>14193</v>
      </c>
      <c r="C4769" t="s">
        <v>14194</v>
      </c>
      <c r="D4769" t="str">
        <f>HYPERLINK("https://github.com/MuntashirAkon/AppManager/issues/525","show")</f>
        <v>show</v>
      </c>
      <c r="E4769" t="str">
        <f>HYPERLINK("https://github.com/MuntashirAkon/AppManager","show")</f>
        <v>show</v>
      </c>
      <c r="F4769" t="str">
        <f>HYPERLINK("https://github.com/MuntashirAkon/AppManager/releases","show")</f>
        <v>show</v>
      </c>
    </row>
    <row r="4770" spans="1:6">
      <c r="A4770" t="s">
        <v>14195</v>
      </c>
      <c r="B4770" t="s">
        <v>14196</v>
      </c>
      <c r="C4770" t="s">
        <v>14197</v>
      </c>
      <c r="D4770" t="str">
        <f>HYPERLINK("https://github.com/Anuken/Mindustry/issues/5633","show")</f>
        <v>show</v>
      </c>
      <c r="E4770" t="str">
        <f>HYPERLINK("https://github.com/Anuken/Mindustry","show")</f>
        <v>show</v>
      </c>
      <c r="F4770" t="str">
        <f>HYPERLINK("https://github.com/Anuken/Mindustry/releases","show")</f>
        <v>show</v>
      </c>
    </row>
    <row r="4771" spans="1:6">
      <c r="A4771" t="s">
        <v>14198</v>
      </c>
      <c r="B4771" t="s">
        <v>14199</v>
      </c>
      <c r="C4771" t="s">
        <v>14200</v>
      </c>
      <c r="D4771" t="str">
        <f>HYPERLINK("https://github.com/PojavLauncherTeam/PojavLauncher/issues/1713","show")</f>
        <v>show</v>
      </c>
      <c r="E4771" t="str">
        <f>HYPERLINK("https://github.com/PojavLauncherTeam/PojavLauncher","show")</f>
        <v>show</v>
      </c>
      <c r="F4771" t="str">
        <f>HYPERLINK("https://github.com/PojavLauncherTeam/PojavLauncher/releases","show")</f>
        <v>show</v>
      </c>
    </row>
    <row r="4772" spans="1:6">
      <c r="A4772" t="s">
        <v>14201</v>
      </c>
      <c r="B4772" t="s">
        <v>14202</v>
      </c>
      <c r="C4772" t="s">
        <v>14203</v>
      </c>
      <c r="D4772" t="str">
        <f>HYPERLINK("https://github.com/TeamNewPipe/NewPipe/issues/6736","show")</f>
        <v>show</v>
      </c>
      <c r="E4772" t="str">
        <f>HYPERLINK("https://github.com/TeamNewPipe/NewPipe","show")</f>
        <v>show</v>
      </c>
      <c r="F4772" t="str">
        <f>HYPERLINK("https://github.com/TeamNewPipe/NewPipe/releases","show")</f>
        <v>show</v>
      </c>
    </row>
    <row r="4773" spans="1:6">
      <c r="A4773" t="s">
        <v>14204</v>
      </c>
      <c r="B4773" t="s">
        <v>14205</v>
      </c>
      <c r="C4773" t="s">
        <v>14206</v>
      </c>
      <c r="D4773" t="str">
        <f>HYPERLINK("https://github.com/isl-org/OpenBot/issues/211","show")</f>
        <v>show</v>
      </c>
      <c r="E4773" t="str">
        <f>HYPERLINK("https://github.com/isl-org/OpenBot","show")</f>
        <v>show</v>
      </c>
      <c r="F4773" t="str">
        <f>HYPERLINK("https://github.com/isl-org/OpenBot/releases","show")</f>
        <v>show</v>
      </c>
    </row>
    <row r="4774" spans="1:6">
      <c r="A4774" t="s">
        <v>14207</v>
      </c>
      <c r="B4774" t="s">
        <v>14208</v>
      </c>
      <c r="C4774" t="s">
        <v>14209</v>
      </c>
      <c r="D4774" t="str">
        <f>HYPERLINK("https://github.com/isl-org/OpenBot/issues/209","show")</f>
        <v>show</v>
      </c>
      <c r="E4774" t="str">
        <f>HYPERLINK("https://github.com/isl-org/OpenBot","show")</f>
        <v>show</v>
      </c>
      <c r="F4774" t="str">
        <f>HYPERLINK("https://github.com/isl-org/OpenBot/releases","show")</f>
        <v>show</v>
      </c>
    </row>
    <row r="4775" spans="1:6">
      <c r="A4775" t="s">
        <v>14210</v>
      </c>
      <c r="B4775" t="s">
        <v>14211</v>
      </c>
      <c r="C4775" t="s">
        <v>14212</v>
      </c>
      <c r="D4775" t="str">
        <f>HYPERLINK("https://github.com/TeamNewPipe/NewPipe/issues/6731","show")</f>
        <v>show</v>
      </c>
      <c r="E4775" t="str">
        <f>HYPERLINK("https://github.com/TeamNewPipe/NewPipe","show")</f>
        <v>show</v>
      </c>
      <c r="F4775" t="str">
        <f>HYPERLINK("https://github.com/TeamNewPipe/NewPipe/releases","show")</f>
        <v>show</v>
      </c>
    </row>
    <row r="4776" spans="1:6">
      <c r="A4776" t="s">
        <v>14213</v>
      </c>
      <c r="B4776" t="s">
        <v>14214</v>
      </c>
      <c r="C4776" t="s">
        <v>14215</v>
      </c>
      <c r="D4776" t="str">
        <f>HYPERLINK("https://github.com/TeamNewPipe/NewPipe/issues/6729","show")</f>
        <v>show</v>
      </c>
      <c r="E4776" t="str">
        <f>HYPERLINK("https://github.com/TeamNewPipe/NewPipe","show")</f>
        <v>show</v>
      </c>
      <c r="F4776" t="str">
        <f>HYPERLINK("https://github.com/TeamNewPipe/NewPipe/releases","show")</f>
        <v>show</v>
      </c>
    </row>
    <row r="4777" spans="1:6">
      <c r="A4777" t="s">
        <v>14216</v>
      </c>
      <c r="B4777" t="s">
        <v>14217</v>
      </c>
      <c r="C4777" t="s">
        <v>14218</v>
      </c>
      <c r="D4777" t="str">
        <f>HYPERLINK("https://github.com/Anuken/Mindustry/issues/5630","show")</f>
        <v>show</v>
      </c>
      <c r="E4777" t="str">
        <f>HYPERLINK("https://github.com/Anuken/Mindustry","show")</f>
        <v>show</v>
      </c>
      <c r="F4777" t="str">
        <f>HYPERLINK("https://github.com/Anuken/Mindustry/releases","show")</f>
        <v>show</v>
      </c>
    </row>
    <row r="4778" spans="1:6">
      <c r="A4778" t="s">
        <v>14219</v>
      </c>
      <c r="B4778" t="s">
        <v>14220</v>
      </c>
      <c r="C4778" t="s">
        <v>14221</v>
      </c>
      <c r="D4778" t="str">
        <f>HYPERLINK("https://github.com/Anuken/Mindustry/issues/5628","show")</f>
        <v>show</v>
      </c>
      <c r="E4778" t="str">
        <f>HYPERLINK("https://github.com/Anuken/Mindustry","show")</f>
        <v>show</v>
      </c>
      <c r="F4778" t="str">
        <f>HYPERLINK("https://github.com/Anuken/Mindustry/releases","show")</f>
        <v>show</v>
      </c>
    </row>
    <row r="4779" spans="1:6">
      <c r="A4779" t="s">
        <v>14222</v>
      </c>
      <c r="B4779" t="s">
        <v>14223</v>
      </c>
      <c r="C4779" t="s">
        <v>14224</v>
      </c>
      <c r="D4779" t="str">
        <f>HYPERLINK("https://github.com/nextcloud/android/issues/8745","show")</f>
        <v>show</v>
      </c>
      <c r="E4779" t="str">
        <f>HYPERLINK("https://github.com/nextcloud/android","show")</f>
        <v>show</v>
      </c>
      <c r="F4779" t="str">
        <f>HYPERLINK("https://github.com/nextcloud/android/releases","show")</f>
        <v>show</v>
      </c>
    </row>
    <row r="4780" spans="1:6">
      <c r="A4780" t="s">
        <v>14225</v>
      </c>
      <c r="B4780" t="s">
        <v>14226</v>
      </c>
      <c r="C4780" t="s">
        <v>14227</v>
      </c>
      <c r="D4780" t="str">
        <f>HYPERLINK("https://github.com/cgeo/cgeo/issues/11286","show")</f>
        <v>show</v>
      </c>
      <c r="E4780" t="str">
        <f>HYPERLINK("https://github.com/cgeo/cgeo","show")</f>
        <v>show</v>
      </c>
      <c r="F4780" t="str">
        <f>HYPERLINK("https://github.com/cgeo/cgeo/releases","show")</f>
        <v>show</v>
      </c>
    </row>
    <row r="4781" spans="1:6">
      <c r="A4781" t="s">
        <v>14228</v>
      </c>
      <c r="B4781" t="s">
        <v>14229</v>
      </c>
      <c r="C4781" t="s">
        <v>14230</v>
      </c>
      <c r="D4781" t="str">
        <f>HYPERLINK("https://github.com/nextcloud/android/issues/8744","show")</f>
        <v>show</v>
      </c>
      <c r="E4781" t="str">
        <f>HYPERLINK("https://github.com/nextcloud/android","show")</f>
        <v>show</v>
      </c>
      <c r="F4781" t="str">
        <f>HYPERLINK("https://github.com/nextcloud/android/releases","show")</f>
        <v>show</v>
      </c>
    </row>
    <row r="4782" spans="1:6">
      <c r="A4782" t="s">
        <v>14231</v>
      </c>
      <c r="B4782" t="s">
        <v>14232</v>
      </c>
      <c r="C4782" t="s">
        <v>14233</v>
      </c>
      <c r="D4782" t="str">
        <f>HYPERLINK("https://github.com/TeamNewPipe/NewPipe/issues/6718","show")</f>
        <v>show</v>
      </c>
      <c r="E4782" t="str">
        <f>HYPERLINK("https://github.com/TeamNewPipe/NewPipe","show")</f>
        <v>show</v>
      </c>
      <c r="F4782" t="str">
        <f>HYPERLINK("https://github.com/TeamNewPipe/NewPipe/releases","show")</f>
        <v>show</v>
      </c>
    </row>
    <row r="4783" spans="1:6">
      <c r="A4783" t="s">
        <v>14234</v>
      </c>
      <c r="B4783" t="s">
        <v>14235</v>
      </c>
      <c r="C4783" t="s">
        <v>14236</v>
      </c>
      <c r="D4783" t="str">
        <f>HYPERLINK("https://github.com/TeamNewPipe/NewPipe/issues/6717","show")</f>
        <v>show</v>
      </c>
      <c r="E4783" t="str">
        <f>HYPERLINK("https://github.com/TeamNewPipe/NewPipe","show")</f>
        <v>show</v>
      </c>
      <c r="F4783" t="str">
        <f>HYPERLINK("https://github.com/TeamNewPipe/NewPipe/releases","show")</f>
        <v>show</v>
      </c>
    </row>
    <row r="4784" spans="1:6">
      <c r="A4784" t="s">
        <v>14237</v>
      </c>
      <c r="B4784" t="s">
        <v>14238</v>
      </c>
      <c r="C4784" t="s">
        <v>14239</v>
      </c>
      <c r="D4784" t="str">
        <f>HYPERLINK("https://github.com/material-components/material-components-android/issues/2309","show")</f>
        <v>show</v>
      </c>
      <c r="E4784" t="str">
        <f>HYPERLINK("https://github.com/material-components/material-components-android","show")</f>
        <v>show</v>
      </c>
      <c r="F4784" t="str">
        <f>HYPERLINK("https://github.com/material-components/material-components-android/releases","show")</f>
        <v>show</v>
      </c>
    </row>
    <row r="4785" spans="1:6">
      <c r="A4785" t="s">
        <v>14240</v>
      </c>
      <c r="B4785" t="s">
        <v>14241</v>
      </c>
      <c r="C4785" t="s">
        <v>14242</v>
      </c>
      <c r="D4785" t="str">
        <f>HYPERLINK("https://github.com/Anuken/Mindustry/issues/5623","show")</f>
        <v>show</v>
      </c>
      <c r="E4785" t="str">
        <f>HYPERLINK("https://github.com/Anuken/Mindustry","show")</f>
        <v>show</v>
      </c>
      <c r="F4785" t="str">
        <f>HYPERLINK("https://github.com/Anuken/Mindustry/releases","show")</f>
        <v>show</v>
      </c>
    </row>
    <row r="4786" spans="1:6">
      <c r="A4786" t="s">
        <v>14243</v>
      </c>
      <c r="B4786" t="s">
        <v>14244</v>
      </c>
      <c r="C4786" t="s">
        <v>14245</v>
      </c>
      <c r="D4786" t="str">
        <f>HYPERLINK("https://github.com/Anuken/Mindustry/issues/5622","show")</f>
        <v>show</v>
      </c>
      <c r="E4786" t="str">
        <f>HYPERLINK("https://github.com/Anuken/Mindustry","show")</f>
        <v>show</v>
      </c>
      <c r="F4786" t="str">
        <f>HYPERLINK("https://github.com/Anuken/Mindustry/releases","show")</f>
        <v>show</v>
      </c>
    </row>
    <row r="4787" spans="1:6">
      <c r="A4787" t="s">
        <v>14246</v>
      </c>
      <c r="B4787" t="s">
        <v>14247</v>
      </c>
      <c r="C4787" t="s">
        <v>14248</v>
      </c>
      <c r="D4787" t="str">
        <f>HYPERLINK("https://github.com/k9mail/k-9/issues/5420","show")</f>
        <v>show</v>
      </c>
      <c r="E4787" t="str">
        <f>HYPERLINK("https://github.com/k9mail/k-9","show")</f>
        <v>show</v>
      </c>
      <c r="F4787" t="str">
        <f>HYPERLINK("https://github.com/k9mail/k-9/releases","show")</f>
        <v>show</v>
      </c>
    </row>
    <row r="4788" spans="1:6">
      <c r="A4788" t="s">
        <v>14249</v>
      </c>
      <c r="B4788" t="s">
        <v>14250</v>
      </c>
      <c r="C4788" t="s">
        <v>14251</v>
      </c>
      <c r="D4788" t="str">
        <f>HYPERLINK("https://github.com/nextcloud/android/issues/8735","show")</f>
        <v>show</v>
      </c>
      <c r="E4788" t="str">
        <f>HYPERLINK("https://github.com/nextcloud/android","show")</f>
        <v>show</v>
      </c>
      <c r="F4788" t="str">
        <f>HYPERLINK("https://github.com/nextcloud/android/releases","show")</f>
        <v>show</v>
      </c>
    </row>
    <row r="4789" spans="1:6">
      <c r="A4789" t="s">
        <v>14252</v>
      </c>
      <c r="B4789" t="s">
        <v>14253</v>
      </c>
      <c r="C4789" t="s">
        <v>14254</v>
      </c>
      <c r="D4789" t="str">
        <f>HYPERLINK("https://github.com/Benji377/SocyMusic/issues/118","show")</f>
        <v>show</v>
      </c>
      <c r="E4789" t="str">
        <f>HYPERLINK("https://github.com/Benji377/SocyMusic","show")</f>
        <v>show</v>
      </c>
      <c r="F4789" t="str">
        <f>HYPERLINK("https://github.com/Benji377/SocyMusic/releases","show")</f>
        <v>show</v>
      </c>
    </row>
    <row r="4790" spans="1:6">
      <c r="A4790" t="s">
        <v>14255</v>
      </c>
      <c r="B4790" t="s">
        <v>14256</v>
      </c>
      <c r="C4790" t="s">
        <v>14257</v>
      </c>
      <c r="D4790" t="str">
        <f>HYPERLINK("https://github.com/PojavLauncherTeam/PojavLauncher/issues/1699","show")</f>
        <v>show</v>
      </c>
      <c r="E4790" t="str">
        <f>HYPERLINK("https://github.com/PojavLauncherTeam/PojavLauncher","show")</f>
        <v>show</v>
      </c>
      <c r="F4790" t="str">
        <f>HYPERLINK("https://github.com/PojavLauncherTeam/PojavLauncher/releases","show")</f>
        <v>show</v>
      </c>
    </row>
    <row r="4791" spans="1:6">
      <c r="A4791" t="s">
        <v>14258</v>
      </c>
      <c r="B4791" t="s">
        <v>14259</v>
      </c>
      <c r="C4791" t="s">
        <v>14260</v>
      </c>
      <c r="D4791" t="str">
        <f>HYPERLINK("https://github.com/Anuken/Mindustry/issues/5616","show")</f>
        <v>show</v>
      </c>
      <c r="E4791" t="str">
        <f>HYPERLINK("https://github.com/Anuken/Mindustry","show")</f>
        <v>show</v>
      </c>
      <c r="F4791" t="str">
        <f>HYPERLINK("https://github.com/Anuken/Mindustry/releases","show")</f>
        <v>show</v>
      </c>
    </row>
    <row r="4792" spans="1:6">
      <c r="A4792" t="s">
        <v>14261</v>
      </c>
      <c r="B4792" t="s">
        <v>14262</v>
      </c>
      <c r="C4792" t="s">
        <v>14263</v>
      </c>
      <c r="D4792" t="str">
        <f>HYPERLINK("https://github.com/jellyfin/jellyfin-androidtv/issues/1027","show")</f>
        <v>show</v>
      </c>
      <c r="E4792" t="str">
        <f>HYPERLINK("https://github.com/jellyfin/jellyfin-androidtv","show")</f>
        <v>show</v>
      </c>
      <c r="F4792" t="str">
        <f>HYPERLINK("https://github.com/jellyfin/jellyfin-androidtv/releases","show")</f>
        <v>show</v>
      </c>
    </row>
    <row r="4793" spans="1:6">
      <c r="A4793" t="s">
        <v>14264</v>
      </c>
      <c r="B4793" t="s">
        <v>14265</v>
      </c>
      <c r="C4793" t="s">
        <v>14266</v>
      </c>
      <c r="D4793" t="str">
        <f>HYPERLINK("https://github.com/nextcloud/android/issues/8732","show")</f>
        <v>show</v>
      </c>
      <c r="E4793" t="str">
        <f>HYPERLINK("https://github.com/nextcloud/android","show")</f>
        <v>show</v>
      </c>
      <c r="F4793" t="str">
        <f>HYPERLINK("https://github.com/nextcloud/android/releases","show")</f>
        <v>show</v>
      </c>
    </row>
    <row r="4794" spans="1:6">
      <c r="A4794" t="s">
        <v>14267</v>
      </c>
      <c r="B4794" t="s">
        <v>14268</v>
      </c>
      <c r="C4794" t="s">
        <v>14269</v>
      </c>
      <c r="D4794" t="str">
        <f>HYPERLINK("https://github.com/Anuken/Mindustry/issues/5610","show")</f>
        <v>show</v>
      </c>
      <c r="E4794" t="str">
        <f>HYPERLINK("https://github.com/Anuken/Mindustry","show")</f>
        <v>show</v>
      </c>
      <c r="F4794" t="str">
        <f>HYPERLINK("https://github.com/Anuken/Mindustry/releases","show")</f>
        <v>show</v>
      </c>
    </row>
    <row r="4795" spans="1:6">
      <c r="A4795" t="s">
        <v>14270</v>
      </c>
      <c r="B4795" t="s">
        <v>14271</v>
      </c>
      <c r="C4795" t="s">
        <v>14272</v>
      </c>
      <c r="D4795" t="str">
        <f>HYPERLINK("https://github.com/Anuken/Mindustry/issues/5609","show")</f>
        <v>show</v>
      </c>
      <c r="E4795" t="str">
        <f>HYPERLINK("https://github.com/Anuken/Mindustry","show")</f>
        <v>show</v>
      </c>
      <c r="F4795" t="str">
        <f>HYPERLINK("https://github.com/Anuken/Mindustry/releases","show")</f>
        <v>show</v>
      </c>
    </row>
    <row r="4796" spans="1:6">
      <c r="A4796" t="s">
        <v>14273</v>
      </c>
      <c r="B4796" t="s">
        <v>14274</v>
      </c>
      <c r="C4796" t="s">
        <v>14275</v>
      </c>
      <c r="D4796" t="str">
        <f>HYPERLINK("https://github.com/Anuken/Mindustry/issues/5607","show")</f>
        <v>show</v>
      </c>
      <c r="E4796" t="str">
        <f>HYPERLINK("https://github.com/Anuken/Mindustry","show")</f>
        <v>show</v>
      </c>
      <c r="F4796" t="str">
        <f>HYPERLINK("https://github.com/Anuken/Mindustry/releases","show")</f>
        <v>show</v>
      </c>
    </row>
    <row r="4797" spans="1:6">
      <c r="A4797" t="s">
        <v>14276</v>
      </c>
      <c r="B4797" t="s">
        <v>14277</v>
      </c>
      <c r="C4797" t="s">
        <v>14278</v>
      </c>
      <c r="D4797" t="str">
        <f>HYPERLINK("https://github.com/TeamNewPipe/NewPipe/issues/6696","show")</f>
        <v>show</v>
      </c>
      <c r="E4797" t="str">
        <f>HYPERLINK("https://github.com/TeamNewPipe/NewPipe","show")</f>
        <v>show</v>
      </c>
      <c r="F4797" t="str">
        <f>HYPERLINK("https://github.com/TeamNewPipe/NewPipe/releases","show")</f>
        <v>show</v>
      </c>
    </row>
    <row r="4798" spans="1:6">
      <c r="A4798" t="s">
        <v>14279</v>
      </c>
      <c r="B4798" t="s">
        <v>14280</v>
      </c>
      <c r="C4798" t="s">
        <v>14281</v>
      </c>
      <c r="D4798" t="str">
        <f>HYPERLINK("https://github.com/PojavLauncherTeam/PojavLauncher/issues/1690","show")</f>
        <v>show</v>
      </c>
      <c r="E4798" t="str">
        <f>HYPERLINK("https://github.com/PojavLauncherTeam/PojavLauncher","show")</f>
        <v>show</v>
      </c>
      <c r="F4798" t="str">
        <f>HYPERLINK("https://github.com/PojavLauncherTeam/PojavLauncher/releases","show")</f>
        <v>show</v>
      </c>
    </row>
    <row r="4799" spans="1:6">
      <c r="A4799" t="s">
        <v>14282</v>
      </c>
      <c r="B4799" t="s">
        <v>14283</v>
      </c>
      <c r="C4799" t="s">
        <v>14284</v>
      </c>
      <c r="D4799" t="str">
        <f>HYPERLINK("https://github.com/PojavLauncherTeam/PojavLauncher/issues/1689","show")</f>
        <v>show</v>
      </c>
      <c r="E4799" t="str">
        <f>HYPERLINK("https://github.com/PojavLauncherTeam/PojavLauncher","show")</f>
        <v>show</v>
      </c>
      <c r="F4799" t="str">
        <f>HYPERLINK("https://github.com/PojavLauncherTeam/PojavLauncher/releases","show")</f>
        <v>show</v>
      </c>
    </row>
    <row r="4800" spans="1:6">
      <c r="A4800" t="s">
        <v>14285</v>
      </c>
      <c r="B4800" t="s">
        <v>14286</v>
      </c>
      <c r="C4800" t="s">
        <v>14287</v>
      </c>
      <c r="D4800" t="str">
        <f>HYPERLINK("https://github.com/Anuken/Mindustry/issues/5606","show")</f>
        <v>show</v>
      </c>
      <c r="E4800" t="str">
        <f>HYPERLINK("https://github.com/Anuken/Mindustry","show")</f>
        <v>show</v>
      </c>
      <c r="F4800" t="str">
        <f>HYPERLINK("https://github.com/Anuken/Mindustry/releases","show")</f>
        <v>show</v>
      </c>
    </row>
    <row r="4801" spans="1:6">
      <c r="A4801" t="s">
        <v>14288</v>
      </c>
      <c r="B4801" t="s">
        <v>14289</v>
      </c>
      <c r="C4801" t="s">
        <v>14290</v>
      </c>
      <c r="D4801" t="str">
        <f>HYPERLINK("https://github.com/Anuken/Mindustry/issues/5603","show")</f>
        <v>show</v>
      </c>
      <c r="E4801" t="str">
        <f>HYPERLINK("https://github.com/Anuken/Mindustry","show")</f>
        <v>show</v>
      </c>
      <c r="F4801" t="str">
        <f>HYPERLINK("https://github.com/Anuken/Mindustry/releases","show")</f>
        <v>show</v>
      </c>
    </row>
    <row r="4802" spans="1:6">
      <c r="A4802" t="s">
        <v>14291</v>
      </c>
      <c r="B4802" t="s">
        <v>14292</v>
      </c>
      <c r="C4802" t="s">
        <v>14293</v>
      </c>
      <c r="D4802" t="str">
        <f>HYPERLINK("https://github.com/nextcloud/android/issues/8725","show")</f>
        <v>show</v>
      </c>
      <c r="E4802" t="str">
        <f>HYPERLINK("https://github.com/nextcloud/android","show")</f>
        <v>show</v>
      </c>
      <c r="F4802" t="str">
        <f>HYPERLINK("https://github.com/nextcloud/android/releases","show")</f>
        <v>show</v>
      </c>
    </row>
    <row r="4803" spans="1:6">
      <c r="A4803" t="s">
        <v>14294</v>
      </c>
      <c r="B4803" t="s">
        <v>14295</v>
      </c>
      <c r="C4803" t="s">
        <v>14296</v>
      </c>
      <c r="D4803" t="str">
        <f>HYPERLINK("https://github.com/TeamNewPipe/NewPipe-legacy/issues/76","show")</f>
        <v>show</v>
      </c>
      <c r="E4803" t="str">
        <f>HYPERLINK("https://github.com/TeamNewPipe/NewPipe-legacy","show")</f>
        <v>show</v>
      </c>
      <c r="F4803" t="str">
        <f>HYPERLINK("https://github.com/TeamNewPipe/NewPipe-legacy/releases","show")</f>
        <v>show</v>
      </c>
    </row>
    <row r="4804" spans="1:6">
      <c r="A4804" t="s">
        <v>14297</v>
      </c>
      <c r="B4804" t="s">
        <v>14298</v>
      </c>
      <c r="C4804" t="s">
        <v>14299</v>
      </c>
      <c r="D4804" t="str">
        <f>HYPERLINK("https://github.com/andOTP/andOTP/issues/875","show")</f>
        <v>show</v>
      </c>
      <c r="E4804" t="str">
        <f>HYPERLINK("https://github.com/andOTP/andOTP","show")</f>
        <v>show</v>
      </c>
      <c r="F4804" t="str">
        <f>HYPERLINK("https://github.com/andOTP/andOTP/releases","show")</f>
        <v>show</v>
      </c>
    </row>
    <row r="4805" spans="1:6">
      <c r="A4805" t="s">
        <v>14300</v>
      </c>
      <c r="B4805" t="s">
        <v>14301</v>
      </c>
      <c r="C4805" t="s">
        <v>14302</v>
      </c>
      <c r="D4805" t="str">
        <f>HYPERLINK("https://github.com/cgeo/cgeo/issues/11251","show")</f>
        <v>show</v>
      </c>
      <c r="E4805" t="str">
        <f>HYPERLINK("https://github.com/cgeo/cgeo","show")</f>
        <v>show</v>
      </c>
      <c r="F4805" t="str">
        <f>HYPERLINK("https://github.com/cgeo/cgeo/releases","show")</f>
        <v>show</v>
      </c>
    </row>
    <row r="4806" spans="1:6">
      <c r="A4806" t="s">
        <v>14303</v>
      </c>
      <c r="B4806" t="s">
        <v>14304</v>
      </c>
      <c r="C4806" t="s">
        <v>14305</v>
      </c>
      <c r="D4806" t="str">
        <f>HYPERLINK("https://github.com/Anuken/Mindustry/issues/5596","show")</f>
        <v>show</v>
      </c>
      <c r="E4806" t="str">
        <f>HYPERLINK("https://github.com/Anuken/Mindustry","show")</f>
        <v>show</v>
      </c>
      <c r="F4806" t="str">
        <f>HYPERLINK("https://github.com/Anuken/Mindustry/releases","show")</f>
        <v>show</v>
      </c>
    </row>
    <row r="4807" spans="1:6">
      <c r="A4807" t="s">
        <v>14306</v>
      </c>
      <c r="B4807" t="s">
        <v>14307</v>
      </c>
      <c r="C4807" t="s">
        <v>14308</v>
      </c>
      <c r="D4807" t="str">
        <f>HYPERLINK("https://github.com/TeamNewPipe/NewPipe/issues/6687","show")</f>
        <v>show</v>
      </c>
      <c r="E4807" t="str">
        <f>HYPERLINK("https://github.com/TeamNewPipe/NewPipe","show")</f>
        <v>show</v>
      </c>
      <c r="F4807" t="str">
        <f>HYPERLINK("https://github.com/TeamNewPipe/NewPipe/releases","show")</f>
        <v>show</v>
      </c>
    </row>
    <row r="4808" spans="1:6">
      <c r="A4808" t="s">
        <v>14309</v>
      </c>
      <c r="B4808" t="s">
        <v>14310</v>
      </c>
      <c r="C4808" t="s">
        <v>14311</v>
      </c>
      <c r="D4808" t="str">
        <f>HYPERLINK("https://github.com/PojavLauncherTeam/PojavLauncher/issues/1682","show")</f>
        <v>show</v>
      </c>
      <c r="E4808" t="str">
        <f>HYPERLINK("https://github.com/PojavLauncherTeam/PojavLauncher","show")</f>
        <v>show</v>
      </c>
      <c r="F4808" t="str">
        <f>HYPERLINK("https://github.com/PojavLauncherTeam/PojavLauncher/releases","show")</f>
        <v>show</v>
      </c>
    </row>
    <row r="4809" spans="1:6">
      <c r="A4809" t="s">
        <v>14312</v>
      </c>
      <c r="B4809" t="s">
        <v>14313</v>
      </c>
      <c r="C4809" t="s">
        <v>14314</v>
      </c>
      <c r="D4809" t="str">
        <f>HYPERLINK("https://github.com/Anuken/Mindustry/issues/5595","show")</f>
        <v>show</v>
      </c>
      <c r="E4809" t="str">
        <f>HYPERLINK("https://github.com/Anuken/Mindustry","show")</f>
        <v>show</v>
      </c>
      <c r="F4809" t="str">
        <f>HYPERLINK("https://github.com/Anuken/Mindustry/releases","show")</f>
        <v>show</v>
      </c>
    </row>
    <row r="4810" spans="1:6">
      <c r="A4810" t="s">
        <v>14315</v>
      </c>
      <c r="B4810" t="s">
        <v>14316</v>
      </c>
      <c r="C4810" t="s">
        <v>14317</v>
      </c>
      <c r="D4810" t="str">
        <f>HYPERLINK("https://github.com/cgeo/cgeo/issues/11248","show")</f>
        <v>show</v>
      </c>
      <c r="E4810" t="str">
        <f>HYPERLINK("https://github.com/cgeo/cgeo","show")</f>
        <v>show</v>
      </c>
      <c r="F4810" t="str">
        <f>HYPERLINK("https://github.com/cgeo/cgeo/releases","show")</f>
        <v>show</v>
      </c>
    </row>
    <row r="4811" spans="1:6">
      <c r="A4811" t="s">
        <v>14318</v>
      </c>
      <c r="B4811" t="s">
        <v>14319</v>
      </c>
      <c r="C4811" t="s">
        <v>14320</v>
      </c>
      <c r="D4811" t="str">
        <f>HYPERLINK("https://github.com/nextcloud/android/issues/8716","show")</f>
        <v>show</v>
      </c>
      <c r="E4811" t="str">
        <f>HYPERLINK("https://github.com/nextcloud/android","show")</f>
        <v>show</v>
      </c>
      <c r="F4811" t="str">
        <f>HYPERLINK("https://github.com/nextcloud/android/releases","show")</f>
        <v>show</v>
      </c>
    </row>
    <row r="4812" spans="1:6">
      <c r="A4812" t="s">
        <v>14321</v>
      </c>
      <c r="B4812" t="s">
        <v>14322</v>
      </c>
      <c r="C4812" t="s">
        <v>14323</v>
      </c>
      <c r="D4812" t="str">
        <f>HYPERLINK("https://github.com/inaturalist/iNaturalistAndroid/issues/1072","show")</f>
        <v>show</v>
      </c>
      <c r="E4812" t="str">
        <f>HYPERLINK("https://github.com/inaturalist/iNaturalistAndroid","show")</f>
        <v>show</v>
      </c>
      <c r="F4812" t="str">
        <f>HYPERLINK("https://github.com/inaturalist/iNaturalistAndroid/releases","show")</f>
        <v>show</v>
      </c>
    </row>
    <row r="4813" spans="1:6">
      <c r="A4813" t="s">
        <v>14324</v>
      </c>
      <c r="B4813" t="s">
        <v>14325</v>
      </c>
      <c r="C4813" t="s">
        <v>14326</v>
      </c>
      <c r="D4813" t="str">
        <f>HYPERLINK("https://github.com/inaturalist/iNaturalistAndroid/issues/1071","show")</f>
        <v>show</v>
      </c>
      <c r="E4813" t="str">
        <f>HYPERLINK("https://github.com/inaturalist/iNaturalistAndroid","show")</f>
        <v>show</v>
      </c>
      <c r="F4813" t="str">
        <f>HYPERLINK("https://github.com/inaturalist/iNaturalistAndroid/releases","show")</f>
        <v>show</v>
      </c>
    </row>
    <row r="4814" spans="1:6">
      <c r="A4814" t="s">
        <v>14327</v>
      </c>
      <c r="B4814" t="s">
        <v>14328</v>
      </c>
      <c r="C4814" t="s">
        <v>14329</v>
      </c>
      <c r="D4814" t="str">
        <f>HYPERLINK("https://github.com/TeamNewPipe/NewPipe/issues/6683","show")</f>
        <v>show</v>
      </c>
      <c r="E4814" t="str">
        <f t="shared" ref="E4814:E4820" si="20">HYPERLINK("https://github.com/TeamNewPipe/NewPipe","show")</f>
        <v>show</v>
      </c>
      <c r="F4814" t="str">
        <f t="shared" ref="F4814:F4820" si="21">HYPERLINK("https://github.com/TeamNewPipe/NewPipe/releases","show")</f>
        <v>show</v>
      </c>
    </row>
    <row r="4815" spans="1:6">
      <c r="A4815" t="s">
        <v>14330</v>
      </c>
      <c r="B4815" t="s">
        <v>14331</v>
      </c>
      <c r="C4815" t="s">
        <v>14332</v>
      </c>
      <c r="D4815" t="str">
        <f>HYPERLINK("https://github.com/TeamNewPipe/NewPipe/issues/6682","show")</f>
        <v>show</v>
      </c>
      <c r="E4815" t="str">
        <f t="shared" si="20"/>
        <v>show</v>
      </c>
      <c r="F4815" t="str">
        <f t="shared" si="21"/>
        <v>show</v>
      </c>
    </row>
    <row r="4816" spans="1:6">
      <c r="A4816" t="s">
        <v>14333</v>
      </c>
      <c r="B4816" t="s">
        <v>14334</v>
      </c>
      <c r="C4816" t="s">
        <v>14335</v>
      </c>
      <c r="D4816" t="str">
        <f>HYPERLINK("https://github.com/TeamNewPipe/NewPipe/issues/6681","show")</f>
        <v>show</v>
      </c>
      <c r="E4816" t="str">
        <f t="shared" si="20"/>
        <v>show</v>
      </c>
      <c r="F4816" t="str">
        <f t="shared" si="21"/>
        <v>show</v>
      </c>
    </row>
    <row r="4817" spans="1:6">
      <c r="A4817" t="s">
        <v>14336</v>
      </c>
      <c r="B4817" t="s">
        <v>14337</v>
      </c>
      <c r="C4817" t="s">
        <v>14338</v>
      </c>
      <c r="D4817" t="str">
        <f>HYPERLINK("https://github.com/TeamNewPipe/NewPipe/issues/6680","show")</f>
        <v>show</v>
      </c>
      <c r="E4817" t="str">
        <f t="shared" si="20"/>
        <v>show</v>
      </c>
      <c r="F4817" t="str">
        <f t="shared" si="21"/>
        <v>show</v>
      </c>
    </row>
    <row r="4818" spans="1:6">
      <c r="A4818" t="s">
        <v>14339</v>
      </c>
      <c r="B4818" t="s">
        <v>14340</v>
      </c>
      <c r="C4818" t="s">
        <v>14341</v>
      </c>
      <c r="D4818" t="str">
        <f>HYPERLINK("https://github.com/TeamNewPipe/NewPipe/issues/6677","show")</f>
        <v>show</v>
      </c>
      <c r="E4818" t="str">
        <f t="shared" si="20"/>
        <v>show</v>
      </c>
      <c r="F4818" t="str">
        <f t="shared" si="21"/>
        <v>show</v>
      </c>
    </row>
    <row r="4819" spans="1:6">
      <c r="A4819" t="s">
        <v>14342</v>
      </c>
      <c r="B4819" t="s">
        <v>14343</v>
      </c>
      <c r="C4819" t="s">
        <v>14344</v>
      </c>
      <c r="D4819" t="str">
        <f>HYPERLINK("https://github.com/TeamNewPipe/NewPipe/issues/6676","show")</f>
        <v>show</v>
      </c>
      <c r="E4819" t="str">
        <f t="shared" si="20"/>
        <v>show</v>
      </c>
      <c r="F4819" t="str">
        <f t="shared" si="21"/>
        <v>show</v>
      </c>
    </row>
    <row r="4820" spans="1:6">
      <c r="A4820" t="s">
        <v>14345</v>
      </c>
      <c r="B4820" t="s">
        <v>14346</v>
      </c>
      <c r="C4820" t="s">
        <v>14347</v>
      </c>
      <c r="D4820" t="str">
        <f>HYPERLINK("https://github.com/TeamNewPipe/NewPipe/issues/6674","show")</f>
        <v>show</v>
      </c>
      <c r="E4820" t="str">
        <f t="shared" si="20"/>
        <v>show</v>
      </c>
      <c r="F4820" t="str">
        <f t="shared" si="21"/>
        <v>show</v>
      </c>
    </row>
    <row r="4821" spans="1:6">
      <c r="A4821" t="s">
        <v>14348</v>
      </c>
      <c r="B4821" t="s">
        <v>14349</v>
      </c>
      <c r="C4821" t="s">
        <v>14350</v>
      </c>
      <c r="D4821" t="str">
        <f>HYPERLINK("https://github.com/PojavLauncherTeam/PojavLauncher/issues/1678","show")</f>
        <v>show</v>
      </c>
      <c r="E4821" t="str">
        <f>HYPERLINK("https://github.com/PojavLauncherTeam/PojavLauncher","show")</f>
        <v>show</v>
      </c>
      <c r="F4821" t="str">
        <f>HYPERLINK("https://github.com/PojavLauncherTeam/PojavLauncher/releases","show")</f>
        <v>show</v>
      </c>
    </row>
    <row r="4822" spans="1:6">
      <c r="A4822" t="s">
        <v>14351</v>
      </c>
      <c r="B4822" t="s">
        <v>14352</v>
      </c>
      <c r="C4822" t="s">
        <v>14353</v>
      </c>
      <c r="D4822" t="str">
        <f>HYPERLINK("https://github.com/commons-app/apps-android-commons/issues/4507","show")</f>
        <v>show</v>
      </c>
      <c r="E4822" t="str">
        <f>HYPERLINK("https://github.com/commons-app/apps-android-commons","show")</f>
        <v>show</v>
      </c>
      <c r="F4822" t="str">
        <f>HYPERLINK("https://github.com/commons-app/apps-android-commons/releases","show")</f>
        <v>show</v>
      </c>
    </row>
    <row r="4823" spans="1:6">
      <c r="A4823" t="s">
        <v>14354</v>
      </c>
      <c r="B4823" t="s">
        <v>14355</v>
      </c>
      <c r="C4823" t="s">
        <v>14356</v>
      </c>
      <c r="D4823" t="str">
        <f>HYPERLINK("https://github.com/TeamNewPipe/NewPipe/issues/6670","show")</f>
        <v>show</v>
      </c>
      <c r="E4823" t="str">
        <f>HYPERLINK("https://github.com/TeamNewPipe/NewPipe","show")</f>
        <v>show</v>
      </c>
      <c r="F4823" t="str">
        <f>HYPERLINK("https://github.com/TeamNewPipe/NewPipe/releases","show")</f>
        <v>show</v>
      </c>
    </row>
    <row r="4824" spans="1:6">
      <c r="A4824" t="s">
        <v>14357</v>
      </c>
      <c r="B4824" t="s">
        <v>14358</v>
      </c>
      <c r="C4824" t="s">
        <v>14359</v>
      </c>
      <c r="D4824" t="str">
        <f>HYPERLINK("https://github.com/TeamNewPipe/NewPipe/issues/6669","show")</f>
        <v>show</v>
      </c>
      <c r="E4824" t="str">
        <f>HYPERLINK("https://github.com/TeamNewPipe/NewPipe","show")</f>
        <v>show</v>
      </c>
      <c r="F4824" t="str">
        <f>HYPERLINK("https://github.com/TeamNewPipe/NewPipe/releases","show")</f>
        <v>show</v>
      </c>
    </row>
    <row r="4825" spans="1:6">
      <c r="A4825" t="s">
        <v>14360</v>
      </c>
      <c r="B4825" t="s">
        <v>14361</v>
      </c>
      <c r="C4825" t="s">
        <v>14362</v>
      </c>
      <c r="D4825" t="str">
        <f>HYPERLINK("https://github.com/Anuken/Mindustry/issues/5585","show")</f>
        <v>show</v>
      </c>
      <c r="E4825" t="str">
        <f>HYPERLINK("https://github.com/Anuken/Mindustry","show")</f>
        <v>show</v>
      </c>
      <c r="F4825" t="str">
        <f>HYPERLINK("https://github.com/Anuken/Mindustry/releases","show")</f>
        <v>show</v>
      </c>
    </row>
    <row r="4826" spans="1:6">
      <c r="A4826" t="s">
        <v>14363</v>
      </c>
      <c r="B4826" t="s">
        <v>14364</v>
      </c>
      <c r="C4826" t="s">
        <v>14365</v>
      </c>
      <c r="D4826" t="str">
        <f>HYPERLINK("https://github.com/TeamNewPipe/NewPipe/issues/6667","show")</f>
        <v>show</v>
      </c>
      <c r="E4826" t="str">
        <f>HYPERLINK("https://github.com/TeamNewPipe/NewPipe","show")</f>
        <v>show</v>
      </c>
      <c r="F4826" t="str">
        <f>HYPERLINK("https://github.com/TeamNewPipe/NewPipe/releases","show")</f>
        <v>show</v>
      </c>
    </row>
    <row r="4827" spans="1:6">
      <c r="A4827" t="s">
        <v>14366</v>
      </c>
      <c r="B4827" t="s">
        <v>14367</v>
      </c>
      <c r="C4827" t="s">
        <v>14368</v>
      </c>
      <c r="D4827" t="str">
        <f>HYPERLINK("https://github.com/nextcloud/android/issues/8706","show")</f>
        <v>show</v>
      </c>
      <c r="E4827" t="str">
        <f>HYPERLINK("https://github.com/nextcloud/android","show")</f>
        <v>show</v>
      </c>
      <c r="F4827" t="str">
        <f>HYPERLINK("https://github.com/nextcloud/android/releases","show")</f>
        <v>show</v>
      </c>
    </row>
    <row r="4828" spans="1:6">
      <c r="A4828" t="s">
        <v>14369</v>
      </c>
      <c r="B4828" t="s">
        <v>14370</v>
      </c>
      <c r="C4828" t="s">
        <v>14371</v>
      </c>
      <c r="D4828" t="str">
        <f>HYPERLINK("https://github.com/ably/ably-java/issues/686","show")</f>
        <v>show</v>
      </c>
      <c r="E4828" t="str">
        <f>HYPERLINK("https://github.com/ably/ably-java","show")</f>
        <v>show</v>
      </c>
      <c r="F4828" t="str">
        <f>HYPERLINK("https://github.com/ably/ably-java/releases","show")</f>
        <v>show</v>
      </c>
    </row>
    <row r="4829" spans="1:6">
      <c r="A4829" t="s">
        <v>14372</v>
      </c>
      <c r="B4829" t="s">
        <v>14373</v>
      </c>
      <c r="C4829" t="s">
        <v>14374</v>
      </c>
      <c r="D4829" t="str">
        <f>HYPERLINK("https://github.com/ably/ably-java/issues/685","show")</f>
        <v>show</v>
      </c>
      <c r="E4829" t="str">
        <f>HYPERLINK("https://github.com/ably/ably-java","show")</f>
        <v>show</v>
      </c>
      <c r="F4829" t="str">
        <f>HYPERLINK("https://github.com/ably/ably-java/releases","show")</f>
        <v>show</v>
      </c>
    </row>
    <row r="4830" spans="1:6">
      <c r="A4830" t="s">
        <v>14375</v>
      </c>
      <c r="B4830" t="s">
        <v>14376</v>
      </c>
      <c r="C4830" t="s">
        <v>14377</v>
      </c>
      <c r="D4830" t="str">
        <f>HYPERLINK("https://github.com/TeamNewPipe/NewPipe/issues/6665","show")</f>
        <v>show</v>
      </c>
      <c r="E4830" t="str">
        <f>HYPERLINK("https://github.com/TeamNewPipe/NewPipe","show")</f>
        <v>show</v>
      </c>
      <c r="F4830" t="str">
        <f>HYPERLINK("https://github.com/TeamNewPipe/NewPipe/releases","show")</f>
        <v>show</v>
      </c>
    </row>
    <row r="4831" spans="1:6">
      <c r="A4831" t="s">
        <v>14378</v>
      </c>
      <c r="B4831" t="s">
        <v>14379</v>
      </c>
      <c r="C4831" t="s">
        <v>14380</v>
      </c>
      <c r="D4831" t="str">
        <f>HYPERLINK("https://github.com/Anuken/Mindustry/issues/5583","show")</f>
        <v>show</v>
      </c>
      <c r="E4831" t="str">
        <f>HYPERLINK("https://github.com/Anuken/Mindustry","show")</f>
        <v>show</v>
      </c>
      <c r="F4831" t="str">
        <f>HYPERLINK("https://github.com/Anuken/Mindustry/releases","show")</f>
        <v>show</v>
      </c>
    </row>
    <row r="4832" spans="1:6">
      <c r="A4832" t="s">
        <v>14381</v>
      </c>
      <c r="B4832" t="s">
        <v>14382</v>
      </c>
      <c r="C4832" t="s">
        <v>14383</v>
      </c>
      <c r="D4832" t="str">
        <f>HYPERLINK("https://github.com/TeamNewPipe/NewPipe/issues/6664","show")</f>
        <v>show</v>
      </c>
      <c r="E4832" t="str">
        <f>HYPERLINK("https://github.com/TeamNewPipe/NewPipe","show")</f>
        <v>show</v>
      </c>
      <c r="F4832" t="str">
        <f>HYPERLINK("https://github.com/TeamNewPipe/NewPipe/releases","show")</f>
        <v>show</v>
      </c>
    </row>
    <row r="4833" spans="1:6">
      <c r="A4833" t="s">
        <v>14384</v>
      </c>
      <c r="B4833" t="s">
        <v>14385</v>
      </c>
      <c r="C4833" t="s">
        <v>14386</v>
      </c>
      <c r="D4833" t="str">
        <f>HYPERLINK("https://github.com/google/ExoPlayer/issues/9193","show")</f>
        <v>show</v>
      </c>
      <c r="E4833" t="str">
        <f>HYPERLINK("https://github.com/google/ExoPlayer","show")</f>
        <v>show</v>
      </c>
      <c r="F4833" t="str">
        <f>HYPERLINK("https://github.com/google/ExoPlayer/releases","show")</f>
        <v>show</v>
      </c>
    </row>
    <row r="4834" spans="1:6">
      <c r="A4834" t="s">
        <v>14387</v>
      </c>
      <c r="B4834" t="s">
        <v>14388</v>
      </c>
      <c r="C4834" t="s">
        <v>14389</v>
      </c>
      <c r="D4834" t="str">
        <f>HYPERLINK("https://github.com/PojavLauncherTeam/PojavLauncher/issues/1673","show")</f>
        <v>show</v>
      </c>
      <c r="E4834" t="str">
        <f>HYPERLINK("https://github.com/PojavLauncherTeam/PojavLauncher","show")</f>
        <v>show</v>
      </c>
      <c r="F4834" t="str">
        <f>HYPERLINK("https://github.com/PojavLauncherTeam/PojavLauncher/releases","show")</f>
        <v>show</v>
      </c>
    </row>
    <row r="4835" spans="1:6">
      <c r="A4835" t="s">
        <v>14390</v>
      </c>
      <c r="B4835" t="s">
        <v>14391</v>
      </c>
      <c r="C4835" t="s">
        <v>14392</v>
      </c>
      <c r="D4835" t="str">
        <f>HYPERLINK("https://github.com/TeamNewPipe/NewPipe/issues/6662","show")</f>
        <v>show</v>
      </c>
      <c r="E4835" t="str">
        <f>HYPERLINK("https://github.com/TeamNewPipe/NewPipe","show")</f>
        <v>show</v>
      </c>
      <c r="F4835" t="str">
        <f>HYPERLINK("https://github.com/TeamNewPipe/NewPipe/releases","show")</f>
        <v>show</v>
      </c>
    </row>
    <row r="4836" spans="1:6">
      <c r="A4836" t="s">
        <v>14393</v>
      </c>
      <c r="B4836" t="s">
        <v>14394</v>
      </c>
      <c r="C4836" t="s">
        <v>14395</v>
      </c>
      <c r="D4836" t="str">
        <f>HYPERLINK("https://github.com/nextcloud/android/issues/8699","show")</f>
        <v>show</v>
      </c>
      <c r="E4836" t="str">
        <f>HYPERLINK("https://github.com/nextcloud/android","show")</f>
        <v>show</v>
      </c>
      <c r="F4836" t="str">
        <f>HYPERLINK("https://github.com/nextcloud/android/releases","show")</f>
        <v>show</v>
      </c>
    </row>
    <row r="4837" spans="1:6">
      <c r="A4837" t="s">
        <v>14396</v>
      </c>
      <c r="B4837" t="s">
        <v>14397</v>
      </c>
      <c r="C4837" t="s">
        <v>14398</v>
      </c>
      <c r="D4837" t="str">
        <f>HYPERLINK("https://github.com/Anuken/Mindustry/issues/5580","show")</f>
        <v>show</v>
      </c>
      <c r="E4837" t="str">
        <f>HYPERLINK("https://github.com/Anuken/Mindustry","show")</f>
        <v>show</v>
      </c>
      <c r="F4837" t="str">
        <f>HYPERLINK("https://github.com/Anuken/Mindustry/releases","show")</f>
        <v>show</v>
      </c>
    </row>
    <row r="4838" spans="1:6">
      <c r="A4838" t="s">
        <v>14399</v>
      </c>
      <c r="B4838" t="s">
        <v>14400</v>
      </c>
      <c r="C4838" t="s">
        <v>14401</v>
      </c>
      <c r="D4838" t="str">
        <f>HYPERLINK("https://github.com/Anuken/Mindustry/issues/5579","show")</f>
        <v>show</v>
      </c>
      <c r="E4838" t="str">
        <f>HYPERLINK("https://github.com/Anuken/Mindustry","show")</f>
        <v>show</v>
      </c>
      <c r="F4838" t="str">
        <f>HYPERLINK("https://github.com/Anuken/Mindustry/releases","show")</f>
        <v>show</v>
      </c>
    </row>
    <row r="4839" spans="1:6">
      <c r="A4839" t="s">
        <v>14402</v>
      </c>
      <c r="B4839" t="s">
        <v>14403</v>
      </c>
      <c r="C4839" t="s">
        <v>14404</v>
      </c>
      <c r="D4839" t="str">
        <f>HYPERLINK("https://github.com/lisawray/groupie/issues/398","show")</f>
        <v>show</v>
      </c>
      <c r="E4839" t="str">
        <f>HYPERLINK("https://github.com/lisawray/groupie","show")</f>
        <v>show</v>
      </c>
      <c r="F4839" t="str">
        <f>HYPERLINK("https://github.com/lisawray/groupie/releases","show")</f>
        <v>show</v>
      </c>
    </row>
    <row r="4840" spans="1:6">
      <c r="A4840" t="s">
        <v>14405</v>
      </c>
      <c r="B4840" t="s">
        <v>14406</v>
      </c>
      <c r="C4840" t="s">
        <v>14407</v>
      </c>
      <c r="D4840" t="str">
        <f>HYPERLINK("https://github.com/Anuken/Mindustry/issues/5577","show")</f>
        <v>show</v>
      </c>
      <c r="E4840" t="str">
        <f>HYPERLINK("https://github.com/Anuken/Mindustry","show")</f>
        <v>show</v>
      </c>
      <c r="F4840" t="str">
        <f>HYPERLINK("https://github.com/Anuken/Mindustry/releases","show")</f>
        <v>show</v>
      </c>
    </row>
    <row r="4841" spans="1:6">
      <c r="A4841" t="s">
        <v>14408</v>
      </c>
      <c r="B4841" t="s">
        <v>14409</v>
      </c>
      <c r="C4841" t="s">
        <v>14410</v>
      </c>
      <c r="D4841" t="str">
        <f>HYPERLINK("https://github.com/commons-app/apps-android-commons/issues/4503","show")</f>
        <v>show</v>
      </c>
      <c r="E4841" t="str">
        <f>HYPERLINK("https://github.com/commons-app/apps-android-commons","show")</f>
        <v>show</v>
      </c>
      <c r="F4841" t="str">
        <f>HYPERLINK("https://github.com/commons-app/apps-android-commons/releases","show")</f>
        <v>show</v>
      </c>
    </row>
    <row r="4842" spans="1:6">
      <c r="A4842" t="s">
        <v>14411</v>
      </c>
      <c r="B4842" t="s">
        <v>14412</v>
      </c>
      <c r="C4842" t="s">
        <v>14413</v>
      </c>
      <c r="D4842" t="str">
        <f>HYPERLINK("https://github.com/nextcloud/talk-android/issues/1465","show")</f>
        <v>show</v>
      </c>
      <c r="E4842" t="str">
        <f>HYPERLINK("https://github.com/nextcloud/talk-android","show")</f>
        <v>show</v>
      </c>
      <c r="F4842" t="str">
        <f>HYPERLINK("https://github.com/nextcloud/talk-android/releases","show")</f>
        <v>show</v>
      </c>
    </row>
    <row r="4843" spans="1:6">
      <c r="A4843" t="s">
        <v>14414</v>
      </c>
      <c r="B4843" t="s">
        <v>14415</v>
      </c>
      <c r="C4843" t="s">
        <v>14416</v>
      </c>
      <c r="D4843" t="str">
        <f>HYPERLINK("https://github.com/iZettle/sdk-android/issues/36","show")</f>
        <v>show</v>
      </c>
      <c r="E4843" t="str">
        <f>HYPERLINK("https://github.com/iZettle/sdk-android","show")</f>
        <v>show</v>
      </c>
      <c r="F4843" t="str">
        <f>HYPERLINK("https://github.com/iZettle/sdk-android/releases","show")</f>
        <v>show</v>
      </c>
    </row>
    <row r="4844" spans="1:6">
      <c r="A4844" t="s">
        <v>14417</v>
      </c>
      <c r="B4844" t="s">
        <v>14418</v>
      </c>
      <c r="C4844" t="s">
        <v>14419</v>
      </c>
      <c r="D4844" t="str">
        <f>HYPERLINK("https://github.com/jellyfin/jellyfin-androidtv/issues/1015","show")</f>
        <v>show</v>
      </c>
      <c r="E4844" t="str">
        <f>HYPERLINK("https://github.com/jellyfin/jellyfin-androidtv","show")</f>
        <v>show</v>
      </c>
      <c r="F4844" t="str">
        <f>HYPERLINK("https://github.com/jellyfin/jellyfin-androidtv/releases","show")</f>
        <v>show</v>
      </c>
    </row>
    <row r="4845" spans="1:6">
      <c r="A4845" t="s">
        <v>14420</v>
      </c>
      <c r="B4845" t="s">
        <v>14421</v>
      </c>
      <c r="C4845" t="s">
        <v>14422</v>
      </c>
      <c r="D4845" t="str">
        <f>HYPERLINK("https://github.com/avluis/Hentoid/issues/810","show")</f>
        <v>show</v>
      </c>
      <c r="E4845" t="str">
        <f>HYPERLINK("https://github.com/avluis/Hentoid","show")</f>
        <v>show</v>
      </c>
      <c r="F4845" t="str">
        <f>HYPERLINK("https://github.com/avluis/Hentoid/releases","show")</f>
        <v>show</v>
      </c>
    </row>
    <row r="4846" spans="1:6">
      <c r="A4846" t="s">
        <v>14423</v>
      </c>
      <c r="B4846" t="s">
        <v>14424</v>
      </c>
      <c r="C4846" t="s">
        <v>14425</v>
      </c>
      <c r="D4846" t="str">
        <f>HYPERLINK("https://github.com/Anuken/Mindustry/issues/5571","show")</f>
        <v>show</v>
      </c>
      <c r="E4846" t="str">
        <f>HYPERLINK("https://github.com/Anuken/Mindustry","show")</f>
        <v>show</v>
      </c>
      <c r="F4846" t="str">
        <f>HYPERLINK("https://github.com/Anuken/Mindustry/releases","show")</f>
        <v>show</v>
      </c>
    </row>
    <row r="4847" spans="1:6">
      <c r="A4847" t="s">
        <v>14426</v>
      </c>
      <c r="B4847" t="s">
        <v>14427</v>
      </c>
      <c r="C4847" t="s">
        <v>14428</v>
      </c>
      <c r="D4847" t="str">
        <f>HYPERLINK("https://github.com/TeamNewPipe/NewPipe/issues/6652","show")</f>
        <v>show</v>
      </c>
      <c r="E4847" t="str">
        <f>HYPERLINK("https://github.com/TeamNewPipe/NewPipe","show")</f>
        <v>show</v>
      </c>
      <c r="F4847" t="str">
        <f>HYPERLINK("https://github.com/TeamNewPipe/NewPipe/releases","show")</f>
        <v>show</v>
      </c>
    </row>
    <row r="4848" spans="1:6">
      <c r="A4848" t="s">
        <v>14429</v>
      </c>
      <c r="B4848" t="s">
        <v>14430</v>
      </c>
      <c r="C4848" t="s">
        <v>14431</v>
      </c>
      <c r="D4848" t="str">
        <f>HYPERLINK("https://github.com/TeamNewPipe/NewPipe/issues/6651","show")</f>
        <v>show</v>
      </c>
      <c r="E4848" t="str">
        <f>HYPERLINK("https://github.com/TeamNewPipe/NewPipe","show")</f>
        <v>show</v>
      </c>
      <c r="F4848" t="str">
        <f>HYPERLINK("https://github.com/TeamNewPipe/NewPipe/releases","show")</f>
        <v>show</v>
      </c>
    </row>
    <row r="4849" spans="1:6">
      <c r="A4849" t="s">
        <v>14432</v>
      </c>
      <c r="B4849" t="s">
        <v>14433</v>
      </c>
      <c r="C4849" t="s">
        <v>14434</v>
      </c>
      <c r="D4849" t="str">
        <f>HYPERLINK("https://github.com/TacoTheDank/Scoop/issues/21","show")</f>
        <v>show</v>
      </c>
      <c r="E4849" t="str">
        <f>HYPERLINK("https://github.com/TacoTheDank/Scoop","show")</f>
        <v>show</v>
      </c>
      <c r="F4849" t="str">
        <f>HYPERLINK("https://github.com/TacoTheDank/Scoop/releases","show")</f>
        <v>show</v>
      </c>
    </row>
    <row r="4850" spans="1:6">
      <c r="A4850" t="s">
        <v>14435</v>
      </c>
      <c r="B4850" t="s">
        <v>14436</v>
      </c>
      <c r="C4850" t="s">
        <v>14437</v>
      </c>
      <c r="D4850" t="str">
        <f>HYPERLINK("https://github.com/TeamNewPipe/NewPipe/issues/6650","show")</f>
        <v>show</v>
      </c>
      <c r="E4850" t="str">
        <f>HYPERLINK("https://github.com/TeamNewPipe/NewPipe","show")</f>
        <v>show</v>
      </c>
      <c r="F4850" t="str">
        <f>HYPERLINK("https://github.com/TeamNewPipe/NewPipe/releases","show")</f>
        <v>show</v>
      </c>
    </row>
    <row r="4851" spans="1:6">
      <c r="A4851" t="s">
        <v>14438</v>
      </c>
      <c r="B4851" t="s">
        <v>14439</v>
      </c>
      <c r="C4851" t="s">
        <v>14440</v>
      </c>
      <c r="D4851" t="str">
        <f>HYPERLINK("https://github.com/PojavLauncherTeam/PojavLauncher/issues/1667","show")</f>
        <v>show</v>
      </c>
      <c r="E4851" t="str">
        <f>HYPERLINK("https://github.com/PojavLauncherTeam/PojavLauncher","show")</f>
        <v>show</v>
      </c>
      <c r="F4851" t="str">
        <f>HYPERLINK("https://github.com/PojavLauncherTeam/PojavLauncher/releases","show")</f>
        <v>show</v>
      </c>
    </row>
    <row r="4852" spans="1:6">
      <c r="A4852" t="s">
        <v>14441</v>
      </c>
      <c r="B4852" t="s">
        <v>14442</v>
      </c>
      <c r="C4852" t="s">
        <v>14443</v>
      </c>
      <c r="D4852" t="str">
        <f>HYPERLINK("https://github.com/opensrp/opensrp-client-giz-malawi/issues/402","show")</f>
        <v>show</v>
      </c>
      <c r="E4852" t="str">
        <f>HYPERLINK("https://github.com/opensrp/opensrp-client-giz-malawi","show")</f>
        <v>show</v>
      </c>
      <c r="F4852" t="str">
        <f>HYPERLINK("https://github.com/opensrp/opensrp-client-giz-malawi/releases","show")</f>
        <v>show</v>
      </c>
    </row>
    <row r="4853" spans="1:6">
      <c r="A4853" t="s">
        <v>14444</v>
      </c>
      <c r="B4853" t="s">
        <v>14445</v>
      </c>
      <c r="C4853" t="s">
        <v>14446</v>
      </c>
      <c r="D4853" t="str">
        <f>HYPERLINK("https://github.com/cgeo/cgeo/issues/11185","show")</f>
        <v>show</v>
      </c>
      <c r="E4853" t="str">
        <f>HYPERLINK("https://github.com/cgeo/cgeo","show")</f>
        <v>show</v>
      </c>
      <c r="F4853" t="str">
        <f>HYPERLINK("https://github.com/cgeo/cgeo/releases","show")</f>
        <v>show</v>
      </c>
    </row>
    <row r="4854" spans="1:6">
      <c r="A4854" t="s">
        <v>14447</v>
      </c>
      <c r="B4854" t="s">
        <v>14448</v>
      </c>
      <c r="C4854" t="s">
        <v>14449</v>
      </c>
      <c r="D4854" t="str">
        <f>HYPERLINK("https://github.com/cgeo/cgeo/issues/11184","show")</f>
        <v>show</v>
      </c>
      <c r="E4854" t="str">
        <f>HYPERLINK("https://github.com/cgeo/cgeo","show")</f>
        <v>show</v>
      </c>
      <c r="F4854" t="str">
        <f>HYPERLINK("https://github.com/cgeo/cgeo/releases","show")</f>
        <v>show</v>
      </c>
    </row>
    <row r="4855" spans="1:6">
      <c r="A4855" t="s">
        <v>14450</v>
      </c>
      <c r="B4855" t="s">
        <v>14451</v>
      </c>
      <c r="C4855" t="s">
        <v>14452</v>
      </c>
      <c r="D4855" t="str">
        <f>HYPERLINK("https://github.com/PojavLauncherTeam/PojavLauncher/issues/1661","show")</f>
        <v>show</v>
      </c>
      <c r="E4855" t="str">
        <f>HYPERLINK("https://github.com/PojavLauncherTeam/PojavLauncher","show")</f>
        <v>show</v>
      </c>
      <c r="F4855" t="str">
        <f>HYPERLINK("https://github.com/PojavLauncherTeam/PojavLauncher/releases","show")</f>
        <v>show</v>
      </c>
    </row>
    <row r="4856" spans="1:6">
      <c r="A4856" t="s">
        <v>14453</v>
      </c>
      <c r="B4856" t="s">
        <v>14454</v>
      </c>
      <c r="C4856" t="s">
        <v>14455</v>
      </c>
      <c r="D4856" t="str">
        <f>HYPERLINK("https://github.com/PojavLauncherTeam/PojavLauncher/issues/1658","show")</f>
        <v>show</v>
      </c>
      <c r="E4856" t="str">
        <f>HYPERLINK("https://github.com/PojavLauncherTeam/PojavLauncher","show")</f>
        <v>show</v>
      </c>
      <c r="F4856" t="str">
        <f>HYPERLINK("https://github.com/PojavLauncherTeam/PojavLauncher/releases","show")</f>
        <v>show</v>
      </c>
    </row>
    <row r="4857" spans="1:6">
      <c r="A4857" t="s">
        <v>14456</v>
      </c>
      <c r="B4857" t="s">
        <v>14457</v>
      </c>
      <c r="C4857" t="s">
        <v>14458</v>
      </c>
      <c r="D4857" t="str">
        <f>HYPERLINK("https://github.com/Anuken/Mindustry/issues/5562","show")</f>
        <v>show</v>
      </c>
      <c r="E4857" t="str">
        <f>HYPERLINK("https://github.com/Anuken/Mindustry","show")</f>
        <v>show</v>
      </c>
      <c r="F4857" t="str">
        <f>HYPERLINK("https://github.com/Anuken/Mindustry/releases","show")</f>
        <v>show</v>
      </c>
    </row>
    <row r="4858" spans="1:6">
      <c r="A4858" t="s">
        <v>14459</v>
      </c>
      <c r="B4858" t="s">
        <v>14460</v>
      </c>
      <c r="C4858" t="s">
        <v>14461</v>
      </c>
      <c r="D4858" t="str">
        <f>HYPERLINK("https://github.com/Anuken/Mindustry/issues/5561","show")</f>
        <v>show</v>
      </c>
      <c r="E4858" t="str">
        <f>HYPERLINK("https://github.com/Anuken/Mindustry","show")</f>
        <v>show</v>
      </c>
      <c r="F4858" t="str">
        <f>HYPERLINK("https://github.com/Anuken/Mindustry/releases","show")</f>
        <v>show</v>
      </c>
    </row>
    <row r="4859" spans="1:6">
      <c r="A4859" t="s">
        <v>14462</v>
      </c>
      <c r="B4859" t="s">
        <v>14463</v>
      </c>
      <c r="C4859" t="s">
        <v>14464</v>
      </c>
      <c r="D4859" t="str">
        <f>HYPERLINK("https://github.com/Anuken/Mindustry/issues/5560","show")</f>
        <v>show</v>
      </c>
      <c r="E4859" t="str">
        <f>HYPERLINK("https://github.com/Anuken/Mindustry","show")</f>
        <v>show</v>
      </c>
      <c r="F4859" t="str">
        <f>HYPERLINK("https://github.com/Anuken/Mindustry/releases","show")</f>
        <v>show</v>
      </c>
    </row>
    <row r="4860" spans="1:6">
      <c r="A4860" t="s">
        <v>14465</v>
      </c>
      <c r="B4860" t="s">
        <v>14466</v>
      </c>
      <c r="C4860" t="s">
        <v>14467</v>
      </c>
      <c r="D4860" t="str">
        <f>HYPERLINK("https://github.com/TeamNewPipe/NewPipe/issues/6639","show")</f>
        <v>show</v>
      </c>
      <c r="E4860" t="str">
        <f>HYPERLINK("https://github.com/TeamNewPipe/NewPipe","show")</f>
        <v>show</v>
      </c>
      <c r="F4860" t="str">
        <f>HYPERLINK("https://github.com/TeamNewPipe/NewPipe/releases","show")</f>
        <v>show</v>
      </c>
    </row>
    <row r="4861" spans="1:6">
      <c r="A4861" t="s">
        <v>14468</v>
      </c>
      <c r="B4861" t="s">
        <v>14469</v>
      </c>
      <c r="C4861" t="s">
        <v>14470</v>
      </c>
      <c r="D4861" t="str">
        <f>HYPERLINK("https://github.com/PojavLauncherTeam/PojavLauncher/issues/1651","show")</f>
        <v>show</v>
      </c>
      <c r="E4861" t="str">
        <f>HYPERLINK("https://github.com/PojavLauncherTeam/PojavLauncher","show")</f>
        <v>show</v>
      </c>
      <c r="F4861" t="str">
        <f>HYPERLINK("https://github.com/PojavLauncherTeam/PojavLauncher/releases","show")</f>
        <v>show</v>
      </c>
    </row>
    <row r="4862" spans="1:6">
      <c r="A4862" t="s">
        <v>14471</v>
      </c>
      <c r="B4862" t="s">
        <v>14472</v>
      </c>
      <c r="C4862" t="s">
        <v>14473</v>
      </c>
      <c r="D4862" t="str">
        <f>HYPERLINK("https://github.com/PojavLauncherTeam/PojavLauncher/issues/1649","show")</f>
        <v>show</v>
      </c>
      <c r="E4862" t="str">
        <f>HYPERLINK("https://github.com/PojavLauncherTeam/PojavLauncher","show")</f>
        <v>show</v>
      </c>
      <c r="F4862" t="str">
        <f>HYPERLINK("https://github.com/PojavLauncherTeam/PojavLauncher/releases","show")</f>
        <v>show</v>
      </c>
    </row>
    <row r="4863" spans="1:6">
      <c r="A4863" t="s">
        <v>14474</v>
      </c>
      <c r="B4863" t="s">
        <v>14475</v>
      </c>
      <c r="C4863" t="s">
        <v>14476</v>
      </c>
      <c r="D4863" t="str">
        <f>HYPERLINK("https://github.com/TeamNewPipe/NewPipe/issues/6632","show")</f>
        <v>show</v>
      </c>
      <c r="E4863" t="str">
        <f>HYPERLINK("https://github.com/TeamNewPipe/NewPipe","show")</f>
        <v>show</v>
      </c>
      <c r="F4863" t="str">
        <f>HYPERLINK("https://github.com/TeamNewPipe/NewPipe/releases","show")</f>
        <v>show</v>
      </c>
    </row>
    <row r="4864" spans="1:6">
      <c r="A4864" t="s">
        <v>14477</v>
      </c>
      <c r="B4864" t="s">
        <v>14478</v>
      </c>
      <c r="C4864" t="s">
        <v>14479</v>
      </c>
      <c r="D4864" t="str">
        <f>HYPERLINK("https://github.com/theheraldproject/herald-for-android/issues/217","show")</f>
        <v>show</v>
      </c>
      <c r="E4864" t="str">
        <f>HYPERLINK("https://github.com/theheraldproject/herald-for-android","show")</f>
        <v>show</v>
      </c>
      <c r="F4864" t="str">
        <f>HYPERLINK("https://github.com/theheraldproject/herald-for-android/releases","show")</f>
        <v>show</v>
      </c>
    </row>
    <row r="4865" spans="1:6">
      <c r="A4865" t="s">
        <v>14480</v>
      </c>
      <c r="B4865" t="s">
        <v>14481</v>
      </c>
      <c r="C4865" t="s">
        <v>14482</v>
      </c>
      <c r="D4865" t="str">
        <f>HYPERLINK("https://github.com/opensrp/opensrp-client-chw/issues/1829","show")</f>
        <v>show</v>
      </c>
      <c r="E4865" t="str">
        <f>HYPERLINK("https://github.com/opensrp/opensrp-client-chw","show")</f>
        <v>show</v>
      </c>
      <c r="F4865" t="str">
        <f>HYPERLINK("https://github.com/opensrp/opensrp-client-chw/releases","show")</f>
        <v>show</v>
      </c>
    </row>
    <row r="4866" spans="1:6">
      <c r="A4866" t="s">
        <v>14483</v>
      </c>
      <c r="B4866" t="s">
        <v>14484</v>
      </c>
      <c r="C4866" t="s">
        <v>14485</v>
      </c>
      <c r="D4866" t="str">
        <f>HYPERLINK("https://github.com/nextcloud/talk-android/issues/1435","show")</f>
        <v>show</v>
      </c>
      <c r="E4866" t="str">
        <f>HYPERLINK("https://github.com/nextcloud/talk-android","show")</f>
        <v>show</v>
      </c>
      <c r="F4866" t="str">
        <f>HYPERLINK("https://github.com/nextcloud/talk-android/releases","show")</f>
        <v>show</v>
      </c>
    </row>
    <row r="4867" spans="1:6">
      <c r="A4867" t="s">
        <v>14486</v>
      </c>
      <c r="B4867" t="s">
        <v>14487</v>
      </c>
      <c r="C4867" t="s">
        <v>14488</v>
      </c>
      <c r="D4867" t="str">
        <f>HYPERLINK("https://github.com/PojavLauncherTeam/PojavLauncher/issues/1646","show")</f>
        <v>show</v>
      </c>
      <c r="E4867" t="str">
        <f>HYPERLINK("https://github.com/PojavLauncherTeam/PojavLauncher","show")</f>
        <v>show</v>
      </c>
      <c r="F4867" t="str">
        <f>HYPERLINK("https://github.com/PojavLauncherTeam/PojavLauncher/releases","show")</f>
        <v>show</v>
      </c>
    </row>
    <row r="4868" spans="1:6">
      <c r="A4868" t="s">
        <v>14489</v>
      </c>
      <c r="B4868" t="s">
        <v>14490</v>
      </c>
      <c r="C4868" t="s">
        <v>14491</v>
      </c>
      <c r="D4868" t="str">
        <f>HYPERLINK("https://github.com/mrvivacious/PorNo-_Porn_Blocker/issues/83","show")</f>
        <v>show</v>
      </c>
      <c r="E4868" t="str">
        <f>HYPERLINK("https://github.com/mrvivacious/PorNo-_Porn_Blocker","show")</f>
        <v>show</v>
      </c>
      <c r="F4868" t="str">
        <f>HYPERLINK("https://github.com/mrvivacious/PorNo-_Porn_Blocker/releases","show")</f>
        <v>show</v>
      </c>
    </row>
    <row r="4869" spans="1:6">
      <c r="A4869" t="s">
        <v>14492</v>
      </c>
      <c r="B4869" t="s">
        <v>14493</v>
      </c>
      <c r="C4869" t="s">
        <v>14494</v>
      </c>
      <c r="D4869" t="str">
        <f>HYPERLINK("https://github.com/nextcloud/talk-android/issues/1429","show")</f>
        <v>show</v>
      </c>
      <c r="E4869" t="str">
        <f>HYPERLINK("https://github.com/nextcloud/talk-android","show")</f>
        <v>show</v>
      </c>
      <c r="F4869" t="str">
        <f>HYPERLINK("https://github.com/nextcloud/talk-android/releases","show")</f>
        <v>show</v>
      </c>
    </row>
    <row r="4870" spans="1:6">
      <c r="A4870" t="s">
        <v>14495</v>
      </c>
      <c r="B4870" t="s">
        <v>4808</v>
      </c>
      <c r="C4870" t="s">
        <v>14496</v>
      </c>
      <c r="D4870" t="str">
        <f>HYPERLINK("https://github.com/norkator/apcupsd-monitor/issues/40","show")</f>
        <v>show</v>
      </c>
      <c r="E4870" t="str">
        <f>HYPERLINK("https://github.com/norkator/apcupsd-monitor","show")</f>
        <v>show</v>
      </c>
      <c r="F4870" t="str">
        <f>HYPERLINK("https://github.com/norkator/apcupsd-monitor/releases","show")</f>
        <v>show</v>
      </c>
    </row>
    <row r="4871" spans="1:6">
      <c r="A4871" t="s">
        <v>14497</v>
      </c>
      <c r="B4871" t="s">
        <v>14498</v>
      </c>
      <c r="C4871" t="s">
        <v>14499</v>
      </c>
      <c r="D4871" t="str">
        <f>HYPERLINK("https://github.com/PojavLauncherTeam/PojavLauncher/issues/1644","show")</f>
        <v>show</v>
      </c>
      <c r="E4871" t="str">
        <f>HYPERLINK("https://github.com/PojavLauncherTeam/PojavLauncher","show")</f>
        <v>show</v>
      </c>
      <c r="F4871" t="str">
        <f>HYPERLINK("https://github.com/PojavLauncherTeam/PojavLauncher/releases","show")</f>
        <v>show</v>
      </c>
    </row>
    <row r="4872" spans="1:6">
      <c r="A4872" t="s">
        <v>14500</v>
      </c>
      <c r="B4872" t="s">
        <v>14501</v>
      </c>
      <c r="C4872" t="s">
        <v>14502</v>
      </c>
      <c r="D4872" t="str">
        <f>HYPERLINK("https://github.com/Anuken/Mindustry/issues/5555","show")</f>
        <v>show</v>
      </c>
      <c r="E4872" t="str">
        <f>HYPERLINK("https://github.com/Anuken/Mindustry","show")</f>
        <v>show</v>
      </c>
      <c r="F4872" t="str">
        <f>HYPERLINK("https://github.com/Anuken/Mindustry/releases","show")</f>
        <v>show</v>
      </c>
    </row>
    <row r="4873" spans="1:6">
      <c r="A4873" t="s">
        <v>14503</v>
      </c>
      <c r="B4873" t="s">
        <v>14504</v>
      </c>
      <c r="C4873" t="s">
        <v>14505</v>
      </c>
      <c r="D4873" t="str">
        <f>HYPERLINK("https://github.com/inaturalist/iNaturalistAndroid/issues/1064","show")</f>
        <v>show</v>
      </c>
      <c r="E4873" t="str">
        <f>HYPERLINK("https://github.com/inaturalist/iNaturalistAndroid","show")</f>
        <v>show</v>
      </c>
      <c r="F4873" t="str">
        <f>HYPERLINK("https://github.com/inaturalist/iNaturalistAndroid/releases","show")</f>
        <v>show</v>
      </c>
    </row>
    <row r="4874" spans="1:6">
      <c r="A4874" t="s">
        <v>14506</v>
      </c>
      <c r="B4874" t="s">
        <v>14507</v>
      </c>
      <c r="C4874" t="s">
        <v>14508</v>
      </c>
      <c r="D4874" t="str">
        <f>HYPERLINK("https://github.com/Anuken/Mindustry/issues/5553","show")</f>
        <v>show</v>
      </c>
      <c r="E4874" t="str">
        <f>HYPERLINK("https://github.com/Anuken/Mindustry","show")</f>
        <v>show</v>
      </c>
      <c r="F4874" t="str">
        <f>HYPERLINK("https://github.com/Anuken/Mindustry/releases","show")</f>
        <v>show</v>
      </c>
    </row>
    <row r="4875" spans="1:6">
      <c r="A4875" t="s">
        <v>14509</v>
      </c>
      <c r="B4875" t="s">
        <v>14510</v>
      </c>
      <c r="C4875" t="s">
        <v>14511</v>
      </c>
      <c r="D4875" t="str">
        <f>HYPERLINK("https://github.com/Anuken/Mindustry/issues/5552","show")</f>
        <v>show</v>
      </c>
      <c r="E4875" t="str">
        <f>HYPERLINK("https://github.com/Anuken/Mindustry","show")</f>
        <v>show</v>
      </c>
      <c r="F4875" t="str">
        <f>HYPERLINK("https://github.com/Anuken/Mindustry/releases","show")</f>
        <v>show</v>
      </c>
    </row>
    <row r="4876" spans="1:6">
      <c r="A4876" t="s">
        <v>14512</v>
      </c>
      <c r="B4876" t="s">
        <v>14513</v>
      </c>
      <c r="C4876" t="s">
        <v>14514</v>
      </c>
      <c r="D4876" t="str">
        <f>HYPERLINK("https://github.com/dariuszseweryn/RxAndroidBle/issues/758","show")</f>
        <v>show</v>
      </c>
      <c r="E4876" t="str">
        <f>HYPERLINK("https://github.com/dariuszseweryn/RxAndroidBle","show")</f>
        <v>show</v>
      </c>
      <c r="F4876" t="str">
        <f>HYPERLINK("https://github.com/dariuszseweryn/RxAndroidBle/releases","show")</f>
        <v>show</v>
      </c>
    </row>
    <row r="4877" spans="1:6">
      <c r="A4877" t="s">
        <v>14515</v>
      </c>
      <c r="B4877" t="s">
        <v>14516</v>
      </c>
      <c r="C4877" t="s">
        <v>14517</v>
      </c>
      <c r="D4877" t="str">
        <f>HYPERLINK("https://github.com/Blankj/AndroidUtilCode/issues/1517","show")</f>
        <v>show</v>
      </c>
      <c r="E4877" t="str">
        <f>HYPERLINK("https://github.com/Blankj/AndroidUtilCode","show")</f>
        <v>show</v>
      </c>
      <c r="F4877" t="str">
        <f>HYPERLINK("https://github.com/Blankj/AndroidUtilCode/releases","show")</f>
        <v>show</v>
      </c>
    </row>
    <row r="4878" spans="1:6">
      <c r="A4878" t="s">
        <v>14518</v>
      </c>
      <c r="B4878" t="s">
        <v>14519</v>
      </c>
      <c r="C4878" t="s">
        <v>14520</v>
      </c>
      <c r="D4878" t="str">
        <f>HYPERLINK("https://github.com/nextcloud/talk-android/issues/1417","show")</f>
        <v>show</v>
      </c>
      <c r="E4878" t="str">
        <f>HYPERLINK("https://github.com/nextcloud/talk-android","show")</f>
        <v>show</v>
      </c>
      <c r="F4878" t="str">
        <f>HYPERLINK("https://github.com/nextcloud/talk-android/releases","show")</f>
        <v>show</v>
      </c>
    </row>
    <row r="4879" spans="1:6">
      <c r="A4879" t="s">
        <v>14521</v>
      </c>
      <c r="B4879" t="s">
        <v>14522</v>
      </c>
      <c r="C4879" t="s">
        <v>14523</v>
      </c>
      <c r="D4879" t="str">
        <f>HYPERLINK("https://github.com/cgeo/cgeo/issues/11140","show")</f>
        <v>show</v>
      </c>
      <c r="E4879" t="str">
        <f>HYPERLINK("https://github.com/cgeo/cgeo","show")</f>
        <v>show</v>
      </c>
      <c r="F4879" t="str">
        <f>HYPERLINK("https://github.com/cgeo/cgeo/releases","show")</f>
        <v>show</v>
      </c>
    </row>
    <row r="4880" spans="1:6">
      <c r="A4880" t="s">
        <v>14524</v>
      </c>
      <c r="B4880" t="s">
        <v>14525</v>
      </c>
      <c r="C4880" t="s">
        <v>14526</v>
      </c>
      <c r="D4880" t="str">
        <f>HYPERLINK("https://github.com/trackerforce/splitmate-android-app/issues/43","show")</f>
        <v>show</v>
      </c>
      <c r="E4880" t="str">
        <f>HYPERLINK("https://github.com/trackerforce/splitmate-android-app","show")</f>
        <v>show</v>
      </c>
      <c r="F4880" t="str">
        <f>HYPERLINK("https://github.com/trackerforce/splitmate-android-app/releases","show")</f>
        <v>show</v>
      </c>
    </row>
    <row r="4881" spans="1:6">
      <c r="A4881" t="s">
        <v>14527</v>
      </c>
      <c r="B4881" t="s">
        <v>14528</v>
      </c>
      <c r="C4881" t="s">
        <v>14529</v>
      </c>
      <c r="D4881" t="str">
        <f>HYPERLINK("https://github.com/cgeo/cgeo/issues/11136","show")</f>
        <v>show</v>
      </c>
      <c r="E4881" t="str">
        <f>HYPERLINK("https://github.com/cgeo/cgeo","show")</f>
        <v>show</v>
      </c>
      <c r="F4881" t="str">
        <f>HYPERLINK("https://github.com/cgeo/cgeo/releases","show")</f>
        <v>show</v>
      </c>
    </row>
    <row r="4882" spans="1:6">
      <c r="A4882" t="s">
        <v>14530</v>
      </c>
      <c r="B4882" t="s">
        <v>14531</v>
      </c>
      <c r="C4882" t="s">
        <v>14532</v>
      </c>
      <c r="D4882" t="str">
        <f>HYPERLINK("https://github.com/Keidan/HexViewer/issues/63","show")</f>
        <v>show</v>
      </c>
      <c r="E4882" t="str">
        <f>HYPERLINK("https://github.com/Keidan/HexViewer","show")</f>
        <v>show</v>
      </c>
      <c r="F4882" t="str">
        <f>HYPERLINK("https://github.com/Keidan/HexViewer/releases","show")</f>
        <v>show</v>
      </c>
    </row>
    <row r="4883" spans="1:6">
      <c r="A4883" t="s">
        <v>14533</v>
      </c>
      <c r="B4883" t="s">
        <v>14534</v>
      </c>
      <c r="C4883" t="s">
        <v>14535</v>
      </c>
      <c r="D4883" t="str">
        <f>HYPERLINK("https://github.com/Anuken/Mindustry/issues/5549","show")</f>
        <v>show</v>
      </c>
      <c r="E4883" t="str">
        <f>HYPERLINK("https://github.com/Anuken/Mindustry","show")</f>
        <v>show</v>
      </c>
      <c r="F4883" t="str">
        <f>HYPERLINK("https://github.com/Anuken/Mindustry/releases","show")</f>
        <v>show</v>
      </c>
    </row>
    <row r="4884" spans="1:6">
      <c r="A4884" t="s">
        <v>14536</v>
      </c>
      <c r="B4884" t="s">
        <v>14537</v>
      </c>
      <c r="C4884" t="s">
        <v>14538</v>
      </c>
      <c r="D4884" t="str">
        <f>HYPERLINK("https://github.com/Marmo/debitum/issues/35","show")</f>
        <v>show</v>
      </c>
      <c r="E4884" t="str">
        <f>HYPERLINK("https://github.com/Marmo/debitum","show")</f>
        <v>show</v>
      </c>
      <c r="F4884" t="str">
        <f>HYPERLINK("https://github.com/Marmo/debitum/releases","show")</f>
        <v>show</v>
      </c>
    </row>
    <row r="4885" spans="1:6">
      <c r="A4885" t="s">
        <v>14539</v>
      </c>
      <c r="B4885" t="s">
        <v>14540</v>
      </c>
      <c r="C4885" t="s">
        <v>14541</v>
      </c>
      <c r="D4885" t="str">
        <f>HYPERLINK("https://github.com/commons-app/apps-android-commons/issues/4498","show")</f>
        <v>show</v>
      </c>
      <c r="E4885" t="str">
        <f>HYPERLINK("https://github.com/commons-app/apps-android-commons","show")</f>
        <v>show</v>
      </c>
      <c r="F4885" t="str">
        <f>HYPERLINK("https://github.com/commons-app/apps-android-commons/releases","show")</f>
        <v>show</v>
      </c>
    </row>
    <row r="4886" spans="1:6">
      <c r="A4886" t="s">
        <v>14542</v>
      </c>
      <c r="B4886" t="s">
        <v>11705</v>
      </c>
      <c r="C4886" t="s">
        <v>14543</v>
      </c>
      <c r="D4886" t="str">
        <f>HYPERLINK("https://github.com/mvysny/aedict/issues/962","show")</f>
        <v>show</v>
      </c>
      <c r="E4886" t="str">
        <f>HYPERLINK("https://github.com/mvysny/aedict","show")</f>
        <v>show</v>
      </c>
      <c r="F4886" t="str">
        <f>HYPERLINK("https://github.com/mvysny/aedict/releases","show")</f>
        <v>show</v>
      </c>
    </row>
    <row r="4887" spans="1:6">
      <c r="A4887" t="s">
        <v>14544</v>
      </c>
      <c r="B4887" t="s">
        <v>14545</v>
      </c>
      <c r="C4887" t="s">
        <v>14546</v>
      </c>
      <c r="D4887" t="str">
        <f>HYPERLINK("https://github.com/twilio/video-quickstart-android/issues/652","show")</f>
        <v>show</v>
      </c>
      <c r="E4887" t="str">
        <f>HYPERLINK("https://github.com/twilio/video-quickstart-android","show")</f>
        <v>show</v>
      </c>
      <c r="F4887" t="str">
        <f>HYPERLINK("https://github.com/twilio/video-quickstart-android/releases","show")</f>
        <v>show</v>
      </c>
    </row>
    <row r="4888" spans="1:6">
      <c r="A4888" t="s">
        <v>14547</v>
      </c>
      <c r="B4888" t="s">
        <v>14548</v>
      </c>
      <c r="C4888" t="s">
        <v>14549</v>
      </c>
      <c r="D4888" t="str">
        <f>HYPERLINK("https://github.com/Anuken/Mindustry/issues/5548","show")</f>
        <v>show</v>
      </c>
      <c r="E4888" t="str">
        <f>HYPERLINK("https://github.com/Anuken/Mindustry","show")</f>
        <v>show</v>
      </c>
      <c r="F4888" t="str">
        <f>HYPERLINK("https://github.com/Anuken/Mindustry/releases","show")</f>
        <v>show</v>
      </c>
    </row>
    <row r="4889" spans="1:6">
      <c r="A4889" t="s">
        <v>14550</v>
      </c>
      <c r="B4889" t="s">
        <v>14551</v>
      </c>
      <c r="C4889" t="s">
        <v>14552</v>
      </c>
      <c r="D4889" t="str">
        <f>HYPERLINK("https://github.com/BugBattle/Android-SDK/issues/11","show")</f>
        <v>show</v>
      </c>
      <c r="E4889" t="str">
        <f>HYPERLINK("https://github.com/BugBattle/Android-SDK","show")</f>
        <v>show</v>
      </c>
      <c r="F4889" t="str">
        <f>HYPERLINK("https://github.com/BugBattle/Android-SDK/releases","show")</f>
        <v>show</v>
      </c>
    </row>
    <row r="4890" spans="1:6">
      <c r="A4890" t="s">
        <v>14553</v>
      </c>
      <c r="B4890" t="s">
        <v>14554</v>
      </c>
      <c r="C4890" t="s">
        <v>14555</v>
      </c>
      <c r="D4890" t="str">
        <f>HYPERLINK("https://github.com/aws-amplify/aws-sdk-android/issues/2533","show")</f>
        <v>show</v>
      </c>
      <c r="E4890" t="str">
        <f>HYPERLINK("https://github.com/aws-amplify/aws-sdk-android","show")</f>
        <v>show</v>
      </c>
      <c r="F4890" t="str">
        <f>HYPERLINK("https://github.com/aws-amplify/aws-sdk-android/releases","show")</f>
        <v>show</v>
      </c>
    </row>
    <row r="4891" spans="1:6">
      <c r="A4891" t="s">
        <v>14556</v>
      </c>
      <c r="B4891" t="s">
        <v>14557</v>
      </c>
      <c r="C4891" t="s">
        <v>14558</v>
      </c>
      <c r="D4891" t="str">
        <f>HYPERLINK("https://github.com/material-components/material-components-android/issues/2285","show")</f>
        <v>show</v>
      </c>
      <c r="E4891" t="str">
        <f>HYPERLINK("https://github.com/material-components/material-components-android","show")</f>
        <v>show</v>
      </c>
      <c r="F4891" t="str">
        <f>HYPERLINK("https://github.com/material-components/material-components-android/releases","show")</f>
        <v>show</v>
      </c>
    </row>
    <row r="4892" spans="1:6">
      <c r="A4892" t="s">
        <v>14559</v>
      </c>
      <c r="B4892" t="s">
        <v>14560</v>
      </c>
      <c r="C4892" t="s">
        <v>14561</v>
      </c>
      <c r="D4892" t="str">
        <f>HYPERLINK("https://github.com/Anuken/Mindustry/issues/5543","show")</f>
        <v>show</v>
      </c>
      <c r="E4892" t="str">
        <f>HYPERLINK("https://github.com/Anuken/Mindustry","show")</f>
        <v>show</v>
      </c>
      <c r="F4892" t="str">
        <f>HYPERLINK("https://github.com/Anuken/Mindustry/releases","show")</f>
        <v>show</v>
      </c>
    </row>
    <row r="4893" spans="1:6">
      <c r="A4893" t="s">
        <v>14562</v>
      </c>
      <c r="B4893" t="s">
        <v>14563</v>
      </c>
      <c r="C4893" t="s">
        <v>14564</v>
      </c>
      <c r="D4893" t="str">
        <f>HYPERLINK("https://github.com/mtotschnig/MyExpenses/issues/852","show")</f>
        <v>show</v>
      </c>
      <c r="E4893" t="str">
        <f>HYPERLINK("https://github.com/mtotschnig/MyExpenses","show")</f>
        <v>show</v>
      </c>
      <c r="F4893" t="str">
        <f>HYPERLINK("https://github.com/mtotschnig/MyExpenses/releases","show")</f>
        <v>show</v>
      </c>
    </row>
    <row r="4894" spans="1:6">
      <c r="A4894" t="s">
        <v>14565</v>
      </c>
      <c r="B4894" t="s">
        <v>14566</v>
      </c>
      <c r="C4894" t="s">
        <v>14567</v>
      </c>
      <c r="D4894" t="str">
        <f>HYPERLINK("https://github.com/Anuken/Mindustry/issues/5541","show")</f>
        <v>show</v>
      </c>
      <c r="E4894" t="str">
        <f>HYPERLINK("https://github.com/Anuken/Mindustry","show")</f>
        <v>show</v>
      </c>
      <c r="F4894" t="str">
        <f>HYPERLINK("https://github.com/Anuken/Mindustry/releases","show")</f>
        <v>show</v>
      </c>
    </row>
    <row r="4895" spans="1:6">
      <c r="A4895" t="s">
        <v>14568</v>
      </c>
      <c r="B4895" t="s">
        <v>14569</v>
      </c>
      <c r="C4895" t="s">
        <v>14570</v>
      </c>
      <c r="D4895" t="str">
        <f>HYPERLINK("https://github.com/MuntashirAkon/AppManager/issues/505","show")</f>
        <v>show</v>
      </c>
      <c r="E4895" t="str">
        <f>HYPERLINK("https://github.com/MuntashirAkon/AppManager","show")</f>
        <v>show</v>
      </c>
      <c r="F4895" t="str">
        <f>HYPERLINK("https://github.com/MuntashirAkon/AppManager/releases","show")</f>
        <v>show</v>
      </c>
    </row>
    <row r="4896" spans="1:6">
      <c r="A4896" t="s">
        <v>14571</v>
      </c>
      <c r="B4896" t="s">
        <v>14572</v>
      </c>
      <c r="C4896" t="s">
        <v>14573</v>
      </c>
      <c r="D4896" t="str">
        <f>HYPERLINK("https://github.com/LawnchairLauncher/lawnchair/issues/2181","show")</f>
        <v>show</v>
      </c>
      <c r="E4896" t="str">
        <f>HYPERLINK("https://github.com/LawnchairLauncher/lawnchair","show")</f>
        <v>show</v>
      </c>
      <c r="F4896" t="str">
        <f>HYPERLINK("https://github.com/LawnchairLauncher/lawnchair/releases","show")</f>
        <v>show</v>
      </c>
    </row>
    <row r="4897" spans="1:6">
      <c r="A4897" t="s">
        <v>14574</v>
      </c>
      <c r="B4897" t="s">
        <v>14575</v>
      </c>
      <c r="C4897" t="s">
        <v>14576</v>
      </c>
      <c r="D4897" t="str">
        <f>HYPERLINK("https://github.com/Anuken/Mindustry/issues/5528","show")</f>
        <v>show</v>
      </c>
      <c r="E4897" t="str">
        <f>HYPERLINK("https://github.com/Anuken/Mindustry","show")</f>
        <v>show</v>
      </c>
      <c r="F4897" t="str">
        <f>HYPERLINK("https://github.com/Anuken/Mindustry/releases","show")</f>
        <v>show</v>
      </c>
    </row>
    <row r="4898" spans="1:6">
      <c r="A4898" t="s">
        <v>14577</v>
      </c>
      <c r="B4898" t="s">
        <v>14578</v>
      </c>
      <c r="C4898" t="s">
        <v>14579</v>
      </c>
      <c r="D4898" t="str">
        <f>HYPERLINK("https://github.com/MuntashirAkon/AppManager/issues/504","show")</f>
        <v>show</v>
      </c>
      <c r="E4898" t="str">
        <f>HYPERLINK("https://github.com/MuntashirAkon/AppManager","show")</f>
        <v>show</v>
      </c>
      <c r="F4898" t="str">
        <f>HYPERLINK("https://github.com/MuntashirAkon/AppManager/releases","show")</f>
        <v>show</v>
      </c>
    </row>
    <row r="4899" spans="1:6">
      <c r="A4899" t="s">
        <v>14580</v>
      </c>
      <c r="B4899" t="s">
        <v>14581</v>
      </c>
      <c r="C4899" t="s">
        <v>14582</v>
      </c>
      <c r="D4899" t="str">
        <f>HYPERLINK("https://github.com/amplitude/Amplitude-Android/issues/286","show")</f>
        <v>show</v>
      </c>
      <c r="E4899" t="str">
        <f>HYPERLINK("https://github.com/amplitude/Amplitude-Android","show")</f>
        <v>show</v>
      </c>
      <c r="F4899" t="str">
        <f>HYPERLINK("https://github.com/amplitude/Amplitude-Android/releases","show")</f>
        <v>show</v>
      </c>
    </row>
    <row r="4900" spans="1:6">
      <c r="A4900" t="s">
        <v>14583</v>
      </c>
      <c r="B4900" t="s">
        <v>14584</v>
      </c>
      <c r="C4900" t="s">
        <v>14585</v>
      </c>
      <c r="D4900" t="str">
        <f>HYPERLINK("https://github.com/Anuken/Mindustry/issues/5524","show")</f>
        <v>show</v>
      </c>
      <c r="E4900" t="str">
        <f>HYPERLINK("https://github.com/Anuken/Mindustry","show")</f>
        <v>show</v>
      </c>
      <c r="F4900" t="str">
        <f>HYPERLINK("https://github.com/Anuken/Mindustry/releases","show")</f>
        <v>show</v>
      </c>
    </row>
    <row r="4901" spans="1:6">
      <c r="A4901" t="s">
        <v>14586</v>
      </c>
      <c r="B4901" t="s">
        <v>14587</v>
      </c>
      <c r="C4901" t="s">
        <v>14588</v>
      </c>
      <c r="D4901" t="str">
        <f>HYPERLINK("https://github.com/Anuken/Mindustry/issues/5521","show")</f>
        <v>show</v>
      </c>
      <c r="E4901" t="str">
        <f>HYPERLINK("https://github.com/Anuken/Mindustry","show")</f>
        <v>show</v>
      </c>
      <c r="F4901" t="str">
        <f>HYPERLINK("https://github.com/Anuken/Mindustry/releases","show")</f>
        <v>show</v>
      </c>
    </row>
    <row r="4902" spans="1:6">
      <c r="A4902" t="s">
        <v>14589</v>
      </c>
      <c r="B4902" t="s">
        <v>14590</v>
      </c>
      <c r="C4902" t="s">
        <v>14591</v>
      </c>
      <c r="D4902" t="str">
        <f>HYPERLINK("https://github.com/inaturalist/iNaturalistAndroid/issues/1060","show")</f>
        <v>show</v>
      </c>
      <c r="E4902" t="str">
        <f>HYPERLINK("https://github.com/inaturalist/iNaturalistAndroid","show")</f>
        <v>show</v>
      </c>
      <c r="F4902" t="str">
        <f>HYPERLINK("https://github.com/inaturalist/iNaturalistAndroid/releases","show")</f>
        <v>show</v>
      </c>
    </row>
    <row r="4903" spans="1:6">
      <c r="A4903" t="s">
        <v>14592</v>
      </c>
      <c r="B4903" t="s">
        <v>14593</v>
      </c>
      <c r="C4903" t="s">
        <v>14594</v>
      </c>
      <c r="D4903" t="str">
        <f>HYPERLINK("https://github.com/nextcloud/android/issues/8648","show")</f>
        <v>show</v>
      </c>
      <c r="E4903" t="str">
        <f>HYPERLINK("https://github.com/nextcloud/android","show")</f>
        <v>show</v>
      </c>
      <c r="F4903" t="str">
        <f>HYPERLINK("https://github.com/nextcloud/android/releases","show")</f>
        <v>show</v>
      </c>
    </row>
    <row r="4904" spans="1:6">
      <c r="A4904" t="s">
        <v>14595</v>
      </c>
      <c r="B4904" t="s">
        <v>14596</v>
      </c>
      <c r="C4904" t="s">
        <v>14597</v>
      </c>
      <c r="D4904" t="str">
        <f>HYPERLINK("https://github.com/microg/GmsCore/issues/1506","show")</f>
        <v>show</v>
      </c>
      <c r="E4904" t="str">
        <f>HYPERLINK("https://github.com/microg/GmsCore","show")</f>
        <v>show</v>
      </c>
      <c r="F4904" t="str">
        <f>HYPERLINK("https://github.com/microg/GmsCore/releases","show")</f>
        <v>show</v>
      </c>
    </row>
    <row r="4905" spans="1:6">
      <c r="A4905" t="s">
        <v>14598</v>
      </c>
      <c r="B4905" t="s">
        <v>14599</v>
      </c>
      <c r="C4905" t="s">
        <v>14600</v>
      </c>
      <c r="D4905" t="str">
        <f>HYPERLINK("https://github.com/Anuken/Mindustry/issues/5519","show")</f>
        <v>show</v>
      </c>
      <c r="E4905" t="str">
        <f>HYPERLINK("https://github.com/Anuken/Mindustry","show")</f>
        <v>show</v>
      </c>
      <c r="F4905" t="str">
        <f>HYPERLINK("https://github.com/Anuken/Mindustry/releases","show")</f>
        <v>show</v>
      </c>
    </row>
    <row r="4906" spans="1:6">
      <c r="A4906" t="s">
        <v>14601</v>
      </c>
      <c r="B4906" t="s">
        <v>14602</v>
      </c>
      <c r="C4906" t="s">
        <v>14603</v>
      </c>
      <c r="D4906" t="str">
        <f>HYPERLINK("https://github.com/trackerforce/splitmate-android-app/issues/40","show")</f>
        <v>show</v>
      </c>
      <c r="E4906" t="str">
        <f>HYPERLINK("https://github.com/trackerforce/splitmate-android-app","show")</f>
        <v>show</v>
      </c>
      <c r="F4906" t="str">
        <f>HYPERLINK("https://github.com/trackerforce/splitmate-android-app/releases","show")</f>
        <v>show</v>
      </c>
    </row>
    <row r="4907" spans="1:6">
      <c r="A4907" t="s">
        <v>14604</v>
      </c>
      <c r="B4907" t="s">
        <v>14605</v>
      </c>
      <c r="C4907" t="s">
        <v>14606</v>
      </c>
      <c r="D4907" t="str">
        <f>HYPERLINK("https://github.com/nextcloud/android/issues/8645","show")</f>
        <v>show</v>
      </c>
      <c r="E4907" t="str">
        <f>HYPERLINK("https://github.com/nextcloud/android","show")</f>
        <v>show</v>
      </c>
      <c r="F4907" t="str">
        <f>HYPERLINK("https://github.com/nextcloud/android/releases","show")</f>
        <v>show</v>
      </c>
    </row>
    <row r="4908" spans="1:6">
      <c r="A4908" t="s">
        <v>14607</v>
      </c>
      <c r="B4908" t="s">
        <v>14608</v>
      </c>
      <c r="C4908" t="s">
        <v>14609</v>
      </c>
      <c r="D4908" t="str">
        <f>HYPERLINK("https://github.com/jellyfin/jellyfin-androidtv/issues/989","show")</f>
        <v>show</v>
      </c>
      <c r="E4908" t="str">
        <f>HYPERLINK("https://github.com/jellyfin/jellyfin-androidtv","show")</f>
        <v>show</v>
      </c>
      <c r="F4908" t="str">
        <f>HYPERLINK("https://github.com/jellyfin/jellyfin-androidtv/releases","show")</f>
        <v>show</v>
      </c>
    </row>
    <row r="4909" spans="1:6">
      <c r="A4909" t="s">
        <v>14610</v>
      </c>
      <c r="B4909" t="s">
        <v>14611</v>
      </c>
      <c r="C4909" t="s">
        <v>14612</v>
      </c>
      <c r="D4909" t="str">
        <f>HYPERLINK("https://github.com/k3b/LocationMapViewer/issues/18","show")</f>
        <v>show</v>
      </c>
      <c r="E4909" t="str">
        <f>HYPERLINK("https://github.com/k3b/LocationMapViewer","show")</f>
        <v>show</v>
      </c>
      <c r="F4909" t="str">
        <f>HYPERLINK("https://github.com/k3b/LocationMapViewer/releases","show")</f>
        <v>show</v>
      </c>
    </row>
    <row r="4910" spans="1:6">
      <c r="A4910" t="s">
        <v>14613</v>
      </c>
      <c r="B4910" t="s">
        <v>14614</v>
      </c>
      <c r="C4910" t="s">
        <v>14615</v>
      </c>
      <c r="D4910" t="str">
        <f>HYPERLINK("https://github.com/aws-amplify/aws-sdk-android/issues/2530","show")</f>
        <v>show</v>
      </c>
      <c r="E4910" t="str">
        <f>HYPERLINK("https://github.com/aws-amplify/aws-sdk-android","show")</f>
        <v>show</v>
      </c>
      <c r="F4910" t="str">
        <f>HYPERLINK("https://github.com/aws-amplify/aws-sdk-android/releases","show")</f>
        <v>show</v>
      </c>
    </row>
    <row r="4911" spans="1:6">
      <c r="A4911" t="s">
        <v>14616</v>
      </c>
      <c r="B4911" t="s">
        <v>14617</v>
      </c>
      <c r="C4911" t="s">
        <v>14618</v>
      </c>
      <c r="D4911" t="str">
        <f>HYPERLINK("https://github.com/k9mail/k-9/issues/5374","show")</f>
        <v>show</v>
      </c>
      <c r="E4911" t="str">
        <f>HYPERLINK("https://github.com/k9mail/k-9","show")</f>
        <v>show</v>
      </c>
      <c r="F4911" t="str">
        <f>HYPERLINK("https://github.com/k9mail/k-9/releases","show")</f>
        <v>show</v>
      </c>
    </row>
    <row r="4912" spans="1:6">
      <c r="A4912" t="s">
        <v>14619</v>
      </c>
      <c r="B4912" t="s">
        <v>14620</v>
      </c>
      <c r="C4912" t="s">
        <v>14621</v>
      </c>
      <c r="D4912" t="str">
        <f>HYPERLINK("https://github.com/hariimurti/NontonTV/issues/5","show")</f>
        <v>show</v>
      </c>
      <c r="E4912" t="str">
        <f>HYPERLINK("https://github.com/hariimurti/NontonTV","show")</f>
        <v>show</v>
      </c>
      <c r="F4912" t="str">
        <f>HYPERLINK("https://github.com/hariimurti/NontonTV/releases","show")</f>
        <v>show</v>
      </c>
    </row>
    <row r="4913" spans="1:6">
      <c r="A4913" t="s">
        <v>14622</v>
      </c>
      <c r="B4913" t="s">
        <v>14623</v>
      </c>
      <c r="C4913" t="s">
        <v>14624</v>
      </c>
      <c r="D4913" t="str">
        <f>HYPERLINK("https://github.com/opensrp/opensrp-client-reveal/issues/1464","show")</f>
        <v>show</v>
      </c>
      <c r="E4913" t="str">
        <f>HYPERLINK("https://github.com/opensrp/opensrp-client-reveal","show")</f>
        <v>show</v>
      </c>
      <c r="F4913" t="str">
        <f>HYPERLINK("https://github.com/opensrp/opensrp-client-reveal/releases","show")</f>
        <v>show</v>
      </c>
    </row>
    <row r="4914" spans="1:6">
      <c r="A4914" t="s">
        <v>14625</v>
      </c>
      <c r="B4914" t="s">
        <v>14626</v>
      </c>
      <c r="C4914" t="s">
        <v>14627</v>
      </c>
      <c r="D4914" t="str">
        <f>HYPERLINK("https://github.com/ElderDrivers/EdXposed/issues/869","show")</f>
        <v>show</v>
      </c>
      <c r="E4914" t="str">
        <f>HYPERLINK("https://github.com/ElderDrivers/EdXposed","show")</f>
        <v>show</v>
      </c>
      <c r="F4914" t="str">
        <f>HYPERLINK("https://github.com/ElderDrivers/EdXposed/releases","show")</f>
        <v>show</v>
      </c>
    </row>
    <row r="4915" spans="1:6">
      <c r="A4915" t="s">
        <v>14628</v>
      </c>
      <c r="B4915" t="s">
        <v>14629</v>
      </c>
      <c r="C4915" t="s">
        <v>14630</v>
      </c>
      <c r="D4915" t="str">
        <f>HYPERLINK("https://github.com/bttv-android/bttv/issues/166","show")</f>
        <v>show</v>
      </c>
      <c r="E4915" t="str">
        <f>HYPERLINK("https://github.com/bttv-android/bttv","show")</f>
        <v>show</v>
      </c>
      <c r="F4915" t="str">
        <f>HYPERLINK("https://github.com/bttv-android/bttv/releases","show")</f>
        <v>show</v>
      </c>
    </row>
    <row r="4916" spans="1:6">
      <c r="A4916" t="s">
        <v>14631</v>
      </c>
      <c r="B4916" t="s">
        <v>14632</v>
      </c>
      <c r="C4916" t="s">
        <v>14633</v>
      </c>
      <c r="D4916" t="str">
        <f>HYPERLINK("https://github.com/Anuken/Mindustry/issues/5511","show")</f>
        <v>show</v>
      </c>
      <c r="E4916" t="str">
        <f>HYPERLINK("https://github.com/Anuken/Mindustry","show")</f>
        <v>show</v>
      </c>
      <c r="F4916" t="str">
        <f>HYPERLINK("https://github.com/Anuken/Mindustry/releases","show")</f>
        <v>show</v>
      </c>
    </row>
    <row r="4917" spans="1:6">
      <c r="A4917" t="s">
        <v>14634</v>
      </c>
      <c r="B4917" t="s">
        <v>14635</v>
      </c>
      <c r="C4917" t="s">
        <v>14636</v>
      </c>
      <c r="D4917" t="str">
        <f>HYPERLINK("https://github.com/ankidroid/Anki-Android/issues/9164","show")</f>
        <v>show</v>
      </c>
      <c r="E4917" t="str">
        <f>HYPERLINK("https://github.com/ankidroid/Anki-Android","show")</f>
        <v>show</v>
      </c>
      <c r="F4917" t="str">
        <f>HYPERLINK("https://github.com/ankidroid/Anki-Android/releases","show")</f>
        <v>show</v>
      </c>
    </row>
    <row r="4918" spans="1:6">
      <c r="A4918" t="s">
        <v>14637</v>
      </c>
      <c r="B4918" t="s">
        <v>14638</v>
      </c>
      <c r="C4918" t="s">
        <v>14639</v>
      </c>
      <c r="D4918" t="str">
        <f>HYPERLINK("https://github.com/Anuken/Mindustry/issues/5510","show")</f>
        <v>show</v>
      </c>
      <c r="E4918" t="str">
        <f>HYPERLINK("https://github.com/Anuken/Mindustry","show")</f>
        <v>show</v>
      </c>
      <c r="F4918" t="str">
        <f>HYPERLINK("https://github.com/Anuken/Mindustry/releases","show")</f>
        <v>show</v>
      </c>
    </row>
    <row r="4919" spans="1:6">
      <c r="A4919" t="s">
        <v>14640</v>
      </c>
      <c r="B4919" t="s">
        <v>14641</v>
      </c>
      <c r="C4919" t="s">
        <v>14642</v>
      </c>
      <c r="D4919" t="str">
        <f>HYPERLINK("https://github.com/Anuken/Mindustry/issues/5508","show")</f>
        <v>show</v>
      </c>
      <c r="E4919" t="str">
        <f>HYPERLINK("https://github.com/Anuken/Mindustry","show")</f>
        <v>show</v>
      </c>
      <c r="F4919" t="str">
        <f>HYPERLINK("https://github.com/Anuken/Mindustry/releases","show")</f>
        <v>show</v>
      </c>
    </row>
    <row r="4920" spans="1:6">
      <c r="A4920" t="s">
        <v>14643</v>
      </c>
      <c r="B4920" t="s">
        <v>14644</v>
      </c>
      <c r="C4920" t="s">
        <v>14645</v>
      </c>
      <c r="D4920" t="str">
        <f>HYPERLINK("https://github.com/Anuken/Mindustry/issues/5507","show")</f>
        <v>show</v>
      </c>
      <c r="E4920" t="str">
        <f>HYPERLINK("https://github.com/Anuken/Mindustry","show")</f>
        <v>show</v>
      </c>
      <c r="F4920" t="str">
        <f>HYPERLINK("https://github.com/Anuken/Mindustry/releases","show")</f>
        <v>show</v>
      </c>
    </row>
    <row r="4921" spans="1:6">
      <c r="A4921" t="s">
        <v>14646</v>
      </c>
      <c r="B4921" t="s">
        <v>14647</v>
      </c>
      <c r="C4921" t="s">
        <v>14648</v>
      </c>
      <c r="D4921" t="str">
        <f>HYPERLINK("https://github.com/defold/extension-gpgs/issues/37","show")</f>
        <v>show</v>
      </c>
      <c r="E4921" t="str">
        <f>HYPERLINK("https://github.com/defold/extension-gpgs","show")</f>
        <v>show</v>
      </c>
      <c r="F4921" t="str">
        <f>HYPERLINK("https://github.com/defold/extension-gpgs/releases","show")</f>
        <v>show</v>
      </c>
    </row>
    <row r="4922" spans="1:6">
      <c r="A4922" t="s">
        <v>14649</v>
      </c>
      <c r="B4922" t="s">
        <v>14650</v>
      </c>
      <c r="C4922" t="s">
        <v>14651</v>
      </c>
      <c r="D4922" t="str">
        <f>HYPERLINK("https://github.com/PojavLauncherTeam/PojavLauncher/issues/1603","show")</f>
        <v>show</v>
      </c>
      <c r="E4922" t="str">
        <f>HYPERLINK("https://github.com/PojavLauncherTeam/PojavLauncher","show")</f>
        <v>show</v>
      </c>
      <c r="F4922" t="str">
        <f>HYPERLINK("https://github.com/PojavLauncherTeam/PojavLauncher/releases","show")</f>
        <v>show</v>
      </c>
    </row>
    <row r="4923" spans="1:6">
      <c r="A4923" t="s">
        <v>14652</v>
      </c>
      <c r="B4923" t="s">
        <v>14653</v>
      </c>
      <c r="C4923" t="s">
        <v>14654</v>
      </c>
      <c r="D4923" t="str">
        <f>HYPERLINK("https://github.com/ankidroid/Anki-Android/issues/9161","show")</f>
        <v>show</v>
      </c>
      <c r="E4923" t="str">
        <f>HYPERLINK("https://github.com/ankidroid/Anki-Android","show")</f>
        <v>show</v>
      </c>
      <c r="F4923" t="str">
        <f>HYPERLINK("https://github.com/ankidroid/Anki-Android/releases","show")</f>
        <v>show</v>
      </c>
    </row>
    <row r="4924" spans="1:6">
      <c r="A4924" t="s">
        <v>14655</v>
      </c>
      <c r="B4924" t="s">
        <v>14656</v>
      </c>
      <c r="C4924" t="s">
        <v>14657</v>
      </c>
      <c r="D4924" t="str">
        <f>HYPERLINK("https://github.com/nataly-milman/os-planner/issues/31","show")</f>
        <v>show</v>
      </c>
      <c r="E4924" t="str">
        <f>HYPERLINK("https://github.com/nataly-milman/os-planner","show")</f>
        <v>show</v>
      </c>
      <c r="F4924" t="str">
        <f>HYPERLINK("https://github.com/nataly-milman/os-planner/releases","show")</f>
        <v>show</v>
      </c>
    </row>
    <row r="4925" spans="1:6">
      <c r="A4925" t="s">
        <v>14658</v>
      </c>
      <c r="B4925" t="s">
        <v>14659</v>
      </c>
      <c r="C4925" t="s">
        <v>14660</v>
      </c>
      <c r="D4925" t="str">
        <f>HYPERLINK("https://github.com/Anuken/Mindustry/issues/5506","show")</f>
        <v>show</v>
      </c>
      <c r="E4925" t="str">
        <f>HYPERLINK("https://github.com/Anuken/Mindustry","show")</f>
        <v>show</v>
      </c>
      <c r="F4925" t="str">
        <f>HYPERLINK("https://github.com/Anuken/Mindustry/releases","show")</f>
        <v>show</v>
      </c>
    </row>
    <row r="4926" spans="1:6">
      <c r="A4926" t="s">
        <v>14661</v>
      </c>
      <c r="B4926" t="s">
        <v>14662</v>
      </c>
      <c r="C4926" t="s">
        <v>14663</v>
      </c>
      <c r="D4926" t="str">
        <f>HYPERLINK("https://github.com/haiwen/seadroid/issues/898","show")</f>
        <v>show</v>
      </c>
      <c r="E4926" t="str">
        <f>HYPERLINK("https://github.com/haiwen/seadroid","show")</f>
        <v>show</v>
      </c>
      <c r="F4926" t="str">
        <f>HYPERLINK("https://github.com/haiwen/seadroid/releases","show")</f>
        <v>show</v>
      </c>
    </row>
    <row r="4927" spans="1:6">
      <c r="A4927" t="s">
        <v>14664</v>
      </c>
      <c r="B4927" t="s">
        <v>14665</v>
      </c>
      <c r="C4927" t="s">
        <v>14666</v>
      </c>
      <c r="D4927" t="str">
        <f>HYPERLINK("https://github.com/Anuken/Mindustry/issues/5500","show")</f>
        <v>show</v>
      </c>
      <c r="E4927" t="str">
        <f>HYPERLINK("https://github.com/Anuken/Mindustry","show")</f>
        <v>show</v>
      </c>
      <c r="F4927" t="str">
        <f>HYPERLINK("https://github.com/Anuken/Mindustry/releases","show")</f>
        <v>show</v>
      </c>
    </row>
    <row r="4928" spans="1:6">
      <c r="A4928" t="s">
        <v>14667</v>
      </c>
      <c r="B4928" t="s">
        <v>14668</v>
      </c>
      <c r="C4928" t="s">
        <v>14669</v>
      </c>
      <c r="D4928" t="str">
        <f>HYPERLINK("https://github.com/Anuken/Mindustry/issues/5498","show")</f>
        <v>show</v>
      </c>
      <c r="E4928" t="str">
        <f>HYPERLINK("https://github.com/Anuken/Mindustry","show")</f>
        <v>show</v>
      </c>
      <c r="F4928" t="str">
        <f>HYPERLINK("https://github.com/Anuken/Mindustry/releases","show")</f>
        <v>show</v>
      </c>
    </row>
    <row r="4929" spans="1:6">
      <c r="A4929" t="s">
        <v>14670</v>
      </c>
      <c r="B4929" t="s">
        <v>14671</v>
      </c>
      <c r="C4929" t="s">
        <v>14672</v>
      </c>
      <c r="D4929" t="str">
        <f>HYPERLINK("https://github.com/nextcloud/android/issues/8633","show")</f>
        <v>show</v>
      </c>
      <c r="E4929" t="str">
        <f>HYPERLINK("https://github.com/nextcloud/android","show")</f>
        <v>show</v>
      </c>
      <c r="F4929" t="str">
        <f>HYPERLINK("https://github.com/nextcloud/android/releases","show")</f>
        <v>show</v>
      </c>
    </row>
    <row r="4930" spans="1:6">
      <c r="A4930" t="s">
        <v>14673</v>
      </c>
      <c r="B4930" t="s">
        <v>14674</v>
      </c>
      <c r="C4930" t="s">
        <v>14675</v>
      </c>
      <c r="D4930" t="str">
        <f>HYPERLINK("https://github.com/google/ExoPlayer/issues/9124","show")</f>
        <v>show</v>
      </c>
      <c r="E4930" t="str">
        <f>HYPERLINK("https://github.com/google/ExoPlayer","show")</f>
        <v>show</v>
      </c>
      <c r="F4930" t="str">
        <f>HYPERLINK("https://github.com/google/ExoPlayer/releases","show")</f>
        <v>show</v>
      </c>
    </row>
    <row r="4931" spans="1:6">
      <c r="A4931" t="s">
        <v>14676</v>
      </c>
      <c r="B4931" t="s">
        <v>14677</v>
      </c>
      <c r="C4931" t="s">
        <v>14678</v>
      </c>
      <c r="D4931" t="str">
        <f>HYPERLINK("https://github.com/TeamNewPipe/NewPipe/issues/6584","show")</f>
        <v>show</v>
      </c>
      <c r="E4931" t="str">
        <f>HYPERLINK("https://github.com/TeamNewPipe/NewPipe","show")</f>
        <v>show</v>
      </c>
      <c r="F4931" t="str">
        <f>HYPERLINK("https://github.com/TeamNewPipe/NewPipe/releases","show")</f>
        <v>show</v>
      </c>
    </row>
    <row r="4932" spans="1:6">
      <c r="A4932" t="s">
        <v>14679</v>
      </c>
      <c r="B4932" t="s">
        <v>14680</v>
      </c>
      <c r="C4932" t="s">
        <v>14681</v>
      </c>
      <c r="D4932" t="str">
        <f>HYPERLINK("https://github.com/TeamNewPipe/NewPipe/issues/6583","show")</f>
        <v>show</v>
      </c>
      <c r="E4932" t="str">
        <f>HYPERLINK("https://github.com/TeamNewPipe/NewPipe","show")</f>
        <v>show</v>
      </c>
      <c r="F4932" t="str">
        <f>HYPERLINK("https://github.com/TeamNewPipe/NewPipe/releases","show")</f>
        <v>show</v>
      </c>
    </row>
    <row r="4933" spans="1:6">
      <c r="A4933" t="s">
        <v>14682</v>
      </c>
      <c r="B4933" t="s">
        <v>14683</v>
      </c>
      <c r="C4933" t="s">
        <v>14684</v>
      </c>
      <c r="D4933" t="str">
        <f>HYPERLINK("https://github.com/TeamNewPipe/NewPipe/issues/6582","show")</f>
        <v>show</v>
      </c>
      <c r="E4933" t="str">
        <f>HYPERLINK("https://github.com/TeamNewPipe/NewPipe","show")</f>
        <v>show</v>
      </c>
      <c r="F4933" t="str">
        <f>HYPERLINK("https://github.com/TeamNewPipe/NewPipe/releases","show")</f>
        <v>show</v>
      </c>
    </row>
    <row r="4934" spans="1:6">
      <c r="A4934" t="s">
        <v>14685</v>
      </c>
      <c r="B4934" t="s">
        <v>14686</v>
      </c>
      <c r="C4934" t="s">
        <v>14687</v>
      </c>
      <c r="D4934" t="str">
        <f>HYPERLINK("https://github.com/AEFeinstein/mtg-familiar/issues/549","show")</f>
        <v>show</v>
      </c>
      <c r="E4934" t="str">
        <f>HYPERLINK("https://github.com/AEFeinstein/mtg-familiar","show")</f>
        <v>show</v>
      </c>
      <c r="F4934" t="str">
        <f>HYPERLINK("https://github.com/AEFeinstein/mtg-familiar/releases","show")</f>
        <v>show</v>
      </c>
    </row>
    <row r="4935" spans="1:6">
      <c r="A4935" t="s">
        <v>14688</v>
      </c>
      <c r="B4935" t="s">
        <v>14689</v>
      </c>
      <c r="C4935" t="s">
        <v>14690</v>
      </c>
      <c r="D4935" t="str">
        <f>HYPERLINK("https://github.com/Anuken/Mindustry/issues/5492","show")</f>
        <v>show</v>
      </c>
      <c r="E4935" t="str">
        <f>HYPERLINK("https://github.com/Anuken/Mindustry","show")</f>
        <v>show</v>
      </c>
      <c r="F4935" t="str">
        <f>HYPERLINK("https://github.com/Anuken/Mindustry/releases","show")</f>
        <v>show</v>
      </c>
    </row>
    <row r="4936" spans="1:6">
      <c r="A4936" t="s">
        <v>14691</v>
      </c>
      <c r="B4936" t="s">
        <v>4305</v>
      </c>
      <c r="C4936" t="s">
        <v>14692</v>
      </c>
      <c r="D4936" t="str">
        <f>HYPERLINK("https://github.com/TeamNewPipe/NewPipe/issues/6578","show")</f>
        <v>show</v>
      </c>
      <c r="E4936" t="str">
        <f>HYPERLINK("https://github.com/TeamNewPipe/NewPipe","show")</f>
        <v>show</v>
      </c>
      <c r="F4936" t="str">
        <f>HYPERLINK("https://github.com/TeamNewPipe/NewPipe/releases","show")</f>
        <v>show</v>
      </c>
    </row>
    <row r="4937" spans="1:6">
      <c r="A4937" t="s">
        <v>14693</v>
      </c>
      <c r="B4937" t="s">
        <v>14694</v>
      </c>
      <c r="C4937" t="s">
        <v>14695</v>
      </c>
      <c r="D4937" t="str">
        <f>HYPERLINK("https://github.com/Anuken/Mindustry/issues/5485","show")</f>
        <v>show</v>
      </c>
      <c r="E4937" t="str">
        <f>HYPERLINK("https://github.com/Anuken/Mindustry","show")</f>
        <v>show</v>
      </c>
      <c r="F4937" t="str">
        <f>HYPERLINK("https://github.com/Anuken/Mindustry/releases","show")</f>
        <v>show</v>
      </c>
    </row>
    <row r="4938" spans="1:6">
      <c r="A4938" t="s">
        <v>14696</v>
      </c>
      <c r="B4938" t="s">
        <v>14697</v>
      </c>
      <c r="C4938" t="s">
        <v>14698</v>
      </c>
      <c r="D4938" t="str">
        <f>HYPERLINK("https://github.com/Anuken/Mindustry/issues/5482","show")</f>
        <v>show</v>
      </c>
      <c r="E4938" t="str">
        <f>HYPERLINK("https://github.com/Anuken/Mindustry","show")</f>
        <v>show</v>
      </c>
      <c r="F4938" t="str">
        <f>HYPERLINK("https://github.com/Anuken/Mindustry/releases","show")</f>
        <v>show</v>
      </c>
    </row>
    <row r="4939" spans="1:6">
      <c r="A4939" t="s">
        <v>14699</v>
      </c>
      <c r="B4939" t="s">
        <v>14700</v>
      </c>
      <c r="C4939" t="s">
        <v>14701</v>
      </c>
      <c r="D4939" t="str">
        <f>HYPERLINK("https://github.com/Anuken/Mindustry/issues/5481","show")</f>
        <v>show</v>
      </c>
      <c r="E4939" t="str">
        <f>HYPERLINK("https://github.com/Anuken/Mindustry","show")</f>
        <v>show</v>
      </c>
      <c r="F4939" t="str">
        <f>HYPERLINK("https://github.com/Anuken/Mindustry/releases","show")</f>
        <v>show</v>
      </c>
    </row>
    <row r="4940" spans="1:6">
      <c r="A4940" t="s">
        <v>14702</v>
      </c>
      <c r="B4940" t="s">
        <v>14703</v>
      </c>
      <c r="C4940" t="s">
        <v>14704</v>
      </c>
      <c r="D4940" t="str">
        <f>HYPERLINK("https://github.com/Anuken/Mindustry/issues/5479","show")</f>
        <v>show</v>
      </c>
      <c r="E4940" t="str">
        <f>HYPERLINK("https://github.com/Anuken/Mindustry","show")</f>
        <v>show</v>
      </c>
      <c r="F4940" t="str">
        <f>HYPERLINK("https://github.com/Anuken/Mindustry/releases","show")</f>
        <v>show</v>
      </c>
    </row>
    <row r="4941" spans="1:6">
      <c r="A4941" t="s">
        <v>14705</v>
      </c>
      <c r="B4941" t="s">
        <v>14706</v>
      </c>
      <c r="C4941" t="s">
        <v>14707</v>
      </c>
      <c r="D4941" t="str">
        <f>HYPERLINK("https://github.com/Anuken/Mindustry/issues/5478","show")</f>
        <v>show</v>
      </c>
      <c r="E4941" t="str">
        <f>HYPERLINK("https://github.com/Anuken/Mindustry","show")</f>
        <v>show</v>
      </c>
      <c r="F4941" t="str">
        <f>HYPERLINK("https://github.com/Anuken/Mindustry/releases","show")</f>
        <v>show</v>
      </c>
    </row>
    <row r="4942" spans="1:6">
      <c r="A4942" t="s">
        <v>14708</v>
      </c>
      <c r="B4942" t="s">
        <v>14709</v>
      </c>
      <c r="C4942" t="s">
        <v>14710</v>
      </c>
      <c r="D4942" t="str">
        <f>HYPERLINK("https://github.com/commons-app/apps-android-commons/issues/4482","show")</f>
        <v>show</v>
      </c>
      <c r="E4942" t="str">
        <f>HYPERLINK("https://github.com/commons-app/apps-android-commons","show")</f>
        <v>show</v>
      </c>
      <c r="F4942" t="str">
        <f>HYPERLINK("https://github.com/commons-app/apps-android-commons/releases","show")</f>
        <v>show</v>
      </c>
    </row>
    <row r="4943" spans="1:6">
      <c r="A4943" t="s">
        <v>14711</v>
      </c>
      <c r="B4943" t="s">
        <v>14712</v>
      </c>
      <c r="C4943" t="s">
        <v>14713</v>
      </c>
      <c r="D4943" t="str">
        <f>HYPERLINK("https://github.com/Anuken/Mindustry/issues/5476","show")</f>
        <v>show</v>
      </c>
      <c r="E4943" t="str">
        <f>HYPERLINK("https://github.com/Anuken/Mindustry","show")</f>
        <v>show</v>
      </c>
      <c r="F4943" t="str">
        <f>HYPERLINK("https://github.com/Anuken/Mindustry/releases","show")</f>
        <v>show</v>
      </c>
    </row>
    <row r="4944" spans="1:6">
      <c r="A4944" t="s">
        <v>14714</v>
      </c>
      <c r="B4944" t="s">
        <v>14715</v>
      </c>
      <c r="C4944" t="s">
        <v>14716</v>
      </c>
      <c r="D4944" t="str">
        <f>HYPERLINK("https://github.com/Anuken/Mindustry/issues/5474","show")</f>
        <v>show</v>
      </c>
      <c r="E4944" t="str">
        <f>HYPERLINK("https://github.com/Anuken/Mindustry","show")</f>
        <v>show</v>
      </c>
      <c r="F4944" t="str">
        <f>HYPERLINK("https://github.com/Anuken/Mindustry/releases","show")</f>
        <v>show</v>
      </c>
    </row>
    <row r="4945" spans="1:6">
      <c r="A4945" t="s">
        <v>14717</v>
      </c>
      <c r="B4945" t="s">
        <v>14718</v>
      </c>
      <c r="C4945" t="s">
        <v>14719</v>
      </c>
      <c r="D4945" t="str">
        <f>HYPERLINK("https://github.com/Anuken/Mindustry/issues/5467","show")</f>
        <v>show</v>
      </c>
      <c r="E4945" t="str">
        <f>HYPERLINK("https://github.com/Anuken/Mindustry","show")</f>
        <v>show</v>
      </c>
      <c r="F4945" t="str">
        <f>HYPERLINK("https://github.com/Anuken/Mindustry/releases","show")</f>
        <v>show</v>
      </c>
    </row>
    <row r="4946" spans="1:6">
      <c r="A4946" t="s">
        <v>14720</v>
      </c>
      <c r="B4946" t="s">
        <v>14721</v>
      </c>
      <c r="C4946" t="s">
        <v>14722</v>
      </c>
      <c r="D4946" t="str">
        <f>HYPERLINK("https://github.com/TeamNewPipe/NewPipe/issues/6571","show")</f>
        <v>show</v>
      </c>
      <c r="E4946" t="str">
        <f>HYPERLINK("https://github.com/TeamNewPipe/NewPipe","show")</f>
        <v>show</v>
      </c>
      <c r="F4946" t="str">
        <f>HYPERLINK("https://github.com/TeamNewPipe/NewPipe/releases","show")</f>
        <v>show</v>
      </c>
    </row>
    <row r="4947" spans="1:6">
      <c r="A4947" t="s">
        <v>14723</v>
      </c>
      <c r="B4947" t="s">
        <v>14724</v>
      </c>
      <c r="C4947" t="s">
        <v>14725</v>
      </c>
      <c r="D4947" t="str">
        <f>HYPERLINK("https://github.com/Anuken/Mindustry/issues/5463","show")</f>
        <v>show</v>
      </c>
      <c r="E4947" t="str">
        <f>HYPERLINK("https://github.com/Anuken/Mindustry","show")</f>
        <v>show</v>
      </c>
      <c r="F4947" t="str">
        <f>HYPERLINK("https://github.com/Anuken/Mindustry/releases","show")</f>
        <v>show</v>
      </c>
    </row>
    <row r="4948" spans="1:6">
      <c r="A4948" t="s">
        <v>14726</v>
      </c>
      <c r="B4948" t="s">
        <v>14727</v>
      </c>
      <c r="C4948" t="s">
        <v>14728</v>
      </c>
      <c r="D4948" t="str">
        <f>HYPERLINK("https://github.com/TeamNewPipe/NewPipe/issues/6570","show")</f>
        <v>show</v>
      </c>
      <c r="E4948" t="str">
        <f>HYPERLINK("https://github.com/TeamNewPipe/NewPipe","show")</f>
        <v>show</v>
      </c>
      <c r="F4948" t="str">
        <f>HYPERLINK("https://github.com/TeamNewPipe/NewPipe/releases","show")</f>
        <v>show</v>
      </c>
    </row>
    <row r="4949" spans="1:6">
      <c r="A4949" t="s">
        <v>14729</v>
      </c>
      <c r="B4949" t="s">
        <v>14730</v>
      </c>
      <c r="C4949" t="s">
        <v>14731</v>
      </c>
      <c r="D4949" t="str">
        <f>HYPERLINK("https://github.com/Anuken/Mindustry/issues/5457","show")</f>
        <v>show</v>
      </c>
      <c r="E4949" t="str">
        <f>HYPERLINK("https://github.com/Anuken/Mindustry","show")</f>
        <v>show</v>
      </c>
      <c r="F4949" t="str">
        <f>HYPERLINK("https://github.com/Anuken/Mindustry/releases","show")</f>
        <v>show</v>
      </c>
    </row>
    <row r="4950" spans="1:6">
      <c r="A4950" t="s">
        <v>14732</v>
      </c>
      <c r="B4950" t="s">
        <v>14733</v>
      </c>
      <c r="C4950" t="s">
        <v>10722</v>
      </c>
      <c r="D4950" t="str">
        <f>HYPERLINK("https://github.com/Blankj/AndroidUtilCode/issues/1515","show")</f>
        <v>show</v>
      </c>
      <c r="E4950" t="str">
        <f>HYPERLINK("https://github.com/Blankj/AndroidUtilCode","show")</f>
        <v>show</v>
      </c>
      <c r="F4950" t="str">
        <f>HYPERLINK("https://github.com/Blankj/AndroidUtilCode/releases","show")</f>
        <v>show</v>
      </c>
    </row>
    <row r="4951" spans="1:6">
      <c r="A4951" t="s">
        <v>14734</v>
      </c>
      <c r="B4951" t="s">
        <v>14735</v>
      </c>
      <c r="C4951" t="s">
        <v>14736</v>
      </c>
      <c r="D4951" t="str">
        <f>HYPERLINK("https://github.com/TeamNewPipe/NewPipe/issues/6567","show")</f>
        <v>show</v>
      </c>
      <c r="E4951" t="str">
        <f>HYPERLINK("https://github.com/TeamNewPipe/NewPipe","show")</f>
        <v>show</v>
      </c>
      <c r="F4951" t="str">
        <f>HYPERLINK("https://github.com/TeamNewPipe/NewPipe/releases","show")</f>
        <v>show</v>
      </c>
    </row>
    <row r="4952" spans="1:6">
      <c r="A4952" t="s">
        <v>14737</v>
      </c>
      <c r="B4952" t="s">
        <v>14738</v>
      </c>
      <c r="C4952" t="s">
        <v>14739</v>
      </c>
      <c r="D4952" t="str">
        <f>HYPERLINK("https://github.com/PojavLauncherTeam/PojavLauncher/issues/1583","show")</f>
        <v>show</v>
      </c>
      <c r="E4952" t="str">
        <f>HYPERLINK("https://github.com/PojavLauncherTeam/PojavLauncher","show")</f>
        <v>show</v>
      </c>
      <c r="F4952" t="str">
        <f>HYPERLINK("https://github.com/PojavLauncherTeam/PojavLauncher/releases","show")</f>
        <v>show</v>
      </c>
    </row>
    <row r="4953" spans="1:6">
      <c r="A4953" t="s">
        <v>14740</v>
      </c>
      <c r="B4953" t="s">
        <v>14741</v>
      </c>
      <c r="C4953" t="s">
        <v>14742</v>
      </c>
      <c r="D4953" t="str">
        <f>HYPERLINK("https://github.com/material-components/material-components-android/issues/2272","show")</f>
        <v>show</v>
      </c>
      <c r="E4953" t="str">
        <f>HYPERLINK("https://github.com/material-components/material-components-android","show")</f>
        <v>show</v>
      </c>
      <c r="F4953" t="str">
        <f>HYPERLINK("https://github.com/material-components/material-components-android/releases","show")</f>
        <v>show</v>
      </c>
    </row>
    <row r="4954" spans="1:6">
      <c r="A4954" t="s">
        <v>14743</v>
      </c>
      <c r="B4954" t="s">
        <v>14744</v>
      </c>
      <c r="C4954" t="s">
        <v>14745</v>
      </c>
      <c r="D4954" t="str">
        <f>HYPERLINK("https://github.com/PojavLauncherTeam/PojavLauncher/issues/1582","show")</f>
        <v>show</v>
      </c>
      <c r="E4954" t="str">
        <f>HYPERLINK("https://github.com/PojavLauncherTeam/PojavLauncher","show")</f>
        <v>show</v>
      </c>
      <c r="F4954" t="str">
        <f>HYPERLINK("https://github.com/PojavLauncherTeam/PojavLauncher/releases","show")</f>
        <v>show</v>
      </c>
    </row>
    <row r="4955" spans="1:6">
      <c r="A4955" t="s">
        <v>14746</v>
      </c>
      <c r="B4955" t="s">
        <v>14747</v>
      </c>
      <c r="C4955" t="s">
        <v>14748</v>
      </c>
      <c r="D4955" t="str">
        <f>HYPERLINK("https://github.com/inaturalist/iNaturalistAndroid/issues/1056","show")</f>
        <v>show</v>
      </c>
      <c r="E4955" t="str">
        <f>HYPERLINK("https://github.com/inaturalist/iNaturalistAndroid","show")</f>
        <v>show</v>
      </c>
      <c r="F4955" t="str">
        <f>HYPERLINK("https://github.com/inaturalist/iNaturalistAndroid/releases","show")</f>
        <v>show</v>
      </c>
    </row>
    <row r="4956" spans="1:6">
      <c r="A4956" t="s">
        <v>14749</v>
      </c>
      <c r="B4956" t="s">
        <v>14750</v>
      </c>
      <c r="C4956" t="s">
        <v>14751</v>
      </c>
      <c r="D4956" t="str">
        <f>HYPERLINK("https://github.com/PojavLauncherTeam/PojavLauncher/issues/1579","show")</f>
        <v>show</v>
      </c>
      <c r="E4956" t="str">
        <f>HYPERLINK("https://github.com/PojavLauncherTeam/PojavLauncher","show")</f>
        <v>show</v>
      </c>
      <c r="F4956" t="str">
        <f>HYPERLINK("https://github.com/PojavLauncherTeam/PojavLauncher/releases","show")</f>
        <v>show</v>
      </c>
    </row>
    <row r="4957" spans="1:6">
      <c r="A4957" t="s">
        <v>14752</v>
      </c>
      <c r="B4957" t="s">
        <v>14753</v>
      </c>
      <c r="C4957" t="s">
        <v>14754</v>
      </c>
      <c r="D4957" t="str">
        <f>HYPERLINK("https://github.com/TeamNewPipe/NewPipe/issues/6559","show")</f>
        <v>show</v>
      </c>
      <c r="E4957" t="str">
        <f>HYPERLINK("https://github.com/TeamNewPipe/NewPipe","show")</f>
        <v>show</v>
      </c>
      <c r="F4957" t="str">
        <f>HYPERLINK("https://github.com/TeamNewPipe/NewPipe/releases","show")</f>
        <v>show</v>
      </c>
    </row>
    <row r="4958" spans="1:6">
      <c r="A4958" t="s">
        <v>14755</v>
      </c>
      <c r="B4958" t="s">
        <v>14756</v>
      </c>
      <c r="C4958" t="s">
        <v>14757</v>
      </c>
      <c r="D4958" t="str">
        <f>HYPERLINK("https://github.com/TeamNewPipe/NewPipe/issues/6558","show")</f>
        <v>show</v>
      </c>
      <c r="E4958" t="str">
        <f>HYPERLINK("https://github.com/TeamNewPipe/NewPipe","show")</f>
        <v>show</v>
      </c>
      <c r="F4958" t="str">
        <f>HYPERLINK("https://github.com/TeamNewPipe/NewPipe/releases","show")</f>
        <v>show</v>
      </c>
    </row>
    <row r="4959" spans="1:6">
      <c r="A4959" t="s">
        <v>14758</v>
      </c>
      <c r="B4959" t="s">
        <v>14759</v>
      </c>
      <c r="C4959" t="s">
        <v>14760</v>
      </c>
      <c r="D4959" t="str">
        <f>HYPERLINK("https://github.com/muxinc/mux-stats-sdk-exoplayer/issues/116","show")</f>
        <v>show</v>
      </c>
      <c r="E4959" t="str">
        <f>HYPERLINK("https://github.com/muxinc/mux-stats-sdk-exoplayer","show")</f>
        <v>show</v>
      </c>
      <c r="F4959" t="str">
        <f>HYPERLINK("https://github.com/muxinc/mux-stats-sdk-exoplayer/releases","show")</f>
        <v>show</v>
      </c>
    </row>
    <row r="4960" spans="1:6">
      <c r="A4960" t="s">
        <v>14761</v>
      </c>
      <c r="B4960" t="s">
        <v>14762</v>
      </c>
      <c r="C4960" t="s">
        <v>14763</v>
      </c>
      <c r="D4960" t="str">
        <f>HYPERLINK("https://github.com/PojavLauncherTeam/PojavLauncher/issues/1577","show")</f>
        <v>show</v>
      </c>
      <c r="E4960" t="str">
        <f>HYPERLINK("https://github.com/PojavLauncherTeam/PojavLauncher","show")</f>
        <v>show</v>
      </c>
      <c r="F4960" t="str">
        <f>HYPERLINK("https://github.com/PojavLauncherTeam/PojavLauncher/releases","show")</f>
        <v>show</v>
      </c>
    </row>
    <row r="4961" spans="1:6">
      <c r="A4961" t="s">
        <v>14764</v>
      </c>
      <c r="B4961" t="s">
        <v>14765</v>
      </c>
      <c r="C4961" t="s">
        <v>14766</v>
      </c>
      <c r="D4961" t="str">
        <f>HYPERLINK("https://github.com/inaturalist/react-native-inat-camera/issues/67","show")</f>
        <v>show</v>
      </c>
      <c r="E4961" t="str">
        <f>HYPERLINK("https://github.com/inaturalist/react-native-inat-camera","show")</f>
        <v>show</v>
      </c>
      <c r="F4961" t="str">
        <f>HYPERLINK("https://github.com/inaturalist/react-native-inat-camera/releases","show")</f>
        <v>show</v>
      </c>
    </row>
    <row r="4962" spans="1:6">
      <c r="A4962" t="s">
        <v>14767</v>
      </c>
      <c r="B4962" t="s">
        <v>14768</v>
      </c>
      <c r="C4962" t="s">
        <v>14769</v>
      </c>
      <c r="D4962" t="str">
        <f>HYPERLINK("https://github.com/Anuken/Mindustry/issues/5448","show")</f>
        <v>show</v>
      </c>
      <c r="E4962" t="str">
        <f>HYPERLINK("https://github.com/Anuken/Mindustry","show")</f>
        <v>show</v>
      </c>
      <c r="F4962" t="str">
        <f>HYPERLINK("https://github.com/Anuken/Mindustry/releases","show")</f>
        <v>show</v>
      </c>
    </row>
    <row r="4963" spans="1:6">
      <c r="A4963" t="s">
        <v>14770</v>
      </c>
      <c r="B4963" t="s">
        <v>14771</v>
      </c>
      <c r="C4963" t="s">
        <v>14772</v>
      </c>
      <c r="D4963" t="str">
        <f>HYPERLINK("https://github.com/IdoSagiv/CommuniDog/issues/103","show")</f>
        <v>show</v>
      </c>
      <c r="E4963" t="str">
        <f>HYPERLINK("https://github.com/IdoSagiv/CommuniDog","show")</f>
        <v>show</v>
      </c>
      <c r="F4963" t="str">
        <f>HYPERLINK("https://github.com/IdoSagiv/CommuniDog/releases","show")</f>
        <v>show</v>
      </c>
    </row>
    <row r="4964" spans="1:6">
      <c r="A4964" t="s">
        <v>14773</v>
      </c>
      <c r="B4964" t="s">
        <v>14774</v>
      </c>
      <c r="C4964" t="s">
        <v>14775</v>
      </c>
      <c r="D4964" t="str">
        <f>HYPERLINK("https://github.com/IdoSagiv/CommuniDog/issues/101","show")</f>
        <v>show</v>
      </c>
      <c r="E4964" t="str">
        <f>HYPERLINK("https://github.com/IdoSagiv/CommuniDog","show")</f>
        <v>show</v>
      </c>
      <c r="F4964" t="str">
        <f>HYPERLINK("https://github.com/IdoSagiv/CommuniDog/releases","show")</f>
        <v>show</v>
      </c>
    </row>
    <row r="4965" spans="1:6">
      <c r="A4965" t="s">
        <v>14776</v>
      </c>
      <c r="B4965" t="s">
        <v>14777</v>
      </c>
      <c r="C4965" t="s">
        <v>14778</v>
      </c>
      <c r="D4965" t="str">
        <f>HYPERLINK("https://github.com/Anuken/Mindustry/issues/5447","show")</f>
        <v>show</v>
      </c>
      <c r="E4965" t="str">
        <f>HYPERLINK("https://github.com/Anuken/Mindustry","show")</f>
        <v>show</v>
      </c>
      <c r="F4965" t="str">
        <f>HYPERLINK("https://github.com/Anuken/Mindustry/releases","show")</f>
        <v>show</v>
      </c>
    </row>
    <row r="4966" spans="1:6">
      <c r="A4966" t="s">
        <v>14779</v>
      </c>
      <c r="B4966" t="s">
        <v>14780</v>
      </c>
      <c r="C4966" t="s">
        <v>14781</v>
      </c>
      <c r="D4966" t="str">
        <f>HYPERLINK("https://github.com/Rapsssito/react-native-background-actions/issues/91","show")</f>
        <v>show</v>
      </c>
      <c r="E4966" t="str">
        <f>HYPERLINK("https://github.com/Rapsssito/react-native-background-actions","show")</f>
        <v>show</v>
      </c>
      <c r="F4966" t="str">
        <f>HYPERLINK("https://github.com/Rapsssito/react-native-background-actions/releases","show")</f>
        <v>show</v>
      </c>
    </row>
    <row r="4967" spans="1:6">
      <c r="A4967" t="s">
        <v>14782</v>
      </c>
      <c r="B4967" t="s">
        <v>14783</v>
      </c>
      <c r="C4967" t="s">
        <v>14784</v>
      </c>
      <c r="D4967" t="str">
        <f>HYPERLINK("https://github.com/cleverpush/cleverpush-flutter-sdk/issues/7","show")</f>
        <v>show</v>
      </c>
      <c r="E4967" t="str">
        <f>HYPERLINK("https://github.com/cleverpush/cleverpush-flutter-sdk","show")</f>
        <v>show</v>
      </c>
      <c r="F4967" t="str">
        <f>HYPERLINK("https://github.com/cleverpush/cleverpush-flutter-sdk/releases","show")</f>
        <v>show</v>
      </c>
    </row>
    <row r="4968" spans="1:6">
      <c r="A4968" t="s">
        <v>14785</v>
      </c>
      <c r="B4968" t="s">
        <v>14786</v>
      </c>
      <c r="C4968" t="s">
        <v>14787</v>
      </c>
      <c r="D4968" t="str">
        <f>HYPERLINK("https://github.com/MuntashirAkon/AppManager/issues/486","show")</f>
        <v>show</v>
      </c>
      <c r="E4968" t="str">
        <f>HYPERLINK("https://github.com/MuntashirAkon/AppManager","show")</f>
        <v>show</v>
      </c>
      <c r="F4968" t="str">
        <f>HYPERLINK("https://github.com/MuntashirAkon/AppManager/releases","show")</f>
        <v>show</v>
      </c>
    </row>
    <row r="4969" spans="1:6">
      <c r="A4969" t="s">
        <v>14788</v>
      </c>
      <c r="B4969" t="s">
        <v>14789</v>
      </c>
      <c r="C4969" t="s">
        <v>14790</v>
      </c>
      <c r="D4969" t="str">
        <f>HYPERLINK("https://github.com/MuntashirAkon/AppManager/issues/485","show")</f>
        <v>show</v>
      </c>
      <c r="E4969" t="str">
        <f>HYPERLINK("https://github.com/MuntashirAkon/AppManager","show")</f>
        <v>show</v>
      </c>
      <c r="F4969" t="str">
        <f>HYPERLINK("https://github.com/MuntashirAkon/AppManager/releases","show")</f>
        <v>show</v>
      </c>
    </row>
    <row r="4970" spans="1:6">
      <c r="A4970" t="s">
        <v>14791</v>
      </c>
      <c r="B4970" t="s">
        <v>14792</v>
      </c>
      <c r="C4970" t="s">
        <v>14793</v>
      </c>
      <c r="D4970" t="str">
        <f>HYPERLINK("https://github.com/doublesymmetry/react-native-track-player/issues/1193","show")</f>
        <v>show</v>
      </c>
      <c r="E4970" t="str">
        <f>HYPERLINK("https://github.com/doublesymmetry/react-native-track-player","show")</f>
        <v>show</v>
      </c>
      <c r="F4970" t="str">
        <f>HYPERLINK("https://github.com/doublesymmetry/react-native-track-player/releases","show")</f>
        <v>show</v>
      </c>
    </row>
    <row r="4971" spans="1:6">
      <c r="A4971" t="s">
        <v>14794</v>
      </c>
      <c r="B4971" t="s">
        <v>14795</v>
      </c>
      <c r="C4971" t="s">
        <v>14796</v>
      </c>
      <c r="D4971" t="str">
        <f>HYPERLINK("https://github.com/nextcloud/android/issues/8608","show")</f>
        <v>show</v>
      </c>
      <c r="E4971" t="str">
        <f>HYPERLINK("https://github.com/nextcloud/android","show")</f>
        <v>show</v>
      </c>
      <c r="F4971" t="str">
        <f>HYPERLINK("https://github.com/nextcloud/android/releases","show")</f>
        <v>show</v>
      </c>
    </row>
    <row r="4972" spans="1:6">
      <c r="A4972" t="s">
        <v>14797</v>
      </c>
      <c r="B4972" t="s">
        <v>14798</v>
      </c>
      <c r="C4972" t="s">
        <v>14799</v>
      </c>
      <c r="D4972" t="str">
        <f>HYPERLINK("https://github.com/TeamNewPipe/NewPipe/issues/6537","show")</f>
        <v>show</v>
      </c>
      <c r="E4972" t="str">
        <f>HYPERLINK("https://github.com/TeamNewPipe/NewPipe","show")</f>
        <v>show</v>
      </c>
      <c r="F4972" t="str">
        <f>HYPERLINK("https://github.com/TeamNewPipe/NewPipe/releases","show")</f>
        <v>show</v>
      </c>
    </row>
    <row r="4973" spans="1:6">
      <c r="A4973" t="s">
        <v>14800</v>
      </c>
      <c r="B4973" t="s">
        <v>14801</v>
      </c>
      <c r="C4973" t="s">
        <v>14802</v>
      </c>
      <c r="D4973" t="str">
        <f>HYPERLINK("https://github.com/TeamNewPipe/NewPipe/issues/6535","show")</f>
        <v>show</v>
      </c>
      <c r="E4973" t="str">
        <f>HYPERLINK("https://github.com/TeamNewPipe/NewPipe","show")</f>
        <v>show</v>
      </c>
      <c r="F4973" t="str">
        <f>HYPERLINK("https://github.com/TeamNewPipe/NewPipe/releases","show")</f>
        <v>show</v>
      </c>
    </row>
    <row r="4974" spans="1:6">
      <c r="A4974" t="s">
        <v>14803</v>
      </c>
      <c r="B4974" t="s">
        <v>14804</v>
      </c>
      <c r="C4974" t="s">
        <v>14805</v>
      </c>
      <c r="D4974" t="str">
        <f>HYPERLINK("https://github.com/PojavLauncherTeam/PojavLauncher/issues/1570","show")</f>
        <v>show</v>
      </c>
      <c r="E4974" t="str">
        <f>HYPERLINK("https://github.com/PojavLauncherTeam/PojavLauncher","show")</f>
        <v>show</v>
      </c>
      <c r="F4974" t="str">
        <f>HYPERLINK("https://github.com/PojavLauncherTeam/PojavLauncher/releases","show")</f>
        <v>show</v>
      </c>
    </row>
    <row r="4975" spans="1:6">
      <c r="A4975" t="s">
        <v>14806</v>
      </c>
      <c r="B4975" t="s">
        <v>14807</v>
      </c>
      <c r="C4975" t="s">
        <v>14808</v>
      </c>
      <c r="D4975" t="str">
        <f>HYPERLINK("https://github.com/TeamNewPipe/NewPipe/issues/6533","show")</f>
        <v>show</v>
      </c>
      <c r="E4975" t="str">
        <f>HYPERLINK("https://github.com/TeamNewPipe/NewPipe","show")</f>
        <v>show</v>
      </c>
      <c r="F4975" t="str">
        <f>HYPERLINK("https://github.com/TeamNewPipe/NewPipe/releases","show")</f>
        <v>show</v>
      </c>
    </row>
    <row r="4976" spans="1:6">
      <c r="A4976" t="s">
        <v>14809</v>
      </c>
      <c r="B4976" t="s">
        <v>14810</v>
      </c>
      <c r="C4976" t="s">
        <v>14811</v>
      </c>
      <c r="D4976" t="str">
        <f>HYPERLINK("https://github.com/PojavLauncherTeam/PojavLauncher/issues/1569","show")</f>
        <v>show</v>
      </c>
      <c r="E4976" t="str">
        <f>HYPERLINK("https://github.com/PojavLauncherTeam/PojavLauncher","show")</f>
        <v>show</v>
      </c>
      <c r="F4976" t="str">
        <f>HYPERLINK("https://github.com/PojavLauncherTeam/PojavLauncher/releases","show")</f>
        <v>show</v>
      </c>
    </row>
    <row r="4977" spans="1:6">
      <c r="A4977" t="s">
        <v>14812</v>
      </c>
      <c r="B4977" t="s">
        <v>14813</v>
      </c>
      <c r="C4977" t="s">
        <v>14814</v>
      </c>
      <c r="D4977" t="str">
        <f>HYPERLINK("https://github.com/nextcloud/android/issues/8606","show")</f>
        <v>show</v>
      </c>
      <c r="E4977" t="str">
        <f>HYPERLINK("https://github.com/nextcloud/android","show")</f>
        <v>show</v>
      </c>
      <c r="F4977" t="str">
        <f>HYPERLINK("https://github.com/nextcloud/android/releases","show")</f>
        <v>show</v>
      </c>
    </row>
    <row r="4978" spans="1:6">
      <c r="A4978" t="s">
        <v>14815</v>
      </c>
      <c r="B4978" t="s">
        <v>14816</v>
      </c>
      <c r="C4978" t="s">
        <v>14817</v>
      </c>
      <c r="D4978" t="str">
        <f>HYPERLINK("https://github.com/TeamNewPipe/NewPipe/issues/6522","show")</f>
        <v>show</v>
      </c>
      <c r="E4978" t="str">
        <f>HYPERLINK("https://github.com/TeamNewPipe/NewPipe","show")</f>
        <v>show</v>
      </c>
      <c r="F4978" t="str">
        <f>HYPERLINK("https://github.com/TeamNewPipe/NewPipe/releases","show")</f>
        <v>show</v>
      </c>
    </row>
    <row r="4979" spans="1:6">
      <c r="A4979" t="s">
        <v>14818</v>
      </c>
      <c r="B4979" t="s">
        <v>14819</v>
      </c>
      <c r="C4979" t="s">
        <v>14820</v>
      </c>
      <c r="D4979" t="str">
        <f>HYPERLINK("https://github.com/patzly/grocy-android/issues/426","show")</f>
        <v>show</v>
      </c>
      <c r="E4979" t="str">
        <f>HYPERLINK("https://github.com/patzly/grocy-android","show")</f>
        <v>show</v>
      </c>
      <c r="F4979" t="str">
        <f>HYPERLINK("https://github.com/patzly/grocy-android/releases","show")</f>
        <v>show</v>
      </c>
    </row>
    <row r="4980" spans="1:6">
      <c r="A4980" t="s">
        <v>14821</v>
      </c>
      <c r="B4980" t="s">
        <v>14822</v>
      </c>
      <c r="C4980" t="s">
        <v>14823</v>
      </c>
      <c r="D4980" t="str">
        <f>HYPERLINK("https://github.com/PojavLauncherTeam/PojavLauncher/issues/1564","show")</f>
        <v>show</v>
      </c>
      <c r="E4980" t="str">
        <f>HYPERLINK("https://github.com/PojavLauncherTeam/PojavLauncher","show")</f>
        <v>show</v>
      </c>
      <c r="F4980" t="str">
        <f>HYPERLINK("https://github.com/PojavLauncherTeam/PojavLauncher/releases","show")</f>
        <v>show</v>
      </c>
    </row>
    <row r="4981" spans="1:6">
      <c r="A4981" t="s">
        <v>14824</v>
      </c>
      <c r="B4981" t="s">
        <v>14825</v>
      </c>
      <c r="C4981" t="s">
        <v>14826</v>
      </c>
      <c r="D4981" t="str">
        <f>HYPERLINK("https://github.com/TeamNewPipe/NewPipe/issues/6519","show")</f>
        <v>show</v>
      </c>
      <c r="E4981" t="str">
        <f>HYPERLINK("https://github.com/TeamNewPipe/NewPipe","show")</f>
        <v>show</v>
      </c>
      <c r="F4981" t="str">
        <f>HYPERLINK("https://github.com/TeamNewPipe/NewPipe/releases","show")</f>
        <v>show</v>
      </c>
    </row>
    <row r="4982" spans="1:6">
      <c r="A4982" t="s">
        <v>14827</v>
      </c>
      <c r="B4982" t="s">
        <v>14828</v>
      </c>
      <c r="C4982" t="s">
        <v>14829</v>
      </c>
      <c r="D4982" t="str">
        <f>HYPERLINK("https://github.com/TeamNewPipe/NewPipe/issues/6514","show")</f>
        <v>show</v>
      </c>
      <c r="E4982" t="str">
        <f>HYPERLINK("https://github.com/TeamNewPipe/NewPipe","show")</f>
        <v>show</v>
      </c>
      <c r="F4982" t="str">
        <f>HYPERLINK("https://github.com/TeamNewPipe/NewPipe/releases","show")</f>
        <v>show</v>
      </c>
    </row>
    <row r="4983" spans="1:6">
      <c r="A4983" t="s">
        <v>14830</v>
      </c>
      <c r="B4983" t="s">
        <v>14831</v>
      </c>
      <c r="C4983" t="s">
        <v>14832</v>
      </c>
      <c r="D4983" t="str">
        <f>HYPERLINK("https://github.com/nextcloud/android/issues/8600","show")</f>
        <v>show</v>
      </c>
      <c r="E4983" t="str">
        <f>HYPERLINK("https://github.com/nextcloud/android","show")</f>
        <v>show</v>
      </c>
      <c r="F4983" t="str">
        <f>HYPERLINK("https://github.com/nextcloud/android/releases","show")</f>
        <v>show</v>
      </c>
    </row>
    <row r="4984" spans="1:6">
      <c r="A4984" t="s">
        <v>14833</v>
      </c>
      <c r="B4984" t="s">
        <v>14834</v>
      </c>
      <c r="C4984" t="s">
        <v>14835</v>
      </c>
      <c r="D4984" t="str">
        <f>HYPERLINK("https://github.com/MuntashirAkon/AppManager/issues/483","show")</f>
        <v>show</v>
      </c>
      <c r="E4984" t="str">
        <f>HYPERLINK("https://github.com/MuntashirAkon/AppManager","show")</f>
        <v>show</v>
      </c>
      <c r="F4984" t="str">
        <f>HYPERLINK("https://github.com/MuntashirAkon/AppManager/releases","show")</f>
        <v>show</v>
      </c>
    </row>
    <row r="4985" spans="1:6">
      <c r="A4985" t="s">
        <v>14836</v>
      </c>
      <c r="B4985" t="s">
        <v>14837</v>
      </c>
      <c r="C4985" t="s">
        <v>14838</v>
      </c>
      <c r="D4985" t="str">
        <f>HYPERLINK("https://github.com/nikita36078/J2ME-Loader/issues/802","show")</f>
        <v>show</v>
      </c>
      <c r="E4985" t="str">
        <f>HYPERLINK("https://github.com/nikita36078/J2ME-Loader","show")</f>
        <v>show</v>
      </c>
      <c r="F4985" t="str">
        <f>HYPERLINK("https://github.com/nikita36078/J2ME-Loader/releases","show")</f>
        <v>show</v>
      </c>
    </row>
    <row r="4986" spans="1:6">
      <c r="A4986" t="s">
        <v>14839</v>
      </c>
      <c r="B4986" t="s">
        <v>14840</v>
      </c>
      <c r="C4986" t="s">
        <v>14841</v>
      </c>
      <c r="D4986" t="str">
        <f>HYPERLINK("https://github.com/TeamNewPipe/NewPipe/issues/6509","show")</f>
        <v>show</v>
      </c>
      <c r="E4986" t="str">
        <f>HYPERLINK("https://github.com/TeamNewPipe/NewPipe","show")</f>
        <v>show</v>
      </c>
      <c r="F4986" t="str">
        <f>HYPERLINK("https://github.com/TeamNewPipe/NewPipe/releases","show")</f>
        <v>show</v>
      </c>
    </row>
    <row r="4987" spans="1:6">
      <c r="A4987" t="s">
        <v>14842</v>
      </c>
      <c r="B4987" t="s">
        <v>14843</v>
      </c>
      <c r="C4987" t="s">
        <v>14844</v>
      </c>
      <c r="D4987" t="str">
        <f>HYPERLINK("https://github.com/Anuken/Mindustry/issues/5434","show")</f>
        <v>show</v>
      </c>
      <c r="E4987" t="str">
        <f>HYPERLINK("https://github.com/Anuken/Mindustry","show")</f>
        <v>show</v>
      </c>
      <c r="F4987" t="str">
        <f>HYPERLINK("https://github.com/Anuken/Mindustry/releases","show")</f>
        <v>show</v>
      </c>
    </row>
    <row r="4988" spans="1:6">
      <c r="A4988" t="s">
        <v>14845</v>
      </c>
      <c r="B4988" t="s">
        <v>14846</v>
      </c>
      <c r="C4988" t="s">
        <v>14847</v>
      </c>
      <c r="D4988" t="str">
        <f>HYPERLINK("https://github.com/IanPeake/FatMaxxer/issues/4","show")</f>
        <v>show</v>
      </c>
      <c r="E4988" t="str">
        <f>HYPERLINK("https://github.com/IanPeake/FatMaxxer","show")</f>
        <v>show</v>
      </c>
      <c r="F4988" t="str">
        <f>HYPERLINK("https://github.com/IanPeake/FatMaxxer/releases","show")</f>
        <v>show</v>
      </c>
    </row>
    <row r="4989" spans="1:6">
      <c r="A4989" t="s">
        <v>14848</v>
      </c>
      <c r="B4989" t="s">
        <v>14849</v>
      </c>
      <c r="C4989" t="s">
        <v>14850</v>
      </c>
      <c r="D4989" t="str">
        <f>HYPERLINK("https://github.com/TeamNewPipe/NewPipe/issues/6508","show")</f>
        <v>show</v>
      </c>
      <c r="E4989" t="str">
        <f>HYPERLINK("https://github.com/TeamNewPipe/NewPipe","show")</f>
        <v>show</v>
      </c>
      <c r="F4989" t="str">
        <f>HYPERLINK("https://github.com/TeamNewPipe/NewPipe/releases","show")</f>
        <v>show</v>
      </c>
    </row>
    <row r="4990" spans="1:6">
      <c r="A4990" t="s">
        <v>14851</v>
      </c>
      <c r="B4990" t="s">
        <v>14852</v>
      </c>
      <c r="C4990" t="s">
        <v>14853</v>
      </c>
      <c r="D4990" t="str">
        <f>HYPERLINK("https://github.com/hzi-braunschweig/SORMAS-Project/issues/5849","show")</f>
        <v>show</v>
      </c>
      <c r="E4990" t="str">
        <f>HYPERLINK("https://github.com/hzi-braunschweig/SORMAS-Project","show")</f>
        <v>show</v>
      </c>
      <c r="F4990" t="str">
        <f>HYPERLINK("https://github.com/hzi-braunschweig/SORMAS-Project/releases","show")</f>
        <v>show</v>
      </c>
    </row>
    <row r="4991" spans="1:6">
      <c r="A4991" t="s">
        <v>14854</v>
      </c>
      <c r="B4991" t="s">
        <v>14855</v>
      </c>
      <c r="C4991" t="s">
        <v>14856</v>
      </c>
      <c r="D4991" t="str">
        <f>HYPERLINK("https://github.com/TeamNewPipe/NewPipe/issues/6507","show")</f>
        <v>show</v>
      </c>
      <c r="E4991" t="str">
        <f>HYPERLINK("https://github.com/TeamNewPipe/NewPipe","show")</f>
        <v>show</v>
      </c>
      <c r="F4991" t="str">
        <f>HYPERLINK("https://github.com/TeamNewPipe/NewPipe/releases","show")</f>
        <v>show</v>
      </c>
    </row>
    <row r="4992" spans="1:6">
      <c r="A4992" t="s">
        <v>14857</v>
      </c>
      <c r="B4992" t="s">
        <v>8633</v>
      </c>
      <c r="C4992" t="s">
        <v>14858</v>
      </c>
      <c r="D4992" t="str">
        <f>HYPERLINK("https://github.com/PojavLauncherTeam/PojavLauncher/issues/1554","show")</f>
        <v>show</v>
      </c>
      <c r="E4992" t="str">
        <f>HYPERLINK("https://github.com/PojavLauncherTeam/PojavLauncher","show")</f>
        <v>show</v>
      </c>
      <c r="F4992" t="str">
        <f>HYPERLINK("https://github.com/PojavLauncherTeam/PojavLauncher/releases","show")</f>
        <v>show</v>
      </c>
    </row>
    <row r="4993" spans="1:6">
      <c r="A4993" t="s">
        <v>14859</v>
      </c>
      <c r="B4993" t="s">
        <v>14860</v>
      </c>
      <c r="C4993" t="s">
        <v>14861</v>
      </c>
      <c r="D4993" t="str">
        <f>HYPERLINK("https://github.com/TeamNewPipe/NewPipe/issues/6500","show")</f>
        <v>show</v>
      </c>
      <c r="E4993" t="str">
        <f>HYPERLINK("https://github.com/TeamNewPipe/NewPipe","show")</f>
        <v>show</v>
      </c>
      <c r="F4993" t="str">
        <f>HYPERLINK("https://github.com/TeamNewPipe/NewPipe/releases","show")</f>
        <v>show</v>
      </c>
    </row>
    <row r="4994" spans="1:6">
      <c r="A4994" t="s">
        <v>14862</v>
      </c>
      <c r="B4994" t="s">
        <v>14863</v>
      </c>
      <c r="C4994" t="s">
        <v>14864</v>
      </c>
      <c r="D4994" t="str">
        <f>HYPERLINK("https://github.com/deepjavalibrary/djl/issues/1026","show")</f>
        <v>show</v>
      </c>
      <c r="E4994" t="str">
        <f>HYPERLINK("https://github.com/deepjavalibrary/djl","show")</f>
        <v>show</v>
      </c>
      <c r="F4994" t="str">
        <f>HYPERLINK("https://github.com/deepjavalibrary/djl/releases","show")</f>
        <v>show</v>
      </c>
    </row>
    <row r="4995" spans="1:6">
      <c r="A4995" t="s">
        <v>14865</v>
      </c>
      <c r="B4995" t="s">
        <v>14866</v>
      </c>
      <c r="C4995" t="s">
        <v>14867</v>
      </c>
      <c r="D4995" t="str">
        <f>HYPERLINK("https://github.com/TeamNewPipe/NewPipe/issues/6497","show")</f>
        <v>show</v>
      </c>
      <c r="E4995" t="str">
        <f>HYPERLINK("https://github.com/TeamNewPipe/NewPipe","show")</f>
        <v>show</v>
      </c>
      <c r="F4995" t="str">
        <f>HYPERLINK("https://github.com/TeamNewPipe/NewPipe/releases","show")</f>
        <v>show</v>
      </c>
    </row>
    <row r="4996" spans="1:6">
      <c r="A4996" t="s">
        <v>14868</v>
      </c>
      <c r="B4996" t="s">
        <v>14869</v>
      </c>
      <c r="C4996" t="s">
        <v>14870</v>
      </c>
      <c r="D4996" t="str">
        <f>HYPERLINK("https://github.com/PojavLauncherTeam/PojavLauncher/issues/1549","show")</f>
        <v>show</v>
      </c>
      <c r="E4996" t="str">
        <f>HYPERLINK("https://github.com/PojavLauncherTeam/PojavLauncher","show")</f>
        <v>show</v>
      </c>
      <c r="F4996" t="str">
        <f>HYPERLINK("https://github.com/PojavLauncherTeam/PojavLauncher/releases","show")</f>
        <v>show</v>
      </c>
    </row>
    <row r="4997" spans="1:6">
      <c r="A4997" t="s">
        <v>14871</v>
      </c>
      <c r="B4997" t="s">
        <v>14872</v>
      </c>
      <c r="C4997" t="s">
        <v>14873</v>
      </c>
      <c r="D4997" t="str">
        <f>HYPERLINK("https://github.com/Poing-Studios/godot-admob-android/issues/79","show")</f>
        <v>show</v>
      </c>
      <c r="E4997" t="str">
        <f>HYPERLINK("https://github.com/Poing-Studios/godot-admob-android","show")</f>
        <v>show</v>
      </c>
      <c r="F4997" t="str">
        <f>HYPERLINK("https://github.com/Poing-Studios/godot-admob-android/releases","show")</f>
        <v>show</v>
      </c>
    </row>
    <row r="4998" spans="1:6">
      <c r="A4998" t="s">
        <v>14874</v>
      </c>
      <c r="B4998" t="s">
        <v>14875</v>
      </c>
      <c r="C4998" t="s">
        <v>14876</v>
      </c>
      <c r="D4998" t="str">
        <f>HYPERLINK("https://github.com/nextcloud/android/issues/8587","show")</f>
        <v>show</v>
      </c>
      <c r="E4998" t="str">
        <f>HYPERLINK("https://github.com/nextcloud/android","show")</f>
        <v>show</v>
      </c>
      <c r="F4998" t="str">
        <f>HYPERLINK("https://github.com/nextcloud/android/releases","show")</f>
        <v>show</v>
      </c>
    </row>
    <row r="4999" spans="1:6">
      <c r="A4999" t="s">
        <v>14877</v>
      </c>
      <c r="B4999" t="s">
        <v>14878</v>
      </c>
      <c r="C4999" t="s">
        <v>14879</v>
      </c>
      <c r="D4999" t="str">
        <f>HYPERLINK("https://github.com/PojavLauncherTeam/PojavLauncher/issues/1547","show")</f>
        <v>show</v>
      </c>
      <c r="E4999" t="str">
        <f>HYPERLINK("https://github.com/PojavLauncherTeam/PojavLauncher","show")</f>
        <v>show</v>
      </c>
      <c r="F4999" t="str">
        <f>HYPERLINK("https://github.com/PojavLauncherTeam/PojavLauncher/releases","show")</f>
        <v>show</v>
      </c>
    </row>
    <row r="5000" spans="1:6">
      <c r="A5000" t="s">
        <v>14880</v>
      </c>
      <c r="B5000" t="s">
        <v>14881</v>
      </c>
      <c r="C5000" t="s">
        <v>14882</v>
      </c>
      <c r="D5000" t="str">
        <f>HYPERLINK("https://github.com/muxinc/mux-stats-sdk-exoplayer/issues/114","show")</f>
        <v>show</v>
      </c>
      <c r="E5000" t="str">
        <f>HYPERLINK("https://github.com/muxinc/mux-stats-sdk-exoplayer","show")</f>
        <v>show</v>
      </c>
      <c r="F5000" t="str">
        <f>HYPERLINK("https://github.com/muxinc/mux-stats-sdk-exoplayer/releases","show")</f>
        <v>show</v>
      </c>
    </row>
    <row r="5001" spans="1:6">
      <c r="A5001" t="s">
        <v>14883</v>
      </c>
      <c r="B5001" t="s">
        <v>14884</v>
      </c>
      <c r="C5001" t="s">
        <v>14885</v>
      </c>
      <c r="D5001" t="str">
        <f>HYPERLINK("https://github.com/TeamNewPipe/NewPipe/issues/6492","show")</f>
        <v>show</v>
      </c>
      <c r="E5001" t="str">
        <f>HYPERLINK("https://github.com/TeamNewPipe/NewPipe","show")</f>
        <v>show</v>
      </c>
      <c r="F5001" t="str">
        <f>HYPERLINK("https://github.com/TeamNewPipe/NewPipe/releases","show")</f>
        <v>show</v>
      </c>
    </row>
    <row r="5002" spans="1:6">
      <c r="A5002" t="s">
        <v>14886</v>
      </c>
      <c r="B5002" t="s">
        <v>14887</v>
      </c>
      <c r="C5002" t="s">
        <v>14888</v>
      </c>
      <c r="D5002" t="str">
        <f>HYPERLINK("https://github.com/SpartanJ/ImgurViewer/issues/21","show")</f>
        <v>show</v>
      </c>
      <c r="E5002" t="str">
        <f>HYPERLINK("https://github.com/SpartanJ/ImgurViewer","show")</f>
        <v>show</v>
      </c>
      <c r="F5002" t="str">
        <f>HYPERLINK("https://github.com/SpartanJ/ImgurViewer/releases","show")</f>
        <v>show</v>
      </c>
    </row>
    <row r="5003" spans="1:6">
      <c r="A5003" t="s">
        <v>14889</v>
      </c>
      <c r="B5003" t="s">
        <v>14890</v>
      </c>
      <c r="C5003" t="s">
        <v>14891</v>
      </c>
      <c r="D5003" t="str">
        <f>HYPERLINK("https://github.com/k9mail/k-9/issues/5343","show")</f>
        <v>show</v>
      </c>
      <c r="E5003" t="str">
        <f>HYPERLINK("https://github.com/k9mail/k-9","show")</f>
        <v>show</v>
      </c>
      <c r="F5003" t="str">
        <f>HYPERLINK("https://github.com/k9mail/k-9/releases","show")</f>
        <v>show</v>
      </c>
    </row>
    <row r="5004" spans="1:6">
      <c r="A5004" t="s">
        <v>14892</v>
      </c>
      <c r="B5004" t="s">
        <v>14893</v>
      </c>
      <c r="C5004" t="s">
        <v>14894</v>
      </c>
      <c r="D5004" t="str">
        <f>HYPERLINK("https://github.com/PojavLauncherTeam/PojavLauncher/issues/1544","show")</f>
        <v>show</v>
      </c>
      <c r="E5004" t="str">
        <f>HYPERLINK("https://github.com/PojavLauncherTeam/PojavLauncher","show")</f>
        <v>show</v>
      </c>
      <c r="F5004" t="str">
        <f>HYPERLINK("https://github.com/PojavLauncherTeam/PojavLauncher/releases","show")</f>
        <v>show</v>
      </c>
    </row>
    <row r="5005" spans="1:6">
      <c r="A5005" t="s">
        <v>14895</v>
      </c>
      <c r="B5005" t="s">
        <v>14896</v>
      </c>
      <c r="C5005" t="s">
        <v>14897</v>
      </c>
      <c r="D5005" t="str">
        <f>HYPERLINK("https://github.com/inaturalist/iNaturalistAndroid/issues/1054","show")</f>
        <v>show</v>
      </c>
      <c r="E5005" t="str">
        <f>HYPERLINK("https://github.com/inaturalist/iNaturalistAndroid","show")</f>
        <v>show</v>
      </c>
      <c r="F5005" t="str">
        <f>HYPERLINK("https://github.com/inaturalist/iNaturalistAndroid/releases","show")</f>
        <v>show</v>
      </c>
    </row>
    <row r="5006" spans="1:6">
      <c r="A5006" t="s">
        <v>14898</v>
      </c>
      <c r="B5006" t="s">
        <v>14899</v>
      </c>
      <c r="C5006" t="s">
        <v>14900</v>
      </c>
      <c r="D5006" t="str">
        <f>HYPERLINK("https://github.com/inaturalist/iNaturalistAndroid/issues/1053","show")</f>
        <v>show</v>
      </c>
      <c r="E5006" t="str">
        <f>HYPERLINK("https://github.com/inaturalist/iNaturalistAndroid","show")</f>
        <v>show</v>
      </c>
      <c r="F5006" t="str">
        <f>HYPERLINK("https://github.com/inaturalist/iNaturalistAndroid/releases","show")</f>
        <v>show</v>
      </c>
    </row>
    <row r="5007" spans="1:6">
      <c r="A5007" t="s">
        <v>14901</v>
      </c>
      <c r="B5007" t="s">
        <v>14902</v>
      </c>
      <c r="C5007" t="s">
        <v>14903</v>
      </c>
      <c r="D5007" t="str">
        <f>HYPERLINK("https://github.com/andOTP/andOTP/issues/856","show")</f>
        <v>show</v>
      </c>
      <c r="E5007" t="str">
        <f>HYPERLINK("https://github.com/andOTP/andOTP","show")</f>
        <v>show</v>
      </c>
      <c r="F5007" t="str">
        <f>HYPERLINK("https://github.com/andOTP/andOTP/releases","show")</f>
        <v>show</v>
      </c>
    </row>
    <row r="5008" spans="1:6">
      <c r="A5008" t="s">
        <v>14904</v>
      </c>
      <c r="B5008" t="s">
        <v>8633</v>
      </c>
      <c r="C5008" t="s">
        <v>14905</v>
      </c>
      <c r="D5008" t="str">
        <f>HYPERLINK("https://github.com/StoyanTinchev/musicial-tesla-coil/issues/35","show")</f>
        <v>show</v>
      </c>
      <c r="E5008" t="str">
        <f>HYPERLINK("https://github.com/StoyanTinchev/musicial-tesla-coil","show")</f>
        <v>show</v>
      </c>
      <c r="F5008" t="str">
        <f>HYPERLINK("https://github.com/StoyanTinchev/musicial-tesla-coil/releases","show")</f>
        <v>show</v>
      </c>
    </row>
    <row r="5009" spans="1:6">
      <c r="A5009" t="s">
        <v>14906</v>
      </c>
      <c r="B5009" t="s">
        <v>14907</v>
      </c>
      <c r="C5009" t="s">
        <v>14908</v>
      </c>
      <c r="D5009" t="str">
        <f>HYPERLINK("https://github.com/IdoSagiv/CommuniDog/issues/13","show")</f>
        <v>show</v>
      </c>
      <c r="E5009" t="str">
        <f>HYPERLINK("https://github.com/IdoSagiv/CommuniDog","show")</f>
        <v>show</v>
      </c>
      <c r="F5009" t="str">
        <f>HYPERLINK("https://github.com/IdoSagiv/CommuniDog/releases","show")</f>
        <v>show</v>
      </c>
    </row>
    <row r="5010" spans="1:6">
      <c r="A5010" t="s">
        <v>14909</v>
      </c>
      <c r="B5010" t="s">
        <v>14910</v>
      </c>
      <c r="C5010" t="s">
        <v>14911</v>
      </c>
      <c r="D5010" t="str">
        <f>HYPERLINK("https://github.com/Anuken/Mindustry/issues/5417","show")</f>
        <v>show</v>
      </c>
      <c r="E5010" t="str">
        <f>HYPERLINK("https://github.com/Anuken/Mindustry","show")</f>
        <v>show</v>
      </c>
      <c r="F5010" t="str">
        <f>HYPERLINK("https://github.com/Anuken/Mindustry/releases","show")</f>
        <v>show</v>
      </c>
    </row>
    <row r="5011" spans="1:6">
      <c r="A5011" t="s">
        <v>14912</v>
      </c>
      <c r="B5011" t="s">
        <v>14913</v>
      </c>
      <c r="C5011" t="s">
        <v>14914</v>
      </c>
      <c r="D5011" t="str">
        <f>HYPERLINK("https://github.com/MuntashirAkon/AppManager/issues/476","show")</f>
        <v>show</v>
      </c>
      <c r="E5011" t="str">
        <f>HYPERLINK("https://github.com/MuntashirAkon/AppManager","show")</f>
        <v>show</v>
      </c>
      <c r="F5011" t="str">
        <f>HYPERLINK("https://github.com/MuntashirAkon/AppManager/releases","show")</f>
        <v>show</v>
      </c>
    </row>
    <row r="5012" spans="1:6">
      <c r="A5012" t="s">
        <v>14915</v>
      </c>
      <c r="B5012" t="s">
        <v>14916</v>
      </c>
      <c r="C5012" t="s">
        <v>14917</v>
      </c>
      <c r="D5012" t="str">
        <f>HYPERLINK("https://github.com/Benji377/SocyMusic/issues/56","show")</f>
        <v>show</v>
      </c>
      <c r="E5012" t="str">
        <f>HYPERLINK("https://github.com/Benji377/SocyMusic","show")</f>
        <v>show</v>
      </c>
      <c r="F5012" t="str">
        <f>HYPERLINK("https://github.com/Benji377/SocyMusic/releases","show")</f>
        <v>show</v>
      </c>
    </row>
    <row r="5013" spans="1:6">
      <c r="A5013" t="s">
        <v>14918</v>
      </c>
      <c r="B5013" t="s">
        <v>14919</v>
      </c>
      <c r="C5013" t="s">
        <v>14920</v>
      </c>
      <c r="D5013" t="str">
        <f>HYPERLINK("https://github.com/TeamNewPipe/NewPipe/issues/6480","show")</f>
        <v>show</v>
      </c>
      <c r="E5013" t="str">
        <f>HYPERLINK("https://github.com/TeamNewPipe/NewPipe","show")</f>
        <v>show</v>
      </c>
      <c r="F5013" t="str">
        <f>HYPERLINK("https://github.com/TeamNewPipe/NewPipe/releases","show")</f>
        <v>show</v>
      </c>
    </row>
    <row r="5014" spans="1:6">
      <c r="A5014" t="s">
        <v>14921</v>
      </c>
      <c r="B5014" t="s">
        <v>14922</v>
      </c>
      <c r="C5014" t="s">
        <v>14923</v>
      </c>
      <c r="D5014" t="str">
        <f>HYPERLINK("https://github.com/thebergamo/react-native-fbsdk-next/issues/54","show")</f>
        <v>show</v>
      </c>
      <c r="E5014" t="str">
        <f>HYPERLINK("https://github.com/thebergamo/react-native-fbsdk-next","show")</f>
        <v>show</v>
      </c>
      <c r="F5014" t="str">
        <f>HYPERLINK("https://github.com/thebergamo/react-native-fbsdk-next/releases","show")</f>
        <v>show</v>
      </c>
    </row>
    <row r="5015" spans="1:6">
      <c r="A5015" t="s">
        <v>14924</v>
      </c>
      <c r="B5015" t="s">
        <v>14925</v>
      </c>
      <c r="C5015" t="s">
        <v>14926</v>
      </c>
      <c r="D5015" t="str">
        <f>HYPERLINK("https://github.com/TeamNewPipe/NewPipe/issues/6478","show")</f>
        <v>show</v>
      </c>
      <c r="E5015" t="str">
        <f>HYPERLINK("https://github.com/TeamNewPipe/NewPipe","show")</f>
        <v>show</v>
      </c>
      <c r="F5015" t="str">
        <f>HYPERLINK("https://github.com/TeamNewPipe/NewPipe/releases","show")</f>
        <v>show</v>
      </c>
    </row>
    <row r="5016" spans="1:6">
      <c r="A5016" t="s">
        <v>14927</v>
      </c>
      <c r="B5016" t="s">
        <v>14928</v>
      </c>
      <c r="C5016" t="s">
        <v>14929</v>
      </c>
      <c r="D5016" t="str">
        <f>HYPERLINK("https://github.com/oliexdev/openScale/issues/740","show")</f>
        <v>show</v>
      </c>
      <c r="E5016" t="str">
        <f>HYPERLINK("https://github.com/oliexdev/openScale","show")</f>
        <v>show</v>
      </c>
      <c r="F5016" t="str">
        <f>HYPERLINK("https://github.com/oliexdev/openScale/releases","show")</f>
        <v>show</v>
      </c>
    </row>
    <row r="5017" spans="1:6">
      <c r="A5017" t="s">
        <v>14930</v>
      </c>
      <c r="B5017" t="s">
        <v>14931</v>
      </c>
      <c r="C5017" t="s">
        <v>14932</v>
      </c>
      <c r="D5017" t="str">
        <f>HYPERLINK("https://github.com/TeamNewPipe/NewPipe/issues/6473","show")</f>
        <v>show</v>
      </c>
      <c r="E5017" t="str">
        <f>HYPERLINK("https://github.com/TeamNewPipe/NewPipe","show")</f>
        <v>show</v>
      </c>
      <c r="F5017" t="str">
        <f>HYPERLINK("https://github.com/TeamNewPipe/NewPipe/releases","show")</f>
        <v>show</v>
      </c>
    </row>
    <row r="5018" spans="1:6">
      <c r="A5018" t="s">
        <v>14933</v>
      </c>
      <c r="B5018" t="s">
        <v>14934</v>
      </c>
      <c r="C5018" t="s">
        <v>14935</v>
      </c>
      <c r="D5018" t="str">
        <f>HYPERLINK("https://github.com/square/okhttp/issues/6701","show")</f>
        <v>show</v>
      </c>
      <c r="E5018" t="str">
        <f>HYPERLINK("https://github.com/square/okhttp","show")</f>
        <v>show</v>
      </c>
      <c r="F5018" t="str">
        <f>HYPERLINK("https://github.com/square/okhttp/releases","show")</f>
        <v>show</v>
      </c>
    </row>
    <row r="5019" spans="1:6">
      <c r="A5019" t="s">
        <v>14936</v>
      </c>
      <c r="B5019" t="s">
        <v>14937</v>
      </c>
      <c r="C5019" t="s">
        <v>14938</v>
      </c>
      <c r="D5019" t="str">
        <f>HYPERLINK("https://github.com/TeamNewPipe/NewPipe/issues/6472","show")</f>
        <v>show</v>
      </c>
      <c r="E5019" t="str">
        <f>HYPERLINK("https://github.com/TeamNewPipe/NewPipe","show")</f>
        <v>show</v>
      </c>
      <c r="F5019" t="str">
        <f>HYPERLINK("https://github.com/TeamNewPipe/NewPipe/releases","show")</f>
        <v>show</v>
      </c>
    </row>
    <row r="5020" spans="1:6">
      <c r="A5020" t="s">
        <v>14939</v>
      </c>
      <c r="B5020" t="s">
        <v>14940</v>
      </c>
      <c r="C5020" t="s">
        <v>14941</v>
      </c>
      <c r="D5020" t="str">
        <f>HYPERLINK("https://github.com/nextcloud/android/issues/8561","show")</f>
        <v>show</v>
      </c>
      <c r="E5020" t="str">
        <f>HYPERLINK("https://github.com/nextcloud/android","show")</f>
        <v>show</v>
      </c>
      <c r="F5020" t="str">
        <f>HYPERLINK("https://github.com/nextcloud/android/releases","show")</f>
        <v>show</v>
      </c>
    </row>
    <row r="5021" spans="1:6">
      <c r="A5021" t="s">
        <v>14942</v>
      </c>
      <c r="B5021" t="s">
        <v>14943</v>
      </c>
      <c r="C5021" t="s">
        <v>14944</v>
      </c>
      <c r="D5021" t="str">
        <f>HYPERLINK("https://github.com/nextcloud/android/issues/8560","show")</f>
        <v>show</v>
      </c>
      <c r="E5021" t="str">
        <f>HYPERLINK("https://github.com/nextcloud/android","show")</f>
        <v>show</v>
      </c>
      <c r="F5021" t="str">
        <f>HYPERLINK("https://github.com/nextcloud/android/releases","show")</f>
        <v>show</v>
      </c>
    </row>
    <row r="5022" spans="1:6">
      <c r="A5022" t="s">
        <v>14945</v>
      </c>
      <c r="B5022" t="s">
        <v>14946</v>
      </c>
      <c r="C5022" t="s">
        <v>14947</v>
      </c>
      <c r="D5022" t="str">
        <f>HYPERLINK("https://github.com/Benji377/SocyMusic/issues/54","show")</f>
        <v>show</v>
      </c>
      <c r="E5022" t="str">
        <f>HYPERLINK("https://github.com/Benji377/SocyMusic","show")</f>
        <v>show</v>
      </c>
      <c r="F5022" t="str">
        <f>HYPERLINK("https://github.com/Benji377/SocyMusic/releases","show")</f>
        <v>show</v>
      </c>
    </row>
    <row r="5023" spans="1:6">
      <c r="A5023" t="s">
        <v>14948</v>
      </c>
      <c r="B5023" t="s">
        <v>14949</v>
      </c>
      <c r="C5023" t="s">
        <v>14950</v>
      </c>
      <c r="D5023" t="str">
        <f>HYPERLINK("https://github.com/PojavLauncherTeam/PojavLauncher/issues/1518","show")</f>
        <v>show</v>
      </c>
      <c r="E5023" t="str">
        <f>HYPERLINK("https://github.com/PojavLauncherTeam/PojavLauncher","show")</f>
        <v>show</v>
      </c>
      <c r="F5023" t="str">
        <f>HYPERLINK("https://github.com/PojavLauncherTeam/PojavLauncher/releases","show")</f>
        <v>show</v>
      </c>
    </row>
    <row r="5024" spans="1:6">
      <c r="A5024" t="s">
        <v>14951</v>
      </c>
      <c r="B5024" t="s">
        <v>14952</v>
      </c>
      <c r="C5024" t="s">
        <v>14953</v>
      </c>
      <c r="D5024" t="str">
        <f>HYPERLINK("https://github.com/Anuken/Mindustry/issues/5410","show")</f>
        <v>show</v>
      </c>
      <c r="E5024" t="str">
        <f>HYPERLINK("https://github.com/Anuken/Mindustry","show")</f>
        <v>show</v>
      </c>
      <c r="F5024" t="str">
        <f>HYPERLINK("https://github.com/Anuken/Mindustry/releases","show")</f>
        <v>show</v>
      </c>
    </row>
    <row r="5025" spans="1:6">
      <c r="A5025" t="s">
        <v>14954</v>
      </c>
      <c r="B5025" t="s">
        <v>14955</v>
      </c>
      <c r="C5025" t="s">
        <v>14956</v>
      </c>
      <c r="D5025" t="str">
        <f>HYPERLINK("https://github.com/Benji377/SocyMusic/issues/53","show")</f>
        <v>show</v>
      </c>
      <c r="E5025" t="str">
        <f>HYPERLINK("https://github.com/Benji377/SocyMusic","show")</f>
        <v>show</v>
      </c>
      <c r="F5025" t="str">
        <f>HYPERLINK("https://github.com/Benji377/SocyMusic/releases","show")</f>
        <v>show</v>
      </c>
    </row>
    <row r="5026" spans="1:6">
      <c r="A5026" t="s">
        <v>14957</v>
      </c>
      <c r="B5026" t="s">
        <v>14958</v>
      </c>
      <c r="C5026" t="s">
        <v>14959</v>
      </c>
      <c r="D5026" t="str">
        <f>HYPERLINK("https://github.com/Ninjaman494/Hanji-Android-App/issues/67","show")</f>
        <v>show</v>
      </c>
      <c r="E5026" t="str">
        <f>HYPERLINK("https://github.com/Ninjaman494/Hanji-Android-App","show")</f>
        <v>show</v>
      </c>
      <c r="F5026" t="str">
        <f>HYPERLINK("https://github.com/Ninjaman494/Hanji-Android-App/releases","show")</f>
        <v>show</v>
      </c>
    </row>
    <row r="5027" spans="1:6">
      <c r="A5027" t="s">
        <v>14960</v>
      </c>
      <c r="B5027" t="s">
        <v>14961</v>
      </c>
      <c r="C5027" t="s">
        <v>14962</v>
      </c>
      <c r="D5027" t="str">
        <f>HYPERLINK("https://github.com/Ninjaman494/Hanji-Android-App/issues/66","show")</f>
        <v>show</v>
      </c>
      <c r="E5027" t="str">
        <f>HYPERLINK("https://github.com/Ninjaman494/Hanji-Android-App","show")</f>
        <v>show</v>
      </c>
      <c r="F5027" t="str">
        <f>HYPERLINK("https://github.com/Ninjaman494/Hanji-Android-App/releases","show")</f>
        <v>show</v>
      </c>
    </row>
    <row r="5028" spans="1:6">
      <c r="A5028" t="s">
        <v>14963</v>
      </c>
      <c r="B5028" t="s">
        <v>14964</v>
      </c>
      <c r="C5028" t="s">
        <v>14965</v>
      </c>
      <c r="D5028" t="str">
        <f>HYPERLINK("https://github.com/patzly/grocy-android/issues/425","show")</f>
        <v>show</v>
      </c>
      <c r="E5028" t="str">
        <f>HYPERLINK("https://github.com/patzly/grocy-android","show")</f>
        <v>show</v>
      </c>
      <c r="F5028" t="str">
        <f>HYPERLINK("https://github.com/patzly/grocy-android/releases","show")</f>
        <v>show</v>
      </c>
    </row>
    <row r="5029" spans="1:6">
      <c r="A5029" t="s">
        <v>14966</v>
      </c>
      <c r="B5029" t="s">
        <v>14967</v>
      </c>
      <c r="C5029" t="s">
        <v>14968</v>
      </c>
      <c r="D5029" t="str">
        <f>HYPERLINK("https://github.com/nextcloud/android/issues/8557","show")</f>
        <v>show</v>
      </c>
      <c r="E5029" t="str">
        <f>HYPERLINK("https://github.com/nextcloud/android","show")</f>
        <v>show</v>
      </c>
      <c r="F5029" t="str">
        <f>HYPERLINK("https://github.com/nextcloud/android/releases","show")</f>
        <v>show</v>
      </c>
    </row>
    <row r="5030" spans="1:6">
      <c r="A5030" t="s">
        <v>14969</v>
      </c>
      <c r="B5030" t="s">
        <v>14970</v>
      </c>
      <c r="C5030" t="s">
        <v>14971</v>
      </c>
      <c r="D5030" t="str">
        <f>HYPERLINK("https://github.com/ViroCommunity/viro/issues/24","show")</f>
        <v>show</v>
      </c>
      <c r="E5030" t="str">
        <f>HYPERLINK("https://github.com/ViroCommunity/viro","show")</f>
        <v>show</v>
      </c>
      <c r="F5030" t="str">
        <f>HYPERLINK("https://github.com/ViroCommunity/viro/releases","show")</f>
        <v>show</v>
      </c>
    </row>
    <row r="5031" spans="1:6">
      <c r="A5031" t="s">
        <v>14972</v>
      </c>
      <c r="B5031" t="s">
        <v>14973</v>
      </c>
      <c r="C5031" t="s">
        <v>14974</v>
      </c>
      <c r="D5031" t="str">
        <f>HYPERLINK("https://github.com/nextcloud/android/issues/8555","show")</f>
        <v>show</v>
      </c>
      <c r="E5031" t="str">
        <f>HYPERLINK("https://github.com/nextcloud/android","show")</f>
        <v>show</v>
      </c>
      <c r="F5031" t="str">
        <f>HYPERLINK("https://github.com/nextcloud/android/releases","show")</f>
        <v>show</v>
      </c>
    </row>
    <row r="5032" spans="1:6">
      <c r="A5032" t="s">
        <v>14975</v>
      </c>
      <c r="B5032" t="s">
        <v>14976</v>
      </c>
      <c r="C5032" t="s">
        <v>14977</v>
      </c>
      <c r="D5032" t="str">
        <f>HYPERLINK("https://github.com/nextcloud/talk-android/issues/1318","show")</f>
        <v>show</v>
      </c>
      <c r="E5032" t="str">
        <f>HYPERLINK("https://github.com/nextcloud/talk-android","show")</f>
        <v>show</v>
      </c>
      <c r="F5032" t="str">
        <f>HYPERLINK("https://github.com/nextcloud/talk-android/releases","show")</f>
        <v>show</v>
      </c>
    </row>
    <row r="5033" spans="1:6">
      <c r="A5033" t="s">
        <v>14978</v>
      </c>
      <c r="B5033" t="s">
        <v>14979</v>
      </c>
      <c r="C5033" t="s">
        <v>14980</v>
      </c>
      <c r="D5033" t="str">
        <f>HYPERLINK("https://github.com/microg/GmsCore/issues/1490","show")</f>
        <v>show</v>
      </c>
      <c r="E5033" t="str">
        <f>HYPERLINK("https://github.com/microg/GmsCore","show")</f>
        <v>show</v>
      </c>
      <c r="F5033" t="str">
        <f>HYPERLINK("https://github.com/microg/GmsCore/releases","show")</f>
        <v>show</v>
      </c>
    </row>
    <row r="5034" spans="1:6">
      <c r="A5034" t="s">
        <v>14981</v>
      </c>
      <c r="B5034" t="s">
        <v>14982</v>
      </c>
      <c r="C5034" t="s">
        <v>14983</v>
      </c>
      <c r="D5034" t="str">
        <f>HYPERLINK("https://github.com/TeamNewPipe/NewPipe/issues/6467","show")</f>
        <v>show</v>
      </c>
      <c r="E5034" t="str">
        <f>HYPERLINK("https://github.com/TeamNewPipe/NewPipe","show")</f>
        <v>show</v>
      </c>
      <c r="F5034" t="str">
        <f>HYPERLINK("https://github.com/TeamNewPipe/NewPipe/releases","show")</f>
        <v>show</v>
      </c>
    </row>
    <row r="5035" spans="1:6">
      <c r="A5035" t="s">
        <v>14984</v>
      </c>
      <c r="B5035" t="s">
        <v>14985</v>
      </c>
      <c r="C5035" t="s">
        <v>14986</v>
      </c>
      <c r="D5035" t="str">
        <f>HYPERLINK("https://github.com/Anuken/Mindustry/issues/5406","show")</f>
        <v>show</v>
      </c>
      <c r="E5035" t="str">
        <f>HYPERLINK("https://github.com/Anuken/Mindustry","show")</f>
        <v>show</v>
      </c>
      <c r="F5035" t="str">
        <f>HYPERLINK("https://github.com/Anuken/Mindustry/releases","show")</f>
        <v>show</v>
      </c>
    </row>
    <row r="5036" spans="1:6">
      <c r="A5036" t="s">
        <v>14987</v>
      </c>
      <c r="B5036" t="s">
        <v>14988</v>
      </c>
      <c r="C5036" t="s">
        <v>14989</v>
      </c>
      <c r="D5036" t="str">
        <f>HYPERLINK("https://github.com/PojavLauncherTeam/PojavLauncher/issues/1514","show")</f>
        <v>show</v>
      </c>
      <c r="E5036" t="str">
        <f>HYPERLINK("https://github.com/PojavLauncherTeam/PojavLauncher","show")</f>
        <v>show</v>
      </c>
      <c r="F5036" t="str">
        <f>HYPERLINK("https://github.com/PojavLauncherTeam/PojavLauncher/releases","show")</f>
        <v>show</v>
      </c>
    </row>
    <row r="5037" spans="1:6">
      <c r="A5037" t="s">
        <v>14990</v>
      </c>
      <c r="B5037" t="s">
        <v>14991</v>
      </c>
      <c r="C5037" t="s">
        <v>14992</v>
      </c>
      <c r="D5037" t="str">
        <f>HYPERLINK("https://github.com/nextcloud/android/issues/8551","show")</f>
        <v>show</v>
      </c>
      <c r="E5037" t="str">
        <f>HYPERLINK("https://github.com/nextcloud/android","show")</f>
        <v>show</v>
      </c>
      <c r="F5037" t="str">
        <f>HYPERLINK("https://github.com/nextcloud/android/releases","show")</f>
        <v>show</v>
      </c>
    </row>
    <row r="5038" spans="1:6">
      <c r="A5038" t="s">
        <v>14993</v>
      </c>
      <c r="B5038" t="s">
        <v>14994</v>
      </c>
      <c r="C5038" t="s">
        <v>14995</v>
      </c>
      <c r="D5038" t="str">
        <f>HYPERLINK("https://github.com/Azure/azure-iot-sdk-java/issues/1236","show")</f>
        <v>show</v>
      </c>
      <c r="E5038" t="str">
        <f>HYPERLINK("https://github.com/Azure/azure-iot-sdk-java","show")</f>
        <v>show</v>
      </c>
      <c r="F5038" t="str">
        <f>HYPERLINK("https://github.com/Azure/azure-iot-sdk-java/releases","show")</f>
        <v>show</v>
      </c>
    </row>
    <row r="5039" spans="1:6">
      <c r="A5039" t="s">
        <v>14996</v>
      </c>
      <c r="B5039" t="s">
        <v>14997</v>
      </c>
      <c r="C5039" t="s">
        <v>14998</v>
      </c>
      <c r="D5039" t="str">
        <f>HYPERLINK("https://github.com/nextcloud/talk-android/issues/1314","show")</f>
        <v>show</v>
      </c>
      <c r="E5039" t="str">
        <f>HYPERLINK("https://github.com/nextcloud/talk-android","show")</f>
        <v>show</v>
      </c>
      <c r="F5039" t="str">
        <f>HYPERLINK("https://github.com/nextcloud/talk-android/releases","show")</f>
        <v>show</v>
      </c>
    </row>
    <row r="5040" spans="1:6">
      <c r="A5040" t="s">
        <v>14999</v>
      </c>
      <c r="B5040" t="s">
        <v>15000</v>
      </c>
      <c r="C5040" t="s">
        <v>15001</v>
      </c>
      <c r="D5040" t="str">
        <f>HYPERLINK("https://github.com/Benji377/SocyMusic/issues/43","show")</f>
        <v>show</v>
      </c>
      <c r="E5040" t="str">
        <f>HYPERLINK("https://github.com/Benji377/SocyMusic","show")</f>
        <v>show</v>
      </c>
      <c r="F5040" t="str">
        <f>HYPERLINK("https://github.com/Benji377/SocyMusic/releases","show")</f>
        <v>show</v>
      </c>
    </row>
    <row r="5041" spans="1:6">
      <c r="A5041" t="s">
        <v>15002</v>
      </c>
      <c r="B5041" t="s">
        <v>6453</v>
      </c>
      <c r="C5041" t="s">
        <v>15003</v>
      </c>
      <c r="D5041" t="str">
        <f>HYPERLINK("https://github.com/nextcloud/android/issues/8547","show")</f>
        <v>show</v>
      </c>
      <c r="E5041" t="str">
        <f>HYPERLINK("https://github.com/nextcloud/android","show")</f>
        <v>show</v>
      </c>
      <c r="F5041" t="str">
        <f>HYPERLINK("https://github.com/nextcloud/android/releases","show")</f>
        <v>show</v>
      </c>
    </row>
    <row r="5042" spans="1:6">
      <c r="A5042" t="s">
        <v>15004</v>
      </c>
      <c r="B5042" t="s">
        <v>15005</v>
      </c>
      <c r="C5042" t="s">
        <v>15006</v>
      </c>
      <c r="D5042" t="str">
        <f>HYPERLINK("https://github.com/TeamNewPipe/NewPipe/issues/6455","show")</f>
        <v>show</v>
      </c>
      <c r="E5042" t="str">
        <f>HYPERLINK("https://github.com/TeamNewPipe/NewPipe","show")</f>
        <v>show</v>
      </c>
      <c r="F5042" t="str">
        <f>HYPERLINK("https://github.com/TeamNewPipe/NewPipe/releases","show")</f>
        <v>show</v>
      </c>
    </row>
    <row r="5043" spans="1:6">
      <c r="A5043" t="s">
        <v>15007</v>
      </c>
      <c r="B5043" t="s">
        <v>15008</v>
      </c>
      <c r="C5043" t="s">
        <v>15009</v>
      </c>
      <c r="D5043" t="str">
        <f>HYPERLINK("https://github.com/alexvasilkov/GestureViews/issues/172","show")</f>
        <v>show</v>
      </c>
      <c r="E5043" t="str">
        <f>HYPERLINK("https://github.com/alexvasilkov/GestureViews","show")</f>
        <v>show</v>
      </c>
      <c r="F5043" t="str">
        <f>HYPERLINK("https://github.com/alexvasilkov/GestureViews/releases","show")</f>
        <v>show</v>
      </c>
    </row>
    <row r="5044" spans="1:6">
      <c r="A5044" t="s">
        <v>15010</v>
      </c>
      <c r="B5044" t="s">
        <v>6843</v>
      </c>
      <c r="C5044" t="s">
        <v>15011</v>
      </c>
      <c r="D5044" t="str">
        <f>HYPERLINK("https://github.com/PojavLauncherTeam/PojavLauncher/issues/1505","show")</f>
        <v>show</v>
      </c>
      <c r="E5044" t="str">
        <f>HYPERLINK("https://github.com/PojavLauncherTeam/PojavLauncher","show")</f>
        <v>show</v>
      </c>
      <c r="F5044" t="str">
        <f>HYPERLINK("https://github.com/PojavLauncherTeam/PojavLauncher/releases","show")</f>
        <v>show</v>
      </c>
    </row>
    <row r="5045" spans="1:6">
      <c r="A5045" t="s">
        <v>15012</v>
      </c>
      <c r="B5045" t="s">
        <v>15013</v>
      </c>
      <c r="C5045" t="s">
        <v>15014</v>
      </c>
      <c r="D5045" t="str">
        <f>HYPERLINK("https://github.com/TeamNewPipe/NewPipe/issues/6450","show")</f>
        <v>show</v>
      </c>
      <c r="E5045" t="str">
        <f>HYPERLINK("https://github.com/TeamNewPipe/NewPipe","show")</f>
        <v>show</v>
      </c>
      <c r="F5045" t="str">
        <f>HYPERLINK("https://github.com/TeamNewPipe/NewPipe/releases","show")</f>
        <v>show</v>
      </c>
    </row>
    <row r="5046" spans="1:6">
      <c r="A5046" t="s">
        <v>15015</v>
      </c>
      <c r="B5046" t="s">
        <v>15016</v>
      </c>
      <c r="C5046" t="s">
        <v>15017</v>
      </c>
      <c r="D5046" t="str">
        <f>HYPERLINK("https://github.com/lchua2314/Game-News-App/issues/12","show")</f>
        <v>show</v>
      </c>
      <c r="E5046" t="str">
        <f>HYPERLINK("https://github.com/lchua2314/Game-News-App","show")</f>
        <v>show</v>
      </c>
      <c r="F5046" t="str">
        <f>HYPERLINK("https://github.com/lchua2314/Game-News-App/releases","show")</f>
        <v>show</v>
      </c>
    </row>
    <row r="5047" spans="1:6">
      <c r="A5047" t="s">
        <v>15018</v>
      </c>
      <c r="B5047" t="s">
        <v>15019</v>
      </c>
      <c r="C5047" t="s">
        <v>15020</v>
      </c>
      <c r="D5047" t="str">
        <f>HYPERLINK("https://github.com/TeamNewPipe/NewPipe/issues/6449","show")</f>
        <v>show</v>
      </c>
      <c r="E5047" t="str">
        <f>HYPERLINK("https://github.com/TeamNewPipe/NewPipe","show")</f>
        <v>show</v>
      </c>
      <c r="F5047" t="str">
        <f>HYPERLINK("https://github.com/TeamNewPipe/NewPipe/releases","show")</f>
        <v>show</v>
      </c>
    </row>
    <row r="5048" spans="1:6">
      <c r="A5048" t="s">
        <v>15021</v>
      </c>
      <c r="B5048" t="s">
        <v>15022</v>
      </c>
      <c r="C5048" t="s">
        <v>15023</v>
      </c>
      <c r="D5048" t="str">
        <f>HYPERLINK("https://github.com/PojavLauncherTeam/PojavLauncher/issues/1503","show")</f>
        <v>show</v>
      </c>
      <c r="E5048" t="str">
        <f>HYPERLINK("https://github.com/PojavLauncherTeam/PojavLauncher","show")</f>
        <v>show</v>
      </c>
      <c r="F5048" t="str">
        <f>HYPERLINK("https://github.com/PojavLauncherTeam/PojavLauncher/releases","show")</f>
        <v>show</v>
      </c>
    </row>
    <row r="5049" spans="1:6">
      <c r="A5049" t="s">
        <v>15024</v>
      </c>
      <c r="B5049" t="s">
        <v>15025</v>
      </c>
      <c r="C5049" t="s">
        <v>15026</v>
      </c>
      <c r="D5049" t="str">
        <f>HYPERLINK("https://github.com/andOTP/andOTP/issues/847","show")</f>
        <v>show</v>
      </c>
      <c r="E5049" t="str">
        <f>HYPERLINK("https://github.com/andOTP/andOTP","show")</f>
        <v>show</v>
      </c>
      <c r="F5049" t="str">
        <f>HYPERLINK("https://github.com/andOTP/andOTP/releases","show")</f>
        <v>show</v>
      </c>
    </row>
    <row r="5050" spans="1:6">
      <c r="A5050" t="s">
        <v>15027</v>
      </c>
      <c r="B5050" t="s">
        <v>15028</v>
      </c>
      <c r="C5050" t="s">
        <v>15029</v>
      </c>
      <c r="D5050" t="str">
        <f>HYPERLINK("https://github.com/Karumi/Dexter/issues/279","show")</f>
        <v>show</v>
      </c>
      <c r="E5050" t="str">
        <f>HYPERLINK("https://github.com/Karumi/Dexter","show")</f>
        <v>show</v>
      </c>
      <c r="F5050" t="str">
        <f>HYPERLINK("https://github.com/Karumi/Dexter/releases","show")</f>
        <v>show</v>
      </c>
    </row>
    <row r="5051" spans="1:6">
      <c r="A5051" t="s">
        <v>15030</v>
      </c>
      <c r="B5051" t="s">
        <v>15031</v>
      </c>
      <c r="C5051" t="s">
        <v>15032</v>
      </c>
      <c r="D5051" t="str">
        <f>HYPERLINK("https://github.com/MuntashirAkon/AppManager/issues/472","show")</f>
        <v>show</v>
      </c>
      <c r="E5051" t="str">
        <f>HYPERLINK("https://github.com/MuntashirAkon/AppManager","show")</f>
        <v>show</v>
      </c>
      <c r="F5051" t="str">
        <f>HYPERLINK("https://github.com/MuntashirAkon/AppManager/releases","show")</f>
        <v>show</v>
      </c>
    </row>
    <row r="5052" spans="1:6">
      <c r="A5052" t="s">
        <v>15033</v>
      </c>
      <c r="B5052" t="s">
        <v>15034</v>
      </c>
      <c r="C5052" t="s">
        <v>15035</v>
      </c>
      <c r="D5052" t="str">
        <f>HYPERLINK("https://github.com/Anuken/Mindustry/issues/5393","show")</f>
        <v>show</v>
      </c>
      <c r="E5052" t="str">
        <f>HYPERLINK("https://github.com/Anuken/Mindustry","show")</f>
        <v>show</v>
      </c>
      <c r="F5052" t="str">
        <f>HYPERLINK("https://github.com/Anuken/Mindustry/releases","show")</f>
        <v>show</v>
      </c>
    </row>
    <row r="5053" spans="1:6">
      <c r="A5053" t="s">
        <v>15036</v>
      </c>
      <c r="B5053" t="s">
        <v>15037</v>
      </c>
      <c r="C5053" t="s">
        <v>15038</v>
      </c>
      <c r="D5053" t="str">
        <f>HYPERLINK("https://github.com/nextcloud/android/issues/8539","show")</f>
        <v>show</v>
      </c>
      <c r="E5053" t="str">
        <f>HYPERLINK("https://github.com/nextcloud/android","show")</f>
        <v>show</v>
      </c>
      <c r="F5053" t="str">
        <f>HYPERLINK("https://github.com/nextcloud/android/releases","show")</f>
        <v>show</v>
      </c>
    </row>
    <row r="5054" spans="1:6">
      <c r="A5054" t="s">
        <v>15039</v>
      </c>
      <c r="B5054" t="s">
        <v>15040</v>
      </c>
      <c r="C5054" t="s">
        <v>15041</v>
      </c>
      <c r="D5054" t="str">
        <f>HYPERLINK("https://github.com/material-components/material-components-android/issues/2242","show")</f>
        <v>show</v>
      </c>
      <c r="E5054" t="str">
        <f>HYPERLINK("https://github.com/material-components/material-components-android","show")</f>
        <v>show</v>
      </c>
      <c r="F5054" t="str">
        <f>HYPERLINK("https://github.com/material-components/material-components-android/releases","show")</f>
        <v>show</v>
      </c>
    </row>
    <row r="5055" spans="1:6">
      <c r="A5055" t="s">
        <v>15042</v>
      </c>
      <c r="B5055" t="s">
        <v>15043</v>
      </c>
      <c r="C5055" t="s">
        <v>15044</v>
      </c>
      <c r="D5055" t="str">
        <f>HYPERLINK("https://github.com/PojavLauncherTeam/PojavLauncher/issues/1499","show")</f>
        <v>show</v>
      </c>
      <c r="E5055" t="str">
        <f>HYPERLINK("https://github.com/PojavLauncherTeam/PojavLauncher","show")</f>
        <v>show</v>
      </c>
      <c r="F5055" t="str">
        <f>HYPERLINK("https://github.com/PojavLauncherTeam/PojavLauncher/releases","show")</f>
        <v>show</v>
      </c>
    </row>
    <row r="5056" spans="1:6">
      <c r="A5056" t="s">
        <v>15045</v>
      </c>
      <c r="B5056" t="s">
        <v>15046</v>
      </c>
      <c r="C5056" t="s">
        <v>15047</v>
      </c>
      <c r="D5056" t="str">
        <f>HYPERLINK("https://github.com/nextcloud/android/issues/8534","show")</f>
        <v>show</v>
      </c>
      <c r="E5056" t="str">
        <f>HYPERLINK("https://github.com/nextcloud/android","show")</f>
        <v>show</v>
      </c>
      <c r="F5056" t="str">
        <f>HYPERLINK("https://github.com/nextcloud/android/releases","show")</f>
        <v>show</v>
      </c>
    </row>
    <row r="5057" spans="1:6">
      <c r="A5057" t="s">
        <v>15048</v>
      </c>
      <c r="B5057" t="s">
        <v>15049</v>
      </c>
      <c r="C5057" t="s">
        <v>15050</v>
      </c>
      <c r="D5057" t="str">
        <f>HYPERLINK("https://github.com/MuntashirAkon/AppManager/issues/471","show")</f>
        <v>show</v>
      </c>
      <c r="E5057" t="str">
        <f>HYPERLINK("https://github.com/MuntashirAkon/AppManager","show")</f>
        <v>show</v>
      </c>
      <c r="F5057" t="str">
        <f>HYPERLINK("https://github.com/MuntashirAkon/AppManager/releases","show")</f>
        <v>show</v>
      </c>
    </row>
    <row r="5058" spans="1:6">
      <c r="A5058" t="s">
        <v>15051</v>
      </c>
      <c r="B5058" t="s">
        <v>15052</v>
      </c>
      <c r="C5058" t="s">
        <v>15053</v>
      </c>
      <c r="D5058" t="str">
        <f>HYPERLINK("https://github.com/PojavLauncherTeam/PojavLauncher/issues/1497","show")</f>
        <v>show</v>
      </c>
      <c r="E5058" t="str">
        <f>HYPERLINK("https://github.com/PojavLauncherTeam/PojavLauncher","show")</f>
        <v>show</v>
      </c>
      <c r="F5058" t="str">
        <f>HYPERLINK("https://github.com/PojavLauncherTeam/PojavLauncher/releases","show")</f>
        <v>show</v>
      </c>
    </row>
    <row r="5059" spans="1:6">
      <c r="A5059" t="s">
        <v>15054</v>
      </c>
      <c r="B5059" t="s">
        <v>15055</v>
      </c>
      <c r="C5059" t="s">
        <v>15056</v>
      </c>
      <c r="D5059" t="str">
        <f>HYPERLINK("https://github.com/PojavLauncherTeam/PojavLauncher/issues/1496","show")</f>
        <v>show</v>
      </c>
      <c r="E5059" t="str">
        <f>HYPERLINK("https://github.com/PojavLauncherTeam/PojavLauncher","show")</f>
        <v>show</v>
      </c>
      <c r="F5059" t="str">
        <f>HYPERLINK("https://github.com/PojavLauncherTeam/PojavLauncher/releases","show")</f>
        <v>show</v>
      </c>
    </row>
    <row r="5060" spans="1:6">
      <c r="A5060" t="s">
        <v>15057</v>
      </c>
      <c r="B5060" t="s">
        <v>15058</v>
      </c>
      <c r="C5060" t="s">
        <v>15059</v>
      </c>
      <c r="D5060" t="str">
        <f>HYPERLINK("https://github.com/mrothberg/Kakumei-for-WaniKani/issues/3","show")</f>
        <v>show</v>
      </c>
      <c r="E5060" t="str">
        <f>HYPERLINK("https://github.com/mrothberg/Kakumei-for-WaniKani","show")</f>
        <v>show</v>
      </c>
      <c r="F5060" t="str">
        <f>HYPERLINK("https://github.com/mrothberg/Kakumei-for-WaniKani/releases","show")</f>
        <v>show</v>
      </c>
    </row>
    <row r="5061" spans="1:6">
      <c r="A5061" t="s">
        <v>15060</v>
      </c>
      <c r="B5061" t="s">
        <v>15061</v>
      </c>
      <c r="C5061" t="s">
        <v>15062</v>
      </c>
      <c r="D5061" t="str">
        <f>HYPERLINK("https://github.com/Anuken/Mindustry/issues/5377","show")</f>
        <v>show</v>
      </c>
      <c r="E5061" t="str">
        <f>HYPERLINK("https://github.com/Anuken/Mindustry","show")</f>
        <v>show</v>
      </c>
      <c r="F5061" t="str">
        <f>HYPERLINK("https://github.com/Anuken/Mindustry/releases","show")</f>
        <v>show</v>
      </c>
    </row>
    <row r="5062" spans="1:6">
      <c r="A5062" t="s">
        <v>15063</v>
      </c>
      <c r="B5062" t="s">
        <v>15064</v>
      </c>
      <c r="C5062" t="s">
        <v>15065</v>
      </c>
      <c r="D5062" t="str">
        <f>HYPERLINK("https://github.com/Anuken/Mindustry/issues/5373","show")</f>
        <v>show</v>
      </c>
      <c r="E5062" t="str">
        <f>HYPERLINK("https://github.com/Anuken/Mindustry","show")</f>
        <v>show</v>
      </c>
      <c r="F5062" t="str">
        <f>HYPERLINK("https://github.com/Anuken/Mindustry/releases","show")</f>
        <v>show</v>
      </c>
    </row>
    <row r="5063" spans="1:6">
      <c r="A5063" t="s">
        <v>15066</v>
      </c>
      <c r="B5063" t="s">
        <v>15067</v>
      </c>
      <c r="C5063" t="s">
        <v>15068</v>
      </c>
      <c r="D5063" t="str">
        <f>HYPERLINK("https://github.com/PojavLauncherTeam/PojavLauncher/issues/1493","show")</f>
        <v>show</v>
      </c>
      <c r="E5063" t="str">
        <f>HYPERLINK("https://github.com/PojavLauncherTeam/PojavLauncher","show")</f>
        <v>show</v>
      </c>
      <c r="F5063" t="str">
        <f>HYPERLINK("https://github.com/PojavLauncherTeam/PojavLauncher/releases","show")</f>
        <v>show</v>
      </c>
    </row>
    <row r="5064" spans="1:6">
      <c r="A5064" t="s">
        <v>15069</v>
      </c>
      <c r="B5064" t="s">
        <v>15070</v>
      </c>
      <c r="C5064" t="s">
        <v>15071</v>
      </c>
      <c r="D5064" t="str">
        <f>HYPERLINK("https://github.com/nextcloud/android/issues/8530","show")</f>
        <v>show</v>
      </c>
      <c r="E5064" t="str">
        <f>HYPERLINK("https://github.com/nextcloud/android","show")</f>
        <v>show</v>
      </c>
      <c r="F5064" t="str">
        <f>HYPERLINK("https://github.com/nextcloud/android/releases","show")</f>
        <v>show</v>
      </c>
    </row>
    <row r="5065" spans="1:6">
      <c r="A5065" t="s">
        <v>15072</v>
      </c>
      <c r="B5065" t="s">
        <v>15073</v>
      </c>
      <c r="C5065" t="s">
        <v>15074</v>
      </c>
      <c r="D5065" t="str">
        <f>HYPERLINK("https://github.com/Anuken/Mindustry/issues/5371","show")</f>
        <v>show</v>
      </c>
      <c r="E5065" t="str">
        <f>HYPERLINK("https://github.com/Anuken/Mindustry","show")</f>
        <v>show</v>
      </c>
      <c r="F5065" t="str">
        <f>HYPERLINK("https://github.com/Anuken/Mindustry/releases","show")</f>
        <v>show</v>
      </c>
    </row>
    <row r="5066" spans="1:6">
      <c r="A5066" t="s">
        <v>15075</v>
      </c>
      <c r="B5066" t="s">
        <v>15076</v>
      </c>
      <c r="C5066" t="s">
        <v>15077</v>
      </c>
      <c r="D5066" t="str">
        <f>HYPERLINK("https://github.com/falzonv/discreet-launcher/issues/64","show")</f>
        <v>show</v>
      </c>
      <c r="E5066" t="str">
        <f>HYPERLINK("https://github.com/falzonv/discreet-launcher","show")</f>
        <v>show</v>
      </c>
      <c r="F5066" t="str">
        <f>HYPERLINK("https://github.com/falzonv/discreet-launcher/releases","show")</f>
        <v>show</v>
      </c>
    </row>
    <row r="5067" spans="1:6">
      <c r="A5067" t="s">
        <v>15078</v>
      </c>
      <c r="B5067" t="s">
        <v>15079</v>
      </c>
      <c r="C5067" t="s">
        <v>15080</v>
      </c>
      <c r="D5067" t="str">
        <f>HYPERLINK("https://github.com/GoogleCloudPlatform/fda-mystudies/issues/3697","show")</f>
        <v>show</v>
      </c>
      <c r="E5067" t="str">
        <f>HYPERLINK("https://github.com/GoogleCloudPlatform/fda-mystudies","show")</f>
        <v>show</v>
      </c>
      <c r="F5067" t="str">
        <f>HYPERLINK("https://github.com/GoogleCloudPlatform/fda-mystudies/releases","show")</f>
        <v>show</v>
      </c>
    </row>
    <row r="5068" spans="1:6">
      <c r="A5068" t="s">
        <v>15081</v>
      </c>
      <c r="B5068" t="s">
        <v>15082</v>
      </c>
      <c r="C5068" t="s">
        <v>15083</v>
      </c>
      <c r="D5068" t="str">
        <f>HYPERLINK("https://github.com/Anuken/Mindustry/issues/5366","show")</f>
        <v>show</v>
      </c>
      <c r="E5068" t="str">
        <f>HYPERLINK("https://github.com/Anuken/Mindustry","show")</f>
        <v>show</v>
      </c>
      <c r="F5068" t="str">
        <f>HYPERLINK("https://github.com/Anuken/Mindustry/releases","show")</f>
        <v>show</v>
      </c>
    </row>
    <row r="5069" spans="1:6">
      <c r="A5069" t="s">
        <v>15084</v>
      </c>
      <c r="B5069" t="s">
        <v>15085</v>
      </c>
      <c r="C5069" t="s">
        <v>15086</v>
      </c>
      <c r="D5069" t="str">
        <f>HYPERLINK("https://github.com/nextcloud/android/issues/8526","show")</f>
        <v>show</v>
      </c>
      <c r="E5069" t="str">
        <f>HYPERLINK("https://github.com/nextcloud/android","show")</f>
        <v>show</v>
      </c>
      <c r="F5069" t="str">
        <f>HYPERLINK("https://github.com/nextcloud/android/releases","show")</f>
        <v>show</v>
      </c>
    </row>
    <row r="5070" spans="1:6">
      <c r="A5070" t="s">
        <v>15087</v>
      </c>
      <c r="B5070" t="s">
        <v>15088</v>
      </c>
      <c r="C5070" t="s">
        <v>15089</v>
      </c>
      <c r="D5070" t="str">
        <f>HYPERLINK("https://github.com/capacitor-community/firebase-analytics/issues/97","show")</f>
        <v>show</v>
      </c>
      <c r="E5070" t="str">
        <f>HYPERLINK("https://github.com/capacitor-community/firebase-analytics","show")</f>
        <v>show</v>
      </c>
      <c r="F5070" t="str">
        <f>HYPERLINK("https://github.com/capacitor-community/firebase-analytics/releases","show")</f>
        <v>show</v>
      </c>
    </row>
    <row r="5071" spans="1:6">
      <c r="A5071" t="s">
        <v>15090</v>
      </c>
      <c r="B5071" t="s">
        <v>5470</v>
      </c>
      <c r="C5071" t="s">
        <v>15091</v>
      </c>
      <c r="D5071" t="str">
        <f>HYPERLINK("https://github.com/nextcloud/android/issues/8525","show")</f>
        <v>show</v>
      </c>
      <c r="E5071" t="str">
        <f>HYPERLINK("https://github.com/nextcloud/android","show")</f>
        <v>show</v>
      </c>
      <c r="F5071" t="str">
        <f>HYPERLINK("https://github.com/nextcloud/android/releases","show")</f>
        <v>show</v>
      </c>
    </row>
    <row r="5072" spans="1:6">
      <c r="A5072" t="s">
        <v>15092</v>
      </c>
      <c r="B5072" t="s">
        <v>15093</v>
      </c>
      <c r="C5072" t="s">
        <v>15094</v>
      </c>
      <c r="D5072" t="str">
        <f>HYPERLINK("https://github.com/TeamNewPipe/NewPipe/issues/6426","show")</f>
        <v>show</v>
      </c>
      <c r="E5072" t="str">
        <f>HYPERLINK("https://github.com/TeamNewPipe/NewPipe","show")</f>
        <v>show</v>
      </c>
      <c r="F5072" t="str">
        <f>HYPERLINK("https://github.com/TeamNewPipe/NewPipe/releases","show")</f>
        <v>show</v>
      </c>
    </row>
    <row r="5073" spans="1:6">
      <c r="A5073" t="s">
        <v>15095</v>
      </c>
      <c r="B5073" t="s">
        <v>15096</v>
      </c>
      <c r="C5073" t="s">
        <v>15097</v>
      </c>
      <c r="D5073" t="str">
        <f>HYPERLINK("https://github.com/mtotschnig/MyExpenses/issues/841","show")</f>
        <v>show</v>
      </c>
      <c r="E5073" t="str">
        <f>HYPERLINK("https://github.com/mtotschnig/MyExpenses","show")</f>
        <v>show</v>
      </c>
      <c r="F5073" t="str">
        <f>HYPERLINK("https://github.com/mtotschnig/MyExpenses/releases","show")</f>
        <v>show</v>
      </c>
    </row>
    <row r="5074" spans="1:6">
      <c r="A5074" t="s">
        <v>15098</v>
      </c>
      <c r="B5074" t="s">
        <v>15099</v>
      </c>
      <c r="C5074" t="s">
        <v>15100</v>
      </c>
      <c r="D5074" t="str">
        <f>HYPERLINK("https://github.com/jellyfin/jellyfin-androidtv/issues/934","show")</f>
        <v>show</v>
      </c>
      <c r="E5074" t="str">
        <f>HYPERLINK("https://github.com/jellyfin/jellyfin-androidtv","show")</f>
        <v>show</v>
      </c>
      <c r="F5074" t="str">
        <f>HYPERLINK("https://github.com/jellyfin/jellyfin-androidtv/releases","show")</f>
        <v>show</v>
      </c>
    </row>
    <row r="5075" spans="1:6">
      <c r="A5075" t="s">
        <v>15101</v>
      </c>
      <c r="B5075" t="s">
        <v>15102</v>
      </c>
      <c r="C5075" t="s">
        <v>15103</v>
      </c>
      <c r="D5075" t="str">
        <f>HYPERLINK("https://github.com/Anuken/Mindustry/issues/5358","show")</f>
        <v>show</v>
      </c>
      <c r="E5075" t="str">
        <f>HYPERLINK("https://github.com/Anuken/Mindustry","show")</f>
        <v>show</v>
      </c>
      <c r="F5075" t="str">
        <f>HYPERLINK("https://github.com/Anuken/Mindustry/releases","show")</f>
        <v>show</v>
      </c>
    </row>
    <row r="5076" spans="1:6">
      <c r="A5076" t="s">
        <v>15104</v>
      </c>
      <c r="B5076" t="s">
        <v>15105</v>
      </c>
      <c r="C5076" t="s">
        <v>15106</v>
      </c>
      <c r="D5076" t="str">
        <f>HYPERLINK("https://github.com/Anuken/Mindustry/issues/5356","show")</f>
        <v>show</v>
      </c>
      <c r="E5076" t="str">
        <f>HYPERLINK("https://github.com/Anuken/Mindustry","show")</f>
        <v>show</v>
      </c>
      <c r="F5076" t="str">
        <f>HYPERLINK("https://github.com/Anuken/Mindustry/releases","show")</f>
        <v>show</v>
      </c>
    </row>
    <row r="5077" spans="1:6">
      <c r="A5077" t="s">
        <v>15107</v>
      </c>
      <c r="B5077" t="s">
        <v>15108</v>
      </c>
      <c r="C5077" t="s">
        <v>15109</v>
      </c>
      <c r="D5077" t="str">
        <f>HYPERLINK("https://github.com/TeamNewPipe/NewPipe/issues/6425","show")</f>
        <v>show</v>
      </c>
      <c r="E5077" t="str">
        <f>HYPERLINK("https://github.com/TeamNewPipe/NewPipe","show")</f>
        <v>show</v>
      </c>
      <c r="F5077" t="str">
        <f>HYPERLINK("https://github.com/TeamNewPipe/NewPipe/releases","show")</f>
        <v>show</v>
      </c>
    </row>
    <row r="5078" spans="1:6">
      <c r="A5078" t="s">
        <v>15110</v>
      </c>
      <c r="B5078" t="s">
        <v>15111</v>
      </c>
      <c r="C5078" t="s">
        <v>15112</v>
      </c>
      <c r="D5078" t="str">
        <f>HYPERLINK("https://github.com/TeamNewPipe/NewPipe/issues/6424","show")</f>
        <v>show</v>
      </c>
      <c r="E5078" t="str">
        <f>HYPERLINK("https://github.com/TeamNewPipe/NewPipe","show")</f>
        <v>show</v>
      </c>
      <c r="F5078" t="str">
        <f>HYPERLINK("https://github.com/TeamNewPipe/NewPipe/releases","show")</f>
        <v>show</v>
      </c>
    </row>
    <row r="5079" spans="1:6">
      <c r="A5079" t="s">
        <v>15113</v>
      </c>
      <c r="B5079" t="s">
        <v>15114</v>
      </c>
      <c r="C5079" t="s">
        <v>15115</v>
      </c>
      <c r="D5079" t="str">
        <f>HYPERLINK("https://github.com/bttv-android/bttv/issues/85","show")</f>
        <v>show</v>
      </c>
      <c r="E5079" t="str">
        <f>HYPERLINK("https://github.com/bttv-android/bttv","show")</f>
        <v>show</v>
      </c>
      <c r="F5079" t="str">
        <f>HYPERLINK("https://github.com/bttv-android/bttv/releases","show")</f>
        <v>show</v>
      </c>
    </row>
    <row r="5080" spans="1:6">
      <c r="A5080" t="s">
        <v>15116</v>
      </c>
      <c r="B5080" t="s">
        <v>15117</v>
      </c>
      <c r="C5080" t="s">
        <v>15118</v>
      </c>
      <c r="D5080" t="str">
        <f>HYPERLINK("https://github.com/MuntashirAkon/AppManager/issues/470","show")</f>
        <v>show</v>
      </c>
      <c r="E5080" t="str">
        <f>HYPERLINK("https://github.com/MuntashirAkon/AppManager","show")</f>
        <v>show</v>
      </c>
      <c r="F5080" t="str">
        <f>HYPERLINK("https://github.com/MuntashirAkon/AppManager/releases","show")</f>
        <v>show</v>
      </c>
    </row>
    <row r="5081" spans="1:6">
      <c r="A5081" t="s">
        <v>15119</v>
      </c>
      <c r="B5081" t="s">
        <v>15120</v>
      </c>
      <c r="C5081" t="s">
        <v>15121</v>
      </c>
      <c r="D5081" t="str">
        <f>HYPERLINK("https://github.com/TeamNewPipe/NewPipe/issues/6422","show")</f>
        <v>show</v>
      </c>
      <c r="E5081" t="str">
        <f>HYPERLINK("https://github.com/TeamNewPipe/NewPipe","show")</f>
        <v>show</v>
      </c>
      <c r="F5081" t="str">
        <f>HYPERLINK("https://github.com/TeamNewPipe/NewPipe/releases","show")</f>
        <v>show</v>
      </c>
    </row>
    <row r="5082" spans="1:6">
      <c r="A5082" t="s">
        <v>15122</v>
      </c>
      <c r="B5082" t="s">
        <v>15123</v>
      </c>
      <c r="C5082" t="s">
        <v>15124</v>
      </c>
      <c r="D5082" t="str">
        <f>HYPERLINK("https://github.com/Benji377/SocyMusic/issues/26","show")</f>
        <v>show</v>
      </c>
      <c r="E5082" t="str">
        <f>HYPERLINK("https://github.com/Benji377/SocyMusic","show")</f>
        <v>show</v>
      </c>
      <c r="F5082" t="str">
        <f>HYPERLINK("https://github.com/Benji377/SocyMusic/releases","show")</f>
        <v>show</v>
      </c>
    </row>
    <row r="5083" spans="1:6">
      <c r="A5083" t="s">
        <v>15125</v>
      </c>
      <c r="B5083" t="s">
        <v>15126</v>
      </c>
      <c r="C5083" t="s">
        <v>15127</v>
      </c>
      <c r="D5083" t="str">
        <f>HYPERLINK("https://github.com/Anuken/Mindustry/issues/5348","show")</f>
        <v>show</v>
      </c>
      <c r="E5083" t="str">
        <f>HYPERLINK("https://github.com/Anuken/Mindustry","show")</f>
        <v>show</v>
      </c>
      <c r="F5083" t="str">
        <f>HYPERLINK("https://github.com/Anuken/Mindustry/releases","show")</f>
        <v>show</v>
      </c>
    </row>
    <row r="5084" spans="1:6">
      <c r="A5084" t="s">
        <v>15128</v>
      </c>
      <c r="B5084" t="s">
        <v>15129</v>
      </c>
      <c r="C5084" t="s">
        <v>15130</v>
      </c>
      <c r="D5084" t="str">
        <f>HYPERLINK("https://github.com/Anuken/Mindustry/issues/5344","show")</f>
        <v>show</v>
      </c>
      <c r="E5084" t="str">
        <f>HYPERLINK("https://github.com/Anuken/Mindustry","show")</f>
        <v>show</v>
      </c>
      <c r="F5084" t="str">
        <f>HYPERLINK("https://github.com/Anuken/Mindustry/releases","show")</f>
        <v>show</v>
      </c>
    </row>
    <row r="5085" spans="1:6">
      <c r="A5085" t="s">
        <v>15131</v>
      </c>
      <c r="B5085" t="s">
        <v>15132</v>
      </c>
      <c r="C5085" t="s">
        <v>15133</v>
      </c>
      <c r="D5085" t="str">
        <f>HYPERLINK("https://github.com/Anuken/Mindustry/issues/5343","show")</f>
        <v>show</v>
      </c>
      <c r="E5085" t="str">
        <f>HYPERLINK("https://github.com/Anuken/Mindustry","show")</f>
        <v>show</v>
      </c>
      <c r="F5085" t="str">
        <f>HYPERLINK("https://github.com/Anuken/Mindustry/releases","show")</f>
        <v>show</v>
      </c>
    </row>
    <row r="5086" spans="1:6">
      <c r="A5086" t="s">
        <v>15134</v>
      </c>
      <c r="B5086" t="s">
        <v>15135</v>
      </c>
      <c r="C5086" t="s">
        <v>15136</v>
      </c>
      <c r="D5086" t="str">
        <f>HYPERLINK("https://github.com/StoyanTinchev/musicial-tesla-coil/issues/33","show")</f>
        <v>show</v>
      </c>
      <c r="E5086" t="str">
        <f>HYPERLINK("https://github.com/StoyanTinchev/musicial-tesla-coil","show")</f>
        <v>show</v>
      </c>
      <c r="F5086" t="str">
        <f>HYPERLINK("https://github.com/StoyanTinchev/musicial-tesla-coil/releases","show")</f>
        <v>show</v>
      </c>
    </row>
    <row r="5087" spans="1:6">
      <c r="A5087" t="s">
        <v>15137</v>
      </c>
      <c r="B5087" t="s">
        <v>15138</v>
      </c>
      <c r="C5087" t="s">
        <v>15139</v>
      </c>
      <c r="D5087" t="str">
        <f>HYPERLINK("https://github.com/MindscapeHQ/raygun4android/issues/80","show")</f>
        <v>show</v>
      </c>
      <c r="E5087" t="str">
        <f>HYPERLINK("https://github.com/MindscapeHQ/raygun4android","show")</f>
        <v>show</v>
      </c>
      <c r="F5087" t="str">
        <f>HYPERLINK("https://github.com/MindscapeHQ/raygun4android/releases","show")</f>
        <v>show</v>
      </c>
    </row>
    <row r="5088" spans="1:6">
      <c r="A5088" t="s">
        <v>15140</v>
      </c>
      <c r="B5088" t="s">
        <v>15141</v>
      </c>
      <c r="C5088" t="s">
        <v>15142</v>
      </c>
      <c r="D5088" t="str">
        <f>HYPERLINK("https://github.com/Anuken/Mindustry/issues/5337","show")</f>
        <v>show</v>
      </c>
      <c r="E5088" t="str">
        <f>HYPERLINK("https://github.com/Anuken/Mindustry","show")</f>
        <v>show</v>
      </c>
      <c r="F5088" t="str">
        <f>HYPERLINK("https://github.com/Anuken/Mindustry/releases","show")</f>
        <v>show</v>
      </c>
    </row>
    <row r="5089" spans="1:6">
      <c r="A5089" t="s">
        <v>15143</v>
      </c>
      <c r="B5089" t="s">
        <v>15144</v>
      </c>
      <c r="C5089" t="s">
        <v>15145</v>
      </c>
      <c r="D5089" t="str">
        <f>HYPERLINK("https://github.com/mtotschnig/MyExpenses/issues/836","show")</f>
        <v>show</v>
      </c>
      <c r="E5089" t="str">
        <f>HYPERLINK("https://github.com/mtotschnig/MyExpenses","show")</f>
        <v>show</v>
      </c>
      <c r="F5089" t="str">
        <f>HYPERLINK("https://github.com/mtotschnig/MyExpenses/releases","show")</f>
        <v>show</v>
      </c>
    </row>
    <row r="5090" spans="1:6">
      <c r="A5090" t="s">
        <v>15146</v>
      </c>
      <c r="B5090" t="s">
        <v>15147</v>
      </c>
      <c r="C5090" t="s">
        <v>15148</v>
      </c>
      <c r="D5090" t="str">
        <f>HYPERLINK("https://github.com/TeamNewPipe/NewPipe/issues/6419","show")</f>
        <v>show</v>
      </c>
      <c r="E5090" t="str">
        <f>HYPERLINK("https://github.com/TeamNewPipe/NewPipe","show")</f>
        <v>show</v>
      </c>
      <c r="F5090" t="str">
        <f>HYPERLINK("https://github.com/TeamNewPipe/NewPipe/releases","show")</f>
        <v>show</v>
      </c>
    </row>
    <row r="5091" spans="1:6">
      <c r="A5091" t="s">
        <v>15149</v>
      </c>
      <c r="B5091" t="s">
        <v>15150</v>
      </c>
      <c r="C5091" t="s">
        <v>15151</v>
      </c>
      <c r="D5091" t="str">
        <f>HYPERLINK("https://github.com/TeamNewPipe/NewPipe/issues/6418","show")</f>
        <v>show</v>
      </c>
      <c r="E5091" t="str">
        <f>HYPERLINK("https://github.com/TeamNewPipe/NewPipe","show")</f>
        <v>show</v>
      </c>
      <c r="F5091" t="str">
        <f>HYPERLINK("https://github.com/TeamNewPipe/NewPipe/releases","show")</f>
        <v>show</v>
      </c>
    </row>
    <row r="5092" spans="1:6">
      <c r="A5092" t="s">
        <v>15152</v>
      </c>
      <c r="B5092" t="s">
        <v>15153</v>
      </c>
      <c r="C5092" t="s">
        <v>15154</v>
      </c>
      <c r="D5092" t="str">
        <f>HYPERLINK("https://github.com/TeamNewPipe/NewPipe/issues/6417","show")</f>
        <v>show</v>
      </c>
      <c r="E5092" t="str">
        <f>HYPERLINK("https://github.com/TeamNewPipe/NewPipe","show")</f>
        <v>show</v>
      </c>
      <c r="F5092" t="str">
        <f>HYPERLINK("https://github.com/TeamNewPipe/NewPipe/releases","show")</f>
        <v>show</v>
      </c>
    </row>
    <row r="5093" spans="1:6">
      <c r="A5093" t="s">
        <v>15155</v>
      </c>
      <c r="B5093" t="s">
        <v>15156</v>
      </c>
      <c r="C5093" t="s">
        <v>15157</v>
      </c>
      <c r="D5093" t="str">
        <f>HYPERLINK("https://github.com/TeamNewPipe/NewPipe/issues/6416","show")</f>
        <v>show</v>
      </c>
      <c r="E5093" t="str">
        <f>HYPERLINK("https://github.com/TeamNewPipe/NewPipe","show")</f>
        <v>show</v>
      </c>
      <c r="F5093" t="str">
        <f>HYPERLINK("https://github.com/TeamNewPipe/NewPipe/releases","show")</f>
        <v>show</v>
      </c>
    </row>
    <row r="5094" spans="1:6">
      <c r="A5094" t="s">
        <v>15158</v>
      </c>
      <c r="B5094" t="s">
        <v>15159</v>
      </c>
      <c r="C5094" t="s">
        <v>15160</v>
      </c>
      <c r="D5094" t="str">
        <f>HYPERLINK("https://github.com/Anuken/Mindustry/issues/5331","show")</f>
        <v>show</v>
      </c>
      <c r="E5094" t="str">
        <f>HYPERLINK("https://github.com/Anuken/Mindustry","show")</f>
        <v>show</v>
      </c>
      <c r="F5094" t="str">
        <f>HYPERLINK("https://github.com/Anuken/Mindustry/releases","show")</f>
        <v>show</v>
      </c>
    </row>
    <row r="5095" spans="1:6">
      <c r="A5095" t="s">
        <v>15161</v>
      </c>
      <c r="B5095" t="s">
        <v>15162</v>
      </c>
      <c r="C5095" t="s">
        <v>15163</v>
      </c>
      <c r="D5095" t="str">
        <f>HYPERLINK("https://github.com/MuntashirAkon/AppManager/issues/466","show")</f>
        <v>show</v>
      </c>
      <c r="E5095" t="str">
        <f>HYPERLINK("https://github.com/MuntashirAkon/AppManager","show")</f>
        <v>show</v>
      </c>
      <c r="F5095" t="str">
        <f>HYPERLINK("https://github.com/MuntashirAkon/AppManager/releases","show")</f>
        <v>show</v>
      </c>
    </row>
    <row r="5096" spans="1:6">
      <c r="A5096" t="s">
        <v>15164</v>
      </c>
      <c r="B5096" t="s">
        <v>15165</v>
      </c>
      <c r="C5096" t="s">
        <v>15166</v>
      </c>
      <c r="D5096" t="str">
        <f>HYPERLINK("https://github.com/Anuken/Mindustry/issues/5330","show")</f>
        <v>show</v>
      </c>
      <c r="E5096" t="str">
        <f>HYPERLINK("https://github.com/Anuken/Mindustry","show")</f>
        <v>show</v>
      </c>
      <c r="F5096" t="str">
        <f>HYPERLINK("https://github.com/Anuken/Mindustry/releases","show")</f>
        <v>show</v>
      </c>
    </row>
    <row r="5097" spans="1:6">
      <c r="A5097" t="s">
        <v>15167</v>
      </c>
      <c r="B5097" t="s">
        <v>15168</v>
      </c>
      <c r="C5097" t="s">
        <v>15169</v>
      </c>
      <c r="D5097" t="str">
        <f>HYPERLINK("https://github.com/cgeo/cgeo/issues/10820","show")</f>
        <v>show</v>
      </c>
      <c r="E5097" s="4" t="str">
        <f>HYPERLINK("https://github.com/cgeo/cgeo","show")</f>
        <v>show</v>
      </c>
      <c r="F5097" t="str">
        <f>HYPERLINK("https://github.com/cgeo/cgeo/releases","show")</f>
        <v>show</v>
      </c>
    </row>
    <row r="5098" spans="1:6">
      <c r="A5098" t="s">
        <v>15170</v>
      </c>
      <c r="B5098" t="s">
        <v>15171</v>
      </c>
      <c r="C5098" t="s">
        <v>15172</v>
      </c>
      <c r="D5098" t="str">
        <f>HYPERLINK("https://github.com/Anuken/Mindustry/issues/5326","show")</f>
        <v>show</v>
      </c>
      <c r="E5098" t="str">
        <f>HYPERLINK("https://github.com/Anuken/Mindustry","show")</f>
        <v>show</v>
      </c>
      <c r="F5098" t="str">
        <f>HYPERLINK("https://github.com/Anuken/Mindustry/releases","show")</f>
        <v>show</v>
      </c>
    </row>
    <row r="5099" spans="1:6">
      <c r="A5099" t="s">
        <v>15173</v>
      </c>
      <c r="B5099" t="s">
        <v>15174</v>
      </c>
      <c r="C5099" t="s">
        <v>15175</v>
      </c>
      <c r="D5099" t="str">
        <f>HYPERLINK("https://github.com/nextcloud/android/issues/8510","show")</f>
        <v>show</v>
      </c>
      <c r="E5099" t="str">
        <f>HYPERLINK("https://github.com/nextcloud/android","show")</f>
        <v>show</v>
      </c>
      <c r="F5099" t="str">
        <f>HYPERLINK("https://github.com/nextcloud/android/releases","show")</f>
        <v>show</v>
      </c>
    </row>
    <row r="5100" spans="1:6">
      <c r="A5100" t="s">
        <v>15176</v>
      </c>
      <c r="B5100" t="s">
        <v>15177</v>
      </c>
      <c r="C5100" t="s">
        <v>15178</v>
      </c>
      <c r="D5100" t="str">
        <f>HYPERLINK("https://github.com/k9mail/k-9/issues/5324","show")</f>
        <v>show</v>
      </c>
      <c r="E5100" t="str">
        <f>HYPERLINK("https://github.com/k9mail/k-9","show")</f>
        <v>show</v>
      </c>
      <c r="F5100" t="str">
        <f>HYPERLINK("https://github.com/k9mail/k-9/releases","show")</f>
        <v>show</v>
      </c>
    </row>
    <row r="5101" spans="1:6">
      <c r="A5101" t="s">
        <v>15179</v>
      </c>
      <c r="B5101" t="s">
        <v>15180</v>
      </c>
      <c r="C5101" t="s">
        <v>15181</v>
      </c>
      <c r="D5101" t="str">
        <f>HYPERLINK("https://github.com/Bible-Translation-Tools/BTT-Writer-Android/issues/22","show")</f>
        <v>show</v>
      </c>
      <c r="E5101" t="str">
        <f>HYPERLINK("https://github.com/Bible-Translation-Tools/BTT-Writer-Android","show")</f>
        <v>show</v>
      </c>
      <c r="F5101" t="str">
        <f>HYPERLINK("https://github.com/Bible-Translation-Tools/BTT-Writer-Android/releases","show")</f>
        <v>show</v>
      </c>
    </row>
    <row r="5102" spans="1:6">
      <c r="A5102" t="s">
        <v>15182</v>
      </c>
      <c r="B5102" t="s">
        <v>15183</v>
      </c>
      <c r="C5102" t="s">
        <v>15184</v>
      </c>
      <c r="D5102" t="str">
        <f>HYPERLINK("https://github.com/mI-PIV/app/issues/112","show")</f>
        <v>show</v>
      </c>
      <c r="E5102" t="str">
        <f>HYPERLINK("https://github.com/mI-PIV/app","show")</f>
        <v>show</v>
      </c>
      <c r="F5102" t="str">
        <f>HYPERLINK("https://github.com/mI-PIV/app/releases","show")</f>
        <v>show</v>
      </c>
    </row>
    <row r="5103" spans="1:6">
      <c r="A5103" t="s">
        <v>15185</v>
      </c>
      <c r="B5103" t="s">
        <v>15186</v>
      </c>
      <c r="C5103" t="s">
        <v>15187</v>
      </c>
      <c r="D5103" t="str">
        <f>HYPERLINK("https://github.com/nextcloud/talk-android/issues/1306","show")</f>
        <v>show</v>
      </c>
      <c r="E5103" t="str">
        <f>HYPERLINK("https://github.com/nextcloud/talk-android","show")</f>
        <v>show</v>
      </c>
      <c r="F5103" t="str">
        <f>HYPERLINK("https://github.com/nextcloud/talk-android/releases","show")</f>
        <v>show</v>
      </c>
    </row>
    <row r="5104" spans="1:6">
      <c r="A5104" t="s">
        <v>15188</v>
      </c>
      <c r="B5104" t="s">
        <v>15189</v>
      </c>
      <c r="C5104" t="s">
        <v>15190</v>
      </c>
      <c r="D5104" t="str">
        <f>HYPERLINK("https://github.com/google/ExoPlayer/issues/9002","show")</f>
        <v>show</v>
      </c>
      <c r="E5104" t="str">
        <f>HYPERLINK("https://github.com/google/ExoPlayer","show")</f>
        <v>show</v>
      </c>
      <c r="F5104" t="str">
        <f>HYPERLINK("https://github.com/google/ExoPlayer/releases","show")</f>
        <v>show</v>
      </c>
    </row>
    <row r="5105" spans="1:6">
      <c r="A5105" t="s">
        <v>15191</v>
      </c>
      <c r="B5105" t="s">
        <v>15192</v>
      </c>
      <c r="C5105" t="s">
        <v>15193</v>
      </c>
      <c r="D5105" t="str">
        <f>HYPERLINK("https://github.com/Azure/azure-iot-sdk-java/issues/1225","show")</f>
        <v>show</v>
      </c>
      <c r="E5105" t="str">
        <f>HYPERLINK("https://github.com/Azure/azure-iot-sdk-java","show")</f>
        <v>show</v>
      </c>
      <c r="F5105" t="str">
        <f>HYPERLINK("https://github.com/Azure/azure-iot-sdk-java/releases","show")</f>
        <v>show</v>
      </c>
    </row>
    <row r="5106" spans="1:6">
      <c r="A5106" t="s">
        <v>15194</v>
      </c>
      <c r="B5106" t="s">
        <v>15195</v>
      </c>
      <c r="C5106" t="s">
        <v>15196</v>
      </c>
      <c r="D5106" t="str">
        <f>HYPERLINK("https://github.com/TeamNewPipe/NewPipe/issues/6409","show")</f>
        <v>show</v>
      </c>
      <c r="E5106" t="str">
        <f>HYPERLINK("https://github.com/TeamNewPipe/NewPipe","show")</f>
        <v>show</v>
      </c>
      <c r="F5106" t="str">
        <f>HYPERLINK("https://github.com/TeamNewPipe/NewPipe/releases","show")</f>
        <v>show</v>
      </c>
    </row>
    <row r="5107" spans="1:6">
      <c r="A5107" t="s">
        <v>15197</v>
      </c>
      <c r="B5107" t="s">
        <v>15198</v>
      </c>
      <c r="C5107" t="s">
        <v>15199</v>
      </c>
      <c r="D5107" t="str">
        <f>HYPERLINK("https://github.com/TeamNewPipe/NewPipe/issues/6407","show")</f>
        <v>show</v>
      </c>
      <c r="E5107" t="str">
        <f>HYPERLINK("https://github.com/TeamNewPipe/NewPipe","show")</f>
        <v>show</v>
      </c>
      <c r="F5107" t="str">
        <f>HYPERLINK("https://github.com/TeamNewPipe/NewPipe/releases","show")</f>
        <v>show</v>
      </c>
    </row>
    <row r="5108" spans="1:6">
      <c r="A5108" t="s">
        <v>15200</v>
      </c>
      <c r="B5108" t="s">
        <v>15201</v>
      </c>
      <c r="C5108" t="s">
        <v>15202</v>
      </c>
      <c r="D5108" t="str">
        <f>HYPERLINK("https://github.com/k9mail/k-9/issues/5322","show")</f>
        <v>show</v>
      </c>
      <c r="E5108" t="str">
        <f>HYPERLINK("https://github.com/k9mail/k-9","show")</f>
        <v>show</v>
      </c>
      <c r="F5108" t="str">
        <f>HYPERLINK("https://github.com/k9mail/k-9/releases","show")</f>
        <v>show</v>
      </c>
    </row>
    <row r="5109" spans="1:6">
      <c r="A5109" t="s">
        <v>15203</v>
      </c>
      <c r="B5109" t="s">
        <v>15204</v>
      </c>
      <c r="C5109" t="s">
        <v>15205</v>
      </c>
      <c r="D5109" t="str">
        <f>HYPERLINK("https://github.com/TeamNewPipe/NewPipe/issues/6403","show")</f>
        <v>show</v>
      </c>
      <c r="E5109" t="str">
        <f>HYPERLINK("https://github.com/TeamNewPipe/NewPipe","show")</f>
        <v>show</v>
      </c>
      <c r="F5109" t="str">
        <f>HYPERLINK("https://github.com/TeamNewPipe/NewPipe/releases","show")</f>
        <v>show</v>
      </c>
    </row>
    <row r="5110" spans="1:6">
      <c r="A5110" t="s">
        <v>15206</v>
      </c>
      <c r="B5110" t="s">
        <v>15207</v>
      </c>
      <c r="C5110" t="s">
        <v>15208</v>
      </c>
      <c r="D5110" t="str">
        <f>HYPERLINK("https://github.com/voxeet/voxeet-uxkit-reactnative/issues/35","show")</f>
        <v>show</v>
      </c>
      <c r="E5110" t="str">
        <f>HYPERLINK("https://github.com/voxeet/voxeet-uxkit-reactnative","show")</f>
        <v>show</v>
      </c>
      <c r="F5110" t="str">
        <f>HYPERLINK("https://github.com/voxeet/voxeet-uxkit-reactnative/releases","show")</f>
        <v>show</v>
      </c>
    </row>
    <row r="5111" spans="1:6">
      <c r="A5111" t="s">
        <v>15209</v>
      </c>
      <c r="B5111" t="s">
        <v>15210</v>
      </c>
      <c r="C5111" t="s">
        <v>15211</v>
      </c>
      <c r="D5111" t="str">
        <f>HYPERLINK("https://github.com/TeamNewPipe/NewPipe/issues/6401","show")</f>
        <v>show</v>
      </c>
      <c r="E5111" t="str">
        <f>HYPERLINK("https://github.com/TeamNewPipe/NewPipe","show")</f>
        <v>show</v>
      </c>
      <c r="F5111" t="str">
        <f>HYPERLINK("https://github.com/TeamNewPipe/NewPipe/releases","show")</f>
        <v>show</v>
      </c>
    </row>
    <row r="5112" spans="1:6">
      <c r="A5112" t="s">
        <v>15212</v>
      </c>
      <c r="B5112" t="s">
        <v>15213</v>
      </c>
      <c r="C5112" t="s">
        <v>15214</v>
      </c>
      <c r="D5112" t="str">
        <f>HYPERLINK("https://github.com/nextcloud/android/issues/8500","show")</f>
        <v>show</v>
      </c>
      <c r="E5112" t="str">
        <f>HYPERLINK("https://github.com/nextcloud/android","show")</f>
        <v>show</v>
      </c>
      <c r="F5112" t="str">
        <f>HYPERLINK("https://github.com/nextcloud/android/releases","show")</f>
        <v>show</v>
      </c>
    </row>
    <row r="5113" spans="1:6">
      <c r="A5113" t="s">
        <v>15215</v>
      </c>
      <c r="B5113" t="s">
        <v>15216</v>
      </c>
      <c r="C5113" t="s">
        <v>15217</v>
      </c>
      <c r="D5113" t="str">
        <f>HYPERLINK("https://github.com/scoute-dich/browser/issues/515","show")</f>
        <v>show</v>
      </c>
      <c r="E5113" t="str">
        <f>HYPERLINK("https://github.com/scoute-dich/browser","show")</f>
        <v>show</v>
      </c>
      <c r="F5113" t="str">
        <f>HYPERLINK("https://github.com/scoute-dich/browser/releases","show")</f>
        <v>show</v>
      </c>
    </row>
    <row r="5114" spans="1:6">
      <c r="A5114" t="s">
        <v>15218</v>
      </c>
      <c r="B5114" t="s">
        <v>15219</v>
      </c>
      <c r="C5114" t="s">
        <v>15220</v>
      </c>
      <c r="D5114" t="str">
        <f>HYPERLINK("https://github.com/Benji377/SocyMusic/issues/17","show")</f>
        <v>show</v>
      </c>
      <c r="E5114" t="str">
        <f>HYPERLINK("https://github.com/Benji377/SocyMusic","show")</f>
        <v>show</v>
      </c>
      <c r="F5114" t="str">
        <f>HYPERLINK("https://github.com/Benji377/SocyMusic/releases","show")</f>
        <v>show</v>
      </c>
    </row>
    <row r="5115" spans="1:6">
      <c r="A5115" t="s">
        <v>15221</v>
      </c>
      <c r="B5115" t="s">
        <v>15222</v>
      </c>
      <c r="C5115" t="s">
        <v>15223</v>
      </c>
      <c r="D5115" t="str">
        <f>HYPERLINK("https://github.com/TeamNewPipe/NewPipe/issues/6397","show")</f>
        <v>show</v>
      </c>
      <c r="E5115" t="str">
        <f>HYPERLINK("https://github.com/TeamNewPipe/NewPipe","show")</f>
        <v>show</v>
      </c>
      <c r="F5115" t="str">
        <f>HYPERLINK("https://github.com/TeamNewPipe/NewPipe/releases","show")</f>
        <v>show</v>
      </c>
    </row>
    <row r="5116" spans="1:6">
      <c r="A5116" t="s">
        <v>15224</v>
      </c>
      <c r="B5116" t="s">
        <v>15225</v>
      </c>
      <c r="C5116" t="s">
        <v>15226</v>
      </c>
      <c r="D5116" t="str">
        <f>HYPERLINK("https://github.com/DIT112-V21/group-10/issues/110","show")</f>
        <v>show</v>
      </c>
      <c r="E5116" t="str">
        <f>HYPERLINK("https://github.com/DIT112-V21/group-10","show")</f>
        <v>show</v>
      </c>
      <c r="F5116" t="str">
        <f>HYPERLINK("https://github.com/DIT112-V21/group-10/releases","show")</f>
        <v>show</v>
      </c>
    </row>
    <row r="5117" spans="1:6">
      <c r="A5117" t="s">
        <v>15227</v>
      </c>
      <c r="B5117" t="s">
        <v>15228</v>
      </c>
      <c r="C5117" t="s">
        <v>15229</v>
      </c>
      <c r="D5117" t="str">
        <f>HYPERLINK("https://github.com/TeamNewPipe/NewPipe/issues/6392","show")</f>
        <v>show</v>
      </c>
      <c r="E5117" t="str">
        <f>HYPERLINK("https://github.com/TeamNewPipe/NewPipe","show")</f>
        <v>show</v>
      </c>
      <c r="F5117" t="str">
        <f>HYPERLINK("https://github.com/TeamNewPipe/NewPipe/releases","show")</f>
        <v>show</v>
      </c>
    </row>
    <row r="5118" spans="1:6">
      <c r="A5118" t="s">
        <v>15230</v>
      </c>
      <c r="B5118" t="s">
        <v>15231</v>
      </c>
      <c r="C5118" t="s">
        <v>15232</v>
      </c>
      <c r="D5118" t="str">
        <f>HYPERLINK("https://github.com/google/ExoPlayer/issues/8991","show")</f>
        <v>show</v>
      </c>
      <c r="E5118" t="str">
        <f>HYPERLINK("https://github.com/google/ExoPlayer","show")</f>
        <v>show</v>
      </c>
      <c r="F5118" t="str">
        <f>HYPERLINK("https://github.com/google/ExoPlayer/releases","show")</f>
        <v>show</v>
      </c>
    </row>
    <row r="5119" spans="1:6">
      <c r="A5119" t="s">
        <v>15233</v>
      </c>
      <c r="B5119" t="s">
        <v>15234</v>
      </c>
      <c r="C5119" t="s">
        <v>15235</v>
      </c>
      <c r="D5119" t="str">
        <f>HYPERLINK("https://github.com/TeamNewPipe/NewPipe/issues/6382","show")</f>
        <v>show</v>
      </c>
      <c r="E5119" t="str">
        <f>HYPERLINK("https://github.com/TeamNewPipe/NewPipe","show")</f>
        <v>show</v>
      </c>
      <c r="F5119" t="str">
        <f>HYPERLINK("https://github.com/TeamNewPipe/NewPipe/releases","show")</f>
        <v>show</v>
      </c>
    </row>
    <row r="5120" spans="1:6">
      <c r="A5120" t="s">
        <v>15236</v>
      </c>
      <c r="B5120" t="s">
        <v>7987</v>
      </c>
      <c r="C5120" t="s">
        <v>15237</v>
      </c>
      <c r="D5120" t="str">
        <f>HYPERLINK("https://github.com/stefan-niedermann/nextcloud-notes/issues/1239","show")</f>
        <v>show</v>
      </c>
      <c r="E5120" t="str">
        <f>HYPERLINK("https://github.com/stefan-niedermann/nextcloud-notes","show")</f>
        <v>show</v>
      </c>
      <c r="F5120" t="str">
        <f>HYPERLINK("https://github.com/stefan-niedermann/nextcloud-notes/releases","show")</f>
        <v>show</v>
      </c>
    </row>
    <row r="5121" spans="1:6">
      <c r="A5121" t="s">
        <v>15238</v>
      </c>
      <c r="B5121" t="s">
        <v>15239</v>
      </c>
      <c r="C5121" t="s">
        <v>15240</v>
      </c>
      <c r="D5121" t="str">
        <f>HYPERLINK("https://github.com/TeamNewPipe/NewPipe/issues/6377","show")</f>
        <v>show</v>
      </c>
      <c r="E5121" t="str">
        <f>HYPERLINK("https://github.com/TeamNewPipe/NewPipe","show")</f>
        <v>show</v>
      </c>
      <c r="F5121" t="str">
        <f>HYPERLINK("https://github.com/TeamNewPipe/NewPipe/releases","show")</f>
        <v>show</v>
      </c>
    </row>
    <row r="5122" spans="1:6">
      <c r="A5122" t="s">
        <v>15241</v>
      </c>
      <c r="B5122" t="s">
        <v>15242</v>
      </c>
      <c r="C5122" t="s">
        <v>15243</v>
      </c>
      <c r="D5122" t="str">
        <f>HYPERLINK("https://github.com/TeamNewPipe/NewPipe/issues/6376","show")</f>
        <v>show</v>
      </c>
      <c r="E5122" t="str">
        <f>HYPERLINK("https://github.com/TeamNewPipe/NewPipe","show")</f>
        <v>show</v>
      </c>
      <c r="F5122" t="str">
        <f>HYPERLINK("https://github.com/TeamNewPipe/NewPipe/releases","show")</f>
        <v>show</v>
      </c>
    </row>
    <row r="5123" spans="1:6">
      <c r="A5123" t="s">
        <v>15244</v>
      </c>
      <c r="B5123" t="s">
        <v>15245</v>
      </c>
      <c r="C5123" t="s">
        <v>15246</v>
      </c>
      <c r="D5123" t="str">
        <f>HYPERLINK("https://github.com/nikita36078/J2ME-Loader/issues/793","show")</f>
        <v>show</v>
      </c>
      <c r="E5123" t="str">
        <f>HYPERLINK("https://github.com/nikita36078/J2ME-Loader","show")</f>
        <v>show</v>
      </c>
      <c r="F5123" t="str">
        <f>HYPERLINK("https://github.com/nikita36078/J2ME-Loader/releases","show")</f>
        <v>show</v>
      </c>
    </row>
    <row r="5124" spans="1:6">
      <c r="A5124" t="s">
        <v>15247</v>
      </c>
      <c r="B5124" t="s">
        <v>15248</v>
      </c>
      <c r="C5124" t="s">
        <v>15249</v>
      </c>
      <c r="D5124" t="str">
        <f>HYPERLINK("https://github.com/nextcloud/news-android/issues/964","show")</f>
        <v>show</v>
      </c>
      <c r="E5124" t="str">
        <f>HYPERLINK("https://github.com/nextcloud/news-android","show")</f>
        <v>show</v>
      </c>
      <c r="F5124" t="str">
        <f>HYPERLINK("https://github.com/nextcloud/news-android/releases","show")</f>
        <v>show</v>
      </c>
    </row>
    <row r="5125" spans="1:6">
      <c r="A5125" t="s">
        <v>15250</v>
      </c>
      <c r="B5125" t="s">
        <v>15251</v>
      </c>
      <c r="C5125" t="s">
        <v>15252</v>
      </c>
      <c r="D5125" t="str">
        <f>HYPERLINK("https://github.com/nextcloud/android/issues/8485","show")</f>
        <v>show</v>
      </c>
      <c r="E5125" t="str">
        <f>HYPERLINK("https://github.com/nextcloud/android","show")</f>
        <v>show</v>
      </c>
      <c r="F5125" t="str">
        <f>HYPERLINK("https://github.com/nextcloud/android/releases","show")</f>
        <v>show</v>
      </c>
    </row>
    <row r="5126" spans="1:6">
      <c r="A5126" t="s">
        <v>15253</v>
      </c>
      <c r="B5126" t="s">
        <v>15254</v>
      </c>
      <c r="C5126" t="s">
        <v>15255</v>
      </c>
      <c r="D5126" t="str">
        <f>HYPERLINK("https://github.com/DIT112-V21/group-17/issues/136","show")</f>
        <v>show</v>
      </c>
      <c r="E5126" t="str">
        <f>HYPERLINK("https://github.com/DIT112-V21/group-17","show")</f>
        <v>show</v>
      </c>
      <c r="F5126" t="str">
        <f>HYPERLINK("https://github.com/DIT112-V21/group-17/releases","show")</f>
        <v>show</v>
      </c>
    </row>
    <row r="5127" spans="1:6">
      <c r="A5127" t="s">
        <v>15256</v>
      </c>
      <c r="B5127" t="s">
        <v>15257</v>
      </c>
      <c r="C5127" t="s">
        <v>15258</v>
      </c>
      <c r="D5127" t="str">
        <f>HYPERLINK("https://github.com/DIT112-V21/group-17/issues/135","show")</f>
        <v>show</v>
      </c>
      <c r="E5127" t="str">
        <f>HYPERLINK("https://github.com/DIT112-V21/group-17","show")</f>
        <v>show</v>
      </c>
      <c r="F5127" t="str">
        <f>HYPERLINK("https://github.com/DIT112-V21/group-17/releases","show")</f>
        <v>show</v>
      </c>
    </row>
    <row r="5128" spans="1:6">
      <c r="A5128" t="s">
        <v>15259</v>
      </c>
      <c r="B5128" t="s">
        <v>15260</v>
      </c>
      <c r="C5128" t="s">
        <v>15261</v>
      </c>
      <c r="D5128" t="str">
        <f>HYPERLINK("https://github.com/DIT112-V21/group-17/issues/132","show")</f>
        <v>show</v>
      </c>
      <c r="E5128" t="str">
        <f>HYPERLINK("https://github.com/DIT112-V21/group-17","show")</f>
        <v>show</v>
      </c>
      <c r="F5128" t="str">
        <f>HYPERLINK("https://github.com/DIT112-V21/group-17/releases","show")</f>
        <v>show</v>
      </c>
    </row>
    <row r="5129" spans="1:6">
      <c r="A5129" t="s">
        <v>15262</v>
      </c>
      <c r="B5129" t="s">
        <v>15263</v>
      </c>
      <c r="C5129" t="s">
        <v>15264</v>
      </c>
      <c r="D5129" t="str">
        <f>HYPERLINK("https://github.com/DIT112-V21/group-05/issues/64","show")</f>
        <v>show</v>
      </c>
      <c r="E5129" t="str">
        <f>HYPERLINK("https://github.com/DIT112-V21/group-05","show")</f>
        <v>show</v>
      </c>
      <c r="F5129" t="str">
        <f>HYPERLINK("https://github.com/DIT112-V21/group-05/releases","show")</f>
        <v>show</v>
      </c>
    </row>
    <row r="5130" spans="1:6">
      <c r="A5130" t="s">
        <v>15265</v>
      </c>
      <c r="B5130" t="s">
        <v>15266</v>
      </c>
      <c r="C5130" t="s">
        <v>15267</v>
      </c>
      <c r="D5130" t="str">
        <f>HYPERLINK("https://github.com/KramerJProg/MathQuizApp/issues/22","show")</f>
        <v>show</v>
      </c>
      <c r="E5130" t="str">
        <f>HYPERLINK("https://github.com/KramerJProg/MathQuizApp","show")</f>
        <v>show</v>
      </c>
      <c r="F5130" t="str">
        <f>HYPERLINK("https://github.com/KramerJProg/MathQuizApp/releases","show")</f>
        <v>show</v>
      </c>
    </row>
    <row r="5131" spans="1:6">
      <c r="A5131" t="s">
        <v>15268</v>
      </c>
      <c r="B5131" t="s">
        <v>15269</v>
      </c>
      <c r="C5131" t="s">
        <v>15270</v>
      </c>
      <c r="D5131" t="str">
        <f>HYPERLINK("https://github.com/nextcloud/talk-android/issues/1294","show")</f>
        <v>show</v>
      </c>
      <c r="E5131" t="str">
        <f>HYPERLINK("https://github.com/nextcloud/talk-android","show")</f>
        <v>show</v>
      </c>
      <c r="F5131" t="str">
        <f>HYPERLINK("https://github.com/nextcloud/talk-android/releases","show")</f>
        <v>show</v>
      </c>
    </row>
    <row r="5132" spans="1:6">
      <c r="A5132" t="s">
        <v>15271</v>
      </c>
      <c r="B5132" t="s">
        <v>15272</v>
      </c>
      <c r="C5132" t="s">
        <v>15273</v>
      </c>
      <c r="D5132" t="str">
        <f>HYPERLINK("https://github.com/DIT112-V21/group-17/issues/123","show")</f>
        <v>show</v>
      </c>
      <c r="E5132" t="str">
        <f>HYPERLINK("https://github.com/DIT112-V21/group-17","show")</f>
        <v>show</v>
      </c>
      <c r="F5132" t="str">
        <f>HYPERLINK("https://github.com/DIT112-V21/group-17/releases","show")</f>
        <v>show</v>
      </c>
    </row>
    <row r="5133" spans="1:6">
      <c r="A5133" t="s">
        <v>15274</v>
      </c>
      <c r="B5133" t="s">
        <v>15275</v>
      </c>
      <c r="C5133" t="s">
        <v>15276</v>
      </c>
      <c r="D5133" t="str">
        <f>HYPERLINK("https://github.com/opensrp/opensrp-client-chw/issues/1786","show")</f>
        <v>show</v>
      </c>
      <c r="E5133" t="str">
        <f>HYPERLINK("https://github.com/opensrp/opensrp-client-chw","show")</f>
        <v>show</v>
      </c>
      <c r="F5133" t="str">
        <f>HYPERLINK("https://github.com/opensrp/opensrp-client-chw/releases","show")</f>
        <v>show</v>
      </c>
    </row>
    <row r="5134" spans="1:6">
      <c r="A5134" t="s">
        <v>15277</v>
      </c>
      <c r="B5134" t="s">
        <v>15278</v>
      </c>
      <c r="C5134" t="s">
        <v>15279</v>
      </c>
      <c r="D5134" t="str">
        <f>HYPERLINK("https://github.com/TeamNewPipe/NewPipe/issues/6371","show")</f>
        <v>show</v>
      </c>
      <c r="E5134" t="str">
        <f>HYPERLINK("https://github.com/TeamNewPipe/NewPipe","show")</f>
        <v>show</v>
      </c>
      <c r="F5134" t="str">
        <f>HYPERLINK("https://github.com/TeamNewPipe/NewPipe/releases","show")</f>
        <v>show</v>
      </c>
    </row>
    <row r="5135" spans="1:6">
      <c r="A5135" t="s">
        <v>15280</v>
      </c>
      <c r="B5135" t="s">
        <v>15281</v>
      </c>
      <c r="C5135" t="s">
        <v>15282</v>
      </c>
      <c r="D5135" t="str">
        <f>HYPERLINK("https://github.com/mit-cml/appinventor-sources/issues/2490","show")</f>
        <v>show</v>
      </c>
      <c r="E5135" t="str">
        <f>HYPERLINK("https://github.com/mit-cml/appinventor-sources","show")</f>
        <v>show</v>
      </c>
      <c r="F5135" t="str">
        <f>HYPERLINK("https://github.com/mit-cml/appinventor-sources/releases","show")</f>
        <v>show</v>
      </c>
    </row>
    <row r="5136" spans="1:6">
      <c r="A5136" t="s">
        <v>15283</v>
      </c>
      <c r="B5136" t="s">
        <v>15284</v>
      </c>
      <c r="C5136" t="s">
        <v>15285</v>
      </c>
      <c r="D5136" t="str">
        <f>HYPERLINK("https://github.com/Bible-Translation-Tools/BTT-Writer-Android/issues/18","show")</f>
        <v>show</v>
      </c>
      <c r="E5136" t="str">
        <f>HYPERLINK("https://github.com/Bible-Translation-Tools/BTT-Writer-Android","show")</f>
        <v>show</v>
      </c>
      <c r="F5136" t="str">
        <f>HYPERLINK("https://github.com/Bible-Translation-Tools/BTT-Writer-Android/releases","show")</f>
        <v>show</v>
      </c>
    </row>
    <row r="5137" spans="1:6">
      <c r="A5137" t="s">
        <v>15286</v>
      </c>
      <c r="B5137" t="s">
        <v>15287</v>
      </c>
      <c r="C5137" t="s">
        <v>15288</v>
      </c>
      <c r="D5137" t="str">
        <f>HYPERLINK("https://github.com/k9mail/k-9/issues/5309","show")</f>
        <v>show</v>
      </c>
      <c r="E5137" t="str">
        <f>HYPERLINK("https://github.com/k9mail/k-9","show")</f>
        <v>show</v>
      </c>
      <c r="F5137" t="str">
        <f>HYPERLINK("https://github.com/k9mail/k-9/releases","show")</f>
        <v>show</v>
      </c>
    </row>
    <row r="5138" spans="1:6">
      <c r="A5138" t="s">
        <v>15289</v>
      </c>
      <c r="B5138" t="s">
        <v>15290</v>
      </c>
      <c r="C5138" t="s">
        <v>15291</v>
      </c>
      <c r="D5138" t="str">
        <f>HYPERLINK("https://github.com/k9mail/k-9/issues/5308","show")</f>
        <v>show</v>
      </c>
      <c r="E5138" t="str">
        <f>HYPERLINK("https://github.com/k9mail/k-9","show")</f>
        <v>show</v>
      </c>
      <c r="F5138" t="str">
        <f>HYPERLINK("https://github.com/k9mail/k-9/releases","show")</f>
        <v>show</v>
      </c>
    </row>
    <row r="5139" spans="1:6">
      <c r="A5139" t="s">
        <v>15292</v>
      </c>
      <c r="B5139" t="s">
        <v>15293</v>
      </c>
      <c r="C5139" t="s">
        <v>15157</v>
      </c>
      <c r="D5139" t="str">
        <f>HYPERLINK("https://github.com/TeamNewPipe/NewPipe/issues/6368","show")</f>
        <v>show</v>
      </c>
      <c r="E5139" t="str">
        <f>HYPERLINK("https://github.com/TeamNewPipe/NewPipe","show")</f>
        <v>show</v>
      </c>
      <c r="F5139" t="str">
        <f>HYPERLINK("https://github.com/TeamNewPipe/NewPipe/releases","show")</f>
        <v>show</v>
      </c>
    </row>
    <row r="5140" spans="1:6">
      <c r="A5140" t="s">
        <v>15294</v>
      </c>
      <c r="B5140" t="s">
        <v>15295</v>
      </c>
      <c r="C5140" t="s">
        <v>15296</v>
      </c>
      <c r="D5140" t="str">
        <f>HYPERLINK("https://github.com/Anuken/Mindustry/issues/5290","show")</f>
        <v>show</v>
      </c>
      <c r="E5140" t="str">
        <f>HYPERLINK("https://github.com/Anuken/Mindustry","show")</f>
        <v>show</v>
      </c>
      <c r="F5140" t="str">
        <f>HYPERLINK("https://github.com/Anuken/Mindustry/releases","show")</f>
        <v>show</v>
      </c>
    </row>
    <row r="5141" spans="1:6">
      <c r="A5141" t="s">
        <v>15297</v>
      </c>
      <c r="B5141" t="s">
        <v>15298</v>
      </c>
      <c r="C5141" t="s">
        <v>15299</v>
      </c>
      <c r="D5141" t="str">
        <f>HYPERLINK("https://github.com/Anuken/Mindustry/issues/5289","show")</f>
        <v>show</v>
      </c>
      <c r="E5141" t="str">
        <f>HYPERLINK("https://github.com/Anuken/Mindustry","show")</f>
        <v>show</v>
      </c>
      <c r="F5141" t="str">
        <f>HYPERLINK("https://github.com/Anuken/Mindustry/releases","show")</f>
        <v>show</v>
      </c>
    </row>
    <row r="5142" spans="1:6">
      <c r="A5142" t="s">
        <v>15300</v>
      </c>
      <c r="B5142" t="s">
        <v>15301</v>
      </c>
      <c r="C5142" t="s">
        <v>15302</v>
      </c>
      <c r="D5142" t="str">
        <f>HYPERLINK("https://github.com/inaturalist/iNaturalistAndroid/issues/1047","show")</f>
        <v>show</v>
      </c>
      <c r="E5142" t="str">
        <f>HYPERLINK("https://github.com/inaturalist/iNaturalistAndroid","show")</f>
        <v>show</v>
      </c>
      <c r="F5142" t="str">
        <f>HYPERLINK("https://github.com/inaturalist/iNaturalistAndroid/releases","show")</f>
        <v>show</v>
      </c>
    </row>
    <row r="5143" spans="1:6">
      <c r="A5143" t="s">
        <v>15303</v>
      </c>
      <c r="B5143" t="s">
        <v>15304</v>
      </c>
      <c r="C5143" t="s">
        <v>15305</v>
      </c>
      <c r="D5143" t="str">
        <f>HYPERLINK("https://github.com/inaturalist/iNaturalistAndroid/issues/1046","show")</f>
        <v>show</v>
      </c>
      <c r="E5143" t="str">
        <f>HYPERLINK("https://github.com/inaturalist/iNaturalistAndroid","show")</f>
        <v>show</v>
      </c>
      <c r="F5143" t="str">
        <f>HYPERLINK("https://github.com/inaturalist/iNaturalistAndroid/releases","show")</f>
        <v>show</v>
      </c>
    </row>
    <row r="5144" spans="1:6">
      <c r="A5144" t="s">
        <v>15306</v>
      </c>
      <c r="B5144" t="s">
        <v>15307</v>
      </c>
      <c r="C5144" t="s">
        <v>15308</v>
      </c>
      <c r="D5144" t="str">
        <f>HYPERLINK("https://github.com/inaturalist/iNaturalistAndroid/issues/1045","show")</f>
        <v>show</v>
      </c>
      <c r="E5144" t="str">
        <f>HYPERLINK("https://github.com/inaturalist/iNaturalistAndroid","show")</f>
        <v>show</v>
      </c>
      <c r="F5144" t="str">
        <f>HYPERLINK("https://github.com/inaturalist/iNaturalistAndroid/releases","show")</f>
        <v>show</v>
      </c>
    </row>
    <row r="5145" spans="1:6">
      <c r="A5145" t="s">
        <v>15309</v>
      </c>
      <c r="B5145" t="s">
        <v>15310</v>
      </c>
      <c r="C5145" t="s">
        <v>15311</v>
      </c>
      <c r="D5145" t="str">
        <f>HYPERLINK("https://github.com/TeamNewPipe/NewPipe/issues/6364","show")</f>
        <v>show</v>
      </c>
      <c r="E5145" t="str">
        <f>HYPERLINK("https://github.com/TeamNewPipe/NewPipe","show")</f>
        <v>show</v>
      </c>
      <c r="F5145" t="str">
        <f>HYPERLINK("https://github.com/TeamNewPipe/NewPipe/releases","show")</f>
        <v>show</v>
      </c>
    </row>
    <row r="5146" spans="1:6">
      <c r="A5146" t="s">
        <v>15312</v>
      </c>
      <c r="B5146" t="s">
        <v>15313</v>
      </c>
      <c r="C5146" t="s">
        <v>15314</v>
      </c>
      <c r="D5146" t="str">
        <f>HYPERLINK("https://github.com/MuntashirAkon/AppManager/issues/452","show")</f>
        <v>show</v>
      </c>
      <c r="E5146" t="str">
        <f>HYPERLINK("https://github.com/MuntashirAkon/AppManager","show")</f>
        <v>show</v>
      </c>
      <c r="F5146" t="str">
        <f>HYPERLINK("https://github.com/MuntashirAkon/AppManager/releases","show")</f>
        <v>show</v>
      </c>
    </row>
    <row r="5147" spans="1:6">
      <c r="A5147" t="s">
        <v>15315</v>
      </c>
      <c r="B5147" t="s">
        <v>15316</v>
      </c>
      <c r="C5147" t="s">
        <v>15317</v>
      </c>
      <c r="D5147" t="str">
        <f>HYPERLINK("https://github.com/Chimerapps/niddler/issues/26","show")</f>
        <v>show</v>
      </c>
      <c r="E5147" t="str">
        <f>HYPERLINK("https://github.com/Chimerapps/niddler","show")</f>
        <v>show</v>
      </c>
      <c r="F5147" t="str">
        <f>HYPERLINK("https://github.com/Chimerapps/niddler/releases","show")</f>
        <v>show</v>
      </c>
    </row>
    <row r="5148" spans="1:6">
      <c r="A5148" t="s">
        <v>15318</v>
      </c>
      <c r="B5148" t="s">
        <v>15319</v>
      </c>
      <c r="C5148" t="s">
        <v>15320</v>
      </c>
      <c r="D5148" t="str">
        <f>HYPERLINK("https://github.com/nextcloud/android/issues/8459","show")</f>
        <v>show</v>
      </c>
      <c r="E5148" t="str">
        <f>HYPERLINK("https://github.com/nextcloud/android","show")</f>
        <v>show</v>
      </c>
      <c r="F5148" t="str">
        <f>HYPERLINK("https://github.com/nextcloud/android/releases","show")</f>
        <v>show</v>
      </c>
    </row>
    <row r="5149" spans="1:6">
      <c r="A5149" t="s">
        <v>15321</v>
      </c>
      <c r="B5149" t="s">
        <v>15322</v>
      </c>
      <c r="C5149" t="s">
        <v>15323</v>
      </c>
      <c r="D5149" t="str">
        <f>HYPERLINK("https://github.com/enviroCar/enviroCar-app/issues/740","show")</f>
        <v>show</v>
      </c>
      <c r="E5149" t="str">
        <f>HYPERLINK("https://github.com/enviroCar/enviroCar-app","show")</f>
        <v>show</v>
      </c>
      <c r="F5149" t="str">
        <f>HYPERLINK("https://github.com/enviroCar/enviroCar-app/releases","show")</f>
        <v>show</v>
      </c>
    </row>
    <row r="5150" spans="1:6">
      <c r="A5150" t="s">
        <v>15324</v>
      </c>
      <c r="B5150" t="s">
        <v>15325</v>
      </c>
      <c r="C5150" t="s">
        <v>15326</v>
      </c>
      <c r="D5150" t="str">
        <f>HYPERLINK("https://github.com/flutter-package/images_picker/issues/28","show")</f>
        <v>show</v>
      </c>
      <c r="E5150" t="str">
        <f>HYPERLINK("https://github.com/flutter-package/images_picker","show")</f>
        <v>show</v>
      </c>
      <c r="F5150" t="str">
        <f>HYPERLINK("https://github.com/flutter-package/images_picker/releases","show")</f>
        <v>show</v>
      </c>
    </row>
    <row r="5151" spans="1:6">
      <c r="A5151" t="s">
        <v>15327</v>
      </c>
      <c r="B5151" t="s">
        <v>15328</v>
      </c>
      <c r="C5151" t="s">
        <v>15329</v>
      </c>
      <c r="D5151" t="str">
        <f>HYPERLINK("https://github.com/Anuken/Mindustry/issues/5285","show")</f>
        <v>show</v>
      </c>
      <c r="E5151" t="str">
        <f>HYPERLINK("https://github.com/Anuken/Mindustry","show")</f>
        <v>show</v>
      </c>
      <c r="F5151" t="str">
        <f>HYPERLINK("https://github.com/Anuken/Mindustry/releases","show")</f>
        <v>show</v>
      </c>
    </row>
    <row r="5152" spans="1:6">
      <c r="A5152" t="s">
        <v>15330</v>
      </c>
      <c r="B5152" t="s">
        <v>15331</v>
      </c>
      <c r="C5152" t="s">
        <v>15332</v>
      </c>
      <c r="D5152" t="str">
        <f>HYPERLINK("https://github.com/TeamNewPipe/NewPipe/issues/6351","show")</f>
        <v>show</v>
      </c>
      <c r="E5152" t="str">
        <f>HYPERLINK("https://github.com/TeamNewPipe/NewPipe","show")</f>
        <v>show</v>
      </c>
      <c r="F5152" t="str">
        <f>HYPERLINK("https://github.com/TeamNewPipe/NewPipe/releases","show")</f>
        <v>show</v>
      </c>
    </row>
    <row r="5153" spans="1:6">
      <c r="A5153" t="s">
        <v>15333</v>
      </c>
      <c r="B5153" t="s">
        <v>15334</v>
      </c>
      <c r="C5153" t="s">
        <v>15335</v>
      </c>
      <c r="D5153" t="str">
        <f>HYPERLINK("https://github.com/Anuken/Mindustry/issues/5281","show")</f>
        <v>show</v>
      </c>
      <c r="E5153" t="str">
        <f>HYPERLINK("https://github.com/Anuken/Mindustry","show")</f>
        <v>show</v>
      </c>
      <c r="F5153" t="str">
        <f>HYPERLINK("https://github.com/Anuken/Mindustry/releases","show")</f>
        <v>show</v>
      </c>
    </row>
    <row r="5154" spans="1:6">
      <c r="A5154" t="s">
        <v>15336</v>
      </c>
      <c r="B5154" t="s">
        <v>12443</v>
      </c>
      <c r="C5154" t="s">
        <v>15337</v>
      </c>
      <c r="D5154" t="str">
        <f>HYPERLINK("https://github.com/TeamNewPipe/NewPipe/issues/6342","show")</f>
        <v>show</v>
      </c>
      <c r="E5154" t="str">
        <f>HYPERLINK("https://github.com/TeamNewPipe/NewPipe","show")</f>
        <v>show</v>
      </c>
      <c r="F5154" t="str">
        <f>HYPERLINK("https://github.com/TeamNewPipe/NewPipe/releases","show")</f>
        <v>show</v>
      </c>
    </row>
    <row r="5155" spans="1:6">
      <c r="A5155" t="s">
        <v>15338</v>
      </c>
      <c r="B5155" t="s">
        <v>15339</v>
      </c>
      <c r="C5155" t="s">
        <v>15340</v>
      </c>
      <c r="D5155" t="str">
        <f>HYPERLINK("https://github.com/inaturalist/iNaturalistAndroid/issues/1043","show")</f>
        <v>show</v>
      </c>
      <c r="E5155" t="str">
        <f>HYPERLINK("https://github.com/inaturalist/iNaturalistAndroid","show")</f>
        <v>show</v>
      </c>
      <c r="F5155" t="str">
        <f>HYPERLINK("https://github.com/inaturalist/iNaturalistAndroid/releases","show")</f>
        <v>show</v>
      </c>
    </row>
    <row r="5156" spans="1:6">
      <c r="A5156" t="s">
        <v>15341</v>
      </c>
      <c r="B5156" t="s">
        <v>15342</v>
      </c>
      <c r="C5156" t="s">
        <v>15343</v>
      </c>
      <c r="D5156" t="str">
        <f>HYPERLINK("https://github.com/inaturalist/iNaturalistAndroid/issues/1042","show")</f>
        <v>show</v>
      </c>
      <c r="E5156" t="str">
        <f>HYPERLINK("https://github.com/inaturalist/iNaturalistAndroid","show")</f>
        <v>show</v>
      </c>
      <c r="F5156" t="str">
        <f>HYPERLINK("https://github.com/inaturalist/iNaturalistAndroid/releases","show")</f>
        <v>show</v>
      </c>
    </row>
    <row r="5157" spans="1:6">
      <c r="A5157" t="s">
        <v>15344</v>
      </c>
      <c r="B5157" t="s">
        <v>15345</v>
      </c>
      <c r="C5157" t="s">
        <v>15346</v>
      </c>
      <c r="D5157" t="str">
        <f>HYPERLINK("https://github.com/mapbox/mapbox-events-android/issues/530","show")</f>
        <v>show</v>
      </c>
      <c r="E5157" t="str">
        <f>HYPERLINK("https://github.com/mapbox/mapbox-events-android","show")</f>
        <v>show</v>
      </c>
      <c r="F5157" t="str">
        <f>HYPERLINK("https://github.com/mapbox/mapbox-events-android/releases","show")</f>
        <v>show</v>
      </c>
    </row>
    <row r="5158" spans="1:6">
      <c r="A5158" t="s">
        <v>15347</v>
      </c>
      <c r="B5158" t="s">
        <v>15348</v>
      </c>
      <c r="C5158" t="s">
        <v>15349</v>
      </c>
      <c r="D5158" t="str">
        <f>HYPERLINK("https://github.com/OpenTracksApp/OpenTracks/issues/787","show")</f>
        <v>show</v>
      </c>
      <c r="E5158" t="str">
        <f>HYPERLINK("https://github.com/OpenTracksApp/OpenTracks","show")</f>
        <v>show</v>
      </c>
      <c r="F5158" t="str">
        <f>HYPERLINK("https://github.com/OpenTracksApp/OpenTracks/releases","show")</f>
        <v>show</v>
      </c>
    </row>
    <row r="5159" spans="1:6">
      <c r="A5159" t="s">
        <v>15350</v>
      </c>
      <c r="B5159" t="s">
        <v>15351</v>
      </c>
      <c r="C5159" t="s">
        <v>15352</v>
      </c>
      <c r="D5159" t="str">
        <f>HYPERLINK("https://github.com/PojavLauncherTeam/PojavLauncher/issues/1410","show")</f>
        <v>show</v>
      </c>
      <c r="E5159" t="str">
        <f>HYPERLINK("https://github.com/PojavLauncherTeam/PojavLauncher","show")</f>
        <v>show</v>
      </c>
      <c r="F5159" t="str">
        <f>HYPERLINK("https://github.com/PojavLauncherTeam/PojavLauncher/releases","show")</f>
        <v>show</v>
      </c>
    </row>
    <row r="5160" spans="1:6">
      <c r="A5160" t="s">
        <v>15353</v>
      </c>
      <c r="B5160" t="s">
        <v>15354</v>
      </c>
      <c r="C5160" t="s">
        <v>15355</v>
      </c>
      <c r="D5160" t="str">
        <f>HYPERLINK("https://github.com/Rapsssito/react-native-background-actions/issues/88","show")</f>
        <v>show</v>
      </c>
      <c r="E5160" t="str">
        <f>HYPERLINK("https://github.com/Rapsssito/react-native-background-actions","show")</f>
        <v>show</v>
      </c>
      <c r="F5160" t="str">
        <f>HYPERLINK("https://github.com/Rapsssito/react-native-background-actions/releases","show")</f>
        <v>show</v>
      </c>
    </row>
    <row r="5161" spans="1:6">
      <c r="A5161" t="s">
        <v>15356</v>
      </c>
      <c r="B5161" t="s">
        <v>15357</v>
      </c>
      <c r="C5161" t="s">
        <v>15358</v>
      </c>
      <c r="D5161" t="str">
        <f>HYPERLINK("https://github.com/twilio/video-quickstart-android/issues/639","show")</f>
        <v>show</v>
      </c>
      <c r="E5161" t="str">
        <f>HYPERLINK("https://github.com/twilio/video-quickstart-android","show")</f>
        <v>show</v>
      </c>
      <c r="F5161" t="str">
        <f>HYPERLINK("https://github.com/twilio/video-quickstart-android/releases","show")</f>
        <v>show</v>
      </c>
    </row>
    <row r="5162" spans="1:6">
      <c r="A5162" t="s">
        <v>15359</v>
      </c>
      <c r="B5162" t="s">
        <v>15360</v>
      </c>
      <c r="C5162" t="s">
        <v>15361</v>
      </c>
      <c r="D5162" t="str">
        <f>HYPERLINK("https://github.com/TeamNewPipe/NewPipe/issues/6333","show")</f>
        <v>show</v>
      </c>
      <c r="E5162" t="str">
        <f>HYPERLINK("https://github.com/TeamNewPipe/NewPipe","show")</f>
        <v>show</v>
      </c>
      <c r="F5162" t="str">
        <f>HYPERLINK("https://github.com/TeamNewPipe/NewPipe/releases","show")</f>
        <v>show</v>
      </c>
    </row>
    <row r="5163" spans="1:6">
      <c r="A5163" t="s">
        <v>15362</v>
      </c>
      <c r="B5163" t="s">
        <v>15363</v>
      </c>
      <c r="C5163" t="s">
        <v>15364</v>
      </c>
      <c r="D5163" t="str">
        <f>HYPERLINK("https://github.com/SDPepe/AppArt/issues/209","show")</f>
        <v>show</v>
      </c>
      <c r="E5163" t="str">
        <f>HYPERLINK("https://github.com/SDPepe/AppArt","show")</f>
        <v>show</v>
      </c>
      <c r="F5163" t="str">
        <f>HYPERLINK("https://github.com/SDPepe/AppArt/releases","show")</f>
        <v>show</v>
      </c>
    </row>
    <row r="5164" spans="1:6">
      <c r="A5164" t="s">
        <v>15365</v>
      </c>
      <c r="B5164" t="s">
        <v>15366</v>
      </c>
      <c r="C5164" t="s">
        <v>15367</v>
      </c>
      <c r="D5164" t="str">
        <f>HYPERLINK("https://github.com/Anuken/Mindustry/issues/5275","show")</f>
        <v>show</v>
      </c>
      <c r="E5164" t="str">
        <f>HYPERLINK("https://github.com/Anuken/Mindustry","show")</f>
        <v>show</v>
      </c>
      <c r="F5164" t="str">
        <f>HYPERLINK("https://github.com/Anuken/Mindustry/releases","show")</f>
        <v>show</v>
      </c>
    </row>
    <row r="5165" spans="1:6">
      <c r="A5165" t="s">
        <v>15368</v>
      </c>
      <c r="B5165" t="s">
        <v>15369</v>
      </c>
      <c r="C5165" t="s">
        <v>15370</v>
      </c>
      <c r="D5165" t="str">
        <f>HYPERLINK("https://github.com/falzonv/discreet-launcher/issues/55","show")</f>
        <v>show</v>
      </c>
      <c r="E5165" t="str">
        <f>HYPERLINK("https://github.com/falzonv/discreet-launcher","show")</f>
        <v>show</v>
      </c>
      <c r="F5165" t="str">
        <f>HYPERLINK("https://github.com/falzonv/discreet-launcher/releases","show")</f>
        <v>show</v>
      </c>
    </row>
    <row r="5166" spans="1:6">
      <c r="A5166" t="s">
        <v>15371</v>
      </c>
      <c r="B5166" t="s">
        <v>15372</v>
      </c>
      <c r="C5166" t="s">
        <v>15373</v>
      </c>
      <c r="D5166" t="str">
        <f>HYPERLINK("https://github.com/ankidroid/Anki-Android/issues/8879","show")</f>
        <v>show</v>
      </c>
      <c r="E5166" t="str">
        <f>HYPERLINK("https://github.com/ankidroid/Anki-Android","show")</f>
        <v>show</v>
      </c>
      <c r="F5166" t="str">
        <f>HYPERLINK("https://github.com/ankidroid/Anki-Android/releases","show")</f>
        <v>show</v>
      </c>
    </row>
    <row r="5167" spans="1:6">
      <c r="A5167" t="s">
        <v>15374</v>
      </c>
      <c r="B5167" t="s">
        <v>15375</v>
      </c>
      <c r="C5167" t="s">
        <v>15376</v>
      </c>
      <c r="D5167" t="str">
        <f>HYPERLINK("https://github.com/k9mail/k-9/issues/5302","show")</f>
        <v>show</v>
      </c>
      <c r="E5167" t="str">
        <f>HYPERLINK("https://github.com/k9mail/k-9","show")</f>
        <v>show</v>
      </c>
      <c r="F5167" t="str">
        <f>HYPERLINK("https://github.com/k9mail/k-9/releases","show")</f>
        <v>show</v>
      </c>
    </row>
    <row r="5168" spans="1:6">
      <c r="A5168" t="s">
        <v>15377</v>
      </c>
      <c r="B5168" t="s">
        <v>15378</v>
      </c>
      <c r="C5168" t="s">
        <v>15379</v>
      </c>
      <c r="D5168" t="str">
        <f>HYPERLINK("https://github.com/Anuken/Mindustry/issues/5274","show")</f>
        <v>show</v>
      </c>
      <c r="E5168" t="str">
        <f>HYPERLINK("https://github.com/Anuken/Mindustry","show")</f>
        <v>show</v>
      </c>
      <c r="F5168" t="str">
        <f>HYPERLINK("https://github.com/Anuken/Mindustry/releases","show")</f>
        <v>show</v>
      </c>
    </row>
    <row r="5169" spans="1:6">
      <c r="A5169" t="s">
        <v>15380</v>
      </c>
      <c r="B5169" t="s">
        <v>15381</v>
      </c>
      <c r="C5169" t="s">
        <v>15382</v>
      </c>
      <c r="D5169" t="str">
        <f>HYPERLINK("https://github.com/libgdx/gdx-pay/issues/240","show")</f>
        <v>show</v>
      </c>
      <c r="E5169" t="str">
        <f>HYPERLINK("https://github.com/libgdx/gdx-pay","show")</f>
        <v>show</v>
      </c>
      <c r="F5169" t="str">
        <f>HYPERLINK("https://github.com/libgdx/gdx-pay/releases","show")</f>
        <v>show</v>
      </c>
    </row>
    <row r="5170" spans="1:6">
      <c r="A5170" t="s">
        <v>15383</v>
      </c>
      <c r="B5170" t="s">
        <v>15384</v>
      </c>
      <c r="C5170" t="s">
        <v>15385</v>
      </c>
      <c r="D5170" t="str">
        <f>HYPERLINK("https://github.com/nextcloud/android/issues/8437","show")</f>
        <v>show</v>
      </c>
      <c r="E5170" t="str">
        <f>HYPERLINK("https://github.com/nextcloud/android","show")</f>
        <v>show</v>
      </c>
      <c r="F5170" t="str">
        <f>HYPERLINK("https://github.com/nextcloud/android/releases","show")</f>
        <v>show</v>
      </c>
    </row>
    <row r="5171" spans="1:6">
      <c r="A5171" t="s">
        <v>15386</v>
      </c>
      <c r="B5171" t="s">
        <v>15387</v>
      </c>
      <c r="C5171" t="s">
        <v>15388</v>
      </c>
      <c r="D5171" t="str">
        <f>HYPERLINK("https://github.com/Anuken/Mindustry/issues/5271","show")</f>
        <v>show</v>
      </c>
      <c r="E5171" t="str">
        <f>HYPERLINK("https://github.com/Anuken/Mindustry","show")</f>
        <v>show</v>
      </c>
      <c r="F5171" t="str">
        <f>HYPERLINK("https://github.com/Anuken/Mindustry/releases","show")</f>
        <v>show</v>
      </c>
    </row>
    <row r="5172" spans="1:6">
      <c r="A5172" t="s">
        <v>15389</v>
      </c>
      <c r="B5172" t="s">
        <v>15390</v>
      </c>
      <c r="C5172" t="s">
        <v>15391</v>
      </c>
      <c r="D5172" t="str">
        <f>HYPERLINK("https://github.com/Anuken/Mindustry/issues/5270","show")</f>
        <v>show</v>
      </c>
      <c r="E5172" t="str">
        <f>HYPERLINK("https://github.com/Anuken/Mindustry","show")</f>
        <v>show</v>
      </c>
      <c r="F5172" t="str">
        <f>HYPERLINK("https://github.com/Anuken/Mindustry/releases","show")</f>
        <v>show</v>
      </c>
    </row>
    <row r="5173" spans="1:6">
      <c r="A5173" t="s">
        <v>15392</v>
      </c>
      <c r="B5173" t="s">
        <v>15393</v>
      </c>
      <c r="C5173" t="s">
        <v>15394</v>
      </c>
      <c r="D5173" t="str">
        <f>HYPERLINK("https://github.com/Anuken/Mindustry/issues/5268","show")</f>
        <v>show</v>
      </c>
      <c r="E5173" t="str">
        <f>HYPERLINK("https://github.com/Anuken/Mindustry","show")</f>
        <v>show</v>
      </c>
      <c r="F5173" t="str">
        <f>HYPERLINK("https://github.com/Anuken/Mindustry/releases","show")</f>
        <v>show</v>
      </c>
    </row>
    <row r="5174" spans="1:6">
      <c r="A5174" t="s">
        <v>15395</v>
      </c>
      <c r="B5174" t="s">
        <v>15396</v>
      </c>
      <c r="C5174" t="s">
        <v>15397</v>
      </c>
      <c r="D5174" t="str">
        <f>HYPERLINK("https://github.com/XiangRongLin/NewPipe-preuinified/issues/4","show")</f>
        <v>show</v>
      </c>
      <c r="E5174" t="str">
        <f>HYPERLINK("https://github.com/XiangRongLin/NewPipe-preuinified","show")</f>
        <v>show</v>
      </c>
      <c r="F5174" t="str">
        <f>HYPERLINK("https://github.com/XiangRongLin/NewPipe-preuinified/releases","show")</f>
        <v>show</v>
      </c>
    </row>
    <row r="5175" spans="1:6">
      <c r="A5175" t="s">
        <v>15398</v>
      </c>
      <c r="B5175" t="s">
        <v>15399</v>
      </c>
      <c r="C5175" t="s">
        <v>15400</v>
      </c>
      <c r="D5175" t="str">
        <f>HYPERLINK("https://github.com/tom-anders/Easy_xkcd/issues/258","show")</f>
        <v>show</v>
      </c>
      <c r="E5175" t="str">
        <f>HYPERLINK("https://github.com/tom-anders/Easy_xkcd","show")</f>
        <v>show</v>
      </c>
      <c r="F5175" t="str">
        <f>HYPERLINK("https://github.com/tom-anders/Easy_xkcd/releases","show")</f>
        <v>show</v>
      </c>
    </row>
    <row r="5176" spans="1:6">
      <c r="A5176" t="s">
        <v>15401</v>
      </c>
      <c r="B5176" t="s">
        <v>15402</v>
      </c>
      <c r="C5176" t="s">
        <v>15403</v>
      </c>
      <c r="D5176" t="str">
        <f>HYPERLINK("https://github.com/prebid/prebid-mobile-android/issues/263","show")</f>
        <v>show</v>
      </c>
      <c r="E5176" t="str">
        <f>HYPERLINK("https://github.com/prebid/prebid-mobile-android","show")</f>
        <v>show</v>
      </c>
      <c r="F5176" t="str">
        <f>HYPERLINK("https://github.com/prebid/prebid-mobile-android/releases","show")</f>
        <v>show</v>
      </c>
    </row>
    <row r="5177" spans="1:6">
      <c r="A5177" t="s">
        <v>15404</v>
      </c>
      <c r="B5177" t="s">
        <v>15405</v>
      </c>
      <c r="C5177" t="s">
        <v>15406</v>
      </c>
      <c r="D5177" t="str">
        <f>HYPERLINK("https://github.com/TeamNewPipe/NewPipe/issues/6329","show")</f>
        <v>show</v>
      </c>
      <c r="E5177" t="str">
        <f>HYPERLINK("https://github.com/TeamNewPipe/NewPipe","show")</f>
        <v>show</v>
      </c>
      <c r="F5177" t="str">
        <f>HYPERLINK("https://github.com/TeamNewPipe/NewPipe/releases","show")</f>
        <v>show</v>
      </c>
    </row>
    <row r="5178" spans="1:6">
      <c r="A5178" t="s">
        <v>15407</v>
      </c>
      <c r="B5178" t="s">
        <v>15408</v>
      </c>
      <c r="C5178" t="s">
        <v>15409</v>
      </c>
      <c r="D5178" t="str">
        <f>HYPERLINK("https://github.com/TeamNewPipe/NewPipe/issues/6326","show")</f>
        <v>show</v>
      </c>
      <c r="E5178" t="str">
        <f>HYPERLINK("https://github.com/TeamNewPipe/NewPipe","show")</f>
        <v>show</v>
      </c>
      <c r="F5178" t="str">
        <f>HYPERLINK("https://github.com/TeamNewPipe/NewPipe/releases","show")</f>
        <v>show</v>
      </c>
    </row>
    <row r="5179" spans="1:6">
      <c r="A5179" t="s">
        <v>15410</v>
      </c>
      <c r="B5179" t="s">
        <v>15411</v>
      </c>
      <c r="C5179" t="s">
        <v>15412</v>
      </c>
      <c r="D5179" t="str">
        <f>HYPERLINK("https://github.com/JohnFai91/com.jason.kslo/issues/45","show")</f>
        <v>show</v>
      </c>
      <c r="E5179" t="str">
        <f>HYPERLINK("https://github.com/JohnFai91/com.jason.kslo","show")</f>
        <v>show</v>
      </c>
      <c r="F5179" t="str">
        <f>HYPERLINK("https://github.com/JohnFai91/com.jason.kslo/releases","show")</f>
        <v>show</v>
      </c>
    </row>
    <row r="5180" spans="1:6">
      <c r="A5180" t="s">
        <v>15413</v>
      </c>
      <c r="B5180" t="s">
        <v>15414</v>
      </c>
      <c r="C5180" t="s">
        <v>15415</v>
      </c>
      <c r="D5180" t="str">
        <f>HYPERLINK("https://github.com/PojavLauncherTeam/PojavLauncher/issues/1392","show")</f>
        <v>show</v>
      </c>
      <c r="E5180" t="str">
        <f>HYPERLINK("https://github.com/PojavLauncherTeam/PojavLauncher","show")</f>
        <v>show</v>
      </c>
      <c r="F5180" t="str">
        <f>HYPERLINK("https://github.com/PojavLauncherTeam/PojavLauncher/releases","show")</f>
        <v>show</v>
      </c>
    </row>
    <row r="5181" spans="1:6">
      <c r="A5181" t="s">
        <v>15416</v>
      </c>
      <c r="B5181" t="s">
        <v>15417</v>
      </c>
      <c r="C5181" t="s">
        <v>15418</v>
      </c>
      <c r="D5181" t="str">
        <f>HYPERLINK("https://github.com/TeamNewPipe/NewPipe/issues/6323","show")</f>
        <v>show</v>
      </c>
      <c r="E5181" t="str">
        <f>HYPERLINK("https://github.com/TeamNewPipe/NewPipe","show")</f>
        <v>show</v>
      </c>
      <c r="F5181" t="str">
        <f>HYPERLINK("https://github.com/TeamNewPipe/NewPipe/releases","show")</f>
        <v>show</v>
      </c>
    </row>
    <row r="5182" spans="1:6">
      <c r="A5182" t="s">
        <v>15419</v>
      </c>
      <c r="B5182" t="s">
        <v>15420</v>
      </c>
      <c r="C5182" t="s">
        <v>15421</v>
      </c>
      <c r="D5182" t="str">
        <f>HYPERLINK("https://github.com/mtotschnig/MyExpenses/issues/825","show")</f>
        <v>show</v>
      </c>
      <c r="E5182" t="str">
        <f>HYPERLINK("https://github.com/mtotschnig/MyExpenses","show")</f>
        <v>show</v>
      </c>
      <c r="F5182" t="str">
        <f>HYPERLINK("https://github.com/mtotschnig/MyExpenses/releases","show")</f>
        <v>show</v>
      </c>
    </row>
    <row r="5183" spans="1:6">
      <c r="A5183" t="s">
        <v>15422</v>
      </c>
      <c r="B5183" t="s">
        <v>15423</v>
      </c>
      <c r="C5183" t="s">
        <v>15424</v>
      </c>
      <c r="D5183" t="str">
        <f>HYPERLINK("https://github.com/yasirkula/UnityNativeCamera/issues/61","show")</f>
        <v>show</v>
      </c>
      <c r="E5183" t="str">
        <f>HYPERLINK("https://github.com/yasirkula/UnityNativeCamera","show")</f>
        <v>show</v>
      </c>
      <c r="F5183" t="str">
        <f>HYPERLINK("https://github.com/yasirkula/UnityNativeCamera/releases","show")</f>
        <v>show</v>
      </c>
    </row>
    <row r="5184" spans="1:6">
      <c r="A5184" t="s">
        <v>15425</v>
      </c>
      <c r="B5184" t="s">
        <v>15426</v>
      </c>
      <c r="C5184" t="s">
        <v>15427</v>
      </c>
      <c r="D5184" t="str">
        <f>HYPERLINK("https://github.com/cgeo/cgeo/issues/10668","show")</f>
        <v>show</v>
      </c>
      <c r="E5184" t="str">
        <f>HYPERLINK("https://github.com/cgeo/cgeo","show")</f>
        <v>show</v>
      </c>
      <c r="F5184" t="str">
        <f>HYPERLINK("https://github.com/cgeo/cgeo/releases","show")</f>
        <v>show</v>
      </c>
    </row>
    <row r="5185" spans="1:6">
      <c r="A5185" t="s">
        <v>15428</v>
      </c>
      <c r="B5185" t="s">
        <v>15429</v>
      </c>
      <c r="C5185" t="s">
        <v>15430</v>
      </c>
      <c r="D5185" t="str">
        <f>HYPERLINK("https://github.com/Anuken/Mindustry/issues/5260","show")</f>
        <v>show</v>
      </c>
      <c r="E5185" t="str">
        <f>HYPERLINK("https://github.com/Anuken/Mindustry","show")</f>
        <v>show</v>
      </c>
      <c r="F5185" t="str">
        <f>HYPERLINK("https://github.com/Anuken/Mindustry/releases","show")</f>
        <v>show</v>
      </c>
    </row>
    <row r="5186" spans="1:6">
      <c r="A5186" t="s">
        <v>15431</v>
      </c>
      <c r="B5186" t="s">
        <v>15432</v>
      </c>
      <c r="C5186" t="s">
        <v>15433</v>
      </c>
      <c r="D5186" t="str">
        <f>HYPERLINK("https://github.com/square/okhttp/issues/6681","show")</f>
        <v>show</v>
      </c>
      <c r="E5186" t="str">
        <f>HYPERLINK("https://github.com/square/okhttp","show")</f>
        <v>show</v>
      </c>
      <c r="F5186" t="str">
        <f>HYPERLINK("https://github.com/square/okhttp/releases","show")</f>
        <v>show</v>
      </c>
    </row>
    <row r="5187" spans="1:6">
      <c r="A5187" t="s">
        <v>15434</v>
      </c>
      <c r="B5187" t="s">
        <v>15435</v>
      </c>
      <c r="C5187" t="s">
        <v>15436</v>
      </c>
      <c r="D5187" t="str">
        <f>HYPERLINK("https://github.com/patzly/grocy-android/issues/407","show")</f>
        <v>show</v>
      </c>
      <c r="E5187" t="str">
        <f>HYPERLINK("https://github.com/patzly/grocy-android","show")</f>
        <v>show</v>
      </c>
      <c r="F5187" t="str">
        <f>HYPERLINK("https://github.com/patzly/grocy-android/releases","show")</f>
        <v>show</v>
      </c>
    </row>
    <row r="5188" spans="1:6">
      <c r="A5188" t="s">
        <v>15437</v>
      </c>
      <c r="B5188" t="s">
        <v>15438</v>
      </c>
      <c r="C5188" t="s">
        <v>15439</v>
      </c>
      <c r="D5188" t="str">
        <f>HYPERLINK("https://github.com/PojavLauncherTeam/PojavLauncher/issues/1384","show")</f>
        <v>show</v>
      </c>
      <c r="E5188" t="str">
        <f>HYPERLINK("https://github.com/PojavLauncherTeam/PojavLauncher","show")</f>
        <v>show</v>
      </c>
      <c r="F5188" t="str">
        <f>HYPERLINK("https://github.com/PojavLauncherTeam/PojavLauncher/releases","show")</f>
        <v>show</v>
      </c>
    </row>
    <row r="5189" spans="1:6">
      <c r="A5189" t="s">
        <v>15440</v>
      </c>
      <c r="B5189" t="s">
        <v>15441</v>
      </c>
      <c r="C5189" t="s">
        <v>15442</v>
      </c>
      <c r="D5189" t="str">
        <f>HYPERLINK("https://github.com/Anuken/Mindustry/issues/5255","show")</f>
        <v>show</v>
      </c>
      <c r="E5189" t="str">
        <f>HYPERLINK("https://github.com/Anuken/Mindustry","show")</f>
        <v>show</v>
      </c>
      <c r="F5189" t="str">
        <f>HYPERLINK("https://github.com/Anuken/Mindustry/releases","show")</f>
        <v>show</v>
      </c>
    </row>
    <row r="5190" spans="1:6">
      <c r="A5190" t="s">
        <v>15443</v>
      </c>
      <c r="B5190" t="s">
        <v>15444</v>
      </c>
      <c r="C5190" t="s">
        <v>15445</v>
      </c>
      <c r="D5190" t="str">
        <f>HYPERLINK("https://github.com/Anuken/Mindustry/issues/5254","show")</f>
        <v>show</v>
      </c>
      <c r="E5190" t="str">
        <f>HYPERLINK("https://github.com/Anuken/Mindustry","show")</f>
        <v>show</v>
      </c>
      <c r="F5190" t="str">
        <f>HYPERLINK("https://github.com/Anuken/Mindustry/releases","show")</f>
        <v>show</v>
      </c>
    </row>
    <row r="5191" spans="1:6">
      <c r="A5191" t="s">
        <v>15446</v>
      </c>
      <c r="B5191" t="s">
        <v>15447</v>
      </c>
      <c r="C5191" t="s">
        <v>15448</v>
      </c>
      <c r="D5191" t="str">
        <f>HYPERLINK("https://github.com/nextcloud/android/issues/8426","show")</f>
        <v>show</v>
      </c>
      <c r="E5191" t="str">
        <f>HYPERLINK("https://github.com/nextcloud/android","show")</f>
        <v>show</v>
      </c>
      <c r="F5191" t="str">
        <f>HYPERLINK("https://github.com/nextcloud/android/releases","show")</f>
        <v>show</v>
      </c>
    </row>
    <row r="5192" spans="1:6">
      <c r="A5192" t="s">
        <v>15449</v>
      </c>
      <c r="B5192" t="s">
        <v>15450</v>
      </c>
      <c r="C5192" t="s">
        <v>15451</v>
      </c>
      <c r="D5192" t="str">
        <f>HYPERLINK("https://github.com/capacitor-community/admob/issues/102","show")</f>
        <v>show</v>
      </c>
      <c r="E5192" t="str">
        <f>HYPERLINK("https://github.com/capacitor-community/admob","show")</f>
        <v>show</v>
      </c>
      <c r="F5192" t="str">
        <f>HYPERLINK("https://github.com/capacitor-community/admob/releases","show")</f>
        <v>show</v>
      </c>
    </row>
    <row r="5193" spans="1:6">
      <c r="A5193" t="s">
        <v>15452</v>
      </c>
      <c r="B5193" t="s">
        <v>15453</v>
      </c>
      <c r="C5193" t="s">
        <v>15454</v>
      </c>
      <c r="D5193" t="str">
        <f>HYPERLINK("https://github.com/MuntashirAkon/AppManager/issues/442","show")</f>
        <v>show</v>
      </c>
      <c r="E5193" t="str">
        <f>HYPERLINK("https://github.com/MuntashirAkon/AppManager","show")</f>
        <v>show</v>
      </c>
      <c r="F5193" t="str">
        <f>HYPERLINK("https://github.com/MuntashirAkon/AppManager/releases","show")</f>
        <v>show</v>
      </c>
    </row>
    <row r="5194" spans="1:6">
      <c r="A5194" t="s">
        <v>15455</v>
      </c>
      <c r="B5194" t="s">
        <v>15456</v>
      </c>
      <c r="C5194" t="s">
        <v>15457</v>
      </c>
      <c r="D5194" t="str">
        <f>HYPERLINK("https://github.com/nextcloud/android/issues/8420","show")</f>
        <v>show</v>
      </c>
      <c r="E5194" t="str">
        <f>HYPERLINK("https://github.com/nextcloud/android","show")</f>
        <v>show</v>
      </c>
      <c r="F5194" t="str">
        <f>HYPERLINK("https://github.com/nextcloud/android/releases","show")</f>
        <v>show</v>
      </c>
    </row>
    <row r="5195" spans="1:6">
      <c r="A5195" t="s">
        <v>15458</v>
      </c>
      <c r="B5195" t="s">
        <v>15459</v>
      </c>
      <c r="C5195" t="s">
        <v>15460</v>
      </c>
      <c r="D5195" t="str">
        <f>HYPERLINK("https://github.com/mollyim/mollyim-android/issues/47","show")</f>
        <v>show</v>
      </c>
      <c r="E5195" t="str">
        <f>HYPERLINK("https://github.com/mollyim/mollyim-android","show")</f>
        <v>show</v>
      </c>
      <c r="F5195" t="str">
        <f>HYPERLINK("https://github.com/mollyim/mollyim-android/releases","show")</f>
        <v>show</v>
      </c>
    </row>
    <row r="5196" spans="1:6">
      <c r="A5196" t="s">
        <v>15461</v>
      </c>
      <c r="B5196" t="s">
        <v>15462</v>
      </c>
      <c r="C5196" t="s">
        <v>15463</v>
      </c>
      <c r="D5196" t="str">
        <f>HYPERLINK("https://github.com/Anuken/Mindustry/issues/5250","show")</f>
        <v>show</v>
      </c>
      <c r="E5196" t="str">
        <f>HYPERLINK("https://github.com/Anuken/Mindustry","show")</f>
        <v>show</v>
      </c>
      <c r="F5196" t="str">
        <f>HYPERLINK("https://github.com/Anuken/Mindustry/releases","show")</f>
        <v>show</v>
      </c>
    </row>
    <row r="5197" spans="1:6">
      <c r="A5197" t="s">
        <v>15464</v>
      </c>
      <c r="B5197" t="s">
        <v>15465</v>
      </c>
      <c r="C5197" t="s">
        <v>15466</v>
      </c>
      <c r="D5197" t="str">
        <f>HYPERLINK("https://github.com/MuntashirAkon/AppManager/issues/441","show")</f>
        <v>show</v>
      </c>
      <c r="E5197" t="str">
        <f>HYPERLINK("https://github.com/MuntashirAkon/AppManager","show")</f>
        <v>show</v>
      </c>
      <c r="F5197" t="str">
        <f>HYPERLINK("https://github.com/MuntashirAkon/AppManager/releases","show")</f>
        <v>show</v>
      </c>
    </row>
    <row r="5198" spans="1:6">
      <c r="A5198" t="s">
        <v>15467</v>
      </c>
      <c r="B5198" t="s">
        <v>15468</v>
      </c>
      <c r="C5198" t="s">
        <v>15469</v>
      </c>
      <c r="D5198" t="str">
        <f>HYPERLINK("https://github.com/Anuken/Mindustry/issues/5249","show")</f>
        <v>show</v>
      </c>
      <c r="E5198" t="str">
        <f>HYPERLINK("https://github.com/Anuken/Mindustry","show")</f>
        <v>show</v>
      </c>
      <c r="F5198" t="str">
        <f>HYPERLINK("https://github.com/Anuken/Mindustry/releases","show")</f>
        <v>show</v>
      </c>
    </row>
    <row r="5199" spans="1:6">
      <c r="A5199" t="s">
        <v>15470</v>
      </c>
      <c r="B5199" t="s">
        <v>15471</v>
      </c>
      <c r="C5199" t="s">
        <v>15472</v>
      </c>
      <c r="D5199" t="str">
        <f>HYPERLINK("https://github.com/mvysny/aedict/issues/957","show")</f>
        <v>show</v>
      </c>
      <c r="E5199" t="str">
        <f>HYPERLINK("https://github.com/mvysny/aedict","show")</f>
        <v>show</v>
      </c>
      <c r="F5199" t="str">
        <f>HYPERLINK("https://github.com/mvysny/aedict/releases","show")</f>
        <v>show</v>
      </c>
    </row>
    <row r="5200" spans="1:6">
      <c r="A5200" t="s">
        <v>15473</v>
      </c>
      <c r="B5200" t="s">
        <v>15474</v>
      </c>
      <c r="C5200" t="s">
        <v>15475</v>
      </c>
      <c r="D5200" t="str">
        <f>HYPERLINK("https://github.com/nextcloud/android/issues/8417","show")</f>
        <v>show</v>
      </c>
      <c r="E5200" t="str">
        <f>HYPERLINK("https://github.com/nextcloud/android","show")</f>
        <v>show</v>
      </c>
      <c r="F5200" t="str">
        <f>HYPERLINK("https://github.com/nextcloud/android/releases","show")</f>
        <v>show</v>
      </c>
    </row>
    <row r="5201" spans="1:6">
      <c r="A5201" t="s">
        <v>15476</v>
      </c>
      <c r="B5201" t="s">
        <v>15477</v>
      </c>
      <c r="C5201" t="s">
        <v>15478</v>
      </c>
      <c r="D5201" t="str">
        <f>HYPERLINK("https://github.com/nextcloud/android/issues/8415","show")</f>
        <v>show</v>
      </c>
      <c r="E5201" t="str">
        <f>HYPERLINK("https://github.com/nextcloud/android","show")</f>
        <v>show</v>
      </c>
      <c r="F5201" t="str">
        <f>HYPERLINK("https://github.com/nextcloud/android/releases","show")</f>
        <v>show</v>
      </c>
    </row>
    <row r="5202" spans="1:6">
      <c r="A5202" t="s">
        <v>15479</v>
      </c>
      <c r="B5202" t="s">
        <v>15480</v>
      </c>
      <c r="C5202" t="s">
        <v>15481</v>
      </c>
      <c r="D5202" t="str">
        <f>HYPERLINK("https://github.com/MuntashirAkon/AppManager/issues/440","show")</f>
        <v>show</v>
      </c>
      <c r="E5202" t="str">
        <f>HYPERLINK("https://github.com/MuntashirAkon/AppManager","show")</f>
        <v>show</v>
      </c>
      <c r="F5202" t="str">
        <f>HYPERLINK("https://github.com/MuntashirAkon/AppManager/releases","show")</f>
        <v>show</v>
      </c>
    </row>
    <row r="5203" spans="1:6">
      <c r="A5203" t="s">
        <v>15482</v>
      </c>
      <c r="B5203" t="s">
        <v>15483</v>
      </c>
      <c r="C5203" t="s">
        <v>15484</v>
      </c>
      <c r="D5203" t="str">
        <f>HYPERLINK("https://github.com/TacoTheDank/Scoop/issues/13","show")</f>
        <v>show</v>
      </c>
      <c r="E5203" t="str">
        <f>HYPERLINK("https://github.com/TacoTheDank/Scoop","show")</f>
        <v>show</v>
      </c>
      <c r="F5203" t="str">
        <f>HYPERLINK("https://github.com/TacoTheDank/Scoop/releases","show")</f>
        <v>show</v>
      </c>
    </row>
    <row r="5204" spans="1:6">
      <c r="A5204" t="s">
        <v>15485</v>
      </c>
      <c r="B5204" t="s">
        <v>15486</v>
      </c>
      <c r="C5204" t="s">
        <v>15487</v>
      </c>
      <c r="D5204" t="str">
        <f>HYPERLINK("https://github.com/TeamNewPipe/NewPipe/issues/6306","show")</f>
        <v>show</v>
      </c>
      <c r="E5204" t="str">
        <f>HYPERLINK("https://github.com/TeamNewPipe/NewPipe","show")</f>
        <v>show</v>
      </c>
      <c r="F5204" t="str">
        <f>HYPERLINK("https://github.com/TeamNewPipe/NewPipe/releases","show")</f>
        <v>show</v>
      </c>
    </row>
    <row r="5205" spans="1:6">
      <c r="A5205" t="s">
        <v>15488</v>
      </c>
      <c r="B5205" t="s">
        <v>15489</v>
      </c>
      <c r="C5205" t="s">
        <v>15490</v>
      </c>
      <c r="D5205" t="str">
        <f>HYPERLINK("https://github.com/material-components/material-components-android/issues/2209","show")</f>
        <v>show</v>
      </c>
      <c r="E5205" t="str">
        <f>HYPERLINK("https://github.com/material-components/material-components-android","show")</f>
        <v>show</v>
      </c>
      <c r="F5205" t="str">
        <f>HYPERLINK("https://github.com/material-components/material-components-android/releases","show")</f>
        <v>show</v>
      </c>
    </row>
    <row r="5206" spans="1:6">
      <c r="A5206" t="s">
        <v>15491</v>
      </c>
      <c r="B5206" t="s">
        <v>15492</v>
      </c>
      <c r="C5206" t="s">
        <v>15493</v>
      </c>
      <c r="D5206" t="str">
        <f>HYPERLINK("https://github.com/TeamNewPipe/NewPipe/issues/6301","show")</f>
        <v>show</v>
      </c>
      <c r="E5206" t="str">
        <f>HYPERLINK("https://github.com/TeamNewPipe/NewPipe","show")</f>
        <v>show</v>
      </c>
      <c r="F5206" t="str">
        <f>HYPERLINK("https://github.com/TeamNewPipe/NewPipe/releases","show")</f>
        <v>show</v>
      </c>
    </row>
    <row r="5207" spans="1:6">
      <c r="A5207" t="s">
        <v>15494</v>
      </c>
      <c r="B5207" t="s">
        <v>15495</v>
      </c>
      <c r="C5207" t="s">
        <v>15496</v>
      </c>
      <c r="D5207" t="str">
        <f>HYPERLINK("https://github.com/TeamNewPipe/NewPipe/issues/6300","show")</f>
        <v>show</v>
      </c>
      <c r="E5207" t="str">
        <f>HYPERLINK("https://github.com/TeamNewPipe/NewPipe","show")</f>
        <v>show</v>
      </c>
      <c r="F5207" t="str">
        <f>HYPERLINK("https://github.com/TeamNewPipe/NewPipe/releases","show")</f>
        <v>show</v>
      </c>
    </row>
    <row r="5208" spans="1:6">
      <c r="A5208" t="s">
        <v>15497</v>
      </c>
      <c r="B5208" t="s">
        <v>15498</v>
      </c>
      <c r="C5208" t="s">
        <v>15499</v>
      </c>
      <c r="D5208" t="str">
        <f>HYPERLINK("https://github.com/Kira060200/banking_app/issues/18","show")</f>
        <v>show</v>
      </c>
      <c r="E5208" t="str">
        <f>HYPERLINK("https://github.com/Kira060200/banking_app","show")</f>
        <v>show</v>
      </c>
      <c r="F5208" t="str">
        <f>HYPERLINK("https://github.com/Kira060200/banking_app/releases","show")</f>
        <v>show</v>
      </c>
    </row>
    <row r="5209" spans="1:6">
      <c r="A5209" t="s">
        <v>15500</v>
      </c>
      <c r="B5209" t="s">
        <v>15501</v>
      </c>
      <c r="C5209" t="s">
        <v>15502</v>
      </c>
      <c r="D5209" t="str">
        <f>HYPERLINK("https://github.com/TeamNewPipe/NewPipe/issues/6286","show")</f>
        <v>show</v>
      </c>
      <c r="E5209" t="str">
        <f>HYPERLINK("https://github.com/TeamNewPipe/NewPipe","show")</f>
        <v>show</v>
      </c>
      <c r="F5209" t="str">
        <f>HYPERLINK("https://github.com/TeamNewPipe/NewPipe/releases","show")</f>
        <v>show</v>
      </c>
    </row>
    <row r="5210" spans="1:6">
      <c r="A5210" t="s">
        <v>15503</v>
      </c>
      <c r="B5210" t="s">
        <v>15504</v>
      </c>
      <c r="C5210" t="s">
        <v>15505</v>
      </c>
      <c r="D5210" t="str">
        <f>HYPERLINK("https://github.com/nextcloud/android/issues/8403","show")</f>
        <v>show</v>
      </c>
      <c r="E5210" t="str">
        <f>HYPERLINK("https://github.com/nextcloud/android","show")</f>
        <v>show</v>
      </c>
      <c r="F5210" t="str">
        <f>HYPERLINK("https://github.com/nextcloud/android/releases","show")</f>
        <v>show</v>
      </c>
    </row>
    <row r="5211" spans="1:6">
      <c r="A5211" t="s">
        <v>15506</v>
      </c>
      <c r="B5211" t="s">
        <v>15507</v>
      </c>
      <c r="C5211" t="s">
        <v>15508</v>
      </c>
      <c r="D5211" t="str">
        <f>HYPERLINK("https://github.com/nextcloud/android/issues/8400","show")</f>
        <v>show</v>
      </c>
      <c r="E5211" t="str">
        <f>HYPERLINK("https://github.com/nextcloud/android","show")</f>
        <v>show</v>
      </c>
      <c r="F5211" t="str">
        <f>HYPERLINK("https://github.com/nextcloud/android/releases","show")</f>
        <v>show</v>
      </c>
    </row>
    <row r="5212" spans="1:6">
      <c r="A5212" t="s">
        <v>15509</v>
      </c>
      <c r="B5212" t="s">
        <v>15510</v>
      </c>
      <c r="C5212" t="s">
        <v>15511</v>
      </c>
      <c r="D5212" t="str">
        <f>HYPERLINK("https://github.com/TeamNewPipe/NewPipe/issues/6284","show")</f>
        <v>show</v>
      </c>
      <c r="E5212" t="str">
        <f>HYPERLINK("https://github.com/TeamNewPipe/NewPipe","show")</f>
        <v>show</v>
      </c>
      <c r="F5212" t="str">
        <f>HYPERLINK("https://github.com/TeamNewPipe/NewPipe/releases","show")</f>
        <v>show</v>
      </c>
    </row>
    <row r="5213" spans="1:6">
      <c r="A5213" t="s">
        <v>15512</v>
      </c>
      <c r="B5213" t="s">
        <v>15513</v>
      </c>
      <c r="C5213" t="s">
        <v>15514</v>
      </c>
      <c r="D5213" t="str">
        <f>HYPERLINK("https://github.com/hauke96/GeoNotes/issues/32","show")</f>
        <v>show</v>
      </c>
      <c r="E5213" t="str">
        <f>HYPERLINK("https://github.com/hauke96/GeoNotes","show")</f>
        <v>show</v>
      </c>
      <c r="F5213" t="str">
        <f>HYPERLINK("https://github.com/hauke96/GeoNotes/releases","show")</f>
        <v>show</v>
      </c>
    </row>
    <row r="5214" spans="1:6">
      <c r="A5214" t="s">
        <v>15515</v>
      </c>
      <c r="B5214" t="s">
        <v>15516</v>
      </c>
      <c r="C5214" t="s">
        <v>15517</v>
      </c>
      <c r="D5214" t="str">
        <f>HYPERLINK("https://github.com/Anuken/Mindustry/issues/5241","show")</f>
        <v>show</v>
      </c>
      <c r="E5214" t="str">
        <f>HYPERLINK("https://github.com/Anuken/Mindustry","show")</f>
        <v>show</v>
      </c>
      <c r="F5214" t="str">
        <f>HYPERLINK("https://github.com/Anuken/Mindustry/releases","show")</f>
        <v>show</v>
      </c>
    </row>
    <row r="5215" spans="1:6">
      <c r="A5215" t="s">
        <v>15518</v>
      </c>
      <c r="B5215" t="s">
        <v>15519</v>
      </c>
      <c r="C5215" t="s">
        <v>15520</v>
      </c>
      <c r="D5215" t="str">
        <f>HYPERLINK("https://github.com/ankidroid/Anki-Android/issues/8822","show")</f>
        <v>show</v>
      </c>
      <c r="E5215" t="str">
        <f>HYPERLINK("https://github.com/ankidroid/Anki-Android","show")</f>
        <v>show</v>
      </c>
      <c r="F5215" t="str">
        <f>HYPERLINK("https://github.com/ankidroid/Anki-Android/releases","show")</f>
        <v>show</v>
      </c>
    </row>
    <row r="5216" spans="1:6">
      <c r="A5216" t="s">
        <v>15521</v>
      </c>
      <c r="B5216" t="s">
        <v>15522</v>
      </c>
      <c r="C5216" t="s">
        <v>15523</v>
      </c>
      <c r="D5216" t="str">
        <f>HYPERLINK("https://github.com/ankidroid/Anki-Android/issues/8821","show")</f>
        <v>show</v>
      </c>
      <c r="E5216" t="str">
        <f>HYPERLINK("https://github.com/ankidroid/Anki-Android","show")</f>
        <v>show</v>
      </c>
      <c r="F5216" t="str">
        <f>HYPERLINK("https://github.com/ankidroid/Anki-Android/releases","show")</f>
        <v>show</v>
      </c>
    </row>
    <row r="5217" spans="1:6">
      <c r="A5217" t="s">
        <v>15524</v>
      </c>
      <c r="B5217" t="s">
        <v>15525</v>
      </c>
      <c r="C5217" t="s">
        <v>15526</v>
      </c>
      <c r="D5217" t="str">
        <f>HYPERLINK("https://github.com/jellyfin/jellyfin-androidtv/issues/885","show")</f>
        <v>show</v>
      </c>
      <c r="E5217" t="str">
        <f>HYPERLINK("https://github.com/jellyfin/jellyfin-androidtv","show")</f>
        <v>show</v>
      </c>
      <c r="F5217" t="str">
        <f>HYPERLINK("https://github.com/jellyfin/jellyfin-androidtv/releases","show")</f>
        <v>show</v>
      </c>
    </row>
    <row r="5218" spans="1:6">
      <c r="A5218" t="s">
        <v>15527</v>
      </c>
      <c r="B5218" t="s">
        <v>15528</v>
      </c>
      <c r="C5218" t="s">
        <v>15529</v>
      </c>
      <c r="D5218" t="str">
        <f>HYPERLINK("https://github.com/miguelpruivo/flutter_file_picker/issues/708","show")</f>
        <v>show</v>
      </c>
      <c r="E5218" t="str">
        <f>HYPERLINK("https://github.com/miguelpruivo/flutter_file_picker","show")</f>
        <v>show</v>
      </c>
      <c r="F5218" t="str">
        <f>HYPERLINK("https://github.com/miguelpruivo/flutter_file_picker/releases","show")</f>
        <v>show</v>
      </c>
    </row>
    <row r="5219" spans="1:6">
      <c r="A5219" t="s">
        <v>15530</v>
      </c>
      <c r="B5219" t="s">
        <v>15531</v>
      </c>
      <c r="C5219" t="s">
        <v>15532</v>
      </c>
      <c r="D5219" t="str">
        <f>HYPERLINK("https://github.com/PojavLauncherTeam/PojavLauncher/issues/1369","show")</f>
        <v>show</v>
      </c>
      <c r="E5219" t="str">
        <f>HYPERLINK("https://github.com/PojavLauncherTeam/PojavLauncher","show")</f>
        <v>show</v>
      </c>
      <c r="F5219" t="str">
        <f>HYPERLINK("https://github.com/PojavLauncherTeam/PojavLauncher/releases","show")</f>
        <v>show</v>
      </c>
    </row>
    <row r="5220" spans="1:6">
      <c r="A5220" t="s">
        <v>15533</v>
      </c>
      <c r="B5220" t="s">
        <v>15534</v>
      </c>
      <c r="C5220" t="s">
        <v>15535</v>
      </c>
      <c r="D5220" t="str">
        <f>HYPERLINK("https://github.com/voxeet/voxeet-uxkit-reactnative/issues/33","show")</f>
        <v>show</v>
      </c>
      <c r="E5220" t="str">
        <f>HYPERLINK("https://github.com/voxeet/voxeet-uxkit-reactnative","show")</f>
        <v>show</v>
      </c>
      <c r="F5220" t="str">
        <f>HYPERLINK("https://github.com/voxeet/voxeet-uxkit-reactnative/releases","show")</f>
        <v>show</v>
      </c>
    </row>
    <row r="5221" spans="1:6">
      <c r="A5221" t="s">
        <v>15536</v>
      </c>
      <c r="B5221" t="s">
        <v>15537</v>
      </c>
      <c r="C5221" t="s">
        <v>15538</v>
      </c>
      <c r="D5221" t="str">
        <f>HYPERLINK("https://github.com/PojavLauncherTeam/PojavLauncher/issues/1368","show")</f>
        <v>show</v>
      </c>
      <c r="E5221" t="str">
        <f>HYPERLINK("https://github.com/PojavLauncherTeam/PojavLauncher","show")</f>
        <v>show</v>
      </c>
      <c r="F5221" t="str">
        <f>HYPERLINK("https://github.com/PojavLauncherTeam/PojavLauncher/releases","show")</f>
        <v>show</v>
      </c>
    </row>
    <row r="5222" spans="1:6">
      <c r="A5222" t="s">
        <v>15539</v>
      </c>
      <c r="B5222" t="s">
        <v>15540</v>
      </c>
      <c r="C5222" t="s">
        <v>15541</v>
      </c>
      <c r="D5222" t="str">
        <f>HYPERLINK("https://github.com/TeamNewPipe/NewPipe/issues/6276","show")</f>
        <v>show</v>
      </c>
      <c r="E5222" t="str">
        <f>HYPERLINK("https://github.com/TeamNewPipe/NewPipe","show")</f>
        <v>show</v>
      </c>
      <c r="F5222" t="str">
        <f>HYPERLINK("https://github.com/TeamNewPipe/NewPipe/releases","show")</f>
        <v>show</v>
      </c>
    </row>
    <row r="5223" spans="1:6">
      <c r="A5223" t="s">
        <v>15542</v>
      </c>
      <c r="B5223" t="s">
        <v>15543</v>
      </c>
      <c r="C5223" t="s">
        <v>15544</v>
      </c>
      <c r="D5223" t="str">
        <f>HYPERLINK("https://github.com/inaturalist/iNaturalistAndroid/issues/1040","show")</f>
        <v>show</v>
      </c>
      <c r="E5223" t="str">
        <f>HYPERLINK("https://github.com/inaturalist/iNaturalistAndroid","show")</f>
        <v>show</v>
      </c>
      <c r="F5223" t="str">
        <f>HYPERLINK("https://github.com/inaturalist/iNaturalistAndroid/releases","show")</f>
        <v>show</v>
      </c>
    </row>
    <row r="5224" spans="1:6">
      <c r="A5224" t="s">
        <v>15545</v>
      </c>
      <c r="B5224" t="s">
        <v>15546</v>
      </c>
      <c r="C5224" t="s">
        <v>15547</v>
      </c>
      <c r="D5224" t="str">
        <f>HYPERLINK("https://github.com/falzonv/discreet-launcher/issues/45","show")</f>
        <v>show</v>
      </c>
      <c r="E5224" t="str">
        <f>HYPERLINK("https://github.com/falzonv/discreet-launcher","show")</f>
        <v>show</v>
      </c>
      <c r="F5224" t="str">
        <f>HYPERLINK("https://github.com/falzonv/discreet-launcher/releases","show")</f>
        <v>show</v>
      </c>
    </row>
    <row r="5225" spans="1:6">
      <c r="A5225" t="s">
        <v>15548</v>
      </c>
      <c r="B5225" t="s">
        <v>15549</v>
      </c>
      <c r="C5225" t="s">
        <v>15550</v>
      </c>
      <c r="D5225" t="str">
        <f>HYPERLINK("https://github.com/TrackerControl/tracker-control-android/issues/193","show")</f>
        <v>show</v>
      </c>
      <c r="E5225" t="str">
        <f>HYPERLINK("https://github.com/TrackerControl/tracker-control-android","show")</f>
        <v>show</v>
      </c>
      <c r="F5225" t="str">
        <f>HYPERLINK("https://github.com/TrackerControl/tracker-control-android/releases","show")</f>
        <v>show</v>
      </c>
    </row>
    <row r="5226" spans="1:6">
      <c r="A5226" t="s">
        <v>15551</v>
      </c>
      <c r="B5226" t="s">
        <v>15552</v>
      </c>
      <c r="C5226" t="s">
        <v>15553</v>
      </c>
      <c r="D5226" t="str">
        <f>HYPERLINK("https://github.com/PojavLauncherTeam/PojavLauncher/issues/1367","show")</f>
        <v>show</v>
      </c>
      <c r="E5226" t="str">
        <f>HYPERLINK("https://github.com/PojavLauncherTeam/PojavLauncher","show")</f>
        <v>show</v>
      </c>
      <c r="F5226" t="str">
        <f>HYPERLINK("https://github.com/PojavLauncherTeam/PojavLauncher/releases","show")</f>
        <v>show</v>
      </c>
    </row>
    <row r="5227" spans="1:6">
      <c r="A5227" t="s">
        <v>15554</v>
      </c>
      <c r="B5227" t="s">
        <v>15555</v>
      </c>
      <c r="C5227" t="s">
        <v>15556</v>
      </c>
      <c r="D5227" t="str">
        <f>HYPERLINK("https://github.com/react-native-share/react-native-share/issues/1024","show")</f>
        <v>show</v>
      </c>
      <c r="E5227" t="str">
        <f>HYPERLINK("https://github.com/react-native-share/react-native-share","show")</f>
        <v>show</v>
      </c>
      <c r="F5227" t="str">
        <f>HYPERLINK("https://github.com/react-native-share/react-native-share/releases","show")</f>
        <v>show</v>
      </c>
    </row>
    <row r="5228" spans="1:6">
      <c r="A5228" t="s">
        <v>15557</v>
      </c>
      <c r="B5228" t="s">
        <v>15558</v>
      </c>
      <c r="C5228" t="s">
        <v>15559</v>
      </c>
      <c r="D5228" t="str">
        <f>HYPERLINK("https://github.com/TeamNewPipe/NewPipe/issues/6273","show")</f>
        <v>show</v>
      </c>
      <c r="E5228" t="str">
        <f>HYPERLINK("https://github.com/TeamNewPipe/NewPipe","show")</f>
        <v>show</v>
      </c>
      <c r="F5228" t="str">
        <f>HYPERLINK("https://github.com/TeamNewPipe/NewPipe/releases","show")</f>
        <v>show</v>
      </c>
    </row>
    <row r="5229" spans="1:6">
      <c r="A5229" t="s">
        <v>15560</v>
      </c>
      <c r="B5229" t="s">
        <v>15561</v>
      </c>
      <c r="C5229" t="s">
        <v>15562</v>
      </c>
      <c r="D5229" t="str">
        <f>HYPERLINK("https://github.com/TeamNewPipe/NewPipe/issues/6269","show")</f>
        <v>show</v>
      </c>
      <c r="E5229" t="str">
        <f>HYPERLINK("https://github.com/TeamNewPipe/NewPipe","show")</f>
        <v>show</v>
      </c>
      <c r="F5229" t="str">
        <f>HYPERLINK("https://github.com/TeamNewPipe/NewPipe/releases","show")</f>
        <v>show</v>
      </c>
    </row>
    <row r="5230" spans="1:6">
      <c r="A5230" t="s">
        <v>15563</v>
      </c>
      <c r="B5230" t="s">
        <v>15564</v>
      </c>
      <c r="C5230" t="s">
        <v>15565</v>
      </c>
      <c r="D5230" t="str">
        <f>HYPERLINK("https://github.com/ankidroid/Anki-Android/issues/8807","show")</f>
        <v>show</v>
      </c>
      <c r="E5230" t="str">
        <f>HYPERLINK("https://github.com/ankidroid/Anki-Android","show")</f>
        <v>show</v>
      </c>
      <c r="F5230" t="str">
        <f>HYPERLINK("https://github.com/ankidroid/Anki-Android/releases","show")</f>
        <v>show</v>
      </c>
    </row>
    <row r="5231" spans="1:6">
      <c r="A5231" t="s">
        <v>15566</v>
      </c>
      <c r="B5231" t="s">
        <v>15567</v>
      </c>
      <c r="C5231" t="s">
        <v>15568</v>
      </c>
      <c r="D5231" t="str">
        <f>HYPERLINK("https://github.com/tchapgouv/tchap-android-legacy/issues/717","show")</f>
        <v>show</v>
      </c>
      <c r="E5231" t="str">
        <f>HYPERLINK("https://github.com/tchapgouv/tchap-android-legacy","show")</f>
        <v>show</v>
      </c>
      <c r="F5231" t="str">
        <f>HYPERLINK("https://github.com/tchapgouv/tchap-android-legacy/releases","show")</f>
        <v>show</v>
      </c>
    </row>
    <row r="5232" spans="1:6">
      <c r="A5232" t="s">
        <v>15569</v>
      </c>
      <c r="B5232" t="s">
        <v>15570</v>
      </c>
      <c r="C5232" t="s">
        <v>15571</v>
      </c>
      <c r="D5232" t="str">
        <f>HYPERLINK("https://github.com/jMonkeyEngine/jmonkeyengine/issues/1548","show")</f>
        <v>show</v>
      </c>
      <c r="E5232" t="str">
        <f>HYPERLINK("https://github.com/jMonkeyEngine/jmonkeyengine","show")</f>
        <v>show</v>
      </c>
      <c r="F5232" t="str">
        <f>HYPERLINK("https://github.com/jMonkeyEngine/jmonkeyengine/releases","show")</f>
        <v>show</v>
      </c>
    </row>
    <row r="5233" spans="1:6">
      <c r="A5233" t="s">
        <v>15572</v>
      </c>
      <c r="B5233" t="s">
        <v>15573</v>
      </c>
      <c r="C5233" t="s">
        <v>15574</v>
      </c>
      <c r="D5233" t="str">
        <f>HYPERLINK("https://github.com/nextcloud/android/issues/8380","show")</f>
        <v>show</v>
      </c>
      <c r="E5233" t="str">
        <f>HYPERLINK("https://github.com/nextcloud/android","show")</f>
        <v>show</v>
      </c>
      <c r="F5233" t="str">
        <f>HYPERLINK("https://github.com/nextcloud/android/releases","show")</f>
        <v>show</v>
      </c>
    </row>
    <row r="5234" spans="1:6">
      <c r="A5234" t="s">
        <v>15575</v>
      </c>
      <c r="B5234" t="s">
        <v>15576</v>
      </c>
      <c r="C5234" t="s">
        <v>15577</v>
      </c>
      <c r="D5234" t="str">
        <f>HYPERLINK("https://github.com/PojavLauncherTeam/PojavLauncher/issues/1359","show")</f>
        <v>show</v>
      </c>
      <c r="E5234" t="str">
        <f>HYPERLINK("https://github.com/PojavLauncherTeam/PojavLauncher","show")</f>
        <v>show</v>
      </c>
      <c r="F5234" t="str">
        <f>HYPERLINK("https://github.com/PojavLauncherTeam/PojavLauncher/releases","show")</f>
        <v>show</v>
      </c>
    </row>
    <row r="5235" spans="1:6">
      <c r="A5235" t="s">
        <v>15578</v>
      </c>
      <c r="B5235" t="s">
        <v>15579</v>
      </c>
      <c r="C5235" t="s">
        <v>15580</v>
      </c>
      <c r="D5235" t="str">
        <f>HYPERLINK("https://github.com/PojavLauncherTeam/PojavLauncher/issues/1358","show")</f>
        <v>show</v>
      </c>
      <c r="E5235" t="str">
        <f>HYPERLINK("https://github.com/PojavLauncherTeam/PojavLauncher","show")</f>
        <v>show</v>
      </c>
      <c r="F5235" t="str">
        <f>HYPERLINK("https://github.com/PojavLauncherTeam/PojavLauncher/releases","show")</f>
        <v>show</v>
      </c>
    </row>
    <row r="5236" spans="1:6">
      <c r="A5236" t="s">
        <v>15581</v>
      </c>
      <c r="B5236" t="s">
        <v>15582</v>
      </c>
      <c r="C5236" t="s">
        <v>15583</v>
      </c>
      <c r="D5236" t="str">
        <f>HYPERLINK("https://github.com/defold/extension-gpgs/issues/36","show")</f>
        <v>show</v>
      </c>
      <c r="E5236" t="str">
        <f>HYPERLINK("https://github.com/defold/extension-gpgs","show")</f>
        <v>show</v>
      </c>
      <c r="F5236" t="str">
        <f>HYPERLINK("https://github.com/defold/extension-gpgs/releases","show")</f>
        <v>show</v>
      </c>
    </row>
    <row r="5237" spans="1:6">
      <c r="A5237" t="s">
        <v>15584</v>
      </c>
      <c r="B5237" t="s">
        <v>15585</v>
      </c>
      <c r="C5237" t="s">
        <v>15586</v>
      </c>
      <c r="D5237" t="str">
        <f>HYPERLINK("https://github.com/ankidroid/Anki-Android/issues/8803","show")</f>
        <v>show</v>
      </c>
      <c r="E5237" t="str">
        <f>HYPERLINK("https://github.com/ankidroid/Anki-Android","show")</f>
        <v>show</v>
      </c>
      <c r="F5237" t="str">
        <f>HYPERLINK("https://github.com/ankidroid/Anki-Android/releases","show")</f>
        <v>show</v>
      </c>
    </row>
    <row r="5238" spans="1:6">
      <c r="A5238" t="s">
        <v>15587</v>
      </c>
      <c r="B5238" t="s">
        <v>15588</v>
      </c>
      <c r="C5238" t="s">
        <v>15589</v>
      </c>
      <c r="D5238" t="str">
        <f>HYPERLINK("https://github.com/nextcloud/android/issues/8378","show")</f>
        <v>show</v>
      </c>
      <c r="E5238" t="str">
        <f>HYPERLINK("https://github.com/nextcloud/android","show")</f>
        <v>show</v>
      </c>
      <c r="F5238" t="str">
        <f>HYPERLINK("https://github.com/nextcloud/android/releases","show")</f>
        <v>show</v>
      </c>
    </row>
    <row r="5239" spans="1:6">
      <c r="A5239" t="s">
        <v>15590</v>
      </c>
      <c r="B5239" t="s">
        <v>15591</v>
      </c>
      <c r="C5239" t="s">
        <v>15592</v>
      </c>
      <c r="D5239" t="str">
        <f>HYPERLINK("https://github.com/PojavLauncherTeam/PojavLauncher/issues/1354","show")</f>
        <v>show</v>
      </c>
      <c r="E5239" t="str">
        <f>HYPERLINK("https://github.com/PojavLauncherTeam/PojavLauncher","show")</f>
        <v>show</v>
      </c>
      <c r="F5239" t="str">
        <f>HYPERLINK("https://github.com/PojavLauncherTeam/PojavLauncher/releases","show")</f>
        <v>show</v>
      </c>
    </row>
    <row r="5240" spans="1:6">
      <c r="A5240" t="s">
        <v>15593</v>
      </c>
      <c r="B5240" t="s">
        <v>15594</v>
      </c>
      <c r="C5240" t="s">
        <v>15595</v>
      </c>
      <c r="D5240" t="str">
        <f>HYPERLINK("https://github.com/nextcloud/talk-android/issues/1233","show")</f>
        <v>show</v>
      </c>
      <c r="E5240" t="str">
        <f>HYPERLINK("https://github.com/nextcloud/talk-android","show")</f>
        <v>show</v>
      </c>
      <c r="F5240" t="str">
        <f>HYPERLINK("https://github.com/nextcloud/talk-android/releases","show")</f>
        <v>show</v>
      </c>
    </row>
    <row r="5241" spans="1:6">
      <c r="A5241" t="s">
        <v>15596</v>
      </c>
      <c r="B5241" t="s">
        <v>15597</v>
      </c>
      <c r="C5241" t="s">
        <v>15598</v>
      </c>
      <c r="D5241" t="str">
        <f>HYPERLINK("https://github.com/Blankj/AndroidUtilCode/issues/1499","show")</f>
        <v>show</v>
      </c>
      <c r="E5241" t="str">
        <f>HYPERLINK("https://github.com/Blankj/AndroidUtilCode","show")</f>
        <v>show</v>
      </c>
      <c r="F5241" t="str">
        <f>HYPERLINK("https://github.com/Blankj/AndroidUtilCode/releases","show")</f>
        <v>show</v>
      </c>
    </row>
    <row r="5242" spans="1:6">
      <c r="A5242" t="s">
        <v>15599</v>
      </c>
      <c r="B5242" t="s">
        <v>15600</v>
      </c>
      <c r="C5242" t="s">
        <v>15601</v>
      </c>
      <c r="D5242" t="str">
        <f>HYPERLINK("https://github.com/dariuszseweryn/RxAndroidBle/issues/750","show")</f>
        <v>show</v>
      </c>
      <c r="E5242" t="str">
        <f>HYPERLINK("https://github.com/dariuszseweryn/RxAndroidBle","show")</f>
        <v>show</v>
      </c>
      <c r="F5242" t="str">
        <f>HYPERLINK("https://github.com/dariuszseweryn/RxAndroidBle/releases","show")</f>
        <v>show</v>
      </c>
    </row>
    <row r="5243" spans="1:6">
      <c r="A5243" t="s">
        <v>15602</v>
      </c>
      <c r="B5243" t="s">
        <v>15603</v>
      </c>
      <c r="C5243" t="s">
        <v>15604</v>
      </c>
      <c r="D5243" t="str">
        <f>HYPERLINK("https://github.com/TeamNewPipe/NewPipe/issues/6259","show")</f>
        <v>show</v>
      </c>
      <c r="E5243" t="str">
        <f>HYPERLINK("https://github.com/TeamNewPipe/NewPipe","show")</f>
        <v>show</v>
      </c>
      <c r="F5243" t="str">
        <f>HYPERLINK("https://github.com/TeamNewPipe/NewPipe/releases","show")</f>
        <v>show</v>
      </c>
    </row>
    <row r="5244" spans="1:6">
      <c r="A5244" t="s">
        <v>15605</v>
      </c>
      <c r="B5244" t="s">
        <v>15606</v>
      </c>
      <c r="C5244" t="s">
        <v>15607</v>
      </c>
      <c r="D5244" t="str">
        <f>HYPERLINK("https://github.com/TeamNewPipe/NewPipe-legacy/issues/73","show")</f>
        <v>show</v>
      </c>
      <c r="E5244" t="str">
        <f>HYPERLINK("https://github.com/TeamNewPipe/NewPipe-legacy","show")</f>
        <v>show</v>
      </c>
      <c r="F5244" t="str">
        <f>HYPERLINK("https://github.com/TeamNewPipe/NewPipe-legacy/releases","show")</f>
        <v>show</v>
      </c>
    </row>
    <row r="5245" spans="1:6">
      <c r="A5245" t="s">
        <v>15608</v>
      </c>
      <c r="B5245" t="s">
        <v>15609</v>
      </c>
      <c r="C5245" t="s">
        <v>15610</v>
      </c>
      <c r="D5245" t="str">
        <f>HYPERLINK("https://github.com/jMonkeyEngine/jmonkeyengine/issues/1544","show")</f>
        <v>show</v>
      </c>
      <c r="E5245" t="str">
        <f>HYPERLINK("https://github.com/jMonkeyEngine/jmonkeyengine","show")</f>
        <v>show</v>
      </c>
      <c r="F5245" t="str">
        <f>HYPERLINK("https://github.com/jMonkeyEngine/jmonkeyengine/releases","show")</f>
        <v>show</v>
      </c>
    </row>
    <row r="5246" spans="1:6">
      <c r="A5246" t="s">
        <v>15611</v>
      </c>
      <c r="B5246" t="s">
        <v>15612</v>
      </c>
      <c r="C5246" t="s">
        <v>15613</v>
      </c>
      <c r="D5246" t="str">
        <f>HYPERLINK("https://github.com/andOTP/andOTP/issues/827","show")</f>
        <v>show</v>
      </c>
      <c r="E5246" t="str">
        <f>HYPERLINK("https://github.com/andOTP/andOTP","show")</f>
        <v>show</v>
      </c>
      <c r="F5246" t="str">
        <f>HYPERLINK("https://github.com/andOTP/andOTP/releases","show")</f>
        <v>show</v>
      </c>
    </row>
    <row r="5247" spans="1:6">
      <c r="A5247" t="s">
        <v>15614</v>
      </c>
      <c r="B5247" t="s">
        <v>15615</v>
      </c>
      <c r="C5247" t="s">
        <v>15616</v>
      </c>
      <c r="D5247" t="str">
        <f>HYPERLINK("https://github.com/LSPosed/LSPosed/issues/553","show")</f>
        <v>show</v>
      </c>
      <c r="E5247" t="str">
        <f>HYPERLINK("https://github.com/LSPosed/LSPosed","show")</f>
        <v>show</v>
      </c>
      <c r="F5247" t="str">
        <f>HYPERLINK("https://github.com/LSPosed/LSPosed/releases","show")</f>
        <v>show</v>
      </c>
    </row>
    <row r="5248" spans="1:6">
      <c r="A5248" t="s">
        <v>15617</v>
      </c>
      <c r="B5248" t="s">
        <v>15618</v>
      </c>
      <c r="C5248" t="s">
        <v>15619</v>
      </c>
      <c r="D5248" t="str">
        <f>HYPERLINK("https://github.com/LSPosed/LSPosed/issues/550","show")</f>
        <v>show</v>
      </c>
      <c r="E5248" t="str">
        <f>HYPERLINK("https://github.com/LSPosed/LSPosed","show")</f>
        <v>show</v>
      </c>
      <c r="F5248" t="str">
        <f>HYPERLINK("https://github.com/LSPosed/LSPosed/releases","show")</f>
        <v>show</v>
      </c>
    </row>
    <row r="5249" spans="1:6">
      <c r="A5249" t="s">
        <v>15620</v>
      </c>
      <c r="B5249" t="s">
        <v>15621</v>
      </c>
      <c r="C5249" t="s">
        <v>15622</v>
      </c>
      <c r="D5249" t="str">
        <f>HYPERLINK("https://github.com/TeamNewPipe/NewPipe/issues/6255","show")</f>
        <v>show</v>
      </c>
      <c r="E5249" t="str">
        <f>HYPERLINK("https://github.com/TeamNewPipe/NewPipe","show")</f>
        <v>show</v>
      </c>
      <c r="F5249" t="str">
        <f>HYPERLINK("https://github.com/TeamNewPipe/NewPipe/releases","show")</f>
        <v>show</v>
      </c>
    </row>
    <row r="5250" spans="1:6">
      <c r="A5250" t="s">
        <v>15623</v>
      </c>
      <c r="B5250" t="s">
        <v>15624</v>
      </c>
      <c r="C5250" t="s">
        <v>15625</v>
      </c>
      <c r="D5250" t="str">
        <f>HYPERLINK("https://github.com/Anuken/Mindustry/issues/5219","show")</f>
        <v>show</v>
      </c>
      <c r="E5250" t="str">
        <f>HYPERLINK("https://github.com/Anuken/Mindustry","show")</f>
        <v>show</v>
      </c>
      <c r="F5250" t="str">
        <f>HYPERLINK("https://github.com/Anuken/Mindustry/releases","show")</f>
        <v>show</v>
      </c>
    </row>
    <row r="5251" spans="1:6">
      <c r="A5251" t="s">
        <v>15626</v>
      </c>
      <c r="B5251" t="s">
        <v>15627</v>
      </c>
      <c r="C5251" t="s">
        <v>15628</v>
      </c>
      <c r="D5251" t="str">
        <f>HYPERLINK("https://github.com/Anuken/Mindustry/issues/5218","show")</f>
        <v>show</v>
      </c>
      <c r="E5251" t="str">
        <f>HYPERLINK("https://github.com/Anuken/Mindustry","show")</f>
        <v>show</v>
      </c>
      <c r="F5251" t="str">
        <f>HYPERLINK("https://github.com/Anuken/Mindustry/releases","show")</f>
        <v>show</v>
      </c>
    </row>
    <row r="5252" spans="1:6">
      <c r="A5252" t="s">
        <v>15629</v>
      </c>
      <c r="B5252" t="s">
        <v>15630</v>
      </c>
      <c r="C5252" t="s">
        <v>15631</v>
      </c>
      <c r="D5252" t="str">
        <f>HYPERLINK("https://github.com/Anuken/Mindustry/issues/5217","show")</f>
        <v>show</v>
      </c>
      <c r="E5252" t="str">
        <f>HYPERLINK("https://github.com/Anuken/Mindustry","show")</f>
        <v>show</v>
      </c>
      <c r="F5252" t="str">
        <f>HYPERLINK("https://github.com/Anuken/Mindustry/releases","show")</f>
        <v>show</v>
      </c>
    </row>
    <row r="5253" spans="1:6">
      <c r="A5253" t="s">
        <v>15632</v>
      </c>
      <c r="B5253" t="s">
        <v>15633</v>
      </c>
      <c r="C5253" t="s">
        <v>15634</v>
      </c>
      <c r="D5253" t="str">
        <f>HYPERLINK("https://github.com/dariuszseweryn/RxAndroidBle/issues/749","show")</f>
        <v>show</v>
      </c>
      <c r="E5253" t="str">
        <f>HYPERLINK("https://github.com/dariuszseweryn/RxAndroidBle","show")</f>
        <v>show</v>
      </c>
      <c r="F5253" t="str">
        <f>HYPERLINK("https://github.com/dariuszseweryn/RxAndroidBle/releases","show")</f>
        <v>show</v>
      </c>
    </row>
    <row r="5254" spans="1:6">
      <c r="A5254" t="s">
        <v>15635</v>
      </c>
      <c r="B5254" t="s">
        <v>15636</v>
      </c>
      <c r="C5254" t="s">
        <v>10095</v>
      </c>
      <c r="D5254" t="str">
        <f>HYPERLINK("https://github.com/TeamNewPipe/NewPipe/issues/6253","show")</f>
        <v>show</v>
      </c>
      <c r="E5254" t="str">
        <f>HYPERLINK("https://github.com/TeamNewPipe/NewPipe","show")</f>
        <v>show</v>
      </c>
      <c r="F5254" t="str">
        <f>HYPERLINK("https://github.com/TeamNewPipe/NewPipe/releases","show")</f>
        <v>show</v>
      </c>
    </row>
    <row r="5255" spans="1:6">
      <c r="A5255" t="s">
        <v>15637</v>
      </c>
      <c r="B5255" t="s">
        <v>15638</v>
      </c>
      <c r="C5255" t="s">
        <v>12094</v>
      </c>
      <c r="D5255" t="str">
        <f>HYPERLINK("https://github.com/Anuken/Mindustry/issues/5214","show")</f>
        <v>show</v>
      </c>
      <c r="E5255" t="str">
        <f>HYPERLINK("https://github.com/Anuken/Mindustry","show")</f>
        <v>show</v>
      </c>
      <c r="F5255" t="str">
        <f>HYPERLINK("https://github.com/Anuken/Mindustry/releases","show")</f>
        <v>show</v>
      </c>
    </row>
    <row r="5256" spans="1:6">
      <c r="A5256" t="s">
        <v>15639</v>
      </c>
      <c r="B5256" t="s">
        <v>15640</v>
      </c>
      <c r="C5256" t="s">
        <v>15641</v>
      </c>
      <c r="D5256" t="str">
        <f>HYPERLINK("https://github.com/PojavLauncherTeam/PojavLauncher/issues/1343","show")</f>
        <v>show</v>
      </c>
      <c r="E5256" t="str">
        <f>HYPERLINK("https://github.com/PojavLauncherTeam/PojavLauncher","show")</f>
        <v>show</v>
      </c>
      <c r="F5256" t="str">
        <f>HYPERLINK("https://github.com/PojavLauncherTeam/PojavLauncher/releases","show")</f>
        <v>show</v>
      </c>
    </row>
    <row r="5257" spans="1:6">
      <c r="A5257" t="s">
        <v>15642</v>
      </c>
      <c r="B5257" t="s">
        <v>15643</v>
      </c>
      <c r="C5257" t="s">
        <v>15644</v>
      </c>
      <c r="D5257" t="str">
        <f>HYPERLINK("https://github.com/cgeo/cgeo/issues/10550","show")</f>
        <v>show</v>
      </c>
      <c r="E5257" t="str">
        <f>HYPERLINK("https://github.com/cgeo/cgeo","show")</f>
        <v>show</v>
      </c>
      <c r="F5257" t="str">
        <f>HYPERLINK("https://github.com/cgeo/cgeo/releases","show")</f>
        <v>show</v>
      </c>
    </row>
    <row r="5258" spans="1:6">
      <c r="A5258" t="s">
        <v>15645</v>
      </c>
      <c r="B5258" t="s">
        <v>15646</v>
      </c>
      <c r="C5258" t="s">
        <v>15647</v>
      </c>
      <c r="D5258" t="str">
        <f>HYPERLINK("https://github.com/Blankj/AndroidUtilCode/issues/1493","show")</f>
        <v>show</v>
      </c>
      <c r="E5258" t="str">
        <f>HYPERLINK("https://github.com/Blankj/AndroidUtilCode","show")</f>
        <v>show</v>
      </c>
      <c r="F5258" t="str">
        <f>HYPERLINK("https://github.com/Blankj/AndroidUtilCode/releases","show")</f>
        <v>show</v>
      </c>
    </row>
    <row r="5259" spans="1:6">
      <c r="A5259" t="s">
        <v>15648</v>
      </c>
      <c r="B5259" t="s">
        <v>15649</v>
      </c>
      <c r="C5259" t="s">
        <v>15650</v>
      </c>
      <c r="D5259" t="str">
        <f>HYPERLINK("https://github.com/PojavLauncherTeam/PojavLauncher/issues/1335","show")</f>
        <v>show</v>
      </c>
      <c r="E5259" t="str">
        <f>HYPERLINK("https://github.com/PojavLauncherTeam/PojavLauncher","show")</f>
        <v>show</v>
      </c>
      <c r="F5259" t="str">
        <f>HYPERLINK("https://github.com/PojavLauncherTeam/PojavLauncher/releases","show")</f>
        <v>show</v>
      </c>
    </row>
    <row r="5260" spans="1:6">
      <c r="A5260" t="s">
        <v>15651</v>
      </c>
      <c r="B5260" t="s">
        <v>15652</v>
      </c>
      <c r="C5260" t="s">
        <v>15653</v>
      </c>
      <c r="D5260" t="str">
        <f>HYPERLINK("https://github.com/uerceg/play-install-referrer-react-native/issues/6","show")</f>
        <v>show</v>
      </c>
      <c r="E5260" t="str">
        <f>HYPERLINK("https://github.com/uerceg/play-install-referrer-react-native","show")</f>
        <v>show</v>
      </c>
      <c r="F5260" t="str">
        <f>HYPERLINK("https://github.com/uerceg/play-install-referrer-react-native/releases","show")</f>
        <v>show</v>
      </c>
    </row>
    <row r="5261" spans="1:6">
      <c r="A5261" t="s">
        <v>15654</v>
      </c>
      <c r="B5261" t="s">
        <v>15655</v>
      </c>
      <c r="C5261" t="s">
        <v>15656</v>
      </c>
      <c r="D5261" t="str">
        <f>HYPERLINK("https://github.com/opensrp/opensrp-client-reveal/issues/1403","show")</f>
        <v>show</v>
      </c>
      <c r="E5261" t="str">
        <f>HYPERLINK("https://github.com/opensrp/opensrp-client-reveal","show")</f>
        <v>show</v>
      </c>
      <c r="F5261" t="str">
        <f>HYPERLINK("https://github.com/opensrp/opensrp-client-reveal/releases","show")</f>
        <v>show</v>
      </c>
    </row>
    <row r="5262" spans="1:6">
      <c r="A5262" t="s">
        <v>15657</v>
      </c>
      <c r="B5262" t="s">
        <v>15658</v>
      </c>
      <c r="C5262" t="s">
        <v>15659</v>
      </c>
      <c r="D5262" t="str">
        <f>HYPERLINK("https://github.com/TeamNewPipe/NewPipe/issues/6241","show")</f>
        <v>show</v>
      </c>
      <c r="E5262" t="str">
        <f>HYPERLINK("https://github.com/TeamNewPipe/NewPipe","show")</f>
        <v>show</v>
      </c>
      <c r="F5262" t="str">
        <f>HYPERLINK("https://github.com/TeamNewPipe/NewPipe/releases","show")</f>
        <v>show</v>
      </c>
    </row>
    <row r="5263" spans="1:6">
      <c r="A5263" t="s">
        <v>15660</v>
      </c>
      <c r="B5263" t="s">
        <v>15661</v>
      </c>
      <c r="C5263" t="s">
        <v>15662</v>
      </c>
      <c r="D5263" t="str">
        <f>HYPERLINK("https://github.com/DIT112-V21/group-01/issues/50","show")</f>
        <v>show</v>
      </c>
      <c r="E5263" t="str">
        <f>HYPERLINK("https://github.com/DIT112-V21/group-01","show")</f>
        <v>show</v>
      </c>
      <c r="F5263" t="str">
        <f>HYPERLINK("https://github.com/DIT112-V21/group-01/releases","show")</f>
        <v>show</v>
      </c>
    </row>
    <row r="5264" spans="1:6">
      <c r="A5264" t="s">
        <v>15663</v>
      </c>
      <c r="B5264" t="s">
        <v>15664</v>
      </c>
      <c r="C5264" t="s">
        <v>15665</v>
      </c>
      <c r="D5264" t="str">
        <f>HYPERLINK("https://github.com/TeamNewPipe/NewPipe/issues/6237","show")</f>
        <v>show</v>
      </c>
      <c r="E5264" t="str">
        <f>HYPERLINK("https://github.com/TeamNewPipe/NewPipe","show")</f>
        <v>show</v>
      </c>
      <c r="F5264" t="str">
        <f>HYPERLINK("https://github.com/TeamNewPipe/NewPipe/releases","show")</f>
        <v>show</v>
      </c>
    </row>
    <row r="5265" spans="1:6">
      <c r="A5265" t="s">
        <v>15666</v>
      </c>
      <c r="B5265" t="s">
        <v>15664</v>
      </c>
      <c r="C5265" t="s">
        <v>10095</v>
      </c>
      <c r="D5265" t="str">
        <f>HYPERLINK("https://github.com/TeamNewPipe/NewPipe/issues/6236","show")</f>
        <v>show</v>
      </c>
      <c r="E5265" t="str">
        <f>HYPERLINK("https://github.com/TeamNewPipe/NewPipe","show")</f>
        <v>show</v>
      </c>
      <c r="F5265" t="str">
        <f>HYPERLINK("https://github.com/TeamNewPipe/NewPipe/releases","show")</f>
        <v>show</v>
      </c>
    </row>
    <row r="5266" spans="1:6">
      <c r="A5266" t="s">
        <v>15667</v>
      </c>
      <c r="B5266" t="s">
        <v>15668</v>
      </c>
      <c r="C5266" t="s">
        <v>15669</v>
      </c>
      <c r="D5266" t="str">
        <f>HYPERLINK("https://github.com/TeamNewPipe/NewPipe/issues/6233","show")</f>
        <v>show</v>
      </c>
      <c r="E5266" t="str">
        <f>HYPERLINK("https://github.com/TeamNewPipe/NewPipe","show")</f>
        <v>show</v>
      </c>
      <c r="F5266" t="str">
        <f>HYPERLINK("https://github.com/TeamNewPipe/NewPipe/releases","show")</f>
        <v>show</v>
      </c>
    </row>
    <row r="5267" spans="1:6">
      <c r="A5267" t="s">
        <v>15670</v>
      </c>
      <c r="B5267" t="s">
        <v>15671</v>
      </c>
      <c r="C5267" t="s">
        <v>15672</v>
      </c>
      <c r="D5267" t="str">
        <f>HYPERLINK("https://github.com/TeamNewPipe/NewPipe/issues/6231","show")</f>
        <v>show</v>
      </c>
      <c r="E5267" t="str">
        <f>HYPERLINK("https://github.com/TeamNewPipe/NewPipe","show")</f>
        <v>show</v>
      </c>
      <c r="F5267" t="str">
        <f>HYPERLINK("https://github.com/TeamNewPipe/NewPipe/releases","show")</f>
        <v>show</v>
      </c>
    </row>
    <row r="5268" spans="1:6">
      <c r="A5268" t="s">
        <v>15673</v>
      </c>
      <c r="B5268" t="s">
        <v>15674</v>
      </c>
      <c r="C5268" t="s">
        <v>15675</v>
      </c>
      <c r="D5268" t="str">
        <f>HYPERLINK("https://github.com/gsantner/markor/issues/1329","show")</f>
        <v>show</v>
      </c>
      <c r="E5268" t="str">
        <f>HYPERLINK("https://github.com/gsantner/markor","show")</f>
        <v>show</v>
      </c>
      <c r="F5268" t="str">
        <f>HYPERLINK("https://github.com/gsantner/markor/releases","show")</f>
        <v>show</v>
      </c>
    </row>
    <row r="5269" spans="1:6">
      <c r="A5269" t="s">
        <v>15676</v>
      </c>
      <c r="B5269" t="s">
        <v>15677</v>
      </c>
      <c r="C5269" t="s">
        <v>15678</v>
      </c>
      <c r="D5269" t="str">
        <f>HYPERLINK("https://github.com/TeamNewPipe/NewPipe/issues/6227","show")</f>
        <v>show</v>
      </c>
      <c r="E5269" t="str">
        <f>HYPERLINK("https://github.com/TeamNewPipe/NewPipe","show")</f>
        <v>show</v>
      </c>
      <c r="F5269" t="str">
        <f>HYPERLINK("https://github.com/TeamNewPipe/NewPipe/releases","show")</f>
        <v>show</v>
      </c>
    </row>
    <row r="5270" spans="1:6">
      <c r="A5270" t="s">
        <v>15679</v>
      </c>
      <c r="B5270" t="s">
        <v>15680</v>
      </c>
      <c r="C5270" t="s">
        <v>15681</v>
      </c>
      <c r="D5270" t="str">
        <f>HYPERLINK("https://github.com/TeamNewPipe/NewPipe/issues/6224","show")</f>
        <v>show</v>
      </c>
      <c r="E5270" t="str">
        <f>HYPERLINK("https://github.com/TeamNewPipe/NewPipe","show")</f>
        <v>show</v>
      </c>
      <c r="F5270" t="str">
        <f>HYPERLINK("https://github.com/TeamNewPipe/NewPipe/releases","show")</f>
        <v>show</v>
      </c>
    </row>
    <row r="5271" spans="1:6">
      <c r="A5271" t="s">
        <v>15682</v>
      </c>
      <c r="B5271" t="s">
        <v>15683</v>
      </c>
      <c r="C5271" t="s">
        <v>15684</v>
      </c>
      <c r="D5271" t="str">
        <f>HYPERLINK("https://github.com/TeamNewPipe/NewPipe/issues/6223","show")</f>
        <v>show</v>
      </c>
      <c r="E5271" t="str">
        <f>HYPERLINK("https://github.com/TeamNewPipe/NewPipe","show")</f>
        <v>show</v>
      </c>
      <c r="F5271" t="str">
        <f>HYPERLINK("https://github.com/TeamNewPipe/NewPipe/releases","show")</f>
        <v>show</v>
      </c>
    </row>
    <row r="5272" spans="1:6">
      <c r="A5272" t="s">
        <v>15685</v>
      </c>
      <c r="B5272" t="s">
        <v>15686</v>
      </c>
      <c r="C5272" t="s">
        <v>15687</v>
      </c>
      <c r="D5272" t="str">
        <f>HYPERLINK("https://github.com/AOF-Dev/MCinaBox/issues/1064","show")</f>
        <v>show</v>
      </c>
      <c r="E5272" t="str">
        <f>HYPERLINK("https://github.com/AOF-Dev/MCinaBox","show")</f>
        <v>show</v>
      </c>
      <c r="F5272" t="str">
        <f>HYPERLINK("https://github.com/AOF-Dev/MCinaBox/releases","show")</f>
        <v>show</v>
      </c>
    </row>
    <row r="5273" spans="1:6">
      <c r="A5273" t="s">
        <v>15688</v>
      </c>
      <c r="B5273" t="s">
        <v>15689</v>
      </c>
      <c r="C5273" t="s">
        <v>15690</v>
      </c>
      <c r="D5273" t="str">
        <f>HYPERLINK("https://github.com/nextcloud/android/issues/8342","show")</f>
        <v>show</v>
      </c>
      <c r="E5273" t="str">
        <f>HYPERLINK("https://github.com/nextcloud/android","show")</f>
        <v>show</v>
      </c>
      <c r="F5273" t="str">
        <f>HYPERLINK("https://github.com/nextcloud/android/releases","show")</f>
        <v>show</v>
      </c>
    </row>
    <row r="5274" spans="1:6">
      <c r="A5274" t="s">
        <v>15691</v>
      </c>
      <c r="B5274" t="s">
        <v>15692</v>
      </c>
      <c r="C5274" t="s">
        <v>15693</v>
      </c>
      <c r="D5274" t="str">
        <f>HYPERLINK("https://github.com/nextcloud/android/issues/8341","show")</f>
        <v>show</v>
      </c>
      <c r="E5274" t="str">
        <f>HYPERLINK("https://github.com/nextcloud/android","show")</f>
        <v>show</v>
      </c>
      <c r="F5274" t="str">
        <f>HYPERLINK("https://github.com/nextcloud/android/releases","show")</f>
        <v>show</v>
      </c>
    </row>
    <row r="5275" spans="1:6">
      <c r="A5275" t="s">
        <v>15694</v>
      </c>
      <c r="B5275" t="s">
        <v>15695</v>
      </c>
      <c r="C5275" t="s">
        <v>15696</v>
      </c>
      <c r="D5275" t="str">
        <f>HYPERLINK("https://github.com/PojavLauncherTeam/PojavLauncher/issues/1325","show")</f>
        <v>show</v>
      </c>
      <c r="E5275" t="str">
        <f>HYPERLINK("https://github.com/PojavLauncherTeam/PojavLauncher","show")</f>
        <v>show</v>
      </c>
      <c r="F5275" t="str">
        <f>HYPERLINK("https://github.com/PojavLauncherTeam/PojavLauncher/releases","show")</f>
        <v>show</v>
      </c>
    </row>
    <row r="5276" spans="1:6">
      <c r="A5276" t="s">
        <v>15697</v>
      </c>
      <c r="B5276" t="s">
        <v>15698</v>
      </c>
      <c r="C5276" t="s">
        <v>15699</v>
      </c>
      <c r="D5276" t="str">
        <f>HYPERLINK("https://github.com/Argentable/Exacto-GPS/issues/3","show")</f>
        <v>show</v>
      </c>
      <c r="E5276" t="str">
        <f>HYPERLINK("https://github.com/Argentable/Exacto-GPS","show")</f>
        <v>show</v>
      </c>
      <c r="F5276" t="str">
        <f>HYPERLINK("https://github.com/Argentable/Exacto-GPS/releases","show")</f>
        <v>show</v>
      </c>
    </row>
    <row r="5277" spans="1:6">
      <c r="A5277" t="s">
        <v>15700</v>
      </c>
      <c r="B5277" t="s">
        <v>15701</v>
      </c>
      <c r="C5277" t="s">
        <v>15702</v>
      </c>
      <c r="D5277" t="str">
        <f>HYPERLINK("https://github.com/TeamNewPipe/NewPipe/issues/6215","show")</f>
        <v>show</v>
      </c>
      <c r="E5277" t="str">
        <f>HYPERLINK("https://github.com/TeamNewPipe/NewPipe","show")</f>
        <v>show</v>
      </c>
      <c r="F5277" t="str">
        <f>HYPERLINK("https://github.com/TeamNewPipe/NewPipe/releases","show")</f>
        <v>show</v>
      </c>
    </row>
    <row r="5278" spans="1:6">
      <c r="A5278" t="s">
        <v>15703</v>
      </c>
      <c r="B5278" t="s">
        <v>15704</v>
      </c>
      <c r="C5278" t="s">
        <v>15705</v>
      </c>
      <c r="D5278" t="str">
        <f>HYPERLINK("https://github.com/devgianlu/Timeless/issues/45","show")</f>
        <v>show</v>
      </c>
      <c r="E5278" t="str">
        <f>HYPERLINK("https://github.com/devgianlu/Timeless","show")</f>
        <v>show</v>
      </c>
      <c r="F5278" t="str">
        <f>HYPERLINK("https://github.com/devgianlu/Timeless/releases","show")</f>
        <v>show</v>
      </c>
    </row>
    <row r="5279" spans="1:6">
      <c r="A5279" t="s">
        <v>15706</v>
      </c>
      <c r="B5279" t="s">
        <v>15707</v>
      </c>
      <c r="C5279" t="s">
        <v>15708</v>
      </c>
      <c r="D5279" t="str">
        <f>HYPERLINK("https://github.com/TeamNewPipe/NewPipe/issues/6209","show")</f>
        <v>show</v>
      </c>
      <c r="E5279" t="str">
        <f>HYPERLINK("https://github.com/TeamNewPipe/NewPipe","show")</f>
        <v>show</v>
      </c>
      <c r="F5279" t="str">
        <f>HYPERLINK("https://github.com/TeamNewPipe/NewPipe/releases","show")</f>
        <v>show</v>
      </c>
    </row>
    <row r="5280" spans="1:6">
      <c r="A5280" t="s">
        <v>15709</v>
      </c>
      <c r="B5280" t="s">
        <v>15710</v>
      </c>
      <c r="C5280" t="s">
        <v>15711</v>
      </c>
      <c r="D5280" t="str">
        <f>HYPERLINK("https://github.com/inaturalist/iNaturalistAndroid/issues/1034","show")</f>
        <v>show</v>
      </c>
      <c r="E5280" t="str">
        <f t="shared" ref="E5280:E5285" si="22">HYPERLINK("https://github.com/inaturalist/iNaturalistAndroid","show")</f>
        <v>show</v>
      </c>
      <c r="F5280" t="str">
        <f t="shared" ref="F5280:F5285" si="23">HYPERLINK("https://github.com/inaturalist/iNaturalistAndroid/releases","show")</f>
        <v>show</v>
      </c>
    </row>
    <row r="5281" spans="1:6">
      <c r="A5281" t="s">
        <v>15712</v>
      </c>
      <c r="B5281" t="s">
        <v>15713</v>
      </c>
      <c r="C5281" t="s">
        <v>15714</v>
      </c>
      <c r="D5281" t="str">
        <f>HYPERLINK("https://github.com/inaturalist/iNaturalistAndroid/issues/1033","show")</f>
        <v>show</v>
      </c>
      <c r="E5281" t="str">
        <f t="shared" si="22"/>
        <v>show</v>
      </c>
      <c r="F5281" t="str">
        <f t="shared" si="23"/>
        <v>show</v>
      </c>
    </row>
    <row r="5282" spans="1:6">
      <c r="A5282" t="s">
        <v>15715</v>
      </c>
      <c r="B5282" t="s">
        <v>15716</v>
      </c>
      <c r="C5282" t="s">
        <v>15717</v>
      </c>
      <c r="D5282" t="str">
        <f>HYPERLINK("https://github.com/inaturalist/iNaturalistAndroid/issues/1032","show")</f>
        <v>show</v>
      </c>
      <c r="E5282" t="str">
        <f t="shared" si="22"/>
        <v>show</v>
      </c>
      <c r="F5282" t="str">
        <f t="shared" si="23"/>
        <v>show</v>
      </c>
    </row>
    <row r="5283" spans="1:6">
      <c r="A5283" t="s">
        <v>15718</v>
      </c>
      <c r="B5283" t="s">
        <v>15719</v>
      </c>
      <c r="C5283" t="s">
        <v>15720</v>
      </c>
      <c r="D5283" t="str">
        <f>HYPERLINK("https://github.com/inaturalist/iNaturalistAndroid/issues/1031","show")</f>
        <v>show</v>
      </c>
      <c r="E5283" t="str">
        <f t="shared" si="22"/>
        <v>show</v>
      </c>
      <c r="F5283" t="str">
        <f t="shared" si="23"/>
        <v>show</v>
      </c>
    </row>
    <row r="5284" spans="1:6">
      <c r="A5284" t="s">
        <v>15721</v>
      </c>
      <c r="B5284" t="s">
        <v>15722</v>
      </c>
      <c r="C5284" t="s">
        <v>15723</v>
      </c>
      <c r="D5284" t="str">
        <f>HYPERLINK("https://github.com/inaturalist/iNaturalistAndroid/issues/1030","show")</f>
        <v>show</v>
      </c>
      <c r="E5284" t="str">
        <f t="shared" si="22"/>
        <v>show</v>
      </c>
      <c r="F5284" t="str">
        <f t="shared" si="23"/>
        <v>show</v>
      </c>
    </row>
    <row r="5285" spans="1:6">
      <c r="A5285" t="s">
        <v>15724</v>
      </c>
      <c r="B5285" t="s">
        <v>15725</v>
      </c>
      <c r="C5285" t="s">
        <v>15726</v>
      </c>
      <c r="D5285" t="str">
        <f>HYPERLINK("https://github.com/inaturalist/iNaturalistAndroid/issues/1029","show")</f>
        <v>show</v>
      </c>
      <c r="E5285" t="str">
        <f t="shared" si="22"/>
        <v>show</v>
      </c>
      <c r="F5285" t="str">
        <f t="shared" si="23"/>
        <v>show</v>
      </c>
    </row>
    <row r="5286" spans="1:6">
      <c r="A5286" t="s">
        <v>15727</v>
      </c>
      <c r="B5286" t="s">
        <v>15728</v>
      </c>
      <c r="C5286" t="s">
        <v>15729</v>
      </c>
      <c r="D5286" t="str">
        <f>HYPERLINK("https://github.com/Anuken/Mindustry/issues/5176","show")</f>
        <v>show</v>
      </c>
      <c r="E5286" t="str">
        <f>HYPERLINK("https://github.com/Anuken/Mindustry","show")</f>
        <v>show</v>
      </c>
      <c r="F5286" t="str">
        <f>HYPERLINK("https://github.com/Anuken/Mindustry/releases","show")</f>
        <v>show</v>
      </c>
    </row>
    <row r="5287" spans="1:6">
      <c r="A5287" t="s">
        <v>15730</v>
      </c>
      <c r="B5287" t="s">
        <v>15731</v>
      </c>
      <c r="C5287" t="s">
        <v>15732</v>
      </c>
      <c r="D5287" t="str">
        <f>HYPERLINK("https://github.com/TeamNewPipe/NewPipe/issues/6201","show")</f>
        <v>show</v>
      </c>
      <c r="E5287" t="str">
        <f>HYPERLINK("https://github.com/TeamNewPipe/NewPipe","show")</f>
        <v>show</v>
      </c>
      <c r="F5287" t="str">
        <f>HYPERLINK("https://github.com/TeamNewPipe/NewPipe/releases","show")</f>
        <v>show</v>
      </c>
    </row>
    <row r="5288" spans="1:6">
      <c r="A5288" t="s">
        <v>15733</v>
      </c>
      <c r="B5288" t="s">
        <v>15734</v>
      </c>
      <c r="C5288" t="s">
        <v>15735</v>
      </c>
      <c r="D5288" t="str">
        <f>HYPERLINK("https://github.com/cgeo/cgeo/issues/10506","show")</f>
        <v>show</v>
      </c>
      <c r="E5288" t="str">
        <f>HYPERLINK("https://github.com/cgeo/cgeo","show")</f>
        <v>show</v>
      </c>
      <c r="F5288" t="str">
        <f>HYPERLINK("https://github.com/cgeo/cgeo/releases","show")</f>
        <v>show</v>
      </c>
    </row>
    <row r="5289" spans="1:6">
      <c r="A5289" t="s">
        <v>15736</v>
      </c>
      <c r="B5289" t="s">
        <v>15737</v>
      </c>
      <c r="C5289" t="s">
        <v>15738</v>
      </c>
      <c r="D5289" t="str">
        <f>HYPERLINK("https://github.com/Anuken/Mindustry/issues/5167","show")</f>
        <v>show</v>
      </c>
      <c r="E5289" t="str">
        <f>HYPERLINK("https://github.com/Anuken/Mindustry","show")</f>
        <v>show</v>
      </c>
      <c r="F5289" t="str">
        <f>HYPERLINK("https://github.com/Anuken/Mindustry/releases","show")</f>
        <v>show</v>
      </c>
    </row>
    <row r="5290" spans="1:6">
      <c r="A5290" t="s">
        <v>15739</v>
      </c>
      <c r="B5290" t="s">
        <v>15740</v>
      </c>
      <c r="C5290" t="s">
        <v>15741</v>
      </c>
      <c r="D5290" t="str">
        <f>HYPERLINK("https://github.com/tchapgouv/tchap-android-legacy/issues/715","show")</f>
        <v>show</v>
      </c>
      <c r="E5290" t="str">
        <f>HYPERLINK("https://github.com/tchapgouv/tchap-android-legacy","show")</f>
        <v>show</v>
      </c>
      <c r="F5290" t="str">
        <f>HYPERLINK("https://github.com/tchapgouv/tchap-android-legacy/releases","show")</f>
        <v>show</v>
      </c>
    </row>
    <row r="5291" spans="1:6">
      <c r="A5291" t="s">
        <v>15742</v>
      </c>
      <c r="B5291" t="s">
        <v>15743</v>
      </c>
      <c r="C5291" t="s">
        <v>15744</v>
      </c>
      <c r="D5291" t="str">
        <f>HYPERLINK("https://github.com/mollyim/mollyim-android/issues/41","show")</f>
        <v>show</v>
      </c>
      <c r="E5291" t="str">
        <f>HYPERLINK("https://github.com/mollyim/mollyim-android","show")</f>
        <v>show</v>
      </c>
      <c r="F5291" t="str">
        <f>HYPERLINK("https://github.com/mollyim/mollyim-android/releases","show")</f>
        <v>show</v>
      </c>
    </row>
    <row r="5292" spans="1:6">
      <c r="A5292" t="s">
        <v>15745</v>
      </c>
      <c r="B5292" t="s">
        <v>14557</v>
      </c>
      <c r="C5292" t="s">
        <v>15746</v>
      </c>
      <c r="D5292" t="str">
        <f>HYPERLINK("https://github.com/material-components/material-components-android/issues/2195","show")</f>
        <v>show</v>
      </c>
      <c r="E5292" t="str">
        <f>HYPERLINK("https://github.com/material-components/material-components-android","show")</f>
        <v>show</v>
      </c>
      <c r="F5292" t="str">
        <f>HYPERLINK("https://github.com/material-components/material-components-android/releases","show")</f>
        <v>show</v>
      </c>
    </row>
    <row r="5293" spans="1:6">
      <c r="A5293" t="s">
        <v>15747</v>
      </c>
      <c r="B5293" t="s">
        <v>15748</v>
      </c>
      <c r="C5293" t="s">
        <v>15749</v>
      </c>
      <c r="D5293" t="str">
        <f>HYPERLINK("https://github.com/commons-app/apps-android-commons/issues/4385","show")</f>
        <v>show</v>
      </c>
      <c r="E5293" t="str">
        <f>HYPERLINK("https://github.com/commons-app/apps-android-commons","show")</f>
        <v>show</v>
      </c>
      <c r="F5293" t="str">
        <f>HYPERLINK("https://github.com/commons-app/apps-android-commons/releases","show")</f>
        <v>show</v>
      </c>
    </row>
    <row r="5294" spans="1:6">
      <c r="A5294" t="s">
        <v>15750</v>
      </c>
      <c r="B5294" t="s">
        <v>15751</v>
      </c>
      <c r="C5294" t="s">
        <v>15752</v>
      </c>
      <c r="D5294" t="str">
        <f>HYPERLINK("https://github.com/TeamNewPipe/NewPipe/issues/6196","show")</f>
        <v>show</v>
      </c>
      <c r="E5294" t="str">
        <f>HYPERLINK("https://github.com/TeamNewPipe/NewPipe","show")</f>
        <v>show</v>
      </c>
      <c r="F5294" t="str">
        <f>HYPERLINK("https://github.com/TeamNewPipe/NewPipe/releases","show")</f>
        <v>show</v>
      </c>
    </row>
    <row r="5295" spans="1:6">
      <c r="A5295" t="s">
        <v>15753</v>
      </c>
      <c r="B5295" t="s">
        <v>15754</v>
      </c>
      <c r="C5295" t="s">
        <v>15755</v>
      </c>
      <c r="D5295" t="str">
        <f>HYPERLINK("https://github.com/nextcloud/android/issues/8326","show")</f>
        <v>show</v>
      </c>
      <c r="E5295" t="str">
        <f>HYPERLINK("https://github.com/nextcloud/android","show")</f>
        <v>show</v>
      </c>
      <c r="F5295" t="str">
        <f>HYPERLINK("https://github.com/nextcloud/android/releases","show")</f>
        <v>show</v>
      </c>
    </row>
    <row r="5296" spans="1:6">
      <c r="A5296" t="s">
        <v>15756</v>
      </c>
      <c r="B5296" t="s">
        <v>15757</v>
      </c>
      <c r="C5296" t="s">
        <v>15758</v>
      </c>
      <c r="D5296" t="str">
        <f>HYPERLINK("https://github.com/nextcloud/android/issues/8325","show")</f>
        <v>show</v>
      </c>
      <c r="E5296" t="str">
        <f>HYPERLINK("https://github.com/nextcloud/android","show")</f>
        <v>show</v>
      </c>
      <c r="F5296" t="str">
        <f>HYPERLINK("https://github.com/nextcloud/android/releases","show")</f>
        <v>show</v>
      </c>
    </row>
    <row r="5297" spans="1:6">
      <c r="A5297" t="s">
        <v>15759</v>
      </c>
      <c r="B5297" t="s">
        <v>15760</v>
      </c>
      <c r="C5297" t="s">
        <v>15761</v>
      </c>
      <c r="D5297" t="str">
        <f>HYPERLINK("https://github.com/smartdevicelink/sdl_java_suite/issues/1678","show")</f>
        <v>show</v>
      </c>
      <c r="E5297" t="str">
        <f>HYPERLINK("https://github.com/smartdevicelink/sdl_java_suite","show")</f>
        <v>show</v>
      </c>
      <c r="F5297" t="str">
        <f>HYPERLINK("https://github.com/smartdevicelink/sdl_java_suite/releases","show")</f>
        <v>show</v>
      </c>
    </row>
    <row r="5298" spans="1:6">
      <c r="A5298" t="s">
        <v>15762</v>
      </c>
      <c r="B5298" t="s">
        <v>15763</v>
      </c>
      <c r="C5298" t="s">
        <v>15764</v>
      </c>
      <c r="D5298" t="str">
        <f>HYPERLINK("https://github.com/hzi-braunschweig/SORMAS-Project/issues/5268","show")</f>
        <v>show</v>
      </c>
      <c r="E5298" t="str">
        <f>HYPERLINK("https://github.com/hzi-braunschweig/SORMAS-Project","show")</f>
        <v>show</v>
      </c>
      <c r="F5298" t="str">
        <f>HYPERLINK("https://github.com/hzi-braunschweig/SORMAS-Project/releases","show")</f>
        <v>show</v>
      </c>
    </row>
    <row r="5299" spans="1:6">
      <c r="A5299" t="s">
        <v>15765</v>
      </c>
      <c r="B5299" t="s">
        <v>15766</v>
      </c>
      <c r="C5299" t="s">
        <v>15767</v>
      </c>
      <c r="D5299" t="str">
        <f>HYPERLINK("https://github.com/hzi-braunschweig/SORMAS-Project/issues/5262","show")</f>
        <v>show</v>
      </c>
      <c r="E5299" t="str">
        <f>HYPERLINK("https://github.com/hzi-braunschweig/SORMAS-Project","show")</f>
        <v>show</v>
      </c>
      <c r="F5299" t="str">
        <f>HYPERLINK("https://github.com/hzi-braunschweig/SORMAS-Project/releases","show")</f>
        <v>show</v>
      </c>
    </row>
    <row r="5300" spans="1:6">
      <c r="A5300" t="s">
        <v>15768</v>
      </c>
      <c r="B5300" t="s">
        <v>15769</v>
      </c>
      <c r="C5300" t="s">
        <v>15770</v>
      </c>
      <c r="D5300" t="str">
        <f>HYPERLINK("https://github.com/Tencent/matrix/issues/581","show")</f>
        <v>show</v>
      </c>
      <c r="E5300" t="str">
        <f>HYPERLINK("https://github.com/Tencent/matrix","show")</f>
        <v>show</v>
      </c>
      <c r="F5300" t="str">
        <f>HYPERLINK("https://github.com/Tencent/matrix/releases","show")</f>
        <v>show</v>
      </c>
    </row>
    <row r="5301" spans="1:6">
      <c r="A5301" t="s">
        <v>15771</v>
      </c>
      <c r="B5301" t="s">
        <v>15772</v>
      </c>
      <c r="C5301" t="s">
        <v>15773</v>
      </c>
      <c r="D5301" t="str">
        <f>HYPERLINK("https://github.com/nextcloud/android/issues/8316","show")</f>
        <v>show</v>
      </c>
      <c r="E5301" t="str">
        <f>HYPERLINK("https://github.com/nextcloud/android","show")</f>
        <v>show</v>
      </c>
      <c r="F5301" t="str">
        <f>HYPERLINK("https://github.com/nextcloud/android/releases","show")</f>
        <v>show</v>
      </c>
    </row>
    <row r="5302" spans="1:6">
      <c r="A5302" t="s">
        <v>15774</v>
      </c>
      <c r="B5302" t="s">
        <v>15775</v>
      </c>
      <c r="C5302" t="s">
        <v>15776</v>
      </c>
      <c r="D5302" t="str">
        <f>HYPERLINK("https://github.com/Anuken/Mindustry/issues/5162","show")</f>
        <v>show</v>
      </c>
      <c r="E5302" t="str">
        <f>HYPERLINK("https://github.com/Anuken/Mindustry","show")</f>
        <v>show</v>
      </c>
      <c r="F5302" t="str">
        <f>HYPERLINK("https://github.com/Anuken/Mindustry/releases","show")</f>
        <v>show</v>
      </c>
    </row>
    <row r="5303" spans="1:6">
      <c r="A5303" t="s">
        <v>15777</v>
      </c>
      <c r="B5303" t="s">
        <v>15778</v>
      </c>
      <c r="C5303" t="s">
        <v>15779</v>
      </c>
      <c r="D5303" t="str">
        <f>HYPERLINK("https://github.com/cgeo/cgeo/issues/10490","show")</f>
        <v>show</v>
      </c>
      <c r="E5303" t="str">
        <f>HYPERLINK("https://github.com/cgeo/cgeo","show")</f>
        <v>show</v>
      </c>
      <c r="F5303" t="str">
        <f>HYPERLINK("https://github.com/cgeo/cgeo/releases","show")</f>
        <v>show</v>
      </c>
    </row>
    <row r="5304" spans="1:6">
      <c r="A5304" t="s">
        <v>15780</v>
      </c>
      <c r="B5304" t="s">
        <v>15781</v>
      </c>
      <c r="C5304" t="s">
        <v>15782</v>
      </c>
      <c r="D5304" t="str">
        <f>HYPERLINK("https://github.com/TeamNewPipe/NewPipe/issues/6184","show")</f>
        <v>show</v>
      </c>
      <c r="E5304" t="str">
        <f>HYPERLINK("https://github.com/TeamNewPipe/NewPipe","show")</f>
        <v>show</v>
      </c>
      <c r="F5304" t="str">
        <f>HYPERLINK("https://github.com/TeamNewPipe/NewPipe/releases","show")</f>
        <v>show</v>
      </c>
    </row>
    <row r="5305" spans="1:6">
      <c r="A5305" t="s">
        <v>15783</v>
      </c>
      <c r="B5305" t="s">
        <v>15784</v>
      </c>
      <c r="C5305" t="s">
        <v>15785</v>
      </c>
      <c r="D5305" t="str">
        <f>HYPERLINK("https://github.com/MuntashirAkon/AppManager/issues/412","show")</f>
        <v>show</v>
      </c>
      <c r="E5305" t="str">
        <f>HYPERLINK("https://github.com/MuntashirAkon/AppManager","show")</f>
        <v>show</v>
      </c>
      <c r="F5305" t="str">
        <f>HYPERLINK("https://github.com/MuntashirAkon/AppManager/releases","show")</f>
        <v>show</v>
      </c>
    </row>
    <row r="5306" spans="1:6">
      <c r="A5306" t="s">
        <v>15786</v>
      </c>
      <c r="B5306" t="s">
        <v>15787</v>
      </c>
      <c r="C5306" t="s">
        <v>15788</v>
      </c>
      <c r="D5306" t="str">
        <f>HYPERLINK("https://github.com/MuntashirAkon/AppManager/issues/410","show")</f>
        <v>show</v>
      </c>
      <c r="E5306" t="str">
        <f>HYPERLINK("https://github.com/MuntashirAkon/AppManager","show")</f>
        <v>show</v>
      </c>
      <c r="F5306" t="str">
        <f>HYPERLINK("https://github.com/MuntashirAkon/AppManager/releases","show")</f>
        <v>show</v>
      </c>
    </row>
    <row r="5307" spans="1:6">
      <c r="A5307" t="s">
        <v>15789</v>
      </c>
      <c r="B5307" t="s">
        <v>15790</v>
      </c>
      <c r="C5307" t="s">
        <v>15791</v>
      </c>
      <c r="D5307" t="str">
        <f>HYPERLINK("https://github.com/TeamNewPipe/NewPipe/issues/6180","show")</f>
        <v>show</v>
      </c>
      <c r="E5307" t="str">
        <f>HYPERLINK("https://github.com/TeamNewPipe/NewPipe","show")</f>
        <v>show</v>
      </c>
      <c r="F5307" t="str">
        <f>HYPERLINK("https://github.com/TeamNewPipe/NewPipe/releases","show")</f>
        <v>show</v>
      </c>
    </row>
    <row r="5308" spans="1:6">
      <c r="A5308" t="s">
        <v>15792</v>
      </c>
      <c r="B5308" t="s">
        <v>15793</v>
      </c>
      <c r="C5308" t="s">
        <v>15794</v>
      </c>
      <c r="D5308" t="str">
        <f>HYPERLINK("https://github.com/MuntashirAkon/AppManager/issues/407","show")</f>
        <v>show</v>
      </c>
      <c r="E5308" t="str">
        <f>HYPERLINK("https://github.com/MuntashirAkon/AppManager","show")</f>
        <v>show</v>
      </c>
      <c r="F5308" t="str">
        <f>HYPERLINK("https://github.com/MuntashirAkon/AppManager/releases","show")</f>
        <v>show</v>
      </c>
    </row>
    <row r="5309" spans="1:6">
      <c r="A5309" t="s">
        <v>15795</v>
      </c>
      <c r="B5309" t="s">
        <v>15796</v>
      </c>
      <c r="C5309" t="s">
        <v>15797</v>
      </c>
      <c r="D5309" t="str">
        <f>HYPERLINK("https://github.com/CleverTap/clevertap-android-sdk/issues/168","show")</f>
        <v>show</v>
      </c>
      <c r="E5309" t="str">
        <f>HYPERLINK("https://github.com/CleverTap/clevertap-android-sdk","show")</f>
        <v>show</v>
      </c>
      <c r="F5309" t="str">
        <f>HYPERLINK("https://github.com/CleverTap/clevertap-android-sdk/releases","show")</f>
        <v>show</v>
      </c>
    </row>
    <row r="5310" spans="1:6">
      <c r="A5310" t="s">
        <v>15798</v>
      </c>
      <c r="B5310" t="s">
        <v>15799</v>
      </c>
      <c r="C5310" t="s">
        <v>15800</v>
      </c>
      <c r="D5310" t="str">
        <f>HYPERLINK("https://github.com/AOF-Dev/MCinaBox/issues/1060","show")</f>
        <v>show</v>
      </c>
      <c r="E5310" t="str">
        <f>HYPERLINK("https://github.com/AOF-Dev/MCinaBox","show")</f>
        <v>show</v>
      </c>
      <c r="F5310" t="str">
        <f>HYPERLINK("https://github.com/AOF-Dev/MCinaBox/releases","show")</f>
        <v>show</v>
      </c>
    </row>
    <row r="5311" spans="1:6">
      <c r="A5311" t="s">
        <v>15801</v>
      </c>
      <c r="B5311" t="s">
        <v>15802</v>
      </c>
      <c r="C5311" t="s">
        <v>15803</v>
      </c>
      <c r="D5311" t="str">
        <f>HYPERLINK("https://github.com/TeamNewPipe/NewPipe/issues/6176","show")</f>
        <v>show</v>
      </c>
      <c r="E5311" t="str">
        <f>HYPERLINK("https://github.com/TeamNewPipe/NewPipe","show")</f>
        <v>show</v>
      </c>
      <c r="F5311" t="str">
        <f>HYPERLINK("https://github.com/TeamNewPipe/NewPipe/releases","show")</f>
        <v>show</v>
      </c>
    </row>
    <row r="5312" spans="1:6">
      <c r="A5312" t="s">
        <v>15804</v>
      </c>
      <c r="B5312" t="s">
        <v>15805</v>
      </c>
      <c r="C5312" t="s">
        <v>10722</v>
      </c>
      <c r="D5312" t="str">
        <f>HYPERLINK("https://github.com/Blankj/AndroidUtilCode/issues/1487","show")</f>
        <v>show</v>
      </c>
      <c r="E5312" t="str">
        <f>HYPERLINK("https://github.com/Blankj/AndroidUtilCode","show")</f>
        <v>show</v>
      </c>
      <c r="F5312" t="str">
        <f>HYPERLINK("https://github.com/Blankj/AndroidUtilCode/releases","show")</f>
        <v>show</v>
      </c>
    </row>
    <row r="5313" spans="1:6">
      <c r="A5313" t="s">
        <v>15806</v>
      </c>
      <c r="B5313" t="s">
        <v>15807</v>
      </c>
      <c r="C5313" t="s">
        <v>15808</v>
      </c>
      <c r="D5313" t="str">
        <f>HYPERLINK("https://github.com/microg/GmsCore/issues/1460","show")</f>
        <v>show</v>
      </c>
      <c r="E5313" t="str">
        <f>HYPERLINK("https://github.com/microg/GmsCore","show")</f>
        <v>show</v>
      </c>
      <c r="F5313" t="str">
        <f>HYPERLINK("https://github.com/microg/GmsCore/releases","show")</f>
        <v>show</v>
      </c>
    </row>
    <row r="5314" spans="1:6">
      <c r="A5314" t="s">
        <v>15809</v>
      </c>
      <c r="B5314" t="s">
        <v>15810</v>
      </c>
      <c r="C5314" t="s">
        <v>15811</v>
      </c>
      <c r="D5314" t="str">
        <f>HYPERLINK("https://github.com/TeamNewPipe/NewPipe/issues/6172","show")</f>
        <v>show</v>
      </c>
      <c r="E5314" t="str">
        <f>HYPERLINK("https://github.com/TeamNewPipe/NewPipe","show")</f>
        <v>show</v>
      </c>
      <c r="F5314" t="str">
        <f>HYPERLINK("https://github.com/TeamNewPipe/NewPipe/releases","show")</f>
        <v>show</v>
      </c>
    </row>
    <row r="5315" spans="1:6">
      <c r="A5315" t="s">
        <v>15812</v>
      </c>
      <c r="B5315" t="s">
        <v>15813</v>
      </c>
      <c r="C5315" t="s">
        <v>15814</v>
      </c>
      <c r="D5315" t="str">
        <f>HYPERLINK("https://github.com/cgeo/cgeo/issues/10464","show")</f>
        <v>show</v>
      </c>
      <c r="E5315" t="str">
        <f>HYPERLINK("https://github.com/cgeo/cgeo","show")</f>
        <v>show</v>
      </c>
      <c r="F5315" t="str">
        <f>HYPERLINK("https://github.com/cgeo/cgeo/releases","show")</f>
        <v>show</v>
      </c>
    </row>
    <row r="5316" spans="1:6">
      <c r="A5316" t="s">
        <v>15815</v>
      </c>
      <c r="B5316" t="s">
        <v>15816</v>
      </c>
      <c r="C5316" t="s">
        <v>15817</v>
      </c>
      <c r="D5316" t="str">
        <f>HYPERLINK("https://github.com/TeamNewPipe/NewPipe/issues/6164","show")</f>
        <v>show</v>
      </c>
      <c r="E5316" t="str">
        <f>HYPERLINK("https://github.com/TeamNewPipe/NewPipe","show")</f>
        <v>show</v>
      </c>
      <c r="F5316" t="str">
        <f>HYPERLINK("https://github.com/TeamNewPipe/NewPipe/releases","show")</f>
        <v>show</v>
      </c>
    </row>
    <row r="5317" spans="1:6">
      <c r="A5317" t="s">
        <v>15818</v>
      </c>
      <c r="B5317" t="s">
        <v>15819</v>
      </c>
      <c r="C5317" t="s">
        <v>15820</v>
      </c>
      <c r="D5317" t="str">
        <f>HYPERLINK("https://github.com/Anuken/Mindustry/issues/5152","show")</f>
        <v>show</v>
      </c>
      <c r="E5317" t="str">
        <f>HYPERLINK("https://github.com/Anuken/Mindustry","show")</f>
        <v>show</v>
      </c>
      <c r="F5317" t="str">
        <f>HYPERLINK("https://github.com/Anuken/Mindustry/releases","show")</f>
        <v>show</v>
      </c>
    </row>
    <row r="5318" spans="1:6">
      <c r="A5318" t="s">
        <v>15821</v>
      </c>
      <c r="B5318" t="s">
        <v>15822</v>
      </c>
      <c r="C5318" t="s">
        <v>15823</v>
      </c>
      <c r="D5318" t="str">
        <f>HYPERLINK("https://github.com/MuntashirAkon/AppManager/issues/400","show")</f>
        <v>show</v>
      </c>
      <c r="E5318" t="str">
        <f>HYPERLINK("https://github.com/MuntashirAkon/AppManager","show")</f>
        <v>show</v>
      </c>
      <c r="F5318" t="str">
        <f>HYPERLINK("https://github.com/MuntashirAkon/AppManager/releases","show")</f>
        <v>show</v>
      </c>
    </row>
    <row r="5319" spans="1:6">
      <c r="A5319" t="s">
        <v>15824</v>
      </c>
      <c r="B5319" t="s">
        <v>15825</v>
      </c>
      <c r="C5319" t="s">
        <v>15826</v>
      </c>
      <c r="D5319" t="str">
        <f>HYPERLINK("https://github.com/TeamNewPipe/NewPipe/issues/6162","show")</f>
        <v>show</v>
      </c>
      <c r="E5319" t="str">
        <f>HYPERLINK("https://github.com/TeamNewPipe/NewPipe","show")</f>
        <v>show</v>
      </c>
      <c r="F5319" t="str">
        <f>HYPERLINK("https://github.com/TeamNewPipe/NewPipe/releases","show")</f>
        <v>show</v>
      </c>
    </row>
    <row r="5320" spans="1:6">
      <c r="A5320" t="s">
        <v>15827</v>
      </c>
      <c r="B5320" t="s">
        <v>15828</v>
      </c>
      <c r="C5320" t="s">
        <v>15829</v>
      </c>
      <c r="D5320" t="str">
        <f>HYPERLINK("https://github.com/cgeo/cgeo/issues/10457","show")</f>
        <v>show</v>
      </c>
      <c r="E5320" t="str">
        <f>HYPERLINK("https://github.com/cgeo/cgeo","show")</f>
        <v>show</v>
      </c>
      <c r="F5320" t="str">
        <f>HYPERLINK("https://github.com/cgeo/cgeo/releases","show")</f>
        <v>show</v>
      </c>
    </row>
    <row r="5321" spans="1:6">
      <c r="A5321" t="s">
        <v>15830</v>
      </c>
      <c r="B5321" t="s">
        <v>15831</v>
      </c>
      <c r="C5321" t="s">
        <v>15832</v>
      </c>
      <c r="D5321" t="str">
        <f>HYPERLINK("https://github.com/Anuken/Mindustry/issues/5150","show")</f>
        <v>show</v>
      </c>
      <c r="E5321" t="str">
        <f>HYPERLINK("https://github.com/Anuken/Mindustry","show")</f>
        <v>show</v>
      </c>
      <c r="F5321" t="str">
        <f>HYPERLINK("https://github.com/Anuken/Mindustry/releases","show")</f>
        <v>show</v>
      </c>
    </row>
    <row r="5322" spans="1:6">
      <c r="A5322" t="s">
        <v>15833</v>
      </c>
      <c r="B5322" t="s">
        <v>15834</v>
      </c>
      <c r="C5322" t="s">
        <v>15835</v>
      </c>
      <c r="D5322" t="str">
        <f>HYPERLINK("https://github.com/nextcloud/android/issues/8307","show")</f>
        <v>show</v>
      </c>
      <c r="E5322" t="str">
        <f>HYPERLINK("https://github.com/nextcloud/android","show")</f>
        <v>show</v>
      </c>
      <c r="F5322" t="str">
        <f>HYPERLINK("https://github.com/nextcloud/android/releases","show")</f>
        <v>show</v>
      </c>
    </row>
    <row r="5323" spans="1:6">
      <c r="A5323" t="s">
        <v>15836</v>
      </c>
      <c r="B5323" t="s">
        <v>15837</v>
      </c>
      <c r="C5323" t="s">
        <v>15838</v>
      </c>
      <c r="D5323" t="str">
        <f>HYPERLINK("https://github.com/Anuken/Mindustry/issues/5149","show")</f>
        <v>show</v>
      </c>
      <c r="E5323" t="str">
        <f>HYPERLINK("https://github.com/Anuken/Mindustry","show")</f>
        <v>show</v>
      </c>
      <c r="F5323" t="str">
        <f>HYPERLINK("https://github.com/Anuken/Mindustry/releases","show")</f>
        <v>show</v>
      </c>
    </row>
    <row r="5324" spans="1:6">
      <c r="A5324" t="s">
        <v>15839</v>
      </c>
      <c r="B5324" t="s">
        <v>15840</v>
      </c>
      <c r="C5324" t="s">
        <v>15841</v>
      </c>
      <c r="D5324" t="str">
        <f>HYPERLINK("https://github.com/openid/AppAuth-Android/issues/694","show")</f>
        <v>show</v>
      </c>
      <c r="E5324" t="str">
        <f>HYPERLINK("https://github.com/openid/AppAuth-Android","show")</f>
        <v>show</v>
      </c>
      <c r="F5324" t="str">
        <f>HYPERLINK("https://github.com/openid/AppAuth-Android/releases","show")</f>
        <v>show</v>
      </c>
    </row>
    <row r="5325" spans="1:6">
      <c r="A5325" t="s">
        <v>15842</v>
      </c>
      <c r="B5325" t="s">
        <v>15843</v>
      </c>
      <c r="C5325" t="s">
        <v>15844</v>
      </c>
      <c r="D5325" t="str">
        <f>HYPERLINK("https://github.com/Anuken/Mindustry/issues/5146","show")</f>
        <v>show</v>
      </c>
      <c r="E5325" t="str">
        <f>HYPERLINK("https://github.com/Anuken/Mindustry","show")</f>
        <v>show</v>
      </c>
      <c r="F5325" t="str">
        <f>HYPERLINK("https://github.com/Anuken/Mindustry/releases","show")</f>
        <v>show</v>
      </c>
    </row>
    <row r="5326" spans="1:6">
      <c r="A5326" t="s">
        <v>15845</v>
      </c>
      <c r="B5326" t="s">
        <v>15846</v>
      </c>
      <c r="C5326" t="s">
        <v>15847</v>
      </c>
      <c r="D5326" t="str">
        <f>HYPERLINK("https://github.com/dariuszseweryn/RxAndroidBle/issues/746","show")</f>
        <v>show</v>
      </c>
      <c r="E5326" t="str">
        <f>HYPERLINK("https://github.com/dariuszseweryn/RxAndroidBle","show")</f>
        <v>show</v>
      </c>
      <c r="F5326" t="str">
        <f>HYPERLINK("https://github.com/dariuszseweryn/RxAndroidBle/releases","show")</f>
        <v>show</v>
      </c>
    </row>
    <row r="5327" spans="1:6">
      <c r="A5327" t="s">
        <v>15848</v>
      </c>
      <c r="B5327" t="s">
        <v>15849</v>
      </c>
      <c r="C5327" t="s">
        <v>15850</v>
      </c>
      <c r="D5327" t="str">
        <f>HYPERLINK("https://github.com/k9mail/k-9/issues/5271","show")</f>
        <v>show</v>
      </c>
      <c r="E5327" t="str">
        <f>HYPERLINK("https://github.com/k9mail/k-9","show")</f>
        <v>show</v>
      </c>
      <c r="F5327" t="str">
        <f>HYPERLINK("https://github.com/k9mail/k-9/releases","show")</f>
        <v>show</v>
      </c>
    </row>
    <row r="5328" spans="1:6">
      <c r="A5328" t="s">
        <v>15851</v>
      </c>
      <c r="B5328" t="s">
        <v>15852</v>
      </c>
      <c r="C5328" t="s">
        <v>15853</v>
      </c>
      <c r="D5328" t="str">
        <f>HYPERLINK("https://github.com/NordicSemiconductor/Android-DFU-Library/issues/302","show")</f>
        <v>show</v>
      </c>
      <c r="E5328" t="str">
        <f>HYPERLINK("https://github.com/NordicSemiconductor/Android-DFU-Library","show")</f>
        <v>show</v>
      </c>
      <c r="F5328" t="str">
        <f>HYPERLINK("https://github.com/NordicSemiconductor/Android-DFU-Library/releases","show")</f>
        <v>show</v>
      </c>
    </row>
    <row r="5329" spans="1:6">
      <c r="A5329" t="s">
        <v>15854</v>
      </c>
      <c r="B5329" t="s">
        <v>15855</v>
      </c>
      <c r="C5329" t="s">
        <v>15856</v>
      </c>
      <c r="D5329" t="str">
        <f>HYPERLINK("https://github.com/skrafft/react-native-jitsi-meet/issues/270","show")</f>
        <v>show</v>
      </c>
      <c r="E5329" t="str">
        <f>HYPERLINK("https://github.com/skrafft/react-native-jitsi-meet","show")</f>
        <v>show</v>
      </c>
      <c r="F5329" t="str">
        <f>HYPERLINK("https://github.com/skrafft/react-native-jitsi-meet/releases","show")</f>
        <v>show</v>
      </c>
    </row>
    <row r="5330" spans="1:6">
      <c r="A5330" t="s">
        <v>15857</v>
      </c>
      <c r="B5330" t="s">
        <v>15858</v>
      </c>
      <c r="C5330" t="s">
        <v>15859</v>
      </c>
      <c r="D5330" t="str">
        <f>HYPERLINK("https://github.com/mohyghb/MoClock/issues/36","show")</f>
        <v>show</v>
      </c>
      <c r="E5330" t="str">
        <f>HYPERLINK("https://github.com/mohyghb/MoClock","show")</f>
        <v>show</v>
      </c>
      <c r="F5330" t="str">
        <f>HYPERLINK("https://github.com/mohyghb/MoClock/releases","show")</f>
        <v>show</v>
      </c>
    </row>
    <row r="5331" spans="1:6">
      <c r="A5331" t="s">
        <v>15860</v>
      </c>
      <c r="B5331" t="s">
        <v>15861</v>
      </c>
      <c r="C5331" t="s">
        <v>15862</v>
      </c>
      <c r="D5331" t="str">
        <f>HYPERLINK("https://github.com/smartdevicelink/sdl_java_suite/issues/1667","show")</f>
        <v>show</v>
      </c>
      <c r="E5331" t="str">
        <f>HYPERLINK("https://github.com/smartdevicelink/sdl_java_suite","show")</f>
        <v>show</v>
      </c>
      <c r="F5331" t="str">
        <f>HYPERLINK("https://github.com/smartdevicelink/sdl_java_suite/releases","show")</f>
        <v>show</v>
      </c>
    </row>
    <row r="5332" spans="1:6">
      <c r="A5332" t="s">
        <v>15863</v>
      </c>
      <c r="B5332" t="s">
        <v>15864</v>
      </c>
      <c r="C5332" t="s">
        <v>15865</v>
      </c>
      <c r="D5332" t="str">
        <f>HYPERLINK("https://github.com/Anuken/Mindustry/issues/5142","show")</f>
        <v>show</v>
      </c>
      <c r="E5332" t="str">
        <f>HYPERLINK("https://github.com/Anuken/Mindustry","show")</f>
        <v>show</v>
      </c>
      <c r="F5332" t="str">
        <f>HYPERLINK("https://github.com/Anuken/Mindustry/releases","show")</f>
        <v>show</v>
      </c>
    </row>
    <row r="5333" spans="1:6">
      <c r="A5333" t="s">
        <v>15866</v>
      </c>
      <c r="B5333" t="s">
        <v>15867</v>
      </c>
      <c r="C5333" t="s">
        <v>15868</v>
      </c>
      <c r="D5333" t="str">
        <f>HYPERLINK("https://github.com/TeamNewPipe/NewPipe/issues/6142","show")</f>
        <v>show</v>
      </c>
      <c r="E5333" t="str">
        <f>HYPERLINK("https://github.com/TeamNewPipe/NewPipe","show")</f>
        <v>show</v>
      </c>
      <c r="F5333" t="str">
        <f>HYPERLINK("https://github.com/TeamNewPipe/NewPipe/releases","show")</f>
        <v>show</v>
      </c>
    </row>
    <row r="5334" spans="1:6">
      <c r="A5334" t="s">
        <v>15869</v>
      </c>
      <c r="B5334" t="s">
        <v>15870</v>
      </c>
      <c r="C5334" t="s">
        <v>15871</v>
      </c>
      <c r="D5334" t="str">
        <f>HYPERLINK("https://github.com/Anuken/Mindustry/issues/5138","show")</f>
        <v>show</v>
      </c>
      <c r="E5334" t="str">
        <f>HYPERLINK("https://github.com/Anuken/Mindustry","show")</f>
        <v>show</v>
      </c>
      <c r="F5334" t="str">
        <f>HYPERLINK("https://github.com/Anuken/Mindustry/releases","show")</f>
        <v>show</v>
      </c>
    </row>
    <row r="5335" spans="1:6">
      <c r="A5335" t="s">
        <v>15872</v>
      </c>
      <c r="B5335" t="s">
        <v>15873</v>
      </c>
      <c r="C5335" t="s">
        <v>15874</v>
      </c>
      <c r="D5335" t="str">
        <f>HYPERLINK("https://github.com/nextcloud/android/issues/8302","show")</f>
        <v>show</v>
      </c>
      <c r="E5335" t="str">
        <f>HYPERLINK("https://github.com/nextcloud/android","show")</f>
        <v>show</v>
      </c>
      <c r="F5335" t="str">
        <f>HYPERLINK("https://github.com/nextcloud/android/releases","show")</f>
        <v>show</v>
      </c>
    </row>
    <row r="5336" spans="1:6">
      <c r="A5336" t="s">
        <v>15875</v>
      </c>
      <c r="B5336" t="s">
        <v>15876</v>
      </c>
      <c r="C5336" t="s">
        <v>15877</v>
      </c>
      <c r="D5336" t="str">
        <f>HYPERLINK("https://github.com/google/ExoPlayer/issues/8845","show")</f>
        <v>show</v>
      </c>
      <c r="E5336" t="str">
        <f>HYPERLINK("https://github.com/google/ExoPlayer","show")</f>
        <v>show</v>
      </c>
      <c r="F5336" t="str">
        <f>HYPERLINK("https://github.com/google/ExoPlayer/releases","show")</f>
        <v>show</v>
      </c>
    </row>
    <row r="5337" spans="1:6">
      <c r="A5337" t="s">
        <v>15878</v>
      </c>
      <c r="B5337" t="s">
        <v>15879</v>
      </c>
      <c r="C5337" t="s">
        <v>15880</v>
      </c>
      <c r="D5337" t="str">
        <f>HYPERLINK("https://github.com/NordicSemiconductor/Android-nRF-Mesh-Library/issues/423","show")</f>
        <v>show</v>
      </c>
      <c r="E5337" t="str">
        <f>HYPERLINK("https://github.com/NordicSemiconductor/Android-nRF-Mesh-Library","show")</f>
        <v>show</v>
      </c>
      <c r="F5337" t="str">
        <f>HYPERLINK("https://github.com/NordicSemiconductor/Android-nRF-Mesh-Library/releases","show")</f>
        <v>show</v>
      </c>
    </row>
    <row r="5338" spans="1:6">
      <c r="A5338" t="s">
        <v>15881</v>
      </c>
      <c r="B5338" t="s">
        <v>15882</v>
      </c>
      <c r="C5338" t="s">
        <v>15883</v>
      </c>
      <c r="D5338" t="str">
        <f>HYPERLINK("https://github.com/Blankj/AndroidUtilCode/issues/1482","show")</f>
        <v>show</v>
      </c>
      <c r="E5338" t="str">
        <f>HYPERLINK("https://github.com/Blankj/AndroidUtilCode","show")</f>
        <v>show</v>
      </c>
      <c r="F5338" t="str">
        <f>HYPERLINK("https://github.com/Blankj/AndroidUtilCode/releases","show")</f>
        <v>show</v>
      </c>
    </row>
    <row r="5339" spans="1:6">
      <c r="A5339" t="s">
        <v>15884</v>
      </c>
      <c r="B5339" t="s">
        <v>15885</v>
      </c>
      <c r="C5339" t="s">
        <v>15886</v>
      </c>
      <c r="D5339" t="str">
        <f>HYPERLINK("https://github.com/material-components/material-components-android/issues/2186","show")</f>
        <v>show</v>
      </c>
      <c r="E5339" t="str">
        <f>HYPERLINK("https://github.com/material-components/material-components-android","show")</f>
        <v>show</v>
      </c>
      <c r="F5339" t="str">
        <f>HYPERLINK("https://github.com/material-components/material-components-android/releases","show")</f>
        <v>show</v>
      </c>
    </row>
    <row r="5340" spans="1:6">
      <c r="A5340" t="s">
        <v>15887</v>
      </c>
      <c r="B5340" t="s">
        <v>15888</v>
      </c>
      <c r="C5340" t="s">
        <v>15889</v>
      </c>
      <c r="D5340" t="str">
        <f>HYPERLINK("https://github.com/PojavLauncherTeam/PojavLauncher/issues/1263","show")</f>
        <v>show</v>
      </c>
      <c r="E5340" t="str">
        <f>HYPERLINK("https://github.com/PojavLauncherTeam/PojavLauncher","show")</f>
        <v>show</v>
      </c>
      <c r="F5340" t="str">
        <f>HYPERLINK("https://github.com/PojavLauncherTeam/PojavLauncher/releases","show")</f>
        <v>show</v>
      </c>
    </row>
    <row r="5341" spans="1:6">
      <c r="A5341" t="s">
        <v>15890</v>
      </c>
      <c r="B5341" t="s">
        <v>15891</v>
      </c>
      <c r="C5341" t="s">
        <v>15892</v>
      </c>
      <c r="D5341" t="str">
        <f>HYPERLINK("https://github.com/hilerio23/TheOfficalScrabbleGame/issues/11","show")</f>
        <v>show</v>
      </c>
      <c r="E5341" t="str">
        <f>HYPERLINK("https://github.com/hilerio23/TheOfficalScrabbleGame","show")</f>
        <v>show</v>
      </c>
      <c r="F5341" t="str">
        <f>HYPERLINK("https://github.com/hilerio23/TheOfficalScrabbleGame/releases","show")</f>
        <v>show</v>
      </c>
    </row>
    <row r="5342" spans="1:6">
      <c r="A5342" t="s">
        <v>15893</v>
      </c>
      <c r="B5342" t="s">
        <v>15894</v>
      </c>
      <c r="C5342" t="s">
        <v>15895</v>
      </c>
      <c r="D5342" t="str">
        <f>HYPERLINK("https://github.com/Anuken/Mindustry/issues/5133","show")</f>
        <v>show</v>
      </c>
      <c r="E5342" t="str">
        <f>HYPERLINK("https://github.com/Anuken/Mindustry","show")</f>
        <v>show</v>
      </c>
      <c r="F5342" t="str">
        <f>HYPERLINK("https://github.com/Anuken/Mindustry/releases","show")</f>
        <v>show</v>
      </c>
    </row>
    <row r="5343" spans="1:6">
      <c r="A5343" t="s">
        <v>15896</v>
      </c>
      <c r="B5343" t="s">
        <v>15897</v>
      </c>
      <c r="C5343" t="s">
        <v>15898</v>
      </c>
      <c r="D5343" t="str">
        <f>HYPERLINK("https://github.com/TeamNewPipe/NewPipe/issues/6124","show")</f>
        <v>show</v>
      </c>
      <c r="E5343" t="str">
        <f>HYPERLINK("https://github.com/TeamNewPipe/NewPipe","show")</f>
        <v>show</v>
      </c>
      <c r="F5343" t="str">
        <f>HYPERLINK("https://github.com/TeamNewPipe/NewPipe/releases","show")</f>
        <v>show</v>
      </c>
    </row>
    <row r="5344" spans="1:6">
      <c r="A5344" t="s">
        <v>15899</v>
      </c>
      <c r="B5344" t="s">
        <v>15900</v>
      </c>
      <c r="C5344" t="s">
        <v>15901</v>
      </c>
      <c r="D5344" t="str">
        <f>HYPERLINK("https://github.com/OpenTracksApp/OpenTracks/issues/722","show")</f>
        <v>show</v>
      </c>
      <c r="E5344" t="str">
        <f>HYPERLINK("https://github.com/OpenTracksApp/OpenTracks","show")</f>
        <v>show</v>
      </c>
      <c r="F5344" t="str">
        <f>HYPERLINK("https://github.com/OpenTracksApp/OpenTracks/releases","show")</f>
        <v>show</v>
      </c>
    </row>
    <row r="5345" spans="1:6">
      <c r="A5345" t="s">
        <v>15902</v>
      </c>
      <c r="B5345" t="s">
        <v>15903</v>
      </c>
      <c r="C5345" t="s">
        <v>15904</v>
      </c>
      <c r="D5345" t="str">
        <f>HYPERLINK("https://github.com/Anuken/Mindustry/issues/5131","show")</f>
        <v>show</v>
      </c>
      <c r="E5345" t="str">
        <f>HYPERLINK("https://github.com/Anuken/Mindustry","show")</f>
        <v>show</v>
      </c>
      <c r="F5345" t="str">
        <f>HYPERLINK("https://github.com/Anuken/Mindustry/releases","show")</f>
        <v>show</v>
      </c>
    </row>
    <row r="5346" spans="1:6">
      <c r="A5346" t="s">
        <v>15905</v>
      </c>
      <c r="B5346" t="s">
        <v>15906</v>
      </c>
      <c r="C5346" t="s">
        <v>15907</v>
      </c>
      <c r="D5346" t="str">
        <f>HYPERLINK("https://github.com/PojavLauncherTeam/PojavLauncher/issues/1256","show")</f>
        <v>show</v>
      </c>
      <c r="E5346" t="str">
        <f>HYPERLINK("https://github.com/PojavLauncherTeam/PojavLauncher","show")</f>
        <v>show</v>
      </c>
      <c r="F5346" t="str">
        <f>HYPERLINK("https://github.com/PojavLauncherTeam/PojavLauncher/releases","show")</f>
        <v>show</v>
      </c>
    </row>
    <row r="5347" spans="1:6">
      <c r="A5347" t="s">
        <v>15908</v>
      </c>
      <c r="B5347" t="s">
        <v>15909</v>
      </c>
      <c r="C5347" t="s">
        <v>15910</v>
      </c>
      <c r="D5347" t="str">
        <f>HYPERLINK("https://github.com/NekoX-Dev/NekoX/issues/470","show")</f>
        <v>show</v>
      </c>
      <c r="E5347" t="str">
        <f>HYPERLINK("https://github.com/NekoX-Dev/NekoX","show")</f>
        <v>show</v>
      </c>
      <c r="F5347" t="str">
        <f>HYPERLINK("https://github.com/NekoX-Dev/NekoX/releases","show")</f>
        <v>show</v>
      </c>
    </row>
    <row r="5348" spans="1:6">
      <c r="A5348" t="s">
        <v>15911</v>
      </c>
      <c r="B5348" t="s">
        <v>15912</v>
      </c>
      <c r="C5348" t="s">
        <v>15913</v>
      </c>
      <c r="D5348" t="str">
        <f>HYPERLINK("https://github.com/MuntashirAkon/AppManager/issues/379","show")</f>
        <v>show</v>
      </c>
      <c r="E5348" t="str">
        <f>HYPERLINK("https://github.com/MuntashirAkon/AppManager","show")</f>
        <v>show</v>
      </c>
      <c r="F5348" t="str">
        <f>HYPERLINK("https://github.com/MuntashirAkon/AppManager/releases","show")</f>
        <v>show</v>
      </c>
    </row>
    <row r="5349" spans="1:6">
      <c r="A5349" t="s">
        <v>15914</v>
      </c>
      <c r="B5349" t="s">
        <v>15915</v>
      </c>
      <c r="C5349" t="s">
        <v>15916</v>
      </c>
      <c r="D5349" t="str">
        <f>HYPERLINK("https://github.com/k9mail/k-9/issues/5261","show")</f>
        <v>show</v>
      </c>
      <c r="E5349" t="str">
        <f>HYPERLINK("https://github.com/k9mail/k-9","show")</f>
        <v>show</v>
      </c>
      <c r="F5349" t="str">
        <f>HYPERLINK("https://github.com/k9mail/k-9/releases","show")</f>
        <v>show</v>
      </c>
    </row>
    <row r="5350" spans="1:6">
      <c r="A5350" t="s">
        <v>15917</v>
      </c>
      <c r="B5350" t="s">
        <v>15918</v>
      </c>
      <c r="C5350" t="s">
        <v>15919</v>
      </c>
      <c r="D5350" t="str">
        <f>HYPERLINK("https://github.com/Anuken/Mindustry/issues/5128","show")</f>
        <v>show</v>
      </c>
      <c r="E5350" t="str">
        <f>HYPERLINK("https://github.com/Anuken/Mindustry","show")</f>
        <v>show</v>
      </c>
      <c r="F5350" t="str">
        <f>HYPERLINK("https://github.com/Anuken/Mindustry/releases","show")</f>
        <v>show</v>
      </c>
    </row>
    <row r="5351" spans="1:6">
      <c r="A5351" t="s">
        <v>15920</v>
      </c>
      <c r="B5351" t="s">
        <v>15921</v>
      </c>
      <c r="C5351" t="s">
        <v>15922</v>
      </c>
      <c r="D5351" t="str">
        <f>HYPERLINK("https://github.com/jMonkeyEngine/jmonkeyengine/issues/1527","show")</f>
        <v>show</v>
      </c>
      <c r="E5351" t="str">
        <f>HYPERLINK("https://github.com/jMonkeyEngine/jmonkeyengine","show")</f>
        <v>show</v>
      </c>
      <c r="F5351" t="str">
        <f>HYPERLINK("https://github.com/jMonkeyEngine/jmonkeyengine/releases","show")</f>
        <v>show</v>
      </c>
    </row>
    <row r="5352" spans="1:6">
      <c r="A5352" t="s">
        <v>15923</v>
      </c>
      <c r="B5352" t="s">
        <v>15924</v>
      </c>
      <c r="C5352" t="s">
        <v>15925</v>
      </c>
      <c r="D5352" t="str">
        <f>HYPERLINK("https://github.com/google/ExoPlayer/issues/8832","show")</f>
        <v>show</v>
      </c>
      <c r="E5352" t="str">
        <f>HYPERLINK("https://github.com/google/ExoPlayer","show")</f>
        <v>show</v>
      </c>
      <c r="F5352" t="str">
        <f>HYPERLINK("https://github.com/google/ExoPlayer/releases","show")</f>
        <v>show</v>
      </c>
    </row>
    <row r="5353" spans="1:6">
      <c r="A5353" t="s">
        <v>15926</v>
      </c>
      <c r="B5353" t="s">
        <v>15927</v>
      </c>
      <c r="C5353" t="s">
        <v>15928</v>
      </c>
      <c r="D5353" t="str">
        <f>HYPERLINK("https://github.com/PojavLauncherTeam/PojavLauncher/issues/1252","show")</f>
        <v>show</v>
      </c>
      <c r="E5353" t="str">
        <f>HYPERLINK("https://github.com/PojavLauncherTeam/PojavLauncher","show")</f>
        <v>show</v>
      </c>
      <c r="F5353" t="str">
        <f>HYPERLINK("https://github.com/PojavLauncherTeam/PojavLauncher/releases","show")</f>
        <v>show</v>
      </c>
    </row>
    <row r="5354" spans="1:6">
      <c r="A5354" t="s">
        <v>15929</v>
      </c>
      <c r="B5354" t="s">
        <v>15930</v>
      </c>
      <c r="C5354" t="s">
        <v>15931</v>
      </c>
      <c r="D5354" t="str">
        <f>HYPERLINK("https://github.com/PojavLauncherTeam/PojavLauncher/issues/1250","show")</f>
        <v>show</v>
      </c>
      <c r="E5354" t="str">
        <f>HYPERLINK("https://github.com/PojavLauncherTeam/PojavLauncher","show")</f>
        <v>show</v>
      </c>
      <c r="F5354" t="str">
        <f>HYPERLINK("https://github.com/PojavLauncherTeam/PojavLauncher/releases","show")</f>
        <v>show</v>
      </c>
    </row>
    <row r="5355" spans="1:6">
      <c r="A5355" t="s">
        <v>15932</v>
      </c>
      <c r="B5355" t="s">
        <v>15933</v>
      </c>
      <c r="C5355" t="s">
        <v>15934</v>
      </c>
      <c r="D5355" t="str">
        <f>HYPERLINK("https://github.com/Honeydew-List/Honeydew-List-App/issues/17","show")</f>
        <v>show</v>
      </c>
      <c r="E5355" t="str">
        <f>HYPERLINK("https://github.com/Honeydew-List/Honeydew-List-App","show")</f>
        <v>show</v>
      </c>
      <c r="F5355" t="str">
        <f>HYPERLINK("https://github.com/Honeydew-List/Honeydew-List-App/releases","show")</f>
        <v>show</v>
      </c>
    </row>
    <row r="5356" spans="1:6">
      <c r="A5356" t="s">
        <v>15935</v>
      </c>
      <c r="B5356" t="s">
        <v>15936</v>
      </c>
      <c r="C5356" t="s">
        <v>15937</v>
      </c>
      <c r="D5356" t="str">
        <f>HYPERLINK("https://github.com/TeamNewPipe/NewPipe/issues/6107","show")</f>
        <v>show</v>
      </c>
      <c r="E5356" t="str">
        <f>HYPERLINK("https://github.com/TeamNewPipe/NewPipe","show")</f>
        <v>show</v>
      </c>
      <c r="F5356" t="str">
        <f>HYPERLINK("https://github.com/TeamNewPipe/NewPipe/releases","show")</f>
        <v>show</v>
      </c>
    </row>
    <row r="5357" spans="1:6">
      <c r="A5357" t="s">
        <v>15938</v>
      </c>
      <c r="B5357" t="s">
        <v>15939</v>
      </c>
      <c r="C5357" t="s">
        <v>15940</v>
      </c>
      <c r="D5357" t="str">
        <f>HYPERLINK("https://github.com/Anuken/Mindustry/issues/5124","show")</f>
        <v>show</v>
      </c>
      <c r="E5357" t="str">
        <f>HYPERLINK("https://github.com/Anuken/Mindustry","show")</f>
        <v>show</v>
      </c>
      <c r="F5357" t="str">
        <f>HYPERLINK("https://github.com/Anuken/Mindustry/releases","show")</f>
        <v>show</v>
      </c>
    </row>
    <row r="5358" spans="1:6">
      <c r="A5358" t="s">
        <v>15941</v>
      </c>
      <c r="B5358" t="s">
        <v>15942</v>
      </c>
      <c r="C5358" t="s">
        <v>15943</v>
      </c>
      <c r="D5358" t="str">
        <f>HYPERLINK("https://github.com/uscki/Wilson-Android/issues/221","show")</f>
        <v>show</v>
      </c>
      <c r="E5358" t="str">
        <f>HYPERLINK("https://github.com/uscki/Wilson-Android","show")</f>
        <v>show</v>
      </c>
      <c r="F5358" t="str">
        <f>HYPERLINK("https://github.com/uscki/Wilson-Android/releases","show")</f>
        <v>show</v>
      </c>
    </row>
    <row r="5359" spans="1:6">
      <c r="A5359" t="s">
        <v>15944</v>
      </c>
      <c r="B5359" t="s">
        <v>15945</v>
      </c>
      <c r="C5359" t="s">
        <v>15946</v>
      </c>
      <c r="D5359" t="str">
        <f>HYPERLINK("https://github.com/UweTrottmann/SeriesGuide/issues/785","show")</f>
        <v>show</v>
      </c>
      <c r="E5359" t="str">
        <f>HYPERLINK("https://github.com/UweTrottmann/SeriesGuide","show")</f>
        <v>show</v>
      </c>
      <c r="F5359" t="str">
        <f>HYPERLINK("https://github.com/UweTrottmann/SeriesGuide/releases","show")</f>
        <v>show</v>
      </c>
    </row>
    <row r="5360" spans="1:6">
      <c r="A5360" t="s">
        <v>15947</v>
      </c>
      <c r="B5360" t="s">
        <v>15948</v>
      </c>
      <c r="C5360" t="s">
        <v>15949</v>
      </c>
      <c r="D5360" t="str">
        <f>HYPERLINK("https://github.com/TeamNewPipe/NewPipe/issues/6103","show")</f>
        <v>show</v>
      </c>
      <c r="E5360" t="str">
        <f>HYPERLINK("https://github.com/TeamNewPipe/NewPipe","show")</f>
        <v>show</v>
      </c>
      <c r="F5360" t="str">
        <f>HYPERLINK("https://github.com/TeamNewPipe/NewPipe/releases","show")</f>
        <v>show</v>
      </c>
    </row>
    <row r="5361" spans="1:6">
      <c r="A5361" t="s">
        <v>15950</v>
      </c>
      <c r="B5361" t="s">
        <v>15951</v>
      </c>
      <c r="C5361" t="s">
        <v>15952</v>
      </c>
      <c r="D5361" t="str">
        <f>HYPERLINK("https://github.com/PojavLauncherTeam/PojavLauncher/issues/1239","show")</f>
        <v>show</v>
      </c>
      <c r="E5361" t="str">
        <f>HYPERLINK("https://github.com/PojavLauncherTeam/PojavLauncher","show")</f>
        <v>show</v>
      </c>
      <c r="F5361" t="str">
        <f>HYPERLINK("https://github.com/PojavLauncherTeam/PojavLauncher/releases","show")</f>
        <v>show</v>
      </c>
    </row>
    <row r="5362" spans="1:6">
      <c r="A5362" t="s">
        <v>15953</v>
      </c>
      <c r="B5362" t="s">
        <v>15954</v>
      </c>
      <c r="C5362" t="s">
        <v>15955</v>
      </c>
      <c r="D5362" t="str">
        <f>HYPERLINK("https://github.com/SCCapstone/MobileAssistant/issues/174","show")</f>
        <v>show</v>
      </c>
      <c r="E5362" t="str">
        <f>HYPERLINK("https://github.com/SCCapstone/MobileAssistant","show")</f>
        <v>show</v>
      </c>
      <c r="F5362" t="str">
        <f>HYPERLINK("https://github.com/SCCapstone/MobileAssistant/releases","show")</f>
        <v>show</v>
      </c>
    </row>
    <row r="5363" spans="1:6">
      <c r="A5363" t="s">
        <v>15956</v>
      </c>
      <c r="B5363" t="s">
        <v>15957</v>
      </c>
      <c r="C5363" t="s">
        <v>15958</v>
      </c>
      <c r="D5363" t="str">
        <f>HYPERLINK("https://github.com/PojavLauncherTeam/PojavLauncher/issues/1236","show")</f>
        <v>show</v>
      </c>
      <c r="E5363" t="str">
        <f>HYPERLINK("https://github.com/PojavLauncherTeam/PojavLauncher","show")</f>
        <v>show</v>
      </c>
      <c r="F5363" t="str">
        <f>HYPERLINK("https://github.com/PojavLauncherTeam/PojavLauncher/releases","show")</f>
        <v>show</v>
      </c>
    </row>
    <row r="5364" spans="1:6">
      <c r="A5364" t="s">
        <v>15959</v>
      </c>
      <c r="B5364" t="s">
        <v>15960</v>
      </c>
      <c r="C5364" t="s">
        <v>15961</v>
      </c>
      <c r="D5364" t="str">
        <f>HYPERLINK("https://github.com/mtotschnig/MyExpenses/issues/809","show")</f>
        <v>show</v>
      </c>
      <c r="E5364" t="str">
        <f>HYPERLINK("https://github.com/mtotschnig/MyExpenses","show")</f>
        <v>show</v>
      </c>
      <c r="F5364" t="str">
        <f>HYPERLINK("https://github.com/mtotschnig/MyExpenses/releases","show")</f>
        <v>show</v>
      </c>
    </row>
    <row r="5365" spans="1:6">
      <c r="A5365" t="s">
        <v>15962</v>
      </c>
      <c r="B5365" t="s">
        <v>15963</v>
      </c>
      <c r="C5365" t="s">
        <v>15964</v>
      </c>
      <c r="D5365" t="str">
        <f>HYPERLINK("https://github.com/ankidroid/Anki-Android/issues/8637","show")</f>
        <v>show</v>
      </c>
      <c r="E5365" t="str">
        <f>HYPERLINK("https://github.com/ankidroid/Anki-Android","show")</f>
        <v>show</v>
      </c>
      <c r="F5365" t="str">
        <f>HYPERLINK("https://github.com/ankidroid/Anki-Android/releases","show")</f>
        <v>show</v>
      </c>
    </row>
    <row r="5366" spans="1:6">
      <c r="A5366" t="s">
        <v>15965</v>
      </c>
      <c r="B5366" t="s">
        <v>15966</v>
      </c>
      <c r="C5366" t="s">
        <v>15967</v>
      </c>
      <c r="D5366" t="str">
        <f>HYPERLINK("https://github.com/PojavLauncherTeam/PojavLauncher/issues/1234","show")</f>
        <v>show</v>
      </c>
      <c r="E5366" t="str">
        <f>HYPERLINK("https://github.com/PojavLauncherTeam/PojavLauncher","show")</f>
        <v>show</v>
      </c>
      <c r="F5366" t="str">
        <f>HYPERLINK("https://github.com/PojavLauncherTeam/PojavLauncher/releases","show")</f>
        <v>show</v>
      </c>
    </row>
    <row r="5367" spans="1:6">
      <c r="A5367" t="s">
        <v>15968</v>
      </c>
      <c r="B5367" t="s">
        <v>15969</v>
      </c>
      <c r="C5367" t="s">
        <v>15970</v>
      </c>
      <c r="D5367" t="str">
        <f>HYPERLINK("https://github.com/nextcloud/android/issues/8291","show")</f>
        <v>show</v>
      </c>
      <c r="E5367" t="str">
        <f>HYPERLINK("https://github.com/nextcloud/android","show")</f>
        <v>show</v>
      </c>
      <c r="F5367" t="str">
        <f>HYPERLINK("https://github.com/nextcloud/android/releases","show")</f>
        <v>show</v>
      </c>
    </row>
    <row r="5368" spans="1:6">
      <c r="A5368" t="s">
        <v>15971</v>
      </c>
      <c r="B5368" t="s">
        <v>15972</v>
      </c>
      <c r="C5368" t="s">
        <v>15973</v>
      </c>
      <c r="D5368" t="str">
        <f>HYPERLINK("https://github.com/PojavLauncherTeam/PojavLauncher/issues/1232","show")</f>
        <v>show</v>
      </c>
      <c r="E5368" t="str">
        <f>HYPERLINK("https://github.com/PojavLauncherTeam/PojavLauncher","show")</f>
        <v>show</v>
      </c>
      <c r="F5368" t="str">
        <f>HYPERLINK("https://github.com/PojavLauncherTeam/PojavLauncher/releases","show")</f>
        <v>show</v>
      </c>
    </row>
    <row r="5369" spans="1:6">
      <c r="A5369" t="s">
        <v>15974</v>
      </c>
      <c r="B5369" t="s">
        <v>15975</v>
      </c>
      <c r="C5369" t="s">
        <v>15976</v>
      </c>
      <c r="D5369" t="str">
        <f>HYPERLINK("https://github.com/ubergeek42/weechat-android/issues/512","show")</f>
        <v>show</v>
      </c>
      <c r="E5369" t="str">
        <f>HYPERLINK("https://github.com/ubergeek42/weechat-android","show")</f>
        <v>show</v>
      </c>
      <c r="F5369" t="str">
        <f>HYPERLINK("https://github.com/ubergeek42/weechat-android/releases","show")</f>
        <v>show</v>
      </c>
    </row>
    <row r="5370" spans="1:6">
      <c r="A5370" t="s">
        <v>15977</v>
      </c>
      <c r="B5370" t="s">
        <v>15978</v>
      </c>
      <c r="C5370" t="s">
        <v>15979</v>
      </c>
      <c r="D5370" t="str">
        <f>HYPERLINK("https://github.com/nextcloud/android/issues/8289","show")</f>
        <v>show</v>
      </c>
      <c r="E5370" t="str">
        <f>HYPERLINK("https://github.com/nextcloud/android","show")</f>
        <v>show</v>
      </c>
      <c r="F5370" t="str">
        <f>HYPERLINK("https://github.com/nextcloud/android/releases","show")</f>
        <v>show</v>
      </c>
    </row>
    <row r="5371" spans="1:6">
      <c r="A5371" t="s">
        <v>15980</v>
      </c>
      <c r="B5371" t="s">
        <v>15981</v>
      </c>
      <c r="C5371" t="s">
        <v>15982</v>
      </c>
      <c r="D5371" t="str">
        <f>HYPERLINK("https://github.com/Crazy-Marvin/Morse/issues/65","show")</f>
        <v>show</v>
      </c>
      <c r="E5371" t="str">
        <f>HYPERLINK("https://github.com/Crazy-Marvin/Morse","show")</f>
        <v>show</v>
      </c>
      <c r="F5371" t="str">
        <f>HYPERLINK("https://github.com/Crazy-Marvin/Morse/releases","show")</f>
        <v>show</v>
      </c>
    </row>
    <row r="5372" spans="1:6">
      <c r="A5372" t="s">
        <v>15983</v>
      </c>
      <c r="B5372" t="s">
        <v>9922</v>
      </c>
      <c r="C5372" t="s">
        <v>15984</v>
      </c>
      <c r="D5372" t="str">
        <f>HYPERLINK("https://github.com/PojavLauncherTeam/PojavLauncher/issues/1231","show")</f>
        <v>show</v>
      </c>
      <c r="E5372" t="str">
        <f>HYPERLINK("https://github.com/PojavLauncherTeam/PojavLauncher","show")</f>
        <v>show</v>
      </c>
      <c r="F5372" t="str">
        <f>HYPERLINK("https://github.com/PojavLauncherTeam/PojavLauncher/releases","show")</f>
        <v>show</v>
      </c>
    </row>
    <row r="5373" spans="1:6">
      <c r="A5373" t="s">
        <v>15985</v>
      </c>
      <c r="B5373" t="s">
        <v>15986</v>
      </c>
      <c r="C5373" t="s">
        <v>15987</v>
      </c>
      <c r="D5373" t="str">
        <f>HYPERLINK("https://github.com/MuntashirAkon/AppManager/issues/374","show")</f>
        <v>show</v>
      </c>
      <c r="E5373" t="str">
        <f>HYPERLINK("https://github.com/MuntashirAkon/AppManager","show")</f>
        <v>show</v>
      </c>
      <c r="F5373" t="str">
        <f>HYPERLINK("https://github.com/MuntashirAkon/AppManager/releases","show")</f>
        <v>show</v>
      </c>
    </row>
    <row r="5374" spans="1:6">
      <c r="A5374" t="s">
        <v>15988</v>
      </c>
      <c r="B5374" t="s">
        <v>15989</v>
      </c>
      <c r="C5374" t="s">
        <v>15990</v>
      </c>
      <c r="D5374" t="str">
        <f>HYPERLINK("https://github.com/nextcloud/android/issues/8287","show")</f>
        <v>show</v>
      </c>
      <c r="E5374" t="str">
        <f>HYPERLINK("https://github.com/nextcloud/android","show")</f>
        <v>show</v>
      </c>
      <c r="F5374" t="str">
        <f>HYPERLINK("https://github.com/nextcloud/android/releases","show")</f>
        <v>show</v>
      </c>
    </row>
    <row r="5375" spans="1:6">
      <c r="A5375" t="s">
        <v>15991</v>
      </c>
      <c r="B5375" t="s">
        <v>15992</v>
      </c>
      <c r="C5375" t="s">
        <v>15993</v>
      </c>
      <c r="D5375" t="str">
        <f>HYPERLINK("https://github.com/SCCapstone/PokeCompanion/issues/118","show")</f>
        <v>show</v>
      </c>
      <c r="E5375" t="str">
        <f>HYPERLINK("https://github.com/SCCapstone/PokeCompanion","show")</f>
        <v>show</v>
      </c>
      <c r="F5375" t="str">
        <f>HYPERLINK("https://github.com/SCCapstone/PokeCompanion/releases","show")</f>
        <v>show</v>
      </c>
    </row>
    <row r="5376" spans="1:6">
      <c r="A5376" t="s">
        <v>15994</v>
      </c>
      <c r="B5376" t="s">
        <v>15995</v>
      </c>
      <c r="C5376" t="s">
        <v>15996</v>
      </c>
      <c r="D5376" t="str">
        <f>HYPERLINK("https://github.com/nextcloud/android/issues/8284","show")</f>
        <v>show</v>
      </c>
      <c r="E5376" t="str">
        <f>HYPERLINK("https://github.com/nextcloud/android","show")</f>
        <v>show</v>
      </c>
      <c r="F5376" t="str">
        <f>HYPERLINK("https://github.com/nextcloud/android/releases","show")</f>
        <v>show</v>
      </c>
    </row>
    <row r="5377" spans="1:6">
      <c r="A5377" t="s">
        <v>15997</v>
      </c>
      <c r="B5377" t="s">
        <v>15998</v>
      </c>
      <c r="C5377" t="s">
        <v>15999</v>
      </c>
      <c r="D5377" t="str">
        <f>HYPERLINK("https://github.com/TeamNewPipe/NewPipe/issues/6089","show")</f>
        <v>show</v>
      </c>
      <c r="E5377" t="str">
        <f>HYPERLINK("https://github.com/TeamNewPipe/NewPipe","show")</f>
        <v>show</v>
      </c>
      <c r="F5377" t="str">
        <f>HYPERLINK("https://github.com/TeamNewPipe/NewPipe/releases","show")</f>
        <v>show</v>
      </c>
    </row>
    <row r="5378" spans="1:6">
      <c r="A5378" t="s">
        <v>16000</v>
      </c>
      <c r="B5378" t="s">
        <v>16001</v>
      </c>
      <c r="C5378" t="s">
        <v>16002</v>
      </c>
      <c r="D5378" t="str">
        <f>HYPERLINK("https://github.com/priteshrnandgaonkar/react-native-call-detection/issues/88","show")</f>
        <v>show</v>
      </c>
      <c r="E5378" t="str">
        <f>HYPERLINK("https://github.com/priteshrnandgaonkar/react-native-call-detection","show")</f>
        <v>show</v>
      </c>
      <c r="F5378" t="str">
        <f>HYPERLINK("https://github.com/priteshrnandgaonkar/react-native-call-detection/releases","show")</f>
        <v>show</v>
      </c>
    </row>
    <row r="5379" spans="1:6">
      <c r="A5379" t="s">
        <v>16003</v>
      </c>
      <c r="B5379" t="s">
        <v>16004</v>
      </c>
      <c r="C5379" t="s">
        <v>16005</v>
      </c>
      <c r="D5379" t="str">
        <f>HYPERLINK("https://github.com/TeamNewPipe/NewPipe/issues/6084","show")</f>
        <v>show</v>
      </c>
      <c r="E5379" t="str">
        <f>HYPERLINK("https://github.com/TeamNewPipe/NewPipe","show")</f>
        <v>show</v>
      </c>
      <c r="F5379" t="str">
        <f>HYPERLINK("https://github.com/TeamNewPipe/NewPipe/releases","show")</f>
        <v>show</v>
      </c>
    </row>
    <row r="5380" spans="1:6">
      <c r="A5380" t="s">
        <v>16006</v>
      </c>
      <c r="B5380" t="s">
        <v>16007</v>
      </c>
      <c r="C5380" t="s">
        <v>16008</v>
      </c>
      <c r="D5380" t="str">
        <f>HYPERLINK("https://github.com/TeamNewPipe/NewPipe/issues/6080","show")</f>
        <v>show</v>
      </c>
      <c r="E5380" t="str">
        <f>HYPERLINK("https://github.com/TeamNewPipe/NewPipe","show")</f>
        <v>show</v>
      </c>
      <c r="F5380" t="str">
        <f>HYPERLINK("https://github.com/TeamNewPipe/NewPipe/releases","show")</f>
        <v>show</v>
      </c>
    </row>
    <row r="5381" spans="1:6">
      <c r="A5381" t="s">
        <v>16009</v>
      </c>
      <c r="B5381" t="s">
        <v>16010</v>
      </c>
      <c r="C5381" t="s">
        <v>16011</v>
      </c>
      <c r="D5381" t="str">
        <f>HYPERLINK("https://github.com/ankidroid/Anki-Android/issues/8610","show")</f>
        <v>show</v>
      </c>
      <c r="E5381" t="str">
        <f>HYPERLINK("https://github.com/ankidroid/Anki-Android","show")</f>
        <v>show</v>
      </c>
      <c r="F5381" t="str">
        <f>HYPERLINK("https://github.com/ankidroid/Anki-Android/releases","show")</f>
        <v>show</v>
      </c>
    </row>
    <row r="5382" spans="1:6">
      <c r="A5382" t="s">
        <v>16012</v>
      </c>
      <c r="B5382" t="s">
        <v>16013</v>
      </c>
      <c r="C5382" t="s">
        <v>16014</v>
      </c>
      <c r="D5382" t="str">
        <f>HYPERLINK("https://github.com/square/okhttp/issues/6631","show")</f>
        <v>show</v>
      </c>
      <c r="E5382" t="str">
        <f>HYPERLINK("https://github.com/square/okhttp","show")</f>
        <v>show</v>
      </c>
      <c r="F5382" t="str">
        <f>HYPERLINK("https://github.com/square/okhttp/releases","show")</f>
        <v>show</v>
      </c>
    </row>
    <row r="5383" spans="1:6">
      <c r="A5383" t="s">
        <v>16015</v>
      </c>
      <c r="B5383" t="s">
        <v>16016</v>
      </c>
      <c r="C5383" t="s">
        <v>16017</v>
      </c>
      <c r="D5383" t="str">
        <f>HYPERLINK("https://github.com/TeamNewPipe/NewPipe/issues/6078","show")</f>
        <v>show</v>
      </c>
      <c r="E5383" t="str">
        <f>HYPERLINK("https://github.com/TeamNewPipe/NewPipe","show")</f>
        <v>show</v>
      </c>
      <c r="F5383" t="str">
        <f>HYPERLINK("https://github.com/TeamNewPipe/NewPipe/releases","show")</f>
        <v>show</v>
      </c>
    </row>
    <row r="5384" spans="1:6">
      <c r="A5384" t="s">
        <v>16018</v>
      </c>
      <c r="B5384" t="s">
        <v>16019</v>
      </c>
      <c r="C5384" t="s">
        <v>16020</v>
      </c>
      <c r="D5384" t="str">
        <f>HYPERLINK("https://github.com/TeamNewPipe/NewPipe/issues/6077","show")</f>
        <v>show</v>
      </c>
      <c r="E5384" t="str">
        <f>HYPERLINK("https://github.com/TeamNewPipe/NewPipe","show")</f>
        <v>show</v>
      </c>
      <c r="F5384" t="str">
        <f>HYPERLINK("https://github.com/TeamNewPipe/NewPipe/releases","show")</f>
        <v>show</v>
      </c>
    </row>
    <row r="5385" spans="1:6">
      <c r="A5385" t="s">
        <v>16021</v>
      </c>
      <c r="B5385" t="s">
        <v>16022</v>
      </c>
      <c r="C5385" t="s">
        <v>16023</v>
      </c>
      <c r="D5385" t="str">
        <f>HYPERLINK("https://github.com/Anuken/Mindustry/issues/5107","show")</f>
        <v>show</v>
      </c>
      <c r="E5385" t="str">
        <f>HYPERLINK("https://github.com/Anuken/Mindustry","show")</f>
        <v>show</v>
      </c>
      <c r="F5385" t="str">
        <f>HYPERLINK("https://github.com/Anuken/Mindustry/releases","show")</f>
        <v>show</v>
      </c>
    </row>
    <row r="5386" spans="1:6">
      <c r="A5386" t="s">
        <v>16024</v>
      </c>
      <c r="B5386" t="s">
        <v>16025</v>
      </c>
      <c r="C5386" t="s">
        <v>16026</v>
      </c>
      <c r="D5386" t="str">
        <f>HYPERLINK("https://github.com/Blankj/AndroidUtilCode/issues/1481","show")</f>
        <v>show</v>
      </c>
      <c r="E5386" t="str">
        <f>HYPERLINK("https://github.com/Blankj/AndroidUtilCode","show")</f>
        <v>show</v>
      </c>
      <c r="F5386" t="str">
        <f>HYPERLINK("https://github.com/Blankj/AndroidUtilCode/releases","show")</f>
        <v>show</v>
      </c>
    </row>
    <row r="5387" spans="1:6">
      <c r="A5387" t="s">
        <v>16027</v>
      </c>
      <c r="B5387" t="s">
        <v>16028</v>
      </c>
      <c r="C5387" t="s">
        <v>16029</v>
      </c>
      <c r="D5387" t="str">
        <f>HYPERLINK("https://github.com/Anuken/Mindustry/issues/5106","show")</f>
        <v>show</v>
      </c>
      <c r="E5387" t="str">
        <f>HYPERLINK("https://github.com/Anuken/Mindustry","show")</f>
        <v>show</v>
      </c>
      <c r="F5387" t="str">
        <f>HYPERLINK("https://github.com/Anuken/Mindustry/releases","show")</f>
        <v>show</v>
      </c>
    </row>
    <row r="5388" spans="1:6">
      <c r="A5388" t="s">
        <v>16030</v>
      </c>
      <c r="B5388" t="s">
        <v>16031</v>
      </c>
      <c r="C5388" t="s">
        <v>16032</v>
      </c>
      <c r="D5388" t="str">
        <f>HYPERLINK("https://github.com/JohnFai91/com.jason.kslo/issues/15","show")</f>
        <v>show</v>
      </c>
      <c r="E5388" t="str">
        <f>HYPERLINK("https://github.com/JohnFai91/com.jason.kslo","show")</f>
        <v>show</v>
      </c>
      <c r="F5388" t="str">
        <f>HYPERLINK("https://github.com/JohnFai91/com.jason.kslo/releases","show")</f>
        <v>show</v>
      </c>
    </row>
    <row r="5389" spans="1:6">
      <c r="A5389" t="s">
        <v>16033</v>
      </c>
      <c r="B5389" t="s">
        <v>16034</v>
      </c>
      <c r="C5389" t="s">
        <v>16035</v>
      </c>
      <c r="D5389" t="str">
        <f>HYPERLINK("https://github.com/TeamNewPipe/NewPipe/issues/6074","show")</f>
        <v>show</v>
      </c>
      <c r="E5389" t="str">
        <f>HYPERLINK("https://github.com/TeamNewPipe/NewPipe","show")</f>
        <v>show</v>
      </c>
      <c r="F5389" t="str">
        <f>HYPERLINK("https://github.com/TeamNewPipe/NewPipe/releases","show")</f>
        <v>show</v>
      </c>
    </row>
    <row r="5390" spans="1:6">
      <c r="A5390" t="s">
        <v>16036</v>
      </c>
      <c r="B5390" t="s">
        <v>16037</v>
      </c>
      <c r="C5390" t="s">
        <v>16038</v>
      </c>
      <c r="D5390" t="str">
        <f>HYPERLINK("https://github.com/deltachat/deltachat-android/issues/1869","show")</f>
        <v>show</v>
      </c>
      <c r="E5390" t="str">
        <f>HYPERLINK("https://github.com/deltachat/deltachat-android","show")</f>
        <v>show</v>
      </c>
      <c r="F5390" t="str">
        <f>HYPERLINK("https://github.com/deltachat/deltachat-android/releases","show")</f>
        <v>show</v>
      </c>
    </row>
    <row r="5391" spans="1:6">
      <c r="A5391" t="s">
        <v>16039</v>
      </c>
      <c r="B5391" t="s">
        <v>16040</v>
      </c>
      <c r="C5391" t="s">
        <v>16041</v>
      </c>
      <c r="D5391" t="str">
        <f>HYPERLINK("https://github.com/XiangRongLin/NewPipe-preuinified/issues/2","show")</f>
        <v>show</v>
      </c>
      <c r="E5391" t="str">
        <f>HYPERLINK("https://github.com/XiangRongLin/NewPipe-preuinified","show")</f>
        <v>show</v>
      </c>
      <c r="F5391" t="str">
        <f>HYPERLINK("https://github.com/XiangRongLin/NewPipe-preuinified/releases","show")</f>
        <v>show</v>
      </c>
    </row>
    <row r="5392" spans="1:6">
      <c r="A5392" t="s">
        <v>16042</v>
      </c>
      <c r="B5392" t="s">
        <v>16043</v>
      </c>
      <c r="C5392" t="s">
        <v>16044</v>
      </c>
      <c r="D5392" t="str">
        <f>HYPERLINK("https://github.com/apache/cordova-android/issues/1203","show")</f>
        <v>show</v>
      </c>
      <c r="E5392" t="str">
        <f>HYPERLINK("https://github.com/apache/cordova-android","show")</f>
        <v>show</v>
      </c>
      <c r="F5392" t="str">
        <f>HYPERLINK("https://github.com/apache/cordova-android/releases","show")</f>
        <v>show</v>
      </c>
    </row>
    <row r="5393" spans="1:6">
      <c r="A5393" t="s">
        <v>16045</v>
      </c>
      <c r="B5393" t="s">
        <v>16046</v>
      </c>
      <c r="C5393" t="s">
        <v>16047</v>
      </c>
      <c r="D5393" t="str">
        <f>HYPERLINK("https://github.com/inaturalist/react-native-inat-camera/issues/53","show")</f>
        <v>show</v>
      </c>
      <c r="E5393" t="str">
        <f>HYPERLINK("https://github.com/inaturalist/react-native-inat-camera","show")</f>
        <v>show</v>
      </c>
      <c r="F5393" t="str">
        <f>HYPERLINK("https://github.com/inaturalist/react-native-inat-camera/releases","show")</f>
        <v>show</v>
      </c>
    </row>
    <row r="5394" spans="1:6">
      <c r="A5394" t="s">
        <v>16048</v>
      </c>
      <c r="B5394" t="s">
        <v>16049</v>
      </c>
      <c r="C5394" t="s">
        <v>16050</v>
      </c>
      <c r="D5394" t="str">
        <f>HYPERLINK("https://github.com/inaturalist/react-native-inat-camera/issues/50","show")</f>
        <v>show</v>
      </c>
      <c r="E5394" t="str">
        <f>HYPERLINK("https://github.com/inaturalist/react-native-inat-camera","show")</f>
        <v>show</v>
      </c>
      <c r="F5394" t="str">
        <f>HYPERLINK("https://github.com/inaturalist/react-native-inat-camera/releases","show")</f>
        <v>show</v>
      </c>
    </row>
    <row r="5395" spans="1:6">
      <c r="A5395" t="s">
        <v>16051</v>
      </c>
      <c r="B5395" t="s">
        <v>16052</v>
      </c>
      <c r="C5395" t="s">
        <v>16053</v>
      </c>
      <c r="D5395" t="str">
        <f>HYPERLINK("https://github.com/barbeau/gpstest/issues/498","show")</f>
        <v>show</v>
      </c>
      <c r="E5395" t="str">
        <f>HYPERLINK("https://github.com/barbeau/gpstest","show")</f>
        <v>show</v>
      </c>
      <c r="F5395" t="str">
        <f>HYPERLINK("https://github.com/barbeau/gpstest/releases","show")</f>
        <v>show</v>
      </c>
    </row>
    <row r="5396" spans="1:6">
      <c r="A5396" t="s">
        <v>16054</v>
      </c>
      <c r="B5396" t="s">
        <v>16055</v>
      </c>
      <c r="C5396" t="s">
        <v>16056</v>
      </c>
      <c r="D5396" t="str">
        <f>HYPERLINK("https://github.com/TeamNewPipe/NewPipe/issues/6072","show")</f>
        <v>show</v>
      </c>
      <c r="E5396" t="str">
        <f>HYPERLINK("https://github.com/TeamNewPipe/NewPipe","show")</f>
        <v>show</v>
      </c>
      <c r="F5396" t="str">
        <f>HYPERLINK("https://github.com/TeamNewPipe/NewPipe/releases","show")</f>
        <v>show</v>
      </c>
    </row>
    <row r="5397" spans="1:6">
      <c r="A5397" t="s">
        <v>16057</v>
      </c>
      <c r="B5397" t="s">
        <v>16058</v>
      </c>
      <c r="C5397" t="s">
        <v>16059</v>
      </c>
      <c r="D5397" t="str">
        <f>HYPERLINK("https://github.com/MuntashirAkon/AppManager/issues/373","show")</f>
        <v>show</v>
      </c>
      <c r="E5397" t="str">
        <f>HYPERLINK("https://github.com/MuntashirAkon/AppManager","show")</f>
        <v>show</v>
      </c>
      <c r="F5397" t="str">
        <f>HYPERLINK("https://github.com/MuntashirAkon/AppManager/releases","show")</f>
        <v>show</v>
      </c>
    </row>
    <row r="5398" spans="1:6">
      <c r="A5398" t="s">
        <v>16060</v>
      </c>
      <c r="B5398" t="s">
        <v>16061</v>
      </c>
      <c r="C5398" t="s">
        <v>16062</v>
      </c>
      <c r="D5398" t="str">
        <f>HYPERLINK("https://github.com/k9mail/k-9/issues/5249","show")</f>
        <v>show</v>
      </c>
      <c r="E5398" t="str">
        <f>HYPERLINK("https://github.com/k9mail/k-9","show")</f>
        <v>show</v>
      </c>
      <c r="F5398" t="str">
        <f>HYPERLINK("https://github.com/k9mail/k-9/releases","show")</f>
        <v>show</v>
      </c>
    </row>
    <row r="5399" spans="1:6">
      <c r="A5399" t="s">
        <v>16063</v>
      </c>
      <c r="B5399" t="s">
        <v>16064</v>
      </c>
      <c r="C5399" t="s">
        <v>16065</v>
      </c>
      <c r="D5399" t="str">
        <f>HYPERLINK("https://github.com/getsentry/sentry-java/issues/1395","show")</f>
        <v>show</v>
      </c>
      <c r="E5399" t="str">
        <f>HYPERLINK("https://github.com/getsentry/sentry-java","show")</f>
        <v>show</v>
      </c>
      <c r="F5399" t="str">
        <f>HYPERLINK("https://github.com/getsentry/sentry-java/releases","show")</f>
        <v>show</v>
      </c>
    </row>
    <row r="5400" spans="1:6">
      <c r="A5400" t="s">
        <v>16066</v>
      </c>
      <c r="B5400" t="s">
        <v>16067</v>
      </c>
      <c r="C5400" t="s">
        <v>16068</v>
      </c>
      <c r="D5400" t="str">
        <f>HYPERLINK("https://github.com/nextcloud/android/issues/8275","show")</f>
        <v>show</v>
      </c>
      <c r="E5400" t="str">
        <f>HYPERLINK("https://github.com/nextcloud/android","show")</f>
        <v>show</v>
      </c>
      <c r="F5400" t="str">
        <f>HYPERLINK("https://github.com/nextcloud/android/releases","show")</f>
        <v>show</v>
      </c>
    </row>
    <row r="5401" spans="1:6">
      <c r="A5401" t="s">
        <v>16069</v>
      </c>
      <c r="B5401" t="s">
        <v>16070</v>
      </c>
      <c r="C5401" t="s">
        <v>16071</v>
      </c>
      <c r="D5401" t="str">
        <f>HYPERLINK("https://github.com/TeamNewPipe/NewPipe/issues/6066","show")</f>
        <v>show</v>
      </c>
      <c r="E5401" t="str">
        <f>HYPERLINK("https://github.com/TeamNewPipe/NewPipe","show")</f>
        <v>show</v>
      </c>
      <c r="F5401" t="str">
        <f>HYPERLINK("https://github.com/TeamNewPipe/NewPipe/releases","show")</f>
        <v>show</v>
      </c>
    </row>
    <row r="5402" spans="1:6">
      <c r="A5402" t="s">
        <v>16072</v>
      </c>
      <c r="B5402" t="s">
        <v>16073</v>
      </c>
      <c r="C5402" t="s">
        <v>16074</v>
      </c>
      <c r="D5402" t="str">
        <f>HYPERLINK("https://github.com/TeamNewPipe/NewPipe/issues/6065","show")</f>
        <v>show</v>
      </c>
      <c r="E5402" t="str">
        <f>HYPERLINK("https://github.com/TeamNewPipe/NewPipe","show")</f>
        <v>show</v>
      </c>
      <c r="F5402" t="str">
        <f>HYPERLINK("https://github.com/TeamNewPipe/NewPipe/releases","show")</f>
        <v>show</v>
      </c>
    </row>
    <row r="5403" spans="1:6">
      <c r="A5403" t="s">
        <v>16075</v>
      </c>
      <c r="B5403" t="s">
        <v>16076</v>
      </c>
      <c r="C5403" t="s">
        <v>16077</v>
      </c>
      <c r="D5403" t="str">
        <f>HYPERLINK("https://github.com/TeamNewPipe/NewPipe/issues/6064","show")</f>
        <v>show</v>
      </c>
      <c r="E5403" t="str">
        <f>HYPERLINK("https://github.com/TeamNewPipe/NewPipe","show")</f>
        <v>show</v>
      </c>
      <c r="F5403" t="str">
        <f>HYPERLINK("https://github.com/TeamNewPipe/NewPipe/releases","show")</f>
        <v>show</v>
      </c>
    </row>
    <row r="5404" spans="1:6">
      <c r="A5404" t="s">
        <v>16078</v>
      </c>
      <c r="B5404" t="s">
        <v>16079</v>
      </c>
      <c r="C5404" t="s">
        <v>16080</v>
      </c>
      <c r="D5404" t="str">
        <f>HYPERLINK("https://github.com/TeamNewPipe/NewPipe/issues/6063","show")</f>
        <v>show</v>
      </c>
      <c r="E5404" t="str">
        <f>HYPERLINK("https://github.com/TeamNewPipe/NewPipe","show")</f>
        <v>show</v>
      </c>
      <c r="F5404" t="str">
        <f>HYPERLINK("https://github.com/TeamNewPipe/NewPipe/releases","show")</f>
        <v>show</v>
      </c>
    </row>
    <row r="5405" spans="1:6">
      <c r="A5405" t="s">
        <v>16081</v>
      </c>
      <c r="B5405" t="s">
        <v>16082</v>
      </c>
      <c r="C5405" t="s">
        <v>16083</v>
      </c>
      <c r="D5405" t="str">
        <f>HYPERLINK("https://github.com/TeamNewPipe/NewPipe/issues/6062","show")</f>
        <v>show</v>
      </c>
      <c r="E5405" t="str">
        <f>HYPERLINK("https://github.com/TeamNewPipe/NewPipe","show")</f>
        <v>show</v>
      </c>
      <c r="F5405" t="str">
        <f>HYPERLINK("https://github.com/TeamNewPipe/NewPipe/releases","show")</f>
        <v>show</v>
      </c>
    </row>
    <row r="5406" spans="1:6">
      <c r="A5406" t="s">
        <v>16084</v>
      </c>
      <c r="B5406" t="s">
        <v>16085</v>
      </c>
      <c r="C5406" t="s">
        <v>16086</v>
      </c>
      <c r="D5406" t="str">
        <f>HYPERLINK("https://github.com/Stephenklop/School-Movie-Android-App-Project/issues/84","show")</f>
        <v>show</v>
      </c>
      <c r="E5406" t="str">
        <f>HYPERLINK("https://github.com/Stephenklop/School-Movie-Android-App-Project","show")</f>
        <v>show</v>
      </c>
      <c r="F5406" t="str">
        <f>HYPERLINK("https://github.com/Stephenklop/School-Movie-Android-App-Project/releases","show")</f>
        <v>show</v>
      </c>
    </row>
    <row r="5407" spans="1:6">
      <c r="A5407" t="s">
        <v>16087</v>
      </c>
      <c r="B5407" t="s">
        <v>16088</v>
      </c>
      <c r="C5407" t="s">
        <v>16089</v>
      </c>
      <c r="D5407" t="str">
        <f>HYPERLINK("https://github.com/Anuken/Mindustry/issues/5099","show")</f>
        <v>show</v>
      </c>
      <c r="E5407" t="str">
        <f>HYPERLINK("https://github.com/Anuken/Mindustry","show")</f>
        <v>show</v>
      </c>
      <c r="F5407" t="str">
        <f>HYPERLINK("https://github.com/Anuken/Mindustry/releases","show")</f>
        <v>show</v>
      </c>
    </row>
    <row r="5408" spans="1:6">
      <c r="A5408" t="s">
        <v>16090</v>
      </c>
      <c r="B5408" t="s">
        <v>16091</v>
      </c>
      <c r="C5408" t="s">
        <v>16092</v>
      </c>
      <c r="D5408" t="str">
        <f>HYPERLINK("https://github.com/NordicSemiconductor/Android-DFU-Library/issues/300","show")</f>
        <v>show</v>
      </c>
      <c r="E5408" t="str">
        <f>HYPERLINK("https://github.com/NordicSemiconductor/Android-DFU-Library","show")</f>
        <v>show</v>
      </c>
      <c r="F5408" t="str">
        <f>HYPERLINK("https://github.com/NordicSemiconductor/Android-DFU-Library/releases","show")</f>
        <v>show</v>
      </c>
    </row>
    <row r="5409" spans="1:6">
      <c r="A5409" t="s">
        <v>16093</v>
      </c>
      <c r="B5409" t="s">
        <v>16094</v>
      </c>
      <c r="C5409" t="s">
        <v>16095</v>
      </c>
      <c r="D5409" t="str">
        <f>HYPERLINK("https://github.com/AOF-Dev/MCinaBox/issues/1052","show")</f>
        <v>show</v>
      </c>
      <c r="E5409" t="str">
        <f>HYPERLINK("https://github.com/AOF-Dev/MCinaBox","show")</f>
        <v>show</v>
      </c>
      <c r="F5409" t="str">
        <f>HYPERLINK("https://github.com/AOF-Dev/MCinaBox/releases","show")</f>
        <v>show</v>
      </c>
    </row>
    <row r="5410" spans="1:6">
      <c r="A5410" t="s">
        <v>16096</v>
      </c>
      <c r="B5410" t="s">
        <v>16097</v>
      </c>
      <c r="C5410" t="s">
        <v>16098</v>
      </c>
      <c r="D5410" t="str">
        <f>HYPERLINK("https://github.com/cgeo/cgeo/issues/10374","show")</f>
        <v>show</v>
      </c>
      <c r="E5410" t="str">
        <f>HYPERLINK("https://github.com/cgeo/cgeo","show")</f>
        <v>show</v>
      </c>
      <c r="F5410" t="str">
        <f>HYPERLINK("https://github.com/cgeo/cgeo/releases","show")</f>
        <v>show</v>
      </c>
    </row>
    <row r="5411" spans="1:6">
      <c r="A5411" t="s">
        <v>16099</v>
      </c>
      <c r="B5411" t="s">
        <v>16100</v>
      </c>
      <c r="C5411" t="s">
        <v>16101</v>
      </c>
      <c r="D5411" t="str">
        <f>HYPERLINK("https://github.com/opensrp/opensrp-client-native-form/issues/567","show")</f>
        <v>show</v>
      </c>
      <c r="E5411" t="str">
        <f>HYPERLINK("https://github.com/opensrp/opensrp-client-native-form","show")</f>
        <v>show</v>
      </c>
      <c r="F5411" t="str">
        <f>HYPERLINK("https://github.com/opensrp/opensrp-client-native-form/releases","show")</f>
        <v>show</v>
      </c>
    </row>
    <row r="5412" spans="1:6">
      <c r="A5412" t="s">
        <v>16102</v>
      </c>
      <c r="B5412" t="s">
        <v>16103</v>
      </c>
      <c r="C5412" t="s">
        <v>16104</v>
      </c>
      <c r="D5412" t="str">
        <f>HYPERLINK("https://github.com/PojavLauncherTeam/PojavLauncher/issues/1201","show")</f>
        <v>show</v>
      </c>
      <c r="E5412" t="str">
        <f>HYPERLINK("https://github.com/PojavLauncherTeam/PojavLauncher","show")</f>
        <v>show</v>
      </c>
      <c r="F5412" t="str">
        <f>HYPERLINK("https://github.com/PojavLauncherTeam/PojavLauncher/releases","show")</f>
        <v>show</v>
      </c>
    </row>
    <row r="5413" spans="1:6">
      <c r="A5413" t="s">
        <v>16105</v>
      </c>
      <c r="B5413" t="s">
        <v>16106</v>
      </c>
      <c r="C5413" t="s">
        <v>16104</v>
      </c>
      <c r="D5413" t="str">
        <f>HYPERLINK("https://github.com/PojavLauncherTeam/PojavLauncher/issues/1200","show")</f>
        <v>show</v>
      </c>
      <c r="E5413" t="str">
        <f>HYPERLINK("https://github.com/PojavLauncherTeam/PojavLauncher","show")</f>
        <v>show</v>
      </c>
      <c r="F5413" t="str">
        <f>HYPERLINK("https://github.com/PojavLauncherTeam/PojavLauncher/releases","show")</f>
        <v>show</v>
      </c>
    </row>
    <row r="5414" spans="1:6">
      <c r="A5414" t="s">
        <v>16107</v>
      </c>
      <c r="B5414" t="s">
        <v>16108</v>
      </c>
      <c r="C5414" t="s">
        <v>16109</v>
      </c>
      <c r="D5414" t="str">
        <f>HYPERLINK("https://github.com/XiangRongLin/NewPipe-preuinified/issues/1","show")</f>
        <v>show</v>
      </c>
      <c r="E5414" t="str">
        <f>HYPERLINK("https://github.com/XiangRongLin/NewPipe-preuinified","show")</f>
        <v>show</v>
      </c>
      <c r="F5414" t="str">
        <f>HYPERLINK("https://github.com/XiangRongLin/NewPipe-preuinified/releases","show")</f>
        <v>show</v>
      </c>
    </row>
    <row r="5415" spans="1:6">
      <c r="A5415" t="s">
        <v>16110</v>
      </c>
      <c r="B5415" t="s">
        <v>16111</v>
      </c>
      <c r="C5415" t="s">
        <v>16112</v>
      </c>
      <c r="D5415" t="str">
        <f>HYPERLINK("https://github.com/TeamNewPipe/NewPipe/issues/6057","show")</f>
        <v>show</v>
      </c>
      <c r="E5415" t="str">
        <f>HYPERLINK("https://github.com/TeamNewPipe/NewPipe","show")</f>
        <v>show</v>
      </c>
      <c r="F5415" t="str">
        <f>HYPERLINK("https://github.com/TeamNewPipe/NewPipe/releases","show")</f>
        <v>show</v>
      </c>
    </row>
    <row r="5416" spans="1:6">
      <c r="A5416" t="s">
        <v>16113</v>
      </c>
      <c r="B5416" t="s">
        <v>16114</v>
      </c>
      <c r="C5416" t="s">
        <v>16115</v>
      </c>
      <c r="D5416" t="str">
        <f>HYPERLINK("https://github.com/TeamNewPipe/NewPipe/issues/6055","show")</f>
        <v>show</v>
      </c>
      <c r="E5416" t="str">
        <f>HYPERLINK("https://github.com/TeamNewPipe/NewPipe","show")</f>
        <v>show</v>
      </c>
      <c r="F5416" t="str">
        <f>HYPERLINK("https://github.com/TeamNewPipe/NewPipe/releases","show")</f>
        <v>show</v>
      </c>
    </row>
    <row r="5417" spans="1:6">
      <c r="A5417" t="s">
        <v>16116</v>
      </c>
      <c r="B5417" t="s">
        <v>16117</v>
      </c>
      <c r="C5417" t="s">
        <v>16118</v>
      </c>
      <c r="D5417" t="str">
        <f>HYPERLINK("https://github.com/TeamNewPipe/NewPipe/issues/6054","show")</f>
        <v>show</v>
      </c>
      <c r="E5417" t="str">
        <f>HYPERLINK("https://github.com/TeamNewPipe/NewPipe","show")</f>
        <v>show</v>
      </c>
      <c r="F5417" t="str">
        <f>HYPERLINK("https://github.com/TeamNewPipe/NewPipe/releases","show")</f>
        <v>show</v>
      </c>
    </row>
    <row r="5418" spans="1:6">
      <c r="A5418" t="s">
        <v>16119</v>
      </c>
      <c r="B5418" t="s">
        <v>16120</v>
      </c>
      <c r="C5418" t="s">
        <v>16121</v>
      </c>
      <c r="D5418" t="str">
        <f>HYPERLINK("https://github.com/PojavLauncherTeam/PojavLauncher/issues/1198","show")</f>
        <v>show</v>
      </c>
      <c r="E5418" t="str">
        <f>HYPERLINK("https://github.com/PojavLauncherTeam/PojavLauncher","show")</f>
        <v>show</v>
      </c>
      <c r="F5418" t="str">
        <f>HYPERLINK("https://github.com/PojavLauncherTeam/PojavLauncher/releases","show")</f>
        <v>show</v>
      </c>
    </row>
    <row r="5419" spans="1:6">
      <c r="A5419" t="s">
        <v>16122</v>
      </c>
      <c r="B5419" t="s">
        <v>16123</v>
      </c>
      <c r="C5419" t="s">
        <v>16124</v>
      </c>
      <c r="D5419" t="str">
        <f>HYPERLINK("https://github.com/andOTP/andOTP/issues/806","show")</f>
        <v>show</v>
      </c>
      <c r="E5419" t="str">
        <f>HYPERLINK("https://github.com/andOTP/andOTP","show")</f>
        <v>show</v>
      </c>
      <c r="F5419" t="str">
        <f>HYPERLINK("https://github.com/andOTP/andOTP/releases","show")</f>
        <v>show</v>
      </c>
    </row>
    <row r="5420" spans="1:6">
      <c r="A5420" t="s">
        <v>16125</v>
      </c>
      <c r="B5420" t="s">
        <v>16126</v>
      </c>
      <c r="C5420" t="s">
        <v>16127</v>
      </c>
      <c r="D5420" t="str">
        <f>HYPERLINK("https://github.com/TeamNewPipe/NewPipe/issues/6050","show")</f>
        <v>show</v>
      </c>
      <c r="E5420" t="str">
        <f>HYPERLINK("https://github.com/TeamNewPipe/NewPipe","show")</f>
        <v>show</v>
      </c>
      <c r="F5420" t="str">
        <f>HYPERLINK("https://github.com/TeamNewPipe/NewPipe/releases","show")</f>
        <v>show</v>
      </c>
    </row>
    <row r="5421" spans="1:6">
      <c r="A5421" t="s">
        <v>16128</v>
      </c>
      <c r="B5421" t="s">
        <v>16129</v>
      </c>
      <c r="C5421" t="s">
        <v>16130</v>
      </c>
      <c r="D5421" t="str">
        <f>HYPERLINK("https://github.com/mitulbipin/RxMedicus/issues/1","show")</f>
        <v>show</v>
      </c>
      <c r="E5421" t="str">
        <f>HYPERLINK("https://github.com/mitulbipin/RxMedicus","show")</f>
        <v>show</v>
      </c>
      <c r="F5421" t="str">
        <f>HYPERLINK("https://github.com/mitulbipin/RxMedicus/releases","show")</f>
        <v>show</v>
      </c>
    </row>
    <row r="5422" spans="1:6">
      <c r="A5422" t="s">
        <v>16131</v>
      </c>
      <c r="B5422" t="s">
        <v>16132</v>
      </c>
      <c r="C5422" t="s">
        <v>16133</v>
      </c>
      <c r="D5422" t="str">
        <f>HYPERLINK("https://github.com/TrackerControl/tracker-control-android/issues/179","show")</f>
        <v>show</v>
      </c>
      <c r="E5422" t="str">
        <f>HYPERLINK("https://github.com/TrackerControl/tracker-control-android","show")</f>
        <v>show</v>
      </c>
      <c r="F5422" t="str">
        <f>HYPERLINK("https://github.com/TrackerControl/tracker-control-android/releases","show")</f>
        <v>show</v>
      </c>
    </row>
    <row r="5423" spans="1:6">
      <c r="A5423" t="s">
        <v>16134</v>
      </c>
      <c r="B5423" t="s">
        <v>16135</v>
      </c>
      <c r="C5423" t="s">
        <v>16136</v>
      </c>
      <c r="D5423" t="str">
        <f>HYPERLINK("https://github.com/MuntashirAkon/AppManager/issues/367","show")</f>
        <v>show</v>
      </c>
      <c r="E5423" t="str">
        <f>HYPERLINK("https://github.com/MuntashirAkon/AppManager","show")</f>
        <v>show</v>
      </c>
      <c r="F5423" t="str">
        <f>HYPERLINK("https://github.com/MuntashirAkon/AppManager/releases","show")</f>
        <v>show</v>
      </c>
    </row>
    <row r="5424" spans="1:6">
      <c r="A5424" t="s">
        <v>16137</v>
      </c>
      <c r="B5424" t="s">
        <v>16138</v>
      </c>
      <c r="C5424" t="s">
        <v>16139</v>
      </c>
      <c r="D5424" t="str">
        <f>HYPERLINK("https://github.com/UniRegensburg/unsere-app-fur-die-universitat-regensburg-bib-buddy/issues/158","show")</f>
        <v>show</v>
      </c>
      <c r="E5424" t="str">
        <f>HYPERLINK("https://github.com/UniRegensburg/unsere-app-fur-die-universitat-regensburg-bib-buddy","show")</f>
        <v>show</v>
      </c>
      <c r="F5424" t="str">
        <f>HYPERLINK("https://github.com/UniRegensburg/unsere-app-fur-die-universitat-regensburg-bib-buddy/releases","show")</f>
        <v>show</v>
      </c>
    </row>
    <row r="5425" spans="1:6">
      <c r="A5425" t="s">
        <v>16140</v>
      </c>
      <c r="B5425" t="s">
        <v>16141</v>
      </c>
      <c r="C5425" t="s">
        <v>16142</v>
      </c>
      <c r="D5425" t="str">
        <f>HYPERLINK("https://github.com/TeamNewPipe/NewPipe/issues/6038","show")</f>
        <v>show</v>
      </c>
      <c r="E5425" t="str">
        <f>HYPERLINK("https://github.com/TeamNewPipe/NewPipe","show")</f>
        <v>show</v>
      </c>
      <c r="F5425" t="str">
        <f>HYPERLINK("https://github.com/TeamNewPipe/NewPipe/releases","show")</f>
        <v>show</v>
      </c>
    </row>
    <row r="5426" spans="1:6">
      <c r="A5426" t="s">
        <v>16143</v>
      </c>
      <c r="B5426" t="s">
        <v>16144</v>
      </c>
      <c r="C5426" t="s">
        <v>16145</v>
      </c>
      <c r="D5426" t="str">
        <f>HYPERLINK("https://github.com/inaturalist/iNaturalistAndroid/issues/1018","show")</f>
        <v>show</v>
      </c>
      <c r="E5426" t="str">
        <f>HYPERLINK("https://github.com/inaturalist/iNaturalistAndroid","show")</f>
        <v>show</v>
      </c>
      <c r="F5426" t="str">
        <f>HYPERLINK("https://github.com/inaturalist/iNaturalistAndroid/releases","show")</f>
        <v>show</v>
      </c>
    </row>
    <row r="5427" spans="1:6">
      <c r="A5427" t="s">
        <v>16146</v>
      </c>
      <c r="B5427" t="s">
        <v>16147</v>
      </c>
      <c r="C5427" t="s">
        <v>16148</v>
      </c>
      <c r="D5427" t="str">
        <f>HYPERLINK("https://github.com/Anuken/Mindustry/issues/5087","show")</f>
        <v>show</v>
      </c>
      <c r="E5427" t="str">
        <f>HYPERLINK("https://github.com/Anuken/Mindustry","show")</f>
        <v>show</v>
      </c>
      <c r="F5427" t="str">
        <f>HYPERLINK("https://github.com/Anuken/Mindustry/releases","show")</f>
        <v>show</v>
      </c>
    </row>
    <row r="5428" spans="1:6">
      <c r="A5428" t="s">
        <v>16149</v>
      </c>
      <c r="B5428" t="s">
        <v>16150</v>
      </c>
      <c r="C5428" t="s">
        <v>16151</v>
      </c>
      <c r="D5428" t="str">
        <f>HYPERLINK("https://github.com/sschueller/peertube-android/issues/268","show")</f>
        <v>show</v>
      </c>
      <c r="E5428" t="str">
        <f>HYPERLINK("https://github.com/sschueller/peertube-android","show")</f>
        <v>show</v>
      </c>
      <c r="F5428" t="str">
        <f>HYPERLINK("https://github.com/sschueller/peertube-android/releases","show")</f>
        <v>show</v>
      </c>
    </row>
    <row r="5429" spans="1:6">
      <c r="A5429" t="s">
        <v>16152</v>
      </c>
      <c r="B5429" t="s">
        <v>16153</v>
      </c>
      <c r="C5429" t="s">
        <v>16154</v>
      </c>
      <c r="D5429" t="str">
        <f>HYPERLINK("https://github.com/jellyfin/jellyfin-androidtv/issues/812","show")</f>
        <v>show</v>
      </c>
      <c r="E5429" t="str">
        <f>HYPERLINK("https://github.com/jellyfin/jellyfin-androidtv","show")</f>
        <v>show</v>
      </c>
      <c r="F5429" t="str">
        <f>HYPERLINK("https://github.com/jellyfin/jellyfin-androidtv/releases","show")</f>
        <v>show</v>
      </c>
    </row>
    <row r="5430" spans="1:6">
      <c r="A5430" t="s">
        <v>16155</v>
      </c>
      <c r="B5430" t="s">
        <v>16156</v>
      </c>
      <c r="C5430" t="s">
        <v>16157</v>
      </c>
      <c r="D5430" t="str">
        <f>HYPERLINK("https://github.com/SkyTubeTeam/SkyTube/issues/956","show")</f>
        <v>show</v>
      </c>
      <c r="E5430" t="str">
        <f>HYPERLINK("https://github.com/SkyTubeTeam/SkyTube","show")</f>
        <v>show</v>
      </c>
      <c r="F5430" t="str">
        <f>HYPERLINK("https://github.com/SkyTubeTeam/SkyTube/releases","show")</f>
        <v>show</v>
      </c>
    </row>
    <row r="5431" spans="1:6">
      <c r="A5431" t="s">
        <v>16158</v>
      </c>
      <c r="B5431" t="s">
        <v>16159</v>
      </c>
      <c r="C5431" t="s">
        <v>16160</v>
      </c>
      <c r="D5431" t="str">
        <f>HYPERLINK("https://github.com/deepjavalibrary/djl/issues/838","show")</f>
        <v>show</v>
      </c>
      <c r="E5431" t="str">
        <f>HYPERLINK("https://github.com/deepjavalibrary/djl","show")</f>
        <v>show</v>
      </c>
      <c r="F5431" t="str">
        <f>HYPERLINK("https://github.com/deepjavalibrary/djl/releases","show")</f>
        <v>show</v>
      </c>
    </row>
    <row r="5432" spans="1:6">
      <c r="A5432" t="s">
        <v>16161</v>
      </c>
      <c r="B5432" t="s">
        <v>16162</v>
      </c>
      <c r="C5432" t="s">
        <v>16163</v>
      </c>
      <c r="D5432" t="str">
        <f>HYPERLINK("https://github.com/martykan/forecastie/issues/583","show")</f>
        <v>show</v>
      </c>
      <c r="E5432" t="str">
        <f>HYPERLINK("https://github.com/martykan/forecastie","show")</f>
        <v>show</v>
      </c>
      <c r="F5432" t="str">
        <f>HYPERLINK("https://github.com/martykan/forecastie/releases","show")</f>
        <v>show</v>
      </c>
    </row>
    <row r="5433" spans="1:6">
      <c r="A5433" t="s">
        <v>16164</v>
      </c>
      <c r="B5433" t="s">
        <v>16165</v>
      </c>
      <c r="C5433" t="s">
        <v>16166</v>
      </c>
      <c r="D5433" t="str">
        <f>HYPERLINK("https://github.com/Anuken/Mindustry/issues/5085","show")</f>
        <v>show</v>
      </c>
      <c r="E5433" t="str">
        <f>HYPERLINK("https://github.com/Anuken/Mindustry","show")</f>
        <v>show</v>
      </c>
      <c r="F5433" t="str">
        <f>HYPERLINK("https://github.com/Anuken/Mindustry/releases","show")</f>
        <v>show</v>
      </c>
    </row>
    <row r="5434" spans="1:6">
      <c r="A5434" t="s">
        <v>16167</v>
      </c>
      <c r="B5434" t="s">
        <v>16168</v>
      </c>
      <c r="C5434" t="s">
        <v>16169</v>
      </c>
      <c r="D5434" t="str">
        <f>HYPERLINK("https://github.com/Anuken/Mindustry/issues/5083","show")</f>
        <v>show</v>
      </c>
      <c r="E5434" t="str">
        <f>HYPERLINK("https://github.com/Anuken/Mindustry","show")</f>
        <v>show</v>
      </c>
      <c r="F5434" t="str">
        <f>HYPERLINK("https://github.com/Anuken/Mindustry/releases","show")</f>
        <v>show</v>
      </c>
    </row>
    <row r="5435" spans="1:6">
      <c r="A5435" t="s">
        <v>16170</v>
      </c>
      <c r="B5435" t="s">
        <v>16171</v>
      </c>
      <c r="C5435" t="s">
        <v>16172</v>
      </c>
      <c r="D5435" t="str">
        <f>HYPERLINK("https://github.com/flackbash/AudioAnchor/issues/102","show")</f>
        <v>show</v>
      </c>
      <c r="E5435" t="str">
        <f>HYPERLINK("https://github.com/flackbash/AudioAnchor","show")</f>
        <v>show</v>
      </c>
      <c r="F5435" t="str">
        <f>HYPERLINK("https://github.com/flackbash/AudioAnchor/releases","show")</f>
        <v>show</v>
      </c>
    </row>
    <row r="5436" spans="1:6">
      <c r="A5436" t="s">
        <v>16173</v>
      </c>
      <c r="B5436" t="s">
        <v>16174</v>
      </c>
      <c r="C5436" t="s">
        <v>16175</v>
      </c>
      <c r="D5436" t="str">
        <f>HYPERLINK("https://github.com/TeamNewPipe/NewPipe-legacy/issues/71","show")</f>
        <v>show</v>
      </c>
      <c r="E5436" t="str">
        <f>HYPERLINK("https://github.com/TeamNewPipe/NewPipe-legacy","show")</f>
        <v>show</v>
      </c>
      <c r="F5436" t="str">
        <f>HYPERLINK("https://github.com/TeamNewPipe/NewPipe-legacy/releases","show")</f>
        <v>show</v>
      </c>
    </row>
    <row r="5437" spans="1:6">
      <c r="A5437" t="s">
        <v>16176</v>
      </c>
      <c r="B5437" t="s">
        <v>16177</v>
      </c>
      <c r="C5437" t="s">
        <v>16178</v>
      </c>
      <c r="D5437" t="str">
        <f>HYPERLINK("https://github.com/PojavLauncherTeam/PojavLauncher/issues/1187","show")</f>
        <v>show</v>
      </c>
      <c r="E5437" t="str">
        <f>HYPERLINK("https://github.com/PojavLauncherTeam/PojavLauncher","show")</f>
        <v>show</v>
      </c>
      <c r="F5437" t="str">
        <f>HYPERLINK("https://github.com/PojavLauncherTeam/PojavLauncher/releases","show")</f>
        <v>show</v>
      </c>
    </row>
    <row r="5438" spans="1:6">
      <c r="A5438" t="s">
        <v>16179</v>
      </c>
      <c r="B5438" t="s">
        <v>16180</v>
      </c>
      <c r="C5438" t="s">
        <v>16181</v>
      </c>
      <c r="D5438" t="str">
        <f>HYPERLINK("https://github.com/sunilpaulmathew/Translator/issues/17","show")</f>
        <v>show</v>
      </c>
      <c r="E5438" t="str">
        <f>HYPERLINK("https://github.com/sunilpaulmathew/Translator","show")</f>
        <v>show</v>
      </c>
      <c r="F5438" t="str">
        <f>HYPERLINK("https://github.com/sunilpaulmathew/Translator/releases","show")</f>
        <v>show</v>
      </c>
    </row>
    <row r="5439" spans="1:6">
      <c r="A5439" t="s">
        <v>16182</v>
      </c>
      <c r="B5439" t="s">
        <v>16183</v>
      </c>
      <c r="C5439" t="s">
        <v>16184</v>
      </c>
      <c r="D5439" t="str">
        <f>HYPERLINK("https://github.com/nextcloud/android/issues/8252","show")</f>
        <v>show</v>
      </c>
      <c r="E5439" t="str">
        <f>HYPERLINK("https://github.com/nextcloud/android","show")</f>
        <v>show</v>
      </c>
      <c r="F5439" t="str">
        <f>HYPERLINK("https://github.com/nextcloud/android/releases","show")</f>
        <v>show</v>
      </c>
    </row>
    <row r="5440" spans="1:6">
      <c r="A5440" t="s">
        <v>16185</v>
      </c>
      <c r="B5440" t="s">
        <v>16186</v>
      </c>
      <c r="C5440" t="s">
        <v>16187</v>
      </c>
      <c r="D5440" t="str">
        <f>HYPERLINK("https://github.com/inaturalist/iNaturalistAndroid/issues/1016","show")</f>
        <v>show</v>
      </c>
      <c r="E5440" t="str">
        <f>HYPERLINK("https://github.com/inaturalist/iNaturalistAndroid","show")</f>
        <v>show</v>
      </c>
      <c r="F5440" t="str">
        <f>HYPERLINK("https://github.com/inaturalist/iNaturalistAndroid/releases","show")</f>
        <v>show</v>
      </c>
    </row>
    <row r="5441" spans="1:6">
      <c r="A5441" t="s">
        <v>16188</v>
      </c>
      <c r="B5441" t="s">
        <v>16189</v>
      </c>
      <c r="C5441" t="s">
        <v>16190</v>
      </c>
      <c r="D5441" t="str">
        <f>HYPERLINK("https://github.com/inaturalist/iNaturalistAndroid/issues/1015","show")</f>
        <v>show</v>
      </c>
      <c r="E5441" t="str">
        <f>HYPERLINK("https://github.com/inaturalist/iNaturalistAndroid","show")</f>
        <v>show</v>
      </c>
      <c r="F5441" t="str">
        <f>HYPERLINK("https://github.com/inaturalist/iNaturalistAndroid/releases","show")</f>
        <v>show</v>
      </c>
    </row>
    <row r="5442" spans="1:6">
      <c r="A5442" t="s">
        <v>16191</v>
      </c>
      <c r="B5442" t="s">
        <v>15725</v>
      </c>
      <c r="C5442" t="s">
        <v>16192</v>
      </c>
      <c r="D5442" t="str">
        <f>HYPERLINK("https://github.com/inaturalist/iNaturalistAndroid/issues/1014","show")</f>
        <v>show</v>
      </c>
      <c r="E5442" t="str">
        <f>HYPERLINK("https://github.com/inaturalist/iNaturalistAndroid","show")</f>
        <v>show</v>
      </c>
      <c r="F5442" t="str">
        <f>HYPERLINK("https://github.com/inaturalist/iNaturalistAndroid/releases","show")</f>
        <v>show</v>
      </c>
    </row>
    <row r="5443" spans="1:6">
      <c r="A5443" t="s">
        <v>16193</v>
      </c>
      <c r="B5443" t="s">
        <v>16194</v>
      </c>
      <c r="C5443" t="s">
        <v>16195</v>
      </c>
      <c r="D5443" t="str">
        <f>HYPERLINK("https://github.com/TeamNewPipe/NewPipe/issues/6022","show")</f>
        <v>show</v>
      </c>
      <c r="E5443" t="str">
        <f>HYPERLINK("https://github.com/TeamNewPipe/NewPipe","show")</f>
        <v>show</v>
      </c>
      <c r="F5443" t="str">
        <f>HYPERLINK("https://github.com/TeamNewPipe/NewPipe/releases","show")</f>
        <v>show</v>
      </c>
    </row>
    <row r="5444" spans="1:6">
      <c r="A5444" t="s">
        <v>16196</v>
      </c>
      <c r="B5444" t="s">
        <v>16197</v>
      </c>
      <c r="C5444" t="s">
        <v>16198</v>
      </c>
      <c r="D5444" t="str">
        <f>HYPERLINK("https://github.com/Anuken/Mindustry/issues/5076","show")</f>
        <v>show</v>
      </c>
      <c r="E5444" t="str">
        <f>HYPERLINK("https://github.com/Anuken/Mindustry","show")</f>
        <v>show</v>
      </c>
      <c r="F5444" t="str">
        <f>HYPERLINK("https://github.com/Anuken/Mindustry/releases","show")</f>
        <v>show</v>
      </c>
    </row>
    <row r="5445" spans="1:6">
      <c r="A5445" t="s">
        <v>16199</v>
      </c>
      <c r="B5445" t="s">
        <v>16200</v>
      </c>
      <c r="C5445" t="s">
        <v>16201</v>
      </c>
      <c r="D5445" t="str">
        <f>HYPERLINK("https://github.com/SCCapstone/TabDab/issues/155","show")</f>
        <v>show</v>
      </c>
      <c r="E5445" t="str">
        <f>HYPERLINK("https://github.com/SCCapstone/TabDab","show")</f>
        <v>show</v>
      </c>
      <c r="F5445" t="str">
        <f>HYPERLINK("https://github.com/SCCapstone/TabDab/releases","show")</f>
        <v>show</v>
      </c>
    </row>
    <row r="5446" spans="1:6">
      <c r="A5446" t="s">
        <v>16202</v>
      </c>
      <c r="B5446" t="s">
        <v>16203</v>
      </c>
      <c r="C5446" t="s">
        <v>16204</v>
      </c>
      <c r="D5446" t="str">
        <f>HYPERLINK("https://github.com/aws-amplify/amplify-android/issues/1273","show")</f>
        <v>show</v>
      </c>
      <c r="E5446" t="str">
        <f>HYPERLINK("https://github.com/aws-amplify/amplify-android","show")</f>
        <v>show</v>
      </c>
      <c r="F5446" t="str">
        <f>HYPERLINK("https://github.com/aws-amplify/amplify-android/releases","show")</f>
        <v>show</v>
      </c>
    </row>
    <row r="5447" spans="1:6">
      <c r="A5447" t="s">
        <v>16205</v>
      </c>
      <c r="B5447" t="s">
        <v>16206</v>
      </c>
      <c r="C5447" t="s">
        <v>16207</v>
      </c>
      <c r="D5447" t="str">
        <f>HYPERLINK("https://github.com/googleads/googleads-mobile-flutter/issues/158","show")</f>
        <v>show</v>
      </c>
      <c r="E5447" t="str">
        <f>HYPERLINK("https://github.com/googleads/googleads-mobile-flutter","show")</f>
        <v>show</v>
      </c>
      <c r="F5447" t="str">
        <f>HYPERLINK("https://github.com/googleads/googleads-mobile-flutter/releases","show")</f>
        <v>show</v>
      </c>
    </row>
    <row r="5448" spans="1:6">
      <c r="A5448" t="s">
        <v>16208</v>
      </c>
      <c r="B5448" t="s">
        <v>16209</v>
      </c>
      <c r="C5448" t="s">
        <v>16210</v>
      </c>
      <c r="D5448" t="str">
        <f>HYPERLINK("https://github.com/Anuken/Mindustry/issues/5071","show")</f>
        <v>show</v>
      </c>
      <c r="E5448" t="str">
        <f>HYPERLINK("https://github.com/Anuken/Mindustry","show")</f>
        <v>show</v>
      </c>
      <c r="F5448" t="str">
        <f>HYPERLINK("https://github.com/Anuken/Mindustry/releases","show")</f>
        <v>show</v>
      </c>
    </row>
    <row r="5449" spans="1:6">
      <c r="A5449" t="s">
        <v>16211</v>
      </c>
      <c r="B5449" t="s">
        <v>16212</v>
      </c>
      <c r="C5449" t="s">
        <v>16213</v>
      </c>
      <c r="D5449" t="str">
        <f>HYPERLINK("https://github.com/SCCapstone/PokeCompanion/issues/110","show")</f>
        <v>show</v>
      </c>
      <c r="E5449" t="str">
        <f>HYPERLINK("https://github.com/SCCapstone/PokeCompanion","show")</f>
        <v>show</v>
      </c>
      <c r="F5449" t="str">
        <f>HYPERLINK("https://github.com/SCCapstone/PokeCompanion/releases","show")</f>
        <v>show</v>
      </c>
    </row>
    <row r="5450" spans="1:6">
      <c r="A5450" t="s">
        <v>16214</v>
      </c>
      <c r="B5450" t="s">
        <v>16215</v>
      </c>
      <c r="C5450" t="s">
        <v>16216</v>
      </c>
      <c r="D5450" t="str">
        <f>HYPERLINK("https://github.com/Anuken/Mindustry/issues/5070","show")</f>
        <v>show</v>
      </c>
      <c r="E5450" t="str">
        <f>HYPERLINK("https://github.com/Anuken/Mindustry","show")</f>
        <v>show</v>
      </c>
      <c r="F5450" t="str">
        <f>HYPERLINK("https://github.com/Anuken/Mindustry/releases","show")</f>
        <v>show</v>
      </c>
    </row>
    <row r="5451" spans="1:6">
      <c r="A5451" t="s">
        <v>16217</v>
      </c>
      <c r="B5451" t="s">
        <v>16218</v>
      </c>
      <c r="C5451" t="s">
        <v>16219</v>
      </c>
      <c r="D5451" t="str">
        <f>HYPERLINK("https://github.com/UniRegensburg/unsere-app-fur-die-universitat-regensburg-bib-buddy/issues/155","show")</f>
        <v>show</v>
      </c>
      <c r="E5451" t="str">
        <f>HYPERLINK("https://github.com/UniRegensburg/unsere-app-fur-die-universitat-regensburg-bib-buddy","show")</f>
        <v>show</v>
      </c>
      <c r="F5451" t="str">
        <f>HYPERLINK("https://github.com/UniRegensburg/unsere-app-fur-die-universitat-regensburg-bib-buddy/releases","show")</f>
        <v>show</v>
      </c>
    </row>
    <row r="5452" spans="1:6">
      <c r="A5452" t="s">
        <v>16220</v>
      </c>
      <c r="B5452" t="s">
        <v>16221</v>
      </c>
      <c r="C5452" t="s">
        <v>16222</v>
      </c>
      <c r="D5452" t="str">
        <f>HYPERLINK("https://github.com/freezy04/Runtime-Terror/issues/1","show")</f>
        <v>show</v>
      </c>
      <c r="E5452" t="str">
        <f>HYPERLINK("https://github.com/freezy04/Runtime-Terror","show")</f>
        <v>show</v>
      </c>
      <c r="F5452" t="str">
        <f>HYPERLINK("https://github.com/freezy04/Runtime-Terror/releases","show")</f>
        <v>show</v>
      </c>
    </row>
    <row r="5453" spans="1:6">
      <c r="A5453" t="s">
        <v>16223</v>
      </c>
      <c r="B5453" t="s">
        <v>16224</v>
      </c>
      <c r="C5453" t="s">
        <v>16225</v>
      </c>
      <c r="D5453" t="str">
        <f>HYPERLINK("https://github.com/PojavLauncherTeam/PojavLauncher/issues/1175","show")</f>
        <v>show</v>
      </c>
      <c r="E5453" t="str">
        <f>HYPERLINK("https://github.com/PojavLauncherTeam/PojavLauncher","show")</f>
        <v>show</v>
      </c>
      <c r="F5453" t="str">
        <f>HYPERLINK("https://github.com/PojavLauncherTeam/PojavLauncher/releases","show")</f>
        <v>show</v>
      </c>
    </row>
    <row r="5454" spans="1:6">
      <c r="A5454" t="s">
        <v>16226</v>
      </c>
      <c r="B5454" t="s">
        <v>16227</v>
      </c>
      <c r="C5454" t="s">
        <v>16228</v>
      </c>
      <c r="D5454" t="str">
        <f>HYPERLINK("https://github.com/TeamNewPipe/NewPipe/issues/6017","show")</f>
        <v>show</v>
      </c>
      <c r="E5454" t="str">
        <f>HYPERLINK("https://github.com/TeamNewPipe/NewPipe","show")</f>
        <v>show</v>
      </c>
      <c r="F5454" t="str">
        <f>HYPERLINK("https://github.com/TeamNewPipe/NewPipe/releases","show")</f>
        <v>show</v>
      </c>
    </row>
    <row r="5455" spans="1:6">
      <c r="A5455" t="s">
        <v>16229</v>
      </c>
      <c r="B5455" t="s">
        <v>16230</v>
      </c>
      <c r="C5455" t="s">
        <v>16231</v>
      </c>
      <c r="D5455" t="str">
        <f>HYPERLINK("https://github.com/TeamNewPipe/NewPipe/issues/6016","show")</f>
        <v>show</v>
      </c>
      <c r="E5455" t="str">
        <f>HYPERLINK("https://github.com/TeamNewPipe/NewPipe","show")</f>
        <v>show</v>
      </c>
      <c r="F5455" t="str">
        <f>HYPERLINK("https://github.com/TeamNewPipe/NewPipe/releases","show")</f>
        <v>show</v>
      </c>
    </row>
    <row r="5456" spans="1:6">
      <c r="A5456" t="s">
        <v>16232</v>
      </c>
      <c r="B5456" t="s">
        <v>16233</v>
      </c>
      <c r="C5456" t="s">
        <v>16234</v>
      </c>
      <c r="D5456" t="str">
        <f>HYPERLINK("https://github.com/TeamNewPipe/NewPipe/issues/6012","show")</f>
        <v>show</v>
      </c>
      <c r="E5456" t="str">
        <f>HYPERLINK("https://github.com/TeamNewPipe/NewPipe","show")</f>
        <v>show</v>
      </c>
      <c r="F5456" t="str">
        <f>HYPERLINK("https://github.com/TeamNewPipe/NewPipe/releases","show")</f>
        <v>show</v>
      </c>
    </row>
    <row r="5457" spans="1:6">
      <c r="A5457" t="s">
        <v>16235</v>
      </c>
      <c r="B5457" t="s">
        <v>16236</v>
      </c>
      <c r="C5457" t="s">
        <v>16237</v>
      </c>
      <c r="D5457" t="str">
        <f>HYPERLINK("https://github.com/Landry333/Big-Owl/issues/278","show")</f>
        <v>show</v>
      </c>
      <c r="E5457" t="str">
        <f>HYPERLINK("https://github.com/Landry333/Big-Owl","show")</f>
        <v>show</v>
      </c>
      <c r="F5457" t="str">
        <f>HYPERLINK("https://github.com/Landry333/Big-Owl/releases","show")</f>
        <v>show</v>
      </c>
    </row>
    <row r="5458" spans="1:6">
      <c r="A5458" t="s">
        <v>16238</v>
      </c>
      <c r="B5458" t="s">
        <v>16239</v>
      </c>
      <c r="C5458" t="s">
        <v>16240</v>
      </c>
      <c r="D5458" t="str">
        <f>HYPERLINK("https://github.com/Anuken/Mindustry/issues/5064","show")</f>
        <v>show</v>
      </c>
      <c r="E5458" t="str">
        <f>HYPERLINK("https://github.com/Anuken/Mindustry","show")</f>
        <v>show</v>
      </c>
      <c r="F5458" t="str">
        <f>HYPERLINK("https://github.com/Anuken/Mindustry/releases","show")</f>
        <v>show</v>
      </c>
    </row>
    <row r="5459" spans="1:6">
      <c r="A5459" t="s">
        <v>16241</v>
      </c>
      <c r="B5459" t="s">
        <v>16242</v>
      </c>
      <c r="C5459" t="s">
        <v>16243</v>
      </c>
      <c r="D5459" t="str">
        <f>HYPERLINK("https://github.com/ankidroid/Anki-Android/issues/8487","show")</f>
        <v>show</v>
      </c>
      <c r="E5459" t="str">
        <f>HYPERLINK("https://github.com/ankidroid/Anki-Android","show")</f>
        <v>show</v>
      </c>
      <c r="F5459" t="str">
        <f>HYPERLINK("https://github.com/ankidroid/Anki-Android/releases","show")</f>
        <v>show</v>
      </c>
    </row>
    <row r="5460" spans="1:6">
      <c r="A5460" t="s">
        <v>16244</v>
      </c>
      <c r="B5460" t="s">
        <v>16245</v>
      </c>
      <c r="C5460" t="s">
        <v>16246</v>
      </c>
      <c r="D5460" t="str">
        <f>HYPERLINK("https://github.com/material-components/material-components-android/issues/2164","show")</f>
        <v>show</v>
      </c>
      <c r="E5460" t="str">
        <f>HYPERLINK("https://github.com/material-components/material-components-android","show")</f>
        <v>show</v>
      </c>
      <c r="F5460" t="str">
        <f>HYPERLINK("https://github.com/material-components/material-components-android/releases","show")</f>
        <v>show</v>
      </c>
    </row>
    <row r="5461" spans="1:6">
      <c r="A5461" t="s">
        <v>16247</v>
      </c>
      <c r="B5461" t="s">
        <v>16248</v>
      </c>
      <c r="C5461" t="s">
        <v>16249</v>
      </c>
      <c r="D5461" t="str">
        <f>HYPERLINK("https://github.com/nextcloud/android/issues/8244","show")</f>
        <v>show</v>
      </c>
      <c r="E5461" t="str">
        <f>HYPERLINK("https://github.com/nextcloud/android","show")</f>
        <v>show</v>
      </c>
      <c r="F5461" t="str">
        <f>HYPERLINK("https://github.com/nextcloud/android/releases","show")</f>
        <v>show</v>
      </c>
    </row>
    <row r="5462" spans="1:6">
      <c r="A5462" t="s">
        <v>16250</v>
      </c>
      <c r="B5462" t="s">
        <v>16251</v>
      </c>
      <c r="C5462" t="s">
        <v>16252</v>
      </c>
      <c r="D5462" t="str">
        <f>HYPERLINK("https://github.com/TeamNewPipe/NewPipe/issues/6010","show")</f>
        <v>show</v>
      </c>
      <c r="E5462" t="str">
        <f>HYPERLINK("https://github.com/TeamNewPipe/NewPipe","show")</f>
        <v>show</v>
      </c>
      <c r="F5462" t="str">
        <f>HYPERLINK("https://github.com/TeamNewPipe/NewPipe/releases","show")</f>
        <v>show</v>
      </c>
    </row>
    <row r="5463" spans="1:6">
      <c r="A5463" t="s">
        <v>16253</v>
      </c>
      <c r="B5463" t="s">
        <v>16254</v>
      </c>
      <c r="C5463" t="s">
        <v>16255</v>
      </c>
      <c r="D5463" t="str">
        <f>HYPERLINK("https://github.com/SCCapstone/PokeCompanion/issues/103","show")</f>
        <v>show</v>
      </c>
      <c r="E5463" t="str">
        <f>HYPERLINK("https://github.com/SCCapstone/PokeCompanion","show")</f>
        <v>show</v>
      </c>
      <c r="F5463" t="str">
        <f>HYPERLINK("https://github.com/SCCapstone/PokeCompanion/releases","show")</f>
        <v>show</v>
      </c>
    </row>
    <row r="5464" spans="1:6">
      <c r="A5464" t="s">
        <v>16256</v>
      </c>
      <c r="B5464" t="s">
        <v>16257</v>
      </c>
      <c r="C5464" t="s">
        <v>16258</v>
      </c>
      <c r="D5464" t="str">
        <f>HYPERLINK("https://github.com/PojavLauncherTeam/PojavLauncher/issues/1168","show")</f>
        <v>show</v>
      </c>
      <c r="E5464" t="str">
        <f>HYPERLINK("https://github.com/PojavLauncherTeam/PojavLauncher","show")</f>
        <v>show</v>
      </c>
      <c r="F5464" t="str">
        <f>HYPERLINK("https://github.com/PojavLauncherTeam/PojavLauncher/releases","show")</f>
        <v>show</v>
      </c>
    </row>
    <row r="5465" spans="1:6">
      <c r="A5465" t="s">
        <v>16259</v>
      </c>
      <c r="B5465" t="s">
        <v>16260</v>
      </c>
      <c r="C5465" t="s">
        <v>16261</v>
      </c>
      <c r="D5465" t="str">
        <f>HYPERLINK("https://github.com/indomie858/app-A/issues/161","show")</f>
        <v>show</v>
      </c>
      <c r="E5465" t="str">
        <f>HYPERLINK("https://github.com/indomie858/app-A","show")</f>
        <v>show</v>
      </c>
      <c r="F5465" t="str">
        <f>HYPERLINK("https://github.com/indomie858/app-A/releases","show")</f>
        <v>show</v>
      </c>
    </row>
    <row r="5466" spans="1:6">
      <c r="A5466" t="s">
        <v>16262</v>
      </c>
      <c r="B5466" t="s">
        <v>16263</v>
      </c>
      <c r="C5466" t="s">
        <v>16264</v>
      </c>
      <c r="D5466" t="str">
        <f>HYPERLINK("https://github.com/ankidroid/Anki-Android/issues/8467","show")</f>
        <v>show</v>
      </c>
      <c r="E5466" t="str">
        <f>HYPERLINK("https://github.com/ankidroid/Anki-Android","show")</f>
        <v>show</v>
      </c>
      <c r="F5466" t="str">
        <f>HYPERLINK("https://github.com/ankidroid/Anki-Android/releases","show")</f>
        <v>show</v>
      </c>
    </row>
    <row r="5467" spans="1:6">
      <c r="A5467" t="s">
        <v>16265</v>
      </c>
      <c r="B5467" t="s">
        <v>16266</v>
      </c>
      <c r="C5467" t="s">
        <v>16267</v>
      </c>
      <c r="D5467" t="str">
        <f>HYPERLINK("https://github.com/TeamNewPipe/NewPipe/issues/5996","show")</f>
        <v>show</v>
      </c>
      <c r="E5467" t="str">
        <f>HYPERLINK("https://github.com/TeamNewPipe/NewPipe","show")</f>
        <v>show</v>
      </c>
      <c r="F5467" t="str">
        <f>HYPERLINK("https://github.com/TeamNewPipe/NewPipe/releases","show")</f>
        <v>show</v>
      </c>
    </row>
    <row r="5468" spans="1:6">
      <c r="A5468" t="s">
        <v>16268</v>
      </c>
      <c r="B5468" t="s">
        <v>16269</v>
      </c>
      <c r="C5468" t="s">
        <v>16270</v>
      </c>
      <c r="D5468" t="str">
        <f>HYPERLINK("https://github.com/CMPUT301W21T12/WiseTrack/issues/104","show")</f>
        <v>show</v>
      </c>
      <c r="E5468" t="str">
        <f>HYPERLINK("https://github.com/CMPUT301W21T12/WiseTrack","show")</f>
        <v>show</v>
      </c>
      <c r="F5468" t="str">
        <f>HYPERLINK("https://github.com/CMPUT301W21T12/WiseTrack/releases","show")</f>
        <v>show</v>
      </c>
    </row>
    <row r="5469" spans="1:6">
      <c r="A5469" t="s">
        <v>16271</v>
      </c>
      <c r="B5469" t="s">
        <v>16272</v>
      </c>
      <c r="C5469" t="s">
        <v>16273</v>
      </c>
      <c r="D5469" t="str">
        <f>HYPERLINK("https://github.com/ankidroid/Anki-Android/issues/8459","show")</f>
        <v>show</v>
      </c>
      <c r="E5469" t="str">
        <f>HYPERLINK("https://github.com/ankidroid/Anki-Android","show")</f>
        <v>show</v>
      </c>
      <c r="F5469" t="str">
        <f>HYPERLINK("https://github.com/ankidroid/Anki-Android/releases","show")</f>
        <v>show</v>
      </c>
    </row>
    <row r="5470" spans="1:6">
      <c r="A5470" t="s">
        <v>16274</v>
      </c>
      <c r="B5470" t="s">
        <v>16275</v>
      </c>
      <c r="C5470" t="s">
        <v>16276</v>
      </c>
      <c r="D5470" t="str">
        <f>HYPERLINK("https://github.com/PojavLauncherTeam/PojavLauncher/issues/1159","show")</f>
        <v>show</v>
      </c>
      <c r="E5470" t="str">
        <f>HYPERLINK("https://github.com/PojavLauncherTeam/PojavLauncher","show")</f>
        <v>show</v>
      </c>
      <c r="F5470" t="str">
        <f>HYPERLINK("https://github.com/PojavLauncherTeam/PojavLauncher/releases","show")</f>
        <v>show</v>
      </c>
    </row>
    <row r="5471" spans="1:6">
      <c r="A5471" t="s">
        <v>16277</v>
      </c>
      <c r="B5471" t="s">
        <v>16278</v>
      </c>
      <c r="C5471" t="s">
        <v>16279</v>
      </c>
      <c r="D5471" t="str">
        <f>HYPERLINK("https://github.com/TeamNewPipe/NewPipe/issues/5993","show")</f>
        <v>show</v>
      </c>
      <c r="E5471" t="str">
        <f>HYPERLINK("https://github.com/TeamNewPipe/NewPipe","show")</f>
        <v>show</v>
      </c>
      <c r="F5471" t="str">
        <f>HYPERLINK("https://github.com/TeamNewPipe/NewPipe/releases","show")</f>
        <v>show</v>
      </c>
    </row>
    <row r="5472" spans="1:6">
      <c r="A5472" t="s">
        <v>16280</v>
      </c>
      <c r="B5472" t="s">
        <v>16281</v>
      </c>
      <c r="C5472" t="s">
        <v>16282</v>
      </c>
      <c r="D5472" t="str">
        <f>HYPERLINK("https://github.com/nextcloud/android/issues/8239","show")</f>
        <v>show</v>
      </c>
      <c r="E5472" t="str">
        <f>HYPERLINK("https://github.com/nextcloud/android","show")</f>
        <v>show</v>
      </c>
      <c r="F5472" t="str">
        <f>HYPERLINK("https://github.com/nextcloud/android/releases","show")</f>
        <v>show</v>
      </c>
    </row>
    <row r="5473" spans="1:6">
      <c r="A5473" t="s">
        <v>16283</v>
      </c>
      <c r="B5473" t="s">
        <v>16284</v>
      </c>
      <c r="C5473" t="s">
        <v>16285</v>
      </c>
      <c r="D5473" t="str">
        <f>HYPERLINK("https://github.com/OpenTracksApp/OpenTracks/issues/696","show")</f>
        <v>show</v>
      </c>
      <c r="E5473" t="str">
        <f>HYPERLINK("https://github.com/OpenTracksApp/OpenTracks","show")</f>
        <v>show</v>
      </c>
      <c r="F5473" t="str">
        <f>HYPERLINK("https://github.com/OpenTracksApp/OpenTracks/releases","show")</f>
        <v>show</v>
      </c>
    </row>
    <row r="5474" spans="1:6">
      <c r="A5474" t="s">
        <v>16286</v>
      </c>
      <c r="B5474" t="s">
        <v>16287</v>
      </c>
      <c r="C5474" t="s">
        <v>16288</v>
      </c>
      <c r="D5474" t="str">
        <f>HYPERLINK("https://github.com/OpenTracksApp/OpenTracks/issues/694","show")</f>
        <v>show</v>
      </c>
      <c r="E5474" t="str">
        <f>HYPERLINK("https://github.com/OpenTracksApp/OpenTracks","show")</f>
        <v>show</v>
      </c>
      <c r="F5474" t="str">
        <f>HYPERLINK("https://github.com/OpenTracksApp/OpenTracks/releases","show")</f>
        <v>show</v>
      </c>
    </row>
    <row r="5475" spans="1:6">
      <c r="A5475" t="s">
        <v>16289</v>
      </c>
      <c r="B5475" t="s">
        <v>16290</v>
      </c>
      <c r="C5475" t="s">
        <v>16291</v>
      </c>
      <c r="D5475" t="str">
        <f>HYPERLINK("https://github.com/avluis/Hentoid/issues/781","show")</f>
        <v>show</v>
      </c>
      <c r="E5475" t="str">
        <f>HYPERLINK("https://github.com/avluis/Hentoid","show")</f>
        <v>show</v>
      </c>
      <c r="F5475" t="str">
        <f>HYPERLINK("https://github.com/avluis/Hentoid/releases","show")</f>
        <v>show</v>
      </c>
    </row>
    <row r="5476" spans="1:6">
      <c r="A5476" t="s">
        <v>16292</v>
      </c>
      <c r="B5476" t="s">
        <v>16293</v>
      </c>
      <c r="C5476" t="s">
        <v>16294</v>
      </c>
      <c r="D5476" t="str">
        <f>HYPERLINK("https://github.com/PojavLauncherTeam/PojavLauncher/issues/1157","show")</f>
        <v>show</v>
      </c>
      <c r="E5476" t="str">
        <f>HYPERLINK("https://github.com/PojavLauncherTeam/PojavLauncher","show")</f>
        <v>show</v>
      </c>
      <c r="F5476" t="str">
        <f>HYPERLINK("https://github.com/PojavLauncherTeam/PojavLauncher/releases","show")</f>
        <v>show</v>
      </c>
    </row>
    <row r="5477" spans="1:6">
      <c r="A5477" t="s">
        <v>16295</v>
      </c>
      <c r="B5477" t="s">
        <v>16296</v>
      </c>
      <c r="C5477" t="s">
        <v>16297</v>
      </c>
      <c r="D5477" t="str">
        <f>HYPERLINK("https://github.com/PojavLauncherTeam/PojavLauncher/issues/1156","show")</f>
        <v>show</v>
      </c>
      <c r="E5477" t="str">
        <f>HYPERLINK("https://github.com/PojavLauncherTeam/PojavLauncher","show")</f>
        <v>show</v>
      </c>
      <c r="F5477" t="str">
        <f>HYPERLINK("https://github.com/PojavLauncherTeam/PojavLauncher/releases","show")</f>
        <v>show</v>
      </c>
    </row>
    <row r="5478" spans="1:6">
      <c r="A5478" t="s">
        <v>16298</v>
      </c>
      <c r="B5478" t="s">
        <v>16299</v>
      </c>
      <c r="C5478" t="s">
        <v>16300</v>
      </c>
      <c r="D5478" t="str">
        <f>HYPERLINK("https://github.com/Anuken/Mindustry/issues/5051","show")</f>
        <v>show</v>
      </c>
      <c r="E5478" t="str">
        <f>HYPERLINK("https://github.com/Anuken/Mindustry","show")</f>
        <v>show</v>
      </c>
      <c r="F5478" t="str">
        <f>HYPERLINK("https://github.com/Anuken/Mindustry/releases","show")</f>
        <v>show</v>
      </c>
    </row>
    <row r="5479" spans="1:6">
      <c r="A5479" t="s">
        <v>16301</v>
      </c>
      <c r="B5479" t="s">
        <v>16302</v>
      </c>
      <c r="C5479" t="s">
        <v>16303</v>
      </c>
      <c r="D5479" t="str">
        <f>HYPERLINK("https://github.com/permissions-dispatcher/PermissionsDispatcher/issues/723","show")</f>
        <v>show</v>
      </c>
      <c r="E5479" t="str">
        <f>HYPERLINK("https://github.com/permissions-dispatcher/PermissionsDispatcher","show")</f>
        <v>show</v>
      </c>
      <c r="F5479" t="str">
        <f>HYPERLINK("https://github.com/permissions-dispatcher/PermissionsDispatcher/releases","show")</f>
        <v>show</v>
      </c>
    </row>
    <row r="5480" spans="1:6">
      <c r="A5480" t="s">
        <v>16304</v>
      </c>
      <c r="B5480" t="s">
        <v>16305</v>
      </c>
      <c r="C5480" t="s">
        <v>16306</v>
      </c>
      <c r="D5480" t="str">
        <f>HYPERLINK("https://github.com/Anuken/Mindustry/issues/5048","show")</f>
        <v>show</v>
      </c>
      <c r="E5480" t="str">
        <f>HYPERLINK("https://github.com/Anuken/Mindustry","show")</f>
        <v>show</v>
      </c>
      <c r="F5480" t="str">
        <f>HYPERLINK("https://github.com/Anuken/Mindustry/releases","show")</f>
        <v>show</v>
      </c>
    </row>
    <row r="5481" spans="1:6">
      <c r="A5481" t="s">
        <v>16307</v>
      </c>
      <c r="B5481" t="s">
        <v>16308</v>
      </c>
      <c r="C5481" t="s">
        <v>16309</v>
      </c>
      <c r="D5481" t="str">
        <f>HYPERLINK("https://github.com/TeamNewPipe/NewPipe/issues/5990","show")</f>
        <v>show</v>
      </c>
      <c r="E5481" t="str">
        <f>HYPERLINK("https://github.com/TeamNewPipe/NewPipe","show")</f>
        <v>show</v>
      </c>
      <c r="F5481" t="str">
        <f>HYPERLINK("https://github.com/TeamNewPipe/NewPipe/releases","show")</f>
        <v>show</v>
      </c>
    </row>
    <row r="5482" spans="1:6">
      <c r="A5482" t="s">
        <v>16310</v>
      </c>
      <c r="B5482" t="s">
        <v>16311</v>
      </c>
      <c r="C5482" t="s">
        <v>16312</v>
      </c>
      <c r="D5482" t="str">
        <f>HYPERLINK("https://github.com/nextcloud/android/issues/8231","show")</f>
        <v>show</v>
      </c>
      <c r="E5482" t="str">
        <f>HYPERLINK("https://github.com/nextcloud/android","show")</f>
        <v>show</v>
      </c>
      <c r="F5482" t="str">
        <f>HYPERLINK("https://github.com/nextcloud/android/releases","show")</f>
        <v>show</v>
      </c>
    </row>
    <row r="5483" spans="1:6">
      <c r="A5483" t="s">
        <v>16313</v>
      </c>
      <c r="B5483" t="s">
        <v>16314</v>
      </c>
      <c r="C5483" t="s">
        <v>16315</v>
      </c>
      <c r="D5483" t="str">
        <f>HYPERLINK("https://github.com/mohyghb/MoClock/issues/1","show")</f>
        <v>show</v>
      </c>
      <c r="E5483" t="str">
        <f>HYPERLINK("https://github.com/mohyghb/MoClock","show")</f>
        <v>show</v>
      </c>
      <c r="F5483" t="str">
        <f>HYPERLINK("https://github.com/mohyghb/MoClock/releases","show")</f>
        <v>show</v>
      </c>
    </row>
    <row r="5484" spans="1:6">
      <c r="A5484" t="s">
        <v>16316</v>
      </c>
      <c r="B5484" t="s">
        <v>16317</v>
      </c>
      <c r="C5484" t="s">
        <v>16318</v>
      </c>
      <c r="D5484" t="str">
        <f>HYPERLINK("https://github.com/wokka112/ProductList/issues/1","show")</f>
        <v>show</v>
      </c>
      <c r="E5484" t="str">
        <f>HYPERLINK("https://github.com/wokka112/ProductList","show")</f>
        <v>show</v>
      </c>
      <c r="F5484" t="str">
        <f>HYPERLINK("https://github.com/wokka112/ProductList/releases","show")</f>
        <v>show</v>
      </c>
    </row>
    <row r="5485" spans="1:6">
      <c r="A5485" t="s">
        <v>16319</v>
      </c>
      <c r="B5485" t="s">
        <v>16320</v>
      </c>
      <c r="C5485" t="s">
        <v>16321</v>
      </c>
      <c r="D5485" t="str">
        <f>HYPERLINK("https://github.com/cgeo/cgeo/issues/10307","show")</f>
        <v>show</v>
      </c>
      <c r="E5485" t="str">
        <f>HYPERLINK("https://github.com/cgeo/cgeo","show")</f>
        <v>show</v>
      </c>
      <c r="F5485" t="str">
        <f>HYPERLINK("https://github.com/cgeo/cgeo/releases","show")</f>
        <v>show</v>
      </c>
    </row>
    <row r="5486" spans="1:6">
      <c r="A5486" t="s">
        <v>16322</v>
      </c>
      <c r="B5486" t="s">
        <v>16323</v>
      </c>
      <c r="C5486" t="s">
        <v>16324</v>
      </c>
      <c r="D5486" t="str">
        <f>HYPERLINK("https://github.com/TeamNewPipe/NewPipe/issues/5985","show")</f>
        <v>show</v>
      </c>
      <c r="E5486" t="str">
        <f>HYPERLINK("https://github.com/TeamNewPipe/NewPipe","show")</f>
        <v>show</v>
      </c>
      <c r="F5486" t="str">
        <f>HYPERLINK("https://github.com/TeamNewPipe/NewPipe/releases","show")</f>
        <v>show</v>
      </c>
    </row>
    <row r="5487" spans="1:6">
      <c r="A5487" t="s">
        <v>16325</v>
      </c>
      <c r="B5487" t="s">
        <v>16326</v>
      </c>
      <c r="C5487" t="s">
        <v>16327</v>
      </c>
      <c r="D5487" t="str">
        <f>HYPERLINK("https://github.com/PojavLauncherTeam/PojavLauncher/issues/1147","show")</f>
        <v>show</v>
      </c>
      <c r="E5487" t="str">
        <f>HYPERLINK("https://github.com/PojavLauncherTeam/PojavLauncher","show")</f>
        <v>show</v>
      </c>
      <c r="F5487" t="str">
        <f>HYPERLINK("https://github.com/PojavLauncherTeam/PojavLauncher/releases","show")</f>
        <v>show</v>
      </c>
    </row>
    <row r="5488" spans="1:6">
      <c r="A5488" t="s">
        <v>16328</v>
      </c>
      <c r="B5488" t="s">
        <v>16329</v>
      </c>
      <c r="C5488" t="s">
        <v>16330</v>
      </c>
      <c r="D5488" t="str">
        <f>HYPERLINK("https://github.com/TeamNewPipe/NewPipe/issues/5983","show")</f>
        <v>show</v>
      </c>
      <c r="E5488" t="str">
        <f>HYPERLINK("https://github.com/TeamNewPipe/NewPipe","show")</f>
        <v>show</v>
      </c>
      <c r="F5488" t="str">
        <f>HYPERLINK("https://github.com/TeamNewPipe/NewPipe/releases","show")</f>
        <v>show</v>
      </c>
    </row>
    <row r="5489" spans="1:6">
      <c r="A5489" t="s">
        <v>16331</v>
      </c>
      <c r="B5489" t="s">
        <v>16332</v>
      </c>
      <c r="C5489" t="s">
        <v>16333</v>
      </c>
      <c r="D5489" t="str">
        <f>HYPERLINK("https://github.com/bumptech/glide/issues/4542","show")</f>
        <v>show</v>
      </c>
      <c r="E5489" t="str">
        <f>HYPERLINK("https://github.com/bumptech/glide","show")</f>
        <v>show</v>
      </c>
      <c r="F5489" t="str">
        <f>HYPERLINK("https://github.com/bumptech/glide/releases","show")</f>
        <v>show</v>
      </c>
    </row>
    <row r="5490" spans="1:6">
      <c r="A5490" t="s">
        <v>16334</v>
      </c>
      <c r="B5490" t="s">
        <v>16335</v>
      </c>
      <c r="C5490" t="s">
        <v>16336</v>
      </c>
      <c r="D5490" t="str">
        <f>HYPERLINK("https://github.com/tradle/react-native-udp/issues/159","show")</f>
        <v>show</v>
      </c>
      <c r="E5490" t="str">
        <f>HYPERLINK("https://github.com/tradle/react-native-udp","show")</f>
        <v>show</v>
      </c>
      <c r="F5490" t="str">
        <f>HYPERLINK("https://github.com/tradle/react-native-udp/releases","show")</f>
        <v>show</v>
      </c>
    </row>
    <row r="5491" spans="1:6">
      <c r="A5491" t="s">
        <v>16337</v>
      </c>
      <c r="B5491" t="s">
        <v>16338</v>
      </c>
      <c r="C5491" t="s">
        <v>16339</v>
      </c>
      <c r="D5491" t="str">
        <f>HYPERLINK("https://github.com/SkyTubeTeam/SkyTube/issues/949","show")</f>
        <v>show</v>
      </c>
      <c r="E5491" t="str">
        <f>HYPERLINK("https://github.com/SkyTubeTeam/SkyTube","show")</f>
        <v>show</v>
      </c>
      <c r="F5491" t="str">
        <f>HYPERLINK("https://github.com/SkyTubeTeam/SkyTube/releases","show")</f>
        <v>show</v>
      </c>
    </row>
    <row r="5492" spans="1:6">
      <c r="A5492" t="s">
        <v>16340</v>
      </c>
      <c r="B5492" t="s">
        <v>16341</v>
      </c>
      <c r="C5492" t="s">
        <v>16342</v>
      </c>
      <c r="D5492" t="str">
        <f>HYPERLINK("https://github.com/Anuken/Mindustry/issues/5039","show")</f>
        <v>show</v>
      </c>
      <c r="E5492" t="str">
        <f>HYPERLINK("https://github.com/Anuken/Mindustry","show")</f>
        <v>show</v>
      </c>
      <c r="F5492" t="str">
        <f>HYPERLINK("https://github.com/Anuken/Mindustry/releases","show")</f>
        <v>show</v>
      </c>
    </row>
    <row r="5493" spans="1:6">
      <c r="A5493" t="s">
        <v>16343</v>
      </c>
      <c r="B5493" t="s">
        <v>16344</v>
      </c>
      <c r="C5493" t="s">
        <v>16345</v>
      </c>
      <c r="D5493" t="str">
        <f>HYPERLINK("https://github.com/hauke96/GeoNotes/issues/30","show")</f>
        <v>show</v>
      </c>
      <c r="E5493" t="str">
        <f>HYPERLINK("https://github.com/hauke96/GeoNotes","show")</f>
        <v>show</v>
      </c>
      <c r="F5493" t="str">
        <f>HYPERLINK("https://github.com/hauke96/GeoNotes/releases","show")</f>
        <v>show</v>
      </c>
    </row>
    <row r="5494" spans="1:6">
      <c r="A5494" t="s">
        <v>16346</v>
      </c>
      <c r="B5494" t="s">
        <v>16347</v>
      </c>
      <c r="C5494" t="s">
        <v>16348</v>
      </c>
      <c r="D5494" t="str">
        <f>HYPERLINK("https://github.com/microg/GmsCore/issues/1431","show")</f>
        <v>show</v>
      </c>
      <c r="E5494" t="str">
        <f>HYPERLINK("https://github.com/microg/GmsCore","show")</f>
        <v>show</v>
      </c>
      <c r="F5494" t="str">
        <f>HYPERLINK("https://github.com/microg/GmsCore/releases","show")</f>
        <v>show</v>
      </c>
    </row>
    <row r="5495" spans="1:6">
      <c r="A5495" t="s">
        <v>16349</v>
      </c>
      <c r="B5495" t="s">
        <v>16350</v>
      </c>
      <c r="C5495" t="s">
        <v>16351</v>
      </c>
      <c r="D5495" t="str">
        <f>HYPERLINK("https://github.com/TeamNewPipe/NewPipe/issues/5973","show")</f>
        <v>show</v>
      </c>
      <c r="E5495" t="str">
        <f>HYPERLINK("https://github.com/TeamNewPipe/NewPipe","show")</f>
        <v>show</v>
      </c>
      <c r="F5495" t="str">
        <f>HYPERLINK("https://github.com/TeamNewPipe/NewPipe/releases","show")</f>
        <v>show</v>
      </c>
    </row>
    <row r="5496" spans="1:6">
      <c r="A5496" t="s">
        <v>16352</v>
      </c>
      <c r="B5496" t="s">
        <v>16353</v>
      </c>
      <c r="C5496" t="s">
        <v>16354</v>
      </c>
      <c r="D5496" t="str">
        <f>HYPERLINK("https://github.com/microsoft/appcenter-sdk-android/issues/1523","show")</f>
        <v>show</v>
      </c>
      <c r="E5496" t="str">
        <f>HYPERLINK("https://github.com/microsoft/appcenter-sdk-android","show")</f>
        <v>show</v>
      </c>
      <c r="F5496" t="str">
        <f>HYPERLINK("https://github.com/microsoft/appcenter-sdk-android/releases","show")</f>
        <v>show</v>
      </c>
    </row>
    <row r="5497" spans="1:6">
      <c r="A5497" t="s">
        <v>16355</v>
      </c>
      <c r="B5497" t="s">
        <v>16356</v>
      </c>
      <c r="C5497" t="s">
        <v>16357</v>
      </c>
      <c r="D5497" t="str">
        <f>HYPERLINK("https://github.com/TeamNewPipe/NewPipe/issues/5968","show")</f>
        <v>show</v>
      </c>
      <c r="E5497" t="str">
        <f>HYPERLINK("https://github.com/TeamNewPipe/NewPipe","show")</f>
        <v>show</v>
      </c>
      <c r="F5497" t="str">
        <f>HYPERLINK("https://github.com/TeamNewPipe/NewPipe/releases","show")</f>
        <v>show</v>
      </c>
    </row>
    <row r="5498" spans="1:6">
      <c r="A5498" t="s">
        <v>16358</v>
      </c>
      <c r="B5498" t="s">
        <v>16359</v>
      </c>
      <c r="C5498" t="s">
        <v>16360</v>
      </c>
      <c r="D5498" t="str">
        <f>HYPERLINK("https://github.com/Anuken/Mindustry/issues/5035","show")</f>
        <v>show</v>
      </c>
      <c r="E5498" t="str">
        <f>HYPERLINK("https://github.com/Anuken/Mindustry","show")</f>
        <v>show</v>
      </c>
      <c r="F5498" t="str">
        <f>HYPERLINK("https://github.com/Anuken/Mindustry/releases","show")</f>
        <v>show</v>
      </c>
    </row>
    <row r="5499" spans="1:6">
      <c r="A5499" t="s">
        <v>16361</v>
      </c>
      <c r="B5499" t="s">
        <v>16362</v>
      </c>
      <c r="C5499" t="s">
        <v>16363</v>
      </c>
      <c r="D5499" t="str">
        <f>HYPERLINK("https://github.com/TeamNewPipe/NewPipe/issues/5967","show")</f>
        <v>show</v>
      </c>
      <c r="E5499" t="str">
        <f>HYPERLINK("https://github.com/TeamNewPipe/NewPipe","show")</f>
        <v>show</v>
      </c>
      <c r="F5499" t="str">
        <f>HYPERLINK("https://github.com/TeamNewPipe/NewPipe/releases","show")</f>
        <v>show</v>
      </c>
    </row>
    <row r="5500" spans="1:6">
      <c r="A5500" t="s">
        <v>16364</v>
      </c>
      <c r="B5500" t="s">
        <v>16365</v>
      </c>
      <c r="C5500" t="s">
        <v>16366</v>
      </c>
      <c r="D5500" t="str">
        <f>HYPERLINK("https://github.com/prebid/prebid-mobile-android/issues/249","show")</f>
        <v>show</v>
      </c>
      <c r="E5500" t="str">
        <f>HYPERLINK("https://github.com/prebid/prebid-mobile-android","show")</f>
        <v>show</v>
      </c>
      <c r="F5500" t="str">
        <f>HYPERLINK("https://github.com/prebid/prebid-mobile-android/releases","show")</f>
        <v>show</v>
      </c>
    </row>
    <row r="5501" spans="1:6">
      <c r="A5501" t="s">
        <v>16367</v>
      </c>
      <c r="B5501" t="s">
        <v>16368</v>
      </c>
      <c r="C5501" t="s">
        <v>16369</v>
      </c>
      <c r="D5501" t="str">
        <f>HYPERLINK("https://github.com/prebid/prebid-mobile-android/issues/248","show")</f>
        <v>show</v>
      </c>
      <c r="E5501" t="str">
        <f>HYPERLINK("https://github.com/prebid/prebid-mobile-android","show")</f>
        <v>show</v>
      </c>
      <c r="F5501" t="str">
        <f>HYPERLINK("https://github.com/prebid/prebid-mobile-android/releases","show")</f>
        <v>show</v>
      </c>
    </row>
    <row r="5502" spans="1:6">
      <c r="A5502" t="s">
        <v>16370</v>
      </c>
      <c r="B5502" t="s">
        <v>16371</v>
      </c>
      <c r="C5502" t="s">
        <v>16372</v>
      </c>
      <c r="D5502" t="str">
        <f>HYPERLINK("https://github.com/material-components/material-components-android/issues/2158","show")</f>
        <v>show</v>
      </c>
      <c r="E5502" t="str">
        <f>HYPERLINK("https://github.com/material-components/material-components-android","show")</f>
        <v>show</v>
      </c>
      <c r="F5502" t="str">
        <f>HYPERLINK("https://github.com/material-components/material-components-android/releases","show")</f>
        <v>show</v>
      </c>
    </row>
    <row r="5503" spans="1:6">
      <c r="A5503" t="s">
        <v>16373</v>
      </c>
      <c r="B5503" t="s">
        <v>16374</v>
      </c>
      <c r="C5503" t="s">
        <v>16375</v>
      </c>
      <c r="D5503" t="str">
        <f>HYPERLINK("https://github.com/TeamNewPipe/NewPipe/issues/5966","show")</f>
        <v>show</v>
      </c>
      <c r="E5503" t="str">
        <f>HYPERLINK("https://github.com/TeamNewPipe/NewPipe","show")</f>
        <v>show</v>
      </c>
      <c r="F5503" t="str">
        <f>HYPERLINK("https://github.com/TeamNewPipe/NewPipe/releases","show")</f>
        <v>show</v>
      </c>
    </row>
    <row r="5504" spans="1:6">
      <c r="A5504" t="s">
        <v>16376</v>
      </c>
      <c r="B5504" t="s">
        <v>16377</v>
      </c>
      <c r="C5504" t="s">
        <v>16378</v>
      </c>
      <c r="D5504" t="str">
        <f>HYPERLINK("https://github.com/TeamNewPipe/NewPipe/issues/5964","show")</f>
        <v>show</v>
      </c>
      <c r="E5504" t="str">
        <f>HYPERLINK("https://github.com/TeamNewPipe/NewPipe","show")</f>
        <v>show</v>
      </c>
      <c r="F5504" t="str">
        <f>HYPERLINK("https://github.com/TeamNewPipe/NewPipe/releases","show")</f>
        <v>show</v>
      </c>
    </row>
    <row r="5505" spans="1:6">
      <c r="A5505" t="s">
        <v>16379</v>
      </c>
      <c r="B5505" t="s">
        <v>16380</v>
      </c>
      <c r="C5505" t="s">
        <v>16381</v>
      </c>
      <c r="D5505" t="str">
        <f>HYPERLINK("https://github.com/Anuken/Mindustry/issues/5029","show")</f>
        <v>show</v>
      </c>
      <c r="E5505" t="str">
        <f>HYPERLINK("https://github.com/Anuken/Mindustry","show")</f>
        <v>show</v>
      </c>
      <c r="F5505" t="str">
        <f>HYPERLINK("https://github.com/Anuken/Mindustry/releases","show")</f>
        <v>show</v>
      </c>
    </row>
    <row r="5506" spans="1:6">
      <c r="A5506" t="s">
        <v>16382</v>
      </c>
      <c r="B5506" t="s">
        <v>16383</v>
      </c>
      <c r="C5506" t="s">
        <v>16384</v>
      </c>
      <c r="D5506" t="str">
        <f>HYPERLINK("https://github.com/TeamNewPipe/NewPipe/issues/5963","show")</f>
        <v>show</v>
      </c>
      <c r="E5506" t="str">
        <f>HYPERLINK("https://github.com/TeamNewPipe/NewPipe","show")</f>
        <v>show</v>
      </c>
      <c r="F5506" t="str">
        <f>HYPERLINK("https://github.com/TeamNewPipe/NewPipe/releases","show")</f>
        <v>show</v>
      </c>
    </row>
    <row r="5507" spans="1:6">
      <c r="A5507" t="s">
        <v>16385</v>
      </c>
      <c r="B5507" t="s">
        <v>16386</v>
      </c>
      <c r="C5507" t="s">
        <v>16387</v>
      </c>
      <c r="D5507" t="str">
        <f>HYPERLINK("https://github.com/PojavLauncherTeam/PojavLauncher/issues/1136","show")</f>
        <v>show</v>
      </c>
      <c r="E5507" t="str">
        <f>HYPERLINK("https://github.com/PojavLauncherTeam/PojavLauncher","show")</f>
        <v>show</v>
      </c>
      <c r="F5507" t="str">
        <f>HYPERLINK("https://github.com/PojavLauncherTeam/PojavLauncher/releases","show")</f>
        <v>show</v>
      </c>
    </row>
    <row r="5508" spans="1:6">
      <c r="A5508" t="s">
        <v>16388</v>
      </c>
      <c r="B5508" t="s">
        <v>16389</v>
      </c>
      <c r="C5508" t="s">
        <v>16390</v>
      </c>
      <c r="D5508" t="str">
        <f>HYPERLINK("https://github.com/TeamNewPipe/NewPipe/issues/5962","show")</f>
        <v>show</v>
      </c>
      <c r="E5508" t="str">
        <f>HYPERLINK("https://github.com/TeamNewPipe/NewPipe","show")</f>
        <v>show</v>
      </c>
      <c r="F5508" t="str">
        <f>HYPERLINK("https://github.com/TeamNewPipe/NewPipe/releases","show")</f>
        <v>show</v>
      </c>
    </row>
    <row r="5509" spans="1:6">
      <c r="A5509" t="s">
        <v>16391</v>
      </c>
      <c r="B5509" t="s">
        <v>16392</v>
      </c>
      <c r="C5509" t="s">
        <v>16393</v>
      </c>
      <c r="D5509" t="str">
        <f>HYPERLINK("https://github.com/popcorn-official/popcorn-android/issues/746","show")</f>
        <v>show</v>
      </c>
      <c r="E5509" t="str">
        <f>HYPERLINK("https://github.com/popcorn-official/popcorn-android","show")</f>
        <v>show</v>
      </c>
      <c r="F5509" t="str">
        <f>HYPERLINK("https://github.com/popcorn-official/popcorn-android/releases","show")</f>
        <v>show</v>
      </c>
    </row>
    <row r="5510" spans="1:6">
      <c r="A5510" t="s">
        <v>16394</v>
      </c>
      <c r="B5510" t="s">
        <v>16392</v>
      </c>
      <c r="C5510" t="s">
        <v>16393</v>
      </c>
      <c r="D5510" t="str">
        <f>HYPERLINK("https://github.com/popcorn-official/popcorn-android/issues/745","show")</f>
        <v>show</v>
      </c>
      <c r="E5510" t="str">
        <f>HYPERLINK("https://github.com/popcorn-official/popcorn-android","show")</f>
        <v>show</v>
      </c>
      <c r="F5510" t="str">
        <f>HYPERLINK("https://github.com/popcorn-official/popcorn-android/releases","show")</f>
        <v>show</v>
      </c>
    </row>
    <row r="5511" spans="1:6">
      <c r="A5511" t="s">
        <v>16395</v>
      </c>
      <c r="B5511" t="s">
        <v>16396</v>
      </c>
      <c r="C5511" t="s">
        <v>16397</v>
      </c>
      <c r="D5511" t="str">
        <f>HYPERLINK("https://github.com/GoogleCloudPlatform/fda-mystudies/issues/3423","show")</f>
        <v>show</v>
      </c>
      <c r="E5511" t="str">
        <f>HYPERLINK("https://github.com/GoogleCloudPlatform/fda-mystudies","show")</f>
        <v>show</v>
      </c>
      <c r="F5511" t="str">
        <f>HYPERLINK("https://github.com/GoogleCloudPlatform/fda-mystudies/releases","show")</f>
        <v>show</v>
      </c>
    </row>
    <row r="5512" spans="1:6">
      <c r="A5512" t="s">
        <v>16398</v>
      </c>
      <c r="B5512" t="s">
        <v>16399</v>
      </c>
      <c r="C5512" t="s">
        <v>16400</v>
      </c>
      <c r="D5512" t="str">
        <f>HYPERLINK("https://github.com/square/okhttp/issues/6610","show")</f>
        <v>show</v>
      </c>
      <c r="E5512" t="str">
        <f>HYPERLINK("https://github.com/square/okhttp","show")</f>
        <v>show</v>
      </c>
      <c r="F5512" t="str">
        <f>HYPERLINK("https://github.com/square/okhttp/releases","show")</f>
        <v>show</v>
      </c>
    </row>
    <row r="5513" spans="1:6">
      <c r="A5513" t="s">
        <v>16401</v>
      </c>
      <c r="B5513" t="s">
        <v>16402</v>
      </c>
      <c r="C5513" t="s">
        <v>16403</v>
      </c>
      <c r="D5513" t="str">
        <f>HYPERLINK("https://github.com/TeamNewPipe/NewPipe/issues/5959","show")</f>
        <v>show</v>
      </c>
      <c r="E5513" t="str">
        <f>HYPERLINK("https://github.com/TeamNewPipe/NewPipe","show")</f>
        <v>show</v>
      </c>
      <c r="F5513" t="str">
        <f>HYPERLINK("https://github.com/TeamNewPipe/NewPipe/releases","show")</f>
        <v>show</v>
      </c>
    </row>
    <row r="5514" spans="1:6">
      <c r="A5514" t="s">
        <v>16404</v>
      </c>
      <c r="B5514" t="s">
        <v>16405</v>
      </c>
      <c r="C5514" t="s">
        <v>16406</v>
      </c>
      <c r="D5514" t="str">
        <f>HYPERLINK("https://github.com/TeamNewPipe/NewPipe/issues/5957","show")</f>
        <v>show</v>
      </c>
      <c r="E5514" t="str">
        <f>HYPERLINK("https://github.com/TeamNewPipe/NewPipe","show")</f>
        <v>show</v>
      </c>
      <c r="F5514" t="str">
        <f>HYPERLINK("https://github.com/TeamNewPipe/NewPipe/releases","show")</f>
        <v>show</v>
      </c>
    </row>
    <row r="5515" spans="1:6">
      <c r="A5515" t="s">
        <v>16407</v>
      </c>
      <c r="B5515" t="s">
        <v>16408</v>
      </c>
      <c r="C5515" t="s">
        <v>16409</v>
      </c>
      <c r="D5515" t="str">
        <f>HYPERLINK("https://github.com/PojavLauncherTeam/PojavLauncher/issues/1134","show")</f>
        <v>show</v>
      </c>
      <c r="E5515" t="str">
        <f>HYPERLINK("https://github.com/PojavLauncherTeam/PojavLauncher","show")</f>
        <v>show</v>
      </c>
      <c r="F5515" t="str">
        <f>HYPERLINK("https://github.com/PojavLauncherTeam/PojavLauncher/releases","show")</f>
        <v>show</v>
      </c>
    </row>
    <row r="5516" spans="1:6">
      <c r="A5516" t="s">
        <v>16410</v>
      </c>
      <c r="B5516" t="s">
        <v>16411</v>
      </c>
      <c r="C5516" t="s">
        <v>16412</v>
      </c>
      <c r="D5516" t="str">
        <f>HYPERLINK("https://github.com/TeamNewPipe/NewPipe/issues/5953","show")</f>
        <v>show</v>
      </c>
      <c r="E5516" t="str">
        <f>HYPERLINK("https://github.com/TeamNewPipe/NewPipe","show")</f>
        <v>show</v>
      </c>
      <c r="F5516" t="str">
        <f>HYPERLINK("https://github.com/TeamNewPipe/NewPipe/releases","show")</f>
        <v>show</v>
      </c>
    </row>
    <row r="5517" spans="1:6">
      <c r="A5517" t="s">
        <v>16413</v>
      </c>
      <c r="B5517" t="s">
        <v>16414</v>
      </c>
      <c r="C5517" t="s">
        <v>16415</v>
      </c>
      <c r="D5517" t="str">
        <f>HYPERLINK("https://github.com/HBiSoft/HBRecorder/issues/60","show")</f>
        <v>show</v>
      </c>
      <c r="E5517" t="str">
        <f>HYPERLINK("https://github.com/HBiSoft/HBRecorder","show")</f>
        <v>show</v>
      </c>
      <c r="F5517" t="str">
        <f>HYPERLINK("https://github.com/HBiSoft/HBRecorder/releases","show")</f>
        <v>show</v>
      </c>
    </row>
    <row r="5518" spans="1:6">
      <c r="A5518" t="s">
        <v>16416</v>
      </c>
      <c r="B5518" t="s">
        <v>16417</v>
      </c>
      <c r="C5518" t="s">
        <v>16418</v>
      </c>
      <c r="D5518" t="str">
        <f>HYPERLINK("https://github.com/crux-lab/sectioned-recycler-view/issues/11","show")</f>
        <v>show</v>
      </c>
      <c r="E5518" t="str">
        <f>HYPERLINK("https://github.com/crux-lab/sectioned-recycler-view","show")</f>
        <v>show</v>
      </c>
      <c r="F5518" t="str">
        <f>HYPERLINK("https://github.com/crux-lab/sectioned-recycler-view/releases","show")</f>
        <v>show</v>
      </c>
    </row>
    <row r="5519" spans="1:6">
      <c r="A5519" t="s">
        <v>16419</v>
      </c>
      <c r="B5519" t="s">
        <v>16420</v>
      </c>
      <c r="C5519" t="s">
        <v>12094</v>
      </c>
      <c r="D5519" t="str">
        <f>HYPERLINK("https://github.com/Anuken/Mindustry/issues/5018","show")</f>
        <v>show</v>
      </c>
      <c r="E5519" t="str">
        <f>HYPERLINK("https://github.com/Anuken/Mindustry","show")</f>
        <v>show</v>
      </c>
      <c r="F5519" t="str">
        <f>HYPERLINK("https://github.com/Anuken/Mindustry/releases","show")</f>
        <v>show</v>
      </c>
    </row>
    <row r="5520" spans="1:6">
      <c r="A5520" t="s">
        <v>16421</v>
      </c>
      <c r="B5520" t="s">
        <v>16422</v>
      </c>
      <c r="C5520" t="s">
        <v>16423</v>
      </c>
      <c r="D5520" t="str">
        <f>HYPERLINK("https://github.com/TeamNewPipe/NewPipe/issues/5947","show")</f>
        <v>show</v>
      </c>
      <c r="E5520" t="str">
        <f>HYPERLINK("https://github.com/TeamNewPipe/NewPipe","show")</f>
        <v>show</v>
      </c>
      <c r="F5520" t="str">
        <f>HYPERLINK("https://github.com/TeamNewPipe/NewPipe/releases","show")</f>
        <v>show</v>
      </c>
    </row>
    <row r="5521" spans="1:6">
      <c r="A5521" t="s">
        <v>16424</v>
      </c>
      <c r="B5521" t="s">
        <v>16425</v>
      </c>
      <c r="C5521" t="s">
        <v>16426</v>
      </c>
      <c r="D5521" t="str">
        <f>HYPERLINK("https://github.com/Ninjaman494/Hanji-Android-App/issues/59","show")</f>
        <v>show</v>
      </c>
      <c r="E5521" t="str">
        <f>HYPERLINK("https://github.com/Ninjaman494/Hanji-Android-App","show")</f>
        <v>show</v>
      </c>
      <c r="F5521" t="str">
        <f>HYPERLINK("https://github.com/Ninjaman494/Hanji-Android-App/releases","show")</f>
        <v>show</v>
      </c>
    </row>
    <row r="5522" spans="1:6">
      <c r="A5522" t="s">
        <v>16427</v>
      </c>
      <c r="B5522" t="s">
        <v>16428</v>
      </c>
      <c r="C5522" t="s">
        <v>16429</v>
      </c>
      <c r="D5522" t="str">
        <f>HYPERLINK("https://github.com/PojavLauncherTeam/PojavLauncher/issues/1127","show")</f>
        <v>show</v>
      </c>
      <c r="E5522" t="str">
        <f>HYPERLINK("https://github.com/PojavLauncherTeam/PojavLauncher","show")</f>
        <v>show</v>
      </c>
      <c r="F5522" t="str">
        <f>HYPERLINK("https://github.com/PojavLauncherTeam/PojavLauncher/releases","show")</f>
        <v>show</v>
      </c>
    </row>
    <row r="5523" spans="1:6">
      <c r="A5523" t="s">
        <v>16430</v>
      </c>
      <c r="B5523" t="s">
        <v>16431</v>
      </c>
      <c r="C5523" t="s">
        <v>16432</v>
      </c>
      <c r="D5523" t="str">
        <f>HYPERLINK("https://github.com/nextcloud/android/issues/8218","show")</f>
        <v>show</v>
      </c>
      <c r="E5523" t="str">
        <f>HYPERLINK("https://github.com/nextcloud/android","show")</f>
        <v>show</v>
      </c>
      <c r="F5523" t="str">
        <f>HYPERLINK("https://github.com/nextcloud/android/releases","show")</f>
        <v>show</v>
      </c>
    </row>
    <row r="5524" spans="1:6">
      <c r="A5524" t="s">
        <v>16433</v>
      </c>
      <c r="B5524" t="s">
        <v>16434</v>
      </c>
      <c r="C5524" t="s">
        <v>16435</v>
      </c>
      <c r="D5524" t="str">
        <f>HYPERLINK("https://github.com/PojavLauncherTeam/PojavLauncher/issues/1126","show")</f>
        <v>show</v>
      </c>
      <c r="E5524" t="str">
        <f>HYPERLINK("https://github.com/PojavLauncherTeam/PojavLauncher","show")</f>
        <v>show</v>
      </c>
      <c r="F5524" t="str">
        <f>HYPERLINK("https://github.com/PojavLauncherTeam/PojavLauncher/releases","show")</f>
        <v>show</v>
      </c>
    </row>
    <row r="5525" spans="1:6">
      <c r="A5525" t="s">
        <v>16436</v>
      </c>
      <c r="B5525" t="s">
        <v>16437</v>
      </c>
      <c r="C5525" t="s">
        <v>16438</v>
      </c>
      <c r="D5525" t="str">
        <f>HYPERLINK("https://github.com/TeamNewPipe/NewPipe/issues/5941","show")</f>
        <v>show</v>
      </c>
      <c r="E5525" t="str">
        <f>HYPERLINK("https://github.com/TeamNewPipe/NewPipe","show")</f>
        <v>show</v>
      </c>
      <c r="F5525" t="str">
        <f>HYPERLINK("https://github.com/TeamNewPipe/NewPipe/releases","show")</f>
        <v>show</v>
      </c>
    </row>
    <row r="5526" spans="1:6">
      <c r="A5526" t="s">
        <v>16439</v>
      </c>
      <c r="B5526" t="s">
        <v>16440</v>
      </c>
      <c r="C5526" t="s">
        <v>16441</v>
      </c>
      <c r="D5526" t="str">
        <f>HYPERLINK("https://github.com/microg/GmsCore/issues/1426","show")</f>
        <v>show</v>
      </c>
      <c r="E5526" t="str">
        <f>HYPERLINK("https://github.com/microg/GmsCore","show")</f>
        <v>show</v>
      </c>
      <c r="F5526" t="str">
        <f>HYPERLINK("https://github.com/microg/GmsCore/releases","show")</f>
        <v>show</v>
      </c>
    </row>
    <row r="5527" spans="1:6">
      <c r="A5527" t="s">
        <v>16442</v>
      </c>
      <c r="B5527" t="s">
        <v>16443</v>
      </c>
      <c r="C5527" t="s">
        <v>16444</v>
      </c>
      <c r="D5527" t="str">
        <f>HYPERLINK("https://github.com/cgeo/cgeo/issues/10281","show")</f>
        <v>show</v>
      </c>
      <c r="E5527" t="str">
        <f>HYPERLINK("https://github.com/cgeo/cgeo","show")</f>
        <v>show</v>
      </c>
      <c r="F5527" t="str">
        <f>HYPERLINK("https://github.com/cgeo/cgeo/releases","show")</f>
        <v>show</v>
      </c>
    </row>
    <row r="5528" spans="1:6">
      <c r="A5528" t="s">
        <v>16445</v>
      </c>
      <c r="B5528" t="s">
        <v>16446</v>
      </c>
      <c r="C5528" t="s">
        <v>16447</v>
      </c>
      <c r="D5528" t="str">
        <f>HYPERLINK("https://github.com/PojavLauncherTeam/PojavLauncher/issues/1118","show")</f>
        <v>show</v>
      </c>
      <c r="E5528" t="str">
        <f>HYPERLINK("https://github.com/PojavLauncherTeam/PojavLauncher","show")</f>
        <v>show</v>
      </c>
      <c r="F5528" t="str">
        <f>HYPERLINK("https://github.com/PojavLauncherTeam/PojavLauncher/releases","show")</f>
        <v>show</v>
      </c>
    </row>
    <row r="5529" spans="1:6">
      <c r="A5529" t="s">
        <v>16448</v>
      </c>
      <c r="B5529" t="s">
        <v>16449</v>
      </c>
      <c r="C5529" t="s">
        <v>16450</v>
      </c>
      <c r="D5529" t="str">
        <f>HYPERLINK("https://github.com/PojavLauncherTeam/PojavLauncher/issues/1116","show")</f>
        <v>show</v>
      </c>
      <c r="E5529" t="str">
        <f>HYPERLINK("https://github.com/PojavLauncherTeam/PojavLauncher","show")</f>
        <v>show</v>
      </c>
      <c r="F5529" t="str">
        <f>HYPERLINK("https://github.com/PojavLauncherTeam/PojavLauncher/releases","show")</f>
        <v>show</v>
      </c>
    </row>
    <row r="5530" spans="1:6">
      <c r="A5530" t="s">
        <v>16451</v>
      </c>
      <c r="B5530" t="s">
        <v>16452</v>
      </c>
      <c r="C5530" t="s">
        <v>16453</v>
      </c>
      <c r="D5530" t="str">
        <f>HYPERLINK("https://github.com/MuntashirAkon/AppManager/issues/340","show")</f>
        <v>show</v>
      </c>
      <c r="E5530" t="str">
        <f>HYPERLINK("https://github.com/MuntashirAkon/AppManager","show")</f>
        <v>show</v>
      </c>
      <c r="F5530" t="str">
        <f>HYPERLINK("https://github.com/MuntashirAkon/AppManager/releases","show")</f>
        <v>show</v>
      </c>
    </row>
    <row r="5531" spans="1:6">
      <c r="A5531" t="s">
        <v>16454</v>
      </c>
      <c r="B5531" t="s">
        <v>16455</v>
      </c>
      <c r="C5531" t="s">
        <v>16456</v>
      </c>
      <c r="D5531" t="str">
        <f>HYPERLINK("https://github.com/nextcloud/android/issues/8213","show")</f>
        <v>show</v>
      </c>
      <c r="E5531" t="str">
        <f>HYPERLINK("https://github.com/nextcloud/android","show")</f>
        <v>show</v>
      </c>
      <c r="F5531" t="str">
        <f>HYPERLINK("https://github.com/nextcloud/android/releases","show")</f>
        <v>show</v>
      </c>
    </row>
    <row r="5532" spans="1:6">
      <c r="A5532" t="s">
        <v>16457</v>
      </c>
      <c r="B5532" t="s">
        <v>16458</v>
      </c>
      <c r="C5532" t="s">
        <v>16459</v>
      </c>
      <c r="D5532" t="str">
        <f>HYPERLINK("https://github.com/TeamNewPipe/NewPipe/issues/5923","show")</f>
        <v>show</v>
      </c>
      <c r="E5532" t="str">
        <f>HYPERLINK("https://github.com/TeamNewPipe/NewPipe","show")</f>
        <v>show</v>
      </c>
      <c r="F5532" t="str">
        <f>HYPERLINK("https://github.com/TeamNewPipe/NewPipe/releases","show")</f>
        <v>show</v>
      </c>
    </row>
    <row r="5533" spans="1:6">
      <c r="A5533" t="s">
        <v>16460</v>
      </c>
      <c r="B5533" t="s">
        <v>16461</v>
      </c>
      <c r="C5533" t="s">
        <v>16462</v>
      </c>
      <c r="D5533" t="str">
        <f>HYPERLINK("https://github.com/getsentry/sentry-java/issues/1357","show")</f>
        <v>show</v>
      </c>
      <c r="E5533" t="str">
        <f>HYPERLINK("https://github.com/getsentry/sentry-java","show")</f>
        <v>show</v>
      </c>
      <c r="F5533" t="str">
        <f>HYPERLINK("https://github.com/getsentry/sentry-java/releases","show")</f>
        <v>show</v>
      </c>
    </row>
    <row r="5534" spans="1:6">
      <c r="A5534" t="s">
        <v>16463</v>
      </c>
      <c r="B5534" t="s">
        <v>16464</v>
      </c>
      <c r="C5534" t="s">
        <v>16465</v>
      </c>
      <c r="D5534" t="str">
        <f>HYPERLINK("https://github.com/Anuken/Mindustry/issues/5005","show")</f>
        <v>show</v>
      </c>
      <c r="E5534" t="str">
        <f>HYPERLINK("https://github.com/Anuken/Mindustry","show")</f>
        <v>show</v>
      </c>
      <c r="F5534" t="str">
        <f>HYPERLINK("https://github.com/Anuken/Mindustry/releases","show")</f>
        <v>show</v>
      </c>
    </row>
    <row r="5535" spans="1:6">
      <c r="A5535" t="s">
        <v>16466</v>
      </c>
      <c r="B5535" t="s">
        <v>16467</v>
      </c>
      <c r="C5535" t="s">
        <v>16468</v>
      </c>
      <c r="D5535" t="str">
        <f>HYPERLINK("https://github.com/Anuken/Mindustry/issues/4999","show")</f>
        <v>show</v>
      </c>
      <c r="E5535" t="str">
        <f>HYPERLINK("https://github.com/Anuken/Mindustry","show")</f>
        <v>show</v>
      </c>
      <c r="F5535" t="str">
        <f>HYPERLINK("https://github.com/Anuken/Mindustry/releases","show")</f>
        <v>show</v>
      </c>
    </row>
    <row r="5536" spans="1:6">
      <c r="A5536" t="s">
        <v>16469</v>
      </c>
      <c r="B5536" t="s">
        <v>16470</v>
      </c>
      <c r="C5536" t="s">
        <v>16471</v>
      </c>
      <c r="D5536" t="str">
        <f>HYPERLINK("https://github.com/indomie858/app-A/issues/156","show")</f>
        <v>show</v>
      </c>
      <c r="E5536" t="str">
        <f>HYPERLINK("https://github.com/indomie858/app-A","show")</f>
        <v>show</v>
      </c>
      <c r="F5536" t="str">
        <f>HYPERLINK("https://github.com/indomie858/app-A/releases","show")</f>
        <v>show</v>
      </c>
    </row>
    <row r="5537" spans="1:6">
      <c r="A5537" t="s">
        <v>16472</v>
      </c>
      <c r="B5537" t="s">
        <v>16473</v>
      </c>
      <c r="C5537" t="s">
        <v>16474</v>
      </c>
      <c r="D5537" t="str">
        <f>HYPERLINK("https://github.com/inaturalist/iNaturalistAndroid/issues/1010","show")</f>
        <v>show</v>
      </c>
      <c r="E5537" t="str">
        <f>HYPERLINK("https://github.com/inaturalist/iNaturalistAndroid","show")</f>
        <v>show</v>
      </c>
      <c r="F5537" t="str">
        <f>HYPERLINK("https://github.com/inaturalist/iNaturalistAndroid/releases","show")</f>
        <v>show</v>
      </c>
    </row>
    <row r="5538" spans="1:6">
      <c r="A5538" t="s">
        <v>16475</v>
      </c>
      <c r="B5538" t="s">
        <v>16476</v>
      </c>
      <c r="C5538" t="s">
        <v>16477</v>
      </c>
      <c r="D5538" t="str">
        <f>HYPERLINK("https://github.com/inaturalist/iNaturalistAndroid/issues/1009","show")</f>
        <v>show</v>
      </c>
      <c r="E5538" t="str">
        <f>HYPERLINK("https://github.com/inaturalist/iNaturalistAndroid","show")</f>
        <v>show</v>
      </c>
      <c r="F5538" t="str">
        <f>HYPERLINK("https://github.com/inaturalist/iNaturalistAndroid/releases","show")</f>
        <v>show</v>
      </c>
    </row>
    <row r="5539" spans="1:6">
      <c r="A5539" t="s">
        <v>16478</v>
      </c>
      <c r="B5539" t="s">
        <v>16479</v>
      </c>
      <c r="C5539" t="s">
        <v>16480</v>
      </c>
      <c r="D5539" t="str">
        <f>HYPERLINK("https://github.com/inaturalist/iNaturalistAndroid/issues/1008","show")</f>
        <v>show</v>
      </c>
      <c r="E5539" t="str">
        <f>HYPERLINK("https://github.com/inaturalist/iNaturalistAndroid","show")</f>
        <v>show</v>
      </c>
      <c r="F5539" t="str">
        <f>HYPERLINK("https://github.com/inaturalist/iNaturalistAndroid/releases","show")</f>
        <v>show</v>
      </c>
    </row>
    <row r="5540" spans="1:6">
      <c r="A5540" t="s">
        <v>16481</v>
      </c>
      <c r="B5540" t="s">
        <v>16482</v>
      </c>
      <c r="C5540" t="s">
        <v>16483</v>
      </c>
      <c r="D5540" t="str">
        <f>HYPERLINK("https://github.com/inaturalist/iNaturalistAndroid/issues/1007","show")</f>
        <v>show</v>
      </c>
      <c r="E5540" t="str">
        <f>HYPERLINK("https://github.com/inaturalist/iNaturalistAndroid","show")</f>
        <v>show</v>
      </c>
      <c r="F5540" t="str">
        <f>HYPERLINK("https://github.com/inaturalist/iNaturalistAndroid/releases","show")</f>
        <v>show</v>
      </c>
    </row>
    <row r="5541" spans="1:6">
      <c r="A5541" t="s">
        <v>16484</v>
      </c>
      <c r="B5541" t="s">
        <v>16485</v>
      </c>
      <c r="C5541" t="s">
        <v>16486</v>
      </c>
      <c r="D5541" t="str">
        <f>HYPERLINK("https://github.com/inaturalist/iNaturalistAndroid/issues/1006","show")</f>
        <v>show</v>
      </c>
      <c r="E5541" t="str">
        <f>HYPERLINK("https://github.com/inaturalist/iNaturalistAndroid","show")</f>
        <v>show</v>
      </c>
      <c r="F5541" t="str">
        <f>HYPERLINK("https://github.com/inaturalist/iNaturalistAndroid/releases","show")</f>
        <v>show</v>
      </c>
    </row>
    <row r="5542" spans="1:6">
      <c r="A5542" t="s">
        <v>16487</v>
      </c>
      <c r="B5542" t="s">
        <v>16488</v>
      </c>
      <c r="C5542" t="s">
        <v>16489</v>
      </c>
      <c r="D5542" t="str">
        <f>HYPERLINK("https://github.com/Anuken/Mindustry/issues/4992","show")</f>
        <v>show</v>
      </c>
      <c r="E5542" t="str">
        <f>HYPERLINK("https://github.com/Anuken/Mindustry","show")</f>
        <v>show</v>
      </c>
      <c r="F5542" t="str">
        <f>HYPERLINK("https://github.com/Anuken/Mindustry/releases","show")</f>
        <v>show</v>
      </c>
    </row>
    <row r="5543" spans="1:6">
      <c r="A5543" t="s">
        <v>16490</v>
      </c>
      <c r="B5543" t="s">
        <v>16491</v>
      </c>
      <c r="C5543" t="s">
        <v>16492</v>
      </c>
      <c r="D5543" t="str">
        <f>HYPERLINK("https://github.com/MuntashirAkon/AppManager/issues/338","show")</f>
        <v>show</v>
      </c>
      <c r="E5543" t="str">
        <f>HYPERLINK("https://github.com/MuntashirAkon/AppManager","show")</f>
        <v>show</v>
      </c>
      <c r="F5543" t="str">
        <f>HYPERLINK("https://github.com/MuntashirAkon/AppManager/releases","show")</f>
        <v>show</v>
      </c>
    </row>
    <row r="5544" spans="1:6">
      <c r="A5544" t="s">
        <v>16493</v>
      </c>
      <c r="B5544" t="s">
        <v>16494</v>
      </c>
      <c r="C5544" t="s">
        <v>16495</v>
      </c>
      <c r="D5544" t="str">
        <f>HYPERLINK("https://github.com/SDP-group22/Helio-app/issues/166","show")</f>
        <v>show</v>
      </c>
      <c r="E5544" t="str">
        <f>HYPERLINK("https://github.com/SDP-group22/Helio-app","show")</f>
        <v>show</v>
      </c>
      <c r="F5544" t="str">
        <f>HYPERLINK("https://github.com/SDP-group22/Helio-app/releases","show")</f>
        <v>show</v>
      </c>
    </row>
    <row r="5545" spans="1:6">
      <c r="A5545" t="s">
        <v>16496</v>
      </c>
      <c r="B5545" t="s">
        <v>16497</v>
      </c>
      <c r="C5545" t="s">
        <v>16498</v>
      </c>
      <c r="D5545" t="str">
        <f>HYPERLINK("https://github.com/nextcloud/android/issues/8208","show")</f>
        <v>show</v>
      </c>
      <c r="E5545" t="str">
        <f>HYPERLINK("https://github.com/nextcloud/android","show")</f>
        <v>show</v>
      </c>
      <c r="F5545" t="str">
        <f>HYPERLINK("https://github.com/nextcloud/android/releases","show")</f>
        <v>show</v>
      </c>
    </row>
    <row r="5546" spans="1:6">
      <c r="A5546" t="s">
        <v>16499</v>
      </c>
      <c r="B5546" t="s">
        <v>16500</v>
      </c>
      <c r="C5546" t="s">
        <v>16501</v>
      </c>
      <c r="D5546" t="str">
        <f>HYPERLINK("https://github.com/square/okhttp/issues/6605","show")</f>
        <v>show</v>
      </c>
      <c r="E5546" t="str">
        <f>HYPERLINK("https://github.com/square/okhttp","show")</f>
        <v>show</v>
      </c>
      <c r="F5546" t="str">
        <f>HYPERLINK("https://github.com/square/okhttp/releases","show")</f>
        <v>show</v>
      </c>
    </row>
    <row r="5547" spans="1:6">
      <c r="A5547" t="s">
        <v>16502</v>
      </c>
      <c r="B5547" t="s">
        <v>16503</v>
      </c>
      <c r="C5547" t="s">
        <v>16504</v>
      </c>
      <c r="D5547" t="str">
        <f>HYPERLINK("https://github.com/Blankj/AndroidUtilCode/issues/1473","show")</f>
        <v>show</v>
      </c>
      <c r="E5547" t="str">
        <f>HYPERLINK("https://github.com/Blankj/AndroidUtilCode","show")</f>
        <v>show</v>
      </c>
      <c r="F5547" t="str">
        <f>HYPERLINK("https://github.com/Blankj/AndroidUtilCode/releases","show")</f>
        <v>show</v>
      </c>
    </row>
    <row r="5548" spans="1:6">
      <c r="A5548" t="s">
        <v>16505</v>
      </c>
      <c r="B5548" t="s">
        <v>16506</v>
      </c>
      <c r="C5548" t="s">
        <v>16507</v>
      </c>
      <c r="D5548" t="str">
        <f>HYPERLINK("https://github.com/doublesymmetry/react-native-track-player/issues/1149","show")</f>
        <v>show</v>
      </c>
      <c r="E5548" t="str">
        <f>HYPERLINK("https://github.com/doublesymmetry/react-native-track-player","show")</f>
        <v>show</v>
      </c>
      <c r="F5548" t="str">
        <f>HYPERLINK("https://github.com/doublesymmetry/react-native-track-player/releases","show")</f>
        <v>show</v>
      </c>
    </row>
    <row r="5549" spans="1:6">
      <c r="A5549" t="s">
        <v>16508</v>
      </c>
      <c r="B5549" t="s">
        <v>16509</v>
      </c>
      <c r="C5549" t="s">
        <v>16510</v>
      </c>
      <c r="D5549" t="str">
        <f>HYPERLINK("https://github.com/TeamNewPipe/NewPipe/issues/5901","show")</f>
        <v>show</v>
      </c>
      <c r="E5549" t="str">
        <f>HYPERLINK("https://github.com/TeamNewPipe/NewPipe","show")</f>
        <v>show</v>
      </c>
      <c r="F5549" t="str">
        <f>HYPERLINK("https://github.com/TeamNewPipe/NewPipe/releases","show")</f>
        <v>show</v>
      </c>
    </row>
    <row r="5550" spans="1:6">
      <c r="A5550" t="s">
        <v>16511</v>
      </c>
      <c r="B5550" t="s">
        <v>16512</v>
      </c>
      <c r="C5550" t="s">
        <v>16513</v>
      </c>
      <c r="D5550" t="str">
        <f>HYPERLINK("https://github.com/TeamNewPipe/NewPipe/issues/5900","show")</f>
        <v>show</v>
      </c>
      <c r="E5550" t="str">
        <f>HYPERLINK("https://github.com/TeamNewPipe/NewPipe","show")</f>
        <v>show</v>
      </c>
      <c r="F5550" t="str">
        <f>HYPERLINK("https://github.com/TeamNewPipe/NewPipe/releases","show")</f>
        <v>show</v>
      </c>
    </row>
    <row r="5551" spans="1:6">
      <c r="A5551" t="s">
        <v>16514</v>
      </c>
      <c r="B5551" t="s">
        <v>16515</v>
      </c>
      <c r="C5551" t="s">
        <v>16516</v>
      </c>
      <c r="D5551" t="str">
        <f>HYPERLINK("https://github.com/TeamNewPipe/NewPipe/issues/5895","show")</f>
        <v>show</v>
      </c>
      <c r="E5551" t="str">
        <f>HYPERLINK("https://github.com/TeamNewPipe/NewPipe","show")</f>
        <v>show</v>
      </c>
      <c r="F5551" t="str">
        <f>HYPERLINK("https://github.com/TeamNewPipe/NewPipe/releases","show")</f>
        <v>show</v>
      </c>
    </row>
    <row r="5552" spans="1:6">
      <c r="A5552" t="s">
        <v>16517</v>
      </c>
      <c r="B5552" t="s">
        <v>16518</v>
      </c>
      <c r="C5552" t="s">
        <v>16519</v>
      </c>
      <c r="D5552" t="str">
        <f>HYPERLINK("https://github.com/prebid/prebid-mobile-android/issues/247","show")</f>
        <v>show</v>
      </c>
      <c r="E5552" t="str">
        <f>HYPERLINK("https://github.com/prebid/prebid-mobile-android","show")</f>
        <v>show</v>
      </c>
      <c r="F5552" t="str">
        <f>HYPERLINK("https://github.com/prebid/prebid-mobile-android/releases","show")</f>
        <v>show</v>
      </c>
    </row>
    <row r="5553" spans="1:6">
      <c r="A5553" t="s">
        <v>16520</v>
      </c>
      <c r="B5553" t="s">
        <v>16521</v>
      </c>
      <c r="C5553" t="s">
        <v>16522</v>
      </c>
      <c r="D5553" t="str">
        <f>HYPERLINK("https://github.com/prebid/prebid-mobile-android/issues/246","show")</f>
        <v>show</v>
      </c>
      <c r="E5553" t="str">
        <f>HYPERLINK("https://github.com/prebid/prebid-mobile-android","show")</f>
        <v>show</v>
      </c>
      <c r="F5553" t="str">
        <f>HYPERLINK("https://github.com/prebid/prebid-mobile-android/releases","show")</f>
        <v>show</v>
      </c>
    </row>
    <row r="5554" spans="1:6">
      <c r="A5554" t="s">
        <v>16523</v>
      </c>
      <c r="B5554" t="s">
        <v>16524</v>
      </c>
      <c r="C5554" t="s">
        <v>16525</v>
      </c>
      <c r="D5554" t="str">
        <f>HYPERLINK("https://github.com/SeulGeek/FoodForYou/issues/63","show")</f>
        <v>show</v>
      </c>
      <c r="E5554" t="str">
        <f>HYPERLINK("https://github.com/SeulGeek/FoodForYou","show")</f>
        <v>show</v>
      </c>
      <c r="F5554" t="str">
        <f>HYPERLINK("https://github.com/SeulGeek/FoodForYou/releases","show")</f>
        <v>show</v>
      </c>
    </row>
    <row r="5555" spans="1:6">
      <c r="A5555" t="s">
        <v>16526</v>
      </c>
      <c r="B5555" t="s">
        <v>16527</v>
      </c>
      <c r="C5555" t="s">
        <v>16528</v>
      </c>
      <c r="D5555" t="str">
        <f>HYPERLINK("https://github.com/openid/AppAuth-Android/issues/678","show")</f>
        <v>show</v>
      </c>
      <c r="E5555" t="str">
        <f>HYPERLINK("https://github.com/openid/AppAuth-Android","show")</f>
        <v>show</v>
      </c>
      <c r="F5555" t="str">
        <f>HYPERLINK("https://github.com/openid/AppAuth-Android/releases","show")</f>
        <v>show</v>
      </c>
    </row>
    <row r="5556" spans="1:6">
      <c r="A5556" t="s">
        <v>16529</v>
      </c>
      <c r="B5556" t="s">
        <v>16530</v>
      </c>
      <c r="C5556" t="s">
        <v>16531</v>
      </c>
      <c r="D5556" t="str">
        <f>HYPERLINK("https://github.com/gsantner/markor/issues/1292","show")</f>
        <v>show</v>
      </c>
      <c r="E5556" t="str">
        <f>HYPERLINK("https://github.com/gsantner/markor","show")</f>
        <v>show</v>
      </c>
      <c r="F5556" t="str">
        <f>HYPERLINK("https://github.com/gsantner/markor/releases","show")</f>
        <v>show</v>
      </c>
    </row>
    <row r="5557" spans="1:6">
      <c r="A5557" t="s">
        <v>16532</v>
      </c>
      <c r="B5557" t="s">
        <v>16533</v>
      </c>
      <c r="C5557" t="s">
        <v>16534</v>
      </c>
      <c r="D5557" t="str">
        <f>HYPERLINK("https://github.com/PojavLauncherTeam/PojavLauncher/issues/1099","show")</f>
        <v>show</v>
      </c>
      <c r="E5557" t="str">
        <f>HYPERLINK("https://github.com/PojavLauncherTeam/PojavLauncher","show")</f>
        <v>show</v>
      </c>
      <c r="F5557" t="str">
        <f>HYPERLINK("https://github.com/PojavLauncherTeam/PojavLauncher/releases","show")</f>
        <v>show</v>
      </c>
    </row>
    <row r="5558" spans="1:6">
      <c r="A5558" t="s">
        <v>16535</v>
      </c>
      <c r="B5558" t="s">
        <v>16536</v>
      </c>
      <c r="C5558" t="s">
        <v>16537</v>
      </c>
      <c r="D5558" t="str">
        <f>HYPERLINK("https://github.com/smartdevicelink/sdl_java_suite/issues/1642","show")</f>
        <v>show</v>
      </c>
      <c r="E5558" t="str">
        <f>HYPERLINK("https://github.com/smartdevicelink/sdl_java_suite","show")</f>
        <v>show</v>
      </c>
      <c r="F5558" t="str">
        <f>HYPERLINK("https://github.com/smartdevicelink/sdl_java_suite/releases","show")</f>
        <v>show</v>
      </c>
    </row>
    <row r="5559" spans="1:6">
      <c r="A5559" t="s">
        <v>16538</v>
      </c>
      <c r="B5559" t="s">
        <v>16539</v>
      </c>
      <c r="C5559" t="s">
        <v>16540</v>
      </c>
      <c r="D5559" t="str">
        <f>HYPERLINK("https://github.com/Anuken/Mindustry/issues/4975","show")</f>
        <v>show</v>
      </c>
      <c r="E5559" t="str">
        <f>HYPERLINK("https://github.com/Anuken/Mindustry","show")</f>
        <v>show</v>
      </c>
      <c r="F5559" t="str">
        <f>HYPERLINK("https://github.com/Anuken/Mindustry/releases","show")</f>
        <v>show</v>
      </c>
    </row>
    <row r="5560" spans="1:6">
      <c r="A5560" t="s">
        <v>16541</v>
      </c>
      <c r="B5560" t="s">
        <v>16542</v>
      </c>
      <c r="C5560" t="s">
        <v>16543</v>
      </c>
      <c r="D5560" t="str">
        <f>HYPERLINK("https://github.com/barbeau/gpstest/issues/492","show")</f>
        <v>show</v>
      </c>
      <c r="E5560" t="str">
        <f>HYPERLINK("https://github.com/barbeau/gpstest","show")</f>
        <v>show</v>
      </c>
      <c r="F5560" t="str">
        <f>HYPERLINK("https://github.com/barbeau/gpstest/releases","show")</f>
        <v>show</v>
      </c>
    </row>
    <row r="5561" spans="1:6">
      <c r="A5561" t="s">
        <v>16544</v>
      </c>
      <c r="B5561" t="s">
        <v>16545</v>
      </c>
      <c r="C5561" t="s">
        <v>16546</v>
      </c>
      <c r="D5561" t="str">
        <f>HYPERLINK("https://github.com/Anuken/Mindustry/issues/4972","show")</f>
        <v>show</v>
      </c>
      <c r="E5561" t="str">
        <f>HYPERLINK("https://github.com/Anuken/Mindustry","show")</f>
        <v>show</v>
      </c>
      <c r="F5561" t="str">
        <f>HYPERLINK("https://github.com/Anuken/Mindustry/releases","show")</f>
        <v>show</v>
      </c>
    </row>
    <row r="5562" spans="1:6">
      <c r="A5562" t="s">
        <v>16547</v>
      </c>
      <c r="B5562" t="s">
        <v>16548</v>
      </c>
      <c r="C5562" t="s">
        <v>16549</v>
      </c>
      <c r="D5562" t="str">
        <f>HYPERLINK("https://github.com/mishraaditya595/ScanIt/issues/62","show")</f>
        <v>show</v>
      </c>
      <c r="E5562" t="str">
        <f>HYPERLINK("https://github.com/mishraaditya595/ScanIt","show")</f>
        <v>show</v>
      </c>
      <c r="F5562" t="str">
        <f>HYPERLINK("https://github.com/mishraaditya595/ScanIt/releases","show")</f>
        <v>show</v>
      </c>
    </row>
    <row r="5563" spans="1:6">
      <c r="A5563" t="s">
        <v>16550</v>
      </c>
      <c r="B5563" t="s">
        <v>16551</v>
      </c>
      <c r="C5563" t="s">
        <v>16552</v>
      </c>
      <c r="D5563" t="str">
        <f>HYPERLINK("https://github.com/prebid/prebid-mobile-android/issues/244","show")</f>
        <v>show</v>
      </c>
      <c r="E5563" t="str">
        <f>HYPERLINK("https://github.com/prebid/prebid-mobile-android","show")</f>
        <v>show</v>
      </c>
      <c r="F5563" t="str">
        <f>HYPERLINK("https://github.com/prebid/prebid-mobile-android/releases","show")</f>
        <v>show</v>
      </c>
    </row>
    <row r="5564" spans="1:6">
      <c r="A5564" t="s">
        <v>16553</v>
      </c>
      <c r="B5564" t="s">
        <v>16554</v>
      </c>
      <c r="C5564" t="s">
        <v>16555</v>
      </c>
      <c r="D5564" t="str">
        <f>HYPERLINK("https://github.com/prebid/prebid-mobile-android/issues/243","show")</f>
        <v>show</v>
      </c>
      <c r="E5564" t="str">
        <f>HYPERLINK("https://github.com/prebid/prebid-mobile-android","show")</f>
        <v>show</v>
      </c>
      <c r="F5564" t="str">
        <f>HYPERLINK("https://github.com/prebid/prebid-mobile-android/releases","show")</f>
        <v>show</v>
      </c>
    </row>
    <row r="5565" spans="1:6">
      <c r="A5565" t="s">
        <v>16556</v>
      </c>
      <c r="B5565" t="s">
        <v>16557</v>
      </c>
      <c r="C5565" t="s">
        <v>16558</v>
      </c>
      <c r="D5565" t="str">
        <f>HYPERLINK("https://github.com/TeamNewPipe/NewPipe/issues/5877","show")</f>
        <v>show</v>
      </c>
      <c r="E5565" t="str">
        <f>HYPERLINK("https://github.com/TeamNewPipe/NewPipe","show")</f>
        <v>show</v>
      </c>
      <c r="F5565" t="str">
        <f>HYPERLINK("https://github.com/TeamNewPipe/NewPipe/releases","show")</f>
        <v>show</v>
      </c>
    </row>
    <row r="5566" spans="1:6">
      <c r="A5566" t="s">
        <v>16559</v>
      </c>
      <c r="B5566" t="s">
        <v>16560</v>
      </c>
      <c r="C5566" t="s">
        <v>16561</v>
      </c>
      <c r="D5566" t="str">
        <f>HYPERLINK("https://github.com/AOF-Dev/MCinaBox/issues/1039","show")</f>
        <v>show</v>
      </c>
      <c r="E5566" t="str">
        <f>HYPERLINK("https://github.com/AOF-Dev/MCinaBox","show")</f>
        <v>show</v>
      </c>
      <c r="F5566" t="str">
        <f>HYPERLINK("https://github.com/AOF-Dev/MCinaBox/releases","show")</f>
        <v>show</v>
      </c>
    </row>
    <row r="5567" spans="1:6">
      <c r="A5567" t="s">
        <v>16562</v>
      </c>
      <c r="B5567" t="s">
        <v>16563</v>
      </c>
      <c r="C5567" t="s">
        <v>16564</v>
      </c>
      <c r="D5567" t="str">
        <f>HYPERLINK("https://github.com/MuntashirAkon/AppManager/issues/324","show")</f>
        <v>show</v>
      </c>
      <c r="E5567" t="str">
        <f>HYPERLINK("https://github.com/MuntashirAkon/AppManager","show")</f>
        <v>show</v>
      </c>
      <c r="F5567" t="str">
        <f>HYPERLINK("https://github.com/MuntashirAkon/AppManager/releases","show")</f>
        <v>show</v>
      </c>
    </row>
    <row r="5568" spans="1:6">
      <c r="A5568" t="s">
        <v>16565</v>
      </c>
      <c r="B5568" t="s">
        <v>16566</v>
      </c>
      <c r="C5568" t="s">
        <v>16567</v>
      </c>
      <c r="D5568" t="str">
        <f>HYPERLINK("https://github.com/TeamNewPipe/NewPipe/issues/5869","show")</f>
        <v>show</v>
      </c>
      <c r="E5568" t="str">
        <f>HYPERLINK("https://github.com/TeamNewPipe/NewPipe","show")</f>
        <v>show</v>
      </c>
      <c r="F5568" t="str">
        <f>HYPERLINK("https://github.com/TeamNewPipe/NewPipe/releases","show")</f>
        <v>show</v>
      </c>
    </row>
    <row r="5569" spans="1:6">
      <c r="A5569" t="s">
        <v>16568</v>
      </c>
      <c r="B5569" t="s">
        <v>16569</v>
      </c>
      <c r="C5569" t="s">
        <v>16570</v>
      </c>
      <c r="D5569" t="str">
        <f>HYPERLINK("https://github.com/falzonv/discreet-launcher/issues/12","show")</f>
        <v>show</v>
      </c>
      <c r="E5569" t="str">
        <f>HYPERLINK("https://github.com/falzonv/discreet-launcher","show")</f>
        <v>show</v>
      </c>
      <c r="F5569" t="str">
        <f>HYPERLINK("https://github.com/falzonv/discreet-launcher/releases","show")</f>
        <v>show</v>
      </c>
    </row>
    <row r="5570" spans="1:6">
      <c r="A5570" t="s">
        <v>16571</v>
      </c>
      <c r="B5570" t="s">
        <v>16572</v>
      </c>
      <c r="C5570" t="s">
        <v>16573</v>
      </c>
      <c r="D5570" t="str">
        <f>HYPERLINK("https://github.com/patzly/grocy-android/issues/378","show")</f>
        <v>show</v>
      </c>
      <c r="E5570" t="str">
        <f>HYPERLINK("https://github.com/patzly/grocy-android","show")</f>
        <v>show</v>
      </c>
      <c r="F5570" t="str">
        <f>HYPERLINK("https://github.com/patzly/grocy-android/releases","show")</f>
        <v>show</v>
      </c>
    </row>
    <row r="5571" spans="1:6">
      <c r="A5571" t="s">
        <v>16574</v>
      </c>
      <c r="B5571" t="s">
        <v>16575</v>
      </c>
      <c r="C5571" t="s">
        <v>16576</v>
      </c>
      <c r="D5571" t="str">
        <f>HYPERLINK("https://github.com/PhenoApps/Field-Book/issues/229","show")</f>
        <v>show</v>
      </c>
      <c r="E5571" t="str">
        <f>HYPERLINK("https://github.com/PhenoApps/Field-Book","show")</f>
        <v>show</v>
      </c>
      <c r="F5571" t="str">
        <f>HYPERLINK("https://github.com/PhenoApps/Field-Book/releases","show")</f>
        <v>show</v>
      </c>
    </row>
    <row r="5572" spans="1:6">
      <c r="A5572" t="s">
        <v>16577</v>
      </c>
      <c r="B5572" t="s">
        <v>16578</v>
      </c>
      <c r="C5572" t="s">
        <v>16579</v>
      </c>
      <c r="D5572" t="str">
        <f>HYPERLINK("https://github.com/Anuken/Mindustry/issues/4959","show")</f>
        <v>show</v>
      </c>
      <c r="E5572" t="str">
        <f>HYPERLINK("https://github.com/Anuken/Mindustry","show")</f>
        <v>show</v>
      </c>
      <c r="F5572" t="str">
        <f>HYPERLINK("https://github.com/Anuken/Mindustry/releases","show")</f>
        <v>show</v>
      </c>
    </row>
    <row r="5573" spans="1:6">
      <c r="A5573" t="s">
        <v>16580</v>
      </c>
      <c r="B5573" t="s">
        <v>16581</v>
      </c>
      <c r="C5573" t="s">
        <v>16582</v>
      </c>
      <c r="D5573" t="str">
        <f>HYPERLINK("https://github.com/inaturalist/iNaturalistAndroid/issues/1003","show")</f>
        <v>show</v>
      </c>
      <c r="E5573" t="str">
        <f>HYPERLINK("https://github.com/inaturalist/iNaturalistAndroid","show")</f>
        <v>show</v>
      </c>
      <c r="F5573" t="str">
        <f>HYPERLINK("https://github.com/inaturalist/iNaturalistAndroid/releases","show")</f>
        <v>show</v>
      </c>
    </row>
    <row r="5574" spans="1:6">
      <c r="A5574" t="s">
        <v>16583</v>
      </c>
      <c r="B5574" t="s">
        <v>16584</v>
      </c>
      <c r="C5574" t="s">
        <v>16585</v>
      </c>
      <c r="D5574" t="str">
        <f>HYPERLINK("https://github.com/ankidroid/Anki-Android/issues/8264","show")</f>
        <v>show</v>
      </c>
      <c r="E5574" t="str">
        <f>HYPERLINK("https://github.com/ankidroid/Anki-Android","show")</f>
        <v>show</v>
      </c>
      <c r="F5574" t="str">
        <f>HYPERLINK("https://github.com/ankidroid/Anki-Android/releases","show")</f>
        <v>show</v>
      </c>
    </row>
    <row r="5575" spans="1:6">
      <c r="A5575" t="s">
        <v>16586</v>
      </c>
      <c r="B5575" t="s">
        <v>16587</v>
      </c>
      <c r="C5575" t="s">
        <v>16588</v>
      </c>
      <c r="D5575" t="str">
        <f>HYPERLINK("https://github.com/Anuken/Mindustry/issues/4954","show")</f>
        <v>show</v>
      </c>
      <c r="E5575" t="str">
        <f>HYPERLINK("https://github.com/Anuken/Mindustry","show")</f>
        <v>show</v>
      </c>
      <c r="F5575" t="str">
        <f>HYPERLINK("https://github.com/Anuken/Mindustry/releases","show")</f>
        <v>show</v>
      </c>
    </row>
    <row r="5576" spans="1:6">
      <c r="A5576" t="s">
        <v>16589</v>
      </c>
      <c r="B5576" t="s">
        <v>16590</v>
      </c>
      <c r="C5576" t="s">
        <v>16591</v>
      </c>
      <c r="D5576" t="str">
        <f>HYPERLINK("https://github.com/Anuken/Mindustry/issues/4952","show")</f>
        <v>show</v>
      </c>
      <c r="E5576" t="str">
        <f>HYPERLINK("https://github.com/Anuken/Mindustry","show")</f>
        <v>show</v>
      </c>
      <c r="F5576" t="str">
        <f>HYPERLINK("https://github.com/Anuken/Mindustry/releases","show")</f>
        <v>show</v>
      </c>
    </row>
    <row r="5577" spans="1:6">
      <c r="A5577" t="s">
        <v>16592</v>
      </c>
      <c r="B5577" t="s">
        <v>16593</v>
      </c>
      <c r="C5577" t="s">
        <v>16594</v>
      </c>
      <c r="D5577" t="str">
        <f>HYPERLINK("https://github.com/TeamNewPipe/NewPipe/issues/5849","show")</f>
        <v>show</v>
      </c>
      <c r="E5577" t="str">
        <f>HYPERLINK("https://github.com/TeamNewPipe/NewPipe","show")</f>
        <v>show</v>
      </c>
      <c r="F5577" t="str">
        <f>HYPERLINK("https://github.com/TeamNewPipe/NewPipe/releases","show")</f>
        <v>show</v>
      </c>
    </row>
    <row r="5578" spans="1:6">
      <c r="A5578" t="s">
        <v>16595</v>
      </c>
      <c r="B5578" t="s">
        <v>107</v>
      </c>
      <c r="C5578" t="s">
        <v>16596</v>
      </c>
      <c r="D5578" t="str">
        <f>HYPERLINK("https://github.com/Anuken/Mindustry/issues/4949","show")</f>
        <v>show</v>
      </c>
      <c r="E5578" t="str">
        <f>HYPERLINK("https://github.com/Anuken/Mindustry","show")</f>
        <v>show</v>
      </c>
      <c r="F5578" t="str">
        <f>HYPERLINK("https://github.com/Anuken/Mindustry/releases","show")</f>
        <v>show</v>
      </c>
    </row>
    <row r="5579" spans="1:6">
      <c r="A5579" t="s">
        <v>16597</v>
      </c>
      <c r="B5579" t="s">
        <v>16598</v>
      </c>
      <c r="C5579" t="s">
        <v>16599</v>
      </c>
      <c r="D5579" t="str">
        <f>HYPERLINK("https://github.com/PojavLauncherTeam/PojavLauncher/issues/1073","show")</f>
        <v>show</v>
      </c>
      <c r="E5579" t="str">
        <f>HYPERLINK("https://github.com/PojavLauncherTeam/PojavLauncher","show")</f>
        <v>show</v>
      </c>
      <c r="F5579" t="str">
        <f>HYPERLINK("https://github.com/PojavLauncherTeam/PojavLauncher/releases","show")</f>
        <v>show</v>
      </c>
    </row>
    <row r="5580" spans="1:6">
      <c r="A5580" t="s">
        <v>16600</v>
      </c>
      <c r="B5580" t="s">
        <v>16601</v>
      </c>
      <c r="C5580" t="s">
        <v>16602</v>
      </c>
      <c r="D5580" t="str">
        <f>HYPERLINK("https://github.com/skrafft/react-native-jitsi-meet/issues/255","show")</f>
        <v>show</v>
      </c>
      <c r="E5580" t="str">
        <f>HYPERLINK("https://github.com/skrafft/react-native-jitsi-meet","show")</f>
        <v>show</v>
      </c>
      <c r="F5580" t="str">
        <f>HYPERLINK("https://github.com/skrafft/react-native-jitsi-meet/releases","show")</f>
        <v>show</v>
      </c>
    </row>
    <row r="5581" spans="1:6">
      <c r="A5581" t="s">
        <v>16603</v>
      </c>
      <c r="B5581" t="s">
        <v>16604</v>
      </c>
      <c r="C5581" t="s">
        <v>16605</v>
      </c>
      <c r="D5581" t="str">
        <f>HYPERLINK("https://github.com/Goujer/kanojo_app/issues/48","show")</f>
        <v>show</v>
      </c>
      <c r="E5581" t="str">
        <f>HYPERLINK("https://github.com/Goujer/kanojo_app","show")</f>
        <v>show</v>
      </c>
      <c r="F5581" t="str">
        <f>HYPERLINK("https://github.com/Goujer/kanojo_app/releases","show")</f>
        <v>show</v>
      </c>
    </row>
    <row r="5582" spans="1:6">
      <c r="A5582" t="s">
        <v>16606</v>
      </c>
      <c r="B5582" t="s">
        <v>16607</v>
      </c>
      <c r="C5582" t="s">
        <v>16608</v>
      </c>
      <c r="D5582" t="str">
        <f>HYPERLINK("https://github.com/TeamNewPipe/NewPipe/issues/5848","show")</f>
        <v>show</v>
      </c>
      <c r="E5582" t="str">
        <f>HYPERLINK("https://github.com/TeamNewPipe/NewPipe","show")</f>
        <v>show</v>
      </c>
      <c r="F5582" t="str">
        <f>HYPERLINK("https://github.com/TeamNewPipe/NewPipe/releases","show")</f>
        <v>show</v>
      </c>
    </row>
    <row r="5583" spans="1:6">
      <c r="A5583" t="s">
        <v>16609</v>
      </c>
      <c r="B5583" t="s">
        <v>16610</v>
      </c>
      <c r="C5583" t="s">
        <v>16611</v>
      </c>
      <c r="D5583" t="str">
        <f>HYPERLINK("https://github.com/PojavLauncherTeam/PojavLauncher/issues/1071","show")</f>
        <v>show</v>
      </c>
      <c r="E5583" t="str">
        <f>HYPERLINK("https://github.com/PojavLauncherTeam/PojavLauncher","show")</f>
        <v>show</v>
      </c>
      <c r="F5583" t="str">
        <f>HYPERLINK("https://github.com/PojavLauncherTeam/PojavLauncher/releases","show")</f>
        <v>show</v>
      </c>
    </row>
    <row r="5584" spans="1:6">
      <c r="A5584" t="s">
        <v>16612</v>
      </c>
      <c r="B5584" t="s">
        <v>16613</v>
      </c>
      <c r="C5584" t="s">
        <v>16614</v>
      </c>
      <c r="D5584" t="str">
        <f>HYPERLINK("https://github.com/Amarpsp10/AMusic/issues/1","show")</f>
        <v>show</v>
      </c>
      <c r="E5584" t="str">
        <f>HYPERLINK("https://github.com/Amarpsp10/AMusic","show")</f>
        <v>show</v>
      </c>
      <c r="F5584" t="str">
        <f>HYPERLINK("https://github.com/Amarpsp10/AMusic/releases","show")</f>
        <v>show</v>
      </c>
    </row>
    <row r="5585" spans="1:6">
      <c r="A5585" t="s">
        <v>16615</v>
      </c>
      <c r="B5585" t="s">
        <v>16616</v>
      </c>
      <c r="C5585" t="s">
        <v>16617</v>
      </c>
      <c r="D5585" t="str">
        <f>HYPERLINK("https://github.com/square/reader-sdk-flutter-plugin/issues/57","show")</f>
        <v>show</v>
      </c>
      <c r="E5585" t="str">
        <f>HYPERLINK("https://github.com/square/reader-sdk-flutter-plugin","show")</f>
        <v>show</v>
      </c>
      <c r="F5585" t="str">
        <f>HYPERLINK("https://github.com/square/reader-sdk-flutter-plugin/releases","show")</f>
        <v>show</v>
      </c>
    </row>
    <row r="5586" spans="1:6">
      <c r="A5586" t="s">
        <v>16618</v>
      </c>
      <c r="B5586" t="s">
        <v>16619</v>
      </c>
      <c r="C5586" t="s">
        <v>16620</v>
      </c>
      <c r="D5586" t="str">
        <f>HYPERLINK("https://github.com/Anuken/Mindustry/issues/4946","show")</f>
        <v>show</v>
      </c>
      <c r="E5586" t="str">
        <f>HYPERLINK("https://github.com/Anuken/Mindustry","show")</f>
        <v>show</v>
      </c>
      <c r="F5586" t="str">
        <f>HYPERLINK("https://github.com/Anuken/Mindustry/releases","show")</f>
        <v>show</v>
      </c>
    </row>
    <row r="5587" spans="1:6">
      <c r="A5587" t="s">
        <v>16621</v>
      </c>
      <c r="B5587" t="s">
        <v>16622</v>
      </c>
      <c r="C5587" t="s">
        <v>16623</v>
      </c>
      <c r="D5587" t="str">
        <f>HYPERLINK("https://github.com/PojavLauncherTeam/PojavLauncher/issues/1070","show")</f>
        <v>show</v>
      </c>
      <c r="E5587" t="str">
        <f>HYPERLINK("https://github.com/PojavLauncherTeam/PojavLauncher","show")</f>
        <v>show</v>
      </c>
      <c r="F5587" t="str">
        <f>HYPERLINK("https://github.com/PojavLauncherTeam/PojavLauncher/releases","show")</f>
        <v>show</v>
      </c>
    </row>
    <row r="5588" spans="1:6">
      <c r="A5588" t="s">
        <v>16624</v>
      </c>
      <c r="B5588" t="s">
        <v>16625</v>
      </c>
      <c r="C5588" t="s">
        <v>16626</v>
      </c>
      <c r="D5588" t="str">
        <f>HYPERLINK("https://github.com/CMPUT301W21T12/WiseTrack/issues/67","show")</f>
        <v>show</v>
      </c>
      <c r="E5588" t="str">
        <f>HYPERLINK("https://github.com/CMPUT301W21T12/WiseTrack","show")</f>
        <v>show</v>
      </c>
      <c r="F5588" t="str">
        <f>HYPERLINK("https://github.com/CMPUT301W21T12/WiseTrack/releases","show")</f>
        <v>show</v>
      </c>
    </row>
    <row r="5589" spans="1:6">
      <c r="A5589" t="s">
        <v>16627</v>
      </c>
      <c r="B5589" t="s">
        <v>16628</v>
      </c>
      <c r="C5589" t="s">
        <v>16629</v>
      </c>
      <c r="D5589" t="str">
        <f>HYPERLINK("https://github.com/nextcloud/android/issues/8175","show")</f>
        <v>show</v>
      </c>
      <c r="E5589" t="str">
        <f>HYPERLINK("https://github.com/nextcloud/android","show")</f>
        <v>show</v>
      </c>
      <c r="F5589" t="str">
        <f>HYPERLINK("https://github.com/nextcloud/android/releases","show")</f>
        <v>show</v>
      </c>
    </row>
    <row r="5590" spans="1:6">
      <c r="A5590" t="s">
        <v>16630</v>
      </c>
      <c r="B5590" t="s">
        <v>16631</v>
      </c>
      <c r="C5590" t="s">
        <v>16632</v>
      </c>
      <c r="D5590" t="str">
        <f>HYPERLINK("https://github.com/MrReSc/Headi/issues/4","show")</f>
        <v>show</v>
      </c>
      <c r="E5590" t="str">
        <f>HYPERLINK("https://github.com/MrReSc/Headi","show")</f>
        <v>show</v>
      </c>
      <c r="F5590" t="str">
        <f>HYPERLINK("https://github.com/MrReSc/Headi/releases","show")</f>
        <v>show</v>
      </c>
    </row>
    <row r="5591" spans="1:6">
      <c r="A5591" t="s">
        <v>16633</v>
      </c>
      <c r="B5591" t="s">
        <v>16634</v>
      </c>
      <c r="C5591" t="s">
        <v>16635</v>
      </c>
      <c r="D5591" t="str">
        <f>HYPERLINK("https://github.com/opentok/opentok-react-native/issues/477","show")</f>
        <v>show</v>
      </c>
      <c r="E5591" t="str">
        <f>HYPERLINK("https://github.com/opentok/opentok-react-native","show")</f>
        <v>show</v>
      </c>
      <c r="F5591" t="str">
        <f>HYPERLINK("https://github.com/opentok/opentok-react-native/releases","show")</f>
        <v>show</v>
      </c>
    </row>
    <row r="5592" spans="1:6">
      <c r="A5592" t="s">
        <v>16636</v>
      </c>
      <c r="B5592" t="s">
        <v>16637</v>
      </c>
      <c r="C5592" t="s">
        <v>16638</v>
      </c>
      <c r="D5592" t="str">
        <f>HYPERLINK("https://github.com/butzist/ActivityLauncher/issues/66","show")</f>
        <v>show</v>
      </c>
      <c r="E5592" t="str">
        <f>HYPERLINK("https://github.com/butzist/ActivityLauncher","show")</f>
        <v>show</v>
      </c>
      <c r="F5592" t="str">
        <f>HYPERLINK("https://github.com/butzist/ActivityLauncher/releases","show")</f>
        <v>show</v>
      </c>
    </row>
    <row r="5593" spans="1:6">
      <c r="A5593" t="s">
        <v>16639</v>
      </c>
      <c r="B5593" t="s">
        <v>16640</v>
      </c>
      <c r="C5593" t="s">
        <v>16641</v>
      </c>
      <c r="D5593" t="str">
        <f>HYPERLINK("https://github.com/inaturalist/iNaturalistAndroid/issues/1001","show")</f>
        <v>show</v>
      </c>
      <c r="E5593" t="str">
        <f>HYPERLINK("https://github.com/inaturalist/iNaturalistAndroid","show")</f>
        <v>show</v>
      </c>
      <c r="F5593" t="str">
        <f>HYPERLINK("https://github.com/inaturalist/iNaturalistAndroid/releases","show")</f>
        <v>show</v>
      </c>
    </row>
    <row r="5594" spans="1:6">
      <c r="A5594" t="s">
        <v>16642</v>
      </c>
      <c r="B5594" t="s">
        <v>16643</v>
      </c>
      <c r="C5594" t="s">
        <v>16644</v>
      </c>
      <c r="D5594" t="str">
        <f>HYPERLINK("https://github.com/googleads/googleads-mobile-flutter/issues/95","show")</f>
        <v>show</v>
      </c>
      <c r="E5594" t="str">
        <f>HYPERLINK("https://github.com/googleads/googleads-mobile-flutter","show")</f>
        <v>show</v>
      </c>
      <c r="F5594" t="str">
        <f>HYPERLINK("https://github.com/googleads/googleads-mobile-flutter/releases","show")</f>
        <v>show</v>
      </c>
    </row>
    <row r="5595" spans="1:6">
      <c r="A5595" t="s">
        <v>16645</v>
      </c>
      <c r="B5595" t="s">
        <v>16646</v>
      </c>
      <c r="C5595" t="s">
        <v>16647</v>
      </c>
      <c r="D5595" t="str">
        <f>HYPERLINK("https://github.com/AnySoftKeyboard/AnySoftKeyboard/issues/2785","show")</f>
        <v>show</v>
      </c>
      <c r="E5595" t="str">
        <f>HYPERLINK("https://github.com/AnySoftKeyboard/AnySoftKeyboard","show")</f>
        <v>show</v>
      </c>
      <c r="F5595" t="str">
        <f>HYPERLINK("https://github.com/AnySoftKeyboard/AnySoftKeyboard/releases","show")</f>
        <v>show</v>
      </c>
    </row>
    <row r="5596" spans="1:6">
      <c r="A5596" t="s">
        <v>16648</v>
      </c>
      <c r="B5596" t="s">
        <v>16649</v>
      </c>
      <c r="C5596" t="s">
        <v>16650</v>
      </c>
      <c r="D5596" t="str">
        <f>HYPERLINK("https://github.com/TeamNewPipe/NewPipe/issues/5837","show")</f>
        <v>show</v>
      </c>
      <c r="E5596" t="str">
        <f>HYPERLINK("https://github.com/TeamNewPipe/NewPipe","show")</f>
        <v>show</v>
      </c>
      <c r="F5596" t="str">
        <f>HYPERLINK("https://github.com/TeamNewPipe/NewPipe/releases","show")</f>
        <v>show</v>
      </c>
    </row>
    <row r="5597" spans="1:6">
      <c r="A5597" t="s">
        <v>16651</v>
      </c>
      <c r="B5597" t="s">
        <v>16652</v>
      </c>
      <c r="C5597" t="s">
        <v>16653</v>
      </c>
      <c r="D5597" t="str">
        <f>HYPERLINK("https://github.com/PojavLauncherTeam/PojavLauncher/issues/1062","show")</f>
        <v>show</v>
      </c>
      <c r="E5597" t="str">
        <f>HYPERLINK("https://github.com/PojavLauncherTeam/PojavLauncher","show")</f>
        <v>show</v>
      </c>
      <c r="F5597" t="str">
        <f>HYPERLINK("https://github.com/PojavLauncherTeam/PojavLauncher/releases","show")</f>
        <v>show</v>
      </c>
    </row>
    <row r="5598" spans="1:6">
      <c r="A5598" t="s">
        <v>16654</v>
      </c>
      <c r="B5598" t="s">
        <v>16655</v>
      </c>
      <c r="C5598" t="s">
        <v>16656</v>
      </c>
      <c r="D5598" t="str">
        <f>HYPERLINK("https://github.com/PojavLauncherTeam/PojavLauncher/issues/1061","show")</f>
        <v>show</v>
      </c>
      <c r="E5598" t="str">
        <f>HYPERLINK("https://github.com/PojavLauncherTeam/PojavLauncher","show")</f>
        <v>show</v>
      </c>
      <c r="F5598" t="str">
        <f>HYPERLINK("https://github.com/PojavLauncherTeam/PojavLauncher/releases","show")</f>
        <v>show</v>
      </c>
    </row>
    <row r="5599" spans="1:6">
      <c r="A5599" t="s">
        <v>16657</v>
      </c>
      <c r="B5599" t="s">
        <v>16658</v>
      </c>
      <c r="C5599" t="s">
        <v>16659</v>
      </c>
      <c r="D5599" t="str">
        <f>HYPERLINK("https://github.com/aws-amplify/aws-sdk-android/issues/2380","show")</f>
        <v>show</v>
      </c>
      <c r="E5599" t="str">
        <f>HYPERLINK("https://github.com/aws-amplify/aws-sdk-android","show")</f>
        <v>show</v>
      </c>
      <c r="F5599" t="str">
        <f>HYPERLINK("https://github.com/aws-amplify/aws-sdk-android/releases","show")</f>
        <v>show</v>
      </c>
    </row>
    <row r="5600" spans="1:6">
      <c r="A5600" t="s">
        <v>16660</v>
      </c>
      <c r="B5600" t="s">
        <v>16661</v>
      </c>
      <c r="C5600" t="s">
        <v>16662</v>
      </c>
      <c r="D5600" t="str">
        <f>HYPERLINK("https://github.com/NSU-SP21-CSE486-1/1712265-SP21-CSE486-S01/issues/8","show")</f>
        <v>show</v>
      </c>
      <c r="E5600" t="str">
        <f>HYPERLINK("https://github.com/NSU-SP21-CSE486-1/1712265-SP21-CSE486-S01","show")</f>
        <v>show</v>
      </c>
      <c r="F5600" t="str">
        <f>HYPERLINK("https://github.com/NSU-SP21-CSE486-1/1712265-SP21-CSE486-S01/releases","show")</f>
        <v>show</v>
      </c>
    </row>
    <row r="5601" spans="1:6">
      <c r="A5601" t="s">
        <v>16663</v>
      </c>
      <c r="B5601" t="s">
        <v>16664</v>
      </c>
      <c r="C5601" t="s">
        <v>16665</v>
      </c>
      <c r="D5601" t="str">
        <f>HYPERLINK("https://github.com/ankidroid/Anki-Android/issues/8221","show")</f>
        <v>show</v>
      </c>
      <c r="E5601" t="str">
        <f>HYPERLINK("https://github.com/ankidroid/Anki-Android","show")</f>
        <v>show</v>
      </c>
      <c r="F5601" t="str">
        <f>HYPERLINK("https://github.com/ankidroid/Anki-Android/releases","show")</f>
        <v>show</v>
      </c>
    </row>
    <row r="5602" spans="1:6">
      <c r="A5602" t="s">
        <v>16666</v>
      </c>
      <c r="B5602" t="s">
        <v>16667</v>
      </c>
      <c r="C5602" t="s">
        <v>16668</v>
      </c>
      <c r="D5602" t="str">
        <f>HYPERLINK("https://github.com/MewX/light-novel-library_Wenku8_Android/issues/76","show")</f>
        <v>show</v>
      </c>
      <c r="E5602" t="str">
        <f>HYPERLINK("https://github.com/MewX/light-novel-library_Wenku8_Android","show")</f>
        <v>show</v>
      </c>
      <c r="F5602" t="str">
        <f>HYPERLINK("https://github.com/MewX/light-novel-library_Wenku8_Android/releases","show")</f>
        <v>show</v>
      </c>
    </row>
    <row r="5603" spans="1:6">
      <c r="A5603" t="s">
        <v>16669</v>
      </c>
      <c r="B5603" t="s">
        <v>16670</v>
      </c>
      <c r="C5603" t="s">
        <v>16671</v>
      </c>
      <c r="D5603" t="str">
        <f>HYPERLINK("https://github.com/AOF-Dev/MCinaBox/issues/1026","show")</f>
        <v>show</v>
      </c>
      <c r="E5603" t="str">
        <f>HYPERLINK("https://github.com/AOF-Dev/MCinaBox","show")</f>
        <v>show</v>
      </c>
      <c r="F5603" t="str">
        <f>HYPERLINK("https://github.com/AOF-Dev/MCinaBox/releases","show")</f>
        <v>show</v>
      </c>
    </row>
    <row r="5604" spans="1:6">
      <c r="A5604" t="s">
        <v>16672</v>
      </c>
      <c r="B5604" t="s">
        <v>16673</v>
      </c>
      <c r="C5604" t="s">
        <v>16674</v>
      </c>
      <c r="D5604" t="str">
        <f>HYPERLINK("https://github.com/UniRegensburg/unsere-app-fur-die-universitat-regensburg-bib-buddy/issues/119","show")</f>
        <v>show</v>
      </c>
      <c r="E5604" t="str">
        <f>HYPERLINK("https://github.com/UniRegensburg/unsere-app-fur-die-universitat-regensburg-bib-buddy","show")</f>
        <v>show</v>
      </c>
      <c r="F5604" t="str">
        <f>HYPERLINK("https://github.com/UniRegensburg/unsere-app-fur-die-universitat-regensburg-bib-buddy/releases","show")</f>
        <v>show</v>
      </c>
    </row>
    <row r="5605" spans="1:6">
      <c r="A5605" t="s">
        <v>16675</v>
      </c>
      <c r="B5605" t="s">
        <v>16676</v>
      </c>
      <c r="C5605" t="s">
        <v>16677</v>
      </c>
      <c r="D5605" t="str">
        <f>HYPERLINK("https://github.com/TeamNewPipe/NewPipe/issues/5828","show")</f>
        <v>show</v>
      </c>
      <c r="E5605" t="str">
        <f>HYPERLINK("https://github.com/TeamNewPipe/NewPipe","show")</f>
        <v>show</v>
      </c>
      <c r="F5605" t="str">
        <f>HYPERLINK("https://github.com/TeamNewPipe/NewPipe/releases","show")</f>
        <v>show</v>
      </c>
    </row>
    <row r="5606" spans="1:6">
      <c r="A5606" t="s">
        <v>16678</v>
      </c>
      <c r="B5606" t="s">
        <v>16679</v>
      </c>
      <c r="C5606" t="s">
        <v>16680</v>
      </c>
      <c r="D5606" t="str">
        <f>HYPERLINK("https://github.com/PojavLauncherTeam/PojavLauncher/issues/1057","show")</f>
        <v>show</v>
      </c>
      <c r="E5606" t="str">
        <f>HYPERLINK("https://github.com/PojavLauncherTeam/PojavLauncher","show")</f>
        <v>show</v>
      </c>
      <c r="F5606" t="str">
        <f>HYPERLINK("https://github.com/PojavLauncherTeam/PojavLauncher/releases","show")</f>
        <v>show</v>
      </c>
    </row>
    <row r="5607" spans="1:6">
      <c r="A5607" t="s">
        <v>16681</v>
      </c>
      <c r="B5607" t="s">
        <v>16682</v>
      </c>
      <c r="C5607" t="s">
        <v>16683</v>
      </c>
      <c r="D5607" t="str">
        <f>HYPERLINK("https://github.com/ElderDrivers/EdXposed/issues/851","show")</f>
        <v>show</v>
      </c>
      <c r="E5607" t="str">
        <f>HYPERLINK("https://github.com/ElderDrivers/EdXposed","show")</f>
        <v>show</v>
      </c>
      <c r="F5607" t="str">
        <f>HYPERLINK("https://github.com/ElderDrivers/EdXposed/releases","show")</f>
        <v>show</v>
      </c>
    </row>
    <row r="5608" spans="1:6">
      <c r="A5608" t="s">
        <v>16684</v>
      </c>
      <c r="B5608" t="s">
        <v>16685</v>
      </c>
      <c r="C5608" t="s">
        <v>16686</v>
      </c>
      <c r="D5608" t="str">
        <f>HYPERLINK("https://github.com/TeamNewPipe/NewPipe/issues/5817","show")</f>
        <v>show</v>
      </c>
      <c r="E5608" t="str">
        <f>HYPERLINK("https://github.com/TeamNewPipe/NewPipe","show")</f>
        <v>show</v>
      </c>
      <c r="F5608" t="str">
        <f>HYPERLINK("https://github.com/TeamNewPipe/NewPipe/releases","show")</f>
        <v>show</v>
      </c>
    </row>
    <row r="5609" spans="1:6">
      <c r="A5609" t="s">
        <v>16687</v>
      </c>
      <c r="B5609" t="s">
        <v>16688</v>
      </c>
      <c r="C5609" t="s">
        <v>16689</v>
      </c>
      <c r="D5609" t="str">
        <f>HYPERLINK("https://github.com/cgeo/cgeo/issues/10138","show")</f>
        <v>show</v>
      </c>
      <c r="E5609" t="str">
        <f>HYPERLINK("https://github.com/cgeo/cgeo","show")</f>
        <v>show</v>
      </c>
      <c r="F5609" t="str">
        <f>HYPERLINK("https://github.com/cgeo/cgeo/releases","show")</f>
        <v>show</v>
      </c>
    </row>
    <row r="5610" spans="1:6">
      <c r="A5610" t="s">
        <v>16690</v>
      </c>
      <c r="B5610" t="s">
        <v>16691</v>
      </c>
      <c r="C5610" t="s">
        <v>16692</v>
      </c>
      <c r="D5610" t="str">
        <f>HYPERLINK("https://github.com/PojavLauncherTeam/PojavLauncher/issues/1044","show")</f>
        <v>show</v>
      </c>
      <c r="E5610" t="str">
        <f>HYPERLINK("https://github.com/PojavLauncherTeam/PojavLauncher","show")</f>
        <v>show</v>
      </c>
      <c r="F5610" t="str">
        <f>HYPERLINK("https://github.com/PojavLauncherTeam/PojavLauncher/releases","show")</f>
        <v>show</v>
      </c>
    </row>
    <row r="5611" spans="1:6">
      <c r="A5611" t="s">
        <v>16693</v>
      </c>
      <c r="B5611" t="s">
        <v>16694</v>
      </c>
      <c r="C5611" t="s">
        <v>16695</v>
      </c>
      <c r="D5611" t="str">
        <f>HYPERLINK("https://github.com/ankidroid/Anki-Android/issues/8178","show")</f>
        <v>show</v>
      </c>
      <c r="E5611" t="str">
        <f>HYPERLINK("https://github.com/ankidroid/Anki-Android","show")</f>
        <v>show</v>
      </c>
      <c r="F5611" t="str">
        <f>HYPERLINK("https://github.com/ankidroid/Anki-Android/releases","show")</f>
        <v>show</v>
      </c>
    </row>
    <row r="5612" spans="1:6">
      <c r="A5612" t="s">
        <v>16696</v>
      </c>
      <c r="B5612" t="s">
        <v>16697</v>
      </c>
      <c r="C5612" t="s">
        <v>16698</v>
      </c>
      <c r="D5612" t="str">
        <f>HYPERLINK("https://github.com/nextcloud/android-library/issues/594","show")</f>
        <v>show</v>
      </c>
      <c r="E5612" t="str">
        <f>HYPERLINK("https://github.com/nextcloud/android-library","show")</f>
        <v>show</v>
      </c>
      <c r="F5612" t="str">
        <f>HYPERLINK("https://github.com/nextcloud/android-library/releases","show")</f>
        <v>show</v>
      </c>
    </row>
    <row r="5613" spans="1:6">
      <c r="A5613" t="s">
        <v>16699</v>
      </c>
      <c r="B5613" t="s">
        <v>16700</v>
      </c>
      <c r="C5613" t="s">
        <v>16701</v>
      </c>
      <c r="D5613" t="str">
        <f>HYPERLINK("https://github.com/nextcloud/android/issues/8166","show")</f>
        <v>show</v>
      </c>
      <c r="E5613" t="str">
        <f>HYPERLINK("https://github.com/nextcloud/android","show")</f>
        <v>show</v>
      </c>
      <c r="F5613" t="str">
        <f>HYPERLINK("https://github.com/nextcloud/android/releases","show")</f>
        <v>show</v>
      </c>
    </row>
    <row r="5614" spans="1:6">
      <c r="A5614" t="s">
        <v>16702</v>
      </c>
      <c r="B5614" t="s">
        <v>16703</v>
      </c>
      <c r="C5614" t="s">
        <v>16704</v>
      </c>
      <c r="D5614" t="str">
        <f>HYPERLINK("https://github.com/TarekElDick/COEN390_GroupProject_BearCare/issues/39","show")</f>
        <v>show</v>
      </c>
      <c r="E5614" t="str">
        <f>HYPERLINK("https://github.com/TarekElDick/COEN390_GroupProject_BearCare","show")</f>
        <v>show</v>
      </c>
      <c r="F5614" t="str">
        <f>HYPERLINK("https://github.com/TarekElDick/COEN390_GroupProject_BearCare/releases","show")</f>
        <v>show</v>
      </c>
    </row>
    <row r="5615" spans="1:6">
      <c r="A5615" t="s">
        <v>16705</v>
      </c>
      <c r="B5615" t="s">
        <v>16706</v>
      </c>
      <c r="C5615" t="s">
        <v>16707</v>
      </c>
      <c r="D5615" t="str">
        <f>HYPERLINK("https://github.com/k9mail/k-9/issues/5200","show")</f>
        <v>show</v>
      </c>
      <c r="E5615" t="str">
        <f>HYPERLINK("https://github.com/k9mail/k-9","show")</f>
        <v>show</v>
      </c>
      <c r="F5615" t="str">
        <f>HYPERLINK("https://github.com/k9mail/k-9/releases","show")</f>
        <v>show</v>
      </c>
    </row>
    <row r="5616" spans="1:6">
      <c r="A5616" t="s">
        <v>16708</v>
      </c>
      <c r="B5616" t="s">
        <v>16709</v>
      </c>
      <c r="C5616" t="s">
        <v>16710</v>
      </c>
      <c r="D5616" t="str">
        <f>HYPERLINK("https://github.com/PojavLauncherTeam/PojavLauncher/issues/1043","show")</f>
        <v>show</v>
      </c>
      <c r="E5616" t="str">
        <f>HYPERLINK("https://github.com/PojavLauncherTeam/PojavLauncher","show")</f>
        <v>show</v>
      </c>
      <c r="F5616" t="str">
        <f>HYPERLINK("https://github.com/PojavLauncherTeam/PojavLauncher/releases","show")</f>
        <v>show</v>
      </c>
    </row>
    <row r="5617" spans="1:6">
      <c r="A5617" t="s">
        <v>16711</v>
      </c>
      <c r="B5617" t="s">
        <v>16712</v>
      </c>
      <c r="C5617" t="s">
        <v>16713</v>
      </c>
      <c r="D5617" t="str">
        <f>HYPERLINK("https://github.com/Caldarie/flutter_tflite_audio/issues/9","show")</f>
        <v>show</v>
      </c>
      <c r="E5617" t="str">
        <f>HYPERLINK("https://github.com/Caldarie/flutter_tflite_audio","show")</f>
        <v>show</v>
      </c>
      <c r="F5617" t="str">
        <f>HYPERLINK("https://github.com/Caldarie/flutter_tflite_audio/releases","show")</f>
        <v>show</v>
      </c>
    </row>
    <row r="5618" spans="1:6">
      <c r="A5618" t="s">
        <v>16714</v>
      </c>
      <c r="B5618" t="s">
        <v>15671</v>
      </c>
      <c r="C5618" t="s">
        <v>16715</v>
      </c>
      <c r="D5618" t="str">
        <f>HYPERLINK("https://github.com/TeamNewPipe/NewPipe/issues/5812","show")</f>
        <v>show</v>
      </c>
      <c r="E5618" t="str">
        <f>HYPERLINK("https://github.com/TeamNewPipe/NewPipe","show")</f>
        <v>show</v>
      </c>
      <c r="F5618" t="str">
        <f>HYPERLINK("https://github.com/TeamNewPipe/NewPipe/releases","show")</f>
        <v>show</v>
      </c>
    </row>
    <row r="5619" spans="1:6">
      <c r="A5619" t="s">
        <v>16716</v>
      </c>
      <c r="B5619" t="s">
        <v>16717</v>
      </c>
      <c r="C5619" t="s">
        <v>16718</v>
      </c>
      <c r="D5619" t="str">
        <f>HYPERLINK("https://github.com/cgeo/cgeo/issues/10133","show")</f>
        <v>show</v>
      </c>
      <c r="E5619" t="str">
        <f>HYPERLINK("https://github.com/cgeo/cgeo","show")</f>
        <v>show</v>
      </c>
      <c r="F5619" t="str">
        <f>HYPERLINK("https://github.com/cgeo/cgeo/releases","show")</f>
        <v>show</v>
      </c>
    </row>
    <row r="5620" spans="1:6">
      <c r="A5620" t="s">
        <v>16719</v>
      </c>
      <c r="B5620" t="s">
        <v>16720</v>
      </c>
      <c r="C5620" t="s">
        <v>16721</v>
      </c>
      <c r="D5620" t="str">
        <f>HYPERLINK("https://github.com/TeamNewPipe/NewPipe/issues/5811","show")</f>
        <v>show</v>
      </c>
      <c r="E5620" t="str">
        <f>HYPERLINK("https://github.com/TeamNewPipe/NewPipe","show")</f>
        <v>show</v>
      </c>
      <c r="F5620" t="str">
        <f>HYPERLINK("https://github.com/TeamNewPipe/NewPipe/releases","show")</f>
        <v>show</v>
      </c>
    </row>
    <row r="5621" spans="1:6">
      <c r="A5621" t="s">
        <v>16722</v>
      </c>
      <c r="B5621" t="s">
        <v>10003</v>
      </c>
      <c r="C5621" t="s">
        <v>16723</v>
      </c>
      <c r="D5621" t="str">
        <f>HYPERLINK("https://github.com/nextcloud/android/issues/8164","show")</f>
        <v>show</v>
      </c>
      <c r="E5621" t="str">
        <f>HYPERLINK("https://github.com/nextcloud/android","show")</f>
        <v>show</v>
      </c>
      <c r="F5621" t="str">
        <f>HYPERLINK("https://github.com/nextcloud/android/releases","show")</f>
        <v>show</v>
      </c>
    </row>
    <row r="5622" spans="1:6">
      <c r="A5622" t="s">
        <v>16724</v>
      </c>
      <c r="B5622" t="s">
        <v>16725</v>
      </c>
      <c r="C5622" t="s">
        <v>16726</v>
      </c>
      <c r="D5622" t="str">
        <f>HYPERLINK("https://github.com/PojavLauncherTeam/PojavLauncher/issues/1041","show")</f>
        <v>show</v>
      </c>
      <c r="E5622" t="str">
        <f>HYPERLINK("https://github.com/PojavLauncherTeam/PojavLauncher","show")</f>
        <v>show</v>
      </c>
      <c r="F5622" t="str">
        <f>HYPERLINK("https://github.com/PojavLauncherTeam/PojavLauncher/releases","show")</f>
        <v>show</v>
      </c>
    </row>
    <row r="5623" spans="1:6">
      <c r="A5623" t="s">
        <v>16727</v>
      </c>
      <c r="B5623" t="s">
        <v>16728</v>
      </c>
      <c r="C5623" t="s">
        <v>16729</v>
      </c>
      <c r="D5623" t="str">
        <f>HYPERLINK("https://github.com/libgdx/libgdx/issues/6450","show")</f>
        <v>show</v>
      </c>
      <c r="E5623" t="str">
        <f>HYPERLINK("https://github.com/libgdx/libgdx","show")</f>
        <v>show</v>
      </c>
      <c r="F5623" t="str">
        <f>HYPERLINK("https://github.com/libgdx/libgdx/releases","show")</f>
        <v>show</v>
      </c>
    </row>
    <row r="5624" spans="1:6">
      <c r="A5624" t="s">
        <v>16730</v>
      </c>
      <c r="B5624" t="s">
        <v>16731</v>
      </c>
      <c r="C5624" t="s">
        <v>16732</v>
      </c>
      <c r="D5624" t="str">
        <f>HYPERLINK("https://github.com/iNPUTmice/lttrs-android/issues/77","show")</f>
        <v>show</v>
      </c>
      <c r="E5624" t="str">
        <f>HYPERLINK("https://github.com/iNPUTmice/lttrs-android","show")</f>
        <v>show</v>
      </c>
      <c r="F5624" t="str">
        <f>HYPERLINK("https://github.com/iNPUTmice/lttrs-android/releases","show")</f>
        <v>show</v>
      </c>
    </row>
    <row r="5625" spans="1:6">
      <c r="A5625" t="s">
        <v>16733</v>
      </c>
      <c r="B5625" t="s">
        <v>16734</v>
      </c>
      <c r="C5625" t="s">
        <v>16735</v>
      </c>
      <c r="D5625" t="str">
        <f>HYPERLINK("https://github.com/ultrasonic/ultrasonic/issues/390","show")</f>
        <v>show</v>
      </c>
      <c r="E5625" t="str">
        <f>HYPERLINK("https://github.com/ultrasonic/ultrasonic","show")</f>
        <v>show</v>
      </c>
      <c r="F5625" t="str">
        <f>HYPERLINK("https://github.com/ultrasonic/ultrasonic/releases","show")</f>
        <v>show</v>
      </c>
    </row>
    <row r="5626" spans="1:6">
      <c r="A5626" t="s">
        <v>16736</v>
      </c>
      <c r="B5626" t="s">
        <v>16737</v>
      </c>
      <c r="C5626" t="s">
        <v>16738</v>
      </c>
      <c r="D5626" t="str">
        <f>HYPERLINK("https://github.com/TeamNewPipe/NewPipe/issues/5808","show")</f>
        <v>show</v>
      </c>
      <c r="E5626" t="str">
        <f>HYPERLINK("https://github.com/TeamNewPipe/NewPipe","show")</f>
        <v>show</v>
      </c>
      <c r="F5626" t="str">
        <f>HYPERLINK("https://github.com/TeamNewPipe/NewPipe/releases","show")</f>
        <v>show</v>
      </c>
    </row>
    <row r="5627" spans="1:6">
      <c r="A5627" t="s">
        <v>16739</v>
      </c>
      <c r="B5627" t="s">
        <v>16740</v>
      </c>
      <c r="C5627" t="s">
        <v>16741</v>
      </c>
      <c r="D5627" t="str">
        <f>HYPERLINK("https://github.com/PhenoApps/Field-Book/issues/222","show")</f>
        <v>show</v>
      </c>
      <c r="E5627" t="str">
        <f>HYPERLINK("https://github.com/PhenoApps/Field-Book","show")</f>
        <v>show</v>
      </c>
      <c r="F5627" t="str">
        <f>HYPERLINK("https://github.com/PhenoApps/Field-Book/releases","show")</f>
        <v>show</v>
      </c>
    </row>
    <row r="5628" spans="1:6">
      <c r="A5628" t="s">
        <v>16742</v>
      </c>
      <c r="B5628" t="s">
        <v>16743</v>
      </c>
      <c r="C5628" t="s">
        <v>16744</v>
      </c>
      <c r="D5628" t="str">
        <f>HYPERLINK("https://github.com/googleads/googleads-mobile-flutter/issues/78","show")</f>
        <v>show</v>
      </c>
      <c r="E5628" t="str">
        <f>HYPERLINK("https://github.com/googleads/googleads-mobile-flutter","show")</f>
        <v>show</v>
      </c>
      <c r="F5628" t="str">
        <f>HYPERLINK("https://github.com/googleads/googleads-mobile-flutter/releases","show")</f>
        <v>show</v>
      </c>
    </row>
    <row r="5629" spans="1:6">
      <c r="A5629" t="s">
        <v>16745</v>
      </c>
      <c r="B5629" t="s">
        <v>16746</v>
      </c>
      <c r="C5629" t="s">
        <v>16747</v>
      </c>
      <c r="D5629" t="str">
        <f>HYPERLINK("https://github.com/Raheemshah2809/Relax-app/issues/1","show")</f>
        <v>show</v>
      </c>
      <c r="E5629" t="str">
        <f>HYPERLINK("https://github.com/Raheemshah2809/Relax-app","show")</f>
        <v>show</v>
      </c>
      <c r="F5629" t="str">
        <f>HYPERLINK("https://github.com/Raheemshah2809/Relax-app/releases","show")</f>
        <v>show</v>
      </c>
    </row>
    <row r="5630" spans="1:6">
      <c r="A5630" t="s">
        <v>16748</v>
      </c>
      <c r="B5630" t="s">
        <v>16749</v>
      </c>
      <c r="C5630" t="s">
        <v>16750</v>
      </c>
      <c r="D5630" t="str">
        <f>HYPERLINK("https://github.com/Anuken/Mindustry/issues/4919","show")</f>
        <v>show</v>
      </c>
      <c r="E5630" t="str">
        <f>HYPERLINK("https://github.com/Anuken/Mindustry","show")</f>
        <v>show</v>
      </c>
      <c r="F5630" t="str">
        <f>HYPERLINK("https://github.com/Anuken/Mindustry/releases","show")</f>
        <v>show</v>
      </c>
    </row>
    <row r="5631" spans="1:6">
      <c r="A5631" t="s">
        <v>16751</v>
      </c>
      <c r="B5631" t="s">
        <v>16752</v>
      </c>
      <c r="C5631" t="s">
        <v>16753</v>
      </c>
      <c r="D5631" t="str">
        <f>HYPERLINK("https://github.com/nextcloud/android/issues/8148","show")</f>
        <v>show</v>
      </c>
      <c r="E5631" t="str">
        <f>HYPERLINK("https://github.com/nextcloud/android","show")</f>
        <v>show</v>
      </c>
      <c r="F5631" t="str">
        <f>HYPERLINK("https://github.com/nextcloud/android/releases","show")</f>
        <v>show</v>
      </c>
    </row>
    <row r="5632" spans="1:6">
      <c r="A5632" t="s">
        <v>16754</v>
      </c>
      <c r="B5632" t="s">
        <v>16755</v>
      </c>
      <c r="C5632" t="s">
        <v>16756</v>
      </c>
      <c r="D5632" t="str">
        <f>HYPERLINK("https://github.com/TeamNewPipe/NewPipe-legacy/issues/67","show")</f>
        <v>show</v>
      </c>
      <c r="E5632" t="str">
        <f>HYPERLINK("https://github.com/TeamNewPipe/NewPipe-legacy","show")</f>
        <v>show</v>
      </c>
      <c r="F5632" t="str">
        <f>HYPERLINK("https://github.com/TeamNewPipe/NewPipe-legacy/releases","show")</f>
        <v>show</v>
      </c>
    </row>
    <row r="5633" spans="1:6">
      <c r="A5633" t="s">
        <v>16757</v>
      </c>
      <c r="B5633" t="s">
        <v>16758</v>
      </c>
      <c r="C5633" t="s">
        <v>16759</v>
      </c>
      <c r="D5633" t="str">
        <f>HYPERLINK("https://github.com/TeamNewPipe/NewPipe/issues/5805","show")</f>
        <v>show</v>
      </c>
      <c r="E5633" t="str">
        <f>HYPERLINK("https://github.com/TeamNewPipe/NewPipe","show")</f>
        <v>show</v>
      </c>
      <c r="F5633" t="str">
        <f>HYPERLINK("https://github.com/TeamNewPipe/NewPipe/releases","show")</f>
        <v>show</v>
      </c>
    </row>
    <row r="5634" spans="1:6">
      <c r="A5634" t="s">
        <v>16760</v>
      </c>
      <c r="B5634" t="s">
        <v>16761</v>
      </c>
      <c r="C5634" t="s">
        <v>16762</v>
      </c>
      <c r="D5634" t="str">
        <f>HYPERLINK("https://github.com/comcore/app/issues/2","show")</f>
        <v>show</v>
      </c>
      <c r="E5634" t="str">
        <f>HYPERLINK("https://github.com/comcore/app","show")</f>
        <v>show</v>
      </c>
      <c r="F5634" t="str">
        <f>HYPERLINK("https://github.com/comcore/app/releases","show")</f>
        <v>show</v>
      </c>
    </row>
    <row r="5635" spans="1:6">
      <c r="A5635" t="s">
        <v>16763</v>
      </c>
      <c r="B5635" t="s">
        <v>16764</v>
      </c>
      <c r="C5635" t="s">
        <v>16765</v>
      </c>
      <c r="D5635" t="str">
        <f>HYPERLINK("https://github.com/AOF-Dev/MCinaBox/issues/1020","show")</f>
        <v>show</v>
      </c>
      <c r="E5635" t="str">
        <f>HYPERLINK("https://github.com/AOF-Dev/MCinaBox","show")</f>
        <v>show</v>
      </c>
      <c r="F5635" t="str">
        <f>HYPERLINK("https://github.com/AOF-Dev/MCinaBox/releases","show")</f>
        <v>show</v>
      </c>
    </row>
    <row r="5636" spans="1:6">
      <c r="A5636" t="s">
        <v>16766</v>
      </c>
      <c r="B5636" t="s">
        <v>16767</v>
      </c>
      <c r="C5636" t="s">
        <v>16768</v>
      </c>
      <c r="D5636" t="str">
        <f>HYPERLINK("https://github.com/PojavLauncherTeam/PojavLauncher/issues/1034","show")</f>
        <v>show</v>
      </c>
      <c r="E5636" t="str">
        <f>HYPERLINK("https://github.com/PojavLauncherTeam/PojavLauncher","show")</f>
        <v>show</v>
      </c>
      <c r="F5636" t="str">
        <f>HYPERLINK("https://github.com/PojavLauncherTeam/PojavLauncher/releases","show")</f>
        <v>show</v>
      </c>
    </row>
    <row r="5637" spans="1:6">
      <c r="A5637" t="s">
        <v>16769</v>
      </c>
      <c r="B5637" t="s">
        <v>16770</v>
      </c>
      <c r="C5637" t="s">
        <v>16771</v>
      </c>
      <c r="D5637" t="str">
        <f>HYPERLINK("https://github.com/OTTAA-Project/OTTAAProject/issues/5","show")</f>
        <v>show</v>
      </c>
      <c r="E5637" t="str">
        <f>HYPERLINK("https://github.com/OTTAA-Project/OTTAAProject","show")</f>
        <v>show</v>
      </c>
      <c r="F5637" t="str">
        <f>HYPERLINK("https://github.com/OTTAA-Project/OTTAAProject/releases","show")</f>
        <v>show</v>
      </c>
    </row>
    <row r="5638" spans="1:6">
      <c r="A5638" t="s">
        <v>16772</v>
      </c>
      <c r="B5638" t="s">
        <v>16773</v>
      </c>
      <c r="C5638" t="s">
        <v>16774</v>
      </c>
      <c r="D5638" t="str">
        <f>HYPERLINK("https://github.com/TeamNewPipe/NewPipe/issues/5804","show")</f>
        <v>show</v>
      </c>
      <c r="E5638" t="str">
        <f>HYPERLINK("https://github.com/TeamNewPipe/NewPipe","show")</f>
        <v>show</v>
      </c>
      <c r="F5638" t="str">
        <f>HYPERLINK("https://github.com/TeamNewPipe/NewPipe/releases","show")</f>
        <v>show</v>
      </c>
    </row>
    <row r="5639" spans="1:6">
      <c r="A5639" t="s">
        <v>16775</v>
      </c>
      <c r="B5639" t="s">
        <v>16776</v>
      </c>
      <c r="C5639" t="s">
        <v>16777</v>
      </c>
      <c r="D5639" t="str">
        <f>HYPERLINK("https://github.com/TeamNewPipe/NewPipe/issues/5803","show")</f>
        <v>show</v>
      </c>
      <c r="E5639" t="str">
        <f>HYPERLINK("https://github.com/TeamNewPipe/NewPipe","show")</f>
        <v>show</v>
      </c>
      <c r="F5639" t="str">
        <f>HYPERLINK("https://github.com/TeamNewPipe/NewPipe/releases","show")</f>
        <v>show</v>
      </c>
    </row>
    <row r="5640" spans="1:6">
      <c r="A5640" t="s">
        <v>16778</v>
      </c>
      <c r="B5640" t="s">
        <v>16779</v>
      </c>
      <c r="C5640" t="s">
        <v>16780</v>
      </c>
      <c r="D5640" t="str">
        <f>HYPERLINK("https://github.com/Neamar/KISS/issues/1711","show")</f>
        <v>show</v>
      </c>
      <c r="E5640" t="str">
        <f>HYPERLINK("https://github.com/Neamar/KISS","show")</f>
        <v>show</v>
      </c>
      <c r="F5640" t="str">
        <f>HYPERLINK("https://github.com/Neamar/KISS/releases","show")</f>
        <v>show</v>
      </c>
    </row>
    <row r="5641" spans="1:6">
      <c r="A5641" t="s">
        <v>16781</v>
      </c>
      <c r="B5641" t="s">
        <v>16782</v>
      </c>
      <c r="C5641" t="s">
        <v>16783</v>
      </c>
      <c r="D5641" t="str">
        <f>HYPERLINK("https://github.com/inaturalist/iNaturalistAndroid/issues/996","show")</f>
        <v>show</v>
      </c>
      <c r="E5641" t="str">
        <f>HYPERLINK("https://github.com/inaturalist/iNaturalistAndroid","show")</f>
        <v>show</v>
      </c>
      <c r="F5641" t="str">
        <f>HYPERLINK("https://github.com/inaturalist/iNaturalistAndroid/releases","show")</f>
        <v>show</v>
      </c>
    </row>
    <row r="5642" spans="1:6">
      <c r="A5642" t="s">
        <v>16784</v>
      </c>
      <c r="B5642" t="s">
        <v>16785</v>
      </c>
      <c r="C5642" t="s">
        <v>16786</v>
      </c>
      <c r="D5642" t="str">
        <f>HYPERLINK("https://github.com/inaturalist/iNaturalistAndroid/issues/995","show")</f>
        <v>show</v>
      </c>
      <c r="E5642" t="str">
        <f>HYPERLINK("https://github.com/inaturalist/iNaturalistAndroid","show")</f>
        <v>show</v>
      </c>
      <c r="F5642" t="str">
        <f>HYPERLINK("https://github.com/inaturalist/iNaturalistAndroid/releases","show")</f>
        <v>show</v>
      </c>
    </row>
    <row r="5643" spans="1:6">
      <c r="A5643" t="s">
        <v>16787</v>
      </c>
      <c r="B5643" t="s">
        <v>16788</v>
      </c>
      <c r="C5643" t="s">
        <v>16789</v>
      </c>
      <c r="D5643" t="str">
        <f>HYPERLINK("https://github.com/doublesymmetry/react-native-track-player/issues/1130","show")</f>
        <v>show</v>
      </c>
      <c r="E5643" t="str">
        <f>HYPERLINK("https://github.com/doublesymmetry/react-native-track-player","show")</f>
        <v>show</v>
      </c>
      <c r="F5643" t="str">
        <f>HYPERLINK("https://github.com/doublesymmetry/react-native-track-player/releases","show")</f>
        <v>show</v>
      </c>
    </row>
    <row r="5644" spans="1:6">
      <c r="A5644" t="s">
        <v>16790</v>
      </c>
      <c r="B5644" t="s">
        <v>16791</v>
      </c>
      <c r="C5644" t="s">
        <v>16792</v>
      </c>
      <c r="D5644" t="str">
        <f>HYPERLINK("https://github.com/TeamNewPipe/NewPipe/issues/5801","show")</f>
        <v>show</v>
      </c>
      <c r="E5644" t="str">
        <f>HYPERLINK("https://github.com/TeamNewPipe/NewPipe","show")</f>
        <v>show</v>
      </c>
      <c r="F5644" t="str">
        <f>HYPERLINK("https://github.com/TeamNewPipe/NewPipe/releases","show")</f>
        <v>show</v>
      </c>
    </row>
    <row r="5645" spans="1:6">
      <c r="A5645" t="s">
        <v>16793</v>
      </c>
      <c r="B5645" t="s">
        <v>16794</v>
      </c>
      <c r="C5645" t="s">
        <v>16795</v>
      </c>
      <c r="D5645" t="str">
        <f>HYPERLINK("https://github.com/cgeo/cgeo/issues/10128","show")</f>
        <v>show</v>
      </c>
      <c r="E5645" t="str">
        <f>HYPERLINK("https://github.com/cgeo/cgeo","show")</f>
        <v>show</v>
      </c>
      <c r="F5645" t="str">
        <f>HYPERLINK("https://github.com/cgeo/cgeo/releases","show")</f>
        <v>show</v>
      </c>
    </row>
    <row r="5646" spans="1:6">
      <c r="A5646" t="s">
        <v>16796</v>
      </c>
      <c r="B5646" t="s">
        <v>16797</v>
      </c>
      <c r="C5646" t="s">
        <v>16798</v>
      </c>
      <c r="D5646" t="str">
        <f>HYPERLINK("https://github.com/TeamNewPipe/NewPipe/issues/5800","show")</f>
        <v>show</v>
      </c>
      <c r="E5646" t="str">
        <f>HYPERLINK("https://github.com/TeamNewPipe/NewPipe","show")</f>
        <v>show</v>
      </c>
      <c r="F5646" t="str">
        <f>HYPERLINK("https://github.com/TeamNewPipe/NewPipe/releases","show")</f>
        <v>show</v>
      </c>
    </row>
    <row r="5647" spans="1:6">
      <c r="A5647" t="s">
        <v>16799</v>
      </c>
      <c r="B5647" t="s">
        <v>16800</v>
      </c>
      <c r="C5647" t="s">
        <v>16801</v>
      </c>
      <c r="D5647" t="str">
        <f>HYPERLINK("https://github.com/nextcloud/android/issues/8138","show")</f>
        <v>show</v>
      </c>
      <c r="E5647" t="str">
        <f>HYPERLINK("https://github.com/nextcloud/android","show")</f>
        <v>show</v>
      </c>
      <c r="F5647" t="str">
        <f>HYPERLINK("https://github.com/nextcloud/android/releases","show")</f>
        <v>show</v>
      </c>
    </row>
    <row r="5648" spans="1:6">
      <c r="A5648" t="s">
        <v>16802</v>
      </c>
      <c r="B5648" t="s">
        <v>16803</v>
      </c>
      <c r="C5648" t="s">
        <v>16804</v>
      </c>
      <c r="D5648" t="str">
        <f>HYPERLINK("https://github.com/google/ExoPlayer/issues/8693","show")</f>
        <v>show</v>
      </c>
      <c r="E5648" t="str">
        <f>HYPERLINK("https://github.com/google/ExoPlayer","show")</f>
        <v>show</v>
      </c>
      <c r="F5648" t="str">
        <f>HYPERLINK("https://github.com/google/ExoPlayer/releases","show")</f>
        <v>show</v>
      </c>
    </row>
    <row r="5649" spans="1:6">
      <c r="A5649" t="s">
        <v>16805</v>
      </c>
      <c r="B5649" t="s">
        <v>16806</v>
      </c>
      <c r="C5649" t="s">
        <v>16807</v>
      </c>
      <c r="D5649" t="str">
        <f>HYPERLINK("https://github.com/codekidX/storage-chooser/issues/133","show")</f>
        <v>show</v>
      </c>
      <c r="E5649" t="str">
        <f>HYPERLINK("https://github.com/codekidX/storage-chooser","show")</f>
        <v>show</v>
      </c>
      <c r="F5649" t="str">
        <f>HYPERLINK("https://github.com/codekidX/storage-chooser/releases","show")</f>
        <v>show</v>
      </c>
    </row>
    <row r="5650" spans="1:6">
      <c r="A5650" t="s">
        <v>16808</v>
      </c>
      <c r="B5650" t="s">
        <v>16809</v>
      </c>
      <c r="C5650" t="s">
        <v>16810</v>
      </c>
      <c r="D5650" t="str">
        <f>HYPERLINK("https://github.com/kkevn/LEDsign/issues/20","show")</f>
        <v>show</v>
      </c>
      <c r="E5650" t="str">
        <f>HYPERLINK("https://github.com/kkevn/LEDsign","show")</f>
        <v>show</v>
      </c>
      <c r="F5650" t="str">
        <f>HYPERLINK("https://github.com/kkevn/LEDsign/releases","show")</f>
        <v>show</v>
      </c>
    </row>
    <row r="5651" spans="1:6">
      <c r="A5651" t="s">
        <v>16811</v>
      </c>
      <c r="B5651" t="s">
        <v>16812</v>
      </c>
      <c r="C5651" t="s">
        <v>16813</v>
      </c>
      <c r="D5651" t="str">
        <f>HYPERLINK("https://github.com/TeamNewPipe/NewPipe/issues/5797","show")</f>
        <v>show</v>
      </c>
      <c r="E5651" t="str">
        <f>HYPERLINK("https://github.com/TeamNewPipe/NewPipe","show")</f>
        <v>show</v>
      </c>
      <c r="F5651" t="str">
        <f>HYPERLINK("https://github.com/TeamNewPipe/NewPipe/releases","show")</f>
        <v>show</v>
      </c>
    </row>
    <row r="5652" spans="1:6">
      <c r="A5652" t="s">
        <v>16814</v>
      </c>
      <c r="B5652" t="s">
        <v>16815</v>
      </c>
      <c r="C5652" t="s">
        <v>16816</v>
      </c>
      <c r="D5652" t="str">
        <f>HYPERLINK("https://github.com/Anuken/Mindustry/issues/4904","show")</f>
        <v>show</v>
      </c>
      <c r="E5652" t="str">
        <f>HYPERLINK("https://github.com/Anuken/Mindustry","show")</f>
        <v>show</v>
      </c>
      <c r="F5652" t="str">
        <f>HYPERLINK("https://github.com/Anuken/Mindustry/releases","show")</f>
        <v>show</v>
      </c>
    </row>
    <row r="5653" spans="1:6">
      <c r="A5653" t="s">
        <v>16817</v>
      </c>
      <c r="B5653" t="s">
        <v>16818</v>
      </c>
      <c r="C5653" t="s">
        <v>16819</v>
      </c>
      <c r="D5653" t="str">
        <f>HYPERLINK("https://github.com/PojavLauncherTeam/PojavLauncher/issues/1024","show")</f>
        <v>show</v>
      </c>
      <c r="E5653" t="str">
        <f>HYPERLINK("https://github.com/PojavLauncherTeam/PojavLauncher","show")</f>
        <v>show</v>
      </c>
      <c r="F5653" t="str">
        <f>HYPERLINK("https://github.com/PojavLauncherTeam/PojavLauncher/releases","show")</f>
        <v>show</v>
      </c>
    </row>
    <row r="5654" spans="1:6">
      <c r="A5654" t="s">
        <v>16820</v>
      </c>
      <c r="B5654" t="s">
        <v>16821</v>
      </c>
      <c r="C5654" t="s">
        <v>16822</v>
      </c>
      <c r="D5654" t="str">
        <f>HYPERLINK("https://github.com/PojavLauncherTeam/PojavLauncher/issues/1020","show")</f>
        <v>show</v>
      </c>
      <c r="E5654" t="str">
        <f>HYPERLINK("https://github.com/PojavLauncherTeam/PojavLauncher","show")</f>
        <v>show</v>
      </c>
      <c r="F5654" t="str">
        <f>HYPERLINK("https://github.com/PojavLauncherTeam/PojavLauncher/releases","show")</f>
        <v>show</v>
      </c>
    </row>
    <row r="5655" spans="1:6">
      <c r="A5655" t="s">
        <v>16823</v>
      </c>
      <c r="B5655" t="s">
        <v>16824</v>
      </c>
      <c r="C5655" t="s">
        <v>16825</v>
      </c>
      <c r="D5655" t="str">
        <f>HYPERLINK("https://github.com/yasirkula/UnityNativeCamera/issues/56","show")</f>
        <v>show</v>
      </c>
      <c r="E5655" t="str">
        <f>HYPERLINK("https://github.com/yasirkula/UnityNativeCamera","show")</f>
        <v>show</v>
      </c>
      <c r="F5655" t="str">
        <f>HYPERLINK("https://github.com/yasirkula/UnityNativeCamera/releases","show")</f>
        <v>show</v>
      </c>
    </row>
    <row r="5656" spans="1:6">
      <c r="A5656" t="s">
        <v>16826</v>
      </c>
      <c r="B5656" t="s">
        <v>16827</v>
      </c>
      <c r="C5656" t="s">
        <v>16828</v>
      </c>
      <c r="D5656" t="str">
        <f>HYPERLINK("https://github.com/Anuken/Mindustry/issues/4893","show")</f>
        <v>show</v>
      </c>
      <c r="E5656" t="str">
        <f>HYPERLINK("https://github.com/Anuken/Mindustry","show")</f>
        <v>show</v>
      </c>
      <c r="F5656" t="str">
        <f>HYPERLINK("https://github.com/Anuken/Mindustry/releases","show")</f>
        <v>show</v>
      </c>
    </row>
    <row r="5657" spans="1:6">
      <c r="A5657" t="s">
        <v>16829</v>
      </c>
      <c r="B5657" t="s">
        <v>16830</v>
      </c>
      <c r="C5657" t="s">
        <v>16831</v>
      </c>
      <c r="D5657" t="str">
        <f>HYPERLINK("https://github.com/labexp/osmtracker-android/issues/307","show")</f>
        <v>show</v>
      </c>
      <c r="E5657" t="str">
        <f>HYPERLINK("https://github.com/labexp/osmtracker-android","show")</f>
        <v>show</v>
      </c>
      <c r="F5657" t="str">
        <f>HYPERLINK("https://github.com/labexp/osmtracker-android/releases","show")</f>
        <v>show</v>
      </c>
    </row>
    <row r="5658" spans="1:6">
      <c r="A5658" t="s">
        <v>16832</v>
      </c>
      <c r="B5658" t="s">
        <v>16833</v>
      </c>
      <c r="C5658" t="s">
        <v>16834</v>
      </c>
      <c r="D5658" t="str">
        <f>HYPERLINK("https://github.com/nextcloud/android/issues/8128","show")</f>
        <v>show</v>
      </c>
      <c r="E5658" t="str">
        <f>HYPERLINK("https://github.com/nextcloud/android","show")</f>
        <v>show</v>
      </c>
      <c r="F5658" t="str">
        <f>HYPERLINK("https://github.com/nextcloud/android/releases","show")</f>
        <v>show</v>
      </c>
    </row>
    <row r="5659" spans="1:6">
      <c r="A5659" t="s">
        <v>16835</v>
      </c>
      <c r="B5659" t="s">
        <v>16836</v>
      </c>
      <c r="C5659" t="s">
        <v>16837</v>
      </c>
      <c r="D5659" t="str">
        <f>HYPERLINK("https://github.com/nextcloud/android/issues/8127","show")</f>
        <v>show</v>
      </c>
      <c r="E5659" t="str">
        <f>HYPERLINK("https://github.com/nextcloud/android","show")</f>
        <v>show</v>
      </c>
      <c r="F5659" t="str">
        <f>HYPERLINK("https://github.com/nextcloud/android/releases","show")</f>
        <v>show</v>
      </c>
    </row>
    <row r="5660" spans="1:6">
      <c r="A5660" t="s">
        <v>16838</v>
      </c>
      <c r="B5660" t="s">
        <v>16839</v>
      </c>
      <c r="C5660" t="s">
        <v>16840</v>
      </c>
      <c r="D5660" t="str">
        <f>HYPERLINK("https://github.com/Anuken/Mindustry/issues/4890","show")</f>
        <v>show</v>
      </c>
      <c r="E5660" t="str">
        <f>HYPERLINK("https://github.com/Anuken/Mindustry","show")</f>
        <v>show</v>
      </c>
      <c r="F5660" t="str">
        <f>HYPERLINK("https://github.com/Anuken/Mindustry/releases","show")</f>
        <v>show</v>
      </c>
    </row>
    <row r="5661" spans="1:6">
      <c r="A5661" t="s">
        <v>16841</v>
      </c>
      <c r="B5661" t="s">
        <v>16842</v>
      </c>
      <c r="C5661" t="s">
        <v>16843</v>
      </c>
      <c r="D5661" t="str">
        <f>HYPERLINK("https://github.com/Ninjaman494/Hanji-Android-App/issues/55","show")</f>
        <v>show</v>
      </c>
      <c r="E5661" t="str">
        <f>HYPERLINK("https://github.com/Ninjaman494/Hanji-Android-App","show")</f>
        <v>show</v>
      </c>
      <c r="F5661" t="str">
        <f>HYPERLINK("https://github.com/Ninjaman494/Hanji-Android-App/releases","show")</f>
        <v>show</v>
      </c>
    </row>
    <row r="5662" spans="1:6">
      <c r="A5662" t="s">
        <v>16844</v>
      </c>
      <c r="B5662" t="s">
        <v>16845</v>
      </c>
      <c r="C5662" t="s">
        <v>16846</v>
      </c>
      <c r="D5662" t="str">
        <f>HYPERLINK("https://github.com/nextcloud/android/issues/8126","show")</f>
        <v>show</v>
      </c>
      <c r="E5662" t="str">
        <f>HYPERLINK("https://github.com/nextcloud/android","show")</f>
        <v>show</v>
      </c>
      <c r="F5662" t="str">
        <f>HYPERLINK("https://github.com/nextcloud/android/releases","show")</f>
        <v>show</v>
      </c>
    </row>
    <row r="5663" spans="1:6">
      <c r="A5663" t="s">
        <v>16847</v>
      </c>
      <c r="B5663" t="s">
        <v>16848</v>
      </c>
      <c r="C5663" t="s">
        <v>16849</v>
      </c>
      <c r="D5663" t="str">
        <f>HYPERLINK("https://github.com/AOF-Dev/MCinaBox/issues/1012","show")</f>
        <v>show</v>
      </c>
      <c r="E5663" t="str">
        <f>HYPERLINK("https://github.com/AOF-Dev/MCinaBox","show")</f>
        <v>show</v>
      </c>
      <c r="F5663" t="str">
        <f>HYPERLINK("https://github.com/AOF-Dev/MCinaBox/releases","show")</f>
        <v>show</v>
      </c>
    </row>
    <row r="5664" spans="1:6">
      <c r="A5664" t="s">
        <v>16850</v>
      </c>
      <c r="B5664" t="s">
        <v>16851</v>
      </c>
      <c r="C5664" t="s">
        <v>16852</v>
      </c>
      <c r="D5664" t="str">
        <f>HYPERLINK("https://github.com/MuntashirAkon/AppManager/issues/313","show")</f>
        <v>show</v>
      </c>
      <c r="E5664" t="str">
        <f>HYPERLINK("https://github.com/MuntashirAkon/AppManager","show")</f>
        <v>show</v>
      </c>
      <c r="F5664" t="str">
        <f>HYPERLINK("https://github.com/MuntashirAkon/AppManager/releases","show")</f>
        <v>show</v>
      </c>
    </row>
    <row r="5665" spans="1:6">
      <c r="A5665" t="s">
        <v>16853</v>
      </c>
      <c r="B5665" t="s">
        <v>16854</v>
      </c>
      <c r="C5665" t="s">
        <v>16855</v>
      </c>
      <c r="D5665" t="str">
        <f>HYPERLINK("https://github.com/TeamNewPipe/NewPipe/issues/5788","show")</f>
        <v>show</v>
      </c>
      <c r="E5665" t="str">
        <f>HYPERLINK("https://github.com/TeamNewPipe/NewPipe","show")</f>
        <v>show</v>
      </c>
      <c r="F5665" t="str">
        <f>HYPERLINK("https://github.com/TeamNewPipe/NewPipe/releases","show")</f>
        <v>show</v>
      </c>
    </row>
    <row r="5666" spans="1:6">
      <c r="A5666" t="s">
        <v>16856</v>
      </c>
      <c r="B5666" t="s">
        <v>16857</v>
      </c>
      <c r="C5666" t="s">
        <v>16858</v>
      </c>
      <c r="D5666" t="str">
        <f>HYPERLINK("https://github.com/TeamNewPipe/NewPipe-legacy/issues/66","show")</f>
        <v>show</v>
      </c>
      <c r="E5666" t="str">
        <f>HYPERLINK("https://github.com/TeamNewPipe/NewPipe-legacy","show")</f>
        <v>show</v>
      </c>
      <c r="F5666" t="str">
        <f>HYPERLINK("https://github.com/TeamNewPipe/NewPipe-legacy/releases","show")</f>
        <v>show</v>
      </c>
    </row>
    <row r="5667" spans="1:6">
      <c r="A5667" t="s">
        <v>16859</v>
      </c>
      <c r="B5667" t="s">
        <v>16860</v>
      </c>
      <c r="C5667" t="s">
        <v>16861</v>
      </c>
      <c r="D5667" t="str">
        <f>HYPERLINK("https://github.com/Anuken/Mindustry/issues/4882","show")</f>
        <v>show</v>
      </c>
      <c r="E5667" t="str">
        <f>HYPERLINK("https://github.com/Anuken/Mindustry","show")</f>
        <v>show</v>
      </c>
      <c r="F5667" t="str">
        <f>HYPERLINK("https://github.com/Anuken/Mindustry/releases","show")</f>
        <v>show</v>
      </c>
    </row>
    <row r="5668" spans="1:6">
      <c r="A5668" t="s">
        <v>16862</v>
      </c>
      <c r="B5668" t="s">
        <v>16863</v>
      </c>
      <c r="C5668" t="s">
        <v>16864</v>
      </c>
      <c r="D5668" t="str">
        <f>HYPERLINK("https://github.com/Anuken/Mindustry/issues/4881","show")</f>
        <v>show</v>
      </c>
      <c r="E5668" t="str">
        <f>HYPERLINK("https://github.com/Anuken/Mindustry","show")</f>
        <v>show</v>
      </c>
      <c r="F5668" t="str">
        <f>HYPERLINK("https://github.com/Anuken/Mindustry/releases","show")</f>
        <v>show</v>
      </c>
    </row>
    <row r="5669" spans="1:6">
      <c r="A5669" t="s">
        <v>16865</v>
      </c>
      <c r="B5669" t="s">
        <v>16866</v>
      </c>
      <c r="C5669" t="s">
        <v>16867</v>
      </c>
      <c r="D5669" t="str">
        <f>HYPERLINK("https://github.com/Anuken/Mindustry/issues/4879","show")</f>
        <v>show</v>
      </c>
      <c r="E5669" t="str">
        <f>HYPERLINK("https://github.com/Anuken/Mindustry","show")</f>
        <v>show</v>
      </c>
      <c r="F5669" t="str">
        <f>HYPERLINK("https://github.com/Anuken/Mindustry/releases","show")</f>
        <v>show</v>
      </c>
    </row>
    <row r="5670" spans="1:6">
      <c r="A5670" t="s">
        <v>16868</v>
      </c>
      <c r="B5670" t="s">
        <v>16869</v>
      </c>
      <c r="C5670" t="s">
        <v>16870</v>
      </c>
      <c r="D5670" t="str">
        <f>HYPERLINK("https://github.com/OpenTracksApp/OpenTracks/issues/636","show")</f>
        <v>show</v>
      </c>
      <c r="E5670" t="str">
        <f>HYPERLINK("https://github.com/OpenTracksApp/OpenTracks","show")</f>
        <v>show</v>
      </c>
      <c r="F5670" t="str">
        <f>HYPERLINK("https://github.com/OpenTracksApp/OpenTracks/releases","show")</f>
        <v>show</v>
      </c>
    </row>
    <row r="5671" spans="1:6">
      <c r="A5671" t="s">
        <v>16871</v>
      </c>
      <c r="B5671" t="s">
        <v>16872</v>
      </c>
      <c r="C5671" t="s">
        <v>16873</v>
      </c>
      <c r="D5671" t="str">
        <f>HYPERLINK("https://github.com/nextcloud/android/issues/8119","show")</f>
        <v>show</v>
      </c>
      <c r="E5671" t="str">
        <f>HYPERLINK("https://github.com/nextcloud/android","show")</f>
        <v>show</v>
      </c>
      <c r="F5671" t="str">
        <f>HYPERLINK("https://github.com/nextcloud/android/releases","show")</f>
        <v>show</v>
      </c>
    </row>
    <row r="5672" spans="1:6">
      <c r="A5672" t="s">
        <v>16874</v>
      </c>
      <c r="B5672" t="s">
        <v>16875</v>
      </c>
      <c r="C5672" t="s">
        <v>16876</v>
      </c>
      <c r="D5672" t="str">
        <f>HYPERLINK("https://github.com/TeamNewPipe/NewPipe/issues/5773","show")</f>
        <v>show</v>
      </c>
      <c r="E5672" t="str">
        <f>HYPERLINK("https://github.com/TeamNewPipe/NewPipe","show")</f>
        <v>show</v>
      </c>
      <c r="F5672" t="str">
        <f>HYPERLINK("https://github.com/TeamNewPipe/NewPipe/releases","show")</f>
        <v>show</v>
      </c>
    </row>
    <row r="5673" spans="1:6">
      <c r="A5673" t="s">
        <v>16877</v>
      </c>
      <c r="B5673" t="s">
        <v>16878</v>
      </c>
      <c r="C5673" t="s">
        <v>16879</v>
      </c>
      <c r="D5673" t="str">
        <f>HYPERLINK("https://github.com/PojavLauncherTeam/PojavLauncher/issues/1009","show")</f>
        <v>show</v>
      </c>
      <c r="E5673" t="str">
        <f>HYPERLINK("https://github.com/PojavLauncherTeam/PojavLauncher","show")</f>
        <v>show</v>
      </c>
      <c r="F5673" t="str">
        <f>HYPERLINK("https://github.com/PojavLauncherTeam/PojavLauncher/releases","show")</f>
        <v>show</v>
      </c>
    </row>
    <row r="5674" spans="1:6">
      <c r="A5674" t="s">
        <v>16880</v>
      </c>
      <c r="B5674" t="s">
        <v>16881</v>
      </c>
      <c r="C5674" t="s">
        <v>16882</v>
      </c>
      <c r="D5674" t="str">
        <f>HYPERLINK("https://github.com/TeamNewPipe/NewPipe/issues/5765","show")</f>
        <v>show</v>
      </c>
      <c r="E5674" t="str">
        <f>HYPERLINK("https://github.com/TeamNewPipe/NewPipe","show")</f>
        <v>show</v>
      </c>
      <c r="F5674" t="str">
        <f>HYPERLINK("https://github.com/TeamNewPipe/NewPipe/releases","show")</f>
        <v>show</v>
      </c>
    </row>
    <row r="5675" spans="1:6">
      <c r="A5675" t="s">
        <v>16883</v>
      </c>
      <c r="B5675" t="s">
        <v>16884</v>
      </c>
      <c r="C5675" t="s">
        <v>15665</v>
      </c>
      <c r="D5675" t="str">
        <f>HYPERLINK("https://github.com/TeamNewPipe/NewPipe/issues/5763","show")</f>
        <v>show</v>
      </c>
      <c r="E5675" t="str">
        <f>HYPERLINK("https://github.com/TeamNewPipe/NewPipe","show")</f>
        <v>show</v>
      </c>
      <c r="F5675" t="str">
        <f>HYPERLINK("https://github.com/TeamNewPipe/NewPipe/releases","show")</f>
        <v>show</v>
      </c>
    </row>
    <row r="5676" spans="1:6">
      <c r="A5676" t="s">
        <v>16885</v>
      </c>
      <c r="B5676" t="s">
        <v>16886</v>
      </c>
      <c r="C5676" t="s">
        <v>16887</v>
      </c>
      <c r="D5676" t="str">
        <f>HYPERLINK("https://github.com/SanojPunchihewa/InAppUpdater/issues/84","show")</f>
        <v>show</v>
      </c>
      <c r="E5676" t="str">
        <f>HYPERLINK("https://github.com/SanojPunchihewa/InAppUpdater","show")</f>
        <v>show</v>
      </c>
      <c r="F5676" t="str">
        <f>HYPERLINK("https://github.com/SanojPunchihewa/InAppUpdater/releases","show")</f>
        <v>show</v>
      </c>
    </row>
    <row r="5677" spans="1:6">
      <c r="A5677" t="s">
        <v>16888</v>
      </c>
      <c r="B5677" t="s">
        <v>16889</v>
      </c>
      <c r="C5677" t="s">
        <v>16890</v>
      </c>
      <c r="D5677" t="str">
        <f>HYPERLINK("https://github.com/TeamNewPipe/NewPipe/issues/5762","show")</f>
        <v>show</v>
      </c>
      <c r="E5677" t="str">
        <f>HYPERLINK("https://github.com/TeamNewPipe/NewPipe","show")</f>
        <v>show</v>
      </c>
      <c r="F5677" t="str">
        <f>HYPERLINK("https://github.com/TeamNewPipe/NewPipe/releases","show")</f>
        <v>show</v>
      </c>
    </row>
    <row r="5678" spans="1:6">
      <c r="A5678" t="s">
        <v>16891</v>
      </c>
      <c r="B5678" t="s">
        <v>16892</v>
      </c>
      <c r="C5678" t="s">
        <v>16893</v>
      </c>
      <c r="D5678" t="str">
        <f>HYPERLINK("https://github.com/TeamNewPipe/NewPipe/issues/5761","show")</f>
        <v>show</v>
      </c>
      <c r="E5678" t="str">
        <f>HYPERLINK("https://github.com/TeamNewPipe/NewPipe","show")</f>
        <v>show</v>
      </c>
      <c r="F5678" t="str">
        <f>HYPERLINK("https://github.com/TeamNewPipe/NewPipe/releases","show")</f>
        <v>show</v>
      </c>
    </row>
    <row r="5679" spans="1:6">
      <c r="A5679" t="s">
        <v>16894</v>
      </c>
      <c r="B5679" t="s">
        <v>16895</v>
      </c>
      <c r="C5679" t="s">
        <v>16896</v>
      </c>
      <c r="D5679" t="str">
        <f>HYPERLINK("https://github.com/GoogleCloudPlatform/fda-mystudies/issues/3301","show")</f>
        <v>show</v>
      </c>
      <c r="E5679" t="str">
        <f>HYPERLINK("https://github.com/GoogleCloudPlatform/fda-mystudies","show")</f>
        <v>show</v>
      </c>
      <c r="F5679" t="str">
        <f>HYPERLINK("https://github.com/GoogleCloudPlatform/fda-mystudies/releases","show")</f>
        <v>show</v>
      </c>
    </row>
    <row r="5680" spans="1:6">
      <c r="A5680" t="s">
        <v>16897</v>
      </c>
      <c r="B5680" t="s">
        <v>16898</v>
      </c>
      <c r="C5680" t="s">
        <v>16899</v>
      </c>
      <c r="D5680" t="str">
        <f>HYPERLINK("https://github.com/TeamNewPipe/NewPipe/issues/5758","show")</f>
        <v>show</v>
      </c>
      <c r="E5680" t="str">
        <f>HYPERLINK("https://github.com/TeamNewPipe/NewPipe","show")</f>
        <v>show</v>
      </c>
      <c r="F5680" t="str">
        <f>HYPERLINK("https://github.com/TeamNewPipe/NewPipe/releases","show")</f>
        <v>show</v>
      </c>
    </row>
    <row r="5681" spans="1:6">
      <c r="A5681" t="s">
        <v>16900</v>
      </c>
      <c r="B5681" t="s">
        <v>16901</v>
      </c>
      <c r="C5681" t="s">
        <v>16902</v>
      </c>
      <c r="D5681" t="str">
        <f>HYPERLINK("https://github.com/TeamNewPipe/NewPipe/issues/5754","show")</f>
        <v>show</v>
      </c>
      <c r="E5681" t="str">
        <f>HYPERLINK("https://github.com/TeamNewPipe/NewPipe","show")</f>
        <v>show</v>
      </c>
      <c r="F5681" t="str">
        <f>HYPERLINK("https://github.com/TeamNewPipe/NewPipe/releases","show")</f>
        <v>show</v>
      </c>
    </row>
    <row r="5682" spans="1:6">
      <c r="A5682" t="s">
        <v>16903</v>
      </c>
      <c r="B5682" t="s">
        <v>16904</v>
      </c>
      <c r="C5682" t="s">
        <v>16905</v>
      </c>
      <c r="D5682" t="str">
        <f>HYPERLINK("https://github.com/TeamNewPipe/NewPipe/issues/5752","show")</f>
        <v>show</v>
      </c>
      <c r="E5682" t="str">
        <f>HYPERLINK("https://github.com/TeamNewPipe/NewPipe","show")</f>
        <v>show</v>
      </c>
      <c r="F5682" t="str">
        <f>HYPERLINK("https://github.com/TeamNewPipe/NewPipe/releases","show")</f>
        <v>show</v>
      </c>
    </row>
    <row r="5683" spans="1:6">
      <c r="A5683" t="s">
        <v>16906</v>
      </c>
      <c r="B5683" t="s">
        <v>16907</v>
      </c>
      <c r="C5683" t="s">
        <v>16908</v>
      </c>
      <c r="D5683" t="str">
        <f>HYPERLINK("https://github.com/TeamNewPipe/NewPipe/issues/5751","show")</f>
        <v>show</v>
      </c>
      <c r="E5683" t="str">
        <f>HYPERLINK("https://github.com/TeamNewPipe/NewPipe","show")</f>
        <v>show</v>
      </c>
      <c r="F5683" t="str">
        <f>HYPERLINK("https://github.com/TeamNewPipe/NewPipe/releases","show")</f>
        <v>show</v>
      </c>
    </row>
    <row r="5684" spans="1:6">
      <c r="A5684" t="s">
        <v>16909</v>
      </c>
      <c r="B5684" t="s">
        <v>16910</v>
      </c>
      <c r="C5684" t="s">
        <v>16911</v>
      </c>
      <c r="D5684" t="str">
        <f>HYPERLINK("https://github.com/google/ExoPlayer/issues/8675","show")</f>
        <v>show</v>
      </c>
      <c r="E5684" t="str">
        <f>HYPERLINK("https://github.com/google/ExoPlayer","show")</f>
        <v>show</v>
      </c>
      <c r="F5684" t="str">
        <f>HYPERLINK("https://github.com/google/ExoPlayer/releases","show")</f>
        <v>show</v>
      </c>
    </row>
    <row r="5685" spans="1:6">
      <c r="A5685" t="s">
        <v>16912</v>
      </c>
      <c r="B5685" t="s">
        <v>16913</v>
      </c>
      <c r="C5685" t="s">
        <v>16914</v>
      </c>
      <c r="D5685" t="str">
        <f>HYPERLINK("https://github.com/Spikatrix/Zoned/issues/5","show")</f>
        <v>show</v>
      </c>
      <c r="E5685" t="str">
        <f>HYPERLINK("https://github.com/Spikatrix/Zoned","show")</f>
        <v>show</v>
      </c>
      <c r="F5685" t="str">
        <f>HYPERLINK("https://github.com/Spikatrix/Zoned/releases","show")</f>
        <v>show</v>
      </c>
    </row>
    <row r="5686" spans="1:6">
      <c r="A5686" t="s">
        <v>16915</v>
      </c>
      <c r="B5686" t="s">
        <v>16916</v>
      </c>
      <c r="C5686" t="s">
        <v>16917</v>
      </c>
      <c r="D5686" t="str">
        <f>HYPERLINK("https://github.com/TeamNewPipe/NewPipe/issues/5748","show")</f>
        <v>show</v>
      </c>
      <c r="E5686" t="str">
        <f>HYPERLINK("https://github.com/TeamNewPipe/NewPipe","show")</f>
        <v>show</v>
      </c>
      <c r="F5686" t="str">
        <f>HYPERLINK("https://github.com/TeamNewPipe/NewPipe/releases","show")</f>
        <v>show</v>
      </c>
    </row>
    <row r="5687" spans="1:6">
      <c r="A5687" t="s">
        <v>16918</v>
      </c>
      <c r="B5687" t="s">
        <v>16919</v>
      </c>
      <c r="C5687" t="s">
        <v>16920</v>
      </c>
      <c r="D5687" t="str">
        <f>HYPERLINK("https://github.com/jellyfin/jellyfin-androidtv/issues/752","show")</f>
        <v>show</v>
      </c>
      <c r="E5687" t="str">
        <f>HYPERLINK("https://github.com/jellyfin/jellyfin-androidtv","show")</f>
        <v>show</v>
      </c>
      <c r="F5687" t="str">
        <f>HYPERLINK("https://github.com/jellyfin/jellyfin-androidtv/releases","show")</f>
        <v>show</v>
      </c>
    </row>
    <row r="5688" spans="1:6">
      <c r="A5688" t="s">
        <v>16921</v>
      </c>
      <c r="B5688" t="s">
        <v>16922</v>
      </c>
      <c r="C5688" t="s">
        <v>16923</v>
      </c>
      <c r="D5688" t="str">
        <f>HYPERLINK("https://github.com/nextcloud/android/issues/8103","show")</f>
        <v>show</v>
      </c>
      <c r="E5688" t="str">
        <f>HYPERLINK("https://github.com/nextcloud/android","show")</f>
        <v>show</v>
      </c>
      <c r="F5688" t="str">
        <f>HYPERLINK("https://github.com/nextcloud/android/releases","show")</f>
        <v>show</v>
      </c>
    </row>
    <row r="5689" spans="1:6">
      <c r="A5689" t="s">
        <v>16924</v>
      </c>
      <c r="B5689" t="s">
        <v>16925</v>
      </c>
      <c r="C5689" t="s">
        <v>16926</v>
      </c>
      <c r="D5689" t="str">
        <f>HYPERLINK("https://github.com/nextcloud/android/issues/8102","show")</f>
        <v>show</v>
      </c>
      <c r="E5689" t="str">
        <f>HYPERLINK("https://github.com/nextcloud/android","show")</f>
        <v>show</v>
      </c>
      <c r="F5689" t="str">
        <f>HYPERLINK("https://github.com/nextcloud/android/releases","show")</f>
        <v>show</v>
      </c>
    </row>
    <row r="5690" spans="1:6">
      <c r="A5690" t="s">
        <v>16927</v>
      </c>
      <c r="B5690" t="s">
        <v>16928</v>
      </c>
      <c r="C5690" t="s">
        <v>16929</v>
      </c>
      <c r="D5690" t="str">
        <f>HYPERLINK("https://github.com/k9mail/k-9/issues/5187","show")</f>
        <v>show</v>
      </c>
      <c r="E5690" t="str">
        <f>HYPERLINK("https://github.com/k9mail/k-9","show")</f>
        <v>show</v>
      </c>
      <c r="F5690" t="str">
        <f>HYPERLINK("https://github.com/k9mail/k-9/releases","show")</f>
        <v>show</v>
      </c>
    </row>
    <row r="5691" spans="1:6">
      <c r="A5691" t="s">
        <v>16930</v>
      </c>
      <c r="B5691" t="s">
        <v>16931</v>
      </c>
      <c r="C5691" t="s">
        <v>16932</v>
      </c>
      <c r="D5691" t="str">
        <f>HYPERLINK("https://github.com/TeamNewPipe/NewPipe/issues/5742","show")</f>
        <v>show</v>
      </c>
      <c r="E5691" t="str">
        <f>HYPERLINK("https://github.com/TeamNewPipe/NewPipe","show")</f>
        <v>show</v>
      </c>
      <c r="F5691" t="str">
        <f>HYPERLINK("https://github.com/TeamNewPipe/NewPipe/releases","show")</f>
        <v>show</v>
      </c>
    </row>
    <row r="5692" spans="1:6">
      <c r="A5692" t="s">
        <v>16933</v>
      </c>
      <c r="B5692" t="s">
        <v>16934</v>
      </c>
      <c r="C5692" t="s">
        <v>16935</v>
      </c>
      <c r="D5692" t="str">
        <f>HYPERLINK("https://github.com/prebid/prebid-mobile-android/issues/240","show")</f>
        <v>show</v>
      </c>
      <c r="E5692" t="str">
        <f>HYPERLINK("https://github.com/prebid/prebid-mobile-android","show")</f>
        <v>show</v>
      </c>
      <c r="F5692" t="str">
        <f>HYPERLINK("https://github.com/prebid/prebid-mobile-android/releases","show")</f>
        <v>show</v>
      </c>
    </row>
    <row r="5693" spans="1:6">
      <c r="A5693" t="s">
        <v>16936</v>
      </c>
      <c r="B5693" t="s">
        <v>16937</v>
      </c>
      <c r="C5693" t="s">
        <v>16938</v>
      </c>
      <c r="D5693" t="str">
        <f>HYPERLINK("https://github.com/DanielVaknin/MamaFood/issues/16","show")</f>
        <v>show</v>
      </c>
      <c r="E5693" t="str">
        <f>HYPERLINK("https://github.com/DanielVaknin/MamaFood","show")</f>
        <v>show</v>
      </c>
      <c r="F5693" t="str">
        <f>HYPERLINK("https://github.com/DanielVaknin/MamaFood/releases","show")</f>
        <v>show</v>
      </c>
    </row>
    <row r="5694" spans="1:6">
      <c r="A5694" t="s">
        <v>16939</v>
      </c>
      <c r="B5694" t="s">
        <v>16940</v>
      </c>
      <c r="C5694" t="s">
        <v>16941</v>
      </c>
      <c r="D5694" t="str">
        <f>HYPERLINK("https://github.com/commons-app/apps-android-commons/issues/4283","show")</f>
        <v>show</v>
      </c>
      <c r="E5694" t="str">
        <f>HYPERLINK("https://github.com/commons-app/apps-android-commons","show")</f>
        <v>show</v>
      </c>
      <c r="F5694" t="str">
        <f>HYPERLINK("https://github.com/commons-app/apps-android-commons/releases","show")</f>
        <v>show</v>
      </c>
    </row>
    <row r="5695" spans="1:6">
      <c r="A5695" t="s">
        <v>16942</v>
      </c>
      <c r="B5695" t="s">
        <v>16943</v>
      </c>
      <c r="C5695" t="s">
        <v>16944</v>
      </c>
      <c r="D5695" t="str">
        <f>HYPERLINK("https://github.com/TeamNewPipe/NewPipe/issues/5739","show")</f>
        <v>show</v>
      </c>
      <c r="E5695" t="str">
        <f>HYPERLINK("https://github.com/TeamNewPipe/NewPipe","show")</f>
        <v>show</v>
      </c>
      <c r="F5695" t="str">
        <f>HYPERLINK("https://github.com/TeamNewPipe/NewPipe/releases","show")</f>
        <v>show</v>
      </c>
    </row>
    <row r="5696" spans="1:6">
      <c r="A5696" t="s">
        <v>16945</v>
      </c>
      <c r="B5696" t="s">
        <v>16946</v>
      </c>
      <c r="C5696" t="s">
        <v>16947</v>
      </c>
      <c r="D5696" t="str">
        <f>HYPERLINK("https://github.com/capacitor-community/google-maps/issues/40","show")</f>
        <v>show</v>
      </c>
      <c r="E5696" t="str">
        <f>HYPERLINK("https://github.com/capacitor-community/google-maps","show")</f>
        <v>show</v>
      </c>
      <c r="F5696" t="str">
        <f>HYPERLINK("https://github.com/capacitor-community/google-maps/releases","show")</f>
        <v>show</v>
      </c>
    </row>
    <row r="5697" spans="1:6">
      <c r="A5697" t="s">
        <v>16948</v>
      </c>
      <c r="B5697" t="s">
        <v>16949</v>
      </c>
      <c r="C5697" t="s">
        <v>16950</v>
      </c>
      <c r="D5697" t="str">
        <f>HYPERLINK("https://github.com/inaturalist/iNaturalistAndroid/issues/991","show")</f>
        <v>show</v>
      </c>
      <c r="E5697" t="str">
        <f>HYPERLINK("https://github.com/inaturalist/iNaturalistAndroid","show")</f>
        <v>show</v>
      </c>
      <c r="F5697" t="str">
        <f>HYPERLINK("https://github.com/inaturalist/iNaturalistAndroid/releases","show")</f>
        <v>show</v>
      </c>
    </row>
    <row r="5698" spans="1:6">
      <c r="A5698" t="s">
        <v>16951</v>
      </c>
      <c r="B5698" t="s">
        <v>16952</v>
      </c>
      <c r="C5698" t="s">
        <v>16953</v>
      </c>
      <c r="D5698" t="str">
        <f>HYPERLINK("https://github.com/inaturalist/iNaturalistAndroid/issues/990","show")</f>
        <v>show</v>
      </c>
      <c r="E5698" t="str">
        <f>HYPERLINK("https://github.com/inaturalist/iNaturalistAndroid","show")</f>
        <v>show</v>
      </c>
      <c r="F5698" t="str">
        <f>HYPERLINK("https://github.com/inaturalist/iNaturalistAndroid/releases","show")</f>
        <v>show</v>
      </c>
    </row>
    <row r="5699" spans="1:6">
      <c r="A5699" t="s">
        <v>16954</v>
      </c>
      <c r="B5699" t="s">
        <v>9922</v>
      </c>
      <c r="C5699" t="s">
        <v>16955</v>
      </c>
      <c r="D5699" t="str">
        <f>HYPERLINK("https://github.com/PojavLauncherTeam/PojavLauncher/issues/999","show")</f>
        <v>show</v>
      </c>
      <c r="E5699" t="str">
        <f>HYPERLINK("https://github.com/PojavLauncherTeam/PojavLauncher","show")</f>
        <v>show</v>
      </c>
      <c r="F5699" t="str">
        <f>HYPERLINK("https://github.com/PojavLauncherTeam/PojavLauncher/releases","show")</f>
        <v>show</v>
      </c>
    </row>
    <row r="5700" spans="1:6">
      <c r="A5700" t="s">
        <v>16956</v>
      </c>
      <c r="B5700" t="s">
        <v>16957</v>
      </c>
      <c r="C5700" t="s">
        <v>16958</v>
      </c>
      <c r="D5700" t="str">
        <f>HYPERLINK("https://github.com/TeamNewPipe/NewPipe/issues/5733","show")</f>
        <v>show</v>
      </c>
      <c r="E5700" t="str">
        <f>HYPERLINK("https://github.com/TeamNewPipe/NewPipe","show")</f>
        <v>show</v>
      </c>
      <c r="F5700" t="str">
        <f>HYPERLINK("https://github.com/TeamNewPipe/NewPipe/releases","show")</f>
        <v>show</v>
      </c>
    </row>
    <row r="5701" spans="1:6">
      <c r="A5701" t="s">
        <v>16959</v>
      </c>
      <c r="B5701" t="s">
        <v>16960</v>
      </c>
      <c r="C5701" t="s">
        <v>16961</v>
      </c>
      <c r="D5701" t="str">
        <f>HYPERLINK("https://github.com/AOF-Dev/MCinaBox/issues/999","show")</f>
        <v>show</v>
      </c>
      <c r="E5701" t="str">
        <f>HYPERLINK("https://github.com/AOF-Dev/MCinaBox","show")</f>
        <v>show</v>
      </c>
      <c r="F5701" t="str">
        <f>HYPERLINK("https://github.com/AOF-Dev/MCinaBox/releases","show")</f>
        <v>show</v>
      </c>
    </row>
    <row r="5702" spans="1:6">
      <c r="A5702" t="s">
        <v>16962</v>
      </c>
      <c r="B5702" t="s">
        <v>16963</v>
      </c>
      <c r="C5702" t="s">
        <v>16964</v>
      </c>
      <c r="D5702" t="str">
        <f>HYPERLINK("https://github.com/morenoh149/react-native-contacts/issues/596","show")</f>
        <v>show</v>
      </c>
      <c r="E5702" t="str">
        <f>HYPERLINK("https://github.com/morenoh149/react-native-contacts","show")</f>
        <v>show</v>
      </c>
      <c r="F5702" t="str">
        <f>HYPERLINK("https://github.com/morenoh149/react-native-contacts/releases","show")</f>
        <v>show</v>
      </c>
    </row>
    <row r="5703" spans="1:6">
      <c r="A5703" t="s">
        <v>16965</v>
      </c>
      <c r="B5703" t="s">
        <v>16966</v>
      </c>
      <c r="C5703" t="s">
        <v>16967</v>
      </c>
      <c r="D5703" t="str">
        <f>HYPERLINK("https://github.com/PojavLauncherTeam/PojavLauncher/issues/995","show")</f>
        <v>show</v>
      </c>
      <c r="E5703" t="str">
        <f>HYPERLINK("https://github.com/PojavLauncherTeam/PojavLauncher","show")</f>
        <v>show</v>
      </c>
      <c r="F5703" t="str">
        <f>HYPERLINK("https://github.com/PojavLauncherTeam/PojavLauncher/releases","show")</f>
        <v>show</v>
      </c>
    </row>
    <row r="5704" spans="1:6">
      <c r="A5704" t="s">
        <v>16968</v>
      </c>
      <c r="B5704" t="s">
        <v>16969</v>
      </c>
      <c r="C5704" t="s">
        <v>16970</v>
      </c>
      <c r="D5704" t="str">
        <f>HYPERLINK("https://github.com/doublesymmetry/react-native-track-player/issues/1126","show")</f>
        <v>show</v>
      </c>
      <c r="E5704" t="str">
        <f>HYPERLINK("https://github.com/doublesymmetry/react-native-track-player","show")</f>
        <v>show</v>
      </c>
      <c r="F5704" t="str">
        <f>HYPERLINK("https://github.com/doublesymmetry/react-native-track-player/releases","show")</f>
        <v>show</v>
      </c>
    </row>
    <row r="5705" spans="1:6">
      <c r="A5705" t="s">
        <v>16971</v>
      </c>
      <c r="B5705" t="s">
        <v>16972</v>
      </c>
      <c r="C5705" t="s">
        <v>16973</v>
      </c>
      <c r="D5705" t="str">
        <f>HYPERLINK("https://github.com/ElderDrivers/EdXposed/issues/844","show")</f>
        <v>show</v>
      </c>
      <c r="E5705" t="str">
        <f>HYPERLINK("https://github.com/ElderDrivers/EdXposed","show")</f>
        <v>show</v>
      </c>
      <c r="F5705" t="str">
        <f>HYPERLINK("https://github.com/ElderDrivers/EdXposed/releases","show")</f>
        <v>show</v>
      </c>
    </row>
    <row r="5706" spans="1:6">
      <c r="A5706" t="s">
        <v>16974</v>
      </c>
      <c r="B5706" t="s">
        <v>16975</v>
      </c>
      <c r="C5706" t="s">
        <v>16976</v>
      </c>
      <c r="D5706" t="str">
        <f>HYPERLINK("https://github.com/nextcloud/android/issues/8088","show")</f>
        <v>show</v>
      </c>
      <c r="E5706" t="str">
        <f>HYPERLINK("https://github.com/nextcloud/android","show")</f>
        <v>show</v>
      </c>
      <c r="F5706" t="str">
        <f>HYPERLINK("https://github.com/nextcloud/android/releases","show")</f>
        <v>show</v>
      </c>
    </row>
    <row r="5707" spans="1:6">
      <c r="A5707" t="s">
        <v>16977</v>
      </c>
      <c r="B5707" t="s">
        <v>16978</v>
      </c>
      <c r="C5707" t="s">
        <v>16979</v>
      </c>
      <c r="D5707" t="str">
        <f>HYPERLINK("https://github.com/ZogopZ/to-do/issues/73","show")</f>
        <v>show</v>
      </c>
      <c r="E5707" t="str">
        <f>HYPERLINK("https://github.com/ZogopZ/to-do","show")</f>
        <v>show</v>
      </c>
      <c r="F5707" t="str">
        <f>HYPERLINK("https://github.com/ZogopZ/to-do/releases","show")</f>
        <v>show</v>
      </c>
    </row>
    <row r="5708" spans="1:6">
      <c r="A5708" t="s">
        <v>16980</v>
      </c>
      <c r="B5708" t="s">
        <v>16981</v>
      </c>
      <c r="C5708" t="s">
        <v>16982</v>
      </c>
      <c r="D5708" t="str">
        <f>HYPERLINK("https://github.com/AOF-Dev/MCinaBox/issues/993","show")</f>
        <v>show</v>
      </c>
      <c r="E5708" t="str">
        <f>HYPERLINK("https://github.com/AOF-Dev/MCinaBox","show")</f>
        <v>show</v>
      </c>
      <c r="F5708" t="str">
        <f>HYPERLINK("https://github.com/AOF-Dev/MCinaBox/releases","show")</f>
        <v>show</v>
      </c>
    </row>
    <row r="5709" spans="1:6">
      <c r="A5709" t="s">
        <v>16983</v>
      </c>
      <c r="B5709" t="s">
        <v>16984</v>
      </c>
      <c r="C5709" t="s">
        <v>16985</v>
      </c>
      <c r="D5709" t="str">
        <f>HYPERLINK("https://github.com/cgeo/cgeo/issues/10093","show")</f>
        <v>show</v>
      </c>
      <c r="E5709" t="str">
        <f>HYPERLINK("https://github.com/cgeo/cgeo","show")</f>
        <v>show</v>
      </c>
      <c r="F5709" t="str">
        <f>HYPERLINK("https://github.com/cgeo/cgeo/releases","show")</f>
        <v>show</v>
      </c>
    </row>
    <row r="5710" spans="1:6">
      <c r="A5710" t="s">
        <v>16986</v>
      </c>
      <c r="B5710" t="s">
        <v>16987</v>
      </c>
      <c r="C5710" t="s">
        <v>16988</v>
      </c>
      <c r="D5710" t="str">
        <f>HYPERLINK("https://github.com/grishka/Houseclub/issues/208","show")</f>
        <v>show</v>
      </c>
      <c r="E5710" t="str">
        <f>HYPERLINK("https://github.com/grishka/Houseclub","show")</f>
        <v>show</v>
      </c>
      <c r="F5710" t="str">
        <f>HYPERLINK("https://github.com/grishka/Houseclub/releases","show")</f>
        <v>show</v>
      </c>
    </row>
    <row r="5711" spans="1:6">
      <c r="A5711" t="s">
        <v>16989</v>
      </c>
      <c r="B5711" t="s">
        <v>16990</v>
      </c>
      <c r="C5711" t="s">
        <v>16991</v>
      </c>
      <c r="D5711" t="str">
        <f>HYPERLINK("https://github.com/k9mail/k-9/issues/5175","show")</f>
        <v>show</v>
      </c>
      <c r="E5711" t="str">
        <f>HYPERLINK("https://github.com/k9mail/k-9","show")</f>
        <v>show</v>
      </c>
      <c r="F5711" t="str">
        <f>HYPERLINK("https://github.com/k9mail/k-9/releases","show")</f>
        <v>show</v>
      </c>
    </row>
    <row r="5712" spans="1:6">
      <c r="A5712" t="s">
        <v>16992</v>
      </c>
      <c r="B5712" t="s">
        <v>16993</v>
      </c>
      <c r="C5712" t="s">
        <v>16994</v>
      </c>
      <c r="D5712" t="str">
        <f>HYPERLINK("https://github.com/nextcloud/android/issues/8083","show")</f>
        <v>show</v>
      </c>
      <c r="E5712" t="str">
        <f>HYPERLINK("https://github.com/nextcloud/android","show")</f>
        <v>show</v>
      </c>
      <c r="F5712" t="str">
        <f>HYPERLINK("https://github.com/nextcloud/android/releases","show")</f>
        <v>show</v>
      </c>
    </row>
    <row r="5713" spans="1:6">
      <c r="A5713" t="s">
        <v>16995</v>
      </c>
      <c r="B5713" t="s">
        <v>16996</v>
      </c>
      <c r="C5713" t="s">
        <v>16997</v>
      </c>
      <c r="D5713" t="str">
        <f>HYPERLINK("https://github.com/nextcloud/android/issues/8082","show")</f>
        <v>show</v>
      </c>
      <c r="E5713" t="str">
        <f>HYPERLINK("https://github.com/nextcloud/android","show")</f>
        <v>show</v>
      </c>
      <c r="F5713" t="str">
        <f>HYPERLINK("https://github.com/nextcloud/android/releases","show")</f>
        <v>show</v>
      </c>
    </row>
    <row r="5714" spans="1:6">
      <c r="A5714" t="s">
        <v>16998</v>
      </c>
      <c r="B5714" t="s">
        <v>16999</v>
      </c>
      <c r="C5714" t="s">
        <v>17000</v>
      </c>
      <c r="D5714" t="str">
        <f>HYPERLINK("https://github.com/Anuken/Mindustry/issues/4824","show")</f>
        <v>show</v>
      </c>
      <c r="E5714" t="str">
        <f>HYPERLINK("https://github.com/Anuken/Mindustry","show")</f>
        <v>show</v>
      </c>
      <c r="F5714" t="str">
        <f>HYPERLINK("https://github.com/Anuken/Mindustry/releases","show")</f>
        <v>show</v>
      </c>
    </row>
    <row r="5715" spans="1:6">
      <c r="A5715" t="s">
        <v>17001</v>
      </c>
      <c r="B5715" t="s">
        <v>17002</v>
      </c>
      <c r="C5715" t="s">
        <v>17003</v>
      </c>
      <c r="D5715" t="str">
        <f>HYPERLINK("https://github.com/PojavLauncherTeam/PojavLauncher/issues/983","show")</f>
        <v>show</v>
      </c>
      <c r="E5715" t="str">
        <f>HYPERLINK("https://github.com/PojavLauncherTeam/PojavLauncher","show")</f>
        <v>show</v>
      </c>
      <c r="F5715" t="str">
        <f>HYPERLINK("https://github.com/PojavLauncherTeam/PojavLauncher/releases","show")</f>
        <v>show</v>
      </c>
    </row>
    <row r="5716" spans="1:6">
      <c r="A5716" t="s">
        <v>17004</v>
      </c>
      <c r="B5716" t="s">
        <v>17005</v>
      </c>
      <c r="C5716" t="s">
        <v>17006</v>
      </c>
      <c r="D5716" t="str">
        <f>HYPERLINK("https://github.com/TeamNewPipe/NewPipe/issues/5720","show")</f>
        <v>show</v>
      </c>
      <c r="E5716" t="str">
        <f>HYPERLINK("https://github.com/TeamNewPipe/NewPipe","show")</f>
        <v>show</v>
      </c>
      <c r="F5716" t="str">
        <f>HYPERLINK("https://github.com/TeamNewPipe/NewPipe/releases","show")</f>
        <v>show</v>
      </c>
    </row>
    <row r="5717" spans="1:6">
      <c r="A5717" t="s">
        <v>17007</v>
      </c>
      <c r="B5717" t="s">
        <v>17008</v>
      </c>
      <c r="C5717" t="s">
        <v>17009</v>
      </c>
      <c r="D5717" t="str">
        <f>HYPERLINK("https://github.com/TeamNewPipe/NewPipe/issues/5719","show")</f>
        <v>show</v>
      </c>
      <c r="E5717" t="str">
        <f>HYPERLINK("https://github.com/TeamNewPipe/NewPipe","show")</f>
        <v>show</v>
      </c>
      <c r="F5717" t="str">
        <f>HYPERLINK("https://github.com/TeamNewPipe/NewPipe/releases","show")</f>
        <v>show</v>
      </c>
    </row>
    <row r="5718" spans="1:6">
      <c r="A5718" t="s">
        <v>17010</v>
      </c>
      <c r="B5718" t="s">
        <v>17011</v>
      </c>
      <c r="C5718" t="s">
        <v>17012</v>
      </c>
      <c r="D5718" t="str">
        <f>HYPERLINK("https://github.com/skrafft/react-native-jitsi-meet/issues/251","show")</f>
        <v>show</v>
      </c>
      <c r="E5718" t="str">
        <f>HYPERLINK("https://github.com/skrafft/react-native-jitsi-meet","show")</f>
        <v>show</v>
      </c>
      <c r="F5718" t="str">
        <f>HYPERLINK("https://github.com/skrafft/react-native-jitsi-meet/releases","show")</f>
        <v>show</v>
      </c>
    </row>
    <row r="5719" spans="1:6">
      <c r="A5719" t="s">
        <v>17013</v>
      </c>
      <c r="B5719" t="s">
        <v>17014</v>
      </c>
      <c r="C5719" t="s">
        <v>17015</v>
      </c>
      <c r="D5719" t="str">
        <f>HYPERLINK("https://github.com/TeamNewPipe/NewPipe/issues/5718","show")</f>
        <v>show</v>
      </c>
      <c r="E5719" t="str">
        <f>HYPERLINK("https://github.com/TeamNewPipe/NewPipe","show")</f>
        <v>show</v>
      </c>
      <c r="F5719" t="str">
        <f>HYPERLINK("https://github.com/TeamNewPipe/NewPipe/releases","show")</f>
        <v>show</v>
      </c>
    </row>
    <row r="5720" spans="1:6">
      <c r="A5720" t="s">
        <v>17016</v>
      </c>
      <c r="B5720" t="s">
        <v>17017</v>
      </c>
      <c r="C5720" t="s">
        <v>17018</v>
      </c>
      <c r="D5720" t="str">
        <f>HYPERLINK("https://github.com/microg/GmsCore/issues/1409","show")</f>
        <v>show</v>
      </c>
      <c r="E5720" t="str">
        <f>HYPERLINK("https://github.com/microg/GmsCore","show")</f>
        <v>show</v>
      </c>
      <c r="F5720" t="str">
        <f>HYPERLINK("https://github.com/microg/GmsCore/releases","show")</f>
        <v>show</v>
      </c>
    </row>
    <row r="5721" spans="1:6">
      <c r="A5721" t="s">
        <v>17019</v>
      </c>
      <c r="B5721" t="s">
        <v>17020</v>
      </c>
      <c r="C5721" t="s">
        <v>17021</v>
      </c>
      <c r="D5721" t="str">
        <f>HYPERLINK("https://github.com/connectbot/connectbot/issues/904","show")</f>
        <v>show</v>
      </c>
      <c r="E5721" t="str">
        <f>HYPERLINK("https://github.com/connectbot/connectbot","show")</f>
        <v>show</v>
      </c>
      <c r="F5721" t="str">
        <f>HYPERLINK("https://github.com/connectbot/connectbot/releases","show")</f>
        <v>show</v>
      </c>
    </row>
    <row r="5722" spans="1:6">
      <c r="A5722" t="s">
        <v>17022</v>
      </c>
      <c r="B5722" t="s">
        <v>17023</v>
      </c>
      <c r="C5722" t="s">
        <v>17024</v>
      </c>
      <c r="D5722" t="str">
        <f>HYPERLINK("https://github.com/nextcloud/android/issues/8077","show")</f>
        <v>show</v>
      </c>
      <c r="E5722" t="str">
        <f>HYPERLINK("https://github.com/nextcloud/android","show")</f>
        <v>show</v>
      </c>
      <c r="F5722" t="str">
        <f>HYPERLINK("https://github.com/nextcloud/android/releases","show")</f>
        <v>show</v>
      </c>
    </row>
    <row r="5723" spans="1:6">
      <c r="A5723" t="s">
        <v>17025</v>
      </c>
      <c r="B5723" t="s">
        <v>17026</v>
      </c>
      <c r="C5723" t="s">
        <v>17027</v>
      </c>
      <c r="D5723" t="str">
        <f>HYPERLINK("https://github.com/Anuken/Mindustry/issues/4806","show")</f>
        <v>show</v>
      </c>
      <c r="E5723" t="str">
        <f>HYPERLINK("https://github.com/Anuken/Mindustry","show")</f>
        <v>show</v>
      </c>
      <c r="F5723" t="str">
        <f>HYPERLINK("https://github.com/Anuken/Mindustry/releases","show")</f>
        <v>show</v>
      </c>
    </row>
    <row r="5724" spans="1:6">
      <c r="A5724" t="s">
        <v>17028</v>
      </c>
      <c r="B5724" t="s">
        <v>17029</v>
      </c>
      <c r="C5724" t="s">
        <v>17030</v>
      </c>
      <c r="D5724" t="str">
        <f>HYPERLINK("https://github.com/PojavLauncherTeam/PojavLauncher/issues/974","show")</f>
        <v>show</v>
      </c>
      <c r="E5724" t="str">
        <f>HYPERLINK("https://github.com/PojavLauncherTeam/PojavLauncher","show")</f>
        <v>show</v>
      </c>
      <c r="F5724" t="str">
        <f>HYPERLINK("https://github.com/PojavLauncherTeam/PojavLauncher/releases","show")</f>
        <v>show</v>
      </c>
    </row>
    <row r="5725" spans="1:6">
      <c r="A5725" t="s">
        <v>17031</v>
      </c>
      <c r="B5725" t="s">
        <v>17032</v>
      </c>
      <c r="C5725" t="s">
        <v>17033</v>
      </c>
      <c r="D5725" t="str">
        <f>HYPERLINK("https://github.com/MuntashirAkon/AppManager/issues/299","show")</f>
        <v>show</v>
      </c>
      <c r="E5725" t="str">
        <f>HYPERLINK("https://github.com/MuntashirAkon/AppManager","show")</f>
        <v>show</v>
      </c>
      <c r="F5725" t="str">
        <f>HYPERLINK("https://github.com/MuntashirAkon/AppManager/releases","show")</f>
        <v>show</v>
      </c>
    </row>
    <row r="5726" spans="1:6">
      <c r="A5726" t="s">
        <v>17034</v>
      </c>
      <c r="B5726" t="s">
        <v>17035</v>
      </c>
      <c r="C5726" t="s">
        <v>17036</v>
      </c>
      <c r="D5726" t="str">
        <f>HYPERLINK("https://github.com/Anuken/Mindustry/issues/4802","show")</f>
        <v>show</v>
      </c>
      <c r="E5726" t="str">
        <f>HYPERLINK("https://github.com/Anuken/Mindustry","show")</f>
        <v>show</v>
      </c>
      <c r="F5726" t="str">
        <f>HYPERLINK("https://github.com/Anuken/Mindustry/releases","show")</f>
        <v>show</v>
      </c>
    </row>
    <row r="5727" spans="1:6">
      <c r="A5727" t="s">
        <v>17037</v>
      </c>
      <c r="B5727" t="s">
        <v>17038</v>
      </c>
      <c r="C5727" t="s">
        <v>17039</v>
      </c>
      <c r="D5727" t="str">
        <f>HYPERLINK("https://github.com/SDP-group22/Helio-app/issues/84","show")</f>
        <v>show</v>
      </c>
      <c r="E5727" t="str">
        <f>HYPERLINK("https://github.com/SDP-group22/Helio-app","show")</f>
        <v>show</v>
      </c>
      <c r="F5727" t="str">
        <f>HYPERLINK("https://github.com/SDP-group22/Helio-app/releases","show")</f>
        <v>show</v>
      </c>
    </row>
    <row r="5728" spans="1:6">
      <c r="A5728" t="s">
        <v>17040</v>
      </c>
      <c r="B5728" t="s">
        <v>17041</v>
      </c>
      <c r="C5728" t="s">
        <v>17042</v>
      </c>
      <c r="D5728" t="str">
        <f>HYPERLINK("https://github.com/nextcloud/android/issues/8072","show")</f>
        <v>show</v>
      </c>
      <c r="E5728" t="str">
        <f>HYPERLINK("https://github.com/nextcloud/android","show")</f>
        <v>show</v>
      </c>
      <c r="F5728" t="str">
        <f>HYPERLINK("https://github.com/nextcloud/android/releases","show")</f>
        <v>show</v>
      </c>
    </row>
    <row r="5729" spans="1:6">
      <c r="A5729" t="s">
        <v>17043</v>
      </c>
      <c r="B5729" t="s">
        <v>17044</v>
      </c>
      <c r="C5729" t="s">
        <v>17045</v>
      </c>
      <c r="D5729" t="str">
        <f>HYPERLINK("https://github.com/opensrp/opensrp-client-eusm/issues/60","show")</f>
        <v>show</v>
      </c>
      <c r="E5729" t="str">
        <f>HYPERLINK("https://github.com/opensrp/opensrp-client-eusm","show")</f>
        <v>show</v>
      </c>
      <c r="F5729" t="str">
        <f>HYPERLINK("https://github.com/opensrp/opensrp-client-eusm/releases","show")</f>
        <v>show</v>
      </c>
    </row>
    <row r="5730" spans="1:6">
      <c r="A5730" t="s">
        <v>17046</v>
      </c>
      <c r="B5730" t="s">
        <v>8633</v>
      </c>
      <c r="C5730" t="s">
        <v>17047</v>
      </c>
      <c r="D5730" t="str">
        <f>HYPERLINK("https://github.com/TeamNewPipe/NewPipe/issues/5712","show")</f>
        <v>show</v>
      </c>
      <c r="E5730" t="str">
        <f>HYPERLINK("https://github.com/TeamNewPipe/NewPipe","show")</f>
        <v>show</v>
      </c>
      <c r="F5730" t="str">
        <f>HYPERLINK("https://github.com/TeamNewPipe/NewPipe/releases","show")</f>
        <v>show</v>
      </c>
    </row>
    <row r="5731" spans="1:6">
      <c r="A5731" t="s">
        <v>17048</v>
      </c>
      <c r="B5731" t="s">
        <v>17049</v>
      </c>
      <c r="C5731" t="s">
        <v>17050</v>
      </c>
      <c r="D5731" t="str">
        <f>HYPERLINK("https://github.com/scottyab/rootbeer/issues/159","show")</f>
        <v>show</v>
      </c>
      <c r="E5731" t="str">
        <f>HYPERLINK("https://github.com/scottyab/rootbeer","show")</f>
        <v>show</v>
      </c>
      <c r="F5731" t="str">
        <f>HYPERLINK("https://github.com/scottyab/rootbeer/releases","show")</f>
        <v>show</v>
      </c>
    </row>
    <row r="5732" spans="1:6">
      <c r="A5732" t="s">
        <v>17051</v>
      </c>
      <c r="B5732" t="s">
        <v>17052</v>
      </c>
      <c r="C5732" t="s">
        <v>17053</v>
      </c>
      <c r="D5732" t="str">
        <f>HYPERLINK("https://github.com/mtotschnig/MyExpenses/issues/768","show")</f>
        <v>show</v>
      </c>
      <c r="E5732" t="str">
        <f>HYPERLINK("https://github.com/mtotschnig/MyExpenses","show")</f>
        <v>show</v>
      </c>
      <c r="F5732" t="str">
        <f>HYPERLINK("https://github.com/mtotschnig/MyExpenses/releases","show")</f>
        <v>show</v>
      </c>
    </row>
    <row r="5733" spans="1:6">
      <c r="A5733" t="s">
        <v>17054</v>
      </c>
      <c r="B5733" t="s">
        <v>17055</v>
      </c>
      <c r="C5733" t="s">
        <v>17056</v>
      </c>
      <c r="D5733" t="str">
        <f>HYPERLINK("https://github.com/nextcloud/android/issues/8067","show")</f>
        <v>show</v>
      </c>
      <c r="E5733" t="str">
        <f>HYPERLINK("https://github.com/nextcloud/android","show")</f>
        <v>show</v>
      </c>
      <c r="F5733" t="str">
        <f>HYPERLINK("https://github.com/nextcloud/android/releases","show")</f>
        <v>show</v>
      </c>
    </row>
    <row r="5734" spans="1:6">
      <c r="A5734" t="s">
        <v>17057</v>
      </c>
      <c r="B5734" t="s">
        <v>17058</v>
      </c>
      <c r="C5734" t="s">
        <v>17059</v>
      </c>
      <c r="D5734" t="str">
        <f>HYPERLINK("https://github.com/TeamNewPipe/NewPipe/issues/5710","show")</f>
        <v>show</v>
      </c>
      <c r="E5734" t="str">
        <f>HYPERLINK("https://github.com/TeamNewPipe/NewPipe","show")</f>
        <v>show</v>
      </c>
      <c r="F5734" t="str">
        <f>HYPERLINK("https://github.com/TeamNewPipe/NewPipe/releases","show")</f>
        <v>show</v>
      </c>
    </row>
    <row r="5735" spans="1:6">
      <c r="A5735" t="s">
        <v>17060</v>
      </c>
      <c r="B5735" t="s">
        <v>17061</v>
      </c>
      <c r="C5735" t="s">
        <v>17062</v>
      </c>
      <c r="D5735" t="str">
        <f>HYPERLINK("https://github.com/TeamNewPipe/NewPipe/issues/5709","show")</f>
        <v>show</v>
      </c>
      <c r="E5735" t="str">
        <f>HYPERLINK("https://github.com/TeamNewPipe/NewPipe","show")</f>
        <v>show</v>
      </c>
      <c r="F5735" t="str">
        <f>HYPERLINK("https://github.com/TeamNewPipe/NewPipe/releases","show")</f>
        <v>show</v>
      </c>
    </row>
    <row r="5736" spans="1:6">
      <c r="A5736" t="s">
        <v>17063</v>
      </c>
      <c r="B5736" t="s">
        <v>17064</v>
      </c>
      <c r="C5736" t="s">
        <v>17065</v>
      </c>
      <c r="D5736" t="str">
        <f>HYPERLINK("https://github.com/ZeusWPI/hydra-android/issues/401","show")</f>
        <v>show</v>
      </c>
      <c r="E5736" t="str">
        <f>HYPERLINK("https://github.com/ZeusWPI/hydra-android","show")</f>
        <v>show</v>
      </c>
      <c r="F5736" t="str">
        <f>HYPERLINK("https://github.com/ZeusWPI/hydra-android/releases","show")</f>
        <v>show</v>
      </c>
    </row>
    <row r="5737" spans="1:6">
      <c r="A5737" t="s">
        <v>17066</v>
      </c>
      <c r="B5737" t="s">
        <v>17067</v>
      </c>
      <c r="C5737" t="s">
        <v>17068</v>
      </c>
      <c r="D5737" t="str">
        <f>HYPERLINK("https://github.com/TeamNewPipe/NewPipe/issues/5708","show")</f>
        <v>show</v>
      </c>
      <c r="E5737" t="str">
        <f>HYPERLINK("https://github.com/TeamNewPipe/NewPipe","show")</f>
        <v>show</v>
      </c>
      <c r="F5737" t="str">
        <f>HYPERLINK("https://github.com/TeamNewPipe/NewPipe/releases","show")</f>
        <v>show</v>
      </c>
    </row>
    <row r="5738" spans="1:6">
      <c r="A5738" t="s">
        <v>17069</v>
      </c>
      <c r="B5738" t="s">
        <v>17070</v>
      </c>
      <c r="C5738" t="s">
        <v>17071</v>
      </c>
      <c r="D5738" t="str">
        <f>HYPERLINK("https://github.com/TeamNewPipe/NewPipe/issues/5707","show")</f>
        <v>show</v>
      </c>
      <c r="E5738" t="str">
        <f>HYPERLINK("https://github.com/TeamNewPipe/NewPipe","show")</f>
        <v>show</v>
      </c>
      <c r="F5738" t="str">
        <f>HYPERLINK("https://github.com/TeamNewPipe/NewPipe/releases","show")</f>
        <v>show</v>
      </c>
    </row>
    <row r="5739" spans="1:6">
      <c r="A5739" t="s">
        <v>17072</v>
      </c>
      <c r="B5739" t="s">
        <v>17073</v>
      </c>
      <c r="C5739" t="s">
        <v>17074</v>
      </c>
      <c r="D5739" t="str">
        <f>HYPERLINK("https://github.com/Anuken/Mindustry/issues/4789","show")</f>
        <v>show</v>
      </c>
      <c r="E5739" t="str">
        <f>HYPERLINK("https://github.com/Anuken/Mindustry","show")</f>
        <v>show</v>
      </c>
      <c r="F5739" t="str">
        <f>HYPERLINK("https://github.com/Anuken/Mindustry/releases","show")</f>
        <v>show</v>
      </c>
    </row>
    <row r="5740" spans="1:6">
      <c r="A5740" t="s">
        <v>17075</v>
      </c>
      <c r="B5740" t="s">
        <v>17076</v>
      </c>
      <c r="C5740" t="s">
        <v>17077</v>
      </c>
      <c r="D5740" t="str">
        <f>HYPERLINK("https://github.com/SCCapstone/TabDab/issues/97","show")</f>
        <v>show</v>
      </c>
      <c r="E5740" t="str">
        <f>HYPERLINK("https://github.com/SCCapstone/TabDab","show")</f>
        <v>show</v>
      </c>
      <c r="F5740" t="str">
        <f>HYPERLINK("https://github.com/SCCapstone/TabDab/releases","show")</f>
        <v>show</v>
      </c>
    </row>
    <row r="5741" spans="1:6">
      <c r="A5741" t="s">
        <v>17078</v>
      </c>
      <c r="B5741" t="s">
        <v>17079</v>
      </c>
      <c r="C5741" t="s">
        <v>17080</v>
      </c>
      <c r="D5741" t="str">
        <f>HYPERLINK("https://github.com/TeamNewPipe/NewPipe/issues/5705","show")</f>
        <v>show</v>
      </c>
      <c r="E5741" t="str">
        <f>HYPERLINK("https://github.com/TeamNewPipe/NewPipe","show")</f>
        <v>show</v>
      </c>
      <c r="F5741" t="str">
        <f>HYPERLINK("https://github.com/TeamNewPipe/NewPipe/releases","show")</f>
        <v>show</v>
      </c>
    </row>
    <row r="5742" spans="1:6">
      <c r="A5742" t="s">
        <v>17081</v>
      </c>
      <c r="B5742" t="s">
        <v>17082</v>
      </c>
      <c r="C5742" t="s">
        <v>17083</v>
      </c>
      <c r="D5742" t="str">
        <f>HYPERLINK("https://github.com/mintforpeople/robobo-hri-vision/issues/38","show")</f>
        <v>show</v>
      </c>
      <c r="E5742" t="str">
        <f>HYPERLINK("https://github.com/mintforpeople/robobo-hri-vision","show")</f>
        <v>show</v>
      </c>
      <c r="F5742" t="str">
        <f>HYPERLINK("https://github.com/mintforpeople/robobo-hri-vision/releases","show")</f>
        <v>show</v>
      </c>
    </row>
    <row r="5743" spans="1:6">
      <c r="A5743" t="s">
        <v>17084</v>
      </c>
      <c r="B5743" t="s">
        <v>17085</v>
      </c>
      <c r="C5743" t="s">
        <v>17086</v>
      </c>
      <c r="D5743" t="str">
        <f>HYPERLINK("https://github.com/jellyfin/jellyfin-androidtv/issues/739","show")</f>
        <v>show</v>
      </c>
      <c r="E5743" t="str">
        <f>HYPERLINK("https://github.com/jellyfin/jellyfin-androidtv","show")</f>
        <v>show</v>
      </c>
      <c r="F5743" t="str">
        <f>HYPERLINK("https://github.com/jellyfin/jellyfin-androidtv/releases","show")</f>
        <v>show</v>
      </c>
    </row>
    <row r="5744" spans="1:6">
      <c r="A5744" t="s">
        <v>17087</v>
      </c>
      <c r="B5744" t="s">
        <v>17088</v>
      </c>
      <c r="C5744" t="s">
        <v>17089</v>
      </c>
      <c r="D5744" t="str">
        <f>HYPERLINK("https://github.com/grishka/Houseclub/issues/163","show")</f>
        <v>show</v>
      </c>
      <c r="E5744" t="str">
        <f>HYPERLINK("https://github.com/grishka/Houseclub","show")</f>
        <v>show</v>
      </c>
      <c r="F5744" t="str">
        <f>HYPERLINK("https://github.com/grishka/Houseclub/releases","show")</f>
        <v>show</v>
      </c>
    </row>
    <row r="5745" spans="1:6">
      <c r="A5745" t="s">
        <v>17090</v>
      </c>
      <c r="B5745" t="s">
        <v>17091</v>
      </c>
      <c r="C5745" t="s">
        <v>17092</v>
      </c>
      <c r="D5745" t="str">
        <f>HYPERLINK("https://github.com/TeamNewPipe/NewPipe-legacy/issues/64","show")</f>
        <v>show</v>
      </c>
      <c r="E5745" t="str">
        <f>HYPERLINK("https://github.com/TeamNewPipe/NewPipe-legacy","show")</f>
        <v>show</v>
      </c>
      <c r="F5745" t="str">
        <f>HYPERLINK("https://github.com/TeamNewPipe/NewPipe-legacy/releases","show")</f>
        <v>show</v>
      </c>
    </row>
    <row r="5746" spans="1:6">
      <c r="A5746" t="s">
        <v>17093</v>
      </c>
      <c r="B5746" t="s">
        <v>17094</v>
      </c>
      <c r="C5746" t="s">
        <v>17095</v>
      </c>
      <c r="D5746" t="str">
        <f>HYPERLINK("https://github.com/Anuken/Mindustry/issues/4783","show")</f>
        <v>show</v>
      </c>
      <c r="E5746" t="str">
        <f>HYPERLINK("https://github.com/Anuken/Mindustry","show")</f>
        <v>show</v>
      </c>
      <c r="F5746" t="str">
        <f>HYPERLINK("https://github.com/Anuken/Mindustry/releases","show")</f>
        <v>show</v>
      </c>
    </row>
    <row r="5747" spans="1:6">
      <c r="A5747" t="s">
        <v>17096</v>
      </c>
      <c r="B5747" t="s">
        <v>17097</v>
      </c>
      <c r="C5747" t="s">
        <v>17098</v>
      </c>
      <c r="D5747" t="str">
        <f>HYPERLINK("https://github.com/Anuken/Mindustry/issues/4779","show")</f>
        <v>show</v>
      </c>
      <c r="E5747" t="str">
        <f>HYPERLINK("https://github.com/Anuken/Mindustry","show")</f>
        <v>show</v>
      </c>
      <c r="F5747" t="str">
        <f>HYPERLINK("https://github.com/Anuken/Mindustry/releases","show")</f>
        <v>show</v>
      </c>
    </row>
    <row r="5748" spans="1:6">
      <c r="A5748" t="s">
        <v>17099</v>
      </c>
      <c r="B5748" t="s">
        <v>17100</v>
      </c>
      <c r="C5748" t="s">
        <v>17101</v>
      </c>
      <c r="D5748" t="str">
        <f>HYPERLINK("https://github.com/inaturalist/iNaturalistAndroid/issues/987","show")</f>
        <v>show</v>
      </c>
      <c r="E5748" t="str">
        <f>HYPERLINK("https://github.com/inaturalist/iNaturalistAndroid","show")</f>
        <v>show</v>
      </c>
      <c r="F5748" t="str">
        <f>HYPERLINK("https://github.com/inaturalist/iNaturalistAndroid/releases","show")</f>
        <v>show</v>
      </c>
    </row>
    <row r="5749" spans="1:6">
      <c r="A5749" t="s">
        <v>17102</v>
      </c>
      <c r="B5749" t="s">
        <v>17103</v>
      </c>
      <c r="C5749" t="s">
        <v>17104</v>
      </c>
      <c r="D5749" t="str">
        <f>HYPERLINK("https://github.com/react-native-share/react-native-share/issues/972","show")</f>
        <v>show</v>
      </c>
      <c r="E5749" t="str">
        <f>HYPERLINK("https://github.com/react-native-share/react-native-share","show")</f>
        <v>show</v>
      </c>
      <c r="F5749" t="str">
        <f>HYPERLINK("https://github.com/react-native-share/react-native-share/releases","show")</f>
        <v>show</v>
      </c>
    </row>
    <row r="5750" spans="1:6">
      <c r="A5750" t="s">
        <v>17105</v>
      </c>
      <c r="B5750" t="s">
        <v>17106</v>
      </c>
      <c r="C5750" t="s">
        <v>17107</v>
      </c>
      <c r="D5750" t="str">
        <f>HYPERLINK("https://github.com/grishka/Houseclub/issues/153","show")</f>
        <v>show</v>
      </c>
      <c r="E5750" t="str">
        <f>HYPERLINK("https://github.com/grishka/Houseclub","show")</f>
        <v>show</v>
      </c>
      <c r="F5750" t="str">
        <f>HYPERLINK("https://github.com/grishka/Houseclub/releases","show")</f>
        <v>show</v>
      </c>
    </row>
    <row r="5751" spans="1:6">
      <c r="A5751" t="s">
        <v>17108</v>
      </c>
      <c r="B5751" t="s">
        <v>17106</v>
      </c>
      <c r="C5751" t="s">
        <v>17109</v>
      </c>
      <c r="D5751" t="str">
        <f>HYPERLINK("https://github.com/grishka/Houseclub/issues/152","show")</f>
        <v>show</v>
      </c>
      <c r="E5751" t="str">
        <f>HYPERLINK("https://github.com/grishka/Houseclub","show")</f>
        <v>show</v>
      </c>
      <c r="F5751" t="str">
        <f>HYPERLINK("https://github.com/grishka/Houseclub/releases","show")</f>
        <v>show</v>
      </c>
    </row>
    <row r="5752" spans="1:6">
      <c r="A5752" t="s">
        <v>17110</v>
      </c>
      <c r="B5752" t="s">
        <v>17111</v>
      </c>
      <c r="C5752" t="s">
        <v>17112</v>
      </c>
      <c r="D5752" t="str">
        <f>HYPERLINK("https://github.com/PojavLauncherTeam/PojavLauncher/issues/948","show")</f>
        <v>show</v>
      </c>
      <c r="E5752" t="str">
        <f>HYPERLINK("https://github.com/PojavLauncherTeam/PojavLauncher","show")</f>
        <v>show</v>
      </c>
      <c r="F5752" t="str">
        <f>HYPERLINK("https://github.com/PojavLauncherTeam/PojavLauncher/releases","show")</f>
        <v>show</v>
      </c>
    </row>
    <row r="5753" spans="1:6">
      <c r="A5753" t="s">
        <v>17113</v>
      </c>
      <c r="B5753" t="s">
        <v>17114</v>
      </c>
      <c r="C5753" t="s">
        <v>17115</v>
      </c>
      <c r="D5753" t="str">
        <f>HYPERLINK("https://github.com/commons-app/apps-android-commons/issues/4276","show")</f>
        <v>show</v>
      </c>
      <c r="E5753" t="str">
        <f>HYPERLINK("https://github.com/commons-app/apps-android-commons","show")</f>
        <v>show</v>
      </c>
      <c r="F5753" t="str">
        <f>HYPERLINK("https://github.com/commons-app/apps-android-commons/releases","show")</f>
        <v>show</v>
      </c>
    </row>
    <row r="5754" spans="1:6">
      <c r="A5754" t="s">
        <v>17116</v>
      </c>
      <c r="B5754" t="s">
        <v>17117</v>
      </c>
      <c r="C5754" t="s">
        <v>17118</v>
      </c>
      <c r="D5754" t="str">
        <f>HYPERLINK("https://github.com/TeamNewPipe/NewPipe/issues/5700","show")</f>
        <v>show</v>
      </c>
      <c r="E5754" t="str">
        <f>HYPERLINK("https://github.com/TeamNewPipe/NewPipe","show")</f>
        <v>show</v>
      </c>
      <c r="F5754" t="str">
        <f>HYPERLINK("https://github.com/TeamNewPipe/NewPipe/releases","show")</f>
        <v>show</v>
      </c>
    </row>
    <row r="5755" spans="1:6">
      <c r="A5755" t="s">
        <v>17119</v>
      </c>
      <c r="B5755" t="s">
        <v>17120</v>
      </c>
      <c r="C5755" t="s">
        <v>17121</v>
      </c>
      <c r="D5755" t="str">
        <f>HYPERLINK("https://github.com/Anuken/Mindustry/issues/4773","show")</f>
        <v>show</v>
      </c>
      <c r="E5755" t="str">
        <f>HYPERLINK("https://github.com/Anuken/Mindustry","show")</f>
        <v>show</v>
      </c>
      <c r="F5755" t="str">
        <f>HYPERLINK("https://github.com/Anuken/Mindustry/releases","show")</f>
        <v>show</v>
      </c>
    </row>
    <row r="5756" spans="1:6">
      <c r="A5756" t="s">
        <v>17122</v>
      </c>
      <c r="B5756" t="s">
        <v>17123</v>
      </c>
      <c r="C5756" t="s">
        <v>17124</v>
      </c>
      <c r="D5756" t="str">
        <f>HYPERLINK("https://github.com/TeamNewPipe/NewPipe/issues/5699","show")</f>
        <v>show</v>
      </c>
      <c r="E5756" t="str">
        <f>HYPERLINK("https://github.com/TeamNewPipe/NewPipe","show")</f>
        <v>show</v>
      </c>
      <c r="F5756" t="str">
        <f>HYPERLINK("https://github.com/TeamNewPipe/NewPipe/releases","show")</f>
        <v>show</v>
      </c>
    </row>
    <row r="5757" spans="1:6">
      <c r="A5757" t="s">
        <v>17125</v>
      </c>
      <c r="B5757" t="s">
        <v>17126</v>
      </c>
      <c r="C5757" t="s">
        <v>17127</v>
      </c>
      <c r="D5757" t="str">
        <f>HYPERLINK("https://github.com/TeamNewPipe/NewPipe/issues/5698","show")</f>
        <v>show</v>
      </c>
      <c r="E5757" t="str">
        <f>HYPERLINK("https://github.com/TeamNewPipe/NewPipe","show")</f>
        <v>show</v>
      </c>
      <c r="F5757" t="str">
        <f>HYPERLINK("https://github.com/TeamNewPipe/NewPipe/releases","show")</f>
        <v>show</v>
      </c>
    </row>
    <row r="5758" spans="1:6">
      <c r="A5758" t="s">
        <v>17128</v>
      </c>
      <c r="B5758" t="s">
        <v>17129</v>
      </c>
      <c r="C5758" t="s">
        <v>17130</v>
      </c>
      <c r="D5758" t="str">
        <f>HYPERLINK("https://github.com/square/okhttp/issues/6569","show")</f>
        <v>show</v>
      </c>
      <c r="E5758" t="str">
        <f>HYPERLINK("https://github.com/square/okhttp","show")</f>
        <v>show</v>
      </c>
      <c r="F5758" t="str">
        <f>HYPERLINK("https://github.com/square/okhttp/releases","show")</f>
        <v>show</v>
      </c>
    </row>
    <row r="5759" spans="1:6">
      <c r="A5759" t="s">
        <v>17131</v>
      </c>
      <c r="B5759" t="s">
        <v>17132</v>
      </c>
      <c r="C5759" t="s">
        <v>17133</v>
      </c>
      <c r="D5759" t="str">
        <f>HYPERLINK("https://github.com/TeamNewPipe/NewPipe/issues/5695","show")</f>
        <v>show</v>
      </c>
      <c r="E5759" t="str">
        <f>HYPERLINK("https://github.com/TeamNewPipe/NewPipe","show")</f>
        <v>show</v>
      </c>
      <c r="F5759" t="str">
        <f>HYPERLINK("https://github.com/TeamNewPipe/NewPipe/releases","show")</f>
        <v>show</v>
      </c>
    </row>
    <row r="5760" spans="1:6">
      <c r="A5760" t="s">
        <v>17134</v>
      </c>
      <c r="B5760" t="s">
        <v>17135</v>
      </c>
      <c r="C5760" t="s">
        <v>17136</v>
      </c>
      <c r="D5760" t="str">
        <f>HYPERLINK("https://github.com/libgdx/libgdx/issues/6432","show")</f>
        <v>show</v>
      </c>
      <c r="E5760" t="str">
        <f>HYPERLINK("https://github.com/libgdx/libgdx","show")</f>
        <v>show</v>
      </c>
      <c r="F5760" t="str">
        <f>HYPERLINK("https://github.com/libgdx/libgdx/releases","show")</f>
        <v>show</v>
      </c>
    </row>
    <row r="5761" spans="1:6">
      <c r="A5761" t="s">
        <v>17137</v>
      </c>
      <c r="B5761" t="s">
        <v>17138</v>
      </c>
      <c r="C5761" t="s">
        <v>17139</v>
      </c>
      <c r="D5761" t="str">
        <f>HYPERLINK("https://github.com/Anuken/Mindustry/issues/4770","show")</f>
        <v>show</v>
      </c>
      <c r="E5761" t="str">
        <f>HYPERLINK("https://github.com/Anuken/Mindustry","show")</f>
        <v>show</v>
      </c>
      <c r="F5761" t="str">
        <f>HYPERLINK("https://github.com/Anuken/Mindustry/releases","show")</f>
        <v>show</v>
      </c>
    </row>
    <row r="5762" spans="1:6">
      <c r="A5762" t="s">
        <v>17140</v>
      </c>
      <c r="B5762" t="s">
        <v>17141</v>
      </c>
      <c r="C5762" t="s">
        <v>17142</v>
      </c>
      <c r="D5762" t="str">
        <f>HYPERLINK("https://github.com/ZogopZ/to-do/issues/53","show")</f>
        <v>show</v>
      </c>
      <c r="E5762" t="str">
        <f>HYPERLINK("https://github.com/ZogopZ/to-do","show")</f>
        <v>show</v>
      </c>
      <c r="F5762" t="str">
        <f>HYPERLINK("https://github.com/ZogopZ/to-do/releases","show")</f>
        <v>show</v>
      </c>
    </row>
    <row r="5763" spans="1:6">
      <c r="A5763" t="s">
        <v>17143</v>
      </c>
      <c r="B5763" t="s">
        <v>17144</v>
      </c>
      <c r="C5763" t="s">
        <v>17145</v>
      </c>
      <c r="D5763" t="str">
        <f>HYPERLINK("https://github.com/opensrp/opensrp-client-chw/issues/1714","show")</f>
        <v>show</v>
      </c>
      <c r="E5763" t="str">
        <f>HYPERLINK("https://github.com/opensrp/opensrp-client-chw","show")</f>
        <v>show</v>
      </c>
      <c r="F5763" t="str">
        <f>HYPERLINK("https://github.com/opensrp/opensrp-client-chw/releases","show")</f>
        <v>show</v>
      </c>
    </row>
    <row r="5764" spans="1:6">
      <c r="A5764" t="s">
        <v>17146</v>
      </c>
      <c r="B5764" t="s">
        <v>17147</v>
      </c>
      <c r="C5764" t="s">
        <v>17148</v>
      </c>
      <c r="D5764" t="str">
        <f>HYPERLINK("https://github.com/gluonhq/substrate/issues/879","show")</f>
        <v>show</v>
      </c>
      <c r="E5764" t="str">
        <f>HYPERLINK("https://github.com/gluonhq/substrate","show")</f>
        <v>show</v>
      </c>
      <c r="F5764" t="str">
        <f>HYPERLINK("https://github.com/gluonhq/substrate/releases","show")</f>
        <v>show</v>
      </c>
    </row>
    <row r="5765" spans="1:6">
      <c r="A5765" t="s">
        <v>17149</v>
      </c>
      <c r="B5765" t="s">
        <v>17150</v>
      </c>
      <c r="C5765" t="s">
        <v>17151</v>
      </c>
      <c r="D5765" t="str">
        <f>HYPERLINK("https://github.com/onaio/rdt-standard/issues/813","show")</f>
        <v>show</v>
      </c>
      <c r="E5765" t="str">
        <f>HYPERLINK("https://github.com/onaio/rdt-standard","show")</f>
        <v>show</v>
      </c>
      <c r="F5765" t="str">
        <f>HYPERLINK("https://github.com/onaio/rdt-standard/releases","show")</f>
        <v>show</v>
      </c>
    </row>
    <row r="5766" spans="1:6">
      <c r="A5766" t="s">
        <v>17152</v>
      </c>
      <c r="B5766" t="s">
        <v>17153</v>
      </c>
      <c r="C5766" t="s">
        <v>17154</v>
      </c>
      <c r="D5766" t="str">
        <f>HYPERLINK("https://github.com/PojavLauncherTeam/PojavLauncher/issues/945","show")</f>
        <v>show</v>
      </c>
      <c r="E5766" t="str">
        <f>HYPERLINK("https://github.com/PojavLauncherTeam/PojavLauncher","show")</f>
        <v>show</v>
      </c>
      <c r="F5766" t="str">
        <f>HYPERLINK("https://github.com/PojavLauncherTeam/PojavLauncher/releases","show")</f>
        <v>show</v>
      </c>
    </row>
    <row r="5767" spans="1:6">
      <c r="A5767" t="s">
        <v>17155</v>
      </c>
      <c r="B5767" t="s">
        <v>17156</v>
      </c>
      <c r="C5767" t="s">
        <v>17157</v>
      </c>
      <c r="D5767" t="str">
        <f>HYPERLINK("https://github.com/TeamNewPipe/NewPipe/issues/5682","show")</f>
        <v>show</v>
      </c>
      <c r="E5767" t="str">
        <f>HYPERLINK("https://github.com/TeamNewPipe/NewPipe","show")</f>
        <v>show</v>
      </c>
      <c r="F5767" t="str">
        <f>HYPERLINK("https://github.com/TeamNewPipe/NewPipe/releases","show")</f>
        <v>show</v>
      </c>
    </row>
    <row r="5768" spans="1:6">
      <c r="A5768" t="s">
        <v>17158</v>
      </c>
      <c r="B5768" t="s">
        <v>17159</v>
      </c>
      <c r="C5768" t="s">
        <v>17160</v>
      </c>
      <c r="D5768" t="str">
        <f>HYPERLINK("https://github.com/UniRegensburg/unsere-app-fur-die-universitat-regensburg-bib-buddy/issues/73","show")</f>
        <v>show</v>
      </c>
      <c r="E5768" t="str">
        <f>HYPERLINK("https://github.com/UniRegensburg/unsere-app-fur-die-universitat-regensburg-bib-buddy","show")</f>
        <v>show</v>
      </c>
      <c r="F5768" t="str">
        <f>HYPERLINK("https://github.com/UniRegensburg/unsere-app-fur-die-universitat-regensburg-bib-buddy/releases","show")</f>
        <v>show</v>
      </c>
    </row>
    <row r="5769" spans="1:6">
      <c r="A5769" t="s">
        <v>17161</v>
      </c>
      <c r="B5769" t="s">
        <v>17162</v>
      </c>
      <c r="C5769" t="s">
        <v>17163</v>
      </c>
      <c r="D5769" t="str">
        <f>HYPERLINK("https://github.com/TeamNewPipe/NewPipe/issues/5660","show")</f>
        <v>show</v>
      </c>
      <c r="E5769" t="str">
        <f>HYPERLINK("https://github.com/TeamNewPipe/NewPipe","show")</f>
        <v>show</v>
      </c>
      <c r="F5769" t="str">
        <f>HYPERLINK("https://github.com/TeamNewPipe/NewPipe/releases","show")</f>
        <v>show</v>
      </c>
    </row>
    <row r="5770" spans="1:6">
      <c r="A5770" t="s">
        <v>17164</v>
      </c>
      <c r="B5770" t="s">
        <v>17165</v>
      </c>
      <c r="C5770" t="s">
        <v>17166</v>
      </c>
      <c r="D5770" t="str">
        <f>HYPERLINK("https://github.com/matthewn4444/onscripter-plus-android/issues/24","show")</f>
        <v>show</v>
      </c>
      <c r="E5770" t="str">
        <f>HYPERLINK("https://github.com/matthewn4444/onscripter-plus-android","show")</f>
        <v>show</v>
      </c>
      <c r="F5770" t="str">
        <f>HYPERLINK("https://github.com/matthewn4444/onscripter-plus-android/releases","show")</f>
        <v>show</v>
      </c>
    </row>
    <row r="5771" spans="1:6">
      <c r="A5771" t="s">
        <v>17167</v>
      </c>
      <c r="B5771" t="s">
        <v>17168</v>
      </c>
      <c r="C5771" t="s">
        <v>17169</v>
      </c>
      <c r="D5771" t="str">
        <f>HYPERLINK("https://github.com/PojavLauncherTeam/PojavLauncher/issues/932","show")</f>
        <v>show</v>
      </c>
      <c r="E5771" t="str">
        <f>HYPERLINK("https://github.com/PojavLauncherTeam/PojavLauncher","show")</f>
        <v>show</v>
      </c>
      <c r="F5771" t="str">
        <f>HYPERLINK("https://github.com/PojavLauncherTeam/PojavLauncher/releases","show")</f>
        <v>show</v>
      </c>
    </row>
    <row r="5772" spans="1:6">
      <c r="A5772" t="s">
        <v>17170</v>
      </c>
      <c r="B5772" t="s">
        <v>17171</v>
      </c>
      <c r="C5772" t="s">
        <v>17172</v>
      </c>
      <c r="D5772" t="str">
        <f>HYPERLINK("https://github.com/PojavLauncherTeam/PojavLauncher/issues/930","show")</f>
        <v>show</v>
      </c>
      <c r="E5772" t="str">
        <f>HYPERLINK("https://github.com/PojavLauncherTeam/PojavLauncher","show")</f>
        <v>show</v>
      </c>
      <c r="F5772" t="str">
        <f>HYPERLINK("https://github.com/PojavLauncherTeam/PojavLauncher/releases","show")</f>
        <v>show</v>
      </c>
    </row>
    <row r="5773" spans="1:6">
      <c r="A5773" t="s">
        <v>17173</v>
      </c>
      <c r="B5773" t="s">
        <v>17174</v>
      </c>
      <c r="C5773" t="s">
        <v>17175</v>
      </c>
      <c r="D5773" t="str">
        <f>HYPERLINK("https://github.com/Neamar/KISS/issues/1687","show")</f>
        <v>show</v>
      </c>
      <c r="E5773" t="str">
        <f>HYPERLINK("https://github.com/Neamar/KISS","show")</f>
        <v>show</v>
      </c>
      <c r="F5773" t="str">
        <f>HYPERLINK("https://github.com/Neamar/KISS/releases","show")</f>
        <v>show</v>
      </c>
    </row>
    <row r="5774" spans="1:6">
      <c r="A5774" t="s">
        <v>17176</v>
      </c>
      <c r="B5774" t="s">
        <v>17177</v>
      </c>
      <c r="C5774" t="s">
        <v>17178</v>
      </c>
      <c r="D5774" t="str">
        <f>HYPERLINK("https://github.com/google/ExoPlayer/issues/8612","show")</f>
        <v>show</v>
      </c>
      <c r="E5774" t="str">
        <f>HYPERLINK("https://github.com/google/ExoPlayer","show")</f>
        <v>show</v>
      </c>
      <c r="F5774" t="str">
        <f>HYPERLINK("https://github.com/google/ExoPlayer/releases","show")</f>
        <v>show</v>
      </c>
    </row>
    <row r="5775" spans="1:6">
      <c r="A5775" t="s">
        <v>17179</v>
      </c>
      <c r="B5775" t="s">
        <v>17180</v>
      </c>
      <c r="C5775" t="s">
        <v>17181</v>
      </c>
      <c r="D5775" t="str">
        <f>HYPERLINK("https://github.com/Anuken/Mindustry/issues/4739","show")</f>
        <v>show</v>
      </c>
      <c r="E5775" t="str">
        <f>HYPERLINK("https://github.com/Anuken/Mindustry","show")</f>
        <v>show</v>
      </c>
      <c r="F5775" t="str">
        <f>HYPERLINK("https://github.com/Anuken/Mindustry/releases","show")</f>
        <v>show</v>
      </c>
    </row>
    <row r="5776" spans="1:6">
      <c r="A5776" t="s">
        <v>17182</v>
      </c>
      <c r="B5776" t="s">
        <v>17183</v>
      </c>
      <c r="C5776" t="s">
        <v>17184</v>
      </c>
      <c r="D5776" t="str">
        <f>HYPERLINK("https://github.com/AOF-Dev/MCinaBox/issues/960","show")</f>
        <v>show</v>
      </c>
      <c r="E5776" t="str">
        <f>HYPERLINK("https://github.com/AOF-Dev/MCinaBox","show")</f>
        <v>show</v>
      </c>
      <c r="F5776" t="str">
        <f>HYPERLINK("https://github.com/AOF-Dev/MCinaBox/releases","show")</f>
        <v>show</v>
      </c>
    </row>
    <row r="5777" spans="1:6">
      <c r="A5777" t="s">
        <v>17185</v>
      </c>
      <c r="B5777" t="s">
        <v>17186</v>
      </c>
      <c r="C5777" t="s">
        <v>17187</v>
      </c>
      <c r="D5777" t="str">
        <f>HYPERLINK("https://github.com/PojavLauncherTeam/PojavLauncher/issues/927","show")</f>
        <v>show</v>
      </c>
      <c r="E5777" t="str">
        <f>HYPERLINK("https://github.com/PojavLauncherTeam/PojavLauncher","show")</f>
        <v>show</v>
      </c>
      <c r="F5777" t="str">
        <f>HYPERLINK("https://github.com/PojavLauncherTeam/PojavLauncher/releases","show")</f>
        <v>show</v>
      </c>
    </row>
    <row r="5778" spans="1:6">
      <c r="A5778" t="s">
        <v>17188</v>
      </c>
      <c r="B5778" t="s">
        <v>17189</v>
      </c>
      <c r="C5778" t="s">
        <v>17190</v>
      </c>
      <c r="D5778" t="str">
        <f>HYPERLINK("https://github.com/commons-app/apps-android-commons/issues/4254","show")</f>
        <v>show</v>
      </c>
      <c r="E5778" t="str">
        <f>HYPERLINK("https://github.com/commons-app/apps-android-commons","show")</f>
        <v>show</v>
      </c>
      <c r="F5778" t="str">
        <f>HYPERLINK("https://github.com/commons-app/apps-android-commons/releases","show")</f>
        <v>show</v>
      </c>
    </row>
    <row r="5779" spans="1:6">
      <c r="A5779" t="s">
        <v>17191</v>
      </c>
      <c r="B5779" t="s">
        <v>17192</v>
      </c>
      <c r="C5779" t="s">
        <v>17193</v>
      </c>
      <c r="D5779" t="str">
        <f>HYPERLINK("https://github.com/TeamNewPipe/NewPipe/issues/5642","show")</f>
        <v>show</v>
      </c>
      <c r="E5779" t="str">
        <f>HYPERLINK("https://github.com/TeamNewPipe/NewPipe","show")</f>
        <v>show</v>
      </c>
      <c r="F5779" t="str">
        <f>HYPERLINK("https://github.com/TeamNewPipe/NewPipe/releases","show")</f>
        <v>show</v>
      </c>
    </row>
    <row r="5780" spans="1:6">
      <c r="A5780" t="s">
        <v>17194</v>
      </c>
      <c r="B5780" t="s">
        <v>17195</v>
      </c>
      <c r="C5780" t="s">
        <v>17196</v>
      </c>
      <c r="D5780" t="str">
        <f>HYPERLINK("https://github.com/Anuken/Mindustry/issues/4733","show")</f>
        <v>show</v>
      </c>
      <c r="E5780" t="str">
        <f>HYPERLINK("https://github.com/Anuken/Mindustry","show")</f>
        <v>show</v>
      </c>
      <c r="F5780" t="str">
        <f>HYPERLINK("https://github.com/Anuken/Mindustry/releases","show")</f>
        <v>show</v>
      </c>
    </row>
    <row r="5781" spans="1:6">
      <c r="A5781" t="s">
        <v>17197</v>
      </c>
      <c r="B5781" t="s">
        <v>17198</v>
      </c>
      <c r="C5781" t="s">
        <v>17199</v>
      </c>
      <c r="D5781" t="str">
        <f>HYPERLINK("https://github.com/PojavLauncherTeam/PojavLauncher/issues/926","show")</f>
        <v>show</v>
      </c>
      <c r="E5781" t="str">
        <f>HYPERLINK("https://github.com/PojavLauncherTeam/PojavLauncher","show")</f>
        <v>show</v>
      </c>
      <c r="F5781" t="str">
        <f>HYPERLINK("https://github.com/PojavLauncherTeam/PojavLauncher/releases","show")</f>
        <v>show</v>
      </c>
    </row>
    <row r="5782" spans="1:6">
      <c r="A5782" t="s">
        <v>17200</v>
      </c>
      <c r="B5782" t="s">
        <v>17201</v>
      </c>
      <c r="C5782" t="s">
        <v>17202</v>
      </c>
      <c r="D5782" t="str">
        <f>HYPERLINK("https://github.com/PojavLauncherTeam/PojavLauncher/issues/925","show")</f>
        <v>show</v>
      </c>
      <c r="E5782" t="str">
        <f>HYPERLINK("https://github.com/PojavLauncherTeam/PojavLauncher","show")</f>
        <v>show</v>
      </c>
      <c r="F5782" t="str">
        <f>HYPERLINK("https://github.com/PojavLauncherTeam/PojavLauncher/releases","show")</f>
        <v>show</v>
      </c>
    </row>
    <row r="5783" spans="1:6">
      <c r="A5783" t="s">
        <v>17203</v>
      </c>
      <c r="B5783" t="s">
        <v>17204</v>
      </c>
      <c r="C5783" t="s">
        <v>17205</v>
      </c>
      <c r="D5783" t="str">
        <f>HYPERLINK("https://github.com/TeamNewPipe/NewPipe/issues/5638","show")</f>
        <v>show</v>
      </c>
      <c r="E5783" t="str">
        <f>HYPERLINK("https://github.com/TeamNewPipe/NewPipe","show")</f>
        <v>show</v>
      </c>
      <c r="F5783" t="str">
        <f>HYPERLINK("https://github.com/TeamNewPipe/NewPipe/releases","show")</f>
        <v>show</v>
      </c>
    </row>
    <row r="5784" spans="1:6">
      <c r="A5784" t="s">
        <v>17206</v>
      </c>
      <c r="B5784" t="s">
        <v>8936</v>
      </c>
      <c r="C5784" t="s">
        <v>10095</v>
      </c>
      <c r="D5784" t="str">
        <f>HYPERLINK("https://github.com/TeamNewPipe/NewPipe/issues/5634","show")</f>
        <v>show</v>
      </c>
      <c r="E5784" t="str">
        <f>HYPERLINK("https://github.com/TeamNewPipe/NewPipe","show")</f>
        <v>show</v>
      </c>
      <c r="F5784" t="str">
        <f>HYPERLINK("https://github.com/TeamNewPipe/NewPipe/releases","show")</f>
        <v>show</v>
      </c>
    </row>
    <row r="5785" spans="1:6">
      <c r="A5785" t="s">
        <v>17207</v>
      </c>
      <c r="B5785" t="s">
        <v>17208</v>
      </c>
      <c r="C5785" t="s">
        <v>17209</v>
      </c>
      <c r="D5785" t="str">
        <f>HYPERLINK("https://github.com/AOF-Dev/MCinaBox/issues/956","show")</f>
        <v>show</v>
      </c>
      <c r="E5785" t="str">
        <f>HYPERLINK("https://github.com/AOF-Dev/MCinaBox","show")</f>
        <v>show</v>
      </c>
      <c r="F5785" t="str">
        <f>HYPERLINK("https://github.com/AOF-Dev/MCinaBox/releases","show")</f>
        <v>show</v>
      </c>
    </row>
    <row r="5786" spans="1:6">
      <c r="A5786" t="s">
        <v>17210</v>
      </c>
      <c r="B5786" t="s">
        <v>17211</v>
      </c>
      <c r="C5786" t="s">
        <v>17212</v>
      </c>
      <c r="D5786" t="str">
        <f>HYPERLINK("https://github.com/UniRegensburg/unsere-app-fur-die-universitat-regensburg-bib-buddy/issues/68","show")</f>
        <v>show</v>
      </c>
      <c r="E5786" t="str">
        <f>HYPERLINK("https://github.com/UniRegensburg/unsere-app-fur-die-universitat-regensburg-bib-buddy","show")</f>
        <v>show</v>
      </c>
      <c r="F5786" t="str">
        <f>HYPERLINK("https://github.com/UniRegensburg/unsere-app-fur-die-universitat-regensburg-bib-buddy/releases","show")</f>
        <v>show</v>
      </c>
    </row>
    <row r="5787" spans="1:6">
      <c r="A5787" t="s">
        <v>17213</v>
      </c>
      <c r="B5787" t="s">
        <v>17214</v>
      </c>
      <c r="C5787" t="s">
        <v>17215</v>
      </c>
      <c r="D5787" t="str">
        <f>HYPERLINK("https://github.com/commons-app/apps-android-commons/issues/4244","show")</f>
        <v>show</v>
      </c>
      <c r="E5787" t="str">
        <f>HYPERLINK("https://github.com/commons-app/apps-android-commons","show")</f>
        <v>show</v>
      </c>
      <c r="F5787" t="str">
        <f>HYPERLINK("https://github.com/commons-app/apps-android-commons/releases","show")</f>
        <v>show</v>
      </c>
    </row>
    <row r="5788" spans="1:6">
      <c r="A5788" t="s">
        <v>17216</v>
      </c>
      <c r="B5788" t="s">
        <v>17217</v>
      </c>
      <c r="C5788" t="s">
        <v>17218</v>
      </c>
      <c r="D5788" t="str">
        <f>HYPERLINK("https://github.com/Anuken/Mindustry/issues/4721","show")</f>
        <v>show</v>
      </c>
      <c r="E5788" t="str">
        <f>HYPERLINK("https://github.com/Anuken/Mindustry","show")</f>
        <v>show</v>
      </c>
      <c r="F5788" t="str">
        <f>HYPERLINK("https://github.com/Anuken/Mindustry/releases","show")</f>
        <v>show</v>
      </c>
    </row>
    <row r="5789" spans="1:6">
      <c r="A5789" t="s">
        <v>17219</v>
      </c>
      <c r="B5789" t="s">
        <v>17220</v>
      </c>
      <c r="C5789" t="s">
        <v>17221</v>
      </c>
      <c r="D5789" t="str">
        <f>HYPERLINK("https://github.com/Anuken/Mindustry/issues/4720","show")</f>
        <v>show</v>
      </c>
      <c r="E5789" t="str">
        <f>HYPERLINK("https://github.com/Anuken/Mindustry","show")</f>
        <v>show</v>
      </c>
      <c r="F5789" t="str">
        <f>HYPERLINK("https://github.com/Anuken/Mindustry/releases","show")</f>
        <v>show</v>
      </c>
    </row>
    <row r="5790" spans="1:6">
      <c r="A5790" t="s">
        <v>17222</v>
      </c>
      <c r="B5790" t="s">
        <v>17223</v>
      </c>
      <c r="C5790" t="s">
        <v>17224</v>
      </c>
      <c r="D5790" t="str">
        <f>HYPERLINK("https://github.com/nextcloud/android/issues/8009","show")</f>
        <v>show</v>
      </c>
      <c r="E5790" t="str">
        <f>HYPERLINK("https://github.com/nextcloud/android","show")</f>
        <v>show</v>
      </c>
      <c r="F5790" t="str">
        <f>HYPERLINK("https://github.com/nextcloud/android/releases","show")</f>
        <v>show</v>
      </c>
    </row>
    <row r="5791" spans="1:6">
      <c r="A5791" t="s">
        <v>17225</v>
      </c>
      <c r="B5791" t="s">
        <v>17226</v>
      </c>
      <c r="C5791" t="s">
        <v>17227</v>
      </c>
      <c r="D5791" t="str">
        <f>HYPERLINK("https://github.com/SkyTubeTeam/SkyTube/issues/934","show")</f>
        <v>show</v>
      </c>
      <c r="E5791" t="str">
        <f>HYPERLINK("https://github.com/SkyTubeTeam/SkyTube","show")</f>
        <v>show</v>
      </c>
      <c r="F5791" t="str">
        <f>HYPERLINK("https://github.com/SkyTubeTeam/SkyTube/releases","show")</f>
        <v>show</v>
      </c>
    </row>
    <row r="5792" spans="1:6">
      <c r="A5792" t="s">
        <v>17228</v>
      </c>
      <c r="B5792" t="s">
        <v>17229</v>
      </c>
      <c r="C5792" t="s">
        <v>17230</v>
      </c>
      <c r="D5792" t="str">
        <f>HYPERLINK("https://github.com/ionic-team/capacitor-plugins/issues/257","show")</f>
        <v>show</v>
      </c>
      <c r="E5792" t="str">
        <f>HYPERLINK("https://github.com/ionic-team/capacitor-plugins","show")</f>
        <v>show</v>
      </c>
      <c r="F5792" t="str">
        <f>HYPERLINK("https://github.com/ionic-team/capacitor-plugins/releases","show")</f>
        <v>show</v>
      </c>
    </row>
    <row r="5793" spans="1:6">
      <c r="A5793" t="s">
        <v>17231</v>
      </c>
      <c r="B5793" t="s">
        <v>17232</v>
      </c>
      <c r="C5793" t="s">
        <v>17233</v>
      </c>
      <c r="D5793" t="str">
        <f>HYPERLINK("https://github.com/TeamNewPipe/NewPipe/issues/5617","show")</f>
        <v>show</v>
      </c>
      <c r="E5793" t="str">
        <f>HYPERLINK("https://github.com/TeamNewPipe/NewPipe","show")</f>
        <v>show</v>
      </c>
      <c r="F5793" t="str">
        <f>HYPERLINK("https://github.com/TeamNewPipe/NewPipe/releases","show")</f>
        <v>show</v>
      </c>
    </row>
    <row r="5794" spans="1:6">
      <c r="A5794" t="s">
        <v>17234</v>
      </c>
      <c r="B5794" t="s">
        <v>17235</v>
      </c>
      <c r="C5794" t="s">
        <v>17236</v>
      </c>
      <c r="D5794" t="str">
        <f>HYPERLINK("https://github.com/TeamNewPipe/NewPipe/issues/5616","show")</f>
        <v>show</v>
      </c>
      <c r="E5794" t="str">
        <f>HYPERLINK("https://github.com/TeamNewPipe/NewPipe","show")</f>
        <v>show</v>
      </c>
      <c r="F5794" t="str">
        <f>HYPERLINK("https://github.com/TeamNewPipe/NewPipe/releases","show")</f>
        <v>show</v>
      </c>
    </row>
    <row r="5795" spans="1:6">
      <c r="A5795" t="s">
        <v>17237</v>
      </c>
      <c r="B5795" t="s">
        <v>17238</v>
      </c>
      <c r="C5795" t="s">
        <v>17239</v>
      </c>
      <c r="D5795" t="str">
        <f>HYPERLINK("https://github.com/TotalCross/totalcross/issues/304","show")</f>
        <v>show</v>
      </c>
      <c r="E5795" t="str">
        <f>HYPERLINK("https://github.com/TotalCross/totalcross","show")</f>
        <v>show</v>
      </c>
      <c r="F5795" t="str">
        <f>HYPERLINK("https://github.com/TotalCross/totalcross/releases","show")</f>
        <v>show</v>
      </c>
    </row>
    <row r="5796" spans="1:6">
      <c r="A5796" t="s">
        <v>17240</v>
      </c>
      <c r="B5796" t="s">
        <v>17241</v>
      </c>
      <c r="C5796" t="s">
        <v>17242</v>
      </c>
      <c r="D5796" t="str">
        <f>HYPERLINK("https://github.com/getsentry/sentry-java/issues/1266","show")</f>
        <v>show</v>
      </c>
      <c r="E5796" t="str">
        <f>HYPERLINK("https://github.com/getsentry/sentry-java","show")</f>
        <v>show</v>
      </c>
      <c r="F5796" t="str">
        <f>HYPERLINK("https://github.com/getsentry/sentry-java/releases","show")</f>
        <v>show</v>
      </c>
    </row>
    <row r="5797" spans="1:6">
      <c r="A5797" t="s">
        <v>17243</v>
      </c>
      <c r="B5797" t="s">
        <v>17244</v>
      </c>
      <c r="C5797" t="s">
        <v>17245</v>
      </c>
      <c r="D5797" t="str">
        <f>HYPERLINK("https://github.com/PojavLauncherTeam/PojavLauncher/issues/911","show")</f>
        <v>show</v>
      </c>
      <c r="E5797" t="str">
        <f>HYPERLINK("https://github.com/PojavLauncherTeam/PojavLauncher","show")</f>
        <v>show</v>
      </c>
      <c r="F5797" t="str">
        <f>HYPERLINK("https://github.com/PojavLauncherTeam/PojavLauncher/releases","show")</f>
        <v>show</v>
      </c>
    </row>
    <row r="5798" spans="1:6">
      <c r="A5798" t="s">
        <v>17246</v>
      </c>
      <c r="B5798" t="s">
        <v>17247</v>
      </c>
      <c r="C5798" t="s">
        <v>17248</v>
      </c>
      <c r="D5798" t="str">
        <f>HYPERLINK("https://github.com/square/okhttp/issues/6562","show")</f>
        <v>show</v>
      </c>
      <c r="E5798" t="str">
        <f>HYPERLINK("https://github.com/square/okhttp","show")</f>
        <v>show</v>
      </c>
      <c r="F5798" t="str">
        <f>HYPERLINK("https://github.com/square/okhttp/releases","show")</f>
        <v>show</v>
      </c>
    </row>
    <row r="5799" spans="1:6">
      <c r="A5799" t="s">
        <v>17249</v>
      </c>
      <c r="B5799" t="s">
        <v>17250</v>
      </c>
      <c r="C5799" t="s">
        <v>17251</v>
      </c>
      <c r="D5799" t="str">
        <f>HYPERLINK("https://github.com/MrPeanutbutter434/PhoneFreedom/issues/1","show")</f>
        <v>show</v>
      </c>
      <c r="E5799" t="str">
        <f>HYPERLINK("https://github.com/MrPeanutbutter434/PhoneFreedom","show")</f>
        <v>show</v>
      </c>
      <c r="F5799" t="str">
        <f>HYPERLINK("https://github.com/MrPeanutbutter434/PhoneFreedom/releases","show")</f>
        <v>show</v>
      </c>
    </row>
    <row r="5800" spans="1:6">
      <c r="A5800" t="s">
        <v>17252</v>
      </c>
      <c r="B5800" t="s">
        <v>17253</v>
      </c>
      <c r="C5800" t="s">
        <v>17254</v>
      </c>
      <c r="D5800" t="str">
        <f>HYPERLINK("https://github.com/TeamNewPipe/NewPipe/issues/5612","show")</f>
        <v>show</v>
      </c>
      <c r="E5800" t="str">
        <f>HYPERLINK("https://github.com/TeamNewPipe/NewPipe","show")</f>
        <v>show</v>
      </c>
      <c r="F5800" t="str">
        <f>HYPERLINK("https://github.com/TeamNewPipe/NewPipe/releases","show")</f>
        <v>show</v>
      </c>
    </row>
    <row r="5801" spans="1:6">
      <c r="A5801" t="s">
        <v>17255</v>
      </c>
      <c r="B5801" t="s">
        <v>17256</v>
      </c>
      <c r="C5801" t="s">
        <v>17257</v>
      </c>
      <c r="D5801" t="str">
        <f>HYPERLINK("https://github.com/inaturalist/iNaturalistAndroid/issues/985","show")</f>
        <v>show</v>
      </c>
      <c r="E5801" t="str">
        <f>HYPERLINK("https://github.com/inaturalist/iNaturalistAndroid","show")</f>
        <v>show</v>
      </c>
      <c r="F5801" t="str">
        <f>HYPERLINK("https://github.com/inaturalist/iNaturalistAndroid/releases","show")</f>
        <v>show</v>
      </c>
    </row>
    <row r="5802" spans="1:6">
      <c r="A5802" t="s">
        <v>17258</v>
      </c>
      <c r="B5802" t="s">
        <v>17259</v>
      </c>
      <c r="C5802" t="s">
        <v>17260</v>
      </c>
      <c r="D5802" t="str">
        <f>HYPERLINK("https://github.com/Anuken/Mindustry/issues/4702","show")</f>
        <v>show</v>
      </c>
      <c r="E5802" t="str">
        <f>HYPERLINK("https://github.com/Anuken/Mindustry","show")</f>
        <v>show</v>
      </c>
      <c r="F5802" t="str">
        <f>HYPERLINK("https://github.com/Anuken/Mindustry/releases","show")</f>
        <v>show</v>
      </c>
    </row>
    <row r="5803" spans="1:6">
      <c r="A5803" t="s">
        <v>17261</v>
      </c>
      <c r="B5803" t="s">
        <v>17262</v>
      </c>
      <c r="C5803" t="s">
        <v>17263</v>
      </c>
      <c r="D5803" t="str">
        <f>HYPERLINK("https://github.com/oliexdev/openScale/issues/701","show")</f>
        <v>show</v>
      </c>
      <c r="E5803" t="str">
        <f>HYPERLINK("https://github.com/oliexdev/openScale","show")</f>
        <v>show</v>
      </c>
      <c r="F5803" t="str">
        <f>HYPERLINK("https://github.com/oliexdev/openScale/releases","show")</f>
        <v>show</v>
      </c>
    </row>
    <row r="5804" spans="1:6">
      <c r="A5804" t="s">
        <v>17264</v>
      </c>
      <c r="B5804" t="s">
        <v>17265</v>
      </c>
      <c r="C5804" t="s">
        <v>17266</v>
      </c>
      <c r="D5804" t="str">
        <f>HYPERLINK("https://github.com/opensrp/opensrp-client-path-zeir/issues/62","show")</f>
        <v>show</v>
      </c>
      <c r="E5804" t="str">
        <f>HYPERLINK("https://github.com/opensrp/opensrp-client-path-zeir","show")</f>
        <v>show</v>
      </c>
      <c r="F5804" t="str">
        <f>HYPERLINK("https://github.com/opensrp/opensrp-client-path-zeir/releases","show")</f>
        <v>show</v>
      </c>
    </row>
    <row r="5805" spans="1:6">
      <c r="A5805" t="s">
        <v>17267</v>
      </c>
      <c r="B5805" t="s">
        <v>17268</v>
      </c>
      <c r="C5805" t="s">
        <v>17269</v>
      </c>
      <c r="D5805" t="str">
        <f>HYPERLINK("https://github.com/MuntashirAkon/AppManager/issues/286","show")</f>
        <v>show</v>
      </c>
      <c r="E5805" t="str">
        <f>HYPERLINK("https://github.com/MuntashirAkon/AppManager","show")</f>
        <v>show</v>
      </c>
      <c r="F5805" t="str">
        <f>HYPERLINK("https://github.com/MuntashirAkon/AppManager/releases","show")</f>
        <v>show</v>
      </c>
    </row>
    <row r="5806" spans="1:6">
      <c r="A5806" t="s">
        <v>17270</v>
      </c>
      <c r="B5806" t="s">
        <v>17271</v>
      </c>
      <c r="C5806" t="s">
        <v>17272</v>
      </c>
      <c r="D5806" t="str">
        <f>HYPERLINK("https://github.com/material-components/material-components-android/issues/2073","show")</f>
        <v>show</v>
      </c>
      <c r="E5806" t="str">
        <f>HYPERLINK("https://github.com/material-components/material-components-android","show")</f>
        <v>show</v>
      </c>
      <c r="F5806" t="str">
        <f>HYPERLINK("https://github.com/material-components/material-components-android/releases","show")</f>
        <v>show</v>
      </c>
    </row>
    <row r="5807" spans="1:6">
      <c r="A5807" t="s">
        <v>17273</v>
      </c>
      <c r="B5807" t="s">
        <v>17274</v>
      </c>
      <c r="C5807" t="s">
        <v>17275</v>
      </c>
      <c r="D5807" t="str">
        <f>HYPERLINK("https://github.com/TeamNewPipe/NewPipe/issues/5608","show")</f>
        <v>show</v>
      </c>
      <c r="E5807" t="str">
        <f>HYPERLINK("https://github.com/TeamNewPipe/NewPipe","show")</f>
        <v>show</v>
      </c>
      <c r="F5807" t="str">
        <f>HYPERLINK("https://github.com/TeamNewPipe/NewPipe/releases","show")</f>
        <v>show</v>
      </c>
    </row>
    <row r="5808" spans="1:6">
      <c r="A5808" t="s">
        <v>17276</v>
      </c>
      <c r="B5808" t="s">
        <v>17277</v>
      </c>
      <c r="C5808" t="s">
        <v>17278</v>
      </c>
      <c r="D5808" t="str">
        <f>HYPERLINK("https://github.com/TeamNewPipe/NewPipe-legacy/issues/63","show")</f>
        <v>show</v>
      </c>
      <c r="E5808" t="str">
        <f>HYPERLINK("https://github.com/TeamNewPipe/NewPipe-legacy","show")</f>
        <v>show</v>
      </c>
      <c r="F5808" t="str">
        <f>HYPERLINK("https://github.com/TeamNewPipe/NewPipe-legacy/releases","show")</f>
        <v>show</v>
      </c>
    </row>
    <row r="5809" spans="1:6">
      <c r="A5809" t="s">
        <v>17279</v>
      </c>
      <c r="B5809" t="s">
        <v>17280</v>
      </c>
      <c r="C5809" t="s">
        <v>17281</v>
      </c>
      <c r="D5809" t="str">
        <f>HYPERLINK("https://github.com/TeamNewPipe/NewPipe/issues/5603","show")</f>
        <v>show</v>
      </c>
      <c r="E5809" t="str">
        <f>HYPERLINK("https://github.com/TeamNewPipe/NewPipe","show")</f>
        <v>show</v>
      </c>
      <c r="F5809" t="str">
        <f>HYPERLINK("https://github.com/TeamNewPipe/NewPipe/releases","show")</f>
        <v>show</v>
      </c>
    </row>
    <row r="5810" spans="1:6">
      <c r="A5810" t="s">
        <v>17282</v>
      </c>
      <c r="B5810" t="s">
        <v>17283</v>
      </c>
      <c r="C5810" t="s">
        <v>17284</v>
      </c>
      <c r="D5810" t="str">
        <f>HYPERLINK("https://github.com/aws-amplify/amplify-android/issues/1174","show")</f>
        <v>show</v>
      </c>
      <c r="E5810" t="str">
        <f>HYPERLINK("https://github.com/aws-amplify/amplify-android","show")</f>
        <v>show</v>
      </c>
      <c r="F5810" t="str">
        <f>HYPERLINK("https://github.com/aws-amplify/amplify-android/releases","show")</f>
        <v>show</v>
      </c>
    </row>
    <row r="5811" spans="1:6">
      <c r="A5811" t="s">
        <v>17285</v>
      </c>
      <c r="B5811" t="s">
        <v>17286</v>
      </c>
      <c r="C5811" t="s">
        <v>17287</v>
      </c>
      <c r="D5811" t="str">
        <f>HYPERLINK("https://github.com/MuntashirAkon/AppManager/issues/284","show")</f>
        <v>show</v>
      </c>
      <c r="E5811" t="str">
        <f>HYPERLINK("https://github.com/MuntashirAkon/AppManager","show")</f>
        <v>show</v>
      </c>
      <c r="F5811" t="str">
        <f>HYPERLINK("https://github.com/MuntashirAkon/AppManager/releases","show")</f>
        <v>show</v>
      </c>
    </row>
    <row r="5812" spans="1:6">
      <c r="A5812" t="s">
        <v>17288</v>
      </c>
      <c r="B5812" t="s">
        <v>17289</v>
      </c>
      <c r="C5812" t="s">
        <v>17290</v>
      </c>
      <c r="D5812" t="str">
        <f>HYPERLINK("https://github.com/Anuken/Mindustry/issues/4693","show")</f>
        <v>show</v>
      </c>
      <c r="E5812" t="str">
        <f>HYPERLINK("https://github.com/Anuken/Mindustry","show")</f>
        <v>show</v>
      </c>
      <c r="F5812" t="str">
        <f>HYPERLINK("https://github.com/Anuken/Mindustry/releases","show")</f>
        <v>show</v>
      </c>
    </row>
    <row r="5813" spans="1:6">
      <c r="A5813" t="s">
        <v>17291</v>
      </c>
      <c r="B5813" t="s">
        <v>17292</v>
      </c>
      <c r="C5813" t="s">
        <v>17293</v>
      </c>
      <c r="D5813" t="str">
        <f>HYPERLINK("https://github.com/Anuken/Mindustry/issues/4692","show")</f>
        <v>show</v>
      </c>
      <c r="E5813" t="str">
        <f>HYPERLINK("https://github.com/Anuken/Mindustry","show")</f>
        <v>show</v>
      </c>
      <c r="F5813" t="str">
        <f>HYPERLINK("https://github.com/Anuken/Mindustry/releases","show")</f>
        <v>show</v>
      </c>
    </row>
    <row r="5814" spans="1:6">
      <c r="A5814" t="s">
        <v>17294</v>
      </c>
      <c r="B5814" t="s">
        <v>17295</v>
      </c>
      <c r="C5814" t="s">
        <v>17296</v>
      </c>
      <c r="D5814" t="str">
        <f>HYPERLINK("https://github.com/TeamNewPipe/NewPipe/issues/5602","show")</f>
        <v>show</v>
      </c>
      <c r="E5814" t="str">
        <f>HYPERLINK("https://github.com/TeamNewPipe/NewPipe","show")</f>
        <v>show</v>
      </c>
      <c r="F5814" t="str">
        <f>HYPERLINK("https://github.com/TeamNewPipe/NewPipe/releases","show")</f>
        <v>show</v>
      </c>
    </row>
    <row r="5815" spans="1:6">
      <c r="A5815" t="s">
        <v>17297</v>
      </c>
      <c r="B5815" t="s">
        <v>17298</v>
      </c>
      <c r="C5815" t="s">
        <v>17299</v>
      </c>
      <c r="D5815" t="str">
        <f>HYPERLINK("https://github.com/commons-app/apps-android-commons/issues/4232","show")</f>
        <v>show</v>
      </c>
      <c r="E5815" t="str">
        <f>HYPERLINK("https://github.com/commons-app/apps-android-commons","show")</f>
        <v>show</v>
      </c>
      <c r="F5815" t="str">
        <f>HYPERLINK("https://github.com/commons-app/apps-android-commons/releases","show")</f>
        <v>show</v>
      </c>
    </row>
    <row r="5816" spans="1:6">
      <c r="A5816" t="s">
        <v>17300</v>
      </c>
      <c r="B5816" t="s">
        <v>17274</v>
      </c>
      <c r="C5816" t="s">
        <v>17301</v>
      </c>
      <c r="D5816" t="str">
        <f>HYPERLINK("https://github.com/TeamNewPipe/NewPipe/issues/5601","show")</f>
        <v>show</v>
      </c>
      <c r="E5816" t="str">
        <f>HYPERLINK("https://github.com/TeamNewPipe/NewPipe","show")</f>
        <v>show</v>
      </c>
      <c r="F5816" t="str">
        <f>HYPERLINK("https://github.com/TeamNewPipe/NewPipe/releases","show")</f>
        <v>show</v>
      </c>
    </row>
    <row r="5817" spans="1:6">
      <c r="A5817" t="s">
        <v>17302</v>
      </c>
      <c r="B5817" t="s">
        <v>17303</v>
      </c>
      <c r="C5817" t="s">
        <v>17304</v>
      </c>
      <c r="D5817" t="str">
        <f>HYPERLINK("https://github.com/nextcloud/android/issues/7990","show")</f>
        <v>show</v>
      </c>
      <c r="E5817" t="str">
        <f>HYPERLINK("https://github.com/nextcloud/android","show")</f>
        <v>show</v>
      </c>
      <c r="F5817" t="str">
        <f>HYPERLINK("https://github.com/nextcloud/android/releases","show")</f>
        <v>show</v>
      </c>
    </row>
    <row r="5818" spans="1:6">
      <c r="A5818" t="s">
        <v>17305</v>
      </c>
      <c r="B5818" t="s">
        <v>17306</v>
      </c>
      <c r="C5818" t="s">
        <v>17307</v>
      </c>
      <c r="D5818" t="str">
        <f>HYPERLINK("https://github.com/TeamNewPipe/NewPipe/issues/5599","show")</f>
        <v>show</v>
      </c>
      <c r="E5818" t="str">
        <f>HYPERLINK("https://github.com/TeamNewPipe/NewPipe","show")</f>
        <v>show</v>
      </c>
      <c r="F5818" t="str">
        <f>HYPERLINK("https://github.com/TeamNewPipe/NewPipe/releases","show")</f>
        <v>show</v>
      </c>
    </row>
    <row r="5819" spans="1:6">
      <c r="A5819" t="s">
        <v>17308</v>
      </c>
      <c r="B5819" t="s">
        <v>17309</v>
      </c>
      <c r="C5819" t="s">
        <v>17310</v>
      </c>
      <c r="D5819" t="str">
        <f>HYPERLINK("https://github.com/nextcloud/android/issues/7989","show")</f>
        <v>show</v>
      </c>
      <c r="E5819" t="str">
        <f>HYPERLINK("https://github.com/nextcloud/android","show")</f>
        <v>show</v>
      </c>
      <c r="F5819" t="str">
        <f>HYPERLINK("https://github.com/nextcloud/android/releases","show")</f>
        <v>show</v>
      </c>
    </row>
    <row r="5820" spans="1:6">
      <c r="A5820" t="s">
        <v>17311</v>
      </c>
      <c r="B5820" t="s">
        <v>17312</v>
      </c>
      <c r="C5820" t="s">
        <v>17313</v>
      </c>
      <c r="D5820" t="str">
        <f>HYPERLINK("https://github.com/Anuken/Mindustry/issues/4685","show")</f>
        <v>show</v>
      </c>
      <c r="E5820" t="str">
        <f>HYPERLINK("https://github.com/Anuken/Mindustry","show")</f>
        <v>show</v>
      </c>
      <c r="F5820" t="str">
        <f>HYPERLINK("https://github.com/Anuken/Mindustry/releases","show")</f>
        <v>show</v>
      </c>
    </row>
    <row r="5821" spans="1:6">
      <c r="A5821" t="s">
        <v>17314</v>
      </c>
      <c r="B5821" t="s">
        <v>17315</v>
      </c>
      <c r="C5821" t="s">
        <v>17316</v>
      </c>
      <c r="D5821" t="str">
        <f>HYPERLINK("https://github.com/nextcloud/android/issues/7988","show")</f>
        <v>show</v>
      </c>
      <c r="E5821" t="str">
        <f>HYPERLINK("https://github.com/nextcloud/android","show")</f>
        <v>show</v>
      </c>
      <c r="F5821" t="str">
        <f>HYPERLINK("https://github.com/nextcloud/android/releases","show")</f>
        <v>show</v>
      </c>
    </row>
    <row r="5822" spans="1:6">
      <c r="A5822" t="s">
        <v>17317</v>
      </c>
      <c r="B5822" t="s">
        <v>17318</v>
      </c>
      <c r="C5822" t="s">
        <v>10095</v>
      </c>
      <c r="D5822" t="str">
        <f>HYPERLINK("https://github.com/TeamNewPipe/NewPipe/issues/5597","show")</f>
        <v>show</v>
      </c>
      <c r="E5822" t="str">
        <f>HYPERLINK("https://github.com/TeamNewPipe/NewPipe","show")</f>
        <v>show</v>
      </c>
      <c r="F5822" t="str">
        <f>HYPERLINK("https://github.com/TeamNewPipe/NewPipe/releases","show")</f>
        <v>show</v>
      </c>
    </row>
    <row r="5823" spans="1:6">
      <c r="A5823" t="s">
        <v>17319</v>
      </c>
      <c r="B5823" t="s">
        <v>17320</v>
      </c>
      <c r="C5823" t="s">
        <v>17321</v>
      </c>
      <c r="D5823" t="str">
        <f>HYPERLINK("https://github.com/TeamNewPipe/NewPipe/issues/5596","show")</f>
        <v>show</v>
      </c>
      <c r="E5823" t="str">
        <f>HYPERLINK("https://github.com/TeamNewPipe/NewPipe","show")</f>
        <v>show</v>
      </c>
      <c r="F5823" t="str">
        <f>HYPERLINK("https://github.com/TeamNewPipe/NewPipe/releases","show")</f>
        <v>show</v>
      </c>
    </row>
    <row r="5824" spans="1:6">
      <c r="A5824" t="s">
        <v>17322</v>
      </c>
      <c r="B5824" t="s">
        <v>10530</v>
      </c>
      <c r="C5824" t="s">
        <v>17323</v>
      </c>
      <c r="D5824" t="str">
        <f>HYPERLINK("https://github.com/PojavLauncherTeam/PojavLauncher/issues/896","show")</f>
        <v>show</v>
      </c>
      <c r="E5824" t="str">
        <f>HYPERLINK("https://github.com/PojavLauncherTeam/PojavLauncher","show")</f>
        <v>show</v>
      </c>
      <c r="F5824" t="str">
        <f>HYPERLINK("https://github.com/PojavLauncherTeam/PojavLauncher/releases","show")</f>
        <v>show</v>
      </c>
    </row>
    <row r="5825" spans="1:6">
      <c r="A5825" t="s">
        <v>17324</v>
      </c>
      <c r="B5825" t="s">
        <v>17325</v>
      </c>
      <c r="C5825" t="s">
        <v>17326</v>
      </c>
      <c r="D5825" t="str">
        <f>HYPERLINK("https://github.com/nextcloud/android/issues/7986","show")</f>
        <v>show</v>
      </c>
      <c r="E5825" t="str">
        <f>HYPERLINK("https://github.com/nextcloud/android","show")</f>
        <v>show</v>
      </c>
      <c r="F5825" t="str">
        <f>HYPERLINK("https://github.com/nextcloud/android/releases","show")</f>
        <v>show</v>
      </c>
    </row>
    <row r="5826" spans="1:6">
      <c r="A5826" t="s">
        <v>17327</v>
      </c>
      <c r="B5826" t="s">
        <v>17328</v>
      </c>
      <c r="C5826" t="s">
        <v>17329</v>
      </c>
      <c r="D5826" t="str">
        <f>HYPERLINK("https://github.com/Anuken/Mindustry/issues/4680","show")</f>
        <v>show</v>
      </c>
      <c r="E5826" t="str">
        <f>HYPERLINK("https://github.com/Anuken/Mindustry","show")</f>
        <v>show</v>
      </c>
      <c r="F5826" t="str">
        <f>HYPERLINK("https://github.com/Anuken/Mindustry/releases","show")</f>
        <v>show</v>
      </c>
    </row>
    <row r="5827" spans="1:6">
      <c r="A5827" t="s">
        <v>17330</v>
      </c>
      <c r="B5827" t="s">
        <v>17331</v>
      </c>
      <c r="C5827" t="s">
        <v>17332</v>
      </c>
      <c r="D5827" t="str">
        <f>HYPERLINK("https://github.com/woesss/JL-Mod/issues/22","show")</f>
        <v>show</v>
      </c>
      <c r="E5827" t="str">
        <f>HYPERLINK("https://github.com/woesss/JL-Mod","show")</f>
        <v>show</v>
      </c>
      <c r="F5827" t="str">
        <f>HYPERLINK("https://github.com/woesss/JL-Mod/releases","show")</f>
        <v>show</v>
      </c>
    </row>
    <row r="5828" spans="1:6">
      <c r="A5828" t="s">
        <v>17333</v>
      </c>
      <c r="B5828" t="s">
        <v>17334</v>
      </c>
      <c r="C5828" t="s">
        <v>17335</v>
      </c>
      <c r="D5828" t="str">
        <f>HYPERLINK("https://github.com/cgeo/cgeo/issues/10016","show")</f>
        <v>show</v>
      </c>
      <c r="E5828" t="str">
        <f>HYPERLINK("https://github.com/cgeo/cgeo","show")</f>
        <v>show</v>
      </c>
      <c r="F5828" t="str">
        <f>HYPERLINK("https://github.com/cgeo/cgeo/releases","show")</f>
        <v>show</v>
      </c>
    </row>
    <row r="5829" spans="1:6">
      <c r="A5829" t="s">
        <v>17336</v>
      </c>
      <c r="B5829" t="s">
        <v>17337</v>
      </c>
      <c r="C5829" t="s">
        <v>17338</v>
      </c>
      <c r="D5829" t="str">
        <f>HYPERLINK("https://github.com/TeamNewPipe/NewPipe/issues/5588","show")</f>
        <v>show</v>
      </c>
      <c r="E5829" t="str">
        <f>HYPERLINK("https://github.com/TeamNewPipe/NewPipe","show")</f>
        <v>show</v>
      </c>
      <c r="F5829" t="str">
        <f>HYPERLINK("https://github.com/TeamNewPipe/NewPipe/releases","show")</f>
        <v>show</v>
      </c>
    </row>
    <row r="5830" spans="1:6">
      <c r="A5830" t="s">
        <v>17339</v>
      </c>
      <c r="B5830" t="s">
        <v>17340</v>
      </c>
      <c r="C5830" t="s">
        <v>17341</v>
      </c>
      <c r="D5830" t="str">
        <f>HYPERLINK("https://github.com/TeamNewPipe/NewPipe/issues/5587","show")</f>
        <v>show</v>
      </c>
      <c r="E5830" t="str">
        <f>HYPERLINK("https://github.com/TeamNewPipe/NewPipe","show")</f>
        <v>show</v>
      </c>
      <c r="F5830" t="str">
        <f>HYPERLINK("https://github.com/TeamNewPipe/NewPipe/releases","show")</f>
        <v>show</v>
      </c>
    </row>
    <row r="5831" spans="1:6">
      <c r="A5831" t="s">
        <v>17342</v>
      </c>
      <c r="B5831" t="s">
        <v>17343</v>
      </c>
      <c r="C5831" t="s">
        <v>17344</v>
      </c>
      <c r="D5831" t="str">
        <f>HYPERLINK("https://github.com/uscki/Wilson-Android/issues/136","show")</f>
        <v>show</v>
      </c>
      <c r="E5831" t="str">
        <f>HYPERLINK("https://github.com/uscki/Wilson-Android","show")</f>
        <v>show</v>
      </c>
      <c r="F5831" t="str">
        <f>HYPERLINK("https://github.com/uscki/Wilson-Android/releases","show")</f>
        <v>show</v>
      </c>
    </row>
    <row r="5832" spans="1:6">
      <c r="A5832" t="s">
        <v>17345</v>
      </c>
      <c r="B5832" t="s">
        <v>17346</v>
      </c>
      <c r="C5832" t="s">
        <v>17347</v>
      </c>
      <c r="D5832" t="str">
        <f>HYPERLINK("https://github.com/uscki/Wilson-Android/issues/50","show")</f>
        <v>show</v>
      </c>
      <c r="E5832" t="str">
        <f>HYPERLINK("https://github.com/uscki/Wilson-Android","show")</f>
        <v>show</v>
      </c>
      <c r="F5832" t="str">
        <f>HYPERLINK("https://github.com/uscki/Wilson-Android/releases","show")</f>
        <v>show</v>
      </c>
    </row>
    <row r="5833" spans="1:6">
      <c r="A5833" t="s">
        <v>17348</v>
      </c>
      <c r="B5833" t="s">
        <v>17349</v>
      </c>
      <c r="C5833" t="s">
        <v>17350</v>
      </c>
      <c r="D5833" t="str">
        <f>HYPERLINK("https://github.com/uscki/Wilson-Android/issues/18","show")</f>
        <v>show</v>
      </c>
      <c r="E5833" t="str">
        <f>HYPERLINK("https://github.com/uscki/Wilson-Android","show")</f>
        <v>show</v>
      </c>
      <c r="F5833" t="str">
        <f>HYPERLINK("https://github.com/uscki/Wilson-Android/releases","show")</f>
        <v>show</v>
      </c>
    </row>
    <row r="5834" spans="1:6">
      <c r="A5834" t="s">
        <v>17351</v>
      </c>
      <c r="B5834" t="s">
        <v>17352</v>
      </c>
      <c r="C5834" t="s">
        <v>17353</v>
      </c>
      <c r="D5834" t="str">
        <f>HYPERLINK("https://github.com/uscki/Wilson-Android/issues/16","show")</f>
        <v>show</v>
      </c>
      <c r="E5834" t="str">
        <f>HYPERLINK("https://github.com/uscki/Wilson-Android","show")</f>
        <v>show</v>
      </c>
      <c r="F5834" t="str">
        <f>HYPERLINK("https://github.com/uscki/Wilson-Android/releases","show")</f>
        <v>show</v>
      </c>
    </row>
    <row r="5835" spans="1:6">
      <c r="A5835" t="s">
        <v>17354</v>
      </c>
      <c r="B5835" t="s">
        <v>17355</v>
      </c>
      <c r="C5835" t="s">
        <v>17356</v>
      </c>
      <c r="D5835" t="str">
        <f>HYPERLINK("https://github.com/deltachat/deltachat-android/issues/1807","show")</f>
        <v>show</v>
      </c>
      <c r="E5835" t="str">
        <f>HYPERLINK("https://github.com/deltachat/deltachat-android","show")</f>
        <v>show</v>
      </c>
      <c r="F5835" t="str">
        <f>HYPERLINK("https://github.com/deltachat/deltachat-android/releases","show")</f>
        <v>show</v>
      </c>
    </row>
    <row r="5836" spans="1:6">
      <c r="A5836" t="s">
        <v>17357</v>
      </c>
      <c r="B5836" t="s">
        <v>13790</v>
      </c>
      <c r="C5836" t="s">
        <v>17358</v>
      </c>
      <c r="D5836" t="str">
        <f>HYPERLINK("https://github.com/nextcloud/android/issues/7983","show")</f>
        <v>show</v>
      </c>
      <c r="E5836" t="str">
        <f>HYPERLINK("https://github.com/nextcloud/android","show")</f>
        <v>show</v>
      </c>
      <c r="F5836" t="str">
        <f>HYPERLINK("https://github.com/nextcloud/android/releases","show")</f>
        <v>show</v>
      </c>
    </row>
    <row r="5837" spans="1:6">
      <c r="A5837" t="s">
        <v>17359</v>
      </c>
      <c r="B5837" t="s">
        <v>17360</v>
      </c>
      <c r="C5837" t="s">
        <v>17361</v>
      </c>
      <c r="D5837" t="str">
        <f>HYPERLINK("https://github.com/PojavLauncherTeam/PojavLauncher/issues/885","show")</f>
        <v>show</v>
      </c>
      <c r="E5837" t="str">
        <f>HYPERLINK("https://github.com/PojavLauncherTeam/PojavLauncher","show")</f>
        <v>show</v>
      </c>
      <c r="F5837" t="str">
        <f>HYPERLINK("https://github.com/PojavLauncherTeam/PojavLauncher/releases","show")</f>
        <v>show</v>
      </c>
    </row>
    <row r="5838" spans="1:6">
      <c r="A5838" t="s">
        <v>17362</v>
      </c>
      <c r="B5838" t="s">
        <v>17363</v>
      </c>
      <c r="C5838" t="s">
        <v>17364</v>
      </c>
      <c r="D5838" t="str">
        <f>HYPERLINK("https://github.com/PojavLauncherTeam/PojavLauncher/issues/884","show")</f>
        <v>show</v>
      </c>
      <c r="E5838" t="str">
        <f>HYPERLINK("https://github.com/PojavLauncherTeam/PojavLauncher","show")</f>
        <v>show</v>
      </c>
      <c r="F5838" t="str">
        <f>HYPERLINK("https://github.com/PojavLauncherTeam/PojavLauncher/releases","show")</f>
        <v>show</v>
      </c>
    </row>
    <row r="5839" spans="1:6">
      <c r="A5839" t="s">
        <v>17365</v>
      </c>
      <c r="B5839" t="s">
        <v>17366</v>
      </c>
      <c r="C5839" t="s">
        <v>17367</v>
      </c>
      <c r="D5839" t="str">
        <f>HYPERLINK("https://github.com/TeamNewPipe/NewPipe/issues/5584","show")</f>
        <v>show</v>
      </c>
      <c r="E5839" t="str">
        <f>HYPERLINK("https://github.com/TeamNewPipe/NewPipe","show")</f>
        <v>show</v>
      </c>
      <c r="F5839" t="str">
        <f>HYPERLINK("https://github.com/TeamNewPipe/NewPipe/releases","show")</f>
        <v>show</v>
      </c>
    </row>
    <row r="5840" spans="1:6">
      <c r="A5840" t="s">
        <v>17368</v>
      </c>
      <c r="B5840" t="s">
        <v>17369</v>
      </c>
      <c r="C5840" t="s">
        <v>17370</v>
      </c>
      <c r="D5840" t="str">
        <f>HYPERLINK("https://github.com/TeamNewPipe/NewPipe/issues/5582","show")</f>
        <v>show</v>
      </c>
      <c r="E5840" t="str">
        <f>HYPERLINK("https://github.com/TeamNewPipe/NewPipe","show")</f>
        <v>show</v>
      </c>
      <c r="F5840" t="str">
        <f>HYPERLINK("https://github.com/TeamNewPipe/NewPipe/releases","show")</f>
        <v>show</v>
      </c>
    </row>
    <row r="5841" spans="1:6">
      <c r="A5841" t="s">
        <v>17371</v>
      </c>
      <c r="B5841" t="s">
        <v>17372</v>
      </c>
      <c r="C5841" t="s">
        <v>17373</v>
      </c>
      <c r="D5841" t="str">
        <f>HYPERLINK("https://github.com/nextcloud/android/issues/7980","show")</f>
        <v>show</v>
      </c>
      <c r="E5841" t="str">
        <f>HYPERLINK("https://github.com/nextcloud/android","show")</f>
        <v>show</v>
      </c>
      <c r="F5841" t="str">
        <f>HYPERLINK("https://github.com/nextcloud/android/releases","show")</f>
        <v>show</v>
      </c>
    </row>
    <row r="5842" spans="1:6">
      <c r="A5842" t="s">
        <v>17374</v>
      </c>
      <c r="B5842" t="s">
        <v>17375</v>
      </c>
      <c r="C5842" t="s">
        <v>17376</v>
      </c>
      <c r="D5842" t="str">
        <f>HYPERLINK("https://github.com/TeamNewPipe/NewPipe/issues/5580","show")</f>
        <v>show</v>
      </c>
      <c r="E5842" t="str">
        <f>HYPERLINK("https://github.com/TeamNewPipe/NewPipe","show")</f>
        <v>show</v>
      </c>
      <c r="F5842" t="str">
        <f>HYPERLINK("https://github.com/TeamNewPipe/NewPipe/releases","show")</f>
        <v>show</v>
      </c>
    </row>
    <row r="5843" spans="1:6">
      <c r="A5843" t="s">
        <v>17377</v>
      </c>
      <c r="B5843" t="s">
        <v>17378</v>
      </c>
      <c r="C5843" t="s">
        <v>17379</v>
      </c>
      <c r="D5843" t="str">
        <f>HYPERLINK("https://github.com/TeamNewPipe/NewPipe/issues/5578","show")</f>
        <v>show</v>
      </c>
      <c r="E5843" t="str">
        <f>HYPERLINK("https://github.com/TeamNewPipe/NewPipe","show")</f>
        <v>show</v>
      </c>
      <c r="F5843" t="str">
        <f>HYPERLINK("https://github.com/TeamNewPipe/NewPipe/releases","show")</f>
        <v>show</v>
      </c>
    </row>
    <row r="5844" spans="1:6">
      <c r="A5844" t="s">
        <v>17380</v>
      </c>
      <c r="B5844" t="s">
        <v>17381</v>
      </c>
      <c r="C5844" t="s">
        <v>17382</v>
      </c>
      <c r="D5844" t="str">
        <f>HYPERLINK("https://github.com/marsht21/Restaurant_Picker/issues/4","show")</f>
        <v>show</v>
      </c>
      <c r="E5844" t="str">
        <f>HYPERLINK("https://github.com/marsht21/Restaurant_Picker","show")</f>
        <v>show</v>
      </c>
      <c r="F5844" t="str">
        <f>HYPERLINK("https://github.com/marsht21/Restaurant_Picker/releases","show")</f>
        <v>show</v>
      </c>
    </row>
    <row r="5845" spans="1:6">
      <c r="A5845" t="s">
        <v>17383</v>
      </c>
      <c r="B5845" t="s">
        <v>17384</v>
      </c>
      <c r="C5845" t="s">
        <v>17385</v>
      </c>
      <c r="D5845" t="str">
        <f>HYPERLINK("https://github.com/nextcloud/android/issues/7974","show")</f>
        <v>show</v>
      </c>
      <c r="E5845" t="str">
        <f>HYPERLINK("https://github.com/nextcloud/android","show")</f>
        <v>show</v>
      </c>
      <c r="F5845" t="str">
        <f>HYPERLINK("https://github.com/nextcloud/android/releases","show")</f>
        <v>show</v>
      </c>
    </row>
    <row r="5846" spans="1:6">
      <c r="A5846" t="s">
        <v>17386</v>
      </c>
      <c r="B5846" t="s">
        <v>17387</v>
      </c>
      <c r="C5846" t="s">
        <v>17388</v>
      </c>
      <c r="D5846" t="str">
        <f>HYPERLINK("https://github.com/marsht21/Restaurant_Picker/issues/1","show")</f>
        <v>show</v>
      </c>
      <c r="E5846" t="str">
        <f>HYPERLINK("https://github.com/marsht21/Restaurant_Picker","show")</f>
        <v>show</v>
      </c>
      <c r="F5846" t="str">
        <f>HYPERLINK("https://github.com/marsht21/Restaurant_Picker/releases","show")</f>
        <v>show</v>
      </c>
    </row>
    <row r="5847" spans="1:6">
      <c r="A5847" t="s">
        <v>17389</v>
      </c>
      <c r="B5847" t="s">
        <v>17390</v>
      </c>
      <c r="C5847" t="s">
        <v>17391</v>
      </c>
      <c r="D5847" t="str">
        <f>HYPERLINK("https://github.com/canyie/pine/issues/11","show")</f>
        <v>show</v>
      </c>
      <c r="E5847" t="str">
        <f>HYPERLINK("https://github.com/canyie/pine","show")</f>
        <v>show</v>
      </c>
      <c r="F5847" t="str">
        <f>HYPERLINK("https://github.com/canyie/pine/releases","show")</f>
        <v>show</v>
      </c>
    </row>
    <row r="5848" spans="1:6">
      <c r="A5848" t="s">
        <v>17392</v>
      </c>
      <c r="B5848" t="s">
        <v>17393</v>
      </c>
      <c r="C5848" t="s">
        <v>17394</v>
      </c>
      <c r="D5848" t="str">
        <f>HYPERLINK("https://github.com/PojavLauncherTeam/PojavLauncher/issues/872","show")</f>
        <v>show</v>
      </c>
      <c r="E5848" t="str">
        <f>HYPERLINK("https://github.com/PojavLauncherTeam/PojavLauncher","show")</f>
        <v>show</v>
      </c>
      <c r="F5848" t="str">
        <f>HYPERLINK("https://github.com/PojavLauncherTeam/PojavLauncher/releases","show")</f>
        <v>show</v>
      </c>
    </row>
    <row r="5849" spans="1:6">
      <c r="A5849" t="s">
        <v>17395</v>
      </c>
      <c r="B5849" t="s">
        <v>17396</v>
      </c>
      <c r="C5849" t="s">
        <v>10095</v>
      </c>
      <c r="D5849" t="str">
        <f>HYPERLINK("https://github.com/TeamNewPipe/NewPipe/issues/5571","show")</f>
        <v>show</v>
      </c>
      <c r="E5849" t="str">
        <f>HYPERLINK("https://github.com/TeamNewPipe/NewPipe","show")</f>
        <v>show</v>
      </c>
      <c r="F5849" t="str">
        <f>HYPERLINK("https://github.com/TeamNewPipe/NewPipe/releases","show")</f>
        <v>show</v>
      </c>
    </row>
    <row r="5850" spans="1:6">
      <c r="A5850" t="s">
        <v>17397</v>
      </c>
      <c r="B5850" t="s">
        <v>17398</v>
      </c>
      <c r="C5850" t="s">
        <v>17399</v>
      </c>
      <c r="D5850" t="str">
        <f>HYPERLINK("https://github.com/TeamNewPipe/NewPipe/issues/5568","show")</f>
        <v>show</v>
      </c>
      <c r="E5850" t="str">
        <f>HYPERLINK("https://github.com/TeamNewPipe/NewPipe","show")</f>
        <v>show</v>
      </c>
      <c r="F5850" t="str">
        <f>HYPERLINK("https://github.com/TeamNewPipe/NewPipe/releases","show")</f>
        <v>show</v>
      </c>
    </row>
    <row r="5851" spans="1:6">
      <c r="A5851" t="s">
        <v>17400</v>
      </c>
      <c r="B5851" t="s">
        <v>17401</v>
      </c>
      <c r="C5851" t="s">
        <v>17402</v>
      </c>
      <c r="D5851" t="str">
        <f>HYPERLINK("https://github.com/patzly/grocy-android/issues/351","show")</f>
        <v>show</v>
      </c>
      <c r="E5851" t="str">
        <f>HYPERLINK("https://github.com/patzly/grocy-android","show")</f>
        <v>show</v>
      </c>
      <c r="F5851" t="str">
        <f>HYPERLINK("https://github.com/patzly/grocy-android/releases","show")</f>
        <v>show</v>
      </c>
    </row>
    <row r="5852" spans="1:6">
      <c r="A5852" t="s">
        <v>17403</v>
      </c>
      <c r="B5852" t="s">
        <v>17404</v>
      </c>
      <c r="C5852" t="s">
        <v>17405</v>
      </c>
      <c r="D5852" t="str">
        <f>HYPERLINK("https://github.com/SkyTubeTeam/SkyTube/issues/921","show")</f>
        <v>show</v>
      </c>
      <c r="E5852" t="str">
        <f>HYPERLINK("https://github.com/SkyTubeTeam/SkyTube","show")</f>
        <v>show</v>
      </c>
      <c r="F5852" t="str">
        <f>HYPERLINK("https://github.com/SkyTubeTeam/SkyTube/releases","show")</f>
        <v>show</v>
      </c>
    </row>
    <row r="5853" spans="1:6">
      <c r="A5853" t="s">
        <v>17406</v>
      </c>
      <c r="B5853" t="s">
        <v>17407</v>
      </c>
      <c r="C5853" t="s">
        <v>17408</v>
      </c>
      <c r="D5853" t="str">
        <f>HYPERLINK("https://github.com/opensrp/opensrp-client-chw/issues/1700","show")</f>
        <v>show</v>
      </c>
      <c r="E5853" t="str">
        <f>HYPERLINK("https://github.com/opensrp/opensrp-client-chw","show")</f>
        <v>show</v>
      </c>
      <c r="F5853" t="str">
        <f>HYPERLINK("https://github.com/opensrp/opensrp-client-chw/releases","show")</f>
        <v>show</v>
      </c>
    </row>
    <row r="5854" spans="1:6">
      <c r="A5854" t="s">
        <v>17409</v>
      </c>
      <c r="B5854" t="s">
        <v>17410</v>
      </c>
      <c r="C5854" t="s">
        <v>17411</v>
      </c>
      <c r="D5854" t="str">
        <f>HYPERLINK("https://github.com/TeamNewPipe/NewPipe/issues/5560","show")</f>
        <v>show</v>
      </c>
      <c r="E5854" t="str">
        <f>HYPERLINK("https://github.com/TeamNewPipe/NewPipe","show")</f>
        <v>show</v>
      </c>
      <c r="F5854" t="str">
        <f>HYPERLINK("https://github.com/TeamNewPipe/NewPipe/releases","show")</f>
        <v>show</v>
      </c>
    </row>
    <row r="5855" spans="1:6">
      <c r="A5855" t="s">
        <v>17412</v>
      </c>
      <c r="B5855" t="s">
        <v>17413</v>
      </c>
      <c r="C5855" t="s">
        <v>17414</v>
      </c>
      <c r="D5855" t="str">
        <f>HYPERLINK("https://github.com/Anuken/Mindustry/issues/4659","show")</f>
        <v>show</v>
      </c>
      <c r="E5855" t="str">
        <f>HYPERLINK("https://github.com/Anuken/Mindustry","show")</f>
        <v>show</v>
      </c>
      <c r="F5855" t="str">
        <f>HYPERLINK("https://github.com/Anuken/Mindustry/releases","show")</f>
        <v>show</v>
      </c>
    </row>
    <row r="5856" spans="1:6">
      <c r="A5856" t="s">
        <v>17415</v>
      </c>
      <c r="B5856" t="s">
        <v>17416</v>
      </c>
      <c r="C5856" t="s">
        <v>17417</v>
      </c>
      <c r="D5856" t="str">
        <f>HYPERLINK("https://github.com/Anuken/Mindustry/issues/4657","show")</f>
        <v>show</v>
      </c>
      <c r="E5856" t="str">
        <f>HYPERLINK("https://github.com/Anuken/Mindustry","show")</f>
        <v>show</v>
      </c>
      <c r="F5856" t="str">
        <f>HYPERLINK("https://github.com/Anuken/Mindustry/releases","show")</f>
        <v>show</v>
      </c>
    </row>
    <row r="5857" spans="1:6">
      <c r="A5857" t="s">
        <v>17418</v>
      </c>
      <c r="B5857" t="s">
        <v>17419</v>
      </c>
      <c r="C5857" t="s">
        <v>17420</v>
      </c>
      <c r="D5857" t="str">
        <f>HYPERLINK("https://github.com/PojavLauncherTeam/PojavLauncher/issues/860","show")</f>
        <v>show</v>
      </c>
      <c r="E5857" t="str">
        <f>HYPERLINK("https://github.com/PojavLauncherTeam/PojavLauncher","show")</f>
        <v>show</v>
      </c>
      <c r="F5857" t="str">
        <f>HYPERLINK("https://github.com/PojavLauncherTeam/PojavLauncher/releases","show")</f>
        <v>show</v>
      </c>
    </row>
    <row r="5858" spans="1:6">
      <c r="A5858" t="s">
        <v>17421</v>
      </c>
      <c r="B5858" t="s">
        <v>17422</v>
      </c>
      <c r="C5858" t="s">
        <v>17423</v>
      </c>
      <c r="D5858" t="str">
        <f>HYPERLINK("https://github.com/sparkfabrik/sparkfabrik-react-native-idfa-aaid/issues/5","show")</f>
        <v>show</v>
      </c>
      <c r="E5858" t="str">
        <f>HYPERLINK("https://github.com/sparkfabrik/sparkfabrik-react-native-idfa-aaid","show")</f>
        <v>show</v>
      </c>
      <c r="F5858" t="str">
        <f>HYPERLINK("https://github.com/sparkfabrik/sparkfabrik-react-native-idfa-aaid/releases","show")</f>
        <v>show</v>
      </c>
    </row>
    <row r="5859" spans="1:6">
      <c r="A5859" t="s">
        <v>17424</v>
      </c>
      <c r="B5859" t="s">
        <v>17425</v>
      </c>
      <c r="C5859" t="s">
        <v>17426</v>
      </c>
      <c r="D5859" t="str">
        <f>HYPERLINK("https://github.com/TeamNewPipe/NewPipe/issues/5556","show")</f>
        <v>show</v>
      </c>
      <c r="E5859" t="str">
        <f>HYPERLINK("https://github.com/TeamNewPipe/NewPipe","show")</f>
        <v>show</v>
      </c>
      <c r="F5859" t="str">
        <f>HYPERLINK("https://github.com/TeamNewPipe/NewPipe/releases","show")</f>
        <v>show</v>
      </c>
    </row>
    <row r="5860" spans="1:6">
      <c r="A5860" t="s">
        <v>17427</v>
      </c>
      <c r="B5860" t="s">
        <v>17428</v>
      </c>
      <c r="C5860" t="s">
        <v>17429</v>
      </c>
      <c r="D5860" t="str">
        <f>HYPERLINK("https://github.com/material-components/material-components-android/issues/2059","show")</f>
        <v>show</v>
      </c>
      <c r="E5860" t="str">
        <f>HYPERLINK("https://github.com/material-components/material-components-android","show")</f>
        <v>show</v>
      </c>
      <c r="F5860" t="str">
        <f>HYPERLINK("https://github.com/material-components/material-components-android/releases","show")</f>
        <v>show</v>
      </c>
    </row>
    <row r="5861" spans="1:6">
      <c r="A5861" t="s">
        <v>17430</v>
      </c>
      <c r="B5861" t="s">
        <v>17431</v>
      </c>
      <c r="C5861" t="s">
        <v>17432</v>
      </c>
      <c r="D5861" t="str">
        <f>HYPERLINK("https://github.com/AOF-Dev/MCinaBox/issues/942","show")</f>
        <v>show</v>
      </c>
      <c r="E5861" t="str">
        <f>HYPERLINK("https://github.com/AOF-Dev/MCinaBox","show")</f>
        <v>show</v>
      </c>
      <c r="F5861" t="str">
        <f>HYPERLINK("https://github.com/AOF-Dev/MCinaBox/releases","show")</f>
        <v>show</v>
      </c>
    </row>
    <row r="5862" spans="1:6">
      <c r="A5862" t="s">
        <v>17433</v>
      </c>
      <c r="B5862" t="s">
        <v>17434</v>
      </c>
      <c r="C5862" t="s">
        <v>17435</v>
      </c>
      <c r="D5862" t="str">
        <f>HYPERLINK("https://github.com/square/okhttp/issues/6559","show")</f>
        <v>show</v>
      </c>
      <c r="E5862" t="str">
        <f>HYPERLINK("https://github.com/square/okhttp","show")</f>
        <v>show</v>
      </c>
      <c r="F5862" t="str">
        <f>HYPERLINK("https://github.com/square/okhttp/releases","show")</f>
        <v>show</v>
      </c>
    </row>
    <row r="5863" spans="1:6">
      <c r="A5863" t="s">
        <v>17436</v>
      </c>
      <c r="B5863" t="s">
        <v>17437</v>
      </c>
      <c r="C5863" t="s">
        <v>17438</v>
      </c>
      <c r="D5863" t="str">
        <f>HYPERLINK("https://github.com/nextcloud/android/issues/7970","show")</f>
        <v>show</v>
      </c>
      <c r="E5863" t="str">
        <f>HYPERLINK("https://github.com/nextcloud/android","show")</f>
        <v>show</v>
      </c>
      <c r="F5863" t="str">
        <f>HYPERLINK("https://github.com/nextcloud/android/releases","show")</f>
        <v>show</v>
      </c>
    </row>
    <row r="5864" spans="1:6">
      <c r="A5864" t="s">
        <v>17439</v>
      </c>
      <c r="B5864" t="s">
        <v>17440</v>
      </c>
      <c r="C5864" t="s">
        <v>17441</v>
      </c>
      <c r="D5864" t="str">
        <f>HYPERLINK("https://github.com/nextcloud/android/issues/7969","show")</f>
        <v>show</v>
      </c>
      <c r="E5864" t="str">
        <f>HYPERLINK("https://github.com/nextcloud/android","show")</f>
        <v>show</v>
      </c>
      <c r="F5864" t="str">
        <f>HYPERLINK("https://github.com/nextcloud/android/releases","show")</f>
        <v>show</v>
      </c>
    </row>
    <row r="5865" spans="1:6">
      <c r="A5865" t="s">
        <v>17442</v>
      </c>
      <c r="B5865" t="s">
        <v>17443</v>
      </c>
      <c r="C5865" t="s">
        <v>17444</v>
      </c>
      <c r="D5865" t="str">
        <f>HYPERLINK("https://github.com/PojavLauncherTeam/PojavLauncher/issues/847","show")</f>
        <v>show</v>
      </c>
      <c r="E5865" t="str">
        <f>HYPERLINK("https://github.com/PojavLauncherTeam/PojavLauncher","show")</f>
        <v>show</v>
      </c>
      <c r="F5865" t="str">
        <f>HYPERLINK("https://github.com/PojavLauncherTeam/PojavLauncher/releases","show")</f>
        <v>show</v>
      </c>
    </row>
    <row r="5866" spans="1:6">
      <c r="A5866" t="s">
        <v>17445</v>
      </c>
      <c r="B5866" t="s">
        <v>17446</v>
      </c>
      <c r="C5866" t="s">
        <v>17447</v>
      </c>
      <c r="D5866" t="str">
        <f>HYPERLINK("https://github.com/k9mail/k-9/issues/5134","show")</f>
        <v>show</v>
      </c>
      <c r="E5866" t="str">
        <f>HYPERLINK("https://github.com/k9mail/k-9","show")</f>
        <v>show</v>
      </c>
      <c r="F5866" t="str">
        <f>HYPERLINK("https://github.com/k9mail/k-9/releases","show")</f>
        <v>show</v>
      </c>
    </row>
    <row r="5867" spans="1:6">
      <c r="A5867" t="s">
        <v>17448</v>
      </c>
      <c r="B5867" t="s">
        <v>17449</v>
      </c>
      <c r="C5867" t="s">
        <v>17450</v>
      </c>
      <c r="D5867" t="str">
        <f>HYPERLINK("https://github.com/inaturalist/iNaturalistAndroid/issues/984","show")</f>
        <v>show</v>
      </c>
      <c r="E5867" t="str">
        <f>HYPERLINK("https://github.com/inaturalist/iNaturalistAndroid","show")</f>
        <v>show</v>
      </c>
      <c r="F5867" t="str">
        <f>HYPERLINK("https://github.com/inaturalist/iNaturalistAndroid/releases","show")</f>
        <v>show</v>
      </c>
    </row>
    <row r="5868" spans="1:6">
      <c r="A5868" t="s">
        <v>17451</v>
      </c>
      <c r="B5868" t="s">
        <v>17452</v>
      </c>
      <c r="C5868" t="s">
        <v>17453</v>
      </c>
      <c r="D5868" t="str">
        <f>HYPERLINK("https://github.com/TeamNewPipe/NewPipe/issues/5552","show")</f>
        <v>show</v>
      </c>
      <c r="E5868" t="str">
        <f>HYPERLINK("https://github.com/TeamNewPipe/NewPipe","show")</f>
        <v>show</v>
      </c>
      <c r="F5868" t="str">
        <f>HYPERLINK("https://github.com/TeamNewPipe/NewPipe/releases","show")</f>
        <v>show</v>
      </c>
    </row>
    <row r="5869" spans="1:6">
      <c r="A5869" t="s">
        <v>17454</v>
      </c>
      <c r="B5869" t="s">
        <v>17455</v>
      </c>
      <c r="C5869" t="s">
        <v>17456</v>
      </c>
      <c r="D5869" t="str">
        <f>HYPERLINK("https://github.com/forrestguice/SuntimesWidget/issues/482","show")</f>
        <v>show</v>
      </c>
      <c r="E5869" t="str">
        <f>HYPERLINK("https://github.com/forrestguice/SuntimesWidget","show")</f>
        <v>show</v>
      </c>
      <c r="F5869" t="str">
        <f>HYPERLINK("https://github.com/forrestguice/SuntimesWidget/releases","show")</f>
        <v>show</v>
      </c>
    </row>
    <row r="5870" spans="1:6">
      <c r="A5870" t="s">
        <v>17457</v>
      </c>
      <c r="B5870" t="s">
        <v>17458</v>
      </c>
      <c r="C5870" t="s">
        <v>17459</v>
      </c>
      <c r="D5870" t="str">
        <f>HYPERLINK("https://github.com/PojavLauncherTeam/PojavLauncher/issues/841","show")</f>
        <v>show</v>
      </c>
      <c r="E5870" t="str">
        <f>HYPERLINK("https://github.com/PojavLauncherTeam/PojavLauncher","show")</f>
        <v>show</v>
      </c>
      <c r="F5870" t="str">
        <f>HYPERLINK("https://github.com/PojavLauncherTeam/PojavLauncher/releases","show")</f>
        <v>show</v>
      </c>
    </row>
    <row r="5871" spans="1:6">
      <c r="A5871" t="s">
        <v>17460</v>
      </c>
      <c r="B5871" t="s">
        <v>17461</v>
      </c>
      <c r="C5871" t="s">
        <v>17462</v>
      </c>
      <c r="D5871" t="str">
        <f>HYPERLINK("https://github.com/material-components/material-components-android/issues/2056","show")</f>
        <v>show</v>
      </c>
      <c r="E5871" t="str">
        <f>HYPERLINK("https://github.com/material-components/material-components-android","show")</f>
        <v>show</v>
      </c>
      <c r="F5871" t="str">
        <f>HYPERLINK("https://github.com/material-components/material-components-android/releases","show")</f>
        <v>show</v>
      </c>
    </row>
    <row r="5872" spans="1:6">
      <c r="A5872" t="s">
        <v>17463</v>
      </c>
      <c r="B5872" t="s">
        <v>17464</v>
      </c>
      <c r="C5872" t="s">
        <v>17465</v>
      </c>
      <c r="D5872" t="str">
        <f>HYPERLINK("https://github.com/material-components/material-components-android/issues/2054","show")</f>
        <v>show</v>
      </c>
      <c r="E5872" t="str">
        <f>HYPERLINK("https://github.com/material-components/material-components-android","show")</f>
        <v>show</v>
      </c>
      <c r="F5872" t="str">
        <f>HYPERLINK("https://github.com/material-components/material-components-android/releases","show")</f>
        <v>show</v>
      </c>
    </row>
    <row r="5873" spans="1:6">
      <c r="A5873" t="s">
        <v>17466</v>
      </c>
      <c r="B5873" t="s">
        <v>17467</v>
      </c>
      <c r="C5873" t="s">
        <v>17468</v>
      </c>
      <c r="D5873" t="str">
        <f>HYPERLINK("https://github.com/AOF-Dev/MCinaBox/issues/937","show")</f>
        <v>show</v>
      </c>
      <c r="E5873" t="str">
        <f>HYPERLINK("https://github.com/AOF-Dev/MCinaBox","show")</f>
        <v>show</v>
      </c>
      <c r="F5873" t="str">
        <f>HYPERLINK("https://github.com/AOF-Dev/MCinaBox/releases","show")</f>
        <v>show</v>
      </c>
    </row>
    <row r="5874" spans="1:6">
      <c r="A5874" t="s">
        <v>17469</v>
      </c>
      <c r="B5874" t="s">
        <v>17470</v>
      </c>
      <c r="C5874" t="s">
        <v>17471</v>
      </c>
      <c r="D5874" t="str">
        <f>HYPERLINK("https://github.com/nextcloud/android/issues/7964","show")</f>
        <v>show</v>
      </c>
      <c r="E5874" t="str">
        <f>HYPERLINK("https://github.com/nextcloud/android","show")</f>
        <v>show</v>
      </c>
      <c r="F5874" t="str">
        <f>HYPERLINK("https://github.com/nextcloud/android/releases","show")</f>
        <v>show</v>
      </c>
    </row>
    <row r="5875" spans="1:6">
      <c r="A5875" t="s">
        <v>17472</v>
      </c>
      <c r="B5875" t="s">
        <v>17473</v>
      </c>
      <c r="C5875" t="s">
        <v>17474</v>
      </c>
      <c r="D5875" t="str">
        <f>HYPERLINK("https://github.com/TeamNewPipe/NewPipe/issues/5550","show")</f>
        <v>show</v>
      </c>
      <c r="E5875" t="str">
        <f>HYPERLINK("https://github.com/TeamNewPipe/NewPipe","show")</f>
        <v>show</v>
      </c>
      <c r="F5875" t="str">
        <f>HYPERLINK("https://github.com/TeamNewPipe/NewPipe/releases","show")</f>
        <v>show</v>
      </c>
    </row>
    <row r="5876" spans="1:6">
      <c r="A5876" t="s">
        <v>17475</v>
      </c>
      <c r="B5876" t="s">
        <v>17476</v>
      </c>
      <c r="C5876" t="s">
        <v>17477</v>
      </c>
      <c r="D5876" t="str">
        <f>HYPERLINK("https://github.com/PojavLauncherTeam/PojavLauncher/issues/839","show")</f>
        <v>show</v>
      </c>
      <c r="E5876" t="str">
        <f>HYPERLINK("https://github.com/PojavLauncherTeam/PojavLauncher","show")</f>
        <v>show</v>
      </c>
      <c r="F5876" t="str">
        <f>HYPERLINK("https://github.com/PojavLauncherTeam/PojavLauncher/releases","show")</f>
        <v>show</v>
      </c>
    </row>
    <row r="5877" spans="1:6">
      <c r="A5877" t="s">
        <v>17478</v>
      </c>
      <c r="B5877" t="s">
        <v>17479</v>
      </c>
      <c r="C5877" t="s">
        <v>17480</v>
      </c>
      <c r="D5877" t="str">
        <f>HYPERLINK("https://github.com/TeamNewPipe/NewPipe/issues/5549","show")</f>
        <v>show</v>
      </c>
      <c r="E5877" t="str">
        <f>HYPERLINK("https://github.com/TeamNewPipe/NewPipe","show")</f>
        <v>show</v>
      </c>
      <c r="F5877" t="str">
        <f>HYPERLINK("https://github.com/TeamNewPipe/NewPipe/releases","show")</f>
        <v>show</v>
      </c>
    </row>
    <row r="5878" spans="1:6">
      <c r="A5878" t="s">
        <v>17481</v>
      </c>
      <c r="B5878" t="s">
        <v>17482</v>
      </c>
      <c r="C5878" t="s">
        <v>17483</v>
      </c>
      <c r="D5878" t="str">
        <f>HYPERLINK("https://github.com/PojavLauncherTeam/PojavLauncher/issues/838","show")</f>
        <v>show</v>
      </c>
      <c r="E5878" t="str">
        <f>HYPERLINK("https://github.com/PojavLauncherTeam/PojavLauncher","show")</f>
        <v>show</v>
      </c>
      <c r="F5878" t="str">
        <f>HYPERLINK("https://github.com/PojavLauncherTeam/PojavLauncher/releases","show")</f>
        <v>show</v>
      </c>
    </row>
    <row r="5879" spans="1:6">
      <c r="A5879" t="s">
        <v>17484</v>
      </c>
      <c r="B5879" t="s">
        <v>17485</v>
      </c>
      <c r="C5879" t="s">
        <v>17486</v>
      </c>
      <c r="D5879" t="str">
        <f>HYPERLINK("https://github.com/TeamNewPipe/NewPipe/issues/5547","show")</f>
        <v>show</v>
      </c>
      <c r="E5879" t="str">
        <f>HYPERLINK("https://github.com/TeamNewPipe/NewPipe","show")</f>
        <v>show</v>
      </c>
      <c r="F5879" t="str">
        <f>HYPERLINK("https://github.com/TeamNewPipe/NewPipe/releases","show")</f>
        <v>show</v>
      </c>
    </row>
    <row r="5880" spans="1:6">
      <c r="A5880" t="s">
        <v>17487</v>
      </c>
      <c r="B5880" t="s">
        <v>17488</v>
      </c>
      <c r="C5880" t="s">
        <v>17489</v>
      </c>
      <c r="D5880" t="str">
        <f>HYPERLINK("https://github.com/AOF-Dev/MCinaBox/issues/934","show")</f>
        <v>show</v>
      </c>
      <c r="E5880" t="str">
        <f>HYPERLINK("https://github.com/AOF-Dev/MCinaBox","show")</f>
        <v>show</v>
      </c>
      <c r="F5880" t="str">
        <f>HYPERLINK("https://github.com/AOF-Dev/MCinaBox/releases","show")</f>
        <v>show</v>
      </c>
    </row>
    <row r="5881" spans="1:6">
      <c r="A5881" t="s">
        <v>17490</v>
      </c>
      <c r="B5881" t="s">
        <v>17491</v>
      </c>
      <c r="C5881" t="s">
        <v>17492</v>
      </c>
      <c r="D5881" t="str">
        <f>HYPERLINK("https://github.com/patzly/grocy-android/issues/343","show")</f>
        <v>show</v>
      </c>
      <c r="E5881" t="str">
        <f>HYPERLINK("https://github.com/patzly/grocy-android","show")</f>
        <v>show</v>
      </c>
      <c r="F5881" t="str">
        <f>HYPERLINK("https://github.com/patzly/grocy-android/releases","show")</f>
        <v>show</v>
      </c>
    </row>
    <row r="5882" spans="1:6">
      <c r="A5882" t="s">
        <v>17493</v>
      </c>
      <c r="B5882" t="s">
        <v>17494</v>
      </c>
      <c r="C5882" t="s">
        <v>17495</v>
      </c>
      <c r="D5882" t="str">
        <f>HYPERLINK("https://github.com/Fitbit/bitgatt/issues/42","show")</f>
        <v>show</v>
      </c>
      <c r="E5882" t="str">
        <f>HYPERLINK("https://github.com/Fitbit/bitgatt","show")</f>
        <v>show</v>
      </c>
      <c r="F5882" t="str">
        <f>HYPERLINK("https://github.com/Fitbit/bitgatt/releases","show")</f>
        <v>show</v>
      </c>
    </row>
    <row r="5883" spans="1:6">
      <c r="A5883" t="s">
        <v>17496</v>
      </c>
      <c r="B5883" t="s">
        <v>17497</v>
      </c>
      <c r="C5883" t="s">
        <v>17498</v>
      </c>
      <c r="D5883" t="str">
        <f>HYPERLINK("https://github.com/patzly/grocy-android/issues/331","show")</f>
        <v>show</v>
      </c>
      <c r="E5883" t="str">
        <f>HYPERLINK("https://github.com/patzly/grocy-android","show")</f>
        <v>show</v>
      </c>
      <c r="F5883" t="str">
        <f>HYPERLINK("https://github.com/patzly/grocy-android/releases","show")</f>
        <v>show</v>
      </c>
    </row>
    <row r="5884" spans="1:6">
      <c r="A5884" t="s">
        <v>17499</v>
      </c>
      <c r="B5884" t="s">
        <v>17500</v>
      </c>
      <c r="C5884" t="s">
        <v>17501</v>
      </c>
      <c r="D5884" t="str">
        <f>HYPERLINK("https://github.com/nextcloud/android/issues/7952","show")</f>
        <v>show</v>
      </c>
      <c r="E5884" t="str">
        <f>HYPERLINK("https://github.com/nextcloud/android","show")</f>
        <v>show</v>
      </c>
      <c r="F5884" t="str">
        <f>HYPERLINK("https://github.com/nextcloud/android/releases","show")</f>
        <v>show</v>
      </c>
    </row>
    <row r="5885" spans="1:6">
      <c r="A5885" t="s">
        <v>17502</v>
      </c>
      <c r="B5885" t="s">
        <v>17503</v>
      </c>
      <c r="C5885" t="s">
        <v>17504</v>
      </c>
      <c r="D5885" t="str">
        <f>HYPERLINK("https://github.com/patzly/grocy-android/issues/330","show")</f>
        <v>show</v>
      </c>
      <c r="E5885" t="str">
        <f>HYPERLINK("https://github.com/patzly/grocy-android","show")</f>
        <v>show</v>
      </c>
      <c r="F5885" t="str">
        <f>HYPERLINK("https://github.com/patzly/grocy-android/releases","show")</f>
        <v>show</v>
      </c>
    </row>
    <row r="5886" spans="1:6">
      <c r="A5886" t="s">
        <v>17505</v>
      </c>
      <c r="B5886" t="s">
        <v>17506</v>
      </c>
      <c r="C5886" t="s">
        <v>17507</v>
      </c>
      <c r="D5886" t="str">
        <f>HYPERLINK("https://github.com/cgeo/cgeo/issues/9990","show")</f>
        <v>show</v>
      </c>
      <c r="E5886" t="str">
        <f>HYPERLINK("https://github.com/cgeo/cgeo","show")</f>
        <v>show</v>
      </c>
      <c r="F5886" t="str">
        <f>HYPERLINK("https://github.com/cgeo/cgeo/releases","show")</f>
        <v>show</v>
      </c>
    </row>
    <row r="5887" spans="1:6">
      <c r="A5887" t="s">
        <v>17508</v>
      </c>
      <c r="B5887" t="s">
        <v>17509</v>
      </c>
      <c r="C5887" t="s">
        <v>17510</v>
      </c>
      <c r="D5887" t="str">
        <f>HYPERLINK("https://github.com/SkyTubeTeam/SkyTube/issues/916","show")</f>
        <v>show</v>
      </c>
      <c r="E5887" t="str">
        <f>HYPERLINK("https://github.com/SkyTubeTeam/SkyTube","show")</f>
        <v>show</v>
      </c>
      <c r="F5887" t="str">
        <f>HYPERLINK("https://github.com/SkyTubeTeam/SkyTube/releases","show")</f>
        <v>show</v>
      </c>
    </row>
    <row r="5888" spans="1:6">
      <c r="A5888" t="s">
        <v>17511</v>
      </c>
      <c r="B5888" t="s">
        <v>17512</v>
      </c>
      <c r="C5888" t="s">
        <v>17513</v>
      </c>
      <c r="D5888" t="str">
        <f>HYPERLINK("https://github.com/Anuken/Mindustry/issues/4627","show")</f>
        <v>show</v>
      </c>
      <c r="E5888" t="str">
        <f>HYPERLINK("https://github.com/Anuken/Mindustry","show")</f>
        <v>show</v>
      </c>
      <c r="F5888" t="str">
        <f>HYPERLINK("https://github.com/Anuken/Mindustry/releases","show")</f>
        <v>show</v>
      </c>
    </row>
    <row r="5889" spans="1:6">
      <c r="A5889" t="s">
        <v>17514</v>
      </c>
      <c r="B5889" t="s">
        <v>17515</v>
      </c>
      <c r="C5889" t="s">
        <v>11929</v>
      </c>
      <c r="D5889" t="str">
        <f>HYPERLINK("https://github.com/Blankj/AndroidUtilCode/issues/1456","show")</f>
        <v>show</v>
      </c>
      <c r="E5889" t="str">
        <f>HYPERLINK("https://github.com/Blankj/AndroidUtilCode","show")</f>
        <v>show</v>
      </c>
      <c r="F5889" t="str">
        <f>HYPERLINK("https://github.com/Blankj/AndroidUtilCode/releases","show")</f>
        <v>show</v>
      </c>
    </row>
    <row r="5890" spans="1:6">
      <c r="A5890" t="s">
        <v>17516</v>
      </c>
      <c r="B5890" t="s">
        <v>17517</v>
      </c>
      <c r="C5890" t="s">
        <v>17518</v>
      </c>
      <c r="D5890" t="str">
        <f>HYPERLINK("https://github.com/Anuken/Mindustry/issues/4621","show")</f>
        <v>show</v>
      </c>
      <c r="E5890" t="str">
        <f>HYPERLINK("https://github.com/Anuken/Mindustry","show")</f>
        <v>show</v>
      </c>
      <c r="F5890" t="str">
        <f>HYPERLINK("https://github.com/Anuken/Mindustry/releases","show")</f>
        <v>show</v>
      </c>
    </row>
    <row r="5891" spans="1:6">
      <c r="A5891" t="s">
        <v>17519</v>
      </c>
      <c r="B5891" t="s">
        <v>17520</v>
      </c>
      <c r="C5891" t="s">
        <v>17521</v>
      </c>
      <c r="D5891" t="str">
        <f>HYPERLINK("https://github.com/Anuken/Mindustry/issues/4620","show")</f>
        <v>show</v>
      </c>
      <c r="E5891" t="str">
        <f>HYPERLINK("https://github.com/Anuken/Mindustry","show")</f>
        <v>show</v>
      </c>
      <c r="F5891" t="str">
        <f>HYPERLINK("https://github.com/Anuken/Mindustry/releases","show")</f>
        <v>show</v>
      </c>
    </row>
    <row r="5892" spans="1:6">
      <c r="A5892" t="s">
        <v>17522</v>
      </c>
      <c r="B5892" t="s">
        <v>17523</v>
      </c>
      <c r="C5892" t="s">
        <v>17524</v>
      </c>
      <c r="D5892" t="str">
        <f>HYPERLINK("https://github.com/Anuken/Mindustry/issues/4617","show")</f>
        <v>show</v>
      </c>
      <c r="E5892" t="str">
        <f>HYPERLINK("https://github.com/Anuken/Mindustry","show")</f>
        <v>show</v>
      </c>
      <c r="F5892" t="str">
        <f>HYPERLINK("https://github.com/Anuken/Mindustry/releases","show")</f>
        <v>show</v>
      </c>
    </row>
    <row r="5893" spans="1:6">
      <c r="A5893" t="s">
        <v>17525</v>
      </c>
      <c r="B5893" t="s">
        <v>17526</v>
      </c>
      <c r="C5893" t="s">
        <v>17527</v>
      </c>
      <c r="D5893" t="str">
        <f>HYPERLINK("https://github.com/Anuken/Mindustry/issues/4616","show")</f>
        <v>show</v>
      </c>
      <c r="E5893" t="str">
        <f>HYPERLINK("https://github.com/Anuken/Mindustry","show")</f>
        <v>show</v>
      </c>
      <c r="F5893" t="str">
        <f>HYPERLINK("https://github.com/Anuken/Mindustry/releases","show")</f>
        <v>show</v>
      </c>
    </row>
    <row r="5894" spans="1:6">
      <c r="A5894" t="s">
        <v>17528</v>
      </c>
      <c r="B5894" t="s">
        <v>17529</v>
      </c>
      <c r="C5894" t="s">
        <v>17530</v>
      </c>
      <c r="D5894" t="str">
        <f>HYPERLINK("https://github.com/TeamNewPipe/NewPipe/issues/5537","show")</f>
        <v>show</v>
      </c>
      <c r="E5894" t="str">
        <f>HYPERLINK("https://github.com/TeamNewPipe/NewPipe","show")</f>
        <v>show</v>
      </c>
      <c r="F5894" t="str">
        <f>HYPERLINK("https://github.com/TeamNewPipe/NewPipe/releases","show")</f>
        <v>show</v>
      </c>
    </row>
    <row r="5895" spans="1:6">
      <c r="A5895" t="s">
        <v>17531</v>
      </c>
      <c r="B5895" t="s">
        <v>17532</v>
      </c>
      <c r="C5895" t="s">
        <v>17533</v>
      </c>
      <c r="D5895" t="str">
        <f>HYPERLINK("https://github.com/Anuken/Mindustry/issues/4611","show")</f>
        <v>show</v>
      </c>
      <c r="E5895" t="str">
        <f>HYPERLINK("https://github.com/Anuken/Mindustry","show")</f>
        <v>show</v>
      </c>
      <c r="F5895" t="str">
        <f>HYPERLINK("https://github.com/Anuken/Mindustry/releases","show")</f>
        <v>show</v>
      </c>
    </row>
    <row r="5896" spans="1:6">
      <c r="A5896" t="s">
        <v>17534</v>
      </c>
      <c r="B5896" t="s">
        <v>17535</v>
      </c>
      <c r="C5896" t="s">
        <v>17536</v>
      </c>
      <c r="D5896" t="str">
        <f>HYPERLINK("https://github.com/Anuken/Mindustry/issues/4605","show")</f>
        <v>show</v>
      </c>
      <c r="E5896" t="str">
        <f>HYPERLINK("https://github.com/Anuken/Mindustry","show")</f>
        <v>show</v>
      </c>
      <c r="F5896" t="str">
        <f>HYPERLINK("https://github.com/Anuken/Mindustry/releases","show")</f>
        <v>show</v>
      </c>
    </row>
    <row r="5897" spans="1:6">
      <c r="A5897" t="s">
        <v>17537</v>
      </c>
      <c r="B5897" t="s">
        <v>17538</v>
      </c>
      <c r="C5897" t="s">
        <v>17539</v>
      </c>
      <c r="D5897" t="str">
        <f>HYPERLINK("https://github.com/PojavLauncherTeam/PojavLauncher/issues/817","show")</f>
        <v>show</v>
      </c>
      <c r="E5897" t="str">
        <f>HYPERLINK("https://github.com/PojavLauncherTeam/PojavLauncher","show")</f>
        <v>show</v>
      </c>
      <c r="F5897" t="str">
        <f>HYPERLINK("https://github.com/PojavLauncherTeam/PojavLauncher/releases","show")</f>
        <v>show</v>
      </c>
    </row>
    <row r="5898" spans="1:6">
      <c r="A5898" t="s">
        <v>17540</v>
      </c>
      <c r="B5898" t="s">
        <v>7987</v>
      </c>
      <c r="C5898" t="s">
        <v>17541</v>
      </c>
      <c r="D5898" t="str">
        <f>HYPERLINK("https://github.com/theaaron123/novara-media-reader/issues/26","show")</f>
        <v>show</v>
      </c>
      <c r="E5898" t="str">
        <f>HYPERLINK("https://github.com/theaaron123/novara-media-reader","show")</f>
        <v>show</v>
      </c>
      <c r="F5898" t="str">
        <f>HYPERLINK("https://github.com/theaaron123/novara-media-reader/releases","show")</f>
        <v>show</v>
      </c>
    </row>
    <row r="5899" spans="1:6">
      <c r="A5899" t="s">
        <v>17542</v>
      </c>
      <c r="B5899" t="s">
        <v>92</v>
      </c>
      <c r="C5899" t="s">
        <v>17543</v>
      </c>
      <c r="D5899" t="str">
        <f>HYPERLINK("https://github.com/pmackinney/LeptonBackgammon/issues/9","show")</f>
        <v>show</v>
      </c>
      <c r="E5899" t="str">
        <f>HYPERLINK("https://github.com/pmackinney/LeptonBackgammon","show")</f>
        <v>show</v>
      </c>
      <c r="F5899" t="str">
        <f>HYPERLINK("https://github.com/pmackinney/LeptonBackgammon/releases","show")</f>
        <v>show</v>
      </c>
    </row>
    <row r="5900" spans="1:6">
      <c r="A5900" t="s">
        <v>17544</v>
      </c>
      <c r="B5900" t="s">
        <v>17545</v>
      </c>
      <c r="C5900" t="s">
        <v>17546</v>
      </c>
      <c r="D5900" t="str">
        <f>HYPERLINK("https://github.com/Anuken/Mindustry/issues/4596","show")</f>
        <v>show</v>
      </c>
      <c r="E5900" t="str">
        <f>HYPERLINK("https://github.com/Anuken/Mindustry","show")</f>
        <v>show</v>
      </c>
      <c r="F5900" t="str">
        <f>HYPERLINK("https://github.com/Anuken/Mindustry/releases","show")</f>
        <v>show</v>
      </c>
    </row>
    <row r="5901" spans="1:6">
      <c r="A5901" t="s">
        <v>17547</v>
      </c>
      <c r="B5901" t="s">
        <v>17548</v>
      </c>
      <c r="C5901" t="s">
        <v>17549</v>
      </c>
      <c r="D5901" t="str">
        <f>HYPERLINK("https://github.com/material-components/material-components-android/issues/2047","show")</f>
        <v>show</v>
      </c>
      <c r="E5901" t="str">
        <f>HYPERLINK("https://github.com/material-components/material-components-android","show")</f>
        <v>show</v>
      </c>
      <c r="F5901" t="str">
        <f>HYPERLINK("https://github.com/material-components/material-components-android/releases","show")</f>
        <v>show</v>
      </c>
    </row>
    <row r="5902" spans="1:6">
      <c r="A5902" t="s">
        <v>17550</v>
      </c>
      <c r="B5902" t="s">
        <v>17551</v>
      </c>
      <c r="C5902" t="s">
        <v>17552</v>
      </c>
      <c r="D5902" t="str">
        <f>HYPERLINK("https://github.com/AOF-Dev/MCinaBox/issues/921","show")</f>
        <v>show</v>
      </c>
      <c r="E5902" t="str">
        <f>HYPERLINK("https://github.com/AOF-Dev/MCinaBox","show")</f>
        <v>show</v>
      </c>
      <c r="F5902" t="str">
        <f>HYPERLINK("https://github.com/AOF-Dev/MCinaBox/releases","show")</f>
        <v>show</v>
      </c>
    </row>
    <row r="5903" spans="1:6">
      <c r="A5903" t="s">
        <v>17553</v>
      </c>
      <c r="B5903" t="s">
        <v>17554</v>
      </c>
      <c r="C5903" t="s">
        <v>17555</v>
      </c>
      <c r="D5903" t="str">
        <f>HYPERLINK("https://github.com/k9mail/k-9/issues/5121","show")</f>
        <v>show</v>
      </c>
      <c r="E5903" t="str">
        <f>HYPERLINK("https://github.com/k9mail/k-9","show")</f>
        <v>show</v>
      </c>
      <c r="F5903" t="str">
        <f>HYPERLINK("https://github.com/k9mail/k-9/releases","show")</f>
        <v>show</v>
      </c>
    </row>
    <row r="5904" spans="1:6">
      <c r="A5904" t="s">
        <v>17556</v>
      </c>
      <c r="B5904" t="s">
        <v>17557</v>
      </c>
      <c r="C5904" t="s">
        <v>17558</v>
      </c>
      <c r="D5904" t="str">
        <f>HYPERLINK("https://github.com/PojavLauncherTeam/PojavLauncher/issues/804","show")</f>
        <v>show</v>
      </c>
      <c r="E5904" t="str">
        <f>HYPERLINK("https://github.com/PojavLauncherTeam/PojavLauncher","show")</f>
        <v>show</v>
      </c>
      <c r="F5904" t="str">
        <f>HYPERLINK("https://github.com/PojavLauncherTeam/PojavLauncher/releases","show")</f>
        <v>show</v>
      </c>
    </row>
    <row r="5905" spans="1:6">
      <c r="A5905" t="s">
        <v>17559</v>
      </c>
      <c r="B5905" t="s">
        <v>17560</v>
      </c>
      <c r="C5905" t="s">
        <v>17561</v>
      </c>
      <c r="D5905" t="str">
        <f>HYPERLINK("https://github.com/miguelpruivo/flutter_file_picker/issues/606","show")</f>
        <v>show</v>
      </c>
      <c r="E5905" t="str">
        <f>HYPERLINK("https://github.com/miguelpruivo/flutter_file_picker","show")</f>
        <v>show</v>
      </c>
      <c r="F5905" t="str">
        <f>HYPERLINK("https://github.com/miguelpruivo/flutter_file_picker/releases","show")</f>
        <v>show</v>
      </c>
    </row>
    <row r="5906" spans="1:6">
      <c r="A5906" t="s">
        <v>17562</v>
      </c>
      <c r="B5906" t="s">
        <v>17563</v>
      </c>
      <c r="C5906" t="s">
        <v>17564</v>
      </c>
      <c r="D5906" t="str">
        <f>HYPERLINK("https://github.com/moneymanagerex/android-money-manager-ex/issues/1408","show")</f>
        <v>show</v>
      </c>
      <c r="E5906" t="str">
        <f>HYPERLINK("https://github.com/moneymanagerex/android-money-manager-ex","show")</f>
        <v>show</v>
      </c>
      <c r="F5906" t="str">
        <f>HYPERLINK("https://github.com/moneymanagerex/android-money-manager-ex/releases","show")</f>
        <v>show</v>
      </c>
    </row>
    <row r="5907" spans="1:6">
      <c r="A5907" t="s">
        <v>17565</v>
      </c>
      <c r="B5907" t="s">
        <v>17566</v>
      </c>
      <c r="C5907" t="s">
        <v>17567</v>
      </c>
      <c r="D5907" t="str">
        <f>HYPERLINK("https://github.com/canyie/pine/issues/9","show")</f>
        <v>show</v>
      </c>
      <c r="E5907" t="str">
        <f>HYPERLINK("https://github.com/canyie/pine","show")</f>
        <v>show</v>
      </c>
      <c r="F5907" t="str">
        <f>HYPERLINK("https://github.com/canyie/pine/releases","show")</f>
        <v>show</v>
      </c>
    </row>
    <row r="5908" spans="1:6">
      <c r="A5908" t="s">
        <v>17568</v>
      </c>
      <c r="B5908" t="s">
        <v>17569</v>
      </c>
      <c r="C5908" t="s">
        <v>17570</v>
      </c>
      <c r="D5908" t="str">
        <f>HYPERLINK("https://github.com/material-components/material-components-android/issues/2038","show")</f>
        <v>show</v>
      </c>
      <c r="E5908" t="str">
        <f>HYPERLINK("https://github.com/material-components/material-components-android","show")</f>
        <v>show</v>
      </c>
      <c r="F5908" t="str">
        <f>HYPERLINK("https://github.com/material-components/material-components-android/releases","show")</f>
        <v>show</v>
      </c>
    </row>
    <row r="5909" spans="1:6">
      <c r="A5909" t="s">
        <v>17571</v>
      </c>
      <c r="B5909" t="s">
        <v>17572</v>
      </c>
      <c r="C5909" t="s">
        <v>17573</v>
      </c>
      <c r="D5909" t="str">
        <f>HYPERLINK("https://github.com/aleksn41/corona_world_app/issues/126","show")</f>
        <v>show</v>
      </c>
      <c r="E5909" t="str">
        <f>HYPERLINK("https://github.com/aleksn41/corona_world_app","show")</f>
        <v>show</v>
      </c>
      <c r="F5909" t="str">
        <f>HYPERLINK("https://github.com/aleksn41/corona_world_app/releases","show")</f>
        <v>show</v>
      </c>
    </row>
    <row r="5910" spans="1:6">
      <c r="A5910" t="s">
        <v>17574</v>
      </c>
      <c r="B5910" t="s">
        <v>17575</v>
      </c>
      <c r="C5910" t="s">
        <v>17576</v>
      </c>
      <c r="D5910" t="str">
        <f>HYPERLINK("https://github.com/Anuken/Mindustry/issues/4585","show")</f>
        <v>show</v>
      </c>
      <c r="E5910" t="str">
        <f>HYPERLINK("https://github.com/Anuken/Mindustry","show")</f>
        <v>show</v>
      </c>
      <c r="F5910" t="str">
        <f>HYPERLINK("https://github.com/Anuken/Mindustry/releases","show")</f>
        <v>show</v>
      </c>
    </row>
    <row r="5911" spans="1:6">
      <c r="A5911" t="s">
        <v>17577</v>
      </c>
      <c r="B5911" t="s">
        <v>17578</v>
      </c>
      <c r="C5911" t="s">
        <v>17579</v>
      </c>
      <c r="D5911" t="str">
        <f>HYPERLINK("https://github.com/deepjavalibrary/djl/issues/596","show")</f>
        <v>show</v>
      </c>
      <c r="E5911" t="str">
        <f>HYPERLINK("https://github.com/deepjavalibrary/djl","show")</f>
        <v>show</v>
      </c>
      <c r="F5911" t="str">
        <f>HYPERLINK("https://github.com/deepjavalibrary/djl/releases","show")</f>
        <v>show</v>
      </c>
    </row>
    <row r="5912" spans="1:6">
      <c r="A5912" t="s">
        <v>17580</v>
      </c>
      <c r="B5912" t="s">
        <v>17581</v>
      </c>
      <c r="C5912" t="s">
        <v>17582</v>
      </c>
      <c r="D5912" t="str">
        <f>HYPERLINK("https://github.com/square/okhttp/issues/6543","show")</f>
        <v>show</v>
      </c>
      <c r="E5912" t="str">
        <f>HYPERLINK("https://github.com/square/okhttp","show")</f>
        <v>show</v>
      </c>
      <c r="F5912" t="str">
        <f>HYPERLINK("https://github.com/square/okhttp/releases","show")</f>
        <v>show</v>
      </c>
    </row>
    <row r="5913" spans="1:6">
      <c r="A5913" t="s">
        <v>17583</v>
      </c>
      <c r="B5913" t="s">
        <v>17584</v>
      </c>
      <c r="C5913" t="s">
        <v>17585</v>
      </c>
      <c r="D5913" t="str">
        <f>HYPERLINK("https://github.com/MuntashirAkon/AppManager/issues/259","show")</f>
        <v>show</v>
      </c>
      <c r="E5913" t="str">
        <f>HYPERLINK("https://github.com/MuntashirAkon/AppManager","show")</f>
        <v>show</v>
      </c>
      <c r="F5913" t="str">
        <f>HYPERLINK("https://github.com/MuntashirAkon/AppManager/releases","show")</f>
        <v>show</v>
      </c>
    </row>
    <row r="5914" spans="1:6">
      <c r="A5914" t="s">
        <v>17586</v>
      </c>
      <c r="B5914" t="s">
        <v>17587</v>
      </c>
      <c r="C5914" t="s">
        <v>17588</v>
      </c>
      <c r="D5914" t="str">
        <f>HYPERLINK("https://github.com/TeamNewPipe/NewPipe/issues/5527","show")</f>
        <v>show</v>
      </c>
      <c r="E5914" t="str">
        <f>HYPERLINK("https://github.com/TeamNewPipe/NewPipe","show")</f>
        <v>show</v>
      </c>
      <c r="F5914" t="str">
        <f>HYPERLINK("https://github.com/TeamNewPipe/NewPipe/releases","show")</f>
        <v>show</v>
      </c>
    </row>
    <row r="5915" spans="1:6">
      <c r="A5915" t="s">
        <v>17589</v>
      </c>
      <c r="B5915" t="s">
        <v>17590</v>
      </c>
      <c r="C5915" t="s">
        <v>17591</v>
      </c>
      <c r="D5915" t="str">
        <f>HYPERLINK("https://github.com/PojavLauncherTeam/PojavLauncher/issues/794","show")</f>
        <v>show</v>
      </c>
      <c r="E5915" t="str">
        <f>HYPERLINK("https://github.com/PojavLauncherTeam/PojavLauncher","show")</f>
        <v>show</v>
      </c>
      <c r="F5915" t="str">
        <f>HYPERLINK("https://github.com/PojavLauncherTeam/PojavLauncher/releases","show")</f>
        <v>show</v>
      </c>
    </row>
    <row r="5916" spans="1:6">
      <c r="A5916" t="s">
        <v>17592</v>
      </c>
      <c r="B5916" t="s">
        <v>17593</v>
      </c>
      <c r="C5916" t="s">
        <v>17594</v>
      </c>
      <c r="D5916" t="str">
        <f>HYPERLINK("https://github.com/AOF-Dev/MCinaBox/issues/912","show")</f>
        <v>show</v>
      </c>
      <c r="E5916" t="str">
        <f>HYPERLINK("https://github.com/AOF-Dev/MCinaBox","show")</f>
        <v>show</v>
      </c>
      <c r="F5916" t="str">
        <f>HYPERLINK("https://github.com/AOF-Dev/MCinaBox/releases","show")</f>
        <v>show</v>
      </c>
    </row>
    <row r="5917" spans="1:6">
      <c r="A5917" t="s">
        <v>17595</v>
      </c>
      <c r="B5917" t="s">
        <v>17596</v>
      </c>
      <c r="C5917" t="s">
        <v>17597</v>
      </c>
      <c r="D5917" t="str">
        <f>HYPERLINK("https://github.com/AlphaWallet/alpha-wallet-android/issues/1713","show")</f>
        <v>show</v>
      </c>
      <c r="E5917" t="str">
        <f>HYPERLINK("https://github.com/AlphaWallet/alpha-wallet-android","show")</f>
        <v>show</v>
      </c>
      <c r="F5917" t="str">
        <f>HYPERLINK("https://github.com/AlphaWallet/alpha-wallet-android/releases","show")</f>
        <v>show</v>
      </c>
    </row>
    <row r="5918" spans="1:6">
      <c r="A5918" t="s">
        <v>17598</v>
      </c>
      <c r="B5918" t="s">
        <v>17599</v>
      </c>
      <c r="C5918" t="s">
        <v>17600</v>
      </c>
      <c r="D5918" t="str">
        <f>HYPERLINK("https://github.com/iamutkarshtiwari/Ananas/issues/85","show")</f>
        <v>show</v>
      </c>
      <c r="E5918" t="str">
        <f>HYPERLINK("https://github.com/iamutkarshtiwari/Ananas","show")</f>
        <v>show</v>
      </c>
      <c r="F5918" t="str">
        <f>HYPERLINK("https://github.com/iamutkarshtiwari/Ananas/releases","show")</f>
        <v>show</v>
      </c>
    </row>
    <row r="5919" spans="1:6">
      <c r="A5919" t="s">
        <v>17601</v>
      </c>
      <c r="B5919" t="s">
        <v>17602</v>
      </c>
      <c r="C5919" t="s">
        <v>17603</v>
      </c>
      <c r="D5919" t="str">
        <f>HYPERLINK("https://github.com/Anuken/Mindustry/issues/4500","show")</f>
        <v>show</v>
      </c>
      <c r="E5919" t="str">
        <f>HYPERLINK("https://github.com/Anuken/Mindustry","show")</f>
        <v>show</v>
      </c>
      <c r="F5919" t="str">
        <f>HYPERLINK("https://github.com/Anuken/Mindustry/releases","show")</f>
        <v>show</v>
      </c>
    </row>
    <row r="5920" spans="1:6">
      <c r="A5920" t="s">
        <v>17604</v>
      </c>
      <c r="B5920" t="s">
        <v>17605</v>
      </c>
      <c r="C5920" t="s">
        <v>17606</v>
      </c>
      <c r="D5920" t="str">
        <f>HYPERLINK("https://github.com/morenoh149/react-native-contacts/issues/590","show")</f>
        <v>show</v>
      </c>
      <c r="E5920" t="str">
        <f>HYPERLINK("https://github.com/morenoh149/react-native-contacts","show")</f>
        <v>show</v>
      </c>
      <c r="F5920" t="str">
        <f>HYPERLINK("https://github.com/morenoh149/react-native-contacts/releases","show")</f>
        <v>show</v>
      </c>
    </row>
    <row r="5921" spans="1:6">
      <c r="A5921" t="s">
        <v>17607</v>
      </c>
      <c r="B5921" t="s">
        <v>17608</v>
      </c>
      <c r="C5921" t="s">
        <v>17609</v>
      </c>
      <c r="D5921" t="str">
        <f>HYPERLINK("https://github.com/Anuken/Mindustry/issues/4496","show")</f>
        <v>show</v>
      </c>
      <c r="E5921" t="str">
        <f>HYPERLINK("https://github.com/Anuken/Mindustry","show")</f>
        <v>show</v>
      </c>
      <c r="F5921" t="str">
        <f>HYPERLINK("https://github.com/Anuken/Mindustry/releases","show")</f>
        <v>show</v>
      </c>
    </row>
    <row r="5922" spans="1:6">
      <c r="A5922" t="s">
        <v>17610</v>
      </c>
      <c r="B5922" t="s">
        <v>17611</v>
      </c>
      <c r="C5922" t="s">
        <v>17612</v>
      </c>
      <c r="D5922" t="str">
        <f>HYPERLINK("https://github.com/Anuken/Mindustry/issues/4495","show")</f>
        <v>show</v>
      </c>
      <c r="E5922" t="str">
        <f>HYPERLINK("https://github.com/Anuken/Mindustry","show")</f>
        <v>show</v>
      </c>
      <c r="F5922" t="str">
        <f>HYPERLINK("https://github.com/Anuken/Mindustry/releases","show")</f>
        <v>show</v>
      </c>
    </row>
    <row r="5923" spans="1:6">
      <c r="A5923" t="s">
        <v>17613</v>
      </c>
      <c r="B5923" t="s">
        <v>17614</v>
      </c>
      <c r="C5923" t="s">
        <v>17615</v>
      </c>
      <c r="D5923" t="str">
        <f>HYPERLINK("https://github.com/TeamNewPipe/NewPipe/issues/5524","show")</f>
        <v>show</v>
      </c>
      <c r="E5923" t="str">
        <f>HYPERLINK("https://github.com/TeamNewPipe/NewPipe","show")</f>
        <v>show</v>
      </c>
      <c r="F5923" t="str">
        <f>HYPERLINK("https://github.com/TeamNewPipe/NewPipe/releases","show")</f>
        <v>show</v>
      </c>
    </row>
    <row r="5924" spans="1:6">
      <c r="A5924" t="s">
        <v>17616</v>
      </c>
      <c r="B5924" t="s">
        <v>17617</v>
      </c>
      <c r="C5924" t="s">
        <v>17618</v>
      </c>
      <c r="D5924" t="str">
        <f>HYPERLINK("https://github.com/cgeo/cgeo/issues/9937","show")</f>
        <v>show</v>
      </c>
      <c r="E5924" t="str">
        <f>HYPERLINK("https://github.com/cgeo/cgeo","show")</f>
        <v>show</v>
      </c>
      <c r="F5924" t="str">
        <f>HYPERLINK("https://github.com/cgeo/cgeo/releases","show")</f>
        <v>show</v>
      </c>
    </row>
    <row r="5925" spans="1:6">
      <c r="A5925" t="s">
        <v>17619</v>
      </c>
      <c r="B5925" t="s">
        <v>17620</v>
      </c>
      <c r="C5925" t="s">
        <v>17621</v>
      </c>
      <c r="D5925" t="str">
        <f>HYPERLINK("https://github.com/cgeo/cgeo/issues/9936","show")</f>
        <v>show</v>
      </c>
      <c r="E5925" t="str">
        <f>HYPERLINK("https://github.com/cgeo/cgeo","show")</f>
        <v>show</v>
      </c>
      <c r="F5925" t="str">
        <f>HYPERLINK("https://github.com/cgeo/cgeo/releases","show")</f>
        <v>show</v>
      </c>
    </row>
    <row r="5926" spans="1:6">
      <c r="A5926" t="s">
        <v>17622</v>
      </c>
      <c r="B5926" t="s">
        <v>17623</v>
      </c>
      <c r="C5926" t="s">
        <v>17624</v>
      </c>
      <c r="D5926" t="str">
        <f>HYPERLINK("https://github.com/AOF-Dev/MCinaBox/issues/906","show")</f>
        <v>show</v>
      </c>
      <c r="E5926" t="str">
        <f>HYPERLINK("https://github.com/AOF-Dev/MCinaBox","show")</f>
        <v>show</v>
      </c>
      <c r="F5926" t="str">
        <f>HYPERLINK("https://github.com/AOF-Dev/MCinaBox/releases","show")</f>
        <v>show</v>
      </c>
    </row>
    <row r="5927" spans="1:6">
      <c r="A5927" t="s">
        <v>17625</v>
      </c>
      <c r="B5927" t="s">
        <v>17626</v>
      </c>
      <c r="C5927" t="s">
        <v>17627</v>
      </c>
      <c r="D5927" t="str">
        <f>HYPERLINK("https://github.com/TeamNewPipe/NewPipe/issues/5521","show")</f>
        <v>show</v>
      </c>
      <c r="E5927" t="str">
        <f>HYPERLINK("https://github.com/TeamNewPipe/NewPipe","show")</f>
        <v>show</v>
      </c>
      <c r="F5927" t="str">
        <f>HYPERLINK("https://github.com/TeamNewPipe/NewPipe/releases","show")</f>
        <v>show</v>
      </c>
    </row>
    <row r="5928" spans="1:6">
      <c r="A5928" t="s">
        <v>17628</v>
      </c>
      <c r="B5928" t="s">
        <v>17629</v>
      </c>
      <c r="C5928" t="s">
        <v>17630</v>
      </c>
      <c r="D5928" t="str">
        <f>HYPERLINK("https://github.com/Anuken/Mindustry/issues/4491","show")</f>
        <v>show</v>
      </c>
      <c r="E5928" t="str">
        <f>HYPERLINK("https://github.com/Anuken/Mindustry","show")</f>
        <v>show</v>
      </c>
      <c r="F5928" t="str">
        <f>HYPERLINK("https://github.com/Anuken/Mindustry/releases","show")</f>
        <v>show</v>
      </c>
    </row>
    <row r="5929" spans="1:6">
      <c r="A5929" t="s">
        <v>17631</v>
      </c>
      <c r="B5929" t="s">
        <v>17632</v>
      </c>
      <c r="C5929" t="s">
        <v>17633</v>
      </c>
      <c r="D5929" t="str">
        <f>HYPERLINK("https://github.com/nextcloud/android/issues/7911","show")</f>
        <v>show</v>
      </c>
      <c r="E5929" t="str">
        <f>HYPERLINK("https://github.com/nextcloud/android","show")</f>
        <v>show</v>
      </c>
      <c r="F5929" t="str">
        <f>HYPERLINK("https://github.com/nextcloud/android/releases","show")</f>
        <v>show</v>
      </c>
    </row>
    <row r="5930" spans="1:6">
      <c r="A5930" t="s">
        <v>17634</v>
      </c>
      <c r="B5930" t="s">
        <v>17635</v>
      </c>
      <c r="C5930" t="s">
        <v>17636</v>
      </c>
      <c r="D5930" t="str">
        <f>HYPERLINK("https://github.com/TeamNewPipe/NewPipe/issues/5520","show")</f>
        <v>show</v>
      </c>
      <c r="E5930" t="str">
        <f>HYPERLINK("https://github.com/TeamNewPipe/NewPipe","show")</f>
        <v>show</v>
      </c>
      <c r="F5930" t="str">
        <f>HYPERLINK("https://github.com/TeamNewPipe/NewPipe/releases","show")</f>
        <v>show</v>
      </c>
    </row>
    <row r="5931" spans="1:6">
      <c r="A5931" t="s">
        <v>17637</v>
      </c>
      <c r="B5931" t="s">
        <v>17638</v>
      </c>
      <c r="C5931" t="s">
        <v>17639</v>
      </c>
      <c r="D5931" t="str">
        <f>HYPERLINK("https://github.com/material-components/material-components-android/issues/2021","show")</f>
        <v>show</v>
      </c>
      <c r="E5931" t="str">
        <f>HYPERLINK("https://github.com/material-components/material-components-android","show")</f>
        <v>show</v>
      </c>
      <c r="F5931" t="str">
        <f>HYPERLINK("https://github.com/material-components/material-components-android/releases","show")</f>
        <v>show</v>
      </c>
    </row>
    <row r="5932" spans="1:6">
      <c r="A5932" t="s">
        <v>17640</v>
      </c>
      <c r="B5932" t="s">
        <v>17641</v>
      </c>
      <c r="C5932" t="s">
        <v>17642</v>
      </c>
      <c r="D5932" t="str">
        <f>HYPERLINK("https://github.com/Anuken/Mindustry/issues/4486","show")</f>
        <v>show</v>
      </c>
      <c r="E5932" t="str">
        <f>HYPERLINK("https://github.com/Anuken/Mindustry","show")</f>
        <v>show</v>
      </c>
      <c r="F5932" t="str">
        <f>HYPERLINK("https://github.com/Anuken/Mindustry/releases","show")</f>
        <v>show</v>
      </c>
    </row>
    <row r="5933" spans="1:6">
      <c r="A5933" t="s">
        <v>17643</v>
      </c>
      <c r="B5933" t="s">
        <v>17644</v>
      </c>
      <c r="C5933" t="s">
        <v>17645</v>
      </c>
      <c r="D5933" t="str">
        <f>HYPERLINK("https://github.com/NightscoutFoundation/xDrip/issues/1630","show")</f>
        <v>show</v>
      </c>
      <c r="E5933" t="str">
        <f>HYPERLINK("https://github.com/NightscoutFoundation/xDrip","show")</f>
        <v>show</v>
      </c>
      <c r="F5933" t="str">
        <f>HYPERLINK("https://github.com/NightscoutFoundation/xDrip/releases","show")</f>
        <v>show</v>
      </c>
    </row>
    <row r="5934" spans="1:6">
      <c r="A5934" t="s">
        <v>17646</v>
      </c>
      <c r="B5934" t="s">
        <v>17647</v>
      </c>
      <c r="C5934" t="s">
        <v>17648</v>
      </c>
      <c r="D5934" t="str">
        <f>HYPERLINK("https://github.com/Anuken/Mindustry/issues/4483","show")</f>
        <v>show</v>
      </c>
      <c r="E5934" t="str">
        <f>HYPERLINK("https://github.com/Anuken/Mindustry","show")</f>
        <v>show</v>
      </c>
      <c r="F5934" t="str">
        <f>HYPERLINK("https://github.com/Anuken/Mindustry/releases","show")</f>
        <v>show</v>
      </c>
    </row>
    <row r="5935" spans="1:6">
      <c r="A5935" t="s">
        <v>17649</v>
      </c>
      <c r="B5935" t="s">
        <v>17650</v>
      </c>
      <c r="C5935" t="s">
        <v>17651</v>
      </c>
      <c r="D5935" t="str">
        <f>HYPERLINK("https://github.com/Anuken/Mindustry/issues/4482","show")</f>
        <v>show</v>
      </c>
      <c r="E5935" t="str">
        <f>HYPERLINK("https://github.com/Anuken/Mindustry","show")</f>
        <v>show</v>
      </c>
      <c r="F5935" t="str">
        <f>HYPERLINK("https://github.com/Anuken/Mindustry/releases","show")</f>
        <v>show</v>
      </c>
    </row>
    <row r="5936" spans="1:6">
      <c r="A5936" t="s">
        <v>17652</v>
      </c>
      <c r="B5936" t="s">
        <v>17653</v>
      </c>
      <c r="C5936" t="s">
        <v>17654</v>
      </c>
      <c r="D5936" t="str">
        <f>HYPERLINK("https://github.com/mtotschnig/MyExpenses/issues/744","show")</f>
        <v>show</v>
      </c>
      <c r="E5936" t="str">
        <f>HYPERLINK("https://github.com/mtotschnig/MyExpenses","show")</f>
        <v>show</v>
      </c>
      <c r="F5936" t="str">
        <f>HYPERLINK("https://github.com/mtotschnig/MyExpenses/releases","show")</f>
        <v>show</v>
      </c>
    </row>
    <row r="5937" spans="1:6">
      <c r="A5937" t="s">
        <v>17655</v>
      </c>
      <c r="B5937" t="s">
        <v>17656</v>
      </c>
      <c r="C5937" t="s">
        <v>17657</v>
      </c>
      <c r="D5937" t="str">
        <f>HYPERLINK("https://github.com/AOF-Dev/MCinaBox/issues/904","show")</f>
        <v>show</v>
      </c>
      <c r="E5937" t="str">
        <f>HYPERLINK("https://github.com/AOF-Dev/MCinaBox","show")</f>
        <v>show</v>
      </c>
      <c r="F5937" t="str">
        <f>HYPERLINK("https://github.com/AOF-Dev/MCinaBox/releases","show")</f>
        <v>show</v>
      </c>
    </row>
    <row r="5938" spans="1:6">
      <c r="A5938" t="s">
        <v>17658</v>
      </c>
      <c r="B5938" t="s">
        <v>17659</v>
      </c>
      <c r="C5938" t="s">
        <v>17660</v>
      </c>
      <c r="D5938" t="str">
        <f>HYPERLINK("https://github.com/TeamNewPipe/NewPipe/issues/5517","show")</f>
        <v>show</v>
      </c>
      <c r="E5938" t="str">
        <f>HYPERLINK("https://github.com/TeamNewPipe/NewPipe","show")</f>
        <v>show</v>
      </c>
      <c r="F5938" t="str">
        <f>HYPERLINK("https://github.com/TeamNewPipe/NewPipe/releases","show")</f>
        <v>show</v>
      </c>
    </row>
    <row r="5939" spans="1:6">
      <c r="A5939" t="s">
        <v>17661</v>
      </c>
      <c r="B5939" t="s">
        <v>17662</v>
      </c>
      <c r="C5939" t="s">
        <v>17663</v>
      </c>
      <c r="D5939" t="str">
        <f>HYPERLINK("https://github.com/AOF-Dev/MCinaBox/issues/901","show")</f>
        <v>show</v>
      </c>
      <c r="E5939" t="str">
        <f>HYPERLINK("https://github.com/AOF-Dev/MCinaBox","show")</f>
        <v>show</v>
      </c>
      <c r="F5939" t="str">
        <f>HYPERLINK("https://github.com/AOF-Dev/MCinaBox/releases","show")</f>
        <v>show</v>
      </c>
    </row>
    <row r="5940" spans="1:6">
      <c r="A5940" t="s">
        <v>17664</v>
      </c>
      <c r="B5940" t="s">
        <v>17665</v>
      </c>
      <c r="C5940" t="s">
        <v>17666</v>
      </c>
      <c r="D5940" t="str">
        <f>HYPERLINK("https://github.com/XBigTK13X/snowgloo/issues/27","show")</f>
        <v>show</v>
      </c>
      <c r="E5940" t="str">
        <f>HYPERLINK("https://github.com/XBigTK13X/snowgloo","show")</f>
        <v>show</v>
      </c>
      <c r="F5940" t="str">
        <f>HYPERLINK("https://github.com/XBigTK13X/snowgloo/releases","show")</f>
        <v>show</v>
      </c>
    </row>
    <row r="5941" spans="1:6">
      <c r="A5941" t="s">
        <v>17667</v>
      </c>
      <c r="B5941" t="s">
        <v>17668</v>
      </c>
      <c r="C5941" t="s">
        <v>17669</v>
      </c>
      <c r="D5941" t="str">
        <f>HYPERLINK("https://github.com/cgeo/cgeo/issues/9915","show")</f>
        <v>show</v>
      </c>
      <c r="E5941" t="str">
        <f>HYPERLINK("https://github.com/cgeo/cgeo","show")</f>
        <v>show</v>
      </c>
      <c r="F5941" t="str">
        <f>HYPERLINK("https://github.com/cgeo/cgeo/releases","show")</f>
        <v>show</v>
      </c>
    </row>
    <row r="5942" spans="1:6">
      <c r="A5942" t="s">
        <v>17670</v>
      </c>
      <c r="B5942" t="s">
        <v>17671</v>
      </c>
      <c r="C5942" t="s">
        <v>17672</v>
      </c>
      <c r="D5942" t="str">
        <f>HYPERLINK("https://github.com/TeamNewPipe/NewPipe/issues/5510","show")</f>
        <v>show</v>
      </c>
      <c r="E5942" t="str">
        <f>HYPERLINK("https://github.com/TeamNewPipe/NewPipe","show")</f>
        <v>show</v>
      </c>
      <c r="F5942" t="str">
        <f>HYPERLINK("https://github.com/TeamNewPipe/NewPipe/releases","show")</f>
        <v>show</v>
      </c>
    </row>
    <row r="5943" spans="1:6">
      <c r="A5943" t="s">
        <v>17673</v>
      </c>
      <c r="B5943" t="s">
        <v>17674</v>
      </c>
      <c r="C5943" t="s">
        <v>17675</v>
      </c>
      <c r="D5943" t="str">
        <f>HYPERLINK("https://github.com/Anuken/Mindustry/issues/4475","show")</f>
        <v>show</v>
      </c>
      <c r="E5943" t="str">
        <f>HYPERLINK("https://github.com/Anuken/Mindustry","show")</f>
        <v>show</v>
      </c>
      <c r="F5943" t="str">
        <f>HYPERLINK("https://github.com/Anuken/Mindustry/releases","show")</f>
        <v>show</v>
      </c>
    </row>
    <row r="5944" spans="1:6">
      <c r="A5944" t="s">
        <v>17676</v>
      </c>
      <c r="B5944" t="s">
        <v>17677</v>
      </c>
      <c r="C5944" t="s">
        <v>17678</v>
      </c>
      <c r="D5944" t="str">
        <f>HYPERLINK("https://github.com/TeamNewPipe/NewPipe/issues/5507","show")</f>
        <v>show</v>
      </c>
      <c r="E5944" t="str">
        <f>HYPERLINK("https://github.com/TeamNewPipe/NewPipe","show")</f>
        <v>show</v>
      </c>
      <c r="F5944" t="str">
        <f>HYPERLINK("https://github.com/TeamNewPipe/NewPipe/releases","show")</f>
        <v>show</v>
      </c>
    </row>
    <row r="5945" spans="1:6">
      <c r="A5945" t="s">
        <v>17679</v>
      </c>
      <c r="B5945" t="s">
        <v>17680</v>
      </c>
      <c r="C5945" t="s">
        <v>17681</v>
      </c>
      <c r="D5945" t="str">
        <f>HYPERLINK("https://github.com/nextcloud/android/issues/7908","show")</f>
        <v>show</v>
      </c>
      <c r="E5945" t="str">
        <f>HYPERLINK("https://github.com/nextcloud/android","show")</f>
        <v>show</v>
      </c>
      <c r="F5945" t="str">
        <f>HYPERLINK("https://github.com/nextcloud/android/releases","show")</f>
        <v>show</v>
      </c>
    </row>
    <row r="5946" spans="1:6">
      <c r="A5946" t="s">
        <v>17682</v>
      </c>
      <c r="B5946" t="s">
        <v>17683</v>
      </c>
      <c r="C5946" t="s">
        <v>17684</v>
      </c>
      <c r="D5946" t="str">
        <f>HYPERLINK("https://github.com/MuntashirAkon/AppManager/issues/255","show")</f>
        <v>show</v>
      </c>
      <c r="E5946" t="str">
        <f>HYPERLINK("https://github.com/MuntashirAkon/AppManager","show")</f>
        <v>show</v>
      </c>
      <c r="F5946" t="str">
        <f>HYPERLINK("https://github.com/MuntashirAkon/AppManager/releases","show")</f>
        <v>show</v>
      </c>
    </row>
    <row r="5947" spans="1:6">
      <c r="A5947" t="s">
        <v>17685</v>
      </c>
      <c r="B5947" t="s">
        <v>17686</v>
      </c>
      <c r="C5947" t="s">
        <v>17687</v>
      </c>
      <c r="D5947" t="str">
        <f>HYPERLINK("https://github.com/Anuken/Mindustry/issues/4468","show")</f>
        <v>show</v>
      </c>
      <c r="E5947" t="str">
        <f>HYPERLINK("https://github.com/Anuken/Mindustry","show")</f>
        <v>show</v>
      </c>
      <c r="F5947" t="str">
        <f>HYPERLINK("https://github.com/Anuken/Mindustry/releases","show")</f>
        <v>show</v>
      </c>
    </row>
    <row r="5948" spans="1:6">
      <c r="A5948" t="s">
        <v>17688</v>
      </c>
      <c r="B5948" t="s">
        <v>17689</v>
      </c>
      <c r="C5948" t="s">
        <v>17690</v>
      </c>
      <c r="D5948" t="str">
        <f>HYPERLINK("https://github.com/Anuken/Mindustry/issues/4466","show")</f>
        <v>show</v>
      </c>
      <c r="E5948" t="str">
        <f>HYPERLINK("https://github.com/Anuken/Mindustry","show")</f>
        <v>show</v>
      </c>
      <c r="F5948" t="str">
        <f>HYPERLINK("https://github.com/Anuken/Mindustry/releases","show")</f>
        <v>show</v>
      </c>
    </row>
    <row r="5949" spans="1:6">
      <c r="A5949" t="s">
        <v>17691</v>
      </c>
      <c r="B5949" t="s">
        <v>17692</v>
      </c>
      <c r="C5949" t="s">
        <v>17693</v>
      </c>
      <c r="D5949" t="str">
        <f>HYPERLINK("https://github.com/TeamNewPipe/NewPipe/issues/5506","show")</f>
        <v>show</v>
      </c>
      <c r="E5949" t="str">
        <f>HYPERLINK("https://github.com/TeamNewPipe/NewPipe","show")</f>
        <v>show</v>
      </c>
      <c r="F5949" t="str">
        <f>HYPERLINK("https://github.com/TeamNewPipe/NewPipe/releases","show")</f>
        <v>show</v>
      </c>
    </row>
    <row r="5950" spans="1:6">
      <c r="A5950" t="s">
        <v>17694</v>
      </c>
      <c r="B5950" t="s">
        <v>17695</v>
      </c>
      <c r="C5950" t="s">
        <v>17696</v>
      </c>
      <c r="D5950" t="str">
        <f>HYPERLINK("https://github.com/TotalCross/totalcross/issues/291","show")</f>
        <v>show</v>
      </c>
      <c r="E5950" t="str">
        <f>HYPERLINK("https://github.com/TotalCross/totalcross","show")</f>
        <v>show</v>
      </c>
      <c r="F5950" t="str">
        <f>HYPERLINK("https://github.com/TotalCross/totalcross/releases","show")</f>
        <v>show</v>
      </c>
    </row>
    <row r="5951" spans="1:6">
      <c r="A5951" t="s">
        <v>17697</v>
      </c>
      <c r="B5951" t="s">
        <v>17698</v>
      </c>
      <c r="C5951" t="s">
        <v>17699</v>
      </c>
      <c r="D5951" t="str">
        <f>HYPERLINK("https://github.com/PojavLauncherTeam/PojavLauncher/issues/751","show")</f>
        <v>show</v>
      </c>
      <c r="E5951" t="str">
        <f>HYPERLINK("https://github.com/PojavLauncherTeam/PojavLauncher","show")</f>
        <v>show</v>
      </c>
      <c r="F5951" t="str">
        <f>HYPERLINK("https://github.com/PojavLauncherTeam/PojavLauncher/releases","show")</f>
        <v>show</v>
      </c>
    </row>
    <row r="5952" spans="1:6">
      <c r="A5952" t="s">
        <v>17700</v>
      </c>
      <c r="B5952" t="s">
        <v>17701</v>
      </c>
      <c r="C5952" t="s">
        <v>17702</v>
      </c>
      <c r="D5952" t="str">
        <f>HYPERLINK("https://github.com/gluonhq/substrate/issues/867","show")</f>
        <v>show</v>
      </c>
      <c r="E5952" t="str">
        <f>HYPERLINK("https://github.com/gluonhq/substrate","show")</f>
        <v>show</v>
      </c>
      <c r="F5952" t="str">
        <f>HYPERLINK("https://github.com/gluonhq/substrate/releases","show")</f>
        <v>show</v>
      </c>
    </row>
    <row r="5953" spans="1:6">
      <c r="A5953" t="s">
        <v>17703</v>
      </c>
      <c r="B5953" t="s">
        <v>17704</v>
      </c>
      <c r="C5953" t="s">
        <v>17705</v>
      </c>
      <c r="D5953" t="str">
        <f>HYPERLINK("https://github.com/Anuken/Mindustry/issues/4460","show")</f>
        <v>show</v>
      </c>
      <c r="E5953" t="str">
        <f>HYPERLINK("https://github.com/Anuken/Mindustry","show")</f>
        <v>show</v>
      </c>
      <c r="F5953" t="str">
        <f>HYPERLINK("https://github.com/Anuken/Mindustry/releases","show")</f>
        <v>show</v>
      </c>
    </row>
    <row r="5954" spans="1:6">
      <c r="A5954" t="s">
        <v>17706</v>
      </c>
      <c r="B5954" t="s">
        <v>17707</v>
      </c>
      <c r="C5954" t="s">
        <v>17708</v>
      </c>
      <c r="D5954" t="str">
        <f>HYPERLINK("https://github.com/TeamNewPipe/NewPipe-legacy/issues/61","show")</f>
        <v>show</v>
      </c>
      <c r="E5954" t="str">
        <f>HYPERLINK("https://github.com/TeamNewPipe/NewPipe-legacy","show")</f>
        <v>show</v>
      </c>
      <c r="F5954" t="str">
        <f>HYPERLINK("https://github.com/TeamNewPipe/NewPipe-legacy/releases","show")</f>
        <v>show</v>
      </c>
    </row>
    <row r="5955" spans="1:6">
      <c r="A5955" t="s">
        <v>17709</v>
      </c>
      <c r="B5955" t="s">
        <v>17710</v>
      </c>
      <c r="C5955" t="s">
        <v>17711</v>
      </c>
      <c r="D5955" t="str">
        <f>HYPERLINK("https://github.com/ogarcia/opensudoku/issues/107","show")</f>
        <v>show</v>
      </c>
      <c r="E5955" t="str">
        <f>HYPERLINK("https://github.com/ogarcia/opensudoku","show")</f>
        <v>show</v>
      </c>
      <c r="F5955" t="str">
        <f>HYPERLINK("https://github.com/ogarcia/opensudoku/releases","show")</f>
        <v>show</v>
      </c>
    </row>
    <row r="5956" spans="1:6">
      <c r="A5956" t="s">
        <v>17712</v>
      </c>
      <c r="B5956" t="s">
        <v>17713</v>
      </c>
      <c r="C5956" t="s">
        <v>17714</v>
      </c>
      <c r="D5956" t="str">
        <f>HYPERLINK("https://github.com/TeamNewPipe/NewPipe/issues/5500","show")</f>
        <v>show</v>
      </c>
      <c r="E5956" t="str">
        <f>HYPERLINK("https://github.com/TeamNewPipe/NewPipe","show")</f>
        <v>show</v>
      </c>
      <c r="F5956" t="str">
        <f>HYPERLINK("https://github.com/TeamNewPipe/NewPipe/releases","show")</f>
        <v>show</v>
      </c>
    </row>
    <row r="5957" spans="1:6">
      <c r="A5957" t="s">
        <v>17715</v>
      </c>
      <c r="B5957" t="s">
        <v>17716</v>
      </c>
      <c r="C5957" t="s">
        <v>17717</v>
      </c>
      <c r="D5957" t="str">
        <f>HYPERLINK("https://github.com/microg/GmsCore/issues/1380","show")</f>
        <v>show</v>
      </c>
      <c r="E5957" t="str">
        <f>HYPERLINK("https://github.com/microg/GmsCore","show")</f>
        <v>show</v>
      </c>
      <c r="F5957" t="str">
        <f>HYPERLINK("https://github.com/microg/GmsCore/releases","show")</f>
        <v>show</v>
      </c>
    </row>
    <row r="5958" spans="1:6">
      <c r="A5958" t="s">
        <v>17718</v>
      </c>
      <c r="B5958" t="s">
        <v>17719</v>
      </c>
      <c r="C5958" t="s">
        <v>17720</v>
      </c>
      <c r="D5958" t="str">
        <f>HYPERLINK("https://github.com/PojavLauncherTeam/PojavLauncher/issues/742","show")</f>
        <v>show</v>
      </c>
      <c r="E5958" t="str">
        <f>HYPERLINK("https://github.com/PojavLauncherTeam/PojavLauncher","show")</f>
        <v>show</v>
      </c>
      <c r="F5958" t="str">
        <f>HYPERLINK("https://github.com/PojavLauncherTeam/PojavLauncher/releases","show")</f>
        <v>show</v>
      </c>
    </row>
    <row r="5959" spans="1:6">
      <c r="A5959" t="s">
        <v>17721</v>
      </c>
      <c r="B5959" t="s">
        <v>17722</v>
      </c>
      <c r="C5959" t="s">
        <v>17723</v>
      </c>
      <c r="D5959" t="str">
        <f>HYPERLINK("https://github.com/mtotschnig/MyExpenses/issues/741","show")</f>
        <v>show</v>
      </c>
      <c r="E5959" t="str">
        <f>HYPERLINK("https://github.com/mtotschnig/MyExpenses","show")</f>
        <v>show</v>
      </c>
      <c r="F5959" t="str">
        <f>HYPERLINK("https://github.com/mtotschnig/MyExpenses/releases","show")</f>
        <v>show</v>
      </c>
    </row>
    <row r="5960" spans="1:6">
      <c r="A5960" t="s">
        <v>17724</v>
      </c>
      <c r="B5960" t="s">
        <v>17725</v>
      </c>
      <c r="C5960" t="s">
        <v>17726</v>
      </c>
      <c r="D5960" t="str">
        <f>HYPERLINK("https://github.com/ElderDrivers/EdXposed/issues/813","show")</f>
        <v>show</v>
      </c>
      <c r="E5960" t="str">
        <f>HYPERLINK("https://github.com/ElderDrivers/EdXposed","show")</f>
        <v>show</v>
      </c>
      <c r="F5960" t="str">
        <f>HYPERLINK("https://github.com/ElderDrivers/EdXposed/releases","show")</f>
        <v>show</v>
      </c>
    </row>
    <row r="5961" spans="1:6">
      <c r="A5961" t="s">
        <v>17727</v>
      </c>
      <c r="B5961" t="s">
        <v>17728</v>
      </c>
      <c r="C5961" t="s">
        <v>17729</v>
      </c>
      <c r="D5961" t="str">
        <f>HYPERLINK("https://github.com/nextcloud/android/issues/7899","show")</f>
        <v>show</v>
      </c>
      <c r="E5961" t="str">
        <f>HYPERLINK("https://github.com/nextcloud/android","show")</f>
        <v>show</v>
      </c>
      <c r="F5961" t="str">
        <f>HYPERLINK("https://github.com/nextcloud/android/releases","show")</f>
        <v>show</v>
      </c>
    </row>
    <row r="5962" spans="1:6">
      <c r="A5962" t="s">
        <v>17730</v>
      </c>
      <c r="B5962" t="s">
        <v>17731</v>
      </c>
      <c r="C5962" t="s">
        <v>17732</v>
      </c>
      <c r="D5962" t="str">
        <f>HYPERLINK("https://github.com/inaturalist/iNaturalistAndroid/issues/973","show")</f>
        <v>show</v>
      </c>
      <c r="E5962" t="str">
        <f>HYPERLINK("https://github.com/inaturalist/iNaturalistAndroid","show")</f>
        <v>show</v>
      </c>
      <c r="F5962" t="str">
        <f>HYPERLINK("https://github.com/inaturalist/iNaturalistAndroid/releases","show")</f>
        <v>show</v>
      </c>
    </row>
    <row r="5963" spans="1:6">
      <c r="A5963" t="s">
        <v>17733</v>
      </c>
      <c r="B5963" t="s">
        <v>17734</v>
      </c>
      <c r="C5963" t="s">
        <v>17735</v>
      </c>
      <c r="D5963" t="str">
        <f>HYPERLINK("https://github.com/inaturalist/iNaturalistAndroid/issues/972","show")</f>
        <v>show</v>
      </c>
      <c r="E5963" t="str">
        <f>HYPERLINK("https://github.com/inaturalist/iNaturalistAndroid","show")</f>
        <v>show</v>
      </c>
      <c r="F5963" t="str">
        <f>HYPERLINK("https://github.com/inaturalist/iNaturalistAndroid/releases","show")</f>
        <v>show</v>
      </c>
    </row>
    <row r="5964" spans="1:6">
      <c r="A5964" t="s">
        <v>17736</v>
      </c>
      <c r="B5964" t="s">
        <v>17737</v>
      </c>
      <c r="C5964" t="s">
        <v>17738</v>
      </c>
      <c r="D5964" t="str">
        <f>HYPERLINK("https://github.com/inaturalist/iNaturalistAndroid/issues/971","show")</f>
        <v>show</v>
      </c>
      <c r="E5964" t="str">
        <f>HYPERLINK("https://github.com/inaturalist/iNaturalistAndroid","show")</f>
        <v>show</v>
      </c>
      <c r="F5964" t="str">
        <f>HYPERLINK("https://github.com/inaturalist/iNaturalistAndroid/releases","show")</f>
        <v>show</v>
      </c>
    </row>
    <row r="5965" spans="1:6">
      <c r="A5965" t="s">
        <v>17739</v>
      </c>
      <c r="B5965" t="s">
        <v>17740</v>
      </c>
      <c r="C5965" t="s">
        <v>17741</v>
      </c>
      <c r="D5965" t="str">
        <f>HYPERLINK("https://github.com/TeamNewPipe/NewPipe/issues/5493","show")</f>
        <v>show</v>
      </c>
      <c r="E5965" t="str">
        <f>HYPERLINK("https://github.com/TeamNewPipe/NewPipe","show")</f>
        <v>show</v>
      </c>
      <c r="F5965" t="str">
        <f>HYPERLINK("https://github.com/TeamNewPipe/NewPipe/releases","show")</f>
        <v>show</v>
      </c>
    </row>
    <row r="5966" spans="1:6">
      <c r="A5966" t="s">
        <v>17742</v>
      </c>
      <c r="B5966" t="s">
        <v>17743</v>
      </c>
      <c r="C5966" t="s">
        <v>17744</v>
      </c>
      <c r="D5966" t="str">
        <f>HYPERLINK("https://github.com/opensrp/opensrp-client-reveal/issues/1224","show")</f>
        <v>show</v>
      </c>
      <c r="E5966" t="str">
        <f>HYPERLINK("https://github.com/opensrp/opensrp-client-reveal","show")</f>
        <v>show</v>
      </c>
      <c r="F5966" t="str">
        <f>HYPERLINK("https://github.com/opensrp/opensrp-client-reveal/releases","show")</f>
        <v>show</v>
      </c>
    </row>
    <row r="5967" spans="1:6">
      <c r="A5967" t="s">
        <v>17745</v>
      </c>
      <c r="B5967" t="s">
        <v>17746</v>
      </c>
      <c r="C5967" t="s">
        <v>17747</v>
      </c>
      <c r="D5967" t="str">
        <f>HYPERLINK("https://github.com/PojavLauncherTeam/PojavLauncher/issues/723","show")</f>
        <v>show</v>
      </c>
      <c r="E5967" t="str">
        <f>HYPERLINK("https://github.com/PojavLauncherTeam/PojavLauncher","show")</f>
        <v>show</v>
      </c>
      <c r="F5967" t="str">
        <f>HYPERLINK("https://github.com/PojavLauncherTeam/PojavLauncher/releases","show")</f>
        <v>show</v>
      </c>
    </row>
    <row r="5968" spans="1:6">
      <c r="A5968" t="s">
        <v>17748</v>
      </c>
      <c r="B5968" t="s">
        <v>17749</v>
      </c>
      <c r="C5968" t="s">
        <v>17750</v>
      </c>
      <c r="D5968" t="str">
        <f>HYPERLINK("https://github.com/PojavLauncherTeam/PojavLauncher/issues/721","show")</f>
        <v>show</v>
      </c>
      <c r="E5968" t="str">
        <f>HYPERLINK("https://github.com/PojavLauncherTeam/PojavLauncher","show")</f>
        <v>show</v>
      </c>
      <c r="F5968" t="str">
        <f>HYPERLINK("https://github.com/PojavLauncherTeam/PojavLauncher/releases","show")</f>
        <v>show</v>
      </c>
    </row>
    <row r="5969" spans="1:6">
      <c r="A5969" t="s">
        <v>17751</v>
      </c>
      <c r="B5969" t="s">
        <v>17752</v>
      </c>
      <c r="C5969" t="s">
        <v>17753</v>
      </c>
      <c r="D5969" t="str">
        <f>HYPERLINK("https://github.com/PojavLauncherTeam/PojavLauncher/issues/720","show")</f>
        <v>show</v>
      </c>
      <c r="E5969" t="str">
        <f>HYPERLINK("https://github.com/PojavLauncherTeam/PojavLauncher","show")</f>
        <v>show</v>
      </c>
      <c r="F5969" t="str">
        <f>HYPERLINK("https://github.com/PojavLauncherTeam/PojavLauncher/releases","show")</f>
        <v>show</v>
      </c>
    </row>
    <row r="5970" spans="1:6">
      <c r="A5970" t="s">
        <v>17754</v>
      </c>
      <c r="B5970" t="s">
        <v>17755</v>
      </c>
      <c r="C5970" t="s">
        <v>17756</v>
      </c>
      <c r="D5970" t="str">
        <f>HYPERLINK("https://github.com/aws-amplify/amplify-android/issues/1132","show")</f>
        <v>show</v>
      </c>
      <c r="E5970" t="str">
        <f>HYPERLINK("https://github.com/aws-amplify/amplify-android","show")</f>
        <v>show</v>
      </c>
      <c r="F5970" t="str">
        <f>HYPERLINK("https://github.com/aws-amplify/amplify-android/releases","show")</f>
        <v>show</v>
      </c>
    </row>
    <row r="5971" spans="1:6">
      <c r="A5971" t="s">
        <v>17757</v>
      </c>
      <c r="B5971" t="s">
        <v>17758</v>
      </c>
      <c r="C5971" t="s">
        <v>17759</v>
      </c>
      <c r="D5971" t="str">
        <f>HYPERLINK("https://github.com/indomie858/app-A/issues/87","show")</f>
        <v>show</v>
      </c>
      <c r="E5971" t="str">
        <f>HYPERLINK("https://github.com/indomie858/app-A","show")</f>
        <v>show</v>
      </c>
      <c r="F5971" t="str">
        <f>HYPERLINK("https://github.com/indomie858/app-A/releases","show")</f>
        <v>show</v>
      </c>
    </row>
    <row r="5972" spans="1:6">
      <c r="A5972" t="s">
        <v>17760</v>
      </c>
      <c r="B5972" t="s">
        <v>17761</v>
      </c>
      <c r="C5972" t="s">
        <v>17762</v>
      </c>
      <c r="D5972" t="str">
        <f>HYPERLINK("https://github.com/k9mail/k-9/issues/5106","show")</f>
        <v>show</v>
      </c>
      <c r="E5972" t="str">
        <f>HYPERLINK("https://github.com/k9mail/k-9","show")</f>
        <v>show</v>
      </c>
      <c r="F5972" t="str">
        <f>HYPERLINK("https://github.com/k9mail/k-9/releases","show")</f>
        <v>show</v>
      </c>
    </row>
    <row r="5973" spans="1:6">
      <c r="A5973" t="s">
        <v>17763</v>
      </c>
      <c r="B5973" t="s">
        <v>17764</v>
      </c>
      <c r="C5973" t="s">
        <v>17765</v>
      </c>
      <c r="D5973" t="str">
        <f>HYPERLINK("https://github.com/OpenLauncherTeam/openlauncher/issues/645","show")</f>
        <v>show</v>
      </c>
      <c r="E5973" t="str">
        <f>HYPERLINK("https://github.com/OpenLauncherTeam/openlauncher","show")</f>
        <v>show</v>
      </c>
      <c r="F5973" t="str">
        <f>HYPERLINK("https://github.com/OpenLauncherTeam/openlauncher/releases","show")</f>
        <v>show</v>
      </c>
    </row>
    <row r="5974" spans="1:6">
      <c r="A5974" t="s">
        <v>17766</v>
      </c>
      <c r="B5974" t="s">
        <v>17767</v>
      </c>
      <c r="C5974" t="s">
        <v>17768</v>
      </c>
      <c r="D5974" t="str">
        <f>HYPERLINK("https://github.com/TeamNewPipe/NewPipe/issues/5489","show")</f>
        <v>show</v>
      </c>
      <c r="E5974" t="str">
        <f>HYPERLINK("https://github.com/TeamNewPipe/NewPipe","show")</f>
        <v>show</v>
      </c>
      <c r="F5974" t="str">
        <f>HYPERLINK("https://github.com/TeamNewPipe/NewPipe/releases","show")</f>
        <v>show</v>
      </c>
    </row>
    <row r="5975" spans="1:6">
      <c r="A5975" t="s">
        <v>17769</v>
      </c>
      <c r="B5975" t="s">
        <v>17770</v>
      </c>
      <c r="C5975" t="s">
        <v>17771</v>
      </c>
      <c r="D5975" t="str">
        <f>HYPERLINK("https://github.com/material-components/material-components-android/issues/2005","show")</f>
        <v>show</v>
      </c>
      <c r="E5975" t="str">
        <f>HYPERLINK("https://github.com/material-components/material-components-android","show")</f>
        <v>show</v>
      </c>
      <c r="F5975" t="str">
        <f>HYPERLINK("https://github.com/material-components/material-components-android/releases","show")</f>
        <v>show</v>
      </c>
    </row>
    <row r="5976" spans="1:6">
      <c r="A5976" t="s">
        <v>17772</v>
      </c>
      <c r="B5976" t="s">
        <v>17773</v>
      </c>
      <c r="C5976" t="s">
        <v>17774</v>
      </c>
      <c r="D5976" t="str">
        <f>HYPERLINK("https://github.com/microg/GmsCore/issues/1376","show")</f>
        <v>show</v>
      </c>
      <c r="E5976" t="str">
        <f>HYPERLINK("https://github.com/microg/GmsCore","show")</f>
        <v>show</v>
      </c>
      <c r="F5976" t="str">
        <f>HYPERLINK("https://github.com/microg/GmsCore/releases","show")</f>
        <v>show</v>
      </c>
    </row>
    <row r="5977" spans="1:6">
      <c r="A5977" t="s">
        <v>17775</v>
      </c>
      <c r="B5977" t="s">
        <v>17776</v>
      </c>
      <c r="C5977" t="s">
        <v>17777</v>
      </c>
      <c r="D5977" t="str">
        <f>HYPERLINK("https://github.com/Anuken/Mindustry/issues/4436","show")</f>
        <v>show</v>
      </c>
      <c r="E5977" t="str">
        <f>HYPERLINK("https://github.com/Anuken/Mindustry","show")</f>
        <v>show</v>
      </c>
      <c r="F5977" t="str">
        <f>HYPERLINK("https://github.com/Anuken/Mindustry/releases","show")</f>
        <v>show</v>
      </c>
    </row>
    <row r="5978" spans="1:6">
      <c r="A5978" t="s">
        <v>17778</v>
      </c>
      <c r="B5978" t="s">
        <v>17779</v>
      </c>
      <c r="C5978" t="s">
        <v>17780</v>
      </c>
      <c r="D5978" t="str">
        <f>HYPERLINK("https://github.com/nextcloud/news-android/issues/921","show")</f>
        <v>show</v>
      </c>
      <c r="E5978" t="str">
        <f>HYPERLINK("https://github.com/nextcloud/news-android","show")</f>
        <v>show</v>
      </c>
      <c r="F5978" t="str">
        <f>HYPERLINK("https://github.com/nextcloud/news-android/releases","show")</f>
        <v>show</v>
      </c>
    </row>
    <row r="5979" spans="1:6">
      <c r="A5979" t="s">
        <v>17781</v>
      </c>
      <c r="B5979" t="s">
        <v>17782</v>
      </c>
      <c r="C5979" t="s">
        <v>17783</v>
      </c>
      <c r="D5979" t="str">
        <f>HYPERLINK("https://github.com/Blankj/AndroidUtilCode/issues/1438","show")</f>
        <v>show</v>
      </c>
      <c r="E5979" t="str">
        <f>HYPERLINK("https://github.com/Blankj/AndroidUtilCode","show")</f>
        <v>show</v>
      </c>
      <c r="F5979" t="str">
        <f>HYPERLINK("https://github.com/Blankj/AndroidUtilCode/releases","show")</f>
        <v>show</v>
      </c>
    </row>
    <row r="5980" spans="1:6">
      <c r="A5980" t="s">
        <v>17784</v>
      </c>
      <c r="B5980" t="s">
        <v>17785</v>
      </c>
      <c r="C5980" t="s">
        <v>17786</v>
      </c>
      <c r="D5980" t="str">
        <f>HYPERLINK("https://github.com/nextcloud/android/issues/7893","show")</f>
        <v>show</v>
      </c>
      <c r="E5980" t="str">
        <f>HYPERLINK("https://github.com/nextcloud/android","show")</f>
        <v>show</v>
      </c>
      <c r="F5980" t="str">
        <f>HYPERLINK("https://github.com/nextcloud/android/releases","show")</f>
        <v>show</v>
      </c>
    </row>
    <row r="5981" spans="1:6">
      <c r="A5981" t="s">
        <v>17787</v>
      </c>
      <c r="B5981" t="s">
        <v>17788</v>
      </c>
      <c r="C5981" t="s">
        <v>17789</v>
      </c>
      <c r="D5981" t="str">
        <f>HYPERLINK("https://github.com/nextcloud/android/issues/7891","show")</f>
        <v>show</v>
      </c>
      <c r="E5981" t="str">
        <f>HYPERLINK("https://github.com/nextcloud/android","show")</f>
        <v>show</v>
      </c>
      <c r="F5981" t="str">
        <f>HYPERLINK("https://github.com/nextcloud/android/releases","show")</f>
        <v>show</v>
      </c>
    </row>
    <row r="5982" spans="1:6">
      <c r="A5982" t="s">
        <v>17790</v>
      </c>
      <c r="B5982" t="s">
        <v>17791</v>
      </c>
      <c r="C5982" t="s">
        <v>17792</v>
      </c>
      <c r="D5982" t="str">
        <f>HYPERLINK("https://github.com/AOF-Dev/MCinaBox/issues/877","show")</f>
        <v>show</v>
      </c>
      <c r="E5982" t="str">
        <f>HYPERLINK("https://github.com/AOF-Dev/MCinaBox","show")</f>
        <v>show</v>
      </c>
      <c r="F5982" t="str">
        <f>HYPERLINK("https://github.com/AOF-Dev/MCinaBox/releases","show")</f>
        <v>show</v>
      </c>
    </row>
    <row r="5983" spans="1:6">
      <c r="A5983" t="s">
        <v>17793</v>
      </c>
      <c r="B5983" t="s">
        <v>17794</v>
      </c>
      <c r="C5983" t="s">
        <v>17795</v>
      </c>
      <c r="D5983" t="str">
        <f>HYPERLINK("https://github.com/PojavLauncherTeam/PojavLauncher/issues/696","show")</f>
        <v>show</v>
      </c>
      <c r="E5983" t="str">
        <f>HYPERLINK("https://github.com/PojavLauncherTeam/PojavLauncher","show")</f>
        <v>show</v>
      </c>
      <c r="F5983" t="str">
        <f>HYPERLINK("https://github.com/PojavLauncherTeam/PojavLauncher/releases","show")</f>
        <v>show</v>
      </c>
    </row>
    <row r="5984" spans="1:6">
      <c r="A5984" t="s">
        <v>17796</v>
      </c>
      <c r="B5984" t="s">
        <v>17797</v>
      </c>
      <c r="C5984" t="s">
        <v>17798</v>
      </c>
      <c r="D5984" t="str">
        <f>HYPERLINK("https://github.com/TeamNewPipe/NewPipe/issues/5486","show")</f>
        <v>show</v>
      </c>
      <c r="E5984" t="str">
        <f>HYPERLINK("https://github.com/TeamNewPipe/NewPipe","show")</f>
        <v>show</v>
      </c>
      <c r="F5984" t="str">
        <f>HYPERLINK("https://github.com/TeamNewPipe/NewPipe/releases","show")</f>
        <v>show</v>
      </c>
    </row>
    <row r="5985" spans="1:6">
      <c r="A5985" t="s">
        <v>17799</v>
      </c>
      <c r="B5985" t="s">
        <v>17800</v>
      </c>
      <c r="C5985" t="s">
        <v>17801</v>
      </c>
      <c r="D5985" t="str">
        <f>HYPERLINK("https://github.com/PojavLauncherTeam/PojavLauncher/issues/694","show")</f>
        <v>show</v>
      </c>
      <c r="E5985" t="str">
        <f>HYPERLINK("https://github.com/PojavLauncherTeam/PojavLauncher","show")</f>
        <v>show</v>
      </c>
      <c r="F5985" t="str">
        <f>HYPERLINK("https://github.com/PojavLauncherTeam/PojavLauncher/releases","show")</f>
        <v>show</v>
      </c>
    </row>
    <row r="5986" spans="1:6">
      <c r="A5986" t="s">
        <v>17802</v>
      </c>
      <c r="B5986" t="s">
        <v>17803</v>
      </c>
      <c r="C5986" t="s">
        <v>17804</v>
      </c>
      <c r="D5986" t="str">
        <f>HYPERLINK("https://github.com/TeamNewPipe/NewPipe/issues/5485","show")</f>
        <v>show</v>
      </c>
      <c r="E5986" t="str">
        <f>HYPERLINK("https://github.com/TeamNewPipe/NewPipe","show")</f>
        <v>show</v>
      </c>
      <c r="F5986" t="str">
        <f>HYPERLINK("https://github.com/TeamNewPipe/NewPipe/releases","show")</f>
        <v>show</v>
      </c>
    </row>
    <row r="5987" spans="1:6">
      <c r="A5987" t="s">
        <v>17805</v>
      </c>
      <c r="B5987" t="s">
        <v>17806</v>
      </c>
      <c r="C5987" t="s">
        <v>17807</v>
      </c>
      <c r="D5987" t="str">
        <f>HYPERLINK("https://github.com/openboard-team/openboard/issues/279","show")</f>
        <v>show</v>
      </c>
      <c r="E5987" t="str">
        <f>HYPERLINK("https://github.com/openboard-team/openboard","show")</f>
        <v>show</v>
      </c>
      <c r="F5987" t="str">
        <f>HYPERLINK("https://github.com/openboard-team/openboard/releases","show")</f>
        <v>show</v>
      </c>
    </row>
    <row r="5988" spans="1:6">
      <c r="A5988" t="s">
        <v>17808</v>
      </c>
      <c r="B5988" t="s">
        <v>17809</v>
      </c>
      <c r="C5988" t="s">
        <v>17810</v>
      </c>
      <c r="D5988" t="str">
        <f>HYPERLINK("https://github.com/nikita36078/J2ME-Loader/issues/758","show")</f>
        <v>show</v>
      </c>
      <c r="E5988" t="str">
        <f>HYPERLINK("https://github.com/nikita36078/J2ME-Loader","show")</f>
        <v>show</v>
      </c>
      <c r="F5988" t="str">
        <f>HYPERLINK("https://github.com/nikita36078/J2ME-Loader/releases","show")</f>
        <v>show</v>
      </c>
    </row>
    <row r="5989" spans="1:6">
      <c r="A5989" t="s">
        <v>17811</v>
      </c>
      <c r="B5989" t="s">
        <v>17812</v>
      </c>
      <c r="C5989" t="s">
        <v>17813</v>
      </c>
      <c r="D5989" t="str">
        <f>HYPERLINK("https://github.com/Anuken/Mindustry/issues/4422","show")</f>
        <v>show</v>
      </c>
      <c r="E5989" t="str">
        <f>HYPERLINK("https://github.com/Anuken/Mindustry","show")</f>
        <v>show</v>
      </c>
      <c r="F5989" t="str">
        <f>HYPERLINK("https://github.com/Anuken/Mindustry/releases","show")</f>
        <v>show</v>
      </c>
    </row>
    <row r="5990" spans="1:6">
      <c r="A5990" t="s">
        <v>17814</v>
      </c>
      <c r="B5990" t="s">
        <v>17815</v>
      </c>
      <c r="C5990" t="s">
        <v>17816</v>
      </c>
      <c r="D5990" t="str">
        <f>HYPERLINK("https://github.com/nextcloud/android/issues/7887","show")</f>
        <v>show</v>
      </c>
      <c r="E5990" t="str">
        <f>HYPERLINK("https://github.com/nextcloud/android","show")</f>
        <v>show</v>
      </c>
      <c r="F5990" t="str">
        <f>HYPERLINK("https://github.com/nextcloud/android/releases","show")</f>
        <v>show</v>
      </c>
    </row>
    <row r="5991" spans="1:6">
      <c r="A5991" t="s">
        <v>17817</v>
      </c>
      <c r="B5991" t="s">
        <v>17818</v>
      </c>
      <c r="C5991" t="s">
        <v>17819</v>
      </c>
      <c r="D5991" t="str">
        <f>HYPERLINK("https://github.com/PojavLauncherTeam/PojavLauncher/issues/685","show")</f>
        <v>show</v>
      </c>
      <c r="E5991" t="str">
        <f>HYPERLINK("https://github.com/PojavLauncherTeam/PojavLauncher","show")</f>
        <v>show</v>
      </c>
      <c r="F5991" t="str">
        <f>HYPERLINK("https://github.com/PojavLauncherTeam/PojavLauncher/releases","show")</f>
        <v>show</v>
      </c>
    </row>
    <row r="5992" spans="1:6">
      <c r="A5992" t="s">
        <v>17820</v>
      </c>
      <c r="B5992" t="s">
        <v>17821</v>
      </c>
      <c r="C5992" t="s">
        <v>17822</v>
      </c>
      <c r="D5992" t="str">
        <f>HYPERLINK("https://github.com/chr15m/PdDroidParty/issues/59","show")</f>
        <v>show</v>
      </c>
      <c r="E5992" t="str">
        <f>HYPERLINK("https://github.com/chr15m/PdDroidParty","show")</f>
        <v>show</v>
      </c>
      <c r="F5992" t="str">
        <f>HYPERLINK("https://github.com/chr15m/PdDroidParty/releases","show")</f>
        <v>show</v>
      </c>
    </row>
    <row r="5993" spans="1:6">
      <c r="A5993" t="s">
        <v>17823</v>
      </c>
      <c r="B5993" t="s">
        <v>17824</v>
      </c>
      <c r="C5993" t="s">
        <v>17825</v>
      </c>
      <c r="D5993" t="str">
        <f>HYPERLINK("https://github.com/Anuken/Mindustry/issues/4418","show")</f>
        <v>show</v>
      </c>
      <c r="E5993" t="str">
        <f>HYPERLINK("https://github.com/Anuken/Mindustry","show")</f>
        <v>show</v>
      </c>
      <c r="F5993" t="str">
        <f>HYPERLINK("https://github.com/Anuken/Mindustry/releases","show")</f>
        <v>show</v>
      </c>
    </row>
    <row r="5994" spans="1:6">
      <c r="A5994" t="s">
        <v>17826</v>
      </c>
      <c r="B5994" t="s">
        <v>17827</v>
      </c>
      <c r="C5994" t="s">
        <v>17828</v>
      </c>
      <c r="D5994" t="str">
        <f>HYPERLINK("https://github.com/Anuken/Mindustry/issues/4416","show")</f>
        <v>show</v>
      </c>
      <c r="E5994" t="str">
        <f>HYPERLINK("https://github.com/Anuken/Mindustry","show")</f>
        <v>show</v>
      </c>
      <c r="F5994" t="str">
        <f>HYPERLINK("https://github.com/Anuken/Mindustry/releases","show")</f>
        <v>show</v>
      </c>
    </row>
    <row r="5995" spans="1:6">
      <c r="A5995" t="s">
        <v>17829</v>
      </c>
      <c r="B5995" t="s">
        <v>17830</v>
      </c>
      <c r="C5995" t="s">
        <v>17831</v>
      </c>
      <c r="D5995" t="str">
        <f>HYPERLINK("https://github.com/Anuken/Mindustry/issues/4415","show")</f>
        <v>show</v>
      </c>
      <c r="E5995" t="str">
        <f>HYPERLINK("https://github.com/Anuken/Mindustry","show")</f>
        <v>show</v>
      </c>
      <c r="F5995" t="str">
        <f>HYPERLINK("https://github.com/Anuken/Mindustry/releases","show")</f>
        <v>show</v>
      </c>
    </row>
    <row r="5996" spans="1:6">
      <c r="A5996" t="s">
        <v>17832</v>
      </c>
      <c r="B5996" t="s">
        <v>17833</v>
      </c>
      <c r="C5996" t="s">
        <v>17834</v>
      </c>
      <c r="D5996" t="str">
        <f>HYPERLINK("https://github.com/noi-techpark/it.bz.beacon.admin.android/issues/48","show")</f>
        <v>show</v>
      </c>
      <c r="E5996" t="str">
        <f>HYPERLINK("https://github.com/noi-techpark/it.bz.beacon.admin.android","show")</f>
        <v>show</v>
      </c>
      <c r="F5996" t="str">
        <f>HYPERLINK("https://github.com/noi-techpark/it.bz.beacon.admin.android/releases","show")</f>
        <v>show</v>
      </c>
    </row>
    <row r="5997" spans="1:6">
      <c r="A5997" t="s">
        <v>17835</v>
      </c>
      <c r="B5997" t="s">
        <v>17836</v>
      </c>
      <c r="C5997" t="s">
        <v>17837</v>
      </c>
      <c r="D5997" t="str">
        <f>HYPERLINK("https://github.com/PojavLauncherTeam/PojavLauncher/issues/677","show")</f>
        <v>show</v>
      </c>
      <c r="E5997" t="str">
        <f>HYPERLINK("https://github.com/PojavLauncherTeam/PojavLauncher","show")</f>
        <v>show</v>
      </c>
      <c r="F5997" t="str">
        <f>HYPERLINK("https://github.com/PojavLauncherTeam/PojavLauncher/releases","show")</f>
        <v>show</v>
      </c>
    </row>
    <row r="5998" spans="1:6">
      <c r="A5998" t="s">
        <v>17838</v>
      </c>
      <c r="B5998" t="s">
        <v>17839</v>
      </c>
      <c r="C5998" t="s">
        <v>17840</v>
      </c>
      <c r="D5998" t="str">
        <f>HYPERLINK("https://github.com/MuntashirAkon/AppManager/issues/246","show")</f>
        <v>show</v>
      </c>
      <c r="E5998" t="str">
        <f>HYPERLINK("https://github.com/MuntashirAkon/AppManager","show")</f>
        <v>show</v>
      </c>
      <c r="F5998" t="str">
        <f>HYPERLINK("https://github.com/MuntashirAkon/AppManager/releases","show")</f>
        <v>show</v>
      </c>
    </row>
    <row r="5999" spans="1:6">
      <c r="A5999" t="s">
        <v>17841</v>
      </c>
      <c r="B5999" t="s">
        <v>17842</v>
      </c>
      <c r="C5999" t="s">
        <v>17843</v>
      </c>
      <c r="D5999" t="str">
        <f>HYPERLINK("https://github.com/Anuken/Mindustry/issues/4410","show")</f>
        <v>show</v>
      </c>
      <c r="E5999" t="str">
        <f>HYPERLINK("https://github.com/Anuken/Mindustry","show")</f>
        <v>show</v>
      </c>
      <c r="F5999" t="str">
        <f>HYPERLINK("https://github.com/Anuken/Mindustry/releases","show")</f>
        <v>show</v>
      </c>
    </row>
    <row r="6000" spans="1:6">
      <c r="A6000" t="s">
        <v>17844</v>
      </c>
      <c r="B6000" t="s">
        <v>17845</v>
      </c>
      <c r="C6000" t="s">
        <v>17846</v>
      </c>
      <c r="D6000" t="str">
        <f>HYPERLINK("https://github.com/twilio/video-quickstart-android/issues/613","show")</f>
        <v>show</v>
      </c>
      <c r="E6000" t="str">
        <f>HYPERLINK("https://github.com/twilio/video-quickstart-android","show")</f>
        <v>show</v>
      </c>
      <c r="F6000" t="str">
        <f>HYPERLINK("https://github.com/twilio/video-quickstart-android/releases","show")</f>
        <v>show</v>
      </c>
    </row>
    <row r="6001" spans="1:6">
      <c r="A6001" t="s">
        <v>17847</v>
      </c>
      <c r="B6001" t="s">
        <v>17848</v>
      </c>
      <c r="C6001" t="s">
        <v>10095</v>
      </c>
      <c r="D6001" t="str">
        <f>HYPERLINK("https://github.com/TeamNewPipe/NewPipe-legacy/issues/60","show")</f>
        <v>show</v>
      </c>
      <c r="E6001" t="str">
        <f>HYPERLINK("https://github.com/TeamNewPipe/NewPipe-legacy","show")</f>
        <v>show</v>
      </c>
      <c r="F6001" t="str">
        <f>HYPERLINK("https://github.com/TeamNewPipe/NewPipe-legacy/releases","show")</f>
        <v>show</v>
      </c>
    </row>
    <row r="6002" spans="1:6">
      <c r="A6002" t="s">
        <v>17849</v>
      </c>
      <c r="B6002" t="s">
        <v>17850</v>
      </c>
      <c r="C6002" t="s">
        <v>17851</v>
      </c>
      <c r="D6002" t="str">
        <f>HYPERLINK("https://github.com/muxinc/mux-stats-sdk-exoplayer/issues/79","show")</f>
        <v>show</v>
      </c>
      <c r="E6002" t="str">
        <f>HYPERLINK("https://github.com/muxinc/mux-stats-sdk-exoplayer","show")</f>
        <v>show</v>
      </c>
      <c r="F6002" t="str">
        <f>HYPERLINK("https://github.com/muxinc/mux-stats-sdk-exoplayer/releases","show")</f>
        <v>show</v>
      </c>
    </row>
    <row r="6003" spans="1:6">
      <c r="A6003" t="s">
        <v>17852</v>
      </c>
      <c r="B6003" t="s">
        <v>17853</v>
      </c>
      <c r="C6003" t="s">
        <v>17854</v>
      </c>
      <c r="D6003" t="str">
        <f>HYPERLINK("https://github.com/nextcloud/android/issues/7881","show")</f>
        <v>show</v>
      </c>
      <c r="E6003" t="str">
        <f>HYPERLINK("https://github.com/nextcloud/android","show")</f>
        <v>show</v>
      </c>
      <c r="F6003" t="str">
        <f>HYPERLINK("https://github.com/nextcloud/android/releases","show")</f>
        <v>show</v>
      </c>
    </row>
    <row r="6004" spans="1:6">
      <c r="A6004" t="s">
        <v>17855</v>
      </c>
      <c r="B6004" t="s">
        <v>17856</v>
      </c>
      <c r="C6004" t="s">
        <v>17857</v>
      </c>
      <c r="D6004" t="str">
        <f>HYPERLINK("https://github.com/aws-amplify/amplify-android/issues/1119","show")</f>
        <v>show</v>
      </c>
      <c r="E6004" t="str">
        <f>HYPERLINK("https://github.com/aws-amplify/amplify-android","show")</f>
        <v>show</v>
      </c>
      <c r="F6004" t="str">
        <f>HYPERLINK("https://github.com/aws-amplify/amplify-android/releases","show")</f>
        <v>show</v>
      </c>
    </row>
    <row r="6005" spans="1:6">
      <c r="A6005" t="s">
        <v>17858</v>
      </c>
      <c r="B6005" t="s">
        <v>17859</v>
      </c>
      <c r="C6005" t="s">
        <v>17860</v>
      </c>
      <c r="D6005" t="str">
        <f>HYPERLINK("https://github.com/PojavLauncherTeam/PojavLauncher/issues/666","show")</f>
        <v>show</v>
      </c>
      <c r="E6005" t="str">
        <f>HYPERLINK("https://github.com/PojavLauncherTeam/PojavLauncher","show")</f>
        <v>show</v>
      </c>
      <c r="F6005" t="str">
        <f>HYPERLINK("https://github.com/PojavLauncherTeam/PojavLauncher/releases","show")</f>
        <v>show</v>
      </c>
    </row>
    <row r="6006" spans="1:6">
      <c r="A6006" t="s">
        <v>17861</v>
      </c>
      <c r="B6006" t="s">
        <v>17862</v>
      </c>
      <c r="C6006" t="s">
        <v>17863</v>
      </c>
      <c r="D6006" t="str">
        <f>HYPERLINK("https://github.com/TeamNewPipe/NewPipe/issues/5470","show")</f>
        <v>show</v>
      </c>
      <c r="E6006" t="str">
        <f>HYPERLINK("https://github.com/TeamNewPipe/NewPipe","show")</f>
        <v>show</v>
      </c>
      <c r="F6006" t="str">
        <f>HYPERLINK("https://github.com/TeamNewPipe/NewPipe/releases","show")</f>
        <v>show</v>
      </c>
    </row>
    <row r="6007" spans="1:6">
      <c r="A6007" t="s">
        <v>17864</v>
      </c>
      <c r="B6007" t="s">
        <v>17865</v>
      </c>
      <c r="C6007" t="s">
        <v>17866</v>
      </c>
      <c r="D6007" t="str">
        <f>HYPERLINK("https://github.com/nextcloud/android/issues/7878","show")</f>
        <v>show</v>
      </c>
      <c r="E6007" t="str">
        <f>HYPERLINK("https://github.com/nextcloud/android","show")</f>
        <v>show</v>
      </c>
      <c r="F6007" t="str">
        <f>HYPERLINK("https://github.com/nextcloud/android/releases","show")</f>
        <v>show</v>
      </c>
    </row>
    <row r="6008" spans="1:6">
      <c r="A6008" t="s">
        <v>17867</v>
      </c>
      <c r="B6008" t="s">
        <v>17868</v>
      </c>
      <c r="C6008" t="s">
        <v>17869</v>
      </c>
      <c r="D6008" t="str">
        <f>HYPERLINK("https://github.com/gluonhq/substrate/issues/863","show")</f>
        <v>show</v>
      </c>
      <c r="E6008" t="str">
        <f>HYPERLINK("https://github.com/gluonhq/substrate","show")</f>
        <v>show</v>
      </c>
      <c r="F6008" t="str">
        <f>HYPERLINK("https://github.com/gluonhq/substrate/releases","show")</f>
        <v>show</v>
      </c>
    </row>
    <row r="6009" spans="1:6">
      <c r="A6009" t="s">
        <v>17870</v>
      </c>
      <c r="B6009" t="s">
        <v>17871</v>
      </c>
      <c r="C6009" t="s">
        <v>17872</v>
      </c>
      <c r="D6009" t="str">
        <f>HYPERLINK("https://github.com/ElderDrivers/EdXposed/issues/809","show")</f>
        <v>show</v>
      </c>
      <c r="E6009" t="str">
        <f>HYPERLINK("https://github.com/ElderDrivers/EdXposed","show")</f>
        <v>show</v>
      </c>
      <c r="F6009" t="str">
        <f>HYPERLINK("https://github.com/ElderDrivers/EdXposed/releases","show")</f>
        <v>show</v>
      </c>
    </row>
    <row r="6010" spans="1:6">
      <c r="A6010" t="s">
        <v>17873</v>
      </c>
      <c r="B6010" t="s">
        <v>17874</v>
      </c>
      <c r="C6010" t="s">
        <v>17875</v>
      </c>
      <c r="D6010" t="str">
        <f>HYPERLINK("https://github.com/Anuken/Mindustry/issues/4395","show")</f>
        <v>show</v>
      </c>
      <c r="E6010" t="str">
        <f>HYPERLINK("https://github.com/Anuken/Mindustry","show")</f>
        <v>show</v>
      </c>
      <c r="F6010" t="str">
        <f>HYPERLINK("https://github.com/Anuken/Mindustry/releases","show")</f>
        <v>show</v>
      </c>
    </row>
    <row r="6011" spans="1:6">
      <c r="A6011" t="s">
        <v>17876</v>
      </c>
      <c r="B6011" t="s">
        <v>17877</v>
      </c>
      <c r="C6011" t="s">
        <v>17878</v>
      </c>
      <c r="D6011" t="str">
        <f>HYPERLINK("https://github.com/commons-app/apps-android-commons/issues/4196","show")</f>
        <v>show</v>
      </c>
      <c r="E6011" t="str">
        <f>HYPERLINK("https://github.com/commons-app/apps-android-commons","show")</f>
        <v>show</v>
      </c>
      <c r="F6011" t="str">
        <f>HYPERLINK("https://github.com/commons-app/apps-android-commons/releases","show")</f>
        <v>show</v>
      </c>
    </row>
    <row r="6012" spans="1:6">
      <c r="A6012" t="s">
        <v>17879</v>
      </c>
      <c r="B6012" t="s">
        <v>17880</v>
      </c>
      <c r="C6012" t="s">
        <v>17881</v>
      </c>
      <c r="D6012" t="str">
        <f>HYPERLINK("https://github.com/Anuken/Mindustry/issues/4393","show")</f>
        <v>show</v>
      </c>
      <c r="E6012" t="str">
        <f>HYPERLINK("https://github.com/Anuken/Mindustry","show")</f>
        <v>show</v>
      </c>
      <c r="F6012" t="str">
        <f>HYPERLINK("https://github.com/Anuken/Mindustry/releases","show")</f>
        <v>show</v>
      </c>
    </row>
    <row r="6013" spans="1:6">
      <c r="A6013" t="s">
        <v>17882</v>
      </c>
      <c r="B6013" t="s">
        <v>17883</v>
      </c>
      <c r="C6013" t="s">
        <v>17884</v>
      </c>
      <c r="D6013" t="str">
        <f>HYPERLINK("https://github.com/react-native-camera/react-native-camera/issues/3092","show")</f>
        <v>show</v>
      </c>
      <c r="E6013" t="str">
        <f>HYPERLINK("https://github.com/react-native-camera/react-native-camera","show")</f>
        <v>show</v>
      </c>
      <c r="F6013" t="str">
        <f>HYPERLINK("https://github.com/react-native-camera/react-native-camera/releases","show")</f>
        <v>show</v>
      </c>
    </row>
    <row r="6014" spans="1:6">
      <c r="A6014" t="s">
        <v>17885</v>
      </c>
      <c r="B6014" t="s">
        <v>17886</v>
      </c>
      <c r="C6014" t="s">
        <v>17887</v>
      </c>
      <c r="D6014" t="str">
        <f>HYPERLINK("https://github.com/TotalCross/totalcross/issues/279","show")</f>
        <v>show</v>
      </c>
      <c r="E6014" t="str">
        <f>HYPERLINK("https://github.com/TotalCross/totalcross","show")</f>
        <v>show</v>
      </c>
      <c r="F6014" t="str">
        <f>HYPERLINK("https://github.com/TotalCross/totalcross/releases","show")</f>
        <v>show</v>
      </c>
    </row>
    <row r="6015" spans="1:6">
      <c r="A6015" t="s">
        <v>17888</v>
      </c>
      <c r="B6015" t="s">
        <v>17889</v>
      </c>
      <c r="C6015" t="s">
        <v>17890</v>
      </c>
      <c r="D6015" t="str">
        <f>HYPERLINK("https://github.com/skrafft/react-native-jitsi-meet/issues/244","show")</f>
        <v>show</v>
      </c>
      <c r="E6015" t="str">
        <f>HYPERLINK("https://github.com/skrafft/react-native-jitsi-meet","show")</f>
        <v>show</v>
      </c>
      <c r="F6015" t="str">
        <f>HYPERLINK("https://github.com/skrafft/react-native-jitsi-meet/releases","show")</f>
        <v>show</v>
      </c>
    </row>
    <row r="6016" spans="1:6">
      <c r="A6016" t="s">
        <v>17891</v>
      </c>
      <c r="B6016" t="s">
        <v>17892</v>
      </c>
      <c r="C6016" t="s">
        <v>17893</v>
      </c>
      <c r="D6016" t="str">
        <f>HYPERLINK("https://github.com/Anuken/Mindustry/issues/4387","show")</f>
        <v>show</v>
      </c>
      <c r="E6016" t="str">
        <f>HYPERLINK("https://github.com/Anuken/Mindustry","show")</f>
        <v>show</v>
      </c>
      <c r="F6016" t="str">
        <f>HYPERLINK("https://github.com/Anuken/Mindustry/releases","show")</f>
        <v>show</v>
      </c>
    </row>
    <row r="6017" spans="1:6">
      <c r="A6017" t="s">
        <v>17894</v>
      </c>
      <c r="B6017" t="s">
        <v>17895</v>
      </c>
      <c r="C6017" t="s">
        <v>17896</v>
      </c>
      <c r="D6017" t="str">
        <f>HYPERLINK("https://github.com/square/okhttp/issues/6520","show")</f>
        <v>show</v>
      </c>
      <c r="E6017" t="str">
        <f>HYPERLINK("https://github.com/square/okhttp","show")</f>
        <v>show</v>
      </c>
      <c r="F6017" t="str">
        <f>HYPERLINK("https://github.com/square/okhttp/releases","show")</f>
        <v>show</v>
      </c>
    </row>
    <row r="6018" spans="1:6">
      <c r="A6018" t="s">
        <v>17897</v>
      </c>
      <c r="B6018" t="s">
        <v>17898</v>
      </c>
      <c r="C6018" t="s">
        <v>17899</v>
      </c>
      <c r="D6018" t="str">
        <f>HYPERLINK("https://github.com/TotalCross/totalcross/issues/275","show")</f>
        <v>show</v>
      </c>
      <c r="E6018" t="str">
        <f>HYPERLINK("https://github.com/TotalCross/totalcross","show")</f>
        <v>show</v>
      </c>
      <c r="F6018" t="str">
        <f>HYPERLINK("https://github.com/TotalCross/totalcross/releases","show")</f>
        <v>show</v>
      </c>
    </row>
    <row r="6019" spans="1:6">
      <c r="A6019" t="s">
        <v>17900</v>
      </c>
      <c r="B6019" t="s">
        <v>17901</v>
      </c>
      <c r="C6019" t="s">
        <v>17902</v>
      </c>
      <c r="D6019" t="str">
        <f>HYPERLINK("https://github.com/stefan-niedermann/nextcloud-notes/issues/1047","show")</f>
        <v>show</v>
      </c>
      <c r="E6019" t="str">
        <f>HYPERLINK("https://github.com/stefan-niedermann/nextcloud-notes","show")</f>
        <v>show</v>
      </c>
      <c r="F6019" t="str">
        <f>HYPERLINK("https://github.com/stefan-niedermann/nextcloud-notes/releases","show")</f>
        <v>show</v>
      </c>
    </row>
    <row r="6020" spans="1:6">
      <c r="A6020" t="s">
        <v>17903</v>
      </c>
      <c r="B6020" t="s">
        <v>17904</v>
      </c>
      <c r="C6020" t="s">
        <v>17905</v>
      </c>
      <c r="D6020" t="str">
        <f>HYPERLINK("https://github.com/skrafft/react-native-jitsi-meet/issues/243","show")</f>
        <v>show</v>
      </c>
      <c r="E6020" t="str">
        <f>HYPERLINK("https://github.com/skrafft/react-native-jitsi-meet","show")</f>
        <v>show</v>
      </c>
      <c r="F6020" t="str">
        <f>HYPERLINK("https://github.com/skrafft/react-native-jitsi-meet/releases","show")</f>
        <v>show</v>
      </c>
    </row>
    <row r="6021" spans="1:6">
      <c r="A6021" t="s">
        <v>17906</v>
      </c>
      <c r="B6021" t="s">
        <v>17907</v>
      </c>
      <c r="C6021" t="s">
        <v>17908</v>
      </c>
      <c r="D6021" t="str">
        <f>HYPERLINK("https://github.com/listerily/ModdedBE/issues/10","show")</f>
        <v>show</v>
      </c>
      <c r="E6021" t="str">
        <f>HYPERLINK("https://github.com/listerily/ModdedBE","show")</f>
        <v>show</v>
      </c>
      <c r="F6021" t="str">
        <f>HYPERLINK("https://github.com/listerily/ModdedBE/releases","show")</f>
        <v>show</v>
      </c>
    </row>
    <row r="6022" spans="1:6">
      <c r="A6022" t="s">
        <v>17909</v>
      </c>
      <c r="B6022" t="s">
        <v>17910</v>
      </c>
      <c r="C6022" t="s">
        <v>17911</v>
      </c>
      <c r="D6022" t="str">
        <f>HYPERLINK("https://github.com/noi-techpark/it.bz.beacon.admin.android/issues/39","show")</f>
        <v>show</v>
      </c>
      <c r="E6022" t="str">
        <f>HYPERLINK("https://github.com/noi-techpark/it.bz.beacon.admin.android","show")</f>
        <v>show</v>
      </c>
      <c r="F6022" t="str">
        <f>HYPERLINK("https://github.com/noi-techpark/it.bz.beacon.admin.android/releases","show")</f>
        <v>show</v>
      </c>
    </row>
    <row r="6023" spans="1:6">
      <c r="A6023" t="s">
        <v>17912</v>
      </c>
      <c r="B6023" t="s">
        <v>17913</v>
      </c>
      <c r="C6023" t="s">
        <v>17914</v>
      </c>
      <c r="D6023" t="str">
        <f>HYPERLINK("https://github.com/Anuken/Mindustry/issues/4376","show")</f>
        <v>show</v>
      </c>
      <c r="E6023" t="str">
        <f>HYPERLINK("https://github.com/Anuken/Mindustry","show")</f>
        <v>show</v>
      </c>
      <c r="F6023" t="str">
        <f>HYPERLINK("https://github.com/Anuken/Mindustry/releases","show")</f>
        <v>show</v>
      </c>
    </row>
    <row r="6024" spans="1:6">
      <c r="A6024" t="s">
        <v>17915</v>
      </c>
      <c r="B6024" t="s">
        <v>17916</v>
      </c>
      <c r="C6024" t="s">
        <v>17917</v>
      </c>
      <c r="D6024" t="str">
        <f>HYPERLINK("https://github.com/square/okhttp/issues/6517","show")</f>
        <v>show</v>
      </c>
      <c r="E6024" t="str">
        <f>HYPERLINK("https://github.com/square/okhttp","show")</f>
        <v>show</v>
      </c>
      <c r="F6024" t="str">
        <f>HYPERLINK("https://github.com/square/okhttp/releases","show")</f>
        <v>show</v>
      </c>
    </row>
    <row r="6025" spans="1:6">
      <c r="A6025" t="s">
        <v>17918</v>
      </c>
      <c r="B6025" t="s">
        <v>17919</v>
      </c>
      <c r="C6025" t="s">
        <v>17920</v>
      </c>
      <c r="D6025" t="str">
        <f>HYPERLINK("https://github.com/SkyTubeTeam/SkyTube/issues/893","show")</f>
        <v>show</v>
      </c>
      <c r="E6025" t="str">
        <f>HYPERLINK("https://github.com/SkyTubeTeam/SkyTube","show")</f>
        <v>show</v>
      </c>
      <c r="F6025" t="str">
        <f>HYPERLINK("https://github.com/SkyTubeTeam/SkyTube/releases","show")</f>
        <v>show</v>
      </c>
    </row>
    <row r="6026" spans="1:6">
      <c r="A6026" t="s">
        <v>17921</v>
      </c>
      <c r="B6026" t="s">
        <v>17922</v>
      </c>
      <c r="C6026" t="s">
        <v>17923</v>
      </c>
      <c r="D6026" t="str">
        <f>HYPERLINK("https://github.com/tchapgouv/tchap-android-legacy/issues/696","show")</f>
        <v>show</v>
      </c>
      <c r="E6026" t="str">
        <f>HYPERLINK("https://github.com/tchapgouv/tchap-android-legacy","show")</f>
        <v>show</v>
      </c>
      <c r="F6026" t="str">
        <f>HYPERLINK("https://github.com/tchapgouv/tchap-android-legacy/releases","show")</f>
        <v>show</v>
      </c>
    </row>
    <row r="6027" spans="1:6">
      <c r="A6027" t="s">
        <v>17924</v>
      </c>
      <c r="B6027" t="s">
        <v>17925</v>
      </c>
      <c r="C6027" t="s">
        <v>17926</v>
      </c>
      <c r="D6027" t="str">
        <f>HYPERLINK("https://github.com/Anuken/Mindustry/issues/4368","show")</f>
        <v>show</v>
      </c>
      <c r="E6027" t="str">
        <f>HYPERLINK("https://github.com/Anuken/Mindustry","show")</f>
        <v>show</v>
      </c>
      <c r="F6027" t="str">
        <f>HYPERLINK("https://github.com/Anuken/Mindustry/releases","show")</f>
        <v>show</v>
      </c>
    </row>
    <row r="6028" spans="1:6">
      <c r="A6028" t="s">
        <v>17927</v>
      </c>
      <c r="B6028" t="s">
        <v>17928</v>
      </c>
      <c r="C6028" t="s">
        <v>17929</v>
      </c>
      <c r="D6028" t="str">
        <f>HYPERLINK("https://github.com/Anuken/Mindustry/issues/4367","show")</f>
        <v>show</v>
      </c>
      <c r="E6028" t="str">
        <f>HYPERLINK("https://github.com/Anuken/Mindustry","show")</f>
        <v>show</v>
      </c>
      <c r="F6028" t="str">
        <f>HYPERLINK("https://github.com/Anuken/Mindustry/releases","show")</f>
        <v>show</v>
      </c>
    </row>
    <row r="6029" spans="1:6">
      <c r="A6029" t="s">
        <v>17930</v>
      </c>
      <c r="B6029" t="s">
        <v>17931</v>
      </c>
      <c r="C6029" t="s">
        <v>17932</v>
      </c>
      <c r="D6029" t="str">
        <f>HYPERLINK("https://github.com/GoogleCloudPlatform/fda-mystudies/issues/2938","show")</f>
        <v>show</v>
      </c>
      <c r="E6029" t="str">
        <f>HYPERLINK("https://github.com/GoogleCloudPlatform/fda-mystudies","show")</f>
        <v>show</v>
      </c>
      <c r="F6029" t="str">
        <f>HYPERLINK("https://github.com/GoogleCloudPlatform/fda-mystudies/releases","show")</f>
        <v>show</v>
      </c>
    </row>
    <row r="6030" spans="1:6">
      <c r="A6030" t="s">
        <v>17933</v>
      </c>
      <c r="B6030" t="s">
        <v>17934</v>
      </c>
      <c r="C6030" t="s">
        <v>17935</v>
      </c>
      <c r="D6030" t="str">
        <f>HYPERLINK("https://github.com/Azure/azure-iot-sdk-java/issues/1067","show")</f>
        <v>show</v>
      </c>
      <c r="E6030" t="str">
        <f>HYPERLINK("https://github.com/Azure/azure-iot-sdk-java","show")</f>
        <v>show</v>
      </c>
      <c r="F6030" t="str">
        <f>HYPERLINK("https://github.com/Azure/azure-iot-sdk-java/releases","show")</f>
        <v>show</v>
      </c>
    </row>
    <row r="6031" spans="1:6">
      <c r="A6031" t="s">
        <v>17936</v>
      </c>
      <c r="B6031" t="s">
        <v>17937</v>
      </c>
      <c r="C6031" t="s">
        <v>17938</v>
      </c>
      <c r="D6031" t="str">
        <f>HYPERLINK("https://github.com/CTemplar/android/issues/306","show")</f>
        <v>show</v>
      </c>
      <c r="E6031" t="str">
        <f>HYPERLINK("https://github.com/CTemplar/android","show")</f>
        <v>show</v>
      </c>
      <c r="F6031" t="str">
        <f>HYPERLINK("https://github.com/CTemplar/android/releases","show")</f>
        <v>show</v>
      </c>
    </row>
    <row r="6032" spans="1:6">
      <c r="A6032" t="s">
        <v>17939</v>
      </c>
      <c r="B6032" t="s">
        <v>17940</v>
      </c>
      <c r="C6032" t="s">
        <v>17941</v>
      </c>
      <c r="D6032" t="str">
        <f>HYPERLINK("https://github.com/Anuken/Mindustry/issues/4366","show")</f>
        <v>show</v>
      </c>
      <c r="E6032" t="str">
        <f>HYPERLINK("https://github.com/Anuken/Mindustry","show")</f>
        <v>show</v>
      </c>
      <c r="F6032" t="str">
        <f>HYPERLINK("https://github.com/Anuken/Mindustry/releases","show")</f>
        <v>show</v>
      </c>
    </row>
    <row r="6033" spans="1:6">
      <c r="A6033" t="s">
        <v>17942</v>
      </c>
      <c r="B6033" t="s">
        <v>17943</v>
      </c>
      <c r="C6033" t="s">
        <v>17944</v>
      </c>
      <c r="D6033" t="str">
        <f>HYPERLINK("https://github.com/PojavLauncherTeam/PojavLauncher/issues/642","show")</f>
        <v>show</v>
      </c>
      <c r="E6033" t="str">
        <f>HYPERLINK("https://github.com/PojavLauncherTeam/PojavLauncher","show")</f>
        <v>show</v>
      </c>
      <c r="F6033" t="str">
        <f>HYPERLINK("https://github.com/PojavLauncherTeam/PojavLauncher/releases","show")</f>
        <v>show</v>
      </c>
    </row>
    <row r="6034" spans="1:6">
      <c r="A6034" t="s">
        <v>17945</v>
      </c>
      <c r="B6034" t="s">
        <v>17946</v>
      </c>
      <c r="C6034" t="s">
        <v>17947</v>
      </c>
      <c r="D6034" t="str">
        <f>HYPERLINK("https://github.com/PojavLauncherTeam/PojavLauncher/issues/638","show")</f>
        <v>show</v>
      </c>
      <c r="E6034" t="str">
        <f>HYPERLINK("https://github.com/PojavLauncherTeam/PojavLauncher","show")</f>
        <v>show</v>
      </c>
      <c r="F6034" t="str">
        <f>HYPERLINK("https://github.com/PojavLauncherTeam/PojavLauncher/releases","show")</f>
        <v>show</v>
      </c>
    </row>
    <row r="6035" spans="1:6">
      <c r="A6035" t="s">
        <v>17948</v>
      </c>
      <c r="B6035" t="s">
        <v>17949</v>
      </c>
      <c r="C6035" t="s">
        <v>17950</v>
      </c>
      <c r="D6035" t="str">
        <f>HYPERLINK("https://github.com/Poing-Studios/godot-admob-android/issues/44","show")</f>
        <v>show</v>
      </c>
      <c r="E6035" t="str">
        <f>HYPERLINK("https://github.com/Poing-Studios/godot-admob-android","show")</f>
        <v>show</v>
      </c>
      <c r="F6035" t="str">
        <f>HYPERLINK("https://github.com/Poing-Studios/godot-admob-android/releases","show")</f>
        <v>show</v>
      </c>
    </row>
    <row r="6036" spans="1:6">
      <c r="A6036" t="s">
        <v>17951</v>
      </c>
      <c r="B6036" t="s">
        <v>10530</v>
      </c>
      <c r="C6036" t="s">
        <v>17952</v>
      </c>
      <c r="D6036" t="str">
        <f>HYPERLINK("https://github.com/PojavLauncherTeam/PojavLauncher/issues/636","show")</f>
        <v>show</v>
      </c>
      <c r="E6036" t="str">
        <f>HYPERLINK("https://github.com/PojavLauncherTeam/PojavLauncher","show")</f>
        <v>show</v>
      </c>
      <c r="F6036" t="str">
        <f>HYPERLINK("https://github.com/PojavLauncherTeam/PojavLauncher/releases","show")</f>
        <v>show</v>
      </c>
    </row>
    <row r="6037" spans="1:6">
      <c r="A6037" t="s">
        <v>17953</v>
      </c>
      <c r="B6037" t="s">
        <v>17954</v>
      </c>
      <c r="C6037" t="s">
        <v>17955</v>
      </c>
      <c r="D6037" t="str">
        <f>HYPERLINK("https://github.com/TeamNewPipe/NewPipe/issues/5442","show")</f>
        <v>show</v>
      </c>
      <c r="E6037" t="str">
        <f>HYPERLINK("https://github.com/TeamNewPipe/NewPipe","show")</f>
        <v>show</v>
      </c>
      <c r="F6037" t="str">
        <f>HYPERLINK("https://github.com/TeamNewPipe/NewPipe/releases","show")</f>
        <v>show</v>
      </c>
    </row>
    <row r="6038" spans="1:6">
      <c r="A6038" t="s">
        <v>17956</v>
      </c>
      <c r="B6038" t="s">
        <v>107</v>
      </c>
      <c r="C6038" t="s">
        <v>17957</v>
      </c>
      <c r="D6038" t="str">
        <f>HYPERLINK("https://github.com/nextcloud/android/issues/7855","show")</f>
        <v>show</v>
      </c>
      <c r="E6038" t="str">
        <f>HYPERLINK("https://github.com/nextcloud/android","show")</f>
        <v>show</v>
      </c>
      <c r="F6038" t="str">
        <f>HYPERLINK("https://github.com/nextcloud/android/releases","show")</f>
        <v>show</v>
      </c>
    </row>
    <row r="6039" spans="1:6">
      <c r="A6039" t="s">
        <v>17958</v>
      </c>
      <c r="B6039" t="s">
        <v>17959</v>
      </c>
      <c r="C6039" t="s">
        <v>17960</v>
      </c>
      <c r="D6039" t="str">
        <f>HYPERLINK("https://github.com/TeamNewPipe/NewPipe/issues/5436","show")</f>
        <v>show</v>
      </c>
      <c r="E6039" t="str">
        <f>HYPERLINK("https://github.com/TeamNewPipe/NewPipe","show")</f>
        <v>show</v>
      </c>
      <c r="F6039" t="str">
        <f>HYPERLINK("https://github.com/TeamNewPipe/NewPipe/releases","show")</f>
        <v>show</v>
      </c>
    </row>
    <row r="6040" spans="1:6">
      <c r="A6040" t="s">
        <v>17961</v>
      </c>
      <c r="B6040" t="s">
        <v>17962</v>
      </c>
      <c r="C6040" t="s">
        <v>17963</v>
      </c>
      <c r="D6040" t="str">
        <f>HYPERLINK("https://github.com/Anuken/Mindustry/issues/4351","show")</f>
        <v>show</v>
      </c>
      <c r="E6040" t="str">
        <f>HYPERLINK("https://github.com/Anuken/Mindustry","show")</f>
        <v>show</v>
      </c>
      <c r="F6040" t="str">
        <f>HYPERLINK("https://github.com/Anuken/Mindustry/releases","show")</f>
        <v>show</v>
      </c>
    </row>
    <row r="6041" spans="1:6">
      <c r="A6041" t="s">
        <v>17964</v>
      </c>
      <c r="B6041" t="s">
        <v>17965</v>
      </c>
      <c r="C6041" t="s">
        <v>17966</v>
      </c>
      <c r="D6041" t="str">
        <f>HYPERLINK("https://github.com/TeamNewPipe/NewPipe/issues/5427","show")</f>
        <v>show</v>
      </c>
      <c r="E6041" t="str">
        <f>HYPERLINK("https://github.com/TeamNewPipe/NewPipe","show")</f>
        <v>show</v>
      </c>
      <c r="F6041" t="str">
        <f>HYPERLINK("https://github.com/TeamNewPipe/NewPipe/releases","show")</f>
        <v>show</v>
      </c>
    </row>
    <row r="6042" spans="1:6">
      <c r="A6042" t="s">
        <v>17967</v>
      </c>
      <c r="B6042" t="s">
        <v>17968</v>
      </c>
      <c r="C6042" t="s">
        <v>17969</v>
      </c>
      <c r="D6042" t="str">
        <f>HYPERLINK("https://github.com/MuntashirAkon/AppManager/issues/232","show")</f>
        <v>show</v>
      </c>
      <c r="E6042" t="str">
        <f>HYPERLINK("https://github.com/MuntashirAkon/AppManager","show")</f>
        <v>show</v>
      </c>
      <c r="F6042" t="str">
        <f>HYPERLINK("https://github.com/MuntashirAkon/AppManager/releases","show")</f>
        <v>show</v>
      </c>
    </row>
    <row r="6043" spans="1:6">
      <c r="A6043" t="s">
        <v>17970</v>
      </c>
      <c r="B6043" t="s">
        <v>17971</v>
      </c>
      <c r="C6043" t="s">
        <v>17972</v>
      </c>
      <c r="D6043" t="str">
        <f>HYPERLINK("https://github.com/PojavLauncherTeam/PojavLauncher/issues/619","show")</f>
        <v>show</v>
      </c>
      <c r="E6043" t="str">
        <f>HYPERLINK("https://github.com/PojavLauncherTeam/PojavLauncher","show")</f>
        <v>show</v>
      </c>
      <c r="F6043" t="str">
        <f>HYPERLINK("https://github.com/PojavLauncherTeam/PojavLauncher/releases","show")</f>
        <v>show</v>
      </c>
    </row>
    <row r="6044" spans="1:6">
      <c r="A6044" t="s">
        <v>17973</v>
      </c>
      <c r="B6044" t="s">
        <v>17974</v>
      </c>
      <c r="C6044" t="s">
        <v>17975</v>
      </c>
      <c r="D6044" t="str">
        <f>HYPERLINK("https://github.com/TeamNewPipe/NewPipe/issues/5426","show")</f>
        <v>show</v>
      </c>
      <c r="E6044" t="str">
        <f>HYPERLINK("https://github.com/TeamNewPipe/NewPipe","show")</f>
        <v>show</v>
      </c>
      <c r="F6044" t="str">
        <f>HYPERLINK("https://github.com/TeamNewPipe/NewPipe/releases","show")</f>
        <v>show</v>
      </c>
    </row>
    <row r="6045" spans="1:6">
      <c r="A6045" t="s">
        <v>17976</v>
      </c>
      <c r="B6045" t="s">
        <v>17977</v>
      </c>
      <c r="C6045" t="s">
        <v>17978</v>
      </c>
      <c r="D6045" t="str">
        <f>HYPERLINK("https://github.com/PojavLauncherTeam/PojavLauncher/issues/617","show")</f>
        <v>show</v>
      </c>
      <c r="E6045" t="str">
        <f>HYPERLINK("https://github.com/PojavLauncherTeam/PojavLauncher","show")</f>
        <v>show</v>
      </c>
      <c r="F6045" t="str">
        <f>HYPERLINK("https://github.com/PojavLauncherTeam/PojavLauncher/releases","show")</f>
        <v>show</v>
      </c>
    </row>
    <row r="6046" spans="1:6">
      <c r="A6046" t="s">
        <v>17979</v>
      </c>
      <c r="B6046" t="s">
        <v>17980</v>
      </c>
      <c r="C6046" t="s">
        <v>17981</v>
      </c>
      <c r="D6046" t="str">
        <f>HYPERLINK("https://github.com/Anuken/Mindustry/issues/4339","show")</f>
        <v>show</v>
      </c>
      <c r="E6046" t="str">
        <f>HYPERLINK("https://github.com/Anuken/Mindustry","show")</f>
        <v>show</v>
      </c>
      <c r="F6046" t="str">
        <f>HYPERLINK("https://github.com/Anuken/Mindustry/releases","show")</f>
        <v>show</v>
      </c>
    </row>
    <row r="6047" spans="1:6">
      <c r="A6047" t="s">
        <v>17982</v>
      </c>
      <c r="B6047" t="s">
        <v>17983</v>
      </c>
      <c r="C6047" t="s">
        <v>17984</v>
      </c>
      <c r="D6047" t="str">
        <f>HYPERLINK("https://github.com/TeamNewPipe/NewPipe/issues/5423","show")</f>
        <v>show</v>
      </c>
      <c r="E6047" t="str">
        <f>HYPERLINK("https://github.com/TeamNewPipe/NewPipe","show")</f>
        <v>show</v>
      </c>
      <c r="F6047" t="str">
        <f>HYPERLINK("https://github.com/TeamNewPipe/NewPipe/releases","show")</f>
        <v>show</v>
      </c>
    </row>
    <row r="6048" spans="1:6">
      <c r="A6048" t="s">
        <v>17985</v>
      </c>
      <c r="B6048" t="s">
        <v>17986</v>
      </c>
      <c r="C6048" t="s">
        <v>17987</v>
      </c>
      <c r="D6048" t="str">
        <f>HYPERLINK("https://github.com/Anuken/Mindustry/issues/4336","show")</f>
        <v>show</v>
      </c>
      <c r="E6048" t="str">
        <f>HYPERLINK("https://github.com/Anuken/Mindustry","show")</f>
        <v>show</v>
      </c>
      <c r="F6048" t="str">
        <f>HYPERLINK("https://github.com/Anuken/Mindustry/releases","show")</f>
        <v>show</v>
      </c>
    </row>
    <row r="6049" spans="1:6">
      <c r="A6049" t="s">
        <v>17988</v>
      </c>
      <c r="B6049" t="s">
        <v>17989</v>
      </c>
      <c r="C6049" t="s">
        <v>17990</v>
      </c>
      <c r="D6049" t="str">
        <f>HYPERLINK("https://github.com/AOF-Dev/MCinaBox/issues/837","show")</f>
        <v>show</v>
      </c>
      <c r="E6049" t="str">
        <f>HYPERLINK("https://github.com/AOF-Dev/MCinaBox","show")</f>
        <v>show</v>
      </c>
      <c r="F6049" t="str">
        <f>HYPERLINK("https://github.com/AOF-Dev/MCinaBox/releases","show")</f>
        <v>show</v>
      </c>
    </row>
    <row r="6050" spans="1:6">
      <c r="A6050" t="s">
        <v>17991</v>
      </c>
      <c r="B6050" t="s">
        <v>17992</v>
      </c>
      <c r="C6050" t="s">
        <v>17993</v>
      </c>
      <c r="D6050" t="str">
        <f>HYPERLINK("https://github.com/MCMrARM/revolution-irc/issues/280","show")</f>
        <v>show</v>
      </c>
      <c r="E6050" t="str">
        <f>HYPERLINK("https://github.com/MCMrARM/revolution-irc","show")</f>
        <v>show</v>
      </c>
      <c r="F6050" t="str">
        <f>HYPERLINK("https://github.com/MCMrARM/revolution-irc/releases","show")</f>
        <v>show</v>
      </c>
    </row>
    <row r="6051" spans="1:6">
      <c r="A6051" t="s">
        <v>17994</v>
      </c>
      <c r="B6051" t="s">
        <v>17995</v>
      </c>
      <c r="C6051" t="s">
        <v>17996</v>
      </c>
      <c r="D6051" t="str">
        <f>HYPERLINK("https://github.com/Anuken/Mindustry/issues/4335","show")</f>
        <v>show</v>
      </c>
      <c r="E6051" t="str">
        <f>HYPERLINK("https://github.com/Anuken/Mindustry","show")</f>
        <v>show</v>
      </c>
      <c r="F6051" t="str">
        <f>HYPERLINK("https://github.com/Anuken/Mindustry/releases","show")</f>
        <v>show</v>
      </c>
    </row>
    <row r="6052" spans="1:6">
      <c r="A6052" t="s">
        <v>17997</v>
      </c>
      <c r="B6052" t="s">
        <v>17998</v>
      </c>
      <c r="C6052" t="s">
        <v>17999</v>
      </c>
      <c r="D6052" t="str">
        <f>HYPERLINK("https://github.com/opensrp/opensrp-client-goldsmith/issues/55","show")</f>
        <v>show</v>
      </c>
      <c r="E6052" t="str">
        <f>HYPERLINK("https://github.com/opensrp/opensrp-client-goldsmith","show")</f>
        <v>show</v>
      </c>
      <c r="F6052" t="str">
        <f>HYPERLINK("https://github.com/opensrp/opensrp-client-goldsmith/releases","show")</f>
        <v>show</v>
      </c>
    </row>
    <row r="6053" spans="1:6">
      <c r="A6053" t="s">
        <v>18000</v>
      </c>
      <c r="B6053" t="s">
        <v>18001</v>
      </c>
      <c r="C6053" t="s">
        <v>18002</v>
      </c>
      <c r="D6053" t="str">
        <f>HYPERLINK("https://github.com/material-components/material-components-android/issues/1987","show")</f>
        <v>show</v>
      </c>
      <c r="E6053" t="str">
        <f>HYPERLINK("https://github.com/material-components/material-components-android","show")</f>
        <v>show</v>
      </c>
      <c r="F6053" t="str">
        <f>HYPERLINK("https://github.com/material-components/material-components-android/releases","show")</f>
        <v>show</v>
      </c>
    </row>
    <row r="6054" spans="1:6">
      <c r="A6054" t="s">
        <v>18003</v>
      </c>
      <c r="B6054" t="s">
        <v>18004</v>
      </c>
      <c r="C6054" t="s">
        <v>18005</v>
      </c>
      <c r="D6054" t="str">
        <f>HYPERLINK("https://github.com/Anuken/Mindustry/issues/4330","show")</f>
        <v>show</v>
      </c>
      <c r="E6054" t="str">
        <f>HYPERLINK("https://github.com/Anuken/Mindustry","show")</f>
        <v>show</v>
      </c>
      <c r="F6054" t="str">
        <f>HYPERLINK("https://github.com/Anuken/Mindustry/releases","show")</f>
        <v>show</v>
      </c>
    </row>
    <row r="6055" spans="1:6">
      <c r="A6055" t="s">
        <v>18006</v>
      </c>
      <c r="B6055" t="s">
        <v>18007</v>
      </c>
      <c r="C6055" t="s">
        <v>18008</v>
      </c>
      <c r="D6055" t="str">
        <f>HYPERLINK("https://github.com/GoogleCloudPlatform/fda-mystudies/issues/2853","show")</f>
        <v>show</v>
      </c>
      <c r="E6055" t="str">
        <f>HYPERLINK("https://github.com/GoogleCloudPlatform/fda-mystudies","show")</f>
        <v>show</v>
      </c>
      <c r="F6055" t="str">
        <f>HYPERLINK("https://github.com/GoogleCloudPlatform/fda-mystudies/releases","show")</f>
        <v>show</v>
      </c>
    </row>
    <row r="6056" spans="1:6">
      <c r="A6056" t="s">
        <v>18009</v>
      </c>
      <c r="B6056" t="s">
        <v>18010</v>
      </c>
      <c r="C6056" t="s">
        <v>18011</v>
      </c>
      <c r="D6056" t="str">
        <f>HYPERLINK("https://github.com/TeamNewPipe/NewPipe/issues/5416","show")</f>
        <v>show</v>
      </c>
      <c r="E6056" t="str">
        <f>HYPERLINK("https://github.com/TeamNewPipe/NewPipe","show")</f>
        <v>show</v>
      </c>
      <c r="F6056" t="str">
        <f>HYPERLINK("https://github.com/TeamNewPipe/NewPipe/releases","show")</f>
        <v>show</v>
      </c>
    </row>
    <row r="6057" spans="1:6">
      <c r="A6057" t="s">
        <v>18012</v>
      </c>
      <c r="B6057" t="s">
        <v>18013</v>
      </c>
      <c r="C6057" t="s">
        <v>18014</v>
      </c>
      <c r="D6057" t="str">
        <f>HYPERLINK("https://github.com/gsantner/markor/issues/1194","show")</f>
        <v>show</v>
      </c>
      <c r="E6057" t="str">
        <f>HYPERLINK("https://github.com/gsantner/markor","show")</f>
        <v>show</v>
      </c>
      <c r="F6057" t="str">
        <f>HYPERLINK("https://github.com/gsantner/markor/releases","show")</f>
        <v>show</v>
      </c>
    </row>
    <row r="6058" spans="1:6">
      <c r="A6058" t="s">
        <v>18015</v>
      </c>
      <c r="B6058" t="s">
        <v>18016</v>
      </c>
      <c r="C6058" t="s">
        <v>18017</v>
      </c>
      <c r="D6058" t="str">
        <f>HYPERLINK("https://github.com/Anuken/Mindustry/issues/4328","show")</f>
        <v>show</v>
      </c>
      <c r="E6058" t="str">
        <f>HYPERLINK("https://github.com/Anuken/Mindustry","show")</f>
        <v>show</v>
      </c>
      <c r="F6058" t="str">
        <f>HYPERLINK("https://github.com/Anuken/Mindustry/releases","show")</f>
        <v>show</v>
      </c>
    </row>
    <row r="6059" spans="1:6">
      <c r="A6059" t="s">
        <v>18018</v>
      </c>
      <c r="B6059" t="s">
        <v>18019</v>
      </c>
      <c r="C6059" t="s">
        <v>18020</v>
      </c>
      <c r="D6059" t="str">
        <f>HYPERLINK("https://github.com/valkriaine/Factor_Launcher_Reboot/issues/31","show")</f>
        <v>show</v>
      </c>
      <c r="E6059" t="str">
        <f>HYPERLINK("https://github.com/valkriaine/Factor_Launcher_Reboot","show")</f>
        <v>show</v>
      </c>
      <c r="F6059" t="str">
        <f>HYPERLINK("https://github.com/valkriaine/Factor_Launcher_Reboot/releases","show")</f>
        <v>show</v>
      </c>
    </row>
    <row r="6060" spans="1:6">
      <c r="A6060" t="s">
        <v>18021</v>
      </c>
      <c r="B6060" t="s">
        <v>18022</v>
      </c>
      <c r="C6060" t="s">
        <v>18023</v>
      </c>
      <c r="D6060" t="str">
        <f>HYPERLINK("https://github.com/TeamNewPipe/NewPipe/issues/5414","show")</f>
        <v>show</v>
      </c>
      <c r="E6060" t="str">
        <f>HYPERLINK("https://github.com/TeamNewPipe/NewPipe","show")</f>
        <v>show</v>
      </c>
      <c r="F6060" t="str">
        <f>HYPERLINK("https://github.com/TeamNewPipe/NewPipe/releases","show")</f>
        <v>show</v>
      </c>
    </row>
    <row r="6061" spans="1:6">
      <c r="A6061" t="s">
        <v>18024</v>
      </c>
      <c r="B6061" t="s">
        <v>18025</v>
      </c>
      <c r="C6061" t="s">
        <v>18026</v>
      </c>
      <c r="D6061" t="str">
        <f>HYPERLINK("https://github.com/nextcloud/android/issues/7837","show")</f>
        <v>show</v>
      </c>
      <c r="E6061" t="str">
        <f>HYPERLINK("https://github.com/nextcloud/android","show")</f>
        <v>show</v>
      </c>
      <c r="F6061" t="str">
        <f>HYPERLINK("https://github.com/nextcloud/android/releases","show")</f>
        <v>show</v>
      </c>
    </row>
    <row r="6062" spans="1:6">
      <c r="A6062" t="s">
        <v>18027</v>
      </c>
      <c r="B6062" t="s">
        <v>18028</v>
      </c>
      <c r="C6062" t="s">
        <v>18029</v>
      </c>
      <c r="D6062" t="str">
        <f>HYPERLINK("https://github.com/MuntashirAkon/AppManager/issues/224","show")</f>
        <v>show</v>
      </c>
      <c r="E6062" t="str">
        <f>HYPERLINK("https://github.com/MuntashirAkon/AppManager","show")</f>
        <v>show</v>
      </c>
      <c r="F6062" t="str">
        <f>HYPERLINK("https://github.com/MuntashirAkon/AppManager/releases","show")</f>
        <v>show</v>
      </c>
    </row>
    <row r="6063" spans="1:6">
      <c r="A6063" t="s">
        <v>18030</v>
      </c>
      <c r="B6063" t="s">
        <v>18031</v>
      </c>
      <c r="C6063" t="s">
        <v>18032</v>
      </c>
      <c r="D6063" t="str">
        <f>HYPERLINK("https://github.com/Anuken/Mindustry/issues/4325","show")</f>
        <v>show</v>
      </c>
      <c r="E6063" t="str">
        <f>HYPERLINK("https://github.com/Anuken/Mindustry","show")</f>
        <v>show</v>
      </c>
      <c r="F6063" t="str">
        <f>HYPERLINK("https://github.com/Anuken/Mindustry/releases","show")</f>
        <v>show</v>
      </c>
    </row>
    <row r="6064" spans="1:6">
      <c r="A6064" t="s">
        <v>18033</v>
      </c>
      <c r="B6064" t="s">
        <v>107</v>
      </c>
      <c r="C6064" t="s">
        <v>18034</v>
      </c>
      <c r="D6064" t="str">
        <f>HYPERLINK("https://github.com/Anuken/Mindustry/issues/4323","show")</f>
        <v>show</v>
      </c>
      <c r="E6064" t="str">
        <f>HYPERLINK("https://github.com/Anuken/Mindustry","show")</f>
        <v>show</v>
      </c>
      <c r="F6064" t="str">
        <f>HYPERLINK("https://github.com/Anuken/Mindustry/releases","show")</f>
        <v>show</v>
      </c>
    </row>
    <row r="6065" spans="1:6">
      <c r="A6065" t="s">
        <v>18035</v>
      </c>
      <c r="B6065" t="s">
        <v>18036</v>
      </c>
      <c r="C6065" t="s">
        <v>18037</v>
      </c>
      <c r="D6065" t="str">
        <f>HYPERLINK("https://github.com/inaturalist/iNaturalistAndroid/issues/966","show")</f>
        <v>show</v>
      </c>
      <c r="E6065" t="str">
        <f>HYPERLINK("https://github.com/inaturalist/iNaturalistAndroid","show")</f>
        <v>show</v>
      </c>
      <c r="F6065" t="str">
        <f>HYPERLINK("https://github.com/inaturalist/iNaturalistAndroid/releases","show")</f>
        <v>show</v>
      </c>
    </row>
    <row r="6066" spans="1:6">
      <c r="A6066" t="s">
        <v>18038</v>
      </c>
      <c r="B6066" t="s">
        <v>18039</v>
      </c>
      <c r="C6066" t="s">
        <v>18040</v>
      </c>
      <c r="D6066" t="str">
        <f>HYPERLINK("https://github.com/inaturalist/iNaturalistAndroid/issues/965","show")</f>
        <v>show</v>
      </c>
      <c r="E6066" t="str">
        <f>HYPERLINK("https://github.com/inaturalist/iNaturalistAndroid","show")</f>
        <v>show</v>
      </c>
      <c r="F6066" t="str">
        <f>HYPERLINK("https://github.com/inaturalist/iNaturalistAndroid/releases","show")</f>
        <v>show</v>
      </c>
    </row>
    <row r="6067" spans="1:6">
      <c r="A6067" t="s">
        <v>18041</v>
      </c>
      <c r="B6067" t="s">
        <v>18042</v>
      </c>
      <c r="C6067" t="s">
        <v>18043</v>
      </c>
      <c r="D6067" t="str">
        <f>HYPERLINK("https://github.com/inaturalist/iNaturalistAndroid/issues/964","show")</f>
        <v>show</v>
      </c>
      <c r="E6067" t="str">
        <f>HYPERLINK("https://github.com/inaturalist/iNaturalistAndroid","show")</f>
        <v>show</v>
      </c>
      <c r="F6067" t="str">
        <f>HYPERLINK("https://github.com/inaturalist/iNaturalistAndroid/releases","show")</f>
        <v>show</v>
      </c>
    </row>
    <row r="6068" spans="1:6">
      <c r="A6068" t="s">
        <v>18044</v>
      </c>
      <c r="B6068" t="s">
        <v>18045</v>
      </c>
      <c r="C6068" t="s">
        <v>18046</v>
      </c>
      <c r="D6068" t="str">
        <f>HYPERLINK("https://github.com/inaturalist/iNaturalistAndroid/issues/963","show")</f>
        <v>show</v>
      </c>
      <c r="E6068" t="str">
        <f>HYPERLINK("https://github.com/inaturalist/iNaturalistAndroid","show")</f>
        <v>show</v>
      </c>
      <c r="F6068" t="str">
        <f>HYPERLINK("https://github.com/inaturalist/iNaturalistAndroid/releases","show")</f>
        <v>show</v>
      </c>
    </row>
    <row r="6069" spans="1:6">
      <c r="A6069" t="s">
        <v>18047</v>
      </c>
      <c r="B6069" t="s">
        <v>18048</v>
      </c>
      <c r="C6069" t="s">
        <v>18049</v>
      </c>
      <c r="D6069" t="str">
        <f>HYPERLINK("https://github.com/Anuken/Mindustry/issues/4321","show")</f>
        <v>show</v>
      </c>
      <c r="E6069" t="str">
        <f>HYPERLINK("https://github.com/Anuken/Mindustry","show")</f>
        <v>show</v>
      </c>
      <c r="F6069" t="str">
        <f>HYPERLINK("https://github.com/Anuken/Mindustry/releases","show")</f>
        <v>show</v>
      </c>
    </row>
    <row r="6070" spans="1:6">
      <c r="A6070" t="s">
        <v>18050</v>
      </c>
      <c r="B6070" t="s">
        <v>18051</v>
      </c>
      <c r="C6070" t="s">
        <v>18052</v>
      </c>
      <c r="D6070" t="str">
        <f>HYPERLINK("https://github.com/TeamNewPipe/NewPipe/issues/5406","show")</f>
        <v>show</v>
      </c>
      <c r="E6070" t="str">
        <f>HYPERLINK("https://github.com/TeamNewPipe/NewPipe","show")</f>
        <v>show</v>
      </c>
      <c r="F6070" t="str">
        <f>HYPERLINK("https://github.com/TeamNewPipe/NewPipe/releases","show")</f>
        <v>show</v>
      </c>
    </row>
    <row r="6071" spans="1:6">
      <c r="A6071" t="s">
        <v>18053</v>
      </c>
      <c r="B6071" t="s">
        <v>18054</v>
      </c>
      <c r="C6071" t="s">
        <v>18055</v>
      </c>
      <c r="D6071" t="str">
        <f>HYPERLINK("https://github.com/Anuken/Mindustry/issues/4320","show")</f>
        <v>show</v>
      </c>
      <c r="E6071" t="str">
        <f>HYPERLINK("https://github.com/Anuken/Mindustry","show")</f>
        <v>show</v>
      </c>
      <c r="F6071" t="str">
        <f>HYPERLINK("https://github.com/Anuken/Mindustry/releases","show")</f>
        <v>show</v>
      </c>
    </row>
    <row r="6072" spans="1:6">
      <c r="A6072" t="s">
        <v>18056</v>
      </c>
      <c r="B6072" t="s">
        <v>18057</v>
      </c>
      <c r="C6072" t="s">
        <v>18058</v>
      </c>
      <c r="D6072" t="str">
        <f>HYPERLINK("https://github.com/PojavLauncherTeam/PojavLauncher/issues/609","show")</f>
        <v>show</v>
      </c>
      <c r="E6072" t="str">
        <f>HYPERLINK("https://github.com/PojavLauncherTeam/PojavLauncher","show")</f>
        <v>show</v>
      </c>
      <c r="F6072" t="str">
        <f>HYPERLINK("https://github.com/PojavLauncherTeam/PojavLauncher/releases","show")</f>
        <v>show</v>
      </c>
    </row>
    <row r="6073" spans="1:6">
      <c r="A6073" t="s">
        <v>18059</v>
      </c>
      <c r="B6073" t="s">
        <v>18060</v>
      </c>
      <c r="C6073" t="s">
        <v>18061</v>
      </c>
      <c r="D6073" t="str">
        <f>HYPERLINK("https://github.com/Anuken/Mindustry/issues/4319","show")</f>
        <v>show</v>
      </c>
      <c r="E6073" t="str">
        <f>HYPERLINK("https://github.com/Anuken/Mindustry","show")</f>
        <v>show</v>
      </c>
      <c r="F6073" t="str">
        <f>HYPERLINK("https://github.com/Anuken/Mindustry/releases","show")</f>
        <v>show</v>
      </c>
    </row>
    <row r="6074" spans="1:6">
      <c r="A6074" t="s">
        <v>18062</v>
      </c>
      <c r="B6074" t="s">
        <v>18063</v>
      </c>
      <c r="C6074" t="s">
        <v>18064</v>
      </c>
      <c r="D6074" t="str">
        <f>HYPERLINK("https://github.com/PojavLauncherTeam/PojavLauncher/issues/606","show")</f>
        <v>show</v>
      </c>
      <c r="E6074" t="str">
        <f>HYPERLINK("https://github.com/PojavLauncherTeam/PojavLauncher","show")</f>
        <v>show</v>
      </c>
      <c r="F6074" t="str">
        <f>HYPERLINK("https://github.com/PojavLauncherTeam/PojavLauncher/releases","show")</f>
        <v>show</v>
      </c>
    </row>
    <row r="6075" spans="1:6">
      <c r="A6075" t="s">
        <v>18065</v>
      </c>
      <c r="B6075" t="s">
        <v>18066</v>
      </c>
      <c r="C6075" t="s">
        <v>18067</v>
      </c>
      <c r="D6075" t="str">
        <f>HYPERLINK("https://github.com/Anuken/Mindustry/issues/4318","show")</f>
        <v>show</v>
      </c>
      <c r="E6075" t="str">
        <f>HYPERLINK("https://github.com/Anuken/Mindustry","show")</f>
        <v>show</v>
      </c>
      <c r="F6075" t="str">
        <f>HYPERLINK("https://github.com/Anuken/Mindustry/releases","show")</f>
        <v>show</v>
      </c>
    </row>
    <row r="6076" spans="1:6">
      <c r="A6076" t="s">
        <v>18068</v>
      </c>
      <c r="B6076" t="s">
        <v>18069</v>
      </c>
      <c r="C6076" t="s">
        <v>18070</v>
      </c>
      <c r="D6076" t="str">
        <f>HYPERLINK("https://github.com/nextcloud/android/issues/7816","show")</f>
        <v>show</v>
      </c>
      <c r="E6076" t="str">
        <f>HYPERLINK("https://github.com/nextcloud/android","show")</f>
        <v>show</v>
      </c>
      <c r="F6076" t="str">
        <f>HYPERLINK("https://github.com/nextcloud/android/releases","show")</f>
        <v>show</v>
      </c>
    </row>
    <row r="6077" spans="1:6">
      <c r="A6077" t="s">
        <v>18071</v>
      </c>
      <c r="B6077" t="s">
        <v>18072</v>
      </c>
      <c r="C6077" t="s">
        <v>18073</v>
      </c>
      <c r="D6077" t="str">
        <f>HYPERLINK("https://github.com/Anuken/Mindustry/issues/4316","show")</f>
        <v>show</v>
      </c>
      <c r="E6077" t="str">
        <f>HYPERLINK("https://github.com/Anuken/Mindustry","show")</f>
        <v>show</v>
      </c>
      <c r="F6077" t="str">
        <f>HYPERLINK("https://github.com/Anuken/Mindustry/releases","show")</f>
        <v>show</v>
      </c>
    </row>
    <row r="6078" spans="1:6">
      <c r="A6078" t="s">
        <v>18074</v>
      </c>
      <c r="B6078" t="s">
        <v>18075</v>
      </c>
      <c r="C6078" t="s">
        <v>18076</v>
      </c>
      <c r="D6078" t="str">
        <f>HYPERLINK("https://github.com/cgeo/cgeo/issues/9789","show")</f>
        <v>show</v>
      </c>
      <c r="E6078" t="str">
        <f>HYPERLINK("https://github.com/cgeo/cgeo","show")</f>
        <v>show</v>
      </c>
      <c r="F6078" t="str">
        <f>HYPERLINK("https://github.com/cgeo/cgeo/releases","show")</f>
        <v>show</v>
      </c>
    </row>
    <row r="6079" spans="1:6">
      <c r="A6079" t="s">
        <v>18077</v>
      </c>
      <c r="B6079" t="s">
        <v>18078</v>
      </c>
      <c r="C6079" t="s">
        <v>18079</v>
      </c>
      <c r="D6079" t="str">
        <f>HYPERLINK("https://github.com/Ninjaman494/Hanji-Android-App/issues/51","show")</f>
        <v>show</v>
      </c>
      <c r="E6079" t="str">
        <f>HYPERLINK("https://github.com/Ninjaman494/Hanji-Android-App","show")</f>
        <v>show</v>
      </c>
      <c r="F6079" t="str">
        <f>HYPERLINK("https://github.com/Ninjaman494/Hanji-Android-App/releases","show")</f>
        <v>show</v>
      </c>
    </row>
    <row r="6080" spans="1:6">
      <c r="A6080" t="s">
        <v>18080</v>
      </c>
      <c r="B6080" t="s">
        <v>18081</v>
      </c>
      <c r="C6080" t="s">
        <v>18082</v>
      </c>
      <c r="D6080" t="str">
        <f>HYPERLINK("https://github.com/Blankj/AndroidUtilCode/issues/1424","show")</f>
        <v>show</v>
      </c>
      <c r="E6080" t="str">
        <f>HYPERLINK("https://github.com/Blankj/AndroidUtilCode","show")</f>
        <v>show</v>
      </c>
      <c r="F6080" t="str">
        <f>HYPERLINK("https://github.com/Blankj/AndroidUtilCode/releases","show")</f>
        <v>show</v>
      </c>
    </row>
    <row r="6081" spans="1:6">
      <c r="A6081" t="s">
        <v>18083</v>
      </c>
      <c r="B6081" t="s">
        <v>18084</v>
      </c>
      <c r="C6081" t="s">
        <v>18085</v>
      </c>
      <c r="D6081" t="str">
        <f>HYPERLINK("https://github.com/MuntashirAkon/AppManager/issues/223","show")</f>
        <v>show</v>
      </c>
      <c r="E6081" t="str">
        <f>HYPERLINK("https://github.com/MuntashirAkon/AppManager","show")</f>
        <v>show</v>
      </c>
      <c r="F6081" t="str">
        <f>HYPERLINK("https://github.com/MuntashirAkon/AppManager/releases","show")</f>
        <v>show</v>
      </c>
    </row>
    <row r="6082" spans="1:6">
      <c r="A6082" t="s">
        <v>18086</v>
      </c>
      <c r="B6082" t="s">
        <v>18087</v>
      </c>
      <c r="C6082" t="s">
        <v>18088</v>
      </c>
      <c r="D6082" t="str">
        <f>HYPERLINK("https://github.com/AOF-Dev/MCinaBox/issues/821","show")</f>
        <v>show</v>
      </c>
      <c r="E6082" t="str">
        <f>HYPERLINK("https://github.com/AOF-Dev/MCinaBox","show")</f>
        <v>show</v>
      </c>
      <c r="F6082" t="str">
        <f>HYPERLINK("https://github.com/AOF-Dev/MCinaBox/releases","show")</f>
        <v>show</v>
      </c>
    </row>
    <row r="6083" spans="1:6">
      <c r="A6083" t="s">
        <v>18089</v>
      </c>
      <c r="B6083" t="s">
        <v>17848</v>
      </c>
      <c r="C6083" t="s">
        <v>10095</v>
      </c>
      <c r="D6083" t="str">
        <f>HYPERLINK("https://github.com/TeamNewPipe/NewPipe/issues/5394","show")</f>
        <v>show</v>
      </c>
      <c r="E6083" t="str">
        <f>HYPERLINK("https://github.com/TeamNewPipe/NewPipe","show")</f>
        <v>show</v>
      </c>
      <c r="F6083" t="str">
        <f>HYPERLINK("https://github.com/TeamNewPipe/NewPipe/releases","show")</f>
        <v>show</v>
      </c>
    </row>
    <row r="6084" spans="1:6">
      <c r="A6084" t="s">
        <v>18090</v>
      </c>
      <c r="B6084" t="s">
        <v>18091</v>
      </c>
      <c r="C6084" t="s">
        <v>18092</v>
      </c>
      <c r="D6084" t="str">
        <f>HYPERLINK("https://github.com/nextcloud/android/issues/7812","show")</f>
        <v>show</v>
      </c>
      <c r="E6084" t="str">
        <f>HYPERLINK("https://github.com/nextcloud/android","show")</f>
        <v>show</v>
      </c>
      <c r="F6084" t="str">
        <f>HYPERLINK("https://github.com/nextcloud/android/releases","show")</f>
        <v>show</v>
      </c>
    </row>
    <row r="6085" spans="1:6">
      <c r="A6085" t="s">
        <v>18093</v>
      </c>
      <c r="B6085" t="s">
        <v>18094</v>
      </c>
      <c r="C6085" t="s">
        <v>10095</v>
      </c>
      <c r="D6085" t="str">
        <f>HYPERLINK("https://github.com/TeamNewPipe/NewPipe/issues/5392","show")</f>
        <v>show</v>
      </c>
      <c r="E6085" t="str">
        <f>HYPERLINK("https://github.com/TeamNewPipe/NewPipe","show")</f>
        <v>show</v>
      </c>
      <c r="F6085" t="str">
        <f>HYPERLINK("https://github.com/TeamNewPipe/NewPipe/releases","show")</f>
        <v>show</v>
      </c>
    </row>
    <row r="6086" spans="1:6">
      <c r="A6086" t="s">
        <v>18095</v>
      </c>
      <c r="B6086" t="s">
        <v>18096</v>
      </c>
      <c r="C6086" t="s">
        <v>18097</v>
      </c>
      <c r="D6086" t="str">
        <f>HYPERLINK("https://github.com/cgeo/cgeo/issues/9784","show")</f>
        <v>show</v>
      </c>
      <c r="E6086" t="str">
        <f>HYPERLINK("https://github.com/cgeo/cgeo","show")</f>
        <v>show</v>
      </c>
      <c r="F6086" t="str">
        <f>HYPERLINK("https://github.com/cgeo/cgeo/releases","show")</f>
        <v>show</v>
      </c>
    </row>
    <row r="6087" spans="1:6">
      <c r="A6087" t="s">
        <v>18098</v>
      </c>
      <c r="B6087" t="s">
        <v>18057</v>
      </c>
      <c r="C6087" t="s">
        <v>18099</v>
      </c>
      <c r="D6087" t="str">
        <f>HYPERLINK("https://github.com/PojavLauncherTeam/PojavLauncher/issues/596","show")</f>
        <v>show</v>
      </c>
      <c r="E6087" t="str">
        <f>HYPERLINK("https://github.com/PojavLauncherTeam/PojavLauncher","show")</f>
        <v>show</v>
      </c>
      <c r="F6087" t="str">
        <f>HYPERLINK("https://github.com/PojavLauncherTeam/PojavLauncher/releases","show")</f>
        <v>show</v>
      </c>
    </row>
    <row r="6088" spans="1:6">
      <c r="A6088" t="s">
        <v>18100</v>
      </c>
      <c r="B6088" t="s">
        <v>18101</v>
      </c>
      <c r="C6088" t="s">
        <v>18102</v>
      </c>
      <c r="D6088" t="str">
        <f>HYPERLINK("https://github.com/material-components/material-components-android/issues/1973","show")</f>
        <v>show</v>
      </c>
      <c r="E6088" t="str">
        <f>HYPERLINK("https://github.com/material-components/material-components-android","show")</f>
        <v>show</v>
      </c>
      <c r="F6088" t="str">
        <f>HYPERLINK("https://github.com/material-components/material-components-android/releases","show")</f>
        <v>show</v>
      </c>
    </row>
    <row r="6089" spans="1:6">
      <c r="A6089" t="s">
        <v>18103</v>
      </c>
      <c r="B6089" t="s">
        <v>18104</v>
      </c>
      <c r="C6089" t="s">
        <v>18105</v>
      </c>
      <c r="D6089" t="str">
        <f>HYPERLINK("https://github.com/SkyTubeTeam/SkyTube/issues/885","show")</f>
        <v>show</v>
      </c>
      <c r="E6089" t="str">
        <f>HYPERLINK("https://github.com/SkyTubeTeam/SkyTube","show")</f>
        <v>show</v>
      </c>
      <c r="F6089" t="str">
        <f>HYPERLINK("https://github.com/SkyTubeTeam/SkyTube/releases","show")</f>
        <v>show</v>
      </c>
    </row>
    <row r="6090" spans="1:6">
      <c r="A6090" t="s">
        <v>18106</v>
      </c>
      <c r="B6090" t="s">
        <v>18107</v>
      </c>
      <c r="C6090" t="s">
        <v>18108</v>
      </c>
      <c r="D6090" t="str">
        <f>HYPERLINK("https://github.com/NSU-FA20-CSE299-3/Group01/issues/30","show")</f>
        <v>show</v>
      </c>
      <c r="E6090" t="str">
        <f>HYPERLINK("https://github.com/NSU-FA20-CSE299-3/Group01","show")</f>
        <v>show</v>
      </c>
      <c r="F6090" t="str">
        <f>HYPERLINK("https://github.com/NSU-FA20-CSE299-3/Group01/releases","show")</f>
        <v>show</v>
      </c>
    </row>
    <row r="6091" spans="1:6">
      <c r="A6091" t="s">
        <v>18109</v>
      </c>
      <c r="B6091" t="s">
        <v>18110</v>
      </c>
      <c r="C6091" t="s">
        <v>18111</v>
      </c>
      <c r="D6091" t="str">
        <f>HYPERLINK("https://github.com/tchapgouv/tchap-android-legacy/issues/694","show")</f>
        <v>show</v>
      </c>
      <c r="E6091" t="str">
        <f>HYPERLINK("https://github.com/tchapgouv/tchap-android-legacy","show")</f>
        <v>show</v>
      </c>
      <c r="F6091" t="str">
        <f>HYPERLINK("https://github.com/tchapgouv/tchap-android-legacy/releases","show")</f>
        <v>show</v>
      </c>
    </row>
    <row r="6092" spans="1:6">
      <c r="A6092" t="s">
        <v>18112</v>
      </c>
      <c r="B6092" t="s">
        <v>18113</v>
      </c>
      <c r="C6092" t="s">
        <v>18114</v>
      </c>
      <c r="D6092" t="str">
        <f>HYPERLINK("https://github.com/AOF-Dev/MCinaBox/issues/820","show")</f>
        <v>show</v>
      </c>
      <c r="E6092" t="str">
        <f>HYPERLINK("https://github.com/AOF-Dev/MCinaBox","show")</f>
        <v>show</v>
      </c>
      <c r="F6092" t="str">
        <f>HYPERLINK("https://github.com/AOF-Dev/MCinaBox/releases","show")</f>
        <v>show</v>
      </c>
    </row>
    <row r="6093" spans="1:6">
      <c r="A6093" t="s">
        <v>18115</v>
      </c>
      <c r="B6093" t="s">
        <v>18116</v>
      </c>
      <c r="C6093" t="s">
        <v>18117</v>
      </c>
      <c r="D6093" t="str">
        <f>HYPERLINK("https://github.com/Anuken/Mindustry/issues/4306","show")</f>
        <v>show</v>
      </c>
      <c r="E6093" t="str">
        <f>HYPERLINK("https://github.com/Anuken/Mindustry","show")</f>
        <v>show</v>
      </c>
      <c r="F6093" t="str">
        <f>HYPERLINK("https://github.com/Anuken/Mindustry/releases","show")</f>
        <v>show</v>
      </c>
    </row>
    <row r="6094" spans="1:6">
      <c r="A6094" t="s">
        <v>18118</v>
      </c>
      <c r="B6094" t="s">
        <v>18119</v>
      </c>
      <c r="C6094" t="s">
        <v>18120</v>
      </c>
      <c r="D6094" t="str">
        <f>HYPERLINK("https://github.com/TeamNewPipe/NewPipe/issues/5387","show")</f>
        <v>show</v>
      </c>
      <c r="E6094" t="str">
        <f>HYPERLINK("https://github.com/TeamNewPipe/NewPipe","show")</f>
        <v>show</v>
      </c>
      <c r="F6094" t="str">
        <f>HYPERLINK("https://github.com/TeamNewPipe/NewPipe/releases","show")</f>
        <v>show</v>
      </c>
    </row>
    <row r="6095" spans="1:6">
      <c r="A6095" t="s">
        <v>18121</v>
      </c>
      <c r="B6095" t="s">
        <v>18122</v>
      </c>
      <c r="C6095" t="s">
        <v>18123</v>
      </c>
      <c r="D6095" t="str">
        <f>HYPERLINK("https://github.com/lizator/DragernesDal/issues/23","show")</f>
        <v>show</v>
      </c>
      <c r="E6095" t="str">
        <f>HYPERLINK("https://github.com/lizator/DragernesDal","show")</f>
        <v>show</v>
      </c>
      <c r="F6095" t="str">
        <f>HYPERLINK("https://github.com/lizator/DragernesDal/releases","show")</f>
        <v>show</v>
      </c>
    </row>
    <row r="6096" spans="1:6">
      <c r="A6096" t="s">
        <v>18124</v>
      </c>
      <c r="B6096" t="s">
        <v>18125</v>
      </c>
      <c r="C6096" t="s">
        <v>18126</v>
      </c>
      <c r="D6096" t="str">
        <f>HYPERLINK("https://github.com/TeamNewPipe/NewPipe/issues/5382","show")</f>
        <v>show</v>
      </c>
      <c r="E6096" t="str">
        <f>HYPERLINK("https://github.com/TeamNewPipe/NewPipe","show")</f>
        <v>show</v>
      </c>
      <c r="F6096" t="str">
        <f>HYPERLINK("https://github.com/TeamNewPipe/NewPipe/releases","show")</f>
        <v>show</v>
      </c>
    </row>
    <row r="6097" spans="1:6">
      <c r="A6097" t="s">
        <v>18127</v>
      </c>
      <c r="B6097" t="s">
        <v>18128</v>
      </c>
      <c r="C6097" t="s">
        <v>18129</v>
      </c>
      <c r="D6097" t="str">
        <f>HYPERLINK("https://github.com/nextcloud/android/issues/7802","show")</f>
        <v>show</v>
      </c>
      <c r="E6097" t="str">
        <f>HYPERLINK("https://github.com/nextcloud/android","show")</f>
        <v>show</v>
      </c>
      <c r="F6097" t="str">
        <f>HYPERLINK("https://github.com/nextcloud/android/releases","show")</f>
        <v>show</v>
      </c>
    </row>
    <row r="6098" spans="1:6">
      <c r="A6098" t="s">
        <v>18130</v>
      </c>
      <c r="B6098" t="s">
        <v>18131</v>
      </c>
      <c r="C6098" t="s">
        <v>18132</v>
      </c>
      <c r="D6098" t="str">
        <f>HYPERLINK("https://github.com/ElderDrivers/EdXposed/issues/798","show")</f>
        <v>show</v>
      </c>
      <c r="E6098" t="str">
        <f>HYPERLINK("https://github.com/ElderDrivers/EdXposed","show")</f>
        <v>show</v>
      </c>
      <c r="F6098" t="str">
        <f>HYPERLINK("https://github.com/ElderDrivers/EdXposed/releases","show")</f>
        <v>show</v>
      </c>
    </row>
    <row r="6099" spans="1:6">
      <c r="A6099" t="s">
        <v>18133</v>
      </c>
      <c r="B6099" t="s">
        <v>8633</v>
      </c>
      <c r="C6099" t="s">
        <v>18134</v>
      </c>
      <c r="D6099" t="str">
        <f>HYPERLINK("https://github.com/Anuken/Mindustry/issues/4296","show")</f>
        <v>show</v>
      </c>
      <c r="E6099" t="str">
        <f>HYPERLINK("https://github.com/Anuken/Mindustry","show")</f>
        <v>show</v>
      </c>
      <c r="F6099" t="str">
        <f>HYPERLINK("https://github.com/Anuken/Mindustry/releases","show")</f>
        <v>show</v>
      </c>
    </row>
    <row r="6100" spans="1:6">
      <c r="A6100" t="s">
        <v>18135</v>
      </c>
      <c r="B6100" t="s">
        <v>18136</v>
      </c>
      <c r="C6100" t="s">
        <v>18137</v>
      </c>
      <c r="D6100" t="str">
        <f>HYPERLINK("https://github.com/Anuken/Mindustry/issues/4293","show")</f>
        <v>show</v>
      </c>
      <c r="E6100" t="str">
        <f>HYPERLINK("https://github.com/Anuken/Mindustry","show")</f>
        <v>show</v>
      </c>
      <c r="F6100" t="str">
        <f>HYPERLINK("https://github.com/Anuken/Mindustry/releases","show")</f>
        <v>show</v>
      </c>
    </row>
    <row r="6101" spans="1:6">
      <c r="A6101" t="s">
        <v>18138</v>
      </c>
      <c r="B6101" t="s">
        <v>18139</v>
      </c>
      <c r="C6101" t="s">
        <v>18140</v>
      </c>
      <c r="D6101" t="str">
        <f>HYPERLINK("https://github.com/PojavLauncherTeam/PojavLauncher/issues/583","show")</f>
        <v>show</v>
      </c>
      <c r="E6101" t="str">
        <f>HYPERLINK("https://github.com/PojavLauncherTeam/PojavLauncher","show")</f>
        <v>show</v>
      </c>
      <c r="F6101" t="str">
        <f>HYPERLINK("https://github.com/PojavLauncherTeam/PojavLauncher/releases","show")</f>
        <v>show</v>
      </c>
    </row>
    <row r="6102" spans="1:6">
      <c r="A6102" t="s">
        <v>18141</v>
      </c>
      <c r="B6102" t="s">
        <v>18142</v>
      </c>
      <c r="C6102" t="s">
        <v>18143</v>
      </c>
      <c r="D6102" t="str">
        <f>HYPERLINK("https://github.com/Anuken/Mindustry/issues/4291","show")</f>
        <v>show</v>
      </c>
      <c r="E6102" t="str">
        <f>HYPERLINK("https://github.com/Anuken/Mindustry","show")</f>
        <v>show</v>
      </c>
      <c r="F6102" t="str">
        <f>HYPERLINK("https://github.com/Anuken/Mindustry/releases","show")</f>
        <v>show</v>
      </c>
    </row>
    <row r="6103" spans="1:6">
      <c r="A6103" t="s">
        <v>18144</v>
      </c>
      <c r="B6103" t="s">
        <v>18145</v>
      </c>
      <c r="C6103" t="s">
        <v>18146</v>
      </c>
      <c r="D6103" t="str">
        <f>HYPERLINK("https://github.com/nextcloud/android/issues/7796","show")</f>
        <v>show</v>
      </c>
      <c r="E6103" t="str">
        <f>HYPERLINK("https://github.com/nextcloud/android","show")</f>
        <v>show</v>
      </c>
      <c r="F6103" t="str">
        <f>HYPERLINK("https://github.com/nextcloud/android/releases","show")</f>
        <v>show</v>
      </c>
    </row>
    <row r="6104" spans="1:6">
      <c r="A6104" t="s">
        <v>18147</v>
      </c>
      <c r="B6104" t="s">
        <v>18148</v>
      </c>
      <c r="C6104" t="s">
        <v>18149</v>
      </c>
      <c r="D6104" t="str">
        <f>HYPERLINK("https://github.com/ultrasonic/ultrasonic/issues/371","show")</f>
        <v>show</v>
      </c>
      <c r="E6104" t="str">
        <f>HYPERLINK("https://github.com/ultrasonic/ultrasonic","show")</f>
        <v>show</v>
      </c>
      <c r="F6104" t="str">
        <f>HYPERLINK("https://github.com/ultrasonic/ultrasonic/releases","show")</f>
        <v>show</v>
      </c>
    </row>
    <row r="6105" spans="1:6">
      <c r="A6105" t="s">
        <v>18150</v>
      </c>
      <c r="B6105" t="s">
        <v>18151</v>
      </c>
      <c r="C6105" t="s">
        <v>18152</v>
      </c>
      <c r="D6105" t="str">
        <f>HYPERLINK("https://github.com/PojavLauncherTeam/PojavLauncher/issues/580","show")</f>
        <v>show</v>
      </c>
      <c r="E6105" t="str">
        <f>HYPERLINK("https://github.com/PojavLauncherTeam/PojavLauncher","show")</f>
        <v>show</v>
      </c>
      <c r="F6105" t="str">
        <f>HYPERLINK("https://github.com/PojavLauncherTeam/PojavLauncher/releases","show")</f>
        <v>show</v>
      </c>
    </row>
    <row r="6106" spans="1:6">
      <c r="A6106" t="s">
        <v>18153</v>
      </c>
      <c r="B6106" t="s">
        <v>18154</v>
      </c>
      <c r="C6106" t="s">
        <v>18155</v>
      </c>
      <c r="D6106" t="str">
        <f>HYPERLINK("https://github.com/nextcloud/android/issues/7793","show")</f>
        <v>show</v>
      </c>
      <c r="E6106" t="str">
        <f>HYPERLINK("https://github.com/nextcloud/android","show")</f>
        <v>show</v>
      </c>
      <c r="F6106" t="str">
        <f>HYPERLINK("https://github.com/nextcloud/android/releases","show")</f>
        <v>show</v>
      </c>
    </row>
    <row r="6107" spans="1:6">
      <c r="A6107" t="s">
        <v>18156</v>
      </c>
      <c r="B6107" t="s">
        <v>18157</v>
      </c>
      <c r="C6107" t="s">
        <v>18158</v>
      </c>
      <c r="D6107" t="str">
        <f>HYPERLINK("https://github.com/deepjavalibrary/djl/issues/494","show")</f>
        <v>show</v>
      </c>
      <c r="E6107" t="str">
        <f>HYPERLINK("https://github.com/deepjavalibrary/djl","show")</f>
        <v>show</v>
      </c>
      <c r="F6107" t="str">
        <f>HYPERLINK("https://github.com/deepjavalibrary/djl/releases","show")</f>
        <v>show</v>
      </c>
    </row>
    <row r="6108" spans="1:6">
      <c r="A6108" t="s">
        <v>18159</v>
      </c>
      <c r="B6108" t="s">
        <v>18160</v>
      </c>
      <c r="C6108" t="s">
        <v>18161</v>
      </c>
      <c r="D6108" t="str">
        <f>HYPERLINK("https://github.com/nextcloud/android/issues/7790","show")</f>
        <v>show</v>
      </c>
      <c r="E6108" t="str">
        <f>HYPERLINK("https://github.com/nextcloud/android","show")</f>
        <v>show</v>
      </c>
      <c r="F6108" t="str">
        <f>HYPERLINK("https://github.com/nextcloud/android/releases","show")</f>
        <v>show</v>
      </c>
    </row>
    <row r="6109" spans="1:6">
      <c r="A6109" t="s">
        <v>18162</v>
      </c>
      <c r="B6109" t="s">
        <v>18163</v>
      </c>
      <c r="C6109" t="s">
        <v>18164</v>
      </c>
      <c r="D6109" t="str">
        <f>HYPERLINK("https://github.com/TeamNewPipe/NewPipe/issues/5363","show")</f>
        <v>show</v>
      </c>
      <c r="E6109" t="str">
        <f>HYPERLINK("https://github.com/TeamNewPipe/NewPipe","show")</f>
        <v>show</v>
      </c>
      <c r="F6109" t="str">
        <f>HYPERLINK("https://github.com/TeamNewPipe/NewPipe/releases","show")</f>
        <v>show</v>
      </c>
    </row>
    <row r="6110" spans="1:6">
      <c r="A6110" t="s">
        <v>18165</v>
      </c>
      <c r="B6110" t="s">
        <v>18166</v>
      </c>
      <c r="C6110" t="s">
        <v>18167</v>
      </c>
      <c r="D6110" t="str">
        <f>HYPERLINK("https://github.com/onaio/rdt-standard/issues/671","show")</f>
        <v>show</v>
      </c>
      <c r="E6110" t="str">
        <f>HYPERLINK("https://github.com/onaio/rdt-standard","show")</f>
        <v>show</v>
      </c>
      <c r="F6110" t="str">
        <f>HYPERLINK("https://github.com/onaio/rdt-standard/releases","show")</f>
        <v>show</v>
      </c>
    </row>
    <row r="6111" spans="1:6">
      <c r="A6111" t="s">
        <v>18168</v>
      </c>
      <c r="B6111" t="s">
        <v>18169</v>
      </c>
      <c r="C6111" t="s">
        <v>18170</v>
      </c>
      <c r="D6111" t="str">
        <f>HYPERLINK("https://github.com/openboard-team/openboard/issues/260","show")</f>
        <v>show</v>
      </c>
      <c r="E6111" t="str">
        <f>HYPERLINK("https://github.com/openboard-team/openboard","show")</f>
        <v>show</v>
      </c>
      <c r="F6111" t="str">
        <f>HYPERLINK("https://github.com/openboard-team/openboard/releases","show")</f>
        <v>show</v>
      </c>
    </row>
    <row r="6112" spans="1:6">
      <c r="A6112" t="s">
        <v>18171</v>
      </c>
      <c r="B6112" t="s">
        <v>18172</v>
      </c>
      <c r="C6112" t="s">
        <v>18173</v>
      </c>
      <c r="D6112" t="str">
        <f>HYPERLINK("https://github.com/MuntashirAkon/AppManager/issues/214","show")</f>
        <v>show</v>
      </c>
      <c r="E6112" t="str">
        <f>HYPERLINK("https://github.com/MuntashirAkon/AppManager","show")</f>
        <v>show</v>
      </c>
      <c r="F6112" t="str">
        <f>HYPERLINK("https://github.com/MuntashirAkon/AppManager/releases","show")</f>
        <v>show</v>
      </c>
    </row>
    <row r="6113" spans="1:6">
      <c r="A6113" t="s">
        <v>18174</v>
      </c>
      <c r="B6113" t="s">
        <v>18175</v>
      </c>
      <c r="C6113" t="s">
        <v>18176</v>
      </c>
      <c r="D6113" t="str">
        <f>HYPERLINK("https://github.com/Anuken/Mindustry/issues/4276","show")</f>
        <v>show</v>
      </c>
      <c r="E6113" t="str">
        <f>HYPERLINK("https://github.com/Anuken/Mindustry","show")</f>
        <v>show</v>
      </c>
      <c r="F6113" t="str">
        <f>HYPERLINK("https://github.com/Anuken/Mindustry/releases","show")</f>
        <v>show</v>
      </c>
    </row>
    <row r="6114" spans="1:6">
      <c r="A6114" t="s">
        <v>18177</v>
      </c>
      <c r="B6114" t="s">
        <v>18178</v>
      </c>
      <c r="C6114" t="s">
        <v>18179</v>
      </c>
      <c r="D6114" t="str">
        <f>HYPERLINK("https://github.com/Anuken/Mindustry/issues/4274","show")</f>
        <v>show</v>
      </c>
      <c r="E6114" t="str">
        <f>HYPERLINK("https://github.com/Anuken/Mindustry","show")</f>
        <v>show</v>
      </c>
      <c r="F6114" t="str">
        <f>HYPERLINK("https://github.com/Anuken/Mindustry/releases","show")</f>
        <v>show</v>
      </c>
    </row>
    <row r="6115" spans="1:6">
      <c r="A6115" t="s">
        <v>18180</v>
      </c>
      <c r="B6115" t="s">
        <v>18181</v>
      </c>
      <c r="C6115" t="s">
        <v>10095</v>
      </c>
      <c r="D6115" t="str">
        <f>HYPERLINK("https://github.com/TeamNewPipe/NewPipe/issues/5357","show")</f>
        <v>show</v>
      </c>
      <c r="E6115" t="str">
        <f>HYPERLINK("https://github.com/TeamNewPipe/NewPipe","show")</f>
        <v>show</v>
      </c>
      <c r="F6115" t="str">
        <f>HYPERLINK("https://github.com/TeamNewPipe/NewPipe/releases","show")</f>
        <v>show</v>
      </c>
    </row>
    <row r="6116" spans="1:6">
      <c r="A6116" t="s">
        <v>18182</v>
      </c>
      <c r="B6116" t="s">
        <v>14792</v>
      </c>
      <c r="C6116" t="s">
        <v>18183</v>
      </c>
      <c r="D6116" t="str">
        <f>HYPERLINK("https://github.com/doublesymmetry/react-native-track-player/issues/1096","show")</f>
        <v>show</v>
      </c>
      <c r="E6116" t="str">
        <f>HYPERLINK("https://github.com/doublesymmetry/react-native-track-player","show")</f>
        <v>show</v>
      </c>
      <c r="F6116" t="str">
        <f>HYPERLINK("https://github.com/doublesymmetry/react-native-track-player/releases","show")</f>
        <v>show</v>
      </c>
    </row>
    <row r="6117" spans="1:6">
      <c r="A6117" t="s">
        <v>18184</v>
      </c>
      <c r="B6117" t="s">
        <v>18185</v>
      </c>
      <c r="C6117" t="s">
        <v>18186</v>
      </c>
      <c r="D6117" t="str">
        <f>HYPERLINK("https://github.com/plazzy99/Heal-O-Chat/issues/95","show")</f>
        <v>show</v>
      </c>
      <c r="E6117" t="str">
        <f>HYPERLINK("https://github.com/plazzy99/Heal-O-Chat","show")</f>
        <v>show</v>
      </c>
      <c r="F6117" t="str">
        <f>HYPERLINK("https://github.com/plazzy99/Heal-O-Chat/releases","show")</f>
        <v>show</v>
      </c>
    </row>
    <row r="6118" spans="1:6">
      <c r="A6118" t="s">
        <v>18187</v>
      </c>
      <c r="B6118" t="s">
        <v>18188</v>
      </c>
      <c r="C6118" t="s">
        <v>18189</v>
      </c>
      <c r="D6118" t="str">
        <f>HYPERLINK("https://github.com/Anuken/Mindustry/issues/4270","show")</f>
        <v>show</v>
      </c>
      <c r="E6118" t="str">
        <f>HYPERLINK("https://github.com/Anuken/Mindustry","show")</f>
        <v>show</v>
      </c>
      <c r="F6118" t="str">
        <f>HYPERLINK("https://github.com/Anuken/Mindustry/releases","show")</f>
        <v>show</v>
      </c>
    </row>
    <row r="6119" spans="1:6">
      <c r="A6119" t="s">
        <v>18190</v>
      </c>
      <c r="B6119" t="s">
        <v>18191</v>
      </c>
      <c r="C6119" t="s">
        <v>18192</v>
      </c>
      <c r="D6119" t="str">
        <f>HYPERLINK("https://github.com/microsoft/appcenter-sdk-android/issues/1497","show")</f>
        <v>show</v>
      </c>
      <c r="E6119" t="str">
        <f>HYPERLINK("https://github.com/microsoft/appcenter-sdk-android","show")</f>
        <v>show</v>
      </c>
      <c r="F6119" t="str">
        <f>HYPERLINK("https://github.com/microsoft/appcenter-sdk-android/releases","show")</f>
        <v>show</v>
      </c>
    </row>
    <row r="6120" spans="1:6">
      <c r="A6120" t="s">
        <v>18193</v>
      </c>
      <c r="B6120" t="s">
        <v>18194</v>
      </c>
      <c r="C6120" t="s">
        <v>18195</v>
      </c>
      <c r="D6120" t="str">
        <f>HYPERLINK("https://github.com/Anuken/Mindustry/issues/4267","show")</f>
        <v>show</v>
      </c>
      <c r="E6120" t="str">
        <f>HYPERLINK("https://github.com/Anuken/Mindustry","show")</f>
        <v>show</v>
      </c>
      <c r="F6120" t="str">
        <f>HYPERLINK("https://github.com/Anuken/Mindustry/releases","show")</f>
        <v>show</v>
      </c>
    </row>
    <row r="6121" spans="1:6">
      <c r="A6121" t="s">
        <v>18196</v>
      </c>
      <c r="B6121" t="s">
        <v>18197</v>
      </c>
      <c r="C6121" t="s">
        <v>18198</v>
      </c>
      <c r="D6121" t="str">
        <f>HYPERLINK("https://github.com/AOF-Dev/MCinaBox/issues/797","show")</f>
        <v>show</v>
      </c>
      <c r="E6121" t="str">
        <f>HYPERLINK("https://github.com/AOF-Dev/MCinaBox","show")</f>
        <v>show</v>
      </c>
      <c r="F6121" t="str">
        <f>HYPERLINK("https://github.com/AOF-Dev/MCinaBox/releases","show")</f>
        <v>show</v>
      </c>
    </row>
    <row r="6122" spans="1:6">
      <c r="A6122" t="s">
        <v>18199</v>
      </c>
      <c r="B6122" t="s">
        <v>18200</v>
      </c>
      <c r="C6122" t="s">
        <v>18201</v>
      </c>
      <c r="D6122" t="str">
        <f>HYPERLINK("https://github.com/Anuken/Mindustry/issues/4266","show")</f>
        <v>show</v>
      </c>
      <c r="E6122" t="str">
        <f>HYPERLINK("https://github.com/Anuken/Mindustry","show")</f>
        <v>show</v>
      </c>
      <c r="F6122" t="str">
        <f>HYPERLINK("https://github.com/Anuken/Mindustry/releases","show")</f>
        <v>show</v>
      </c>
    </row>
    <row r="6123" spans="1:6">
      <c r="A6123" t="s">
        <v>18202</v>
      </c>
      <c r="B6123" t="s">
        <v>18203</v>
      </c>
      <c r="C6123" t="s">
        <v>18204</v>
      </c>
      <c r="D6123" t="str">
        <f>HYPERLINK("https://github.com/nextcloud/android/issues/7782","show")</f>
        <v>show</v>
      </c>
      <c r="E6123" t="str">
        <f>HYPERLINK("https://github.com/nextcloud/android","show")</f>
        <v>show</v>
      </c>
      <c r="F6123" t="str">
        <f>HYPERLINK("https://github.com/nextcloud/android/releases","show")</f>
        <v>show</v>
      </c>
    </row>
    <row r="6124" spans="1:6">
      <c r="A6124" t="s">
        <v>18205</v>
      </c>
      <c r="B6124" t="s">
        <v>18206</v>
      </c>
      <c r="C6124" t="s">
        <v>18207</v>
      </c>
      <c r="D6124" t="str">
        <f>HYPERLINK("https://github.com/TeamNewPipe/NewPipe/issues/5354","show")</f>
        <v>show</v>
      </c>
      <c r="E6124" t="str">
        <f>HYPERLINK("https://github.com/TeamNewPipe/NewPipe","show")</f>
        <v>show</v>
      </c>
      <c r="F6124" t="str">
        <f>HYPERLINK("https://github.com/TeamNewPipe/NewPipe/releases","show")</f>
        <v>show</v>
      </c>
    </row>
    <row r="6125" spans="1:6">
      <c r="A6125" t="s">
        <v>18208</v>
      </c>
      <c r="B6125" t="s">
        <v>18209</v>
      </c>
      <c r="C6125" t="s">
        <v>18210</v>
      </c>
      <c r="D6125" t="str">
        <f>HYPERLINK("https://github.com/microg/GmsCore/issues/1353","show")</f>
        <v>show</v>
      </c>
      <c r="E6125" t="str">
        <f>HYPERLINK("https://github.com/microg/GmsCore","show")</f>
        <v>show</v>
      </c>
      <c r="F6125" t="str">
        <f>HYPERLINK("https://github.com/microg/GmsCore/releases","show")</f>
        <v>show</v>
      </c>
    </row>
    <row r="6126" spans="1:6">
      <c r="A6126" t="s">
        <v>18211</v>
      </c>
      <c r="B6126" t="s">
        <v>18212</v>
      </c>
      <c r="C6126" t="s">
        <v>18213</v>
      </c>
      <c r="D6126" t="str">
        <f>HYPERLINK("https://github.com/TeamNewPipe/NewPipe/issues/5351","show")</f>
        <v>show</v>
      </c>
      <c r="E6126" t="str">
        <f>HYPERLINK("https://github.com/TeamNewPipe/NewPipe","show")</f>
        <v>show</v>
      </c>
      <c r="F6126" t="str">
        <f>HYPERLINK("https://github.com/TeamNewPipe/NewPipe/releases","show")</f>
        <v>show</v>
      </c>
    </row>
    <row r="6127" spans="1:6">
      <c r="A6127" t="s">
        <v>18214</v>
      </c>
      <c r="B6127" t="s">
        <v>18215</v>
      </c>
      <c r="C6127" t="s">
        <v>18216</v>
      </c>
      <c r="D6127" t="str">
        <f>HYPERLINK("https://github.com/aws-amplify/aws-sdk-android/issues/2319","show")</f>
        <v>show</v>
      </c>
      <c r="E6127" t="str">
        <f>HYPERLINK("https://github.com/aws-amplify/aws-sdk-android","show")</f>
        <v>show</v>
      </c>
      <c r="F6127" t="str">
        <f>HYPERLINK("https://github.com/aws-amplify/aws-sdk-android/releases","show")</f>
        <v>show</v>
      </c>
    </row>
    <row r="6128" spans="1:6">
      <c r="A6128" t="s">
        <v>18217</v>
      </c>
      <c r="B6128" t="s">
        <v>18218</v>
      </c>
      <c r="C6128" t="s">
        <v>18219</v>
      </c>
      <c r="D6128" t="str">
        <f>HYPERLINK("https://github.com/MuntashirAkon/AppManager/issues/211","show")</f>
        <v>show</v>
      </c>
      <c r="E6128" t="str">
        <f>HYPERLINK("https://github.com/MuntashirAkon/AppManager","show")</f>
        <v>show</v>
      </c>
      <c r="F6128" t="str">
        <f>HYPERLINK("https://github.com/MuntashirAkon/AppManager/releases","show")</f>
        <v>show</v>
      </c>
    </row>
    <row r="6129" spans="1:6">
      <c r="A6129" t="s">
        <v>18220</v>
      </c>
      <c r="B6129" t="s">
        <v>18221</v>
      </c>
      <c r="C6129" t="s">
        <v>18222</v>
      </c>
      <c r="D6129" t="str">
        <f>HYPERLINK("https://github.com/mtotschnig/MyExpenses/issues/721","show")</f>
        <v>show</v>
      </c>
      <c r="E6129" t="str">
        <f>HYPERLINK("https://github.com/mtotschnig/MyExpenses","show")</f>
        <v>show</v>
      </c>
      <c r="F6129" t="str">
        <f>HYPERLINK("https://github.com/mtotschnig/MyExpenses/releases","show")</f>
        <v>show</v>
      </c>
    </row>
    <row r="6130" spans="1:6">
      <c r="A6130" t="s">
        <v>18223</v>
      </c>
      <c r="B6130" t="s">
        <v>18224</v>
      </c>
      <c r="C6130" t="s">
        <v>18225</v>
      </c>
      <c r="D6130" t="str">
        <f>HYPERLINK("https://github.com/AOF-Dev/MCinaBox/issues/785","show")</f>
        <v>show</v>
      </c>
      <c r="E6130" t="str">
        <f>HYPERLINK("https://github.com/AOF-Dev/MCinaBox","show")</f>
        <v>show</v>
      </c>
      <c r="F6130" t="str">
        <f>HYPERLINK("https://github.com/AOF-Dev/MCinaBox/releases","show")</f>
        <v>show</v>
      </c>
    </row>
    <row r="6131" spans="1:6">
      <c r="A6131" t="s">
        <v>18226</v>
      </c>
      <c r="B6131" t="s">
        <v>18227</v>
      </c>
      <c r="C6131" t="s">
        <v>18228</v>
      </c>
      <c r="D6131" t="str">
        <f>HYPERLINK("https://github.com/TeamNewPipe/NewPipe/issues/5342","show")</f>
        <v>show</v>
      </c>
      <c r="E6131" t="str">
        <f>HYPERLINK("https://github.com/TeamNewPipe/NewPipe","show")</f>
        <v>show</v>
      </c>
      <c r="F6131" t="str">
        <f>HYPERLINK("https://github.com/TeamNewPipe/NewPipe/releases","show")</f>
        <v>show</v>
      </c>
    </row>
    <row r="6132" spans="1:6">
      <c r="A6132" t="s">
        <v>18229</v>
      </c>
      <c r="B6132" t="s">
        <v>18230</v>
      </c>
      <c r="C6132" t="s">
        <v>18231</v>
      </c>
      <c r="D6132" t="str">
        <f>HYPERLINK("https://github.com/TeamNewPipe/NewPipe/issues/5341","show")</f>
        <v>show</v>
      </c>
      <c r="E6132" t="str">
        <f>HYPERLINK("https://github.com/TeamNewPipe/NewPipe","show")</f>
        <v>show</v>
      </c>
      <c r="F6132" t="str">
        <f>HYPERLINK("https://github.com/TeamNewPipe/NewPipe/releases","show")</f>
        <v>show</v>
      </c>
    </row>
    <row r="6133" spans="1:6">
      <c r="A6133" t="s">
        <v>18232</v>
      </c>
      <c r="B6133" t="s">
        <v>18233</v>
      </c>
      <c r="C6133" t="s">
        <v>18234</v>
      </c>
      <c r="D6133" t="str">
        <f>HYPERLINK("https://github.com/nextcloud/android/issues/7773","show")</f>
        <v>show</v>
      </c>
      <c r="E6133" t="str">
        <f>HYPERLINK("https://github.com/nextcloud/android","show")</f>
        <v>show</v>
      </c>
      <c r="F6133" t="str">
        <f>HYPERLINK("https://github.com/nextcloud/android/releases","show")</f>
        <v>show</v>
      </c>
    </row>
    <row r="6134" spans="1:6">
      <c r="A6134" t="s">
        <v>18235</v>
      </c>
      <c r="B6134" t="s">
        <v>18236</v>
      </c>
      <c r="C6134" t="s">
        <v>18237</v>
      </c>
      <c r="D6134" t="str">
        <f>HYPERLINK("https://github.com/nwrkbiz/android-xserver/issues/22","show")</f>
        <v>show</v>
      </c>
      <c r="E6134" t="str">
        <f>HYPERLINK("https://github.com/nwrkbiz/android-xserver","show")</f>
        <v>show</v>
      </c>
      <c r="F6134" t="str">
        <f>HYPERLINK("https://github.com/nwrkbiz/android-xserver/releases","show")</f>
        <v>show</v>
      </c>
    </row>
    <row r="6135" spans="1:6">
      <c r="A6135" t="s">
        <v>18238</v>
      </c>
      <c r="B6135" t="s">
        <v>18239</v>
      </c>
      <c r="C6135" t="s">
        <v>18240</v>
      </c>
      <c r="D6135" t="str">
        <f>HYPERLINK("https://github.com/Anuken/Mindustry/issues/4237","show")</f>
        <v>show</v>
      </c>
      <c r="E6135" t="str">
        <f>HYPERLINK("https://github.com/Anuken/Mindustry","show")</f>
        <v>show</v>
      </c>
      <c r="F6135" t="str">
        <f>HYPERLINK("https://github.com/Anuken/Mindustry/releases","show")</f>
        <v>show</v>
      </c>
    </row>
    <row r="6136" spans="1:6">
      <c r="A6136" t="s">
        <v>18241</v>
      </c>
      <c r="B6136" t="s">
        <v>18242</v>
      </c>
      <c r="C6136" t="s">
        <v>18243</v>
      </c>
      <c r="D6136" t="str">
        <f>HYPERLINK("https://github.com/lexica/lexica/issues/221","show")</f>
        <v>show</v>
      </c>
      <c r="E6136" t="str">
        <f>HYPERLINK("https://github.com/lexica/lexica","show")</f>
        <v>show</v>
      </c>
      <c r="F6136" t="str">
        <f>HYPERLINK("https://github.com/lexica/lexica/releases","show")</f>
        <v>show</v>
      </c>
    </row>
    <row r="6137" spans="1:6">
      <c r="A6137" t="s">
        <v>18244</v>
      </c>
      <c r="B6137" t="s">
        <v>18245</v>
      </c>
      <c r="C6137" t="s">
        <v>18246</v>
      </c>
      <c r="D6137" t="str">
        <f>HYPERLINK("https://github.com/MuntashirAkon/AppManager/issues/210","show")</f>
        <v>show</v>
      </c>
      <c r="E6137" t="str">
        <f>HYPERLINK("https://github.com/MuntashirAkon/AppManager","show")</f>
        <v>show</v>
      </c>
      <c r="F6137" t="str">
        <f>HYPERLINK("https://github.com/MuntashirAkon/AppManager/releases","show")</f>
        <v>show</v>
      </c>
    </row>
    <row r="6138" spans="1:6">
      <c r="A6138" t="s">
        <v>18247</v>
      </c>
      <c r="B6138" t="s">
        <v>18248</v>
      </c>
      <c r="C6138" t="s">
        <v>18249</v>
      </c>
      <c r="D6138" t="str">
        <f>HYPERLINK("https://github.com/Anuken/Mindustry/issues/4229","show")</f>
        <v>show</v>
      </c>
      <c r="E6138" t="str">
        <f>HYPERLINK("https://github.com/Anuken/Mindustry","show")</f>
        <v>show</v>
      </c>
      <c r="F6138" t="str">
        <f>HYPERLINK("https://github.com/Anuken/Mindustry/releases","show")</f>
        <v>show</v>
      </c>
    </row>
    <row r="6139" spans="1:6">
      <c r="A6139" t="s">
        <v>18250</v>
      </c>
      <c r="B6139" t="s">
        <v>18251</v>
      </c>
      <c r="C6139" t="s">
        <v>18252</v>
      </c>
      <c r="D6139" t="str">
        <f>HYPERLINK("https://github.com/TeamNewPipe/NewPipe/issues/5332","show")</f>
        <v>show</v>
      </c>
      <c r="E6139" t="str">
        <f>HYPERLINK("https://github.com/TeamNewPipe/NewPipe","show")</f>
        <v>show</v>
      </c>
      <c r="F6139" t="str">
        <f>HYPERLINK("https://github.com/TeamNewPipe/NewPipe/releases","show")</f>
        <v>show</v>
      </c>
    </row>
    <row r="6140" spans="1:6">
      <c r="A6140" t="s">
        <v>18253</v>
      </c>
      <c r="B6140" t="s">
        <v>18254</v>
      </c>
      <c r="C6140" t="s">
        <v>18234</v>
      </c>
      <c r="D6140" t="str">
        <f>HYPERLINK("https://github.com/nextcloud/android/issues/7769","show")</f>
        <v>show</v>
      </c>
      <c r="E6140" t="str">
        <f>HYPERLINK("https://github.com/nextcloud/android","show")</f>
        <v>show</v>
      </c>
      <c r="F6140" t="str">
        <f>HYPERLINK("https://github.com/nextcloud/android/releases","show")</f>
        <v>show</v>
      </c>
    </row>
    <row r="6141" spans="1:6">
      <c r="A6141" t="s">
        <v>18255</v>
      </c>
      <c r="B6141" t="s">
        <v>18256</v>
      </c>
      <c r="C6141" t="s">
        <v>18257</v>
      </c>
      <c r="D6141" t="str">
        <f>HYPERLINK("https://github.com/Anuken/Mindustry/issues/4217","show")</f>
        <v>show</v>
      </c>
      <c r="E6141" t="str">
        <f>HYPERLINK("https://github.com/Anuken/Mindustry","show")</f>
        <v>show</v>
      </c>
      <c r="F6141" t="str">
        <f>HYPERLINK("https://github.com/Anuken/Mindustry/releases","show")</f>
        <v>show</v>
      </c>
    </row>
    <row r="6142" spans="1:6">
      <c r="A6142" t="s">
        <v>18258</v>
      </c>
      <c r="B6142" t="s">
        <v>18259</v>
      </c>
      <c r="C6142" t="s">
        <v>18260</v>
      </c>
      <c r="D6142" t="str">
        <f>HYPERLINK("https://github.com/Anuken/Mindustry/issues/4214","show")</f>
        <v>show</v>
      </c>
      <c r="E6142" t="str">
        <f>HYPERLINK("https://github.com/Anuken/Mindustry","show")</f>
        <v>show</v>
      </c>
      <c r="F6142" t="str">
        <f>HYPERLINK("https://github.com/Anuken/Mindustry/releases","show")</f>
        <v>show</v>
      </c>
    </row>
    <row r="6143" spans="1:6">
      <c r="A6143" t="s">
        <v>18261</v>
      </c>
      <c r="B6143" t="s">
        <v>18262</v>
      </c>
      <c r="C6143" t="s">
        <v>18263</v>
      </c>
      <c r="D6143" t="str">
        <f>HYPERLINK("https://github.com/google/ExoPlayer/issues/8420","show")</f>
        <v>show</v>
      </c>
      <c r="E6143" t="str">
        <f>HYPERLINK("https://github.com/google/ExoPlayer","show")</f>
        <v>show</v>
      </c>
      <c r="F6143" t="str">
        <f>HYPERLINK("https://github.com/google/ExoPlayer/releases","show")</f>
        <v>show</v>
      </c>
    </row>
    <row r="6144" spans="1:6">
      <c r="A6144" t="s">
        <v>18264</v>
      </c>
      <c r="B6144" t="s">
        <v>18265</v>
      </c>
      <c r="C6144" t="s">
        <v>18266</v>
      </c>
      <c r="D6144" t="str">
        <f>HYPERLINK("https://github.com/ElderDrivers/EdXposed/issues/783","show")</f>
        <v>show</v>
      </c>
      <c r="E6144" t="str">
        <f>HYPERLINK("https://github.com/ElderDrivers/EdXposed","show")</f>
        <v>show</v>
      </c>
      <c r="F6144" t="str">
        <f>HYPERLINK("https://github.com/ElderDrivers/EdXposed/releases","show")</f>
        <v>show</v>
      </c>
    </row>
    <row r="6145" spans="1:6">
      <c r="A6145" t="s">
        <v>18267</v>
      </c>
      <c r="B6145" t="s">
        <v>18268</v>
      </c>
      <c r="C6145" t="s">
        <v>18269</v>
      </c>
      <c r="D6145" t="str">
        <f>HYPERLINK("https://github.com/TeamNewPipe/NewPipe/issues/5328","show")</f>
        <v>show</v>
      </c>
      <c r="E6145" t="str">
        <f>HYPERLINK("https://github.com/TeamNewPipe/NewPipe","show")</f>
        <v>show</v>
      </c>
      <c r="F6145" t="str">
        <f>HYPERLINK("https://github.com/TeamNewPipe/NewPipe/releases","show")</f>
        <v>show</v>
      </c>
    </row>
    <row r="6146" spans="1:6">
      <c r="A6146" t="s">
        <v>18270</v>
      </c>
      <c r="B6146" t="s">
        <v>18271</v>
      </c>
      <c r="C6146" t="s">
        <v>18272</v>
      </c>
      <c r="D6146" t="str">
        <f>HYPERLINK("https://github.com/AOF-Dev/MCinaBox/issues/779","show")</f>
        <v>show</v>
      </c>
      <c r="E6146" t="str">
        <f>HYPERLINK("https://github.com/AOF-Dev/MCinaBox","show")</f>
        <v>show</v>
      </c>
      <c r="F6146" t="str">
        <f>HYPERLINK("https://github.com/AOF-Dev/MCinaBox/releases","show")</f>
        <v>show</v>
      </c>
    </row>
    <row r="6147" spans="1:6">
      <c r="A6147" t="s">
        <v>18273</v>
      </c>
      <c r="B6147" t="s">
        <v>18274</v>
      </c>
      <c r="C6147" t="s">
        <v>18275</v>
      </c>
      <c r="D6147" t="str">
        <f>HYPERLINK("https://github.com/TeamNewPipe/NewPipe/issues/5326","show")</f>
        <v>show</v>
      </c>
      <c r="E6147" t="str">
        <f>HYPERLINK("https://github.com/TeamNewPipe/NewPipe","show")</f>
        <v>show</v>
      </c>
      <c r="F6147" t="str">
        <f>HYPERLINK("https://github.com/TeamNewPipe/NewPipe/releases","show")</f>
        <v>show</v>
      </c>
    </row>
    <row r="6148" spans="1:6">
      <c r="A6148" t="s">
        <v>18276</v>
      </c>
      <c r="B6148" t="s">
        <v>18277</v>
      </c>
      <c r="C6148" t="s">
        <v>18278</v>
      </c>
      <c r="D6148" t="str">
        <f>HYPERLINK("https://github.com/ElderDrivers/EdXposed/issues/781","show")</f>
        <v>show</v>
      </c>
      <c r="E6148" t="str">
        <f>HYPERLINK("https://github.com/ElderDrivers/EdXposed","show")</f>
        <v>show</v>
      </c>
      <c r="F6148" t="str">
        <f>HYPERLINK("https://github.com/ElderDrivers/EdXposed/releases","show")</f>
        <v>show</v>
      </c>
    </row>
    <row r="6149" spans="1:6">
      <c r="A6149" t="s">
        <v>18279</v>
      </c>
      <c r="B6149" t="s">
        <v>18280</v>
      </c>
      <c r="C6149" t="s">
        <v>18281</v>
      </c>
      <c r="D6149" t="str">
        <f>HYPERLINK("https://github.com/commons-app/apps-android-commons/issues/4143","show")</f>
        <v>show</v>
      </c>
      <c r="E6149" t="str">
        <f>HYPERLINK("https://github.com/commons-app/apps-android-commons","show")</f>
        <v>show</v>
      </c>
      <c r="F6149" t="str">
        <f>HYPERLINK("https://github.com/commons-app/apps-android-commons/releases","show")</f>
        <v>show</v>
      </c>
    </row>
    <row r="6150" spans="1:6">
      <c r="A6150" t="s">
        <v>18282</v>
      </c>
      <c r="B6150" t="s">
        <v>18283</v>
      </c>
      <c r="C6150" t="s">
        <v>18284</v>
      </c>
      <c r="D6150" t="str">
        <f>HYPERLINK("https://github.com/Anuken/Mindustry/issues/4193","show")</f>
        <v>show</v>
      </c>
      <c r="E6150" t="str">
        <f>HYPERLINK("https://github.com/Anuken/Mindustry","show")</f>
        <v>show</v>
      </c>
      <c r="F6150" t="str">
        <f>HYPERLINK("https://github.com/Anuken/Mindustry/releases","show")</f>
        <v>show</v>
      </c>
    </row>
    <row r="6151" spans="1:6">
      <c r="A6151" t="s">
        <v>18285</v>
      </c>
      <c r="B6151" t="s">
        <v>18286</v>
      </c>
      <c r="C6151" t="s">
        <v>18287</v>
      </c>
      <c r="D6151" t="str">
        <f>HYPERLINK("https://github.com/google/ExoPlayer/issues/8419","show")</f>
        <v>show</v>
      </c>
      <c r="E6151" t="str">
        <f>HYPERLINK("https://github.com/google/ExoPlayer","show")</f>
        <v>show</v>
      </c>
      <c r="F6151" t="str">
        <f>HYPERLINK("https://github.com/google/ExoPlayer/releases","show")</f>
        <v>show</v>
      </c>
    </row>
    <row r="6152" spans="1:6">
      <c r="A6152" t="s">
        <v>18288</v>
      </c>
      <c r="B6152" t="s">
        <v>18289</v>
      </c>
      <c r="C6152" t="s">
        <v>18290</v>
      </c>
      <c r="D6152" t="str">
        <f>HYPERLINK("https://github.com/devgianlu/PretendYoureXyzzyAndroid/issues/84","show")</f>
        <v>show</v>
      </c>
      <c r="E6152" t="str">
        <f>HYPERLINK("https://github.com/devgianlu/PretendYoureXyzzyAndroid","show")</f>
        <v>show</v>
      </c>
      <c r="F6152" t="str">
        <f>HYPERLINK("https://github.com/devgianlu/PretendYoureXyzzyAndroid/releases","show")</f>
        <v>show</v>
      </c>
    </row>
    <row r="6153" spans="1:6">
      <c r="A6153" t="s">
        <v>18291</v>
      </c>
      <c r="B6153" t="s">
        <v>18292</v>
      </c>
      <c r="C6153" t="s">
        <v>18293</v>
      </c>
      <c r="D6153" t="str">
        <f>HYPERLINK("https://github.com/TeamNewPipe/NewPipe/issues/5321","show")</f>
        <v>show</v>
      </c>
      <c r="E6153" t="str">
        <f>HYPERLINK("https://github.com/TeamNewPipe/NewPipe","show")</f>
        <v>show</v>
      </c>
      <c r="F6153" t="str">
        <f>HYPERLINK("https://github.com/TeamNewPipe/NewPipe/releases","show")</f>
        <v>show</v>
      </c>
    </row>
    <row r="6154" spans="1:6">
      <c r="A6154" t="s">
        <v>18294</v>
      </c>
      <c r="B6154" t="s">
        <v>18295</v>
      </c>
      <c r="C6154" t="s">
        <v>18296</v>
      </c>
      <c r="D6154" t="str">
        <f>HYPERLINK("https://github.com/MCMrARM/revolution-irc/issues/273","show")</f>
        <v>show</v>
      </c>
      <c r="E6154" t="str">
        <f>HYPERLINK("https://github.com/MCMrARM/revolution-irc","show")</f>
        <v>show</v>
      </c>
      <c r="F6154" t="str">
        <f>HYPERLINK("https://github.com/MCMrARM/revolution-irc/releases","show")</f>
        <v>show</v>
      </c>
    </row>
    <row r="6155" spans="1:6">
      <c r="A6155" t="s">
        <v>18297</v>
      </c>
      <c r="B6155" t="s">
        <v>18298</v>
      </c>
      <c r="C6155" t="s">
        <v>18299</v>
      </c>
      <c r="D6155" t="str">
        <f>HYPERLINK("https://github.com/amplitude/Amplitude-Android/issues/259","show")</f>
        <v>show</v>
      </c>
      <c r="E6155" t="str">
        <f>HYPERLINK("https://github.com/amplitude/Amplitude-Android","show")</f>
        <v>show</v>
      </c>
      <c r="F6155" t="str">
        <f>HYPERLINK("https://github.com/amplitude/Amplitude-Android/releases","show")</f>
        <v>show</v>
      </c>
    </row>
    <row r="6156" spans="1:6">
      <c r="A6156" t="s">
        <v>18300</v>
      </c>
      <c r="B6156" t="s">
        <v>18301</v>
      </c>
      <c r="C6156" t="s">
        <v>18302</v>
      </c>
      <c r="D6156" t="str">
        <f>HYPERLINK("https://github.com/techie66/EngineDataLogger---Dashboard/issues/1","show")</f>
        <v>show</v>
      </c>
      <c r="E6156" t="str">
        <f>HYPERLINK("https://github.com/techie66/EngineDataLogger---Dashboard","show")</f>
        <v>show</v>
      </c>
      <c r="F6156" t="str">
        <f>HYPERLINK("https://github.com/techie66/EngineDataLogger---Dashboard/releases","show")</f>
        <v>show</v>
      </c>
    </row>
    <row r="6157" spans="1:6">
      <c r="A6157" t="s">
        <v>18303</v>
      </c>
      <c r="B6157" t="s">
        <v>18304</v>
      </c>
      <c r="C6157" t="s">
        <v>18305</v>
      </c>
      <c r="D6157" t="str">
        <f>HYPERLINK("https://github.com/Anuken/Mindustry/issues/4190","show")</f>
        <v>show</v>
      </c>
      <c r="E6157" t="str">
        <f>HYPERLINK("https://github.com/Anuken/Mindustry","show")</f>
        <v>show</v>
      </c>
      <c r="F6157" t="str">
        <f>HYPERLINK("https://github.com/Anuken/Mindustry/releases","show")</f>
        <v>show</v>
      </c>
    </row>
    <row r="6158" spans="1:6">
      <c r="A6158" t="s">
        <v>18306</v>
      </c>
      <c r="B6158" t="s">
        <v>18307</v>
      </c>
      <c r="C6158" t="s">
        <v>18308</v>
      </c>
      <c r="D6158" t="str">
        <f>HYPERLINK("https://github.com/MCMrARM/revolution-irc/issues/272","show")</f>
        <v>show</v>
      </c>
      <c r="E6158" t="str">
        <f>HYPERLINK("https://github.com/MCMrARM/revolution-irc","show")</f>
        <v>show</v>
      </c>
      <c r="F6158" t="str">
        <f>HYPERLINK("https://github.com/MCMrARM/revolution-irc/releases","show")</f>
        <v>show</v>
      </c>
    </row>
    <row r="6159" spans="1:6">
      <c r="A6159" t="s">
        <v>18309</v>
      </c>
      <c r="B6159" t="s">
        <v>18310</v>
      </c>
      <c r="C6159" t="s">
        <v>18311</v>
      </c>
      <c r="D6159" t="str">
        <f>HYPERLINK("https://github.com/TeamNewPipe/NewPipe/issues/5318","show")</f>
        <v>show</v>
      </c>
      <c r="E6159" t="str">
        <f>HYPERLINK("https://github.com/TeamNewPipe/NewPipe","show")</f>
        <v>show</v>
      </c>
      <c r="F6159" t="str">
        <f>HYPERLINK("https://github.com/TeamNewPipe/NewPipe/releases","show")</f>
        <v>show</v>
      </c>
    </row>
    <row r="6160" spans="1:6">
      <c r="A6160" t="s">
        <v>18312</v>
      </c>
      <c r="B6160" t="s">
        <v>107</v>
      </c>
      <c r="C6160" t="s">
        <v>18313</v>
      </c>
      <c r="D6160" t="str">
        <f>HYPERLINK("https://github.com/SubhamTyagi/Last-Launcher/issues/110","show")</f>
        <v>show</v>
      </c>
      <c r="E6160" t="str">
        <f>HYPERLINK("https://github.com/SubhamTyagi/Last-Launcher","show")</f>
        <v>show</v>
      </c>
      <c r="F6160" t="str">
        <f>HYPERLINK("https://github.com/SubhamTyagi/Last-Launcher/releases","show")</f>
        <v>show</v>
      </c>
    </row>
    <row r="6161" spans="1:6">
      <c r="A6161" t="s">
        <v>18314</v>
      </c>
      <c r="B6161" t="s">
        <v>18315</v>
      </c>
      <c r="C6161" t="s">
        <v>18316</v>
      </c>
      <c r="D6161" t="str">
        <f>HYPERLINK("https://github.com/AOF-Dev/MCinaBox/issues/773","show")</f>
        <v>show</v>
      </c>
      <c r="E6161" t="str">
        <f>HYPERLINK("https://github.com/AOF-Dev/MCinaBox","show")</f>
        <v>show</v>
      </c>
      <c r="F6161" t="str">
        <f>HYPERLINK("https://github.com/AOF-Dev/MCinaBox/releases","show")</f>
        <v>show</v>
      </c>
    </row>
    <row r="6162" spans="1:6">
      <c r="A6162" t="s">
        <v>18317</v>
      </c>
      <c r="B6162" t="s">
        <v>18318</v>
      </c>
      <c r="C6162" t="s">
        <v>18319</v>
      </c>
      <c r="D6162" t="str">
        <f>HYPERLINK("https://github.com/Anuken/Mindustry/issues/4185","show")</f>
        <v>show</v>
      </c>
      <c r="E6162" t="str">
        <f>HYPERLINK("https://github.com/Anuken/Mindustry","show")</f>
        <v>show</v>
      </c>
      <c r="F6162" t="str">
        <f>HYPERLINK("https://github.com/Anuken/Mindustry/releases","show")</f>
        <v>show</v>
      </c>
    </row>
    <row r="6163" spans="1:6">
      <c r="A6163" t="s">
        <v>18320</v>
      </c>
      <c r="B6163" t="s">
        <v>18321</v>
      </c>
      <c r="C6163" t="s">
        <v>18322</v>
      </c>
      <c r="D6163" t="str">
        <f>HYPERLINK("https://github.com/Anuken/Mindustry/issues/4183","show")</f>
        <v>show</v>
      </c>
      <c r="E6163" t="str">
        <f>HYPERLINK("https://github.com/Anuken/Mindustry","show")</f>
        <v>show</v>
      </c>
      <c r="F6163" t="str">
        <f>HYPERLINK("https://github.com/Anuken/Mindustry/releases","show")</f>
        <v>show</v>
      </c>
    </row>
    <row r="6164" spans="1:6">
      <c r="A6164" t="s">
        <v>18323</v>
      </c>
      <c r="B6164" t="s">
        <v>18324</v>
      </c>
      <c r="C6164" t="s">
        <v>18325</v>
      </c>
      <c r="D6164" t="str">
        <f>HYPERLINK("https://github.com/Azure/azure-iot-sdk-java/issues/1035","show")</f>
        <v>show</v>
      </c>
      <c r="E6164" t="str">
        <f>HYPERLINK("https://github.com/Azure/azure-iot-sdk-java","show")</f>
        <v>show</v>
      </c>
      <c r="F6164" t="str">
        <f>HYPERLINK("https://github.com/Azure/azure-iot-sdk-java/releases","show")</f>
        <v>show</v>
      </c>
    </row>
    <row r="6165" spans="1:6">
      <c r="A6165" t="s">
        <v>18326</v>
      </c>
      <c r="B6165" t="s">
        <v>18327</v>
      </c>
      <c r="C6165" t="s">
        <v>18328</v>
      </c>
      <c r="D6165" t="str">
        <f>HYPERLINK("https://github.com/commons-app/apps-android-commons/issues/4142","show")</f>
        <v>show</v>
      </c>
      <c r="E6165" t="str">
        <f>HYPERLINK("https://github.com/commons-app/apps-android-commons","show")</f>
        <v>show</v>
      </c>
      <c r="F6165" t="str">
        <f>HYPERLINK("https://github.com/commons-app/apps-android-commons/releases","show")</f>
        <v>show</v>
      </c>
    </row>
    <row r="6166" spans="1:6">
      <c r="A6166" t="s">
        <v>18329</v>
      </c>
      <c r="B6166" t="s">
        <v>18330</v>
      </c>
      <c r="C6166" t="s">
        <v>18331</v>
      </c>
      <c r="D6166" t="str">
        <f>HYPERLINK("https://github.com/square/okhttp/issues/6494","show")</f>
        <v>show</v>
      </c>
      <c r="E6166" t="str">
        <f>HYPERLINK("https://github.com/square/okhttp","show")</f>
        <v>show</v>
      </c>
      <c r="F6166" t="str">
        <f>HYPERLINK("https://github.com/square/okhttp/releases","show")</f>
        <v>show</v>
      </c>
    </row>
    <row r="6167" spans="1:6">
      <c r="A6167" t="s">
        <v>18332</v>
      </c>
      <c r="B6167" t="s">
        <v>18333</v>
      </c>
      <c r="C6167" t="s">
        <v>18334</v>
      </c>
      <c r="D6167" t="str">
        <f>HYPERLINK("https://github.com/mindustry-antigrief/mindustry-client/issues/22","show")</f>
        <v>show</v>
      </c>
      <c r="E6167" t="str">
        <f>HYPERLINK("https://github.com/mindustry-antigrief/mindustry-client","show")</f>
        <v>show</v>
      </c>
      <c r="F6167" t="str">
        <f>HYPERLINK("https://github.com/mindustry-antigrief/mindustry-client/releases","show")</f>
        <v>show</v>
      </c>
    </row>
    <row r="6168" spans="1:6">
      <c r="A6168" t="s">
        <v>18335</v>
      </c>
      <c r="B6168" t="s">
        <v>18336</v>
      </c>
      <c r="C6168" t="s">
        <v>18337</v>
      </c>
      <c r="D6168" t="str">
        <f>HYPERLINK("https://github.com/Anuken/Mindustry/issues/4176","show")</f>
        <v>show</v>
      </c>
      <c r="E6168" t="str">
        <f>HYPERLINK("https://github.com/Anuken/Mindustry","show")</f>
        <v>show</v>
      </c>
      <c r="F6168" t="str">
        <f>HYPERLINK("https://github.com/Anuken/Mindustry/releases","show")</f>
        <v>show</v>
      </c>
    </row>
    <row r="6169" spans="1:6">
      <c r="A6169" t="s">
        <v>18338</v>
      </c>
      <c r="B6169" t="s">
        <v>18339</v>
      </c>
      <c r="C6169" t="s">
        <v>18340</v>
      </c>
      <c r="D6169" t="str">
        <f>HYPERLINK("https://github.com/Anuken/Mindustry/issues/4174","show")</f>
        <v>show</v>
      </c>
      <c r="E6169" t="str">
        <f>HYPERLINK("https://github.com/Anuken/Mindustry","show")</f>
        <v>show</v>
      </c>
      <c r="F6169" t="str">
        <f>HYPERLINK("https://github.com/Anuken/Mindustry/releases","show")</f>
        <v>show</v>
      </c>
    </row>
    <row r="6170" spans="1:6">
      <c r="A6170" t="s">
        <v>18341</v>
      </c>
      <c r="B6170" t="s">
        <v>18342</v>
      </c>
      <c r="C6170" t="s">
        <v>18343</v>
      </c>
      <c r="D6170" t="str">
        <f>HYPERLINK("https://github.com/aws-amplify/amplify-android/issues/1090","show")</f>
        <v>show</v>
      </c>
      <c r="E6170" t="str">
        <f>HYPERLINK("https://github.com/aws-amplify/amplify-android","show")</f>
        <v>show</v>
      </c>
      <c r="F6170" t="str">
        <f>HYPERLINK("https://github.com/aws-amplify/amplify-android/releases","show")</f>
        <v>show</v>
      </c>
    </row>
    <row r="6171" spans="1:6">
      <c r="A6171" t="s">
        <v>18344</v>
      </c>
      <c r="B6171" t="s">
        <v>18345</v>
      </c>
      <c r="C6171" t="s">
        <v>18346</v>
      </c>
      <c r="D6171" t="str">
        <f>HYPERLINK("https://github.com/Anuken/Mindustry/issues/4172","show")</f>
        <v>show</v>
      </c>
      <c r="E6171" t="str">
        <f>HYPERLINK("https://github.com/Anuken/Mindustry","show")</f>
        <v>show</v>
      </c>
      <c r="F6171" t="str">
        <f>HYPERLINK("https://github.com/Anuken/Mindustry/releases","show")</f>
        <v>show</v>
      </c>
    </row>
    <row r="6172" spans="1:6">
      <c r="A6172" t="s">
        <v>18347</v>
      </c>
      <c r="B6172" t="s">
        <v>18348</v>
      </c>
      <c r="C6172" t="s">
        <v>18349</v>
      </c>
      <c r="D6172" t="str">
        <f>HYPERLINK("https://github.com/nextcloud/android/issues/7750","show")</f>
        <v>show</v>
      </c>
      <c r="E6172" t="str">
        <f>HYPERLINK("https://github.com/nextcloud/android","show")</f>
        <v>show</v>
      </c>
      <c r="F6172" t="str">
        <f>HYPERLINK("https://github.com/nextcloud/android/releases","show")</f>
        <v>show</v>
      </c>
    </row>
    <row r="6173" spans="1:6">
      <c r="A6173" t="s">
        <v>18350</v>
      </c>
      <c r="B6173" t="s">
        <v>18351</v>
      </c>
      <c r="C6173" t="s">
        <v>18352</v>
      </c>
      <c r="D6173" t="str">
        <f>HYPERLINK("https://github.com/TeamNewPipe/NewPipe/issues/5308","show")</f>
        <v>show</v>
      </c>
      <c r="E6173" t="str">
        <f>HYPERLINK("https://github.com/TeamNewPipe/NewPipe","show")</f>
        <v>show</v>
      </c>
      <c r="F6173" t="str">
        <f>HYPERLINK("https://github.com/TeamNewPipe/NewPipe/releases","show")</f>
        <v>show</v>
      </c>
    </row>
    <row r="6174" spans="1:6">
      <c r="A6174" t="s">
        <v>18353</v>
      </c>
      <c r="B6174" t="s">
        <v>18354</v>
      </c>
      <c r="C6174" t="s">
        <v>18355</v>
      </c>
      <c r="D6174" t="str">
        <f>HYPERLINK("https://github.com/microg/GmsCore/issues/1347","show")</f>
        <v>show</v>
      </c>
      <c r="E6174" t="str">
        <f>HYPERLINK("https://github.com/microg/GmsCore","show")</f>
        <v>show</v>
      </c>
      <c r="F6174" t="str">
        <f>HYPERLINK("https://github.com/microg/GmsCore/releases","show")</f>
        <v>show</v>
      </c>
    </row>
    <row r="6175" spans="1:6">
      <c r="A6175" t="s">
        <v>18356</v>
      </c>
      <c r="B6175" t="s">
        <v>18357</v>
      </c>
      <c r="C6175" t="s">
        <v>18358</v>
      </c>
      <c r="D6175" t="str">
        <f>HYPERLINK("https://github.com/Anuken/Mindustry/issues/4162","show")</f>
        <v>show</v>
      </c>
      <c r="E6175" t="str">
        <f>HYPERLINK("https://github.com/Anuken/Mindustry","show")</f>
        <v>show</v>
      </c>
      <c r="F6175" t="str">
        <f>HYPERLINK("https://github.com/Anuken/Mindustry/releases","show")</f>
        <v>show</v>
      </c>
    </row>
    <row r="6176" spans="1:6">
      <c r="A6176" t="s">
        <v>18359</v>
      </c>
      <c r="B6176" t="s">
        <v>18360</v>
      </c>
      <c r="C6176" t="s">
        <v>18361</v>
      </c>
      <c r="D6176" t="str">
        <f>HYPERLINK("https://github.com/Blankj/AndroidUtilCode/issues/1412","show")</f>
        <v>show</v>
      </c>
      <c r="E6176" t="str">
        <f>HYPERLINK("https://github.com/Blankj/AndroidUtilCode","show")</f>
        <v>show</v>
      </c>
      <c r="F6176" t="str">
        <f>HYPERLINK("https://github.com/Blankj/AndroidUtilCode/releases","show")</f>
        <v>show</v>
      </c>
    </row>
    <row r="6177" spans="1:6">
      <c r="A6177" t="s">
        <v>18362</v>
      </c>
      <c r="B6177" t="s">
        <v>18363</v>
      </c>
      <c r="C6177" t="s">
        <v>18364</v>
      </c>
      <c r="D6177" t="str">
        <f>HYPERLINK("https://github.com/Anuken/Mindustry/issues/4159","show")</f>
        <v>show</v>
      </c>
      <c r="E6177" t="str">
        <f>HYPERLINK("https://github.com/Anuken/Mindustry","show")</f>
        <v>show</v>
      </c>
      <c r="F6177" t="str">
        <f>HYPERLINK("https://github.com/Anuken/Mindustry/releases","show")</f>
        <v>show</v>
      </c>
    </row>
    <row r="6178" spans="1:6">
      <c r="A6178" t="s">
        <v>18365</v>
      </c>
      <c r="B6178" t="s">
        <v>18366</v>
      </c>
      <c r="C6178" t="s">
        <v>18367</v>
      </c>
      <c r="D6178" t="str">
        <f>HYPERLINK("https://github.com/Anuken/Mindustry/issues/4158","show")</f>
        <v>show</v>
      </c>
      <c r="E6178" t="str">
        <f>HYPERLINK("https://github.com/Anuken/Mindustry","show")</f>
        <v>show</v>
      </c>
      <c r="F6178" t="str">
        <f>HYPERLINK("https://github.com/Anuken/Mindustry/releases","show")</f>
        <v>show</v>
      </c>
    </row>
    <row r="6179" spans="1:6">
      <c r="A6179" t="s">
        <v>18368</v>
      </c>
      <c r="B6179" t="s">
        <v>18369</v>
      </c>
      <c r="C6179" t="s">
        <v>18370</v>
      </c>
      <c r="D6179" t="str">
        <f>HYPERLINK("https://github.com/material-components/material-components-android/issues/1955","show")</f>
        <v>show</v>
      </c>
      <c r="E6179" t="str">
        <f>HYPERLINK("https://github.com/material-components/material-components-android","show")</f>
        <v>show</v>
      </c>
      <c r="F6179" t="str">
        <f>HYPERLINK("https://github.com/material-components/material-components-android/releases","show")</f>
        <v>show</v>
      </c>
    </row>
    <row r="6180" spans="1:6">
      <c r="A6180" t="s">
        <v>18371</v>
      </c>
      <c r="B6180" t="s">
        <v>18372</v>
      </c>
      <c r="C6180" t="s">
        <v>18373</v>
      </c>
      <c r="D6180" t="str">
        <f>HYPERLINK("https://github.com/Anuken/Mindustry/issues/4156","show")</f>
        <v>show</v>
      </c>
      <c r="E6180" t="str">
        <f>HYPERLINK("https://github.com/Anuken/Mindustry","show")</f>
        <v>show</v>
      </c>
      <c r="F6180" t="str">
        <f>HYPERLINK("https://github.com/Anuken/Mindustry/releases","show")</f>
        <v>show</v>
      </c>
    </row>
    <row r="6181" spans="1:6">
      <c r="A6181" t="s">
        <v>18374</v>
      </c>
      <c r="B6181" t="s">
        <v>18375</v>
      </c>
      <c r="C6181" t="s">
        <v>18376</v>
      </c>
      <c r="D6181" t="str">
        <f>HYPERLINK("https://github.com/MuntashirAkon/AppManager/issues/204","show")</f>
        <v>show</v>
      </c>
      <c r="E6181" t="str">
        <f>HYPERLINK("https://github.com/MuntashirAkon/AppManager","show")</f>
        <v>show</v>
      </c>
      <c r="F6181" t="str">
        <f>HYPERLINK("https://github.com/MuntashirAkon/AppManager/releases","show")</f>
        <v>show</v>
      </c>
    </row>
    <row r="6182" spans="1:6">
      <c r="A6182" t="s">
        <v>18377</v>
      </c>
      <c r="B6182" t="s">
        <v>18378</v>
      </c>
      <c r="C6182" t="s">
        <v>18379</v>
      </c>
      <c r="D6182" t="str">
        <f>HYPERLINK("https://github.com/neosensory/neosensory-sdk-for-android-java/issues/7","show")</f>
        <v>show</v>
      </c>
      <c r="E6182" t="str">
        <f>HYPERLINK("https://github.com/neosensory/neosensory-sdk-for-android-java","show")</f>
        <v>show</v>
      </c>
      <c r="F6182" t="str">
        <f>HYPERLINK("https://github.com/neosensory/neosensory-sdk-for-android-java/releases","show")</f>
        <v>show</v>
      </c>
    </row>
    <row r="6183" spans="1:6">
      <c r="A6183" t="s">
        <v>18380</v>
      </c>
      <c r="B6183" t="s">
        <v>18381</v>
      </c>
      <c r="C6183" t="s">
        <v>18382</v>
      </c>
      <c r="D6183" t="str">
        <f>HYPERLINK("https://github.com/ElderDrivers/EdXposed/issues/773","show")</f>
        <v>show</v>
      </c>
      <c r="E6183" t="str">
        <f>HYPERLINK("https://github.com/ElderDrivers/EdXposed","show")</f>
        <v>show</v>
      </c>
      <c r="F6183" t="str">
        <f>HYPERLINK("https://github.com/ElderDrivers/EdXposed/releases","show")</f>
        <v>show</v>
      </c>
    </row>
    <row r="6184" spans="1:6">
      <c r="A6184" t="s">
        <v>18383</v>
      </c>
      <c r="B6184" t="s">
        <v>18384</v>
      </c>
      <c r="C6184" t="s">
        <v>18385</v>
      </c>
      <c r="D6184" t="str">
        <f>HYPERLINK("https://github.com/Anuken/Mindustry/issues/4151","show")</f>
        <v>show</v>
      </c>
      <c r="E6184" t="str">
        <f>HYPERLINK("https://github.com/Anuken/Mindustry","show")</f>
        <v>show</v>
      </c>
      <c r="F6184" t="str">
        <f>HYPERLINK("https://github.com/Anuken/Mindustry/releases","show")</f>
        <v>show</v>
      </c>
    </row>
    <row r="6185" spans="1:6">
      <c r="A6185" t="s">
        <v>18386</v>
      </c>
      <c r="B6185" t="s">
        <v>18387</v>
      </c>
      <c r="C6185" t="s">
        <v>18388</v>
      </c>
      <c r="D6185" t="str">
        <f>HYPERLINK("https://github.com/crowdin/react-native-sdk/issues/15","show")</f>
        <v>show</v>
      </c>
      <c r="E6185" t="str">
        <f>HYPERLINK("https://github.com/crowdin/react-native-sdk","show")</f>
        <v>show</v>
      </c>
      <c r="F6185" t="str">
        <f>HYPERLINK("https://github.com/crowdin/react-native-sdk/releases","show")</f>
        <v>show</v>
      </c>
    </row>
    <row r="6186" spans="1:6">
      <c r="A6186" t="s">
        <v>18389</v>
      </c>
      <c r="B6186" t="s">
        <v>18390</v>
      </c>
      <c r="C6186" t="s">
        <v>18391</v>
      </c>
      <c r="D6186" t="str">
        <f>HYPERLINK("https://github.com/Anuken/Mindustry/issues/4145","show")</f>
        <v>show</v>
      </c>
      <c r="E6186" t="str">
        <f>HYPERLINK("https://github.com/Anuken/Mindustry","show")</f>
        <v>show</v>
      </c>
      <c r="F6186" t="str">
        <f>HYPERLINK("https://github.com/Anuken/Mindustry/releases","show")</f>
        <v>show</v>
      </c>
    </row>
    <row r="6187" spans="1:6">
      <c r="A6187" t="s">
        <v>18392</v>
      </c>
      <c r="B6187" t="s">
        <v>18393</v>
      </c>
      <c r="C6187" t="s">
        <v>18394</v>
      </c>
      <c r="D6187" t="str">
        <f>HYPERLINK("https://github.com/TeamNewPipe/NewPipe/issues/5293","show")</f>
        <v>show</v>
      </c>
      <c r="E6187" t="str">
        <f>HYPERLINK("https://github.com/TeamNewPipe/NewPipe","show")</f>
        <v>show</v>
      </c>
      <c r="F6187" t="str">
        <f>HYPERLINK("https://github.com/TeamNewPipe/NewPipe/releases","show")</f>
        <v>show</v>
      </c>
    </row>
    <row r="6188" spans="1:6">
      <c r="A6188" t="s">
        <v>18395</v>
      </c>
      <c r="B6188" t="s">
        <v>18396</v>
      </c>
      <c r="C6188" t="s">
        <v>18397</v>
      </c>
      <c r="D6188" t="str">
        <f>HYPERLINK("https://github.com/k9mail/k-9/issues/5081","show")</f>
        <v>show</v>
      </c>
      <c r="E6188" t="str">
        <f>HYPERLINK("https://github.com/k9mail/k-9","show")</f>
        <v>show</v>
      </c>
      <c r="F6188" t="str">
        <f>HYPERLINK("https://github.com/k9mail/k-9/releases","show")</f>
        <v>show</v>
      </c>
    </row>
    <row r="6189" spans="1:6">
      <c r="A6189" t="s">
        <v>18398</v>
      </c>
      <c r="B6189" t="s">
        <v>18399</v>
      </c>
      <c r="C6189" t="s">
        <v>18400</v>
      </c>
      <c r="D6189" t="str">
        <f>HYPERLINK("https://github.com/osudroid/osu-droid/issues/64","show")</f>
        <v>show</v>
      </c>
      <c r="E6189" t="str">
        <f>HYPERLINK("https://github.com/osudroid/osu-droid","show")</f>
        <v>show</v>
      </c>
      <c r="F6189" t="str">
        <f>HYPERLINK("https://github.com/osudroid/osu-droid/releases","show")</f>
        <v>show</v>
      </c>
    </row>
    <row r="6190" spans="1:6">
      <c r="A6190" t="s">
        <v>18401</v>
      </c>
      <c r="B6190" t="s">
        <v>18402</v>
      </c>
      <c r="C6190" t="s">
        <v>18403</v>
      </c>
      <c r="D6190" t="str">
        <f>HYPERLINK("https://github.com/Anuken/Mindustry/issues/4140","show")</f>
        <v>show</v>
      </c>
      <c r="E6190" t="str">
        <f>HYPERLINK("https://github.com/Anuken/Mindustry","show")</f>
        <v>show</v>
      </c>
      <c r="F6190" t="str">
        <f>HYPERLINK("https://github.com/Anuken/Mindustry/releases","show")</f>
        <v>show</v>
      </c>
    </row>
    <row r="6191" spans="1:6">
      <c r="A6191" t="s">
        <v>18404</v>
      </c>
      <c r="B6191" t="s">
        <v>18405</v>
      </c>
      <c r="C6191" t="s">
        <v>18406</v>
      </c>
      <c r="D6191" t="str">
        <f>HYPERLINK("https://github.com/microg/GmsCore/issues/1343","show")</f>
        <v>show</v>
      </c>
      <c r="E6191" t="str">
        <f>HYPERLINK("https://github.com/microg/GmsCore","show")</f>
        <v>show</v>
      </c>
      <c r="F6191" t="str">
        <f>HYPERLINK("https://github.com/microg/GmsCore/releases","show")</f>
        <v>show</v>
      </c>
    </row>
    <row r="6192" spans="1:6">
      <c r="A6192" t="s">
        <v>18407</v>
      </c>
      <c r="B6192" t="s">
        <v>18408</v>
      </c>
      <c r="C6192" t="s">
        <v>18409</v>
      </c>
      <c r="D6192" t="str">
        <f>HYPERLINK("https://github.com/akaecliptic/Cinephile/issues/5","show")</f>
        <v>show</v>
      </c>
      <c r="E6192" t="str">
        <f>HYPERLINK("https://github.com/akaecliptic/Cinephile","show")</f>
        <v>show</v>
      </c>
      <c r="F6192" t="str">
        <f>HYPERLINK("https://github.com/akaecliptic/Cinephile/releases","show")</f>
        <v>show</v>
      </c>
    </row>
    <row r="6193" spans="1:6">
      <c r="A6193" t="s">
        <v>18410</v>
      </c>
      <c r="B6193" t="s">
        <v>18411</v>
      </c>
      <c r="C6193" t="s">
        <v>18412</v>
      </c>
      <c r="D6193" t="str">
        <f>HYPERLINK("https://github.com/TeamNewPipe/NewPipe-legacy/issues/56","show")</f>
        <v>show</v>
      </c>
      <c r="E6193" t="str">
        <f>HYPERLINK("https://github.com/TeamNewPipe/NewPipe-legacy","show")</f>
        <v>show</v>
      </c>
      <c r="F6193" t="str">
        <f>HYPERLINK("https://github.com/TeamNewPipe/NewPipe-legacy/releases","show")</f>
        <v>show</v>
      </c>
    </row>
    <row r="6194" spans="1:6">
      <c r="A6194" t="s">
        <v>18413</v>
      </c>
      <c r="B6194" t="s">
        <v>18411</v>
      </c>
      <c r="C6194" t="s">
        <v>18414</v>
      </c>
      <c r="D6194" t="str">
        <f>HYPERLINK("https://github.com/TeamNewPipe/NewPipe/issues/5289","show")</f>
        <v>show</v>
      </c>
      <c r="E6194" t="str">
        <f>HYPERLINK("https://github.com/TeamNewPipe/NewPipe","show")</f>
        <v>show</v>
      </c>
      <c r="F6194" t="str">
        <f>HYPERLINK("https://github.com/TeamNewPipe/NewPipe/releases","show")</f>
        <v>show</v>
      </c>
    </row>
    <row r="6195" spans="1:6">
      <c r="A6195" t="s">
        <v>18415</v>
      </c>
      <c r="B6195" t="s">
        <v>18416</v>
      </c>
      <c r="C6195" t="s">
        <v>18417</v>
      </c>
      <c r="D6195" t="str">
        <f>HYPERLINK("https://github.com/TeamNewPipe/NewPipe/issues/5287","show")</f>
        <v>show</v>
      </c>
      <c r="E6195" t="str">
        <f>HYPERLINK("https://github.com/TeamNewPipe/NewPipe","show")</f>
        <v>show</v>
      </c>
      <c r="F6195" t="str">
        <f>HYPERLINK("https://github.com/TeamNewPipe/NewPipe/releases","show")</f>
        <v>show</v>
      </c>
    </row>
    <row r="6196" spans="1:6">
      <c r="A6196" t="s">
        <v>18418</v>
      </c>
      <c r="B6196" t="s">
        <v>18419</v>
      </c>
      <c r="C6196" t="s">
        <v>18420</v>
      </c>
      <c r="D6196" t="str">
        <f>HYPERLINK("https://github.com/nextcloud/android/issues/7739","show")</f>
        <v>show</v>
      </c>
      <c r="E6196" t="str">
        <f>HYPERLINK("https://github.com/nextcloud/android","show")</f>
        <v>show</v>
      </c>
      <c r="F6196" t="str">
        <f>HYPERLINK("https://github.com/nextcloud/android/releases","show")</f>
        <v>show</v>
      </c>
    </row>
    <row r="6197" spans="1:6">
      <c r="A6197" t="s">
        <v>18421</v>
      </c>
      <c r="B6197" t="s">
        <v>18422</v>
      </c>
      <c r="C6197" t="s">
        <v>18423</v>
      </c>
      <c r="D6197" t="str">
        <f>HYPERLINK("https://github.com/PojavLauncherTeam/PojavLauncher/issues/542","show")</f>
        <v>show</v>
      </c>
      <c r="E6197" t="str">
        <f>HYPERLINK("https://github.com/PojavLauncherTeam/PojavLauncher","show")</f>
        <v>show</v>
      </c>
      <c r="F6197" t="str">
        <f>HYPERLINK("https://github.com/PojavLauncherTeam/PojavLauncher/releases","show")</f>
        <v>show</v>
      </c>
    </row>
    <row r="6198" spans="1:6">
      <c r="A6198" t="s">
        <v>18424</v>
      </c>
      <c r="B6198" t="s">
        <v>14846</v>
      </c>
      <c r="C6198" t="s">
        <v>18425</v>
      </c>
      <c r="D6198" t="str">
        <f>HYPERLINK("https://github.com/nextcloud/android/issues/7734","show")</f>
        <v>show</v>
      </c>
      <c r="E6198" t="str">
        <f>HYPERLINK("https://github.com/nextcloud/android","show")</f>
        <v>show</v>
      </c>
      <c r="F6198" t="str">
        <f>HYPERLINK("https://github.com/nextcloud/android/releases","show")</f>
        <v>show</v>
      </c>
    </row>
    <row r="6199" spans="1:6">
      <c r="A6199" t="s">
        <v>18426</v>
      </c>
      <c r="B6199" t="s">
        <v>18427</v>
      </c>
      <c r="C6199" t="s">
        <v>18428</v>
      </c>
      <c r="D6199" t="str">
        <f>HYPERLINK("https://github.com/Anuken/Mindustry/issues/4130","show")</f>
        <v>show</v>
      </c>
      <c r="E6199" t="str">
        <f>HYPERLINK("https://github.com/Anuken/Mindustry","show")</f>
        <v>show</v>
      </c>
      <c r="F6199" t="str">
        <f>HYPERLINK("https://github.com/Anuken/Mindustry/releases","show")</f>
        <v>show</v>
      </c>
    </row>
    <row r="6200" spans="1:6">
      <c r="A6200" t="s">
        <v>18429</v>
      </c>
      <c r="B6200" t="s">
        <v>18430</v>
      </c>
      <c r="C6200" t="s">
        <v>18431</v>
      </c>
      <c r="D6200" t="str">
        <f>HYPERLINK("https://github.com/srivatsamarichi/pip-kotlin/issues/16","show")</f>
        <v>show</v>
      </c>
      <c r="E6200" t="str">
        <f>HYPERLINK("https://github.com/srivatsamarichi/pip-kotlin","show")</f>
        <v>show</v>
      </c>
      <c r="F6200" t="str">
        <f>HYPERLINK("https://github.com/srivatsamarichi/pip-kotlin/releases","show")</f>
        <v>show</v>
      </c>
    </row>
    <row r="6201" spans="1:6">
      <c r="A6201" t="s">
        <v>18432</v>
      </c>
      <c r="B6201" t="s">
        <v>18433</v>
      </c>
      <c r="C6201" t="s">
        <v>18434</v>
      </c>
      <c r="D6201" t="str">
        <f>HYPERLINK("https://github.com/srivatsamarichi/pip-kotlin/issues/15","show")</f>
        <v>show</v>
      </c>
      <c r="E6201" t="str">
        <f>HYPERLINK("https://github.com/srivatsamarichi/pip-kotlin","show")</f>
        <v>show</v>
      </c>
      <c r="F6201" t="str">
        <f>HYPERLINK("https://github.com/srivatsamarichi/pip-kotlin/releases","show")</f>
        <v>show</v>
      </c>
    </row>
    <row r="6202" spans="1:6">
      <c r="A6202" t="s">
        <v>18435</v>
      </c>
      <c r="B6202" t="s">
        <v>18436</v>
      </c>
      <c r="C6202" t="s">
        <v>18437</v>
      </c>
      <c r="D6202" t="str">
        <f>HYPERLINK("https://github.com/Anuken/Mindustry/issues/4124","show")</f>
        <v>show</v>
      </c>
      <c r="E6202" t="str">
        <f>HYPERLINK("https://github.com/Anuken/Mindustry","show")</f>
        <v>show</v>
      </c>
      <c r="F6202" t="str">
        <f>HYPERLINK("https://github.com/Anuken/Mindustry/releases","show")</f>
        <v>show</v>
      </c>
    </row>
    <row r="6203" spans="1:6">
      <c r="A6203" t="s">
        <v>18438</v>
      </c>
      <c r="B6203" t="s">
        <v>18439</v>
      </c>
      <c r="C6203" t="s">
        <v>18440</v>
      </c>
      <c r="D6203" t="str">
        <f>HYPERLINK("https://github.com/libgdx/libgdx/issues/6331","show")</f>
        <v>show</v>
      </c>
      <c r="E6203" t="str">
        <f>HYPERLINK("https://github.com/libgdx/libgdx","show")</f>
        <v>show</v>
      </c>
      <c r="F6203" t="str">
        <f>HYPERLINK("https://github.com/libgdx/libgdx/releases","show")</f>
        <v>show</v>
      </c>
    </row>
    <row r="6204" spans="1:6">
      <c r="A6204" t="s">
        <v>18441</v>
      </c>
      <c r="B6204" t="s">
        <v>18442</v>
      </c>
      <c r="C6204" t="s">
        <v>18443</v>
      </c>
      <c r="D6204" t="str">
        <f>HYPERLINK("https://github.com/commons-app/apps-android-commons/issues/4129","show")</f>
        <v>show</v>
      </c>
      <c r="E6204" t="str">
        <f>HYPERLINK("https://github.com/commons-app/apps-android-commons","show")</f>
        <v>show</v>
      </c>
      <c r="F6204" t="str">
        <f>HYPERLINK("https://github.com/commons-app/apps-android-commons/releases","show")</f>
        <v>show</v>
      </c>
    </row>
    <row r="6205" spans="1:6">
      <c r="A6205" t="s">
        <v>18444</v>
      </c>
      <c r="B6205" t="s">
        <v>18445</v>
      </c>
      <c r="C6205" t="s">
        <v>18446</v>
      </c>
      <c r="D6205" t="str">
        <f>HYPERLINK("https://github.com/Anuken/Mindustry/issues/4120","show")</f>
        <v>show</v>
      </c>
      <c r="E6205" t="str">
        <f>HYPERLINK("https://github.com/Anuken/Mindustry","show")</f>
        <v>show</v>
      </c>
      <c r="F6205" t="str">
        <f>HYPERLINK("https://github.com/Anuken/Mindustry/releases","show")</f>
        <v>show</v>
      </c>
    </row>
    <row r="6206" spans="1:6">
      <c r="A6206" t="s">
        <v>18447</v>
      </c>
      <c r="B6206" t="s">
        <v>18448</v>
      </c>
      <c r="C6206" t="s">
        <v>18449</v>
      </c>
      <c r="D6206" t="str">
        <f>HYPERLINK("https://github.com/MarquisLP/World-Scribe/issues/60","show")</f>
        <v>show</v>
      </c>
      <c r="E6206" t="str">
        <f>HYPERLINK("https://github.com/MarquisLP/World-Scribe","show")</f>
        <v>show</v>
      </c>
      <c r="F6206" t="str">
        <f>HYPERLINK("https://github.com/MarquisLP/World-Scribe/releases","show")</f>
        <v>show</v>
      </c>
    </row>
    <row r="6207" spans="1:6">
      <c r="A6207" t="s">
        <v>18450</v>
      </c>
      <c r="B6207" t="s">
        <v>18451</v>
      </c>
      <c r="C6207" t="s">
        <v>18452</v>
      </c>
      <c r="D6207" t="str">
        <f>HYPERLINK("https://github.com/MuntashirAkon/AppManager/issues/203","show")</f>
        <v>show</v>
      </c>
      <c r="E6207" t="str">
        <f>HYPERLINK("https://github.com/MuntashirAkon/AppManager","show")</f>
        <v>show</v>
      </c>
      <c r="F6207" t="str">
        <f>HYPERLINK("https://github.com/MuntashirAkon/AppManager/releases","show")</f>
        <v>show</v>
      </c>
    </row>
    <row r="6208" spans="1:6">
      <c r="A6208" t="s">
        <v>18453</v>
      </c>
      <c r="B6208" t="s">
        <v>18454</v>
      </c>
      <c r="C6208" t="s">
        <v>18455</v>
      </c>
      <c r="D6208" t="str">
        <f>HYPERLINK("https://github.com/ElderDrivers/EdXposed/issues/770","show")</f>
        <v>show</v>
      </c>
      <c r="E6208" t="str">
        <f>HYPERLINK("https://github.com/ElderDrivers/EdXposed","show")</f>
        <v>show</v>
      </c>
      <c r="F6208" t="str">
        <f>HYPERLINK("https://github.com/ElderDrivers/EdXposed/releases","show")</f>
        <v>show</v>
      </c>
    </row>
    <row r="6209" spans="1:6">
      <c r="A6209" t="s">
        <v>18456</v>
      </c>
      <c r="B6209" t="s">
        <v>18457</v>
      </c>
      <c r="C6209" t="s">
        <v>18458</v>
      </c>
      <c r="D6209" t="str">
        <f>HYPERLINK("https://github.com/Anuken/Mindustry/issues/4118","show")</f>
        <v>show</v>
      </c>
      <c r="E6209" t="str">
        <f>HYPERLINK("https://github.com/Anuken/Mindustry","show")</f>
        <v>show</v>
      </c>
      <c r="F6209" t="str">
        <f>HYPERLINK("https://github.com/Anuken/Mindustry/releases","show")</f>
        <v>show</v>
      </c>
    </row>
    <row r="6210" spans="1:6">
      <c r="A6210" t="s">
        <v>18459</v>
      </c>
      <c r="B6210" t="s">
        <v>18460</v>
      </c>
      <c r="C6210" t="s">
        <v>18461</v>
      </c>
      <c r="D6210" t="str">
        <f>HYPERLINK("https://github.com/Anuken/Mindustry/issues/4117","show")</f>
        <v>show</v>
      </c>
      <c r="E6210" t="str">
        <f>HYPERLINK("https://github.com/Anuken/Mindustry","show")</f>
        <v>show</v>
      </c>
      <c r="F6210" t="str">
        <f>HYPERLINK("https://github.com/Anuken/Mindustry/releases","show")</f>
        <v>show</v>
      </c>
    </row>
    <row r="6211" spans="1:6">
      <c r="A6211" t="s">
        <v>18462</v>
      </c>
      <c r="B6211" t="s">
        <v>18463</v>
      </c>
      <c r="C6211" t="s">
        <v>18464</v>
      </c>
      <c r="D6211" t="str">
        <f>HYPERLINK("https://github.com/Poing-Studios/godot-admob-android/issues/30","show")</f>
        <v>show</v>
      </c>
      <c r="E6211" t="str">
        <f>HYPERLINK("https://github.com/Poing-Studios/godot-admob-android","show")</f>
        <v>show</v>
      </c>
      <c r="F6211" t="str">
        <f>HYPERLINK("https://github.com/Poing-Studios/godot-admob-android/releases","show")</f>
        <v>show</v>
      </c>
    </row>
    <row r="6212" spans="1:6">
      <c r="A6212" t="s">
        <v>18465</v>
      </c>
      <c r="B6212" t="s">
        <v>18466</v>
      </c>
      <c r="C6212" t="s">
        <v>18467</v>
      </c>
      <c r="D6212" t="str">
        <f>HYPERLINK("https://github.com/TeamNewPipe/NewPipe/issues/5272","show")</f>
        <v>show</v>
      </c>
      <c r="E6212" t="str">
        <f>HYPERLINK("https://github.com/TeamNewPipe/NewPipe","show")</f>
        <v>show</v>
      </c>
      <c r="F6212" t="str">
        <f>HYPERLINK("https://github.com/TeamNewPipe/NewPipe/releases","show")</f>
        <v>show</v>
      </c>
    </row>
    <row r="6213" spans="1:6">
      <c r="A6213" t="s">
        <v>18468</v>
      </c>
      <c r="B6213" t="s">
        <v>18469</v>
      </c>
      <c r="C6213" t="s">
        <v>18470</v>
      </c>
      <c r="D6213" t="str">
        <f>HYPERLINK("https://github.com/TeamNewPipe/NewPipe-legacy/issues/55","show")</f>
        <v>show</v>
      </c>
      <c r="E6213" t="str">
        <f>HYPERLINK("https://github.com/TeamNewPipe/NewPipe-legacy","show")</f>
        <v>show</v>
      </c>
      <c r="F6213" t="str">
        <f>HYPERLINK("https://github.com/TeamNewPipe/NewPipe-legacy/releases","show")</f>
        <v>show</v>
      </c>
    </row>
    <row r="6214" spans="1:6">
      <c r="A6214" t="s">
        <v>18471</v>
      </c>
      <c r="B6214" t="s">
        <v>18472</v>
      </c>
      <c r="C6214" t="s">
        <v>18473</v>
      </c>
      <c r="D6214" t="str">
        <f>HYPERLINK("https://github.com/Anuken/Mindustry/issues/4114","show")</f>
        <v>show</v>
      </c>
      <c r="E6214" t="str">
        <f>HYPERLINK("https://github.com/Anuken/Mindustry","show")</f>
        <v>show</v>
      </c>
      <c r="F6214" t="str">
        <f>HYPERLINK("https://github.com/Anuken/Mindustry/releases","show")</f>
        <v>show</v>
      </c>
    </row>
    <row r="6215" spans="1:6">
      <c r="A6215" t="s">
        <v>18474</v>
      </c>
      <c r="B6215" t="s">
        <v>18475</v>
      </c>
      <c r="C6215" t="s">
        <v>18476</v>
      </c>
      <c r="D6215" t="str">
        <f>HYPERLINK("https://github.com/codingforceLM/IronDolphinMusicPlayer/issues/18","show")</f>
        <v>show</v>
      </c>
      <c r="E6215" t="str">
        <f>HYPERLINK("https://github.com/codingforceLM/IronDolphinMusicPlayer","show")</f>
        <v>show</v>
      </c>
      <c r="F6215" t="str">
        <f>HYPERLINK("https://github.com/codingforceLM/IronDolphinMusicPlayer/releases","show")</f>
        <v>show</v>
      </c>
    </row>
    <row r="6216" spans="1:6">
      <c r="A6216" t="s">
        <v>18477</v>
      </c>
      <c r="B6216" t="s">
        <v>18478</v>
      </c>
      <c r="C6216" t="s">
        <v>18479</v>
      </c>
      <c r="D6216" t="str">
        <f>HYPERLINK("https://github.com/Anuken/Mindustry/issues/4107","show")</f>
        <v>show</v>
      </c>
      <c r="E6216" t="str">
        <f>HYPERLINK("https://github.com/Anuken/Mindustry","show")</f>
        <v>show</v>
      </c>
      <c r="F6216" t="str">
        <f>HYPERLINK("https://github.com/Anuken/Mindustry/releases","show")</f>
        <v>show</v>
      </c>
    </row>
    <row r="6217" spans="1:6">
      <c r="A6217" t="s">
        <v>18480</v>
      </c>
      <c r="B6217" t="s">
        <v>18481</v>
      </c>
      <c r="C6217" t="s">
        <v>18482</v>
      </c>
      <c r="D6217" t="str">
        <f>HYPERLINK("https://github.com/TeamNewPipe/NewPipe/issues/5265","show")</f>
        <v>show</v>
      </c>
      <c r="E6217" t="str">
        <f>HYPERLINK("https://github.com/TeamNewPipe/NewPipe","show")</f>
        <v>show</v>
      </c>
      <c r="F6217" t="str">
        <f>HYPERLINK("https://github.com/TeamNewPipe/NewPipe/releases","show")</f>
        <v>show</v>
      </c>
    </row>
    <row r="6218" spans="1:6">
      <c r="A6218" t="s">
        <v>18483</v>
      </c>
      <c r="B6218" t="s">
        <v>18484</v>
      </c>
      <c r="C6218" t="s">
        <v>18485</v>
      </c>
      <c r="D6218" t="str">
        <f>HYPERLINK("https://github.com/Anuken/Mindustry/issues/4103","show")</f>
        <v>show</v>
      </c>
      <c r="E6218" t="str">
        <f>HYPERLINK("https://github.com/Anuken/Mindustry","show")</f>
        <v>show</v>
      </c>
      <c r="F6218" t="str">
        <f>HYPERLINK("https://github.com/Anuken/Mindustry/releases","show")</f>
        <v>show</v>
      </c>
    </row>
    <row r="6219" spans="1:6">
      <c r="A6219" t="s">
        <v>18486</v>
      </c>
      <c r="B6219" t="s">
        <v>18487</v>
      </c>
      <c r="C6219" t="s">
        <v>18488</v>
      </c>
      <c r="D6219" t="str">
        <f>HYPERLINK("https://github.com/Blankj/AndroidUtilCode/issues/1407","show")</f>
        <v>show</v>
      </c>
      <c r="E6219" t="str">
        <f>HYPERLINK("https://github.com/Blankj/AndroidUtilCode","show")</f>
        <v>show</v>
      </c>
      <c r="F6219" t="str">
        <f>HYPERLINK("https://github.com/Blankj/AndroidUtilCode/releases","show")</f>
        <v>show</v>
      </c>
    </row>
    <row r="6220" spans="1:6">
      <c r="A6220" t="s">
        <v>18489</v>
      </c>
      <c r="B6220" t="s">
        <v>18490</v>
      </c>
      <c r="C6220" t="s">
        <v>18491</v>
      </c>
      <c r="D6220" t="str">
        <f>HYPERLINK("https://github.com/NightscoutFoundation/xDrip/issues/1572","show")</f>
        <v>show</v>
      </c>
      <c r="E6220" t="str">
        <f>HYPERLINK("https://github.com/NightscoutFoundation/xDrip","show")</f>
        <v>show</v>
      </c>
      <c r="F6220" t="str">
        <f>HYPERLINK("https://github.com/NightscoutFoundation/xDrip/releases","show")</f>
        <v>show</v>
      </c>
    </row>
    <row r="6221" spans="1:6">
      <c r="A6221" t="s">
        <v>18492</v>
      </c>
      <c r="B6221" t="s">
        <v>18493</v>
      </c>
      <c r="C6221" t="s">
        <v>18494</v>
      </c>
      <c r="D6221" t="str">
        <f>HYPERLINK("https://github.com/TeamNewPipe/NewPipe/issues/5264","show")</f>
        <v>show</v>
      </c>
      <c r="E6221" t="str">
        <f>HYPERLINK("https://github.com/TeamNewPipe/NewPipe","show")</f>
        <v>show</v>
      </c>
      <c r="F6221" t="str">
        <f>HYPERLINK("https://github.com/TeamNewPipe/NewPipe/releases","show")</f>
        <v>show</v>
      </c>
    </row>
    <row r="6222" spans="1:6">
      <c r="A6222" t="s">
        <v>18495</v>
      </c>
      <c r="B6222" t="s">
        <v>18496</v>
      </c>
      <c r="C6222" t="s">
        <v>18497</v>
      </c>
      <c r="D6222" t="str">
        <f>HYPERLINK("https://github.com/TeamNewPipe/NewPipe/issues/5261","show")</f>
        <v>show</v>
      </c>
      <c r="E6222" t="str">
        <f>HYPERLINK("https://github.com/TeamNewPipe/NewPipe","show")</f>
        <v>show</v>
      </c>
      <c r="F6222" t="str">
        <f>HYPERLINK("https://github.com/TeamNewPipe/NewPipe/releases","show")</f>
        <v>show</v>
      </c>
    </row>
    <row r="6223" spans="1:6">
      <c r="A6223" t="s">
        <v>18498</v>
      </c>
      <c r="B6223" t="s">
        <v>18499</v>
      </c>
      <c r="C6223" t="s">
        <v>18500</v>
      </c>
      <c r="D6223" t="str">
        <f>HYPERLINK("https://github.com/Anuken/Mindustry/issues/4094","show")</f>
        <v>show</v>
      </c>
      <c r="E6223" t="str">
        <f>HYPERLINK("https://github.com/Anuken/Mindustry","show")</f>
        <v>show</v>
      </c>
      <c r="F6223" t="str">
        <f>HYPERLINK("https://github.com/Anuken/Mindustry/releases","show")</f>
        <v>show</v>
      </c>
    </row>
    <row r="6224" spans="1:6">
      <c r="A6224" t="s">
        <v>18501</v>
      </c>
      <c r="B6224" t="s">
        <v>18502</v>
      </c>
      <c r="C6224" t="s">
        <v>18503</v>
      </c>
      <c r="D6224" t="str">
        <f>HYPERLINK("https://github.com/wallabag/android-app/issues/1125","show")</f>
        <v>show</v>
      </c>
      <c r="E6224" t="str">
        <f>HYPERLINK("https://github.com/wallabag/android-app","show")</f>
        <v>show</v>
      </c>
      <c r="F6224" t="str">
        <f>HYPERLINK("https://github.com/wallabag/android-app/releases","show")</f>
        <v>show</v>
      </c>
    </row>
    <row r="6225" spans="1:6">
      <c r="A6225" t="s">
        <v>18504</v>
      </c>
      <c r="B6225" t="s">
        <v>18505</v>
      </c>
      <c r="C6225" t="s">
        <v>18506</v>
      </c>
      <c r="D6225" t="str">
        <f>HYPERLINK("https://github.com/Anuken/Mindustry/issues/4092","show")</f>
        <v>show</v>
      </c>
      <c r="E6225" t="str">
        <f>HYPERLINK("https://github.com/Anuken/Mindustry","show")</f>
        <v>show</v>
      </c>
      <c r="F6225" t="str">
        <f>HYPERLINK("https://github.com/Anuken/Mindustry/releases","show")</f>
        <v>show</v>
      </c>
    </row>
    <row r="6226" spans="1:6">
      <c r="A6226" t="s">
        <v>18507</v>
      </c>
      <c r="B6226" t="s">
        <v>18508</v>
      </c>
      <c r="C6226" t="s">
        <v>18509</v>
      </c>
      <c r="D6226" t="str">
        <f>HYPERLINK("https://github.com/microg/GmsCore/issues/1335","show")</f>
        <v>show</v>
      </c>
      <c r="E6226" t="str">
        <f>HYPERLINK("https://github.com/microg/GmsCore","show")</f>
        <v>show</v>
      </c>
      <c r="F6226" t="str">
        <f>HYPERLINK("https://github.com/microg/GmsCore/releases","show")</f>
        <v>show</v>
      </c>
    </row>
    <row r="6227" spans="1:6">
      <c r="A6227" t="s">
        <v>18510</v>
      </c>
      <c r="B6227" t="s">
        <v>18511</v>
      </c>
      <c r="C6227" t="s">
        <v>18512</v>
      </c>
      <c r="D6227" t="str">
        <f>HYPERLINK("https://github.com/MuntashirAkon/AppManager/issues/201","show")</f>
        <v>show</v>
      </c>
      <c r="E6227" t="str">
        <f>HYPERLINK("https://github.com/MuntashirAkon/AppManager","show")</f>
        <v>show</v>
      </c>
      <c r="F6227" t="str">
        <f>HYPERLINK("https://github.com/MuntashirAkon/AppManager/releases","show")</f>
        <v>show</v>
      </c>
    </row>
    <row r="6228" spans="1:6">
      <c r="A6228" t="s">
        <v>18513</v>
      </c>
      <c r="B6228" t="s">
        <v>18514</v>
      </c>
      <c r="C6228" t="s">
        <v>18515</v>
      </c>
      <c r="D6228" t="str">
        <f>HYPERLINK("https://github.com/TeamNewPipe/NewPipe/issues/5256","show")</f>
        <v>show</v>
      </c>
      <c r="E6228" t="str">
        <f>HYPERLINK("https://github.com/TeamNewPipe/NewPipe","show")</f>
        <v>show</v>
      </c>
      <c r="F6228" t="str">
        <f>HYPERLINK("https://github.com/TeamNewPipe/NewPipe/releases","show")</f>
        <v>show</v>
      </c>
    </row>
    <row r="6229" spans="1:6">
      <c r="A6229" t="s">
        <v>18516</v>
      </c>
      <c r="B6229" t="s">
        <v>18517</v>
      </c>
      <c r="C6229" t="s">
        <v>18518</v>
      </c>
      <c r="D6229" t="str">
        <f>HYPERLINK("https://github.com/AOF-Dev/MCinaBox/issues/757","show")</f>
        <v>show</v>
      </c>
      <c r="E6229" t="str">
        <f>HYPERLINK("https://github.com/AOF-Dev/MCinaBox","show")</f>
        <v>show</v>
      </c>
      <c r="F6229" t="str">
        <f>HYPERLINK("https://github.com/AOF-Dev/MCinaBox/releases","show")</f>
        <v>show</v>
      </c>
    </row>
    <row r="6230" spans="1:6">
      <c r="A6230" t="s">
        <v>18519</v>
      </c>
      <c r="B6230" t="s">
        <v>18520</v>
      </c>
      <c r="C6230" t="s">
        <v>18521</v>
      </c>
      <c r="D6230" t="str">
        <f>HYPERLINK("https://github.com/ElderDrivers/EdXposed/issues/756","show")</f>
        <v>show</v>
      </c>
      <c r="E6230" t="str">
        <f>HYPERLINK("https://github.com/ElderDrivers/EdXposed","show")</f>
        <v>show</v>
      </c>
      <c r="F6230" t="str">
        <f>HYPERLINK("https://github.com/ElderDrivers/EdXposed/releases","show")</f>
        <v>show</v>
      </c>
    </row>
    <row r="6231" spans="1:6">
      <c r="A6231" t="s">
        <v>18522</v>
      </c>
      <c r="B6231" t="s">
        <v>18523</v>
      </c>
      <c r="C6231" t="s">
        <v>18524</v>
      </c>
      <c r="D6231" t="str">
        <f>HYPERLINK("https://github.com/ElderDrivers/EdXposed/issues/755","show")</f>
        <v>show</v>
      </c>
      <c r="E6231" t="str">
        <f>HYPERLINK("https://github.com/ElderDrivers/EdXposed","show")</f>
        <v>show</v>
      </c>
      <c r="F6231" t="str">
        <f>HYPERLINK("https://github.com/ElderDrivers/EdXposed/releases","show")</f>
        <v>show</v>
      </c>
    </row>
    <row r="6232" spans="1:6">
      <c r="A6232" t="s">
        <v>18525</v>
      </c>
      <c r="B6232" t="s">
        <v>18526</v>
      </c>
      <c r="C6232" t="s">
        <v>18527</v>
      </c>
      <c r="D6232" t="str">
        <f>HYPERLINK("https://github.com/TeamNewPipe/NewPipe/issues/5255","show")</f>
        <v>show</v>
      </c>
      <c r="E6232" t="str">
        <f>HYPERLINK("https://github.com/TeamNewPipe/NewPipe","show")</f>
        <v>show</v>
      </c>
      <c r="F6232" t="str">
        <f>HYPERLINK("https://github.com/TeamNewPipe/NewPipe/releases","show")</f>
        <v>show</v>
      </c>
    </row>
    <row r="6233" spans="1:6">
      <c r="A6233" t="s">
        <v>18528</v>
      </c>
      <c r="B6233" t="s">
        <v>18529</v>
      </c>
      <c r="C6233" t="s">
        <v>18530</v>
      </c>
      <c r="D6233" t="str">
        <f>HYPERLINK("https://github.com/PojavLauncherTeam/PojavLauncher/issues/530","show")</f>
        <v>show</v>
      </c>
      <c r="E6233" t="str">
        <f>HYPERLINK("https://github.com/PojavLauncherTeam/PojavLauncher","show")</f>
        <v>show</v>
      </c>
      <c r="F6233" t="str">
        <f>HYPERLINK("https://github.com/PojavLauncherTeam/PojavLauncher/releases","show")</f>
        <v>show</v>
      </c>
    </row>
    <row r="6234" spans="1:6">
      <c r="A6234" t="s">
        <v>18531</v>
      </c>
      <c r="B6234" t="s">
        <v>18532</v>
      </c>
      <c r="C6234" t="s">
        <v>18533</v>
      </c>
      <c r="D6234" t="str">
        <f>HYPERLINK("https://github.com/Anuken/Mindustry/issues/4082","show")</f>
        <v>show</v>
      </c>
      <c r="E6234" t="str">
        <f>HYPERLINK("https://github.com/Anuken/Mindustry","show")</f>
        <v>show</v>
      </c>
      <c r="F6234" t="str">
        <f>HYPERLINK("https://github.com/Anuken/Mindustry/releases","show")</f>
        <v>show</v>
      </c>
    </row>
    <row r="6235" spans="1:6">
      <c r="A6235" t="s">
        <v>18534</v>
      </c>
      <c r="B6235" t="s">
        <v>18535</v>
      </c>
      <c r="C6235" t="s">
        <v>18536</v>
      </c>
      <c r="D6235" t="str">
        <f>HYPERLINK("https://github.com/commons-app/apps-android-commons/issues/4123","show")</f>
        <v>show</v>
      </c>
      <c r="E6235" t="str">
        <f>HYPERLINK("https://github.com/commons-app/apps-android-commons","show")</f>
        <v>show</v>
      </c>
      <c r="F6235" t="str">
        <f>HYPERLINK("https://github.com/commons-app/apps-android-commons/releases","show")</f>
        <v>show</v>
      </c>
    </row>
    <row r="6236" spans="1:6">
      <c r="A6236" t="s">
        <v>18537</v>
      </c>
      <c r="B6236" t="s">
        <v>18538</v>
      </c>
      <c r="C6236" t="s">
        <v>18539</v>
      </c>
      <c r="D6236" t="str">
        <f>HYPERLINK("https://github.com/k9mail/k-9/issues/5077","show")</f>
        <v>show</v>
      </c>
      <c r="E6236" t="str">
        <f>HYPERLINK("https://github.com/k9mail/k-9","show")</f>
        <v>show</v>
      </c>
      <c r="F6236" t="str">
        <f>HYPERLINK("https://github.com/k9mail/k-9/releases","show")</f>
        <v>show</v>
      </c>
    </row>
    <row r="6237" spans="1:6">
      <c r="A6237" t="s">
        <v>18540</v>
      </c>
      <c r="B6237" t="s">
        <v>18541</v>
      </c>
      <c r="C6237" t="s">
        <v>18542</v>
      </c>
      <c r="D6237" t="str">
        <f>HYPERLINK("https://github.com/Technical-Hackers/Health-Log/issues/35","show")</f>
        <v>show</v>
      </c>
      <c r="E6237" t="str">
        <f>HYPERLINK("https://github.com/Technical-Hackers/Health-Log","show")</f>
        <v>show</v>
      </c>
      <c r="F6237" t="str">
        <f>HYPERLINK("https://github.com/Technical-Hackers/Health-Log/releases","show")</f>
        <v>show</v>
      </c>
    </row>
    <row r="6238" spans="1:6">
      <c r="A6238" t="s">
        <v>18543</v>
      </c>
      <c r="B6238" t="s">
        <v>18544</v>
      </c>
      <c r="C6238" t="s">
        <v>18545</v>
      </c>
      <c r="D6238" t="str">
        <f>HYPERLINK("https://github.com/gcacace/android-signaturepad/issues/163","show")</f>
        <v>show</v>
      </c>
      <c r="E6238" t="str">
        <f>HYPERLINK("https://github.com/gcacace/android-signaturepad","show")</f>
        <v>show</v>
      </c>
      <c r="F6238" t="str">
        <f>HYPERLINK("https://github.com/gcacace/android-signaturepad/releases","show")</f>
        <v>show</v>
      </c>
    </row>
    <row r="6239" spans="1:6">
      <c r="A6239" t="s">
        <v>18546</v>
      </c>
      <c r="B6239" t="s">
        <v>18547</v>
      </c>
      <c r="C6239" t="s">
        <v>18548</v>
      </c>
      <c r="D6239" t="str">
        <f>HYPERLINK("https://github.com/opensrp/opensrp-client-goldsmith/issues/47","show")</f>
        <v>show</v>
      </c>
      <c r="E6239" t="str">
        <f>HYPERLINK("https://github.com/opensrp/opensrp-client-goldsmith","show")</f>
        <v>show</v>
      </c>
      <c r="F6239" t="str">
        <f>HYPERLINK("https://github.com/opensrp/opensrp-client-goldsmith/releases","show")</f>
        <v>show</v>
      </c>
    </row>
    <row r="6240" spans="1:6">
      <c r="A6240" t="s">
        <v>18549</v>
      </c>
      <c r="B6240" t="s">
        <v>18550</v>
      </c>
      <c r="C6240" t="s">
        <v>18551</v>
      </c>
      <c r="D6240" t="str">
        <f>HYPERLINK("https://github.com/ElderDrivers/EdXposed/issues/747","show")</f>
        <v>show</v>
      </c>
      <c r="E6240" t="str">
        <f>HYPERLINK("https://github.com/ElderDrivers/EdXposed","show")</f>
        <v>show</v>
      </c>
      <c r="F6240" t="str">
        <f>HYPERLINK("https://github.com/ElderDrivers/EdXposed/releases","show")</f>
        <v>show</v>
      </c>
    </row>
    <row r="6241" spans="1:6">
      <c r="A6241" t="s">
        <v>18552</v>
      </c>
      <c r="B6241" t="s">
        <v>18553</v>
      </c>
      <c r="C6241" t="s">
        <v>18554</v>
      </c>
      <c r="D6241" t="str">
        <f>HYPERLINK("https://github.com/Anuken/Mindustry/issues/4067","show")</f>
        <v>show</v>
      </c>
      <c r="E6241" t="str">
        <f>HYPERLINK("https://github.com/Anuken/Mindustry","show")</f>
        <v>show</v>
      </c>
      <c r="F6241" t="str">
        <f>HYPERLINK("https://github.com/Anuken/Mindustry/releases","show")</f>
        <v>show</v>
      </c>
    </row>
    <row r="6242" spans="1:6">
      <c r="A6242" t="s">
        <v>18555</v>
      </c>
      <c r="B6242" t="s">
        <v>18556</v>
      </c>
      <c r="C6242" t="s">
        <v>18557</v>
      </c>
      <c r="D6242" t="str">
        <f>HYPERLINK("https://github.com/wiglenet/wigle-wifi-wardriving/issues/457","show")</f>
        <v>show</v>
      </c>
      <c r="E6242" t="str">
        <f>HYPERLINK("https://github.com/wiglenet/wigle-wifi-wardriving","show")</f>
        <v>show</v>
      </c>
      <c r="F6242" t="str">
        <f>HYPERLINK("https://github.com/wiglenet/wigle-wifi-wardriving/releases","show")</f>
        <v>show</v>
      </c>
    </row>
    <row r="6243" spans="1:6">
      <c r="A6243" t="s">
        <v>18558</v>
      </c>
      <c r="B6243" t="s">
        <v>18559</v>
      </c>
      <c r="C6243" t="s">
        <v>18560</v>
      </c>
      <c r="D6243" t="str">
        <f>HYPERLINK("https://github.com/tchapgouv/tchap-android-legacy/issues/693","show")</f>
        <v>show</v>
      </c>
      <c r="E6243" t="str">
        <f>HYPERLINK("https://github.com/tchapgouv/tchap-android-legacy","show")</f>
        <v>show</v>
      </c>
      <c r="F6243" t="str">
        <f>HYPERLINK("https://github.com/tchapgouv/tchap-android-legacy/releases","show")</f>
        <v>show</v>
      </c>
    </row>
    <row r="6244" spans="1:6">
      <c r="A6244" t="s">
        <v>18561</v>
      </c>
      <c r="B6244" t="s">
        <v>18562</v>
      </c>
      <c r="C6244" t="s">
        <v>18563</v>
      </c>
      <c r="D6244" t="str">
        <f>HYPERLINK("https://github.com/material-components/material-components-android/issues/1946","show")</f>
        <v>show</v>
      </c>
      <c r="E6244" t="str">
        <f>HYPERLINK("https://github.com/material-components/material-components-android","show")</f>
        <v>show</v>
      </c>
      <c r="F6244" t="str">
        <f>HYPERLINK("https://github.com/material-components/material-components-android/releases","show")</f>
        <v>show</v>
      </c>
    </row>
    <row r="6245" spans="1:6">
      <c r="A6245" t="s">
        <v>18564</v>
      </c>
      <c r="B6245" t="s">
        <v>18565</v>
      </c>
      <c r="C6245" t="s">
        <v>18566</v>
      </c>
      <c r="D6245" t="str">
        <f>HYPERLINK("https://github.com/Anuken/Mindustry/issues/4064","show")</f>
        <v>show</v>
      </c>
      <c r="E6245" t="str">
        <f>HYPERLINK("https://github.com/Anuken/Mindustry","show")</f>
        <v>show</v>
      </c>
      <c r="F6245" t="str">
        <f>HYPERLINK("https://github.com/Anuken/Mindustry/releases","show")</f>
        <v>show</v>
      </c>
    </row>
    <row r="6246" spans="1:6">
      <c r="A6246" t="s">
        <v>18567</v>
      </c>
      <c r="B6246" t="s">
        <v>18568</v>
      </c>
      <c r="C6246" t="s">
        <v>18569</v>
      </c>
      <c r="D6246" t="str">
        <f>HYPERLINK("https://github.com/PojavLauncherTeam/PojavLauncher/issues/527","show")</f>
        <v>show</v>
      </c>
      <c r="E6246" t="str">
        <f>HYPERLINK("https://github.com/PojavLauncherTeam/PojavLauncher","show")</f>
        <v>show</v>
      </c>
      <c r="F6246" t="str">
        <f>HYPERLINK("https://github.com/PojavLauncherTeam/PojavLauncher/releases","show")</f>
        <v>show</v>
      </c>
    </row>
    <row r="6247" spans="1:6">
      <c r="A6247" t="s">
        <v>18570</v>
      </c>
      <c r="B6247" t="s">
        <v>18571</v>
      </c>
      <c r="C6247" t="s">
        <v>18572</v>
      </c>
      <c r="D6247" t="str">
        <f>HYPERLINK("https://github.com/Anuken/Mindustry/issues/4062","show")</f>
        <v>show</v>
      </c>
      <c r="E6247" t="str">
        <f>HYPERLINK("https://github.com/Anuken/Mindustry","show")</f>
        <v>show</v>
      </c>
      <c r="F6247" t="str">
        <f>HYPERLINK("https://github.com/Anuken/Mindustry/releases","show")</f>
        <v>show</v>
      </c>
    </row>
    <row r="6248" spans="1:6">
      <c r="A6248" t="s">
        <v>18573</v>
      </c>
      <c r="B6248" t="s">
        <v>18574</v>
      </c>
      <c r="C6248" t="s">
        <v>18575</v>
      </c>
      <c r="D6248" t="str">
        <f>HYPERLINK("https://github.com/cgeo/WhereYouGo/issues/244","show")</f>
        <v>show</v>
      </c>
      <c r="E6248" t="str">
        <f>HYPERLINK("https://github.com/cgeo/WhereYouGo","show")</f>
        <v>show</v>
      </c>
      <c r="F6248" t="str">
        <f>HYPERLINK("https://github.com/cgeo/WhereYouGo/releases","show")</f>
        <v>show</v>
      </c>
    </row>
    <row r="6249" spans="1:6">
      <c r="A6249" t="s">
        <v>18576</v>
      </c>
      <c r="B6249" t="s">
        <v>18577</v>
      </c>
      <c r="C6249" t="s">
        <v>18578</v>
      </c>
      <c r="D6249" t="str">
        <f>HYPERLINK("https://github.com/Blankj/AndroidUtilCode/issues/1404","show")</f>
        <v>show</v>
      </c>
      <c r="E6249" t="str">
        <f>HYPERLINK("https://github.com/Blankj/AndroidUtilCode","show")</f>
        <v>show</v>
      </c>
      <c r="F6249" t="str">
        <f>HYPERLINK("https://github.com/Blankj/AndroidUtilCode/releases","show")</f>
        <v>show</v>
      </c>
    </row>
    <row r="6250" spans="1:6">
      <c r="A6250" t="s">
        <v>18579</v>
      </c>
      <c r="B6250" t="s">
        <v>18580</v>
      </c>
      <c r="C6250" t="s">
        <v>18581</v>
      </c>
      <c r="D6250" t="str">
        <f>HYPERLINK("https://github.com/TeamNewPipe/NewPipe/issues/5242","show")</f>
        <v>show</v>
      </c>
      <c r="E6250" t="str">
        <f>HYPERLINK("https://github.com/TeamNewPipe/NewPipe","show")</f>
        <v>show</v>
      </c>
      <c r="F6250" t="str">
        <f>HYPERLINK("https://github.com/TeamNewPipe/NewPipe/releases","show")</f>
        <v>show</v>
      </c>
    </row>
    <row r="6251" spans="1:6">
      <c r="A6251" t="s">
        <v>18582</v>
      </c>
      <c r="B6251" t="s">
        <v>18583</v>
      </c>
      <c r="C6251" t="s">
        <v>18584</v>
      </c>
      <c r="D6251" t="str">
        <f>HYPERLINK("https://github.com/TeamNewPipe/NewPipe/issues/5241","show")</f>
        <v>show</v>
      </c>
      <c r="E6251" t="str">
        <f>HYPERLINK("https://github.com/TeamNewPipe/NewPipe","show")</f>
        <v>show</v>
      </c>
      <c r="F6251" t="str">
        <f>HYPERLINK("https://github.com/TeamNewPipe/NewPipe/releases","show")</f>
        <v>show</v>
      </c>
    </row>
    <row r="6252" spans="1:6">
      <c r="A6252" t="s">
        <v>18585</v>
      </c>
      <c r="B6252" t="s">
        <v>18586</v>
      </c>
      <c r="C6252" t="s">
        <v>18587</v>
      </c>
      <c r="D6252" t="str">
        <f>HYPERLINK("https://github.com/Anuken/Mindustry/issues/4058","show")</f>
        <v>show</v>
      </c>
      <c r="E6252" t="str">
        <f>HYPERLINK("https://github.com/Anuken/Mindustry","show")</f>
        <v>show</v>
      </c>
      <c r="F6252" t="str">
        <f>HYPERLINK("https://github.com/Anuken/Mindustry/releases","show")</f>
        <v>show</v>
      </c>
    </row>
    <row r="6253" spans="1:6">
      <c r="A6253" t="s">
        <v>18588</v>
      </c>
      <c r="B6253" t="s">
        <v>18589</v>
      </c>
      <c r="C6253" t="s">
        <v>18590</v>
      </c>
      <c r="D6253" t="str">
        <f>HYPERLINK("https://github.com/PojavLauncherTeam/PojavLauncher/issues/523","show")</f>
        <v>show</v>
      </c>
      <c r="E6253" t="str">
        <f>HYPERLINK("https://github.com/PojavLauncherTeam/PojavLauncher","show")</f>
        <v>show</v>
      </c>
      <c r="F6253" t="str">
        <f>HYPERLINK("https://github.com/PojavLauncherTeam/PojavLauncher/releases","show")</f>
        <v>show</v>
      </c>
    </row>
    <row r="6254" spans="1:6">
      <c r="A6254" t="s">
        <v>18591</v>
      </c>
      <c r="B6254" t="s">
        <v>18592</v>
      </c>
      <c r="C6254" t="s">
        <v>18593</v>
      </c>
      <c r="D6254" t="str">
        <f>HYPERLINK("https://github.com/nextcloud/android/issues/7704","show")</f>
        <v>show</v>
      </c>
      <c r="E6254" t="str">
        <f>HYPERLINK("https://github.com/nextcloud/android","show")</f>
        <v>show</v>
      </c>
      <c r="F6254" t="str">
        <f>HYPERLINK("https://github.com/nextcloud/android/releases","show")</f>
        <v>show</v>
      </c>
    </row>
    <row r="6255" spans="1:6">
      <c r="A6255" t="s">
        <v>18594</v>
      </c>
      <c r="B6255" t="s">
        <v>18595</v>
      </c>
      <c r="C6255" t="s">
        <v>18596</v>
      </c>
      <c r="D6255" t="str">
        <f>HYPERLINK("https://github.com/microg/GmsCore/issues/1327","show")</f>
        <v>show</v>
      </c>
      <c r="E6255" t="str">
        <f>HYPERLINK("https://github.com/microg/GmsCore","show")</f>
        <v>show</v>
      </c>
      <c r="F6255" t="str">
        <f>HYPERLINK("https://github.com/microg/GmsCore/releases","show")</f>
        <v>show</v>
      </c>
    </row>
    <row r="6256" spans="1:6">
      <c r="A6256" t="s">
        <v>18597</v>
      </c>
      <c r="B6256" t="s">
        <v>18598</v>
      </c>
      <c r="C6256" t="s">
        <v>18599</v>
      </c>
      <c r="D6256" t="str">
        <f>HYPERLINK("https://github.com/abdelazizak2012/andriod/issues/6","show")</f>
        <v>show</v>
      </c>
      <c r="E6256" t="str">
        <f>HYPERLINK("https://github.com/abdelazizak2012/andriod","show")</f>
        <v>show</v>
      </c>
      <c r="F6256" t="str">
        <f>HYPERLINK("https://github.com/abdelazizak2012/andriod/releases","show")</f>
        <v>show</v>
      </c>
    </row>
    <row r="6257" spans="1:6">
      <c r="A6257" t="s">
        <v>18600</v>
      </c>
      <c r="B6257" t="s">
        <v>18601</v>
      </c>
      <c r="C6257" t="s">
        <v>18602</v>
      </c>
      <c r="D6257" t="str">
        <f>HYPERLINK("https://github.com/TeamNewPipe/NewPipe/issues/5234","show")</f>
        <v>show</v>
      </c>
      <c r="E6257" t="str">
        <f>HYPERLINK("https://github.com/TeamNewPipe/NewPipe","show")</f>
        <v>show</v>
      </c>
      <c r="F6257" t="str">
        <f>HYPERLINK("https://github.com/TeamNewPipe/NewPipe/releases","show")</f>
        <v>show</v>
      </c>
    </row>
    <row r="6258" spans="1:6">
      <c r="A6258" t="s">
        <v>18603</v>
      </c>
      <c r="B6258" t="s">
        <v>18604</v>
      </c>
      <c r="C6258" t="s">
        <v>18605</v>
      </c>
      <c r="D6258" t="str">
        <f>HYPERLINK("https://github.com/ankidroid/Anki-Android/issues/7918","show")</f>
        <v>show</v>
      </c>
      <c r="E6258" t="str">
        <f>HYPERLINK("https://github.com/ankidroid/Anki-Android","show")</f>
        <v>show</v>
      </c>
      <c r="F6258" t="str">
        <f>HYPERLINK("https://github.com/ankidroid/Anki-Android/releases","show")</f>
        <v>show</v>
      </c>
    </row>
    <row r="6259" spans="1:6">
      <c r="A6259" t="s">
        <v>18606</v>
      </c>
      <c r="B6259" t="s">
        <v>18607</v>
      </c>
      <c r="C6259" t="s">
        <v>18608</v>
      </c>
      <c r="D6259" t="str">
        <f>HYPERLINK("https://github.com/Anuken/Mindustry/issues/4050","show")</f>
        <v>show</v>
      </c>
      <c r="E6259" t="str">
        <f>HYPERLINK("https://github.com/Anuken/Mindustry","show")</f>
        <v>show</v>
      </c>
      <c r="F6259" t="str">
        <f>HYPERLINK("https://github.com/Anuken/Mindustry/releases","show")</f>
        <v>show</v>
      </c>
    </row>
    <row r="6260" spans="1:6">
      <c r="A6260" t="s">
        <v>18609</v>
      </c>
      <c r="B6260" t="s">
        <v>18610</v>
      </c>
      <c r="C6260" t="s">
        <v>18611</v>
      </c>
      <c r="D6260" t="str">
        <f>HYPERLINK("https://github.com/AOF-Dev/MCinaBox/issues/753","show")</f>
        <v>show</v>
      </c>
      <c r="E6260" t="str">
        <f>HYPERLINK("https://github.com/AOF-Dev/MCinaBox","show")</f>
        <v>show</v>
      </c>
      <c r="F6260" t="str">
        <f>HYPERLINK("https://github.com/AOF-Dev/MCinaBox/releases","show")</f>
        <v>show</v>
      </c>
    </row>
    <row r="6261" spans="1:6">
      <c r="A6261" t="s">
        <v>18612</v>
      </c>
      <c r="B6261" t="s">
        <v>107</v>
      </c>
      <c r="C6261" t="s">
        <v>18613</v>
      </c>
      <c r="D6261" t="str">
        <f>HYPERLINK("https://github.com/AOF-Dev/MCinaBox/issues/750","show")</f>
        <v>show</v>
      </c>
      <c r="E6261" t="str">
        <f>HYPERLINK("https://github.com/AOF-Dev/MCinaBox","show")</f>
        <v>show</v>
      </c>
      <c r="F6261" t="str">
        <f>HYPERLINK("https://github.com/AOF-Dev/MCinaBox/releases","show")</f>
        <v>show</v>
      </c>
    </row>
    <row r="6262" spans="1:6">
      <c r="A6262" t="s">
        <v>18614</v>
      </c>
      <c r="B6262" t="s">
        <v>18615</v>
      </c>
      <c r="C6262" t="s">
        <v>18616</v>
      </c>
      <c r="D6262" t="str">
        <f>HYPERLINK("https://github.com/Anuken/Mindustry/issues/4044","show")</f>
        <v>show</v>
      </c>
      <c r="E6262" t="str">
        <f>HYPERLINK("https://github.com/Anuken/Mindustry","show")</f>
        <v>show</v>
      </c>
      <c r="F6262" t="str">
        <f>HYPERLINK("https://github.com/Anuken/Mindustry/releases","show")</f>
        <v>show</v>
      </c>
    </row>
    <row r="6263" spans="1:6">
      <c r="A6263" t="s">
        <v>18617</v>
      </c>
      <c r="B6263" t="s">
        <v>18618</v>
      </c>
      <c r="C6263" t="s">
        <v>18619</v>
      </c>
      <c r="D6263" t="str">
        <f>HYPERLINK("https://github.com/TeamNewPipe/NewPipe/issues/5222","show")</f>
        <v>show</v>
      </c>
      <c r="E6263" t="str">
        <f>HYPERLINK("https://github.com/TeamNewPipe/NewPipe","show")</f>
        <v>show</v>
      </c>
      <c r="F6263" t="str">
        <f>HYPERLINK("https://github.com/TeamNewPipe/NewPipe/releases","show")</f>
        <v>show</v>
      </c>
    </row>
    <row r="6264" spans="1:6">
      <c r="A6264" t="s">
        <v>18620</v>
      </c>
      <c r="B6264" t="s">
        <v>18621</v>
      </c>
      <c r="C6264" t="s">
        <v>18622</v>
      </c>
      <c r="D6264" t="str">
        <f>HYPERLINK("https://github.com/TeamNewPipe/NewPipe/issues/5220","show")</f>
        <v>show</v>
      </c>
      <c r="E6264" t="str">
        <f>HYPERLINK("https://github.com/TeamNewPipe/NewPipe","show")</f>
        <v>show</v>
      </c>
      <c r="F6264" t="str">
        <f>HYPERLINK("https://github.com/TeamNewPipe/NewPipe/releases","show")</f>
        <v>show</v>
      </c>
    </row>
    <row r="6265" spans="1:6">
      <c r="A6265" t="s">
        <v>18623</v>
      </c>
      <c r="B6265" t="s">
        <v>18624</v>
      </c>
      <c r="C6265" t="s">
        <v>18625</v>
      </c>
      <c r="D6265" t="str">
        <f>HYPERLINK("https://github.com/chalalala/OnlineMusicPlayer/issues/13","show")</f>
        <v>show</v>
      </c>
      <c r="E6265" t="str">
        <f>HYPERLINK("https://github.com/chalalala/OnlineMusicPlayer","show")</f>
        <v>show</v>
      </c>
      <c r="F6265" t="str">
        <f>HYPERLINK("https://github.com/chalalala/OnlineMusicPlayer/releases","show")</f>
        <v>show</v>
      </c>
    </row>
    <row r="6266" spans="1:6">
      <c r="A6266" t="s">
        <v>18626</v>
      </c>
      <c r="B6266" t="s">
        <v>18627</v>
      </c>
      <c r="C6266" t="s">
        <v>18628</v>
      </c>
      <c r="D6266" t="str">
        <f>HYPERLINK("https://github.com/opentok/opentok-react-native/issues/462","show")</f>
        <v>show</v>
      </c>
      <c r="E6266" t="str">
        <f>HYPERLINK("https://github.com/opentok/opentok-react-native","show")</f>
        <v>show</v>
      </c>
      <c r="F6266" t="str">
        <f>HYPERLINK("https://github.com/opentok/opentok-react-native/releases","show")</f>
        <v>show</v>
      </c>
    </row>
    <row r="6267" spans="1:6">
      <c r="A6267" t="s">
        <v>18629</v>
      </c>
      <c r="B6267" t="s">
        <v>18630</v>
      </c>
      <c r="C6267" t="s">
        <v>18631</v>
      </c>
      <c r="D6267" t="str">
        <f>HYPERLINK("https://github.com/canyie/pine/issues/5","show")</f>
        <v>show</v>
      </c>
      <c r="E6267" t="str">
        <f>HYPERLINK("https://github.com/canyie/pine","show")</f>
        <v>show</v>
      </c>
      <c r="F6267" t="str">
        <f>HYPERLINK("https://github.com/canyie/pine/releases","show")</f>
        <v>show</v>
      </c>
    </row>
    <row r="6268" spans="1:6">
      <c r="A6268" t="s">
        <v>18632</v>
      </c>
      <c r="B6268" t="s">
        <v>18633</v>
      </c>
      <c r="C6268" t="s">
        <v>18634</v>
      </c>
      <c r="D6268" t="str">
        <f>HYPERLINK("https://github.com/barbeau/gpstest/issues/463","show")</f>
        <v>show</v>
      </c>
      <c r="E6268" t="str">
        <f>HYPERLINK("https://github.com/barbeau/gpstest","show")</f>
        <v>show</v>
      </c>
      <c r="F6268" t="str">
        <f>HYPERLINK("https://github.com/barbeau/gpstest/releases","show")</f>
        <v>show</v>
      </c>
    </row>
    <row r="6269" spans="1:6">
      <c r="A6269" t="s">
        <v>18635</v>
      </c>
      <c r="B6269" t="s">
        <v>18636</v>
      </c>
      <c r="C6269" t="s">
        <v>18637</v>
      </c>
      <c r="D6269" t="str">
        <f>HYPERLINK("https://github.com/Anuken/Mindustry/issues/4033","show")</f>
        <v>show</v>
      </c>
      <c r="E6269" t="str">
        <f>HYPERLINK("https://github.com/Anuken/Mindustry","show")</f>
        <v>show</v>
      </c>
      <c r="F6269" t="str">
        <f>HYPERLINK("https://github.com/Anuken/Mindustry/releases","show")</f>
        <v>show</v>
      </c>
    </row>
    <row r="6270" spans="1:6">
      <c r="A6270" t="s">
        <v>18638</v>
      </c>
      <c r="B6270" t="s">
        <v>18639</v>
      </c>
      <c r="C6270" t="s">
        <v>18640</v>
      </c>
      <c r="D6270" t="str">
        <f>HYPERLINK("https://github.com/opensrp/opensrp-client-goldsmith/issues/46","show")</f>
        <v>show</v>
      </c>
      <c r="E6270" t="str">
        <f>HYPERLINK("https://github.com/opensrp/opensrp-client-goldsmith","show")</f>
        <v>show</v>
      </c>
      <c r="F6270" t="str">
        <f>HYPERLINK("https://github.com/opensrp/opensrp-client-goldsmith/releases","show")</f>
        <v>show</v>
      </c>
    </row>
    <row r="6271" spans="1:6">
      <c r="A6271" t="s">
        <v>18641</v>
      </c>
      <c r="B6271" t="s">
        <v>18642</v>
      </c>
      <c r="C6271" t="s">
        <v>18643</v>
      </c>
      <c r="D6271" t="str">
        <f>HYPERLINK("https://github.com/gsantner/markor/issues/1162","show")</f>
        <v>show</v>
      </c>
      <c r="E6271" t="str">
        <f>HYPERLINK("https://github.com/gsantner/markor","show")</f>
        <v>show</v>
      </c>
      <c r="F6271" t="str">
        <f>HYPERLINK("https://github.com/gsantner/markor/releases","show")</f>
        <v>show</v>
      </c>
    </row>
    <row r="6272" spans="1:6">
      <c r="A6272" t="s">
        <v>18644</v>
      </c>
      <c r="B6272" t="s">
        <v>18645</v>
      </c>
      <c r="C6272" t="s">
        <v>18646</v>
      </c>
      <c r="D6272" t="str">
        <f>HYPERLINK("https://github.com/commons-app/apps-android-commons/issues/4116","show")</f>
        <v>show</v>
      </c>
      <c r="E6272" t="str">
        <f>HYPERLINK("https://github.com/commons-app/apps-android-commons","show")</f>
        <v>show</v>
      </c>
      <c r="F6272" t="str">
        <f>HYPERLINK("https://github.com/commons-app/apps-android-commons/releases","show")</f>
        <v>show</v>
      </c>
    </row>
    <row r="6273" spans="1:6">
      <c r="A6273" t="s">
        <v>18647</v>
      </c>
      <c r="B6273" t="s">
        <v>18648</v>
      </c>
      <c r="C6273" t="s">
        <v>18649</v>
      </c>
      <c r="D6273" t="str">
        <f>HYPERLINK("https://github.com/material-components/material-components-android/issues/1936","show")</f>
        <v>show</v>
      </c>
      <c r="E6273" t="str">
        <f>HYPERLINK("https://github.com/material-components/material-components-android","show")</f>
        <v>show</v>
      </c>
      <c r="F6273" t="str">
        <f>HYPERLINK("https://github.com/material-components/material-components-android/releases","show")</f>
        <v>show</v>
      </c>
    </row>
    <row r="6274" spans="1:6">
      <c r="A6274" t="s">
        <v>18650</v>
      </c>
      <c r="B6274" t="s">
        <v>18651</v>
      </c>
      <c r="C6274" t="s">
        <v>18652</v>
      </c>
      <c r="D6274" t="str">
        <f>HYPERLINK("https://github.com/ElderDrivers/EdXposed/issues/740","show")</f>
        <v>show</v>
      </c>
      <c r="E6274" t="str">
        <f>HYPERLINK("https://github.com/ElderDrivers/EdXposed","show")</f>
        <v>show</v>
      </c>
      <c r="F6274" t="str">
        <f>HYPERLINK("https://github.com/ElderDrivers/EdXposed/releases","show")</f>
        <v>show</v>
      </c>
    </row>
    <row r="6275" spans="1:6">
      <c r="A6275" t="s">
        <v>18653</v>
      </c>
      <c r="B6275" t="s">
        <v>18654</v>
      </c>
      <c r="C6275" t="s">
        <v>18655</v>
      </c>
      <c r="D6275" t="str">
        <f>HYPERLINK("https://github.com/nwrkbiz/android-xserver/issues/6","show")</f>
        <v>show</v>
      </c>
      <c r="E6275" t="str">
        <f>HYPERLINK("https://github.com/nwrkbiz/android-xserver","show")</f>
        <v>show</v>
      </c>
      <c r="F6275" t="str">
        <f>HYPERLINK("https://github.com/nwrkbiz/android-xserver/releases","show")</f>
        <v>show</v>
      </c>
    </row>
    <row r="6276" spans="1:6">
      <c r="A6276" t="s">
        <v>18656</v>
      </c>
      <c r="B6276" t="s">
        <v>18657</v>
      </c>
      <c r="C6276" t="s">
        <v>18658</v>
      </c>
      <c r="D6276" t="str">
        <f>HYPERLINK("https://github.com/TeamNewPipe/NewPipe/issues/5211","show")</f>
        <v>show</v>
      </c>
      <c r="E6276" t="str">
        <f>HYPERLINK("https://github.com/TeamNewPipe/NewPipe","show")</f>
        <v>show</v>
      </c>
      <c r="F6276" t="str">
        <f>HYPERLINK("https://github.com/TeamNewPipe/NewPipe/releases","show")</f>
        <v>show</v>
      </c>
    </row>
    <row r="6277" spans="1:6">
      <c r="A6277" t="s">
        <v>18659</v>
      </c>
      <c r="B6277" t="s">
        <v>18660</v>
      </c>
      <c r="C6277" t="s">
        <v>18661</v>
      </c>
      <c r="D6277" t="str">
        <f>HYPERLINK("https://github.com/Anuken/Mindustry/issues/4021","show")</f>
        <v>show</v>
      </c>
      <c r="E6277" t="str">
        <f>HYPERLINK("https://github.com/Anuken/Mindustry","show")</f>
        <v>show</v>
      </c>
      <c r="F6277" t="str">
        <f>HYPERLINK("https://github.com/Anuken/Mindustry/releases","show")</f>
        <v>show</v>
      </c>
    </row>
    <row r="6278" spans="1:6">
      <c r="A6278" t="s">
        <v>18662</v>
      </c>
      <c r="B6278" t="s">
        <v>18663</v>
      </c>
      <c r="C6278" t="s">
        <v>18664</v>
      </c>
      <c r="D6278" t="str">
        <f>HYPERLINK("https://github.com/PojavLauncherTeam/PojavLauncher/issues/509","show")</f>
        <v>show</v>
      </c>
      <c r="E6278" t="str">
        <f>HYPERLINK("https://github.com/PojavLauncherTeam/PojavLauncher","show")</f>
        <v>show</v>
      </c>
      <c r="F6278" t="str">
        <f>HYPERLINK("https://github.com/PojavLauncherTeam/PojavLauncher/releases","show")</f>
        <v>show</v>
      </c>
    </row>
    <row r="6279" spans="1:6">
      <c r="A6279" t="s">
        <v>18665</v>
      </c>
      <c r="B6279" t="s">
        <v>18666</v>
      </c>
      <c r="C6279" t="s">
        <v>18667</v>
      </c>
      <c r="D6279" t="str">
        <f>HYPERLINK("https://github.com/MuntashirAkon/AppManager/issues/194","show")</f>
        <v>show</v>
      </c>
      <c r="E6279" t="str">
        <f>HYPERLINK("https://github.com/MuntashirAkon/AppManager","show")</f>
        <v>show</v>
      </c>
      <c r="F6279" t="str">
        <f>HYPERLINK("https://github.com/MuntashirAkon/AppManager/releases","show")</f>
        <v>show</v>
      </c>
    </row>
    <row r="6280" spans="1:6">
      <c r="A6280" t="s">
        <v>18668</v>
      </c>
      <c r="B6280" t="s">
        <v>18669</v>
      </c>
      <c r="C6280" t="s">
        <v>18670</v>
      </c>
      <c r="D6280" t="str">
        <f>HYPERLINK("https://github.com/square/okhttp/issues/6480","show")</f>
        <v>show</v>
      </c>
      <c r="E6280" t="str">
        <f>HYPERLINK("https://github.com/square/okhttp","show")</f>
        <v>show</v>
      </c>
      <c r="F6280" t="str">
        <f>HYPERLINK("https://github.com/square/okhttp/releases","show")</f>
        <v>show</v>
      </c>
    </row>
    <row r="6281" spans="1:6">
      <c r="A6281" t="s">
        <v>18671</v>
      </c>
      <c r="B6281" t="s">
        <v>18672</v>
      </c>
      <c r="C6281" t="s">
        <v>18673</v>
      </c>
      <c r="D6281" t="str">
        <f>HYPERLINK("https://github.com/inverse-inc/packetfence-android-agent/issues/11","show")</f>
        <v>show</v>
      </c>
      <c r="E6281" t="str">
        <f>HYPERLINK("https://github.com/inverse-inc/packetfence-android-agent","show")</f>
        <v>show</v>
      </c>
      <c r="F6281" t="str">
        <f>HYPERLINK("https://github.com/inverse-inc/packetfence-android-agent/releases","show")</f>
        <v>show</v>
      </c>
    </row>
    <row r="6282" spans="1:6">
      <c r="A6282" t="s">
        <v>18674</v>
      </c>
      <c r="B6282" t="s">
        <v>18675</v>
      </c>
      <c r="C6282" t="s">
        <v>18676</v>
      </c>
      <c r="D6282" t="str">
        <f>HYPERLINK("https://github.com/Anuken/Mindustry/issues/4020","show")</f>
        <v>show</v>
      </c>
      <c r="E6282" t="str">
        <f>HYPERLINK("https://github.com/Anuken/Mindustry","show")</f>
        <v>show</v>
      </c>
      <c r="F6282" t="str">
        <f>HYPERLINK("https://github.com/Anuken/Mindustry/releases","show")</f>
        <v>show</v>
      </c>
    </row>
    <row r="6283" spans="1:6">
      <c r="A6283" t="s">
        <v>18677</v>
      </c>
      <c r="B6283" t="s">
        <v>18678</v>
      </c>
      <c r="C6283" t="s">
        <v>18679</v>
      </c>
      <c r="D6283" t="str">
        <f>HYPERLINK("https://github.com/valkriaine/Factor_Launcher_Reboot/issues/3","show")</f>
        <v>show</v>
      </c>
      <c r="E6283" t="str">
        <f>HYPERLINK("https://github.com/valkriaine/Factor_Launcher_Reboot","show")</f>
        <v>show</v>
      </c>
      <c r="F6283" t="str">
        <f>HYPERLINK("https://github.com/valkriaine/Factor_Launcher_Reboot/releases","show")</f>
        <v>show</v>
      </c>
    </row>
    <row r="6284" spans="1:6">
      <c r="A6284" t="s">
        <v>18680</v>
      </c>
      <c r="B6284" t="s">
        <v>18681</v>
      </c>
      <c r="C6284" t="s">
        <v>18682</v>
      </c>
      <c r="D6284" t="str">
        <f>HYPERLINK("https://github.com/microg/GmsCore/issues/1321","show")</f>
        <v>show</v>
      </c>
      <c r="E6284" t="str">
        <f>HYPERLINK("https://github.com/microg/GmsCore","show")</f>
        <v>show</v>
      </c>
      <c r="F6284" t="str">
        <f>HYPERLINK("https://github.com/microg/GmsCore/releases","show")</f>
        <v>show</v>
      </c>
    </row>
    <row r="6285" spans="1:6">
      <c r="A6285" t="s">
        <v>18683</v>
      </c>
      <c r="B6285" t="s">
        <v>18684</v>
      </c>
      <c r="C6285" t="s">
        <v>18685</v>
      </c>
      <c r="D6285" t="str">
        <f>HYPERLINK("https://github.com/Anuken/Mindustry/issues/4013","show")</f>
        <v>show</v>
      </c>
      <c r="E6285" t="str">
        <f>HYPERLINK("https://github.com/Anuken/Mindustry","show")</f>
        <v>show</v>
      </c>
      <c r="F6285" t="str">
        <f>HYPERLINK("https://github.com/Anuken/Mindustry/releases","show")</f>
        <v>show</v>
      </c>
    </row>
    <row r="6286" spans="1:6">
      <c r="A6286" t="s">
        <v>18686</v>
      </c>
      <c r="B6286" t="s">
        <v>18687</v>
      </c>
      <c r="C6286" t="s">
        <v>18688</v>
      </c>
      <c r="D6286" t="str">
        <f>HYPERLINK("https://github.com/Anuken/Mindustry/issues/4010","show")</f>
        <v>show</v>
      </c>
      <c r="E6286" t="str">
        <f>HYPERLINK("https://github.com/Anuken/Mindustry","show")</f>
        <v>show</v>
      </c>
      <c r="F6286" t="str">
        <f>HYPERLINK("https://github.com/Anuken/Mindustry/releases","show")</f>
        <v>show</v>
      </c>
    </row>
    <row r="6287" spans="1:6">
      <c r="A6287" t="s">
        <v>18689</v>
      </c>
      <c r="B6287" t="s">
        <v>18690</v>
      </c>
      <c r="C6287" t="s">
        <v>18691</v>
      </c>
      <c r="D6287" t="str">
        <f>HYPERLINK("https://github.com/TeamNewPipe/NewPipe/issues/5198","show")</f>
        <v>show</v>
      </c>
      <c r="E6287" t="str">
        <f>HYPERLINK("https://github.com/TeamNewPipe/NewPipe","show")</f>
        <v>show</v>
      </c>
      <c r="F6287" t="str">
        <f>HYPERLINK("https://github.com/TeamNewPipe/NewPipe/releases","show")</f>
        <v>show</v>
      </c>
    </row>
    <row r="6288" spans="1:6">
      <c r="A6288" t="s">
        <v>18692</v>
      </c>
      <c r="B6288" t="s">
        <v>18693</v>
      </c>
      <c r="C6288" t="s">
        <v>18694</v>
      </c>
      <c r="D6288" t="str">
        <f>HYPERLINK("https://github.com/Anuken/Mindustry/issues/4008","show")</f>
        <v>show</v>
      </c>
      <c r="E6288" t="str">
        <f>HYPERLINK("https://github.com/Anuken/Mindustry","show")</f>
        <v>show</v>
      </c>
      <c r="F6288" t="str">
        <f>HYPERLINK("https://github.com/Anuken/Mindustry/releases","show")</f>
        <v>show</v>
      </c>
    </row>
    <row r="6289" spans="1:6">
      <c r="A6289" t="s">
        <v>18695</v>
      </c>
      <c r="B6289" t="s">
        <v>18696</v>
      </c>
      <c r="C6289" t="s">
        <v>18697</v>
      </c>
      <c r="D6289" t="str">
        <f>HYPERLINK("https://github.com/Anuken/Mindustry/issues/4005","show")</f>
        <v>show</v>
      </c>
      <c r="E6289" t="str">
        <f>HYPERLINK("https://github.com/Anuken/Mindustry","show")</f>
        <v>show</v>
      </c>
      <c r="F6289" t="str">
        <f>HYPERLINK("https://github.com/Anuken/Mindustry/releases","show")</f>
        <v>show</v>
      </c>
    </row>
    <row r="6290" spans="1:6">
      <c r="A6290" t="s">
        <v>18698</v>
      </c>
      <c r="B6290" t="s">
        <v>10530</v>
      </c>
      <c r="C6290" t="s">
        <v>18699</v>
      </c>
      <c r="D6290" t="str">
        <f>HYPERLINK("https://github.com/PojavLauncherTeam/PojavLauncher/issues/505","show")</f>
        <v>show</v>
      </c>
      <c r="E6290" t="str">
        <f>HYPERLINK("https://github.com/PojavLauncherTeam/PojavLauncher","show")</f>
        <v>show</v>
      </c>
      <c r="F6290" t="str">
        <f>HYPERLINK("https://github.com/PojavLauncherTeam/PojavLauncher/releases","show")</f>
        <v>show</v>
      </c>
    </row>
    <row r="6291" spans="1:6">
      <c r="A6291" t="s">
        <v>18700</v>
      </c>
      <c r="B6291" t="s">
        <v>18701</v>
      </c>
      <c r="C6291" t="s">
        <v>18702</v>
      </c>
      <c r="D6291" t="str">
        <f>HYPERLINK("https://github.com/TeamNewPipe/NewPipe/issues/5191","show")</f>
        <v>show</v>
      </c>
      <c r="E6291" t="str">
        <f>HYPERLINK("https://github.com/TeamNewPipe/NewPipe","show")</f>
        <v>show</v>
      </c>
      <c r="F6291" t="str">
        <f>HYPERLINK("https://github.com/TeamNewPipe/NewPipe/releases","show")</f>
        <v>show</v>
      </c>
    </row>
    <row r="6292" spans="1:6">
      <c r="A6292" t="s">
        <v>18703</v>
      </c>
      <c r="B6292" t="s">
        <v>18704</v>
      </c>
      <c r="C6292" t="s">
        <v>18705</v>
      </c>
      <c r="D6292" t="str">
        <f>HYPERLINK("https://github.com/hzi-braunschweig/SORMAS-Project/issues/3805","show")</f>
        <v>show</v>
      </c>
      <c r="E6292" t="str">
        <f>HYPERLINK("https://github.com/hzi-braunschweig/SORMAS-Project","show")</f>
        <v>show</v>
      </c>
      <c r="F6292" t="str">
        <f>HYPERLINK("https://github.com/hzi-braunschweig/SORMAS-Project/releases","show")</f>
        <v>show</v>
      </c>
    </row>
    <row r="6293" spans="1:6">
      <c r="A6293" t="s">
        <v>18706</v>
      </c>
      <c r="B6293" t="s">
        <v>18707</v>
      </c>
      <c r="C6293" t="s">
        <v>18708</v>
      </c>
      <c r="D6293" t="str">
        <f>HYPERLINK("https://github.com/PojavLauncherTeam/PojavLauncher/issues/501","show")</f>
        <v>show</v>
      </c>
      <c r="E6293" t="str">
        <f>HYPERLINK("https://github.com/PojavLauncherTeam/PojavLauncher","show")</f>
        <v>show</v>
      </c>
      <c r="F6293" t="str">
        <f>HYPERLINK("https://github.com/PojavLauncherTeam/PojavLauncher/releases","show")</f>
        <v>show</v>
      </c>
    </row>
    <row r="6294" spans="1:6">
      <c r="A6294" t="s">
        <v>18709</v>
      </c>
      <c r="B6294" t="s">
        <v>18710</v>
      </c>
      <c r="C6294" t="s">
        <v>18711</v>
      </c>
      <c r="D6294" t="str">
        <f>HYPERLINK("https://github.com/Anuken/Mindustry/issues/3995","show")</f>
        <v>show</v>
      </c>
      <c r="E6294" t="str">
        <f>HYPERLINK("https://github.com/Anuken/Mindustry","show")</f>
        <v>show</v>
      </c>
      <c r="F6294" t="str">
        <f>HYPERLINK("https://github.com/Anuken/Mindustry/releases","show")</f>
        <v>show</v>
      </c>
    </row>
    <row r="6295" spans="1:6">
      <c r="A6295" t="s">
        <v>18712</v>
      </c>
      <c r="B6295" t="s">
        <v>18713</v>
      </c>
      <c r="C6295" t="s">
        <v>18714</v>
      </c>
      <c r="D6295" t="str">
        <f>HYPERLINK("https://github.com/Anuken/Mindustry/issues/3994","show")</f>
        <v>show</v>
      </c>
      <c r="E6295" t="str">
        <f>HYPERLINK("https://github.com/Anuken/Mindustry","show")</f>
        <v>show</v>
      </c>
      <c r="F6295" t="str">
        <f>HYPERLINK("https://github.com/Anuken/Mindustry/releases","show")</f>
        <v>show</v>
      </c>
    </row>
    <row r="6296" spans="1:6">
      <c r="A6296" t="s">
        <v>18715</v>
      </c>
      <c r="B6296" t="s">
        <v>18716</v>
      </c>
      <c r="C6296" t="s">
        <v>18717</v>
      </c>
      <c r="D6296" t="str">
        <f>HYPERLINK("https://github.com/Anuken/Mindustry/issues/3993","show")</f>
        <v>show</v>
      </c>
      <c r="E6296" t="str">
        <f>HYPERLINK("https://github.com/Anuken/Mindustry","show")</f>
        <v>show</v>
      </c>
      <c r="F6296" t="str">
        <f>HYPERLINK("https://github.com/Anuken/Mindustry/releases","show")</f>
        <v>show</v>
      </c>
    </row>
    <row r="6297" spans="1:6">
      <c r="A6297" t="s">
        <v>18718</v>
      </c>
      <c r="B6297" t="s">
        <v>18719</v>
      </c>
      <c r="C6297" t="s">
        <v>18720</v>
      </c>
      <c r="D6297" t="str">
        <f>HYPERLINK("https://github.com/TeamNewPipe/NewPipe/issues/5188","show")</f>
        <v>show</v>
      </c>
      <c r="E6297" t="str">
        <f>HYPERLINK("https://github.com/TeamNewPipe/NewPipe","show")</f>
        <v>show</v>
      </c>
      <c r="F6297" t="str">
        <f>HYPERLINK("https://github.com/TeamNewPipe/NewPipe/releases","show")</f>
        <v>show</v>
      </c>
    </row>
    <row r="6298" spans="1:6">
      <c r="A6298" t="s">
        <v>18721</v>
      </c>
      <c r="B6298" t="s">
        <v>18722</v>
      </c>
      <c r="C6298" t="s">
        <v>18723</v>
      </c>
      <c r="D6298" t="str">
        <f>HYPERLINK("https://github.com/TeamNewPipe/NewPipe/issues/5187","show")</f>
        <v>show</v>
      </c>
      <c r="E6298" t="str">
        <f>HYPERLINK("https://github.com/TeamNewPipe/NewPipe","show")</f>
        <v>show</v>
      </c>
      <c r="F6298" t="str">
        <f>HYPERLINK("https://github.com/TeamNewPipe/NewPipe/releases","show")</f>
        <v>show</v>
      </c>
    </row>
    <row r="6299" spans="1:6">
      <c r="A6299" t="s">
        <v>18724</v>
      </c>
      <c r="B6299" t="s">
        <v>18725</v>
      </c>
      <c r="C6299" t="s">
        <v>18726</v>
      </c>
      <c r="D6299" t="str">
        <f>HYPERLINK("https://github.com/Anuken/Mindustry/issues/3988","show")</f>
        <v>show</v>
      </c>
      <c r="E6299" t="str">
        <f>HYPERLINK("https://github.com/Anuken/Mindustry","show")</f>
        <v>show</v>
      </c>
      <c r="F6299" t="str">
        <f>HYPERLINK("https://github.com/Anuken/Mindustry/releases","show")</f>
        <v>show</v>
      </c>
    </row>
    <row r="6300" spans="1:6">
      <c r="A6300" t="s">
        <v>18727</v>
      </c>
      <c r="B6300" t="s">
        <v>18728</v>
      </c>
      <c r="C6300" t="s">
        <v>18729</v>
      </c>
      <c r="D6300" t="str">
        <f>HYPERLINK("https://github.com/barbeau/gpstest/issues/459","show")</f>
        <v>show</v>
      </c>
      <c r="E6300" t="str">
        <f>HYPERLINK("https://github.com/barbeau/gpstest","show")</f>
        <v>show</v>
      </c>
      <c r="F6300" t="str">
        <f>HYPERLINK("https://github.com/barbeau/gpstest/releases","show")</f>
        <v>show</v>
      </c>
    </row>
    <row r="6301" spans="1:6">
      <c r="A6301" t="s">
        <v>18730</v>
      </c>
      <c r="B6301" t="s">
        <v>18731</v>
      </c>
      <c r="C6301" t="s">
        <v>18732</v>
      </c>
      <c r="D6301" t="str">
        <f>HYPERLINK("https://github.com/SirPryderi/open-hosts-editor/issues/2","show")</f>
        <v>show</v>
      </c>
      <c r="E6301" t="str">
        <f>HYPERLINK("https://github.com/SirPryderi/open-hosts-editor","show")</f>
        <v>show</v>
      </c>
      <c r="F6301" t="str">
        <f>HYPERLINK("https://github.com/SirPryderi/open-hosts-editor/releases","show")</f>
        <v>show</v>
      </c>
    </row>
    <row r="6302" spans="1:6">
      <c r="A6302" t="s">
        <v>18733</v>
      </c>
      <c r="B6302" t="s">
        <v>18734</v>
      </c>
      <c r="C6302" t="s">
        <v>18735</v>
      </c>
      <c r="D6302" t="str">
        <f>HYPERLINK("https://github.com/TotalCross/totalcross/issues/230","show")</f>
        <v>show</v>
      </c>
      <c r="E6302" t="str">
        <f>HYPERLINK("https://github.com/TotalCross/totalcross","show")</f>
        <v>show</v>
      </c>
      <c r="F6302" t="str">
        <f>HYPERLINK("https://github.com/TotalCross/totalcross/releases","show")</f>
        <v>show</v>
      </c>
    </row>
    <row r="6303" spans="1:6">
      <c r="A6303" t="s">
        <v>18736</v>
      </c>
      <c r="B6303" t="s">
        <v>18737</v>
      </c>
      <c r="C6303" t="s">
        <v>18738</v>
      </c>
      <c r="D6303" t="str">
        <f>HYPERLINK("https://github.com/TeamNewPipe/NewPipe/issues/5177","show")</f>
        <v>show</v>
      </c>
      <c r="E6303" t="str">
        <f>HYPERLINK("https://github.com/TeamNewPipe/NewPipe","show")</f>
        <v>show</v>
      </c>
      <c r="F6303" t="str">
        <f>HYPERLINK("https://github.com/TeamNewPipe/NewPipe/releases","show")</f>
        <v>show</v>
      </c>
    </row>
    <row r="6304" spans="1:6">
      <c r="A6304" t="s">
        <v>18739</v>
      </c>
      <c r="B6304" t="s">
        <v>18740</v>
      </c>
      <c r="C6304" t="s">
        <v>18741</v>
      </c>
      <c r="D6304" t="str">
        <f>HYPERLINK("https://github.com/nextcloud/android/issues/7669","show")</f>
        <v>show</v>
      </c>
      <c r="E6304" t="str">
        <f>HYPERLINK("https://github.com/nextcloud/android","show")</f>
        <v>show</v>
      </c>
      <c r="F6304" t="str">
        <f>HYPERLINK("https://github.com/nextcloud/android/releases","show")</f>
        <v>show</v>
      </c>
    </row>
    <row r="6305" spans="1:6">
      <c r="A6305" t="s">
        <v>18742</v>
      </c>
      <c r="B6305" t="s">
        <v>18743</v>
      </c>
      <c r="C6305" t="s">
        <v>18744</v>
      </c>
      <c r="D6305" t="str">
        <f>HYPERLINK("https://github.com/MAC10SOFTINC/TinyURL/issues/11","show")</f>
        <v>show</v>
      </c>
      <c r="E6305" t="str">
        <f>HYPERLINK("https://github.com/MAC10SOFTINC/TinyURL","show")</f>
        <v>show</v>
      </c>
      <c r="F6305" t="str">
        <f>HYPERLINK("https://github.com/MAC10SOFTINC/TinyURL/releases","show")</f>
        <v>show</v>
      </c>
    </row>
    <row r="6306" spans="1:6">
      <c r="A6306" t="s">
        <v>18745</v>
      </c>
      <c r="B6306" t="s">
        <v>18746</v>
      </c>
      <c r="C6306" t="s">
        <v>18747</v>
      </c>
      <c r="D6306" t="str">
        <f>HYPERLINK("https://github.com/inaturalist/iNaturalistAndroid/issues/949","show")</f>
        <v>show</v>
      </c>
      <c r="E6306" t="str">
        <f>HYPERLINK("https://github.com/inaturalist/iNaturalistAndroid","show")</f>
        <v>show</v>
      </c>
      <c r="F6306" t="str">
        <f>HYPERLINK("https://github.com/inaturalist/iNaturalistAndroid/releases","show")</f>
        <v>show</v>
      </c>
    </row>
    <row r="6307" spans="1:6">
      <c r="A6307" t="s">
        <v>18748</v>
      </c>
      <c r="B6307" t="s">
        <v>18749</v>
      </c>
      <c r="C6307" t="s">
        <v>18750</v>
      </c>
      <c r="D6307" t="str">
        <f>HYPERLINK("https://github.com/inaturalist/iNaturalistAndroid/issues/948","show")</f>
        <v>show</v>
      </c>
      <c r="E6307" t="str">
        <f>HYPERLINK("https://github.com/inaturalist/iNaturalistAndroid","show")</f>
        <v>show</v>
      </c>
      <c r="F6307" t="str">
        <f>HYPERLINK("https://github.com/inaturalist/iNaturalistAndroid/releases","show")</f>
        <v>show</v>
      </c>
    </row>
    <row r="6308" spans="1:6">
      <c r="A6308" t="s">
        <v>18751</v>
      </c>
      <c r="B6308" t="s">
        <v>18752</v>
      </c>
      <c r="C6308" t="s">
        <v>18753</v>
      </c>
      <c r="D6308" t="str">
        <f>HYPERLINK("https://github.com/TeamNewPipe/NewPipe/issues/5175","show")</f>
        <v>show</v>
      </c>
      <c r="E6308" t="str">
        <f>HYPERLINK("https://github.com/TeamNewPipe/NewPipe","show")</f>
        <v>show</v>
      </c>
      <c r="F6308" t="str">
        <f>HYPERLINK("https://github.com/TeamNewPipe/NewPipe/releases","show")</f>
        <v>show</v>
      </c>
    </row>
    <row r="6309" spans="1:6">
      <c r="A6309" t="s">
        <v>18754</v>
      </c>
      <c r="B6309" t="s">
        <v>18755</v>
      </c>
      <c r="C6309" t="s">
        <v>18756</v>
      </c>
      <c r="D6309" t="str">
        <f>HYPERLINK("https://github.com/Anuken/Mindustry/issues/3981","show")</f>
        <v>show</v>
      </c>
      <c r="E6309" t="str">
        <f>HYPERLINK("https://github.com/Anuken/Mindustry","show")</f>
        <v>show</v>
      </c>
      <c r="F6309" t="str">
        <f>HYPERLINK("https://github.com/Anuken/Mindustry/releases","show")</f>
        <v>show</v>
      </c>
    </row>
    <row r="6310" spans="1:6">
      <c r="A6310" t="s">
        <v>18757</v>
      </c>
      <c r="B6310" t="s">
        <v>18758</v>
      </c>
      <c r="C6310" t="s">
        <v>18759</v>
      </c>
      <c r="D6310" t="str">
        <f>HYPERLINK("https://github.com/Anuken/Mindustry/issues/3979","show")</f>
        <v>show</v>
      </c>
      <c r="E6310" t="str">
        <f>HYPERLINK("https://github.com/Anuken/Mindustry","show")</f>
        <v>show</v>
      </c>
      <c r="F6310" t="str">
        <f>HYPERLINK("https://github.com/Anuken/Mindustry/releases","show")</f>
        <v>show</v>
      </c>
    </row>
    <row r="6311" spans="1:6">
      <c r="A6311" t="s">
        <v>18760</v>
      </c>
      <c r="B6311" t="s">
        <v>18761</v>
      </c>
      <c r="C6311" t="s">
        <v>18762</v>
      </c>
      <c r="D6311" t="str">
        <f>HYPERLINK("https://github.com/MuntashirAkon/AppManager/issues/189","show")</f>
        <v>show</v>
      </c>
      <c r="E6311" t="str">
        <f>HYPERLINK("https://github.com/MuntashirAkon/AppManager","show")</f>
        <v>show</v>
      </c>
      <c r="F6311" t="str">
        <f>HYPERLINK("https://github.com/MuntashirAkon/AppManager/releases","show")</f>
        <v>show</v>
      </c>
    </row>
    <row r="6312" spans="1:6">
      <c r="A6312" t="s">
        <v>18763</v>
      </c>
      <c r="B6312" t="s">
        <v>18764</v>
      </c>
      <c r="C6312" t="s">
        <v>18765</v>
      </c>
      <c r="D6312" t="str">
        <f>HYPERLINK("https://github.com/Anuken/Mindustry/issues/3976","show")</f>
        <v>show</v>
      </c>
      <c r="E6312" t="str">
        <f>HYPERLINK("https://github.com/Anuken/Mindustry","show")</f>
        <v>show</v>
      </c>
      <c r="F6312" t="str">
        <f>HYPERLINK("https://github.com/Anuken/Mindustry/releases","show")</f>
        <v>show</v>
      </c>
    </row>
    <row r="6313" spans="1:6">
      <c r="A6313" t="s">
        <v>18766</v>
      </c>
      <c r="B6313" t="s">
        <v>18767</v>
      </c>
      <c r="C6313" t="s">
        <v>18768</v>
      </c>
      <c r="D6313" t="str">
        <f>HYPERLINK("https://github.com/square/okhttp/issues/6473","show")</f>
        <v>show</v>
      </c>
      <c r="E6313" t="str">
        <f>HYPERLINK("https://github.com/square/okhttp","show")</f>
        <v>show</v>
      </c>
      <c r="F6313" t="str">
        <f>HYPERLINK("https://github.com/square/okhttp/releases","show")</f>
        <v>show</v>
      </c>
    </row>
    <row r="6314" spans="1:6">
      <c r="A6314" t="s">
        <v>18769</v>
      </c>
      <c r="B6314" t="s">
        <v>18770</v>
      </c>
      <c r="C6314" t="s">
        <v>18771</v>
      </c>
      <c r="D6314" t="str">
        <f>HYPERLINK("https://github.com/TeamNewPipe/NewPipe/issues/5170","show")</f>
        <v>show</v>
      </c>
      <c r="E6314" t="str">
        <f>HYPERLINK("https://github.com/TeamNewPipe/NewPipe","show")</f>
        <v>show</v>
      </c>
      <c r="F6314" t="str">
        <f>HYPERLINK("https://github.com/TeamNewPipe/NewPipe/releases","show")</f>
        <v>show</v>
      </c>
    </row>
    <row r="6315" spans="1:6">
      <c r="A6315" t="s">
        <v>18772</v>
      </c>
      <c r="B6315" t="s">
        <v>18773</v>
      </c>
      <c r="C6315" t="s">
        <v>18774</v>
      </c>
      <c r="D6315" t="str">
        <f>HYPERLINK("https://github.com/TeamNewPipe/NewPipe/issues/5169","show")</f>
        <v>show</v>
      </c>
      <c r="E6315" t="str">
        <f>HYPERLINK("https://github.com/TeamNewPipe/NewPipe","show")</f>
        <v>show</v>
      </c>
      <c r="F6315" t="str">
        <f>HYPERLINK("https://github.com/TeamNewPipe/NewPipe/releases","show")</f>
        <v>show</v>
      </c>
    </row>
    <row r="6316" spans="1:6">
      <c r="A6316" t="s">
        <v>18775</v>
      </c>
      <c r="B6316" t="s">
        <v>18776</v>
      </c>
      <c r="C6316" t="s">
        <v>18777</v>
      </c>
      <c r="D6316" t="str">
        <f>HYPERLINK("https://github.com/dimagi/commcare-android/issues/2420","show")</f>
        <v>show</v>
      </c>
      <c r="E6316" t="str">
        <f>HYPERLINK("https://github.com/dimagi/commcare-android","show")</f>
        <v>show</v>
      </c>
      <c r="F6316" t="str">
        <f>HYPERLINK("https://github.com/dimagi/commcare-android/releases","show")</f>
        <v>show</v>
      </c>
    </row>
    <row r="6317" spans="1:6">
      <c r="A6317" t="s">
        <v>18778</v>
      </c>
      <c r="B6317" t="s">
        <v>18779</v>
      </c>
      <c r="C6317" t="s">
        <v>18780</v>
      </c>
      <c r="D6317" t="str">
        <f>HYPERLINK("https://github.com/Anuken/Mindustry/issues/3975","show")</f>
        <v>show</v>
      </c>
      <c r="E6317" t="str">
        <f>HYPERLINK("https://github.com/Anuken/Mindustry","show")</f>
        <v>show</v>
      </c>
      <c r="F6317" t="str">
        <f>HYPERLINK("https://github.com/Anuken/Mindustry/releases","show")</f>
        <v>show</v>
      </c>
    </row>
    <row r="6318" spans="1:6">
      <c r="A6318" t="s">
        <v>18781</v>
      </c>
      <c r="B6318" t="s">
        <v>18782</v>
      </c>
      <c r="C6318" t="s">
        <v>18783</v>
      </c>
      <c r="D6318" t="str">
        <f>HYPERLINK("https://github.com/TeamNewPipe/NewPipe/issues/5168","show")</f>
        <v>show</v>
      </c>
      <c r="E6318" t="str">
        <f>HYPERLINK("https://github.com/TeamNewPipe/NewPipe","show")</f>
        <v>show</v>
      </c>
      <c r="F6318" t="str">
        <f>HYPERLINK("https://github.com/TeamNewPipe/NewPipe/releases","show")</f>
        <v>show</v>
      </c>
    </row>
    <row r="6319" spans="1:6">
      <c r="A6319" t="s">
        <v>18784</v>
      </c>
      <c r="B6319" t="s">
        <v>18785</v>
      </c>
      <c r="C6319" t="s">
        <v>18786</v>
      </c>
      <c r="D6319" t="str">
        <f>HYPERLINK("https://github.com/Anuken/Mindustry/issues/3972","show")</f>
        <v>show</v>
      </c>
      <c r="E6319" t="str">
        <f>HYPERLINK("https://github.com/Anuken/Mindustry","show")</f>
        <v>show</v>
      </c>
      <c r="F6319" t="str">
        <f>HYPERLINK("https://github.com/Anuken/Mindustry/releases","show")</f>
        <v>show</v>
      </c>
    </row>
    <row r="6320" spans="1:6">
      <c r="A6320" t="s">
        <v>18787</v>
      </c>
      <c r="B6320" t="s">
        <v>18788</v>
      </c>
      <c r="C6320" t="s">
        <v>18789</v>
      </c>
      <c r="D6320" t="str">
        <f>HYPERLINK("https://github.com/TeamNewPipe/NewPipe/issues/5166","show")</f>
        <v>show</v>
      </c>
      <c r="E6320" t="str">
        <f>HYPERLINK("https://github.com/TeamNewPipe/NewPipe","show")</f>
        <v>show</v>
      </c>
      <c r="F6320" t="str">
        <f>HYPERLINK("https://github.com/TeamNewPipe/NewPipe/releases","show")</f>
        <v>show</v>
      </c>
    </row>
    <row r="6321" spans="1:6">
      <c r="A6321" t="s">
        <v>18790</v>
      </c>
      <c r="B6321" t="s">
        <v>18791</v>
      </c>
      <c r="C6321" t="s">
        <v>18792</v>
      </c>
      <c r="D6321" t="str">
        <f>HYPERLINK("https://github.com/Anuken/Mindustry/issues/3969","show")</f>
        <v>show</v>
      </c>
      <c r="E6321" t="str">
        <f>HYPERLINK("https://github.com/Anuken/Mindustry","show")</f>
        <v>show</v>
      </c>
      <c r="F6321" t="str">
        <f>HYPERLINK("https://github.com/Anuken/Mindustry/releases","show")</f>
        <v>show</v>
      </c>
    </row>
    <row r="6322" spans="1:6">
      <c r="A6322" t="s">
        <v>18793</v>
      </c>
      <c r="B6322" t="s">
        <v>18794</v>
      </c>
      <c r="C6322" t="s">
        <v>18795</v>
      </c>
      <c r="D6322" t="str">
        <f>HYPERLINK("https://github.com/nextcloud/android/issues/7658","show")</f>
        <v>show</v>
      </c>
      <c r="E6322" t="str">
        <f>HYPERLINK("https://github.com/nextcloud/android","show")</f>
        <v>show</v>
      </c>
      <c r="F6322" t="str">
        <f>HYPERLINK("https://github.com/nextcloud/android/releases","show")</f>
        <v>show</v>
      </c>
    </row>
    <row r="6323" spans="1:6">
      <c r="A6323" t="s">
        <v>18796</v>
      </c>
      <c r="B6323" t="s">
        <v>18797</v>
      </c>
      <c r="C6323" t="s">
        <v>18798</v>
      </c>
      <c r="D6323" t="str">
        <f>HYPERLINK("https://github.com/PojavLauncherTeam/PojavLauncher/issues/489","show")</f>
        <v>show</v>
      </c>
      <c r="E6323" t="str">
        <f>HYPERLINK("https://github.com/PojavLauncherTeam/PojavLauncher","show")</f>
        <v>show</v>
      </c>
      <c r="F6323" t="str">
        <f>HYPERLINK("https://github.com/PojavLauncherTeam/PojavLauncher/releases","show")</f>
        <v>show</v>
      </c>
    </row>
    <row r="6324" spans="1:6">
      <c r="A6324" t="s">
        <v>18799</v>
      </c>
      <c r="B6324" t="s">
        <v>18800</v>
      </c>
      <c r="C6324" t="s">
        <v>18801</v>
      </c>
      <c r="D6324" t="str">
        <f>HYPERLINK("https://github.com/microg/GmsCore/issues/1309","show")</f>
        <v>show</v>
      </c>
      <c r="E6324" t="str">
        <f>HYPERLINK("https://github.com/microg/GmsCore","show")</f>
        <v>show</v>
      </c>
      <c r="F6324" t="str">
        <f>HYPERLINK("https://github.com/microg/GmsCore/releases","show")</f>
        <v>show</v>
      </c>
    </row>
    <row r="6325" spans="1:6">
      <c r="A6325" t="s">
        <v>18802</v>
      </c>
      <c r="B6325" t="s">
        <v>18803</v>
      </c>
      <c r="C6325" t="s">
        <v>18804</v>
      </c>
      <c r="D6325" t="str">
        <f>HYPERLINK("https://github.com/Anuken/Mindustry/issues/3952","show")</f>
        <v>show</v>
      </c>
      <c r="E6325" t="str">
        <f>HYPERLINK("https://github.com/Anuken/Mindustry","show")</f>
        <v>show</v>
      </c>
      <c r="F6325" t="str">
        <f>HYPERLINK("https://github.com/Anuken/Mindustry/releases","show")</f>
        <v>show</v>
      </c>
    </row>
    <row r="6326" spans="1:6">
      <c r="A6326" t="s">
        <v>18805</v>
      </c>
      <c r="B6326" t="s">
        <v>18806</v>
      </c>
      <c r="C6326" t="s">
        <v>18807</v>
      </c>
      <c r="D6326" t="str">
        <f>HYPERLINK("https://github.com/SkyTubeTeam/SkyTube/issues/852","show")</f>
        <v>show</v>
      </c>
      <c r="E6326" t="str">
        <f>HYPERLINK("https://github.com/SkyTubeTeam/SkyTube","show")</f>
        <v>show</v>
      </c>
      <c r="F6326" t="str">
        <f>HYPERLINK("https://github.com/SkyTubeTeam/SkyTube/releases","show")</f>
        <v>show</v>
      </c>
    </row>
    <row r="6327" spans="1:6">
      <c r="A6327" t="s">
        <v>18808</v>
      </c>
      <c r="B6327" t="s">
        <v>18809</v>
      </c>
      <c r="C6327" t="s">
        <v>18810</v>
      </c>
      <c r="D6327" t="str">
        <f>HYPERLINK("https://github.com/ElderDrivers/EdXposed/issues/727","show")</f>
        <v>show</v>
      </c>
      <c r="E6327" t="str">
        <f>HYPERLINK("https://github.com/ElderDrivers/EdXposed","show")</f>
        <v>show</v>
      </c>
      <c r="F6327" t="str">
        <f>HYPERLINK("https://github.com/ElderDrivers/EdXposed/releases","show")</f>
        <v>show</v>
      </c>
    </row>
    <row r="6328" spans="1:6">
      <c r="A6328" t="s">
        <v>18811</v>
      </c>
      <c r="B6328" t="s">
        <v>18812</v>
      </c>
      <c r="C6328" t="s">
        <v>18813</v>
      </c>
      <c r="D6328" t="str">
        <f>HYPERLINK("https://github.com/Anuken/Mindustry/issues/3946","show")</f>
        <v>show</v>
      </c>
      <c r="E6328" t="str">
        <f>HYPERLINK("https://github.com/Anuken/Mindustry","show")</f>
        <v>show</v>
      </c>
      <c r="F6328" t="str">
        <f>HYPERLINK("https://github.com/Anuken/Mindustry/releases","show")</f>
        <v>show</v>
      </c>
    </row>
    <row r="6329" spans="1:6">
      <c r="A6329" t="s">
        <v>18814</v>
      </c>
      <c r="B6329" t="s">
        <v>18815</v>
      </c>
      <c r="C6329" t="s">
        <v>18816</v>
      </c>
      <c r="D6329" t="str">
        <f>HYPERLINK("https://github.com/Anuken/Mindustry/issues/3944","show")</f>
        <v>show</v>
      </c>
      <c r="E6329" t="str">
        <f>HYPERLINK("https://github.com/Anuken/Mindustry","show")</f>
        <v>show</v>
      </c>
      <c r="F6329" t="str">
        <f>HYPERLINK("https://github.com/Anuken/Mindustry/releases","show")</f>
        <v>show</v>
      </c>
    </row>
    <row r="6330" spans="1:6">
      <c r="A6330" t="s">
        <v>18817</v>
      </c>
      <c r="B6330" t="s">
        <v>18818</v>
      </c>
      <c r="C6330" t="s">
        <v>18819</v>
      </c>
      <c r="D6330" t="str">
        <f>HYPERLINK("https://github.com/TeamNewPipe/NewPipe/issues/5162","show")</f>
        <v>show</v>
      </c>
      <c r="E6330" t="str">
        <f>HYPERLINK("https://github.com/TeamNewPipe/NewPipe","show")</f>
        <v>show</v>
      </c>
      <c r="F6330" t="str">
        <f>HYPERLINK("https://github.com/TeamNewPipe/NewPipe/releases","show")</f>
        <v>show</v>
      </c>
    </row>
    <row r="6331" spans="1:6">
      <c r="A6331" t="s">
        <v>18820</v>
      </c>
      <c r="B6331" t="s">
        <v>18821</v>
      </c>
      <c r="C6331" t="s">
        <v>18822</v>
      </c>
      <c r="D6331" t="str">
        <f>HYPERLINK("https://github.com/Anuken/Mindustry/issues/3940","show")</f>
        <v>show</v>
      </c>
      <c r="E6331" t="str">
        <f>HYPERLINK("https://github.com/Anuken/Mindustry","show")</f>
        <v>show</v>
      </c>
      <c r="F6331" t="str">
        <f>HYPERLINK("https://github.com/Anuken/Mindustry/releases","show")</f>
        <v>show</v>
      </c>
    </row>
    <row r="6332" spans="1:6">
      <c r="A6332" t="s">
        <v>18823</v>
      </c>
      <c r="B6332" t="s">
        <v>18824</v>
      </c>
      <c r="C6332" t="s">
        <v>18825</v>
      </c>
      <c r="D6332" t="str">
        <f>HYPERLINK("https://github.com/Anuken/Mindustry/issues/3938","show")</f>
        <v>show</v>
      </c>
      <c r="E6332" t="str">
        <f>HYPERLINK("https://github.com/Anuken/Mindustry","show")</f>
        <v>show</v>
      </c>
      <c r="F6332" t="str">
        <f>HYPERLINK("https://github.com/Anuken/Mindustry/releases","show")</f>
        <v>show</v>
      </c>
    </row>
    <row r="6333" spans="1:6">
      <c r="A6333" t="s">
        <v>18826</v>
      </c>
      <c r="B6333" t="s">
        <v>18827</v>
      </c>
      <c r="C6333" t="s">
        <v>18828</v>
      </c>
      <c r="D6333" t="str">
        <f>HYPERLINK("https://github.com/schaefer30038/easy-meal-prep/issues/8","show")</f>
        <v>show</v>
      </c>
      <c r="E6333" t="str">
        <f>HYPERLINK("https://github.com/schaefer30038/easy-meal-prep","show")</f>
        <v>show</v>
      </c>
      <c r="F6333" t="str">
        <f>HYPERLINK("https://github.com/schaefer30038/easy-meal-prep/releases","show")</f>
        <v>show</v>
      </c>
    </row>
    <row r="6334" spans="1:6">
      <c r="A6334" t="s">
        <v>18829</v>
      </c>
      <c r="B6334" t="s">
        <v>18830</v>
      </c>
      <c r="C6334" t="s">
        <v>18831</v>
      </c>
      <c r="D6334" t="str">
        <f>HYPERLINK("https://github.com/Anuken/Mindustry/issues/3932","show")</f>
        <v>show</v>
      </c>
      <c r="E6334" t="str">
        <f>HYPERLINK("https://github.com/Anuken/Mindustry","show")</f>
        <v>show</v>
      </c>
      <c r="F6334" t="str">
        <f>HYPERLINK("https://github.com/Anuken/Mindustry/releases","show")</f>
        <v>show</v>
      </c>
    </row>
    <row r="6335" spans="1:6">
      <c r="A6335" t="s">
        <v>18832</v>
      </c>
      <c r="B6335" t="s">
        <v>18833</v>
      </c>
      <c r="C6335" t="s">
        <v>18834</v>
      </c>
      <c r="D6335" t="str">
        <f>HYPERLINK("https://github.com/TeamNewPipe/NewPipe-legacy/issues/54","show")</f>
        <v>show</v>
      </c>
      <c r="E6335" t="str">
        <f>HYPERLINK("https://github.com/TeamNewPipe/NewPipe-legacy","show")</f>
        <v>show</v>
      </c>
      <c r="F6335" t="str">
        <f>HYPERLINK("https://github.com/TeamNewPipe/NewPipe-legacy/releases","show")</f>
        <v>show</v>
      </c>
    </row>
    <row r="6336" spans="1:6">
      <c r="A6336" t="s">
        <v>18835</v>
      </c>
      <c r="B6336" t="s">
        <v>18836</v>
      </c>
      <c r="C6336" t="s">
        <v>18837</v>
      </c>
      <c r="D6336" t="str">
        <f>HYPERLINK("https://github.com/TeamNewPipe/NewPipe/issues/5155","show")</f>
        <v>show</v>
      </c>
      <c r="E6336" t="str">
        <f>HYPERLINK("https://github.com/TeamNewPipe/NewPipe","show")</f>
        <v>show</v>
      </c>
      <c r="F6336" t="str">
        <f>HYPERLINK("https://github.com/TeamNewPipe/NewPipe/releases","show")</f>
        <v>show</v>
      </c>
    </row>
    <row r="6337" spans="1:6">
      <c r="A6337" t="s">
        <v>18838</v>
      </c>
      <c r="B6337" t="s">
        <v>18839</v>
      </c>
      <c r="C6337" t="s">
        <v>18840</v>
      </c>
      <c r="D6337" t="str">
        <f>HYPERLINK("https://github.com/TeamNewPipe/NewPipe/issues/5150","show")</f>
        <v>show</v>
      </c>
      <c r="E6337" t="str">
        <f>HYPERLINK("https://github.com/TeamNewPipe/NewPipe","show")</f>
        <v>show</v>
      </c>
      <c r="F6337" t="str">
        <f>HYPERLINK("https://github.com/TeamNewPipe/NewPipe/releases","show")</f>
        <v>show</v>
      </c>
    </row>
    <row r="6338" spans="1:6">
      <c r="A6338" t="s">
        <v>18841</v>
      </c>
      <c r="B6338" t="s">
        <v>18842</v>
      </c>
      <c r="C6338" t="s">
        <v>18843</v>
      </c>
      <c r="D6338" t="str">
        <f>HYPERLINK("https://github.com/square/okhttp/issues/6467","show")</f>
        <v>show</v>
      </c>
      <c r="E6338" t="str">
        <f>HYPERLINK("https://github.com/square/okhttp","show")</f>
        <v>show</v>
      </c>
      <c r="F6338" t="str">
        <f>HYPERLINK("https://github.com/square/okhttp/releases","show")</f>
        <v>show</v>
      </c>
    </row>
    <row r="6339" spans="1:6">
      <c r="A6339" t="s">
        <v>18844</v>
      </c>
      <c r="B6339" t="s">
        <v>18845</v>
      </c>
      <c r="C6339" t="s">
        <v>18846</v>
      </c>
      <c r="D6339" t="str">
        <f>HYPERLINK("https://github.com/inverse-inc/packetfence-android-agent/issues/9","show")</f>
        <v>show</v>
      </c>
      <c r="E6339" t="str">
        <f>HYPERLINK("https://github.com/inverse-inc/packetfence-android-agent","show")</f>
        <v>show</v>
      </c>
      <c r="F6339" t="str">
        <f>HYPERLINK("https://github.com/inverse-inc/packetfence-android-agent/releases","show")</f>
        <v>show</v>
      </c>
    </row>
    <row r="6340" spans="1:6">
      <c r="A6340" t="s">
        <v>18847</v>
      </c>
      <c r="B6340" t="s">
        <v>18848</v>
      </c>
      <c r="C6340" t="s">
        <v>18849</v>
      </c>
      <c r="D6340" t="str">
        <f>HYPERLINK("https://github.com/twilio/video-quickstart-android/issues/595","show")</f>
        <v>show</v>
      </c>
      <c r="E6340" t="str">
        <f>HYPERLINK("https://github.com/twilio/video-quickstart-android","show")</f>
        <v>show</v>
      </c>
      <c r="F6340" t="str">
        <f>HYPERLINK("https://github.com/twilio/video-quickstart-android/releases","show")</f>
        <v>show</v>
      </c>
    </row>
    <row r="6341" spans="1:6">
      <c r="A6341" t="s">
        <v>18850</v>
      </c>
      <c r="B6341" t="s">
        <v>18851</v>
      </c>
      <c r="C6341" t="s">
        <v>18852</v>
      </c>
      <c r="D6341" t="str">
        <f>HYPERLINK("https://github.com/TeamNewPipe/NewPipe/issues/5148","show")</f>
        <v>show</v>
      </c>
      <c r="E6341" t="str">
        <f>HYPERLINK("https://github.com/TeamNewPipe/NewPipe","show")</f>
        <v>show</v>
      </c>
      <c r="F6341" t="str">
        <f>HYPERLINK("https://github.com/TeamNewPipe/NewPipe/releases","show")</f>
        <v>show</v>
      </c>
    </row>
    <row r="6342" spans="1:6">
      <c r="A6342" t="s">
        <v>18853</v>
      </c>
      <c r="B6342" t="s">
        <v>18854</v>
      </c>
      <c r="C6342" t="s">
        <v>18855</v>
      </c>
      <c r="D6342" t="str">
        <f>HYPERLINK("https://github.com/Rapsssito/react-native-tcp-socket/issues/89","show")</f>
        <v>show</v>
      </c>
      <c r="E6342" t="str">
        <f>HYPERLINK("https://github.com/Rapsssito/react-native-tcp-socket","show")</f>
        <v>show</v>
      </c>
      <c r="F6342" t="str">
        <f>HYPERLINK("https://github.com/Rapsssito/react-native-tcp-socket/releases","show")</f>
        <v>show</v>
      </c>
    </row>
    <row r="6343" spans="1:6">
      <c r="A6343" t="s">
        <v>18856</v>
      </c>
      <c r="B6343" t="s">
        <v>18857</v>
      </c>
      <c r="C6343" t="s">
        <v>18858</v>
      </c>
      <c r="D6343" t="str">
        <f>HYPERLINK("https://github.com/Anuken/Mindustry/issues/3922","show")</f>
        <v>show</v>
      </c>
      <c r="E6343" t="str">
        <f>HYPERLINK("https://github.com/Anuken/Mindustry","show")</f>
        <v>show</v>
      </c>
      <c r="F6343" t="str">
        <f>HYPERLINK("https://github.com/Anuken/Mindustry/releases","show")</f>
        <v>show</v>
      </c>
    </row>
    <row r="6344" spans="1:6">
      <c r="A6344" t="s">
        <v>18859</v>
      </c>
      <c r="B6344" t="s">
        <v>18860</v>
      </c>
      <c r="C6344" t="s">
        <v>18861</v>
      </c>
      <c r="D6344" t="str">
        <f>HYPERLINK("https://github.com/gurrhack/ForkFront-Android/issues/4","show")</f>
        <v>show</v>
      </c>
      <c r="E6344" t="str">
        <f>HYPERLINK("https://github.com/gurrhack/ForkFront-Android","show")</f>
        <v>show</v>
      </c>
      <c r="F6344" t="str">
        <f>HYPERLINK("https://github.com/gurrhack/ForkFront-Android/releases","show")</f>
        <v>show</v>
      </c>
    </row>
    <row r="6345" spans="1:6">
      <c r="A6345" t="s">
        <v>18862</v>
      </c>
      <c r="B6345" t="s">
        <v>18863</v>
      </c>
      <c r="C6345" t="s">
        <v>18864</v>
      </c>
      <c r="D6345" t="str">
        <f>HYPERLINK("https://github.com/MuntashirAkon/AppManager/issues/185","show")</f>
        <v>show</v>
      </c>
      <c r="E6345" t="str">
        <f>HYPERLINK("https://github.com/MuntashirAkon/AppManager","show")</f>
        <v>show</v>
      </c>
      <c r="F6345" t="str">
        <f>HYPERLINK("https://github.com/MuntashirAkon/AppManager/releases","show")</f>
        <v>show</v>
      </c>
    </row>
    <row r="6346" spans="1:6">
      <c r="A6346" t="s">
        <v>18865</v>
      </c>
      <c r="B6346" t="s">
        <v>18866</v>
      </c>
      <c r="C6346" t="s">
        <v>18867</v>
      </c>
      <c r="D6346" t="str">
        <f>HYPERLINK("https://github.com/Anuken/Mindustry/issues/3919","show")</f>
        <v>show</v>
      </c>
      <c r="E6346" t="str">
        <f>HYPERLINK("https://github.com/Anuken/Mindustry","show")</f>
        <v>show</v>
      </c>
      <c r="F6346" t="str">
        <f>HYPERLINK("https://github.com/Anuken/Mindustry/releases","show")</f>
        <v>show</v>
      </c>
    </row>
    <row r="6347" spans="1:6">
      <c r="A6347" t="s">
        <v>18868</v>
      </c>
      <c r="B6347" t="s">
        <v>18869</v>
      </c>
      <c r="C6347" t="s">
        <v>18870</v>
      </c>
      <c r="D6347" t="str">
        <f>HYPERLINK("https://github.com/Anuken/Mindustry/issues/3918","show")</f>
        <v>show</v>
      </c>
      <c r="E6347" t="str">
        <f>HYPERLINK("https://github.com/Anuken/Mindustry","show")</f>
        <v>show</v>
      </c>
      <c r="F6347" t="str">
        <f>HYPERLINK("https://github.com/Anuken/Mindustry/releases","show")</f>
        <v>show</v>
      </c>
    </row>
    <row r="6348" spans="1:6">
      <c r="A6348" t="s">
        <v>18871</v>
      </c>
      <c r="B6348" t="s">
        <v>18872</v>
      </c>
      <c r="C6348" t="s">
        <v>18873</v>
      </c>
      <c r="D6348" t="str">
        <f>HYPERLINK("https://github.com/Anuken/Mindustry/issues/3917","show")</f>
        <v>show</v>
      </c>
      <c r="E6348" t="str">
        <f>HYPERLINK("https://github.com/Anuken/Mindustry","show")</f>
        <v>show</v>
      </c>
      <c r="F6348" t="str">
        <f>HYPERLINK("https://github.com/Anuken/Mindustry/releases","show")</f>
        <v>show</v>
      </c>
    </row>
    <row r="6349" spans="1:6">
      <c r="A6349" t="s">
        <v>18874</v>
      </c>
      <c r="B6349" t="s">
        <v>18875</v>
      </c>
      <c r="C6349" t="s">
        <v>18876</v>
      </c>
      <c r="D6349" t="str">
        <f>HYPERLINK("https://github.com/TeamNewPipe/NewPipe/issues/5141","show")</f>
        <v>show</v>
      </c>
      <c r="E6349" t="str">
        <f>HYPERLINK("https://github.com/TeamNewPipe/NewPipe","show")</f>
        <v>show</v>
      </c>
      <c r="F6349" t="str">
        <f>HYPERLINK("https://github.com/TeamNewPipe/NewPipe/releases","show")</f>
        <v>show</v>
      </c>
    </row>
    <row r="6350" spans="1:6">
      <c r="A6350" t="s">
        <v>18877</v>
      </c>
      <c r="B6350" t="s">
        <v>18878</v>
      </c>
      <c r="C6350" t="s">
        <v>18879</v>
      </c>
      <c r="D6350" t="str">
        <f>HYPERLINK("https://github.com/twilio/video-quickstart-android/issues/592","show")</f>
        <v>show</v>
      </c>
      <c r="E6350" t="str">
        <f>HYPERLINK("https://github.com/twilio/video-quickstart-android","show")</f>
        <v>show</v>
      </c>
      <c r="F6350" t="str">
        <f>HYPERLINK("https://github.com/twilio/video-quickstart-android/releases","show")</f>
        <v>show</v>
      </c>
    </row>
    <row r="6351" spans="1:6">
      <c r="A6351" t="s">
        <v>18880</v>
      </c>
      <c r="B6351" t="s">
        <v>18881</v>
      </c>
      <c r="C6351" t="s">
        <v>18882</v>
      </c>
      <c r="D6351" t="str">
        <f>HYPERLINK("https://github.com/lazoft/oPlay/issues/18","show")</f>
        <v>show</v>
      </c>
      <c r="E6351" t="str">
        <f>HYPERLINK("https://github.com/lazoft/oPlay","show")</f>
        <v>show</v>
      </c>
      <c r="F6351" t="str">
        <f>HYPERLINK("https://github.com/lazoft/oPlay/releases","show")</f>
        <v>show</v>
      </c>
    </row>
    <row r="6352" spans="1:6">
      <c r="A6352" t="s">
        <v>18883</v>
      </c>
      <c r="B6352" t="s">
        <v>18884</v>
      </c>
      <c r="C6352" t="s">
        <v>18885</v>
      </c>
      <c r="D6352" t="str">
        <f>HYPERLINK("https://github.com/Anuken/Mindustry/issues/3909","show")</f>
        <v>show</v>
      </c>
      <c r="E6352" t="str">
        <f>HYPERLINK("https://github.com/Anuken/Mindustry","show")</f>
        <v>show</v>
      </c>
      <c r="F6352" t="str">
        <f>HYPERLINK("https://github.com/Anuken/Mindustry/releases","show")</f>
        <v>show</v>
      </c>
    </row>
    <row r="6353" spans="1:6">
      <c r="A6353" t="s">
        <v>18886</v>
      </c>
      <c r="B6353" t="s">
        <v>18887</v>
      </c>
      <c r="C6353" t="s">
        <v>18888</v>
      </c>
      <c r="D6353" t="str">
        <f>HYPERLINK("https://github.com/getodk/collect/issues/4294","show")</f>
        <v>show</v>
      </c>
      <c r="E6353" t="str">
        <f>HYPERLINK("https://github.com/getodk/collect","show")</f>
        <v>show</v>
      </c>
      <c r="F6353" t="str">
        <f>HYPERLINK("https://github.com/getodk/collect/releases","show")</f>
        <v>show</v>
      </c>
    </row>
    <row r="6354" spans="1:6">
      <c r="A6354" t="s">
        <v>18889</v>
      </c>
      <c r="B6354" t="s">
        <v>18890</v>
      </c>
      <c r="C6354" t="s">
        <v>18891</v>
      </c>
      <c r="D6354" t="str">
        <f>HYPERLINK("https://github.com/TeamNewPipe/NewPipe/issues/5138","show")</f>
        <v>show</v>
      </c>
      <c r="E6354" t="str">
        <f>HYPERLINK("https://github.com/TeamNewPipe/NewPipe","show")</f>
        <v>show</v>
      </c>
      <c r="F6354" t="str">
        <f>HYPERLINK("https://github.com/TeamNewPipe/NewPipe/releases","show")</f>
        <v>show</v>
      </c>
    </row>
    <row r="6355" spans="1:6">
      <c r="A6355" t="s">
        <v>18892</v>
      </c>
      <c r="B6355" t="s">
        <v>18893</v>
      </c>
      <c r="C6355" t="s">
        <v>18894</v>
      </c>
      <c r="D6355" t="str">
        <f>HYPERLINK("https://github.com/TeamNewPipe/NewPipe/issues/5137","show")</f>
        <v>show</v>
      </c>
      <c r="E6355" t="str">
        <f>HYPERLINK("https://github.com/TeamNewPipe/NewPipe","show")</f>
        <v>show</v>
      </c>
      <c r="F6355" t="str">
        <f>HYPERLINK("https://github.com/TeamNewPipe/NewPipe/releases","show")</f>
        <v>show</v>
      </c>
    </row>
    <row r="6356" spans="1:6">
      <c r="A6356" t="s">
        <v>18895</v>
      </c>
      <c r="B6356" t="s">
        <v>18896</v>
      </c>
      <c r="C6356" t="s">
        <v>18897</v>
      </c>
      <c r="D6356" t="str">
        <f>HYPERLINK("https://github.com/BugBattle/Android-SDK/issues/4","show")</f>
        <v>show</v>
      </c>
      <c r="E6356" t="str">
        <f>HYPERLINK("https://github.com/BugBattle/Android-SDK","show")</f>
        <v>show</v>
      </c>
      <c r="F6356" t="str">
        <f>HYPERLINK("https://github.com/BugBattle/Android-SDK/releases","show")</f>
        <v>show</v>
      </c>
    </row>
    <row r="6357" spans="1:6">
      <c r="A6357" t="s">
        <v>18898</v>
      </c>
      <c r="B6357" t="s">
        <v>18899</v>
      </c>
      <c r="C6357" t="s">
        <v>18900</v>
      </c>
      <c r="D6357" t="str">
        <f>HYPERLINK("https://github.com/Anuken/Mindustry/issues/3903","show")</f>
        <v>show</v>
      </c>
      <c r="E6357" t="str">
        <f>HYPERLINK("https://github.com/Anuken/Mindustry","show")</f>
        <v>show</v>
      </c>
      <c r="F6357" t="str">
        <f>HYPERLINK("https://github.com/Anuken/Mindustry/releases","show")</f>
        <v>show</v>
      </c>
    </row>
    <row r="6358" spans="1:6">
      <c r="A6358" t="s">
        <v>18901</v>
      </c>
      <c r="B6358" t="s">
        <v>18902</v>
      </c>
      <c r="C6358" t="s">
        <v>18903</v>
      </c>
      <c r="D6358" t="str">
        <f>HYPERLINK("https://github.com/Anuken/Mindustry/issues/3899","show")</f>
        <v>show</v>
      </c>
      <c r="E6358" t="str">
        <f>HYPERLINK("https://github.com/Anuken/Mindustry","show")</f>
        <v>show</v>
      </c>
      <c r="F6358" t="str">
        <f>HYPERLINK("https://github.com/Anuken/Mindustry/releases","show")</f>
        <v>show</v>
      </c>
    </row>
    <row r="6359" spans="1:6">
      <c r="A6359" t="s">
        <v>18904</v>
      </c>
      <c r="B6359" t="s">
        <v>18905</v>
      </c>
      <c r="C6359" t="s">
        <v>18906</v>
      </c>
      <c r="D6359" t="str">
        <f>HYPERLINK("https://github.com/TeamNewPipe/NewPipe/issues/5135","show")</f>
        <v>show</v>
      </c>
      <c r="E6359" t="str">
        <f>HYPERLINK("https://github.com/TeamNewPipe/NewPipe","show")</f>
        <v>show</v>
      </c>
      <c r="F6359" t="str">
        <f>HYPERLINK("https://github.com/TeamNewPipe/NewPipe/releases","show")</f>
        <v>show</v>
      </c>
    </row>
    <row r="6360" spans="1:6">
      <c r="A6360" t="s">
        <v>18907</v>
      </c>
      <c r="B6360" t="s">
        <v>18908</v>
      </c>
      <c r="C6360" t="s">
        <v>18909</v>
      </c>
      <c r="D6360" t="str">
        <f>HYPERLINK("https://github.com/Anuken/Mindustry/issues/3896","show")</f>
        <v>show</v>
      </c>
      <c r="E6360" t="str">
        <f>HYPERLINK("https://github.com/Anuken/Mindustry","show")</f>
        <v>show</v>
      </c>
      <c r="F6360" t="str">
        <f>HYPERLINK("https://github.com/Anuken/Mindustry/releases","show")</f>
        <v>show</v>
      </c>
    </row>
    <row r="6361" spans="1:6">
      <c r="A6361" t="s">
        <v>18910</v>
      </c>
      <c r="B6361" t="s">
        <v>18911</v>
      </c>
      <c r="C6361" t="s">
        <v>18912</v>
      </c>
      <c r="D6361" t="str">
        <f>HYPERLINK("https://github.com/Anuken/Mindustry/issues/3895","show")</f>
        <v>show</v>
      </c>
      <c r="E6361" t="str">
        <f>HYPERLINK("https://github.com/Anuken/Mindustry","show")</f>
        <v>show</v>
      </c>
      <c r="F6361" t="str">
        <f>HYPERLINK("https://github.com/Anuken/Mindustry/releases","show")</f>
        <v>show</v>
      </c>
    </row>
    <row r="6362" spans="1:6">
      <c r="A6362" t="s">
        <v>18913</v>
      </c>
      <c r="B6362" t="s">
        <v>18914</v>
      </c>
      <c r="C6362" t="s">
        <v>18915</v>
      </c>
      <c r="D6362" t="str">
        <f>HYPERLINK("https://github.com/Anuken/Mindustry/issues/3892","show")</f>
        <v>show</v>
      </c>
      <c r="E6362" t="str">
        <f>HYPERLINK("https://github.com/Anuken/Mindustry","show")</f>
        <v>show</v>
      </c>
      <c r="F6362" t="str">
        <f>HYPERLINK("https://github.com/Anuken/Mindustry/releases","show")</f>
        <v>show</v>
      </c>
    </row>
    <row r="6363" spans="1:6">
      <c r="A6363" t="s">
        <v>18916</v>
      </c>
      <c r="B6363" t="s">
        <v>18917</v>
      </c>
      <c r="C6363" t="s">
        <v>18717</v>
      </c>
      <c r="D6363" t="str">
        <f>HYPERLINK("https://github.com/Anuken/Mindustry/issues/3891","show")</f>
        <v>show</v>
      </c>
      <c r="E6363" t="str">
        <f>HYPERLINK("https://github.com/Anuken/Mindustry","show")</f>
        <v>show</v>
      </c>
      <c r="F6363" t="str">
        <f>HYPERLINK("https://github.com/Anuken/Mindustry/releases","show")</f>
        <v>show</v>
      </c>
    </row>
    <row r="6364" spans="1:6">
      <c r="A6364" t="s">
        <v>18918</v>
      </c>
      <c r="B6364" t="s">
        <v>18919</v>
      </c>
      <c r="C6364" t="s">
        <v>18920</v>
      </c>
      <c r="D6364" t="str">
        <f>HYPERLINK("https://github.com/Anuken/Mindustry/issues/3890","show")</f>
        <v>show</v>
      </c>
      <c r="E6364" t="str">
        <f>HYPERLINK("https://github.com/Anuken/Mindustry","show")</f>
        <v>show</v>
      </c>
      <c r="F6364" t="str">
        <f>HYPERLINK("https://github.com/Anuken/Mindustry/releases","show")</f>
        <v>show</v>
      </c>
    </row>
    <row r="6365" spans="1:6">
      <c r="A6365" t="s">
        <v>18921</v>
      </c>
      <c r="B6365" t="s">
        <v>18922</v>
      </c>
      <c r="C6365" t="s">
        <v>18923</v>
      </c>
      <c r="D6365" t="str">
        <f>HYPERLINK("https://github.com/Horizontal-org/Tella-Android/issues/57","show")</f>
        <v>show</v>
      </c>
      <c r="E6365" t="str">
        <f>HYPERLINK("https://github.com/Horizontal-org/Tella-Android","show")</f>
        <v>show</v>
      </c>
      <c r="F6365" t="str">
        <f>HYPERLINK("https://github.com/Horizontal-org/Tella-Android/releases","show")</f>
        <v>show</v>
      </c>
    </row>
    <row r="6366" spans="1:6">
      <c r="A6366" t="s">
        <v>18924</v>
      </c>
      <c r="B6366" t="s">
        <v>18925</v>
      </c>
      <c r="C6366" t="s">
        <v>18926</v>
      </c>
      <c r="D6366" t="str">
        <f>HYPERLINK("https://github.com/mybigday/react-native-external-display/issues/211","show")</f>
        <v>show</v>
      </c>
      <c r="E6366" t="str">
        <f>HYPERLINK("https://github.com/mybigday/react-native-external-display","show")</f>
        <v>show</v>
      </c>
      <c r="F6366" t="str">
        <f>HYPERLINK("https://github.com/mybigday/react-native-external-display/releases","show")</f>
        <v>show</v>
      </c>
    </row>
    <row r="6367" spans="1:6">
      <c r="A6367" t="s">
        <v>18927</v>
      </c>
      <c r="B6367" t="s">
        <v>18928</v>
      </c>
      <c r="C6367" t="s">
        <v>18929</v>
      </c>
      <c r="D6367" t="str">
        <f>HYPERLINK("https://github.com/Anuken/Mindustry/issues/3888","show")</f>
        <v>show</v>
      </c>
      <c r="E6367" t="str">
        <f>HYPERLINK("https://github.com/Anuken/Mindustry","show")</f>
        <v>show</v>
      </c>
      <c r="F6367" t="str">
        <f>HYPERLINK("https://github.com/Anuken/Mindustry/releases","show")</f>
        <v>show</v>
      </c>
    </row>
    <row r="6368" spans="1:6">
      <c r="A6368" t="s">
        <v>18930</v>
      </c>
      <c r="B6368" t="s">
        <v>18931</v>
      </c>
      <c r="C6368" t="s">
        <v>18932</v>
      </c>
      <c r="D6368" t="str">
        <f>HYPERLINK("https://github.com/Anuken/Mindustry/issues/3887","show")</f>
        <v>show</v>
      </c>
      <c r="E6368" t="str">
        <f>HYPERLINK("https://github.com/Anuken/Mindustry","show")</f>
        <v>show</v>
      </c>
      <c r="F6368" t="str">
        <f>HYPERLINK("https://github.com/Anuken/Mindustry/releases","show")</f>
        <v>show</v>
      </c>
    </row>
    <row r="6369" spans="1:6">
      <c r="A6369" t="s">
        <v>18933</v>
      </c>
      <c r="B6369" t="s">
        <v>18934</v>
      </c>
      <c r="C6369" t="s">
        <v>18935</v>
      </c>
      <c r="D6369" t="str">
        <f>HYPERLINK("https://github.com/Anuken/Mindustry/issues/3884","show")</f>
        <v>show</v>
      </c>
      <c r="E6369" t="str">
        <f>HYPERLINK("https://github.com/Anuken/Mindustry","show")</f>
        <v>show</v>
      </c>
      <c r="F6369" t="str">
        <f>HYPERLINK("https://github.com/Anuken/Mindustry/releases","show")</f>
        <v>show</v>
      </c>
    </row>
    <row r="6370" spans="1:6">
      <c r="A6370" t="s">
        <v>18936</v>
      </c>
      <c r="B6370" t="s">
        <v>18937</v>
      </c>
      <c r="C6370" t="s">
        <v>18938</v>
      </c>
      <c r="D6370" t="str">
        <f>HYPERLINK("https://github.com/AOF-Dev/MCinaBox/issues/729","show")</f>
        <v>show</v>
      </c>
      <c r="E6370" t="str">
        <f>HYPERLINK("https://github.com/AOF-Dev/MCinaBox","show")</f>
        <v>show</v>
      </c>
      <c r="F6370" t="str">
        <f>HYPERLINK("https://github.com/AOF-Dev/MCinaBox/releases","show")</f>
        <v>show</v>
      </c>
    </row>
    <row r="6371" spans="1:6">
      <c r="A6371" t="s">
        <v>18939</v>
      </c>
      <c r="B6371" t="s">
        <v>18940</v>
      </c>
      <c r="C6371" t="s">
        <v>18941</v>
      </c>
      <c r="D6371" t="str">
        <f>HYPERLINK("https://github.com/Anuken/Mindustry/issues/3883","show")</f>
        <v>show</v>
      </c>
      <c r="E6371" t="str">
        <f>HYPERLINK("https://github.com/Anuken/Mindustry","show")</f>
        <v>show</v>
      </c>
      <c r="F6371" t="str">
        <f>HYPERLINK("https://github.com/Anuken/Mindustry/releases","show")</f>
        <v>show</v>
      </c>
    </row>
    <row r="6372" spans="1:6">
      <c r="A6372" t="s">
        <v>18942</v>
      </c>
      <c r="B6372" t="s">
        <v>18943</v>
      </c>
      <c r="C6372" t="s">
        <v>18944</v>
      </c>
      <c r="D6372" t="str">
        <f>HYPERLINK("https://github.com/lowtraxx/TSVNC/issues/3","show")</f>
        <v>show</v>
      </c>
      <c r="E6372" t="str">
        <f>HYPERLINK("https://github.com/lowtraxx/TSVNC","show")</f>
        <v>show</v>
      </c>
      <c r="F6372" t="str">
        <f>HYPERLINK("https://github.com/lowtraxx/TSVNC/releases","show")</f>
        <v>show</v>
      </c>
    </row>
    <row r="6373" spans="1:6">
      <c r="A6373" t="s">
        <v>18945</v>
      </c>
      <c r="B6373" t="s">
        <v>18946</v>
      </c>
      <c r="C6373" t="s">
        <v>18947</v>
      </c>
      <c r="D6373" t="str">
        <f>HYPERLINK("https://github.com/getodk/collect/issues/4287","show")</f>
        <v>show</v>
      </c>
      <c r="E6373" t="str">
        <f>HYPERLINK("https://github.com/getodk/collect","show")</f>
        <v>show</v>
      </c>
      <c r="F6373" t="str">
        <f>HYPERLINK("https://github.com/getodk/collect/releases","show")</f>
        <v>show</v>
      </c>
    </row>
    <row r="6374" spans="1:6">
      <c r="A6374" t="s">
        <v>18948</v>
      </c>
      <c r="B6374" t="s">
        <v>18949</v>
      </c>
      <c r="C6374" t="s">
        <v>18950</v>
      </c>
      <c r="D6374" t="str">
        <f>HYPERLINK("https://github.com/Anuken/Mindustry/issues/3878","show")</f>
        <v>show</v>
      </c>
      <c r="E6374" t="str">
        <f t="shared" ref="E6374:E6379" si="24">HYPERLINK("https://github.com/Anuken/Mindustry","show")</f>
        <v>show</v>
      </c>
      <c r="F6374" t="str">
        <f t="shared" ref="F6374:F6379" si="25">HYPERLINK("https://github.com/Anuken/Mindustry/releases","show")</f>
        <v>show</v>
      </c>
    </row>
    <row r="6375" spans="1:6">
      <c r="A6375" t="s">
        <v>18951</v>
      </c>
      <c r="B6375" t="s">
        <v>18952</v>
      </c>
      <c r="C6375" t="s">
        <v>18953</v>
      </c>
      <c r="D6375" t="str">
        <f>HYPERLINK("https://github.com/Anuken/Mindustry/issues/3876","show")</f>
        <v>show</v>
      </c>
      <c r="E6375" t="str">
        <f t="shared" si="24"/>
        <v>show</v>
      </c>
      <c r="F6375" t="str">
        <f t="shared" si="25"/>
        <v>show</v>
      </c>
    </row>
    <row r="6376" spans="1:6">
      <c r="A6376" t="s">
        <v>18954</v>
      </c>
      <c r="B6376" t="s">
        <v>18955</v>
      </c>
      <c r="C6376" t="s">
        <v>18956</v>
      </c>
      <c r="D6376" t="str">
        <f>HYPERLINK("https://github.com/Anuken/Mindustry/issues/3874","show")</f>
        <v>show</v>
      </c>
      <c r="E6376" t="str">
        <f t="shared" si="24"/>
        <v>show</v>
      </c>
      <c r="F6376" t="str">
        <f t="shared" si="25"/>
        <v>show</v>
      </c>
    </row>
    <row r="6377" spans="1:6">
      <c r="A6377" t="s">
        <v>18957</v>
      </c>
      <c r="B6377" t="s">
        <v>18958</v>
      </c>
      <c r="C6377" t="s">
        <v>18959</v>
      </c>
      <c r="D6377" t="str">
        <f>HYPERLINK("https://github.com/Anuken/Mindustry/issues/3872","show")</f>
        <v>show</v>
      </c>
      <c r="E6377" t="str">
        <f t="shared" si="24"/>
        <v>show</v>
      </c>
      <c r="F6377" t="str">
        <f t="shared" si="25"/>
        <v>show</v>
      </c>
    </row>
    <row r="6378" spans="1:6">
      <c r="A6378" t="s">
        <v>18960</v>
      </c>
      <c r="B6378" t="s">
        <v>18961</v>
      </c>
      <c r="C6378" t="s">
        <v>18962</v>
      </c>
      <c r="D6378" t="str">
        <f>HYPERLINK("https://github.com/Anuken/Mindustry/issues/3868","show")</f>
        <v>show</v>
      </c>
      <c r="E6378" t="str">
        <f t="shared" si="24"/>
        <v>show</v>
      </c>
      <c r="F6378" t="str">
        <f t="shared" si="25"/>
        <v>show</v>
      </c>
    </row>
    <row r="6379" spans="1:6">
      <c r="A6379" t="s">
        <v>18963</v>
      </c>
      <c r="B6379" t="s">
        <v>18964</v>
      </c>
      <c r="C6379" t="s">
        <v>18965</v>
      </c>
      <c r="D6379" t="str">
        <f>HYPERLINK("https://github.com/Anuken/Mindustry/issues/3864","show")</f>
        <v>show</v>
      </c>
      <c r="E6379" t="str">
        <f t="shared" si="24"/>
        <v>show</v>
      </c>
      <c r="F6379" t="str">
        <f t="shared" si="25"/>
        <v>show</v>
      </c>
    </row>
    <row r="6380" spans="1:6">
      <c r="A6380" t="s">
        <v>18966</v>
      </c>
      <c r="B6380" t="s">
        <v>18967</v>
      </c>
      <c r="C6380" t="s">
        <v>18968</v>
      </c>
      <c r="D6380" t="str">
        <f>HYPERLINK("https://github.com/dimagi/commcare-android/issues/2417","show")</f>
        <v>show</v>
      </c>
      <c r="E6380" t="str">
        <f>HYPERLINK("https://github.com/dimagi/commcare-android","show")</f>
        <v>show</v>
      </c>
      <c r="F6380" t="str">
        <f>HYPERLINK("https://github.com/dimagi/commcare-android/releases","show")</f>
        <v>show</v>
      </c>
    </row>
    <row r="6381" spans="1:6">
      <c r="A6381" t="s">
        <v>18969</v>
      </c>
      <c r="B6381" t="s">
        <v>18970</v>
      </c>
      <c r="C6381" t="s">
        <v>18971</v>
      </c>
      <c r="D6381" t="str">
        <f>HYPERLINK("https://github.com/react-native-share/react-native-share/issues/922","show")</f>
        <v>show</v>
      </c>
      <c r="E6381" t="str">
        <f>HYPERLINK("https://github.com/react-native-share/react-native-share","show")</f>
        <v>show</v>
      </c>
      <c r="F6381" t="str">
        <f>HYPERLINK("https://github.com/react-native-share/react-native-share/releases","show")</f>
        <v>show</v>
      </c>
    </row>
    <row r="6382" spans="1:6">
      <c r="A6382" t="s">
        <v>18972</v>
      </c>
      <c r="B6382" t="s">
        <v>18973</v>
      </c>
      <c r="C6382" t="s">
        <v>18974</v>
      </c>
      <c r="D6382" t="str">
        <f>HYPERLINK("https://github.com/Technical-Hackers/Health-Log/issues/17","show")</f>
        <v>show</v>
      </c>
      <c r="E6382" t="str">
        <f>HYPERLINK("https://github.com/Technical-Hackers/Health-Log","show")</f>
        <v>show</v>
      </c>
      <c r="F6382" t="str">
        <f>HYPERLINK("https://github.com/Technical-Hackers/Health-Log/releases","show")</f>
        <v>show</v>
      </c>
    </row>
    <row r="6383" spans="1:6">
      <c r="A6383" t="s">
        <v>18975</v>
      </c>
      <c r="B6383" t="s">
        <v>18976</v>
      </c>
      <c r="C6383" t="s">
        <v>11929</v>
      </c>
      <c r="D6383" t="str">
        <f>HYPERLINK("https://github.com/Blankj/AndroidUtilCode/issues/1389","show")</f>
        <v>show</v>
      </c>
      <c r="E6383" t="str">
        <f>HYPERLINK("https://github.com/Blankj/AndroidUtilCode","show")</f>
        <v>show</v>
      </c>
      <c r="F6383" t="str">
        <f>HYPERLINK("https://github.com/Blankj/AndroidUtilCode/releases","show")</f>
        <v>show</v>
      </c>
    </row>
    <row r="6384" spans="1:6">
      <c r="A6384" t="s">
        <v>18977</v>
      </c>
      <c r="B6384" t="s">
        <v>18978</v>
      </c>
      <c r="C6384" t="s">
        <v>18979</v>
      </c>
      <c r="D6384" t="str">
        <f>HYPERLINK("https://github.com/Anuken/Mindustry/issues/3852","show")</f>
        <v>show</v>
      </c>
      <c r="E6384" t="str">
        <f>HYPERLINK("https://github.com/Anuken/Mindustry","show")</f>
        <v>show</v>
      </c>
      <c r="F6384" t="str">
        <f>HYPERLINK("https://github.com/Anuken/Mindustry/releases","show")</f>
        <v>show</v>
      </c>
    </row>
    <row r="6385" spans="1:6">
      <c r="A6385" t="s">
        <v>18980</v>
      </c>
      <c r="B6385" t="s">
        <v>18978</v>
      </c>
      <c r="C6385" t="s">
        <v>18981</v>
      </c>
      <c r="D6385" t="str">
        <f>HYPERLINK("https://github.com/Anuken/Mindustry/issues/3851","show")</f>
        <v>show</v>
      </c>
      <c r="E6385" t="str">
        <f>HYPERLINK("https://github.com/Anuken/Mindustry","show")</f>
        <v>show</v>
      </c>
      <c r="F6385" t="str">
        <f>HYPERLINK("https://github.com/Anuken/Mindustry/releases","show")</f>
        <v>show</v>
      </c>
    </row>
    <row r="6386" spans="1:6">
      <c r="A6386" t="s">
        <v>18982</v>
      </c>
      <c r="B6386" t="s">
        <v>13561</v>
      </c>
      <c r="C6386" t="s">
        <v>18983</v>
      </c>
      <c r="D6386" t="str">
        <f>HYPERLINK("https://github.com/inaturalist/iNaturalistAndroid/issues/942","show")</f>
        <v>show</v>
      </c>
      <c r="E6386" t="str">
        <f>HYPERLINK("https://github.com/inaturalist/iNaturalistAndroid","show")</f>
        <v>show</v>
      </c>
      <c r="F6386" t="str">
        <f>HYPERLINK("https://github.com/inaturalist/iNaturalistAndroid/releases","show")</f>
        <v>show</v>
      </c>
    </row>
    <row r="6387" spans="1:6">
      <c r="A6387" t="s">
        <v>18984</v>
      </c>
      <c r="B6387" t="s">
        <v>18985</v>
      </c>
      <c r="C6387" t="s">
        <v>18986</v>
      </c>
      <c r="D6387" t="str">
        <f>HYPERLINK("https://github.com/google/ExoPlayer/issues/8323","show")</f>
        <v>show</v>
      </c>
      <c r="E6387" t="str">
        <f>HYPERLINK("https://github.com/google/ExoPlayer","show")</f>
        <v>show</v>
      </c>
      <c r="F6387" t="str">
        <f>HYPERLINK("https://github.com/google/ExoPlayer/releases","show")</f>
        <v>show</v>
      </c>
    </row>
    <row r="6388" spans="1:6">
      <c r="A6388" t="s">
        <v>18987</v>
      </c>
      <c r="B6388" t="s">
        <v>18988</v>
      </c>
      <c r="C6388" t="s">
        <v>18989</v>
      </c>
      <c r="D6388" t="str">
        <f>HYPERLINK("https://github.com/Anuken/Mindustry/issues/3850","show")</f>
        <v>show</v>
      </c>
      <c r="E6388" t="str">
        <f>HYPERLINK("https://github.com/Anuken/Mindustry","show")</f>
        <v>show</v>
      </c>
      <c r="F6388" t="str">
        <f>HYPERLINK("https://github.com/Anuken/Mindustry/releases","show")</f>
        <v>show</v>
      </c>
    </row>
    <row r="6389" spans="1:6">
      <c r="A6389" t="s">
        <v>18990</v>
      </c>
      <c r="B6389" t="s">
        <v>18991</v>
      </c>
      <c r="C6389" t="s">
        <v>18992</v>
      </c>
      <c r="D6389" t="str">
        <f>HYPERLINK("https://github.com/Anuken/Mindustry/issues/3849","show")</f>
        <v>show</v>
      </c>
      <c r="E6389" t="str">
        <f>HYPERLINK("https://github.com/Anuken/Mindustry","show")</f>
        <v>show</v>
      </c>
      <c r="F6389" t="str">
        <f>HYPERLINK("https://github.com/Anuken/Mindustry/releases","show")</f>
        <v>show</v>
      </c>
    </row>
    <row r="6390" spans="1:6">
      <c r="A6390" t="s">
        <v>18993</v>
      </c>
      <c r="B6390" t="s">
        <v>18994</v>
      </c>
      <c r="C6390" t="s">
        <v>18995</v>
      </c>
      <c r="D6390" t="str">
        <f>HYPERLINK("https://github.com/Anuken/Mindustry/issues/3848","show")</f>
        <v>show</v>
      </c>
      <c r="E6390" t="str">
        <f>HYPERLINK("https://github.com/Anuken/Mindustry","show")</f>
        <v>show</v>
      </c>
      <c r="F6390" t="str">
        <f>HYPERLINK("https://github.com/Anuken/Mindustry/releases","show")</f>
        <v>show</v>
      </c>
    </row>
    <row r="6391" spans="1:6">
      <c r="A6391" t="s">
        <v>18996</v>
      </c>
      <c r="B6391" t="s">
        <v>18997</v>
      </c>
      <c r="C6391" t="s">
        <v>18998</v>
      </c>
      <c r="D6391" t="str">
        <f>HYPERLINK("https://github.com/commons-app/apps-android-commons/issues/4086","show")</f>
        <v>show</v>
      </c>
      <c r="E6391" t="str">
        <f>HYPERLINK("https://github.com/commons-app/apps-android-commons","show")</f>
        <v>show</v>
      </c>
      <c r="F6391" t="str">
        <f>HYPERLINK("https://github.com/commons-app/apps-android-commons/releases","show")</f>
        <v>show</v>
      </c>
    </row>
    <row r="6392" spans="1:6">
      <c r="A6392" t="s">
        <v>18999</v>
      </c>
      <c r="B6392" t="s">
        <v>19000</v>
      </c>
      <c r="C6392" t="s">
        <v>19001</v>
      </c>
      <c r="D6392" t="str">
        <f>HYPERLINK("https://github.com/TeamNewPipe/NewPipe/issues/5125","show")</f>
        <v>show</v>
      </c>
      <c r="E6392" t="str">
        <f>HYPERLINK("https://github.com/TeamNewPipe/NewPipe","show")</f>
        <v>show</v>
      </c>
      <c r="F6392" t="str">
        <f>HYPERLINK("https://github.com/TeamNewPipe/NewPipe/releases","show")</f>
        <v>show</v>
      </c>
    </row>
    <row r="6393" spans="1:6">
      <c r="A6393" t="s">
        <v>19002</v>
      </c>
      <c r="B6393" t="s">
        <v>19003</v>
      </c>
      <c r="C6393" t="s">
        <v>19004</v>
      </c>
      <c r="D6393" t="str">
        <f>HYPERLINK("https://github.com/gsantner/markor/issues/1149","show")</f>
        <v>show</v>
      </c>
      <c r="E6393" t="str">
        <f>HYPERLINK("https://github.com/gsantner/markor","show")</f>
        <v>show</v>
      </c>
      <c r="F6393" t="str">
        <f>HYPERLINK("https://github.com/gsantner/markor/releases","show")</f>
        <v>show</v>
      </c>
    </row>
    <row r="6394" spans="1:6">
      <c r="A6394" t="s">
        <v>19005</v>
      </c>
      <c r="B6394" t="s">
        <v>19006</v>
      </c>
      <c r="C6394" t="s">
        <v>19007</v>
      </c>
      <c r="D6394" t="str">
        <f>HYPERLINK("https://github.com/TeamNewPipe/NewPipe/issues/5122","show")</f>
        <v>show</v>
      </c>
      <c r="E6394" t="str">
        <f>HYPERLINK("https://github.com/TeamNewPipe/NewPipe","show")</f>
        <v>show</v>
      </c>
      <c r="F6394" t="str">
        <f>HYPERLINK("https://github.com/TeamNewPipe/NewPipe/releases","show")</f>
        <v>show</v>
      </c>
    </row>
    <row r="6395" spans="1:6">
      <c r="A6395" t="s">
        <v>19008</v>
      </c>
      <c r="B6395" t="s">
        <v>19009</v>
      </c>
      <c r="C6395" t="s">
        <v>19010</v>
      </c>
      <c r="D6395" t="str">
        <f>HYPERLINK("https://github.com/TeamNewPipe/NewPipe/issues/5121","show")</f>
        <v>show</v>
      </c>
      <c r="E6395" t="str">
        <f>HYPERLINK("https://github.com/TeamNewPipe/NewPipe","show")</f>
        <v>show</v>
      </c>
      <c r="F6395" t="str">
        <f>HYPERLINK("https://github.com/TeamNewPipe/NewPipe/releases","show")</f>
        <v>show</v>
      </c>
    </row>
    <row r="6396" spans="1:6">
      <c r="A6396" t="s">
        <v>19011</v>
      </c>
      <c r="B6396" t="s">
        <v>19012</v>
      </c>
      <c r="C6396" t="s">
        <v>19013</v>
      </c>
      <c r="D6396" t="str">
        <f>HYPERLINK("https://github.com/Anuken/Mindustry/issues/3839","show")</f>
        <v>show</v>
      </c>
      <c r="E6396" t="str">
        <f>HYPERLINK("https://github.com/Anuken/Mindustry","show")</f>
        <v>show</v>
      </c>
      <c r="F6396" t="str">
        <f>HYPERLINK("https://github.com/Anuken/Mindustry/releases","show")</f>
        <v>show</v>
      </c>
    </row>
    <row r="6397" spans="1:6">
      <c r="A6397" t="s">
        <v>19014</v>
      </c>
      <c r="B6397" t="s">
        <v>19015</v>
      </c>
      <c r="C6397" t="s">
        <v>19016</v>
      </c>
      <c r="D6397" t="str">
        <f>HYPERLINK("https://github.com/the3deers/android-3D-model-viewer/issues/159","show")</f>
        <v>show</v>
      </c>
      <c r="E6397" t="str">
        <f>HYPERLINK("https://github.com/the3deers/android-3D-model-viewer","show")</f>
        <v>show</v>
      </c>
      <c r="F6397" t="str">
        <f>HYPERLINK("https://github.com/the3deers/android-3D-model-viewer/releases","show")</f>
        <v>show</v>
      </c>
    </row>
    <row r="6398" spans="1:6">
      <c r="A6398" t="s">
        <v>19017</v>
      </c>
      <c r="B6398" t="s">
        <v>19018</v>
      </c>
      <c r="C6398" t="s">
        <v>19019</v>
      </c>
      <c r="D6398" t="str">
        <f>HYPERLINK("https://github.com/Blankj/AndroidUtilCode/issues/1388","show")</f>
        <v>show</v>
      </c>
      <c r="E6398" t="str">
        <f>HYPERLINK("https://github.com/Blankj/AndroidUtilCode","show")</f>
        <v>show</v>
      </c>
      <c r="F6398" t="str">
        <f>HYPERLINK("https://github.com/Blankj/AndroidUtilCode/releases","show")</f>
        <v>show</v>
      </c>
    </row>
    <row r="6399" spans="1:6">
      <c r="A6399" t="s">
        <v>19020</v>
      </c>
      <c r="B6399" t="s">
        <v>19021</v>
      </c>
      <c r="C6399" t="s">
        <v>19022</v>
      </c>
      <c r="D6399" t="str">
        <f>HYPERLINK("https://github.com/Anuken/Mindustry/issues/3835","show")</f>
        <v>show</v>
      </c>
      <c r="E6399" t="str">
        <f>HYPERLINK("https://github.com/Anuken/Mindustry","show")</f>
        <v>show</v>
      </c>
      <c r="F6399" t="str">
        <f>HYPERLINK("https://github.com/Anuken/Mindustry/releases","show")</f>
        <v>show</v>
      </c>
    </row>
    <row r="6400" spans="1:6">
      <c r="A6400" t="s">
        <v>19023</v>
      </c>
      <c r="B6400" t="s">
        <v>19024</v>
      </c>
      <c r="C6400" t="s">
        <v>19025</v>
      </c>
      <c r="D6400" t="str">
        <f>HYPERLINK("https://github.com/Anuken/Mindustry/issues/3834","show")</f>
        <v>show</v>
      </c>
      <c r="E6400" t="str">
        <f>HYPERLINK("https://github.com/Anuken/Mindustry","show")</f>
        <v>show</v>
      </c>
      <c r="F6400" t="str">
        <f>HYPERLINK("https://github.com/Anuken/Mindustry/releases","show")</f>
        <v>show</v>
      </c>
    </row>
    <row r="6401" spans="1:6">
      <c r="A6401" t="s">
        <v>19026</v>
      </c>
      <c r="B6401" t="s">
        <v>19027</v>
      </c>
      <c r="C6401" t="s">
        <v>19028</v>
      </c>
      <c r="D6401" t="str">
        <f>HYPERLINK("https://github.com/commons-app/apps-android-commons/issues/4081","show")</f>
        <v>show</v>
      </c>
      <c r="E6401" t="str">
        <f>HYPERLINK("https://github.com/commons-app/apps-android-commons","show")</f>
        <v>show</v>
      </c>
      <c r="F6401" t="str">
        <f>HYPERLINK("https://github.com/commons-app/apps-android-commons/releases","show")</f>
        <v>show</v>
      </c>
    </row>
    <row r="6402" spans="1:6">
      <c r="A6402" t="s">
        <v>19029</v>
      </c>
      <c r="B6402" t="s">
        <v>19030</v>
      </c>
      <c r="C6402" t="s">
        <v>19031</v>
      </c>
      <c r="D6402" t="str">
        <f>HYPERLINK("https://github.com/CelesteHackmann/JustWrite/issues/18","show")</f>
        <v>show</v>
      </c>
      <c r="E6402" t="str">
        <f>HYPERLINK("https://github.com/CelesteHackmann/JustWrite","show")</f>
        <v>show</v>
      </c>
      <c r="F6402" t="str">
        <f>HYPERLINK("https://github.com/CelesteHackmann/JustWrite/releases","show")</f>
        <v>show</v>
      </c>
    </row>
    <row r="6403" spans="1:6">
      <c r="A6403" t="s">
        <v>19032</v>
      </c>
      <c r="B6403" t="s">
        <v>19033</v>
      </c>
      <c r="C6403" t="s">
        <v>19034</v>
      </c>
      <c r="D6403" t="str">
        <f>HYPERLINK("https://github.com/Anuken/Mindustry/issues/3831","show")</f>
        <v>show</v>
      </c>
      <c r="E6403" t="str">
        <f>HYPERLINK("https://github.com/Anuken/Mindustry","show")</f>
        <v>show</v>
      </c>
      <c r="F6403" t="str">
        <f>HYPERLINK("https://github.com/Anuken/Mindustry/releases","show")</f>
        <v>show</v>
      </c>
    </row>
    <row r="6404" spans="1:6">
      <c r="A6404" t="s">
        <v>19035</v>
      </c>
      <c r="B6404" t="s">
        <v>19036</v>
      </c>
      <c r="C6404" t="s">
        <v>19037</v>
      </c>
      <c r="D6404" t="str">
        <f>HYPERLINK("https://github.com/TeamNewPipe/NewPipe/issues/5118","show")</f>
        <v>show</v>
      </c>
      <c r="E6404">
        <v>0</v>
      </c>
      <c r="F6404" t="str">
        <f>HYPERLINK("https://github.com/TeamNewPipe/NewPipe/releases","show")</f>
        <v>show</v>
      </c>
    </row>
    <row r="6405" spans="1:6">
      <c r="A6405" t="s">
        <v>19038</v>
      </c>
      <c r="B6405" t="s">
        <v>19039</v>
      </c>
      <c r="C6405" t="s">
        <v>19040</v>
      </c>
      <c r="D6405" t="str">
        <f>HYPERLINK("https://github.com/TeamNewPipe/NewPipe/issues/5117","show")</f>
        <v>show</v>
      </c>
      <c r="E6405" t="str">
        <f>HYPERLINK("https://github.com/TeamNewPipe/NewPipe","show")</f>
        <v>show</v>
      </c>
      <c r="F6405" t="str">
        <f>HYPERLINK("https://github.com/TeamNewPipe/NewPipe/releases","show")</f>
        <v>show</v>
      </c>
    </row>
    <row r="6406" spans="1:6">
      <c r="A6406" t="s">
        <v>19041</v>
      </c>
      <c r="B6406" t="s">
        <v>19042</v>
      </c>
      <c r="C6406" t="s">
        <v>19043</v>
      </c>
      <c r="D6406" t="str">
        <f>HYPERLINK("https://github.com/cgeo/cgeo/issues/9509","show")</f>
        <v>show</v>
      </c>
      <c r="E6406" t="str">
        <f>HYPERLINK("https://github.com/cgeo/cgeo","show")</f>
        <v>show</v>
      </c>
      <c r="F6406" t="str">
        <f>HYPERLINK("https://github.com/cgeo/cgeo/releases","show")</f>
        <v>show</v>
      </c>
    </row>
    <row r="6407" spans="1:6">
      <c r="A6407" t="s">
        <v>19044</v>
      </c>
      <c r="B6407" t="s">
        <v>19045</v>
      </c>
      <c r="C6407" t="s">
        <v>19046</v>
      </c>
      <c r="D6407" t="str">
        <f>HYPERLINK("https://github.com/cgeo/cgeo/issues/9508","show")</f>
        <v>show</v>
      </c>
      <c r="E6407" t="str">
        <f>HYPERLINK("https://github.com/cgeo/cgeo","show")</f>
        <v>show</v>
      </c>
      <c r="F6407" t="str">
        <f>HYPERLINK("https://github.com/cgeo/cgeo/releases","show")</f>
        <v>show</v>
      </c>
    </row>
    <row r="6408" spans="1:6">
      <c r="A6408" t="s">
        <v>19047</v>
      </c>
      <c r="B6408" t="s">
        <v>19048</v>
      </c>
      <c r="C6408" t="s">
        <v>19049</v>
      </c>
      <c r="D6408" t="str">
        <f>HYPERLINK("https://github.com/TeamNewPipe/NewPipe/issues/5115","show")</f>
        <v>show</v>
      </c>
      <c r="E6408" t="str">
        <f>HYPERLINK("https://github.com/TeamNewPipe/NewPipe","show")</f>
        <v>show</v>
      </c>
      <c r="F6408" t="str">
        <f>HYPERLINK("https://github.com/TeamNewPipe/NewPipe/releases","show")</f>
        <v>show</v>
      </c>
    </row>
    <row r="6409" spans="1:6">
      <c r="A6409" t="s">
        <v>19050</v>
      </c>
      <c r="B6409" t="s">
        <v>19051</v>
      </c>
      <c r="C6409" t="s">
        <v>19052</v>
      </c>
      <c r="D6409" t="str">
        <f>HYPERLINK("https://github.com/TeamNewPipe/NewPipe/issues/5114","show")</f>
        <v>show</v>
      </c>
      <c r="E6409" t="str">
        <f>HYPERLINK("https://github.com/TeamNewPipe/NewPipe","show")</f>
        <v>show</v>
      </c>
      <c r="F6409" t="str">
        <f>HYPERLINK("https://github.com/TeamNewPipe/NewPipe/releases","show")</f>
        <v>show</v>
      </c>
    </row>
    <row r="6410" spans="1:6">
      <c r="A6410" t="s">
        <v>19053</v>
      </c>
      <c r="B6410" t="s">
        <v>16881</v>
      </c>
      <c r="C6410" t="s">
        <v>19054</v>
      </c>
      <c r="D6410" t="str">
        <f>HYPERLINK("https://github.com/TeamNewPipe/NewPipe/issues/5110","show")</f>
        <v>show</v>
      </c>
      <c r="E6410" t="str">
        <f>HYPERLINK("https://github.com/TeamNewPipe/NewPipe","show")</f>
        <v>show</v>
      </c>
      <c r="F6410" t="str">
        <f>HYPERLINK("https://github.com/TeamNewPipe/NewPipe/releases","show")</f>
        <v>show</v>
      </c>
    </row>
    <row r="6411" spans="1:6">
      <c r="A6411" t="s">
        <v>19055</v>
      </c>
      <c r="B6411" t="s">
        <v>19056</v>
      </c>
      <c r="C6411" t="s">
        <v>19057</v>
      </c>
      <c r="D6411" t="str">
        <f>HYPERLINK("https://github.com/Anuken/Mindustry/issues/3820","show")</f>
        <v>show</v>
      </c>
      <c r="E6411" t="str">
        <f>HYPERLINK("https://github.com/Anuken/Mindustry","show")</f>
        <v>show</v>
      </c>
      <c r="F6411" t="str">
        <f>HYPERLINK("https://github.com/Anuken/Mindustry/releases","show")</f>
        <v>show</v>
      </c>
    </row>
    <row r="6412" spans="1:6">
      <c r="A6412" t="s">
        <v>19058</v>
      </c>
      <c r="B6412" t="s">
        <v>19059</v>
      </c>
      <c r="C6412" t="s">
        <v>19060</v>
      </c>
      <c r="D6412" t="str">
        <f>HYPERLINK("https://github.com/Anuken/Mindustry/issues/3819","show")</f>
        <v>show</v>
      </c>
      <c r="E6412" t="str">
        <f>HYPERLINK("https://github.com/Anuken/Mindustry","show")</f>
        <v>show</v>
      </c>
      <c r="F6412" t="str">
        <f>HYPERLINK("https://github.com/Anuken/Mindustry/releases","show")</f>
        <v>show</v>
      </c>
    </row>
    <row r="6413" spans="1:6">
      <c r="A6413" t="s">
        <v>19061</v>
      </c>
      <c r="B6413" t="s">
        <v>19062</v>
      </c>
      <c r="C6413" t="s">
        <v>19063</v>
      </c>
      <c r="D6413" t="str">
        <f>HYPERLINK("https://github.com/Anuken/Mindustry/issues/3816","show")</f>
        <v>show</v>
      </c>
      <c r="E6413" t="str">
        <f>HYPERLINK("https://github.com/Anuken/Mindustry","show")</f>
        <v>show</v>
      </c>
      <c r="F6413" t="str">
        <f>HYPERLINK("https://github.com/Anuken/Mindustry/releases","show")</f>
        <v>show</v>
      </c>
    </row>
    <row r="6414" spans="1:6">
      <c r="A6414" t="s">
        <v>19064</v>
      </c>
      <c r="B6414" t="s">
        <v>19065</v>
      </c>
      <c r="C6414" t="s">
        <v>19066</v>
      </c>
      <c r="D6414" t="str">
        <f>HYPERLINK("https://github.com/ElderDrivers/EdXposed/issues/711","show")</f>
        <v>show</v>
      </c>
      <c r="E6414" t="str">
        <f>HYPERLINK("https://github.com/ElderDrivers/EdXposed","show")</f>
        <v>show</v>
      </c>
      <c r="F6414" t="str">
        <f>HYPERLINK("https://github.com/ElderDrivers/EdXposed/releases","show")</f>
        <v>show</v>
      </c>
    </row>
    <row r="6415" spans="1:6">
      <c r="A6415" t="s">
        <v>19067</v>
      </c>
      <c r="B6415" t="s">
        <v>19068</v>
      </c>
      <c r="C6415" t="s">
        <v>19069</v>
      </c>
      <c r="D6415" t="str">
        <f>HYPERLINK("https://github.com/cgeo/cgeo/issues/9500","show")</f>
        <v>show</v>
      </c>
      <c r="E6415" t="str">
        <f>HYPERLINK("https://github.com/cgeo/cgeo","show")</f>
        <v>show</v>
      </c>
      <c r="F6415" t="str">
        <f>HYPERLINK("https://github.com/cgeo/cgeo/releases","show")</f>
        <v>show</v>
      </c>
    </row>
    <row r="6416" spans="1:6">
      <c r="A6416" t="s">
        <v>19070</v>
      </c>
      <c r="B6416" t="s">
        <v>19071</v>
      </c>
      <c r="C6416" t="s">
        <v>19072</v>
      </c>
      <c r="D6416" t="str">
        <f>HYPERLINK("https://github.com/Anuken/Mindustry/issues/3814","show")</f>
        <v>show</v>
      </c>
      <c r="E6416" t="str">
        <f>HYPERLINK("https://github.com/Anuken/Mindustry","show")</f>
        <v>show</v>
      </c>
      <c r="F6416" t="str">
        <f>HYPERLINK("https://github.com/Anuken/Mindustry/releases","show")</f>
        <v>show</v>
      </c>
    </row>
    <row r="6417" spans="1:6">
      <c r="A6417" t="s">
        <v>19073</v>
      </c>
      <c r="B6417" t="s">
        <v>19074</v>
      </c>
      <c r="C6417" t="s">
        <v>19075</v>
      </c>
      <c r="D6417" t="str">
        <f>HYPERLINK("https://github.com/Anuken/Mindustry/issues/3813","show")</f>
        <v>show</v>
      </c>
      <c r="E6417" t="str">
        <f>HYPERLINK("https://github.com/Anuken/Mindustry","show")</f>
        <v>show</v>
      </c>
      <c r="F6417" t="str">
        <f>HYPERLINK("https://github.com/Anuken/Mindustry/releases","show")</f>
        <v>show</v>
      </c>
    </row>
    <row r="6418" spans="1:6">
      <c r="A6418" t="s">
        <v>19076</v>
      </c>
      <c r="B6418" t="s">
        <v>19077</v>
      </c>
      <c r="C6418" t="s">
        <v>19078</v>
      </c>
      <c r="D6418" t="str">
        <f>HYPERLINK("https://github.com/Anuken/Mindustry/issues/3812","show")</f>
        <v>show</v>
      </c>
      <c r="E6418" t="str">
        <f>HYPERLINK("https://github.com/Anuken/Mindustry","show")</f>
        <v>show</v>
      </c>
      <c r="F6418" t="str">
        <f>HYPERLINK("https://github.com/Anuken/Mindustry/releases","show")</f>
        <v>show</v>
      </c>
    </row>
    <row r="6419" spans="1:6">
      <c r="A6419" t="s">
        <v>19079</v>
      </c>
      <c r="B6419" t="s">
        <v>19080</v>
      </c>
      <c r="C6419" t="s">
        <v>19081</v>
      </c>
      <c r="D6419" t="str">
        <f>HYPERLINK("https://github.com/Anuken/Mindustry/issues/3810","show")</f>
        <v>show</v>
      </c>
      <c r="E6419" t="str">
        <f>HYPERLINK("https://github.com/Anuken/Mindustry","show")</f>
        <v>show</v>
      </c>
      <c r="F6419" t="str">
        <f>HYPERLINK("https://github.com/Anuken/Mindustry/releases","show")</f>
        <v>show</v>
      </c>
    </row>
    <row r="6420" spans="1:6">
      <c r="A6420" t="s">
        <v>19082</v>
      </c>
      <c r="B6420" t="s">
        <v>19083</v>
      </c>
      <c r="C6420" t="s">
        <v>19084</v>
      </c>
      <c r="D6420" t="str">
        <f>HYPERLINK("https://github.com/Anuken/Mindustry/issues/3808","show")</f>
        <v>show</v>
      </c>
      <c r="E6420" t="str">
        <f>HYPERLINK("https://github.com/Anuken/Mindustry","show")</f>
        <v>show</v>
      </c>
      <c r="F6420" t="str">
        <f>HYPERLINK("https://github.com/Anuken/Mindustry/releases","show")</f>
        <v>show</v>
      </c>
    </row>
    <row r="6421" spans="1:6">
      <c r="A6421" t="s">
        <v>19085</v>
      </c>
      <c r="B6421" t="s">
        <v>19086</v>
      </c>
      <c r="C6421" t="s">
        <v>19087</v>
      </c>
      <c r="D6421" t="str">
        <f>HYPERLINK("https://github.com/TeamNewPipe/NewPipe/issues/5104","show")</f>
        <v>show</v>
      </c>
      <c r="E6421" t="str">
        <f>HYPERLINK("https://github.com/TeamNewPipe/NewPipe","show")</f>
        <v>show</v>
      </c>
      <c r="F6421" t="str">
        <f>HYPERLINK("https://github.com/TeamNewPipe/NewPipe/releases","show")</f>
        <v>show</v>
      </c>
    </row>
    <row r="6422" spans="1:6">
      <c r="A6422" t="s">
        <v>19088</v>
      </c>
      <c r="B6422" t="s">
        <v>19089</v>
      </c>
      <c r="C6422" t="s">
        <v>19090</v>
      </c>
      <c r="D6422" t="str">
        <f>HYPERLINK("https://github.com/Anuken/Mindustry/issues/3807","show")</f>
        <v>show</v>
      </c>
      <c r="E6422" t="str">
        <f>HYPERLINK("https://github.com/Anuken/Mindustry","show")</f>
        <v>show</v>
      </c>
      <c r="F6422" t="str">
        <f>HYPERLINK("https://github.com/Anuken/Mindustry/releases","show")</f>
        <v>show</v>
      </c>
    </row>
    <row r="6423" spans="1:6">
      <c r="A6423" t="s">
        <v>19091</v>
      </c>
      <c r="B6423" t="s">
        <v>19092</v>
      </c>
      <c r="C6423" t="s">
        <v>19093</v>
      </c>
      <c r="D6423" t="str">
        <f>HYPERLINK("https://github.com/TeamNewPipe/NewPipe/issues/5103","show")</f>
        <v>show</v>
      </c>
      <c r="E6423" t="str">
        <f>HYPERLINK("https://github.com/TeamNewPipe/NewPipe","show")</f>
        <v>show</v>
      </c>
      <c r="F6423" t="str">
        <f>HYPERLINK("https://github.com/TeamNewPipe/NewPipe/releases","show")</f>
        <v>show</v>
      </c>
    </row>
    <row r="6424" spans="1:6">
      <c r="A6424" t="s">
        <v>19094</v>
      </c>
      <c r="B6424" t="s">
        <v>19095</v>
      </c>
      <c r="C6424" t="s">
        <v>19096</v>
      </c>
      <c r="D6424" t="str">
        <f>HYPERLINK("https://github.com/Anuken/Mindustry/issues/3805","show")</f>
        <v>show</v>
      </c>
      <c r="E6424" t="str">
        <f>HYPERLINK("https://github.com/Anuken/Mindustry","show")</f>
        <v>show</v>
      </c>
      <c r="F6424" t="str">
        <f>HYPERLINK("https://github.com/Anuken/Mindustry/releases","show")</f>
        <v>show</v>
      </c>
    </row>
    <row r="6425" spans="1:6">
      <c r="A6425" t="s">
        <v>19097</v>
      </c>
      <c r="B6425" t="s">
        <v>19098</v>
      </c>
      <c r="C6425" t="s">
        <v>19099</v>
      </c>
      <c r="D6425" t="str">
        <f>HYPERLINK("https://github.com/Anuken/Mindustry/issues/3803","show")</f>
        <v>show</v>
      </c>
      <c r="E6425" t="str">
        <f>HYPERLINK("https://github.com/Anuken/Mindustry","show")</f>
        <v>show</v>
      </c>
      <c r="F6425" t="str">
        <f>HYPERLINK("https://github.com/Anuken/Mindustry/releases","show")</f>
        <v>show</v>
      </c>
    </row>
    <row r="6426" spans="1:6">
      <c r="A6426" t="s">
        <v>19100</v>
      </c>
      <c r="B6426" t="s">
        <v>19101</v>
      </c>
      <c r="C6426" t="s">
        <v>19102</v>
      </c>
      <c r="D6426" t="str">
        <f>HYPERLINK("https://github.com/Anuken/Mindustry/issues/3802","show")</f>
        <v>show</v>
      </c>
      <c r="E6426" t="str">
        <f>HYPERLINK("https://github.com/Anuken/Mindustry","show")</f>
        <v>show</v>
      </c>
      <c r="F6426" t="str">
        <f>HYPERLINK("https://github.com/Anuken/Mindustry/releases","show")</f>
        <v>show</v>
      </c>
    </row>
    <row r="6427" spans="1:6">
      <c r="A6427" t="s">
        <v>19103</v>
      </c>
      <c r="B6427" t="s">
        <v>19104</v>
      </c>
      <c r="C6427" t="s">
        <v>19105</v>
      </c>
      <c r="D6427" t="str">
        <f>HYPERLINK("https://github.com/Anuken/Mindustry/issues/3798","show")</f>
        <v>show</v>
      </c>
      <c r="E6427" t="str">
        <f>HYPERLINK("https://github.com/Anuken/Mindustry","show")</f>
        <v>show</v>
      </c>
      <c r="F6427" t="str">
        <f>HYPERLINK("https://github.com/Anuken/Mindustry/releases","show")</f>
        <v>show</v>
      </c>
    </row>
    <row r="6428" spans="1:6">
      <c r="A6428" t="s">
        <v>19106</v>
      </c>
      <c r="B6428" t="s">
        <v>19107</v>
      </c>
      <c r="C6428" t="s">
        <v>19108</v>
      </c>
      <c r="D6428" t="str">
        <f>HYPERLINK("https://github.com/Anuken/Mindustry/issues/3797","show")</f>
        <v>show</v>
      </c>
      <c r="E6428" t="str">
        <f>HYPERLINK("https://github.com/Anuken/Mindustry","show")</f>
        <v>show</v>
      </c>
      <c r="F6428" t="str">
        <f>HYPERLINK("https://github.com/Anuken/Mindustry/releases","show")</f>
        <v>show</v>
      </c>
    </row>
    <row r="6429" spans="1:6">
      <c r="A6429" t="s">
        <v>19109</v>
      </c>
      <c r="B6429" t="s">
        <v>19092</v>
      </c>
      <c r="C6429" t="s">
        <v>19110</v>
      </c>
      <c r="D6429" t="str">
        <f>HYPERLINK("https://github.com/TeamNewPipe/NewPipe/issues/5100","show")</f>
        <v>show</v>
      </c>
      <c r="E6429" t="str">
        <f>HYPERLINK("https://github.com/TeamNewPipe/NewPipe","show")</f>
        <v>show</v>
      </c>
      <c r="F6429" t="str">
        <f>HYPERLINK("https://github.com/TeamNewPipe/NewPipe/releases","show")</f>
        <v>show</v>
      </c>
    </row>
    <row r="6430" spans="1:6">
      <c r="A6430" t="s">
        <v>19111</v>
      </c>
      <c r="B6430" t="s">
        <v>19112</v>
      </c>
      <c r="C6430" t="s">
        <v>19113</v>
      </c>
      <c r="D6430" t="str">
        <f>HYPERLINK("https://github.com/cgeo/WhereYouGo/issues/243","show")</f>
        <v>show</v>
      </c>
      <c r="E6430" t="str">
        <f>HYPERLINK("https://github.com/cgeo/WhereYouGo","show")</f>
        <v>show</v>
      </c>
      <c r="F6430" t="str">
        <f>HYPERLINK("https://github.com/cgeo/WhereYouGo/releases","show")</f>
        <v>show</v>
      </c>
    </row>
    <row r="6431" spans="1:6">
      <c r="A6431" t="s">
        <v>19114</v>
      </c>
      <c r="B6431" t="s">
        <v>19115</v>
      </c>
      <c r="C6431" t="s">
        <v>19116</v>
      </c>
      <c r="D6431" t="str">
        <f>HYPERLINK("https://github.com/cgeo/cgeo/issues/9493","show")</f>
        <v>show</v>
      </c>
      <c r="E6431" t="str">
        <f>HYPERLINK("https://github.com/cgeo/cgeo","show")</f>
        <v>show</v>
      </c>
      <c r="F6431" t="str">
        <f>HYPERLINK("https://github.com/cgeo/cgeo/releases","show")</f>
        <v>show</v>
      </c>
    </row>
    <row r="6432" spans="1:6">
      <c r="A6432" t="s">
        <v>19117</v>
      </c>
      <c r="B6432" t="s">
        <v>19118</v>
      </c>
      <c r="C6432" t="s">
        <v>19119</v>
      </c>
      <c r="D6432" t="str">
        <f>HYPERLINK("https://github.com/Anuken/Mindustry/issues/3782","show")</f>
        <v>show</v>
      </c>
      <c r="E6432" t="str">
        <f>HYPERLINK("https://github.com/Anuken/Mindustry","show")</f>
        <v>show</v>
      </c>
      <c r="F6432" t="str">
        <f>HYPERLINK("https://github.com/Anuken/Mindustry/releases","show")</f>
        <v>show</v>
      </c>
    </row>
    <row r="6433" spans="1:6">
      <c r="A6433" t="s">
        <v>19120</v>
      </c>
      <c r="B6433" t="s">
        <v>12443</v>
      </c>
      <c r="C6433" t="s">
        <v>19121</v>
      </c>
      <c r="D6433" t="str">
        <f>HYPERLINK("https://github.com/TeamNewPipe/NewPipe/issues/5099","show")</f>
        <v>show</v>
      </c>
      <c r="E6433" t="str">
        <f>HYPERLINK("https://github.com/TeamNewPipe/NewPipe","show")</f>
        <v>show</v>
      </c>
      <c r="F6433" t="str">
        <f>HYPERLINK("https://github.com/TeamNewPipe/NewPipe/releases","show")</f>
        <v>show</v>
      </c>
    </row>
    <row r="6434" spans="1:6">
      <c r="A6434" t="s">
        <v>19122</v>
      </c>
      <c r="B6434" t="s">
        <v>19123</v>
      </c>
      <c r="C6434" t="s">
        <v>19124</v>
      </c>
      <c r="D6434" t="str">
        <f>HYPERLINK("https://github.com/Anuken/Mindustry/issues/3778","show")</f>
        <v>show</v>
      </c>
      <c r="E6434" t="str">
        <f>HYPERLINK("https://github.com/Anuken/Mindustry","show")</f>
        <v>show</v>
      </c>
      <c r="F6434" t="str">
        <f>HYPERLINK("https://github.com/Anuken/Mindustry/releases","show")</f>
        <v>show</v>
      </c>
    </row>
    <row r="6435" spans="1:6">
      <c r="A6435" t="s">
        <v>19125</v>
      </c>
      <c r="B6435" t="s">
        <v>19126</v>
      </c>
      <c r="C6435" t="s">
        <v>19127</v>
      </c>
      <c r="D6435" t="str">
        <f>HYPERLINK("https://github.com/Anuken/Mindustry/issues/3774","show")</f>
        <v>show</v>
      </c>
      <c r="E6435" t="str">
        <f>HYPERLINK("https://github.com/Anuken/Mindustry","show")</f>
        <v>show</v>
      </c>
      <c r="F6435" t="str">
        <f>HYPERLINK("https://github.com/Anuken/Mindustry/releases","show")</f>
        <v>show</v>
      </c>
    </row>
    <row r="6436" spans="1:6">
      <c r="A6436" t="s">
        <v>19128</v>
      </c>
      <c r="B6436" t="s">
        <v>19129</v>
      </c>
      <c r="C6436" t="s">
        <v>19130</v>
      </c>
      <c r="D6436" t="str">
        <f>HYPERLINK("https://github.com/TeamNewPipe/NewPipe/issues/5097","show")</f>
        <v>show</v>
      </c>
      <c r="E6436" t="str">
        <f>HYPERLINK("https://github.com/TeamNewPipe/NewPipe","show")</f>
        <v>show</v>
      </c>
      <c r="F6436" t="str">
        <f>HYPERLINK("https://github.com/TeamNewPipe/NewPipe/releases","show")</f>
        <v>show</v>
      </c>
    </row>
    <row r="6437" spans="1:6">
      <c r="A6437" t="s">
        <v>19131</v>
      </c>
      <c r="B6437" t="s">
        <v>19132</v>
      </c>
      <c r="C6437" t="s">
        <v>19133</v>
      </c>
      <c r="D6437" t="str">
        <f>HYPERLINK("https://github.com/TeamNewPipe/NewPipe/issues/5096","show")</f>
        <v>show</v>
      </c>
      <c r="E6437" t="str">
        <f>HYPERLINK("https://github.com/TeamNewPipe/NewPipe","show")</f>
        <v>show</v>
      </c>
      <c r="F6437" t="str">
        <f>HYPERLINK("https://github.com/TeamNewPipe/NewPipe/releases","show")</f>
        <v>show</v>
      </c>
    </row>
    <row r="6438" spans="1:6">
      <c r="A6438" t="s">
        <v>19134</v>
      </c>
      <c r="B6438" t="s">
        <v>19135</v>
      </c>
      <c r="C6438" t="s">
        <v>19136</v>
      </c>
      <c r="D6438" t="str">
        <f>HYPERLINK("https://github.com/Ninjaman494/Hanji-Android-App/issues/46","show")</f>
        <v>show</v>
      </c>
      <c r="E6438" t="str">
        <f>HYPERLINK("https://github.com/Ninjaman494/Hanji-Android-App","show")</f>
        <v>show</v>
      </c>
      <c r="F6438" t="str">
        <f>HYPERLINK("https://github.com/Ninjaman494/Hanji-Android-App/releases","show")</f>
        <v>show</v>
      </c>
    </row>
    <row r="6439" spans="1:6">
      <c r="A6439" t="s">
        <v>19137</v>
      </c>
      <c r="B6439" t="s">
        <v>19138</v>
      </c>
      <c r="C6439" t="s">
        <v>19139</v>
      </c>
      <c r="D6439" t="str">
        <f>HYPERLINK("https://github.com/Ninjaman494/Hanji-Android-App/issues/45","show")</f>
        <v>show</v>
      </c>
      <c r="E6439" t="str">
        <f>HYPERLINK("https://github.com/Ninjaman494/Hanji-Android-App","show")</f>
        <v>show</v>
      </c>
      <c r="F6439" t="str">
        <f>HYPERLINK("https://github.com/Ninjaman494/Hanji-Android-App/releases","show")</f>
        <v>show</v>
      </c>
    </row>
    <row r="6440" spans="1:6">
      <c r="A6440" t="s">
        <v>19140</v>
      </c>
      <c r="B6440" t="s">
        <v>19141</v>
      </c>
      <c r="C6440" t="s">
        <v>19142</v>
      </c>
      <c r="D6440" t="str">
        <f>HYPERLINK("https://github.com/AOF-Dev/MCinaBox/issues/723","show")</f>
        <v>show</v>
      </c>
      <c r="E6440" t="str">
        <f>HYPERLINK("https://github.com/AOF-Dev/MCinaBox","show")</f>
        <v>show</v>
      </c>
      <c r="F6440" t="str">
        <f>HYPERLINK("https://github.com/AOF-Dev/MCinaBox/releases","show")</f>
        <v>show</v>
      </c>
    </row>
    <row r="6441" spans="1:6">
      <c r="A6441" t="s">
        <v>19143</v>
      </c>
      <c r="B6441" t="s">
        <v>19144</v>
      </c>
      <c r="C6441" t="s">
        <v>19145</v>
      </c>
      <c r="D6441" t="str">
        <f>HYPERLINK("https://github.com/nextcloud/android/issues/7600","show")</f>
        <v>show</v>
      </c>
      <c r="E6441" t="str">
        <f>HYPERLINK("https://github.com/nextcloud/android","show")</f>
        <v>show</v>
      </c>
      <c r="F6441" t="str">
        <f>HYPERLINK("https://github.com/nextcloud/android/releases","show")</f>
        <v>show</v>
      </c>
    </row>
    <row r="6442" spans="1:6">
      <c r="A6442" t="s">
        <v>19146</v>
      </c>
      <c r="B6442" t="s">
        <v>19147</v>
      </c>
      <c r="C6442" t="s">
        <v>19148</v>
      </c>
      <c r="D6442" t="str">
        <f>HYPERLINK("https://github.com/Anuken/Mindustry/issues/3771","show")</f>
        <v>show</v>
      </c>
      <c r="E6442" t="str">
        <f t="shared" ref="E6442:E6447" si="26">HYPERLINK("https://github.com/Anuken/Mindustry","show")</f>
        <v>show</v>
      </c>
      <c r="F6442" t="str">
        <f t="shared" ref="F6442:F6447" si="27">HYPERLINK("https://github.com/Anuken/Mindustry/releases","show")</f>
        <v>show</v>
      </c>
    </row>
    <row r="6443" spans="1:6">
      <c r="A6443" t="s">
        <v>19149</v>
      </c>
      <c r="B6443" t="s">
        <v>19150</v>
      </c>
      <c r="C6443" t="s">
        <v>19151</v>
      </c>
      <c r="D6443" t="str">
        <f>HYPERLINK("https://github.com/Anuken/Mindustry/issues/3770","show")</f>
        <v>show</v>
      </c>
      <c r="E6443" t="str">
        <f t="shared" si="26"/>
        <v>show</v>
      </c>
      <c r="F6443" t="str">
        <f t="shared" si="27"/>
        <v>show</v>
      </c>
    </row>
    <row r="6444" spans="1:6">
      <c r="A6444" t="s">
        <v>19152</v>
      </c>
      <c r="B6444" t="s">
        <v>19153</v>
      </c>
      <c r="C6444" t="s">
        <v>19154</v>
      </c>
      <c r="D6444" t="str">
        <f>HYPERLINK("https://github.com/Anuken/Mindustry/issues/3769","show")</f>
        <v>show</v>
      </c>
      <c r="E6444" t="str">
        <f t="shared" si="26"/>
        <v>show</v>
      </c>
      <c r="F6444" t="str">
        <f t="shared" si="27"/>
        <v>show</v>
      </c>
    </row>
    <row r="6445" spans="1:6">
      <c r="A6445" t="s">
        <v>19155</v>
      </c>
      <c r="B6445" t="s">
        <v>19156</v>
      </c>
      <c r="C6445" t="s">
        <v>19157</v>
      </c>
      <c r="D6445" t="str">
        <f>HYPERLINK("https://github.com/Anuken/Mindustry/issues/3763","show")</f>
        <v>show</v>
      </c>
      <c r="E6445" t="str">
        <f t="shared" si="26"/>
        <v>show</v>
      </c>
      <c r="F6445" t="str">
        <f t="shared" si="27"/>
        <v>show</v>
      </c>
    </row>
    <row r="6446" spans="1:6">
      <c r="A6446" t="s">
        <v>19158</v>
      </c>
      <c r="B6446" t="s">
        <v>19159</v>
      </c>
      <c r="C6446" t="s">
        <v>19160</v>
      </c>
      <c r="D6446" t="str">
        <f>HYPERLINK("https://github.com/Anuken/Mindustry/issues/3761","show")</f>
        <v>show</v>
      </c>
      <c r="E6446" t="str">
        <f t="shared" si="26"/>
        <v>show</v>
      </c>
      <c r="F6446" t="str">
        <f t="shared" si="27"/>
        <v>show</v>
      </c>
    </row>
    <row r="6447" spans="1:6">
      <c r="A6447" t="s">
        <v>19161</v>
      </c>
      <c r="B6447" t="s">
        <v>19162</v>
      </c>
      <c r="C6447" t="s">
        <v>19163</v>
      </c>
      <c r="D6447" t="str">
        <f>HYPERLINK("https://github.com/Anuken/Mindustry/issues/3760","show")</f>
        <v>show</v>
      </c>
      <c r="E6447" t="str">
        <f t="shared" si="26"/>
        <v>show</v>
      </c>
      <c r="F6447" t="str">
        <f t="shared" si="27"/>
        <v>show</v>
      </c>
    </row>
    <row r="6448" spans="1:6">
      <c r="A6448" t="s">
        <v>19164</v>
      </c>
      <c r="B6448" t="s">
        <v>19165</v>
      </c>
      <c r="C6448" t="s">
        <v>19166</v>
      </c>
      <c r="D6448" t="str">
        <f>HYPERLINK("https://github.com/TeamNewPipe/NewPipe/issues/5094","show")</f>
        <v>show</v>
      </c>
      <c r="E6448" t="str">
        <f>HYPERLINK("https://github.com/TeamNewPipe/NewPipe","show")</f>
        <v>show</v>
      </c>
      <c r="F6448" t="str">
        <f>HYPERLINK("https://github.com/TeamNewPipe/NewPipe/releases","show")</f>
        <v>show</v>
      </c>
    </row>
    <row r="6449" spans="1:6">
      <c r="A6449" t="s">
        <v>19167</v>
      </c>
      <c r="B6449" t="s">
        <v>19168</v>
      </c>
      <c r="C6449" t="s">
        <v>19169</v>
      </c>
      <c r="D6449" t="str">
        <f>HYPERLINK("https://github.com/Anuken/Mindustry/issues/3758","show")</f>
        <v>show</v>
      </c>
      <c r="E6449" t="str">
        <f t="shared" ref="E6449:E6462" si="28">HYPERLINK("https://github.com/Anuken/Mindustry","show")</f>
        <v>show</v>
      </c>
      <c r="F6449" t="str">
        <f t="shared" ref="F6449:F6462" si="29">HYPERLINK("https://github.com/Anuken/Mindustry/releases","show")</f>
        <v>show</v>
      </c>
    </row>
    <row r="6450" spans="1:6">
      <c r="A6450" t="s">
        <v>19170</v>
      </c>
      <c r="B6450" t="s">
        <v>19171</v>
      </c>
      <c r="C6450" t="s">
        <v>19172</v>
      </c>
      <c r="D6450" t="str">
        <f>HYPERLINK("https://github.com/Anuken/Mindustry/issues/3756","show")</f>
        <v>show</v>
      </c>
      <c r="E6450" t="str">
        <f t="shared" si="28"/>
        <v>show</v>
      </c>
      <c r="F6450" t="str">
        <f t="shared" si="29"/>
        <v>show</v>
      </c>
    </row>
    <row r="6451" spans="1:6">
      <c r="A6451" t="s">
        <v>19173</v>
      </c>
      <c r="B6451" t="s">
        <v>19174</v>
      </c>
      <c r="C6451" t="s">
        <v>19175</v>
      </c>
      <c r="D6451" t="str">
        <f>HYPERLINK("https://github.com/Anuken/Mindustry/issues/3754","show")</f>
        <v>show</v>
      </c>
      <c r="E6451" t="str">
        <f t="shared" si="28"/>
        <v>show</v>
      </c>
      <c r="F6451" t="str">
        <f t="shared" si="29"/>
        <v>show</v>
      </c>
    </row>
    <row r="6452" spans="1:6">
      <c r="A6452" t="s">
        <v>19176</v>
      </c>
      <c r="B6452" t="s">
        <v>19177</v>
      </c>
      <c r="C6452" t="s">
        <v>19178</v>
      </c>
      <c r="D6452" t="str">
        <f>HYPERLINK("https://github.com/Anuken/Mindustry/issues/3752","show")</f>
        <v>show</v>
      </c>
      <c r="E6452" t="str">
        <f t="shared" si="28"/>
        <v>show</v>
      </c>
      <c r="F6452" t="str">
        <f t="shared" si="29"/>
        <v>show</v>
      </c>
    </row>
    <row r="6453" spans="1:6">
      <c r="A6453" t="s">
        <v>19179</v>
      </c>
      <c r="B6453" t="s">
        <v>19180</v>
      </c>
      <c r="C6453" t="s">
        <v>19181</v>
      </c>
      <c r="D6453" t="str">
        <f>HYPERLINK("https://github.com/Anuken/Mindustry/issues/3750","show")</f>
        <v>show</v>
      </c>
      <c r="E6453" t="str">
        <f t="shared" si="28"/>
        <v>show</v>
      </c>
      <c r="F6453" t="str">
        <f t="shared" si="29"/>
        <v>show</v>
      </c>
    </row>
    <row r="6454" spans="1:6">
      <c r="A6454" t="s">
        <v>19182</v>
      </c>
      <c r="B6454" t="s">
        <v>19183</v>
      </c>
      <c r="C6454" t="s">
        <v>19184</v>
      </c>
      <c r="D6454" t="str">
        <f>HYPERLINK("https://github.com/Anuken/Mindustry/issues/3749","show")</f>
        <v>show</v>
      </c>
      <c r="E6454" t="str">
        <f t="shared" si="28"/>
        <v>show</v>
      </c>
      <c r="F6454" t="str">
        <f t="shared" si="29"/>
        <v>show</v>
      </c>
    </row>
    <row r="6455" spans="1:6">
      <c r="A6455" t="s">
        <v>19185</v>
      </c>
      <c r="B6455" t="s">
        <v>19186</v>
      </c>
      <c r="C6455" t="s">
        <v>19187</v>
      </c>
      <c r="D6455" t="str">
        <f>HYPERLINK("https://github.com/Anuken/Mindustry/issues/3748","show")</f>
        <v>show</v>
      </c>
      <c r="E6455" t="str">
        <f t="shared" si="28"/>
        <v>show</v>
      </c>
      <c r="F6455" t="str">
        <f t="shared" si="29"/>
        <v>show</v>
      </c>
    </row>
    <row r="6456" spans="1:6">
      <c r="A6456" t="s">
        <v>19188</v>
      </c>
      <c r="B6456" t="s">
        <v>19189</v>
      </c>
      <c r="C6456" t="s">
        <v>19190</v>
      </c>
      <c r="D6456" t="str">
        <f>HYPERLINK("https://github.com/Anuken/Mindustry/issues/3746","show")</f>
        <v>show</v>
      </c>
      <c r="E6456" t="str">
        <f t="shared" si="28"/>
        <v>show</v>
      </c>
      <c r="F6456" t="str">
        <f t="shared" si="29"/>
        <v>show</v>
      </c>
    </row>
    <row r="6457" spans="1:6">
      <c r="A6457" t="s">
        <v>19191</v>
      </c>
      <c r="B6457" t="s">
        <v>19192</v>
      </c>
      <c r="C6457" t="s">
        <v>19193</v>
      </c>
      <c r="D6457" t="str">
        <f>HYPERLINK("https://github.com/Anuken/Mindustry/issues/3745","show")</f>
        <v>show</v>
      </c>
      <c r="E6457" t="str">
        <f t="shared" si="28"/>
        <v>show</v>
      </c>
      <c r="F6457" t="str">
        <f t="shared" si="29"/>
        <v>show</v>
      </c>
    </row>
    <row r="6458" spans="1:6">
      <c r="A6458" t="s">
        <v>19194</v>
      </c>
      <c r="B6458" t="s">
        <v>19195</v>
      </c>
      <c r="C6458" t="s">
        <v>19196</v>
      </c>
      <c r="D6458" t="str">
        <f>HYPERLINK("https://github.com/Anuken/Mindustry/issues/3744","show")</f>
        <v>show</v>
      </c>
      <c r="E6458" t="str">
        <f t="shared" si="28"/>
        <v>show</v>
      </c>
      <c r="F6458" t="str">
        <f t="shared" si="29"/>
        <v>show</v>
      </c>
    </row>
    <row r="6459" spans="1:6">
      <c r="A6459" t="s">
        <v>19197</v>
      </c>
      <c r="B6459" t="s">
        <v>19198</v>
      </c>
      <c r="C6459" t="s">
        <v>19199</v>
      </c>
      <c r="D6459" t="str">
        <f>HYPERLINK("https://github.com/Anuken/Mindustry/issues/3743","show")</f>
        <v>show</v>
      </c>
      <c r="E6459" t="str">
        <f t="shared" si="28"/>
        <v>show</v>
      </c>
      <c r="F6459" t="str">
        <f t="shared" si="29"/>
        <v>show</v>
      </c>
    </row>
    <row r="6460" spans="1:6">
      <c r="A6460" t="s">
        <v>19200</v>
      </c>
      <c r="B6460" t="s">
        <v>19201</v>
      </c>
      <c r="C6460" t="s">
        <v>19202</v>
      </c>
      <c r="D6460" t="str">
        <f>HYPERLINK("https://github.com/Anuken/Mindustry/issues/3742","show")</f>
        <v>show</v>
      </c>
      <c r="E6460" t="str">
        <f t="shared" si="28"/>
        <v>show</v>
      </c>
      <c r="F6460" t="str">
        <f t="shared" si="29"/>
        <v>show</v>
      </c>
    </row>
    <row r="6461" spans="1:6">
      <c r="A6461" t="s">
        <v>19203</v>
      </c>
      <c r="B6461" t="s">
        <v>19204</v>
      </c>
      <c r="C6461" t="s">
        <v>19205</v>
      </c>
      <c r="D6461" t="str">
        <f>HYPERLINK("https://github.com/Anuken/Mindustry/issues/3741","show")</f>
        <v>show</v>
      </c>
      <c r="E6461" t="str">
        <f t="shared" si="28"/>
        <v>show</v>
      </c>
      <c r="F6461" t="str">
        <f t="shared" si="29"/>
        <v>show</v>
      </c>
    </row>
    <row r="6462" spans="1:6">
      <c r="A6462" t="s">
        <v>19206</v>
      </c>
      <c r="B6462" t="s">
        <v>19207</v>
      </c>
      <c r="C6462" t="s">
        <v>19208</v>
      </c>
      <c r="D6462" t="str">
        <f>HYPERLINK("https://github.com/Anuken/Mindustry/issues/3739","show")</f>
        <v>show</v>
      </c>
      <c r="E6462" t="str">
        <f t="shared" si="28"/>
        <v>show</v>
      </c>
      <c r="F6462" t="str">
        <f t="shared" si="29"/>
        <v>show</v>
      </c>
    </row>
    <row r="6463" spans="1:6">
      <c r="A6463" t="s">
        <v>19209</v>
      </c>
      <c r="B6463" t="s">
        <v>19210</v>
      </c>
      <c r="C6463" t="s">
        <v>19211</v>
      </c>
      <c r="D6463" t="str">
        <f>HYPERLINK("https://github.com/tradle/react-native-udp/issues/147","show")</f>
        <v>show</v>
      </c>
      <c r="E6463" t="str">
        <f>HYPERLINK("https://github.com/tradle/react-native-udp","show")</f>
        <v>show</v>
      </c>
      <c r="F6463" t="str">
        <f>HYPERLINK("https://github.com/tradle/react-native-udp/releases","show")</f>
        <v>show</v>
      </c>
    </row>
    <row r="6464" spans="1:6">
      <c r="A6464" t="s">
        <v>19212</v>
      </c>
      <c r="B6464" t="s">
        <v>19213</v>
      </c>
      <c r="C6464" t="s">
        <v>19214</v>
      </c>
      <c r="D6464" t="str">
        <f>HYPERLINK("https://github.com/Anuken/Mindustry/issues/3738","show")</f>
        <v>show</v>
      </c>
      <c r="E6464" t="str">
        <f>HYPERLINK("https://github.com/Anuken/Mindustry","show")</f>
        <v>show</v>
      </c>
      <c r="F6464" t="str">
        <f>HYPERLINK("https://github.com/Anuken/Mindustry/releases","show")</f>
        <v>show</v>
      </c>
    </row>
    <row r="6465" spans="1:6">
      <c r="A6465" t="s">
        <v>19215</v>
      </c>
      <c r="B6465" t="s">
        <v>3937</v>
      </c>
      <c r="C6465" t="s">
        <v>19216</v>
      </c>
      <c r="D6465" t="str">
        <f>HYPERLINK("https://github.com/stefan-niedermann/nextcloud-notes/issues/995","show")</f>
        <v>show</v>
      </c>
      <c r="E6465" t="str">
        <f>HYPERLINK("https://github.com/stefan-niedermann/nextcloud-notes","show")</f>
        <v>show</v>
      </c>
      <c r="F6465" t="str">
        <f>HYPERLINK("https://github.com/stefan-niedermann/nextcloud-notes/releases","show")</f>
        <v>show</v>
      </c>
    </row>
    <row r="6466" spans="1:6">
      <c r="A6466" t="s">
        <v>19217</v>
      </c>
      <c r="B6466" t="s">
        <v>19218</v>
      </c>
      <c r="C6466" t="s">
        <v>19219</v>
      </c>
      <c r="D6466" t="str">
        <f>HYPERLINK("https://github.com/TeamNewPipe/NewPipe/issues/5089","show")</f>
        <v>show</v>
      </c>
      <c r="E6466" t="str">
        <f>HYPERLINK("https://github.com/TeamNewPipe/NewPipe","show")</f>
        <v>show</v>
      </c>
      <c r="F6466" t="str">
        <f>HYPERLINK("https://github.com/TeamNewPipe/NewPipe/releases","show")</f>
        <v>show</v>
      </c>
    </row>
    <row r="6467" spans="1:6">
      <c r="A6467" t="s">
        <v>19220</v>
      </c>
      <c r="B6467" t="s">
        <v>19221</v>
      </c>
      <c r="C6467" t="s">
        <v>19222</v>
      </c>
      <c r="D6467" t="str">
        <f>HYPERLINK("https://github.com/TeamNewPipe/NewPipe/issues/5088","show")</f>
        <v>show</v>
      </c>
      <c r="E6467" t="str">
        <f>HYPERLINK("https://github.com/TeamNewPipe/NewPipe","show")</f>
        <v>show</v>
      </c>
      <c r="F6467" t="str">
        <f>HYPERLINK("https://github.com/TeamNewPipe/NewPipe/releases","show")</f>
        <v>show</v>
      </c>
    </row>
    <row r="6468" spans="1:6">
      <c r="A6468" t="s">
        <v>19223</v>
      </c>
      <c r="B6468" t="s">
        <v>19224</v>
      </c>
      <c r="C6468" t="s">
        <v>19225</v>
      </c>
      <c r="D6468" t="str">
        <f>HYPERLINK("https://github.com/TeamNewPipe/NewPipe/issues/5087","show")</f>
        <v>show</v>
      </c>
      <c r="E6468" t="str">
        <f>HYPERLINK("https://github.com/TeamNewPipe/NewPipe","show")</f>
        <v>show</v>
      </c>
      <c r="F6468" t="str">
        <f>HYPERLINK("https://github.com/TeamNewPipe/NewPipe/releases","show")</f>
        <v>show</v>
      </c>
    </row>
    <row r="6469" spans="1:6">
      <c r="A6469" t="s">
        <v>19226</v>
      </c>
      <c r="B6469" t="s">
        <v>19227</v>
      </c>
      <c r="C6469" t="s">
        <v>19181</v>
      </c>
      <c r="D6469" t="str">
        <f>HYPERLINK("https://github.com/Anuken/Mindustry/issues/3733","show")</f>
        <v>show</v>
      </c>
      <c r="E6469" t="str">
        <f>HYPERLINK("https://github.com/Anuken/Mindustry","show")</f>
        <v>show</v>
      </c>
      <c r="F6469" t="str">
        <f>HYPERLINK("https://github.com/Anuken/Mindustry/releases","show")</f>
        <v>show</v>
      </c>
    </row>
    <row r="6470" spans="1:6">
      <c r="A6470" t="s">
        <v>19228</v>
      </c>
      <c r="B6470" t="s">
        <v>19229</v>
      </c>
      <c r="C6470" t="s">
        <v>19230</v>
      </c>
      <c r="D6470" t="str">
        <f>HYPERLINK("https://github.com/Anuken/Mindustry/issues/3731","show")</f>
        <v>show</v>
      </c>
      <c r="E6470" t="str">
        <f>HYPERLINK("https://github.com/Anuken/Mindustry","show")</f>
        <v>show</v>
      </c>
      <c r="F6470" t="str">
        <f>HYPERLINK("https://github.com/Anuken/Mindustry/releases","show")</f>
        <v>show</v>
      </c>
    </row>
    <row r="6471" spans="1:6">
      <c r="A6471" t="s">
        <v>19231</v>
      </c>
      <c r="B6471" t="s">
        <v>19232</v>
      </c>
      <c r="C6471" t="s">
        <v>19233</v>
      </c>
      <c r="D6471" t="str">
        <f>HYPERLINK("https://github.com/Anuken/Mindustry/issues/3730","show")</f>
        <v>show</v>
      </c>
      <c r="E6471" t="str">
        <f>HYPERLINK("https://github.com/Anuken/Mindustry","show")</f>
        <v>show</v>
      </c>
      <c r="F6471" t="str">
        <f>HYPERLINK("https://github.com/Anuken/Mindustry/releases","show")</f>
        <v>show</v>
      </c>
    </row>
    <row r="6472" spans="1:6">
      <c r="A6472" t="s">
        <v>19234</v>
      </c>
      <c r="B6472" t="s">
        <v>19235</v>
      </c>
      <c r="C6472" t="s">
        <v>19236</v>
      </c>
      <c r="D6472" t="str">
        <f>HYPERLINK("https://github.com/aws-amplify/amplify-android/issues/1022","show")</f>
        <v>show</v>
      </c>
      <c r="E6472" t="str">
        <f>HYPERLINK("https://github.com/aws-amplify/amplify-android","show")</f>
        <v>show</v>
      </c>
      <c r="F6472" t="str">
        <f>HYPERLINK("https://github.com/aws-amplify/amplify-android/releases","show")</f>
        <v>show</v>
      </c>
    </row>
    <row r="6473" spans="1:6">
      <c r="A6473" t="s">
        <v>19237</v>
      </c>
      <c r="B6473" t="s">
        <v>19238</v>
      </c>
      <c r="C6473" t="s">
        <v>19239</v>
      </c>
      <c r="D6473" t="str">
        <f>HYPERLINK("https://github.com/nextcloud/android/issues/7590","show")</f>
        <v>show</v>
      </c>
      <c r="E6473" t="str">
        <f>HYPERLINK("https://github.com/nextcloud/android","show")</f>
        <v>show</v>
      </c>
      <c r="F6473" t="str">
        <f>HYPERLINK("https://github.com/nextcloud/android/releases","show")</f>
        <v>show</v>
      </c>
    </row>
    <row r="6474" spans="1:6">
      <c r="A6474" t="s">
        <v>19240</v>
      </c>
      <c r="B6474" t="s">
        <v>19241</v>
      </c>
      <c r="C6474" t="s">
        <v>19242</v>
      </c>
      <c r="D6474" t="str">
        <f>HYPERLINK("https://github.com/TeamNewPipe/NewPipe/issues/5076","show")</f>
        <v>show</v>
      </c>
      <c r="E6474" t="str">
        <f>HYPERLINK("https://github.com/TeamNewPipe/NewPipe","show")</f>
        <v>show</v>
      </c>
      <c r="F6474" t="str">
        <f>HYPERLINK("https://github.com/TeamNewPipe/NewPipe/releases","show")</f>
        <v>show</v>
      </c>
    </row>
    <row r="6475" spans="1:6">
      <c r="A6475" t="s">
        <v>19243</v>
      </c>
      <c r="B6475" t="s">
        <v>19244</v>
      </c>
      <c r="C6475" t="s">
        <v>19245</v>
      </c>
      <c r="D6475" t="str">
        <f>HYPERLINK("https://github.com/nextcloud/android/issues/7589","show")</f>
        <v>show</v>
      </c>
      <c r="E6475" t="str">
        <f>HYPERLINK("https://github.com/nextcloud/android","show")</f>
        <v>show</v>
      </c>
      <c r="F6475" t="str">
        <f>HYPERLINK("https://github.com/nextcloud/android/releases","show")</f>
        <v>show</v>
      </c>
    </row>
    <row r="6476" spans="1:6">
      <c r="A6476" t="s">
        <v>19246</v>
      </c>
      <c r="B6476" t="s">
        <v>19247</v>
      </c>
      <c r="C6476" t="s">
        <v>19248</v>
      </c>
      <c r="D6476" t="str">
        <f>HYPERLINK("https://github.com/cgeo/cgeo/issues/9488","show")</f>
        <v>show</v>
      </c>
      <c r="E6476" t="str">
        <f>HYPERLINK("https://github.com/cgeo/cgeo","show")</f>
        <v>show</v>
      </c>
      <c r="F6476" t="str">
        <f>HYPERLINK("https://github.com/cgeo/cgeo/releases","show")</f>
        <v>show</v>
      </c>
    </row>
    <row r="6477" spans="1:6">
      <c r="A6477" t="s">
        <v>19249</v>
      </c>
      <c r="B6477" t="s">
        <v>19250</v>
      </c>
      <c r="C6477" t="s">
        <v>19251</v>
      </c>
      <c r="D6477" t="str">
        <f>HYPERLINK("https://github.com/opensrp/opensrp-client-chw/issues/1605","show")</f>
        <v>show</v>
      </c>
      <c r="E6477" t="str">
        <f>HYPERLINK("https://github.com/opensrp/opensrp-client-chw","show")</f>
        <v>show</v>
      </c>
      <c r="F6477" t="str">
        <f>HYPERLINK("https://github.com/opensrp/opensrp-client-chw/releases","show")</f>
        <v>show</v>
      </c>
    </row>
    <row r="6478" spans="1:6">
      <c r="A6478" t="s">
        <v>19252</v>
      </c>
      <c r="B6478" t="s">
        <v>19253</v>
      </c>
      <c r="C6478" t="s">
        <v>19254</v>
      </c>
      <c r="D6478" t="str">
        <f>HYPERLINK("https://github.com/AOF-Dev/MCinaBox/issues/719","show")</f>
        <v>show</v>
      </c>
      <c r="E6478" t="str">
        <f>HYPERLINK("https://github.com/AOF-Dev/MCinaBox","show")</f>
        <v>show</v>
      </c>
      <c r="F6478" t="str">
        <f>HYPERLINK("https://github.com/AOF-Dev/MCinaBox/releases","show")</f>
        <v>show</v>
      </c>
    </row>
    <row r="6479" spans="1:6">
      <c r="A6479" t="s">
        <v>19255</v>
      </c>
      <c r="B6479" t="s">
        <v>19256</v>
      </c>
      <c r="C6479" t="s">
        <v>19257</v>
      </c>
      <c r="D6479" t="str">
        <f>HYPERLINK("https://github.com/TeamNewPipe/NewPipe/issues/5075","show")</f>
        <v>show</v>
      </c>
      <c r="E6479" t="str">
        <f>HYPERLINK("https://github.com/TeamNewPipe/NewPipe","show")</f>
        <v>show</v>
      </c>
      <c r="F6479" t="str">
        <f>HYPERLINK("https://github.com/TeamNewPipe/NewPipe/releases","show")</f>
        <v>show</v>
      </c>
    </row>
    <row r="6480" spans="1:6">
      <c r="A6480" t="s">
        <v>19258</v>
      </c>
      <c r="B6480" t="s">
        <v>19259</v>
      </c>
      <c r="C6480" t="s">
        <v>19260</v>
      </c>
      <c r="D6480" t="str">
        <f>HYPERLINK("https://github.com/ModdingFox/OpenFuraffinityClient/issues/86","show")</f>
        <v>show</v>
      </c>
      <c r="E6480" t="str">
        <f>HYPERLINK("https://github.com/ModdingFox/OpenFuraffinityClient","show")</f>
        <v>show</v>
      </c>
      <c r="F6480" t="str">
        <f>HYPERLINK("https://github.com/ModdingFox/OpenFuraffinityClient/releases","show")</f>
        <v>show</v>
      </c>
    </row>
    <row r="6481" spans="1:6">
      <c r="A6481" t="s">
        <v>19261</v>
      </c>
      <c r="B6481" t="s">
        <v>19262</v>
      </c>
      <c r="C6481" t="s">
        <v>19263</v>
      </c>
      <c r="D6481" t="str">
        <f>HYPERLINK("https://github.com/Anuken/Mindustry/issues/3723","show")</f>
        <v>show</v>
      </c>
      <c r="E6481" t="str">
        <f>HYPERLINK("https://github.com/Anuken/Mindustry","show")</f>
        <v>show</v>
      </c>
      <c r="F6481" t="str">
        <f>HYPERLINK("https://github.com/Anuken/Mindustry/releases","show")</f>
        <v>show</v>
      </c>
    </row>
    <row r="6482" spans="1:6">
      <c r="A6482" t="s">
        <v>19264</v>
      </c>
      <c r="B6482" t="s">
        <v>19265</v>
      </c>
      <c r="C6482" t="s">
        <v>19266</v>
      </c>
      <c r="D6482" t="str">
        <f>HYPERLINK("https://github.com/nextcloud/android/issues/7582","show")</f>
        <v>show</v>
      </c>
      <c r="E6482" t="str">
        <f>HYPERLINK("https://github.com/nextcloud/android","show")</f>
        <v>show</v>
      </c>
      <c r="F6482" t="str">
        <f>HYPERLINK("https://github.com/nextcloud/android/releases","show")</f>
        <v>show</v>
      </c>
    </row>
    <row r="6483" spans="1:6">
      <c r="A6483" t="s">
        <v>19267</v>
      </c>
      <c r="B6483" t="s">
        <v>19268</v>
      </c>
      <c r="C6483" t="s">
        <v>19269</v>
      </c>
      <c r="D6483" t="str">
        <f>HYPERLINK("https://github.com/microg/GmsCore/issues/1296","show")</f>
        <v>show</v>
      </c>
      <c r="E6483" t="str">
        <f>HYPERLINK("https://github.com/microg/GmsCore","show")</f>
        <v>show</v>
      </c>
      <c r="F6483" t="str">
        <f>HYPERLINK("https://github.com/microg/GmsCore/releases","show")</f>
        <v>show</v>
      </c>
    </row>
    <row r="6484" spans="1:6">
      <c r="A6484" t="s">
        <v>19270</v>
      </c>
      <c r="B6484" t="s">
        <v>19271</v>
      </c>
      <c r="C6484" t="s">
        <v>19272</v>
      </c>
      <c r="D6484" t="str">
        <f>HYPERLINK("https://github.com/Anuken/Mindustry/issues/3704","show")</f>
        <v>show</v>
      </c>
      <c r="E6484" t="str">
        <f>HYPERLINK("https://github.com/Anuken/Mindustry","show")</f>
        <v>show</v>
      </c>
      <c r="F6484" t="str">
        <f>HYPERLINK("https://github.com/Anuken/Mindustry/releases","show")</f>
        <v>show</v>
      </c>
    </row>
    <row r="6485" spans="1:6">
      <c r="A6485" t="s">
        <v>19273</v>
      </c>
      <c r="B6485" t="s">
        <v>19274</v>
      </c>
      <c r="C6485" t="s">
        <v>19275</v>
      </c>
      <c r="D6485" t="str">
        <f>HYPERLINK("https://github.com/nextcloud/android/issues/7577","show")</f>
        <v>show</v>
      </c>
      <c r="E6485" t="str">
        <f>HYPERLINK("https://github.com/nextcloud/android","show")</f>
        <v>show</v>
      </c>
      <c r="F6485" t="str">
        <f>HYPERLINK("https://github.com/nextcloud/android/releases","show")</f>
        <v>show</v>
      </c>
    </row>
    <row r="6486" spans="1:6">
      <c r="A6486" t="s">
        <v>19276</v>
      </c>
      <c r="B6486" t="s">
        <v>19277</v>
      </c>
      <c r="C6486" t="s">
        <v>19278</v>
      </c>
      <c r="D6486" t="str">
        <f>HYPERLINK("https://github.com/Anuken/Mindustry/issues/3703","show")</f>
        <v>show</v>
      </c>
      <c r="E6486" t="str">
        <f t="shared" ref="E6486:E6491" si="30">HYPERLINK("https://github.com/Anuken/Mindustry","show")</f>
        <v>show</v>
      </c>
      <c r="F6486" t="str">
        <f t="shared" ref="F6486:F6491" si="31">HYPERLINK("https://github.com/Anuken/Mindustry/releases","show")</f>
        <v>show</v>
      </c>
    </row>
    <row r="6487" spans="1:6">
      <c r="A6487" t="s">
        <v>19279</v>
      </c>
      <c r="B6487" t="s">
        <v>107</v>
      </c>
      <c r="C6487" t="s">
        <v>19280</v>
      </c>
      <c r="D6487" t="str">
        <f>HYPERLINK("https://github.com/Anuken/Mindustry/issues/3702","show")</f>
        <v>show</v>
      </c>
      <c r="E6487" t="str">
        <f t="shared" si="30"/>
        <v>show</v>
      </c>
      <c r="F6487" t="str">
        <f t="shared" si="31"/>
        <v>show</v>
      </c>
    </row>
    <row r="6488" spans="1:6">
      <c r="A6488" t="s">
        <v>19281</v>
      </c>
      <c r="B6488" t="s">
        <v>19282</v>
      </c>
      <c r="C6488" t="s">
        <v>19283</v>
      </c>
      <c r="D6488" t="str">
        <f>HYPERLINK("https://github.com/Anuken/Mindustry/issues/3695","show")</f>
        <v>show</v>
      </c>
      <c r="E6488" t="str">
        <f t="shared" si="30"/>
        <v>show</v>
      </c>
      <c r="F6488" t="str">
        <f t="shared" si="31"/>
        <v>show</v>
      </c>
    </row>
    <row r="6489" spans="1:6">
      <c r="A6489" t="s">
        <v>19284</v>
      </c>
      <c r="B6489" t="s">
        <v>19285</v>
      </c>
      <c r="C6489" t="s">
        <v>19286</v>
      </c>
      <c r="D6489" t="str">
        <f>HYPERLINK("https://github.com/Anuken/Mindustry/issues/3694","show")</f>
        <v>show</v>
      </c>
      <c r="E6489" t="str">
        <f t="shared" si="30"/>
        <v>show</v>
      </c>
      <c r="F6489" t="str">
        <f t="shared" si="31"/>
        <v>show</v>
      </c>
    </row>
    <row r="6490" spans="1:6">
      <c r="A6490" t="s">
        <v>19287</v>
      </c>
      <c r="B6490" t="s">
        <v>19288</v>
      </c>
      <c r="C6490" t="s">
        <v>19289</v>
      </c>
      <c r="D6490" t="str">
        <f>HYPERLINK("https://github.com/Anuken/Mindustry/issues/3693","show")</f>
        <v>show</v>
      </c>
      <c r="E6490" t="str">
        <f t="shared" si="30"/>
        <v>show</v>
      </c>
      <c r="F6490" t="str">
        <f t="shared" si="31"/>
        <v>show</v>
      </c>
    </row>
    <row r="6491" spans="1:6">
      <c r="A6491" t="s">
        <v>19290</v>
      </c>
      <c r="B6491" t="s">
        <v>19291</v>
      </c>
      <c r="C6491" t="s">
        <v>19292</v>
      </c>
      <c r="D6491" t="str">
        <f>HYPERLINK("https://github.com/Anuken/Mindustry/issues/3690","show")</f>
        <v>show</v>
      </c>
      <c r="E6491" t="str">
        <f t="shared" si="30"/>
        <v>show</v>
      </c>
      <c r="F6491" t="str">
        <f t="shared" si="31"/>
        <v>show</v>
      </c>
    </row>
    <row r="6492" spans="1:6">
      <c r="A6492" t="s">
        <v>19293</v>
      </c>
      <c r="B6492" t="s">
        <v>19294</v>
      </c>
      <c r="C6492" t="s">
        <v>19295</v>
      </c>
      <c r="D6492" t="str">
        <f>HYPERLINK("https://github.com/TeamNewPipe/NewPipe/issues/5055","show")</f>
        <v>show</v>
      </c>
      <c r="E6492" t="str">
        <f>HYPERLINK("https://github.com/TeamNewPipe/NewPipe","show")</f>
        <v>show</v>
      </c>
      <c r="F6492" t="str">
        <f>HYPERLINK("https://github.com/TeamNewPipe/NewPipe/releases","show")</f>
        <v>show</v>
      </c>
    </row>
    <row r="6493" spans="1:6">
      <c r="A6493" t="s">
        <v>19296</v>
      </c>
      <c r="B6493" t="s">
        <v>19297</v>
      </c>
      <c r="C6493" t="s">
        <v>19298</v>
      </c>
      <c r="D6493" t="str">
        <f>HYPERLINK("https://github.com/nextcloud/android/issues/7573","show")</f>
        <v>show</v>
      </c>
      <c r="E6493" t="str">
        <f>HYPERLINK("https://github.com/nextcloud/android","show")</f>
        <v>show</v>
      </c>
      <c r="F6493" t="str">
        <f>HYPERLINK("https://github.com/nextcloud/android/releases","show")</f>
        <v>show</v>
      </c>
    </row>
    <row r="6494" spans="1:6">
      <c r="A6494" t="s">
        <v>19299</v>
      </c>
      <c r="B6494" t="s">
        <v>19300</v>
      </c>
      <c r="C6494" t="s">
        <v>19301</v>
      </c>
      <c r="D6494" t="str">
        <f>HYPERLINK("https://github.com/TeamNewPipe/NewPipe/issues/5054","show")</f>
        <v>show</v>
      </c>
      <c r="E6494" t="str">
        <f>HYPERLINK("https://github.com/TeamNewPipe/NewPipe","show")</f>
        <v>show</v>
      </c>
      <c r="F6494" t="str">
        <f>HYPERLINK("https://github.com/TeamNewPipe/NewPipe/releases","show")</f>
        <v>show</v>
      </c>
    </row>
    <row r="6495" spans="1:6">
      <c r="A6495" t="s">
        <v>19302</v>
      </c>
      <c r="B6495" t="s">
        <v>19303</v>
      </c>
      <c r="C6495" t="s">
        <v>19304</v>
      </c>
      <c r="D6495" t="str">
        <f>HYPERLINK("https://github.com/ElderDrivers/EdXposed/issues/700","show")</f>
        <v>show</v>
      </c>
      <c r="E6495" t="str">
        <f>HYPERLINK("https://github.com/ElderDrivers/EdXposed","show")</f>
        <v>show</v>
      </c>
      <c r="F6495" t="str">
        <f>HYPERLINK("https://github.com/ElderDrivers/EdXposed/releases","show")</f>
        <v>show</v>
      </c>
    </row>
    <row r="6496" spans="1:6">
      <c r="A6496" t="s">
        <v>19305</v>
      </c>
      <c r="B6496" t="s">
        <v>19306</v>
      </c>
      <c r="C6496" t="s">
        <v>19307</v>
      </c>
      <c r="D6496" t="str">
        <f>HYPERLINK("https://github.com/TeamNewPipe/NewPipe/issues/5050","show")</f>
        <v>show</v>
      </c>
      <c r="E6496" t="str">
        <f>HYPERLINK("https://github.com/TeamNewPipe/NewPipe","show")</f>
        <v>show</v>
      </c>
      <c r="F6496" t="str">
        <f>HYPERLINK("https://github.com/TeamNewPipe/NewPipe/releases","show")</f>
        <v>show</v>
      </c>
    </row>
    <row r="6497" spans="1:6">
      <c r="A6497" t="s">
        <v>19308</v>
      </c>
      <c r="B6497" t="s">
        <v>19309</v>
      </c>
      <c r="C6497" t="s">
        <v>19310</v>
      </c>
      <c r="D6497" t="str">
        <f>HYPERLINK("https://github.com/Blankj/AndroidUtilCode/issues/1380","show")</f>
        <v>show</v>
      </c>
      <c r="E6497" t="str">
        <f>HYPERLINK("https://github.com/Blankj/AndroidUtilCode","show")</f>
        <v>show</v>
      </c>
      <c r="F6497" t="str">
        <f>HYPERLINK("https://github.com/Blankj/AndroidUtilCode/releases","show")</f>
        <v>show</v>
      </c>
    </row>
    <row r="6498" spans="1:6">
      <c r="A6498" t="s">
        <v>19311</v>
      </c>
      <c r="B6498" t="s">
        <v>19312</v>
      </c>
      <c r="C6498" t="s">
        <v>19313</v>
      </c>
      <c r="D6498" t="str">
        <f>HYPERLINK("https://github.com/adamhh/450Group8/issues/143","show")</f>
        <v>show</v>
      </c>
      <c r="E6498" t="str">
        <f>HYPERLINK("https://github.com/adamhh/450Group8","show")</f>
        <v>show</v>
      </c>
      <c r="F6498" t="str">
        <f>HYPERLINK("https://github.com/adamhh/450Group8/releases","show")</f>
        <v>show</v>
      </c>
    </row>
    <row r="6499" spans="1:6">
      <c r="A6499" t="s">
        <v>19314</v>
      </c>
      <c r="B6499" t="s">
        <v>19315</v>
      </c>
      <c r="C6499" t="s">
        <v>19316</v>
      </c>
      <c r="D6499" t="str">
        <f>HYPERLINK("https://github.com/Anuken/Mindustry/issues/3678","show")</f>
        <v>show</v>
      </c>
      <c r="E6499" t="str">
        <f>HYPERLINK("https://github.com/Anuken/Mindustry","show")</f>
        <v>show</v>
      </c>
      <c r="F6499" t="str">
        <f>HYPERLINK("https://github.com/Anuken/Mindustry/releases","show")</f>
        <v>show</v>
      </c>
    </row>
    <row r="6500" spans="1:6">
      <c r="A6500" t="s">
        <v>19317</v>
      </c>
      <c r="B6500" t="s">
        <v>19318</v>
      </c>
      <c r="C6500" t="s">
        <v>19319</v>
      </c>
      <c r="D6500" t="str">
        <f>HYPERLINK("https://github.com/popcorn-official/popcorn-android/issues/725","show")</f>
        <v>show</v>
      </c>
      <c r="E6500" t="str">
        <f>HYPERLINK("https://github.com/popcorn-official/popcorn-android","show")</f>
        <v>show</v>
      </c>
      <c r="F6500" t="str">
        <f>HYPERLINK("https://github.com/popcorn-official/popcorn-android/releases","show")</f>
        <v>show</v>
      </c>
    </row>
    <row r="6501" spans="1:6">
      <c r="A6501" t="s">
        <v>19320</v>
      </c>
      <c r="B6501" t="s">
        <v>19318</v>
      </c>
      <c r="C6501" t="s">
        <v>19321</v>
      </c>
      <c r="D6501" t="str">
        <f>HYPERLINK("https://github.com/popcorn-official/popcorn-android/issues/724","show")</f>
        <v>show</v>
      </c>
      <c r="E6501" t="str">
        <f>HYPERLINK("https://github.com/popcorn-official/popcorn-android","show")</f>
        <v>show</v>
      </c>
      <c r="F6501" t="str">
        <f>HYPERLINK("https://github.com/popcorn-official/popcorn-android/releases","show")</f>
        <v>show</v>
      </c>
    </row>
    <row r="6502" spans="1:6">
      <c r="A6502" t="s">
        <v>19322</v>
      </c>
      <c r="B6502" t="s">
        <v>19323</v>
      </c>
      <c r="C6502" t="s">
        <v>19324</v>
      </c>
      <c r="D6502" t="str">
        <f>HYPERLINK("https://github.com/TeamNewPipe/NewPipe/issues/5048","show")</f>
        <v>show</v>
      </c>
      <c r="E6502" t="str">
        <f>HYPERLINK("https://github.com/TeamNewPipe/NewPipe","show")</f>
        <v>show</v>
      </c>
      <c r="F6502" t="str">
        <f>HYPERLINK("https://github.com/TeamNewPipe/NewPipe/releases","show")</f>
        <v>show</v>
      </c>
    </row>
    <row r="6503" spans="1:6">
      <c r="A6503" t="s">
        <v>19325</v>
      </c>
      <c r="B6503" t="s">
        <v>19326</v>
      </c>
      <c r="C6503" t="s">
        <v>19327</v>
      </c>
      <c r="D6503" t="str">
        <f>HYPERLINK("https://github.com/aws-amplify/amplify-android/issues/1010","show")</f>
        <v>show</v>
      </c>
      <c r="E6503" t="str">
        <f>HYPERLINK("https://github.com/aws-amplify/amplify-android","show")</f>
        <v>show</v>
      </c>
      <c r="F6503" t="str">
        <f>HYPERLINK("https://github.com/aws-amplify/amplify-android/releases","show")</f>
        <v>show</v>
      </c>
    </row>
    <row r="6504" spans="1:6">
      <c r="A6504" t="s">
        <v>19328</v>
      </c>
      <c r="B6504" t="s">
        <v>19329</v>
      </c>
      <c r="C6504" t="s">
        <v>19330</v>
      </c>
      <c r="D6504" t="str">
        <f>HYPERLINK("https://github.com/Anuken/Mindustry/issues/3663","show")</f>
        <v>show</v>
      </c>
      <c r="E6504" t="str">
        <f>HYPERLINK("https://github.com/Anuken/Mindustry","show")</f>
        <v>show</v>
      </c>
      <c r="F6504" t="str">
        <f>HYPERLINK("https://github.com/Anuken/Mindustry/releases","show")</f>
        <v>show</v>
      </c>
    </row>
    <row r="6505" spans="1:6">
      <c r="A6505" t="s">
        <v>19331</v>
      </c>
      <c r="B6505" t="s">
        <v>19332</v>
      </c>
      <c r="C6505" t="s">
        <v>19333</v>
      </c>
      <c r="D6505" t="str">
        <f>HYPERLINK("https://github.com/proyecto26/react-native-inappbrowser/issues/218","show")</f>
        <v>show</v>
      </c>
      <c r="E6505" t="str">
        <f>HYPERLINK("https://github.com/proyecto26/react-native-inappbrowser","show")</f>
        <v>show</v>
      </c>
      <c r="F6505" t="str">
        <f>HYPERLINK("https://github.com/proyecto26/react-native-inappbrowser/releases","show")</f>
        <v>show</v>
      </c>
    </row>
    <row r="6506" spans="1:6">
      <c r="A6506" t="s">
        <v>19334</v>
      </c>
      <c r="B6506" t="s">
        <v>19335</v>
      </c>
      <c r="C6506" t="s">
        <v>19336</v>
      </c>
      <c r="D6506" t="str">
        <f>HYPERLINK("https://github.com/TeamNewPipe/NewPipe/issues/5042","show")</f>
        <v>show</v>
      </c>
      <c r="E6506" t="str">
        <f>HYPERLINK("https://github.com/TeamNewPipe/NewPipe","show")</f>
        <v>show</v>
      </c>
      <c r="F6506" t="str">
        <f>HYPERLINK("https://github.com/TeamNewPipe/NewPipe/releases","show")</f>
        <v>show</v>
      </c>
    </row>
    <row r="6507" spans="1:6">
      <c r="A6507" t="s">
        <v>19337</v>
      </c>
      <c r="B6507" t="s">
        <v>19338</v>
      </c>
      <c r="C6507" t="s">
        <v>19339</v>
      </c>
      <c r="D6507" t="str">
        <f>HYPERLINK("https://github.com/cgeo/cgeo/issues/9463","show")</f>
        <v>show</v>
      </c>
      <c r="E6507" t="str">
        <f>HYPERLINK("https://github.com/cgeo/cgeo","show")</f>
        <v>show</v>
      </c>
      <c r="F6507" t="str">
        <f>HYPERLINK("https://github.com/cgeo/cgeo/releases","show")</f>
        <v>show</v>
      </c>
    </row>
    <row r="6508" spans="1:6">
      <c r="A6508" t="s">
        <v>19340</v>
      </c>
      <c r="B6508" t="s">
        <v>19341</v>
      </c>
      <c r="C6508" t="s">
        <v>19342</v>
      </c>
      <c r="D6508" t="str">
        <f>HYPERLINK("https://github.com/TeamNewPipe/NewPipe/issues/5040","show")</f>
        <v>show</v>
      </c>
      <c r="E6508" t="str">
        <f>HYPERLINK("https://github.com/TeamNewPipe/NewPipe","show")</f>
        <v>show</v>
      </c>
      <c r="F6508" t="str">
        <f>HYPERLINK("https://github.com/TeamNewPipe/NewPipe/releases","show")</f>
        <v>show</v>
      </c>
    </row>
    <row r="6509" spans="1:6">
      <c r="A6509" t="s">
        <v>19343</v>
      </c>
      <c r="B6509" t="s">
        <v>19344</v>
      </c>
      <c r="C6509" t="s">
        <v>19345</v>
      </c>
      <c r="D6509" t="str">
        <f>HYPERLINK("https://github.com/TeamNewPipe/NewPipe/issues/5039","show")</f>
        <v>show</v>
      </c>
      <c r="E6509" t="str">
        <f>HYPERLINK("https://github.com/TeamNewPipe/NewPipe","show")</f>
        <v>show</v>
      </c>
      <c r="F6509" t="str">
        <f>HYPERLINK("https://github.com/TeamNewPipe/NewPipe/releases","show")</f>
        <v>show</v>
      </c>
    </row>
    <row r="6510" spans="1:6">
      <c r="A6510" t="s">
        <v>19346</v>
      </c>
      <c r="B6510" t="s">
        <v>19347</v>
      </c>
      <c r="C6510" t="s">
        <v>19348</v>
      </c>
      <c r="D6510" t="str">
        <f>HYPERLINK("https://github.com/TeamNewPipe/NewPipe/issues/5038","show")</f>
        <v>show</v>
      </c>
      <c r="E6510" t="str">
        <f>HYPERLINK("https://github.com/TeamNewPipe/NewPipe","show")</f>
        <v>show</v>
      </c>
      <c r="F6510" t="str">
        <f>HYPERLINK("https://github.com/TeamNewPipe/NewPipe/releases","show")</f>
        <v>show</v>
      </c>
    </row>
    <row r="6511" spans="1:6">
      <c r="A6511" t="s">
        <v>19349</v>
      </c>
      <c r="B6511" t="s">
        <v>19350</v>
      </c>
      <c r="C6511" t="s">
        <v>19351</v>
      </c>
      <c r="D6511" t="str">
        <f>HYPERLINK("https://github.com/TeamNewPipe/NewPipe/issues/5037","show")</f>
        <v>show</v>
      </c>
      <c r="E6511" t="str">
        <f>HYPERLINK("https://github.com/TeamNewPipe/NewPipe","show")</f>
        <v>show</v>
      </c>
      <c r="F6511" t="str">
        <f>HYPERLINK("https://github.com/TeamNewPipe/NewPipe/releases","show")</f>
        <v>show</v>
      </c>
    </row>
    <row r="6512" spans="1:6">
      <c r="A6512" t="s">
        <v>19352</v>
      </c>
      <c r="B6512" t="s">
        <v>19353</v>
      </c>
      <c r="C6512" t="s">
        <v>19354</v>
      </c>
      <c r="D6512" t="str">
        <f>HYPERLINK("https://github.com/nextcloud/android/issues/7562","show")</f>
        <v>show</v>
      </c>
      <c r="E6512" t="str">
        <f>HYPERLINK("https://github.com/nextcloud/android","show")</f>
        <v>show</v>
      </c>
      <c r="F6512" t="str">
        <f>HYPERLINK("https://github.com/nextcloud/android/releases","show")</f>
        <v>show</v>
      </c>
    </row>
    <row r="6513" spans="1:6">
      <c r="A6513" t="s">
        <v>19355</v>
      </c>
      <c r="B6513" t="s">
        <v>19356</v>
      </c>
      <c r="C6513" t="s">
        <v>19357</v>
      </c>
      <c r="D6513" t="str">
        <f>HYPERLINK("https://github.com/TeamNewPipe/NewPipe/issues/5036","show")</f>
        <v>show</v>
      </c>
      <c r="E6513" t="str">
        <f>HYPERLINK("https://github.com/TeamNewPipe/NewPipe","show")</f>
        <v>show</v>
      </c>
      <c r="F6513" t="str">
        <f>HYPERLINK("https://github.com/TeamNewPipe/NewPipe/releases","show")</f>
        <v>show</v>
      </c>
    </row>
    <row r="6514" spans="1:6">
      <c r="A6514" t="s">
        <v>19358</v>
      </c>
      <c r="B6514" t="s">
        <v>19359</v>
      </c>
      <c r="C6514" t="s">
        <v>19360</v>
      </c>
      <c r="D6514" t="str">
        <f>HYPERLINK("https://github.com/nextcloud/android/issues/7561","show")</f>
        <v>show</v>
      </c>
      <c r="E6514" t="str">
        <f>HYPERLINK("https://github.com/nextcloud/android","show")</f>
        <v>show</v>
      </c>
      <c r="F6514" t="str">
        <f>HYPERLINK("https://github.com/nextcloud/android/releases","show")</f>
        <v>show</v>
      </c>
    </row>
    <row r="6515" spans="1:6">
      <c r="A6515" t="s">
        <v>19361</v>
      </c>
      <c r="B6515" t="s">
        <v>19362</v>
      </c>
      <c r="C6515" t="s">
        <v>19363</v>
      </c>
      <c r="D6515" t="str">
        <f>HYPERLINK("https://github.com/Anuken/Mindustry/issues/3659","show")</f>
        <v>show</v>
      </c>
      <c r="E6515" t="str">
        <f>HYPERLINK("https://github.com/Anuken/Mindustry","show")</f>
        <v>show</v>
      </c>
      <c r="F6515" t="str">
        <f>HYPERLINK("https://github.com/Anuken/Mindustry/releases","show")</f>
        <v>show</v>
      </c>
    </row>
    <row r="6516" spans="1:6">
      <c r="A6516" t="s">
        <v>19364</v>
      </c>
      <c r="B6516" t="s">
        <v>19365</v>
      </c>
      <c r="C6516" t="s">
        <v>19366</v>
      </c>
      <c r="D6516" t="str">
        <f>HYPERLINK("https://github.com/nextcloud/android/issues/7559","show")</f>
        <v>show</v>
      </c>
      <c r="E6516" t="str">
        <f>HYPERLINK("https://github.com/nextcloud/android","show")</f>
        <v>show</v>
      </c>
      <c r="F6516" t="str">
        <f>HYPERLINK("https://github.com/nextcloud/android/releases","show")</f>
        <v>show</v>
      </c>
    </row>
    <row r="6517" spans="1:6">
      <c r="A6517" t="s">
        <v>19367</v>
      </c>
      <c r="B6517" t="s">
        <v>19368</v>
      </c>
      <c r="C6517" t="s">
        <v>19369</v>
      </c>
      <c r="D6517" t="str">
        <f>HYPERLINK("https://github.com/nextcloud/android/issues/7557","show")</f>
        <v>show</v>
      </c>
      <c r="E6517" t="str">
        <f>HYPERLINK("https://github.com/nextcloud/android","show")</f>
        <v>show</v>
      </c>
      <c r="F6517" t="str">
        <f>HYPERLINK("https://github.com/nextcloud/android/releases","show")</f>
        <v>show</v>
      </c>
    </row>
    <row r="6518" spans="1:6">
      <c r="A6518" t="s">
        <v>19370</v>
      </c>
      <c r="B6518" t="s">
        <v>17129</v>
      </c>
      <c r="C6518" t="s">
        <v>19371</v>
      </c>
      <c r="D6518" t="str">
        <f>HYPERLINK("https://github.com/zixpo/candybar-sample/issues/19","show")</f>
        <v>show</v>
      </c>
      <c r="E6518" t="str">
        <f>HYPERLINK("https://github.com/zixpo/candybar-sample","show")</f>
        <v>show</v>
      </c>
      <c r="F6518" t="str">
        <f>HYPERLINK("https://github.com/zixpo/candybar-sample/releases","show")</f>
        <v>show</v>
      </c>
    </row>
    <row r="6519" spans="1:6">
      <c r="A6519" t="s">
        <v>19372</v>
      </c>
      <c r="B6519" t="s">
        <v>19373</v>
      </c>
      <c r="C6519" t="s">
        <v>19374</v>
      </c>
      <c r="D6519" t="str">
        <f>HYPERLINK("https://github.com/cgeo/cgeo/issues/9459","show")</f>
        <v>show</v>
      </c>
      <c r="E6519" t="str">
        <f>HYPERLINK("https://github.com/cgeo/cgeo","show")</f>
        <v>show</v>
      </c>
      <c r="F6519" t="str">
        <f>HYPERLINK("https://github.com/cgeo/cgeo/releases","show")</f>
        <v>show</v>
      </c>
    </row>
    <row r="6520" spans="1:6">
      <c r="A6520" t="s">
        <v>19375</v>
      </c>
      <c r="B6520" t="s">
        <v>19376</v>
      </c>
      <c r="C6520" t="s">
        <v>19377</v>
      </c>
      <c r="D6520" t="str">
        <f>HYPERLINK("https://github.com/nextcloud/android/issues/7553","show")</f>
        <v>show</v>
      </c>
      <c r="E6520" t="str">
        <f>HYPERLINK("https://github.com/nextcloud/android","show")</f>
        <v>show</v>
      </c>
      <c r="F6520" t="str">
        <f>HYPERLINK("https://github.com/nextcloud/android/releases","show")</f>
        <v>show</v>
      </c>
    </row>
    <row r="6521" spans="1:6">
      <c r="A6521" t="s">
        <v>19378</v>
      </c>
      <c r="B6521" t="s">
        <v>19379</v>
      </c>
      <c r="C6521" t="s">
        <v>19380</v>
      </c>
      <c r="D6521" t="str">
        <f>HYPERLINK("https://github.com/nextcloud/android/issues/7551","show")</f>
        <v>show</v>
      </c>
      <c r="E6521" t="str">
        <f>HYPERLINK("https://github.com/nextcloud/android","show")</f>
        <v>show</v>
      </c>
      <c r="F6521" t="str">
        <f>HYPERLINK("https://github.com/nextcloud/android/releases","show")</f>
        <v>show</v>
      </c>
    </row>
    <row r="6522" spans="1:6">
      <c r="A6522" t="s">
        <v>19381</v>
      </c>
      <c r="B6522" t="s">
        <v>19382</v>
      </c>
      <c r="C6522" t="s">
        <v>19383</v>
      </c>
      <c r="D6522" t="str">
        <f>HYPERLINK("https://github.com/TeamNewPipe/NewPipe/issues/5035","show")</f>
        <v>show</v>
      </c>
      <c r="E6522" t="str">
        <f>HYPERLINK("https://github.com/TeamNewPipe/NewPipe","show")</f>
        <v>show</v>
      </c>
      <c r="F6522" t="str">
        <f>HYPERLINK("https://github.com/TeamNewPipe/NewPipe/releases","show")</f>
        <v>show</v>
      </c>
    </row>
    <row r="6523" spans="1:6">
      <c r="A6523" t="s">
        <v>19384</v>
      </c>
      <c r="B6523" t="s">
        <v>19385</v>
      </c>
      <c r="C6523" t="s">
        <v>19386</v>
      </c>
      <c r="D6523" t="str">
        <f>HYPERLINK("https://github.com/nextcloud/android/issues/7548","show")</f>
        <v>show</v>
      </c>
      <c r="E6523" t="str">
        <f>HYPERLINK("https://github.com/nextcloud/android","show")</f>
        <v>show</v>
      </c>
      <c r="F6523" t="str">
        <f>HYPERLINK("https://github.com/nextcloud/android/releases","show")</f>
        <v>show</v>
      </c>
    </row>
    <row r="6524" spans="1:6">
      <c r="A6524" t="s">
        <v>19387</v>
      </c>
      <c r="B6524" t="s">
        <v>19388</v>
      </c>
      <c r="C6524" t="s">
        <v>19389</v>
      </c>
      <c r="D6524" t="str">
        <f>HYPERLINK("https://github.com/microg/UnifiedNlp/issues/201","show")</f>
        <v>show</v>
      </c>
      <c r="E6524" t="str">
        <f>HYPERLINK("https://github.com/microg/UnifiedNlp","show")</f>
        <v>show</v>
      </c>
      <c r="F6524" t="str">
        <f>HYPERLINK("https://github.com/microg/UnifiedNlp/releases","show")</f>
        <v>show</v>
      </c>
    </row>
    <row r="6525" spans="1:6">
      <c r="A6525" t="s">
        <v>19390</v>
      </c>
      <c r="B6525" t="s">
        <v>19391</v>
      </c>
      <c r="C6525" t="s">
        <v>19392</v>
      </c>
      <c r="D6525" t="str">
        <f>HYPERLINK("https://github.com/nextcloud/android/issues/7546","show")</f>
        <v>show</v>
      </c>
      <c r="E6525" t="str">
        <f>HYPERLINK("https://github.com/nextcloud/android","show")</f>
        <v>show</v>
      </c>
      <c r="F6525" t="str">
        <f>HYPERLINK("https://github.com/nextcloud/android/releases","show")</f>
        <v>show</v>
      </c>
    </row>
    <row r="6526" spans="1:6">
      <c r="A6526" t="s">
        <v>19393</v>
      </c>
      <c r="B6526" t="s">
        <v>19394</v>
      </c>
      <c r="C6526" t="s">
        <v>19395</v>
      </c>
      <c r="D6526" t="str">
        <f>HYPERLINK("https://github.com/nextcloud/android/issues/7545","show")</f>
        <v>show</v>
      </c>
      <c r="E6526" t="str">
        <f>HYPERLINK("https://github.com/nextcloud/android","show")</f>
        <v>show</v>
      </c>
      <c r="F6526" t="str">
        <f>HYPERLINK("https://github.com/nextcloud/android/releases","show")</f>
        <v>show</v>
      </c>
    </row>
    <row r="6527" spans="1:6">
      <c r="A6527" t="s">
        <v>19396</v>
      </c>
      <c r="B6527" t="s">
        <v>19397</v>
      </c>
      <c r="C6527" t="s">
        <v>19398</v>
      </c>
      <c r="D6527" t="str">
        <f>HYPERLINK("https://github.com/nextcloud/android/issues/7544","show")</f>
        <v>show</v>
      </c>
      <c r="E6527" t="str">
        <f>HYPERLINK("https://github.com/nextcloud/android","show")</f>
        <v>show</v>
      </c>
      <c r="F6527" t="str">
        <f>HYPERLINK("https://github.com/nextcloud/android/releases","show")</f>
        <v>show</v>
      </c>
    </row>
    <row r="6528" spans="1:6">
      <c r="A6528" t="s">
        <v>19399</v>
      </c>
      <c r="B6528" t="s">
        <v>19400</v>
      </c>
      <c r="C6528" t="s">
        <v>19401</v>
      </c>
      <c r="D6528" t="str">
        <f>HYPERLINK("https://github.com/nextcloud/android/issues/7543","show")</f>
        <v>show</v>
      </c>
      <c r="E6528" t="str">
        <f>HYPERLINK("https://github.com/nextcloud/android","show")</f>
        <v>show</v>
      </c>
      <c r="F6528" t="str">
        <f>HYPERLINK("https://github.com/nextcloud/android/releases","show")</f>
        <v>show</v>
      </c>
    </row>
    <row r="6529" spans="1:6">
      <c r="A6529" t="s">
        <v>19402</v>
      </c>
      <c r="B6529" t="s">
        <v>19403</v>
      </c>
      <c r="C6529" t="s">
        <v>19404</v>
      </c>
      <c r="D6529" t="str">
        <f>HYPERLINK("https://github.com/nextcloud/android/issues/7542","show")</f>
        <v>show</v>
      </c>
      <c r="E6529" t="str">
        <f>HYPERLINK("https://github.com/nextcloud/android","show")</f>
        <v>show</v>
      </c>
      <c r="F6529" t="str">
        <f>HYPERLINK("https://github.com/nextcloud/android/releases","show")</f>
        <v>show</v>
      </c>
    </row>
    <row r="6530" spans="1:6">
      <c r="A6530" t="s">
        <v>19405</v>
      </c>
      <c r="B6530" t="s">
        <v>19406</v>
      </c>
      <c r="C6530" t="s">
        <v>19407</v>
      </c>
      <c r="D6530" t="str">
        <f>HYPERLINK("https://github.com/tanersener/react-native-ffmpeg/issues/216","show")</f>
        <v>show</v>
      </c>
      <c r="E6530" t="str">
        <f>HYPERLINK("https://github.com/tanersener/react-native-ffmpeg","show")</f>
        <v>show</v>
      </c>
      <c r="F6530" t="str">
        <f>HYPERLINK("https://github.com/tanersener/react-native-ffmpeg/releases","show")</f>
        <v>show</v>
      </c>
    </row>
    <row r="6531" spans="1:6">
      <c r="A6531" t="s">
        <v>19408</v>
      </c>
      <c r="B6531" t="s">
        <v>19409</v>
      </c>
      <c r="C6531" t="s">
        <v>19410</v>
      </c>
      <c r="D6531" t="str">
        <f>HYPERLINK("https://github.com/Anuken/Mindustry/issues/3645","show")</f>
        <v>show</v>
      </c>
      <c r="E6531" t="str">
        <f>HYPERLINK("https://github.com/Anuken/Mindustry","show")</f>
        <v>show</v>
      </c>
      <c r="F6531" t="str">
        <f>HYPERLINK("https://github.com/Anuken/Mindustry/releases","show")</f>
        <v>show</v>
      </c>
    </row>
    <row r="6532" spans="1:6">
      <c r="A6532" t="s">
        <v>19411</v>
      </c>
      <c r="B6532" t="s">
        <v>19412</v>
      </c>
      <c r="C6532" t="s">
        <v>19413</v>
      </c>
      <c r="D6532" t="str">
        <f>HYPERLINK("https://github.com/TeamNewPipe/NewPipe/issues/5023","show")</f>
        <v>show</v>
      </c>
      <c r="E6532" t="str">
        <f>HYPERLINK("https://github.com/TeamNewPipe/NewPipe","show")</f>
        <v>show</v>
      </c>
      <c r="F6532" t="str">
        <f>HYPERLINK("https://github.com/TeamNewPipe/NewPipe/releases","show")</f>
        <v>show</v>
      </c>
    </row>
    <row r="6533" spans="1:6">
      <c r="A6533" t="s">
        <v>19414</v>
      </c>
      <c r="B6533" t="s">
        <v>19415</v>
      </c>
      <c r="C6533" t="s">
        <v>19416</v>
      </c>
      <c r="D6533" t="str">
        <f>HYPERLINK("https://github.com/Anuken/Mindustry/issues/3644","show")</f>
        <v>show</v>
      </c>
      <c r="E6533" t="str">
        <f>HYPERLINK("https://github.com/Anuken/Mindustry","show")</f>
        <v>show</v>
      </c>
      <c r="F6533" t="str">
        <f>HYPERLINK("https://github.com/Anuken/Mindustry/releases","show")</f>
        <v>show</v>
      </c>
    </row>
    <row r="6534" spans="1:6">
      <c r="A6534" t="s">
        <v>19417</v>
      </c>
      <c r="B6534" t="s">
        <v>19418</v>
      </c>
      <c r="C6534" t="s">
        <v>19419</v>
      </c>
      <c r="D6534" t="str">
        <f>HYPERLINK("https://github.com/TeamNewPipe/NewPipe/issues/5022","show")</f>
        <v>show</v>
      </c>
      <c r="E6534" t="str">
        <f>HYPERLINK("https://github.com/TeamNewPipe/NewPipe","show")</f>
        <v>show</v>
      </c>
      <c r="F6534" t="str">
        <f>HYPERLINK("https://github.com/TeamNewPipe/NewPipe/releases","show")</f>
        <v>show</v>
      </c>
    </row>
    <row r="6535" spans="1:6">
      <c r="A6535" t="s">
        <v>19420</v>
      </c>
      <c r="B6535" t="s">
        <v>19421</v>
      </c>
      <c r="C6535" t="s">
        <v>19422</v>
      </c>
      <c r="D6535" t="str">
        <f>HYPERLINK("https://github.com/Anuken/Mindustry/issues/3637","show")</f>
        <v>show</v>
      </c>
      <c r="E6535" t="str">
        <f>HYPERLINK("https://github.com/Anuken/Mindustry","show")</f>
        <v>show</v>
      </c>
      <c r="F6535" t="str">
        <f>HYPERLINK("https://github.com/Anuken/Mindustry/releases","show")</f>
        <v>show</v>
      </c>
    </row>
    <row r="6536" spans="1:6">
      <c r="A6536" t="s">
        <v>19423</v>
      </c>
      <c r="B6536" t="s">
        <v>19424</v>
      </c>
      <c r="C6536" t="s">
        <v>19425</v>
      </c>
      <c r="D6536" t="str">
        <f>HYPERLINK("https://github.com/TeamNewPipe/NewPipe/issues/5021","show")</f>
        <v>show</v>
      </c>
      <c r="E6536" t="str">
        <f>HYPERLINK("https://github.com/TeamNewPipe/NewPipe","show")</f>
        <v>show</v>
      </c>
      <c r="F6536" t="str">
        <f>HYPERLINK("https://github.com/TeamNewPipe/NewPipe/releases","show")</f>
        <v>show</v>
      </c>
    </row>
    <row r="6537" spans="1:6">
      <c r="A6537" t="s">
        <v>19426</v>
      </c>
      <c r="B6537" t="s">
        <v>19427</v>
      </c>
      <c r="C6537" t="s">
        <v>19428</v>
      </c>
      <c r="D6537" t="str">
        <f>HYPERLINK("https://github.com/Anuken/Mindustry/issues/3634","show")</f>
        <v>show</v>
      </c>
      <c r="E6537" t="str">
        <f>HYPERLINK("https://github.com/Anuken/Mindustry","show")</f>
        <v>show</v>
      </c>
      <c r="F6537" t="str">
        <f>HYPERLINK("https://github.com/Anuken/Mindustry/releases","show")</f>
        <v>show</v>
      </c>
    </row>
    <row r="6538" spans="1:6">
      <c r="A6538" t="s">
        <v>19429</v>
      </c>
      <c r="B6538" t="s">
        <v>19430</v>
      </c>
      <c r="C6538" t="s">
        <v>19431</v>
      </c>
      <c r="D6538" t="str">
        <f>HYPERLINK("https://github.com/Anuken/Mindustry/issues/3630","show")</f>
        <v>show</v>
      </c>
      <c r="E6538" t="str">
        <f>HYPERLINK("https://github.com/Anuken/Mindustry","show")</f>
        <v>show</v>
      </c>
      <c r="F6538" t="str">
        <f>HYPERLINK("https://github.com/Anuken/Mindustry/releases","show")</f>
        <v>show</v>
      </c>
    </row>
    <row r="6539" spans="1:6">
      <c r="A6539" t="s">
        <v>19432</v>
      </c>
      <c r="B6539" t="s">
        <v>19433</v>
      </c>
      <c r="C6539" t="s">
        <v>19434</v>
      </c>
      <c r="D6539" t="str">
        <f>HYPERLINK("https://github.com/TeamNewPipe/NewPipe/issues/5017","show")</f>
        <v>show</v>
      </c>
      <c r="E6539" t="str">
        <f>HYPERLINK("https://github.com/TeamNewPipe/NewPipe","show")</f>
        <v>show</v>
      </c>
      <c r="F6539" t="str">
        <f>HYPERLINK("https://github.com/TeamNewPipe/NewPipe/releases","show")</f>
        <v>show</v>
      </c>
    </row>
    <row r="6540" spans="1:6">
      <c r="A6540" t="s">
        <v>19435</v>
      </c>
      <c r="B6540" t="s">
        <v>19436</v>
      </c>
      <c r="C6540" t="s">
        <v>19437</v>
      </c>
      <c r="D6540" t="str">
        <f>HYPERLINK("https://github.com/Anuken/Mindustry/issues/3627","show")</f>
        <v>show</v>
      </c>
      <c r="E6540" t="str">
        <f>HYPERLINK("https://github.com/Anuken/Mindustry","show")</f>
        <v>show</v>
      </c>
      <c r="F6540" t="str">
        <f>HYPERLINK("https://github.com/Anuken/Mindustry/releases","show")</f>
        <v>show</v>
      </c>
    </row>
    <row r="6541" spans="1:6">
      <c r="A6541" t="s">
        <v>19438</v>
      </c>
      <c r="B6541" t="s">
        <v>19439</v>
      </c>
      <c r="C6541" t="s">
        <v>19440</v>
      </c>
      <c r="D6541" t="str">
        <f>HYPERLINK("https://github.com/MuntashirAkon/AppManager/issues/167","show")</f>
        <v>show</v>
      </c>
      <c r="E6541" t="str">
        <f>HYPERLINK("https://github.com/MuntashirAkon/AppManager","show")</f>
        <v>show</v>
      </c>
      <c r="F6541" t="str">
        <f>HYPERLINK("https://github.com/MuntashirAkon/AppManager/releases","show")</f>
        <v>show</v>
      </c>
    </row>
    <row r="6542" spans="1:6">
      <c r="A6542" t="s">
        <v>19441</v>
      </c>
      <c r="B6542" t="s">
        <v>19442</v>
      </c>
      <c r="C6542" t="s">
        <v>19443</v>
      </c>
      <c r="D6542" t="str">
        <f>HYPERLINK("https://github.com/TeamNewPipe/NewPipe/issues/5016","show")</f>
        <v>show</v>
      </c>
      <c r="E6542" t="str">
        <f>HYPERLINK("https://github.com/TeamNewPipe/NewPipe","show")</f>
        <v>show</v>
      </c>
      <c r="F6542" t="str">
        <f>HYPERLINK("https://github.com/TeamNewPipe/NewPipe/releases","show")</f>
        <v>show</v>
      </c>
    </row>
    <row r="6543" spans="1:6">
      <c r="A6543" t="s">
        <v>19444</v>
      </c>
      <c r="B6543" t="s">
        <v>19445</v>
      </c>
      <c r="C6543" t="s">
        <v>19446</v>
      </c>
      <c r="D6543" t="str">
        <f>HYPERLINK("https://github.com/google/ExoPlayer/issues/8290","show")</f>
        <v>show</v>
      </c>
      <c r="E6543" t="str">
        <f>HYPERLINK("https://github.com/google/ExoPlayer","show")</f>
        <v>show</v>
      </c>
      <c r="F6543" t="str">
        <f>HYPERLINK("https://github.com/google/ExoPlayer/releases","show")</f>
        <v>show</v>
      </c>
    </row>
    <row r="6544" spans="1:6">
      <c r="A6544" t="s">
        <v>19447</v>
      </c>
      <c r="B6544" t="s">
        <v>19448</v>
      </c>
      <c r="C6544" t="s">
        <v>19449</v>
      </c>
      <c r="D6544" t="str">
        <f>HYPERLINK("https://github.com/chr15m/PdDroidParty/issues/52","show")</f>
        <v>show</v>
      </c>
      <c r="E6544" t="str">
        <f>HYPERLINK("https://github.com/chr15m/PdDroidParty","show")</f>
        <v>show</v>
      </c>
      <c r="F6544" t="str">
        <f>HYPERLINK("https://github.com/chr15m/PdDroidParty/releases","show")</f>
        <v>show</v>
      </c>
    </row>
    <row r="6545" spans="1:6">
      <c r="A6545" t="s">
        <v>19450</v>
      </c>
      <c r="B6545" t="s">
        <v>19451</v>
      </c>
      <c r="C6545" t="s">
        <v>19452</v>
      </c>
      <c r="D6545" t="str">
        <f>HYPERLINK("https://github.com/nextcloud/android/issues/7520","show")</f>
        <v>show</v>
      </c>
      <c r="E6545" t="str">
        <f>HYPERLINK("https://github.com/nextcloud/android","show")</f>
        <v>show</v>
      </c>
      <c r="F6545" t="str">
        <f>HYPERLINK("https://github.com/nextcloud/android/releases","show")</f>
        <v>show</v>
      </c>
    </row>
    <row r="6546" spans="1:6">
      <c r="A6546" t="s">
        <v>19453</v>
      </c>
      <c r="B6546" t="s">
        <v>19454</v>
      </c>
      <c r="C6546" t="s">
        <v>19455</v>
      </c>
      <c r="D6546" t="str">
        <f>HYPERLINK("https://github.com/Anuken/Mindustry/issues/3623","show")</f>
        <v>show</v>
      </c>
      <c r="E6546" t="str">
        <f>HYPERLINK("https://github.com/Anuken/Mindustry","show")</f>
        <v>show</v>
      </c>
      <c r="F6546" t="str">
        <f>HYPERLINK("https://github.com/Anuken/Mindustry/releases","show")</f>
        <v>show</v>
      </c>
    </row>
    <row r="6547" spans="1:6">
      <c r="A6547" t="s">
        <v>19456</v>
      </c>
      <c r="B6547" t="s">
        <v>19457</v>
      </c>
      <c r="C6547" t="s">
        <v>19458</v>
      </c>
      <c r="D6547" t="str">
        <f>HYPERLINK("https://github.com/Anuken/Mindustry/issues/3621","show")</f>
        <v>show</v>
      </c>
      <c r="E6547" t="str">
        <f>HYPERLINK("https://github.com/Anuken/Mindustry","show")</f>
        <v>show</v>
      </c>
      <c r="F6547" t="str">
        <f>HYPERLINK("https://github.com/Anuken/Mindustry/releases","show")</f>
        <v>show</v>
      </c>
    </row>
    <row r="6548" spans="1:6">
      <c r="A6548" t="s">
        <v>19459</v>
      </c>
      <c r="B6548" t="s">
        <v>19460</v>
      </c>
      <c r="C6548" t="s">
        <v>19461</v>
      </c>
      <c r="D6548" t="str">
        <f>HYPERLINK("https://github.com/BrooklynWelsh/CS452_Weather_App/issues/16","show")</f>
        <v>show</v>
      </c>
      <c r="E6548" t="str">
        <f>HYPERLINK("https://github.com/BrooklynWelsh/CS452_Weather_App","show")</f>
        <v>show</v>
      </c>
      <c r="F6548" t="str">
        <f>HYPERLINK("https://github.com/BrooklynWelsh/CS452_Weather_App/releases","show")</f>
        <v>show</v>
      </c>
    </row>
    <row r="6549" spans="1:6">
      <c r="A6549" t="s">
        <v>19462</v>
      </c>
      <c r="B6549" t="s">
        <v>19463</v>
      </c>
      <c r="C6549" t="s">
        <v>19464</v>
      </c>
      <c r="D6549" t="str">
        <f>HYPERLINK("https://github.com/AOF-Dev/MCinaBox/issues/707","show")</f>
        <v>show</v>
      </c>
      <c r="E6549" t="str">
        <f>HYPERLINK("https://github.com/AOF-Dev/MCinaBox","show")</f>
        <v>show</v>
      </c>
      <c r="F6549" t="str">
        <f>HYPERLINK("https://github.com/AOF-Dev/MCinaBox/releases","show")</f>
        <v>show</v>
      </c>
    </row>
    <row r="6550" spans="1:6">
      <c r="A6550" t="s">
        <v>19465</v>
      </c>
      <c r="B6550" t="s">
        <v>19466</v>
      </c>
      <c r="C6550" t="s">
        <v>19467</v>
      </c>
      <c r="D6550" t="str">
        <f>HYPERLINK("https://github.com/TeamNewPipe/NewPipe/issues/5014","show")</f>
        <v>show</v>
      </c>
      <c r="E6550" t="str">
        <f>HYPERLINK("https://github.com/TeamNewPipe/NewPipe","show")</f>
        <v>show</v>
      </c>
      <c r="F6550" t="str">
        <f>HYPERLINK("https://github.com/TeamNewPipe/NewPipe/releases","show")</f>
        <v>show</v>
      </c>
    </row>
    <row r="6551" spans="1:6">
      <c r="A6551" t="s">
        <v>19468</v>
      </c>
      <c r="B6551" t="s">
        <v>19469</v>
      </c>
      <c r="C6551" t="s">
        <v>19470</v>
      </c>
      <c r="D6551" t="str">
        <f>HYPERLINK("https://github.com/gsantner/markor/issues/1137","show")</f>
        <v>show</v>
      </c>
      <c r="E6551" t="str">
        <f>HYPERLINK("https://github.com/gsantner/markor","show")</f>
        <v>show</v>
      </c>
      <c r="F6551" t="str">
        <f>HYPERLINK("https://github.com/gsantner/markor/releases","show")</f>
        <v>show</v>
      </c>
    </row>
    <row r="6552" spans="1:6">
      <c r="A6552" t="s">
        <v>19471</v>
      </c>
      <c r="B6552" t="s">
        <v>19472</v>
      </c>
      <c r="C6552" t="s">
        <v>19473</v>
      </c>
      <c r="D6552" t="str">
        <f>HYPERLINK("https://github.com/nextcloud/android/issues/7514","show")</f>
        <v>show</v>
      </c>
      <c r="E6552" t="str">
        <f>HYPERLINK("https://github.com/nextcloud/android","show")</f>
        <v>show</v>
      </c>
      <c r="F6552" t="str">
        <f>HYPERLINK("https://github.com/nextcloud/android/releases","show")</f>
        <v>show</v>
      </c>
    </row>
    <row r="6553" spans="1:6">
      <c r="A6553" t="s">
        <v>19474</v>
      </c>
      <c r="B6553" t="s">
        <v>19475</v>
      </c>
      <c r="C6553" t="s">
        <v>19476</v>
      </c>
      <c r="D6553" t="str">
        <f>HYPERLINK("https://github.com/microg/GmsCore/issues/1285","show")</f>
        <v>show</v>
      </c>
      <c r="E6553" t="str">
        <f>HYPERLINK("https://github.com/microg/GmsCore","show")</f>
        <v>show</v>
      </c>
      <c r="F6553" t="str">
        <f>HYPERLINK("https://github.com/microg/GmsCore/releases","show")</f>
        <v>show</v>
      </c>
    </row>
    <row r="6554" spans="1:6">
      <c r="A6554" t="s">
        <v>19477</v>
      </c>
      <c r="B6554" t="s">
        <v>19478</v>
      </c>
      <c r="C6554" t="s">
        <v>19479</v>
      </c>
      <c r="D6554" t="str">
        <f>HYPERLINK("https://github.com/Anuken/Mindustry/issues/3614","show")</f>
        <v>show</v>
      </c>
      <c r="E6554" t="str">
        <f>HYPERLINK("https://github.com/Anuken/Mindustry","show")</f>
        <v>show</v>
      </c>
      <c r="F6554" t="str">
        <f>HYPERLINK("https://github.com/Anuken/Mindustry/releases","show")</f>
        <v>show</v>
      </c>
    </row>
    <row r="6555" spans="1:6">
      <c r="A6555" t="s">
        <v>19480</v>
      </c>
      <c r="B6555" t="s">
        <v>19481</v>
      </c>
      <c r="C6555" t="s">
        <v>19482</v>
      </c>
      <c r="D6555" t="str">
        <f>HYPERLINK("https://github.com/Anuken/Mindustry/issues/3607","show")</f>
        <v>show</v>
      </c>
      <c r="E6555" t="str">
        <f>HYPERLINK("https://github.com/Anuken/Mindustry","show")</f>
        <v>show</v>
      </c>
      <c r="F6555" t="str">
        <f>HYPERLINK("https://github.com/Anuken/Mindustry/releases","show")</f>
        <v>show</v>
      </c>
    </row>
    <row r="6556" spans="1:6">
      <c r="A6556" t="s">
        <v>19483</v>
      </c>
      <c r="B6556" t="s">
        <v>19484</v>
      </c>
      <c r="C6556" t="s">
        <v>19485</v>
      </c>
      <c r="D6556" t="str">
        <f>HYPERLINK("https://github.com/google/ExoPlayer/issues/8283","show")</f>
        <v>show</v>
      </c>
      <c r="E6556" t="str">
        <f>HYPERLINK("https://github.com/google/ExoPlayer","show")</f>
        <v>show</v>
      </c>
      <c r="F6556" t="str">
        <f>HYPERLINK("https://github.com/google/ExoPlayer/releases","show")</f>
        <v>show</v>
      </c>
    </row>
    <row r="6557" spans="1:6">
      <c r="A6557" t="s">
        <v>19486</v>
      </c>
      <c r="B6557" t="s">
        <v>19487</v>
      </c>
      <c r="C6557" t="s">
        <v>19488</v>
      </c>
      <c r="D6557" t="str">
        <f>HYPERLINK("https://github.com/Anuken/Mindustry/issues/3606","show")</f>
        <v>show</v>
      </c>
      <c r="E6557" t="str">
        <f>HYPERLINK("https://github.com/Anuken/Mindustry","show")</f>
        <v>show</v>
      </c>
      <c r="F6557" t="str">
        <f>HYPERLINK("https://github.com/Anuken/Mindustry/releases","show")</f>
        <v>show</v>
      </c>
    </row>
    <row r="6558" spans="1:6">
      <c r="A6558" t="s">
        <v>19489</v>
      </c>
      <c r="B6558" t="s">
        <v>19490</v>
      </c>
      <c r="C6558" t="s">
        <v>19491</v>
      </c>
      <c r="D6558" t="str">
        <f>HYPERLINK("https://github.com/tradle/react-native-udp/issues/144","show")</f>
        <v>show</v>
      </c>
      <c r="E6558" t="str">
        <f>HYPERLINK("https://github.com/tradle/react-native-udp","show")</f>
        <v>show</v>
      </c>
      <c r="F6558" t="str">
        <f>HYPERLINK("https://github.com/tradle/react-native-udp/releases","show")</f>
        <v>show</v>
      </c>
    </row>
    <row r="6559" spans="1:6">
      <c r="A6559" t="s">
        <v>19492</v>
      </c>
      <c r="B6559" t="s">
        <v>19493</v>
      </c>
      <c r="C6559" t="s">
        <v>19494</v>
      </c>
      <c r="D6559" t="str">
        <f>HYPERLINK("https://github.com/tradle/react-native-udp/issues/143","show")</f>
        <v>show</v>
      </c>
      <c r="E6559" t="str">
        <f>HYPERLINK("https://github.com/tradle/react-native-udp","show")</f>
        <v>show</v>
      </c>
      <c r="F6559" t="str">
        <f>HYPERLINK("https://github.com/tradle/react-native-udp/releases","show")</f>
        <v>show</v>
      </c>
    </row>
    <row r="6560" spans="1:6">
      <c r="A6560" t="s">
        <v>19495</v>
      </c>
      <c r="B6560" t="s">
        <v>19496</v>
      </c>
      <c r="C6560" t="s">
        <v>19497</v>
      </c>
      <c r="D6560" t="str">
        <f>HYPERLINK("https://github.com/nextcloud/android/issues/7498","show")</f>
        <v>show</v>
      </c>
      <c r="E6560" t="str">
        <f>HYPERLINK("https://github.com/nextcloud/android","show")</f>
        <v>show</v>
      </c>
      <c r="F6560" t="str">
        <f>HYPERLINK("https://github.com/nextcloud/android/releases","show")</f>
        <v>show</v>
      </c>
    </row>
    <row r="6561" spans="1:6">
      <c r="A6561" t="s">
        <v>19498</v>
      </c>
      <c r="B6561" t="s">
        <v>19499</v>
      </c>
      <c r="C6561" t="s">
        <v>19500</v>
      </c>
      <c r="D6561" t="str">
        <f>HYPERLINK("https://github.com/Anuken/Mindustry/issues/3599","show")</f>
        <v>show</v>
      </c>
      <c r="E6561" t="str">
        <f>HYPERLINK("https://github.com/Anuken/Mindustry","show")</f>
        <v>show</v>
      </c>
      <c r="F6561" t="str">
        <f>HYPERLINK("https://github.com/Anuken/Mindustry/releases","show")</f>
        <v>show</v>
      </c>
    </row>
    <row r="6562" spans="1:6">
      <c r="A6562" t="s">
        <v>19501</v>
      </c>
      <c r="B6562" t="s">
        <v>19502</v>
      </c>
      <c r="C6562" t="s">
        <v>19503</v>
      </c>
      <c r="D6562" t="str">
        <f>HYPERLINK("https://github.com/opensrp/opensrp-client-chw/issues/1584","show")</f>
        <v>show</v>
      </c>
      <c r="E6562" t="str">
        <f>HYPERLINK("https://github.com/opensrp/opensrp-client-chw","show")</f>
        <v>show</v>
      </c>
      <c r="F6562" t="str">
        <f>HYPERLINK("https://github.com/opensrp/opensrp-client-chw/releases","show")</f>
        <v>show</v>
      </c>
    </row>
    <row r="6563" spans="1:6">
      <c r="A6563" t="s">
        <v>19504</v>
      </c>
      <c r="B6563" t="s">
        <v>19505</v>
      </c>
      <c r="C6563" t="s">
        <v>19506</v>
      </c>
      <c r="D6563" t="str">
        <f>HYPERLINK("https://github.com/Anuken/Mindustry/issues/3597","show")</f>
        <v>show</v>
      </c>
      <c r="E6563" t="str">
        <f>HYPERLINK("https://github.com/Anuken/Mindustry","show")</f>
        <v>show</v>
      </c>
      <c r="F6563" t="str">
        <f>HYPERLINK("https://github.com/Anuken/Mindustry/releases","show")</f>
        <v>show</v>
      </c>
    </row>
    <row r="6564" spans="1:6">
      <c r="A6564" t="s">
        <v>19507</v>
      </c>
      <c r="B6564" t="s">
        <v>19508</v>
      </c>
      <c r="C6564" t="s">
        <v>19509</v>
      </c>
      <c r="D6564" t="str">
        <f>HYPERLINK("https://github.com/nextcloud/android/issues/7494","show")</f>
        <v>show</v>
      </c>
      <c r="E6564" t="str">
        <f>HYPERLINK("https://github.com/nextcloud/android","show")</f>
        <v>show</v>
      </c>
      <c r="F6564" t="str">
        <f>HYPERLINK("https://github.com/nextcloud/android/releases","show")</f>
        <v>show</v>
      </c>
    </row>
    <row r="6565" spans="1:6">
      <c r="A6565" t="s">
        <v>19510</v>
      </c>
      <c r="B6565" t="s">
        <v>19511</v>
      </c>
      <c r="C6565" t="s">
        <v>19512</v>
      </c>
      <c r="D6565" t="str">
        <f>HYPERLINK("https://github.com/Anuken/Mindustry/issues/3593","show")</f>
        <v>show</v>
      </c>
      <c r="E6565" t="str">
        <f>HYPERLINK("https://github.com/Anuken/Mindustry","show")</f>
        <v>show</v>
      </c>
      <c r="F6565" t="str">
        <f>HYPERLINK("https://github.com/Anuken/Mindustry/releases","show")</f>
        <v>show</v>
      </c>
    </row>
    <row r="6566" spans="1:6">
      <c r="A6566" t="s">
        <v>19513</v>
      </c>
      <c r="B6566" t="s">
        <v>19514</v>
      </c>
      <c r="C6566" t="s">
        <v>19515</v>
      </c>
      <c r="D6566" t="str">
        <f>HYPERLINK("https://github.com/ElderDrivers/EdXposed/issues/662","show")</f>
        <v>show</v>
      </c>
      <c r="E6566" t="str">
        <f>HYPERLINK("https://github.com/ElderDrivers/EdXposed","show")</f>
        <v>show</v>
      </c>
      <c r="F6566" t="str">
        <f>HYPERLINK("https://github.com/ElderDrivers/EdXposed/releases","show")</f>
        <v>show</v>
      </c>
    </row>
    <row r="6567" spans="1:6">
      <c r="A6567" t="s">
        <v>19516</v>
      </c>
      <c r="B6567" t="s">
        <v>19517</v>
      </c>
      <c r="C6567" t="s">
        <v>19518</v>
      </c>
      <c r="D6567" t="str">
        <f>HYPERLINK("https://github.com/Anuken/Mindustry/issues/3590","show")</f>
        <v>show</v>
      </c>
      <c r="E6567" t="str">
        <f>HYPERLINK("https://github.com/Anuken/Mindustry","show")</f>
        <v>show</v>
      </c>
      <c r="F6567" t="str">
        <f>HYPERLINK("https://github.com/Anuken/Mindustry/releases","show")</f>
        <v>show</v>
      </c>
    </row>
    <row r="6568" spans="1:6">
      <c r="A6568" t="s">
        <v>19519</v>
      </c>
      <c r="B6568" t="s">
        <v>19520</v>
      </c>
      <c r="C6568" t="s">
        <v>19521</v>
      </c>
      <c r="D6568" t="str">
        <f>HYPERLINK("https://github.com/Anuken/Mindustry/issues/3589","show")</f>
        <v>show</v>
      </c>
      <c r="E6568" t="str">
        <f>HYPERLINK("https://github.com/Anuken/Mindustry","show")</f>
        <v>show</v>
      </c>
      <c r="F6568" t="str">
        <f>HYPERLINK("https://github.com/Anuken/Mindustry/releases","show")</f>
        <v>show</v>
      </c>
    </row>
    <row r="6569" spans="1:6">
      <c r="A6569" t="s">
        <v>19522</v>
      </c>
      <c r="B6569" t="s">
        <v>19523</v>
      </c>
      <c r="C6569" t="s">
        <v>19500</v>
      </c>
      <c r="D6569" t="str">
        <f>HYPERLINK("https://github.com/Anuken/Mindustry/issues/3588","show")</f>
        <v>show</v>
      </c>
      <c r="E6569" t="str">
        <f>HYPERLINK("https://github.com/Anuken/Mindustry","show")</f>
        <v>show</v>
      </c>
      <c r="F6569" t="str">
        <f>HYPERLINK("https://github.com/Anuken/Mindustry/releases","show")</f>
        <v>show</v>
      </c>
    </row>
    <row r="6570" spans="1:6">
      <c r="A6570" t="s">
        <v>19524</v>
      </c>
      <c r="B6570" t="s">
        <v>19525</v>
      </c>
      <c r="C6570" t="s">
        <v>19526</v>
      </c>
      <c r="D6570" t="str">
        <f>HYPERLINK("https://github.com/avluis/Hentoid/issues/700","show")</f>
        <v>show</v>
      </c>
      <c r="E6570" t="str">
        <f>HYPERLINK("https://github.com/avluis/Hentoid","show")</f>
        <v>show</v>
      </c>
      <c r="F6570" t="str">
        <f>HYPERLINK("https://github.com/avluis/Hentoid/releases","show")</f>
        <v>show</v>
      </c>
    </row>
    <row r="6571" spans="1:6">
      <c r="A6571" t="s">
        <v>19527</v>
      </c>
      <c r="B6571" t="s">
        <v>19528</v>
      </c>
      <c r="C6571" t="s">
        <v>19529</v>
      </c>
      <c r="D6571" t="str">
        <f>HYPERLINK("https://github.com/Anuken/Mindustry/issues/3587","show")</f>
        <v>show</v>
      </c>
      <c r="E6571" t="str">
        <f>HYPERLINK("https://github.com/Anuken/Mindustry","show")</f>
        <v>show</v>
      </c>
      <c r="F6571" t="str">
        <f>HYPERLINK("https://github.com/Anuken/Mindustry/releases","show")</f>
        <v>show</v>
      </c>
    </row>
    <row r="6572" spans="1:6">
      <c r="A6572" t="s">
        <v>19530</v>
      </c>
      <c r="B6572" t="s">
        <v>19531</v>
      </c>
      <c r="C6572" t="s">
        <v>19532</v>
      </c>
      <c r="D6572" t="str">
        <f>HYPERLINK("https://github.com/Anuken/Mindustry/issues/3586","show")</f>
        <v>show</v>
      </c>
      <c r="E6572" t="str">
        <f>HYPERLINK("https://github.com/Anuken/Mindustry","show")</f>
        <v>show</v>
      </c>
      <c r="F6572" t="str">
        <f>HYPERLINK("https://github.com/Anuken/Mindustry/releases","show")</f>
        <v>show</v>
      </c>
    </row>
    <row r="6573" spans="1:6">
      <c r="A6573" t="s">
        <v>19533</v>
      </c>
      <c r="B6573" t="s">
        <v>19534</v>
      </c>
      <c r="C6573" t="s">
        <v>19535</v>
      </c>
      <c r="D6573" t="str">
        <f>HYPERLINK("https://github.com/Anuken/Mindustry/issues/3581","show")</f>
        <v>show</v>
      </c>
      <c r="E6573" t="str">
        <f>HYPERLINK("https://github.com/Anuken/Mindustry","show")</f>
        <v>show</v>
      </c>
      <c r="F6573" t="str">
        <f>HYPERLINK("https://github.com/Anuken/Mindustry/releases","show")</f>
        <v>show</v>
      </c>
    </row>
    <row r="6574" spans="1:6">
      <c r="A6574" t="s">
        <v>19536</v>
      </c>
      <c r="B6574" t="s">
        <v>19537</v>
      </c>
      <c r="C6574" t="s">
        <v>19538</v>
      </c>
      <c r="D6574" t="str">
        <f>HYPERLINK("https://github.com/Anuken/Mindustry/issues/3576","show")</f>
        <v>show</v>
      </c>
      <c r="E6574" t="str">
        <f>HYPERLINK("https://github.com/Anuken/Mindustry","show")</f>
        <v>show</v>
      </c>
      <c r="F6574" t="str">
        <f>HYPERLINK("https://github.com/Anuken/Mindustry/releases","show")</f>
        <v>show</v>
      </c>
    </row>
    <row r="6575" spans="1:6">
      <c r="A6575" t="s">
        <v>19539</v>
      </c>
      <c r="B6575" t="s">
        <v>19540</v>
      </c>
      <c r="C6575" t="s">
        <v>19541</v>
      </c>
      <c r="D6575" t="str">
        <f>HYPERLINK("https://github.com/TeamNewPipe/NewPipe/issues/5004","show")</f>
        <v>show</v>
      </c>
      <c r="E6575" t="str">
        <f>HYPERLINK("https://github.com/TeamNewPipe/NewPipe","show")</f>
        <v>show</v>
      </c>
      <c r="F6575" t="str">
        <f>HYPERLINK("https://github.com/TeamNewPipe/NewPipe/releases","show")</f>
        <v>show</v>
      </c>
    </row>
    <row r="6576" spans="1:6">
      <c r="A6576" t="s">
        <v>19542</v>
      </c>
      <c r="B6576" t="s">
        <v>19543</v>
      </c>
      <c r="C6576" t="s">
        <v>19544</v>
      </c>
      <c r="D6576" t="str">
        <f>HYPERLINK("https://github.com/stefan-niedermann/nextcloud-notes/issues/994","show")</f>
        <v>show</v>
      </c>
      <c r="E6576" t="str">
        <f>HYPERLINK("https://github.com/stefan-niedermann/nextcloud-notes","show")</f>
        <v>show</v>
      </c>
      <c r="F6576" t="str">
        <f>HYPERLINK("https://github.com/stefan-niedermann/nextcloud-notes/releases","show")</f>
        <v>show</v>
      </c>
    </row>
    <row r="6577" spans="1:6">
      <c r="A6577" t="s">
        <v>19545</v>
      </c>
      <c r="B6577" t="s">
        <v>19546</v>
      </c>
      <c r="C6577" t="s">
        <v>19500</v>
      </c>
      <c r="D6577" t="str">
        <f>HYPERLINK("https://github.com/Anuken/Mindustry/issues/3575","show")</f>
        <v>show</v>
      </c>
      <c r="E6577" t="str">
        <f>HYPERLINK("https://github.com/Anuken/Mindustry","show")</f>
        <v>show</v>
      </c>
      <c r="F6577" t="str">
        <f>HYPERLINK("https://github.com/Anuken/Mindustry/releases","show")</f>
        <v>show</v>
      </c>
    </row>
    <row r="6578" spans="1:6">
      <c r="A6578" t="s">
        <v>19547</v>
      </c>
      <c r="B6578" t="s">
        <v>19548</v>
      </c>
      <c r="C6578" t="s">
        <v>19549</v>
      </c>
      <c r="D6578" t="str">
        <f>HYPERLINK("https://github.com/square/okhttp/issues/6448","show")</f>
        <v>show</v>
      </c>
      <c r="E6578" t="str">
        <f>HYPERLINK("https://github.com/square/okhttp","show")</f>
        <v>show</v>
      </c>
      <c r="F6578" t="str">
        <f>HYPERLINK("https://github.com/square/okhttp/releases","show")</f>
        <v>show</v>
      </c>
    </row>
    <row r="6579" spans="1:6">
      <c r="A6579" t="s">
        <v>19550</v>
      </c>
      <c r="B6579" t="s">
        <v>19551</v>
      </c>
      <c r="C6579" t="s">
        <v>19552</v>
      </c>
      <c r="D6579" t="str">
        <f>HYPERLINK("https://github.com/Anuken/Mindustry/issues/3574","show")</f>
        <v>show</v>
      </c>
      <c r="E6579" t="str">
        <f>HYPERLINK("https://github.com/Anuken/Mindustry","show")</f>
        <v>show</v>
      </c>
      <c r="F6579" t="str">
        <f>HYPERLINK("https://github.com/Anuken/Mindustry/releases","show")</f>
        <v>show</v>
      </c>
    </row>
    <row r="6580" spans="1:6">
      <c r="A6580" t="s">
        <v>19553</v>
      </c>
      <c r="B6580" t="s">
        <v>11100</v>
      </c>
      <c r="C6580" t="s">
        <v>19554</v>
      </c>
      <c r="D6580" t="str">
        <f>HYPERLINK("https://github.com/inaturalist/iNaturalistAndroid/issues/940","show")</f>
        <v>show</v>
      </c>
      <c r="E6580" t="str">
        <f>HYPERLINK("https://github.com/inaturalist/iNaturalistAndroid","show")</f>
        <v>show</v>
      </c>
      <c r="F6580" t="str">
        <f>HYPERLINK("https://github.com/inaturalist/iNaturalistAndroid/releases","show")</f>
        <v>show</v>
      </c>
    </row>
    <row r="6581" spans="1:6">
      <c r="A6581" t="s">
        <v>19555</v>
      </c>
      <c r="B6581" t="s">
        <v>19556</v>
      </c>
      <c r="C6581" t="s">
        <v>19557</v>
      </c>
      <c r="D6581" t="str">
        <f>HYPERLINK("https://github.com/Anuken/Mindustry/issues/3573","show")</f>
        <v>show</v>
      </c>
      <c r="E6581" t="str">
        <f>HYPERLINK("https://github.com/Anuken/Mindustry","show")</f>
        <v>show</v>
      </c>
      <c r="F6581" t="str">
        <f>HYPERLINK("https://github.com/Anuken/Mindustry/releases","show")</f>
        <v>show</v>
      </c>
    </row>
    <row r="6582" spans="1:6">
      <c r="A6582" t="s">
        <v>19558</v>
      </c>
      <c r="B6582" t="s">
        <v>19559</v>
      </c>
      <c r="C6582" t="s">
        <v>19560</v>
      </c>
      <c r="D6582" t="str">
        <f>HYPERLINK("https://github.com/nextcloud/android/issues/7477","show")</f>
        <v>show</v>
      </c>
      <c r="E6582" t="str">
        <f>HYPERLINK("https://github.com/nextcloud/android","show")</f>
        <v>show</v>
      </c>
      <c r="F6582" t="str">
        <f>HYPERLINK("https://github.com/nextcloud/android/releases","show")</f>
        <v>show</v>
      </c>
    </row>
    <row r="6583" spans="1:6">
      <c r="A6583" t="s">
        <v>19561</v>
      </c>
      <c r="B6583" t="s">
        <v>19562</v>
      </c>
      <c r="C6583" t="s">
        <v>19563</v>
      </c>
      <c r="D6583" t="str">
        <f>HYPERLINK("https://github.com/nextcloud/android/issues/7476","show")</f>
        <v>show</v>
      </c>
      <c r="E6583" t="str">
        <f>HYPERLINK("https://github.com/nextcloud/android","show")</f>
        <v>show</v>
      </c>
      <c r="F6583" t="str">
        <f>HYPERLINK("https://github.com/nextcloud/android/releases","show")</f>
        <v>show</v>
      </c>
    </row>
    <row r="6584" spans="1:6">
      <c r="A6584" t="s">
        <v>19564</v>
      </c>
      <c r="B6584" t="s">
        <v>19565</v>
      </c>
      <c r="C6584" t="s">
        <v>19566</v>
      </c>
      <c r="D6584" t="str">
        <f>HYPERLINK("https://github.com/TeamNewPipe/NewPipe/issues/4998","show")</f>
        <v>show</v>
      </c>
      <c r="E6584" t="str">
        <f>HYPERLINK("https://github.com/TeamNewPipe/NewPipe","show")</f>
        <v>show</v>
      </c>
      <c r="F6584" t="str">
        <f>HYPERLINK("https://github.com/TeamNewPipe/NewPipe/releases","show")</f>
        <v>show</v>
      </c>
    </row>
    <row r="6585" spans="1:6">
      <c r="A6585" t="s">
        <v>19567</v>
      </c>
      <c r="B6585" t="s">
        <v>19568</v>
      </c>
      <c r="C6585" t="s">
        <v>19569</v>
      </c>
      <c r="D6585" t="str">
        <f>HYPERLINK("https://github.com/nextcloud/android/issues/7470","show")</f>
        <v>show</v>
      </c>
      <c r="E6585" t="str">
        <f>HYPERLINK("https://github.com/nextcloud/android","show")</f>
        <v>show</v>
      </c>
      <c r="F6585" t="str">
        <f>HYPERLINK("https://github.com/nextcloud/android/releases","show")</f>
        <v>show</v>
      </c>
    </row>
    <row r="6586" spans="1:6">
      <c r="A6586" t="s">
        <v>19570</v>
      </c>
      <c r="B6586" t="s">
        <v>19571</v>
      </c>
      <c r="C6586" t="s">
        <v>19572</v>
      </c>
      <c r="D6586" t="str">
        <f>HYPERLINK("https://github.com/ElderDrivers/EdXposed/issues/654","show")</f>
        <v>show</v>
      </c>
      <c r="E6586" t="str">
        <f>HYPERLINK("https://github.com/ElderDrivers/EdXposed","show")</f>
        <v>show</v>
      </c>
      <c r="F6586" t="str">
        <f>HYPERLINK("https://github.com/ElderDrivers/EdXposed/releases","show")</f>
        <v>show</v>
      </c>
    </row>
    <row r="6587" spans="1:6">
      <c r="A6587" t="s">
        <v>19573</v>
      </c>
      <c r="B6587" t="s">
        <v>19574</v>
      </c>
      <c r="C6587" t="s">
        <v>19575</v>
      </c>
      <c r="D6587" t="str">
        <f>HYPERLINK("https://github.com/NordicSemiconductor/Android-DFU-Library/issues/279","show")</f>
        <v>show</v>
      </c>
      <c r="E6587" t="str">
        <f>HYPERLINK("https://github.com/NordicSemiconductor/Android-DFU-Library","show")</f>
        <v>show</v>
      </c>
      <c r="F6587" t="str">
        <f>HYPERLINK("https://github.com/NordicSemiconductor/Android-DFU-Library/releases","show")</f>
        <v>show</v>
      </c>
    </row>
    <row r="6588" spans="1:6">
      <c r="A6588" t="s">
        <v>19576</v>
      </c>
      <c r="B6588" t="s">
        <v>19577</v>
      </c>
      <c r="C6588" t="s">
        <v>19578</v>
      </c>
      <c r="D6588" t="str">
        <f>HYPERLINK("https://github.com/Anuken/Mindustry/issues/3565","show")</f>
        <v>show</v>
      </c>
      <c r="E6588" t="str">
        <f>HYPERLINK("https://github.com/Anuken/Mindustry","show")</f>
        <v>show</v>
      </c>
      <c r="F6588" t="str">
        <f>HYPERLINK("https://github.com/Anuken/Mindustry/releases","show")</f>
        <v>show</v>
      </c>
    </row>
    <row r="6589" spans="1:6">
      <c r="A6589" t="s">
        <v>19579</v>
      </c>
      <c r="B6589" t="s">
        <v>19580</v>
      </c>
      <c r="C6589" t="s">
        <v>19581</v>
      </c>
      <c r="D6589" t="str">
        <f>HYPERLINK("https://github.com/nextcloud/android/issues/7468","show")</f>
        <v>show</v>
      </c>
      <c r="E6589" t="str">
        <f>HYPERLINK("https://github.com/nextcloud/android","show")</f>
        <v>show</v>
      </c>
      <c r="F6589" t="str">
        <f>HYPERLINK("https://github.com/nextcloud/android/releases","show")</f>
        <v>show</v>
      </c>
    </row>
    <row r="6590" spans="1:6">
      <c r="A6590" t="s">
        <v>19582</v>
      </c>
      <c r="B6590" t="s">
        <v>19583</v>
      </c>
      <c r="C6590" t="s">
        <v>19584</v>
      </c>
      <c r="D6590" t="str">
        <f>HYPERLINK("https://github.com/TeamNewPipe/NewPipe/issues/4989","show")</f>
        <v>show</v>
      </c>
      <c r="E6590" t="str">
        <f>HYPERLINK("https://github.com/TeamNewPipe/NewPipe","show")</f>
        <v>show</v>
      </c>
      <c r="F6590" t="str">
        <f>HYPERLINK("https://github.com/TeamNewPipe/NewPipe/releases","show")</f>
        <v>show</v>
      </c>
    </row>
    <row r="6591" spans="1:6">
      <c r="A6591" t="s">
        <v>19585</v>
      </c>
      <c r="B6591" t="s">
        <v>19586</v>
      </c>
      <c r="C6591" t="s">
        <v>19587</v>
      </c>
      <c r="D6591" t="str">
        <f>HYPERLINK("https://github.com/TeamNewPipe/NewPipe/issues/4988","show")</f>
        <v>show</v>
      </c>
      <c r="E6591" t="str">
        <f>HYPERLINK("https://github.com/TeamNewPipe/NewPipe","show")</f>
        <v>show</v>
      </c>
      <c r="F6591" t="str">
        <f>HYPERLINK("https://github.com/TeamNewPipe/NewPipe/releases","show")</f>
        <v>show</v>
      </c>
    </row>
    <row r="6592" spans="1:6">
      <c r="A6592" t="s">
        <v>19588</v>
      </c>
      <c r="B6592" t="s">
        <v>19589</v>
      </c>
      <c r="C6592" t="s">
        <v>19590</v>
      </c>
      <c r="D6592" t="str">
        <f>HYPERLINK("https://github.com/nextcloud/android/issues/7466","show")</f>
        <v>show</v>
      </c>
      <c r="E6592" t="str">
        <f>HYPERLINK("https://github.com/nextcloud/android","show")</f>
        <v>show</v>
      </c>
      <c r="F6592" t="str">
        <f>HYPERLINK("https://github.com/nextcloud/android/releases","show")</f>
        <v>show</v>
      </c>
    </row>
    <row r="6593" spans="1:6">
      <c r="A6593" t="s">
        <v>19591</v>
      </c>
      <c r="B6593" t="s">
        <v>19592</v>
      </c>
      <c r="C6593" t="s">
        <v>19593</v>
      </c>
      <c r="D6593" t="str">
        <f>HYPERLINK("https://github.com/nextcloud/android/issues/7463","show")</f>
        <v>show</v>
      </c>
      <c r="E6593" t="str">
        <f>HYPERLINK("https://github.com/nextcloud/android","show")</f>
        <v>show</v>
      </c>
      <c r="F6593" t="str">
        <f>HYPERLINK("https://github.com/nextcloud/android/releases","show")</f>
        <v>show</v>
      </c>
    </row>
    <row r="6594" spans="1:6">
      <c r="A6594" t="s">
        <v>19594</v>
      </c>
      <c r="B6594" t="s">
        <v>19595</v>
      </c>
      <c r="C6594" t="s">
        <v>19596</v>
      </c>
      <c r="D6594" t="str">
        <f>HYPERLINK("https://github.com/mjaun/android-anuto/issues/187","show")</f>
        <v>show</v>
      </c>
      <c r="E6594" t="str">
        <f>HYPERLINK("https://github.com/mjaun/android-anuto","show")</f>
        <v>show</v>
      </c>
      <c r="F6594" t="str">
        <f>HYPERLINK("https://github.com/mjaun/android-anuto/releases","show")</f>
        <v>show</v>
      </c>
    </row>
    <row r="6595" spans="1:6">
      <c r="A6595" t="s">
        <v>19597</v>
      </c>
      <c r="B6595" t="s">
        <v>19598</v>
      </c>
      <c r="C6595" t="s">
        <v>19599</v>
      </c>
      <c r="D6595" t="str">
        <f>HYPERLINK("https://github.com/Anuken/Mindustry/issues/3560","show")</f>
        <v>show</v>
      </c>
      <c r="E6595" t="str">
        <f>HYPERLINK("https://github.com/Anuken/Mindustry","show")</f>
        <v>show</v>
      </c>
      <c r="F6595" t="str">
        <f>HYPERLINK("https://github.com/Anuken/Mindustry/releases","show")</f>
        <v>show</v>
      </c>
    </row>
    <row r="6596" spans="1:6">
      <c r="A6596" t="s">
        <v>19600</v>
      </c>
      <c r="B6596" t="s">
        <v>19601</v>
      </c>
      <c r="C6596" t="s">
        <v>19602</v>
      </c>
      <c r="D6596" t="str">
        <f>HYPERLINK("https://github.com/Anuken/Mindustry/issues/3559","show")</f>
        <v>show</v>
      </c>
      <c r="E6596" t="str">
        <f>HYPERLINK("https://github.com/Anuken/Mindustry","show")</f>
        <v>show</v>
      </c>
      <c r="F6596" t="str">
        <f>HYPERLINK("https://github.com/Anuken/Mindustry/releases","show")</f>
        <v>show</v>
      </c>
    </row>
    <row r="6597" spans="1:6">
      <c r="A6597" t="s">
        <v>19603</v>
      </c>
      <c r="B6597" t="s">
        <v>19604</v>
      </c>
      <c r="C6597" t="s">
        <v>19605</v>
      </c>
      <c r="D6597" t="str">
        <f>HYPERLINK("https://github.com/TeamNewPipe/NewPipe/issues/4986","show")</f>
        <v>show</v>
      </c>
      <c r="E6597" t="str">
        <f>HYPERLINK("https://github.com/TeamNewPipe/NewPipe","show")</f>
        <v>show</v>
      </c>
      <c r="F6597" t="str">
        <f>HYPERLINK("https://github.com/TeamNewPipe/NewPipe/releases","show")</f>
        <v>show</v>
      </c>
    </row>
    <row r="6598" spans="1:6">
      <c r="A6598" t="s">
        <v>19606</v>
      </c>
      <c r="B6598" t="s">
        <v>19607</v>
      </c>
      <c r="C6598" t="s">
        <v>19608</v>
      </c>
      <c r="D6598" t="str">
        <f>HYPERLINK("https://github.com/aws-amplify/amplify-android/issues/984","show")</f>
        <v>show</v>
      </c>
      <c r="E6598" t="str">
        <f>HYPERLINK("https://github.com/aws-amplify/amplify-android","show")</f>
        <v>show</v>
      </c>
      <c r="F6598" t="str">
        <f>HYPERLINK("https://github.com/aws-amplify/amplify-android/releases","show")</f>
        <v>show</v>
      </c>
    </row>
    <row r="6599" spans="1:6">
      <c r="A6599" t="s">
        <v>19609</v>
      </c>
      <c r="B6599" t="s">
        <v>19610</v>
      </c>
      <c r="C6599" t="s">
        <v>19611</v>
      </c>
      <c r="D6599" t="str">
        <f>HYPERLINK("https://github.com/Anuken/Mindustry/issues/3557","show")</f>
        <v>show</v>
      </c>
      <c r="E6599" t="str">
        <f>HYPERLINK("https://github.com/Anuken/Mindustry","show")</f>
        <v>show</v>
      </c>
      <c r="F6599" t="str">
        <f>HYPERLINK("https://github.com/Anuken/Mindustry/releases","show")</f>
        <v>show</v>
      </c>
    </row>
    <row r="6600" spans="1:6">
      <c r="A6600" t="s">
        <v>19612</v>
      </c>
      <c r="B6600" t="s">
        <v>19613</v>
      </c>
      <c r="C6600" t="s">
        <v>19614</v>
      </c>
      <c r="D6600" t="str">
        <f>HYPERLINK("https://github.com/Anuken/Mindustry/issues/3555","show")</f>
        <v>show</v>
      </c>
      <c r="E6600" t="str">
        <f>HYPERLINK("https://github.com/Anuken/Mindustry","show")</f>
        <v>show</v>
      </c>
      <c r="F6600" t="str">
        <f>HYPERLINK("https://github.com/Anuken/Mindustry/releases","show")</f>
        <v>show</v>
      </c>
    </row>
    <row r="6601" spans="1:6">
      <c r="A6601" t="s">
        <v>19615</v>
      </c>
      <c r="B6601" t="s">
        <v>19616</v>
      </c>
      <c r="C6601" t="s">
        <v>19617</v>
      </c>
      <c r="D6601" t="str">
        <f>HYPERLINK("https://github.com/TeamNewPipe/NewPipe/issues/4980","show")</f>
        <v>show</v>
      </c>
      <c r="E6601" t="str">
        <f>HYPERLINK("https://github.com/TeamNewPipe/NewPipe","show")</f>
        <v>show</v>
      </c>
      <c r="F6601" t="str">
        <f>HYPERLINK("https://github.com/TeamNewPipe/NewPipe/releases","show")</f>
        <v>show</v>
      </c>
    </row>
    <row r="6602" spans="1:6">
      <c r="A6602" t="s">
        <v>19618</v>
      </c>
      <c r="B6602" t="s">
        <v>19619</v>
      </c>
      <c r="C6602" t="s">
        <v>19620</v>
      </c>
      <c r="D6602" t="str">
        <f>HYPERLINK("https://github.com/AOF-Dev/MCinaBox/issues/699","show")</f>
        <v>show</v>
      </c>
      <c r="E6602" t="str">
        <f>HYPERLINK("https://github.com/AOF-Dev/MCinaBox","show")</f>
        <v>show</v>
      </c>
      <c r="F6602" t="str">
        <f>HYPERLINK("https://github.com/AOF-Dev/MCinaBox/releases","show")</f>
        <v>show</v>
      </c>
    </row>
    <row r="6603" spans="1:6">
      <c r="A6603" t="s">
        <v>19621</v>
      </c>
      <c r="B6603" t="s">
        <v>19622</v>
      </c>
      <c r="C6603" t="s">
        <v>19623</v>
      </c>
      <c r="D6603" t="str">
        <f>HYPERLINK("https://github.com/Anuken/Mindustry/issues/3546","show")</f>
        <v>show</v>
      </c>
      <c r="E6603" t="str">
        <f>HYPERLINK("https://github.com/Anuken/Mindustry","show")</f>
        <v>show</v>
      </c>
      <c r="F6603" t="str">
        <f>HYPERLINK("https://github.com/Anuken/Mindustry/releases","show")</f>
        <v>show</v>
      </c>
    </row>
    <row r="6604" spans="1:6">
      <c r="A6604" t="s">
        <v>19624</v>
      </c>
      <c r="B6604" t="s">
        <v>19625</v>
      </c>
      <c r="C6604" t="s">
        <v>19626</v>
      </c>
      <c r="D6604" t="str">
        <f>HYPERLINK("https://github.com/ThatCakeID/os-thm-android/issues/43","show")</f>
        <v>show</v>
      </c>
      <c r="E6604" t="str">
        <f>HYPERLINK("https://github.com/ThatCakeID/os-thm-android","show")</f>
        <v>show</v>
      </c>
      <c r="F6604" t="str">
        <f>HYPERLINK("https://github.com/ThatCakeID/os-thm-android/releases","show")</f>
        <v>show</v>
      </c>
    </row>
    <row r="6605" spans="1:6">
      <c r="A6605" t="s">
        <v>19627</v>
      </c>
      <c r="B6605" t="s">
        <v>19628</v>
      </c>
      <c r="C6605" t="s">
        <v>19629</v>
      </c>
      <c r="D6605" t="str">
        <f>HYPERLINK("https://github.com/HBiSoft/HBRecorder/issues/44","show")</f>
        <v>show</v>
      </c>
      <c r="E6605" t="str">
        <f>HYPERLINK("https://github.com/HBiSoft/HBRecorder","show")</f>
        <v>show</v>
      </c>
      <c r="F6605" t="str">
        <f>HYPERLINK("https://github.com/HBiSoft/HBRecorder/releases","show")</f>
        <v>show</v>
      </c>
    </row>
    <row r="6606" spans="1:6">
      <c r="A6606" t="s">
        <v>19630</v>
      </c>
      <c r="B6606" t="s">
        <v>19631</v>
      </c>
      <c r="C6606" t="s">
        <v>19632</v>
      </c>
      <c r="D6606" t="str">
        <f>HYPERLINK("https://github.com/nextcloud/android/issues/7449","show")</f>
        <v>show</v>
      </c>
      <c r="E6606" t="str">
        <f>HYPERLINK("https://github.com/nextcloud/android","show")</f>
        <v>show</v>
      </c>
      <c r="F6606" t="str">
        <f>HYPERLINK("https://github.com/nextcloud/android/releases","show")</f>
        <v>show</v>
      </c>
    </row>
    <row r="6607" spans="1:6">
      <c r="A6607" t="s">
        <v>19633</v>
      </c>
      <c r="B6607" t="s">
        <v>107</v>
      </c>
      <c r="C6607" t="s">
        <v>19634</v>
      </c>
      <c r="D6607" t="str">
        <f>HYPERLINK("https://github.com/Anuken/Mindustry/issues/3537","show")</f>
        <v>show</v>
      </c>
      <c r="E6607" t="str">
        <f>HYPERLINK("https://github.com/Anuken/Mindustry","show")</f>
        <v>show</v>
      </c>
      <c r="F6607" t="str">
        <f>HYPERLINK("https://github.com/Anuken/Mindustry/releases","show")</f>
        <v>show</v>
      </c>
    </row>
    <row r="6608" spans="1:6">
      <c r="A6608" t="s">
        <v>19635</v>
      </c>
      <c r="B6608" t="s">
        <v>19636</v>
      </c>
      <c r="C6608" t="s">
        <v>19637</v>
      </c>
      <c r="D6608" t="str">
        <f>HYPERLINK("https://github.com/Anuken/Mindustry/issues/3536","show")</f>
        <v>show</v>
      </c>
      <c r="E6608" t="str">
        <f>HYPERLINK("https://github.com/Anuken/Mindustry","show")</f>
        <v>show</v>
      </c>
      <c r="F6608" t="str">
        <f>HYPERLINK("https://github.com/Anuken/Mindustry/releases","show")</f>
        <v>show</v>
      </c>
    </row>
    <row r="6609" spans="1:6">
      <c r="A6609" t="s">
        <v>19638</v>
      </c>
      <c r="B6609" t="s">
        <v>19639</v>
      </c>
      <c r="C6609" t="s">
        <v>19640</v>
      </c>
      <c r="D6609" t="str">
        <f>HYPERLINK("https://github.com/ElderDrivers/EdXposed/issues/643","show")</f>
        <v>show</v>
      </c>
      <c r="E6609" t="str">
        <f>HYPERLINK("https://github.com/ElderDrivers/EdXposed","show")</f>
        <v>show</v>
      </c>
      <c r="F6609" t="str">
        <f>HYPERLINK("https://github.com/ElderDrivers/EdXposed/releases","show")</f>
        <v>show</v>
      </c>
    </row>
    <row r="6610" spans="1:6">
      <c r="A6610" t="s">
        <v>19641</v>
      </c>
      <c r="B6610" t="s">
        <v>19642</v>
      </c>
      <c r="C6610" t="s">
        <v>19643</v>
      </c>
      <c r="D6610" t="str">
        <f>HYPERLINK("https://github.com/ElderDrivers/EdXposed/issues/642","show")</f>
        <v>show</v>
      </c>
      <c r="E6610" t="str">
        <f>HYPERLINK("https://github.com/ElderDrivers/EdXposed","show")</f>
        <v>show</v>
      </c>
      <c r="F6610" t="str">
        <f>HYPERLINK("https://github.com/ElderDrivers/EdXposed/releases","show")</f>
        <v>show</v>
      </c>
    </row>
    <row r="6611" spans="1:6">
      <c r="A6611" t="s">
        <v>19644</v>
      </c>
      <c r="B6611" t="s">
        <v>19645</v>
      </c>
      <c r="C6611" t="s">
        <v>19646</v>
      </c>
      <c r="D6611" t="str">
        <f>HYPERLINK("https://github.com/TeamNewPipe/NewPipe/issues/4972","show")</f>
        <v>show</v>
      </c>
      <c r="E6611" t="str">
        <f>HYPERLINK("https://github.com/TeamNewPipe/NewPipe","show")</f>
        <v>show</v>
      </c>
      <c r="F6611" t="str">
        <f>HYPERLINK("https://github.com/TeamNewPipe/NewPipe/releases","show")</f>
        <v>show</v>
      </c>
    </row>
    <row r="6612" spans="1:6">
      <c r="A6612" t="s">
        <v>19647</v>
      </c>
      <c r="B6612" t="s">
        <v>19648</v>
      </c>
      <c r="C6612" t="s">
        <v>19649</v>
      </c>
      <c r="D6612" t="str">
        <f>HYPERLINK("https://github.com/Anuken/Mindustry/issues/3534","show")</f>
        <v>show</v>
      </c>
      <c r="E6612" t="str">
        <f>HYPERLINK("https://github.com/Anuken/Mindustry","show")</f>
        <v>show</v>
      </c>
      <c r="F6612" t="str">
        <f>HYPERLINK("https://github.com/Anuken/Mindustry/releases","show")</f>
        <v>show</v>
      </c>
    </row>
    <row r="6613" spans="1:6">
      <c r="A6613" t="s">
        <v>19650</v>
      </c>
      <c r="B6613" t="s">
        <v>19651</v>
      </c>
      <c r="C6613" t="s">
        <v>19500</v>
      </c>
      <c r="D6613" t="str">
        <f>HYPERLINK("https://github.com/Anuken/Mindustry/issues/3533","show")</f>
        <v>show</v>
      </c>
      <c r="E6613" t="str">
        <f>HYPERLINK("https://github.com/Anuken/Mindustry","show")</f>
        <v>show</v>
      </c>
      <c r="F6613" t="str">
        <f>HYPERLINK("https://github.com/Anuken/Mindustry/releases","show")</f>
        <v>show</v>
      </c>
    </row>
    <row r="6614" spans="1:6">
      <c r="A6614" t="s">
        <v>19652</v>
      </c>
      <c r="B6614" t="s">
        <v>19653</v>
      </c>
      <c r="C6614" t="s">
        <v>19654</v>
      </c>
      <c r="D6614" t="str">
        <f>HYPERLINK("https://github.com/TeamNewPipe/NewPipe/issues/4968","show")</f>
        <v>show</v>
      </c>
      <c r="E6614" t="str">
        <f>HYPERLINK("https://github.com/TeamNewPipe/NewPipe","show")</f>
        <v>show</v>
      </c>
      <c r="F6614" t="str">
        <f>HYPERLINK("https://github.com/TeamNewPipe/NewPipe/releases","show")</f>
        <v>show</v>
      </c>
    </row>
    <row r="6615" spans="1:6">
      <c r="A6615" t="s">
        <v>19655</v>
      </c>
      <c r="B6615" t="s">
        <v>17668</v>
      </c>
      <c r="C6615" t="s">
        <v>19656</v>
      </c>
      <c r="D6615" t="str">
        <f>HYPERLINK("https://github.com/cgeo/cgeo/issues/9430","show")</f>
        <v>show</v>
      </c>
      <c r="E6615" t="str">
        <f>HYPERLINK("https://github.com/cgeo/cgeo","show")</f>
        <v>show</v>
      </c>
      <c r="F6615" t="str">
        <f>HYPERLINK("https://github.com/cgeo/cgeo/releases","show")</f>
        <v>show</v>
      </c>
    </row>
    <row r="6616" spans="1:6">
      <c r="A6616" t="s">
        <v>19657</v>
      </c>
      <c r="B6616" t="s">
        <v>19658</v>
      </c>
      <c r="C6616" t="s">
        <v>19659</v>
      </c>
      <c r="D6616" t="str">
        <f>HYPERLINK("https://github.com/Anuken/Mindustry/issues/3529","show")</f>
        <v>show</v>
      </c>
      <c r="E6616" t="str">
        <f>HYPERLINK("https://github.com/Anuken/Mindustry","show")</f>
        <v>show</v>
      </c>
      <c r="F6616" t="str">
        <f>HYPERLINK("https://github.com/Anuken/Mindustry/releases","show")</f>
        <v>show</v>
      </c>
    </row>
    <row r="6617" spans="1:6">
      <c r="A6617" t="s">
        <v>19660</v>
      </c>
      <c r="B6617" t="s">
        <v>19661</v>
      </c>
      <c r="C6617" t="s">
        <v>19662</v>
      </c>
      <c r="D6617" t="str">
        <f>HYPERLINK("https://github.com/TeamNewPipe/NewPipe/issues/4963","show")</f>
        <v>show</v>
      </c>
      <c r="E6617" t="str">
        <f>HYPERLINK("https://github.com/TeamNewPipe/NewPipe","show")</f>
        <v>show</v>
      </c>
      <c r="F6617" t="str">
        <f>HYPERLINK("https://github.com/TeamNewPipe/NewPipe/releases","show")</f>
        <v>show</v>
      </c>
    </row>
    <row r="6618" spans="1:6">
      <c r="A6618" t="s">
        <v>19663</v>
      </c>
      <c r="B6618" t="s">
        <v>19664</v>
      </c>
      <c r="C6618" t="s">
        <v>19665</v>
      </c>
      <c r="D6618" t="str">
        <f>HYPERLINK("https://github.com/Anuken/Mindustry/issues/3525","show")</f>
        <v>show</v>
      </c>
      <c r="E6618" t="str">
        <f>HYPERLINK("https://github.com/Anuken/Mindustry","show")</f>
        <v>show</v>
      </c>
      <c r="F6618" t="str">
        <f>HYPERLINK("https://github.com/Anuken/Mindustry/releases","show")</f>
        <v>show</v>
      </c>
    </row>
    <row r="6619" spans="1:6">
      <c r="A6619" t="s">
        <v>19666</v>
      </c>
      <c r="B6619" t="s">
        <v>19667</v>
      </c>
      <c r="C6619" t="s">
        <v>19668</v>
      </c>
      <c r="D6619" t="str">
        <f>HYPERLINK("https://github.com/Anuken/Mindustry/issues/3523","show")</f>
        <v>show</v>
      </c>
      <c r="E6619" t="str">
        <f>HYPERLINK("https://github.com/Anuken/Mindustry","show")</f>
        <v>show</v>
      </c>
      <c r="F6619" t="str">
        <f>HYPERLINK("https://github.com/Anuken/Mindustry/releases","show")</f>
        <v>show</v>
      </c>
    </row>
    <row r="6620" spans="1:6">
      <c r="A6620" t="s">
        <v>19669</v>
      </c>
      <c r="B6620" t="s">
        <v>19670</v>
      </c>
      <c r="C6620" t="s">
        <v>19671</v>
      </c>
      <c r="D6620" t="str">
        <f>HYPERLINK("https://github.com/nextcloud/android/issues/7438","show")</f>
        <v>show</v>
      </c>
      <c r="E6620" t="str">
        <f>HYPERLINK("https://github.com/nextcloud/android","show")</f>
        <v>show</v>
      </c>
      <c r="F6620" t="str">
        <f>HYPERLINK("https://github.com/nextcloud/android/releases","show")</f>
        <v>show</v>
      </c>
    </row>
    <row r="6621" spans="1:6">
      <c r="A6621" t="s">
        <v>19672</v>
      </c>
      <c r="B6621" t="s">
        <v>19673</v>
      </c>
      <c r="C6621" t="s">
        <v>19674</v>
      </c>
      <c r="D6621" t="str">
        <f>HYPERLINK("https://github.com/nextcloud/android/issues/7436","show")</f>
        <v>show</v>
      </c>
      <c r="E6621" t="str">
        <f>HYPERLINK("https://github.com/nextcloud/android","show")</f>
        <v>show</v>
      </c>
      <c r="F6621" t="str">
        <f>HYPERLINK("https://github.com/nextcloud/android/releases","show")</f>
        <v>show</v>
      </c>
    </row>
    <row r="6622" spans="1:6">
      <c r="A6622" t="s">
        <v>19675</v>
      </c>
      <c r="B6622" t="s">
        <v>19676</v>
      </c>
      <c r="C6622" t="s">
        <v>19677</v>
      </c>
      <c r="D6622" t="str">
        <f>HYPERLINK("https://github.com/nextcloud/android/issues/7435","show")</f>
        <v>show</v>
      </c>
      <c r="E6622" t="str">
        <f>HYPERLINK("https://github.com/nextcloud/android","show")</f>
        <v>show</v>
      </c>
      <c r="F6622" t="str">
        <f>HYPERLINK("https://github.com/nextcloud/android/releases","show")</f>
        <v>show</v>
      </c>
    </row>
    <row r="6623" spans="1:6">
      <c r="A6623" t="s">
        <v>19678</v>
      </c>
      <c r="B6623" t="s">
        <v>19679</v>
      </c>
      <c r="C6623" t="s">
        <v>19680</v>
      </c>
      <c r="D6623" t="str">
        <f>HYPERLINK("https://github.com/Anuken/Mindustry/issues/3521","show")</f>
        <v>show</v>
      </c>
      <c r="E6623" t="str">
        <f>HYPERLINK("https://github.com/Anuken/Mindustry","show")</f>
        <v>show</v>
      </c>
      <c r="F6623" t="str">
        <f>HYPERLINK("https://github.com/Anuken/Mindustry/releases","show")</f>
        <v>show</v>
      </c>
    </row>
    <row r="6624" spans="1:6">
      <c r="A6624" t="s">
        <v>19681</v>
      </c>
      <c r="B6624" t="s">
        <v>6453</v>
      </c>
      <c r="C6624" t="s">
        <v>19682</v>
      </c>
      <c r="D6624" t="str">
        <f>HYPERLINK("https://github.com/TeamNewPipe/NewPipe/issues/4959","show")</f>
        <v>show</v>
      </c>
      <c r="E6624" t="str">
        <f>HYPERLINK("https://github.com/TeamNewPipe/NewPipe","show")</f>
        <v>show</v>
      </c>
      <c r="F6624" t="str">
        <f>HYPERLINK("https://github.com/TeamNewPipe/NewPipe/releases","show")</f>
        <v>show</v>
      </c>
    </row>
    <row r="6625" spans="1:6">
      <c r="A6625" t="s">
        <v>19683</v>
      </c>
      <c r="B6625" t="s">
        <v>19684</v>
      </c>
      <c r="C6625" t="s">
        <v>19685</v>
      </c>
      <c r="D6625" t="str">
        <f>HYPERLINK("https://github.com/TeamNewPipe/NewPipe/issues/4957","show")</f>
        <v>show</v>
      </c>
      <c r="E6625" t="str">
        <f>HYPERLINK("https://github.com/TeamNewPipe/NewPipe","show")</f>
        <v>show</v>
      </c>
      <c r="F6625" t="str">
        <f>HYPERLINK("https://github.com/TeamNewPipe/NewPipe/releases","show")</f>
        <v>show</v>
      </c>
    </row>
    <row r="6626" spans="1:6">
      <c r="A6626" t="s">
        <v>19686</v>
      </c>
      <c r="B6626" t="s">
        <v>19687</v>
      </c>
      <c r="C6626" t="s">
        <v>19688</v>
      </c>
      <c r="D6626" t="str">
        <f>HYPERLINK("https://github.com/TeamNewPipe/NewPipe/issues/4955","show")</f>
        <v>show</v>
      </c>
      <c r="E6626" t="str">
        <f>HYPERLINK("https://github.com/TeamNewPipe/NewPipe","show")</f>
        <v>show</v>
      </c>
      <c r="F6626" t="str">
        <f>HYPERLINK("https://github.com/TeamNewPipe/NewPipe/releases","show")</f>
        <v>show</v>
      </c>
    </row>
    <row r="6627" spans="1:6">
      <c r="A6627" t="s">
        <v>19689</v>
      </c>
      <c r="B6627" t="s">
        <v>15393</v>
      </c>
      <c r="C6627" t="s">
        <v>19690</v>
      </c>
      <c r="D6627" t="str">
        <f>HYPERLINK("https://github.com/Anuken/Mindustry/issues/3520","show")</f>
        <v>show</v>
      </c>
      <c r="E6627" t="str">
        <f>HYPERLINK("https://github.com/Anuken/Mindustry","show")</f>
        <v>show</v>
      </c>
      <c r="F6627" t="str">
        <f>HYPERLINK("https://github.com/Anuken/Mindustry/releases","show")</f>
        <v>show</v>
      </c>
    </row>
    <row r="6628" spans="1:6">
      <c r="A6628" t="s">
        <v>19691</v>
      </c>
      <c r="B6628" t="s">
        <v>19692</v>
      </c>
      <c r="C6628" t="s">
        <v>19693</v>
      </c>
      <c r="D6628" t="str">
        <f>HYPERLINK("https://github.com/Anuken/Mindustry/issues/3519","show")</f>
        <v>show</v>
      </c>
      <c r="E6628" t="str">
        <f>HYPERLINK("https://github.com/Anuken/Mindustry","show")</f>
        <v>show</v>
      </c>
      <c r="F6628" t="str">
        <f>HYPERLINK("https://github.com/Anuken/Mindustry/releases","show")</f>
        <v>show</v>
      </c>
    </row>
    <row r="6629" spans="1:6">
      <c r="A6629" t="s">
        <v>19694</v>
      </c>
      <c r="B6629" t="s">
        <v>19695</v>
      </c>
      <c r="C6629" t="s">
        <v>19696</v>
      </c>
      <c r="D6629" t="str">
        <f>HYPERLINK("https://github.com/Anuken/Mindustry/issues/3518","show")</f>
        <v>show</v>
      </c>
      <c r="E6629" t="str">
        <f>HYPERLINK("https://github.com/Anuken/Mindustry","show")</f>
        <v>show</v>
      </c>
      <c r="F6629" t="str">
        <f>HYPERLINK("https://github.com/Anuken/Mindustry/releases","show")</f>
        <v>show</v>
      </c>
    </row>
    <row r="6630" spans="1:6">
      <c r="A6630" t="s">
        <v>19697</v>
      </c>
      <c r="B6630" t="s">
        <v>19698</v>
      </c>
      <c r="C6630" t="s">
        <v>19699</v>
      </c>
      <c r="D6630" t="str">
        <f>HYPERLINK("https://github.com/Anuken/Mindustry/issues/3514","show")</f>
        <v>show</v>
      </c>
      <c r="E6630" t="str">
        <f>HYPERLINK("https://github.com/Anuken/Mindustry","show")</f>
        <v>show</v>
      </c>
      <c r="F6630" t="str">
        <f>HYPERLINK("https://github.com/Anuken/Mindustry/releases","show")</f>
        <v>show</v>
      </c>
    </row>
    <row r="6631" spans="1:6">
      <c r="A6631" t="s">
        <v>19700</v>
      </c>
      <c r="B6631" t="s">
        <v>19701</v>
      </c>
      <c r="C6631" t="s">
        <v>19702</v>
      </c>
      <c r="D6631" t="str">
        <f>HYPERLINK("https://github.com/oliexdev/openScale/issues/653","show")</f>
        <v>show</v>
      </c>
      <c r="E6631" t="str">
        <f>HYPERLINK("https://github.com/oliexdev/openScale","show")</f>
        <v>show</v>
      </c>
      <c r="F6631" t="str">
        <f>HYPERLINK("https://github.com/oliexdev/openScale/releases","show")</f>
        <v>show</v>
      </c>
    </row>
    <row r="6632" spans="1:6">
      <c r="A6632" t="s">
        <v>19703</v>
      </c>
      <c r="B6632" t="s">
        <v>19704</v>
      </c>
      <c r="C6632" t="s">
        <v>19705</v>
      </c>
      <c r="D6632" t="str">
        <f>HYPERLINK("https://github.com/nextcloud/android/issues/7425","show")</f>
        <v>show</v>
      </c>
      <c r="E6632" t="str">
        <f>HYPERLINK("https://github.com/nextcloud/android","show")</f>
        <v>show</v>
      </c>
      <c r="F6632" t="str">
        <f>HYPERLINK("https://github.com/nextcloud/android/releases","show")</f>
        <v>show</v>
      </c>
    </row>
    <row r="6633" spans="1:6">
      <c r="A6633" t="s">
        <v>19706</v>
      </c>
      <c r="B6633" t="s">
        <v>13790</v>
      </c>
      <c r="C6633" t="s">
        <v>19707</v>
      </c>
      <c r="D6633" t="str">
        <f>HYPERLINK("https://github.com/Anuken/Mindustry/issues/3509","show")</f>
        <v>show</v>
      </c>
      <c r="E6633" t="str">
        <f>HYPERLINK("https://github.com/Anuken/Mindustry","show")</f>
        <v>show</v>
      </c>
      <c r="F6633" t="str">
        <f>HYPERLINK("https://github.com/Anuken/Mindustry/releases","show")</f>
        <v>show</v>
      </c>
    </row>
    <row r="6634" spans="1:6">
      <c r="A6634" t="s">
        <v>19708</v>
      </c>
      <c r="B6634" t="s">
        <v>19709</v>
      </c>
      <c r="C6634" t="s">
        <v>19710</v>
      </c>
      <c r="D6634" t="str">
        <f>HYPERLINK("https://github.com/TeamNewPipe/NewPipe/issues/4949","show")</f>
        <v>show</v>
      </c>
      <c r="E6634" t="str">
        <f>HYPERLINK("https://github.com/TeamNewPipe/NewPipe","show")</f>
        <v>show</v>
      </c>
      <c r="F6634" t="str">
        <f>HYPERLINK("https://github.com/TeamNewPipe/NewPipe/releases","show")</f>
        <v>show</v>
      </c>
    </row>
    <row r="6635" spans="1:6">
      <c r="A6635" t="s">
        <v>19711</v>
      </c>
      <c r="B6635" t="s">
        <v>19712</v>
      </c>
      <c r="C6635" t="s">
        <v>19713</v>
      </c>
      <c r="D6635" t="str">
        <f>HYPERLINK("https://github.com/TeamNewPipe/NewPipe/issues/4948","show")</f>
        <v>show</v>
      </c>
      <c r="E6635" t="str">
        <f>HYPERLINK("https://github.com/TeamNewPipe/NewPipe","show")</f>
        <v>show</v>
      </c>
      <c r="F6635" t="str">
        <f>HYPERLINK("https://github.com/TeamNewPipe/NewPipe/releases","show")</f>
        <v>show</v>
      </c>
    </row>
    <row r="6636" spans="1:6">
      <c r="A6636" t="s">
        <v>19714</v>
      </c>
      <c r="B6636" t="s">
        <v>19715</v>
      </c>
      <c r="C6636" t="s">
        <v>19716</v>
      </c>
      <c r="D6636" t="str">
        <f>HYPERLINK("https://github.com/nextcloud/android/issues/7419","show")</f>
        <v>show</v>
      </c>
      <c r="E6636" t="str">
        <f>HYPERLINK("https://github.com/nextcloud/android","show")</f>
        <v>show</v>
      </c>
      <c r="F6636" t="str">
        <f>HYPERLINK("https://github.com/nextcloud/android/releases","show")</f>
        <v>show</v>
      </c>
    </row>
    <row r="6637" spans="1:6">
      <c r="A6637" t="s">
        <v>19717</v>
      </c>
      <c r="B6637" t="s">
        <v>19718</v>
      </c>
      <c r="C6637" t="s">
        <v>19719</v>
      </c>
      <c r="D6637" t="str">
        <f>HYPERLINK("https://github.com/Anuken/Mindustry/issues/3501","show")</f>
        <v>show</v>
      </c>
      <c r="E6637" t="str">
        <f>HYPERLINK("https://github.com/Anuken/Mindustry","show")</f>
        <v>show</v>
      </c>
      <c r="F6637" t="str">
        <f>HYPERLINK("https://github.com/Anuken/Mindustry/releases","show")</f>
        <v>show</v>
      </c>
    </row>
    <row r="6638" spans="1:6">
      <c r="A6638" t="s">
        <v>19720</v>
      </c>
      <c r="B6638" t="s">
        <v>19721</v>
      </c>
      <c r="C6638" t="s">
        <v>19722</v>
      </c>
      <c r="D6638" t="str">
        <f>HYPERLINK("https://github.com/nextcloud/android/issues/7414","show")</f>
        <v>show</v>
      </c>
      <c r="E6638" t="str">
        <f>HYPERLINK("https://github.com/nextcloud/android","show")</f>
        <v>show</v>
      </c>
      <c r="F6638" t="str">
        <f>HYPERLINK("https://github.com/nextcloud/android/releases","show")</f>
        <v>show</v>
      </c>
    </row>
    <row r="6639" spans="1:6">
      <c r="A6639" t="s">
        <v>19723</v>
      </c>
      <c r="B6639" t="s">
        <v>19724</v>
      </c>
      <c r="C6639" t="s">
        <v>19725</v>
      </c>
      <c r="D6639" t="str">
        <f>HYPERLINK("https://github.com/TeamNewPipe/NewPipe/issues/4940","show")</f>
        <v>show</v>
      </c>
      <c r="E6639" t="str">
        <f>HYPERLINK("https://github.com/TeamNewPipe/NewPipe","show")</f>
        <v>show</v>
      </c>
      <c r="F6639" t="str">
        <f>HYPERLINK("https://github.com/TeamNewPipe/NewPipe/releases","show")</f>
        <v>show</v>
      </c>
    </row>
    <row r="6640" spans="1:6">
      <c r="A6640" t="s">
        <v>19726</v>
      </c>
      <c r="B6640" t="s">
        <v>19727</v>
      </c>
      <c r="C6640" t="s">
        <v>19728</v>
      </c>
      <c r="D6640" t="str">
        <f>HYPERLINK("https://github.com/Anuken/Mindustry/issues/3497","show")</f>
        <v>show</v>
      </c>
      <c r="E6640" t="str">
        <f>HYPERLINK("https://github.com/Anuken/Mindustry","show")</f>
        <v>show</v>
      </c>
      <c r="F6640" t="str">
        <f>HYPERLINK("https://github.com/Anuken/Mindustry/releases","show")</f>
        <v>show</v>
      </c>
    </row>
    <row r="6641" spans="1:6">
      <c r="A6641" t="s">
        <v>19729</v>
      </c>
      <c r="B6641" t="s">
        <v>19730</v>
      </c>
      <c r="C6641" t="s">
        <v>19731</v>
      </c>
      <c r="D6641" t="str">
        <f>HYPERLINK("https://github.com/TeamNewPipe/NewPipe/issues/4936","show")</f>
        <v>show</v>
      </c>
      <c r="E6641" t="str">
        <f>HYPERLINK("https://github.com/TeamNewPipe/NewPipe","show")</f>
        <v>show</v>
      </c>
      <c r="F6641" t="str">
        <f>HYPERLINK("https://github.com/TeamNewPipe/NewPipe/releases","show")</f>
        <v>show</v>
      </c>
    </row>
    <row r="6642" spans="1:6">
      <c r="A6642" t="s">
        <v>19732</v>
      </c>
      <c r="B6642" t="s">
        <v>19733</v>
      </c>
      <c r="C6642" t="s">
        <v>19734</v>
      </c>
      <c r="D6642" t="str">
        <f>HYPERLINK("https://github.com/ElderDrivers/EdXposed/issues/639","show")</f>
        <v>show</v>
      </c>
      <c r="E6642" t="str">
        <f>HYPERLINK("https://github.com/ElderDrivers/EdXposed","show")</f>
        <v>show</v>
      </c>
      <c r="F6642" t="str">
        <f>HYPERLINK("https://github.com/ElderDrivers/EdXposed/releases","show")</f>
        <v>show</v>
      </c>
    </row>
    <row r="6643" spans="1:6">
      <c r="A6643" t="s">
        <v>19735</v>
      </c>
      <c r="B6643" t="s">
        <v>19736</v>
      </c>
      <c r="C6643" t="s">
        <v>19737</v>
      </c>
      <c r="D6643" t="str">
        <f>HYPERLINK("https://github.com/Anuken/Mindustry/issues/3495","show")</f>
        <v>show</v>
      </c>
      <c r="E6643" t="str">
        <f>HYPERLINK("https://github.com/Anuken/Mindustry","show")</f>
        <v>show</v>
      </c>
      <c r="F6643" t="str">
        <f>HYPERLINK("https://github.com/Anuken/Mindustry/releases","show")</f>
        <v>show</v>
      </c>
    </row>
    <row r="6644" spans="1:6">
      <c r="A6644" t="s">
        <v>19738</v>
      </c>
      <c r="B6644" t="s">
        <v>19739</v>
      </c>
      <c r="C6644" t="s">
        <v>19740</v>
      </c>
      <c r="D6644" t="str">
        <f>HYPERLINK("https://github.com/nextcloud/android/issues/7406","show")</f>
        <v>show</v>
      </c>
      <c r="E6644" t="str">
        <f>HYPERLINK("https://github.com/nextcloud/android","show")</f>
        <v>show</v>
      </c>
      <c r="F6644" t="str">
        <f>HYPERLINK("https://github.com/nextcloud/android/releases","show")</f>
        <v>show</v>
      </c>
    </row>
    <row r="6645" spans="1:6">
      <c r="A6645" t="s">
        <v>19741</v>
      </c>
      <c r="B6645" t="s">
        <v>19742</v>
      </c>
      <c r="C6645" t="s">
        <v>19743</v>
      </c>
      <c r="D6645" t="str">
        <f>HYPERLINK("https://github.com/Anuken/Mindustry/issues/3493","show")</f>
        <v>show</v>
      </c>
      <c r="E6645" t="str">
        <f>HYPERLINK("https://github.com/Anuken/Mindustry","show")</f>
        <v>show</v>
      </c>
      <c r="F6645" t="str">
        <f>HYPERLINK("https://github.com/Anuken/Mindustry/releases","show")</f>
        <v>show</v>
      </c>
    </row>
    <row r="6646" spans="1:6">
      <c r="A6646" t="s">
        <v>19744</v>
      </c>
      <c r="B6646" t="s">
        <v>107</v>
      </c>
      <c r="C6646" t="s">
        <v>19745</v>
      </c>
      <c r="D6646" t="str">
        <f>HYPERLINK("https://github.com/nextcloud/android/issues/7402","show")</f>
        <v>show</v>
      </c>
      <c r="E6646" t="str">
        <f>HYPERLINK("https://github.com/nextcloud/android","show")</f>
        <v>show</v>
      </c>
      <c r="F6646" t="str">
        <f>HYPERLINK("https://github.com/nextcloud/android/releases","show")</f>
        <v>show</v>
      </c>
    </row>
    <row r="6647" spans="1:6">
      <c r="A6647" t="s">
        <v>19746</v>
      </c>
      <c r="B6647" t="s">
        <v>19747</v>
      </c>
      <c r="C6647" t="s">
        <v>19748</v>
      </c>
      <c r="D6647" t="str">
        <f>HYPERLINK("https://github.com/Anuken/Mindustry/issues/3492","show")</f>
        <v>show</v>
      </c>
      <c r="E6647" t="str">
        <f>HYPERLINK("https://github.com/Anuken/Mindustry","show")</f>
        <v>show</v>
      </c>
      <c r="F6647" t="str">
        <f>HYPERLINK("https://github.com/Anuken/Mindustry/releases","show")</f>
        <v>show</v>
      </c>
    </row>
    <row r="6648" spans="1:6">
      <c r="A6648" t="s">
        <v>19749</v>
      </c>
      <c r="B6648" t="s">
        <v>19750</v>
      </c>
      <c r="C6648" t="s">
        <v>19751</v>
      </c>
      <c r="D6648" t="str">
        <f>HYPERLINK("https://github.com/ankidroid/Anki-Android/issues/7734","show")</f>
        <v>show</v>
      </c>
      <c r="E6648" t="str">
        <f>HYPERLINK("https://github.com/ankidroid/Anki-Android","show")</f>
        <v>show</v>
      </c>
      <c r="F6648" t="str">
        <f>HYPERLINK("https://github.com/ankidroid/Anki-Android/releases","show")</f>
        <v>show</v>
      </c>
    </row>
    <row r="6649" spans="1:6">
      <c r="A6649" t="s">
        <v>19752</v>
      </c>
      <c r="B6649" t="s">
        <v>19753</v>
      </c>
      <c r="C6649" t="s">
        <v>19754</v>
      </c>
      <c r="D6649" t="str">
        <f>HYPERLINK("https://github.com/TeamNewPipe/NewPipe/issues/4933","show")</f>
        <v>show</v>
      </c>
      <c r="E6649" t="str">
        <f>HYPERLINK("https://github.com/TeamNewPipe/NewPipe","show")</f>
        <v>show</v>
      </c>
      <c r="F6649" t="str">
        <f>HYPERLINK("https://github.com/TeamNewPipe/NewPipe/releases","show")</f>
        <v>show</v>
      </c>
    </row>
    <row r="6650" spans="1:6">
      <c r="A6650" t="s">
        <v>19755</v>
      </c>
      <c r="B6650" t="s">
        <v>19756</v>
      </c>
      <c r="C6650" t="s">
        <v>19757</v>
      </c>
      <c r="D6650" t="str">
        <f>HYPERLINK("https://github.com/JuanSeBestia/react-native-wifi-reborn/issues/142","show")</f>
        <v>show</v>
      </c>
      <c r="E6650" t="str">
        <f>HYPERLINK("https://github.com/JuanSeBestia/react-native-wifi-reborn","show")</f>
        <v>show</v>
      </c>
      <c r="F6650" t="str">
        <f>HYPERLINK("https://github.com/JuanSeBestia/react-native-wifi-reborn/releases","show")</f>
        <v>show</v>
      </c>
    </row>
    <row r="6651" spans="1:6">
      <c r="A6651" t="s">
        <v>19758</v>
      </c>
      <c r="B6651" t="s">
        <v>19759</v>
      </c>
      <c r="C6651" t="s">
        <v>19760</v>
      </c>
      <c r="D6651" t="str">
        <f>HYPERLINK("https://github.com/Anuken/Mindustry/issues/3479","show")</f>
        <v>show</v>
      </c>
      <c r="E6651" t="str">
        <f>HYPERLINK("https://github.com/Anuken/Mindustry","show")</f>
        <v>show</v>
      </c>
      <c r="F6651" t="str">
        <f>HYPERLINK("https://github.com/Anuken/Mindustry/releases","show")</f>
        <v>show</v>
      </c>
    </row>
    <row r="6652" spans="1:6">
      <c r="A6652" t="s">
        <v>19761</v>
      </c>
      <c r="B6652" t="s">
        <v>19762</v>
      </c>
      <c r="C6652" t="s">
        <v>19763</v>
      </c>
      <c r="D6652" t="str">
        <f>HYPERLINK("https://github.com/zoontek/react-native-localize/issues/123","show")</f>
        <v>show</v>
      </c>
      <c r="E6652" t="str">
        <f>HYPERLINK("https://github.com/zoontek/react-native-localize","show")</f>
        <v>show</v>
      </c>
      <c r="F6652" t="str">
        <f>HYPERLINK("https://github.com/zoontek/react-native-localize/releases","show")</f>
        <v>show</v>
      </c>
    </row>
    <row r="6653" spans="1:6">
      <c r="A6653" t="s">
        <v>19764</v>
      </c>
      <c r="B6653" t="s">
        <v>19765</v>
      </c>
      <c r="C6653" t="s">
        <v>19766</v>
      </c>
      <c r="D6653" t="str">
        <f>HYPERLINK("https://github.com/AOF-Dev/MCinaBox/issues/695","show")</f>
        <v>show</v>
      </c>
      <c r="E6653" t="str">
        <f>HYPERLINK("https://github.com/AOF-Dev/MCinaBox","show")</f>
        <v>show</v>
      </c>
      <c r="F6653" t="str">
        <f>HYPERLINK("https://github.com/AOF-Dev/MCinaBox/releases","show")</f>
        <v>show</v>
      </c>
    </row>
    <row r="6654" spans="1:6">
      <c r="A6654" t="s">
        <v>19767</v>
      </c>
      <c r="B6654" t="s">
        <v>19768</v>
      </c>
      <c r="C6654" t="s">
        <v>19769</v>
      </c>
      <c r="D6654" t="str">
        <f>HYPERLINK("https://github.com/AriaLyy/Aria/issues/805","show")</f>
        <v>show</v>
      </c>
      <c r="E6654" t="str">
        <f>HYPERLINK("https://github.com/AriaLyy/Aria","show")</f>
        <v>show</v>
      </c>
      <c r="F6654" t="str">
        <f>HYPERLINK("https://github.com/AriaLyy/Aria/releases","show")</f>
        <v>show</v>
      </c>
    </row>
    <row r="6655" spans="1:6">
      <c r="A6655" t="s">
        <v>19770</v>
      </c>
      <c r="B6655" t="s">
        <v>19771</v>
      </c>
      <c r="C6655" t="s">
        <v>19772</v>
      </c>
      <c r="D6655" t="str">
        <f>HYPERLINK("https://github.com/fennifith/Alarmio/issues/143","show")</f>
        <v>show</v>
      </c>
      <c r="E6655" t="str">
        <f>HYPERLINK("https://github.com/fennifith/Alarmio","show")</f>
        <v>show</v>
      </c>
      <c r="F6655" t="str">
        <f>HYPERLINK("https://github.com/fennifith/Alarmio/releases","show")</f>
        <v>show</v>
      </c>
    </row>
    <row r="6656" spans="1:6">
      <c r="A6656" t="s">
        <v>19773</v>
      </c>
      <c r="B6656" t="s">
        <v>19774</v>
      </c>
      <c r="C6656" t="s">
        <v>19775</v>
      </c>
      <c r="D6656" t="str">
        <f>HYPERLINK("https://github.com/bytedance/AabResGuard/issues/41","show")</f>
        <v>show</v>
      </c>
      <c r="E6656" t="str">
        <f>HYPERLINK("https://github.com/bytedance/AabResGuard","show")</f>
        <v>show</v>
      </c>
      <c r="F6656" t="str">
        <f>HYPERLINK("https://github.com/bytedance/AabResGuard/releases","show")</f>
        <v>show</v>
      </c>
    </row>
    <row r="6657" spans="1:6">
      <c r="A6657" t="s">
        <v>19776</v>
      </c>
      <c r="B6657" t="s">
        <v>19777</v>
      </c>
      <c r="C6657" t="s">
        <v>19778</v>
      </c>
      <c r="D6657" t="str">
        <f>HYPERLINK("https://github.com/nextcloud/android/issues/7386","show")</f>
        <v>show</v>
      </c>
      <c r="E6657" t="str">
        <f>HYPERLINK("https://github.com/nextcloud/android","show")</f>
        <v>show</v>
      </c>
      <c r="F6657" t="str">
        <f>HYPERLINK("https://github.com/nextcloud/android/releases","show")</f>
        <v>show</v>
      </c>
    </row>
    <row r="6658" spans="1:6">
      <c r="A6658" t="s">
        <v>19779</v>
      </c>
      <c r="B6658" t="s">
        <v>19780</v>
      </c>
      <c r="C6658" t="s">
        <v>19781</v>
      </c>
      <c r="D6658" t="str">
        <f>HYPERLINK("https://github.com/GeyserMC/GeyserAndroid/issues/13","show")</f>
        <v>show</v>
      </c>
      <c r="E6658" t="str">
        <f>HYPERLINK("https://github.com/GeyserMC/GeyserAndroid","show")</f>
        <v>show</v>
      </c>
      <c r="F6658" t="str">
        <f>HYPERLINK("https://github.com/GeyserMC/GeyserAndroid/releases","show")</f>
        <v>show</v>
      </c>
    </row>
    <row r="6659" spans="1:6">
      <c r="A6659" t="s">
        <v>19782</v>
      </c>
      <c r="B6659" t="s">
        <v>19783</v>
      </c>
      <c r="C6659" t="s">
        <v>19784</v>
      </c>
      <c r="D6659" t="str">
        <f>HYPERLINK("https://github.com/TeamNewPipe/NewPipe/issues/4926","show")</f>
        <v>show</v>
      </c>
      <c r="E6659" t="str">
        <f>HYPERLINK("https://github.com/TeamNewPipe/NewPipe","show")</f>
        <v>show</v>
      </c>
      <c r="F6659" t="str">
        <f>HYPERLINK("https://github.com/TeamNewPipe/NewPipe/releases","show")</f>
        <v>show</v>
      </c>
    </row>
    <row r="6660" spans="1:6">
      <c r="A6660" t="s">
        <v>19785</v>
      </c>
      <c r="B6660" t="s">
        <v>19786</v>
      </c>
      <c r="C6660" t="s">
        <v>19787</v>
      </c>
      <c r="D6660" t="str">
        <f>HYPERLINK("https://github.com/TeamNewPipe/NewPipe/issues/4924","show")</f>
        <v>show</v>
      </c>
      <c r="E6660" t="str">
        <f>HYPERLINK("https://github.com/TeamNewPipe/NewPipe","show")</f>
        <v>show</v>
      </c>
      <c r="F6660" t="str">
        <f>HYPERLINK("https://github.com/TeamNewPipe/NewPipe/releases","show")</f>
        <v>show</v>
      </c>
    </row>
    <row r="6661" spans="1:6">
      <c r="A6661" t="s">
        <v>19788</v>
      </c>
      <c r="B6661" t="s">
        <v>14846</v>
      </c>
      <c r="C6661" t="s">
        <v>19789</v>
      </c>
      <c r="D6661" t="str">
        <f>HYPERLINK("https://github.com/nextcloud/android/issues/7379","show")</f>
        <v>show</v>
      </c>
      <c r="E6661" t="str">
        <f>HYPERLINK("https://github.com/nextcloud/android","show")</f>
        <v>show</v>
      </c>
      <c r="F6661" t="str">
        <f>HYPERLINK("https://github.com/nextcloud/android/releases","show")</f>
        <v>show</v>
      </c>
    </row>
    <row r="6662" spans="1:6">
      <c r="A6662" t="s">
        <v>19790</v>
      </c>
      <c r="B6662" t="s">
        <v>19791</v>
      </c>
      <c r="C6662" t="s">
        <v>19792</v>
      </c>
      <c r="D6662" t="str">
        <f>HYPERLINK("https://github.com/TeamNewPipe/NewPipe/issues/4920","show")</f>
        <v>show</v>
      </c>
      <c r="E6662" t="str">
        <f>HYPERLINK("https://github.com/TeamNewPipe/NewPipe","show")</f>
        <v>show</v>
      </c>
      <c r="F6662" t="str">
        <f>HYPERLINK("https://github.com/TeamNewPipe/NewPipe/releases","show")</f>
        <v>show</v>
      </c>
    </row>
    <row r="6663" spans="1:6">
      <c r="A6663" t="s">
        <v>19793</v>
      </c>
      <c r="B6663" t="s">
        <v>19794</v>
      </c>
      <c r="C6663" t="s">
        <v>19795</v>
      </c>
      <c r="D6663" t="str">
        <f>HYPERLINK("https://github.com/HamedTaherpour/ht-epub-reader-android/issues/2","show")</f>
        <v>show</v>
      </c>
      <c r="E6663" t="str">
        <f>HYPERLINK("https://github.com/HamedTaherpour/ht-epub-reader-android","show")</f>
        <v>show</v>
      </c>
      <c r="F6663" t="str">
        <f>HYPERLINK("https://github.com/HamedTaherpour/ht-epub-reader-android/releases","show")</f>
        <v>show</v>
      </c>
    </row>
    <row r="6664" spans="1:6">
      <c r="A6664" t="s">
        <v>19796</v>
      </c>
      <c r="B6664" t="s">
        <v>19797</v>
      </c>
      <c r="C6664" t="s">
        <v>19798</v>
      </c>
      <c r="D6664" t="str">
        <f>HYPERLINK("https://github.com/ankidroid/Anki-Android/issues/7721","show")</f>
        <v>show</v>
      </c>
      <c r="E6664" t="str">
        <f>HYPERLINK("https://github.com/ankidroid/Anki-Android","show")</f>
        <v>show</v>
      </c>
      <c r="F6664" t="str">
        <f>HYPERLINK("https://github.com/ankidroid/Anki-Android/releases","show")</f>
        <v>show</v>
      </c>
    </row>
    <row r="6665" spans="1:6">
      <c r="A6665" t="s">
        <v>19799</v>
      </c>
      <c r="B6665" t="s">
        <v>19800</v>
      </c>
      <c r="C6665" t="s">
        <v>19801</v>
      </c>
      <c r="D6665" t="str">
        <f>HYPERLINK("https://github.com/material-components/material-components-android/issues/1885","show")</f>
        <v>show</v>
      </c>
      <c r="E6665" t="str">
        <f>HYPERLINK("https://github.com/material-components/material-components-android","show")</f>
        <v>show</v>
      </c>
      <c r="F6665" t="str">
        <f>HYPERLINK("https://github.com/material-components/material-components-android/releases","show")</f>
        <v>show</v>
      </c>
    </row>
    <row r="6666" spans="1:6">
      <c r="A6666" t="s">
        <v>19802</v>
      </c>
      <c r="B6666" t="s">
        <v>19803</v>
      </c>
      <c r="C6666" t="s">
        <v>19804</v>
      </c>
      <c r="D6666" t="str">
        <f>HYPERLINK("https://github.com/gsantner/markor/issues/1130","show")</f>
        <v>show</v>
      </c>
      <c r="E6666" t="str">
        <f>HYPERLINK("https://github.com/gsantner/markor","show")</f>
        <v>show</v>
      </c>
      <c r="F6666" t="str">
        <f>HYPERLINK("https://github.com/gsantner/markor/releases","show")</f>
        <v>show</v>
      </c>
    </row>
    <row r="6667" spans="1:6">
      <c r="A6667" t="s">
        <v>19805</v>
      </c>
      <c r="B6667" t="s">
        <v>19806</v>
      </c>
      <c r="C6667" t="s">
        <v>19807</v>
      </c>
      <c r="D6667" t="str">
        <f>HYPERLINK("https://github.com/Anuken/Mindustry/issues/3457","show")</f>
        <v>show</v>
      </c>
      <c r="E6667" t="str">
        <f>HYPERLINK("https://github.com/Anuken/Mindustry","show")</f>
        <v>show</v>
      </c>
      <c r="F6667" t="str">
        <f>HYPERLINK("https://github.com/Anuken/Mindustry/releases","show")</f>
        <v>show</v>
      </c>
    </row>
    <row r="6668" spans="1:6">
      <c r="A6668" t="s">
        <v>19808</v>
      </c>
      <c r="B6668" t="s">
        <v>19809</v>
      </c>
      <c r="C6668" t="s">
        <v>19810</v>
      </c>
      <c r="D6668" t="str">
        <f>HYPERLINK("https://github.com/Anuken/Mindustry/issues/3455","show")</f>
        <v>show</v>
      </c>
      <c r="E6668" t="str">
        <f>HYPERLINK("https://github.com/Anuken/Mindustry","show")</f>
        <v>show</v>
      </c>
      <c r="F6668" t="str">
        <f>HYPERLINK("https://github.com/Anuken/Mindustry/releases","show")</f>
        <v>show</v>
      </c>
    </row>
    <row r="6669" spans="1:6">
      <c r="A6669" t="s">
        <v>19811</v>
      </c>
      <c r="B6669" t="s">
        <v>19812</v>
      </c>
      <c r="C6669" t="s">
        <v>19813</v>
      </c>
      <c r="D6669" t="str">
        <f>HYPERLINK("https://github.com/Anuken/Mindustry/issues/3453","show")</f>
        <v>show</v>
      </c>
      <c r="E6669" t="str">
        <f>HYPERLINK("https://github.com/Anuken/Mindustry","show")</f>
        <v>show</v>
      </c>
      <c r="F6669" t="str">
        <f>HYPERLINK("https://github.com/Anuken/Mindustry/releases","show")</f>
        <v>show</v>
      </c>
    </row>
    <row r="6670" spans="1:6">
      <c r="A6670" t="s">
        <v>19814</v>
      </c>
      <c r="B6670" t="s">
        <v>19815</v>
      </c>
      <c r="C6670" t="s">
        <v>19816</v>
      </c>
      <c r="D6670" t="str">
        <f>HYPERLINK("https://github.com/wmcmahan/react-native-calendar-events/issues/332","show")</f>
        <v>show</v>
      </c>
      <c r="E6670" t="str">
        <f>HYPERLINK("https://github.com/wmcmahan/react-native-calendar-events","show")</f>
        <v>show</v>
      </c>
      <c r="F6670" t="str">
        <f>HYPERLINK("https://github.com/wmcmahan/react-native-calendar-events/releases","show")</f>
        <v>show</v>
      </c>
    </row>
    <row r="6671" spans="1:6">
      <c r="A6671" t="s">
        <v>19817</v>
      </c>
      <c r="B6671" t="s">
        <v>19818</v>
      </c>
      <c r="C6671" t="s">
        <v>19819</v>
      </c>
      <c r="D6671" t="str">
        <f>HYPERLINK("https://github.com/TeamNewPipe/NewPipe/issues/4916","show")</f>
        <v>show</v>
      </c>
      <c r="E6671" t="str">
        <f>HYPERLINK("https://github.com/TeamNewPipe/NewPipe","show")</f>
        <v>show</v>
      </c>
      <c r="F6671" t="str">
        <f>HYPERLINK("https://github.com/TeamNewPipe/NewPipe/releases","show")</f>
        <v>show</v>
      </c>
    </row>
    <row r="6672" spans="1:6">
      <c r="A6672" t="s">
        <v>19820</v>
      </c>
      <c r="B6672" t="s">
        <v>19821</v>
      </c>
      <c r="C6672" t="s">
        <v>19822</v>
      </c>
      <c r="D6672" t="str">
        <f>HYPERLINK("https://github.com/TeamNewPipe/NewPipe/issues/4915","show")</f>
        <v>show</v>
      </c>
      <c r="E6672" t="str">
        <f>HYPERLINK("https://github.com/TeamNewPipe/NewPipe","show")</f>
        <v>show</v>
      </c>
      <c r="F6672" t="str">
        <f>HYPERLINK("https://github.com/TeamNewPipe/NewPipe/releases","show")</f>
        <v>show</v>
      </c>
    </row>
    <row r="6673" spans="1:6">
      <c r="A6673" t="s">
        <v>19823</v>
      </c>
      <c r="B6673" t="s">
        <v>107</v>
      </c>
      <c r="C6673" t="s">
        <v>19824</v>
      </c>
      <c r="D6673" t="str">
        <f>HYPERLINK("https://github.com/Anuken/Mindustry/issues/3452","show")</f>
        <v>show</v>
      </c>
      <c r="E6673" t="str">
        <f>HYPERLINK("https://github.com/Anuken/Mindustry","show")</f>
        <v>show</v>
      </c>
      <c r="F6673" t="str">
        <f>HYPERLINK("https://github.com/Anuken/Mindustry/releases","show")</f>
        <v>show</v>
      </c>
    </row>
    <row r="6674" spans="1:6">
      <c r="A6674" t="s">
        <v>19825</v>
      </c>
      <c r="B6674" t="s">
        <v>19826</v>
      </c>
      <c r="C6674" t="s">
        <v>19827</v>
      </c>
      <c r="D6674" t="str">
        <f>HYPERLINK("https://github.com/Anuken/Mindustry/issues/3450","show")</f>
        <v>show</v>
      </c>
      <c r="E6674" t="str">
        <f>HYPERLINK("https://github.com/Anuken/Mindustry","show")</f>
        <v>show</v>
      </c>
      <c r="F6674" t="str">
        <f>HYPERLINK("https://github.com/Anuken/Mindustry/releases","show")</f>
        <v>show</v>
      </c>
    </row>
    <row r="6675" spans="1:6">
      <c r="A6675" t="s">
        <v>19828</v>
      </c>
      <c r="B6675" t="s">
        <v>19829</v>
      </c>
      <c r="C6675" t="s">
        <v>19830</v>
      </c>
      <c r="D6675" t="str">
        <f>HYPERLINK("https://github.com/Anuken/Mindustry/issues/3449","show")</f>
        <v>show</v>
      </c>
      <c r="E6675" t="str">
        <f>HYPERLINK("https://github.com/Anuken/Mindustry","show")</f>
        <v>show</v>
      </c>
      <c r="F6675" t="str">
        <f>HYPERLINK("https://github.com/Anuken/Mindustry/releases","show")</f>
        <v>show</v>
      </c>
    </row>
    <row r="6676" spans="1:6">
      <c r="A6676" t="s">
        <v>19831</v>
      </c>
      <c r="B6676" t="s">
        <v>19832</v>
      </c>
      <c r="C6676" t="s">
        <v>19833</v>
      </c>
      <c r="D6676" t="str">
        <f>HYPERLINK("https://github.com/nextcloud/android/issues/7362","show")</f>
        <v>show</v>
      </c>
      <c r="E6676" t="str">
        <f>HYPERLINK("https://github.com/nextcloud/android","show")</f>
        <v>show</v>
      </c>
      <c r="F6676" t="str">
        <f>HYPERLINK("https://github.com/nextcloud/android/releases","show")</f>
        <v>show</v>
      </c>
    </row>
    <row r="6677" spans="1:6">
      <c r="A6677" t="s">
        <v>19834</v>
      </c>
      <c r="B6677" t="s">
        <v>19835</v>
      </c>
      <c r="C6677" t="s">
        <v>19836</v>
      </c>
      <c r="D6677" t="str">
        <f>HYPERLINK("https://github.com/TeamNewPipe/NewPipe/issues/4914","show")</f>
        <v>show</v>
      </c>
      <c r="E6677" t="str">
        <f>HYPERLINK("https://github.com/TeamNewPipe/NewPipe","show")</f>
        <v>show</v>
      </c>
      <c r="F6677" t="str">
        <f>HYPERLINK("https://github.com/TeamNewPipe/NewPipe/releases","show")</f>
        <v>show</v>
      </c>
    </row>
    <row r="6678" spans="1:6">
      <c r="A6678" t="s">
        <v>19837</v>
      </c>
      <c r="B6678" t="s">
        <v>19838</v>
      </c>
      <c r="C6678" t="s">
        <v>19839</v>
      </c>
      <c r="D6678" t="str">
        <f>HYPERLINK("https://github.com/Anuken/Mindustry/issues/3447","show")</f>
        <v>show</v>
      </c>
      <c r="E6678" t="str">
        <f>HYPERLINK("https://github.com/Anuken/Mindustry","show")</f>
        <v>show</v>
      </c>
      <c r="F6678" t="str">
        <f>HYPERLINK("https://github.com/Anuken/Mindustry/releases","show")</f>
        <v>show</v>
      </c>
    </row>
    <row r="6679" spans="1:6">
      <c r="A6679" t="s">
        <v>19840</v>
      </c>
      <c r="B6679" t="s">
        <v>19841</v>
      </c>
      <c r="C6679" t="s">
        <v>19842</v>
      </c>
      <c r="D6679" t="str">
        <f>HYPERLINK("https://github.com/AOF-Dev/MCinaBox/issues/693","show")</f>
        <v>show</v>
      </c>
      <c r="E6679" t="str">
        <f>HYPERLINK("https://github.com/AOF-Dev/MCinaBox","show")</f>
        <v>show</v>
      </c>
      <c r="F6679" t="str">
        <f>HYPERLINK("https://github.com/AOF-Dev/MCinaBox/releases","show")</f>
        <v>show</v>
      </c>
    </row>
    <row r="6680" spans="1:6">
      <c r="A6680" t="s">
        <v>19843</v>
      </c>
      <c r="B6680" t="s">
        <v>19844</v>
      </c>
      <c r="C6680" t="s">
        <v>19845</v>
      </c>
      <c r="D6680" t="str">
        <f>HYPERLINK("https://github.com/gsantner/markor/issues/1128","show")</f>
        <v>show</v>
      </c>
      <c r="E6680" t="str">
        <f>HYPERLINK("https://github.com/gsantner/markor","show")</f>
        <v>show</v>
      </c>
      <c r="F6680" t="str">
        <f>HYPERLINK("https://github.com/gsantner/markor/releases","show")</f>
        <v>show</v>
      </c>
    </row>
    <row r="6681" spans="1:6">
      <c r="A6681" t="s">
        <v>19846</v>
      </c>
      <c r="B6681" t="s">
        <v>19847</v>
      </c>
      <c r="C6681" t="s">
        <v>19848</v>
      </c>
      <c r="D6681" t="str">
        <f>HYPERLINK("https://github.com/Anuken/Mindustry/issues/3442","show")</f>
        <v>show</v>
      </c>
      <c r="E6681" t="str">
        <f>HYPERLINK("https://github.com/Anuken/Mindustry","show")</f>
        <v>show</v>
      </c>
      <c r="F6681" t="str">
        <f>HYPERLINK("https://github.com/Anuken/Mindustry/releases","show")</f>
        <v>show</v>
      </c>
    </row>
    <row r="6682" spans="1:6">
      <c r="A6682" t="s">
        <v>19849</v>
      </c>
      <c r="B6682" t="s">
        <v>19850</v>
      </c>
      <c r="C6682" t="s">
        <v>19851</v>
      </c>
      <c r="D6682" t="str">
        <f>HYPERLINK("https://github.com/FTCLib/FTCLib/issues/127","show")</f>
        <v>show</v>
      </c>
      <c r="E6682" t="str">
        <f>HYPERLINK("https://github.com/FTCLib/FTCLib","show")</f>
        <v>show</v>
      </c>
      <c r="F6682" t="str">
        <f>HYPERLINK("https://github.com/FTCLib/FTCLib/releases","show")</f>
        <v>show</v>
      </c>
    </row>
    <row r="6683" spans="1:6">
      <c r="A6683" t="s">
        <v>19852</v>
      </c>
      <c r="B6683" t="s">
        <v>19853</v>
      </c>
      <c r="C6683" t="s">
        <v>19854</v>
      </c>
      <c r="D6683" t="str">
        <f>HYPERLINK("https://github.com/Anuken/Mindustry/issues/3440","show")</f>
        <v>show</v>
      </c>
      <c r="E6683" t="str">
        <f>HYPERLINK("https://github.com/Anuken/Mindustry","show")</f>
        <v>show</v>
      </c>
      <c r="F6683" t="str">
        <f>HYPERLINK("https://github.com/Anuken/Mindustry/releases","show")</f>
        <v>show</v>
      </c>
    </row>
    <row r="6684" spans="1:6">
      <c r="A6684" t="s">
        <v>19855</v>
      </c>
      <c r="B6684" t="s">
        <v>19856</v>
      </c>
      <c r="C6684" t="s">
        <v>19857</v>
      </c>
      <c r="D6684" t="str">
        <f>HYPERLINK("https://github.com/TeamNewPipe/NewPipe/issues/4909","show")</f>
        <v>show</v>
      </c>
      <c r="E6684" t="str">
        <f>HYPERLINK("https://github.com/TeamNewPipe/NewPipe","show")</f>
        <v>show</v>
      </c>
      <c r="F6684" t="str">
        <f>HYPERLINK("https://github.com/TeamNewPipe/NewPipe/releases","show")</f>
        <v>show</v>
      </c>
    </row>
    <row r="6685" spans="1:6">
      <c r="A6685" t="s">
        <v>19858</v>
      </c>
      <c r="B6685" t="s">
        <v>19859</v>
      </c>
      <c r="C6685" t="s">
        <v>19860</v>
      </c>
      <c r="D6685" t="str">
        <f>HYPERLINK("https://github.com/TeamNewPipe/NewPipe/issues/4907","show")</f>
        <v>show</v>
      </c>
      <c r="E6685" t="str">
        <f>HYPERLINK("https://github.com/TeamNewPipe/NewPipe","show")</f>
        <v>show</v>
      </c>
      <c r="F6685" t="str">
        <f>HYPERLINK("https://github.com/TeamNewPipe/NewPipe/releases","show")</f>
        <v>show</v>
      </c>
    </row>
    <row r="6686" spans="1:6">
      <c r="A6686" t="s">
        <v>19861</v>
      </c>
      <c r="B6686" t="s">
        <v>19862</v>
      </c>
      <c r="C6686" t="s">
        <v>19863</v>
      </c>
      <c r="D6686" t="str">
        <f>HYPERLINK("https://github.com/AOF-Dev/MCinaBox/issues/690","show")</f>
        <v>show</v>
      </c>
      <c r="E6686" t="str">
        <f>HYPERLINK("https://github.com/AOF-Dev/MCinaBox","show")</f>
        <v>show</v>
      </c>
      <c r="F6686" t="str">
        <f>HYPERLINK("https://github.com/AOF-Dev/MCinaBox/releases","show")</f>
        <v>show</v>
      </c>
    </row>
    <row r="6687" spans="1:6">
      <c r="A6687" t="s">
        <v>19864</v>
      </c>
      <c r="B6687" t="s">
        <v>19865</v>
      </c>
      <c r="C6687" t="s">
        <v>19866</v>
      </c>
      <c r="D6687" t="str">
        <f>HYPERLINK("https://github.com/material-components/material-components-android/issues/1877","show")</f>
        <v>show</v>
      </c>
      <c r="E6687" t="str">
        <f>HYPERLINK("https://github.com/material-components/material-components-android","show")</f>
        <v>show</v>
      </c>
      <c r="F6687" t="str">
        <f>HYPERLINK("https://github.com/material-components/material-components-android/releases","show")</f>
        <v>show</v>
      </c>
    </row>
    <row r="6688" spans="1:6">
      <c r="A6688" t="s">
        <v>19867</v>
      </c>
      <c r="B6688" t="s">
        <v>19868</v>
      </c>
      <c r="C6688" t="s">
        <v>19869</v>
      </c>
      <c r="D6688" t="str">
        <f>HYPERLINK("https://github.com/Anuken/Mindustry/issues/3434","show")</f>
        <v>show</v>
      </c>
      <c r="E6688" t="str">
        <f>HYPERLINK("https://github.com/Anuken/Mindustry","show")</f>
        <v>show</v>
      </c>
      <c r="F6688" t="str">
        <f>HYPERLINK("https://github.com/Anuken/Mindustry/releases","show")</f>
        <v>show</v>
      </c>
    </row>
    <row r="6689" spans="1:6">
      <c r="A6689" t="s">
        <v>19870</v>
      </c>
      <c r="B6689" t="s">
        <v>19871</v>
      </c>
      <c r="C6689" t="s">
        <v>19872</v>
      </c>
      <c r="D6689" t="str">
        <f>HYPERLINK("https://github.com/Anuken/Mindustry/issues/3432","show")</f>
        <v>show</v>
      </c>
      <c r="E6689" t="str">
        <f>HYPERLINK("https://github.com/Anuken/Mindustry","show")</f>
        <v>show</v>
      </c>
      <c r="F6689" t="str">
        <f>HYPERLINK("https://github.com/Anuken/Mindustry/releases","show")</f>
        <v>show</v>
      </c>
    </row>
    <row r="6690" spans="1:6">
      <c r="A6690" t="s">
        <v>19873</v>
      </c>
      <c r="B6690" t="s">
        <v>19874</v>
      </c>
      <c r="C6690" t="s">
        <v>19875</v>
      </c>
      <c r="D6690" t="str">
        <f>HYPERLINK("https://github.com/Anuken/Mindustry/issues/3429","show")</f>
        <v>show</v>
      </c>
      <c r="E6690" t="str">
        <f>HYPERLINK("https://github.com/Anuken/Mindustry","show")</f>
        <v>show</v>
      </c>
      <c r="F6690" t="str">
        <f>HYPERLINK("https://github.com/Anuken/Mindustry/releases","show")</f>
        <v>show</v>
      </c>
    </row>
    <row r="6691" spans="1:6">
      <c r="A6691" t="s">
        <v>19876</v>
      </c>
      <c r="B6691" t="s">
        <v>19877</v>
      </c>
      <c r="C6691" t="s">
        <v>19878</v>
      </c>
      <c r="D6691" t="str">
        <f>HYPERLINK("https://github.com/Anuken/Mindustry/issues/3424","show")</f>
        <v>show</v>
      </c>
      <c r="E6691" t="str">
        <f>HYPERLINK("https://github.com/Anuken/Mindustry","show")</f>
        <v>show</v>
      </c>
      <c r="F6691" t="str">
        <f>HYPERLINK("https://github.com/Anuken/Mindustry/releases","show")</f>
        <v>show</v>
      </c>
    </row>
    <row r="6692" spans="1:6">
      <c r="A6692" t="s">
        <v>19879</v>
      </c>
      <c r="B6692" t="s">
        <v>19880</v>
      </c>
      <c r="C6692" t="s">
        <v>19881</v>
      </c>
      <c r="D6692" t="str">
        <f>HYPERLINK("https://github.com/Anuken/Mindustry/issues/3422","show")</f>
        <v>show</v>
      </c>
      <c r="E6692" t="str">
        <f>HYPERLINK("https://github.com/Anuken/Mindustry","show")</f>
        <v>show</v>
      </c>
      <c r="F6692" t="str">
        <f>HYPERLINK("https://github.com/Anuken/Mindustry/releases","show")</f>
        <v>show</v>
      </c>
    </row>
    <row r="6693" spans="1:6">
      <c r="A6693" t="s">
        <v>19882</v>
      </c>
      <c r="B6693" t="s">
        <v>19883</v>
      </c>
      <c r="C6693" t="s">
        <v>19884</v>
      </c>
      <c r="D6693" t="str">
        <f>HYPERLINK("https://github.com/TotalCross/totalcross/issues/202","show")</f>
        <v>show</v>
      </c>
      <c r="E6693" t="str">
        <f>HYPERLINK("https://github.com/TotalCross/totalcross","show")</f>
        <v>show</v>
      </c>
      <c r="F6693" t="str">
        <f>HYPERLINK("https://github.com/TotalCross/totalcross/releases","show")</f>
        <v>show</v>
      </c>
    </row>
    <row r="6694" spans="1:6">
      <c r="A6694" t="s">
        <v>19885</v>
      </c>
      <c r="B6694" t="s">
        <v>19886</v>
      </c>
      <c r="C6694" t="s">
        <v>19887</v>
      </c>
      <c r="D6694" t="str">
        <f>HYPERLINK("https://github.com/google/ExoPlayer/issues/8230","show")</f>
        <v>show</v>
      </c>
      <c r="E6694" t="str">
        <f>HYPERLINK("https://github.com/google/ExoPlayer","show")</f>
        <v>show</v>
      </c>
      <c r="F6694" t="str">
        <f>HYPERLINK("https://github.com/google/ExoPlayer/releases","show")</f>
        <v>show</v>
      </c>
    </row>
    <row r="6695" spans="1:6">
      <c r="A6695" t="s">
        <v>19888</v>
      </c>
      <c r="B6695" t="s">
        <v>19889</v>
      </c>
      <c r="C6695" t="s">
        <v>19890</v>
      </c>
      <c r="D6695" t="str">
        <f>HYPERLINK("https://github.com/WrichikBasu/ShakeAlarmClock/issues/20","show")</f>
        <v>show</v>
      </c>
      <c r="E6695" t="str">
        <f>HYPERLINK("https://github.com/WrichikBasu/ShakeAlarmClock","show")</f>
        <v>show</v>
      </c>
      <c r="F6695" t="str">
        <f>HYPERLINK("https://github.com/WrichikBasu/ShakeAlarmClock/releases","show")</f>
        <v>show</v>
      </c>
    </row>
    <row r="6696" spans="1:6">
      <c r="A6696" t="s">
        <v>19891</v>
      </c>
      <c r="B6696" t="s">
        <v>19892</v>
      </c>
      <c r="C6696" t="s">
        <v>19893</v>
      </c>
      <c r="D6696" t="str">
        <f>HYPERLINK("https://github.com/amplitude/Amplitude-Android/issues/256","show")</f>
        <v>show</v>
      </c>
      <c r="E6696" t="str">
        <f>HYPERLINK("https://github.com/amplitude/Amplitude-Android","show")</f>
        <v>show</v>
      </c>
      <c r="F6696" t="str">
        <f>HYPERLINK("https://github.com/amplitude/Amplitude-Android/releases","show")</f>
        <v>show</v>
      </c>
    </row>
    <row r="6697" spans="1:6">
      <c r="A6697" t="s">
        <v>19894</v>
      </c>
      <c r="B6697" t="s">
        <v>19895</v>
      </c>
      <c r="C6697" t="s">
        <v>19896</v>
      </c>
      <c r="D6697" t="str">
        <f>HYPERLINK("https://github.com/Anuken/Mindustry/issues/3417","show")</f>
        <v>show</v>
      </c>
      <c r="E6697" t="str">
        <f>HYPERLINK("https://github.com/Anuken/Mindustry","show")</f>
        <v>show</v>
      </c>
      <c r="F6697" t="str">
        <f>HYPERLINK("https://github.com/Anuken/Mindustry/releases","show")</f>
        <v>show</v>
      </c>
    </row>
    <row r="6698" spans="1:6">
      <c r="A6698" t="s">
        <v>19897</v>
      </c>
      <c r="B6698" t="s">
        <v>19898</v>
      </c>
      <c r="C6698" t="s">
        <v>19899</v>
      </c>
      <c r="D6698" t="str">
        <f>HYPERLINK("https://github.com/TeamNewPipe/NewPipe/issues/4899","show")</f>
        <v>show</v>
      </c>
      <c r="E6698" t="str">
        <f>HYPERLINK("https://github.com/TeamNewPipe/NewPipe","show")</f>
        <v>show</v>
      </c>
      <c r="F6698" t="str">
        <f>HYPERLINK("https://github.com/TeamNewPipe/NewPipe/releases","show")</f>
        <v>show</v>
      </c>
    </row>
    <row r="6699" spans="1:6">
      <c r="A6699" t="s">
        <v>19900</v>
      </c>
      <c r="B6699" t="s">
        <v>19901</v>
      </c>
      <c r="C6699" t="s">
        <v>19902</v>
      </c>
      <c r="D6699" t="str">
        <f>HYPERLINK("https://github.com/TeamNewPipe/NewPipe/issues/4894","show")</f>
        <v>show</v>
      </c>
      <c r="E6699" t="str">
        <f>HYPERLINK("https://github.com/TeamNewPipe/NewPipe","show")</f>
        <v>show</v>
      </c>
      <c r="F6699" t="str">
        <f>HYPERLINK("https://github.com/TeamNewPipe/NewPipe/releases","show")</f>
        <v>show</v>
      </c>
    </row>
    <row r="6700" spans="1:6">
      <c r="A6700" t="s">
        <v>19903</v>
      </c>
      <c r="B6700" t="s">
        <v>19904</v>
      </c>
      <c r="C6700" t="s">
        <v>19905</v>
      </c>
      <c r="D6700" t="str">
        <f>HYPERLINK("https://github.com/Anuken/Mindustry/issues/3410","show")</f>
        <v>show</v>
      </c>
      <c r="E6700" t="str">
        <f>HYPERLINK("https://github.com/Anuken/Mindustry","show")</f>
        <v>show</v>
      </c>
      <c r="F6700" t="str">
        <f>HYPERLINK("https://github.com/Anuken/Mindustry/releases","show")</f>
        <v>show</v>
      </c>
    </row>
    <row r="6701" spans="1:6">
      <c r="A6701" t="s">
        <v>19906</v>
      </c>
      <c r="B6701" t="s">
        <v>19907</v>
      </c>
      <c r="C6701" t="s">
        <v>19908</v>
      </c>
      <c r="D6701" t="str">
        <f>HYPERLINK("https://github.com/Anuken/Mindustry/issues/3405","show")</f>
        <v>show</v>
      </c>
      <c r="E6701" t="str">
        <f>HYPERLINK("https://github.com/Anuken/Mindustry","show")</f>
        <v>show</v>
      </c>
      <c r="F6701" t="str">
        <f>HYPERLINK("https://github.com/Anuken/Mindustry/releases","show")</f>
        <v>show</v>
      </c>
    </row>
    <row r="6702" spans="1:6">
      <c r="A6702" t="s">
        <v>19909</v>
      </c>
      <c r="B6702" t="s">
        <v>19910</v>
      </c>
      <c r="C6702" t="s">
        <v>19911</v>
      </c>
      <c r="D6702" t="str">
        <f>HYPERLINK("https://github.com/jellyfin/jellyfin-androidtv/issues/629","show")</f>
        <v>show</v>
      </c>
      <c r="E6702" t="str">
        <f>HYPERLINK("https://github.com/jellyfin/jellyfin-androidtv","show")</f>
        <v>show</v>
      </c>
      <c r="F6702" t="str">
        <f>HYPERLINK("https://github.com/jellyfin/jellyfin-androidtv/releases","show")</f>
        <v>show</v>
      </c>
    </row>
    <row r="6703" spans="1:6">
      <c r="A6703" t="s">
        <v>19912</v>
      </c>
      <c r="B6703" t="s">
        <v>19913</v>
      </c>
      <c r="C6703" t="s">
        <v>19914</v>
      </c>
      <c r="D6703" t="str">
        <f>HYPERLINK("https://github.com/Anuken/Mindustry/issues/3400","show")</f>
        <v>show</v>
      </c>
      <c r="E6703" t="str">
        <f>HYPERLINK("https://github.com/Anuken/Mindustry","show")</f>
        <v>show</v>
      </c>
      <c r="F6703" t="str">
        <f>HYPERLINK("https://github.com/Anuken/Mindustry/releases","show")</f>
        <v>show</v>
      </c>
    </row>
    <row r="6704" spans="1:6">
      <c r="A6704" t="s">
        <v>19915</v>
      </c>
      <c r="B6704" t="s">
        <v>19916</v>
      </c>
      <c r="C6704" t="s">
        <v>19917</v>
      </c>
      <c r="D6704" t="str">
        <f>HYPERLINK("https://github.com/Anuken/Mindustry/issues/3399","show")</f>
        <v>show</v>
      </c>
      <c r="E6704" t="str">
        <f>HYPERLINK("https://github.com/Anuken/Mindustry","show")</f>
        <v>show</v>
      </c>
      <c r="F6704" t="str">
        <f>HYPERLINK("https://github.com/Anuken/Mindustry/releases","show")</f>
        <v>show</v>
      </c>
    </row>
    <row r="6705" spans="1:6">
      <c r="A6705" t="s">
        <v>19918</v>
      </c>
      <c r="B6705" t="s">
        <v>19919</v>
      </c>
      <c r="C6705" t="s">
        <v>19920</v>
      </c>
      <c r="D6705" t="str">
        <f>HYPERLINK("https://github.com/matthewnbrown/EverSpinner/issues/8","show")</f>
        <v>show</v>
      </c>
      <c r="E6705" t="str">
        <f>HYPERLINK("https://github.com/matthewnbrown/EverSpinner","show")</f>
        <v>show</v>
      </c>
      <c r="F6705" t="str">
        <f>HYPERLINK("https://github.com/matthewnbrown/EverSpinner/releases","show")</f>
        <v>show</v>
      </c>
    </row>
    <row r="6706" spans="1:6">
      <c r="A6706" t="s">
        <v>19921</v>
      </c>
      <c r="B6706" t="s">
        <v>19922</v>
      </c>
      <c r="C6706" t="s">
        <v>19923</v>
      </c>
      <c r="D6706" t="str">
        <f>HYPERLINK("https://github.com/Anuken/Mindustry/issues/3392","show")</f>
        <v>show</v>
      </c>
      <c r="E6706" t="str">
        <f>HYPERLINK("https://github.com/Anuken/Mindustry","show")</f>
        <v>show</v>
      </c>
      <c r="F6706" t="str">
        <f>HYPERLINK("https://github.com/Anuken/Mindustry/releases","show")</f>
        <v>show</v>
      </c>
    </row>
    <row r="6707" spans="1:6">
      <c r="A6707" t="s">
        <v>19924</v>
      </c>
      <c r="B6707" t="s">
        <v>19925</v>
      </c>
      <c r="C6707" t="s">
        <v>19926</v>
      </c>
      <c r="D6707" t="str">
        <f>HYPERLINK("https://github.com/Anuken/Mindustry/issues/3391","show")</f>
        <v>show</v>
      </c>
      <c r="E6707" t="str">
        <f>HYPERLINK("https://github.com/Anuken/Mindustry","show")</f>
        <v>show</v>
      </c>
      <c r="F6707" t="str">
        <f>HYPERLINK("https://github.com/Anuken/Mindustry/releases","show")</f>
        <v>show</v>
      </c>
    </row>
    <row r="6708" spans="1:6">
      <c r="A6708" t="s">
        <v>19927</v>
      </c>
      <c r="B6708" t="s">
        <v>19928</v>
      </c>
      <c r="C6708" t="s">
        <v>19929</v>
      </c>
      <c r="D6708" t="str">
        <f>HYPERLINK("https://github.com/stefan-niedermann/nextcloud-notes/issues/988","show")</f>
        <v>show</v>
      </c>
      <c r="E6708" t="str">
        <f>HYPERLINK("https://github.com/stefan-niedermann/nextcloud-notes","show")</f>
        <v>show</v>
      </c>
      <c r="F6708" t="str">
        <f>HYPERLINK("https://github.com/stefan-niedermann/nextcloud-notes/releases","show")</f>
        <v>show</v>
      </c>
    </row>
    <row r="6709" spans="1:6">
      <c r="A6709" t="s">
        <v>19930</v>
      </c>
      <c r="B6709" t="s">
        <v>19931</v>
      </c>
      <c r="C6709" t="s">
        <v>19932</v>
      </c>
      <c r="D6709" t="str">
        <f>HYPERLINK("https://github.com/Anuken/Mindustry/issues/3389","show")</f>
        <v>show</v>
      </c>
      <c r="E6709" t="str">
        <f>HYPERLINK("https://github.com/Anuken/Mindustry","show")</f>
        <v>show</v>
      </c>
      <c r="F6709" t="str">
        <f>HYPERLINK("https://github.com/Anuken/Mindustry/releases","show")</f>
        <v>show</v>
      </c>
    </row>
    <row r="6710" spans="1:6">
      <c r="A6710" t="s">
        <v>19933</v>
      </c>
      <c r="B6710" t="s">
        <v>19934</v>
      </c>
      <c r="C6710" t="s">
        <v>19935</v>
      </c>
      <c r="D6710" t="str">
        <f>HYPERLINK("https://github.com/Anuken/Mindustry/issues/3385","show")</f>
        <v>show</v>
      </c>
      <c r="E6710" t="str">
        <f>HYPERLINK("https://github.com/Anuken/Mindustry","show")</f>
        <v>show</v>
      </c>
      <c r="F6710" t="str">
        <f>HYPERLINK("https://github.com/Anuken/Mindustry/releases","show")</f>
        <v>show</v>
      </c>
    </row>
    <row r="6711" spans="1:6">
      <c r="A6711" t="s">
        <v>19936</v>
      </c>
      <c r="B6711" t="s">
        <v>19937</v>
      </c>
      <c r="C6711" t="s">
        <v>19938</v>
      </c>
      <c r="D6711" t="str">
        <f>HYPERLINK("https://github.com/inaturalist/iNaturalistAndroid/issues/936","show")</f>
        <v>show</v>
      </c>
      <c r="E6711" t="str">
        <f>HYPERLINK("https://github.com/inaturalist/iNaturalistAndroid","show")</f>
        <v>show</v>
      </c>
      <c r="F6711" t="str">
        <f>HYPERLINK("https://github.com/inaturalist/iNaturalistAndroid/releases","show")</f>
        <v>show</v>
      </c>
    </row>
    <row r="6712" spans="1:6">
      <c r="A6712" t="s">
        <v>19939</v>
      </c>
      <c r="B6712" t="s">
        <v>19940</v>
      </c>
      <c r="C6712" t="s">
        <v>19941</v>
      </c>
      <c r="D6712" t="str">
        <f>HYPERLINK("https://github.com/inaturalist/iNaturalistAndroid/issues/935","show")</f>
        <v>show</v>
      </c>
      <c r="E6712" t="str">
        <f>HYPERLINK("https://github.com/inaturalist/iNaturalistAndroid","show")</f>
        <v>show</v>
      </c>
      <c r="F6712" t="str">
        <f>HYPERLINK("https://github.com/inaturalist/iNaturalistAndroid/releases","show")</f>
        <v>show</v>
      </c>
    </row>
    <row r="6713" spans="1:6">
      <c r="A6713" t="s">
        <v>19942</v>
      </c>
      <c r="B6713" t="s">
        <v>19943</v>
      </c>
      <c r="C6713" t="s">
        <v>19944</v>
      </c>
      <c r="D6713" t="str">
        <f>HYPERLINK("https://github.com/Anuken/Mindustry/issues/3380","show")</f>
        <v>show</v>
      </c>
      <c r="E6713" t="str">
        <f>HYPERLINK("https://github.com/Anuken/Mindustry","show")</f>
        <v>show</v>
      </c>
      <c r="F6713" t="str">
        <f>HYPERLINK("https://github.com/Anuken/Mindustry/releases","show")</f>
        <v>show</v>
      </c>
    </row>
    <row r="6714" spans="1:6">
      <c r="A6714" t="s">
        <v>19945</v>
      </c>
      <c r="B6714" t="s">
        <v>19946</v>
      </c>
      <c r="C6714" t="s">
        <v>19947</v>
      </c>
      <c r="D6714" t="str">
        <f>HYPERLINK("https://github.com/Anuken/Mindustry/issues/3378","show")</f>
        <v>show</v>
      </c>
      <c r="E6714" t="str">
        <f>HYPERLINK("https://github.com/Anuken/Mindustry","show")</f>
        <v>show</v>
      </c>
      <c r="F6714" t="str">
        <f>HYPERLINK("https://github.com/Anuken/Mindustry/releases","show")</f>
        <v>show</v>
      </c>
    </row>
    <row r="6715" spans="1:6">
      <c r="A6715" t="s">
        <v>19948</v>
      </c>
      <c r="B6715" t="s">
        <v>19949</v>
      </c>
      <c r="C6715" t="s">
        <v>19950</v>
      </c>
      <c r="D6715" t="str">
        <f>HYPERLINK("https://github.com/TeamNewPipe/NewPipe/issues/4878","show")</f>
        <v>show</v>
      </c>
      <c r="E6715" t="str">
        <f>HYPERLINK("https://github.com/TeamNewPipe/NewPipe","show")</f>
        <v>show</v>
      </c>
      <c r="F6715" t="str">
        <f>HYPERLINK("https://github.com/TeamNewPipe/NewPipe/releases","show")</f>
        <v>show</v>
      </c>
    </row>
    <row r="6716" spans="1:6">
      <c r="A6716" t="s">
        <v>19951</v>
      </c>
      <c r="B6716" t="s">
        <v>19952</v>
      </c>
      <c r="C6716" t="s">
        <v>19953</v>
      </c>
      <c r="D6716" t="str">
        <f>HYPERLINK("https://github.com/microsoft/appcenter-sdk-android/issues/1477","show")</f>
        <v>show</v>
      </c>
      <c r="E6716" t="str">
        <f>HYPERLINK("https://github.com/microsoft/appcenter-sdk-android","show")</f>
        <v>show</v>
      </c>
      <c r="F6716" t="str">
        <f>HYPERLINK("https://github.com/microsoft/appcenter-sdk-android/releases","show")</f>
        <v>show</v>
      </c>
    </row>
    <row r="6717" spans="1:6">
      <c r="A6717" t="s">
        <v>19954</v>
      </c>
      <c r="B6717" t="s">
        <v>19955</v>
      </c>
      <c r="C6717" t="s">
        <v>19956</v>
      </c>
      <c r="D6717" t="str">
        <f>HYPERLINK("https://github.com/nextcloud/android/issues/7317","show")</f>
        <v>show</v>
      </c>
      <c r="E6717" t="str">
        <f>HYPERLINK("https://github.com/nextcloud/android","show")</f>
        <v>show</v>
      </c>
      <c r="F6717" t="str">
        <f>HYPERLINK("https://github.com/nextcloud/android/releases","show")</f>
        <v>show</v>
      </c>
    </row>
    <row r="6718" spans="1:6">
      <c r="A6718" t="s">
        <v>19957</v>
      </c>
      <c r="B6718" t="s">
        <v>19958</v>
      </c>
      <c r="C6718" t="s">
        <v>19959</v>
      </c>
      <c r="D6718" t="str">
        <f>HYPERLINK("https://github.com/TeamNewPipe/NewPipe/issues/4875","show")</f>
        <v>show</v>
      </c>
      <c r="E6718" t="str">
        <f>HYPERLINK("https://github.com/TeamNewPipe/NewPipe","show")</f>
        <v>show</v>
      </c>
      <c r="F6718" t="str">
        <f>HYPERLINK("https://github.com/TeamNewPipe/NewPipe/releases","show")</f>
        <v>show</v>
      </c>
    </row>
    <row r="6719" spans="1:6">
      <c r="A6719" t="s">
        <v>19960</v>
      </c>
      <c r="B6719" t="s">
        <v>19961</v>
      </c>
      <c r="C6719" t="s">
        <v>19962</v>
      </c>
      <c r="D6719" t="str">
        <f>HYPERLINK("https://github.com/Azure/azure-iot-sdk-java/issues/991","show")</f>
        <v>show</v>
      </c>
      <c r="E6719" t="str">
        <f>HYPERLINK("https://github.com/Azure/azure-iot-sdk-java","show")</f>
        <v>show</v>
      </c>
      <c r="F6719" t="str">
        <f>HYPERLINK("https://github.com/Azure/azure-iot-sdk-java/releases","show")</f>
        <v>show</v>
      </c>
    </row>
    <row r="6720" spans="1:6">
      <c r="A6720" t="s">
        <v>19963</v>
      </c>
      <c r="B6720" t="s">
        <v>19964</v>
      </c>
      <c r="C6720" t="s">
        <v>19965</v>
      </c>
      <c r="D6720" t="str">
        <f>HYPERLINK("https://github.com/SkyTubeTeam/SkyTube/issues/833","show")</f>
        <v>show</v>
      </c>
      <c r="E6720" t="str">
        <f>HYPERLINK("https://github.com/SkyTubeTeam/SkyTube","show")</f>
        <v>show</v>
      </c>
      <c r="F6720" t="str">
        <f>HYPERLINK("https://github.com/SkyTubeTeam/SkyTube/releases","show")</f>
        <v>show</v>
      </c>
    </row>
    <row r="6721" spans="1:6">
      <c r="A6721" t="s">
        <v>19966</v>
      </c>
      <c r="B6721" t="s">
        <v>19967</v>
      </c>
      <c r="C6721" t="s">
        <v>19968</v>
      </c>
      <c r="D6721" t="str">
        <f>HYPERLINK("https://github.com/TeamNewPipe/NewPipe/issues/4874","show")</f>
        <v>show</v>
      </c>
      <c r="E6721" t="str">
        <f>HYPERLINK("https://github.com/TeamNewPipe/NewPipe","show")</f>
        <v>show</v>
      </c>
      <c r="F6721" t="str">
        <f>HYPERLINK("https://github.com/TeamNewPipe/NewPipe/releases","show")</f>
        <v>show</v>
      </c>
    </row>
    <row r="6722" spans="1:6">
      <c r="A6722" t="s">
        <v>19969</v>
      </c>
      <c r="B6722" t="s">
        <v>19970</v>
      </c>
      <c r="C6722" t="s">
        <v>19971</v>
      </c>
      <c r="D6722" t="str">
        <f>HYPERLINK("https://github.com/Anuken/Mindustry/issues/3375","show")</f>
        <v>show</v>
      </c>
      <c r="E6722" t="str">
        <f>HYPERLINK("https://github.com/Anuken/Mindustry","show")</f>
        <v>show</v>
      </c>
      <c r="F6722" t="str">
        <f>HYPERLINK("https://github.com/Anuken/Mindustry/releases","show")</f>
        <v>show</v>
      </c>
    </row>
    <row r="6723" spans="1:6">
      <c r="A6723" t="s">
        <v>19972</v>
      </c>
      <c r="B6723" t="s">
        <v>19958</v>
      </c>
      <c r="C6723" t="s">
        <v>19973</v>
      </c>
      <c r="D6723" t="str">
        <f>HYPERLINK("https://github.com/TeamNewPipe/NewPipe/issues/4873","show")</f>
        <v>show</v>
      </c>
      <c r="E6723" t="str">
        <f>HYPERLINK("https://github.com/TeamNewPipe/NewPipe","show")</f>
        <v>show</v>
      </c>
      <c r="F6723" t="str">
        <f>HYPERLINK("https://github.com/TeamNewPipe/NewPipe/releases","show")</f>
        <v>show</v>
      </c>
    </row>
    <row r="6724" spans="1:6">
      <c r="A6724" t="s">
        <v>19974</v>
      </c>
      <c r="B6724" t="s">
        <v>19975</v>
      </c>
      <c r="C6724" t="s">
        <v>19976</v>
      </c>
      <c r="D6724" t="str">
        <f>HYPERLINK("https://github.com/opensrp/opensrp-client-chw/issues/1536","show")</f>
        <v>show</v>
      </c>
      <c r="E6724" t="str">
        <f>HYPERLINK("https://github.com/opensrp/opensrp-client-chw","show")</f>
        <v>show</v>
      </c>
      <c r="F6724" t="str">
        <f>HYPERLINK("https://github.com/opensrp/opensrp-client-chw/releases","show")</f>
        <v>show</v>
      </c>
    </row>
    <row r="6725" spans="1:6">
      <c r="A6725" t="s">
        <v>19977</v>
      </c>
      <c r="B6725" t="s">
        <v>19978</v>
      </c>
      <c r="C6725" t="s">
        <v>19979</v>
      </c>
      <c r="D6725" t="str">
        <f>HYPERLINK("https://github.com/Anuken/Mindustry/issues/3370","show")</f>
        <v>show</v>
      </c>
      <c r="E6725" t="str">
        <f>HYPERLINK("https://github.com/Anuken/Mindustry","show")</f>
        <v>show</v>
      </c>
      <c r="F6725" t="str">
        <f>HYPERLINK("https://github.com/Anuken/Mindustry/releases","show")</f>
        <v>show</v>
      </c>
    </row>
    <row r="6726" spans="1:6">
      <c r="A6726" t="s">
        <v>19980</v>
      </c>
      <c r="B6726" t="s">
        <v>19981</v>
      </c>
      <c r="C6726" t="s">
        <v>19982</v>
      </c>
      <c r="D6726" t="str">
        <f>HYPERLINK("https://github.com/Anuken/Mindustry/issues/3369","show")</f>
        <v>show</v>
      </c>
      <c r="E6726" t="str">
        <f>HYPERLINK("https://github.com/Anuken/Mindustry","show")</f>
        <v>show</v>
      </c>
      <c r="F6726" t="str">
        <f>HYPERLINK("https://github.com/Anuken/Mindustry/releases","show")</f>
        <v>show</v>
      </c>
    </row>
    <row r="6727" spans="1:6">
      <c r="A6727" t="s">
        <v>19983</v>
      </c>
      <c r="B6727" t="s">
        <v>19984</v>
      </c>
      <c r="C6727" t="s">
        <v>19985</v>
      </c>
      <c r="D6727" t="str">
        <f>HYPERLINK("https://github.com/Anuken/Mindustry/issues/3366","show")</f>
        <v>show</v>
      </c>
      <c r="E6727" t="str">
        <f>HYPERLINK("https://github.com/Anuken/Mindustry","show")</f>
        <v>show</v>
      </c>
      <c r="F6727" t="str">
        <f>HYPERLINK("https://github.com/Anuken/Mindustry/releases","show")</f>
        <v>show</v>
      </c>
    </row>
    <row r="6728" spans="1:6">
      <c r="A6728" t="s">
        <v>19986</v>
      </c>
      <c r="B6728" t="s">
        <v>19987</v>
      </c>
      <c r="C6728" t="s">
        <v>19988</v>
      </c>
      <c r="D6728" t="str">
        <f>HYPERLINK("https://github.com/Anuken/Mindustry/issues/3364","show")</f>
        <v>show</v>
      </c>
      <c r="E6728" t="str">
        <f>HYPERLINK("https://github.com/Anuken/Mindustry","show")</f>
        <v>show</v>
      </c>
      <c r="F6728" t="str">
        <f>HYPERLINK("https://github.com/Anuken/Mindustry/releases","show")</f>
        <v>show</v>
      </c>
    </row>
    <row r="6729" spans="1:6">
      <c r="A6729" t="s">
        <v>19989</v>
      </c>
      <c r="B6729" t="s">
        <v>19990</v>
      </c>
      <c r="C6729" t="s">
        <v>19991</v>
      </c>
      <c r="D6729" t="str">
        <f>HYPERLINK("https://github.com/AOF-Dev/MCinaBox/issues/670","show")</f>
        <v>show</v>
      </c>
      <c r="E6729" t="str">
        <f>HYPERLINK("https://github.com/AOF-Dev/MCinaBox","show")</f>
        <v>show</v>
      </c>
      <c r="F6729" t="str">
        <f>HYPERLINK("https://github.com/AOF-Dev/MCinaBox/releases","show")</f>
        <v>show</v>
      </c>
    </row>
    <row r="6730" spans="1:6">
      <c r="A6730" t="s">
        <v>19992</v>
      </c>
      <c r="B6730" t="s">
        <v>19993</v>
      </c>
      <c r="C6730" t="s">
        <v>19994</v>
      </c>
      <c r="D6730" t="str">
        <f>HYPERLINK("https://github.com/Anuken/Mindustry/issues/3358","show")</f>
        <v>show</v>
      </c>
      <c r="E6730" t="str">
        <f>HYPERLINK("https://github.com/Anuken/Mindustry","show")</f>
        <v>show</v>
      </c>
      <c r="F6730" t="str">
        <f>HYPERLINK("https://github.com/Anuken/Mindustry/releases","show")</f>
        <v>show</v>
      </c>
    </row>
    <row r="6731" spans="1:6">
      <c r="A6731" t="s">
        <v>19995</v>
      </c>
      <c r="B6731" t="s">
        <v>19996</v>
      </c>
      <c r="C6731" t="s">
        <v>19997</v>
      </c>
      <c r="D6731" t="str">
        <f>HYPERLINK("https://github.com/TeamNewPipe/NewPipe/issues/4865","show")</f>
        <v>show</v>
      </c>
      <c r="E6731" t="str">
        <f>HYPERLINK("https://github.com/TeamNewPipe/NewPipe","show")</f>
        <v>show</v>
      </c>
      <c r="F6731" t="str">
        <f>HYPERLINK("https://github.com/TeamNewPipe/NewPipe/releases","show")</f>
        <v>show</v>
      </c>
    </row>
    <row r="6732" spans="1:6">
      <c r="A6732" t="s">
        <v>19998</v>
      </c>
      <c r="B6732" t="s">
        <v>19999</v>
      </c>
      <c r="C6732" t="s">
        <v>20000</v>
      </c>
      <c r="D6732" t="str">
        <f>HYPERLINK("https://github.com/TeamNewPipe/NewPipe/issues/4864","show")</f>
        <v>show</v>
      </c>
      <c r="E6732" t="str">
        <f>HYPERLINK("https://github.com/TeamNewPipe/NewPipe","show")</f>
        <v>show</v>
      </c>
      <c r="F6732" t="str">
        <f>HYPERLINK("https://github.com/TeamNewPipe/NewPipe/releases","show")</f>
        <v>show</v>
      </c>
    </row>
    <row r="6733" spans="1:6">
      <c r="A6733" t="s">
        <v>20001</v>
      </c>
      <c r="B6733" t="s">
        <v>20002</v>
      </c>
      <c r="C6733" t="s">
        <v>20003</v>
      </c>
      <c r="D6733" t="str">
        <f>HYPERLINK("https://github.com/Anuken/Mindustry/issues/3356","show")</f>
        <v>show</v>
      </c>
      <c r="E6733" t="str">
        <f>HYPERLINK("https://github.com/Anuken/Mindustry","show")</f>
        <v>show</v>
      </c>
      <c r="F6733" t="str">
        <f>HYPERLINK("https://github.com/Anuken/Mindustry/releases","show")</f>
        <v>show</v>
      </c>
    </row>
    <row r="6734" spans="1:6">
      <c r="A6734" t="s">
        <v>20004</v>
      </c>
      <c r="B6734" t="s">
        <v>20005</v>
      </c>
      <c r="C6734" t="s">
        <v>20006</v>
      </c>
      <c r="D6734" t="str">
        <f>HYPERLINK("https://github.com/TeamNewPipe/NewPipe/issues/4862","show")</f>
        <v>show</v>
      </c>
      <c r="E6734" t="str">
        <f>HYPERLINK("https://github.com/TeamNewPipe/NewPipe","show")</f>
        <v>show</v>
      </c>
      <c r="F6734" t="str">
        <f>HYPERLINK("https://github.com/TeamNewPipe/NewPipe/releases","show")</f>
        <v>show</v>
      </c>
    </row>
    <row r="6735" spans="1:6">
      <c r="A6735" t="s">
        <v>20007</v>
      </c>
      <c r="B6735" t="s">
        <v>20008</v>
      </c>
      <c r="C6735" t="s">
        <v>20009</v>
      </c>
      <c r="D6735" t="str">
        <f>HYPERLINK("https://github.com/Anuken/Mindustry/issues/3348","show")</f>
        <v>show</v>
      </c>
      <c r="E6735" t="str">
        <f>HYPERLINK("https://github.com/Anuken/Mindustry","show")</f>
        <v>show</v>
      </c>
      <c r="F6735" t="str">
        <f>HYPERLINK("https://github.com/Anuken/Mindustry/releases","show")</f>
        <v>show</v>
      </c>
    </row>
    <row r="6736" spans="1:6">
      <c r="A6736" t="s">
        <v>20010</v>
      </c>
      <c r="B6736" t="s">
        <v>20011</v>
      </c>
      <c r="C6736" t="s">
        <v>20012</v>
      </c>
      <c r="D6736" t="str">
        <f>HYPERLINK("https://github.com/Anuken/Mindustry/issues/3347","show")</f>
        <v>show</v>
      </c>
      <c r="E6736" t="str">
        <f>HYPERLINK("https://github.com/Anuken/Mindustry","show")</f>
        <v>show</v>
      </c>
      <c r="F6736" t="str">
        <f>HYPERLINK("https://github.com/Anuken/Mindustry/releases","show")</f>
        <v>show</v>
      </c>
    </row>
    <row r="6737" spans="1:6">
      <c r="A6737" t="s">
        <v>20013</v>
      </c>
      <c r="B6737" t="s">
        <v>20014</v>
      </c>
      <c r="C6737" t="s">
        <v>20015</v>
      </c>
      <c r="D6737" t="str">
        <f>HYPERLINK("https://github.com/Anuken/Mindustry/issues/3346","show")</f>
        <v>show</v>
      </c>
      <c r="E6737" t="str">
        <f>HYPERLINK("https://github.com/Anuken/Mindustry","show")</f>
        <v>show</v>
      </c>
      <c r="F6737" t="str">
        <f>HYPERLINK("https://github.com/Anuken/Mindustry/releases","show")</f>
        <v>show</v>
      </c>
    </row>
    <row r="6738" spans="1:6">
      <c r="A6738" t="s">
        <v>20016</v>
      </c>
      <c r="B6738" t="s">
        <v>20017</v>
      </c>
      <c r="C6738" t="s">
        <v>20018</v>
      </c>
      <c r="D6738" t="str">
        <f>HYPERLINK("https://github.com/nextcloud/android/issues/7301","show")</f>
        <v>show</v>
      </c>
      <c r="E6738" t="str">
        <f>HYPERLINK("https://github.com/nextcloud/android","show")</f>
        <v>show</v>
      </c>
      <c r="F6738" t="str">
        <f>HYPERLINK("https://github.com/nextcloud/android/releases","show")</f>
        <v>show</v>
      </c>
    </row>
    <row r="6739" spans="1:6">
      <c r="A6739" t="s">
        <v>20019</v>
      </c>
      <c r="B6739" t="s">
        <v>20020</v>
      </c>
      <c r="C6739" t="s">
        <v>20021</v>
      </c>
      <c r="D6739" t="str">
        <f>HYPERLINK("https://github.com/TeamNewPipe/NewPipe/issues/4860","show")</f>
        <v>show</v>
      </c>
      <c r="E6739" t="str">
        <f>HYPERLINK("https://github.com/TeamNewPipe/NewPipe","show")</f>
        <v>show</v>
      </c>
      <c r="F6739" t="str">
        <f>HYPERLINK("https://github.com/TeamNewPipe/NewPipe/releases","show")</f>
        <v>show</v>
      </c>
    </row>
    <row r="6740" spans="1:6">
      <c r="A6740" t="s">
        <v>20022</v>
      </c>
      <c r="B6740" t="s">
        <v>20023</v>
      </c>
      <c r="C6740" t="s">
        <v>20024</v>
      </c>
      <c r="D6740" t="str">
        <f>HYPERLINK("https://github.com/Anuken/Mindustry/issues/3341","show")</f>
        <v>show</v>
      </c>
      <c r="E6740" t="str">
        <f>HYPERLINK("https://github.com/Anuken/Mindustry","show")</f>
        <v>show</v>
      </c>
      <c r="F6740" t="str">
        <f>HYPERLINK("https://github.com/Anuken/Mindustry/releases","show")</f>
        <v>show</v>
      </c>
    </row>
    <row r="6741" spans="1:6">
      <c r="A6741" t="s">
        <v>20025</v>
      </c>
      <c r="B6741" t="s">
        <v>20026</v>
      </c>
      <c r="C6741" t="s">
        <v>20027</v>
      </c>
      <c r="D6741" t="str">
        <f>HYPERLINK("https://github.com/Anuken/Mindustry/issues/3340","show")</f>
        <v>show</v>
      </c>
      <c r="E6741" t="str">
        <f>HYPERLINK("https://github.com/Anuken/Mindustry","show")</f>
        <v>show</v>
      </c>
      <c r="F6741" t="str">
        <f>HYPERLINK("https://github.com/Anuken/Mindustry/releases","show")</f>
        <v>show</v>
      </c>
    </row>
    <row r="6742" spans="1:6">
      <c r="A6742" t="s">
        <v>20028</v>
      </c>
      <c r="B6742" t="s">
        <v>20029</v>
      </c>
      <c r="C6742" t="s">
        <v>20030</v>
      </c>
      <c r="D6742" t="str">
        <f>HYPERLINK("https://github.com/Anuken/Mindustry/issues/3338","show")</f>
        <v>show</v>
      </c>
      <c r="E6742" t="str">
        <f>HYPERLINK("https://github.com/Anuken/Mindustry","show")</f>
        <v>show</v>
      </c>
      <c r="F6742" t="str">
        <f>HYPERLINK("https://github.com/Anuken/Mindustry/releases","show")</f>
        <v>show</v>
      </c>
    </row>
    <row r="6743" spans="1:6">
      <c r="A6743" t="s">
        <v>20031</v>
      </c>
      <c r="B6743" t="s">
        <v>20032</v>
      </c>
      <c r="C6743" t="s">
        <v>20033</v>
      </c>
      <c r="D6743" t="str">
        <f>HYPERLINK("https://github.com/nextcloud/android/issues/7297","show")</f>
        <v>show</v>
      </c>
      <c r="E6743" t="str">
        <f>HYPERLINK("https://github.com/nextcloud/android","show")</f>
        <v>show</v>
      </c>
      <c r="F6743" t="str">
        <f>HYPERLINK("https://github.com/nextcloud/android/releases","show")</f>
        <v>show</v>
      </c>
    </row>
    <row r="6744" spans="1:6">
      <c r="A6744" t="s">
        <v>20034</v>
      </c>
      <c r="B6744" t="s">
        <v>20035</v>
      </c>
      <c r="C6744" t="s">
        <v>20036</v>
      </c>
      <c r="D6744" t="str">
        <f>HYPERLINK("https://github.com/TeamNewPipe/NewPipe/issues/4857","show")</f>
        <v>show</v>
      </c>
      <c r="E6744" t="str">
        <f>HYPERLINK("https://github.com/TeamNewPipe/NewPipe","show")</f>
        <v>show</v>
      </c>
      <c r="F6744" t="str">
        <f>HYPERLINK("https://github.com/TeamNewPipe/NewPipe/releases","show")</f>
        <v>show</v>
      </c>
    </row>
    <row r="6745" spans="1:6">
      <c r="A6745" t="s">
        <v>20037</v>
      </c>
      <c r="B6745" t="s">
        <v>20038</v>
      </c>
      <c r="C6745" t="s">
        <v>20039</v>
      </c>
      <c r="D6745" t="str">
        <f>HYPERLINK("https://github.com/nextcloud/android/issues/7293","show")</f>
        <v>show</v>
      </c>
      <c r="E6745" t="str">
        <f>HYPERLINK("https://github.com/nextcloud/android","show")</f>
        <v>show</v>
      </c>
      <c r="F6745" t="str">
        <f>HYPERLINK("https://github.com/nextcloud/android/releases","show")</f>
        <v>show</v>
      </c>
    </row>
    <row r="6746" spans="1:6">
      <c r="A6746" t="s">
        <v>20040</v>
      </c>
      <c r="B6746" t="s">
        <v>20041</v>
      </c>
      <c r="C6746" t="s">
        <v>20042</v>
      </c>
      <c r="D6746" t="str">
        <f>HYPERLINK("https://github.com/stefan-niedermann/nextcloud-notes/issues/985","show")</f>
        <v>show</v>
      </c>
      <c r="E6746" t="str">
        <f>HYPERLINK("https://github.com/stefan-niedermann/nextcloud-notes","show")</f>
        <v>show</v>
      </c>
      <c r="F6746" t="str">
        <f>HYPERLINK("https://github.com/stefan-niedermann/nextcloud-notes/releases","show")</f>
        <v>show</v>
      </c>
    </row>
    <row r="6747" spans="1:6">
      <c r="A6747" t="s">
        <v>20043</v>
      </c>
      <c r="B6747" t="s">
        <v>20044</v>
      </c>
      <c r="C6747" t="s">
        <v>20045</v>
      </c>
      <c r="D6747" t="str">
        <f>HYPERLINK("https://github.com/OpenSageTV/sagetv-miniclient/issues/97","show")</f>
        <v>show</v>
      </c>
      <c r="E6747" t="str">
        <f>HYPERLINK("https://github.com/OpenSageTV/sagetv-miniclient","show")</f>
        <v>show</v>
      </c>
      <c r="F6747" t="str">
        <f>HYPERLINK("https://github.com/OpenSageTV/sagetv-miniclient/releases","show")</f>
        <v>show</v>
      </c>
    </row>
    <row r="6748" spans="1:6">
      <c r="A6748" t="s">
        <v>20046</v>
      </c>
      <c r="B6748" t="s">
        <v>20047</v>
      </c>
      <c r="C6748" t="s">
        <v>20048</v>
      </c>
      <c r="D6748" t="str">
        <f>HYPERLINK("https://github.com/nextcloud/android/issues/7291","show")</f>
        <v>show</v>
      </c>
      <c r="E6748" t="str">
        <f>HYPERLINK("https://github.com/nextcloud/android","show")</f>
        <v>show</v>
      </c>
      <c r="F6748" t="str">
        <f>HYPERLINK("https://github.com/nextcloud/android/releases","show")</f>
        <v>show</v>
      </c>
    </row>
    <row r="6749" spans="1:6">
      <c r="A6749" t="s">
        <v>20049</v>
      </c>
      <c r="B6749" t="s">
        <v>20050</v>
      </c>
      <c r="C6749" t="s">
        <v>20051</v>
      </c>
      <c r="D6749" t="str">
        <f>HYPERLINK("https://github.com/TotalCross/totalcross/issues/197","show")</f>
        <v>show</v>
      </c>
      <c r="E6749" t="str">
        <f>HYPERLINK("https://github.com/TotalCross/totalcross","show")</f>
        <v>show</v>
      </c>
      <c r="F6749" t="str">
        <f>HYPERLINK("https://github.com/TotalCross/totalcross/releases","show")</f>
        <v>show</v>
      </c>
    </row>
    <row r="6750" spans="1:6">
      <c r="A6750" t="s">
        <v>20052</v>
      </c>
      <c r="B6750" t="s">
        <v>20053</v>
      </c>
      <c r="C6750" t="s">
        <v>20054</v>
      </c>
      <c r="D6750" t="str">
        <f>HYPERLINK("https://github.com/Anuken/Mindustry/issues/3327","show")</f>
        <v>show</v>
      </c>
      <c r="E6750" t="str">
        <f>HYPERLINK("https://github.com/Anuken/Mindustry","show")</f>
        <v>show</v>
      </c>
      <c r="F6750" t="str">
        <f>HYPERLINK("https://github.com/Anuken/Mindustry/releases","show")</f>
        <v>show</v>
      </c>
    </row>
    <row r="6751" spans="1:6">
      <c r="A6751" t="s">
        <v>20055</v>
      </c>
      <c r="B6751" t="s">
        <v>20056</v>
      </c>
      <c r="C6751" t="s">
        <v>20057</v>
      </c>
      <c r="D6751" t="str">
        <f>HYPERLINK("https://github.com/AOF-Dev/MCinaBox/issues/665","show")</f>
        <v>show</v>
      </c>
      <c r="E6751" t="str">
        <f>HYPERLINK("https://github.com/AOF-Dev/MCinaBox","show")</f>
        <v>show</v>
      </c>
      <c r="F6751" t="str">
        <f>HYPERLINK("https://github.com/AOF-Dev/MCinaBox/releases","show")</f>
        <v>show</v>
      </c>
    </row>
    <row r="6752" spans="1:6">
      <c r="A6752" t="s">
        <v>20058</v>
      </c>
      <c r="B6752" t="s">
        <v>20059</v>
      </c>
      <c r="C6752" t="s">
        <v>20060</v>
      </c>
      <c r="D6752" t="str">
        <f>HYPERLINK("https://github.com/nextcloud/android/issues/7288","show")</f>
        <v>show</v>
      </c>
      <c r="E6752" t="str">
        <f>HYPERLINK("https://github.com/nextcloud/android","show")</f>
        <v>show</v>
      </c>
      <c r="F6752" t="str">
        <f>HYPERLINK("https://github.com/nextcloud/android/releases","show")</f>
        <v>show</v>
      </c>
    </row>
    <row r="6753" spans="1:6">
      <c r="A6753" t="s">
        <v>20061</v>
      </c>
      <c r="B6753" t="s">
        <v>20062</v>
      </c>
      <c r="C6753" t="s">
        <v>20063</v>
      </c>
      <c r="D6753" t="str">
        <f>HYPERLINK("https://github.com/Anuken/Mindustry/issues/3325","show")</f>
        <v>show</v>
      </c>
      <c r="E6753" t="str">
        <f>HYPERLINK("https://github.com/Anuken/Mindustry","show")</f>
        <v>show</v>
      </c>
      <c r="F6753" t="str">
        <f>HYPERLINK("https://github.com/Anuken/Mindustry/releases","show")</f>
        <v>show</v>
      </c>
    </row>
    <row r="6754" spans="1:6">
      <c r="A6754" t="s">
        <v>20064</v>
      </c>
      <c r="B6754" t="s">
        <v>20065</v>
      </c>
      <c r="C6754" t="s">
        <v>20066</v>
      </c>
      <c r="D6754" t="str">
        <f>HYPERLINK("https://github.com/Anuken/Mindustry/issues/3324","show")</f>
        <v>show</v>
      </c>
      <c r="E6754" t="str">
        <f>HYPERLINK("https://github.com/Anuken/Mindustry","show")</f>
        <v>show</v>
      </c>
      <c r="F6754" t="str">
        <f>HYPERLINK("https://github.com/Anuken/Mindustry/releases","show")</f>
        <v>show</v>
      </c>
    </row>
    <row r="6755" spans="1:6">
      <c r="A6755" t="s">
        <v>20067</v>
      </c>
      <c r="B6755" t="s">
        <v>20068</v>
      </c>
      <c r="C6755" t="s">
        <v>20069</v>
      </c>
      <c r="D6755" t="str">
        <f>HYPERLINK("https://github.com/TeamNewPipe/NewPipe/issues/4850","show")</f>
        <v>show</v>
      </c>
      <c r="E6755" t="str">
        <f>HYPERLINK("https://github.com/TeamNewPipe/NewPipe","show")</f>
        <v>show</v>
      </c>
      <c r="F6755" t="str">
        <f>HYPERLINK("https://github.com/TeamNewPipe/NewPipe/releases","show")</f>
        <v>show</v>
      </c>
    </row>
    <row r="6756" spans="1:6">
      <c r="A6756" t="s">
        <v>20070</v>
      </c>
      <c r="B6756" t="s">
        <v>20071</v>
      </c>
      <c r="C6756" t="s">
        <v>20072</v>
      </c>
      <c r="D6756" t="str">
        <f>HYPERLINK("https://github.com/TeamNewPipe/NewPipe/issues/4849","show")</f>
        <v>show</v>
      </c>
      <c r="E6756" t="str">
        <f>HYPERLINK("https://github.com/TeamNewPipe/NewPipe","show")</f>
        <v>show</v>
      </c>
      <c r="F6756" t="str">
        <f>HYPERLINK("https://github.com/TeamNewPipe/NewPipe/releases","show")</f>
        <v>show</v>
      </c>
    </row>
    <row r="6757" spans="1:6">
      <c r="A6757" t="s">
        <v>20073</v>
      </c>
      <c r="B6757" t="s">
        <v>20074</v>
      </c>
      <c r="C6757" t="s">
        <v>20075</v>
      </c>
      <c r="D6757" t="str">
        <f>HYPERLINK("https://github.com/nextcloud/android/issues/7275","show")</f>
        <v>show</v>
      </c>
      <c r="E6757" t="str">
        <f>HYPERLINK("https://github.com/nextcloud/android","show")</f>
        <v>show</v>
      </c>
      <c r="F6757" t="str">
        <f>HYPERLINK("https://github.com/nextcloud/android/releases","show")</f>
        <v>show</v>
      </c>
    </row>
    <row r="6758" spans="1:6">
      <c r="A6758" t="s">
        <v>20076</v>
      </c>
      <c r="B6758" t="s">
        <v>20077</v>
      </c>
      <c r="C6758" t="s">
        <v>20078</v>
      </c>
      <c r="D6758" t="str">
        <f>HYPERLINK("https://github.com/Anuken/Mindustry/issues/3317","show")</f>
        <v>show</v>
      </c>
      <c r="E6758" t="str">
        <f>HYPERLINK("https://github.com/Anuken/Mindustry","show")</f>
        <v>show</v>
      </c>
      <c r="F6758" t="str">
        <f>HYPERLINK("https://github.com/Anuken/Mindustry/releases","show")</f>
        <v>show</v>
      </c>
    </row>
    <row r="6759" spans="1:6">
      <c r="A6759" t="s">
        <v>20079</v>
      </c>
      <c r="B6759" t="s">
        <v>20080</v>
      </c>
      <c r="C6759" t="s">
        <v>20081</v>
      </c>
      <c r="D6759" t="str">
        <f>HYPERLINK("https://github.com/Anuken/Mindustry/issues/3313","show")</f>
        <v>show</v>
      </c>
      <c r="E6759" t="str">
        <f>HYPERLINK("https://github.com/Anuken/Mindustry","show")</f>
        <v>show</v>
      </c>
      <c r="F6759" t="str">
        <f>HYPERLINK("https://github.com/Anuken/Mindustry/releases","show")</f>
        <v>show</v>
      </c>
    </row>
    <row r="6760" spans="1:6">
      <c r="A6760" t="s">
        <v>20082</v>
      </c>
      <c r="B6760" t="s">
        <v>20083</v>
      </c>
      <c r="C6760" t="s">
        <v>20084</v>
      </c>
      <c r="D6760" t="str">
        <f>HYPERLINK("https://github.com/Anuken/Mindustry/issues/3311","show")</f>
        <v>show</v>
      </c>
      <c r="E6760" t="str">
        <f>HYPERLINK("https://github.com/Anuken/Mindustry","show")</f>
        <v>show</v>
      </c>
      <c r="F6760" t="str">
        <f>HYPERLINK("https://github.com/Anuken/Mindustry/releases","show")</f>
        <v>show</v>
      </c>
    </row>
    <row r="6761" spans="1:6">
      <c r="A6761" t="s">
        <v>20085</v>
      </c>
      <c r="B6761" t="s">
        <v>20086</v>
      </c>
      <c r="C6761" t="s">
        <v>20087</v>
      </c>
      <c r="D6761" t="str">
        <f>HYPERLINK("https://github.com/Anuken/Mindustry/issues/3310","show")</f>
        <v>show</v>
      </c>
      <c r="E6761" t="str">
        <f>HYPERLINK("https://github.com/Anuken/Mindustry","show")</f>
        <v>show</v>
      </c>
      <c r="F6761" t="str">
        <f>HYPERLINK("https://github.com/Anuken/Mindustry/releases","show")</f>
        <v>show</v>
      </c>
    </row>
    <row r="6762" spans="1:6">
      <c r="A6762" t="s">
        <v>20088</v>
      </c>
      <c r="B6762" t="s">
        <v>20089</v>
      </c>
      <c r="C6762" t="s">
        <v>20090</v>
      </c>
      <c r="D6762" t="str">
        <f>HYPERLINK("https://github.com/Blankj/AndroidUtilCode/issues/1365","show")</f>
        <v>show</v>
      </c>
      <c r="E6762" t="str">
        <f>HYPERLINK("https://github.com/Blankj/AndroidUtilCode","show")</f>
        <v>show</v>
      </c>
      <c r="F6762" t="str">
        <f>HYPERLINK("https://github.com/Blankj/AndroidUtilCode/releases","show")</f>
        <v>show</v>
      </c>
    </row>
    <row r="6763" spans="1:6">
      <c r="A6763" t="s">
        <v>20091</v>
      </c>
      <c r="B6763" t="s">
        <v>20092</v>
      </c>
      <c r="C6763" t="s">
        <v>20093</v>
      </c>
      <c r="D6763" t="str">
        <f>HYPERLINK("https://github.com/TeamNewPipe/NewPipe/issues/4846","show")</f>
        <v>show</v>
      </c>
      <c r="E6763" t="str">
        <f>HYPERLINK("https://github.com/TeamNewPipe/NewPipe","show")</f>
        <v>show</v>
      </c>
      <c r="F6763" t="str">
        <f>HYPERLINK("https://github.com/TeamNewPipe/NewPipe/releases","show")</f>
        <v>show</v>
      </c>
    </row>
    <row r="6764" spans="1:6">
      <c r="A6764" t="s">
        <v>20094</v>
      </c>
      <c r="B6764" t="s">
        <v>20095</v>
      </c>
      <c r="C6764" t="s">
        <v>20096</v>
      </c>
      <c r="D6764" t="str">
        <f>HYPERLINK("https://github.com/PojavLauncherTeam/PojavLauncher/issues/389","show")</f>
        <v>show</v>
      </c>
      <c r="E6764" t="str">
        <f>HYPERLINK("https://github.com/PojavLauncherTeam/PojavLauncher","show")</f>
        <v>show</v>
      </c>
      <c r="F6764" t="str">
        <f>HYPERLINK("https://github.com/PojavLauncherTeam/PojavLauncher/releases","show")</f>
        <v>show</v>
      </c>
    </row>
    <row r="6765" spans="1:6">
      <c r="A6765" t="s">
        <v>20097</v>
      </c>
      <c r="B6765" t="s">
        <v>20098</v>
      </c>
      <c r="C6765" t="s">
        <v>20099</v>
      </c>
      <c r="D6765" t="str">
        <f>HYPERLINK("https://github.com/mh-/corona-warn-companion-android/issues/88","show")</f>
        <v>show</v>
      </c>
      <c r="E6765" t="str">
        <f>HYPERLINK("https://github.com/mh-/corona-warn-companion-android","show")</f>
        <v>show</v>
      </c>
      <c r="F6765" t="str">
        <f>HYPERLINK("https://github.com/mh-/corona-warn-companion-android/releases","show")</f>
        <v>show</v>
      </c>
    </row>
    <row r="6766" spans="1:6">
      <c r="A6766" t="s">
        <v>20100</v>
      </c>
      <c r="B6766" t="s">
        <v>20101</v>
      </c>
      <c r="C6766" t="s">
        <v>20102</v>
      </c>
      <c r="D6766" t="str">
        <f>HYPERLINK("https://github.com/Anuken/Mindustry/issues/3296","show")</f>
        <v>show</v>
      </c>
      <c r="E6766" t="str">
        <f>HYPERLINK("https://github.com/Anuken/Mindustry","show")</f>
        <v>show</v>
      </c>
      <c r="F6766" t="str">
        <f>HYPERLINK("https://github.com/Anuken/Mindustry/releases","show")</f>
        <v>show</v>
      </c>
    </row>
    <row r="6767" spans="1:6">
      <c r="A6767" t="s">
        <v>20103</v>
      </c>
      <c r="B6767" t="s">
        <v>20104</v>
      </c>
      <c r="C6767" t="s">
        <v>20105</v>
      </c>
      <c r="D6767" t="str">
        <f>HYPERLINK("https://github.com/Anuken/Mindustry/issues/3295","show")</f>
        <v>show</v>
      </c>
      <c r="E6767" t="str">
        <f>HYPERLINK("https://github.com/Anuken/Mindustry","show")</f>
        <v>show</v>
      </c>
      <c r="F6767" t="str">
        <f>HYPERLINK("https://github.com/Anuken/Mindustry/releases","show")</f>
        <v>show</v>
      </c>
    </row>
    <row r="6768" spans="1:6">
      <c r="A6768" t="s">
        <v>20106</v>
      </c>
      <c r="B6768" t="s">
        <v>20107</v>
      </c>
      <c r="C6768" t="s">
        <v>20108</v>
      </c>
      <c r="D6768" t="str">
        <f>HYPERLINK("https://github.com/patzly/grocy-android/issues/226","show")</f>
        <v>show</v>
      </c>
      <c r="E6768" t="str">
        <f>HYPERLINK("https://github.com/patzly/grocy-android","show")</f>
        <v>show</v>
      </c>
      <c r="F6768" t="str">
        <f>HYPERLINK("https://github.com/patzly/grocy-android/releases","show")</f>
        <v>show</v>
      </c>
    </row>
    <row r="6769" spans="1:6">
      <c r="A6769" t="s">
        <v>20109</v>
      </c>
      <c r="B6769" t="s">
        <v>20110</v>
      </c>
      <c r="C6769" t="s">
        <v>20111</v>
      </c>
      <c r="D6769" t="str">
        <f>HYPERLINK("https://github.com/TeamNewPipe/NewPipe/issues/4842","show")</f>
        <v>show</v>
      </c>
      <c r="E6769" t="str">
        <f>HYPERLINK("https://github.com/TeamNewPipe/NewPipe","show")</f>
        <v>show</v>
      </c>
      <c r="F6769" t="str">
        <f>HYPERLINK("https://github.com/TeamNewPipe/NewPipe/releases","show")</f>
        <v>show</v>
      </c>
    </row>
    <row r="6770" spans="1:6">
      <c r="A6770" t="s">
        <v>20112</v>
      </c>
      <c r="B6770" t="s">
        <v>20113</v>
      </c>
      <c r="C6770" t="s">
        <v>20114</v>
      </c>
      <c r="D6770" t="str">
        <f>HYPERLINK("https://github.com/TeamNewPipe/NewPipe/issues/4841","show")</f>
        <v>show</v>
      </c>
      <c r="E6770" t="str">
        <f>HYPERLINK("https://github.com/TeamNewPipe/NewPipe","show")</f>
        <v>show</v>
      </c>
      <c r="F6770" t="str">
        <f>HYPERLINK("https://github.com/TeamNewPipe/NewPipe/releases","show")</f>
        <v>show</v>
      </c>
    </row>
    <row r="6771" spans="1:6">
      <c r="A6771" t="s">
        <v>20115</v>
      </c>
      <c r="B6771" t="s">
        <v>20116</v>
      </c>
      <c r="C6771" t="s">
        <v>20117</v>
      </c>
      <c r="D6771" t="str">
        <f>HYPERLINK("https://github.com/nextcloud/android/issues/7257","show")</f>
        <v>show</v>
      </c>
      <c r="E6771" t="str">
        <f>HYPERLINK("https://github.com/nextcloud/android","show")</f>
        <v>show</v>
      </c>
      <c r="F6771" t="str">
        <f>HYPERLINK("https://github.com/nextcloud/android/releases","show")</f>
        <v>show</v>
      </c>
    </row>
    <row r="6772" spans="1:6">
      <c r="A6772" t="s">
        <v>20118</v>
      </c>
      <c r="B6772" t="s">
        <v>20119</v>
      </c>
      <c r="C6772" t="s">
        <v>20120</v>
      </c>
      <c r="D6772" t="str">
        <f>HYPERLINK("https://github.com/Anuken/Mindustry/issues/3293","show")</f>
        <v>show</v>
      </c>
      <c r="E6772" t="str">
        <f>HYPERLINK("https://github.com/Anuken/Mindustry","show")</f>
        <v>show</v>
      </c>
      <c r="F6772" t="str">
        <f>HYPERLINK("https://github.com/Anuken/Mindustry/releases","show")</f>
        <v>show</v>
      </c>
    </row>
    <row r="6773" spans="1:6">
      <c r="A6773" t="s">
        <v>20121</v>
      </c>
      <c r="B6773" t="s">
        <v>20122</v>
      </c>
      <c r="C6773" t="s">
        <v>20123</v>
      </c>
      <c r="D6773" t="str">
        <f>HYPERLINK("https://github.com/TeamNewPipe/NewPipe/issues/4839","show")</f>
        <v>show</v>
      </c>
      <c r="E6773" t="str">
        <f>HYPERLINK("https://github.com/TeamNewPipe/NewPipe","show")</f>
        <v>show</v>
      </c>
      <c r="F6773" t="str">
        <f>HYPERLINK("https://github.com/TeamNewPipe/NewPipe/releases","show")</f>
        <v>show</v>
      </c>
    </row>
    <row r="6774" spans="1:6">
      <c r="A6774" t="s">
        <v>20124</v>
      </c>
      <c r="B6774" t="s">
        <v>20125</v>
      </c>
      <c r="C6774" t="s">
        <v>20126</v>
      </c>
      <c r="D6774" t="str">
        <f>HYPERLINK("https://github.com/OpenTracksApp/OpenTracks/issues/506","show")</f>
        <v>show</v>
      </c>
      <c r="E6774" t="str">
        <f>HYPERLINK("https://github.com/OpenTracksApp/OpenTracks","show")</f>
        <v>show</v>
      </c>
      <c r="F6774" t="str">
        <f>HYPERLINK("https://github.com/OpenTracksApp/OpenTracks/releases","show")</f>
        <v>show</v>
      </c>
    </row>
    <row r="6775" spans="1:6">
      <c r="A6775" t="s">
        <v>20127</v>
      </c>
      <c r="B6775" t="s">
        <v>20128</v>
      </c>
      <c r="C6775" t="s">
        <v>20129</v>
      </c>
      <c r="D6775" t="str">
        <f>HYPERLINK("https://github.com/google/ExoPlayer/issues/8182","show")</f>
        <v>show</v>
      </c>
      <c r="E6775" t="str">
        <f>HYPERLINK("https://github.com/google/ExoPlayer","show")</f>
        <v>show</v>
      </c>
      <c r="F6775" t="str">
        <f>HYPERLINK("https://github.com/google/ExoPlayer/releases","show")</f>
        <v>show</v>
      </c>
    </row>
    <row r="6776" spans="1:6">
      <c r="A6776" t="s">
        <v>20130</v>
      </c>
      <c r="B6776" t="s">
        <v>20131</v>
      </c>
      <c r="C6776" t="s">
        <v>20132</v>
      </c>
      <c r="D6776" t="str">
        <f>HYPERLINK("https://github.com/patzly/grocy-android/issues/224","show")</f>
        <v>show</v>
      </c>
      <c r="E6776" t="str">
        <f>HYPERLINK("https://github.com/patzly/grocy-android","show")</f>
        <v>show</v>
      </c>
      <c r="F6776" t="str">
        <f>HYPERLINK("https://github.com/patzly/grocy-android/releases","show")</f>
        <v>show</v>
      </c>
    </row>
    <row r="6777" spans="1:6">
      <c r="A6777" t="s">
        <v>20133</v>
      </c>
      <c r="B6777" t="s">
        <v>20134</v>
      </c>
      <c r="C6777" t="s">
        <v>20135</v>
      </c>
      <c r="D6777" t="str">
        <f>HYPERLINK("https://github.com/TeamNewPipe/NewPipe/issues/4832","show")</f>
        <v>show</v>
      </c>
      <c r="E6777" t="str">
        <f>HYPERLINK("https://github.com/TeamNewPipe/NewPipe","show")</f>
        <v>show</v>
      </c>
      <c r="F6777" t="str">
        <f>HYPERLINK("https://github.com/TeamNewPipe/NewPipe/releases","show")</f>
        <v>show</v>
      </c>
    </row>
    <row r="6778" spans="1:6">
      <c r="A6778" t="s">
        <v>20136</v>
      </c>
      <c r="B6778" t="s">
        <v>20137</v>
      </c>
      <c r="C6778" t="s">
        <v>20138</v>
      </c>
      <c r="D6778" t="str">
        <f>HYPERLINK("https://github.com/Anuken/Mindustry/issues/3285","show")</f>
        <v>show</v>
      </c>
      <c r="E6778" t="str">
        <f>HYPERLINK("https://github.com/Anuken/Mindustry","show")</f>
        <v>show</v>
      </c>
      <c r="F6778" t="str">
        <f>HYPERLINK("https://github.com/Anuken/Mindustry/releases","show")</f>
        <v>show</v>
      </c>
    </row>
    <row r="6779" spans="1:6">
      <c r="A6779" t="s">
        <v>20139</v>
      </c>
      <c r="B6779" t="s">
        <v>20140</v>
      </c>
      <c r="C6779" t="s">
        <v>20141</v>
      </c>
      <c r="D6779" t="str">
        <f>HYPERLINK("https://github.com/TeamNewPipe/NewPipe/issues/4831","show")</f>
        <v>show</v>
      </c>
      <c r="E6779" t="str">
        <f>HYPERLINK("https://github.com/TeamNewPipe/NewPipe","show")</f>
        <v>show</v>
      </c>
      <c r="F6779" t="str">
        <f>HYPERLINK("https://github.com/TeamNewPipe/NewPipe/releases","show")</f>
        <v>show</v>
      </c>
    </row>
    <row r="6780" spans="1:6">
      <c r="A6780" t="s">
        <v>20142</v>
      </c>
      <c r="B6780" t="s">
        <v>20143</v>
      </c>
      <c r="C6780" t="s">
        <v>20144</v>
      </c>
      <c r="D6780" t="str">
        <f>HYPERLINK("https://github.com/nextcloud/android/issues/7253","show")</f>
        <v>show</v>
      </c>
      <c r="E6780" t="str">
        <f>HYPERLINK("https://github.com/nextcloud/android","show")</f>
        <v>show</v>
      </c>
      <c r="F6780" t="str">
        <f>HYPERLINK("https://github.com/nextcloud/android/releases","show")</f>
        <v>show</v>
      </c>
    </row>
    <row r="6781" spans="1:6">
      <c r="A6781" t="s">
        <v>20145</v>
      </c>
      <c r="B6781" t="s">
        <v>20146</v>
      </c>
      <c r="C6781" t="s">
        <v>20147</v>
      </c>
      <c r="D6781" t="str">
        <f>HYPERLINK("https://github.com/onaio/rdt-standard/issues/614","show")</f>
        <v>show</v>
      </c>
      <c r="E6781" t="str">
        <f>HYPERLINK("https://github.com/onaio/rdt-standard","show")</f>
        <v>show</v>
      </c>
      <c r="F6781" t="str">
        <f>HYPERLINK("https://github.com/onaio/rdt-standard/releases","show")</f>
        <v>show</v>
      </c>
    </row>
    <row r="6782" spans="1:6">
      <c r="A6782" t="s">
        <v>20148</v>
      </c>
      <c r="B6782" t="s">
        <v>20149</v>
      </c>
      <c r="C6782" t="s">
        <v>20150</v>
      </c>
      <c r="D6782" t="str">
        <f>HYPERLINK("https://github.com/Anuken/Mindustry/issues/3283","show")</f>
        <v>show</v>
      </c>
      <c r="E6782" t="str">
        <f>HYPERLINK("https://github.com/Anuken/Mindustry","show")</f>
        <v>show</v>
      </c>
      <c r="F6782" t="str">
        <f>HYPERLINK("https://github.com/Anuken/Mindustry/releases","show")</f>
        <v>show</v>
      </c>
    </row>
    <row r="6783" spans="1:6">
      <c r="A6783" t="s">
        <v>20151</v>
      </c>
      <c r="B6783" t="s">
        <v>20152</v>
      </c>
      <c r="C6783" t="s">
        <v>20153</v>
      </c>
      <c r="D6783" t="str">
        <f>HYPERLINK("https://github.com/TeamNewPipe/NewPipe/issues/4830","show")</f>
        <v>show</v>
      </c>
      <c r="E6783" t="str">
        <f>HYPERLINK("https://github.com/TeamNewPipe/NewPipe","show")</f>
        <v>show</v>
      </c>
      <c r="F6783" t="str">
        <f>HYPERLINK("https://github.com/TeamNewPipe/NewPipe/releases","show")</f>
        <v>show</v>
      </c>
    </row>
    <row r="6784" spans="1:6">
      <c r="A6784" t="s">
        <v>20154</v>
      </c>
      <c r="B6784" t="s">
        <v>20155</v>
      </c>
      <c r="C6784" t="s">
        <v>18602</v>
      </c>
      <c r="D6784" t="str">
        <f>HYPERLINK("https://github.com/TeamNewPipe/NewPipe/issues/4829","show")</f>
        <v>show</v>
      </c>
      <c r="E6784" t="str">
        <f>HYPERLINK("https://github.com/TeamNewPipe/NewPipe","show")</f>
        <v>show</v>
      </c>
      <c r="F6784" t="str">
        <f>HYPERLINK("https://github.com/TeamNewPipe/NewPipe/releases","show")</f>
        <v>show</v>
      </c>
    </row>
    <row r="6785" spans="1:6">
      <c r="A6785" t="s">
        <v>20156</v>
      </c>
      <c r="B6785" t="s">
        <v>20152</v>
      </c>
      <c r="C6785" t="s">
        <v>20153</v>
      </c>
      <c r="D6785" t="str">
        <f>HYPERLINK("https://github.com/TeamNewPipe/NewPipe-legacy/issues/53","show")</f>
        <v>show</v>
      </c>
      <c r="E6785" t="str">
        <f>HYPERLINK("https://github.com/TeamNewPipe/NewPipe-legacy","show")</f>
        <v>show</v>
      </c>
      <c r="F6785" t="str">
        <f>HYPERLINK("https://github.com/TeamNewPipe/NewPipe-legacy/releases","show")</f>
        <v>show</v>
      </c>
    </row>
    <row r="6786" spans="1:6">
      <c r="A6786" t="s">
        <v>20157</v>
      </c>
      <c r="B6786" t="s">
        <v>20158</v>
      </c>
      <c r="C6786" t="s">
        <v>20159</v>
      </c>
      <c r="D6786" t="str">
        <f>HYPERLINK("https://github.com/nextcloud/android/issues/7248","show")</f>
        <v>show</v>
      </c>
      <c r="E6786" t="str">
        <f>HYPERLINK("https://github.com/nextcloud/android","show")</f>
        <v>show</v>
      </c>
      <c r="F6786" t="str">
        <f>HYPERLINK("https://github.com/nextcloud/android/releases","show")</f>
        <v>show</v>
      </c>
    </row>
    <row r="6787" spans="1:6">
      <c r="A6787" t="s">
        <v>20160</v>
      </c>
      <c r="B6787" t="s">
        <v>20161</v>
      </c>
      <c r="C6787" t="s">
        <v>20162</v>
      </c>
      <c r="D6787" t="str">
        <f>HYPERLINK("https://github.com/commons-app/apps-android-commons/issues/4020","show")</f>
        <v>show</v>
      </c>
      <c r="E6787" t="str">
        <f>HYPERLINK("https://github.com/commons-app/apps-android-commons","show")</f>
        <v>show</v>
      </c>
      <c r="F6787" t="str">
        <f>HYPERLINK("https://github.com/commons-app/apps-android-commons/releases","show")</f>
        <v>show</v>
      </c>
    </row>
    <row r="6788" spans="1:6">
      <c r="A6788" t="s">
        <v>20163</v>
      </c>
      <c r="B6788" t="s">
        <v>20164</v>
      </c>
      <c r="C6788" t="s">
        <v>20165</v>
      </c>
      <c r="D6788" t="str">
        <f>HYPERLINK("https://github.com/TeamNewPipe/NewPipe/issues/4818","show")</f>
        <v>show</v>
      </c>
      <c r="E6788" t="str">
        <f>HYPERLINK("https://github.com/TeamNewPipe/NewPipe","show")</f>
        <v>show</v>
      </c>
      <c r="F6788" t="str">
        <f>HYPERLINK("https://github.com/TeamNewPipe/NewPipe/releases","show")</f>
        <v>show</v>
      </c>
    </row>
    <row r="6789" spans="1:6">
      <c r="A6789" t="s">
        <v>20166</v>
      </c>
      <c r="B6789" t="s">
        <v>20167</v>
      </c>
      <c r="C6789" t="s">
        <v>20168</v>
      </c>
      <c r="D6789" t="str">
        <f>HYPERLINK("https://github.com/AOF-Dev/MCinaBox/issues/647","show")</f>
        <v>show</v>
      </c>
      <c r="E6789" t="str">
        <f>HYPERLINK("https://github.com/AOF-Dev/MCinaBox","show")</f>
        <v>show</v>
      </c>
      <c r="F6789" t="str">
        <f>HYPERLINK("https://github.com/AOF-Dev/MCinaBox/releases","show")</f>
        <v>show</v>
      </c>
    </row>
    <row r="6790" spans="1:6">
      <c r="A6790" t="s">
        <v>20169</v>
      </c>
      <c r="B6790" t="s">
        <v>20170</v>
      </c>
      <c r="C6790" t="s">
        <v>20171</v>
      </c>
      <c r="D6790" t="str">
        <f>HYPERLINK("https://github.com/Landry333/Big-Owl/issues/138","show")</f>
        <v>show</v>
      </c>
      <c r="E6790" t="str">
        <f>HYPERLINK("https://github.com/Landry333/Big-Owl","show")</f>
        <v>show</v>
      </c>
      <c r="F6790" t="str">
        <f>HYPERLINK("https://github.com/Landry333/Big-Owl/releases","show")</f>
        <v>show</v>
      </c>
    </row>
    <row r="6791" spans="1:6">
      <c r="A6791" t="s">
        <v>20172</v>
      </c>
      <c r="B6791" t="s">
        <v>20173</v>
      </c>
      <c r="C6791" t="s">
        <v>20174</v>
      </c>
      <c r="D6791" t="str">
        <f>HYPERLINK("https://github.com/TeamNewPipe/NewPipe/issues/4809","show")</f>
        <v>show</v>
      </c>
      <c r="E6791" t="str">
        <f>HYPERLINK("https://github.com/TeamNewPipe/NewPipe","show")</f>
        <v>show</v>
      </c>
      <c r="F6791" t="str">
        <f>HYPERLINK("https://github.com/TeamNewPipe/NewPipe/releases","show")</f>
        <v>show</v>
      </c>
    </row>
    <row r="6792" spans="1:6">
      <c r="A6792" t="s">
        <v>20175</v>
      </c>
      <c r="B6792" t="s">
        <v>20176</v>
      </c>
      <c r="C6792" t="s">
        <v>20177</v>
      </c>
      <c r="D6792" t="str">
        <f>HYPERLINK("https://github.com/shrimalaya/Android-Seerem-Supervisor-App/issues/16","show")</f>
        <v>show</v>
      </c>
      <c r="E6792" t="str">
        <f>HYPERLINK("https://github.com/shrimalaya/Android-Seerem-Supervisor-App","show")</f>
        <v>show</v>
      </c>
      <c r="F6792" t="str">
        <f>HYPERLINK("https://github.com/shrimalaya/Android-Seerem-Supervisor-App/releases","show")</f>
        <v>show</v>
      </c>
    </row>
    <row r="6793" spans="1:6">
      <c r="A6793" t="s">
        <v>20178</v>
      </c>
      <c r="B6793" t="s">
        <v>20179</v>
      </c>
      <c r="C6793" t="s">
        <v>20180</v>
      </c>
      <c r="D6793" t="str">
        <f>HYPERLINK("https://github.com/Anuken/Mindustry/issues/3272","show")</f>
        <v>show</v>
      </c>
      <c r="E6793" t="str">
        <f>HYPERLINK("https://github.com/Anuken/Mindustry","show")</f>
        <v>show</v>
      </c>
      <c r="F6793" t="str">
        <f>HYPERLINK("https://github.com/Anuken/Mindustry/releases","show")</f>
        <v>show</v>
      </c>
    </row>
    <row r="6794" spans="1:6">
      <c r="A6794" t="s">
        <v>20181</v>
      </c>
      <c r="B6794" t="s">
        <v>20182</v>
      </c>
      <c r="C6794" t="s">
        <v>20183</v>
      </c>
      <c r="D6794" t="str">
        <f>HYPERLINK("https://github.com/hzi-braunschweig/SORMAS-Project/issues/3399","show")</f>
        <v>show</v>
      </c>
      <c r="E6794" t="str">
        <f>HYPERLINK("https://github.com/hzi-braunschweig/SORMAS-Project","show")</f>
        <v>show</v>
      </c>
      <c r="F6794" t="str">
        <f>HYPERLINK("https://github.com/hzi-braunschweig/SORMAS-Project/releases","show")</f>
        <v>show</v>
      </c>
    </row>
    <row r="6795" spans="1:6">
      <c r="A6795" t="s">
        <v>20184</v>
      </c>
      <c r="B6795" t="s">
        <v>20185</v>
      </c>
      <c r="C6795" t="s">
        <v>20186</v>
      </c>
      <c r="D6795" t="str">
        <f>HYPERLINK("https://github.com/Anuken/Mindustry/issues/3270","show")</f>
        <v>show</v>
      </c>
      <c r="E6795" t="str">
        <f>HYPERLINK("https://github.com/Anuken/Mindustry","show")</f>
        <v>show</v>
      </c>
      <c r="F6795" t="str">
        <f>HYPERLINK("https://github.com/Anuken/Mindustry/releases","show")</f>
        <v>show</v>
      </c>
    </row>
    <row r="6796" spans="1:6">
      <c r="A6796" t="s">
        <v>20187</v>
      </c>
      <c r="B6796" t="s">
        <v>20188</v>
      </c>
      <c r="C6796" t="s">
        <v>20189</v>
      </c>
      <c r="D6796" t="str">
        <f>HYPERLINK("https://github.com/Anuken/Mindustry/issues/3264","show")</f>
        <v>show</v>
      </c>
      <c r="E6796" t="str">
        <f>HYPERLINK("https://github.com/Anuken/Mindustry","show")</f>
        <v>show</v>
      </c>
      <c r="F6796" t="str">
        <f>HYPERLINK("https://github.com/Anuken/Mindustry/releases","show")</f>
        <v>show</v>
      </c>
    </row>
    <row r="6797" spans="1:6">
      <c r="A6797" t="s">
        <v>20190</v>
      </c>
      <c r="B6797" t="s">
        <v>20191</v>
      </c>
      <c r="C6797" t="s">
        <v>20192</v>
      </c>
      <c r="D6797" t="str">
        <f>HYPERLINK("https://github.com/Anuken/Mindustry/issues/3263","show")</f>
        <v>show</v>
      </c>
      <c r="E6797" t="str">
        <f>HYPERLINK("https://github.com/Anuken/Mindustry","show")</f>
        <v>show</v>
      </c>
      <c r="F6797" t="str">
        <f>HYPERLINK("https://github.com/Anuken/Mindustry/releases","show")</f>
        <v>show</v>
      </c>
    </row>
    <row r="6798" spans="1:6">
      <c r="A6798" t="s">
        <v>20193</v>
      </c>
      <c r="B6798" t="s">
        <v>20194</v>
      </c>
      <c r="C6798" t="s">
        <v>20195</v>
      </c>
      <c r="D6798" t="str">
        <f>HYPERLINK("https://github.com/AOF-Dev/MCinaBox/issues/636","show")</f>
        <v>show</v>
      </c>
      <c r="E6798" t="str">
        <f>HYPERLINK("https://github.com/AOF-Dev/MCinaBox","show")</f>
        <v>show</v>
      </c>
      <c r="F6798" t="str">
        <f>HYPERLINK("https://github.com/AOF-Dev/MCinaBox/releases","show")</f>
        <v>show</v>
      </c>
    </row>
    <row r="6799" spans="1:6">
      <c r="A6799" t="s">
        <v>20196</v>
      </c>
      <c r="B6799" t="s">
        <v>20197</v>
      </c>
      <c r="C6799" t="s">
        <v>20198</v>
      </c>
      <c r="D6799" t="str">
        <f>HYPERLINK("https://github.com/tchapgouv/tchap-android-legacy/issues/670","show")</f>
        <v>show</v>
      </c>
      <c r="E6799" t="str">
        <f>HYPERLINK("https://github.com/tchapgouv/tchap-android-legacy","show")</f>
        <v>show</v>
      </c>
      <c r="F6799" t="str">
        <f>HYPERLINK("https://github.com/tchapgouv/tchap-android-legacy/releases","show")</f>
        <v>show</v>
      </c>
    </row>
    <row r="6800" spans="1:6">
      <c r="A6800" t="s">
        <v>20199</v>
      </c>
      <c r="B6800" t="s">
        <v>20200</v>
      </c>
      <c r="C6800" t="s">
        <v>20201</v>
      </c>
      <c r="D6800" t="str">
        <f>HYPERLINK("https://github.com/tchapgouv/tchap-android-legacy/issues/669","show")</f>
        <v>show</v>
      </c>
      <c r="E6800" t="str">
        <f>HYPERLINK("https://github.com/tchapgouv/tchap-android-legacy","show")</f>
        <v>show</v>
      </c>
      <c r="F6800" t="str">
        <f>HYPERLINK("https://github.com/tchapgouv/tchap-android-legacy/releases","show")</f>
        <v>show</v>
      </c>
    </row>
    <row r="6801" spans="1:6">
      <c r="A6801" t="s">
        <v>20202</v>
      </c>
      <c r="B6801" t="s">
        <v>20203</v>
      </c>
      <c r="C6801" t="s">
        <v>20204</v>
      </c>
      <c r="D6801" t="str">
        <f>HYPERLINK("https://github.com/tchapgouv/tchap-android-legacy/issues/668","show")</f>
        <v>show</v>
      </c>
      <c r="E6801" t="str">
        <f>HYPERLINK("https://github.com/tchapgouv/tchap-android-legacy","show")</f>
        <v>show</v>
      </c>
      <c r="F6801" t="str">
        <f>HYPERLINK("https://github.com/tchapgouv/tchap-android-legacy/releases","show")</f>
        <v>show</v>
      </c>
    </row>
    <row r="6802" spans="1:6">
      <c r="A6802" t="s">
        <v>20205</v>
      </c>
      <c r="B6802" t="s">
        <v>20206</v>
      </c>
      <c r="C6802" t="s">
        <v>20207</v>
      </c>
      <c r="D6802" t="str">
        <f>HYPERLINK("https://github.com/tchapgouv/tchap-android-legacy/issues/667","show")</f>
        <v>show</v>
      </c>
      <c r="E6802" t="str">
        <f>HYPERLINK("https://github.com/tchapgouv/tchap-android-legacy","show")</f>
        <v>show</v>
      </c>
      <c r="F6802" t="str">
        <f>HYPERLINK("https://github.com/tchapgouv/tchap-android-legacy/releases","show")</f>
        <v>show</v>
      </c>
    </row>
    <row r="6803" spans="1:6">
      <c r="A6803" t="s">
        <v>20208</v>
      </c>
      <c r="B6803" t="s">
        <v>20209</v>
      </c>
      <c r="C6803" t="s">
        <v>18602</v>
      </c>
      <c r="D6803" t="str">
        <f>HYPERLINK("https://github.com/TeamNewPipe/NewPipe/issues/4797","show")</f>
        <v>show</v>
      </c>
      <c r="E6803" t="str">
        <f>HYPERLINK("https://github.com/TeamNewPipe/NewPipe","show")</f>
        <v>show</v>
      </c>
      <c r="F6803" t="str">
        <f>HYPERLINK("https://github.com/TeamNewPipe/NewPipe/releases","show")</f>
        <v>show</v>
      </c>
    </row>
    <row r="6804" spans="1:6">
      <c r="A6804" t="s">
        <v>20210</v>
      </c>
      <c r="B6804" t="s">
        <v>20211</v>
      </c>
      <c r="C6804" t="s">
        <v>20212</v>
      </c>
      <c r="D6804" t="str">
        <f>HYPERLINK("https://github.com/k9mail/k-9/issues/5041","show")</f>
        <v>show</v>
      </c>
      <c r="E6804" t="str">
        <f>HYPERLINK("https://github.com/k9mail/k-9","show")</f>
        <v>show</v>
      </c>
      <c r="F6804" t="str">
        <f>HYPERLINK("https://github.com/k9mail/k-9/releases","show")</f>
        <v>show</v>
      </c>
    </row>
    <row r="6805" spans="1:6">
      <c r="A6805" t="s">
        <v>20213</v>
      </c>
      <c r="B6805" t="s">
        <v>20214</v>
      </c>
      <c r="C6805" t="s">
        <v>20215</v>
      </c>
      <c r="D6805" t="str">
        <f>HYPERLINK("https://github.com/KnightShade07/TIcTacToe/issues/13","show")</f>
        <v>show</v>
      </c>
      <c r="E6805" t="str">
        <f>HYPERLINK("https://github.com/KnightShade07/TIcTacToe","show")</f>
        <v>show</v>
      </c>
      <c r="F6805" t="str">
        <f>HYPERLINK("https://github.com/KnightShade07/TIcTacToe/releases","show")</f>
        <v>show</v>
      </c>
    </row>
    <row r="6806" spans="1:6">
      <c r="A6806" t="s">
        <v>20216</v>
      </c>
      <c r="B6806" t="s">
        <v>20217</v>
      </c>
      <c r="C6806" t="s">
        <v>20218</v>
      </c>
      <c r="D6806" t="str">
        <f>HYPERLINK("https://github.com/onaio/rdt-standard/issues/606","show")</f>
        <v>show</v>
      </c>
      <c r="E6806" t="str">
        <f>HYPERLINK("https://github.com/onaio/rdt-standard","show")</f>
        <v>show</v>
      </c>
      <c r="F6806" t="str">
        <f>HYPERLINK("https://github.com/onaio/rdt-standard/releases","show")</f>
        <v>show</v>
      </c>
    </row>
    <row r="6807" spans="1:6">
      <c r="A6807" t="s">
        <v>20219</v>
      </c>
      <c r="B6807" t="s">
        <v>20220</v>
      </c>
      <c r="C6807" t="s">
        <v>20221</v>
      </c>
      <c r="D6807" t="str">
        <f>HYPERLINK("https://github.com/nextcloud/android/issues/7225","show")</f>
        <v>show</v>
      </c>
      <c r="E6807" t="str">
        <f>HYPERLINK("https://github.com/nextcloud/android","show")</f>
        <v>show</v>
      </c>
      <c r="F6807" t="str">
        <f>HYPERLINK("https://github.com/nextcloud/android/releases","show")</f>
        <v>show</v>
      </c>
    </row>
    <row r="6808" spans="1:6">
      <c r="A6808" t="s">
        <v>20222</v>
      </c>
      <c r="B6808" t="s">
        <v>20223</v>
      </c>
      <c r="C6808" t="s">
        <v>20224</v>
      </c>
      <c r="D6808" t="str">
        <f>HYPERLINK("https://github.com/inaturalist/iNaturalistAndroid/issues/933","show")</f>
        <v>show</v>
      </c>
      <c r="E6808" t="str">
        <f>HYPERLINK("https://github.com/inaturalist/iNaturalistAndroid","show")</f>
        <v>show</v>
      </c>
      <c r="F6808" t="str">
        <f>HYPERLINK("https://github.com/inaturalist/iNaturalistAndroid/releases","show")</f>
        <v>show</v>
      </c>
    </row>
    <row r="6809" spans="1:6">
      <c r="A6809" t="s">
        <v>20225</v>
      </c>
      <c r="B6809" t="s">
        <v>20226</v>
      </c>
      <c r="C6809" t="s">
        <v>20227</v>
      </c>
      <c r="D6809" t="str">
        <f>HYPERLINK("https://github.com/inaturalist/iNaturalistAndroid/issues/932","show")</f>
        <v>show</v>
      </c>
      <c r="E6809" t="str">
        <f>HYPERLINK("https://github.com/inaturalist/iNaturalistAndroid","show")</f>
        <v>show</v>
      </c>
      <c r="F6809" t="str">
        <f>HYPERLINK("https://github.com/inaturalist/iNaturalistAndroid/releases","show")</f>
        <v>show</v>
      </c>
    </row>
    <row r="6810" spans="1:6">
      <c r="A6810" t="s">
        <v>20228</v>
      </c>
      <c r="B6810" t="s">
        <v>20229</v>
      </c>
      <c r="C6810" t="s">
        <v>20230</v>
      </c>
      <c r="D6810" t="str">
        <f>HYPERLINK("https://github.com/hzi-braunschweig/SORMAS-Project/issues/3375","show")</f>
        <v>show</v>
      </c>
      <c r="E6810" t="str">
        <f>HYPERLINK("https://github.com/hzi-braunschweig/SORMAS-Project","show")</f>
        <v>show</v>
      </c>
      <c r="F6810" t="str">
        <f>HYPERLINK("https://github.com/hzi-braunschweig/SORMAS-Project/releases","show")</f>
        <v>show</v>
      </c>
    </row>
    <row r="6811" spans="1:6">
      <c r="A6811" t="s">
        <v>20231</v>
      </c>
      <c r="B6811" t="s">
        <v>20232</v>
      </c>
      <c r="C6811" t="s">
        <v>20233</v>
      </c>
      <c r="D6811" t="str">
        <f>HYPERLINK("https://github.com/Anuken/Mindustry/issues/3258","show")</f>
        <v>show</v>
      </c>
      <c r="E6811" t="str">
        <f>HYPERLINK("https://github.com/Anuken/Mindustry","show")</f>
        <v>show</v>
      </c>
      <c r="F6811" t="str">
        <f>HYPERLINK("https://github.com/Anuken/Mindustry/releases","show")</f>
        <v>show</v>
      </c>
    </row>
    <row r="6812" spans="1:6">
      <c r="A6812" t="s">
        <v>20234</v>
      </c>
      <c r="B6812" t="s">
        <v>20235</v>
      </c>
      <c r="C6812" t="s">
        <v>20236</v>
      </c>
      <c r="D6812" t="str">
        <f>HYPERLINK("https://github.com/Anuken/Mindustry/issues/3257","show")</f>
        <v>show</v>
      </c>
      <c r="E6812" t="str">
        <f>HYPERLINK("https://github.com/Anuken/Mindustry","show")</f>
        <v>show</v>
      </c>
      <c r="F6812" t="str">
        <f>HYPERLINK("https://github.com/Anuken/Mindustry/releases","show")</f>
        <v>show</v>
      </c>
    </row>
    <row r="6813" spans="1:6">
      <c r="A6813" t="s">
        <v>20237</v>
      </c>
      <c r="B6813" t="s">
        <v>20238</v>
      </c>
      <c r="C6813" t="s">
        <v>20078</v>
      </c>
      <c r="D6813" t="str">
        <f>HYPERLINK("https://github.com/Anuken/Mindustry/issues/3256","show")</f>
        <v>show</v>
      </c>
      <c r="E6813" t="str">
        <f>HYPERLINK("https://github.com/Anuken/Mindustry","show")</f>
        <v>show</v>
      </c>
      <c r="F6813" t="str">
        <f>HYPERLINK("https://github.com/Anuken/Mindustry/releases","show")</f>
        <v>show</v>
      </c>
    </row>
    <row r="6814" spans="1:6">
      <c r="A6814" t="s">
        <v>20239</v>
      </c>
      <c r="B6814" t="s">
        <v>20240</v>
      </c>
      <c r="C6814" t="s">
        <v>20241</v>
      </c>
      <c r="D6814" t="str">
        <f>HYPERLINK("https://github.com/nextcloud/android/issues/7219","show")</f>
        <v>show</v>
      </c>
      <c r="E6814" t="str">
        <f>HYPERLINK("https://github.com/nextcloud/android","show")</f>
        <v>show</v>
      </c>
      <c r="F6814" t="str">
        <f>HYPERLINK("https://github.com/nextcloud/android/releases","show")</f>
        <v>show</v>
      </c>
    </row>
    <row r="6815" spans="1:6">
      <c r="A6815" t="s">
        <v>20242</v>
      </c>
      <c r="B6815" t="s">
        <v>20243</v>
      </c>
      <c r="C6815" t="s">
        <v>20244</v>
      </c>
      <c r="D6815" t="str">
        <f>HYPERLINK("https://github.com/nextcloud/android/issues/7218","show")</f>
        <v>show</v>
      </c>
      <c r="E6815" t="str">
        <f>HYPERLINK("https://github.com/nextcloud/android","show")</f>
        <v>show</v>
      </c>
      <c r="F6815" t="str">
        <f>HYPERLINK("https://github.com/nextcloud/android/releases","show")</f>
        <v>show</v>
      </c>
    </row>
    <row r="6816" spans="1:6">
      <c r="A6816" t="s">
        <v>20245</v>
      </c>
      <c r="B6816" t="s">
        <v>20246</v>
      </c>
      <c r="C6816" t="s">
        <v>20247</v>
      </c>
      <c r="D6816" t="str">
        <f>HYPERLINK("https://github.com/TeamNewPipe/NewPipe/issues/4785","show")</f>
        <v>show</v>
      </c>
      <c r="E6816" t="str">
        <f>HYPERLINK("https://github.com/TeamNewPipe/NewPipe","show")</f>
        <v>show</v>
      </c>
      <c r="F6816" t="str">
        <f>HYPERLINK("https://github.com/TeamNewPipe/NewPipe/releases","show")</f>
        <v>show</v>
      </c>
    </row>
    <row r="6817" spans="1:6">
      <c r="A6817" t="s">
        <v>20248</v>
      </c>
      <c r="B6817" t="s">
        <v>20249</v>
      </c>
      <c r="C6817" t="s">
        <v>20250</v>
      </c>
      <c r="D6817" t="str">
        <f>HYPERLINK("https://github.com/Anuken/Mindustry/issues/3250","show")</f>
        <v>show</v>
      </c>
      <c r="E6817" t="str">
        <f>HYPERLINK("https://github.com/Anuken/Mindustry","show")</f>
        <v>show</v>
      </c>
      <c r="F6817" t="str">
        <f>HYPERLINK("https://github.com/Anuken/Mindustry/releases","show")</f>
        <v>show</v>
      </c>
    </row>
    <row r="6818" spans="1:6">
      <c r="A6818" t="s">
        <v>20251</v>
      </c>
      <c r="B6818" t="s">
        <v>20252</v>
      </c>
      <c r="C6818" t="s">
        <v>20253</v>
      </c>
      <c r="D6818" t="str">
        <f>HYPERLINK("https://github.com/TeamNewPipe/NewPipe/issues/4782","show")</f>
        <v>show</v>
      </c>
      <c r="E6818" t="str">
        <f>HYPERLINK("https://github.com/TeamNewPipe/NewPipe","show")</f>
        <v>show</v>
      </c>
      <c r="F6818" t="str">
        <f>HYPERLINK("https://github.com/TeamNewPipe/NewPipe/releases","show")</f>
        <v>show</v>
      </c>
    </row>
    <row r="6819" spans="1:6">
      <c r="A6819" t="s">
        <v>20254</v>
      </c>
      <c r="B6819" t="s">
        <v>20255</v>
      </c>
      <c r="C6819" t="s">
        <v>20256</v>
      </c>
      <c r="D6819" t="str">
        <f>HYPERLINK("https://github.com/paulin/family-bank-app/issues/34","show")</f>
        <v>show</v>
      </c>
      <c r="E6819" t="str">
        <f>HYPERLINK("https://github.com/paulin/family-bank-app","show")</f>
        <v>show</v>
      </c>
      <c r="F6819" t="str">
        <f>HYPERLINK("https://github.com/paulin/family-bank-app/releases","show")</f>
        <v>show</v>
      </c>
    </row>
    <row r="6820" spans="1:6">
      <c r="A6820" t="s">
        <v>20257</v>
      </c>
      <c r="B6820" t="s">
        <v>20258</v>
      </c>
      <c r="C6820" t="s">
        <v>20259</v>
      </c>
      <c r="D6820" t="str">
        <f>HYPERLINK("https://github.com/deltachat/deltachat-android/issues/1704","show")</f>
        <v>show</v>
      </c>
      <c r="E6820" t="str">
        <f>HYPERLINK("https://github.com/deltachat/deltachat-android","show")</f>
        <v>show</v>
      </c>
      <c r="F6820" t="str">
        <f>HYPERLINK("https://github.com/deltachat/deltachat-android/releases","show")</f>
        <v>show</v>
      </c>
    </row>
    <row r="6821" spans="1:6">
      <c r="A6821" t="s">
        <v>20260</v>
      </c>
      <c r="B6821" t="s">
        <v>20261</v>
      </c>
      <c r="C6821" t="s">
        <v>20262</v>
      </c>
      <c r="D6821" t="str">
        <f>HYPERLINK("https://github.com/Anuken/Mindustry/issues/3248","show")</f>
        <v>show</v>
      </c>
      <c r="E6821" t="str">
        <f>HYPERLINK("https://github.com/Anuken/Mindustry","show")</f>
        <v>show</v>
      </c>
      <c r="F6821" t="str">
        <f>HYPERLINK("https://github.com/Anuken/Mindustry/releases","show")</f>
        <v>show</v>
      </c>
    </row>
    <row r="6822" spans="1:6">
      <c r="A6822" t="s">
        <v>20263</v>
      </c>
      <c r="B6822" t="s">
        <v>20264</v>
      </c>
      <c r="C6822" t="s">
        <v>20265</v>
      </c>
      <c r="D6822" t="str">
        <f>HYPERLINK("https://github.com/CleverTap/clevertap-cordova/issues/75","show")</f>
        <v>show</v>
      </c>
      <c r="E6822" t="str">
        <f>HYPERLINK("https://github.com/CleverTap/clevertap-cordova","show")</f>
        <v>show</v>
      </c>
      <c r="F6822" t="str">
        <f>HYPERLINK("https://github.com/CleverTap/clevertap-cordova/releases","show")</f>
        <v>show</v>
      </c>
    </row>
    <row r="6823" spans="1:6">
      <c r="A6823" t="s">
        <v>20266</v>
      </c>
      <c r="B6823" t="s">
        <v>20267</v>
      </c>
      <c r="C6823" t="s">
        <v>20268</v>
      </c>
      <c r="D6823" t="str">
        <f>HYPERLINK("https://github.com/muxinc/mux-stats-sdk-exoplayer/issues/56","show")</f>
        <v>show</v>
      </c>
      <c r="E6823" t="str">
        <f>HYPERLINK("https://github.com/muxinc/mux-stats-sdk-exoplayer","show")</f>
        <v>show</v>
      </c>
      <c r="F6823" t="str">
        <f>HYPERLINK("https://github.com/muxinc/mux-stats-sdk-exoplayer/releases","show")</f>
        <v>show</v>
      </c>
    </row>
    <row r="6824" spans="1:6">
      <c r="A6824" t="s">
        <v>20269</v>
      </c>
      <c r="B6824" t="s">
        <v>20270</v>
      </c>
      <c r="C6824" t="s">
        <v>20271</v>
      </c>
      <c r="D6824" t="str">
        <f>HYPERLINK("https://github.com/patzly/grocy-android/issues/214","show")</f>
        <v>show</v>
      </c>
      <c r="E6824" t="str">
        <f>HYPERLINK("https://github.com/patzly/grocy-android","show")</f>
        <v>show</v>
      </c>
      <c r="F6824" t="str">
        <f>HYPERLINK("https://github.com/patzly/grocy-android/releases","show")</f>
        <v>show</v>
      </c>
    </row>
    <row r="6825" spans="1:6">
      <c r="A6825" t="s">
        <v>20272</v>
      </c>
      <c r="B6825" t="s">
        <v>20273</v>
      </c>
      <c r="C6825" t="s">
        <v>20274</v>
      </c>
      <c r="D6825" t="str">
        <f>HYPERLINK("https://github.com/Anuken/Mindustry/issues/3244","show")</f>
        <v>show</v>
      </c>
      <c r="E6825" t="str">
        <f>HYPERLINK("https://github.com/Anuken/Mindustry","show")</f>
        <v>show</v>
      </c>
      <c r="F6825" t="str">
        <f>HYPERLINK("https://github.com/Anuken/Mindustry/releases","show")</f>
        <v>show</v>
      </c>
    </row>
    <row r="6826" spans="1:6">
      <c r="A6826" t="s">
        <v>20275</v>
      </c>
      <c r="B6826" t="s">
        <v>20276</v>
      </c>
      <c r="C6826" t="s">
        <v>20277</v>
      </c>
      <c r="D6826" t="str">
        <f>HYPERLINK("https://github.com/TeamNewPipe/NewPipe/issues/4769","show")</f>
        <v>show</v>
      </c>
      <c r="E6826" t="str">
        <f>HYPERLINK("https://github.com/TeamNewPipe/NewPipe","show")</f>
        <v>show</v>
      </c>
      <c r="F6826" t="str">
        <f>HYPERLINK("https://github.com/TeamNewPipe/NewPipe/releases","show")</f>
        <v>show</v>
      </c>
    </row>
    <row r="6827" spans="1:6">
      <c r="A6827" t="s">
        <v>20278</v>
      </c>
      <c r="B6827" t="s">
        <v>20279</v>
      </c>
      <c r="C6827" t="s">
        <v>20280</v>
      </c>
      <c r="D6827" t="str">
        <f>HYPERLINK("https://github.com/nextcloud/android/issues/7208","show")</f>
        <v>show</v>
      </c>
      <c r="E6827" t="str">
        <f>HYPERLINK("https://github.com/nextcloud/android","show")</f>
        <v>show</v>
      </c>
      <c r="F6827" t="str">
        <f>HYPERLINK("https://github.com/nextcloud/android/releases","show")</f>
        <v>show</v>
      </c>
    </row>
    <row r="6828" spans="1:6">
      <c r="A6828" t="s">
        <v>20281</v>
      </c>
      <c r="B6828" t="s">
        <v>20282</v>
      </c>
      <c r="C6828" t="s">
        <v>20283</v>
      </c>
      <c r="D6828" t="str">
        <f>HYPERLINK("https://github.com/forrestguice/SuntimesWidget/issues/443","show")</f>
        <v>show</v>
      </c>
      <c r="E6828" t="str">
        <f>HYPERLINK("https://github.com/forrestguice/SuntimesWidget","show")</f>
        <v>show</v>
      </c>
      <c r="F6828" t="str">
        <f>HYPERLINK("https://github.com/forrestguice/SuntimesWidget/releases","show")</f>
        <v>show</v>
      </c>
    </row>
    <row r="6829" spans="1:6">
      <c r="A6829" t="s">
        <v>20284</v>
      </c>
      <c r="B6829" t="s">
        <v>20285</v>
      </c>
      <c r="C6829" t="s">
        <v>20286</v>
      </c>
      <c r="D6829" t="str">
        <f>HYPERLINK("https://github.com/Anuken/Mindustry/issues/3240","show")</f>
        <v>show</v>
      </c>
      <c r="E6829" t="str">
        <f>HYPERLINK("https://github.com/Anuken/Mindustry","show")</f>
        <v>show</v>
      </c>
      <c r="F6829" t="str">
        <f>HYPERLINK("https://github.com/Anuken/Mindustry/releases","show")</f>
        <v>show</v>
      </c>
    </row>
    <row r="6830" spans="1:6">
      <c r="A6830" t="s">
        <v>20287</v>
      </c>
      <c r="B6830" t="s">
        <v>20288</v>
      </c>
      <c r="C6830" t="s">
        <v>20289</v>
      </c>
      <c r="D6830" t="str">
        <f>HYPERLINK("https://github.com/TeamNewPipe/NewPipe/issues/4761","show")</f>
        <v>show</v>
      </c>
      <c r="E6830" t="str">
        <f>HYPERLINK("https://github.com/TeamNewPipe/NewPipe","show")</f>
        <v>show</v>
      </c>
      <c r="F6830" t="str">
        <f>HYPERLINK("https://github.com/TeamNewPipe/NewPipe/releases","show")</f>
        <v>show</v>
      </c>
    </row>
    <row r="6831" spans="1:6">
      <c r="A6831" t="s">
        <v>20290</v>
      </c>
      <c r="B6831" t="s">
        <v>20291</v>
      </c>
      <c r="C6831" t="s">
        <v>20292</v>
      </c>
      <c r="D6831" t="str">
        <f>HYPERLINK("https://github.com/Anuken/Mindustry/issues/3238","show")</f>
        <v>show</v>
      </c>
      <c r="E6831" t="str">
        <f>HYPERLINK("https://github.com/Anuken/Mindustry","show")</f>
        <v>show</v>
      </c>
      <c r="F6831" t="str">
        <f>HYPERLINK("https://github.com/Anuken/Mindustry/releases","show")</f>
        <v>show</v>
      </c>
    </row>
    <row r="6832" spans="1:6">
      <c r="A6832" t="s">
        <v>20293</v>
      </c>
      <c r="B6832" t="s">
        <v>20294</v>
      </c>
      <c r="C6832" t="s">
        <v>20295</v>
      </c>
      <c r="D6832" t="str">
        <f>HYPERLINK("https://github.com/TeamNewPipe/NewPipe/issues/4760","show")</f>
        <v>show</v>
      </c>
      <c r="E6832" t="str">
        <f>HYPERLINK("https://github.com/TeamNewPipe/NewPipe","show")</f>
        <v>show</v>
      </c>
      <c r="F6832" t="str">
        <f>HYPERLINK("https://github.com/TeamNewPipe/NewPipe/releases","show")</f>
        <v>show</v>
      </c>
    </row>
    <row r="6833" spans="1:6">
      <c r="A6833" t="s">
        <v>20296</v>
      </c>
      <c r="B6833" t="s">
        <v>20297</v>
      </c>
      <c r="C6833" t="s">
        <v>20298</v>
      </c>
      <c r="D6833" t="str">
        <f>HYPERLINK("https://github.com/nextcloud/android/issues/7199","show")</f>
        <v>show</v>
      </c>
      <c r="E6833" t="str">
        <f>HYPERLINK("https://github.com/nextcloud/android","show")</f>
        <v>show</v>
      </c>
      <c r="F6833" t="str">
        <f>HYPERLINK("https://github.com/nextcloud/android/releases","show")</f>
        <v>show</v>
      </c>
    </row>
    <row r="6834" spans="1:6">
      <c r="A6834" t="s">
        <v>20299</v>
      </c>
      <c r="B6834" t="s">
        <v>20300</v>
      </c>
      <c r="C6834" t="s">
        <v>20301</v>
      </c>
      <c r="D6834" t="str">
        <f>HYPERLINK("https://github.com/Anuken/Mindustry/issues/3235","show")</f>
        <v>show</v>
      </c>
      <c r="E6834" t="str">
        <f>HYPERLINK("https://github.com/Anuken/Mindustry","show")</f>
        <v>show</v>
      </c>
      <c r="F6834" t="str">
        <f>HYPERLINK("https://github.com/Anuken/Mindustry/releases","show")</f>
        <v>show</v>
      </c>
    </row>
    <row r="6835" spans="1:6">
      <c r="A6835" t="s">
        <v>20302</v>
      </c>
      <c r="B6835" t="s">
        <v>20303</v>
      </c>
      <c r="C6835" t="s">
        <v>20304</v>
      </c>
      <c r="D6835" t="str">
        <f>HYPERLINK("https://github.com/TeamNewPipe/NewPipe/issues/4758","show")</f>
        <v>show</v>
      </c>
      <c r="E6835" t="str">
        <f>HYPERLINK("https://github.com/TeamNewPipe/NewPipe","show")</f>
        <v>show</v>
      </c>
      <c r="F6835" t="str">
        <f>HYPERLINK("https://github.com/TeamNewPipe/NewPipe/releases","show")</f>
        <v>show</v>
      </c>
    </row>
    <row r="6836" spans="1:6">
      <c r="A6836" t="s">
        <v>20305</v>
      </c>
      <c r="B6836" t="s">
        <v>20306</v>
      </c>
      <c r="C6836" t="s">
        <v>20307</v>
      </c>
      <c r="D6836" t="str">
        <f>HYPERLINK("https://github.com/MuntashirAkon/AppManager/issues/140","show")</f>
        <v>show</v>
      </c>
      <c r="E6836" t="str">
        <f>HYPERLINK("https://github.com/MuntashirAkon/AppManager","show")</f>
        <v>show</v>
      </c>
      <c r="F6836" t="str">
        <f>HYPERLINK("https://github.com/MuntashirAkon/AppManager/releases","show")</f>
        <v>show</v>
      </c>
    </row>
    <row r="6837" spans="1:6">
      <c r="A6837" t="s">
        <v>20308</v>
      </c>
      <c r="B6837" t="s">
        <v>20309</v>
      </c>
      <c r="C6837" t="s">
        <v>20310</v>
      </c>
      <c r="D6837" t="str">
        <f>HYPERLINK("https://github.com/OpenTracksApp/OpenTracks/issues/491","show")</f>
        <v>show</v>
      </c>
      <c r="E6837" t="str">
        <f>HYPERLINK("https://github.com/OpenTracksApp/OpenTracks","show")</f>
        <v>show</v>
      </c>
      <c r="F6837" t="str">
        <f>HYPERLINK("https://github.com/OpenTracksApp/OpenTracks/releases","show")</f>
        <v>show</v>
      </c>
    </row>
    <row r="6838" spans="1:6">
      <c r="A6838" t="s">
        <v>20311</v>
      </c>
      <c r="B6838" t="s">
        <v>20312</v>
      </c>
      <c r="C6838" t="s">
        <v>20313</v>
      </c>
      <c r="D6838" t="str">
        <f>HYPERLINK("https://github.com/nextcloud/android/issues/7196","show")</f>
        <v>show</v>
      </c>
      <c r="E6838" t="str">
        <f>HYPERLINK("https://github.com/nextcloud/android","show")</f>
        <v>show</v>
      </c>
      <c r="F6838" t="str">
        <f>HYPERLINK("https://github.com/nextcloud/android/releases","show")</f>
        <v>show</v>
      </c>
    </row>
    <row r="6839" spans="1:6">
      <c r="A6839" t="s">
        <v>20314</v>
      </c>
      <c r="B6839" t="s">
        <v>20315</v>
      </c>
      <c r="C6839" t="s">
        <v>20316</v>
      </c>
      <c r="D6839" t="str">
        <f>HYPERLINK("https://github.com/cgeo/cgeo/issues/9327","show")</f>
        <v>show</v>
      </c>
      <c r="E6839" t="str">
        <f>HYPERLINK("https://github.com/cgeo/cgeo","show")</f>
        <v>show</v>
      </c>
      <c r="F6839" t="str">
        <f>HYPERLINK("https://github.com/cgeo/cgeo/releases","show")</f>
        <v>show</v>
      </c>
    </row>
    <row r="6840" spans="1:6">
      <c r="A6840" t="s">
        <v>20317</v>
      </c>
      <c r="B6840" t="s">
        <v>20318</v>
      </c>
      <c r="C6840" t="s">
        <v>20319</v>
      </c>
      <c r="D6840" t="str">
        <f>HYPERLINK("https://github.com/nextcloud/android/issues/7193","show")</f>
        <v>show</v>
      </c>
      <c r="E6840" t="str">
        <f>HYPERLINK("https://github.com/nextcloud/android","show")</f>
        <v>show</v>
      </c>
      <c r="F6840" t="str">
        <f>HYPERLINK("https://github.com/nextcloud/android/releases","show")</f>
        <v>show</v>
      </c>
    </row>
    <row r="6841" spans="1:6">
      <c r="A6841" t="s">
        <v>20320</v>
      </c>
      <c r="B6841" t="s">
        <v>20321</v>
      </c>
      <c r="C6841" t="s">
        <v>20322</v>
      </c>
      <c r="D6841" t="str">
        <f>HYPERLINK("https://github.com/TeamNewPipe/NewPipe/issues/4750","show")</f>
        <v>show</v>
      </c>
      <c r="E6841" t="str">
        <f>HYPERLINK("https://github.com/TeamNewPipe/NewPipe","show")</f>
        <v>show</v>
      </c>
      <c r="F6841" t="str">
        <f>HYPERLINK("https://github.com/TeamNewPipe/NewPipe/releases","show")</f>
        <v>show</v>
      </c>
    </row>
    <row r="6842" spans="1:6">
      <c r="A6842" t="s">
        <v>20323</v>
      </c>
      <c r="B6842" t="s">
        <v>20324</v>
      </c>
      <c r="C6842" t="s">
        <v>20325</v>
      </c>
      <c r="D6842" t="str">
        <f>HYPERLINK("https://github.com/Anuken/Mindustry/issues/3224","show")</f>
        <v>show</v>
      </c>
      <c r="E6842" t="str">
        <f>HYPERLINK("https://github.com/Anuken/Mindustry","show")</f>
        <v>show</v>
      </c>
      <c r="F6842" t="str">
        <f>HYPERLINK("https://github.com/Anuken/Mindustry/releases","show")</f>
        <v>show</v>
      </c>
    </row>
    <row r="6843" spans="1:6">
      <c r="A6843" t="s">
        <v>20326</v>
      </c>
      <c r="B6843" t="s">
        <v>20327</v>
      </c>
      <c r="C6843" t="s">
        <v>20078</v>
      </c>
      <c r="D6843" t="str">
        <f>HYPERLINK("https://github.com/Anuken/Mindustry/issues/3223","show")</f>
        <v>show</v>
      </c>
      <c r="E6843" t="str">
        <f>HYPERLINK("https://github.com/Anuken/Mindustry","show")</f>
        <v>show</v>
      </c>
      <c r="F6843" t="str">
        <f>HYPERLINK("https://github.com/Anuken/Mindustry/releases","show")</f>
        <v>show</v>
      </c>
    </row>
    <row r="6844" spans="1:6">
      <c r="A6844" t="s">
        <v>20328</v>
      </c>
      <c r="B6844" t="s">
        <v>20329</v>
      </c>
      <c r="C6844" t="s">
        <v>20330</v>
      </c>
      <c r="D6844" t="str">
        <f>HYPERLINK("https://github.com/Berjin/track-and-trigger/issues/1","show")</f>
        <v>show</v>
      </c>
      <c r="E6844" t="str">
        <f>HYPERLINK("https://github.com/Berjin/track-and-trigger","show")</f>
        <v>show</v>
      </c>
      <c r="F6844" t="str">
        <f>HYPERLINK("https://github.com/Berjin/track-and-trigger/releases","show")</f>
        <v>show</v>
      </c>
    </row>
    <row r="6845" spans="1:6">
      <c r="A6845" t="s">
        <v>20331</v>
      </c>
      <c r="B6845" t="s">
        <v>20332</v>
      </c>
      <c r="C6845" t="s">
        <v>20333</v>
      </c>
      <c r="D6845" t="str">
        <f>HYPERLINK("https://github.com/AOF-Dev/MCinaBox/issues/628","show")</f>
        <v>show</v>
      </c>
      <c r="E6845" t="str">
        <f>HYPERLINK("https://github.com/AOF-Dev/MCinaBox","show")</f>
        <v>show</v>
      </c>
      <c r="F6845" t="str">
        <f>HYPERLINK("https://github.com/AOF-Dev/MCinaBox/releases","show")</f>
        <v>show</v>
      </c>
    </row>
    <row r="6846" spans="1:6">
      <c r="A6846" t="s">
        <v>20334</v>
      </c>
      <c r="B6846" t="s">
        <v>20335</v>
      </c>
      <c r="C6846" t="s">
        <v>20336</v>
      </c>
      <c r="D6846" t="str">
        <f>HYPERLINK("https://github.com/Anuken/Mindustry/issues/3222","show")</f>
        <v>show</v>
      </c>
      <c r="E6846" t="str">
        <f>HYPERLINK("https://github.com/Anuken/Mindustry","show")</f>
        <v>show</v>
      </c>
      <c r="F6846" t="str">
        <f>HYPERLINK("https://github.com/Anuken/Mindustry/releases","show")</f>
        <v>show</v>
      </c>
    </row>
    <row r="6847" spans="1:6">
      <c r="A6847" t="s">
        <v>20337</v>
      </c>
      <c r="B6847" t="s">
        <v>20338</v>
      </c>
      <c r="C6847" t="s">
        <v>20339</v>
      </c>
      <c r="D6847" t="str">
        <f>HYPERLINK("https://github.com/Anuken/Mindustry/issues/3220","show")</f>
        <v>show</v>
      </c>
      <c r="E6847" t="str">
        <f>HYPERLINK("https://github.com/Anuken/Mindustry","show")</f>
        <v>show</v>
      </c>
      <c r="F6847" t="str">
        <f>HYPERLINK("https://github.com/Anuken/Mindustry/releases","show")</f>
        <v>show</v>
      </c>
    </row>
    <row r="6848" spans="1:6">
      <c r="A6848" t="s">
        <v>20340</v>
      </c>
      <c r="B6848" t="s">
        <v>20341</v>
      </c>
      <c r="C6848" t="s">
        <v>20342</v>
      </c>
      <c r="D6848" t="str">
        <f>HYPERLINK("https://github.com/TeamNewPipe/NewPipe/issues/4746","show")</f>
        <v>show</v>
      </c>
      <c r="E6848" t="str">
        <f>HYPERLINK("https://github.com/TeamNewPipe/NewPipe","show")</f>
        <v>show</v>
      </c>
      <c r="F6848" t="str">
        <f>HYPERLINK("https://github.com/TeamNewPipe/NewPipe/releases","show")</f>
        <v>show</v>
      </c>
    </row>
    <row r="6849" spans="1:6">
      <c r="A6849" t="s">
        <v>20343</v>
      </c>
      <c r="B6849" t="s">
        <v>20344</v>
      </c>
      <c r="C6849" t="s">
        <v>20345</v>
      </c>
      <c r="D6849" t="str">
        <f>HYPERLINK("https://github.com/TeamNewPipe/NewPipe/issues/4744","show")</f>
        <v>show</v>
      </c>
      <c r="E6849" t="str">
        <f>HYPERLINK("https://github.com/TeamNewPipe/NewPipe","show")</f>
        <v>show</v>
      </c>
      <c r="F6849" t="str">
        <f>HYPERLINK("https://github.com/TeamNewPipe/NewPipe/releases","show")</f>
        <v>show</v>
      </c>
    </row>
    <row r="6850" spans="1:6">
      <c r="A6850" t="s">
        <v>20346</v>
      </c>
      <c r="B6850" t="s">
        <v>13790</v>
      </c>
      <c r="C6850" t="s">
        <v>20347</v>
      </c>
      <c r="D6850" t="str">
        <f>HYPERLINK("https://github.com/Anuken/Mindustry/issues/3216","show")</f>
        <v>show</v>
      </c>
      <c r="E6850" t="str">
        <f>HYPERLINK("https://github.com/Anuken/Mindustry","show")</f>
        <v>show</v>
      </c>
      <c r="F6850" t="str">
        <f>HYPERLINK("https://github.com/Anuken/Mindustry/releases","show")</f>
        <v>show</v>
      </c>
    </row>
    <row r="6851" spans="1:6">
      <c r="A6851" t="s">
        <v>20348</v>
      </c>
      <c r="B6851" t="s">
        <v>20349</v>
      </c>
      <c r="C6851" t="s">
        <v>20350</v>
      </c>
      <c r="D6851" t="str">
        <f>HYPERLINK("https://github.com/k9mail/k-9/issues/5035","show")</f>
        <v>show</v>
      </c>
      <c r="E6851" t="str">
        <f>HYPERLINK("https://github.com/k9mail/k-9","show")</f>
        <v>show</v>
      </c>
      <c r="F6851" t="str">
        <f>HYPERLINK("https://github.com/k9mail/k-9/releases","show")</f>
        <v>show</v>
      </c>
    </row>
    <row r="6852" spans="1:6">
      <c r="A6852" t="s">
        <v>20351</v>
      </c>
      <c r="B6852" t="s">
        <v>20352</v>
      </c>
      <c r="C6852" t="s">
        <v>20353</v>
      </c>
      <c r="D6852" t="str">
        <f>HYPERLINK("https://github.com/inaturalist/iNaturalistAndroid/issues/930","show")</f>
        <v>show</v>
      </c>
      <c r="E6852" t="str">
        <f>HYPERLINK("https://github.com/inaturalist/iNaturalistAndroid","show")</f>
        <v>show</v>
      </c>
      <c r="F6852" t="str">
        <f>HYPERLINK("https://github.com/inaturalist/iNaturalistAndroid/releases","show")</f>
        <v>show</v>
      </c>
    </row>
    <row r="6853" spans="1:6">
      <c r="A6853" t="s">
        <v>20354</v>
      </c>
      <c r="B6853" t="s">
        <v>20355</v>
      </c>
      <c r="C6853" t="s">
        <v>20356</v>
      </c>
      <c r="D6853" t="str">
        <f>HYPERLINK("https://github.com/inaturalist/iNaturalistAndroid/issues/929","show")</f>
        <v>show</v>
      </c>
      <c r="E6853" t="str">
        <f>HYPERLINK("https://github.com/inaturalist/iNaturalistAndroid","show")</f>
        <v>show</v>
      </c>
      <c r="F6853" t="str">
        <f>HYPERLINK("https://github.com/inaturalist/iNaturalistAndroid/releases","show")</f>
        <v>show</v>
      </c>
    </row>
    <row r="6854" spans="1:6">
      <c r="A6854" t="s">
        <v>20357</v>
      </c>
      <c r="B6854" t="s">
        <v>20358</v>
      </c>
      <c r="C6854" t="s">
        <v>20078</v>
      </c>
      <c r="D6854" t="str">
        <f>HYPERLINK("https://github.com/Anuken/Mindustry/issues/3212","show")</f>
        <v>show</v>
      </c>
      <c r="E6854" t="str">
        <f t="shared" ref="E6854:E6859" si="32">HYPERLINK("https://github.com/Anuken/Mindustry","show")</f>
        <v>show</v>
      </c>
      <c r="F6854" t="str">
        <f t="shared" ref="F6854:F6859" si="33">HYPERLINK("https://github.com/Anuken/Mindustry/releases","show")</f>
        <v>show</v>
      </c>
    </row>
    <row r="6855" spans="1:6">
      <c r="A6855" t="s">
        <v>20359</v>
      </c>
      <c r="B6855" t="s">
        <v>20360</v>
      </c>
      <c r="C6855" t="s">
        <v>20361</v>
      </c>
      <c r="D6855" t="str">
        <f>HYPERLINK("https://github.com/Anuken/Mindustry/issues/3208","show")</f>
        <v>show</v>
      </c>
      <c r="E6855" t="str">
        <f t="shared" si="32"/>
        <v>show</v>
      </c>
      <c r="F6855" t="str">
        <f t="shared" si="33"/>
        <v>show</v>
      </c>
    </row>
    <row r="6856" spans="1:6">
      <c r="A6856" t="s">
        <v>20362</v>
      </c>
      <c r="B6856" t="s">
        <v>20363</v>
      </c>
      <c r="C6856" t="s">
        <v>20364</v>
      </c>
      <c r="D6856" t="str">
        <f>HYPERLINK("https://github.com/Anuken/Mindustry/issues/3206","show")</f>
        <v>show</v>
      </c>
      <c r="E6856" t="str">
        <f t="shared" si="32"/>
        <v>show</v>
      </c>
      <c r="F6856" t="str">
        <f t="shared" si="33"/>
        <v>show</v>
      </c>
    </row>
    <row r="6857" spans="1:6">
      <c r="A6857" t="s">
        <v>20365</v>
      </c>
      <c r="B6857" t="s">
        <v>20366</v>
      </c>
      <c r="C6857" t="s">
        <v>20367</v>
      </c>
      <c r="D6857" t="str">
        <f>HYPERLINK("https://github.com/Anuken/Mindustry/issues/3205","show")</f>
        <v>show</v>
      </c>
      <c r="E6857" t="str">
        <f t="shared" si="32"/>
        <v>show</v>
      </c>
      <c r="F6857" t="str">
        <f t="shared" si="33"/>
        <v>show</v>
      </c>
    </row>
    <row r="6858" spans="1:6">
      <c r="A6858" t="s">
        <v>20368</v>
      </c>
      <c r="B6858" t="s">
        <v>20369</v>
      </c>
      <c r="C6858" t="s">
        <v>20370</v>
      </c>
      <c r="D6858" t="str">
        <f>HYPERLINK("https://github.com/Anuken/Mindustry/issues/3204","show")</f>
        <v>show</v>
      </c>
      <c r="E6858" t="str">
        <f t="shared" si="32"/>
        <v>show</v>
      </c>
      <c r="F6858" t="str">
        <f t="shared" si="33"/>
        <v>show</v>
      </c>
    </row>
    <row r="6859" spans="1:6">
      <c r="A6859" t="s">
        <v>20371</v>
      </c>
      <c r="B6859" t="s">
        <v>20372</v>
      </c>
      <c r="C6859" t="s">
        <v>20373</v>
      </c>
      <c r="D6859" t="str">
        <f>HYPERLINK("https://github.com/Anuken/Mindustry/issues/3203","show")</f>
        <v>show</v>
      </c>
      <c r="E6859" t="str">
        <f t="shared" si="32"/>
        <v>show</v>
      </c>
      <c r="F6859" t="str">
        <f t="shared" si="33"/>
        <v>show</v>
      </c>
    </row>
    <row r="6860" spans="1:6">
      <c r="A6860" t="s">
        <v>20374</v>
      </c>
      <c r="B6860" t="s">
        <v>20375</v>
      </c>
      <c r="C6860" t="s">
        <v>20376</v>
      </c>
      <c r="D6860" t="str">
        <f>HYPERLINK("https://github.com/TeamNewPipe/NewPipe/issues/4738","show")</f>
        <v>show</v>
      </c>
      <c r="E6860" t="str">
        <f>HYPERLINK("https://github.com/TeamNewPipe/NewPipe","show")</f>
        <v>show</v>
      </c>
      <c r="F6860" t="str">
        <f>HYPERLINK("https://github.com/TeamNewPipe/NewPipe/releases","show")</f>
        <v>show</v>
      </c>
    </row>
    <row r="6861" spans="1:6">
      <c r="A6861" t="s">
        <v>20377</v>
      </c>
      <c r="B6861" t="s">
        <v>20378</v>
      </c>
      <c r="C6861" t="s">
        <v>20379</v>
      </c>
      <c r="D6861" t="str">
        <f>HYPERLINK("https://github.com/AOF-Dev/MCinaBox/issues/622","show")</f>
        <v>show</v>
      </c>
      <c r="E6861" t="str">
        <f>HYPERLINK("https://github.com/AOF-Dev/MCinaBox","show")</f>
        <v>show</v>
      </c>
      <c r="F6861" t="str">
        <f>HYPERLINK("https://github.com/AOF-Dev/MCinaBox/releases","show")</f>
        <v>show</v>
      </c>
    </row>
    <row r="6862" spans="1:6">
      <c r="A6862" t="s">
        <v>20380</v>
      </c>
      <c r="B6862" t="s">
        <v>20381</v>
      </c>
      <c r="C6862" t="s">
        <v>20382</v>
      </c>
      <c r="D6862" t="str">
        <f>HYPERLINK("https://github.com/Anuken/Mindustry/issues/3200","show")</f>
        <v>show</v>
      </c>
      <c r="E6862" t="str">
        <f>HYPERLINK("https://github.com/Anuken/Mindustry","show")</f>
        <v>show</v>
      </c>
      <c r="F6862" t="str">
        <f>HYPERLINK("https://github.com/Anuken/Mindustry/releases","show")</f>
        <v>show</v>
      </c>
    </row>
    <row r="6863" spans="1:6">
      <c r="A6863" t="s">
        <v>20383</v>
      </c>
      <c r="B6863" t="s">
        <v>20384</v>
      </c>
      <c r="C6863" t="s">
        <v>20385</v>
      </c>
      <c r="D6863" t="str">
        <f>HYPERLINK("https://github.com/Anuken/Mindustry/issues/3199","show")</f>
        <v>show</v>
      </c>
      <c r="E6863" t="str">
        <f>HYPERLINK("https://github.com/Anuken/Mindustry","show")</f>
        <v>show</v>
      </c>
      <c r="F6863" t="str">
        <f>HYPERLINK("https://github.com/Anuken/Mindustry/releases","show")</f>
        <v>show</v>
      </c>
    </row>
    <row r="6864" spans="1:6">
      <c r="A6864" t="s">
        <v>20386</v>
      </c>
      <c r="B6864" t="s">
        <v>20387</v>
      </c>
      <c r="C6864" t="s">
        <v>20388</v>
      </c>
      <c r="D6864" t="str">
        <f>HYPERLINK("https://github.com/Anuken/Mindustry/issues/3198","show")</f>
        <v>show</v>
      </c>
      <c r="E6864" t="str">
        <f>HYPERLINK("https://github.com/Anuken/Mindustry","show")</f>
        <v>show</v>
      </c>
      <c r="F6864" t="str">
        <f>HYPERLINK("https://github.com/Anuken/Mindustry/releases","show")</f>
        <v>show</v>
      </c>
    </row>
    <row r="6865" spans="1:6">
      <c r="A6865" t="s">
        <v>20389</v>
      </c>
      <c r="B6865" t="s">
        <v>20390</v>
      </c>
      <c r="C6865" t="s">
        <v>20391</v>
      </c>
      <c r="D6865" t="str">
        <f>HYPERLINK("https://github.com/Anuken/Mindustry/issues/3197","show")</f>
        <v>show</v>
      </c>
      <c r="E6865" t="str">
        <f>HYPERLINK("https://github.com/Anuken/Mindustry","show")</f>
        <v>show</v>
      </c>
      <c r="F6865" t="str">
        <f>HYPERLINK("https://github.com/Anuken/Mindustry/releases","show")</f>
        <v>show</v>
      </c>
    </row>
    <row r="6866" spans="1:6">
      <c r="A6866" t="s">
        <v>20392</v>
      </c>
      <c r="B6866" t="s">
        <v>20393</v>
      </c>
      <c r="C6866" t="s">
        <v>20394</v>
      </c>
      <c r="D6866" t="str">
        <f>HYPERLINK("https://github.com/oliexdev/openWorkout/issues/17","show")</f>
        <v>show</v>
      </c>
      <c r="E6866" t="str">
        <f>HYPERLINK("https://github.com/oliexdev/openWorkout","show")</f>
        <v>show</v>
      </c>
      <c r="F6866" t="str">
        <f>HYPERLINK("https://github.com/oliexdev/openWorkout/releases","show")</f>
        <v>show</v>
      </c>
    </row>
    <row r="6867" spans="1:6">
      <c r="A6867" t="s">
        <v>20395</v>
      </c>
      <c r="B6867" t="s">
        <v>107</v>
      </c>
      <c r="C6867" t="s">
        <v>20396</v>
      </c>
      <c r="D6867" t="str">
        <f>HYPERLINK("https://github.com/Anuken/Mindustry/issues/3196","show")</f>
        <v>show</v>
      </c>
      <c r="E6867" t="str">
        <f>HYPERLINK("https://github.com/Anuken/Mindustry","show")</f>
        <v>show</v>
      </c>
      <c r="F6867" t="str">
        <f>HYPERLINK("https://github.com/Anuken/Mindustry/releases","show")</f>
        <v>show</v>
      </c>
    </row>
    <row r="6868" spans="1:6">
      <c r="A6868" t="s">
        <v>20397</v>
      </c>
      <c r="B6868" t="s">
        <v>20398</v>
      </c>
      <c r="C6868" t="s">
        <v>20399</v>
      </c>
      <c r="D6868" t="str">
        <f>HYPERLINK("https://github.com/aws-amplify/amplify-android/issues/944","show")</f>
        <v>show</v>
      </c>
      <c r="E6868" t="str">
        <f>HYPERLINK("https://github.com/aws-amplify/amplify-android","show")</f>
        <v>show</v>
      </c>
      <c r="F6868" t="str">
        <f>HYPERLINK("https://github.com/aws-amplify/amplify-android/releases","show")</f>
        <v>show</v>
      </c>
    </row>
    <row r="6869" spans="1:6">
      <c r="A6869" t="s">
        <v>20400</v>
      </c>
      <c r="B6869" t="s">
        <v>20401</v>
      </c>
      <c r="C6869" t="s">
        <v>20402</v>
      </c>
      <c r="D6869" t="str">
        <f>HYPERLINK("https://github.com/nextcloud/android/issues/7187","show")</f>
        <v>show</v>
      </c>
      <c r="E6869" t="str">
        <f>HYPERLINK("https://github.com/nextcloud/android","show")</f>
        <v>show</v>
      </c>
      <c r="F6869" t="str">
        <f>HYPERLINK("https://github.com/nextcloud/android/releases","show")</f>
        <v>show</v>
      </c>
    </row>
    <row r="6870" spans="1:6">
      <c r="A6870" t="s">
        <v>20403</v>
      </c>
      <c r="B6870" t="s">
        <v>20404</v>
      </c>
      <c r="C6870" t="s">
        <v>20405</v>
      </c>
      <c r="D6870" t="str">
        <f>HYPERLINK("https://github.com/nextcloud/android/issues/7185","show")</f>
        <v>show</v>
      </c>
      <c r="E6870" t="str">
        <f>HYPERLINK("https://github.com/nextcloud/android","show")</f>
        <v>show</v>
      </c>
      <c r="F6870" t="str">
        <f>HYPERLINK("https://github.com/nextcloud/android/releases","show")</f>
        <v>show</v>
      </c>
    </row>
    <row r="6871" spans="1:6">
      <c r="A6871" t="s">
        <v>20406</v>
      </c>
      <c r="B6871" t="s">
        <v>20407</v>
      </c>
      <c r="C6871" t="s">
        <v>18602</v>
      </c>
      <c r="D6871" t="str">
        <f>HYPERLINK("https://github.com/TeamNewPipe/NewPipe/issues/4731","show")</f>
        <v>show</v>
      </c>
      <c r="E6871" t="str">
        <f>HYPERLINK("https://github.com/TeamNewPipe/NewPipe","show")</f>
        <v>show</v>
      </c>
      <c r="F6871" t="str">
        <f>HYPERLINK("https://github.com/TeamNewPipe/NewPipe/releases","show")</f>
        <v>show</v>
      </c>
    </row>
    <row r="6872" spans="1:6">
      <c r="A6872" t="s">
        <v>20408</v>
      </c>
      <c r="B6872" t="s">
        <v>20409</v>
      </c>
      <c r="C6872" t="s">
        <v>20410</v>
      </c>
      <c r="D6872" t="str">
        <f>HYPERLINK("https://github.com/nextcloud/android/issues/7184","show")</f>
        <v>show</v>
      </c>
      <c r="E6872" t="str">
        <f>HYPERLINK("https://github.com/nextcloud/android","show")</f>
        <v>show</v>
      </c>
      <c r="F6872" t="str">
        <f>HYPERLINK("https://github.com/nextcloud/android/releases","show")</f>
        <v>show</v>
      </c>
    </row>
    <row r="6873" spans="1:6">
      <c r="A6873" t="s">
        <v>20411</v>
      </c>
      <c r="B6873" t="s">
        <v>20412</v>
      </c>
      <c r="C6873" t="s">
        <v>20413</v>
      </c>
      <c r="D6873" t="str">
        <f>HYPERLINK("https://github.com/TeamNewPipe/NewPipe/issues/4730","show")</f>
        <v>show</v>
      </c>
      <c r="E6873" t="str">
        <f>HYPERLINK("https://github.com/TeamNewPipe/NewPipe","show")</f>
        <v>show</v>
      </c>
      <c r="F6873" t="str">
        <f>HYPERLINK("https://github.com/TeamNewPipe/NewPipe/releases","show")</f>
        <v>show</v>
      </c>
    </row>
    <row r="6874" spans="1:6">
      <c r="A6874" t="s">
        <v>20414</v>
      </c>
      <c r="B6874" t="s">
        <v>20415</v>
      </c>
      <c r="C6874" t="s">
        <v>20416</v>
      </c>
      <c r="D6874" t="str">
        <f>HYPERLINK("https://github.com/TeamNewPipe/NewPipe/issues/4729","show")</f>
        <v>show</v>
      </c>
      <c r="E6874" t="str">
        <f>HYPERLINK("https://github.com/TeamNewPipe/NewPipe","show")</f>
        <v>show</v>
      </c>
      <c r="F6874" t="str">
        <f>HYPERLINK("https://github.com/TeamNewPipe/NewPipe/releases","show")</f>
        <v>show</v>
      </c>
    </row>
    <row r="6875" spans="1:6">
      <c r="A6875" t="s">
        <v>20417</v>
      </c>
      <c r="B6875" t="s">
        <v>20418</v>
      </c>
      <c r="C6875" t="s">
        <v>20419</v>
      </c>
      <c r="D6875" t="str">
        <f>HYPERLINK("https://github.com/Anuken/Mindustry/issues/3193","show")</f>
        <v>show</v>
      </c>
      <c r="E6875" t="str">
        <f>HYPERLINK("https://github.com/Anuken/Mindustry","show")</f>
        <v>show</v>
      </c>
      <c r="F6875" t="str">
        <f>HYPERLINK("https://github.com/Anuken/Mindustry/releases","show")</f>
        <v>show</v>
      </c>
    </row>
    <row r="6876" spans="1:6">
      <c r="A6876" t="s">
        <v>20420</v>
      </c>
      <c r="B6876" t="s">
        <v>20421</v>
      </c>
      <c r="C6876" t="s">
        <v>20422</v>
      </c>
      <c r="D6876" t="str">
        <f>HYPERLINK("https://github.com/SkyTubeTeam/SkyTube/issues/827","show")</f>
        <v>show</v>
      </c>
      <c r="E6876" t="str">
        <f>HYPERLINK("https://github.com/SkyTubeTeam/SkyTube","show")</f>
        <v>show</v>
      </c>
      <c r="F6876" t="str">
        <f>HYPERLINK("https://github.com/SkyTubeTeam/SkyTube/releases","show")</f>
        <v>show</v>
      </c>
    </row>
    <row r="6877" spans="1:6">
      <c r="A6877" t="s">
        <v>20423</v>
      </c>
      <c r="B6877" t="s">
        <v>20424</v>
      </c>
      <c r="C6877" t="s">
        <v>20425</v>
      </c>
      <c r="D6877" t="str">
        <f>HYPERLINK("https://github.com/Anuken/Mindustry/issues/3189","show")</f>
        <v>show</v>
      </c>
      <c r="E6877" t="str">
        <f>HYPERLINK("https://github.com/Anuken/Mindustry","show")</f>
        <v>show</v>
      </c>
      <c r="F6877" t="str">
        <f>HYPERLINK("https://github.com/Anuken/Mindustry/releases","show")</f>
        <v>show</v>
      </c>
    </row>
    <row r="6878" spans="1:6">
      <c r="A6878" t="s">
        <v>20426</v>
      </c>
      <c r="B6878" t="s">
        <v>20427</v>
      </c>
      <c r="C6878" t="s">
        <v>20428</v>
      </c>
      <c r="D6878" t="str">
        <f>HYPERLINK("https://github.com/microg/FakeStore/issues/24","show")</f>
        <v>show</v>
      </c>
      <c r="E6878" t="str">
        <f>HYPERLINK("https://github.com/microg/FakeStore","show")</f>
        <v>show</v>
      </c>
      <c r="F6878" t="str">
        <f>HYPERLINK("https://github.com/microg/FakeStore/releases","show")</f>
        <v>show</v>
      </c>
    </row>
    <row r="6879" spans="1:6">
      <c r="A6879" t="s">
        <v>20429</v>
      </c>
      <c r="B6879" t="s">
        <v>20430</v>
      </c>
      <c r="C6879" t="s">
        <v>20431</v>
      </c>
      <c r="D6879" t="str">
        <f>HYPERLINK("https://github.com/AOF-Dev/MCinaBox/issues/618","show")</f>
        <v>show</v>
      </c>
      <c r="E6879" t="str">
        <f>HYPERLINK("https://github.com/AOF-Dev/MCinaBox","show")</f>
        <v>show</v>
      </c>
      <c r="F6879" t="str">
        <f>HYPERLINK("https://github.com/AOF-Dev/MCinaBox/releases","show")</f>
        <v>show</v>
      </c>
    </row>
    <row r="6880" spans="1:6">
      <c r="A6880" t="s">
        <v>20432</v>
      </c>
      <c r="B6880" t="s">
        <v>20433</v>
      </c>
      <c r="C6880" t="s">
        <v>20434</v>
      </c>
      <c r="D6880" t="str">
        <f>HYPERLINK("https://github.com/oatmael/Sneezy/issues/24","show")</f>
        <v>show</v>
      </c>
      <c r="E6880" t="str">
        <f>HYPERLINK("https://github.com/oatmael/Sneezy","show")</f>
        <v>show</v>
      </c>
      <c r="F6880" t="str">
        <f>HYPERLINK("https://github.com/oatmael/Sneezy/releases","show")</f>
        <v>show</v>
      </c>
    </row>
    <row r="6881" spans="1:6">
      <c r="A6881" t="s">
        <v>20435</v>
      </c>
      <c r="B6881" t="s">
        <v>20436</v>
      </c>
      <c r="C6881" t="s">
        <v>20437</v>
      </c>
      <c r="D6881" t="str">
        <f>HYPERLINK("https://github.com/TeamNewPipe/NewPipe/issues/4714","show")</f>
        <v>show</v>
      </c>
      <c r="E6881" t="str">
        <f>HYPERLINK("https://github.com/TeamNewPipe/NewPipe","show")</f>
        <v>show</v>
      </c>
      <c r="F6881" t="str">
        <f>HYPERLINK("https://github.com/TeamNewPipe/NewPipe/releases","show")</f>
        <v>show</v>
      </c>
    </row>
    <row r="6882" spans="1:6">
      <c r="A6882" t="s">
        <v>20438</v>
      </c>
      <c r="B6882" t="s">
        <v>20439</v>
      </c>
      <c r="C6882" t="s">
        <v>20440</v>
      </c>
      <c r="D6882" t="str">
        <f>HYPERLINK("https://github.com/TeamNewPipe/NewPipe/issues/4712","show")</f>
        <v>show</v>
      </c>
      <c r="E6882" t="str">
        <f>HYPERLINK("https://github.com/TeamNewPipe/NewPipe","show")</f>
        <v>show</v>
      </c>
      <c r="F6882" t="str">
        <f>HYPERLINK("https://github.com/TeamNewPipe/NewPipe/releases","show")</f>
        <v>show</v>
      </c>
    </row>
    <row r="6883" spans="1:6">
      <c r="A6883" t="s">
        <v>20441</v>
      </c>
      <c r="B6883" t="s">
        <v>20442</v>
      </c>
      <c r="C6883" t="s">
        <v>20443</v>
      </c>
      <c r="D6883" t="str">
        <f>HYPERLINK("https://github.com/TeamNewPipe/NewPipe/issues/4711","show")</f>
        <v>show</v>
      </c>
      <c r="E6883" t="str">
        <f>HYPERLINK("https://github.com/TeamNewPipe/NewPipe","show")</f>
        <v>show</v>
      </c>
      <c r="F6883" t="str">
        <f>HYPERLINK("https://github.com/TeamNewPipe/NewPipe/releases","show")</f>
        <v>show</v>
      </c>
    </row>
    <row r="6884" spans="1:6">
      <c r="A6884" t="s">
        <v>20444</v>
      </c>
      <c r="B6884" t="s">
        <v>20445</v>
      </c>
      <c r="C6884" t="s">
        <v>20446</v>
      </c>
      <c r="D6884" t="str">
        <f>HYPERLINK("https://github.com/TeamNewPipe/NewPipe/issues/4707","show")</f>
        <v>show</v>
      </c>
      <c r="E6884" t="str">
        <f>HYPERLINK("https://github.com/TeamNewPipe/NewPipe","show")</f>
        <v>show</v>
      </c>
      <c r="F6884" t="str">
        <f>HYPERLINK("https://github.com/TeamNewPipe/NewPipe/releases","show")</f>
        <v>show</v>
      </c>
    </row>
    <row r="6885" spans="1:6">
      <c r="A6885" t="s">
        <v>20447</v>
      </c>
      <c r="B6885" t="s">
        <v>20448</v>
      </c>
      <c r="C6885" t="s">
        <v>20449</v>
      </c>
      <c r="D6885" t="str">
        <f>HYPERLINK("https://github.com/Anuken/Mindustry/issues/3183","show")</f>
        <v>show</v>
      </c>
      <c r="E6885" t="str">
        <f>HYPERLINK("https://github.com/Anuken/Mindustry","show")</f>
        <v>show</v>
      </c>
      <c r="F6885" t="str">
        <f>HYPERLINK("https://github.com/Anuken/Mindustry/releases","show")</f>
        <v>show</v>
      </c>
    </row>
    <row r="6886" spans="1:6">
      <c r="A6886" t="s">
        <v>20450</v>
      </c>
      <c r="B6886" t="s">
        <v>20451</v>
      </c>
      <c r="C6886" t="s">
        <v>20452</v>
      </c>
      <c r="D6886" t="str">
        <f>HYPERLINK("https://github.com/TeamNewPipe/NewPipe-legacy/issues/51","show")</f>
        <v>show</v>
      </c>
      <c r="E6886" t="str">
        <f>HYPERLINK("https://github.com/TeamNewPipe/NewPipe-legacy","show")</f>
        <v>show</v>
      </c>
      <c r="F6886" t="str">
        <f>HYPERLINK("https://github.com/TeamNewPipe/NewPipe-legacy/releases","show")</f>
        <v>show</v>
      </c>
    </row>
    <row r="6887" spans="1:6">
      <c r="A6887" t="s">
        <v>20453</v>
      </c>
      <c r="B6887" t="s">
        <v>20454</v>
      </c>
      <c r="C6887" t="s">
        <v>20455</v>
      </c>
      <c r="D6887" t="str">
        <f>HYPERLINK("https://github.com/Anuken/Mindustry/issues/3179","show")</f>
        <v>show</v>
      </c>
      <c r="E6887" t="str">
        <f>HYPERLINK("https://github.com/Anuken/Mindustry","show")</f>
        <v>show</v>
      </c>
      <c r="F6887" t="str">
        <f>HYPERLINK("https://github.com/Anuken/Mindustry/releases","show")</f>
        <v>show</v>
      </c>
    </row>
    <row r="6888" spans="1:6">
      <c r="A6888" t="s">
        <v>20456</v>
      </c>
      <c r="B6888" t="s">
        <v>20457</v>
      </c>
      <c r="C6888" t="s">
        <v>20458</v>
      </c>
      <c r="D6888" t="str">
        <f>HYPERLINK("https://github.com/Anuken/Mindustry/issues/3176","show")</f>
        <v>show</v>
      </c>
      <c r="E6888" t="str">
        <f>HYPERLINK("https://github.com/Anuken/Mindustry","show")</f>
        <v>show</v>
      </c>
      <c r="F6888" t="str">
        <f>HYPERLINK("https://github.com/Anuken/Mindustry/releases","show")</f>
        <v>show</v>
      </c>
    </row>
    <row r="6889" spans="1:6">
      <c r="A6889" t="s">
        <v>20459</v>
      </c>
      <c r="B6889" t="s">
        <v>20460</v>
      </c>
      <c r="C6889" t="s">
        <v>20461</v>
      </c>
      <c r="D6889" t="str">
        <f>HYPERLINK("https://github.com/Anuken/Mindustry/issues/3173","show")</f>
        <v>show</v>
      </c>
      <c r="E6889" t="str">
        <f>HYPERLINK("https://github.com/Anuken/Mindustry","show")</f>
        <v>show</v>
      </c>
      <c r="F6889" t="str">
        <f>HYPERLINK("https://github.com/Anuken/Mindustry/releases","show")</f>
        <v>show</v>
      </c>
    </row>
    <row r="6890" spans="1:6">
      <c r="A6890" t="s">
        <v>20462</v>
      </c>
      <c r="B6890" t="s">
        <v>20463</v>
      </c>
      <c r="C6890" t="s">
        <v>20464</v>
      </c>
      <c r="D6890" t="str">
        <f>HYPERLINK("https://github.com/TeamNewPipe/NewPipe/issues/4699","show")</f>
        <v>show</v>
      </c>
      <c r="E6890" t="str">
        <f>HYPERLINK("https://github.com/TeamNewPipe/NewPipe","show")</f>
        <v>show</v>
      </c>
      <c r="F6890" t="str">
        <f>HYPERLINK("https://github.com/TeamNewPipe/NewPipe/releases","show")</f>
        <v>show</v>
      </c>
    </row>
    <row r="6891" spans="1:6">
      <c r="A6891" t="s">
        <v>20465</v>
      </c>
      <c r="B6891" t="s">
        <v>20466</v>
      </c>
      <c r="C6891" t="s">
        <v>20467</v>
      </c>
      <c r="D6891" t="str">
        <f>HYPERLINK("https://github.com/TeamNewPipe/NewPipe/issues/4698","show")</f>
        <v>show</v>
      </c>
      <c r="E6891" t="str">
        <f>HYPERLINK("https://github.com/TeamNewPipe/NewPipe","show")</f>
        <v>show</v>
      </c>
      <c r="F6891" t="str">
        <f>HYPERLINK("https://github.com/TeamNewPipe/NewPipe/releases","show")</f>
        <v>show</v>
      </c>
    </row>
    <row r="6892" spans="1:6">
      <c r="A6892" t="s">
        <v>20468</v>
      </c>
      <c r="B6892" t="s">
        <v>20469</v>
      </c>
      <c r="C6892" t="s">
        <v>20470</v>
      </c>
      <c r="D6892" t="str">
        <f>HYPERLINK("https://github.com/indomie858/app-A/issues/53","show")</f>
        <v>show</v>
      </c>
      <c r="E6892" t="str">
        <f>HYPERLINK("https://github.com/indomie858/app-A","show")</f>
        <v>show</v>
      </c>
      <c r="F6892" t="str">
        <f>HYPERLINK("https://github.com/indomie858/app-A/releases","show")</f>
        <v>show</v>
      </c>
    </row>
    <row r="6893" spans="1:6">
      <c r="A6893" t="s">
        <v>20471</v>
      </c>
      <c r="B6893" t="s">
        <v>20472</v>
      </c>
      <c r="C6893" t="s">
        <v>20473</v>
      </c>
      <c r="D6893" t="str">
        <f>HYPERLINK("https://github.com/Anuken/Mindustry/issues/3171","show")</f>
        <v>show</v>
      </c>
      <c r="E6893" t="str">
        <f>HYPERLINK("https://github.com/Anuken/Mindustry","show")</f>
        <v>show</v>
      </c>
      <c r="F6893" t="str">
        <f>HYPERLINK("https://github.com/Anuken/Mindustry/releases","show")</f>
        <v>show</v>
      </c>
    </row>
    <row r="6894" spans="1:6">
      <c r="A6894" t="s">
        <v>20474</v>
      </c>
      <c r="B6894" t="s">
        <v>20475</v>
      </c>
      <c r="C6894" t="s">
        <v>20476</v>
      </c>
      <c r="D6894" t="str">
        <f>HYPERLINK("https://github.com/MuntashirAkon/AppManager/issues/135","show")</f>
        <v>show</v>
      </c>
      <c r="E6894" t="str">
        <f>HYPERLINK("https://github.com/MuntashirAkon/AppManager","show")</f>
        <v>show</v>
      </c>
      <c r="F6894" t="str">
        <f>HYPERLINK("https://github.com/MuntashirAkon/AppManager/releases","show")</f>
        <v>show</v>
      </c>
    </row>
    <row r="6895" spans="1:6">
      <c r="A6895" t="s">
        <v>20477</v>
      </c>
      <c r="B6895" t="s">
        <v>20478</v>
      </c>
      <c r="C6895" t="s">
        <v>20479</v>
      </c>
      <c r="D6895" t="str">
        <f>HYPERLINK("https://github.com/aws-amplify/amplify-android/issues/940","show")</f>
        <v>show</v>
      </c>
      <c r="E6895" t="str">
        <f>HYPERLINK("https://github.com/aws-amplify/amplify-android","show")</f>
        <v>show</v>
      </c>
      <c r="F6895" t="str">
        <f>HYPERLINK("https://github.com/aws-amplify/amplify-android/releases","show")</f>
        <v>show</v>
      </c>
    </row>
    <row r="6896" spans="1:6">
      <c r="A6896" t="s">
        <v>20480</v>
      </c>
      <c r="B6896" t="s">
        <v>20481</v>
      </c>
      <c r="C6896" t="s">
        <v>20482</v>
      </c>
      <c r="D6896" t="str">
        <f>HYPERLINK("https://github.com/TeamNewPipe/NewPipe/issues/4688","show")</f>
        <v>show</v>
      </c>
      <c r="E6896" t="str">
        <f>HYPERLINK("https://github.com/TeamNewPipe/NewPipe","show")</f>
        <v>show</v>
      </c>
      <c r="F6896" t="str">
        <f>HYPERLINK("https://github.com/TeamNewPipe/NewPipe/releases","show")</f>
        <v>show</v>
      </c>
    </row>
    <row r="6897" spans="1:6">
      <c r="A6897" t="s">
        <v>20483</v>
      </c>
      <c r="B6897" t="s">
        <v>20484</v>
      </c>
      <c r="C6897" t="s">
        <v>20485</v>
      </c>
      <c r="D6897" t="str">
        <f>HYPERLINK("https://github.com/Anuken/Mindustry/issues/3169","show")</f>
        <v>show</v>
      </c>
      <c r="E6897" t="str">
        <f>HYPERLINK("https://github.com/Anuken/Mindustry","show")</f>
        <v>show</v>
      </c>
      <c r="F6897" t="str">
        <f>HYPERLINK("https://github.com/Anuken/Mindustry/releases","show")</f>
        <v>show</v>
      </c>
    </row>
    <row r="6898" spans="1:6">
      <c r="A6898" t="s">
        <v>20486</v>
      </c>
      <c r="B6898" t="s">
        <v>20487</v>
      </c>
      <c r="C6898" t="s">
        <v>20488</v>
      </c>
      <c r="D6898" t="str">
        <f>HYPERLINK("https://github.com/TeamNewPipe/NewPipe/issues/4684","show")</f>
        <v>show</v>
      </c>
      <c r="E6898" t="str">
        <f>HYPERLINK("https://github.com/TeamNewPipe/NewPipe","show")</f>
        <v>show</v>
      </c>
      <c r="F6898" t="str">
        <f>HYPERLINK("https://github.com/TeamNewPipe/NewPipe/releases","show")</f>
        <v>show</v>
      </c>
    </row>
    <row r="6899" spans="1:6">
      <c r="A6899" t="s">
        <v>20489</v>
      </c>
      <c r="B6899" t="s">
        <v>20490</v>
      </c>
      <c r="C6899" t="s">
        <v>20491</v>
      </c>
      <c r="D6899" t="str">
        <f>HYPERLINK("https://github.com/TeamNewPipe/NewPipe/issues/4682","show")</f>
        <v>show</v>
      </c>
      <c r="E6899" t="str">
        <f>HYPERLINK("https://github.com/TeamNewPipe/NewPipe","show")</f>
        <v>show</v>
      </c>
      <c r="F6899" t="str">
        <f>HYPERLINK("https://github.com/TeamNewPipe/NewPipe/releases","show")</f>
        <v>show</v>
      </c>
    </row>
    <row r="6900" spans="1:6">
      <c r="A6900" t="s">
        <v>20492</v>
      </c>
      <c r="B6900" t="s">
        <v>20493</v>
      </c>
      <c r="C6900" t="s">
        <v>20494</v>
      </c>
      <c r="D6900" t="str">
        <f>HYPERLINK("https://github.com/TeamNewPipe/NewPipe/issues/4681","show")</f>
        <v>show</v>
      </c>
      <c r="E6900" t="str">
        <f>HYPERLINK("https://github.com/TeamNewPipe/NewPipe","show")</f>
        <v>show</v>
      </c>
      <c r="F6900" t="str">
        <f>HYPERLINK("https://github.com/TeamNewPipe/NewPipe/releases","show")</f>
        <v>show</v>
      </c>
    </row>
    <row r="6901" spans="1:6">
      <c r="A6901" t="s">
        <v>20495</v>
      </c>
      <c r="B6901" t="s">
        <v>20496</v>
      </c>
      <c r="C6901" t="s">
        <v>20497</v>
      </c>
      <c r="D6901" t="str">
        <f>HYPERLINK("https://github.com/TeamNewPipe/NewPipe/issues/4679","show")</f>
        <v>show</v>
      </c>
      <c r="E6901" t="str">
        <f>HYPERLINK("https://github.com/TeamNewPipe/NewPipe","show")</f>
        <v>show</v>
      </c>
      <c r="F6901" t="str">
        <f>HYPERLINK("https://github.com/TeamNewPipe/NewPipe/releases","show")</f>
        <v>show</v>
      </c>
    </row>
    <row r="6902" spans="1:6">
      <c r="A6902" t="s">
        <v>20498</v>
      </c>
      <c r="B6902" t="s">
        <v>20499</v>
      </c>
      <c r="C6902" t="s">
        <v>20500</v>
      </c>
      <c r="D6902" t="str">
        <f>HYPERLINK("https://github.com/commons-app/apps-android-commons/issues/3997","show")</f>
        <v>show</v>
      </c>
      <c r="E6902" t="str">
        <f>HYPERLINK("https://github.com/commons-app/apps-android-commons","show")</f>
        <v>show</v>
      </c>
      <c r="F6902" t="str">
        <f>HYPERLINK("https://github.com/commons-app/apps-android-commons/releases","show")</f>
        <v>show</v>
      </c>
    </row>
    <row r="6903" spans="1:6">
      <c r="A6903" t="s">
        <v>20501</v>
      </c>
      <c r="B6903" t="s">
        <v>20502</v>
      </c>
      <c r="C6903" t="s">
        <v>20503</v>
      </c>
      <c r="D6903" t="str">
        <f>HYPERLINK("https://github.com/Anuken/Mindustry/issues/3166","show")</f>
        <v>show</v>
      </c>
      <c r="E6903" t="str">
        <f>HYPERLINK("https://github.com/Anuken/Mindustry","show")</f>
        <v>show</v>
      </c>
      <c r="F6903" t="str">
        <f>HYPERLINK("https://github.com/Anuken/Mindustry/releases","show")</f>
        <v>show</v>
      </c>
    </row>
    <row r="6904" spans="1:6">
      <c r="A6904" t="s">
        <v>20504</v>
      </c>
      <c r="B6904" t="s">
        <v>20505</v>
      </c>
      <c r="C6904" t="s">
        <v>20506</v>
      </c>
      <c r="D6904" t="str">
        <f>HYPERLINK("https://github.com/AOF-Dev/MCinaBox/issues/612","show")</f>
        <v>show</v>
      </c>
      <c r="E6904" t="str">
        <f>HYPERLINK("https://github.com/AOF-Dev/MCinaBox","show")</f>
        <v>show</v>
      </c>
      <c r="F6904" t="str">
        <f>HYPERLINK("https://github.com/AOF-Dev/MCinaBox/releases","show")</f>
        <v>show</v>
      </c>
    </row>
    <row r="6905" spans="1:6">
      <c r="A6905" t="s">
        <v>20507</v>
      </c>
      <c r="B6905" t="s">
        <v>20508</v>
      </c>
      <c r="C6905" t="s">
        <v>20509</v>
      </c>
      <c r="D6905" t="str">
        <f>HYPERLINK("https://github.com/material-components/material-components-android/issues/1831","show")</f>
        <v>show</v>
      </c>
      <c r="E6905" t="str">
        <f>HYPERLINK("https://github.com/material-components/material-components-android","show")</f>
        <v>show</v>
      </c>
      <c r="F6905" t="str">
        <f>HYPERLINK("https://github.com/material-components/material-components-android/releases","show")</f>
        <v>show</v>
      </c>
    </row>
    <row r="6906" spans="1:6">
      <c r="A6906" t="s">
        <v>20510</v>
      </c>
      <c r="B6906" t="s">
        <v>20511</v>
      </c>
      <c r="C6906" t="s">
        <v>20512</v>
      </c>
      <c r="D6906" t="str">
        <f>HYPERLINK("https://github.com/indomie858/app-A/issues/52","show")</f>
        <v>show</v>
      </c>
      <c r="E6906" t="str">
        <f>HYPERLINK("https://github.com/indomie858/app-A","show")</f>
        <v>show</v>
      </c>
      <c r="F6906" t="str">
        <f>HYPERLINK("https://github.com/indomie858/app-A/releases","show")</f>
        <v>show</v>
      </c>
    </row>
    <row r="6907" spans="1:6">
      <c r="A6907" t="s">
        <v>20513</v>
      </c>
      <c r="B6907" t="s">
        <v>20514</v>
      </c>
      <c r="C6907" t="s">
        <v>20515</v>
      </c>
      <c r="D6907" t="str">
        <f>HYPERLINK("https://github.com/commons-app/apps-android-commons/issues/3996","show")</f>
        <v>show</v>
      </c>
      <c r="E6907" t="str">
        <f>HYPERLINK("https://github.com/commons-app/apps-android-commons","show")</f>
        <v>show</v>
      </c>
      <c r="F6907" t="str">
        <f>HYPERLINK("https://github.com/commons-app/apps-android-commons/releases","show")</f>
        <v>show</v>
      </c>
    </row>
    <row r="6908" spans="1:6">
      <c r="A6908" t="s">
        <v>20516</v>
      </c>
      <c r="B6908" t="s">
        <v>20517</v>
      </c>
      <c r="C6908" t="s">
        <v>20518</v>
      </c>
      <c r="D6908" t="str">
        <f>HYPERLINK("https://github.com/opensrp/opensrp-client-chw/issues/1458","show")</f>
        <v>show</v>
      </c>
      <c r="E6908" t="str">
        <f>HYPERLINK("https://github.com/opensrp/opensrp-client-chw","show")</f>
        <v>show</v>
      </c>
      <c r="F6908" t="str">
        <f>HYPERLINK("https://github.com/opensrp/opensrp-client-chw/releases","show")</f>
        <v>show</v>
      </c>
    </row>
    <row r="6909" spans="1:6">
      <c r="A6909" t="s">
        <v>20519</v>
      </c>
      <c r="B6909" t="s">
        <v>20520</v>
      </c>
      <c r="C6909" t="s">
        <v>20521</v>
      </c>
      <c r="D6909" t="str">
        <f>HYPERLINK("https://github.com/Anuken/Mindustry/issues/3158","show")</f>
        <v>show</v>
      </c>
      <c r="E6909" t="str">
        <f>HYPERLINK("https://github.com/Anuken/Mindustry","show")</f>
        <v>show</v>
      </c>
      <c r="F6909" t="str">
        <f>HYPERLINK("https://github.com/Anuken/Mindustry/releases","show")</f>
        <v>show</v>
      </c>
    </row>
    <row r="6910" spans="1:6">
      <c r="A6910" t="s">
        <v>20522</v>
      </c>
      <c r="B6910" t="s">
        <v>20523</v>
      </c>
      <c r="C6910" t="s">
        <v>20524</v>
      </c>
      <c r="D6910" t="str">
        <f>HYPERLINK("https://github.com/ElderDrivers/EdXposed/issues/620","show")</f>
        <v>show</v>
      </c>
      <c r="E6910" t="str">
        <f>HYPERLINK("https://github.com/ElderDrivers/EdXposed","show")</f>
        <v>show</v>
      </c>
      <c r="F6910" t="str">
        <f>HYPERLINK("https://github.com/ElderDrivers/EdXposed/releases","show")</f>
        <v>show</v>
      </c>
    </row>
    <row r="6911" spans="1:6">
      <c r="A6911" t="s">
        <v>20525</v>
      </c>
      <c r="B6911" t="s">
        <v>20526</v>
      </c>
      <c r="C6911" t="s">
        <v>20527</v>
      </c>
      <c r="D6911" t="str">
        <f>HYPERLINK("https://github.com/Anuken/Mindustry/issues/3157","show")</f>
        <v>show</v>
      </c>
      <c r="E6911" t="str">
        <f>HYPERLINK("https://github.com/Anuken/Mindustry","show")</f>
        <v>show</v>
      </c>
      <c r="F6911" t="str">
        <f>HYPERLINK("https://github.com/Anuken/Mindustry/releases","show")</f>
        <v>show</v>
      </c>
    </row>
    <row r="6912" spans="1:6">
      <c r="A6912" t="s">
        <v>20528</v>
      </c>
      <c r="B6912" t="s">
        <v>20529</v>
      </c>
      <c r="C6912" t="s">
        <v>18602</v>
      </c>
      <c r="D6912" t="str">
        <f>HYPERLINK("https://github.com/TeamNewPipe/NewPipe/issues/4676","show")</f>
        <v>show</v>
      </c>
      <c r="E6912" t="str">
        <f>HYPERLINK("https://github.com/TeamNewPipe/NewPipe","show")</f>
        <v>show</v>
      </c>
      <c r="F6912" t="str">
        <f>HYPERLINK("https://github.com/TeamNewPipe/NewPipe/releases","show")</f>
        <v>show</v>
      </c>
    </row>
    <row r="6913" spans="1:6">
      <c r="A6913" t="s">
        <v>20530</v>
      </c>
      <c r="B6913" t="s">
        <v>20531</v>
      </c>
      <c r="C6913" t="s">
        <v>20532</v>
      </c>
      <c r="D6913" t="str">
        <f>HYPERLINK("https://github.com/Anuken/Mindustry/issues/3152","show")</f>
        <v>show</v>
      </c>
      <c r="E6913" t="str">
        <f>HYPERLINK("https://github.com/Anuken/Mindustry","show")</f>
        <v>show</v>
      </c>
      <c r="F6913" t="str">
        <f>HYPERLINK("https://github.com/Anuken/Mindustry/releases","show")</f>
        <v>show</v>
      </c>
    </row>
    <row r="6914" spans="1:6">
      <c r="A6914" t="s">
        <v>20533</v>
      </c>
      <c r="B6914" t="s">
        <v>20534</v>
      </c>
      <c r="C6914" t="s">
        <v>20535</v>
      </c>
      <c r="D6914" t="str">
        <f>HYPERLINK("https://github.com/k9mail/k-9/issues/5029","show")</f>
        <v>show</v>
      </c>
      <c r="E6914" t="str">
        <f>HYPERLINK("https://github.com/k9mail/k-9","show")</f>
        <v>show</v>
      </c>
      <c r="F6914" t="str">
        <f>HYPERLINK("https://github.com/k9mail/k-9/releases","show")</f>
        <v>show</v>
      </c>
    </row>
    <row r="6915" spans="1:6">
      <c r="A6915" t="s">
        <v>20536</v>
      </c>
      <c r="B6915" t="s">
        <v>20537</v>
      </c>
      <c r="C6915" t="s">
        <v>20538</v>
      </c>
      <c r="D6915" t="str">
        <f>HYPERLINK("https://github.com/TeamNewPipe/NewPipe/issues/4672","show")</f>
        <v>show</v>
      </c>
      <c r="E6915" t="str">
        <f>HYPERLINK("https://github.com/TeamNewPipe/NewPipe","show")</f>
        <v>show</v>
      </c>
      <c r="F6915" t="str">
        <f>HYPERLINK("https://github.com/TeamNewPipe/NewPipe/releases","show")</f>
        <v>show</v>
      </c>
    </row>
    <row r="6916" spans="1:6">
      <c r="A6916" t="s">
        <v>20539</v>
      </c>
      <c r="B6916" t="s">
        <v>20540</v>
      </c>
      <c r="C6916" t="s">
        <v>20541</v>
      </c>
      <c r="D6916" t="str">
        <f>HYPERLINK("https://github.com/koral--/android-gif-drawable/issues/752","show")</f>
        <v>show</v>
      </c>
      <c r="E6916" t="str">
        <f>HYPERLINK("https://github.com/koral--/android-gif-drawable","show")</f>
        <v>show</v>
      </c>
      <c r="F6916" t="str">
        <f>HYPERLINK("https://github.com/koral--/android-gif-drawable/releases","show")</f>
        <v>show</v>
      </c>
    </row>
    <row r="6917" spans="1:6">
      <c r="A6917" t="s">
        <v>20542</v>
      </c>
      <c r="B6917" t="s">
        <v>20543</v>
      </c>
      <c r="C6917" t="s">
        <v>20544</v>
      </c>
      <c r="D6917" t="str">
        <f>HYPERLINK("https://github.com/AOF-Dev/MCinaBox/issues/608","show")</f>
        <v>show</v>
      </c>
      <c r="E6917" t="str">
        <f>HYPERLINK("https://github.com/AOF-Dev/MCinaBox","show")</f>
        <v>show</v>
      </c>
      <c r="F6917" t="str">
        <f>HYPERLINK("https://github.com/AOF-Dev/MCinaBox/releases","show")</f>
        <v>show</v>
      </c>
    </row>
    <row r="6918" spans="1:6">
      <c r="A6918" t="s">
        <v>20545</v>
      </c>
      <c r="B6918" t="s">
        <v>20546</v>
      </c>
      <c r="C6918" t="s">
        <v>20547</v>
      </c>
      <c r="D6918" t="str">
        <f>HYPERLINK("https://github.com/TeamNewPipe/NewPipe/issues/4668","show")</f>
        <v>show</v>
      </c>
      <c r="E6918" t="str">
        <f>HYPERLINK("https://github.com/TeamNewPipe/NewPipe","show")</f>
        <v>show</v>
      </c>
      <c r="F6918" t="str">
        <f>HYPERLINK("https://github.com/TeamNewPipe/NewPipe/releases","show")</f>
        <v>show</v>
      </c>
    </row>
    <row r="6919" spans="1:6">
      <c r="A6919" t="s">
        <v>20548</v>
      </c>
      <c r="B6919" t="s">
        <v>20549</v>
      </c>
      <c r="C6919" t="s">
        <v>20550</v>
      </c>
      <c r="D6919" t="str">
        <f>HYPERLINK("https://github.com/TeamNewPipe/NewPipe/issues/4667","show")</f>
        <v>show</v>
      </c>
      <c r="E6919" t="str">
        <f>HYPERLINK("https://github.com/TeamNewPipe/NewPipe","show")</f>
        <v>show</v>
      </c>
      <c r="F6919" t="str">
        <f>HYPERLINK("https://github.com/TeamNewPipe/NewPipe/releases","show")</f>
        <v>show</v>
      </c>
    </row>
    <row r="6920" spans="1:6">
      <c r="A6920" t="s">
        <v>20551</v>
      </c>
      <c r="B6920" t="s">
        <v>20552</v>
      </c>
      <c r="C6920" t="s">
        <v>20553</v>
      </c>
      <c r="D6920" t="str">
        <f>HYPERLINK("https://github.com/Anuken/Mindustry/issues/3145","show")</f>
        <v>show</v>
      </c>
      <c r="E6920" t="str">
        <f>HYPERLINK("https://github.com/Anuken/Mindustry","show")</f>
        <v>show</v>
      </c>
      <c r="F6920" t="str">
        <f>HYPERLINK("https://github.com/Anuken/Mindustry/releases","show")</f>
        <v>show</v>
      </c>
    </row>
    <row r="6921" spans="1:6">
      <c r="A6921" t="s">
        <v>20554</v>
      </c>
      <c r="B6921" t="s">
        <v>20555</v>
      </c>
      <c r="C6921" t="s">
        <v>20556</v>
      </c>
      <c r="D6921" t="str">
        <f>HYPERLINK("https://github.com/onaio/rdt-standard/issues/585","show")</f>
        <v>show</v>
      </c>
      <c r="E6921" t="str">
        <f>HYPERLINK("https://github.com/onaio/rdt-standard","show")</f>
        <v>show</v>
      </c>
      <c r="F6921" t="str">
        <f>HYPERLINK("https://github.com/onaio/rdt-standard/releases","show")</f>
        <v>show</v>
      </c>
    </row>
    <row r="6922" spans="1:6">
      <c r="A6922" t="s">
        <v>20557</v>
      </c>
      <c r="B6922" t="s">
        <v>20558</v>
      </c>
      <c r="C6922" t="s">
        <v>18497</v>
      </c>
      <c r="D6922" t="str">
        <f>HYPERLINK("https://github.com/TeamNewPipe/NewPipe/issues/4660","show")</f>
        <v>show</v>
      </c>
      <c r="E6922" t="str">
        <f>HYPERLINK("https://github.com/TeamNewPipe/NewPipe","show")</f>
        <v>show</v>
      </c>
      <c r="F6922" t="str">
        <f>HYPERLINK("https://github.com/TeamNewPipe/NewPipe/releases","show")</f>
        <v>show</v>
      </c>
    </row>
    <row r="6923" spans="1:6">
      <c r="A6923" t="s">
        <v>20559</v>
      </c>
      <c r="B6923" t="s">
        <v>20560</v>
      </c>
      <c r="C6923" t="s">
        <v>20561</v>
      </c>
      <c r="D6923" t="str">
        <f>HYPERLINK("https://github.com/Anuken/Mindustry/issues/3140","show")</f>
        <v>show</v>
      </c>
      <c r="E6923" t="str">
        <f>HYPERLINK("https://github.com/Anuken/Mindustry","show")</f>
        <v>show</v>
      </c>
      <c r="F6923" t="str">
        <f>HYPERLINK("https://github.com/Anuken/Mindustry/releases","show")</f>
        <v>show</v>
      </c>
    </row>
    <row r="6924" spans="1:6">
      <c r="A6924" t="s">
        <v>20562</v>
      </c>
      <c r="B6924" t="s">
        <v>20563</v>
      </c>
      <c r="C6924" t="s">
        <v>20564</v>
      </c>
      <c r="D6924" t="str">
        <f>HYPERLINK("https://github.com/Anuken/Mindustry/issues/3136","show")</f>
        <v>show</v>
      </c>
      <c r="E6924" t="str">
        <f>HYPERLINK("https://github.com/Anuken/Mindustry","show")</f>
        <v>show</v>
      </c>
      <c r="F6924" t="str">
        <f>HYPERLINK("https://github.com/Anuken/Mindustry/releases","show")</f>
        <v>show</v>
      </c>
    </row>
    <row r="6925" spans="1:6">
      <c r="A6925" t="s">
        <v>20565</v>
      </c>
      <c r="B6925" t="s">
        <v>20566</v>
      </c>
      <c r="C6925" t="s">
        <v>20567</v>
      </c>
      <c r="D6925" t="str">
        <f>HYPERLINK("https://github.com/Anuken/Mindustry/issues/3135","show")</f>
        <v>show</v>
      </c>
      <c r="E6925" t="str">
        <f>HYPERLINK("https://github.com/Anuken/Mindustry","show")</f>
        <v>show</v>
      </c>
      <c r="F6925" t="str">
        <f>HYPERLINK("https://github.com/Anuken/Mindustry/releases","show")</f>
        <v>show</v>
      </c>
    </row>
    <row r="6926" spans="1:6">
      <c r="A6926" t="s">
        <v>20568</v>
      </c>
      <c r="B6926" t="s">
        <v>20569</v>
      </c>
      <c r="C6926" t="s">
        <v>20570</v>
      </c>
      <c r="D6926" t="str">
        <f>HYPERLINK("https://github.com/Anuken/Mindustry/issues/3132","show")</f>
        <v>show</v>
      </c>
      <c r="E6926" t="str">
        <f>HYPERLINK("https://github.com/Anuken/Mindustry","show")</f>
        <v>show</v>
      </c>
      <c r="F6926" t="str">
        <f>HYPERLINK("https://github.com/Anuken/Mindustry/releases","show")</f>
        <v>show</v>
      </c>
    </row>
    <row r="6927" spans="1:6">
      <c r="A6927" t="s">
        <v>20571</v>
      </c>
      <c r="B6927" t="s">
        <v>20572</v>
      </c>
      <c r="C6927" t="s">
        <v>20573</v>
      </c>
      <c r="D6927" t="str">
        <f>HYPERLINK("https://github.com/Anuken/Mindustry/issues/3131","show")</f>
        <v>show</v>
      </c>
      <c r="E6927" t="str">
        <f>HYPERLINK("https://github.com/Anuken/Mindustry","show")</f>
        <v>show</v>
      </c>
      <c r="F6927" t="str">
        <f>HYPERLINK("https://github.com/Anuken/Mindustry/releases","show")</f>
        <v>show</v>
      </c>
    </row>
    <row r="6928" spans="1:6">
      <c r="A6928" t="s">
        <v>20574</v>
      </c>
      <c r="B6928" t="s">
        <v>20575</v>
      </c>
      <c r="C6928" t="s">
        <v>20576</v>
      </c>
      <c r="D6928" t="str">
        <f>HYPERLINK("https://github.com/nextcloud/android/issues/7141","show")</f>
        <v>show</v>
      </c>
      <c r="E6928" t="str">
        <f>HYPERLINK("https://github.com/nextcloud/android","show")</f>
        <v>show</v>
      </c>
      <c r="F6928" t="str">
        <f>HYPERLINK("https://github.com/nextcloud/android/releases","show")</f>
        <v>show</v>
      </c>
    </row>
    <row r="6929" spans="1:6">
      <c r="A6929" t="s">
        <v>20577</v>
      </c>
      <c r="B6929" t="s">
        <v>20578</v>
      </c>
      <c r="C6929" t="s">
        <v>20579</v>
      </c>
      <c r="D6929" t="str">
        <f>HYPERLINK("https://github.com/TeamNewPipe/NewPipe/issues/4653","show")</f>
        <v>show</v>
      </c>
      <c r="E6929" t="str">
        <f>HYPERLINK("https://github.com/TeamNewPipe/NewPipe","show")</f>
        <v>show</v>
      </c>
      <c r="F6929" t="str">
        <f>HYPERLINK("https://github.com/TeamNewPipe/NewPipe/releases","show")</f>
        <v>show</v>
      </c>
    </row>
    <row r="6930" spans="1:6">
      <c r="A6930" t="s">
        <v>20580</v>
      </c>
      <c r="B6930" t="s">
        <v>20581</v>
      </c>
      <c r="C6930" t="s">
        <v>20582</v>
      </c>
      <c r="D6930" t="str">
        <f>HYPERLINK("https://github.com/TeamNewPipe/NewPipe/issues/4650","show")</f>
        <v>show</v>
      </c>
      <c r="E6930" t="str">
        <f>HYPERLINK("https://github.com/TeamNewPipe/NewPipe","show")</f>
        <v>show</v>
      </c>
      <c r="F6930" t="str">
        <f>HYPERLINK("https://github.com/TeamNewPipe/NewPipe/releases","show")</f>
        <v>show</v>
      </c>
    </row>
    <row r="6931" spans="1:6">
      <c r="A6931" t="s">
        <v>20583</v>
      </c>
      <c r="B6931" t="s">
        <v>20584</v>
      </c>
      <c r="C6931" t="s">
        <v>20585</v>
      </c>
      <c r="D6931" t="str">
        <f>HYPERLINK("https://github.com/Anuken/Mindustry/issues/3126","show")</f>
        <v>show</v>
      </c>
      <c r="E6931" t="str">
        <f>HYPERLINK("https://github.com/Anuken/Mindustry","show")</f>
        <v>show</v>
      </c>
      <c r="F6931" t="str">
        <f>HYPERLINK("https://github.com/Anuken/Mindustry/releases","show")</f>
        <v>show</v>
      </c>
    </row>
    <row r="6932" spans="1:6">
      <c r="A6932" t="s">
        <v>20586</v>
      </c>
      <c r="B6932" t="s">
        <v>20587</v>
      </c>
      <c r="C6932" t="s">
        <v>20588</v>
      </c>
      <c r="D6932" t="str">
        <f>HYPERLINK("https://github.com/TeamNewPipe/NewPipe-legacy/issues/44","show")</f>
        <v>show</v>
      </c>
      <c r="E6932" t="str">
        <f>HYPERLINK("https://github.com/TeamNewPipe/NewPipe-legacy","show")</f>
        <v>show</v>
      </c>
      <c r="F6932" t="str">
        <f>HYPERLINK("https://github.com/TeamNewPipe/NewPipe-legacy/releases","show")</f>
        <v>show</v>
      </c>
    </row>
    <row r="6933" spans="1:6">
      <c r="A6933" t="s">
        <v>20589</v>
      </c>
      <c r="B6933" t="s">
        <v>20590</v>
      </c>
      <c r="C6933" t="s">
        <v>20591</v>
      </c>
      <c r="D6933" t="str">
        <f>HYPERLINK("https://github.com/jellyfin/jellyfin-androidtv/issues/606","show")</f>
        <v>show</v>
      </c>
      <c r="E6933" t="str">
        <f>HYPERLINK("https://github.com/jellyfin/jellyfin-androidtv","show")</f>
        <v>show</v>
      </c>
      <c r="F6933" t="str">
        <f>HYPERLINK("https://github.com/jellyfin/jellyfin-androidtv/releases","show")</f>
        <v>show</v>
      </c>
    </row>
    <row r="6934" spans="1:6">
      <c r="A6934" t="s">
        <v>20592</v>
      </c>
      <c r="B6934" t="s">
        <v>20593</v>
      </c>
      <c r="C6934" t="s">
        <v>20594</v>
      </c>
      <c r="D6934" t="str">
        <f>HYPERLINK("https://github.com/Anuken/Mindustry/issues/3112","show")</f>
        <v>show</v>
      </c>
      <c r="E6934" t="str">
        <f>HYPERLINK("https://github.com/Anuken/Mindustry","show")</f>
        <v>show</v>
      </c>
      <c r="F6934" t="str">
        <f>HYPERLINK("https://github.com/Anuken/Mindustry/releases","show")</f>
        <v>show</v>
      </c>
    </row>
    <row r="6935" spans="1:6">
      <c r="A6935" t="s">
        <v>20595</v>
      </c>
      <c r="B6935" t="s">
        <v>20596</v>
      </c>
      <c r="C6935" t="s">
        <v>20597</v>
      </c>
      <c r="D6935" t="str">
        <f>HYPERLINK("https://github.com/TeamNewPipe/NewPipe/issues/4644","show")</f>
        <v>show</v>
      </c>
      <c r="E6935" t="str">
        <f>HYPERLINK("https://github.com/TeamNewPipe/NewPipe","show")</f>
        <v>show</v>
      </c>
      <c r="F6935" t="str">
        <f>HYPERLINK("https://github.com/TeamNewPipe/NewPipe/releases","show")</f>
        <v>show</v>
      </c>
    </row>
    <row r="6936" spans="1:6">
      <c r="A6936" t="s">
        <v>20598</v>
      </c>
      <c r="B6936" t="s">
        <v>7104</v>
      </c>
      <c r="C6936" t="s">
        <v>20599</v>
      </c>
      <c r="D6936" t="str">
        <f>HYPERLINK("https://github.com/wallabag/android-app/issues/1091","show")</f>
        <v>show</v>
      </c>
      <c r="E6936" t="str">
        <f>HYPERLINK("https://github.com/wallabag/android-app","show")</f>
        <v>show</v>
      </c>
      <c r="F6936" t="str">
        <f>HYPERLINK("https://github.com/wallabag/android-app/releases","show")</f>
        <v>show</v>
      </c>
    </row>
    <row r="6937" spans="1:6">
      <c r="A6937" t="s">
        <v>20600</v>
      </c>
      <c r="B6937" t="s">
        <v>20601</v>
      </c>
      <c r="C6937" t="s">
        <v>20602</v>
      </c>
      <c r="D6937" t="str">
        <f>HYPERLINK("https://github.com/Anuken/Mindustry/issues/3108","show")</f>
        <v>show</v>
      </c>
      <c r="E6937" t="str">
        <f>HYPERLINK("https://github.com/Anuken/Mindustry","show")</f>
        <v>show</v>
      </c>
      <c r="F6937" t="str">
        <f>HYPERLINK("https://github.com/Anuken/Mindustry/releases","show")</f>
        <v>show</v>
      </c>
    </row>
    <row r="6938" spans="1:6">
      <c r="A6938" t="s">
        <v>20603</v>
      </c>
      <c r="B6938" t="s">
        <v>20604</v>
      </c>
      <c r="C6938" t="s">
        <v>20605</v>
      </c>
      <c r="D6938" t="str">
        <f>HYPERLINK("https://github.com/TeamNewPipe/NewPipe/issues/4638","show")</f>
        <v>show</v>
      </c>
      <c r="E6938" t="str">
        <f>HYPERLINK("https://github.com/TeamNewPipe/NewPipe","show")</f>
        <v>show</v>
      </c>
      <c r="F6938" t="str">
        <f>HYPERLINK("https://github.com/TeamNewPipe/NewPipe/releases","show")</f>
        <v>show</v>
      </c>
    </row>
    <row r="6939" spans="1:6">
      <c r="A6939" t="s">
        <v>20606</v>
      </c>
      <c r="B6939" t="s">
        <v>20607</v>
      </c>
      <c r="C6939" t="s">
        <v>20608</v>
      </c>
      <c r="D6939" t="str">
        <f>HYPERLINK("https://github.com/TeamNewPipe/NewPipe/issues/4634","show")</f>
        <v>show</v>
      </c>
      <c r="E6939" t="str">
        <f>HYPERLINK("https://github.com/TeamNewPipe/NewPipe","show")</f>
        <v>show</v>
      </c>
      <c r="F6939" t="str">
        <f>HYPERLINK("https://github.com/TeamNewPipe/NewPipe/releases","show")</f>
        <v>show</v>
      </c>
    </row>
    <row r="6940" spans="1:6">
      <c r="A6940" t="s">
        <v>20609</v>
      </c>
      <c r="B6940" t="s">
        <v>20610</v>
      </c>
      <c r="C6940" t="s">
        <v>20611</v>
      </c>
      <c r="D6940" t="str">
        <f>HYPERLINK("https://github.com/Abir-Tx/XWriter/issues/10","show")</f>
        <v>show</v>
      </c>
      <c r="E6940" t="str">
        <f>HYPERLINK("https://github.com/Abir-Tx/XWriter","show")</f>
        <v>show</v>
      </c>
      <c r="F6940" t="str">
        <f>HYPERLINK("https://github.com/Abir-Tx/XWriter/releases","show")</f>
        <v>show</v>
      </c>
    </row>
    <row r="6941" spans="1:6">
      <c r="A6941" t="s">
        <v>20612</v>
      </c>
      <c r="B6941" t="s">
        <v>20613</v>
      </c>
      <c r="C6941" t="s">
        <v>20614</v>
      </c>
      <c r="D6941" t="str">
        <f>HYPERLINK("https://github.com/Blankj/AndroidUtilCode/issues/1355","show")</f>
        <v>show</v>
      </c>
      <c r="E6941" t="str">
        <f>HYPERLINK("https://github.com/Blankj/AndroidUtilCode","show")</f>
        <v>show</v>
      </c>
      <c r="F6941" t="str">
        <f>HYPERLINK("https://github.com/Blankj/AndroidUtilCode/releases","show")</f>
        <v>show</v>
      </c>
    </row>
    <row r="6942" spans="1:6">
      <c r="A6942" t="s">
        <v>20615</v>
      </c>
      <c r="B6942" t="s">
        <v>20616</v>
      </c>
      <c r="C6942" t="s">
        <v>20617</v>
      </c>
      <c r="D6942" t="str">
        <f>HYPERLINK("https://github.com/Anuken/Mindustry/issues/3091","show")</f>
        <v>show</v>
      </c>
      <c r="E6942" t="str">
        <f>HYPERLINK("https://github.com/Anuken/Mindustry","show")</f>
        <v>show</v>
      </c>
      <c r="F6942" t="str">
        <f>HYPERLINK("https://github.com/Anuken/Mindustry/releases","show")</f>
        <v>show</v>
      </c>
    </row>
    <row r="6943" spans="1:6">
      <c r="A6943" t="s">
        <v>20618</v>
      </c>
      <c r="B6943" t="s">
        <v>20619</v>
      </c>
      <c r="C6943" t="s">
        <v>20620</v>
      </c>
      <c r="D6943" t="str">
        <f>HYPERLINK("https://github.com/Anuken/Mindustry/issues/3085","show")</f>
        <v>show</v>
      </c>
      <c r="E6943" t="str">
        <f>HYPERLINK("https://github.com/Anuken/Mindustry","show")</f>
        <v>show</v>
      </c>
      <c r="F6943" t="str">
        <f>HYPERLINK("https://github.com/Anuken/Mindustry/releases","show")</f>
        <v>show</v>
      </c>
    </row>
    <row r="6944" spans="1:6">
      <c r="A6944" t="s">
        <v>20621</v>
      </c>
      <c r="B6944" t="s">
        <v>20622</v>
      </c>
      <c r="C6944" t="s">
        <v>20623</v>
      </c>
      <c r="D6944" t="str">
        <f>HYPERLINK("https://github.com/Anuken/Mindustry/issues/3084","show")</f>
        <v>show</v>
      </c>
      <c r="E6944" t="str">
        <f>HYPERLINK("https://github.com/Anuken/Mindustry","show")</f>
        <v>show</v>
      </c>
      <c r="F6944" t="str">
        <f>HYPERLINK("https://github.com/Anuken/Mindustry/releases","show")</f>
        <v>show</v>
      </c>
    </row>
    <row r="6945" spans="1:6">
      <c r="A6945" t="s">
        <v>20624</v>
      </c>
      <c r="B6945" t="s">
        <v>20625</v>
      </c>
      <c r="C6945" t="s">
        <v>18497</v>
      </c>
      <c r="D6945" t="str">
        <f>HYPERLINK("https://github.com/TeamNewPipe/NewPipe/issues/4626","show")</f>
        <v>show</v>
      </c>
      <c r="E6945" t="str">
        <f>HYPERLINK("https://github.com/TeamNewPipe/NewPipe","show")</f>
        <v>show</v>
      </c>
      <c r="F6945" t="str">
        <f>HYPERLINK("https://github.com/TeamNewPipe/NewPipe/releases","show")</f>
        <v>show</v>
      </c>
    </row>
    <row r="6946" spans="1:6">
      <c r="A6946" t="s">
        <v>20626</v>
      </c>
      <c r="B6946" t="s">
        <v>20627</v>
      </c>
      <c r="C6946" t="s">
        <v>20628</v>
      </c>
      <c r="D6946" t="str">
        <f>HYPERLINK("https://github.com/AOF-Dev/MCinaBox/issues/592","show")</f>
        <v>show</v>
      </c>
      <c r="E6946" t="str">
        <f>HYPERLINK("https://github.com/AOF-Dev/MCinaBox","show")</f>
        <v>show</v>
      </c>
      <c r="F6946" t="str">
        <f>HYPERLINK("https://github.com/AOF-Dev/MCinaBox/releases","show")</f>
        <v>show</v>
      </c>
    </row>
    <row r="6947" spans="1:6">
      <c r="A6947" t="s">
        <v>20629</v>
      </c>
      <c r="B6947" t="s">
        <v>20630</v>
      </c>
      <c r="C6947" t="s">
        <v>20631</v>
      </c>
      <c r="D6947" t="str">
        <f>HYPERLINK("https://github.com/Anuken/Mindustry/issues/3078","show")</f>
        <v>show</v>
      </c>
      <c r="E6947" t="str">
        <f>HYPERLINK("https://github.com/Anuken/Mindustry","show")</f>
        <v>show</v>
      </c>
      <c r="F6947" t="str">
        <f>HYPERLINK("https://github.com/Anuken/Mindustry/releases","show")</f>
        <v>show</v>
      </c>
    </row>
    <row r="6948" spans="1:6">
      <c r="A6948" t="s">
        <v>20632</v>
      </c>
      <c r="B6948" t="s">
        <v>20633</v>
      </c>
      <c r="C6948" t="s">
        <v>20634</v>
      </c>
      <c r="D6948" t="str">
        <f>HYPERLINK("https://github.com/Anuken/Mindustry/issues/3077","show")</f>
        <v>show</v>
      </c>
      <c r="E6948" t="str">
        <f>HYPERLINK("https://github.com/Anuken/Mindustry","show")</f>
        <v>show</v>
      </c>
      <c r="F6948" t="str">
        <f>HYPERLINK("https://github.com/Anuken/Mindustry/releases","show")</f>
        <v>show</v>
      </c>
    </row>
    <row r="6949" spans="1:6">
      <c r="A6949" t="s">
        <v>20635</v>
      </c>
      <c r="B6949" t="s">
        <v>20636</v>
      </c>
      <c r="C6949" t="s">
        <v>20637</v>
      </c>
      <c r="D6949" t="str">
        <f>HYPERLINK("https://github.com/TeamNewPipe/NewPipe/issues/4616","show")</f>
        <v>show</v>
      </c>
      <c r="E6949" t="str">
        <f>HYPERLINK("https://github.com/TeamNewPipe/NewPipe","show")</f>
        <v>show</v>
      </c>
      <c r="F6949" t="str">
        <f>HYPERLINK("https://github.com/TeamNewPipe/NewPipe/releases","show")</f>
        <v>show</v>
      </c>
    </row>
    <row r="6950" spans="1:6">
      <c r="A6950" t="s">
        <v>20638</v>
      </c>
      <c r="B6950" t="s">
        <v>20639</v>
      </c>
      <c r="C6950" t="s">
        <v>20640</v>
      </c>
      <c r="D6950" t="str">
        <f>HYPERLINK("https://github.com/TeamNewPipe/NewPipe/issues/4615","show")</f>
        <v>show</v>
      </c>
      <c r="E6950" t="str">
        <f>HYPERLINK("https://github.com/TeamNewPipe/NewPipe","show")</f>
        <v>show</v>
      </c>
      <c r="F6950" t="str">
        <f>HYPERLINK("https://github.com/TeamNewPipe/NewPipe/releases","show")</f>
        <v>show</v>
      </c>
    </row>
    <row r="6951" spans="1:6">
      <c r="A6951" t="s">
        <v>20641</v>
      </c>
      <c r="B6951" t="s">
        <v>20642</v>
      </c>
      <c r="C6951" t="s">
        <v>20643</v>
      </c>
      <c r="D6951" t="str">
        <f>HYPERLINK("https://github.com/microg/GmsCore/issues/1244","show")</f>
        <v>show</v>
      </c>
      <c r="E6951" t="str">
        <f>HYPERLINK("https://github.com/microg/GmsCore","show")</f>
        <v>show</v>
      </c>
      <c r="F6951" t="str">
        <f>HYPERLINK("https://github.com/microg/GmsCore/releases","show")</f>
        <v>show</v>
      </c>
    </row>
    <row r="6952" spans="1:6">
      <c r="A6952" t="s">
        <v>20644</v>
      </c>
      <c r="B6952" t="s">
        <v>20645</v>
      </c>
      <c r="C6952" t="s">
        <v>20646</v>
      </c>
      <c r="D6952" t="str">
        <f>HYPERLINK("https://github.com/Anuken/Mindustry/issues/3074","show")</f>
        <v>show</v>
      </c>
      <c r="E6952" t="str">
        <f>HYPERLINK("https://github.com/Anuken/Mindustry","show")</f>
        <v>show</v>
      </c>
      <c r="F6952" t="str">
        <f>HYPERLINK("https://github.com/Anuken/Mindustry/releases","show")</f>
        <v>show</v>
      </c>
    </row>
    <row r="6953" spans="1:6">
      <c r="A6953" t="s">
        <v>20647</v>
      </c>
      <c r="B6953" t="s">
        <v>20648</v>
      </c>
      <c r="C6953" t="s">
        <v>20649</v>
      </c>
      <c r="D6953" t="str">
        <f>HYPERLINK("https://github.com/nextcloud/android/issues/7131","show")</f>
        <v>show</v>
      </c>
      <c r="E6953" t="str">
        <f>HYPERLINK("https://github.com/nextcloud/android","show")</f>
        <v>show</v>
      </c>
      <c r="F6953" t="str">
        <f>HYPERLINK("https://github.com/nextcloud/android/releases","show")</f>
        <v>show</v>
      </c>
    </row>
    <row r="6954" spans="1:6">
      <c r="A6954" t="s">
        <v>20650</v>
      </c>
      <c r="B6954" t="s">
        <v>20651</v>
      </c>
      <c r="C6954" t="s">
        <v>20652</v>
      </c>
      <c r="D6954" t="str">
        <f>HYPERLINK("https://github.com/HeligPfleigh/react-native-thermal-receipt-printer/issues/26","show")</f>
        <v>show</v>
      </c>
      <c r="E6954" t="str">
        <f>HYPERLINK("https://github.com/HeligPfleigh/react-native-thermal-receipt-printer","show")</f>
        <v>show</v>
      </c>
      <c r="F6954" t="str">
        <f>HYPERLINK("https://github.com/HeligPfleigh/react-native-thermal-receipt-printer/releases","show")</f>
        <v>show</v>
      </c>
    </row>
    <row r="6955" spans="1:6">
      <c r="A6955" t="s">
        <v>20653</v>
      </c>
      <c r="B6955" t="s">
        <v>20654</v>
      </c>
      <c r="C6955" t="s">
        <v>20655</v>
      </c>
      <c r="D6955" t="str">
        <f>HYPERLINK("https://github.com/google/ExoPlayer/issues/8106","show")</f>
        <v>show</v>
      </c>
      <c r="E6955" t="str">
        <f>HYPERLINK("https://github.com/google/ExoPlayer","show")</f>
        <v>show</v>
      </c>
      <c r="F6955" t="str">
        <f>HYPERLINK("https://github.com/google/ExoPlayer/releases","show")</f>
        <v>show</v>
      </c>
    </row>
    <row r="6956" spans="1:6">
      <c r="A6956" t="s">
        <v>20656</v>
      </c>
      <c r="B6956" t="s">
        <v>20657</v>
      </c>
      <c r="C6956" t="s">
        <v>20658</v>
      </c>
      <c r="D6956" t="str">
        <f>HYPERLINK("https://github.com/Abir-Tx/XWriter/issues/7","show")</f>
        <v>show</v>
      </c>
      <c r="E6956" t="str">
        <f>HYPERLINK("https://github.com/Abir-Tx/XWriter","show")</f>
        <v>show</v>
      </c>
      <c r="F6956" t="str">
        <f>HYPERLINK("https://github.com/Abir-Tx/XWriter/releases","show")</f>
        <v>show</v>
      </c>
    </row>
    <row r="6957" spans="1:6">
      <c r="A6957" t="s">
        <v>20659</v>
      </c>
      <c r="B6957" t="s">
        <v>20660</v>
      </c>
      <c r="C6957" t="s">
        <v>20661</v>
      </c>
      <c r="D6957" t="str">
        <f>HYPERLINK("https://github.com/TeamNewPipe/NewPipe/issues/4604","show")</f>
        <v>show</v>
      </c>
      <c r="E6957" t="str">
        <f>HYPERLINK("https://github.com/TeamNewPipe/NewPipe","show")</f>
        <v>show</v>
      </c>
      <c r="F6957" t="str">
        <f>HYPERLINK("https://github.com/TeamNewPipe/NewPipe/releases","show")</f>
        <v>show</v>
      </c>
    </row>
    <row r="6958" spans="1:6">
      <c r="A6958" t="s">
        <v>20662</v>
      </c>
      <c r="B6958" t="s">
        <v>20663</v>
      </c>
      <c r="C6958" t="s">
        <v>20664</v>
      </c>
      <c r="D6958" t="str">
        <f>HYPERLINK("https://github.com/TeamNewPipe/NewPipe/issues/4603","show")</f>
        <v>show</v>
      </c>
      <c r="E6958" t="str">
        <f>HYPERLINK("https://github.com/TeamNewPipe/NewPipe","show")</f>
        <v>show</v>
      </c>
      <c r="F6958" t="str">
        <f>HYPERLINK("https://github.com/TeamNewPipe/NewPipe/releases","show")</f>
        <v>show</v>
      </c>
    </row>
    <row r="6959" spans="1:6">
      <c r="A6959" t="s">
        <v>20665</v>
      </c>
      <c r="B6959" t="s">
        <v>20666</v>
      </c>
      <c r="C6959" t="s">
        <v>20667</v>
      </c>
      <c r="D6959" t="str">
        <f>HYPERLINK("https://github.com/TeamNewPipe/NewPipe/issues/4602","show")</f>
        <v>show</v>
      </c>
      <c r="E6959" t="str">
        <f>HYPERLINK("https://github.com/TeamNewPipe/NewPipe","show")</f>
        <v>show</v>
      </c>
      <c r="F6959" t="str">
        <f>HYPERLINK("https://github.com/TeamNewPipe/NewPipe/releases","show")</f>
        <v>show</v>
      </c>
    </row>
    <row r="6960" spans="1:6">
      <c r="A6960" t="s">
        <v>20668</v>
      </c>
      <c r="B6960" t="s">
        <v>20669</v>
      </c>
      <c r="C6960" t="s">
        <v>20670</v>
      </c>
      <c r="D6960" t="str">
        <f>HYPERLINK("https://github.com/google/ExoPlayer/issues/8103","show")</f>
        <v>show</v>
      </c>
      <c r="E6960" t="str">
        <f>HYPERLINK("https://github.com/google/ExoPlayer","show")</f>
        <v>show</v>
      </c>
      <c r="F6960" t="str">
        <f>HYPERLINK("https://github.com/google/ExoPlayer/releases","show")</f>
        <v>show</v>
      </c>
    </row>
    <row r="6961" spans="1:6">
      <c r="A6961" t="s">
        <v>20671</v>
      </c>
      <c r="B6961" t="s">
        <v>20672</v>
      </c>
      <c r="C6961" t="s">
        <v>20673</v>
      </c>
      <c r="D6961" t="str">
        <f>HYPERLINK("https://github.com/OlofSjogren/GoAyo/issues/207","show")</f>
        <v>show</v>
      </c>
      <c r="E6961" t="str">
        <f>HYPERLINK("https://github.com/OlofSjogren/GoAyo","show")</f>
        <v>show</v>
      </c>
      <c r="F6961" t="str">
        <f>HYPERLINK("https://github.com/OlofSjogren/GoAyo/releases","show")</f>
        <v>show</v>
      </c>
    </row>
    <row r="6962" spans="1:6">
      <c r="A6962" t="s">
        <v>20674</v>
      </c>
      <c r="B6962" t="s">
        <v>20675</v>
      </c>
      <c r="C6962" t="s">
        <v>20676</v>
      </c>
      <c r="D6962" t="str">
        <f>HYPERLINK("https://github.com/Anuken/Mindustry/issues/3068","show")</f>
        <v>show</v>
      </c>
      <c r="E6962" t="str">
        <f>HYPERLINK("https://github.com/Anuken/Mindustry","show")</f>
        <v>show</v>
      </c>
      <c r="F6962" t="str">
        <f>HYPERLINK("https://github.com/Anuken/Mindustry/releases","show")</f>
        <v>show</v>
      </c>
    </row>
    <row r="6963" spans="1:6">
      <c r="A6963" t="s">
        <v>20677</v>
      </c>
      <c r="B6963" t="s">
        <v>20678</v>
      </c>
      <c r="C6963" t="s">
        <v>20679</v>
      </c>
      <c r="D6963" t="str">
        <f>HYPERLINK("https://github.com/inaturalist/iNaturalistAndroid/issues/927","show")</f>
        <v>show</v>
      </c>
      <c r="E6963" t="str">
        <f>HYPERLINK("https://github.com/inaturalist/iNaturalistAndroid","show")</f>
        <v>show</v>
      </c>
      <c r="F6963" t="str">
        <f>HYPERLINK("https://github.com/inaturalist/iNaturalistAndroid/releases","show")</f>
        <v>show</v>
      </c>
    </row>
    <row r="6964" spans="1:6">
      <c r="A6964" t="s">
        <v>20680</v>
      </c>
      <c r="B6964" t="s">
        <v>20681</v>
      </c>
      <c r="C6964" t="s">
        <v>20682</v>
      </c>
      <c r="D6964" t="str">
        <f>HYPERLINK("https://github.com/Anuken/Mindustry/issues/3067","show")</f>
        <v>show</v>
      </c>
      <c r="E6964" t="str">
        <f>HYPERLINK("https://github.com/Anuken/Mindustry","show")</f>
        <v>show</v>
      </c>
      <c r="F6964" t="str">
        <f>HYPERLINK("https://github.com/Anuken/Mindustry/releases","show")</f>
        <v>show</v>
      </c>
    </row>
    <row r="6965" spans="1:6">
      <c r="A6965" t="s">
        <v>20683</v>
      </c>
      <c r="B6965" t="s">
        <v>20684</v>
      </c>
      <c r="C6965" t="s">
        <v>20685</v>
      </c>
      <c r="D6965" t="str">
        <f>HYPERLINK("https://github.com/opensrp/opensrp-client-chw/issues/1444","show")</f>
        <v>show</v>
      </c>
      <c r="E6965" t="str">
        <f>HYPERLINK("https://github.com/opensrp/opensrp-client-chw","show")</f>
        <v>show</v>
      </c>
      <c r="F6965" t="str">
        <f>HYPERLINK("https://github.com/opensrp/opensrp-client-chw/releases","show")</f>
        <v>show</v>
      </c>
    </row>
    <row r="6966" spans="1:6">
      <c r="A6966" t="s">
        <v>20686</v>
      </c>
      <c r="B6966" t="s">
        <v>20687</v>
      </c>
      <c r="C6966" t="s">
        <v>20688</v>
      </c>
      <c r="D6966" t="str">
        <f>HYPERLINK("https://github.com/ultrasonic/ultrasonic/issues/337","show")</f>
        <v>show</v>
      </c>
      <c r="E6966" t="str">
        <f>HYPERLINK("https://github.com/ultrasonic/ultrasonic","show")</f>
        <v>show</v>
      </c>
      <c r="F6966" t="str">
        <f>HYPERLINK("https://github.com/ultrasonic/ultrasonic/releases","show")</f>
        <v>show</v>
      </c>
    </row>
    <row r="6967" spans="1:6">
      <c r="A6967" t="s">
        <v>20689</v>
      </c>
      <c r="B6967" t="s">
        <v>20690</v>
      </c>
      <c r="C6967" t="s">
        <v>20691</v>
      </c>
      <c r="D6967" t="str">
        <f>HYPERLINK("https://github.com/Anuken/Mindustry/issues/3064","show")</f>
        <v>show</v>
      </c>
      <c r="E6967" t="str">
        <f>HYPERLINK("https://github.com/Anuken/Mindustry","show")</f>
        <v>show</v>
      </c>
      <c r="F6967" t="str">
        <f>HYPERLINK("https://github.com/Anuken/Mindustry/releases","show")</f>
        <v>show</v>
      </c>
    </row>
    <row r="6968" spans="1:6">
      <c r="A6968" t="s">
        <v>20692</v>
      </c>
      <c r="B6968" t="s">
        <v>20693</v>
      </c>
      <c r="C6968" t="s">
        <v>20694</v>
      </c>
      <c r="D6968" t="str">
        <f>HYPERLINK("https://github.com/Anuken/Mindustry/issues/3062","show")</f>
        <v>show</v>
      </c>
      <c r="E6968" t="str">
        <f>HYPERLINK("https://github.com/Anuken/Mindustry","show")</f>
        <v>show</v>
      </c>
      <c r="F6968" t="str">
        <f>HYPERLINK("https://github.com/Anuken/Mindustry/releases","show")</f>
        <v>show</v>
      </c>
    </row>
    <row r="6969" spans="1:6">
      <c r="A6969" t="s">
        <v>20695</v>
      </c>
      <c r="B6969" t="s">
        <v>20696</v>
      </c>
      <c r="C6969" t="s">
        <v>20697</v>
      </c>
      <c r="D6969" t="str">
        <f>HYPERLINK("https://github.com/Anuken/Mindustry/issues/3059","show")</f>
        <v>show</v>
      </c>
      <c r="E6969" t="str">
        <f>HYPERLINK("https://github.com/Anuken/Mindustry","show")</f>
        <v>show</v>
      </c>
      <c r="F6969" t="str">
        <f>HYPERLINK("https://github.com/Anuken/Mindustry/releases","show")</f>
        <v>show</v>
      </c>
    </row>
    <row r="6970" spans="1:6">
      <c r="A6970" t="s">
        <v>20698</v>
      </c>
      <c r="B6970" t="s">
        <v>20699</v>
      </c>
      <c r="C6970" t="s">
        <v>20700</v>
      </c>
      <c r="D6970" t="str">
        <f>HYPERLINK("https://github.com/TeamNewPipe/NewPipe/issues/4593","show")</f>
        <v>show</v>
      </c>
      <c r="E6970" t="str">
        <f>HYPERLINK("https://github.com/TeamNewPipe/NewPipe","show")</f>
        <v>show</v>
      </c>
      <c r="F6970" t="str">
        <f>HYPERLINK("https://github.com/TeamNewPipe/NewPipe/releases","show")</f>
        <v>show</v>
      </c>
    </row>
    <row r="6971" spans="1:6">
      <c r="A6971" t="s">
        <v>20701</v>
      </c>
      <c r="B6971" t="s">
        <v>20702</v>
      </c>
      <c r="C6971" t="s">
        <v>20703</v>
      </c>
      <c r="D6971" t="str">
        <f>HYPERLINK("https://github.com/TeamNewPipe/NewPipe/issues/4591","show")</f>
        <v>show</v>
      </c>
      <c r="E6971" t="str">
        <f>HYPERLINK("https://github.com/TeamNewPipe/NewPipe","show")</f>
        <v>show</v>
      </c>
      <c r="F6971" t="str">
        <f>HYPERLINK("https://github.com/TeamNewPipe/NewPipe/releases","show")</f>
        <v>show</v>
      </c>
    </row>
    <row r="6972" spans="1:6">
      <c r="A6972" t="s">
        <v>20704</v>
      </c>
      <c r="B6972" t="s">
        <v>20705</v>
      </c>
      <c r="C6972" t="s">
        <v>20706</v>
      </c>
      <c r="D6972" t="str">
        <f>HYPERLINK("https://github.com/TeamNewPipe/NewPipe/issues/4590","show")</f>
        <v>show</v>
      </c>
      <c r="E6972" t="str">
        <f>HYPERLINK("https://github.com/TeamNewPipe/NewPipe","show")</f>
        <v>show</v>
      </c>
      <c r="F6972" t="str">
        <f>HYPERLINK("https://github.com/TeamNewPipe/NewPipe/releases","show")</f>
        <v>show</v>
      </c>
    </row>
    <row r="6973" spans="1:6">
      <c r="A6973" t="s">
        <v>20707</v>
      </c>
      <c r="B6973" t="s">
        <v>20708</v>
      </c>
      <c r="C6973" t="s">
        <v>20709</v>
      </c>
      <c r="D6973" t="str">
        <f>HYPERLINK("https://github.com/AppsFlyerSDK/appsflyer-react-native-plugin/issues/202","show")</f>
        <v>show</v>
      </c>
      <c r="E6973" t="str">
        <f>HYPERLINK("https://github.com/AppsFlyerSDK/appsflyer-react-native-plugin","show")</f>
        <v>show</v>
      </c>
      <c r="F6973" t="str">
        <f>HYPERLINK("https://github.com/AppsFlyerSDK/appsflyer-react-native-plugin/releases","show")</f>
        <v>show</v>
      </c>
    </row>
    <row r="6974" spans="1:6">
      <c r="A6974" t="s">
        <v>20710</v>
      </c>
      <c r="B6974" t="s">
        <v>20711</v>
      </c>
      <c r="C6974" t="s">
        <v>20712</v>
      </c>
      <c r="D6974" t="str">
        <f>HYPERLINK("https://github.com/doublesymmetry/react-native-track-player/issues/1052","show")</f>
        <v>show</v>
      </c>
      <c r="E6974" t="str">
        <f>HYPERLINK("https://github.com/doublesymmetry/react-native-track-player","show")</f>
        <v>show</v>
      </c>
      <c r="F6974" t="str">
        <f>HYPERLINK("https://github.com/doublesymmetry/react-native-track-player/releases","show")</f>
        <v>show</v>
      </c>
    </row>
    <row r="6975" spans="1:6">
      <c r="A6975" t="s">
        <v>20713</v>
      </c>
      <c r="B6975" t="s">
        <v>20714</v>
      </c>
      <c r="C6975" t="s">
        <v>20715</v>
      </c>
      <c r="D6975" t="str">
        <f>HYPERLINK("https://github.com/forrestguice/SuntimesWidget/issues/437","show")</f>
        <v>show</v>
      </c>
      <c r="E6975" t="str">
        <f>HYPERLINK("https://github.com/forrestguice/SuntimesWidget","show")</f>
        <v>show</v>
      </c>
      <c r="F6975" t="str">
        <f>HYPERLINK("https://github.com/forrestguice/SuntimesWidget/releases","show")</f>
        <v>show</v>
      </c>
    </row>
    <row r="6976" spans="1:6">
      <c r="A6976" t="s">
        <v>20716</v>
      </c>
      <c r="B6976" t="s">
        <v>20717</v>
      </c>
      <c r="C6976" t="s">
        <v>20718</v>
      </c>
      <c r="D6976" t="str">
        <f>HYPERLINK("https://github.com/Anuken/Mindustry/issues/3052","show")</f>
        <v>show</v>
      </c>
      <c r="E6976" t="str">
        <f>HYPERLINK("https://github.com/Anuken/Mindustry","show")</f>
        <v>show</v>
      </c>
      <c r="F6976" t="str">
        <f>HYPERLINK("https://github.com/Anuken/Mindustry/releases","show")</f>
        <v>show</v>
      </c>
    </row>
    <row r="6977" spans="1:6">
      <c r="A6977" t="s">
        <v>20719</v>
      </c>
      <c r="B6977" t="s">
        <v>20720</v>
      </c>
      <c r="C6977" t="s">
        <v>20721</v>
      </c>
      <c r="D6977" t="str">
        <f>HYPERLINK("https://github.com/Anuken/Mindustry/issues/3050","show")</f>
        <v>show</v>
      </c>
      <c r="E6977" t="str">
        <f>HYPERLINK("https://github.com/Anuken/Mindustry","show")</f>
        <v>show</v>
      </c>
      <c r="F6977" t="str">
        <f>HYPERLINK("https://github.com/Anuken/Mindustry/releases","show")</f>
        <v>show</v>
      </c>
    </row>
    <row r="6978" spans="1:6">
      <c r="A6978" t="s">
        <v>20722</v>
      </c>
      <c r="B6978" t="s">
        <v>20723</v>
      </c>
      <c r="C6978" t="s">
        <v>20724</v>
      </c>
      <c r="D6978" t="str">
        <f>HYPERLINK("https://github.com/TeamNewPipe/NewPipe/issues/4582","show")</f>
        <v>show</v>
      </c>
      <c r="E6978" t="str">
        <f>HYPERLINK("https://github.com/TeamNewPipe/NewPipe","show")</f>
        <v>show</v>
      </c>
      <c r="F6978" t="str">
        <f>HYPERLINK("https://github.com/TeamNewPipe/NewPipe/releases","show")</f>
        <v>show</v>
      </c>
    </row>
    <row r="6979" spans="1:6">
      <c r="A6979" t="s">
        <v>20725</v>
      </c>
      <c r="B6979" t="s">
        <v>20726</v>
      </c>
      <c r="C6979" t="s">
        <v>20727</v>
      </c>
      <c r="D6979" t="str">
        <f>HYPERLINK("https://github.com/TeamNewPipe/NewPipe/issues/4580","show")</f>
        <v>show</v>
      </c>
      <c r="E6979" t="str">
        <f>HYPERLINK("https://github.com/TeamNewPipe/NewPipe","show")</f>
        <v>show</v>
      </c>
      <c r="F6979" t="str">
        <f>HYPERLINK("https://github.com/TeamNewPipe/NewPipe/releases","show")</f>
        <v>show</v>
      </c>
    </row>
    <row r="6980" spans="1:6">
      <c r="A6980" t="s">
        <v>20728</v>
      </c>
      <c r="B6980" t="s">
        <v>20729</v>
      </c>
      <c r="C6980" t="s">
        <v>20730</v>
      </c>
      <c r="D6980" t="str">
        <f>HYPERLINK("https://github.com/material-components/material-components-android/issues/1814","show")</f>
        <v>show</v>
      </c>
      <c r="E6980" t="str">
        <f>HYPERLINK("https://github.com/material-components/material-components-android","show")</f>
        <v>show</v>
      </c>
      <c r="F6980" t="str">
        <f>HYPERLINK("https://github.com/material-components/material-components-android/releases","show")</f>
        <v>show</v>
      </c>
    </row>
    <row r="6981" spans="1:6">
      <c r="A6981" t="s">
        <v>20731</v>
      </c>
      <c r="B6981" t="s">
        <v>20732</v>
      </c>
      <c r="C6981" t="s">
        <v>20733</v>
      </c>
      <c r="D6981" t="str">
        <f>HYPERLINK("https://github.com/nextcloud/android/issues/7121","show")</f>
        <v>show</v>
      </c>
      <c r="E6981" t="str">
        <f>HYPERLINK("https://github.com/nextcloud/android","show")</f>
        <v>show</v>
      </c>
      <c r="F6981" t="str">
        <f>HYPERLINK("https://github.com/nextcloud/android/releases","show")</f>
        <v>show</v>
      </c>
    </row>
    <row r="6982" spans="1:6">
      <c r="A6982" t="s">
        <v>20734</v>
      </c>
      <c r="B6982" t="s">
        <v>20735</v>
      </c>
      <c r="C6982" t="s">
        <v>20736</v>
      </c>
      <c r="D6982" t="str">
        <f>HYPERLINK("https://github.com/TeamNewPipe/NewPipe/issues/4572","show")</f>
        <v>show</v>
      </c>
      <c r="E6982" t="str">
        <f>HYPERLINK("https://github.com/TeamNewPipe/NewPipe","show")</f>
        <v>show</v>
      </c>
      <c r="F6982" t="str">
        <f>HYPERLINK("https://github.com/TeamNewPipe/NewPipe/releases","show")</f>
        <v>show</v>
      </c>
    </row>
    <row r="6983" spans="1:6">
      <c r="A6983" t="s">
        <v>20737</v>
      </c>
      <c r="B6983" t="s">
        <v>20738</v>
      </c>
      <c r="C6983" t="s">
        <v>20739</v>
      </c>
      <c r="D6983" t="str">
        <f>HYPERLINK("https://github.com/Anuken/Mindustry/issues/3047","show")</f>
        <v>show</v>
      </c>
      <c r="E6983" t="str">
        <f>HYPERLINK("https://github.com/Anuken/Mindustry","show")</f>
        <v>show</v>
      </c>
      <c r="F6983" t="str">
        <f>HYPERLINK("https://github.com/Anuken/Mindustry/releases","show")</f>
        <v>show</v>
      </c>
    </row>
    <row r="6984" spans="1:6">
      <c r="A6984" t="s">
        <v>20740</v>
      </c>
      <c r="B6984" t="s">
        <v>20741</v>
      </c>
      <c r="C6984" t="s">
        <v>20742</v>
      </c>
      <c r="D6984" t="str">
        <f>HYPERLINK("https://github.com/Anuken/Mindustry/issues/3045","show")</f>
        <v>show</v>
      </c>
      <c r="E6984" t="str">
        <f>HYPERLINK("https://github.com/Anuken/Mindustry","show")</f>
        <v>show</v>
      </c>
      <c r="F6984" t="str">
        <f>HYPERLINK("https://github.com/Anuken/Mindustry/releases","show")</f>
        <v>show</v>
      </c>
    </row>
    <row r="6985" spans="1:6">
      <c r="A6985" t="s">
        <v>20743</v>
      </c>
      <c r="B6985" t="s">
        <v>20744</v>
      </c>
      <c r="C6985" t="s">
        <v>20745</v>
      </c>
      <c r="D6985" t="str">
        <f>HYPERLINK("https://github.com/TeamNewPipe/NewPipe-legacy/issues/41","show")</f>
        <v>show</v>
      </c>
      <c r="E6985" t="str">
        <f>HYPERLINK("https://github.com/TeamNewPipe/NewPipe-legacy","show")</f>
        <v>show</v>
      </c>
      <c r="F6985" t="str">
        <f>HYPERLINK("https://github.com/TeamNewPipe/NewPipe-legacy/releases","show")</f>
        <v>show</v>
      </c>
    </row>
    <row r="6986" spans="1:6">
      <c r="A6986" t="s">
        <v>20746</v>
      </c>
      <c r="B6986" t="s">
        <v>20747</v>
      </c>
      <c r="C6986" t="s">
        <v>20748</v>
      </c>
      <c r="D6986" t="str">
        <f>HYPERLINK("https://github.com/kunalpat25/WCEVISITCOVID19/issues/7","show")</f>
        <v>show</v>
      </c>
      <c r="E6986" t="str">
        <f>HYPERLINK("https://github.com/kunalpat25/WCEVISITCOVID19","show")</f>
        <v>show</v>
      </c>
      <c r="F6986" t="str">
        <f>HYPERLINK("https://github.com/kunalpat25/WCEVISITCOVID19/releases","show")</f>
        <v>show</v>
      </c>
    </row>
    <row r="6987" spans="1:6">
      <c r="A6987" t="s">
        <v>20749</v>
      </c>
      <c r="B6987" t="s">
        <v>20750</v>
      </c>
      <c r="C6987" t="s">
        <v>20751</v>
      </c>
      <c r="D6987" t="str">
        <f>HYPERLINK("https://github.com/gsantner/markor/issues/1100","show")</f>
        <v>show</v>
      </c>
      <c r="E6987" t="str">
        <f>HYPERLINK("https://github.com/gsantner/markor","show")</f>
        <v>show</v>
      </c>
      <c r="F6987" t="str">
        <f>HYPERLINK("https://github.com/gsantner/markor/releases","show")</f>
        <v>show</v>
      </c>
    </row>
    <row r="6988" spans="1:6">
      <c r="A6988" t="s">
        <v>20752</v>
      </c>
      <c r="B6988" t="s">
        <v>20753</v>
      </c>
      <c r="C6988" t="s">
        <v>20754</v>
      </c>
      <c r="D6988" t="str">
        <f>HYPERLINK("https://github.com/mh-/corona-warn-companion-android/issues/66","show")</f>
        <v>show</v>
      </c>
      <c r="E6988" t="str">
        <f>HYPERLINK("https://github.com/mh-/corona-warn-companion-android","show")</f>
        <v>show</v>
      </c>
      <c r="F6988" t="str">
        <f>HYPERLINK("https://github.com/mh-/corona-warn-companion-android/releases","show")</f>
        <v>show</v>
      </c>
    </row>
    <row r="6989" spans="1:6">
      <c r="A6989" t="s">
        <v>20755</v>
      </c>
      <c r="B6989" t="s">
        <v>20756</v>
      </c>
      <c r="C6989" t="s">
        <v>20757</v>
      </c>
      <c r="D6989" t="str">
        <f>HYPERLINK("https://github.com/Anuken/Mindustry/issues/3042","show")</f>
        <v>show</v>
      </c>
      <c r="E6989" t="str">
        <f>HYPERLINK("https://github.com/Anuken/Mindustry","show")</f>
        <v>show</v>
      </c>
      <c r="F6989" t="str">
        <f>HYPERLINK("https://github.com/Anuken/Mindustry/releases","show")</f>
        <v>show</v>
      </c>
    </row>
    <row r="6990" spans="1:6">
      <c r="A6990" t="s">
        <v>20758</v>
      </c>
      <c r="B6990" t="s">
        <v>20759</v>
      </c>
      <c r="C6990" t="s">
        <v>20760</v>
      </c>
      <c r="D6990" t="str">
        <f>HYPERLINK("https://github.com/Anuken/Mindustry/issues/3040","show")</f>
        <v>show</v>
      </c>
      <c r="E6990" t="str">
        <f>HYPERLINK("https://github.com/Anuken/Mindustry","show")</f>
        <v>show</v>
      </c>
      <c r="F6990" t="str">
        <f>HYPERLINK("https://github.com/Anuken/Mindustry/releases","show")</f>
        <v>show</v>
      </c>
    </row>
    <row r="6991" spans="1:6">
      <c r="A6991" t="s">
        <v>20761</v>
      </c>
      <c r="B6991" t="s">
        <v>20762</v>
      </c>
      <c r="C6991" t="s">
        <v>20763</v>
      </c>
      <c r="D6991" t="str">
        <f>HYPERLINK("https://github.com/defold/extension-push/issues/24","show")</f>
        <v>show</v>
      </c>
      <c r="E6991" t="str">
        <f>HYPERLINK("https://github.com/defold/extension-push","show")</f>
        <v>show</v>
      </c>
      <c r="F6991" t="str">
        <f>HYPERLINK("https://github.com/defold/extension-push/releases","show")</f>
        <v>show</v>
      </c>
    </row>
    <row r="6992" spans="1:6">
      <c r="A6992" t="s">
        <v>20764</v>
      </c>
      <c r="B6992" t="s">
        <v>20765</v>
      </c>
      <c r="C6992" t="s">
        <v>20766</v>
      </c>
      <c r="D6992" t="str">
        <f>HYPERLINK("https://github.com/kunalpat25/WCEVISITCOVID19/issues/5","show")</f>
        <v>show</v>
      </c>
      <c r="E6992" t="str">
        <f>HYPERLINK("https://github.com/kunalpat25/WCEVISITCOVID19","show")</f>
        <v>show</v>
      </c>
      <c r="F6992" t="str">
        <f>HYPERLINK("https://github.com/kunalpat25/WCEVISITCOVID19/releases","show")</f>
        <v>show</v>
      </c>
    </row>
    <row r="6993" spans="1:6">
      <c r="A6993" t="s">
        <v>20767</v>
      </c>
      <c r="B6993" t="s">
        <v>20768</v>
      </c>
      <c r="C6993" t="s">
        <v>20769</v>
      </c>
      <c r="D6993" t="str">
        <f>HYPERLINK("https://github.com/nextcloud/android/issues/7113","show")</f>
        <v>show</v>
      </c>
      <c r="E6993" t="str">
        <f>HYPERLINK("https://github.com/nextcloud/android","show")</f>
        <v>show</v>
      </c>
      <c r="F6993" t="str">
        <f>HYPERLINK("https://github.com/nextcloud/android/releases","show")</f>
        <v>show</v>
      </c>
    </row>
    <row r="6994" spans="1:6">
      <c r="A6994" t="s">
        <v>20770</v>
      </c>
      <c r="B6994" t="s">
        <v>20771</v>
      </c>
      <c r="C6994" t="s">
        <v>20772</v>
      </c>
      <c r="D6994" t="str">
        <f>HYPERLINK("https://github.com/cgeo/cgeo/issues/9227","show")</f>
        <v>show</v>
      </c>
      <c r="E6994" t="str">
        <f>HYPERLINK("https://github.com/cgeo/cgeo","show")</f>
        <v>show</v>
      </c>
      <c r="F6994" t="str">
        <f>HYPERLINK("https://github.com/cgeo/cgeo/releases","show")</f>
        <v>show</v>
      </c>
    </row>
    <row r="6995" spans="1:6">
      <c r="A6995" t="s">
        <v>20773</v>
      </c>
      <c r="B6995" t="s">
        <v>20774</v>
      </c>
      <c r="C6995" t="s">
        <v>20775</v>
      </c>
      <c r="D6995" t="str">
        <f>HYPERLINK("https://github.com/Anuken/Mindustry/issues/3032","show")</f>
        <v>show</v>
      </c>
      <c r="E6995" t="str">
        <f>HYPERLINK("https://github.com/Anuken/Mindustry","show")</f>
        <v>show</v>
      </c>
      <c r="F6995" t="str">
        <f>HYPERLINK("https://github.com/Anuken/Mindustry/releases","show")</f>
        <v>show</v>
      </c>
    </row>
    <row r="6996" spans="1:6">
      <c r="A6996" t="s">
        <v>20776</v>
      </c>
      <c r="B6996" t="s">
        <v>20777</v>
      </c>
      <c r="C6996" t="s">
        <v>20778</v>
      </c>
      <c r="D6996" t="str">
        <f>HYPERLINK("https://github.com/Anuken/Mindustry/issues/3031","show")</f>
        <v>show</v>
      </c>
      <c r="E6996" t="str">
        <f>HYPERLINK("https://github.com/Anuken/Mindustry","show")</f>
        <v>show</v>
      </c>
      <c r="F6996" t="str">
        <f>HYPERLINK("https://github.com/Anuken/Mindustry/releases","show")</f>
        <v>show</v>
      </c>
    </row>
    <row r="6997" spans="1:6">
      <c r="A6997" t="s">
        <v>20779</v>
      </c>
      <c r="B6997" t="s">
        <v>20780</v>
      </c>
      <c r="C6997" t="s">
        <v>20781</v>
      </c>
      <c r="D6997" t="str">
        <f>HYPERLINK("https://github.com/GereonV/EKG-App/issues/1","show")</f>
        <v>show</v>
      </c>
      <c r="E6997" t="str">
        <f>HYPERLINK("https://github.com/GereonV/EKG-App","show")</f>
        <v>show</v>
      </c>
      <c r="F6997" t="str">
        <f>HYPERLINK("https://github.com/GereonV/EKG-App/releases","show")</f>
        <v>show</v>
      </c>
    </row>
    <row r="6998" spans="1:6">
      <c r="A6998" t="s">
        <v>20782</v>
      </c>
      <c r="B6998" t="s">
        <v>20783</v>
      </c>
      <c r="C6998" t="s">
        <v>20784</v>
      </c>
      <c r="D6998" t="str">
        <f>HYPERLINK("https://github.com/PojavLauncherTeam/PojavLauncher/issues/367","show")</f>
        <v>show</v>
      </c>
      <c r="E6998" t="str">
        <f>HYPERLINK("https://github.com/PojavLauncherTeam/PojavLauncher","show")</f>
        <v>show</v>
      </c>
      <c r="F6998" t="str">
        <f>HYPERLINK("https://github.com/PojavLauncherTeam/PojavLauncher/releases","show")</f>
        <v>show</v>
      </c>
    </row>
    <row r="6999" spans="1:6">
      <c r="A6999" t="s">
        <v>20785</v>
      </c>
      <c r="B6999" t="s">
        <v>20786</v>
      </c>
      <c r="C6999" t="s">
        <v>20787</v>
      </c>
      <c r="D6999" t="str">
        <f>HYPERLINK("https://github.com/Anuken/Mindustry/issues/3026","show")</f>
        <v>show</v>
      </c>
      <c r="E6999" t="str">
        <f>HYPERLINK("https://github.com/Anuken/Mindustry","show")</f>
        <v>show</v>
      </c>
      <c r="F6999" t="str">
        <f>HYPERLINK("https://github.com/Anuken/Mindustry/releases","show")</f>
        <v>show</v>
      </c>
    </row>
    <row r="7000" spans="1:6">
      <c r="A7000" t="s">
        <v>20788</v>
      </c>
      <c r="B7000" t="s">
        <v>20789</v>
      </c>
      <c r="C7000" t="s">
        <v>20790</v>
      </c>
      <c r="D7000" t="str">
        <f>HYPERLINK("https://github.com/Anuken/Mindustry/issues/3025","show")</f>
        <v>show</v>
      </c>
      <c r="E7000" t="str">
        <f>HYPERLINK("https://github.com/Anuken/Mindustry","show")</f>
        <v>show</v>
      </c>
      <c r="F7000" t="str">
        <f>HYPERLINK("https://github.com/Anuken/Mindustry/releases","show")</f>
        <v>show</v>
      </c>
    </row>
    <row r="7001" spans="1:6">
      <c r="A7001" t="s">
        <v>20791</v>
      </c>
      <c r="B7001" t="s">
        <v>20792</v>
      </c>
      <c r="C7001" t="s">
        <v>20793</v>
      </c>
      <c r="D7001" t="str">
        <f>HYPERLINK("https://github.com/Anuken/Mindustry/issues/3023","show")</f>
        <v>show</v>
      </c>
      <c r="E7001" t="str">
        <f>HYPERLINK("https://github.com/Anuken/Mindustry","show")</f>
        <v>show</v>
      </c>
      <c r="F7001" t="str">
        <f>HYPERLINK("https://github.com/Anuken/Mindustry/releases","show")</f>
        <v>show</v>
      </c>
    </row>
    <row r="7002" spans="1:6">
      <c r="A7002" t="s">
        <v>20794</v>
      </c>
      <c r="B7002" t="s">
        <v>20795</v>
      </c>
      <c r="C7002" t="s">
        <v>20796</v>
      </c>
      <c r="D7002" t="str">
        <f>HYPERLINK("https://github.com/Anuken/Mindustry/issues/3019","show")</f>
        <v>show</v>
      </c>
      <c r="E7002" t="str">
        <f>HYPERLINK("https://github.com/Anuken/Mindustry","show")</f>
        <v>show</v>
      </c>
      <c r="F7002" t="str">
        <f>HYPERLINK("https://github.com/Anuken/Mindustry/releases","show")</f>
        <v>show</v>
      </c>
    </row>
    <row r="7003" spans="1:6">
      <c r="A7003" t="s">
        <v>20797</v>
      </c>
      <c r="B7003" t="s">
        <v>20798</v>
      </c>
      <c r="C7003" t="s">
        <v>20799</v>
      </c>
      <c r="D7003" t="str">
        <f>HYPERLINK("https://github.com/nextcloud/android/issues/7108","show")</f>
        <v>show</v>
      </c>
      <c r="E7003" t="str">
        <f>HYPERLINK("https://github.com/nextcloud/android","show")</f>
        <v>show</v>
      </c>
      <c r="F7003" t="str">
        <f>HYPERLINK("https://github.com/nextcloud/android/releases","show")</f>
        <v>show</v>
      </c>
    </row>
    <row r="7004" spans="1:6">
      <c r="A7004" t="s">
        <v>20800</v>
      </c>
      <c r="B7004" t="s">
        <v>20801</v>
      </c>
      <c r="C7004" t="s">
        <v>20802</v>
      </c>
      <c r="D7004" t="str">
        <f>HYPERLINK("https://github.com/Anuken/Mindustry/issues/3016","show")</f>
        <v>show</v>
      </c>
      <c r="E7004" t="str">
        <f>HYPERLINK("https://github.com/Anuken/Mindustry","show")</f>
        <v>show</v>
      </c>
      <c r="F7004" t="str">
        <f>HYPERLINK("https://github.com/Anuken/Mindustry/releases","show")</f>
        <v>show</v>
      </c>
    </row>
    <row r="7005" spans="1:6">
      <c r="A7005" t="s">
        <v>20803</v>
      </c>
      <c r="B7005" t="s">
        <v>20804</v>
      </c>
      <c r="C7005" t="s">
        <v>20805</v>
      </c>
      <c r="D7005" t="str">
        <f>HYPERLINK("https://github.com/TeamNewPipe/NewPipe/issues/4563","show")</f>
        <v>show</v>
      </c>
      <c r="E7005" t="str">
        <f>HYPERLINK("https://github.com/TeamNewPipe/NewPipe","show")</f>
        <v>show</v>
      </c>
      <c r="F7005" t="str">
        <f>HYPERLINK("https://github.com/TeamNewPipe/NewPipe/releases","show")</f>
        <v>show</v>
      </c>
    </row>
    <row r="7006" spans="1:6">
      <c r="A7006" t="s">
        <v>20806</v>
      </c>
      <c r="B7006" t="s">
        <v>20807</v>
      </c>
      <c r="C7006" t="s">
        <v>20808</v>
      </c>
      <c r="D7006" t="str">
        <f>HYPERLINK("https://github.com/iamolegga/react-native-launch-arguments/issues/2","show")</f>
        <v>show</v>
      </c>
      <c r="E7006" t="str">
        <f>HYPERLINK("https://github.com/iamolegga/react-native-launch-arguments","show")</f>
        <v>show</v>
      </c>
      <c r="F7006" t="str">
        <f>HYPERLINK("https://github.com/iamolegga/react-native-launch-arguments/releases","show")</f>
        <v>show</v>
      </c>
    </row>
    <row r="7007" spans="1:6">
      <c r="A7007" t="s">
        <v>20809</v>
      </c>
      <c r="B7007" t="s">
        <v>20810</v>
      </c>
      <c r="C7007" t="s">
        <v>20811</v>
      </c>
      <c r="D7007" t="str">
        <f>HYPERLINK("https://github.com/AOF-Dev/MCinaBox/issues/575","show")</f>
        <v>show</v>
      </c>
      <c r="E7007" t="str">
        <f>HYPERLINK("https://github.com/AOF-Dev/MCinaBox","show")</f>
        <v>show</v>
      </c>
      <c r="F7007" t="str">
        <f>HYPERLINK("https://github.com/AOF-Dev/MCinaBox/releases","show")</f>
        <v>show</v>
      </c>
    </row>
    <row r="7008" spans="1:6">
      <c r="A7008" t="s">
        <v>20812</v>
      </c>
      <c r="B7008" t="s">
        <v>20813</v>
      </c>
      <c r="C7008" t="s">
        <v>20814</v>
      </c>
      <c r="D7008" t="str">
        <f>HYPERLINK("https://github.com/Anuken/Mindustry/issues/3009","show")</f>
        <v>show</v>
      </c>
      <c r="E7008" t="str">
        <f>HYPERLINK("https://github.com/Anuken/Mindustry","show")</f>
        <v>show</v>
      </c>
      <c r="F7008" t="str">
        <f>HYPERLINK("https://github.com/Anuken/Mindustry/releases","show")</f>
        <v>show</v>
      </c>
    </row>
    <row r="7009" spans="1:6">
      <c r="A7009" t="s">
        <v>20815</v>
      </c>
      <c r="B7009" t="s">
        <v>20816</v>
      </c>
      <c r="C7009" t="s">
        <v>20817</v>
      </c>
      <c r="D7009" t="str">
        <f>HYPERLINK("https://github.com/AOF-Dev/MCinaBox/issues/573","show")</f>
        <v>show</v>
      </c>
      <c r="E7009" t="str">
        <f>HYPERLINK("https://github.com/AOF-Dev/MCinaBox","show")</f>
        <v>show</v>
      </c>
      <c r="F7009" t="str">
        <f>HYPERLINK("https://github.com/AOF-Dev/MCinaBox/releases","show")</f>
        <v>show</v>
      </c>
    </row>
    <row r="7010" spans="1:6">
      <c r="A7010" t="s">
        <v>20818</v>
      </c>
      <c r="B7010" t="s">
        <v>20819</v>
      </c>
      <c r="C7010" t="s">
        <v>20820</v>
      </c>
      <c r="D7010" t="str">
        <f>HYPERLINK("https://github.com/Anuken/Mindustry/issues/3007","show")</f>
        <v>show</v>
      </c>
      <c r="E7010" t="str">
        <f>HYPERLINK("https://github.com/Anuken/Mindustry","show")</f>
        <v>show</v>
      </c>
      <c r="F7010" t="str">
        <f>HYPERLINK("https://github.com/Anuken/Mindustry/releases","show")</f>
        <v>show</v>
      </c>
    </row>
    <row r="7011" spans="1:6">
      <c r="A7011" t="s">
        <v>20821</v>
      </c>
      <c r="B7011" t="s">
        <v>20822</v>
      </c>
      <c r="C7011" t="s">
        <v>20823</v>
      </c>
      <c r="D7011" t="str">
        <f>HYPERLINK("https://github.com/TeamNewPipe/NewPipe/issues/4552","show")</f>
        <v>show</v>
      </c>
      <c r="E7011" t="str">
        <f>HYPERLINK("https://github.com/TeamNewPipe/NewPipe","show")</f>
        <v>show</v>
      </c>
      <c r="F7011" t="str">
        <f>HYPERLINK("https://github.com/TeamNewPipe/NewPipe/releases","show")</f>
        <v>show</v>
      </c>
    </row>
    <row r="7012" spans="1:6">
      <c r="A7012" t="s">
        <v>20824</v>
      </c>
      <c r="B7012" t="s">
        <v>20825</v>
      </c>
      <c r="C7012" t="s">
        <v>20826</v>
      </c>
      <c r="D7012" t="str">
        <f>HYPERLINK("https://github.com/Anuken/Mindustry/issues/3002","show")</f>
        <v>show</v>
      </c>
      <c r="E7012" t="str">
        <f>HYPERLINK("https://github.com/Anuken/Mindustry","show")</f>
        <v>show</v>
      </c>
      <c r="F7012" t="str">
        <f>HYPERLINK("https://github.com/Anuken/Mindustry/releases","show")</f>
        <v>show</v>
      </c>
    </row>
    <row r="7013" spans="1:6">
      <c r="A7013" t="s">
        <v>20827</v>
      </c>
      <c r="B7013" t="s">
        <v>20828</v>
      </c>
      <c r="C7013" t="s">
        <v>20829</v>
      </c>
      <c r="D7013" t="str">
        <f>HYPERLINK("https://github.com/TeamNewPipe/NewPipe/issues/4549","show")</f>
        <v>show</v>
      </c>
      <c r="E7013" t="str">
        <f>HYPERLINK("https://github.com/TeamNewPipe/NewPipe","show")</f>
        <v>show</v>
      </c>
      <c r="F7013" t="str">
        <f>HYPERLINK("https://github.com/TeamNewPipe/NewPipe/releases","show")</f>
        <v>show</v>
      </c>
    </row>
    <row r="7014" spans="1:6">
      <c r="A7014" t="s">
        <v>20830</v>
      </c>
      <c r="B7014" t="s">
        <v>20831</v>
      </c>
      <c r="C7014" t="s">
        <v>20832</v>
      </c>
      <c r="D7014" t="str">
        <f>HYPERLINK("https://github.com/TeamNewPipe/NewPipe/issues/4546","show")</f>
        <v>show</v>
      </c>
      <c r="E7014" t="str">
        <f>HYPERLINK("https://github.com/TeamNewPipe/NewPipe","show")</f>
        <v>show</v>
      </c>
      <c r="F7014" t="str">
        <f>HYPERLINK("https://github.com/TeamNewPipe/NewPipe/releases","show")</f>
        <v>show</v>
      </c>
    </row>
    <row r="7015" spans="1:6">
      <c r="A7015" t="s">
        <v>20833</v>
      </c>
      <c r="B7015" t="s">
        <v>20834</v>
      </c>
      <c r="C7015" t="s">
        <v>20835</v>
      </c>
      <c r="D7015" t="str">
        <f>HYPERLINK("https://github.com/Anuken/Mindustry/issues/2991","show")</f>
        <v>show</v>
      </c>
      <c r="E7015" t="str">
        <f>HYPERLINK("https://github.com/Anuken/Mindustry","show")</f>
        <v>show</v>
      </c>
      <c r="F7015" t="str">
        <f>HYPERLINK("https://github.com/Anuken/Mindustry/releases","show")</f>
        <v>show</v>
      </c>
    </row>
    <row r="7016" spans="1:6">
      <c r="A7016" t="s">
        <v>20836</v>
      </c>
      <c r="B7016" t="s">
        <v>20837</v>
      </c>
      <c r="C7016" t="s">
        <v>20838</v>
      </c>
      <c r="D7016" t="str">
        <f>HYPERLINK("https://github.com/Anuken/Mindustry/issues/2988","show")</f>
        <v>show</v>
      </c>
      <c r="E7016" t="str">
        <f>HYPERLINK("https://github.com/Anuken/Mindustry","show")</f>
        <v>show</v>
      </c>
      <c r="F7016" t="str">
        <f>HYPERLINK("https://github.com/Anuken/Mindustry/releases","show")</f>
        <v>show</v>
      </c>
    </row>
    <row r="7017" spans="1:6">
      <c r="A7017" t="s">
        <v>20839</v>
      </c>
      <c r="B7017" t="s">
        <v>20840</v>
      </c>
      <c r="C7017" t="s">
        <v>20841</v>
      </c>
      <c r="D7017" t="str">
        <f>HYPERLINK("https://github.com/Anuken/Mindustry/issues/2987","show")</f>
        <v>show</v>
      </c>
      <c r="E7017" t="str">
        <f>HYPERLINK("https://github.com/Anuken/Mindustry","show")</f>
        <v>show</v>
      </c>
      <c r="F7017" t="str">
        <f>HYPERLINK("https://github.com/Anuken/Mindustry/releases","show")</f>
        <v>show</v>
      </c>
    </row>
    <row r="7018" spans="1:6">
      <c r="A7018" t="s">
        <v>20842</v>
      </c>
      <c r="B7018" t="s">
        <v>20843</v>
      </c>
      <c r="C7018" t="s">
        <v>20844</v>
      </c>
      <c r="D7018" t="str">
        <f>HYPERLINK("https://github.com/TeamNewPipe/NewPipe/issues/4539","show")</f>
        <v>show</v>
      </c>
      <c r="E7018" t="str">
        <f>HYPERLINK("https://github.com/TeamNewPipe/NewPipe","show")</f>
        <v>show</v>
      </c>
      <c r="F7018" t="str">
        <f>HYPERLINK("https://github.com/TeamNewPipe/NewPipe/releases","show")</f>
        <v>show</v>
      </c>
    </row>
    <row r="7019" spans="1:6">
      <c r="A7019" t="s">
        <v>20845</v>
      </c>
      <c r="B7019" t="s">
        <v>20846</v>
      </c>
      <c r="C7019" t="s">
        <v>20847</v>
      </c>
      <c r="D7019" t="str">
        <f>HYPERLINK("https://github.com/doublesymmetry/react-native-track-player/issues/1047","show")</f>
        <v>show</v>
      </c>
      <c r="E7019" t="str">
        <f>HYPERLINK("https://github.com/doublesymmetry/react-native-track-player","show")</f>
        <v>show</v>
      </c>
      <c r="F7019" t="str">
        <f>HYPERLINK("https://github.com/doublesymmetry/react-native-track-player/releases","show")</f>
        <v>show</v>
      </c>
    </row>
    <row r="7020" spans="1:6">
      <c r="A7020" t="s">
        <v>20848</v>
      </c>
      <c r="B7020" t="s">
        <v>20849</v>
      </c>
      <c r="C7020" t="s">
        <v>20850</v>
      </c>
      <c r="D7020" t="str">
        <f>HYPERLINK("https://github.com/Anuken/Mindustry/issues/2977","show")</f>
        <v>show</v>
      </c>
      <c r="E7020" t="str">
        <f>HYPERLINK("https://github.com/Anuken/Mindustry","show")</f>
        <v>show</v>
      </c>
      <c r="F7020" t="str">
        <f>HYPERLINK("https://github.com/Anuken/Mindustry/releases","show")</f>
        <v>show</v>
      </c>
    </row>
    <row r="7021" spans="1:6">
      <c r="A7021" t="s">
        <v>20851</v>
      </c>
      <c r="B7021" t="s">
        <v>20852</v>
      </c>
      <c r="C7021" t="s">
        <v>20853</v>
      </c>
      <c r="D7021" t="str">
        <f>HYPERLINK("https://github.com/inaturalist/iNaturalistAndroid/issues/923","show")</f>
        <v>show</v>
      </c>
      <c r="E7021" t="str">
        <f>HYPERLINK("https://github.com/inaturalist/iNaturalistAndroid","show")</f>
        <v>show</v>
      </c>
      <c r="F7021" t="str">
        <f>HYPERLINK("https://github.com/inaturalist/iNaturalistAndroid/releases","show")</f>
        <v>show</v>
      </c>
    </row>
    <row r="7022" spans="1:6">
      <c r="A7022" t="s">
        <v>20854</v>
      </c>
      <c r="B7022" t="s">
        <v>20855</v>
      </c>
      <c r="C7022" t="s">
        <v>20856</v>
      </c>
      <c r="D7022" t="str">
        <f>HYPERLINK("https://github.com/opensrp/opensrp-client-chw/issues/1433","show")</f>
        <v>show</v>
      </c>
      <c r="E7022" t="str">
        <f>HYPERLINK("https://github.com/opensrp/opensrp-client-chw","show")</f>
        <v>show</v>
      </c>
      <c r="F7022" t="str">
        <f>HYPERLINK("https://github.com/opensrp/opensrp-client-chw/releases","show")</f>
        <v>show</v>
      </c>
    </row>
    <row r="7023" spans="1:6">
      <c r="A7023" t="s">
        <v>20857</v>
      </c>
      <c r="B7023" t="s">
        <v>20858</v>
      </c>
      <c r="C7023" t="s">
        <v>20859</v>
      </c>
      <c r="D7023" t="str">
        <f>HYPERLINK("https://github.com/AOF-Dev/MCinaBox/issues/552","show")</f>
        <v>show</v>
      </c>
      <c r="E7023" t="str">
        <f>HYPERLINK("https://github.com/AOF-Dev/MCinaBox","show")</f>
        <v>show</v>
      </c>
      <c r="F7023" t="str">
        <f>HYPERLINK("https://github.com/AOF-Dev/MCinaBox/releases","show")</f>
        <v>show</v>
      </c>
    </row>
    <row r="7024" spans="1:6">
      <c r="A7024" t="s">
        <v>20860</v>
      </c>
      <c r="B7024" t="s">
        <v>20861</v>
      </c>
      <c r="C7024" t="s">
        <v>20862</v>
      </c>
      <c r="D7024" t="str">
        <f>HYPERLINK("https://github.com/Anuken/Mindustry/issues/2973","show")</f>
        <v>show</v>
      </c>
      <c r="E7024" t="str">
        <f>HYPERLINK("https://github.com/Anuken/Mindustry","show")</f>
        <v>show</v>
      </c>
      <c r="F7024" t="str">
        <f>HYPERLINK("https://github.com/Anuken/Mindustry/releases","show")</f>
        <v>show</v>
      </c>
    </row>
    <row r="7025" spans="1:6">
      <c r="A7025" t="s">
        <v>20863</v>
      </c>
      <c r="B7025" t="s">
        <v>20864</v>
      </c>
      <c r="C7025" t="s">
        <v>20865</v>
      </c>
      <c r="D7025" t="str">
        <f>HYPERLINK("https://github.com/TeamNewPipe/NewPipe/issues/4527","show")</f>
        <v>show</v>
      </c>
      <c r="E7025" t="str">
        <f>HYPERLINK("https://github.com/TeamNewPipe/NewPipe","show")</f>
        <v>show</v>
      </c>
      <c r="F7025" t="str">
        <f>HYPERLINK("https://github.com/TeamNewPipe/NewPipe/releases","show")</f>
        <v>show</v>
      </c>
    </row>
    <row r="7026" spans="1:6">
      <c r="A7026" t="s">
        <v>20866</v>
      </c>
      <c r="B7026" t="s">
        <v>20867</v>
      </c>
      <c r="C7026" t="s">
        <v>20868</v>
      </c>
      <c r="D7026" t="str">
        <f>HYPERLINK("https://github.com/AOF-Dev/MCinaBox/issues/550","show")</f>
        <v>show</v>
      </c>
      <c r="E7026" t="str">
        <f>HYPERLINK("https://github.com/AOF-Dev/MCinaBox","show")</f>
        <v>show</v>
      </c>
      <c r="F7026" t="str">
        <f>HYPERLINK("https://github.com/AOF-Dev/MCinaBox/releases","show")</f>
        <v>show</v>
      </c>
    </row>
    <row r="7027" spans="1:6">
      <c r="A7027" t="s">
        <v>20869</v>
      </c>
      <c r="B7027" t="s">
        <v>20870</v>
      </c>
      <c r="C7027" t="s">
        <v>20871</v>
      </c>
      <c r="D7027" t="str">
        <f>HYPERLINK("https://github.com/Anuken/Mindustry/issues/2968","show")</f>
        <v>show</v>
      </c>
      <c r="E7027" t="str">
        <f>HYPERLINK("https://github.com/Anuken/Mindustry","show")</f>
        <v>show</v>
      </c>
      <c r="F7027" t="str">
        <f>HYPERLINK("https://github.com/Anuken/Mindustry/releases","show")</f>
        <v>show</v>
      </c>
    </row>
    <row r="7028" spans="1:6">
      <c r="A7028" t="s">
        <v>20872</v>
      </c>
      <c r="B7028" t="s">
        <v>20873</v>
      </c>
      <c r="C7028" t="s">
        <v>20874</v>
      </c>
      <c r="D7028" t="str">
        <f>HYPERLINK("https://github.com/material-components/material-components-android/issues/1801","show")</f>
        <v>show</v>
      </c>
      <c r="E7028" t="str">
        <f>HYPERLINK("https://github.com/material-components/material-components-android","show")</f>
        <v>show</v>
      </c>
      <c r="F7028" t="str">
        <f>HYPERLINK("https://github.com/material-components/material-components-android/releases","show")</f>
        <v>show</v>
      </c>
    </row>
    <row r="7029" spans="1:6">
      <c r="A7029" t="s">
        <v>20875</v>
      </c>
      <c r="B7029" t="s">
        <v>20876</v>
      </c>
      <c r="C7029" t="s">
        <v>20877</v>
      </c>
      <c r="D7029" t="str">
        <f>HYPERLINK("https://github.com/Anuken/Mindustry/issues/2967","show")</f>
        <v>show</v>
      </c>
      <c r="E7029" t="str">
        <f>HYPERLINK("https://github.com/Anuken/Mindustry","show")</f>
        <v>show</v>
      </c>
      <c r="F7029" t="str">
        <f>HYPERLINK("https://github.com/Anuken/Mindustry/releases","show")</f>
        <v>show</v>
      </c>
    </row>
    <row r="7030" spans="1:6">
      <c r="A7030" t="s">
        <v>20878</v>
      </c>
      <c r="B7030" t="s">
        <v>20879</v>
      </c>
      <c r="C7030" t="s">
        <v>20880</v>
      </c>
      <c r="D7030" t="str">
        <f>HYPERLINK("https://github.com/PojavLauncherTeam/PojavLauncher/issues/357","show")</f>
        <v>show</v>
      </c>
      <c r="E7030" t="str">
        <f>HYPERLINK("https://github.com/PojavLauncherTeam/PojavLauncher","show")</f>
        <v>show</v>
      </c>
      <c r="F7030" t="str">
        <f>HYPERLINK("https://github.com/PojavLauncherTeam/PojavLauncher/releases","show")</f>
        <v>show</v>
      </c>
    </row>
    <row r="7031" spans="1:6">
      <c r="A7031" t="s">
        <v>20881</v>
      </c>
      <c r="B7031" t="s">
        <v>20882</v>
      </c>
      <c r="C7031" t="s">
        <v>20883</v>
      </c>
      <c r="D7031" t="str">
        <f>HYPERLINK("https://github.com/TeamNewPipe/NewPipe/issues/4520","show")</f>
        <v>show</v>
      </c>
      <c r="E7031" t="str">
        <f>HYPERLINK("https://github.com/TeamNewPipe/NewPipe","show")</f>
        <v>show</v>
      </c>
      <c r="F7031" t="str">
        <f>HYPERLINK("https://github.com/TeamNewPipe/NewPipe/releases","show")</f>
        <v>show</v>
      </c>
    </row>
    <row r="7032" spans="1:6">
      <c r="A7032" t="s">
        <v>20884</v>
      </c>
      <c r="B7032" t="s">
        <v>20885</v>
      </c>
      <c r="C7032" t="s">
        <v>20886</v>
      </c>
      <c r="D7032" t="str">
        <f>HYPERLINK("https://github.com/Anuken/Mindustry/issues/2966","show")</f>
        <v>show</v>
      </c>
      <c r="E7032" t="str">
        <f>HYPERLINK("https://github.com/Anuken/Mindustry","show")</f>
        <v>show</v>
      </c>
      <c r="F7032" t="str">
        <f>HYPERLINK("https://github.com/Anuken/Mindustry/releases","show")</f>
        <v>show</v>
      </c>
    </row>
    <row r="7033" spans="1:6">
      <c r="A7033" t="s">
        <v>20887</v>
      </c>
      <c r="B7033" t="s">
        <v>20888</v>
      </c>
      <c r="C7033" t="s">
        <v>20889</v>
      </c>
      <c r="D7033" t="str">
        <f>HYPERLINK("https://github.com/ankidroid/Anki-Android/issues/7391","show")</f>
        <v>show</v>
      </c>
      <c r="E7033" t="str">
        <f>HYPERLINK("https://github.com/ankidroid/Anki-Android","show")</f>
        <v>show</v>
      </c>
      <c r="F7033" t="str">
        <f>HYPERLINK("https://github.com/ankidroid/Anki-Android/releases","show")</f>
        <v>show</v>
      </c>
    </row>
    <row r="7034" spans="1:6">
      <c r="A7034" t="s">
        <v>20890</v>
      </c>
      <c r="B7034" t="s">
        <v>20891</v>
      </c>
      <c r="C7034" t="s">
        <v>20892</v>
      </c>
      <c r="D7034" t="str">
        <f>HYPERLINK("https://github.com/TeamNewPipe/NewPipe/issues/4518","show")</f>
        <v>show</v>
      </c>
      <c r="E7034" t="str">
        <f>HYPERLINK("https://github.com/TeamNewPipe/NewPipe","show")</f>
        <v>show</v>
      </c>
      <c r="F7034" t="str">
        <f>HYPERLINK("https://github.com/TeamNewPipe/NewPipe/releases","show")</f>
        <v>show</v>
      </c>
    </row>
    <row r="7035" spans="1:6">
      <c r="A7035" t="s">
        <v>20893</v>
      </c>
      <c r="B7035" t="s">
        <v>20894</v>
      </c>
      <c r="C7035" t="s">
        <v>20895</v>
      </c>
      <c r="D7035" t="str">
        <f>HYPERLINK("https://github.com/Anuken/Mindustry/issues/2963","show")</f>
        <v>show</v>
      </c>
      <c r="E7035" t="str">
        <f>HYPERLINK("https://github.com/Anuken/Mindustry","show")</f>
        <v>show</v>
      </c>
      <c r="F7035" t="str">
        <f>HYPERLINK("https://github.com/Anuken/Mindustry/releases","show")</f>
        <v>show</v>
      </c>
    </row>
    <row r="7036" spans="1:6">
      <c r="A7036" t="s">
        <v>20896</v>
      </c>
      <c r="B7036" t="s">
        <v>20897</v>
      </c>
      <c r="C7036" t="s">
        <v>20898</v>
      </c>
      <c r="D7036" t="str">
        <f>HYPERLINK("https://github.com/AOF-Dev/MCinaBox/issues/540","show")</f>
        <v>show</v>
      </c>
      <c r="E7036" t="str">
        <f>HYPERLINK("https://github.com/AOF-Dev/MCinaBox","show")</f>
        <v>show</v>
      </c>
      <c r="F7036" t="str">
        <f>HYPERLINK("https://github.com/AOF-Dev/MCinaBox/releases","show")</f>
        <v>show</v>
      </c>
    </row>
    <row r="7037" spans="1:6">
      <c r="A7037" t="s">
        <v>20899</v>
      </c>
      <c r="B7037" t="s">
        <v>20900</v>
      </c>
      <c r="C7037" t="s">
        <v>20901</v>
      </c>
      <c r="D7037" t="str">
        <f>HYPERLINK("https://github.com/Anuken/Mindustry/issues/2962","show")</f>
        <v>show</v>
      </c>
      <c r="E7037" t="str">
        <f>HYPERLINK("https://github.com/Anuken/Mindustry","show")</f>
        <v>show</v>
      </c>
      <c r="F7037" t="str">
        <f>HYPERLINK("https://github.com/Anuken/Mindustry/releases","show")</f>
        <v>show</v>
      </c>
    </row>
    <row r="7038" spans="1:6">
      <c r="A7038" t="s">
        <v>20902</v>
      </c>
      <c r="B7038" t="s">
        <v>20903</v>
      </c>
      <c r="C7038" t="s">
        <v>20904</v>
      </c>
      <c r="D7038" t="str">
        <f>HYPERLINK("https://github.com/Anuken/Mindustry/issues/2959","show")</f>
        <v>show</v>
      </c>
      <c r="E7038" t="str">
        <f>HYPERLINK("https://github.com/Anuken/Mindustry","show")</f>
        <v>show</v>
      </c>
      <c r="F7038" t="str">
        <f>HYPERLINK("https://github.com/Anuken/Mindustry/releases","show")</f>
        <v>show</v>
      </c>
    </row>
    <row r="7039" spans="1:6">
      <c r="A7039" t="s">
        <v>20905</v>
      </c>
      <c r="B7039" t="s">
        <v>20906</v>
      </c>
      <c r="C7039" t="s">
        <v>20907</v>
      </c>
      <c r="D7039" t="str">
        <f>HYPERLINK("https://github.com/getodk/collect/issues/4170","show")</f>
        <v>show</v>
      </c>
      <c r="E7039" t="str">
        <f>HYPERLINK("https://github.com/getodk/collect","show")</f>
        <v>show</v>
      </c>
      <c r="F7039" t="str">
        <f>HYPERLINK("https://github.com/getodk/collect/releases","show")</f>
        <v>show</v>
      </c>
    </row>
    <row r="7040" spans="1:6">
      <c r="A7040" t="s">
        <v>20908</v>
      </c>
      <c r="B7040" t="s">
        <v>20909</v>
      </c>
      <c r="C7040" t="s">
        <v>20910</v>
      </c>
      <c r="D7040" t="str">
        <f>HYPERLINK("https://github.com/TeamNewPipe/NewPipe/issues/4516","show")</f>
        <v>show</v>
      </c>
      <c r="E7040" t="str">
        <f>HYPERLINK("https://github.com/TeamNewPipe/NewPipe","show")</f>
        <v>show</v>
      </c>
      <c r="F7040" t="str">
        <f>HYPERLINK("https://github.com/TeamNewPipe/NewPipe/releases","show")</f>
        <v>show</v>
      </c>
    </row>
    <row r="7041" spans="1:6">
      <c r="A7041" t="s">
        <v>20911</v>
      </c>
      <c r="B7041" t="s">
        <v>20912</v>
      </c>
      <c r="C7041" t="s">
        <v>20913</v>
      </c>
      <c r="D7041" t="str">
        <f>HYPERLINK("https://github.com/microsoftgraph/msgraph-sdk-java/issues/542","show")</f>
        <v>show</v>
      </c>
      <c r="E7041" t="str">
        <f>HYPERLINK("https://github.com/microsoftgraph/msgraph-sdk-java","show")</f>
        <v>show</v>
      </c>
      <c r="F7041" t="str">
        <f>HYPERLINK("https://github.com/microsoftgraph/msgraph-sdk-java/releases","show")</f>
        <v>show</v>
      </c>
    </row>
    <row r="7042" spans="1:6">
      <c r="A7042" t="s">
        <v>20914</v>
      </c>
      <c r="B7042" t="s">
        <v>20915</v>
      </c>
      <c r="C7042" t="s">
        <v>20916</v>
      </c>
      <c r="D7042" t="str">
        <f>HYPERLINK("https://github.com/dev-labs-bg/fullscreen-video-view/issues/75","show")</f>
        <v>show</v>
      </c>
      <c r="E7042" t="str">
        <f>HYPERLINK("https://github.com/dev-labs-bg/fullscreen-video-view","show")</f>
        <v>show</v>
      </c>
      <c r="F7042" t="str">
        <f>HYPERLINK("https://github.com/dev-labs-bg/fullscreen-video-view/releases","show")</f>
        <v>show</v>
      </c>
    </row>
    <row r="7043" spans="1:6">
      <c r="A7043" t="s">
        <v>20917</v>
      </c>
      <c r="B7043" t="s">
        <v>20918</v>
      </c>
      <c r="C7043" t="s">
        <v>20919</v>
      </c>
      <c r="D7043" t="str">
        <f>HYPERLINK("https://github.com/google/ExoPlayer/issues/8078","show")</f>
        <v>show</v>
      </c>
      <c r="E7043" t="str">
        <f>HYPERLINK("https://github.com/google/ExoPlayer","show")</f>
        <v>show</v>
      </c>
      <c r="F7043" t="str">
        <f>HYPERLINK("https://github.com/google/ExoPlayer/releases","show")</f>
        <v>show</v>
      </c>
    </row>
    <row r="7044" spans="1:6">
      <c r="A7044" t="s">
        <v>20920</v>
      </c>
      <c r="B7044" t="s">
        <v>20921</v>
      </c>
      <c r="C7044" t="s">
        <v>20922</v>
      </c>
      <c r="D7044" t="str">
        <f>HYPERLINK("https://github.com/TeamNewPipe/NewPipe/issues/4515","show")</f>
        <v>show</v>
      </c>
      <c r="E7044" t="str">
        <f>HYPERLINK("https://github.com/TeamNewPipe/NewPipe","show")</f>
        <v>show</v>
      </c>
      <c r="F7044" t="str">
        <f>HYPERLINK("https://github.com/TeamNewPipe/NewPipe/releases","show")</f>
        <v>show</v>
      </c>
    </row>
    <row r="7045" spans="1:6">
      <c r="A7045" t="s">
        <v>20923</v>
      </c>
      <c r="B7045" t="s">
        <v>20924</v>
      </c>
      <c r="C7045" t="s">
        <v>20925</v>
      </c>
      <c r="D7045" t="str">
        <f>HYPERLINK("https://github.com/Anuken/Mindustry/issues/2957","show")</f>
        <v>show</v>
      </c>
      <c r="E7045" t="str">
        <f>HYPERLINK("https://github.com/Anuken/Mindustry","show")</f>
        <v>show</v>
      </c>
      <c r="F7045" t="str">
        <f>HYPERLINK("https://github.com/Anuken/Mindustry/releases","show")</f>
        <v>show</v>
      </c>
    </row>
    <row r="7046" spans="1:6">
      <c r="A7046" t="s">
        <v>20926</v>
      </c>
      <c r="B7046" t="s">
        <v>20927</v>
      </c>
      <c r="C7046" t="s">
        <v>20928</v>
      </c>
      <c r="D7046" t="str">
        <f>HYPERLINK("https://github.com/TeamNewPipe/NewPipe/issues/4512","show")</f>
        <v>show</v>
      </c>
      <c r="E7046" t="str">
        <f>HYPERLINK("https://github.com/TeamNewPipe/NewPipe","show")</f>
        <v>show</v>
      </c>
      <c r="F7046" t="str">
        <f>HYPERLINK("https://github.com/TeamNewPipe/NewPipe/releases","show")</f>
        <v>show</v>
      </c>
    </row>
    <row r="7047" spans="1:6">
      <c r="A7047" t="s">
        <v>20929</v>
      </c>
      <c r="B7047" t="s">
        <v>20930</v>
      </c>
      <c r="C7047" t="s">
        <v>20931</v>
      </c>
      <c r="D7047" t="str">
        <f>HYPERLINK("https://github.com/aws-amplify/aws-sdk-android/issues/2155","show")</f>
        <v>show</v>
      </c>
      <c r="E7047" t="str">
        <f>HYPERLINK("https://github.com/aws-amplify/aws-sdk-android","show")</f>
        <v>show</v>
      </c>
      <c r="F7047" t="str">
        <f>HYPERLINK("https://github.com/aws-amplify/aws-sdk-android/releases","show")</f>
        <v>show</v>
      </c>
    </row>
    <row r="7048" spans="1:6">
      <c r="A7048" t="s">
        <v>20932</v>
      </c>
      <c r="B7048" t="s">
        <v>20933</v>
      </c>
      <c r="C7048" t="s">
        <v>20934</v>
      </c>
      <c r="D7048" t="str">
        <f>HYPERLINK("https://github.com/CleverTap/clevertap-react-native/issues/112","show")</f>
        <v>show</v>
      </c>
      <c r="E7048" t="str">
        <f>HYPERLINK("https://github.com/CleverTap/clevertap-react-native","show")</f>
        <v>show</v>
      </c>
      <c r="F7048" t="str">
        <f>HYPERLINK("https://github.com/CleverTap/clevertap-react-native/releases","show")</f>
        <v>show</v>
      </c>
    </row>
    <row r="7049" spans="1:6">
      <c r="A7049" t="s">
        <v>20935</v>
      </c>
      <c r="B7049" t="s">
        <v>20936</v>
      </c>
      <c r="C7049" t="s">
        <v>20937</v>
      </c>
      <c r="D7049" t="str">
        <f>HYPERLINK("https://github.com/cgeo/cgeo/issues/9188","show")</f>
        <v>show</v>
      </c>
      <c r="E7049" t="str">
        <f>HYPERLINK("https://github.com/cgeo/cgeo","show")</f>
        <v>show</v>
      </c>
      <c r="F7049" t="str">
        <f>HYPERLINK("https://github.com/cgeo/cgeo/releases","show")</f>
        <v>show</v>
      </c>
    </row>
    <row r="7050" spans="1:6">
      <c r="A7050" t="s">
        <v>20938</v>
      </c>
      <c r="B7050" t="s">
        <v>20939</v>
      </c>
      <c r="C7050" t="s">
        <v>20940</v>
      </c>
      <c r="D7050" t="str">
        <f>HYPERLINK("https://github.com/AOF-Dev/MCinaBox/issues/532","show")</f>
        <v>show</v>
      </c>
      <c r="E7050" t="str">
        <f>HYPERLINK("https://github.com/AOF-Dev/MCinaBox","show")</f>
        <v>show</v>
      </c>
      <c r="F7050" t="str">
        <f>HYPERLINK("https://github.com/AOF-Dev/MCinaBox/releases","show")</f>
        <v>show</v>
      </c>
    </row>
    <row r="7051" spans="1:6">
      <c r="A7051" t="s">
        <v>20941</v>
      </c>
      <c r="B7051" t="s">
        <v>20942</v>
      </c>
      <c r="C7051" t="s">
        <v>20943</v>
      </c>
      <c r="D7051" t="str">
        <f>HYPERLINK("https://github.com/aws-amplify/amplify-android/issues/901","show")</f>
        <v>show</v>
      </c>
      <c r="E7051" t="str">
        <f>HYPERLINK("https://github.com/aws-amplify/amplify-android","show")</f>
        <v>show</v>
      </c>
      <c r="F7051" t="str">
        <f>HYPERLINK("https://github.com/aws-amplify/amplify-android/releases","show")</f>
        <v>show</v>
      </c>
    </row>
    <row r="7052" spans="1:6">
      <c r="A7052" t="s">
        <v>20944</v>
      </c>
      <c r="B7052" t="s">
        <v>20945</v>
      </c>
      <c r="C7052" t="s">
        <v>20946</v>
      </c>
      <c r="D7052" t="str">
        <f>HYPERLINK("https://github.com/Anuken/Mindustry/issues/2938","show")</f>
        <v>show</v>
      </c>
      <c r="E7052" t="str">
        <f>HYPERLINK("https://github.com/Anuken/Mindustry","show")</f>
        <v>show</v>
      </c>
      <c r="F7052" t="str">
        <f>HYPERLINK("https://github.com/Anuken/Mindustry/releases","show")</f>
        <v>show</v>
      </c>
    </row>
    <row r="7053" spans="1:6">
      <c r="A7053" t="s">
        <v>20947</v>
      </c>
      <c r="B7053" t="s">
        <v>20948</v>
      </c>
      <c r="C7053" t="s">
        <v>20949</v>
      </c>
      <c r="D7053" t="str">
        <f>HYPERLINK("https://github.com/TeamNewPipe/NewPipe/issues/4507","show")</f>
        <v>show</v>
      </c>
      <c r="E7053" t="str">
        <f>HYPERLINK("https://github.com/TeamNewPipe/NewPipe","show")</f>
        <v>show</v>
      </c>
      <c r="F7053" t="str">
        <f>HYPERLINK("https://github.com/TeamNewPipe/NewPipe/releases","show")</f>
        <v>show</v>
      </c>
    </row>
    <row r="7054" spans="1:6">
      <c r="A7054" t="s">
        <v>20950</v>
      </c>
      <c r="B7054" t="s">
        <v>20951</v>
      </c>
      <c r="C7054" t="s">
        <v>20952</v>
      </c>
      <c r="D7054" t="str">
        <f>HYPERLINK("https://github.com/Anuken/Mindustry/issues/2937","show")</f>
        <v>show</v>
      </c>
      <c r="E7054" t="str">
        <f>HYPERLINK("https://github.com/Anuken/Mindustry","show")</f>
        <v>show</v>
      </c>
      <c r="F7054" t="str">
        <f>HYPERLINK("https://github.com/Anuken/Mindustry/releases","show")</f>
        <v>show</v>
      </c>
    </row>
    <row r="7055" spans="1:6">
      <c r="A7055" t="s">
        <v>20953</v>
      </c>
      <c r="B7055" t="s">
        <v>20954</v>
      </c>
      <c r="C7055" t="s">
        <v>20955</v>
      </c>
      <c r="D7055" t="str">
        <f>HYPERLINK("https://github.com/TeamNewPipe/NewPipe/issues/4506","show")</f>
        <v>show</v>
      </c>
      <c r="E7055" t="str">
        <f>HYPERLINK("https://github.com/TeamNewPipe/NewPipe","show")</f>
        <v>show</v>
      </c>
      <c r="F7055" t="str">
        <f>HYPERLINK("https://github.com/TeamNewPipe/NewPipe/releases","show")</f>
        <v>show</v>
      </c>
    </row>
    <row r="7056" spans="1:6">
      <c r="A7056" t="s">
        <v>20956</v>
      </c>
      <c r="B7056" t="s">
        <v>107</v>
      </c>
      <c r="C7056" t="s">
        <v>20957</v>
      </c>
      <c r="D7056" t="str">
        <f>HYPERLINK("https://github.com/Anuken/Mindustry/issues/2931","show")</f>
        <v>show</v>
      </c>
      <c r="E7056" t="str">
        <f>HYPERLINK("https://github.com/Anuken/Mindustry","show")</f>
        <v>show</v>
      </c>
      <c r="F7056" t="str">
        <f>HYPERLINK("https://github.com/Anuken/Mindustry/releases","show")</f>
        <v>show</v>
      </c>
    </row>
    <row r="7057" spans="1:6">
      <c r="A7057" t="s">
        <v>20958</v>
      </c>
      <c r="B7057" t="s">
        <v>20959</v>
      </c>
      <c r="C7057" t="s">
        <v>20960</v>
      </c>
      <c r="D7057" t="str">
        <f>HYPERLINK("https://github.com/oliexdev/openScale/issues/638","show")</f>
        <v>show</v>
      </c>
      <c r="E7057" t="str">
        <f>HYPERLINK("https://github.com/oliexdev/openScale","show")</f>
        <v>show</v>
      </c>
      <c r="F7057" t="str">
        <f>HYPERLINK("https://github.com/oliexdev/openScale/releases","show")</f>
        <v>show</v>
      </c>
    </row>
    <row r="7058" spans="1:6">
      <c r="A7058" t="s">
        <v>20961</v>
      </c>
      <c r="B7058" t="s">
        <v>20962</v>
      </c>
      <c r="C7058" t="s">
        <v>20963</v>
      </c>
      <c r="D7058" t="str">
        <f>HYPERLINK("https://github.com/Anuken/Mindustry/issues/2929","show")</f>
        <v>show</v>
      </c>
      <c r="E7058" t="str">
        <f>HYPERLINK("https://github.com/Anuken/Mindustry","show")</f>
        <v>show</v>
      </c>
      <c r="F7058" t="str">
        <f>HYPERLINK("https://github.com/Anuken/Mindustry/releases","show")</f>
        <v>show</v>
      </c>
    </row>
    <row r="7059" spans="1:6">
      <c r="A7059" t="s">
        <v>20964</v>
      </c>
      <c r="B7059" t="s">
        <v>20965</v>
      </c>
      <c r="C7059" t="s">
        <v>20966</v>
      </c>
      <c r="D7059" t="str">
        <f>HYPERLINK("https://github.com/Anuken/Mindustry/issues/2928","show")</f>
        <v>show</v>
      </c>
      <c r="E7059" t="str">
        <f>HYPERLINK("https://github.com/Anuken/Mindustry","show")</f>
        <v>show</v>
      </c>
      <c r="F7059" t="str">
        <f>HYPERLINK("https://github.com/Anuken/Mindustry/releases","show")</f>
        <v>show</v>
      </c>
    </row>
    <row r="7060" spans="1:6">
      <c r="A7060" t="s">
        <v>20967</v>
      </c>
      <c r="B7060" t="s">
        <v>20968</v>
      </c>
      <c r="C7060" t="s">
        <v>20969</v>
      </c>
      <c r="D7060" t="str">
        <f>HYPERLINK("https://github.com/c1Koriginal/Mutify/issues/22","show")</f>
        <v>show</v>
      </c>
      <c r="E7060" t="str">
        <f>HYPERLINK("https://github.com/c1Koriginal/Mutify","show")</f>
        <v>show</v>
      </c>
      <c r="F7060" t="str">
        <f>HYPERLINK("https://github.com/c1Koriginal/Mutify/releases","show")</f>
        <v>show</v>
      </c>
    </row>
    <row r="7061" spans="1:6">
      <c r="A7061" t="s">
        <v>20970</v>
      </c>
      <c r="B7061" t="s">
        <v>20971</v>
      </c>
      <c r="C7061" t="s">
        <v>20972</v>
      </c>
      <c r="D7061" t="str">
        <f>HYPERLINK("https://github.com/borconi/WifiLauncherforHUR/issues/9","show")</f>
        <v>show</v>
      </c>
      <c r="E7061" t="str">
        <f>HYPERLINK("https://github.com/borconi/WifiLauncherforHUR","show")</f>
        <v>show</v>
      </c>
      <c r="F7061" t="str">
        <f>HYPERLINK("https://github.com/borconi/WifiLauncherforHUR/releases","show")</f>
        <v>show</v>
      </c>
    </row>
    <row r="7062" spans="1:6">
      <c r="A7062" t="s">
        <v>20973</v>
      </c>
      <c r="B7062" t="s">
        <v>20974</v>
      </c>
      <c r="C7062" t="s">
        <v>20975</v>
      </c>
      <c r="D7062" t="str">
        <f>HYPERLINK("https://github.com/Anuken/Mindustry/issues/2925","show")</f>
        <v>show</v>
      </c>
      <c r="E7062" t="str">
        <f>HYPERLINK("https://github.com/Anuken/Mindustry","show")</f>
        <v>show</v>
      </c>
      <c r="F7062" t="str">
        <f>HYPERLINK("https://github.com/Anuken/Mindustry/releases","show")</f>
        <v>show</v>
      </c>
    </row>
    <row r="7063" spans="1:6">
      <c r="A7063" t="s">
        <v>20976</v>
      </c>
      <c r="B7063" t="s">
        <v>20977</v>
      </c>
      <c r="C7063" t="s">
        <v>20978</v>
      </c>
      <c r="D7063" t="str">
        <f>HYPERLINK("https://github.com/Anuken/Mindustry/issues/2917","show")</f>
        <v>show</v>
      </c>
      <c r="E7063" t="str">
        <f>HYPERLINK("https://github.com/Anuken/Mindustry","show")</f>
        <v>show</v>
      </c>
      <c r="F7063" t="str">
        <f>HYPERLINK("https://github.com/Anuken/Mindustry/releases","show")</f>
        <v>show</v>
      </c>
    </row>
    <row r="7064" spans="1:6">
      <c r="A7064" t="s">
        <v>20979</v>
      </c>
      <c r="B7064" t="s">
        <v>20980</v>
      </c>
      <c r="C7064" t="s">
        <v>20981</v>
      </c>
      <c r="D7064" t="str">
        <f>HYPERLINK("https://github.com/TeamNewPipe/NewPipe/issues/4497","show")</f>
        <v>show</v>
      </c>
      <c r="E7064" t="str">
        <f>HYPERLINK("https://github.com/TeamNewPipe/NewPipe","show")</f>
        <v>show</v>
      </c>
      <c r="F7064" t="str">
        <f>HYPERLINK("https://github.com/TeamNewPipe/NewPipe/releases","show")</f>
        <v>show</v>
      </c>
    </row>
    <row r="7065" spans="1:6">
      <c r="A7065" t="s">
        <v>20982</v>
      </c>
      <c r="B7065" t="s">
        <v>20983</v>
      </c>
      <c r="C7065" t="s">
        <v>20984</v>
      </c>
      <c r="D7065" t="str">
        <f>HYPERLINK("https://github.com/Anuken/Mindustry/issues/2914","show")</f>
        <v>show</v>
      </c>
      <c r="E7065" t="str">
        <f>HYPERLINK("https://github.com/Anuken/Mindustry","show")</f>
        <v>show</v>
      </c>
      <c r="F7065" t="str">
        <f>HYPERLINK("https://github.com/Anuken/Mindustry/releases","show")</f>
        <v>show</v>
      </c>
    </row>
    <row r="7066" spans="1:6">
      <c r="A7066" t="s">
        <v>20985</v>
      </c>
      <c r="B7066" t="s">
        <v>20986</v>
      </c>
      <c r="C7066" t="s">
        <v>20987</v>
      </c>
      <c r="D7066" t="str">
        <f>HYPERLINK("https://github.com/Anuken/Mindustry/issues/2910","show")</f>
        <v>show</v>
      </c>
      <c r="E7066" t="str">
        <f>HYPERLINK("https://github.com/Anuken/Mindustry","show")</f>
        <v>show</v>
      </c>
      <c r="F7066" t="str">
        <f>HYPERLINK("https://github.com/Anuken/Mindustry/releases","show")</f>
        <v>show</v>
      </c>
    </row>
    <row r="7067" spans="1:6">
      <c r="A7067" t="s">
        <v>20988</v>
      </c>
      <c r="B7067" t="s">
        <v>20989</v>
      </c>
      <c r="C7067" t="s">
        <v>20990</v>
      </c>
      <c r="D7067" t="str">
        <f>HYPERLINK("https://github.com/TeamNewPipe/NewPipe/issues/4491","show")</f>
        <v>show</v>
      </c>
      <c r="E7067" t="str">
        <f>HYPERLINK("https://github.com/TeamNewPipe/NewPipe","show")</f>
        <v>show</v>
      </c>
      <c r="F7067" t="str">
        <f>HYPERLINK("https://github.com/TeamNewPipe/NewPipe/releases","show")</f>
        <v>show</v>
      </c>
    </row>
    <row r="7068" spans="1:6">
      <c r="A7068" t="s">
        <v>20991</v>
      </c>
      <c r="B7068" t="s">
        <v>20992</v>
      </c>
      <c r="C7068" t="s">
        <v>20993</v>
      </c>
      <c r="D7068" t="str">
        <f>HYPERLINK("https://github.com/SecUSo/privacy-friendly-qr-scanner/issues/92","show")</f>
        <v>show</v>
      </c>
      <c r="E7068" t="str">
        <f>HYPERLINK("https://github.com/SecUSo/privacy-friendly-qr-scanner","show")</f>
        <v>show</v>
      </c>
      <c r="F7068" t="str">
        <f>HYPERLINK("https://github.com/SecUSo/privacy-friendly-qr-scanner/releases","show")</f>
        <v>show</v>
      </c>
    </row>
    <row r="7069" spans="1:6">
      <c r="A7069" t="s">
        <v>20994</v>
      </c>
      <c r="B7069" t="s">
        <v>20995</v>
      </c>
      <c r="C7069" t="s">
        <v>20996</v>
      </c>
      <c r="D7069" t="str">
        <f>HYPERLINK("https://github.com/TeamNewPipe/NewPipe/issues/4487","show")</f>
        <v>show</v>
      </c>
      <c r="E7069" t="str">
        <f>HYPERLINK("https://github.com/TeamNewPipe/NewPipe","show")</f>
        <v>show</v>
      </c>
      <c r="F7069" t="str">
        <f>HYPERLINK("https://github.com/TeamNewPipe/NewPipe/releases","show")</f>
        <v>show</v>
      </c>
    </row>
    <row r="7070" spans="1:6">
      <c r="A7070" t="s">
        <v>20997</v>
      </c>
      <c r="B7070" t="s">
        <v>20998</v>
      </c>
      <c r="C7070" t="s">
        <v>20999</v>
      </c>
      <c r="D7070" t="str">
        <f>HYPERLINK("https://github.com/TeamNewPipe/NewPipe/issues/4486","show")</f>
        <v>show</v>
      </c>
      <c r="E7070" t="str">
        <f>HYPERLINK("https://github.com/TeamNewPipe/NewPipe","show")</f>
        <v>show</v>
      </c>
      <c r="F7070" t="str">
        <f>HYPERLINK("https://github.com/TeamNewPipe/NewPipe/releases","show")</f>
        <v>show</v>
      </c>
    </row>
    <row r="7071" spans="1:6">
      <c r="A7071" t="s">
        <v>21000</v>
      </c>
      <c r="B7071" t="s">
        <v>21001</v>
      </c>
      <c r="C7071" t="s">
        <v>21002</v>
      </c>
      <c r="D7071" t="str">
        <f>HYPERLINK("https://github.com/OlofSjogren/GoAyo/issues/117","show")</f>
        <v>show</v>
      </c>
      <c r="E7071" t="str">
        <f>HYPERLINK("https://github.com/OlofSjogren/GoAyo","show")</f>
        <v>show</v>
      </c>
      <c r="F7071" t="str">
        <f>HYPERLINK("https://github.com/OlofSjogren/GoAyo/releases","show")</f>
        <v>show</v>
      </c>
    </row>
    <row r="7072" spans="1:6">
      <c r="A7072" t="s">
        <v>21003</v>
      </c>
      <c r="B7072" t="s">
        <v>21004</v>
      </c>
      <c r="C7072" t="s">
        <v>21005</v>
      </c>
      <c r="D7072" t="str">
        <f>HYPERLINK("https://github.com/k9mail/k-9/issues/5000","show")</f>
        <v>show</v>
      </c>
      <c r="E7072" t="str">
        <f>HYPERLINK("https://github.com/k9mail/k-9","show")</f>
        <v>show</v>
      </c>
      <c r="F7072" t="str">
        <f>HYPERLINK("https://github.com/k9mail/k-9/releases","show")</f>
        <v>show</v>
      </c>
    </row>
    <row r="7073" spans="1:6">
      <c r="A7073" t="s">
        <v>21006</v>
      </c>
      <c r="B7073" t="s">
        <v>21007</v>
      </c>
      <c r="C7073" t="s">
        <v>21008</v>
      </c>
      <c r="D7073" t="str">
        <f>HYPERLINK("https://github.com/Segelzwerg/FamilyFotoAndroid/issues/28","show")</f>
        <v>show</v>
      </c>
      <c r="E7073" t="str">
        <f>HYPERLINK("https://github.com/Segelzwerg/FamilyFotoAndroid","show")</f>
        <v>show</v>
      </c>
      <c r="F7073" t="str">
        <f>HYPERLINK("https://github.com/Segelzwerg/FamilyFotoAndroid/releases","show")</f>
        <v>show</v>
      </c>
    </row>
    <row r="7074" spans="1:6">
      <c r="A7074" t="s">
        <v>21009</v>
      </c>
      <c r="B7074" t="s">
        <v>8633</v>
      </c>
      <c r="C7074" t="s">
        <v>21010</v>
      </c>
      <c r="D7074" t="str">
        <f>HYPERLINK("https://github.com/Anuken/Mindustry/issues/2893","show")</f>
        <v>show</v>
      </c>
      <c r="E7074" t="str">
        <f>HYPERLINK("https://github.com/Anuken/Mindustry","show")</f>
        <v>show</v>
      </c>
      <c r="F7074" t="str">
        <f>HYPERLINK("https://github.com/Anuken/Mindustry/releases","show")</f>
        <v>show</v>
      </c>
    </row>
    <row r="7075" spans="1:6">
      <c r="A7075" t="s">
        <v>21011</v>
      </c>
      <c r="B7075" t="s">
        <v>21012</v>
      </c>
      <c r="C7075" t="s">
        <v>21013</v>
      </c>
      <c r="D7075" t="str">
        <f>HYPERLINK("https://github.com/TeamNewPipe/NewPipe/issues/4475","show")</f>
        <v>show</v>
      </c>
      <c r="E7075" t="str">
        <f>HYPERLINK("https://github.com/TeamNewPipe/NewPipe","show")</f>
        <v>show</v>
      </c>
      <c r="F7075" t="str">
        <f>HYPERLINK("https://github.com/TeamNewPipe/NewPipe/releases","show")</f>
        <v>show</v>
      </c>
    </row>
    <row r="7076" spans="1:6">
      <c r="A7076" t="s">
        <v>21014</v>
      </c>
      <c r="B7076" t="s">
        <v>21015</v>
      </c>
      <c r="C7076" t="s">
        <v>21016</v>
      </c>
      <c r="D7076" t="str">
        <f>HYPERLINK("https://github.com/TeamNewPipe/NewPipe/issues/4473","show")</f>
        <v>show</v>
      </c>
      <c r="E7076" t="str">
        <f>HYPERLINK("https://github.com/TeamNewPipe/NewPipe","show")</f>
        <v>show</v>
      </c>
      <c r="F7076" t="str">
        <f>HYPERLINK("https://github.com/TeamNewPipe/NewPipe/releases","show")</f>
        <v>show</v>
      </c>
    </row>
    <row r="7077" spans="1:6">
      <c r="A7077" t="s">
        <v>21017</v>
      </c>
      <c r="B7077" t="s">
        <v>21018</v>
      </c>
      <c r="C7077" t="s">
        <v>21019</v>
      </c>
      <c r="D7077" t="str">
        <f>HYPERLINK("https://github.com/Anuken/Mindustry/issues/2890","show")</f>
        <v>show</v>
      </c>
      <c r="E7077" t="str">
        <f>HYPERLINK("https://github.com/Anuken/Mindustry","show")</f>
        <v>show</v>
      </c>
      <c r="F7077" t="str">
        <f>HYPERLINK("https://github.com/Anuken/Mindustry/releases","show")</f>
        <v>show</v>
      </c>
    </row>
    <row r="7078" spans="1:6">
      <c r="A7078" t="s">
        <v>21020</v>
      </c>
      <c r="B7078" t="s">
        <v>21021</v>
      </c>
      <c r="C7078" t="s">
        <v>21022</v>
      </c>
      <c r="D7078" t="str">
        <f>HYPERLINK("https://github.com/TeamNewPipe/NewPipe/issues/4472","show")</f>
        <v>show</v>
      </c>
      <c r="E7078" t="str">
        <f>HYPERLINK("https://github.com/TeamNewPipe/NewPipe","show")</f>
        <v>show</v>
      </c>
      <c r="F7078" t="str">
        <f>HYPERLINK("https://github.com/TeamNewPipe/NewPipe/releases","show")</f>
        <v>show</v>
      </c>
    </row>
    <row r="7079" spans="1:6">
      <c r="A7079" t="s">
        <v>21023</v>
      </c>
      <c r="B7079" t="s">
        <v>21024</v>
      </c>
      <c r="C7079" t="s">
        <v>21025</v>
      </c>
      <c r="D7079" t="str">
        <f>HYPERLINK("https://github.com/nextcloud/android/issues/7069","show")</f>
        <v>show</v>
      </c>
      <c r="E7079" t="str">
        <f>HYPERLINK("https://github.com/nextcloud/android","show")</f>
        <v>show</v>
      </c>
      <c r="F7079" t="str">
        <f>HYPERLINK("https://github.com/nextcloud/android/releases","show")</f>
        <v>show</v>
      </c>
    </row>
    <row r="7080" spans="1:6">
      <c r="A7080" t="s">
        <v>21026</v>
      </c>
      <c r="B7080" t="s">
        <v>21027</v>
      </c>
      <c r="C7080" t="s">
        <v>21028</v>
      </c>
      <c r="D7080" t="str">
        <f>HYPERLINK("https://github.com/Anuken/Mindustry/issues/2886","show")</f>
        <v>show</v>
      </c>
      <c r="E7080" t="str">
        <f>HYPERLINK("https://github.com/Anuken/Mindustry","show")</f>
        <v>show</v>
      </c>
      <c r="F7080" t="str">
        <f>HYPERLINK("https://github.com/Anuken/Mindustry/releases","show")</f>
        <v>show</v>
      </c>
    </row>
    <row r="7081" spans="1:6">
      <c r="A7081" t="s">
        <v>21029</v>
      </c>
      <c r="B7081" t="s">
        <v>21030</v>
      </c>
      <c r="C7081" t="s">
        <v>21031</v>
      </c>
      <c r="D7081" t="str">
        <f>HYPERLINK("https://github.com/Anuken/Mindustry/issues/2884","show")</f>
        <v>show</v>
      </c>
      <c r="E7081" t="str">
        <f>HYPERLINK("https://github.com/Anuken/Mindustry","show")</f>
        <v>show</v>
      </c>
      <c r="F7081" t="str">
        <f>HYPERLINK("https://github.com/Anuken/Mindustry/releases","show")</f>
        <v>show</v>
      </c>
    </row>
    <row r="7082" spans="1:6">
      <c r="A7082" t="s">
        <v>21032</v>
      </c>
      <c r="B7082" t="s">
        <v>21033</v>
      </c>
      <c r="C7082" t="s">
        <v>21034</v>
      </c>
      <c r="D7082" t="str">
        <f>HYPERLINK("https://github.com/Anuken/Mindustry/issues/2883","show")</f>
        <v>show</v>
      </c>
      <c r="E7082" t="str">
        <f>HYPERLINK("https://github.com/Anuken/Mindustry","show")</f>
        <v>show</v>
      </c>
      <c r="F7082" t="str">
        <f>HYPERLINK("https://github.com/Anuken/Mindustry/releases","show")</f>
        <v>show</v>
      </c>
    </row>
    <row r="7083" spans="1:6">
      <c r="A7083" t="s">
        <v>21035</v>
      </c>
      <c r="B7083" t="s">
        <v>21036</v>
      </c>
      <c r="C7083" t="s">
        <v>21037</v>
      </c>
      <c r="D7083" t="str">
        <f>HYPERLINK("https://github.com/Anuken/Mindustry/issues/2880","show")</f>
        <v>show</v>
      </c>
      <c r="E7083" t="str">
        <f>HYPERLINK("https://github.com/Anuken/Mindustry","show")</f>
        <v>show</v>
      </c>
      <c r="F7083" t="str">
        <f>HYPERLINK("https://github.com/Anuken/Mindustry/releases","show")</f>
        <v>show</v>
      </c>
    </row>
    <row r="7084" spans="1:6">
      <c r="A7084" t="s">
        <v>21038</v>
      </c>
      <c r="B7084" t="s">
        <v>21039</v>
      </c>
      <c r="C7084" t="s">
        <v>21040</v>
      </c>
      <c r="D7084" t="str">
        <f>HYPERLINK("https://github.com/Anuken/Mindustry/issues/2878","show")</f>
        <v>show</v>
      </c>
      <c r="E7084" t="str">
        <f>HYPERLINK("https://github.com/Anuken/Mindustry","show")</f>
        <v>show</v>
      </c>
      <c r="F7084" t="str">
        <f>HYPERLINK("https://github.com/Anuken/Mindustry/releases","show")</f>
        <v>show</v>
      </c>
    </row>
    <row r="7085" spans="1:6">
      <c r="A7085" t="s">
        <v>21041</v>
      </c>
      <c r="B7085" t="s">
        <v>21042</v>
      </c>
      <c r="C7085" t="s">
        <v>21043</v>
      </c>
      <c r="D7085" t="str">
        <f>HYPERLINK("https://github.com/wallabag/android-app/issues/1075","show")</f>
        <v>show</v>
      </c>
      <c r="E7085" t="str">
        <f>HYPERLINK("https://github.com/wallabag/android-app","show")</f>
        <v>show</v>
      </c>
      <c r="F7085" t="str">
        <f>HYPERLINK("https://github.com/wallabag/android-app/releases","show")</f>
        <v>show</v>
      </c>
    </row>
    <row r="7086" spans="1:6">
      <c r="A7086" t="s">
        <v>21044</v>
      </c>
      <c r="B7086" t="s">
        <v>21045</v>
      </c>
      <c r="C7086" t="s">
        <v>21046</v>
      </c>
      <c r="D7086" t="str">
        <f>HYPERLINK("https://github.com/Anuken/Mindustry/issues/2874","show")</f>
        <v>show</v>
      </c>
      <c r="E7086" t="str">
        <f>HYPERLINK("https://github.com/Anuken/Mindustry","show")</f>
        <v>show</v>
      </c>
      <c r="F7086" t="str">
        <f>HYPERLINK("https://github.com/Anuken/Mindustry/releases","show")</f>
        <v>show</v>
      </c>
    </row>
    <row r="7087" spans="1:6">
      <c r="A7087" t="s">
        <v>21047</v>
      </c>
      <c r="B7087" t="s">
        <v>21048</v>
      </c>
      <c r="C7087" t="s">
        <v>21049</v>
      </c>
      <c r="D7087" t="str">
        <f>HYPERLINK("https://github.com/Anuken/Mindustry/issues/2873","show")</f>
        <v>show</v>
      </c>
      <c r="E7087" t="str">
        <f>HYPERLINK("https://github.com/Anuken/Mindustry","show")</f>
        <v>show</v>
      </c>
      <c r="F7087" t="str">
        <f>HYPERLINK("https://github.com/Anuken/Mindustry/releases","show")</f>
        <v>show</v>
      </c>
    </row>
    <row r="7088" spans="1:6">
      <c r="A7088" t="s">
        <v>21050</v>
      </c>
      <c r="B7088" t="s">
        <v>21051</v>
      </c>
      <c r="C7088" t="s">
        <v>21052</v>
      </c>
      <c r="D7088" t="str">
        <f>HYPERLINK("https://github.com/Anuken/Mindustry/issues/2871","show")</f>
        <v>show</v>
      </c>
      <c r="E7088" t="str">
        <f>HYPERLINK("https://github.com/Anuken/Mindustry","show")</f>
        <v>show</v>
      </c>
      <c r="F7088" t="str">
        <f>HYPERLINK("https://github.com/Anuken/Mindustry/releases","show")</f>
        <v>show</v>
      </c>
    </row>
    <row r="7089" spans="1:6">
      <c r="A7089" t="s">
        <v>21053</v>
      </c>
      <c r="B7089" t="s">
        <v>21054</v>
      </c>
      <c r="C7089" t="s">
        <v>21055</v>
      </c>
      <c r="D7089" t="str">
        <f>HYPERLINK("https://github.com/TeamNewPipe/NewPipe/issues/4452","show")</f>
        <v>show</v>
      </c>
      <c r="E7089" t="str">
        <f>HYPERLINK("https://github.com/TeamNewPipe/NewPipe","show")</f>
        <v>show</v>
      </c>
      <c r="F7089" t="str">
        <f>HYPERLINK("https://github.com/TeamNewPipe/NewPipe/releases","show")</f>
        <v>show</v>
      </c>
    </row>
    <row r="7090" spans="1:6">
      <c r="A7090" t="s">
        <v>21056</v>
      </c>
      <c r="B7090" t="s">
        <v>21057</v>
      </c>
      <c r="C7090" t="s">
        <v>21058</v>
      </c>
      <c r="D7090" t="str">
        <f>HYPERLINK("https://github.com/TeamNewPipe/NewPipe/issues/4451","show")</f>
        <v>show</v>
      </c>
      <c r="E7090" t="str">
        <f>HYPERLINK("https://github.com/TeamNewPipe/NewPipe","show")</f>
        <v>show</v>
      </c>
      <c r="F7090" t="str">
        <f>HYPERLINK("https://github.com/TeamNewPipe/NewPipe/releases","show")</f>
        <v>show</v>
      </c>
    </row>
    <row r="7091" spans="1:6">
      <c r="A7091" t="s">
        <v>21059</v>
      </c>
      <c r="B7091" t="s">
        <v>21060</v>
      </c>
      <c r="C7091" t="s">
        <v>21061</v>
      </c>
      <c r="D7091" t="str">
        <f>HYPERLINK("https://github.com/Anuken/Mindustry/issues/2867","show")</f>
        <v>show</v>
      </c>
      <c r="E7091" t="str">
        <f>HYPERLINK("https://github.com/Anuken/Mindustry","show")</f>
        <v>show</v>
      </c>
      <c r="F7091" t="str">
        <f>HYPERLINK("https://github.com/Anuken/Mindustry/releases","show")</f>
        <v>show</v>
      </c>
    </row>
    <row r="7092" spans="1:6">
      <c r="A7092" t="s">
        <v>21062</v>
      </c>
      <c r="B7092" t="s">
        <v>21063</v>
      </c>
      <c r="C7092" t="s">
        <v>21064</v>
      </c>
      <c r="D7092" t="str">
        <f>HYPERLINK("https://github.com/Anuken/Mindustry/issues/2866","show")</f>
        <v>show</v>
      </c>
      <c r="E7092" t="str">
        <f>HYPERLINK("https://github.com/Anuken/Mindustry","show")</f>
        <v>show</v>
      </c>
      <c r="F7092" t="str">
        <f>HYPERLINK("https://github.com/Anuken/Mindustry/releases","show")</f>
        <v>show</v>
      </c>
    </row>
    <row r="7093" spans="1:6">
      <c r="A7093" t="s">
        <v>21065</v>
      </c>
      <c r="B7093" t="s">
        <v>21066</v>
      </c>
      <c r="C7093" t="s">
        <v>21067</v>
      </c>
      <c r="D7093" t="str">
        <f>HYPERLINK("https://github.com/TeamNewPipe/NewPipe/issues/4446","show")</f>
        <v>show</v>
      </c>
      <c r="E7093" t="str">
        <f>HYPERLINK("https://github.com/TeamNewPipe/NewPipe","show")</f>
        <v>show</v>
      </c>
      <c r="F7093" t="str">
        <f>HYPERLINK("https://github.com/TeamNewPipe/NewPipe/releases","show")</f>
        <v>show</v>
      </c>
    </row>
    <row r="7094" spans="1:6">
      <c r="A7094" t="s">
        <v>21068</v>
      </c>
      <c r="B7094" t="s">
        <v>21069</v>
      </c>
      <c r="C7094" t="s">
        <v>21070</v>
      </c>
      <c r="D7094" t="str">
        <f>HYPERLINK("https://github.com/TeamNewPipe/NewPipe/issues/4442","show")</f>
        <v>show</v>
      </c>
      <c r="E7094" t="str">
        <f>HYPERLINK("https://github.com/TeamNewPipe/NewPipe","show")</f>
        <v>show</v>
      </c>
      <c r="F7094" t="str">
        <f>HYPERLINK("https://github.com/TeamNewPipe/NewPipe/releases","show")</f>
        <v>show</v>
      </c>
    </row>
    <row r="7095" spans="1:6">
      <c r="A7095" t="s">
        <v>21071</v>
      </c>
      <c r="B7095" t="s">
        <v>21072</v>
      </c>
      <c r="C7095" t="s">
        <v>21073</v>
      </c>
      <c r="D7095" t="str">
        <f>HYPERLINK("https://github.com/TeamNewPipe/NewPipe/issues/4440","show")</f>
        <v>show</v>
      </c>
      <c r="E7095" t="str">
        <f>HYPERLINK("https://github.com/TeamNewPipe/NewPipe","show")</f>
        <v>show</v>
      </c>
      <c r="F7095" t="str">
        <f>HYPERLINK("https://github.com/TeamNewPipe/NewPipe/releases","show")</f>
        <v>show</v>
      </c>
    </row>
    <row r="7096" spans="1:6">
      <c r="A7096" t="s">
        <v>21074</v>
      </c>
      <c r="B7096" t="s">
        <v>21075</v>
      </c>
      <c r="C7096" t="s">
        <v>21076</v>
      </c>
      <c r="D7096" t="str">
        <f>HYPERLINK("https://github.com/nextcloud/android/issues/7064","show")</f>
        <v>show</v>
      </c>
      <c r="E7096" t="str">
        <f>HYPERLINK("https://github.com/nextcloud/android","show")</f>
        <v>show</v>
      </c>
      <c r="F7096" t="str">
        <f>HYPERLINK("https://github.com/nextcloud/android/releases","show")</f>
        <v>show</v>
      </c>
    </row>
    <row r="7097" spans="1:6">
      <c r="A7097" t="s">
        <v>21077</v>
      </c>
      <c r="B7097" t="s">
        <v>21078</v>
      </c>
      <c r="C7097" t="s">
        <v>21079</v>
      </c>
      <c r="D7097" t="str">
        <f>HYPERLINK("https://github.com/harsh-2711/android-search-ui/issues/19","show")</f>
        <v>show</v>
      </c>
      <c r="E7097" t="str">
        <f>HYPERLINK("https://github.com/harsh-2711/android-search-ui","show")</f>
        <v>show</v>
      </c>
      <c r="F7097" t="str">
        <f>HYPERLINK("https://github.com/harsh-2711/android-search-ui/releases","show")</f>
        <v>show</v>
      </c>
    </row>
    <row r="7098" spans="1:6">
      <c r="A7098" t="s">
        <v>21080</v>
      </c>
      <c r="B7098" t="s">
        <v>21081</v>
      </c>
      <c r="C7098" t="s">
        <v>21082</v>
      </c>
      <c r="D7098" t="str">
        <f>HYPERLINK("https://github.com/TeamNewPipe/NewPipe/issues/4435","show")</f>
        <v>show</v>
      </c>
      <c r="E7098" t="str">
        <f>HYPERLINK("https://github.com/TeamNewPipe/NewPipe","show")</f>
        <v>show</v>
      </c>
      <c r="F7098" t="str">
        <f>HYPERLINK("https://github.com/TeamNewPipe/NewPipe/releases","show")</f>
        <v>show</v>
      </c>
    </row>
    <row r="7099" spans="1:6">
      <c r="A7099" t="s">
        <v>21083</v>
      </c>
      <c r="B7099" t="s">
        <v>21084</v>
      </c>
      <c r="C7099" t="s">
        <v>21085</v>
      </c>
      <c r="D7099" t="str">
        <f>HYPERLINK("https://github.com/GoogleCloudPlatform/fda-mystudies/issues/1151","show")</f>
        <v>show</v>
      </c>
      <c r="E7099" t="str">
        <f>HYPERLINK("https://github.com/GoogleCloudPlatform/fda-mystudies","show")</f>
        <v>show</v>
      </c>
      <c r="F7099" t="str">
        <f>HYPERLINK("https://github.com/GoogleCloudPlatform/fda-mystudies/releases","show")</f>
        <v>show</v>
      </c>
    </row>
    <row r="7100" spans="1:6">
      <c r="A7100" t="s">
        <v>21086</v>
      </c>
      <c r="B7100" t="s">
        <v>21087</v>
      </c>
      <c r="C7100" t="s">
        <v>21088</v>
      </c>
      <c r="D7100" t="str">
        <f>HYPERLINK("https://github.com/TeamNewPipe/NewPipe/issues/4432","show")</f>
        <v>show</v>
      </c>
      <c r="E7100" t="str">
        <f>HYPERLINK("https://github.com/TeamNewPipe/NewPipe","show")</f>
        <v>show</v>
      </c>
      <c r="F7100" t="str">
        <f>HYPERLINK("https://github.com/TeamNewPipe/NewPipe/releases","show")</f>
        <v>show</v>
      </c>
    </row>
    <row r="7101" spans="1:6">
      <c r="A7101" t="s">
        <v>21089</v>
      </c>
      <c r="B7101" t="s">
        <v>21090</v>
      </c>
      <c r="C7101" t="s">
        <v>21091</v>
      </c>
      <c r="D7101" t="str">
        <f>HYPERLINK("https://github.com/jonathanpalma/react-native-tesseract-ocr/issues/91","show")</f>
        <v>show</v>
      </c>
      <c r="E7101" t="str">
        <f>HYPERLINK("https://github.com/jonathanpalma/react-native-tesseract-ocr","show")</f>
        <v>show</v>
      </c>
      <c r="F7101" t="str">
        <f>HYPERLINK("https://github.com/jonathanpalma/react-native-tesseract-ocr/releases","show")</f>
        <v>show</v>
      </c>
    </row>
    <row r="7102" spans="1:6">
      <c r="A7102" t="s">
        <v>21092</v>
      </c>
      <c r="B7102" t="s">
        <v>21093</v>
      </c>
      <c r="C7102" t="s">
        <v>21094</v>
      </c>
      <c r="D7102" t="str">
        <f>HYPERLINK("https://github.com/material-components/material-components-android/issues/1781","show")</f>
        <v>show</v>
      </c>
      <c r="E7102" t="str">
        <f>HYPERLINK("https://github.com/material-components/material-components-android","show")</f>
        <v>show</v>
      </c>
      <c r="F7102" t="str">
        <f>HYPERLINK("https://github.com/material-components/material-components-android/releases","show")</f>
        <v>show</v>
      </c>
    </row>
    <row r="7103" spans="1:6">
      <c r="A7103" t="s">
        <v>21095</v>
      </c>
      <c r="B7103" t="s">
        <v>21096</v>
      </c>
      <c r="C7103" t="s">
        <v>21097</v>
      </c>
      <c r="D7103" t="str">
        <f>HYPERLINK("https://github.com/Anuken/Mindustry/issues/2850","show")</f>
        <v>show</v>
      </c>
      <c r="E7103" t="str">
        <f>HYPERLINK("https://github.com/Anuken/Mindustry","show")</f>
        <v>show</v>
      </c>
      <c r="F7103" t="str">
        <f>HYPERLINK("https://github.com/Anuken/Mindustry/releases","show")</f>
        <v>show</v>
      </c>
    </row>
    <row r="7104" spans="1:6">
      <c r="A7104" t="s">
        <v>21098</v>
      </c>
      <c r="B7104" t="s">
        <v>21099</v>
      </c>
      <c r="C7104" t="s">
        <v>21100</v>
      </c>
      <c r="D7104" t="str">
        <f>HYPERLINK("https://github.com/nextcloud/android/issues/7055","show")</f>
        <v>show</v>
      </c>
      <c r="E7104" t="str">
        <f>HYPERLINK("https://github.com/nextcloud/android","show")</f>
        <v>show</v>
      </c>
      <c r="F7104" t="str">
        <f>HYPERLINK("https://github.com/nextcloud/android/releases","show")</f>
        <v>show</v>
      </c>
    </row>
    <row r="7105" spans="1:6">
      <c r="A7105" t="s">
        <v>21101</v>
      </c>
      <c r="B7105" t="s">
        <v>107</v>
      </c>
      <c r="C7105" t="s">
        <v>21102</v>
      </c>
      <c r="D7105" t="str">
        <f>HYPERLINK("https://github.com/k9mail/k-9/issues/4985","show")</f>
        <v>show</v>
      </c>
      <c r="E7105" t="str">
        <f>HYPERLINK("https://github.com/k9mail/k-9","show")</f>
        <v>show</v>
      </c>
      <c r="F7105" t="str">
        <f>HYPERLINK("https://github.com/k9mail/k-9/releases","show")</f>
        <v>show</v>
      </c>
    </row>
    <row r="7106" spans="1:6">
      <c r="A7106" t="s">
        <v>21103</v>
      </c>
      <c r="B7106" t="s">
        <v>21104</v>
      </c>
      <c r="C7106" t="s">
        <v>21105</v>
      </c>
      <c r="D7106" t="str">
        <f>HYPERLINK("https://github.com/Anuken/Mindustry/issues/2849","show")</f>
        <v>show</v>
      </c>
      <c r="E7106" t="str">
        <f>HYPERLINK("https://github.com/Anuken/Mindustry","show")</f>
        <v>show</v>
      </c>
      <c r="F7106" t="str">
        <f>HYPERLINK("https://github.com/Anuken/Mindustry/releases","show")</f>
        <v>show</v>
      </c>
    </row>
    <row r="7107" spans="1:6">
      <c r="A7107" t="s">
        <v>21106</v>
      </c>
      <c r="B7107" t="s">
        <v>21107</v>
      </c>
      <c r="C7107" t="s">
        <v>21108</v>
      </c>
      <c r="D7107" t="str">
        <f>HYPERLINK("https://github.com/nextcloud/android/issues/7053","show")</f>
        <v>show</v>
      </c>
      <c r="E7107" t="str">
        <f>HYPERLINK("https://github.com/nextcloud/android","show")</f>
        <v>show</v>
      </c>
      <c r="F7107" t="str">
        <f>HYPERLINK("https://github.com/nextcloud/android/releases","show")</f>
        <v>show</v>
      </c>
    </row>
    <row r="7108" spans="1:6">
      <c r="A7108" t="s">
        <v>21109</v>
      </c>
      <c r="B7108" t="s">
        <v>21110</v>
      </c>
      <c r="C7108" t="s">
        <v>21111</v>
      </c>
      <c r="D7108" t="str">
        <f>HYPERLINK("https://github.com/Anuken/Mindustry/issues/2840","show")</f>
        <v>show</v>
      </c>
      <c r="E7108" t="str">
        <f>HYPERLINK("https://github.com/Anuken/Mindustry","show")</f>
        <v>show</v>
      </c>
      <c r="F7108" t="str">
        <f>HYPERLINK("https://github.com/Anuken/Mindustry/releases","show")</f>
        <v>show</v>
      </c>
    </row>
    <row r="7109" spans="1:6">
      <c r="A7109" t="s">
        <v>21112</v>
      </c>
      <c r="B7109" t="s">
        <v>21113</v>
      </c>
      <c r="C7109" t="s">
        <v>21114</v>
      </c>
      <c r="D7109" t="str">
        <f>HYPERLINK("https://github.com/TeamNewPipe/NewPipe/issues/4408","show")</f>
        <v>show</v>
      </c>
      <c r="E7109" t="str">
        <f>HYPERLINK("https://github.com/TeamNewPipe/NewPipe","show")</f>
        <v>show</v>
      </c>
      <c r="F7109" t="str">
        <f>HYPERLINK("https://github.com/TeamNewPipe/NewPipe/releases","show")</f>
        <v>show</v>
      </c>
    </row>
    <row r="7110" spans="1:6">
      <c r="A7110" t="s">
        <v>21115</v>
      </c>
      <c r="B7110" t="s">
        <v>21116</v>
      </c>
      <c r="C7110" t="s">
        <v>21117</v>
      </c>
      <c r="D7110" t="str">
        <f>HYPERLINK("https://github.com/TeamNewPipe/NewPipe/issues/4406","show")</f>
        <v>show</v>
      </c>
      <c r="E7110" t="str">
        <f>HYPERLINK("https://github.com/TeamNewPipe/NewPipe","show")</f>
        <v>show</v>
      </c>
      <c r="F7110" t="str">
        <f>HYPERLINK("https://github.com/TeamNewPipe/NewPipe/releases","show")</f>
        <v>show</v>
      </c>
    </row>
    <row r="7111" spans="1:6">
      <c r="A7111" t="s">
        <v>21118</v>
      </c>
      <c r="B7111" t="s">
        <v>21119</v>
      </c>
      <c r="C7111" t="s">
        <v>21120</v>
      </c>
      <c r="D7111" t="str">
        <f>HYPERLINK("https://github.com/nextcloud/android/issues/7049","show")</f>
        <v>show</v>
      </c>
      <c r="E7111" t="str">
        <f>HYPERLINK("https://github.com/nextcloud/android","show")</f>
        <v>show</v>
      </c>
      <c r="F7111" t="str">
        <f>HYPERLINK("https://github.com/nextcloud/android/releases","show")</f>
        <v>show</v>
      </c>
    </row>
    <row r="7112" spans="1:6">
      <c r="A7112" t="s">
        <v>21121</v>
      </c>
      <c r="B7112" t="s">
        <v>21122</v>
      </c>
      <c r="C7112" t="s">
        <v>21123</v>
      </c>
      <c r="D7112" t="str">
        <f>HYPERLINK("https://github.com/nextcloud/android/issues/7048","show")</f>
        <v>show</v>
      </c>
      <c r="E7112" t="str">
        <f>HYPERLINK("https://github.com/nextcloud/android","show")</f>
        <v>show</v>
      </c>
      <c r="F7112" t="str">
        <f>HYPERLINK("https://github.com/nextcloud/android/releases","show")</f>
        <v>show</v>
      </c>
    </row>
    <row r="7113" spans="1:6">
      <c r="A7113" t="s">
        <v>21124</v>
      </c>
      <c r="B7113" t="s">
        <v>21125</v>
      </c>
      <c r="C7113" t="s">
        <v>21126</v>
      </c>
      <c r="D7113" t="str">
        <f>HYPERLINK("https://github.com/TeamNewPipe/NewPipe/issues/4397","show")</f>
        <v>show</v>
      </c>
      <c r="E7113" t="str">
        <f>HYPERLINK("https://github.com/TeamNewPipe/NewPipe","show")</f>
        <v>show</v>
      </c>
      <c r="F7113" t="str">
        <f>HYPERLINK("https://github.com/TeamNewPipe/NewPipe/releases","show")</f>
        <v>show</v>
      </c>
    </row>
    <row r="7114" spans="1:6">
      <c r="A7114" t="s">
        <v>21127</v>
      </c>
      <c r="B7114" t="s">
        <v>21128</v>
      </c>
      <c r="C7114" t="s">
        <v>21129</v>
      </c>
      <c r="D7114" t="str">
        <f>HYPERLINK("https://github.com/Anuken/Mindustry/issues/2835","show")</f>
        <v>show</v>
      </c>
      <c r="E7114" t="str">
        <f>HYPERLINK("https://github.com/Anuken/Mindustry","show")</f>
        <v>show</v>
      </c>
      <c r="F7114" t="str">
        <f>HYPERLINK("https://github.com/Anuken/Mindustry/releases","show")</f>
        <v>show</v>
      </c>
    </row>
    <row r="7115" spans="1:6">
      <c r="A7115" t="s">
        <v>21130</v>
      </c>
      <c r="B7115" t="s">
        <v>21131</v>
      </c>
      <c r="C7115" t="s">
        <v>21132</v>
      </c>
      <c r="D7115" t="str">
        <f>HYPERLINK("https://github.com/TeamNewPipe/NewPipe/issues/4390","show")</f>
        <v>show</v>
      </c>
      <c r="E7115" t="str">
        <f>HYPERLINK("https://github.com/TeamNewPipe/NewPipe","show")</f>
        <v>show</v>
      </c>
      <c r="F7115" t="str">
        <f>HYPERLINK("https://github.com/TeamNewPipe/NewPipe/releases","show")</f>
        <v>show</v>
      </c>
    </row>
    <row r="7116" spans="1:6">
      <c r="A7116" t="s">
        <v>21133</v>
      </c>
      <c r="B7116" t="s">
        <v>21134</v>
      </c>
      <c r="C7116" t="s">
        <v>21135</v>
      </c>
      <c r="D7116" t="str">
        <f>HYPERLINK("https://github.com/ultrasonic/ultrasonic/issues/325","show")</f>
        <v>show</v>
      </c>
      <c r="E7116" t="str">
        <f>HYPERLINK("https://github.com/ultrasonic/ultrasonic","show")</f>
        <v>show</v>
      </c>
      <c r="F7116" t="str">
        <f>HYPERLINK("https://github.com/ultrasonic/ultrasonic/releases","show")</f>
        <v>show</v>
      </c>
    </row>
    <row r="7117" spans="1:6">
      <c r="A7117" t="s">
        <v>21136</v>
      </c>
      <c r="B7117" t="s">
        <v>21137</v>
      </c>
      <c r="C7117" t="s">
        <v>21138</v>
      </c>
      <c r="D7117" t="str">
        <f>HYPERLINK("https://github.com/Anuken/Mindustry/issues/2834","show")</f>
        <v>show</v>
      </c>
      <c r="E7117" t="str">
        <f>HYPERLINK("https://github.com/Anuken/Mindustry","show")</f>
        <v>show</v>
      </c>
      <c r="F7117" t="str">
        <f>HYPERLINK("https://github.com/Anuken/Mindustry/releases","show")</f>
        <v>show</v>
      </c>
    </row>
    <row r="7118" spans="1:6">
      <c r="A7118" t="s">
        <v>21139</v>
      </c>
      <c r="B7118" t="s">
        <v>21140</v>
      </c>
      <c r="C7118" t="s">
        <v>21141</v>
      </c>
      <c r="D7118" t="str">
        <f>HYPERLINK("https://github.com/TeamNewPipe/NewPipe/issues/4385","show")</f>
        <v>show</v>
      </c>
      <c r="E7118" t="str">
        <f>HYPERLINK("https://github.com/TeamNewPipe/NewPipe","show")</f>
        <v>show</v>
      </c>
      <c r="F7118" t="str">
        <f>HYPERLINK("https://github.com/TeamNewPipe/NewPipe/releases","show")</f>
        <v>show</v>
      </c>
    </row>
    <row r="7119" spans="1:6">
      <c r="A7119" t="s">
        <v>21142</v>
      </c>
      <c r="B7119" t="s">
        <v>21143</v>
      </c>
      <c r="C7119" t="s">
        <v>21144</v>
      </c>
      <c r="D7119" t="str">
        <f>HYPERLINK("https://github.com/TeamNewPipe/NewPipe/issues/4383","show")</f>
        <v>show</v>
      </c>
      <c r="E7119" t="str">
        <f>HYPERLINK("https://github.com/TeamNewPipe/NewPipe","show")</f>
        <v>show</v>
      </c>
      <c r="F7119" t="str">
        <f>HYPERLINK("https://github.com/TeamNewPipe/NewPipe/releases","show")</f>
        <v>show</v>
      </c>
    </row>
    <row r="7120" spans="1:6">
      <c r="A7120" t="s">
        <v>21145</v>
      </c>
      <c r="B7120" t="s">
        <v>21146</v>
      </c>
      <c r="C7120" t="s">
        <v>21147</v>
      </c>
      <c r="D7120" t="str">
        <f>HYPERLINK("https://github.com/nextcloud/android/issues/7047","show")</f>
        <v>show</v>
      </c>
      <c r="E7120" t="str">
        <f>HYPERLINK("https://github.com/nextcloud/android","show")</f>
        <v>show</v>
      </c>
      <c r="F7120" t="str">
        <f>HYPERLINK("https://github.com/nextcloud/android/releases","show")</f>
        <v>show</v>
      </c>
    </row>
    <row r="7121" spans="1:6">
      <c r="A7121" t="s">
        <v>21148</v>
      </c>
      <c r="B7121" t="s">
        <v>21149</v>
      </c>
      <c r="C7121" t="s">
        <v>21150</v>
      </c>
      <c r="D7121" t="str">
        <f>HYPERLINK("https://github.com/ankidroid/Anki-Android/issues/7345","show")</f>
        <v>show</v>
      </c>
      <c r="E7121" t="str">
        <f>HYPERLINK("https://github.com/ankidroid/Anki-Android","show")</f>
        <v>show</v>
      </c>
      <c r="F7121" t="str">
        <f>HYPERLINK("https://github.com/ankidroid/Anki-Android/releases","show")</f>
        <v>show</v>
      </c>
    </row>
    <row r="7122" spans="1:6">
      <c r="A7122" t="s">
        <v>21151</v>
      </c>
      <c r="B7122" t="s">
        <v>21152</v>
      </c>
      <c r="C7122" t="s">
        <v>21153</v>
      </c>
      <c r="D7122" t="str">
        <f>HYPERLINK("https://github.com/zoho/salesiq-mobilisten-android-sample/issues/14","show")</f>
        <v>show</v>
      </c>
      <c r="E7122" t="str">
        <f>HYPERLINK("https://github.com/zoho/salesiq-mobilisten-android-sample","show")</f>
        <v>show</v>
      </c>
      <c r="F7122" t="str">
        <f>HYPERLINK("https://github.com/zoho/salesiq-mobilisten-android-sample/releases","show")</f>
        <v>show</v>
      </c>
    </row>
    <row r="7123" spans="1:6">
      <c r="A7123" t="s">
        <v>21154</v>
      </c>
      <c r="B7123" t="s">
        <v>21155</v>
      </c>
      <c r="C7123" t="s">
        <v>21156</v>
      </c>
      <c r="D7123" t="str">
        <f>HYPERLINK("https://github.com/zoho/salesiq-mobilisten-android-sample/issues/13","show")</f>
        <v>show</v>
      </c>
      <c r="E7123" t="str">
        <f>HYPERLINK("https://github.com/zoho/salesiq-mobilisten-android-sample","show")</f>
        <v>show</v>
      </c>
      <c r="F7123" t="str">
        <f>HYPERLINK("https://github.com/zoho/salesiq-mobilisten-android-sample/releases","show")</f>
        <v>show</v>
      </c>
    </row>
    <row r="7124" spans="1:6">
      <c r="A7124" t="s">
        <v>21157</v>
      </c>
      <c r="B7124" t="s">
        <v>21158</v>
      </c>
      <c r="C7124" t="s">
        <v>21159</v>
      </c>
      <c r="D7124" t="str">
        <f>HYPERLINK("https://github.com/zoho/salesiq-mobilisten-android-sample/issues/12","show")</f>
        <v>show</v>
      </c>
      <c r="E7124" t="str">
        <f>HYPERLINK("https://github.com/zoho/salesiq-mobilisten-android-sample","show")</f>
        <v>show</v>
      </c>
      <c r="F7124" t="str">
        <f>HYPERLINK("https://github.com/zoho/salesiq-mobilisten-android-sample/releases","show")</f>
        <v>show</v>
      </c>
    </row>
    <row r="7125" spans="1:6">
      <c r="A7125" t="s">
        <v>21160</v>
      </c>
      <c r="B7125" t="s">
        <v>21161</v>
      </c>
      <c r="C7125" t="s">
        <v>21162</v>
      </c>
      <c r="D7125" t="str">
        <f>HYPERLINK("https://github.com/Anuken/Mindustry/issues/2827","show")</f>
        <v>show</v>
      </c>
      <c r="E7125" t="str">
        <f>HYPERLINK("https://github.com/Anuken/Mindustry","show")</f>
        <v>show</v>
      </c>
      <c r="F7125" t="str">
        <f>HYPERLINK("https://github.com/Anuken/Mindustry/releases","show")</f>
        <v>show</v>
      </c>
    </row>
    <row r="7126" spans="1:6">
      <c r="A7126" t="s">
        <v>21163</v>
      </c>
      <c r="B7126" t="s">
        <v>21164</v>
      </c>
      <c r="C7126" t="s">
        <v>21165</v>
      </c>
      <c r="D7126" t="str">
        <f>HYPERLINK("https://github.com/7LPdWcaW/GrowTracker-Android/issues/240","show")</f>
        <v>show</v>
      </c>
      <c r="E7126" t="str">
        <f>HYPERLINK("https://github.com/7LPdWcaW/GrowTracker-Android","show")</f>
        <v>show</v>
      </c>
      <c r="F7126" t="str">
        <f>HYPERLINK("https://github.com/7LPdWcaW/GrowTracker-Android/releases","show")</f>
        <v>show</v>
      </c>
    </row>
    <row r="7127" spans="1:6">
      <c r="A7127" t="s">
        <v>21166</v>
      </c>
      <c r="B7127" t="s">
        <v>21167</v>
      </c>
      <c r="C7127" t="s">
        <v>21168</v>
      </c>
      <c r="D7127" t="str">
        <f>HYPERLINK("https://github.com/Anuken/Mindustry/issues/2823","show")</f>
        <v>show</v>
      </c>
      <c r="E7127" t="str">
        <f>HYPERLINK("https://github.com/Anuken/Mindustry","show")</f>
        <v>show</v>
      </c>
      <c r="F7127" t="str">
        <f>HYPERLINK("https://github.com/Anuken/Mindustry/releases","show")</f>
        <v>show</v>
      </c>
    </row>
    <row r="7128" spans="1:6">
      <c r="A7128" t="s">
        <v>21169</v>
      </c>
      <c r="B7128" t="s">
        <v>21170</v>
      </c>
      <c r="C7128" t="s">
        <v>21171</v>
      </c>
      <c r="D7128" t="str">
        <f>HYPERLINK("https://github.com/rkokkelk/homey-wear/issues/1","show")</f>
        <v>show</v>
      </c>
      <c r="E7128" t="str">
        <f>HYPERLINK("https://github.com/rkokkelk/homey-wear","show")</f>
        <v>show</v>
      </c>
      <c r="F7128" t="str">
        <f>HYPERLINK("https://github.com/rkokkelk/homey-wear/releases","show")</f>
        <v>show</v>
      </c>
    </row>
    <row r="7129" spans="1:6">
      <c r="A7129" t="s">
        <v>21172</v>
      </c>
      <c r="B7129" t="s">
        <v>21173</v>
      </c>
      <c r="C7129" t="s">
        <v>21174</v>
      </c>
      <c r="D7129" t="str">
        <f>HYPERLINK("https://github.com/Anuken/Mindustry/issues/2812","show")</f>
        <v>show</v>
      </c>
      <c r="E7129" t="str">
        <f>HYPERLINK("https://github.com/Anuken/Mindustry","show")</f>
        <v>show</v>
      </c>
      <c r="F7129" t="str">
        <f>HYPERLINK("https://github.com/Anuken/Mindustry/releases","show")</f>
        <v>show</v>
      </c>
    </row>
    <row r="7130" spans="1:6">
      <c r="A7130" t="s">
        <v>21175</v>
      </c>
      <c r="B7130" t="s">
        <v>21176</v>
      </c>
      <c r="C7130" t="s">
        <v>21177</v>
      </c>
      <c r="D7130" t="str">
        <f>HYPERLINK("https://github.com/zoho/salesiq-mobilisten-android-sample/issues/9","show")</f>
        <v>show</v>
      </c>
      <c r="E7130" t="str">
        <f>HYPERLINK("https://github.com/zoho/salesiq-mobilisten-android-sample","show")</f>
        <v>show</v>
      </c>
      <c r="F7130" t="str">
        <f>HYPERLINK("https://github.com/zoho/salesiq-mobilisten-android-sample/releases","show")</f>
        <v>show</v>
      </c>
    </row>
    <row r="7131" spans="1:6">
      <c r="A7131" t="s">
        <v>21178</v>
      </c>
      <c r="B7131" t="s">
        <v>21179</v>
      </c>
      <c r="C7131" t="s">
        <v>21180</v>
      </c>
      <c r="D7131" t="str">
        <f>HYPERLINK("https://github.com/TeamNewPipe/NewPipe/issues/4368","show")</f>
        <v>show</v>
      </c>
      <c r="E7131" t="str">
        <f>HYPERLINK("https://github.com/TeamNewPipe/NewPipe","show")</f>
        <v>show</v>
      </c>
      <c r="F7131" t="str">
        <f>HYPERLINK("https://github.com/TeamNewPipe/NewPipe/releases","show")</f>
        <v>show</v>
      </c>
    </row>
    <row r="7132" spans="1:6">
      <c r="A7132" t="s">
        <v>21181</v>
      </c>
      <c r="B7132" t="s">
        <v>21182</v>
      </c>
      <c r="C7132" t="s">
        <v>21183</v>
      </c>
      <c r="D7132" t="str">
        <f>HYPERLINK("https://github.com/TeamNewPipe/NewPipe/issues/4366","show")</f>
        <v>show</v>
      </c>
      <c r="E7132" t="str">
        <f>HYPERLINK("https://github.com/TeamNewPipe/NewPipe","show")</f>
        <v>show</v>
      </c>
      <c r="F7132" t="str">
        <f>HYPERLINK("https://github.com/TeamNewPipe/NewPipe/releases","show")</f>
        <v>show</v>
      </c>
    </row>
    <row r="7133" spans="1:6">
      <c r="A7133" t="s">
        <v>21184</v>
      </c>
      <c r="B7133" t="s">
        <v>19132</v>
      </c>
      <c r="C7133" t="s">
        <v>21185</v>
      </c>
      <c r="D7133" t="str">
        <f>HYPERLINK("https://github.com/TeamNewPipe/NewPipe/issues/4363","show")</f>
        <v>show</v>
      </c>
      <c r="E7133" t="str">
        <f>HYPERLINK("https://github.com/TeamNewPipe/NewPipe","show")</f>
        <v>show</v>
      </c>
      <c r="F7133" t="str">
        <f>HYPERLINK("https://github.com/TeamNewPipe/NewPipe/releases","show")</f>
        <v>show</v>
      </c>
    </row>
    <row r="7134" spans="1:6">
      <c r="A7134" t="s">
        <v>21186</v>
      </c>
      <c r="B7134" t="s">
        <v>21187</v>
      </c>
      <c r="C7134" t="s">
        <v>21188</v>
      </c>
      <c r="D7134" t="str">
        <f>HYPERLINK("https://github.com/92lleo/WhatsappWebToGo/issues/32","show")</f>
        <v>show</v>
      </c>
      <c r="E7134" t="str">
        <f>HYPERLINK("https://github.com/92lleo/WhatsappWebToGo","show")</f>
        <v>show</v>
      </c>
      <c r="F7134" t="str">
        <f>HYPERLINK("https://github.com/92lleo/WhatsappWebToGo/releases","show")</f>
        <v>show</v>
      </c>
    </row>
    <row r="7135" spans="1:6">
      <c r="A7135" t="s">
        <v>21189</v>
      </c>
      <c r="B7135" t="s">
        <v>21190</v>
      </c>
      <c r="C7135" t="s">
        <v>21191</v>
      </c>
      <c r="D7135" t="str">
        <f>HYPERLINK("https://github.com/NekoX-Dev/NekoX/issues/188","show")</f>
        <v>show</v>
      </c>
      <c r="E7135" t="str">
        <f>HYPERLINK("https://github.com/NekoX-Dev/NekoX","show")</f>
        <v>show</v>
      </c>
      <c r="F7135" t="str">
        <f>HYPERLINK("https://github.com/NekoX-Dev/NekoX/releases","show")</f>
        <v>show</v>
      </c>
    </row>
    <row r="7136" spans="1:6">
      <c r="A7136" t="s">
        <v>21192</v>
      </c>
      <c r="B7136" t="s">
        <v>21193</v>
      </c>
      <c r="C7136" t="s">
        <v>21194</v>
      </c>
      <c r="D7136" t="str">
        <f>HYPERLINK("https://github.com/Anuken/Mindustry/issues/2797","show")</f>
        <v>show</v>
      </c>
      <c r="E7136" t="str">
        <f>HYPERLINK("https://github.com/Anuken/Mindustry","show")</f>
        <v>show</v>
      </c>
      <c r="F7136" t="str">
        <f>HYPERLINK("https://github.com/Anuken/Mindustry/releases","show")</f>
        <v>show</v>
      </c>
    </row>
    <row r="7137" spans="1:6">
      <c r="A7137" t="s">
        <v>21195</v>
      </c>
      <c r="B7137" t="s">
        <v>21196</v>
      </c>
      <c r="C7137" t="s">
        <v>21197</v>
      </c>
      <c r="D7137" t="str">
        <f>HYPERLINK("https://github.com/Anuken/Mindustry/issues/2795","show")</f>
        <v>show</v>
      </c>
      <c r="E7137" t="str">
        <f>HYPERLINK("https://github.com/Anuken/Mindustry","show")</f>
        <v>show</v>
      </c>
      <c r="F7137" t="str">
        <f>HYPERLINK("https://github.com/Anuken/Mindustry/releases","show")</f>
        <v>show</v>
      </c>
    </row>
    <row r="7138" spans="1:6">
      <c r="A7138" t="s">
        <v>21198</v>
      </c>
      <c r="B7138" t="s">
        <v>21199</v>
      </c>
      <c r="C7138" t="s">
        <v>21200</v>
      </c>
      <c r="D7138" t="str">
        <f>HYPERLINK("https://github.com/Anuken/Mindustry/issues/2794","show")</f>
        <v>show</v>
      </c>
      <c r="E7138" t="str">
        <f>HYPERLINK("https://github.com/Anuken/Mindustry","show")</f>
        <v>show</v>
      </c>
      <c r="F7138" t="str">
        <f>HYPERLINK("https://github.com/Anuken/Mindustry/releases","show")</f>
        <v>show</v>
      </c>
    </row>
    <row r="7139" spans="1:6">
      <c r="A7139" t="s">
        <v>21201</v>
      </c>
      <c r="B7139" t="s">
        <v>21202</v>
      </c>
      <c r="C7139" t="s">
        <v>21203</v>
      </c>
      <c r="D7139" t="str">
        <f>HYPERLINK("https://github.com/manimaran96/Spell4Wiki/issues/29","show")</f>
        <v>show</v>
      </c>
      <c r="E7139" t="str">
        <f>HYPERLINK("https://github.com/manimaran96/Spell4Wiki","show")</f>
        <v>show</v>
      </c>
      <c r="F7139" t="str">
        <f>HYPERLINK("https://github.com/manimaran96/Spell4Wiki/releases","show")</f>
        <v>show</v>
      </c>
    </row>
    <row r="7140" spans="1:6">
      <c r="A7140" t="s">
        <v>21204</v>
      </c>
      <c r="B7140" t="s">
        <v>21205</v>
      </c>
      <c r="C7140" t="s">
        <v>21206</v>
      </c>
      <c r="D7140" t="str">
        <f>HYPERLINK("https://github.com/lfuelling/lrkFM/issues/94","show")</f>
        <v>show</v>
      </c>
      <c r="E7140" t="str">
        <f>HYPERLINK("https://github.com/lfuelling/lrkFM","show")</f>
        <v>show</v>
      </c>
      <c r="F7140" t="str">
        <f>HYPERLINK("https://github.com/lfuelling/lrkFM/releases","show")</f>
        <v>show</v>
      </c>
    </row>
    <row r="7141" spans="1:6">
      <c r="A7141" t="s">
        <v>21207</v>
      </c>
      <c r="B7141" t="s">
        <v>21208</v>
      </c>
      <c r="C7141" t="s">
        <v>21209</v>
      </c>
      <c r="D7141" t="str">
        <f>HYPERLINK("https://github.com/mmuhamadamirzaidi/OxygenToGo/issues/2","show")</f>
        <v>show</v>
      </c>
      <c r="E7141" t="str">
        <f>HYPERLINK("https://github.com/mmuhamadamirzaidi/OxygenToGo","show")</f>
        <v>show</v>
      </c>
      <c r="F7141" t="str">
        <f>HYPERLINK("https://github.com/mmuhamadamirzaidi/OxygenToGo/releases","show")</f>
        <v>show</v>
      </c>
    </row>
    <row r="7142" spans="1:6">
      <c r="A7142" t="s">
        <v>21210</v>
      </c>
      <c r="B7142" t="s">
        <v>21211</v>
      </c>
      <c r="C7142" t="s">
        <v>21212</v>
      </c>
      <c r="D7142" t="str">
        <f>HYPERLINK("https://github.com/Anuken/Mindustry/issues/2789","show")</f>
        <v>show</v>
      </c>
      <c r="E7142" t="str">
        <f>HYPERLINK("https://github.com/Anuken/Mindustry","show")</f>
        <v>show</v>
      </c>
      <c r="F7142" t="str">
        <f>HYPERLINK("https://github.com/Anuken/Mindustry/releases","show")</f>
        <v>show</v>
      </c>
    </row>
    <row r="7143" spans="1:6">
      <c r="A7143" t="s">
        <v>21213</v>
      </c>
      <c r="B7143" t="s">
        <v>21214</v>
      </c>
      <c r="C7143" t="s">
        <v>21215</v>
      </c>
      <c r="D7143" t="str">
        <f>HYPERLINK("https://github.com/Anuken/Mindustry/issues/2788","show")</f>
        <v>show</v>
      </c>
      <c r="E7143" t="str">
        <f>HYPERLINK("https://github.com/Anuken/Mindustry","show")</f>
        <v>show</v>
      </c>
      <c r="F7143" t="str">
        <f>HYPERLINK("https://github.com/Anuken/Mindustry/releases","show")</f>
        <v>show</v>
      </c>
    </row>
    <row r="7144" spans="1:6">
      <c r="A7144" t="s">
        <v>21216</v>
      </c>
      <c r="B7144" t="s">
        <v>21217</v>
      </c>
      <c r="C7144" t="s">
        <v>21218</v>
      </c>
      <c r="D7144" t="str">
        <f>HYPERLINK("https://github.com/Anuken/Mindustry/issues/2787","show")</f>
        <v>show</v>
      </c>
      <c r="E7144" t="str">
        <f>HYPERLINK("https://github.com/Anuken/Mindustry","show")</f>
        <v>show</v>
      </c>
      <c r="F7144" t="str">
        <f>HYPERLINK("https://github.com/Anuken/Mindustry/releases","show")</f>
        <v>show</v>
      </c>
    </row>
    <row r="7145" spans="1:6">
      <c r="A7145" t="s">
        <v>21219</v>
      </c>
      <c r="B7145" t="s">
        <v>21220</v>
      </c>
      <c r="C7145" t="s">
        <v>21221</v>
      </c>
      <c r="D7145" t="str">
        <f>HYPERLINK("https://github.com/Anuken/Mindustry/issues/2779","show")</f>
        <v>show</v>
      </c>
      <c r="E7145" t="str">
        <f>HYPERLINK("https://github.com/Anuken/Mindustry","show")</f>
        <v>show</v>
      </c>
      <c r="F7145" t="str">
        <f>HYPERLINK("https://github.com/Anuken/Mindustry/releases","show")</f>
        <v>show</v>
      </c>
    </row>
    <row r="7146" spans="1:6">
      <c r="A7146" t="s">
        <v>21222</v>
      </c>
      <c r="B7146" t="s">
        <v>21223</v>
      </c>
      <c r="C7146" t="s">
        <v>21224</v>
      </c>
      <c r="D7146" t="str">
        <f>HYPERLINK("https://github.com/technojam/AndroidCustomView/issues/8","show")</f>
        <v>show</v>
      </c>
      <c r="E7146" t="str">
        <f>HYPERLINK("https://github.com/technojam/AndroidCustomView","show")</f>
        <v>show</v>
      </c>
      <c r="F7146" t="str">
        <f>HYPERLINK("https://github.com/technojam/AndroidCustomView/releases","show")</f>
        <v>show</v>
      </c>
    </row>
    <row r="7147" spans="1:6">
      <c r="A7147" t="s">
        <v>21225</v>
      </c>
      <c r="B7147" t="s">
        <v>21226</v>
      </c>
      <c r="C7147" t="s">
        <v>21227</v>
      </c>
      <c r="D7147" t="str">
        <f>HYPERLINK("https://github.com/react-native-share/react-native-share/issues/882","show")</f>
        <v>show</v>
      </c>
      <c r="E7147" t="str">
        <f>HYPERLINK("https://github.com/react-native-share/react-native-share","show")</f>
        <v>show</v>
      </c>
      <c r="F7147" t="str">
        <f>HYPERLINK("https://github.com/react-native-share/react-native-share/releases","show")</f>
        <v>show</v>
      </c>
    </row>
    <row r="7148" spans="1:6">
      <c r="A7148" t="s">
        <v>21228</v>
      </c>
      <c r="B7148" t="s">
        <v>21229</v>
      </c>
      <c r="C7148" t="s">
        <v>21230</v>
      </c>
      <c r="D7148" t="str">
        <f>HYPERLINK("https://github.com/NekoX-Dev/NekoX/issues/176","show")</f>
        <v>show</v>
      </c>
      <c r="E7148" t="str">
        <f>HYPERLINK("https://github.com/NekoX-Dev/NekoX","show")</f>
        <v>show</v>
      </c>
      <c r="F7148" t="str">
        <f>HYPERLINK("https://github.com/NekoX-Dev/NekoX/releases","show")</f>
        <v>show</v>
      </c>
    </row>
    <row r="7149" spans="1:6">
      <c r="A7149" t="s">
        <v>21231</v>
      </c>
      <c r="B7149" t="s">
        <v>21232</v>
      </c>
      <c r="C7149" t="s">
        <v>21233</v>
      </c>
      <c r="D7149" t="str">
        <f>HYPERLINK("https://github.com/SecUSo/privacy-friendly-qr-scanner/issues/83","show")</f>
        <v>show</v>
      </c>
      <c r="E7149" t="str">
        <f>HYPERLINK("https://github.com/SecUSo/privacy-friendly-qr-scanner","show")</f>
        <v>show</v>
      </c>
      <c r="F7149" t="str">
        <f>HYPERLINK("https://github.com/SecUSo/privacy-friendly-qr-scanner/releases","show")</f>
        <v>show</v>
      </c>
    </row>
    <row r="7150" spans="1:6">
      <c r="A7150" t="s">
        <v>21234</v>
      </c>
      <c r="B7150" t="s">
        <v>21235</v>
      </c>
      <c r="C7150" t="s">
        <v>21236</v>
      </c>
      <c r="D7150" t="str">
        <f>HYPERLINK("https://github.com/Anuken/Mindustry/issues/2766","show")</f>
        <v>show</v>
      </c>
      <c r="E7150" t="str">
        <f>HYPERLINK("https://github.com/Anuken/Mindustry","show")</f>
        <v>show</v>
      </c>
      <c r="F7150" t="str">
        <f>HYPERLINK("https://github.com/Anuken/Mindustry/releases","show")</f>
        <v>show</v>
      </c>
    </row>
    <row r="7151" spans="1:6">
      <c r="A7151" t="s">
        <v>21237</v>
      </c>
      <c r="B7151" t="s">
        <v>21238</v>
      </c>
      <c r="C7151" t="s">
        <v>21239</v>
      </c>
      <c r="D7151" t="str">
        <f>HYPERLINK("https://github.com/fennifith/Alarmio/issues/141","show")</f>
        <v>show</v>
      </c>
      <c r="E7151" t="str">
        <f>HYPERLINK("https://github.com/fennifith/Alarmio","show")</f>
        <v>show</v>
      </c>
      <c r="F7151" t="str">
        <f>HYPERLINK("https://github.com/fennifith/Alarmio/releases","show")</f>
        <v>show</v>
      </c>
    </row>
    <row r="7152" spans="1:6">
      <c r="A7152" t="s">
        <v>21240</v>
      </c>
      <c r="B7152" t="s">
        <v>21241</v>
      </c>
      <c r="C7152" t="s">
        <v>21242</v>
      </c>
      <c r="D7152" t="str">
        <f>HYPERLINK("https://github.com/TeamNewPipe/NewPipe/issues/4355","show")</f>
        <v>show</v>
      </c>
      <c r="E7152" t="str">
        <f>HYPERLINK("https://github.com/TeamNewPipe/NewPipe","show")</f>
        <v>show</v>
      </c>
      <c r="F7152" t="str">
        <f>HYPERLINK("https://github.com/TeamNewPipe/NewPipe/releases","show")</f>
        <v>show</v>
      </c>
    </row>
    <row r="7153" spans="1:6">
      <c r="A7153" t="s">
        <v>21243</v>
      </c>
      <c r="B7153" t="s">
        <v>21244</v>
      </c>
      <c r="C7153" t="s">
        <v>21245</v>
      </c>
      <c r="D7153" t="str">
        <f>HYPERLINK("https://github.com/tchapgouv/tchap-android-legacy/issues/631","show")</f>
        <v>show</v>
      </c>
      <c r="E7153" t="str">
        <f>HYPERLINK("https://github.com/tchapgouv/tchap-android-legacy","show")</f>
        <v>show</v>
      </c>
      <c r="F7153" t="str">
        <f>HYPERLINK("https://github.com/tchapgouv/tchap-android-legacy/releases","show")</f>
        <v>show</v>
      </c>
    </row>
    <row r="7154" spans="1:6">
      <c r="A7154" t="s">
        <v>21246</v>
      </c>
      <c r="B7154" t="s">
        <v>11018</v>
      </c>
      <c r="C7154" t="s">
        <v>21247</v>
      </c>
      <c r="D7154" t="str">
        <f>HYPERLINK("https://github.com/inaturalist/iNaturalistAndroid/issues/916","show")</f>
        <v>show</v>
      </c>
      <c r="E7154" t="str">
        <f>HYPERLINK("https://github.com/inaturalist/iNaturalistAndroid","show")</f>
        <v>show</v>
      </c>
      <c r="F7154" t="str">
        <f>HYPERLINK("https://github.com/inaturalist/iNaturalistAndroid/releases","show")</f>
        <v>show</v>
      </c>
    </row>
    <row r="7155" spans="1:6">
      <c r="A7155" t="s">
        <v>21248</v>
      </c>
      <c r="B7155" t="s">
        <v>21249</v>
      </c>
      <c r="C7155" t="s">
        <v>21250</v>
      </c>
      <c r="D7155" t="str">
        <f>HYPERLINK("https://github.com/inaturalist/iNaturalistAndroid/issues/915","show")</f>
        <v>show</v>
      </c>
      <c r="E7155" t="str">
        <f>HYPERLINK("https://github.com/inaturalist/iNaturalistAndroid","show")</f>
        <v>show</v>
      </c>
      <c r="F7155" t="str">
        <f>HYPERLINK("https://github.com/inaturalist/iNaturalistAndroid/releases","show")</f>
        <v>show</v>
      </c>
    </row>
    <row r="7156" spans="1:6">
      <c r="A7156" t="s">
        <v>21251</v>
      </c>
      <c r="B7156" t="s">
        <v>21252</v>
      </c>
      <c r="C7156" t="s">
        <v>21253</v>
      </c>
      <c r="D7156" t="str">
        <f>HYPERLINK("https://github.com/inaturalist/iNaturalistAndroid/issues/914","show")</f>
        <v>show</v>
      </c>
      <c r="E7156" t="str">
        <f>HYPERLINK("https://github.com/inaturalist/iNaturalistAndroid","show")</f>
        <v>show</v>
      </c>
      <c r="F7156" t="str">
        <f>HYPERLINK("https://github.com/inaturalist/iNaturalistAndroid/releases","show")</f>
        <v>show</v>
      </c>
    </row>
    <row r="7157" spans="1:6">
      <c r="A7157" t="s">
        <v>21254</v>
      </c>
      <c r="B7157" t="s">
        <v>21255</v>
      </c>
      <c r="C7157" t="s">
        <v>21256</v>
      </c>
      <c r="D7157" t="str">
        <f>HYPERLINK("https://github.com/react-native-share/react-native-share/issues/879","show")</f>
        <v>show</v>
      </c>
      <c r="E7157" t="str">
        <f>HYPERLINK("https://github.com/react-native-share/react-native-share","show")</f>
        <v>show</v>
      </c>
      <c r="F7157" t="str">
        <f>HYPERLINK("https://github.com/react-native-share/react-native-share/releases","show")</f>
        <v>show</v>
      </c>
    </row>
    <row r="7158" spans="1:6">
      <c r="A7158" t="s">
        <v>21257</v>
      </c>
      <c r="B7158" t="s">
        <v>21258</v>
      </c>
      <c r="C7158" t="s">
        <v>21259</v>
      </c>
      <c r="D7158" t="str">
        <f>HYPERLINK("https://github.com/nextcloud/android/issues/7029","show")</f>
        <v>show</v>
      </c>
      <c r="E7158" t="str">
        <f>HYPERLINK("https://github.com/nextcloud/android","show")</f>
        <v>show</v>
      </c>
      <c r="F7158" t="str">
        <f>HYPERLINK("https://github.com/nextcloud/android/releases","show")</f>
        <v>show</v>
      </c>
    </row>
    <row r="7159" spans="1:6">
      <c r="A7159" t="s">
        <v>21260</v>
      </c>
      <c r="B7159" t="s">
        <v>21261</v>
      </c>
      <c r="C7159" t="s">
        <v>21262</v>
      </c>
      <c r="D7159" t="str">
        <f>HYPERLINK("https://github.com/TeamNewPipe/NewPipe/issues/4348","show")</f>
        <v>show</v>
      </c>
      <c r="E7159" t="str">
        <f>HYPERLINK("https://github.com/TeamNewPipe/NewPipe","show")</f>
        <v>show</v>
      </c>
      <c r="F7159" t="str">
        <f>HYPERLINK("https://github.com/TeamNewPipe/NewPipe/releases","show")</f>
        <v>show</v>
      </c>
    </row>
    <row r="7160" spans="1:6">
      <c r="A7160" t="s">
        <v>21263</v>
      </c>
      <c r="B7160" t="s">
        <v>21264</v>
      </c>
      <c r="C7160" t="s">
        <v>21265</v>
      </c>
      <c r="D7160" t="str">
        <f>HYPERLINK("https://github.com/TeamNewPipe/NewPipe/issues/4346","show")</f>
        <v>show</v>
      </c>
      <c r="E7160" t="str">
        <f>HYPERLINK("https://github.com/TeamNewPipe/NewPipe","show")</f>
        <v>show</v>
      </c>
      <c r="F7160" t="str">
        <f>HYPERLINK("https://github.com/TeamNewPipe/NewPipe/releases","show")</f>
        <v>show</v>
      </c>
    </row>
    <row r="7161" spans="1:6">
      <c r="A7161" t="s">
        <v>21266</v>
      </c>
      <c r="B7161" t="s">
        <v>21267</v>
      </c>
      <c r="C7161" t="s">
        <v>21268</v>
      </c>
      <c r="D7161" t="str">
        <f>HYPERLINK("https://github.com/Anuken/Mindustry/issues/2761","show")</f>
        <v>show</v>
      </c>
      <c r="E7161" t="str">
        <f>HYPERLINK("https://github.com/Anuken/Mindustry","show")</f>
        <v>show</v>
      </c>
      <c r="F7161" t="str">
        <f>HYPERLINK("https://github.com/Anuken/Mindustry/releases","show")</f>
        <v>show</v>
      </c>
    </row>
    <row r="7162" spans="1:6">
      <c r="A7162" t="s">
        <v>21269</v>
      </c>
      <c r="B7162" t="s">
        <v>21270</v>
      </c>
      <c r="C7162" t="s">
        <v>21271</v>
      </c>
      <c r="D7162" t="str">
        <f>HYPERLINK("https://github.com/Anuken/Mindustry/issues/2760","show")</f>
        <v>show</v>
      </c>
      <c r="E7162" t="str">
        <f>HYPERLINK("https://github.com/Anuken/Mindustry","show")</f>
        <v>show</v>
      </c>
      <c r="F7162" t="str">
        <f>HYPERLINK("https://github.com/Anuken/Mindustry/releases","show")</f>
        <v>show</v>
      </c>
    </row>
    <row r="7163" spans="1:6">
      <c r="A7163" t="s">
        <v>21272</v>
      </c>
      <c r="B7163" t="s">
        <v>21273</v>
      </c>
      <c r="C7163" t="s">
        <v>21274</v>
      </c>
      <c r="D7163" t="str">
        <f>HYPERLINK("https://github.com/Anuken/Mindustry/issues/2759","show")</f>
        <v>show</v>
      </c>
      <c r="E7163" t="str">
        <f>HYPERLINK("https://github.com/Anuken/Mindustry","show")</f>
        <v>show</v>
      </c>
      <c r="F7163" t="str">
        <f>HYPERLINK("https://github.com/Anuken/Mindustry/releases","show")</f>
        <v>show</v>
      </c>
    </row>
    <row r="7164" spans="1:6">
      <c r="A7164" t="s">
        <v>21275</v>
      </c>
      <c r="B7164" t="s">
        <v>21276</v>
      </c>
      <c r="C7164" t="s">
        <v>21277</v>
      </c>
      <c r="D7164" t="str">
        <f>HYPERLINK("https://github.com/Anuken/Mindustry/issues/2758","show")</f>
        <v>show</v>
      </c>
      <c r="E7164" t="str">
        <f>HYPERLINK("https://github.com/Anuken/Mindustry","show")</f>
        <v>show</v>
      </c>
      <c r="F7164" t="str">
        <f>HYPERLINK("https://github.com/Anuken/Mindustry/releases","show")</f>
        <v>show</v>
      </c>
    </row>
    <row r="7165" spans="1:6">
      <c r="A7165" t="s">
        <v>21278</v>
      </c>
      <c r="B7165" t="s">
        <v>21279</v>
      </c>
      <c r="C7165" t="s">
        <v>21280</v>
      </c>
      <c r="D7165" t="str">
        <f>HYPERLINK("https://github.com/TeamNewPipe/NewPipe/issues/4343","show")</f>
        <v>show</v>
      </c>
      <c r="E7165" t="str">
        <f>HYPERLINK("https://github.com/TeamNewPipe/NewPipe","show")</f>
        <v>show</v>
      </c>
      <c r="F7165" t="str">
        <f>HYPERLINK("https://github.com/TeamNewPipe/NewPipe/releases","show")</f>
        <v>show</v>
      </c>
    </row>
    <row r="7166" spans="1:6">
      <c r="A7166" t="s">
        <v>21281</v>
      </c>
      <c r="B7166" t="s">
        <v>21282</v>
      </c>
      <c r="C7166" t="s">
        <v>21283</v>
      </c>
      <c r="D7166" t="str">
        <f>HYPERLINK("https://github.com/TeamNewPipe/NewPipe/issues/4342","show")</f>
        <v>show</v>
      </c>
      <c r="E7166" t="str">
        <f>HYPERLINK("https://github.com/TeamNewPipe/NewPipe","show")</f>
        <v>show</v>
      </c>
      <c r="F7166" t="str">
        <f>HYPERLINK("https://github.com/TeamNewPipe/NewPipe/releases","show")</f>
        <v>show</v>
      </c>
    </row>
    <row r="7167" spans="1:6">
      <c r="A7167" t="s">
        <v>21284</v>
      </c>
      <c r="B7167" t="s">
        <v>21285</v>
      </c>
      <c r="C7167" t="s">
        <v>21286</v>
      </c>
      <c r="D7167" t="str">
        <f>HYPERLINK("https://github.com/Anuken/Mindustry/issues/2755","show")</f>
        <v>show</v>
      </c>
      <c r="E7167" t="str">
        <f>HYPERLINK("https://github.com/Anuken/Mindustry","show")</f>
        <v>show</v>
      </c>
      <c r="F7167" t="str">
        <f>HYPERLINK("https://github.com/Anuken/Mindustry/releases","show")</f>
        <v>show</v>
      </c>
    </row>
    <row r="7168" spans="1:6">
      <c r="A7168" t="s">
        <v>21287</v>
      </c>
      <c r="B7168" t="s">
        <v>21288</v>
      </c>
      <c r="C7168" t="s">
        <v>21289</v>
      </c>
      <c r="D7168" t="str">
        <f>HYPERLINK("https://github.com/Anuken/Mindustry/issues/2753","show")</f>
        <v>show</v>
      </c>
      <c r="E7168" t="str">
        <f>HYPERLINK("https://github.com/Anuken/Mindustry","show")</f>
        <v>show</v>
      </c>
      <c r="F7168" t="str">
        <f>HYPERLINK("https://github.com/Anuken/Mindustry/releases","show")</f>
        <v>show</v>
      </c>
    </row>
    <row r="7169" spans="1:6">
      <c r="A7169" t="s">
        <v>21290</v>
      </c>
      <c r="B7169" t="s">
        <v>21291</v>
      </c>
      <c r="C7169" t="s">
        <v>21292</v>
      </c>
      <c r="D7169" t="str">
        <f>HYPERLINK("https://github.com/hzi-braunschweig/SORMAS-Project/issues/3001","show")</f>
        <v>show</v>
      </c>
      <c r="E7169" t="str">
        <f>HYPERLINK("https://github.com/hzi-braunschweig/SORMAS-Project","show")</f>
        <v>show</v>
      </c>
      <c r="F7169" t="str">
        <f>HYPERLINK("https://github.com/hzi-braunschweig/SORMAS-Project/releases","show")</f>
        <v>show</v>
      </c>
    </row>
    <row r="7170" spans="1:6">
      <c r="A7170" t="s">
        <v>21293</v>
      </c>
      <c r="B7170" t="s">
        <v>21294</v>
      </c>
      <c r="C7170" t="s">
        <v>21295</v>
      </c>
      <c r="D7170" t="str">
        <f>HYPERLINK("https://github.com/grimWaffles/foodpandaClone/issues/1","show")</f>
        <v>show</v>
      </c>
      <c r="E7170" t="str">
        <f>HYPERLINK("https://github.com/grimWaffles/foodpandaClone","show")</f>
        <v>show</v>
      </c>
      <c r="F7170" t="str">
        <f>HYPERLINK("https://github.com/grimWaffles/foodpandaClone/releases","show")</f>
        <v>show</v>
      </c>
    </row>
    <row r="7171" spans="1:6">
      <c r="A7171" t="s">
        <v>21296</v>
      </c>
      <c r="B7171" t="s">
        <v>21297</v>
      </c>
      <c r="C7171" t="s">
        <v>21298</v>
      </c>
      <c r="D7171" t="str">
        <f>HYPERLINK("https://github.com/libgdx/gdx-pay/issues/230","show")</f>
        <v>show</v>
      </c>
      <c r="E7171" t="str">
        <f>HYPERLINK("https://github.com/libgdx/gdx-pay","show")</f>
        <v>show</v>
      </c>
      <c r="F7171" t="str">
        <f>HYPERLINK("https://github.com/libgdx/gdx-pay/releases","show")</f>
        <v>show</v>
      </c>
    </row>
    <row r="7172" spans="1:6">
      <c r="A7172" t="s">
        <v>21299</v>
      </c>
      <c r="B7172" t="s">
        <v>21300</v>
      </c>
      <c r="C7172" t="s">
        <v>21301</v>
      </c>
      <c r="D7172" t="str">
        <f>HYPERLINK("https://github.com/Anuken/Mindustry/issues/2752","show")</f>
        <v>show</v>
      </c>
      <c r="E7172" t="str">
        <f>HYPERLINK("https://github.com/Anuken/Mindustry","show")</f>
        <v>show</v>
      </c>
      <c r="F7172" t="str">
        <f>HYPERLINK("https://github.com/Anuken/Mindustry/releases","show")</f>
        <v>show</v>
      </c>
    </row>
    <row r="7173" spans="1:6">
      <c r="A7173" t="s">
        <v>21302</v>
      </c>
      <c r="B7173" t="s">
        <v>21303</v>
      </c>
      <c r="C7173" t="s">
        <v>21304</v>
      </c>
      <c r="D7173" t="str">
        <f>HYPERLINK("https://github.com/commons-app/apps-android-commons/issues/3941","show")</f>
        <v>show</v>
      </c>
      <c r="E7173" t="str">
        <f>HYPERLINK("https://github.com/commons-app/apps-android-commons","show")</f>
        <v>show</v>
      </c>
      <c r="F7173" t="str">
        <f>HYPERLINK("https://github.com/commons-app/apps-android-commons/releases","show")</f>
        <v>show</v>
      </c>
    </row>
    <row r="7174" spans="1:6">
      <c r="A7174" t="s">
        <v>21305</v>
      </c>
      <c r="B7174" t="s">
        <v>21306</v>
      </c>
      <c r="C7174" t="s">
        <v>21307</v>
      </c>
      <c r="D7174" t="str">
        <f>HYPERLINK("https://github.com/Anuken/Mindustry/issues/2751","show")</f>
        <v>show</v>
      </c>
      <c r="E7174" t="str">
        <f>HYPERLINK("https://github.com/Anuken/Mindustry","show")</f>
        <v>show</v>
      </c>
      <c r="F7174" t="str">
        <f>HYPERLINK("https://github.com/Anuken/Mindustry/releases","show")</f>
        <v>show</v>
      </c>
    </row>
    <row r="7175" spans="1:6">
      <c r="A7175" t="s">
        <v>21308</v>
      </c>
      <c r="B7175" t="s">
        <v>21309</v>
      </c>
      <c r="C7175" t="s">
        <v>21310</v>
      </c>
      <c r="D7175" t="str">
        <f>HYPERLINK("https://github.com/nextcloud/android/issues/7020","show")</f>
        <v>show</v>
      </c>
      <c r="E7175" t="str">
        <f>HYPERLINK("https://github.com/nextcloud/android","show")</f>
        <v>show</v>
      </c>
      <c r="F7175" t="str">
        <f>HYPERLINK("https://github.com/nextcloud/android/releases","show")</f>
        <v>show</v>
      </c>
    </row>
    <row r="7176" spans="1:6">
      <c r="A7176" t="s">
        <v>21311</v>
      </c>
      <c r="B7176" t="s">
        <v>21312</v>
      </c>
      <c r="C7176" t="s">
        <v>21313</v>
      </c>
      <c r="D7176" t="str">
        <f>HYPERLINK("https://github.com/patzly/grocy-android/issues/118","show")</f>
        <v>show</v>
      </c>
      <c r="E7176" t="str">
        <f>HYPERLINK("https://github.com/patzly/grocy-android","show")</f>
        <v>show</v>
      </c>
      <c r="F7176" t="str">
        <f>HYPERLINK("https://github.com/patzly/grocy-android/releases","show")</f>
        <v>show</v>
      </c>
    </row>
    <row r="7177" spans="1:6">
      <c r="A7177" t="s">
        <v>21314</v>
      </c>
      <c r="B7177" t="s">
        <v>21315</v>
      </c>
      <c r="C7177" t="s">
        <v>21316</v>
      </c>
      <c r="D7177" t="str">
        <f>HYPERLINK("https://github.com/deltachat/deltachat-android/issues/1639","show")</f>
        <v>show</v>
      </c>
      <c r="E7177" t="str">
        <f>HYPERLINK("https://github.com/deltachat/deltachat-android","show")</f>
        <v>show</v>
      </c>
      <c r="F7177" t="str">
        <f>HYPERLINK("https://github.com/deltachat/deltachat-android/releases","show")</f>
        <v>show</v>
      </c>
    </row>
    <row r="7178" spans="1:6">
      <c r="A7178" t="s">
        <v>21317</v>
      </c>
      <c r="B7178" t="s">
        <v>21318</v>
      </c>
      <c r="C7178" t="s">
        <v>21319</v>
      </c>
      <c r="D7178" t="str">
        <f>HYPERLINK("https://github.com/nextcloud/android/issues/7018","show")</f>
        <v>show</v>
      </c>
      <c r="E7178" t="str">
        <f>HYPERLINK("https://github.com/nextcloud/android","show")</f>
        <v>show</v>
      </c>
      <c r="F7178" t="str">
        <f>HYPERLINK("https://github.com/nextcloud/android/releases","show")</f>
        <v>show</v>
      </c>
    </row>
    <row r="7179" spans="1:6">
      <c r="A7179" t="s">
        <v>21320</v>
      </c>
      <c r="B7179" t="s">
        <v>21321</v>
      </c>
      <c r="C7179" t="s">
        <v>21322</v>
      </c>
      <c r="D7179" t="str">
        <f>HYPERLINK("https://github.com/TeamNewPipe/NewPipe/issues/4325","show")</f>
        <v>show</v>
      </c>
      <c r="E7179" t="str">
        <f>HYPERLINK("https://github.com/TeamNewPipe/NewPipe","show")</f>
        <v>show</v>
      </c>
      <c r="F7179" t="str">
        <f>HYPERLINK("https://github.com/TeamNewPipe/NewPipe/releases","show")</f>
        <v>show</v>
      </c>
    </row>
    <row r="7180" spans="1:6">
      <c r="A7180" t="s">
        <v>21323</v>
      </c>
      <c r="B7180" t="s">
        <v>21324</v>
      </c>
      <c r="C7180" t="s">
        <v>21325</v>
      </c>
      <c r="D7180" t="str">
        <f>HYPERLINK("https://github.com/ThatCraws/MrX/issues/3","show")</f>
        <v>show</v>
      </c>
      <c r="E7180" t="str">
        <f>HYPERLINK("https://github.com/ThatCraws/MrX","show")</f>
        <v>show</v>
      </c>
      <c r="F7180" t="str">
        <f>HYPERLINK("https://github.com/ThatCraws/MrX/releases","show")</f>
        <v>show</v>
      </c>
    </row>
    <row r="7181" spans="1:6">
      <c r="A7181" t="s">
        <v>21326</v>
      </c>
      <c r="B7181" t="s">
        <v>21327</v>
      </c>
      <c r="C7181" t="s">
        <v>21328</v>
      </c>
      <c r="D7181" t="str">
        <f>HYPERLINK("https://github.com/barbeau/gpstest/issues/439","show")</f>
        <v>show</v>
      </c>
      <c r="E7181" t="str">
        <f>HYPERLINK("https://github.com/barbeau/gpstest","show")</f>
        <v>show</v>
      </c>
      <c r="F7181" t="str">
        <f>HYPERLINK("https://github.com/barbeau/gpstest/releases","show")</f>
        <v>show</v>
      </c>
    </row>
    <row r="7182" spans="1:6">
      <c r="A7182" t="s">
        <v>21329</v>
      </c>
      <c r="B7182" t="s">
        <v>21330</v>
      </c>
      <c r="C7182" t="s">
        <v>21331</v>
      </c>
      <c r="D7182" t="str">
        <f>HYPERLINK("https://github.com/deltachat/deltachat-android/issues/1633","show")</f>
        <v>show</v>
      </c>
      <c r="E7182" t="str">
        <f>HYPERLINK("https://github.com/deltachat/deltachat-android","show")</f>
        <v>show</v>
      </c>
      <c r="F7182" t="str">
        <f>HYPERLINK("https://github.com/deltachat/deltachat-android/releases","show")</f>
        <v>show</v>
      </c>
    </row>
    <row r="7183" spans="1:6">
      <c r="A7183" t="s">
        <v>21332</v>
      </c>
      <c r="B7183" t="s">
        <v>21333</v>
      </c>
      <c r="C7183" t="s">
        <v>21334</v>
      </c>
      <c r="D7183" t="str">
        <f>HYPERLINK("https://github.com/geosolutions-it/smb-android/issues/121","show")</f>
        <v>show</v>
      </c>
      <c r="E7183" t="str">
        <f>HYPERLINK("https://github.com/geosolutions-it/smb-android","show")</f>
        <v>show</v>
      </c>
      <c r="F7183" t="str">
        <f>HYPERLINK("https://github.com/geosolutions-it/smb-android/releases","show")</f>
        <v>show</v>
      </c>
    </row>
    <row r="7184" spans="1:6">
      <c r="A7184" t="s">
        <v>21335</v>
      </c>
      <c r="B7184" t="s">
        <v>21336</v>
      </c>
      <c r="C7184" t="s">
        <v>21337</v>
      </c>
      <c r="D7184" t="str">
        <f>HYPERLINK("https://github.com/getodk/collect/issues/4119","show")</f>
        <v>show</v>
      </c>
      <c r="E7184" t="str">
        <f>HYPERLINK("https://github.com/getodk/collect","show")</f>
        <v>show</v>
      </c>
      <c r="F7184" t="str">
        <f>HYPERLINK("https://github.com/getodk/collect/releases","show")</f>
        <v>show</v>
      </c>
    </row>
    <row r="7185" spans="1:6">
      <c r="A7185" t="s">
        <v>21338</v>
      </c>
      <c r="B7185" t="s">
        <v>21339</v>
      </c>
      <c r="C7185" t="s">
        <v>21340</v>
      </c>
      <c r="D7185" t="str">
        <f>HYPERLINK("https://github.com/Anuken/Mindustry/issues/2721","show")</f>
        <v>show</v>
      </c>
      <c r="E7185" t="str">
        <f t="shared" ref="E7185:E7190" si="34">HYPERLINK("https://github.com/Anuken/Mindustry","show")</f>
        <v>show</v>
      </c>
      <c r="F7185" t="str">
        <f t="shared" ref="F7185:F7190" si="35">HYPERLINK("https://github.com/Anuken/Mindustry/releases","show")</f>
        <v>show</v>
      </c>
    </row>
    <row r="7186" spans="1:6">
      <c r="A7186" t="s">
        <v>21341</v>
      </c>
      <c r="B7186" t="s">
        <v>21342</v>
      </c>
      <c r="C7186" t="s">
        <v>21343</v>
      </c>
      <c r="D7186" t="str">
        <f>HYPERLINK("https://github.com/Anuken/Mindustry/issues/2717","show")</f>
        <v>show</v>
      </c>
      <c r="E7186" t="str">
        <f t="shared" si="34"/>
        <v>show</v>
      </c>
      <c r="F7186" t="str">
        <f t="shared" si="35"/>
        <v>show</v>
      </c>
    </row>
    <row r="7187" spans="1:6">
      <c r="A7187" t="s">
        <v>21344</v>
      </c>
      <c r="B7187" t="s">
        <v>21345</v>
      </c>
      <c r="C7187" t="s">
        <v>21346</v>
      </c>
      <c r="D7187" t="str">
        <f>HYPERLINK("https://github.com/Anuken/Mindustry/issues/2709","show")</f>
        <v>show</v>
      </c>
      <c r="E7187" t="str">
        <f t="shared" si="34"/>
        <v>show</v>
      </c>
      <c r="F7187" t="str">
        <f t="shared" si="35"/>
        <v>show</v>
      </c>
    </row>
    <row r="7188" spans="1:6">
      <c r="A7188" t="s">
        <v>21347</v>
      </c>
      <c r="B7188" t="s">
        <v>21348</v>
      </c>
      <c r="C7188" t="s">
        <v>21349</v>
      </c>
      <c r="D7188" t="str">
        <f>HYPERLINK("https://github.com/Anuken/Mindustry/issues/2706","show")</f>
        <v>show</v>
      </c>
      <c r="E7188" t="str">
        <f t="shared" si="34"/>
        <v>show</v>
      </c>
      <c r="F7188" t="str">
        <f t="shared" si="35"/>
        <v>show</v>
      </c>
    </row>
    <row r="7189" spans="1:6">
      <c r="A7189" t="s">
        <v>21350</v>
      </c>
      <c r="B7189" t="s">
        <v>21351</v>
      </c>
      <c r="C7189" t="s">
        <v>21352</v>
      </c>
      <c r="D7189" t="str">
        <f>HYPERLINK("https://github.com/Anuken/Mindustry/issues/2703","show")</f>
        <v>show</v>
      </c>
      <c r="E7189" t="str">
        <f t="shared" si="34"/>
        <v>show</v>
      </c>
      <c r="F7189" t="str">
        <f t="shared" si="35"/>
        <v>show</v>
      </c>
    </row>
    <row r="7190" spans="1:6">
      <c r="A7190" t="s">
        <v>21353</v>
      </c>
      <c r="B7190" t="s">
        <v>21354</v>
      </c>
      <c r="C7190" t="s">
        <v>21355</v>
      </c>
      <c r="D7190" t="str">
        <f>HYPERLINK("https://github.com/Anuken/Mindustry/issues/2700","show")</f>
        <v>show</v>
      </c>
      <c r="E7190" t="str">
        <f t="shared" si="34"/>
        <v>show</v>
      </c>
      <c r="F7190" t="str">
        <f t="shared" si="35"/>
        <v>show</v>
      </c>
    </row>
    <row r="7191" spans="1:6">
      <c r="A7191" t="s">
        <v>21356</v>
      </c>
      <c r="B7191" t="s">
        <v>21357</v>
      </c>
      <c r="C7191" t="s">
        <v>21358</v>
      </c>
      <c r="D7191" t="str">
        <f>HYPERLINK("https://github.com/MozillaReality/FirefoxReality/issues/3890","show")</f>
        <v>show</v>
      </c>
      <c r="E7191" t="str">
        <f>HYPERLINK("https://github.com/MozillaReality/FirefoxReality","show")</f>
        <v>show</v>
      </c>
      <c r="F7191" t="str">
        <f>HYPERLINK("https://github.com/MozillaReality/FirefoxReality/releases","show")</f>
        <v>show</v>
      </c>
    </row>
    <row r="7192" spans="1:6">
      <c r="A7192" t="s">
        <v>21359</v>
      </c>
      <c r="B7192" t="s">
        <v>21360</v>
      </c>
      <c r="C7192" t="s">
        <v>21361</v>
      </c>
      <c r="D7192" t="str">
        <f>HYPERLINK("https://github.com/Anuken/Mindustry/issues/2695","show")</f>
        <v>show</v>
      </c>
      <c r="E7192" t="str">
        <f>HYPERLINK("https://github.com/Anuken/Mindustry","show")</f>
        <v>show</v>
      </c>
      <c r="F7192" t="str">
        <f>HYPERLINK("https://github.com/Anuken/Mindustry/releases","show")</f>
        <v>show</v>
      </c>
    </row>
    <row r="7193" spans="1:6">
      <c r="A7193" t="s">
        <v>21362</v>
      </c>
      <c r="B7193" t="s">
        <v>21363</v>
      </c>
      <c r="C7193" t="s">
        <v>21364</v>
      </c>
      <c r="D7193" t="str">
        <f>HYPERLINK("https://github.com/AlphaWallet/alpha-wallet-android/issues/1616","show")</f>
        <v>show</v>
      </c>
      <c r="E7193" t="str">
        <f>HYPERLINK("https://github.com/AlphaWallet/alpha-wallet-android","show")</f>
        <v>show</v>
      </c>
      <c r="F7193" t="str">
        <f>HYPERLINK("https://github.com/AlphaWallet/alpha-wallet-android/releases","show")</f>
        <v>show</v>
      </c>
    </row>
    <row r="7194" spans="1:6">
      <c r="A7194" t="s">
        <v>21365</v>
      </c>
      <c r="B7194" t="s">
        <v>21366</v>
      </c>
      <c r="C7194" t="s">
        <v>21367</v>
      </c>
      <c r="D7194" t="str">
        <f>HYPERLINK("https://github.com/Anuken/Mindustry/issues/2690","show")</f>
        <v>show</v>
      </c>
      <c r="E7194" t="str">
        <f>HYPERLINK("https://github.com/Anuken/Mindustry","show")</f>
        <v>show</v>
      </c>
      <c r="F7194" t="str">
        <f>HYPERLINK("https://github.com/Anuken/Mindustry/releases","show")</f>
        <v>show</v>
      </c>
    </row>
    <row r="7195" spans="1:6">
      <c r="A7195" t="s">
        <v>21368</v>
      </c>
      <c r="B7195" t="s">
        <v>21369</v>
      </c>
      <c r="C7195" t="s">
        <v>21370</v>
      </c>
      <c r="D7195" t="str">
        <f>HYPERLINK("https://github.com/Anuken/Mindustry/issues/2689","show")</f>
        <v>show</v>
      </c>
      <c r="E7195" t="str">
        <f>HYPERLINK("https://github.com/Anuken/Mindustry","show")</f>
        <v>show</v>
      </c>
      <c r="F7195" t="str">
        <f>HYPERLINK("https://github.com/Anuken/Mindustry/releases","show")</f>
        <v>show</v>
      </c>
    </row>
    <row r="7196" spans="1:6">
      <c r="A7196" t="s">
        <v>21371</v>
      </c>
      <c r="B7196" t="s">
        <v>21372</v>
      </c>
      <c r="C7196" t="s">
        <v>21373</v>
      </c>
      <c r="D7196" t="str">
        <f>HYPERLINK("https://github.com/Anuken/Mindustry/issues/2688","show")</f>
        <v>show</v>
      </c>
      <c r="E7196" t="str">
        <f>HYPERLINK("https://github.com/Anuken/Mindustry","show")</f>
        <v>show</v>
      </c>
      <c r="F7196" t="str">
        <f>HYPERLINK("https://github.com/Anuken/Mindustry/releases","show")</f>
        <v>show</v>
      </c>
    </row>
    <row r="7197" spans="1:6">
      <c r="A7197" t="s">
        <v>21374</v>
      </c>
      <c r="B7197" t="s">
        <v>21375</v>
      </c>
      <c r="C7197" t="s">
        <v>21376</v>
      </c>
      <c r="D7197" t="str">
        <f>HYPERLINK("https://github.com/cgeo/cgeo/issues/9048","show")</f>
        <v>show</v>
      </c>
      <c r="E7197" t="str">
        <f>HYPERLINK("https://github.com/cgeo/cgeo","show")</f>
        <v>show</v>
      </c>
      <c r="F7197" t="str">
        <f>HYPERLINK("https://github.com/cgeo/cgeo/releases","show")</f>
        <v>show</v>
      </c>
    </row>
    <row r="7198" spans="1:6">
      <c r="A7198" t="s">
        <v>21377</v>
      </c>
      <c r="B7198" t="s">
        <v>21378</v>
      </c>
      <c r="C7198" t="s">
        <v>21379</v>
      </c>
      <c r="D7198" t="str">
        <f>HYPERLINK("https://github.com/inaturalist/iNaturalistAndroid/issues/912","show")</f>
        <v>show</v>
      </c>
      <c r="E7198" t="str">
        <f>HYPERLINK("https://github.com/inaturalist/iNaturalistAndroid","show")</f>
        <v>show</v>
      </c>
      <c r="F7198" t="str">
        <f>HYPERLINK("https://github.com/inaturalist/iNaturalistAndroid/releases","show")</f>
        <v>show</v>
      </c>
    </row>
    <row r="7199" spans="1:6">
      <c r="A7199" t="s">
        <v>21380</v>
      </c>
      <c r="B7199" t="s">
        <v>21381</v>
      </c>
      <c r="C7199" t="s">
        <v>21382</v>
      </c>
      <c r="D7199" t="str">
        <f>HYPERLINK("https://github.com/Anuken/Mindustry/issues/2682","show")</f>
        <v>show</v>
      </c>
      <c r="E7199" t="str">
        <f>HYPERLINK("https://github.com/Anuken/Mindustry","show")</f>
        <v>show</v>
      </c>
      <c r="F7199" t="str">
        <f>HYPERLINK("https://github.com/Anuken/Mindustry/releases","show")</f>
        <v>show</v>
      </c>
    </row>
    <row r="7200" spans="1:6">
      <c r="A7200" t="s">
        <v>21383</v>
      </c>
      <c r="B7200" t="s">
        <v>21384</v>
      </c>
      <c r="C7200" t="s">
        <v>21385</v>
      </c>
      <c r="D7200" t="str">
        <f>HYPERLINK("https://github.com/Anuken/Mindustry/issues/2681","show")</f>
        <v>show</v>
      </c>
      <c r="E7200" t="str">
        <f>HYPERLINK("https://github.com/Anuken/Mindustry","show")</f>
        <v>show</v>
      </c>
      <c r="F7200" t="str">
        <f>HYPERLINK("https://github.com/Anuken/Mindustry/releases","show")</f>
        <v>show</v>
      </c>
    </row>
    <row r="7201" spans="1:6">
      <c r="A7201" t="s">
        <v>21386</v>
      </c>
      <c r="B7201" t="s">
        <v>21387</v>
      </c>
      <c r="C7201" t="s">
        <v>21388</v>
      </c>
      <c r="D7201" t="str">
        <f>HYPERLINK("https://github.com/borconi/WifiLauncherforHUR/issues/5","show")</f>
        <v>show</v>
      </c>
      <c r="E7201" t="str">
        <f>HYPERLINK("https://github.com/borconi/WifiLauncherforHUR","show")</f>
        <v>show</v>
      </c>
      <c r="F7201" t="str">
        <f>HYPERLINK("https://github.com/borconi/WifiLauncherforHUR/releases","show")</f>
        <v>show</v>
      </c>
    </row>
    <row r="7202" spans="1:6">
      <c r="A7202" t="s">
        <v>21389</v>
      </c>
      <c r="B7202" t="s">
        <v>21390</v>
      </c>
      <c r="C7202" t="s">
        <v>21391</v>
      </c>
      <c r="D7202" t="str">
        <f>HYPERLINK("https://github.com/google/ExoPlayer/issues/7977","show")</f>
        <v>show</v>
      </c>
      <c r="E7202" t="str">
        <f>HYPERLINK("https://github.com/google/ExoPlayer","show")</f>
        <v>show</v>
      </c>
      <c r="F7202" t="str">
        <f>HYPERLINK("https://github.com/google/ExoPlayer/releases","show")</f>
        <v>show</v>
      </c>
    </row>
    <row r="7203" spans="1:6">
      <c r="A7203" t="s">
        <v>21392</v>
      </c>
      <c r="B7203" t="s">
        <v>21393</v>
      </c>
      <c r="C7203" t="s">
        <v>21394</v>
      </c>
      <c r="D7203" t="str">
        <f>HYPERLINK("https://github.com/nextcloud/android/issues/6998","show")</f>
        <v>show</v>
      </c>
      <c r="E7203" t="str">
        <f>HYPERLINK("https://github.com/nextcloud/android","show")</f>
        <v>show</v>
      </c>
      <c r="F7203" t="str">
        <f>HYPERLINK("https://github.com/nextcloud/android/releases","show")</f>
        <v>show</v>
      </c>
    </row>
    <row r="7204" spans="1:6">
      <c r="A7204" t="s">
        <v>21395</v>
      </c>
      <c r="B7204" t="s">
        <v>21396</v>
      </c>
      <c r="C7204" t="s">
        <v>21397</v>
      </c>
      <c r="D7204" t="str">
        <f>HYPERLINK("https://github.com/Anuken/Mindustry/issues/2676","show")</f>
        <v>show</v>
      </c>
      <c r="E7204" t="str">
        <f>HYPERLINK("https://github.com/Anuken/Mindustry","show")</f>
        <v>show</v>
      </c>
      <c r="F7204" t="str">
        <f>HYPERLINK("https://github.com/Anuken/Mindustry/releases","show")</f>
        <v>show</v>
      </c>
    </row>
    <row r="7205" spans="1:6">
      <c r="A7205" t="s">
        <v>21398</v>
      </c>
      <c r="B7205" t="s">
        <v>21399</v>
      </c>
      <c r="C7205" t="s">
        <v>21400</v>
      </c>
      <c r="D7205" t="str">
        <f>HYPERLINK("https://github.com/material-components/material-components-android/issues/1748","show")</f>
        <v>show</v>
      </c>
      <c r="E7205" t="str">
        <f>HYPERLINK("https://github.com/material-components/material-components-android","show")</f>
        <v>show</v>
      </c>
      <c r="F7205" t="str">
        <f>HYPERLINK("https://github.com/material-components/material-components-android/releases","show")</f>
        <v>show</v>
      </c>
    </row>
    <row r="7206" spans="1:6">
      <c r="A7206" t="s">
        <v>21401</v>
      </c>
      <c r="B7206" t="s">
        <v>21402</v>
      </c>
      <c r="C7206" t="s">
        <v>21403</v>
      </c>
      <c r="D7206" t="str">
        <f>HYPERLINK("https://github.com/masavoyat/MicStream/issues/7","show")</f>
        <v>show</v>
      </c>
      <c r="E7206" t="str">
        <f>HYPERLINK("https://github.com/masavoyat/MicStream","show")</f>
        <v>show</v>
      </c>
      <c r="F7206" t="str">
        <f>HYPERLINK("https://github.com/masavoyat/MicStream/releases","show")</f>
        <v>show</v>
      </c>
    </row>
    <row r="7207" spans="1:6">
      <c r="A7207" t="s">
        <v>21404</v>
      </c>
      <c r="B7207" t="s">
        <v>21405</v>
      </c>
      <c r="C7207" t="s">
        <v>21406</v>
      </c>
      <c r="D7207" t="str">
        <f>HYPERLINK("https://github.com/Anuken/Mindustry/issues/2674","show")</f>
        <v>show</v>
      </c>
      <c r="E7207" t="str">
        <f>HYPERLINK("https://github.com/Anuken/Mindustry","show")</f>
        <v>show</v>
      </c>
      <c r="F7207" t="str">
        <f>HYPERLINK("https://github.com/Anuken/Mindustry/releases","show")</f>
        <v>show</v>
      </c>
    </row>
    <row r="7208" spans="1:6">
      <c r="A7208" t="s">
        <v>21407</v>
      </c>
      <c r="B7208" t="s">
        <v>21408</v>
      </c>
      <c r="C7208" t="s">
        <v>21409</v>
      </c>
      <c r="D7208" t="str">
        <f>HYPERLINK("https://github.com/salesforce/reactive-grpc/issues/226","show")</f>
        <v>show</v>
      </c>
      <c r="E7208" t="str">
        <f>HYPERLINK("https://github.com/salesforce/reactive-grpc","show")</f>
        <v>show</v>
      </c>
      <c r="F7208" t="str">
        <f>HYPERLINK("https://github.com/salesforce/reactive-grpc/releases","show")</f>
        <v>show</v>
      </c>
    </row>
    <row r="7209" spans="1:6">
      <c r="A7209" t="s">
        <v>21410</v>
      </c>
      <c r="B7209" t="s">
        <v>21411</v>
      </c>
      <c r="C7209" t="s">
        <v>21412</v>
      </c>
      <c r="D7209" t="str">
        <f>HYPERLINK("https://github.com/goldhelixus/clint_board/issues/13","show")</f>
        <v>show</v>
      </c>
      <c r="E7209" t="str">
        <f>HYPERLINK("https://github.com/goldhelixus/clint_board","show")</f>
        <v>show</v>
      </c>
      <c r="F7209" t="str">
        <f>HYPERLINK("https://github.com/goldhelixus/clint_board/releases","show")</f>
        <v>show</v>
      </c>
    </row>
    <row r="7210" spans="1:6">
      <c r="A7210" t="s">
        <v>21413</v>
      </c>
      <c r="B7210" t="s">
        <v>21414</v>
      </c>
      <c r="C7210" t="s">
        <v>21415</v>
      </c>
      <c r="D7210" t="str">
        <f>HYPERLINK("https://github.com/Anuken/Mindustry/issues/2672","show")</f>
        <v>show</v>
      </c>
      <c r="E7210" t="str">
        <f>HYPERLINK("https://github.com/Anuken/Mindustry","show")</f>
        <v>show</v>
      </c>
      <c r="F7210" t="str">
        <f>HYPERLINK("https://github.com/Anuken/Mindustry/releases","show")</f>
        <v>show</v>
      </c>
    </row>
    <row r="7211" spans="1:6">
      <c r="A7211" t="s">
        <v>21416</v>
      </c>
      <c r="B7211" t="s">
        <v>21417</v>
      </c>
      <c r="C7211" t="s">
        <v>21418</v>
      </c>
      <c r="D7211" t="str">
        <f>HYPERLINK("https://github.com/nikita36078/J2ME-Loader/issues/735","show")</f>
        <v>show</v>
      </c>
      <c r="E7211" t="str">
        <f>HYPERLINK("https://github.com/nikita36078/J2ME-Loader","show")</f>
        <v>show</v>
      </c>
      <c r="F7211" t="str">
        <f>HYPERLINK("https://github.com/nikita36078/J2ME-Loader/releases","show")</f>
        <v>show</v>
      </c>
    </row>
    <row r="7212" spans="1:6">
      <c r="A7212" t="s">
        <v>21419</v>
      </c>
      <c r="B7212" t="s">
        <v>21420</v>
      </c>
      <c r="C7212" t="s">
        <v>21421</v>
      </c>
      <c r="D7212" t="str">
        <f>HYPERLINK("https://github.com/Anuken/Mindustry/issues/2667","show")</f>
        <v>show</v>
      </c>
      <c r="E7212" t="str">
        <f t="shared" ref="E7212:E7219" si="36">HYPERLINK("https://github.com/Anuken/Mindustry","show")</f>
        <v>show</v>
      </c>
      <c r="F7212" t="str">
        <f t="shared" ref="F7212:F7219" si="37">HYPERLINK("https://github.com/Anuken/Mindustry/releases","show")</f>
        <v>show</v>
      </c>
    </row>
    <row r="7213" spans="1:6">
      <c r="A7213" t="s">
        <v>21422</v>
      </c>
      <c r="B7213" t="s">
        <v>21423</v>
      </c>
      <c r="C7213" t="s">
        <v>21424</v>
      </c>
      <c r="D7213" t="str">
        <f>HYPERLINK("https://github.com/Anuken/Mindustry/issues/2663","show")</f>
        <v>show</v>
      </c>
      <c r="E7213" t="str">
        <f t="shared" si="36"/>
        <v>show</v>
      </c>
      <c r="F7213" t="str">
        <f t="shared" si="37"/>
        <v>show</v>
      </c>
    </row>
    <row r="7214" spans="1:6">
      <c r="A7214" t="s">
        <v>21425</v>
      </c>
      <c r="B7214" t="s">
        <v>21426</v>
      </c>
      <c r="C7214" t="s">
        <v>21427</v>
      </c>
      <c r="D7214" t="str">
        <f>HYPERLINK("https://github.com/Anuken/Mindustry/issues/2662","show")</f>
        <v>show</v>
      </c>
      <c r="E7214" t="str">
        <f t="shared" si="36"/>
        <v>show</v>
      </c>
      <c r="F7214" t="str">
        <f t="shared" si="37"/>
        <v>show</v>
      </c>
    </row>
    <row r="7215" spans="1:6">
      <c r="A7215" t="s">
        <v>21428</v>
      </c>
      <c r="B7215" t="s">
        <v>21429</v>
      </c>
      <c r="C7215" t="s">
        <v>21430</v>
      </c>
      <c r="D7215" t="str">
        <f>HYPERLINK("https://github.com/Anuken/Mindustry/issues/2661","show")</f>
        <v>show</v>
      </c>
      <c r="E7215" t="str">
        <f t="shared" si="36"/>
        <v>show</v>
      </c>
      <c r="F7215" t="str">
        <f t="shared" si="37"/>
        <v>show</v>
      </c>
    </row>
    <row r="7216" spans="1:6">
      <c r="A7216" t="s">
        <v>21431</v>
      </c>
      <c r="B7216" t="s">
        <v>21432</v>
      </c>
      <c r="C7216" t="s">
        <v>21433</v>
      </c>
      <c r="D7216" t="str">
        <f>HYPERLINK("https://github.com/Anuken/Mindustry/issues/2659","show")</f>
        <v>show</v>
      </c>
      <c r="E7216" t="str">
        <f t="shared" si="36"/>
        <v>show</v>
      </c>
      <c r="F7216" t="str">
        <f t="shared" si="37"/>
        <v>show</v>
      </c>
    </row>
    <row r="7217" spans="1:6">
      <c r="A7217" t="s">
        <v>21434</v>
      </c>
      <c r="B7217" t="s">
        <v>21435</v>
      </c>
      <c r="C7217" t="s">
        <v>21436</v>
      </c>
      <c r="D7217" t="str">
        <f>HYPERLINK("https://github.com/Anuken/Mindustry/issues/2657","show")</f>
        <v>show</v>
      </c>
      <c r="E7217" t="str">
        <f t="shared" si="36"/>
        <v>show</v>
      </c>
      <c r="F7217" t="str">
        <f t="shared" si="37"/>
        <v>show</v>
      </c>
    </row>
    <row r="7218" spans="1:6">
      <c r="A7218" t="s">
        <v>21437</v>
      </c>
      <c r="B7218" t="s">
        <v>21438</v>
      </c>
      <c r="C7218" t="s">
        <v>21439</v>
      </c>
      <c r="D7218" t="str">
        <f>HYPERLINK("https://github.com/Anuken/Mindustry/issues/2656","show")</f>
        <v>show</v>
      </c>
      <c r="E7218" t="str">
        <f t="shared" si="36"/>
        <v>show</v>
      </c>
      <c r="F7218" t="str">
        <f t="shared" si="37"/>
        <v>show</v>
      </c>
    </row>
    <row r="7219" spans="1:6">
      <c r="A7219" t="s">
        <v>21440</v>
      </c>
      <c r="B7219" t="s">
        <v>21441</v>
      </c>
      <c r="C7219" t="s">
        <v>21442</v>
      </c>
      <c r="D7219" t="str">
        <f>HYPERLINK("https://github.com/Anuken/Mindustry/issues/2654","show")</f>
        <v>show</v>
      </c>
      <c r="E7219" t="str">
        <f t="shared" si="36"/>
        <v>show</v>
      </c>
      <c r="F7219" t="str">
        <f t="shared" si="37"/>
        <v>show</v>
      </c>
    </row>
    <row r="7220" spans="1:6">
      <c r="A7220" t="s">
        <v>21443</v>
      </c>
      <c r="B7220" t="s">
        <v>21444</v>
      </c>
      <c r="C7220" t="s">
        <v>21445</v>
      </c>
      <c r="D7220" t="str">
        <f>HYPERLINK("https://github.com/nextcloud/android/issues/6988","show")</f>
        <v>show</v>
      </c>
      <c r="E7220" t="str">
        <f>HYPERLINK("https://github.com/nextcloud/android","show")</f>
        <v>show</v>
      </c>
      <c r="F7220" t="str">
        <f>HYPERLINK("https://github.com/nextcloud/android/releases","show")</f>
        <v>show</v>
      </c>
    </row>
    <row r="7221" spans="1:6">
      <c r="A7221" t="s">
        <v>21446</v>
      </c>
      <c r="B7221" t="s">
        <v>21447</v>
      </c>
      <c r="C7221" t="s">
        <v>21448</v>
      </c>
      <c r="D7221" t="str">
        <f>HYPERLINK("https://github.com/Anuken/Mindustry/issues/2651","show")</f>
        <v>show</v>
      </c>
      <c r="E7221" t="str">
        <f>HYPERLINK("https://github.com/Anuken/Mindustry","show")</f>
        <v>show</v>
      </c>
      <c r="F7221" t="str">
        <f>HYPERLINK("https://github.com/Anuken/Mindustry/releases","show")</f>
        <v>show</v>
      </c>
    </row>
    <row r="7222" spans="1:6">
      <c r="A7222" t="s">
        <v>21449</v>
      </c>
      <c r="B7222" t="s">
        <v>6843</v>
      </c>
      <c r="C7222" t="s">
        <v>21450</v>
      </c>
      <c r="D7222" t="str">
        <f>HYPERLINK("https://github.com/TeamNewPipe/NewPipe/issues/4307","show")</f>
        <v>show</v>
      </c>
      <c r="E7222" t="str">
        <f>HYPERLINK("https://github.com/TeamNewPipe/NewPipe","show")</f>
        <v>show</v>
      </c>
      <c r="F7222" t="str">
        <f>HYPERLINK("https://github.com/TeamNewPipe/NewPipe/releases","show")</f>
        <v>show</v>
      </c>
    </row>
    <row r="7223" spans="1:6">
      <c r="A7223" t="s">
        <v>21451</v>
      </c>
      <c r="B7223" t="s">
        <v>21452</v>
      </c>
      <c r="C7223" t="s">
        <v>21453</v>
      </c>
      <c r="D7223" t="str">
        <f>HYPERLINK("https://github.com/aws-amplify/amplify-android/issues/851","show")</f>
        <v>show</v>
      </c>
      <c r="E7223" t="str">
        <f>HYPERLINK("https://github.com/aws-amplify/amplify-android","show")</f>
        <v>show</v>
      </c>
      <c r="F7223" t="str">
        <f>HYPERLINK("https://github.com/aws-amplify/amplify-android/releases","show")</f>
        <v>show</v>
      </c>
    </row>
    <row r="7224" spans="1:6">
      <c r="A7224" t="s">
        <v>21454</v>
      </c>
      <c r="B7224" t="s">
        <v>16581</v>
      </c>
      <c r="C7224" t="s">
        <v>21455</v>
      </c>
      <c r="D7224" t="str">
        <f>HYPERLINK("https://github.com/inaturalist/iNaturalistAndroid/issues/910","show")</f>
        <v>show</v>
      </c>
      <c r="E7224" t="str">
        <f>HYPERLINK("https://github.com/inaturalist/iNaturalistAndroid","show")</f>
        <v>show</v>
      </c>
      <c r="F7224" t="str">
        <f>HYPERLINK("https://github.com/inaturalist/iNaturalistAndroid/releases","show")</f>
        <v>show</v>
      </c>
    </row>
    <row r="7225" spans="1:6">
      <c r="A7225" t="s">
        <v>21456</v>
      </c>
      <c r="B7225" t="s">
        <v>21457</v>
      </c>
      <c r="C7225" t="s">
        <v>21458</v>
      </c>
      <c r="D7225" t="str">
        <f>HYPERLINK("https://github.com/TeamNewPipe/NewPipe/issues/4304","show")</f>
        <v>show</v>
      </c>
      <c r="E7225" t="str">
        <f>HYPERLINK("https://github.com/TeamNewPipe/NewPipe","show")</f>
        <v>show</v>
      </c>
      <c r="F7225" t="str">
        <f>HYPERLINK("https://github.com/TeamNewPipe/NewPipe/releases","show")</f>
        <v>show</v>
      </c>
    </row>
    <row r="7226" spans="1:6">
      <c r="A7226" t="s">
        <v>21459</v>
      </c>
      <c r="B7226" t="s">
        <v>21460</v>
      </c>
      <c r="C7226" t="s">
        <v>21461</v>
      </c>
      <c r="D7226" t="str">
        <f>HYPERLINK("https://github.com/Anuken/Mindustry/issues/2644","show")</f>
        <v>show</v>
      </c>
      <c r="E7226" t="str">
        <f>HYPERLINK("https://github.com/Anuken/Mindustry","show")</f>
        <v>show</v>
      </c>
      <c r="F7226" t="str">
        <f>HYPERLINK("https://github.com/Anuken/Mindustry/releases","show")</f>
        <v>show</v>
      </c>
    </row>
    <row r="7227" spans="1:6">
      <c r="A7227" t="s">
        <v>21462</v>
      </c>
      <c r="B7227" t="s">
        <v>21463</v>
      </c>
      <c r="C7227" t="s">
        <v>21464</v>
      </c>
      <c r="D7227" t="str">
        <f>HYPERLINK("https://github.com/android/tv-samples/issues/37","show")</f>
        <v>show</v>
      </c>
      <c r="E7227" t="str">
        <f>HYPERLINK("https://github.com/android/tv-samples","show")</f>
        <v>show</v>
      </c>
      <c r="F7227" t="str">
        <f>HYPERLINK("https://github.com/android/tv-samples/releases","show")</f>
        <v>show</v>
      </c>
    </row>
    <row r="7228" spans="1:6">
      <c r="A7228" t="s">
        <v>21465</v>
      </c>
      <c r="B7228" t="s">
        <v>21466</v>
      </c>
      <c r="C7228" t="s">
        <v>21467</v>
      </c>
      <c r="D7228" t="str">
        <f>HYPERLINK("https://github.com/onaio/rdt-standard/issues/524","show")</f>
        <v>show</v>
      </c>
      <c r="E7228" t="str">
        <f>HYPERLINK("https://github.com/onaio/rdt-standard","show")</f>
        <v>show</v>
      </c>
      <c r="F7228" t="str">
        <f>HYPERLINK("https://github.com/onaio/rdt-standard/releases","show")</f>
        <v>show</v>
      </c>
    </row>
    <row r="7229" spans="1:6">
      <c r="A7229" t="s">
        <v>21468</v>
      </c>
      <c r="B7229" t="s">
        <v>21469</v>
      </c>
      <c r="C7229" t="s">
        <v>21470</v>
      </c>
      <c r="D7229" t="str">
        <f>HYPERLINK("https://github.com/akvo/akvo-flow-mobile/issues/1717","show")</f>
        <v>show</v>
      </c>
      <c r="E7229" t="str">
        <f>HYPERLINK("https://github.com/akvo/akvo-flow-mobile","show")</f>
        <v>show</v>
      </c>
      <c r="F7229" t="str">
        <f>HYPERLINK("https://github.com/akvo/akvo-flow-mobile/releases","show")</f>
        <v>show</v>
      </c>
    </row>
    <row r="7230" spans="1:6">
      <c r="A7230" t="s">
        <v>21471</v>
      </c>
      <c r="B7230" t="s">
        <v>21472</v>
      </c>
      <c r="C7230" t="s">
        <v>21473</v>
      </c>
      <c r="D7230" t="str">
        <f>HYPERLINK("https://github.com/nextcloud/android/issues/6977","show")</f>
        <v>show</v>
      </c>
      <c r="E7230" t="str">
        <f>HYPERLINK("https://github.com/nextcloud/android","show")</f>
        <v>show</v>
      </c>
      <c r="F7230" t="str">
        <f>HYPERLINK("https://github.com/nextcloud/android/releases","show")</f>
        <v>show</v>
      </c>
    </row>
    <row r="7231" spans="1:6">
      <c r="A7231" t="s">
        <v>21474</v>
      </c>
      <c r="B7231" t="s">
        <v>21475</v>
      </c>
      <c r="C7231" t="s">
        <v>21476</v>
      </c>
      <c r="D7231" t="str">
        <f>HYPERLINK("https://github.com/nextcloud/android/issues/6975","show")</f>
        <v>show</v>
      </c>
      <c r="E7231" t="str">
        <f>HYPERLINK("https://github.com/nextcloud/android","show")</f>
        <v>show</v>
      </c>
      <c r="F7231" t="str">
        <f>HYPERLINK("https://github.com/nextcloud/android/releases","show")</f>
        <v>show</v>
      </c>
    </row>
    <row r="7232" spans="1:6">
      <c r="A7232" t="s">
        <v>21477</v>
      </c>
      <c r="B7232" t="s">
        <v>21478</v>
      </c>
      <c r="C7232" t="s">
        <v>21479</v>
      </c>
      <c r="D7232" t="str">
        <f>HYPERLINK("https://github.com/swapnil1104/PassCodeText/issues/17","show")</f>
        <v>show</v>
      </c>
      <c r="E7232" t="str">
        <f>HYPERLINK("https://github.com/swapnil1104/PassCodeText","show")</f>
        <v>show</v>
      </c>
      <c r="F7232" t="str">
        <f>HYPERLINK("https://github.com/swapnil1104/PassCodeText/releases","show")</f>
        <v>show</v>
      </c>
    </row>
    <row r="7233" spans="1:6">
      <c r="A7233" t="s">
        <v>21480</v>
      </c>
      <c r="B7233" t="s">
        <v>21481</v>
      </c>
      <c r="C7233" t="s">
        <v>21482</v>
      </c>
      <c r="D7233" t="str">
        <f>HYPERLINK("https://github.com/Tornaco/Thanox/issues/170","show")</f>
        <v>show</v>
      </c>
      <c r="E7233" t="str">
        <f>HYPERLINK("https://github.com/Tornaco/Thanox","show")</f>
        <v>show</v>
      </c>
      <c r="F7233" t="str">
        <f>HYPERLINK("https://github.com/Tornaco/Thanox/releases","show")</f>
        <v>show</v>
      </c>
    </row>
    <row r="7234" spans="1:6">
      <c r="A7234" t="s">
        <v>21483</v>
      </c>
      <c r="B7234" t="s">
        <v>21484</v>
      </c>
      <c r="C7234" t="s">
        <v>21485</v>
      </c>
      <c r="D7234" t="str">
        <f>HYPERLINK("https://github.com/doublesymmetry/react-native-track-player/issues/1033","show")</f>
        <v>show</v>
      </c>
      <c r="E7234" t="str">
        <f>HYPERLINK("https://github.com/doublesymmetry/react-native-track-player","show")</f>
        <v>show</v>
      </c>
      <c r="F7234" t="str">
        <f>HYPERLINK("https://github.com/doublesymmetry/react-native-track-player/releases","show")</f>
        <v>show</v>
      </c>
    </row>
    <row r="7235" spans="1:6">
      <c r="A7235" t="s">
        <v>21486</v>
      </c>
      <c r="B7235" t="s">
        <v>21487</v>
      </c>
      <c r="C7235" t="s">
        <v>21488</v>
      </c>
      <c r="D7235" t="str">
        <f>HYPERLINK("https://github.com/Anuken/Mindustry/issues/2625","show")</f>
        <v>show</v>
      </c>
      <c r="E7235" t="str">
        <f>HYPERLINK("https://github.com/Anuken/Mindustry","show")</f>
        <v>show</v>
      </c>
      <c r="F7235" t="str">
        <f>HYPERLINK("https://github.com/Anuken/Mindustry/releases","show")</f>
        <v>show</v>
      </c>
    </row>
    <row r="7236" spans="1:6">
      <c r="A7236" t="s">
        <v>21489</v>
      </c>
      <c r="B7236" t="s">
        <v>21490</v>
      </c>
      <c r="C7236" t="s">
        <v>21491</v>
      </c>
      <c r="D7236" t="str">
        <f>HYPERLINK("https://github.com/Tornaco/Thanox/issues/169","show")</f>
        <v>show</v>
      </c>
      <c r="E7236" t="str">
        <f>HYPERLINK("https://github.com/Tornaco/Thanox","show")</f>
        <v>show</v>
      </c>
      <c r="F7236" t="str">
        <f>HYPERLINK("https://github.com/Tornaco/Thanox/releases","show")</f>
        <v>show</v>
      </c>
    </row>
    <row r="7237" spans="1:6">
      <c r="A7237" t="s">
        <v>21492</v>
      </c>
      <c r="B7237" t="s">
        <v>21493</v>
      </c>
      <c r="C7237" t="s">
        <v>21494</v>
      </c>
      <c r="D7237" t="str">
        <f>HYPERLINK("https://github.com/nextcloud/android/issues/6972","show")</f>
        <v>show</v>
      </c>
      <c r="E7237" t="str">
        <f>HYPERLINK("https://github.com/nextcloud/android","show")</f>
        <v>show</v>
      </c>
      <c r="F7237" t="str">
        <f>HYPERLINK("https://github.com/nextcloud/android/releases","show")</f>
        <v>show</v>
      </c>
    </row>
    <row r="7238" spans="1:6">
      <c r="A7238" t="s">
        <v>21495</v>
      </c>
      <c r="B7238" t="s">
        <v>21496</v>
      </c>
      <c r="C7238" t="s">
        <v>21497</v>
      </c>
      <c r="D7238" t="str">
        <f>HYPERLINK("https://github.com/Anuken/Mindustry/issues/2620","show")</f>
        <v>show</v>
      </c>
      <c r="E7238" t="str">
        <f>HYPERLINK("https://github.com/Anuken/Mindustry","show")</f>
        <v>show</v>
      </c>
      <c r="F7238" t="str">
        <f>HYPERLINK("https://github.com/Anuken/Mindustry/releases","show")</f>
        <v>show</v>
      </c>
    </row>
    <row r="7239" spans="1:6">
      <c r="A7239" t="s">
        <v>21498</v>
      </c>
      <c r="B7239" t="s">
        <v>21499</v>
      </c>
      <c r="C7239" t="s">
        <v>21500</v>
      </c>
      <c r="D7239" t="str">
        <f>HYPERLINK("https://github.com/TeamNewPipe/NewPipe/issues/4295","show")</f>
        <v>show</v>
      </c>
      <c r="E7239" t="str">
        <f>HYPERLINK("https://github.com/TeamNewPipe/NewPipe","show")</f>
        <v>show</v>
      </c>
      <c r="F7239" t="str">
        <f>HYPERLINK("https://github.com/TeamNewPipe/NewPipe/releases","show")</f>
        <v>show</v>
      </c>
    </row>
    <row r="7240" spans="1:6">
      <c r="A7240" t="s">
        <v>21501</v>
      </c>
      <c r="B7240" t="s">
        <v>21502</v>
      </c>
      <c r="C7240" t="s">
        <v>21503</v>
      </c>
      <c r="D7240" t="str">
        <f>HYPERLINK("https://github.com/Anuken/Mindustry/issues/2619","show")</f>
        <v>show</v>
      </c>
      <c r="E7240" t="str">
        <f>HYPERLINK("https://github.com/Anuken/Mindustry","show")</f>
        <v>show</v>
      </c>
      <c r="F7240" t="str">
        <f>HYPERLINK("https://github.com/Anuken/Mindustry/releases","show")</f>
        <v>show</v>
      </c>
    </row>
    <row r="7241" spans="1:6">
      <c r="A7241" t="s">
        <v>21504</v>
      </c>
      <c r="B7241" t="s">
        <v>21505</v>
      </c>
      <c r="C7241" t="s">
        <v>21506</v>
      </c>
      <c r="D7241" t="str">
        <f>HYPERLINK("https://github.com/TeamNewPipe/NewPipe/issues/4294","show")</f>
        <v>show</v>
      </c>
      <c r="E7241" t="str">
        <f>HYPERLINK("https://github.com/TeamNewPipe/NewPipe","show")</f>
        <v>show</v>
      </c>
      <c r="F7241" t="str">
        <f>HYPERLINK("https://github.com/TeamNewPipe/NewPipe/releases","show")</f>
        <v>show</v>
      </c>
    </row>
    <row r="7242" spans="1:6">
      <c r="A7242" t="s">
        <v>21507</v>
      </c>
      <c r="B7242" t="s">
        <v>21508</v>
      </c>
      <c r="C7242" t="s">
        <v>21509</v>
      </c>
      <c r="D7242" t="str">
        <f>HYPERLINK("https://github.com/TeamNewPipe/NewPipe/issues/4293","show")</f>
        <v>show</v>
      </c>
      <c r="E7242" t="str">
        <f>HYPERLINK("https://github.com/TeamNewPipe/NewPipe","show")</f>
        <v>show</v>
      </c>
      <c r="F7242" t="str">
        <f>HYPERLINK("https://github.com/TeamNewPipe/NewPipe/releases","show")</f>
        <v>show</v>
      </c>
    </row>
    <row r="7243" spans="1:6">
      <c r="A7243" t="s">
        <v>21510</v>
      </c>
      <c r="B7243" t="s">
        <v>21511</v>
      </c>
      <c r="C7243" t="s">
        <v>21512</v>
      </c>
      <c r="D7243" t="str">
        <f>HYPERLINK("https://github.com/TeamNewPipe/NewPipe/issues/4292","show")</f>
        <v>show</v>
      </c>
      <c r="E7243" t="str">
        <f>HYPERLINK("https://github.com/TeamNewPipe/NewPipe","show")</f>
        <v>show</v>
      </c>
      <c r="F7243" t="str">
        <f>HYPERLINK("https://github.com/TeamNewPipe/NewPipe/releases","show")</f>
        <v>show</v>
      </c>
    </row>
    <row r="7244" spans="1:6">
      <c r="A7244" t="s">
        <v>21513</v>
      </c>
      <c r="B7244" t="s">
        <v>21514</v>
      </c>
      <c r="C7244" t="s">
        <v>21515</v>
      </c>
      <c r="D7244" t="str">
        <f>HYPERLINK("https://github.com/Anuken/Mindustry/issues/2613","show")</f>
        <v>show</v>
      </c>
      <c r="E7244" t="str">
        <f>HYPERLINK("https://github.com/Anuken/Mindustry","show")</f>
        <v>show</v>
      </c>
      <c r="F7244" t="str">
        <f>HYPERLINK("https://github.com/Anuken/Mindustry/releases","show")</f>
        <v>show</v>
      </c>
    </row>
    <row r="7245" spans="1:6">
      <c r="A7245" t="s">
        <v>21516</v>
      </c>
      <c r="B7245" t="s">
        <v>21517</v>
      </c>
      <c r="C7245" t="s">
        <v>21518</v>
      </c>
      <c r="D7245" t="str">
        <f>HYPERLINK("https://github.com/Anuken/Mindustry/issues/2606","show")</f>
        <v>show</v>
      </c>
      <c r="E7245" t="str">
        <f>HYPERLINK("https://github.com/Anuken/Mindustry","show")</f>
        <v>show</v>
      </c>
      <c r="F7245" t="str">
        <f>HYPERLINK("https://github.com/Anuken/Mindustry/releases","show")</f>
        <v>show</v>
      </c>
    </row>
    <row r="7246" spans="1:6">
      <c r="A7246" t="s">
        <v>21519</v>
      </c>
      <c r="B7246" t="s">
        <v>21520</v>
      </c>
      <c r="C7246" t="s">
        <v>21521</v>
      </c>
      <c r="D7246" t="str">
        <f>HYPERLINK("https://github.com/Anuken/Mindustry/issues/2604","show")</f>
        <v>show</v>
      </c>
      <c r="E7246" t="str">
        <f>HYPERLINK("https://github.com/Anuken/Mindustry","show")</f>
        <v>show</v>
      </c>
      <c r="F7246" t="str">
        <f>HYPERLINK("https://github.com/Anuken/Mindustry/releases","show")</f>
        <v>show</v>
      </c>
    </row>
    <row r="7247" spans="1:6">
      <c r="A7247" t="s">
        <v>21522</v>
      </c>
      <c r="B7247" t="s">
        <v>21523</v>
      </c>
      <c r="C7247" t="s">
        <v>21524</v>
      </c>
      <c r="D7247" t="str">
        <f>HYPERLINK("https://github.com/doublesymmetry/react-native-track-player/issues/1031","show")</f>
        <v>show</v>
      </c>
      <c r="E7247" t="str">
        <f>HYPERLINK("https://github.com/doublesymmetry/react-native-track-player","show")</f>
        <v>show</v>
      </c>
      <c r="F7247" t="str">
        <f>HYPERLINK("https://github.com/doublesymmetry/react-native-track-player/releases","show")</f>
        <v>show</v>
      </c>
    </row>
    <row r="7248" spans="1:6">
      <c r="A7248" t="s">
        <v>21525</v>
      </c>
      <c r="B7248" t="s">
        <v>21526</v>
      </c>
      <c r="C7248" t="s">
        <v>21527</v>
      </c>
      <c r="D7248" t="str">
        <f>HYPERLINK("https://github.com/Anuken/Mindustry/issues/2598","show")</f>
        <v>show</v>
      </c>
      <c r="E7248" t="str">
        <f t="shared" ref="E7248:E7254" si="38">HYPERLINK("https://github.com/Anuken/Mindustry","show")</f>
        <v>show</v>
      </c>
      <c r="F7248" t="str">
        <f t="shared" ref="F7248:F7254" si="39">HYPERLINK("https://github.com/Anuken/Mindustry/releases","show")</f>
        <v>show</v>
      </c>
    </row>
    <row r="7249" spans="1:6">
      <c r="A7249" t="s">
        <v>21528</v>
      </c>
      <c r="B7249" t="s">
        <v>21529</v>
      </c>
      <c r="C7249" t="s">
        <v>21530</v>
      </c>
      <c r="D7249" t="str">
        <f>HYPERLINK("https://github.com/Anuken/Mindustry/issues/2597","show")</f>
        <v>show</v>
      </c>
      <c r="E7249" t="str">
        <f t="shared" si="38"/>
        <v>show</v>
      </c>
      <c r="F7249" t="str">
        <f t="shared" si="39"/>
        <v>show</v>
      </c>
    </row>
    <row r="7250" spans="1:6">
      <c r="A7250" t="s">
        <v>21531</v>
      </c>
      <c r="B7250" t="s">
        <v>21532</v>
      </c>
      <c r="C7250" t="s">
        <v>21533</v>
      </c>
      <c r="D7250" t="str">
        <f>HYPERLINK("https://github.com/Anuken/Mindustry/issues/2593","show")</f>
        <v>show</v>
      </c>
      <c r="E7250" t="str">
        <f t="shared" si="38"/>
        <v>show</v>
      </c>
      <c r="F7250" t="str">
        <f t="shared" si="39"/>
        <v>show</v>
      </c>
    </row>
    <row r="7251" spans="1:6">
      <c r="A7251" t="s">
        <v>21534</v>
      </c>
      <c r="B7251" t="s">
        <v>21535</v>
      </c>
      <c r="C7251" t="s">
        <v>21536</v>
      </c>
      <c r="D7251" t="str">
        <f>HYPERLINK("https://github.com/Anuken/Mindustry/issues/2590","show")</f>
        <v>show</v>
      </c>
      <c r="E7251" t="str">
        <f t="shared" si="38"/>
        <v>show</v>
      </c>
      <c r="F7251" t="str">
        <f t="shared" si="39"/>
        <v>show</v>
      </c>
    </row>
    <row r="7252" spans="1:6">
      <c r="A7252" t="s">
        <v>21537</v>
      </c>
      <c r="B7252" t="s">
        <v>21538</v>
      </c>
      <c r="C7252" t="s">
        <v>21539</v>
      </c>
      <c r="D7252" t="str">
        <f>HYPERLINK("https://github.com/Anuken/Mindustry/issues/2588","show")</f>
        <v>show</v>
      </c>
      <c r="E7252" t="str">
        <f t="shared" si="38"/>
        <v>show</v>
      </c>
      <c r="F7252" t="str">
        <f t="shared" si="39"/>
        <v>show</v>
      </c>
    </row>
    <row r="7253" spans="1:6">
      <c r="A7253" t="s">
        <v>21540</v>
      </c>
      <c r="B7253" t="s">
        <v>21541</v>
      </c>
      <c r="C7253" t="s">
        <v>21542</v>
      </c>
      <c r="D7253" t="str">
        <f>HYPERLINK("https://github.com/Anuken/Mindustry/issues/2587","show")</f>
        <v>show</v>
      </c>
      <c r="E7253" t="str">
        <f t="shared" si="38"/>
        <v>show</v>
      </c>
      <c r="F7253" t="str">
        <f t="shared" si="39"/>
        <v>show</v>
      </c>
    </row>
    <row r="7254" spans="1:6">
      <c r="A7254" t="s">
        <v>21543</v>
      </c>
      <c r="B7254" t="s">
        <v>21544</v>
      </c>
      <c r="C7254" t="s">
        <v>21545</v>
      </c>
      <c r="D7254" t="str">
        <f>HYPERLINK("https://github.com/Anuken/Mindustry/issues/2585","show")</f>
        <v>show</v>
      </c>
      <c r="E7254" t="str">
        <f t="shared" si="38"/>
        <v>show</v>
      </c>
      <c r="F7254" t="str">
        <f t="shared" si="39"/>
        <v>show</v>
      </c>
    </row>
    <row r="7255" spans="1:6">
      <c r="A7255" t="s">
        <v>21546</v>
      </c>
      <c r="B7255" t="s">
        <v>21547</v>
      </c>
      <c r="C7255" t="s">
        <v>21548</v>
      </c>
      <c r="D7255" t="str">
        <f>HYPERLINK("https://github.com/mgsx-dev/gdx-gltf/issues/27","show")</f>
        <v>show</v>
      </c>
      <c r="E7255" t="str">
        <f>HYPERLINK("https://github.com/mgsx-dev/gdx-gltf","show")</f>
        <v>show</v>
      </c>
      <c r="F7255" t="str">
        <f>HYPERLINK("https://github.com/mgsx-dev/gdx-gltf/releases","show")</f>
        <v>show</v>
      </c>
    </row>
    <row r="7256" spans="1:6">
      <c r="A7256" t="s">
        <v>21549</v>
      </c>
      <c r="B7256" t="s">
        <v>21550</v>
      </c>
      <c r="C7256" t="s">
        <v>21551</v>
      </c>
      <c r="D7256" t="str">
        <f>HYPERLINK("https://github.com/mgsx-dev/gdx-gltf/issues/26","show")</f>
        <v>show</v>
      </c>
      <c r="E7256" t="str">
        <f>HYPERLINK("https://github.com/mgsx-dev/gdx-gltf","show")</f>
        <v>show</v>
      </c>
      <c r="F7256" t="str">
        <f>HYPERLINK("https://github.com/mgsx-dev/gdx-gltf/releases","show")</f>
        <v>show</v>
      </c>
    </row>
    <row r="7257" spans="1:6">
      <c r="A7257" t="s">
        <v>21552</v>
      </c>
      <c r="B7257" t="s">
        <v>11018</v>
      </c>
      <c r="C7257" t="s">
        <v>21553</v>
      </c>
      <c r="D7257" t="str">
        <f>HYPERLINK("https://github.com/inaturalist/iNaturalistAndroid/issues/908","show")</f>
        <v>show</v>
      </c>
      <c r="E7257" t="str">
        <f>HYPERLINK("https://github.com/inaturalist/iNaturalistAndroid","show")</f>
        <v>show</v>
      </c>
      <c r="F7257" t="str">
        <f>HYPERLINK("https://github.com/inaturalist/iNaturalistAndroid/releases","show")</f>
        <v>show</v>
      </c>
    </row>
    <row r="7258" spans="1:6">
      <c r="A7258" t="s">
        <v>21554</v>
      </c>
      <c r="B7258" t="s">
        <v>21555</v>
      </c>
      <c r="C7258" t="s">
        <v>21556</v>
      </c>
      <c r="D7258" t="str">
        <f>HYPERLINK("https://github.com/inaturalist/iNaturalistAndroid/issues/907","show")</f>
        <v>show</v>
      </c>
      <c r="E7258" t="str">
        <f>HYPERLINK("https://github.com/inaturalist/iNaturalistAndroid","show")</f>
        <v>show</v>
      </c>
      <c r="F7258" t="str">
        <f>HYPERLINK("https://github.com/inaturalist/iNaturalistAndroid/releases","show")</f>
        <v>show</v>
      </c>
    </row>
    <row r="7259" spans="1:6">
      <c r="A7259" t="s">
        <v>21557</v>
      </c>
      <c r="B7259" t="s">
        <v>21558</v>
      </c>
      <c r="C7259" t="s">
        <v>21559</v>
      </c>
      <c r="D7259" t="str">
        <f>HYPERLINK("https://github.com/saluf/android-kakikana/issues/5","show")</f>
        <v>show</v>
      </c>
      <c r="E7259" t="str">
        <f>HYPERLINK("https://github.com/saluf/android-kakikana","show")</f>
        <v>show</v>
      </c>
      <c r="F7259" t="str">
        <f>HYPERLINK("https://github.com/saluf/android-kakikana/releases","show")</f>
        <v>show</v>
      </c>
    </row>
    <row r="7260" spans="1:6">
      <c r="A7260" t="s">
        <v>21560</v>
      </c>
      <c r="B7260" t="s">
        <v>21561</v>
      </c>
      <c r="C7260" t="s">
        <v>21562</v>
      </c>
      <c r="D7260" t="str">
        <f>HYPERLINK("https://github.com/Anuken/Mindustry/issues/2574","show")</f>
        <v>show</v>
      </c>
      <c r="E7260" t="str">
        <f>HYPERLINK("https://github.com/Anuken/Mindustry","show")</f>
        <v>show</v>
      </c>
      <c r="F7260" t="str">
        <f>HYPERLINK("https://github.com/Anuken/Mindustry/releases","show")</f>
        <v>show</v>
      </c>
    </row>
    <row r="7261" spans="1:6">
      <c r="A7261" t="s">
        <v>21563</v>
      </c>
      <c r="B7261" t="s">
        <v>21564</v>
      </c>
      <c r="C7261" t="s">
        <v>21565</v>
      </c>
      <c r="D7261" t="str">
        <f>HYPERLINK("https://github.com/TeamNewPipe/NewPipe/issues/4286","show")</f>
        <v>show</v>
      </c>
      <c r="E7261" t="str">
        <f>HYPERLINK("https://github.com/TeamNewPipe/NewPipe","show")</f>
        <v>show</v>
      </c>
      <c r="F7261" t="str">
        <f>HYPERLINK("https://github.com/TeamNewPipe/NewPipe/releases","show")</f>
        <v>show</v>
      </c>
    </row>
    <row r="7262" spans="1:6">
      <c r="A7262" t="s">
        <v>21566</v>
      </c>
      <c r="B7262" t="s">
        <v>21567</v>
      </c>
      <c r="C7262" t="s">
        <v>21568</v>
      </c>
      <c r="D7262" t="str">
        <f>HYPERLINK("https://github.com/material-components/material-components-android/issues/1735","show")</f>
        <v>show</v>
      </c>
      <c r="E7262" t="str">
        <f>HYPERLINK("https://github.com/material-components/material-components-android","show")</f>
        <v>show</v>
      </c>
      <c r="F7262" t="str">
        <f>HYPERLINK("https://github.com/material-components/material-components-android/releases","show")</f>
        <v>show</v>
      </c>
    </row>
    <row r="7263" spans="1:6">
      <c r="A7263" t="s">
        <v>21569</v>
      </c>
      <c r="B7263" t="s">
        <v>21570</v>
      </c>
      <c r="C7263" t="s">
        <v>21571</v>
      </c>
      <c r="D7263" t="str">
        <f>HYPERLINK("https://github.com/Anuken/Mindustry/issues/2571","show")</f>
        <v>show</v>
      </c>
      <c r="E7263" t="str">
        <f>HYPERLINK("https://github.com/Anuken/Mindustry","show")</f>
        <v>show</v>
      </c>
      <c r="F7263" t="str">
        <f>HYPERLINK("https://github.com/Anuken/Mindustry/releases","show")</f>
        <v>show</v>
      </c>
    </row>
    <row r="7264" spans="1:6">
      <c r="A7264" t="s">
        <v>21572</v>
      </c>
      <c r="B7264" t="s">
        <v>21573</v>
      </c>
      <c r="C7264" t="s">
        <v>21574</v>
      </c>
      <c r="D7264" t="str">
        <f>HYPERLINK("https://github.com/aws-amplify/amplify-android/issues/840","show")</f>
        <v>show</v>
      </c>
      <c r="E7264" t="str">
        <f>HYPERLINK("https://github.com/aws-amplify/amplify-android","show")</f>
        <v>show</v>
      </c>
      <c r="F7264" t="str">
        <f>HYPERLINK("https://github.com/aws-amplify/amplify-android/releases","show")</f>
        <v>show</v>
      </c>
    </row>
    <row r="7265" spans="1:6">
      <c r="A7265" t="s">
        <v>21575</v>
      </c>
      <c r="B7265" t="s">
        <v>21576</v>
      </c>
      <c r="C7265" t="s">
        <v>21577</v>
      </c>
      <c r="D7265" t="str">
        <f>HYPERLINK("https://github.com/opensrp/opensrp-client-reveal/issues/1022","show")</f>
        <v>show</v>
      </c>
      <c r="E7265" t="str">
        <f>HYPERLINK("https://github.com/opensrp/opensrp-client-reveal","show")</f>
        <v>show</v>
      </c>
      <c r="F7265" t="str">
        <f>HYPERLINK("https://github.com/opensrp/opensrp-client-reveal/releases","show")</f>
        <v>show</v>
      </c>
    </row>
    <row r="7266" spans="1:6">
      <c r="A7266" t="s">
        <v>21578</v>
      </c>
      <c r="B7266" t="s">
        <v>21579</v>
      </c>
      <c r="C7266" t="s">
        <v>21580</v>
      </c>
      <c r="D7266" t="str">
        <f>HYPERLINK("https://github.com/nextcloud/android/issues/6966","show")</f>
        <v>show</v>
      </c>
      <c r="E7266" t="str">
        <f>HYPERLINK("https://github.com/nextcloud/android","show")</f>
        <v>show</v>
      </c>
      <c r="F7266" t="str">
        <f>HYPERLINK("https://github.com/nextcloud/android/releases","show")</f>
        <v>show</v>
      </c>
    </row>
    <row r="7267" spans="1:6">
      <c r="A7267" t="s">
        <v>21581</v>
      </c>
      <c r="B7267" t="s">
        <v>21582</v>
      </c>
      <c r="C7267" t="s">
        <v>21583</v>
      </c>
      <c r="D7267" t="str">
        <f>HYPERLINK("https://github.com/nextcloud/android/issues/6965","show")</f>
        <v>show</v>
      </c>
      <c r="E7267" t="str">
        <f>HYPERLINK("https://github.com/nextcloud/android","show")</f>
        <v>show</v>
      </c>
      <c r="F7267" t="str">
        <f>HYPERLINK("https://github.com/nextcloud/android/releases","show")</f>
        <v>show</v>
      </c>
    </row>
    <row r="7268" spans="1:6">
      <c r="A7268" t="s">
        <v>21584</v>
      </c>
      <c r="B7268" t="s">
        <v>21585</v>
      </c>
      <c r="C7268" t="s">
        <v>21586</v>
      </c>
      <c r="D7268" t="str">
        <f>HYPERLINK("https://github.com/inaturalist/iNaturalistAndroid/issues/906","show")</f>
        <v>show</v>
      </c>
      <c r="E7268" t="str">
        <f>HYPERLINK("https://github.com/inaturalist/iNaturalistAndroid","show")</f>
        <v>show</v>
      </c>
      <c r="F7268" t="str">
        <f>HYPERLINK("https://github.com/inaturalist/iNaturalistAndroid/releases","show")</f>
        <v>show</v>
      </c>
    </row>
    <row r="7269" spans="1:6">
      <c r="A7269" t="s">
        <v>21587</v>
      </c>
      <c r="B7269" t="s">
        <v>21588</v>
      </c>
      <c r="C7269" t="s">
        <v>21589</v>
      </c>
      <c r="D7269" t="str">
        <f>HYPERLINK("https://github.com/nextcloud/android/issues/6960","show")</f>
        <v>show</v>
      </c>
      <c r="E7269" t="str">
        <f>HYPERLINK("https://github.com/nextcloud/android","show")</f>
        <v>show</v>
      </c>
      <c r="F7269" t="str">
        <f>HYPERLINK("https://github.com/nextcloud/android/releases","show")</f>
        <v>show</v>
      </c>
    </row>
    <row r="7270" spans="1:6">
      <c r="A7270" t="s">
        <v>21590</v>
      </c>
      <c r="B7270" t="s">
        <v>21591</v>
      </c>
      <c r="C7270" t="s">
        <v>21592</v>
      </c>
      <c r="D7270" t="str">
        <f>HYPERLINK("https://github.com/microsoftgraph/msgraph-sdk-java/issues/472","show")</f>
        <v>show</v>
      </c>
      <c r="E7270" t="str">
        <f>HYPERLINK("https://github.com/microsoftgraph/msgraph-sdk-java","show")</f>
        <v>show</v>
      </c>
      <c r="F7270" t="str">
        <f>HYPERLINK("https://github.com/microsoftgraph/msgraph-sdk-java/releases","show")</f>
        <v>show</v>
      </c>
    </row>
    <row r="7271" spans="1:6">
      <c r="A7271" t="s">
        <v>21593</v>
      </c>
      <c r="B7271" t="s">
        <v>21594</v>
      </c>
      <c r="C7271" t="s">
        <v>21595</v>
      </c>
      <c r="D7271" t="str">
        <f>HYPERLINK("https://github.com/Anuken/Mindustry/issues/2555","show")</f>
        <v>show</v>
      </c>
      <c r="E7271" t="str">
        <f>HYPERLINK("https://github.com/Anuken/Mindustry","show")</f>
        <v>show</v>
      </c>
      <c r="F7271" t="str">
        <f>HYPERLINK("https://github.com/Anuken/Mindustry/releases","show")</f>
        <v>show</v>
      </c>
    </row>
    <row r="7272" spans="1:6">
      <c r="A7272" t="s">
        <v>21596</v>
      </c>
      <c r="B7272" t="s">
        <v>21597</v>
      </c>
      <c r="C7272" t="s">
        <v>21598</v>
      </c>
      <c r="D7272" t="str">
        <f>HYPERLINK("https://github.com/opensrp/opensrp-client-chw/issues/1344","show")</f>
        <v>show</v>
      </c>
      <c r="E7272" t="str">
        <f>HYPERLINK("https://github.com/opensrp/opensrp-client-chw","show")</f>
        <v>show</v>
      </c>
      <c r="F7272" t="str">
        <f>HYPERLINK("https://github.com/opensrp/opensrp-client-chw/releases","show")</f>
        <v>show</v>
      </c>
    </row>
    <row r="7273" spans="1:6">
      <c r="A7273" t="s">
        <v>21599</v>
      </c>
      <c r="B7273" t="s">
        <v>21600</v>
      </c>
      <c r="C7273" t="s">
        <v>21601</v>
      </c>
      <c r="D7273" t="str">
        <f>HYPERLINK("https://github.com/miguelpruivo/flutter_file_picker/issues/391","show")</f>
        <v>show</v>
      </c>
      <c r="E7273" t="str">
        <f>HYPERLINK("https://github.com/miguelpruivo/flutter_file_picker","show")</f>
        <v>show</v>
      </c>
      <c r="F7273" t="str">
        <f>HYPERLINK("https://github.com/miguelpruivo/flutter_file_picker/releases","show")</f>
        <v>show</v>
      </c>
    </row>
    <row r="7274" spans="1:6">
      <c r="A7274" t="s">
        <v>21602</v>
      </c>
      <c r="B7274" t="s">
        <v>21603</v>
      </c>
      <c r="C7274" t="s">
        <v>21604</v>
      </c>
      <c r="D7274" t="str">
        <f>HYPERLINK("https://github.com/Blankj/AndroidUtilCode/issues/1327","show")</f>
        <v>show</v>
      </c>
      <c r="E7274" t="str">
        <f>HYPERLINK("https://github.com/Blankj/AndroidUtilCode","show")</f>
        <v>show</v>
      </c>
      <c r="F7274" t="str">
        <f>HYPERLINK("https://github.com/Blankj/AndroidUtilCode/releases","show")</f>
        <v>show</v>
      </c>
    </row>
    <row r="7275" spans="1:6">
      <c r="A7275" t="s">
        <v>21605</v>
      </c>
      <c r="B7275" t="s">
        <v>11353</v>
      </c>
      <c r="C7275" t="s">
        <v>21606</v>
      </c>
      <c r="D7275" t="str">
        <f>HYPERLINK("https://github.com/nextcloud/android/issues/6953","show")</f>
        <v>show</v>
      </c>
      <c r="E7275" t="str">
        <f>HYPERLINK("https://github.com/nextcloud/android","show")</f>
        <v>show</v>
      </c>
      <c r="F7275" t="str">
        <f>HYPERLINK("https://github.com/nextcloud/android/releases","show")</f>
        <v>show</v>
      </c>
    </row>
    <row r="7276" spans="1:6">
      <c r="A7276" t="s">
        <v>21607</v>
      </c>
      <c r="B7276" t="s">
        <v>21608</v>
      </c>
      <c r="C7276" t="s">
        <v>21609</v>
      </c>
      <c r="D7276" t="str">
        <f>HYPERLINK("https://github.com/CsabaConsulting/ARPhysics/issues/9","show")</f>
        <v>show</v>
      </c>
      <c r="E7276" t="str">
        <f>HYPERLINK("https://github.com/CsabaConsulting/ARPhysics","show")</f>
        <v>show</v>
      </c>
      <c r="F7276" t="str">
        <f>HYPERLINK("https://github.com/CsabaConsulting/ARPhysics/releases","show")</f>
        <v>show</v>
      </c>
    </row>
    <row r="7277" spans="1:6">
      <c r="A7277" t="s">
        <v>21610</v>
      </c>
      <c r="B7277" t="s">
        <v>21611</v>
      </c>
      <c r="C7277" t="s">
        <v>21612</v>
      </c>
      <c r="D7277" t="str">
        <f>HYPERLINK("https://github.com/CsabaConsulting/ARPhysics/issues/8","show")</f>
        <v>show</v>
      </c>
      <c r="E7277" t="str">
        <f>HYPERLINK("https://github.com/CsabaConsulting/ARPhysics","show")</f>
        <v>show</v>
      </c>
      <c r="F7277" t="str">
        <f>HYPERLINK("https://github.com/CsabaConsulting/ARPhysics/releases","show")</f>
        <v>show</v>
      </c>
    </row>
    <row r="7278" spans="1:6">
      <c r="A7278" t="s">
        <v>21613</v>
      </c>
      <c r="B7278" t="s">
        <v>21614</v>
      </c>
      <c r="C7278" t="s">
        <v>21615</v>
      </c>
      <c r="D7278" t="str">
        <f>HYPERLINK("https://github.com/ThatCraws/MrX/issues/2","show")</f>
        <v>show</v>
      </c>
      <c r="E7278" t="str">
        <f>HYPERLINK("https://github.com/ThatCraws/MrX","show")</f>
        <v>show</v>
      </c>
      <c r="F7278" t="str">
        <f>HYPERLINK("https://github.com/ThatCraws/MrX/releases","show")</f>
        <v>show</v>
      </c>
    </row>
    <row r="7279" spans="1:6">
      <c r="A7279" t="s">
        <v>21616</v>
      </c>
      <c r="B7279" t="s">
        <v>21617</v>
      </c>
      <c r="C7279" t="s">
        <v>21618</v>
      </c>
      <c r="D7279" t="str">
        <f>HYPERLINK("https://github.com/Anuken/Mindustry/issues/2554","show")</f>
        <v>show</v>
      </c>
      <c r="E7279" t="str">
        <f>HYPERLINK("https://github.com/Anuken/Mindustry","show")</f>
        <v>show</v>
      </c>
      <c r="F7279" t="str">
        <f>HYPERLINK("https://github.com/Anuken/Mindustry/releases","show")</f>
        <v>show</v>
      </c>
    </row>
    <row r="7280" spans="1:6">
      <c r="A7280" t="s">
        <v>21619</v>
      </c>
      <c r="B7280" t="s">
        <v>8936</v>
      </c>
      <c r="C7280" t="s">
        <v>21620</v>
      </c>
      <c r="D7280" t="str">
        <f>HYPERLINK("https://github.com/Anuken/Mindustry/issues/2553","show")</f>
        <v>show</v>
      </c>
      <c r="E7280" t="str">
        <f>HYPERLINK("https://github.com/Anuken/Mindustry","show")</f>
        <v>show</v>
      </c>
      <c r="F7280" t="str">
        <f>HYPERLINK("https://github.com/Anuken/Mindustry/releases","show")</f>
        <v>show</v>
      </c>
    </row>
    <row r="7281" spans="1:6">
      <c r="A7281" t="s">
        <v>21621</v>
      </c>
      <c r="B7281" t="s">
        <v>21622</v>
      </c>
      <c r="C7281" t="s">
        <v>21623</v>
      </c>
      <c r="D7281" t="str">
        <f>HYPERLINK("https://github.com/TeamNewPipe/NewPipe/issues/4277","show")</f>
        <v>show</v>
      </c>
      <c r="E7281" t="str">
        <f>HYPERLINK("https://github.com/TeamNewPipe/NewPipe","show")</f>
        <v>show</v>
      </c>
      <c r="F7281" t="str">
        <f>HYPERLINK("https://github.com/TeamNewPipe/NewPipe/releases","show")</f>
        <v>show</v>
      </c>
    </row>
    <row r="7282" spans="1:6">
      <c r="A7282" t="s">
        <v>21624</v>
      </c>
      <c r="B7282" t="s">
        <v>21625</v>
      </c>
      <c r="C7282" t="s">
        <v>21626</v>
      </c>
      <c r="D7282" t="str">
        <f>HYPERLINK("https://github.com/opensrp/opensrp-client-chw/issues/1324","show")</f>
        <v>show</v>
      </c>
      <c r="E7282" t="str">
        <f>HYPERLINK("https://github.com/opensrp/opensrp-client-chw","show")</f>
        <v>show</v>
      </c>
      <c r="F7282" t="str">
        <f>HYPERLINK("https://github.com/opensrp/opensrp-client-chw/releases","show")</f>
        <v>show</v>
      </c>
    </row>
    <row r="7283" spans="1:6">
      <c r="A7283" t="s">
        <v>21627</v>
      </c>
      <c r="B7283" t="s">
        <v>21628</v>
      </c>
      <c r="C7283" t="s">
        <v>21629</v>
      </c>
      <c r="D7283" t="str">
        <f>HYPERLINK("https://github.com/Anuken/Mindustry/issues/2545","show")</f>
        <v>show</v>
      </c>
      <c r="E7283" t="str">
        <f>HYPERLINK("https://github.com/Anuken/Mindustry","show")</f>
        <v>show</v>
      </c>
      <c r="F7283" t="str">
        <f>HYPERLINK("https://github.com/Anuken/Mindustry/releases","show")</f>
        <v>show</v>
      </c>
    </row>
    <row r="7284" spans="1:6">
      <c r="A7284" t="s">
        <v>21630</v>
      </c>
      <c r="B7284" t="s">
        <v>21631</v>
      </c>
      <c r="C7284" t="s">
        <v>21632</v>
      </c>
      <c r="D7284" t="str">
        <f>HYPERLINK("https://github.com/Anuken/Mindustry/issues/2544","show")</f>
        <v>show</v>
      </c>
      <c r="E7284" t="str">
        <f>HYPERLINK("https://github.com/Anuken/Mindustry","show")</f>
        <v>show</v>
      </c>
      <c r="F7284" t="str">
        <f>HYPERLINK("https://github.com/Anuken/Mindustry/releases","show")</f>
        <v>show</v>
      </c>
    </row>
    <row r="7285" spans="1:6">
      <c r="A7285" t="s">
        <v>21633</v>
      </c>
      <c r="B7285" t="s">
        <v>21634</v>
      </c>
      <c r="C7285" t="s">
        <v>21635</v>
      </c>
      <c r="D7285" t="str">
        <f>HYPERLINK("https://github.com/opensrp/opensrp-client-reveal/issues/1013","show")</f>
        <v>show</v>
      </c>
      <c r="E7285" t="str">
        <f>HYPERLINK("https://github.com/opensrp/opensrp-client-reveal","show")</f>
        <v>show</v>
      </c>
      <c r="F7285" t="str">
        <f>HYPERLINK("https://github.com/opensrp/opensrp-client-reveal/releases","show")</f>
        <v>show</v>
      </c>
    </row>
    <row r="7286" spans="1:6">
      <c r="A7286" t="s">
        <v>21636</v>
      </c>
      <c r="B7286" t="s">
        <v>21637</v>
      </c>
      <c r="C7286" t="s">
        <v>21638</v>
      </c>
      <c r="D7286" t="str">
        <f>HYPERLINK("https://github.com/opensrp/opensrp-client-chw/issues/1323","show")</f>
        <v>show</v>
      </c>
      <c r="E7286" t="str">
        <f>HYPERLINK("https://github.com/opensrp/opensrp-client-chw","show")</f>
        <v>show</v>
      </c>
      <c r="F7286" t="str">
        <f>HYPERLINK("https://github.com/opensrp/opensrp-client-chw/releases","show")</f>
        <v>show</v>
      </c>
    </row>
    <row r="7287" spans="1:6">
      <c r="A7287" t="s">
        <v>21639</v>
      </c>
      <c r="B7287" t="s">
        <v>21640</v>
      </c>
      <c r="C7287" t="s">
        <v>21641</v>
      </c>
      <c r="D7287" t="str">
        <f>HYPERLINK("https://github.com/inaturalist/iNaturalistAndroid/issues/902","show")</f>
        <v>show</v>
      </c>
      <c r="E7287" t="str">
        <f>HYPERLINK("https://github.com/inaturalist/iNaturalistAndroid","show")</f>
        <v>show</v>
      </c>
      <c r="F7287" t="str">
        <f>HYPERLINK("https://github.com/inaturalist/iNaturalistAndroid/releases","show")</f>
        <v>show</v>
      </c>
    </row>
    <row r="7288" spans="1:6">
      <c r="A7288" t="s">
        <v>21642</v>
      </c>
      <c r="B7288" t="s">
        <v>12242</v>
      </c>
      <c r="C7288" t="s">
        <v>21643</v>
      </c>
      <c r="D7288" t="str">
        <f>HYPERLINK("https://github.com/inaturalist/iNaturalistAndroid/issues/901","show")</f>
        <v>show</v>
      </c>
      <c r="E7288" t="str">
        <f>HYPERLINK("https://github.com/inaturalist/iNaturalistAndroid","show")</f>
        <v>show</v>
      </c>
      <c r="F7288" t="str">
        <f>HYPERLINK("https://github.com/inaturalist/iNaturalistAndroid/releases","show")</f>
        <v>show</v>
      </c>
    </row>
    <row r="7289" spans="1:6">
      <c r="A7289" t="s">
        <v>21644</v>
      </c>
      <c r="B7289" t="s">
        <v>21645</v>
      </c>
      <c r="C7289" t="s">
        <v>21646</v>
      </c>
      <c r="D7289" t="str">
        <f>HYPERLINK("https://github.com/kike-canaries/canairio_android/issues/59","show")</f>
        <v>show</v>
      </c>
      <c r="E7289" t="str">
        <f>HYPERLINK("https://github.com/kike-canaries/canairio_android","show")</f>
        <v>show</v>
      </c>
      <c r="F7289" t="str">
        <f>HYPERLINK("https://github.com/kike-canaries/canairio_android/releases","show")</f>
        <v>show</v>
      </c>
    </row>
    <row r="7290" spans="1:6">
      <c r="A7290" t="s">
        <v>21647</v>
      </c>
      <c r="B7290" t="s">
        <v>21648</v>
      </c>
      <c r="C7290" t="s">
        <v>21649</v>
      </c>
      <c r="D7290" t="str">
        <f>HYPERLINK("https://github.com/TeamNewPipe/NewPipe/issues/4273","show")</f>
        <v>show</v>
      </c>
      <c r="E7290" t="str">
        <f>HYPERLINK("https://github.com/TeamNewPipe/NewPipe","show")</f>
        <v>show</v>
      </c>
      <c r="F7290" t="str">
        <f>HYPERLINK("https://github.com/TeamNewPipe/NewPipe/releases","show")</f>
        <v>show</v>
      </c>
    </row>
    <row r="7291" spans="1:6">
      <c r="A7291" t="s">
        <v>21650</v>
      </c>
      <c r="B7291" t="s">
        <v>21651</v>
      </c>
      <c r="C7291" t="s">
        <v>21652</v>
      </c>
      <c r="D7291" t="str">
        <f>HYPERLINK("https://github.com/ogarcia/opensudoku/issues/96","show")</f>
        <v>show</v>
      </c>
      <c r="E7291" t="str">
        <f>HYPERLINK("https://github.com/ogarcia/opensudoku","show")</f>
        <v>show</v>
      </c>
      <c r="F7291" t="str">
        <f>HYPERLINK("https://github.com/ogarcia/opensudoku/releases","show")</f>
        <v>show</v>
      </c>
    </row>
    <row r="7292" spans="1:6">
      <c r="A7292" t="s">
        <v>21653</v>
      </c>
      <c r="B7292" t="s">
        <v>21654</v>
      </c>
      <c r="C7292" t="s">
        <v>21655</v>
      </c>
      <c r="D7292" t="str">
        <f>HYPERLINK("https://github.com/defold/extension-gpgs/issues/25","show")</f>
        <v>show</v>
      </c>
      <c r="E7292" t="str">
        <f>HYPERLINK("https://github.com/defold/extension-gpgs","show")</f>
        <v>show</v>
      </c>
      <c r="F7292" t="str">
        <f>HYPERLINK("https://github.com/defold/extension-gpgs/releases","show")</f>
        <v>show</v>
      </c>
    </row>
    <row r="7293" spans="1:6">
      <c r="A7293" t="s">
        <v>21656</v>
      </c>
      <c r="B7293" t="s">
        <v>21657</v>
      </c>
      <c r="C7293" t="s">
        <v>21658</v>
      </c>
      <c r="D7293" t="str">
        <f>HYPERLINK("https://github.com/google/ExoPlayer/issues/7886","show")</f>
        <v>show</v>
      </c>
      <c r="E7293" t="str">
        <f>HYPERLINK("https://github.com/google/ExoPlayer","show")</f>
        <v>show</v>
      </c>
      <c r="F7293" t="str">
        <f>HYPERLINK("https://github.com/google/ExoPlayer/releases","show")</f>
        <v>show</v>
      </c>
    </row>
    <row r="7294" spans="1:6">
      <c r="A7294" t="s">
        <v>21659</v>
      </c>
      <c r="B7294" t="s">
        <v>1224</v>
      </c>
      <c r="C7294" t="s">
        <v>21660</v>
      </c>
      <c r="D7294" t="str">
        <f>HYPERLINK("https://github.com/Anuken/Mindustry/issues/2537","show")</f>
        <v>show</v>
      </c>
      <c r="E7294" t="str">
        <f>HYPERLINK("https://github.com/Anuken/Mindustry","show")</f>
        <v>show</v>
      </c>
      <c r="F7294" t="str">
        <f>HYPERLINK("https://github.com/Anuken/Mindustry/releases","show")</f>
        <v>show</v>
      </c>
    </row>
    <row r="7295" spans="1:6">
      <c r="A7295" t="s">
        <v>21661</v>
      </c>
      <c r="B7295" t="s">
        <v>21662</v>
      </c>
      <c r="C7295" t="s">
        <v>21663</v>
      </c>
      <c r="D7295" t="str">
        <f>HYPERLINK("https://github.com/Anuken/Mindustry/issues/2536","show")</f>
        <v>show</v>
      </c>
      <c r="E7295" t="str">
        <f>HYPERLINK("https://github.com/Anuken/Mindustry","show")</f>
        <v>show</v>
      </c>
      <c r="F7295" t="str">
        <f>HYPERLINK("https://github.com/Anuken/Mindustry/releases","show")</f>
        <v>show</v>
      </c>
    </row>
    <row r="7296" spans="1:6">
      <c r="A7296" t="s">
        <v>21664</v>
      </c>
      <c r="B7296" t="s">
        <v>21665</v>
      </c>
      <c r="C7296" t="s">
        <v>21666</v>
      </c>
      <c r="D7296" t="str">
        <f>HYPERLINK("https://github.com/TeamNewPipe/NewPipe/issues/4267","show")</f>
        <v>show</v>
      </c>
      <c r="E7296" t="str">
        <f>HYPERLINK("https://github.com/TeamNewPipe/NewPipe","show")</f>
        <v>show</v>
      </c>
      <c r="F7296" t="str">
        <f>HYPERLINK("https://github.com/TeamNewPipe/NewPipe/releases","show")</f>
        <v>show</v>
      </c>
    </row>
    <row r="7297" spans="1:6">
      <c r="A7297" t="s">
        <v>21667</v>
      </c>
      <c r="B7297" t="s">
        <v>21668</v>
      </c>
      <c r="C7297" t="s">
        <v>21669</v>
      </c>
      <c r="D7297" t="str">
        <f>HYPERLINK("https://github.com/Anuken/Mindustry/issues/2533","show")</f>
        <v>show</v>
      </c>
      <c r="E7297" t="str">
        <f>HYPERLINK("https://github.com/Anuken/Mindustry","show")</f>
        <v>show</v>
      </c>
      <c r="F7297" t="str">
        <f>HYPERLINK("https://github.com/Anuken/Mindustry/releases","show")</f>
        <v>show</v>
      </c>
    </row>
    <row r="7298" spans="1:6">
      <c r="A7298" t="s">
        <v>21670</v>
      </c>
      <c r="B7298" t="s">
        <v>21671</v>
      </c>
      <c r="C7298" t="s">
        <v>21669</v>
      </c>
      <c r="D7298" t="str">
        <f>HYPERLINK("https://github.com/Anuken/Mindustry/issues/2532","show")</f>
        <v>show</v>
      </c>
      <c r="E7298" t="str">
        <f>HYPERLINK("https://github.com/Anuken/Mindustry","show")</f>
        <v>show</v>
      </c>
      <c r="F7298" t="str">
        <f>HYPERLINK("https://github.com/Anuken/Mindustry/releases","show")</f>
        <v>show</v>
      </c>
    </row>
    <row r="7299" spans="1:6">
      <c r="A7299" t="s">
        <v>21672</v>
      </c>
      <c r="B7299" t="s">
        <v>21673</v>
      </c>
      <c r="C7299" t="s">
        <v>21674</v>
      </c>
      <c r="D7299" t="str">
        <f>HYPERLINK("https://github.com/cgeo/cgeo/issues/8983","show")</f>
        <v>show</v>
      </c>
      <c r="E7299" t="str">
        <f>HYPERLINK("https://github.com/cgeo/cgeo","show")</f>
        <v>show</v>
      </c>
      <c r="F7299" t="str">
        <f>HYPERLINK("https://github.com/cgeo/cgeo/releases","show")</f>
        <v>show</v>
      </c>
    </row>
    <row r="7300" spans="1:6">
      <c r="A7300" t="s">
        <v>21675</v>
      </c>
      <c r="B7300" t="s">
        <v>21676</v>
      </c>
      <c r="C7300" t="s">
        <v>21677</v>
      </c>
      <c r="D7300" t="str">
        <f>HYPERLINK("https://github.com/aws-amplify/amplify-android/issues/817","show")</f>
        <v>show</v>
      </c>
      <c r="E7300" t="str">
        <f>HYPERLINK("https://github.com/aws-amplify/amplify-android","show")</f>
        <v>show</v>
      </c>
      <c r="F7300" t="str">
        <f>HYPERLINK("https://github.com/aws-amplify/amplify-android/releases","show")</f>
        <v>show</v>
      </c>
    </row>
    <row r="7301" spans="1:6">
      <c r="A7301" t="s">
        <v>21678</v>
      </c>
      <c r="B7301" t="s">
        <v>21679</v>
      </c>
      <c r="C7301" t="s">
        <v>21680</v>
      </c>
      <c r="D7301" t="str">
        <f>HYPERLINK("https://github.com/nextcloud/android/issues/6930","show")</f>
        <v>show</v>
      </c>
      <c r="E7301" t="str">
        <f>HYPERLINK("https://github.com/nextcloud/android","show")</f>
        <v>show</v>
      </c>
      <c r="F7301" t="str">
        <f>HYPERLINK("https://github.com/nextcloud/android/releases","show")</f>
        <v>show</v>
      </c>
    </row>
    <row r="7302" spans="1:6">
      <c r="A7302" t="s">
        <v>21681</v>
      </c>
      <c r="B7302" t="s">
        <v>21682</v>
      </c>
      <c r="C7302" t="s">
        <v>21683</v>
      </c>
      <c r="D7302" t="str">
        <f>HYPERLINK("https://github.com/collinsmith/riiablo/issues/113","show")</f>
        <v>show</v>
      </c>
      <c r="E7302" t="str">
        <f>HYPERLINK("https://github.com/collinsmith/riiablo","show")</f>
        <v>show</v>
      </c>
      <c r="F7302" t="str">
        <f>HYPERLINK("https://github.com/collinsmith/riiablo/releases","show")</f>
        <v>show</v>
      </c>
    </row>
    <row r="7303" spans="1:6">
      <c r="A7303" t="s">
        <v>21684</v>
      </c>
      <c r="B7303" t="s">
        <v>21685</v>
      </c>
      <c r="C7303" t="s">
        <v>21686</v>
      </c>
      <c r="D7303" t="str">
        <f>HYPERLINK("https://github.com/TeamNewPipe/NewPipe/issues/4262","show")</f>
        <v>show</v>
      </c>
      <c r="E7303" t="str">
        <f>HYPERLINK("https://github.com/TeamNewPipe/NewPipe","show")</f>
        <v>show</v>
      </c>
      <c r="F7303" t="str">
        <f>HYPERLINK("https://github.com/TeamNewPipe/NewPipe/releases","show")</f>
        <v>show</v>
      </c>
    </row>
    <row r="7304" spans="1:6">
      <c r="A7304" t="s">
        <v>21687</v>
      </c>
      <c r="B7304" t="s">
        <v>21688</v>
      </c>
      <c r="C7304" t="s">
        <v>21689</v>
      </c>
      <c r="D7304" t="str">
        <f>HYPERLINK("https://github.com/TeamNewPipe/NewPipe/issues/4261","show")</f>
        <v>show</v>
      </c>
      <c r="E7304" t="str">
        <f>HYPERLINK("https://github.com/TeamNewPipe/NewPipe","show")</f>
        <v>show</v>
      </c>
      <c r="F7304" t="str">
        <f>HYPERLINK("https://github.com/TeamNewPipe/NewPipe/releases","show")</f>
        <v>show</v>
      </c>
    </row>
    <row r="7305" spans="1:6">
      <c r="A7305" t="s">
        <v>21690</v>
      </c>
      <c r="B7305" t="s">
        <v>21691</v>
      </c>
      <c r="C7305" t="s">
        <v>21692</v>
      </c>
      <c r="D7305" t="str">
        <f>HYPERLINK("https://github.com/Anuken/Mindustry/issues/2529","show")</f>
        <v>show</v>
      </c>
      <c r="E7305" t="str">
        <f>HYPERLINK("https://github.com/Anuken/Mindustry","show")</f>
        <v>show</v>
      </c>
      <c r="F7305" t="str">
        <f>HYPERLINK("https://github.com/Anuken/Mindustry/releases","show")</f>
        <v>show</v>
      </c>
    </row>
    <row r="7306" spans="1:6">
      <c r="A7306" t="s">
        <v>21693</v>
      </c>
      <c r="B7306" t="s">
        <v>21694</v>
      </c>
      <c r="C7306" t="s">
        <v>21695</v>
      </c>
      <c r="D7306" t="str">
        <f>HYPERLINK("https://github.com/Anuken/Mindustry/issues/2527","show")</f>
        <v>show</v>
      </c>
      <c r="E7306" t="str">
        <f>HYPERLINK("https://github.com/Anuken/Mindustry","show")</f>
        <v>show</v>
      </c>
      <c r="F7306" t="str">
        <f>HYPERLINK("https://github.com/Anuken/Mindustry/releases","show")</f>
        <v>show</v>
      </c>
    </row>
    <row r="7307" spans="1:6">
      <c r="A7307" t="s">
        <v>21696</v>
      </c>
      <c r="B7307" t="s">
        <v>21697</v>
      </c>
      <c r="C7307" t="s">
        <v>21698</v>
      </c>
      <c r="D7307" t="str">
        <f>HYPERLINK("https://github.com/getsentry/sentry-java/issues/904","show")</f>
        <v>show</v>
      </c>
      <c r="E7307" t="str">
        <f>HYPERLINK("https://github.com/getsentry/sentry-java","show")</f>
        <v>show</v>
      </c>
      <c r="F7307" t="str">
        <f>HYPERLINK("https://github.com/getsentry/sentry-java/releases","show")</f>
        <v>show</v>
      </c>
    </row>
    <row r="7308" spans="1:6">
      <c r="A7308" t="s">
        <v>21699</v>
      </c>
      <c r="B7308" t="s">
        <v>21700</v>
      </c>
      <c r="C7308" t="s">
        <v>21701</v>
      </c>
      <c r="D7308" t="str">
        <f>HYPERLINK("https://github.com/Anuken/Mindustry/issues/2526","show")</f>
        <v>show</v>
      </c>
      <c r="E7308" t="str">
        <f>HYPERLINK("https://github.com/Anuken/Mindustry","show")</f>
        <v>show</v>
      </c>
      <c r="F7308" t="str">
        <f>HYPERLINK("https://github.com/Anuken/Mindustry/releases","show")</f>
        <v>show</v>
      </c>
    </row>
    <row r="7309" spans="1:6">
      <c r="A7309" t="s">
        <v>21702</v>
      </c>
      <c r="B7309" t="s">
        <v>21703</v>
      </c>
      <c r="C7309" t="s">
        <v>21704</v>
      </c>
      <c r="D7309" t="str">
        <f>HYPERLINK("https://github.com/google/ExoPlayer/issues/7871","show")</f>
        <v>show</v>
      </c>
      <c r="E7309" t="str">
        <f>HYPERLINK("https://github.com/google/ExoPlayer","show")</f>
        <v>show</v>
      </c>
      <c r="F7309" t="str">
        <f>HYPERLINK("https://github.com/google/ExoPlayer/releases","show")</f>
        <v>show</v>
      </c>
    </row>
    <row r="7310" spans="1:6">
      <c r="A7310" t="s">
        <v>21705</v>
      </c>
      <c r="B7310" t="s">
        <v>21706</v>
      </c>
      <c r="C7310" t="s">
        <v>21707</v>
      </c>
      <c r="D7310" t="str">
        <f>HYPERLINK("https://github.com/SanojPunchihewa/InAppUpdater/issues/64","show")</f>
        <v>show</v>
      </c>
      <c r="E7310" t="str">
        <f>HYPERLINK("https://github.com/SanojPunchihewa/InAppUpdater","show")</f>
        <v>show</v>
      </c>
      <c r="F7310" t="str">
        <f>HYPERLINK("https://github.com/SanojPunchihewa/InAppUpdater/releases","show")</f>
        <v>show</v>
      </c>
    </row>
    <row r="7311" spans="1:6">
      <c r="A7311" t="s">
        <v>21708</v>
      </c>
      <c r="B7311" t="s">
        <v>21709</v>
      </c>
      <c r="C7311" t="s">
        <v>21710</v>
      </c>
      <c r="D7311" t="str">
        <f>HYPERLINK("https://github.com/cyclestreets/android/issues/436","show")</f>
        <v>show</v>
      </c>
      <c r="E7311" t="str">
        <f>HYPERLINK("https://github.com/cyclestreets/android","show")</f>
        <v>show</v>
      </c>
      <c r="F7311" t="str">
        <f>HYPERLINK("https://github.com/cyclestreets/android/releases","show")</f>
        <v>show</v>
      </c>
    </row>
    <row r="7312" spans="1:6">
      <c r="A7312" t="s">
        <v>21711</v>
      </c>
      <c r="B7312" t="s">
        <v>21712</v>
      </c>
      <c r="C7312" t="s">
        <v>21713</v>
      </c>
      <c r="D7312" t="str">
        <f>HYPERLINK("https://github.com/TeamNewPipe/NewPipe/issues/4250","show")</f>
        <v>show</v>
      </c>
      <c r="E7312" t="str">
        <f>HYPERLINK("https://github.com/TeamNewPipe/NewPipe","show")</f>
        <v>show</v>
      </c>
      <c r="F7312" t="str">
        <f>HYPERLINK("https://github.com/TeamNewPipe/NewPipe/releases","show")</f>
        <v>show</v>
      </c>
    </row>
    <row r="7313" spans="1:6">
      <c r="A7313" t="s">
        <v>21714</v>
      </c>
      <c r="B7313" t="s">
        <v>21715</v>
      </c>
      <c r="C7313" t="s">
        <v>21716</v>
      </c>
      <c r="D7313" t="str">
        <f>HYPERLINK("https://github.com/nextcloud/android/issues/6904","show")</f>
        <v>show</v>
      </c>
      <c r="E7313" t="str">
        <f>HYPERLINK("https://github.com/nextcloud/android","show")</f>
        <v>show</v>
      </c>
      <c r="F7313" t="str">
        <f>HYPERLINK("https://github.com/nextcloud/android/releases","show")</f>
        <v>show</v>
      </c>
    </row>
    <row r="7314" spans="1:6">
      <c r="A7314" t="s">
        <v>21717</v>
      </c>
      <c r="B7314" t="s">
        <v>21718</v>
      </c>
      <c r="C7314" t="s">
        <v>21719</v>
      </c>
      <c r="D7314" t="str">
        <f>HYPERLINK("https://github.com/Anuken/Mindustry/issues/2515","show")</f>
        <v>show</v>
      </c>
      <c r="E7314" t="str">
        <f>HYPERLINK("https://github.com/Anuken/Mindustry","show")</f>
        <v>show</v>
      </c>
      <c r="F7314" t="str">
        <f>HYPERLINK("https://github.com/Anuken/Mindustry/releases","show")</f>
        <v>show</v>
      </c>
    </row>
    <row r="7315" spans="1:6">
      <c r="A7315" t="s">
        <v>21720</v>
      </c>
      <c r="B7315" t="s">
        <v>21721</v>
      </c>
      <c r="C7315" t="s">
        <v>21722</v>
      </c>
      <c r="D7315" t="str">
        <f>HYPERLINK("https://github.com/TeamNewPipe/NewPipe/issues/4247","show")</f>
        <v>show</v>
      </c>
      <c r="E7315" t="str">
        <f>HYPERLINK("https://github.com/TeamNewPipe/NewPipe","show")</f>
        <v>show</v>
      </c>
      <c r="F7315" t="str">
        <f>HYPERLINK("https://github.com/TeamNewPipe/NewPipe/releases","show")</f>
        <v>show</v>
      </c>
    </row>
    <row r="7316" spans="1:6">
      <c r="A7316" t="s">
        <v>21723</v>
      </c>
      <c r="B7316" t="s">
        <v>21724</v>
      </c>
      <c r="C7316" t="s">
        <v>21725</v>
      </c>
      <c r="D7316" t="str">
        <f>HYPERLINK("https://github.com/woesss/JL-Mod/issues/12","show")</f>
        <v>show</v>
      </c>
      <c r="E7316" t="str">
        <f>HYPERLINK("https://github.com/woesss/JL-Mod","show")</f>
        <v>show</v>
      </c>
      <c r="F7316" t="str">
        <f>HYPERLINK("https://github.com/woesss/JL-Mod/releases","show")</f>
        <v>show</v>
      </c>
    </row>
    <row r="7317" spans="1:6">
      <c r="A7317" t="s">
        <v>21726</v>
      </c>
      <c r="B7317" t="s">
        <v>21727</v>
      </c>
      <c r="C7317" t="s">
        <v>21728</v>
      </c>
      <c r="D7317" t="str">
        <f>HYPERLINK("https://github.com/nextcloud/android/issues/6901","show")</f>
        <v>show</v>
      </c>
      <c r="E7317" t="str">
        <f>HYPERLINK("https://github.com/nextcloud/android","show")</f>
        <v>show</v>
      </c>
      <c r="F7317" t="str">
        <f>HYPERLINK("https://github.com/nextcloud/android/releases","show")</f>
        <v>show</v>
      </c>
    </row>
    <row r="7318" spans="1:6">
      <c r="A7318" t="s">
        <v>21729</v>
      </c>
      <c r="B7318" t="s">
        <v>21730</v>
      </c>
      <c r="C7318" t="s">
        <v>21731</v>
      </c>
      <c r="D7318" t="str">
        <f>HYPERLINK("https://github.com/launchdarkly/react-native-client-sdk/issues/57","show")</f>
        <v>show</v>
      </c>
      <c r="E7318" t="str">
        <f>HYPERLINK("https://github.com/launchdarkly/react-native-client-sdk","show")</f>
        <v>show</v>
      </c>
      <c r="F7318" t="str">
        <f>HYPERLINK("https://github.com/launchdarkly/react-native-client-sdk/releases","show")</f>
        <v>show</v>
      </c>
    </row>
    <row r="7319" spans="1:6">
      <c r="A7319" t="s">
        <v>21732</v>
      </c>
      <c r="B7319" t="s">
        <v>21733</v>
      </c>
      <c r="C7319" t="s">
        <v>21734</v>
      </c>
      <c r="D7319" t="str">
        <f>HYPERLINK("https://github.com/TeamNewPipe/NewPipe/issues/4243","show")</f>
        <v>show</v>
      </c>
      <c r="E7319" t="str">
        <f>HYPERLINK("https://github.com/TeamNewPipe/NewPipe","show")</f>
        <v>show</v>
      </c>
      <c r="F7319" t="str">
        <f>HYPERLINK("https://github.com/TeamNewPipe/NewPipe/releases","show")</f>
        <v>show</v>
      </c>
    </row>
    <row r="7320" spans="1:6">
      <c r="A7320" t="s">
        <v>21735</v>
      </c>
      <c r="B7320" t="s">
        <v>21736</v>
      </c>
      <c r="C7320" t="s">
        <v>21737</v>
      </c>
      <c r="D7320" t="str">
        <f>HYPERLINK("https://github.com/Rachel030219/Poweramp-LRC-Plugin/issues/22","show")</f>
        <v>show</v>
      </c>
      <c r="E7320" t="str">
        <f>HYPERLINK("https://github.com/Rachel030219/Poweramp-LRC-Plugin","show")</f>
        <v>show</v>
      </c>
      <c r="F7320" t="str">
        <f>HYPERLINK("https://github.com/Rachel030219/Poweramp-LRC-Plugin/releases","show")</f>
        <v>show</v>
      </c>
    </row>
    <row r="7321" spans="1:6">
      <c r="A7321" t="s">
        <v>21738</v>
      </c>
      <c r="B7321" t="s">
        <v>21739</v>
      </c>
      <c r="C7321" t="s">
        <v>21740</v>
      </c>
      <c r="D7321" t="str">
        <f>HYPERLINK("https://github.com/TeamNewPipe/NewPipe/issues/4239","show")</f>
        <v>show</v>
      </c>
      <c r="E7321" t="str">
        <f>HYPERLINK("https://github.com/TeamNewPipe/NewPipe","show")</f>
        <v>show</v>
      </c>
      <c r="F7321" t="str">
        <f>HYPERLINK("https://github.com/TeamNewPipe/NewPipe/releases","show")</f>
        <v>show</v>
      </c>
    </row>
    <row r="7322" spans="1:6">
      <c r="A7322" t="s">
        <v>21741</v>
      </c>
      <c r="B7322" t="s">
        <v>21742</v>
      </c>
      <c r="C7322" t="s">
        <v>21743</v>
      </c>
      <c r="D7322" t="str">
        <f>HYPERLINK("https://github.com/andOTP/andOTP/issues/639","show")</f>
        <v>show</v>
      </c>
      <c r="E7322" t="str">
        <f>HYPERLINK("https://github.com/andOTP/andOTP","show")</f>
        <v>show</v>
      </c>
      <c r="F7322" t="str">
        <f>HYPERLINK("https://github.com/andOTP/andOTP/releases","show")</f>
        <v>show</v>
      </c>
    </row>
    <row r="7323" spans="1:6">
      <c r="A7323" t="s">
        <v>21744</v>
      </c>
      <c r="B7323" t="s">
        <v>21745</v>
      </c>
      <c r="C7323" t="s">
        <v>21746</v>
      </c>
      <c r="D7323" t="str">
        <f>HYPERLINK("https://github.com/TeamNewPipe/NewPipe/issues/4230","show")</f>
        <v>show</v>
      </c>
      <c r="E7323" t="str">
        <f>HYPERLINK("https://github.com/TeamNewPipe/NewPipe","show")</f>
        <v>show</v>
      </c>
      <c r="F7323" t="str">
        <f>HYPERLINK("https://github.com/TeamNewPipe/NewPipe/releases","show")</f>
        <v>show</v>
      </c>
    </row>
    <row r="7324" spans="1:6">
      <c r="A7324" t="s">
        <v>21747</v>
      </c>
      <c r="B7324" t="s">
        <v>21748</v>
      </c>
      <c r="C7324" t="s">
        <v>21749</v>
      </c>
      <c r="D7324" t="str">
        <f>HYPERLINK("https://github.com/OpenTracksApp/OpenTracks/issues/411","show")</f>
        <v>show</v>
      </c>
      <c r="E7324" t="str">
        <f>HYPERLINK("https://github.com/OpenTracksApp/OpenTracks","show")</f>
        <v>show</v>
      </c>
      <c r="F7324" t="str">
        <f>HYPERLINK("https://github.com/OpenTracksApp/OpenTracks/releases","show")</f>
        <v>show</v>
      </c>
    </row>
    <row r="7325" spans="1:6">
      <c r="A7325" t="s">
        <v>21750</v>
      </c>
      <c r="B7325" t="s">
        <v>21751</v>
      </c>
      <c r="C7325" t="s">
        <v>21752</v>
      </c>
      <c r="D7325" t="str">
        <f>HYPERLINK("https://github.com/stingle/stingle-photos-android/issues/36","show")</f>
        <v>show</v>
      </c>
      <c r="E7325" t="str">
        <f>HYPERLINK("https://github.com/stingle/stingle-photos-android","show")</f>
        <v>show</v>
      </c>
      <c r="F7325" t="str">
        <f>HYPERLINK("https://github.com/stingle/stingle-photos-android/releases","show")</f>
        <v>show</v>
      </c>
    </row>
    <row r="7326" spans="1:6">
      <c r="A7326" t="s">
        <v>21753</v>
      </c>
      <c r="B7326" t="s">
        <v>21754</v>
      </c>
      <c r="C7326" t="s">
        <v>21755</v>
      </c>
      <c r="D7326" t="str">
        <f>HYPERLINK("https://github.com/cgeo/cgeo/issues/8941","show")</f>
        <v>show</v>
      </c>
      <c r="E7326" t="str">
        <f>HYPERLINK("https://github.com/cgeo/cgeo","show")</f>
        <v>show</v>
      </c>
      <c r="F7326" t="str">
        <f>HYPERLINK("https://github.com/cgeo/cgeo/releases","show")</f>
        <v>show</v>
      </c>
    </row>
    <row r="7327" spans="1:6">
      <c r="A7327" t="s">
        <v>21756</v>
      </c>
      <c r="B7327" t="s">
        <v>1224</v>
      </c>
      <c r="C7327" t="s">
        <v>21757</v>
      </c>
      <c r="D7327" t="str">
        <f>HYPERLINK("https://github.com/TeamNewPipe/NewPipe/issues/4219","show")</f>
        <v>show</v>
      </c>
      <c r="E7327" t="str">
        <f>HYPERLINK("https://github.com/TeamNewPipe/NewPipe","show")</f>
        <v>show</v>
      </c>
      <c r="F7327" t="str">
        <f>HYPERLINK("https://github.com/TeamNewPipe/NewPipe/releases","show")</f>
        <v>show</v>
      </c>
    </row>
    <row r="7328" spans="1:6">
      <c r="A7328" t="s">
        <v>21758</v>
      </c>
      <c r="B7328" t="s">
        <v>21759</v>
      </c>
      <c r="C7328" t="s">
        <v>21760</v>
      </c>
      <c r="D7328" t="str">
        <f>HYPERLINK("https://github.com/Swrve/swrve-android-sdk/issues/293","show")</f>
        <v>show</v>
      </c>
      <c r="E7328" t="str">
        <f>HYPERLINK("https://github.com/Swrve/swrve-android-sdk","show")</f>
        <v>show</v>
      </c>
      <c r="F7328" t="str">
        <f>HYPERLINK("https://github.com/Swrve/swrve-android-sdk/releases","show")</f>
        <v>show</v>
      </c>
    </row>
    <row r="7329" spans="1:6">
      <c r="A7329" t="s">
        <v>21761</v>
      </c>
      <c r="B7329" t="s">
        <v>21762</v>
      </c>
      <c r="C7329" t="s">
        <v>21763</v>
      </c>
      <c r="D7329" t="str">
        <f>HYPERLINK("https://github.com/opensrp/opensrp-client-reveal/issues/989","show")</f>
        <v>show</v>
      </c>
      <c r="E7329" t="str">
        <f>HYPERLINK("https://github.com/opensrp/opensrp-client-reveal","show")</f>
        <v>show</v>
      </c>
      <c r="F7329" t="str">
        <f>HYPERLINK("https://github.com/opensrp/opensrp-client-reveal/releases","show")</f>
        <v>show</v>
      </c>
    </row>
    <row r="7330" spans="1:6">
      <c r="A7330" t="s">
        <v>21764</v>
      </c>
      <c r="B7330" t="s">
        <v>21765</v>
      </c>
      <c r="C7330" t="s">
        <v>21766</v>
      </c>
      <c r="D7330" t="str">
        <f>HYPERLINK("https://github.com/opensrp/opensrp-client-reveal/issues/988","show")</f>
        <v>show</v>
      </c>
      <c r="E7330" t="str">
        <f>HYPERLINK("https://github.com/opensrp/opensrp-client-reveal","show")</f>
        <v>show</v>
      </c>
      <c r="F7330" t="str">
        <f>HYPERLINK("https://github.com/opensrp/opensrp-client-reveal/releases","show")</f>
        <v>show</v>
      </c>
    </row>
    <row r="7331" spans="1:6">
      <c r="A7331" t="s">
        <v>21767</v>
      </c>
      <c r="B7331" t="s">
        <v>21768</v>
      </c>
      <c r="C7331" t="s">
        <v>21769</v>
      </c>
      <c r="D7331" t="str">
        <f>HYPERLINK("https://github.com/material-components/material-components-android/issues/1682","show")</f>
        <v>show</v>
      </c>
      <c r="E7331" t="str">
        <f>HYPERLINK("https://github.com/material-components/material-components-android","show")</f>
        <v>show</v>
      </c>
      <c r="F7331" t="str">
        <f>HYPERLINK("https://github.com/material-components/material-components-android/releases","show")</f>
        <v>show</v>
      </c>
    </row>
    <row r="7332" spans="1:6">
      <c r="A7332" t="s">
        <v>21770</v>
      </c>
      <c r="B7332" t="s">
        <v>21771</v>
      </c>
      <c r="C7332" t="s">
        <v>21772</v>
      </c>
      <c r="D7332" t="str">
        <f>HYPERLINK("https://github.com/TeamNewPipe/NewPipe/issues/4215","show")</f>
        <v>show</v>
      </c>
      <c r="E7332" t="str">
        <f>HYPERLINK("https://github.com/TeamNewPipe/NewPipe","show")</f>
        <v>show</v>
      </c>
      <c r="F7332" t="str">
        <f>HYPERLINK("https://github.com/TeamNewPipe/NewPipe/releases","show")</f>
        <v>show</v>
      </c>
    </row>
    <row r="7333" spans="1:6">
      <c r="A7333" t="s">
        <v>21773</v>
      </c>
      <c r="B7333" t="s">
        <v>21774</v>
      </c>
      <c r="C7333" t="s">
        <v>21775</v>
      </c>
      <c r="D7333" t="str">
        <f>HYPERLINK("https://github.com/Anuken/Mindustry/issues/2478","show")</f>
        <v>show</v>
      </c>
      <c r="E7333" t="str">
        <f>HYPERLINK("https://github.com/Anuken/Mindustry","show")</f>
        <v>show</v>
      </c>
      <c r="F7333" t="str">
        <f>HYPERLINK("https://github.com/Anuken/Mindustry/releases","show")</f>
        <v>show</v>
      </c>
    </row>
    <row r="7334" spans="1:6">
      <c r="A7334" t="s">
        <v>21776</v>
      </c>
      <c r="B7334" t="s">
        <v>21777</v>
      </c>
      <c r="C7334" t="s">
        <v>21778</v>
      </c>
      <c r="D7334" t="str">
        <f>HYPERLINK("https://github.com/cgeo/cgeo/issues/8935","show")</f>
        <v>show</v>
      </c>
      <c r="E7334" t="str">
        <f>HYPERLINK("https://github.com/cgeo/cgeo","show")</f>
        <v>show</v>
      </c>
      <c r="F7334" t="str">
        <f>HYPERLINK("https://github.com/cgeo/cgeo/releases","show")</f>
        <v>show</v>
      </c>
    </row>
    <row r="7335" spans="1:6">
      <c r="A7335" t="s">
        <v>21779</v>
      </c>
      <c r="B7335" t="s">
        <v>21780</v>
      </c>
      <c r="C7335" t="s">
        <v>21781</v>
      </c>
      <c r="D7335" t="str">
        <f>HYPERLINK("https://github.com/Anuken/Mindustry/issues/2477","show")</f>
        <v>show</v>
      </c>
      <c r="E7335" t="str">
        <f>HYPERLINK("https://github.com/Anuken/Mindustry","show")</f>
        <v>show</v>
      </c>
      <c r="F7335" t="str">
        <f>HYPERLINK("https://github.com/Anuken/Mindustry/releases","show")</f>
        <v>show</v>
      </c>
    </row>
    <row r="7336" spans="1:6">
      <c r="A7336" t="s">
        <v>21782</v>
      </c>
      <c r="B7336" t="s">
        <v>21783</v>
      </c>
      <c r="C7336" t="s">
        <v>21784</v>
      </c>
      <c r="D7336" t="str">
        <f>HYPERLINK("https://github.com/Anuken/Mindustry/issues/2476","show")</f>
        <v>show</v>
      </c>
      <c r="E7336" t="str">
        <f>HYPERLINK("https://github.com/Anuken/Mindustry","show")</f>
        <v>show</v>
      </c>
      <c r="F7336" t="str">
        <f>HYPERLINK("https://github.com/Anuken/Mindustry/releases","show")</f>
        <v>show</v>
      </c>
    </row>
    <row r="7337" spans="1:6">
      <c r="A7337" t="s">
        <v>21785</v>
      </c>
      <c r="B7337" t="s">
        <v>21786</v>
      </c>
      <c r="C7337" t="s">
        <v>21787</v>
      </c>
      <c r="D7337" t="str">
        <f>HYPERLINK("https://github.com/TeamNewPipe/NewPipe/issues/4212","show")</f>
        <v>show</v>
      </c>
      <c r="E7337" t="str">
        <f>HYPERLINK("https://github.com/TeamNewPipe/NewPipe","show")</f>
        <v>show</v>
      </c>
      <c r="F7337" t="str">
        <f>HYPERLINK("https://github.com/TeamNewPipe/NewPipe/releases","show")</f>
        <v>show</v>
      </c>
    </row>
    <row r="7338" spans="1:6">
      <c r="A7338" t="s">
        <v>21788</v>
      </c>
      <c r="B7338" t="s">
        <v>21789</v>
      </c>
      <c r="C7338" t="s">
        <v>21790</v>
      </c>
      <c r="D7338" t="str">
        <f>HYPERLINK("https://github.com/nextcloud/android/issues/6869","show")</f>
        <v>show</v>
      </c>
      <c r="E7338" t="str">
        <f>HYPERLINK("https://github.com/nextcloud/android","show")</f>
        <v>show</v>
      </c>
      <c r="F7338" t="str">
        <f>HYPERLINK("https://github.com/nextcloud/android/releases","show")</f>
        <v>show</v>
      </c>
    </row>
    <row r="7339" spans="1:6">
      <c r="A7339" t="s">
        <v>21791</v>
      </c>
      <c r="B7339" t="s">
        <v>21792</v>
      </c>
      <c r="C7339" t="s">
        <v>21793</v>
      </c>
      <c r="D7339" t="str">
        <f>HYPERLINK("https://github.com/nextcloud/android/issues/6868","show")</f>
        <v>show</v>
      </c>
      <c r="E7339" t="str">
        <f>HYPERLINK("https://github.com/nextcloud/android","show")</f>
        <v>show</v>
      </c>
      <c r="F7339" t="str">
        <f>HYPERLINK("https://github.com/nextcloud/android/releases","show")</f>
        <v>show</v>
      </c>
    </row>
    <row r="7340" spans="1:6">
      <c r="A7340" t="s">
        <v>21794</v>
      </c>
      <c r="B7340" t="s">
        <v>21795</v>
      </c>
      <c r="C7340" t="s">
        <v>21796</v>
      </c>
      <c r="D7340" t="str">
        <f>HYPERLINK("https://github.com/Anuken/Mindustry/issues/2473","show")</f>
        <v>show</v>
      </c>
      <c r="E7340" t="str">
        <f>HYPERLINK("https://github.com/Anuken/Mindustry","show")</f>
        <v>show</v>
      </c>
      <c r="F7340" t="str">
        <f>HYPERLINK("https://github.com/Anuken/Mindustry/releases","show")</f>
        <v>show</v>
      </c>
    </row>
    <row r="7341" spans="1:6">
      <c r="A7341" t="s">
        <v>21797</v>
      </c>
      <c r="B7341" t="s">
        <v>21798</v>
      </c>
      <c r="C7341" t="s">
        <v>21799</v>
      </c>
      <c r="D7341" t="str">
        <f>HYPERLINK("https://github.com/SanojPunchihewa/InAppUpdater/issues/62","show")</f>
        <v>show</v>
      </c>
      <c r="E7341" t="str">
        <f>HYPERLINK("https://github.com/SanojPunchihewa/InAppUpdater","show")</f>
        <v>show</v>
      </c>
      <c r="F7341" t="str">
        <f>HYPERLINK("https://github.com/SanojPunchihewa/InAppUpdater/releases","show")</f>
        <v>show</v>
      </c>
    </row>
    <row r="7342" spans="1:6">
      <c r="A7342" t="s">
        <v>21800</v>
      </c>
      <c r="B7342" t="s">
        <v>21801</v>
      </c>
      <c r="C7342" t="s">
        <v>21802</v>
      </c>
      <c r="D7342" t="str">
        <f>HYPERLINK("https://github.com/Anuken/Mindustry/issues/2470","show")</f>
        <v>show</v>
      </c>
      <c r="E7342" t="str">
        <f>HYPERLINK("https://github.com/Anuken/Mindustry","show")</f>
        <v>show</v>
      </c>
      <c r="F7342" t="str">
        <f>HYPERLINK("https://github.com/Anuken/Mindustry/releases","show")</f>
        <v>show</v>
      </c>
    </row>
    <row r="7343" spans="1:6">
      <c r="A7343" t="s">
        <v>21803</v>
      </c>
      <c r="B7343" t="s">
        <v>21804</v>
      </c>
      <c r="C7343" t="s">
        <v>21805</v>
      </c>
      <c r="D7343" t="str">
        <f>HYPERLINK("https://github.com/joshrap67/LiteWeight/issues/30","show")</f>
        <v>show</v>
      </c>
      <c r="E7343" t="str">
        <f>HYPERLINK("https://github.com/joshrap67/LiteWeight","show")</f>
        <v>show</v>
      </c>
      <c r="F7343" t="str">
        <f>HYPERLINK("https://github.com/joshrap67/LiteWeight/releases","show")</f>
        <v>show</v>
      </c>
    </row>
    <row r="7344" spans="1:6">
      <c r="A7344" t="s">
        <v>21806</v>
      </c>
      <c r="B7344" t="s">
        <v>21807</v>
      </c>
      <c r="C7344" t="s">
        <v>21808</v>
      </c>
      <c r="D7344" t="str">
        <f>HYPERLINK("https://github.com/oliexdev/openScale/issues/619","show")</f>
        <v>show</v>
      </c>
      <c r="E7344" t="str">
        <f>HYPERLINK("https://github.com/oliexdev/openScale","show")</f>
        <v>show</v>
      </c>
      <c r="F7344" t="str">
        <f>HYPERLINK("https://github.com/oliexdev/openScale/releases","show")</f>
        <v>show</v>
      </c>
    </row>
    <row r="7345" spans="1:6">
      <c r="A7345" t="s">
        <v>21809</v>
      </c>
      <c r="B7345" t="s">
        <v>21810</v>
      </c>
      <c r="C7345" t="s">
        <v>21811</v>
      </c>
      <c r="D7345" t="str">
        <f>HYPERLINK("https://github.com/nextcloud/android/issues/6853","show")</f>
        <v>show</v>
      </c>
      <c r="E7345" t="str">
        <f>HYPERLINK("https://github.com/nextcloud/android","show")</f>
        <v>show</v>
      </c>
      <c r="F7345" t="str">
        <f>HYPERLINK("https://github.com/nextcloud/android/releases","show")</f>
        <v>show</v>
      </c>
    </row>
    <row r="7346" spans="1:6">
      <c r="A7346" t="s">
        <v>21812</v>
      </c>
      <c r="B7346" t="s">
        <v>21813</v>
      </c>
      <c r="C7346" t="s">
        <v>21814</v>
      </c>
      <c r="D7346" t="str">
        <f>HYPERLINK("https://github.com/Anuken/Mindustry/issues/2468","show")</f>
        <v>show</v>
      </c>
      <c r="E7346" t="str">
        <f>HYPERLINK("https://github.com/Anuken/Mindustry","show")</f>
        <v>show</v>
      </c>
      <c r="F7346" t="str">
        <f>HYPERLINK("https://github.com/Anuken/Mindustry/releases","show")</f>
        <v>show</v>
      </c>
    </row>
    <row r="7347" spans="1:6">
      <c r="A7347" t="s">
        <v>21815</v>
      </c>
      <c r="B7347" t="s">
        <v>21816</v>
      </c>
      <c r="C7347" t="s">
        <v>21817</v>
      </c>
      <c r="D7347" t="str">
        <f>HYPERLINK("https://github.com/material-components/material-components-android/issues/1665","show")</f>
        <v>show</v>
      </c>
      <c r="E7347" t="str">
        <f>HYPERLINK("https://github.com/material-components/material-components-android","show")</f>
        <v>show</v>
      </c>
      <c r="F7347" t="str">
        <f>HYPERLINK("https://github.com/material-components/material-components-android/releases","show")</f>
        <v>show</v>
      </c>
    </row>
    <row r="7348" spans="1:6">
      <c r="A7348" t="s">
        <v>21818</v>
      </c>
      <c r="B7348" t="s">
        <v>21819</v>
      </c>
      <c r="C7348" t="s">
        <v>21820</v>
      </c>
      <c r="D7348" t="str">
        <f>HYPERLINK("https://github.com/VaishnaviShri/ClothesPile/issues/1","show")</f>
        <v>show</v>
      </c>
      <c r="E7348" t="str">
        <f>HYPERLINK("https://github.com/VaishnaviShri/ClothesPile","show")</f>
        <v>show</v>
      </c>
      <c r="F7348" t="str">
        <f>HYPERLINK("https://github.com/VaishnaviShri/ClothesPile/releases","show")</f>
        <v>show</v>
      </c>
    </row>
    <row r="7349" spans="1:6">
      <c r="A7349" t="s">
        <v>21821</v>
      </c>
      <c r="B7349" t="s">
        <v>21822</v>
      </c>
      <c r="C7349" t="s">
        <v>21823</v>
      </c>
      <c r="D7349" t="str">
        <f>HYPERLINK("https://github.com/Anuken/Mindustry/issues/2460","show")</f>
        <v>show</v>
      </c>
      <c r="E7349" t="str">
        <f>HYPERLINK("https://github.com/Anuken/Mindustry","show")</f>
        <v>show</v>
      </c>
      <c r="F7349" t="str">
        <f>HYPERLINK("https://github.com/Anuken/Mindustry/releases","show")</f>
        <v>show</v>
      </c>
    </row>
    <row r="7350" spans="1:6">
      <c r="A7350" t="s">
        <v>21824</v>
      </c>
      <c r="B7350" t="s">
        <v>21825</v>
      </c>
      <c r="C7350" t="s">
        <v>21826</v>
      </c>
      <c r="D7350" t="str">
        <f>HYPERLINK("https://github.com/Anuken/Mindustry/issues/2458","show")</f>
        <v>show</v>
      </c>
      <c r="E7350" t="str">
        <f>HYPERLINK("https://github.com/Anuken/Mindustry","show")</f>
        <v>show</v>
      </c>
      <c r="F7350" t="str">
        <f>HYPERLINK("https://github.com/Anuken/Mindustry/releases","show")</f>
        <v>show</v>
      </c>
    </row>
    <row r="7351" spans="1:6">
      <c r="A7351" t="s">
        <v>21827</v>
      </c>
      <c r="B7351" t="s">
        <v>21828</v>
      </c>
      <c r="C7351" t="s">
        <v>21829</v>
      </c>
      <c r="D7351" t="str">
        <f>HYPERLINK("https://github.com/Anuken/Mindustry/issues/2456","show")</f>
        <v>show</v>
      </c>
      <c r="E7351" t="str">
        <f>HYPERLINK("https://github.com/Anuken/Mindustry","show")</f>
        <v>show</v>
      </c>
      <c r="F7351" t="str">
        <f>HYPERLINK("https://github.com/Anuken/Mindustry/releases","show")</f>
        <v>show</v>
      </c>
    </row>
    <row r="7352" spans="1:6">
      <c r="A7352" t="s">
        <v>21830</v>
      </c>
      <c r="B7352" t="s">
        <v>21831</v>
      </c>
      <c r="C7352" t="s">
        <v>21832</v>
      </c>
      <c r="D7352" t="str">
        <f>HYPERLINK("https://github.com/cgeo/cgeo/issues/8901","show")</f>
        <v>show</v>
      </c>
      <c r="E7352" t="str">
        <f>HYPERLINK("https://github.com/cgeo/cgeo","show")</f>
        <v>show</v>
      </c>
      <c r="F7352" t="str">
        <f>HYPERLINK("https://github.com/cgeo/cgeo/releases","show")</f>
        <v>show</v>
      </c>
    </row>
    <row r="7353" spans="1:6">
      <c r="A7353" t="s">
        <v>21833</v>
      </c>
      <c r="B7353" t="s">
        <v>21834</v>
      </c>
      <c r="C7353" t="s">
        <v>21835</v>
      </c>
      <c r="D7353" t="str">
        <f>HYPERLINK("https://github.com/TeamNewPipe/NewPipe/issues/4201","show")</f>
        <v>show</v>
      </c>
      <c r="E7353" t="str">
        <f>HYPERLINK("https://github.com/TeamNewPipe/NewPipe","show")</f>
        <v>show</v>
      </c>
      <c r="F7353" t="str">
        <f>HYPERLINK("https://github.com/TeamNewPipe/NewPipe/releases","show")</f>
        <v>show</v>
      </c>
    </row>
    <row r="7354" spans="1:6">
      <c r="A7354" t="s">
        <v>21836</v>
      </c>
      <c r="B7354" t="s">
        <v>21837</v>
      </c>
      <c r="C7354" t="s">
        <v>21838</v>
      </c>
      <c r="D7354" t="str">
        <f>HYPERLINK("https://github.com/Caceresenzo/My-IUT-Schedule/issues/2","show")</f>
        <v>show</v>
      </c>
      <c r="E7354" t="str">
        <f>HYPERLINK("https://github.com/Caceresenzo/My-IUT-Schedule","show")</f>
        <v>show</v>
      </c>
      <c r="F7354" t="str">
        <f>HYPERLINK("https://github.com/Caceresenzo/My-IUT-Schedule/releases","show")</f>
        <v>show</v>
      </c>
    </row>
    <row r="7355" spans="1:6">
      <c r="A7355" t="s">
        <v>21839</v>
      </c>
      <c r="B7355" t="s">
        <v>21840</v>
      </c>
      <c r="C7355" t="s">
        <v>21841</v>
      </c>
      <c r="D7355" t="str">
        <f>HYPERLINK("https://github.com/Anuken/Mindustry/issues/2450","show")</f>
        <v>show</v>
      </c>
      <c r="E7355" t="str">
        <f>HYPERLINK("https://github.com/Anuken/Mindustry","show")</f>
        <v>show</v>
      </c>
      <c r="F7355" t="str">
        <f>HYPERLINK("https://github.com/Anuken/Mindustry/releases","show")</f>
        <v>show</v>
      </c>
    </row>
    <row r="7356" spans="1:6">
      <c r="A7356" t="s">
        <v>21842</v>
      </c>
      <c r="B7356" t="s">
        <v>21843</v>
      </c>
      <c r="C7356" t="s">
        <v>21844</v>
      </c>
      <c r="D7356" t="str">
        <f>HYPERLINK("https://github.com/inaturalist/iNaturalistAndroid/issues/894","show")</f>
        <v>show</v>
      </c>
      <c r="E7356" t="str">
        <f>HYPERLINK("https://github.com/inaturalist/iNaturalistAndroid","show")</f>
        <v>show</v>
      </c>
      <c r="F7356" t="str">
        <f>HYPERLINK("https://github.com/inaturalist/iNaturalistAndroid/releases","show")</f>
        <v>show</v>
      </c>
    </row>
    <row r="7357" spans="1:6">
      <c r="A7357" t="s">
        <v>21845</v>
      </c>
      <c r="B7357" t="s">
        <v>21846</v>
      </c>
      <c r="C7357" t="s">
        <v>21847</v>
      </c>
      <c r="D7357" t="str">
        <f>HYPERLINK("https://github.com/Anuken/Mindustry/issues/2449","show")</f>
        <v>show</v>
      </c>
      <c r="E7357" t="str">
        <f>HYPERLINK("https://github.com/Anuken/Mindustry","show")</f>
        <v>show</v>
      </c>
      <c r="F7357" t="str">
        <f>HYPERLINK("https://github.com/Anuken/Mindustry/releases","show")</f>
        <v>show</v>
      </c>
    </row>
    <row r="7358" spans="1:6">
      <c r="A7358" t="s">
        <v>21848</v>
      </c>
      <c r="B7358" t="s">
        <v>21849</v>
      </c>
      <c r="C7358" t="s">
        <v>21850</v>
      </c>
      <c r="D7358" t="str">
        <f>HYPERLINK("https://github.com/Anuken/Mindustry/issues/2446","show")</f>
        <v>show</v>
      </c>
      <c r="E7358" t="str">
        <f>HYPERLINK("https://github.com/Anuken/Mindustry","show")</f>
        <v>show</v>
      </c>
      <c r="F7358" t="str">
        <f>HYPERLINK("https://github.com/Anuken/Mindustry/releases","show")</f>
        <v>show</v>
      </c>
    </row>
    <row r="7359" spans="1:6">
      <c r="A7359" t="s">
        <v>21851</v>
      </c>
      <c r="B7359" t="s">
        <v>21852</v>
      </c>
      <c r="C7359" t="s">
        <v>21853</v>
      </c>
      <c r="D7359" t="str">
        <f>HYPERLINK("https://github.com/MuntashirAkon/AppManager/issues/82","show")</f>
        <v>show</v>
      </c>
      <c r="E7359" t="str">
        <f>HYPERLINK("https://github.com/MuntashirAkon/AppManager","show")</f>
        <v>show</v>
      </c>
      <c r="F7359" t="str">
        <f>HYPERLINK("https://github.com/MuntashirAkon/AppManager/releases","show")</f>
        <v>show</v>
      </c>
    </row>
    <row r="7360" spans="1:6">
      <c r="A7360" t="s">
        <v>21854</v>
      </c>
      <c r="B7360" t="s">
        <v>21855</v>
      </c>
      <c r="C7360" t="s">
        <v>21856</v>
      </c>
      <c r="D7360" t="str">
        <f>HYPERLINK("https://github.com/opensrp/opensrp-client-reveal/issues/955","show")</f>
        <v>show</v>
      </c>
      <c r="E7360" t="str">
        <f>HYPERLINK("https://github.com/opensrp/opensrp-client-reveal","show")</f>
        <v>show</v>
      </c>
      <c r="F7360" t="str">
        <f>HYPERLINK("https://github.com/opensrp/opensrp-client-reveal/releases","show")</f>
        <v>show</v>
      </c>
    </row>
    <row r="7361" spans="1:6">
      <c r="A7361" t="s">
        <v>21857</v>
      </c>
      <c r="B7361" t="s">
        <v>21858</v>
      </c>
      <c r="C7361" t="s">
        <v>21859</v>
      </c>
      <c r="D7361" t="str">
        <f>HYPERLINK("https://github.com/woesss/JL-Mod/issues/10","show")</f>
        <v>show</v>
      </c>
      <c r="E7361" t="str">
        <f>HYPERLINK("https://github.com/woesss/JL-Mod","show")</f>
        <v>show</v>
      </c>
      <c r="F7361" t="str">
        <f>HYPERLINK("https://github.com/woesss/JL-Mod/releases","show")</f>
        <v>show</v>
      </c>
    </row>
    <row r="7362" spans="1:6">
      <c r="A7362" t="s">
        <v>21860</v>
      </c>
      <c r="B7362" t="s">
        <v>21861</v>
      </c>
      <c r="C7362" t="s">
        <v>21862</v>
      </c>
      <c r="D7362" t="str">
        <f>HYPERLINK("https://github.com/dimagi/commcare-android/issues/2332","show")</f>
        <v>show</v>
      </c>
      <c r="E7362" t="str">
        <f>HYPERLINK("https://github.com/dimagi/commcare-android","show")</f>
        <v>show</v>
      </c>
      <c r="F7362" t="str">
        <f>HYPERLINK("https://github.com/dimagi/commcare-android/releases","show")</f>
        <v>show</v>
      </c>
    </row>
    <row r="7363" spans="1:6">
      <c r="A7363" t="s">
        <v>21863</v>
      </c>
      <c r="B7363" t="s">
        <v>21864</v>
      </c>
      <c r="C7363" t="s">
        <v>21865</v>
      </c>
      <c r="D7363" t="str">
        <f>HYPERLINK("https://github.com/PhenoApps/Field-Book/issues/150","show")</f>
        <v>show</v>
      </c>
      <c r="E7363" t="str">
        <f>HYPERLINK("https://github.com/PhenoApps/Field-Book","show")</f>
        <v>show</v>
      </c>
      <c r="F7363" t="str">
        <f>HYPERLINK("https://github.com/PhenoApps/Field-Book/releases","show")</f>
        <v>show</v>
      </c>
    </row>
    <row r="7364" spans="1:6">
      <c r="A7364" t="s">
        <v>21866</v>
      </c>
      <c r="B7364" t="s">
        <v>21867</v>
      </c>
      <c r="C7364" t="s">
        <v>21868</v>
      </c>
      <c r="D7364" t="str">
        <f>HYPERLINK("https://github.com/Anuken/Mindustry/issues/2443","show")</f>
        <v>show</v>
      </c>
      <c r="E7364" t="str">
        <f>HYPERLINK("https://github.com/Anuken/Mindustry","show")</f>
        <v>show</v>
      </c>
      <c r="F7364" t="str">
        <f>HYPERLINK("https://github.com/Anuken/Mindustry/releases","show")</f>
        <v>show</v>
      </c>
    </row>
    <row r="7365" spans="1:6">
      <c r="A7365" t="s">
        <v>21869</v>
      </c>
      <c r="B7365" t="s">
        <v>21870</v>
      </c>
      <c r="C7365" t="s">
        <v>21871</v>
      </c>
      <c r="D7365" t="str">
        <f>HYPERLINK("https://github.com/Anuken/Mindustry/issues/2442","show")</f>
        <v>show</v>
      </c>
      <c r="E7365" t="str">
        <f>HYPERLINK("https://github.com/Anuken/Mindustry","show")</f>
        <v>show</v>
      </c>
      <c r="F7365" t="str">
        <f>HYPERLINK("https://github.com/Anuken/Mindustry/releases","show")</f>
        <v>show</v>
      </c>
    </row>
    <row r="7366" spans="1:6">
      <c r="A7366" t="s">
        <v>21872</v>
      </c>
      <c r="B7366" t="s">
        <v>21873</v>
      </c>
      <c r="C7366" t="s">
        <v>21874</v>
      </c>
      <c r="D7366" t="str">
        <f>HYPERLINK("https://github.com/TeamNewPipe/NewPipe/issues/4194","show")</f>
        <v>show</v>
      </c>
      <c r="E7366" t="str">
        <f>HYPERLINK("https://github.com/TeamNewPipe/NewPipe","show")</f>
        <v>show</v>
      </c>
      <c r="F7366" t="str">
        <f>HYPERLINK("https://github.com/TeamNewPipe/NewPipe/releases","show")</f>
        <v>show</v>
      </c>
    </row>
    <row r="7367" spans="1:6">
      <c r="A7367" t="s">
        <v>21875</v>
      </c>
      <c r="B7367" t="s">
        <v>21876</v>
      </c>
      <c r="C7367" t="s">
        <v>21877</v>
      </c>
      <c r="D7367" t="str">
        <f>HYPERLINK("https://github.com/jonathanpalma/react-native-tesseract-ocr/issues/88","show")</f>
        <v>show</v>
      </c>
      <c r="E7367" t="str">
        <f>HYPERLINK("https://github.com/jonathanpalma/react-native-tesseract-ocr","show")</f>
        <v>show</v>
      </c>
      <c r="F7367" t="str">
        <f>HYPERLINK("https://github.com/jonathanpalma/react-native-tesseract-ocr/releases","show")</f>
        <v>show</v>
      </c>
    </row>
    <row r="7368" spans="1:6">
      <c r="A7368" t="s">
        <v>21878</v>
      </c>
      <c r="B7368" t="s">
        <v>21879</v>
      </c>
      <c r="C7368" t="s">
        <v>21880</v>
      </c>
      <c r="D7368" t="str">
        <f>HYPERLINK("https://github.com/deltachat/deltachat-android/issues/1605","show")</f>
        <v>show</v>
      </c>
      <c r="E7368" t="str">
        <f>HYPERLINK("https://github.com/deltachat/deltachat-android","show")</f>
        <v>show</v>
      </c>
      <c r="F7368" t="str">
        <f>HYPERLINK("https://github.com/deltachat/deltachat-android/releases","show")</f>
        <v>show</v>
      </c>
    </row>
    <row r="7369" spans="1:6">
      <c r="A7369" t="s">
        <v>21881</v>
      </c>
      <c r="B7369" t="s">
        <v>18917</v>
      </c>
      <c r="C7369" t="s">
        <v>21882</v>
      </c>
      <c r="D7369" t="str">
        <f>HYPERLINK("https://github.com/Anuken/Mindustry/issues/2436","show")</f>
        <v>show</v>
      </c>
      <c r="E7369" t="str">
        <f>HYPERLINK("https://github.com/Anuken/Mindustry","show")</f>
        <v>show</v>
      </c>
      <c r="F7369" t="str">
        <f>HYPERLINK("https://github.com/Anuken/Mindustry/releases","show")</f>
        <v>show</v>
      </c>
    </row>
    <row r="7370" spans="1:6">
      <c r="A7370" t="s">
        <v>21883</v>
      </c>
      <c r="B7370" t="s">
        <v>21884</v>
      </c>
      <c r="C7370" t="s">
        <v>21885</v>
      </c>
      <c r="D7370" t="str">
        <f>HYPERLINK("https://github.com/PhenoApps/Field-Book/issues/148","show")</f>
        <v>show</v>
      </c>
      <c r="E7370" t="str">
        <f>HYPERLINK("https://github.com/PhenoApps/Field-Book","show")</f>
        <v>show</v>
      </c>
      <c r="F7370" t="str">
        <f>HYPERLINK("https://github.com/PhenoApps/Field-Book/releases","show")</f>
        <v>show</v>
      </c>
    </row>
    <row r="7371" spans="1:6">
      <c r="A7371" t="s">
        <v>21886</v>
      </c>
      <c r="B7371" t="s">
        <v>21887</v>
      </c>
      <c r="C7371" t="s">
        <v>21888</v>
      </c>
      <c r="D7371" t="str">
        <f>HYPERLINK("https://github.com/PhenoApps/Field-Book/issues/147","show")</f>
        <v>show</v>
      </c>
      <c r="E7371" t="str">
        <f>HYPERLINK("https://github.com/PhenoApps/Field-Book","show")</f>
        <v>show</v>
      </c>
      <c r="F7371" t="str">
        <f>HYPERLINK("https://github.com/PhenoApps/Field-Book/releases","show")</f>
        <v>show</v>
      </c>
    </row>
    <row r="7372" spans="1:6">
      <c r="A7372" t="s">
        <v>21889</v>
      </c>
      <c r="B7372" t="s">
        <v>21890</v>
      </c>
      <c r="C7372" t="s">
        <v>21891</v>
      </c>
      <c r="D7372" t="str">
        <f>HYPERLINK("https://github.com/Anuken/Mindustry/issues/2431","show")</f>
        <v>show</v>
      </c>
      <c r="E7372" t="str">
        <f>HYPERLINK("https://github.com/Anuken/Mindustry","show")</f>
        <v>show</v>
      </c>
      <c r="F7372" t="str">
        <f>HYPERLINK("https://github.com/Anuken/Mindustry/releases","show")</f>
        <v>show</v>
      </c>
    </row>
    <row r="7373" spans="1:6">
      <c r="A7373" t="s">
        <v>21892</v>
      </c>
      <c r="B7373" t="s">
        <v>21893</v>
      </c>
      <c r="C7373" t="s">
        <v>21894</v>
      </c>
      <c r="D7373" t="str">
        <f>HYPERLINK("https://github.com/Goujer/kanojo_app/issues/35","show")</f>
        <v>show</v>
      </c>
      <c r="E7373" t="str">
        <f>HYPERLINK("https://github.com/Goujer/kanojo_app","show")</f>
        <v>show</v>
      </c>
      <c r="F7373" t="str">
        <f>HYPERLINK("https://github.com/Goujer/kanojo_app/releases","show")</f>
        <v>show</v>
      </c>
    </row>
    <row r="7374" spans="1:6">
      <c r="A7374" t="s">
        <v>21895</v>
      </c>
      <c r="B7374" t="s">
        <v>21896</v>
      </c>
      <c r="C7374" t="s">
        <v>21897</v>
      </c>
      <c r="D7374" t="str">
        <f>HYPERLINK("https://github.com/Anuken/Mindustry/issues/2429","show")</f>
        <v>show</v>
      </c>
      <c r="E7374" t="str">
        <f>HYPERLINK("https://github.com/Anuken/Mindustry","show")</f>
        <v>show</v>
      </c>
      <c r="F7374" t="str">
        <f>HYPERLINK("https://github.com/Anuken/Mindustry/releases","show")</f>
        <v>show</v>
      </c>
    </row>
    <row r="7375" spans="1:6">
      <c r="A7375" t="s">
        <v>21898</v>
      </c>
      <c r="B7375" t="s">
        <v>21899</v>
      </c>
      <c r="C7375" t="s">
        <v>21900</v>
      </c>
      <c r="D7375" t="str">
        <f>HYPERLINK("https://github.com/Anuken/Mindustry/issues/2425","show")</f>
        <v>show</v>
      </c>
      <c r="E7375" t="str">
        <f>HYPERLINK("https://github.com/Anuken/Mindustry","show")</f>
        <v>show</v>
      </c>
      <c r="F7375" t="str">
        <f>HYPERLINK("https://github.com/Anuken/Mindustry/releases","show")</f>
        <v>show</v>
      </c>
    </row>
    <row r="7376" spans="1:6">
      <c r="A7376" t="s">
        <v>21901</v>
      </c>
      <c r="B7376" t="s">
        <v>21902</v>
      </c>
      <c r="C7376" t="s">
        <v>21903</v>
      </c>
      <c r="D7376" t="str">
        <f>HYPERLINK("https://github.com/Anuken/Mindustry/issues/2424","show")</f>
        <v>show</v>
      </c>
      <c r="E7376" t="str">
        <f>HYPERLINK("https://github.com/Anuken/Mindustry","show")</f>
        <v>show</v>
      </c>
      <c r="F7376" t="str">
        <f>HYPERLINK("https://github.com/Anuken/Mindustry/releases","show")</f>
        <v>show</v>
      </c>
    </row>
    <row r="7377" spans="1:6">
      <c r="A7377" t="s">
        <v>21904</v>
      </c>
      <c r="B7377" t="s">
        <v>21905</v>
      </c>
      <c r="C7377" t="s">
        <v>21906</v>
      </c>
      <c r="D7377" t="str">
        <f>HYPERLINK("https://github.com/meet-eat/meet-eat-app-android/issues/21","show")</f>
        <v>show</v>
      </c>
      <c r="E7377" t="str">
        <f>HYPERLINK("https://github.com/meet-eat/meet-eat-app-android","show")</f>
        <v>show</v>
      </c>
      <c r="F7377" t="str">
        <f>HYPERLINK("https://github.com/meet-eat/meet-eat-app-android/releases","show")</f>
        <v>show</v>
      </c>
    </row>
    <row r="7378" spans="1:6">
      <c r="A7378" t="s">
        <v>21907</v>
      </c>
      <c r="B7378" t="s">
        <v>21908</v>
      </c>
      <c r="C7378" t="s">
        <v>21909</v>
      </c>
      <c r="D7378" t="str">
        <f>HYPERLINK("https://github.com/meet-eat/meet-eat-app-android/issues/19","show")</f>
        <v>show</v>
      </c>
      <c r="E7378" t="str">
        <f>HYPERLINK("https://github.com/meet-eat/meet-eat-app-android","show")</f>
        <v>show</v>
      </c>
      <c r="F7378" t="str">
        <f>HYPERLINK("https://github.com/meet-eat/meet-eat-app-android/releases","show")</f>
        <v>show</v>
      </c>
    </row>
    <row r="7379" spans="1:6">
      <c r="A7379" t="s">
        <v>21910</v>
      </c>
      <c r="B7379" t="s">
        <v>107</v>
      </c>
      <c r="C7379" t="s">
        <v>21911</v>
      </c>
      <c r="D7379" t="str">
        <f>HYPERLINK("https://github.com/Anuken/Mindustry/issues/2421","show")</f>
        <v>show</v>
      </c>
      <c r="E7379" t="str">
        <f>HYPERLINK("https://github.com/Anuken/Mindustry","show")</f>
        <v>show</v>
      </c>
      <c r="F7379" t="str">
        <f>HYPERLINK("https://github.com/Anuken/Mindustry/releases","show")</f>
        <v>show</v>
      </c>
    </row>
    <row r="7380" spans="1:6">
      <c r="A7380" t="s">
        <v>21912</v>
      </c>
      <c r="B7380" t="s">
        <v>21913</v>
      </c>
      <c r="C7380" t="s">
        <v>21914</v>
      </c>
      <c r="D7380" t="str">
        <f>HYPERLINK("https://github.com/Anuken/Mindustry/issues/2417","show")</f>
        <v>show</v>
      </c>
      <c r="E7380" t="str">
        <f>HYPERLINK("https://github.com/Anuken/Mindustry","show")</f>
        <v>show</v>
      </c>
      <c r="F7380" t="str">
        <f>HYPERLINK("https://github.com/Anuken/Mindustry/releases","show")</f>
        <v>show</v>
      </c>
    </row>
    <row r="7381" spans="1:6">
      <c r="A7381" t="s">
        <v>21915</v>
      </c>
      <c r="B7381" t="s">
        <v>21916</v>
      </c>
      <c r="C7381" t="s">
        <v>21917</v>
      </c>
      <c r="D7381" t="str">
        <f>HYPERLINK("https://github.com/Blankj/AndroidUtilCode/issues/1310","show")</f>
        <v>show</v>
      </c>
      <c r="E7381" t="str">
        <f>HYPERLINK("https://github.com/Blankj/AndroidUtilCode","show")</f>
        <v>show</v>
      </c>
      <c r="F7381" t="str">
        <f>HYPERLINK("https://github.com/Blankj/AndroidUtilCode/releases","show")</f>
        <v>show</v>
      </c>
    </row>
    <row r="7382" spans="1:6">
      <c r="A7382" t="s">
        <v>21918</v>
      </c>
      <c r="B7382" t="s">
        <v>21919</v>
      </c>
      <c r="C7382" t="s">
        <v>21920</v>
      </c>
      <c r="D7382" t="str">
        <f>HYPERLINK("https://github.com/PhenoApps/Field-Book/issues/146","show")</f>
        <v>show</v>
      </c>
      <c r="E7382" t="str">
        <f>HYPERLINK("https://github.com/PhenoApps/Field-Book","show")</f>
        <v>show</v>
      </c>
      <c r="F7382" t="str">
        <f>HYPERLINK("https://github.com/PhenoApps/Field-Book/releases","show")</f>
        <v>show</v>
      </c>
    </row>
    <row r="7383" spans="1:6">
      <c r="A7383" t="s">
        <v>21921</v>
      </c>
      <c r="B7383" t="s">
        <v>21922</v>
      </c>
      <c r="C7383" t="s">
        <v>21923</v>
      </c>
      <c r="D7383" t="str">
        <f>HYPERLINK("https://github.com/OpenTracksApp/OpenTracks/issues/390","show")</f>
        <v>show</v>
      </c>
      <c r="E7383" t="str">
        <f>HYPERLINK("https://github.com/OpenTracksApp/OpenTracks","show")</f>
        <v>show</v>
      </c>
      <c r="F7383" t="str">
        <f>HYPERLINK("https://github.com/OpenTracksApp/OpenTracks/releases","show")</f>
        <v>show</v>
      </c>
    </row>
    <row r="7384" spans="1:6">
      <c r="A7384" t="s">
        <v>21924</v>
      </c>
      <c r="B7384" t="s">
        <v>21925</v>
      </c>
      <c r="C7384" t="s">
        <v>21926</v>
      </c>
      <c r="D7384" t="str">
        <f>HYPERLINK("https://github.com/getodk/collect/issues/4036","show")</f>
        <v>show</v>
      </c>
      <c r="E7384" t="str">
        <f>HYPERLINK("https://github.com/getodk/collect","show")</f>
        <v>show</v>
      </c>
      <c r="F7384" t="str">
        <f>HYPERLINK("https://github.com/getodk/collect/releases","show")</f>
        <v>show</v>
      </c>
    </row>
    <row r="7385" spans="1:6">
      <c r="A7385" t="s">
        <v>21927</v>
      </c>
      <c r="B7385" t="s">
        <v>21928</v>
      </c>
      <c r="C7385" t="s">
        <v>21929</v>
      </c>
      <c r="D7385" t="str">
        <f>HYPERLINK("https://github.com/TeamNewPipe/NewPipe/issues/4179","show")</f>
        <v>show</v>
      </c>
      <c r="E7385" t="str">
        <f>HYPERLINK("https://github.com/TeamNewPipe/NewPipe","show")</f>
        <v>show</v>
      </c>
      <c r="F7385" t="str">
        <f>HYPERLINK("https://github.com/TeamNewPipe/NewPipe/releases","show")</f>
        <v>show</v>
      </c>
    </row>
    <row r="7386" spans="1:6">
      <c r="A7386" t="s">
        <v>21930</v>
      </c>
      <c r="B7386" t="s">
        <v>21931</v>
      </c>
      <c r="C7386" t="s">
        <v>21932</v>
      </c>
      <c r="D7386" t="str">
        <f>HYPERLINK("https://github.com/sschueller/peertube-android/issues/221","show")</f>
        <v>show</v>
      </c>
      <c r="E7386" t="str">
        <f>HYPERLINK("https://github.com/sschueller/peertube-android","show")</f>
        <v>show</v>
      </c>
      <c r="F7386" t="str">
        <f>HYPERLINK("https://github.com/sschueller/peertube-android/releases","show")</f>
        <v>show</v>
      </c>
    </row>
    <row r="7387" spans="1:6">
      <c r="A7387" t="s">
        <v>21933</v>
      </c>
      <c r="B7387" t="s">
        <v>21934</v>
      </c>
      <c r="C7387" t="s">
        <v>21935</v>
      </c>
      <c r="D7387" t="str">
        <f>HYPERLINK("https://github.com/sschueller/peertube-android/issues/220","show")</f>
        <v>show</v>
      </c>
      <c r="E7387" t="str">
        <f>HYPERLINK("https://github.com/sschueller/peertube-android","show")</f>
        <v>show</v>
      </c>
      <c r="F7387" t="str">
        <f>HYPERLINK("https://github.com/sschueller/peertube-android/releases","show")</f>
        <v>show</v>
      </c>
    </row>
    <row r="7388" spans="1:6">
      <c r="A7388" t="s">
        <v>21936</v>
      </c>
      <c r="B7388" t="s">
        <v>21937</v>
      </c>
      <c r="C7388" t="s">
        <v>21938</v>
      </c>
      <c r="D7388" t="str">
        <f>HYPERLINK("https://github.com/Anuken/Mindustry/issues/2406","show")</f>
        <v>show</v>
      </c>
      <c r="E7388" t="str">
        <f>HYPERLINK("https://github.com/Anuken/Mindustry","show")</f>
        <v>show</v>
      </c>
      <c r="F7388" t="str">
        <f>HYPERLINK("https://github.com/Anuken/Mindustry/releases","show")</f>
        <v>show</v>
      </c>
    </row>
    <row r="7389" spans="1:6">
      <c r="A7389" t="s">
        <v>21939</v>
      </c>
      <c r="B7389" t="s">
        <v>21940</v>
      </c>
      <c r="C7389" t="s">
        <v>21941</v>
      </c>
      <c r="D7389" t="str">
        <f>HYPERLINK("https://github.com/TeamNewPipe/NewPipe/issues/4177","show")</f>
        <v>show</v>
      </c>
      <c r="E7389" t="str">
        <f>HYPERLINK("https://github.com/TeamNewPipe/NewPipe","show")</f>
        <v>show</v>
      </c>
      <c r="F7389" t="str">
        <f>HYPERLINK("https://github.com/TeamNewPipe/NewPipe/releases","show")</f>
        <v>show</v>
      </c>
    </row>
    <row r="7390" spans="1:6">
      <c r="A7390" t="s">
        <v>21942</v>
      </c>
      <c r="B7390" t="s">
        <v>21943</v>
      </c>
      <c r="C7390" t="s">
        <v>21944</v>
      </c>
      <c r="D7390" t="str">
        <f>HYPERLINK("https://github.com/CactiChameleon9/Gecko-Browser/issues/1","show")</f>
        <v>show</v>
      </c>
      <c r="E7390" t="str">
        <f>HYPERLINK("https://github.com/CactiChameleon9/Gecko-Browser","show")</f>
        <v>show</v>
      </c>
      <c r="F7390" t="str">
        <f>HYPERLINK("https://github.com/CactiChameleon9/Gecko-Browser/releases","show")</f>
        <v>show</v>
      </c>
    </row>
    <row r="7391" spans="1:6">
      <c r="A7391" t="s">
        <v>21945</v>
      </c>
      <c r="B7391" t="s">
        <v>21946</v>
      </c>
      <c r="C7391" t="s">
        <v>21947</v>
      </c>
      <c r="D7391" t="str">
        <f>HYPERLINK("https://github.com/oatmael/Sneezy/issues/13","show")</f>
        <v>show</v>
      </c>
      <c r="E7391" t="str">
        <f>HYPERLINK("https://github.com/oatmael/Sneezy","show")</f>
        <v>show</v>
      </c>
      <c r="F7391" t="str">
        <f>HYPERLINK("https://github.com/oatmael/Sneezy/releases","show")</f>
        <v>show</v>
      </c>
    </row>
    <row r="7392" spans="1:6">
      <c r="A7392" t="s">
        <v>21948</v>
      </c>
      <c r="B7392" t="s">
        <v>21949</v>
      </c>
      <c r="C7392" t="s">
        <v>21950</v>
      </c>
      <c r="D7392" t="str">
        <f>HYPERLINK("https://github.com/Anuken/Mindustry/issues/2404","show")</f>
        <v>show</v>
      </c>
      <c r="E7392" t="str">
        <f>HYPERLINK("https://github.com/Anuken/Mindustry","show")</f>
        <v>show</v>
      </c>
      <c r="F7392" t="str">
        <f>HYPERLINK("https://github.com/Anuken/Mindustry/releases","show")</f>
        <v>show</v>
      </c>
    </row>
    <row r="7393" spans="1:6">
      <c r="A7393" t="s">
        <v>21951</v>
      </c>
      <c r="B7393" t="s">
        <v>21952</v>
      </c>
      <c r="C7393" t="s">
        <v>21953</v>
      </c>
      <c r="D7393" t="str">
        <f>HYPERLINK("https://github.com/Anuken/Mindustry/issues/2402","show")</f>
        <v>show</v>
      </c>
      <c r="E7393" t="str">
        <f>HYPERLINK("https://github.com/Anuken/Mindustry","show")</f>
        <v>show</v>
      </c>
      <c r="F7393" t="str">
        <f>HYPERLINK("https://github.com/Anuken/Mindustry/releases","show")</f>
        <v>show</v>
      </c>
    </row>
    <row r="7394" spans="1:6">
      <c r="A7394" t="s">
        <v>21954</v>
      </c>
      <c r="B7394" t="s">
        <v>21955</v>
      </c>
      <c r="C7394" t="s">
        <v>21956</v>
      </c>
      <c r="D7394" t="str">
        <f>HYPERLINK("https://github.com/Anuken/Mindustry/issues/2398","show")</f>
        <v>show</v>
      </c>
      <c r="E7394" t="str">
        <f>HYPERLINK("https://github.com/Anuken/Mindustry","show")</f>
        <v>show</v>
      </c>
      <c r="F7394" t="str">
        <f>HYPERLINK("https://github.com/Anuken/Mindustry/releases","show")</f>
        <v>show</v>
      </c>
    </row>
    <row r="7395" spans="1:6">
      <c r="A7395" t="s">
        <v>21957</v>
      </c>
      <c r="B7395" t="s">
        <v>21958</v>
      </c>
      <c r="C7395" t="s">
        <v>21959</v>
      </c>
      <c r="D7395" t="str">
        <f>HYPERLINK("https://github.com/commons-app/apps-android-commons/issues/3906","show")</f>
        <v>show</v>
      </c>
      <c r="E7395" t="str">
        <f>HYPERLINK("https://github.com/commons-app/apps-android-commons","show")</f>
        <v>show</v>
      </c>
      <c r="F7395" t="str">
        <f>HYPERLINK("https://github.com/commons-app/apps-android-commons/releases","show")</f>
        <v>show</v>
      </c>
    </row>
    <row r="7396" spans="1:6">
      <c r="A7396" t="s">
        <v>21960</v>
      </c>
      <c r="B7396" t="s">
        <v>21961</v>
      </c>
      <c r="C7396" t="s">
        <v>21962</v>
      </c>
      <c r="D7396" t="str">
        <f>HYPERLINK("https://github.com/nextcloud/android/issues/6776","show")</f>
        <v>show</v>
      </c>
      <c r="E7396" t="str">
        <f>HYPERLINK("https://github.com/nextcloud/android","show")</f>
        <v>show</v>
      </c>
      <c r="F7396" t="str">
        <f>HYPERLINK("https://github.com/nextcloud/android/releases","show")</f>
        <v>show</v>
      </c>
    </row>
    <row r="7397" spans="1:6">
      <c r="A7397" t="s">
        <v>21963</v>
      </c>
      <c r="B7397" t="s">
        <v>21964</v>
      </c>
      <c r="C7397" t="s">
        <v>21965</v>
      </c>
      <c r="D7397" t="str">
        <f>HYPERLINK("https://github.com/Anuken/Mindustry/issues/2394","show")</f>
        <v>show</v>
      </c>
      <c r="E7397" t="str">
        <f>HYPERLINK("https://github.com/Anuken/Mindustry","show")</f>
        <v>show</v>
      </c>
      <c r="F7397" t="str">
        <f>HYPERLINK("https://github.com/Anuken/Mindustry/releases","show")</f>
        <v>show</v>
      </c>
    </row>
    <row r="7398" spans="1:6">
      <c r="A7398" t="s">
        <v>21966</v>
      </c>
      <c r="B7398" t="s">
        <v>21967</v>
      </c>
      <c r="C7398" t="s">
        <v>21968</v>
      </c>
      <c r="D7398" t="str">
        <f>HYPERLINK("https://github.com/TeamNewPipe/NewPipe/issues/4172","show")</f>
        <v>show</v>
      </c>
      <c r="E7398" t="str">
        <f>HYPERLINK("https://github.com/TeamNewPipe/NewPipe","show")</f>
        <v>show</v>
      </c>
      <c r="F7398" t="str">
        <f>HYPERLINK("https://github.com/TeamNewPipe/NewPipe/releases","show")</f>
        <v>show</v>
      </c>
    </row>
    <row r="7399" spans="1:6">
      <c r="A7399" t="s">
        <v>21969</v>
      </c>
      <c r="B7399" t="s">
        <v>21970</v>
      </c>
      <c r="C7399" t="s">
        <v>21971</v>
      </c>
      <c r="D7399" t="str">
        <f>HYPERLINK("https://github.com/Anuken/Mindustry/issues/2392","show")</f>
        <v>show</v>
      </c>
      <c r="E7399" t="str">
        <f>HYPERLINK("https://github.com/Anuken/Mindustry","show")</f>
        <v>show</v>
      </c>
      <c r="F7399" t="str">
        <f>HYPERLINK("https://github.com/Anuken/Mindustry/releases","show")</f>
        <v>show</v>
      </c>
    </row>
    <row r="7400" spans="1:6">
      <c r="A7400" t="s">
        <v>21972</v>
      </c>
      <c r="B7400" t="s">
        <v>21973</v>
      </c>
      <c r="C7400" t="s">
        <v>21974</v>
      </c>
      <c r="D7400" t="str">
        <f>HYPERLINK("https://github.com/TeamNewPipe/NewPipe/issues/4169","show")</f>
        <v>show</v>
      </c>
      <c r="E7400" t="str">
        <f>HYPERLINK("https://github.com/TeamNewPipe/NewPipe","show")</f>
        <v>show</v>
      </c>
      <c r="F7400" t="str">
        <f>HYPERLINK("https://github.com/TeamNewPipe/NewPipe/releases","show")</f>
        <v>show</v>
      </c>
    </row>
    <row r="7401" spans="1:6">
      <c r="A7401" t="s">
        <v>21975</v>
      </c>
      <c r="B7401" t="s">
        <v>21976</v>
      </c>
      <c r="C7401" t="s">
        <v>21977</v>
      </c>
      <c r="D7401" t="str">
        <f>HYPERLINK("https://github.com/TeamNewPipe/NewPipe/issues/4168","show")</f>
        <v>show</v>
      </c>
      <c r="E7401" t="str">
        <f>HYPERLINK("https://github.com/TeamNewPipe/NewPipe","show")</f>
        <v>show</v>
      </c>
      <c r="F7401" t="str">
        <f>HYPERLINK("https://github.com/TeamNewPipe/NewPipe/releases","show")</f>
        <v>show</v>
      </c>
    </row>
    <row r="7402" spans="1:6">
      <c r="A7402" t="s">
        <v>21978</v>
      </c>
      <c r="B7402" t="s">
        <v>21979</v>
      </c>
      <c r="C7402" t="s">
        <v>21980</v>
      </c>
      <c r="D7402" t="str">
        <f>HYPERLINK("https://github.com/inaturalist/iNaturalistAndroid/issues/891","show")</f>
        <v>show</v>
      </c>
      <c r="E7402" t="str">
        <f>HYPERLINK("https://github.com/inaturalist/iNaturalistAndroid","show")</f>
        <v>show</v>
      </c>
      <c r="F7402" t="str">
        <f>HYPERLINK("https://github.com/inaturalist/iNaturalistAndroid/releases","show")</f>
        <v>show</v>
      </c>
    </row>
    <row r="7403" spans="1:6">
      <c r="A7403" t="s">
        <v>21981</v>
      </c>
      <c r="B7403" t="s">
        <v>21982</v>
      </c>
      <c r="C7403" t="s">
        <v>21983</v>
      </c>
      <c r="D7403" t="str">
        <f>HYPERLINK("https://github.com/nextcloud/android/issues/6766","show")</f>
        <v>show</v>
      </c>
      <c r="E7403" t="str">
        <f>HYPERLINK("https://github.com/nextcloud/android","show")</f>
        <v>show</v>
      </c>
      <c r="F7403" t="str">
        <f>HYPERLINK("https://github.com/nextcloud/android/releases","show")</f>
        <v>show</v>
      </c>
    </row>
    <row r="7404" spans="1:6">
      <c r="A7404" t="s">
        <v>21984</v>
      </c>
      <c r="B7404" t="s">
        <v>21985</v>
      </c>
      <c r="C7404" t="s">
        <v>21986</v>
      </c>
      <c r="D7404" t="str">
        <f>HYPERLINK("https://github.com/aws-amplify/amplify-android/issues/752","show")</f>
        <v>show</v>
      </c>
      <c r="E7404" t="str">
        <f>HYPERLINK("https://github.com/aws-amplify/amplify-android","show")</f>
        <v>show</v>
      </c>
      <c r="F7404" t="str">
        <f>HYPERLINK("https://github.com/aws-amplify/amplify-android/releases","show")</f>
        <v>show</v>
      </c>
    </row>
    <row r="7405" spans="1:6">
      <c r="A7405" t="s">
        <v>21987</v>
      </c>
      <c r="B7405" t="s">
        <v>21988</v>
      </c>
      <c r="C7405" t="s">
        <v>21989</v>
      </c>
      <c r="D7405" t="str">
        <f>HYPERLINK("https://github.com/PhenoApps/Field-Book/issues/145","show")</f>
        <v>show</v>
      </c>
      <c r="E7405" t="str">
        <f>HYPERLINK("https://github.com/PhenoApps/Field-Book","show")</f>
        <v>show</v>
      </c>
      <c r="F7405" t="str">
        <f>HYPERLINK("https://github.com/PhenoApps/Field-Book/releases","show")</f>
        <v>show</v>
      </c>
    </row>
    <row r="7406" spans="1:6">
      <c r="A7406" t="s">
        <v>21990</v>
      </c>
      <c r="B7406" t="s">
        <v>21991</v>
      </c>
      <c r="C7406" t="s">
        <v>21992</v>
      </c>
      <c r="D7406" t="str">
        <f>HYPERLINK("https://github.com/Anuken/Mindustry/issues/2385","show")</f>
        <v>show</v>
      </c>
      <c r="E7406" t="str">
        <f>HYPERLINK("https://github.com/Anuken/Mindustry","show")</f>
        <v>show</v>
      </c>
      <c r="F7406" t="str">
        <f>HYPERLINK("https://github.com/Anuken/Mindustry/releases","show")</f>
        <v>show</v>
      </c>
    </row>
    <row r="7407" spans="1:6">
      <c r="A7407" t="s">
        <v>21993</v>
      </c>
      <c r="B7407" t="s">
        <v>21994</v>
      </c>
      <c r="C7407" t="s">
        <v>21995</v>
      </c>
      <c r="D7407" t="str">
        <f>HYPERLINK("https://github.com/norkator/paketin-seuranta/issues/53","show")</f>
        <v>show</v>
      </c>
      <c r="E7407" t="str">
        <f>HYPERLINK("https://github.com/norkator/paketin-seuranta","show")</f>
        <v>show</v>
      </c>
      <c r="F7407" t="str">
        <f>HYPERLINK("https://github.com/norkator/paketin-seuranta/releases","show")</f>
        <v>show</v>
      </c>
    </row>
    <row r="7408" spans="1:6">
      <c r="A7408" t="s">
        <v>21996</v>
      </c>
      <c r="B7408" t="s">
        <v>21997</v>
      </c>
      <c r="C7408" t="s">
        <v>21998</v>
      </c>
      <c r="D7408" t="str">
        <f>HYPERLINK("https://github.com/TeamNewPipe/NewPipe/issues/4165","show")</f>
        <v>show</v>
      </c>
      <c r="E7408" t="str">
        <f>HYPERLINK("https://github.com/TeamNewPipe/NewPipe","show")</f>
        <v>show</v>
      </c>
      <c r="F7408" t="str">
        <f>HYPERLINK("https://github.com/TeamNewPipe/NewPipe/releases","show")</f>
        <v>show</v>
      </c>
    </row>
    <row r="7409" spans="1:6">
      <c r="A7409" t="s">
        <v>21999</v>
      </c>
      <c r="B7409" t="s">
        <v>22000</v>
      </c>
      <c r="C7409" t="s">
        <v>22001</v>
      </c>
      <c r="D7409" t="str">
        <f>HYPERLINK("https://github.com/nextcloud/android/issues/6755","show")</f>
        <v>show</v>
      </c>
      <c r="E7409" t="str">
        <f>HYPERLINK("https://github.com/nextcloud/android","show")</f>
        <v>show</v>
      </c>
      <c r="F7409" t="str">
        <f>HYPERLINK("https://github.com/nextcloud/android/releases","show")</f>
        <v>show</v>
      </c>
    </row>
    <row r="7410" spans="1:6">
      <c r="A7410" t="s">
        <v>22002</v>
      </c>
      <c r="B7410" t="s">
        <v>22003</v>
      </c>
      <c r="C7410" t="s">
        <v>22004</v>
      </c>
      <c r="D7410" t="str">
        <f>HYPERLINK("https://github.com/Anuken/Mindustry/issues/2384","show")</f>
        <v>show</v>
      </c>
      <c r="E7410" t="str">
        <f>HYPERLINK("https://github.com/Anuken/Mindustry","show")</f>
        <v>show</v>
      </c>
      <c r="F7410" t="str">
        <f>HYPERLINK("https://github.com/Anuken/Mindustry/releases","show")</f>
        <v>show</v>
      </c>
    </row>
    <row r="7411" spans="1:6">
      <c r="A7411" t="s">
        <v>22005</v>
      </c>
      <c r="B7411" t="s">
        <v>22006</v>
      </c>
      <c r="C7411" t="s">
        <v>22007</v>
      </c>
      <c r="D7411" t="str">
        <f>HYPERLINK("https://github.com/ILikeBananas/ILBSYS_android/issues/2","show")</f>
        <v>show</v>
      </c>
      <c r="E7411" t="str">
        <f>HYPERLINK("https://github.com/ILikeBananas/ILBSYS_android","show")</f>
        <v>show</v>
      </c>
      <c r="F7411" t="str">
        <f>HYPERLINK("https://github.com/ILikeBananas/ILBSYS_android/releases","show")</f>
        <v>show</v>
      </c>
    </row>
    <row r="7412" spans="1:6">
      <c r="A7412" t="s">
        <v>22008</v>
      </c>
      <c r="B7412" t="s">
        <v>22009</v>
      </c>
      <c r="C7412" t="s">
        <v>22010</v>
      </c>
      <c r="D7412" t="str">
        <f>HYPERLINK("https://github.com/onaio/rdt-standard/issues/448","show")</f>
        <v>show</v>
      </c>
      <c r="E7412" t="str">
        <f>HYPERLINK("https://github.com/onaio/rdt-standard","show")</f>
        <v>show</v>
      </c>
      <c r="F7412" t="str">
        <f>HYPERLINK("https://github.com/onaio/rdt-standard/releases","show")</f>
        <v>show</v>
      </c>
    </row>
    <row r="7413" spans="1:6">
      <c r="A7413" t="s">
        <v>22011</v>
      </c>
      <c r="B7413" t="s">
        <v>22012</v>
      </c>
      <c r="C7413" t="s">
        <v>22013</v>
      </c>
      <c r="D7413" t="str">
        <f>HYPERLINK("https://github.com/inaturalist/iNaturalistAndroid/issues/890","show")</f>
        <v>show</v>
      </c>
      <c r="E7413" t="str">
        <f>HYPERLINK("https://github.com/inaturalist/iNaturalistAndroid","show")</f>
        <v>show</v>
      </c>
      <c r="F7413" t="str">
        <f>HYPERLINK("https://github.com/inaturalist/iNaturalistAndroid/releases","show")</f>
        <v>show</v>
      </c>
    </row>
    <row r="7414" spans="1:6">
      <c r="A7414" t="s">
        <v>22014</v>
      </c>
      <c r="B7414" t="s">
        <v>22015</v>
      </c>
      <c r="C7414" t="s">
        <v>22016</v>
      </c>
      <c r="D7414" t="str">
        <f>HYPERLINK("https://github.com/inaturalist/iNaturalistAndroid/issues/889","show")</f>
        <v>show</v>
      </c>
      <c r="E7414" t="str">
        <f>HYPERLINK("https://github.com/inaturalist/iNaturalistAndroid","show")</f>
        <v>show</v>
      </c>
      <c r="F7414" t="str">
        <f>HYPERLINK("https://github.com/inaturalist/iNaturalistAndroid/releases","show")</f>
        <v>show</v>
      </c>
    </row>
    <row r="7415" spans="1:6">
      <c r="A7415" t="s">
        <v>22017</v>
      </c>
      <c r="B7415" t="s">
        <v>22018</v>
      </c>
      <c r="C7415" t="s">
        <v>22019</v>
      </c>
      <c r="D7415" t="str">
        <f>HYPERLINK("https://github.com/Anuken/Mindustry/issues/2380","show")</f>
        <v>show</v>
      </c>
      <c r="E7415" t="str">
        <f>HYPERLINK("https://github.com/Anuken/Mindustry","show")</f>
        <v>show</v>
      </c>
      <c r="F7415" t="str">
        <f>HYPERLINK("https://github.com/Anuken/Mindustry/releases","show")</f>
        <v>show</v>
      </c>
    </row>
    <row r="7416" spans="1:6">
      <c r="A7416" t="s">
        <v>22020</v>
      </c>
      <c r="B7416" t="s">
        <v>22021</v>
      </c>
      <c r="C7416" t="s">
        <v>22022</v>
      </c>
      <c r="D7416" t="str">
        <f>HYPERLINK("https://github.com/Anuken/Mindustry/issues/2379","show")</f>
        <v>show</v>
      </c>
      <c r="E7416" t="str">
        <f>HYPERLINK("https://github.com/Anuken/Mindustry","show")</f>
        <v>show</v>
      </c>
      <c r="F7416" t="str">
        <f>HYPERLINK("https://github.com/Anuken/Mindustry/releases","show")</f>
        <v>show</v>
      </c>
    </row>
    <row r="7417" spans="1:6">
      <c r="A7417" t="s">
        <v>22023</v>
      </c>
      <c r="B7417" t="s">
        <v>22024</v>
      </c>
      <c r="C7417" t="s">
        <v>22025</v>
      </c>
      <c r="D7417" t="str">
        <f>HYPERLINK("https://github.com/Anuken/Mindustry/issues/2378","show")</f>
        <v>show</v>
      </c>
      <c r="E7417" t="str">
        <f>HYPERLINK("https://github.com/Anuken/Mindustry","show")</f>
        <v>show</v>
      </c>
      <c r="F7417" t="str">
        <f>HYPERLINK("https://github.com/Anuken/Mindustry/releases","show")</f>
        <v>show</v>
      </c>
    </row>
    <row r="7418" spans="1:6">
      <c r="A7418" t="s">
        <v>22026</v>
      </c>
      <c r="B7418" t="s">
        <v>22027</v>
      </c>
      <c r="C7418" t="s">
        <v>22028</v>
      </c>
      <c r="D7418" t="str">
        <f>HYPERLINK("https://github.com/Anuken/Mindustry/issues/2377","show")</f>
        <v>show</v>
      </c>
      <c r="E7418" t="str">
        <f>HYPERLINK("https://github.com/Anuken/Mindustry","show")</f>
        <v>show</v>
      </c>
      <c r="F7418" t="str">
        <f>HYPERLINK("https://github.com/Anuken/Mindustry/releases","show")</f>
        <v>show</v>
      </c>
    </row>
    <row r="7419" spans="1:6">
      <c r="A7419" t="s">
        <v>22029</v>
      </c>
      <c r="B7419" t="s">
        <v>22030</v>
      </c>
      <c r="C7419" t="s">
        <v>22031</v>
      </c>
      <c r="D7419" t="str">
        <f>HYPERLINK("https://github.com/ILikeBananas/ILBSYS_android/issues/1","show")</f>
        <v>show</v>
      </c>
      <c r="E7419" t="str">
        <f>HYPERLINK("https://github.com/ILikeBananas/ILBSYS_android","show")</f>
        <v>show</v>
      </c>
      <c r="F7419" t="str">
        <f>HYPERLINK("https://github.com/ILikeBananas/ILBSYS_android/releases","show")</f>
        <v>show</v>
      </c>
    </row>
    <row r="7420" spans="1:6">
      <c r="A7420" t="s">
        <v>22032</v>
      </c>
      <c r="B7420" t="s">
        <v>22033</v>
      </c>
      <c r="C7420" t="s">
        <v>22034</v>
      </c>
      <c r="D7420" t="str">
        <f>HYPERLINK("https://github.com/opensrp/opensrp-client-reveal/issues/911","show")</f>
        <v>show</v>
      </c>
      <c r="E7420" t="str">
        <f>HYPERLINK("https://github.com/opensrp/opensrp-client-reveal","show")</f>
        <v>show</v>
      </c>
      <c r="F7420" t="str">
        <f>HYPERLINK("https://github.com/opensrp/opensrp-client-reveal/releases","show")</f>
        <v>show</v>
      </c>
    </row>
    <row r="7421" spans="1:6">
      <c r="A7421" t="s">
        <v>22035</v>
      </c>
      <c r="B7421" t="s">
        <v>22036</v>
      </c>
      <c r="C7421" t="s">
        <v>22037</v>
      </c>
      <c r="D7421" t="str">
        <f>HYPERLINK("https://github.com/nextcloud/android/issues/6749","show")</f>
        <v>show</v>
      </c>
      <c r="E7421" t="str">
        <f>HYPERLINK("https://github.com/nextcloud/android","show")</f>
        <v>show</v>
      </c>
      <c r="F7421" t="str">
        <f>HYPERLINK("https://github.com/nextcloud/android/releases","show")</f>
        <v>show</v>
      </c>
    </row>
    <row r="7422" spans="1:6">
      <c r="A7422" t="s">
        <v>22038</v>
      </c>
      <c r="B7422" t="s">
        <v>22039</v>
      </c>
      <c r="C7422" t="s">
        <v>22040</v>
      </c>
      <c r="D7422" t="str">
        <f>HYPERLINK("https://github.com/Anuken/Mindustry/issues/2376","show")</f>
        <v>show</v>
      </c>
      <c r="E7422" t="str">
        <f>HYPERLINK("https://github.com/Anuken/Mindustry","show")</f>
        <v>show</v>
      </c>
      <c r="F7422" t="str">
        <f>HYPERLINK("https://github.com/Anuken/Mindustry/releases","show")</f>
        <v>show</v>
      </c>
    </row>
    <row r="7423" spans="1:6">
      <c r="A7423" t="s">
        <v>22041</v>
      </c>
      <c r="B7423" t="s">
        <v>22042</v>
      </c>
      <c r="C7423" t="s">
        <v>22043</v>
      </c>
      <c r="D7423" t="str">
        <f>HYPERLINK("https://github.com/Anuken/Mindustry/issues/2373","show")</f>
        <v>show</v>
      </c>
      <c r="E7423" t="str">
        <f>HYPERLINK("https://github.com/Anuken/Mindustry","show")</f>
        <v>show</v>
      </c>
      <c r="F7423" t="str">
        <f>HYPERLINK("https://github.com/Anuken/Mindustry/releases","show")</f>
        <v>show</v>
      </c>
    </row>
    <row r="7424" spans="1:6">
      <c r="A7424" t="s">
        <v>22044</v>
      </c>
      <c r="B7424" t="s">
        <v>22045</v>
      </c>
      <c r="C7424" t="s">
        <v>22046</v>
      </c>
      <c r="D7424" t="str">
        <f>HYPERLINK("https://github.com/TeamNewPipe/NewPipe/issues/4161","show")</f>
        <v>show</v>
      </c>
      <c r="E7424" t="str">
        <f>HYPERLINK("https://github.com/TeamNewPipe/NewPipe","show")</f>
        <v>show</v>
      </c>
      <c r="F7424" t="str">
        <f>HYPERLINK("https://github.com/TeamNewPipe/NewPipe/releases","show")</f>
        <v>show</v>
      </c>
    </row>
    <row r="7425" spans="1:6">
      <c r="A7425" t="s">
        <v>22047</v>
      </c>
      <c r="B7425" t="s">
        <v>22048</v>
      </c>
      <c r="C7425" t="s">
        <v>22049</v>
      </c>
      <c r="D7425" t="str">
        <f>HYPERLINK("https://github.com/cgeo/WhereYouGo/issues/201","show")</f>
        <v>show</v>
      </c>
      <c r="E7425" t="str">
        <f>HYPERLINK("https://github.com/cgeo/WhereYouGo","show")</f>
        <v>show</v>
      </c>
      <c r="F7425" t="str">
        <f>HYPERLINK("https://github.com/cgeo/WhereYouGo/releases","show")</f>
        <v>show</v>
      </c>
    </row>
    <row r="7426" spans="1:6">
      <c r="A7426" t="s">
        <v>22050</v>
      </c>
      <c r="B7426" t="s">
        <v>22051</v>
      </c>
      <c r="C7426" t="s">
        <v>22052</v>
      </c>
      <c r="D7426" t="str">
        <f>HYPERLINK("https://github.com/Anuken/Mindustry/issues/2371","show")</f>
        <v>show</v>
      </c>
      <c r="E7426" t="str">
        <f>HYPERLINK("https://github.com/Anuken/Mindustry","show")</f>
        <v>show</v>
      </c>
      <c r="F7426" t="str">
        <f>HYPERLINK("https://github.com/Anuken/Mindustry/releases","show")</f>
        <v>show</v>
      </c>
    </row>
    <row r="7427" spans="1:6">
      <c r="A7427" t="s">
        <v>22053</v>
      </c>
      <c r="B7427" t="s">
        <v>22054</v>
      </c>
      <c r="C7427" t="s">
        <v>22055</v>
      </c>
      <c r="D7427" t="str">
        <f>HYPERLINK("https://github.com/TeamNewPipe/NewPipe/issues/4159","show")</f>
        <v>show</v>
      </c>
      <c r="E7427" t="str">
        <f>HYPERLINK("https://github.com/TeamNewPipe/NewPipe","show")</f>
        <v>show</v>
      </c>
      <c r="F7427" t="str">
        <f>HYPERLINK("https://github.com/TeamNewPipe/NewPipe/releases","show")</f>
        <v>show</v>
      </c>
    </row>
    <row r="7428" spans="1:6">
      <c r="A7428" t="s">
        <v>22056</v>
      </c>
      <c r="B7428" t="s">
        <v>22057</v>
      </c>
      <c r="C7428" t="s">
        <v>22058</v>
      </c>
      <c r="D7428" t="str">
        <f>HYPERLINK("https://github.com/MuntashirAkon/AppManager/issues/68","show")</f>
        <v>show</v>
      </c>
      <c r="E7428" t="str">
        <f>HYPERLINK("https://github.com/MuntashirAkon/AppManager","show")</f>
        <v>show</v>
      </c>
      <c r="F7428" t="str">
        <f>HYPERLINK("https://github.com/MuntashirAkon/AppManager/releases","show")</f>
        <v>show</v>
      </c>
    </row>
    <row r="7429" spans="1:6">
      <c r="A7429" t="s">
        <v>22059</v>
      </c>
      <c r="B7429" t="s">
        <v>22060</v>
      </c>
      <c r="C7429" t="s">
        <v>22061</v>
      </c>
      <c r="D7429" t="str">
        <f>HYPERLINK("https://github.com/Anuken/Mindustry/issues/2367","show")</f>
        <v>show</v>
      </c>
      <c r="E7429" t="str">
        <f>HYPERLINK("https://github.com/Anuken/Mindustry","show")</f>
        <v>show</v>
      </c>
      <c r="F7429" t="str">
        <f>HYPERLINK("https://github.com/Anuken/Mindustry/releases","show")</f>
        <v>show</v>
      </c>
    </row>
    <row r="7430" spans="1:6">
      <c r="A7430" t="s">
        <v>22062</v>
      </c>
      <c r="B7430" t="s">
        <v>22063</v>
      </c>
      <c r="C7430" t="s">
        <v>22064</v>
      </c>
      <c r="D7430" t="str">
        <f>HYPERLINK("https://github.com/TeamNewPipe/NewPipe-legacy/issues/38","show")</f>
        <v>show</v>
      </c>
      <c r="E7430" t="str">
        <f>HYPERLINK("https://github.com/TeamNewPipe/NewPipe-legacy","show")</f>
        <v>show</v>
      </c>
      <c r="F7430" t="str">
        <f>HYPERLINK("https://github.com/TeamNewPipe/NewPipe-legacy/releases","show")</f>
        <v>show</v>
      </c>
    </row>
    <row r="7431" spans="1:6">
      <c r="A7431" t="s">
        <v>22065</v>
      </c>
      <c r="B7431" t="s">
        <v>22066</v>
      </c>
      <c r="C7431" t="s">
        <v>21882</v>
      </c>
      <c r="D7431" t="str">
        <f>HYPERLINK("https://github.com/Anuken/Mindustry/issues/2365","show")</f>
        <v>show</v>
      </c>
      <c r="E7431" t="str">
        <f>HYPERLINK("https://github.com/Anuken/Mindustry","show")</f>
        <v>show</v>
      </c>
      <c r="F7431" t="str">
        <f>HYPERLINK("https://github.com/Anuken/Mindustry/releases","show")</f>
        <v>show</v>
      </c>
    </row>
    <row r="7432" spans="1:6">
      <c r="A7432" t="s">
        <v>22067</v>
      </c>
      <c r="B7432" t="s">
        <v>21843</v>
      </c>
      <c r="C7432" t="s">
        <v>22068</v>
      </c>
      <c r="D7432" t="str">
        <f>HYPERLINK("https://github.com/inaturalist/iNaturalistAndroid/issues/884","show")</f>
        <v>show</v>
      </c>
      <c r="E7432" t="str">
        <f>HYPERLINK("https://github.com/inaturalist/iNaturalistAndroid","show")</f>
        <v>show</v>
      </c>
      <c r="F7432" t="str">
        <f>HYPERLINK("https://github.com/inaturalist/iNaturalistAndroid/releases","show")</f>
        <v>show</v>
      </c>
    </row>
    <row r="7433" spans="1:6">
      <c r="A7433" t="s">
        <v>22069</v>
      </c>
      <c r="B7433" t="s">
        <v>22070</v>
      </c>
      <c r="C7433" t="s">
        <v>22071</v>
      </c>
      <c r="D7433" t="str">
        <f>HYPERLINK("https://github.com/inaturalist/iNaturalistAndroid/issues/883","show")</f>
        <v>show</v>
      </c>
      <c r="E7433" t="str">
        <f>HYPERLINK("https://github.com/inaturalist/iNaturalistAndroid","show")</f>
        <v>show</v>
      </c>
      <c r="F7433" t="str">
        <f>HYPERLINK("https://github.com/inaturalist/iNaturalistAndroid/releases","show")</f>
        <v>show</v>
      </c>
    </row>
    <row r="7434" spans="1:6">
      <c r="A7434" t="s">
        <v>22072</v>
      </c>
      <c r="B7434" t="s">
        <v>22073</v>
      </c>
      <c r="C7434" t="s">
        <v>22074</v>
      </c>
      <c r="D7434" t="str">
        <f>HYPERLINK("https://github.com/Anuken/Mindustry/issues/2364","show")</f>
        <v>show</v>
      </c>
      <c r="E7434" t="str">
        <f>HYPERLINK("https://github.com/Anuken/Mindustry","show")</f>
        <v>show</v>
      </c>
      <c r="F7434" t="str">
        <f>HYPERLINK("https://github.com/Anuken/Mindustry/releases","show")</f>
        <v>show</v>
      </c>
    </row>
    <row r="7435" spans="1:6">
      <c r="A7435" t="s">
        <v>22075</v>
      </c>
      <c r="B7435" t="s">
        <v>22076</v>
      </c>
      <c r="C7435" t="s">
        <v>22077</v>
      </c>
      <c r="D7435" t="str">
        <f>HYPERLINK("https://github.com/nextcloud/android/issues/6720","show")</f>
        <v>show</v>
      </c>
      <c r="E7435" t="str">
        <f>HYPERLINK("https://github.com/nextcloud/android","show")</f>
        <v>show</v>
      </c>
      <c r="F7435" t="str">
        <f>HYPERLINK("https://github.com/nextcloud/android/releases","show")</f>
        <v>show</v>
      </c>
    </row>
    <row r="7436" spans="1:6">
      <c r="A7436" t="s">
        <v>22078</v>
      </c>
      <c r="B7436" t="s">
        <v>22079</v>
      </c>
      <c r="C7436" t="s">
        <v>22080</v>
      </c>
      <c r="D7436" t="str">
        <f>HYPERLINK("https://github.com/nextcloud/android/issues/6719","show")</f>
        <v>show</v>
      </c>
      <c r="E7436" t="str">
        <f>HYPERLINK("https://github.com/nextcloud/android","show")</f>
        <v>show</v>
      </c>
      <c r="F7436" t="str">
        <f>HYPERLINK("https://github.com/nextcloud/android/releases","show")</f>
        <v>show</v>
      </c>
    </row>
    <row r="7437" spans="1:6">
      <c r="A7437" t="s">
        <v>22081</v>
      </c>
      <c r="B7437" t="s">
        <v>22082</v>
      </c>
      <c r="C7437" t="s">
        <v>22083</v>
      </c>
      <c r="D7437" t="str">
        <f>HYPERLINK("https://github.com/Anuken/Mindustry/issues/2363","show")</f>
        <v>show</v>
      </c>
      <c r="E7437" t="str">
        <f>HYPERLINK("https://github.com/Anuken/Mindustry","show")</f>
        <v>show</v>
      </c>
      <c r="F7437" t="str">
        <f>HYPERLINK("https://github.com/Anuken/Mindustry/releases","show")</f>
        <v>show</v>
      </c>
    </row>
    <row r="7438" spans="1:6">
      <c r="A7438" t="s">
        <v>22084</v>
      </c>
      <c r="B7438" t="s">
        <v>22085</v>
      </c>
      <c r="C7438" t="s">
        <v>22086</v>
      </c>
      <c r="D7438" t="str">
        <f>HYPERLINK("https://github.com/Anuken/Mindustry/issues/2361","show")</f>
        <v>show</v>
      </c>
      <c r="E7438" t="str">
        <f>HYPERLINK("https://github.com/Anuken/Mindustry","show")</f>
        <v>show</v>
      </c>
      <c r="F7438" t="str">
        <f>HYPERLINK("https://github.com/Anuken/Mindustry/releases","show")</f>
        <v>show</v>
      </c>
    </row>
    <row r="7439" spans="1:6">
      <c r="A7439" t="s">
        <v>22087</v>
      </c>
      <c r="B7439" t="s">
        <v>22088</v>
      </c>
      <c r="C7439" t="s">
        <v>22089</v>
      </c>
      <c r="D7439" t="str">
        <f>HYPERLINK("https://github.com/amahi/android/issues/625","show")</f>
        <v>show</v>
      </c>
      <c r="E7439" t="str">
        <f>HYPERLINK("https://github.com/amahi/android","show")</f>
        <v>show</v>
      </c>
      <c r="F7439" t="str">
        <f>HYPERLINK("https://github.com/amahi/android/releases","show")</f>
        <v>show</v>
      </c>
    </row>
    <row r="7440" spans="1:6">
      <c r="A7440" t="s">
        <v>22090</v>
      </c>
      <c r="B7440" t="s">
        <v>22091</v>
      </c>
      <c r="C7440" t="s">
        <v>22092</v>
      </c>
      <c r="D7440" t="str">
        <f>HYPERLINK("https://github.com/ltGuillaume/DroidShows/issues/91","show")</f>
        <v>show</v>
      </c>
      <c r="E7440" t="str">
        <f>HYPERLINK("https://github.com/ltGuillaume/DroidShows","show")</f>
        <v>show</v>
      </c>
      <c r="F7440" t="str">
        <f>HYPERLINK("https://github.com/ltGuillaume/DroidShows/releases","show")</f>
        <v>show</v>
      </c>
    </row>
    <row r="7441" spans="1:6">
      <c r="A7441" t="s">
        <v>22093</v>
      </c>
      <c r="B7441" t="s">
        <v>22094</v>
      </c>
      <c r="C7441" t="s">
        <v>21882</v>
      </c>
      <c r="D7441" t="str">
        <f>HYPERLINK("https://github.com/Anuken/Mindustry/issues/2360","show")</f>
        <v>show</v>
      </c>
      <c r="E7441" t="str">
        <f>HYPERLINK("https://github.com/Anuken/Mindustry","show")</f>
        <v>show</v>
      </c>
      <c r="F7441" t="str">
        <f>HYPERLINK("https://github.com/Anuken/Mindustry/releases","show")</f>
        <v>show</v>
      </c>
    </row>
    <row r="7442" spans="1:6">
      <c r="A7442" t="s">
        <v>22095</v>
      </c>
      <c r="B7442" t="s">
        <v>6300</v>
      </c>
      <c r="C7442" t="s">
        <v>22096</v>
      </c>
      <c r="D7442" t="str">
        <f>HYPERLINK("https://github.com/andOTP/andOTP/issues/631","show")</f>
        <v>show</v>
      </c>
      <c r="E7442" t="str">
        <f>HYPERLINK("https://github.com/andOTP/andOTP","show")</f>
        <v>show</v>
      </c>
      <c r="F7442" t="str">
        <f>HYPERLINK("https://github.com/andOTP/andOTP/releases","show")</f>
        <v>show</v>
      </c>
    </row>
    <row r="7443" spans="1:6">
      <c r="A7443" t="s">
        <v>22097</v>
      </c>
      <c r="B7443" t="s">
        <v>22098</v>
      </c>
      <c r="C7443" t="s">
        <v>22099</v>
      </c>
      <c r="D7443" t="str">
        <f>HYPERLINK("https://github.com/cgeo/cgeo/issues/8813","show")</f>
        <v>show</v>
      </c>
      <c r="E7443" t="str">
        <f>HYPERLINK("https://github.com/cgeo/cgeo","show")</f>
        <v>show</v>
      </c>
      <c r="F7443" t="str">
        <f>HYPERLINK("https://github.com/cgeo/cgeo/releases","show")</f>
        <v>show</v>
      </c>
    </row>
    <row r="7444" spans="1:6">
      <c r="A7444" t="s">
        <v>22100</v>
      </c>
      <c r="B7444" t="s">
        <v>22101</v>
      </c>
      <c r="C7444" t="s">
        <v>22102</v>
      </c>
      <c r="D7444" t="str">
        <f>HYPERLINK("https://github.com/TeamNewPipe/NewPipe/issues/4139","show")</f>
        <v>show</v>
      </c>
      <c r="E7444" t="str">
        <f>HYPERLINK("https://github.com/TeamNewPipe/NewPipe","show")</f>
        <v>show</v>
      </c>
      <c r="F7444" t="str">
        <f>HYPERLINK("https://github.com/TeamNewPipe/NewPipe/releases","show")</f>
        <v>show</v>
      </c>
    </row>
    <row r="7445" spans="1:6">
      <c r="A7445" t="s">
        <v>22103</v>
      </c>
      <c r="B7445" t="s">
        <v>22104</v>
      </c>
      <c r="C7445" t="s">
        <v>22105</v>
      </c>
      <c r="D7445" t="str">
        <f>HYPERLINK("https://github.com/deltachat/deltachat-android/issues/1565","show")</f>
        <v>show</v>
      </c>
      <c r="E7445" t="str">
        <f>HYPERLINK("https://github.com/deltachat/deltachat-android","show")</f>
        <v>show</v>
      </c>
      <c r="F7445" t="str">
        <f>HYPERLINK("https://github.com/deltachat/deltachat-android/releases","show")</f>
        <v>show</v>
      </c>
    </row>
    <row r="7446" spans="1:6">
      <c r="A7446" t="s">
        <v>22106</v>
      </c>
      <c r="B7446" t="s">
        <v>22107</v>
      </c>
      <c r="C7446" t="s">
        <v>22108</v>
      </c>
      <c r="D7446" t="str">
        <f>HYPERLINK("https://github.com/TeamNewPipe/NewPipe/issues/4137","show")</f>
        <v>show</v>
      </c>
      <c r="E7446" t="str">
        <f>HYPERLINK("https://github.com/TeamNewPipe/NewPipe","show")</f>
        <v>show</v>
      </c>
      <c r="F7446" t="str">
        <f>HYPERLINK("https://github.com/TeamNewPipe/NewPipe/releases","show")</f>
        <v>show</v>
      </c>
    </row>
    <row r="7447" spans="1:6">
      <c r="A7447" t="s">
        <v>22109</v>
      </c>
      <c r="B7447" t="s">
        <v>22110</v>
      </c>
      <c r="C7447" t="s">
        <v>22111</v>
      </c>
      <c r="D7447" t="str">
        <f>HYPERLINK("https://github.com/nikita36078/J2ME-Loader/issues/721","show")</f>
        <v>show</v>
      </c>
      <c r="E7447" t="str">
        <f>HYPERLINK("https://github.com/nikita36078/J2ME-Loader","show")</f>
        <v>show</v>
      </c>
      <c r="F7447" t="str">
        <f>HYPERLINK("https://github.com/nikita36078/J2ME-Loader/releases","show")</f>
        <v>show</v>
      </c>
    </row>
    <row r="7448" spans="1:6">
      <c r="A7448" t="s">
        <v>22112</v>
      </c>
      <c r="B7448" t="s">
        <v>22113</v>
      </c>
      <c r="C7448" t="s">
        <v>22114</v>
      </c>
      <c r="D7448" t="str">
        <f>HYPERLINK("https://github.com/TeamNewPipe/NewPipe/issues/4132","show")</f>
        <v>show</v>
      </c>
      <c r="E7448" t="str">
        <f>HYPERLINK("https://github.com/TeamNewPipe/NewPipe","show")</f>
        <v>show</v>
      </c>
      <c r="F7448" t="str">
        <f>HYPERLINK("https://github.com/TeamNewPipe/NewPipe/releases","show")</f>
        <v>show</v>
      </c>
    </row>
    <row r="7449" spans="1:6">
      <c r="A7449" t="s">
        <v>22115</v>
      </c>
      <c r="B7449" t="s">
        <v>22116</v>
      </c>
      <c r="C7449" t="s">
        <v>22117</v>
      </c>
      <c r="D7449" t="str">
        <f>HYPERLINK("https://github.com/mh-/corona-warn-companion-android/issues/9","show")</f>
        <v>show</v>
      </c>
      <c r="E7449" t="str">
        <f>HYPERLINK("https://github.com/mh-/corona-warn-companion-android","show")</f>
        <v>show</v>
      </c>
      <c r="F7449" t="str">
        <f>HYPERLINK("https://github.com/mh-/corona-warn-companion-android/releases","show")</f>
        <v>show</v>
      </c>
    </row>
    <row r="7450" spans="1:6">
      <c r="A7450" t="s">
        <v>22118</v>
      </c>
      <c r="B7450" t="s">
        <v>22119</v>
      </c>
      <c r="C7450" t="s">
        <v>22120</v>
      </c>
      <c r="D7450" t="str">
        <f>HYPERLINK("https://github.com/Anuken/Mindustry/issues/2353","show")</f>
        <v>show</v>
      </c>
      <c r="E7450" t="str">
        <f>HYPERLINK("https://github.com/Anuken/Mindustry","show")</f>
        <v>show</v>
      </c>
      <c r="F7450" t="str">
        <f>HYPERLINK("https://github.com/Anuken/Mindustry/releases","show")</f>
        <v>show</v>
      </c>
    </row>
    <row r="7451" spans="1:6">
      <c r="A7451" t="s">
        <v>22121</v>
      </c>
      <c r="B7451" t="s">
        <v>22122</v>
      </c>
      <c r="C7451" t="s">
        <v>22123</v>
      </c>
      <c r="D7451" t="str">
        <f>HYPERLINK("https://github.com/Goujer/kanojo_app/issues/2","show")</f>
        <v>show</v>
      </c>
      <c r="E7451" t="str">
        <f>HYPERLINK("https://github.com/Goujer/kanojo_app","show")</f>
        <v>show</v>
      </c>
      <c r="F7451" t="str">
        <f>HYPERLINK("https://github.com/Goujer/kanojo_app/releases","show")</f>
        <v>show</v>
      </c>
    </row>
    <row r="7452" spans="1:6">
      <c r="A7452" t="s">
        <v>22124</v>
      </c>
      <c r="B7452" t="s">
        <v>22125</v>
      </c>
      <c r="C7452" t="s">
        <v>22126</v>
      </c>
      <c r="D7452" t="str">
        <f>HYPERLINK("https://github.com/cfirinidis/GotNXT/issues/79","show")</f>
        <v>show</v>
      </c>
      <c r="E7452" t="str">
        <f>HYPERLINK("https://github.com/cfirinidis/GotNXT","show")</f>
        <v>show</v>
      </c>
      <c r="F7452" t="str">
        <f>HYPERLINK("https://github.com/cfirinidis/GotNXT/releases","show")</f>
        <v>show</v>
      </c>
    </row>
    <row r="7453" spans="1:6">
      <c r="A7453" t="s">
        <v>22127</v>
      </c>
      <c r="B7453" t="s">
        <v>22128</v>
      </c>
      <c r="C7453" t="s">
        <v>22129</v>
      </c>
      <c r="D7453" t="str">
        <f>HYPERLINK("https://github.com/Anuken/Mindustry/issues/2352","show")</f>
        <v>show</v>
      </c>
      <c r="E7453" t="str">
        <f>HYPERLINK("https://github.com/Anuken/Mindustry","show")</f>
        <v>show</v>
      </c>
      <c r="F7453" t="str">
        <f>HYPERLINK("https://github.com/Anuken/Mindustry/releases","show")</f>
        <v>show</v>
      </c>
    </row>
    <row r="7454" spans="1:6">
      <c r="A7454" t="s">
        <v>22130</v>
      </c>
      <c r="B7454" t="s">
        <v>22131</v>
      </c>
      <c r="C7454" t="s">
        <v>22132</v>
      </c>
      <c r="D7454" t="str">
        <f>HYPERLINK("https://github.com/material-components/material-components-android/issues/1617","show")</f>
        <v>show</v>
      </c>
      <c r="E7454" t="str">
        <f>HYPERLINK("https://github.com/material-components/material-components-android","show")</f>
        <v>show</v>
      </c>
      <c r="F7454" t="str">
        <f>HYPERLINK("https://github.com/material-components/material-components-android/releases","show")</f>
        <v>show</v>
      </c>
    </row>
    <row r="7455" spans="1:6">
      <c r="A7455" t="s">
        <v>22133</v>
      </c>
      <c r="B7455" t="s">
        <v>22134</v>
      </c>
      <c r="C7455" t="s">
        <v>22135</v>
      </c>
      <c r="D7455" t="str">
        <f>HYPERLINK("https://github.com/opensrp/opensrp-client-reveal/issues/887","show")</f>
        <v>show</v>
      </c>
      <c r="E7455" t="str">
        <f>HYPERLINK("https://github.com/opensrp/opensrp-client-reveal","show")</f>
        <v>show</v>
      </c>
      <c r="F7455" t="str">
        <f>HYPERLINK("https://github.com/opensrp/opensrp-client-reveal/releases","show")</f>
        <v>show</v>
      </c>
    </row>
    <row r="7456" spans="1:6">
      <c r="A7456" t="s">
        <v>22136</v>
      </c>
      <c r="B7456" t="s">
        <v>22137</v>
      </c>
      <c r="C7456" t="s">
        <v>22138</v>
      </c>
      <c r="D7456" t="str">
        <f>HYPERLINK("https://github.com/Anuken/Mindustry/issues/2350","show")</f>
        <v>show</v>
      </c>
      <c r="E7456" t="str">
        <f>HYPERLINK("https://github.com/Anuken/Mindustry","show")</f>
        <v>show</v>
      </c>
      <c r="F7456" t="str">
        <f>HYPERLINK("https://github.com/Anuken/Mindustry/releases","show")</f>
        <v>show</v>
      </c>
    </row>
    <row r="7457" spans="1:6">
      <c r="A7457" t="s">
        <v>22139</v>
      </c>
      <c r="B7457" t="s">
        <v>22140</v>
      </c>
      <c r="C7457" t="s">
        <v>22141</v>
      </c>
      <c r="D7457" t="str">
        <f>HYPERLINK("https://github.com/Anuken/Mindustry/issues/2347","show")</f>
        <v>show</v>
      </c>
      <c r="E7457" t="str">
        <f>HYPERLINK("https://github.com/Anuken/Mindustry","show")</f>
        <v>show</v>
      </c>
      <c r="F7457" t="str">
        <f>HYPERLINK("https://github.com/Anuken/Mindustry/releases","show")</f>
        <v>show</v>
      </c>
    </row>
    <row r="7458" spans="1:6">
      <c r="A7458" t="s">
        <v>22142</v>
      </c>
      <c r="B7458" t="s">
        <v>22143</v>
      </c>
      <c r="C7458" t="s">
        <v>22144</v>
      </c>
      <c r="D7458" t="str">
        <f>HYPERLINK("https://github.com/csparkresearch/kuttypy-android/issues/1","show")</f>
        <v>show</v>
      </c>
      <c r="E7458" t="str">
        <f>HYPERLINK("https://github.com/csparkresearch/kuttypy-android","show")</f>
        <v>show</v>
      </c>
      <c r="F7458" t="str">
        <f>HYPERLINK("https://github.com/csparkresearch/kuttypy-android/releases","show")</f>
        <v>show</v>
      </c>
    </row>
    <row r="7459" spans="1:6">
      <c r="A7459" t="s">
        <v>22145</v>
      </c>
      <c r="B7459" t="s">
        <v>22146</v>
      </c>
      <c r="C7459" t="s">
        <v>22147</v>
      </c>
      <c r="D7459" t="str">
        <f>HYPERLINK("https://github.com/nikita36078/J2ME-Loader/issues/720","show")</f>
        <v>show</v>
      </c>
      <c r="E7459" t="str">
        <f>HYPERLINK("https://github.com/nikita36078/J2ME-Loader","show")</f>
        <v>show</v>
      </c>
      <c r="F7459" t="str">
        <f>HYPERLINK("https://github.com/nikita36078/J2ME-Loader/releases","show")</f>
        <v>show</v>
      </c>
    </row>
    <row r="7460" spans="1:6">
      <c r="A7460" t="s">
        <v>22148</v>
      </c>
      <c r="B7460" t="s">
        <v>22149</v>
      </c>
      <c r="C7460" t="s">
        <v>22150</v>
      </c>
      <c r="D7460" t="str">
        <f>HYPERLINK("https://github.com/Anuken/Mindustry/issues/2346","show")</f>
        <v>show</v>
      </c>
      <c r="E7460" t="str">
        <f>HYPERLINK("https://github.com/Anuken/Mindustry","show")</f>
        <v>show</v>
      </c>
      <c r="F7460" t="str">
        <f>HYPERLINK("https://github.com/Anuken/Mindustry/releases","show")</f>
        <v>show</v>
      </c>
    </row>
    <row r="7461" spans="1:6">
      <c r="A7461" t="s">
        <v>22151</v>
      </c>
      <c r="B7461" t="s">
        <v>22152</v>
      </c>
      <c r="C7461" t="s">
        <v>22153</v>
      </c>
      <c r="D7461" t="str">
        <f>HYPERLINK("https://github.com/opensrp/opensrp-client-reveal/issues/882","show")</f>
        <v>show</v>
      </c>
      <c r="E7461" t="str">
        <f>HYPERLINK("https://github.com/opensrp/opensrp-client-reveal","show")</f>
        <v>show</v>
      </c>
      <c r="F7461" t="str">
        <f>HYPERLINK("https://github.com/opensrp/opensrp-client-reveal/releases","show")</f>
        <v>show</v>
      </c>
    </row>
    <row r="7462" spans="1:6">
      <c r="A7462" t="s">
        <v>22154</v>
      </c>
      <c r="B7462" t="s">
        <v>22155</v>
      </c>
      <c r="C7462" t="s">
        <v>22156</v>
      </c>
      <c r="D7462" t="str">
        <f>HYPERLINK("https://github.com/TotalCross/totalcross/issues/97","show")</f>
        <v>show</v>
      </c>
      <c r="E7462" t="str">
        <f>HYPERLINK("https://github.com/TotalCross/totalcross","show")</f>
        <v>show</v>
      </c>
      <c r="F7462" t="str">
        <f>HYPERLINK("https://github.com/TotalCross/totalcross/releases","show")</f>
        <v>show</v>
      </c>
    </row>
    <row r="7463" spans="1:6">
      <c r="A7463" t="s">
        <v>22157</v>
      </c>
      <c r="B7463" t="s">
        <v>22158</v>
      </c>
      <c r="C7463" t="s">
        <v>22159</v>
      </c>
      <c r="D7463" t="str">
        <f>HYPERLINK("https://github.com/awslabs/aws-mobile-appsync-sdk-android/issues/306","show")</f>
        <v>show</v>
      </c>
      <c r="E7463" t="str">
        <f>HYPERLINK("https://github.com/awslabs/aws-mobile-appsync-sdk-android","show")</f>
        <v>show</v>
      </c>
      <c r="F7463" t="str">
        <f>HYPERLINK("https://github.com/awslabs/aws-mobile-appsync-sdk-android/releases","show")</f>
        <v>show</v>
      </c>
    </row>
    <row r="7464" spans="1:6">
      <c r="A7464" t="s">
        <v>22160</v>
      </c>
      <c r="B7464" t="s">
        <v>22161</v>
      </c>
      <c r="C7464" t="s">
        <v>22162</v>
      </c>
      <c r="D7464" t="str">
        <f>HYPERLINK("https://github.com/gsantner/markor/issues/1027","show")</f>
        <v>show</v>
      </c>
      <c r="E7464" t="str">
        <f>HYPERLINK("https://github.com/gsantner/markor","show")</f>
        <v>show</v>
      </c>
      <c r="F7464" t="str">
        <f>HYPERLINK("https://github.com/gsantner/markor/releases","show")</f>
        <v>show</v>
      </c>
    </row>
    <row r="7465" spans="1:6">
      <c r="A7465" t="s">
        <v>22163</v>
      </c>
      <c r="B7465" t="s">
        <v>22164</v>
      </c>
      <c r="C7465" t="s">
        <v>22165</v>
      </c>
      <c r="D7465" t="str">
        <f>HYPERLINK("https://github.com/TeamNewPipe/NewPipe/issues/4119","show")</f>
        <v>show</v>
      </c>
      <c r="E7465" t="str">
        <f>HYPERLINK("https://github.com/TeamNewPipe/NewPipe","show")</f>
        <v>show</v>
      </c>
      <c r="F7465" t="str">
        <f>HYPERLINK("https://github.com/TeamNewPipe/NewPipe/releases","show")</f>
        <v>show</v>
      </c>
    </row>
    <row r="7466" spans="1:6">
      <c r="A7466" t="s">
        <v>22166</v>
      </c>
      <c r="B7466" t="s">
        <v>22167</v>
      </c>
      <c r="C7466" t="s">
        <v>22168</v>
      </c>
      <c r="D7466" t="str">
        <f>HYPERLINK("https://github.com/Inversion-NL/Toon-Android/issues/46","show")</f>
        <v>show</v>
      </c>
      <c r="E7466" t="str">
        <f>HYPERLINK("https://github.com/Inversion-NL/Toon-Android","show")</f>
        <v>show</v>
      </c>
      <c r="F7466" t="str">
        <f>HYPERLINK("https://github.com/Inversion-NL/Toon-Android/releases","show")</f>
        <v>show</v>
      </c>
    </row>
    <row r="7467" spans="1:6">
      <c r="A7467" t="s">
        <v>22169</v>
      </c>
      <c r="B7467" t="s">
        <v>22170</v>
      </c>
      <c r="C7467" t="s">
        <v>22171</v>
      </c>
      <c r="D7467" t="str">
        <f>HYPERLINK("https://github.com/opensrp/opensrp-client-reveal/issues/875","show")</f>
        <v>show</v>
      </c>
      <c r="E7467" t="str">
        <f>HYPERLINK("https://github.com/opensrp/opensrp-client-reveal","show")</f>
        <v>show</v>
      </c>
      <c r="F7467" t="str">
        <f>HYPERLINK("https://github.com/opensrp/opensrp-client-reveal/releases","show")</f>
        <v>show</v>
      </c>
    </row>
    <row r="7468" spans="1:6">
      <c r="A7468" t="s">
        <v>22172</v>
      </c>
      <c r="B7468" t="s">
        <v>22173</v>
      </c>
      <c r="C7468" t="s">
        <v>22174</v>
      </c>
      <c r="D7468" t="str">
        <f>HYPERLINK("https://github.com/patzly/grocy-android/issues/70","show")</f>
        <v>show</v>
      </c>
      <c r="E7468" t="str">
        <f>HYPERLINK("https://github.com/patzly/grocy-android","show")</f>
        <v>show</v>
      </c>
      <c r="F7468" t="str">
        <f>HYPERLINK("https://github.com/patzly/grocy-android/releases","show")</f>
        <v>show</v>
      </c>
    </row>
    <row r="7469" spans="1:6">
      <c r="A7469" t="s">
        <v>22175</v>
      </c>
      <c r="B7469" t="s">
        <v>22176</v>
      </c>
      <c r="C7469" t="s">
        <v>22177</v>
      </c>
      <c r="D7469" t="str">
        <f>HYPERLINK("https://github.com/onaio/rdt-standard/issues/354","show")</f>
        <v>show</v>
      </c>
      <c r="E7469" t="str">
        <f>HYPERLINK("https://github.com/onaio/rdt-standard","show")</f>
        <v>show</v>
      </c>
      <c r="F7469" t="str">
        <f>HYPERLINK("https://github.com/onaio/rdt-standard/releases","show")</f>
        <v>show</v>
      </c>
    </row>
    <row r="7470" spans="1:6">
      <c r="A7470" t="s">
        <v>22178</v>
      </c>
      <c r="B7470" t="s">
        <v>16581</v>
      </c>
      <c r="C7470" t="s">
        <v>22179</v>
      </c>
      <c r="D7470" t="str">
        <f>HYPERLINK("https://github.com/inaturalist/iNaturalistAndroid/issues/879","show")</f>
        <v>show</v>
      </c>
      <c r="E7470" t="str">
        <f>HYPERLINK("https://github.com/inaturalist/iNaturalistAndroid","show")</f>
        <v>show</v>
      </c>
      <c r="F7470" t="str">
        <f>HYPERLINK("https://github.com/inaturalist/iNaturalistAndroid/releases","show")</f>
        <v>show</v>
      </c>
    </row>
    <row r="7471" spans="1:6">
      <c r="A7471" t="s">
        <v>22180</v>
      </c>
      <c r="B7471" t="s">
        <v>17256</v>
      </c>
      <c r="C7471" t="s">
        <v>22181</v>
      </c>
      <c r="D7471" t="str">
        <f>HYPERLINK("https://github.com/inaturalist/iNaturalistAndroid/issues/878","show")</f>
        <v>show</v>
      </c>
      <c r="E7471" t="str">
        <f>HYPERLINK("https://github.com/inaturalist/iNaturalistAndroid","show")</f>
        <v>show</v>
      </c>
      <c r="F7471" t="str">
        <f>HYPERLINK("https://github.com/inaturalist/iNaturalistAndroid/releases","show")</f>
        <v>show</v>
      </c>
    </row>
    <row r="7472" spans="1:6">
      <c r="A7472" t="s">
        <v>22182</v>
      </c>
      <c r="B7472" t="s">
        <v>22183</v>
      </c>
      <c r="C7472" t="s">
        <v>22184</v>
      </c>
      <c r="D7472" t="str">
        <f>HYPERLINK("https://github.com/inaturalist/iNaturalistAndroid/issues/877","show")</f>
        <v>show</v>
      </c>
      <c r="E7472" t="str">
        <f>HYPERLINK("https://github.com/inaturalist/iNaturalistAndroid","show")</f>
        <v>show</v>
      </c>
      <c r="F7472" t="str">
        <f>HYPERLINK("https://github.com/inaturalist/iNaturalistAndroid/releases","show")</f>
        <v>show</v>
      </c>
    </row>
    <row r="7473" spans="1:6">
      <c r="A7473" t="s">
        <v>22185</v>
      </c>
      <c r="B7473" t="s">
        <v>22186</v>
      </c>
      <c r="C7473" t="s">
        <v>22187</v>
      </c>
      <c r="D7473" t="str">
        <f>HYPERLINK("https://github.com/inaturalist/iNaturalistAndroid/issues/876","show")</f>
        <v>show</v>
      </c>
      <c r="E7473" t="str">
        <f>HYPERLINK("https://github.com/inaturalist/iNaturalistAndroid","show")</f>
        <v>show</v>
      </c>
      <c r="F7473" t="str">
        <f>HYPERLINK("https://github.com/inaturalist/iNaturalistAndroid/releases","show")</f>
        <v>show</v>
      </c>
    </row>
    <row r="7474" spans="1:6">
      <c r="A7474" t="s">
        <v>22188</v>
      </c>
      <c r="B7474" t="s">
        <v>22189</v>
      </c>
      <c r="C7474" t="s">
        <v>22190</v>
      </c>
      <c r="D7474" t="str">
        <f>HYPERLINK("https://github.com/TeamNewPipe/NewPipe/issues/4113","show")</f>
        <v>show</v>
      </c>
      <c r="E7474" t="str">
        <f>HYPERLINK("https://github.com/TeamNewPipe/NewPipe","show")</f>
        <v>show</v>
      </c>
      <c r="F7474" t="str">
        <f>HYPERLINK("https://github.com/TeamNewPipe/NewPipe/releases","show")</f>
        <v>show</v>
      </c>
    </row>
    <row r="7475" spans="1:6">
      <c r="A7475" t="s">
        <v>22191</v>
      </c>
      <c r="B7475" t="s">
        <v>22192</v>
      </c>
      <c r="C7475" t="s">
        <v>22193</v>
      </c>
      <c r="D7475" t="str">
        <f>HYPERLINK("https://github.com/TeamNewPipe/NewPipe/issues/4112","show")</f>
        <v>show</v>
      </c>
      <c r="E7475" t="str">
        <f>HYPERLINK("https://github.com/TeamNewPipe/NewPipe","show")</f>
        <v>show</v>
      </c>
      <c r="F7475" t="str">
        <f>HYPERLINK("https://github.com/TeamNewPipe/NewPipe/releases","show")</f>
        <v>show</v>
      </c>
    </row>
    <row r="7476" spans="1:6">
      <c r="A7476" t="s">
        <v>22194</v>
      </c>
      <c r="B7476" t="s">
        <v>22195</v>
      </c>
      <c r="C7476" t="s">
        <v>22196</v>
      </c>
      <c r="D7476" t="str">
        <f>HYPERLINK("https://github.com/inaturalist/iNaturalistAndroid/issues/874","show")</f>
        <v>show</v>
      </c>
      <c r="E7476" t="str">
        <f>HYPERLINK("https://github.com/inaturalist/iNaturalistAndroid","show")</f>
        <v>show</v>
      </c>
      <c r="F7476" t="str">
        <f>HYPERLINK("https://github.com/inaturalist/iNaturalistAndroid/releases","show")</f>
        <v>show</v>
      </c>
    </row>
    <row r="7477" spans="1:6">
      <c r="A7477" t="s">
        <v>22197</v>
      </c>
      <c r="B7477" t="s">
        <v>22198</v>
      </c>
      <c r="C7477" t="s">
        <v>22199</v>
      </c>
      <c r="D7477" t="str">
        <f>HYPERLINK("https://github.com/NordicSemiconductor/Android-BLE-Library/issues/224","show")</f>
        <v>show</v>
      </c>
      <c r="E7477" t="str">
        <f>HYPERLINK("https://github.com/NordicSemiconductor/Android-BLE-Library","show")</f>
        <v>show</v>
      </c>
      <c r="F7477" t="str">
        <f>HYPERLINK("https://github.com/NordicSemiconductor/Android-BLE-Library/releases","show")</f>
        <v>show</v>
      </c>
    </row>
    <row r="7478" spans="1:6">
      <c r="A7478" t="s">
        <v>22200</v>
      </c>
      <c r="B7478" t="s">
        <v>22201</v>
      </c>
      <c r="C7478" t="s">
        <v>22202</v>
      </c>
      <c r="D7478" t="str">
        <f>HYPERLINK("https://github.com/Anuken/Mindustry/issues/2336","show")</f>
        <v>show</v>
      </c>
      <c r="E7478" t="str">
        <f>HYPERLINK("https://github.com/Anuken/Mindustry","show")</f>
        <v>show</v>
      </c>
      <c r="F7478" t="str">
        <f>HYPERLINK("https://github.com/Anuken/Mindustry/releases","show")</f>
        <v>show</v>
      </c>
    </row>
    <row r="7479" spans="1:6">
      <c r="A7479" t="s">
        <v>22203</v>
      </c>
      <c r="B7479" t="s">
        <v>22204</v>
      </c>
      <c r="C7479" t="s">
        <v>22205</v>
      </c>
      <c r="D7479" t="str">
        <f>HYPERLINK("https://github.com/Anuken/Mindustry/issues/2335","show")</f>
        <v>show</v>
      </c>
      <c r="E7479" t="str">
        <f>HYPERLINK("https://github.com/Anuken/Mindustry","show")</f>
        <v>show</v>
      </c>
      <c r="F7479" t="str">
        <f>HYPERLINK("https://github.com/Anuken/Mindustry/releases","show")</f>
        <v>show</v>
      </c>
    </row>
    <row r="7480" spans="1:6">
      <c r="A7480" t="s">
        <v>22206</v>
      </c>
      <c r="B7480" t="s">
        <v>22207</v>
      </c>
      <c r="C7480" t="s">
        <v>21689</v>
      </c>
      <c r="D7480" t="str">
        <f>HYPERLINK("https://github.com/TeamNewPipe/NewPipe/issues/4109","show")</f>
        <v>show</v>
      </c>
      <c r="E7480" t="str">
        <f>HYPERLINK("https://github.com/TeamNewPipe/NewPipe","show")</f>
        <v>show</v>
      </c>
      <c r="F7480" t="str">
        <f>HYPERLINK("https://github.com/TeamNewPipe/NewPipe/releases","show")</f>
        <v>show</v>
      </c>
    </row>
    <row r="7481" spans="1:6">
      <c r="A7481" t="s">
        <v>22208</v>
      </c>
      <c r="B7481" t="s">
        <v>22207</v>
      </c>
      <c r="C7481" t="s">
        <v>21689</v>
      </c>
      <c r="D7481" t="str">
        <f>HYPERLINK("https://github.com/TeamNewPipe/NewPipe/issues/4108","show")</f>
        <v>show</v>
      </c>
      <c r="E7481" t="str">
        <f>HYPERLINK("https://github.com/TeamNewPipe/NewPipe","show")</f>
        <v>show</v>
      </c>
      <c r="F7481" t="str">
        <f>HYPERLINK("https://github.com/TeamNewPipe/NewPipe/releases","show")</f>
        <v>show</v>
      </c>
    </row>
    <row r="7482" spans="1:6">
      <c r="A7482" t="s">
        <v>22209</v>
      </c>
      <c r="B7482" t="s">
        <v>22210</v>
      </c>
      <c r="C7482" t="s">
        <v>22211</v>
      </c>
      <c r="D7482" t="str">
        <f>HYPERLINK("https://github.com/SimpleAppProjects/SimpleWeather-Android/issues/1","show")</f>
        <v>show</v>
      </c>
      <c r="E7482" t="str">
        <f>HYPERLINK("https://github.com/SimpleAppProjects/SimpleWeather-Android","show")</f>
        <v>show</v>
      </c>
      <c r="F7482" t="str">
        <f>HYPERLINK("https://github.com/SimpleAppProjects/SimpleWeather-Android/releases","show")</f>
        <v>show</v>
      </c>
    </row>
    <row r="7483" spans="1:6">
      <c r="A7483" t="s">
        <v>22212</v>
      </c>
      <c r="B7483" t="s">
        <v>22213</v>
      </c>
      <c r="C7483" t="s">
        <v>22214</v>
      </c>
      <c r="D7483" t="str">
        <f>HYPERLINK("https://github.com/chandevel/Clover/issues/788","show")</f>
        <v>show</v>
      </c>
      <c r="E7483" t="str">
        <f>HYPERLINK("https://github.com/chandevel/Clover","show")</f>
        <v>show</v>
      </c>
      <c r="F7483" t="str">
        <f>HYPERLINK("https://github.com/chandevel/Clover/releases","show")</f>
        <v>show</v>
      </c>
    </row>
    <row r="7484" spans="1:6">
      <c r="A7484" t="s">
        <v>22215</v>
      </c>
      <c r="B7484" t="s">
        <v>22216</v>
      </c>
      <c r="C7484" t="s">
        <v>22217</v>
      </c>
      <c r="D7484" t="str">
        <f>HYPERLINK("https://github.com/tapsellorg/TapsellSDK-AndroidSample/issues/26","show")</f>
        <v>show</v>
      </c>
      <c r="E7484" t="str">
        <f>HYPERLINK("https://github.com/tapsellorg/TapsellSDK-AndroidSample","show")</f>
        <v>show</v>
      </c>
      <c r="F7484" t="str">
        <f>HYPERLINK("https://github.com/tapsellorg/TapsellSDK-AndroidSample/releases","show")</f>
        <v>show</v>
      </c>
    </row>
    <row r="7485" spans="1:6">
      <c r="A7485" t="s">
        <v>22218</v>
      </c>
      <c r="B7485" t="s">
        <v>22219</v>
      </c>
      <c r="C7485" t="s">
        <v>22220</v>
      </c>
      <c r="D7485" t="str">
        <f>HYPERLINK("https://github.com/TeamNewPipe/NewPipe/issues/4101","show")</f>
        <v>show</v>
      </c>
      <c r="E7485" t="str">
        <f>HYPERLINK("https://github.com/TeamNewPipe/NewPipe","show")</f>
        <v>show</v>
      </c>
      <c r="F7485" t="str">
        <f>HYPERLINK("https://github.com/TeamNewPipe/NewPipe/releases","show")</f>
        <v>show</v>
      </c>
    </row>
    <row r="7486" spans="1:6">
      <c r="A7486" t="s">
        <v>22221</v>
      </c>
      <c r="B7486" t="s">
        <v>22222</v>
      </c>
      <c r="C7486" t="s">
        <v>22223</v>
      </c>
      <c r="D7486" t="str">
        <f>HYPERLINK("https://github.com/amahi/android/issues/599","show")</f>
        <v>show</v>
      </c>
      <c r="E7486" t="str">
        <f>HYPERLINK("https://github.com/amahi/android","show")</f>
        <v>show</v>
      </c>
      <c r="F7486" t="str">
        <f>HYPERLINK("https://github.com/amahi/android/releases","show")</f>
        <v>show</v>
      </c>
    </row>
    <row r="7487" spans="1:6">
      <c r="A7487" t="s">
        <v>22224</v>
      </c>
      <c r="B7487" t="s">
        <v>22225</v>
      </c>
      <c r="C7487" t="s">
        <v>22226</v>
      </c>
      <c r="D7487" t="str">
        <f>HYPERLINK("https://github.com/ankidroid/Anki-Android/issues/6852","show")</f>
        <v>show</v>
      </c>
      <c r="E7487" t="str">
        <f>HYPERLINK("https://github.com/ankidroid/Anki-Android","show")</f>
        <v>show</v>
      </c>
      <c r="F7487" t="str">
        <f>HYPERLINK("https://github.com/ankidroid/Anki-Android/releases","show")</f>
        <v>show</v>
      </c>
    </row>
    <row r="7488" spans="1:6">
      <c r="A7488" t="s">
        <v>22227</v>
      </c>
      <c r="B7488" t="s">
        <v>22228</v>
      </c>
      <c r="C7488" t="s">
        <v>22229</v>
      </c>
      <c r="D7488" t="str">
        <f>HYPERLINK("https://github.com/nextcloud/android/issues/6677","show")</f>
        <v>show</v>
      </c>
      <c r="E7488" t="str">
        <f>HYPERLINK("https://github.com/nextcloud/android","show")</f>
        <v>show</v>
      </c>
      <c r="F7488" t="str">
        <f>HYPERLINK("https://github.com/nextcloud/android/releases","show")</f>
        <v>show</v>
      </c>
    </row>
    <row r="7489" spans="1:6">
      <c r="A7489" t="s">
        <v>22230</v>
      </c>
      <c r="B7489" t="s">
        <v>22231</v>
      </c>
      <c r="C7489" t="s">
        <v>22232</v>
      </c>
      <c r="D7489" t="str">
        <f>HYPERLINK("https://github.com/nextcloud/android/issues/6675","show")</f>
        <v>show</v>
      </c>
      <c r="E7489" t="str">
        <f>HYPERLINK("https://github.com/nextcloud/android","show")</f>
        <v>show</v>
      </c>
      <c r="F7489" t="str">
        <f>HYPERLINK("https://github.com/nextcloud/android/releases","show")</f>
        <v>show</v>
      </c>
    </row>
    <row r="7490" spans="1:6">
      <c r="A7490" t="s">
        <v>22233</v>
      </c>
      <c r="B7490" t="s">
        <v>22234</v>
      </c>
      <c r="C7490" t="s">
        <v>22235</v>
      </c>
      <c r="D7490" t="str">
        <f>HYPERLINK("https://github.com/TeamNewPipe/NewPipe/issues/4095","show")</f>
        <v>show</v>
      </c>
      <c r="E7490" t="str">
        <f>HYPERLINK("https://github.com/TeamNewPipe/NewPipe","show")</f>
        <v>show</v>
      </c>
      <c r="F7490" t="str">
        <f>HYPERLINK("https://github.com/TeamNewPipe/NewPipe/releases","show")</f>
        <v>show</v>
      </c>
    </row>
    <row r="7491" spans="1:6">
      <c r="A7491" t="s">
        <v>22236</v>
      </c>
      <c r="B7491" t="s">
        <v>22237</v>
      </c>
      <c r="C7491" t="s">
        <v>22238</v>
      </c>
      <c r="D7491" t="str">
        <f>HYPERLINK("https://github.com/TeamNewPipe/NewPipe/issues/4094","show")</f>
        <v>show</v>
      </c>
      <c r="E7491" t="str">
        <f>HYPERLINK("https://github.com/TeamNewPipe/NewPipe","show")</f>
        <v>show</v>
      </c>
      <c r="F7491" t="str">
        <f>HYPERLINK("https://github.com/TeamNewPipe/NewPipe/releases","show")</f>
        <v>show</v>
      </c>
    </row>
    <row r="7492" spans="1:6">
      <c r="A7492" t="s">
        <v>22239</v>
      </c>
      <c r="B7492" t="s">
        <v>22240</v>
      </c>
      <c r="C7492" t="s">
        <v>22241</v>
      </c>
      <c r="D7492" t="str">
        <f>HYPERLINK("https://github.com/square/okhttp/issues/6216","show")</f>
        <v>show</v>
      </c>
      <c r="E7492" t="str">
        <f>HYPERLINK("https://github.com/square/okhttp","show")</f>
        <v>show</v>
      </c>
      <c r="F7492" t="str">
        <f>HYPERLINK("https://github.com/square/okhttp/releases","show")</f>
        <v>show</v>
      </c>
    </row>
    <row r="7493" spans="1:6">
      <c r="A7493" t="s">
        <v>22242</v>
      </c>
      <c r="B7493" t="s">
        <v>12443</v>
      </c>
      <c r="C7493" t="s">
        <v>22243</v>
      </c>
      <c r="D7493" t="str">
        <f>HYPERLINK("https://github.com/TeamNewPipe/NewPipe/issues/4093","show")</f>
        <v>show</v>
      </c>
      <c r="E7493" t="str">
        <f>HYPERLINK("https://github.com/TeamNewPipe/NewPipe","show")</f>
        <v>show</v>
      </c>
      <c r="F7493" t="str">
        <f>HYPERLINK("https://github.com/TeamNewPipe/NewPipe/releases","show")</f>
        <v>show</v>
      </c>
    </row>
    <row r="7494" spans="1:6">
      <c r="A7494" t="s">
        <v>22244</v>
      </c>
      <c r="B7494" t="s">
        <v>22245</v>
      </c>
      <c r="C7494" t="s">
        <v>22246</v>
      </c>
      <c r="D7494" t="str">
        <f>HYPERLINK("https://github.com/awslabs/aws-mobile-appsync-sdk-android/issues/305","show")</f>
        <v>show</v>
      </c>
      <c r="E7494" t="str">
        <f>HYPERLINK("https://github.com/awslabs/aws-mobile-appsync-sdk-android","show")</f>
        <v>show</v>
      </c>
      <c r="F7494" t="str">
        <f>HYPERLINK("https://github.com/awslabs/aws-mobile-appsync-sdk-android/releases","show")</f>
        <v>show</v>
      </c>
    </row>
    <row r="7495" spans="1:6">
      <c r="A7495" t="s">
        <v>22247</v>
      </c>
      <c r="B7495" t="s">
        <v>22248</v>
      </c>
      <c r="C7495" t="s">
        <v>22249</v>
      </c>
      <c r="D7495" t="str">
        <f>HYPERLINK("https://github.com/Anuken/Mindustry/issues/2319","show")</f>
        <v>show</v>
      </c>
      <c r="E7495" t="str">
        <f>HYPERLINK("https://github.com/Anuken/Mindustry","show")</f>
        <v>show</v>
      </c>
      <c r="F7495" t="str">
        <f>HYPERLINK("https://github.com/Anuken/Mindustry/releases","show")</f>
        <v>show</v>
      </c>
    </row>
    <row r="7496" spans="1:6">
      <c r="A7496" t="s">
        <v>22250</v>
      </c>
      <c r="B7496" t="s">
        <v>22251</v>
      </c>
      <c r="C7496" t="s">
        <v>22252</v>
      </c>
      <c r="D7496" t="str">
        <f>HYPERLINK("https://github.com/nextcloud/android/issues/6665","show")</f>
        <v>show</v>
      </c>
      <c r="E7496" t="str">
        <f>HYPERLINK("https://github.com/nextcloud/android","show")</f>
        <v>show</v>
      </c>
      <c r="F7496" t="str">
        <f>HYPERLINK("https://github.com/nextcloud/android/releases","show")</f>
        <v>show</v>
      </c>
    </row>
    <row r="7497" spans="1:6">
      <c r="A7497" t="s">
        <v>22253</v>
      </c>
      <c r="B7497" t="s">
        <v>22254</v>
      </c>
      <c r="C7497" t="s">
        <v>22255</v>
      </c>
      <c r="D7497" t="str">
        <f>HYPERLINK("https://github.com/TeamNewPipe/NewPipe/issues/4090","show")</f>
        <v>show</v>
      </c>
      <c r="E7497" t="str">
        <f>HYPERLINK("https://github.com/TeamNewPipe/NewPipe","show")</f>
        <v>show</v>
      </c>
      <c r="F7497" t="str">
        <f>HYPERLINK("https://github.com/TeamNewPipe/NewPipe/releases","show")</f>
        <v>show</v>
      </c>
    </row>
    <row r="7498" spans="1:6">
      <c r="A7498" t="s">
        <v>22256</v>
      </c>
      <c r="B7498" t="s">
        <v>22257</v>
      </c>
      <c r="C7498" t="s">
        <v>22258</v>
      </c>
      <c r="D7498" t="str">
        <f>HYPERLINK("https://github.com/cgeo/cgeo/issues/8761","show")</f>
        <v>show</v>
      </c>
      <c r="E7498" t="str">
        <f>HYPERLINK("https://github.com/cgeo/cgeo","show")</f>
        <v>show</v>
      </c>
      <c r="F7498" t="str">
        <f>HYPERLINK("https://github.com/cgeo/cgeo/releases","show")</f>
        <v>show</v>
      </c>
    </row>
    <row r="7499" spans="1:6">
      <c r="A7499" t="s">
        <v>22259</v>
      </c>
      <c r="B7499" t="s">
        <v>22260</v>
      </c>
      <c r="C7499" t="s">
        <v>22261</v>
      </c>
      <c r="D7499" t="str">
        <f>HYPERLINK("https://github.com/deepjavalibrary/djl/issues/150","show")</f>
        <v>show</v>
      </c>
      <c r="E7499" t="str">
        <f>HYPERLINK("https://github.com/deepjavalibrary/djl","show")</f>
        <v>show</v>
      </c>
      <c r="F7499" t="str">
        <f>HYPERLINK("https://github.com/deepjavalibrary/djl/releases","show")</f>
        <v>show</v>
      </c>
    </row>
    <row r="7500" spans="1:6">
      <c r="A7500" t="s">
        <v>22262</v>
      </c>
      <c r="B7500" t="s">
        <v>22263</v>
      </c>
      <c r="C7500" t="s">
        <v>22264</v>
      </c>
      <c r="D7500" t="str">
        <f>HYPERLINK("https://github.com/material-components/material-components-android/issues/1577","show")</f>
        <v>show</v>
      </c>
      <c r="E7500" t="str">
        <f>HYPERLINK("https://github.com/material-components/material-components-android","show")</f>
        <v>show</v>
      </c>
      <c r="F7500" t="str">
        <f>HYPERLINK("https://github.com/material-components/material-components-android/releases","show")</f>
        <v>show</v>
      </c>
    </row>
    <row r="7501" spans="1:6">
      <c r="A7501" t="s">
        <v>22265</v>
      </c>
      <c r="B7501" t="s">
        <v>22266</v>
      </c>
      <c r="C7501" t="s">
        <v>22267</v>
      </c>
      <c r="D7501" t="str">
        <f>HYPERLINK("https://github.com/material-components/material-components-android/issues/1571","show")</f>
        <v>show</v>
      </c>
      <c r="E7501" t="str">
        <f>HYPERLINK("https://github.com/material-components/material-components-android","show")</f>
        <v>show</v>
      </c>
      <c r="F7501" t="str">
        <f>HYPERLINK("https://github.com/material-components/material-components-android/releases","show")</f>
        <v>show</v>
      </c>
    </row>
    <row r="7502" spans="1:6">
      <c r="A7502" t="s">
        <v>22268</v>
      </c>
      <c r="B7502" t="s">
        <v>22269</v>
      </c>
      <c r="C7502" t="s">
        <v>22270</v>
      </c>
      <c r="D7502" t="str">
        <f>HYPERLINK("https://github.com/nextcloud/android/issues/6657","show")</f>
        <v>show</v>
      </c>
      <c r="E7502" t="str">
        <f>HYPERLINK("https://github.com/nextcloud/android","show")</f>
        <v>show</v>
      </c>
      <c r="F7502" t="str">
        <f>HYPERLINK("https://github.com/nextcloud/android/releases","show")</f>
        <v>show</v>
      </c>
    </row>
    <row r="7503" spans="1:6">
      <c r="A7503" t="s">
        <v>22271</v>
      </c>
      <c r="B7503" t="s">
        <v>22272</v>
      </c>
      <c r="C7503" t="s">
        <v>22273</v>
      </c>
      <c r="D7503" t="str">
        <f>HYPERLINK("https://github.com/TeamNewPipe/NewPipe/issues/4083","show")</f>
        <v>show</v>
      </c>
      <c r="E7503" t="str">
        <f>HYPERLINK("https://github.com/TeamNewPipe/NewPipe","show")</f>
        <v>show</v>
      </c>
      <c r="F7503" t="str">
        <f>HYPERLINK("https://github.com/TeamNewPipe/NewPipe/releases","show")</f>
        <v>show</v>
      </c>
    </row>
    <row r="7504" spans="1:6">
      <c r="A7504" t="s">
        <v>22274</v>
      </c>
      <c r="B7504" t="s">
        <v>22275</v>
      </c>
      <c r="C7504" t="s">
        <v>22276</v>
      </c>
      <c r="D7504" t="str">
        <f>HYPERLINK("https://github.com/defold/extension-iap/issues/26","show")</f>
        <v>show</v>
      </c>
      <c r="E7504" t="str">
        <f>HYPERLINK("https://github.com/defold/extension-iap","show")</f>
        <v>show</v>
      </c>
      <c r="F7504" t="str">
        <f>HYPERLINK("https://github.com/defold/extension-iap/releases","show")</f>
        <v>show</v>
      </c>
    </row>
    <row r="7505" spans="1:6">
      <c r="A7505" t="s">
        <v>22277</v>
      </c>
      <c r="B7505" t="s">
        <v>22278</v>
      </c>
      <c r="C7505" t="s">
        <v>22279</v>
      </c>
      <c r="D7505" t="str">
        <f>HYPERLINK("https://github.com/Anuken/Mindustry/issues/2316","show")</f>
        <v>show</v>
      </c>
      <c r="E7505" t="str">
        <f>HYPERLINK("https://github.com/Anuken/Mindustry","show")</f>
        <v>show</v>
      </c>
      <c r="F7505" t="str">
        <f>HYPERLINK("https://github.com/Anuken/Mindustry/releases","show")</f>
        <v>show</v>
      </c>
    </row>
    <row r="7506" spans="1:6">
      <c r="A7506" t="s">
        <v>22280</v>
      </c>
      <c r="B7506" t="s">
        <v>22281</v>
      </c>
      <c r="C7506" t="s">
        <v>22282</v>
      </c>
      <c r="D7506" t="str">
        <f>HYPERLINK("https://github.com/Anuken/Mindustry/issues/2315","show")</f>
        <v>show</v>
      </c>
      <c r="E7506" t="str">
        <f>HYPERLINK("https://github.com/Anuken/Mindustry","show")</f>
        <v>show</v>
      </c>
      <c r="F7506" t="str">
        <f>HYPERLINK("https://github.com/Anuken/Mindustry/releases","show")</f>
        <v>show</v>
      </c>
    </row>
    <row r="7507" spans="1:6">
      <c r="A7507" t="s">
        <v>22283</v>
      </c>
      <c r="B7507" t="s">
        <v>22284</v>
      </c>
      <c r="C7507" t="s">
        <v>11929</v>
      </c>
      <c r="D7507" t="str">
        <f>HYPERLINK("https://github.com/Blankj/AndroidUtilCode/issues/1293","show")</f>
        <v>show</v>
      </c>
      <c r="E7507" t="str">
        <f>HYPERLINK("https://github.com/Blankj/AndroidUtilCode","show")</f>
        <v>show</v>
      </c>
      <c r="F7507" t="str">
        <f>HYPERLINK("https://github.com/Blankj/AndroidUtilCode/releases","show")</f>
        <v>show</v>
      </c>
    </row>
    <row r="7508" spans="1:6">
      <c r="A7508" t="s">
        <v>22285</v>
      </c>
      <c r="B7508" t="s">
        <v>22286</v>
      </c>
      <c r="C7508" t="s">
        <v>22287</v>
      </c>
      <c r="D7508" t="str">
        <f>HYPERLINK("https://github.com/TeamNewPipe/NewPipe/issues/4078","show")</f>
        <v>show</v>
      </c>
      <c r="E7508" t="str">
        <f>HYPERLINK("https://github.com/TeamNewPipe/NewPipe","show")</f>
        <v>show</v>
      </c>
      <c r="F7508" t="str">
        <f>HYPERLINK("https://github.com/TeamNewPipe/NewPipe/releases","show")</f>
        <v>show</v>
      </c>
    </row>
    <row r="7509" spans="1:6">
      <c r="A7509" t="s">
        <v>22288</v>
      </c>
      <c r="B7509" t="s">
        <v>22289</v>
      </c>
      <c r="C7509" t="s">
        <v>22290</v>
      </c>
      <c r="D7509" t="str">
        <f>HYPERLINK("https://github.com/Anuken/Mindustry/issues/2312","show")</f>
        <v>show</v>
      </c>
      <c r="E7509" t="str">
        <f>HYPERLINK("https://github.com/Anuken/Mindustry","show")</f>
        <v>show</v>
      </c>
      <c r="F7509" t="str">
        <f>HYPERLINK("https://github.com/Anuken/Mindustry/releases","show")</f>
        <v>show</v>
      </c>
    </row>
    <row r="7510" spans="1:6">
      <c r="A7510" t="s">
        <v>22291</v>
      </c>
      <c r="B7510" t="s">
        <v>22292</v>
      </c>
      <c r="C7510" t="s">
        <v>22293</v>
      </c>
      <c r="D7510" t="str">
        <f>HYPERLINK("https://github.com/Anuken/Mindustry/issues/2311","show")</f>
        <v>show</v>
      </c>
      <c r="E7510" t="str">
        <f>HYPERLINK("https://github.com/Anuken/Mindustry","show")</f>
        <v>show</v>
      </c>
      <c r="F7510" t="str">
        <f>HYPERLINK("https://github.com/Anuken/Mindustry/releases","show")</f>
        <v>show</v>
      </c>
    </row>
    <row r="7511" spans="1:6">
      <c r="A7511" t="s">
        <v>22294</v>
      </c>
      <c r="B7511" t="s">
        <v>22295</v>
      </c>
      <c r="C7511" t="s">
        <v>22296</v>
      </c>
      <c r="D7511" t="str">
        <f>HYPERLINK("https://github.com/nextcloud/android/issues/6638","show")</f>
        <v>show</v>
      </c>
      <c r="E7511" t="str">
        <f>HYPERLINK("https://github.com/nextcloud/android","show")</f>
        <v>show</v>
      </c>
      <c r="F7511" t="str">
        <f>HYPERLINK("https://github.com/nextcloud/android/releases","show")</f>
        <v>show</v>
      </c>
    </row>
    <row r="7512" spans="1:6">
      <c r="A7512" t="s">
        <v>22297</v>
      </c>
      <c r="B7512" t="s">
        <v>22298</v>
      </c>
      <c r="C7512" t="s">
        <v>21689</v>
      </c>
      <c r="D7512" t="str">
        <f>HYPERLINK("https://github.com/TeamNewPipe/NewPipe/issues/4074","show")</f>
        <v>show</v>
      </c>
      <c r="E7512" t="str">
        <f>HYPERLINK("https://github.com/TeamNewPipe/NewPipe","show")</f>
        <v>show</v>
      </c>
      <c r="F7512" t="str">
        <f>HYPERLINK("https://github.com/TeamNewPipe/NewPipe/releases","show")</f>
        <v>show</v>
      </c>
    </row>
    <row r="7513" spans="1:6">
      <c r="A7513" t="s">
        <v>22299</v>
      </c>
      <c r="B7513" t="s">
        <v>22300</v>
      </c>
      <c r="C7513" t="s">
        <v>22301</v>
      </c>
      <c r="D7513" t="str">
        <f>HYPERLINK("https://github.com/Anuken/Mindustry/issues/2307","show")</f>
        <v>show</v>
      </c>
      <c r="E7513" t="str">
        <f>HYPERLINK("https://github.com/Anuken/Mindustry","show")</f>
        <v>show</v>
      </c>
      <c r="F7513" t="str">
        <f>HYPERLINK("https://github.com/Anuken/Mindustry/releases","show")</f>
        <v>show</v>
      </c>
    </row>
    <row r="7514" spans="1:6">
      <c r="A7514" t="s">
        <v>22302</v>
      </c>
      <c r="B7514" t="s">
        <v>22303</v>
      </c>
      <c r="C7514" t="s">
        <v>22304</v>
      </c>
      <c r="D7514" t="str">
        <f>HYPERLINK("https://github.com/Anuken/Mindustry/issues/2303","show")</f>
        <v>show</v>
      </c>
      <c r="E7514" t="str">
        <f>HYPERLINK("https://github.com/Anuken/Mindustry","show")</f>
        <v>show</v>
      </c>
      <c r="F7514" t="str">
        <f>HYPERLINK("https://github.com/Anuken/Mindustry/releases","show")</f>
        <v>show</v>
      </c>
    </row>
    <row r="7515" spans="1:6">
      <c r="A7515" t="s">
        <v>22305</v>
      </c>
      <c r="B7515" t="s">
        <v>22306</v>
      </c>
      <c r="C7515" t="s">
        <v>22307</v>
      </c>
      <c r="D7515" t="str">
        <f>HYPERLINK("https://github.com/Blankj/AndroidUtilCode/issues/1291","show")</f>
        <v>show</v>
      </c>
      <c r="E7515" t="str">
        <f>HYPERLINK("https://github.com/Blankj/AndroidUtilCode","show")</f>
        <v>show</v>
      </c>
      <c r="F7515" t="str">
        <f>HYPERLINK("https://github.com/Blankj/AndroidUtilCode/releases","show")</f>
        <v>show</v>
      </c>
    </row>
    <row r="7516" spans="1:6">
      <c r="A7516" t="s">
        <v>22308</v>
      </c>
      <c r="B7516" t="s">
        <v>22309</v>
      </c>
      <c r="C7516" t="s">
        <v>22310</v>
      </c>
      <c r="D7516" t="str">
        <f>HYPERLINK("https://github.com/Anuken/Mindustry/issues/2302","show")</f>
        <v>show</v>
      </c>
      <c r="E7516" t="str">
        <f>HYPERLINK("https://github.com/Anuken/Mindustry","show")</f>
        <v>show</v>
      </c>
      <c r="F7516" t="str">
        <f>HYPERLINK("https://github.com/Anuken/Mindustry/releases","show")</f>
        <v>show</v>
      </c>
    </row>
    <row r="7517" spans="1:6">
      <c r="A7517" t="s">
        <v>22311</v>
      </c>
      <c r="B7517" t="s">
        <v>22312</v>
      </c>
      <c r="C7517" t="s">
        <v>22313</v>
      </c>
      <c r="D7517" t="str">
        <f>HYPERLINK("https://github.com/TeamNewPipe/NewPipe/issues/4060","show")</f>
        <v>show</v>
      </c>
      <c r="E7517" t="str">
        <f>HYPERLINK("https://github.com/TeamNewPipe/NewPipe","show")</f>
        <v>show</v>
      </c>
      <c r="F7517" t="str">
        <f>HYPERLINK("https://github.com/TeamNewPipe/NewPipe/releases","show")</f>
        <v>show</v>
      </c>
    </row>
    <row r="7518" spans="1:6">
      <c r="A7518" t="s">
        <v>22314</v>
      </c>
      <c r="B7518" t="s">
        <v>22315</v>
      </c>
      <c r="C7518" t="s">
        <v>22316</v>
      </c>
      <c r="D7518" t="str">
        <f>HYPERLINK("https://github.com/square/okhttp/issues/6206","show")</f>
        <v>show</v>
      </c>
      <c r="E7518" t="str">
        <f>HYPERLINK("https://github.com/square/okhttp","show")</f>
        <v>show</v>
      </c>
      <c r="F7518" t="str">
        <f>HYPERLINK("https://github.com/square/okhttp/releases","show")</f>
        <v>show</v>
      </c>
    </row>
    <row r="7519" spans="1:6">
      <c r="A7519" t="s">
        <v>22317</v>
      </c>
      <c r="B7519" t="s">
        <v>22318</v>
      </c>
      <c r="C7519" t="s">
        <v>22319</v>
      </c>
      <c r="D7519" t="str">
        <f>HYPERLINK("https://github.com/massivemadness/Squircle-IDE/issues/11","show")</f>
        <v>show</v>
      </c>
      <c r="E7519" t="str">
        <f>HYPERLINK("https://github.com/massivemadness/Squircle-IDE","show")</f>
        <v>show</v>
      </c>
      <c r="F7519" t="str">
        <f>HYPERLINK("https://github.com/massivemadness/Squircle-IDE/releases","show")</f>
        <v>show</v>
      </c>
    </row>
    <row r="7520" spans="1:6">
      <c r="A7520" t="s">
        <v>22320</v>
      </c>
      <c r="B7520" t="s">
        <v>22321</v>
      </c>
      <c r="C7520" t="s">
        <v>22322</v>
      </c>
      <c r="D7520" t="str">
        <f>HYPERLINK("https://github.com/TeamNewPipe/NewPipe/issues/4057","show")</f>
        <v>show</v>
      </c>
      <c r="E7520" t="str">
        <f>HYPERLINK("https://github.com/TeamNewPipe/NewPipe","show")</f>
        <v>show</v>
      </c>
      <c r="F7520" t="str">
        <f>HYPERLINK("https://github.com/TeamNewPipe/NewPipe/releases","show")</f>
        <v>show</v>
      </c>
    </row>
    <row r="7521" spans="1:6">
      <c r="A7521" t="s">
        <v>22323</v>
      </c>
      <c r="B7521" t="s">
        <v>22324</v>
      </c>
      <c r="C7521" t="s">
        <v>22325</v>
      </c>
      <c r="D7521" t="str">
        <f>HYPERLINK("https://github.com/nextcloud/android/issues/6616","show")</f>
        <v>show</v>
      </c>
      <c r="E7521" t="str">
        <f>HYPERLINK("https://github.com/nextcloud/android","show")</f>
        <v>show</v>
      </c>
      <c r="F7521" t="str">
        <f>HYPERLINK("https://github.com/nextcloud/android/releases","show")</f>
        <v>show</v>
      </c>
    </row>
    <row r="7522" spans="1:6">
      <c r="A7522" t="s">
        <v>22326</v>
      </c>
      <c r="B7522" t="s">
        <v>22327</v>
      </c>
      <c r="C7522" t="s">
        <v>22328</v>
      </c>
      <c r="D7522" t="str">
        <f>HYPERLINK("https://github.com/nextcloud/android/issues/6615","show")</f>
        <v>show</v>
      </c>
      <c r="E7522" t="str">
        <f>HYPERLINK("https://github.com/nextcloud/android","show")</f>
        <v>show</v>
      </c>
      <c r="F7522" t="str">
        <f>HYPERLINK("https://github.com/nextcloud/android/releases","show")</f>
        <v>show</v>
      </c>
    </row>
    <row r="7523" spans="1:6">
      <c r="A7523" t="s">
        <v>22329</v>
      </c>
      <c r="B7523" t="s">
        <v>22330</v>
      </c>
      <c r="C7523" t="s">
        <v>22331</v>
      </c>
      <c r="D7523" t="str">
        <f>HYPERLINK("https://github.com/TeamNewPipe/NewPipe/issues/4055","show")</f>
        <v>show</v>
      </c>
      <c r="E7523" t="str">
        <f>HYPERLINK("https://github.com/TeamNewPipe/NewPipe","show")</f>
        <v>show</v>
      </c>
      <c r="F7523" t="str">
        <f>HYPERLINK("https://github.com/TeamNewPipe/NewPipe/releases","show")</f>
        <v>show</v>
      </c>
    </row>
    <row r="7524" spans="1:6">
      <c r="A7524" t="s">
        <v>22332</v>
      </c>
      <c r="B7524" t="s">
        <v>22333</v>
      </c>
      <c r="C7524" t="s">
        <v>21689</v>
      </c>
      <c r="D7524" t="str">
        <f>HYPERLINK("https://github.com/TeamNewPipe/NewPipe/issues/4052","show")</f>
        <v>show</v>
      </c>
      <c r="E7524" t="str">
        <f>HYPERLINK("https://github.com/TeamNewPipe/NewPipe","show")</f>
        <v>show</v>
      </c>
      <c r="F7524" t="str">
        <f>HYPERLINK("https://github.com/TeamNewPipe/NewPipe/releases","show")</f>
        <v>show</v>
      </c>
    </row>
    <row r="7525" spans="1:6">
      <c r="A7525" t="s">
        <v>22334</v>
      </c>
      <c r="B7525" t="s">
        <v>8936</v>
      </c>
      <c r="C7525" t="s">
        <v>22335</v>
      </c>
      <c r="D7525" t="str">
        <f>HYPERLINK("https://github.com/Anuken/Mindustry/issues/2297","show")</f>
        <v>show</v>
      </c>
      <c r="E7525" t="str">
        <f>HYPERLINK("https://github.com/Anuken/Mindustry","show")</f>
        <v>show</v>
      </c>
      <c r="F7525" t="str">
        <f>HYPERLINK("https://github.com/Anuken/Mindustry/releases","show")</f>
        <v>show</v>
      </c>
    </row>
    <row r="7526" spans="1:6">
      <c r="A7526" t="s">
        <v>22336</v>
      </c>
      <c r="B7526" t="s">
        <v>22337</v>
      </c>
      <c r="C7526" t="s">
        <v>22338</v>
      </c>
      <c r="D7526" t="str">
        <f>HYPERLINK("https://github.com/nextcloud/android/issues/6613","show")</f>
        <v>show</v>
      </c>
      <c r="E7526" t="str">
        <f>HYPERLINK("https://github.com/nextcloud/android","show")</f>
        <v>show</v>
      </c>
      <c r="F7526" t="str">
        <f>HYPERLINK("https://github.com/nextcloud/android/releases","show")</f>
        <v>show</v>
      </c>
    </row>
    <row r="7527" spans="1:6">
      <c r="A7527" t="s">
        <v>22339</v>
      </c>
      <c r="B7527" t="s">
        <v>22340</v>
      </c>
      <c r="C7527" t="s">
        <v>21689</v>
      </c>
      <c r="D7527" t="str">
        <f>HYPERLINK("https://github.com/TeamNewPipe/NewPipe/issues/4048","show")</f>
        <v>show</v>
      </c>
      <c r="E7527" t="str">
        <f>HYPERLINK("https://github.com/TeamNewPipe/NewPipe","show")</f>
        <v>show</v>
      </c>
      <c r="F7527" t="str">
        <f>HYPERLINK("https://github.com/TeamNewPipe/NewPipe/releases","show")</f>
        <v>show</v>
      </c>
    </row>
    <row r="7528" spans="1:6">
      <c r="A7528" t="s">
        <v>22341</v>
      </c>
      <c r="B7528" t="s">
        <v>22342</v>
      </c>
      <c r="C7528" t="s">
        <v>22343</v>
      </c>
      <c r="D7528" t="str">
        <f>HYPERLINK("https://github.com/SkyTubeTeam/SkyTube/issues/787","show")</f>
        <v>show</v>
      </c>
      <c r="E7528" t="str">
        <f>HYPERLINK("https://github.com/SkyTubeTeam/SkyTube","show")</f>
        <v>show</v>
      </c>
      <c r="F7528" t="str">
        <f>HYPERLINK("https://github.com/SkyTubeTeam/SkyTube/releases","show")</f>
        <v>show</v>
      </c>
    </row>
    <row r="7529" spans="1:6">
      <c r="A7529" t="s">
        <v>22344</v>
      </c>
      <c r="B7529" t="s">
        <v>22345</v>
      </c>
      <c r="C7529" t="s">
        <v>22346</v>
      </c>
      <c r="D7529" t="str">
        <f>HYPERLINK("https://github.com/nextcloud/android/issues/6610","show")</f>
        <v>show</v>
      </c>
      <c r="E7529" t="str">
        <f>HYPERLINK("https://github.com/nextcloud/android","show")</f>
        <v>show</v>
      </c>
      <c r="F7529" t="str">
        <f>HYPERLINK("https://github.com/nextcloud/android/releases","show")</f>
        <v>show</v>
      </c>
    </row>
    <row r="7530" spans="1:6">
      <c r="A7530" t="s">
        <v>22347</v>
      </c>
      <c r="B7530" t="s">
        <v>22348</v>
      </c>
      <c r="C7530" t="s">
        <v>22349</v>
      </c>
      <c r="D7530" t="str">
        <f>HYPERLINK("https://github.com/dimagi/commcare-android/issues/2304","show")</f>
        <v>show</v>
      </c>
      <c r="E7530" t="str">
        <f>HYPERLINK("https://github.com/dimagi/commcare-android","show")</f>
        <v>show</v>
      </c>
      <c r="F7530" t="str">
        <f>HYPERLINK("https://github.com/dimagi/commcare-android/releases","show")</f>
        <v>show</v>
      </c>
    </row>
    <row r="7531" spans="1:6">
      <c r="A7531" t="s">
        <v>22350</v>
      </c>
      <c r="B7531" t="s">
        <v>22351</v>
      </c>
      <c r="C7531" t="s">
        <v>22352</v>
      </c>
      <c r="D7531" t="str">
        <f>HYPERLINK("https://github.com/TeamNewPipe/NewPipe/issues/4041","show")</f>
        <v>show</v>
      </c>
      <c r="E7531" t="str">
        <f>HYPERLINK("https://github.com/TeamNewPipe/NewPipe","show")</f>
        <v>show</v>
      </c>
      <c r="F7531" t="str">
        <f>HYPERLINK("https://github.com/TeamNewPipe/NewPipe/releases","show")</f>
        <v>show</v>
      </c>
    </row>
    <row r="7532" spans="1:6">
      <c r="A7532" t="s">
        <v>22353</v>
      </c>
      <c r="B7532" t="s">
        <v>22354</v>
      </c>
      <c r="C7532" t="s">
        <v>22355</v>
      </c>
      <c r="D7532" t="str">
        <f>HYPERLINK("https://github.com/nextcloud/android/issues/6605","show")</f>
        <v>show</v>
      </c>
      <c r="E7532" t="str">
        <f>HYPERLINK("https://github.com/nextcloud/android","show")</f>
        <v>show</v>
      </c>
      <c r="F7532" t="str">
        <f>HYPERLINK("https://github.com/nextcloud/android/releases","show")</f>
        <v>show</v>
      </c>
    </row>
    <row r="7533" spans="1:6">
      <c r="A7533" t="s">
        <v>22356</v>
      </c>
      <c r="B7533" t="s">
        <v>22357</v>
      </c>
      <c r="C7533" t="s">
        <v>22358</v>
      </c>
      <c r="D7533" t="str">
        <f>HYPERLINK("https://github.com/TeamNewPipe/NewPipe/issues/4036","show")</f>
        <v>show</v>
      </c>
      <c r="E7533" t="str">
        <f>HYPERLINK("https://github.com/TeamNewPipe/NewPipe","show")</f>
        <v>show</v>
      </c>
      <c r="F7533" t="str">
        <f>HYPERLINK("https://github.com/TeamNewPipe/NewPipe/releases","show")</f>
        <v>show</v>
      </c>
    </row>
    <row r="7534" spans="1:6">
      <c r="A7534" t="s">
        <v>22359</v>
      </c>
      <c r="B7534" t="s">
        <v>22360</v>
      </c>
      <c r="C7534" t="s">
        <v>22361</v>
      </c>
      <c r="D7534" t="str">
        <f>HYPERLINK("https://github.com/nextcloud/android/issues/6604","show")</f>
        <v>show</v>
      </c>
      <c r="E7534" t="str">
        <f>HYPERLINK("https://github.com/nextcloud/android","show")</f>
        <v>show</v>
      </c>
      <c r="F7534" t="str">
        <f>HYPERLINK("https://github.com/nextcloud/android/releases","show")</f>
        <v>show</v>
      </c>
    </row>
    <row r="7535" spans="1:6">
      <c r="A7535" t="s">
        <v>22362</v>
      </c>
      <c r="B7535" t="s">
        <v>22363</v>
      </c>
      <c r="C7535" t="s">
        <v>22364</v>
      </c>
      <c r="D7535" t="str">
        <f>HYPERLINK("https://github.com/Anuken/Mindustry/issues/2291","show")</f>
        <v>show</v>
      </c>
      <c r="E7535" t="str">
        <f>HYPERLINK("https://github.com/Anuken/Mindustry","show")</f>
        <v>show</v>
      </c>
      <c r="F7535" t="str">
        <f>HYPERLINK("https://github.com/Anuken/Mindustry/releases","show")</f>
        <v>show</v>
      </c>
    </row>
    <row r="7536" spans="1:6">
      <c r="A7536" t="s">
        <v>22365</v>
      </c>
      <c r="B7536" t="s">
        <v>22366</v>
      </c>
      <c r="C7536" t="s">
        <v>22367</v>
      </c>
      <c r="D7536" t="str">
        <f>HYPERLINK("https://github.com/TeamNewPipe/NewPipe/issues/4034","show")</f>
        <v>show</v>
      </c>
      <c r="E7536" t="str">
        <f>HYPERLINK("https://github.com/TeamNewPipe/NewPipe","show")</f>
        <v>show</v>
      </c>
      <c r="F7536" t="str">
        <f>HYPERLINK("https://github.com/TeamNewPipe/NewPipe/releases","show")</f>
        <v>show</v>
      </c>
    </row>
    <row r="7537" spans="1:6">
      <c r="A7537" t="s">
        <v>22368</v>
      </c>
      <c r="B7537" t="s">
        <v>22369</v>
      </c>
      <c r="C7537" t="s">
        <v>22370</v>
      </c>
      <c r="D7537" t="str">
        <f>HYPERLINK("https://github.com/CylonicRaider/euphoria-app/issues/6","show")</f>
        <v>show</v>
      </c>
      <c r="E7537" t="str">
        <f>HYPERLINK("https://github.com/CylonicRaider/euphoria-app","show")</f>
        <v>show</v>
      </c>
      <c r="F7537" t="str">
        <f>HYPERLINK("https://github.com/CylonicRaider/euphoria-app/releases","show")</f>
        <v>show</v>
      </c>
    </row>
    <row r="7538" spans="1:6">
      <c r="A7538" t="s">
        <v>22371</v>
      </c>
      <c r="B7538" t="s">
        <v>22372</v>
      </c>
      <c r="C7538" t="s">
        <v>22373</v>
      </c>
      <c r="D7538" t="str">
        <f>HYPERLINK("https://github.com/Anuken/Mindustry/issues/2290","show")</f>
        <v>show</v>
      </c>
      <c r="E7538" t="str">
        <f>HYPERLINK("https://github.com/Anuken/Mindustry","show")</f>
        <v>show</v>
      </c>
      <c r="F7538" t="str">
        <f>HYPERLINK("https://github.com/Anuken/Mindustry/releases","show")</f>
        <v>show</v>
      </c>
    </row>
    <row r="7539" spans="1:6">
      <c r="A7539" t="s">
        <v>22374</v>
      </c>
      <c r="B7539" t="s">
        <v>22375</v>
      </c>
      <c r="C7539" t="s">
        <v>22376</v>
      </c>
      <c r="D7539" t="str">
        <f>HYPERLINK("https://github.com/TeamNewPipe/NewPipe/issues/4033","show")</f>
        <v>show</v>
      </c>
      <c r="E7539" t="str">
        <f>HYPERLINK("https://github.com/TeamNewPipe/NewPipe","show")</f>
        <v>show</v>
      </c>
      <c r="F7539" t="str">
        <f>HYPERLINK("https://github.com/TeamNewPipe/NewPipe/releases","show")</f>
        <v>show</v>
      </c>
    </row>
    <row r="7540" spans="1:6">
      <c r="A7540" t="s">
        <v>22377</v>
      </c>
      <c r="B7540" t="s">
        <v>22378</v>
      </c>
      <c r="C7540" t="s">
        <v>22379</v>
      </c>
      <c r="D7540" t="str">
        <f>HYPERLINK("https://github.com/cgeo/cgeo/issues/8717","show")</f>
        <v>show</v>
      </c>
      <c r="E7540" t="str">
        <f>HYPERLINK("https://github.com/cgeo/cgeo","show")</f>
        <v>show</v>
      </c>
      <c r="F7540" t="str">
        <f>HYPERLINK("https://github.com/cgeo/cgeo/releases","show")</f>
        <v>show</v>
      </c>
    </row>
    <row r="7541" spans="1:6">
      <c r="A7541" t="s">
        <v>22380</v>
      </c>
      <c r="B7541" t="s">
        <v>22381</v>
      </c>
      <c r="C7541" t="s">
        <v>22382</v>
      </c>
      <c r="D7541" t="str">
        <f>HYPERLINK("https://github.com/TeamNewPipe/NewPipe/issues/4030","show")</f>
        <v>show</v>
      </c>
      <c r="E7541" t="str">
        <f>HYPERLINK("https://github.com/TeamNewPipe/NewPipe","show")</f>
        <v>show</v>
      </c>
      <c r="F7541" t="str">
        <f>HYPERLINK("https://github.com/TeamNewPipe/NewPipe/releases","show")</f>
        <v>show</v>
      </c>
    </row>
    <row r="7542" spans="1:6">
      <c r="A7542" t="s">
        <v>22383</v>
      </c>
      <c r="B7542" t="s">
        <v>22384</v>
      </c>
      <c r="C7542" t="s">
        <v>22385</v>
      </c>
      <c r="D7542" t="str">
        <f>HYPERLINK("https://github.com/material-components/material-components-android/issues/1551","show")</f>
        <v>show</v>
      </c>
      <c r="E7542" t="str">
        <f>HYPERLINK("https://github.com/material-components/material-components-android","show")</f>
        <v>show</v>
      </c>
      <c r="F7542" t="str">
        <f>HYPERLINK("https://github.com/material-components/material-components-android/releases","show")</f>
        <v>show</v>
      </c>
    </row>
    <row r="7543" spans="1:6">
      <c r="A7543" t="s">
        <v>22386</v>
      </c>
      <c r="B7543" t="s">
        <v>22387</v>
      </c>
      <c r="C7543" t="s">
        <v>22388</v>
      </c>
      <c r="D7543" t="str">
        <f>HYPERLINK("https://github.com/TeamNewPipe/NewPipe/issues/4024","show")</f>
        <v>show</v>
      </c>
      <c r="E7543" t="str">
        <f>HYPERLINK("https://github.com/TeamNewPipe/NewPipe","show")</f>
        <v>show</v>
      </c>
      <c r="F7543" t="str">
        <f>HYPERLINK("https://github.com/TeamNewPipe/NewPipe/releases","show")</f>
        <v>show</v>
      </c>
    </row>
    <row r="7544" spans="1:6">
      <c r="A7544" t="s">
        <v>22389</v>
      </c>
      <c r="B7544" t="s">
        <v>22390</v>
      </c>
      <c r="C7544" t="s">
        <v>22391</v>
      </c>
      <c r="D7544" t="str">
        <f>HYPERLINK("https://github.com/TeamNewPipe/NewPipe/issues/4020","show")</f>
        <v>show</v>
      </c>
      <c r="E7544" t="str">
        <f>HYPERLINK("https://github.com/TeamNewPipe/NewPipe","show")</f>
        <v>show</v>
      </c>
      <c r="F7544" t="str">
        <f>HYPERLINK("https://github.com/TeamNewPipe/NewPipe/releases","show")</f>
        <v>show</v>
      </c>
    </row>
    <row r="7545" spans="1:6">
      <c r="A7545" t="s">
        <v>22392</v>
      </c>
      <c r="B7545" t="s">
        <v>22393</v>
      </c>
      <c r="C7545" t="s">
        <v>22394</v>
      </c>
      <c r="D7545" t="str">
        <f>HYPERLINK("https://github.com/microg/GmsCore/issues/1110","show")</f>
        <v>show</v>
      </c>
      <c r="E7545" t="str">
        <f>HYPERLINK("https://github.com/microg/GmsCore","show")</f>
        <v>show</v>
      </c>
      <c r="F7545" t="str">
        <f>HYPERLINK("https://github.com/microg/GmsCore/releases","show")</f>
        <v>show</v>
      </c>
    </row>
    <row r="7546" spans="1:6">
      <c r="A7546" t="s">
        <v>22395</v>
      </c>
      <c r="B7546" t="s">
        <v>22396</v>
      </c>
      <c r="C7546" t="s">
        <v>22397</v>
      </c>
      <c r="D7546" t="str">
        <f>HYPERLINK("https://github.com/react-native-share/react-native-share/issues/834","show")</f>
        <v>show</v>
      </c>
      <c r="E7546" t="str">
        <f>HYPERLINK("https://github.com/react-native-share/react-native-share","show")</f>
        <v>show</v>
      </c>
      <c r="F7546" t="str">
        <f>HYPERLINK("https://github.com/react-native-share/react-native-share/releases","show")</f>
        <v>show</v>
      </c>
    </row>
    <row r="7547" spans="1:6">
      <c r="A7547" t="s">
        <v>22398</v>
      </c>
      <c r="B7547" t="s">
        <v>22399</v>
      </c>
      <c r="C7547" t="s">
        <v>22400</v>
      </c>
      <c r="D7547" t="str">
        <f>HYPERLINK("https://github.com/TeamNewPipe/NewPipe/issues/4015","show")</f>
        <v>show</v>
      </c>
      <c r="E7547" t="str">
        <f>HYPERLINK("https://github.com/TeamNewPipe/NewPipe","show")</f>
        <v>show</v>
      </c>
      <c r="F7547" t="str">
        <f>HYPERLINK("https://github.com/TeamNewPipe/NewPipe/releases","show")</f>
        <v>show</v>
      </c>
    </row>
    <row r="7548" spans="1:6">
      <c r="A7548" t="s">
        <v>22401</v>
      </c>
      <c r="B7548" t="s">
        <v>22402</v>
      </c>
      <c r="C7548" t="s">
        <v>22403</v>
      </c>
      <c r="D7548" t="str">
        <f>HYPERLINK("https://github.com/green-green-avk/AnotherTerm/issues/6","show")</f>
        <v>show</v>
      </c>
      <c r="E7548" t="str">
        <f>HYPERLINK("https://github.com/green-green-avk/AnotherTerm","show")</f>
        <v>show</v>
      </c>
      <c r="F7548" t="str">
        <f>HYPERLINK("https://github.com/green-green-avk/AnotherTerm/releases","show")</f>
        <v>show</v>
      </c>
    </row>
    <row r="7549" spans="1:6">
      <c r="A7549" t="s">
        <v>22404</v>
      </c>
      <c r="B7549" t="s">
        <v>22405</v>
      </c>
      <c r="C7549" t="s">
        <v>22406</v>
      </c>
      <c r="D7549" t="str">
        <f>HYPERLINK("https://github.com/opensrp/opensrp-client-reveal/issues/861","show")</f>
        <v>show</v>
      </c>
      <c r="E7549" t="str">
        <f>HYPERLINK("https://github.com/opensrp/opensrp-client-reveal","show")</f>
        <v>show</v>
      </c>
      <c r="F7549" t="str">
        <f>HYPERLINK("https://github.com/opensrp/opensrp-client-reveal/releases","show")</f>
        <v>show</v>
      </c>
    </row>
    <row r="7550" spans="1:6">
      <c r="A7550" t="s">
        <v>22407</v>
      </c>
      <c r="B7550" t="s">
        <v>22408</v>
      </c>
      <c r="C7550" t="s">
        <v>22409</v>
      </c>
      <c r="D7550" t="str">
        <f>HYPERLINK("https://github.com/libgdx/gdx-pay/issues/219","show")</f>
        <v>show</v>
      </c>
      <c r="E7550" t="str">
        <f>HYPERLINK("https://github.com/libgdx/gdx-pay","show")</f>
        <v>show</v>
      </c>
      <c r="F7550" t="str">
        <f>HYPERLINK("https://github.com/libgdx/gdx-pay/releases","show")</f>
        <v>show</v>
      </c>
    </row>
    <row r="7551" spans="1:6">
      <c r="A7551" t="s">
        <v>22410</v>
      </c>
      <c r="B7551" t="s">
        <v>22411</v>
      </c>
      <c r="C7551" t="s">
        <v>22412</v>
      </c>
      <c r="D7551" t="str">
        <f>HYPERLINK("https://github.com/Anuken/Mindustry/issues/2282","show")</f>
        <v>show</v>
      </c>
      <c r="E7551" t="str">
        <f>HYPERLINK("https://github.com/Anuken/Mindustry","show")</f>
        <v>show</v>
      </c>
      <c r="F7551" t="str">
        <f>HYPERLINK("https://github.com/Anuken/Mindustry/releases","show")</f>
        <v>show</v>
      </c>
    </row>
    <row r="7552" spans="1:6">
      <c r="A7552" t="s">
        <v>22413</v>
      </c>
      <c r="B7552" t="s">
        <v>22414</v>
      </c>
      <c r="C7552" t="s">
        <v>22415</v>
      </c>
      <c r="D7552" t="str">
        <f>HYPERLINK("https://github.com/TeamNewPipe/NewPipe/issues/4010","show")</f>
        <v>show</v>
      </c>
      <c r="E7552" t="str">
        <f>HYPERLINK("https://github.com/TeamNewPipe/NewPipe","show")</f>
        <v>show</v>
      </c>
      <c r="F7552" t="str">
        <f>HYPERLINK("https://github.com/TeamNewPipe/NewPipe/releases","show")</f>
        <v>show</v>
      </c>
    </row>
    <row r="7553" spans="1:6">
      <c r="A7553" t="s">
        <v>22416</v>
      </c>
      <c r="B7553" t="s">
        <v>22417</v>
      </c>
      <c r="C7553" t="s">
        <v>22418</v>
      </c>
      <c r="D7553" t="str">
        <f>HYPERLINK("https://github.com/TeamNewPipe/NewPipe/issues/4008","show")</f>
        <v>show</v>
      </c>
      <c r="E7553" t="str">
        <f>HYPERLINK("https://github.com/TeamNewPipe/NewPipe","show")</f>
        <v>show</v>
      </c>
      <c r="F7553" t="str">
        <f>HYPERLINK("https://github.com/TeamNewPipe/NewPipe/releases","show")</f>
        <v>show</v>
      </c>
    </row>
    <row r="7554" spans="1:6">
      <c r="A7554" t="s">
        <v>22419</v>
      </c>
      <c r="B7554" t="s">
        <v>22420</v>
      </c>
      <c r="C7554" t="s">
        <v>22421</v>
      </c>
      <c r="D7554" t="str">
        <f>HYPERLINK("https://github.com/Anuken/Mindustry/issues/2279","show")</f>
        <v>show</v>
      </c>
      <c r="E7554" t="str">
        <f>HYPERLINK("https://github.com/Anuken/Mindustry","show")</f>
        <v>show</v>
      </c>
      <c r="F7554" t="str">
        <f>HYPERLINK("https://github.com/Anuken/Mindustry/releases","show")</f>
        <v>show</v>
      </c>
    </row>
    <row r="7555" spans="1:6">
      <c r="A7555" t="s">
        <v>22422</v>
      </c>
      <c r="B7555" t="s">
        <v>22423</v>
      </c>
      <c r="C7555" t="s">
        <v>22424</v>
      </c>
      <c r="D7555" t="str">
        <f>HYPERLINK("https://github.com/TeamNewPipe/NewPipe/issues/4007","show")</f>
        <v>show</v>
      </c>
      <c r="E7555" t="str">
        <f>HYPERLINK("https://github.com/TeamNewPipe/NewPipe","show")</f>
        <v>show</v>
      </c>
      <c r="F7555" t="str">
        <f>HYPERLINK("https://github.com/TeamNewPipe/NewPipe/releases","show")</f>
        <v>show</v>
      </c>
    </row>
    <row r="7556" spans="1:6">
      <c r="A7556" t="s">
        <v>22425</v>
      </c>
      <c r="B7556" t="s">
        <v>22426</v>
      </c>
      <c r="C7556" t="s">
        <v>22427</v>
      </c>
      <c r="D7556" t="str">
        <f>HYPERLINK("https://github.com/Anuken/Mindustry/issues/2278","show")</f>
        <v>show</v>
      </c>
      <c r="E7556" t="str">
        <f>HYPERLINK("https://github.com/Anuken/Mindustry","show")</f>
        <v>show</v>
      </c>
      <c r="F7556" t="str">
        <f>HYPERLINK("https://github.com/Anuken/Mindustry/releases","show")</f>
        <v>show</v>
      </c>
    </row>
    <row r="7557" spans="1:6">
      <c r="A7557" t="s">
        <v>22428</v>
      </c>
      <c r="B7557" t="s">
        <v>22429</v>
      </c>
      <c r="C7557" t="s">
        <v>22430</v>
      </c>
      <c r="D7557" t="str">
        <f>HYPERLINK("https://github.com/MuntashirAkon/AppManager/issues/48","show")</f>
        <v>show</v>
      </c>
      <c r="E7557" t="str">
        <f>HYPERLINK("https://github.com/MuntashirAkon/AppManager","show")</f>
        <v>show</v>
      </c>
      <c r="F7557" t="str">
        <f>HYPERLINK("https://github.com/MuntashirAkon/AppManager/releases","show")</f>
        <v>show</v>
      </c>
    </row>
    <row r="7558" spans="1:6">
      <c r="A7558" t="s">
        <v>22431</v>
      </c>
      <c r="B7558" t="s">
        <v>22432</v>
      </c>
      <c r="C7558" t="s">
        <v>22433</v>
      </c>
      <c r="D7558" t="str">
        <f>HYPERLINK("https://github.com/smartdevicelink/sdl_java_suite/issues/1412","show")</f>
        <v>show</v>
      </c>
      <c r="E7558" t="str">
        <f>HYPERLINK("https://github.com/smartdevicelink/sdl_java_suite","show")</f>
        <v>show</v>
      </c>
      <c r="F7558" t="str">
        <f>HYPERLINK("https://github.com/smartdevicelink/sdl_java_suite/releases","show")</f>
        <v>show</v>
      </c>
    </row>
    <row r="7559" spans="1:6">
      <c r="A7559" t="s">
        <v>22434</v>
      </c>
      <c r="B7559" t="s">
        <v>22435</v>
      </c>
      <c r="C7559" t="s">
        <v>22436</v>
      </c>
      <c r="D7559" t="str">
        <f>HYPERLINK("https://github.com/google/ExoPlayer/issues/7690","show")</f>
        <v>show</v>
      </c>
      <c r="E7559" t="str">
        <f>HYPERLINK("https://github.com/google/ExoPlayer","show")</f>
        <v>show</v>
      </c>
      <c r="F7559" t="str">
        <f>HYPERLINK("https://github.com/google/ExoPlayer/releases","show")</f>
        <v>show</v>
      </c>
    </row>
    <row r="7560" spans="1:6">
      <c r="A7560" t="s">
        <v>22437</v>
      </c>
      <c r="B7560" t="s">
        <v>22438</v>
      </c>
      <c r="C7560" t="s">
        <v>22439</v>
      </c>
      <c r="D7560" t="str">
        <f>HYPERLINK("https://github.com/TeamNewPipe/NewPipe/issues/3989","show")</f>
        <v>show</v>
      </c>
      <c r="E7560" t="str">
        <f>HYPERLINK("https://github.com/TeamNewPipe/NewPipe","show")</f>
        <v>show</v>
      </c>
      <c r="F7560" t="str">
        <f>HYPERLINK("https://github.com/TeamNewPipe/NewPipe/releases","show")</f>
        <v>show</v>
      </c>
    </row>
    <row r="7561" spans="1:6">
      <c r="A7561" t="s">
        <v>22440</v>
      </c>
      <c r="B7561" t="s">
        <v>22441</v>
      </c>
      <c r="C7561" t="s">
        <v>22442</v>
      </c>
      <c r="D7561" t="str">
        <f>HYPERLINK("https://github.com/Anuken/Mindustry/issues/2272","show")</f>
        <v>show</v>
      </c>
      <c r="E7561" t="str">
        <f>HYPERLINK("https://github.com/Anuken/Mindustry","show")</f>
        <v>show</v>
      </c>
      <c r="F7561" t="str">
        <f>HYPERLINK("https://github.com/Anuken/Mindustry/releases","show")</f>
        <v>show</v>
      </c>
    </row>
    <row r="7562" spans="1:6">
      <c r="A7562" t="s">
        <v>22443</v>
      </c>
      <c r="B7562" t="s">
        <v>22444</v>
      </c>
      <c r="C7562" t="s">
        <v>22445</v>
      </c>
      <c r="D7562" t="str">
        <f>HYPERLINK("https://github.com/TeamNewPipe/NewPipe/issues/3985","show")</f>
        <v>show</v>
      </c>
      <c r="E7562" t="str">
        <f>HYPERLINK("https://github.com/TeamNewPipe/NewPipe","show")</f>
        <v>show</v>
      </c>
      <c r="F7562" t="str">
        <f>HYPERLINK("https://github.com/TeamNewPipe/NewPipe/releases","show")</f>
        <v>show</v>
      </c>
    </row>
    <row r="7563" spans="1:6">
      <c r="A7563" t="s">
        <v>22446</v>
      </c>
      <c r="B7563" t="s">
        <v>22447</v>
      </c>
      <c r="C7563" t="s">
        <v>22448</v>
      </c>
      <c r="D7563" t="str">
        <f>HYPERLINK("https://github.com/TeamNewPipe/NewPipe/issues/3982","show")</f>
        <v>show</v>
      </c>
      <c r="E7563" t="str">
        <f>HYPERLINK("https://github.com/TeamNewPipe/NewPipe","show")</f>
        <v>show</v>
      </c>
      <c r="F7563" t="str">
        <f>HYPERLINK("https://github.com/TeamNewPipe/NewPipe/releases","show")</f>
        <v>show</v>
      </c>
    </row>
    <row r="7564" spans="1:6">
      <c r="A7564" t="s">
        <v>22449</v>
      </c>
      <c r="B7564" t="s">
        <v>22450</v>
      </c>
      <c r="C7564" t="s">
        <v>22451</v>
      </c>
      <c r="D7564" t="str">
        <f>HYPERLINK("https://github.com/ankidroid/Anki-Android/issues/6760","show")</f>
        <v>show</v>
      </c>
      <c r="E7564" t="str">
        <f>HYPERLINK("https://github.com/ankidroid/Anki-Android","show")</f>
        <v>show</v>
      </c>
      <c r="F7564" t="str">
        <f>HYPERLINK("https://github.com/ankidroid/Anki-Android/releases","show")</f>
        <v>show</v>
      </c>
    </row>
    <row r="7565" spans="1:6">
      <c r="A7565" t="s">
        <v>22452</v>
      </c>
      <c r="B7565" t="s">
        <v>22453</v>
      </c>
      <c r="C7565" t="s">
        <v>22454</v>
      </c>
      <c r="D7565" t="str">
        <f>HYPERLINK("https://github.com/TeamNewPipe/NewPipe/issues/3968","show")</f>
        <v>show</v>
      </c>
      <c r="E7565" t="str">
        <f>HYPERLINK("https://github.com/TeamNewPipe/NewPipe","show")</f>
        <v>show</v>
      </c>
      <c r="F7565" t="str">
        <f>HYPERLINK("https://github.com/TeamNewPipe/NewPipe/releases","show")</f>
        <v>show</v>
      </c>
    </row>
    <row r="7566" spans="1:6">
      <c r="A7566" t="s">
        <v>22455</v>
      </c>
      <c r="B7566" t="s">
        <v>22456</v>
      </c>
      <c r="C7566" t="s">
        <v>22457</v>
      </c>
      <c r="D7566" t="str">
        <f>HYPERLINK("https://github.com/TeamNewPipe/NewPipe/issues/3964","show")</f>
        <v>show</v>
      </c>
      <c r="E7566" t="str">
        <f>HYPERLINK("https://github.com/TeamNewPipe/NewPipe","show")</f>
        <v>show</v>
      </c>
      <c r="F7566" t="str">
        <f>HYPERLINK("https://github.com/TeamNewPipe/NewPipe/releases","show")</f>
        <v>show</v>
      </c>
    </row>
    <row r="7567" spans="1:6">
      <c r="A7567" t="s">
        <v>22458</v>
      </c>
      <c r="B7567" t="s">
        <v>6843</v>
      </c>
      <c r="C7567" t="s">
        <v>22459</v>
      </c>
      <c r="D7567" t="str">
        <f>HYPERLINK("https://github.com/TeamNewPipe/NewPipe/issues/3959","show")</f>
        <v>show</v>
      </c>
      <c r="E7567" t="str">
        <f>HYPERLINK("https://github.com/TeamNewPipe/NewPipe","show")</f>
        <v>show</v>
      </c>
      <c r="F7567" t="str">
        <f>HYPERLINK("https://github.com/TeamNewPipe/NewPipe/releases","show")</f>
        <v>show</v>
      </c>
    </row>
    <row r="7568" spans="1:6">
      <c r="A7568" t="s">
        <v>22460</v>
      </c>
      <c r="B7568" t="s">
        <v>22461</v>
      </c>
      <c r="C7568" t="s">
        <v>22462</v>
      </c>
      <c r="D7568" t="str">
        <f>HYPERLINK("https://github.com/TeamNewPipe/NewPipe/issues/3955","show")</f>
        <v>show</v>
      </c>
      <c r="E7568" t="str">
        <f>HYPERLINK("https://github.com/TeamNewPipe/NewPipe","show")</f>
        <v>show</v>
      </c>
      <c r="F7568" t="str">
        <f>HYPERLINK("https://github.com/TeamNewPipe/NewPipe/releases","show")</f>
        <v>show</v>
      </c>
    </row>
    <row r="7569" spans="1:6">
      <c r="A7569" t="s">
        <v>22463</v>
      </c>
      <c r="B7569" t="s">
        <v>22464</v>
      </c>
      <c r="C7569" t="s">
        <v>22465</v>
      </c>
      <c r="D7569" t="str">
        <f>HYPERLINK("https://github.com/dimagi/commcare-android/issues/2298","show")</f>
        <v>show</v>
      </c>
      <c r="E7569" t="str">
        <f>HYPERLINK("https://github.com/dimagi/commcare-android","show")</f>
        <v>show</v>
      </c>
      <c r="F7569" t="str">
        <f>HYPERLINK("https://github.com/dimagi/commcare-android/releases","show")</f>
        <v>show</v>
      </c>
    </row>
    <row r="7570" spans="1:6">
      <c r="A7570" t="s">
        <v>22466</v>
      </c>
      <c r="B7570" t="s">
        <v>22467</v>
      </c>
      <c r="C7570" t="s">
        <v>22468</v>
      </c>
      <c r="D7570" t="str">
        <f>HYPERLINK("https://github.com/AnySoftKeyboard/AnySoftKeyboard/issues/2401","show")</f>
        <v>show</v>
      </c>
      <c r="E7570" t="str">
        <f>HYPERLINK("https://github.com/AnySoftKeyboard/AnySoftKeyboard","show")</f>
        <v>show</v>
      </c>
      <c r="F7570" t="str">
        <f>HYPERLINK("https://github.com/AnySoftKeyboard/AnySoftKeyboard/releases","show")</f>
        <v>show</v>
      </c>
    </row>
    <row r="7571" spans="1:6">
      <c r="A7571" t="s">
        <v>22469</v>
      </c>
      <c r="B7571" t="s">
        <v>22470</v>
      </c>
      <c r="C7571" t="s">
        <v>22471</v>
      </c>
      <c r="D7571" t="str">
        <f>HYPERLINK("https://github.com/dimagi/commcare-android/issues/2297","show")</f>
        <v>show</v>
      </c>
      <c r="E7571" t="str">
        <f>HYPERLINK("https://github.com/dimagi/commcare-android","show")</f>
        <v>show</v>
      </c>
      <c r="F7571" t="str">
        <f>HYPERLINK("https://github.com/dimagi/commcare-android/releases","show")</f>
        <v>show</v>
      </c>
    </row>
    <row r="7572" spans="1:6">
      <c r="A7572" t="s">
        <v>22472</v>
      </c>
      <c r="B7572" t="s">
        <v>22473</v>
      </c>
      <c r="C7572" t="s">
        <v>22474</v>
      </c>
      <c r="D7572" t="str">
        <f>HYPERLINK("https://github.com/TeamNewPipe/NewPipe/issues/3949","show")</f>
        <v>show</v>
      </c>
      <c r="E7572" t="str">
        <f>HYPERLINK("https://github.com/TeamNewPipe/NewPipe","show")</f>
        <v>show</v>
      </c>
      <c r="F7572" t="str">
        <f>HYPERLINK("https://github.com/TeamNewPipe/NewPipe/releases","show")</f>
        <v>show</v>
      </c>
    </row>
    <row r="7573" spans="1:6">
      <c r="A7573" t="s">
        <v>22475</v>
      </c>
      <c r="B7573" t="s">
        <v>22476</v>
      </c>
      <c r="C7573" t="s">
        <v>22477</v>
      </c>
      <c r="D7573" t="str">
        <f>HYPERLINK("https://github.com/material-components/material-components-android/issues/1527","show")</f>
        <v>show</v>
      </c>
      <c r="E7573" t="str">
        <f>HYPERLINK("https://github.com/material-components/material-components-android","show")</f>
        <v>show</v>
      </c>
      <c r="F7573" t="str">
        <f>HYPERLINK("https://github.com/material-components/material-components-android/releases","show")</f>
        <v>show</v>
      </c>
    </row>
    <row r="7574" spans="1:6">
      <c r="A7574" t="s">
        <v>22478</v>
      </c>
      <c r="B7574" t="s">
        <v>22479</v>
      </c>
      <c r="C7574" t="s">
        <v>22480</v>
      </c>
      <c r="D7574" t="str">
        <f>HYPERLINK("https://github.com/cgeo/cgeo/issues/8689","show")</f>
        <v>show</v>
      </c>
      <c r="E7574" t="str">
        <f>HYPERLINK("https://github.com/cgeo/cgeo","show")</f>
        <v>show</v>
      </c>
      <c r="F7574" t="str">
        <f>HYPERLINK("https://github.com/cgeo/cgeo/releases","show")</f>
        <v>show</v>
      </c>
    </row>
    <row r="7575" spans="1:6">
      <c r="A7575" t="s">
        <v>22481</v>
      </c>
      <c r="B7575" t="s">
        <v>22482</v>
      </c>
      <c r="C7575" t="s">
        <v>22483</v>
      </c>
      <c r="D7575" t="str">
        <f>HYPERLINK("https://github.com/opensrp/opensrp-client-reveal/issues/848","show")</f>
        <v>show</v>
      </c>
      <c r="E7575" t="str">
        <f>HYPERLINK("https://github.com/opensrp/opensrp-client-reveal","show")</f>
        <v>show</v>
      </c>
      <c r="F7575" t="str">
        <f>HYPERLINK("https://github.com/opensrp/opensrp-client-reveal/releases","show")</f>
        <v>show</v>
      </c>
    </row>
    <row r="7576" spans="1:6">
      <c r="A7576" t="s">
        <v>22484</v>
      </c>
      <c r="B7576" t="s">
        <v>22485</v>
      </c>
      <c r="C7576" t="s">
        <v>22486</v>
      </c>
      <c r="D7576" t="str">
        <f>HYPERLINK("https://github.com/TeamNewPipe/NewPipe/issues/3945","show")</f>
        <v>show</v>
      </c>
      <c r="E7576" t="str">
        <f>HYPERLINK("https://github.com/TeamNewPipe/NewPipe","show")</f>
        <v>show</v>
      </c>
      <c r="F7576" t="str">
        <f>HYPERLINK("https://github.com/TeamNewPipe/NewPipe/releases","show")</f>
        <v>show</v>
      </c>
    </row>
    <row r="7577" spans="1:6">
      <c r="A7577" t="s">
        <v>22487</v>
      </c>
      <c r="B7577" t="s">
        <v>22488</v>
      </c>
      <c r="C7577" t="s">
        <v>22489</v>
      </c>
      <c r="D7577" t="str">
        <f>HYPERLINK("https://github.com/google/ExoPlayer/issues/7672","show")</f>
        <v>show</v>
      </c>
      <c r="E7577" t="str">
        <f>HYPERLINK("https://github.com/google/ExoPlayer","show")</f>
        <v>show</v>
      </c>
      <c r="F7577" t="str">
        <f>HYPERLINK("https://github.com/google/ExoPlayer/releases","show")</f>
        <v>show</v>
      </c>
    </row>
    <row r="7578" spans="1:6">
      <c r="A7578" t="s">
        <v>22490</v>
      </c>
      <c r="B7578" t="s">
        <v>22491</v>
      </c>
      <c r="C7578" t="s">
        <v>22492</v>
      </c>
      <c r="D7578" t="str">
        <f>HYPERLINK("https://github.com/dimagi/commcare-android/issues/2296","show")</f>
        <v>show</v>
      </c>
      <c r="E7578" t="str">
        <f>HYPERLINK("https://github.com/dimagi/commcare-android","show")</f>
        <v>show</v>
      </c>
      <c r="F7578" t="str">
        <f>HYPERLINK("https://github.com/dimagi/commcare-android/releases","show")</f>
        <v>show</v>
      </c>
    </row>
    <row r="7579" spans="1:6">
      <c r="A7579" t="s">
        <v>22493</v>
      </c>
      <c r="B7579" t="s">
        <v>22494</v>
      </c>
      <c r="C7579" t="s">
        <v>22495</v>
      </c>
      <c r="D7579" t="str">
        <f>HYPERLINK("https://github.com/nextcloud/android/issues/6544","show")</f>
        <v>show</v>
      </c>
      <c r="E7579" t="str">
        <f>HYPERLINK("https://github.com/nextcloud/android","show")</f>
        <v>show</v>
      </c>
      <c r="F7579" t="str">
        <f>HYPERLINK("https://github.com/nextcloud/android/releases","show")</f>
        <v>show</v>
      </c>
    </row>
    <row r="7580" spans="1:6">
      <c r="A7580" t="s">
        <v>22496</v>
      </c>
      <c r="B7580" t="s">
        <v>22497</v>
      </c>
      <c r="C7580" t="s">
        <v>22498</v>
      </c>
      <c r="D7580" t="str">
        <f>HYPERLINK("https://github.com/Anuken/Mindustry/issues/2265","show")</f>
        <v>show</v>
      </c>
      <c r="E7580" t="str">
        <f>HYPERLINK("https://github.com/Anuken/Mindustry","show")</f>
        <v>show</v>
      </c>
      <c r="F7580" t="str">
        <f>HYPERLINK("https://github.com/Anuken/Mindustry/releases","show")</f>
        <v>show</v>
      </c>
    </row>
    <row r="7581" spans="1:6">
      <c r="A7581" t="s">
        <v>22499</v>
      </c>
      <c r="B7581" t="s">
        <v>22500</v>
      </c>
      <c r="C7581" t="s">
        <v>22501</v>
      </c>
      <c r="D7581" t="str">
        <f>HYPERLINK("https://github.com/cgeo/cgeo/issues/8672","show")</f>
        <v>show</v>
      </c>
      <c r="E7581" t="str">
        <f>HYPERLINK("https://github.com/cgeo/cgeo","show")</f>
        <v>show</v>
      </c>
      <c r="F7581" t="str">
        <f>HYPERLINK("https://github.com/cgeo/cgeo/releases","show")</f>
        <v>show</v>
      </c>
    </row>
    <row r="7582" spans="1:6">
      <c r="A7582" t="s">
        <v>22502</v>
      </c>
      <c r="B7582" t="s">
        <v>22503</v>
      </c>
      <c r="C7582" t="s">
        <v>22504</v>
      </c>
      <c r="D7582" t="str">
        <f>HYPERLINK("https://github.com/TeamNewPipe/NewPipe/issues/3935","show")</f>
        <v>show</v>
      </c>
      <c r="E7582" t="str">
        <f>HYPERLINK("https://github.com/TeamNewPipe/NewPipe","show")</f>
        <v>show</v>
      </c>
      <c r="F7582" t="str">
        <f>HYPERLINK("https://github.com/TeamNewPipe/NewPipe/releases","show")</f>
        <v>show</v>
      </c>
    </row>
    <row r="7583" spans="1:6">
      <c r="A7583" t="s">
        <v>22505</v>
      </c>
      <c r="B7583" t="s">
        <v>22506</v>
      </c>
      <c r="C7583" t="s">
        <v>22507</v>
      </c>
      <c r="D7583" t="str">
        <f>HYPERLINK("https://github.com/nextcloud/android/issues/6542","show")</f>
        <v>show</v>
      </c>
      <c r="E7583" t="str">
        <f>HYPERLINK("https://github.com/nextcloud/android","show")</f>
        <v>show</v>
      </c>
      <c r="F7583" t="str">
        <f>HYPERLINK("https://github.com/nextcloud/android/releases","show")</f>
        <v>show</v>
      </c>
    </row>
    <row r="7584" spans="1:6">
      <c r="A7584" t="s">
        <v>22508</v>
      </c>
      <c r="B7584" t="s">
        <v>22509</v>
      </c>
      <c r="C7584" t="s">
        <v>22510</v>
      </c>
      <c r="D7584" t="str">
        <f>HYPERLINK("https://github.com/nextcloud/android/issues/6541","show")</f>
        <v>show</v>
      </c>
      <c r="E7584" t="str">
        <f>HYPERLINK("https://github.com/nextcloud/android","show")</f>
        <v>show</v>
      </c>
      <c r="F7584" t="str">
        <f>HYPERLINK("https://github.com/nextcloud/android/releases","show")</f>
        <v>show</v>
      </c>
    </row>
    <row r="7585" spans="1:6">
      <c r="A7585" t="s">
        <v>22511</v>
      </c>
      <c r="B7585" t="s">
        <v>22512</v>
      </c>
      <c r="C7585" t="s">
        <v>22513</v>
      </c>
      <c r="D7585" t="str">
        <f>HYPERLINK("https://github.com/burhanrashid52/PhotoEditor/issues/263","show")</f>
        <v>show</v>
      </c>
      <c r="E7585" t="str">
        <f>HYPERLINK("https://github.com/burhanrashid52/PhotoEditor","show")</f>
        <v>show</v>
      </c>
      <c r="F7585" t="str">
        <f>HYPERLINK("https://github.com/burhanrashid52/PhotoEditor/releases","show")</f>
        <v>show</v>
      </c>
    </row>
    <row r="7586" spans="1:6">
      <c r="A7586" t="s">
        <v>22514</v>
      </c>
      <c r="B7586" t="s">
        <v>22515</v>
      </c>
      <c r="C7586" t="s">
        <v>22516</v>
      </c>
      <c r="D7586" t="str">
        <f>HYPERLINK("https://github.com/1pdinesh/Keychat/issues/4","show")</f>
        <v>show</v>
      </c>
      <c r="E7586" t="str">
        <f>HYPERLINK("https://github.com/1pdinesh/Keychat","show")</f>
        <v>show</v>
      </c>
      <c r="F7586" t="str">
        <f>HYPERLINK("https://github.com/1pdinesh/Keychat/releases","show")</f>
        <v>show</v>
      </c>
    </row>
    <row r="7587" spans="1:6">
      <c r="A7587" t="s">
        <v>22517</v>
      </c>
      <c r="B7587" t="s">
        <v>22518</v>
      </c>
      <c r="C7587" t="s">
        <v>22519</v>
      </c>
      <c r="D7587" t="str">
        <f>HYPERLINK("https://github.com/nextcloud/android/issues/6540","show")</f>
        <v>show</v>
      </c>
      <c r="E7587" t="str">
        <f>HYPERLINK("https://github.com/nextcloud/android","show")</f>
        <v>show</v>
      </c>
      <c r="F7587" t="str">
        <f>HYPERLINK("https://github.com/nextcloud/android/releases","show")</f>
        <v>show</v>
      </c>
    </row>
    <row r="7588" spans="1:6">
      <c r="A7588" t="s">
        <v>22520</v>
      </c>
      <c r="B7588" t="s">
        <v>22521</v>
      </c>
      <c r="C7588" t="s">
        <v>22522</v>
      </c>
      <c r="D7588" t="str">
        <f>HYPERLINK("https://github.com/nextcloud/android/issues/6538","show")</f>
        <v>show</v>
      </c>
      <c r="E7588" t="str">
        <f>HYPERLINK("https://github.com/nextcloud/android","show")</f>
        <v>show</v>
      </c>
      <c r="F7588" t="str">
        <f>HYPERLINK("https://github.com/nextcloud/android/releases","show")</f>
        <v>show</v>
      </c>
    </row>
    <row r="7589" spans="1:6">
      <c r="A7589" t="s">
        <v>22523</v>
      </c>
      <c r="B7589" t="s">
        <v>22524</v>
      </c>
      <c r="C7589" t="s">
        <v>22525</v>
      </c>
      <c r="D7589" t="str">
        <f>HYPERLINK("https://github.com/inaturalist/iNaturalistAndroid/issues/864","show")</f>
        <v>show</v>
      </c>
      <c r="E7589" t="str">
        <f>HYPERLINK("https://github.com/inaturalist/iNaturalistAndroid","show")</f>
        <v>show</v>
      </c>
      <c r="F7589" t="str">
        <f>HYPERLINK("https://github.com/inaturalist/iNaturalistAndroid/releases","show")</f>
        <v>show</v>
      </c>
    </row>
    <row r="7590" spans="1:6">
      <c r="A7590" t="s">
        <v>22526</v>
      </c>
      <c r="B7590" t="s">
        <v>22527</v>
      </c>
      <c r="C7590" t="s">
        <v>22528</v>
      </c>
      <c r="D7590" t="str">
        <f>HYPERLINK("https://github.com/nextcloud/android/issues/6536","show")</f>
        <v>show</v>
      </c>
      <c r="E7590" t="str">
        <f>HYPERLINK("https://github.com/nextcloud/android","show")</f>
        <v>show</v>
      </c>
      <c r="F7590" t="str">
        <f>HYPERLINK("https://github.com/nextcloud/android/releases","show")</f>
        <v>show</v>
      </c>
    </row>
    <row r="7591" spans="1:6">
      <c r="A7591" t="s">
        <v>22529</v>
      </c>
      <c r="B7591" t="s">
        <v>22530</v>
      </c>
      <c r="C7591" t="s">
        <v>22531</v>
      </c>
      <c r="D7591" t="str">
        <f>HYPERLINK("https://github.com/nextcloud/android/issues/6532","show")</f>
        <v>show</v>
      </c>
      <c r="E7591" t="str">
        <f>HYPERLINK("https://github.com/nextcloud/android","show")</f>
        <v>show</v>
      </c>
      <c r="F7591" t="str">
        <f>HYPERLINK("https://github.com/nextcloud/android/releases","show")</f>
        <v>show</v>
      </c>
    </row>
    <row r="7592" spans="1:6">
      <c r="A7592" t="s">
        <v>22532</v>
      </c>
      <c r="B7592" t="s">
        <v>22533</v>
      </c>
      <c r="C7592" t="s">
        <v>22534</v>
      </c>
      <c r="D7592" t="str">
        <f>HYPERLINK("https://github.com/doublesymmetry/react-native-track-player/issues/997","show")</f>
        <v>show</v>
      </c>
      <c r="E7592" t="str">
        <f>HYPERLINK("https://github.com/doublesymmetry/react-native-track-player","show")</f>
        <v>show</v>
      </c>
      <c r="F7592" t="str">
        <f>HYPERLINK("https://github.com/doublesymmetry/react-native-track-player/releases","show")</f>
        <v>show</v>
      </c>
    </row>
    <row r="7593" spans="1:6">
      <c r="A7593" t="s">
        <v>22535</v>
      </c>
      <c r="B7593" t="s">
        <v>22536</v>
      </c>
      <c r="C7593" t="s">
        <v>22537</v>
      </c>
      <c r="D7593" t="str">
        <f>HYPERLINK("https://github.com/marco97pa/Track-Companion/issues/3","show")</f>
        <v>show</v>
      </c>
      <c r="E7593" t="str">
        <f>HYPERLINK("https://github.com/marco97pa/Track-Companion","show")</f>
        <v>show</v>
      </c>
      <c r="F7593" t="str">
        <f>HYPERLINK("https://github.com/marco97pa/Track-Companion/releases","show")</f>
        <v>show</v>
      </c>
    </row>
    <row r="7594" spans="1:6">
      <c r="A7594" t="s">
        <v>22538</v>
      </c>
      <c r="B7594" t="s">
        <v>22539</v>
      </c>
      <c r="C7594" t="s">
        <v>22540</v>
      </c>
      <c r="D7594" t="str">
        <f>HYPERLINK("https://github.com/Crazy-Marvin/Flashy/issues/7","show")</f>
        <v>show</v>
      </c>
      <c r="E7594" t="str">
        <f>HYPERLINK("https://github.com/Crazy-Marvin/Flashy","show")</f>
        <v>show</v>
      </c>
      <c r="F7594" t="str">
        <f>HYPERLINK("https://github.com/Crazy-Marvin/Flashy/releases","show")</f>
        <v>show</v>
      </c>
    </row>
    <row r="7595" spans="1:6">
      <c r="A7595" t="s">
        <v>22541</v>
      </c>
      <c r="B7595" t="s">
        <v>22542</v>
      </c>
      <c r="C7595" t="s">
        <v>22543</v>
      </c>
      <c r="D7595" t="str">
        <f>HYPERLINK("https://github.com/Anuken/Mindustry/issues/2258","show")</f>
        <v>show</v>
      </c>
      <c r="E7595" t="str">
        <f>HYPERLINK("https://github.com/Anuken/Mindustry","show")</f>
        <v>show</v>
      </c>
      <c r="F7595" t="str">
        <f>HYPERLINK("https://github.com/Anuken/Mindustry/releases","show")</f>
        <v>show</v>
      </c>
    </row>
    <row r="7596" spans="1:6">
      <c r="A7596" t="s">
        <v>22544</v>
      </c>
      <c r="B7596" t="s">
        <v>22545</v>
      </c>
      <c r="C7596" t="s">
        <v>22546</v>
      </c>
      <c r="D7596" t="str">
        <f>HYPERLINK("https://github.com/ElderDrivers/EdXposed/issues/587","show")</f>
        <v>show</v>
      </c>
      <c r="E7596" t="str">
        <f>HYPERLINK("https://github.com/ElderDrivers/EdXposed","show")</f>
        <v>show</v>
      </c>
      <c r="F7596" t="str">
        <f>HYPERLINK("https://github.com/ElderDrivers/EdXposed/releases","show")</f>
        <v>show</v>
      </c>
    </row>
    <row r="7597" spans="1:6">
      <c r="A7597" t="s">
        <v>22547</v>
      </c>
      <c r="B7597" t="s">
        <v>22548</v>
      </c>
      <c r="C7597" t="s">
        <v>22549</v>
      </c>
      <c r="D7597" t="str">
        <f>HYPERLINK("https://github.com/TeamNewPipe/NewPipe/issues/3925","show")</f>
        <v>show</v>
      </c>
      <c r="E7597" t="str">
        <f>HYPERLINK("https://github.com/TeamNewPipe/NewPipe","show")</f>
        <v>show</v>
      </c>
      <c r="F7597" t="str">
        <f>HYPERLINK("https://github.com/TeamNewPipe/NewPipe/releases","show")</f>
        <v>show</v>
      </c>
    </row>
    <row r="7598" spans="1:6">
      <c r="A7598" t="s">
        <v>22550</v>
      </c>
      <c r="B7598" t="s">
        <v>22551</v>
      </c>
      <c r="C7598" t="s">
        <v>22552</v>
      </c>
      <c r="D7598" t="str">
        <f>HYPERLINK("https://github.com/nextcloud/android/issues/6518","show")</f>
        <v>show</v>
      </c>
      <c r="E7598" t="str">
        <f>HYPERLINK("https://github.com/nextcloud/android","show")</f>
        <v>show</v>
      </c>
      <c r="F7598" t="str">
        <f>HYPERLINK("https://github.com/nextcloud/android/releases","show")</f>
        <v>show</v>
      </c>
    </row>
    <row r="7599" spans="1:6">
      <c r="A7599" t="s">
        <v>22553</v>
      </c>
      <c r="B7599" t="s">
        <v>22554</v>
      </c>
      <c r="C7599" t="s">
        <v>22555</v>
      </c>
      <c r="D7599" t="str">
        <f>HYPERLINK("https://github.com/godotengine/godot-google-play-billing/issues/5","show")</f>
        <v>show</v>
      </c>
      <c r="E7599" t="str">
        <f>HYPERLINK("https://github.com/godotengine/godot-google-play-billing","show")</f>
        <v>show</v>
      </c>
      <c r="F7599" t="str">
        <f>HYPERLINK("https://github.com/godotengine/godot-google-play-billing/releases","show")</f>
        <v>show</v>
      </c>
    </row>
    <row r="7600" spans="1:6">
      <c r="A7600" t="s">
        <v>22556</v>
      </c>
      <c r="B7600" t="s">
        <v>22557</v>
      </c>
      <c r="C7600" t="s">
        <v>22558</v>
      </c>
      <c r="D7600" t="str">
        <f>HYPERLINK("https://github.com/ElderDrivers/EdXposed/issues/586","show")</f>
        <v>show</v>
      </c>
      <c r="E7600" t="str">
        <f>HYPERLINK("https://github.com/ElderDrivers/EdXposed","show")</f>
        <v>show</v>
      </c>
      <c r="F7600" t="str">
        <f>HYPERLINK("https://github.com/ElderDrivers/EdXposed/releases","show")</f>
        <v>show</v>
      </c>
    </row>
    <row r="7601" spans="1:6">
      <c r="A7601" t="s">
        <v>22559</v>
      </c>
      <c r="B7601" t="s">
        <v>22560</v>
      </c>
      <c r="C7601" t="s">
        <v>22561</v>
      </c>
      <c r="D7601" t="str">
        <f>HYPERLINK("https://github.com/nextcloud/android/issues/6512","show")</f>
        <v>show</v>
      </c>
      <c r="E7601" t="str">
        <f>HYPERLINK("https://github.com/nextcloud/android","show")</f>
        <v>show</v>
      </c>
      <c r="F7601" t="str">
        <f>HYPERLINK("https://github.com/nextcloud/android/releases","show")</f>
        <v>show</v>
      </c>
    </row>
    <row r="7602" spans="1:6">
      <c r="A7602" t="s">
        <v>22562</v>
      </c>
      <c r="B7602" t="s">
        <v>22563</v>
      </c>
      <c r="C7602" t="s">
        <v>22564</v>
      </c>
      <c r="D7602" t="str">
        <f>HYPERLINK("https://github.com/inaturalist/iNaturalistAndroid/issues/863","show")</f>
        <v>show</v>
      </c>
      <c r="E7602" t="str">
        <f>HYPERLINK("https://github.com/inaturalist/iNaturalistAndroid","show")</f>
        <v>show</v>
      </c>
      <c r="F7602" t="str">
        <f>HYPERLINK("https://github.com/inaturalist/iNaturalistAndroid/releases","show")</f>
        <v>show</v>
      </c>
    </row>
    <row r="7603" spans="1:6">
      <c r="A7603" t="s">
        <v>22565</v>
      </c>
      <c r="B7603" t="s">
        <v>22566</v>
      </c>
      <c r="C7603" t="s">
        <v>22567</v>
      </c>
      <c r="D7603" t="str">
        <f>HYPERLINK("https://github.com/nextcloud/android/issues/6499","show")</f>
        <v>show</v>
      </c>
      <c r="E7603" t="str">
        <f>HYPERLINK("https://github.com/nextcloud/android","show")</f>
        <v>show</v>
      </c>
      <c r="F7603" t="str">
        <f>HYPERLINK("https://github.com/nextcloud/android/releases","show")</f>
        <v>show</v>
      </c>
    </row>
    <row r="7604" spans="1:6">
      <c r="A7604" t="s">
        <v>22568</v>
      </c>
      <c r="B7604" t="s">
        <v>22569</v>
      </c>
      <c r="C7604" t="s">
        <v>22570</v>
      </c>
      <c r="D7604" t="str">
        <f>HYPERLINK("https://github.com/cgeo/cgeo/issues/8664","show")</f>
        <v>show</v>
      </c>
      <c r="E7604" t="str">
        <f>HYPERLINK("https://github.com/cgeo/cgeo","show")</f>
        <v>show</v>
      </c>
      <c r="F7604" t="str">
        <f>HYPERLINK("https://github.com/cgeo/cgeo/releases","show")</f>
        <v>show</v>
      </c>
    </row>
    <row r="7605" spans="1:6">
      <c r="A7605" t="s">
        <v>22571</v>
      </c>
      <c r="B7605" t="s">
        <v>22572</v>
      </c>
      <c r="C7605" t="s">
        <v>22573</v>
      </c>
      <c r="D7605" t="str">
        <f>HYPERLINK("https://github.com/aws-amplify/amplify-android/issues/657","show")</f>
        <v>show</v>
      </c>
      <c r="E7605" t="str">
        <f>HYPERLINK("https://github.com/aws-amplify/amplify-android","show")</f>
        <v>show</v>
      </c>
      <c r="F7605" t="str">
        <f>HYPERLINK("https://github.com/aws-amplify/amplify-android/releases","show")</f>
        <v>show</v>
      </c>
    </row>
    <row r="7606" spans="1:6">
      <c r="A7606" t="s">
        <v>22574</v>
      </c>
      <c r="B7606" t="s">
        <v>22575</v>
      </c>
      <c r="C7606" t="s">
        <v>22576</v>
      </c>
      <c r="D7606" t="str">
        <f>HYPERLINK("https://github.com/stefan-niedermann/nextcloud-notes/issues/919","show")</f>
        <v>show</v>
      </c>
      <c r="E7606" t="str">
        <f>HYPERLINK("https://github.com/stefan-niedermann/nextcloud-notes","show")</f>
        <v>show</v>
      </c>
      <c r="F7606" t="str">
        <f>HYPERLINK("https://github.com/stefan-niedermann/nextcloud-notes/releases","show")</f>
        <v>show</v>
      </c>
    </row>
    <row r="7607" spans="1:6">
      <c r="A7607" t="s">
        <v>22577</v>
      </c>
      <c r="B7607" t="s">
        <v>22578</v>
      </c>
      <c r="C7607" t="s">
        <v>22579</v>
      </c>
      <c r="D7607" t="str">
        <f>HYPERLINK("https://github.com/Anuken/Mindustry/issues/2246","show")</f>
        <v>show</v>
      </c>
      <c r="E7607" t="str">
        <f>HYPERLINK("https://github.com/Anuken/Mindustry","show")</f>
        <v>show</v>
      </c>
      <c r="F7607" t="str">
        <f>HYPERLINK("https://github.com/Anuken/Mindustry/releases","show")</f>
        <v>show</v>
      </c>
    </row>
    <row r="7608" spans="1:6">
      <c r="A7608" t="s">
        <v>22580</v>
      </c>
      <c r="B7608" t="s">
        <v>22581</v>
      </c>
      <c r="C7608" t="s">
        <v>22582</v>
      </c>
      <c r="D7608" t="str">
        <f>HYPERLINK("https://github.com/TeamNewPipe/NewPipe/issues/3911","show")</f>
        <v>show</v>
      </c>
      <c r="E7608" t="str">
        <f>HYPERLINK("https://github.com/TeamNewPipe/NewPipe","show")</f>
        <v>show</v>
      </c>
      <c r="F7608" t="str">
        <f>HYPERLINK("https://github.com/TeamNewPipe/NewPipe/releases","show")</f>
        <v>show</v>
      </c>
    </row>
    <row r="7609" spans="1:6">
      <c r="A7609" t="s">
        <v>22583</v>
      </c>
      <c r="B7609" t="s">
        <v>22584</v>
      </c>
      <c r="C7609" t="s">
        <v>22585</v>
      </c>
      <c r="D7609" t="str">
        <f>HYPERLINK("https://github.com/JuanSeBestia/react-native-wifi-reborn/issues/94","show")</f>
        <v>show</v>
      </c>
      <c r="E7609" t="str">
        <f>HYPERLINK("https://github.com/JuanSeBestia/react-native-wifi-reborn","show")</f>
        <v>show</v>
      </c>
      <c r="F7609" t="str">
        <f>HYPERLINK("https://github.com/JuanSeBestia/react-native-wifi-reborn/releases","show")</f>
        <v>show</v>
      </c>
    </row>
    <row r="7610" spans="1:6">
      <c r="A7610" t="s">
        <v>22586</v>
      </c>
      <c r="B7610" t="s">
        <v>22587</v>
      </c>
      <c r="C7610" t="s">
        <v>22588</v>
      </c>
      <c r="D7610" t="str">
        <f>HYPERLINK("https://github.com/nextcloud/android/issues/6489","show")</f>
        <v>show</v>
      </c>
      <c r="E7610" t="str">
        <f>HYPERLINK("https://github.com/nextcloud/android","show")</f>
        <v>show</v>
      </c>
      <c r="F7610" t="str">
        <f>HYPERLINK("https://github.com/nextcloud/android/releases","show")</f>
        <v>show</v>
      </c>
    </row>
    <row r="7611" spans="1:6">
      <c r="A7611" t="s">
        <v>22589</v>
      </c>
      <c r="B7611" t="s">
        <v>22590</v>
      </c>
      <c r="C7611" t="s">
        <v>22591</v>
      </c>
      <c r="D7611" t="str">
        <f>HYPERLINK("https://github.com/square/okhttp/issues/6188","show")</f>
        <v>show</v>
      </c>
      <c r="E7611" t="str">
        <f>HYPERLINK("https://github.com/square/okhttp","show")</f>
        <v>show</v>
      </c>
      <c r="F7611" t="str">
        <f>HYPERLINK("https://github.com/square/okhttp/releases","show")</f>
        <v>show</v>
      </c>
    </row>
    <row r="7612" spans="1:6">
      <c r="A7612" t="s">
        <v>22592</v>
      </c>
      <c r="B7612" t="s">
        <v>22593</v>
      </c>
      <c r="C7612" t="s">
        <v>22594</v>
      </c>
      <c r="D7612" t="str">
        <f>HYPERLINK("https://github.com/ElderDrivers/EdXposed/issues/585","show")</f>
        <v>show</v>
      </c>
      <c r="E7612" t="str">
        <f>HYPERLINK("https://github.com/ElderDrivers/EdXposed","show")</f>
        <v>show</v>
      </c>
      <c r="F7612" t="str">
        <f>HYPERLINK("https://github.com/ElderDrivers/EdXposed/releases","show")</f>
        <v>show</v>
      </c>
    </row>
    <row r="7613" spans="1:6">
      <c r="A7613" t="s">
        <v>22595</v>
      </c>
      <c r="B7613" t="s">
        <v>22596</v>
      </c>
      <c r="C7613" t="s">
        <v>22597</v>
      </c>
      <c r="D7613" t="str">
        <f>HYPERLINK("https://github.com/Anuken/Mindustry/issues/2238","show")</f>
        <v>show</v>
      </c>
      <c r="E7613" t="str">
        <f>HYPERLINK("https://github.com/Anuken/Mindustry","show")</f>
        <v>show</v>
      </c>
      <c r="F7613" t="str">
        <f>HYPERLINK("https://github.com/Anuken/Mindustry/releases","show")</f>
        <v>show</v>
      </c>
    </row>
    <row r="7614" spans="1:6">
      <c r="A7614" t="s">
        <v>22598</v>
      </c>
      <c r="B7614" t="s">
        <v>22599</v>
      </c>
      <c r="C7614" t="s">
        <v>22600</v>
      </c>
      <c r="D7614" t="str">
        <f>HYPERLINK("https://github.com/Anuken/Mindustry/issues/2237","show")</f>
        <v>show</v>
      </c>
      <c r="E7614" t="str">
        <f>HYPERLINK("https://github.com/Anuken/Mindustry","show")</f>
        <v>show</v>
      </c>
      <c r="F7614" t="str">
        <f>HYPERLINK("https://github.com/Anuken/Mindustry/releases","show")</f>
        <v>show</v>
      </c>
    </row>
    <row r="7615" spans="1:6">
      <c r="A7615" t="s">
        <v>22601</v>
      </c>
      <c r="B7615" t="s">
        <v>22602</v>
      </c>
      <c r="C7615" t="s">
        <v>22603</v>
      </c>
      <c r="D7615" t="str">
        <f>HYPERLINK("https://github.com/nextcloud/android/issues/6485","show")</f>
        <v>show</v>
      </c>
      <c r="E7615" t="str">
        <f>HYPERLINK("https://github.com/nextcloud/android","show")</f>
        <v>show</v>
      </c>
      <c r="F7615" t="str">
        <f>HYPERLINK("https://github.com/nextcloud/android/releases","show")</f>
        <v>show</v>
      </c>
    </row>
    <row r="7616" spans="1:6">
      <c r="A7616" t="s">
        <v>22604</v>
      </c>
      <c r="B7616" t="s">
        <v>22605</v>
      </c>
      <c r="C7616" t="s">
        <v>22606</v>
      </c>
      <c r="D7616" t="str">
        <f>HYPERLINK("https://github.com/nextcloud/android/issues/6481","show")</f>
        <v>show</v>
      </c>
      <c r="E7616" t="str">
        <f>HYPERLINK("https://github.com/nextcloud/android","show")</f>
        <v>show</v>
      </c>
      <c r="F7616" t="str">
        <f>HYPERLINK("https://github.com/nextcloud/android/releases","show")</f>
        <v>show</v>
      </c>
    </row>
    <row r="7617" spans="1:6">
      <c r="A7617" t="s">
        <v>22607</v>
      </c>
      <c r="B7617" t="s">
        <v>22608</v>
      </c>
      <c r="C7617" t="s">
        <v>22609</v>
      </c>
      <c r="D7617" t="str">
        <f>HYPERLINK("https://github.com/TeamNewPipe/NewPipe/issues/3893","show")</f>
        <v>show</v>
      </c>
      <c r="E7617" t="str">
        <f>HYPERLINK("https://github.com/TeamNewPipe/NewPipe","show")</f>
        <v>show</v>
      </c>
      <c r="F7617" t="str">
        <f>HYPERLINK("https://github.com/TeamNewPipe/NewPipe/releases","show")</f>
        <v>show</v>
      </c>
    </row>
    <row r="7618" spans="1:6">
      <c r="A7618" t="s">
        <v>22610</v>
      </c>
      <c r="B7618" t="s">
        <v>22611</v>
      </c>
      <c r="C7618" t="s">
        <v>22612</v>
      </c>
      <c r="D7618" t="str">
        <f>HYPERLINK("https://github.com/TeamNewPipe/NewPipe/issues/3891","show")</f>
        <v>show</v>
      </c>
      <c r="E7618" t="str">
        <f>HYPERLINK("https://github.com/TeamNewPipe/NewPipe","show")</f>
        <v>show</v>
      </c>
      <c r="F7618" t="str">
        <f>HYPERLINK("https://github.com/TeamNewPipe/NewPipe/releases","show")</f>
        <v>show</v>
      </c>
    </row>
    <row r="7619" spans="1:6">
      <c r="A7619" t="s">
        <v>22613</v>
      </c>
      <c r="B7619" t="s">
        <v>22614</v>
      </c>
      <c r="C7619" t="s">
        <v>22615</v>
      </c>
      <c r="D7619" t="str">
        <f>HYPERLINK("https://github.com/patzly/grocy-android/issues/54","show")</f>
        <v>show</v>
      </c>
      <c r="E7619" t="str">
        <f>HYPERLINK("https://github.com/patzly/grocy-android","show")</f>
        <v>show</v>
      </c>
      <c r="F7619" t="str">
        <f>HYPERLINK("https://github.com/patzly/grocy-android/releases","show")</f>
        <v>show</v>
      </c>
    </row>
    <row r="7620" spans="1:6">
      <c r="A7620" t="s">
        <v>22616</v>
      </c>
      <c r="B7620" t="s">
        <v>22617</v>
      </c>
      <c r="C7620" t="s">
        <v>22618</v>
      </c>
      <c r="D7620" t="str">
        <f>HYPERLINK("https://github.com/twilio/video-quickstart-android/issues/545","show")</f>
        <v>show</v>
      </c>
      <c r="E7620" t="str">
        <f>HYPERLINK("https://github.com/twilio/video-quickstart-android","show")</f>
        <v>show</v>
      </c>
      <c r="F7620" t="str">
        <f>HYPERLINK("https://github.com/twilio/video-quickstart-android/releases","show")</f>
        <v>show</v>
      </c>
    </row>
    <row r="7621" spans="1:6">
      <c r="A7621" t="s">
        <v>22619</v>
      </c>
      <c r="B7621" t="s">
        <v>22620</v>
      </c>
      <c r="C7621" t="s">
        <v>22621</v>
      </c>
      <c r="D7621" t="str">
        <f>HYPERLINK("https://github.com/TeamNewPipe/NewPipe/issues/3889","show")</f>
        <v>show</v>
      </c>
      <c r="E7621" t="str">
        <f>HYPERLINK("https://github.com/TeamNewPipe/NewPipe","show")</f>
        <v>show</v>
      </c>
      <c r="F7621" t="str">
        <f>HYPERLINK("https://github.com/TeamNewPipe/NewPipe/releases","show")</f>
        <v>show</v>
      </c>
    </row>
    <row r="7622" spans="1:6">
      <c r="A7622" t="s">
        <v>22622</v>
      </c>
      <c r="B7622" t="s">
        <v>22623</v>
      </c>
      <c r="C7622" t="s">
        <v>22624</v>
      </c>
      <c r="D7622" t="str">
        <f>HYPERLINK("https://github.com/TeamNewPipe/NewPipe/issues/3887","show")</f>
        <v>show</v>
      </c>
      <c r="E7622" t="str">
        <f>HYPERLINK("https://github.com/TeamNewPipe/NewPipe","show")</f>
        <v>show</v>
      </c>
      <c r="F7622" t="str">
        <f>HYPERLINK("https://github.com/TeamNewPipe/NewPipe/releases","show")</f>
        <v>show</v>
      </c>
    </row>
    <row r="7623" spans="1:6">
      <c r="A7623" t="s">
        <v>22625</v>
      </c>
      <c r="B7623" t="s">
        <v>22626</v>
      </c>
      <c r="C7623" t="s">
        <v>22627</v>
      </c>
      <c r="D7623" t="str">
        <f>HYPERLINK("https://github.com/ankidroid/Anki-Android/issues/6674","show")</f>
        <v>show</v>
      </c>
      <c r="E7623" t="str">
        <f>HYPERLINK("https://github.com/ankidroid/Anki-Android","show")</f>
        <v>show</v>
      </c>
      <c r="F7623" t="str">
        <f>HYPERLINK("https://github.com/ankidroid/Anki-Android/releases","show")</f>
        <v>show</v>
      </c>
    </row>
    <row r="7624" spans="1:6">
      <c r="A7624" t="s">
        <v>22628</v>
      </c>
      <c r="B7624" t="s">
        <v>22629</v>
      </c>
      <c r="C7624" t="s">
        <v>22630</v>
      </c>
      <c r="D7624" t="str">
        <f>HYPERLINK("https://github.com/Anuken/Mindustry/issues/2228","show")</f>
        <v>show</v>
      </c>
      <c r="E7624" t="str">
        <f>HYPERLINK("https://github.com/Anuken/Mindustry","show")</f>
        <v>show</v>
      </c>
      <c r="F7624" t="str">
        <f>HYPERLINK("https://github.com/Anuken/Mindustry/releases","show")</f>
        <v>show</v>
      </c>
    </row>
    <row r="7625" spans="1:6">
      <c r="A7625" t="s">
        <v>22631</v>
      </c>
      <c r="B7625" t="s">
        <v>22632</v>
      </c>
      <c r="C7625" t="s">
        <v>22633</v>
      </c>
      <c r="D7625" t="str">
        <f>HYPERLINK("https://github.com/getodk/collect/issues/3971","show")</f>
        <v>show</v>
      </c>
      <c r="E7625" t="str">
        <f>HYPERLINK("https://github.com/getodk/collect","show")</f>
        <v>show</v>
      </c>
      <c r="F7625" t="str">
        <f>HYPERLINK("https://github.com/getodk/collect/releases","show")</f>
        <v>show</v>
      </c>
    </row>
    <row r="7626" spans="1:6">
      <c r="A7626" t="s">
        <v>22634</v>
      </c>
      <c r="B7626" t="s">
        <v>22635</v>
      </c>
      <c r="C7626" t="s">
        <v>22636</v>
      </c>
      <c r="D7626" t="str">
        <f>HYPERLINK("https://github.com/cgeo/cgeo/issues/8633","show")</f>
        <v>show</v>
      </c>
      <c r="E7626" t="str">
        <f>HYPERLINK("https://github.com/cgeo/cgeo","show")</f>
        <v>show</v>
      </c>
      <c r="F7626" t="str">
        <f>HYPERLINK("https://github.com/cgeo/cgeo/releases","show")</f>
        <v>show</v>
      </c>
    </row>
    <row r="7627" spans="1:6">
      <c r="A7627" t="s">
        <v>22637</v>
      </c>
      <c r="B7627" t="s">
        <v>22638</v>
      </c>
      <c r="C7627" t="s">
        <v>22639</v>
      </c>
      <c r="D7627" t="str">
        <f>HYPERLINK("https://github.com/Rapsssito/react-native-tcp-socket/issues/69","show")</f>
        <v>show</v>
      </c>
      <c r="E7627" t="str">
        <f>HYPERLINK("https://github.com/Rapsssito/react-native-tcp-socket","show")</f>
        <v>show</v>
      </c>
      <c r="F7627" t="str">
        <f>HYPERLINK("https://github.com/Rapsssito/react-native-tcp-socket/releases","show")</f>
        <v>show</v>
      </c>
    </row>
    <row r="7628" spans="1:6">
      <c r="A7628" t="s">
        <v>22640</v>
      </c>
      <c r="B7628" t="s">
        <v>22641</v>
      </c>
      <c r="C7628" t="s">
        <v>22642</v>
      </c>
      <c r="D7628" t="str">
        <f>HYPERLINK("https://github.com/elimu-ai/launcher/issues/55","show")</f>
        <v>show</v>
      </c>
      <c r="E7628" t="str">
        <f>HYPERLINK("https://github.com/elimu-ai/launcher","show")</f>
        <v>show</v>
      </c>
      <c r="F7628" t="str">
        <f>HYPERLINK("https://github.com/elimu-ai/launcher/releases","show")</f>
        <v>show</v>
      </c>
    </row>
    <row r="7629" spans="1:6">
      <c r="A7629" t="s">
        <v>22643</v>
      </c>
      <c r="B7629" t="s">
        <v>22644</v>
      </c>
      <c r="C7629" t="s">
        <v>22645</v>
      </c>
      <c r="D7629" t="str">
        <f>HYPERLINK("https://github.com/TeamNewPipe/NewPipe/issues/3879","show")</f>
        <v>show</v>
      </c>
      <c r="E7629" t="str">
        <f>HYPERLINK("https://github.com/TeamNewPipe/NewPipe","show")</f>
        <v>show</v>
      </c>
      <c r="F7629" t="str">
        <f>HYPERLINK("https://github.com/TeamNewPipe/NewPipe/releases","show")</f>
        <v>show</v>
      </c>
    </row>
    <row r="7630" spans="1:6">
      <c r="A7630" t="s">
        <v>22646</v>
      </c>
      <c r="B7630" t="s">
        <v>22647</v>
      </c>
      <c r="C7630" t="s">
        <v>22648</v>
      </c>
      <c r="D7630" t="str">
        <f>HYPERLINK("https://github.com/hzi-braunschweig/SORMAS-Project/issues/2474","show")</f>
        <v>show</v>
      </c>
      <c r="E7630" t="str">
        <f>HYPERLINK("https://github.com/hzi-braunschweig/SORMAS-Project","show")</f>
        <v>show</v>
      </c>
      <c r="F7630" t="str">
        <f>HYPERLINK("https://github.com/hzi-braunschweig/SORMAS-Project/releases","show")</f>
        <v>show</v>
      </c>
    </row>
    <row r="7631" spans="1:6">
      <c r="A7631" t="s">
        <v>22649</v>
      </c>
      <c r="B7631" t="s">
        <v>22650</v>
      </c>
      <c r="C7631" t="s">
        <v>22651</v>
      </c>
      <c r="D7631" t="str">
        <f>HYPERLINK("https://github.com/TotalCross/totalcross/issues/70","show")</f>
        <v>show</v>
      </c>
      <c r="E7631" t="str">
        <f>HYPERLINK("https://github.com/TotalCross/totalcross","show")</f>
        <v>show</v>
      </c>
      <c r="F7631" t="str">
        <f>HYPERLINK("https://github.com/TotalCross/totalcross/releases","show")</f>
        <v>show</v>
      </c>
    </row>
    <row r="7632" spans="1:6">
      <c r="A7632" t="s">
        <v>22652</v>
      </c>
      <c r="B7632" t="s">
        <v>22653</v>
      </c>
      <c r="C7632" t="s">
        <v>22654</v>
      </c>
      <c r="D7632" t="str">
        <f>HYPERLINK("https://github.com/Anuken/Mindustry/issues/2224","show")</f>
        <v>show</v>
      </c>
      <c r="E7632" t="str">
        <f>HYPERLINK("https://github.com/Anuken/Mindustry","show")</f>
        <v>show</v>
      </c>
      <c r="F7632" t="str">
        <f>HYPERLINK("https://github.com/Anuken/Mindustry/releases","show")</f>
        <v>show</v>
      </c>
    </row>
    <row r="7633" spans="1:6">
      <c r="A7633" t="s">
        <v>22655</v>
      </c>
      <c r="B7633" t="s">
        <v>22656</v>
      </c>
      <c r="C7633" t="s">
        <v>22657</v>
      </c>
      <c r="D7633" t="str">
        <f>HYPERLINK("https://github.com/martykan/forecastie/issues/495","show")</f>
        <v>show</v>
      </c>
      <c r="E7633" t="str">
        <f>HYPERLINK("https://github.com/martykan/forecastie","show")</f>
        <v>show</v>
      </c>
      <c r="F7633" t="str">
        <f>HYPERLINK("https://github.com/martykan/forecastie/releases","show")</f>
        <v>show</v>
      </c>
    </row>
    <row r="7634" spans="1:6">
      <c r="A7634" t="s">
        <v>22658</v>
      </c>
      <c r="B7634" t="s">
        <v>22659</v>
      </c>
      <c r="C7634" t="s">
        <v>22660</v>
      </c>
      <c r="D7634" t="str">
        <f>HYPERLINK("https://github.com/wallabag/android-app/issues/1013","show")</f>
        <v>show</v>
      </c>
      <c r="E7634" t="str">
        <f>HYPERLINK("https://github.com/wallabag/android-app","show")</f>
        <v>show</v>
      </c>
      <c r="F7634" t="str">
        <f>HYPERLINK("https://github.com/wallabag/android-app/releases","show")</f>
        <v>show</v>
      </c>
    </row>
    <row r="7635" spans="1:6">
      <c r="A7635" t="s">
        <v>22661</v>
      </c>
      <c r="B7635" t="s">
        <v>22662</v>
      </c>
      <c r="C7635" t="s">
        <v>22663</v>
      </c>
      <c r="D7635" t="str">
        <f>HYPERLINK("https://github.com/lisawray/groupie/issues/351","show")</f>
        <v>show</v>
      </c>
      <c r="E7635" t="str">
        <f>HYPERLINK("https://github.com/lisawray/groupie","show")</f>
        <v>show</v>
      </c>
      <c r="F7635" t="str">
        <f>HYPERLINK("https://github.com/lisawray/groupie/releases","show")</f>
        <v>show</v>
      </c>
    </row>
    <row r="7636" spans="1:6">
      <c r="A7636" t="s">
        <v>22664</v>
      </c>
      <c r="B7636" t="s">
        <v>22665</v>
      </c>
      <c r="C7636" t="s">
        <v>22666</v>
      </c>
      <c r="D7636" t="str">
        <f>HYPERLINK("https://github.com/connectbot/connectbot/issues/814","show")</f>
        <v>show</v>
      </c>
      <c r="E7636" t="str">
        <f>HYPERLINK("https://github.com/connectbot/connectbot","show")</f>
        <v>show</v>
      </c>
      <c r="F7636" t="str">
        <f>HYPERLINK("https://github.com/connectbot/connectbot/releases","show")</f>
        <v>show</v>
      </c>
    </row>
    <row r="7637" spans="1:6">
      <c r="A7637" t="s">
        <v>22667</v>
      </c>
      <c r="B7637" t="s">
        <v>22668</v>
      </c>
      <c r="C7637" t="s">
        <v>22669</v>
      </c>
      <c r="D7637" t="str">
        <f>HYPERLINK("https://github.com/nextcloud/android/issues/6458","show")</f>
        <v>show</v>
      </c>
      <c r="E7637" t="str">
        <f>HYPERLINK("https://github.com/nextcloud/android","show")</f>
        <v>show</v>
      </c>
      <c r="F7637" t="str">
        <f>HYPERLINK("https://github.com/nextcloud/android/releases","show")</f>
        <v>show</v>
      </c>
    </row>
    <row r="7638" spans="1:6">
      <c r="A7638" t="s">
        <v>22670</v>
      </c>
      <c r="B7638" t="s">
        <v>22671</v>
      </c>
      <c r="C7638" t="s">
        <v>22672</v>
      </c>
      <c r="D7638" t="str">
        <f>HYPERLINK("https://github.com/Anuken/Mindustry/issues/2222","show")</f>
        <v>show</v>
      </c>
      <c r="E7638" t="str">
        <f>HYPERLINK("https://github.com/Anuken/Mindustry","show")</f>
        <v>show</v>
      </c>
      <c r="F7638" t="str">
        <f>HYPERLINK("https://github.com/Anuken/Mindustry/releases","show")</f>
        <v>show</v>
      </c>
    </row>
    <row r="7639" spans="1:6">
      <c r="A7639" t="s">
        <v>22673</v>
      </c>
      <c r="B7639" t="s">
        <v>22674</v>
      </c>
      <c r="C7639" t="s">
        <v>22675</v>
      </c>
      <c r="D7639" t="str">
        <f>HYPERLINK("https://github.com/TeamNewPipe/NewPipe/issues/3873","show")</f>
        <v>show</v>
      </c>
      <c r="E7639" t="str">
        <f>HYPERLINK("https://github.com/TeamNewPipe/NewPipe","show")</f>
        <v>show</v>
      </c>
      <c r="F7639" t="str">
        <f>HYPERLINK("https://github.com/TeamNewPipe/NewPipe/releases","show")</f>
        <v>show</v>
      </c>
    </row>
    <row r="7640" spans="1:6">
      <c r="A7640" t="s">
        <v>22676</v>
      </c>
      <c r="B7640" t="s">
        <v>22677</v>
      </c>
      <c r="C7640" t="s">
        <v>22678</v>
      </c>
      <c r="D7640" t="str">
        <f>HYPERLINK("https://github.com/stefan-niedermann/nextcloud-notes/issues/912","show")</f>
        <v>show</v>
      </c>
      <c r="E7640" t="str">
        <f>HYPERLINK("https://github.com/stefan-niedermann/nextcloud-notes","show")</f>
        <v>show</v>
      </c>
      <c r="F7640" t="str">
        <f>HYPERLINK("https://github.com/stefan-niedermann/nextcloud-notes/releases","show")</f>
        <v>show</v>
      </c>
    </row>
    <row r="7641" spans="1:6">
      <c r="A7641" t="s">
        <v>22679</v>
      </c>
      <c r="B7641" t="s">
        <v>22680</v>
      </c>
      <c r="C7641" t="s">
        <v>22681</v>
      </c>
      <c r="D7641" t="str">
        <f>HYPERLINK("https://github.com/react-native-share/react-native-share/issues/823","show")</f>
        <v>show</v>
      </c>
      <c r="E7641" t="str">
        <f>HYPERLINK("https://github.com/react-native-share/react-native-share","show")</f>
        <v>show</v>
      </c>
      <c r="F7641" t="str">
        <f>HYPERLINK("https://github.com/react-native-share/react-native-share/releases","show")</f>
        <v>show</v>
      </c>
    </row>
    <row r="7642" spans="1:6">
      <c r="A7642" t="s">
        <v>22682</v>
      </c>
      <c r="B7642" t="s">
        <v>22683</v>
      </c>
      <c r="C7642" t="s">
        <v>22684</v>
      </c>
      <c r="D7642" t="str">
        <f>HYPERLINK("https://github.com/gsantner/markor/issues/994","show")</f>
        <v>show</v>
      </c>
      <c r="E7642" t="str">
        <f>HYPERLINK("https://github.com/gsantner/markor","show")</f>
        <v>show</v>
      </c>
      <c r="F7642" t="str">
        <f>HYPERLINK("https://github.com/gsantner/markor/releases","show")</f>
        <v>show</v>
      </c>
    </row>
    <row r="7643" spans="1:6">
      <c r="A7643" t="s">
        <v>22685</v>
      </c>
      <c r="B7643" t="s">
        <v>22686</v>
      </c>
      <c r="C7643" t="s">
        <v>22687</v>
      </c>
      <c r="D7643" t="str">
        <f>HYPERLINK("https://github.com/Blankj/AndroidUtilCode/issues/1276","show")</f>
        <v>show</v>
      </c>
      <c r="E7643" t="str">
        <f>HYPERLINK("https://github.com/Blankj/AndroidUtilCode","show")</f>
        <v>show</v>
      </c>
      <c r="F7643" t="str">
        <f>HYPERLINK("https://github.com/Blankj/AndroidUtilCode/releases","show")</f>
        <v>show</v>
      </c>
    </row>
    <row r="7644" spans="1:6">
      <c r="A7644" t="s">
        <v>22688</v>
      </c>
      <c r="B7644" t="s">
        <v>22689</v>
      </c>
      <c r="C7644" t="s">
        <v>22690</v>
      </c>
      <c r="D7644" t="str">
        <f>HYPERLINK("https://github.com/Anuken/Mindustry/issues/2216","show")</f>
        <v>show</v>
      </c>
      <c r="E7644" t="str">
        <f>HYPERLINK("https://github.com/Anuken/Mindustry","show")</f>
        <v>show</v>
      </c>
      <c r="F7644" t="str">
        <f>HYPERLINK("https://github.com/Anuken/Mindustry/releases","show")</f>
        <v>show</v>
      </c>
    </row>
    <row r="7645" spans="1:6">
      <c r="A7645" t="s">
        <v>22691</v>
      </c>
      <c r="B7645" t="s">
        <v>22692</v>
      </c>
      <c r="C7645" t="s">
        <v>22693</v>
      </c>
      <c r="D7645" t="str">
        <f>HYPERLINK("https://github.com/SecUSo/privacy-friendly-qr-scanner/issues/76","show")</f>
        <v>show</v>
      </c>
      <c r="E7645" t="str">
        <f>HYPERLINK("https://github.com/SecUSo/privacy-friendly-qr-scanner","show")</f>
        <v>show</v>
      </c>
      <c r="F7645" t="str">
        <f>HYPERLINK("https://github.com/SecUSo/privacy-friendly-qr-scanner/releases","show")</f>
        <v>show</v>
      </c>
    </row>
    <row r="7646" spans="1:6">
      <c r="A7646" t="s">
        <v>22694</v>
      </c>
      <c r="B7646" t="s">
        <v>22695</v>
      </c>
      <c r="C7646" t="s">
        <v>22696</v>
      </c>
      <c r="D7646" t="str">
        <f>HYPERLINK("https://github.com/nextcloud/android/issues/6433","show")</f>
        <v>show</v>
      </c>
      <c r="E7646" t="str">
        <f>HYPERLINK("https://github.com/nextcloud/android","show")</f>
        <v>show</v>
      </c>
      <c r="F7646" t="str">
        <f>HYPERLINK("https://github.com/nextcloud/android/releases","show")</f>
        <v>show</v>
      </c>
    </row>
    <row r="7647" spans="1:6">
      <c r="A7647" t="s">
        <v>22697</v>
      </c>
      <c r="B7647" t="s">
        <v>22698</v>
      </c>
      <c r="C7647" t="s">
        <v>22699</v>
      </c>
      <c r="D7647" t="str">
        <f>HYPERLINK("https://github.com/oliexdev/openScale/issues/595","show")</f>
        <v>show</v>
      </c>
      <c r="E7647" t="str">
        <f>HYPERLINK("https://github.com/oliexdev/openScale","show")</f>
        <v>show</v>
      </c>
      <c r="F7647" t="str">
        <f>HYPERLINK("https://github.com/oliexdev/openScale/releases","show")</f>
        <v>show</v>
      </c>
    </row>
    <row r="7648" spans="1:6">
      <c r="A7648" t="s">
        <v>22700</v>
      </c>
      <c r="B7648" t="s">
        <v>22701</v>
      </c>
      <c r="C7648" t="s">
        <v>22702</v>
      </c>
      <c r="D7648" t="str">
        <f>HYPERLINK("https://github.com/Anuken/Mindustry/issues/2214","show")</f>
        <v>show</v>
      </c>
      <c r="E7648" t="str">
        <f>HYPERLINK("https://github.com/Anuken/Mindustry","show")</f>
        <v>show</v>
      </c>
      <c r="F7648" t="str">
        <f>HYPERLINK("https://github.com/Anuken/Mindustry/releases","show")</f>
        <v>show</v>
      </c>
    </row>
    <row r="7649" spans="1:6">
      <c r="A7649" t="s">
        <v>22703</v>
      </c>
      <c r="B7649" t="s">
        <v>22704</v>
      </c>
      <c r="C7649" t="s">
        <v>22705</v>
      </c>
      <c r="D7649" t="str">
        <f>HYPERLINK("https://github.com/NordicSemiconductor/Android-BLE-Library/issues/216","show")</f>
        <v>show</v>
      </c>
      <c r="E7649" t="str">
        <f>HYPERLINK("https://github.com/NordicSemiconductor/Android-BLE-Library","show")</f>
        <v>show</v>
      </c>
      <c r="F7649" t="str">
        <f>HYPERLINK("https://github.com/NordicSemiconductor/Android-BLE-Library/releases","show")</f>
        <v>show</v>
      </c>
    </row>
    <row r="7650" spans="1:6">
      <c r="A7650" t="s">
        <v>22706</v>
      </c>
      <c r="B7650" t="s">
        <v>22707</v>
      </c>
      <c r="C7650" t="s">
        <v>22708</v>
      </c>
      <c r="D7650" t="str">
        <f>HYPERLINK("https://github.com/amit-schwartz-u/rooMe/issues/204","show")</f>
        <v>show</v>
      </c>
      <c r="E7650" t="str">
        <f>HYPERLINK("https://github.com/amit-schwartz-u/rooMe","show")</f>
        <v>show</v>
      </c>
      <c r="F7650" t="str">
        <f>HYPERLINK("https://github.com/amit-schwartz-u/rooMe/releases","show")</f>
        <v>show</v>
      </c>
    </row>
    <row r="7651" spans="1:6">
      <c r="A7651" t="s">
        <v>22709</v>
      </c>
      <c r="B7651" t="s">
        <v>22710</v>
      </c>
      <c r="C7651" t="s">
        <v>22711</v>
      </c>
      <c r="D7651" t="str">
        <f>HYPERLINK("https://github.com/amit-schwartz-u/rooMe/issues/202","show")</f>
        <v>show</v>
      </c>
      <c r="E7651" t="str">
        <f>HYPERLINK("https://github.com/amit-schwartz-u/rooMe","show")</f>
        <v>show</v>
      </c>
      <c r="F7651" t="str">
        <f>HYPERLINK("https://github.com/amit-schwartz-u/rooMe/releases","show")</f>
        <v>show</v>
      </c>
    </row>
    <row r="7652" spans="1:6">
      <c r="A7652" t="s">
        <v>22712</v>
      </c>
      <c r="B7652" t="s">
        <v>22713</v>
      </c>
      <c r="C7652" t="s">
        <v>22714</v>
      </c>
      <c r="D7652" t="str">
        <f>HYPERLINK("https://github.com/TeamNewPipe/NewPipe/issues/3853","show")</f>
        <v>show</v>
      </c>
      <c r="E7652" t="str">
        <f>HYPERLINK("https://github.com/TeamNewPipe/NewPipe","show")</f>
        <v>show</v>
      </c>
      <c r="F7652" t="str">
        <f>HYPERLINK("https://github.com/TeamNewPipe/NewPipe/releases","show")</f>
        <v>show</v>
      </c>
    </row>
    <row r="7653" spans="1:6">
      <c r="A7653" t="s">
        <v>22715</v>
      </c>
      <c r="B7653" t="s">
        <v>22716</v>
      </c>
      <c r="C7653" t="s">
        <v>22717</v>
      </c>
      <c r="D7653" t="str">
        <f>HYPERLINK("https://github.com/doublesymmetry/react-native-track-player/issues/991","show")</f>
        <v>show</v>
      </c>
      <c r="E7653" t="str">
        <f>HYPERLINK("https://github.com/doublesymmetry/react-native-track-player","show")</f>
        <v>show</v>
      </c>
      <c r="F7653" t="str">
        <f>HYPERLINK("https://github.com/doublesymmetry/react-native-track-player/releases","show")</f>
        <v>show</v>
      </c>
    </row>
    <row r="7654" spans="1:6">
      <c r="A7654" t="s">
        <v>22718</v>
      </c>
      <c r="B7654" t="s">
        <v>22719</v>
      </c>
      <c r="C7654" t="s">
        <v>22720</v>
      </c>
      <c r="D7654" t="str">
        <f>HYPERLINK("https://github.com/amplitude/Amplitude-Android/issues/243","show")</f>
        <v>show</v>
      </c>
      <c r="E7654" t="str">
        <f>HYPERLINK("https://github.com/amplitude/Amplitude-Android","show")</f>
        <v>show</v>
      </c>
      <c r="F7654" t="str">
        <f>HYPERLINK("https://github.com/amplitude/Amplitude-Android/releases","show")</f>
        <v>show</v>
      </c>
    </row>
    <row r="7655" spans="1:6">
      <c r="A7655" t="s">
        <v>22721</v>
      </c>
      <c r="B7655" t="s">
        <v>22722</v>
      </c>
      <c r="C7655" t="s">
        <v>22723</v>
      </c>
      <c r="D7655" t="str">
        <f>HYPERLINK("https://github.com/Inversion-NL/Toon-Android/issues/35","show")</f>
        <v>show</v>
      </c>
      <c r="E7655" t="str">
        <f>HYPERLINK("https://github.com/Inversion-NL/Toon-Android","show")</f>
        <v>show</v>
      </c>
      <c r="F7655" t="str">
        <f>HYPERLINK("https://github.com/Inversion-NL/Toon-Android/releases","show")</f>
        <v>show</v>
      </c>
    </row>
    <row r="7656" spans="1:6">
      <c r="A7656" t="s">
        <v>22724</v>
      </c>
      <c r="B7656" t="s">
        <v>22725</v>
      </c>
      <c r="C7656" t="s">
        <v>22726</v>
      </c>
      <c r="D7656" t="str">
        <f>HYPERLINK("https://github.com/TeamNewPipe/NewPipe/issues/3849","show")</f>
        <v>show</v>
      </c>
      <c r="E7656" t="str">
        <f>HYPERLINK("https://github.com/TeamNewPipe/NewPipe","show")</f>
        <v>show</v>
      </c>
      <c r="F7656" t="str">
        <f>HYPERLINK("https://github.com/TeamNewPipe/NewPipe/releases","show")</f>
        <v>show</v>
      </c>
    </row>
    <row r="7657" spans="1:6">
      <c r="A7657" t="s">
        <v>22727</v>
      </c>
      <c r="B7657" t="s">
        <v>22728</v>
      </c>
      <c r="C7657" t="s">
        <v>22729</v>
      </c>
      <c r="D7657" t="str">
        <f>HYPERLINK("https://github.com/react-native-share/react-native-share/issues/819","show")</f>
        <v>show</v>
      </c>
      <c r="E7657" t="str">
        <f>HYPERLINK("https://github.com/react-native-share/react-native-share","show")</f>
        <v>show</v>
      </c>
      <c r="F7657" t="str">
        <f>HYPERLINK("https://github.com/react-native-share/react-native-share/releases","show")</f>
        <v>show</v>
      </c>
    </row>
    <row r="7658" spans="1:6">
      <c r="A7658" t="s">
        <v>22730</v>
      </c>
      <c r="B7658" t="s">
        <v>22731</v>
      </c>
      <c r="C7658" t="s">
        <v>22732</v>
      </c>
      <c r="D7658" t="str">
        <f>HYPERLINK("https://github.com/amit-schwartz-u/rooMe/issues/201","show")</f>
        <v>show</v>
      </c>
      <c r="E7658" t="str">
        <f>HYPERLINK("https://github.com/amit-schwartz-u/rooMe","show")</f>
        <v>show</v>
      </c>
      <c r="F7658" t="str">
        <f>HYPERLINK("https://github.com/amit-schwartz-u/rooMe/releases","show")</f>
        <v>show</v>
      </c>
    </row>
    <row r="7659" spans="1:6">
      <c r="A7659" t="s">
        <v>22733</v>
      </c>
      <c r="B7659" t="s">
        <v>22734</v>
      </c>
      <c r="C7659" t="s">
        <v>22735</v>
      </c>
      <c r="D7659" t="str">
        <f>HYPERLINK("https://github.com/travisgoodspeed/cattool/issues/8","show")</f>
        <v>show</v>
      </c>
      <c r="E7659" t="str">
        <f>HYPERLINK("https://github.com/travisgoodspeed/cattool","show")</f>
        <v>show</v>
      </c>
      <c r="F7659" t="str">
        <f>HYPERLINK("https://github.com/travisgoodspeed/cattool/releases","show")</f>
        <v>show</v>
      </c>
    </row>
    <row r="7660" spans="1:6">
      <c r="A7660" t="s">
        <v>22736</v>
      </c>
      <c r="B7660" t="s">
        <v>22737</v>
      </c>
      <c r="C7660" t="s">
        <v>22738</v>
      </c>
      <c r="D7660" t="str">
        <f>HYPERLINK("https://github.com/TeamNewPipe/NewPipe/issues/3847","show")</f>
        <v>show</v>
      </c>
      <c r="E7660" t="str">
        <f>HYPERLINK("https://github.com/TeamNewPipe/NewPipe","show")</f>
        <v>show</v>
      </c>
      <c r="F7660" t="str">
        <f>HYPERLINK("https://github.com/TeamNewPipe/NewPipe/releases","show")</f>
        <v>show</v>
      </c>
    </row>
    <row r="7661" spans="1:6">
      <c r="A7661" t="s">
        <v>22739</v>
      </c>
      <c r="B7661" t="s">
        <v>22740</v>
      </c>
      <c r="C7661" t="s">
        <v>22741</v>
      </c>
      <c r="D7661" t="str">
        <f>HYPERLINK("https://github.com/elimu-ai/appstore/issues/224","show")</f>
        <v>show</v>
      </c>
      <c r="E7661" t="str">
        <f>HYPERLINK("https://github.com/elimu-ai/appstore","show")</f>
        <v>show</v>
      </c>
      <c r="F7661" t="str">
        <f>HYPERLINK("https://github.com/elimu-ai/appstore/releases","show")</f>
        <v>show</v>
      </c>
    </row>
    <row r="7662" spans="1:6">
      <c r="A7662" t="s">
        <v>22742</v>
      </c>
      <c r="B7662" t="s">
        <v>22743</v>
      </c>
      <c r="C7662" t="s">
        <v>22744</v>
      </c>
      <c r="D7662" t="str">
        <f>HYPERLINK("https://github.com/Anuken/Mindustry/issues/2207","show")</f>
        <v>show</v>
      </c>
      <c r="E7662" t="str">
        <f>HYPERLINK("https://github.com/Anuken/Mindustry","show")</f>
        <v>show</v>
      </c>
      <c r="F7662" t="str">
        <f>HYPERLINK("https://github.com/Anuken/Mindustry/releases","show")</f>
        <v>show</v>
      </c>
    </row>
    <row r="7663" spans="1:6">
      <c r="A7663" t="s">
        <v>22745</v>
      </c>
      <c r="B7663" t="s">
        <v>11740</v>
      </c>
      <c r="C7663" t="s">
        <v>22746</v>
      </c>
      <c r="D7663" t="str">
        <f>HYPERLINK("https://github.com/shaqer1/ePantry/issues/8","show")</f>
        <v>show</v>
      </c>
      <c r="E7663" t="str">
        <f>HYPERLINK("https://github.com/shaqer1/ePantry","show")</f>
        <v>show</v>
      </c>
      <c r="F7663" t="str">
        <f>HYPERLINK("https://github.com/shaqer1/ePantry/releases","show")</f>
        <v>show</v>
      </c>
    </row>
    <row r="7664" spans="1:6">
      <c r="A7664" t="s">
        <v>22747</v>
      </c>
      <c r="B7664" t="s">
        <v>22748</v>
      </c>
      <c r="C7664" t="s">
        <v>22749</v>
      </c>
      <c r="D7664" t="str">
        <f>HYPERLINK("https://github.com/jellyfin/jellyfin-androidtv/issues/519","show")</f>
        <v>show</v>
      </c>
      <c r="E7664" t="str">
        <f>HYPERLINK("https://github.com/jellyfin/jellyfin-androidtv","show")</f>
        <v>show</v>
      </c>
      <c r="F7664" t="str">
        <f>HYPERLINK("https://github.com/jellyfin/jellyfin-androidtv/releases","show")</f>
        <v>show</v>
      </c>
    </row>
    <row r="7665" spans="1:6">
      <c r="A7665" t="s">
        <v>22750</v>
      </c>
      <c r="B7665" t="s">
        <v>22751</v>
      </c>
      <c r="C7665" t="s">
        <v>22752</v>
      </c>
      <c r="D7665" t="str">
        <f>HYPERLINK("https://github.com/Anuken/Mindustry/issues/2206","show")</f>
        <v>show</v>
      </c>
      <c r="E7665" t="str">
        <f>HYPERLINK("https://github.com/Anuken/Mindustry","show")</f>
        <v>show</v>
      </c>
      <c r="F7665" t="str">
        <f>HYPERLINK("https://github.com/Anuken/Mindustry/releases","show")</f>
        <v>show</v>
      </c>
    </row>
    <row r="7666" spans="1:6">
      <c r="A7666" t="s">
        <v>22753</v>
      </c>
      <c r="B7666" t="s">
        <v>22754</v>
      </c>
      <c r="C7666" t="s">
        <v>22755</v>
      </c>
      <c r="D7666" t="str">
        <f>HYPERLINK("https://github.com/Anuken/Mindustry/issues/2205","show")</f>
        <v>show</v>
      </c>
      <c r="E7666" t="str">
        <f>HYPERLINK("https://github.com/Anuken/Mindustry","show")</f>
        <v>show</v>
      </c>
      <c r="F7666" t="str">
        <f>HYPERLINK("https://github.com/Anuken/Mindustry/releases","show")</f>
        <v>show</v>
      </c>
    </row>
    <row r="7667" spans="1:6">
      <c r="A7667" t="s">
        <v>22756</v>
      </c>
      <c r="B7667" t="s">
        <v>22757</v>
      </c>
      <c r="C7667" t="s">
        <v>22758</v>
      </c>
      <c r="D7667" t="str">
        <f>HYPERLINK("https://github.com/Anuken/Mindustry/issues/2204","show")</f>
        <v>show</v>
      </c>
      <c r="E7667" t="str">
        <f>HYPERLINK("https://github.com/Anuken/Mindustry","show")</f>
        <v>show</v>
      </c>
      <c r="F7667" t="str">
        <f>HYPERLINK("https://github.com/Anuken/Mindustry/releases","show")</f>
        <v>show</v>
      </c>
    </row>
    <row r="7668" spans="1:6">
      <c r="A7668" t="s">
        <v>22759</v>
      </c>
      <c r="B7668" t="s">
        <v>22435</v>
      </c>
      <c r="C7668" t="s">
        <v>22760</v>
      </c>
      <c r="D7668" t="str">
        <f>HYPERLINK("https://github.com/google/ExoPlayer/issues/7580","show")</f>
        <v>show</v>
      </c>
      <c r="E7668" t="str">
        <f>HYPERLINK("https://github.com/google/ExoPlayer","show")</f>
        <v>show</v>
      </c>
      <c r="F7668" t="str">
        <f>HYPERLINK("https://github.com/google/ExoPlayer/releases","show")</f>
        <v>show</v>
      </c>
    </row>
    <row r="7669" spans="1:6">
      <c r="A7669" t="s">
        <v>22761</v>
      </c>
      <c r="B7669" t="s">
        <v>22762</v>
      </c>
      <c r="C7669" t="s">
        <v>22763</v>
      </c>
      <c r="D7669" t="str">
        <f>HYPERLINK("https://github.com/amit-schwartz-u/rooMe/issues/181","show")</f>
        <v>show</v>
      </c>
      <c r="E7669" t="str">
        <f>HYPERLINK("https://github.com/amit-schwartz-u/rooMe","show")</f>
        <v>show</v>
      </c>
      <c r="F7669" t="str">
        <f>HYPERLINK("https://github.com/amit-schwartz-u/rooMe/releases","show")</f>
        <v>show</v>
      </c>
    </row>
    <row r="7670" spans="1:6">
      <c r="A7670" t="s">
        <v>22764</v>
      </c>
      <c r="B7670" t="s">
        <v>22765</v>
      </c>
      <c r="C7670" t="s">
        <v>22766</v>
      </c>
      <c r="D7670" t="str">
        <f>HYPERLINK("https://github.com/material-components/material-components-android/issues/1455","show")</f>
        <v>show</v>
      </c>
      <c r="E7670" t="str">
        <f>HYPERLINK("https://github.com/material-components/material-components-android","show")</f>
        <v>show</v>
      </c>
      <c r="F7670" t="str">
        <f>HYPERLINK("https://github.com/material-components/material-components-android/releases","show")</f>
        <v>show</v>
      </c>
    </row>
    <row r="7671" spans="1:6">
      <c r="A7671" t="s">
        <v>22767</v>
      </c>
      <c r="B7671" t="s">
        <v>22768</v>
      </c>
      <c r="C7671" t="s">
        <v>22769</v>
      </c>
      <c r="D7671" t="str">
        <f>HYPERLINK("https://github.com/cgeo/cgeo/issues/8568","show")</f>
        <v>show</v>
      </c>
      <c r="E7671" t="str">
        <f>HYPERLINK("https://github.com/cgeo/cgeo","show")</f>
        <v>show</v>
      </c>
      <c r="F7671" t="str">
        <f>HYPERLINK("https://github.com/cgeo/cgeo/releases","show")</f>
        <v>show</v>
      </c>
    </row>
    <row r="7672" spans="1:6">
      <c r="A7672" t="s">
        <v>22770</v>
      </c>
      <c r="B7672" t="s">
        <v>22771</v>
      </c>
      <c r="C7672" t="s">
        <v>22772</v>
      </c>
      <c r="D7672" t="str">
        <f>HYPERLINK("https://github.com/deltachat/deltachat-android/issues/1469","show")</f>
        <v>show</v>
      </c>
      <c r="E7672" t="str">
        <f>HYPERLINK("https://github.com/deltachat/deltachat-android","show")</f>
        <v>show</v>
      </c>
      <c r="F7672" t="str">
        <f>HYPERLINK("https://github.com/deltachat/deltachat-android/releases","show")</f>
        <v>show</v>
      </c>
    </row>
    <row r="7673" spans="1:6">
      <c r="A7673" t="s">
        <v>22773</v>
      </c>
      <c r="B7673" t="s">
        <v>22774</v>
      </c>
      <c r="C7673" t="s">
        <v>22775</v>
      </c>
      <c r="D7673" t="str">
        <f>HYPERLINK("https://github.com/msaperst/beerfit/issues/43","show")</f>
        <v>show</v>
      </c>
      <c r="E7673" t="str">
        <f>HYPERLINK("https://github.com/msaperst/beerfit","show")</f>
        <v>show</v>
      </c>
      <c r="F7673" t="str">
        <f>HYPERLINK("https://github.com/msaperst/beerfit/releases","show")</f>
        <v>show</v>
      </c>
    </row>
    <row r="7674" spans="1:6">
      <c r="A7674" t="s">
        <v>22776</v>
      </c>
      <c r="B7674" t="s">
        <v>22777</v>
      </c>
      <c r="C7674" t="s">
        <v>22778</v>
      </c>
      <c r="D7674" t="str">
        <f>HYPERLINK("https://github.com/TeamNewPipe/NewPipe-legacy/issues/33","show")</f>
        <v>show</v>
      </c>
      <c r="E7674" t="str">
        <f>HYPERLINK("https://github.com/TeamNewPipe/NewPipe-legacy","show")</f>
        <v>show</v>
      </c>
      <c r="F7674" t="str">
        <f>HYPERLINK("https://github.com/TeamNewPipe/NewPipe-legacy/releases","show")</f>
        <v>show</v>
      </c>
    </row>
    <row r="7675" spans="1:6">
      <c r="A7675" t="s">
        <v>22779</v>
      </c>
      <c r="B7675" t="s">
        <v>22780</v>
      </c>
      <c r="C7675" t="s">
        <v>22781</v>
      </c>
      <c r="D7675" t="str">
        <f>HYPERLINK("https://github.com/doublesymmetry/react-native-track-player/issues/985","show")</f>
        <v>show</v>
      </c>
      <c r="E7675" t="str">
        <f>HYPERLINK("https://github.com/doublesymmetry/react-native-track-player","show")</f>
        <v>show</v>
      </c>
      <c r="F7675" t="str">
        <f>HYPERLINK("https://github.com/doublesymmetry/react-native-track-player/releases","show")</f>
        <v>show</v>
      </c>
    </row>
    <row r="7676" spans="1:6">
      <c r="A7676" t="s">
        <v>22782</v>
      </c>
      <c r="B7676" t="s">
        <v>22783</v>
      </c>
      <c r="C7676" t="s">
        <v>22784</v>
      </c>
      <c r="D7676" t="str">
        <f>HYPERLINK("https://github.com/Azure/azure-sdk-for-android/issues/250","show")</f>
        <v>show</v>
      </c>
      <c r="E7676" t="str">
        <f>HYPERLINK("https://github.com/Azure/azure-sdk-for-android","show")</f>
        <v>show</v>
      </c>
      <c r="F7676" t="str">
        <f>HYPERLINK("https://github.com/Azure/azure-sdk-for-android/releases","show")</f>
        <v>show</v>
      </c>
    </row>
    <row r="7677" spans="1:6">
      <c r="A7677" t="s">
        <v>22785</v>
      </c>
      <c r="B7677" t="s">
        <v>22786</v>
      </c>
      <c r="C7677" t="s">
        <v>22787</v>
      </c>
      <c r="D7677" t="str">
        <f>HYPERLINK("https://github.com/HappyPeng2x/SumatoraDictionary/issues/7","show")</f>
        <v>show</v>
      </c>
      <c r="E7677" t="str">
        <f>HYPERLINK("https://github.com/HappyPeng2x/SumatoraDictionary","show")</f>
        <v>show</v>
      </c>
      <c r="F7677" t="str">
        <f>HYPERLINK("https://github.com/HappyPeng2x/SumatoraDictionary/releases","show")</f>
        <v>show</v>
      </c>
    </row>
    <row r="7678" spans="1:6">
      <c r="A7678" t="s">
        <v>22788</v>
      </c>
      <c r="B7678" t="s">
        <v>22789</v>
      </c>
      <c r="C7678" t="s">
        <v>22790</v>
      </c>
      <c r="D7678" t="str">
        <f>HYPERLINK("https://github.com/deltachat/deltachat-android/issues/1462","show")</f>
        <v>show</v>
      </c>
      <c r="E7678" t="str">
        <f>HYPERLINK("https://github.com/deltachat/deltachat-android","show")</f>
        <v>show</v>
      </c>
      <c r="F7678" t="str">
        <f>HYPERLINK("https://github.com/deltachat/deltachat-android/releases","show")</f>
        <v>show</v>
      </c>
    </row>
    <row r="7679" spans="1:6">
      <c r="A7679" t="s">
        <v>22791</v>
      </c>
      <c r="B7679" t="s">
        <v>22792</v>
      </c>
      <c r="C7679" t="s">
        <v>22793</v>
      </c>
      <c r="D7679" t="str">
        <f>HYPERLINK("https://github.com/react-native-webrtc/react-native-webrtc/issues/816","show")</f>
        <v>show</v>
      </c>
      <c r="E7679" t="str">
        <f>HYPERLINK("https://github.com/react-native-webrtc/react-native-webrtc","show")</f>
        <v>show</v>
      </c>
      <c r="F7679" t="str">
        <f>HYPERLINK("https://github.com/react-native-webrtc/react-native-webrtc/releases","show")</f>
        <v>show</v>
      </c>
    </row>
    <row r="7680" spans="1:6">
      <c r="A7680" t="s">
        <v>22794</v>
      </c>
      <c r="B7680" t="s">
        <v>22795</v>
      </c>
      <c r="C7680" t="s">
        <v>22796</v>
      </c>
      <c r="D7680" t="str">
        <f>HYPERLINK("https://github.com/Inversion-NL/Toon-Android/issues/31","show")</f>
        <v>show</v>
      </c>
      <c r="E7680" t="str">
        <f>HYPERLINK("https://github.com/Inversion-NL/Toon-Android","show")</f>
        <v>show</v>
      </c>
      <c r="F7680" t="str">
        <f>HYPERLINK("https://github.com/Inversion-NL/Toon-Android/releases","show")</f>
        <v>show</v>
      </c>
    </row>
    <row r="7681" spans="1:6">
      <c r="A7681" t="s">
        <v>22797</v>
      </c>
      <c r="B7681" t="s">
        <v>22798</v>
      </c>
      <c r="C7681" t="s">
        <v>22799</v>
      </c>
      <c r="D7681" t="str">
        <f>HYPERLINK("https://github.com/material-components/material-components-android/issues/1451","show")</f>
        <v>show</v>
      </c>
      <c r="E7681" t="str">
        <f>HYPERLINK("https://github.com/material-components/material-components-android","show")</f>
        <v>show</v>
      </c>
      <c r="F7681" t="str">
        <f>HYPERLINK("https://github.com/material-components/material-components-android/releases","show")</f>
        <v>show</v>
      </c>
    </row>
    <row r="7682" spans="1:6">
      <c r="A7682" t="s">
        <v>22800</v>
      </c>
      <c r="B7682" t="s">
        <v>22801</v>
      </c>
      <c r="C7682" t="s">
        <v>22802</v>
      </c>
      <c r="D7682" t="str">
        <f>HYPERLINK("https://github.com/Anuken/Mindustry/issues/2198","show")</f>
        <v>show</v>
      </c>
      <c r="E7682" t="str">
        <f>HYPERLINK("https://github.com/Anuken/Mindustry","show")</f>
        <v>show</v>
      </c>
      <c r="F7682" t="str">
        <f>HYPERLINK("https://github.com/Anuken/Mindustry/releases","show")</f>
        <v>show</v>
      </c>
    </row>
    <row r="7683" spans="1:6">
      <c r="A7683" t="s">
        <v>22803</v>
      </c>
      <c r="B7683" t="s">
        <v>22804</v>
      </c>
      <c r="C7683" t="s">
        <v>22805</v>
      </c>
      <c r="D7683" t="str">
        <f>HYPERLINK("https://github.com/Anuken/Mindustry/issues/2197","show")</f>
        <v>show</v>
      </c>
      <c r="E7683" t="str">
        <f>HYPERLINK("https://github.com/Anuken/Mindustry","show")</f>
        <v>show</v>
      </c>
      <c r="F7683" t="str">
        <f>HYPERLINK("https://github.com/Anuken/Mindustry/releases","show")</f>
        <v>show</v>
      </c>
    </row>
    <row r="7684" spans="1:6">
      <c r="A7684" t="s">
        <v>22806</v>
      </c>
      <c r="B7684" t="s">
        <v>22807</v>
      </c>
      <c r="C7684" t="s">
        <v>22808</v>
      </c>
      <c r="D7684" t="str">
        <f>HYPERLINK("https://github.com/brodeurlv/fastnfitness/issues/142","show")</f>
        <v>show</v>
      </c>
      <c r="E7684" t="str">
        <f>HYPERLINK("https://github.com/brodeurlv/fastnfitness","show")</f>
        <v>show</v>
      </c>
      <c r="F7684" t="str">
        <f>HYPERLINK("https://github.com/brodeurlv/fastnfitness/releases","show")</f>
        <v>show</v>
      </c>
    </row>
    <row r="7685" spans="1:6">
      <c r="A7685" t="s">
        <v>22809</v>
      </c>
      <c r="B7685" t="s">
        <v>22810</v>
      </c>
      <c r="C7685" t="s">
        <v>22811</v>
      </c>
      <c r="D7685" t="str">
        <f>HYPERLINK("https://github.com/labexp/osmtracker-android/issues/258","show")</f>
        <v>show</v>
      </c>
      <c r="E7685" t="str">
        <f>HYPERLINK("https://github.com/labexp/osmtracker-android","show")</f>
        <v>show</v>
      </c>
      <c r="F7685" t="str">
        <f>HYPERLINK("https://github.com/labexp/osmtracker-android/releases","show")</f>
        <v>show</v>
      </c>
    </row>
    <row r="7686" spans="1:6">
      <c r="A7686" t="s">
        <v>22812</v>
      </c>
      <c r="B7686" t="s">
        <v>22813</v>
      </c>
      <c r="C7686" t="s">
        <v>22814</v>
      </c>
      <c r="D7686" t="str">
        <f>HYPERLINK("https://github.com/LN-Zap/zap-android/issues/204","show")</f>
        <v>show</v>
      </c>
      <c r="E7686" t="str">
        <f>HYPERLINK("https://github.com/LN-Zap/zap-android","show")</f>
        <v>show</v>
      </c>
      <c r="F7686" t="str">
        <f>HYPERLINK("https://github.com/LN-Zap/zap-android/releases","show")</f>
        <v>show</v>
      </c>
    </row>
    <row r="7687" spans="1:6">
      <c r="A7687" t="s">
        <v>22815</v>
      </c>
      <c r="B7687" t="s">
        <v>22816</v>
      </c>
      <c r="C7687" t="s">
        <v>21689</v>
      </c>
      <c r="D7687" t="str">
        <f>HYPERLINK("https://github.com/TeamNewPipe/NewPipe/issues/3823","show")</f>
        <v>show</v>
      </c>
      <c r="E7687" t="str">
        <f>HYPERLINK("https://github.com/TeamNewPipe/NewPipe","show")</f>
        <v>show</v>
      </c>
      <c r="F7687" t="str">
        <f>HYPERLINK("https://github.com/TeamNewPipe/NewPipe/releases","show")</f>
        <v>show</v>
      </c>
    </row>
    <row r="7688" spans="1:6">
      <c r="A7688" t="s">
        <v>22817</v>
      </c>
      <c r="B7688" t="s">
        <v>22818</v>
      </c>
      <c r="C7688" t="s">
        <v>22819</v>
      </c>
      <c r="D7688" t="str">
        <f>HYPERLINK("https://github.com/amit-schwartz-u/rooMe/issues/175","show")</f>
        <v>show</v>
      </c>
      <c r="E7688" t="str">
        <f>HYPERLINK("https://github.com/amit-schwartz-u/rooMe","show")</f>
        <v>show</v>
      </c>
      <c r="F7688" t="str">
        <f>HYPERLINK("https://github.com/amit-schwartz-u/rooMe/releases","show")</f>
        <v>show</v>
      </c>
    </row>
    <row r="7689" spans="1:6">
      <c r="A7689" t="s">
        <v>22820</v>
      </c>
      <c r="B7689" t="s">
        <v>22821</v>
      </c>
      <c r="C7689" t="s">
        <v>22822</v>
      </c>
      <c r="D7689" t="str">
        <f>HYPERLINK("https://github.com/google/ExoPlayer/issues/7549","show")</f>
        <v>show</v>
      </c>
      <c r="E7689" t="str">
        <f>HYPERLINK("https://github.com/google/ExoPlayer","show")</f>
        <v>show</v>
      </c>
      <c r="F7689" t="str">
        <f>HYPERLINK("https://github.com/google/ExoPlayer/releases","show")</f>
        <v>show</v>
      </c>
    </row>
    <row r="7690" spans="1:6">
      <c r="A7690" t="s">
        <v>22823</v>
      </c>
      <c r="B7690" t="s">
        <v>22824</v>
      </c>
      <c r="C7690" t="s">
        <v>22825</v>
      </c>
      <c r="D7690" t="str">
        <f>HYPERLINK("https://github.com/woesss/JL-Mod/issues/7","show")</f>
        <v>show</v>
      </c>
      <c r="E7690" t="str">
        <f>HYPERLINK("https://github.com/woesss/JL-Mod","show")</f>
        <v>show</v>
      </c>
      <c r="F7690" t="str">
        <f>HYPERLINK("https://github.com/woesss/JL-Mod/releases","show")</f>
        <v>show</v>
      </c>
    </row>
    <row r="7691" spans="1:6">
      <c r="A7691" t="s">
        <v>22826</v>
      </c>
      <c r="B7691" t="s">
        <v>22827</v>
      </c>
      <c r="C7691" t="s">
        <v>22828</v>
      </c>
      <c r="D7691" t="str">
        <f>HYPERLINK("https://github.com/react-native-cameraroll/react-native-cameraroll/issues/208","show")</f>
        <v>show</v>
      </c>
      <c r="E7691" t="str">
        <f>HYPERLINK("https://github.com/react-native-cameraroll/react-native-cameraroll","show")</f>
        <v>show</v>
      </c>
      <c r="F7691" t="str">
        <f>HYPERLINK("https://github.com/react-native-cameraroll/react-native-cameraroll/releases","show")</f>
        <v>show</v>
      </c>
    </row>
    <row r="7692" spans="1:6">
      <c r="A7692" t="s">
        <v>22829</v>
      </c>
      <c r="B7692" t="s">
        <v>22830</v>
      </c>
      <c r="C7692" t="s">
        <v>22831</v>
      </c>
      <c r="D7692" t="str">
        <f>HYPERLINK("https://github.com/inaturalist/iNaturalistAndroid/issues/853","show")</f>
        <v>show</v>
      </c>
      <c r="E7692" t="str">
        <f>HYPERLINK("https://github.com/inaturalist/iNaturalistAndroid","show")</f>
        <v>show</v>
      </c>
      <c r="F7692" t="str">
        <f>HYPERLINK("https://github.com/inaturalist/iNaturalistAndroid/releases","show")</f>
        <v>show</v>
      </c>
    </row>
    <row r="7693" spans="1:6">
      <c r="A7693" t="s">
        <v>22832</v>
      </c>
      <c r="B7693" t="s">
        <v>22833</v>
      </c>
      <c r="C7693" t="s">
        <v>22834</v>
      </c>
      <c r="D7693" t="str">
        <f>HYPERLINK("https://github.com/aws-amplify/amplify-android/issues/599","show")</f>
        <v>show</v>
      </c>
      <c r="E7693" t="str">
        <f>HYPERLINK("https://github.com/aws-amplify/amplify-android","show")</f>
        <v>show</v>
      </c>
      <c r="F7693" t="str">
        <f>HYPERLINK("https://github.com/aws-amplify/amplify-android/releases","show")</f>
        <v>show</v>
      </c>
    </row>
    <row r="7694" spans="1:6">
      <c r="A7694" t="s">
        <v>22835</v>
      </c>
      <c r="B7694" t="s">
        <v>22836</v>
      </c>
      <c r="C7694" t="s">
        <v>22837</v>
      </c>
      <c r="D7694" t="str">
        <f>HYPERLINK("https://github.com/jMonkeyEngine/sdk/issues/278","show")</f>
        <v>show</v>
      </c>
      <c r="E7694" t="str">
        <f>HYPERLINK("https://github.com/jMonkeyEngine/sdk","show")</f>
        <v>show</v>
      </c>
      <c r="F7694" t="str">
        <f>HYPERLINK("https://github.com/jMonkeyEngine/sdk/releases","show")</f>
        <v>show</v>
      </c>
    </row>
    <row r="7695" spans="1:6">
      <c r="A7695" t="s">
        <v>22838</v>
      </c>
      <c r="B7695" t="s">
        <v>22839</v>
      </c>
      <c r="C7695" t="s">
        <v>22840</v>
      </c>
      <c r="D7695" t="str">
        <f>HYPERLINK("https://github.com/open-webrtc-toolkit/owt-client-android/issues/225","show")</f>
        <v>show</v>
      </c>
      <c r="E7695" t="str">
        <f>HYPERLINK("https://github.com/open-webrtc-toolkit/owt-client-android","show")</f>
        <v>show</v>
      </c>
      <c r="F7695" t="str">
        <f>HYPERLINK("https://github.com/open-webrtc-toolkit/owt-client-android/releases","show")</f>
        <v>show</v>
      </c>
    </row>
    <row r="7696" spans="1:6">
      <c r="A7696" t="s">
        <v>22841</v>
      </c>
      <c r="B7696" t="s">
        <v>22842</v>
      </c>
      <c r="C7696" t="s">
        <v>22843</v>
      </c>
      <c r="D7696" t="str">
        <f>HYPERLINK("https://github.com/nextcloud/android/issues/6357","show")</f>
        <v>show</v>
      </c>
      <c r="E7696" t="str">
        <f>HYPERLINK("https://github.com/nextcloud/android","show")</f>
        <v>show</v>
      </c>
      <c r="F7696" t="str">
        <f>HYPERLINK("https://github.com/nextcloud/android/releases","show")</f>
        <v>show</v>
      </c>
    </row>
    <row r="7697" spans="1:6">
      <c r="A7697" t="s">
        <v>22844</v>
      </c>
      <c r="B7697" t="s">
        <v>22845</v>
      </c>
      <c r="C7697" t="s">
        <v>22846</v>
      </c>
      <c r="D7697" t="str">
        <f>HYPERLINK("https://github.com/inaturalist/iNaturalistAndroid/issues/852","show")</f>
        <v>show</v>
      </c>
      <c r="E7697" t="str">
        <f>HYPERLINK("https://github.com/inaturalist/iNaturalistAndroid","show")</f>
        <v>show</v>
      </c>
      <c r="F7697" t="str">
        <f>HYPERLINK("https://github.com/inaturalist/iNaturalistAndroid/releases","show")</f>
        <v>show</v>
      </c>
    </row>
    <row r="7698" spans="1:6">
      <c r="A7698" t="s">
        <v>22847</v>
      </c>
      <c r="B7698" t="s">
        <v>7388</v>
      </c>
      <c r="C7698" t="s">
        <v>22848</v>
      </c>
      <c r="D7698" t="str">
        <f>HYPERLINK("https://github.com/zoho/salesiq-mobilisten-android-sample/issues/6","show")</f>
        <v>show</v>
      </c>
      <c r="E7698" t="str">
        <f>HYPERLINK("https://github.com/zoho/salesiq-mobilisten-android-sample","show")</f>
        <v>show</v>
      </c>
      <c r="F7698" t="str">
        <f>HYPERLINK("https://github.com/zoho/salesiq-mobilisten-android-sample/releases","show")</f>
        <v>show</v>
      </c>
    </row>
    <row r="7699" spans="1:6">
      <c r="A7699" t="s">
        <v>22849</v>
      </c>
      <c r="B7699" t="s">
        <v>22850</v>
      </c>
      <c r="C7699" t="s">
        <v>22851</v>
      </c>
      <c r="D7699" t="str">
        <f>HYPERLINK("https://github.com/Inversion-NL/Toon-Android/issues/29","show")</f>
        <v>show</v>
      </c>
      <c r="E7699" t="str">
        <f>HYPERLINK("https://github.com/Inversion-NL/Toon-Android","show")</f>
        <v>show</v>
      </c>
      <c r="F7699" t="str">
        <f>HYPERLINK("https://github.com/Inversion-NL/Toon-Android/releases","show")</f>
        <v>show</v>
      </c>
    </row>
    <row r="7700" spans="1:6">
      <c r="A7700" t="s">
        <v>22852</v>
      </c>
      <c r="B7700" t="s">
        <v>22853</v>
      </c>
      <c r="C7700" t="s">
        <v>22854</v>
      </c>
      <c r="D7700" t="str">
        <f>HYPERLINK("https://github.com/Inversion-NL/Toon-Android/issues/28","show")</f>
        <v>show</v>
      </c>
      <c r="E7700" t="str">
        <f>HYPERLINK("https://github.com/Inversion-NL/Toon-Android","show")</f>
        <v>show</v>
      </c>
      <c r="F7700" t="str">
        <f>HYPERLINK("https://github.com/Inversion-NL/Toon-Android/releases","show")</f>
        <v>show</v>
      </c>
    </row>
    <row r="7701" spans="1:6">
      <c r="A7701" t="s">
        <v>22855</v>
      </c>
      <c r="B7701" t="s">
        <v>22856</v>
      </c>
      <c r="C7701" t="s">
        <v>22857</v>
      </c>
      <c r="D7701" t="str">
        <f>HYPERLINK("https://github.com/Inversion-NL/Toon-Android/issues/27","show")</f>
        <v>show</v>
      </c>
      <c r="E7701" t="str">
        <f>HYPERLINK("https://github.com/Inversion-NL/Toon-Android","show")</f>
        <v>show</v>
      </c>
      <c r="F7701" t="str">
        <f>HYPERLINK("https://github.com/Inversion-NL/Toon-Android/releases","show")</f>
        <v>show</v>
      </c>
    </row>
    <row r="7702" spans="1:6">
      <c r="A7702" t="s">
        <v>22858</v>
      </c>
      <c r="B7702" t="s">
        <v>22859</v>
      </c>
      <c r="C7702" t="s">
        <v>22860</v>
      </c>
      <c r="D7702" t="str">
        <f>HYPERLINK("https://github.com/Anuken/Mindustry/issues/2186","show")</f>
        <v>show</v>
      </c>
      <c r="E7702" t="str">
        <f>HYPERLINK("https://github.com/Anuken/Mindustry","show")</f>
        <v>show</v>
      </c>
      <c r="F7702" t="str">
        <f>HYPERLINK("https://github.com/Anuken/Mindustry/releases","show")</f>
        <v>show</v>
      </c>
    </row>
    <row r="7703" spans="1:6">
      <c r="A7703" t="s">
        <v>22861</v>
      </c>
      <c r="B7703" t="s">
        <v>22862</v>
      </c>
      <c r="C7703" t="s">
        <v>22863</v>
      </c>
      <c r="D7703" t="str">
        <f>HYPERLINK("https://github.com/inaturalist/iNaturalistAndroid/issues/851","show")</f>
        <v>show</v>
      </c>
      <c r="E7703" t="str">
        <f>HYPERLINK("https://github.com/inaturalist/iNaturalistAndroid","show")</f>
        <v>show</v>
      </c>
      <c r="F7703" t="str">
        <f>HYPERLINK("https://github.com/inaturalist/iNaturalistAndroid/releases","show")</f>
        <v>show</v>
      </c>
    </row>
    <row r="7704" spans="1:6">
      <c r="A7704" t="s">
        <v>22864</v>
      </c>
      <c r="B7704" t="s">
        <v>22865</v>
      </c>
      <c r="C7704" t="s">
        <v>22866</v>
      </c>
      <c r="D7704" t="str">
        <f>HYPERLINK("https://github.com/TeamNewPipe/NewPipe/issues/3811","show")</f>
        <v>show</v>
      </c>
      <c r="E7704" t="str">
        <f>HYPERLINK("https://github.com/TeamNewPipe/NewPipe","show")</f>
        <v>show</v>
      </c>
      <c r="F7704" t="str">
        <f>HYPERLINK("https://github.com/TeamNewPipe/NewPipe/releases","show")</f>
        <v>show</v>
      </c>
    </row>
    <row r="7705" spans="1:6">
      <c r="A7705" t="s">
        <v>22867</v>
      </c>
      <c r="B7705" t="s">
        <v>22868</v>
      </c>
      <c r="C7705" t="s">
        <v>22869</v>
      </c>
      <c r="D7705" t="str">
        <f>HYPERLINK("https://github.com/k3b/APhotoManager/issues/175","show")</f>
        <v>show</v>
      </c>
      <c r="E7705" t="str">
        <f>HYPERLINK("https://github.com/k3b/APhotoManager","show")</f>
        <v>show</v>
      </c>
      <c r="F7705" t="str">
        <f>HYPERLINK("https://github.com/k3b/APhotoManager/releases","show")</f>
        <v>show</v>
      </c>
    </row>
    <row r="7706" spans="1:6">
      <c r="A7706" t="s">
        <v>22870</v>
      </c>
      <c r="B7706" t="s">
        <v>22871</v>
      </c>
      <c r="C7706" t="s">
        <v>22872</v>
      </c>
      <c r="D7706" t="str">
        <f>HYPERLINK("https://github.com/Anuken/Mindustry/issues/2184","show")</f>
        <v>show</v>
      </c>
      <c r="E7706" t="str">
        <f>HYPERLINK("https://github.com/Anuken/Mindustry","show")</f>
        <v>show</v>
      </c>
      <c r="F7706" t="str">
        <f>HYPERLINK("https://github.com/Anuken/Mindustry/releases","show")</f>
        <v>show</v>
      </c>
    </row>
    <row r="7707" spans="1:6">
      <c r="A7707" t="s">
        <v>22873</v>
      </c>
      <c r="B7707" t="s">
        <v>22874</v>
      </c>
      <c r="C7707" t="s">
        <v>22875</v>
      </c>
      <c r="D7707" t="str">
        <f>HYPERLINK("https://github.com/Dar9586/NClientV2/issues/173","show")</f>
        <v>show</v>
      </c>
      <c r="E7707" t="str">
        <f>HYPERLINK("https://github.com/Dar9586/NClientV2","show")</f>
        <v>show</v>
      </c>
      <c r="F7707" t="str">
        <f>HYPERLINK("https://github.com/Dar9586/NClientV2/releases","show")</f>
        <v>show</v>
      </c>
    </row>
    <row r="7708" spans="1:6">
      <c r="A7708" t="s">
        <v>22876</v>
      </c>
      <c r="B7708" t="s">
        <v>22877</v>
      </c>
      <c r="C7708" t="s">
        <v>22878</v>
      </c>
      <c r="D7708" t="str">
        <f>HYPERLINK("https://github.com/getodk/collect/issues/3935","show")</f>
        <v>show</v>
      </c>
      <c r="E7708" t="str">
        <f>HYPERLINK("https://github.com/getodk/collect","show")</f>
        <v>show</v>
      </c>
      <c r="F7708" t="str">
        <f>HYPERLINK("https://github.com/getodk/collect/releases","show")</f>
        <v>show</v>
      </c>
    </row>
    <row r="7709" spans="1:6">
      <c r="A7709" t="s">
        <v>22879</v>
      </c>
      <c r="B7709" t="s">
        <v>22880</v>
      </c>
      <c r="C7709" t="s">
        <v>22881</v>
      </c>
      <c r="D7709" t="str">
        <f>HYPERLINK("https://github.com/material-components/material-components-android/issues/1431","show")</f>
        <v>show</v>
      </c>
      <c r="E7709" t="str">
        <f>HYPERLINK("https://github.com/material-components/material-components-android","show")</f>
        <v>show</v>
      </c>
      <c r="F7709" t="str">
        <f>HYPERLINK("https://github.com/material-components/material-components-android/releases","show")</f>
        <v>show</v>
      </c>
    </row>
    <row r="7710" spans="1:6">
      <c r="A7710" t="s">
        <v>22882</v>
      </c>
      <c r="B7710" t="s">
        <v>22883</v>
      </c>
      <c r="C7710" t="s">
        <v>22884</v>
      </c>
      <c r="D7710" t="str">
        <f>HYPERLINK("https://github.com/Anuken/Mindustry/issues/2180","show")</f>
        <v>show</v>
      </c>
      <c r="E7710" t="str">
        <f>HYPERLINK("https://github.com/Anuken/Mindustry","show")</f>
        <v>show</v>
      </c>
      <c r="F7710" t="str">
        <f>HYPERLINK("https://github.com/Anuken/Mindustry/releases","show")</f>
        <v>show</v>
      </c>
    </row>
    <row r="7711" spans="1:6">
      <c r="A7711" t="s">
        <v>22885</v>
      </c>
      <c r="B7711" t="s">
        <v>22886</v>
      </c>
      <c r="C7711" t="s">
        <v>22887</v>
      </c>
      <c r="D7711" t="str">
        <f>HYPERLINK("https://github.com/ankidroid/Anki-Android/issues/6518","show")</f>
        <v>show</v>
      </c>
      <c r="E7711" t="str">
        <f>HYPERLINK("https://github.com/ankidroid/Anki-Android","show")</f>
        <v>show</v>
      </c>
      <c r="F7711" t="str">
        <f>HYPERLINK("https://github.com/ankidroid/Anki-Android/releases","show")</f>
        <v>show</v>
      </c>
    </row>
    <row r="7712" spans="1:6">
      <c r="A7712" t="s">
        <v>22888</v>
      </c>
      <c r="B7712" t="s">
        <v>22889</v>
      </c>
      <c r="C7712" t="s">
        <v>22890</v>
      </c>
      <c r="D7712" t="str">
        <f>HYPERLINK("https://github.com/ankidroid/Anki-Android/issues/6516","show")</f>
        <v>show</v>
      </c>
      <c r="E7712" t="str">
        <f>HYPERLINK("https://github.com/ankidroid/Anki-Android","show")</f>
        <v>show</v>
      </c>
      <c r="F7712" t="str">
        <f>HYPERLINK("https://github.com/ankidroid/Anki-Android/releases","show")</f>
        <v>show</v>
      </c>
    </row>
    <row r="7713" spans="1:6">
      <c r="A7713" t="s">
        <v>22891</v>
      </c>
      <c r="B7713" t="s">
        <v>22892</v>
      </c>
      <c r="C7713" t="s">
        <v>22893</v>
      </c>
      <c r="D7713" t="str">
        <f>HYPERLINK("https://github.com/cgeo/cgeo/issues/8481","show")</f>
        <v>show</v>
      </c>
      <c r="E7713" t="str">
        <f>HYPERLINK("https://github.com/cgeo/cgeo","show")</f>
        <v>show</v>
      </c>
      <c r="F7713" t="str">
        <f>HYPERLINK("https://github.com/cgeo/cgeo/releases","show")</f>
        <v>show</v>
      </c>
    </row>
    <row r="7714" spans="1:6">
      <c r="A7714" t="s">
        <v>22894</v>
      </c>
      <c r="B7714" t="s">
        <v>22895</v>
      </c>
      <c r="C7714" t="s">
        <v>22896</v>
      </c>
      <c r="D7714" t="str">
        <f>HYPERLINK("https://github.com/cgeo/cgeo/issues/8480","show")</f>
        <v>show</v>
      </c>
      <c r="E7714" t="str">
        <f>HYPERLINK("https://github.com/cgeo/cgeo","show")</f>
        <v>show</v>
      </c>
      <c r="F7714" t="str">
        <f>HYPERLINK("https://github.com/cgeo/cgeo/releases","show")</f>
        <v>show</v>
      </c>
    </row>
    <row r="7715" spans="1:6">
      <c r="A7715" t="s">
        <v>22897</v>
      </c>
      <c r="B7715" t="s">
        <v>22898</v>
      </c>
      <c r="C7715" t="s">
        <v>22899</v>
      </c>
      <c r="D7715" t="str">
        <f>HYPERLINK("https://github.com/TeamNewPipe/NewPipe/issues/3799","show")</f>
        <v>show</v>
      </c>
      <c r="E7715" t="str">
        <f>HYPERLINK("https://github.com/TeamNewPipe/NewPipe","show")</f>
        <v>show</v>
      </c>
      <c r="F7715" t="str">
        <f>HYPERLINK("https://github.com/TeamNewPipe/NewPipe/releases","show")</f>
        <v>show</v>
      </c>
    </row>
    <row r="7716" spans="1:6">
      <c r="A7716" t="s">
        <v>22900</v>
      </c>
      <c r="B7716" t="s">
        <v>22901</v>
      </c>
      <c r="C7716" t="s">
        <v>22902</v>
      </c>
      <c r="D7716" t="str">
        <f>HYPERLINK("https://github.com/NexdApp/nexd-android/issues/140","show")</f>
        <v>show</v>
      </c>
      <c r="E7716" t="str">
        <f>HYPERLINK("https://github.com/NexdApp/nexd-android","show")</f>
        <v>show</v>
      </c>
      <c r="F7716" t="str">
        <f>HYPERLINK("https://github.com/NexdApp/nexd-android/releases","show")</f>
        <v>show</v>
      </c>
    </row>
    <row r="7717" spans="1:6">
      <c r="A7717" t="s">
        <v>22903</v>
      </c>
      <c r="B7717" t="s">
        <v>22904</v>
      </c>
      <c r="C7717" t="s">
        <v>22905</v>
      </c>
      <c r="D7717" t="str">
        <f>HYPERLINK("https://github.com/frostwire/frostwire/issues/909","show")</f>
        <v>show</v>
      </c>
      <c r="E7717" t="str">
        <f>HYPERLINK("https://github.com/frostwire/frostwire","show")</f>
        <v>show</v>
      </c>
      <c r="F7717" t="str">
        <f>HYPERLINK("https://github.com/frostwire/frostwire/releases","show")</f>
        <v>show</v>
      </c>
    </row>
    <row r="7718" spans="1:6">
      <c r="A7718" t="s">
        <v>22906</v>
      </c>
      <c r="B7718" t="s">
        <v>22907</v>
      </c>
      <c r="C7718" t="s">
        <v>22908</v>
      </c>
      <c r="D7718" t="str">
        <f>HYPERLINK("https://github.com/GoogleCloudPlatform/fda-mystudies/issues/530","show")</f>
        <v>show</v>
      </c>
      <c r="E7718" t="str">
        <f>HYPERLINK("https://github.com/GoogleCloudPlatform/fda-mystudies","show")</f>
        <v>show</v>
      </c>
      <c r="F7718" t="str">
        <f>HYPERLINK("https://github.com/GoogleCloudPlatform/fda-mystudies/releases","show")</f>
        <v>show</v>
      </c>
    </row>
    <row r="7719" spans="1:6">
      <c r="A7719" t="s">
        <v>22909</v>
      </c>
      <c r="B7719" t="s">
        <v>22910</v>
      </c>
      <c r="C7719" t="s">
        <v>22911</v>
      </c>
      <c r="D7719" t="str">
        <f>HYPERLINK("https://github.com/Azure/azure-iot-sdk-java/issues/817","show")</f>
        <v>show</v>
      </c>
      <c r="E7719" t="str">
        <f>HYPERLINK("https://github.com/Azure/azure-iot-sdk-java","show")</f>
        <v>show</v>
      </c>
      <c r="F7719" t="str">
        <f>HYPERLINK("https://github.com/Azure/azure-iot-sdk-java/releases","show")</f>
        <v>show</v>
      </c>
    </row>
    <row r="7720" spans="1:6">
      <c r="A7720" t="s">
        <v>22912</v>
      </c>
      <c r="B7720" t="s">
        <v>22913</v>
      </c>
      <c r="C7720" t="s">
        <v>22914</v>
      </c>
      <c r="D7720" t="str">
        <f>HYPERLINK("https://github.com/Anuken/Mindustry/issues/2176","show")</f>
        <v>show</v>
      </c>
      <c r="E7720" t="str">
        <f>HYPERLINK("https://github.com/Anuken/Mindustry","show")</f>
        <v>show</v>
      </c>
      <c r="F7720" t="str">
        <f>HYPERLINK("https://github.com/Anuken/Mindustry/releases","show")</f>
        <v>show</v>
      </c>
    </row>
    <row r="7721" spans="1:6">
      <c r="A7721" t="s">
        <v>22915</v>
      </c>
      <c r="B7721" t="s">
        <v>22916</v>
      </c>
      <c r="C7721" t="s">
        <v>22917</v>
      </c>
      <c r="D7721" t="str">
        <f>HYPERLINK("https://github.com/TeamNewPipe/NewPipe/issues/3796","show")</f>
        <v>show</v>
      </c>
      <c r="E7721" t="str">
        <f>HYPERLINK("https://github.com/TeamNewPipe/NewPipe","show")</f>
        <v>show</v>
      </c>
      <c r="F7721" t="str">
        <f>HYPERLINK("https://github.com/TeamNewPipe/NewPipe/releases","show")</f>
        <v>show</v>
      </c>
    </row>
    <row r="7722" spans="1:6">
      <c r="A7722" t="s">
        <v>22918</v>
      </c>
      <c r="B7722" t="s">
        <v>22919</v>
      </c>
      <c r="C7722" t="s">
        <v>22920</v>
      </c>
      <c r="D7722" t="str">
        <f>HYPERLINK("https://github.com/Roaim/DTBazar/issues/43","show")</f>
        <v>show</v>
      </c>
      <c r="E7722" t="str">
        <f>HYPERLINK("https://github.com/Roaim/DTBazar","show")</f>
        <v>show</v>
      </c>
      <c r="F7722" t="str">
        <f>HYPERLINK("https://github.com/Roaim/DTBazar/releases","show")</f>
        <v>show</v>
      </c>
    </row>
    <row r="7723" spans="1:6">
      <c r="A7723" t="s">
        <v>22921</v>
      </c>
      <c r="B7723" t="s">
        <v>22922</v>
      </c>
      <c r="C7723" t="s">
        <v>22923</v>
      </c>
      <c r="D7723" t="str">
        <f>HYPERLINK("https://github.com/Anuken/Mindustry/issues/2173","show")</f>
        <v>show</v>
      </c>
      <c r="E7723" t="str">
        <f>HYPERLINK("https://github.com/Anuken/Mindustry","show")</f>
        <v>show</v>
      </c>
      <c r="F7723" t="str">
        <f>HYPERLINK("https://github.com/Anuken/Mindustry/releases","show")</f>
        <v>show</v>
      </c>
    </row>
    <row r="7724" spans="1:6">
      <c r="A7724" t="s">
        <v>22924</v>
      </c>
      <c r="B7724" t="s">
        <v>22925</v>
      </c>
      <c r="C7724" t="s">
        <v>22926</v>
      </c>
      <c r="D7724" t="str">
        <f>HYPERLINK("https://github.com/TeamNewPipe/NewPipe/issues/3794","show")</f>
        <v>show</v>
      </c>
      <c r="E7724" t="str">
        <f>HYPERLINK("https://github.com/TeamNewPipe/NewPipe","show")</f>
        <v>show</v>
      </c>
      <c r="F7724" t="str">
        <f>HYPERLINK("https://github.com/TeamNewPipe/NewPipe/releases","show")</f>
        <v>show</v>
      </c>
    </row>
    <row r="7725" spans="1:6">
      <c r="A7725" t="s">
        <v>22927</v>
      </c>
      <c r="B7725" t="s">
        <v>22928</v>
      </c>
      <c r="C7725" t="s">
        <v>22929</v>
      </c>
      <c r="D7725" t="str">
        <f>HYPERLINK("https://github.com/twilio/voice-quickstart-android/issues/352","show")</f>
        <v>show</v>
      </c>
      <c r="E7725" t="str">
        <f>HYPERLINK("https://github.com/twilio/voice-quickstart-android","show")</f>
        <v>show</v>
      </c>
      <c r="F7725" t="str">
        <f>HYPERLINK("https://github.com/twilio/voice-quickstart-android/releases","show")</f>
        <v>show</v>
      </c>
    </row>
    <row r="7726" spans="1:6">
      <c r="A7726" t="s">
        <v>22930</v>
      </c>
      <c r="B7726" t="s">
        <v>22931</v>
      </c>
      <c r="C7726" t="s">
        <v>22932</v>
      </c>
      <c r="D7726" t="str">
        <f>HYPERLINK("https://github.com/iNPUTmice/Conversations/issues/3795","show")</f>
        <v>show</v>
      </c>
      <c r="E7726" t="str">
        <f>HYPERLINK("https://github.com/iNPUTmice/Conversations","show")</f>
        <v>show</v>
      </c>
      <c r="F7726" t="str">
        <f>HYPERLINK("https://github.com/iNPUTmice/Conversations/releases","show")</f>
        <v>show</v>
      </c>
    </row>
    <row r="7727" spans="1:6">
      <c r="A7727" t="s">
        <v>22933</v>
      </c>
      <c r="B7727" t="s">
        <v>22934</v>
      </c>
      <c r="C7727" t="s">
        <v>22935</v>
      </c>
      <c r="D7727" t="str">
        <f>HYPERLINK("https://github.com/TeamNewPipe/NewPipe/issues/3788","show")</f>
        <v>show</v>
      </c>
      <c r="E7727" t="str">
        <f>HYPERLINK("https://github.com/TeamNewPipe/NewPipe","show")</f>
        <v>show</v>
      </c>
      <c r="F7727" t="str">
        <f>HYPERLINK("https://github.com/TeamNewPipe/NewPipe/releases","show")</f>
        <v>show</v>
      </c>
    </row>
    <row r="7728" spans="1:6">
      <c r="A7728" t="s">
        <v>22936</v>
      </c>
      <c r="B7728" t="s">
        <v>22937</v>
      </c>
      <c r="C7728" t="s">
        <v>22938</v>
      </c>
      <c r="D7728" t="str">
        <f>HYPERLINK("https://github.com/Anuken/Mindustry/issues/2172","show")</f>
        <v>show</v>
      </c>
      <c r="E7728" t="str">
        <f>HYPERLINK("https://github.com/Anuken/Mindustry","show")</f>
        <v>show</v>
      </c>
      <c r="F7728" t="str">
        <f>HYPERLINK("https://github.com/Anuken/Mindustry/releases","show")</f>
        <v>show</v>
      </c>
    </row>
    <row r="7729" spans="1:6">
      <c r="A7729" t="s">
        <v>22939</v>
      </c>
      <c r="B7729" t="s">
        <v>22940</v>
      </c>
      <c r="C7729" t="s">
        <v>22941</v>
      </c>
      <c r="D7729" t="str">
        <f>HYPERLINK("https://github.com/inaturalist/iNaturalistAndroid/issues/848","show")</f>
        <v>show</v>
      </c>
      <c r="E7729" t="str">
        <f>HYPERLINK("https://github.com/inaturalist/iNaturalistAndroid","show")</f>
        <v>show</v>
      </c>
      <c r="F7729" t="str">
        <f>HYPERLINK("https://github.com/inaturalist/iNaturalistAndroid/releases","show")</f>
        <v>show</v>
      </c>
    </row>
    <row r="7730" spans="1:6">
      <c r="A7730" t="s">
        <v>22942</v>
      </c>
      <c r="B7730" t="s">
        <v>22943</v>
      </c>
      <c r="C7730" t="s">
        <v>22944</v>
      </c>
      <c r="D7730" t="str">
        <f>HYPERLINK("https://github.com/nextcloud/talk-android/issues/867","show")</f>
        <v>show</v>
      </c>
      <c r="E7730" t="str">
        <f>HYPERLINK("https://github.com/nextcloud/talk-android","show")</f>
        <v>show</v>
      </c>
      <c r="F7730" t="str">
        <f>HYPERLINK("https://github.com/nextcloud/talk-android/releases","show")</f>
        <v>show</v>
      </c>
    </row>
    <row r="7731" spans="1:6">
      <c r="A7731" t="s">
        <v>22945</v>
      </c>
      <c r="B7731" t="s">
        <v>22946</v>
      </c>
      <c r="C7731" t="s">
        <v>22947</v>
      </c>
      <c r="D7731" t="str">
        <f>HYPERLINK("https://github.com/nextcloud/android/issues/6308","show")</f>
        <v>show</v>
      </c>
      <c r="E7731" t="str">
        <f>HYPERLINK("https://github.com/nextcloud/android","show")</f>
        <v>show</v>
      </c>
      <c r="F7731" t="str">
        <f>HYPERLINK("https://github.com/nextcloud/android/releases","show")</f>
        <v>show</v>
      </c>
    </row>
    <row r="7732" spans="1:6">
      <c r="A7732" t="s">
        <v>22948</v>
      </c>
      <c r="B7732" t="s">
        <v>22949</v>
      </c>
      <c r="C7732" t="s">
        <v>22950</v>
      </c>
      <c r="D7732" t="str">
        <f>HYPERLINK("https://github.com/react-native-webrtc/react-native-webrtc/issues/810","show")</f>
        <v>show</v>
      </c>
      <c r="E7732" t="str">
        <f>HYPERLINK("https://github.com/react-native-webrtc/react-native-webrtc","show")</f>
        <v>show</v>
      </c>
      <c r="F7732" t="str">
        <f>HYPERLINK("https://github.com/react-native-webrtc/react-native-webrtc/releases","show")</f>
        <v>show</v>
      </c>
    </row>
    <row r="7733" spans="1:6">
      <c r="A7733" t="s">
        <v>22951</v>
      </c>
      <c r="B7733" t="s">
        <v>22952</v>
      </c>
      <c r="C7733" t="s">
        <v>22953</v>
      </c>
      <c r="D7733" t="str">
        <f>HYPERLINK("https://github.com/react-native-camera/react-native-camera/issues/2873","show")</f>
        <v>show</v>
      </c>
      <c r="E7733" t="str">
        <f>HYPERLINK("https://github.com/react-native-camera/react-native-camera","show")</f>
        <v>show</v>
      </c>
      <c r="F7733" t="str">
        <f>HYPERLINK("https://github.com/react-native-camera/react-native-camera/releases","show")</f>
        <v>show</v>
      </c>
    </row>
    <row r="7734" spans="1:6">
      <c r="A7734" t="s">
        <v>22954</v>
      </c>
      <c r="B7734" t="s">
        <v>22955</v>
      </c>
      <c r="C7734" t="s">
        <v>22956</v>
      </c>
      <c r="D7734" t="str">
        <f>HYPERLINK("https://github.com/opensrp/opensrp-client-reveal/issues/784","show")</f>
        <v>show</v>
      </c>
      <c r="E7734" t="str">
        <f>HYPERLINK("https://github.com/opensrp/opensrp-client-reveal","show")</f>
        <v>show</v>
      </c>
      <c r="F7734" t="str">
        <f>HYPERLINK("https://github.com/opensrp/opensrp-client-reveal/releases","show")</f>
        <v>show</v>
      </c>
    </row>
    <row r="7735" spans="1:6">
      <c r="A7735" t="s">
        <v>22957</v>
      </c>
      <c r="B7735" t="s">
        <v>22958</v>
      </c>
      <c r="C7735" t="s">
        <v>22959</v>
      </c>
      <c r="D7735" t="str">
        <f>HYPERLINK("https://github.com/square/react-native-square-reader-sdk/issues/121","show")</f>
        <v>show</v>
      </c>
      <c r="E7735" t="str">
        <f>HYPERLINK("https://github.com/square/react-native-square-reader-sdk","show")</f>
        <v>show</v>
      </c>
      <c r="F7735" t="str">
        <f>HYPERLINK("https://github.com/square/react-native-square-reader-sdk/releases","show")</f>
        <v>show</v>
      </c>
    </row>
    <row r="7736" spans="1:6">
      <c r="A7736" t="s">
        <v>22960</v>
      </c>
      <c r="B7736" t="s">
        <v>22961</v>
      </c>
      <c r="C7736" t="s">
        <v>22962</v>
      </c>
      <c r="D7736" t="str">
        <f>HYPERLINK("https://github.com/Blankj/AndroidUtilCode/issues/1261","show")</f>
        <v>show</v>
      </c>
      <c r="E7736" t="str">
        <f>HYPERLINK("https://github.com/Blankj/AndroidUtilCode","show")</f>
        <v>show</v>
      </c>
      <c r="F7736" t="str">
        <f>HYPERLINK("https://github.com/Blankj/AndroidUtilCode/releases","show")</f>
        <v>show</v>
      </c>
    </row>
    <row r="7737" spans="1:6">
      <c r="A7737" t="s">
        <v>22963</v>
      </c>
      <c r="B7737" t="s">
        <v>22964</v>
      </c>
      <c r="C7737" t="s">
        <v>22965</v>
      </c>
      <c r="D7737" t="str">
        <f>HYPERLINK("https://github.com/frimtec/pikett-assist/issues/154","show")</f>
        <v>show</v>
      </c>
      <c r="E7737" t="str">
        <f>HYPERLINK("https://github.com/frimtec/pikett-assist","show")</f>
        <v>show</v>
      </c>
      <c r="F7737" t="str">
        <f>HYPERLINK("https://github.com/frimtec/pikett-assist/releases","show")</f>
        <v>show</v>
      </c>
    </row>
    <row r="7738" spans="1:6">
      <c r="A7738" t="s">
        <v>22966</v>
      </c>
      <c r="B7738" t="s">
        <v>22967</v>
      </c>
      <c r="C7738" t="s">
        <v>22968</v>
      </c>
      <c r="D7738" t="str">
        <f>HYPERLINK("https://github.com/andremion/Louvre/issues/29","show")</f>
        <v>show</v>
      </c>
      <c r="E7738" t="str">
        <f>HYPERLINK("https://github.com/andremion/Louvre","show")</f>
        <v>show</v>
      </c>
      <c r="F7738" t="str">
        <f>HYPERLINK("https://github.com/andremion/Louvre/releases","show")</f>
        <v>show</v>
      </c>
    </row>
    <row r="7739" spans="1:6">
      <c r="A7739" t="s">
        <v>22969</v>
      </c>
      <c r="B7739" t="s">
        <v>22970</v>
      </c>
      <c r="C7739" t="s">
        <v>22971</v>
      </c>
      <c r="D7739" t="str">
        <f>HYPERLINK("https://github.com/Anuken/Mindustry/issues/2167","show")</f>
        <v>show</v>
      </c>
      <c r="E7739" t="str">
        <f>HYPERLINK("https://github.com/Anuken/Mindustry","show")</f>
        <v>show</v>
      </c>
      <c r="F7739" t="str">
        <f>HYPERLINK("https://github.com/Anuken/Mindustry/releases","show")</f>
        <v>show</v>
      </c>
    </row>
    <row r="7740" spans="1:6">
      <c r="A7740" t="s">
        <v>22972</v>
      </c>
      <c r="B7740" t="s">
        <v>22973</v>
      </c>
      <c r="C7740" t="s">
        <v>22974</v>
      </c>
      <c r="D7740" t="str">
        <f>HYPERLINK("https://github.com/cgeo/cgeo/issues/8451","show")</f>
        <v>show</v>
      </c>
      <c r="E7740" t="str">
        <f>HYPERLINK("https://github.com/cgeo/cgeo","show")</f>
        <v>show</v>
      </c>
      <c r="F7740" t="str">
        <f>HYPERLINK("https://github.com/cgeo/cgeo/releases","show")</f>
        <v>show</v>
      </c>
    </row>
    <row r="7741" spans="1:6">
      <c r="A7741" t="s">
        <v>22975</v>
      </c>
      <c r="B7741" t="s">
        <v>22976</v>
      </c>
      <c r="C7741" t="s">
        <v>22977</v>
      </c>
      <c r="D7741" t="str">
        <f>HYPERLINK("https://github.com/TeamNewPipe/NewPipe/issues/3782","show")</f>
        <v>show</v>
      </c>
      <c r="E7741" t="str">
        <f>HYPERLINK("https://github.com/TeamNewPipe/NewPipe","show")</f>
        <v>show</v>
      </c>
      <c r="F7741" t="str">
        <f>HYPERLINK("https://github.com/TeamNewPipe/NewPipe/releases","show")</f>
        <v>show</v>
      </c>
    </row>
    <row r="7742" spans="1:6">
      <c r="A7742" t="s">
        <v>22978</v>
      </c>
      <c r="B7742" t="s">
        <v>22979</v>
      </c>
      <c r="C7742" t="s">
        <v>22980</v>
      </c>
      <c r="D7742" t="str">
        <f>HYPERLINK("https://github.com/NekoX-Dev/NekoX/issues/96","show")</f>
        <v>show</v>
      </c>
      <c r="E7742" t="str">
        <f>HYPERLINK("https://github.com/NekoX-Dev/NekoX","show")</f>
        <v>show</v>
      </c>
      <c r="F7742" t="str">
        <f>HYPERLINK("https://github.com/NekoX-Dev/NekoX/releases","show")</f>
        <v>show</v>
      </c>
    </row>
    <row r="7743" spans="1:6">
      <c r="A7743" t="s">
        <v>22981</v>
      </c>
      <c r="B7743" t="s">
        <v>22982</v>
      </c>
      <c r="C7743" t="s">
        <v>22983</v>
      </c>
      <c r="D7743" t="str">
        <f>HYPERLINK("https://github.com/Kiprosh/android-calendar/issues/12","show")</f>
        <v>show</v>
      </c>
      <c r="E7743" t="str">
        <f>HYPERLINK("https://github.com/Kiprosh/android-calendar","show")</f>
        <v>show</v>
      </c>
      <c r="F7743" t="str">
        <f>HYPERLINK("https://github.com/Kiprosh/android-calendar/releases","show")</f>
        <v>show</v>
      </c>
    </row>
    <row r="7744" spans="1:6">
      <c r="A7744" t="s">
        <v>22984</v>
      </c>
      <c r="B7744" t="s">
        <v>22985</v>
      </c>
      <c r="C7744" t="s">
        <v>22986</v>
      </c>
      <c r="D7744" t="str">
        <f>HYPERLINK("https://github.com/Kiprosh/android-calendar/issues/10","show")</f>
        <v>show</v>
      </c>
      <c r="E7744" t="str">
        <f>HYPERLINK("https://github.com/Kiprosh/android-calendar","show")</f>
        <v>show</v>
      </c>
      <c r="F7744" t="str">
        <f>HYPERLINK("https://github.com/Kiprosh/android-calendar/releases","show")</f>
        <v>show</v>
      </c>
    </row>
    <row r="7745" spans="1:6">
      <c r="A7745" t="s">
        <v>22987</v>
      </c>
      <c r="B7745" t="s">
        <v>22988</v>
      </c>
      <c r="C7745" t="s">
        <v>22989</v>
      </c>
      <c r="D7745" t="str">
        <f>HYPERLINK("https://github.com/Anuken/Mindustry/issues/2161","show")</f>
        <v>show</v>
      </c>
      <c r="E7745" t="str">
        <f>HYPERLINK("https://github.com/Anuken/Mindustry","show")</f>
        <v>show</v>
      </c>
      <c r="F7745" t="str">
        <f>HYPERLINK("https://github.com/Anuken/Mindustry/releases","show")</f>
        <v>show</v>
      </c>
    </row>
    <row r="7746" spans="1:6">
      <c r="A7746" t="s">
        <v>22990</v>
      </c>
      <c r="B7746" t="s">
        <v>22991</v>
      </c>
      <c r="C7746" t="s">
        <v>22992</v>
      </c>
      <c r="D7746" t="str">
        <f>HYPERLINK("https://github.com/ThanhDong272/G33_QLNhaSach/issues/9","show")</f>
        <v>show</v>
      </c>
      <c r="E7746" t="str">
        <f>HYPERLINK("https://github.com/ThanhDong272/G33_QLNhaSach","show")</f>
        <v>show</v>
      </c>
      <c r="F7746" t="str">
        <f>HYPERLINK("https://github.com/ThanhDong272/G33_QLNhaSach/releases","show")</f>
        <v>show</v>
      </c>
    </row>
    <row r="7747" spans="1:6">
      <c r="A7747" t="s">
        <v>22993</v>
      </c>
      <c r="B7747" t="s">
        <v>22994</v>
      </c>
      <c r="C7747" t="s">
        <v>22995</v>
      </c>
      <c r="D7747" t="str">
        <f>HYPERLINK("https://github.com/ThanhDong272/G33_QLNhaSach/issues/8","show")</f>
        <v>show</v>
      </c>
      <c r="E7747" t="str">
        <f>HYPERLINK("https://github.com/ThanhDong272/G33_QLNhaSach","show")</f>
        <v>show</v>
      </c>
      <c r="F7747" t="str">
        <f>HYPERLINK("https://github.com/ThanhDong272/G33_QLNhaSach/releases","show")</f>
        <v>show</v>
      </c>
    </row>
    <row r="7748" spans="1:6">
      <c r="A7748" t="s">
        <v>22996</v>
      </c>
      <c r="B7748" t="s">
        <v>22997</v>
      </c>
      <c r="C7748" t="s">
        <v>22998</v>
      </c>
      <c r="D7748" t="str">
        <f>HYPERLINK("https://github.com/nextcloud/android/issues/6285","show")</f>
        <v>show</v>
      </c>
      <c r="E7748" t="str">
        <f>HYPERLINK("https://github.com/nextcloud/android","show")</f>
        <v>show</v>
      </c>
      <c r="F7748" t="str">
        <f>HYPERLINK("https://github.com/nextcloud/android/releases","show")</f>
        <v>show</v>
      </c>
    </row>
    <row r="7749" spans="1:6">
      <c r="A7749" t="s">
        <v>22999</v>
      </c>
      <c r="B7749" t="s">
        <v>23000</v>
      </c>
      <c r="C7749" t="s">
        <v>23001</v>
      </c>
      <c r="D7749" t="str">
        <f>HYPERLINK("https://github.com/Tornaco/Thanox/issues/144","show")</f>
        <v>show</v>
      </c>
      <c r="E7749" t="str">
        <f>HYPERLINK("https://github.com/Tornaco/Thanox","show")</f>
        <v>show</v>
      </c>
      <c r="F7749" t="str">
        <f>HYPERLINK("https://github.com/Tornaco/Thanox/releases","show")</f>
        <v>show</v>
      </c>
    </row>
    <row r="7750" spans="1:6">
      <c r="A7750" t="s">
        <v>23002</v>
      </c>
      <c r="B7750" t="s">
        <v>23003</v>
      </c>
      <c r="C7750" t="s">
        <v>23004</v>
      </c>
      <c r="D7750" t="str">
        <f>HYPERLINK("https://github.com/google/ExoPlayer/issues/7494","show")</f>
        <v>show</v>
      </c>
      <c r="E7750" t="str">
        <f>HYPERLINK("https://github.com/google/ExoPlayer","show")</f>
        <v>show</v>
      </c>
      <c r="F7750" t="str">
        <f>HYPERLINK("https://github.com/google/ExoPlayer/releases","show")</f>
        <v>show</v>
      </c>
    </row>
    <row r="7751" spans="1:6">
      <c r="A7751" t="s">
        <v>23005</v>
      </c>
      <c r="B7751" t="s">
        <v>23006</v>
      </c>
      <c r="C7751" t="s">
        <v>23007</v>
      </c>
      <c r="D7751" t="str">
        <f>HYPERLINK("https://github.com/nextcloud/android/issues/6279","show")</f>
        <v>show</v>
      </c>
      <c r="E7751" t="str">
        <f>HYPERLINK("https://github.com/nextcloud/android","show")</f>
        <v>show</v>
      </c>
      <c r="F7751" t="str">
        <f>HYPERLINK("https://github.com/nextcloud/android/releases","show")</f>
        <v>show</v>
      </c>
    </row>
    <row r="7752" spans="1:6">
      <c r="A7752" t="s">
        <v>23008</v>
      </c>
      <c r="B7752" t="s">
        <v>23009</v>
      </c>
      <c r="C7752" t="s">
        <v>23010</v>
      </c>
      <c r="D7752" t="str">
        <f>HYPERLINK("https://github.com/nextcloud/android/issues/6277","show")</f>
        <v>show</v>
      </c>
      <c r="E7752" t="str">
        <f>HYPERLINK("https://github.com/nextcloud/android","show")</f>
        <v>show</v>
      </c>
      <c r="F7752" t="str">
        <f>HYPERLINK("https://github.com/nextcloud/android/releases","show")</f>
        <v>show</v>
      </c>
    </row>
    <row r="7753" spans="1:6">
      <c r="A7753" t="s">
        <v>23011</v>
      </c>
      <c r="B7753" t="s">
        <v>23012</v>
      </c>
      <c r="C7753" t="s">
        <v>23013</v>
      </c>
      <c r="D7753" t="str">
        <f>HYPERLINK("https://github.com/nextcloud/android/issues/6273","show")</f>
        <v>show</v>
      </c>
      <c r="E7753" t="str">
        <f>HYPERLINK("https://github.com/nextcloud/android","show")</f>
        <v>show</v>
      </c>
      <c r="F7753" t="str">
        <f>HYPERLINK("https://github.com/nextcloud/android/releases","show")</f>
        <v>show</v>
      </c>
    </row>
    <row r="7754" spans="1:6">
      <c r="A7754" t="s">
        <v>23014</v>
      </c>
      <c r="B7754" t="s">
        <v>23015</v>
      </c>
      <c r="C7754" t="s">
        <v>23016</v>
      </c>
      <c r="D7754" t="str">
        <f>HYPERLINK("https://github.com/google/ExoPlayer/issues/7492","show")</f>
        <v>show</v>
      </c>
      <c r="E7754" t="str">
        <f>HYPERLINK("https://github.com/google/ExoPlayer","show")</f>
        <v>show</v>
      </c>
      <c r="F7754" t="str">
        <f>HYPERLINK("https://github.com/google/ExoPlayer/releases","show")</f>
        <v>show</v>
      </c>
    </row>
    <row r="7755" spans="1:6">
      <c r="A7755" t="s">
        <v>23017</v>
      </c>
      <c r="B7755" t="s">
        <v>23018</v>
      </c>
      <c r="C7755" t="s">
        <v>23019</v>
      </c>
      <c r="D7755" t="str">
        <f>HYPERLINK("https://github.com/react-native-share/react-native-share/issues/797","show")</f>
        <v>show</v>
      </c>
      <c r="E7755" t="str">
        <f>HYPERLINK("https://github.com/react-native-share/react-native-share","show")</f>
        <v>show</v>
      </c>
      <c r="F7755" t="str">
        <f>HYPERLINK("https://github.com/react-native-share/react-native-share/releases","show")</f>
        <v>show</v>
      </c>
    </row>
    <row r="7756" spans="1:6">
      <c r="A7756" t="s">
        <v>23020</v>
      </c>
      <c r="B7756" t="s">
        <v>23021</v>
      </c>
      <c r="C7756" t="s">
        <v>23022</v>
      </c>
      <c r="D7756" t="str">
        <f>HYPERLINK("https://github.com/doublesymmetry/react-native-track-player/issues/969","show")</f>
        <v>show</v>
      </c>
      <c r="E7756" t="str">
        <f>HYPERLINK("https://github.com/doublesymmetry/react-native-track-player","show")</f>
        <v>show</v>
      </c>
      <c r="F7756" t="str">
        <f>HYPERLINK("https://github.com/doublesymmetry/react-native-track-player/releases","show")</f>
        <v>show</v>
      </c>
    </row>
    <row r="7757" spans="1:6">
      <c r="A7757" t="s">
        <v>23023</v>
      </c>
      <c r="B7757" t="s">
        <v>23024</v>
      </c>
      <c r="C7757" t="s">
        <v>23025</v>
      </c>
      <c r="D7757" t="str">
        <f>HYPERLINK("https://github.com/ankidroid/Anki-Android/issues/6432","show")</f>
        <v>show</v>
      </c>
      <c r="E7757" t="str">
        <f>HYPERLINK("https://github.com/ankidroid/Anki-Android","show")</f>
        <v>show</v>
      </c>
      <c r="F7757" t="str">
        <f>HYPERLINK("https://github.com/ankidroid/Anki-Android/releases","show")</f>
        <v>show</v>
      </c>
    </row>
    <row r="7758" spans="1:6">
      <c r="A7758" t="s">
        <v>23026</v>
      </c>
      <c r="B7758" t="s">
        <v>23027</v>
      </c>
      <c r="C7758" t="s">
        <v>23028</v>
      </c>
      <c r="D7758" t="str">
        <f>HYPERLINK("https://github.com/ElderDrivers/EdXposed/issues/566","show")</f>
        <v>show</v>
      </c>
      <c r="E7758" t="str">
        <f>HYPERLINK("https://github.com/ElderDrivers/EdXposed","show")</f>
        <v>show</v>
      </c>
      <c r="F7758" t="str">
        <f>HYPERLINK("https://github.com/ElderDrivers/EdXposed/releases","show")</f>
        <v>show</v>
      </c>
    </row>
    <row r="7759" spans="1:6">
      <c r="A7759" t="s">
        <v>23029</v>
      </c>
      <c r="B7759" t="s">
        <v>23030</v>
      </c>
      <c r="C7759" t="s">
        <v>23031</v>
      </c>
      <c r="D7759" t="str">
        <f>HYPERLINK("https://github.com/square/okhttp/issues/6123","show")</f>
        <v>show</v>
      </c>
      <c r="E7759" t="str">
        <f>HYPERLINK("https://github.com/square/okhttp","show")</f>
        <v>show</v>
      </c>
      <c r="F7759" t="str">
        <f>HYPERLINK("https://github.com/square/okhttp/releases","show")</f>
        <v>show</v>
      </c>
    </row>
    <row r="7760" spans="1:6">
      <c r="A7760" t="s">
        <v>23032</v>
      </c>
      <c r="B7760" t="s">
        <v>23033</v>
      </c>
      <c r="C7760" t="s">
        <v>23034</v>
      </c>
      <c r="D7760" t="str">
        <f>HYPERLINK("https://github.com/nextcloud/android/issues/6258","show")</f>
        <v>show</v>
      </c>
      <c r="E7760" t="str">
        <f>HYPERLINK("https://github.com/nextcloud/android","show")</f>
        <v>show</v>
      </c>
      <c r="F7760" t="str">
        <f>HYPERLINK("https://github.com/nextcloud/android/releases","show")</f>
        <v>show</v>
      </c>
    </row>
    <row r="7761" spans="1:6">
      <c r="A7761" t="s">
        <v>23035</v>
      </c>
      <c r="B7761" t="s">
        <v>23036</v>
      </c>
      <c r="C7761" t="s">
        <v>23037</v>
      </c>
      <c r="D7761" t="str">
        <f>HYPERLINK("https://github.com/react-native-camera/react-native-camera/issues/2867","show")</f>
        <v>show</v>
      </c>
      <c r="E7761" t="str">
        <f>HYPERLINK("https://github.com/react-native-camera/react-native-camera","show")</f>
        <v>show</v>
      </c>
      <c r="F7761" t="str">
        <f>HYPERLINK("https://github.com/react-native-camera/react-native-camera/releases","show")</f>
        <v>show</v>
      </c>
    </row>
    <row r="7762" spans="1:6">
      <c r="A7762" t="s">
        <v>23038</v>
      </c>
      <c r="B7762" t="s">
        <v>23039</v>
      </c>
      <c r="C7762" t="s">
        <v>23040</v>
      </c>
      <c r="D7762" t="str">
        <f>HYPERLINK("https://github.com/TeamNewPipe/NewPipe/issues/3767","show")</f>
        <v>show</v>
      </c>
      <c r="E7762" t="str">
        <f>HYPERLINK("https://github.com/TeamNewPipe/NewPipe","show")</f>
        <v>show</v>
      </c>
      <c r="F7762" t="str">
        <f>HYPERLINK("https://github.com/TeamNewPipe/NewPipe/releases","show")</f>
        <v>show</v>
      </c>
    </row>
    <row r="7763" spans="1:6">
      <c r="A7763" t="s">
        <v>23041</v>
      </c>
      <c r="B7763" t="s">
        <v>23042</v>
      </c>
      <c r="C7763" t="s">
        <v>23043</v>
      </c>
      <c r="D7763" t="str">
        <f>HYPERLINK("https://github.com/TeamNewPipe/NewPipe/issues/3766","show")</f>
        <v>show</v>
      </c>
      <c r="E7763" t="str">
        <f>HYPERLINK("https://github.com/TeamNewPipe/NewPipe","show")</f>
        <v>show</v>
      </c>
      <c r="F7763" t="str">
        <f>HYPERLINK("https://github.com/TeamNewPipe/NewPipe/releases","show")</f>
        <v>show</v>
      </c>
    </row>
    <row r="7764" spans="1:6">
      <c r="A7764" t="s">
        <v>23044</v>
      </c>
      <c r="B7764" t="s">
        <v>23045</v>
      </c>
      <c r="C7764" t="s">
        <v>23046</v>
      </c>
      <c r="D7764" t="str">
        <f>HYPERLINK("https://github.com/Roaim/DTBazar/issues/33","show")</f>
        <v>show</v>
      </c>
      <c r="E7764" t="str">
        <f>HYPERLINK("https://github.com/Roaim/DTBazar","show")</f>
        <v>show</v>
      </c>
      <c r="F7764" t="str">
        <f>HYPERLINK("https://github.com/Roaim/DTBazar/releases","show")</f>
        <v>show</v>
      </c>
    </row>
    <row r="7765" spans="1:6">
      <c r="A7765" t="s">
        <v>23047</v>
      </c>
      <c r="B7765" t="s">
        <v>23048</v>
      </c>
      <c r="C7765" t="s">
        <v>23049</v>
      </c>
      <c r="D7765" t="str">
        <f>HYPERLINK("https://github.com/inaturalist/iNaturalistAndroid/issues/845","show")</f>
        <v>show</v>
      </c>
      <c r="E7765" t="str">
        <f>HYPERLINK("https://github.com/inaturalist/iNaturalistAndroid","show")</f>
        <v>show</v>
      </c>
      <c r="F7765" t="str">
        <f>HYPERLINK("https://github.com/inaturalist/iNaturalistAndroid/releases","show")</f>
        <v>show</v>
      </c>
    </row>
    <row r="7766" spans="1:6">
      <c r="A7766" t="s">
        <v>23050</v>
      </c>
      <c r="B7766" t="s">
        <v>23051</v>
      </c>
      <c r="C7766" t="s">
        <v>23052</v>
      </c>
      <c r="D7766" t="str">
        <f>HYPERLINK("https://github.com/inaturalist/iNaturalistAndroid/issues/844","show")</f>
        <v>show</v>
      </c>
      <c r="E7766" t="str">
        <f>HYPERLINK("https://github.com/inaturalist/iNaturalistAndroid","show")</f>
        <v>show</v>
      </c>
      <c r="F7766" t="str">
        <f>HYPERLINK("https://github.com/inaturalist/iNaturalistAndroid/releases","show")</f>
        <v>show</v>
      </c>
    </row>
    <row r="7767" spans="1:6">
      <c r="A7767" t="s">
        <v>23053</v>
      </c>
      <c r="B7767" t="s">
        <v>23054</v>
      </c>
      <c r="C7767" t="s">
        <v>23055</v>
      </c>
      <c r="D7767" t="str">
        <f>HYPERLINK("https://github.com/GoogleChrome/android-browser-helper/issues/109","show")</f>
        <v>show</v>
      </c>
      <c r="E7767" t="str">
        <f>HYPERLINK("https://github.com/GoogleChrome/android-browser-helper","show")</f>
        <v>show</v>
      </c>
      <c r="F7767" t="str">
        <f>HYPERLINK("https://github.com/GoogleChrome/android-browser-helper/releases","show")</f>
        <v>show</v>
      </c>
    </row>
    <row r="7768" spans="1:6">
      <c r="A7768" t="s">
        <v>23056</v>
      </c>
      <c r="B7768" t="s">
        <v>23057</v>
      </c>
      <c r="C7768" t="s">
        <v>23058</v>
      </c>
      <c r="D7768" t="str">
        <f>HYPERLINK("https://github.com/deepjavalibrary/djl/issues/84","show")</f>
        <v>show</v>
      </c>
      <c r="E7768" t="str">
        <f>HYPERLINK("https://github.com/deepjavalibrary/djl","show")</f>
        <v>show</v>
      </c>
      <c r="F7768" t="str">
        <f>HYPERLINK("https://github.com/deepjavalibrary/djl/releases","show")</f>
        <v>show</v>
      </c>
    </row>
    <row r="7769" spans="1:6">
      <c r="A7769" t="s">
        <v>23059</v>
      </c>
      <c r="B7769" t="s">
        <v>23060</v>
      </c>
      <c r="C7769" t="s">
        <v>23061</v>
      </c>
      <c r="D7769" t="str">
        <f>HYPERLINK("https://github.com/forrestguice/SuntimesWidget/issues/420","show")</f>
        <v>show</v>
      </c>
      <c r="E7769" t="str">
        <f>HYPERLINK("https://github.com/forrestguice/SuntimesWidget","show")</f>
        <v>show</v>
      </c>
      <c r="F7769" t="str">
        <f>HYPERLINK("https://github.com/forrestguice/SuntimesWidget/releases","show")</f>
        <v>show</v>
      </c>
    </row>
    <row r="7770" spans="1:6">
      <c r="A7770" t="s">
        <v>23062</v>
      </c>
      <c r="B7770" t="s">
        <v>23063</v>
      </c>
      <c r="C7770" t="s">
        <v>23064</v>
      </c>
      <c r="D7770" t="str">
        <f>HYPERLINK("https://github.com/Anuken/Mindustry/issues/2154","show")</f>
        <v>show</v>
      </c>
      <c r="E7770" t="str">
        <f>HYPERLINK("https://github.com/Anuken/Mindustry","show")</f>
        <v>show</v>
      </c>
      <c r="F7770" t="str">
        <f>HYPERLINK("https://github.com/Anuken/Mindustry/releases","show")</f>
        <v>show</v>
      </c>
    </row>
    <row r="7771" spans="1:6">
      <c r="A7771" t="s">
        <v>23065</v>
      </c>
      <c r="B7771" t="s">
        <v>23066</v>
      </c>
      <c r="C7771" t="s">
        <v>23067</v>
      </c>
      <c r="D7771" t="str">
        <f>HYPERLINK("https://github.com/TeamNewPipe/NewPipe/issues/3758","show")</f>
        <v>show</v>
      </c>
      <c r="E7771" t="str">
        <f>HYPERLINK("https://github.com/TeamNewPipe/NewPipe","show")</f>
        <v>show</v>
      </c>
      <c r="F7771" t="str">
        <f>HYPERLINK("https://github.com/TeamNewPipe/NewPipe/releases","show")</f>
        <v>show</v>
      </c>
    </row>
    <row r="7772" spans="1:6">
      <c r="A7772" t="s">
        <v>23068</v>
      </c>
      <c r="B7772" t="s">
        <v>23069</v>
      </c>
      <c r="C7772" t="s">
        <v>23070</v>
      </c>
      <c r="D7772" t="str">
        <f>HYPERLINK("https://github.com/sschueller/peertube-android/issues/165","show")</f>
        <v>show</v>
      </c>
      <c r="E7772" t="str">
        <f>HYPERLINK("https://github.com/sschueller/peertube-android","show")</f>
        <v>show</v>
      </c>
      <c r="F7772" t="str">
        <f>HYPERLINK("https://github.com/sschueller/peertube-android/releases","show")</f>
        <v>show</v>
      </c>
    </row>
    <row r="7773" spans="1:6">
      <c r="A7773" t="s">
        <v>23071</v>
      </c>
      <c r="B7773" t="s">
        <v>23072</v>
      </c>
      <c r="C7773" t="s">
        <v>23073</v>
      </c>
      <c r="D7773" t="str">
        <f>HYPERLINK("https://github.com/deltachat/deltachat-android/issues/1399","show")</f>
        <v>show</v>
      </c>
      <c r="E7773" t="str">
        <f>HYPERLINK("https://github.com/deltachat/deltachat-android","show")</f>
        <v>show</v>
      </c>
      <c r="F7773" t="str">
        <f>HYPERLINK("https://github.com/deltachat/deltachat-android/releases","show")</f>
        <v>show</v>
      </c>
    </row>
    <row r="7774" spans="1:6">
      <c r="A7774" t="s">
        <v>23074</v>
      </c>
      <c r="B7774" t="s">
        <v>23075</v>
      </c>
      <c r="C7774" t="s">
        <v>23076</v>
      </c>
      <c r="D7774" t="str">
        <f>HYPERLINK("https://github.com/nextcloud/android/issues/6232","show")</f>
        <v>show</v>
      </c>
      <c r="E7774" t="str">
        <f>HYPERLINK("https://github.com/nextcloud/android","show")</f>
        <v>show</v>
      </c>
      <c r="F7774" t="str">
        <f>HYPERLINK("https://github.com/nextcloud/android/releases","show")</f>
        <v>show</v>
      </c>
    </row>
    <row r="7775" spans="1:6">
      <c r="A7775" t="s">
        <v>23077</v>
      </c>
      <c r="B7775" t="s">
        <v>23078</v>
      </c>
      <c r="C7775" t="s">
        <v>23079</v>
      </c>
      <c r="D7775" t="str">
        <f>HYPERLINK("https://github.com/TeamNewPipe/NewPipe/issues/3751","show")</f>
        <v>show</v>
      </c>
      <c r="E7775" t="str">
        <f>HYPERLINK("https://github.com/TeamNewPipe/NewPipe","show")</f>
        <v>show</v>
      </c>
      <c r="F7775" t="str">
        <f>HYPERLINK("https://github.com/TeamNewPipe/NewPipe/releases","show")</f>
        <v>show</v>
      </c>
    </row>
    <row r="7776" spans="1:6">
      <c r="A7776" t="s">
        <v>23080</v>
      </c>
      <c r="B7776" t="s">
        <v>23081</v>
      </c>
      <c r="C7776" t="s">
        <v>23082</v>
      </c>
      <c r="D7776" t="str">
        <f>HYPERLINK("https://github.com/TeamNewPipe/NewPipe/issues/3749","show")</f>
        <v>show</v>
      </c>
      <c r="E7776" t="str">
        <f>HYPERLINK("https://github.com/TeamNewPipe/NewPipe","show")</f>
        <v>show</v>
      </c>
      <c r="F7776" t="str">
        <f>HYPERLINK("https://github.com/TeamNewPipe/NewPipe/releases","show")</f>
        <v>show</v>
      </c>
    </row>
    <row r="7777" spans="1:6">
      <c r="A7777" t="s">
        <v>23083</v>
      </c>
      <c r="B7777" t="s">
        <v>23084</v>
      </c>
      <c r="C7777" t="s">
        <v>23085</v>
      </c>
      <c r="D7777" t="str">
        <f>HYPERLINK("https://github.com/aws-amplify/amplify-android/issues/563","show")</f>
        <v>show</v>
      </c>
      <c r="E7777" t="str">
        <f>HYPERLINK("https://github.com/aws-amplify/amplify-android","show")</f>
        <v>show</v>
      </c>
      <c r="F7777" t="str">
        <f>HYPERLINK("https://github.com/aws-amplify/amplify-android/releases","show")</f>
        <v>show</v>
      </c>
    </row>
    <row r="7778" spans="1:6">
      <c r="A7778" t="s">
        <v>23086</v>
      </c>
      <c r="B7778" t="s">
        <v>23087</v>
      </c>
      <c r="C7778" t="s">
        <v>23088</v>
      </c>
      <c r="D7778" t="str">
        <f>HYPERLINK("https://github.com/square/okhttp/issues/6116","show")</f>
        <v>show</v>
      </c>
      <c r="E7778" t="str">
        <f>HYPERLINK("https://github.com/square/okhttp","show")</f>
        <v>show</v>
      </c>
      <c r="F7778" t="str">
        <f>HYPERLINK("https://github.com/square/okhttp/releases","show")</f>
        <v>show</v>
      </c>
    </row>
    <row r="7779" spans="1:6">
      <c r="A7779" t="s">
        <v>23089</v>
      </c>
      <c r="B7779" t="s">
        <v>23090</v>
      </c>
      <c r="C7779" t="s">
        <v>23091</v>
      </c>
      <c r="D7779" t="str">
        <f>HYPERLINK("https://github.com/TeamNewPipe/NewPipe/issues/3746","show")</f>
        <v>show</v>
      </c>
      <c r="E7779" t="str">
        <f>HYPERLINK("https://github.com/TeamNewPipe/NewPipe","show")</f>
        <v>show</v>
      </c>
      <c r="F7779" t="str">
        <f>HYPERLINK("https://github.com/TeamNewPipe/NewPipe/releases","show")</f>
        <v>show</v>
      </c>
    </row>
    <row r="7780" spans="1:6">
      <c r="A7780" t="s">
        <v>23092</v>
      </c>
      <c r="B7780" t="s">
        <v>23093</v>
      </c>
      <c r="C7780" t="s">
        <v>23094</v>
      </c>
      <c r="D7780" t="str">
        <f>HYPERLINK("https://github.com/iNPUTmice/Conversations/issues/3766","show")</f>
        <v>show</v>
      </c>
      <c r="E7780" t="str">
        <f>HYPERLINK("https://github.com/iNPUTmice/Conversations","show")</f>
        <v>show</v>
      </c>
      <c r="F7780" t="str">
        <f>HYPERLINK("https://github.com/iNPUTmice/Conversations/releases","show")</f>
        <v>show</v>
      </c>
    </row>
    <row r="7781" spans="1:6">
      <c r="A7781" t="s">
        <v>23095</v>
      </c>
      <c r="B7781" t="s">
        <v>23096</v>
      </c>
      <c r="C7781" t="s">
        <v>23097</v>
      </c>
      <c r="D7781" t="str">
        <f>HYPERLINK("https://github.com/tradle/react-native-udp/issues/119","show")</f>
        <v>show</v>
      </c>
      <c r="E7781" t="str">
        <f>HYPERLINK("https://github.com/tradle/react-native-udp","show")</f>
        <v>show</v>
      </c>
      <c r="F7781" t="str">
        <f>HYPERLINK("https://github.com/tradle/react-native-udp/releases","show")</f>
        <v>show</v>
      </c>
    </row>
    <row r="7782" spans="1:6">
      <c r="A7782" t="s">
        <v>23098</v>
      </c>
      <c r="B7782" t="s">
        <v>23099</v>
      </c>
      <c r="C7782" t="s">
        <v>21689</v>
      </c>
      <c r="D7782" t="str">
        <f>HYPERLINK("https://github.com/TeamNewPipe/NewPipe/issues/3743","show")</f>
        <v>show</v>
      </c>
      <c r="E7782" t="str">
        <f>HYPERLINK("https://github.com/TeamNewPipe/NewPipe","show")</f>
        <v>show</v>
      </c>
      <c r="F7782" t="str">
        <f>HYPERLINK("https://github.com/TeamNewPipe/NewPipe/releases","show")</f>
        <v>show</v>
      </c>
    </row>
    <row r="7783" spans="1:6">
      <c r="A7783" t="s">
        <v>23100</v>
      </c>
      <c r="B7783" t="s">
        <v>23101</v>
      </c>
      <c r="C7783" t="s">
        <v>23102</v>
      </c>
      <c r="D7783" t="str">
        <f>HYPERLINK("https://github.com/koral--/android-gif-drawable/issues/739","show")</f>
        <v>show</v>
      </c>
      <c r="E7783" t="str">
        <f>HYPERLINK("https://github.com/koral--/android-gif-drawable","show")</f>
        <v>show</v>
      </c>
      <c r="F7783" t="str">
        <f>HYPERLINK("https://github.com/koral--/android-gif-drawable/releases","show")</f>
        <v>show</v>
      </c>
    </row>
    <row r="7784" spans="1:6">
      <c r="A7784" t="s">
        <v>23103</v>
      </c>
      <c r="B7784" t="s">
        <v>23104</v>
      </c>
      <c r="C7784" t="s">
        <v>23105</v>
      </c>
      <c r="D7784" t="str">
        <f>HYPERLINK("https://github.com/jssosa10/miso4208/issues/20","show")</f>
        <v>show</v>
      </c>
      <c r="E7784" t="str">
        <f>HYPERLINK("https://github.com/jssosa10/miso4208","show")</f>
        <v>show</v>
      </c>
      <c r="F7784" t="str">
        <f>HYPERLINK("https://github.com/jssosa10/miso4208/releases","show")</f>
        <v>show</v>
      </c>
    </row>
    <row r="7785" spans="1:6">
      <c r="A7785" t="s">
        <v>23106</v>
      </c>
      <c r="B7785" t="s">
        <v>23107</v>
      </c>
      <c r="C7785" t="s">
        <v>23108</v>
      </c>
      <c r="D7785" t="str">
        <f>HYPERLINK("https://github.com/aprsworld/awat/issues/18","show")</f>
        <v>show</v>
      </c>
      <c r="E7785" t="str">
        <f>HYPERLINK("https://github.com/aprsworld/awat","show")</f>
        <v>show</v>
      </c>
      <c r="F7785" t="str">
        <f>HYPERLINK("https://github.com/aprsworld/awat/releases","show")</f>
        <v>show</v>
      </c>
    </row>
    <row r="7786" spans="1:6">
      <c r="A7786" t="s">
        <v>23109</v>
      </c>
      <c r="B7786" t="s">
        <v>23110</v>
      </c>
      <c r="C7786" t="s">
        <v>23111</v>
      </c>
      <c r="D7786" t="str">
        <f>HYPERLINK("https://github.com/material-components/material-components-android/issues/1377","show")</f>
        <v>show</v>
      </c>
      <c r="E7786" t="str">
        <f>HYPERLINK("https://github.com/material-components/material-components-android","show")</f>
        <v>show</v>
      </c>
      <c r="F7786" t="str">
        <f>HYPERLINK("https://github.com/material-components/material-components-android/releases","show")</f>
        <v>show</v>
      </c>
    </row>
    <row r="7787" spans="1:6">
      <c r="A7787" t="s">
        <v>23112</v>
      </c>
      <c r="B7787" t="s">
        <v>23113</v>
      </c>
      <c r="C7787" t="s">
        <v>23114</v>
      </c>
      <c r="D7787" t="str">
        <f>HYPERLINK("https://github.com/Simperium/simperium-android/issues/225","show")</f>
        <v>show</v>
      </c>
      <c r="E7787" t="str">
        <f>HYPERLINK("https://github.com/Simperium/simperium-android","show")</f>
        <v>show</v>
      </c>
      <c r="F7787" t="str">
        <f>HYPERLINK("https://github.com/Simperium/simperium-android/releases","show")</f>
        <v>show</v>
      </c>
    </row>
    <row r="7788" spans="1:6">
      <c r="A7788" t="s">
        <v>23115</v>
      </c>
      <c r="B7788" t="s">
        <v>23116</v>
      </c>
      <c r="C7788" t="s">
        <v>23117</v>
      </c>
      <c r="D7788" t="str">
        <f>HYPERLINK("https://github.com/openforge/capacitor-game-services/issues/10","show")</f>
        <v>show</v>
      </c>
      <c r="E7788" t="str">
        <f>HYPERLINK("https://github.com/openforge/capacitor-game-services","show")</f>
        <v>show</v>
      </c>
      <c r="F7788" t="str">
        <f>HYPERLINK("https://github.com/openforge/capacitor-game-services/releases","show")</f>
        <v>show</v>
      </c>
    </row>
    <row r="7789" spans="1:6">
      <c r="A7789" t="s">
        <v>23118</v>
      </c>
      <c r="B7789" t="s">
        <v>23119</v>
      </c>
      <c r="C7789" t="s">
        <v>23120</v>
      </c>
      <c r="D7789" t="str">
        <f>HYPERLINK("https://github.com/Anuken/Mindustry/issues/2137","show")</f>
        <v>show</v>
      </c>
      <c r="E7789" t="str">
        <f>HYPERLINK("https://github.com/Anuken/Mindustry","show")</f>
        <v>show</v>
      </c>
      <c r="F7789" t="str">
        <f>HYPERLINK("https://github.com/Anuken/Mindustry/releases","show")</f>
        <v>show</v>
      </c>
    </row>
    <row r="7790" spans="1:6">
      <c r="A7790" t="s">
        <v>23121</v>
      </c>
      <c r="B7790" t="s">
        <v>23122</v>
      </c>
      <c r="C7790" t="s">
        <v>23123</v>
      </c>
      <c r="D7790" t="str">
        <f>HYPERLINK("https://github.com/nextcloud/android/issues/6206","show")</f>
        <v>show</v>
      </c>
      <c r="E7790" t="str">
        <f>HYPERLINK("https://github.com/nextcloud/android","show")</f>
        <v>show</v>
      </c>
      <c r="F7790" t="str">
        <f>HYPERLINK("https://github.com/nextcloud/android/releases","show")</f>
        <v>show</v>
      </c>
    </row>
    <row r="7791" spans="1:6">
      <c r="A7791" t="s">
        <v>23124</v>
      </c>
      <c r="B7791" t="s">
        <v>23125</v>
      </c>
      <c r="C7791" t="s">
        <v>23126</v>
      </c>
      <c r="D7791" t="str">
        <f>HYPERLINK("https://github.com/TeamNewPipe/NewPipe/issues/3721","show")</f>
        <v>show</v>
      </c>
      <c r="E7791" t="str">
        <f>HYPERLINK("https://github.com/TeamNewPipe/NewPipe","show")</f>
        <v>show</v>
      </c>
      <c r="F7791" t="str">
        <f>HYPERLINK("https://github.com/TeamNewPipe/NewPipe/releases","show")</f>
        <v>show</v>
      </c>
    </row>
    <row r="7792" spans="1:6">
      <c r="A7792" t="s">
        <v>23127</v>
      </c>
      <c r="B7792" t="s">
        <v>23128</v>
      </c>
      <c r="C7792" t="s">
        <v>23129</v>
      </c>
      <c r="D7792" t="str">
        <f>HYPERLINK("https://github.com/nextcloud/android/issues/6200","show")</f>
        <v>show</v>
      </c>
      <c r="E7792" t="str">
        <f>HYPERLINK("https://github.com/nextcloud/android","show")</f>
        <v>show</v>
      </c>
      <c r="F7792" t="str">
        <f>HYPERLINK("https://github.com/nextcloud/android/releases","show")</f>
        <v>show</v>
      </c>
    </row>
    <row r="7793" spans="1:6">
      <c r="A7793" t="s">
        <v>23130</v>
      </c>
      <c r="B7793" t="s">
        <v>23131</v>
      </c>
      <c r="C7793" t="s">
        <v>23132</v>
      </c>
      <c r="D7793" t="str">
        <f>HYPERLINK("https://github.com/jroal/a2dpvolume/issues/290","show")</f>
        <v>show</v>
      </c>
      <c r="E7793" t="str">
        <f>HYPERLINK("https://github.com/jroal/a2dpvolume","show")</f>
        <v>show</v>
      </c>
      <c r="F7793" t="str">
        <f>HYPERLINK("https://github.com/jroal/a2dpvolume/releases","show")</f>
        <v>show</v>
      </c>
    </row>
    <row r="7794" spans="1:6">
      <c r="A7794" t="s">
        <v>23133</v>
      </c>
      <c r="B7794" t="s">
        <v>23134</v>
      </c>
      <c r="C7794" t="s">
        <v>23135</v>
      </c>
      <c r="D7794" t="str">
        <f>HYPERLINK("https://github.com/nikita36078/J2ME-Loader/issues/700","show")</f>
        <v>show</v>
      </c>
      <c r="E7794" t="str">
        <f>HYPERLINK("https://github.com/nikita36078/J2ME-Loader","show")</f>
        <v>show</v>
      </c>
      <c r="F7794" t="str">
        <f>HYPERLINK("https://github.com/nikita36078/J2ME-Loader/releases","show")</f>
        <v>show</v>
      </c>
    </row>
    <row r="7795" spans="1:6">
      <c r="A7795" t="s">
        <v>23136</v>
      </c>
      <c r="B7795" t="s">
        <v>23137</v>
      </c>
      <c r="C7795" t="s">
        <v>23138</v>
      </c>
      <c r="D7795" t="str">
        <f>HYPERLINK("https://github.com/stefan-niedermann/nextcloud-notes/issues/846","show")</f>
        <v>show</v>
      </c>
      <c r="E7795" t="str">
        <f>HYPERLINK("https://github.com/stefan-niedermann/nextcloud-notes","show")</f>
        <v>show</v>
      </c>
      <c r="F7795" t="str">
        <f>HYPERLINK("https://github.com/stefan-niedermann/nextcloud-notes/releases","show")</f>
        <v>show</v>
      </c>
    </row>
    <row r="7796" spans="1:6">
      <c r="A7796" t="s">
        <v>23139</v>
      </c>
      <c r="B7796" t="s">
        <v>23140</v>
      </c>
      <c r="C7796" t="s">
        <v>23141</v>
      </c>
      <c r="D7796" t="str">
        <f>HYPERLINK("https://github.com/OneBusAway/onebusaway-android/issues/1042","show")</f>
        <v>show</v>
      </c>
      <c r="E7796" t="str">
        <f>HYPERLINK("https://github.com/OneBusAway/onebusaway-android","show")</f>
        <v>show</v>
      </c>
      <c r="F7796" t="str">
        <f>HYPERLINK("https://github.com/OneBusAway/onebusaway-android/releases","show")</f>
        <v>show</v>
      </c>
    </row>
    <row r="7797" spans="1:6">
      <c r="A7797" t="s">
        <v>23142</v>
      </c>
      <c r="B7797" t="s">
        <v>23143</v>
      </c>
      <c r="C7797" t="s">
        <v>23144</v>
      </c>
      <c r="D7797" t="str">
        <f>HYPERLINK("https://github.com/commons-app/apps-android-commons/issues/3791","show")</f>
        <v>show</v>
      </c>
      <c r="E7797" t="str">
        <f>HYPERLINK("https://github.com/commons-app/apps-android-commons","show")</f>
        <v>show</v>
      </c>
      <c r="F7797" t="str">
        <f>HYPERLINK("https://github.com/commons-app/apps-android-commons/releases","show")</f>
        <v>show</v>
      </c>
    </row>
    <row r="7798" spans="1:6">
      <c r="A7798" t="s">
        <v>23145</v>
      </c>
      <c r="B7798" t="s">
        <v>23146</v>
      </c>
      <c r="C7798" t="s">
        <v>23147</v>
      </c>
      <c r="D7798" t="str">
        <f>HYPERLINK("https://github.com/OpenArchive/Save-app-android/issues/223","show")</f>
        <v>show</v>
      </c>
      <c r="E7798" t="str">
        <f>HYPERLINK("https://github.com/OpenArchive/Save-app-android","show")</f>
        <v>show</v>
      </c>
      <c r="F7798" t="str">
        <f>HYPERLINK("https://github.com/OpenArchive/Save-app-android/releases","show")</f>
        <v>show</v>
      </c>
    </row>
    <row r="7799" spans="1:6">
      <c r="A7799" t="s">
        <v>23148</v>
      </c>
      <c r="B7799" t="s">
        <v>23149</v>
      </c>
      <c r="C7799" t="s">
        <v>23150</v>
      </c>
      <c r="D7799" t="str">
        <f>HYPERLINK("https://github.com/commons-app/apps-android-commons/issues/3790","show")</f>
        <v>show</v>
      </c>
      <c r="E7799" t="str">
        <f>HYPERLINK("https://github.com/commons-app/apps-android-commons","show")</f>
        <v>show</v>
      </c>
      <c r="F7799" t="str">
        <f>HYPERLINK("https://github.com/commons-app/apps-android-commons/releases","show")</f>
        <v>show</v>
      </c>
    </row>
    <row r="7800" spans="1:6">
      <c r="A7800" t="s">
        <v>23151</v>
      </c>
      <c r="B7800" t="s">
        <v>23152</v>
      </c>
      <c r="C7800" t="s">
        <v>23153</v>
      </c>
      <c r="D7800" t="str">
        <f>HYPERLINK("https://github.com/TeamNewPipe/NewPipe/issues/3702","show")</f>
        <v>show</v>
      </c>
      <c r="E7800" t="str">
        <f>HYPERLINK("https://github.com/TeamNewPipe/NewPipe","show")</f>
        <v>show</v>
      </c>
      <c r="F7800" t="str">
        <f>HYPERLINK("https://github.com/TeamNewPipe/NewPipe/releases","show")</f>
        <v>show</v>
      </c>
    </row>
    <row r="7801" spans="1:6">
      <c r="A7801" t="s">
        <v>23154</v>
      </c>
      <c r="B7801" t="s">
        <v>23155</v>
      </c>
      <c r="C7801" t="s">
        <v>23156</v>
      </c>
      <c r="D7801" t="str">
        <f>HYPERLINK("https://github.com/TeamNewPipe/NewPipe/issues/3696","show")</f>
        <v>show</v>
      </c>
      <c r="E7801" t="str">
        <f>HYPERLINK("https://github.com/TeamNewPipe/NewPipe","show")</f>
        <v>show</v>
      </c>
      <c r="F7801" t="str">
        <f>HYPERLINK("https://github.com/TeamNewPipe/NewPipe/releases","show")</f>
        <v>show</v>
      </c>
    </row>
    <row r="7802" spans="1:6">
      <c r="A7802" t="s">
        <v>23157</v>
      </c>
      <c r="B7802" t="s">
        <v>23158</v>
      </c>
      <c r="C7802" t="s">
        <v>23159</v>
      </c>
      <c r="D7802" t="str">
        <f>HYPERLINK("https://github.com/nextcloud/android/issues/6182","show")</f>
        <v>show</v>
      </c>
      <c r="E7802" t="str">
        <f>HYPERLINK("https://github.com/nextcloud/android","show")</f>
        <v>show</v>
      </c>
      <c r="F7802" t="str">
        <f>HYPERLINK("https://github.com/nextcloud/android/releases","show")</f>
        <v>show</v>
      </c>
    </row>
    <row r="7803" spans="1:6">
      <c r="A7803" t="s">
        <v>23160</v>
      </c>
      <c r="B7803" t="s">
        <v>23161</v>
      </c>
      <c r="C7803" t="s">
        <v>23162</v>
      </c>
      <c r="D7803" t="str">
        <f>HYPERLINK("https://github.com/TeamNewPipe/NewPipe/issues/3682","show")</f>
        <v>show</v>
      </c>
      <c r="E7803" t="str">
        <f>HYPERLINK("https://github.com/TeamNewPipe/NewPipe","show")</f>
        <v>show</v>
      </c>
      <c r="F7803" t="str">
        <f>HYPERLINK("https://github.com/TeamNewPipe/NewPipe/releases","show")</f>
        <v>show</v>
      </c>
    </row>
    <row r="7804" spans="1:6">
      <c r="A7804" t="s">
        <v>23163</v>
      </c>
      <c r="B7804" t="s">
        <v>23164</v>
      </c>
      <c r="C7804" t="s">
        <v>23165</v>
      </c>
      <c r="D7804" t="str">
        <f>HYPERLINK("https://github.com/inaturalist/iNaturalistAndroid/issues/837","show")</f>
        <v>show</v>
      </c>
      <c r="E7804" t="str">
        <f>HYPERLINK("https://github.com/inaturalist/iNaturalistAndroid","show")</f>
        <v>show</v>
      </c>
      <c r="F7804" t="str">
        <f>HYPERLINK("https://github.com/inaturalist/iNaturalistAndroid/releases","show")</f>
        <v>show</v>
      </c>
    </row>
    <row r="7805" spans="1:6">
      <c r="A7805" t="s">
        <v>23166</v>
      </c>
      <c r="B7805" t="s">
        <v>23167</v>
      </c>
      <c r="C7805" t="s">
        <v>23168</v>
      </c>
      <c r="D7805" t="str">
        <f>HYPERLINK("https://github.com/TeamNewPipe/NewPipe/issues/3673","show")</f>
        <v>show</v>
      </c>
      <c r="E7805" t="str">
        <f>HYPERLINK("https://github.com/TeamNewPipe/NewPipe","show")</f>
        <v>show</v>
      </c>
      <c r="F7805" t="str">
        <f>HYPERLINK("https://github.com/TeamNewPipe/NewPipe/releases","show")</f>
        <v>show</v>
      </c>
    </row>
    <row r="7806" spans="1:6">
      <c r="A7806" t="s">
        <v>23169</v>
      </c>
      <c r="B7806" t="s">
        <v>23170</v>
      </c>
      <c r="C7806" t="s">
        <v>23171</v>
      </c>
      <c r="D7806" t="str">
        <f>HYPERLINK("https://github.com/k9mail/k-9/issues/4798","show")</f>
        <v>show</v>
      </c>
      <c r="E7806" t="str">
        <f>HYPERLINK("https://github.com/k9mail/k-9","show")</f>
        <v>show</v>
      </c>
      <c r="F7806" t="str">
        <f>HYPERLINK("https://github.com/k9mail/k-9/releases","show")</f>
        <v>show</v>
      </c>
    </row>
    <row r="7807" spans="1:6">
      <c r="A7807" t="s">
        <v>23172</v>
      </c>
      <c r="B7807" t="s">
        <v>23173</v>
      </c>
      <c r="C7807" t="s">
        <v>23174</v>
      </c>
      <c r="D7807" t="str">
        <f>HYPERLINK("https://github.com/andOTP/andOTP/issues/569","show")</f>
        <v>show</v>
      </c>
      <c r="E7807" t="str">
        <f>HYPERLINK("https://github.com/andOTP/andOTP","show")</f>
        <v>show</v>
      </c>
      <c r="F7807" t="str">
        <f>HYPERLINK("https://github.com/andOTP/andOTP/releases","show")</f>
        <v>show</v>
      </c>
    </row>
    <row r="7808" spans="1:6">
      <c r="A7808" t="s">
        <v>23175</v>
      </c>
      <c r="B7808" t="s">
        <v>23176</v>
      </c>
      <c r="C7808" t="s">
        <v>23177</v>
      </c>
      <c r="D7808" t="str">
        <f>HYPERLINK("https://github.com/k9mail/k-9/issues/4797","show")</f>
        <v>show</v>
      </c>
      <c r="E7808" t="str">
        <f>HYPERLINK("https://github.com/k9mail/k-9","show")</f>
        <v>show</v>
      </c>
      <c r="F7808" t="str">
        <f>HYPERLINK("https://github.com/k9mail/k-9/releases","show")</f>
        <v>show</v>
      </c>
    </row>
    <row r="7809" spans="1:6">
      <c r="A7809" t="s">
        <v>23178</v>
      </c>
      <c r="B7809" t="s">
        <v>23179</v>
      </c>
      <c r="C7809" t="s">
        <v>23180</v>
      </c>
      <c r="D7809" t="str">
        <f>HYPERLINK("https://github.com/tradle/react-native-udp/issues/117","show")</f>
        <v>show</v>
      </c>
      <c r="E7809" t="str">
        <f>HYPERLINK("https://github.com/tradle/react-native-udp","show")</f>
        <v>show</v>
      </c>
      <c r="F7809" t="str">
        <f>HYPERLINK("https://github.com/tradle/react-native-udp/releases","show")</f>
        <v>show</v>
      </c>
    </row>
    <row r="7810" spans="1:6">
      <c r="A7810" t="s">
        <v>23181</v>
      </c>
      <c r="B7810" t="s">
        <v>23182</v>
      </c>
      <c r="C7810" t="s">
        <v>23183</v>
      </c>
      <c r="D7810" t="str">
        <f>HYPERLINK("https://github.com/akvo/akvo-flow-mobile/issues/1632","show")</f>
        <v>show</v>
      </c>
      <c r="E7810" t="str">
        <f>HYPERLINK("https://github.com/akvo/akvo-flow-mobile","show")</f>
        <v>show</v>
      </c>
      <c r="F7810" t="str">
        <f>HYPERLINK("https://github.com/akvo/akvo-flow-mobile/releases","show")</f>
        <v>show</v>
      </c>
    </row>
    <row r="7811" spans="1:6">
      <c r="A7811" t="s">
        <v>23184</v>
      </c>
      <c r="B7811" t="s">
        <v>23185</v>
      </c>
      <c r="C7811" t="s">
        <v>23186</v>
      </c>
      <c r="D7811" t="str">
        <f>HYPERLINK("https://github.com/TeamNewPipe/NewPipe/issues/3667","show")</f>
        <v>show</v>
      </c>
      <c r="E7811" t="str">
        <f>HYPERLINK("https://github.com/TeamNewPipe/NewPipe","show")</f>
        <v>show</v>
      </c>
      <c r="F7811" t="str">
        <f>HYPERLINK("https://github.com/TeamNewPipe/NewPipe/releases","show")</f>
        <v>show</v>
      </c>
    </row>
    <row r="7812" spans="1:6">
      <c r="A7812" t="s">
        <v>23187</v>
      </c>
      <c r="B7812" t="s">
        <v>23188</v>
      </c>
      <c r="C7812" t="s">
        <v>23189</v>
      </c>
      <c r="D7812" t="str">
        <f>HYPERLINK("https://github.com/TeamNewPipe/NewPipe/issues/3666","show")</f>
        <v>show</v>
      </c>
      <c r="E7812" t="str">
        <f>HYPERLINK("https://github.com/TeamNewPipe/NewPipe","show")</f>
        <v>show</v>
      </c>
      <c r="F7812" t="str">
        <f>HYPERLINK("https://github.com/TeamNewPipe/NewPipe/releases","show")</f>
        <v>show</v>
      </c>
    </row>
    <row r="7813" spans="1:6">
      <c r="A7813" t="s">
        <v>23190</v>
      </c>
      <c r="B7813" t="s">
        <v>23191</v>
      </c>
      <c r="C7813" t="s">
        <v>23192</v>
      </c>
      <c r="D7813" t="str">
        <f>HYPERLINK("https://github.com/TeamNewPipe/NewPipe/issues/3660","show")</f>
        <v>show</v>
      </c>
      <c r="E7813" t="str">
        <f>HYPERLINK("https://github.com/TeamNewPipe/NewPipe","show")</f>
        <v>show</v>
      </c>
      <c r="F7813" t="str">
        <f>HYPERLINK("https://github.com/TeamNewPipe/NewPipe/releases","show")</f>
        <v>show</v>
      </c>
    </row>
    <row r="7814" spans="1:6">
      <c r="A7814" t="s">
        <v>23193</v>
      </c>
      <c r="B7814" t="s">
        <v>23194</v>
      </c>
      <c r="C7814" t="s">
        <v>23195</v>
      </c>
      <c r="D7814" t="str">
        <f>HYPERLINK("https://github.com/doublesymmetry/react-native-track-player/issues/956","show")</f>
        <v>show</v>
      </c>
      <c r="E7814" t="str">
        <f>HYPERLINK("https://github.com/doublesymmetry/react-native-track-player","show")</f>
        <v>show</v>
      </c>
      <c r="F7814" t="str">
        <f>HYPERLINK("https://github.com/doublesymmetry/react-native-track-player/releases","show")</f>
        <v>show</v>
      </c>
    </row>
    <row r="7815" spans="1:6">
      <c r="A7815" t="s">
        <v>23196</v>
      </c>
      <c r="B7815" t="s">
        <v>19958</v>
      </c>
      <c r="C7815" t="s">
        <v>23197</v>
      </c>
      <c r="D7815" t="str">
        <f>HYPERLINK("https://github.com/TeamNewPipe/NewPipe/issues/3659","show")</f>
        <v>show</v>
      </c>
      <c r="E7815" t="str">
        <f>HYPERLINK("https://github.com/TeamNewPipe/NewPipe","show")</f>
        <v>show</v>
      </c>
      <c r="F7815" t="str">
        <f>HYPERLINK("https://github.com/TeamNewPipe/NewPipe/releases","show")</f>
        <v>show</v>
      </c>
    </row>
    <row r="7816" spans="1:6">
      <c r="A7816" t="s">
        <v>23198</v>
      </c>
      <c r="B7816" t="s">
        <v>23199</v>
      </c>
      <c r="C7816" t="s">
        <v>23200</v>
      </c>
      <c r="D7816" t="str">
        <f>HYPERLINK("https://github.com/material-components/material-components-android/issues/1339","show")</f>
        <v>show</v>
      </c>
      <c r="E7816" t="str">
        <f>HYPERLINK("https://github.com/material-components/material-components-android","show")</f>
        <v>show</v>
      </c>
      <c r="F7816" t="str">
        <f>HYPERLINK("https://github.com/material-components/material-components-android/releases","show")</f>
        <v>show</v>
      </c>
    </row>
    <row r="7817" spans="1:6">
      <c r="A7817" t="s">
        <v>23201</v>
      </c>
      <c r="B7817" t="s">
        <v>23202</v>
      </c>
      <c r="C7817" t="s">
        <v>23203</v>
      </c>
      <c r="D7817" t="str">
        <f>HYPERLINK("https://github.com/nextcloud/android/issues/6171","show")</f>
        <v>show</v>
      </c>
      <c r="E7817" t="str">
        <f>HYPERLINK("https://github.com/nextcloud/android","show")</f>
        <v>show</v>
      </c>
      <c r="F7817" t="str">
        <f>HYPERLINK("https://github.com/nextcloud/android/releases","show")</f>
        <v>show</v>
      </c>
    </row>
    <row r="7818" spans="1:6">
      <c r="A7818" t="s">
        <v>23204</v>
      </c>
      <c r="B7818" t="s">
        <v>23205</v>
      </c>
      <c r="C7818" t="s">
        <v>23206</v>
      </c>
      <c r="D7818" t="str">
        <f>HYPERLINK("https://github.com/material-components/material-components-android/issues/1338","show")</f>
        <v>show</v>
      </c>
      <c r="E7818" t="str">
        <f>HYPERLINK("https://github.com/material-components/material-components-android","show")</f>
        <v>show</v>
      </c>
      <c r="F7818" t="str">
        <f>HYPERLINK("https://github.com/material-components/material-components-android/releases","show")</f>
        <v>show</v>
      </c>
    </row>
    <row r="7819" spans="1:6">
      <c r="A7819" t="s">
        <v>23207</v>
      </c>
      <c r="B7819" t="s">
        <v>23208</v>
      </c>
      <c r="C7819" t="s">
        <v>23209</v>
      </c>
      <c r="D7819" t="str">
        <f>HYPERLINK("https://github.com/aws-amplify/amplify-android/issues/541","show")</f>
        <v>show</v>
      </c>
      <c r="E7819" t="str">
        <f>HYPERLINK("https://github.com/aws-amplify/amplify-android","show")</f>
        <v>show</v>
      </c>
      <c r="F7819" t="str">
        <f>HYPERLINK("https://github.com/aws-amplify/amplify-android/releases","show")</f>
        <v>show</v>
      </c>
    </row>
    <row r="7820" spans="1:6">
      <c r="A7820" t="s">
        <v>23210</v>
      </c>
      <c r="B7820" t="s">
        <v>23211</v>
      </c>
      <c r="C7820" t="s">
        <v>23212</v>
      </c>
      <c r="D7820" t="str">
        <f>HYPERLINK("https://github.com/Blankj/AndroidUtilCode/issues/1250","show")</f>
        <v>show</v>
      </c>
      <c r="E7820" t="str">
        <f>HYPERLINK("https://github.com/Blankj/AndroidUtilCode","show")</f>
        <v>show</v>
      </c>
      <c r="F7820" t="str">
        <f>HYPERLINK("https://github.com/Blankj/AndroidUtilCode/releases","show")</f>
        <v>show</v>
      </c>
    </row>
    <row r="7821" spans="1:6">
      <c r="A7821" t="s">
        <v>23213</v>
      </c>
      <c r="B7821" t="s">
        <v>23214</v>
      </c>
      <c r="C7821" t="s">
        <v>23215</v>
      </c>
      <c r="D7821" t="str">
        <f>HYPERLINK("https://github.com/TeamNewPipe/NewPipe/issues/3656","show")</f>
        <v>show</v>
      </c>
      <c r="E7821" t="str">
        <f>HYPERLINK("https://github.com/TeamNewPipe/NewPipe","show")</f>
        <v>show</v>
      </c>
      <c r="F7821" t="str">
        <f>HYPERLINK("https://github.com/TeamNewPipe/NewPipe/releases","show")</f>
        <v>show</v>
      </c>
    </row>
    <row r="7822" spans="1:6">
      <c r="A7822" t="s">
        <v>23216</v>
      </c>
      <c r="B7822" t="s">
        <v>23217</v>
      </c>
      <c r="C7822" t="s">
        <v>23218</v>
      </c>
      <c r="D7822" t="str">
        <f>HYPERLINK("https://github.com/react-native-share/react-native-share/issues/789","show")</f>
        <v>show</v>
      </c>
      <c r="E7822" t="str">
        <f>HYPERLINK("https://github.com/react-native-share/react-native-share","show")</f>
        <v>show</v>
      </c>
      <c r="F7822" t="str">
        <f>HYPERLINK("https://github.com/react-native-share/react-native-share/releases","show")</f>
        <v>show</v>
      </c>
    </row>
    <row r="7823" spans="1:6">
      <c r="A7823" t="s">
        <v>23219</v>
      </c>
      <c r="B7823" t="s">
        <v>23220</v>
      </c>
      <c r="C7823" t="s">
        <v>23221</v>
      </c>
      <c r="D7823" t="str">
        <f>HYPERLINK("https://github.com/k9mail/k-9/issues/4790","show")</f>
        <v>show</v>
      </c>
      <c r="E7823" t="str">
        <f>HYPERLINK("https://github.com/k9mail/k-9","show")</f>
        <v>show</v>
      </c>
      <c r="F7823" t="str">
        <f>HYPERLINK("https://github.com/k9mail/k-9/releases","show")</f>
        <v>show</v>
      </c>
    </row>
    <row r="7824" spans="1:6">
      <c r="A7824" t="s">
        <v>23222</v>
      </c>
      <c r="B7824" t="s">
        <v>23223</v>
      </c>
      <c r="C7824" t="s">
        <v>23224</v>
      </c>
      <c r="D7824" t="str">
        <f>HYPERLINK("https://github.com/stephanenicolas/toothpick/issues/408","show")</f>
        <v>show</v>
      </c>
      <c r="E7824" t="str">
        <f>HYPERLINK("https://github.com/stephanenicolas/toothpick","show")</f>
        <v>show</v>
      </c>
      <c r="F7824" t="str">
        <f>HYPERLINK("https://github.com/stephanenicolas/toothpick/releases","show")</f>
        <v>show</v>
      </c>
    </row>
    <row r="7825" spans="1:6">
      <c r="A7825" t="s">
        <v>23225</v>
      </c>
      <c r="B7825" t="s">
        <v>23226</v>
      </c>
      <c r="C7825" t="s">
        <v>23227</v>
      </c>
      <c r="D7825" t="str">
        <f>HYPERLINK("https://github.com/k9mail/k-9/issues/4789","show")</f>
        <v>show</v>
      </c>
      <c r="E7825" t="str">
        <f>HYPERLINK("https://github.com/k9mail/k-9","show")</f>
        <v>show</v>
      </c>
      <c r="F7825" t="str">
        <f>HYPERLINK("https://github.com/k9mail/k-9/releases","show")</f>
        <v>show</v>
      </c>
    </row>
    <row r="7826" spans="1:6">
      <c r="A7826" t="s">
        <v>23228</v>
      </c>
      <c r="B7826" t="s">
        <v>23229</v>
      </c>
      <c r="C7826" t="s">
        <v>23230</v>
      </c>
      <c r="D7826" t="str">
        <f>HYPERLINK("https://github.com/square/okhttp/issues/6092","show")</f>
        <v>show</v>
      </c>
      <c r="E7826" t="str">
        <f>HYPERLINK("https://github.com/square/okhttp","show")</f>
        <v>show</v>
      </c>
      <c r="F7826" t="str">
        <f>HYPERLINK("https://github.com/square/okhttp/releases","show")</f>
        <v>show</v>
      </c>
    </row>
    <row r="7827" spans="1:6">
      <c r="A7827" t="s">
        <v>23231</v>
      </c>
      <c r="B7827" t="s">
        <v>23232</v>
      </c>
      <c r="C7827" t="s">
        <v>23233</v>
      </c>
      <c r="D7827" t="str">
        <f>HYPERLINK("https://github.com/opensrp/opensrp-client-reveal/issues/755","show")</f>
        <v>show</v>
      </c>
      <c r="E7827" t="str">
        <f>HYPERLINK("https://github.com/opensrp/opensrp-client-reveal","show")</f>
        <v>show</v>
      </c>
      <c r="F7827" t="str">
        <f>HYPERLINK("https://github.com/opensrp/opensrp-client-reveal/releases","show")</f>
        <v>show</v>
      </c>
    </row>
    <row r="7828" spans="1:6">
      <c r="A7828" t="s">
        <v>23234</v>
      </c>
      <c r="B7828" t="s">
        <v>23235</v>
      </c>
      <c r="C7828" t="s">
        <v>23236</v>
      </c>
      <c r="D7828" t="str">
        <f>HYPERLINK("https://github.com/amit-schwartz-u/rooMe/issues/124","show")</f>
        <v>show</v>
      </c>
      <c r="E7828" t="str">
        <f>HYPERLINK("https://github.com/amit-schwartz-u/rooMe","show")</f>
        <v>show</v>
      </c>
      <c r="F7828" t="str">
        <f>HYPERLINK("https://github.com/amit-schwartz-u/rooMe/releases","show")</f>
        <v>show</v>
      </c>
    </row>
    <row r="7829" spans="1:6">
      <c r="A7829" t="s">
        <v>23237</v>
      </c>
      <c r="B7829" t="s">
        <v>23238</v>
      </c>
      <c r="C7829" t="s">
        <v>23239</v>
      </c>
      <c r="D7829" t="str">
        <f>HYPERLINK("https://github.com/amit-schwartz-u/rooMe/issues/123","show")</f>
        <v>show</v>
      </c>
      <c r="E7829" t="str">
        <f>HYPERLINK("https://github.com/amit-schwartz-u/rooMe","show")</f>
        <v>show</v>
      </c>
      <c r="F7829" t="str">
        <f>HYPERLINK("https://github.com/amit-schwartz-u/rooMe/releases","show")</f>
        <v>show</v>
      </c>
    </row>
    <row r="7830" spans="1:6">
      <c r="A7830" t="s">
        <v>23240</v>
      </c>
      <c r="B7830" t="s">
        <v>23241</v>
      </c>
      <c r="C7830" t="s">
        <v>23242</v>
      </c>
      <c r="D7830" t="str">
        <f>HYPERLINK("https://github.com/material-components/material-components-android/issues/1331","show")</f>
        <v>show</v>
      </c>
      <c r="E7830" t="str">
        <f>HYPERLINK("https://github.com/material-components/material-components-android","show")</f>
        <v>show</v>
      </c>
      <c r="F7830" t="str">
        <f>HYPERLINK("https://github.com/material-components/material-components-android/releases","show")</f>
        <v>show</v>
      </c>
    </row>
    <row r="7831" spans="1:6">
      <c r="A7831" t="s">
        <v>23243</v>
      </c>
      <c r="B7831" t="s">
        <v>23244</v>
      </c>
      <c r="C7831" t="s">
        <v>23245</v>
      </c>
      <c r="D7831" t="str">
        <f>HYPERLINK("https://github.com/canyie/pine/issues/1","show")</f>
        <v>show</v>
      </c>
      <c r="E7831" t="str">
        <f>HYPERLINK("https://github.com/canyie/pine","show")</f>
        <v>show</v>
      </c>
      <c r="F7831" t="str">
        <f>HYPERLINK("https://github.com/canyie/pine/releases","show")</f>
        <v>show</v>
      </c>
    </row>
    <row r="7832" spans="1:6">
      <c r="A7832" t="s">
        <v>23246</v>
      </c>
      <c r="B7832" t="s">
        <v>23247</v>
      </c>
      <c r="C7832" t="s">
        <v>23248</v>
      </c>
      <c r="D7832" t="str">
        <f>HYPERLINK("https://github.com/TeamNewPipe/NewPipe/issues/3637","show")</f>
        <v>show</v>
      </c>
      <c r="E7832" t="str">
        <f>HYPERLINK("https://github.com/TeamNewPipe/NewPipe","show")</f>
        <v>show</v>
      </c>
      <c r="F7832" t="str">
        <f>HYPERLINK("https://github.com/TeamNewPipe/NewPipe/releases","show")</f>
        <v>show</v>
      </c>
    </row>
    <row r="7833" spans="1:6">
      <c r="A7833" t="s">
        <v>23249</v>
      </c>
      <c r="B7833" t="s">
        <v>23250</v>
      </c>
      <c r="C7833" t="s">
        <v>23251</v>
      </c>
      <c r="D7833" t="str">
        <f>HYPERLINK("https://github.com/Rajawali/Rajawali/issues/2179","show")</f>
        <v>show</v>
      </c>
      <c r="E7833" t="str">
        <f>HYPERLINK("https://github.com/Rajawali/Rajawali","show")</f>
        <v>show</v>
      </c>
      <c r="F7833" t="str">
        <f>HYPERLINK("https://github.com/Rajawali/Rajawali/releases","show")</f>
        <v>show</v>
      </c>
    </row>
    <row r="7834" spans="1:6">
      <c r="A7834" t="s">
        <v>23252</v>
      </c>
      <c r="B7834" t="s">
        <v>23253</v>
      </c>
      <c r="C7834" t="s">
        <v>23254</v>
      </c>
      <c r="D7834" t="str">
        <f>HYPERLINK("https://github.com/DantSu/ESCPOS-ThermalPrinter-Android/issues/10","show")</f>
        <v>show</v>
      </c>
      <c r="E7834" t="str">
        <f>HYPERLINK("https://github.com/DantSu/ESCPOS-ThermalPrinter-Android","show")</f>
        <v>show</v>
      </c>
      <c r="F7834" t="str">
        <f>HYPERLINK("https://github.com/DantSu/ESCPOS-ThermalPrinter-Android/releases","show")</f>
        <v>show</v>
      </c>
    </row>
    <row r="7835" spans="1:6">
      <c r="A7835" t="s">
        <v>23255</v>
      </c>
      <c r="B7835" t="s">
        <v>23256</v>
      </c>
      <c r="C7835" t="s">
        <v>23257</v>
      </c>
      <c r="D7835" t="str">
        <f>HYPERLINK("https://github.com/nextcloud/android/issues/6133","show")</f>
        <v>show</v>
      </c>
      <c r="E7835" t="str">
        <f>HYPERLINK("https://github.com/nextcloud/android","show")</f>
        <v>show</v>
      </c>
      <c r="F7835" t="str">
        <f>HYPERLINK("https://github.com/nextcloud/android/releases","show")</f>
        <v>show</v>
      </c>
    </row>
    <row r="7836" spans="1:6">
      <c r="A7836" t="s">
        <v>23258</v>
      </c>
      <c r="B7836" t="s">
        <v>23259</v>
      </c>
      <c r="C7836" t="s">
        <v>23260</v>
      </c>
      <c r="D7836" t="str">
        <f>HYPERLINK("https://github.com/google/conscrypt/issues/848","show")</f>
        <v>show</v>
      </c>
      <c r="E7836" t="str">
        <f>HYPERLINK("https://github.com/google/conscrypt","show")</f>
        <v>show</v>
      </c>
      <c r="F7836" t="str">
        <f>HYPERLINK("https://github.com/google/conscrypt/releases","show")</f>
        <v>show</v>
      </c>
    </row>
    <row r="7837" spans="1:6">
      <c r="A7837" t="s">
        <v>23261</v>
      </c>
      <c r="B7837" t="s">
        <v>23262</v>
      </c>
      <c r="C7837" t="s">
        <v>23263</v>
      </c>
      <c r="D7837" t="str">
        <f>HYPERLINK("https://github.com/square/okhttp/issues/6079","show")</f>
        <v>show</v>
      </c>
      <c r="E7837" t="str">
        <f>HYPERLINK("https://github.com/square/okhttp","show")</f>
        <v>show</v>
      </c>
      <c r="F7837" t="str">
        <f>HYPERLINK("https://github.com/square/okhttp/releases","show")</f>
        <v>show</v>
      </c>
    </row>
    <row r="7838" spans="1:6">
      <c r="A7838" t="s">
        <v>23264</v>
      </c>
      <c r="B7838" t="s">
        <v>23265</v>
      </c>
      <c r="C7838" t="s">
        <v>23266</v>
      </c>
      <c r="D7838" t="str">
        <f>HYPERLINK("https://github.com/Miguel9r/CS179J-Team10/issues/7","show")</f>
        <v>show</v>
      </c>
      <c r="E7838" t="str">
        <f>HYPERLINK("https://github.com/Miguel9r/CS179J-Team10","show")</f>
        <v>show</v>
      </c>
      <c r="F7838" t="str">
        <f>HYPERLINK("https://github.com/Miguel9r/CS179J-Team10/releases","show")</f>
        <v>show</v>
      </c>
    </row>
    <row r="7839" spans="1:6">
      <c r="A7839" t="s">
        <v>23267</v>
      </c>
      <c r="B7839" t="s">
        <v>23268</v>
      </c>
      <c r="C7839" t="s">
        <v>23269</v>
      </c>
      <c r="D7839" t="str">
        <f>HYPERLINK("https://github.com/inaturalist/iNaturalistAndroid/issues/835","show")</f>
        <v>show</v>
      </c>
      <c r="E7839" t="str">
        <f>HYPERLINK("https://github.com/inaturalist/iNaturalistAndroid","show")</f>
        <v>show</v>
      </c>
      <c r="F7839" t="str">
        <f>HYPERLINK("https://github.com/inaturalist/iNaturalistAndroid/releases","show")</f>
        <v>show</v>
      </c>
    </row>
    <row r="7840" spans="1:6">
      <c r="A7840" t="s">
        <v>23270</v>
      </c>
      <c r="B7840" t="s">
        <v>23271</v>
      </c>
      <c r="C7840" t="s">
        <v>23272</v>
      </c>
      <c r="D7840" t="str">
        <f>HYPERLINK("https://github.com/inaturalist/iNaturalistAndroid/issues/834","show")</f>
        <v>show</v>
      </c>
      <c r="E7840" t="str">
        <f>HYPERLINK("https://github.com/inaturalist/iNaturalistAndroid","show")</f>
        <v>show</v>
      </c>
      <c r="F7840" t="str">
        <f>HYPERLINK("https://github.com/inaturalist/iNaturalistAndroid/releases","show")</f>
        <v>show</v>
      </c>
    </row>
    <row r="7841" spans="1:6">
      <c r="A7841" t="s">
        <v>23273</v>
      </c>
      <c r="B7841" t="s">
        <v>23274</v>
      </c>
      <c r="C7841" t="s">
        <v>23275</v>
      </c>
      <c r="D7841" t="str">
        <f>HYPERLINK("https://github.com/inaturalist/iNaturalistAndroid/issues/833","show")</f>
        <v>show</v>
      </c>
      <c r="E7841" t="str">
        <f>HYPERLINK("https://github.com/inaturalist/iNaturalistAndroid","show")</f>
        <v>show</v>
      </c>
      <c r="F7841" t="str">
        <f>HYPERLINK("https://github.com/inaturalist/iNaturalistAndroid/releases","show")</f>
        <v>show</v>
      </c>
    </row>
    <row r="7842" spans="1:6">
      <c r="A7842" t="s">
        <v>23276</v>
      </c>
      <c r="B7842" t="s">
        <v>23277</v>
      </c>
      <c r="C7842" t="s">
        <v>23278</v>
      </c>
      <c r="D7842" t="str">
        <f>HYPERLINK("https://github.com/nextcloud/android/issues/6127","show")</f>
        <v>show</v>
      </c>
      <c r="E7842" t="str">
        <f>HYPERLINK("https://github.com/nextcloud/android","show")</f>
        <v>show</v>
      </c>
      <c r="F7842" t="str">
        <f>HYPERLINK("https://github.com/nextcloud/android/releases","show")</f>
        <v>show</v>
      </c>
    </row>
    <row r="7843" spans="1:6">
      <c r="A7843" t="s">
        <v>23279</v>
      </c>
      <c r="B7843" t="s">
        <v>23280</v>
      </c>
      <c r="C7843" t="s">
        <v>23281</v>
      </c>
      <c r="D7843" t="str">
        <f>HYPERLINK("https://github.com/commons-app/apps-android-commons/issues/3763","show")</f>
        <v>show</v>
      </c>
      <c r="E7843" t="str">
        <f>HYPERLINK("https://github.com/commons-app/apps-android-commons","show")</f>
        <v>show</v>
      </c>
      <c r="F7843" t="str">
        <f>HYPERLINK("https://github.com/commons-app/apps-android-commons/releases","show")</f>
        <v>show</v>
      </c>
    </row>
    <row r="7844" spans="1:6">
      <c r="A7844" t="s">
        <v>23282</v>
      </c>
      <c r="B7844" t="s">
        <v>23283</v>
      </c>
      <c r="C7844" t="s">
        <v>23284</v>
      </c>
      <c r="D7844" t="str">
        <f>HYPERLINK("https://github.com/nextcloud/android/issues/6124","show")</f>
        <v>show</v>
      </c>
      <c r="E7844" t="str">
        <f>HYPERLINK("https://github.com/nextcloud/android","show")</f>
        <v>show</v>
      </c>
      <c r="F7844" t="str">
        <f>HYPERLINK("https://github.com/nextcloud/android/releases","show")</f>
        <v>show</v>
      </c>
    </row>
    <row r="7845" spans="1:6">
      <c r="A7845" t="s">
        <v>23285</v>
      </c>
      <c r="B7845" t="s">
        <v>23286</v>
      </c>
      <c r="C7845" t="s">
        <v>23287</v>
      </c>
      <c r="D7845" t="str">
        <f>HYPERLINK("https://github.com/Assargadon/dcc-client/issues/4","show")</f>
        <v>show</v>
      </c>
      <c r="E7845" t="str">
        <f>HYPERLINK("https://github.com/Assargadon/dcc-client","show")</f>
        <v>show</v>
      </c>
      <c r="F7845" t="str">
        <f>HYPERLINK("https://github.com/Assargadon/dcc-client/releases","show")</f>
        <v>show</v>
      </c>
    </row>
    <row r="7846" spans="1:6">
      <c r="A7846" t="s">
        <v>23288</v>
      </c>
      <c r="B7846" t="s">
        <v>23289</v>
      </c>
      <c r="C7846" t="s">
        <v>23290</v>
      </c>
      <c r="D7846" t="str">
        <f>HYPERLINK("https://github.com/TeamNewPipe/NewPipe/issues/3624","show")</f>
        <v>show</v>
      </c>
      <c r="E7846" t="str">
        <f>HYPERLINK("https://github.com/TeamNewPipe/NewPipe","show")</f>
        <v>show</v>
      </c>
      <c r="F7846" t="str">
        <f>HYPERLINK("https://github.com/TeamNewPipe/NewPipe/releases","show")</f>
        <v>show</v>
      </c>
    </row>
    <row r="7847" spans="1:6">
      <c r="A7847" t="s">
        <v>23291</v>
      </c>
      <c r="B7847" t="s">
        <v>23292</v>
      </c>
      <c r="C7847" t="s">
        <v>23293</v>
      </c>
      <c r="D7847" t="str">
        <f>HYPERLINK("https://github.com/doublesymmetry/react-native-track-player/issues/950","show")</f>
        <v>show</v>
      </c>
      <c r="E7847" t="str">
        <f>HYPERLINK("https://github.com/doublesymmetry/react-native-track-player","show")</f>
        <v>show</v>
      </c>
      <c r="F7847" t="str">
        <f>HYPERLINK("https://github.com/doublesymmetry/react-native-track-player/releases","show")</f>
        <v>show</v>
      </c>
    </row>
    <row r="7848" spans="1:6">
      <c r="A7848" t="s">
        <v>23294</v>
      </c>
      <c r="B7848" t="s">
        <v>23295</v>
      </c>
      <c r="C7848" t="s">
        <v>23296</v>
      </c>
      <c r="D7848" t="str">
        <f>HYPERLINK("https://github.com/S2-group/NAPPA/issues/26","show")</f>
        <v>show</v>
      </c>
      <c r="E7848" t="str">
        <f>HYPERLINK("https://github.com/S2-group/NAPPA","show")</f>
        <v>show</v>
      </c>
      <c r="F7848" t="str">
        <f>HYPERLINK("https://github.com/S2-group/NAPPA/releases","show")</f>
        <v>show</v>
      </c>
    </row>
    <row r="7849" spans="1:6">
      <c r="A7849" t="s">
        <v>23297</v>
      </c>
      <c r="B7849" t="s">
        <v>23298</v>
      </c>
      <c r="C7849" t="s">
        <v>23299</v>
      </c>
      <c r="D7849" t="str">
        <f>HYPERLINK("https://github.com/nextcloud/android/issues/6111","show")</f>
        <v>show</v>
      </c>
      <c r="E7849" t="str">
        <f>HYPERLINK("https://github.com/nextcloud/android","show")</f>
        <v>show</v>
      </c>
      <c r="F7849" t="str">
        <f>HYPERLINK("https://github.com/nextcloud/android/releases","show")</f>
        <v>show</v>
      </c>
    </row>
    <row r="7850" spans="1:6">
      <c r="A7850" t="s">
        <v>23300</v>
      </c>
      <c r="B7850" t="s">
        <v>23301</v>
      </c>
      <c r="C7850" t="s">
        <v>23302</v>
      </c>
      <c r="D7850" t="str">
        <f>HYPERLINK("https://github.com/nextcloud/android/issues/6109","show")</f>
        <v>show</v>
      </c>
      <c r="E7850" t="str">
        <f>HYPERLINK("https://github.com/nextcloud/android","show")</f>
        <v>show</v>
      </c>
      <c r="F7850" t="str">
        <f>HYPERLINK("https://github.com/nextcloud/android/releases","show")</f>
        <v>show</v>
      </c>
    </row>
    <row r="7851" spans="1:6">
      <c r="A7851" t="s">
        <v>23303</v>
      </c>
      <c r="B7851" t="s">
        <v>23304</v>
      </c>
      <c r="C7851" t="s">
        <v>23043</v>
      </c>
      <c r="D7851" t="str">
        <f>HYPERLINK("https://github.com/TeamNewPipe/NewPipe/issues/3620","show")</f>
        <v>show</v>
      </c>
      <c r="E7851" t="str">
        <f>HYPERLINK("https://github.com/TeamNewPipe/NewPipe","show")</f>
        <v>show</v>
      </c>
      <c r="F7851" t="str">
        <f>HYPERLINK("https://github.com/TeamNewPipe/NewPipe/releases","show")</f>
        <v>show</v>
      </c>
    </row>
    <row r="7852" spans="1:6">
      <c r="A7852" t="s">
        <v>23305</v>
      </c>
      <c r="B7852" t="s">
        <v>23306</v>
      </c>
      <c r="C7852" t="s">
        <v>23307</v>
      </c>
      <c r="D7852" t="str">
        <f>HYPERLINK("https://github.com/nextcloud/android/issues/6106","show")</f>
        <v>show</v>
      </c>
      <c r="E7852" t="str">
        <f>HYPERLINK("https://github.com/nextcloud/android","show")</f>
        <v>show</v>
      </c>
      <c r="F7852" t="str">
        <f>HYPERLINK("https://github.com/nextcloud/android/releases","show")</f>
        <v>show</v>
      </c>
    </row>
    <row r="7853" spans="1:6">
      <c r="A7853" t="s">
        <v>23308</v>
      </c>
      <c r="B7853" t="s">
        <v>23309</v>
      </c>
      <c r="C7853" t="s">
        <v>23310</v>
      </c>
      <c r="D7853" t="str">
        <f>HYPERLINK("https://github.com/7LPdWcaW/GrowTracker-Android/issues/207","show")</f>
        <v>show</v>
      </c>
      <c r="E7853" t="str">
        <f>HYPERLINK("https://github.com/7LPdWcaW/GrowTracker-Android","show")</f>
        <v>show</v>
      </c>
      <c r="F7853" t="str">
        <f>HYPERLINK("https://github.com/7LPdWcaW/GrowTracker-Android/releases","show")</f>
        <v>show</v>
      </c>
    </row>
    <row r="7854" spans="1:6">
      <c r="A7854" t="s">
        <v>23311</v>
      </c>
      <c r="B7854" t="s">
        <v>23312</v>
      </c>
      <c r="C7854" t="s">
        <v>23313</v>
      </c>
      <c r="D7854" t="str">
        <f>HYPERLINK("https://github.com/ankidroid/Anki-Android/issues/6216","show")</f>
        <v>show</v>
      </c>
      <c r="E7854" t="str">
        <f>HYPERLINK("https://github.com/ankidroid/Anki-Android","show")</f>
        <v>show</v>
      </c>
      <c r="F7854" t="str">
        <f>HYPERLINK("https://github.com/ankidroid/Anki-Android/releases","show")</f>
        <v>show</v>
      </c>
    </row>
    <row r="7855" spans="1:6">
      <c r="A7855" t="s">
        <v>23314</v>
      </c>
      <c r="B7855" t="s">
        <v>23315</v>
      </c>
      <c r="C7855" t="s">
        <v>23316</v>
      </c>
      <c r="D7855" t="str">
        <f>HYPERLINK("https://github.com/square/reader-sdk-flutter-plugin/issues/45","show")</f>
        <v>show</v>
      </c>
      <c r="E7855" t="str">
        <f>HYPERLINK("https://github.com/square/reader-sdk-flutter-plugin","show")</f>
        <v>show</v>
      </c>
      <c r="F7855" t="str">
        <f>HYPERLINK("https://github.com/square/reader-sdk-flutter-plugin/releases","show")</f>
        <v>show</v>
      </c>
    </row>
    <row r="7856" spans="1:6">
      <c r="A7856" t="s">
        <v>23317</v>
      </c>
      <c r="B7856" t="s">
        <v>23318</v>
      </c>
      <c r="C7856" t="s">
        <v>23319</v>
      </c>
      <c r="D7856" t="str">
        <f>HYPERLINK("https://github.com/TeamNewPipe/NewPipe/issues/3612","show")</f>
        <v>show</v>
      </c>
      <c r="E7856" t="str">
        <f>HYPERLINK("https://github.com/TeamNewPipe/NewPipe","show")</f>
        <v>show</v>
      </c>
      <c r="F7856" t="str">
        <f>HYPERLINK("https://github.com/TeamNewPipe/NewPipe/releases","show")</f>
        <v>show</v>
      </c>
    </row>
    <row r="7857" spans="1:6">
      <c r="A7857" t="s">
        <v>23320</v>
      </c>
      <c r="B7857" t="s">
        <v>23321</v>
      </c>
      <c r="C7857" t="s">
        <v>23322</v>
      </c>
      <c r="D7857" t="str">
        <f>HYPERLINK("https://github.com/nextcloud/android/issues/6100","show")</f>
        <v>show</v>
      </c>
      <c r="E7857" t="str">
        <f>HYPERLINK("https://github.com/nextcloud/android","show")</f>
        <v>show</v>
      </c>
      <c r="F7857" t="str">
        <f>HYPERLINK("https://github.com/nextcloud/android/releases","show")</f>
        <v>show</v>
      </c>
    </row>
    <row r="7858" spans="1:6">
      <c r="A7858" t="s">
        <v>23323</v>
      </c>
      <c r="B7858" t="s">
        <v>23324</v>
      </c>
      <c r="C7858" t="s">
        <v>23325</v>
      </c>
      <c r="D7858" t="str">
        <f>HYPERLINK("https://github.com/AugustanaCSC490Spring2020/AugieAthleticsApp/issues/22","show")</f>
        <v>show</v>
      </c>
      <c r="E7858" t="str">
        <f>HYPERLINK("https://github.com/AugustanaCSC490Spring2020/AugieAthleticsApp","show")</f>
        <v>show</v>
      </c>
      <c r="F7858" t="str">
        <f>HYPERLINK("https://github.com/AugustanaCSC490Spring2020/AugieAthleticsApp/releases","show")</f>
        <v>show</v>
      </c>
    </row>
    <row r="7859" spans="1:6">
      <c r="A7859" t="s">
        <v>23326</v>
      </c>
      <c r="B7859" t="s">
        <v>23327</v>
      </c>
      <c r="C7859" t="s">
        <v>23328</v>
      </c>
      <c r="D7859" t="str">
        <f>HYPERLINK("https://github.com/ankidroid/Anki-Android/issues/6208","show")</f>
        <v>show</v>
      </c>
      <c r="E7859" t="str">
        <f>HYPERLINK("https://github.com/ankidroid/Anki-Android","show")</f>
        <v>show</v>
      </c>
      <c r="F7859" t="str">
        <f>HYPERLINK("https://github.com/ankidroid/Anki-Android/releases","show")</f>
        <v>show</v>
      </c>
    </row>
    <row r="7860" spans="1:6">
      <c r="A7860" t="s">
        <v>23329</v>
      </c>
      <c r="B7860" t="s">
        <v>23330</v>
      </c>
      <c r="C7860" t="s">
        <v>23331</v>
      </c>
      <c r="D7860" t="str">
        <f>HYPERLINK("https://github.com/nextcloud/android/issues/6099","show")</f>
        <v>show</v>
      </c>
      <c r="E7860" t="str">
        <f>HYPERLINK("https://github.com/nextcloud/android","show")</f>
        <v>show</v>
      </c>
      <c r="F7860" t="str">
        <f>HYPERLINK("https://github.com/nextcloud/android/releases","show")</f>
        <v>show</v>
      </c>
    </row>
    <row r="7861" spans="1:6">
      <c r="A7861" t="s">
        <v>23332</v>
      </c>
      <c r="B7861" t="s">
        <v>23333</v>
      </c>
      <c r="C7861" t="s">
        <v>23334</v>
      </c>
      <c r="D7861" t="str">
        <f>HYPERLINK("https://github.com/TeamNewPipe/NewPipe/issues/3605","show")</f>
        <v>show</v>
      </c>
      <c r="E7861" t="str">
        <f>HYPERLINK("https://github.com/TeamNewPipe/NewPipe","show")</f>
        <v>show</v>
      </c>
      <c r="F7861" t="str">
        <f>HYPERLINK("https://github.com/TeamNewPipe/NewPipe/releases","show")</f>
        <v>show</v>
      </c>
    </row>
    <row r="7862" spans="1:6">
      <c r="A7862" t="s">
        <v>23335</v>
      </c>
      <c r="B7862" t="s">
        <v>23336</v>
      </c>
      <c r="C7862" t="s">
        <v>23337</v>
      </c>
      <c r="D7862" t="str">
        <f>HYPERLINK("https://github.com/doublesymmetry/react-native-track-player/issues/944","show")</f>
        <v>show</v>
      </c>
      <c r="E7862" t="str">
        <f>HYPERLINK("https://github.com/doublesymmetry/react-native-track-player","show")</f>
        <v>show</v>
      </c>
      <c r="F7862" t="str">
        <f>HYPERLINK("https://github.com/doublesymmetry/react-native-track-player/releases","show")</f>
        <v>show</v>
      </c>
    </row>
    <row r="7863" spans="1:6">
      <c r="A7863" t="s">
        <v>23338</v>
      </c>
      <c r="B7863" t="s">
        <v>23339</v>
      </c>
      <c r="C7863" t="s">
        <v>23340</v>
      </c>
      <c r="D7863" t="str">
        <f>HYPERLINK("https://github.com/doublesymmetry/react-native-track-player/issues/943","show")</f>
        <v>show</v>
      </c>
      <c r="E7863" t="str">
        <f>HYPERLINK("https://github.com/doublesymmetry/react-native-track-player","show")</f>
        <v>show</v>
      </c>
      <c r="F7863" t="str">
        <f>HYPERLINK("https://github.com/doublesymmetry/react-native-track-player/releases","show")</f>
        <v>show</v>
      </c>
    </row>
    <row r="7864" spans="1:6">
      <c r="A7864" t="s">
        <v>23341</v>
      </c>
      <c r="B7864" t="s">
        <v>23342</v>
      </c>
      <c r="C7864" t="s">
        <v>23343</v>
      </c>
      <c r="D7864" t="str">
        <f>HYPERLINK("https://github.com/TeamNewPipe/NewPipe/issues/3602","show")</f>
        <v>show</v>
      </c>
      <c r="E7864" t="str">
        <f>HYPERLINK("https://github.com/TeamNewPipe/NewPipe","show")</f>
        <v>show</v>
      </c>
      <c r="F7864" t="str">
        <f>HYPERLINK("https://github.com/TeamNewPipe/NewPipe/releases","show")</f>
        <v>show</v>
      </c>
    </row>
    <row r="7865" spans="1:6">
      <c r="A7865" t="s">
        <v>23344</v>
      </c>
      <c r="B7865" t="s">
        <v>23345</v>
      </c>
      <c r="C7865" t="s">
        <v>23346</v>
      </c>
      <c r="D7865" t="str">
        <f>HYPERLINK("https://github.com/nikita36078/J2ME-Loader/issues/694","show")</f>
        <v>show</v>
      </c>
      <c r="E7865" t="str">
        <f>HYPERLINK("https://github.com/nikita36078/J2ME-Loader","show")</f>
        <v>show</v>
      </c>
      <c r="F7865" t="str">
        <f>HYPERLINK("https://github.com/nikita36078/J2ME-Loader/releases","show")</f>
        <v>show</v>
      </c>
    </row>
    <row r="7866" spans="1:6">
      <c r="A7866" t="s">
        <v>23347</v>
      </c>
      <c r="B7866" t="s">
        <v>23348</v>
      </c>
      <c r="C7866" t="s">
        <v>23349</v>
      </c>
      <c r="D7866" t="str">
        <f>HYPERLINK("https://github.com/nextcloud/android/issues/6096","show")</f>
        <v>show</v>
      </c>
      <c r="E7866" t="str">
        <f>HYPERLINK("https://github.com/nextcloud/android","show")</f>
        <v>show</v>
      </c>
      <c r="F7866" t="str">
        <f>HYPERLINK("https://github.com/nextcloud/android/releases","show")</f>
        <v>show</v>
      </c>
    </row>
    <row r="7867" spans="1:6">
      <c r="A7867" t="s">
        <v>23350</v>
      </c>
      <c r="B7867" t="s">
        <v>23351</v>
      </c>
      <c r="C7867" t="s">
        <v>23352</v>
      </c>
      <c r="D7867" t="str">
        <f>HYPERLINK("https://github.com/TeamNewPipe/NewPipe/issues/3601","show")</f>
        <v>show</v>
      </c>
      <c r="E7867" t="str">
        <f>HYPERLINK("https://github.com/TeamNewPipe/NewPipe","show")</f>
        <v>show</v>
      </c>
      <c r="F7867" t="str">
        <f>HYPERLINK("https://github.com/TeamNewPipe/NewPipe/releases","show")</f>
        <v>show</v>
      </c>
    </row>
    <row r="7868" spans="1:6">
      <c r="A7868" t="s">
        <v>23353</v>
      </c>
      <c r="B7868" t="s">
        <v>23354</v>
      </c>
      <c r="C7868" t="s">
        <v>23355</v>
      </c>
      <c r="D7868" t="str">
        <f>HYPERLINK("https://github.com/nextcloud/talk-android/issues/887","show")</f>
        <v>show</v>
      </c>
      <c r="E7868" t="str">
        <f>HYPERLINK("https://github.com/nextcloud/talk-android","show")</f>
        <v>show</v>
      </c>
      <c r="F7868" t="str">
        <f>HYPERLINK("https://github.com/nextcloud/talk-android/releases","show")</f>
        <v>show</v>
      </c>
    </row>
    <row r="7869" spans="1:6">
      <c r="A7869" t="s">
        <v>23356</v>
      </c>
      <c r="B7869" t="s">
        <v>23357</v>
      </c>
      <c r="C7869" t="s">
        <v>23358</v>
      </c>
      <c r="D7869" t="str">
        <f>HYPERLINK("https://github.com/nextcloud/android/issues/6094","show")</f>
        <v>show</v>
      </c>
      <c r="E7869" t="str">
        <f>HYPERLINK("https://github.com/nextcloud/android","show")</f>
        <v>show</v>
      </c>
      <c r="F7869" t="str">
        <f>HYPERLINK("https://github.com/nextcloud/android/releases","show")</f>
        <v>show</v>
      </c>
    </row>
    <row r="7870" spans="1:6">
      <c r="A7870" t="s">
        <v>23359</v>
      </c>
      <c r="B7870" t="s">
        <v>23360</v>
      </c>
      <c r="C7870" t="s">
        <v>21689</v>
      </c>
      <c r="D7870" t="str">
        <f>HYPERLINK("https://github.com/TeamNewPipe/NewPipe/issues/3595","show")</f>
        <v>show</v>
      </c>
      <c r="E7870" t="str">
        <f>HYPERLINK("https://github.com/TeamNewPipe/NewPipe","show")</f>
        <v>show</v>
      </c>
      <c r="F7870" t="str">
        <f>HYPERLINK("https://github.com/TeamNewPipe/NewPipe/releases","show")</f>
        <v>show</v>
      </c>
    </row>
    <row r="7871" spans="1:6">
      <c r="A7871" t="s">
        <v>23361</v>
      </c>
      <c r="B7871" t="s">
        <v>23362</v>
      </c>
      <c r="C7871" t="s">
        <v>23363</v>
      </c>
      <c r="D7871" t="str">
        <f>HYPERLINK("https://github.com/inaturalist/iNaturalistAndroid/issues/831","show")</f>
        <v>show</v>
      </c>
      <c r="E7871" t="str">
        <f>HYPERLINK("https://github.com/inaturalist/iNaturalistAndroid","show")</f>
        <v>show</v>
      </c>
      <c r="F7871" t="str">
        <f>HYPERLINK("https://github.com/inaturalist/iNaturalistAndroid/releases","show")</f>
        <v>show</v>
      </c>
    </row>
    <row r="7872" spans="1:6">
      <c r="A7872" t="s">
        <v>23364</v>
      </c>
      <c r="B7872" t="s">
        <v>23365</v>
      </c>
      <c r="C7872" t="s">
        <v>23366</v>
      </c>
      <c r="D7872" t="str">
        <f>HYPERLINK("https://github.com/nextcloud/android/issues/6092","show")</f>
        <v>show</v>
      </c>
      <c r="E7872" t="str">
        <f>HYPERLINK("https://github.com/nextcloud/android","show")</f>
        <v>show</v>
      </c>
      <c r="F7872" t="str">
        <f>HYPERLINK("https://github.com/nextcloud/android/releases","show")</f>
        <v>show</v>
      </c>
    </row>
    <row r="7873" spans="1:6">
      <c r="A7873" t="s">
        <v>23367</v>
      </c>
      <c r="B7873" t="s">
        <v>23368</v>
      </c>
      <c r="C7873" t="s">
        <v>23369</v>
      </c>
      <c r="D7873" t="str">
        <f>HYPERLINK("https://github.com/google/google-authenticator-android/issues/119","show")</f>
        <v>show</v>
      </c>
      <c r="E7873" t="str">
        <f>HYPERLINK("https://github.com/google/google-authenticator-android","show")</f>
        <v>show</v>
      </c>
      <c r="F7873" t="str">
        <f>HYPERLINK("https://github.com/google/google-authenticator-android/releases","show")</f>
        <v>show</v>
      </c>
    </row>
    <row r="7874" spans="1:6">
      <c r="A7874" t="s">
        <v>23370</v>
      </c>
      <c r="B7874" t="s">
        <v>23371</v>
      </c>
      <c r="C7874" t="s">
        <v>23372</v>
      </c>
      <c r="D7874" t="str">
        <f>HYPERLINK("https://github.com/nextcloud/talk-android/issues/845","show")</f>
        <v>show</v>
      </c>
      <c r="E7874" t="str">
        <f>HYPERLINK("https://github.com/nextcloud/talk-android","show")</f>
        <v>show</v>
      </c>
      <c r="F7874" t="str">
        <f>HYPERLINK("https://github.com/nextcloud/talk-android/releases","show")</f>
        <v>show</v>
      </c>
    </row>
    <row r="7875" spans="1:6">
      <c r="A7875" t="s">
        <v>23373</v>
      </c>
      <c r="B7875" t="s">
        <v>23374</v>
      </c>
      <c r="C7875" t="s">
        <v>23375</v>
      </c>
      <c r="D7875" t="str">
        <f>HYPERLINK("https://github.com/smartdevicelink/sdl_java_suite/issues/1351","show")</f>
        <v>show</v>
      </c>
      <c r="E7875" t="str">
        <f>HYPERLINK("https://github.com/smartdevicelink/sdl_java_suite","show")</f>
        <v>show</v>
      </c>
      <c r="F7875" t="str">
        <f>HYPERLINK("https://github.com/smartdevicelink/sdl_java_suite/releases","show")</f>
        <v>show</v>
      </c>
    </row>
    <row r="7876" spans="1:6">
      <c r="A7876" t="s">
        <v>23376</v>
      </c>
      <c r="B7876" t="s">
        <v>23377</v>
      </c>
      <c r="C7876" t="s">
        <v>23378</v>
      </c>
      <c r="D7876" t="str">
        <f>HYPERLINK("https://github.com/square/okhttp/issues/6053","show")</f>
        <v>show</v>
      </c>
      <c r="E7876" t="str">
        <f>HYPERLINK("https://github.com/square/okhttp","show")</f>
        <v>show</v>
      </c>
      <c r="F7876" t="str">
        <f>HYPERLINK("https://github.com/square/okhttp/releases","show")</f>
        <v>show</v>
      </c>
    </row>
    <row r="7877" spans="1:6">
      <c r="A7877" t="s">
        <v>23379</v>
      </c>
      <c r="B7877" t="s">
        <v>23380</v>
      </c>
      <c r="C7877" t="s">
        <v>23381</v>
      </c>
      <c r="D7877" t="str">
        <f>HYPERLINK("https://github.com/nikita36078/J2ME-Loader/issues/689","show")</f>
        <v>show</v>
      </c>
      <c r="E7877" t="str">
        <f>HYPERLINK("https://github.com/nikita36078/J2ME-Loader","show")</f>
        <v>show</v>
      </c>
      <c r="F7877" t="str">
        <f>HYPERLINK("https://github.com/nikita36078/J2ME-Loader/releases","show")</f>
        <v>show</v>
      </c>
    </row>
    <row r="7878" spans="1:6">
      <c r="A7878" t="s">
        <v>23382</v>
      </c>
      <c r="B7878" t="s">
        <v>23383</v>
      </c>
      <c r="C7878" t="s">
        <v>23384</v>
      </c>
      <c r="D7878" t="str">
        <f>HYPERLINK("https://github.com/ankidroid/Anki-Android/issues/6184","show")</f>
        <v>show</v>
      </c>
      <c r="E7878" t="str">
        <f>HYPERLINK("https://github.com/ankidroid/Anki-Android","show")</f>
        <v>show</v>
      </c>
      <c r="F7878" t="str">
        <f>HYPERLINK("https://github.com/ankidroid/Anki-Android/releases","show")</f>
        <v>show</v>
      </c>
    </row>
    <row r="7879" spans="1:6">
      <c r="A7879" t="s">
        <v>23385</v>
      </c>
      <c r="B7879" t="s">
        <v>23386</v>
      </c>
      <c r="C7879" t="s">
        <v>23387</v>
      </c>
      <c r="D7879" t="str">
        <f>HYPERLINK("https://github.com/aws-amplify/amplify-android/issues/466","show")</f>
        <v>show</v>
      </c>
      <c r="E7879" t="str">
        <f>HYPERLINK("https://github.com/aws-amplify/amplify-android","show")</f>
        <v>show</v>
      </c>
      <c r="F7879" t="str">
        <f>HYPERLINK("https://github.com/aws-amplify/amplify-android/releases","show")</f>
        <v>show</v>
      </c>
    </row>
    <row r="7880" spans="1:6">
      <c r="A7880" t="s">
        <v>23388</v>
      </c>
      <c r="B7880" t="s">
        <v>23389</v>
      </c>
      <c r="C7880" t="s">
        <v>23390</v>
      </c>
      <c r="D7880" t="str">
        <f>HYPERLINK("https://github.com/TeamNewPipe/NewPipe/issues/3591","show")</f>
        <v>show</v>
      </c>
      <c r="E7880" t="str">
        <f>HYPERLINK("https://github.com/TeamNewPipe/NewPipe","show")</f>
        <v>show</v>
      </c>
      <c r="F7880" t="str">
        <f>HYPERLINK("https://github.com/TeamNewPipe/NewPipe/releases","show")</f>
        <v>show</v>
      </c>
    </row>
    <row r="7881" spans="1:6">
      <c r="A7881" t="s">
        <v>23391</v>
      </c>
      <c r="B7881" t="s">
        <v>23392</v>
      </c>
      <c r="C7881" t="s">
        <v>23393</v>
      </c>
      <c r="D7881" t="str">
        <f>HYPERLINK("https://github.com/cgeo/cgeo/issues/8343","show")</f>
        <v>show</v>
      </c>
      <c r="E7881" t="str">
        <f>HYPERLINK("https://github.com/cgeo/cgeo","show")</f>
        <v>show</v>
      </c>
      <c r="F7881" t="str">
        <f>HYPERLINK("https://github.com/cgeo/cgeo/releases","show")</f>
        <v>show</v>
      </c>
    </row>
    <row r="7882" spans="1:6">
      <c r="A7882" t="s">
        <v>23394</v>
      </c>
      <c r="B7882" t="s">
        <v>23395</v>
      </c>
      <c r="C7882" t="s">
        <v>23396</v>
      </c>
      <c r="D7882" t="str">
        <f>HYPERLINK("https://github.com/k9mail/k-9/issues/4766","show")</f>
        <v>show</v>
      </c>
      <c r="E7882" t="str">
        <f>HYPERLINK("https://github.com/k9mail/k-9","show")</f>
        <v>show</v>
      </c>
      <c r="F7882" t="str">
        <f>HYPERLINK("https://github.com/k9mail/k-9/releases","show")</f>
        <v>show</v>
      </c>
    </row>
    <row r="7883" spans="1:6">
      <c r="A7883" t="s">
        <v>23397</v>
      </c>
      <c r="B7883" t="s">
        <v>23398</v>
      </c>
      <c r="C7883" t="s">
        <v>23399</v>
      </c>
      <c r="D7883" t="str">
        <f>HYPERLINK("https://github.com/aws-amplify/amplify-android/issues/464","show")</f>
        <v>show</v>
      </c>
      <c r="E7883" t="str">
        <f>HYPERLINK("https://github.com/aws-amplify/amplify-android","show")</f>
        <v>show</v>
      </c>
      <c r="F7883" t="str">
        <f>HYPERLINK("https://github.com/aws-amplify/amplify-android/releases","show")</f>
        <v>show</v>
      </c>
    </row>
    <row r="7884" spans="1:6">
      <c r="A7884" t="s">
        <v>23400</v>
      </c>
      <c r="B7884" t="s">
        <v>23401</v>
      </c>
      <c r="C7884" t="s">
        <v>23402</v>
      </c>
      <c r="D7884" t="str">
        <f>HYPERLINK("https://github.com/inaturalist/iNaturalistAndroid/issues/830","show")</f>
        <v>show</v>
      </c>
      <c r="E7884" t="str">
        <f>HYPERLINK("https://github.com/inaturalist/iNaturalistAndroid","show")</f>
        <v>show</v>
      </c>
      <c r="F7884" t="str">
        <f>HYPERLINK("https://github.com/inaturalist/iNaturalistAndroid/releases","show")</f>
        <v>show</v>
      </c>
    </row>
    <row r="7885" spans="1:6">
      <c r="A7885" t="s">
        <v>23403</v>
      </c>
      <c r="B7885" t="s">
        <v>23404</v>
      </c>
      <c r="C7885" t="s">
        <v>23405</v>
      </c>
      <c r="D7885" t="str">
        <f>HYPERLINK("https://github.com/ankidroid/Anki-Android/issues/6177","show")</f>
        <v>show</v>
      </c>
      <c r="E7885" t="str">
        <f>HYPERLINK("https://github.com/ankidroid/Anki-Android","show")</f>
        <v>show</v>
      </c>
      <c r="F7885" t="str">
        <f>HYPERLINK("https://github.com/ankidroid/Anki-Android/releases","show")</f>
        <v>show</v>
      </c>
    </row>
    <row r="7886" spans="1:6">
      <c r="A7886" t="s">
        <v>23406</v>
      </c>
      <c r="B7886" t="s">
        <v>23407</v>
      </c>
      <c r="C7886" t="s">
        <v>23408</v>
      </c>
      <c r="D7886" t="str">
        <f>HYPERLINK("https://github.com/aws-amplify/amplify-android/issues/461","show")</f>
        <v>show</v>
      </c>
      <c r="E7886" t="str">
        <f>HYPERLINK("https://github.com/aws-amplify/amplify-android","show")</f>
        <v>show</v>
      </c>
      <c r="F7886" t="str">
        <f>HYPERLINK("https://github.com/aws-amplify/amplify-android/releases","show")</f>
        <v>show</v>
      </c>
    </row>
    <row r="7887" spans="1:6">
      <c r="A7887" t="s">
        <v>23409</v>
      </c>
      <c r="B7887" t="s">
        <v>23410</v>
      </c>
      <c r="C7887" t="s">
        <v>23411</v>
      </c>
      <c r="D7887" t="str">
        <f>HYPERLINK("https://github.com/nikita36078/J2ME-Loader/issues/686","show")</f>
        <v>show</v>
      </c>
      <c r="E7887" t="str">
        <f>HYPERLINK("https://github.com/nikita36078/J2ME-Loader","show")</f>
        <v>show</v>
      </c>
      <c r="F7887" t="str">
        <f>HYPERLINK("https://github.com/nikita36078/J2ME-Loader/releases","show")</f>
        <v>show</v>
      </c>
    </row>
    <row r="7888" spans="1:6">
      <c r="A7888" t="s">
        <v>23412</v>
      </c>
      <c r="B7888" t="s">
        <v>23413</v>
      </c>
      <c r="C7888" t="s">
        <v>23414</v>
      </c>
      <c r="D7888" t="str">
        <f>HYPERLINK("https://github.com/nextcloud/android/issues/6070","show")</f>
        <v>show</v>
      </c>
      <c r="E7888" t="str">
        <f>HYPERLINK("https://github.com/nextcloud/android","show")</f>
        <v>show</v>
      </c>
      <c r="F7888" t="str">
        <f>HYPERLINK("https://github.com/nextcloud/android/releases","show")</f>
        <v>show</v>
      </c>
    </row>
    <row r="7889" spans="1:6">
      <c r="A7889" t="s">
        <v>23415</v>
      </c>
      <c r="B7889" t="s">
        <v>23416</v>
      </c>
      <c r="C7889" t="s">
        <v>23417</v>
      </c>
      <c r="D7889" t="str">
        <f>HYPERLINK("https://github.com/hzi-braunschweig/SORMAS-Project/issues/2090","show")</f>
        <v>show</v>
      </c>
      <c r="E7889" t="str">
        <f>HYPERLINK("https://github.com/hzi-braunschweig/SORMAS-Project","show")</f>
        <v>show</v>
      </c>
      <c r="F7889" t="str">
        <f>HYPERLINK("https://github.com/hzi-braunschweig/SORMAS-Project/releases","show")</f>
        <v>show</v>
      </c>
    </row>
    <row r="7890" spans="1:6">
      <c r="A7890" t="s">
        <v>23418</v>
      </c>
      <c r="B7890" t="s">
        <v>23419</v>
      </c>
      <c r="C7890" t="s">
        <v>23420</v>
      </c>
      <c r="D7890" t="str">
        <f>HYPERLINK("https://github.com/commons-app/apps-android-commons/issues/3748","show")</f>
        <v>show</v>
      </c>
      <c r="E7890" t="str">
        <f>HYPERLINK("https://github.com/commons-app/apps-android-commons","show")</f>
        <v>show</v>
      </c>
      <c r="F7890" t="str">
        <f>HYPERLINK("https://github.com/commons-app/apps-android-commons/releases","show")</f>
        <v>show</v>
      </c>
    </row>
    <row r="7891" spans="1:6">
      <c r="A7891" t="s">
        <v>23421</v>
      </c>
      <c r="B7891" t="s">
        <v>23422</v>
      </c>
      <c r="C7891" t="s">
        <v>23423</v>
      </c>
      <c r="D7891" t="str">
        <f>HYPERLINK("https://github.com/TeamNewPipe/NewPipe/issues/3582","show")</f>
        <v>show</v>
      </c>
      <c r="E7891" t="str">
        <f>HYPERLINK("https://github.com/TeamNewPipe/NewPipe","show")</f>
        <v>show</v>
      </c>
      <c r="F7891" t="str">
        <f>HYPERLINK("https://github.com/TeamNewPipe/NewPipe/releases","show")</f>
        <v>show</v>
      </c>
    </row>
    <row r="7892" spans="1:6">
      <c r="A7892" t="s">
        <v>23424</v>
      </c>
      <c r="B7892" t="s">
        <v>23425</v>
      </c>
      <c r="C7892" t="s">
        <v>23426</v>
      </c>
      <c r="D7892" t="str">
        <f>HYPERLINK("https://github.com/material-components/material-components-android/issues/1297","show")</f>
        <v>show</v>
      </c>
      <c r="E7892" t="str">
        <f>HYPERLINK("https://github.com/material-components/material-components-android","show")</f>
        <v>show</v>
      </c>
      <c r="F7892" t="str">
        <f>HYPERLINK("https://github.com/material-components/material-components-android/releases","show")</f>
        <v>show</v>
      </c>
    </row>
    <row r="7893" spans="1:6">
      <c r="A7893" t="s">
        <v>23427</v>
      </c>
      <c r="B7893" t="s">
        <v>23428</v>
      </c>
      <c r="C7893" t="s">
        <v>23429</v>
      </c>
      <c r="D7893" t="str">
        <f>HYPERLINK("https://github.com/material-components/material-components-android/issues/1295","show")</f>
        <v>show</v>
      </c>
      <c r="E7893" t="str">
        <f>HYPERLINK("https://github.com/material-components/material-components-android","show")</f>
        <v>show</v>
      </c>
      <c r="F7893" t="str">
        <f>HYPERLINK("https://github.com/material-components/material-components-android/releases","show")</f>
        <v>show</v>
      </c>
    </row>
    <row r="7894" spans="1:6">
      <c r="A7894" t="s">
        <v>23430</v>
      </c>
      <c r="B7894" t="s">
        <v>23431</v>
      </c>
      <c r="C7894" t="s">
        <v>23432</v>
      </c>
      <c r="D7894" t="str">
        <f>HYPERLINK("https://github.com/TeamNewPipe/NewPipe/issues/3576","show")</f>
        <v>show</v>
      </c>
      <c r="E7894" t="str">
        <f>HYPERLINK("https://github.com/TeamNewPipe/NewPipe","show")</f>
        <v>show</v>
      </c>
      <c r="F7894" t="str">
        <f>HYPERLINK("https://github.com/TeamNewPipe/NewPipe/releases","show")</f>
        <v>show</v>
      </c>
    </row>
    <row r="7895" spans="1:6">
      <c r="A7895" t="s">
        <v>23433</v>
      </c>
      <c r="B7895" t="s">
        <v>23434</v>
      </c>
      <c r="C7895" t="s">
        <v>23435</v>
      </c>
      <c r="D7895" t="str">
        <f>HYPERLINK("https://github.com/nextcloud/android/issues/6055","show")</f>
        <v>show</v>
      </c>
      <c r="E7895" t="str">
        <f>HYPERLINK("https://github.com/nextcloud/android","show")</f>
        <v>show</v>
      </c>
      <c r="F7895" t="str">
        <f>HYPERLINK("https://github.com/nextcloud/android/releases","show")</f>
        <v>show</v>
      </c>
    </row>
    <row r="7896" spans="1:6">
      <c r="A7896" t="s">
        <v>23436</v>
      </c>
      <c r="B7896" t="s">
        <v>23437</v>
      </c>
      <c r="C7896" t="s">
        <v>23438</v>
      </c>
      <c r="D7896" t="str">
        <f>HYPERLINK("https://github.com/TeamNewPipe/NewPipe/issues/3575","show")</f>
        <v>show</v>
      </c>
      <c r="E7896" t="str">
        <f>HYPERLINK("https://github.com/TeamNewPipe/NewPipe","show")</f>
        <v>show</v>
      </c>
      <c r="F7896" t="str">
        <f>HYPERLINK("https://github.com/TeamNewPipe/NewPipe/releases","show")</f>
        <v>show</v>
      </c>
    </row>
    <row r="7897" spans="1:6">
      <c r="A7897" t="s">
        <v>23439</v>
      </c>
      <c r="B7897" t="s">
        <v>23440</v>
      </c>
      <c r="C7897" t="s">
        <v>23441</v>
      </c>
      <c r="D7897" t="str">
        <f>HYPERLINK("https://github.com/dimagi/commcare-android/issues/2235","show")</f>
        <v>show</v>
      </c>
      <c r="E7897" t="str">
        <f>HYPERLINK("https://github.com/dimagi/commcare-android","show")</f>
        <v>show</v>
      </c>
      <c r="F7897" t="str">
        <f>HYPERLINK("https://github.com/dimagi/commcare-android/releases","show")</f>
        <v>show</v>
      </c>
    </row>
    <row r="7898" spans="1:6">
      <c r="A7898" t="s">
        <v>23442</v>
      </c>
      <c r="B7898" t="s">
        <v>23443</v>
      </c>
      <c r="C7898" t="s">
        <v>23444</v>
      </c>
      <c r="D7898" t="str">
        <f>HYPERLINK("https://github.com/dimagi/commcare-android/issues/2234","show")</f>
        <v>show</v>
      </c>
      <c r="E7898" t="str">
        <f>HYPERLINK("https://github.com/dimagi/commcare-android","show")</f>
        <v>show</v>
      </c>
      <c r="F7898" t="str">
        <f>HYPERLINK("https://github.com/dimagi/commcare-android/releases","show")</f>
        <v>show</v>
      </c>
    </row>
    <row r="7899" spans="1:6">
      <c r="A7899" t="s">
        <v>23445</v>
      </c>
      <c r="B7899" t="s">
        <v>23446</v>
      </c>
      <c r="C7899" t="s">
        <v>23447</v>
      </c>
      <c r="D7899" t="str">
        <f>HYPERLINK("https://github.com/noties/Markwon/issues/245","show")</f>
        <v>show</v>
      </c>
      <c r="E7899" t="str">
        <f>HYPERLINK("https://github.com/noties/Markwon","show")</f>
        <v>show</v>
      </c>
      <c r="F7899" t="str">
        <f>HYPERLINK("https://github.com/noties/Markwon/releases","show")</f>
        <v>show</v>
      </c>
    </row>
    <row r="7900" spans="1:6">
      <c r="A7900" t="s">
        <v>23448</v>
      </c>
      <c r="B7900" t="s">
        <v>23449</v>
      </c>
      <c r="C7900" t="s">
        <v>23450</v>
      </c>
      <c r="D7900" t="str">
        <f>HYPERLINK("https://github.com/smartdevicelink/sdl_java_suite/issues/1343","show")</f>
        <v>show</v>
      </c>
      <c r="E7900" t="str">
        <f>HYPERLINK("https://github.com/smartdevicelink/sdl_java_suite","show")</f>
        <v>show</v>
      </c>
      <c r="F7900" t="str">
        <f>HYPERLINK("https://github.com/smartdevicelink/sdl_java_suite/releases","show")</f>
        <v>show</v>
      </c>
    </row>
    <row r="7901" spans="1:6">
      <c r="A7901" t="s">
        <v>23451</v>
      </c>
      <c r="B7901" t="s">
        <v>23452</v>
      </c>
      <c r="C7901" t="s">
        <v>23453</v>
      </c>
      <c r="D7901" t="str">
        <f>HYPERLINK("https://github.com/react-native-camera/react-native-camera/issues/2832","show")</f>
        <v>show</v>
      </c>
      <c r="E7901" t="str">
        <f>HYPERLINK("https://github.com/react-native-camera/react-native-camera","show")</f>
        <v>show</v>
      </c>
      <c r="F7901" t="str">
        <f>HYPERLINK("https://github.com/react-native-camera/react-native-camera/releases","show")</f>
        <v>show</v>
      </c>
    </row>
    <row r="7902" spans="1:6">
      <c r="A7902" t="s">
        <v>23454</v>
      </c>
      <c r="B7902" t="s">
        <v>23455</v>
      </c>
      <c r="C7902" t="s">
        <v>23456</v>
      </c>
      <c r="D7902" t="str">
        <f>HYPERLINK("https://github.com/material-components/material-components-android/issues/1290","show")</f>
        <v>show</v>
      </c>
      <c r="E7902" t="str">
        <f>HYPERLINK("https://github.com/material-components/material-components-android","show")</f>
        <v>show</v>
      </c>
      <c r="F7902" t="str">
        <f>HYPERLINK("https://github.com/material-components/material-components-android/releases","show")</f>
        <v>show</v>
      </c>
    </row>
    <row r="7903" spans="1:6">
      <c r="A7903" t="s">
        <v>23457</v>
      </c>
      <c r="B7903" t="s">
        <v>23458</v>
      </c>
      <c r="C7903" t="s">
        <v>23459</v>
      </c>
      <c r="D7903" t="str">
        <f>HYPERLINK("https://github.com/commons-app/apps-android-commons/issues/3743","show")</f>
        <v>show</v>
      </c>
      <c r="E7903" t="str">
        <f>HYPERLINK("https://github.com/commons-app/apps-android-commons","show")</f>
        <v>show</v>
      </c>
      <c r="F7903" t="str">
        <f>HYPERLINK("https://github.com/commons-app/apps-android-commons/releases","show")</f>
        <v>show</v>
      </c>
    </row>
    <row r="7904" spans="1:6">
      <c r="A7904" t="s">
        <v>23460</v>
      </c>
      <c r="B7904" t="s">
        <v>23461</v>
      </c>
      <c r="C7904" t="s">
        <v>23462</v>
      </c>
      <c r="D7904" t="str">
        <f>HYPERLINK("https://github.com/dimagi/commcare-android/issues/2233","show")</f>
        <v>show</v>
      </c>
      <c r="E7904" t="str">
        <f>HYPERLINK("https://github.com/dimagi/commcare-android","show")</f>
        <v>show</v>
      </c>
      <c r="F7904" t="str">
        <f>HYPERLINK("https://github.com/dimagi/commcare-android/releases","show")</f>
        <v>show</v>
      </c>
    </row>
    <row r="7905" spans="1:6">
      <c r="A7905" t="s">
        <v>23463</v>
      </c>
      <c r="B7905" t="s">
        <v>23464</v>
      </c>
      <c r="C7905" t="s">
        <v>23465</v>
      </c>
      <c r="D7905" t="str">
        <f>HYPERLINK("https://github.com/nextcloud/android/issues/6043","show")</f>
        <v>show</v>
      </c>
      <c r="E7905" t="str">
        <f>HYPERLINK("https://github.com/nextcloud/android","show")</f>
        <v>show</v>
      </c>
      <c r="F7905" t="str">
        <f>HYPERLINK("https://github.com/nextcloud/android/releases","show")</f>
        <v>show</v>
      </c>
    </row>
    <row r="7906" spans="1:6">
      <c r="A7906" t="s">
        <v>23466</v>
      </c>
      <c r="B7906" t="s">
        <v>23467</v>
      </c>
      <c r="C7906" t="s">
        <v>23468</v>
      </c>
      <c r="D7906" t="str">
        <f>HYPERLINK("https://github.com/ankidroid/Anki-Android/issues/6145","show")</f>
        <v>show</v>
      </c>
      <c r="E7906" t="str">
        <f>HYPERLINK("https://github.com/ankidroid/Anki-Android","show")</f>
        <v>show</v>
      </c>
      <c r="F7906" t="str">
        <f>HYPERLINK("https://github.com/ankidroid/Anki-Android/releases","show")</f>
        <v>show</v>
      </c>
    </row>
    <row r="7907" spans="1:6">
      <c r="A7907" t="s">
        <v>23469</v>
      </c>
      <c r="B7907" t="s">
        <v>23470</v>
      </c>
      <c r="C7907" t="s">
        <v>23471</v>
      </c>
      <c r="D7907" t="str">
        <f>HYPERLINK("https://github.com/nextcloud/android/issues/6039","show")</f>
        <v>show</v>
      </c>
      <c r="E7907" t="str">
        <f>HYPERLINK("https://github.com/nextcloud/android","show")</f>
        <v>show</v>
      </c>
      <c r="F7907" t="str">
        <f>HYPERLINK("https://github.com/nextcloud/android/releases","show")</f>
        <v>show</v>
      </c>
    </row>
    <row r="7908" spans="1:6">
      <c r="A7908" t="s">
        <v>23472</v>
      </c>
      <c r="B7908" t="s">
        <v>23473</v>
      </c>
      <c r="C7908" t="s">
        <v>23474</v>
      </c>
      <c r="D7908" t="str">
        <f>HYPERLINK("https://github.com/TeamNewPipe/NewPipe/issues/3566","show")</f>
        <v>show</v>
      </c>
      <c r="E7908" t="str">
        <f>HYPERLINK("https://github.com/TeamNewPipe/NewPipe","show")</f>
        <v>show</v>
      </c>
      <c r="F7908" t="str">
        <f>HYPERLINK("https://github.com/TeamNewPipe/NewPipe/releases","show")</f>
        <v>show</v>
      </c>
    </row>
    <row r="7909" spans="1:6">
      <c r="A7909" t="s">
        <v>23475</v>
      </c>
      <c r="B7909" t="s">
        <v>23476</v>
      </c>
      <c r="C7909" t="s">
        <v>23477</v>
      </c>
      <c r="D7909" t="str">
        <f>HYPERLINK("https://github.com/material-components/material-components-android/issues/1285","show")</f>
        <v>show</v>
      </c>
      <c r="E7909" t="str">
        <f>HYPERLINK("https://github.com/material-components/material-components-android","show")</f>
        <v>show</v>
      </c>
      <c r="F7909" t="str">
        <f>HYPERLINK("https://github.com/material-components/material-components-android/releases","show")</f>
        <v>show</v>
      </c>
    </row>
    <row r="7910" spans="1:6">
      <c r="A7910" t="s">
        <v>23478</v>
      </c>
      <c r="B7910" t="s">
        <v>23479</v>
      </c>
      <c r="C7910" t="s">
        <v>23480</v>
      </c>
      <c r="D7910" t="str">
        <f>HYPERLINK("https://github.com/material-components/material-components-android/issues/1284","show")</f>
        <v>show</v>
      </c>
      <c r="E7910" t="str">
        <f>HYPERLINK("https://github.com/material-components/material-components-android","show")</f>
        <v>show</v>
      </c>
      <c r="F7910" t="str">
        <f>HYPERLINK("https://github.com/material-components/material-components-android/releases","show")</f>
        <v>show</v>
      </c>
    </row>
    <row r="7911" spans="1:6">
      <c r="A7911" t="s">
        <v>23481</v>
      </c>
      <c r="B7911" t="s">
        <v>23482</v>
      </c>
      <c r="C7911" t="s">
        <v>23483</v>
      </c>
      <c r="D7911" t="str">
        <f>HYPERLINK("https://github.com/TeamNewPipe/NewPipe/issues/3561","show")</f>
        <v>show</v>
      </c>
      <c r="E7911" t="str">
        <f>HYPERLINK("https://github.com/TeamNewPipe/NewPipe","show")</f>
        <v>show</v>
      </c>
      <c r="F7911" t="str">
        <f>HYPERLINK("https://github.com/TeamNewPipe/NewPipe/releases","show")</f>
        <v>show</v>
      </c>
    </row>
    <row r="7912" spans="1:6">
      <c r="A7912" t="s">
        <v>23484</v>
      </c>
      <c r="B7912" t="s">
        <v>23485</v>
      </c>
      <c r="C7912" t="s">
        <v>23486</v>
      </c>
      <c r="D7912" t="str">
        <f>HYPERLINK("https://github.com/ankidroid/Anki-Android/issues/6137","show")</f>
        <v>show</v>
      </c>
      <c r="E7912" t="str">
        <f>HYPERLINK("https://github.com/ankidroid/Anki-Android","show")</f>
        <v>show</v>
      </c>
      <c r="F7912" t="str">
        <f>HYPERLINK("https://github.com/ankidroid/Anki-Android/releases","show")</f>
        <v>show</v>
      </c>
    </row>
    <row r="7913" spans="1:6">
      <c r="A7913" t="s">
        <v>23487</v>
      </c>
      <c r="B7913" t="s">
        <v>23488</v>
      </c>
      <c r="C7913" t="s">
        <v>23489</v>
      </c>
      <c r="D7913" t="str">
        <f>HYPERLINK("https://github.com/UCI-Networking-Group/AntMonitor/issues/4","show")</f>
        <v>show</v>
      </c>
      <c r="E7913" t="str">
        <f>HYPERLINK("https://github.com/UCI-Networking-Group/AntMonitor","show")</f>
        <v>show</v>
      </c>
      <c r="F7913" t="str">
        <f>HYPERLINK("https://github.com/UCI-Networking-Group/AntMonitor/releases","show")</f>
        <v>show</v>
      </c>
    </row>
    <row r="7914" spans="1:6">
      <c r="A7914" t="s">
        <v>23490</v>
      </c>
      <c r="B7914" t="s">
        <v>23491</v>
      </c>
      <c r="C7914" t="s">
        <v>23492</v>
      </c>
      <c r="D7914" t="str">
        <f>HYPERLINK("https://github.com/nextcloud/android/issues/6032","show")</f>
        <v>show</v>
      </c>
      <c r="E7914" t="str">
        <f>HYPERLINK("https://github.com/nextcloud/android","show")</f>
        <v>show</v>
      </c>
      <c r="F7914" t="str">
        <f>HYPERLINK("https://github.com/nextcloud/android/releases","show")</f>
        <v>show</v>
      </c>
    </row>
    <row r="7915" spans="1:6">
      <c r="A7915" t="s">
        <v>23493</v>
      </c>
      <c r="B7915" t="s">
        <v>23494</v>
      </c>
      <c r="C7915" t="s">
        <v>23495</v>
      </c>
      <c r="D7915" t="str">
        <f>HYPERLINK("https://github.com/andOTP/andOTP/issues/545","show")</f>
        <v>show</v>
      </c>
      <c r="E7915" t="str">
        <f>HYPERLINK("https://github.com/andOTP/andOTP","show")</f>
        <v>show</v>
      </c>
      <c r="F7915" t="str">
        <f>HYPERLINK("https://github.com/andOTP/andOTP/releases","show")</f>
        <v>show</v>
      </c>
    </row>
    <row r="7916" spans="1:6">
      <c r="A7916" t="s">
        <v>23496</v>
      </c>
      <c r="B7916" t="s">
        <v>23497</v>
      </c>
      <c r="C7916" t="s">
        <v>23498</v>
      </c>
      <c r="D7916" t="str">
        <f>HYPERLINK("https://github.com/iNPUTmice/Conversations/issues/3707","show")</f>
        <v>show</v>
      </c>
      <c r="E7916" t="str">
        <f>HYPERLINK("https://github.com/iNPUTmice/Conversations","show")</f>
        <v>show</v>
      </c>
      <c r="F7916" t="str">
        <f>HYPERLINK("https://github.com/iNPUTmice/Conversations/releases","show")</f>
        <v>show</v>
      </c>
    </row>
    <row r="7917" spans="1:6">
      <c r="A7917" t="s">
        <v>23499</v>
      </c>
      <c r="B7917" t="s">
        <v>23500</v>
      </c>
      <c r="C7917" t="s">
        <v>23501</v>
      </c>
      <c r="D7917" t="str">
        <f>HYPERLINK("https://github.com/covid-diagnostics/covid-mobile-android/issues/83","show")</f>
        <v>show</v>
      </c>
      <c r="E7917" t="str">
        <f>HYPERLINK("https://github.com/covid-diagnostics/covid-mobile-android","show")</f>
        <v>show</v>
      </c>
      <c r="F7917" t="str">
        <f>HYPERLINK("https://github.com/covid-diagnostics/covid-mobile-android/releases","show")</f>
        <v>show</v>
      </c>
    </row>
    <row r="7918" spans="1:6">
      <c r="A7918" t="s">
        <v>23502</v>
      </c>
      <c r="B7918" t="s">
        <v>23503</v>
      </c>
      <c r="C7918" t="s">
        <v>23504</v>
      </c>
      <c r="D7918" t="str">
        <f>HYPERLINK("https://github.com/wallabag/android-app/issues/970","show")</f>
        <v>show</v>
      </c>
      <c r="E7918" t="str">
        <f>HYPERLINK("https://github.com/wallabag/android-app","show")</f>
        <v>show</v>
      </c>
      <c r="F7918" t="str">
        <f>HYPERLINK("https://github.com/wallabag/android-app/releases","show")</f>
        <v>show</v>
      </c>
    </row>
    <row r="7919" spans="1:6">
      <c r="A7919" t="s">
        <v>23505</v>
      </c>
      <c r="B7919" t="s">
        <v>23506</v>
      </c>
      <c r="C7919" t="s">
        <v>23507</v>
      </c>
      <c r="D7919" t="str">
        <f>HYPERLINK("https://github.com/prebid/prebid-mobile-android/issues/191","show")</f>
        <v>show</v>
      </c>
      <c r="E7919" t="str">
        <f>HYPERLINK("https://github.com/prebid/prebid-mobile-android","show")</f>
        <v>show</v>
      </c>
      <c r="F7919" t="str">
        <f>HYPERLINK("https://github.com/prebid/prebid-mobile-android/releases","show")</f>
        <v>show</v>
      </c>
    </row>
    <row r="7920" spans="1:6">
      <c r="A7920" t="s">
        <v>23508</v>
      </c>
      <c r="B7920" t="s">
        <v>23509</v>
      </c>
      <c r="C7920" t="s">
        <v>23510</v>
      </c>
      <c r="D7920" t="str">
        <f>HYPERLINK("https://github.com/andrzejchm/RESTMock/issues/113","show")</f>
        <v>show</v>
      </c>
      <c r="E7920" t="str">
        <f>HYPERLINK("https://github.com/andrzejchm/RESTMock","show")</f>
        <v>show</v>
      </c>
      <c r="F7920" t="str">
        <f>HYPERLINK("https://github.com/andrzejchm/RESTMock/releases","show")</f>
        <v>show</v>
      </c>
    </row>
    <row r="7921" spans="1:6">
      <c r="A7921" t="s">
        <v>23511</v>
      </c>
      <c r="B7921" t="s">
        <v>23512</v>
      </c>
      <c r="C7921" t="s">
        <v>23513</v>
      </c>
      <c r="D7921" t="str">
        <f>HYPERLINK("https://github.com/nextcloud/android/issues/6028","show")</f>
        <v>show</v>
      </c>
      <c r="E7921" t="str">
        <f>HYPERLINK("https://github.com/nextcloud/android","show")</f>
        <v>show</v>
      </c>
      <c r="F7921" t="str">
        <f>HYPERLINK("https://github.com/nextcloud/android/releases","show")</f>
        <v>show</v>
      </c>
    </row>
    <row r="7922" spans="1:6">
      <c r="A7922" t="s">
        <v>23514</v>
      </c>
      <c r="B7922" t="s">
        <v>23515</v>
      </c>
      <c r="C7922" t="s">
        <v>23516</v>
      </c>
      <c r="D7922" t="str">
        <f>HYPERLINK("https://github.com/k9mail/k-9/issues/4738","show")</f>
        <v>show</v>
      </c>
      <c r="E7922" t="str">
        <f>HYPERLINK("https://github.com/k9mail/k-9","show")</f>
        <v>show</v>
      </c>
      <c r="F7922" t="str">
        <f>HYPERLINK("https://github.com/k9mail/k-9/releases","show")</f>
        <v>show</v>
      </c>
    </row>
    <row r="7923" spans="1:6">
      <c r="A7923" t="s">
        <v>23517</v>
      </c>
      <c r="B7923" t="s">
        <v>23518</v>
      </c>
      <c r="C7923" t="s">
        <v>23519</v>
      </c>
      <c r="D7923" t="str">
        <f>HYPERLINK("https://github.com/nextcloud/android/issues/6024","show")</f>
        <v>show</v>
      </c>
      <c r="E7923" t="str">
        <f>HYPERLINK("https://github.com/nextcloud/android","show")</f>
        <v>show</v>
      </c>
      <c r="F7923" t="str">
        <f>HYPERLINK("https://github.com/nextcloud/android/releases","show")</f>
        <v>show</v>
      </c>
    </row>
    <row r="7924" spans="1:6">
      <c r="A7924" t="s">
        <v>23520</v>
      </c>
      <c r="B7924" t="s">
        <v>23521</v>
      </c>
      <c r="C7924" t="s">
        <v>23522</v>
      </c>
      <c r="D7924" t="str">
        <f>HYPERLINK("https://github.com/TeamNewPipe/NewPipe/issues/3550","show")</f>
        <v>show</v>
      </c>
      <c r="E7924" t="str">
        <f>HYPERLINK("https://github.com/TeamNewPipe/NewPipe","show")</f>
        <v>show</v>
      </c>
      <c r="F7924" t="str">
        <f>HYPERLINK("https://github.com/TeamNewPipe/NewPipe/releases","show")</f>
        <v>show</v>
      </c>
    </row>
    <row r="7925" spans="1:6">
      <c r="A7925" t="s">
        <v>23523</v>
      </c>
      <c r="B7925" t="s">
        <v>23524</v>
      </c>
      <c r="C7925" t="s">
        <v>23525</v>
      </c>
      <c r="D7925" t="str">
        <f>HYPERLINK("https://github.com/smarteist/Android-Image-Slider/issues/130","show")</f>
        <v>show</v>
      </c>
      <c r="E7925" t="str">
        <f>HYPERLINK("https://github.com/smarteist/Android-Image-Slider","show")</f>
        <v>show</v>
      </c>
      <c r="F7925" t="str">
        <f>HYPERLINK("https://github.com/smarteist/Android-Image-Slider/releases","show")</f>
        <v>show</v>
      </c>
    </row>
    <row r="7926" spans="1:6">
      <c r="A7926" t="s">
        <v>23526</v>
      </c>
      <c r="B7926" t="s">
        <v>23527</v>
      </c>
      <c r="C7926" t="s">
        <v>23528</v>
      </c>
      <c r="D7926" t="str">
        <f>HYPERLINK("https://github.com/ElderDrivers/EdXposed/issues/533","show")</f>
        <v>show</v>
      </c>
      <c r="E7926" t="str">
        <f>HYPERLINK("https://github.com/ElderDrivers/EdXposed","show")</f>
        <v>show</v>
      </c>
      <c r="F7926" t="str">
        <f>HYPERLINK("https://github.com/ElderDrivers/EdXposed/releases","show")</f>
        <v>show</v>
      </c>
    </row>
    <row r="7927" spans="1:6">
      <c r="A7927" t="s">
        <v>23529</v>
      </c>
      <c r="B7927" t="s">
        <v>23530</v>
      </c>
      <c r="C7927" t="s">
        <v>23531</v>
      </c>
      <c r="D7927" t="str">
        <f>HYPERLINK("https://github.com/Blankj/AndroidUtilCode/issues/1238","show")</f>
        <v>show</v>
      </c>
      <c r="E7927" t="str">
        <f>HYPERLINK("https://github.com/Blankj/AndroidUtilCode","show")</f>
        <v>show</v>
      </c>
      <c r="F7927" t="str">
        <f>HYPERLINK("https://github.com/Blankj/AndroidUtilCode/releases","show")</f>
        <v>show</v>
      </c>
    </row>
    <row r="7928" spans="1:6">
      <c r="A7928" t="s">
        <v>23532</v>
      </c>
      <c r="B7928" t="s">
        <v>23533</v>
      </c>
      <c r="C7928" t="s">
        <v>23534</v>
      </c>
      <c r="D7928" t="str">
        <f>HYPERLINK("https://github.com/iNPUTmice/Conversations/issues/3701","show")</f>
        <v>show</v>
      </c>
      <c r="E7928" t="str">
        <f>HYPERLINK("https://github.com/iNPUTmice/Conversations","show")</f>
        <v>show</v>
      </c>
      <c r="F7928" t="str">
        <f>HYPERLINK("https://github.com/iNPUTmice/Conversations/releases","show")</f>
        <v>show</v>
      </c>
    </row>
    <row r="7929" spans="1:6">
      <c r="A7929" t="s">
        <v>23535</v>
      </c>
      <c r="B7929" t="s">
        <v>23536</v>
      </c>
      <c r="C7929" t="s">
        <v>23537</v>
      </c>
      <c r="D7929" t="str">
        <f>HYPERLINK("https://github.com/inaturalist/iNaturalistAndroid/issues/824","show")</f>
        <v>show</v>
      </c>
      <c r="E7929" t="str">
        <f>HYPERLINK("https://github.com/inaturalist/iNaturalistAndroid","show")</f>
        <v>show</v>
      </c>
      <c r="F7929" t="str">
        <f>HYPERLINK("https://github.com/inaturalist/iNaturalistAndroid/releases","show")</f>
        <v>show</v>
      </c>
    </row>
    <row r="7930" spans="1:6">
      <c r="A7930" t="s">
        <v>23538</v>
      </c>
      <c r="B7930" t="s">
        <v>23539</v>
      </c>
      <c r="C7930" t="s">
        <v>23540</v>
      </c>
      <c r="D7930" t="str">
        <f>HYPERLINK("https://github.com/inaturalist/iNaturalistAndroid/issues/823","show")</f>
        <v>show</v>
      </c>
      <c r="E7930" t="str">
        <f>HYPERLINK("https://github.com/inaturalist/iNaturalistAndroid","show")</f>
        <v>show</v>
      </c>
      <c r="F7930" t="str">
        <f>HYPERLINK("https://github.com/inaturalist/iNaturalistAndroid/releases","show")</f>
        <v>show</v>
      </c>
    </row>
    <row r="7931" spans="1:6">
      <c r="A7931" t="s">
        <v>23541</v>
      </c>
      <c r="B7931" t="s">
        <v>16581</v>
      </c>
      <c r="C7931" t="s">
        <v>23542</v>
      </c>
      <c r="D7931" t="str">
        <f>HYPERLINK("https://github.com/inaturalist/iNaturalistAndroid/issues/822","show")</f>
        <v>show</v>
      </c>
      <c r="E7931" t="str">
        <f>HYPERLINK("https://github.com/inaturalist/iNaturalistAndroid","show")</f>
        <v>show</v>
      </c>
      <c r="F7931" t="str">
        <f>HYPERLINK("https://github.com/inaturalist/iNaturalistAndroid/releases","show")</f>
        <v>show</v>
      </c>
    </row>
    <row r="7932" spans="1:6">
      <c r="A7932" t="s">
        <v>23543</v>
      </c>
      <c r="B7932" t="s">
        <v>23544</v>
      </c>
      <c r="C7932" t="s">
        <v>23545</v>
      </c>
      <c r="D7932" t="str">
        <f>HYPERLINK("https://github.com/TeamNewPipe/NewPipe/issues/3543","show")</f>
        <v>show</v>
      </c>
      <c r="E7932" t="str">
        <f>HYPERLINK("https://github.com/TeamNewPipe/NewPipe","show")</f>
        <v>show</v>
      </c>
      <c r="F7932" t="str">
        <f>HYPERLINK("https://github.com/TeamNewPipe/NewPipe/releases","show")</f>
        <v>show</v>
      </c>
    </row>
    <row r="7933" spans="1:6">
      <c r="A7933" t="s">
        <v>23546</v>
      </c>
      <c r="B7933" t="s">
        <v>23547</v>
      </c>
      <c r="C7933" t="s">
        <v>23548</v>
      </c>
      <c r="D7933" t="str">
        <f>HYPERLINK("https://github.com/TeamNewPipe/NewPipe/issues/3542","show")</f>
        <v>show</v>
      </c>
      <c r="E7933" t="str">
        <f>HYPERLINK("https://github.com/TeamNewPipe/NewPipe","show")</f>
        <v>show</v>
      </c>
      <c r="F7933" t="str">
        <f>HYPERLINK("https://github.com/TeamNewPipe/NewPipe/releases","show")</f>
        <v>show</v>
      </c>
    </row>
    <row r="7934" spans="1:6">
      <c r="A7934" t="s">
        <v>23549</v>
      </c>
      <c r="B7934" t="s">
        <v>23550</v>
      </c>
      <c r="C7934" t="s">
        <v>23551</v>
      </c>
      <c r="D7934" t="str">
        <f>HYPERLINK("https://github.com/TeamNewPipe/NewPipe/issues/3539","show")</f>
        <v>show</v>
      </c>
      <c r="E7934" t="str">
        <f>HYPERLINK("https://github.com/TeamNewPipe/NewPipe","show")</f>
        <v>show</v>
      </c>
      <c r="F7934" t="str">
        <f>HYPERLINK("https://github.com/TeamNewPipe/NewPipe/releases","show")</f>
        <v>show</v>
      </c>
    </row>
    <row r="7935" spans="1:6">
      <c r="A7935" t="s">
        <v>23552</v>
      </c>
      <c r="B7935" t="s">
        <v>23553</v>
      </c>
      <c r="C7935" t="s">
        <v>23554</v>
      </c>
      <c r="D7935" t="str">
        <f>HYPERLINK("https://github.com/inaturalist/iNaturalistAndroid/issues/821","show")</f>
        <v>show</v>
      </c>
      <c r="E7935" t="str">
        <f>HYPERLINK("https://github.com/inaturalist/iNaturalistAndroid","show")</f>
        <v>show</v>
      </c>
      <c r="F7935" t="str">
        <f>HYPERLINK("https://github.com/inaturalist/iNaturalistAndroid/releases","show")</f>
        <v>show</v>
      </c>
    </row>
    <row r="7936" spans="1:6">
      <c r="A7936" t="s">
        <v>23555</v>
      </c>
      <c r="B7936" t="s">
        <v>23556</v>
      </c>
      <c r="C7936" t="s">
        <v>23557</v>
      </c>
      <c r="D7936" t="str">
        <f>HYPERLINK("https://github.com/ankidroid/Anki-Android/issues/6110","show")</f>
        <v>show</v>
      </c>
      <c r="E7936" t="str">
        <f>HYPERLINK("https://github.com/ankidroid/Anki-Android","show")</f>
        <v>show</v>
      </c>
      <c r="F7936" t="str">
        <f>HYPERLINK("https://github.com/ankidroid/Anki-Android/releases","show")</f>
        <v>show</v>
      </c>
    </row>
    <row r="7937" spans="1:6">
      <c r="A7937" t="s">
        <v>23558</v>
      </c>
      <c r="B7937" t="s">
        <v>23559</v>
      </c>
      <c r="C7937" t="s">
        <v>23560</v>
      </c>
      <c r="D7937" t="str">
        <f>HYPERLINK("https://github.com/nextcloud/android/issues/6004","show")</f>
        <v>show</v>
      </c>
      <c r="E7937" t="str">
        <f>HYPERLINK("https://github.com/nextcloud/android","show")</f>
        <v>show</v>
      </c>
      <c r="F7937" t="str">
        <f>HYPERLINK("https://github.com/nextcloud/android/releases","show")</f>
        <v>show</v>
      </c>
    </row>
    <row r="7938" spans="1:6">
      <c r="A7938" t="s">
        <v>23561</v>
      </c>
      <c r="B7938" t="s">
        <v>23562</v>
      </c>
      <c r="C7938" t="s">
        <v>23563</v>
      </c>
      <c r="D7938" t="str">
        <f>HYPERLINK("https://github.com/TeamNewPipe/NewPipe/issues/3527","show")</f>
        <v>show</v>
      </c>
      <c r="E7938" t="str">
        <f>HYPERLINK("https://github.com/TeamNewPipe/NewPipe","show")</f>
        <v>show</v>
      </c>
      <c r="F7938" t="str">
        <f>HYPERLINK("https://github.com/TeamNewPipe/NewPipe/releases","show")</f>
        <v>show</v>
      </c>
    </row>
    <row r="7939" spans="1:6">
      <c r="A7939" t="s">
        <v>23564</v>
      </c>
      <c r="B7939" t="s">
        <v>23565</v>
      </c>
      <c r="C7939" t="s">
        <v>23566</v>
      </c>
      <c r="D7939" t="str">
        <f>HYPERLINK("https://github.com/nextcloud/android/issues/6003","show")</f>
        <v>show</v>
      </c>
      <c r="E7939" t="str">
        <f>HYPERLINK("https://github.com/nextcloud/android","show")</f>
        <v>show</v>
      </c>
      <c r="F7939" t="str">
        <f>HYPERLINK("https://github.com/nextcloud/android/releases","show")</f>
        <v>show</v>
      </c>
    </row>
    <row r="7940" spans="1:6">
      <c r="A7940" t="s">
        <v>23567</v>
      </c>
      <c r="B7940" t="s">
        <v>23568</v>
      </c>
      <c r="C7940" t="s">
        <v>23569</v>
      </c>
      <c r="D7940" t="str">
        <f>HYPERLINK("https://github.com/material-components/material-components-android/issues/1273","show")</f>
        <v>show</v>
      </c>
      <c r="E7940" t="str">
        <f>HYPERLINK("https://github.com/material-components/material-components-android","show")</f>
        <v>show</v>
      </c>
      <c r="F7940" t="str">
        <f>HYPERLINK("https://github.com/material-components/material-components-android/releases","show")</f>
        <v>show</v>
      </c>
    </row>
    <row r="7941" spans="1:6">
      <c r="A7941" t="s">
        <v>23570</v>
      </c>
      <c r="B7941" t="s">
        <v>23571</v>
      </c>
      <c r="C7941" t="s">
        <v>23572</v>
      </c>
      <c r="D7941" t="str">
        <f>HYPERLINK("https://github.com/opensrp/opensrp-client-growth-monitoring/issues/68","show")</f>
        <v>show</v>
      </c>
      <c r="E7941" t="str">
        <f>HYPERLINK("https://github.com/opensrp/opensrp-client-growth-monitoring","show")</f>
        <v>show</v>
      </c>
      <c r="F7941" t="str">
        <f>HYPERLINK("https://github.com/opensrp/opensrp-client-growth-monitoring/releases","show")</f>
        <v>show</v>
      </c>
    </row>
    <row r="7942" spans="1:6">
      <c r="A7942" t="s">
        <v>23573</v>
      </c>
      <c r="B7942" t="s">
        <v>23574</v>
      </c>
      <c r="C7942" t="s">
        <v>23575</v>
      </c>
      <c r="D7942" t="str">
        <f>HYPERLINK("https://github.com/commons-app/apps-android-commons/issues/3725","show")</f>
        <v>show</v>
      </c>
      <c r="E7942" t="str">
        <f>HYPERLINK("https://github.com/commons-app/apps-android-commons","show")</f>
        <v>show</v>
      </c>
      <c r="F7942" t="str">
        <f>HYPERLINK("https://github.com/commons-app/apps-android-commons/releases","show")</f>
        <v>show</v>
      </c>
    </row>
    <row r="7943" spans="1:6">
      <c r="A7943" t="s">
        <v>23576</v>
      </c>
      <c r="B7943" t="s">
        <v>23577</v>
      </c>
      <c r="C7943" t="s">
        <v>23578</v>
      </c>
      <c r="D7943" t="str">
        <f>HYPERLINK("https://github.com/android/tv-samples/issues/29","show")</f>
        <v>show</v>
      </c>
      <c r="E7943" t="str">
        <f>HYPERLINK("https://github.com/android/tv-samples","show")</f>
        <v>show</v>
      </c>
      <c r="F7943" t="str">
        <f>HYPERLINK("https://github.com/android/tv-samples/releases","show")</f>
        <v>show</v>
      </c>
    </row>
    <row r="7944" spans="1:6">
      <c r="A7944" t="s">
        <v>23579</v>
      </c>
      <c r="B7944" t="s">
        <v>23580</v>
      </c>
      <c r="C7944" t="s">
        <v>23581</v>
      </c>
      <c r="D7944" t="str">
        <f>HYPERLINK("https://github.com/TeamNewPipe/NewPipe/issues/3524","show")</f>
        <v>show</v>
      </c>
      <c r="E7944" t="str">
        <f>HYPERLINK("https://github.com/TeamNewPipe/NewPipe","show")</f>
        <v>show</v>
      </c>
      <c r="F7944" t="str">
        <f>HYPERLINK("https://github.com/TeamNewPipe/NewPipe/releases","show")</f>
        <v>show</v>
      </c>
    </row>
    <row r="7945" spans="1:6">
      <c r="A7945" t="s">
        <v>23582</v>
      </c>
      <c r="B7945" t="s">
        <v>23583</v>
      </c>
      <c r="C7945" t="s">
        <v>23584</v>
      </c>
      <c r="D7945" t="str">
        <f>HYPERLINK("https://github.com/gnalberski/GNv1/issues/11","show")</f>
        <v>show</v>
      </c>
      <c r="E7945" t="str">
        <f>HYPERLINK("https://github.com/gnalberski/GNv1","show")</f>
        <v>show</v>
      </c>
      <c r="F7945" t="str">
        <f>HYPERLINK("https://github.com/gnalberski/GNv1/releases","show")</f>
        <v>show</v>
      </c>
    </row>
    <row r="7946" spans="1:6">
      <c r="A7946" t="s">
        <v>23585</v>
      </c>
      <c r="B7946" t="s">
        <v>8633</v>
      </c>
      <c r="C7946" t="s">
        <v>23586</v>
      </c>
      <c r="D7946" t="str">
        <f>HYPERLINK("https://github.com/nextcloud/android/issues/5999","show")</f>
        <v>show</v>
      </c>
      <c r="E7946" t="str">
        <f>HYPERLINK("https://github.com/nextcloud/android","show")</f>
        <v>show</v>
      </c>
      <c r="F7946" t="str">
        <f>HYPERLINK("https://github.com/nextcloud/android/releases","show")</f>
        <v>show</v>
      </c>
    </row>
    <row r="7947" spans="1:6">
      <c r="A7947" t="s">
        <v>23587</v>
      </c>
      <c r="B7947" t="s">
        <v>23588</v>
      </c>
      <c r="C7947" t="s">
        <v>23589</v>
      </c>
      <c r="D7947" t="str">
        <f>HYPERLINK("https://github.com/nextcloud/android/issues/5998","show")</f>
        <v>show</v>
      </c>
      <c r="E7947" t="str">
        <f>HYPERLINK("https://github.com/nextcloud/android","show")</f>
        <v>show</v>
      </c>
      <c r="F7947" t="str">
        <f>HYPERLINK("https://github.com/nextcloud/android/releases","show")</f>
        <v>show</v>
      </c>
    </row>
    <row r="7948" spans="1:6">
      <c r="A7948" t="s">
        <v>23590</v>
      </c>
      <c r="B7948" t="s">
        <v>23591</v>
      </c>
      <c r="C7948" t="s">
        <v>23592</v>
      </c>
      <c r="D7948" t="str">
        <f>HYPERLINK("https://github.com/forrestguice/SuntimesWidget/issues/408","show")</f>
        <v>show</v>
      </c>
      <c r="E7948" t="str">
        <f>HYPERLINK("https://github.com/forrestguice/SuntimesWidget","show")</f>
        <v>show</v>
      </c>
      <c r="F7948" t="str">
        <f>HYPERLINK("https://github.com/forrestguice/SuntimesWidget/releases","show")</f>
        <v>show</v>
      </c>
    </row>
    <row r="7949" spans="1:6">
      <c r="A7949" t="s">
        <v>23593</v>
      </c>
      <c r="B7949" t="s">
        <v>23594</v>
      </c>
      <c r="C7949" t="s">
        <v>23595</v>
      </c>
      <c r="D7949" t="str">
        <f>HYPERLINK("https://github.com/Tencent/QMUI_Android/issues/910","show")</f>
        <v>show</v>
      </c>
      <c r="E7949" t="str">
        <f>HYPERLINK("https://github.com/Tencent/QMUI_Android","show")</f>
        <v>show</v>
      </c>
      <c r="F7949" t="str">
        <f>HYPERLINK("https://github.com/Tencent/QMUI_Android/releases","show")</f>
        <v>show</v>
      </c>
    </row>
    <row r="7950" spans="1:6">
      <c r="A7950" t="s">
        <v>23596</v>
      </c>
      <c r="B7950" t="s">
        <v>23597</v>
      </c>
      <c r="C7950" t="s">
        <v>23598</v>
      </c>
      <c r="D7950" t="str">
        <f>HYPERLINK("https://github.com/vehiloco/crypto-checker/issues/4","show")</f>
        <v>show</v>
      </c>
      <c r="E7950" t="str">
        <f>HYPERLINK("https://github.com/vehiloco/crypto-checker","show")</f>
        <v>show</v>
      </c>
      <c r="F7950" t="str">
        <f>HYPERLINK("https://github.com/vehiloco/crypto-checker/releases","show")</f>
        <v>show</v>
      </c>
    </row>
    <row r="7951" spans="1:6">
      <c r="A7951" t="s">
        <v>23599</v>
      </c>
      <c r="B7951" t="s">
        <v>23600</v>
      </c>
      <c r="C7951" t="s">
        <v>23601</v>
      </c>
      <c r="D7951" t="str">
        <f>HYPERLINK("https://github.com/nextcloud/android/issues/5995","show")</f>
        <v>show</v>
      </c>
      <c r="E7951" t="str">
        <f>HYPERLINK("https://github.com/nextcloud/android","show")</f>
        <v>show</v>
      </c>
      <c r="F7951" t="str">
        <f>HYPERLINK("https://github.com/nextcloud/android/releases","show")</f>
        <v>show</v>
      </c>
    </row>
    <row r="7952" spans="1:6">
      <c r="A7952" t="s">
        <v>23602</v>
      </c>
      <c r="B7952" t="s">
        <v>23603</v>
      </c>
      <c r="C7952" t="s">
        <v>23604</v>
      </c>
      <c r="D7952" t="str">
        <f>HYPERLINK("https://github.com/TeamNewPipe/NewPipe/issues/3512","show")</f>
        <v>show</v>
      </c>
      <c r="E7952" t="str">
        <f>HYPERLINK("https://github.com/TeamNewPipe/NewPipe","show")</f>
        <v>show</v>
      </c>
      <c r="F7952" t="str">
        <f>HYPERLINK("https://github.com/TeamNewPipe/NewPipe/releases","show")</f>
        <v>show</v>
      </c>
    </row>
    <row r="7953" spans="1:6">
      <c r="A7953" t="s">
        <v>23605</v>
      </c>
      <c r="B7953" t="s">
        <v>23606</v>
      </c>
      <c r="C7953" t="s">
        <v>23607</v>
      </c>
      <c r="D7953" t="str">
        <f>HYPERLINK("https://github.com/inaturalist/iNaturalistAndroid/issues/818","show")</f>
        <v>show</v>
      </c>
      <c r="E7953" t="str">
        <f>HYPERLINK("https://github.com/inaturalist/iNaturalistAndroid","show")</f>
        <v>show</v>
      </c>
      <c r="F7953" t="str">
        <f>HYPERLINK("https://github.com/inaturalist/iNaturalistAndroid/releases","show")</f>
        <v>show</v>
      </c>
    </row>
    <row r="7954" spans="1:6">
      <c r="A7954" t="s">
        <v>23608</v>
      </c>
      <c r="B7954" t="s">
        <v>23609</v>
      </c>
      <c r="C7954" t="s">
        <v>23610</v>
      </c>
      <c r="D7954" t="str">
        <f>HYPERLINK("https://github.com/doublesymmetry/react-native-track-player/issues/924","show")</f>
        <v>show</v>
      </c>
      <c r="E7954" t="str">
        <f>HYPERLINK("https://github.com/doublesymmetry/react-native-track-player","show")</f>
        <v>show</v>
      </c>
      <c r="F7954" t="str">
        <f>HYPERLINK("https://github.com/doublesymmetry/react-native-track-player/releases","show")</f>
        <v>show</v>
      </c>
    </row>
    <row r="7955" spans="1:6">
      <c r="A7955" t="s">
        <v>23611</v>
      </c>
      <c r="B7955" t="s">
        <v>23612</v>
      </c>
      <c r="C7955" t="s">
        <v>23613</v>
      </c>
      <c r="D7955" t="str">
        <f>HYPERLINK("https://github.com/ElderDrivers/EdXposed/issues/526","show")</f>
        <v>show</v>
      </c>
      <c r="E7955" t="str">
        <f>HYPERLINK("https://github.com/ElderDrivers/EdXposed","show")</f>
        <v>show</v>
      </c>
      <c r="F7955" t="str">
        <f>HYPERLINK("https://github.com/ElderDrivers/EdXposed/releases","show")</f>
        <v>show</v>
      </c>
    </row>
    <row r="7956" spans="1:6">
      <c r="A7956" t="s">
        <v>23614</v>
      </c>
      <c r="B7956" t="s">
        <v>23615</v>
      </c>
      <c r="C7956" t="s">
        <v>23616</v>
      </c>
      <c r="D7956" t="str">
        <f>HYPERLINK("https://github.com/fossasia/phimpme-android/issues/3043","show")</f>
        <v>show</v>
      </c>
      <c r="E7956" t="str">
        <f>HYPERLINK("https://github.com/fossasia/phimpme-android","show")</f>
        <v>show</v>
      </c>
      <c r="F7956" t="str">
        <f>HYPERLINK("https://github.com/fossasia/phimpme-android/releases","show")</f>
        <v>show</v>
      </c>
    </row>
    <row r="7957" spans="1:6">
      <c r="A7957" t="s">
        <v>23617</v>
      </c>
      <c r="B7957" t="s">
        <v>23618</v>
      </c>
      <c r="C7957" t="s">
        <v>23619</v>
      </c>
      <c r="D7957" t="str">
        <f>HYPERLINK("https://github.com/iNPUTmice/Conversations/issues/3682","show")</f>
        <v>show</v>
      </c>
      <c r="E7957" t="str">
        <f>HYPERLINK("https://github.com/iNPUTmice/Conversations","show")</f>
        <v>show</v>
      </c>
      <c r="F7957" t="str">
        <f>HYPERLINK("https://github.com/iNPUTmice/Conversations/releases","show")</f>
        <v>show</v>
      </c>
    </row>
    <row r="7958" spans="1:6">
      <c r="A7958" t="s">
        <v>23620</v>
      </c>
      <c r="B7958" t="s">
        <v>23621</v>
      </c>
      <c r="C7958" t="s">
        <v>23622</v>
      </c>
      <c r="D7958" t="str">
        <f>HYPERLINK("https://github.com/morenoh149/react-native-contacts/issues/516","show")</f>
        <v>show</v>
      </c>
      <c r="E7958" t="str">
        <f>HYPERLINK("https://github.com/morenoh149/react-native-contacts","show")</f>
        <v>show</v>
      </c>
      <c r="F7958" t="str">
        <f>HYPERLINK("https://github.com/morenoh149/react-native-contacts/releases","show")</f>
        <v>show</v>
      </c>
    </row>
    <row r="7959" spans="1:6">
      <c r="A7959" t="s">
        <v>23623</v>
      </c>
      <c r="B7959" t="s">
        <v>23624</v>
      </c>
      <c r="C7959" t="s">
        <v>23625</v>
      </c>
      <c r="D7959" t="str">
        <f>HYPERLINK("https://github.com/ankidroid/Anki-Android/issues/6089","show")</f>
        <v>show</v>
      </c>
      <c r="E7959" t="str">
        <f>HYPERLINK("https://github.com/ankidroid/Anki-Android","show")</f>
        <v>show</v>
      </c>
      <c r="F7959" t="str">
        <f>HYPERLINK("https://github.com/ankidroid/Anki-Android/releases","show")</f>
        <v>show</v>
      </c>
    </row>
    <row r="7960" spans="1:6">
      <c r="A7960" t="s">
        <v>23626</v>
      </c>
      <c r="B7960" t="s">
        <v>23627</v>
      </c>
      <c r="C7960" t="s">
        <v>23628</v>
      </c>
      <c r="D7960" t="str">
        <f>HYPERLINK("https://github.com/google/ExoPlayer/issues/7306","show")</f>
        <v>show</v>
      </c>
      <c r="E7960" t="str">
        <f>HYPERLINK("https://github.com/google/ExoPlayer","show")</f>
        <v>show</v>
      </c>
      <c r="F7960" t="str">
        <f>HYPERLINK("https://github.com/google/ExoPlayer/releases","show")</f>
        <v>show</v>
      </c>
    </row>
    <row r="7961" spans="1:6">
      <c r="A7961" t="s">
        <v>23629</v>
      </c>
      <c r="B7961" t="s">
        <v>23630</v>
      </c>
      <c r="C7961" t="s">
        <v>23631</v>
      </c>
      <c r="D7961" t="str">
        <f>HYPERLINK("https://github.com/andOTP/andOTP/issues/533","show")</f>
        <v>show</v>
      </c>
      <c r="E7961" t="str">
        <f>HYPERLINK("https://github.com/andOTP/andOTP","show")</f>
        <v>show</v>
      </c>
      <c r="F7961" t="str">
        <f>HYPERLINK("https://github.com/andOTP/andOTP/releases","show")</f>
        <v>show</v>
      </c>
    </row>
    <row r="7962" spans="1:6">
      <c r="A7962" t="s">
        <v>23632</v>
      </c>
      <c r="B7962" t="s">
        <v>23633</v>
      </c>
      <c r="C7962" t="s">
        <v>23634</v>
      </c>
      <c r="D7962" t="str">
        <f>HYPERLINK("https://github.com/dev-labs-bg/fullscreen-video-view/issues/71","show")</f>
        <v>show</v>
      </c>
      <c r="E7962" t="str">
        <f>HYPERLINK("https://github.com/dev-labs-bg/fullscreen-video-view","show")</f>
        <v>show</v>
      </c>
      <c r="F7962" t="str">
        <f>HYPERLINK("https://github.com/dev-labs-bg/fullscreen-video-view/releases","show")</f>
        <v>show</v>
      </c>
    </row>
    <row r="7963" spans="1:6">
      <c r="A7963" t="s">
        <v>23635</v>
      </c>
      <c r="B7963" t="s">
        <v>23636</v>
      </c>
      <c r="C7963" t="s">
        <v>23637</v>
      </c>
      <c r="D7963" t="str">
        <f>HYPERLINK("https://github.com/aws/aws-iot-device-sdk-java-v2/issues/53","show")</f>
        <v>show</v>
      </c>
      <c r="E7963" t="str">
        <f>HYPERLINK("https://github.com/aws/aws-iot-device-sdk-java-v2","show")</f>
        <v>show</v>
      </c>
      <c r="F7963" t="str">
        <f>HYPERLINK("https://github.com/aws/aws-iot-device-sdk-java-v2/releases","show")</f>
        <v>show</v>
      </c>
    </row>
    <row r="7964" spans="1:6">
      <c r="A7964" t="s">
        <v>23638</v>
      </c>
      <c r="B7964" t="s">
        <v>23639</v>
      </c>
      <c r="C7964" t="s">
        <v>23640</v>
      </c>
      <c r="D7964" t="str">
        <f>HYPERLINK("https://github.com/GoogleCloudPlatform/fda-mystudies/issues/252","show")</f>
        <v>show</v>
      </c>
      <c r="E7964" t="str">
        <f>HYPERLINK("https://github.com/GoogleCloudPlatform/fda-mystudies","show")</f>
        <v>show</v>
      </c>
      <c r="F7964" t="str">
        <f>HYPERLINK("https://github.com/GoogleCloudPlatform/fda-mystudies/releases","show")</f>
        <v>show</v>
      </c>
    </row>
    <row r="7965" spans="1:6">
      <c r="A7965" t="s">
        <v>23641</v>
      </c>
      <c r="B7965" t="s">
        <v>23642</v>
      </c>
      <c r="C7965" t="s">
        <v>23643</v>
      </c>
      <c r="D7965" t="str">
        <f>HYPERLINK("https://github.com/andrzejchm/RESTMock/issues/111","show")</f>
        <v>show</v>
      </c>
      <c r="E7965" t="str">
        <f>HYPERLINK("https://github.com/andrzejchm/RESTMock","show")</f>
        <v>show</v>
      </c>
      <c r="F7965" t="str">
        <f>HYPERLINK("https://github.com/andrzejchm/RESTMock/releases","show")</f>
        <v>show</v>
      </c>
    </row>
    <row r="7966" spans="1:6">
      <c r="A7966" t="s">
        <v>23644</v>
      </c>
      <c r="B7966" t="s">
        <v>23645</v>
      </c>
      <c r="C7966" t="s">
        <v>23646</v>
      </c>
      <c r="D7966" t="str">
        <f>HYPERLINK("https://github.com/TeamNewPipe/NewPipe/issues/3497","show")</f>
        <v>show</v>
      </c>
      <c r="E7966" t="str">
        <f>HYPERLINK("https://github.com/TeamNewPipe/NewPipe","show")</f>
        <v>show</v>
      </c>
      <c r="F7966" t="str">
        <f>HYPERLINK("https://github.com/TeamNewPipe/NewPipe/releases","show")</f>
        <v>show</v>
      </c>
    </row>
    <row r="7967" spans="1:6">
      <c r="A7967" t="s">
        <v>23647</v>
      </c>
      <c r="B7967" t="s">
        <v>23648</v>
      </c>
      <c r="C7967" t="s">
        <v>23649</v>
      </c>
      <c r="D7967" t="str">
        <f>HYPERLINK("https://github.com/OneBusAway/onebusaway-android/issues/1037","show")</f>
        <v>show</v>
      </c>
      <c r="E7967" t="str">
        <f>HYPERLINK("https://github.com/OneBusAway/onebusaway-android","show")</f>
        <v>show</v>
      </c>
      <c r="F7967" t="str">
        <f>HYPERLINK("https://github.com/OneBusAway/onebusaway-android/releases","show")</f>
        <v>show</v>
      </c>
    </row>
    <row r="7968" spans="1:6">
      <c r="A7968" t="s">
        <v>23650</v>
      </c>
      <c r="B7968" t="s">
        <v>23651</v>
      </c>
      <c r="C7968" t="s">
        <v>23652</v>
      </c>
      <c r="D7968" t="str">
        <f>HYPERLINK("https://github.com/material-components/material-components-android/issues/1251","show")</f>
        <v>show</v>
      </c>
      <c r="E7968" t="str">
        <f>HYPERLINK("https://github.com/material-components/material-components-android","show")</f>
        <v>show</v>
      </c>
      <c r="F7968" t="str">
        <f>HYPERLINK("https://github.com/material-components/material-components-android/releases","show")</f>
        <v>show</v>
      </c>
    </row>
    <row r="7969" spans="1:6">
      <c r="A7969" t="s">
        <v>23653</v>
      </c>
      <c r="B7969" t="s">
        <v>23654</v>
      </c>
      <c r="C7969" t="s">
        <v>23655</v>
      </c>
      <c r="D7969" t="str">
        <f>HYPERLINK("https://github.com/fennifith/Alarmio/issues/112","show")</f>
        <v>show</v>
      </c>
      <c r="E7969" t="str">
        <f>HYPERLINK("https://github.com/fennifith/Alarmio","show")</f>
        <v>show</v>
      </c>
      <c r="F7969" t="str">
        <f>HYPERLINK("https://github.com/fennifith/Alarmio/releases","show")</f>
        <v>show</v>
      </c>
    </row>
    <row r="7970" spans="1:6">
      <c r="A7970" t="s">
        <v>23656</v>
      </c>
      <c r="B7970" t="s">
        <v>23657</v>
      </c>
      <c r="C7970" t="s">
        <v>23658</v>
      </c>
      <c r="D7970" t="str">
        <f>HYPERLINK("https://github.com/material-components/material-components-android/issues/1249","show")</f>
        <v>show</v>
      </c>
      <c r="E7970" t="str">
        <f>HYPERLINK("https://github.com/material-components/material-components-android","show")</f>
        <v>show</v>
      </c>
      <c r="F7970" t="str">
        <f>HYPERLINK("https://github.com/material-components/material-components-android/releases","show")</f>
        <v>show</v>
      </c>
    </row>
    <row r="7971" spans="1:6">
      <c r="A7971" t="s">
        <v>23659</v>
      </c>
      <c r="B7971" t="s">
        <v>23660</v>
      </c>
      <c r="C7971" t="s">
        <v>23661</v>
      </c>
      <c r="D7971" t="str">
        <f>HYPERLINK("https://github.com/k9mail/k-9/issues/4697","show")</f>
        <v>show</v>
      </c>
      <c r="E7971" t="str">
        <f>HYPERLINK("https://github.com/k9mail/k-9","show")</f>
        <v>show</v>
      </c>
      <c r="F7971" t="str">
        <f>HYPERLINK("https://github.com/k9mail/k-9/releases","show")</f>
        <v>show</v>
      </c>
    </row>
    <row r="7972" spans="1:6">
      <c r="A7972" t="s">
        <v>23662</v>
      </c>
      <c r="B7972" t="s">
        <v>23663</v>
      </c>
      <c r="C7972" t="s">
        <v>23664</v>
      </c>
      <c r="D7972" t="str">
        <f>HYPERLINK("https://github.com/zhanghai/AndroidFastScroll/issues/18","show")</f>
        <v>show</v>
      </c>
      <c r="E7972" t="str">
        <f>HYPERLINK("https://github.com/zhanghai/AndroidFastScroll","show")</f>
        <v>show</v>
      </c>
      <c r="F7972" t="str">
        <f>HYPERLINK("https://github.com/zhanghai/AndroidFastScroll/releases","show")</f>
        <v>show</v>
      </c>
    </row>
    <row r="7973" spans="1:6">
      <c r="A7973" t="s">
        <v>23665</v>
      </c>
      <c r="B7973" t="s">
        <v>23666</v>
      </c>
      <c r="C7973" t="s">
        <v>23667</v>
      </c>
      <c r="D7973" t="str">
        <f>HYPERLINK("https://github.com/GoogleChrome/android-browser-helper/issues/89","show")</f>
        <v>show</v>
      </c>
      <c r="E7973" t="str">
        <f>HYPERLINK("https://github.com/GoogleChrome/android-browser-helper","show")</f>
        <v>show</v>
      </c>
      <c r="F7973" t="str">
        <f>HYPERLINK("https://github.com/GoogleChrome/android-browser-helper/releases","show")</f>
        <v>show</v>
      </c>
    </row>
    <row r="7974" spans="1:6">
      <c r="A7974" t="s">
        <v>23668</v>
      </c>
      <c r="B7974" t="s">
        <v>23669</v>
      </c>
      <c r="C7974" t="s">
        <v>23670</v>
      </c>
      <c r="D7974" t="str">
        <f>HYPERLINK("https://github.com/MrCatDog/JustCalc/issues/3","show")</f>
        <v>show</v>
      </c>
      <c r="E7974" t="str">
        <f>HYPERLINK("https://github.com/MrCatDog/JustCalc","show")</f>
        <v>show</v>
      </c>
      <c r="F7974" t="str">
        <f>HYPERLINK("https://github.com/MrCatDog/JustCalc/releases","show")</f>
        <v>show</v>
      </c>
    </row>
    <row r="7975" spans="1:6">
      <c r="A7975" t="s">
        <v>23671</v>
      </c>
      <c r="B7975" t="s">
        <v>23672</v>
      </c>
      <c r="C7975" t="s">
        <v>23673</v>
      </c>
      <c r="D7975" t="str">
        <f>HYPERLINK("https://github.com/TeamNewPipe/NewPipe/issues/3484","show")</f>
        <v>show</v>
      </c>
      <c r="E7975" t="str">
        <f>HYPERLINK("https://github.com/TeamNewPipe/NewPipe","show")</f>
        <v>show</v>
      </c>
      <c r="F7975" t="str">
        <f>HYPERLINK("https://github.com/TeamNewPipe/NewPipe/releases","show")</f>
        <v>show</v>
      </c>
    </row>
    <row r="7976" spans="1:6">
      <c r="A7976" t="s">
        <v>23674</v>
      </c>
      <c r="B7976" t="s">
        <v>23675</v>
      </c>
      <c r="C7976" t="s">
        <v>23676</v>
      </c>
      <c r="D7976" t="str">
        <f>HYPERLINK("https://github.com/cyclestreets/android/issues/368","show")</f>
        <v>show</v>
      </c>
      <c r="E7976" t="str">
        <f>HYPERLINK("https://github.com/cyclestreets/android","show")</f>
        <v>show</v>
      </c>
      <c r="F7976" t="str">
        <f>HYPERLINK("https://github.com/cyclestreets/android/releases","show")</f>
        <v>show</v>
      </c>
    </row>
    <row r="7977" spans="1:6">
      <c r="A7977" t="s">
        <v>23677</v>
      </c>
      <c r="B7977" t="s">
        <v>107</v>
      </c>
      <c r="C7977" t="s">
        <v>23678</v>
      </c>
      <c r="D7977" t="str">
        <f>HYPERLINK("https://github.com/nextcloud/android/issues/5939","show")</f>
        <v>show</v>
      </c>
      <c r="E7977" t="str">
        <f>HYPERLINK("https://github.com/nextcloud/android","show")</f>
        <v>show</v>
      </c>
      <c r="F7977" t="str">
        <f>HYPERLINK("https://github.com/nextcloud/android/releases","show")</f>
        <v>show</v>
      </c>
    </row>
    <row r="7978" spans="1:6">
      <c r="A7978" t="s">
        <v>23679</v>
      </c>
      <c r="B7978" t="s">
        <v>23680</v>
      </c>
      <c r="C7978" t="s">
        <v>23681</v>
      </c>
      <c r="D7978" t="str">
        <f>HYPERLINK("https://github.com/material-components/material-components-android/issues/1245","show")</f>
        <v>show</v>
      </c>
      <c r="E7978" t="str">
        <f>HYPERLINK("https://github.com/material-components/material-components-android","show")</f>
        <v>show</v>
      </c>
      <c r="F7978" t="str">
        <f>HYPERLINK("https://github.com/material-components/material-components-android/releases","show")</f>
        <v>show</v>
      </c>
    </row>
    <row r="7979" spans="1:6">
      <c r="A7979" t="s">
        <v>23682</v>
      </c>
      <c r="B7979" t="s">
        <v>23683</v>
      </c>
      <c r="C7979" t="s">
        <v>23684</v>
      </c>
      <c r="D7979" t="str">
        <f>HYPERLINK("https://github.com/NordicSemiconductor/Android-BLE-Library/issues/188","show")</f>
        <v>show</v>
      </c>
      <c r="E7979" t="str">
        <f>HYPERLINK("https://github.com/NordicSemiconductor/Android-BLE-Library","show")</f>
        <v>show</v>
      </c>
      <c r="F7979" t="str">
        <f>HYPERLINK("https://github.com/NordicSemiconductor/Android-BLE-Library/releases","show")</f>
        <v>show</v>
      </c>
    </row>
    <row r="7980" spans="1:6">
      <c r="A7980" t="s">
        <v>23685</v>
      </c>
      <c r="B7980" t="s">
        <v>23686</v>
      </c>
      <c r="C7980" t="s">
        <v>23687</v>
      </c>
      <c r="D7980" t="str">
        <f>HYPERLINK("https://github.com/nextcloud/android/issues/5936","show")</f>
        <v>show</v>
      </c>
      <c r="E7980" t="str">
        <f>HYPERLINK("https://github.com/nextcloud/android","show")</f>
        <v>show</v>
      </c>
      <c r="F7980" t="str">
        <f>HYPERLINK("https://github.com/nextcloud/android/releases","show")</f>
        <v>show</v>
      </c>
    </row>
    <row r="7981" spans="1:6">
      <c r="A7981" t="s">
        <v>23688</v>
      </c>
      <c r="B7981" t="s">
        <v>23689</v>
      </c>
      <c r="C7981" t="s">
        <v>23690</v>
      </c>
      <c r="D7981" t="str">
        <f>HYPERLINK("https://github.com/commons-app/apps-android-commons/issues/3706","show")</f>
        <v>show</v>
      </c>
      <c r="E7981" t="str">
        <f>HYPERLINK("https://github.com/commons-app/apps-android-commons","show")</f>
        <v>show</v>
      </c>
      <c r="F7981" t="str">
        <f>HYPERLINK("https://github.com/commons-app/apps-android-commons/releases","show")</f>
        <v>show</v>
      </c>
    </row>
    <row r="7982" spans="1:6">
      <c r="A7982" t="s">
        <v>23691</v>
      </c>
      <c r="B7982" t="s">
        <v>23692</v>
      </c>
      <c r="C7982" t="s">
        <v>23693</v>
      </c>
      <c r="D7982" t="str">
        <f>HYPERLINK("https://github.com/commons-app/apps-android-commons/issues/3705","show")</f>
        <v>show</v>
      </c>
      <c r="E7982" t="str">
        <f>HYPERLINK("https://github.com/commons-app/apps-android-commons","show")</f>
        <v>show</v>
      </c>
      <c r="F7982" t="str">
        <f>HYPERLINK("https://github.com/commons-app/apps-android-commons/releases","show")</f>
        <v>show</v>
      </c>
    </row>
    <row r="7983" spans="1:6">
      <c r="A7983" t="s">
        <v>23694</v>
      </c>
      <c r="B7983" t="s">
        <v>23695</v>
      </c>
      <c r="C7983" t="s">
        <v>23696</v>
      </c>
      <c r="D7983" t="str">
        <f>HYPERLINK("https://github.com/nextcloud/android/issues/5928","show")</f>
        <v>show</v>
      </c>
      <c r="E7983" t="str">
        <f>HYPERLINK("https://github.com/nextcloud/android","show")</f>
        <v>show</v>
      </c>
      <c r="F7983" t="str">
        <f>HYPERLINK("https://github.com/nextcloud/android/releases","show")</f>
        <v>show</v>
      </c>
    </row>
    <row r="7984" spans="1:6">
      <c r="A7984" t="s">
        <v>23697</v>
      </c>
      <c r="B7984" t="s">
        <v>23698</v>
      </c>
      <c r="C7984" t="s">
        <v>23699</v>
      </c>
      <c r="D7984" t="str">
        <f>HYPERLINK("https://github.com/cgeo/cgeo/issues/8241","show")</f>
        <v>show</v>
      </c>
      <c r="E7984" t="str">
        <f>HYPERLINK("https://github.com/cgeo/cgeo","show")</f>
        <v>show</v>
      </c>
      <c r="F7984" t="str">
        <f>HYPERLINK("https://github.com/cgeo/cgeo/releases","show")</f>
        <v>show</v>
      </c>
    </row>
    <row r="7985" spans="1:6">
      <c r="A7985" t="s">
        <v>23700</v>
      </c>
      <c r="B7985" t="s">
        <v>23701</v>
      </c>
      <c r="C7985" t="s">
        <v>23702</v>
      </c>
      <c r="D7985" t="str">
        <f>HYPERLINK("https://github.com/connectbot/connectbot/issues/761","show")</f>
        <v>show</v>
      </c>
      <c r="E7985" t="str">
        <f>HYPERLINK("https://github.com/connectbot/connectbot","show")</f>
        <v>show</v>
      </c>
      <c r="F7985" t="str">
        <f>HYPERLINK("https://github.com/connectbot/connectbot/releases","show")</f>
        <v>show</v>
      </c>
    </row>
    <row r="7986" spans="1:6">
      <c r="A7986" t="s">
        <v>23703</v>
      </c>
      <c r="B7986" t="s">
        <v>23704</v>
      </c>
      <c r="C7986" t="s">
        <v>23705</v>
      </c>
      <c r="D7986" t="str">
        <f>HYPERLINK("https://github.com/nextcloud/android/issues/5926","show")</f>
        <v>show</v>
      </c>
      <c r="E7986" t="str">
        <f>HYPERLINK("https://github.com/nextcloud/android","show")</f>
        <v>show</v>
      </c>
      <c r="F7986" t="str">
        <f>HYPERLINK("https://github.com/nextcloud/android/releases","show")</f>
        <v>show</v>
      </c>
    </row>
    <row r="7987" spans="1:6">
      <c r="A7987" t="s">
        <v>23706</v>
      </c>
      <c r="B7987" t="s">
        <v>23707</v>
      </c>
      <c r="C7987" t="s">
        <v>23708</v>
      </c>
      <c r="D7987" t="str">
        <f>HYPERLINK("https://github.com/Fitbit/bitgatt/issues/25","show")</f>
        <v>show</v>
      </c>
      <c r="E7987" t="str">
        <f>HYPERLINK("https://github.com/Fitbit/bitgatt","show")</f>
        <v>show</v>
      </c>
      <c r="F7987" t="str">
        <f>HYPERLINK("https://github.com/Fitbit/bitgatt/releases","show")</f>
        <v>show</v>
      </c>
    </row>
    <row r="7988" spans="1:6">
      <c r="A7988" t="s">
        <v>23709</v>
      </c>
      <c r="B7988" t="s">
        <v>23710</v>
      </c>
      <c r="C7988" t="s">
        <v>23711</v>
      </c>
      <c r="D7988" t="str">
        <f>HYPERLINK("https://github.com/TeamNewPipe/NewPipe/issues/3473","show")</f>
        <v>show</v>
      </c>
      <c r="E7988" t="str">
        <f>HYPERLINK("https://github.com/TeamNewPipe/NewPipe","show")</f>
        <v>show</v>
      </c>
      <c r="F7988" t="str">
        <f>HYPERLINK("https://github.com/TeamNewPipe/NewPipe/releases","show")</f>
        <v>show</v>
      </c>
    </row>
    <row r="7989" spans="1:6">
      <c r="A7989" t="s">
        <v>23712</v>
      </c>
      <c r="B7989" t="s">
        <v>23713</v>
      </c>
      <c r="C7989" t="s">
        <v>23714</v>
      </c>
      <c r="D7989" t="str">
        <f>HYPERLINK("https://github.com/TeamNewPipe/NewPipe/issues/3470","show")</f>
        <v>show</v>
      </c>
      <c r="E7989" t="str">
        <f>HYPERLINK("https://github.com/TeamNewPipe/NewPipe","show")</f>
        <v>show</v>
      </c>
      <c r="F7989" t="str">
        <f>HYPERLINK("https://github.com/TeamNewPipe/NewPipe/releases","show")</f>
        <v>show</v>
      </c>
    </row>
    <row r="7990" spans="1:6">
      <c r="A7990" t="s">
        <v>23715</v>
      </c>
      <c r="B7990" t="s">
        <v>23716</v>
      </c>
      <c r="C7990" t="s">
        <v>23717</v>
      </c>
      <c r="D7990" t="str">
        <f>HYPERLINK("https://github.com/nextcloud/android/issues/5913","show")</f>
        <v>show</v>
      </c>
      <c r="E7990" t="str">
        <f>HYPERLINK("https://github.com/nextcloud/android","show")</f>
        <v>show</v>
      </c>
      <c r="F7990" t="str">
        <f>HYPERLINK("https://github.com/nextcloud/android/releases","show")</f>
        <v>show</v>
      </c>
    </row>
    <row r="7991" spans="1:6">
      <c r="A7991" t="s">
        <v>23718</v>
      </c>
      <c r="B7991" t="s">
        <v>23719</v>
      </c>
      <c r="C7991" t="s">
        <v>23720</v>
      </c>
      <c r="D7991" t="str">
        <f>HYPERLINK("https://github.com/google/ExoPlayer/issues/7278","show")</f>
        <v>show</v>
      </c>
      <c r="E7991" t="str">
        <f>HYPERLINK("https://github.com/google/ExoPlayer","show")</f>
        <v>show</v>
      </c>
      <c r="F7991" t="str">
        <f>HYPERLINK("https://github.com/google/ExoPlayer/releases","show")</f>
        <v>show</v>
      </c>
    </row>
    <row r="7992" spans="1:6">
      <c r="A7992" t="s">
        <v>23721</v>
      </c>
      <c r="B7992" t="s">
        <v>23722</v>
      </c>
      <c r="C7992" t="s">
        <v>23723</v>
      </c>
      <c r="D7992" t="str">
        <f>HYPERLINK("https://github.com/TeamNewPipe/NewPipe/issues/3469","show")</f>
        <v>show</v>
      </c>
      <c r="E7992" t="str">
        <f>HYPERLINK("https://github.com/TeamNewPipe/NewPipe","show")</f>
        <v>show</v>
      </c>
      <c r="F7992" t="str">
        <f>HYPERLINK("https://github.com/TeamNewPipe/NewPipe/releases","show")</f>
        <v>show</v>
      </c>
    </row>
    <row r="7993" spans="1:6">
      <c r="A7993" t="s">
        <v>23724</v>
      </c>
      <c r="B7993" t="s">
        <v>23725</v>
      </c>
      <c r="C7993" t="s">
        <v>21689</v>
      </c>
      <c r="D7993" t="str">
        <f>HYPERLINK("https://github.com/TeamNewPipe/NewPipe/issues/3468","show")</f>
        <v>show</v>
      </c>
      <c r="E7993" t="str">
        <f>HYPERLINK("https://github.com/TeamNewPipe/NewPipe","show")</f>
        <v>show</v>
      </c>
      <c r="F7993" t="str">
        <f>HYPERLINK("https://github.com/TeamNewPipe/NewPipe/releases","show")</f>
        <v>show</v>
      </c>
    </row>
    <row r="7994" spans="1:6">
      <c r="A7994" t="s">
        <v>23726</v>
      </c>
      <c r="B7994" t="s">
        <v>23727</v>
      </c>
      <c r="C7994" t="s">
        <v>23728</v>
      </c>
      <c r="D7994" t="str">
        <f>HYPERLINK("https://github.com/sqlcipher/android-database-sqlcipher/issues/507","show")</f>
        <v>show</v>
      </c>
      <c r="E7994" t="str">
        <f>HYPERLINK("https://github.com/sqlcipher/android-database-sqlcipher","show")</f>
        <v>show</v>
      </c>
      <c r="F7994" t="str">
        <f>HYPERLINK("https://github.com/sqlcipher/android-database-sqlcipher/releases","show")</f>
        <v>show</v>
      </c>
    </row>
    <row r="7995" spans="1:6">
      <c r="A7995" t="s">
        <v>23729</v>
      </c>
      <c r="B7995" t="s">
        <v>23730</v>
      </c>
      <c r="C7995" t="s">
        <v>23731</v>
      </c>
      <c r="D7995" t="str">
        <f>HYPERLINK("https://github.com/BogdanDinescu/EventiFind/issues/13","show")</f>
        <v>show</v>
      </c>
      <c r="E7995" t="str">
        <f>HYPERLINK("https://github.com/BogdanDinescu/EventiFind","show")</f>
        <v>show</v>
      </c>
      <c r="F7995" t="str">
        <f>HYPERLINK("https://github.com/BogdanDinescu/EventiFind/releases","show")</f>
        <v>show</v>
      </c>
    </row>
    <row r="7996" spans="1:6">
      <c r="A7996" t="s">
        <v>23732</v>
      </c>
      <c r="B7996" t="s">
        <v>23733</v>
      </c>
      <c r="C7996" t="s">
        <v>23734</v>
      </c>
      <c r="D7996" t="str">
        <f>HYPERLINK("https://github.com/google/ExoPlayer/issues/7273","show")</f>
        <v>show</v>
      </c>
      <c r="E7996" t="str">
        <f>HYPERLINK("https://github.com/google/ExoPlayer","show")</f>
        <v>show</v>
      </c>
      <c r="F7996" t="str">
        <f>HYPERLINK("https://github.com/google/ExoPlayer/releases","show")</f>
        <v>show</v>
      </c>
    </row>
    <row r="7997" spans="1:6">
      <c r="A7997" t="s">
        <v>23735</v>
      </c>
      <c r="B7997" t="s">
        <v>23736</v>
      </c>
      <c r="C7997" t="s">
        <v>23737</v>
      </c>
      <c r="D7997" t="str">
        <f>HYPERLINK("https://github.com/fiskaly/fiskaly-sdk-java/issues/2","show")</f>
        <v>show</v>
      </c>
      <c r="E7997" t="str">
        <f>HYPERLINK("https://github.com/fiskaly/fiskaly-sdk-java","show")</f>
        <v>show</v>
      </c>
      <c r="F7997" t="str">
        <f>HYPERLINK("https://github.com/fiskaly/fiskaly-sdk-java/releases","show")</f>
        <v>show</v>
      </c>
    </row>
    <row r="7998" spans="1:6">
      <c r="A7998" t="s">
        <v>23738</v>
      </c>
      <c r="B7998" t="s">
        <v>23739</v>
      </c>
      <c r="C7998" t="s">
        <v>23740</v>
      </c>
      <c r="D7998" t="str">
        <f>HYPERLINK("https://github.com/material-components/material-components-android/issues/1229","show")</f>
        <v>show</v>
      </c>
      <c r="E7998" t="str">
        <f>HYPERLINK("https://github.com/material-components/material-components-android","show")</f>
        <v>show</v>
      </c>
      <c r="F7998" t="str">
        <f>HYPERLINK("https://github.com/material-components/material-components-android/releases","show")</f>
        <v>show</v>
      </c>
    </row>
    <row r="7999" spans="1:6">
      <c r="A7999" t="s">
        <v>23741</v>
      </c>
      <c r="B7999" t="s">
        <v>23742</v>
      </c>
      <c r="C7999" t="s">
        <v>23743</v>
      </c>
      <c r="D7999" t="str">
        <f>HYPERLINK("https://github.com/SubhamTyagi/Last-Launcher/issues/55","show")</f>
        <v>show</v>
      </c>
      <c r="E7999" t="str">
        <f>HYPERLINK("https://github.com/SubhamTyagi/Last-Launcher","show")</f>
        <v>show</v>
      </c>
      <c r="F7999" t="str">
        <f>HYPERLINK("https://github.com/SubhamTyagi/Last-Launcher/releases","show")</f>
        <v>show</v>
      </c>
    </row>
    <row r="8000" spans="1:6">
      <c r="A8000" t="s">
        <v>23744</v>
      </c>
      <c r="B8000" t="s">
        <v>23745</v>
      </c>
      <c r="C8000" t="s">
        <v>23746</v>
      </c>
      <c r="D8000" t="str">
        <f>HYPERLINK("https://github.com/jaychenblue/scout-concordia/issues/290","show")</f>
        <v>show</v>
      </c>
      <c r="E8000" t="str">
        <f>HYPERLINK("https://github.com/jaychenblue/scout-concordia","show")</f>
        <v>show</v>
      </c>
      <c r="F8000" t="str">
        <f>HYPERLINK("https://github.com/jaychenblue/scout-concordia/releases","show")</f>
        <v>show</v>
      </c>
    </row>
    <row r="8001" spans="1:6">
      <c r="A8001" t="s">
        <v>23747</v>
      </c>
      <c r="B8001" t="s">
        <v>23748</v>
      </c>
      <c r="C8001" t="s">
        <v>23749</v>
      </c>
      <c r="D8001" t="str">
        <f>HYPERLINK("https://github.com/jaychenblue/scout-concordia/issues/287","show")</f>
        <v>show</v>
      </c>
      <c r="E8001" t="str">
        <f>HYPERLINK("https://github.com/jaychenblue/scout-concordia","show")</f>
        <v>show</v>
      </c>
      <c r="F8001" t="str">
        <f>HYPERLINK("https://github.com/jaychenblue/scout-concordia/releases","show")</f>
        <v>show</v>
      </c>
    </row>
    <row r="8002" spans="1:6">
      <c r="A8002" t="s">
        <v>23750</v>
      </c>
      <c r="B8002" t="s">
        <v>23751</v>
      </c>
      <c r="C8002" t="s">
        <v>23752</v>
      </c>
      <c r="D8002" t="str">
        <f>HYPERLINK("https://github.com/TeamNewPipe/NewPipe/issues/3457","show")</f>
        <v>show</v>
      </c>
      <c r="E8002" t="str">
        <f>HYPERLINK("https://github.com/TeamNewPipe/NewPipe","show")</f>
        <v>show</v>
      </c>
      <c r="F8002" t="str">
        <f>HYPERLINK("https://github.com/TeamNewPipe/NewPipe/releases","show")</f>
        <v>show</v>
      </c>
    </row>
    <row r="8003" spans="1:6">
      <c r="A8003" t="s">
        <v>23753</v>
      </c>
      <c r="B8003" t="s">
        <v>23754</v>
      </c>
      <c r="C8003" t="s">
        <v>23755</v>
      </c>
      <c r="D8003" t="str">
        <f>HYPERLINK("https://github.com/skynet-im/skynet-android/issues/27","show")</f>
        <v>show</v>
      </c>
      <c r="E8003" t="str">
        <f>HYPERLINK("https://github.com/skynet-im/skynet-android","show")</f>
        <v>show</v>
      </c>
      <c r="F8003" t="str">
        <f>HYPERLINK("https://github.com/skynet-im/skynet-android/releases","show")</f>
        <v>show</v>
      </c>
    </row>
    <row r="8004" spans="1:6">
      <c r="A8004" t="s">
        <v>23756</v>
      </c>
      <c r="B8004" t="s">
        <v>23757</v>
      </c>
      <c r="C8004" t="s">
        <v>23758</v>
      </c>
      <c r="D8004" t="str">
        <f>HYPERLINK("https://github.com/nextcloud/android/issues/5900","show")</f>
        <v>show</v>
      </c>
      <c r="E8004" t="str">
        <f>HYPERLINK("https://github.com/nextcloud/android","show")</f>
        <v>show</v>
      </c>
      <c r="F8004" t="str">
        <f>HYPERLINK("https://github.com/nextcloud/android/releases","show")</f>
        <v>show</v>
      </c>
    </row>
    <row r="8005" spans="1:6">
      <c r="A8005" t="s">
        <v>23759</v>
      </c>
      <c r="B8005" t="s">
        <v>23760</v>
      </c>
      <c r="C8005" t="s">
        <v>23761</v>
      </c>
      <c r="D8005" t="str">
        <f>HYPERLINK("https://github.com/inaturalist/iNaturalistAndroid/issues/816","show")</f>
        <v>show</v>
      </c>
      <c r="E8005" t="str">
        <f>HYPERLINK("https://github.com/inaturalist/iNaturalistAndroid","show")</f>
        <v>show</v>
      </c>
      <c r="F8005" t="str">
        <f>HYPERLINK("https://github.com/inaturalist/iNaturalistAndroid/releases","show")</f>
        <v>show</v>
      </c>
    </row>
    <row r="8006" spans="1:6">
      <c r="A8006" t="s">
        <v>23762</v>
      </c>
      <c r="B8006" t="s">
        <v>23763</v>
      </c>
      <c r="C8006" t="s">
        <v>23764</v>
      </c>
      <c r="D8006" t="str">
        <f>HYPERLINK("https://github.com/inaturalist/iNaturalistAndroid/issues/815","show")</f>
        <v>show</v>
      </c>
      <c r="E8006" t="str">
        <f>HYPERLINK("https://github.com/inaturalist/iNaturalistAndroid","show")</f>
        <v>show</v>
      </c>
      <c r="F8006" t="str">
        <f>HYPERLINK("https://github.com/inaturalist/iNaturalistAndroid/releases","show")</f>
        <v>show</v>
      </c>
    </row>
    <row r="8007" spans="1:6">
      <c r="A8007" t="s">
        <v>23765</v>
      </c>
      <c r="B8007" t="s">
        <v>23766</v>
      </c>
      <c r="C8007" t="s">
        <v>23767</v>
      </c>
      <c r="D8007" t="str">
        <f>HYPERLINK("https://github.com/inaturalist/iNaturalistAndroid/issues/814","show")</f>
        <v>show</v>
      </c>
      <c r="E8007" t="str">
        <f>HYPERLINK("https://github.com/inaturalist/iNaturalistAndroid","show")</f>
        <v>show</v>
      </c>
      <c r="F8007" t="str">
        <f>HYPERLINK("https://github.com/inaturalist/iNaturalistAndroid/releases","show")</f>
        <v>show</v>
      </c>
    </row>
    <row r="8008" spans="1:6">
      <c r="A8008" t="s">
        <v>23768</v>
      </c>
      <c r="B8008" t="s">
        <v>23769</v>
      </c>
      <c r="C8008" t="s">
        <v>23770</v>
      </c>
      <c r="D8008" t="str">
        <f>HYPERLINK("https://github.com/cgeo/cgeo/issues/8226","show")</f>
        <v>show</v>
      </c>
      <c r="E8008" t="str">
        <f>HYPERLINK("https://github.com/cgeo/cgeo","show")</f>
        <v>show</v>
      </c>
      <c r="F8008" t="str">
        <f>HYPERLINK("https://github.com/cgeo/cgeo/releases","show")</f>
        <v>show</v>
      </c>
    </row>
    <row r="8009" spans="1:6">
      <c r="A8009" t="s">
        <v>23771</v>
      </c>
      <c r="B8009" t="s">
        <v>23772</v>
      </c>
      <c r="C8009" t="s">
        <v>23773</v>
      </c>
      <c r="D8009" t="str">
        <f>HYPERLINK("https://github.com/TeamNewPipe/NewPipe/issues/3453","show")</f>
        <v>show</v>
      </c>
      <c r="E8009" t="str">
        <f>HYPERLINK("https://github.com/TeamNewPipe/NewPipe","show")</f>
        <v>show</v>
      </c>
      <c r="F8009" t="str">
        <f>HYPERLINK("https://github.com/TeamNewPipe/NewPipe/releases","show")</f>
        <v>show</v>
      </c>
    </row>
    <row r="8010" spans="1:6">
      <c r="A8010" t="s">
        <v>23774</v>
      </c>
      <c r="B8010" t="s">
        <v>23775</v>
      </c>
      <c r="C8010" t="s">
        <v>23776</v>
      </c>
      <c r="D8010" t="str">
        <f>HYPERLINK("https://github.com/TeamNewPipe/NewPipe/issues/3451","show")</f>
        <v>show</v>
      </c>
      <c r="E8010" t="str">
        <f>HYPERLINK("https://github.com/TeamNewPipe/NewPipe","show")</f>
        <v>show</v>
      </c>
      <c r="F8010" t="str">
        <f>HYPERLINK("https://github.com/TeamNewPipe/NewPipe/releases","show")</f>
        <v>show</v>
      </c>
    </row>
    <row r="8011" spans="1:6">
      <c r="A8011" t="s">
        <v>23777</v>
      </c>
      <c r="B8011" t="s">
        <v>23778</v>
      </c>
      <c r="C8011" t="s">
        <v>23779</v>
      </c>
      <c r="D8011" t="str">
        <f>HYPERLINK("https://github.com/JuergenKleck/android-lwp-fishes/issues/2","show")</f>
        <v>show</v>
      </c>
      <c r="E8011" t="str">
        <f>HYPERLINK("https://github.com/JuergenKleck/android-lwp-fishes","show")</f>
        <v>show</v>
      </c>
      <c r="F8011" t="str">
        <f>HYPERLINK("https://github.com/JuergenKleck/android-lwp-fishes/releases","show")</f>
        <v>show</v>
      </c>
    </row>
    <row r="8012" spans="1:6">
      <c r="A8012" t="s">
        <v>23780</v>
      </c>
      <c r="B8012" t="s">
        <v>23781</v>
      </c>
      <c r="C8012" t="s">
        <v>23782</v>
      </c>
      <c r="D8012" t="str">
        <f>HYPERLINK("https://github.com/TeamNewPipe/NewPipe/issues/3447","show")</f>
        <v>show</v>
      </c>
      <c r="E8012" t="str">
        <f>HYPERLINK("https://github.com/TeamNewPipe/NewPipe","show")</f>
        <v>show</v>
      </c>
      <c r="F8012" t="str">
        <f>HYPERLINK("https://github.com/TeamNewPipe/NewPipe/releases","show")</f>
        <v>show</v>
      </c>
    </row>
    <row r="8013" spans="1:6">
      <c r="A8013" t="s">
        <v>23783</v>
      </c>
      <c r="B8013" t="s">
        <v>23784</v>
      </c>
      <c r="C8013" t="s">
        <v>23785</v>
      </c>
      <c r="D8013" t="str">
        <f>HYPERLINK("https://github.com/NordicSemiconductor/Android-DFU-Library/issues/229","show")</f>
        <v>show</v>
      </c>
      <c r="E8013" t="str">
        <f>HYPERLINK("https://github.com/NordicSemiconductor/Android-DFU-Library","show")</f>
        <v>show</v>
      </c>
      <c r="F8013" t="str">
        <f>HYPERLINK("https://github.com/NordicSemiconductor/Android-DFU-Library/releases","show")</f>
        <v>show</v>
      </c>
    </row>
    <row r="8014" spans="1:6">
      <c r="A8014" t="s">
        <v>23786</v>
      </c>
      <c r="B8014" t="s">
        <v>23787</v>
      </c>
      <c r="C8014" t="s">
        <v>23788</v>
      </c>
      <c r="D8014" t="str">
        <f>HYPERLINK("https://github.com/nextcloud/android/issues/5891","show")</f>
        <v>show</v>
      </c>
      <c r="E8014" t="str">
        <f>HYPERLINK("https://github.com/nextcloud/android","show")</f>
        <v>show</v>
      </c>
      <c r="F8014" t="str">
        <f>HYPERLINK("https://github.com/nextcloud/android/releases","show")</f>
        <v>show</v>
      </c>
    </row>
    <row r="8015" spans="1:6">
      <c r="A8015" t="s">
        <v>23789</v>
      </c>
      <c r="B8015" t="s">
        <v>23790</v>
      </c>
      <c r="C8015" t="s">
        <v>23791</v>
      </c>
      <c r="D8015" t="str">
        <f>HYPERLINK("https://github.com/ankidroid/Anki-Android/issues/6028","show")</f>
        <v>show</v>
      </c>
      <c r="E8015" t="str">
        <f>HYPERLINK("https://github.com/ankidroid/Anki-Android","show")</f>
        <v>show</v>
      </c>
      <c r="F8015" t="str">
        <f>HYPERLINK("https://github.com/ankidroid/Anki-Android/releases","show")</f>
        <v>show</v>
      </c>
    </row>
    <row r="8016" spans="1:6">
      <c r="A8016" t="s">
        <v>23792</v>
      </c>
      <c r="B8016" t="s">
        <v>23793</v>
      </c>
      <c r="C8016" t="s">
        <v>23794</v>
      </c>
      <c r="D8016" t="str">
        <f>HYPERLINK("https://github.com/nextcloud/android/issues/5889","show")</f>
        <v>show</v>
      </c>
      <c r="E8016" t="str">
        <f>HYPERLINK("https://github.com/nextcloud/android","show")</f>
        <v>show</v>
      </c>
      <c r="F8016" t="str">
        <f>HYPERLINK("https://github.com/nextcloud/android/releases","show")</f>
        <v>show</v>
      </c>
    </row>
    <row r="8017" spans="1:6">
      <c r="A8017" t="s">
        <v>23795</v>
      </c>
      <c r="B8017" t="s">
        <v>23796</v>
      </c>
      <c r="C8017" t="s">
        <v>23797</v>
      </c>
      <c r="D8017" t="str">
        <f>HYPERLINK("https://github.com/commons-app/apps-android-commons/issues/3663","show")</f>
        <v>show</v>
      </c>
      <c r="E8017" t="str">
        <f>HYPERLINK("https://github.com/commons-app/apps-android-commons","show")</f>
        <v>show</v>
      </c>
      <c r="F8017" t="str">
        <f>HYPERLINK("https://github.com/commons-app/apps-android-commons/releases","show")</f>
        <v>show</v>
      </c>
    </row>
    <row r="8018" spans="1:6">
      <c r="A8018" t="s">
        <v>23798</v>
      </c>
      <c r="B8018" t="s">
        <v>23796</v>
      </c>
      <c r="C8018" t="s">
        <v>23799</v>
      </c>
      <c r="D8018" t="str">
        <f>HYPERLINK("https://github.com/martykan/forecastie/issues/466","show")</f>
        <v>show</v>
      </c>
      <c r="E8018" t="str">
        <f>HYPERLINK("https://github.com/martykan/forecastie","show")</f>
        <v>show</v>
      </c>
      <c r="F8018" t="str">
        <f>HYPERLINK("https://github.com/martykan/forecastie/releases","show")</f>
        <v>show</v>
      </c>
    </row>
    <row r="8019" spans="1:6">
      <c r="A8019" t="s">
        <v>23800</v>
      </c>
      <c r="B8019" t="s">
        <v>23801</v>
      </c>
      <c r="C8019" t="s">
        <v>23802</v>
      </c>
      <c r="D8019" t="str">
        <f>HYPERLINK("https://github.com/GoogleChrome/android-browser-helper/issues/86","show")</f>
        <v>show</v>
      </c>
      <c r="E8019" t="str">
        <f>HYPERLINK("https://github.com/GoogleChrome/android-browser-helper","show")</f>
        <v>show</v>
      </c>
      <c r="F8019" t="str">
        <f>HYPERLINK("https://github.com/GoogleChrome/android-browser-helper/releases","show")</f>
        <v>show</v>
      </c>
    </row>
    <row r="8020" spans="1:6">
      <c r="A8020" t="s">
        <v>23803</v>
      </c>
      <c r="B8020" t="s">
        <v>23804</v>
      </c>
      <c r="C8020" t="s">
        <v>23805</v>
      </c>
      <c r="D8020" t="str">
        <f>HYPERLINK("https://github.com/jaychenblue/scout-concordia/issues/267","show")</f>
        <v>show</v>
      </c>
      <c r="E8020" t="str">
        <f>HYPERLINK("https://github.com/jaychenblue/scout-concordia","show")</f>
        <v>show</v>
      </c>
      <c r="F8020" t="str">
        <f>HYPERLINK("https://github.com/jaychenblue/scout-concordia/releases","show")</f>
        <v>show</v>
      </c>
    </row>
    <row r="8021" spans="1:6">
      <c r="A8021" t="s">
        <v>23806</v>
      </c>
      <c r="B8021" t="s">
        <v>23807</v>
      </c>
      <c r="C8021" t="s">
        <v>23808</v>
      </c>
      <c r="D8021" t="str">
        <f>HYPERLINK("https://github.com/jaychenblue/scout-concordia/issues/266","show")</f>
        <v>show</v>
      </c>
      <c r="E8021" t="str">
        <f>HYPERLINK("https://github.com/jaychenblue/scout-concordia","show")</f>
        <v>show</v>
      </c>
      <c r="F8021" t="str">
        <f>HYPERLINK("https://github.com/jaychenblue/scout-concordia/releases","show")</f>
        <v>show</v>
      </c>
    </row>
    <row r="8022" spans="1:6">
      <c r="A8022" t="s">
        <v>23809</v>
      </c>
      <c r="B8022" t="s">
        <v>23810</v>
      </c>
      <c r="C8022" t="s">
        <v>23811</v>
      </c>
      <c r="D8022" t="str">
        <f>HYPERLINK("https://github.com/oliexdev/openScale/issues/570","show")</f>
        <v>show</v>
      </c>
      <c r="E8022" t="str">
        <f>HYPERLINK("https://github.com/oliexdev/openScale","show")</f>
        <v>show</v>
      </c>
      <c r="F8022" t="str">
        <f>HYPERLINK("https://github.com/oliexdev/openScale/releases","show")</f>
        <v>show</v>
      </c>
    </row>
    <row r="8023" spans="1:6">
      <c r="A8023" t="s">
        <v>23812</v>
      </c>
      <c r="B8023" t="s">
        <v>23813</v>
      </c>
      <c r="C8023" t="s">
        <v>23814</v>
      </c>
      <c r="D8023" t="str">
        <f>HYPERLINK("https://github.com/TeamNewPipe/NewPipe/issues/3440","show")</f>
        <v>show</v>
      </c>
      <c r="E8023" t="str">
        <f>HYPERLINK("https://github.com/TeamNewPipe/NewPipe","show")</f>
        <v>show</v>
      </c>
      <c r="F8023" t="str">
        <f>HYPERLINK("https://github.com/TeamNewPipe/NewPipe/releases","show")</f>
        <v>show</v>
      </c>
    </row>
    <row r="8024" spans="1:6">
      <c r="A8024" t="s">
        <v>23815</v>
      </c>
      <c r="B8024" t="s">
        <v>23816</v>
      </c>
      <c r="C8024" t="s">
        <v>23817</v>
      </c>
      <c r="D8024" t="str">
        <f>HYPERLINK("https://github.com/TeamNewPipe/NewPipe/issues/3439","show")</f>
        <v>show</v>
      </c>
      <c r="E8024" t="str">
        <f>HYPERLINK("https://github.com/TeamNewPipe/NewPipe","show")</f>
        <v>show</v>
      </c>
      <c r="F8024" t="str">
        <f>HYPERLINK("https://github.com/TeamNewPipe/NewPipe/releases","show")</f>
        <v>show</v>
      </c>
    </row>
    <row r="8025" spans="1:6">
      <c r="A8025" t="s">
        <v>23818</v>
      </c>
      <c r="B8025" t="s">
        <v>23819</v>
      </c>
      <c r="C8025" t="s">
        <v>23820</v>
      </c>
      <c r="D8025" t="str">
        <f>HYPERLINK("https://github.com/nextcloud/android/issues/5869","show")</f>
        <v>show</v>
      </c>
      <c r="E8025" t="str">
        <f>HYPERLINK("https://github.com/nextcloud/android","show")</f>
        <v>show</v>
      </c>
      <c r="F8025" t="str">
        <f>HYPERLINK("https://github.com/nextcloud/android/releases","show")</f>
        <v>show</v>
      </c>
    </row>
    <row r="8026" spans="1:6">
      <c r="A8026" t="s">
        <v>23821</v>
      </c>
      <c r="B8026" t="s">
        <v>23822</v>
      </c>
      <c r="C8026" t="s">
        <v>23823</v>
      </c>
      <c r="D8026" t="str">
        <f>HYPERLINK("https://github.com/google/ExoPlayer/issues/7234","show")</f>
        <v>show</v>
      </c>
      <c r="E8026" t="str">
        <f>HYPERLINK("https://github.com/google/ExoPlayer","show")</f>
        <v>show</v>
      </c>
      <c r="F8026" t="str">
        <f>HYPERLINK("https://github.com/google/ExoPlayer/releases","show")</f>
        <v>show</v>
      </c>
    </row>
    <row r="8027" spans="1:6">
      <c r="A8027" t="s">
        <v>23824</v>
      </c>
      <c r="B8027" t="s">
        <v>23825</v>
      </c>
      <c r="C8027" t="s">
        <v>23826</v>
      </c>
      <c r="D8027" t="str">
        <f>HYPERLINK("https://github.com/ElderDrivers/EdXposed/issues/512","show")</f>
        <v>show</v>
      </c>
      <c r="E8027" t="str">
        <f>HYPERLINK("https://github.com/ElderDrivers/EdXposed","show")</f>
        <v>show</v>
      </c>
      <c r="F8027" t="str">
        <f>HYPERLINK("https://github.com/ElderDrivers/EdXposed/releases","show")</f>
        <v>show</v>
      </c>
    </row>
    <row r="8028" spans="1:6">
      <c r="A8028" t="s">
        <v>23827</v>
      </c>
      <c r="B8028" t="s">
        <v>23828</v>
      </c>
      <c r="C8028" t="s">
        <v>23829</v>
      </c>
      <c r="D8028" t="str">
        <f>HYPERLINK("https://github.com/material-components/material-components-android/issues/1207","show")</f>
        <v>show</v>
      </c>
      <c r="E8028" t="str">
        <f>HYPERLINK("https://github.com/material-components/material-components-android","show")</f>
        <v>show</v>
      </c>
      <c r="F8028" t="str">
        <f>HYPERLINK("https://github.com/material-components/material-components-android/releases","show")</f>
        <v>show</v>
      </c>
    </row>
    <row r="8029" spans="1:6">
      <c r="A8029" t="s">
        <v>23830</v>
      </c>
      <c r="B8029" t="s">
        <v>23831</v>
      </c>
      <c r="C8029" t="s">
        <v>23832</v>
      </c>
      <c r="D8029" t="str">
        <f>HYPERLINK("https://github.com/dimagi/commcare-android/issues/2219","show")</f>
        <v>show</v>
      </c>
      <c r="E8029" t="str">
        <f>HYPERLINK("https://github.com/dimagi/commcare-android","show")</f>
        <v>show</v>
      </c>
      <c r="F8029" t="str">
        <f>HYPERLINK("https://github.com/dimagi/commcare-android/releases","show")</f>
        <v>show</v>
      </c>
    </row>
    <row r="8030" spans="1:6">
      <c r="A8030" t="s">
        <v>23833</v>
      </c>
      <c r="B8030" t="s">
        <v>9314</v>
      </c>
      <c r="C8030" t="s">
        <v>23834</v>
      </c>
      <c r="D8030" t="str">
        <f>HYPERLINK("https://github.com/nextcloud/android/issues/5861","show")</f>
        <v>show</v>
      </c>
      <c r="E8030" t="str">
        <f>HYPERLINK("https://github.com/nextcloud/android","show")</f>
        <v>show</v>
      </c>
      <c r="F8030" t="str">
        <f>HYPERLINK("https://github.com/nextcloud/android/releases","show")</f>
        <v>show</v>
      </c>
    </row>
    <row r="8031" spans="1:6">
      <c r="A8031" t="s">
        <v>23835</v>
      </c>
      <c r="B8031" t="s">
        <v>23836</v>
      </c>
      <c r="C8031" t="s">
        <v>23837</v>
      </c>
      <c r="D8031" t="str">
        <f>HYPERLINK("https://github.com/Blankj/AndroidUtilCode/issues/1223","show")</f>
        <v>show</v>
      </c>
      <c r="E8031" t="str">
        <f>HYPERLINK("https://github.com/Blankj/AndroidUtilCode","show")</f>
        <v>show</v>
      </c>
      <c r="F8031" t="str">
        <f>HYPERLINK("https://github.com/Blankj/AndroidUtilCode/releases","show")</f>
        <v>show</v>
      </c>
    </row>
    <row r="8032" spans="1:6">
      <c r="A8032" t="s">
        <v>23838</v>
      </c>
      <c r="B8032" t="s">
        <v>23839</v>
      </c>
      <c r="C8032" t="s">
        <v>23840</v>
      </c>
      <c r="D8032" t="str">
        <f>HYPERLINK("https://github.com/material-components/material-components-android/issues/1204","show")</f>
        <v>show</v>
      </c>
      <c r="E8032" t="str">
        <f>HYPERLINK("https://github.com/material-components/material-components-android","show")</f>
        <v>show</v>
      </c>
      <c r="F8032" t="str">
        <f>HYPERLINK("https://github.com/material-components/material-components-android/releases","show")</f>
        <v>show</v>
      </c>
    </row>
    <row r="8033" spans="1:6">
      <c r="A8033" t="s">
        <v>23841</v>
      </c>
      <c r="B8033" t="s">
        <v>23842</v>
      </c>
      <c r="C8033" t="s">
        <v>23843</v>
      </c>
      <c r="D8033" t="str">
        <f>HYPERLINK("https://github.com/nextcloud/android/issues/5854","show")</f>
        <v>show</v>
      </c>
      <c r="E8033" t="str">
        <f>HYPERLINK("https://github.com/nextcloud/android","show")</f>
        <v>show</v>
      </c>
      <c r="F8033" t="str">
        <f>HYPERLINK("https://github.com/nextcloud/android/releases","show")</f>
        <v>show</v>
      </c>
    </row>
    <row r="8034" spans="1:6">
      <c r="A8034" t="s">
        <v>23844</v>
      </c>
      <c r="B8034" t="s">
        <v>23845</v>
      </c>
      <c r="C8034" t="s">
        <v>23846</v>
      </c>
      <c r="D8034" t="str">
        <f>HYPERLINK("https://github.com/aws-amplify/amplify-android/issues/377","show")</f>
        <v>show</v>
      </c>
      <c r="E8034" t="str">
        <f>HYPERLINK("https://github.com/aws-amplify/amplify-android","show")</f>
        <v>show</v>
      </c>
      <c r="F8034" t="str">
        <f>HYPERLINK("https://github.com/aws-amplify/amplify-android/releases","show")</f>
        <v>show</v>
      </c>
    </row>
    <row r="8035" spans="1:6">
      <c r="A8035" t="s">
        <v>23847</v>
      </c>
      <c r="B8035" t="s">
        <v>23848</v>
      </c>
      <c r="C8035" t="s">
        <v>23849</v>
      </c>
      <c r="D8035" t="str">
        <f>HYPERLINK("https://github.com/nextcloud/android/issues/5849","show")</f>
        <v>show</v>
      </c>
      <c r="E8035" t="str">
        <f>HYPERLINK("https://github.com/nextcloud/android","show")</f>
        <v>show</v>
      </c>
      <c r="F8035" t="str">
        <f>HYPERLINK("https://github.com/nextcloud/android/releases","show")</f>
        <v>show</v>
      </c>
    </row>
    <row r="8036" spans="1:6">
      <c r="A8036" t="s">
        <v>23850</v>
      </c>
      <c r="B8036" t="s">
        <v>23851</v>
      </c>
      <c r="C8036" t="s">
        <v>23852</v>
      </c>
      <c r="D8036" t="str">
        <f>HYPERLINK("https://github.com/nikita36078/J2ME-Loader/issues/653","show")</f>
        <v>show</v>
      </c>
      <c r="E8036" t="str">
        <f>HYPERLINK("https://github.com/nikita36078/J2ME-Loader","show")</f>
        <v>show</v>
      </c>
      <c r="F8036" t="str">
        <f>HYPERLINK("https://github.com/nikita36078/J2ME-Loader/releases","show")</f>
        <v>show</v>
      </c>
    </row>
    <row r="8037" spans="1:6">
      <c r="A8037" t="s">
        <v>23853</v>
      </c>
      <c r="B8037" t="s">
        <v>23854</v>
      </c>
      <c r="C8037" t="s">
        <v>23855</v>
      </c>
      <c r="D8037" t="str">
        <f>HYPERLINK("https://github.com/commons-app/apps-android-commons/issues/3639","show")</f>
        <v>show</v>
      </c>
      <c r="E8037" t="str">
        <f>HYPERLINK("https://github.com/commons-app/apps-android-commons","show")</f>
        <v>show</v>
      </c>
      <c r="F8037" t="str">
        <f>HYPERLINK("https://github.com/commons-app/apps-android-commons/releases","show")</f>
        <v>show</v>
      </c>
    </row>
    <row r="8038" spans="1:6">
      <c r="A8038" t="s">
        <v>23856</v>
      </c>
      <c r="B8038" t="s">
        <v>23857</v>
      </c>
      <c r="C8038" t="s">
        <v>23858</v>
      </c>
      <c r="D8038" t="str">
        <f>HYPERLINK("https://github.com/TeamNewPipe/NewPipe/issues/3411","show")</f>
        <v>show</v>
      </c>
      <c r="E8038" t="str">
        <f>HYPERLINK("https://github.com/TeamNewPipe/NewPipe","show")</f>
        <v>show</v>
      </c>
      <c r="F8038" t="str">
        <f>HYPERLINK("https://github.com/TeamNewPipe/NewPipe/releases","show")</f>
        <v>show</v>
      </c>
    </row>
    <row r="8039" spans="1:6">
      <c r="A8039" t="s">
        <v>23859</v>
      </c>
      <c r="B8039" t="s">
        <v>23860</v>
      </c>
      <c r="C8039" t="s">
        <v>23861</v>
      </c>
      <c r="D8039" t="str">
        <f>HYPERLINK("https://github.com/android/tv-samples/issues/25","show")</f>
        <v>show</v>
      </c>
      <c r="E8039" t="str">
        <f>HYPERLINK("https://github.com/android/tv-samples","show")</f>
        <v>show</v>
      </c>
      <c r="F8039" t="str">
        <f>HYPERLINK("https://github.com/android/tv-samples/releases","show")</f>
        <v>show</v>
      </c>
    </row>
    <row r="8040" spans="1:6">
      <c r="A8040" t="s">
        <v>23862</v>
      </c>
      <c r="B8040" t="s">
        <v>23863</v>
      </c>
      <c r="C8040" t="s">
        <v>23864</v>
      </c>
      <c r="D8040" t="str">
        <f>HYPERLINK("https://github.com/Concordia-Campus-Guide/Concordia-Campus-Guide/issues/272","show")</f>
        <v>show</v>
      </c>
      <c r="E8040" t="str">
        <f>HYPERLINK("https://github.com/Concordia-Campus-Guide/Concordia-Campus-Guide","show")</f>
        <v>show</v>
      </c>
      <c r="F8040" t="str">
        <f>HYPERLINK("https://github.com/Concordia-Campus-Guide/Concordia-Campus-Guide/releases","show")</f>
        <v>show</v>
      </c>
    </row>
    <row r="8041" spans="1:6">
      <c r="A8041" t="s">
        <v>23865</v>
      </c>
      <c r="B8041" t="s">
        <v>23866</v>
      </c>
      <c r="C8041" t="s">
        <v>23867</v>
      </c>
      <c r="D8041" t="str">
        <f>HYPERLINK("https://github.com/TeamNewPipe/NewPipe/issues/3403","show")</f>
        <v>show</v>
      </c>
      <c r="E8041" t="str">
        <f>HYPERLINK("https://github.com/TeamNewPipe/NewPipe","show")</f>
        <v>show</v>
      </c>
      <c r="F8041" t="str">
        <f>HYPERLINK("https://github.com/TeamNewPipe/NewPipe/releases","show")</f>
        <v>show</v>
      </c>
    </row>
    <row r="8042" spans="1:6">
      <c r="A8042" t="s">
        <v>23868</v>
      </c>
      <c r="B8042" t="s">
        <v>23869</v>
      </c>
      <c r="C8042" t="s">
        <v>23870</v>
      </c>
      <c r="D8042" t="str">
        <f>HYPERLINK("https://github.com/ElderDrivers/EdXposed/issues/508","show")</f>
        <v>show</v>
      </c>
      <c r="E8042" t="str">
        <f>HYPERLINK("https://github.com/ElderDrivers/EdXposed","show")</f>
        <v>show</v>
      </c>
      <c r="F8042" t="str">
        <f>HYPERLINK("https://github.com/ElderDrivers/EdXposed/releases","show")</f>
        <v>show</v>
      </c>
    </row>
    <row r="8043" spans="1:6">
      <c r="A8043" t="s">
        <v>23871</v>
      </c>
      <c r="B8043" t="s">
        <v>23872</v>
      </c>
      <c r="C8043" t="s">
        <v>23873</v>
      </c>
      <c r="D8043" t="str">
        <f>HYPERLINK("https://github.com/commons-app/apps-android-commons/issues/3632","show")</f>
        <v>show</v>
      </c>
      <c r="E8043" t="str">
        <f>HYPERLINK("https://github.com/commons-app/apps-android-commons","show")</f>
        <v>show</v>
      </c>
      <c r="F8043" t="str">
        <f>HYPERLINK("https://github.com/commons-app/apps-android-commons/releases","show")</f>
        <v>show</v>
      </c>
    </row>
    <row r="8044" spans="1:6">
      <c r="A8044" t="s">
        <v>23874</v>
      </c>
      <c r="B8044" t="s">
        <v>23875</v>
      </c>
      <c r="C8044" t="s">
        <v>23876</v>
      </c>
      <c r="D8044" t="str">
        <f>HYPERLINK("https://github.com/react-native-camera/react-native-camera/issues/2780","show")</f>
        <v>show</v>
      </c>
      <c r="E8044" t="str">
        <f>HYPERLINK("https://github.com/react-native-camera/react-native-camera","show")</f>
        <v>show</v>
      </c>
      <c r="F8044" t="str">
        <f>HYPERLINK("https://github.com/react-native-camera/react-native-camera/releases","show")</f>
        <v>show</v>
      </c>
    </row>
    <row r="8045" spans="1:6">
      <c r="A8045" t="s">
        <v>23877</v>
      </c>
      <c r="B8045" t="s">
        <v>23878</v>
      </c>
      <c r="C8045" t="s">
        <v>23879</v>
      </c>
      <c r="D8045" t="str">
        <f>HYPERLINK("https://github.com/react-native-share/react-native-share/issues/757","show")</f>
        <v>show</v>
      </c>
      <c r="E8045" t="str">
        <f>HYPERLINK("https://github.com/react-native-share/react-native-share","show")</f>
        <v>show</v>
      </c>
      <c r="F8045" t="str">
        <f>HYPERLINK("https://github.com/react-native-share/react-native-share/releases","show")</f>
        <v>show</v>
      </c>
    </row>
    <row r="8046" spans="1:6">
      <c r="A8046" t="s">
        <v>23880</v>
      </c>
      <c r="B8046" t="s">
        <v>23881</v>
      </c>
      <c r="C8046" t="s">
        <v>23882</v>
      </c>
      <c r="D8046" t="str">
        <f>HYPERLINK("https://github.com/pushbots/pushbots-react-native/issues/8","show")</f>
        <v>show</v>
      </c>
      <c r="E8046" t="str">
        <f>HYPERLINK("https://github.com/pushbots/pushbots-react-native","show")</f>
        <v>show</v>
      </c>
      <c r="F8046" t="str">
        <f>HYPERLINK("https://github.com/pushbots/pushbots-react-native/releases","show")</f>
        <v>show</v>
      </c>
    </row>
    <row r="8047" spans="1:6">
      <c r="A8047" t="s">
        <v>23883</v>
      </c>
      <c r="B8047" t="s">
        <v>23884</v>
      </c>
      <c r="C8047" t="s">
        <v>23885</v>
      </c>
      <c r="D8047" t="str">
        <f>HYPERLINK("https://github.com/nextcloud/android/issues/5831","show")</f>
        <v>show</v>
      </c>
      <c r="E8047" t="str">
        <f>HYPERLINK("https://github.com/nextcloud/android","show")</f>
        <v>show</v>
      </c>
      <c r="F8047" t="str">
        <f>HYPERLINK("https://github.com/nextcloud/android/releases","show")</f>
        <v>show</v>
      </c>
    </row>
    <row r="8048" spans="1:6">
      <c r="A8048" t="s">
        <v>23886</v>
      </c>
      <c r="B8048" t="s">
        <v>23887</v>
      </c>
      <c r="C8048" t="s">
        <v>23888</v>
      </c>
      <c r="D8048" t="str">
        <f>HYPERLINK("https://github.com/TeamNewPipe/NewPipe/issues/3387","show")</f>
        <v>show</v>
      </c>
      <c r="E8048" t="str">
        <f>HYPERLINK("https://github.com/TeamNewPipe/NewPipe","show")</f>
        <v>show</v>
      </c>
      <c r="F8048" t="str">
        <f>HYPERLINK("https://github.com/TeamNewPipe/NewPipe/releases","show")</f>
        <v>show</v>
      </c>
    </row>
    <row r="8049" spans="1:6">
      <c r="A8049" t="s">
        <v>23889</v>
      </c>
      <c r="B8049" t="s">
        <v>23890</v>
      </c>
      <c r="C8049" t="s">
        <v>23891</v>
      </c>
      <c r="D8049" t="str">
        <f>HYPERLINK("https://github.com/leondeklerk/SmartController/issues/13","show")</f>
        <v>show</v>
      </c>
      <c r="E8049" t="str">
        <f>HYPERLINK("https://github.com/leondeklerk/SmartController","show")</f>
        <v>show</v>
      </c>
      <c r="F8049" t="str">
        <f>HYPERLINK("https://github.com/leondeklerk/SmartController/releases","show")</f>
        <v>show</v>
      </c>
    </row>
    <row r="8050" spans="1:6">
      <c r="A8050" t="s">
        <v>23892</v>
      </c>
      <c r="B8050" t="s">
        <v>23893</v>
      </c>
      <c r="C8050" t="s">
        <v>23894</v>
      </c>
      <c r="D8050" t="str">
        <f>HYPERLINK("https://github.com/twilio/video-quickstart-android/issues/493","show")</f>
        <v>show</v>
      </c>
      <c r="E8050" t="str">
        <f>HYPERLINK("https://github.com/twilio/video-quickstart-android","show")</f>
        <v>show</v>
      </c>
      <c r="F8050" t="str">
        <f>HYPERLINK("https://github.com/twilio/video-quickstart-android/releases","show")</f>
        <v>show</v>
      </c>
    </row>
    <row r="8051" spans="1:6">
      <c r="A8051" t="s">
        <v>23895</v>
      </c>
      <c r="B8051" t="s">
        <v>23896</v>
      </c>
      <c r="C8051" t="s">
        <v>23897</v>
      </c>
      <c r="D8051" t="str">
        <f>HYPERLINK("https://github.com/TeamNewPipe/NewPipe/issues/3385","show")</f>
        <v>show</v>
      </c>
      <c r="E8051" t="str">
        <f>HYPERLINK("https://github.com/TeamNewPipe/NewPipe","show")</f>
        <v>show</v>
      </c>
      <c r="F8051" t="str">
        <f>HYPERLINK("https://github.com/TeamNewPipe/NewPipe/releases","show")</f>
        <v>show</v>
      </c>
    </row>
    <row r="8052" spans="1:6">
      <c r="A8052" t="s">
        <v>23898</v>
      </c>
      <c r="B8052" t="s">
        <v>23899</v>
      </c>
      <c r="C8052" t="s">
        <v>23900</v>
      </c>
      <c r="D8052" t="str">
        <f>HYPERLINK("https://github.com/dimagi/commcare-android/issues/2212","show")</f>
        <v>show</v>
      </c>
      <c r="E8052" t="str">
        <f>HYPERLINK("https://github.com/dimagi/commcare-android","show")</f>
        <v>show</v>
      </c>
      <c r="F8052" t="str">
        <f>HYPERLINK("https://github.com/dimagi/commcare-android/releases","show")</f>
        <v>show</v>
      </c>
    </row>
    <row r="8053" spans="1:6">
      <c r="A8053" t="s">
        <v>23901</v>
      </c>
      <c r="B8053" t="s">
        <v>23902</v>
      </c>
      <c r="C8053" t="s">
        <v>23903</v>
      </c>
      <c r="D8053" t="str">
        <f>HYPERLINK("https://github.com/ElderDrivers/EdXposed/issues/506","show")</f>
        <v>show</v>
      </c>
      <c r="E8053" t="str">
        <f>HYPERLINK("https://github.com/ElderDrivers/EdXposed","show")</f>
        <v>show</v>
      </c>
      <c r="F8053" t="str">
        <f>HYPERLINK("https://github.com/ElderDrivers/EdXposed/releases","show")</f>
        <v>show</v>
      </c>
    </row>
    <row r="8054" spans="1:6">
      <c r="A8054" t="s">
        <v>23904</v>
      </c>
      <c r="B8054" t="s">
        <v>23905</v>
      </c>
      <c r="C8054" t="s">
        <v>23906</v>
      </c>
      <c r="D8054" t="str">
        <f>HYPERLINK("https://github.com/square/okhttp/issues/5923","show")</f>
        <v>show</v>
      </c>
      <c r="E8054" t="str">
        <f>HYPERLINK("https://github.com/square/okhttp","show")</f>
        <v>show</v>
      </c>
      <c r="F8054" t="str">
        <f>HYPERLINK("https://github.com/square/okhttp/releases","show")</f>
        <v>show</v>
      </c>
    </row>
    <row r="8055" spans="1:6">
      <c r="A8055" t="s">
        <v>23907</v>
      </c>
      <c r="B8055" t="s">
        <v>23908</v>
      </c>
      <c r="C8055" t="s">
        <v>23909</v>
      </c>
      <c r="D8055" t="str">
        <f>HYPERLINK("https://github.com/TeamNewPipe/NewPipe/issues/3381","show")</f>
        <v>show</v>
      </c>
      <c r="E8055" t="str">
        <f>HYPERLINK("https://github.com/TeamNewPipe/NewPipe","show")</f>
        <v>show</v>
      </c>
      <c r="F8055" t="str">
        <f>HYPERLINK("https://github.com/TeamNewPipe/NewPipe/releases","show")</f>
        <v>show</v>
      </c>
    </row>
    <row r="8056" spans="1:6">
      <c r="A8056" t="s">
        <v>23910</v>
      </c>
      <c r="B8056" t="s">
        <v>23911</v>
      </c>
      <c r="C8056" t="s">
        <v>23912</v>
      </c>
      <c r="D8056" t="str">
        <f>HYPERLINK("https://github.com/hzi-braunschweig/SORMAS-Project/issues/1765","show")</f>
        <v>show</v>
      </c>
      <c r="E8056" t="str">
        <f>HYPERLINK("https://github.com/hzi-braunschweig/SORMAS-Project","show")</f>
        <v>show</v>
      </c>
      <c r="F8056" t="str">
        <f>HYPERLINK("https://github.com/hzi-braunschweig/SORMAS-Project/releases","show")</f>
        <v>show</v>
      </c>
    </row>
    <row r="8057" spans="1:6">
      <c r="A8057" t="s">
        <v>23913</v>
      </c>
      <c r="B8057" t="s">
        <v>23914</v>
      </c>
      <c r="C8057" t="s">
        <v>23915</v>
      </c>
      <c r="D8057" t="str">
        <f>HYPERLINK("https://github.com/proyecto26/react-native-inappbrowser/issues/150","show")</f>
        <v>show</v>
      </c>
      <c r="E8057" t="str">
        <f>HYPERLINK("https://github.com/proyecto26/react-native-inappbrowser","show")</f>
        <v>show</v>
      </c>
      <c r="F8057" t="str">
        <f>HYPERLINK("https://github.com/proyecto26/react-native-inappbrowser/releases","show")</f>
        <v>show</v>
      </c>
    </row>
    <row r="8058" spans="1:6">
      <c r="A8058" t="s">
        <v>23916</v>
      </c>
      <c r="B8058" t="s">
        <v>23917</v>
      </c>
      <c r="C8058" t="s">
        <v>23918</v>
      </c>
      <c r="D8058" t="str">
        <f>HYPERLINK("https://github.com/hzi-braunschweig/SORMAS-Project/issues/1759","show")</f>
        <v>show</v>
      </c>
      <c r="E8058" t="str">
        <f>HYPERLINK("https://github.com/hzi-braunschweig/SORMAS-Project","show")</f>
        <v>show</v>
      </c>
      <c r="F8058" t="str">
        <f>HYPERLINK("https://github.com/hzi-braunschweig/SORMAS-Project/releases","show")</f>
        <v>show</v>
      </c>
    </row>
    <row r="8059" spans="1:6">
      <c r="A8059" t="s">
        <v>23919</v>
      </c>
      <c r="B8059" t="s">
        <v>10530</v>
      </c>
      <c r="C8059" t="s">
        <v>23920</v>
      </c>
      <c r="D8059" t="str">
        <f>HYPERLINK("https://github.com/Blankj/AndroidUtilCode/issues/1215","show")</f>
        <v>show</v>
      </c>
      <c r="E8059" t="str">
        <f>HYPERLINK("https://github.com/Blankj/AndroidUtilCode","show")</f>
        <v>show</v>
      </c>
      <c r="F8059" t="str">
        <f>HYPERLINK("https://github.com/Blankj/AndroidUtilCode/releases","show")</f>
        <v>show</v>
      </c>
    </row>
    <row r="8060" spans="1:6">
      <c r="A8060" t="s">
        <v>23921</v>
      </c>
      <c r="B8060" t="s">
        <v>23922</v>
      </c>
      <c r="C8060" t="s">
        <v>23923</v>
      </c>
      <c r="D8060" t="str">
        <f>HYPERLINK("https://github.com/TeamNewPipe/NewPipe/issues/3378","show")</f>
        <v>show</v>
      </c>
      <c r="E8060" t="str">
        <f>HYPERLINK("https://github.com/TeamNewPipe/NewPipe","show")</f>
        <v>show</v>
      </c>
      <c r="F8060" t="str">
        <f>HYPERLINK("https://github.com/TeamNewPipe/NewPipe/releases","show")</f>
        <v>show</v>
      </c>
    </row>
    <row r="8061" spans="1:6">
      <c r="A8061" t="s">
        <v>23924</v>
      </c>
      <c r="B8061" t="s">
        <v>23925</v>
      </c>
      <c r="C8061" t="s">
        <v>23926</v>
      </c>
      <c r="D8061" t="str">
        <f>HYPERLINK("https://github.com/ElderDrivers/EdXposed/issues/504","show")</f>
        <v>show</v>
      </c>
      <c r="E8061" t="str">
        <f>HYPERLINK("https://github.com/ElderDrivers/EdXposed","show")</f>
        <v>show</v>
      </c>
      <c r="F8061" t="str">
        <f>HYPERLINK("https://github.com/ElderDrivers/EdXposed/releases","show")</f>
        <v>show</v>
      </c>
    </row>
    <row r="8062" spans="1:6">
      <c r="A8062" t="s">
        <v>23927</v>
      </c>
      <c r="B8062" t="s">
        <v>23928</v>
      </c>
      <c r="C8062" t="s">
        <v>23929</v>
      </c>
      <c r="D8062" t="str">
        <f>HYPERLINK("https://github.com/iatenine/Social-Distancing-App/issues/4","show")</f>
        <v>show</v>
      </c>
      <c r="E8062" t="str">
        <f>HYPERLINK("https://github.com/iatenine/Social-Distancing-App","show")</f>
        <v>show</v>
      </c>
      <c r="F8062" t="str">
        <f>HYPERLINK("https://github.com/iatenine/Social-Distancing-App/releases","show")</f>
        <v>show</v>
      </c>
    </row>
    <row r="8063" spans="1:6">
      <c r="A8063" t="s">
        <v>23930</v>
      </c>
      <c r="B8063" t="s">
        <v>23931</v>
      </c>
      <c r="C8063" t="s">
        <v>23932</v>
      </c>
      <c r="D8063" t="str">
        <f>HYPERLINK("https://github.com/condog190/5E-Initiative-Tracker/issues/129","show")</f>
        <v>show</v>
      </c>
      <c r="E8063" t="str">
        <f>HYPERLINK("https://github.com/condog190/5E-Initiative-Tracker","show")</f>
        <v>show</v>
      </c>
      <c r="F8063" t="str">
        <f>HYPERLINK("https://github.com/condog190/5E-Initiative-Tracker/releases","show")</f>
        <v>show</v>
      </c>
    </row>
    <row r="8064" spans="1:6">
      <c r="A8064" t="s">
        <v>23933</v>
      </c>
      <c r="B8064" t="s">
        <v>23934</v>
      </c>
      <c r="C8064" t="s">
        <v>23935</v>
      </c>
      <c r="D8064" t="str">
        <f>HYPERLINK("https://github.com/nextcloud/android/issues/5809","show")</f>
        <v>show</v>
      </c>
      <c r="E8064" t="str">
        <f>HYPERLINK("https://github.com/nextcloud/android","show")</f>
        <v>show</v>
      </c>
      <c r="F8064" t="str">
        <f>HYPERLINK("https://github.com/nextcloud/android/releases","show")</f>
        <v>show</v>
      </c>
    </row>
    <row r="8065" spans="1:6">
      <c r="A8065" t="s">
        <v>23936</v>
      </c>
      <c r="B8065" t="s">
        <v>23937</v>
      </c>
      <c r="C8065" t="s">
        <v>23938</v>
      </c>
      <c r="D8065" t="str">
        <f>HYPERLINK("https://github.com/TeamNewPipe/NewPipe/issues/3368","show")</f>
        <v>show</v>
      </c>
      <c r="E8065" t="str">
        <f>HYPERLINK("https://github.com/TeamNewPipe/NewPipe","show")</f>
        <v>show</v>
      </c>
      <c r="F8065" t="str">
        <f>HYPERLINK("https://github.com/TeamNewPipe/NewPipe/releases","show")</f>
        <v>show</v>
      </c>
    </row>
    <row r="8066" spans="1:6">
      <c r="A8066" t="s">
        <v>23939</v>
      </c>
      <c r="B8066" t="s">
        <v>23940</v>
      </c>
      <c r="C8066" t="s">
        <v>23941</v>
      </c>
      <c r="D8066" t="str">
        <f>HYPERLINK("https://github.com/k9mail/k-9/issues/4639","show")</f>
        <v>show</v>
      </c>
      <c r="E8066" t="str">
        <f>HYPERLINK("https://github.com/k9mail/k-9","show")</f>
        <v>show</v>
      </c>
      <c r="F8066" t="str">
        <f>HYPERLINK("https://github.com/k9mail/k-9/releases","show")</f>
        <v>show</v>
      </c>
    </row>
    <row r="8067" spans="1:6">
      <c r="A8067" t="s">
        <v>23942</v>
      </c>
      <c r="B8067" t="s">
        <v>23943</v>
      </c>
      <c r="C8067" t="s">
        <v>23944</v>
      </c>
      <c r="D8067" t="str">
        <f>HYPERLINK("https://github.com/wiglenet/wigle-wifi-wardriving/issues/415","show")</f>
        <v>show</v>
      </c>
      <c r="E8067" t="str">
        <f>HYPERLINK("https://github.com/wiglenet/wigle-wifi-wardriving","show")</f>
        <v>show</v>
      </c>
      <c r="F8067" t="str">
        <f>HYPERLINK("https://github.com/wiglenet/wigle-wifi-wardriving/releases","show")</f>
        <v>show</v>
      </c>
    </row>
    <row r="8068" spans="1:6">
      <c r="A8068" t="s">
        <v>23945</v>
      </c>
      <c r="B8068" t="s">
        <v>23946</v>
      </c>
      <c r="C8068" t="s">
        <v>23947</v>
      </c>
      <c r="D8068" t="str">
        <f>HYPERLINK("https://github.com/nextcloud/android/issues/5807","show")</f>
        <v>show</v>
      </c>
      <c r="E8068" t="str">
        <f>HYPERLINK("https://github.com/nextcloud/android","show")</f>
        <v>show</v>
      </c>
      <c r="F8068" t="str">
        <f>HYPERLINK("https://github.com/nextcloud/android/releases","show")</f>
        <v>show</v>
      </c>
    </row>
    <row r="8069" spans="1:6">
      <c r="A8069" t="s">
        <v>23948</v>
      </c>
      <c r="B8069" t="s">
        <v>23949</v>
      </c>
      <c r="C8069" t="s">
        <v>23950</v>
      </c>
      <c r="D8069" t="str">
        <f>HYPERLINK("https://github.com/AEFeinstein/mtg-familiar/issues/511","show")</f>
        <v>show</v>
      </c>
      <c r="E8069" t="str">
        <f>HYPERLINK("https://github.com/AEFeinstein/mtg-familiar","show")</f>
        <v>show</v>
      </c>
      <c r="F8069" t="str">
        <f>HYPERLINK("https://github.com/AEFeinstein/mtg-familiar/releases","show")</f>
        <v>show</v>
      </c>
    </row>
    <row r="8070" spans="1:6">
      <c r="A8070" t="s">
        <v>23951</v>
      </c>
      <c r="B8070" t="s">
        <v>23952</v>
      </c>
      <c r="C8070" t="s">
        <v>23953</v>
      </c>
      <c r="D8070" t="str">
        <f>HYPERLINK("https://github.com/nextcloud/android/issues/5805","show")</f>
        <v>show</v>
      </c>
      <c r="E8070" t="str">
        <f>HYPERLINK("https://github.com/nextcloud/android","show")</f>
        <v>show</v>
      </c>
      <c r="F8070" t="str">
        <f>HYPERLINK("https://github.com/nextcloud/android/releases","show")</f>
        <v>show</v>
      </c>
    </row>
    <row r="8071" spans="1:6">
      <c r="A8071" t="s">
        <v>23954</v>
      </c>
      <c r="B8071" t="s">
        <v>23955</v>
      </c>
      <c r="C8071" t="s">
        <v>23956</v>
      </c>
      <c r="D8071" t="str">
        <f>HYPERLINK("https://github.com/jssosa10/miso4208/issues/6","show")</f>
        <v>show</v>
      </c>
      <c r="E8071" t="str">
        <f>HYPERLINK("https://github.com/jssosa10/miso4208","show")</f>
        <v>show</v>
      </c>
      <c r="F8071" t="str">
        <f>HYPERLINK("https://github.com/jssosa10/miso4208/releases","show")</f>
        <v>show</v>
      </c>
    </row>
    <row r="8072" spans="1:6">
      <c r="A8072" t="s">
        <v>23957</v>
      </c>
      <c r="B8072" t="s">
        <v>23958</v>
      </c>
      <c r="C8072" t="s">
        <v>23959</v>
      </c>
      <c r="D8072" t="str">
        <f>HYPERLINK("https://github.com/nextcloud/android-library/issues/421","show")</f>
        <v>show</v>
      </c>
      <c r="E8072" t="str">
        <f>HYPERLINK("https://github.com/nextcloud/android-library","show")</f>
        <v>show</v>
      </c>
      <c r="F8072" t="str">
        <f>HYPERLINK("https://github.com/nextcloud/android-library/releases","show")</f>
        <v>show</v>
      </c>
    </row>
    <row r="8073" spans="1:6">
      <c r="A8073" t="s">
        <v>23960</v>
      </c>
      <c r="B8073" t="s">
        <v>23961</v>
      </c>
      <c r="C8073" t="s">
        <v>23962</v>
      </c>
      <c r="D8073" t="str">
        <f>HYPERLINK("https://github.com/TeamNewPipe/NewPipe/issues/3354","show")</f>
        <v>show</v>
      </c>
      <c r="E8073" t="str">
        <f>HYPERLINK("https://github.com/TeamNewPipe/NewPipe","show")</f>
        <v>show</v>
      </c>
      <c r="F8073" t="str">
        <f>HYPERLINK("https://github.com/TeamNewPipe/NewPipe/releases","show")</f>
        <v>show</v>
      </c>
    </row>
    <row r="8074" spans="1:6">
      <c r="A8074" t="s">
        <v>23963</v>
      </c>
      <c r="B8074" t="s">
        <v>23964</v>
      </c>
      <c r="C8074" t="s">
        <v>23965</v>
      </c>
      <c r="D8074" t="str">
        <f>HYPERLINK("https://github.com/AmazMod/AmazMod/issues/847","show")</f>
        <v>show</v>
      </c>
      <c r="E8074" t="str">
        <f>HYPERLINK("https://github.com/AmazMod/AmazMod","show")</f>
        <v>show</v>
      </c>
      <c r="F8074" t="str">
        <f>HYPERLINK("https://github.com/AmazMod/AmazMod/releases","show")</f>
        <v>show</v>
      </c>
    </row>
    <row r="8075" spans="1:6">
      <c r="A8075" t="s">
        <v>23966</v>
      </c>
      <c r="B8075" t="s">
        <v>23967</v>
      </c>
      <c r="C8075" t="s">
        <v>23968</v>
      </c>
      <c r="D8075" t="str">
        <f>HYPERLINK("https://github.com/TeamNewPipe/NewPipe/issues/3350","show")</f>
        <v>show</v>
      </c>
      <c r="E8075" t="str">
        <f>HYPERLINK("https://github.com/TeamNewPipe/NewPipe","show")</f>
        <v>show</v>
      </c>
      <c r="F8075" t="str">
        <f>HYPERLINK("https://github.com/TeamNewPipe/NewPipe/releases","show")</f>
        <v>show</v>
      </c>
    </row>
    <row r="8076" spans="1:6">
      <c r="A8076" t="s">
        <v>23969</v>
      </c>
      <c r="B8076" t="s">
        <v>23970</v>
      </c>
      <c r="C8076" t="s">
        <v>23971</v>
      </c>
      <c r="D8076" t="str">
        <f>HYPERLINK("https://github.com/TeamNewPipe/NewPipe/issues/3348","show")</f>
        <v>show</v>
      </c>
      <c r="E8076" t="str">
        <f>HYPERLINK("https://github.com/TeamNewPipe/NewPipe","show")</f>
        <v>show</v>
      </c>
      <c r="F8076" t="str">
        <f>HYPERLINK("https://github.com/TeamNewPipe/NewPipe/releases","show")</f>
        <v>show</v>
      </c>
    </row>
    <row r="8077" spans="1:6">
      <c r="A8077" t="s">
        <v>23972</v>
      </c>
      <c r="B8077" t="s">
        <v>23973</v>
      </c>
      <c r="C8077" t="s">
        <v>23974</v>
      </c>
      <c r="D8077" t="str">
        <f>HYPERLINK("https://github.com/mapbox/mapbox-events-android/issues/472","show")</f>
        <v>show</v>
      </c>
      <c r="E8077" t="str">
        <f>HYPERLINK("https://github.com/mapbox/mapbox-events-android","show")</f>
        <v>show</v>
      </c>
      <c r="F8077" t="str">
        <f>HYPERLINK("https://github.com/mapbox/mapbox-events-android/releases","show")</f>
        <v>show</v>
      </c>
    </row>
    <row r="8078" spans="1:6">
      <c r="A8078" t="s">
        <v>23975</v>
      </c>
      <c r="B8078" t="s">
        <v>23976</v>
      </c>
      <c r="C8078" t="s">
        <v>23977</v>
      </c>
      <c r="D8078" t="str">
        <f>HYPERLINK("https://github.com/nextcloud/android/issues/5801","show")</f>
        <v>show</v>
      </c>
      <c r="E8078" t="str">
        <f>HYPERLINK("https://github.com/nextcloud/android","show")</f>
        <v>show</v>
      </c>
      <c r="F8078" t="str">
        <f>HYPERLINK("https://github.com/nextcloud/android/releases","show")</f>
        <v>show</v>
      </c>
    </row>
    <row r="8079" spans="1:6">
      <c r="A8079" t="s">
        <v>23978</v>
      </c>
      <c r="B8079" t="s">
        <v>23979</v>
      </c>
      <c r="C8079" t="s">
        <v>23980</v>
      </c>
      <c r="D8079" t="str">
        <f>HYPERLINK("https://github.com/nextcloud/android/issues/5799","show")</f>
        <v>show</v>
      </c>
      <c r="E8079" t="str">
        <f>HYPERLINK("https://github.com/nextcloud/android","show")</f>
        <v>show</v>
      </c>
      <c r="F8079" t="str">
        <f>HYPERLINK("https://github.com/nextcloud/android/releases","show")</f>
        <v>show</v>
      </c>
    </row>
    <row r="8080" spans="1:6">
      <c r="A8080" t="s">
        <v>23981</v>
      </c>
      <c r="B8080" t="s">
        <v>23982</v>
      </c>
      <c r="C8080" t="s">
        <v>23983</v>
      </c>
      <c r="D8080" t="str">
        <f>HYPERLINK("https://github.com/ECE493-Group5/adjustable-audio/issues/114","show")</f>
        <v>show</v>
      </c>
      <c r="E8080" t="str">
        <f>HYPERLINK("https://github.com/ECE493-Group5/adjustable-audio","show")</f>
        <v>show</v>
      </c>
      <c r="F8080" t="str">
        <f>HYPERLINK("https://github.com/ECE493-Group5/adjustable-audio/releases","show")</f>
        <v>show</v>
      </c>
    </row>
    <row r="8081" spans="1:6">
      <c r="A8081" t="s">
        <v>23984</v>
      </c>
      <c r="B8081" t="s">
        <v>23985</v>
      </c>
      <c r="C8081" t="s">
        <v>23986</v>
      </c>
      <c r="D8081" t="str">
        <f>HYPERLINK("https://github.com/react-native-share/react-native-share/issues/746","show")</f>
        <v>show</v>
      </c>
      <c r="E8081" t="str">
        <f>HYPERLINK("https://github.com/react-native-share/react-native-share","show")</f>
        <v>show</v>
      </c>
      <c r="F8081" t="str">
        <f>HYPERLINK("https://github.com/react-native-share/react-native-share/releases","show")</f>
        <v>show</v>
      </c>
    </row>
    <row r="8082" spans="1:6">
      <c r="A8082" t="s">
        <v>23987</v>
      </c>
      <c r="B8082" t="s">
        <v>23988</v>
      </c>
      <c r="C8082" t="s">
        <v>23989</v>
      </c>
      <c r="D8082" t="str">
        <f>HYPERLINK("https://github.com/CMPUT301W20T07/arrival/issues/157","show")</f>
        <v>show</v>
      </c>
      <c r="E8082" t="str">
        <f>HYPERLINK("https://github.com/CMPUT301W20T07/arrival","show")</f>
        <v>show</v>
      </c>
      <c r="F8082" t="str">
        <f>HYPERLINK("https://github.com/CMPUT301W20T07/arrival/releases","show")</f>
        <v>show</v>
      </c>
    </row>
    <row r="8083" spans="1:6">
      <c r="A8083" t="s">
        <v>23990</v>
      </c>
      <c r="B8083" t="s">
        <v>23991</v>
      </c>
      <c r="C8083" t="s">
        <v>23992</v>
      </c>
      <c r="D8083" t="str">
        <f>HYPERLINK("https://github.com/CMPUT301W20T07/arrival/issues/156","show")</f>
        <v>show</v>
      </c>
      <c r="E8083" t="str">
        <f>HYPERLINK("https://github.com/CMPUT301W20T07/arrival","show")</f>
        <v>show</v>
      </c>
      <c r="F8083" t="str">
        <f>HYPERLINK("https://github.com/CMPUT301W20T07/arrival/releases","show")</f>
        <v>show</v>
      </c>
    </row>
    <row r="8084" spans="1:6">
      <c r="A8084" t="s">
        <v>23993</v>
      </c>
      <c r="B8084" t="s">
        <v>23994</v>
      </c>
      <c r="C8084" t="s">
        <v>23995</v>
      </c>
      <c r="D8084" t="str">
        <f>HYPERLINK("https://github.com/TeamNewPipe/NewPipe/issues/3336","show")</f>
        <v>show</v>
      </c>
      <c r="E8084" t="str">
        <f>HYPERLINK("https://github.com/TeamNewPipe/NewPipe","show")</f>
        <v>show</v>
      </c>
      <c r="F8084" t="str">
        <f>HYPERLINK("https://github.com/TeamNewPipe/NewPipe/releases","show")</f>
        <v>show</v>
      </c>
    </row>
    <row r="8085" spans="1:6">
      <c r="A8085" t="s">
        <v>23996</v>
      </c>
      <c r="B8085" t="s">
        <v>23997</v>
      </c>
      <c r="C8085" t="s">
        <v>23998</v>
      </c>
      <c r="D8085" t="str">
        <f>HYPERLINK("https://github.com/mosaicnetworks/babble-android/issues/59","show")</f>
        <v>show</v>
      </c>
      <c r="E8085" t="str">
        <f>HYPERLINK("https://github.com/mosaicnetworks/babble-android","show")</f>
        <v>show</v>
      </c>
      <c r="F8085" t="str">
        <f>HYPERLINK("https://github.com/mosaicnetworks/babble-android/releases","show")</f>
        <v>show</v>
      </c>
    </row>
    <row r="8086" spans="1:6">
      <c r="A8086" t="s">
        <v>23999</v>
      </c>
      <c r="B8086" t="s">
        <v>24000</v>
      </c>
      <c r="C8086" t="s">
        <v>24001</v>
      </c>
      <c r="D8086" t="str">
        <f>HYPERLINK("https://github.com/Haptic-Apps/Slide/issues/3148","show")</f>
        <v>show</v>
      </c>
      <c r="E8086" t="str">
        <f>HYPERLINK("https://github.com/Haptic-Apps/Slide","show")</f>
        <v>show</v>
      </c>
      <c r="F8086" t="str">
        <f>HYPERLINK("https://github.com/Haptic-Apps/Slide/releases","show")</f>
        <v>show</v>
      </c>
    </row>
    <row r="8087" spans="1:6">
      <c r="A8087" t="s">
        <v>24002</v>
      </c>
      <c r="B8087" t="s">
        <v>24003</v>
      </c>
      <c r="C8087" t="s">
        <v>24004</v>
      </c>
      <c r="D8087" t="str">
        <f>HYPERLINK("https://github.com/SmartDeviceLink-Examples/example_weather_app_android/issues/18","show")</f>
        <v>show</v>
      </c>
      <c r="E8087" t="str">
        <f>HYPERLINK("https://github.com/SmartDeviceLink-Examples/example_weather_app_android","show")</f>
        <v>show</v>
      </c>
      <c r="F8087" t="str">
        <f>HYPERLINK("https://github.com/SmartDeviceLink-Examples/example_weather_app_android/releases","show")</f>
        <v>show</v>
      </c>
    </row>
    <row r="8088" spans="1:6">
      <c r="A8088" t="s">
        <v>24005</v>
      </c>
      <c r="B8088" t="s">
        <v>24006</v>
      </c>
      <c r="C8088" t="s">
        <v>24007</v>
      </c>
      <c r="D8088" t="str">
        <f>HYPERLINK("https://github.com/hzi-braunschweig/SORMAS-Project/issues/1724","show")</f>
        <v>show</v>
      </c>
      <c r="E8088" t="str">
        <f>HYPERLINK("https://github.com/hzi-braunschweig/SORMAS-Project","show")</f>
        <v>show</v>
      </c>
      <c r="F8088" t="str">
        <f>HYPERLINK("https://github.com/hzi-braunschweig/SORMAS-Project/releases","show")</f>
        <v>show</v>
      </c>
    </row>
    <row r="8089" spans="1:6">
      <c r="A8089" t="s">
        <v>24008</v>
      </c>
      <c r="B8089" t="s">
        <v>24009</v>
      </c>
      <c r="C8089" t="s">
        <v>24010</v>
      </c>
      <c r="D8089" t="str">
        <f>HYPERLINK("https://github.com/TeamNewPipe/NewPipe/issues/3333","show")</f>
        <v>show</v>
      </c>
      <c r="E8089" t="str">
        <f>HYPERLINK("https://github.com/TeamNewPipe/NewPipe","show")</f>
        <v>show</v>
      </c>
      <c r="F8089" t="str">
        <f>HYPERLINK("https://github.com/TeamNewPipe/NewPipe/releases","show")</f>
        <v>show</v>
      </c>
    </row>
    <row r="8090" spans="1:6">
      <c r="A8090" t="s">
        <v>24011</v>
      </c>
      <c r="B8090" t="s">
        <v>24012</v>
      </c>
      <c r="C8090" t="s">
        <v>24013</v>
      </c>
      <c r="D8090" t="str">
        <f>HYPERLINK("https://github.com/ZieIony/RandomData/issues/12","show")</f>
        <v>show</v>
      </c>
      <c r="E8090" t="str">
        <f>HYPERLINK("https://github.com/ZieIony/RandomData","show")</f>
        <v>show</v>
      </c>
      <c r="F8090" t="str">
        <f>HYPERLINK("https://github.com/ZieIony/RandomData/releases","show")</f>
        <v>show</v>
      </c>
    </row>
    <row r="8091" spans="1:6">
      <c r="A8091" t="s">
        <v>24014</v>
      </c>
      <c r="B8091" t="s">
        <v>24015</v>
      </c>
      <c r="C8091" t="s">
        <v>24016</v>
      </c>
      <c r="D8091" t="str">
        <f>HYPERLINK("https://github.com/Blankj/AndroidUtilCode/issues/1213","show")</f>
        <v>show</v>
      </c>
      <c r="E8091" t="str">
        <f>HYPERLINK("https://github.com/Blankj/AndroidUtilCode","show")</f>
        <v>show</v>
      </c>
      <c r="F8091" t="str">
        <f>HYPERLINK("https://github.com/Blankj/AndroidUtilCode/releases","show")</f>
        <v>show</v>
      </c>
    </row>
    <row r="8092" spans="1:6">
      <c r="A8092" t="s">
        <v>24017</v>
      </c>
      <c r="B8092" t="s">
        <v>24018</v>
      </c>
      <c r="C8092" t="s">
        <v>24019</v>
      </c>
      <c r="D8092" t="str">
        <f>HYPERLINK("https://github.com/nextcloud/android/issues/5789","show")</f>
        <v>show</v>
      </c>
      <c r="E8092" t="str">
        <f>HYPERLINK("https://github.com/nextcloud/android","show")</f>
        <v>show</v>
      </c>
      <c r="F8092" t="str">
        <f>HYPERLINK("https://github.com/nextcloud/android/releases","show")</f>
        <v>show</v>
      </c>
    </row>
    <row r="8093" spans="1:6">
      <c r="A8093" t="s">
        <v>24020</v>
      </c>
      <c r="B8093" t="s">
        <v>24021</v>
      </c>
      <c r="C8093" t="s">
        <v>24022</v>
      </c>
      <c r="D8093" t="str">
        <f>HYPERLINK("https://github.com/ubergeek42/weechat-android/issues/439","show")</f>
        <v>show</v>
      </c>
      <c r="E8093" t="str">
        <f>HYPERLINK("https://github.com/ubergeek42/weechat-android","show")</f>
        <v>show</v>
      </c>
      <c r="F8093" t="str">
        <f>HYPERLINK("https://github.com/ubergeek42/weechat-android/releases","show")</f>
        <v>show</v>
      </c>
    </row>
    <row r="8094" spans="1:6">
      <c r="A8094" t="s">
        <v>24023</v>
      </c>
      <c r="B8094" t="s">
        <v>24024</v>
      </c>
      <c r="C8094" t="s">
        <v>24025</v>
      </c>
      <c r="D8094" t="str">
        <f>HYPERLINK("https://github.com/TeamNewPipe/NewPipe/issues/3323","show")</f>
        <v>show</v>
      </c>
      <c r="E8094" t="str">
        <f>HYPERLINK("https://github.com/TeamNewPipe/NewPipe","show")</f>
        <v>show</v>
      </c>
      <c r="F8094" t="str">
        <f>HYPERLINK("https://github.com/TeamNewPipe/NewPipe/releases","show")</f>
        <v>show</v>
      </c>
    </row>
    <row r="8095" spans="1:6">
      <c r="A8095" t="s">
        <v>24026</v>
      </c>
      <c r="B8095" t="s">
        <v>24027</v>
      </c>
      <c r="C8095" t="s">
        <v>24028</v>
      </c>
      <c r="D8095" t="str">
        <f>HYPERLINK("https://github.com/TeamNewPipe/NewPipe/issues/3322","show")</f>
        <v>show</v>
      </c>
      <c r="E8095" t="str">
        <f>HYPERLINK("https://github.com/TeamNewPipe/NewPipe","show")</f>
        <v>show</v>
      </c>
      <c r="F8095" t="str">
        <f>HYPERLINK("https://github.com/TeamNewPipe/NewPipe/releases","show")</f>
        <v>show</v>
      </c>
    </row>
    <row r="8096" spans="1:6">
      <c r="A8096" t="s">
        <v>24029</v>
      </c>
      <c r="B8096" t="s">
        <v>24030</v>
      </c>
      <c r="C8096" t="s">
        <v>24031</v>
      </c>
      <c r="D8096" t="str">
        <f>HYPERLINK("https://github.com/google/ExoPlayer/issues/7168","show")</f>
        <v>show</v>
      </c>
      <c r="E8096" t="str">
        <f>HYPERLINK("https://github.com/google/ExoPlayer","show")</f>
        <v>show</v>
      </c>
      <c r="F8096" t="str">
        <f>HYPERLINK("https://github.com/google/ExoPlayer/releases","show")</f>
        <v>show</v>
      </c>
    </row>
    <row r="8097" spans="1:6">
      <c r="A8097" t="s">
        <v>24032</v>
      </c>
      <c r="B8097" t="s">
        <v>24033</v>
      </c>
      <c r="C8097" t="s">
        <v>24034</v>
      </c>
      <c r="D8097" t="str">
        <f>HYPERLINK("https://github.com/CMPUT301W20T07/arrival/issues/147","show")</f>
        <v>show</v>
      </c>
      <c r="E8097" t="str">
        <f>HYPERLINK("https://github.com/CMPUT301W20T07/arrival","show")</f>
        <v>show</v>
      </c>
      <c r="F8097" t="str">
        <f>HYPERLINK("https://github.com/CMPUT301W20T07/arrival/releases","show")</f>
        <v>show</v>
      </c>
    </row>
    <row r="8098" spans="1:6">
      <c r="A8098" t="s">
        <v>24035</v>
      </c>
      <c r="B8098" t="s">
        <v>24036</v>
      </c>
      <c r="C8098" t="s">
        <v>24037</v>
      </c>
      <c r="D8098" t="str">
        <f>HYPERLINK("https://github.com/TeamNewPipe/NewPipe/issues/3320","show")</f>
        <v>show</v>
      </c>
      <c r="E8098" t="str">
        <f>HYPERLINK("https://github.com/TeamNewPipe/NewPipe","show")</f>
        <v>show</v>
      </c>
      <c r="F8098" t="str">
        <f>HYPERLINK("https://github.com/TeamNewPipe/NewPipe/releases","show")</f>
        <v>show</v>
      </c>
    </row>
    <row r="8099" spans="1:6">
      <c r="A8099" t="s">
        <v>24038</v>
      </c>
      <c r="B8099" t="s">
        <v>24039</v>
      </c>
      <c r="C8099" t="s">
        <v>24040</v>
      </c>
      <c r="D8099" t="str">
        <f>HYPERLINK("https://github.com/PojavLauncherTeam/PojavLauncher/issues/33","show")</f>
        <v>show</v>
      </c>
      <c r="E8099" t="str">
        <f>HYPERLINK("https://github.com/PojavLauncherTeam/PojavLauncher","show")</f>
        <v>show</v>
      </c>
      <c r="F8099" t="str">
        <f>HYPERLINK("https://github.com/PojavLauncherTeam/PojavLauncher/releases","show")</f>
        <v>show</v>
      </c>
    </row>
    <row r="8100" spans="1:6">
      <c r="A8100" t="s">
        <v>24041</v>
      </c>
      <c r="B8100" t="s">
        <v>24042</v>
      </c>
      <c r="C8100" t="s">
        <v>24043</v>
      </c>
      <c r="D8100" t="str">
        <f>HYPERLINK("https://github.com/PojavLauncherTeam/PojavLauncher/issues/32","show")</f>
        <v>show</v>
      </c>
      <c r="E8100" t="str">
        <f>HYPERLINK("https://github.com/PojavLauncherTeam/PojavLauncher","show")</f>
        <v>show</v>
      </c>
      <c r="F8100" t="str">
        <f>HYPERLINK("https://github.com/PojavLauncherTeam/PojavLauncher/releases","show")</f>
        <v>show</v>
      </c>
    </row>
    <row r="8101" spans="1:6">
      <c r="A8101" t="s">
        <v>24044</v>
      </c>
      <c r="B8101" t="s">
        <v>24045</v>
      </c>
      <c r="C8101" t="s">
        <v>24046</v>
      </c>
      <c r="D8101" t="str">
        <f>HYPERLINK("https://github.com/ankidroid/Anki-Android/issues/5883","show")</f>
        <v>show</v>
      </c>
      <c r="E8101" t="str">
        <f>HYPERLINK("https://github.com/ankidroid/Anki-Android","show")</f>
        <v>show</v>
      </c>
      <c r="F8101" t="str">
        <f>HYPERLINK("https://github.com/ankidroid/Anki-Android/releases","show")</f>
        <v>show</v>
      </c>
    </row>
    <row r="8102" spans="1:6">
      <c r="A8102" t="s">
        <v>24047</v>
      </c>
      <c r="B8102" t="s">
        <v>24048</v>
      </c>
      <c r="C8102" t="s">
        <v>24049</v>
      </c>
      <c r="D8102" t="str">
        <f>HYPERLINK("https://github.com/nextcloud/android/issues/5785","show")</f>
        <v>show</v>
      </c>
      <c r="E8102" t="str">
        <f>HYPERLINK("https://github.com/nextcloud/android","show")</f>
        <v>show</v>
      </c>
      <c r="F8102" t="str">
        <f>HYPERLINK("https://github.com/nextcloud/android/releases","show")</f>
        <v>show</v>
      </c>
    </row>
    <row r="8103" spans="1:6">
      <c r="A8103" t="s">
        <v>24050</v>
      </c>
      <c r="B8103" t="s">
        <v>24051</v>
      </c>
      <c r="C8103" t="s">
        <v>24052</v>
      </c>
      <c r="D8103" t="str">
        <f>HYPERLINK("https://github.com/TeamNewPipe/NewPipe/issues/3317","show")</f>
        <v>show</v>
      </c>
      <c r="E8103" t="str">
        <f>HYPERLINK("https://github.com/TeamNewPipe/NewPipe","show")</f>
        <v>show</v>
      </c>
      <c r="F8103" t="str">
        <f>HYPERLINK("https://github.com/TeamNewPipe/NewPipe/releases","show")</f>
        <v>show</v>
      </c>
    </row>
    <row r="8104" spans="1:6">
      <c r="A8104" t="s">
        <v>24053</v>
      </c>
      <c r="B8104" t="s">
        <v>24054</v>
      </c>
      <c r="C8104" t="s">
        <v>24055</v>
      </c>
      <c r="D8104" t="str">
        <f>HYPERLINK("https://github.com/CMPUT301W20T22/EasyRide/issues/58","show")</f>
        <v>show</v>
      </c>
      <c r="E8104" t="str">
        <f>HYPERLINK("https://github.com/CMPUT301W20T22/EasyRide","show")</f>
        <v>show</v>
      </c>
      <c r="F8104" t="str">
        <f>HYPERLINK("https://github.com/CMPUT301W20T22/EasyRide/releases","show")</f>
        <v>show</v>
      </c>
    </row>
    <row r="8105" spans="1:6">
      <c r="A8105" t="s">
        <v>24056</v>
      </c>
      <c r="B8105" t="s">
        <v>24057</v>
      </c>
      <c r="C8105" t="s">
        <v>24058</v>
      </c>
      <c r="D8105" t="str">
        <f>HYPERLINK("https://github.com/CMPUT301W20T22/EasyRide/issues/56","show")</f>
        <v>show</v>
      </c>
      <c r="E8105" t="str">
        <f>HYPERLINK("https://github.com/CMPUT301W20T22/EasyRide","show")</f>
        <v>show</v>
      </c>
      <c r="F8105" t="str">
        <f>HYPERLINK("https://github.com/CMPUT301W20T22/EasyRide/releases","show")</f>
        <v>show</v>
      </c>
    </row>
    <row r="8106" spans="1:6">
      <c r="A8106" t="s">
        <v>24059</v>
      </c>
      <c r="B8106" t="s">
        <v>24060</v>
      </c>
      <c r="C8106" t="s">
        <v>24061</v>
      </c>
      <c r="D8106" t="str">
        <f>HYPERLINK("https://github.com/amahi/android/issues/529","show")</f>
        <v>show</v>
      </c>
      <c r="E8106" t="str">
        <f>HYPERLINK("https://github.com/amahi/android","show")</f>
        <v>show</v>
      </c>
      <c r="F8106" t="str">
        <f>HYPERLINK("https://github.com/amahi/android/releases","show")</f>
        <v>show</v>
      </c>
    </row>
    <row r="8107" spans="1:6">
      <c r="A8107" t="s">
        <v>24062</v>
      </c>
      <c r="B8107" t="s">
        <v>24063</v>
      </c>
      <c r="C8107" t="s">
        <v>24064</v>
      </c>
      <c r="D8107" t="str">
        <f>HYPERLINK("https://github.com/commons-app/apps-android-commons/issues/3607","show")</f>
        <v>show</v>
      </c>
      <c r="E8107" t="str">
        <f>HYPERLINK("https://github.com/commons-app/apps-android-commons","show")</f>
        <v>show</v>
      </c>
      <c r="F8107" t="str">
        <f>HYPERLINK("https://github.com/commons-app/apps-android-commons/releases","show")</f>
        <v>show</v>
      </c>
    </row>
    <row r="8108" spans="1:6">
      <c r="A8108" t="s">
        <v>24065</v>
      </c>
      <c r="B8108" t="s">
        <v>24066</v>
      </c>
      <c r="C8108" t="s">
        <v>24067</v>
      </c>
      <c r="D8108" t="str">
        <f>HYPERLINK("https://github.com/eduvpn/android/issues/262","show")</f>
        <v>show</v>
      </c>
      <c r="E8108" t="str">
        <f>HYPERLINK("https://github.com/eduvpn/android","show")</f>
        <v>show</v>
      </c>
      <c r="F8108" t="str">
        <f>HYPERLINK("https://github.com/eduvpn/android/releases","show")</f>
        <v>show</v>
      </c>
    </row>
    <row r="8109" spans="1:6">
      <c r="A8109" t="s">
        <v>24068</v>
      </c>
      <c r="B8109" t="s">
        <v>24069</v>
      </c>
      <c r="C8109" t="s">
        <v>24070</v>
      </c>
      <c r="D8109" t="str">
        <f>HYPERLINK("https://github.com/TeamNewPipe/NewPipe/issues/3303","show")</f>
        <v>show</v>
      </c>
      <c r="E8109" t="str">
        <f>HYPERLINK("https://github.com/TeamNewPipe/NewPipe","show")</f>
        <v>show</v>
      </c>
      <c r="F8109" t="str">
        <f>HYPERLINK("https://github.com/TeamNewPipe/NewPipe/releases","show")</f>
        <v>show</v>
      </c>
    </row>
    <row r="8110" spans="1:6">
      <c r="A8110" t="s">
        <v>24071</v>
      </c>
      <c r="B8110" t="s">
        <v>24072</v>
      </c>
      <c r="C8110" t="s">
        <v>24073</v>
      </c>
      <c r="D8110" t="str">
        <f>HYPERLINK("https://github.com/bumptech/glide/issues/4165","show")</f>
        <v>show</v>
      </c>
      <c r="E8110" t="str">
        <f>HYPERLINK("https://github.com/bumptech/glide","show")</f>
        <v>show</v>
      </c>
      <c r="F8110" t="str">
        <f>HYPERLINK("https://github.com/bumptech/glide/releases","show")</f>
        <v>show</v>
      </c>
    </row>
    <row r="8111" spans="1:6">
      <c r="A8111" t="s">
        <v>24074</v>
      </c>
      <c r="B8111" t="s">
        <v>24075</v>
      </c>
      <c r="C8111" t="s">
        <v>24076</v>
      </c>
      <c r="D8111" t="str">
        <f>HYPERLINK("https://github.com/react-native-camera/react-native-camera/issues/2773","show")</f>
        <v>show</v>
      </c>
      <c r="E8111" t="str">
        <f>HYPERLINK("https://github.com/react-native-camera/react-native-camera","show")</f>
        <v>show</v>
      </c>
      <c r="F8111" t="str">
        <f>HYPERLINK("https://github.com/react-native-camera/react-native-camera/releases","show")</f>
        <v>show</v>
      </c>
    </row>
    <row r="8112" spans="1:6">
      <c r="A8112" t="s">
        <v>24077</v>
      </c>
      <c r="B8112" t="s">
        <v>24078</v>
      </c>
      <c r="C8112" t="s">
        <v>24079</v>
      </c>
      <c r="D8112" t="str">
        <f>HYPERLINK("https://github.com/classapp/react-native-video-helper/issues/24","show")</f>
        <v>show</v>
      </c>
      <c r="E8112" t="str">
        <f>HYPERLINK("https://github.com/classapp/react-native-video-helper","show")</f>
        <v>show</v>
      </c>
      <c r="F8112" t="str">
        <f>HYPERLINK("https://github.com/classapp/react-native-video-helper/releases","show")</f>
        <v>show</v>
      </c>
    </row>
    <row r="8113" spans="1:6">
      <c r="A8113" t="s">
        <v>24080</v>
      </c>
      <c r="B8113" t="s">
        <v>24081</v>
      </c>
      <c r="C8113" t="s">
        <v>24082</v>
      </c>
      <c r="D8113" t="str">
        <f>HYPERLINK("https://github.com/condog190/5E-Initiative-Tracker/issues/115","show")</f>
        <v>show</v>
      </c>
      <c r="E8113" t="str">
        <f>HYPERLINK("https://github.com/condog190/5E-Initiative-Tracker","show")</f>
        <v>show</v>
      </c>
      <c r="F8113" t="str">
        <f>HYPERLINK("https://github.com/condog190/5E-Initiative-Tracker/releases","show")</f>
        <v>show</v>
      </c>
    </row>
    <row r="8114" spans="1:6">
      <c r="A8114" t="s">
        <v>24083</v>
      </c>
      <c r="B8114" t="s">
        <v>24084</v>
      </c>
      <c r="C8114" t="s">
        <v>24085</v>
      </c>
      <c r="D8114" t="str">
        <f>HYPERLINK("https://github.com/TeamNewPipe/NewPipe/issues/3298","show")</f>
        <v>show</v>
      </c>
      <c r="E8114" t="str">
        <f>HYPERLINK("https://github.com/TeamNewPipe/NewPipe","show")</f>
        <v>show</v>
      </c>
      <c r="F8114" t="str">
        <f>HYPERLINK("https://github.com/TeamNewPipe/NewPipe/releases","show")</f>
        <v>show</v>
      </c>
    </row>
    <row r="8115" spans="1:6">
      <c r="A8115" t="s">
        <v>24086</v>
      </c>
      <c r="B8115" t="s">
        <v>24087</v>
      </c>
      <c r="C8115" t="s">
        <v>24088</v>
      </c>
      <c r="D8115" t="str">
        <f>HYPERLINK("https://github.com/cgeo/cgeo/issues/8167","show")</f>
        <v>show</v>
      </c>
      <c r="E8115" t="str">
        <f>HYPERLINK("https://github.com/cgeo/cgeo","show")</f>
        <v>show</v>
      </c>
      <c r="F8115" t="str">
        <f>HYPERLINK("https://github.com/cgeo/cgeo/releases","show")</f>
        <v>show</v>
      </c>
    </row>
    <row r="8116" spans="1:6">
      <c r="A8116" t="s">
        <v>24089</v>
      </c>
      <c r="B8116" t="s">
        <v>24090</v>
      </c>
      <c r="C8116" t="s">
        <v>24091</v>
      </c>
      <c r="D8116" t="str">
        <f>HYPERLINK("https://github.com/google/ExoPlayer/issues/7160","show")</f>
        <v>show</v>
      </c>
      <c r="E8116" t="str">
        <f>HYPERLINK("https://github.com/google/ExoPlayer","show")</f>
        <v>show</v>
      </c>
      <c r="F8116" t="str">
        <f>HYPERLINK("https://github.com/google/ExoPlayer/releases","show")</f>
        <v>show</v>
      </c>
    </row>
    <row r="8117" spans="1:6">
      <c r="A8117" t="s">
        <v>24092</v>
      </c>
      <c r="B8117" t="s">
        <v>24093</v>
      </c>
      <c r="C8117" t="s">
        <v>24094</v>
      </c>
      <c r="D8117" t="str">
        <f>HYPERLINK("https://github.com/TeamNewPipe/NewPipe/issues/3292","show")</f>
        <v>show</v>
      </c>
      <c r="E8117" t="str">
        <f>HYPERLINK("https://github.com/TeamNewPipe/NewPipe","show")</f>
        <v>show</v>
      </c>
      <c r="F8117" t="str">
        <f>HYPERLINK("https://github.com/TeamNewPipe/NewPipe/releases","show")</f>
        <v>show</v>
      </c>
    </row>
    <row r="8118" spans="1:6">
      <c r="A8118" t="s">
        <v>24095</v>
      </c>
      <c r="B8118" t="s">
        <v>24096</v>
      </c>
      <c r="C8118" t="s">
        <v>24097</v>
      </c>
      <c r="D8118" t="str">
        <f>HYPERLINK("https://github.com/ankidroid/Anki-Android/issues/5873","show")</f>
        <v>show</v>
      </c>
      <c r="E8118" t="str">
        <f>HYPERLINK("https://github.com/ankidroid/Anki-Android","show")</f>
        <v>show</v>
      </c>
      <c r="F8118" t="str">
        <f>HYPERLINK("https://github.com/ankidroid/Anki-Android/releases","show")</f>
        <v>show</v>
      </c>
    </row>
    <row r="8119" spans="1:6">
      <c r="A8119" t="s">
        <v>24098</v>
      </c>
      <c r="B8119" t="s">
        <v>24099</v>
      </c>
      <c r="C8119" t="s">
        <v>24100</v>
      </c>
      <c r="D8119" t="str">
        <f>HYPERLINK("https://github.com/X-dea/flutter_vpn/issues/45","show")</f>
        <v>show</v>
      </c>
      <c r="E8119" t="str">
        <f>HYPERLINK("https://github.com/X-dea/flutter_vpn","show")</f>
        <v>show</v>
      </c>
      <c r="F8119" t="str">
        <f>HYPERLINK("https://github.com/X-dea/flutter_vpn/releases","show")</f>
        <v>show</v>
      </c>
    </row>
    <row r="8120" spans="1:6">
      <c r="A8120" t="s">
        <v>24101</v>
      </c>
      <c r="B8120" t="s">
        <v>24102</v>
      </c>
      <c r="C8120" t="s">
        <v>24103</v>
      </c>
      <c r="D8120" t="str">
        <f>HYPERLINK("https://github.com/nextcloud/android/issues/5753","show")</f>
        <v>show</v>
      </c>
      <c r="E8120" t="str">
        <f>HYPERLINK("https://github.com/nextcloud/android","show")</f>
        <v>show</v>
      </c>
      <c r="F8120" t="str">
        <f>HYPERLINK("https://github.com/nextcloud/android/releases","show")</f>
        <v>show</v>
      </c>
    </row>
    <row r="8121" spans="1:6">
      <c r="A8121" t="s">
        <v>24104</v>
      </c>
      <c r="B8121" t="s">
        <v>24105</v>
      </c>
      <c r="C8121" t="s">
        <v>24106</v>
      </c>
      <c r="D8121" t="str">
        <f>HYPERLINK("https://github.com/TeamNewPipe/NewPipe/issues/3280","show")</f>
        <v>show</v>
      </c>
      <c r="E8121" t="str">
        <f>HYPERLINK("https://github.com/TeamNewPipe/NewPipe","show")</f>
        <v>show</v>
      </c>
      <c r="F8121" t="str">
        <f>HYPERLINK("https://github.com/TeamNewPipe/NewPipe/releases","show")</f>
        <v>show</v>
      </c>
    </row>
    <row r="8122" spans="1:6">
      <c r="A8122" t="s">
        <v>24107</v>
      </c>
      <c r="B8122" t="s">
        <v>24108</v>
      </c>
      <c r="C8122" t="s">
        <v>24109</v>
      </c>
      <c r="D8122" t="str">
        <f>HYPERLINK("https://github.com/material-components/material-components-android/issues/1159","show")</f>
        <v>show</v>
      </c>
      <c r="E8122" t="str">
        <f>HYPERLINK("https://github.com/material-components/material-components-android","show")</f>
        <v>show</v>
      </c>
      <c r="F8122" t="str">
        <f>HYPERLINK("https://github.com/material-components/material-components-android/releases","show")</f>
        <v>show</v>
      </c>
    </row>
    <row r="8123" spans="1:6">
      <c r="A8123" t="s">
        <v>24110</v>
      </c>
      <c r="B8123" t="s">
        <v>24111</v>
      </c>
      <c r="C8123" t="s">
        <v>24112</v>
      </c>
      <c r="D8123" t="str">
        <f>HYPERLINK("https://github.com/TeamNewPipe/NewPipe/issues/3279","show")</f>
        <v>show</v>
      </c>
      <c r="E8123" t="str">
        <f>HYPERLINK("https://github.com/TeamNewPipe/NewPipe","show")</f>
        <v>show</v>
      </c>
      <c r="F8123" t="str">
        <f>HYPERLINK("https://github.com/TeamNewPipe/NewPipe/releases","show")</f>
        <v>show</v>
      </c>
    </row>
    <row r="8124" spans="1:6">
      <c r="A8124" t="s">
        <v>24113</v>
      </c>
      <c r="B8124" t="s">
        <v>24114</v>
      </c>
      <c r="C8124" t="s">
        <v>24115</v>
      </c>
      <c r="D8124" t="str">
        <f>HYPERLINK("https://github.com/nextcloud/android/issues/5749","show")</f>
        <v>show</v>
      </c>
      <c r="E8124" t="str">
        <f>HYPERLINK("https://github.com/nextcloud/android","show")</f>
        <v>show</v>
      </c>
      <c r="F8124" t="str">
        <f>HYPERLINK("https://github.com/nextcloud/android/releases","show")</f>
        <v>show</v>
      </c>
    </row>
    <row r="8125" spans="1:6">
      <c r="A8125" t="s">
        <v>24116</v>
      </c>
      <c r="B8125" t="s">
        <v>24117</v>
      </c>
      <c r="C8125" t="s">
        <v>24118</v>
      </c>
      <c r="D8125" t="str">
        <f>HYPERLINK("https://github.com/TeamNewPipe/NewPipe/issues/3277","show")</f>
        <v>show</v>
      </c>
      <c r="E8125" t="str">
        <f>HYPERLINK("https://github.com/TeamNewPipe/NewPipe","show")</f>
        <v>show</v>
      </c>
      <c r="F8125" t="str">
        <f>HYPERLINK("https://github.com/TeamNewPipe/NewPipe/releases","show")</f>
        <v>show</v>
      </c>
    </row>
    <row r="8126" spans="1:6">
      <c r="A8126" t="s">
        <v>24119</v>
      </c>
      <c r="B8126" t="s">
        <v>24120</v>
      </c>
      <c r="C8126" t="s">
        <v>24121</v>
      </c>
      <c r="D8126" t="str">
        <f>HYPERLINK("https://github.com/X-dea/flutter_vpn/issues/44","show")</f>
        <v>show</v>
      </c>
      <c r="E8126" t="str">
        <f>HYPERLINK("https://github.com/X-dea/flutter_vpn","show")</f>
        <v>show</v>
      </c>
      <c r="F8126" t="str">
        <f>HYPERLINK("https://github.com/X-dea/flutter_vpn/releases","show")</f>
        <v>show</v>
      </c>
    </row>
    <row r="8127" spans="1:6">
      <c r="A8127" t="s">
        <v>24122</v>
      </c>
      <c r="B8127" t="s">
        <v>24123</v>
      </c>
      <c r="C8127" t="s">
        <v>24124</v>
      </c>
      <c r="D8127" t="str">
        <f>HYPERLINK("https://github.com/Concordia-Campus-Guide/Concordia-Campus-Guide/issues/155","show")</f>
        <v>show</v>
      </c>
      <c r="E8127" t="str">
        <f>HYPERLINK("https://github.com/Concordia-Campus-Guide/Concordia-Campus-Guide","show")</f>
        <v>show</v>
      </c>
      <c r="F8127" t="str">
        <f>HYPERLINK("https://github.com/Concordia-Campus-Guide/Concordia-Campus-Guide/releases","show")</f>
        <v>show</v>
      </c>
    </row>
    <row r="8128" spans="1:6">
      <c r="A8128" t="s">
        <v>24125</v>
      </c>
      <c r="B8128" t="s">
        <v>24126</v>
      </c>
      <c r="C8128" t="s">
        <v>24127</v>
      </c>
      <c r="D8128" t="str">
        <f>HYPERLINK("https://github.com/ionic-team/capacitor/issues/2639","show")</f>
        <v>show</v>
      </c>
      <c r="E8128" t="str">
        <f>HYPERLINK("https://github.com/ionic-team/capacitor","show")</f>
        <v>show</v>
      </c>
      <c r="F8128" t="str">
        <f>HYPERLINK("https://github.com/ionic-team/capacitor/releases","show")</f>
        <v>show</v>
      </c>
    </row>
    <row r="8129" spans="1:6">
      <c r="A8129" t="s">
        <v>24128</v>
      </c>
      <c r="B8129" t="s">
        <v>24129</v>
      </c>
      <c r="C8129" t="s">
        <v>24130</v>
      </c>
      <c r="D8129" t="str">
        <f>HYPERLINK("https://github.com/ankidroid/Anki-Android/issues/5864","show")</f>
        <v>show</v>
      </c>
      <c r="E8129" t="str">
        <f>HYPERLINK("https://github.com/ankidroid/Anki-Android","show")</f>
        <v>show</v>
      </c>
      <c r="F8129" t="str">
        <f>HYPERLINK("https://github.com/ankidroid/Anki-Android/releases","show")</f>
        <v>show</v>
      </c>
    </row>
    <row r="8130" spans="1:6">
      <c r="A8130" t="s">
        <v>24131</v>
      </c>
      <c r="B8130" t="s">
        <v>24132</v>
      </c>
      <c r="C8130" t="s">
        <v>24133</v>
      </c>
      <c r="D8130" t="str">
        <f>HYPERLINK("https://github.com/SkyTubeTeam/SkyTube/issues/702","show")</f>
        <v>show</v>
      </c>
      <c r="E8130" t="str">
        <f>HYPERLINK("https://github.com/SkyTubeTeam/SkyTube","show")</f>
        <v>show</v>
      </c>
      <c r="F8130" t="str">
        <f>HYPERLINK("https://github.com/SkyTubeTeam/SkyTube/releases","show")</f>
        <v>show</v>
      </c>
    </row>
    <row r="8131" spans="1:6">
      <c r="A8131" t="s">
        <v>24134</v>
      </c>
      <c r="B8131" t="s">
        <v>24135</v>
      </c>
      <c r="C8131" t="s">
        <v>24136</v>
      </c>
      <c r="D8131" t="str">
        <f>HYPERLINK("https://github.com/BiglySoftware/BiglyBT-Android/issues/135","show")</f>
        <v>show</v>
      </c>
      <c r="E8131" t="str">
        <f>HYPERLINK("https://github.com/BiglySoftware/BiglyBT-Android","show")</f>
        <v>show</v>
      </c>
      <c r="F8131" t="str">
        <f>HYPERLINK("https://github.com/BiglySoftware/BiglyBT-Android/releases","show")</f>
        <v>show</v>
      </c>
    </row>
    <row r="8132" spans="1:6">
      <c r="A8132" t="s">
        <v>24137</v>
      </c>
      <c r="B8132" t="s">
        <v>24138</v>
      </c>
      <c r="C8132" t="s">
        <v>24139</v>
      </c>
      <c r="D8132" t="str">
        <f>HYPERLINK("https://github.com/react-native-webrtc/react-native-webrtc/issues/764","show")</f>
        <v>show</v>
      </c>
      <c r="E8132" t="str">
        <f>HYPERLINK("https://github.com/react-native-webrtc/react-native-webrtc","show")</f>
        <v>show</v>
      </c>
      <c r="F8132" t="str">
        <f>HYPERLINK("https://github.com/react-native-webrtc/react-native-webrtc/releases","show")</f>
        <v>show</v>
      </c>
    </row>
    <row r="8133" spans="1:6">
      <c r="A8133" t="s">
        <v>24140</v>
      </c>
      <c r="B8133" t="s">
        <v>24141</v>
      </c>
      <c r="C8133" t="s">
        <v>24142</v>
      </c>
      <c r="D8133" t="str">
        <f>HYPERLINK("https://github.com/inaturalist/iNaturalistAndroid/issues/804","show")</f>
        <v>show</v>
      </c>
      <c r="E8133" t="str">
        <f>HYPERLINK("https://github.com/inaturalist/iNaturalistAndroid","show")</f>
        <v>show</v>
      </c>
      <c r="F8133" t="str">
        <f>HYPERLINK("https://github.com/inaturalist/iNaturalistAndroid/releases","show")</f>
        <v>show</v>
      </c>
    </row>
    <row r="8134" spans="1:6">
      <c r="A8134" t="s">
        <v>24143</v>
      </c>
      <c r="B8134" t="s">
        <v>24144</v>
      </c>
      <c r="C8134" t="s">
        <v>24145</v>
      </c>
      <c r="D8134" t="str">
        <f>HYPERLINK("https://github.com/nextcloud/android/issues/5735","show")</f>
        <v>show</v>
      </c>
      <c r="E8134" t="str">
        <f>HYPERLINK("https://github.com/nextcloud/android","show")</f>
        <v>show</v>
      </c>
      <c r="F8134" t="str">
        <f>HYPERLINK("https://github.com/nextcloud/android/releases","show")</f>
        <v>show</v>
      </c>
    </row>
    <row r="8135" spans="1:6">
      <c r="A8135" t="s">
        <v>24146</v>
      </c>
      <c r="B8135" t="s">
        <v>24147</v>
      </c>
      <c r="C8135" t="s">
        <v>24148</v>
      </c>
      <c r="D8135" t="str">
        <f>HYPERLINK("https://github.com/nextcloud/android/issues/5731","show")</f>
        <v>show</v>
      </c>
      <c r="E8135" t="str">
        <f>HYPERLINK("https://github.com/nextcloud/android","show")</f>
        <v>show</v>
      </c>
      <c r="F8135" t="str">
        <f>HYPERLINK("https://github.com/nextcloud/android/releases","show")</f>
        <v>show</v>
      </c>
    </row>
    <row r="8136" spans="1:6">
      <c r="A8136" t="s">
        <v>24149</v>
      </c>
      <c r="B8136" t="s">
        <v>24150</v>
      </c>
      <c r="C8136" t="s">
        <v>24151</v>
      </c>
      <c r="D8136" t="str">
        <f>HYPERLINK("https://github.com/grpc/grpc-java/issues/6850","show")</f>
        <v>show</v>
      </c>
      <c r="E8136" t="str">
        <f>HYPERLINK("https://github.com/grpc/grpc-java","show")</f>
        <v>show</v>
      </c>
      <c r="F8136" t="str">
        <f>HYPERLINK("https://github.com/grpc/grpc-java/releases","show")</f>
        <v>show</v>
      </c>
    </row>
    <row r="8137" spans="1:6">
      <c r="A8137" t="s">
        <v>24152</v>
      </c>
      <c r="B8137" t="s">
        <v>24153</v>
      </c>
      <c r="C8137" t="s">
        <v>24154</v>
      </c>
      <c r="D8137" t="str">
        <f>HYPERLINK("https://github.com/TeamNewPipe/NewPipe/issues/3261","show")</f>
        <v>show</v>
      </c>
      <c r="E8137" t="str">
        <f>HYPERLINK("https://github.com/TeamNewPipe/NewPipe","show")</f>
        <v>show</v>
      </c>
      <c r="F8137" t="str">
        <f>HYPERLINK("https://github.com/TeamNewPipe/NewPipe/releases","show")</f>
        <v>show</v>
      </c>
    </row>
    <row r="8138" spans="1:6">
      <c r="A8138" t="s">
        <v>24155</v>
      </c>
      <c r="B8138" t="s">
        <v>24156</v>
      </c>
      <c r="C8138" t="s">
        <v>24157</v>
      </c>
      <c r="D8138" t="str">
        <f>HYPERLINK("https://github.com/PhenoApps/Field-Book/issues/121","show")</f>
        <v>show</v>
      </c>
      <c r="E8138" t="str">
        <f>HYPERLINK("https://github.com/PhenoApps/Field-Book","show")</f>
        <v>show</v>
      </c>
      <c r="F8138" t="str">
        <f>HYPERLINK("https://github.com/PhenoApps/Field-Book/releases","show")</f>
        <v>show</v>
      </c>
    </row>
    <row r="8139" spans="1:6">
      <c r="A8139" t="s">
        <v>24158</v>
      </c>
      <c r="B8139" t="s">
        <v>24159</v>
      </c>
      <c r="C8139" t="s">
        <v>24160</v>
      </c>
      <c r="D8139" t="str">
        <f>HYPERLINK("https://github.com/Concordia-Campus-Guide/Concordia-Campus-Guide/issues/141","show")</f>
        <v>show</v>
      </c>
      <c r="E8139" t="str">
        <f>HYPERLINK("https://github.com/Concordia-Campus-Guide/Concordia-Campus-Guide","show")</f>
        <v>show</v>
      </c>
      <c r="F8139" t="str">
        <f>HYPERLINK("https://github.com/Concordia-Campus-Guide/Concordia-Campus-Guide/releases","show")</f>
        <v>show</v>
      </c>
    </row>
    <row r="8140" spans="1:6">
      <c r="A8140" t="s">
        <v>24161</v>
      </c>
      <c r="B8140" t="s">
        <v>24162</v>
      </c>
      <c r="C8140" t="s">
        <v>24163</v>
      </c>
      <c r="D8140" t="str">
        <f>HYPERLINK("https://github.com/ECE493-Group5/adjustable-audio/issues/67","show")</f>
        <v>show</v>
      </c>
      <c r="E8140" t="str">
        <f>HYPERLINK("https://github.com/ECE493-Group5/adjustable-audio","show")</f>
        <v>show</v>
      </c>
      <c r="F8140" t="str">
        <f>HYPERLINK("https://github.com/ECE493-Group5/adjustable-audio/releases","show")</f>
        <v>show</v>
      </c>
    </row>
    <row r="8141" spans="1:6">
      <c r="A8141" t="s">
        <v>24164</v>
      </c>
      <c r="B8141" t="s">
        <v>24165</v>
      </c>
      <c r="C8141" t="s">
        <v>24166</v>
      </c>
      <c r="D8141" t="str">
        <f>HYPERLINK("https://github.com/nextcloud/android/issues/5709","show")</f>
        <v>show</v>
      </c>
      <c r="E8141" t="str">
        <f>HYPERLINK("https://github.com/nextcloud/android","show")</f>
        <v>show</v>
      </c>
      <c r="F8141" t="str">
        <f>HYPERLINK("https://github.com/nextcloud/android/releases","show")</f>
        <v>show</v>
      </c>
    </row>
    <row r="8142" spans="1:6">
      <c r="A8142" t="s">
        <v>24167</v>
      </c>
      <c r="B8142" t="s">
        <v>24168</v>
      </c>
      <c r="C8142" t="s">
        <v>24169</v>
      </c>
      <c r="D8142" t="str">
        <f>HYPERLINK("https://github.com/TeamNewPipe/NewPipe/issues/3255","show")</f>
        <v>show</v>
      </c>
      <c r="E8142" t="str">
        <f>HYPERLINK("https://github.com/TeamNewPipe/NewPipe","show")</f>
        <v>show</v>
      </c>
      <c r="F8142" t="str">
        <f>HYPERLINK("https://github.com/TeamNewPipe/NewPipe/releases","show")</f>
        <v>show</v>
      </c>
    </row>
    <row r="8143" spans="1:6">
      <c r="A8143" t="s">
        <v>24170</v>
      </c>
      <c r="B8143" t="s">
        <v>24171</v>
      </c>
      <c r="C8143" t="s">
        <v>24172</v>
      </c>
      <c r="D8143" t="str">
        <f>HYPERLINK("https://github.com/material-components/material-components-android/issues/1130","show")</f>
        <v>show</v>
      </c>
      <c r="E8143" t="str">
        <f>HYPERLINK("https://github.com/material-components/material-components-android","show")</f>
        <v>show</v>
      </c>
      <c r="F8143" t="str">
        <f>HYPERLINK("https://github.com/material-components/material-components-android/releases","show")</f>
        <v>show</v>
      </c>
    </row>
    <row r="8144" spans="1:6">
      <c r="A8144" t="s">
        <v>24173</v>
      </c>
      <c r="B8144" t="s">
        <v>24174</v>
      </c>
      <c r="C8144" t="s">
        <v>24175</v>
      </c>
      <c r="D8144" t="str">
        <f>HYPERLINK("https://github.com/Fr4gorSoftware/SecScanQR/issues/145","show")</f>
        <v>show</v>
      </c>
      <c r="E8144" t="str">
        <f>HYPERLINK("https://github.com/Fr4gorSoftware/SecScanQR","show")</f>
        <v>show</v>
      </c>
      <c r="F8144" t="str">
        <f>HYPERLINK("https://github.com/Fr4gorSoftware/SecScanQR/releases","show")</f>
        <v>show</v>
      </c>
    </row>
    <row r="8145" spans="1:6">
      <c r="A8145" t="s">
        <v>24176</v>
      </c>
      <c r="B8145" t="s">
        <v>24177</v>
      </c>
      <c r="C8145" t="s">
        <v>24178</v>
      </c>
      <c r="D8145" t="str">
        <f>HYPERLINK("https://github.com/k9mail/k-9/issues/4620","show")</f>
        <v>show</v>
      </c>
      <c r="E8145" t="str">
        <f>HYPERLINK("https://github.com/k9mail/k-9","show")</f>
        <v>show</v>
      </c>
      <c r="F8145" t="str">
        <f>HYPERLINK("https://github.com/k9mail/k-9/releases","show")</f>
        <v>show</v>
      </c>
    </row>
    <row r="8146" spans="1:6">
      <c r="A8146" t="s">
        <v>24179</v>
      </c>
      <c r="B8146" t="s">
        <v>24180</v>
      </c>
      <c r="C8146" t="s">
        <v>24181</v>
      </c>
      <c r="D8146" t="str">
        <f>HYPERLINK("https://github.com/CMPUT301W20T17/BeepBeep/issues/43","show")</f>
        <v>show</v>
      </c>
      <c r="E8146" t="str">
        <f>HYPERLINK("https://github.com/CMPUT301W20T17/BeepBeep","show")</f>
        <v>show</v>
      </c>
      <c r="F8146" t="str">
        <f>HYPERLINK("https://github.com/CMPUT301W20T17/BeepBeep/releases","show")</f>
        <v>show</v>
      </c>
    </row>
    <row r="8147" spans="1:6">
      <c r="A8147" t="s">
        <v>24182</v>
      </c>
      <c r="B8147" t="s">
        <v>24183</v>
      </c>
      <c r="C8147" t="s">
        <v>24184</v>
      </c>
      <c r="D8147" t="str">
        <f>HYPERLINK("https://github.com/inaturalist/iNaturalistAndroid/issues/800","show")</f>
        <v>show</v>
      </c>
      <c r="E8147" t="str">
        <f>HYPERLINK("https://github.com/inaturalist/iNaturalistAndroid","show")</f>
        <v>show</v>
      </c>
      <c r="F8147" t="str">
        <f>HYPERLINK("https://github.com/inaturalist/iNaturalistAndroid/releases","show")</f>
        <v>show</v>
      </c>
    </row>
    <row r="8148" spans="1:6">
      <c r="A8148" t="s">
        <v>24185</v>
      </c>
      <c r="B8148" t="s">
        <v>24186</v>
      </c>
      <c r="C8148" t="s">
        <v>24187</v>
      </c>
      <c r="D8148" t="str">
        <f>HYPERLINK("https://github.com/ankidroid/Anki-Android/issues/5836","show")</f>
        <v>show</v>
      </c>
      <c r="E8148" t="str">
        <f>HYPERLINK("https://github.com/ankidroid/Anki-Android","show")</f>
        <v>show</v>
      </c>
      <c r="F8148" t="str">
        <f>HYPERLINK("https://github.com/ankidroid/Anki-Android/releases","show")</f>
        <v>show</v>
      </c>
    </row>
    <row r="8149" spans="1:6">
      <c r="A8149" t="s">
        <v>24188</v>
      </c>
      <c r="B8149" t="s">
        <v>24189</v>
      </c>
      <c r="C8149" t="s">
        <v>24190</v>
      </c>
      <c r="D8149" t="str">
        <f>HYPERLINK("https://github.com/CMPUT301W20T17/BeepBeep/issues/39","show")</f>
        <v>show</v>
      </c>
      <c r="E8149" t="str">
        <f>HYPERLINK("https://github.com/CMPUT301W20T17/BeepBeep","show")</f>
        <v>show</v>
      </c>
      <c r="F8149" t="str">
        <f>HYPERLINK("https://github.com/CMPUT301W20T17/BeepBeep/releases","show")</f>
        <v>show</v>
      </c>
    </row>
    <row r="8150" spans="1:6">
      <c r="A8150" t="s">
        <v>24191</v>
      </c>
      <c r="B8150" t="s">
        <v>24192</v>
      </c>
      <c r="C8150" t="s">
        <v>24193</v>
      </c>
      <c r="D8150" t="str">
        <f>HYPERLINK("https://github.com/CMPUT301W20T17/BeepBeep/issues/38","show")</f>
        <v>show</v>
      </c>
      <c r="E8150" t="str">
        <f>HYPERLINK("https://github.com/CMPUT301W20T17/BeepBeep","show")</f>
        <v>show</v>
      </c>
      <c r="F8150" t="str">
        <f>HYPERLINK("https://github.com/CMPUT301W20T17/BeepBeep/releases","show")</f>
        <v>show</v>
      </c>
    </row>
    <row r="8151" spans="1:6">
      <c r="A8151" t="s">
        <v>24194</v>
      </c>
      <c r="B8151" t="s">
        <v>24195</v>
      </c>
      <c r="C8151" t="s">
        <v>24196</v>
      </c>
      <c r="D8151" t="str">
        <f>HYPERLINK("https://github.com/Concordia-Campus-Guide/Concordia-Campus-Guide/issues/117","show")</f>
        <v>show</v>
      </c>
      <c r="E8151" t="str">
        <f>HYPERLINK("https://github.com/Concordia-Campus-Guide/Concordia-Campus-Guide","show")</f>
        <v>show</v>
      </c>
      <c r="F8151" t="str">
        <f>HYPERLINK("https://github.com/Concordia-Campus-Guide/Concordia-Campus-Guide/releases","show")</f>
        <v>show</v>
      </c>
    </row>
    <row r="8152" spans="1:6">
      <c r="A8152" t="s">
        <v>24197</v>
      </c>
      <c r="B8152" t="s">
        <v>24198</v>
      </c>
      <c r="C8152" t="s">
        <v>24199</v>
      </c>
      <c r="D8152" t="str">
        <f>HYPERLINK("https://github.com/nextcloud/android/issues/5686","show")</f>
        <v>show</v>
      </c>
      <c r="E8152" t="str">
        <f>HYPERLINK("https://github.com/nextcloud/android","show")</f>
        <v>show</v>
      </c>
      <c r="F8152" t="str">
        <f>HYPERLINK("https://github.com/nextcloud/android/releases","show")</f>
        <v>show</v>
      </c>
    </row>
    <row r="8153" spans="1:6">
      <c r="A8153" t="s">
        <v>24200</v>
      </c>
      <c r="B8153" t="s">
        <v>24201</v>
      </c>
      <c r="C8153" t="s">
        <v>24202</v>
      </c>
      <c r="D8153" t="str">
        <f>HYPERLINK("https://github.com/JakeWharton/dagger-reflect/issues/188","show")</f>
        <v>show</v>
      </c>
      <c r="E8153" t="str">
        <f>HYPERLINK("https://github.com/JakeWharton/dagger-reflect","show")</f>
        <v>show</v>
      </c>
      <c r="F8153" t="str">
        <f>HYPERLINK("https://github.com/JakeWharton/dagger-reflect/releases","show")</f>
        <v>show</v>
      </c>
    </row>
    <row r="8154" spans="1:6">
      <c r="A8154" t="s">
        <v>24203</v>
      </c>
      <c r="B8154" t="s">
        <v>24204</v>
      </c>
      <c r="C8154" t="s">
        <v>24205</v>
      </c>
      <c r="D8154" t="str">
        <f>HYPERLINK("https://github.com/inaturalist/iNaturalistAndroid/issues/797","show")</f>
        <v>show</v>
      </c>
      <c r="E8154" t="str">
        <f>HYPERLINK("https://github.com/inaturalist/iNaturalistAndroid","show")</f>
        <v>show</v>
      </c>
      <c r="F8154" t="str">
        <f>HYPERLINK("https://github.com/inaturalist/iNaturalistAndroid/releases","show")</f>
        <v>show</v>
      </c>
    </row>
    <row r="8155" spans="1:6">
      <c r="A8155" t="s">
        <v>24206</v>
      </c>
      <c r="B8155" t="s">
        <v>24207</v>
      </c>
      <c r="C8155" t="s">
        <v>24208</v>
      </c>
      <c r="D8155" t="str">
        <f>HYPERLINK("https://github.com/getodk/collect/issues/3716","show")</f>
        <v>show</v>
      </c>
      <c r="E8155" t="str">
        <f>HYPERLINK("https://github.com/getodk/collect","show")</f>
        <v>show</v>
      </c>
      <c r="F8155" t="str">
        <f>HYPERLINK("https://github.com/getodk/collect/releases","show")</f>
        <v>show</v>
      </c>
    </row>
    <row r="8156" spans="1:6">
      <c r="A8156" t="s">
        <v>24209</v>
      </c>
      <c r="B8156" t="s">
        <v>24210</v>
      </c>
      <c r="C8156" t="s">
        <v>24211</v>
      </c>
      <c r="D8156" t="str">
        <f>HYPERLINK("https://github.com/jaychenblue/scout-concordia/issues/170","show")</f>
        <v>show</v>
      </c>
      <c r="E8156" t="str">
        <f>HYPERLINK("https://github.com/jaychenblue/scout-concordia","show")</f>
        <v>show</v>
      </c>
      <c r="F8156" t="str">
        <f>HYPERLINK("https://github.com/jaychenblue/scout-concordia/releases","show")</f>
        <v>show</v>
      </c>
    </row>
    <row r="8157" spans="1:6">
      <c r="A8157" t="s">
        <v>24212</v>
      </c>
      <c r="B8157" t="s">
        <v>24213</v>
      </c>
      <c r="C8157" t="s">
        <v>24214</v>
      </c>
      <c r="D8157" t="str">
        <f>HYPERLINK("https://github.com/commons-app/apps-android-commons/issues/3531","show")</f>
        <v>show</v>
      </c>
      <c r="E8157" t="str">
        <f>HYPERLINK("https://github.com/commons-app/apps-android-commons","show")</f>
        <v>show</v>
      </c>
      <c r="F8157" t="str">
        <f>HYPERLINK("https://github.com/commons-app/apps-android-commons/releases","show")</f>
        <v>show</v>
      </c>
    </row>
    <row r="8158" spans="1:6">
      <c r="A8158" t="s">
        <v>24215</v>
      </c>
      <c r="B8158" t="s">
        <v>24216</v>
      </c>
      <c r="C8158" t="s">
        <v>24217</v>
      </c>
      <c r="D8158" t="str">
        <f>HYPERLINK("https://github.com/wiglenet/wigle-wifi-wardriving/issues/410","show")</f>
        <v>show</v>
      </c>
      <c r="E8158" t="str">
        <f>HYPERLINK("https://github.com/wiglenet/wigle-wifi-wardriving","show")</f>
        <v>show</v>
      </c>
      <c r="F8158" t="str">
        <f>HYPERLINK("https://github.com/wiglenet/wigle-wifi-wardriving/releases","show")</f>
        <v>show</v>
      </c>
    </row>
    <row r="8159" spans="1:6">
      <c r="A8159" t="s">
        <v>24218</v>
      </c>
      <c r="B8159" t="s">
        <v>24219</v>
      </c>
      <c r="C8159" t="s">
        <v>24220</v>
      </c>
      <c r="D8159" t="str">
        <f>HYPERLINK("https://github.com/nextcloud/android/issues/5669","show")</f>
        <v>show</v>
      </c>
      <c r="E8159" t="str">
        <f>HYPERLINK("https://github.com/nextcloud/android","show")</f>
        <v>show</v>
      </c>
      <c r="F8159" t="str">
        <f>HYPERLINK("https://github.com/nextcloud/android/releases","show")</f>
        <v>show</v>
      </c>
    </row>
    <row r="8160" spans="1:6">
      <c r="A8160" t="s">
        <v>24221</v>
      </c>
      <c r="B8160" t="s">
        <v>24222</v>
      </c>
      <c r="C8160" t="s">
        <v>24223</v>
      </c>
      <c r="D8160" t="str">
        <f>HYPERLINK("https://github.com/jaychenblue/scout-concordia/issues/167","show")</f>
        <v>show</v>
      </c>
      <c r="E8160" t="str">
        <f>HYPERLINK("https://github.com/jaychenblue/scout-concordia","show")</f>
        <v>show</v>
      </c>
      <c r="F8160" t="str">
        <f>HYPERLINK("https://github.com/jaychenblue/scout-concordia/releases","show")</f>
        <v>show</v>
      </c>
    </row>
    <row r="8161" spans="1:6">
      <c r="A8161" t="s">
        <v>24224</v>
      </c>
      <c r="B8161" t="s">
        <v>24225</v>
      </c>
      <c r="C8161" t="s">
        <v>24226</v>
      </c>
      <c r="D8161" t="str">
        <f>HYPERLINK("https://github.com/opensrp/opensrp-client-chw-hf/issues/55","show")</f>
        <v>show</v>
      </c>
      <c r="E8161" t="str">
        <f>HYPERLINK("https://github.com/opensrp/opensrp-client-chw-hf","show")</f>
        <v>show</v>
      </c>
      <c r="F8161" t="str">
        <f>HYPERLINK("https://github.com/opensrp/opensrp-client-chw-hf/releases","show")</f>
        <v>show</v>
      </c>
    </row>
    <row r="8162" spans="1:6">
      <c r="A8162" t="s">
        <v>24227</v>
      </c>
      <c r="B8162" t="s">
        <v>24225</v>
      </c>
      <c r="C8162" t="s">
        <v>24226</v>
      </c>
      <c r="D8162" t="str">
        <f>HYPERLINK("https://github.com/opensrp/opensrp-client-chw-family-planning/issues/62","show")</f>
        <v>show</v>
      </c>
      <c r="E8162" t="str">
        <f>HYPERLINK("https://github.com/opensrp/opensrp-client-chw-family-planning","show")</f>
        <v>show</v>
      </c>
      <c r="F8162" t="str">
        <f>HYPERLINK("https://github.com/opensrp/opensrp-client-chw-family-planning/releases","show")</f>
        <v>show</v>
      </c>
    </row>
    <row r="8163" spans="1:6">
      <c r="A8163" t="s">
        <v>24228</v>
      </c>
      <c r="B8163" t="s">
        <v>24229</v>
      </c>
      <c r="C8163" t="s">
        <v>24230</v>
      </c>
      <c r="D8163" t="str">
        <f>HYPERLINK("https://github.com/CMPUT301W20T07/arrival/issues/83","show")</f>
        <v>show</v>
      </c>
      <c r="E8163" t="str">
        <f>HYPERLINK("https://github.com/CMPUT301W20T07/arrival","show")</f>
        <v>show</v>
      </c>
      <c r="F8163" t="str">
        <f>HYPERLINK("https://github.com/CMPUT301W20T07/arrival/releases","show")</f>
        <v>show</v>
      </c>
    </row>
    <row r="8164" spans="1:6">
      <c r="A8164" t="s">
        <v>24231</v>
      </c>
      <c r="B8164" t="s">
        <v>24232</v>
      </c>
      <c r="C8164" t="s">
        <v>24233</v>
      </c>
      <c r="D8164" t="str">
        <f>HYPERLINK("https://github.com/CMPUT301W20T07/arrival/issues/82","show")</f>
        <v>show</v>
      </c>
      <c r="E8164" t="str">
        <f>HYPERLINK("https://github.com/CMPUT301W20T07/arrival","show")</f>
        <v>show</v>
      </c>
      <c r="F8164" t="str">
        <f>HYPERLINK("https://github.com/CMPUT301W20T07/arrival/releases","show")</f>
        <v>show</v>
      </c>
    </row>
    <row r="8165" spans="1:6">
      <c r="A8165" t="s">
        <v>24234</v>
      </c>
      <c r="B8165" t="s">
        <v>24235</v>
      </c>
      <c r="C8165" t="s">
        <v>24236</v>
      </c>
      <c r="D8165" t="str">
        <f>HYPERLINK("https://github.com/MakerStation/FabCatApp/issues/4","show")</f>
        <v>show</v>
      </c>
      <c r="E8165" t="str">
        <f>HYPERLINK("https://github.com/MakerStation/FabCatApp","show")</f>
        <v>show</v>
      </c>
      <c r="F8165" t="str">
        <f>HYPERLINK("https://github.com/MakerStation/FabCatApp/releases","show")</f>
        <v>show</v>
      </c>
    </row>
    <row r="8166" spans="1:6">
      <c r="A8166" t="s">
        <v>24237</v>
      </c>
      <c r="B8166" t="s">
        <v>24238</v>
      </c>
      <c r="C8166" t="s">
        <v>24239</v>
      </c>
      <c r="D8166" t="str">
        <f>HYPERLINK("https://github.com/MakerStation/FabCatApp/issues/3","show")</f>
        <v>show</v>
      </c>
      <c r="E8166" t="str">
        <f>HYPERLINK("https://github.com/MakerStation/FabCatApp","show")</f>
        <v>show</v>
      </c>
      <c r="F8166" t="str">
        <f>HYPERLINK("https://github.com/MakerStation/FabCatApp/releases","show")</f>
        <v>show</v>
      </c>
    </row>
    <row r="8167" spans="1:6">
      <c r="A8167" t="s">
        <v>24240</v>
      </c>
      <c r="B8167" t="s">
        <v>24241</v>
      </c>
      <c r="C8167" t="s">
        <v>24242</v>
      </c>
      <c r="D8167" t="str">
        <f>HYPERLINK("https://github.com/inaturalist/iNaturalistAndroid/issues/796","show")</f>
        <v>show</v>
      </c>
      <c r="E8167" t="str">
        <f>HYPERLINK("https://github.com/inaturalist/iNaturalistAndroid","show")</f>
        <v>show</v>
      </c>
      <c r="F8167" t="str">
        <f>HYPERLINK("https://github.com/inaturalist/iNaturalistAndroid/releases","show")</f>
        <v>show</v>
      </c>
    </row>
    <row r="8168" spans="1:6">
      <c r="A8168" t="s">
        <v>24243</v>
      </c>
      <c r="B8168" t="s">
        <v>24244</v>
      </c>
      <c r="C8168" t="s">
        <v>24245</v>
      </c>
      <c r="D8168" t="str">
        <f>HYPERLINK("https://github.com/inaturalist/iNaturalistAndroid/issues/795","show")</f>
        <v>show</v>
      </c>
      <c r="E8168" t="str">
        <f>HYPERLINK("https://github.com/inaturalist/iNaturalistAndroid","show")</f>
        <v>show</v>
      </c>
      <c r="F8168" t="str">
        <f>HYPERLINK("https://github.com/inaturalist/iNaturalistAndroid/releases","show")</f>
        <v>show</v>
      </c>
    </row>
    <row r="8169" spans="1:6">
      <c r="A8169" t="s">
        <v>24246</v>
      </c>
      <c r="B8169" t="s">
        <v>24247</v>
      </c>
      <c r="C8169" t="s">
        <v>24248</v>
      </c>
      <c r="D8169" t="str">
        <f>HYPERLINK("https://github.com/commons-app/apps-android-commons/issues/3507","show")</f>
        <v>show</v>
      </c>
      <c r="E8169" t="str">
        <f>HYPERLINK("https://github.com/commons-app/apps-android-commons","show")</f>
        <v>show</v>
      </c>
      <c r="F8169" t="str">
        <f>HYPERLINK("https://github.com/commons-app/apps-android-commons/releases","show")</f>
        <v>show</v>
      </c>
    </row>
    <row r="8170" spans="1:6">
      <c r="A8170" t="s">
        <v>24249</v>
      </c>
      <c r="B8170" t="s">
        <v>24250</v>
      </c>
      <c r="C8170" t="s">
        <v>24251</v>
      </c>
      <c r="D8170" t="str">
        <f>HYPERLINK("https://github.com/connectbot/connectbot/issues/751","show")</f>
        <v>show</v>
      </c>
      <c r="E8170" t="str">
        <f>HYPERLINK("https://github.com/connectbot/connectbot","show")</f>
        <v>show</v>
      </c>
      <c r="F8170" t="str">
        <f>HYPERLINK("https://github.com/connectbot/connectbot/releases","show")</f>
        <v>show</v>
      </c>
    </row>
    <row r="8171" spans="1:6">
      <c r="A8171" t="s">
        <v>24252</v>
      </c>
      <c r="B8171" t="s">
        <v>24253</v>
      </c>
      <c r="C8171" t="s">
        <v>24254</v>
      </c>
      <c r="D8171" t="str">
        <f>HYPERLINK("https://github.com/trojan-gfw/igniter/issues/117","show")</f>
        <v>show</v>
      </c>
      <c r="E8171" t="str">
        <f>HYPERLINK("https://github.com/trojan-gfw/igniter","show")</f>
        <v>show</v>
      </c>
      <c r="F8171" t="str">
        <f>HYPERLINK("https://github.com/trojan-gfw/igniter/releases","show")</f>
        <v>show</v>
      </c>
    </row>
    <row r="8172" spans="1:6">
      <c r="A8172" t="s">
        <v>24255</v>
      </c>
      <c r="B8172" t="s">
        <v>24256</v>
      </c>
      <c r="C8172" t="s">
        <v>24257</v>
      </c>
      <c r="D8172" t="str">
        <f>HYPERLINK("https://github.com/k3b/APhotoManager/issues/168","show")</f>
        <v>show</v>
      </c>
      <c r="E8172" t="str">
        <f>HYPERLINK("https://github.com/k3b/APhotoManager","show")</f>
        <v>show</v>
      </c>
      <c r="F8172" t="str">
        <f>HYPERLINK("https://github.com/k3b/APhotoManager/releases","show")</f>
        <v>show</v>
      </c>
    </row>
    <row r="8173" spans="1:6">
      <c r="A8173" t="s">
        <v>24258</v>
      </c>
      <c r="B8173" t="s">
        <v>24259</v>
      </c>
      <c r="C8173" t="s">
        <v>24260</v>
      </c>
      <c r="D8173" t="str">
        <f>HYPERLINK("https://github.com/broken-shotgun/run-lines/issues/16","show")</f>
        <v>show</v>
      </c>
      <c r="E8173" t="str">
        <f>HYPERLINK("https://github.com/broken-shotgun/run-lines","show")</f>
        <v>show</v>
      </c>
      <c r="F8173" t="str">
        <f>HYPERLINK("https://github.com/broken-shotgun/run-lines/releases","show")</f>
        <v>show</v>
      </c>
    </row>
    <row r="8174" spans="1:6">
      <c r="A8174" t="s">
        <v>24261</v>
      </c>
      <c r="B8174" t="s">
        <v>24262</v>
      </c>
      <c r="C8174" t="s">
        <v>24263</v>
      </c>
      <c r="D8174" t="str">
        <f>HYPERLINK("https://github.com/SanojPunchihewa/f5n/issues/136","show")</f>
        <v>show</v>
      </c>
      <c r="E8174" t="str">
        <f>HYPERLINK("https://github.com/SanojPunchihewa/f5n","show")</f>
        <v>show</v>
      </c>
      <c r="F8174" t="str">
        <f>HYPERLINK("https://github.com/SanojPunchihewa/f5n/releases","show")</f>
        <v>show</v>
      </c>
    </row>
    <row r="8175" spans="1:6">
      <c r="A8175" t="s">
        <v>24264</v>
      </c>
      <c r="B8175" t="s">
        <v>24265</v>
      </c>
      <c r="C8175" t="s">
        <v>24266</v>
      </c>
      <c r="D8175" t="str">
        <f>HYPERLINK("https://github.com/nextcloud/android/issues/5615","show")</f>
        <v>show</v>
      </c>
      <c r="E8175" t="str">
        <f>HYPERLINK("https://github.com/nextcloud/android","show")</f>
        <v>show</v>
      </c>
      <c r="F8175" t="str">
        <f>HYPERLINK("https://github.com/nextcloud/android/releases","show")</f>
        <v>show</v>
      </c>
    </row>
    <row r="8176" spans="1:6">
      <c r="A8176" t="s">
        <v>24267</v>
      </c>
      <c r="B8176" t="s">
        <v>24268</v>
      </c>
      <c r="C8176" t="s">
        <v>24269</v>
      </c>
      <c r="D8176" t="str">
        <f>HYPERLINK("https://github.com/react-native-geolocation/react-native-geolocation/issues/97","show")</f>
        <v>show</v>
      </c>
      <c r="E8176" t="str">
        <f>HYPERLINK("https://github.com/react-native-geolocation/react-native-geolocation","show")</f>
        <v>show</v>
      </c>
      <c r="F8176" t="str">
        <f>HYPERLINK("https://github.com/react-native-geolocation/react-native-geolocation/releases","show")</f>
        <v>show</v>
      </c>
    </row>
    <row r="8177" spans="1:6">
      <c r="A8177" t="s">
        <v>24270</v>
      </c>
      <c r="B8177" t="s">
        <v>24271</v>
      </c>
      <c r="C8177" t="s">
        <v>24272</v>
      </c>
      <c r="D8177" t="str">
        <f>HYPERLINK("https://github.com/condog190/5E-Initiative-Tracker/issues/98","show")</f>
        <v>show</v>
      </c>
      <c r="E8177" t="str">
        <f>HYPERLINK("https://github.com/condog190/5E-Initiative-Tracker","show")</f>
        <v>show</v>
      </c>
      <c r="F8177" t="str">
        <f>HYPERLINK("https://github.com/condog190/5E-Initiative-Tracker/releases","show")</f>
        <v>show</v>
      </c>
    </row>
    <row r="8178" spans="1:6">
      <c r="A8178" t="s">
        <v>24273</v>
      </c>
      <c r="B8178" t="s">
        <v>24274</v>
      </c>
      <c r="C8178" t="s">
        <v>24275</v>
      </c>
      <c r="D8178" t="str">
        <f>HYPERLINK("https://github.com/condog190/5E-Initiative-Tracker/issues/95","show")</f>
        <v>show</v>
      </c>
      <c r="E8178" t="str">
        <f>HYPERLINK("https://github.com/condog190/5E-Initiative-Tracker","show")</f>
        <v>show</v>
      </c>
      <c r="F8178" t="str">
        <f>HYPERLINK("https://github.com/condog190/5E-Initiative-Tracker/releases","show")</f>
        <v>show</v>
      </c>
    </row>
    <row r="8179" spans="1:6">
      <c r="A8179" t="s">
        <v>24276</v>
      </c>
      <c r="B8179" t="s">
        <v>24277</v>
      </c>
      <c r="C8179" t="s">
        <v>24278</v>
      </c>
      <c r="D8179" t="str">
        <f>HYPERLINK("https://github.com/UCSD-CSE-110-2020/team-project-team-25/issues/193","show")</f>
        <v>show</v>
      </c>
      <c r="E8179" t="str">
        <f>HYPERLINK("https://github.com/UCSD-CSE-110-2020/team-project-team-25","show")</f>
        <v>show</v>
      </c>
      <c r="F8179" t="str">
        <f>HYPERLINK("https://github.com/UCSD-CSE-110-2020/team-project-team-25/releases","show")</f>
        <v>show</v>
      </c>
    </row>
    <row r="8180" spans="1:6">
      <c r="A8180" t="s">
        <v>24279</v>
      </c>
      <c r="B8180" t="s">
        <v>24280</v>
      </c>
      <c r="C8180" t="s">
        <v>24281</v>
      </c>
      <c r="D8180" t="str">
        <f>HYPERLINK("https://github.com/oliexdev/openScale/issues/557","show")</f>
        <v>show</v>
      </c>
      <c r="E8180" t="str">
        <f>HYPERLINK("https://github.com/oliexdev/openScale","show")</f>
        <v>show</v>
      </c>
      <c r="F8180" t="str">
        <f>HYPERLINK("https://github.com/oliexdev/openScale/releases","show")</f>
        <v>show</v>
      </c>
    </row>
    <row r="8181" spans="1:6">
      <c r="A8181" t="s">
        <v>24282</v>
      </c>
      <c r="B8181" t="s">
        <v>24283</v>
      </c>
      <c r="C8181" t="s">
        <v>24284</v>
      </c>
      <c r="D8181" t="str">
        <f>HYPERLINK("https://github.com/applivery/applivery-android-sdk/issues/57","show")</f>
        <v>show</v>
      </c>
      <c r="E8181" t="str">
        <f>HYPERLINK("https://github.com/applivery/applivery-android-sdk","show")</f>
        <v>show</v>
      </c>
      <c r="F8181" t="str">
        <f>HYPERLINK("https://github.com/applivery/applivery-android-sdk/releases","show")</f>
        <v>show</v>
      </c>
    </row>
    <row r="8182" spans="1:6">
      <c r="A8182" t="s">
        <v>24285</v>
      </c>
      <c r="B8182" t="s">
        <v>24286</v>
      </c>
      <c r="C8182" t="s">
        <v>24287</v>
      </c>
      <c r="D8182" t="str">
        <f>HYPERLINK("https://github.com/LSPosed/LSPosed/issues/1893","show")</f>
        <v>show</v>
      </c>
      <c r="E8182" t="str">
        <f>HYPERLINK("https://github.com/LSPosed/LSPosed","show")</f>
        <v>show</v>
      </c>
      <c r="F8182" t="str">
        <f>HYPERLINK("https://github.com/LSPosed/LSPosed/releases","show")</f>
        <v>show</v>
      </c>
    </row>
    <row r="8183" spans="1:6">
      <c r="A8183" t="s">
        <v>24288</v>
      </c>
      <c r="B8183" t="s">
        <v>24289</v>
      </c>
      <c r="C8183" t="s">
        <v>24290</v>
      </c>
      <c r="D8183" t="str">
        <f>HYPERLINK("https://github.com/rodit/SnapMod/issues/64","show")</f>
        <v>show</v>
      </c>
      <c r="E8183" t="str">
        <f>HYPERLINK("https://github.com/rodit/SnapMod","show")</f>
        <v>show</v>
      </c>
      <c r="F8183" t="str">
        <f>HYPERLINK("https://github.com/rodit/SnapMod/releases","show")</f>
        <v>show</v>
      </c>
    </row>
    <row r="8184" spans="1:6">
      <c r="A8184" t="s">
        <v>24291</v>
      </c>
      <c r="B8184" t="s">
        <v>24292</v>
      </c>
      <c r="C8184" t="s">
        <v>24293</v>
      </c>
      <c r="D8184" t="str">
        <f>HYPERLINK("https://github.com/PojavLauncherTeam/PojavLauncher/issues/3141","show")</f>
        <v>show</v>
      </c>
      <c r="E8184" t="str">
        <f>HYPERLINK("https://github.com/PojavLauncherTeam/PojavLauncher","show")</f>
        <v>show</v>
      </c>
      <c r="F8184" t="str">
        <f>HYPERLINK("https://github.com/PojavLauncherTeam/PojavLauncher/releases","show")</f>
        <v>show</v>
      </c>
    </row>
    <row r="8185" spans="1:6">
      <c r="A8185" t="s">
        <v>24294</v>
      </c>
      <c r="B8185" t="s">
        <v>24295</v>
      </c>
      <c r="C8185" t="s">
        <v>24296</v>
      </c>
      <c r="D8185" t="str">
        <f>HYPERLINK("https://github.com/TeamNewPipe/NewPipe/issues/8293","show")</f>
        <v>show</v>
      </c>
      <c r="E8185" t="str">
        <f>HYPERLINK("https://github.com/TeamNewPipe/NewPipe","show")</f>
        <v>show</v>
      </c>
      <c r="F8185" t="str">
        <f>HYPERLINK("https://github.com/TeamNewPipe/NewPipe/releases","show")</f>
        <v>show</v>
      </c>
    </row>
    <row r="8186" spans="1:6">
      <c r="A8186" t="s">
        <v>24297</v>
      </c>
      <c r="B8186" t="s">
        <v>24298</v>
      </c>
      <c r="C8186" t="s">
        <v>24299</v>
      </c>
      <c r="D8186" t="str">
        <f>HYPERLINK("https://github.com/google/ExoPlayer/issues/10221","show")</f>
        <v>show</v>
      </c>
      <c r="E8186" t="str">
        <f>HYPERLINK("https://github.com/google/ExoPlayer","show")</f>
        <v>show</v>
      </c>
      <c r="F8186" t="str">
        <f>HYPERLINK("https://github.com/google/ExoPlayer/releases","show")</f>
        <v>show</v>
      </c>
    </row>
    <row r="8187" spans="1:6">
      <c r="A8187" t="s">
        <v>24300</v>
      </c>
      <c r="B8187" t="s">
        <v>24301</v>
      </c>
      <c r="C8187" t="s">
        <v>24302</v>
      </c>
      <c r="D8187" t="str">
        <f>HYPERLINK("https://github.com/PojavLauncherTeam/PojavLauncher/issues/3135","show")</f>
        <v>show</v>
      </c>
      <c r="E8187" t="str">
        <f>HYPERLINK("https://github.com/PojavLauncherTeam/PojavLauncher","show")</f>
        <v>show</v>
      </c>
      <c r="F8187" t="str">
        <f>HYPERLINK("https://github.com/PojavLauncherTeam/PojavLauncher/releases","show")</f>
        <v>show</v>
      </c>
    </row>
    <row r="8188" spans="1:6">
      <c r="A8188" t="s">
        <v>24303</v>
      </c>
      <c r="B8188" t="s">
        <v>24304</v>
      </c>
      <c r="C8188" t="s">
        <v>24305</v>
      </c>
      <c r="D8188" t="str">
        <f>HYPERLINK("https://github.com/broken-shotgun/run-lines/issues/12","show")</f>
        <v>show</v>
      </c>
      <c r="E8188" t="str">
        <f>HYPERLINK("https://github.com/broken-shotgun/run-lines","show")</f>
        <v>show</v>
      </c>
      <c r="F8188" t="str">
        <f>HYPERLINK("https://github.com/broken-shotgun/run-lines/releases","show")</f>
        <v>show</v>
      </c>
    </row>
    <row r="8189" spans="1:6">
      <c r="A8189" t="s">
        <v>24306</v>
      </c>
      <c r="B8189" t="s">
        <v>24307</v>
      </c>
      <c r="C8189" t="s">
        <v>24308</v>
      </c>
      <c r="D8189" t="str">
        <f>HYPERLINK("https://github.com/ankidroid/Anki-Android/issues/5794","show")</f>
        <v>show</v>
      </c>
      <c r="E8189" t="str">
        <f>HYPERLINK("https://github.com/ankidroid/Anki-Android","show")</f>
        <v>show</v>
      </c>
      <c r="F8189" t="str">
        <f>HYPERLINK("https://github.com/ankidroid/Anki-Android/releases","show")</f>
        <v>show</v>
      </c>
    </row>
    <row r="8190" spans="1:6">
      <c r="A8190" t="s">
        <v>24309</v>
      </c>
      <c r="B8190" t="s">
        <v>24310</v>
      </c>
      <c r="C8190" t="s">
        <v>24311</v>
      </c>
      <c r="D8190" t="str">
        <f>HYPERLINK("https://github.com/castle/castle-android/issues/26","show")</f>
        <v>show</v>
      </c>
      <c r="E8190" t="str">
        <f>HYPERLINK("https://github.com/castle/castle-android","show")</f>
        <v>show</v>
      </c>
      <c r="F8190" t="str">
        <f>HYPERLINK("https://github.com/castle/castle-android/releases","show")</f>
        <v>show</v>
      </c>
    </row>
    <row r="8191" spans="1:6">
      <c r="A8191" t="s">
        <v>24312</v>
      </c>
      <c r="B8191" t="s">
        <v>24313</v>
      </c>
      <c r="C8191" t="s">
        <v>24314</v>
      </c>
      <c r="D8191" t="str">
        <f>HYPERLINK("https://github.com/AthulKrishna14310/inlens_official/issues/43","show")</f>
        <v>show</v>
      </c>
      <c r="E8191" t="str">
        <f>HYPERLINK("https://github.com/AthulKrishna14310/inlens_official","show")</f>
        <v>show</v>
      </c>
      <c r="F8191" t="str">
        <f>HYPERLINK("https://github.com/AthulKrishna14310/inlens_official/releases","show")</f>
        <v>show</v>
      </c>
    </row>
    <row r="8192" spans="1:6">
      <c r="A8192" t="s">
        <v>24315</v>
      </c>
      <c r="B8192" t="s">
        <v>24316</v>
      </c>
      <c r="C8192" t="s">
        <v>24317</v>
      </c>
      <c r="D8192" t="str">
        <f>HYPERLINK("https://github.com/andOTP/andOTP/issues/500","show")</f>
        <v>show</v>
      </c>
      <c r="E8192" t="str">
        <f>HYPERLINK("https://github.com/andOTP/andOTP","show")</f>
        <v>show</v>
      </c>
      <c r="F8192" t="str">
        <f>HYPERLINK("https://github.com/andOTP/andOTP/releases","show")</f>
        <v>show</v>
      </c>
    </row>
    <row r="8193" spans="1:6">
      <c r="A8193" t="s">
        <v>24318</v>
      </c>
      <c r="B8193" t="s">
        <v>24319</v>
      </c>
      <c r="C8193" t="s">
        <v>24320</v>
      </c>
      <c r="D8193" t="str">
        <f>HYPERLINK("https://github.com/AdguardTeam/ContentBlocker/issues/220","show")</f>
        <v>show</v>
      </c>
      <c r="E8193" t="str">
        <f>HYPERLINK("https://github.com/AdguardTeam/ContentBlocker","show")</f>
        <v>show</v>
      </c>
      <c r="F8193" t="str">
        <f>HYPERLINK("https://github.com/AdguardTeam/ContentBlocker/releases","show")</f>
        <v>show</v>
      </c>
    </row>
    <row r="8194" spans="1:6">
      <c r="A8194" t="s">
        <v>24321</v>
      </c>
      <c r="B8194" t="s">
        <v>24322</v>
      </c>
      <c r="C8194" t="s">
        <v>24323</v>
      </c>
      <c r="D8194" t="str">
        <f>HYPERLINK("https://github.com/k9mail/k-9/issues/4592","show")</f>
        <v>show</v>
      </c>
      <c r="E8194" t="str">
        <f>HYPERLINK("https://github.com/k9mail/k-9","show")</f>
        <v>show</v>
      </c>
      <c r="F8194" t="str">
        <f>HYPERLINK("https://github.com/k9mail/k-9/releases","show")</f>
        <v>show</v>
      </c>
    </row>
    <row r="8195" spans="1:6">
      <c r="A8195" t="s">
        <v>24324</v>
      </c>
      <c r="B8195" t="s">
        <v>24325</v>
      </c>
      <c r="C8195" t="s">
        <v>24326</v>
      </c>
      <c r="D8195" t="str">
        <f>HYPERLINK("https://github.com/CMPUT301W20T17/BeepBeep/issues/9","show")</f>
        <v>show</v>
      </c>
      <c r="E8195" t="str">
        <f>HYPERLINK("https://github.com/CMPUT301W20T17/BeepBeep","show")</f>
        <v>show</v>
      </c>
      <c r="F8195" t="str">
        <f>HYPERLINK("https://github.com/CMPUT301W20T17/BeepBeep/releases","show")</f>
        <v>show</v>
      </c>
    </row>
    <row r="8196" spans="1:6">
      <c r="A8196" t="s">
        <v>24327</v>
      </c>
      <c r="B8196" t="s">
        <v>24328</v>
      </c>
      <c r="C8196" t="s">
        <v>24329</v>
      </c>
      <c r="D8196" t="str">
        <f>HYPERLINK("https://github.com/CMPUT301W20T17/BeepBeep/issues/7","show")</f>
        <v>show</v>
      </c>
      <c r="E8196" t="str">
        <f>HYPERLINK("https://github.com/CMPUT301W20T17/BeepBeep","show")</f>
        <v>show</v>
      </c>
      <c r="F8196" t="str">
        <f>HYPERLINK("https://github.com/CMPUT301W20T17/BeepBeep/releases","show")</f>
        <v>show</v>
      </c>
    </row>
    <row r="8197" spans="1:6">
      <c r="A8197" t="s">
        <v>24330</v>
      </c>
      <c r="B8197" t="s">
        <v>24331</v>
      </c>
      <c r="C8197" t="s">
        <v>24332</v>
      </c>
      <c r="D8197" t="str">
        <f>HYPERLINK("https://github.com/nextcloud/android/issues/5590","show")</f>
        <v>show</v>
      </c>
      <c r="E8197" t="str">
        <f>HYPERLINK("https://github.com/nextcloud/android","show")</f>
        <v>show</v>
      </c>
      <c r="F8197" t="str">
        <f>HYPERLINK("https://github.com/nextcloud/android/releases","show")</f>
        <v>show</v>
      </c>
    </row>
    <row r="8198" spans="1:6">
      <c r="A8198" t="s">
        <v>24333</v>
      </c>
      <c r="B8198" t="s">
        <v>24334</v>
      </c>
      <c r="C8198" t="s">
        <v>24335</v>
      </c>
      <c r="D8198" t="str">
        <f>HYPERLINK("https://github.com/barbeau/gpstest/issues/386","show")</f>
        <v>show</v>
      </c>
      <c r="E8198" t="str">
        <f>HYPERLINK("https://github.com/barbeau/gpstest","show")</f>
        <v>show</v>
      </c>
      <c r="F8198" t="str">
        <f>HYPERLINK("https://github.com/barbeau/gpstest/releases","show")</f>
        <v>show</v>
      </c>
    </row>
    <row r="8199" spans="1:6">
      <c r="A8199" t="s">
        <v>24336</v>
      </c>
      <c r="B8199" t="s">
        <v>24337</v>
      </c>
      <c r="C8199" t="s">
        <v>24338</v>
      </c>
      <c r="D8199" t="str">
        <f>HYPERLINK("https://github.com/defold/extension-iap/issues/18","show")</f>
        <v>show</v>
      </c>
      <c r="E8199" t="str">
        <f>HYPERLINK("https://github.com/defold/extension-iap","show")</f>
        <v>show</v>
      </c>
      <c r="F8199" t="str">
        <f>HYPERLINK("https://github.com/defold/extension-iap/releases","show")</f>
        <v>show</v>
      </c>
    </row>
    <row r="8200" spans="1:6">
      <c r="A8200" t="s">
        <v>24339</v>
      </c>
      <c r="B8200" t="s">
        <v>24340</v>
      </c>
      <c r="C8200" t="s">
        <v>24341</v>
      </c>
      <c r="D8200" t="str">
        <f>HYPERLINK("https://github.com/commons-app/apps-android-commons/issues/3466","show")</f>
        <v>show</v>
      </c>
      <c r="E8200" t="str">
        <f>HYPERLINK("https://github.com/commons-app/apps-android-commons","show")</f>
        <v>show</v>
      </c>
      <c r="F8200" t="str">
        <f>HYPERLINK("https://github.com/commons-app/apps-android-commons/releases","show")</f>
        <v>show</v>
      </c>
    </row>
    <row r="8201" spans="1:6">
      <c r="A8201" t="s">
        <v>24342</v>
      </c>
      <c r="B8201" t="s">
        <v>24343</v>
      </c>
      <c r="C8201" t="s">
        <v>24344</v>
      </c>
      <c r="D8201" t="str">
        <f>HYPERLINK("https://github.com/Instabug/Instabug-Android/issues/285","show")</f>
        <v>show</v>
      </c>
      <c r="E8201" t="str">
        <f>HYPERLINK("https://github.com/Instabug/Instabug-Android","show")</f>
        <v>show</v>
      </c>
      <c r="F8201" t="str">
        <f>HYPERLINK("https://github.com/Instabug/Instabug-Android/releases","show")</f>
        <v>show</v>
      </c>
    </row>
    <row r="8202" spans="1:6">
      <c r="A8202" t="s">
        <v>24345</v>
      </c>
      <c r="B8202" t="s">
        <v>24346</v>
      </c>
      <c r="C8202" t="s">
        <v>24347</v>
      </c>
      <c r="D8202" t="str">
        <f>HYPERLINK("https://github.com/square/okhttp/issues/5844","show")</f>
        <v>show</v>
      </c>
      <c r="E8202" t="str">
        <f>HYPERLINK("https://github.com/square/okhttp","show")</f>
        <v>show</v>
      </c>
      <c r="F8202" t="str">
        <f>HYPERLINK("https://github.com/square/okhttp/releases","show")</f>
        <v>show</v>
      </c>
    </row>
    <row r="8203" spans="1:6">
      <c r="A8203" t="s">
        <v>24348</v>
      </c>
      <c r="B8203" t="s">
        <v>24349</v>
      </c>
      <c r="C8203" t="s">
        <v>24350</v>
      </c>
      <c r="D8203" t="str">
        <f>HYPERLINK("https://github.com/Simerjit-developer/Team2/issues/11","show")</f>
        <v>show</v>
      </c>
      <c r="E8203" t="str">
        <f>HYPERLINK("https://github.com/Simerjit-developer/Team2","show")</f>
        <v>show</v>
      </c>
      <c r="F8203" t="str">
        <f>HYPERLINK("https://github.com/Simerjit-developer/Team2/releases","show")</f>
        <v>show</v>
      </c>
    </row>
    <row r="8204" spans="1:6">
      <c r="A8204" t="s">
        <v>24351</v>
      </c>
      <c r="B8204" t="s">
        <v>24352</v>
      </c>
      <c r="C8204" t="s">
        <v>24353</v>
      </c>
      <c r="D8204" t="str">
        <f>HYPERLINK("https://github.com/k9mail/k-9/issues/4584","show")</f>
        <v>show</v>
      </c>
      <c r="E8204" t="str">
        <f>HYPERLINK("https://github.com/k9mail/k-9","show")</f>
        <v>show</v>
      </c>
      <c r="F8204" t="str">
        <f>HYPERLINK("https://github.com/k9mail/k-9/releases","show")</f>
        <v>show</v>
      </c>
    </row>
    <row r="8205" spans="1:6">
      <c r="A8205" t="s">
        <v>24354</v>
      </c>
      <c r="B8205" t="s">
        <v>24355</v>
      </c>
      <c r="C8205" t="s">
        <v>24356</v>
      </c>
      <c r="D8205" t="str">
        <f>HYPERLINK("https://github.com/nextcloud/android/issues/5568","show")</f>
        <v>show</v>
      </c>
      <c r="E8205" t="str">
        <f>HYPERLINK("https://github.com/nextcloud/android","show")</f>
        <v>show</v>
      </c>
      <c r="F8205" t="str">
        <f>HYPERLINK("https://github.com/nextcloud/android/releases","show")</f>
        <v>show</v>
      </c>
    </row>
    <row r="8206" spans="1:6">
      <c r="A8206" t="s">
        <v>24357</v>
      </c>
      <c r="B8206" t="s">
        <v>24358</v>
      </c>
      <c r="C8206" t="s">
        <v>24359</v>
      </c>
      <c r="D8206" t="str">
        <f>HYPERLINK("https://github.com/square/okhttp/issues/5840","show")</f>
        <v>show</v>
      </c>
      <c r="E8206" t="str">
        <f>HYPERLINK("https://github.com/square/okhttp","show")</f>
        <v>show</v>
      </c>
      <c r="F8206" t="str">
        <f>HYPERLINK("https://github.com/square/okhttp/releases","show")</f>
        <v>show</v>
      </c>
    </row>
    <row r="8207" spans="1:6">
      <c r="A8207" t="s">
        <v>24360</v>
      </c>
      <c r="B8207" t="s">
        <v>24361</v>
      </c>
      <c r="C8207" t="s">
        <v>24362</v>
      </c>
      <c r="D8207" t="str">
        <f>HYPERLINK("https://github.com/square/okhttp/issues/5837","show")</f>
        <v>show</v>
      </c>
      <c r="E8207" t="str">
        <f>HYPERLINK("https://github.com/square/okhttp","show")</f>
        <v>show</v>
      </c>
      <c r="F8207" t="str">
        <f>HYPERLINK("https://github.com/square/okhttp/releases","show")</f>
        <v>show</v>
      </c>
    </row>
    <row r="8208" spans="1:6">
      <c r="A8208" t="s">
        <v>24363</v>
      </c>
      <c r="B8208" t="s">
        <v>24364</v>
      </c>
      <c r="C8208" t="s">
        <v>24365</v>
      </c>
      <c r="D8208" t="str">
        <f>HYPERLINK("https://github.com/koral--/android-gif-drawable/issues/729","show")</f>
        <v>show</v>
      </c>
      <c r="E8208" t="str">
        <f>HYPERLINK("https://github.com/koral--/android-gif-drawable","show")</f>
        <v>show</v>
      </c>
      <c r="F8208" t="str">
        <f>HYPERLINK("https://github.com/koral--/android-gif-drawable/releases","show")</f>
        <v>show</v>
      </c>
    </row>
    <row r="8209" spans="1:6">
      <c r="A8209" t="s">
        <v>24366</v>
      </c>
      <c r="B8209" t="s">
        <v>24367</v>
      </c>
      <c r="C8209" t="s">
        <v>24368</v>
      </c>
      <c r="D8209" t="str">
        <f>HYPERLINK("https://github.com/nextcloud/android/issues/5556","show")</f>
        <v>show</v>
      </c>
      <c r="E8209" t="str">
        <f>HYPERLINK("https://github.com/nextcloud/android","show")</f>
        <v>show</v>
      </c>
      <c r="F8209" t="str">
        <f>HYPERLINK("https://github.com/nextcloud/android/releases","show")</f>
        <v>show</v>
      </c>
    </row>
    <row r="8210" spans="1:6">
      <c r="A8210" t="s">
        <v>24369</v>
      </c>
      <c r="B8210" t="s">
        <v>24370</v>
      </c>
      <c r="C8210" t="s">
        <v>24371</v>
      </c>
      <c r="D8210" t="str">
        <f>HYPERLINK("https://github.com/matomo-org/matomo-sdk-android/issues/287","show")</f>
        <v>show</v>
      </c>
      <c r="E8210" t="str">
        <f>HYPERLINK("https://github.com/matomo-org/matomo-sdk-android","show")</f>
        <v>show</v>
      </c>
      <c r="F8210" t="str">
        <f>HYPERLINK("https://github.com/matomo-org/matomo-sdk-android/releases","show")</f>
        <v>show</v>
      </c>
    </row>
    <row r="8211" spans="1:6">
      <c r="A8211" t="s">
        <v>24372</v>
      </c>
      <c r="B8211" t="s">
        <v>24373</v>
      </c>
      <c r="C8211" t="s">
        <v>24374</v>
      </c>
      <c r="D8211" t="str">
        <f>HYPERLINK("https://github.com/deltachat/deltachat-android/issues/1259","show")</f>
        <v>show</v>
      </c>
      <c r="E8211" t="str">
        <f>HYPERLINK("https://github.com/deltachat/deltachat-android","show")</f>
        <v>show</v>
      </c>
      <c r="F8211" t="str">
        <f>HYPERLINK("https://github.com/deltachat/deltachat-android/releases","show")</f>
        <v>show</v>
      </c>
    </row>
    <row r="8212" spans="1:6">
      <c r="A8212" t="s">
        <v>24375</v>
      </c>
      <c r="B8212" t="s">
        <v>24376</v>
      </c>
      <c r="C8212" t="s">
        <v>24377</v>
      </c>
      <c r="D8212" t="str">
        <f>HYPERLINK("https://github.com/ramack/ActivityDiary/issues/292","show")</f>
        <v>show</v>
      </c>
      <c r="E8212" t="str">
        <f>HYPERLINK("https://github.com/ramack/ActivityDiary","show")</f>
        <v>show</v>
      </c>
      <c r="F8212" t="str">
        <f>HYPERLINK("https://github.com/ramack/ActivityDiary/releases","show")</f>
        <v>show</v>
      </c>
    </row>
    <row r="8213" spans="1:6">
      <c r="A8213" t="s">
        <v>24378</v>
      </c>
      <c r="B8213" t="s">
        <v>24379</v>
      </c>
      <c r="C8213" t="s">
        <v>24380</v>
      </c>
      <c r="D8213" t="str">
        <f>HYPERLINK("https://github.com/druit/Wallet-Analyzer/issues/19","show")</f>
        <v>show</v>
      </c>
      <c r="E8213" t="str">
        <f>HYPERLINK("https://github.com/druit/Wallet-Analyzer","show")</f>
        <v>show</v>
      </c>
      <c r="F8213" t="str">
        <f>HYPERLINK("https://github.com/druit/Wallet-Analyzer/releases","show")</f>
        <v>show</v>
      </c>
    </row>
    <row r="8214" spans="1:6">
      <c r="A8214" t="s">
        <v>24381</v>
      </c>
      <c r="B8214" t="s">
        <v>24382</v>
      </c>
      <c r="C8214" t="s">
        <v>24383</v>
      </c>
      <c r="D8214" t="str">
        <f>HYPERLINK("https://github.com/commons-app/apps-android-commons/issues/3442","show")</f>
        <v>show</v>
      </c>
      <c r="E8214" t="str">
        <f>HYPERLINK("https://github.com/commons-app/apps-android-commons","show")</f>
        <v>show</v>
      </c>
      <c r="F8214" t="str">
        <f>HYPERLINK("https://github.com/commons-app/apps-android-commons/releases","show")</f>
        <v>show</v>
      </c>
    </row>
    <row r="8215" spans="1:6">
      <c r="A8215" t="s">
        <v>24384</v>
      </c>
      <c r="B8215" t="s">
        <v>24385</v>
      </c>
      <c r="C8215" t="s">
        <v>24386</v>
      </c>
      <c r="D8215" t="str">
        <f>HYPERLINK("https://github.com/sc4v3ng3r/flutter_audio_query/issues/16","show")</f>
        <v>show</v>
      </c>
      <c r="E8215" t="str">
        <f>HYPERLINK("https://github.com/sc4v3ng3r/flutter_audio_query","show")</f>
        <v>show</v>
      </c>
      <c r="F8215" t="str">
        <f>HYPERLINK("https://github.com/sc4v3ng3r/flutter_audio_query/releases","show")</f>
        <v>show</v>
      </c>
    </row>
    <row r="8216" spans="1:6">
      <c r="A8216" t="s">
        <v>24387</v>
      </c>
      <c r="B8216" t="s">
        <v>24388</v>
      </c>
      <c r="C8216" t="s">
        <v>24389</v>
      </c>
      <c r="D8216" t="str">
        <f>HYPERLINK("https://github.com/TeamNewPipe/NewPipe-legacy/issues/23","show")</f>
        <v>show</v>
      </c>
      <c r="E8216" t="str">
        <f>HYPERLINK("https://github.com/TeamNewPipe/NewPipe-legacy","show")</f>
        <v>show</v>
      </c>
      <c r="F8216" t="str">
        <f>HYPERLINK("https://github.com/TeamNewPipe/NewPipe-legacy/releases","show")</f>
        <v>show</v>
      </c>
    </row>
    <row r="8217" spans="1:6">
      <c r="A8217" t="s">
        <v>24390</v>
      </c>
      <c r="B8217" t="s">
        <v>24391</v>
      </c>
      <c r="C8217" t="s">
        <v>24392</v>
      </c>
      <c r="D8217" t="str">
        <f>HYPERLINK("https://github.com/nextcloud/android/issues/5551","show")</f>
        <v>show</v>
      </c>
      <c r="E8217" t="str">
        <f>HYPERLINK("https://github.com/nextcloud/android","show")</f>
        <v>show</v>
      </c>
      <c r="F8217" t="str">
        <f>HYPERLINK("https://github.com/nextcloud/android/releases","show")</f>
        <v>show</v>
      </c>
    </row>
    <row r="8218" spans="1:6">
      <c r="A8218" t="s">
        <v>24393</v>
      </c>
      <c r="B8218" t="s">
        <v>24394</v>
      </c>
      <c r="C8218" t="s">
        <v>24395</v>
      </c>
      <c r="D8218" t="str">
        <f>HYPERLINK("https://github.com/TeamNewPipe/NewPipe/issues/3163","show")</f>
        <v>show</v>
      </c>
      <c r="E8218" t="str">
        <f>HYPERLINK("https://github.com/TeamNewPipe/NewPipe","show")</f>
        <v>show</v>
      </c>
      <c r="F8218" t="str">
        <f>HYPERLINK("https://github.com/TeamNewPipe/NewPipe/releases","show")</f>
        <v>show</v>
      </c>
    </row>
    <row r="8219" spans="1:6">
      <c r="A8219" t="s">
        <v>24396</v>
      </c>
      <c r="B8219" t="s">
        <v>24397</v>
      </c>
      <c r="C8219" t="s">
        <v>24398</v>
      </c>
      <c r="D8219" t="str">
        <f>HYPERLINK("https://github.com/ankidroid/Anki-Android/issues/5780","show")</f>
        <v>show</v>
      </c>
      <c r="E8219" t="str">
        <f>HYPERLINK("https://github.com/ankidroid/Anki-Android","show")</f>
        <v>show</v>
      </c>
      <c r="F8219" t="str">
        <f>HYPERLINK("https://github.com/ankidroid/Anki-Android/releases","show")</f>
        <v>show</v>
      </c>
    </row>
    <row r="8220" spans="1:6">
      <c r="A8220" t="s">
        <v>24399</v>
      </c>
      <c r="B8220" t="s">
        <v>24400</v>
      </c>
      <c r="C8220" t="s">
        <v>24401</v>
      </c>
      <c r="D8220" t="str">
        <f>HYPERLINK("https://github.com/catalinghita8/android-mvvm-rxjava2-dagger2/issues/1","show")</f>
        <v>show</v>
      </c>
      <c r="E8220" t="str">
        <f>HYPERLINK("https://github.com/catalinghita8/android-mvvm-rxjava2-dagger2","show")</f>
        <v>show</v>
      </c>
      <c r="F8220" t="str">
        <f>HYPERLINK("https://github.com/catalinghita8/android-mvvm-rxjava2-dagger2/releases","show")</f>
        <v>show</v>
      </c>
    </row>
    <row r="8221" spans="1:6">
      <c r="A8221" t="s">
        <v>24402</v>
      </c>
      <c r="B8221" t="s">
        <v>24403</v>
      </c>
      <c r="C8221" t="s">
        <v>24404</v>
      </c>
      <c r="D8221" t="str">
        <f>HYPERLINK("https://github.com/nextcloud/android/issues/5543","show")</f>
        <v>show</v>
      </c>
      <c r="E8221" t="str">
        <f>HYPERLINK("https://github.com/nextcloud/android","show")</f>
        <v>show</v>
      </c>
      <c r="F8221" t="str">
        <f>HYPERLINK("https://github.com/nextcloud/android/releases","show")</f>
        <v>show</v>
      </c>
    </row>
    <row r="8222" spans="1:6">
      <c r="A8222" t="s">
        <v>24405</v>
      </c>
      <c r="B8222" t="s">
        <v>24406</v>
      </c>
      <c r="C8222" t="s">
        <v>24407</v>
      </c>
      <c r="D8222" t="str">
        <f>HYPERLINK("https://github.com/CaptainSpam/geohashdroid/issues/73","show")</f>
        <v>show</v>
      </c>
      <c r="E8222" t="str">
        <f>HYPERLINK("https://github.com/CaptainSpam/geohashdroid","show")</f>
        <v>show</v>
      </c>
      <c r="F8222" t="str">
        <f>HYPERLINK("https://github.com/CaptainSpam/geohashdroid/releases","show")</f>
        <v>show</v>
      </c>
    </row>
    <row r="8223" spans="1:6">
      <c r="A8223" t="s">
        <v>24408</v>
      </c>
      <c r="B8223" t="s">
        <v>24409</v>
      </c>
      <c r="C8223" t="s">
        <v>24410</v>
      </c>
      <c r="D8223" t="str">
        <f>HYPERLINK("https://github.com/square/okhttp/issues/5831","show")</f>
        <v>show</v>
      </c>
      <c r="E8223" t="str">
        <f>HYPERLINK("https://github.com/square/okhttp","show")</f>
        <v>show</v>
      </c>
      <c r="F8223" t="str">
        <f>HYPERLINK("https://github.com/square/okhttp/releases","show")</f>
        <v>show</v>
      </c>
    </row>
    <row r="8224" spans="1:6">
      <c r="A8224" t="s">
        <v>24411</v>
      </c>
      <c r="B8224" t="s">
        <v>24412</v>
      </c>
      <c r="C8224" t="s">
        <v>24413</v>
      </c>
      <c r="D8224" t="str">
        <f>HYPERLINK("https://github.com/trojan-gfw/igniter/issues/95","show")</f>
        <v>show</v>
      </c>
      <c r="E8224" t="str">
        <f>HYPERLINK("https://github.com/trojan-gfw/igniter","show")</f>
        <v>show</v>
      </c>
      <c r="F8224" t="str">
        <f>HYPERLINK("https://github.com/trojan-gfw/igniter/releases","show")</f>
        <v>show</v>
      </c>
    </row>
    <row r="8225" spans="1:6">
      <c r="A8225" t="s">
        <v>24414</v>
      </c>
      <c r="B8225" t="s">
        <v>24415</v>
      </c>
      <c r="C8225" t="s">
        <v>24416</v>
      </c>
      <c r="D8225" t="str">
        <f>HYPERLINK("https://github.com/jellyfin/jellyfin-androidtv/issues/365","show")</f>
        <v>show</v>
      </c>
      <c r="E8225" t="str">
        <f>HYPERLINK("https://github.com/jellyfin/jellyfin-androidtv","show")</f>
        <v>show</v>
      </c>
      <c r="F8225" t="str">
        <f>HYPERLINK("https://github.com/jellyfin/jellyfin-androidtv/releases","show")</f>
        <v>show</v>
      </c>
    </row>
    <row r="8226" spans="1:6">
      <c r="A8226" t="s">
        <v>24417</v>
      </c>
      <c r="B8226" t="s">
        <v>24418</v>
      </c>
      <c r="C8226" t="s">
        <v>24419</v>
      </c>
      <c r="D8226" t="str">
        <f>HYPERLINK("https://github.com/kalaspuffar/secure-quick-reliable-login/issues/467","show")</f>
        <v>show</v>
      </c>
      <c r="E8226" t="str">
        <f>HYPERLINK("https://github.com/kalaspuffar/secure-quick-reliable-login","show")</f>
        <v>show</v>
      </c>
      <c r="F8226" t="str">
        <f>HYPERLINK("https://github.com/kalaspuffar/secure-quick-reliable-login/releases","show")</f>
        <v>show</v>
      </c>
    </row>
    <row r="8227" spans="1:6">
      <c r="A8227" t="s">
        <v>24420</v>
      </c>
      <c r="B8227" t="s">
        <v>24421</v>
      </c>
      <c r="C8227" t="s">
        <v>24422</v>
      </c>
      <c r="D8227" t="str">
        <f>HYPERLINK("https://github.com/MozillaReality/FirefoxReality/issues/2881","show")</f>
        <v>show</v>
      </c>
      <c r="E8227" t="str">
        <f>HYPERLINK("https://github.com/MozillaReality/FirefoxReality","show")</f>
        <v>show</v>
      </c>
      <c r="F8227" t="str">
        <f>HYPERLINK("https://github.com/MozillaReality/FirefoxReality/releases","show")</f>
        <v>show</v>
      </c>
    </row>
    <row r="8228" spans="1:6">
      <c r="A8228" t="s">
        <v>24423</v>
      </c>
      <c r="B8228" t="s">
        <v>24424</v>
      </c>
      <c r="C8228" t="s">
        <v>24425</v>
      </c>
      <c r="D8228" t="str">
        <f>HYPERLINK("https://github.com/TeamNewPipe/NewPipe/issues/3147","show")</f>
        <v>show</v>
      </c>
      <c r="E8228" t="str">
        <f>HYPERLINK("https://github.com/TeamNewPipe/NewPipe","show")</f>
        <v>show</v>
      </c>
      <c r="F8228" t="str">
        <f>HYPERLINK("https://github.com/TeamNewPipe/NewPipe/releases","show")</f>
        <v>show</v>
      </c>
    </row>
    <row r="8229" spans="1:6">
      <c r="A8229" t="s">
        <v>24426</v>
      </c>
      <c r="B8229" t="s">
        <v>24427</v>
      </c>
      <c r="C8229" t="s">
        <v>24428</v>
      </c>
      <c r="D8229" t="str">
        <f>HYPERLINK("https://github.com/inaturalist/iNaturalistAndroid/issues/785","show")</f>
        <v>show</v>
      </c>
      <c r="E8229" t="str">
        <f>HYPERLINK("https://github.com/inaturalist/iNaturalistAndroid","show")</f>
        <v>show</v>
      </c>
      <c r="F8229" t="str">
        <f>HYPERLINK("https://github.com/inaturalist/iNaturalistAndroid/releases","show")</f>
        <v>show</v>
      </c>
    </row>
    <row r="8230" spans="1:6">
      <c r="A8230" t="s">
        <v>24429</v>
      </c>
      <c r="B8230" t="s">
        <v>24430</v>
      </c>
      <c r="C8230" t="s">
        <v>24431</v>
      </c>
      <c r="D8230" t="str">
        <f>HYPERLINK("https://github.com/MozillaReality/FirefoxReality/issues/2875","show")</f>
        <v>show</v>
      </c>
      <c r="E8230" t="str">
        <f>HYPERLINK("https://github.com/MozillaReality/FirefoxReality","show")</f>
        <v>show</v>
      </c>
      <c r="F8230" t="str">
        <f>HYPERLINK("https://github.com/MozillaReality/FirefoxReality/releases","show")</f>
        <v>show</v>
      </c>
    </row>
    <row r="8231" spans="1:6">
      <c r="A8231" t="s">
        <v>24432</v>
      </c>
      <c r="B8231" t="s">
        <v>24433</v>
      </c>
      <c r="C8231" t="s">
        <v>24434</v>
      </c>
      <c r="D8231" t="str">
        <f>HYPERLINK("https://github.com/barbeau/gpstest/issues/381","show")</f>
        <v>show</v>
      </c>
      <c r="E8231" t="str">
        <f>HYPERLINK("https://github.com/barbeau/gpstest","show")</f>
        <v>show</v>
      </c>
      <c r="F8231" t="str">
        <f>HYPERLINK("https://github.com/barbeau/gpstest/releases","show")</f>
        <v>show</v>
      </c>
    </row>
    <row r="8232" spans="1:6">
      <c r="A8232" t="s">
        <v>24435</v>
      </c>
      <c r="B8232" t="s">
        <v>24436</v>
      </c>
      <c r="C8232" t="s">
        <v>24437</v>
      </c>
      <c r="D8232" t="str">
        <f>HYPERLINK("https://github.com/barbeau/gpstest/issues/380","show")</f>
        <v>show</v>
      </c>
      <c r="E8232" t="str">
        <f>HYPERLINK("https://github.com/barbeau/gpstest","show")</f>
        <v>show</v>
      </c>
      <c r="F8232" t="str">
        <f>HYPERLINK("https://github.com/barbeau/gpstest/releases","show")</f>
        <v>show</v>
      </c>
    </row>
    <row r="8233" spans="1:6">
      <c r="A8233" t="s">
        <v>24438</v>
      </c>
      <c r="B8233" t="s">
        <v>24439</v>
      </c>
      <c r="C8233" t="s">
        <v>24440</v>
      </c>
      <c r="D8233" t="str">
        <f>HYPERLINK("https://github.com/iBotPeaches/Apktool/issues/2300","show")</f>
        <v>show</v>
      </c>
      <c r="E8233" t="str">
        <f>HYPERLINK("https://github.com/iBotPeaches/Apktool","show")</f>
        <v>show</v>
      </c>
      <c r="F8233" t="str">
        <f>HYPERLINK("https://github.com/iBotPeaches/Apktool/releases","show")</f>
        <v>show</v>
      </c>
    </row>
    <row r="8234" spans="1:6">
      <c r="A8234" t="s">
        <v>24441</v>
      </c>
      <c r="B8234" t="s">
        <v>24442</v>
      </c>
      <c r="C8234" t="s">
        <v>24443</v>
      </c>
      <c r="D8234" t="str">
        <f>HYPERLINK("https://github.com/nextcloud/android/issues/5513","show")</f>
        <v>show</v>
      </c>
      <c r="E8234" t="str">
        <f>HYPERLINK("https://github.com/nextcloud/android","show")</f>
        <v>show</v>
      </c>
      <c r="F8234" t="str">
        <f>HYPERLINK("https://github.com/nextcloud/android/releases","show")</f>
        <v>show</v>
      </c>
    </row>
    <row r="8235" spans="1:6">
      <c r="A8235" t="s">
        <v>24444</v>
      </c>
      <c r="B8235" t="s">
        <v>24445</v>
      </c>
      <c r="C8235" t="s">
        <v>24446</v>
      </c>
      <c r="D8235" t="str">
        <f>HYPERLINK("https://github.com/Bartekm1996/Invi/issues/20","show")</f>
        <v>show</v>
      </c>
      <c r="E8235" t="str">
        <f>HYPERLINK("https://github.com/Bartekm1996/Invi","show")</f>
        <v>show</v>
      </c>
      <c r="F8235" t="str">
        <f>HYPERLINK("https://github.com/Bartekm1996/Invi/releases","show")</f>
        <v>show</v>
      </c>
    </row>
    <row r="8236" spans="1:6">
      <c r="A8236" t="s">
        <v>24447</v>
      </c>
      <c r="B8236" t="s">
        <v>24448</v>
      </c>
      <c r="C8236" t="s">
        <v>24449</v>
      </c>
      <c r="D8236" t="str">
        <f>HYPERLINK("https://github.com/material-components/material-components-android/issues/1054","show")</f>
        <v>show</v>
      </c>
      <c r="E8236" t="str">
        <f>HYPERLINK("https://github.com/material-components/material-components-android","show")</f>
        <v>show</v>
      </c>
      <c r="F8236" t="str">
        <f>HYPERLINK("https://github.com/material-components/material-components-android/releases","show")</f>
        <v>show</v>
      </c>
    </row>
    <row r="8237" spans="1:6">
      <c r="A8237" t="s">
        <v>24450</v>
      </c>
      <c r="B8237" t="s">
        <v>24451</v>
      </c>
      <c r="C8237" t="s">
        <v>24452</v>
      </c>
      <c r="D8237" t="str">
        <f>HYPERLINK("https://github.com/SecUSo/privacy-friendly-circuit-training-exercises/issues/16","show")</f>
        <v>show</v>
      </c>
      <c r="E8237" t="str">
        <f>HYPERLINK("https://github.com/SecUSo/privacy-friendly-circuit-training-exercises","show")</f>
        <v>show</v>
      </c>
      <c r="F8237" t="str">
        <f>HYPERLINK("https://github.com/SecUSo/privacy-friendly-circuit-training-exercises/releases","show")</f>
        <v>show</v>
      </c>
    </row>
    <row r="8238" spans="1:6">
      <c r="A8238" t="s">
        <v>24453</v>
      </c>
      <c r="B8238" t="s">
        <v>24454</v>
      </c>
      <c r="C8238" t="s">
        <v>24455</v>
      </c>
      <c r="D8238" t="str">
        <f>HYPERLINK("https://github.com/tanguyantoine/react-native-music-control/issues/319","show")</f>
        <v>show</v>
      </c>
      <c r="E8238" t="str">
        <f>HYPERLINK("https://github.com/tanguyantoine/react-native-music-control","show")</f>
        <v>show</v>
      </c>
      <c r="F8238" t="str">
        <f>HYPERLINK("https://github.com/tanguyantoine/react-native-music-control/releases","show")</f>
        <v>show</v>
      </c>
    </row>
    <row r="8239" spans="1:6">
      <c r="A8239" t="s">
        <v>24456</v>
      </c>
      <c r="B8239" t="s">
        <v>24457</v>
      </c>
      <c r="C8239" t="s">
        <v>24458</v>
      </c>
      <c r="D8239" t="str">
        <f>HYPERLINK("https://github.com/CatalystCode/react-native-azurenotificationhub/issues/100","show")</f>
        <v>show</v>
      </c>
      <c r="E8239" t="str">
        <f>HYPERLINK("https://github.com/CatalystCode/react-native-azurenotificationhub","show")</f>
        <v>show</v>
      </c>
      <c r="F8239" t="str">
        <f>HYPERLINK("https://github.com/CatalystCode/react-native-azurenotificationhub/releases","show")</f>
        <v>show</v>
      </c>
    </row>
    <row r="8240" spans="1:6">
      <c r="A8240" t="s">
        <v>24459</v>
      </c>
      <c r="B8240" t="s">
        <v>24460</v>
      </c>
      <c r="C8240" t="s">
        <v>24461</v>
      </c>
      <c r="D8240" t="str">
        <f>HYPERLINK("https://github.com/nextcloud/android/issues/5505","show")</f>
        <v>show</v>
      </c>
      <c r="E8240" t="str">
        <f>HYPERLINK("https://github.com/nextcloud/android","show")</f>
        <v>show</v>
      </c>
      <c r="F8240" t="str">
        <f>HYPERLINK("https://github.com/nextcloud/android/releases","show")</f>
        <v>show</v>
      </c>
    </row>
    <row r="8241" spans="1:6">
      <c r="A8241" t="s">
        <v>24462</v>
      </c>
      <c r="B8241" t="s">
        <v>24463</v>
      </c>
      <c r="C8241" t="s">
        <v>24464</v>
      </c>
      <c r="D8241" t="str">
        <f>HYPERLINK("https://github.com/nextcloud/android/issues/5504","show")</f>
        <v>show</v>
      </c>
      <c r="E8241" t="str">
        <f>HYPERLINK("https://github.com/nextcloud/android","show")</f>
        <v>show</v>
      </c>
      <c r="F8241" t="str">
        <f>HYPERLINK("https://github.com/nextcloud/android/releases","show")</f>
        <v>show</v>
      </c>
    </row>
    <row r="8242" spans="1:6">
      <c r="A8242" t="s">
        <v>24465</v>
      </c>
      <c r="B8242" t="s">
        <v>24466</v>
      </c>
      <c r="C8242" t="s">
        <v>24467</v>
      </c>
      <c r="D8242" t="str">
        <f>HYPERLINK("https://github.com/inaturalist/iNaturalistAndroid/issues/781","show")</f>
        <v>show</v>
      </c>
      <c r="E8242" t="str">
        <f>HYPERLINK("https://github.com/inaturalist/iNaturalistAndroid","show")</f>
        <v>show</v>
      </c>
      <c r="F8242" t="str">
        <f>HYPERLINK("https://github.com/inaturalist/iNaturalistAndroid/releases","show")</f>
        <v>show</v>
      </c>
    </row>
    <row r="8243" spans="1:6">
      <c r="A8243" t="s">
        <v>24468</v>
      </c>
      <c r="B8243" t="s">
        <v>24469</v>
      </c>
      <c r="C8243" t="s">
        <v>24470</v>
      </c>
      <c r="D8243" t="str">
        <f>HYPERLINK("https://github.com/nextcloud/android/issues/5500","show")</f>
        <v>show</v>
      </c>
      <c r="E8243" t="str">
        <f>HYPERLINK("https://github.com/nextcloud/android","show")</f>
        <v>show</v>
      </c>
      <c r="F8243" t="str">
        <f>HYPERLINK("https://github.com/nextcloud/android/releases","show")</f>
        <v>show</v>
      </c>
    </row>
    <row r="8244" spans="1:6">
      <c r="A8244" t="s">
        <v>24471</v>
      </c>
      <c r="B8244" t="s">
        <v>24472</v>
      </c>
      <c r="C8244" t="s">
        <v>24473</v>
      </c>
      <c r="D8244" t="str">
        <f>HYPERLINK("https://github.com/nextcloud/android/issues/5499","show")</f>
        <v>show</v>
      </c>
      <c r="E8244" t="str">
        <f>HYPERLINK("https://github.com/nextcloud/android","show")</f>
        <v>show</v>
      </c>
      <c r="F8244" t="str">
        <f>HYPERLINK("https://github.com/nextcloud/android/releases","show")</f>
        <v>show</v>
      </c>
    </row>
    <row r="8245" spans="1:6">
      <c r="A8245" t="s">
        <v>24474</v>
      </c>
      <c r="B8245" t="s">
        <v>24475</v>
      </c>
      <c r="C8245" t="s">
        <v>24476</v>
      </c>
      <c r="D8245" t="str">
        <f>HYPERLINK("https://github.com/react-native-geolocation/react-native-geolocation/issues/94","show")</f>
        <v>show</v>
      </c>
      <c r="E8245" t="str">
        <f>HYPERLINK("https://github.com/react-native-geolocation/react-native-geolocation","show")</f>
        <v>show</v>
      </c>
      <c r="F8245" t="str">
        <f>HYPERLINK("https://github.com/react-native-geolocation/react-native-geolocation/releases","show")</f>
        <v>show</v>
      </c>
    </row>
    <row r="8246" spans="1:6">
      <c r="A8246" t="s">
        <v>24477</v>
      </c>
      <c r="B8246" t="s">
        <v>24478</v>
      </c>
      <c r="C8246" t="s">
        <v>24479</v>
      </c>
      <c r="D8246" t="str">
        <f>HYPERLINK("https://github.com/ankidroid/Anki-Android/issues/5764","show")</f>
        <v>show</v>
      </c>
      <c r="E8246" t="str">
        <f>HYPERLINK("https://github.com/ankidroid/Anki-Android","show")</f>
        <v>show</v>
      </c>
      <c r="F8246" t="str">
        <f>HYPERLINK("https://github.com/ankidroid/Anki-Android/releases","show")</f>
        <v>show</v>
      </c>
    </row>
    <row r="8247" spans="1:6">
      <c r="A8247" t="s">
        <v>24480</v>
      </c>
      <c r="B8247" t="s">
        <v>24481</v>
      </c>
      <c r="C8247" t="s">
        <v>24482</v>
      </c>
      <c r="D8247" t="str">
        <f>HYPERLINK("https://github.com/inaturalist/iNaturalistAndroid/issues/778","show")</f>
        <v>show</v>
      </c>
      <c r="E8247" t="str">
        <f>HYPERLINK("https://github.com/inaturalist/iNaturalistAndroid","show")</f>
        <v>show</v>
      </c>
      <c r="F8247" t="str">
        <f>HYPERLINK("https://github.com/inaturalist/iNaturalistAndroid/releases","show")</f>
        <v>show</v>
      </c>
    </row>
    <row r="8248" spans="1:6">
      <c r="A8248" t="s">
        <v>24483</v>
      </c>
      <c r="B8248" t="s">
        <v>5838</v>
      </c>
      <c r="C8248" t="s">
        <v>24484</v>
      </c>
      <c r="D8248" t="str">
        <f>HYPERLINK("https://github.com/Karumi/Dexter/issues/251","show")</f>
        <v>show</v>
      </c>
      <c r="E8248" t="str">
        <f>HYPERLINK("https://github.com/Karumi/Dexter","show")</f>
        <v>show</v>
      </c>
      <c r="F8248" t="str">
        <f>HYPERLINK("https://github.com/Karumi/Dexter/releases","show")</f>
        <v>show</v>
      </c>
    </row>
    <row r="8249" spans="1:6">
      <c r="A8249" t="s">
        <v>24485</v>
      </c>
      <c r="B8249" t="s">
        <v>23842</v>
      </c>
      <c r="C8249" t="s">
        <v>24486</v>
      </c>
      <c r="D8249" t="str">
        <f>HYPERLINK("https://github.com/nextcloud/android/issues/5490","show")</f>
        <v>show</v>
      </c>
      <c r="E8249" t="str">
        <f>HYPERLINK("https://github.com/nextcloud/android","show")</f>
        <v>show</v>
      </c>
      <c r="F8249" t="str">
        <f>HYPERLINK("https://github.com/nextcloud/android/releases","show")</f>
        <v>show</v>
      </c>
    </row>
    <row r="8250" spans="1:6">
      <c r="A8250" t="s">
        <v>24487</v>
      </c>
      <c r="B8250" t="s">
        <v>24488</v>
      </c>
      <c r="C8250" t="s">
        <v>24489</v>
      </c>
      <c r="D8250" t="str">
        <f>HYPERLINK("https://github.com/Haptic-Apps/Slide/issues/3124","show")</f>
        <v>show</v>
      </c>
      <c r="E8250" t="str">
        <f>HYPERLINK("https://github.com/Haptic-Apps/Slide","show")</f>
        <v>show</v>
      </c>
      <c r="F8250" t="str">
        <f>HYPERLINK("https://github.com/Haptic-Apps/Slide/releases","show")</f>
        <v>show</v>
      </c>
    </row>
    <row r="8251" spans="1:6">
      <c r="A8251" t="s">
        <v>24490</v>
      </c>
      <c r="B8251" t="s">
        <v>24491</v>
      </c>
      <c r="C8251" t="s">
        <v>24492</v>
      </c>
      <c r="D8251" t="str">
        <f>HYPERLINK("https://github.com/opensrp/opensrp-client-chw-hf/issues/48","show")</f>
        <v>show</v>
      </c>
      <c r="E8251" t="str">
        <f>HYPERLINK("https://github.com/opensrp/opensrp-client-chw-hf","show")</f>
        <v>show</v>
      </c>
      <c r="F8251" t="str">
        <f>HYPERLINK("https://github.com/opensrp/opensrp-client-chw-hf/releases","show")</f>
        <v>show</v>
      </c>
    </row>
    <row r="8252" spans="1:6">
      <c r="A8252" t="s">
        <v>24493</v>
      </c>
      <c r="B8252" t="s">
        <v>24494</v>
      </c>
      <c r="C8252" t="s">
        <v>24495</v>
      </c>
      <c r="D8252" t="str">
        <f>HYPERLINK("https://github.com/nextcloud/android-library/issues/404","show")</f>
        <v>show</v>
      </c>
      <c r="E8252" t="str">
        <f>HYPERLINK("https://github.com/nextcloud/android-library","show")</f>
        <v>show</v>
      </c>
      <c r="F8252" t="str">
        <f>HYPERLINK("https://github.com/nextcloud/android-library/releases","show")</f>
        <v>show</v>
      </c>
    </row>
    <row r="8253" spans="1:6">
      <c r="A8253" t="s">
        <v>24496</v>
      </c>
      <c r="B8253" t="s">
        <v>24497</v>
      </c>
      <c r="C8253" t="s">
        <v>24498</v>
      </c>
      <c r="D8253" t="str">
        <f>HYPERLINK("https://github.com/amahi/android/issues/507","show")</f>
        <v>show</v>
      </c>
      <c r="E8253" t="str">
        <f>HYPERLINK("https://github.com/amahi/android","show")</f>
        <v>show</v>
      </c>
      <c r="F8253" t="str">
        <f>HYPERLINK("https://github.com/amahi/android/releases","show")</f>
        <v>show</v>
      </c>
    </row>
    <row r="8254" spans="1:6">
      <c r="A8254" t="s">
        <v>24499</v>
      </c>
      <c r="B8254" t="s">
        <v>24500</v>
      </c>
      <c r="C8254" t="s">
        <v>24501</v>
      </c>
      <c r="D8254" t="str">
        <f>HYPERLINK("https://github.com/ankidroid/Anki-Android/issues/5760","show")</f>
        <v>show</v>
      </c>
      <c r="E8254" t="str">
        <f>HYPERLINK("https://github.com/ankidroid/Anki-Android","show")</f>
        <v>show</v>
      </c>
      <c r="F8254" t="str">
        <f>HYPERLINK("https://github.com/ankidroid/Anki-Android/releases","show")</f>
        <v>show</v>
      </c>
    </row>
    <row r="8255" spans="1:6">
      <c r="A8255" t="s">
        <v>24502</v>
      </c>
      <c r="B8255" t="s">
        <v>24503</v>
      </c>
      <c r="C8255" t="s">
        <v>24504</v>
      </c>
      <c r="D8255" t="str">
        <f>HYPERLINK("https://github.com/TeamNewPipe/NewPipe/issues/3105","show")</f>
        <v>show</v>
      </c>
      <c r="E8255" t="str">
        <f>HYPERLINK("https://github.com/TeamNewPipe/NewPipe","show")</f>
        <v>show</v>
      </c>
      <c r="F8255" t="str">
        <f>HYPERLINK("https://github.com/TeamNewPipe/NewPipe/releases","show")</f>
        <v>show</v>
      </c>
    </row>
    <row r="8256" spans="1:6">
      <c r="A8256" t="s">
        <v>24505</v>
      </c>
      <c r="B8256" t="s">
        <v>24506</v>
      </c>
      <c r="C8256" t="s">
        <v>24507</v>
      </c>
      <c r="D8256" t="str">
        <f>HYPERLINK("https://github.com/tinode/tindroid/issues/78","show")</f>
        <v>show</v>
      </c>
      <c r="E8256" t="str">
        <f>HYPERLINK("https://github.com/tinode/tindroid","show")</f>
        <v>show</v>
      </c>
      <c r="F8256" t="str">
        <f>HYPERLINK("https://github.com/tinode/tindroid/releases","show")</f>
        <v>show</v>
      </c>
    </row>
    <row r="8257" spans="1:6">
      <c r="A8257" t="s">
        <v>24508</v>
      </c>
      <c r="B8257" t="s">
        <v>24509</v>
      </c>
      <c r="C8257" t="s">
        <v>24510</v>
      </c>
      <c r="D8257" t="str">
        <f>HYPERLINK("https://github.com/k3b/APhotoManager/issues/167","show")</f>
        <v>show</v>
      </c>
      <c r="E8257" t="str">
        <f>HYPERLINK("https://github.com/k3b/APhotoManager","show")</f>
        <v>show</v>
      </c>
      <c r="F8257" t="str">
        <f>HYPERLINK("https://github.com/k3b/APhotoManager/releases","show")</f>
        <v>show</v>
      </c>
    </row>
    <row r="8258" spans="1:6">
      <c r="A8258" t="s">
        <v>24511</v>
      </c>
      <c r="B8258" t="s">
        <v>24512</v>
      </c>
      <c r="C8258" t="s">
        <v>24513</v>
      </c>
      <c r="D8258" t="str">
        <f>HYPERLINK("https://github.com/ankidroid/Anki-Android/issues/5758","show")</f>
        <v>show</v>
      </c>
      <c r="E8258" t="str">
        <f>HYPERLINK("https://github.com/ankidroid/Anki-Android","show")</f>
        <v>show</v>
      </c>
      <c r="F8258" t="str">
        <f>HYPERLINK("https://github.com/ankidroid/Anki-Android/releases","show")</f>
        <v>show</v>
      </c>
    </row>
    <row r="8259" spans="1:6">
      <c r="A8259" t="s">
        <v>24514</v>
      </c>
      <c r="B8259" t="s">
        <v>24515</v>
      </c>
      <c r="C8259" t="s">
        <v>24516</v>
      </c>
      <c r="D8259" t="str">
        <f>HYPERLINK("https://github.com/material-components/material-components-android/issues/1026","show")</f>
        <v>show</v>
      </c>
      <c r="E8259" t="str">
        <f>HYPERLINK("https://github.com/material-components/material-components-android","show")</f>
        <v>show</v>
      </c>
      <c r="F8259" t="str">
        <f>HYPERLINK("https://github.com/material-components/material-components-android/releases","show")</f>
        <v>show</v>
      </c>
    </row>
    <row r="8260" spans="1:6">
      <c r="A8260" t="s">
        <v>24517</v>
      </c>
      <c r="B8260" t="s">
        <v>24518</v>
      </c>
      <c r="C8260" t="s">
        <v>24519</v>
      </c>
      <c r="D8260" t="str">
        <f>HYPERLINK("https://github.com/ankidroid/Anki-Android/issues/5756","show")</f>
        <v>show</v>
      </c>
      <c r="E8260" t="str">
        <f>HYPERLINK("https://github.com/ankidroid/Anki-Android","show")</f>
        <v>show</v>
      </c>
      <c r="F8260" t="str">
        <f>HYPERLINK("https://github.com/ankidroid/Anki-Android/releases","show")</f>
        <v>show</v>
      </c>
    </row>
    <row r="8261" spans="1:6">
      <c r="A8261" t="s">
        <v>24520</v>
      </c>
      <c r="B8261" t="s">
        <v>24521</v>
      </c>
      <c r="C8261" t="s">
        <v>24522</v>
      </c>
      <c r="D8261" t="str">
        <f>HYPERLINK("https://github.com/nextcloud/android/issues/5481","show")</f>
        <v>show</v>
      </c>
      <c r="E8261" t="str">
        <f>HYPERLINK("https://github.com/nextcloud/android","show")</f>
        <v>show</v>
      </c>
      <c r="F8261" t="str">
        <f>HYPERLINK("https://github.com/nextcloud/android/releases","show")</f>
        <v>show</v>
      </c>
    </row>
    <row r="8262" spans="1:6">
      <c r="A8262" t="s">
        <v>24523</v>
      </c>
      <c r="B8262" t="s">
        <v>10530</v>
      </c>
      <c r="C8262" t="s">
        <v>24524</v>
      </c>
      <c r="D8262" t="str">
        <f>HYPERLINK("https://github.com/Firefds/FirefdsKit/issues/7","show")</f>
        <v>show</v>
      </c>
      <c r="E8262" t="str">
        <f>HYPERLINK("https://github.com/Firefds/FirefdsKit","show")</f>
        <v>show</v>
      </c>
      <c r="F8262" t="str">
        <f>HYPERLINK("https://github.com/Firefds/FirefdsKit/releases","show")</f>
        <v>show</v>
      </c>
    </row>
    <row r="8263" spans="1:6">
      <c r="A8263" t="s">
        <v>24525</v>
      </c>
      <c r="B8263" t="s">
        <v>24526</v>
      </c>
      <c r="C8263" t="s">
        <v>24527</v>
      </c>
      <c r="D8263" t="str">
        <f>HYPERLINK("https://github.com/k9mail/k-9/issues/4539","show")</f>
        <v>show</v>
      </c>
      <c r="E8263" t="str">
        <f>HYPERLINK("https://github.com/k9mail/k-9","show")</f>
        <v>show</v>
      </c>
      <c r="F8263" t="str">
        <f>HYPERLINK("https://github.com/k9mail/k-9/releases","show")</f>
        <v>show</v>
      </c>
    </row>
    <row r="8264" spans="1:6">
      <c r="A8264" t="s">
        <v>24528</v>
      </c>
      <c r="B8264" t="s">
        <v>24529</v>
      </c>
      <c r="C8264" t="s">
        <v>24530</v>
      </c>
      <c r="D8264" t="str">
        <f>HYPERLINK("https://github.com/ankidroid/Anki-Android/issues/5755","show")</f>
        <v>show</v>
      </c>
      <c r="E8264" t="str">
        <f>HYPERLINK("https://github.com/ankidroid/Anki-Android","show")</f>
        <v>show</v>
      </c>
      <c r="F8264" t="str">
        <f>HYPERLINK("https://github.com/ankidroid/Anki-Android/releases","show")</f>
        <v>show</v>
      </c>
    </row>
    <row r="8265" spans="1:6">
      <c r="A8265" t="s">
        <v>24531</v>
      </c>
      <c r="B8265" t="s">
        <v>24532</v>
      </c>
      <c r="C8265" t="s">
        <v>24533</v>
      </c>
      <c r="D8265" t="str">
        <f>HYPERLINK("https://github.com/fossasia/open-event-organizer-android/issues/2076","show")</f>
        <v>show</v>
      </c>
      <c r="E8265" t="str">
        <f>HYPERLINK("https://github.com/fossasia/open-event-organizer-android","show")</f>
        <v>show</v>
      </c>
      <c r="F8265" t="str">
        <f>HYPERLINK("https://github.com/fossasia/open-event-organizer-android/releases","show")</f>
        <v>show</v>
      </c>
    </row>
    <row r="8266" spans="1:6">
      <c r="A8266" t="s">
        <v>24534</v>
      </c>
      <c r="B8266" t="s">
        <v>24535</v>
      </c>
      <c r="C8266" t="s">
        <v>24536</v>
      </c>
      <c r="D8266" t="str">
        <f>HYPERLINK("https://github.com/nextcloud/android/issues/5479","show")</f>
        <v>show</v>
      </c>
      <c r="E8266" t="str">
        <f>HYPERLINK("https://github.com/nextcloud/android","show")</f>
        <v>show</v>
      </c>
      <c r="F8266" t="str">
        <f>HYPERLINK("https://github.com/nextcloud/android/releases","show")</f>
        <v>show</v>
      </c>
    </row>
    <row r="8267" spans="1:6">
      <c r="A8267" t="s">
        <v>24537</v>
      </c>
      <c r="B8267" t="s">
        <v>24538</v>
      </c>
      <c r="C8267" t="s">
        <v>24539</v>
      </c>
      <c r="D8267" t="str">
        <f>HYPERLINK("https://github.com/ElderDrivers/EdXposed/issues/465","show")</f>
        <v>show</v>
      </c>
      <c r="E8267" t="str">
        <f>HYPERLINK("https://github.com/ElderDrivers/EdXposed","show")</f>
        <v>show</v>
      </c>
      <c r="F8267" t="str">
        <f>HYPERLINK("https://github.com/ElderDrivers/EdXposed/releases","show")</f>
        <v>show</v>
      </c>
    </row>
    <row r="8268" spans="1:6">
      <c r="A8268" t="s">
        <v>24540</v>
      </c>
      <c r="B8268" t="s">
        <v>24541</v>
      </c>
      <c r="C8268" t="s">
        <v>24542</v>
      </c>
      <c r="D8268" t="str">
        <f>HYPERLINK("https://github.com/MarquisLP/World-Scribe/issues/43","show")</f>
        <v>show</v>
      </c>
      <c r="E8268" t="str">
        <f>HYPERLINK("https://github.com/MarquisLP/World-Scribe","show")</f>
        <v>show</v>
      </c>
      <c r="F8268" t="str">
        <f>HYPERLINK("https://github.com/MarquisLP/World-Scribe/releases","show")</f>
        <v>show</v>
      </c>
    </row>
    <row r="8269" spans="1:6">
      <c r="A8269" t="s">
        <v>24543</v>
      </c>
      <c r="B8269" t="s">
        <v>24544</v>
      </c>
      <c r="C8269" t="s">
        <v>24545</v>
      </c>
      <c r="D8269" t="str">
        <f>HYPERLINK("https://github.com/ankidroid/Anki-Android/issues/5752","show")</f>
        <v>show</v>
      </c>
      <c r="E8269" t="str">
        <f>HYPERLINK("https://github.com/ankidroid/Anki-Android","show")</f>
        <v>show</v>
      </c>
      <c r="F8269" t="str">
        <f>HYPERLINK("https://github.com/ankidroid/Anki-Android/releases","show")</f>
        <v>show</v>
      </c>
    </row>
    <row r="8270" spans="1:6">
      <c r="A8270" t="s">
        <v>24546</v>
      </c>
      <c r="B8270" t="s">
        <v>24547</v>
      </c>
      <c r="C8270" t="s">
        <v>24548</v>
      </c>
      <c r="D8270" t="str">
        <f>HYPERLINK("https://github.com/ankidroid/Anki-Android/issues/5749","show")</f>
        <v>show</v>
      </c>
      <c r="E8270" t="str">
        <f>HYPERLINK("https://github.com/ankidroid/Anki-Android","show")</f>
        <v>show</v>
      </c>
      <c r="F8270" t="str">
        <f>HYPERLINK("https://github.com/ankidroid/Anki-Android/releases","show")</f>
        <v>show</v>
      </c>
    </row>
    <row r="8271" spans="1:6">
      <c r="A8271" t="s">
        <v>24549</v>
      </c>
      <c r="B8271" t="s">
        <v>24550</v>
      </c>
      <c r="C8271" t="s">
        <v>24551</v>
      </c>
      <c r="D8271" t="str">
        <f>HYPERLINK("https://github.com/ankidroid/Anki-Android/issues/5748","show")</f>
        <v>show</v>
      </c>
      <c r="E8271" t="str">
        <f>HYPERLINK("https://github.com/ankidroid/Anki-Android","show")</f>
        <v>show</v>
      </c>
      <c r="F8271" t="str">
        <f>HYPERLINK("https://github.com/ankidroid/Anki-Android/releases","show")</f>
        <v>show</v>
      </c>
    </row>
    <row r="8272" spans="1:6">
      <c r="A8272" t="s">
        <v>24552</v>
      </c>
      <c r="B8272" t="s">
        <v>24553</v>
      </c>
      <c r="C8272" t="s">
        <v>24554</v>
      </c>
      <c r="D8272" t="str">
        <f>HYPERLINK("https://github.com/barbeau/gpstest/issues/373","show")</f>
        <v>show</v>
      </c>
      <c r="E8272" t="str">
        <f>HYPERLINK("https://github.com/barbeau/gpstest","show")</f>
        <v>show</v>
      </c>
      <c r="F8272" t="str">
        <f>HYPERLINK("https://github.com/barbeau/gpstest/releases","show")</f>
        <v>show</v>
      </c>
    </row>
    <row r="8273" spans="1:6">
      <c r="A8273" t="s">
        <v>24555</v>
      </c>
      <c r="B8273" t="s">
        <v>24556</v>
      </c>
      <c r="C8273" t="s">
        <v>24557</v>
      </c>
      <c r="D8273" t="str">
        <f>HYPERLINK("https://github.com/cgeo/cgeo/issues/8126","show")</f>
        <v>show</v>
      </c>
      <c r="E8273" t="str">
        <f>HYPERLINK("https://github.com/cgeo/cgeo","show")</f>
        <v>show</v>
      </c>
      <c r="F8273" t="str">
        <f>HYPERLINK("https://github.com/cgeo/cgeo/releases","show")</f>
        <v>show</v>
      </c>
    </row>
    <row r="8274" spans="1:6">
      <c r="A8274" t="s">
        <v>24558</v>
      </c>
      <c r="B8274" t="s">
        <v>24559</v>
      </c>
      <c r="C8274" t="s">
        <v>24560</v>
      </c>
      <c r="D8274" t="str">
        <f>HYPERLINK("https://github.com/StringCare/AndroidLibrary/issues/75","show")</f>
        <v>show</v>
      </c>
      <c r="E8274" t="str">
        <f>HYPERLINK("https://github.com/StringCare/AndroidLibrary","show")</f>
        <v>show</v>
      </c>
      <c r="F8274" t="str">
        <f>HYPERLINK("https://github.com/StringCare/AndroidLibrary/releases","show")</f>
        <v>show</v>
      </c>
    </row>
    <row r="8275" spans="1:6">
      <c r="A8275" t="s">
        <v>24561</v>
      </c>
      <c r="B8275" t="s">
        <v>24562</v>
      </c>
      <c r="C8275" t="s">
        <v>24563</v>
      </c>
      <c r="D8275" t="str">
        <f>HYPERLINK("https://github.com/opentok/opentok-react-native/issues/382","show")</f>
        <v>show</v>
      </c>
      <c r="E8275" t="str">
        <f>HYPERLINK("https://github.com/opentok/opentok-react-native","show")</f>
        <v>show</v>
      </c>
      <c r="F8275" t="str">
        <f>HYPERLINK("https://github.com/opentok/opentok-react-native/releases","show")</f>
        <v>show</v>
      </c>
    </row>
    <row r="8276" spans="1:6">
      <c r="A8276" t="s">
        <v>24564</v>
      </c>
      <c r="B8276" t="s">
        <v>24565</v>
      </c>
      <c r="C8276" t="s">
        <v>24566</v>
      </c>
      <c r="D8276" t="str">
        <f>HYPERLINK("https://github.com/opensrp/opensrp-client-giz-malawi/issues/204","show")</f>
        <v>show</v>
      </c>
      <c r="E8276" t="str">
        <f>HYPERLINK("https://github.com/opensrp/opensrp-client-giz-malawi","show")</f>
        <v>show</v>
      </c>
      <c r="F8276" t="str">
        <f>HYPERLINK("https://github.com/opensrp/opensrp-client-giz-malawi/releases","show")</f>
        <v>show</v>
      </c>
    </row>
    <row r="8277" spans="1:6">
      <c r="A8277" t="s">
        <v>24567</v>
      </c>
      <c r="B8277" t="s">
        <v>24568</v>
      </c>
      <c r="C8277" t="s">
        <v>24569</v>
      </c>
      <c r="D8277" t="str">
        <f>HYPERLINK("https://github.com/readrops/Readrops/issues/51","show")</f>
        <v>show</v>
      </c>
      <c r="E8277" t="str">
        <f>HYPERLINK("https://github.com/readrops/Readrops","show")</f>
        <v>show</v>
      </c>
      <c r="F8277" t="str">
        <f>HYPERLINK("https://github.com/readrops/Readrops/releases","show")</f>
        <v>show</v>
      </c>
    </row>
    <row r="8278" spans="1:6">
      <c r="A8278" t="s">
        <v>24570</v>
      </c>
      <c r="B8278" t="s">
        <v>24571</v>
      </c>
      <c r="C8278" t="s">
        <v>24572</v>
      </c>
      <c r="D8278" t="str">
        <f>HYPERLINK("https://github.com/SecUSo/privacy-friendly-solitaire/issues/20","show")</f>
        <v>show</v>
      </c>
      <c r="E8278" t="str">
        <f>HYPERLINK("https://github.com/SecUSo/privacy-friendly-solitaire","show")</f>
        <v>show</v>
      </c>
      <c r="F8278" t="str">
        <f>HYPERLINK("https://github.com/SecUSo/privacy-friendly-solitaire/releases","show")</f>
        <v>show</v>
      </c>
    </row>
    <row r="8279" spans="1:6">
      <c r="A8279" t="s">
        <v>24573</v>
      </c>
      <c r="B8279" t="s">
        <v>24574</v>
      </c>
      <c r="C8279" t="s">
        <v>24575</v>
      </c>
      <c r="D8279" t="str">
        <f>HYPERLINK("https://github.com/nextcloud/android/issues/5460","show")</f>
        <v>show</v>
      </c>
      <c r="E8279" t="str">
        <f>HYPERLINK("https://github.com/nextcloud/android","show")</f>
        <v>show</v>
      </c>
      <c r="F8279" t="str">
        <f>HYPERLINK("https://github.com/nextcloud/android/releases","show")</f>
        <v>show</v>
      </c>
    </row>
    <row r="8280" spans="1:6">
      <c r="A8280" t="s">
        <v>24576</v>
      </c>
      <c r="B8280" t="s">
        <v>24577</v>
      </c>
      <c r="C8280" t="s">
        <v>24578</v>
      </c>
      <c r="D8280" t="str">
        <f>HYPERLINK("https://github.com/opensrp/opensrp-client-reveal/issues/644","show")</f>
        <v>show</v>
      </c>
      <c r="E8280" t="str">
        <f>HYPERLINK("https://github.com/opensrp/opensrp-client-reveal","show")</f>
        <v>show</v>
      </c>
      <c r="F8280" t="str">
        <f>HYPERLINK("https://github.com/opensrp/opensrp-client-reveal/releases","show")</f>
        <v>show</v>
      </c>
    </row>
    <row r="8281" spans="1:6">
      <c r="A8281" t="s">
        <v>24579</v>
      </c>
      <c r="B8281" t="s">
        <v>24580</v>
      </c>
      <c r="C8281" t="s">
        <v>24581</v>
      </c>
      <c r="D8281" t="str">
        <f>HYPERLINK("https://github.com/prebid/prebid-mobile-android/issues/170","show")</f>
        <v>show</v>
      </c>
      <c r="E8281" t="str">
        <f>HYPERLINK("https://github.com/prebid/prebid-mobile-android","show")</f>
        <v>show</v>
      </c>
      <c r="F8281" t="str">
        <f>HYPERLINK("https://github.com/prebid/prebid-mobile-android/releases","show")</f>
        <v>show</v>
      </c>
    </row>
    <row r="8282" spans="1:6">
      <c r="A8282" t="s">
        <v>24582</v>
      </c>
      <c r="B8282" t="s">
        <v>24583</v>
      </c>
      <c r="C8282" t="s">
        <v>24584</v>
      </c>
      <c r="D8282" t="str">
        <f>HYPERLINK("https://github.com/TeamNewPipe/NewPipe/issues/3091","show")</f>
        <v>show</v>
      </c>
      <c r="E8282" t="str">
        <f>HYPERLINK("https://github.com/TeamNewPipe/NewPipe","show")</f>
        <v>show</v>
      </c>
      <c r="F8282" t="str">
        <f>HYPERLINK("https://github.com/TeamNewPipe/NewPipe/releases","show")</f>
        <v>show</v>
      </c>
    </row>
    <row r="8283" spans="1:6">
      <c r="A8283" t="s">
        <v>24585</v>
      </c>
      <c r="B8283" t="s">
        <v>24586</v>
      </c>
      <c r="C8283" t="s">
        <v>24587</v>
      </c>
      <c r="D8283" t="str">
        <f>HYPERLINK("https://github.com/raphaelmue/travlyn/issues/22","show")</f>
        <v>show</v>
      </c>
      <c r="E8283" t="str">
        <f>HYPERLINK("https://github.com/raphaelmue/travlyn","show")</f>
        <v>show</v>
      </c>
      <c r="F8283" t="str">
        <f>HYPERLINK("https://github.com/raphaelmue/travlyn/releases","show")</f>
        <v>show</v>
      </c>
    </row>
    <row r="8284" spans="1:6">
      <c r="A8284" t="s">
        <v>24588</v>
      </c>
      <c r="B8284" t="s">
        <v>24589</v>
      </c>
      <c r="C8284" t="s">
        <v>24590</v>
      </c>
      <c r="D8284" t="str">
        <f>HYPERLINK("https://github.com/ankidroid/Anki-Android/issues/5744","show")</f>
        <v>show</v>
      </c>
      <c r="E8284" t="str">
        <f>HYPERLINK("https://github.com/ankidroid/Anki-Android","show")</f>
        <v>show</v>
      </c>
      <c r="F8284" t="str">
        <f>HYPERLINK("https://github.com/ankidroid/Anki-Android/releases","show")</f>
        <v>show</v>
      </c>
    </row>
    <row r="8285" spans="1:6">
      <c r="A8285" t="s">
        <v>24591</v>
      </c>
      <c r="B8285" t="s">
        <v>24592</v>
      </c>
      <c r="C8285" t="s">
        <v>24593</v>
      </c>
      <c r="D8285" t="str">
        <f>HYPERLINK("https://github.com/ankidroid/Anki-Android/issues/5743","show")</f>
        <v>show</v>
      </c>
      <c r="E8285" t="str">
        <f>HYPERLINK("https://github.com/ankidroid/Anki-Android","show")</f>
        <v>show</v>
      </c>
      <c r="F8285" t="str">
        <f>HYPERLINK("https://github.com/ankidroid/Anki-Android/releases","show")</f>
        <v>show</v>
      </c>
    </row>
    <row r="8286" spans="1:6">
      <c r="A8286" t="s">
        <v>24594</v>
      </c>
      <c r="B8286" t="s">
        <v>24595</v>
      </c>
      <c r="C8286" t="s">
        <v>24596</v>
      </c>
      <c r="D8286" t="str">
        <f>HYPERLINK("https://github.com/Blockstream/green_android/issues/80","show")</f>
        <v>show</v>
      </c>
      <c r="E8286" t="str">
        <f>HYPERLINK("https://github.com/Blockstream/green_android","show")</f>
        <v>show</v>
      </c>
      <c r="F8286" t="str">
        <f>HYPERLINK("https://github.com/Blockstream/green_android/releases","show")</f>
        <v>show</v>
      </c>
    </row>
    <row r="8287" spans="1:6">
      <c r="A8287" t="s">
        <v>24597</v>
      </c>
      <c r="B8287" t="s">
        <v>24598</v>
      </c>
      <c r="C8287" t="s">
        <v>24599</v>
      </c>
      <c r="D8287" t="str">
        <f>HYPERLINK("https://github.com/nextcloud/android/issues/5456","show")</f>
        <v>show</v>
      </c>
      <c r="E8287" t="str">
        <f>HYPERLINK("https://github.com/nextcloud/android","show")</f>
        <v>show</v>
      </c>
      <c r="F8287" t="str">
        <f>HYPERLINK("https://github.com/nextcloud/android/releases","show")</f>
        <v>show</v>
      </c>
    </row>
    <row r="8288" spans="1:6">
      <c r="A8288" t="s">
        <v>24600</v>
      </c>
      <c r="B8288" t="s">
        <v>24601</v>
      </c>
      <c r="C8288" t="s">
        <v>24602</v>
      </c>
      <c r="D8288" t="str">
        <f>HYPERLINK("https://github.com/getodk/collect/issues/3635","show")</f>
        <v>show</v>
      </c>
      <c r="E8288" t="str">
        <f>HYPERLINK("https://github.com/getodk/collect","show")</f>
        <v>show</v>
      </c>
      <c r="F8288" t="str">
        <f>HYPERLINK("https://github.com/getodk/collect/releases","show")</f>
        <v>show</v>
      </c>
    </row>
    <row r="8289" spans="1:6">
      <c r="A8289" t="s">
        <v>24603</v>
      </c>
      <c r="B8289" t="s">
        <v>24604</v>
      </c>
      <c r="C8289" t="s">
        <v>24605</v>
      </c>
      <c r="D8289" t="str">
        <f>HYPERLINK("https://github.com/nextcloud/android/issues/5454","show")</f>
        <v>show</v>
      </c>
      <c r="E8289" t="str">
        <f>HYPERLINK("https://github.com/nextcloud/android","show")</f>
        <v>show</v>
      </c>
      <c r="F8289" t="str">
        <f>HYPERLINK("https://github.com/nextcloud/android/releases","show")</f>
        <v>show</v>
      </c>
    </row>
    <row r="8290" spans="1:6">
      <c r="A8290" t="s">
        <v>24606</v>
      </c>
      <c r="B8290" t="s">
        <v>24607</v>
      </c>
      <c r="C8290" t="s">
        <v>24608</v>
      </c>
      <c r="D8290" t="str">
        <f>HYPERLINK("https://github.com/nextcloud/android/issues/5453","show")</f>
        <v>show</v>
      </c>
      <c r="E8290" t="str">
        <f>HYPERLINK("https://github.com/nextcloud/android","show")</f>
        <v>show</v>
      </c>
      <c r="F8290" t="str">
        <f>HYPERLINK("https://github.com/nextcloud/android/releases","show")</f>
        <v>show</v>
      </c>
    </row>
    <row r="8291" spans="1:6">
      <c r="A8291" t="s">
        <v>24609</v>
      </c>
      <c r="B8291" t="s">
        <v>24610</v>
      </c>
      <c r="C8291" t="s">
        <v>24611</v>
      </c>
      <c r="D8291" t="str">
        <f>HYPERLINK("https://github.com/nextcloud/android/issues/5452","show")</f>
        <v>show</v>
      </c>
      <c r="E8291" t="str">
        <f>HYPERLINK("https://github.com/nextcloud/android","show")</f>
        <v>show</v>
      </c>
      <c r="F8291" t="str">
        <f>HYPERLINK("https://github.com/nextcloud/android/releases","show")</f>
        <v>show</v>
      </c>
    </row>
    <row r="8292" spans="1:6">
      <c r="A8292" t="s">
        <v>24612</v>
      </c>
      <c r="B8292" t="s">
        <v>24613</v>
      </c>
      <c r="C8292" t="s">
        <v>24614</v>
      </c>
      <c r="D8292" t="str">
        <f>HYPERLINK("https://github.com/ramack/ActivityDiary/issues/285","show")</f>
        <v>show</v>
      </c>
      <c r="E8292" t="str">
        <f>HYPERLINK("https://github.com/ramack/ActivityDiary","show")</f>
        <v>show</v>
      </c>
      <c r="F8292" t="str">
        <f>HYPERLINK("https://github.com/ramack/ActivityDiary/releases","show")</f>
        <v>show</v>
      </c>
    </row>
    <row r="8293" spans="1:6">
      <c r="A8293" t="s">
        <v>24615</v>
      </c>
      <c r="B8293" t="s">
        <v>24616</v>
      </c>
      <c r="C8293" t="s">
        <v>24617</v>
      </c>
      <c r="D8293" t="str">
        <f>HYPERLINK("https://github.com/maks/MGit/issues/500","show")</f>
        <v>show</v>
      </c>
      <c r="E8293" t="str">
        <f>HYPERLINK("https://github.com/maks/MGit","show")</f>
        <v>show</v>
      </c>
      <c r="F8293" t="str">
        <f>HYPERLINK("https://github.com/maks/MGit/releases","show")</f>
        <v>show</v>
      </c>
    </row>
    <row r="8294" spans="1:6">
      <c r="A8294" t="s">
        <v>24618</v>
      </c>
      <c r="B8294" t="s">
        <v>24619</v>
      </c>
      <c r="C8294" t="s">
        <v>24620</v>
      </c>
      <c r="D8294" t="str">
        <f>HYPERLINK("https://github.com/nextcloud/android/issues/5448","show")</f>
        <v>show</v>
      </c>
      <c r="E8294" t="str">
        <f>HYPERLINK("https://github.com/nextcloud/android","show")</f>
        <v>show</v>
      </c>
      <c r="F8294" t="str">
        <f>HYPERLINK("https://github.com/nextcloud/android/releases","show")</f>
        <v>show</v>
      </c>
    </row>
    <row r="8295" spans="1:6">
      <c r="A8295" t="s">
        <v>24621</v>
      </c>
      <c r="B8295" t="s">
        <v>24622</v>
      </c>
      <c r="C8295" t="s">
        <v>24623</v>
      </c>
      <c r="D8295" t="str">
        <f>HYPERLINK("https://github.com/TeamNewPipe/NewPipe/issues/3072","show")</f>
        <v>show</v>
      </c>
      <c r="E8295" t="str">
        <f>HYPERLINK("https://github.com/TeamNewPipe/NewPipe","show")</f>
        <v>show</v>
      </c>
      <c r="F8295" t="str">
        <f>HYPERLINK("https://github.com/TeamNewPipe/NewPipe/releases","show")</f>
        <v>show</v>
      </c>
    </row>
    <row r="8296" spans="1:6">
      <c r="A8296" t="s">
        <v>24624</v>
      </c>
      <c r="B8296" t="s">
        <v>24625</v>
      </c>
      <c r="C8296" t="s">
        <v>24626</v>
      </c>
      <c r="D8296" t="str">
        <f>HYPERLINK("https://github.com/nextcloud/android/issues/5446","show")</f>
        <v>show</v>
      </c>
      <c r="E8296" t="str">
        <f>HYPERLINK("https://github.com/nextcloud/android","show")</f>
        <v>show</v>
      </c>
      <c r="F8296" t="str">
        <f>HYPERLINK("https://github.com/nextcloud/android/releases","show")</f>
        <v>show</v>
      </c>
    </row>
    <row r="8297" spans="1:6">
      <c r="A8297" t="s">
        <v>24627</v>
      </c>
      <c r="B8297" t="s">
        <v>24628</v>
      </c>
      <c r="C8297" t="s">
        <v>24629</v>
      </c>
      <c r="D8297" t="str">
        <f>HYPERLINK("https://github.com/nextcloud/android/issues/5441","show")</f>
        <v>show</v>
      </c>
      <c r="E8297" t="str">
        <f>HYPERLINK("https://github.com/nextcloud/android","show")</f>
        <v>show</v>
      </c>
      <c r="F8297" t="str">
        <f>HYPERLINK("https://github.com/nextcloud/android/releases","show")</f>
        <v>show</v>
      </c>
    </row>
    <row r="8298" spans="1:6">
      <c r="A8298" t="s">
        <v>24630</v>
      </c>
      <c r="B8298" t="s">
        <v>24631</v>
      </c>
      <c r="C8298" t="s">
        <v>24632</v>
      </c>
      <c r="D8298" t="str">
        <f>HYPERLINK("https://github.com/nextcloud/android/issues/5439","show")</f>
        <v>show</v>
      </c>
      <c r="E8298" t="str">
        <f>HYPERLINK("https://github.com/nextcloud/android","show")</f>
        <v>show</v>
      </c>
      <c r="F8298" t="str">
        <f>HYPERLINK("https://github.com/nextcloud/android/releases","show")</f>
        <v>show</v>
      </c>
    </row>
    <row r="8299" spans="1:6">
      <c r="A8299" t="s">
        <v>24633</v>
      </c>
      <c r="B8299" t="s">
        <v>24634</v>
      </c>
      <c r="C8299" t="s">
        <v>24635</v>
      </c>
      <c r="D8299" t="str">
        <f>HYPERLINK("https://github.com/jellyfin/jellyfin-androidtv/issues/325","show")</f>
        <v>show</v>
      </c>
      <c r="E8299" t="str">
        <f>HYPERLINK("https://github.com/jellyfin/jellyfin-androidtv","show")</f>
        <v>show</v>
      </c>
      <c r="F8299" t="str">
        <f>HYPERLINK("https://github.com/jellyfin/jellyfin-androidtv/releases","show")</f>
        <v>show</v>
      </c>
    </row>
    <row r="8300" spans="1:6">
      <c r="A8300" t="s">
        <v>24636</v>
      </c>
      <c r="B8300" t="s">
        <v>24637</v>
      </c>
      <c r="C8300" t="s">
        <v>24638</v>
      </c>
      <c r="D8300" t="str">
        <f>HYPERLINK("https://github.com/nextcloud/android/issues/5437","show")</f>
        <v>show</v>
      </c>
      <c r="E8300" t="str">
        <f>HYPERLINK("https://github.com/nextcloud/android","show")</f>
        <v>show</v>
      </c>
      <c r="F8300" t="str">
        <f>HYPERLINK("https://github.com/nextcloud/android/releases","show")</f>
        <v>show</v>
      </c>
    </row>
    <row r="8301" spans="1:6">
      <c r="A8301" t="s">
        <v>24639</v>
      </c>
      <c r="B8301" t="s">
        <v>24640</v>
      </c>
      <c r="C8301" t="s">
        <v>24641</v>
      </c>
      <c r="D8301" t="str">
        <f>HYPERLINK("https://github.com/wallabag/android-app/issues/918","show")</f>
        <v>show</v>
      </c>
      <c r="E8301" t="str">
        <f>HYPERLINK("https://github.com/wallabag/android-app","show")</f>
        <v>show</v>
      </c>
      <c r="F8301" t="str">
        <f>HYPERLINK("https://github.com/wallabag/android-app/releases","show")</f>
        <v>show</v>
      </c>
    </row>
    <row r="8302" spans="1:6">
      <c r="A8302" t="s">
        <v>24642</v>
      </c>
      <c r="B8302" t="s">
        <v>24643</v>
      </c>
      <c r="C8302" t="s">
        <v>24644</v>
      </c>
      <c r="D8302" t="str">
        <f>HYPERLINK("https://github.com/nextcloud/android/issues/5430","show")</f>
        <v>show</v>
      </c>
      <c r="E8302" t="str">
        <f>HYPERLINK("https://github.com/nextcloud/android","show")</f>
        <v>show</v>
      </c>
      <c r="F8302" t="str">
        <f>HYPERLINK("https://github.com/nextcloud/android/releases","show")</f>
        <v>show</v>
      </c>
    </row>
    <row r="8303" spans="1:6">
      <c r="A8303" t="s">
        <v>24645</v>
      </c>
      <c r="B8303" t="s">
        <v>24646</v>
      </c>
      <c r="C8303" t="s">
        <v>24647</v>
      </c>
      <c r="D8303" t="str">
        <f>HYPERLINK("https://github.com/nextcloud/android/issues/5427","show")</f>
        <v>show</v>
      </c>
      <c r="E8303" t="str">
        <f>HYPERLINK("https://github.com/nextcloud/android","show")</f>
        <v>show</v>
      </c>
      <c r="F8303" t="str">
        <f>HYPERLINK("https://github.com/nextcloud/android/releases","show")</f>
        <v>show</v>
      </c>
    </row>
    <row r="8304" spans="1:6">
      <c r="A8304" t="s">
        <v>24648</v>
      </c>
      <c r="B8304" t="s">
        <v>24649</v>
      </c>
      <c r="C8304" t="s">
        <v>24650</v>
      </c>
      <c r="D8304" t="str">
        <f>HYPERLINK("https://github.com/sambatech/player_sdk_android/issues/86","show")</f>
        <v>show</v>
      </c>
      <c r="E8304" t="str">
        <f>HYPERLINK("https://github.com/sambatech/player_sdk_android","show")</f>
        <v>show</v>
      </c>
      <c r="F8304" t="str">
        <f>HYPERLINK("https://github.com/sambatech/player_sdk_android/releases","show")</f>
        <v>show</v>
      </c>
    </row>
    <row r="8305" spans="1:6">
      <c r="A8305" t="s">
        <v>24651</v>
      </c>
      <c r="B8305" t="s">
        <v>24649</v>
      </c>
      <c r="C8305" t="s">
        <v>24650</v>
      </c>
      <c r="D8305" t="str">
        <f>HYPERLINK("https://github.com/sambatech/player_sdk_android/issues/85","show")</f>
        <v>show</v>
      </c>
      <c r="E8305" t="str">
        <f>HYPERLINK("https://github.com/sambatech/player_sdk_android","show")</f>
        <v>show</v>
      </c>
      <c r="F8305" t="str">
        <f>HYPERLINK("https://github.com/sambatech/player_sdk_android/releases","show")</f>
        <v>show</v>
      </c>
    </row>
    <row r="8306" spans="1:6">
      <c r="A8306" t="s">
        <v>24652</v>
      </c>
      <c r="B8306" t="s">
        <v>24653</v>
      </c>
      <c r="C8306" t="s">
        <v>24654</v>
      </c>
      <c r="D8306" t="str">
        <f>HYPERLINK("https://github.com/jellyfin/jellyfin-androidtv/issues/312","show")</f>
        <v>show</v>
      </c>
      <c r="E8306" t="str">
        <f>HYPERLINK("https://github.com/jellyfin/jellyfin-androidtv","show")</f>
        <v>show</v>
      </c>
      <c r="F8306" t="str">
        <f>HYPERLINK("https://github.com/jellyfin/jellyfin-androidtv/releases","show")</f>
        <v>show</v>
      </c>
    </row>
    <row r="8307" spans="1:6">
      <c r="A8307" t="s">
        <v>24655</v>
      </c>
      <c r="B8307" t="s">
        <v>24656</v>
      </c>
      <c r="C8307" t="s">
        <v>24657</v>
      </c>
      <c r="D8307" t="str">
        <f>HYPERLINK("https://github.com/applivery/applivery-android-sdk/issues/56","show")</f>
        <v>show</v>
      </c>
      <c r="E8307" t="str">
        <f>HYPERLINK("https://github.com/applivery/applivery-android-sdk","show")</f>
        <v>show</v>
      </c>
      <c r="F8307" t="str">
        <f>HYPERLINK("https://github.com/applivery/applivery-android-sdk/releases","show")</f>
        <v>show</v>
      </c>
    </row>
    <row r="8308" spans="1:6">
      <c r="A8308" t="s">
        <v>24658</v>
      </c>
      <c r="B8308" t="s">
        <v>24659</v>
      </c>
      <c r="C8308" t="s">
        <v>24660</v>
      </c>
      <c r="D8308" t="str">
        <f>HYPERLINK("https://github.com/applivery/applivery-android-sdk/issues/55","show")</f>
        <v>show</v>
      </c>
      <c r="E8308" t="str">
        <f>HYPERLINK("https://github.com/applivery/applivery-android-sdk","show")</f>
        <v>show</v>
      </c>
      <c r="F8308" t="str">
        <f>HYPERLINK("https://github.com/applivery/applivery-android-sdk/releases","show")</f>
        <v>show</v>
      </c>
    </row>
    <row r="8309" spans="1:6">
      <c r="A8309" t="s">
        <v>24661</v>
      </c>
      <c r="B8309" t="s">
        <v>24662</v>
      </c>
      <c r="C8309" t="s">
        <v>24663</v>
      </c>
      <c r="D8309" t="str">
        <f>HYPERLINK("https://github.com/material-components/material-components-android/issues/990","show")</f>
        <v>show</v>
      </c>
      <c r="E8309" t="str">
        <f>HYPERLINK("https://github.com/material-components/material-components-android","show")</f>
        <v>show</v>
      </c>
      <c r="F8309" t="str">
        <f>HYPERLINK("https://github.com/material-components/material-components-android/releases","show")</f>
        <v>show</v>
      </c>
    </row>
    <row r="8310" spans="1:6">
      <c r="A8310" t="s">
        <v>24664</v>
      </c>
      <c r="B8310" t="s">
        <v>24665</v>
      </c>
      <c r="C8310" t="s">
        <v>24666</v>
      </c>
      <c r="D8310" t="str">
        <f>HYPERLINK("https://github.com/jellyfin/jellyfin-androidtv/issues/296","show")</f>
        <v>show</v>
      </c>
      <c r="E8310" t="str">
        <f>HYPERLINK("https://github.com/jellyfin/jellyfin-androidtv","show")</f>
        <v>show</v>
      </c>
      <c r="F8310" t="str">
        <f>HYPERLINK("https://github.com/jellyfin/jellyfin-androidtv/releases","show")</f>
        <v>show</v>
      </c>
    </row>
    <row r="8311" spans="1:6">
      <c r="A8311" t="s">
        <v>24667</v>
      </c>
      <c r="B8311" t="s">
        <v>24668</v>
      </c>
      <c r="C8311" t="s">
        <v>24669</v>
      </c>
      <c r="D8311" t="str">
        <f>HYPERLINK("https://github.com/aprsworld/awat/issues/6","show")</f>
        <v>show</v>
      </c>
      <c r="E8311" t="str">
        <f>HYPERLINK("https://github.com/aprsworld/awat","show")</f>
        <v>show</v>
      </c>
      <c r="F8311" t="str">
        <f>HYPERLINK("https://github.com/aprsworld/awat/releases","show")</f>
        <v>show</v>
      </c>
    </row>
    <row r="8312" spans="1:6">
      <c r="A8312" t="s">
        <v>24670</v>
      </c>
      <c r="B8312" t="s">
        <v>24671</v>
      </c>
      <c r="C8312" t="s">
        <v>24672</v>
      </c>
      <c r="D8312" t="str">
        <f>HYPERLINK("https://github.com/TeamNewPipe/NewPipe/issues/3059","show")</f>
        <v>show</v>
      </c>
      <c r="E8312" t="str">
        <f>HYPERLINK("https://github.com/TeamNewPipe/NewPipe","show")</f>
        <v>show</v>
      </c>
      <c r="F8312" t="str">
        <f>HYPERLINK("https://github.com/TeamNewPipe/NewPipe/releases","show")</f>
        <v>show</v>
      </c>
    </row>
    <row r="8313" spans="1:6">
      <c r="A8313" t="s">
        <v>24673</v>
      </c>
      <c r="B8313" t="s">
        <v>24674</v>
      </c>
      <c r="C8313" t="s">
        <v>24675</v>
      </c>
      <c r="D8313" t="str">
        <f>HYPERLINK("https://github.com/material-components/material-components-android/issues/980","show")</f>
        <v>show</v>
      </c>
      <c r="E8313" t="str">
        <f>HYPERLINK("https://github.com/material-components/material-components-android","show")</f>
        <v>show</v>
      </c>
      <c r="F8313" t="str">
        <f>HYPERLINK("https://github.com/material-components/material-components-android/releases","show")</f>
        <v>show</v>
      </c>
    </row>
    <row r="8314" spans="1:6">
      <c r="A8314" t="s">
        <v>24676</v>
      </c>
      <c r="B8314" t="s">
        <v>24677</v>
      </c>
      <c r="C8314" t="s">
        <v>24678</v>
      </c>
      <c r="D8314" t="str">
        <f>HYPERLINK("https://github.com/nextcloud/android/issues/5394","show")</f>
        <v>show</v>
      </c>
      <c r="E8314" t="str">
        <f>HYPERLINK("https://github.com/nextcloud/android","show")</f>
        <v>show</v>
      </c>
      <c r="F8314" t="str">
        <f>HYPERLINK("https://github.com/nextcloud/android/releases","show")</f>
        <v>show</v>
      </c>
    </row>
    <row r="8315" spans="1:6">
      <c r="A8315" t="s">
        <v>24679</v>
      </c>
      <c r="B8315" t="s">
        <v>24680</v>
      </c>
      <c r="C8315" t="s">
        <v>24681</v>
      </c>
      <c r="D8315" t="str">
        <f>HYPERLINK("https://github.com/opensrp/opensrp-client-opd/issues/68","show")</f>
        <v>show</v>
      </c>
      <c r="E8315" t="str">
        <f>HYPERLINK("https://github.com/opensrp/opensrp-client-opd","show")</f>
        <v>show</v>
      </c>
      <c r="F8315" t="str">
        <f>HYPERLINK("https://github.com/opensrp/opensrp-client-opd/releases","show")</f>
        <v>show</v>
      </c>
    </row>
    <row r="8316" spans="1:6">
      <c r="A8316" t="s">
        <v>24682</v>
      </c>
      <c r="B8316" t="s">
        <v>24683</v>
      </c>
      <c r="C8316" t="s">
        <v>24684</v>
      </c>
      <c r="D8316" t="str">
        <f>HYPERLINK("https://github.com/square/okhttp/issues/5770","show")</f>
        <v>show</v>
      </c>
      <c r="E8316" t="str">
        <f>HYPERLINK("https://github.com/square/okhttp","show")</f>
        <v>show</v>
      </c>
      <c r="F8316" t="str">
        <f>HYPERLINK("https://github.com/square/okhttp/releases","show")</f>
        <v>show</v>
      </c>
    </row>
    <row r="8317" spans="1:6">
      <c r="A8317" t="s">
        <v>24685</v>
      </c>
      <c r="B8317" t="s">
        <v>24686</v>
      </c>
      <c r="C8317" t="s">
        <v>24687</v>
      </c>
      <c r="D8317" t="str">
        <f>HYPERLINK("https://github.com/ankidroid/Anki-Android/issues/5736","show")</f>
        <v>show</v>
      </c>
      <c r="E8317" t="str">
        <f>HYPERLINK("https://github.com/ankidroid/Anki-Android","show")</f>
        <v>show</v>
      </c>
      <c r="F8317" t="str">
        <f>HYPERLINK("https://github.com/ankidroid/Anki-Android/releases","show")</f>
        <v>show</v>
      </c>
    </row>
    <row r="8318" spans="1:6">
      <c r="A8318" t="s">
        <v>24688</v>
      </c>
      <c r="B8318" t="s">
        <v>24689</v>
      </c>
      <c r="C8318" t="s">
        <v>24690</v>
      </c>
      <c r="D8318" t="str">
        <f>HYPERLINK("https://github.com/nextcloud/android/issues/5391","show")</f>
        <v>show</v>
      </c>
      <c r="E8318" t="str">
        <f>HYPERLINK("https://github.com/nextcloud/android","show")</f>
        <v>show</v>
      </c>
      <c r="F8318" t="str">
        <f>HYPERLINK("https://github.com/nextcloud/android/releases","show")</f>
        <v>show</v>
      </c>
    </row>
    <row r="8319" spans="1:6">
      <c r="A8319" t="s">
        <v>24691</v>
      </c>
      <c r="B8319" t="s">
        <v>24692</v>
      </c>
      <c r="C8319" t="s">
        <v>24693</v>
      </c>
      <c r="D8319" t="str">
        <f>HYPERLINK("https://github.com/nextcloud/android/issues/5390","show")</f>
        <v>show</v>
      </c>
      <c r="E8319" t="str">
        <f>HYPERLINK("https://github.com/nextcloud/android","show")</f>
        <v>show</v>
      </c>
      <c r="F8319" t="str">
        <f>HYPERLINK("https://github.com/nextcloud/android/releases","show")</f>
        <v>show</v>
      </c>
    </row>
    <row r="8320" spans="1:6">
      <c r="A8320" t="s">
        <v>24694</v>
      </c>
      <c r="B8320" t="s">
        <v>24695</v>
      </c>
      <c r="C8320" t="s">
        <v>24696</v>
      </c>
      <c r="D8320" t="str">
        <f>HYPERLINK("https://github.com/nextcloud/android/issues/5380","show")</f>
        <v>show</v>
      </c>
      <c r="E8320" t="str">
        <f>HYPERLINK("https://github.com/nextcloud/android","show")</f>
        <v>show</v>
      </c>
      <c r="F8320" t="str">
        <f>HYPERLINK("https://github.com/nextcloud/android/releases","show")</f>
        <v>show</v>
      </c>
    </row>
    <row r="8321" spans="1:6">
      <c r="A8321" t="s">
        <v>24697</v>
      </c>
      <c r="B8321" t="s">
        <v>24698</v>
      </c>
      <c r="C8321" t="s">
        <v>24699</v>
      </c>
      <c r="D8321" t="str">
        <f>HYPERLINK("https://github.com/nextcloud/android/issues/5377","show")</f>
        <v>show</v>
      </c>
      <c r="E8321" t="str">
        <f>HYPERLINK("https://github.com/nextcloud/android","show")</f>
        <v>show</v>
      </c>
      <c r="F8321" t="str">
        <f>HYPERLINK("https://github.com/nextcloud/android/releases","show")</f>
        <v>show</v>
      </c>
    </row>
    <row r="8322" spans="1:6">
      <c r="A8322" t="s">
        <v>24700</v>
      </c>
      <c r="B8322" t="s">
        <v>24701</v>
      </c>
      <c r="C8322" t="s">
        <v>24702</v>
      </c>
      <c r="D8322" t="str">
        <f>HYPERLINK("https://github.com/TeamNewPipe/NewPipe/issues/3045","show")</f>
        <v>show</v>
      </c>
      <c r="E8322" t="str">
        <f>HYPERLINK("https://github.com/TeamNewPipe/NewPipe","show")</f>
        <v>show</v>
      </c>
      <c r="F8322" t="str">
        <f>HYPERLINK("https://github.com/TeamNewPipe/NewPipe/releases","show")</f>
        <v>show</v>
      </c>
    </row>
    <row r="8323" spans="1:6">
      <c r="A8323" t="s">
        <v>24703</v>
      </c>
      <c r="B8323" t="s">
        <v>24704</v>
      </c>
      <c r="C8323" t="s">
        <v>24705</v>
      </c>
      <c r="D8323" t="str">
        <f>HYPERLINK("https://github.com/nextcloud/android/issues/5373","show")</f>
        <v>show</v>
      </c>
      <c r="E8323" t="str">
        <f>HYPERLINK("https://github.com/nextcloud/android","show")</f>
        <v>show</v>
      </c>
      <c r="F8323" t="str">
        <f>HYPERLINK("https://github.com/nextcloud/android/releases","show")</f>
        <v>show</v>
      </c>
    </row>
    <row r="8324" spans="1:6">
      <c r="A8324" t="s">
        <v>24706</v>
      </c>
      <c r="B8324" t="s">
        <v>24707</v>
      </c>
      <c r="C8324" t="s">
        <v>24708</v>
      </c>
      <c r="D8324" t="str">
        <f>HYPERLINK("https://github.com/material-components/material-components-android/issues/969","show")</f>
        <v>show</v>
      </c>
      <c r="E8324" t="str">
        <f>HYPERLINK("https://github.com/material-components/material-components-android","show")</f>
        <v>show</v>
      </c>
      <c r="F8324" t="str">
        <f>HYPERLINK("https://github.com/material-components/material-components-android/releases","show")</f>
        <v>show</v>
      </c>
    </row>
    <row r="8325" spans="1:6">
      <c r="A8325" t="s">
        <v>24709</v>
      </c>
      <c r="B8325" t="s">
        <v>24710</v>
      </c>
      <c r="C8325" t="s">
        <v>24711</v>
      </c>
      <c r="D8325" t="str">
        <f>HYPERLINK("https://github.com/nextcloud/android/issues/5372","show")</f>
        <v>show</v>
      </c>
      <c r="E8325" t="str">
        <f>HYPERLINK("https://github.com/nextcloud/android","show")</f>
        <v>show</v>
      </c>
      <c r="F8325" t="str">
        <f>HYPERLINK("https://github.com/nextcloud/android/releases","show")</f>
        <v>show</v>
      </c>
    </row>
    <row r="8326" spans="1:6">
      <c r="A8326" t="s">
        <v>24712</v>
      </c>
      <c r="B8326" t="s">
        <v>24713</v>
      </c>
      <c r="C8326" t="s">
        <v>24714</v>
      </c>
      <c r="D8326" t="str">
        <f>HYPERLINK("https://github.com/commons-app/apps-android-commons/issues/3364","show")</f>
        <v>show</v>
      </c>
      <c r="E8326" t="str">
        <f>HYPERLINK("https://github.com/commons-app/apps-android-commons","show")</f>
        <v>show</v>
      </c>
      <c r="F8326" t="str">
        <f>HYPERLINK("https://github.com/commons-app/apps-android-commons/releases","show")</f>
        <v>show</v>
      </c>
    </row>
    <row r="8327" spans="1:6">
      <c r="A8327" t="s">
        <v>24715</v>
      </c>
      <c r="B8327" t="s">
        <v>24716</v>
      </c>
      <c r="C8327" t="s">
        <v>24717</v>
      </c>
      <c r="D8327" t="str">
        <f>HYPERLINK("https://github.com/nextcloud/android/issues/5370","show")</f>
        <v>show</v>
      </c>
      <c r="E8327" t="str">
        <f>HYPERLINK("https://github.com/nextcloud/android","show")</f>
        <v>show</v>
      </c>
      <c r="F8327" t="str">
        <f>HYPERLINK("https://github.com/nextcloud/android/releases","show")</f>
        <v>show</v>
      </c>
    </row>
    <row r="8328" spans="1:6">
      <c r="A8328" t="s">
        <v>24718</v>
      </c>
      <c r="B8328" t="s">
        <v>24719</v>
      </c>
      <c r="C8328" t="s">
        <v>24720</v>
      </c>
      <c r="D8328" t="str">
        <f>HYPERLINK("https://github.com/aws-amplify/aws-sdk-android/issues/1510","show")</f>
        <v>show</v>
      </c>
      <c r="E8328" t="str">
        <f>HYPERLINK("https://github.com/aws-amplify/aws-sdk-android","show")</f>
        <v>show</v>
      </c>
      <c r="F8328" t="str">
        <f>HYPERLINK("https://github.com/aws-amplify/aws-sdk-android/releases","show")</f>
        <v>show</v>
      </c>
    </row>
    <row r="8329" spans="1:6">
      <c r="A8329" t="s">
        <v>24721</v>
      </c>
      <c r="B8329" t="s">
        <v>24722</v>
      </c>
      <c r="C8329" t="s">
        <v>24723</v>
      </c>
      <c r="D8329" t="str">
        <f>HYPERLINK("https://github.com/zoontek/react-native-bootsplash/issues/58","show")</f>
        <v>show</v>
      </c>
      <c r="E8329" t="str">
        <f>HYPERLINK("https://github.com/zoontek/react-native-bootsplash","show")</f>
        <v>show</v>
      </c>
      <c r="F8329" t="str">
        <f>HYPERLINK("https://github.com/zoontek/react-native-bootsplash/releases","show")</f>
        <v>show</v>
      </c>
    </row>
    <row r="8330" spans="1:6">
      <c r="A8330" t="s">
        <v>24724</v>
      </c>
      <c r="B8330" t="s">
        <v>24725</v>
      </c>
      <c r="C8330" t="s">
        <v>24726</v>
      </c>
      <c r="D8330" t="str">
        <f>HYPERLINK("https://github.com/ElderDrivers/EdXposed/issues/456","show")</f>
        <v>show</v>
      </c>
      <c r="E8330" t="str">
        <f>HYPERLINK("https://github.com/ElderDrivers/EdXposed","show")</f>
        <v>show</v>
      </c>
      <c r="F8330" t="str">
        <f>HYPERLINK("https://github.com/ElderDrivers/EdXposed/releases","show")</f>
        <v>show</v>
      </c>
    </row>
    <row r="8331" spans="1:6">
      <c r="A8331" t="s">
        <v>24727</v>
      </c>
      <c r="B8331" t="s">
        <v>24728</v>
      </c>
      <c r="C8331" t="s">
        <v>24729</v>
      </c>
      <c r="D8331" t="str">
        <f>HYPERLINK("https://github.com/nextcloud/android/issues/5366","show")</f>
        <v>show</v>
      </c>
      <c r="E8331" t="str">
        <f>HYPERLINK("https://github.com/nextcloud/android","show")</f>
        <v>show</v>
      </c>
      <c r="F8331" t="str">
        <f>HYPERLINK("https://github.com/nextcloud/android/releases","show")</f>
        <v>show</v>
      </c>
    </row>
    <row r="8332" spans="1:6">
      <c r="A8332" t="s">
        <v>24730</v>
      </c>
      <c r="B8332" t="s">
        <v>24731</v>
      </c>
      <c r="C8332" t="s">
        <v>24732</v>
      </c>
      <c r="D8332" t="str">
        <f>HYPERLINK("https://github.com/armpatch/TrainingLog/issues/13","show")</f>
        <v>show</v>
      </c>
      <c r="E8332" t="str">
        <f>HYPERLINK("https://github.com/armpatch/TrainingLog","show")</f>
        <v>show</v>
      </c>
      <c r="F8332" t="str">
        <f>HYPERLINK("https://github.com/armpatch/TrainingLog/releases","show")</f>
        <v>show</v>
      </c>
    </row>
    <row r="8333" spans="1:6">
      <c r="A8333" t="s">
        <v>24733</v>
      </c>
      <c r="B8333" t="s">
        <v>24734</v>
      </c>
      <c r="C8333" t="s">
        <v>24735</v>
      </c>
      <c r="D8333" t="str">
        <f>HYPERLINK("https://github.com/nextcloud/android/issues/5364","show")</f>
        <v>show</v>
      </c>
      <c r="E8333" t="str">
        <f>HYPERLINK("https://github.com/nextcloud/android","show")</f>
        <v>show</v>
      </c>
      <c r="F8333" t="str">
        <f>HYPERLINK("https://github.com/nextcloud/android/releases","show")</f>
        <v>show</v>
      </c>
    </row>
    <row r="8334" spans="1:6">
      <c r="A8334" t="s">
        <v>24736</v>
      </c>
      <c r="B8334" t="s">
        <v>24737</v>
      </c>
      <c r="C8334" t="s">
        <v>24738</v>
      </c>
      <c r="D8334" t="str">
        <f>HYPERLINK("https://github.com/nextcloud/android/issues/5362","show")</f>
        <v>show</v>
      </c>
      <c r="E8334" t="str">
        <f>HYPERLINK("https://github.com/nextcloud/android","show")</f>
        <v>show</v>
      </c>
      <c r="F8334" t="str">
        <f>HYPERLINK("https://github.com/nextcloud/android/releases","show")</f>
        <v>show</v>
      </c>
    </row>
    <row r="8335" spans="1:6">
      <c r="A8335" t="s">
        <v>24739</v>
      </c>
      <c r="B8335" t="s">
        <v>24740</v>
      </c>
      <c r="C8335" t="s">
        <v>24741</v>
      </c>
      <c r="D8335" t="str">
        <f>HYPERLINK("https://github.com/nextcloud/android/issues/5356","show")</f>
        <v>show</v>
      </c>
      <c r="E8335" t="str">
        <f>HYPERLINK("https://github.com/nextcloud/android","show")</f>
        <v>show</v>
      </c>
      <c r="F8335" t="str">
        <f>HYPERLINK("https://github.com/nextcloud/android/releases","show")</f>
        <v>show</v>
      </c>
    </row>
    <row r="8336" spans="1:6">
      <c r="A8336" t="s">
        <v>24742</v>
      </c>
      <c r="B8336" t="s">
        <v>24743</v>
      </c>
      <c r="C8336" t="s">
        <v>24744</v>
      </c>
      <c r="D8336" t="str">
        <f>HYPERLINK("https://github.com/aws-amplify/aws-sdk-android/issues/1461","show")</f>
        <v>show</v>
      </c>
      <c r="E8336" t="str">
        <f>HYPERLINK("https://github.com/aws-amplify/aws-sdk-android","show")</f>
        <v>show</v>
      </c>
      <c r="F8336" t="str">
        <f>HYPERLINK("https://github.com/aws-amplify/aws-sdk-android/releases","show")</f>
        <v>show</v>
      </c>
    </row>
    <row r="8337" spans="1:6">
      <c r="A8337" t="s">
        <v>24745</v>
      </c>
      <c r="B8337" t="s">
        <v>24746</v>
      </c>
      <c r="C8337" t="s">
        <v>24747</v>
      </c>
      <c r="D8337" t="str">
        <f>HYPERLINK("https://github.com/fossasia/open-event-organizer-android/issues/2065","show")</f>
        <v>show</v>
      </c>
      <c r="E8337" t="str">
        <f>HYPERLINK("https://github.com/fossasia/open-event-organizer-android","show")</f>
        <v>show</v>
      </c>
      <c r="F8337" t="str">
        <f>HYPERLINK("https://github.com/fossasia/open-event-organizer-android/releases","show")</f>
        <v>show</v>
      </c>
    </row>
    <row r="8338" spans="1:6">
      <c r="A8338" t="s">
        <v>24748</v>
      </c>
      <c r="B8338" t="s">
        <v>24749</v>
      </c>
      <c r="C8338" t="s">
        <v>24750</v>
      </c>
      <c r="D8338" t="str">
        <f>HYPERLINK("https://github.com/ElderDrivers/EdXposed/issues/454","show")</f>
        <v>show</v>
      </c>
      <c r="E8338" t="str">
        <f>HYPERLINK("https://github.com/ElderDrivers/EdXposed","show")</f>
        <v>show</v>
      </c>
      <c r="F8338" t="str">
        <f>HYPERLINK("https://github.com/ElderDrivers/EdXposed/releases","show")</f>
        <v>show</v>
      </c>
    </row>
    <row r="8339" spans="1:6">
      <c r="A8339" t="s">
        <v>24751</v>
      </c>
      <c r="B8339" t="s">
        <v>24752</v>
      </c>
      <c r="C8339" t="s">
        <v>24753</v>
      </c>
      <c r="D8339" t="str">
        <f>HYPERLINK("https://github.com/renyuneyun/Easer/issues/322","show")</f>
        <v>show</v>
      </c>
      <c r="E8339" t="str">
        <f>HYPERLINK("https://github.com/renyuneyun/Easer","show")</f>
        <v>show</v>
      </c>
      <c r="F8339" t="str">
        <f>HYPERLINK("https://github.com/renyuneyun/Easer/releases","show")</f>
        <v>show</v>
      </c>
    </row>
    <row r="8340" spans="1:6">
      <c r="A8340" t="s">
        <v>24754</v>
      </c>
      <c r="B8340" t="s">
        <v>24755</v>
      </c>
      <c r="C8340" t="s">
        <v>24756</v>
      </c>
      <c r="D8340" t="str">
        <f>HYPERLINK("https://github.com/getodk/collect/issues/3615","show")</f>
        <v>show</v>
      </c>
      <c r="E8340" t="str">
        <f>HYPERLINK("https://github.com/getodk/collect","show")</f>
        <v>show</v>
      </c>
      <c r="F8340" t="str">
        <f>HYPERLINK("https://github.com/getodk/collect/releases","show")</f>
        <v>show</v>
      </c>
    </row>
    <row r="8341" spans="1:6">
      <c r="A8341" t="s">
        <v>24757</v>
      </c>
      <c r="B8341" t="s">
        <v>24758</v>
      </c>
      <c r="C8341" t="s">
        <v>24759</v>
      </c>
      <c r="D8341" t="str">
        <f>HYPERLINK("https://github.com/OpenArchive/Save-app-android/issues/204","show")</f>
        <v>show</v>
      </c>
      <c r="E8341" t="str">
        <f>HYPERLINK("https://github.com/OpenArchive/Save-app-android","show")</f>
        <v>show</v>
      </c>
      <c r="F8341" t="str">
        <f>HYPERLINK("https://github.com/OpenArchive/Save-app-android/releases","show")</f>
        <v>show</v>
      </c>
    </row>
    <row r="8342" spans="1:6">
      <c r="A8342" t="s">
        <v>24760</v>
      </c>
      <c r="B8342" t="s">
        <v>24761</v>
      </c>
      <c r="C8342" t="s">
        <v>24762</v>
      </c>
      <c r="D8342" t="str">
        <f>HYPERLINK("https://github.com/ElderDrivers/EdXposed/issues/453","show")</f>
        <v>show</v>
      </c>
      <c r="E8342" t="str">
        <f>HYPERLINK("https://github.com/ElderDrivers/EdXposed","show")</f>
        <v>show</v>
      </c>
      <c r="F8342" t="str">
        <f>HYPERLINK("https://github.com/ElderDrivers/EdXposed/releases","show")</f>
        <v>show</v>
      </c>
    </row>
    <row r="8343" spans="1:6">
      <c r="A8343" t="s">
        <v>24763</v>
      </c>
      <c r="B8343" t="s">
        <v>24764</v>
      </c>
      <c r="C8343" t="s">
        <v>24765</v>
      </c>
      <c r="D8343" t="str">
        <f>HYPERLINK("https://github.com/ankidroid/Anki-Android/issues/5731","show")</f>
        <v>show</v>
      </c>
      <c r="E8343" t="str">
        <f>HYPERLINK("https://github.com/ankidroid/Anki-Android","show")</f>
        <v>show</v>
      </c>
      <c r="F8343" t="str">
        <f>HYPERLINK("https://github.com/ankidroid/Anki-Android/releases","show")</f>
        <v>show</v>
      </c>
    </row>
    <row r="8344" spans="1:6">
      <c r="A8344" t="s">
        <v>24766</v>
      </c>
      <c r="B8344" t="s">
        <v>24767</v>
      </c>
      <c r="C8344" t="s">
        <v>24768</v>
      </c>
      <c r="D8344" t="str">
        <f>HYPERLINK("https://github.com/enviroCar/enviroCar-app/issues/389","show")</f>
        <v>show</v>
      </c>
      <c r="E8344" t="str">
        <f>HYPERLINK("https://github.com/enviroCar/enviroCar-app","show")</f>
        <v>show</v>
      </c>
      <c r="F8344" t="str">
        <f>HYPERLINK("https://github.com/enviroCar/enviroCar-app/releases","show")</f>
        <v>show</v>
      </c>
    </row>
    <row r="8345" spans="1:6">
      <c r="A8345" t="s">
        <v>24769</v>
      </c>
      <c r="B8345" t="s">
        <v>24770</v>
      </c>
      <c r="C8345" t="s">
        <v>24771</v>
      </c>
      <c r="D8345" t="str">
        <f>HYPERLINK("https://github.com/particle-iot/particle-android/issues/94","show")</f>
        <v>show</v>
      </c>
      <c r="E8345" t="str">
        <f>HYPERLINK("https://github.com/particle-iot/particle-android","show")</f>
        <v>show</v>
      </c>
      <c r="F8345" t="str">
        <f>HYPERLINK("https://github.com/particle-iot/particle-android/releases","show")</f>
        <v>show</v>
      </c>
    </row>
    <row r="8346" spans="1:6">
      <c r="A8346" t="s">
        <v>24772</v>
      </c>
      <c r="B8346" t="s">
        <v>6843</v>
      </c>
      <c r="C8346" t="s">
        <v>24773</v>
      </c>
      <c r="D8346" t="str">
        <f>HYPERLINK("https://github.com/nextcloud/android/issues/5348","show")</f>
        <v>show</v>
      </c>
      <c r="E8346" t="str">
        <f>HYPERLINK("https://github.com/nextcloud/android","show")</f>
        <v>show</v>
      </c>
      <c r="F8346" t="str">
        <f>HYPERLINK("https://github.com/nextcloud/android/releases","show")</f>
        <v>show</v>
      </c>
    </row>
    <row r="8347" spans="1:6">
      <c r="A8347" t="s">
        <v>24774</v>
      </c>
      <c r="B8347" t="s">
        <v>24775</v>
      </c>
      <c r="C8347" t="s">
        <v>24776</v>
      </c>
      <c r="D8347" t="str">
        <f>HYPERLINK("https://github.com/nextcloud/android/issues/5344","show")</f>
        <v>show</v>
      </c>
      <c r="E8347" t="str">
        <f>HYPERLINK("https://github.com/nextcloud/android","show")</f>
        <v>show</v>
      </c>
      <c r="F8347" t="str">
        <f>HYPERLINK("https://github.com/nextcloud/android/releases","show")</f>
        <v>show</v>
      </c>
    </row>
    <row r="8348" spans="1:6">
      <c r="A8348" t="s">
        <v>24777</v>
      </c>
      <c r="B8348" t="s">
        <v>24778</v>
      </c>
      <c r="C8348" t="s">
        <v>24779</v>
      </c>
      <c r="D8348" t="str">
        <f>HYPERLINK("https://github.com/k9mail/k-9/issues/4488","show")</f>
        <v>show</v>
      </c>
      <c r="E8348" t="str">
        <f>HYPERLINK("https://github.com/k9mail/k-9","show")</f>
        <v>show</v>
      </c>
      <c r="F8348" t="str">
        <f>HYPERLINK("https://github.com/k9mail/k-9/releases","show")</f>
        <v>show</v>
      </c>
    </row>
    <row r="8349" spans="1:6">
      <c r="A8349" t="s">
        <v>24780</v>
      </c>
      <c r="B8349" t="s">
        <v>24781</v>
      </c>
      <c r="C8349" t="s">
        <v>24782</v>
      </c>
      <c r="D8349" t="str">
        <f>HYPERLINK("https://github.com/TeamNewPipe/NewPipe/issues/3023","show")</f>
        <v>show</v>
      </c>
      <c r="E8349" t="str">
        <f>HYPERLINK("https://github.com/TeamNewPipe/NewPipe","show")</f>
        <v>show</v>
      </c>
      <c r="F8349" t="str">
        <f>HYPERLINK("https://github.com/TeamNewPipe/NewPipe/releases","show")</f>
        <v>show</v>
      </c>
    </row>
    <row r="8350" spans="1:6">
      <c r="A8350" t="s">
        <v>24783</v>
      </c>
      <c r="B8350" t="s">
        <v>24784</v>
      </c>
      <c r="C8350" t="s">
        <v>24785</v>
      </c>
      <c r="D8350" t="str">
        <f>HYPERLINK("https://github.com/commons-app/apps-android-commons/issues/3352","show")</f>
        <v>show</v>
      </c>
      <c r="E8350" t="str">
        <f>HYPERLINK("https://github.com/commons-app/apps-android-commons","show")</f>
        <v>show</v>
      </c>
      <c r="F8350" t="str">
        <f>HYPERLINK("https://github.com/commons-app/apps-android-commons/releases","show")</f>
        <v>show</v>
      </c>
    </row>
    <row r="8351" spans="1:6">
      <c r="A8351" t="s">
        <v>24786</v>
      </c>
      <c r="B8351" t="s">
        <v>24787</v>
      </c>
      <c r="C8351" t="s">
        <v>24788</v>
      </c>
      <c r="D8351" t="str">
        <f>HYPERLINK("https://github.com/inaturalist/iNaturalistAndroid/issues/773","show")</f>
        <v>show</v>
      </c>
      <c r="E8351" t="str">
        <f>HYPERLINK("https://github.com/inaturalist/iNaturalistAndroid","show")</f>
        <v>show</v>
      </c>
      <c r="F8351" t="str">
        <f>HYPERLINK("https://github.com/inaturalist/iNaturalistAndroid/releases","show")</f>
        <v>show</v>
      </c>
    </row>
    <row r="8352" spans="1:6">
      <c r="A8352" t="s">
        <v>24789</v>
      </c>
      <c r="B8352" t="s">
        <v>24790</v>
      </c>
      <c r="C8352" t="s">
        <v>24791</v>
      </c>
      <c r="D8352" t="str">
        <f>HYPERLINK("https://github.com/nextcloud/android/issues/5334","show")</f>
        <v>show</v>
      </c>
      <c r="E8352" t="str">
        <f>HYPERLINK("https://github.com/nextcloud/android","show")</f>
        <v>show</v>
      </c>
      <c r="F8352" t="str">
        <f>HYPERLINK("https://github.com/nextcloud/android/releases","show")</f>
        <v>show</v>
      </c>
    </row>
    <row r="8353" spans="1:6">
      <c r="A8353" t="s">
        <v>24792</v>
      </c>
      <c r="B8353" t="s">
        <v>24793</v>
      </c>
      <c r="C8353" t="s">
        <v>24794</v>
      </c>
      <c r="D8353" t="str">
        <f>HYPERLINK("https://github.com/MiKinshu/SilverBook/issues/28","show")</f>
        <v>show</v>
      </c>
      <c r="E8353" t="str">
        <f>HYPERLINK("https://github.com/MiKinshu/SilverBook","show")</f>
        <v>show</v>
      </c>
      <c r="F8353" t="str">
        <f>HYPERLINK("https://github.com/MiKinshu/SilverBook/releases","show")</f>
        <v>show</v>
      </c>
    </row>
    <row r="8354" spans="1:6">
      <c r="A8354" t="s">
        <v>24795</v>
      </c>
      <c r="B8354" t="s">
        <v>24796</v>
      </c>
      <c r="C8354" t="s">
        <v>24797</v>
      </c>
      <c r="D8354" t="str">
        <f>HYPERLINK("https://github.com/TeamNewPipe/NewPipe/issues/3015","show")</f>
        <v>show</v>
      </c>
      <c r="E8354" t="str">
        <f>HYPERLINK("https://github.com/TeamNewPipe/NewPipe","show")</f>
        <v>show</v>
      </c>
      <c r="F8354" t="str">
        <f>HYPERLINK("https://github.com/TeamNewPipe/NewPipe/releases","show")</f>
        <v>show</v>
      </c>
    </row>
    <row r="8355" spans="1:6">
      <c r="A8355" t="s">
        <v>24798</v>
      </c>
      <c r="B8355" t="s">
        <v>24799</v>
      </c>
      <c r="C8355" t="s">
        <v>24800</v>
      </c>
      <c r="D8355" t="str">
        <f>HYPERLINK("https://github.com/nextcloud/android/issues/5319","show")</f>
        <v>show</v>
      </c>
      <c r="E8355" t="str">
        <f t="shared" ref="E8355:E8360" si="40">HYPERLINK("https://github.com/nextcloud/android","show")</f>
        <v>show</v>
      </c>
      <c r="F8355" t="str">
        <f t="shared" ref="F8355:F8360" si="41">HYPERLINK("https://github.com/nextcloud/android/releases","show")</f>
        <v>show</v>
      </c>
    </row>
    <row r="8356" spans="1:6">
      <c r="A8356" t="s">
        <v>24801</v>
      </c>
      <c r="B8356" t="s">
        <v>24802</v>
      </c>
      <c r="C8356" t="s">
        <v>24803</v>
      </c>
      <c r="D8356" t="str">
        <f>HYPERLINK("https://github.com/nextcloud/android/issues/5318","show")</f>
        <v>show</v>
      </c>
      <c r="E8356" t="str">
        <f t="shared" si="40"/>
        <v>show</v>
      </c>
      <c r="F8356" t="str">
        <f t="shared" si="41"/>
        <v>show</v>
      </c>
    </row>
    <row r="8357" spans="1:6">
      <c r="A8357" t="s">
        <v>24804</v>
      </c>
      <c r="B8357" t="s">
        <v>24805</v>
      </c>
      <c r="C8357" t="s">
        <v>24806</v>
      </c>
      <c r="D8357" t="str">
        <f>HYPERLINK("https://github.com/nextcloud/android/issues/5317","show")</f>
        <v>show</v>
      </c>
      <c r="E8357" t="str">
        <f t="shared" si="40"/>
        <v>show</v>
      </c>
      <c r="F8357" t="str">
        <f t="shared" si="41"/>
        <v>show</v>
      </c>
    </row>
    <row r="8358" spans="1:6">
      <c r="A8358" t="s">
        <v>24807</v>
      </c>
      <c r="B8358" t="s">
        <v>24391</v>
      </c>
      <c r="C8358" t="s">
        <v>24808</v>
      </c>
      <c r="D8358" t="str">
        <f>HYPERLINK("https://github.com/nextcloud/android/issues/5309","show")</f>
        <v>show</v>
      </c>
      <c r="E8358" t="str">
        <f t="shared" si="40"/>
        <v>show</v>
      </c>
      <c r="F8358" t="str">
        <f t="shared" si="41"/>
        <v>show</v>
      </c>
    </row>
    <row r="8359" spans="1:6">
      <c r="A8359" t="s">
        <v>24809</v>
      </c>
      <c r="B8359" t="s">
        <v>24810</v>
      </c>
      <c r="C8359" t="s">
        <v>24811</v>
      </c>
      <c r="D8359" t="str">
        <f>HYPERLINK("https://github.com/nextcloud/android/issues/5308","show")</f>
        <v>show</v>
      </c>
      <c r="E8359" t="str">
        <f t="shared" si="40"/>
        <v>show</v>
      </c>
      <c r="F8359" t="str">
        <f t="shared" si="41"/>
        <v>show</v>
      </c>
    </row>
    <row r="8360" spans="1:6">
      <c r="A8360" t="s">
        <v>24812</v>
      </c>
      <c r="B8360" t="s">
        <v>24813</v>
      </c>
      <c r="C8360" t="s">
        <v>24814</v>
      </c>
      <c r="D8360" t="str">
        <f>HYPERLINK("https://github.com/nextcloud/android/issues/5305","show")</f>
        <v>show</v>
      </c>
      <c r="E8360" t="str">
        <f t="shared" si="40"/>
        <v>show</v>
      </c>
      <c r="F8360" t="str">
        <f t="shared" si="41"/>
        <v>show</v>
      </c>
    </row>
    <row r="8361" spans="1:6">
      <c r="A8361" t="s">
        <v>24815</v>
      </c>
      <c r="B8361" t="s">
        <v>24816</v>
      </c>
      <c r="C8361" t="s">
        <v>24817</v>
      </c>
      <c r="D8361" t="str">
        <f>HYPERLINK("https://github.com/react-native-share/react-native-share/issues/687","show")</f>
        <v>show</v>
      </c>
      <c r="E8361" t="str">
        <f>HYPERLINK("https://github.com/react-native-share/react-native-share","show")</f>
        <v>show</v>
      </c>
      <c r="F8361" t="str">
        <f>HYPERLINK("https://github.com/react-native-share/react-native-share/releases","show")</f>
        <v>show</v>
      </c>
    </row>
    <row r="8362" spans="1:6">
      <c r="A8362" t="s">
        <v>24818</v>
      </c>
      <c r="B8362" t="s">
        <v>24819</v>
      </c>
      <c r="C8362" t="s">
        <v>24820</v>
      </c>
      <c r="D8362" t="str">
        <f>HYPERLINK("https://github.com/nextcloud/android/issues/5302","show")</f>
        <v>show</v>
      </c>
      <c r="E8362" t="str">
        <f>HYPERLINK("https://github.com/nextcloud/android","show")</f>
        <v>show</v>
      </c>
      <c r="F8362" t="str">
        <f>HYPERLINK("https://github.com/nextcloud/android/releases","show")</f>
        <v>show</v>
      </c>
    </row>
    <row r="8363" spans="1:6">
      <c r="A8363" t="s">
        <v>24821</v>
      </c>
      <c r="B8363" t="s">
        <v>24822</v>
      </c>
      <c r="C8363" t="s">
        <v>24823</v>
      </c>
      <c r="D8363" t="str">
        <f>HYPERLINK("https://github.com/GrapheneOS/Auditor/issues/64","show")</f>
        <v>show</v>
      </c>
      <c r="E8363" t="str">
        <f>HYPERLINK("https://github.com/GrapheneOS/Auditor","show")</f>
        <v>show</v>
      </c>
      <c r="F8363" t="str">
        <f>HYPERLINK("https://github.com/GrapheneOS/Auditor/releases","show")</f>
        <v>show</v>
      </c>
    </row>
    <row r="8364" spans="1:6">
      <c r="A8364" t="s">
        <v>24824</v>
      </c>
      <c r="B8364" t="s">
        <v>24825</v>
      </c>
      <c r="C8364" t="s">
        <v>24826</v>
      </c>
      <c r="D8364" t="str">
        <f>HYPERLINK("https://github.com/fossasia/phimpme-android/issues/2991","show")</f>
        <v>show</v>
      </c>
      <c r="E8364" t="str">
        <f>HYPERLINK("https://github.com/fossasia/phimpme-android","show")</f>
        <v>show</v>
      </c>
      <c r="F8364" t="str">
        <f>HYPERLINK("https://github.com/fossasia/phimpme-android/releases","show")</f>
        <v>show</v>
      </c>
    </row>
    <row r="8365" spans="1:6">
      <c r="A8365" t="s">
        <v>24827</v>
      </c>
      <c r="B8365" t="s">
        <v>24828</v>
      </c>
      <c r="C8365" t="s">
        <v>24829</v>
      </c>
      <c r="D8365" t="str">
        <f>HYPERLINK("https://github.com/HarvestProfit/react-native-rectangle-scanner/issues/8","show")</f>
        <v>show</v>
      </c>
      <c r="E8365" t="str">
        <f>HYPERLINK("https://github.com/HarvestProfit/react-native-rectangle-scanner","show")</f>
        <v>show</v>
      </c>
      <c r="F8365" t="str">
        <f>HYPERLINK("https://github.com/HarvestProfit/react-native-rectangle-scanner/releases","show")</f>
        <v>show</v>
      </c>
    </row>
    <row r="8366" spans="1:6">
      <c r="A8366" t="s">
        <v>24830</v>
      </c>
      <c r="B8366" t="s">
        <v>24831</v>
      </c>
      <c r="C8366" t="s">
        <v>24832</v>
      </c>
      <c r="D8366" t="str">
        <f>HYPERLINK("https://github.com/material-components/material-components-android/issues/937","show")</f>
        <v>show</v>
      </c>
      <c r="E8366" t="str">
        <f>HYPERLINK("https://github.com/material-components/material-components-android","show")</f>
        <v>show</v>
      </c>
      <c r="F8366" t="str">
        <f>HYPERLINK("https://github.com/material-components/material-components-android/releases","show")</f>
        <v>show</v>
      </c>
    </row>
    <row r="8367" spans="1:6">
      <c r="A8367" t="s">
        <v>24833</v>
      </c>
      <c r="B8367" t="s">
        <v>24834</v>
      </c>
      <c r="C8367" t="s">
        <v>24835</v>
      </c>
      <c r="D8367" t="str">
        <f>HYPERLINK("https://github.com/nextcloud/android/issues/5295","show")</f>
        <v>show</v>
      </c>
      <c r="E8367" t="str">
        <f>HYPERLINK("https://github.com/nextcloud/android","show")</f>
        <v>show</v>
      </c>
      <c r="F8367" t="str">
        <f>HYPERLINK("https://github.com/nextcloud/android/releases","show")</f>
        <v>show</v>
      </c>
    </row>
    <row r="8368" spans="1:6">
      <c r="A8368" t="s">
        <v>24836</v>
      </c>
      <c r="B8368" t="s">
        <v>24837</v>
      </c>
      <c r="C8368" t="s">
        <v>24838</v>
      </c>
      <c r="D8368" t="str">
        <f>HYPERLINK("https://github.com/fossasia/phimpme-android/issues/2990","show")</f>
        <v>show</v>
      </c>
      <c r="E8368" t="str">
        <f>HYPERLINK("https://github.com/fossasia/phimpme-android","show")</f>
        <v>show</v>
      </c>
      <c r="F8368" t="str">
        <f>HYPERLINK("https://github.com/fossasia/phimpme-android/releases","show")</f>
        <v>show</v>
      </c>
    </row>
    <row r="8369" spans="1:6">
      <c r="A8369" t="s">
        <v>24839</v>
      </c>
      <c r="B8369" t="s">
        <v>24840</v>
      </c>
      <c r="C8369" t="s">
        <v>24841</v>
      </c>
      <c r="D8369" t="str">
        <f>HYPERLINK("https://github.com/fossasia/phimpme-android/issues/2989","show")</f>
        <v>show</v>
      </c>
      <c r="E8369" t="str">
        <f>HYPERLINK("https://github.com/fossasia/phimpme-android","show")</f>
        <v>show</v>
      </c>
      <c r="F8369" t="str">
        <f>HYPERLINK("https://github.com/fossasia/phimpme-android/releases","show")</f>
        <v>show</v>
      </c>
    </row>
    <row r="8370" spans="1:6">
      <c r="A8370" t="s">
        <v>24842</v>
      </c>
      <c r="B8370" t="s">
        <v>24843</v>
      </c>
      <c r="C8370" t="s">
        <v>24844</v>
      </c>
      <c r="D8370" t="str">
        <f>HYPERLINK("https://github.com/TeamNewPipe/NewPipe/issues/2979","show")</f>
        <v>show</v>
      </c>
      <c r="E8370" t="str">
        <f>HYPERLINK("https://github.com/TeamNewPipe/NewPipe","show")</f>
        <v>show</v>
      </c>
      <c r="F8370" t="str">
        <f>HYPERLINK("https://github.com/TeamNewPipe/NewPipe/releases","show")</f>
        <v>show</v>
      </c>
    </row>
    <row r="8371" spans="1:6">
      <c r="A8371" t="s">
        <v>24845</v>
      </c>
      <c r="B8371" t="s">
        <v>24846</v>
      </c>
      <c r="C8371" t="s">
        <v>24847</v>
      </c>
      <c r="D8371" t="str">
        <f>HYPERLINK("https://github.com/Piwigo/Piwigo-Android/issues/243","show")</f>
        <v>show</v>
      </c>
      <c r="E8371" t="str">
        <f>HYPERLINK("https://github.com/Piwigo/Piwigo-Android","show")</f>
        <v>show</v>
      </c>
      <c r="F8371" t="str">
        <f>HYPERLINK("https://github.com/Piwigo/Piwigo-Android/releases","show")</f>
        <v>show</v>
      </c>
    </row>
    <row r="8372" spans="1:6">
      <c r="A8372" t="s">
        <v>24848</v>
      </c>
      <c r="B8372" t="s">
        <v>24849</v>
      </c>
      <c r="C8372" t="s">
        <v>24850</v>
      </c>
      <c r="D8372" t="str">
        <f>HYPERLINK("https://github.com/amzn/exoplayer-amazon-port/issues/99","show")</f>
        <v>show</v>
      </c>
      <c r="E8372" t="str">
        <f>HYPERLINK("https://github.com/amzn/exoplayer-amazon-port","show")</f>
        <v>show</v>
      </c>
      <c r="F8372" t="str">
        <f>HYPERLINK("https://github.com/amzn/exoplayer-amazon-port/releases","show")</f>
        <v>show</v>
      </c>
    </row>
    <row r="8373" spans="1:6">
      <c r="A8373" t="s">
        <v>24851</v>
      </c>
      <c r="B8373" t="s">
        <v>24852</v>
      </c>
      <c r="C8373" t="s">
        <v>24853</v>
      </c>
      <c r="D8373" t="str">
        <f>HYPERLINK("https://github.com/commons-app/apps-android-commons/issues/3335","show")</f>
        <v>show</v>
      </c>
      <c r="E8373" t="str">
        <f>HYPERLINK("https://github.com/commons-app/apps-android-commons","show")</f>
        <v>show</v>
      </c>
      <c r="F8373" t="str">
        <f>HYPERLINK("https://github.com/commons-app/apps-android-commons/releases","show")</f>
        <v>show</v>
      </c>
    </row>
    <row r="8374" spans="1:6">
      <c r="A8374" t="s">
        <v>24854</v>
      </c>
      <c r="B8374" t="s">
        <v>24855</v>
      </c>
      <c r="C8374" t="s">
        <v>24856</v>
      </c>
      <c r="D8374" t="str">
        <f>HYPERLINK("https://github.com/OpenArchive/Save-app-android/issues/199","show")</f>
        <v>show</v>
      </c>
      <c r="E8374" t="str">
        <f>HYPERLINK("https://github.com/OpenArchive/Save-app-android","show")</f>
        <v>show</v>
      </c>
      <c r="F8374" t="str">
        <f>HYPERLINK("https://github.com/OpenArchive/Save-app-android/releases","show")</f>
        <v>show</v>
      </c>
    </row>
    <row r="8375" spans="1:6">
      <c r="A8375" t="s">
        <v>24857</v>
      </c>
      <c r="B8375" t="s">
        <v>24858</v>
      </c>
      <c r="C8375" t="s">
        <v>24859</v>
      </c>
      <c r="D8375" t="str">
        <f>HYPERLINK("https://github.com/Zhuinden/simple-stack/issues/215","show")</f>
        <v>show</v>
      </c>
      <c r="E8375" t="str">
        <f>HYPERLINK("https://github.com/Zhuinden/simple-stack","show")</f>
        <v>show</v>
      </c>
      <c r="F8375" t="str">
        <f>HYPERLINK("https://github.com/Zhuinden/simple-stack/releases","show")</f>
        <v>show</v>
      </c>
    </row>
    <row r="8376" spans="1:6">
      <c r="A8376" t="s">
        <v>24860</v>
      </c>
      <c r="B8376" t="s">
        <v>24861</v>
      </c>
      <c r="C8376" t="s">
        <v>24862</v>
      </c>
      <c r="D8376" t="str">
        <f>HYPERLINK("https://github.com/nextcloud/android/issues/5258","show")</f>
        <v>show</v>
      </c>
      <c r="E8376" t="str">
        <f>HYPERLINK("https://github.com/nextcloud/android","show")</f>
        <v>show</v>
      </c>
      <c r="F8376" t="str">
        <f>HYPERLINK("https://github.com/nextcloud/android/releases","show")</f>
        <v>show</v>
      </c>
    </row>
    <row r="8377" spans="1:6">
      <c r="A8377" t="s">
        <v>24863</v>
      </c>
      <c r="B8377" t="s">
        <v>24864</v>
      </c>
      <c r="C8377" t="s">
        <v>24865</v>
      </c>
      <c r="D8377" t="str">
        <f>HYPERLINK("https://github.com/nextcloud/android/issues/5250","show")</f>
        <v>show</v>
      </c>
      <c r="E8377" t="str">
        <f>HYPERLINK("https://github.com/nextcloud/android","show")</f>
        <v>show</v>
      </c>
      <c r="F8377" t="str">
        <f>HYPERLINK("https://github.com/nextcloud/android/releases","show")</f>
        <v>show</v>
      </c>
    </row>
    <row r="8378" spans="1:6">
      <c r="A8378" t="s">
        <v>24866</v>
      </c>
      <c r="B8378" t="s">
        <v>24867</v>
      </c>
      <c r="C8378" t="s">
        <v>24868</v>
      </c>
      <c r="D8378" t="str">
        <f>HYPERLINK("https://github.com/material-components/material-components-android/issues/925","show")</f>
        <v>show</v>
      </c>
      <c r="E8378" t="str">
        <f>HYPERLINK("https://github.com/material-components/material-components-android","show")</f>
        <v>show</v>
      </c>
      <c r="F8378" t="str">
        <f>HYPERLINK("https://github.com/material-components/material-components-android/releases","show")</f>
        <v>show</v>
      </c>
    </row>
    <row r="8379" spans="1:6">
      <c r="A8379" t="s">
        <v>24869</v>
      </c>
      <c r="B8379" t="s">
        <v>24870</v>
      </c>
      <c r="C8379" t="s">
        <v>24871</v>
      </c>
      <c r="D8379" t="str">
        <f>HYPERLINK("https://github.com/nextcloud/android/issues/5245","show")</f>
        <v>show</v>
      </c>
      <c r="E8379" t="str">
        <f>HYPERLINK("https://github.com/nextcloud/android","show")</f>
        <v>show</v>
      </c>
      <c r="F8379" t="str">
        <f>HYPERLINK("https://github.com/nextcloud/android/releases","show")</f>
        <v>show</v>
      </c>
    </row>
    <row r="8380" spans="1:6">
      <c r="A8380" t="s">
        <v>24872</v>
      </c>
      <c r="B8380" t="s">
        <v>24873</v>
      </c>
      <c r="C8380" t="s">
        <v>24874</v>
      </c>
      <c r="D8380" t="str">
        <f>HYPERLINK("https://github.com/nextcloud/android/issues/5241","show")</f>
        <v>show</v>
      </c>
      <c r="E8380" t="str">
        <f>HYPERLINK("https://github.com/nextcloud/android","show")</f>
        <v>show</v>
      </c>
      <c r="F8380" t="str">
        <f>HYPERLINK("https://github.com/nextcloud/android/releases","show")</f>
        <v>show</v>
      </c>
    </row>
    <row r="8381" spans="1:6">
      <c r="A8381" t="s">
        <v>24875</v>
      </c>
      <c r="B8381" t="s">
        <v>24876</v>
      </c>
      <c r="C8381" t="s">
        <v>24877</v>
      </c>
      <c r="D8381" t="str">
        <f>HYPERLINK("https://github.com/material-components/material-components-android/issues/923","show")</f>
        <v>show</v>
      </c>
      <c r="E8381" t="str">
        <f>HYPERLINK("https://github.com/material-components/material-components-android","show")</f>
        <v>show</v>
      </c>
      <c r="F8381" t="str">
        <f>HYPERLINK("https://github.com/material-components/material-components-android/releases","show")</f>
        <v>show</v>
      </c>
    </row>
    <row r="8382" spans="1:6">
      <c r="A8382" t="s">
        <v>24878</v>
      </c>
      <c r="B8382" t="s">
        <v>24879</v>
      </c>
      <c r="C8382" t="s">
        <v>24880</v>
      </c>
      <c r="D8382" t="str">
        <f>HYPERLINK("https://github.com/nextcloud/android/issues/5240","show")</f>
        <v>show</v>
      </c>
      <c r="E8382" t="str">
        <f>HYPERLINK("https://github.com/nextcloud/android","show")</f>
        <v>show</v>
      </c>
      <c r="F8382" t="str">
        <f>HYPERLINK("https://github.com/nextcloud/android/releases","show")</f>
        <v>show</v>
      </c>
    </row>
    <row r="8383" spans="1:6">
      <c r="A8383" t="s">
        <v>24881</v>
      </c>
      <c r="B8383" t="s">
        <v>24882</v>
      </c>
      <c r="C8383" t="s">
        <v>24883</v>
      </c>
      <c r="D8383" t="str">
        <f>HYPERLINK("https://github.com/nextcloud/android/issues/5239","show")</f>
        <v>show</v>
      </c>
      <c r="E8383" t="str">
        <f>HYPERLINK("https://github.com/nextcloud/android","show")</f>
        <v>show</v>
      </c>
      <c r="F8383" t="str">
        <f>HYPERLINK("https://github.com/nextcloud/android/releases","show")</f>
        <v>show</v>
      </c>
    </row>
    <row r="8384" spans="1:6">
      <c r="A8384" t="s">
        <v>24884</v>
      </c>
      <c r="B8384" t="s">
        <v>24885</v>
      </c>
      <c r="C8384" t="s">
        <v>24886</v>
      </c>
      <c r="D8384" t="str">
        <f>HYPERLINK("https://github.com/nextcloud/android/issues/5237","show")</f>
        <v>show</v>
      </c>
      <c r="E8384" t="str">
        <f>HYPERLINK("https://github.com/nextcloud/android","show")</f>
        <v>show</v>
      </c>
      <c r="F8384" t="str">
        <f>HYPERLINK("https://github.com/nextcloud/android/releases","show")</f>
        <v>show</v>
      </c>
    </row>
    <row r="8385" spans="1:6">
      <c r="A8385" t="s">
        <v>24887</v>
      </c>
      <c r="B8385" t="s">
        <v>24888</v>
      </c>
      <c r="C8385" t="s">
        <v>24889</v>
      </c>
      <c r="D8385" t="str">
        <f>HYPERLINK("https://github.com/nextcloud/android/issues/5236","show")</f>
        <v>show</v>
      </c>
      <c r="E8385" t="str">
        <f>HYPERLINK("https://github.com/nextcloud/android","show")</f>
        <v>show</v>
      </c>
      <c r="F8385" t="str">
        <f>HYPERLINK("https://github.com/nextcloud/android/releases","show")</f>
        <v>show</v>
      </c>
    </row>
    <row r="8386" spans="1:6">
      <c r="A8386" t="s">
        <v>24890</v>
      </c>
      <c r="B8386" t="s">
        <v>24891</v>
      </c>
      <c r="C8386" t="s">
        <v>24892</v>
      </c>
      <c r="D8386" t="str">
        <f>HYPERLINK("https://github.com/nextcloud/android/issues/5235","show")</f>
        <v>show</v>
      </c>
      <c r="E8386" t="str">
        <f>HYPERLINK("https://github.com/nextcloud/android","show")</f>
        <v>show</v>
      </c>
      <c r="F8386" t="str">
        <f>HYPERLINK("https://github.com/nextcloud/android/releases","show")</f>
        <v>show</v>
      </c>
    </row>
    <row r="8387" spans="1:6">
      <c r="A8387" t="s">
        <v>24893</v>
      </c>
      <c r="B8387" t="s">
        <v>24894</v>
      </c>
      <c r="C8387" t="s">
        <v>24895</v>
      </c>
      <c r="D8387" t="str">
        <f>HYPERLINK("https://github.com/mgks/Android-SmartWebView/issues/131","show")</f>
        <v>show</v>
      </c>
      <c r="E8387" t="str">
        <f>HYPERLINK("https://github.com/mgks/Android-SmartWebView","show")</f>
        <v>show</v>
      </c>
      <c r="F8387" t="str">
        <f>HYPERLINK("https://github.com/mgks/Android-SmartWebView/releases","show")</f>
        <v>show</v>
      </c>
    </row>
    <row r="8388" spans="1:6">
      <c r="A8388" t="s">
        <v>24896</v>
      </c>
      <c r="B8388" t="s">
        <v>24897</v>
      </c>
      <c r="C8388" t="s">
        <v>24898</v>
      </c>
      <c r="D8388" t="str">
        <f>HYPERLINK("https://github.com/inaturalist/iNaturalistAndroid/issues/769","show")</f>
        <v>show</v>
      </c>
      <c r="E8388" t="str">
        <f>HYPERLINK("https://github.com/inaturalist/iNaturalistAndroid","show")</f>
        <v>show</v>
      </c>
      <c r="F8388" t="str">
        <f>HYPERLINK("https://github.com/inaturalist/iNaturalistAndroid/releases","show")</f>
        <v>show</v>
      </c>
    </row>
    <row r="8389" spans="1:6">
      <c r="A8389" t="s">
        <v>24899</v>
      </c>
      <c r="B8389" t="s">
        <v>24900</v>
      </c>
      <c r="C8389" t="s">
        <v>24901</v>
      </c>
      <c r="D8389" t="str">
        <f>HYPERLINK("https://github.com/renyuneyun/Easer/issues/310","show")</f>
        <v>show</v>
      </c>
      <c r="E8389" t="str">
        <f>HYPERLINK("https://github.com/renyuneyun/Easer","show")</f>
        <v>show</v>
      </c>
      <c r="F8389" t="str">
        <f>HYPERLINK("https://github.com/renyuneyun/Easer/releases","show")</f>
        <v>show</v>
      </c>
    </row>
    <row r="8390" spans="1:6">
      <c r="A8390" t="s">
        <v>24902</v>
      </c>
      <c r="B8390" t="s">
        <v>24903</v>
      </c>
      <c r="C8390" t="s">
        <v>24904</v>
      </c>
      <c r="D8390" t="str">
        <f>HYPERLINK("https://github.com/material-components/material-components-android/issues/917","show")</f>
        <v>show</v>
      </c>
      <c r="E8390" t="str">
        <f>HYPERLINK("https://github.com/material-components/material-components-android","show")</f>
        <v>show</v>
      </c>
      <c r="F8390" t="str">
        <f>HYPERLINK("https://github.com/material-components/material-components-android/releases","show")</f>
        <v>show</v>
      </c>
    </row>
    <row r="8391" spans="1:6">
      <c r="A8391" t="s">
        <v>24905</v>
      </c>
      <c r="B8391" t="s">
        <v>24906</v>
      </c>
      <c r="C8391" t="s">
        <v>24907</v>
      </c>
      <c r="D8391" t="str">
        <f>HYPERLINK("https://github.com/cgeo/WhereYouGo/issues/28","show")</f>
        <v>show</v>
      </c>
      <c r="E8391" t="str">
        <f>HYPERLINK("https://github.com/cgeo/WhereYouGo","show")</f>
        <v>show</v>
      </c>
      <c r="F8391" t="str">
        <f>HYPERLINK("https://github.com/cgeo/WhereYouGo/releases","show")</f>
        <v>show</v>
      </c>
    </row>
    <row r="8392" spans="1:6">
      <c r="A8392" t="s">
        <v>24908</v>
      </c>
      <c r="B8392" t="s">
        <v>24909</v>
      </c>
      <c r="C8392" t="s">
        <v>24910</v>
      </c>
      <c r="D8392" t="str">
        <f>HYPERLINK("https://github.com/nextcloud/android/issues/5219","show")</f>
        <v>show</v>
      </c>
      <c r="E8392" t="str">
        <f>HYPERLINK("https://github.com/nextcloud/android","show")</f>
        <v>show</v>
      </c>
      <c r="F8392" t="str">
        <f>HYPERLINK("https://github.com/nextcloud/android/releases","show")</f>
        <v>show</v>
      </c>
    </row>
    <row r="8393" spans="1:6">
      <c r="A8393" t="s">
        <v>24911</v>
      </c>
      <c r="B8393" t="s">
        <v>24912</v>
      </c>
      <c r="C8393" t="s">
        <v>24913</v>
      </c>
      <c r="D8393" t="str">
        <f>HYPERLINK("https://github.com/wordpress-mobile/WordPressMocks/issues/16","show")</f>
        <v>show</v>
      </c>
      <c r="E8393" t="str">
        <f>HYPERLINK("https://github.com/wordpress-mobile/WordPressMocks","show")</f>
        <v>show</v>
      </c>
      <c r="F8393" t="str">
        <f>HYPERLINK("https://github.com/wordpress-mobile/WordPressMocks/releases","show")</f>
        <v>show</v>
      </c>
    </row>
    <row r="8394" spans="1:6">
      <c r="A8394" t="s">
        <v>24914</v>
      </c>
      <c r="B8394" t="s">
        <v>24915</v>
      </c>
      <c r="C8394" t="s">
        <v>24916</v>
      </c>
      <c r="D8394" t="str">
        <f>HYPERLINK("https://github.com/fossasia/phimpme-android/issues/2979","show")</f>
        <v>show</v>
      </c>
      <c r="E8394" t="str">
        <f>HYPERLINK("https://github.com/fossasia/phimpme-android","show")</f>
        <v>show</v>
      </c>
      <c r="F8394" t="str">
        <f>HYPERLINK("https://github.com/fossasia/phimpme-android/releases","show")</f>
        <v>show</v>
      </c>
    </row>
    <row r="8395" spans="1:6">
      <c r="A8395" t="s">
        <v>24917</v>
      </c>
      <c r="B8395" t="s">
        <v>24918</v>
      </c>
      <c r="C8395" t="s">
        <v>24919</v>
      </c>
      <c r="D8395" t="str">
        <f>HYPERLINK("https://github.com/react-native-cookies/cookies/issues/9","show")</f>
        <v>show</v>
      </c>
      <c r="E8395" t="str">
        <f>HYPERLINK("https://github.com/react-native-cookies/cookies","show")</f>
        <v>show</v>
      </c>
      <c r="F8395" t="str">
        <f>HYPERLINK("https://github.com/react-native-cookies/cookies/releases","show")</f>
        <v>show</v>
      </c>
    </row>
    <row r="8396" spans="1:6">
      <c r="A8396" t="s">
        <v>24920</v>
      </c>
      <c r="B8396" t="s">
        <v>24921</v>
      </c>
      <c r="C8396" t="s">
        <v>24922</v>
      </c>
      <c r="D8396" t="str">
        <f>HYPERLINK("https://github.com/nextcloud/talk-android/issues/707","show")</f>
        <v>show</v>
      </c>
      <c r="E8396" t="str">
        <f>HYPERLINK("https://github.com/nextcloud/talk-android","show")</f>
        <v>show</v>
      </c>
      <c r="F8396" t="str">
        <f>HYPERLINK("https://github.com/nextcloud/talk-android/releases","show")</f>
        <v>show</v>
      </c>
    </row>
    <row r="8397" spans="1:6">
      <c r="A8397" t="s">
        <v>24923</v>
      </c>
      <c r="B8397" t="s">
        <v>24924</v>
      </c>
      <c r="C8397" t="s">
        <v>24925</v>
      </c>
      <c r="D8397" t="str">
        <f>HYPERLINK("https://github.com/4Q-s-r-o/ota_update/issues/24","show")</f>
        <v>show</v>
      </c>
      <c r="E8397" t="str">
        <f>HYPERLINK("https://github.com/4Q-s-r-o/ota_update","show")</f>
        <v>show</v>
      </c>
      <c r="F8397" t="str">
        <f>HYPERLINK("https://github.com/4Q-s-r-o/ota_update/releases","show")</f>
        <v>show</v>
      </c>
    </row>
    <row r="8398" spans="1:6">
      <c r="A8398" t="s">
        <v>24926</v>
      </c>
      <c r="B8398" t="s">
        <v>24927</v>
      </c>
      <c r="C8398" t="s">
        <v>24928</v>
      </c>
      <c r="D8398" t="str">
        <f>HYPERLINK("https://github.com/nextcloud/talk-android/issues/704","show")</f>
        <v>show</v>
      </c>
      <c r="E8398" t="str">
        <f>HYPERLINK("https://github.com/nextcloud/talk-android","show")</f>
        <v>show</v>
      </c>
      <c r="F8398" t="str">
        <f>HYPERLINK("https://github.com/nextcloud/talk-android/releases","show")</f>
        <v>show</v>
      </c>
    </row>
    <row r="8399" spans="1:6">
      <c r="A8399" t="s">
        <v>24929</v>
      </c>
      <c r="B8399" t="s">
        <v>24930</v>
      </c>
      <c r="C8399" t="s">
        <v>24931</v>
      </c>
      <c r="D8399" t="str">
        <f>HYPERLINK("https://github.com/nextcloud/android/issues/5204","show")</f>
        <v>show</v>
      </c>
      <c r="E8399" t="str">
        <f>HYPERLINK("https://github.com/nextcloud/android","show")</f>
        <v>show</v>
      </c>
      <c r="F8399" t="str">
        <f>HYPERLINK("https://github.com/nextcloud/android/releases","show")</f>
        <v>show</v>
      </c>
    </row>
    <row r="8400" spans="1:6">
      <c r="A8400" t="s">
        <v>24932</v>
      </c>
      <c r="B8400" t="s">
        <v>24933</v>
      </c>
      <c r="C8400" t="s">
        <v>24934</v>
      </c>
      <c r="D8400" t="str">
        <f>HYPERLINK("https://github.com/federicoiosue/Omni-Notes/issues/741","show")</f>
        <v>show</v>
      </c>
      <c r="E8400" t="str">
        <f>HYPERLINK("https://github.com/federicoiosue/Omni-Notes","show")</f>
        <v>show</v>
      </c>
      <c r="F8400" t="str">
        <f>HYPERLINK("https://github.com/federicoiosue/Omni-Notes/releases","show")</f>
        <v>show</v>
      </c>
    </row>
    <row r="8401" spans="1:6">
      <c r="A8401" t="s">
        <v>24935</v>
      </c>
      <c r="B8401" t="s">
        <v>24936</v>
      </c>
      <c r="C8401" t="s">
        <v>24937</v>
      </c>
      <c r="D8401" t="str">
        <f>HYPERLINK("https://github.com/Simperium/simperium-android/issues/216","show")</f>
        <v>show</v>
      </c>
      <c r="E8401" t="str">
        <f>HYPERLINK("https://github.com/Simperium/simperium-android","show")</f>
        <v>show</v>
      </c>
      <c r="F8401" t="str">
        <f>HYPERLINK("https://github.com/Simperium/simperium-android/releases","show")</f>
        <v>show</v>
      </c>
    </row>
    <row r="8402" spans="1:6">
      <c r="A8402" t="s">
        <v>24938</v>
      </c>
      <c r="B8402" t="s">
        <v>24939</v>
      </c>
      <c r="C8402" t="s">
        <v>24940</v>
      </c>
      <c r="D8402" t="str">
        <f>HYPERLINK("https://github.com/nextcloud/android/issues/5199","show")</f>
        <v>show</v>
      </c>
      <c r="E8402" t="str">
        <f>HYPERLINK("https://github.com/nextcloud/android","show")</f>
        <v>show</v>
      </c>
      <c r="F8402" t="str">
        <f>HYPERLINK("https://github.com/nextcloud/android/releases","show")</f>
        <v>show</v>
      </c>
    </row>
    <row r="8403" spans="1:6">
      <c r="A8403" t="s">
        <v>24941</v>
      </c>
      <c r="B8403" t="s">
        <v>24942</v>
      </c>
      <c r="C8403" t="s">
        <v>24943</v>
      </c>
      <c r="D8403" t="str">
        <f>HYPERLINK("https://github.com/material-components/material-components-android/issues/906","show")</f>
        <v>show</v>
      </c>
      <c r="E8403" t="str">
        <f>HYPERLINK("https://github.com/material-components/material-components-android","show")</f>
        <v>show</v>
      </c>
      <c r="F8403" t="str">
        <f>HYPERLINK("https://github.com/material-components/material-components-android/releases","show")</f>
        <v>show</v>
      </c>
    </row>
    <row r="8404" spans="1:6">
      <c r="A8404" t="s">
        <v>24944</v>
      </c>
      <c r="B8404" t="s">
        <v>24945</v>
      </c>
      <c r="C8404" t="s">
        <v>24946</v>
      </c>
      <c r="D8404" t="str">
        <f>HYPERLINK("https://github.com/ElderDrivers/EdXposed/issues/443","show")</f>
        <v>show</v>
      </c>
      <c r="E8404" t="str">
        <f>HYPERLINK("https://github.com/ElderDrivers/EdXposed","show")</f>
        <v>show</v>
      </c>
      <c r="F8404" t="str">
        <f>HYPERLINK("https://github.com/ElderDrivers/EdXposed/releases","show")</f>
        <v>show</v>
      </c>
    </row>
    <row r="8405" spans="1:6">
      <c r="A8405" t="s">
        <v>24947</v>
      </c>
      <c r="B8405" t="s">
        <v>24948</v>
      </c>
      <c r="C8405" t="s">
        <v>24949</v>
      </c>
      <c r="D8405" t="str">
        <f>HYPERLINK("https://github.com/nextcloud/android/issues/5182","show")</f>
        <v>show</v>
      </c>
      <c r="E8405" t="str">
        <f>HYPERLINK("https://github.com/nextcloud/android","show")</f>
        <v>show</v>
      </c>
      <c r="F8405" t="str">
        <f>HYPERLINK("https://github.com/nextcloud/android/releases","show")</f>
        <v>show</v>
      </c>
    </row>
    <row r="8406" spans="1:6">
      <c r="A8406" t="s">
        <v>24950</v>
      </c>
      <c r="B8406" t="s">
        <v>24951</v>
      </c>
      <c r="C8406" t="s">
        <v>24952</v>
      </c>
      <c r="D8406" t="str">
        <f>HYPERLINK("https://github.com/material-components/material-components-android/issues/903","show")</f>
        <v>show</v>
      </c>
      <c r="E8406" t="str">
        <f>HYPERLINK("https://github.com/material-components/material-components-android","show")</f>
        <v>show</v>
      </c>
      <c r="F8406" t="str">
        <f>HYPERLINK("https://github.com/material-components/material-components-android/releases","show")</f>
        <v>show</v>
      </c>
    </row>
    <row r="8407" spans="1:6">
      <c r="A8407" t="s">
        <v>24953</v>
      </c>
      <c r="B8407" t="s">
        <v>24954</v>
      </c>
      <c r="C8407" t="s">
        <v>24955</v>
      </c>
      <c r="D8407" t="str">
        <f>HYPERLINK("https://github.com/nextcloud/android/issues/5176","show")</f>
        <v>show</v>
      </c>
      <c r="E8407" t="str">
        <f>HYPERLINK("https://github.com/nextcloud/android","show")</f>
        <v>show</v>
      </c>
      <c r="F8407" t="str">
        <f>HYPERLINK("https://github.com/nextcloud/android/releases","show")</f>
        <v>show</v>
      </c>
    </row>
    <row r="8408" spans="1:6">
      <c r="A8408" t="s">
        <v>24956</v>
      </c>
      <c r="B8408" t="s">
        <v>24957</v>
      </c>
      <c r="C8408" t="s">
        <v>24958</v>
      </c>
      <c r="D8408" t="str">
        <f>HYPERLINK("https://github.com/nextcloud/android/issues/5174","show")</f>
        <v>show</v>
      </c>
      <c r="E8408" t="str">
        <f>HYPERLINK("https://github.com/nextcloud/android","show")</f>
        <v>show</v>
      </c>
      <c r="F8408" t="str">
        <f>HYPERLINK("https://github.com/nextcloud/android/releases","show")</f>
        <v>show</v>
      </c>
    </row>
    <row r="8409" spans="1:6">
      <c r="A8409" t="s">
        <v>24959</v>
      </c>
      <c r="B8409" t="s">
        <v>24960</v>
      </c>
      <c r="C8409" t="s">
        <v>24961</v>
      </c>
      <c r="D8409" t="str">
        <f>HYPERLINK("https://github.com/nextcloud/android/issues/5173","show")</f>
        <v>show</v>
      </c>
      <c r="E8409" t="str">
        <f>HYPERLINK("https://github.com/nextcloud/android","show")</f>
        <v>show</v>
      </c>
      <c r="F8409" t="str">
        <f>HYPERLINK("https://github.com/nextcloud/android/releases","show")</f>
        <v>show</v>
      </c>
    </row>
    <row r="8410" spans="1:6">
      <c r="A8410" t="s">
        <v>24962</v>
      </c>
      <c r="B8410" t="s">
        <v>24963</v>
      </c>
      <c r="C8410" t="s">
        <v>24964</v>
      </c>
      <c r="D8410" t="str">
        <f>HYPERLINK("https://github.com/avluis/Hentoid/issues/447","show")</f>
        <v>show</v>
      </c>
      <c r="E8410" t="str">
        <f>HYPERLINK("https://github.com/avluis/Hentoid","show")</f>
        <v>show</v>
      </c>
      <c r="F8410" t="str">
        <f>HYPERLINK("https://github.com/avluis/Hentoid/releases","show")</f>
        <v>show</v>
      </c>
    </row>
    <row r="8411" spans="1:6">
      <c r="A8411" t="s">
        <v>24965</v>
      </c>
      <c r="B8411" t="s">
        <v>24966</v>
      </c>
      <c r="C8411" t="s">
        <v>24967</v>
      </c>
      <c r="D8411" t="str">
        <f>HYPERLINK("https://github.com/nextcloud/android/issues/5171","show")</f>
        <v>show</v>
      </c>
      <c r="E8411" t="str">
        <f>HYPERLINK("https://github.com/nextcloud/android","show")</f>
        <v>show</v>
      </c>
      <c r="F8411" t="str">
        <f>HYPERLINK("https://github.com/nextcloud/android/releases","show")</f>
        <v>show</v>
      </c>
    </row>
    <row r="8412" spans="1:6">
      <c r="A8412" t="s">
        <v>24968</v>
      </c>
      <c r="B8412" t="s">
        <v>24969</v>
      </c>
      <c r="C8412" t="s">
        <v>24970</v>
      </c>
      <c r="D8412" t="str">
        <f>HYPERLINK("https://github.com/nextcloud/android/issues/5170","show")</f>
        <v>show</v>
      </c>
      <c r="E8412" t="str">
        <f>HYPERLINK("https://github.com/nextcloud/android","show")</f>
        <v>show</v>
      </c>
      <c r="F8412" t="str">
        <f>HYPERLINK("https://github.com/nextcloud/android/releases","show")</f>
        <v>show</v>
      </c>
    </row>
    <row r="8413" spans="1:6">
      <c r="A8413" t="s">
        <v>24971</v>
      </c>
      <c r="B8413" t="s">
        <v>24972</v>
      </c>
      <c r="C8413" t="s">
        <v>24973</v>
      </c>
      <c r="D8413" t="str">
        <f>HYPERLINK("https://github.com/ElderDrivers/EdXposed/issues/442","show")</f>
        <v>show</v>
      </c>
      <c r="E8413" t="str">
        <f>HYPERLINK("https://github.com/ElderDrivers/EdXposed","show")</f>
        <v>show</v>
      </c>
      <c r="F8413" t="str">
        <f>HYPERLINK("https://github.com/ElderDrivers/EdXposed/releases","show")</f>
        <v>show</v>
      </c>
    </row>
    <row r="8414" spans="1:6">
      <c r="A8414" t="s">
        <v>24974</v>
      </c>
      <c r="B8414" t="s">
        <v>24975</v>
      </c>
      <c r="C8414" t="s">
        <v>24976</v>
      </c>
      <c r="D8414" t="str">
        <f>HYPERLINK("https://github.com/cgeo/cgeo/issues/8069","show")</f>
        <v>show</v>
      </c>
      <c r="E8414" t="str">
        <f>HYPERLINK("https://github.com/cgeo/cgeo","show")</f>
        <v>show</v>
      </c>
      <c r="F8414" t="str">
        <f>HYPERLINK("https://github.com/cgeo/cgeo/releases","show")</f>
        <v>show</v>
      </c>
    </row>
    <row r="8415" spans="1:6">
      <c r="A8415" t="s">
        <v>24977</v>
      </c>
      <c r="B8415" t="s">
        <v>24978</v>
      </c>
      <c r="C8415" t="s">
        <v>24979</v>
      </c>
      <c r="D8415" t="str">
        <f>HYPERLINK("https://github.com/nextcloud/android/issues/5166","show")</f>
        <v>show</v>
      </c>
      <c r="E8415" t="str">
        <f>HYPERLINK("https://github.com/nextcloud/android","show")</f>
        <v>show</v>
      </c>
      <c r="F8415" t="str">
        <f>HYPERLINK("https://github.com/nextcloud/android/releases","show")</f>
        <v>show</v>
      </c>
    </row>
    <row r="8416" spans="1:6">
      <c r="A8416" t="s">
        <v>24980</v>
      </c>
      <c r="B8416" t="s">
        <v>24981</v>
      </c>
      <c r="C8416" t="s">
        <v>24982</v>
      </c>
      <c r="D8416" t="str">
        <f>HYPERLINK("https://github.com/nextcloud/android/issues/5165","show")</f>
        <v>show</v>
      </c>
      <c r="E8416" t="str">
        <f>HYPERLINK("https://github.com/nextcloud/android","show")</f>
        <v>show</v>
      </c>
      <c r="F8416" t="str">
        <f>HYPERLINK("https://github.com/nextcloud/android/releases","show")</f>
        <v>show</v>
      </c>
    </row>
    <row r="8417" spans="1:6">
      <c r="A8417" t="s">
        <v>24983</v>
      </c>
      <c r="B8417" t="s">
        <v>24984</v>
      </c>
      <c r="C8417" t="s">
        <v>24985</v>
      </c>
      <c r="D8417" t="str">
        <f>HYPERLINK("https://github.com/nextcloud/android/issues/5162","show")</f>
        <v>show</v>
      </c>
      <c r="E8417" t="str">
        <f>HYPERLINK("https://github.com/nextcloud/android","show")</f>
        <v>show</v>
      </c>
      <c r="F8417" t="str">
        <f>HYPERLINK("https://github.com/nextcloud/android/releases","show")</f>
        <v>show</v>
      </c>
    </row>
    <row r="8418" spans="1:6">
      <c r="A8418" t="s">
        <v>24986</v>
      </c>
      <c r="B8418" t="s">
        <v>24987</v>
      </c>
      <c r="C8418" t="s">
        <v>24988</v>
      </c>
      <c r="D8418" t="str">
        <f>HYPERLINK("https://github.com/nextcloud/android/issues/5161","show")</f>
        <v>show</v>
      </c>
      <c r="E8418" t="str">
        <f>HYPERLINK("https://github.com/nextcloud/android","show")</f>
        <v>show</v>
      </c>
      <c r="F8418" t="str">
        <f>HYPERLINK("https://github.com/nextcloud/android/releases","show")</f>
        <v>show</v>
      </c>
    </row>
    <row r="8419" spans="1:6">
      <c r="A8419" t="s">
        <v>24989</v>
      </c>
      <c r="B8419" t="s">
        <v>24990</v>
      </c>
      <c r="C8419" t="s">
        <v>24991</v>
      </c>
      <c r="D8419" t="str">
        <f>HYPERLINK("https://github.com/nextcloud/android/issues/5160","show")</f>
        <v>show</v>
      </c>
      <c r="E8419" t="str">
        <f>HYPERLINK("https://github.com/nextcloud/android","show")</f>
        <v>show</v>
      </c>
      <c r="F8419" t="str">
        <f>HYPERLINK("https://github.com/nextcloud/android/releases","show")</f>
        <v>show</v>
      </c>
    </row>
    <row r="8420" spans="1:6">
      <c r="A8420" t="s">
        <v>24992</v>
      </c>
      <c r="B8420" t="s">
        <v>24993</v>
      </c>
      <c r="C8420" t="s">
        <v>24994</v>
      </c>
      <c r="D8420" t="str">
        <f>HYPERLINK("https://github.com/rosenpin/always-on-amoled/issues/2431","show")</f>
        <v>show</v>
      </c>
      <c r="E8420" t="str">
        <f>HYPERLINK("https://github.com/rosenpin/always-on-amoled","show")</f>
        <v>show</v>
      </c>
      <c r="F8420" t="str">
        <f>HYPERLINK("https://github.com/rosenpin/always-on-amoled/releases","show")</f>
        <v>show</v>
      </c>
    </row>
    <row r="8421" spans="1:6">
      <c r="A8421" t="s">
        <v>24995</v>
      </c>
      <c r="B8421" t="s">
        <v>24996</v>
      </c>
      <c r="C8421" t="s">
        <v>24997</v>
      </c>
      <c r="D8421" t="str">
        <f>HYPERLINK("https://github.com/DigitalCampus/oppia-mobile-android/issues/982","show")</f>
        <v>show</v>
      </c>
      <c r="E8421" t="str">
        <f>HYPERLINK("https://github.com/DigitalCampus/oppia-mobile-android","show")</f>
        <v>show</v>
      </c>
      <c r="F8421" t="str">
        <f>HYPERLINK("https://github.com/DigitalCampus/oppia-mobile-android/releases","show")</f>
        <v>show</v>
      </c>
    </row>
    <row r="8422" spans="1:6">
      <c r="A8422" t="s">
        <v>24998</v>
      </c>
      <c r="B8422" t="s">
        <v>24999</v>
      </c>
      <c r="C8422" t="s">
        <v>25000</v>
      </c>
      <c r="D8422" t="str">
        <f>HYPERLINK("https://github.com/martykan/forecastie/issues/422","show")</f>
        <v>show</v>
      </c>
      <c r="E8422" t="str">
        <f>HYPERLINK("https://github.com/martykan/forecastie","show")</f>
        <v>show</v>
      </c>
      <c r="F8422" t="str">
        <f>HYPERLINK("https://github.com/martykan/forecastie/releases","show")</f>
        <v>show</v>
      </c>
    </row>
    <row r="8423" spans="1:6">
      <c r="A8423" t="s">
        <v>25001</v>
      </c>
      <c r="B8423" t="s">
        <v>25002</v>
      </c>
      <c r="C8423" t="s">
        <v>25003</v>
      </c>
      <c r="D8423" t="str">
        <f>HYPERLINK("https://github.com/nextcloud/android/issues/5153","show")</f>
        <v>show</v>
      </c>
      <c r="E8423" t="str">
        <f>HYPERLINK("https://github.com/nextcloud/android","show")</f>
        <v>show</v>
      </c>
      <c r="F8423" t="str">
        <f>HYPERLINK("https://github.com/nextcloud/android/releases","show")</f>
        <v>show</v>
      </c>
    </row>
    <row r="8424" spans="1:6">
      <c r="A8424" t="s">
        <v>25004</v>
      </c>
      <c r="B8424" t="s">
        <v>25005</v>
      </c>
      <c r="C8424" t="s">
        <v>25006</v>
      </c>
      <c r="D8424" t="str">
        <f>HYPERLINK("https://github.com/k9mail/k-9/issues/4437","show")</f>
        <v>show</v>
      </c>
      <c r="E8424" t="str">
        <f>HYPERLINK("https://github.com/k9mail/k-9","show")</f>
        <v>show</v>
      </c>
      <c r="F8424" t="str">
        <f>HYPERLINK("https://github.com/k9mail/k-9/releases","show")</f>
        <v>show</v>
      </c>
    </row>
    <row r="8425" spans="1:6">
      <c r="A8425" t="s">
        <v>25007</v>
      </c>
      <c r="B8425" t="s">
        <v>25008</v>
      </c>
      <c r="C8425" t="s">
        <v>25009</v>
      </c>
      <c r="D8425" t="str">
        <f>HYPERLINK("https://github.com/microsoft/appcenter-sdk-android/issues/1348","show")</f>
        <v>show</v>
      </c>
      <c r="E8425" t="str">
        <f>HYPERLINK("https://github.com/microsoft/appcenter-sdk-android","show")</f>
        <v>show</v>
      </c>
      <c r="F8425" t="str">
        <f>HYPERLINK("https://github.com/microsoft/appcenter-sdk-android/releases","show")</f>
        <v>show</v>
      </c>
    </row>
    <row r="8426" spans="1:6">
      <c r="A8426" t="s">
        <v>25010</v>
      </c>
      <c r="B8426" t="s">
        <v>25011</v>
      </c>
      <c r="C8426" t="s">
        <v>25012</v>
      </c>
      <c r="D8426" t="str">
        <f>HYPERLINK("https://github.com/getsentry/sentry-java/issues/809","show")</f>
        <v>show</v>
      </c>
      <c r="E8426" t="str">
        <f>HYPERLINK("https://github.com/getsentry/sentry-java","show")</f>
        <v>show</v>
      </c>
      <c r="F8426" t="str">
        <f>HYPERLINK("https://github.com/getsentry/sentry-java/releases","show")</f>
        <v>show</v>
      </c>
    </row>
    <row r="8427" spans="1:6">
      <c r="A8427" t="s">
        <v>25013</v>
      </c>
      <c r="B8427" t="s">
        <v>25014</v>
      </c>
      <c r="C8427" t="s">
        <v>25015</v>
      </c>
      <c r="D8427" t="str">
        <f>HYPERLINK("https://github.com/nextcloud/android/issues/5146","show")</f>
        <v>show</v>
      </c>
      <c r="E8427" t="str">
        <f>HYPERLINK("https://github.com/nextcloud/android","show")</f>
        <v>show</v>
      </c>
      <c r="F8427" t="str">
        <f>HYPERLINK("https://github.com/nextcloud/android/releases","show")</f>
        <v>show</v>
      </c>
    </row>
    <row r="8428" spans="1:6">
      <c r="A8428" t="s">
        <v>25016</v>
      </c>
      <c r="B8428" t="s">
        <v>25017</v>
      </c>
      <c r="C8428" t="s">
        <v>25018</v>
      </c>
      <c r="D8428" t="str">
        <f>HYPERLINK("https://github.com/android/tv-samples/issues/19","show")</f>
        <v>show</v>
      </c>
      <c r="E8428" t="str">
        <f>HYPERLINK("https://github.com/android/tv-samples","show")</f>
        <v>show</v>
      </c>
      <c r="F8428" t="str">
        <f>HYPERLINK("https://github.com/android/tv-samples/releases","show")</f>
        <v>show</v>
      </c>
    </row>
    <row r="8429" spans="1:6">
      <c r="A8429" t="s">
        <v>25019</v>
      </c>
      <c r="B8429" t="s">
        <v>25020</v>
      </c>
      <c r="C8429" t="s">
        <v>25021</v>
      </c>
      <c r="D8429" t="str">
        <f>HYPERLINK("https://github.com/nextcloud/android/issues/5142","show")</f>
        <v>show</v>
      </c>
      <c r="E8429" t="str">
        <f>HYPERLINK("https://github.com/nextcloud/android","show")</f>
        <v>show</v>
      </c>
      <c r="F8429" t="str">
        <f>HYPERLINK("https://github.com/nextcloud/android/releases","show")</f>
        <v>show</v>
      </c>
    </row>
    <row r="8430" spans="1:6">
      <c r="A8430" t="s">
        <v>25022</v>
      </c>
      <c r="B8430" t="s">
        <v>25023</v>
      </c>
      <c r="C8430" t="s">
        <v>25024</v>
      </c>
      <c r="D8430" t="str">
        <f>HYPERLINK("https://github.com/nextcloud/android/issues/5137","show")</f>
        <v>show</v>
      </c>
      <c r="E8430" t="str">
        <f>HYPERLINK("https://github.com/nextcloud/android","show")</f>
        <v>show</v>
      </c>
      <c r="F8430" t="str">
        <f>HYPERLINK("https://github.com/nextcloud/android/releases","show")</f>
        <v>show</v>
      </c>
    </row>
    <row r="8431" spans="1:6">
      <c r="A8431" t="s">
        <v>25025</v>
      </c>
      <c r="B8431" t="s">
        <v>25026</v>
      </c>
      <c r="C8431" t="s">
        <v>25027</v>
      </c>
      <c r="D8431" t="str">
        <f>HYPERLINK("https://github.com/nextcloud/android/issues/5131","show")</f>
        <v>show</v>
      </c>
      <c r="E8431" t="str">
        <f>HYPERLINK("https://github.com/nextcloud/android","show")</f>
        <v>show</v>
      </c>
      <c r="F8431" t="str">
        <f>HYPERLINK("https://github.com/nextcloud/android/releases","show")</f>
        <v>show</v>
      </c>
    </row>
    <row r="8432" spans="1:6">
      <c r="A8432" t="s">
        <v>25028</v>
      </c>
      <c r="B8432" t="s">
        <v>25029</v>
      </c>
      <c r="C8432" t="s">
        <v>25030</v>
      </c>
      <c r="D8432" t="str">
        <f>HYPERLINK("https://github.com/TeamNewPipe/NewPipe/issues/2940","show")</f>
        <v>show</v>
      </c>
      <c r="E8432" t="str">
        <f>HYPERLINK("https://github.com/TeamNewPipe/NewPipe","show")</f>
        <v>show</v>
      </c>
      <c r="F8432" t="str">
        <f>HYPERLINK("https://github.com/TeamNewPipe/NewPipe/releases","show")</f>
        <v>show</v>
      </c>
    </row>
    <row r="8433" spans="1:6">
      <c r="A8433" t="s">
        <v>25031</v>
      </c>
      <c r="B8433" t="s">
        <v>25032</v>
      </c>
      <c r="C8433" t="s">
        <v>25033</v>
      </c>
      <c r="D8433" t="str">
        <f>HYPERLINK("https://github.com/nextcloud/android/issues/5126","show")</f>
        <v>show</v>
      </c>
      <c r="E8433" t="str">
        <f>HYPERLINK("https://github.com/nextcloud/android","show")</f>
        <v>show</v>
      </c>
      <c r="F8433" t="str">
        <f>HYPERLINK("https://github.com/nextcloud/android/releases","show")</f>
        <v>show</v>
      </c>
    </row>
    <row r="8434" spans="1:6">
      <c r="A8434" t="s">
        <v>25034</v>
      </c>
      <c r="B8434" t="s">
        <v>25035</v>
      </c>
      <c r="C8434" t="s">
        <v>25036</v>
      </c>
      <c r="D8434" t="str">
        <f>HYPERLINK("https://github.com/ostrya/PresencePublisher/issues/21","show")</f>
        <v>show</v>
      </c>
      <c r="E8434" t="str">
        <f>HYPERLINK("https://github.com/ostrya/PresencePublisher","show")</f>
        <v>show</v>
      </c>
      <c r="F8434" t="str">
        <f>HYPERLINK("https://github.com/ostrya/PresencePublisher/releases","show")</f>
        <v>show</v>
      </c>
    </row>
    <row r="8435" spans="1:6">
      <c r="A8435" t="s">
        <v>25037</v>
      </c>
      <c r="B8435" t="s">
        <v>25038</v>
      </c>
      <c r="C8435" t="s">
        <v>25039</v>
      </c>
      <c r="D8435" t="str">
        <f>HYPERLINK("https://github.com/stefan-niedermann/nextcloud-notes/issues/669","show")</f>
        <v>show</v>
      </c>
      <c r="E8435" t="str">
        <f>HYPERLINK("https://github.com/stefan-niedermann/nextcloud-notes","show")</f>
        <v>show</v>
      </c>
      <c r="F8435" t="str">
        <f>HYPERLINK("https://github.com/stefan-niedermann/nextcloud-notes/releases","show")</f>
        <v>show</v>
      </c>
    </row>
    <row r="8436" spans="1:6">
      <c r="A8436" t="s">
        <v>25040</v>
      </c>
      <c r="B8436" t="s">
        <v>25041</v>
      </c>
      <c r="C8436" t="s">
        <v>25042</v>
      </c>
      <c r="D8436" t="str">
        <f>HYPERLINK("https://github.com/stefan-niedermann/nextcloud-notes/issues/668","show")</f>
        <v>show</v>
      </c>
      <c r="E8436" t="str">
        <f>HYPERLINK("https://github.com/stefan-niedermann/nextcloud-notes","show")</f>
        <v>show</v>
      </c>
      <c r="F8436" t="str">
        <f>HYPERLINK("https://github.com/stefan-niedermann/nextcloud-notes/releases","show")</f>
        <v>show</v>
      </c>
    </row>
    <row r="8437" spans="1:6">
      <c r="A8437" t="s">
        <v>25043</v>
      </c>
      <c r="B8437" t="s">
        <v>25044</v>
      </c>
      <c r="C8437" t="s">
        <v>25045</v>
      </c>
      <c r="D8437" t="str">
        <f>HYPERLINK("https://github.com/cgeo/cgeo/issues/8062","show")</f>
        <v>show</v>
      </c>
      <c r="E8437" t="str">
        <f>HYPERLINK("https://github.com/cgeo/cgeo","show")</f>
        <v>show</v>
      </c>
      <c r="F8437" t="str">
        <f>HYPERLINK("https://github.com/cgeo/cgeo/releases","show")</f>
        <v>show</v>
      </c>
    </row>
    <row r="8438" spans="1:6">
      <c r="A8438" t="s">
        <v>25046</v>
      </c>
      <c r="B8438" t="s">
        <v>25047</v>
      </c>
      <c r="C8438" t="s">
        <v>25048</v>
      </c>
      <c r="D8438" t="str">
        <f>HYPERLINK("https://github.com/aws-amplify/amplify-android/issues/221","show")</f>
        <v>show</v>
      </c>
      <c r="E8438" t="str">
        <f>HYPERLINK("https://github.com/aws-amplify/amplify-android","show")</f>
        <v>show</v>
      </c>
      <c r="F8438" t="str">
        <f>HYPERLINK("https://github.com/aws-amplify/amplify-android/releases","show")</f>
        <v>show</v>
      </c>
    </row>
    <row r="8439" spans="1:6">
      <c r="A8439" t="s">
        <v>25049</v>
      </c>
      <c r="B8439" t="s">
        <v>25050</v>
      </c>
      <c r="C8439" t="s">
        <v>25051</v>
      </c>
      <c r="D8439" t="str">
        <f>HYPERLINK("https://github.com/nextcloud/android/issues/5106","show")</f>
        <v>show</v>
      </c>
      <c r="E8439" t="str">
        <f>HYPERLINK("https://github.com/nextcloud/android","show")</f>
        <v>show</v>
      </c>
      <c r="F8439" t="str">
        <f>HYPERLINK("https://github.com/nextcloud/android/releases","show")</f>
        <v>show</v>
      </c>
    </row>
    <row r="8440" spans="1:6">
      <c r="A8440" t="s">
        <v>25052</v>
      </c>
      <c r="B8440" t="s">
        <v>25053</v>
      </c>
      <c r="C8440" t="s">
        <v>25054</v>
      </c>
      <c r="D8440" t="str">
        <f>HYPERLINK("https://github.com/square/okhttp/issues/5706","show")</f>
        <v>show</v>
      </c>
      <c r="E8440" t="str">
        <f>HYPERLINK("https://github.com/square/okhttp","show")</f>
        <v>show</v>
      </c>
      <c r="F8440" t="str">
        <f>HYPERLINK("https://github.com/square/okhttp/releases","show")</f>
        <v>show</v>
      </c>
    </row>
    <row r="8441" spans="1:6">
      <c r="A8441" t="s">
        <v>25055</v>
      </c>
      <c r="B8441" t="s">
        <v>25056</v>
      </c>
      <c r="C8441" t="s">
        <v>25057</v>
      </c>
      <c r="D8441" t="str">
        <f>HYPERLINK("https://github.com/Technion236272/2020a-Cue/issues/61","show")</f>
        <v>show</v>
      </c>
      <c r="E8441" t="str">
        <f>HYPERLINK("https://github.com/Technion236272/2020a-Cue","show")</f>
        <v>show</v>
      </c>
      <c r="F8441" t="str">
        <f>HYPERLINK("https://github.com/Technion236272/2020a-Cue/releases","show")</f>
        <v>show</v>
      </c>
    </row>
    <row r="8442" spans="1:6">
      <c r="A8442" t="s">
        <v>25058</v>
      </c>
      <c r="B8442" t="s">
        <v>25059</v>
      </c>
      <c r="C8442" t="s">
        <v>25060</v>
      </c>
      <c r="D8442" t="str">
        <f>HYPERLINK("https://github.com/material-components/material-components-android/issues/871","show")</f>
        <v>show</v>
      </c>
      <c r="E8442" t="str">
        <f>HYPERLINK("https://github.com/material-components/material-components-android","show")</f>
        <v>show</v>
      </c>
      <c r="F8442" t="str">
        <f>HYPERLINK("https://github.com/material-components/material-components-android/releases","show")</f>
        <v>show</v>
      </c>
    </row>
    <row r="8443" spans="1:6">
      <c r="A8443" t="s">
        <v>25061</v>
      </c>
      <c r="B8443" t="s">
        <v>25062</v>
      </c>
      <c r="C8443" t="s">
        <v>25063</v>
      </c>
      <c r="D8443" t="str">
        <f>HYPERLINK("https://github.com/nextcloud/android/issues/5103","show")</f>
        <v>show</v>
      </c>
      <c r="E8443" t="str">
        <f>HYPERLINK("https://github.com/nextcloud/android","show")</f>
        <v>show</v>
      </c>
      <c r="F8443" t="str">
        <f>HYPERLINK("https://github.com/nextcloud/android/releases","show")</f>
        <v>show</v>
      </c>
    </row>
    <row r="8444" spans="1:6">
      <c r="A8444" t="s">
        <v>25064</v>
      </c>
      <c r="B8444" t="s">
        <v>25065</v>
      </c>
      <c r="C8444" t="s">
        <v>25066</v>
      </c>
      <c r="D8444" t="str">
        <f>HYPERLINK("https://github.com/square/okhttp/issues/5705","show")</f>
        <v>show</v>
      </c>
      <c r="E8444" t="str">
        <f>HYPERLINK("https://github.com/square/okhttp","show")</f>
        <v>show</v>
      </c>
      <c r="F8444" t="str">
        <f>HYPERLINK("https://github.com/square/okhttp/releases","show")</f>
        <v>show</v>
      </c>
    </row>
    <row r="8445" spans="1:6">
      <c r="A8445" t="s">
        <v>25067</v>
      </c>
      <c r="B8445" t="s">
        <v>25068</v>
      </c>
      <c r="C8445" t="s">
        <v>25069</v>
      </c>
      <c r="D8445" t="str">
        <f>HYPERLINK("https://github.com/nextcloud/android/issues/5100","show")</f>
        <v>show</v>
      </c>
      <c r="E8445" t="str">
        <f>HYPERLINK("https://github.com/nextcloud/android","show")</f>
        <v>show</v>
      </c>
      <c r="F8445" t="str">
        <f>HYPERLINK("https://github.com/nextcloud/android/releases","show")</f>
        <v>show</v>
      </c>
    </row>
    <row r="8446" spans="1:6">
      <c r="A8446" t="s">
        <v>25070</v>
      </c>
      <c r="B8446" t="s">
        <v>25071</v>
      </c>
      <c r="C8446" t="s">
        <v>25072</v>
      </c>
      <c r="D8446" t="str">
        <f>HYPERLINK("https://github.com/brarcher/loyalty-card-locker/issues/340","show")</f>
        <v>show</v>
      </c>
      <c r="E8446" t="str">
        <f>HYPERLINK("https://github.com/brarcher/loyalty-card-locker","show")</f>
        <v>show</v>
      </c>
      <c r="F8446" t="str">
        <f>HYPERLINK("https://github.com/brarcher/loyalty-card-locker/releases","show")</f>
        <v>show</v>
      </c>
    </row>
    <row r="8447" spans="1:6">
      <c r="A8447" t="s">
        <v>25073</v>
      </c>
      <c r="B8447" t="s">
        <v>25074</v>
      </c>
      <c r="C8447" t="s">
        <v>25075</v>
      </c>
      <c r="D8447" t="str">
        <f>HYPERLINK("https://github.com/wallabag/android-app/issues/896","show")</f>
        <v>show</v>
      </c>
      <c r="E8447" t="str">
        <f>HYPERLINK("https://github.com/wallabag/android-app","show")</f>
        <v>show</v>
      </c>
      <c r="F8447" t="str">
        <f>HYPERLINK("https://github.com/wallabag/android-app/releases","show")</f>
        <v>show</v>
      </c>
    </row>
    <row r="8448" spans="1:6">
      <c r="A8448" t="s">
        <v>25076</v>
      </c>
      <c r="B8448" t="s">
        <v>25077</v>
      </c>
      <c r="C8448" t="s">
        <v>25078</v>
      </c>
      <c r="D8448" t="str">
        <f>HYPERLINK("https://github.com/nextcloud/android/issues/5095","show")</f>
        <v>show</v>
      </c>
      <c r="E8448" t="str">
        <f>HYPERLINK("https://github.com/nextcloud/android","show")</f>
        <v>show</v>
      </c>
      <c r="F8448" t="str">
        <f>HYPERLINK("https://github.com/nextcloud/android/releases","show")</f>
        <v>show</v>
      </c>
    </row>
    <row r="8449" spans="1:6">
      <c r="A8449" t="s">
        <v>25079</v>
      </c>
      <c r="B8449" t="s">
        <v>25080</v>
      </c>
      <c r="C8449" t="s">
        <v>25081</v>
      </c>
      <c r="D8449" t="str">
        <f>HYPERLINK("https://github.com/stefan-niedermann/nextcloud-notes/issues/662","show")</f>
        <v>show</v>
      </c>
      <c r="E8449" t="str">
        <f>HYPERLINK("https://github.com/stefan-niedermann/nextcloud-notes","show")</f>
        <v>show</v>
      </c>
      <c r="F8449" t="str">
        <f>HYPERLINK("https://github.com/stefan-niedermann/nextcloud-notes/releases","show")</f>
        <v>show</v>
      </c>
    </row>
    <row r="8450" spans="1:6">
      <c r="A8450" t="s">
        <v>25082</v>
      </c>
      <c r="B8450" t="s">
        <v>25083</v>
      </c>
      <c r="C8450" t="s">
        <v>25084</v>
      </c>
      <c r="D8450" t="str">
        <f>HYPERLINK("https://github.com/brarcher/budget-watch/issues/204","show")</f>
        <v>show</v>
      </c>
      <c r="E8450" t="str">
        <f>HYPERLINK("https://github.com/brarcher/budget-watch","show")</f>
        <v>show</v>
      </c>
      <c r="F8450" t="str">
        <f>HYPERLINK("https://github.com/brarcher/budget-watch/releases","show")</f>
        <v>show</v>
      </c>
    </row>
    <row r="8451" spans="1:6">
      <c r="A8451" t="s">
        <v>25085</v>
      </c>
      <c r="B8451" t="s">
        <v>25086</v>
      </c>
      <c r="C8451" t="s">
        <v>25087</v>
      </c>
      <c r="D8451" t="str">
        <f>HYPERLINK("https://github.com/TeamNewPipe/NewPipe/issues/2922","show")</f>
        <v>show</v>
      </c>
      <c r="E8451" t="str">
        <f>HYPERLINK("https://github.com/TeamNewPipe/NewPipe","show")</f>
        <v>show</v>
      </c>
      <c r="F8451" t="str">
        <f>HYPERLINK("https://github.com/TeamNewPipe/NewPipe/releases","show")</f>
        <v>show</v>
      </c>
    </row>
    <row r="8452" spans="1:6">
      <c r="A8452" t="s">
        <v>25088</v>
      </c>
      <c r="B8452" t="s">
        <v>25089</v>
      </c>
      <c r="C8452" t="s">
        <v>25090</v>
      </c>
      <c r="D8452" t="str">
        <f>HYPERLINK("https://github.com/nextcloud/android/issues/5091","show")</f>
        <v>show</v>
      </c>
      <c r="E8452" t="str">
        <f>HYPERLINK("https://github.com/nextcloud/android","show")</f>
        <v>show</v>
      </c>
      <c r="F8452" t="str">
        <f>HYPERLINK("https://github.com/nextcloud/android/releases","show")</f>
        <v>show</v>
      </c>
    </row>
    <row r="8453" spans="1:6">
      <c r="A8453" t="s">
        <v>25091</v>
      </c>
      <c r="B8453" t="s">
        <v>25092</v>
      </c>
      <c r="C8453" t="s">
        <v>25093</v>
      </c>
      <c r="D8453" t="str">
        <f>HYPERLINK("https://github.com/ElderDrivers/EdXposed/issues/432","show")</f>
        <v>show</v>
      </c>
      <c r="E8453" t="str">
        <f>HYPERLINK("https://github.com/ElderDrivers/EdXposed","show")</f>
        <v>show</v>
      </c>
      <c r="F8453" t="str">
        <f>HYPERLINK("https://github.com/ElderDrivers/EdXposed/releases","show")</f>
        <v>show</v>
      </c>
    </row>
    <row r="8454" spans="1:6">
      <c r="A8454" t="s">
        <v>25094</v>
      </c>
      <c r="B8454" t="s">
        <v>25095</v>
      </c>
      <c r="C8454" t="s">
        <v>25096</v>
      </c>
      <c r="D8454" t="str">
        <f>HYPERLINK("https://github.com/LawnchairLauncher/lawnchair/issues/1895","show")</f>
        <v>show</v>
      </c>
      <c r="E8454" t="str">
        <f>HYPERLINK("https://github.com/LawnchairLauncher/lawnchair","show")</f>
        <v>show</v>
      </c>
      <c r="F8454" t="str">
        <f>HYPERLINK("https://github.com/LawnchairLauncher/lawnchair/releases","show")</f>
        <v>show</v>
      </c>
    </row>
    <row r="8455" spans="1:6">
      <c r="A8455" t="s">
        <v>25097</v>
      </c>
      <c r="B8455" t="s">
        <v>25098</v>
      </c>
      <c r="C8455" t="s">
        <v>25099</v>
      </c>
      <c r="D8455" t="str">
        <f>HYPERLINK("https://github.com/k9mail/k-9/issues/4423","show")</f>
        <v>show</v>
      </c>
      <c r="E8455" t="str">
        <f>HYPERLINK("https://github.com/k9mail/k-9","show")</f>
        <v>show</v>
      </c>
      <c r="F8455" t="str">
        <f>HYPERLINK("https://github.com/k9mail/k-9/releases","show")</f>
        <v>show</v>
      </c>
    </row>
    <row r="8456" spans="1:6">
      <c r="A8456" t="s">
        <v>25100</v>
      </c>
      <c r="B8456" t="s">
        <v>25101</v>
      </c>
      <c r="C8456" t="s">
        <v>25102</v>
      </c>
      <c r="D8456" t="str">
        <f>HYPERLINK("https://github.com/UriahShaulMandel/BaldPhone/issues/181","show")</f>
        <v>show</v>
      </c>
      <c r="E8456" t="str">
        <f>HYPERLINK("https://github.com/UriahShaulMandel/BaldPhone","show")</f>
        <v>show</v>
      </c>
      <c r="F8456" t="str">
        <f>HYPERLINK("https://github.com/UriahShaulMandel/BaldPhone/releases","show")</f>
        <v>show</v>
      </c>
    </row>
    <row r="8457" spans="1:6">
      <c r="A8457" t="s">
        <v>25103</v>
      </c>
      <c r="B8457" t="s">
        <v>25104</v>
      </c>
      <c r="C8457" t="s">
        <v>25105</v>
      </c>
      <c r="D8457" t="str">
        <f>HYPERLINK("https://github.com/MCMrARM/revolution-irc/issues/236","show")</f>
        <v>show</v>
      </c>
      <c r="E8457" t="str">
        <f>HYPERLINK("https://github.com/MCMrARM/revolution-irc","show")</f>
        <v>show</v>
      </c>
      <c r="F8457" t="str">
        <f>HYPERLINK("https://github.com/MCMrARM/revolution-irc/releases","show")</f>
        <v>show</v>
      </c>
    </row>
    <row r="8458" spans="1:6">
      <c r="A8458" t="s">
        <v>25106</v>
      </c>
      <c r="B8458" t="s">
        <v>25107</v>
      </c>
      <c r="C8458" t="s">
        <v>25108</v>
      </c>
      <c r="D8458" t="str">
        <f>HYPERLINK("https://github.com/deltachat/deltachat-android/issues/1205","show")</f>
        <v>show</v>
      </c>
      <c r="E8458" t="str">
        <f>HYPERLINK("https://github.com/deltachat/deltachat-android","show")</f>
        <v>show</v>
      </c>
      <c r="F8458" t="str">
        <f>HYPERLINK("https://github.com/deltachat/deltachat-android/releases","show")</f>
        <v>show</v>
      </c>
    </row>
    <row r="8459" spans="1:6">
      <c r="A8459" t="s">
        <v>25109</v>
      </c>
      <c r="B8459" t="s">
        <v>25110</v>
      </c>
      <c r="C8459" t="s">
        <v>25111</v>
      </c>
      <c r="D8459" t="str">
        <f>HYPERLINK("https://github.com/nextcloud/android/issues/5090","show")</f>
        <v>show</v>
      </c>
      <c r="E8459" t="str">
        <f>HYPERLINK("https://github.com/nextcloud/android","show")</f>
        <v>show</v>
      </c>
      <c r="F8459" t="str">
        <f>HYPERLINK("https://github.com/nextcloud/android/releases","show")</f>
        <v>show</v>
      </c>
    </row>
    <row r="8460" spans="1:6">
      <c r="A8460" t="s">
        <v>25112</v>
      </c>
      <c r="B8460" t="s">
        <v>25113</v>
      </c>
      <c r="C8460" t="s">
        <v>25114</v>
      </c>
      <c r="D8460" t="str">
        <f>HYPERLINK("https://github.com/square/okhttp/issues/5682","show")</f>
        <v>show</v>
      </c>
      <c r="E8460" t="str">
        <f>HYPERLINK("https://github.com/square/okhttp","show")</f>
        <v>show</v>
      </c>
      <c r="F8460" t="str">
        <f>HYPERLINK("https://github.com/square/okhttp/releases","show")</f>
        <v>show</v>
      </c>
    </row>
    <row r="8461" spans="1:6">
      <c r="A8461" t="s">
        <v>25115</v>
      </c>
      <c r="B8461" t="s">
        <v>25116</v>
      </c>
      <c r="C8461" t="s">
        <v>25117</v>
      </c>
      <c r="D8461" t="str">
        <f>HYPERLINK("https://github.com/ElderDrivers/EdXposed/issues/426","show")</f>
        <v>show</v>
      </c>
      <c r="E8461" t="str">
        <f>HYPERLINK("https://github.com/ElderDrivers/EdXposed","show")</f>
        <v>show</v>
      </c>
      <c r="F8461" t="str">
        <f>HYPERLINK("https://github.com/ElderDrivers/EdXposed/releases","show")</f>
        <v>show</v>
      </c>
    </row>
    <row r="8462" spans="1:6">
      <c r="A8462" t="s">
        <v>25118</v>
      </c>
      <c r="B8462" t="s">
        <v>25119</v>
      </c>
      <c r="C8462" t="s">
        <v>25120</v>
      </c>
      <c r="D8462" t="str">
        <f>HYPERLINK("https://github.com/ElderDrivers/EdXposed/issues/424","show")</f>
        <v>show</v>
      </c>
      <c r="E8462" t="str">
        <f>HYPERLINK("https://github.com/ElderDrivers/EdXposed","show")</f>
        <v>show</v>
      </c>
      <c r="F8462" t="str">
        <f>HYPERLINK("https://github.com/ElderDrivers/EdXposed/releases","show")</f>
        <v>show</v>
      </c>
    </row>
    <row r="8463" spans="1:6">
      <c r="A8463" t="s">
        <v>25121</v>
      </c>
      <c r="B8463" t="s">
        <v>25122</v>
      </c>
      <c r="C8463" t="s">
        <v>25123</v>
      </c>
      <c r="D8463" t="str">
        <f>HYPERLINK("https://github.com/Technion236272/2020a-QuickThumbs/issues/127","show")</f>
        <v>show</v>
      </c>
      <c r="E8463" t="str">
        <f>HYPERLINK("https://github.com/Technion236272/2020a-QuickThumbs","show")</f>
        <v>show</v>
      </c>
      <c r="F8463" t="str">
        <f>HYPERLINK("https://github.com/Technion236272/2020a-QuickThumbs/releases","show")</f>
        <v>show</v>
      </c>
    </row>
    <row r="8464" spans="1:6">
      <c r="A8464" t="s">
        <v>25124</v>
      </c>
      <c r="B8464" t="s">
        <v>25125</v>
      </c>
      <c r="C8464" t="s">
        <v>25126</v>
      </c>
      <c r="D8464" t="str">
        <f>HYPERLINK("https://github.com/stefan-niedermann/nextcloud-notes/issues/652","show")</f>
        <v>show</v>
      </c>
      <c r="E8464" t="str">
        <f>HYPERLINK("https://github.com/stefan-niedermann/nextcloud-notes","show")</f>
        <v>show</v>
      </c>
      <c r="F8464" t="str">
        <f>HYPERLINK("https://github.com/stefan-niedermann/nextcloud-notes/releases","show")</f>
        <v>show</v>
      </c>
    </row>
    <row r="8465" spans="1:6">
      <c r="A8465" t="s">
        <v>25127</v>
      </c>
      <c r="B8465" t="s">
        <v>25128</v>
      </c>
      <c r="C8465" t="s">
        <v>25129</v>
      </c>
      <c r="D8465" t="str">
        <f>HYPERLINK("https://github.com/Fr4gorSoftware/SecScanQR/issues/127","show")</f>
        <v>show</v>
      </c>
      <c r="E8465" t="str">
        <f>HYPERLINK("https://github.com/Fr4gorSoftware/SecScanQR","show")</f>
        <v>show</v>
      </c>
      <c r="F8465" t="str">
        <f>HYPERLINK("https://github.com/Fr4gorSoftware/SecScanQR/releases","show")</f>
        <v>show</v>
      </c>
    </row>
    <row r="8466" spans="1:6">
      <c r="A8466" t="s">
        <v>25130</v>
      </c>
      <c r="B8466" t="s">
        <v>25131</v>
      </c>
      <c r="C8466" t="s">
        <v>25132</v>
      </c>
      <c r="D8466" t="str">
        <f>HYPERLINK("https://github.com/niclabs/adkintunmobile-androidclient/issues/214","show")</f>
        <v>show</v>
      </c>
      <c r="E8466" t="str">
        <f>HYPERLINK("https://github.com/niclabs/adkintunmobile-androidclient","show")</f>
        <v>show</v>
      </c>
      <c r="F8466" t="str">
        <f>HYPERLINK("https://github.com/niclabs/adkintunmobile-androidclient/releases","show")</f>
        <v>show</v>
      </c>
    </row>
    <row r="8467" spans="1:6">
      <c r="A8467" t="s">
        <v>25133</v>
      </c>
      <c r="B8467" t="s">
        <v>25134</v>
      </c>
      <c r="C8467" t="s">
        <v>25135</v>
      </c>
      <c r="D8467" t="str">
        <f>HYPERLINK("https://github.com/opensrp/opensrp-client-core/issues/397","show")</f>
        <v>show</v>
      </c>
      <c r="E8467" t="str">
        <f>HYPERLINK("https://github.com/opensrp/opensrp-client-core","show")</f>
        <v>show</v>
      </c>
      <c r="F8467" t="str">
        <f>HYPERLINK("https://github.com/opensrp/opensrp-client-core/releases","show")</f>
        <v>show</v>
      </c>
    </row>
    <row r="8468" spans="1:6">
      <c r="A8468" t="s">
        <v>25136</v>
      </c>
      <c r="B8468" t="s">
        <v>25137</v>
      </c>
      <c r="C8468" t="s">
        <v>25138</v>
      </c>
      <c r="D8468" t="str">
        <f>HYPERLINK("https://github.com/bspinner/amiberry-android/issues/14","show")</f>
        <v>show</v>
      </c>
      <c r="E8468" t="str">
        <f>HYPERLINK("https://github.com/bspinner/amiberry-android","show")</f>
        <v>show</v>
      </c>
      <c r="F8468" t="str">
        <f>HYPERLINK("https://github.com/bspinner/amiberry-android/releases","show")</f>
        <v>show</v>
      </c>
    </row>
    <row r="8469" spans="1:6">
      <c r="A8469" t="s">
        <v>25139</v>
      </c>
      <c r="B8469" t="s">
        <v>25140</v>
      </c>
      <c r="C8469" t="s">
        <v>25141</v>
      </c>
      <c r="D8469" t="str">
        <f>HYPERLINK("https://github.com/ElderDrivers/EdXposed/issues/420","show")</f>
        <v>show</v>
      </c>
      <c r="E8469" t="str">
        <f>HYPERLINK("https://github.com/ElderDrivers/EdXposed","show")</f>
        <v>show</v>
      </c>
      <c r="F8469" t="str">
        <f>HYPERLINK("https://github.com/ElderDrivers/EdXposed/releases","show")</f>
        <v>show</v>
      </c>
    </row>
    <row r="8470" spans="1:6">
      <c r="A8470" t="s">
        <v>25142</v>
      </c>
      <c r="B8470" t="s">
        <v>25143</v>
      </c>
      <c r="C8470" t="s">
        <v>25144</v>
      </c>
      <c r="D8470" t="str">
        <f>HYPERLINK("https://github.com/Technion236272/2020a-Cue/issues/48","show")</f>
        <v>show</v>
      </c>
      <c r="E8470" t="str">
        <f>HYPERLINK("https://github.com/Technion236272/2020a-Cue","show")</f>
        <v>show</v>
      </c>
      <c r="F8470" t="str">
        <f>HYPERLINK("https://github.com/Technion236272/2020a-Cue/releases","show")</f>
        <v>show</v>
      </c>
    </row>
    <row r="8471" spans="1:6">
      <c r="A8471" t="s">
        <v>25145</v>
      </c>
      <c r="B8471" t="s">
        <v>25146</v>
      </c>
      <c r="C8471" t="s">
        <v>25147</v>
      </c>
      <c r="D8471" t="str">
        <f>HYPERLINK("https://github.com/ElderDrivers/EdXposed/issues/419","show")</f>
        <v>show</v>
      </c>
      <c r="E8471" t="str">
        <f>HYPERLINK("https://github.com/ElderDrivers/EdXposed","show")</f>
        <v>show</v>
      </c>
      <c r="F8471" t="str">
        <f>HYPERLINK("https://github.com/ElderDrivers/EdXposed/releases","show")</f>
        <v>show</v>
      </c>
    </row>
    <row r="8472" spans="1:6">
      <c r="A8472" t="s">
        <v>25148</v>
      </c>
      <c r="B8472" t="s">
        <v>25149</v>
      </c>
      <c r="C8472" t="s">
        <v>25150</v>
      </c>
      <c r="D8472" t="str">
        <f>HYPERLINK("https://github.com/nextcloud/android/issues/5072","show")</f>
        <v>show</v>
      </c>
      <c r="E8472" t="str">
        <f>HYPERLINK("https://github.com/nextcloud/android","show")</f>
        <v>show</v>
      </c>
      <c r="F8472" t="str">
        <f>HYPERLINK("https://github.com/nextcloud/android/releases","show")</f>
        <v>show</v>
      </c>
    </row>
    <row r="8473" spans="1:6">
      <c r="A8473" t="s">
        <v>25151</v>
      </c>
      <c r="B8473" t="s">
        <v>25152</v>
      </c>
      <c r="C8473" t="s">
        <v>25153</v>
      </c>
      <c r="D8473" t="str">
        <f>HYPERLINK("https://github.com/nextcloud/android/issues/5071","show")</f>
        <v>show</v>
      </c>
      <c r="E8473" t="str">
        <f>HYPERLINK("https://github.com/nextcloud/android","show")</f>
        <v>show</v>
      </c>
      <c r="F8473" t="str">
        <f>HYPERLINK("https://github.com/nextcloud/android/releases","show")</f>
        <v>show</v>
      </c>
    </row>
    <row r="8474" spans="1:6">
      <c r="A8474" t="s">
        <v>25154</v>
      </c>
      <c r="B8474" t="s">
        <v>25155</v>
      </c>
      <c r="C8474" t="s">
        <v>25156</v>
      </c>
      <c r="D8474" t="str">
        <f>HYPERLINK("https://github.com/TeamNewPipe/NewPipe/issues/2900","show")</f>
        <v>show</v>
      </c>
      <c r="E8474" t="str">
        <f>HYPERLINK("https://github.com/TeamNewPipe/NewPipe","show")</f>
        <v>show</v>
      </c>
      <c r="F8474" t="str">
        <f>HYPERLINK("https://github.com/TeamNewPipe/NewPipe/releases","show")</f>
        <v>show</v>
      </c>
    </row>
    <row r="8475" spans="1:6">
      <c r="A8475" t="s">
        <v>25157</v>
      </c>
      <c r="B8475" t="s">
        <v>25158</v>
      </c>
      <c r="C8475" t="s">
        <v>25159</v>
      </c>
      <c r="D8475" t="str">
        <f>HYPERLINK("https://github.com/nextcloud/android/issues/5070","show")</f>
        <v>show</v>
      </c>
      <c r="E8475" t="str">
        <f>HYPERLINK("https://github.com/nextcloud/android","show")</f>
        <v>show</v>
      </c>
      <c r="F8475" t="str">
        <f>HYPERLINK("https://github.com/nextcloud/android/releases","show")</f>
        <v>show</v>
      </c>
    </row>
    <row r="8476" spans="1:6">
      <c r="A8476" t="s">
        <v>25160</v>
      </c>
      <c r="B8476" t="s">
        <v>25161</v>
      </c>
      <c r="C8476" t="s">
        <v>25162</v>
      </c>
      <c r="D8476" t="str">
        <f>HYPERLINK("https://github.com/react-native-camera/react-native-camera/issues/2656","show")</f>
        <v>show</v>
      </c>
      <c r="E8476" t="str">
        <f>HYPERLINK("https://github.com/react-native-camera/react-native-camera","show")</f>
        <v>show</v>
      </c>
      <c r="F8476" t="str">
        <f>HYPERLINK("https://github.com/react-native-camera/react-native-camera/releases","show")</f>
        <v>show</v>
      </c>
    </row>
    <row r="8477" spans="1:6">
      <c r="A8477" t="s">
        <v>25163</v>
      </c>
      <c r="B8477" t="s">
        <v>25164</v>
      </c>
      <c r="C8477" t="s">
        <v>25165</v>
      </c>
      <c r="D8477" t="str">
        <f>HYPERLINK("https://github.com/nextcloud/android/issues/5068","show")</f>
        <v>show</v>
      </c>
      <c r="E8477" t="str">
        <f>HYPERLINK("https://github.com/nextcloud/android","show")</f>
        <v>show</v>
      </c>
      <c r="F8477" t="str">
        <f>HYPERLINK("https://github.com/nextcloud/android/releases","show")</f>
        <v>show</v>
      </c>
    </row>
    <row r="8478" spans="1:6">
      <c r="A8478" t="s">
        <v>25166</v>
      </c>
      <c r="B8478" t="s">
        <v>25167</v>
      </c>
      <c r="C8478" t="s">
        <v>25168</v>
      </c>
      <c r="D8478" t="str">
        <f>HYPERLINK("https://github.com/requery/sqlite-android/issues/123","show")</f>
        <v>show</v>
      </c>
      <c r="E8478" t="str">
        <f>HYPERLINK("https://github.com/requery/sqlite-android","show")</f>
        <v>show</v>
      </c>
      <c r="F8478" t="str">
        <f>HYPERLINK("https://github.com/requery/sqlite-android/releases","show")</f>
        <v>show</v>
      </c>
    </row>
    <row r="8479" spans="1:6">
      <c r="A8479" t="s">
        <v>25169</v>
      </c>
      <c r="B8479" t="s">
        <v>25170</v>
      </c>
      <c r="C8479" t="s">
        <v>25171</v>
      </c>
      <c r="D8479" t="str">
        <f>HYPERLINK("https://github.com/nextcloud/android/issues/5067","show")</f>
        <v>show</v>
      </c>
      <c r="E8479" t="str">
        <f>HYPERLINK("https://github.com/nextcloud/android","show")</f>
        <v>show</v>
      </c>
      <c r="F8479" t="str">
        <f>HYPERLINK("https://github.com/nextcloud/android/releases","show")</f>
        <v>show</v>
      </c>
    </row>
    <row r="8480" spans="1:6">
      <c r="A8480" t="s">
        <v>25172</v>
      </c>
      <c r="B8480" t="s">
        <v>25173</v>
      </c>
      <c r="C8480" t="s">
        <v>25174</v>
      </c>
      <c r="D8480" t="str">
        <f>HYPERLINK("https://github.com/segler-alex/RadioDroid/issues/641","show")</f>
        <v>show</v>
      </c>
      <c r="E8480" t="str">
        <f>HYPERLINK("https://github.com/segler-alex/RadioDroid","show")</f>
        <v>show</v>
      </c>
      <c r="F8480" t="str">
        <f>HYPERLINK("https://github.com/segler-alex/RadioDroid/releases","show")</f>
        <v>show</v>
      </c>
    </row>
    <row r="8481" spans="1:6">
      <c r="A8481" t="s">
        <v>25175</v>
      </c>
      <c r="B8481" t="s">
        <v>25176</v>
      </c>
      <c r="C8481" t="s">
        <v>25177</v>
      </c>
      <c r="D8481" t="str">
        <f>HYPERLINK("https://github.com/fossasia/phimpme-android/issues/2951","show")</f>
        <v>show</v>
      </c>
      <c r="E8481" t="str">
        <f>HYPERLINK("https://github.com/fossasia/phimpme-android","show")</f>
        <v>show</v>
      </c>
      <c r="F8481" t="str">
        <f>HYPERLINK("https://github.com/fossasia/phimpme-android/releases","show")</f>
        <v>show</v>
      </c>
    </row>
    <row r="8482" spans="1:6">
      <c r="A8482" t="s">
        <v>25178</v>
      </c>
      <c r="B8482" t="s">
        <v>25179</v>
      </c>
      <c r="C8482" t="s">
        <v>25180</v>
      </c>
      <c r="D8482" t="str">
        <f>HYPERLINK("https://github.com/libgdx/libgdx/issues/5870","show")</f>
        <v>show</v>
      </c>
      <c r="E8482" t="str">
        <f>HYPERLINK("https://github.com/libgdx/libgdx","show")</f>
        <v>show</v>
      </c>
      <c r="F8482" t="str">
        <f>HYPERLINK("https://github.com/libgdx/libgdx/releases","show")</f>
        <v>show</v>
      </c>
    </row>
    <row r="8483" spans="1:6">
      <c r="A8483" t="s">
        <v>25181</v>
      </c>
      <c r="B8483" t="s">
        <v>107</v>
      </c>
      <c r="C8483" t="s">
        <v>25182</v>
      </c>
      <c r="D8483" t="str">
        <f>HYPERLINK("https://github.com/fossasia/phimpme-android/issues/2950","show")</f>
        <v>show</v>
      </c>
      <c r="E8483" t="str">
        <f>HYPERLINK("https://github.com/fossasia/phimpme-android","show")</f>
        <v>show</v>
      </c>
      <c r="F8483" t="str">
        <f>HYPERLINK("https://github.com/fossasia/phimpme-android/releases","show")</f>
        <v>show</v>
      </c>
    </row>
    <row r="8484" spans="1:6">
      <c r="A8484" t="s">
        <v>25183</v>
      </c>
      <c r="B8484" t="s">
        <v>25184</v>
      </c>
      <c r="C8484" t="s">
        <v>25185</v>
      </c>
      <c r="D8484" t="str">
        <f>HYPERLINK("https://github.com/google/conscrypt/issues/797","show")</f>
        <v>show</v>
      </c>
      <c r="E8484" t="str">
        <f>HYPERLINK("https://github.com/google/conscrypt","show")</f>
        <v>show</v>
      </c>
      <c r="F8484" t="str">
        <f>HYPERLINK("https://github.com/google/conscrypt/releases","show")</f>
        <v>show</v>
      </c>
    </row>
    <row r="8485" spans="1:6">
      <c r="A8485" t="s">
        <v>25186</v>
      </c>
      <c r="B8485" t="s">
        <v>25187</v>
      </c>
      <c r="C8485" t="s">
        <v>25188</v>
      </c>
      <c r="D8485" t="str">
        <f>HYPERLINK("https://github.com/nextcloud/android/issues/5058","show")</f>
        <v>show</v>
      </c>
      <c r="E8485" t="str">
        <f>HYPERLINK("https://github.com/nextcloud/android","show")</f>
        <v>show</v>
      </c>
      <c r="F8485" t="str">
        <f>HYPERLINK("https://github.com/nextcloud/android/releases","show")</f>
        <v>show</v>
      </c>
    </row>
    <row r="8486" spans="1:6">
      <c r="A8486" t="s">
        <v>25189</v>
      </c>
      <c r="B8486" t="s">
        <v>25190</v>
      </c>
      <c r="C8486" t="s">
        <v>25191</v>
      </c>
      <c r="D8486" t="str">
        <f>HYPERLINK("https://github.com/AppsFlyerSDK/appsflyer-react-native-plugin/issues/134","show")</f>
        <v>show</v>
      </c>
      <c r="E8486" t="str">
        <f>HYPERLINK("https://github.com/AppsFlyerSDK/appsflyer-react-native-plugin","show")</f>
        <v>show</v>
      </c>
      <c r="F8486" t="str">
        <f>HYPERLINK("https://github.com/AppsFlyerSDK/appsflyer-react-native-plugin/releases","show")</f>
        <v>show</v>
      </c>
    </row>
    <row r="8487" spans="1:6">
      <c r="A8487" t="s">
        <v>25192</v>
      </c>
      <c r="B8487" t="s">
        <v>25193</v>
      </c>
      <c r="C8487" t="s">
        <v>25194</v>
      </c>
      <c r="D8487" t="str">
        <f>HYPERLINK("https://github.com/SecUSo/privacy-friendly-notes/issues/78","show")</f>
        <v>show</v>
      </c>
      <c r="E8487" t="str">
        <f>HYPERLINK("https://github.com/SecUSo/privacy-friendly-notes","show")</f>
        <v>show</v>
      </c>
      <c r="F8487" t="str">
        <f>HYPERLINK("https://github.com/SecUSo/privacy-friendly-notes/releases","show")</f>
        <v>show</v>
      </c>
    </row>
    <row r="8488" spans="1:6">
      <c r="A8488" t="s">
        <v>25195</v>
      </c>
      <c r="B8488" t="s">
        <v>25196</v>
      </c>
      <c r="C8488" t="s">
        <v>25197</v>
      </c>
      <c r="D8488" t="str">
        <f>HYPERLINK("https://github.com/SecUSo/privacy-friendly-notes/issues/77","show")</f>
        <v>show</v>
      </c>
      <c r="E8488" t="str">
        <f>HYPERLINK("https://github.com/SecUSo/privacy-friendly-notes","show")</f>
        <v>show</v>
      </c>
      <c r="F8488" t="str">
        <f>HYPERLINK("https://github.com/SecUSo/privacy-friendly-notes/releases","show")</f>
        <v>show</v>
      </c>
    </row>
    <row r="8489" spans="1:6">
      <c r="A8489" t="s">
        <v>25198</v>
      </c>
      <c r="B8489" t="s">
        <v>25199</v>
      </c>
      <c r="C8489" t="s">
        <v>25200</v>
      </c>
      <c r="D8489" t="str">
        <f>HYPERLINK("https://github.com/square/reader-sdk-flutter-plugin/issues/42","show")</f>
        <v>show</v>
      </c>
      <c r="E8489" t="str">
        <f>HYPERLINK("https://github.com/square/reader-sdk-flutter-plugin","show")</f>
        <v>show</v>
      </c>
      <c r="F8489" t="str">
        <f>HYPERLINK("https://github.com/square/reader-sdk-flutter-plugin/releases","show")</f>
        <v>show</v>
      </c>
    </row>
    <row r="8490" spans="1:6">
      <c r="A8490" t="s">
        <v>25201</v>
      </c>
      <c r="B8490" t="s">
        <v>25202</v>
      </c>
      <c r="C8490" t="s">
        <v>25203</v>
      </c>
      <c r="D8490" t="str">
        <f>HYPERLINK("https://github.com/inaturalist/iNaturalistAndroid/issues/762","show")</f>
        <v>show</v>
      </c>
      <c r="E8490" t="str">
        <f>HYPERLINK("https://github.com/inaturalist/iNaturalistAndroid","show")</f>
        <v>show</v>
      </c>
      <c r="F8490" t="str">
        <f>HYPERLINK("https://github.com/inaturalist/iNaturalistAndroid/releases","show")</f>
        <v>show</v>
      </c>
    </row>
    <row r="8491" spans="1:6">
      <c r="A8491" t="s">
        <v>25204</v>
      </c>
      <c r="B8491" t="s">
        <v>25205</v>
      </c>
      <c r="C8491" t="s">
        <v>25206</v>
      </c>
      <c r="D8491" t="str">
        <f>HYPERLINK("https://github.com/aws-amplify/aws-sdk-android/issues/1387","show")</f>
        <v>show</v>
      </c>
      <c r="E8491" t="str">
        <f>HYPERLINK("https://github.com/aws-amplify/aws-sdk-android","show")</f>
        <v>show</v>
      </c>
      <c r="F8491" t="str">
        <f>HYPERLINK("https://github.com/aws-amplify/aws-sdk-android/releases","show")</f>
        <v>show</v>
      </c>
    </row>
    <row r="8492" spans="1:6">
      <c r="A8492" t="s">
        <v>25207</v>
      </c>
      <c r="B8492" t="s">
        <v>25208</v>
      </c>
      <c r="C8492" t="s">
        <v>25209</v>
      </c>
      <c r="D8492" t="str">
        <f>HYPERLINK("https://github.com/OpenTracksApp/OpenTracks/issues/107","show")</f>
        <v>show</v>
      </c>
      <c r="E8492" t="str">
        <f>HYPERLINK("https://github.com/OpenTracksApp/OpenTracks","show")</f>
        <v>show</v>
      </c>
      <c r="F8492" t="str">
        <f>HYPERLINK("https://github.com/OpenTracksApp/OpenTracks/releases","show")</f>
        <v>show</v>
      </c>
    </row>
    <row r="8493" spans="1:6">
      <c r="A8493" t="s">
        <v>25210</v>
      </c>
      <c r="B8493" t="s">
        <v>25211</v>
      </c>
      <c r="C8493" t="s">
        <v>25212</v>
      </c>
      <c r="D8493" t="str">
        <f>HYPERLINK("https://github.com/NightscoutFoundation/xDrip/issues/1139","show")</f>
        <v>show</v>
      </c>
      <c r="E8493" t="str">
        <f>HYPERLINK("https://github.com/NightscoutFoundation/xDrip","show")</f>
        <v>show</v>
      </c>
      <c r="F8493" t="str">
        <f>HYPERLINK("https://github.com/NightscoutFoundation/xDrip/releases","show")</f>
        <v>show</v>
      </c>
    </row>
    <row r="8494" spans="1:6">
      <c r="A8494" t="s">
        <v>25213</v>
      </c>
      <c r="B8494" t="s">
        <v>25214</v>
      </c>
      <c r="C8494" t="s">
        <v>25215</v>
      </c>
      <c r="D8494" t="str">
        <f>HYPERLINK("https://github.com/nextcloud/android/issues/5036","show")</f>
        <v>show</v>
      </c>
      <c r="E8494" t="str">
        <f>HYPERLINK("https://github.com/nextcloud/android","show")</f>
        <v>show</v>
      </c>
      <c r="F8494" t="str">
        <f>HYPERLINK("https://github.com/nextcloud/android/releases","show")</f>
        <v>show</v>
      </c>
    </row>
    <row r="8495" spans="1:6">
      <c r="A8495" t="s">
        <v>25216</v>
      </c>
      <c r="B8495" t="s">
        <v>25217</v>
      </c>
      <c r="C8495" t="s">
        <v>25218</v>
      </c>
      <c r="D8495" t="str">
        <f>HYPERLINK("https://github.com/google/ExoPlayer/issues/6785","show")</f>
        <v>show</v>
      </c>
      <c r="E8495" t="str">
        <f>HYPERLINK("https://github.com/google/ExoPlayer","show")</f>
        <v>show</v>
      </c>
      <c r="F8495" t="str">
        <f>HYPERLINK("https://github.com/google/ExoPlayer/releases","show")</f>
        <v>show</v>
      </c>
    </row>
    <row r="8496" spans="1:6">
      <c r="A8496" t="s">
        <v>25219</v>
      </c>
      <c r="B8496" t="s">
        <v>25220</v>
      </c>
      <c r="C8496" t="s">
        <v>25221</v>
      </c>
      <c r="D8496" t="str">
        <f>HYPERLINK("https://github.com/opensrp/opensrp-client-giz-malawi/issues/164","show")</f>
        <v>show</v>
      </c>
      <c r="E8496" t="str">
        <f>HYPERLINK("https://github.com/opensrp/opensrp-client-giz-malawi","show")</f>
        <v>show</v>
      </c>
      <c r="F8496" t="str">
        <f>HYPERLINK("https://github.com/opensrp/opensrp-client-giz-malawi/releases","show")</f>
        <v>show</v>
      </c>
    </row>
    <row r="8497" spans="1:6">
      <c r="A8497" t="s">
        <v>25222</v>
      </c>
      <c r="B8497" t="s">
        <v>25223</v>
      </c>
      <c r="C8497" t="s">
        <v>25224</v>
      </c>
      <c r="D8497" t="str">
        <f>HYPERLINK("https://github.com/ElderDrivers/EdXposed/issues/413","show")</f>
        <v>show</v>
      </c>
      <c r="E8497" t="str">
        <f>HYPERLINK("https://github.com/ElderDrivers/EdXposed","show")</f>
        <v>show</v>
      </c>
      <c r="F8497" t="str">
        <f>HYPERLINK("https://github.com/ElderDrivers/EdXposed/releases","show")</f>
        <v>show</v>
      </c>
    </row>
    <row r="8498" spans="1:6">
      <c r="A8498" t="s">
        <v>25225</v>
      </c>
      <c r="B8498" t="s">
        <v>25226</v>
      </c>
      <c r="C8498" t="s">
        <v>25227</v>
      </c>
      <c r="D8498" t="str">
        <f>HYPERLINK("https://github.com/fossasia/open-event-organizer-android/issues/2007","show")</f>
        <v>show</v>
      </c>
      <c r="E8498" t="str">
        <f>HYPERLINK("https://github.com/fossasia/open-event-organizer-android","show")</f>
        <v>show</v>
      </c>
      <c r="F8498" t="str">
        <f>HYPERLINK("https://github.com/fossasia/open-event-organizer-android/releases","show")</f>
        <v>show</v>
      </c>
    </row>
    <row r="8499" spans="1:6">
      <c r="A8499" t="s">
        <v>25228</v>
      </c>
      <c r="B8499" t="s">
        <v>25229</v>
      </c>
      <c r="C8499" t="s">
        <v>25230</v>
      </c>
      <c r="D8499" t="str">
        <f>HYPERLINK("https://github.com/segler-alex/RadioDroid/issues/634","show")</f>
        <v>show</v>
      </c>
      <c r="E8499" t="str">
        <f>HYPERLINK("https://github.com/segler-alex/RadioDroid","show")</f>
        <v>show</v>
      </c>
      <c r="F8499" t="str">
        <f>HYPERLINK("https://github.com/segler-alex/RadioDroid/releases","show")</f>
        <v>show</v>
      </c>
    </row>
    <row r="8500" spans="1:6">
      <c r="A8500" t="s">
        <v>25231</v>
      </c>
      <c r="B8500" t="s">
        <v>25232</v>
      </c>
      <c r="C8500" t="s">
        <v>25233</v>
      </c>
      <c r="D8500" t="str">
        <f>HYPERLINK("https://github.com/google/ExoPlayer/issues/6776","show")</f>
        <v>show</v>
      </c>
      <c r="E8500" t="str">
        <f>HYPERLINK("https://github.com/google/ExoPlayer","show")</f>
        <v>show</v>
      </c>
      <c r="F8500" t="str">
        <f>HYPERLINK("https://github.com/google/ExoPlayer/releases","show")</f>
        <v>show</v>
      </c>
    </row>
    <row r="8501" spans="1:6">
      <c r="A8501" t="s">
        <v>25234</v>
      </c>
      <c r="B8501" t="s">
        <v>25235</v>
      </c>
      <c r="C8501" t="s">
        <v>25236</v>
      </c>
      <c r="D8501" t="str">
        <f>HYPERLINK("https://github.com/google/ExoPlayer/issues/6775","show")</f>
        <v>show</v>
      </c>
      <c r="E8501" t="str">
        <f>HYPERLINK("https://github.com/google/ExoPlayer","show")</f>
        <v>show</v>
      </c>
      <c r="F8501" t="str">
        <f>HYPERLINK("https://github.com/google/ExoPlayer/releases","show")</f>
        <v>show</v>
      </c>
    </row>
    <row r="8502" spans="1:6">
      <c r="A8502" t="s">
        <v>25237</v>
      </c>
      <c r="B8502" t="s">
        <v>25238</v>
      </c>
      <c r="C8502" t="s">
        <v>25239</v>
      </c>
      <c r="D8502" t="str">
        <f>HYPERLINK("https://github.com/material-components/material-components-android/issues/835","show")</f>
        <v>show</v>
      </c>
      <c r="E8502" t="str">
        <f>HYPERLINK("https://github.com/material-components/material-components-android","show")</f>
        <v>show</v>
      </c>
      <c r="F8502" t="str">
        <f>HYPERLINK("https://github.com/material-components/material-components-android/releases","show")</f>
        <v>show</v>
      </c>
    </row>
    <row r="8503" spans="1:6">
      <c r="A8503" t="s">
        <v>25240</v>
      </c>
      <c r="B8503" t="s">
        <v>25241</v>
      </c>
      <c r="C8503" t="s">
        <v>25242</v>
      </c>
      <c r="D8503" t="str">
        <f>HYPERLINK("https://github.com/nextcloud/android/issues/5023","show")</f>
        <v>show</v>
      </c>
      <c r="E8503" t="str">
        <f>HYPERLINK("https://github.com/nextcloud/android","show")</f>
        <v>show</v>
      </c>
      <c r="F8503" t="str">
        <f>HYPERLINK("https://github.com/nextcloud/android/releases","show")</f>
        <v>show</v>
      </c>
    </row>
    <row r="8504" spans="1:6">
      <c r="A8504" t="s">
        <v>25243</v>
      </c>
      <c r="B8504" t="s">
        <v>25244</v>
      </c>
      <c r="C8504" t="s">
        <v>25245</v>
      </c>
      <c r="D8504" t="str">
        <f>HYPERLINK("https://github.com/Tencent/tinker/issues/1309","show")</f>
        <v>show</v>
      </c>
      <c r="E8504" t="str">
        <f>HYPERLINK("https://github.com/Tencent/tinker","show")</f>
        <v>show</v>
      </c>
      <c r="F8504" t="str">
        <f>HYPERLINK("https://github.com/Tencent/tinker/releases","show")</f>
        <v>show</v>
      </c>
    </row>
    <row r="8505" spans="1:6">
      <c r="A8505" t="s">
        <v>25246</v>
      </c>
      <c r="B8505" t="s">
        <v>25247</v>
      </c>
      <c r="C8505" t="s">
        <v>25248</v>
      </c>
      <c r="D8505" t="str">
        <f>HYPERLINK("https://github.com/applivery/applivery-android-sdk/issues/52","show")</f>
        <v>show</v>
      </c>
      <c r="E8505" t="str">
        <f>HYPERLINK("https://github.com/applivery/applivery-android-sdk","show")</f>
        <v>show</v>
      </c>
      <c r="F8505" t="str">
        <f>HYPERLINK("https://github.com/applivery/applivery-android-sdk/releases","show")</f>
        <v>show</v>
      </c>
    </row>
    <row r="8506" spans="1:6">
      <c r="A8506" t="s">
        <v>25249</v>
      </c>
      <c r="B8506" t="s">
        <v>25250</v>
      </c>
      <c r="C8506" t="s">
        <v>25251</v>
      </c>
      <c r="D8506" t="str">
        <f>HYPERLINK("https://github.com/nextcloud/android/issues/5016","show")</f>
        <v>show</v>
      </c>
      <c r="E8506" t="str">
        <f>HYPERLINK("https://github.com/nextcloud/android","show")</f>
        <v>show</v>
      </c>
      <c r="F8506" t="str">
        <f>HYPERLINK("https://github.com/nextcloud/android/releases","show")</f>
        <v>show</v>
      </c>
    </row>
    <row r="8507" spans="1:6">
      <c r="A8507" t="s">
        <v>25252</v>
      </c>
      <c r="B8507" t="s">
        <v>25253</v>
      </c>
      <c r="C8507" t="s">
        <v>25254</v>
      </c>
      <c r="D8507" t="str">
        <f>HYPERLINK("https://github.com/square/okhttp/issues/5649","show")</f>
        <v>show</v>
      </c>
      <c r="E8507" t="str">
        <f>HYPERLINK("https://github.com/square/okhttp","show")</f>
        <v>show</v>
      </c>
      <c r="F8507" t="str">
        <f>HYPERLINK("https://github.com/square/okhttp/releases","show")</f>
        <v>show</v>
      </c>
    </row>
    <row r="8508" spans="1:6">
      <c r="A8508" t="s">
        <v>25255</v>
      </c>
      <c r="B8508" t="s">
        <v>25256</v>
      </c>
      <c r="C8508" t="s">
        <v>25257</v>
      </c>
      <c r="D8508" t="str">
        <f>HYPERLINK("https://github.com/nextcloud/android/issues/5003","show")</f>
        <v>show</v>
      </c>
      <c r="E8508" t="str">
        <f>HYPERLINK("https://github.com/nextcloud/android","show")</f>
        <v>show</v>
      </c>
      <c r="F8508" t="str">
        <f>HYPERLINK("https://github.com/nextcloud/android/releases","show")</f>
        <v>show</v>
      </c>
    </row>
    <row r="8509" spans="1:6">
      <c r="A8509" t="s">
        <v>25258</v>
      </c>
      <c r="B8509" t="s">
        <v>25259</v>
      </c>
      <c r="C8509" t="s">
        <v>25260</v>
      </c>
      <c r="D8509" t="str">
        <f>HYPERLINK("https://github.com/Neamar/KISS/issues/1312","show")</f>
        <v>show</v>
      </c>
      <c r="E8509" t="str">
        <f>HYPERLINK("https://github.com/Neamar/KISS","show")</f>
        <v>show</v>
      </c>
      <c r="F8509" t="str">
        <f>HYPERLINK("https://github.com/Neamar/KISS/releases","show")</f>
        <v>show</v>
      </c>
    </row>
    <row r="8510" spans="1:6">
      <c r="A8510" t="s">
        <v>25261</v>
      </c>
      <c r="B8510" t="s">
        <v>16682</v>
      </c>
      <c r="C8510" t="s">
        <v>25262</v>
      </c>
      <c r="D8510" t="str">
        <f>HYPERLINK("https://github.com/ElderDrivers/EdXposed/issues/410","show")</f>
        <v>show</v>
      </c>
      <c r="E8510" t="str">
        <f>HYPERLINK("https://github.com/ElderDrivers/EdXposed","show")</f>
        <v>show</v>
      </c>
      <c r="F8510" t="str">
        <f>HYPERLINK("https://github.com/ElderDrivers/EdXposed/releases","show")</f>
        <v>show</v>
      </c>
    </row>
    <row r="8511" spans="1:6">
      <c r="A8511" t="s">
        <v>25263</v>
      </c>
      <c r="B8511" t="s">
        <v>25264</v>
      </c>
      <c r="C8511" t="s">
        <v>25265</v>
      </c>
      <c r="D8511" t="str">
        <f>HYPERLINK("https://github.com/ostrya/PresencePublisher/issues/19","show")</f>
        <v>show</v>
      </c>
      <c r="E8511" t="str">
        <f>HYPERLINK("https://github.com/ostrya/PresencePublisher","show")</f>
        <v>show</v>
      </c>
      <c r="F8511" t="str">
        <f>HYPERLINK("https://github.com/ostrya/PresencePublisher/releases","show")</f>
        <v>show</v>
      </c>
    </row>
    <row r="8512" spans="1:6">
      <c r="A8512" t="s">
        <v>25266</v>
      </c>
      <c r="B8512" t="s">
        <v>25267</v>
      </c>
      <c r="C8512" t="s">
        <v>25268</v>
      </c>
      <c r="D8512" t="str">
        <f>HYPERLINK("https://github.com/fossasia/open-event-organizer-android/issues/2001","show")</f>
        <v>show</v>
      </c>
      <c r="E8512" t="str">
        <f>HYPERLINK("https://github.com/fossasia/open-event-organizer-android","show")</f>
        <v>show</v>
      </c>
      <c r="F8512" t="str">
        <f>HYPERLINK("https://github.com/fossasia/open-event-organizer-android/releases","show")</f>
        <v>show</v>
      </c>
    </row>
    <row r="8513" spans="1:6">
      <c r="A8513" t="s">
        <v>25269</v>
      </c>
      <c r="B8513" t="s">
        <v>25270</v>
      </c>
      <c r="C8513" t="s">
        <v>25271</v>
      </c>
      <c r="D8513" t="str">
        <f>HYPERLINK("https://github.com/facebook/SoLoader/issues/55","show")</f>
        <v>show</v>
      </c>
      <c r="E8513" t="str">
        <f>HYPERLINK("https://github.com/facebook/SoLoader","show")</f>
        <v>show</v>
      </c>
      <c r="F8513" t="str">
        <f>HYPERLINK("https://github.com/facebook/SoLoader/releases","show")</f>
        <v>show</v>
      </c>
    </row>
    <row r="8514" spans="1:6">
      <c r="A8514" t="s">
        <v>25272</v>
      </c>
      <c r="B8514" t="s">
        <v>25273</v>
      </c>
      <c r="C8514" t="s">
        <v>25274</v>
      </c>
      <c r="D8514" t="str">
        <f>HYPERLINK("https://github.com/nextcloud/android/issues/4999","show")</f>
        <v>show</v>
      </c>
      <c r="E8514" t="str">
        <f>HYPERLINK("https://github.com/nextcloud/android","show")</f>
        <v>show</v>
      </c>
      <c r="F8514" t="str">
        <f>HYPERLINK("https://github.com/nextcloud/android/releases","show")</f>
        <v>show</v>
      </c>
    </row>
    <row r="8515" spans="1:6">
      <c r="A8515" t="s">
        <v>25275</v>
      </c>
      <c r="B8515" t="s">
        <v>25276</v>
      </c>
      <c r="C8515" t="s">
        <v>25277</v>
      </c>
      <c r="D8515" t="str">
        <f>HYPERLINK("https://github.com/opensrp/opensrp-client-immunization/issues/113","show")</f>
        <v>show</v>
      </c>
      <c r="E8515" t="str">
        <f>HYPERLINK("https://github.com/opensrp/opensrp-client-immunization","show")</f>
        <v>show</v>
      </c>
      <c r="F8515" t="str">
        <f>HYPERLINK("https://github.com/opensrp/opensrp-client-immunization/releases","show")</f>
        <v>show</v>
      </c>
    </row>
    <row r="8516" spans="1:6">
      <c r="A8516" t="s">
        <v>25278</v>
      </c>
      <c r="B8516" t="s">
        <v>25279</v>
      </c>
      <c r="C8516" t="s">
        <v>25280</v>
      </c>
      <c r="D8516" t="str">
        <f>HYPERLINK("https://github.com/MartyrPher/SMAPI-Android-Installer/issues/39","show")</f>
        <v>show</v>
      </c>
      <c r="E8516" t="str">
        <f>HYPERLINK("https://github.com/MartyrPher/SMAPI-Android-Installer","show")</f>
        <v>show</v>
      </c>
      <c r="F8516" t="str">
        <f>HYPERLINK("https://github.com/MartyrPher/SMAPI-Android-Installer/releases","show")</f>
        <v>show</v>
      </c>
    </row>
    <row r="8517" spans="1:6">
      <c r="A8517" t="s">
        <v>25281</v>
      </c>
      <c r="B8517" t="s">
        <v>25282</v>
      </c>
      <c r="C8517" t="s">
        <v>25283</v>
      </c>
      <c r="D8517" t="str">
        <f>HYPERLINK("https://github.com/nextcloud/android/issues/4993","show")</f>
        <v>show</v>
      </c>
      <c r="E8517" t="str">
        <f>HYPERLINK("https://github.com/nextcloud/android","show")</f>
        <v>show</v>
      </c>
      <c r="F8517" t="str">
        <f>HYPERLINK("https://github.com/nextcloud/android/releases","show")</f>
        <v>show</v>
      </c>
    </row>
    <row r="8518" spans="1:6">
      <c r="A8518" t="s">
        <v>25284</v>
      </c>
      <c r="B8518" t="s">
        <v>25285</v>
      </c>
      <c r="C8518" t="s">
        <v>25286</v>
      </c>
      <c r="D8518" t="str">
        <f>HYPERLINK("https://github.com/ElderDrivers/EdXposed/issues/409","show")</f>
        <v>show</v>
      </c>
      <c r="E8518" t="str">
        <f>HYPERLINK("https://github.com/ElderDrivers/EdXposed","show")</f>
        <v>show</v>
      </c>
      <c r="F8518" t="str">
        <f>HYPERLINK("https://github.com/ElderDrivers/EdXposed/releases","show")</f>
        <v>show</v>
      </c>
    </row>
    <row r="8519" spans="1:6">
      <c r="A8519" t="s">
        <v>25287</v>
      </c>
      <c r="B8519" t="s">
        <v>25288</v>
      </c>
      <c r="C8519" t="s">
        <v>25289</v>
      </c>
      <c r="D8519" t="str">
        <f>HYPERLINK("https://github.com/hzi-braunschweig/SORMAS-Project/issues/1419","show")</f>
        <v>show</v>
      </c>
      <c r="E8519" t="str">
        <f>HYPERLINK("https://github.com/hzi-braunschweig/SORMAS-Project","show")</f>
        <v>show</v>
      </c>
      <c r="F8519" t="str">
        <f>HYPERLINK("https://github.com/hzi-braunschweig/SORMAS-Project/releases","show")</f>
        <v>show</v>
      </c>
    </row>
    <row r="8520" spans="1:6">
      <c r="A8520" t="s">
        <v>25290</v>
      </c>
      <c r="B8520" t="s">
        <v>25291</v>
      </c>
      <c r="C8520" t="s">
        <v>25292</v>
      </c>
      <c r="D8520" t="str">
        <f>HYPERLINK("https://github.com/niranjan-nagaraju/notification-center/issues/7","show")</f>
        <v>show</v>
      </c>
      <c r="E8520" t="str">
        <f>HYPERLINK("https://github.com/niranjan-nagaraju/notification-center","show")</f>
        <v>show</v>
      </c>
      <c r="F8520" t="str">
        <f>HYPERLINK("https://github.com/niranjan-nagaraju/notification-center/releases","show")</f>
        <v>show</v>
      </c>
    </row>
    <row r="8521" spans="1:6">
      <c r="A8521" t="s">
        <v>25293</v>
      </c>
      <c r="B8521" t="s">
        <v>25294</v>
      </c>
      <c r="C8521" t="s">
        <v>25295</v>
      </c>
      <c r="D8521" t="str">
        <f>HYPERLINK("https://github.com/forrestguice/SuntimesWidget/issues/376","show")</f>
        <v>show</v>
      </c>
      <c r="E8521" t="str">
        <f>HYPERLINK("https://github.com/forrestguice/SuntimesWidget","show")</f>
        <v>show</v>
      </c>
      <c r="F8521" t="str">
        <f>HYPERLINK("https://github.com/forrestguice/SuntimesWidget/releases","show")</f>
        <v>show</v>
      </c>
    </row>
    <row r="8522" spans="1:6">
      <c r="A8522" t="s">
        <v>25296</v>
      </c>
      <c r="B8522" t="s">
        <v>25297</v>
      </c>
      <c r="C8522" t="s">
        <v>25298</v>
      </c>
      <c r="D8522" t="str">
        <f>HYPERLINK("https://github.com/bilde2910/Hauk/issues/100","show")</f>
        <v>show</v>
      </c>
      <c r="E8522" t="str">
        <f>HYPERLINK("https://github.com/bilde2910/Hauk","show")</f>
        <v>show</v>
      </c>
      <c r="F8522" t="str">
        <f>HYPERLINK("https://github.com/bilde2910/Hauk/releases","show")</f>
        <v>show</v>
      </c>
    </row>
    <row r="8523" spans="1:6">
      <c r="A8523" t="s">
        <v>25299</v>
      </c>
      <c r="B8523" t="s">
        <v>25300</v>
      </c>
      <c r="C8523" t="s">
        <v>25301</v>
      </c>
      <c r="D8523" t="str">
        <f>HYPERLINK("https://github.com/deltachat/deltachat-android/issues/1158","show")</f>
        <v>show</v>
      </c>
      <c r="E8523" t="str">
        <f>HYPERLINK("https://github.com/deltachat/deltachat-android","show")</f>
        <v>show</v>
      </c>
      <c r="F8523" t="str">
        <f>HYPERLINK("https://github.com/deltachat/deltachat-android/releases","show")</f>
        <v>show</v>
      </c>
    </row>
    <row r="8524" spans="1:6">
      <c r="A8524" t="s">
        <v>25302</v>
      </c>
      <c r="B8524" t="s">
        <v>25303</v>
      </c>
      <c r="C8524" t="s">
        <v>25304</v>
      </c>
      <c r="D8524" t="str">
        <f>HYPERLINK("https://github.com/fossasia/phimpme-android/issues/2939","show")</f>
        <v>show</v>
      </c>
      <c r="E8524" t="str">
        <f>HYPERLINK("https://github.com/fossasia/phimpme-android","show")</f>
        <v>show</v>
      </c>
      <c r="F8524" t="str">
        <f>HYPERLINK("https://github.com/fossasia/phimpme-android/releases","show")</f>
        <v>show</v>
      </c>
    </row>
    <row r="8525" spans="1:6">
      <c r="A8525" t="s">
        <v>25305</v>
      </c>
      <c r="B8525" t="s">
        <v>25306</v>
      </c>
      <c r="C8525" t="s">
        <v>25307</v>
      </c>
      <c r="D8525" t="str">
        <f>HYPERLINK("https://github.com/k9mail/k-9/issues/4359","show")</f>
        <v>show</v>
      </c>
      <c r="E8525" t="str">
        <f>HYPERLINK("https://github.com/k9mail/k-9","show")</f>
        <v>show</v>
      </c>
      <c r="F8525" t="str">
        <f>HYPERLINK("https://github.com/k9mail/k-9/releases","show")</f>
        <v>show</v>
      </c>
    </row>
    <row r="8526" spans="1:6">
      <c r="A8526" t="s">
        <v>25308</v>
      </c>
      <c r="B8526" t="s">
        <v>25309</v>
      </c>
      <c r="C8526" t="s">
        <v>25310</v>
      </c>
      <c r="D8526" t="str">
        <f>HYPERLINK("https://github.com/nextcloud/android/issues/4986","show")</f>
        <v>show</v>
      </c>
      <c r="E8526" t="str">
        <f>HYPERLINK("https://github.com/nextcloud/android","show")</f>
        <v>show</v>
      </c>
      <c r="F8526" t="str">
        <f>HYPERLINK("https://github.com/nextcloud/android/releases","show")</f>
        <v>show</v>
      </c>
    </row>
    <row r="8527" spans="1:6">
      <c r="A8527" t="s">
        <v>25311</v>
      </c>
      <c r="B8527" t="s">
        <v>25312</v>
      </c>
      <c r="C8527" t="s">
        <v>25313</v>
      </c>
      <c r="D8527" t="str">
        <f>HYPERLINK("https://github.com/nextcloud/android/issues/4985","show")</f>
        <v>show</v>
      </c>
      <c r="E8527" t="str">
        <f>HYPERLINK("https://github.com/nextcloud/android","show")</f>
        <v>show</v>
      </c>
      <c r="F8527" t="str">
        <f>HYPERLINK("https://github.com/nextcloud/android/releases","show")</f>
        <v>show</v>
      </c>
    </row>
    <row r="8528" spans="1:6">
      <c r="A8528" t="s">
        <v>25314</v>
      </c>
      <c r="B8528" t="s">
        <v>25315</v>
      </c>
      <c r="C8528" t="s">
        <v>25316</v>
      </c>
      <c r="D8528" t="str">
        <f>HYPERLINK("https://github.com/nextcloud/android/issues/4984","show")</f>
        <v>show</v>
      </c>
      <c r="E8528" t="str">
        <f>HYPERLINK("https://github.com/nextcloud/android","show")</f>
        <v>show</v>
      </c>
      <c r="F8528" t="str">
        <f>HYPERLINK("https://github.com/nextcloud/android/releases","show")</f>
        <v>show</v>
      </c>
    </row>
    <row r="8529" spans="1:6">
      <c r="A8529" t="s">
        <v>25317</v>
      </c>
      <c r="B8529" t="s">
        <v>25318</v>
      </c>
      <c r="C8529" t="s">
        <v>25319</v>
      </c>
      <c r="D8529" t="str">
        <f>HYPERLINK("https://github.com/ankidroid/Anki-Android/issues/5654","show")</f>
        <v>show</v>
      </c>
      <c r="E8529" t="str">
        <f>HYPERLINK("https://github.com/ankidroid/Anki-Android","show")</f>
        <v>show</v>
      </c>
      <c r="F8529" t="str">
        <f>HYPERLINK("https://github.com/ankidroid/Anki-Android/releases","show")</f>
        <v>show</v>
      </c>
    </row>
    <row r="8530" spans="1:6">
      <c r="A8530" t="s">
        <v>25320</v>
      </c>
      <c r="B8530" t="s">
        <v>25321</v>
      </c>
      <c r="C8530" t="s">
        <v>25322</v>
      </c>
      <c r="D8530" t="str">
        <f>HYPERLINK("https://github.com/nextcloud/android/issues/4981","show")</f>
        <v>show</v>
      </c>
      <c r="E8530" t="str">
        <f>HYPERLINK("https://github.com/nextcloud/android","show")</f>
        <v>show</v>
      </c>
      <c r="F8530" t="str">
        <f>HYPERLINK("https://github.com/nextcloud/android/releases","show")</f>
        <v>show</v>
      </c>
    </row>
    <row r="8531" spans="1:6">
      <c r="A8531" t="s">
        <v>25323</v>
      </c>
      <c r="B8531" t="s">
        <v>25324</v>
      </c>
      <c r="C8531" t="s">
        <v>25325</v>
      </c>
      <c r="D8531" t="str">
        <f>HYPERLINK("https://github.com/nextcloud/android/issues/4972","show")</f>
        <v>show</v>
      </c>
      <c r="E8531" t="str">
        <f>HYPERLINK("https://github.com/nextcloud/android","show")</f>
        <v>show</v>
      </c>
      <c r="F8531" t="str">
        <f>HYPERLINK("https://github.com/nextcloud/android/releases","show")</f>
        <v>show</v>
      </c>
    </row>
    <row r="8532" spans="1:6">
      <c r="A8532" t="s">
        <v>25326</v>
      </c>
      <c r="B8532" t="s">
        <v>25327</v>
      </c>
      <c r="C8532" t="s">
        <v>25328</v>
      </c>
      <c r="D8532" t="str">
        <f>HYPERLINK("https://github.com/fossasia/pslab-android/issues/2019","show")</f>
        <v>show</v>
      </c>
      <c r="E8532" t="str">
        <f>HYPERLINK("https://github.com/fossasia/pslab-android","show")</f>
        <v>show</v>
      </c>
      <c r="F8532" t="str">
        <f>HYPERLINK("https://github.com/fossasia/pslab-android/releases","show")</f>
        <v>show</v>
      </c>
    </row>
    <row r="8533" spans="1:6">
      <c r="A8533" t="s">
        <v>25329</v>
      </c>
      <c r="B8533" t="s">
        <v>25330</v>
      </c>
      <c r="C8533" t="s">
        <v>25331</v>
      </c>
      <c r="D8533" t="str">
        <f>HYPERLINK("https://github.com/commons-app/apps-android-commons/issues/3288","show")</f>
        <v>show</v>
      </c>
      <c r="E8533" t="str">
        <f>HYPERLINK("https://github.com/commons-app/apps-android-commons","show")</f>
        <v>show</v>
      </c>
      <c r="F8533" t="str">
        <f>HYPERLINK("https://github.com/commons-app/apps-android-commons/releases","show")</f>
        <v>show</v>
      </c>
    </row>
    <row r="8534" spans="1:6">
      <c r="A8534" t="s">
        <v>25332</v>
      </c>
      <c r="B8534" t="s">
        <v>6453</v>
      </c>
      <c r="C8534" t="s">
        <v>25333</v>
      </c>
      <c r="D8534" t="str">
        <f>HYPERLINK("https://github.com/fossasia/pslab-android/issues/2017","show")</f>
        <v>show</v>
      </c>
      <c r="E8534" t="str">
        <f>HYPERLINK("https://github.com/fossasia/pslab-android","show")</f>
        <v>show</v>
      </c>
      <c r="F8534" t="str">
        <f>HYPERLINK("https://github.com/fossasia/pslab-android/releases","show")</f>
        <v>show</v>
      </c>
    </row>
    <row r="8535" spans="1:6">
      <c r="A8535" t="s">
        <v>25334</v>
      </c>
      <c r="B8535" t="s">
        <v>25335</v>
      </c>
      <c r="C8535" t="s">
        <v>25336</v>
      </c>
      <c r="D8535" t="str">
        <f>HYPERLINK("https://github.com/google/ExoPlayer/issues/6738","show")</f>
        <v>show</v>
      </c>
      <c r="E8535" t="str">
        <f>HYPERLINK("https://github.com/google/ExoPlayer","show")</f>
        <v>show</v>
      </c>
      <c r="F8535" t="str">
        <f>HYPERLINK("https://github.com/google/ExoPlayer/releases","show")</f>
        <v>show</v>
      </c>
    </row>
    <row r="8536" spans="1:6">
      <c r="A8536" t="s">
        <v>25337</v>
      </c>
      <c r="B8536" t="s">
        <v>25338</v>
      </c>
      <c r="C8536" t="s">
        <v>25339</v>
      </c>
      <c r="D8536" t="str">
        <f>HYPERLINK("https://github.com/usabilla/usabilla-u4a-react-native/issues/87","show")</f>
        <v>show</v>
      </c>
      <c r="E8536" t="str">
        <f>HYPERLINK("https://github.com/usabilla/usabilla-u4a-react-native","show")</f>
        <v>show</v>
      </c>
      <c r="F8536" t="str">
        <f>HYPERLINK("https://github.com/usabilla/usabilla-u4a-react-native/releases","show")</f>
        <v>show</v>
      </c>
    </row>
    <row r="8537" spans="1:6">
      <c r="A8537" t="s">
        <v>25340</v>
      </c>
      <c r="B8537" t="s">
        <v>25341</v>
      </c>
      <c r="C8537" t="s">
        <v>25342</v>
      </c>
      <c r="D8537" t="str">
        <f>HYPERLINK("https://github.com/libgdx/libgdx/issues/5857","show")</f>
        <v>show</v>
      </c>
      <c r="E8537" t="str">
        <f>HYPERLINK("https://github.com/libgdx/libgdx","show")</f>
        <v>show</v>
      </c>
      <c r="F8537" t="str">
        <f>HYPERLINK("https://github.com/libgdx/libgdx/releases","show")</f>
        <v>show</v>
      </c>
    </row>
    <row r="8538" spans="1:6">
      <c r="A8538" t="s">
        <v>25343</v>
      </c>
      <c r="B8538" t="s">
        <v>25344</v>
      </c>
      <c r="C8538" t="s">
        <v>25345</v>
      </c>
      <c r="D8538" t="str">
        <f>HYPERLINK("https://github.com/Foodies-cs262/client/issues/57","show")</f>
        <v>show</v>
      </c>
      <c r="E8538" t="str">
        <f>HYPERLINK("https://github.com/Foodies-cs262/client","show")</f>
        <v>show</v>
      </c>
      <c r="F8538" t="str">
        <f>HYPERLINK("https://github.com/Foodies-cs262/client/releases","show")</f>
        <v>show</v>
      </c>
    </row>
    <row r="8539" spans="1:6">
      <c r="A8539" t="s">
        <v>25346</v>
      </c>
      <c r="B8539" t="s">
        <v>25347</v>
      </c>
      <c r="C8539" t="s">
        <v>25348</v>
      </c>
      <c r="D8539" t="str">
        <f>HYPERLINK("https://github.com/fossasia/open-event-organizer-android/issues/1990","show")</f>
        <v>show</v>
      </c>
      <c r="E8539" t="str">
        <f>HYPERLINK("https://github.com/fossasia/open-event-organizer-android","show")</f>
        <v>show</v>
      </c>
      <c r="F8539" t="str">
        <f>HYPERLINK("https://github.com/fossasia/open-event-organizer-android/releases","show")</f>
        <v>show</v>
      </c>
    </row>
    <row r="8540" spans="1:6">
      <c r="A8540" t="s">
        <v>25349</v>
      </c>
      <c r="B8540" t="s">
        <v>25350</v>
      </c>
      <c r="C8540" t="s">
        <v>25351</v>
      </c>
      <c r="D8540" t="str">
        <f>HYPERLINK("https://github.com/nextcloud/android/issues/4955","show")</f>
        <v>show</v>
      </c>
      <c r="E8540" t="str">
        <f>HYPERLINK("https://github.com/nextcloud/android","show")</f>
        <v>show</v>
      </c>
      <c r="F8540" t="str">
        <f>HYPERLINK("https://github.com/nextcloud/android/releases","show")</f>
        <v>show</v>
      </c>
    </row>
    <row r="8541" spans="1:6">
      <c r="A8541" t="s">
        <v>25352</v>
      </c>
      <c r="B8541" t="s">
        <v>25353</v>
      </c>
      <c r="C8541" t="s">
        <v>25354</v>
      </c>
      <c r="D8541" t="str">
        <f>HYPERLINK("https://github.com/nextcloud/android/issues/4951","show")</f>
        <v>show</v>
      </c>
      <c r="E8541" t="str">
        <f>HYPERLINK("https://github.com/nextcloud/android","show")</f>
        <v>show</v>
      </c>
      <c r="F8541" t="str">
        <f>HYPERLINK("https://github.com/nextcloud/android/releases","show")</f>
        <v>show</v>
      </c>
    </row>
    <row r="8542" spans="1:6">
      <c r="A8542" t="s">
        <v>25355</v>
      </c>
      <c r="B8542" t="s">
        <v>25356</v>
      </c>
      <c r="C8542" t="s">
        <v>25357</v>
      </c>
      <c r="D8542" t="str">
        <f>HYPERLINK("https://github.com/andOTP/andOTP/issues/437","show")</f>
        <v>show</v>
      </c>
      <c r="E8542" t="str">
        <f>HYPERLINK("https://github.com/andOTP/andOTP","show")</f>
        <v>show</v>
      </c>
      <c r="F8542" t="str">
        <f>HYPERLINK("https://github.com/andOTP/andOTP/releases","show")</f>
        <v>show</v>
      </c>
    </row>
    <row r="8543" spans="1:6">
      <c r="A8543" t="s">
        <v>25358</v>
      </c>
      <c r="B8543" t="s">
        <v>25359</v>
      </c>
      <c r="C8543" t="s">
        <v>25360</v>
      </c>
      <c r="D8543" t="str">
        <f>HYPERLINK("https://github.com/marksuth/indigenous-android/issues/264","show")</f>
        <v>show</v>
      </c>
      <c r="E8543" t="str">
        <f>HYPERLINK("https://github.com/marksuth/indigenous-android","show")</f>
        <v>show</v>
      </c>
      <c r="F8543" t="str">
        <f>HYPERLINK("https://github.com/marksuth/indigenous-android/releases","show")</f>
        <v>show</v>
      </c>
    </row>
    <row r="8544" spans="1:6">
      <c r="A8544" t="s">
        <v>25361</v>
      </c>
      <c r="B8544" t="s">
        <v>25362</v>
      </c>
      <c r="C8544" t="s">
        <v>25363</v>
      </c>
      <c r="D8544" t="str">
        <f>HYPERLINK("https://github.com/k9mail/k-9/issues/4343","show")</f>
        <v>show</v>
      </c>
      <c r="E8544" t="str">
        <f>HYPERLINK("https://github.com/k9mail/k-9","show")</f>
        <v>show</v>
      </c>
      <c r="F8544" t="str">
        <f>HYPERLINK("https://github.com/k9mail/k-9/releases","show")</f>
        <v>show</v>
      </c>
    </row>
    <row r="8545" spans="1:6">
      <c r="A8545" t="s">
        <v>25364</v>
      </c>
      <c r="B8545" t="s">
        <v>25365</v>
      </c>
      <c r="C8545" t="s">
        <v>25366</v>
      </c>
      <c r="D8545" t="str">
        <f>HYPERLINK("https://github.com/OpenArchive/Save-app-android/issues/173","show")</f>
        <v>show</v>
      </c>
      <c r="E8545" t="str">
        <f>HYPERLINK("https://github.com/OpenArchive/Save-app-android","show")</f>
        <v>show</v>
      </c>
      <c r="F8545" t="str">
        <f>HYPERLINK("https://github.com/OpenArchive/Save-app-android/releases","show")</f>
        <v>show</v>
      </c>
    </row>
    <row r="8546" spans="1:6">
      <c r="A8546" t="s">
        <v>25367</v>
      </c>
      <c r="B8546" t="s">
        <v>25368</v>
      </c>
      <c r="C8546" t="s">
        <v>25369</v>
      </c>
      <c r="D8546" t="str">
        <f>HYPERLINK("https://github.com/inaturalist/iNaturalistAndroid/issues/756","show")</f>
        <v>show</v>
      </c>
      <c r="E8546" t="str">
        <f>HYPERLINK("https://github.com/inaturalist/iNaturalistAndroid","show")</f>
        <v>show</v>
      </c>
      <c r="F8546" t="str">
        <f>HYPERLINK("https://github.com/inaturalist/iNaturalistAndroid/releases","show")</f>
        <v>show</v>
      </c>
    </row>
    <row r="8547" spans="1:6">
      <c r="A8547" t="s">
        <v>25370</v>
      </c>
      <c r="B8547" t="s">
        <v>25371</v>
      </c>
      <c r="C8547" t="s">
        <v>25372</v>
      </c>
      <c r="D8547" t="str">
        <f>HYPERLINK("https://github.com/nextcloud/android/issues/4942","show")</f>
        <v>show</v>
      </c>
      <c r="E8547" t="str">
        <f>HYPERLINK("https://github.com/nextcloud/android","show")</f>
        <v>show</v>
      </c>
      <c r="F8547" t="str">
        <f>HYPERLINK("https://github.com/nextcloud/android/releases","show")</f>
        <v>show</v>
      </c>
    </row>
    <row r="8548" spans="1:6">
      <c r="A8548" t="s">
        <v>25373</v>
      </c>
      <c r="B8548" t="s">
        <v>25374</v>
      </c>
      <c r="C8548" t="s">
        <v>25375</v>
      </c>
      <c r="D8548" t="str">
        <f>HYPERLINK("https://github.com/onaio/kujaku/issues/326","show")</f>
        <v>show</v>
      </c>
      <c r="E8548" t="str">
        <f>HYPERLINK("https://github.com/onaio/kujaku","show")</f>
        <v>show</v>
      </c>
      <c r="F8548" t="str">
        <f>HYPERLINK("https://github.com/onaio/kujaku/releases","show")</f>
        <v>show</v>
      </c>
    </row>
    <row r="8549" spans="1:6">
      <c r="A8549" t="s">
        <v>25376</v>
      </c>
      <c r="B8549" t="s">
        <v>25377</v>
      </c>
      <c r="C8549" t="s">
        <v>25378</v>
      </c>
      <c r="D8549" t="str">
        <f>HYPERLINK("https://github.com/alipay/SoloPi/issues/120","show")</f>
        <v>show</v>
      </c>
      <c r="E8549" t="str">
        <f>HYPERLINK("https://github.com/alipay/SoloPi","show")</f>
        <v>show</v>
      </c>
      <c r="F8549" t="str">
        <f>HYPERLINK("https://github.com/alipay/SoloPi/releases","show")</f>
        <v>show</v>
      </c>
    </row>
    <row r="8550" spans="1:6">
      <c r="A8550" t="s">
        <v>25379</v>
      </c>
      <c r="B8550" t="s">
        <v>25380</v>
      </c>
      <c r="C8550" t="s">
        <v>25381</v>
      </c>
      <c r="D8550" t="str">
        <f>HYPERLINK("https://github.com/ElderDrivers/EdXposed/issues/402","show")</f>
        <v>show</v>
      </c>
      <c r="E8550" t="str">
        <f>HYPERLINK("https://github.com/ElderDrivers/EdXposed","show")</f>
        <v>show</v>
      </c>
      <c r="F8550" t="str">
        <f>HYPERLINK("https://github.com/ElderDrivers/EdXposed/releases","show")</f>
        <v>show</v>
      </c>
    </row>
    <row r="8551" spans="1:6">
      <c r="A8551" t="s">
        <v>25382</v>
      </c>
      <c r="B8551" t="s">
        <v>25383</v>
      </c>
      <c r="C8551" t="s">
        <v>25384</v>
      </c>
      <c r="D8551" t="str">
        <f>HYPERLINK("https://github.com/k9mail/k-9/issues/4341","show")</f>
        <v>show</v>
      </c>
      <c r="E8551" t="str">
        <f>HYPERLINK("https://github.com/k9mail/k-9","show")</f>
        <v>show</v>
      </c>
      <c r="F8551" t="str">
        <f>HYPERLINK("https://github.com/k9mail/k-9/releases","show")</f>
        <v>show</v>
      </c>
    </row>
    <row r="8552" spans="1:6">
      <c r="A8552" t="s">
        <v>25385</v>
      </c>
      <c r="B8552" t="s">
        <v>25386</v>
      </c>
      <c r="C8552" t="s">
        <v>25387</v>
      </c>
      <c r="D8552" t="str">
        <f>HYPERLINK("https://github.com/android/tv-samples/issues/13","show")</f>
        <v>show</v>
      </c>
      <c r="E8552" t="str">
        <f>HYPERLINK("https://github.com/android/tv-samples","show")</f>
        <v>show</v>
      </c>
      <c r="F8552" t="str">
        <f>HYPERLINK("https://github.com/android/tv-samples/releases","show")</f>
        <v>show</v>
      </c>
    </row>
    <row r="8553" spans="1:6">
      <c r="A8553" t="s">
        <v>25388</v>
      </c>
      <c r="B8553" t="s">
        <v>25389</v>
      </c>
      <c r="C8553" t="s">
        <v>25390</v>
      </c>
      <c r="D8553" t="str">
        <f>HYPERLINK("https://github.com/nextcloud/android/issues/4931","show")</f>
        <v>show</v>
      </c>
      <c r="E8553" t="str">
        <f>HYPERLINK("https://github.com/nextcloud/android","show")</f>
        <v>show</v>
      </c>
      <c r="F8553" t="str">
        <f>HYPERLINK("https://github.com/nextcloud/android/releases","show")</f>
        <v>show</v>
      </c>
    </row>
    <row r="8554" spans="1:6">
      <c r="A8554" t="s">
        <v>25391</v>
      </c>
      <c r="B8554" t="s">
        <v>25392</v>
      </c>
      <c r="C8554" t="s">
        <v>25393</v>
      </c>
      <c r="D8554" t="str">
        <f>HYPERLINK("https://github.com/inaturalist/iNaturalistAndroid/issues/755","show")</f>
        <v>show</v>
      </c>
      <c r="E8554" t="str">
        <f>HYPERLINK("https://github.com/inaturalist/iNaturalistAndroid","show")</f>
        <v>show</v>
      </c>
      <c r="F8554" t="str">
        <f>HYPERLINK("https://github.com/inaturalist/iNaturalistAndroid/releases","show")</f>
        <v>show</v>
      </c>
    </row>
    <row r="8555" spans="1:6">
      <c r="A8555" t="s">
        <v>25394</v>
      </c>
      <c r="B8555" t="s">
        <v>25395</v>
      </c>
      <c r="C8555" t="s">
        <v>25396</v>
      </c>
      <c r="D8555" t="str">
        <f>HYPERLINK("https://github.com/TeamNewPipe/NewPipe/issues/2838","show")</f>
        <v>show</v>
      </c>
      <c r="E8555" t="str">
        <f>HYPERLINK("https://github.com/TeamNewPipe/NewPipe","show")</f>
        <v>show</v>
      </c>
      <c r="F8555" t="str">
        <f>HYPERLINK("https://github.com/TeamNewPipe/NewPipe/releases","show")</f>
        <v>show</v>
      </c>
    </row>
    <row r="8556" spans="1:6">
      <c r="A8556" t="s">
        <v>25397</v>
      </c>
      <c r="B8556" t="s">
        <v>25398</v>
      </c>
      <c r="C8556" t="s">
        <v>25399</v>
      </c>
      <c r="D8556" t="str">
        <f>HYPERLINK("https://github.com/nextcloud/android/issues/4914","show")</f>
        <v>show</v>
      </c>
      <c r="E8556" t="str">
        <f>HYPERLINK("https://github.com/nextcloud/android","show")</f>
        <v>show</v>
      </c>
      <c r="F8556" t="str">
        <f>HYPERLINK("https://github.com/nextcloud/android/releases","show")</f>
        <v>show</v>
      </c>
    </row>
    <row r="8557" spans="1:6">
      <c r="A8557" t="s">
        <v>25400</v>
      </c>
      <c r="B8557" t="s">
        <v>25401</v>
      </c>
      <c r="C8557" t="s">
        <v>25402</v>
      </c>
      <c r="D8557" t="str">
        <f>HYPERLINK("https://github.com/0us/IE303911-Klubbhuset/issues/145","show")</f>
        <v>show</v>
      </c>
      <c r="E8557" t="str">
        <f>HYPERLINK("https://github.com/0us/IE303911-Klubbhuset","show")</f>
        <v>show</v>
      </c>
      <c r="F8557" t="str">
        <f>HYPERLINK("https://github.com/0us/IE303911-Klubbhuset/releases","show")</f>
        <v>show</v>
      </c>
    </row>
    <row r="8558" spans="1:6">
      <c r="A8558" t="s">
        <v>25403</v>
      </c>
      <c r="B8558" t="s">
        <v>25404</v>
      </c>
      <c r="C8558" t="s">
        <v>25405</v>
      </c>
      <c r="D8558" t="str">
        <f>HYPERLINK("https://github.com/CordelleNeufeld/FitBrosApp/issues/85","show")</f>
        <v>show</v>
      </c>
      <c r="E8558" t="str">
        <f>HYPERLINK("https://github.com/CordelleNeufeld/FitBrosApp","show")</f>
        <v>show</v>
      </c>
      <c r="F8558" t="str">
        <f>HYPERLINK("https://github.com/CordelleNeufeld/FitBrosApp/releases","show")</f>
        <v>show</v>
      </c>
    </row>
    <row r="8559" spans="1:6">
      <c r="A8559" t="s">
        <v>25406</v>
      </c>
      <c r="B8559" t="s">
        <v>25407</v>
      </c>
      <c r="C8559" t="s">
        <v>25408</v>
      </c>
      <c r="D8559" t="str">
        <f>HYPERLINK("https://github.com/nextcloud/android/issues/4905","show")</f>
        <v>show</v>
      </c>
      <c r="E8559" t="str">
        <f>HYPERLINK("https://github.com/nextcloud/android","show")</f>
        <v>show</v>
      </c>
      <c r="F8559" t="str">
        <f>HYPERLINK("https://github.com/nextcloud/android/releases","show")</f>
        <v>show</v>
      </c>
    </row>
    <row r="8560" spans="1:6">
      <c r="A8560" t="s">
        <v>25409</v>
      </c>
      <c r="B8560" t="s">
        <v>25410</v>
      </c>
      <c r="C8560" t="s">
        <v>25411</v>
      </c>
      <c r="D8560" t="str">
        <f>HYPERLINK("https://github.com/commons-app/apps-android-commons/issues/3244","show")</f>
        <v>show</v>
      </c>
      <c r="E8560" t="str">
        <f>HYPERLINK("https://github.com/commons-app/apps-android-commons","show")</f>
        <v>show</v>
      </c>
      <c r="F8560" t="str">
        <f>HYPERLINK("https://github.com/commons-app/apps-android-commons/releases","show")</f>
        <v>show</v>
      </c>
    </row>
    <row r="8561" spans="1:6">
      <c r="A8561" t="s">
        <v>25412</v>
      </c>
      <c r="B8561" t="s">
        <v>25413</v>
      </c>
      <c r="C8561" t="s">
        <v>25414</v>
      </c>
      <c r="D8561" t="str">
        <f>HYPERLINK("https://github.com/react-native-camera/react-native-camera/issues/2612","show")</f>
        <v>show</v>
      </c>
      <c r="E8561" t="str">
        <f>HYPERLINK("https://github.com/react-native-camera/react-native-camera","show")</f>
        <v>show</v>
      </c>
      <c r="F8561" t="str">
        <f>HYPERLINK("https://github.com/react-native-camera/react-native-camera/releases","show")</f>
        <v>show</v>
      </c>
    </row>
    <row r="8562" spans="1:6">
      <c r="A8562" t="s">
        <v>25415</v>
      </c>
      <c r="B8562" t="s">
        <v>25416</v>
      </c>
      <c r="C8562" t="s">
        <v>25417</v>
      </c>
      <c r="D8562" t="str">
        <f>HYPERLINK("https://github.com/commons-app/apps-android-commons/issues/3237","show")</f>
        <v>show</v>
      </c>
      <c r="E8562" t="str">
        <f>HYPERLINK("https://github.com/commons-app/apps-android-commons","show")</f>
        <v>show</v>
      </c>
      <c r="F8562" t="str">
        <f>HYPERLINK("https://github.com/commons-app/apps-android-commons/releases","show")</f>
        <v>show</v>
      </c>
    </row>
    <row r="8563" spans="1:6">
      <c r="A8563" t="s">
        <v>25418</v>
      </c>
      <c r="B8563" t="s">
        <v>25419</v>
      </c>
      <c r="C8563" t="s">
        <v>25420</v>
      </c>
      <c r="D8563" t="str">
        <f>HYPERLINK("https://github.com/commons-app/apps-android-commons/issues/3228","show")</f>
        <v>show</v>
      </c>
      <c r="E8563" t="str">
        <f>HYPERLINK("https://github.com/commons-app/apps-android-commons","show")</f>
        <v>show</v>
      </c>
      <c r="F8563" t="str">
        <f>HYPERLINK("https://github.com/commons-app/apps-android-commons/releases","show")</f>
        <v>show</v>
      </c>
    </row>
    <row r="8564" spans="1:6">
      <c r="A8564" t="s">
        <v>25421</v>
      </c>
      <c r="B8564" t="s">
        <v>25422</v>
      </c>
      <c r="C8564" t="s">
        <v>25423</v>
      </c>
      <c r="D8564" t="str">
        <f>HYPERLINK("https://github.com/k9mail/k-9/issues/4301","show")</f>
        <v>show</v>
      </c>
      <c r="E8564" t="str">
        <f>HYPERLINK("https://github.com/k9mail/k-9","show")</f>
        <v>show</v>
      </c>
      <c r="F8564" t="str">
        <f>HYPERLINK("https://github.com/k9mail/k-9/releases","show")</f>
        <v>show</v>
      </c>
    </row>
    <row r="8565" spans="1:6">
      <c r="A8565" t="s">
        <v>25424</v>
      </c>
      <c r="B8565" t="s">
        <v>25425</v>
      </c>
      <c r="C8565" t="s">
        <v>25426</v>
      </c>
      <c r="D8565" t="str">
        <f>HYPERLINK("https://github.com/0us/IE303911-Klubbhuset/issues/115","show")</f>
        <v>show</v>
      </c>
      <c r="E8565" t="str">
        <f>HYPERLINK("https://github.com/0us/IE303911-Klubbhuset","show")</f>
        <v>show</v>
      </c>
      <c r="F8565" t="str">
        <f>HYPERLINK("https://github.com/0us/IE303911-Klubbhuset/releases","show")</f>
        <v>show</v>
      </c>
    </row>
    <row r="8566" spans="1:6">
      <c r="A8566" t="s">
        <v>25427</v>
      </c>
      <c r="B8566" t="s">
        <v>25428</v>
      </c>
      <c r="C8566" t="s">
        <v>25429</v>
      </c>
      <c r="D8566" t="str">
        <f>HYPERLINK("https://github.com/MozillaReality/FirefoxReality/issues/2383","show")</f>
        <v>show</v>
      </c>
      <c r="E8566" t="str">
        <f>HYPERLINK("https://github.com/MozillaReality/FirefoxReality","show")</f>
        <v>show</v>
      </c>
      <c r="F8566" t="str">
        <f>HYPERLINK("https://github.com/MozillaReality/FirefoxReality/releases","show")</f>
        <v>show</v>
      </c>
    </row>
    <row r="8567" spans="1:6">
      <c r="A8567" t="s">
        <v>25430</v>
      </c>
      <c r="B8567" t="s">
        <v>25431</v>
      </c>
      <c r="C8567" t="s">
        <v>25432</v>
      </c>
      <c r="D8567" t="str">
        <f>HYPERLINK("https://github.com/fieldsight/fieldsight-mobile/issues/495","show")</f>
        <v>show</v>
      </c>
      <c r="E8567" t="str">
        <f>HYPERLINK("https://github.com/fieldsight/fieldsight-mobile","show")</f>
        <v>show</v>
      </c>
      <c r="F8567" t="str">
        <f>HYPERLINK("https://github.com/fieldsight/fieldsight-mobile/releases","show")</f>
        <v>show</v>
      </c>
    </row>
    <row r="8568" spans="1:6">
      <c r="A8568" t="s">
        <v>25433</v>
      </c>
      <c r="B8568" t="s">
        <v>25434</v>
      </c>
      <c r="C8568" t="s">
        <v>25435</v>
      </c>
      <c r="D8568" t="str">
        <f>HYPERLINK("https://github.com/inaturalist/react-native-inat-camera/issues/30","show")</f>
        <v>show</v>
      </c>
      <c r="E8568" t="str">
        <f>HYPERLINK("https://github.com/inaturalist/react-native-inat-camera","show")</f>
        <v>show</v>
      </c>
      <c r="F8568" t="str">
        <f>HYPERLINK("https://github.com/inaturalist/react-native-inat-camera/releases","show")</f>
        <v>show</v>
      </c>
    </row>
    <row r="8569" spans="1:6">
      <c r="A8569" t="s">
        <v>25436</v>
      </c>
      <c r="B8569" t="s">
        <v>25437</v>
      </c>
      <c r="C8569" t="s">
        <v>25438</v>
      </c>
      <c r="D8569" t="str">
        <f>HYPERLINK("https://github.com/smartdevicelink/sdl_java_suite/issues/1237","show")</f>
        <v>show</v>
      </c>
      <c r="E8569" t="str">
        <f>HYPERLINK("https://github.com/smartdevicelink/sdl_java_suite","show")</f>
        <v>show</v>
      </c>
      <c r="F8569" t="str">
        <f>HYPERLINK("https://github.com/smartdevicelink/sdl_java_suite/releases","show")</f>
        <v>show</v>
      </c>
    </row>
    <row r="8570" spans="1:6">
      <c r="A8570" t="s">
        <v>25439</v>
      </c>
      <c r="B8570" t="s">
        <v>25440</v>
      </c>
      <c r="C8570" t="s">
        <v>25441</v>
      </c>
      <c r="D8570" t="str">
        <f>HYPERLINK("https://github.com/opensrp/opensrp-client-giz-malawi/issues/153","show")</f>
        <v>show</v>
      </c>
      <c r="E8570" t="str">
        <f>HYPERLINK("https://github.com/opensrp/opensrp-client-giz-malawi","show")</f>
        <v>show</v>
      </c>
      <c r="F8570" t="str">
        <f>HYPERLINK("https://github.com/opensrp/opensrp-client-giz-malawi/releases","show")</f>
        <v>show</v>
      </c>
    </row>
    <row r="8571" spans="1:6">
      <c r="A8571" t="s">
        <v>25442</v>
      </c>
      <c r="B8571" t="s">
        <v>25443</v>
      </c>
      <c r="C8571" t="s">
        <v>25444</v>
      </c>
      <c r="D8571" t="str">
        <f>HYPERLINK("https://github.com/nextcloud/android/issues/4888","show")</f>
        <v>show</v>
      </c>
      <c r="E8571" t="str">
        <f>HYPERLINK("https://github.com/nextcloud/android","show")</f>
        <v>show</v>
      </c>
      <c r="F8571" t="str">
        <f>HYPERLINK("https://github.com/nextcloud/android/releases","show")</f>
        <v>show</v>
      </c>
    </row>
    <row r="8572" spans="1:6">
      <c r="A8572" t="s">
        <v>25445</v>
      </c>
      <c r="B8572" t="s">
        <v>25446</v>
      </c>
      <c r="C8572" t="s">
        <v>25447</v>
      </c>
      <c r="D8572" t="str">
        <f>HYPERLINK("https://github.com/deltachat/deltachat-android/issues/1128","show")</f>
        <v>show</v>
      </c>
      <c r="E8572" t="str">
        <f>HYPERLINK("https://github.com/deltachat/deltachat-android","show")</f>
        <v>show</v>
      </c>
      <c r="F8572" t="str">
        <f>HYPERLINK("https://github.com/deltachat/deltachat-android/releases","show")</f>
        <v>show</v>
      </c>
    </row>
    <row r="8573" spans="1:6">
      <c r="A8573" t="s">
        <v>25448</v>
      </c>
      <c r="B8573" t="s">
        <v>25449</v>
      </c>
      <c r="C8573" t="s">
        <v>25450</v>
      </c>
      <c r="D8573" t="str">
        <f>HYPERLINK("https://github.com/TrackerControl/tracker-control-android/issues/10","show")</f>
        <v>show</v>
      </c>
      <c r="E8573" t="str">
        <f>HYPERLINK("https://github.com/TrackerControl/tracker-control-android","show")</f>
        <v>show</v>
      </c>
      <c r="F8573" t="str">
        <f>HYPERLINK("https://github.com/TrackerControl/tracker-control-android/releases","show")</f>
        <v>show</v>
      </c>
    </row>
    <row r="8574" spans="1:6">
      <c r="A8574" t="s">
        <v>25451</v>
      </c>
      <c r="B8574" t="s">
        <v>25452</v>
      </c>
      <c r="C8574" t="s">
        <v>25453</v>
      </c>
      <c r="D8574" t="str">
        <f>HYPERLINK("https://github.com/artyomd/Injector/issues/107","show")</f>
        <v>show</v>
      </c>
      <c r="E8574" t="str">
        <f>HYPERLINK("https://github.com/artyomd/Injector","show")</f>
        <v>show</v>
      </c>
      <c r="F8574" t="str">
        <f>HYPERLINK("https://github.com/artyomd/Injector/releases","show")</f>
        <v>show</v>
      </c>
    </row>
    <row r="8575" spans="1:6">
      <c r="A8575" t="s">
        <v>25454</v>
      </c>
      <c r="B8575" t="s">
        <v>25455</v>
      </c>
      <c r="C8575" t="s">
        <v>25456</v>
      </c>
      <c r="D8575" t="str">
        <f>HYPERLINK("https://github.com/commons-app/apps-android-commons/issues/3217","show")</f>
        <v>show</v>
      </c>
      <c r="E8575" t="str">
        <f>HYPERLINK("https://github.com/commons-app/apps-android-commons","show")</f>
        <v>show</v>
      </c>
      <c r="F8575" t="str">
        <f>HYPERLINK("https://github.com/commons-app/apps-android-commons/releases","show")</f>
        <v>show</v>
      </c>
    </row>
    <row r="8576" spans="1:6">
      <c r="A8576" t="s">
        <v>25457</v>
      </c>
      <c r="B8576" t="s">
        <v>25458</v>
      </c>
      <c r="C8576" t="s">
        <v>25459</v>
      </c>
      <c r="D8576" t="str">
        <f>HYPERLINK("https://github.com/renyuneyun/Easer/issues/292","show")</f>
        <v>show</v>
      </c>
      <c r="E8576" t="str">
        <f>HYPERLINK("https://github.com/renyuneyun/Easer","show")</f>
        <v>show</v>
      </c>
      <c r="F8576" t="str">
        <f>HYPERLINK("https://github.com/renyuneyun/Easer/releases","show")</f>
        <v>show</v>
      </c>
    </row>
    <row r="8577" spans="1:6">
      <c r="A8577" t="s">
        <v>25460</v>
      </c>
      <c r="B8577" t="s">
        <v>25461</v>
      </c>
      <c r="C8577" t="s">
        <v>25462</v>
      </c>
      <c r="D8577" t="str">
        <f>HYPERLINK("https://github.com/nextcloud/android/issues/4877","show")</f>
        <v>show</v>
      </c>
      <c r="E8577" t="str">
        <f>HYPERLINK("https://github.com/nextcloud/android","show")</f>
        <v>show</v>
      </c>
      <c r="F8577" t="str">
        <f>HYPERLINK("https://github.com/nextcloud/android/releases","show")</f>
        <v>show</v>
      </c>
    </row>
    <row r="8578" spans="1:6">
      <c r="A8578" t="s">
        <v>25463</v>
      </c>
      <c r="B8578" t="s">
        <v>25464</v>
      </c>
      <c r="C8578" t="s">
        <v>25465</v>
      </c>
      <c r="D8578" t="str">
        <f>HYPERLINK("https://github.com/Lindronics/flir_app/issues/2","show")</f>
        <v>show</v>
      </c>
      <c r="E8578" t="str">
        <f>HYPERLINK("https://github.com/Lindronics/flir_app","show")</f>
        <v>show</v>
      </c>
      <c r="F8578" t="str">
        <f>HYPERLINK("https://github.com/Lindronics/flir_app/releases","show")</f>
        <v>show</v>
      </c>
    </row>
    <row r="8579" spans="1:6">
      <c r="A8579" t="s">
        <v>25466</v>
      </c>
      <c r="B8579" t="s">
        <v>25467</v>
      </c>
      <c r="C8579" t="s">
        <v>25468</v>
      </c>
      <c r="D8579" t="str">
        <f>HYPERLINK("https://github.com/react-native-svg/react-native-svg/issues/1201","show")</f>
        <v>show</v>
      </c>
      <c r="E8579" t="str">
        <f>HYPERLINK("https://github.com/react-native-svg/react-native-svg","show")</f>
        <v>show</v>
      </c>
      <c r="F8579" t="str">
        <f>HYPERLINK("https://github.com/react-native-svg/react-native-svg/releases","show")</f>
        <v>show</v>
      </c>
    </row>
    <row r="8580" spans="1:6">
      <c r="A8580" t="s">
        <v>25469</v>
      </c>
      <c r="B8580" t="s">
        <v>25470</v>
      </c>
      <c r="C8580" t="s">
        <v>25471</v>
      </c>
      <c r="D8580" t="str">
        <f>HYPERLINK("https://github.com/nextcloud/android/issues/4875","show")</f>
        <v>show</v>
      </c>
      <c r="E8580" t="str">
        <f>HYPERLINK("https://github.com/nextcloud/android","show")</f>
        <v>show</v>
      </c>
      <c r="F8580" t="str">
        <f>HYPERLINK("https://github.com/nextcloud/android/releases","show")</f>
        <v>show</v>
      </c>
    </row>
    <row r="8581" spans="1:6">
      <c r="A8581" t="s">
        <v>25472</v>
      </c>
      <c r="B8581" t="s">
        <v>25473</v>
      </c>
      <c r="C8581" t="s">
        <v>25474</v>
      </c>
      <c r="D8581" t="str">
        <f>HYPERLINK("https://github.com/nextcloud/android/issues/4874","show")</f>
        <v>show</v>
      </c>
      <c r="E8581" t="str">
        <f>HYPERLINK("https://github.com/nextcloud/android","show")</f>
        <v>show</v>
      </c>
      <c r="F8581" t="str">
        <f>HYPERLINK("https://github.com/nextcloud/android/releases","show")</f>
        <v>show</v>
      </c>
    </row>
    <row r="8582" spans="1:6">
      <c r="A8582" t="s">
        <v>25475</v>
      </c>
      <c r="B8582" t="s">
        <v>25476</v>
      </c>
      <c r="C8582" t="s">
        <v>25477</v>
      </c>
      <c r="D8582" t="str">
        <f>HYPERLINK("https://github.com/opensrp/opensrp-client-reveal/issues/579","show")</f>
        <v>show</v>
      </c>
      <c r="E8582" t="str">
        <f>HYPERLINK("https://github.com/opensrp/opensrp-client-reveal","show")</f>
        <v>show</v>
      </c>
      <c r="F8582" t="str">
        <f>HYPERLINK("https://github.com/opensrp/opensrp-client-reveal/releases","show")</f>
        <v>show</v>
      </c>
    </row>
    <row r="8583" spans="1:6">
      <c r="A8583" t="s">
        <v>25478</v>
      </c>
      <c r="B8583" t="s">
        <v>25479</v>
      </c>
      <c r="C8583" t="s">
        <v>25480</v>
      </c>
      <c r="D8583" t="str">
        <f>HYPERLINK("https://github.com/nextcloud/android/issues/4869","show")</f>
        <v>show</v>
      </c>
      <c r="E8583" t="str">
        <f>HYPERLINK("https://github.com/nextcloud/android","show")</f>
        <v>show</v>
      </c>
      <c r="F8583" t="str">
        <f>HYPERLINK("https://github.com/nextcloud/android/releases","show")</f>
        <v>show</v>
      </c>
    </row>
    <row r="8584" spans="1:6">
      <c r="A8584" t="s">
        <v>25481</v>
      </c>
      <c r="B8584" t="s">
        <v>25482</v>
      </c>
      <c r="C8584" t="s">
        <v>25483</v>
      </c>
      <c r="D8584" t="str">
        <f>HYPERLINK("https://github.com/ethand91/mediasoup-android-sample/issues/3","show")</f>
        <v>show</v>
      </c>
      <c r="E8584" t="str">
        <f>HYPERLINK("https://github.com/ethand91/mediasoup-android-sample","show")</f>
        <v>show</v>
      </c>
      <c r="F8584" t="str">
        <f>HYPERLINK("https://github.com/ethand91/mediasoup-android-sample/releases","show")</f>
        <v>show</v>
      </c>
    </row>
    <row r="8585" spans="1:6">
      <c r="A8585" t="s">
        <v>25484</v>
      </c>
      <c r="B8585" t="s">
        <v>25485</v>
      </c>
      <c r="C8585" t="s">
        <v>25486</v>
      </c>
      <c r="D8585" t="str">
        <f>HYPERLINK("https://github.com/dariuszseweryn/RxAndroidBle/issues/648","show")</f>
        <v>show</v>
      </c>
      <c r="E8585" t="str">
        <f>HYPERLINK("https://github.com/dariuszseweryn/RxAndroidBle","show")</f>
        <v>show</v>
      </c>
      <c r="F8585" t="str">
        <f>HYPERLINK("https://github.com/dariuszseweryn/RxAndroidBle/releases","show")</f>
        <v>show</v>
      </c>
    </row>
    <row r="8586" spans="1:6">
      <c r="A8586" t="s">
        <v>25487</v>
      </c>
      <c r="B8586" t="s">
        <v>25488</v>
      </c>
      <c r="C8586" t="s">
        <v>25489</v>
      </c>
      <c r="D8586" t="str">
        <f>HYPERLINK("https://github.com/htl-anichstrasse/htl-catcher/issues/9","show")</f>
        <v>show</v>
      </c>
      <c r="E8586" t="str">
        <f>HYPERLINK("https://github.com/htl-anichstrasse/htl-catcher","show")</f>
        <v>show</v>
      </c>
      <c r="F8586" t="str">
        <f>HYPERLINK("https://github.com/htl-anichstrasse/htl-catcher/releases","show")</f>
        <v>show</v>
      </c>
    </row>
    <row r="8587" spans="1:6">
      <c r="A8587" t="s">
        <v>25490</v>
      </c>
      <c r="B8587" t="s">
        <v>25491</v>
      </c>
      <c r="C8587" t="s">
        <v>25492</v>
      </c>
      <c r="D8587" t="str">
        <f>HYPERLINK("https://github.com/google/ExoPlayer/issues/6674","show")</f>
        <v>show</v>
      </c>
      <c r="E8587" t="str">
        <f>HYPERLINK("https://github.com/google/ExoPlayer","show")</f>
        <v>show</v>
      </c>
      <c r="F8587" t="str">
        <f>HYPERLINK("https://github.com/google/ExoPlayer/releases","show")</f>
        <v>show</v>
      </c>
    </row>
    <row r="8588" spans="1:6">
      <c r="A8588" t="s">
        <v>25493</v>
      </c>
      <c r="B8588" t="s">
        <v>25494</v>
      </c>
      <c r="C8588" t="s">
        <v>25495</v>
      </c>
      <c r="D8588" t="str">
        <f>HYPERLINK("https://github.com/zood/george/issues/59","show")</f>
        <v>show</v>
      </c>
      <c r="E8588" t="str">
        <f>HYPERLINK("https://github.com/zood/george","show")</f>
        <v>show</v>
      </c>
      <c r="F8588" t="str">
        <f>HYPERLINK("https://github.com/zood/george/releases","show")</f>
        <v>show</v>
      </c>
    </row>
    <row r="8589" spans="1:6">
      <c r="A8589" t="s">
        <v>25496</v>
      </c>
      <c r="B8589" t="s">
        <v>25497</v>
      </c>
      <c r="C8589" t="s">
        <v>25498</v>
      </c>
      <c r="D8589" t="str">
        <f>HYPERLINK("https://github.com/opensrp/opensrp-client-chw/issues/1019","show")</f>
        <v>show</v>
      </c>
      <c r="E8589" t="str">
        <f>HYPERLINK("https://github.com/opensrp/opensrp-client-chw","show")</f>
        <v>show</v>
      </c>
      <c r="F8589" t="str">
        <f>HYPERLINK("https://github.com/opensrp/opensrp-client-chw/releases","show")</f>
        <v>show</v>
      </c>
    </row>
    <row r="8590" spans="1:6">
      <c r="A8590" t="s">
        <v>25499</v>
      </c>
      <c r="B8590" t="s">
        <v>25500</v>
      </c>
      <c r="C8590" t="s">
        <v>25501</v>
      </c>
      <c r="D8590" t="str">
        <f>HYPERLINK("https://github.com/opensrp/opensrp-client-chw-anc/issues/369","show")</f>
        <v>show</v>
      </c>
      <c r="E8590" t="str">
        <f>HYPERLINK("https://github.com/opensrp/opensrp-client-chw-anc","show")</f>
        <v>show</v>
      </c>
      <c r="F8590" t="str">
        <f>HYPERLINK("https://github.com/opensrp/opensrp-client-chw-anc/releases","show")</f>
        <v>show</v>
      </c>
    </row>
    <row r="8591" spans="1:6">
      <c r="A8591" t="s">
        <v>25502</v>
      </c>
      <c r="B8591" t="s">
        <v>25503</v>
      </c>
      <c r="C8591" t="s">
        <v>25504</v>
      </c>
      <c r="D8591" t="str">
        <f>HYPERLINK("https://github.com/k3b/APhotoManager/issues/155","show")</f>
        <v>show</v>
      </c>
      <c r="E8591" t="str">
        <f>HYPERLINK("https://github.com/k3b/APhotoManager","show")</f>
        <v>show</v>
      </c>
      <c r="F8591" t="str">
        <f>HYPERLINK("https://github.com/k3b/APhotoManager/releases","show")</f>
        <v>show</v>
      </c>
    </row>
    <row r="8592" spans="1:6">
      <c r="A8592" t="s">
        <v>25505</v>
      </c>
      <c r="B8592" t="s">
        <v>25506</v>
      </c>
      <c r="C8592" t="s">
        <v>25507</v>
      </c>
      <c r="D8592" t="str">
        <f>HYPERLINK("https://github.com/geopaparazzi/geopaparazzi/issues/641","show")</f>
        <v>show</v>
      </c>
      <c r="E8592" t="str">
        <f>HYPERLINK("https://github.com/geopaparazzi/geopaparazzi","show")</f>
        <v>show</v>
      </c>
      <c r="F8592" t="str">
        <f>HYPERLINK("https://github.com/geopaparazzi/geopaparazzi/releases","show")</f>
        <v>show</v>
      </c>
    </row>
    <row r="8593" spans="1:6">
      <c r="A8593" t="s">
        <v>25508</v>
      </c>
      <c r="B8593" t="s">
        <v>25509</v>
      </c>
      <c r="C8593" t="s">
        <v>25510</v>
      </c>
      <c r="D8593" t="str">
        <f>HYPERLINK("https://github.com/fossasia/phimpme-android/issues/2926","show")</f>
        <v>show</v>
      </c>
      <c r="E8593" t="str">
        <f>HYPERLINK("https://github.com/fossasia/phimpme-android","show")</f>
        <v>show</v>
      </c>
      <c r="F8593" t="str">
        <f>HYPERLINK("https://github.com/fossasia/phimpme-android/releases","show")</f>
        <v>show</v>
      </c>
    </row>
    <row r="8594" spans="1:6">
      <c r="A8594" t="s">
        <v>25511</v>
      </c>
      <c r="B8594" t="s">
        <v>25512</v>
      </c>
      <c r="C8594" t="s">
        <v>25513</v>
      </c>
      <c r="D8594" t="str">
        <f>HYPERLINK("https://github.com/triniwiz/nativescript-image-cache-it/issues/62","show")</f>
        <v>show</v>
      </c>
      <c r="E8594" t="str">
        <f>HYPERLINK("https://github.com/triniwiz/nativescript-image-cache-it","show")</f>
        <v>show</v>
      </c>
      <c r="F8594" t="str">
        <f>HYPERLINK("https://github.com/triniwiz/nativescript-image-cache-it/releases","show")</f>
        <v>show</v>
      </c>
    </row>
    <row r="8595" spans="1:6">
      <c r="A8595" t="s">
        <v>25514</v>
      </c>
      <c r="B8595" t="s">
        <v>25515</v>
      </c>
      <c r="C8595" t="s">
        <v>25516</v>
      </c>
      <c r="D8595" t="str">
        <f>HYPERLINK("https://github.com/nextcloud/android/issues/4842","show")</f>
        <v>show</v>
      </c>
      <c r="E8595" t="str">
        <f>HYPERLINK("https://github.com/nextcloud/android","show")</f>
        <v>show</v>
      </c>
      <c r="F8595" t="str">
        <f>HYPERLINK("https://github.com/nextcloud/android/releases","show")</f>
        <v>show</v>
      </c>
    </row>
    <row r="8596" spans="1:6">
      <c r="A8596" t="s">
        <v>25517</v>
      </c>
      <c r="B8596" t="s">
        <v>25518</v>
      </c>
      <c r="C8596" t="s">
        <v>25519</v>
      </c>
      <c r="D8596" t="str">
        <f>HYPERLINK("https://github.com/Intelehealth/Android-Mobile-Client/issues/776","show")</f>
        <v>show</v>
      </c>
      <c r="E8596" t="str">
        <f>HYPERLINK("https://github.com/Intelehealth/Android-Mobile-Client","show")</f>
        <v>show</v>
      </c>
      <c r="F8596" t="str">
        <f>HYPERLINK("https://github.com/Intelehealth/Android-Mobile-Client/releases","show")</f>
        <v>show</v>
      </c>
    </row>
    <row r="8597" spans="1:6">
      <c r="A8597" t="s">
        <v>25520</v>
      </c>
      <c r="B8597" t="s">
        <v>25521</v>
      </c>
      <c r="C8597" t="s">
        <v>25522</v>
      </c>
      <c r="D8597" t="str">
        <f>HYPERLINK("https://github.com/martykan/forecastie/issues/395","show")</f>
        <v>show</v>
      </c>
      <c r="E8597" t="str">
        <f>HYPERLINK("https://github.com/martykan/forecastie","show")</f>
        <v>show</v>
      </c>
      <c r="F8597" t="str">
        <f>HYPERLINK("https://github.com/martykan/forecastie/releases","show")</f>
        <v>show</v>
      </c>
    </row>
    <row r="8598" spans="1:6">
      <c r="A8598" t="s">
        <v>25523</v>
      </c>
      <c r="B8598" t="s">
        <v>25524</v>
      </c>
      <c r="C8598" t="s">
        <v>25525</v>
      </c>
      <c r="D8598" t="str">
        <f>HYPERLINK("https://github.com/ionic-team/capacitor/issues/2186","show")</f>
        <v>show</v>
      </c>
      <c r="E8598" t="str">
        <f>HYPERLINK("https://github.com/ionic-team/capacitor","show")</f>
        <v>show</v>
      </c>
      <c r="F8598" t="str">
        <f>HYPERLINK("https://github.com/ionic-team/capacitor/releases","show")</f>
        <v>show</v>
      </c>
    </row>
    <row r="8599" spans="1:6">
      <c r="A8599" t="s">
        <v>25526</v>
      </c>
      <c r="B8599" t="s">
        <v>25527</v>
      </c>
      <c r="C8599" t="s">
        <v>25528</v>
      </c>
      <c r="D8599" t="str">
        <f>HYPERLINK("https://github.com/square/okhttp/issues/5605","show")</f>
        <v>show</v>
      </c>
      <c r="E8599" t="str">
        <f>HYPERLINK("https://github.com/square/okhttp","show")</f>
        <v>show</v>
      </c>
      <c r="F8599" t="str">
        <f>HYPERLINK("https://github.com/square/okhttp/releases","show")</f>
        <v>show</v>
      </c>
    </row>
    <row r="8600" spans="1:6">
      <c r="A8600" t="s">
        <v>25529</v>
      </c>
      <c r="B8600" t="s">
        <v>25530</v>
      </c>
      <c r="C8600" t="s">
        <v>25531</v>
      </c>
      <c r="D8600" t="str">
        <f>HYPERLINK("https://github.com/nextcloud/android/issues/4838","show")</f>
        <v>show</v>
      </c>
      <c r="E8600" t="str">
        <f>HYPERLINK("https://github.com/nextcloud/android","show")</f>
        <v>show</v>
      </c>
      <c r="F8600" t="str">
        <f>HYPERLINK("https://github.com/nextcloud/android/releases","show")</f>
        <v>show</v>
      </c>
    </row>
    <row r="8601" spans="1:6">
      <c r="A8601" t="s">
        <v>25532</v>
      </c>
      <c r="B8601" t="s">
        <v>25533</v>
      </c>
      <c r="C8601" t="s">
        <v>25534</v>
      </c>
      <c r="D8601" t="str">
        <f>HYPERLINK("https://github.com/nextcloud/android/issues/4836","show")</f>
        <v>show</v>
      </c>
      <c r="E8601" t="str">
        <f>HYPERLINK("https://github.com/nextcloud/android","show")</f>
        <v>show</v>
      </c>
      <c r="F8601" t="str">
        <f>HYPERLINK("https://github.com/nextcloud/android/releases","show")</f>
        <v>show</v>
      </c>
    </row>
    <row r="8602" spans="1:6">
      <c r="A8602" t="s">
        <v>25535</v>
      </c>
      <c r="B8602" t="s">
        <v>25536</v>
      </c>
      <c r="C8602" t="s">
        <v>25537</v>
      </c>
      <c r="D8602" t="str">
        <f>HYPERLINK("https://github.com/SecUSo/privacy-friendly-sketching/issues/2","show")</f>
        <v>show</v>
      </c>
      <c r="E8602" t="str">
        <f>HYPERLINK("https://github.com/SecUSo/privacy-friendly-sketching","show")</f>
        <v>show</v>
      </c>
      <c r="F8602" t="str">
        <f>HYPERLINK("https://github.com/SecUSo/privacy-friendly-sketching/releases","show")</f>
        <v>show</v>
      </c>
    </row>
    <row r="8603" spans="1:6">
      <c r="A8603" t="s">
        <v>25538</v>
      </c>
      <c r="B8603" t="s">
        <v>25539</v>
      </c>
      <c r="C8603" t="s">
        <v>25540</v>
      </c>
      <c r="D8603" t="str">
        <f>HYPERLINK("https://github.com/square/react-native-square-reader-sdk/issues/101","show")</f>
        <v>show</v>
      </c>
      <c r="E8603" t="str">
        <f>HYPERLINK("https://github.com/square/react-native-square-reader-sdk","show")</f>
        <v>show</v>
      </c>
      <c r="F8603" t="str">
        <f>HYPERLINK("https://github.com/square/react-native-square-reader-sdk/releases","show")</f>
        <v>show</v>
      </c>
    </row>
    <row r="8604" spans="1:6">
      <c r="A8604" t="s">
        <v>25541</v>
      </c>
      <c r="B8604" t="s">
        <v>25542</v>
      </c>
      <c r="C8604" t="s">
        <v>25543</v>
      </c>
      <c r="D8604" t="str">
        <f>HYPERLINK("https://github.com/fossasia/pslab-android/issues/2008","show")</f>
        <v>show</v>
      </c>
      <c r="E8604" t="str">
        <f>HYPERLINK("https://github.com/fossasia/pslab-android","show")</f>
        <v>show</v>
      </c>
      <c r="F8604" t="str">
        <f>HYPERLINK("https://github.com/fossasia/pslab-android/releases","show")</f>
        <v>show</v>
      </c>
    </row>
    <row r="8605" spans="1:6">
      <c r="A8605" t="s">
        <v>25544</v>
      </c>
      <c r="B8605" t="s">
        <v>25545</v>
      </c>
      <c r="C8605" t="s">
        <v>25546</v>
      </c>
      <c r="D8605" t="str">
        <f>HYPERLINK("https://github.com/material-components/material-components-android/issues/765","show")</f>
        <v>show</v>
      </c>
      <c r="E8605" t="str">
        <f>HYPERLINK("https://github.com/material-components/material-components-android","show")</f>
        <v>show</v>
      </c>
      <c r="F8605" t="str">
        <f>HYPERLINK("https://github.com/material-components/material-components-android/releases","show")</f>
        <v>show</v>
      </c>
    </row>
    <row r="8606" spans="1:6">
      <c r="A8606" t="s">
        <v>25547</v>
      </c>
      <c r="B8606" t="s">
        <v>10679</v>
      </c>
      <c r="C8606" t="s">
        <v>25548</v>
      </c>
      <c r="D8606" t="str">
        <f>HYPERLINK("https://github.com/inaturalist/iNaturalistAndroid/issues/751","show")</f>
        <v>show</v>
      </c>
      <c r="E8606" t="str">
        <f>HYPERLINK("https://github.com/inaturalist/iNaturalistAndroid","show")</f>
        <v>show</v>
      </c>
      <c r="F8606" t="str">
        <f>HYPERLINK("https://github.com/inaturalist/iNaturalistAndroid/releases","show")</f>
        <v>show</v>
      </c>
    </row>
    <row r="8607" spans="1:6">
      <c r="A8607" t="s">
        <v>25549</v>
      </c>
      <c r="B8607" t="s">
        <v>25550</v>
      </c>
      <c r="C8607" t="s">
        <v>25551</v>
      </c>
      <c r="D8607" t="str">
        <f>HYPERLINK("https://github.com/react-native-camera/react-native-camera/issues/2587","show")</f>
        <v>show</v>
      </c>
      <c r="E8607" t="str">
        <f>HYPERLINK("https://github.com/react-native-camera/react-native-camera","show")</f>
        <v>show</v>
      </c>
      <c r="F8607" t="str">
        <f>HYPERLINK("https://github.com/react-native-camera/react-native-camera/releases","show")</f>
        <v>show</v>
      </c>
    </row>
    <row r="8608" spans="1:6">
      <c r="A8608" t="s">
        <v>25552</v>
      </c>
      <c r="B8608" t="s">
        <v>25553</v>
      </c>
      <c r="C8608" t="s">
        <v>25554</v>
      </c>
      <c r="D8608" t="str">
        <f>HYPERLINK("https://github.com/classapp/react-native-video-helper/issues/16","show")</f>
        <v>show</v>
      </c>
      <c r="E8608" t="str">
        <f>HYPERLINK("https://github.com/classapp/react-native-video-helper","show")</f>
        <v>show</v>
      </c>
      <c r="F8608" t="str">
        <f>HYPERLINK("https://github.com/classapp/react-native-video-helper/releases","show")</f>
        <v>show</v>
      </c>
    </row>
    <row r="8609" spans="1:6">
      <c r="A8609" t="s">
        <v>25555</v>
      </c>
      <c r="B8609" t="s">
        <v>25556</v>
      </c>
      <c r="C8609" t="s">
        <v>25557</v>
      </c>
      <c r="D8609" t="str">
        <f>HYPERLINK("https://github.com/jordanbyron/react-native-quick-actions/issues/90","show")</f>
        <v>show</v>
      </c>
      <c r="E8609" t="str">
        <f>HYPERLINK("https://github.com/jordanbyron/react-native-quick-actions","show")</f>
        <v>show</v>
      </c>
      <c r="F8609" t="str">
        <f>HYPERLINK("https://github.com/jordanbyron/react-native-quick-actions/releases","show")</f>
        <v>show</v>
      </c>
    </row>
    <row r="8610" spans="1:6">
      <c r="A8610" t="s">
        <v>25558</v>
      </c>
      <c r="B8610" t="s">
        <v>25559</v>
      </c>
      <c r="C8610" t="s">
        <v>25560</v>
      </c>
      <c r="D8610" t="str">
        <f>HYPERLINK("https://github.com/commons-app/apps-android-commons/issues/3203","show")</f>
        <v>show</v>
      </c>
      <c r="E8610" t="str">
        <f>HYPERLINK("https://github.com/commons-app/apps-android-commons","show")</f>
        <v>show</v>
      </c>
      <c r="F8610" t="str">
        <f>HYPERLINK("https://github.com/commons-app/apps-android-commons/releases","show")</f>
        <v>show</v>
      </c>
    </row>
    <row r="8611" spans="1:6">
      <c r="A8611" t="s">
        <v>25561</v>
      </c>
      <c r="B8611" t="s">
        <v>3919</v>
      </c>
      <c r="C8611" t="s">
        <v>25562</v>
      </c>
      <c r="D8611" t="str">
        <f>HYPERLINK("https://github.com/renyuneyun/Easer/issues/290","show")</f>
        <v>show</v>
      </c>
      <c r="E8611" t="str">
        <f>HYPERLINK("https://github.com/renyuneyun/Easer","show")</f>
        <v>show</v>
      </c>
      <c r="F8611" t="str">
        <f>HYPERLINK("https://github.com/renyuneyun/Easer/releases","show")</f>
        <v>show</v>
      </c>
    </row>
    <row r="8612" spans="1:6">
      <c r="A8612" t="s">
        <v>25563</v>
      </c>
      <c r="B8612" t="s">
        <v>25564</v>
      </c>
      <c r="C8612" t="s">
        <v>25565</v>
      </c>
      <c r="D8612" t="str">
        <f>HYPERLINK("https://github.com/CMPUT301F19T09/vibes/issues/102","show")</f>
        <v>show</v>
      </c>
      <c r="E8612" t="str">
        <f>HYPERLINK("https://github.com/CMPUT301F19T09/vibes","show")</f>
        <v>show</v>
      </c>
      <c r="F8612" t="str">
        <f>HYPERLINK("https://github.com/CMPUT301F19T09/vibes/releases","show")</f>
        <v>show</v>
      </c>
    </row>
    <row r="8613" spans="1:6">
      <c r="A8613" t="s">
        <v>25566</v>
      </c>
      <c r="B8613" t="s">
        <v>25567</v>
      </c>
      <c r="C8613" t="s">
        <v>25568</v>
      </c>
      <c r="D8613" t="str">
        <f>HYPERLINK("https://github.com/niccokunzmann/mundraub-android/issues/312","show")</f>
        <v>show</v>
      </c>
      <c r="E8613" t="str">
        <f>HYPERLINK("https://github.com/niccokunzmann/mundraub-android","show")</f>
        <v>show</v>
      </c>
      <c r="F8613" t="str">
        <f>HYPERLINK("https://github.com/niccokunzmann/mundraub-android/releases","show")</f>
        <v>show</v>
      </c>
    </row>
    <row r="8614" spans="1:6">
      <c r="A8614" t="s">
        <v>25569</v>
      </c>
      <c r="B8614" t="s">
        <v>25570</v>
      </c>
      <c r="C8614" t="s">
        <v>25571</v>
      </c>
      <c r="D8614" t="str">
        <f>HYPERLINK("https://github.com/OpenArchive/Save-app-android/issues/153","show")</f>
        <v>show</v>
      </c>
      <c r="E8614" t="str">
        <f>HYPERLINK("https://github.com/OpenArchive/Save-app-android","show")</f>
        <v>show</v>
      </c>
      <c r="F8614" t="str">
        <f>HYPERLINK("https://github.com/OpenArchive/Save-app-android/releases","show")</f>
        <v>show</v>
      </c>
    </row>
    <row r="8615" spans="1:6">
      <c r="A8615" t="s">
        <v>25572</v>
      </c>
      <c r="B8615" t="s">
        <v>25573</v>
      </c>
      <c r="C8615" t="s">
        <v>25574</v>
      </c>
      <c r="D8615" t="str">
        <f>HYPERLINK("https://github.com/k9mail/k-9/issues/4248","show")</f>
        <v>show</v>
      </c>
      <c r="E8615" t="str">
        <f>HYPERLINK("https://github.com/k9mail/k-9","show")</f>
        <v>show</v>
      </c>
      <c r="F8615" t="str">
        <f>HYPERLINK("https://github.com/k9mail/k-9/releases","show")</f>
        <v>show</v>
      </c>
    </row>
    <row r="8616" spans="1:6">
      <c r="A8616" t="s">
        <v>25575</v>
      </c>
      <c r="B8616" t="s">
        <v>25576</v>
      </c>
      <c r="C8616" t="s">
        <v>25577</v>
      </c>
      <c r="D8616" t="str">
        <f>HYPERLINK("https://github.com/nextcloud/android/issues/4818","show")</f>
        <v>show</v>
      </c>
      <c r="E8616" t="str">
        <f>HYPERLINK("https://github.com/nextcloud/android","show")</f>
        <v>show</v>
      </c>
      <c r="F8616" t="str">
        <f>HYPERLINK("https://github.com/nextcloud/android/releases","show")</f>
        <v>show</v>
      </c>
    </row>
    <row r="8617" spans="1:6">
      <c r="A8617" t="s">
        <v>25578</v>
      </c>
      <c r="B8617" t="s">
        <v>25579</v>
      </c>
      <c r="C8617" t="s">
        <v>25580</v>
      </c>
      <c r="D8617" t="str">
        <f>HYPERLINK("https://github.com/CordelleNeufeld/FitBrosApp/issues/28","show")</f>
        <v>show</v>
      </c>
      <c r="E8617" t="str">
        <f>HYPERLINK("https://github.com/CordelleNeufeld/FitBrosApp","show")</f>
        <v>show</v>
      </c>
      <c r="F8617" t="str">
        <f>HYPERLINK("https://github.com/CordelleNeufeld/FitBrosApp/releases","show")</f>
        <v>show</v>
      </c>
    </row>
    <row r="8618" spans="1:6">
      <c r="A8618" t="s">
        <v>25581</v>
      </c>
      <c r="B8618" t="s">
        <v>25582</v>
      </c>
      <c r="C8618" t="s">
        <v>25583</v>
      </c>
      <c r="D8618" t="str">
        <f>HYPERLINK("https://github.com/applivery/applivery-android-sdk/issues/50","show")</f>
        <v>show</v>
      </c>
      <c r="E8618" t="str">
        <f>HYPERLINK("https://github.com/applivery/applivery-android-sdk","show")</f>
        <v>show</v>
      </c>
      <c r="F8618" t="str">
        <f>HYPERLINK("https://github.com/applivery/applivery-android-sdk/releases","show")</f>
        <v>show</v>
      </c>
    </row>
    <row r="8619" spans="1:6">
      <c r="A8619" t="s">
        <v>25584</v>
      </c>
      <c r="B8619" t="s">
        <v>25585</v>
      </c>
      <c r="C8619" t="s">
        <v>25586</v>
      </c>
      <c r="D8619" t="str">
        <f>HYPERLINK("https://github.com/nextcloud/android/issues/4816","show")</f>
        <v>show</v>
      </c>
      <c r="E8619" t="str">
        <f>HYPERLINK("https://github.com/nextcloud/android","show")</f>
        <v>show</v>
      </c>
      <c r="F8619" t="str">
        <f>HYPERLINK("https://github.com/nextcloud/android/releases","show")</f>
        <v>show</v>
      </c>
    </row>
    <row r="8620" spans="1:6">
      <c r="A8620" t="s">
        <v>25587</v>
      </c>
      <c r="B8620" t="s">
        <v>25588</v>
      </c>
      <c r="C8620" t="s">
        <v>25589</v>
      </c>
      <c r="D8620" t="str">
        <f>HYPERLINK("https://github.com/GoogleChrome/android-browser-helper/issues/38","show")</f>
        <v>show</v>
      </c>
      <c r="E8620" t="str">
        <f>HYPERLINK("https://github.com/GoogleChrome/android-browser-helper","show")</f>
        <v>show</v>
      </c>
      <c r="F8620" t="str">
        <f>HYPERLINK("https://github.com/GoogleChrome/android-browser-helper/releases","show")</f>
        <v>show</v>
      </c>
    </row>
    <row r="8621" spans="1:6">
      <c r="A8621" t="s">
        <v>25590</v>
      </c>
      <c r="B8621" t="s">
        <v>25591</v>
      </c>
      <c r="C8621" t="s">
        <v>25592</v>
      </c>
      <c r="D8621" t="str">
        <f>HYPERLINK("https://github.com/nextcloud/android/issues/4813","show")</f>
        <v>show</v>
      </c>
      <c r="E8621" t="str">
        <f>HYPERLINK("https://github.com/nextcloud/android","show")</f>
        <v>show</v>
      </c>
      <c r="F8621" t="str">
        <f>HYPERLINK("https://github.com/nextcloud/android/releases","show")</f>
        <v>show</v>
      </c>
    </row>
    <row r="8622" spans="1:6">
      <c r="A8622" t="s">
        <v>25593</v>
      </c>
      <c r="B8622" t="s">
        <v>25594</v>
      </c>
      <c r="C8622" t="s">
        <v>25595</v>
      </c>
      <c r="D8622" t="str">
        <f>HYPERLINK("https://github.com/nextcloud/android/issues/4811","show")</f>
        <v>show</v>
      </c>
      <c r="E8622" t="str">
        <f>HYPERLINK("https://github.com/nextcloud/android","show")</f>
        <v>show</v>
      </c>
      <c r="F8622" t="str">
        <f>HYPERLINK("https://github.com/nextcloud/android/releases","show")</f>
        <v>show</v>
      </c>
    </row>
    <row r="8623" spans="1:6">
      <c r="A8623" t="s">
        <v>25596</v>
      </c>
      <c r="B8623" t="s">
        <v>25597</v>
      </c>
      <c r="C8623" t="s">
        <v>25598</v>
      </c>
      <c r="D8623" t="str">
        <f>HYPERLINK("https://github.com/galbertsson/EdgeLight/issues/6","show")</f>
        <v>show</v>
      </c>
      <c r="E8623" t="str">
        <f>HYPERLINK("https://github.com/galbertsson/EdgeLight","show")</f>
        <v>show</v>
      </c>
      <c r="F8623" t="str">
        <f>HYPERLINK("https://github.com/galbertsson/EdgeLight/releases","show")</f>
        <v>show</v>
      </c>
    </row>
    <row r="8624" spans="1:6">
      <c r="A8624" t="s">
        <v>25599</v>
      </c>
      <c r="B8624" t="s">
        <v>25600</v>
      </c>
      <c r="C8624" t="s">
        <v>25601</v>
      </c>
      <c r="D8624" t="str">
        <f>HYPERLINK("https://github.com/react-native-share/react-native-share/issues/627","show")</f>
        <v>show</v>
      </c>
      <c r="E8624" t="str">
        <f>HYPERLINK("https://github.com/react-native-share/react-native-share","show")</f>
        <v>show</v>
      </c>
      <c r="F8624" t="str">
        <f>HYPERLINK("https://github.com/react-native-share/react-native-share/releases","show")</f>
        <v>show</v>
      </c>
    </row>
    <row r="8625" spans="1:6">
      <c r="A8625" t="s">
        <v>25602</v>
      </c>
      <c r="B8625" t="s">
        <v>25603</v>
      </c>
      <c r="C8625" t="s">
        <v>25604</v>
      </c>
      <c r="D8625" t="str">
        <f>HYPERLINK("https://github.com/CMPUT301F19T09/vibes/issues/60","show")</f>
        <v>show</v>
      </c>
      <c r="E8625" t="str">
        <f>HYPERLINK("https://github.com/CMPUT301F19T09/vibes","show")</f>
        <v>show</v>
      </c>
      <c r="F8625" t="str">
        <f>HYPERLINK("https://github.com/CMPUT301F19T09/vibes/releases","show")</f>
        <v>show</v>
      </c>
    </row>
    <row r="8626" spans="1:6">
      <c r="A8626" t="s">
        <v>25605</v>
      </c>
      <c r="B8626" t="s">
        <v>25606</v>
      </c>
      <c r="C8626" t="s">
        <v>25607</v>
      </c>
      <c r="D8626" t="str">
        <f>HYPERLINK("https://github.com/CMPUT301F19T09/vibes/issues/59","show")</f>
        <v>show</v>
      </c>
      <c r="E8626" t="str">
        <f>HYPERLINK("https://github.com/CMPUT301F19T09/vibes","show")</f>
        <v>show</v>
      </c>
      <c r="F8626" t="str">
        <f>HYPERLINK("https://github.com/CMPUT301F19T09/vibes/releases","show")</f>
        <v>show</v>
      </c>
    </row>
    <row r="8627" spans="1:6">
      <c r="A8627" t="s">
        <v>25608</v>
      </c>
      <c r="B8627" t="s">
        <v>25609</v>
      </c>
      <c r="C8627" t="s">
        <v>25610</v>
      </c>
      <c r="D8627" t="str">
        <f>HYPERLINK("https://github.com/iamraf/IEE-Apps/issues/1","show")</f>
        <v>show</v>
      </c>
      <c r="E8627" t="str">
        <f>HYPERLINK("https://github.com/iamraf/IEE-Apps","show")</f>
        <v>show</v>
      </c>
      <c r="F8627" t="str">
        <f>HYPERLINK("https://github.com/iamraf/IEE-Apps/releases","show")</f>
        <v>show</v>
      </c>
    </row>
    <row r="8628" spans="1:6">
      <c r="A8628" t="s">
        <v>25611</v>
      </c>
      <c r="B8628" t="s">
        <v>25612</v>
      </c>
      <c r="C8628" t="s">
        <v>25613</v>
      </c>
      <c r="D8628" t="str">
        <f>HYPERLINK("https://github.com/nextcloud/android/issues/4805","show")</f>
        <v>show</v>
      </c>
      <c r="E8628" t="str">
        <f>HYPERLINK("https://github.com/nextcloud/android","show")</f>
        <v>show</v>
      </c>
      <c r="F8628" t="str">
        <f>HYPERLINK("https://github.com/nextcloud/android/releases","show")</f>
        <v>show</v>
      </c>
    </row>
    <row r="8629" spans="1:6">
      <c r="A8629" t="s">
        <v>25614</v>
      </c>
      <c r="B8629" t="s">
        <v>25615</v>
      </c>
      <c r="C8629" t="s">
        <v>25616</v>
      </c>
      <c r="D8629" t="str">
        <f>HYPERLINK("https://github.com/GoogleChrome/android-browser-helper/issues/36","show")</f>
        <v>show</v>
      </c>
      <c r="E8629" t="str">
        <f>HYPERLINK("https://github.com/GoogleChrome/android-browser-helper","show")</f>
        <v>show</v>
      </c>
      <c r="F8629" t="str">
        <f>HYPERLINK("https://github.com/GoogleChrome/android-browser-helper/releases","show")</f>
        <v>show</v>
      </c>
    </row>
    <row r="8630" spans="1:6">
      <c r="A8630" t="s">
        <v>25617</v>
      </c>
      <c r="B8630" t="s">
        <v>25618</v>
      </c>
      <c r="C8630" t="s">
        <v>25619</v>
      </c>
      <c r="D8630" t="str">
        <f>HYPERLINK("https://github.com/Catfriend1/syncthing-android/issues/538","show")</f>
        <v>show</v>
      </c>
      <c r="E8630" t="str">
        <f>HYPERLINK("https://github.com/Catfriend1/syncthing-android","show")</f>
        <v>show</v>
      </c>
      <c r="F8630" t="str">
        <f>HYPERLINK("https://github.com/Catfriend1/syncthing-android/releases","show")</f>
        <v>show</v>
      </c>
    </row>
    <row r="8631" spans="1:6">
      <c r="A8631" t="s">
        <v>25620</v>
      </c>
      <c r="B8631" t="s">
        <v>25621</v>
      </c>
      <c r="C8631" t="s">
        <v>25622</v>
      </c>
      <c r="D8631" t="str">
        <f>HYPERLINK("https://github.com/Catfriend1/syncthing-android/issues/537","show")</f>
        <v>show</v>
      </c>
      <c r="E8631" t="str">
        <f>HYPERLINK("https://github.com/Catfriend1/syncthing-android","show")</f>
        <v>show</v>
      </c>
      <c r="F8631" t="str">
        <f>HYPERLINK("https://github.com/Catfriend1/syncthing-android/releases","show")</f>
        <v>show</v>
      </c>
    </row>
    <row r="8632" spans="1:6">
      <c r="A8632" t="s">
        <v>25623</v>
      </c>
      <c r="B8632" t="s">
        <v>25624</v>
      </c>
      <c r="C8632" t="s">
        <v>25625</v>
      </c>
      <c r="D8632" t="str">
        <f>HYPERLINK("https://github.com/zhanghai/MaterialRatingBar/issues/63","show")</f>
        <v>show</v>
      </c>
      <c r="E8632" t="str">
        <f>HYPERLINK("https://github.com/zhanghai/MaterialRatingBar","show")</f>
        <v>show</v>
      </c>
      <c r="F8632" t="str">
        <f>HYPERLINK("https://github.com/zhanghai/MaterialRatingBar/releases","show")</f>
        <v>show</v>
      </c>
    </row>
    <row r="8633" spans="1:6">
      <c r="A8633" t="s">
        <v>25626</v>
      </c>
      <c r="B8633" t="s">
        <v>25627</v>
      </c>
      <c r="C8633" t="s">
        <v>25628</v>
      </c>
      <c r="D8633" t="str">
        <f>HYPERLINK("https://github.com/ankidroid/Anki-Android/issues/5613","show")</f>
        <v>show</v>
      </c>
      <c r="E8633" t="str">
        <f>HYPERLINK("https://github.com/ankidroid/Anki-Android","show")</f>
        <v>show</v>
      </c>
      <c r="F8633" t="str">
        <f>HYPERLINK("https://github.com/ankidroid/Anki-Android/releases","show")</f>
        <v>show</v>
      </c>
    </row>
    <row r="8634" spans="1:6">
      <c r="A8634" t="s">
        <v>25629</v>
      </c>
      <c r="B8634" t="s">
        <v>25630</v>
      </c>
      <c r="C8634" t="s">
        <v>25631</v>
      </c>
      <c r="D8634" t="str">
        <f>HYPERLINK("https://github.com/aws-amplify/aws-sdk-android/issues/1298","show")</f>
        <v>show</v>
      </c>
      <c r="E8634" t="str">
        <f>HYPERLINK("https://github.com/aws-amplify/aws-sdk-android","show")</f>
        <v>show</v>
      </c>
      <c r="F8634" t="str">
        <f>HYPERLINK("https://github.com/aws-amplify/aws-sdk-android/releases","show")</f>
        <v>show</v>
      </c>
    </row>
    <row r="8635" spans="1:6">
      <c r="A8635" t="s">
        <v>25632</v>
      </c>
      <c r="B8635" t="s">
        <v>25633</v>
      </c>
      <c r="C8635" t="s">
        <v>25634</v>
      </c>
      <c r="D8635" t="str">
        <f>HYPERLINK("https://github.com/square/okhttp/issues/5587","show")</f>
        <v>show</v>
      </c>
      <c r="E8635" t="str">
        <f>HYPERLINK("https://github.com/square/okhttp","show")</f>
        <v>show</v>
      </c>
      <c r="F8635" t="str">
        <f>HYPERLINK("https://github.com/square/okhttp/releases","show")</f>
        <v>show</v>
      </c>
    </row>
    <row r="8636" spans="1:6">
      <c r="A8636" t="s">
        <v>25635</v>
      </c>
      <c r="B8636" t="s">
        <v>25636</v>
      </c>
      <c r="C8636" t="s">
        <v>25637</v>
      </c>
      <c r="D8636" t="str">
        <f>HYPERLINK("https://github.com/fieldsight/fieldsight-mobile/issues/472","show")</f>
        <v>show</v>
      </c>
      <c r="E8636" t="str">
        <f>HYPERLINK("https://github.com/fieldsight/fieldsight-mobile","show")</f>
        <v>show</v>
      </c>
      <c r="F8636" t="str">
        <f>HYPERLINK("https://github.com/fieldsight/fieldsight-mobile/releases","show")</f>
        <v>show</v>
      </c>
    </row>
    <row r="8637" spans="1:6">
      <c r="A8637" t="s">
        <v>25638</v>
      </c>
      <c r="B8637" t="s">
        <v>25639</v>
      </c>
      <c r="C8637" t="s">
        <v>25640</v>
      </c>
      <c r="D8637" t="str">
        <f>HYPERLINK("https://github.com/redsolution/xabber-android/issues/911","show")</f>
        <v>show</v>
      </c>
      <c r="E8637" t="str">
        <f>HYPERLINK("https://github.com/redsolution/xabber-android","show")</f>
        <v>show</v>
      </c>
      <c r="F8637" t="str">
        <f>HYPERLINK("https://github.com/redsolution/xabber-android/releases","show")</f>
        <v>show</v>
      </c>
    </row>
    <row r="8638" spans="1:6">
      <c r="A8638" t="s">
        <v>25641</v>
      </c>
      <c r="B8638" t="s">
        <v>25642</v>
      </c>
      <c r="C8638" t="s">
        <v>25643</v>
      </c>
      <c r="D8638" t="str">
        <f>HYPERLINK("https://github.com/ElderDrivers/EdXposed/issues/385","show")</f>
        <v>show</v>
      </c>
      <c r="E8638" t="str">
        <f>HYPERLINK("https://github.com/ElderDrivers/EdXposed","show")</f>
        <v>show</v>
      </c>
      <c r="F8638" t="str">
        <f>HYPERLINK("https://github.com/ElderDrivers/EdXposed/releases","show")</f>
        <v>show</v>
      </c>
    </row>
    <row r="8639" spans="1:6">
      <c r="A8639" t="s">
        <v>25644</v>
      </c>
      <c r="B8639" t="s">
        <v>25645</v>
      </c>
      <c r="C8639" t="s">
        <v>25646</v>
      </c>
      <c r="D8639" t="str">
        <f>HYPERLINK("https://github.com/MozillaReality/FirefoxReality/issues/2144","show")</f>
        <v>show</v>
      </c>
      <c r="E8639" t="str">
        <f>HYPERLINK("https://github.com/MozillaReality/FirefoxReality","show")</f>
        <v>show</v>
      </c>
      <c r="F8639" t="str">
        <f>HYPERLINK("https://github.com/MozillaReality/FirefoxReality/releases","show")</f>
        <v>show</v>
      </c>
    </row>
    <row r="8640" spans="1:6">
      <c r="A8640" t="s">
        <v>25647</v>
      </c>
      <c r="B8640" t="s">
        <v>25648</v>
      </c>
      <c r="C8640" t="s">
        <v>25649</v>
      </c>
      <c r="D8640" t="str">
        <f>HYPERLINK("https://github.com/fossasia/neurolab-android/issues/526","show")</f>
        <v>show</v>
      </c>
      <c r="E8640" t="str">
        <f>HYPERLINK("https://github.com/fossasia/neurolab-android","show")</f>
        <v>show</v>
      </c>
      <c r="F8640" t="str">
        <f>HYPERLINK("https://github.com/fossasia/neurolab-android/releases","show")</f>
        <v>show</v>
      </c>
    </row>
    <row r="8641" spans="1:6">
      <c r="A8641" t="s">
        <v>25650</v>
      </c>
      <c r="B8641" t="s">
        <v>25651</v>
      </c>
      <c r="C8641" t="s">
        <v>25652</v>
      </c>
      <c r="D8641" t="str">
        <f>HYPERLINK("https://github.com/galbertsson/EdgeLight/issues/2","show")</f>
        <v>show</v>
      </c>
      <c r="E8641" t="str">
        <f>HYPERLINK("https://github.com/galbertsson/EdgeLight","show")</f>
        <v>show</v>
      </c>
      <c r="F8641" t="str">
        <f>HYPERLINK("https://github.com/galbertsson/EdgeLight/releases","show")</f>
        <v>show</v>
      </c>
    </row>
    <row r="8642" spans="1:6">
      <c r="A8642" t="s">
        <v>25653</v>
      </c>
      <c r="B8642" t="s">
        <v>25654</v>
      </c>
      <c r="C8642" t="s">
        <v>25655</v>
      </c>
      <c r="D8642" t="str">
        <f>HYPERLINK("https://github.com/jroal/a2dpvolume/issues/286","show")</f>
        <v>show</v>
      </c>
      <c r="E8642" t="str">
        <f>HYPERLINK("https://github.com/jroal/a2dpvolume","show")</f>
        <v>show</v>
      </c>
      <c r="F8642" t="str">
        <f>HYPERLINK("https://github.com/jroal/a2dpvolume/releases","show")</f>
        <v>show</v>
      </c>
    </row>
    <row r="8643" spans="1:6">
      <c r="A8643" t="s">
        <v>25656</v>
      </c>
      <c r="B8643" t="s">
        <v>25657</v>
      </c>
      <c r="C8643" t="s">
        <v>25658</v>
      </c>
      <c r="D8643" t="str">
        <f>HYPERLINK("https://github.com/Piwigo/Piwigo-Android/issues/185","show")</f>
        <v>show</v>
      </c>
      <c r="E8643" t="str">
        <f>HYPERLINK("https://github.com/Piwigo/Piwigo-Android","show")</f>
        <v>show</v>
      </c>
      <c r="F8643" t="str">
        <f>HYPERLINK("https://github.com/Piwigo/Piwigo-Android/releases","show")</f>
        <v>show</v>
      </c>
    </row>
    <row r="8644" spans="1:6">
      <c r="A8644" t="s">
        <v>25659</v>
      </c>
      <c r="B8644" t="s">
        <v>25660</v>
      </c>
      <c r="C8644" t="s">
        <v>25661</v>
      </c>
      <c r="D8644" t="str">
        <f>HYPERLINK("https://github.com/processing/processing-android/issues/575","show")</f>
        <v>show</v>
      </c>
      <c r="E8644" t="str">
        <f>HYPERLINK("https://github.com/processing/processing-android","show")</f>
        <v>show</v>
      </c>
      <c r="F8644" t="str">
        <f>HYPERLINK("https://github.com/processing/processing-android/releases","show")</f>
        <v>show</v>
      </c>
    </row>
    <row r="8645" spans="1:6">
      <c r="A8645" t="s">
        <v>25662</v>
      </c>
      <c r="B8645" t="s">
        <v>25663</v>
      </c>
      <c r="C8645" t="s">
        <v>25664</v>
      </c>
      <c r="D8645" t="str">
        <f>HYPERLINK("https://github.com/aws-amplify/aws-sdk-android/issues/1289","show")</f>
        <v>show</v>
      </c>
      <c r="E8645" t="str">
        <f>HYPERLINK("https://github.com/aws-amplify/aws-sdk-android","show")</f>
        <v>show</v>
      </c>
      <c r="F8645" t="str">
        <f>HYPERLINK("https://github.com/aws-amplify/aws-sdk-android/releases","show")</f>
        <v>show</v>
      </c>
    </row>
    <row r="8646" spans="1:6">
      <c r="A8646" t="s">
        <v>25665</v>
      </c>
      <c r="B8646" t="s">
        <v>25666</v>
      </c>
      <c r="C8646" t="s">
        <v>25667</v>
      </c>
      <c r="D8646" t="str">
        <f>HYPERLINK("https://github.com/Haptic-Apps/Slide/issues/3086","show")</f>
        <v>show</v>
      </c>
      <c r="E8646" t="str">
        <f>HYPERLINK("https://github.com/Haptic-Apps/Slide","show")</f>
        <v>show</v>
      </c>
      <c r="F8646" t="str">
        <f>HYPERLINK("https://github.com/Haptic-Apps/Slide/releases","show")</f>
        <v>show</v>
      </c>
    </row>
    <row r="8647" spans="1:6">
      <c r="A8647" t="s">
        <v>25668</v>
      </c>
      <c r="B8647" t="s">
        <v>25669</v>
      </c>
      <c r="C8647" t="s">
        <v>25670</v>
      </c>
      <c r="D8647" t="str">
        <f>HYPERLINK("https://github.com/SanojPunchihewa/f5n/issues/71","show")</f>
        <v>show</v>
      </c>
      <c r="E8647" t="str">
        <f>HYPERLINK("https://github.com/SanojPunchihewa/f5n","show")</f>
        <v>show</v>
      </c>
      <c r="F8647" t="str">
        <f>HYPERLINK("https://github.com/SanojPunchihewa/f5n/releases","show")</f>
        <v>show</v>
      </c>
    </row>
    <row r="8648" spans="1:6">
      <c r="A8648" t="s">
        <v>25671</v>
      </c>
      <c r="B8648" t="s">
        <v>25672</v>
      </c>
      <c r="C8648" t="s">
        <v>25673</v>
      </c>
      <c r="D8648" t="str">
        <f>HYPERLINK("https://github.com/onaio/rdt-standard/issues/211","show")</f>
        <v>show</v>
      </c>
      <c r="E8648" t="str">
        <f>HYPERLINK("https://github.com/onaio/rdt-standard","show")</f>
        <v>show</v>
      </c>
      <c r="F8648" t="str">
        <f>HYPERLINK("https://github.com/onaio/rdt-standard/releases","show")</f>
        <v>show</v>
      </c>
    </row>
    <row r="8649" spans="1:6">
      <c r="A8649" t="s">
        <v>25674</v>
      </c>
      <c r="B8649" t="s">
        <v>25675</v>
      </c>
      <c r="C8649" t="s">
        <v>25676</v>
      </c>
      <c r="D8649" t="str">
        <f>HYPERLINK("https://github.com/andreynovikov/trekarta/issues/89","show")</f>
        <v>show</v>
      </c>
      <c r="E8649" t="str">
        <f>HYPERLINK("https://github.com/andreynovikov/trekarta","show")</f>
        <v>show</v>
      </c>
      <c r="F8649" t="str">
        <f>HYPERLINK("https://github.com/andreynovikov/trekarta/releases","show")</f>
        <v>show</v>
      </c>
    </row>
    <row r="8650" spans="1:6">
      <c r="A8650" t="s">
        <v>25677</v>
      </c>
      <c r="B8650" t="s">
        <v>25678</v>
      </c>
      <c r="C8650" t="s">
        <v>25679</v>
      </c>
      <c r="D8650" t="str">
        <f>HYPERLINK("https://github.com/jellyfin/jellyfin-androidtv/issues/177","show")</f>
        <v>show</v>
      </c>
      <c r="E8650" t="str">
        <f>HYPERLINK("https://github.com/jellyfin/jellyfin-androidtv","show")</f>
        <v>show</v>
      </c>
      <c r="F8650" t="str">
        <f>HYPERLINK("https://github.com/jellyfin/jellyfin-androidtv/releases","show")</f>
        <v>show</v>
      </c>
    </row>
    <row r="8651" spans="1:6">
      <c r="A8651" t="s">
        <v>25680</v>
      </c>
      <c r="B8651" t="s">
        <v>25681</v>
      </c>
      <c r="C8651" t="s">
        <v>25682</v>
      </c>
      <c r="D8651" t="str">
        <f>HYPERLINK("https://github.com/leancloud/java-unified-sdk/issues/78","show")</f>
        <v>show</v>
      </c>
      <c r="E8651" t="str">
        <f>HYPERLINK("https://github.com/leancloud/java-unified-sdk","show")</f>
        <v>show</v>
      </c>
      <c r="F8651" t="str">
        <f>HYPERLINK("https://github.com/leancloud/java-unified-sdk/releases","show")</f>
        <v>show</v>
      </c>
    </row>
    <row r="8652" spans="1:6">
      <c r="A8652" t="s">
        <v>25683</v>
      </c>
      <c r="B8652" t="s">
        <v>25684</v>
      </c>
      <c r="C8652" t="s">
        <v>25685</v>
      </c>
      <c r="D8652" t="str">
        <f>HYPERLINK("https://github.com/denzilferreira/aware-client/issues/281","show")</f>
        <v>show</v>
      </c>
      <c r="E8652" t="str">
        <f>HYPERLINK("https://github.com/denzilferreira/aware-client","show")</f>
        <v>show</v>
      </c>
      <c r="F8652" t="str">
        <f>HYPERLINK("https://github.com/denzilferreira/aware-client/releases","show")</f>
        <v>show</v>
      </c>
    </row>
    <row r="8653" spans="1:6">
      <c r="A8653" t="s">
        <v>25686</v>
      </c>
      <c r="B8653" t="s">
        <v>25687</v>
      </c>
      <c r="C8653" t="s">
        <v>25688</v>
      </c>
      <c r="D8653" t="str">
        <f>HYPERLINK("https://github.com/wallabag/android-app/issues/863","show")</f>
        <v>show</v>
      </c>
      <c r="E8653" t="str">
        <f>HYPERLINK("https://github.com/wallabag/android-app","show")</f>
        <v>show</v>
      </c>
      <c r="F8653" t="str">
        <f>HYPERLINK("https://github.com/wallabag/android-app/releases","show")</f>
        <v>show</v>
      </c>
    </row>
    <row r="8654" spans="1:6">
      <c r="A8654" t="s">
        <v>25689</v>
      </c>
      <c r="B8654" t="s">
        <v>25690</v>
      </c>
      <c r="C8654" t="s">
        <v>25691</v>
      </c>
      <c r="D8654" t="str">
        <f>HYPERLINK("https://github.com/fieldsight/fieldsight-mobile/issues/428","show")</f>
        <v>show</v>
      </c>
      <c r="E8654" t="str">
        <f>HYPERLINK("https://github.com/fieldsight/fieldsight-mobile","show")</f>
        <v>show</v>
      </c>
      <c r="F8654" t="str">
        <f>HYPERLINK("https://github.com/fieldsight/fieldsight-mobile/releases","show")</f>
        <v>show</v>
      </c>
    </row>
    <row r="8655" spans="1:6">
      <c r="A8655" t="s">
        <v>25692</v>
      </c>
      <c r="B8655" t="s">
        <v>25693</v>
      </c>
      <c r="C8655" t="s">
        <v>25694</v>
      </c>
      <c r="D8655" t="str">
        <f>HYPERLINK("https://github.com/gini/gini-vision-lib-android/issues/256","show")</f>
        <v>show</v>
      </c>
      <c r="E8655" t="str">
        <f>HYPERLINK("https://github.com/gini/gini-vision-lib-android","show")</f>
        <v>show</v>
      </c>
      <c r="F8655" t="str">
        <f>HYPERLINK("https://github.com/gini/gini-vision-lib-android/releases","show")</f>
        <v>show</v>
      </c>
    </row>
    <row r="8656" spans="1:6">
      <c r="A8656" t="s">
        <v>25695</v>
      </c>
      <c r="B8656" t="s">
        <v>25696</v>
      </c>
      <c r="C8656" t="s">
        <v>25697</v>
      </c>
      <c r="D8656" t="str">
        <f>HYPERLINK("https://github.com/SkyTubeTeam/SkyTube/issues/594","show")</f>
        <v>show</v>
      </c>
      <c r="E8656" t="str">
        <f>HYPERLINK("https://github.com/SkyTubeTeam/SkyTube","show")</f>
        <v>show</v>
      </c>
      <c r="F8656" t="str">
        <f>HYPERLINK("https://github.com/SkyTubeTeam/SkyTube/releases","show")</f>
        <v>show</v>
      </c>
    </row>
    <row r="8657" spans="1:6">
      <c r="A8657" t="s">
        <v>25698</v>
      </c>
      <c r="B8657" t="s">
        <v>25699</v>
      </c>
      <c r="C8657" t="s">
        <v>25700</v>
      </c>
      <c r="D8657" t="str">
        <f>HYPERLINK("https://github.com/google/ExoPlayer/issues/6588","show")</f>
        <v>show</v>
      </c>
      <c r="E8657" t="str">
        <f>HYPERLINK("https://github.com/google/ExoPlayer","show")</f>
        <v>show</v>
      </c>
      <c r="F8657" t="str">
        <f>HYPERLINK("https://github.com/google/ExoPlayer/releases","show")</f>
        <v>show</v>
      </c>
    </row>
    <row r="8658" spans="1:6">
      <c r="A8658" t="s">
        <v>25701</v>
      </c>
      <c r="B8658" t="s">
        <v>25702</v>
      </c>
      <c r="C8658" t="s">
        <v>25703</v>
      </c>
      <c r="D8658" t="str">
        <f>HYPERLINK("https://github.com/square/okhttp/issues/5575","show")</f>
        <v>show</v>
      </c>
      <c r="E8658" t="str">
        <f>HYPERLINK("https://github.com/square/okhttp","show")</f>
        <v>show</v>
      </c>
      <c r="F8658" t="str">
        <f>HYPERLINK("https://github.com/square/okhttp/releases","show")</f>
        <v>show</v>
      </c>
    </row>
    <row r="8659" spans="1:6">
      <c r="A8659" t="s">
        <v>25704</v>
      </c>
      <c r="B8659" t="s">
        <v>25705</v>
      </c>
      <c r="C8659" t="s">
        <v>25706</v>
      </c>
      <c r="D8659" t="str">
        <f>HYPERLINK("https://github.com/project-travel-mate/Travel-Mate/issues/779","show")</f>
        <v>show</v>
      </c>
      <c r="E8659" t="str">
        <f>HYPERLINK("https://github.com/project-travel-mate/Travel-Mate","show")</f>
        <v>show</v>
      </c>
      <c r="F8659" t="str">
        <f>HYPERLINK("https://github.com/project-travel-mate/Travel-Mate/releases","show")</f>
        <v>show</v>
      </c>
    </row>
    <row r="8660" spans="1:6">
      <c r="A8660" t="s">
        <v>25707</v>
      </c>
      <c r="B8660" t="s">
        <v>25708</v>
      </c>
      <c r="C8660" t="s">
        <v>25709</v>
      </c>
      <c r="D8660" t="str">
        <f>HYPERLINK("https://github.com/aws-amplify/aws-sdk-android/issues/1275","show")</f>
        <v>show</v>
      </c>
      <c r="E8660" t="str">
        <f>HYPERLINK("https://github.com/aws-amplify/aws-sdk-android","show")</f>
        <v>show</v>
      </c>
      <c r="F8660" t="str">
        <f>HYPERLINK("https://github.com/aws-amplify/aws-sdk-android/releases","show")</f>
        <v>show</v>
      </c>
    </row>
    <row r="8661" spans="1:6">
      <c r="A8661" t="s">
        <v>25710</v>
      </c>
      <c r="B8661" t="s">
        <v>25711</v>
      </c>
      <c r="C8661" t="s">
        <v>25712</v>
      </c>
      <c r="D8661" t="str">
        <f>HYPERLINK("https://github.com/Yalantis/uCrop/issues/584","show")</f>
        <v>show</v>
      </c>
      <c r="E8661" t="str">
        <f>HYPERLINK("https://github.com/Yalantis/uCrop","show")</f>
        <v>show</v>
      </c>
      <c r="F8661" t="str">
        <f>HYPERLINK("https://github.com/Yalantis/uCrop/releases","show")</f>
        <v>show</v>
      </c>
    </row>
    <row r="8662" spans="1:6">
      <c r="A8662" t="s">
        <v>25713</v>
      </c>
      <c r="B8662" t="s">
        <v>25714</v>
      </c>
      <c r="C8662" t="s">
        <v>25715</v>
      </c>
      <c r="D8662" t="str">
        <f>HYPERLINK("https://github.com/warmshowers/wsandroid/issues/342","show")</f>
        <v>show</v>
      </c>
      <c r="E8662" t="str">
        <f>HYPERLINK("https://github.com/warmshowers/wsandroid","show")</f>
        <v>show</v>
      </c>
      <c r="F8662" t="str">
        <f>HYPERLINK("https://github.com/warmshowers/wsandroid/releases","show")</f>
        <v>show</v>
      </c>
    </row>
    <row r="8663" spans="1:6">
      <c r="A8663" t="s">
        <v>25716</v>
      </c>
      <c r="B8663" t="s">
        <v>107</v>
      </c>
      <c r="C8663" t="s">
        <v>25717</v>
      </c>
      <c r="D8663" t="str">
        <f>HYPERLINK("https://github.com/renyuneyun/Easer/issues/284","show")</f>
        <v>show</v>
      </c>
      <c r="E8663" t="str">
        <f>HYPERLINK("https://github.com/renyuneyun/Easer","show")</f>
        <v>show</v>
      </c>
      <c r="F8663" t="str">
        <f>HYPERLINK("https://github.com/renyuneyun/Easer/releases","show")</f>
        <v>show</v>
      </c>
    </row>
    <row r="8664" spans="1:6">
      <c r="A8664" t="s">
        <v>25718</v>
      </c>
      <c r="B8664" t="s">
        <v>25719</v>
      </c>
      <c r="C8664" t="s">
        <v>25720</v>
      </c>
      <c r="D8664" t="str">
        <f>HYPERLINK("https://github.com/ElderDrivers/EdXposed/issues/376","show")</f>
        <v>show</v>
      </c>
      <c r="E8664" t="str">
        <f>HYPERLINK("https://github.com/ElderDrivers/EdXposed","show")</f>
        <v>show</v>
      </c>
      <c r="F8664" t="str">
        <f>HYPERLINK("https://github.com/ElderDrivers/EdXposed/releases","show")</f>
        <v>show</v>
      </c>
    </row>
    <row r="8665" spans="1:6">
      <c r="A8665" t="s">
        <v>25721</v>
      </c>
      <c r="B8665" t="s">
        <v>25722</v>
      </c>
      <c r="C8665" t="s">
        <v>25723</v>
      </c>
      <c r="D8665" t="str">
        <f>HYPERLINK("https://github.com/nextcloud/android/issues/4732","show")</f>
        <v>show</v>
      </c>
      <c r="E8665" t="str">
        <f>HYPERLINK("https://github.com/nextcloud/android","show")</f>
        <v>show</v>
      </c>
      <c r="F8665" t="str">
        <f>HYPERLINK("https://github.com/nextcloud/android/releases","show")</f>
        <v>show</v>
      </c>
    </row>
    <row r="8666" spans="1:6">
      <c r="A8666" t="s">
        <v>25724</v>
      </c>
      <c r="B8666" t="s">
        <v>25725</v>
      </c>
      <c r="C8666" t="s">
        <v>25726</v>
      </c>
      <c r="D8666" t="str">
        <f>HYPERLINK("https://github.com/opensrp/opensrp-client-giz-malawi/issues/137","show")</f>
        <v>show</v>
      </c>
      <c r="E8666" t="str">
        <f>HYPERLINK("https://github.com/opensrp/opensrp-client-giz-malawi","show")</f>
        <v>show</v>
      </c>
      <c r="F8666" t="str">
        <f>HYPERLINK("https://github.com/opensrp/opensrp-client-giz-malawi/releases","show")</f>
        <v>show</v>
      </c>
    </row>
    <row r="8667" spans="1:6">
      <c r="A8667" t="s">
        <v>25727</v>
      </c>
      <c r="B8667" t="s">
        <v>25728</v>
      </c>
      <c r="C8667" t="s">
        <v>25729</v>
      </c>
      <c r="D8667" t="str">
        <f>HYPERLINK("https://github.com/getodk/collect/issues/3415","show")</f>
        <v>show</v>
      </c>
      <c r="E8667" t="str">
        <f>HYPERLINK("https://github.com/getodk/collect","show")</f>
        <v>show</v>
      </c>
      <c r="F8667" t="str">
        <f>HYPERLINK("https://github.com/getodk/collect/releases","show")</f>
        <v>show</v>
      </c>
    </row>
    <row r="8668" spans="1:6">
      <c r="A8668" t="s">
        <v>25730</v>
      </c>
      <c r="B8668" t="s">
        <v>25731</v>
      </c>
      <c r="C8668" t="s">
        <v>25732</v>
      </c>
      <c r="D8668" t="str">
        <f>HYPERLINK("https://github.com/andOTP/andOTP/issues/406","show")</f>
        <v>show</v>
      </c>
      <c r="E8668" t="str">
        <f>HYPERLINK("https://github.com/andOTP/andOTP","show")</f>
        <v>show</v>
      </c>
      <c r="F8668" t="str">
        <f>HYPERLINK("https://github.com/andOTP/andOTP/releases","show")</f>
        <v>show</v>
      </c>
    </row>
    <row r="8669" spans="1:6">
      <c r="A8669" t="s">
        <v>25733</v>
      </c>
      <c r="B8669" t="s">
        <v>25734</v>
      </c>
      <c r="C8669" t="s">
        <v>25735</v>
      </c>
      <c r="D8669" t="str">
        <f>HYPERLINK("https://github.com/ElderDrivers/EdXposed/issues/373","show")</f>
        <v>show</v>
      </c>
      <c r="E8669" t="str">
        <f>HYPERLINK("https://github.com/ElderDrivers/EdXposed","show")</f>
        <v>show</v>
      </c>
      <c r="F8669" t="str">
        <f>HYPERLINK("https://github.com/ElderDrivers/EdXposed/releases","show")</f>
        <v>show</v>
      </c>
    </row>
    <row r="8670" spans="1:6">
      <c r="A8670" t="s">
        <v>25736</v>
      </c>
      <c r="B8670" t="s">
        <v>25737</v>
      </c>
      <c r="C8670" t="s">
        <v>25738</v>
      </c>
      <c r="D8670" t="str">
        <f>HYPERLINK("https://github.com/ElderDrivers/EdXposed/issues/372","show")</f>
        <v>show</v>
      </c>
      <c r="E8670" t="str">
        <f>HYPERLINK("https://github.com/ElderDrivers/EdXposed","show")</f>
        <v>show</v>
      </c>
      <c r="F8670" t="str">
        <f>HYPERLINK("https://github.com/ElderDrivers/EdXposed/releases","show")</f>
        <v>show</v>
      </c>
    </row>
    <row r="8671" spans="1:6">
      <c r="A8671" t="s">
        <v>25739</v>
      </c>
      <c r="B8671" t="s">
        <v>25740</v>
      </c>
      <c r="C8671" t="s">
        <v>25741</v>
      </c>
      <c r="D8671" t="str">
        <f>HYPERLINK("https://github.com/Piwigo/Piwigo-Android/issues/167","show")</f>
        <v>show</v>
      </c>
      <c r="E8671" t="str">
        <f>HYPERLINK("https://github.com/Piwigo/Piwigo-Android","show")</f>
        <v>show</v>
      </c>
      <c r="F8671" t="str">
        <f>HYPERLINK("https://github.com/Piwigo/Piwigo-Android/releases","show")</f>
        <v>show</v>
      </c>
    </row>
    <row r="8672" spans="1:6">
      <c r="A8672" t="s">
        <v>25742</v>
      </c>
      <c r="B8672" t="s">
        <v>25743</v>
      </c>
      <c r="C8672" t="s">
        <v>25744</v>
      </c>
      <c r="D8672" t="str">
        <f>HYPERLINK("https://github.com/OpenTracksApp/OpenTracks/issues/49","show")</f>
        <v>show</v>
      </c>
      <c r="E8672" t="str">
        <f>HYPERLINK("https://github.com/OpenTracksApp/OpenTracks","show")</f>
        <v>show</v>
      </c>
      <c r="F8672" t="str">
        <f>HYPERLINK("https://github.com/OpenTracksApp/OpenTracks/releases","show")</f>
        <v>show</v>
      </c>
    </row>
    <row r="8673" spans="1:6">
      <c r="A8673" t="s">
        <v>25745</v>
      </c>
      <c r="B8673" t="s">
        <v>25746</v>
      </c>
      <c r="C8673" t="s">
        <v>25747</v>
      </c>
      <c r="D8673" t="str">
        <f>HYPERLINK("https://github.com/denzilferreira/aware-client/issues/276","show")</f>
        <v>show</v>
      </c>
      <c r="E8673" t="str">
        <f>HYPERLINK("https://github.com/denzilferreira/aware-client","show")</f>
        <v>show</v>
      </c>
      <c r="F8673" t="str">
        <f>HYPERLINK("https://github.com/denzilferreira/aware-client/releases","show")</f>
        <v>show</v>
      </c>
    </row>
    <row r="8674" spans="1:6">
      <c r="A8674" t="s">
        <v>25748</v>
      </c>
      <c r="B8674" t="s">
        <v>25749</v>
      </c>
      <c r="C8674" t="s">
        <v>25750</v>
      </c>
      <c r="D8674" t="str">
        <f>HYPERLINK("https://github.com/pwittchen/ReactiveNetwork/issues/387","show")</f>
        <v>show</v>
      </c>
      <c r="E8674" t="str">
        <f>HYPERLINK("https://github.com/pwittchen/ReactiveNetwork","show")</f>
        <v>show</v>
      </c>
      <c r="F8674" t="str">
        <f>HYPERLINK("https://github.com/pwittchen/ReactiveNetwork/releases","show")</f>
        <v>show</v>
      </c>
    </row>
    <row r="8675" spans="1:6">
      <c r="A8675" t="s">
        <v>25751</v>
      </c>
      <c r="B8675" t="s">
        <v>25752</v>
      </c>
      <c r="C8675" t="s">
        <v>25753</v>
      </c>
      <c r="D8675" t="str">
        <f>HYPERLINK("https://github.com/miguelpruivo/flutter_file_picker/issues/161","show")</f>
        <v>show</v>
      </c>
      <c r="E8675" t="str">
        <f>HYPERLINK("https://github.com/miguelpruivo/flutter_file_picker","show")</f>
        <v>show</v>
      </c>
      <c r="F8675" t="str">
        <f>HYPERLINK("https://github.com/miguelpruivo/flutter_file_picker/releases","show")</f>
        <v>show</v>
      </c>
    </row>
    <row r="8676" spans="1:6">
      <c r="A8676" t="s">
        <v>25754</v>
      </c>
      <c r="B8676" t="s">
        <v>25755</v>
      </c>
      <c r="C8676" t="s">
        <v>25756</v>
      </c>
      <c r="D8676" t="str">
        <f>HYPERLINK("https://github.com/square/okhttp/issues/5562","show")</f>
        <v>show</v>
      </c>
      <c r="E8676" t="str">
        <f>HYPERLINK("https://github.com/square/okhttp","show")</f>
        <v>show</v>
      </c>
      <c r="F8676" t="str">
        <f>HYPERLINK("https://github.com/square/okhttp/releases","show")</f>
        <v>show</v>
      </c>
    </row>
    <row r="8677" spans="1:6">
      <c r="A8677" t="s">
        <v>25757</v>
      </c>
      <c r="B8677" t="s">
        <v>25758</v>
      </c>
      <c r="C8677" t="s">
        <v>25759</v>
      </c>
      <c r="D8677" t="str">
        <f>HYPERLINK("https://github.com/fennifith/Alarmio/issues/82","show")</f>
        <v>show</v>
      </c>
      <c r="E8677" t="str">
        <f>HYPERLINK("https://github.com/fennifith/Alarmio","show")</f>
        <v>show</v>
      </c>
      <c r="F8677" t="str">
        <f>HYPERLINK("https://github.com/fennifith/Alarmio/releases","show")</f>
        <v>show</v>
      </c>
    </row>
    <row r="8678" spans="1:6">
      <c r="A8678" t="s">
        <v>25760</v>
      </c>
      <c r="B8678" t="s">
        <v>25761</v>
      </c>
      <c r="C8678" t="s">
        <v>25762</v>
      </c>
      <c r="D8678" t="str">
        <f>HYPERLINK("https://github.com/bitstadium/HockeySDK-Android/issues/435","show")</f>
        <v>show</v>
      </c>
      <c r="E8678" t="str">
        <f>HYPERLINK("https://github.com/bitstadium/HockeySDK-Android","show")</f>
        <v>show</v>
      </c>
      <c r="F8678" t="str">
        <f>HYPERLINK("https://github.com/bitstadium/HockeySDK-Android/releases","show")</f>
        <v>show</v>
      </c>
    </row>
    <row r="8679" spans="1:6">
      <c r="A8679" t="s">
        <v>25763</v>
      </c>
      <c r="B8679" t="s">
        <v>25764</v>
      </c>
      <c r="C8679" t="s">
        <v>25765</v>
      </c>
      <c r="D8679" t="str">
        <f>HYPERLINK("https://github.com/inaturalist/iNaturalistAndroid/issues/722","show")</f>
        <v>show</v>
      </c>
      <c r="E8679" t="str">
        <f>HYPERLINK("https://github.com/inaturalist/iNaturalistAndroid","show")</f>
        <v>show</v>
      </c>
      <c r="F8679" t="str">
        <f>HYPERLINK("https://github.com/inaturalist/iNaturalistAndroid/releases","show")</f>
        <v>show</v>
      </c>
    </row>
    <row r="8680" spans="1:6">
      <c r="A8680" t="s">
        <v>25766</v>
      </c>
      <c r="B8680" t="s">
        <v>25767</v>
      </c>
      <c r="C8680" t="s">
        <v>25768</v>
      </c>
      <c r="D8680" t="str">
        <f>HYPERLINK("https://github.com/svenmeier/coxswain/issues/93","show")</f>
        <v>show</v>
      </c>
      <c r="E8680" t="str">
        <f>HYPERLINK("https://github.com/svenmeier/coxswain","show")</f>
        <v>show</v>
      </c>
      <c r="F8680" t="str">
        <f>HYPERLINK("https://github.com/svenmeier/coxswain/releases","show")</f>
        <v>show</v>
      </c>
    </row>
    <row r="8681" spans="1:6">
      <c r="A8681" t="s">
        <v>25769</v>
      </c>
      <c r="B8681" t="s">
        <v>25770</v>
      </c>
      <c r="C8681" t="s">
        <v>25771</v>
      </c>
      <c r="D8681" t="str">
        <f>HYPERLINK("https://github.com/MozillaReality/FirefoxReality/issues/2020","show")</f>
        <v>show</v>
      </c>
      <c r="E8681" t="str">
        <f>HYPERLINK("https://github.com/MozillaReality/FirefoxReality","show")</f>
        <v>show</v>
      </c>
      <c r="F8681" t="str">
        <f>HYPERLINK("https://github.com/MozillaReality/FirefoxReality/releases","show")</f>
        <v>show</v>
      </c>
    </row>
    <row r="8682" spans="1:6">
      <c r="A8682" t="s">
        <v>25772</v>
      </c>
      <c r="B8682" t="s">
        <v>25773</v>
      </c>
      <c r="C8682" t="s">
        <v>25774</v>
      </c>
      <c r="D8682" t="str">
        <f>HYPERLINK("https://github.com/material-components/material-components-android/issues/688","show")</f>
        <v>show</v>
      </c>
      <c r="E8682" t="str">
        <f>HYPERLINK("https://github.com/material-components/material-components-android","show")</f>
        <v>show</v>
      </c>
      <c r="F8682" t="str">
        <f>HYPERLINK("https://github.com/material-components/material-components-android/releases","show")</f>
        <v>show</v>
      </c>
    </row>
    <row r="8683" spans="1:6">
      <c r="A8683" t="s">
        <v>25775</v>
      </c>
      <c r="B8683" t="s">
        <v>25776</v>
      </c>
      <c r="C8683" t="s">
        <v>25777</v>
      </c>
      <c r="D8683" t="str">
        <f>HYPERLINK("https://github.com/AChep/AcDisplay/issues/161","show")</f>
        <v>show</v>
      </c>
      <c r="E8683" t="str">
        <f>HYPERLINK("https://github.com/AChep/AcDisplay","show")</f>
        <v>show</v>
      </c>
      <c r="F8683" t="str">
        <f>HYPERLINK("https://github.com/AChep/AcDisplay/releases","show")</f>
        <v>show</v>
      </c>
    </row>
    <row r="8684" spans="1:6">
      <c r="A8684" t="s">
        <v>25778</v>
      </c>
      <c r="B8684" t="s">
        <v>25779</v>
      </c>
      <c r="C8684" t="s">
        <v>25780</v>
      </c>
      <c r="D8684" t="str">
        <f>HYPERLINK("https://github.com/nextcloud/android/issues/4702","show")</f>
        <v>show</v>
      </c>
      <c r="E8684" t="str">
        <f>HYPERLINK("https://github.com/nextcloud/android","show")</f>
        <v>show</v>
      </c>
      <c r="F8684" t="str">
        <f>HYPERLINK("https://github.com/nextcloud/android/releases","show")</f>
        <v>show</v>
      </c>
    </row>
    <row r="8685" spans="1:6">
      <c r="A8685" t="s">
        <v>25781</v>
      </c>
      <c r="B8685" t="s">
        <v>25782</v>
      </c>
      <c r="C8685" t="s">
        <v>25783</v>
      </c>
      <c r="D8685" t="str">
        <f>HYPERLINK("https://github.com/ukanth/afwall/issues/1025","show")</f>
        <v>show</v>
      </c>
      <c r="E8685" t="str">
        <f>HYPERLINK("https://github.com/ukanth/afwall","show")</f>
        <v>show</v>
      </c>
      <c r="F8685" t="str">
        <f>HYPERLINK("https://github.com/ukanth/afwall/releases","show")</f>
        <v>show</v>
      </c>
    </row>
    <row r="8686" spans="1:6">
      <c r="A8686" t="s">
        <v>25784</v>
      </c>
      <c r="B8686" t="s">
        <v>25785</v>
      </c>
      <c r="C8686" t="s">
        <v>25786</v>
      </c>
      <c r="D8686" t="str">
        <f>HYPERLINK("https://github.com/react-native-camera/react-native-camera/issues/2549","show")</f>
        <v>show</v>
      </c>
      <c r="E8686" t="str">
        <f>HYPERLINK("https://github.com/react-native-camera/react-native-camera","show")</f>
        <v>show</v>
      </c>
      <c r="F8686" t="str">
        <f>HYPERLINK("https://github.com/react-native-camera/react-native-camera/releases","show")</f>
        <v>show</v>
      </c>
    </row>
    <row r="8687" spans="1:6">
      <c r="A8687" t="s">
        <v>25787</v>
      </c>
      <c r="B8687" t="s">
        <v>25788</v>
      </c>
      <c r="C8687" t="s">
        <v>25789</v>
      </c>
      <c r="D8687" t="str">
        <f>HYPERLINK("https://github.com/microsoft/appcenter-sdk-android/issues/1282","show")</f>
        <v>show</v>
      </c>
      <c r="E8687" t="str">
        <f>HYPERLINK("https://github.com/microsoft/appcenter-sdk-android","show")</f>
        <v>show</v>
      </c>
      <c r="F8687" t="str">
        <f>HYPERLINK("https://github.com/microsoft/appcenter-sdk-android/releases","show")</f>
        <v>show</v>
      </c>
    </row>
    <row r="8688" spans="1:6">
      <c r="A8688" t="s">
        <v>25790</v>
      </c>
      <c r="B8688" t="s">
        <v>25791</v>
      </c>
      <c r="C8688" t="s">
        <v>25792</v>
      </c>
      <c r="D8688" t="str">
        <f>HYPERLINK("https://github.com/square/okhttp/issues/5558","show")</f>
        <v>show</v>
      </c>
      <c r="E8688" t="str">
        <f>HYPERLINK("https://github.com/square/okhttp","show")</f>
        <v>show</v>
      </c>
      <c r="F8688" t="str">
        <f>HYPERLINK("https://github.com/square/okhttp/releases","show")</f>
        <v>show</v>
      </c>
    </row>
    <row r="8689" spans="1:6">
      <c r="A8689" t="s">
        <v>25793</v>
      </c>
      <c r="B8689" t="s">
        <v>25794</v>
      </c>
      <c r="C8689" t="s">
        <v>25795</v>
      </c>
      <c r="D8689" t="str">
        <f>HYPERLINK("https://github.com/material-components/material-components-android/issues/685","show")</f>
        <v>show</v>
      </c>
      <c r="E8689" t="str">
        <f>HYPERLINK("https://github.com/material-components/material-components-android","show")</f>
        <v>show</v>
      </c>
      <c r="F8689" t="str">
        <f>HYPERLINK("https://github.com/material-components/material-components-android/releases","show")</f>
        <v>show</v>
      </c>
    </row>
    <row r="8690" spans="1:6">
      <c r="A8690" t="s">
        <v>25796</v>
      </c>
      <c r="B8690" t="s">
        <v>25797</v>
      </c>
      <c r="C8690" t="s">
        <v>25798</v>
      </c>
      <c r="D8690" t="str">
        <f>HYPERLINK("https://github.com/ankidroid/Anki-Android/issues/5524","show")</f>
        <v>show</v>
      </c>
      <c r="E8690" t="str">
        <f>HYPERLINK("https://github.com/ankidroid/Anki-Android","show")</f>
        <v>show</v>
      </c>
      <c r="F8690" t="str">
        <f>HYPERLINK("https://github.com/ankidroid/Anki-Android/releases","show")</f>
        <v>show</v>
      </c>
    </row>
    <row r="8691" spans="1:6">
      <c r="A8691" t="s">
        <v>25799</v>
      </c>
      <c r="B8691" t="s">
        <v>25800</v>
      </c>
      <c r="C8691" t="s">
        <v>25801</v>
      </c>
      <c r="D8691" t="str">
        <f>HYPERLINK("https://github.com/ankidroid/Anki-Android/issues/5519","show")</f>
        <v>show</v>
      </c>
      <c r="E8691" t="str">
        <f>HYPERLINK("https://github.com/ankidroid/Anki-Android","show")</f>
        <v>show</v>
      </c>
      <c r="F8691" t="str">
        <f>HYPERLINK("https://github.com/ankidroid/Anki-Android/releases","show")</f>
        <v>show</v>
      </c>
    </row>
    <row r="8692" spans="1:6">
      <c r="A8692" t="s">
        <v>25802</v>
      </c>
      <c r="B8692" t="s">
        <v>25803</v>
      </c>
      <c r="C8692" t="s">
        <v>25804</v>
      </c>
      <c r="D8692" t="str">
        <f>HYPERLINK("https://github.com/ankidroid/Anki-Android/issues/5508","show")</f>
        <v>show</v>
      </c>
      <c r="E8692" t="str">
        <f>HYPERLINK("https://github.com/ankidroid/Anki-Android","show")</f>
        <v>show</v>
      </c>
      <c r="F8692" t="str">
        <f>HYPERLINK("https://github.com/ankidroid/Anki-Android/releases","show")</f>
        <v>show</v>
      </c>
    </row>
    <row r="8693" spans="1:6">
      <c r="A8693" t="s">
        <v>25805</v>
      </c>
      <c r="B8693" t="s">
        <v>25806</v>
      </c>
      <c r="C8693" t="s">
        <v>25807</v>
      </c>
      <c r="D8693" t="str">
        <f>HYPERLINK("https://github.com/ankidroid/Anki-Android/issues/5505","show")</f>
        <v>show</v>
      </c>
      <c r="E8693" t="str">
        <f>HYPERLINK("https://github.com/ankidroid/Anki-Android","show")</f>
        <v>show</v>
      </c>
      <c r="F8693" t="str">
        <f>HYPERLINK("https://github.com/ankidroid/Anki-Android/releases","show")</f>
        <v>show</v>
      </c>
    </row>
    <row r="8694" spans="1:6">
      <c r="A8694" t="s">
        <v>25808</v>
      </c>
      <c r="B8694" t="s">
        <v>25809</v>
      </c>
      <c r="C8694" t="s">
        <v>25810</v>
      </c>
      <c r="D8694" t="str">
        <f>HYPERLINK("https://github.com/nethesis/nethcti-app-android/issues/5","show")</f>
        <v>show</v>
      </c>
      <c r="E8694" t="str">
        <f>HYPERLINK("https://github.com/nethesis/nethcti-app-android","show")</f>
        <v>show</v>
      </c>
      <c r="F8694" t="str">
        <f>HYPERLINK("https://github.com/nethesis/nethcti-app-android/releases","show")</f>
        <v>show</v>
      </c>
    </row>
    <row r="8695" spans="1:6">
      <c r="A8695" t="s">
        <v>25811</v>
      </c>
      <c r="B8695" t="s">
        <v>25812</v>
      </c>
      <c r="C8695" t="s">
        <v>25813</v>
      </c>
      <c r="D8695" t="str">
        <f>HYPERLINK("https://github.com/eclipse/keyple-java/issues/153","show")</f>
        <v>show</v>
      </c>
      <c r="E8695" t="str">
        <f>HYPERLINK("https://github.com/eclipse/keyple-java","show")</f>
        <v>show</v>
      </c>
      <c r="F8695" t="str">
        <f>HYPERLINK("https://github.com/eclipse/keyple-java/releases","show")</f>
        <v>show</v>
      </c>
    </row>
    <row r="8696" spans="1:6">
      <c r="A8696" t="s">
        <v>25814</v>
      </c>
      <c r="B8696" t="s">
        <v>25815</v>
      </c>
      <c r="C8696" t="s">
        <v>25816</v>
      </c>
      <c r="D8696" t="str">
        <f>HYPERLINK("https://github.com/SanojPunchihewa/f5n/issues/32","show")</f>
        <v>show</v>
      </c>
      <c r="E8696" t="str">
        <f>HYPERLINK("https://github.com/SanojPunchihewa/f5n","show")</f>
        <v>show</v>
      </c>
      <c r="F8696" t="str">
        <f>HYPERLINK("https://github.com/SanojPunchihewa/f5n/releases","show")</f>
        <v>show</v>
      </c>
    </row>
    <row r="8697" spans="1:6">
      <c r="A8697" t="s">
        <v>25817</v>
      </c>
      <c r="B8697" t="s">
        <v>25818</v>
      </c>
      <c r="C8697" t="s">
        <v>25819</v>
      </c>
      <c r="D8697" t="str">
        <f>HYPERLINK("https://github.com/denzilferreira/aware-client/issues/275","show")</f>
        <v>show</v>
      </c>
      <c r="E8697" t="str">
        <f>HYPERLINK("https://github.com/denzilferreira/aware-client","show")</f>
        <v>show</v>
      </c>
      <c r="F8697" t="str">
        <f>HYPERLINK("https://github.com/denzilferreira/aware-client/releases","show")</f>
        <v>show</v>
      </c>
    </row>
    <row r="8698" spans="1:6">
      <c r="A8698" t="s">
        <v>25820</v>
      </c>
      <c r="B8698" t="s">
        <v>25821</v>
      </c>
      <c r="C8698" t="s">
        <v>25822</v>
      </c>
      <c r="D8698" t="str">
        <f>HYPERLINK("https://github.com/nextcloud/android/issues/4680","show")</f>
        <v>show</v>
      </c>
      <c r="E8698" t="str">
        <f>HYPERLINK("https://github.com/nextcloud/android","show")</f>
        <v>show</v>
      </c>
      <c r="F8698" t="str">
        <f>HYPERLINK("https://github.com/nextcloud/android/releases","show")</f>
        <v>show</v>
      </c>
    </row>
    <row r="8699" spans="1:6">
      <c r="A8699" t="s">
        <v>25823</v>
      </c>
      <c r="B8699" t="s">
        <v>25824</v>
      </c>
      <c r="C8699" t="s">
        <v>25825</v>
      </c>
      <c r="D8699" t="str">
        <f>HYPERLINK("https://github.com/oliexdev/openScale/issues/508","show")</f>
        <v>show</v>
      </c>
      <c r="E8699" t="str">
        <f>HYPERLINK("https://github.com/oliexdev/openScale","show")</f>
        <v>show</v>
      </c>
      <c r="F8699" t="str">
        <f>HYPERLINK("https://github.com/oliexdev/openScale/releases","show")</f>
        <v>show</v>
      </c>
    </row>
    <row r="8700" spans="1:6">
      <c r="A8700" t="s">
        <v>25826</v>
      </c>
      <c r="B8700" t="s">
        <v>25827</v>
      </c>
      <c r="C8700" t="s">
        <v>25828</v>
      </c>
      <c r="D8700" t="str">
        <f>HYPERLINK("https://github.com/oliexdev/openScale/issues/507","show")</f>
        <v>show</v>
      </c>
      <c r="E8700" t="str">
        <f>HYPERLINK("https://github.com/oliexdev/openScale","show")</f>
        <v>show</v>
      </c>
      <c r="F8700" t="str">
        <f>HYPERLINK("https://github.com/oliexdev/openScale/releases","show")</f>
        <v>show</v>
      </c>
    </row>
    <row r="8701" spans="1:6">
      <c r="A8701" t="s">
        <v>25829</v>
      </c>
      <c r="B8701" t="s">
        <v>25830</v>
      </c>
      <c r="C8701" t="s">
        <v>25831</v>
      </c>
      <c r="D8701" t="str">
        <f>HYPERLINK("https://github.com/nextcloud/android/issues/4671","show")</f>
        <v>show</v>
      </c>
      <c r="E8701" t="str">
        <f>HYPERLINK("https://github.com/nextcloud/android","show")</f>
        <v>show</v>
      </c>
      <c r="F8701" t="str">
        <f>HYPERLINK("https://github.com/nextcloud/android/releases","show")</f>
        <v>show</v>
      </c>
    </row>
    <row r="8702" spans="1:6">
      <c r="A8702" t="s">
        <v>25832</v>
      </c>
      <c r="B8702" t="s">
        <v>25833</v>
      </c>
      <c r="C8702" t="s">
        <v>25834</v>
      </c>
      <c r="D8702" t="str">
        <f>HYPERLINK("https://github.com/LawnchairLauncher/lawnchair/issues/1775","show")</f>
        <v>show</v>
      </c>
      <c r="E8702" t="str">
        <f>HYPERLINK("https://github.com/LawnchairLauncher/lawnchair","show")</f>
        <v>show</v>
      </c>
      <c r="F8702" t="str">
        <f>HYPERLINK("https://github.com/LawnchairLauncher/lawnchair/releases","show")</f>
        <v>show</v>
      </c>
    </row>
    <row r="8703" spans="1:6">
      <c r="A8703" t="s">
        <v>25835</v>
      </c>
      <c r="B8703" t="s">
        <v>25836</v>
      </c>
      <c r="C8703" t="s">
        <v>25837</v>
      </c>
      <c r="D8703" t="str">
        <f>HYPERLINK("https://github.com/nextcloud/android/issues/4667","show")</f>
        <v>show</v>
      </c>
      <c r="E8703" t="str">
        <f>HYPERLINK("https://github.com/nextcloud/android","show")</f>
        <v>show</v>
      </c>
      <c r="F8703" t="str">
        <f>HYPERLINK("https://github.com/nextcloud/android/releases","show")</f>
        <v>show</v>
      </c>
    </row>
    <row r="8704" spans="1:6">
      <c r="A8704" t="s">
        <v>25838</v>
      </c>
      <c r="B8704" t="s">
        <v>25839</v>
      </c>
      <c r="C8704" t="s">
        <v>25840</v>
      </c>
      <c r="D8704" t="str">
        <f>HYPERLINK("https://github.com/nextcloud/android/issues/4666","show")</f>
        <v>show</v>
      </c>
      <c r="E8704" t="str">
        <f>HYPERLINK("https://github.com/nextcloud/android","show")</f>
        <v>show</v>
      </c>
      <c r="F8704" t="str">
        <f>HYPERLINK("https://github.com/nextcloud/android/releases","show")</f>
        <v>show</v>
      </c>
    </row>
    <row r="8705" spans="1:6">
      <c r="A8705" t="s">
        <v>25841</v>
      </c>
      <c r="B8705" t="s">
        <v>25842</v>
      </c>
      <c r="C8705" t="s">
        <v>25843</v>
      </c>
      <c r="D8705" t="str">
        <f>HYPERLINK("https://github.com/stefan-niedermann/nextcloud-notes/issues/604","show")</f>
        <v>show</v>
      </c>
      <c r="E8705" t="str">
        <f>HYPERLINK("https://github.com/stefan-niedermann/nextcloud-notes","show")</f>
        <v>show</v>
      </c>
      <c r="F8705" t="str">
        <f>HYPERLINK("https://github.com/stefan-niedermann/nextcloud-notes/releases","show")</f>
        <v>show</v>
      </c>
    </row>
    <row r="8706" spans="1:6">
      <c r="A8706" t="s">
        <v>25844</v>
      </c>
      <c r="B8706" t="s">
        <v>25845</v>
      </c>
      <c r="C8706" t="s">
        <v>25846</v>
      </c>
      <c r="D8706" t="str">
        <f>HYPERLINK("https://github.com/forrestguice/SuntimesWidget/issues/365","show")</f>
        <v>show</v>
      </c>
      <c r="E8706" t="str">
        <f>HYPERLINK("https://github.com/forrestguice/SuntimesWidget","show")</f>
        <v>show</v>
      </c>
      <c r="F8706" t="str">
        <f>HYPERLINK("https://github.com/forrestguice/SuntimesWidget/releases","show")</f>
        <v>show</v>
      </c>
    </row>
    <row r="8707" spans="1:6">
      <c r="A8707" t="s">
        <v>25847</v>
      </c>
      <c r="B8707" t="s">
        <v>25848</v>
      </c>
      <c r="C8707" t="s">
        <v>25849</v>
      </c>
      <c r="D8707" t="str">
        <f>HYPERLINK("https://github.com/mukeshsolanki/country-picker-android/issues/84","show")</f>
        <v>show</v>
      </c>
      <c r="E8707" t="str">
        <f>HYPERLINK("https://github.com/mukeshsolanki/country-picker-android","show")</f>
        <v>show</v>
      </c>
      <c r="F8707" t="str">
        <f>HYPERLINK("https://github.com/mukeshsolanki/country-picker-android/releases","show")</f>
        <v>show</v>
      </c>
    </row>
    <row r="8708" spans="1:6">
      <c r="A8708" t="s">
        <v>25850</v>
      </c>
      <c r="B8708" t="s">
        <v>25851</v>
      </c>
      <c r="C8708" t="s">
        <v>25852</v>
      </c>
      <c r="D8708" t="str">
        <f>HYPERLINK("https://github.com/nextcloud/android/issues/4662","show")</f>
        <v>show</v>
      </c>
      <c r="E8708" t="str">
        <f>HYPERLINK("https://github.com/nextcloud/android","show")</f>
        <v>show</v>
      </c>
      <c r="F8708" t="str">
        <f>HYPERLINK("https://github.com/nextcloud/android/releases","show")</f>
        <v>show</v>
      </c>
    </row>
    <row r="8709" spans="1:6">
      <c r="A8709" t="s">
        <v>25853</v>
      </c>
      <c r="B8709" t="s">
        <v>25854</v>
      </c>
      <c r="C8709" t="s">
        <v>25855</v>
      </c>
      <c r="D8709" t="str">
        <f>HYPERLINK("https://github.com/nextcloud/android/issues/4660","show")</f>
        <v>show</v>
      </c>
      <c r="E8709" t="str">
        <f>HYPERLINK("https://github.com/nextcloud/android","show")</f>
        <v>show</v>
      </c>
      <c r="F8709" t="str">
        <f>HYPERLINK("https://github.com/nextcloud/android/releases","show")</f>
        <v>show</v>
      </c>
    </row>
    <row r="8710" spans="1:6">
      <c r="A8710" t="s">
        <v>25856</v>
      </c>
      <c r="B8710" t="s">
        <v>25857</v>
      </c>
      <c r="C8710" t="s">
        <v>25858</v>
      </c>
      <c r="D8710" t="str">
        <f>HYPERLINK("https://github.com/material-components/material-components-android/issues/670","show")</f>
        <v>show</v>
      </c>
      <c r="E8710" t="str">
        <f>HYPERLINK("https://github.com/material-components/material-components-android","show")</f>
        <v>show</v>
      </c>
      <c r="F8710" t="str">
        <f>HYPERLINK("https://github.com/material-components/material-components-android/releases","show")</f>
        <v>show</v>
      </c>
    </row>
    <row r="8711" spans="1:6">
      <c r="A8711" t="s">
        <v>25859</v>
      </c>
      <c r="B8711" t="s">
        <v>25860</v>
      </c>
      <c r="C8711" t="s">
        <v>25861</v>
      </c>
      <c r="D8711" t="str">
        <f>HYPERLINK("https://github.com/SecUSo/privacy-friendly-todo-list/issues/63","show")</f>
        <v>show</v>
      </c>
      <c r="E8711" t="str">
        <f>HYPERLINK("https://github.com/SecUSo/privacy-friendly-todo-list","show")</f>
        <v>show</v>
      </c>
      <c r="F8711" t="str">
        <f>HYPERLINK("https://github.com/SecUSo/privacy-friendly-todo-list/releases","show")</f>
        <v>show</v>
      </c>
    </row>
    <row r="8712" spans="1:6">
      <c r="A8712" t="s">
        <v>25862</v>
      </c>
      <c r="B8712" t="s">
        <v>25863</v>
      </c>
      <c r="C8712" t="s">
        <v>25864</v>
      </c>
      <c r="D8712" t="str">
        <f>HYPERLINK("https://github.com/material-components/material-components-android/issues/668","show")</f>
        <v>show</v>
      </c>
      <c r="E8712" t="str">
        <f>HYPERLINK("https://github.com/material-components/material-components-android","show")</f>
        <v>show</v>
      </c>
      <c r="F8712" t="str">
        <f>HYPERLINK("https://github.com/material-components/material-components-android/releases","show")</f>
        <v>show</v>
      </c>
    </row>
    <row r="8713" spans="1:6">
      <c r="A8713" t="s">
        <v>25865</v>
      </c>
      <c r="B8713" t="s">
        <v>25866</v>
      </c>
      <c r="C8713" t="s">
        <v>25867</v>
      </c>
      <c r="D8713" t="str">
        <f>HYPERLINK("https://github.com/harshsri2208/MEME/issues/1","show")</f>
        <v>show</v>
      </c>
      <c r="E8713" t="str">
        <f>HYPERLINK("https://github.com/harshsri2208/MEME","show")</f>
        <v>show</v>
      </c>
      <c r="F8713" t="str">
        <f>HYPERLINK("https://github.com/harshsri2208/MEME/releases","show")</f>
        <v>show</v>
      </c>
    </row>
    <row r="8714" spans="1:6">
      <c r="A8714" t="s">
        <v>25868</v>
      </c>
      <c r="B8714" t="s">
        <v>25869</v>
      </c>
      <c r="C8714" t="s">
        <v>25870</v>
      </c>
      <c r="D8714" t="str">
        <f>HYPERLINK("https://github.com/react-native-share/react-native-share/issues/604","show")</f>
        <v>show</v>
      </c>
      <c r="E8714" t="str">
        <f>HYPERLINK("https://github.com/react-native-share/react-native-share","show")</f>
        <v>show</v>
      </c>
      <c r="F8714" t="str">
        <f>HYPERLINK("https://github.com/react-native-share/react-native-share/releases","show")</f>
        <v>show</v>
      </c>
    </row>
    <row r="8715" spans="1:6">
      <c r="A8715" t="s">
        <v>25871</v>
      </c>
      <c r="B8715" t="s">
        <v>25872</v>
      </c>
      <c r="C8715" t="s">
        <v>25873</v>
      </c>
      <c r="D8715" t="str">
        <f>HYPERLINK("https://github.com/nextcloud/android/issues/4634","show")</f>
        <v>show</v>
      </c>
      <c r="E8715" t="str">
        <f>HYPERLINK("https://github.com/nextcloud/android","show")</f>
        <v>show</v>
      </c>
      <c r="F8715" t="str">
        <f>HYPERLINK("https://github.com/nextcloud/android/releases","show")</f>
        <v>show</v>
      </c>
    </row>
    <row r="8716" spans="1:6">
      <c r="A8716" t="s">
        <v>25874</v>
      </c>
      <c r="B8716" t="s">
        <v>25875</v>
      </c>
      <c r="C8716" t="s">
        <v>25876</v>
      </c>
      <c r="D8716" t="str">
        <f>HYPERLINK("https://github.com/nextcloud/android/issues/4628","show")</f>
        <v>show</v>
      </c>
      <c r="E8716" t="str">
        <f>HYPERLINK("https://github.com/nextcloud/android","show")</f>
        <v>show</v>
      </c>
      <c r="F8716" t="str">
        <f>HYPERLINK("https://github.com/nextcloud/android/releases","show")</f>
        <v>show</v>
      </c>
    </row>
    <row r="8717" spans="1:6">
      <c r="A8717" t="s">
        <v>25877</v>
      </c>
      <c r="B8717" t="s">
        <v>25878</v>
      </c>
      <c r="C8717" t="s">
        <v>25879</v>
      </c>
      <c r="D8717" t="str">
        <f>HYPERLINK("https://github.com/react-native-camera/react-native-camera/issues/2525","show")</f>
        <v>show</v>
      </c>
      <c r="E8717" t="str">
        <f>HYPERLINK("https://github.com/react-native-camera/react-native-camera","show")</f>
        <v>show</v>
      </c>
      <c r="F8717" t="str">
        <f>HYPERLINK("https://github.com/react-native-camera/react-native-camera/releases","show")</f>
        <v>show</v>
      </c>
    </row>
    <row r="8718" spans="1:6">
      <c r="A8718" t="s">
        <v>25880</v>
      </c>
      <c r="B8718" t="s">
        <v>25881</v>
      </c>
      <c r="C8718" t="s">
        <v>25882</v>
      </c>
      <c r="D8718" t="str">
        <f>HYPERLINK("https://github.com/smartdevicelink/sdl_java_suite/issues/1193","show")</f>
        <v>show</v>
      </c>
      <c r="E8718" t="str">
        <f>HYPERLINK("https://github.com/smartdevicelink/sdl_java_suite","show")</f>
        <v>show</v>
      </c>
      <c r="F8718" t="str">
        <f>HYPERLINK("https://github.com/smartdevicelink/sdl_java_suite/releases","show")</f>
        <v>show</v>
      </c>
    </row>
    <row r="8719" spans="1:6">
      <c r="A8719" t="s">
        <v>25883</v>
      </c>
      <c r="B8719" t="s">
        <v>25884</v>
      </c>
      <c r="C8719" t="s">
        <v>25885</v>
      </c>
      <c r="D8719" t="str">
        <f>HYPERLINK("https://github.com/material-components/material-components-android/issues/661","show")</f>
        <v>show</v>
      </c>
      <c r="E8719" t="str">
        <f>HYPERLINK("https://github.com/material-components/material-components-android","show")</f>
        <v>show</v>
      </c>
      <c r="F8719" t="str">
        <f>HYPERLINK("https://github.com/material-components/material-components-android/releases","show")</f>
        <v>show</v>
      </c>
    </row>
    <row r="8720" spans="1:6">
      <c r="A8720" t="s">
        <v>25886</v>
      </c>
      <c r="B8720" t="s">
        <v>25887</v>
      </c>
      <c r="C8720" t="s">
        <v>25888</v>
      </c>
      <c r="D8720" t="str">
        <f>HYPERLINK("https://github.com/TeamNewPipe/NewPipe/issues/2704","show")</f>
        <v>show</v>
      </c>
      <c r="E8720" t="str">
        <f>HYPERLINK("https://github.com/TeamNewPipe/NewPipe","show")</f>
        <v>show</v>
      </c>
      <c r="F8720" t="str">
        <f>HYPERLINK("https://github.com/TeamNewPipe/NewPipe/releases","show")</f>
        <v>show</v>
      </c>
    </row>
    <row r="8721" spans="1:6">
      <c r="A8721" t="s">
        <v>25889</v>
      </c>
      <c r="B8721" t="s">
        <v>25890</v>
      </c>
      <c r="C8721" t="s">
        <v>25891</v>
      </c>
      <c r="D8721" t="str">
        <f>HYPERLINK("https://github.com/react-native-camera/react-native-camera/issues/2523","show")</f>
        <v>show</v>
      </c>
      <c r="E8721" t="str">
        <f>HYPERLINK("https://github.com/react-native-camera/react-native-camera","show")</f>
        <v>show</v>
      </c>
      <c r="F8721" t="str">
        <f>HYPERLINK("https://github.com/react-native-camera/react-native-camera/releases","show")</f>
        <v>show</v>
      </c>
    </row>
    <row r="8722" spans="1:6">
      <c r="A8722" t="s">
        <v>25892</v>
      </c>
      <c r="B8722" t="s">
        <v>25893</v>
      </c>
      <c r="C8722" t="s">
        <v>25894</v>
      </c>
      <c r="D8722" t="str">
        <f>HYPERLINK("https://github.com/martykan/forecastie/issues/361","show")</f>
        <v>show</v>
      </c>
      <c r="E8722" t="str">
        <f>HYPERLINK("https://github.com/martykan/forecastie","show")</f>
        <v>show</v>
      </c>
      <c r="F8722" t="str">
        <f>HYPERLINK("https://github.com/martykan/forecastie/releases","show")</f>
        <v>show</v>
      </c>
    </row>
    <row r="8723" spans="1:6">
      <c r="A8723" t="s">
        <v>25895</v>
      </c>
      <c r="B8723" t="s">
        <v>25896</v>
      </c>
      <c r="C8723" t="s">
        <v>25897</v>
      </c>
      <c r="D8723" t="str">
        <f>HYPERLINK("https://github.com/JakeWharton/dagger-reflect/issues/175","show")</f>
        <v>show</v>
      </c>
      <c r="E8723" t="str">
        <f>HYPERLINK("https://github.com/JakeWharton/dagger-reflect","show")</f>
        <v>show</v>
      </c>
      <c r="F8723" t="str">
        <f>HYPERLINK("https://github.com/JakeWharton/dagger-reflect/releases","show")</f>
        <v>show</v>
      </c>
    </row>
    <row r="8724" spans="1:6">
      <c r="A8724" t="s">
        <v>25898</v>
      </c>
      <c r="B8724" t="s">
        <v>25899</v>
      </c>
      <c r="C8724" t="s">
        <v>25900</v>
      </c>
      <c r="D8724" t="str">
        <f>HYPERLINK("https://github.com/skynet-im/skynet-android/issues/8","show")</f>
        <v>show</v>
      </c>
      <c r="E8724" t="str">
        <f>HYPERLINK("https://github.com/skynet-im/skynet-android","show")</f>
        <v>show</v>
      </c>
      <c r="F8724" t="str">
        <f>HYPERLINK("https://github.com/skynet-im/skynet-android/releases","show")</f>
        <v>show</v>
      </c>
    </row>
    <row r="8725" spans="1:6">
      <c r="A8725" t="s">
        <v>25901</v>
      </c>
      <c r="B8725" t="s">
        <v>25902</v>
      </c>
      <c r="C8725" t="s">
        <v>25903</v>
      </c>
      <c r="D8725" t="str">
        <f>HYPERLINK("https://github.com/material-components/material-components-android/issues/655","show")</f>
        <v>show</v>
      </c>
      <c r="E8725" t="str">
        <f>HYPERLINK("https://github.com/material-components/material-components-android","show")</f>
        <v>show</v>
      </c>
      <c r="F8725" t="str">
        <f>HYPERLINK("https://github.com/material-components/material-components-android/releases","show")</f>
        <v>show</v>
      </c>
    </row>
    <row r="8726" spans="1:6">
      <c r="A8726" t="s">
        <v>25904</v>
      </c>
      <c r="B8726" t="s">
        <v>25905</v>
      </c>
      <c r="C8726" t="s">
        <v>25906</v>
      </c>
      <c r="D8726" t="str">
        <f>HYPERLINK("https://github.com/getsentry/sentry-java/issues/773","show")</f>
        <v>show</v>
      </c>
      <c r="E8726" t="str">
        <f>HYPERLINK("https://github.com/getsentry/sentry-java","show")</f>
        <v>show</v>
      </c>
      <c r="F8726" t="str">
        <f>HYPERLINK("https://github.com/getsentry/sentry-java/releases","show")</f>
        <v>show</v>
      </c>
    </row>
    <row r="8727" spans="1:6">
      <c r="A8727" t="s">
        <v>25907</v>
      </c>
      <c r="B8727" t="s">
        <v>25908</v>
      </c>
      <c r="C8727" t="s">
        <v>25909</v>
      </c>
      <c r="D8727" t="str">
        <f>HYPERLINK("https://github.com/nextcloud/android/issues/4618","show")</f>
        <v>show</v>
      </c>
      <c r="E8727" t="str">
        <f>HYPERLINK("https://github.com/nextcloud/android","show")</f>
        <v>show</v>
      </c>
      <c r="F8727" t="str">
        <f>HYPERLINK("https://github.com/nextcloud/android/releases","show")</f>
        <v>show</v>
      </c>
    </row>
    <row r="8728" spans="1:6">
      <c r="A8728" t="s">
        <v>25910</v>
      </c>
      <c r="B8728" t="s">
        <v>25911</v>
      </c>
      <c r="C8728" t="s">
        <v>25912</v>
      </c>
      <c r="D8728" t="str">
        <f>HYPERLINK("https://github.com/jMonkeyEngine/jmonkeyengine/issues/1197","show")</f>
        <v>show</v>
      </c>
      <c r="E8728" t="str">
        <f>HYPERLINK("https://github.com/jMonkeyEngine/jmonkeyengine","show")</f>
        <v>show</v>
      </c>
      <c r="F8728" t="str">
        <f>HYPERLINK("https://github.com/jMonkeyEngine/jmonkeyengine/releases","show")</f>
        <v>show</v>
      </c>
    </row>
    <row r="8729" spans="1:6">
      <c r="A8729" t="s">
        <v>25913</v>
      </c>
      <c r="B8729" t="s">
        <v>25914</v>
      </c>
      <c r="C8729" t="s">
        <v>25915</v>
      </c>
      <c r="D8729" t="str">
        <f>HYPERLINK("https://github.com/greenaddress/abcore/issues/98","show")</f>
        <v>show</v>
      </c>
      <c r="E8729" t="str">
        <f>HYPERLINK("https://github.com/greenaddress/abcore","show")</f>
        <v>show</v>
      </c>
      <c r="F8729" t="str">
        <f>HYPERLINK("https://github.com/greenaddress/abcore/releases","show")</f>
        <v>show</v>
      </c>
    </row>
    <row r="8730" spans="1:6">
      <c r="A8730" t="s">
        <v>25916</v>
      </c>
      <c r="B8730" t="s">
        <v>25917</v>
      </c>
      <c r="C8730" t="s">
        <v>25918</v>
      </c>
      <c r="D8730" t="str">
        <f>HYPERLINK("https://github.com/nextcloud/android/issues/4615","show")</f>
        <v>show</v>
      </c>
      <c r="E8730" t="str">
        <f>HYPERLINK("https://github.com/nextcloud/android","show")</f>
        <v>show</v>
      </c>
      <c r="F8730" t="str">
        <f>HYPERLINK("https://github.com/nextcloud/android/releases","show")</f>
        <v>show</v>
      </c>
    </row>
    <row r="8731" spans="1:6">
      <c r="A8731" t="s">
        <v>25919</v>
      </c>
      <c r="B8731" t="s">
        <v>25920</v>
      </c>
      <c r="C8731" t="s">
        <v>25921</v>
      </c>
      <c r="D8731" t="str">
        <f>HYPERLINK("https://github.com/nextcloud/android/issues/4614","show")</f>
        <v>show</v>
      </c>
      <c r="E8731" t="str">
        <f>HYPERLINK("https://github.com/nextcloud/android","show")</f>
        <v>show</v>
      </c>
      <c r="F8731" t="str">
        <f>HYPERLINK("https://github.com/nextcloud/android/releases","show")</f>
        <v>show</v>
      </c>
    </row>
    <row r="8732" spans="1:6">
      <c r="A8732" t="s">
        <v>25922</v>
      </c>
      <c r="B8732" t="s">
        <v>25923</v>
      </c>
      <c r="C8732" t="s">
        <v>25924</v>
      </c>
      <c r="D8732" t="str">
        <f>HYPERLINK("https://github.com/IEEE-VIT/calci-android/issues/6","show")</f>
        <v>show</v>
      </c>
      <c r="E8732" t="str">
        <f>HYPERLINK("https://github.com/IEEE-VIT/calci-android","show")</f>
        <v>show</v>
      </c>
      <c r="F8732" t="str">
        <f>HYPERLINK("https://github.com/IEEE-VIT/calci-android/releases","show")</f>
        <v>show</v>
      </c>
    </row>
    <row r="8733" spans="1:6">
      <c r="A8733" t="s">
        <v>25925</v>
      </c>
      <c r="B8733" t="s">
        <v>25926</v>
      </c>
      <c r="C8733" t="s">
        <v>25927</v>
      </c>
      <c r="D8733" t="str">
        <f>HYPERLINK("https://github.com/Haptic-Apps/Slide/issues/3076","show")</f>
        <v>show</v>
      </c>
      <c r="E8733" t="str">
        <f>HYPERLINK("https://github.com/Haptic-Apps/Slide","show")</f>
        <v>show</v>
      </c>
      <c r="F8733" t="str">
        <f>HYPERLINK("https://github.com/Haptic-Apps/Slide/releases","show")</f>
        <v>show</v>
      </c>
    </row>
    <row r="8734" spans="1:6">
      <c r="A8734" t="s">
        <v>25928</v>
      </c>
      <c r="B8734" t="s">
        <v>25929</v>
      </c>
      <c r="C8734" t="s">
        <v>25930</v>
      </c>
      <c r="D8734" t="str">
        <f>HYPERLINK("https://github.com/nextcloud/android/issues/4610","show")</f>
        <v>show</v>
      </c>
      <c r="E8734" t="str">
        <f>HYPERLINK("https://github.com/nextcloud/android","show")</f>
        <v>show</v>
      </c>
      <c r="F8734" t="str">
        <f>HYPERLINK("https://github.com/nextcloud/android/releases","show")</f>
        <v>show</v>
      </c>
    </row>
    <row r="8735" spans="1:6">
      <c r="A8735" t="s">
        <v>25931</v>
      </c>
      <c r="B8735" t="s">
        <v>25932</v>
      </c>
      <c r="C8735" t="s">
        <v>25933</v>
      </c>
      <c r="D8735" t="str">
        <f>HYPERLINK("https://github.com/zood/george/issues/58","show")</f>
        <v>show</v>
      </c>
      <c r="E8735" t="str">
        <f>HYPERLINK("https://github.com/zood/george","show")</f>
        <v>show</v>
      </c>
      <c r="F8735" t="str">
        <f>HYPERLINK("https://github.com/zood/george/releases","show")</f>
        <v>show</v>
      </c>
    </row>
    <row r="8736" spans="1:6">
      <c r="A8736" t="s">
        <v>25934</v>
      </c>
      <c r="B8736" t="s">
        <v>25935</v>
      </c>
      <c r="C8736" t="s">
        <v>25936</v>
      </c>
      <c r="D8736" t="str">
        <f>HYPERLINK("https://github.com/MozillaReality/FirefoxReality/issues/1918","show")</f>
        <v>show</v>
      </c>
      <c r="E8736" t="str">
        <f>HYPERLINK("https://github.com/MozillaReality/FirefoxReality","show")</f>
        <v>show</v>
      </c>
      <c r="F8736" t="str">
        <f>HYPERLINK("https://github.com/MozillaReality/FirefoxReality/releases","show")</f>
        <v>show</v>
      </c>
    </row>
    <row r="8737" spans="1:6">
      <c r="A8737" t="s">
        <v>25937</v>
      </c>
      <c r="B8737" t="s">
        <v>25938</v>
      </c>
      <c r="C8737" t="s">
        <v>25939</v>
      </c>
      <c r="D8737" t="str">
        <f>HYPERLINK("https://github.com/bluelinelabs/Conductor/issues/567","show")</f>
        <v>show</v>
      </c>
      <c r="E8737" t="str">
        <f>HYPERLINK("https://github.com/bluelinelabs/Conductor","show")</f>
        <v>show</v>
      </c>
      <c r="F8737" t="str">
        <f>HYPERLINK("https://github.com/bluelinelabs/Conductor/releases","show")</f>
        <v>show</v>
      </c>
    </row>
    <row r="8738" spans="1:6">
      <c r="A8738" t="s">
        <v>25940</v>
      </c>
      <c r="B8738" t="s">
        <v>25941</v>
      </c>
      <c r="C8738" t="s">
        <v>25942</v>
      </c>
      <c r="D8738" t="str">
        <f>HYPERLINK("https://github.com/openid/AppAuth-Android/issues/499","show")</f>
        <v>show</v>
      </c>
      <c r="E8738" t="str">
        <f>HYPERLINK("https://github.com/openid/AppAuth-Android","show")</f>
        <v>show</v>
      </c>
      <c r="F8738" t="str">
        <f>HYPERLINK("https://github.com/openid/AppAuth-Android/releases","show")</f>
        <v>show</v>
      </c>
    </row>
    <row r="8739" spans="1:6">
      <c r="A8739" t="s">
        <v>25943</v>
      </c>
      <c r="B8739" t="s">
        <v>25944</v>
      </c>
      <c r="C8739" t="s">
        <v>25945</v>
      </c>
      <c r="D8739" t="str">
        <f>HYPERLINK("https://github.com/moberwasserlechner/capacitor-oauth2/issues/55","show")</f>
        <v>show</v>
      </c>
      <c r="E8739" t="str">
        <f>HYPERLINK("https://github.com/moberwasserlechner/capacitor-oauth2","show")</f>
        <v>show</v>
      </c>
      <c r="F8739" t="str">
        <f>HYPERLINK("https://github.com/moberwasserlechner/capacitor-oauth2/releases","show")</f>
        <v>show</v>
      </c>
    </row>
    <row r="8740" spans="1:6">
      <c r="A8740" t="s">
        <v>25946</v>
      </c>
      <c r="B8740" t="s">
        <v>25947</v>
      </c>
      <c r="C8740" t="s">
        <v>25948</v>
      </c>
      <c r="D8740" t="str">
        <f>HYPERLINK("https://github.com/davidohayon669/react-native-youtube/issues/399","show")</f>
        <v>show</v>
      </c>
      <c r="E8740" t="str">
        <f>HYPERLINK("https://github.com/davidohayon669/react-native-youtube","show")</f>
        <v>show</v>
      </c>
      <c r="F8740" t="str">
        <f>HYPERLINK("https://github.com/davidohayon669/react-native-youtube/releases","show")</f>
        <v>show</v>
      </c>
    </row>
    <row r="8741" spans="1:6">
      <c r="A8741" t="s">
        <v>25949</v>
      </c>
      <c r="B8741" t="s">
        <v>25950</v>
      </c>
      <c r="C8741" t="s">
        <v>25951</v>
      </c>
      <c r="D8741" t="str">
        <f>HYPERLINK("https://github.com/cgeo/cgeo/issues/7875","show")</f>
        <v>show</v>
      </c>
      <c r="E8741" t="str">
        <f>HYPERLINK("https://github.com/cgeo/cgeo","show")</f>
        <v>show</v>
      </c>
      <c r="F8741" t="str">
        <f>HYPERLINK("https://github.com/cgeo/cgeo/releases","show")</f>
        <v>show</v>
      </c>
    </row>
    <row r="8742" spans="1:6">
      <c r="A8742" t="s">
        <v>25952</v>
      </c>
      <c r="B8742" t="s">
        <v>25953</v>
      </c>
      <c r="C8742" t="s">
        <v>25954</v>
      </c>
      <c r="D8742" t="str">
        <f>HYPERLINK("https://github.com/Hack1nFzyz/Hack1nFzyz/issues/5","show")</f>
        <v>show</v>
      </c>
      <c r="E8742" t="str">
        <f>HYPERLINK("https://github.com/Hack1nFzyz/Hack1nFzyz","show")</f>
        <v>show</v>
      </c>
      <c r="F8742" t="str">
        <f>HYPERLINK("https://github.com/Hack1nFzyz/Hack1nFzyz/releases","show")</f>
        <v>show</v>
      </c>
    </row>
    <row r="8743" spans="1:6">
      <c r="A8743" t="s">
        <v>25955</v>
      </c>
      <c r="B8743" t="s">
        <v>25956</v>
      </c>
      <c r="C8743" t="s">
        <v>25957</v>
      </c>
      <c r="D8743" t="str">
        <f>HYPERLINK("https://github.com/nextcloud/android/issues/4603","show")</f>
        <v>show</v>
      </c>
      <c r="E8743" t="str">
        <f>HYPERLINK("https://github.com/nextcloud/android","show")</f>
        <v>show</v>
      </c>
      <c r="F8743" t="str">
        <f>HYPERLINK("https://github.com/nextcloud/android/releases","show")</f>
        <v>show</v>
      </c>
    </row>
    <row r="8744" spans="1:6">
      <c r="A8744" t="s">
        <v>25958</v>
      </c>
      <c r="B8744" t="s">
        <v>25959</v>
      </c>
      <c r="C8744" t="s">
        <v>25960</v>
      </c>
      <c r="D8744" t="str">
        <f>HYPERLINK("https://github.com/evernote/android-job/issues/591","show")</f>
        <v>show</v>
      </c>
      <c r="E8744" t="str">
        <f>HYPERLINK("https://github.com/evernote/android-job","show")</f>
        <v>show</v>
      </c>
      <c r="F8744" t="str">
        <f>HYPERLINK("https://github.com/evernote/android-job/releases","show")</f>
        <v>show</v>
      </c>
    </row>
    <row r="8745" spans="1:6">
      <c r="A8745" t="s">
        <v>25961</v>
      </c>
      <c r="B8745" t="s">
        <v>25962</v>
      </c>
      <c r="C8745" t="s">
        <v>25963</v>
      </c>
      <c r="D8745" t="str">
        <f>HYPERLINK("https://github.com/moagrius/TileView/issues/535","show")</f>
        <v>show</v>
      </c>
      <c r="E8745" t="str">
        <f>HYPERLINK("https://github.com/moagrius/TileView","show")</f>
        <v>show</v>
      </c>
      <c r="F8745" t="str">
        <f>HYPERLINK("https://github.com/moagrius/TileView/releases","show")</f>
        <v>show</v>
      </c>
    </row>
    <row r="8746" spans="1:6">
      <c r="A8746" t="s">
        <v>25964</v>
      </c>
      <c r="B8746" t="s">
        <v>25965</v>
      </c>
      <c r="C8746" t="s">
        <v>25966</v>
      </c>
      <c r="D8746" t="str">
        <f>HYPERLINK("https://github.com/microsoft/appcenter-sdk-android/issues/1265","show")</f>
        <v>show</v>
      </c>
      <c r="E8746" t="str">
        <f>HYPERLINK("https://github.com/microsoft/appcenter-sdk-android","show")</f>
        <v>show</v>
      </c>
      <c r="F8746" t="str">
        <f>HYPERLINK("https://github.com/microsoft/appcenter-sdk-android/releases","show")</f>
        <v>show</v>
      </c>
    </row>
    <row r="8747" spans="1:6">
      <c r="A8747" t="s">
        <v>25967</v>
      </c>
      <c r="B8747" t="s">
        <v>25968</v>
      </c>
      <c r="C8747" t="s">
        <v>25969</v>
      </c>
      <c r="D8747" t="str">
        <f>HYPERLINK("https://github.com/nextcloud/android/issues/4585","show")</f>
        <v>show</v>
      </c>
      <c r="E8747" t="str">
        <f>HYPERLINK("https://github.com/nextcloud/android","show")</f>
        <v>show</v>
      </c>
      <c r="F8747" t="str">
        <f>HYPERLINK("https://github.com/nextcloud/android/releases","show")</f>
        <v>show</v>
      </c>
    </row>
    <row r="8748" spans="1:6">
      <c r="A8748" t="s">
        <v>25970</v>
      </c>
      <c r="B8748" t="s">
        <v>25971</v>
      </c>
      <c r="C8748" t="s">
        <v>25972</v>
      </c>
      <c r="D8748" t="str">
        <f>HYPERLINK("https://github.com/fossasia/open-event-organizer-android/issues/1951","show")</f>
        <v>show</v>
      </c>
      <c r="E8748" t="str">
        <f>HYPERLINK("https://github.com/fossasia/open-event-organizer-android","show")</f>
        <v>show</v>
      </c>
      <c r="F8748" t="str">
        <f>HYPERLINK("https://github.com/fossasia/open-event-organizer-android/releases","show")</f>
        <v>show</v>
      </c>
    </row>
    <row r="8749" spans="1:6">
      <c r="A8749" t="s">
        <v>25973</v>
      </c>
      <c r="B8749" t="s">
        <v>25974</v>
      </c>
      <c r="C8749" t="s">
        <v>25975</v>
      </c>
      <c r="D8749" t="str">
        <f>HYPERLINK("https://github.com/oliexdev/openScale/issues/498","show")</f>
        <v>show</v>
      </c>
      <c r="E8749" t="str">
        <f>HYPERLINK("https://github.com/oliexdev/openScale","show")</f>
        <v>show</v>
      </c>
      <c r="F8749" t="str">
        <f>HYPERLINK("https://github.com/oliexdev/openScale/releases","show")</f>
        <v>show</v>
      </c>
    </row>
    <row r="8750" spans="1:6">
      <c r="A8750" t="s">
        <v>25976</v>
      </c>
      <c r="B8750" t="s">
        <v>25977</v>
      </c>
      <c r="C8750" t="s">
        <v>25978</v>
      </c>
      <c r="D8750" t="str">
        <f>HYPERLINK("https://github.com/nextcloud/android/issues/4581","show")</f>
        <v>show</v>
      </c>
      <c r="E8750" t="str">
        <f>HYPERLINK("https://github.com/nextcloud/android","show")</f>
        <v>show</v>
      </c>
      <c r="F8750" t="str">
        <f>HYPERLINK("https://github.com/nextcloud/android/releases","show")</f>
        <v>show</v>
      </c>
    </row>
    <row r="8751" spans="1:6">
      <c r="A8751" t="s">
        <v>25979</v>
      </c>
      <c r="B8751" t="s">
        <v>25980</v>
      </c>
      <c r="C8751" t="s">
        <v>25981</v>
      </c>
      <c r="D8751" t="str">
        <f>HYPERLINK("https://github.com/aws-amplify/aws-sdk-android/issues/1226","show")</f>
        <v>show</v>
      </c>
      <c r="E8751" t="str">
        <f>HYPERLINK("https://github.com/aws-amplify/aws-sdk-android","show")</f>
        <v>show</v>
      </c>
      <c r="F8751" t="str">
        <f>HYPERLINK("https://github.com/aws-amplify/aws-sdk-android/releases","show")</f>
        <v>show</v>
      </c>
    </row>
    <row r="8752" spans="1:6">
      <c r="A8752" t="s">
        <v>25982</v>
      </c>
      <c r="B8752" t="s">
        <v>25983</v>
      </c>
      <c r="C8752" t="s">
        <v>25984</v>
      </c>
      <c r="D8752" t="str">
        <f>HYPERLINK("https://github.com/nextcloud/android/issues/4579","show")</f>
        <v>show</v>
      </c>
      <c r="E8752" t="str">
        <f>HYPERLINK("https://github.com/nextcloud/android","show")</f>
        <v>show</v>
      </c>
      <c r="F8752" t="str">
        <f>HYPERLINK("https://github.com/nextcloud/android/releases","show")</f>
        <v>show</v>
      </c>
    </row>
    <row r="8753" spans="1:6">
      <c r="A8753" t="s">
        <v>25985</v>
      </c>
      <c r="B8753" t="s">
        <v>25986</v>
      </c>
      <c r="C8753" t="s">
        <v>25987</v>
      </c>
      <c r="D8753" t="str">
        <f>HYPERLINK("https://github.com/nextcloud/android/issues/4578","show")</f>
        <v>show</v>
      </c>
      <c r="E8753" t="str">
        <f>HYPERLINK("https://github.com/nextcloud/android","show")</f>
        <v>show</v>
      </c>
      <c r="F8753" t="str">
        <f>HYPERLINK("https://github.com/nextcloud/android/releases","show")</f>
        <v>show</v>
      </c>
    </row>
    <row r="8754" spans="1:6">
      <c r="A8754" t="s">
        <v>25988</v>
      </c>
      <c r="B8754" t="s">
        <v>25989</v>
      </c>
      <c r="C8754" t="s">
        <v>25990</v>
      </c>
      <c r="D8754" t="str">
        <f>HYPERLINK("https://github.com/SkyTubeTeam/SkyTube/issues/571","show")</f>
        <v>show</v>
      </c>
      <c r="E8754" t="str">
        <f>HYPERLINK("https://github.com/SkyTubeTeam/SkyTube","show")</f>
        <v>show</v>
      </c>
      <c r="F8754" t="str">
        <f>HYPERLINK("https://github.com/SkyTubeTeam/SkyTube/releases","show")</f>
        <v>show</v>
      </c>
    </row>
    <row r="8755" spans="1:6">
      <c r="A8755" t="s">
        <v>25991</v>
      </c>
      <c r="B8755" t="s">
        <v>25992</v>
      </c>
      <c r="C8755" t="s">
        <v>25993</v>
      </c>
      <c r="D8755" t="str">
        <f>HYPERLINK("https://github.com/SecUSo/privacy-friendly-qr-scanner/issues/53","show")</f>
        <v>show</v>
      </c>
      <c r="E8755" t="str">
        <f>HYPERLINK("https://github.com/SecUSo/privacy-friendly-qr-scanner","show")</f>
        <v>show</v>
      </c>
      <c r="F8755" t="str">
        <f>HYPERLINK("https://github.com/SecUSo/privacy-friendly-qr-scanner/releases","show")</f>
        <v>show</v>
      </c>
    </row>
    <row r="8756" spans="1:6">
      <c r="A8756" t="s">
        <v>25994</v>
      </c>
      <c r="B8756" t="s">
        <v>25995</v>
      </c>
      <c r="C8756" t="s">
        <v>25996</v>
      </c>
      <c r="D8756" t="str">
        <f>HYPERLINK("https://github.com/geosolutions-it/smb-android/issues/108","show")</f>
        <v>show</v>
      </c>
      <c r="E8756" t="str">
        <f>HYPERLINK("https://github.com/geosolutions-it/smb-android","show")</f>
        <v>show</v>
      </c>
      <c r="F8756" t="str">
        <f>HYPERLINK("https://github.com/geosolutions-it/smb-android/releases","show")</f>
        <v>show</v>
      </c>
    </row>
    <row r="8757" spans="1:6">
      <c r="A8757" t="s">
        <v>25997</v>
      </c>
      <c r="B8757" t="s">
        <v>25998</v>
      </c>
      <c r="C8757" t="s">
        <v>25999</v>
      </c>
      <c r="D8757" t="str">
        <f>HYPERLINK("https://github.com/material-components/material-components-android/issues/632","show")</f>
        <v>show</v>
      </c>
      <c r="E8757" t="str">
        <f>HYPERLINK("https://github.com/material-components/material-components-android","show")</f>
        <v>show</v>
      </c>
      <c r="F8757" t="str">
        <f>HYPERLINK("https://github.com/material-components/material-components-android/releases","show")</f>
        <v>show</v>
      </c>
    </row>
    <row r="8758" spans="1:6">
      <c r="A8758" t="s">
        <v>26000</v>
      </c>
      <c r="B8758" t="s">
        <v>26001</v>
      </c>
      <c r="C8758" t="s">
        <v>26002</v>
      </c>
      <c r="D8758" t="str">
        <f>HYPERLINK("https://github.com/material-components/material-components-android/issues/631","show")</f>
        <v>show</v>
      </c>
      <c r="E8758" t="str">
        <f>HYPERLINK("https://github.com/material-components/material-components-android","show")</f>
        <v>show</v>
      </c>
      <c r="F8758" t="str">
        <f>HYPERLINK("https://github.com/material-components/material-components-android/releases","show")</f>
        <v>show</v>
      </c>
    </row>
    <row r="8759" spans="1:6">
      <c r="A8759" t="s">
        <v>26003</v>
      </c>
      <c r="B8759" t="s">
        <v>26004</v>
      </c>
      <c r="C8759" t="s">
        <v>26005</v>
      </c>
      <c r="D8759" t="str">
        <f>HYPERLINK("https://github.com/nextcloud/android/issues/4562","show")</f>
        <v>show</v>
      </c>
      <c r="E8759" t="str">
        <f>HYPERLINK("https://github.com/nextcloud/android","show")</f>
        <v>show</v>
      </c>
      <c r="F8759" t="str">
        <f>HYPERLINK("https://github.com/nextcloud/android/releases","show")</f>
        <v>show</v>
      </c>
    </row>
    <row r="8760" spans="1:6">
      <c r="A8760" t="s">
        <v>26006</v>
      </c>
      <c r="B8760" t="s">
        <v>26007</v>
      </c>
      <c r="C8760" t="s">
        <v>26008</v>
      </c>
      <c r="D8760" t="str">
        <f>HYPERLINK("https://github.com/opensrp/opensrp-client-giz-malawi/issues/116","show")</f>
        <v>show</v>
      </c>
      <c r="E8760" t="str">
        <f>HYPERLINK("https://github.com/opensrp/opensrp-client-giz-malawi","show")</f>
        <v>show</v>
      </c>
      <c r="F8760" t="str">
        <f>HYPERLINK("https://github.com/opensrp/opensrp-client-giz-malawi/releases","show")</f>
        <v>show</v>
      </c>
    </row>
    <row r="8761" spans="1:6">
      <c r="A8761" t="s">
        <v>26009</v>
      </c>
      <c r="B8761" t="s">
        <v>26010</v>
      </c>
      <c r="C8761" t="s">
        <v>26011</v>
      </c>
      <c r="D8761" t="str">
        <f>HYPERLINK("https://github.com/square/okhttp/issues/5497","show")</f>
        <v>show</v>
      </c>
      <c r="E8761" t="str">
        <f>HYPERLINK("https://github.com/square/okhttp","show")</f>
        <v>show</v>
      </c>
      <c r="F8761" t="str">
        <f>HYPERLINK("https://github.com/square/okhttp/releases","show")</f>
        <v>show</v>
      </c>
    </row>
    <row r="8762" spans="1:6">
      <c r="A8762" t="s">
        <v>26012</v>
      </c>
      <c r="B8762" t="s">
        <v>26013</v>
      </c>
      <c r="C8762" t="s">
        <v>26014</v>
      </c>
      <c r="D8762" t="str">
        <f>HYPERLINK("https://github.com/nextcloud/android/issues/4556","show")</f>
        <v>show</v>
      </c>
      <c r="E8762" t="str">
        <f>HYPERLINK("https://github.com/nextcloud/android","show")</f>
        <v>show</v>
      </c>
      <c r="F8762" t="str">
        <f>HYPERLINK("https://github.com/nextcloud/android/releases","show")</f>
        <v>show</v>
      </c>
    </row>
    <row r="8763" spans="1:6">
      <c r="A8763" t="s">
        <v>26015</v>
      </c>
      <c r="B8763" t="s">
        <v>26016</v>
      </c>
      <c r="C8763" t="s">
        <v>26017</v>
      </c>
      <c r="D8763" t="str">
        <f>HYPERLINK("https://github.com/react-native-camera/react-native-camera/issues/2508","show")</f>
        <v>show</v>
      </c>
      <c r="E8763" t="str">
        <f>HYPERLINK("https://github.com/react-native-camera/react-native-camera","show")</f>
        <v>show</v>
      </c>
      <c r="F8763" t="str">
        <f>HYPERLINK("https://github.com/react-native-camera/react-native-camera/releases","show")</f>
        <v>show</v>
      </c>
    </row>
    <row r="8764" spans="1:6">
      <c r="A8764" t="s">
        <v>26018</v>
      </c>
      <c r="B8764" t="s">
        <v>26019</v>
      </c>
      <c r="C8764" t="s">
        <v>26020</v>
      </c>
      <c r="D8764" t="str">
        <f>HYPERLINK("https://github.com/ponewheel/android-ponewheel/issues/98","show")</f>
        <v>show</v>
      </c>
      <c r="E8764" t="str">
        <f>HYPERLINK("https://github.com/ponewheel/android-ponewheel","show")</f>
        <v>show</v>
      </c>
      <c r="F8764" t="str">
        <f>HYPERLINK("https://github.com/ponewheel/android-ponewheel/releases","show")</f>
        <v>show</v>
      </c>
    </row>
    <row r="8765" spans="1:6">
      <c r="A8765" t="s">
        <v>26021</v>
      </c>
      <c r="B8765" t="s">
        <v>26022</v>
      </c>
      <c r="C8765" t="s">
        <v>26023</v>
      </c>
      <c r="D8765" t="str">
        <f>HYPERLINK("https://github.com/nextcloud/android/issues/4553","show")</f>
        <v>show</v>
      </c>
      <c r="E8765" t="str">
        <f>HYPERLINK("https://github.com/nextcloud/android","show")</f>
        <v>show</v>
      </c>
      <c r="F8765" t="str">
        <f>HYPERLINK("https://github.com/nextcloud/android/releases","show")</f>
        <v>show</v>
      </c>
    </row>
    <row r="8766" spans="1:6">
      <c r="A8766" t="s">
        <v>26024</v>
      </c>
      <c r="B8766" t="s">
        <v>26025</v>
      </c>
      <c r="C8766" t="s">
        <v>26026</v>
      </c>
      <c r="D8766" t="str">
        <f>HYPERLINK("https://github.com/TeamNewPipe/NewPipe/issues/2663","show")</f>
        <v>show</v>
      </c>
      <c r="E8766" t="str">
        <f>HYPERLINK("https://github.com/TeamNewPipe/NewPipe","show")</f>
        <v>show</v>
      </c>
      <c r="F8766" t="str">
        <f>HYPERLINK("https://github.com/TeamNewPipe/NewPipe/releases","show")</f>
        <v>show</v>
      </c>
    </row>
    <row r="8767" spans="1:6">
      <c r="A8767" t="s">
        <v>26027</v>
      </c>
      <c r="B8767" t="s">
        <v>26028</v>
      </c>
      <c r="C8767" t="s">
        <v>26029</v>
      </c>
      <c r="D8767" t="str">
        <f>HYPERLINK("https://github.com/defold/extension-iap/issues/3","show")</f>
        <v>show</v>
      </c>
      <c r="E8767" t="str">
        <f>HYPERLINK("https://github.com/defold/extension-iap","show")</f>
        <v>show</v>
      </c>
      <c r="F8767" t="str">
        <f>HYPERLINK("https://github.com/defold/extension-iap/releases","show")</f>
        <v>show</v>
      </c>
    </row>
    <row r="8768" spans="1:6">
      <c r="A8768" t="s">
        <v>26030</v>
      </c>
      <c r="B8768" t="s">
        <v>26031</v>
      </c>
      <c r="C8768" t="s">
        <v>26032</v>
      </c>
      <c r="D8768" t="str">
        <f>HYPERLINK("https://github.com/Hack1nFzyz/Hack1nFzyz/issues/3","show")</f>
        <v>show</v>
      </c>
      <c r="E8768" t="str">
        <f>HYPERLINK("https://github.com/Hack1nFzyz/Hack1nFzyz","show")</f>
        <v>show</v>
      </c>
      <c r="F8768" t="str">
        <f>HYPERLINK("https://github.com/Hack1nFzyz/Hack1nFzyz/releases","show")</f>
        <v>show</v>
      </c>
    </row>
    <row r="8769" spans="1:6">
      <c r="A8769" t="s">
        <v>26033</v>
      </c>
      <c r="B8769" t="s">
        <v>26034</v>
      </c>
      <c r="C8769" t="s">
        <v>26035</v>
      </c>
      <c r="D8769" t="str">
        <f>HYPERLINK("https://github.com/opensrp/opensrp-client-reveal/issues/460","show")</f>
        <v>show</v>
      </c>
      <c r="E8769" t="str">
        <f>HYPERLINK("https://github.com/opensrp/opensrp-client-reveal","show")</f>
        <v>show</v>
      </c>
      <c r="F8769" t="str">
        <f>HYPERLINK("https://github.com/opensrp/opensrp-client-reveal/releases","show")</f>
        <v>show</v>
      </c>
    </row>
    <row r="8770" spans="1:6">
      <c r="A8770" t="s">
        <v>26036</v>
      </c>
      <c r="B8770" t="s">
        <v>26037</v>
      </c>
      <c r="C8770" t="s">
        <v>26038</v>
      </c>
      <c r="D8770" t="str">
        <f>HYPERLINK("https://github.com/material-components/material-components-android/issues/620","show")</f>
        <v>show</v>
      </c>
      <c r="E8770" t="str">
        <f>HYPERLINK("https://github.com/material-components/material-components-android","show")</f>
        <v>show</v>
      </c>
      <c r="F8770" t="str">
        <f>HYPERLINK("https://github.com/material-components/material-components-android/releases","show")</f>
        <v>show</v>
      </c>
    </row>
    <row r="8771" spans="1:6">
      <c r="A8771" t="s">
        <v>26039</v>
      </c>
      <c r="B8771" t="s">
        <v>26040</v>
      </c>
      <c r="C8771" t="s">
        <v>26041</v>
      </c>
      <c r="D8771" t="str">
        <f>HYPERLINK("https://github.com/material-components/material-components-android/issues/619","show")</f>
        <v>show</v>
      </c>
      <c r="E8771" t="str">
        <f>HYPERLINK("https://github.com/material-components/material-components-android","show")</f>
        <v>show</v>
      </c>
      <c r="F8771" t="str">
        <f>HYPERLINK("https://github.com/material-components/material-components-android/releases","show")</f>
        <v>show</v>
      </c>
    </row>
    <row r="8772" spans="1:6">
      <c r="A8772" t="s">
        <v>26042</v>
      </c>
      <c r="B8772" t="s">
        <v>26043</v>
      </c>
      <c r="C8772" t="s">
        <v>26044</v>
      </c>
      <c r="D8772" t="str">
        <f>HYPERLINK("https://github.com/nisrulz/easydeviceinfo/issues/24","show")</f>
        <v>show</v>
      </c>
      <c r="E8772" t="str">
        <f>HYPERLINK("https://github.com/nisrulz/easydeviceinfo","show")</f>
        <v>show</v>
      </c>
      <c r="F8772" t="str">
        <f>HYPERLINK("https://github.com/nisrulz/easydeviceinfo/releases","show")</f>
        <v>show</v>
      </c>
    </row>
    <row r="8773" spans="1:6">
      <c r="A8773" t="s">
        <v>26045</v>
      </c>
      <c r="B8773" t="s">
        <v>26046</v>
      </c>
      <c r="C8773" t="s">
        <v>26047</v>
      </c>
      <c r="D8773" t="str">
        <f>HYPERLINK("https://github.com/fluttercommunity/flutter_webview_plugin/issues/563","show")</f>
        <v>show</v>
      </c>
      <c r="E8773" t="str">
        <f>HYPERLINK("https://github.com/fluttercommunity/flutter_webview_plugin","show")</f>
        <v>show</v>
      </c>
      <c r="F8773" t="str">
        <f>HYPERLINK("https://github.com/fluttercommunity/flutter_webview_plugin/releases","show")</f>
        <v>show</v>
      </c>
    </row>
    <row r="8774" spans="1:6">
      <c r="A8774" t="s">
        <v>26048</v>
      </c>
      <c r="B8774" t="s">
        <v>26049</v>
      </c>
      <c r="C8774" t="s">
        <v>26050</v>
      </c>
      <c r="D8774" t="str">
        <f>HYPERLINK("https://github.com/cgeo/cgeo/issues/7865","show")</f>
        <v>show</v>
      </c>
      <c r="E8774" t="str">
        <f>HYPERLINK("https://github.com/cgeo/cgeo","show")</f>
        <v>show</v>
      </c>
      <c r="F8774" t="str">
        <f>HYPERLINK("https://github.com/cgeo/cgeo/releases","show")</f>
        <v>show</v>
      </c>
    </row>
    <row r="8775" spans="1:6">
      <c r="A8775" t="s">
        <v>26051</v>
      </c>
      <c r="B8775" t="s">
        <v>26052</v>
      </c>
      <c r="C8775" t="s">
        <v>26053</v>
      </c>
      <c r="D8775" t="str">
        <f>HYPERLINK("https://github.com/niccokunzmann/mundraub-android/issues/303","show")</f>
        <v>show</v>
      </c>
      <c r="E8775" t="str">
        <f>HYPERLINK("https://github.com/niccokunzmann/mundraub-android","show")</f>
        <v>show</v>
      </c>
      <c r="F8775" t="str">
        <f>HYPERLINK("https://github.com/niccokunzmann/mundraub-android/releases","show")</f>
        <v>show</v>
      </c>
    </row>
    <row r="8776" spans="1:6">
      <c r="A8776" t="s">
        <v>26054</v>
      </c>
      <c r="B8776" t="s">
        <v>26055</v>
      </c>
      <c r="C8776" t="s">
        <v>26056</v>
      </c>
      <c r="D8776" t="str">
        <f>HYPERLINK("https://github.com/material-components/material-components-android/issues/618","show")</f>
        <v>show</v>
      </c>
      <c r="E8776" t="str">
        <f>HYPERLINK("https://github.com/material-components/material-components-android","show")</f>
        <v>show</v>
      </c>
      <c r="F8776" t="str">
        <f>HYPERLINK("https://github.com/material-components/material-components-android/releases","show")</f>
        <v>show</v>
      </c>
    </row>
    <row r="8777" spans="1:6">
      <c r="A8777" t="s">
        <v>26057</v>
      </c>
      <c r="B8777" t="s">
        <v>26058</v>
      </c>
      <c r="C8777" t="s">
        <v>26059</v>
      </c>
      <c r="D8777" t="str">
        <f>HYPERLINK("https://github.com/material-components/material-components-android/issues/616","show")</f>
        <v>show</v>
      </c>
      <c r="E8777" t="str">
        <f>HYPERLINK("https://github.com/material-components/material-components-android","show")</f>
        <v>show</v>
      </c>
      <c r="F8777" t="str">
        <f>HYPERLINK("https://github.com/material-components/material-components-android/releases","show")</f>
        <v>show</v>
      </c>
    </row>
    <row r="8778" spans="1:6">
      <c r="A8778" t="s">
        <v>26060</v>
      </c>
      <c r="B8778" t="s">
        <v>26061</v>
      </c>
      <c r="C8778" t="s">
        <v>26062</v>
      </c>
      <c r="D8778" t="str">
        <f>HYPERLINK("https://github.com/square/react-native-square-reader-sdk/issues/91","show")</f>
        <v>show</v>
      </c>
      <c r="E8778" t="str">
        <f>HYPERLINK("https://github.com/square/react-native-square-reader-sdk","show")</f>
        <v>show</v>
      </c>
      <c r="F8778" t="str">
        <f>HYPERLINK("https://github.com/square/react-native-square-reader-sdk/releases","show")</f>
        <v>show</v>
      </c>
    </row>
    <row r="8779" spans="1:6">
      <c r="A8779" t="s">
        <v>26063</v>
      </c>
      <c r="B8779" t="s">
        <v>26064</v>
      </c>
      <c r="C8779" t="s">
        <v>26065</v>
      </c>
      <c r="D8779" t="str">
        <f>HYPERLINK("https://github.com/zeroc-ice/ice-demos/issues/86","show")</f>
        <v>show</v>
      </c>
      <c r="E8779" t="str">
        <f>HYPERLINK("https://github.com/zeroc-ice/ice-demos","show")</f>
        <v>show</v>
      </c>
      <c r="F8779" t="str">
        <f>HYPERLINK("https://github.com/zeroc-ice/ice-demos/releases","show")</f>
        <v>show</v>
      </c>
    </row>
    <row r="8780" spans="1:6">
      <c r="A8780" t="s">
        <v>26066</v>
      </c>
      <c r="B8780" t="s">
        <v>26067</v>
      </c>
      <c r="C8780" t="s">
        <v>26068</v>
      </c>
      <c r="D8780" t="str">
        <f>HYPERLINK("https://github.com/material-components/material-components-android/issues/613","show")</f>
        <v>show</v>
      </c>
      <c r="E8780" t="str">
        <f>HYPERLINK("https://github.com/material-components/material-components-android","show")</f>
        <v>show</v>
      </c>
      <c r="F8780" t="str">
        <f>HYPERLINK("https://github.com/material-components/material-components-android/releases","show")</f>
        <v>show</v>
      </c>
    </row>
    <row r="8781" spans="1:6">
      <c r="A8781" t="s">
        <v>26069</v>
      </c>
      <c r="B8781" t="s">
        <v>26070</v>
      </c>
      <c r="C8781" t="s">
        <v>26071</v>
      </c>
      <c r="D8781" t="str">
        <f>HYPERLINK("https://github.com/joielechong/CountryCodePicker/issues/66","show")</f>
        <v>show</v>
      </c>
      <c r="E8781" t="str">
        <f>HYPERLINK("https://github.com/joielechong/CountryCodePicker","show")</f>
        <v>show</v>
      </c>
      <c r="F8781" t="str">
        <f>HYPERLINK("https://github.com/joielechong/CountryCodePicker/releases","show")</f>
        <v>show</v>
      </c>
    </row>
    <row r="8782" spans="1:6">
      <c r="A8782" t="s">
        <v>26072</v>
      </c>
      <c r="B8782" t="s">
        <v>26073</v>
      </c>
      <c r="C8782" t="s">
        <v>26074</v>
      </c>
      <c r="D8782" t="str">
        <f>HYPERLINK("https://github.com/nextcloud/android/issues/4525","show")</f>
        <v>show</v>
      </c>
      <c r="E8782" t="str">
        <f>HYPERLINK("https://github.com/nextcloud/android","show")</f>
        <v>show</v>
      </c>
      <c r="F8782" t="str">
        <f>HYPERLINK("https://github.com/nextcloud/android/releases","show")</f>
        <v>show</v>
      </c>
    </row>
    <row r="8783" spans="1:6">
      <c r="A8783" t="s">
        <v>26075</v>
      </c>
      <c r="B8783" t="s">
        <v>26076</v>
      </c>
      <c r="C8783" t="s">
        <v>26077</v>
      </c>
      <c r="D8783" t="str">
        <f>HYPERLINK("https://github.com/amplitude/Amplitude-Android/issues/201","show")</f>
        <v>show</v>
      </c>
      <c r="E8783" t="str">
        <f>HYPERLINK("https://github.com/amplitude/Amplitude-Android","show")</f>
        <v>show</v>
      </c>
      <c r="F8783" t="str">
        <f>HYPERLINK("https://github.com/amplitude/Amplitude-Android/releases","show")</f>
        <v>show</v>
      </c>
    </row>
    <row r="8784" spans="1:6">
      <c r="A8784" t="s">
        <v>26078</v>
      </c>
      <c r="B8784" t="s">
        <v>26079</v>
      </c>
      <c r="C8784" t="s">
        <v>26080</v>
      </c>
      <c r="D8784" t="str">
        <f>HYPERLINK("https://github.com/privacyidea/privacyidea-authenticator/issues/75","show")</f>
        <v>show</v>
      </c>
      <c r="E8784" t="str">
        <f>HYPERLINK("https://github.com/privacyidea/privacyidea-authenticator","show")</f>
        <v>show</v>
      </c>
      <c r="F8784" t="str">
        <f>HYPERLINK("https://github.com/privacyidea/privacyidea-authenticator/releases","show")</f>
        <v>show</v>
      </c>
    </row>
    <row r="8785" spans="1:6">
      <c r="A8785" t="s">
        <v>26081</v>
      </c>
      <c r="B8785" t="s">
        <v>26082</v>
      </c>
      <c r="C8785" t="s">
        <v>26083</v>
      </c>
      <c r="D8785" t="str">
        <f>HYPERLINK("https://github.com/nextcloud/android/issues/4524","show")</f>
        <v>show</v>
      </c>
      <c r="E8785" t="str">
        <f>HYPERLINK("https://github.com/nextcloud/android","show")</f>
        <v>show</v>
      </c>
      <c r="F8785" t="str">
        <f>HYPERLINK("https://github.com/nextcloud/android/releases","show")</f>
        <v>show</v>
      </c>
    </row>
    <row r="8786" spans="1:6">
      <c r="A8786" t="s">
        <v>26084</v>
      </c>
      <c r="B8786" t="s">
        <v>26085</v>
      </c>
      <c r="C8786" t="s">
        <v>26086</v>
      </c>
      <c r="D8786" t="str">
        <f>HYPERLINK("https://github.com/nisrulz/easydeviceinfo/issues/23","show")</f>
        <v>show</v>
      </c>
      <c r="E8786" t="str">
        <f>HYPERLINK("https://github.com/nisrulz/easydeviceinfo","show")</f>
        <v>show</v>
      </c>
      <c r="F8786" t="str">
        <f>HYPERLINK("https://github.com/nisrulz/easydeviceinfo/releases","show")</f>
        <v>show</v>
      </c>
    </row>
    <row r="8787" spans="1:6">
      <c r="A8787" t="s">
        <v>26087</v>
      </c>
      <c r="B8787" t="s">
        <v>26088</v>
      </c>
      <c r="C8787" t="s">
        <v>26089</v>
      </c>
      <c r="D8787" t="str">
        <f>HYPERLINK("https://github.com/saulhdev/ZimLX/issues/66","show")</f>
        <v>show</v>
      </c>
      <c r="E8787" t="str">
        <f>HYPERLINK("https://github.com/saulhdev/ZimLX","show")</f>
        <v>show</v>
      </c>
      <c r="F8787" t="str">
        <f>HYPERLINK("https://github.com/saulhdev/ZimLX/releases","show")</f>
        <v>show</v>
      </c>
    </row>
    <row r="8788" spans="1:6">
      <c r="A8788" t="s">
        <v>26090</v>
      </c>
      <c r="B8788" t="s">
        <v>11740</v>
      </c>
      <c r="C8788" t="s">
        <v>26091</v>
      </c>
      <c r="D8788" t="str">
        <f>HYPERLINK("https://github.com/nextcloud/android/issues/4521","show")</f>
        <v>show</v>
      </c>
      <c r="E8788" t="str">
        <f>HYPERLINK("https://github.com/nextcloud/android","show")</f>
        <v>show</v>
      </c>
      <c r="F8788" t="str">
        <f>HYPERLINK("https://github.com/nextcloud/android/releases","show")</f>
        <v>show</v>
      </c>
    </row>
    <row r="8789" spans="1:6">
      <c r="A8789" t="s">
        <v>26092</v>
      </c>
      <c r="B8789" t="s">
        <v>26093</v>
      </c>
      <c r="C8789" t="s">
        <v>26094</v>
      </c>
      <c r="D8789" t="str">
        <f>HYPERLINK("https://github.com/nextcloud/android/issues/4520","show")</f>
        <v>show</v>
      </c>
      <c r="E8789" t="str">
        <f>HYPERLINK("https://github.com/nextcloud/android","show")</f>
        <v>show</v>
      </c>
      <c r="F8789" t="str">
        <f>HYPERLINK("https://github.com/nextcloud/android/releases","show")</f>
        <v>show</v>
      </c>
    </row>
    <row r="8790" spans="1:6">
      <c r="A8790" t="s">
        <v>26095</v>
      </c>
      <c r="B8790" t="s">
        <v>26096</v>
      </c>
      <c r="C8790" t="s">
        <v>26097</v>
      </c>
      <c r="D8790" t="str">
        <f>HYPERLINK("https://github.com/niccokunzmann/mundraub-android/issues/296","show")</f>
        <v>show</v>
      </c>
      <c r="E8790" t="str">
        <f>HYPERLINK("https://github.com/niccokunzmann/mundraub-android","show")</f>
        <v>show</v>
      </c>
      <c r="F8790" t="str">
        <f>HYPERLINK("https://github.com/niccokunzmann/mundraub-android/releases","show")</f>
        <v>show</v>
      </c>
    </row>
    <row r="8791" spans="1:6">
      <c r="A8791" t="s">
        <v>26098</v>
      </c>
      <c r="B8791" t="s">
        <v>26099</v>
      </c>
      <c r="C8791" t="s">
        <v>26100</v>
      </c>
      <c r="D8791" t="str">
        <f>HYPERLINK("https://github.com/innoveit/react-native-ble-manager/issues/553","show")</f>
        <v>show</v>
      </c>
      <c r="E8791" t="str">
        <f>HYPERLINK("https://github.com/innoveit/react-native-ble-manager","show")</f>
        <v>show</v>
      </c>
      <c r="F8791" t="str">
        <f>HYPERLINK("https://github.com/innoveit/react-native-ble-manager/releases","show")</f>
        <v>show</v>
      </c>
    </row>
    <row r="8792" spans="1:6">
      <c r="A8792" t="s">
        <v>26101</v>
      </c>
      <c r="B8792" t="s">
        <v>26102</v>
      </c>
      <c r="C8792" t="s">
        <v>26103</v>
      </c>
      <c r="D8792" t="str">
        <f>HYPERLINK("https://github.com/oliexdev/openScale/issues/497","show")</f>
        <v>show</v>
      </c>
      <c r="E8792" t="str">
        <f>HYPERLINK("https://github.com/oliexdev/openScale","show")</f>
        <v>show</v>
      </c>
      <c r="F8792" t="str">
        <f>HYPERLINK("https://github.com/oliexdev/openScale/releases","show")</f>
        <v>show</v>
      </c>
    </row>
    <row r="8793" spans="1:6">
      <c r="A8793" t="s">
        <v>26104</v>
      </c>
      <c r="B8793" t="s">
        <v>26105</v>
      </c>
      <c r="C8793" t="s">
        <v>26106</v>
      </c>
      <c r="D8793" t="str">
        <f>HYPERLINK("https://github.com/material-components/material-components-android/issues/608","show")</f>
        <v>show</v>
      </c>
      <c r="E8793" t="str">
        <f>HYPERLINK("https://github.com/material-components/material-components-android","show")</f>
        <v>show</v>
      </c>
      <c r="F8793" t="str">
        <f>HYPERLINK("https://github.com/material-components/material-components-android/releases","show")</f>
        <v>show</v>
      </c>
    </row>
    <row r="8794" spans="1:6">
      <c r="A8794" t="s">
        <v>26107</v>
      </c>
      <c r="B8794" t="s">
        <v>26108</v>
      </c>
      <c r="C8794" t="s">
        <v>26109</v>
      </c>
      <c r="D8794" t="str">
        <f>HYPERLINK("https://github.com/AnaelMobilia/NextINpact-Unofficial/issues/250","show")</f>
        <v>show</v>
      </c>
      <c r="E8794" t="str">
        <f>HYPERLINK("https://github.com/AnaelMobilia/NextINpact-Unofficial","show")</f>
        <v>show</v>
      </c>
      <c r="F8794" t="str">
        <f>HYPERLINK("https://github.com/AnaelMobilia/NextINpact-Unofficial/releases","show")</f>
        <v>show</v>
      </c>
    </row>
    <row r="8795" spans="1:6">
      <c r="A8795" t="s">
        <v>26110</v>
      </c>
      <c r="B8795" t="s">
        <v>26111</v>
      </c>
      <c r="C8795" t="s">
        <v>26112</v>
      </c>
      <c r="D8795" t="str">
        <f>HYPERLINK("https://github.com/raphw/byte-buddy/issues/732","show")</f>
        <v>show</v>
      </c>
      <c r="E8795" t="str">
        <f>HYPERLINK("https://github.com/raphw/byte-buddy","show")</f>
        <v>show</v>
      </c>
      <c r="F8795" t="str">
        <f>HYPERLINK("https://github.com/raphw/byte-buddy/releases","show")</f>
        <v>show</v>
      </c>
    </row>
    <row r="8796" spans="1:6">
      <c r="A8796" t="s">
        <v>26113</v>
      </c>
      <c r="B8796" t="s">
        <v>26114</v>
      </c>
      <c r="C8796" t="s">
        <v>26115</v>
      </c>
      <c r="D8796" t="str">
        <f>HYPERLINK("https://github.com/material-components/material-components-android/issues/605","show")</f>
        <v>show</v>
      </c>
      <c r="E8796" t="str">
        <f>HYPERLINK("https://github.com/material-components/material-components-android","show")</f>
        <v>show</v>
      </c>
      <c r="F8796" t="str">
        <f>HYPERLINK("https://github.com/material-components/material-components-android/releases","show")</f>
        <v>show</v>
      </c>
    </row>
    <row r="8797" spans="1:6">
      <c r="A8797" t="s">
        <v>26116</v>
      </c>
      <c r="B8797" t="s">
        <v>26117</v>
      </c>
      <c r="C8797" t="s">
        <v>26118</v>
      </c>
      <c r="D8797" t="str">
        <f>HYPERLINK("https://github.com/lfuelling/lrkFM/issues/38","show")</f>
        <v>show</v>
      </c>
      <c r="E8797" t="str">
        <f>HYPERLINK("https://github.com/lfuelling/lrkFM","show")</f>
        <v>show</v>
      </c>
      <c r="F8797" t="str">
        <f>HYPERLINK("https://github.com/lfuelling/lrkFM/releases","show")</f>
        <v>show</v>
      </c>
    </row>
    <row r="8798" spans="1:6">
      <c r="A8798" t="s">
        <v>26119</v>
      </c>
      <c r="B8798" t="s">
        <v>26120</v>
      </c>
      <c r="C8798" t="s">
        <v>26121</v>
      </c>
      <c r="D8798" t="str">
        <f>HYPERLINK("https://github.com/MozillaReality/FirefoxReality/issues/1844","show")</f>
        <v>show</v>
      </c>
      <c r="E8798" t="str">
        <f>HYPERLINK("https://github.com/MozillaReality/FirefoxReality","show")</f>
        <v>show</v>
      </c>
      <c r="F8798" t="str">
        <f>HYPERLINK("https://github.com/MozillaReality/FirefoxReality/releases","show")</f>
        <v>show</v>
      </c>
    </row>
    <row r="8799" spans="1:6">
      <c r="A8799" t="s">
        <v>26122</v>
      </c>
      <c r="B8799" t="s">
        <v>26123</v>
      </c>
      <c r="C8799" t="s">
        <v>26124</v>
      </c>
      <c r="D8799" t="str">
        <f>HYPERLINK("https://github.com/google-ar/sceneform-android-sdk/issues/867","show")</f>
        <v>show</v>
      </c>
      <c r="E8799" t="str">
        <f>HYPERLINK("https://github.com/google-ar/sceneform-android-sdk","show")</f>
        <v>show</v>
      </c>
      <c r="F8799" t="str">
        <f>HYPERLINK("https://github.com/google-ar/sceneform-android-sdk/releases","show")</f>
        <v>show</v>
      </c>
    </row>
    <row r="8800" spans="1:6">
      <c r="A8800" t="s">
        <v>26125</v>
      </c>
      <c r="B8800" t="s">
        <v>26126</v>
      </c>
      <c r="C8800" t="s">
        <v>26127</v>
      </c>
      <c r="D8800" t="str">
        <f>HYPERLINK("https://github.com/jellyfin/jellyfin-androidtv/issues/157","show")</f>
        <v>show</v>
      </c>
      <c r="E8800" t="str">
        <f>HYPERLINK("https://github.com/jellyfin/jellyfin-androidtv","show")</f>
        <v>show</v>
      </c>
      <c r="F8800" t="str">
        <f>HYPERLINK("https://github.com/jellyfin/jellyfin-androidtv/releases","show")</f>
        <v>show</v>
      </c>
    </row>
    <row r="8801" spans="1:6">
      <c r="A8801" t="s">
        <v>26128</v>
      </c>
      <c r="B8801" t="s">
        <v>26129</v>
      </c>
      <c r="C8801" t="s">
        <v>26130</v>
      </c>
      <c r="D8801" t="str">
        <f>HYPERLINK("https://github.com/TeamNewPipe/NewPipe/issues/2634","show")</f>
        <v>show</v>
      </c>
      <c r="E8801" t="str">
        <f>HYPERLINK("https://github.com/TeamNewPipe/NewPipe","show")</f>
        <v>show</v>
      </c>
      <c r="F8801" t="str">
        <f>HYPERLINK("https://github.com/TeamNewPipe/NewPipe/releases","show")</f>
        <v>show</v>
      </c>
    </row>
    <row r="8802" spans="1:6">
      <c r="A8802" t="s">
        <v>26131</v>
      </c>
      <c r="B8802" t="s">
        <v>26132</v>
      </c>
      <c r="C8802" t="s">
        <v>26133</v>
      </c>
      <c r="D8802" t="str">
        <f>HYPERLINK("https://github.com/react-native-svg/react-native-svg/issues/1108","show")</f>
        <v>show</v>
      </c>
      <c r="E8802" t="str">
        <f>HYPERLINK("https://github.com/react-native-svg/react-native-svg","show")</f>
        <v>show</v>
      </c>
      <c r="F8802" t="str">
        <f>HYPERLINK("https://github.com/react-native-svg/react-native-svg/releases","show")</f>
        <v>show</v>
      </c>
    </row>
    <row r="8803" spans="1:6">
      <c r="A8803" t="s">
        <v>26134</v>
      </c>
      <c r="B8803" t="s">
        <v>26135</v>
      </c>
      <c r="C8803" t="s">
        <v>26136</v>
      </c>
      <c r="D8803" t="str">
        <f>HYPERLINK("https://github.com/nextcloud/android/issues/4512","show")</f>
        <v>show</v>
      </c>
      <c r="E8803" t="str">
        <f>HYPERLINK("https://github.com/nextcloud/android","show")</f>
        <v>show</v>
      </c>
      <c r="F8803" t="str">
        <f>HYPERLINK("https://github.com/nextcloud/android/releases","show")</f>
        <v>show</v>
      </c>
    </row>
    <row r="8804" spans="1:6">
      <c r="A8804" t="s">
        <v>26137</v>
      </c>
      <c r="B8804" t="s">
        <v>26138</v>
      </c>
      <c r="C8804" t="s">
        <v>26139</v>
      </c>
      <c r="D8804" t="str">
        <f>HYPERLINK("https://github.com/netmackan/ATimeTracker/issues/138","show")</f>
        <v>show</v>
      </c>
      <c r="E8804" t="str">
        <f>HYPERLINK("https://github.com/netmackan/ATimeTracker","show")</f>
        <v>show</v>
      </c>
      <c r="F8804" t="str">
        <f>HYPERLINK("https://github.com/netmackan/ATimeTracker/releases","show")</f>
        <v>show</v>
      </c>
    </row>
    <row r="8805" spans="1:6">
      <c r="A8805" t="s">
        <v>26140</v>
      </c>
      <c r="B8805" t="s">
        <v>26141</v>
      </c>
      <c r="C8805" t="s">
        <v>26142</v>
      </c>
      <c r="D8805" t="str">
        <f>HYPERLINK("https://github.com/nextcloud/android/issues/4508","show")</f>
        <v>show</v>
      </c>
      <c r="E8805" t="str">
        <f>HYPERLINK("https://github.com/nextcloud/android","show")</f>
        <v>show</v>
      </c>
      <c r="F8805" t="str">
        <f>HYPERLINK("https://github.com/nextcloud/android/releases","show")</f>
        <v>show</v>
      </c>
    </row>
    <row r="8806" spans="1:6">
      <c r="A8806" t="s">
        <v>26143</v>
      </c>
      <c r="B8806" t="s">
        <v>26144</v>
      </c>
      <c r="C8806" t="s">
        <v>26145</v>
      </c>
      <c r="D8806" t="str">
        <f>HYPERLINK("https://github.com/nextcloud/android/issues/4503","show")</f>
        <v>show</v>
      </c>
      <c r="E8806" t="str">
        <f>HYPERLINK("https://github.com/nextcloud/android","show")</f>
        <v>show</v>
      </c>
      <c r="F8806" t="str">
        <f>HYPERLINK("https://github.com/nextcloud/android/releases","show")</f>
        <v>show</v>
      </c>
    </row>
    <row r="8807" spans="1:6">
      <c r="A8807" t="s">
        <v>26146</v>
      </c>
      <c r="B8807" t="s">
        <v>26147</v>
      </c>
      <c r="C8807" t="s">
        <v>26148</v>
      </c>
      <c r="D8807" t="str">
        <f>HYPERLINK("https://github.com/fossasia/phimpme-android/issues/2868","show")</f>
        <v>show</v>
      </c>
      <c r="E8807" t="str">
        <f>HYPERLINK("https://github.com/fossasia/phimpme-android","show")</f>
        <v>show</v>
      </c>
      <c r="F8807" t="str">
        <f>HYPERLINK("https://github.com/fossasia/phimpme-android/releases","show")</f>
        <v>show</v>
      </c>
    </row>
    <row r="8808" spans="1:6">
      <c r="A8808" t="s">
        <v>26149</v>
      </c>
      <c r="B8808" t="s">
        <v>26150</v>
      </c>
      <c r="C8808" t="s">
        <v>26151</v>
      </c>
      <c r="D8808" t="str">
        <f>HYPERLINK("https://github.com/cgeo/cgeo/issues/7841","show")</f>
        <v>show</v>
      </c>
      <c r="E8808" t="str">
        <f>HYPERLINK("https://github.com/cgeo/cgeo","show")</f>
        <v>show</v>
      </c>
      <c r="F8808" t="str">
        <f>HYPERLINK("https://github.com/cgeo/cgeo/releases","show")</f>
        <v>show</v>
      </c>
    </row>
    <row r="8809" spans="1:6">
      <c r="A8809" t="s">
        <v>26152</v>
      </c>
      <c r="B8809" t="s">
        <v>26153</v>
      </c>
      <c r="C8809" t="s">
        <v>26154</v>
      </c>
      <c r="D8809" t="str">
        <f>HYPERLINK("https://github.com/raphw/byte-buddy/issues/723","show")</f>
        <v>show</v>
      </c>
      <c r="E8809" t="str">
        <f>HYPERLINK("https://github.com/raphw/byte-buddy","show")</f>
        <v>show</v>
      </c>
      <c r="F8809" t="str">
        <f>HYPERLINK("https://github.com/raphw/byte-buddy/releases","show")</f>
        <v>show</v>
      </c>
    </row>
    <row r="8810" spans="1:6">
      <c r="A8810" t="s">
        <v>26155</v>
      </c>
      <c r="B8810" t="s">
        <v>26156</v>
      </c>
      <c r="C8810" t="s">
        <v>26157</v>
      </c>
      <c r="D8810" t="str">
        <f>HYPERLINK("https://github.com/fabienli/DokuwikiAndroid/issues/8","show")</f>
        <v>show</v>
      </c>
      <c r="E8810" t="str">
        <f>HYPERLINK("https://github.com/fabienli/DokuwikiAndroid","show")</f>
        <v>show</v>
      </c>
      <c r="F8810" t="str">
        <f>HYPERLINK("https://github.com/fabienli/DokuwikiAndroid/releases","show")</f>
        <v>show</v>
      </c>
    </row>
    <row r="8811" spans="1:6">
      <c r="A8811" t="s">
        <v>26158</v>
      </c>
      <c r="B8811" t="s">
        <v>26159</v>
      </c>
      <c r="C8811" t="s">
        <v>26160</v>
      </c>
      <c r="D8811" t="str">
        <f>HYPERLINK("https://github.com/lisawray/groupie/issues/286","show")</f>
        <v>show</v>
      </c>
      <c r="E8811" t="str">
        <f>HYPERLINK("https://github.com/lisawray/groupie","show")</f>
        <v>show</v>
      </c>
      <c r="F8811" t="str">
        <f>HYPERLINK("https://github.com/lisawray/groupie/releases","show")</f>
        <v>show</v>
      </c>
    </row>
    <row r="8812" spans="1:6">
      <c r="A8812" t="s">
        <v>26161</v>
      </c>
      <c r="B8812" t="s">
        <v>10354</v>
      </c>
      <c r="C8812" t="s">
        <v>26162</v>
      </c>
      <c r="D8812" t="str">
        <f>HYPERLINK("https://github.com/react-native-share/react-native-share/issues/583","show")</f>
        <v>show</v>
      </c>
      <c r="E8812" t="str">
        <f>HYPERLINK("https://github.com/react-native-share/react-native-share","show")</f>
        <v>show</v>
      </c>
      <c r="F8812" t="str">
        <f>HYPERLINK("https://github.com/react-native-share/react-native-share/releases","show")</f>
        <v>show</v>
      </c>
    </row>
    <row r="8813" spans="1:6">
      <c r="A8813" t="s">
        <v>26163</v>
      </c>
      <c r="B8813" t="s">
        <v>26164</v>
      </c>
      <c r="C8813" t="s">
        <v>26165</v>
      </c>
      <c r="D8813" t="str">
        <f>HYPERLINK("https://github.com/applivery/applivery-android-sdk/issues/45","show")</f>
        <v>show</v>
      </c>
      <c r="E8813" t="str">
        <f>HYPERLINK("https://github.com/applivery/applivery-android-sdk","show")</f>
        <v>show</v>
      </c>
      <c r="F8813" t="str">
        <f>HYPERLINK("https://github.com/applivery/applivery-android-sdk/releases","show")</f>
        <v>show</v>
      </c>
    </row>
    <row r="8814" spans="1:6">
      <c r="A8814" t="s">
        <v>26166</v>
      </c>
      <c r="B8814" t="s">
        <v>26167</v>
      </c>
      <c r="C8814" t="s">
        <v>26168</v>
      </c>
      <c r="D8814" t="str">
        <f>HYPERLINK("https://github.com/material-components/material-components-android/issues/590","show")</f>
        <v>show</v>
      </c>
      <c r="E8814" t="str">
        <f>HYPERLINK("https://github.com/material-components/material-components-android","show")</f>
        <v>show</v>
      </c>
      <c r="F8814" t="str">
        <f>HYPERLINK("https://github.com/material-components/material-components-android/releases","show")</f>
        <v>show</v>
      </c>
    </row>
    <row r="8815" spans="1:6">
      <c r="A8815" t="s">
        <v>26169</v>
      </c>
      <c r="B8815" t="s">
        <v>26170</v>
      </c>
      <c r="C8815" t="s">
        <v>26171</v>
      </c>
      <c r="D8815" t="str">
        <f>HYPERLINK("https://github.com/google/ExoPlayer/issues/6425","show")</f>
        <v>show</v>
      </c>
      <c r="E8815" t="str">
        <f>HYPERLINK("https://github.com/google/ExoPlayer","show")</f>
        <v>show</v>
      </c>
      <c r="F8815" t="str">
        <f>HYPERLINK("https://github.com/google/ExoPlayer/releases","show")</f>
        <v>show</v>
      </c>
    </row>
    <row r="8816" spans="1:6">
      <c r="A8816" t="s">
        <v>26172</v>
      </c>
      <c r="B8816" t="s">
        <v>26173</v>
      </c>
      <c r="C8816" t="s">
        <v>26174</v>
      </c>
      <c r="D8816" t="str">
        <f>HYPERLINK("https://github.com/tanersener/react-native-ffmpeg/issues/104","show")</f>
        <v>show</v>
      </c>
      <c r="E8816" t="str">
        <f>HYPERLINK("https://github.com/tanersener/react-native-ffmpeg","show")</f>
        <v>show</v>
      </c>
      <c r="F8816" t="str">
        <f>HYPERLINK("https://github.com/tanersener/react-native-ffmpeg/releases","show")</f>
        <v>show</v>
      </c>
    </row>
    <row r="8817" spans="1:6">
      <c r="A8817" t="s">
        <v>26175</v>
      </c>
      <c r="B8817" t="s">
        <v>26176</v>
      </c>
      <c r="C8817" t="s">
        <v>26177</v>
      </c>
      <c r="D8817" t="str">
        <f>HYPERLINK("https://github.com/square/okhttp/issues/5447","show")</f>
        <v>show</v>
      </c>
      <c r="E8817" t="str">
        <f>HYPERLINK("https://github.com/square/okhttp","show")</f>
        <v>show</v>
      </c>
      <c r="F8817" t="str">
        <f>HYPERLINK("https://github.com/square/okhttp/releases","show")</f>
        <v>show</v>
      </c>
    </row>
    <row r="8818" spans="1:6">
      <c r="A8818" t="s">
        <v>26178</v>
      </c>
      <c r="B8818" t="s">
        <v>26179</v>
      </c>
      <c r="C8818" t="s">
        <v>26180</v>
      </c>
      <c r="D8818" t="str">
        <f>HYPERLINK("https://github.com/square/react-native-square-reader-sdk/issues/86","show")</f>
        <v>show</v>
      </c>
      <c r="E8818" t="str">
        <f>HYPERLINK("https://github.com/square/react-native-square-reader-sdk","show")</f>
        <v>show</v>
      </c>
      <c r="F8818" t="str">
        <f>HYPERLINK("https://github.com/square/react-native-square-reader-sdk/releases","show")</f>
        <v>show</v>
      </c>
    </row>
    <row r="8819" spans="1:6">
      <c r="A8819" t="s">
        <v>26181</v>
      </c>
      <c r="B8819" t="s">
        <v>26182</v>
      </c>
      <c r="C8819" t="s">
        <v>26183</v>
      </c>
      <c r="D8819" t="str">
        <f>HYPERLINK("https://github.com/voxeet/voxeet-uxkit-android/issues/4","show")</f>
        <v>show</v>
      </c>
      <c r="E8819" t="str">
        <f>HYPERLINK("https://github.com/voxeet/voxeet-uxkit-android","show")</f>
        <v>show</v>
      </c>
      <c r="F8819" t="str">
        <f>HYPERLINK("https://github.com/voxeet/voxeet-uxkit-android/releases","show")</f>
        <v>show</v>
      </c>
    </row>
    <row r="8820" spans="1:6">
      <c r="A8820" t="s">
        <v>26184</v>
      </c>
      <c r="B8820" t="s">
        <v>26185</v>
      </c>
      <c r="C8820" t="s">
        <v>26186</v>
      </c>
      <c r="D8820" t="str">
        <f>HYPERLINK("https://github.com/react-native-svg/react-native-svg/issues/1099","show")</f>
        <v>show</v>
      </c>
      <c r="E8820" t="str">
        <f>HYPERLINK("https://github.com/react-native-svg/react-native-svg","show")</f>
        <v>show</v>
      </c>
      <c r="F8820" t="str">
        <f>HYPERLINK("https://github.com/react-native-svg/react-native-svg/releases","show")</f>
        <v>show</v>
      </c>
    </row>
    <row r="8821" spans="1:6">
      <c r="A8821" t="s">
        <v>26187</v>
      </c>
      <c r="B8821" t="s">
        <v>26188</v>
      </c>
      <c r="C8821" t="s">
        <v>26189</v>
      </c>
      <c r="D8821" t="str">
        <f>HYPERLINK("https://github.com/react-native-camera/react-native-camera/issues/2479","show")</f>
        <v>show</v>
      </c>
      <c r="E8821" t="str">
        <f>HYPERLINK("https://github.com/react-native-camera/react-native-camera","show")</f>
        <v>show</v>
      </c>
      <c r="F8821" t="str">
        <f>HYPERLINK("https://github.com/react-native-camera/react-native-camera/releases","show")</f>
        <v>show</v>
      </c>
    </row>
    <row r="8822" spans="1:6">
      <c r="A8822" t="s">
        <v>26190</v>
      </c>
      <c r="B8822" t="s">
        <v>26191</v>
      </c>
      <c r="C8822" t="s">
        <v>26192</v>
      </c>
      <c r="D8822" t="str">
        <f>HYPERLINK("https://github.com/Kunzisoft/Android-SwitchDateTimePicker/issues/55","show")</f>
        <v>show</v>
      </c>
      <c r="E8822" t="str">
        <f>HYPERLINK("https://github.com/Kunzisoft/Android-SwitchDateTimePicker","show")</f>
        <v>show</v>
      </c>
      <c r="F8822" t="str">
        <f>HYPERLINK("https://github.com/Kunzisoft/Android-SwitchDateTimePicker/releases","show")</f>
        <v>show</v>
      </c>
    </row>
    <row r="8823" spans="1:6">
      <c r="A8823" t="s">
        <v>26193</v>
      </c>
      <c r="B8823" t="s">
        <v>26194</v>
      </c>
      <c r="C8823" t="s">
        <v>26195</v>
      </c>
      <c r="D8823" t="str">
        <f>HYPERLINK("https://github.com/opensrp/opensrp-client-reveal/issues/431","show")</f>
        <v>show</v>
      </c>
      <c r="E8823" t="str">
        <f>HYPERLINK("https://github.com/opensrp/opensrp-client-reveal","show")</f>
        <v>show</v>
      </c>
      <c r="F8823" t="str">
        <f>HYPERLINK("https://github.com/opensrp/opensrp-client-reveal/releases","show")</f>
        <v>show</v>
      </c>
    </row>
    <row r="8824" spans="1:6">
      <c r="A8824" t="s">
        <v>26196</v>
      </c>
      <c r="B8824" t="s">
        <v>26197</v>
      </c>
      <c r="C8824" t="s">
        <v>26198</v>
      </c>
      <c r="D8824" t="str">
        <f>HYPERLINK("https://github.com/SecUSo/privacy-friendly-food-tracker/issues/64","show")</f>
        <v>show</v>
      </c>
      <c r="E8824" t="str">
        <f>HYPERLINK("https://github.com/SecUSo/privacy-friendly-food-tracker","show")</f>
        <v>show</v>
      </c>
      <c r="F8824" t="str">
        <f>HYPERLINK("https://github.com/SecUSo/privacy-friendly-food-tracker/releases","show")</f>
        <v>show</v>
      </c>
    </row>
    <row r="8825" spans="1:6">
      <c r="A8825" t="s">
        <v>26199</v>
      </c>
      <c r="B8825" t="s">
        <v>26200</v>
      </c>
      <c r="C8825" t="s">
        <v>26201</v>
      </c>
      <c r="D8825" t="str">
        <f>HYPERLINK("https://github.com/cgeo/cgeo/issues/7824","show")</f>
        <v>show</v>
      </c>
      <c r="E8825" t="str">
        <f>HYPERLINK("https://github.com/cgeo/cgeo","show")</f>
        <v>show</v>
      </c>
      <c r="F8825" t="str">
        <f>HYPERLINK("https://github.com/cgeo/cgeo/releases","show")</f>
        <v>show</v>
      </c>
    </row>
    <row r="8826" spans="1:6">
      <c r="A8826" t="s">
        <v>26202</v>
      </c>
      <c r="B8826" t="s">
        <v>26203</v>
      </c>
      <c r="C8826" t="s">
        <v>26204</v>
      </c>
      <c r="D8826" t="str">
        <f>HYPERLINK("https://github.com/square/react-native-square-reader-sdk/issues/82","show")</f>
        <v>show</v>
      </c>
      <c r="E8826" t="str">
        <f>HYPERLINK("https://github.com/square/react-native-square-reader-sdk","show")</f>
        <v>show</v>
      </c>
      <c r="F8826" t="str">
        <f>HYPERLINK("https://github.com/square/react-native-square-reader-sdk/releases","show")</f>
        <v>show</v>
      </c>
    </row>
    <row r="8827" spans="1:6">
      <c r="A8827" t="s">
        <v>26205</v>
      </c>
      <c r="B8827" t="s">
        <v>26206</v>
      </c>
      <c r="C8827" t="s">
        <v>26207</v>
      </c>
      <c r="D8827" t="str">
        <f>HYPERLINK("https://github.com/material-components/material-components-android/issues/572","show")</f>
        <v>show</v>
      </c>
      <c r="E8827" t="str">
        <f>HYPERLINK("https://github.com/material-components/material-components-android","show")</f>
        <v>show</v>
      </c>
      <c r="F8827" t="str">
        <f>HYPERLINK("https://github.com/material-components/material-components-android/releases","show")</f>
        <v>show</v>
      </c>
    </row>
    <row r="8828" spans="1:6">
      <c r="A8828" t="s">
        <v>26208</v>
      </c>
      <c r="B8828" t="s">
        <v>26209</v>
      </c>
      <c r="C8828" t="s">
        <v>26210</v>
      </c>
      <c r="D8828" t="str">
        <f>HYPERLINK("https://github.com/nextcloud/android/issues/4476","show")</f>
        <v>show</v>
      </c>
      <c r="E8828" t="str">
        <f>HYPERLINK("https://github.com/nextcloud/android","show")</f>
        <v>show</v>
      </c>
      <c r="F8828" t="str">
        <f>HYPERLINK("https://github.com/nextcloud/android/releases","show")</f>
        <v>show</v>
      </c>
    </row>
    <row r="8829" spans="1:6">
      <c r="A8829" t="s">
        <v>26211</v>
      </c>
      <c r="B8829" t="s">
        <v>26212</v>
      </c>
      <c r="C8829" t="s">
        <v>26213</v>
      </c>
      <c r="D8829" t="str">
        <f>HYPERLINK("https://github.com/fossasia/neurolab-android/issues/458","show")</f>
        <v>show</v>
      </c>
      <c r="E8829" t="str">
        <f>HYPERLINK("https://github.com/fossasia/neurolab-android","show")</f>
        <v>show</v>
      </c>
      <c r="F8829" t="str">
        <f>HYPERLINK("https://github.com/fossasia/neurolab-android/releases","show")</f>
        <v>show</v>
      </c>
    </row>
    <row r="8830" spans="1:6">
      <c r="A8830" t="s">
        <v>26214</v>
      </c>
      <c r="B8830" t="s">
        <v>26215</v>
      </c>
      <c r="C8830" t="s">
        <v>26216</v>
      </c>
      <c r="D8830" t="str">
        <f>HYPERLINK("https://github.com/fossasia/neurolab-android/issues/457","show")</f>
        <v>show</v>
      </c>
      <c r="E8830" t="str">
        <f>HYPERLINK("https://github.com/fossasia/neurolab-android","show")</f>
        <v>show</v>
      </c>
      <c r="F8830" t="str">
        <f>HYPERLINK("https://github.com/fossasia/neurolab-android/releases","show")</f>
        <v>show</v>
      </c>
    </row>
    <row r="8831" spans="1:6">
      <c r="A8831" t="s">
        <v>26217</v>
      </c>
      <c r="B8831" t="s">
        <v>26218</v>
      </c>
      <c r="C8831" t="s">
        <v>26219</v>
      </c>
      <c r="D8831" t="str">
        <f>HYPERLINK("https://github.com/opensrp/opensrp-client-giz-malawi/issues/88","show")</f>
        <v>show</v>
      </c>
      <c r="E8831" t="str">
        <f>HYPERLINK("https://github.com/opensrp/opensrp-client-giz-malawi","show")</f>
        <v>show</v>
      </c>
      <c r="F8831" t="str">
        <f>HYPERLINK("https://github.com/opensrp/opensrp-client-giz-malawi/releases","show")</f>
        <v>show</v>
      </c>
    </row>
    <row r="8832" spans="1:6">
      <c r="A8832" t="s">
        <v>26220</v>
      </c>
      <c r="B8832" t="s">
        <v>26221</v>
      </c>
      <c r="C8832" t="s">
        <v>26222</v>
      </c>
      <c r="D8832" t="str">
        <f>HYPERLINK("https://github.com/nextcloud/android/issues/4471","show")</f>
        <v>show</v>
      </c>
      <c r="E8832" t="str">
        <f>HYPERLINK("https://github.com/nextcloud/android","show")</f>
        <v>show</v>
      </c>
      <c r="F8832" t="str">
        <f>HYPERLINK("https://github.com/nextcloud/android/releases","show")</f>
        <v>show</v>
      </c>
    </row>
    <row r="8833" spans="1:6">
      <c r="A8833" t="s">
        <v>26223</v>
      </c>
      <c r="B8833" t="s">
        <v>26224</v>
      </c>
      <c r="C8833" t="s">
        <v>26225</v>
      </c>
      <c r="D8833" t="str">
        <f>HYPERLINK("https://github.com/opensrp/opensrp-client-reveal/issues/423","show")</f>
        <v>show</v>
      </c>
      <c r="E8833" t="str">
        <f>HYPERLINK("https://github.com/opensrp/opensrp-client-reveal","show")</f>
        <v>show</v>
      </c>
      <c r="F8833" t="str">
        <f>HYPERLINK("https://github.com/opensrp/opensrp-client-reveal/releases","show")</f>
        <v>show</v>
      </c>
    </row>
    <row r="8834" spans="1:6">
      <c r="A8834" t="s">
        <v>26226</v>
      </c>
      <c r="B8834" t="s">
        <v>26227</v>
      </c>
      <c r="C8834" t="s">
        <v>26228</v>
      </c>
      <c r="D8834" t="str">
        <f>HYPERLINK("https://github.com/JavaCafe01/PdfViewer/issues/41","show")</f>
        <v>show</v>
      </c>
      <c r="E8834" t="str">
        <f>HYPERLINK("https://github.com/JavaCafe01/PdfViewer","show")</f>
        <v>show</v>
      </c>
      <c r="F8834" t="str">
        <f>HYPERLINK("https://github.com/JavaCafe01/PdfViewer/releases","show")</f>
        <v>show</v>
      </c>
    </row>
    <row r="8835" spans="1:6">
      <c r="A8835" t="s">
        <v>26229</v>
      </c>
      <c r="B8835" t="s">
        <v>26230</v>
      </c>
      <c r="C8835" t="s">
        <v>26231</v>
      </c>
      <c r="D8835" t="str">
        <f>HYPERLINK("https://github.com/niccokunzmann/mundraub-android/issues/293","show")</f>
        <v>show</v>
      </c>
      <c r="E8835" t="str">
        <f>HYPERLINK("https://github.com/niccokunzmann/mundraub-android","show")</f>
        <v>show</v>
      </c>
      <c r="F8835" t="str">
        <f>HYPERLINK("https://github.com/niccokunzmann/mundraub-android/releases","show")</f>
        <v>show</v>
      </c>
    </row>
    <row r="8836" spans="1:6">
      <c r="A8836" t="s">
        <v>26232</v>
      </c>
      <c r="B8836" t="s">
        <v>26233</v>
      </c>
      <c r="C8836" t="s">
        <v>26234</v>
      </c>
      <c r="D8836" t="str">
        <f>HYPERLINK("https://github.com/ehwlfk2/Wegloo/issues/67","show")</f>
        <v>show</v>
      </c>
      <c r="E8836" t="str">
        <f>HYPERLINK("https://github.com/ehwlfk2/Wegloo","show")</f>
        <v>show</v>
      </c>
      <c r="F8836" t="str">
        <f>HYPERLINK("https://github.com/ehwlfk2/Wegloo/releases","show")</f>
        <v>show</v>
      </c>
    </row>
    <row r="8837" spans="1:6">
      <c r="A8837" t="s">
        <v>26235</v>
      </c>
      <c r="B8837" t="s">
        <v>26236</v>
      </c>
      <c r="C8837" t="s">
        <v>26237</v>
      </c>
      <c r="D8837" t="str">
        <f>HYPERLINK("https://github.com/SkyTubeTeam/SkyTube/issues/548","show")</f>
        <v>show</v>
      </c>
      <c r="E8837" t="str">
        <f>HYPERLINK("https://github.com/SkyTubeTeam/SkyTube","show")</f>
        <v>show</v>
      </c>
      <c r="F8837" t="str">
        <f>HYPERLINK("https://github.com/SkyTubeTeam/SkyTube/releases","show")</f>
        <v>show</v>
      </c>
    </row>
    <row r="8838" spans="1:6">
      <c r="A8838" t="s">
        <v>26238</v>
      </c>
      <c r="B8838" t="s">
        <v>26239</v>
      </c>
      <c r="C8838" t="s">
        <v>26240</v>
      </c>
      <c r="D8838" t="str">
        <f>HYPERLINK("https://github.com/material-components/material-components-android/issues/565","show")</f>
        <v>show</v>
      </c>
      <c r="E8838" t="str">
        <f>HYPERLINK("https://github.com/material-components/material-components-android","show")</f>
        <v>show</v>
      </c>
      <c r="F8838" t="str">
        <f>HYPERLINK("https://github.com/material-components/material-components-android/releases","show")</f>
        <v>show</v>
      </c>
    </row>
    <row r="8839" spans="1:6">
      <c r="A8839" t="s">
        <v>26241</v>
      </c>
      <c r="B8839" t="s">
        <v>26242</v>
      </c>
      <c r="C8839" t="s">
        <v>26243</v>
      </c>
      <c r="D8839" t="str">
        <f>HYPERLINK("https://github.com/nextcloud/android-library/issues/336","show")</f>
        <v>show</v>
      </c>
      <c r="E8839" t="str">
        <f>HYPERLINK("https://github.com/nextcloud/android-library","show")</f>
        <v>show</v>
      </c>
      <c r="F8839" t="str">
        <f>HYPERLINK("https://github.com/nextcloud/android-library/releases","show")</f>
        <v>show</v>
      </c>
    </row>
    <row r="8840" spans="1:6">
      <c r="A8840" t="s">
        <v>26244</v>
      </c>
      <c r="B8840" t="s">
        <v>26245</v>
      </c>
      <c r="C8840" t="s">
        <v>26246</v>
      </c>
      <c r="D8840" t="str">
        <f>HYPERLINK("https://github.com/material-components/material-components-android/issues/561","show")</f>
        <v>show</v>
      </c>
      <c r="E8840" t="str">
        <f>HYPERLINK("https://github.com/material-components/material-components-android","show")</f>
        <v>show</v>
      </c>
      <c r="F8840" t="str">
        <f>HYPERLINK("https://github.com/material-components/material-components-android/releases","show")</f>
        <v>show</v>
      </c>
    </row>
    <row r="8841" spans="1:6">
      <c r="A8841" t="s">
        <v>26247</v>
      </c>
      <c r="B8841" t="s">
        <v>26248</v>
      </c>
      <c r="C8841" t="s">
        <v>26249</v>
      </c>
      <c r="D8841" t="str">
        <f>HYPERLINK("https://github.com/CleverTap/clevertap-android-sdk/issues/33","show")</f>
        <v>show</v>
      </c>
      <c r="E8841" t="str">
        <f>HYPERLINK("https://github.com/CleverTap/clevertap-android-sdk","show")</f>
        <v>show</v>
      </c>
      <c r="F8841" t="str">
        <f>HYPERLINK("https://github.com/CleverTap/clevertap-android-sdk/releases","show")</f>
        <v>show</v>
      </c>
    </row>
    <row r="8842" spans="1:6">
      <c r="A8842" t="s">
        <v>26250</v>
      </c>
      <c r="B8842" t="s">
        <v>26251</v>
      </c>
      <c r="C8842" t="s">
        <v>26252</v>
      </c>
      <c r="D8842" t="str">
        <f>HYPERLINK("https://github.com/niccokunzmann/mundraub-android/issues/289","show")</f>
        <v>show</v>
      </c>
      <c r="E8842" t="str">
        <f>HYPERLINK("https://github.com/niccokunzmann/mundraub-android","show")</f>
        <v>show</v>
      </c>
      <c r="F8842" t="str">
        <f>HYPERLINK("https://github.com/niccokunzmann/mundraub-android/releases","show")</f>
        <v>show</v>
      </c>
    </row>
    <row r="8843" spans="1:6">
      <c r="A8843" t="s">
        <v>26253</v>
      </c>
      <c r="B8843" t="s">
        <v>26254</v>
      </c>
      <c r="C8843" t="s">
        <v>26255</v>
      </c>
      <c r="D8843" t="str">
        <f>HYPERLINK("https://github.com/Tencent/tinker/issues/1211","show")</f>
        <v>show</v>
      </c>
      <c r="E8843" t="str">
        <f>HYPERLINK("https://github.com/Tencent/tinker","show")</f>
        <v>show</v>
      </c>
      <c r="F8843" t="str">
        <f>HYPERLINK("https://github.com/Tencent/tinker/releases","show")</f>
        <v>show</v>
      </c>
    </row>
    <row r="8844" spans="1:6">
      <c r="A8844" t="s">
        <v>26256</v>
      </c>
      <c r="B8844" t="s">
        <v>26257</v>
      </c>
      <c r="C8844" t="s">
        <v>26258</v>
      </c>
      <c r="D8844" t="str">
        <f>HYPERLINK("https://github.com/plusonelabs/calendar-widget/issues/318","show")</f>
        <v>show</v>
      </c>
      <c r="E8844" t="str">
        <f>HYPERLINK("https://github.com/plusonelabs/calendar-widget","show")</f>
        <v>show</v>
      </c>
      <c r="F8844" t="str">
        <f>HYPERLINK("https://github.com/plusonelabs/calendar-widget/releases","show")</f>
        <v>show</v>
      </c>
    </row>
    <row r="8845" spans="1:6">
      <c r="A8845" t="s">
        <v>26259</v>
      </c>
      <c r="B8845" t="s">
        <v>26260</v>
      </c>
      <c r="C8845" t="s">
        <v>26261</v>
      </c>
      <c r="D8845" t="str">
        <f>HYPERLINK("https://github.com/BoardiesITSolutions/FileDirectoryPicker/issues/3","show")</f>
        <v>show</v>
      </c>
      <c r="E8845" t="str">
        <f>HYPERLINK("https://github.com/BoardiesITSolutions/FileDirectoryPicker","show")</f>
        <v>show</v>
      </c>
      <c r="F8845" t="str">
        <f>HYPERLINK("https://github.com/BoardiesITSolutions/FileDirectoryPicker/releases","show")</f>
        <v>show</v>
      </c>
    </row>
    <row r="8846" spans="1:6">
      <c r="A8846" t="s">
        <v>26262</v>
      </c>
      <c r="B8846" t="s">
        <v>26263</v>
      </c>
      <c r="C8846" t="s">
        <v>26264</v>
      </c>
      <c r="D8846" t="str">
        <f>HYPERLINK("https://github.com/SelfLender/react-native-biometrics/issues/42","show")</f>
        <v>show</v>
      </c>
      <c r="E8846" t="str">
        <f>HYPERLINK("https://github.com/SelfLender/react-native-biometrics","show")</f>
        <v>show</v>
      </c>
      <c r="F8846" t="str">
        <f>HYPERLINK("https://github.com/SelfLender/react-native-biometrics/releases","show")</f>
        <v>show</v>
      </c>
    </row>
    <row r="8847" spans="1:6">
      <c r="A8847" t="s">
        <v>26265</v>
      </c>
      <c r="B8847" t="s">
        <v>26266</v>
      </c>
      <c r="C8847" t="s">
        <v>26267</v>
      </c>
      <c r="D8847" t="str">
        <f>HYPERLINK("https://github.com/guardianproject/proofmode/issues/64","show")</f>
        <v>show</v>
      </c>
      <c r="E8847" t="str">
        <f>HYPERLINK("https://github.com/guardianproject/proofmode","show")</f>
        <v>show</v>
      </c>
      <c r="F8847" t="str">
        <f>HYPERLINK("https://github.com/guardianproject/proofmode/releases","show")</f>
        <v>show</v>
      </c>
    </row>
    <row r="8848" spans="1:6">
      <c r="A8848" t="s">
        <v>26268</v>
      </c>
      <c r="B8848" t="s">
        <v>26269</v>
      </c>
      <c r="C8848" t="s">
        <v>26270</v>
      </c>
      <c r="D8848" t="str">
        <f>HYPERLINK("https://github.com/material-components/material-components-android/issues/558","show")</f>
        <v>show</v>
      </c>
      <c r="E8848" t="str">
        <f>HYPERLINK("https://github.com/material-components/material-components-android","show")</f>
        <v>show</v>
      </c>
      <c r="F8848" t="str">
        <f>HYPERLINK("https://github.com/material-components/material-components-android/releases","show")</f>
        <v>show</v>
      </c>
    </row>
    <row r="8849" spans="1:6">
      <c r="A8849" t="s">
        <v>26271</v>
      </c>
      <c r="B8849" t="s">
        <v>26272</v>
      </c>
      <c r="C8849" t="s">
        <v>26273</v>
      </c>
      <c r="D8849" t="str">
        <f>HYPERLINK("https://github.com/ThaChillera/CardScore/issues/21","show")</f>
        <v>show</v>
      </c>
      <c r="E8849" t="str">
        <f>HYPERLINK("https://github.com/ThaChillera/CardScore","show")</f>
        <v>show</v>
      </c>
      <c r="F8849" t="str">
        <f>HYPERLINK("https://github.com/ThaChillera/CardScore/releases","show")</f>
        <v>show</v>
      </c>
    </row>
    <row r="8850" spans="1:6">
      <c r="A8850" t="s">
        <v>26274</v>
      </c>
      <c r="B8850" t="s">
        <v>26275</v>
      </c>
      <c r="C8850" t="s">
        <v>26276</v>
      </c>
      <c r="D8850" t="str">
        <f>HYPERLINK("https://github.com/Catfriend1/syncthing-android/issues/477","show")</f>
        <v>show</v>
      </c>
      <c r="E8850" t="str">
        <f>HYPERLINK("https://github.com/Catfriend1/syncthing-android","show")</f>
        <v>show</v>
      </c>
      <c r="F8850" t="str">
        <f>HYPERLINK("https://github.com/Catfriend1/syncthing-android/releases","show")</f>
        <v>show</v>
      </c>
    </row>
    <row r="8851" spans="1:6">
      <c r="A8851" t="s">
        <v>26277</v>
      </c>
      <c r="B8851" t="s">
        <v>26278</v>
      </c>
      <c r="C8851" t="s">
        <v>26279</v>
      </c>
      <c r="D8851" t="str">
        <f>HYPERLINK("https://github.com/fossasia/neurolab-android/issues/448","show")</f>
        <v>show</v>
      </c>
      <c r="E8851" t="str">
        <f>HYPERLINK("https://github.com/fossasia/neurolab-android","show")</f>
        <v>show</v>
      </c>
      <c r="F8851" t="str">
        <f>HYPERLINK("https://github.com/fossasia/neurolab-android/releases","show")</f>
        <v>show</v>
      </c>
    </row>
    <row r="8852" spans="1:6">
      <c r="A8852" t="s">
        <v>26280</v>
      </c>
      <c r="B8852" t="s">
        <v>26281</v>
      </c>
      <c r="C8852" t="s">
        <v>26282</v>
      </c>
      <c r="D8852" t="str">
        <f>HYPERLINK("https://github.com/nextcloud/android/issues/4438","show")</f>
        <v>show</v>
      </c>
      <c r="E8852" t="str">
        <f>HYPERLINK("https://github.com/nextcloud/android","show")</f>
        <v>show</v>
      </c>
      <c r="F8852" t="str">
        <f>HYPERLINK("https://github.com/nextcloud/android/releases","show")</f>
        <v>show</v>
      </c>
    </row>
    <row r="8853" spans="1:6">
      <c r="A8853" t="s">
        <v>26283</v>
      </c>
      <c r="B8853" t="s">
        <v>26284</v>
      </c>
      <c r="C8853" t="s">
        <v>26285</v>
      </c>
      <c r="D8853" t="str">
        <f>HYPERLINK("https://github.com/square/okhttp/issues/5402","show")</f>
        <v>show</v>
      </c>
      <c r="E8853" t="str">
        <f>HYPERLINK("https://github.com/square/okhttp","show")</f>
        <v>show</v>
      </c>
      <c r="F8853" t="str">
        <f>HYPERLINK("https://github.com/square/okhttp/releases","show")</f>
        <v>show</v>
      </c>
    </row>
    <row r="8854" spans="1:6">
      <c r="A8854" t="s">
        <v>26286</v>
      </c>
      <c r="B8854" t="s">
        <v>26287</v>
      </c>
      <c r="C8854" t="s">
        <v>26288</v>
      </c>
      <c r="D8854" t="str">
        <f>HYPERLINK("https://github.com/square/okhttp/issues/5401","show")</f>
        <v>show</v>
      </c>
      <c r="E8854" t="str">
        <f>HYPERLINK("https://github.com/square/okhttp","show")</f>
        <v>show</v>
      </c>
      <c r="F8854" t="str">
        <f>HYPERLINK("https://github.com/square/okhttp/releases","show")</f>
        <v>show</v>
      </c>
    </row>
    <row r="8855" spans="1:6">
      <c r="A8855" t="s">
        <v>26289</v>
      </c>
      <c r="B8855" t="s">
        <v>26290</v>
      </c>
      <c r="C8855" t="s">
        <v>26291</v>
      </c>
      <c r="D8855" t="str">
        <f>HYPERLINK("https://github.com/fieldsight/fieldsight-mobile/issues/375","show")</f>
        <v>show</v>
      </c>
      <c r="E8855" t="str">
        <f>HYPERLINK("https://github.com/fieldsight/fieldsight-mobile","show")</f>
        <v>show</v>
      </c>
      <c r="F8855" t="str">
        <f>HYPERLINK("https://github.com/fieldsight/fieldsight-mobile/releases","show")</f>
        <v>show</v>
      </c>
    </row>
    <row r="8856" spans="1:6">
      <c r="A8856" t="s">
        <v>26292</v>
      </c>
      <c r="B8856" t="s">
        <v>26293</v>
      </c>
      <c r="C8856" t="s">
        <v>26294</v>
      </c>
      <c r="D8856" t="str">
        <f>HYPERLINK("https://github.com/material-components/material-components-android/issues/549","show")</f>
        <v>show</v>
      </c>
      <c r="E8856" t="str">
        <f>HYPERLINK("https://github.com/material-components/material-components-android","show")</f>
        <v>show</v>
      </c>
      <c r="F8856" t="str">
        <f>HYPERLINK("https://github.com/material-components/material-components-android/releases","show")</f>
        <v>show</v>
      </c>
    </row>
    <row r="8857" spans="1:6">
      <c r="A8857" t="s">
        <v>26295</v>
      </c>
      <c r="B8857" t="s">
        <v>26296</v>
      </c>
      <c r="C8857" t="s">
        <v>26297</v>
      </c>
      <c r="D8857" t="str">
        <f>HYPERLINK("https://github.com/opensrp/opensrp-client-chw/issues/717","show")</f>
        <v>show</v>
      </c>
      <c r="E8857" t="str">
        <f>HYPERLINK("https://github.com/opensrp/opensrp-client-chw","show")</f>
        <v>show</v>
      </c>
      <c r="F8857" t="str">
        <f>HYPERLINK("https://github.com/opensrp/opensrp-client-chw/releases","show")</f>
        <v>show</v>
      </c>
    </row>
    <row r="8858" spans="1:6">
      <c r="A8858" t="s">
        <v>26298</v>
      </c>
      <c r="B8858" t="s">
        <v>26299</v>
      </c>
      <c r="C8858" t="s">
        <v>26300</v>
      </c>
      <c r="D8858" t="str">
        <f>HYPERLINK("https://github.com/gggiovanny/dicas-auditorias-app/issues/1","show")</f>
        <v>show</v>
      </c>
      <c r="E8858" t="str">
        <f>HYPERLINK("https://github.com/gggiovanny/dicas-auditorias-app","show")</f>
        <v>show</v>
      </c>
      <c r="F8858" t="str">
        <f>HYPERLINK("https://github.com/gggiovanny/dicas-auditorias-app/releases","show")</f>
        <v>show</v>
      </c>
    </row>
    <row r="8859" spans="1:6">
      <c r="A8859" t="s">
        <v>26301</v>
      </c>
      <c r="B8859" t="s">
        <v>26302</v>
      </c>
      <c r="C8859" t="s">
        <v>26303</v>
      </c>
      <c r="D8859" t="str">
        <f>HYPERLINK("https://github.com/nextcloud/android/issues/4433","show")</f>
        <v>show</v>
      </c>
      <c r="E8859" t="str">
        <f>HYPERLINK("https://github.com/nextcloud/android","show")</f>
        <v>show</v>
      </c>
      <c r="F8859" t="str">
        <f>HYPERLINK("https://github.com/nextcloud/android/releases","show")</f>
        <v>show</v>
      </c>
    </row>
    <row r="8860" spans="1:6">
      <c r="A8860" t="s">
        <v>26304</v>
      </c>
      <c r="B8860" t="s">
        <v>26305</v>
      </c>
      <c r="C8860" t="s">
        <v>26306</v>
      </c>
      <c r="D8860" t="str">
        <f>HYPERLINK("https://github.com/material-components/material-components-android/issues/542","show")</f>
        <v>show</v>
      </c>
      <c r="E8860" t="str">
        <f>HYPERLINK("https://github.com/material-components/material-components-android","show")</f>
        <v>show</v>
      </c>
      <c r="F8860" t="str">
        <f>HYPERLINK("https://github.com/material-components/material-components-android/releases","show")</f>
        <v>show</v>
      </c>
    </row>
    <row r="8861" spans="1:6">
      <c r="A8861" t="s">
        <v>26307</v>
      </c>
      <c r="B8861" t="s">
        <v>26308</v>
      </c>
      <c r="C8861" t="s">
        <v>26309</v>
      </c>
      <c r="D8861" t="str">
        <f>HYPERLINK("https://github.com/danielR2001/flutter_exoplayer/issues/5","show")</f>
        <v>show</v>
      </c>
      <c r="E8861" t="str">
        <f>HYPERLINK("https://github.com/danielR2001/flutter_exoplayer","show")</f>
        <v>show</v>
      </c>
      <c r="F8861" t="str">
        <f>HYPERLINK("https://github.com/danielR2001/flutter_exoplayer/releases","show")</f>
        <v>show</v>
      </c>
    </row>
    <row r="8862" spans="1:6">
      <c r="A8862" t="s">
        <v>26310</v>
      </c>
      <c r="B8862" t="s">
        <v>26311</v>
      </c>
      <c r="C8862" t="s">
        <v>26312</v>
      </c>
      <c r="D8862" t="str">
        <f>HYPERLINK("https://github.com/inaturalist/iNaturalistAndroid/issues/699","show")</f>
        <v>show</v>
      </c>
      <c r="E8862" t="str">
        <f>HYPERLINK("https://github.com/inaturalist/iNaturalistAndroid","show")</f>
        <v>show</v>
      </c>
      <c r="F8862" t="str">
        <f>HYPERLINK("https://github.com/inaturalist/iNaturalistAndroid/releases","show")</f>
        <v>show</v>
      </c>
    </row>
    <row r="8863" spans="1:6">
      <c r="A8863" t="s">
        <v>26313</v>
      </c>
      <c r="B8863" t="s">
        <v>26314</v>
      </c>
      <c r="C8863" t="s">
        <v>26315</v>
      </c>
      <c r="D8863" t="str">
        <f>HYPERLINK("https://github.com/wdullaer/MaterialDateTimePicker/issues/609","show")</f>
        <v>show</v>
      </c>
      <c r="E8863" t="str">
        <f>HYPERLINK("https://github.com/wdullaer/MaterialDateTimePicker","show")</f>
        <v>show</v>
      </c>
      <c r="F8863" t="str">
        <f>HYPERLINK("https://github.com/wdullaer/MaterialDateTimePicker/releases","show")</f>
        <v>show</v>
      </c>
    </row>
    <row r="8864" spans="1:6">
      <c r="A8864" t="s">
        <v>26316</v>
      </c>
      <c r="B8864" t="s">
        <v>26317</v>
      </c>
      <c r="C8864" t="s">
        <v>26318</v>
      </c>
      <c r="D8864" t="str">
        <f>HYPERLINK("https://github.com/MozillaReality/FirefoxReality/issues/1658","show")</f>
        <v>show</v>
      </c>
      <c r="E8864" t="str">
        <f>HYPERLINK("https://github.com/MozillaReality/FirefoxReality","show")</f>
        <v>show</v>
      </c>
      <c r="F8864" t="str">
        <f>HYPERLINK("https://github.com/MozillaReality/FirefoxReality/releases","show")</f>
        <v>show</v>
      </c>
    </row>
    <row r="8865" spans="1:6">
      <c r="A8865" t="s">
        <v>26319</v>
      </c>
      <c r="B8865" t="s">
        <v>26320</v>
      </c>
      <c r="C8865" t="s">
        <v>26321</v>
      </c>
      <c r="D8865" t="str">
        <f>HYPERLINK("https://github.com/opensrp/opensrp-client-chw/issues/668","show")</f>
        <v>show</v>
      </c>
      <c r="E8865" t="str">
        <f>HYPERLINK("https://github.com/opensrp/opensrp-client-chw","show")</f>
        <v>show</v>
      </c>
      <c r="F8865" t="str">
        <f>HYPERLINK("https://github.com/opensrp/opensrp-client-chw/releases","show")</f>
        <v>show</v>
      </c>
    </row>
    <row r="8866" spans="1:6">
      <c r="A8866" t="s">
        <v>26322</v>
      </c>
      <c r="B8866" t="s">
        <v>26320</v>
      </c>
      <c r="C8866" t="s">
        <v>26323</v>
      </c>
      <c r="D8866" t="str">
        <f>HYPERLINK("https://github.com/opensrp/opensrp-client-chw-anc/issues/243","show")</f>
        <v>show</v>
      </c>
      <c r="E8866" t="str">
        <f>HYPERLINK("https://github.com/opensrp/opensrp-client-chw-anc","show")</f>
        <v>show</v>
      </c>
      <c r="F8866" t="str">
        <f>HYPERLINK("https://github.com/opensrp/opensrp-client-chw-anc/releases","show")</f>
        <v>show</v>
      </c>
    </row>
    <row r="8867" spans="1:6">
      <c r="A8867" t="s">
        <v>26324</v>
      </c>
      <c r="B8867" t="s">
        <v>26325</v>
      </c>
      <c r="C8867" t="s">
        <v>26325</v>
      </c>
      <c r="D8867" t="str">
        <f>HYPERLINK("https://github.com/open-webrtc-toolkit/owt-client-android/issues/141","show")</f>
        <v>show</v>
      </c>
      <c r="E8867" t="str">
        <f>HYPERLINK("https://github.com/open-webrtc-toolkit/owt-client-android","show")</f>
        <v>show</v>
      </c>
      <c r="F8867" t="str">
        <f>HYPERLINK("https://github.com/open-webrtc-toolkit/owt-client-android/releases","show")</f>
        <v>show</v>
      </c>
    </row>
    <row r="8868" spans="1:6">
      <c r="A8868" t="s">
        <v>26326</v>
      </c>
      <c r="B8868" t="s">
        <v>26327</v>
      </c>
      <c r="C8868" t="s">
        <v>26328</v>
      </c>
      <c r="D8868" t="str">
        <f>HYPERLINK("https://github.com/AlphaWallet/alpha-wallet-android/issues/832","show")</f>
        <v>show</v>
      </c>
      <c r="E8868" t="str">
        <f>HYPERLINK("https://github.com/AlphaWallet/alpha-wallet-android","show")</f>
        <v>show</v>
      </c>
      <c r="F8868" t="str">
        <f>HYPERLINK("https://github.com/AlphaWallet/alpha-wallet-android/releases","show")</f>
        <v>show</v>
      </c>
    </row>
    <row r="8869" spans="1:6">
      <c r="A8869" t="s">
        <v>26329</v>
      </c>
      <c r="B8869" t="s">
        <v>26330</v>
      </c>
      <c r="C8869" t="s">
        <v>26331</v>
      </c>
      <c r="D8869" t="str">
        <f>HYPERLINK("https://github.com/Swati4star/Images-to-PDF/issues/789","show")</f>
        <v>show</v>
      </c>
      <c r="E8869" t="str">
        <f>HYPERLINK("https://github.com/Swati4star/Images-to-PDF","show")</f>
        <v>show</v>
      </c>
      <c r="F8869" t="str">
        <f>HYPERLINK("https://github.com/Swati4star/Images-to-PDF/releases","show")</f>
        <v>show</v>
      </c>
    </row>
    <row r="8870" spans="1:6">
      <c r="A8870" t="s">
        <v>26332</v>
      </c>
      <c r="B8870" t="s">
        <v>26333</v>
      </c>
      <c r="C8870" t="s">
        <v>26334</v>
      </c>
      <c r="D8870" t="str">
        <f>HYPERLINK("https://github.com/nextcloud/android/issues/4414","show")</f>
        <v>show</v>
      </c>
      <c r="E8870" t="str">
        <f>HYPERLINK("https://github.com/nextcloud/android","show")</f>
        <v>show</v>
      </c>
      <c r="F8870" t="str">
        <f>HYPERLINK("https://github.com/nextcloud/android/releases","show")</f>
        <v>show</v>
      </c>
    </row>
    <row r="8871" spans="1:6">
      <c r="A8871" t="s">
        <v>26335</v>
      </c>
      <c r="B8871" t="s">
        <v>26336</v>
      </c>
      <c r="C8871" t="s">
        <v>26337</v>
      </c>
      <c r="D8871" t="str">
        <f>HYPERLINK("https://github.com/nextcloud/android/issues/4413","show")</f>
        <v>show</v>
      </c>
      <c r="E8871" t="str">
        <f>HYPERLINK("https://github.com/nextcloud/android","show")</f>
        <v>show</v>
      </c>
      <c r="F8871" t="str">
        <f>HYPERLINK("https://github.com/nextcloud/android/releases","show")</f>
        <v>show</v>
      </c>
    </row>
    <row r="8872" spans="1:6">
      <c r="A8872" t="s">
        <v>26338</v>
      </c>
      <c r="B8872" t="s">
        <v>26339</v>
      </c>
      <c r="C8872" t="s">
        <v>26340</v>
      </c>
      <c r="D8872" t="str">
        <f>HYPERLINK("https://github.com/opensrp/opensrp-client-reveal/issues/378","show")</f>
        <v>show</v>
      </c>
      <c r="E8872" t="str">
        <f>HYPERLINK("https://github.com/opensrp/opensrp-client-reveal","show")</f>
        <v>show</v>
      </c>
      <c r="F8872" t="str">
        <f>HYPERLINK("https://github.com/opensrp/opensrp-client-reveal/releases","show")</f>
        <v>show</v>
      </c>
    </row>
    <row r="8873" spans="1:6">
      <c r="A8873" t="s">
        <v>26341</v>
      </c>
      <c r="B8873" t="s">
        <v>26342</v>
      </c>
      <c r="C8873" t="s">
        <v>26343</v>
      </c>
      <c r="D8873" t="str">
        <f>HYPERLINK("https://github.com/nextcloud/android/issues/4402","show")</f>
        <v>show</v>
      </c>
      <c r="E8873" t="str">
        <f>HYPERLINK("https://github.com/nextcloud/android","show")</f>
        <v>show</v>
      </c>
      <c r="F8873" t="str">
        <f>HYPERLINK("https://github.com/nextcloud/android/releases","show")</f>
        <v>show</v>
      </c>
    </row>
    <row r="8874" spans="1:6">
      <c r="A8874" t="s">
        <v>26344</v>
      </c>
      <c r="B8874" t="s">
        <v>26345</v>
      </c>
      <c r="C8874" t="s">
        <v>26346</v>
      </c>
      <c r="D8874" t="str">
        <f>HYPERLINK("https://github.com/freshollie/UsbGps4Droid/issues/16","show")</f>
        <v>show</v>
      </c>
      <c r="E8874" t="str">
        <f>HYPERLINK("https://github.com/freshollie/UsbGps4Droid","show")</f>
        <v>show</v>
      </c>
      <c r="F8874" t="str">
        <f>HYPERLINK("https://github.com/freshollie/UsbGps4Droid/releases","show")</f>
        <v>show</v>
      </c>
    </row>
    <row r="8875" spans="1:6">
      <c r="A8875" t="s">
        <v>26347</v>
      </c>
      <c r="B8875" t="s">
        <v>26348</v>
      </c>
      <c r="C8875" t="s">
        <v>26349</v>
      </c>
      <c r="D8875" t="str">
        <f>HYPERLINK("https://github.com/Omega-R/OmegaRecyclerView/issues/140","show")</f>
        <v>show</v>
      </c>
      <c r="E8875" t="str">
        <f>HYPERLINK("https://github.com/Omega-R/OmegaRecyclerView","show")</f>
        <v>show</v>
      </c>
      <c r="F8875" t="str">
        <f>HYPERLINK("https://github.com/Omega-R/OmegaRecyclerView/releases","show")</f>
        <v>show</v>
      </c>
    </row>
    <row r="8876" spans="1:6">
      <c r="A8876" t="s">
        <v>26350</v>
      </c>
      <c r="B8876" t="s">
        <v>26351</v>
      </c>
      <c r="C8876" t="s">
        <v>26352</v>
      </c>
      <c r="D8876" t="str">
        <f>HYPERLINK("https://github.com/nextcloud/android/issues/4399","show")</f>
        <v>show</v>
      </c>
      <c r="E8876" t="str">
        <f>HYPERLINK("https://github.com/nextcloud/android","show")</f>
        <v>show</v>
      </c>
      <c r="F8876" t="str">
        <f>HYPERLINK("https://github.com/nextcloud/android/releases","show")</f>
        <v>show</v>
      </c>
    </row>
    <row r="8877" spans="1:6">
      <c r="A8877" t="s">
        <v>26353</v>
      </c>
      <c r="B8877" t="s">
        <v>26354</v>
      </c>
      <c r="C8877" t="s">
        <v>26355</v>
      </c>
      <c r="D8877" t="str">
        <f>HYPERLINK("https://github.com/commons-app/apps-android-commons/issues/3140","show")</f>
        <v>show</v>
      </c>
      <c r="E8877" t="str">
        <f>HYPERLINK("https://github.com/commons-app/apps-android-commons","show")</f>
        <v>show</v>
      </c>
      <c r="F8877" t="str">
        <f>HYPERLINK("https://github.com/commons-app/apps-android-commons/releases","show")</f>
        <v>show</v>
      </c>
    </row>
    <row r="8878" spans="1:6">
      <c r="A8878" t="s">
        <v>26356</v>
      </c>
      <c r="B8878" t="s">
        <v>26357</v>
      </c>
      <c r="C8878" t="s">
        <v>26358</v>
      </c>
      <c r="D8878" t="str">
        <f>HYPERLINK("https://github.com/react-native-cameraroll/react-native-cameraroll/issues/80","show")</f>
        <v>show</v>
      </c>
      <c r="E8878" t="str">
        <f>HYPERLINK("https://github.com/react-native-cameraroll/react-native-cameraroll","show")</f>
        <v>show</v>
      </c>
      <c r="F8878" t="str">
        <f>HYPERLINK("https://github.com/react-native-cameraroll/react-native-cameraroll/releases","show")</f>
        <v>show</v>
      </c>
    </row>
    <row r="8879" spans="1:6">
      <c r="A8879" t="s">
        <v>26359</v>
      </c>
      <c r="B8879" t="s">
        <v>26360</v>
      </c>
      <c r="C8879" t="s">
        <v>26361</v>
      </c>
      <c r="D8879" t="str">
        <f>HYPERLINK("https://github.com/wiglenet/wigle-wifi-wardriving/issues/366","show")</f>
        <v>show</v>
      </c>
      <c r="E8879" t="str">
        <f>HYPERLINK("https://github.com/wiglenet/wigle-wifi-wardriving","show")</f>
        <v>show</v>
      </c>
      <c r="F8879" t="str">
        <f>HYPERLINK("https://github.com/wiglenet/wigle-wifi-wardriving/releases","show")</f>
        <v>show</v>
      </c>
    </row>
    <row r="8880" spans="1:6">
      <c r="A8880" t="s">
        <v>26362</v>
      </c>
      <c r="B8880" t="s">
        <v>26363</v>
      </c>
      <c r="C8880" t="s">
        <v>26364</v>
      </c>
      <c r="D8880" t="str">
        <f>HYPERLINK("https://github.com/cgeo/cgeo/issues/7804","show")</f>
        <v>show</v>
      </c>
      <c r="E8880" t="str">
        <f>HYPERLINK("https://github.com/cgeo/cgeo","show")</f>
        <v>show</v>
      </c>
      <c r="F8880" t="str">
        <f>HYPERLINK("https://github.com/cgeo/cgeo/releases","show")</f>
        <v>show</v>
      </c>
    </row>
    <row r="8881" spans="1:6">
      <c r="A8881" t="s">
        <v>26365</v>
      </c>
      <c r="B8881" t="s">
        <v>26366</v>
      </c>
      <c r="C8881" t="s">
        <v>26367</v>
      </c>
      <c r="D8881" t="str">
        <f>HYPERLINK("https://github.com/cgeo/cgeo/issues/7800","show")</f>
        <v>show</v>
      </c>
      <c r="E8881" t="str">
        <f>HYPERLINK("https://github.com/cgeo/cgeo","show")</f>
        <v>show</v>
      </c>
      <c r="F8881" t="str">
        <f>HYPERLINK("https://github.com/cgeo/cgeo/releases","show")</f>
        <v>show</v>
      </c>
    </row>
    <row r="8882" spans="1:6">
      <c r="A8882" t="s">
        <v>26368</v>
      </c>
      <c r="B8882" t="s">
        <v>26369</v>
      </c>
      <c r="C8882" t="s">
        <v>26370</v>
      </c>
      <c r="D8882" t="str">
        <f>HYPERLINK("https://github.com/cgeo/cgeo/issues/7799","show")</f>
        <v>show</v>
      </c>
      <c r="E8882" t="str">
        <f>HYPERLINK("https://github.com/cgeo/cgeo","show")</f>
        <v>show</v>
      </c>
      <c r="F8882" t="str">
        <f>HYPERLINK("https://github.com/cgeo/cgeo/releases","show")</f>
        <v>show</v>
      </c>
    </row>
    <row r="8883" spans="1:6">
      <c r="A8883" t="s">
        <v>26371</v>
      </c>
      <c r="B8883" t="s">
        <v>26372</v>
      </c>
      <c r="C8883" t="s">
        <v>26373</v>
      </c>
      <c r="D8883" t="str">
        <f>HYPERLINK("https://github.com/innoveit/react-native-ble-manager/issues/542","show")</f>
        <v>show</v>
      </c>
      <c r="E8883" t="str">
        <f>HYPERLINK("https://github.com/innoveit/react-native-ble-manager","show")</f>
        <v>show</v>
      </c>
      <c r="F8883" t="str">
        <f>HYPERLINK("https://github.com/innoveit/react-native-ble-manager/releases","show")</f>
        <v>show</v>
      </c>
    </row>
    <row r="8884" spans="1:6">
      <c r="A8884" t="s">
        <v>26374</v>
      </c>
      <c r="B8884" t="s">
        <v>26375</v>
      </c>
      <c r="C8884" t="s">
        <v>26376</v>
      </c>
      <c r="D8884" t="str">
        <f>HYPERLINK("https://github.com/fieldsight/fieldsight-mobile/issues/355","show")</f>
        <v>show</v>
      </c>
      <c r="E8884" t="str">
        <f>HYPERLINK("https://github.com/fieldsight/fieldsight-mobile","show")</f>
        <v>show</v>
      </c>
      <c r="F8884" t="str">
        <f>HYPERLINK("https://github.com/fieldsight/fieldsight-mobile/releases","show")</f>
        <v>show</v>
      </c>
    </row>
    <row r="8885" spans="1:6">
      <c r="A8885" t="s">
        <v>26377</v>
      </c>
      <c r="B8885" t="s">
        <v>26378</v>
      </c>
      <c r="C8885" t="s">
        <v>26379</v>
      </c>
      <c r="D8885" t="str">
        <f>HYPERLINK("https://github.com/nextcloud/android/issues/4369","show")</f>
        <v>show</v>
      </c>
      <c r="E8885" t="str">
        <f>HYPERLINK("https://github.com/nextcloud/android","show")</f>
        <v>show</v>
      </c>
      <c r="F8885" t="str">
        <f>HYPERLINK("https://github.com/nextcloud/android/releases","show")</f>
        <v>show</v>
      </c>
    </row>
    <row r="8886" spans="1:6">
      <c r="A8886" t="s">
        <v>26380</v>
      </c>
      <c r="B8886" t="s">
        <v>26381</v>
      </c>
      <c r="C8886" t="s">
        <v>26382</v>
      </c>
      <c r="D8886" t="str">
        <f>HYPERLINK("https://github.com/MozillaReality/FirefoxReality/issues/1627","show")</f>
        <v>show</v>
      </c>
      <c r="E8886" t="str">
        <f>HYPERLINK("https://github.com/MozillaReality/FirefoxReality","show")</f>
        <v>show</v>
      </c>
      <c r="F8886" t="str">
        <f>HYPERLINK("https://github.com/MozillaReality/FirefoxReality/releases","show")</f>
        <v>show</v>
      </c>
    </row>
    <row r="8887" spans="1:6">
      <c r="A8887" t="s">
        <v>26383</v>
      </c>
      <c r="B8887" t="s">
        <v>26384</v>
      </c>
      <c r="C8887" t="s">
        <v>26385</v>
      </c>
      <c r="D8887" t="str">
        <f>HYPERLINK("https://github.com/defold/extension-push/issues/4","show")</f>
        <v>show</v>
      </c>
      <c r="E8887" t="str">
        <f>HYPERLINK("https://github.com/defold/extension-push","show")</f>
        <v>show</v>
      </c>
      <c r="F8887" t="str">
        <f>HYPERLINK("https://github.com/defold/extension-push/releases","show")</f>
        <v>show</v>
      </c>
    </row>
    <row r="8888" spans="1:6">
      <c r="A8888" t="s">
        <v>26386</v>
      </c>
      <c r="B8888" t="s">
        <v>26387</v>
      </c>
      <c r="C8888" t="s">
        <v>26388</v>
      </c>
      <c r="D8888" t="str">
        <f>HYPERLINK("https://github.com/mgks/os-fileup/issues/21","show")</f>
        <v>show</v>
      </c>
      <c r="E8888" t="str">
        <f>HYPERLINK("https://github.com/mgks/os-fileup","show")</f>
        <v>show</v>
      </c>
      <c r="F8888" t="str">
        <f>HYPERLINK("https://github.com/mgks/os-fileup/releases","show")</f>
        <v>show</v>
      </c>
    </row>
    <row r="8889" spans="1:6">
      <c r="A8889" t="s">
        <v>26389</v>
      </c>
      <c r="B8889" t="s">
        <v>26390</v>
      </c>
      <c r="C8889" t="s">
        <v>26391</v>
      </c>
      <c r="D8889" t="str">
        <f>HYPERLINK("https://github.com/sschueller/peertube-android/issues/150","show")</f>
        <v>show</v>
      </c>
      <c r="E8889" t="str">
        <f>HYPERLINK("https://github.com/sschueller/peertube-android","show")</f>
        <v>show</v>
      </c>
      <c r="F8889" t="str">
        <f>HYPERLINK("https://github.com/sschueller/peertube-android/releases","show")</f>
        <v>show</v>
      </c>
    </row>
    <row r="8890" spans="1:6">
      <c r="A8890" t="s">
        <v>26392</v>
      </c>
      <c r="B8890" t="s">
        <v>26393</v>
      </c>
      <c r="C8890" t="s">
        <v>26394</v>
      </c>
      <c r="D8890" t="str">
        <f>HYPERLINK("https://github.com/niccokunzmann/mundraub-android/issues/274","show")</f>
        <v>show</v>
      </c>
      <c r="E8890" t="str">
        <f>HYPERLINK("https://github.com/niccokunzmann/mundraub-android","show")</f>
        <v>show</v>
      </c>
      <c r="F8890" t="str">
        <f>HYPERLINK("https://github.com/niccokunzmann/mundraub-android/releases","show")</f>
        <v>show</v>
      </c>
    </row>
    <row r="8891" spans="1:6">
      <c r="A8891" t="s">
        <v>26395</v>
      </c>
      <c r="B8891" t="s">
        <v>26396</v>
      </c>
      <c r="C8891" t="s">
        <v>26397</v>
      </c>
      <c r="D8891" t="str">
        <f>HYPERLINK("https://github.com/moberwasserlechner/capacitor-oauth2/issues/52","show")</f>
        <v>show</v>
      </c>
      <c r="E8891" t="str">
        <f>HYPERLINK("https://github.com/moberwasserlechner/capacitor-oauth2","show")</f>
        <v>show</v>
      </c>
      <c r="F8891" t="str">
        <f>HYPERLINK("https://github.com/moberwasserlechner/capacitor-oauth2/releases","show")</f>
        <v>show</v>
      </c>
    </row>
    <row r="8892" spans="1:6">
      <c r="A8892" t="s">
        <v>26398</v>
      </c>
      <c r="B8892" t="s">
        <v>26399</v>
      </c>
      <c r="C8892" t="s">
        <v>26400</v>
      </c>
      <c r="D8892" t="str">
        <f>HYPERLINK("https://github.com/opensrp/opensrp-client-chw/issues/634","show")</f>
        <v>show</v>
      </c>
      <c r="E8892" t="str">
        <f>HYPERLINK("https://github.com/opensrp/opensrp-client-chw","show")</f>
        <v>show</v>
      </c>
      <c r="F8892" t="str">
        <f>HYPERLINK("https://github.com/opensrp/opensrp-client-chw/releases","show")</f>
        <v>show</v>
      </c>
    </row>
    <row r="8893" spans="1:6">
      <c r="A8893" t="s">
        <v>26401</v>
      </c>
      <c r="B8893" t="s">
        <v>26402</v>
      </c>
      <c r="C8893" t="s">
        <v>26403</v>
      </c>
      <c r="D8893" t="str">
        <f>HYPERLINK("https://github.com/nextcloud/android/issues/4353","show")</f>
        <v>show</v>
      </c>
      <c r="E8893" t="str">
        <f>HYPERLINK("https://github.com/nextcloud/android","show")</f>
        <v>show</v>
      </c>
      <c r="F8893" t="str">
        <f>HYPERLINK("https://github.com/nextcloud/android/releases","show")</f>
        <v>show</v>
      </c>
    </row>
    <row r="8894" spans="1:6">
      <c r="A8894" t="s">
        <v>26404</v>
      </c>
      <c r="B8894" t="s">
        <v>23550</v>
      </c>
      <c r="C8894" t="s">
        <v>26405</v>
      </c>
      <c r="D8894" t="str">
        <f>HYPERLINK("https://github.com/TeamNewPipe/NewPipe/issues/2543","show")</f>
        <v>show</v>
      </c>
      <c r="E8894" t="str">
        <f>HYPERLINK("https://github.com/TeamNewPipe/NewPipe","show")</f>
        <v>show</v>
      </c>
      <c r="F8894" t="str">
        <f>HYPERLINK("https://github.com/TeamNewPipe/NewPipe/releases","show")</f>
        <v>show</v>
      </c>
    </row>
    <row r="8895" spans="1:6">
      <c r="A8895" t="s">
        <v>26406</v>
      </c>
      <c r="B8895" t="s">
        <v>26407</v>
      </c>
      <c r="C8895" t="s">
        <v>26408</v>
      </c>
      <c r="D8895" t="str">
        <f>HYPERLINK("https://github.com/opensrp/opensrp-client-core/issues/308","show")</f>
        <v>show</v>
      </c>
      <c r="E8895" t="str">
        <f>HYPERLINK("https://github.com/opensrp/opensrp-client-core","show")</f>
        <v>show</v>
      </c>
      <c r="F8895" t="str">
        <f>HYPERLINK("https://github.com/opensrp/opensrp-client-core/releases","show")</f>
        <v>show</v>
      </c>
    </row>
    <row r="8896" spans="1:6">
      <c r="A8896" t="s">
        <v>26409</v>
      </c>
      <c r="B8896" t="s">
        <v>26410</v>
      </c>
      <c r="C8896" t="s">
        <v>26411</v>
      </c>
      <c r="D8896" t="str">
        <f>HYPERLINK("https://github.com/MozillaReality/FirefoxReality/issues/1597","show")</f>
        <v>show</v>
      </c>
      <c r="E8896" t="str">
        <f>HYPERLINK("https://github.com/MozillaReality/FirefoxReality","show")</f>
        <v>show</v>
      </c>
      <c r="F8896" t="str">
        <f>HYPERLINK("https://github.com/MozillaReality/FirefoxReality/releases","show")</f>
        <v>show</v>
      </c>
    </row>
    <row r="8897" spans="1:6">
      <c r="A8897" t="s">
        <v>26412</v>
      </c>
      <c r="B8897" t="s">
        <v>26413</v>
      </c>
      <c r="C8897" t="s">
        <v>26414</v>
      </c>
      <c r="D8897" t="str">
        <f>HYPERLINK("https://github.com/opensrp/opensrp-client-chw/issues/629","show")</f>
        <v>show</v>
      </c>
      <c r="E8897" t="str">
        <f>HYPERLINK("https://github.com/opensrp/opensrp-client-chw","show")</f>
        <v>show</v>
      </c>
      <c r="F8897" t="str">
        <f>HYPERLINK("https://github.com/opensrp/opensrp-client-chw/releases","show")</f>
        <v>show</v>
      </c>
    </row>
    <row r="8898" spans="1:6">
      <c r="A8898" t="s">
        <v>26415</v>
      </c>
      <c r="B8898" t="s">
        <v>26416</v>
      </c>
      <c r="C8898" t="s">
        <v>26417</v>
      </c>
      <c r="D8898" t="str">
        <f>HYPERLINK("https://github.com/opensrp/opensrp-client-chw/issues/628","show")</f>
        <v>show</v>
      </c>
      <c r="E8898" t="str">
        <f>HYPERLINK("https://github.com/opensrp/opensrp-client-chw","show")</f>
        <v>show</v>
      </c>
      <c r="F8898" t="str">
        <f>HYPERLINK("https://github.com/opensrp/opensrp-client-chw/releases","show")</f>
        <v>show</v>
      </c>
    </row>
    <row r="8899" spans="1:6">
      <c r="A8899" t="s">
        <v>26418</v>
      </c>
      <c r="B8899" t="s">
        <v>26419</v>
      </c>
      <c r="C8899" t="s">
        <v>26420</v>
      </c>
      <c r="D8899" t="str">
        <f>HYPERLINK("https://github.com/opensrp/opensrp-client-chw/issues/627","show")</f>
        <v>show</v>
      </c>
      <c r="E8899" t="str">
        <f>HYPERLINK("https://github.com/opensrp/opensrp-client-chw","show")</f>
        <v>show</v>
      </c>
      <c r="F8899" t="str">
        <f>HYPERLINK("https://github.com/opensrp/opensrp-client-chw/releases","show")</f>
        <v>show</v>
      </c>
    </row>
    <row r="8900" spans="1:6">
      <c r="A8900" t="s">
        <v>26421</v>
      </c>
      <c r="B8900" t="s">
        <v>26422</v>
      </c>
      <c r="C8900" t="s">
        <v>26423</v>
      </c>
      <c r="D8900" t="str">
        <f>HYPERLINK("https://github.com/connectbot/connectbot/issues/710","show")</f>
        <v>show</v>
      </c>
      <c r="E8900" t="str">
        <f>HYPERLINK("https://github.com/connectbot/connectbot","show")</f>
        <v>show</v>
      </c>
      <c r="F8900" t="str">
        <f>HYPERLINK("https://github.com/connectbot/connectbot/releases","show")</f>
        <v>show</v>
      </c>
    </row>
    <row r="8901" spans="1:6">
      <c r="A8901" t="s">
        <v>26424</v>
      </c>
      <c r="B8901" t="s">
        <v>26425</v>
      </c>
      <c r="C8901" t="s">
        <v>26426</v>
      </c>
      <c r="D8901" t="str">
        <f>HYPERLINK("https://github.com/google/ExoPlayer/issues/6308","show")</f>
        <v>show</v>
      </c>
      <c r="E8901" t="str">
        <f>HYPERLINK("https://github.com/google/ExoPlayer","show")</f>
        <v>show</v>
      </c>
      <c r="F8901" t="str">
        <f>HYPERLINK("https://github.com/google/ExoPlayer/releases","show")</f>
        <v>show</v>
      </c>
    </row>
    <row r="8902" spans="1:6">
      <c r="A8902" t="s">
        <v>26427</v>
      </c>
      <c r="B8902" t="s">
        <v>26428</v>
      </c>
      <c r="C8902" t="s">
        <v>26429</v>
      </c>
      <c r="D8902" t="str">
        <f>HYPERLINK("https://github.com/AlphaWallet/alpha-wallet-android/issues/814","show")</f>
        <v>show</v>
      </c>
      <c r="E8902" t="str">
        <f>HYPERLINK("https://github.com/AlphaWallet/alpha-wallet-android","show")</f>
        <v>show</v>
      </c>
      <c r="F8902" t="str">
        <f>HYPERLINK("https://github.com/AlphaWallet/alpha-wallet-android/releases","show")</f>
        <v>show</v>
      </c>
    </row>
    <row r="8903" spans="1:6">
      <c r="A8903" t="s">
        <v>26430</v>
      </c>
      <c r="B8903" t="s">
        <v>26431</v>
      </c>
      <c r="C8903" t="s">
        <v>26432</v>
      </c>
      <c r="D8903" t="str">
        <f>HYPERLINK("https://github.com/niccokunzmann/mundraub-android/issues/272","show")</f>
        <v>show</v>
      </c>
      <c r="E8903" t="str">
        <f>HYPERLINK("https://github.com/niccokunzmann/mundraub-android","show")</f>
        <v>show</v>
      </c>
      <c r="F8903" t="str">
        <f>HYPERLINK("https://github.com/niccokunzmann/mundraub-android/releases","show")</f>
        <v>show</v>
      </c>
    </row>
    <row r="8904" spans="1:6">
      <c r="A8904" t="s">
        <v>26433</v>
      </c>
      <c r="B8904" t="s">
        <v>26434</v>
      </c>
      <c r="C8904" t="s">
        <v>26435</v>
      </c>
      <c r="D8904" t="str">
        <f>HYPERLINK("https://github.com/forrestguice/SuntimesWidget/issues/353","show")</f>
        <v>show</v>
      </c>
      <c r="E8904" t="str">
        <f>HYPERLINK("https://github.com/forrestguice/SuntimesWidget","show")</f>
        <v>show</v>
      </c>
      <c r="F8904" t="str">
        <f>HYPERLINK("https://github.com/forrestguice/SuntimesWidget/releases","show")</f>
        <v>show</v>
      </c>
    </row>
    <row r="8905" spans="1:6">
      <c r="A8905" t="s">
        <v>26436</v>
      </c>
      <c r="B8905" t="s">
        <v>26437</v>
      </c>
      <c r="C8905" t="s">
        <v>26438</v>
      </c>
      <c r="D8905" t="str">
        <f>HYPERLINK("https://github.com/react-native-webrtc/react-native-callkeep/issues/82","show")</f>
        <v>show</v>
      </c>
      <c r="E8905" t="str">
        <f>HYPERLINK("https://github.com/react-native-webrtc/react-native-callkeep","show")</f>
        <v>show</v>
      </c>
      <c r="F8905" t="str">
        <f>HYPERLINK("https://github.com/react-native-webrtc/react-native-callkeep/releases","show")</f>
        <v>show</v>
      </c>
    </row>
    <row r="8906" spans="1:6">
      <c r="A8906" t="s">
        <v>26439</v>
      </c>
      <c r="B8906" t="s">
        <v>26440</v>
      </c>
      <c r="C8906" t="s">
        <v>26441</v>
      </c>
      <c r="D8906" t="str">
        <f>HYPERLINK("https://github.com/UweTrottmann/SeriesGuide/issues/662","show")</f>
        <v>show</v>
      </c>
      <c r="E8906" t="str">
        <f>HYPERLINK("https://github.com/UweTrottmann/SeriesGuide","show")</f>
        <v>show</v>
      </c>
      <c r="F8906" t="str">
        <f>HYPERLINK("https://github.com/UweTrottmann/SeriesGuide/releases","show")</f>
        <v>show</v>
      </c>
    </row>
    <row r="8907" spans="1:6">
      <c r="A8907" t="s">
        <v>26442</v>
      </c>
      <c r="B8907" t="s">
        <v>26443</v>
      </c>
      <c r="C8907" t="s">
        <v>26444</v>
      </c>
      <c r="D8907" t="str">
        <f>HYPERLINK("https://github.com/k9mail/k-9/issues/4160","show")</f>
        <v>show</v>
      </c>
      <c r="E8907" t="str">
        <f>HYPERLINK("https://github.com/k9mail/k-9","show")</f>
        <v>show</v>
      </c>
      <c r="F8907" t="str">
        <f>HYPERLINK("https://github.com/k9mail/k-9/releases","show")</f>
        <v>show</v>
      </c>
    </row>
    <row r="8908" spans="1:6">
      <c r="A8908" t="s">
        <v>26445</v>
      </c>
      <c r="B8908" t="s">
        <v>26446</v>
      </c>
      <c r="C8908" t="s">
        <v>26447</v>
      </c>
      <c r="D8908" t="str">
        <f>HYPERLINK("https://github.com/deltachat/deltachat-android/issues/1023","show")</f>
        <v>show</v>
      </c>
      <c r="E8908" t="str">
        <f>HYPERLINK("https://github.com/deltachat/deltachat-android","show")</f>
        <v>show</v>
      </c>
      <c r="F8908" t="str">
        <f>HYPERLINK("https://github.com/deltachat/deltachat-android/releases","show")</f>
        <v>show</v>
      </c>
    </row>
    <row r="8909" spans="1:6">
      <c r="A8909" t="s">
        <v>26448</v>
      </c>
      <c r="B8909" t="s">
        <v>26449</v>
      </c>
      <c r="C8909" t="s">
        <v>26450</v>
      </c>
      <c r="D8909" t="str">
        <f>HYPERLINK("https://github.com/niccokunzmann/mundraub-android/issues/264","show")</f>
        <v>show</v>
      </c>
      <c r="E8909" t="str">
        <f>HYPERLINK("https://github.com/niccokunzmann/mundraub-android","show")</f>
        <v>show</v>
      </c>
      <c r="F8909" t="str">
        <f>HYPERLINK("https://github.com/niccokunzmann/mundraub-android/releases","show")</f>
        <v>show</v>
      </c>
    </row>
    <row r="8910" spans="1:6">
      <c r="A8910" t="s">
        <v>26451</v>
      </c>
      <c r="B8910" t="s">
        <v>26452</v>
      </c>
      <c r="C8910" t="s">
        <v>26453</v>
      </c>
      <c r="D8910" t="str">
        <f>HYPERLINK("https://github.com/zeroc-ice/ice-demos/issues/71","show")</f>
        <v>show</v>
      </c>
      <c r="E8910" t="str">
        <f>HYPERLINK("https://github.com/zeroc-ice/ice-demos","show")</f>
        <v>show</v>
      </c>
      <c r="F8910" t="str">
        <f>HYPERLINK("https://github.com/zeroc-ice/ice-demos/releases","show")</f>
        <v>show</v>
      </c>
    </row>
    <row r="8911" spans="1:6">
      <c r="A8911" t="s">
        <v>26454</v>
      </c>
      <c r="B8911" t="s">
        <v>26455</v>
      </c>
      <c r="C8911" t="s">
        <v>26456</v>
      </c>
      <c r="D8911" t="str">
        <f>HYPERLINK("https://github.com/2c-indore/ExploreIndoreAndroid/issues/15","show")</f>
        <v>show</v>
      </c>
      <c r="E8911" t="str">
        <f>HYPERLINK("https://github.com/2c-indore/ExploreIndoreAndroid","show")</f>
        <v>show</v>
      </c>
      <c r="F8911" t="str">
        <f>HYPERLINK("https://github.com/2c-indore/ExploreIndoreAndroid/releases","show")</f>
        <v>show</v>
      </c>
    </row>
    <row r="8912" spans="1:6">
      <c r="A8912" t="s">
        <v>26457</v>
      </c>
      <c r="B8912" t="s">
        <v>26458</v>
      </c>
      <c r="C8912" t="s">
        <v>26459</v>
      </c>
      <c r="D8912" t="str">
        <f>HYPERLINK("https://github.com/niccokunzmann/mundraub-android/issues/263","show")</f>
        <v>show</v>
      </c>
      <c r="E8912" t="str">
        <f>HYPERLINK("https://github.com/niccokunzmann/mundraub-android","show")</f>
        <v>show</v>
      </c>
      <c r="F8912" t="str">
        <f>HYPERLINK("https://github.com/niccokunzmann/mundraub-android/releases","show")</f>
        <v>show</v>
      </c>
    </row>
    <row r="8913" spans="1:6">
      <c r="A8913" t="s">
        <v>26460</v>
      </c>
      <c r="B8913" t="s">
        <v>26461</v>
      </c>
      <c r="C8913" t="s">
        <v>26462</v>
      </c>
      <c r="D8913" t="str">
        <f>HYPERLINK("https://github.com/twilio/video-quickstart-android/issues/431","show")</f>
        <v>show</v>
      </c>
      <c r="E8913" t="str">
        <f>HYPERLINK("https://github.com/twilio/video-quickstart-android","show")</f>
        <v>show</v>
      </c>
      <c r="F8913" t="str">
        <f>HYPERLINK("https://github.com/twilio/video-quickstart-android/releases","show")</f>
        <v>show</v>
      </c>
    </row>
    <row r="8914" spans="1:6">
      <c r="A8914" t="s">
        <v>26463</v>
      </c>
      <c r="B8914" t="s">
        <v>26464</v>
      </c>
      <c r="C8914" t="s">
        <v>26465</v>
      </c>
      <c r="D8914" t="str">
        <f>HYPERLINK("https://github.com/mauron85/react-native-background-geolocation/issues/409","show")</f>
        <v>show</v>
      </c>
      <c r="E8914" t="str">
        <f>HYPERLINK("https://github.com/mauron85/react-native-background-geolocation","show")</f>
        <v>show</v>
      </c>
      <c r="F8914" t="str">
        <f>HYPERLINK("https://github.com/mauron85/react-native-background-geolocation/releases","show")</f>
        <v>show</v>
      </c>
    </row>
    <row r="8915" spans="1:6">
      <c r="A8915" t="s">
        <v>26466</v>
      </c>
      <c r="B8915" t="s">
        <v>26467</v>
      </c>
      <c r="C8915" t="s">
        <v>26468</v>
      </c>
      <c r="D8915" t="str">
        <f>HYPERLINK("https://github.com/Haptic-Apps/Slide/issues/3050","show")</f>
        <v>show</v>
      </c>
      <c r="E8915" t="str">
        <f>HYPERLINK("https://github.com/Haptic-Apps/Slide","show")</f>
        <v>show</v>
      </c>
      <c r="F8915" t="str">
        <f>HYPERLINK("https://github.com/Haptic-Apps/Slide/releases","show")</f>
        <v>show</v>
      </c>
    </row>
    <row r="8916" spans="1:6">
      <c r="A8916" t="s">
        <v>26469</v>
      </c>
      <c r="B8916" t="s">
        <v>26470</v>
      </c>
      <c r="C8916" t="s">
        <v>26471</v>
      </c>
      <c r="D8916" t="str">
        <f>HYPERLINK("https://github.com/renyuneyun/Easer/issues/242","show")</f>
        <v>show</v>
      </c>
      <c r="E8916" t="str">
        <f>HYPERLINK("https://github.com/renyuneyun/Easer","show")</f>
        <v>show</v>
      </c>
      <c r="F8916" t="str">
        <f>HYPERLINK("https://github.com/renyuneyun/Easer/releases","show")</f>
        <v>show</v>
      </c>
    </row>
    <row r="8917" spans="1:6">
      <c r="A8917" t="s">
        <v>26472</v>
      </c>
      <c r="B8917" t="s">
        <v>26473</v>
      </c>
      <c r="C8917" t="s">
        <v>26474</v>
      </c>
      <c r="D8917" t="str">
        <f>HYPERLINK("https://github.com/Swati4star/Images-to-PDF/issues/784","show")</f>
        <v>show</v>
      </c>
      <c r="E8917" t="str">
        <f>HYPERLINK("https://github.com/Swati4star/Images-to-PDF","show")</f>
        <v>show</v>
      </c>
      <c r="F8917" t="str">
        <f>HYPERLINK("https://github.com/Swati4star/Images-to-PDF/releases","show")</f>
        <v>show</v>
      </c>
    </row>
    <row r="8918" spans="1:6">
      <c r="A8918" t="s">
        <v>26475</v>
      </c>
      <c r="B8918" t="s">
        <v>26476</v>
      </c>
      <c r="C8918" t="s">
        <v>26477</v>
      </c>
      <c r="D8918" t="str">
        <f>HYPERLINK("https://github.com/Neamar/KISS/issues/1253","show")</f>
        <v>show</v>
      </c>
      <c r="E8918" t="str">
        <f>HYPERLINK("https://github.com/Neamar/KISS","show")</f>
        <v>show</v>
      </c>
      <c r="F8918" t="str">
        <f>HYPERLINK("https://github.com/Neamar/KISS/releases","show")</f>
        <v>show</v>
      </c>
    </row>
    <row r="8919" spans="1:6">
      <c r="A8919" t="s">
        <v>26478</v>
      </c>
      <c r="B8919" t="s">
        <v>26479</v>
      </c>
      <c r="C8919" t="s">
        <v>26480</v>
      </c>
      <c r="D8919" t="str">
        <f>HYPERLINK("https://github.com/MozillaReality/FirefoxReality/issues/1545","show")</f>
        <v>show</v>
      </c>
      <c r="E8919" t="str">
        <f>HYPERLINK("https://github.com/MozillaReality/FirefoxReality","show")</f>
        <v>show</v>
      </c>
      <c r="F8919" t="str">
        <f>HYPERLINK("https://github.com/MozillaReality/FirefoxReality/releases","show")</f>
        <v>show</v>
      </c>
    </row>
    <row r="8920" spans="1:6">
      <c r="A8920" t="s">
        <v>26481</v>
      </c>
      <c r="B8920" t="s">
        <v>26482</v>
      </c>
      <c r="C8920" t="s">
        <v>26483</v>
      </c>
      <c r="D8920" t="str">
        <f>HYPERLINK("https://github.com/zeroc-ice/ice-demos/issues/69","show")</f>
        <v>show</v>
      </c>
      <c r="E8920" t="str">
        <f>HYPERLINK("https://github.com/zeroc-ice/ice-demos","show")</f>
        <v>show</v>
      </c>
      <c r="F8920" t="str">
        <f>HYPERLINK("https://github.com/zeroc-ice/ice-demos/releases","show")</f>
        <v>show</v>
      </c>
    </row>
    <row r="8921" spans="1:6">
      <c r="A8921" t="s">
        <v>26484</v>
      </c>
      <c r="B8921" t="s">
        <v>26485</v>
      </c>
      <c r="C8921" t="s">
        <v>26486</v>
      </c>
      <c r="D8921" t="str">
        <f>HYPERLINK("https://github.com/twilio/video-quickstart-android/issues/430","show")</f>
        <v>show</v>
      </c>
      <c r="E8921" t="str">
        <f>HYPERLINK("https://github.com/twilio/video-quickstart-android","show")</f>
        <v>show</v>
      </c>
      <c r="F8921" t="str">
        <f>HYPERLINK("https://github.com/twilio/video-quickstart-android/releases","show")</f>
        <v>show</v>
      </c>
    </row>
    <row r="8922" spans="1:6">
      <c r="A8922" t="s">
        <v>26487</v>
      </c>
      <c r="B8922" t="s">
        <v>26488</v>
      </c>
      <c r="C8922" t="s">
        <v>26489</v>
      </c>
      <c r="D8922" t="str">
        <f>HYPERLINK("https://github.com/niccokunzmann/mundraub-android/issues/261","show")</f>
        <v>show</v>
      </c>
      <c r="E8922" t="str">
        <f>HYPERLINK("https://github.com/niccokunzmann/mundraub-android","show")</f>
        <v>show</v>
      </c>
      <c r="F8922" t="str">
        <f>HYPERLINK("https://github.com/niccokunzmann/mundraub-android/releases","show")</f>
        <v>show</v>
      </c>
    </row>
    <row r="8923" spans="1:6">
      <c r="A8923" t="s">
        <v>26490</v>
      </c>
      <c r="B8923" t="s">
        <v>26491</v>
      </c>
      <c r="C8923" t="s">
        <v>26492</v>
      </c>
      <c r="D8923" t="str">
        <f>HYPERLINK("https://github.com/niccokunzmann/mundraub-android/issues/260","show")</f>
        <v>show</v>
      </c>
      <c r="E8923" t="str">
        <f>HYPERLINK("https://github.com/niccokunzmann/mundraub-android","show")</f>
        <v>show</v>
      </c>
      <c r="F8923" t="str">
        <f>HYPERLINK("https://github.com/niccokunzmann/mundraub-android/releases","show")</f>
        <v>show</v>
      </c>
    </row>
    <row r="8924" spans="1:6">
      <c r="A8924" t="s">
        <v>26493</v>
      </c>
      <c r="B8924" t="s">
        <v>26494</v>
      </c>
      <c r="C8924" t="s">
        <v>26495</v>
      </c>
      <c r="D8924" t="str">
        <f>HYPERLINK("https://github.com/pazaan/600SeriesAndroidUploader/issues/254","show")</f>
        <v>show</v>
      </c>
      <c r="E8924" t="str">
        <f>HYPERLINK("https://github.com/pazaan/600SeriesAndroidUploader","show")</f>
        <v>show</v>
      </c>
      <c r="F8924" t="str">
        <f>HYPERLINK("https://github.com/pazaan/600SeriesAndroidUploader/releases","show")</f>
        <v>show</v>
      </c>
    </row>
    <row r="8925" spans="1:6">
      <c r="A8925" t="s">
        <v>26496</v>
      </c>
      <c r="B8925" t="s">
        <v>26497</v>
      </c>
      <c r="C8925" t="s">
        <v>26498</v>
      </c>
      <c r="D8925" t="str">
        <f>HYPERLINK("https://github.com/opentok/opentok-react-native/issues/324","show")</f>
        <v>show</v>
      </c>
      <c r="E8925" t="str">
        <f>HYPERLINK("https://github.com/opentok/opentok-react-native","show")</f>
        <v>show</v>
      </c>
      <c r="F8925" t="str">
        <f>HYPERLINK("https://github.com/opentok/opentok-react-native/releases","show")</f>
        <v>show</v>
      </c>
    </row>
    <row r="8926" spans="1:6">
      <c r="A8926" t="s">
        <v>26499</v>
      </c>
      <c r="B8926" t="s">
        <v>26500</v>
      </c>
      <c r="C8926" t="s">
        <v>26501</v>
      </c>
      <c r="D8926" t="str">
        <f>HYPERLINK("https://github.com/square/okhttp/issues/5331","show")</f>
        <v>show</v>
      </c>
      <c r="E8926" t="str">
        <f>HYPERLINK("https://github.com/square/okhttp","show")</f>
        <v>show</v>
      </c>
      <c r="F8926" t="str">
        <f>HYPERLINK("https://github.com/square/okhttp/releases","show")</f>
        <v>show</v>
      </c>
    </row>
    <row r="8927" spans="1:6">
      <c r="A8927" t="s">
        <v>26502</v>
      </c>
      <c r="B8927" t="s">
        <v>26503</v>
      </c>
      <c r="C8927" t="s">
        <v>26504</v>
      </c>
      <c r="D8927" t="str">
        <f>HYPERLINK("https://github.com/RoverPlatform/rover-android/issues/419","show")</f>
        <v>show</v>
      </c>
      <c r="E8927" t="str">
        <f>HYPERLINK("https://github.com/RoverPlatform/rover-android","show")</f>
        <v>show</v>
      </c>
      <c r="F8927" t="str">
        <f>HYPERLINK("https://github.com/RoverPlatform/rover-android/releases","show")</f>
        <v>show</v>
      </c>
    </row>
    <row r="8928" spans="1:6">
      <c r="A8928" t="s">
        <v>26505</v>
      </c>
      <c r="B8928" t="s">
        <v>26506</v>
      </c>
      <c r="C8928" t="s">
        <v>26507</v>
      </c>
      <c r="D8928" t="str">
        <f>HYPERLINK("https://github.com/niccokunzmann/mundraub-android/issues/255","show")</f>
        <v>show</v>
      </c>
      <c r="E8928" t="str">
        <f>HYPERLINK("https://github.com/niccokunzmann/mundraub-android","show")</f>
        <v>show</v>
      </c>
      <c r="F8928" t="str">
        <f>HYPERLINK("https://github.com/niccokunzmann/mundraub-android/releases","show")</f>
        <v>show</v>
      </c>
    </row>
    <row r="8929" spans="1:6">
      <c r="A8929" t="s">
        <v>26508</v>
      </c>
      <c r="B8929" t="s">
        <v>26509</v>
      </c>
      <c r="C8929" t="s">
        <v>26510</v>
      </c>
      <c r="D8929" t="str">
        <f>HYPERLINK("https://github.com/niccokunzmann/mundraub-android/issues/253","show")</f>
        <v>show</v>
      </c>
      <c r="E8929" t="str">
        <f>HYPERLINK("https://github.com/niccokunzmann/mundraub-android","show")</f>
        <v>show</v>
      </c>
      <c r="F8929" t="str">
        <f>HYPERLINK("https://github.com/niccokunzmann/mundraub-android/releases","show")</f>
        <v>show</v>
      </c>
    </row>
    <row r="8930" spans="1:6">
      <c r="A8930" t="s">
        <v>26511</v>
      </c>
      <c r="B8930" t="s">
        <v>26512</v>
      </c>
      <c r="C8930" t="s">
        <v>26513</v>
      </c>
      <c r="D8930" t="str">
        <f>HYPERLINK("https://github.com/niccokunzmann/mundraub-android/issues/250","show")</f>
        <v>show</v>
      </c>
      <c r="E8930" t="str">
        <f>HYPERLINK("https://github.com/niccokunzmann/mundraub-android","show")</f>
        <v>show</v>
      </c>
      <c r="F8930" t="str">
        <f>HYPERLINK("https://github.com/niccokunzmann/mundraub-android/releases","show")</f>
        <v>show</v>
      </c>
    </row>
    <row r="8931" spans="1:6">
      <c r="A8931" t="s">
        <v>26514</v>
      </c>
      <c r="B8931" t="s">
        <v>26515</v>
      </c>
      <c r="C8931" t="s">
        <v>26516</v>
      </c>
      <c r="D8931" t="str">
        <f>HYPERLINK("https://github.com/aws-amplify/aws-sdk-android/issues/1115","show")</f>
        <v>show</v>
      </c>
      <c r="E8931" t="str">
        <f>HYPERLINK("https://github.com/aws-amplify/aws-sdk-android","show")</f>
        <v>show</v>
      </c>
      <c r="F8931" t="str">
        <f>HYPERLINK("https://github.com/aws-amplify/aws-sdk-android/releases","show")</f>
        <v>show</v>
      </c>
    </row>
    <row r="8932" spans="1:6">
      <c r="A8932" t="s">
        <v>26517</v>
      </c>
      <c r="B8932" t="s">
        <v>26518</v>
      </c>
      <c r="C8932" t="s">
        <v>26519</v>
      </c>
      <c r="D8932" t="str">
        <f>HYPERLINK("https://github.com/MozillaReality/FirefoxReality/issues/1505","show")</f>
        <v>show</v>
      </c>
      <c r="E8932" t="str">
        <f>HYPERLINK("https://github.com/MozillaReality/FirefoxReality","show")</f>
        <v>show</v>
      </c>
      <c r="F8932" t="str">
        <f>HYPERLINK("https://github.com/MozillaReality/FirefoxReality/releases","show")</f>
        <v>show</v>
      </c>
    </row>
    <row r="8933" spans="1:6">
      <c r="A8933" t="s">
        <v>26520</v>
      </c>
      <c r="B8933" t="s">
        <v>26521</v>
      </c>
      <c r="C8933" t="s">
        <v>26522</v>
      </c>
      <c r="D8933" t="str">
        <f>HYPERLINK("https://github.com/TeamNewPipe/NewPipe/issues/2493","show")</f>
        <v>show</v>
      </c>
      <c r="E8933" t="str">
        <f>HYPERLINK("https://github.com/TeamNewPipe/NewPipe","show")</f>
        <v>show</v>
      </c>
      <c r="F8933" t="str">
        <f>HYPERLINK("https://github.com/TeamNewPipe/NewPipe/releases","show")</f>
        <v>show</v>
      </c>
    </row>
    <row r="8934" spans="1:6">
      <c r="A8934" t="s">
        <v>26523</v>
      </c>
      <c r="B8934" t="s">
        <v>26524</v>
      </c>
      <c r="C8934" t="s">
        <v>26525</v>
      </c>
      <c r="D8934" t="str">
        <f>HYPERLINK("https://github.com/MozillaReality/FirefoxReality/issues/1495","show")</f>
        <v>show</v>
      </c>
      <c r="E8934" t="str">
        <f>HYPERLINK("https://github.com/MozillaReality/FirefoxReality","show")</f>
        <v>show</v>
      </c>
      <c r="F8934" t="str">
        <f>HYPERLINK("https://github.com/MozillaReality/FirefoxReality/releases","show")</f>
        <v>show</v>
      </c>
    </row>
    <row r="8935" spans="1:6">
      <c r="A8935" t="s">
        <v>26526</v>
      </c>
      <c r="B8935" t="s">
        <v>26527</v>
      </c>
      <c r="C8935" t="s">
        <v>26528</v>
      </c>
      <c r="D8935" t="str">
        <f>HYPERLINK("https://github.com/fieldsight/fieldsight-mobile/issues/316","show")</f>
        <v>show</v>
      </c>
      <c r="E8935" t="str">
        <f>HYPERLINK("https://github.com/fieldsight/fieldsight-mobile","show")</f>
        <v>show</v>
      </c>
      <c r="F8935" t="str">
        <f>HYPERLINK("https://github.com/fieldsight/fieldsight-mobile/releases","show")</f>
        <v>show</v>
      </c>
    </row>
    <row r="8936" spans="1:6">
      <c r="A8936" t="s">
        <v>26529</v>
      </c>
      <c r="B8936" t="s">
        <v>26530</v>
      </c>
      <c r="C8936" t="s">
        <v>26531</v>
      </c>
      <c r="D8936" t="str">
        <f>HYPERLINK("https://github.com/fieldsight/fieldsight-mobile/issues/314","show")</f>
        <v>show</v>
      </c>
      <c r="E8936" t="str">
        <f>HYPERLINK("https://github.com/fieldsight/fieldsight-mobile","show")</f>
        <v>show</v>
      </c>
      <c r="F8936" t="str">
        <f>HYPERLINK("https://github.com/fieldsight/fieldsight-mobile/releases","show")</f>
        <v>show</v>
      </c>
    </row>
    <row r="8937" spans="1:6">
      <c r="A8937" t="s">
        <v>26532</v>
      </c>
      <c r="B8937" t="s">
        <v>26533</v>
      </c>
      <c r="C8937" t="s">
        <v>26534</v>
      </c>
      <c r="D8937" t="str">
        <f>HYPERLINK("https://github.com/forcedotcom/SalesforceMobileSDK-Android/issues/1958","show")</f>
        <v>show</v>
      </c>
      <c r="E8937" t="str">
        <f>HYPERLINK("https://github.com/forcedotcom/SalesforceMobileSDK-Android","show")</f>
        <v>show</v>
      </c>
      <c r="F8937" t="str">
        <f>HYPERLINK("https://github.com/forcedotcom/SalesforceMobileSDK-Android/releases","show")</f>
        <v>show</v>
      </c>
    </row>
    <row r="8938" spans="1:6">
      <c r="A8938" t="s">
        <v>26535</v>
      </c>
      <c r="B8938" t="s">
        <v>26536</v>
      </c>
      <c r="C8938" t="s">
        <v>26537</v>
      </c>
      <c r="D8938" t="str">
        <f>HYPERLINK("https://github.com/michael-rapp/AndroidMaterialDialog/issues/37","show")</f>
        <v>show</v>
      </c>
      <c r="E8938" t="str">
        <f>HYPERLINK("https://github.com/michael-rapp/AndroidMaterialDialog","show")</f>
        <v>show</v>
      </c>
      <c r="F8938" t="str">
        <f>HYPERLINK("https://github.com/michael-rapp/AndroidMaterialDialog/releases","show")</f>
        <v>show</v>
      </c>
    </row>
    <row r="8939" spans="1:6">
      <c r="A8939" t="s">
        <v>26538</v>
      </c>
      <c r="B8939" t="s">
        <v>26539</v>
      </c>
      <c r="C8939" t="s">
        <v>26540</v>
      </c>
      <c r="D8939" t="str">
        <f>HYPERLINK("https://github.com/getodk/collect/issues/3281","show")</f>
        <v>show</v>
      </c>
      <c r="E8939" t="str">
        <f>HYPERLINK("https://github.com/getodk/collect","show")</f>
        <v>show</v>
      </c>
      <c r="F8939" t="str">
        <f>HYPERLINK("https://github.com/getodk/collect/releases","show")</f>
        <v>show</v>
      </c>
    </row>
    <row r="8940" spans="1:6">
      <c r="A8940" t="s">
        <v>26541</v>
      </c>
      <c r="B8940" t="s">
        <v>26542</v>
      </c>
      <c r="C8940" t="s">
        <v>26543</v>
      </c>
      <c r="D8940" t="str">
        <f>HYPERLINK("https://github.com/MozillaReality/FirefoxReality/issues/1492","show")</f>
        <v>show</v>
      </c>
      <c r="E8940" t="str">
        <f>HYPERLINK("https://github.com/MozillaReality/FirefoxReality","show")</f>
        <v>show</v>
      </c>
      <c r="F8940" t="str">
        <f>HYPERLINK("https://github.com/MozillaReality/FirefoxReality/releases","show")</f>
        <v>show</v>
      </c>
    </row>
    <row r="8941" spans="1:6">
      <c r="A8941" t="s">
        <v>26544</v>
      </c>
      <c r="B8941" t="s">
        <v>26545</v>
      </c>
      <c r="C8941" t="s">
        <v>26546</v>
      </c>
      <c r="D8941" t="str">
        <f>HYPERLINK("https://github.com/aws-amplify/aws-sdk-android/issues/1109","show")</f>
        <v>show</v>
      </c>
      <c r="E8941" t="str">
        <f>HYPERLINK("https://github.com/aws-amplify/aws-sdk-android","show")</f>
        <v>show</v>
      </c>
      <c r="F8941" t="str">
        <f>HYPERLINK("https://github.com/aws-amplify/aws-sdk-android/releases","show")</f>
        <v>show</v>
      </c>
    </row>
    <row r="8942" spans="1:6">
      <c r="A8942" t="s">
        <v>26547</v>
      </c>
      <c r="B8942" t="s">
        <v>26548</v>
      </c>
      <c r="C8942" t="s">
        <v>26549</v>
      </c>
      <c r="D8942" t="str">
        <f>HYPERLINK("https://github.com/aws-amplify/aws-sdk-android/issues/1108","show")</f>
        <v>show</v>
      </c>
      <c r="E8942" t="str">
        <f>HYPERLINK("https://github.com/aws-amplify/aws-sdk-android","show")</f>
        <v>show</v>
      </c>
      <c r="F8942" t="str">
        <f>HYPERLINK("https://github.com/aws-amplify/aws-sdk-android/releases","show")</f>
        <v>show</v>
      </c>
    </row>
    <row r="8943" spans="1:6">
      <c r="A8943" t="s">
        <v>26550</v>
      </c>
      <c r="B8943" t="s">
        <v>26551</v>
      </c>
      <c r="C8943" t="s">
        <v>26552</v>
      </c>
      <c r="D8943" t="str">
        <f>HYPERLINK("https://github.com/TeamNewPipe/NewPipe/issues/2484","show")</f>
        <v>show</v>
      </c>
      <c r="E8943" t="str">
        <f>HYPERLINK("https://github.com/TeamNewPipe/NewPipe","show")</f>
        <v>show</v>
      </c>
      <c r="F8943" t="str">
        <f>HYPERLINK("https://github.com/TeamNewPipe/NewPipe/releases","show")</f>
        <v>show</v>
      </c>
    </row>
    <row r="8944" spans="1:6">
      <c r="A8944" t="s">
        <v>26553</v>
      </c>
      <c r="B8944" t="s">
        <v>26554</v>
      </c>
      <c r="C8944" t="s">
        <v>26555</v>
      </c>
      <c r="D8944" t="str">
        <f>HYPERLINK("https://github.com/opensrp/opensrp-client-chw-anc/issues/190","show")</f>
        <v>show</v>
      </c>
      <c r="E8944" t="str">
        <f>HYPERLINK("https://github.com/opensrp/opensrp-client-chw-anc","show")</f>
        <v>show</v>
      </c>
      <c r="F8944" t="str">
        <f>HYPERLINK("https://github.com/opensrp/opensrp-client-chw-anc/releases","show")</f>
        <v>show</v>
      </c>
    </row>
    <row r="8945" spans="1:6">
      <c r="A8945" t="s">
        <v>26556</v>
      </c>
      <c r="B8945" t="s">
        <v>26557</v>
      </c>
      <c r="C8945" t="s">
        <v>26558</v>
      </c>
      <c r="D8945" t="str">
        <f>HYPERLINK("https://github.com/awslabs/aws-mobile-appsync-sdk-android/issues/208","show")</f>
        <v>show</v>
      </c>
      <c r="E8945" t="str">
        <f>HYPERLINK("https://github.com/awslabs/aws-mobile-appsync-sdk-android","show")</f>
        <v>show</v>
      </c>
      <c r="F8945" t="str">
        <f>HYPERLINK("https://github.com/awslabs/aws-mobile-appsync-sdk-android/releases","show")</f>
        <v>show</v>
      </c>
    </row>
    <row r="8946" spans="1:6">
      <c r="A8946" t="s">
        <v>26559</v>
      </c>
      <c r="B8946" t="s">
        <v>26560</v>
      </c>
      <c r="C8946" t="s">
        <v>26561</v>
      </c>
      <c r="D8946" t="str">
        <f>HYPERLINK("https://github.com/mjaun/android-anuto/issues/165","show")</f>
        <v>show</v>
      </c>
      <c r="E8946" t="str">
        <f>HYPERLINK("https://github.com/mjaun/android-anuto","show")</f>
        <v>show</v>
      </c>
      <c r="F8946" t="str">
        <f>HYPERLINK("https://github.com/mjaun/android-anuto/releases","show")</f>
        <v>show</v>
      </c>
    </row>
    <row r="8947" spans="1:6">
      <c r="A8947" t="s">
        <v>26562</v>
      </c>
      <c r="B8947" t="s">
        <v>26563</v>
      </c>
      <c r="C8947" t="s">
        <v>26564</v>
      </c>
      <c r="D8947" t="str">
        <f>HYPERLINK("https://github.com/niccokunzmann/mundraub-android/issues/236","show")</f>
        <v>show</v>
      </c>
      <c r="E8947" t="str">
        <f>HYPERLINK("https://github.com/niccokunzmann/mundraub-android","show")</f>
        <v>show</v>
      </c>
      <c r="F8947" t="str">
        <f>HYPERLINK("https://github.com/niccokunzmann/mundraub-android/releases","show")</f>
        <v>show</v>
      </c>
    </row>
    <row r="8948" spans="1:6">
      <c r="A8948" t="s">
        <v>26565</v>
      </c>
      <c r="B8948" t="s">
        <v>26566</v>
      </c>
      <c r="C8948" t="s">
        <v>26567</v>
      </c>
      <c r="D8948" t="str">
        <f>HYPERLINK("https://github.com/fossasia/phimpme-android/issues/2845","show")</f>
        <v>show</v>
      </c>
      <c r="E8948" t="str">
        <f>HYPERLINK("https://github.com/fossasia/phimpme-android","show")</f>
        <v>show</v>
      </c>
      <c r="F8948" t="str">
        <f>HYPERLINK("https://github.com/fossasia/phimpme-android/releases","show")</f>
        <v>show</v>
      </c>
    </row>
    <row r="8949" spans="1:6">
      <c r="A8949" t="s">
        <v>26568</v>
      </c>
      <c r="B8949" t="s">
        <v>26569</v>
      </c>
      <c r="C8949" t="s">
        <v>26570</v>
      </c>
      <c r="D8949" t="str">
        <f>HYPERLINK("https://github.com/twilio/video-quickstart-android/issues/424","show")</f>
        <v>show</v>
      </c>
      <c r="E8949" t="str">
        <f>HYPERLINK("https://github.com/twilio/video-quickstart-android","show")</f>
        <v>show</v>
      </c>
      <c r="F8949" t="str">
        <f>HYPERLINK("https://github.com/twilio/video-quickstart-android/releases","show")</f>
        <v>show</v>
      </c>
    </row>
    <row r="8950" spans="1:6">
      <c r="A8950" t="s">
        <v>26571</v>
      </c>
      <c r="B8950" t="s">
        <v>26572</v>
      </c>
      <c r="C8950" t="s">
        <v>26573</v>
      </c>
      <c r="D8950" t="str">
        <f>HYPERLINK("https://github.com/gsantner/markor/issues/639","show")</f>
        <v>show</v>
      </c>
      <c r="E8950" t="str">
        <f>HYPERLINK("https://github.com/gsantner/markor","show")</f>
        <v>show</v>
      </c>
      <c r="F8950" t="str">
        <f>HYPERLINK("https://github.com/gsantner/markor/releases","show")</f>
        <v>show</v>
      </c>
    </row>
    <row r="8951" spans="1:6">
      <c r="A8951" t="s">
        <v>26574</v>
      </c>
      <c r="B8951" t="s">
        <v>26575</v>
      </c>
      <c r="C8951" t="s">
        <v>26576</v>
      </c>
      <c r="D8951" t="str">
        <f>HYPERLINK("https://github.com/WycliffeAssociates/translationRecorder/issues/1165","show")</f>
        <v>show</v>
      </c>
      <c r="E8951" t="str">
        <f>HYPERLINK("https://github.com/WycliffeAssociates/translationRecorder","show")</f>
        <v>show</v>
      </c>
      <c r="F8951" t="str">
        <f>HYPERLINK("https://github.com/WycliffeAssociates/translationRecorder/releases","show")</f>
        <v>show</v>
      </c>
    </row>
    <row r="8952" spans="1:6">
      <c r="A8952" t="s">
        <v>26577</v>
      </c>
      <c r="B8952" t="s">
        <v>26578</v>
      </c>
      <c r="C8952" t="s">
        <v>26579</v>
      </c>
      <c r="D8952" t="str">
        <f>HYPERLINK("https://github.com/Tencent/Shadow/issues/76","show")</f>
        <v>show</v>
      </c>
      <c r="E8952" t="str">
        <f>HYPERLINK("https://github.com/Tencent/Shadow","show")</f>
        <v>show</v>
      </c>
      <c r="F8952" t="str">
        <f>HYPERLINK("https://github.com/Tencent/Shadow/releases","show")</f>
        <v>show</v>
      </c>
    </row>
    <row r="8953" spans="1:6">
      <c r="A8953" t="s">
        <v>26580</v>
      </c>
      <c r="B8953" t="s">
        <v>26581</v>
      </c>
      <c r="C8953" t="s">
        <v>26582</v>
      </c>
      <c r="D8953" t="str">
        <f>HYPERLINK("https://github.com/ttdyce/NHentai-NHViewer/issues/8","show")</f>
        <v>show</v>
      </c>
      <c r="E8953" t="str">
        <f>HYPERLINK("https://github.com/ttdyce/NHentai-NHViewer","show")</f>
        <v>show</v>
      </c>
      <c r="F8953" t="str">
        <f>HYPERLINK("https://github.com/ttdyce/NHentai-NHViewer/releases","show")</f>
        <v>show</v>
      </c>
    </row>
    <row r="8954" spans="1:6">
      <c r="A8954" t="s">
        <v>26583</v>
      </c>
      <c r="B8954" t="s">
        <v>26584</v>
      </c>
      <c r="C8954" t="s">
        <v>26585</v>
      </c>
      <c r="D8954" t="str">
        <f>HYPERLINK("https://github.com/cgeo/cgeo/issues/7752","show")</f>
        <v>show</v>
      </c>
      <c r="E8954" t="str">
        <f>HYPERLINK("https://github.com/cgeo/cgeo","show")</f>
        <v>show</v>
      </c>
      <c r="F8954" t="str">
        <f>HYPERLINK("https://github.com/cgeo/cgeo/releases","show")</f>
        <v>show</v>
      </c>
    </row>
    <row r="8955" spans="1:6">
      <c r="A8955" t="s">
        <v>26586</v>
      </c>
      <c r="B8955" t="s">
        <v>26587</v>
      </c>
      <c r="C8955" t="s">
        <v>26588</v>
      </c>
      <c r="D8955" t="str">
        <f>HYPERLINK("https://github.com/ttdyce/NHentai-NHViewer/issues/7","show")</f>
        <v>show</v>
      </c>
      <c r="E8955" t="str">
        <f>HYPERLINK("https://github.com/ttdyce/NHentai-NHViewer","show")</f>
        <v>show</v>
      </c>
      <c r="F8955" t="str">
        <f>HYPERLINK("https://github.com/ttdyce/NHentai-NHViewer/releases","show")</f>
        <v>show</v>
      </c>
    </row>
    <row r="8956" spans="1:6">
      <c r="A8956" t="s">
        <v>26589</v>
      </c>
      <c r="B8956" t="s">
        <v>26590</v>
      </c>
      <c r="C8956" t="s">
        <v>26591</v>
      </c>
      <c r="D8956" t="str">
        <f>HYPERLINK("https://github.com/ejsfbu/penny/issues/85","show")</f>
        <v>show</v>
      </c>
      <c r="E8956" t="str">
        <f>HYPERLINK("https://github.com/ejsfbu/penny","show")</f>
        <v>show</v>
      </c>
      <c r="F8956" t="str">
        <f>HYPERLINK("https://github.com/ejsfbu/penny/releases","show")</f>
        <v>show</v>
      </c>
    </row>
    <row r="8957" spans="1:6">
      <c r="A8957" t="s">
        <v>26592</v>
      </c>
      <c r="B8957" t="s">
        <v>26593</v>
      </c>
      <c r="C8957" t="s">
        <v>26594</v>
      </c>
      <c r="D8957" t="str">
        <f>HYPERLINK("https://github.com/aws-amplify/aws-sdk-android/issues/1092","show")</f>
        <v>show</v>
      </c>
      <c r="E8957" t="str">
        <f>HYPERLINK("https://github.com/aws-amplify/aws-sdk-android","show")</f>
        <v>show</v>
      </c>
      <c r="F8957" t="str">
        <f>HYPERLINK("https://github.com/aws-amplify/aws-sdk-android/releases","show")</f>
        <v>show</v>
      </c>
    </row>
    <row r="8958" spans="1:6">
      <c r="A8958" t="s">
        <v>26595</v>
      </c>
      <c r="B8958" t="s">
        <v>26596</v>
      </c>
      <c r="C8958" t="s">
        <v>26597</v>
      </c>
      <c r="D8958" t="str">
        <f>HYPERLINK("https://github.com/ThexXTURBOXx/studip-app-uni-passau/issues/21","show")</f>
        <v>show</v>
      </c>
      <c r="E8958" t="str">
        <f>HYPERLINK("https://github.com/ThexXTURBOXx/studip-app-uni-passau","show")</f>
        <v>show</v>
      </c>
      <c r="F8958" t="str">
        <f>HYPERLINK("https://github.com/ThexXTURBOXx/studip-app-uni-passau/releases","show")</f>
        <v>show</v>
      </c>
    </row>
    <row r="8959" spans="1:6">
      <c r="A8959" t="s">
        <v>26598</v>
      </c>
      <c r="B8959" t="s">
        <v>26599</v>
      </c>
      <c r="C8959" t="s">
        <v>26600</v>
      </c>
      <c r="D8959" t="str">
        <f>HYPERLINK("https://github.com/itachi1706/SingBuses/issues/178","show")</f>
        <v>show</v>
      </c>
      <c r="E8959" t="str">
        <f>HYPERLINK("https://github.com/itachi1706/SingBuses","show")</f>
        <v>show</v>
      </c>
      <c r="F8959" t="str">
        <f>HYPERLINK("https://github.com/itachi1706/SingBuses/releases","show")</f>
        <v>show</v>
      </c>
    </row>
    <row r="8960" spans="1:6">
      <c r="A8960" t="s">
        <v>26601</v>
      </c>
      <c r="B8960" t="s">
        <v>26602</v>
      </c>
      <c r="C8960" t="s">
        <v>26603</v>
      </c>
      <c r="D8960" t="str">
        <f>HYPERLINK("https://github.com/miguelpruivo/flutter_file_picker/issues/115","show")</f>
        <v>show</v>
      </c>
      <c r="E8960" t="str">
        <f>HYPERLINK("https://github.com/miguelpruivo/flutter_file_picker","show")</f>
        <v>show</v>
      </c>
      <c r="F8960" t="str">
        <f>HYPERLINK("https://github.com/miguelpruivo/flutter_file_picker/releases","show")</f>
        <v>show</v>
      </c>
    </row>
    <row r="8961" spans="1:6">
      <c r="A8961" t="s">
        <v>26604</v>
      </c>
      <c r="B8961" t="s">
        <v>26605</v>
      </c>
      <c r="C8961" t="s">
        <v>26606</v>
      </c>
      <c r="D8961" t="str">
        <f>HYPERLINK("https://github.com/MozillaReality/FirefoxReality/issues/1459","show")</f>
        <v>show</v>
      </c>
      <c r="E8961" t="str">
        <f>HYPERLINK("https://github.com/MozillaReality/FirefoxReality","show")</f>
        <v>show</v>
      </c>
      <c r="F8961" t="str">
        <f>HYPERLINK("https://github.com/MozillaReality/FirefoxReality/releases","show")</f>
        <v>show</v>
      </c>
    </row>
    <row r="8962" spans="1:6">
      <c r="A8962" t="s">
        <v>26607</v>
      </c>
      <c r="B8962" t="s">
        <v>26608</v>
      </c>
      <c r="C8962" t="s">
        <v>26609</v>
      </c>
      <c r="D8962" t="str">
        <f>HYPERLINK("https://github.com/avluis/Hentoid/issues/342","show")</f>
        <v>show</v>
      </c>
      <c r="E8962" t="str">
        <f>HYPERLINK("https://github.com/avluis/Hentoid","show")</f>
        <v>show</v>
      </c>
      <c r="F8962" t="str">
        <f>HYPERLINK("https://github.com/avluis/Hentoid/releases","show")</f>
        <v>show</v>
      </c>
    </row>
    <row r="8963" spans="1:6">
      <c r="A8963" t="s">
        <v>26610</v>
      </c>
      <c r="B8963" t="s">
        <v>26611</v>
      </c>
      <c r="C8963" t="s">
        <v>26612</v>
      </c>
      <c r="D8963" t="str">
        <f>HYPERLINK("https://github.com/ankidroid/Anki-Android/issues/5393","show")</f>
        <v>show</v>
      </c>
      <c r="E8963" t="str">
        <f>HYPERLINK("https://github.com/ankidroid/Anki-Android","show")</f>
        <v>show</v>
      </c>
      <c r="F8963" t="str">
        <f>HYPERLINK("https://github.com/ankidroid/Anki-Android/releases","show")</f>
        <v>show</v>
      </c>
    </row>
    <row r="8964" spans="1:6">
      <c r="A8964" t="s">
        <v>26613</v>
      </c>
      <c r="B8964" t="s">
        <v>26614</v>
      </c>
      <c r="C8964" t="s">
        <v>26615</v>
      </c>
      <c r="D8964" t="str">
        <f>HYPERLINK("https://github.com/square/okhttp/issues/5303","show")</f>
        <v>show</v>
      </c>
      <c r="E8964" t="str">
        <f>HYPERLINK("https://github.com/square/okhttp","show")</f>
        <v>show</v>
      </c>
      <c r="F8964" t="str">
        <f>HYPERLINK("https://github.com/square/okhttp/releases","show")</f>
        <v>show</v>
      </c>
    </row>
    <row r="8965" spans="1:6">
      <c r="A8965" t="s">
        <v>26616</v>
      </c>
      <c r="B8965" t="s">
        <v>26617</v>
      </c>
      <c r="C8965" t="s">
        <v>26618</v>
      </c>
      <c r="D8965" t="str">
        <f>HYPERLINK("https://github.com/tynmarket/Serenade/issues/27","show")</f>
        <v>show</v>
      </c>
      <c r="E8965" t="str">
        <f>HYPERLINK("https://github.com/tynmarket/Serenade","show")</f>
        <v>show</v>
      </c>
      <c r="F8965" t="str">
        <f>HYPERLINK("https://github.com/tynmarket/Serenade/releases","show")</f>
        <v>show</v>
      </c>
    </row>
    <row r="8966" spans="1:6">
      <c r="A8966" t="s">
        <v>26619</v>
      </c>
      <c r="B8966" t="s">
        <v>26620</v>
      </c>
      <c r="C8966" t="s">
        <v>26621</v>
      </c>
      <c r="D8966" t="str">
        <f>HYPERLINK("https://github.com/b3dgs/warcraft-remake/issues/31","show")</f>
        <v>show</v>
      </c>
      <c r="E8966" t="str">
        <f>HYPERLINK("https://github.com/b3dgs/warcraft-remake","show")</f>
        <v>show</v>
      </c>
      <c r="F8966" t="str">
        <f>HYPERLINK("https://github.com/b3dgs/warcraft-remake/releases","show")</f>
        <v>show</v>
      </c>
    </row>
    <row r="8967" spans="1:6">
      <c r="A8967" t="s">
        <v>26622</v>
      </c>
      <c r="B8967" t="s">
        <v>26623</v>
      </c>
      <c r="C8967" t="s">
        <v>26624</v>
      </c>
      <c r="D8967" t="str">
        <f>HYPERLINK("https://github.com/dimagi/commcare-android/issues/2127","show")</f>
        <v>show</v>
      </c>
      <c r="E8967" t="str">
        <f>HYPERLINK("https://github.com/dimagi/commcare-android","show")</f>
        <v>show</v>
      </c>
      <c r="F8967" t="str">
        <f>HYPERLINK("https://github.com/dimagi/commcare-android/releases","show")</f>
        <v>show</v>
      </c>
    </row>
    <row r="8968" spans="1:6">
      <c r="A8968" t="s">
        <v>26625</v>
      </c>
      <c r="B8968" t="s">
        <v>26626</v>
      </c>
      <c r="C8968" t="s">
        <v>26627</v>
      </c>
      <c r="D8968" t="str">
        <f>HYPERLINK("https://github.com/DigitalCampus/oppia-mobile-android/issues/854","show")</f>
        <v>show</v>
      </c>
      <c r="E8968" t="str">
        <f>HYPERLINK("https://github.com/DigitalCampus/oppia-mobile-android","show")</f>
        <v>show</v>
      </c>
      <c r="F8968" t="str">
        <f>HYPERLINK("https://github.com/DigitalCampus/oppia-mobile-android/releases","show")</f>
        <v>show</v>
      </c>
    </row>
    <row r="8969" spans="1:6">
      <c r="A8969" t="s">
        <v>26628</v>
      </c>
      <c r="B8969" t="s">
        <v>26629</v>
      </c>
      <c r="C8969" t="s">
        <v>26630</v>
      </c>
      <c r="D8969" t="str">
        <f>HYPERLINK("https://github.com/opentok/opentok-react-native/issues/315","show")</f>
        <v>show</v>
      </c>
      <c r="E8969" t="str">
        <f>HYPERLINK("https://github.com/opentok/opentok-react-native","show")</f>
        <v>show</v>
      </c>
      <c r="F8969" t="str">
        <f>HYPERLINK("https://github.com/opentok/opentok-react-native/releases","show")</f>
        <v>show</v>
      </c>
    </row>
    <row r="8970" spans="1:6">
      <c r="A8970" t="s">
        <v>26631</v>
      </c>
      <c r="B8970" t="s">
        <v>26632</v>
      </c>
      <c r="C8970" t="s">
        <v>26633</v>
      </c>
      <c r="D8970" t="str">
        <f>HYPERLINK("https://github.com/k9mail/k-9/issues/4121","show")</f>
        <v>show</v>
      </c>
      <c r="E8970" t="str">
        <f>HYPERLINK("https://github.com/k9mail/k-9","show")</f>
        <v>show</v>
      </c>
      <c r="F8970" t="str">
        <f>HYPERLINK("https://github.com/k9mail/k-9/releases","show")</f>
        <v>show</v>
      </c>
    </row>
    <row r="8971" spans="1:6">
      <c r="A8971" t="s">
        <v>26634</v>
      </c>
      <c r="B8971" t="s">
        <v>26635</v>
      </c>
      <c r="C8971" t="s">
        <v>26636</v>
      </c>
      <c r="D8971" t="str">
        <f>HYPERLINK("https://github.com/MozillaReality/FirefoxReality/issues/1446","show")</f>
        <v>show</v>
      </c>
      <c r="E8971" t="str">
        <f>HYPERLINK("https://github.com/MozillaReality/FirefoxReality","show")</f>
        <v>show</v>
      </c>
      <c r="F8971" t="str">
        <f>HYPERLINK("https://github.com/MozillaReality/FirefoxReality/releases","show")</f>
        <v>show</v>
      </c>
    </row>
    <row r="8972" spans="1:6">
      <c r="A8972" t="s">
        <v>26637</v>
      </c>
      <c r="B8972" t="s">
        <v>26638</v>
      </c>
      <c r="C8972" t="s">
        <v>26639</v>
      </c>
      <c r="D8972" t="str">
        <f>HYPERLINK("https://github.com/material-components/material-components-android/issues/460","show")</f>
        <v>show</v>
      </c>
      <c r="E8972" t="str">
        <f>HYPERLINK("https://github.com/material-components/material-components-android","show")</f>
        <v>show</v>
      </c>
      <c r="F8972" t="str">
        <f>HYPERLINK("https://github.com/material-components/material-components-android/releases","show")</f>
        <v>show</v>
      </c>
    </row>
    <row r="8973" spans="1:6">
      <c r="A8973" t="s">
        <v>26640</v>
      </c>
      <c r="B8973" t="s">
        <v>26641</v>
      </c>
      <c r="C8973" t="s">
        <v>26642</v>
      </c>
      <c r="D8973" t="str">
        <f>HYPERLINK("https://github.com/GrapheneOS/PdfViewer/issues/42","show")</f>
        <v>show</v>
      </c>
      <c r="E8973" t="str">
        <f>HYPERLINK("https://github.com/GrapheneOS/PdfViewer","show")</f>
        <v>show</v>
      </c>
      <c r="F8973" t="str">
        <f>HYPERLINK("https://github.com/GrapheneOS/PdfViewer/releases","show")</f>
        <v>show</v>
      </c>
    </row>
    <row r="8974" spans="1:6">
      <c r="A8974" t="s">
        <v>26643</v>
      </c>
      <c r="B8974" t="s">
        <v>26644</v>
      </c>
      <c r="C8974" t="s">
        <v>26645</v>
      </c>
      <c r="D8974" t="str">
        <f>HYPERLINK("https://github.com/skynet-im/skynet-android/issues/4","show")</f>
        <v>show</v>
      </c>
      <c r="E8974" t="str">
        <f>HYPERLINK("https://github.com/skynet-im/skynet-android","show")</f>
        <v>show</v>
      </c>
      <c r="F8974" t="str">
        <f>HYPERLINK("https://github.com/skynet-im/skynet-android/releases","show")</f>
        <v>show</v>
      </c>
    </row>
    <row r="8975" spans="1:6">
      <c r="A8975" t="s">
        <v>26646</v>
      </c>
      <c r="B8975" t="s">
        <v>26647</v>
      </c>
      <c r="C8975" t="s">
        <v>26648</v>
      </c>
      <c r="D8975" t="str">
        <f>HYPERLINK("https://github.com/material-components/material-components-android/issues/455","show")</f>
        <v>show</v>
      </c>
      <c r="E8975" t="str">
        <f>HYPERLINK("https://github.com/material-components/material-components-android","show")</f>
        <v>show</v>
      </c>
      <c r="F8975" t="str">
        <f>HYPERLINK("https://github.com/material-components/material-components-android/releases","show")</f>
        <v>show</v>
      </c>
    </row>
    <row r="8976" spans="1:6">
      <c r="A8976" t="s">
        <v>26649</v>
      </c>
      <c r="B8976" t="s">
        <v>26650</v>
      </c>
      <c r="C8976" t="s">
        <v>26651</v>
      </c>
      <c r="D8976" t="str">
        <f>HYPERLINK("https://github.com/ElderDrivers/EdXposed/issues/329","show")</f>
        <v>show</v>
      </c>
      <c r="E8976" t="str">
        <f>HYPERLINK("https://github.com/ElderDrivers/EdXposed","show")</f>
        <v>show</v>
      </c>
      <c r="F8976" t="str">
        <f>HYPERLINK("https://github.com/ElderDrivers/EdXposed/releases","show")</f>
        <v>show</v>
      </c>
    </row>
    <row r="8977" spans="1:6">
      <c r="A8977" t="s">
        <v>26652</v>
      </c>
      <c r="B8977" t="s">
        <v>26653</v>
      </c>
      <c r="C8977" t="s">
        <v>26654</v>
      </c>
      <c r="D8977" t="str">
        <f>HYPERLINK("https://github.com/MozillaReality/FirefoxReality/issues/1435","show")</f>
        <v>show</v>
      </c>
      <c r="E8977" t="str">
        <f>HYPERLINK("https://github.com/MozillaReality/FirefoxReality","show")</f>
        <v>show</v>
      </c>
      <c r="F8977" t="str">
        <f>HYPERLINK("https://github.com/MozillaReality/FirefoxReality/releases","show")</f>
        <v>show</v>
      </c>
    </row>
    <row r="8978" spans="1:6">
      <c r="A8978" t="s">
        <v>26655</v>
      </c>
      <c r="B8978" t="s">
        <v>26656</v>
      </c>
      <c r="C8978" t="s">
        <v>26657</v>
      </c>
      <c r="D8978" t="str">
        <f>HYPERLINK("https://github.com/b3dgs/warcraft-remake/issues/21","show")</f>
        <v>show</v>
      </c>
      <c r="E8978" t="str">
        <f>HYPERLINK("https://github.com/b3dgs/warcraft-remake","show")</f>
        <v>show</v>
      </c>
      <c r="F8978" t="str">
        <f>HYPERLINK("https://github.com/b3dgs/warcraft-remake/releases","show")</f>
        <v>show</v>
      </c>
    </row>
    <row r="8979" spans="1:6">
      <c r="A8979" t="s">
        <v>26658</v>
      </c>
      <c r="B8979" t="s">
        <v>26659</v>
      </c>
      <c r="C8979" t="s">
        <v>26660</v>
      </c>
      <c r="D8979" t="str">
        <f>HYPERLINK("https://github.com/ttdyce/NHentai-NHViewer/issues/3","show")</f>
        <v>show</v>
      </c>
      <c r="E8979" t="str">
        <f>HYPERLINK("https://github.com/ttdyce/NHentai-NHViewer","show")</f>
        <v>show</v>
      </c>
      <c r="F8979" t="str">
        <f>HYPERLINK("https://github.com/ttdyce/NHentai-NHViewer/releases","show")</f>
        <v>show</v>
      </c>
    </row>
    <row r="8980" spans="1:6">
      <c r="A8980" t="s">
        <v>26661</v>
      </c>
      <c r="B8980" t="s">
        <v>26662</v>
      </c>
      <c r="C8980" t="s">
        <v>26663</v>
      </c>
      <c r="D8980" t="str">
        <f>HYPERLINK("https://github.com/fossasia/open-event-organizer-android/issues/1821","show")</f>
        <v>show</v>
      </c>
      <c r="E8980" t="str">
        <f>HYPERLINK("https://github.com/fossasia/open-event-organizer-android","show")</f>
        <v>show</v>
      </c>
      <c r="F8980" t="str">
        <f>HYPERLINK("https://github.com/fossasia/open-event-organizer-android/releases","show")</f>
        <v>show</v>
      </c>
    </row>
    <row r="8981" spans="1:6">
      <c r="A8981" t="s">
        <v>26664</v>
      </c>
      <c r="B8981" t="s">
        <v>26665</v>
      </c>
      <c r="C8981" t="s">
        <v>26666</v>
      </c>
      <c r="D8981" t="str">
        <f>HYPERLINK("https://github.com/Tencent/tinker/issues/1166","show")</f>
        <v>show</v>
      </c>
      <c r="E8981" t="str">
        <f>HYPERLINK("https://github.com/Tencent/tinker","show")</f>
        <v>show</v>
      </c>
      <c r="F8981" t="str">
        <f>HYPERLINK("https://github.com/Tencent/tinker/releases","show")</f>
        <v>show</v>
      </c>
    </row>
    <row r="8982" spans="1:6">
      <c r="A8982" t="s">
        <v>26667</v>
      </c>
      <c r="B8982" t="s">
        <v>26668</v>
      </c>
      <c r="C8982" t="s">
        <v>26669</v>
      </c>
      <c r="D8982" t="str">
        <f>HYPERLINK("https://github.com/material-components/material-components-android/issues/452","show")</f>
        <v>show</v>
      </c>
      <c r="E8982" t="str">
        <f>HYPERLINK("https://github.com/material-components/material-components-android","show")</f>
        <v>show</v>
      </c>
      <c r="F8982" t="str">
        <f>HYPERLINK("https://github.com/material-components/material-components-android/releases","show")</f>
        <v>show</v>
      </c>
    </row>
    <row r="8983" spans="1:6">
      <c r="A8983" t="s">
        <v>26670</v>
      </c>
      <c r="B8983" t="s">
        <v>26671</v>
      </c>
      <c r="C8983" t="s">
        <v>26672</v>
      </c>
      <c r="D8983" t="str">
        <f>HYPERLINK("https://github.com/osmdroid/osmdroid/issues/1373","show")</f>
        <v>show</v>
      </c>
      <c r="E8983" t="str">
        <f>HYPERLINK("https://github.com/osmdroid/osmdroid","show")</f>
        <v>show</v>
      </c>
      <c r="F8983" t="str">
        <f>HYPERLINK("https://github.com/osmdroid/osmdroid/releases","show")</f>
        <v>show</v>
      </c>
    </row>
    <row r="8984" spans="1:6">
      <c r="A8984" t="s">
        <v>26673</v>
      </c>
      <c r="B8984" t="s">
        <v>26674</v>
      </c>
      <c r="C8984" t="s">
        <v>26675</v>
      </c>
      <c r="D8984" t="str">
        <f>HYPERLINK("https://github.com/fossasia/neurolab-android/issues/366","show")</f>
        <v>show</v>
      </c>
      <c r="E8984" t="str">
        <f>HYPERLINK("https://github.com/fossasia/neurolab-android","show")</f>
        <v>show</v>
      </c>
      <c r="F8984" t="str">
        <f>HYPERLINK("https://github.com/fossasia/neurolab-android/releases","show")</f>
        <v>show</v>
      </c>
    </row>
    <row r="8985" spans="1:6">
      <c r="A8985" t="s">
        <v>26676</v>
      </c>
      <c r="B8985" t="s">
        <v>26677</v>
      </c>
      <c r="C8985" t="s">
        <v>26678</v>
      </c>
      <c r="D8985" t="str">
        <f>HYPERLINK("https://github.com/LawnchairLauncher/lawnchair/issues/1659","show")</f>
        <v>show</v>
      </c>
      <c r="E8985" t="str">
        <f>HYPERLINK("https://github.com/LawnchairLauncher/lawnchair","show")</f>
        <v>show</v>
      </c>
      <c r="F8985" t="str">
        <f>HYPERLINK("https://github.com/LawnchairLauncher/lawnchair/releases","show")</f>
        <v>show</v>
      </c>
    </row>
    <row r="8986" spans="1:6">
      <c r="A8986" t="s">
        <v>26679</v>
      </c>
      <c r="B8986" t="s">
        <v>26680</v>
      </c>
      <c r="C8986" t="s">
        <v>26681</v>
      </c>
      <c r="D8986" t="str">
        <f>HYPERLINK("https://github.com/awslabs/aws-mobile-appsync-sdk-android/issues/202","show")</f>
        <v>show</v>
      </c>
      <c r="E8986" t="str">
        <f>HYPERLINK("https://github.com/awslabs/aws-mobile-appsync-sdk-android","show")</f>
        <v>show</v>
      </c>
      <c r="F8986" t="str">
        <f>HYPERLINK("https://github.com/awslabs/aws-mobile-appsync-sdk-android/releases","show")</f>
        <v>show</v>
      </c>
    </row>
    <row r="8987" spans="1:6">
      <c r="A8987" t="s">
        <v>26682</v>
      </c>
      <c r="B8987" t="s">
        <v>26683</v>
      </c>
      <c r="C8987" t="s">
        <v>26684</v>
      </c>
      <c r="D8987" t="str">
        <f>HYPERLINK("https://github.com/LawnchairLauncher/lawnchair/issues/1658","show")</f>
        <v>show</v>
      </c>
      <c r="E8987" t="str">
        <f>HYPERLINK("https://github.com/LawnchairLauncher/lawnchair","show")</f>
        <v>show</v>
      </c>
      <c r="F8987" t="str">
        <f>HYPERLINK("https://github.com/LawnchairLauncher/lawnchair/releases","show")</f>
        <v>show</v>
      </c>
    </row>
    <row r="8988" spans="1:6">
      <c r="A8988" t="s">
        <v>26685</v>
      </c>
      <c r="B8988" t="s">
        <v>26686</v>
      </c>
      <c r="C8988" t="s">
        <v>26687</v>
      </c>
      <c r="D8988" t="str">
        <f>HYPERLINK("https://github.com/stefan-niedermann/nextcloud-notes/issues/564","show")</f>
        <v>show</v>
      </c>
      <c r="E8988" t="str">
        <f>HYPERLINK("https://github.com/stefan-niedermann/nextcloud-notes","show")</f>
        <v>show</v>
      </c>
      <c r="F8988" t="str">
        <f>HYPERLINK("https://github.com/stefan-niedermann/nextcloud-notes/releases","show")</f>
        <v>show</v>
      </c>
    </row>
    <row r="8989" spans="1:6">
      <c r="A8989" t="s">
        <v>26688</v>
      </c>
      <c r="B8989" t="s">
        <v>26689</v>
      </c>
      <c r="C8989" t="s">
        <v>26690</v>
      </c>
      <c r="D8989" t="str">
        <f>HYPERLINK("https://github.com/miguelpruivo/flutter_file_picker/issues/107","show")</f>
        <v>show</v>
      </c>
      <c r="E8989" t="str">
        <f>HYPERLINK("https://github.com/miguelpruivo/flutter_file_picker","show")</f>
        <v>show</v>
      </c>
      <c r="F8989" t="str">
        <f>HYPERLINK("https://github.com/miguelpruivo/flutter_file_picker/releases","show")</f>
        <v>show</v>
      </c>
    </row>
    <row r="8990" spans="1:6">
      <c r="A8990" t="s">
        <v>26691</v>
      </c>
      <c r="B8990" t="s">
        <v>26692</v>
      </c>
      <c r="C8990" t="s">
        <v>26693</v>
      </c>
      <c r="D8990" t="str">
        <f>HYPERLINK("https://github.com/nextcloud/android/issues/4229","show")</f>
        <v>show</v>
      </c>
      <c r="E8990" t="str">
        <f>HYPERLINK("https://github.com/nextcloud/android","show")</f>
        <v>show</v>
      </c>
      <c r="F8990" t="str">
        <f>HYPERLINK("https://github.com/nextcloud/android/releases","show")</f>
        <v>show</v>
      </c>
    </row>
    <row r="8991" spans="1:6">
      <c r="A8991" t="s">
        <v>26694</v>
      </c>
      <c r="B8991" t="s">
        <v>26695</v>
      </c>
      <c r="C8991" t="s">
        <v>26696</v>
      </c>
      <c r="D8991" t="str">
        <f>HYPERLINK("https://github.com/fossasia/pslab-android/issues/1872","show")</f>
        <v>show</v>
      </c>
      <c r="E8991" t="str">
        <f>HYPERLINK("https://github.com/fossasia/pslab-android","show")</f>
        <v>show</v>
      </c>
      <c r="F8991" t="str">
        <f>HYPERLINK("https://github.com/fossasia/pslab-android/releases","show")</f>
        <v>show</v>
      </c>
    </row>
    <row r="8992" spans="1:6">
      <c r="A8992" t="s">
        <v>26697</v>
      </c>
      <c r="B8992" t="s">
        <v>26698</v>
      </c>
      <c r="C8992" t="s">
        <v>26699</v>
      </c>
      <c r="D8992" t="str">
        <f>HYPERLINK("https://github.com/nextcloud/android/issues/4227","show")</f>
        <v>show</v>
      </c>
      <c r="E8992" t="str">
        <f>HYPERLINK("https://github.com/nextcloud/android","show")</f>
        <v>show</v>
      </c>
      <c r="F8992" t="str">
        <f>HYPERLINK("https://github.com/nextcloud/android/releases","show")</f>
        <v>show</v>
      </c>
    </row>
    <row r="8993" spans="1:6">
      <c r="A8993" t="s">
        <v>26700</v>
      </c>
      <c r="B8993" t="s">
        <v>26701</v>
      </c>
      <c r="C8993" t="s">
        <v>26702</v>
      </c>
      <c r="D8993" t="str">
        <f>HYPERLINK("https://github.com/fennifith/Alarmio/issues/61","show")</f>
        <v>show</v>
      </c>
      <c r="E8993" t="str">
        <f>HYPERLINK("https://github.com/fennifith/Alarmio","show")</f>
        <v>show</v>
      </c>
      <c r="F8993" t="str">
        <f>HYPERLINK("https://github.com/fennifith/Alarmio/releases","show")</f>
        <v>show</v>
      </c>
    </row>
    <row r="8994" spans="1:6">
      <c r="A8994" t="s">
        <v>26703</v>
      </c>
      <c r="B8994" t="s">
        <v>26704</v>
      </c>
      <c r="C8994" t="s">
        <v>26705</v>
      </c>
      <c r="D8994" t="str">
        <f>HYPERLINK("https://github.com/MozillaReality/FirefoxReality/issues/1392","show")</f>
        <v>show</v>
      </c>
      <c r="E8994" t="str">
        <f>HYPERLINK("https://github.com/MozillaReality/FirefoxReality","show")</f>
        <v>show</v>
      </c>
      <c r="F8994" t="str">
        <f>HYPERLINK("https://github.com/MozillaReality/FirefoxReality/releases","show")</f>
        <v>show</v>
      </c>
    </row>
    <row r="8995" spans="1:6">
      <c r="A8995" t="s">
        <v>26706</v>
      </c>
      <c r="B8995" t="s">
        <v>26707</v>
      </c>
      <c r="C8995" t="s">
        <v>26708</v>
      </c>
      <c r="D8995" t="str">
        <f>HYPERLINK("https://github.com/square/okhttp/issues/5286","show")</f>
        <v>show</v>
      </c>
      <c r="E8995" t="str">
        <f>HYPERLINK("https://github.com/square/okhttp","show")</f>
        <v>show</v>
      </c>
      <c r="F8995" t="str">
        <f>HYPERLINK("https://github.com/square/okhttp/releases","show")</f>
        <v>show</v>
      </c>
    </row>
    <row r="8996" spans="1:6">
      <c r="A8996" t="s">
        <v>26709</v>
      </c>
      <c r="B8996" t="s">
        <v>26710</v>
      </c>
      <c r="C8996" t="s">
        <v>26711</v>
      </c>
      <c r="D8996" t="str">
        <f>HYPERLINK("https://github.com/Tencent/tinker/issues/1158","show")</f>
        <v>show</v>
      </c>
      <c r="E8996" t="str">
        <f>HYPERLINK("https://github.com/Tencent/tinker","show")</f>
        <v>show</v>
      </c>
      <c r="F8996" t="str">
        <f>HYPERLINK("https://github.com/Tencent/tinker/releases","show")</f>
        <v>show</v>
      </c>
    </row>
    <row r="8997" spans="1:6">
      <c r="A8997" t="s">
        <v>26712</v>
      </c>
      <c r="B8997" t="s">
        <v>26713</v>
      </c>
      <c r="C8997" t="s">
        <v>26714</v>
      </c>
      <c r="D8997" t="str">
        <f>HYPERLINK("https://github.com/nextcloud/android/issues/4222","show")</f>
        <v>show</v>
      </c>
      <c r="E8997" t="str">
        <f>HYPERLINK("https://github.com/nextcloud/android","show")</f>
        <v>show</v>
      </c>
      <c r="F8997" t="str">
        <f>HYPERLINK("https://github.com/nextcloud/android/releases","show")</f>
        <v>show</v>
      </c>
    </row>
    <row r="8998" spans="1:6">
      <c r="A8998" t="s">
        <v>26715</v>
      </c>
      <c r="B8998" t="s">
        <v>26716</v>
      </c>
      <c r="C8998" t="s">
        <v>26717</v>
      </c>
      <c r="D8998" t="str">
        <f>HYPERLINK("https://github.com/square/okhttp/issues/5281","show")</f>
        <v>show</v>
      </c>
      <c r="E8998" t="str">
        <f>HYPERLINK("https://github.com/square/okhttp","show")</f>
        <v>show</v>
      </c>
      <c r="F8998" t="str">
        <f>HYPERLINK("https://github.com/square/okhttp/releases","show")</f>
        <v>show</v>
      </c>
    </row>
    <row r="8999" spans="1:6">
      <c r="A8999" t="s">
        <v>26718</v>
      </c>
      <c r="B8999" t="s">
        <v>26719</v>
      </c>
      <c r="C8999" t="s">
        <v>26720</v>
      </c>
      <c r="D8999" t="str">
        <f>HYPERLINK("https://github.com/microg/GmsCore/issues/884","show")</f>
        <v>show</v>
      </c>
      <c r="E8999" t="str">
        <f>HYPERLINK("https://github.com/microg/GmsCore","show")</f>
        <v>show</v>
      </c>
      <c r="F8999" t="str">
        <f>HYPERLINK("https://github.com/microg/GmsCore/releases","show")</f>
        <v>show</v>
      </c>
    </row>
    <row r="9000" spans="1:6">
      <c r="A9000" t="s">
        <v>26721</v>
      </c>
      <c r="B9000" t="s">
        <v>26722</v>
      </c>
      <c r="C9000" t="s">
        <v>26723</v>
      </c>
      <c r="D9000" t="str">
        <f>HYPERLINK("https://github.com/square/okhttp/issues/5280","show")</f>
        <v>show</v>
      </c>
      <c r="E9000" t="str">
        <f>HYPERLINK("https://github.com/square/okhttp","show")</f>
        <v>show</v>
      </c>
      <c r="F9000" t="str">
        <f>HYPERLINK("https://github.com/square/okhttp/releases","show")</f>
        <v>show</v>
      </c>
    </row>
    <row r="9001" spans="1:6">
      <c r="A9001" t="s">
        <v>26724</v>
      </c>
      <c r="B9001" t="s">
        <v>26725</v>
      </c>
      <c r="C9001" t="s">
        <v>26726</v>
      </c>
      <c r="D9001" t="str">
        <f>HYPERLINK("https://github.com/fossasia/pslab-android/issues/1858","show")</f>
        <v>show</v>
      </c>
      <c r="E9001" t="str">
        <f>HYPERLINK("https://github.com/fossasia/pslab-android","show")</f>
        <v>show</v>
      </c>
      <c r="F9001" t="str">
        <f>HYPERLINK("https://github.com/fossasia/pslab-android/releases","show")</f>
        <v>show</v>
      </c>
    </row>
    <row r="9002" spans="1:6">
      <c r="A9002" t="s">
        <v>26727</v>
      </c>
      <c r="B9002" t="s">
        <v>26728</v>
      </c>
      <c r="C9002" t="s">
        <v>26729</v>
      </c>
      <c r="D9002" t="str">
        <f>HYPERLINK("https://github.com/getsentry/sentry-java/issues/736","show")</f>
        <v>show</v>
      </c>
      <c r="E9002" t="str">
        <f>HYPERLINK("https://github.com/getsentry/sentry-java","show")</f>
        <v>show</v>
      </c>
      <c r="F9002" t="str">
        <f>HYPERLINK("https://github.com/getsentry/sentry-java/releases","show")</f>
        <v>show</v>
      </c>
    </row>
    <row r="9003" spans="1:6">
      <c r="A9003" t="s">
        <v>26730</v>
      </c>
      <c r="B9003" t="s">
        <v>26731</v>
      </c>
      <c r="C9003" t="s">
        <v>26732</v>
      </c>
      <c r="D9003" t="str">
        <f>HYPERLINK("https://github.com/RamiJ3mli/PercentageChartView/issues/15","show")</f>
        <v>show</v>
      </c>
      <c r="E9003" t="str">
        <f>HYPERLINK("https://github.com/RamiJ3mli/PercentageChartView","show")</f>
        <v>show</v>
      </c>
      <c r="F9003" t="str">
        <f>HYPERLINK("https://github.com/RamiJ3mli/PercentageChartView/releases","show")</f>
        <v>show</v>
      </c>
    </row>
    <row r="9004" spans="1:6">
      <c r="A9004" t="s">
        <v>26733</v>
      </c>
      <c r="B9004" t="s">
        <v>26734</v>
      </c>
      <c r="C9004" t="s">
        <v>26735</v>
      </c>
      <c r="D9004" t="str">
        <f>HYPERLINK("https://github.com/microg/GmsCore/issues/880","show")</f>
        <v>show</v>
      </c>
      <c r="E9004" t="str">
        <f>HYPERLINK("https://github.com/microg/GmsCore","show")</f>
        <v>show</v>
      </c>
      <c r="F9004" t="str">
        <f>HYPERLINK("https://github.com/microg/GmsCore/releases","show")</f>
        <v>show</v>
      </c>
    </row>
    <row r="9005" spans="1:6">
      <c r="A9005" t="s">
        <v>26736</v>
      </c>
      <c r="B9005" t="s">
        <v>26737</v>
      </c>
      <c r="C9005" t="s">
        <v>26738</v>
      </c>
      <c r="D9005" t="str">
        <f>HYPERLINK("https://github.com/LawnchairLauncher/lawnchair/issues/1646","show")</f>
        <v>show</v>
      </c>
      <c r="E9005" t="str">
        <f>HYPERLINK("https://github.com/LawnchairLauncher/lawnchair","show")</f>
        <v>show</v>
      </c>
      <c r="F9005" t="str">
        <f>HYPERLINK("https://github.com/LawnchairLauncher/lawnchair/releases","show")</f>
        <v>show</v>
      </c>
    </row>
    <row r="9006" spans="1:6">
      <c r="A9006" t="s">
        <v>26739</v>
      </c>
      <c r="B9006" t="s">
        <v>26740</v>
      </c>
      <c r="C9006" t="s">
        <v>26741</v>
      </c>
      <c r="D9006" t="str">
        <f>HYPERLINK("https://github.com/nextcloud/android/issues/4213","show")</f>
        <v>show</v>
      </c>
      <c r="E9006" t="str">
        <f>HYPERLINK("https://github.com/nextcloud/android","show")</f>
        <v>show</v>
      </c>
      <c r="F9006" t="str">
        <f>HYPERLINK("https://github.com/nextcloud/android/releases","show")</f>
        <v>show</v>
      </c>
    </row>
    <row r="9007" spans="1:6">
      <c r="A9007" t="s">
        <v>26742</v>
      </c>
      <c r="B9007" t="s">
        <v>26743</v>
      </c>
      <c r="C9007" t="s">
        <v>26744</v>
      </c>
      <c r="D9007" t="str">
        <f>HYPERLINK("https://github.com/ttdyce/NHentai-NHViewer/issues/2","show")</f>
        <v>show</v>
      </c>
      <c r="E9007" t="str">
        <f>HYPERLINK("https://github.com/ttdyce/NHentai-NHViewer","show")</f>
        <v>show</v>
      </c>
      <c r="F9007" t="str">
        <f>HYPERLINK("https://github.com/ttdyce/NHentai-NHViewer/releases","show")</f>
        <v>show</v>
      </c>
    </row>
    <row r="9008" spans="1:6">
      <c r="A9008" t="s">
        <v>26745</v>
      </c>
      <c r="B9008" t="s">
        <v>26746</v>
      </c>
      <c r="C9008" t="s">
        <v>26747</v>
      </c>
      <c r="D9008" t="str">
        <f>HYPERLINK("https://github.com/WycliffeAssociates/translationRecorder/issues/1141","show")</f>
        <v>show</v>
      </c>
      <c r="E9008" t="str">
        <f>HYPERLINK("https://github.com/WycliffeAssociates/translationRecorder","show")</f>
        <v>show</v>
      </c>
      <c r="F9008" t="str">
        <f>HYPERLINK("https://github.com/WycliffeAssociates/translationRecorder/releases","show")</f>
        <v>show</v>
      </c>
    </row>
    <row r="9009" spans="1:6">
      <c r="A9009" t="s">
        <v>26748</v>
      </c>
      <c r="B9009" t="s">
        <v>26749</v>
      </c>
      <c r="C9009" t="s">
        <v>26750</v>
      </c>
      <c r="D9009" t="str">
        <f>HYPERLINK("https://github.com/amfoss/TempleApp/issues/74","show")</f>
        <v>show</v>
      </c>
      <c r="E9009" t="str">
        <f>HYPERLINK("https://github.com/amfoss/TempleApp","show")</f>
        <v>show</v>
      </c>
      <c r="F9009" t="str">
        <f>HYPERLINK("https://github.com/amfoss/TempleApp/releases","show")</f>
        <v>show</v>
      </c>
    </row>
    <row r="9010" spans="1:6">
      <c r="A9010" t="s">
        <v>26751</v>
      </c>
      <c r="B9010" t="s">
        <v>26752</v>
      </c>
      <c r="C9010" t="s">
        <v>26753</v>
      </c>
      <c r="D9010" t="str">
        <f>HYPERLINK("https://github.com/ZeevoX/MyHome/issues/11","show")</f>
        <v>show</v>
      </c>
      <c r="E9010" t="str">
        <f>HYPERLINK("https://github.com/ZeevoX/MyHome","show")</f>
        <v>show</v>
      </c>
      <c r="F9010" t="str">
        <f>HYPERLINK("https://github.com/ZeevoX/MyHome/releases","show")</f>
        <v>show</v>
      </c>
    </row>
    <row r="9011" spans="1:6">
      <c r="A9011" t="s">
        <v>26754</v>
      </c>
      <c r="B9011" t="s">
        <v>26755</v>
      </c>
      <c r="C9011" t="s">
        <v>26756</v>
      </c>
      <c r="D9011" t="str">
        <f>HYPERLINK("https://github.com/ZeevoX/MyHome/issues/10","show")</f>
        <v>show</v>
      </c>
      <c r="E9011" t="str">
        <f>HYPERLINK("https://github.com/ZeevoX/MyHome","show")</f>
        <v>show</v>
      </c>
      <c r="F9011" t="str">
        <f>HYPERLINK("https://github.com/ZeevoX/MyHome/releases","show")</f>
        <v>show</v>
      </c>
    </row>
    <row r="9012" spans="1:6">
      <c r="A9012" t="s">
        <v>26757</v>
      </c>
      <c r="B9012" t="s">
        <v>26758</v>
      </c>
      <c r="C9012" t="s">
        <v>26759</v>
      </c>
      <c r="D9012" t="str">
        <f>HYPERLINK("https://github.com/LawnchairLauncher/lawnchair/issues/1636","show")</f>
        <v>show</v>
      </c>
      <c r="E9012" t="str">
        <f>HYPERLINK("https://github.com/LawnchairLauncher/lawnchair","show")</f>
        <v>show</v>
      </c>
      <c r="F9012" t="str">
        <f>HYPERLINK("https://github.com/LawnchairLauncher/lawnchair/releases","show")</f>
        <v>show</v>
      </c>
    </row>
    <row r="9013" spans="1:6">
      <c r="A9013" t="s">
        <v>26760</v>
      </c>
      <c r="B9013" t="s">
        <v>26761</v>
      </c>
      <c r="C9013" t="s">
        <v>26762</v>
      </c>
      <c r="D9013" t="str">
        <f>HYPERLINK("https://github.com/SecUSo/privacy-friendly-food-tracker/issues/55","show")</f>
        <v>show</v>
      </c>
      <c r="E9013" t="str">
        <f>HYPERLINK("https://github.com/SecUSo/privacy-friendly-food-tracker","show")</f>
        <v>show</v>
      </c>
      <c r="F9013" t="str">
        <f>HYPERLINK("https://github.com/SecUSo/privacy-friendly-food-tracker/releases","show")</f>
        <v>show</v>
      </c>
    </row>
    <row r="9014" spans="1:6">
      <c r="A9014" t="s">
        <v>26763</v>
      </c>
      <c r="B9014" t="s">
        <v>26764</v>
      </c>
      <c r="C9014" t="s">
        <v>26765</v>
      </c>
      <c r="D9014" t="str">
        <f>HYPERLINK("https://github.com/applicaster-plugins/ParentLockScreenPlugin-Android/issues/2","show")</f>
        <v>show</v>
      </c>
      <c r="E9014" t="str">
        <f>HYPERLINK("https://github.com/applicaster-plugins/ParentLockScreenPlugin-Android","show")</f>
        <v>show</v>
      </c>
      <c r="F9014" t="str">
        <f>HYPERLINK("https://github.com/applicaster-plugins/ParentLockScreenPlugin-Android/releases","show")</f>
        <v>show</v>
      </c>
    </row>
    <row r="9015" spans="1:6">
      <c r="A9015" t="s">
        <v>26766</v>
      </c>
      <c r="B9015" t="s">
        <v>26767</v>
      </c>
      <c r="C9015" t="s">
        <v>26768</v>
      </c>
      <c r="D9015" t="str">
        <f>HYPERLINK("https://github.com/project-travel-mate/Travel-Mate/issues/691","show")</f>
        <v>show</v>
      </c>
      <c r="E9015" t="str">
        <f>HYPERLINK("https://github.com/project-travel-mate/Travel-Mate","show")</f>
        <v>show</v>
      </c>
      <c r="F9015" t="str">
        <f>HYPERLINK("https://github.com/project-travel-mate/Travel-Mate/releases","show")</f>
        <v>show</v>
      </c>
    </row>
    <row r="9016" spans="1:6">
      <c r="A9016" t="s">
        <v>26769</v>
      </c>
      <c r="B9016" t="s">
        <v>26770</v>
      </c>
      <c r="C9016" t="s">
        <v>26771</v>
      </c>
      <c r="D9016" t="str">
        <f>HYPERLINK("https://github.com/mgks/Android-SmartWebView/issues/92","show")</f>
        <v>show</v>
      </c>
      <c r="E9016" t="str">
        <f>HYPERLINK("https://github.com/mgks/Android-SmartWebView","show")</f>
        <v>show</v>
      </c>
      <c r="F9016" t="str">
        <f>HYPERLINK("https://github.com/mgks/Android-SmartWebView/releases","show")</f>
        <v>show</v>
      </c>
    </row>
    <row r="9017" spans="1:6">
      <c r="A9017" t="s">
        <v>26772</v>
      </c>
      <c r="B9017" t="s">
        <v>26773</v>
      </c>
      <c r="C9017" t="s">
        <v>26774</v>
      </c>
      <c r="D9017" t="str">
        <f>HYPERLINK("https://github.com/SecUSo/privacy-friendly-food-tracker/issues/54","show")</f>
        <v>show</v>
      </c>
      <c r="E9017" t="str">
        <f>HYPERLINK("https://github.com/SecUSo/privacy-friendly-food-tracker","show")</f>
        <v>show</v>
      </c>
      <c r="F9017" t="str">
        <f>HYPERLINK("https://github.com/SecUSo/privacy-friendly-food-tracker/releases","show")</f>
        <v>show</v>
      </c>
    </row>
    <row r="9018" spans="1:6">
      <c r="A9018" t="s">
        <v>26775</v>
      </c>
      <c r="B9018" t="s">
        <v>26776</v>
      </c>
      <c r="C9018" t="s">
        <v>26777</v>
      </c>
      <c r="D9018" t="str">
        <f>HYPERLINK("https://github.com/nikita36078/J2ME-Loader/issues/544","show")</f>
        <v>show</v>
      </c>
      <c r="E9018" t="str">
        <f>HYPERLINK("https://github.com/nikita36078/J2ME-Loader","show")</f>
        <v>show</v>
      </c>
      <c r="F9018" t="str">
        <f>HYPERLINK("https://github.com/nikita36078/J2ME-Loader/releases","show")</f>
        <v>show</v>
      </c>
    </row>
    <row r="9019" spans="1:6">
      <c r="A9019" t="s">
        <v>26778</v>
      </c>
      <c r="B9019" t="s">
        <v>26779</v>
      </c>
      <c r="C9019" t="s">
        <v>26780</v>
      </c>
      <c r="D9019" t="str">
        <f>HYPERLINK("https://github.com/deltachat/deltachat-android/issues/996","show")</f>
        <v>show</v>
      </c>
      <c r="E9019" t="str">
        <f>HYPERLINK("https://github.com/deltachat/deltachat-android","show")</f>
        <v>show</v>
      </c>
      <c r="F9019" t="str">
        <f>HYPERLINK("https://github.com/deltachat/deltachat-android/releases","show")</f>
        <v>show</v>
      </c>
    </row>
    <row r="9020" spans="1:6">
      <c r="A9020" t="s">
        <v>26781</v>
      </c>
      <c r="B9020" t="s">
        <v>26782</v>
      </c>
      <c r="C9020" t="s">
        <v>26783</v>
      </c>
      <c r="D9020" t="str">
        <f>HYPERLINK("https://github.com/nextcloud/android/issues/4205","show")</f>
        <v>show</v>
      </c>
      <c r="E9020" t="str">
        <f>HYPERLINK("https://github.com/nextcloud/android","show")</f>
        <v>show</v>
      </c>
      <c r="F9020" t="str">
        <f>HYPERLINK("https://github.com/nextcloud/android/releases","show")</f>
        <v>show</v>
      </c>
    </row>
    <row r="9021" spans="1:6">
      <c r="A9021" t="s">
        <v>26784</v>
      </c>
      <c r="B9021" t="s">
        <v>26785</v>
      </c>
      <c r="C9021" t="s">
        <v>26786</v>
      </c>
      <c r="D9021" t="str">
        <f>HYPERLINK("https://github.com/opensrp/opensrp-client-reveal/issues/289","show")</f>
        <v>show</v>
      </c>
      <c r="E9021" t="str">
        <f>HYPERLINK("https://github.com/opensrp/opensrp-client-reveal","show")</f>
        <v>show</v>
      </c>
      <c r="F9021" t="str">
        <f>HYPERLINK("https://github.com/opensrp/opensrp-client-reveal/releases","show")</f>
        <v>show</v>
      </c>
    </row>
    <row r="9022" spans="1:6">
      <c r="A9022" t="s">
        <v>26787</v>
      </c>
      <c r="B9022" t="s">
        <v>26788</v>
      </c>
      <c r="C9022" t="s">
        <v>26789</v>
      </c>
      <c r="D9022" t="str">
        <f>HYPERLINK("https://github.com/LawnchairLauncher/lawnchair/issues/1632","show")</f>
        <v>show</v>
      </c>
      <c r="E9022" t="str">
        <f>HYPERLINK("https://github.com/LawnchairLauncher/lawnchair","show")</f>
        <v>show</v>
      </c>
      <c r="F9022" t="str">
        <f>HYPERLINK("https://github.com/LawnchairLauncher/lawnchair/releases","show")</f>
        <v>show</v>
      </c>
    </row>
    <row r="9023" spans="1:6">
      <c r="A9023" t="s">
        <v>26790</v>
      </c>
      <c r="B9023" t="s">
        <v>26791</v>
      </c>
      <c r="C9023" t="s">
        <v>26792</v>
      </c>
      <c r="D9023" t="str">
        <f>HYPERLINK("https://github.com/LawnchairLauncher/lawnchair/issues/1630","show")</f>
        <v>show</v>
      </c>
      <c r="E9023" t="str">
        <f>HYPERLINK("https://github.com/LawnchairLauncher/lawnchair","show")</f>
        <v>show</v>
      </c>
      <c r="F9023" t="str">
        <f>HYPERLINK("https://github.com/LawnchairLauncher/lawnchair/releases","show")</f>
        <v>show</v>
      </c>
    </row>
    <row r="9024" spans="1:6">
      <c r="A9024" t="s">
        <v>26793</v>
      </c>
      <c r="B9024" t="s">
        <v>26794</v>
      </c>
      <c r="C9024" t="s">
        <v>26795</v>
      </c>
      <c r="D9024" t="str">
        <f>HYPERLINK("https://github.com/LawnchairLauncher/lawnchair/issues/1629","show")</f>
        <v>show</v>
      </c>
      <c r="E9024" t="str">
        <f>HYPERLINK("https://github.com/LawnchairLauncher/lawnchair","show")</f>
        <v>show</v>
      </c>
      <c r="F9024" t="str">
        <f>HYPERLINK("https://github.com/LawnchairLauncher/lawnchair/releases","show")</f>
        <v>show</v>
      </c>
    </row>
    <row r="9025" spans="1:6">
      <c r="A9025" t="s">
        <v>26796</v>
      </c>
      <c r="B9025" t="s">
        <v>26797</v>
      </c>
      <c r="C9025" t="s">
        <v>26798</v>
      </c>
      <c r="D9025" t="str">
        <f>HYPERLINK("https://github.com/opentok/opentok-react-native/issues/308","show")</f>
        <v>show</v>
      </c>
      <c r="E9025" t="str">
        <f>HYPERLINK("https://github.com/opentok/opentok-react-native","show")</f>
        <v>show</v>
      </c>
      <c r="F9025" t="str">
        <f>HYPERLINK("https://github.com/opentok/opentok-react-native/releases","show")</f>
        <v>show</v>
      </c>
    </row>
    <row r="9026" spans="1:6">
      <c r="A9026" t="s">
        <v>26799</v>
      </c>
      <c r="B9026" t="s">
        <v>26800</v>
      </c>
      <c r="C9026" t="s">
        <v>26801</v>
      </c>
      <c r="D9026" t="str">
        <f>HYPERLINK("https://github.com/microg/GmsCore/issues/869","show")</f>
        <v>show</v>
      </c>
      <c r="E9026" t="str">
        <f>HYPERLINK("https://github.com/microg/GmsCore","show")</f>
        <v>show</v>
      </c>
      <c r="F9026" t="str">
        <f>HYPERLINK("https://github.com/microg/GmsCore/releases","show")</f>
        <v>show</v>
      </c>
    </row>
    <row r="9027" spans="1:6">
      <c r="A9027" t="s">
        <v>26802</v>
      </c>
      <c r="B9027" t="s">
        <v>26803</v>
      </c>
      <c r="C9027" t="s">
        <v>26804</v>
      </c>
      <c r="D9027" t="str">
        <f>HYPERLINK("https://github.com/react-native-art/art/issues/19","show")</f>
        <v>show</v>
      </c>
      <c r="E9027" t="str">
        <f>HYPERLINK("https://github.com/react-native-art/art","show")</f>
        <v>show</v>
      </c>
      <c r="F9027" t="str">
        <f>HYPERLINK("https://github.com/react-native-art/art/releases","show")</f>
        <v>show</v>
      </c>
    </row>
    <row r="9028" spans="1:6">
      <c r="A9028" t="s">
        <v>26805</v>
      </c>
      <c r="B9028" t="s">
        <v>26806</v>
      </c>
      <c r="C9028" t="s">
        <v>26807</v>
      </c>
      <c r="D9028" t="str">
        <f>HYPERLINK("https://github.com/LawnchairLauncher/lawnchair/issues/1626","show")</f>
        <v>show</v>
      </c>
      <c r="E9028" t="str">
        <f>HYPERLINK("https://github.com/LawnchairLauncher/lawnchair","show")</f>
        <v>show</v>
      </c>
      <c r="F9028" t="str">
        <f>HYPERLINK("https://github.com/LawnchairLauncher/lawnchair/releases","show")</f>
        <v>show</v>
      </c>
    </row>
    <row r="9029" spans="1:6">
      <c r="A9029" t="s">
        <v>26808</v>
      </c>
      <c r="B9029" t="s">
        <v>26809</v>
      </c>
      <c r="C9029" t="s">
        <v>26810</v>
      </c>
      <c r="D9029" t="str">
        <f>HYPERLINK("https://github.com/vanniktech/Emoji/issues/369","show")</f>
        <v>show</v>
      </c>
      <c r="E9029" t="str">
        <f>HYPERLINK("https://github.com/vanniktech/Emoji","show")</f>
        <v>show</v>
      </c>
      <c r="F9029" t="str">
        <f>HYPERLINK("https://github.com/vanniktech/Emoji/releases","show")</f>
        <v>show</v>
      </c>
    </row>
    <row r="9030" spans="1:6">
      <c r="A9030" t="s">
        <v>26811</v>
      </c>
      <c r="B9030" t="s">
        <v>26812</v>
      </c>
      <c r="C9030" t="s">
        <v>26813</v>
      </c>
      <c r="D9030" t="str">
        <f>HYPERLINK("https://github.com/opensrp/opensrp-client-reveal/issues/279","show")</f>
        <v>show</v>
      </c>
      <c r="E9030" t="str">
        <f>HYPERLINK("https://github.com/opensrp/opensrp-client-reveal","show")</f>
        <v>show</v>
      </c>
      <c r="F9030" t="str">
        <f>HYPERLINK("https://github.com/opensrp/opensrp-client-reveal/releases","show")</f>
        <v>show</v>
      </c>
    </row>
    <row r="9031" spans="1:6">
      <c r="A9031" t="s">
        <v>26814</v>
      </c>
      <c r="B9031" t="s">
        <v>26815</v>
      </c>
      <c r="C9031" t="s">
        <v>26816</v>
      </c>
      <c r="D9031" t="str">
        <f>HYPERLINK("https://github.com/mozilla-mobile/firefox-echo-show/issues/287","show")</f>
        <v>show</v>
      </c>
      <c r="E9031" t="str">
        <f>HYPERLINK("https://github.com/mozilla-mobile/firefox-echo-show","show")</f>
        <v>show</v>
      </c>
      <c r="F9031" t="str">
        <f>HYPERLINK("https://github.com/mozilla-mobile/firefox-echo-show/releases","show")</f>
        <v>show</v>
      </c>
    </row>
    <row r="9032" spans="1:6">
      <c r="A9032" t="s">
        <v>26817</v>
      </c>
      <c r="B9032" t="s">
        <v>26818</v>
      </c>
      <c r="C9032" t="s">
        <v>26819</v>
      </c>
      <c r="D9032" t="str">
        <f>HYPERLINK("https://github.com/LawnchairLauncher/lawnchair/issues/1623","show")</f>
        <v>show</v>
      </c>
      <c r="E9032" t="str">
        <f>HYPERLINK("https://github.com/LawnchairLauncher/lawnchair","show")</f>
        <v>show</v>
      </c>
      <c r="F9032" t="str">
        <f>HYPERLINK("https://github.com/LawnchairLauncher/lawnchair/releases","show")</f>
        <v>show</v>
      </c>
    </row>
    <row r="9033" spans="1:6">
      <c r="A9033" t="s">
        <v>26820</v>
      </c>
      <c r="B9033" t="s">
        <v>26821</v>
      </c>
      <c r="C9033" t="s">
        <v>26822</v>
      </c>
      <c r="D9033" t="str">
        <f>HYPERLINK("https://github.com/TeamNewPipe/NewPipe/issues/2442","show")</f>
        <v>show</v>
      </c>
      <c r="E9033" t="str">
        <f>HYPERLINK("https://github.com/TeamNewPipe/NewPipe","show")</f>
        <v>show</v>
      </c>
      <c r="F9033" t="str">
        <f>HYPERLINK("https://github.com/TeamNewPipe/NewPipe/releases","show")</f>
        <v>show</v>
      </c>
    </row>
    <row r="9034" spans="1:6">
      <c r="A9034" t="s">
        <v>26823</v>
      </c>
      <c r="B9034" t="s">
        <v>26824</v>
      </c>
      <c r="C9034" t="s">
        <v>26825</v>
      </c>
      <c r="D9034" t="str">
        <f>HYPERLINK("https://github.com/PSPDFKit/react-native/issues/244","show")</f>
        <v>show</v>
      </c>
      <c r="E9034" t="str">
        <f>HYPERLINK("https://github.com/PSPDFKit/react-native","show")</f>
        <v>show</v>
      </c>
      <c r="F9034" t="str">
        <f>HYPERLINK("https://github.com/PSPDFKit/react-native/releases","show")</f>
        <v>show</v>
      </c>
    </row>
    <row r="9035" spans="1:6">
      <c r="A9035" t="s">
        <v>26826</v>
      </c>
      <c r="B9035" t="s">
        <v>26827</v>
      </c>
      <c r="C9035" t="s">
        <v>26828</v>
      </c>
      <c r="D9035" t="str">
        <f>HYPERLINK("https://github.com/miguelpruivo/flutter_file_picker/issues/104","show")</f>
        <v>show</v>
      </c>
      <c r="E9035" t="str">
        <f>HYPERLINK("https://github.com/miguelpruivo/flutter_file_picker","show")</f>
        <v>show</v>
      </c>
      <c r="F9035" t="str">
        <f>HYPERLINK("https://github.com/miguelpruivo/flutter_file_picker/releases","show")</f>
        <v>show</v>
      </c>
    </row>
    <row r="9036" spans="1:6">
      <c r="A9036" t="s">
        <v>26829</v>
      </c>
      <c r="B9036" t="s">
        <v>26830</v>
      </c>
      <c r="C9036" t="s">
        <v>26831</v>
      </c>
      <c r="D9036" t="str">
        <f>HYPERLINK("https://github.com/cohenadair/anglers-log/issues/348","show")</f>
        <v>show</v>
      </c>
      <c r="E9036" t="str">
        <f>HYPERLINK("https://github.com/cohenadair/anglers-log","show")</f>
        <v>show</v>
      </c>
      <c r="F9036" t="str">
        <f>HYPERLINK("https://github.com/cohenadair/anglers-log/releases","show")</f>
        <v>show</v>
      </c>
    </row>
    <row r="9037" spans="1:6">
      <c r="A9037" t="s">
        <v>26832</v>
      </c>
      <c r="B9037" t="s">
        <v>26833</v>
      </c>
      <c r="C9037" t="s">
        <v>26834</v>
      </c>
      <c r="D9037" t="str">
        <f>HYPERLINK("https://github.com/nextcloud/android/issues/4197","show")</f>
        <v>show</v>
      </c>
      <c r="E9037" t="str">
        <f>HYPERLINK("https://github.com/nextcloud/android","show")</f>
        <v>show</v>
      </c>
      <c r="F9037" t="str">
        <f>HYPERLINK("https://github.com/nextcloud/android/releases","show")</f>
        <v>show</v>
      </c>
    </row>
    <row r="9038" spans="1:6">
      <c r="A9038" t="s">
        <v>26835</v>
      </c>
      <c r="B9038" t="s">
        <v>26836</v>
      </c>
      <c r="C9038" t="s">
        <v>26837</v>
      </c>
      <c r="D9038" t="str">
        <f>HYPERLINK("https://github.com/brodeurlv/fastnfitness/issues/76","show")</f>
        <v>show</v>
      </c>
      <c r="E9038" t="str">
        <f>HYPERLINK("https://github.com/brodeurlv/fastnfitness","show")</f>
        <v>show</v>
      </c>
      <c r="F9038" t="str">
        <f>HYPERLINK("https://github.com/brodeurlv/fastnfitness/releases","show")</f>
        <v>show</v>
      </c>
    </row>
    <row r="9039" spans="1:6">
      <c r="A9039" t="s">
        <v>26838</v>
      </c>
      <c r="B9039" t="s">
        <v>26839</v>
      </c>
      <c r="C9039" t="s">
        <v>26840</v>
      </c>
      <c r="D9039" t="str">
        <f>HYPERLINK("https://github.com/react-native-camera/react-native-camera/issues/2350","show")</f>
        <v>show</v>
      </c>
      <c r="E9039" t="str">
        <f>HYPERLINK("https://github.com/react-native-camera/react-native-camera","show")</f>
        <v>show</v>
      </c>
      <c r="F9039" t="str">
        <f>HYPERLINK("https://github.com/react-native-camera/react-native-camera/releases","show")</f>
        <v>show</v>
      </c>
    </row>
    <row r="9040" spans="1:6">
      <c r="A9040" t="s">
        <v>26841</v>
      </c>
      <c r="B9040" t="s">
        <v>26842</v>
      </c>
      <c r="C9040" t="s">
        <v>26843</v>
      </c>
      <c r="D9040" t="str">
        <f>HYPERLINK("https://github.com/inaturalist/iNaturalistAndroid/issues/671","show")</f>
        <v>show</v>
      </c>
      <c r="E9040" t="str">
        <f>HYPERLINK("https://github.com/inaturalist/iNaturalistAndroid","show")</f>
        <v>show</v>
      </c>
      <c r="F9040" t="str">
        <f>HYPERLINK("https://github.com/inaturalist/iNaturalistAndroid/releases","show")</f>
        <v>show</v>
      </c>
    </row>
    <row r="9041" spans="1:6">
      <c r="A9041" t="s">
        <v>26844</v>
      </c>
      <c r="B9041" t="s">
        <v>26845</v>
      </c>
      <c r="C9041" t="s">
        <v>26846</v>
      </c>
      <c r="D9041" t="str">
        <f>HYPERLINK("https://github.com/7LPdWcaW/GrowTracker-Android/issues/97","show")</f>
        <v>show</v>
      </c>
      <c r="E9041" t="str">
        <f>HYPERLINK("https://github.com/7LPdWcaW/GrowTracker-Android","show")</f>
        <v>show</v>
      </c>
      <c r="F9041" t="str">
        <f>HYPERLINK("https://github.com/7LPdWcaW/GrowTracker-Android/releases","show")</f>
        <v>show</v>
      </c>
    </row>
    <row r="9042" spans="1:6">
      <c r="A9042" t="s">
        <v>26847</v>
      </c>
      <c r="B9042" t="s">
        <v>26848</v>
      </c>
      <c r="C9042" t="s">
        <v>26849</v>
      </c>
      <c r="D9042" t="str">
        <f>HYPERLINK("https://github.com/konradrenner/kolabnotes-android/issues/198","show")</f>
        <v>show</v>
      </c>
      <c r="E9042" t="str">
        <f>HYPERLINK("https://github.com/konradrenner/kolabnotes-android","show")</f>
        <v>show</v>
      </c>
      <c r="F9042" t="str">
        <f>HYPERLINK("https://github.com/konradrenner/kolabnotes-android/releases","show")</f>
        <v>show</v>
      </c>
    </row>
    <row r="9043" spans="1:6">
      <c r="A9043" t="s">
        <v>26850</v>
      </c>
      <c r="B9043" t="s">
        <v>26851</v>
      </c>
      <c r="C9043" t="s">
        <v>26852</v>
      </c>
      <c r="D9043" t="str">
        <f>HYPERLINK("https://github.com/LawnchairLauncher/lawnchair/issues/1614","show")</f>
        <v>show</v>
      </c>
      <c r="E9043" t="str">
        <f>HYPERLINK("https://github.com/LawnchairLauncher/lawnchair","show")</f>
        <v>show</v>
      </c>
      <c r="F9043" t="str">
        <f>HYPERLINK("https://github.com/LawnchairLauncher/lawnchair/releases","show")</f>
        <v>show</v>
      </c>
    </row>
    <row r="9044" spans="1:6">
      <c r="A9044" t="s">
        <v>26853</v>
      </c>
      <c r="B9044" t="s">
        <v>26854</v>
      </c>
      <c r="C9044" t="s">
        <v>26855</v>
      </c>
      <c r="D9044" t="str">
        <f>HYPERLINK("https://github.com/the3soundcrafties/SoundboardCrafter/issues/94","show")</f>
        <v>show</v>
      </c>
      <c r="E9044" t="str">
        <f>HYPERLINK("https://github.com/the3soundcrafties/SoundboardCrafter","show")</f>
        <v>show</v>
      </c>
      <c r="F9044" t="str">
        <f>HYPERLINK("https://github.com/the3soundcrafties/SoundboardCrafter/releases","show")</f>
        <v>show</v>
      </c>
    </row>
    <row r="9045" spans="1:6">
      <c r="A9045" t="s">
        <v>26856</v>
      </c>
      <c r="B9045" t="s">
        <v>26857</v>
      </c>
      <c r="C9045" t="s">
        <v>26858</v>
      </c>
      <c r="D9045" t="str">
        <f>HYPERLINK("https://github.com/luaj/luaj/issues/43","show")</f>
        <v>show</v>
      </c>
      <c r="E9045" t="str">
        <f>HYPERLINK("https://github.com/luaj/luaj","show")</f>
        <v>show</v>
      </c>
      <c r="F9045" t="str">
        <f>HYPERLINK("https://github.com/luaj/luaj/releases","show")</f>
        <v>show</v>
      </c>
    </row>
    <row r="9046" spans="1:6">
      <c r="A9046" t="s">
        <v>26859</v>
      </c>
      <c r="B9046" t="s">
        <v>26860</v>
      </c>
      <c r="C9046" t="s">
        <v>26861</v>
      </c>
      <c r="D9046" t="str">
        <f>HYPERLINK("https://github.com/ankidroid/Anki-Android/issues/5354","show")</f>
        <v>show</v>
      </c>
      <c r="E9046" t="str">
        <f>HYPERLINK("https://github.com/ankidroid/Anki-Android","show")</f>
        <v>show</v>
      </c>
      <c r="F9046" t="str">
        <f>HYPERLINK("https://github.com/ankidroid/Anki-Android/releases","show")</f>
        <v>show</v>
      </c>
    </row>
    <row r="9047" spans="1:6">
      <c r="A9047" t="s">
        <v>26862</v>
      </c>
      <c r="B9047" t="s">
        <v>26863</v>
      </c>
      <c r="C9047" t="s">
        <v>26864</v>
      </c>
      <c r="D9047" t="str">
        <f>HYPERLINK("https://github.com/Haptic-Apps/Slide/issues/3030","show")</f>
        <v>show</v>
      </c>
      <c r="E9047" t="str">
        <f>HYPERLINK("https://github.com/Haptic-Apps/Slide","show")</f>
        <v>show</v>
      </c>
      <c r="F9047" t="str">
        <f>HYPERLINK("https://github.com/Haptic-Apps/Slide/releases","show")</f>
        <v>show</v>
      </c>
    </row>
    <row r="9048" spans="1:6">
      <c r="A9048" t="s">
        <v>26865</v>
      </c>
      <c r="B9048" t="s">
        <v>26866</v>
      </c>
      <c r="C9048" t="s">
        <v>26867</v>
      </c>
      <c r="D9048" t="str">
        <f>HYPERLINK("https://github.com/projectbuendia/client/issues/366","show")</f>
        <v>show</v>
      </c>
      <c r="E9048" t="str">
        <f>HYPERLINK("https://github.com/projectbuendia/client","show")</f>
        <v>show</v>
      </c>
      <c r="F9048" t="str">
        <f>HYPERLINK("https://github.com/projectbuendia/client/releases","show")</f>
        <v>show</v>
      </c>
    </row>
    <row r="9049" spans="1:6">
      <c r="A9049" t="s">
        <v>26868</v>
      </c>
      <c r="B9049" t="s">
        <v>26869</v>
      </c>
      <c r="C9049" t="s">
        <v>26870</v>
      </c>
      <c r="D9049" t="str">
        <f>HYPERLINK("https://github.com/projectbuendia/client/issues/365","show")</f>
        <v>show</v>
      </c>
      <c r="E9049" t="str">
        <f>HYPERLINK("https://github.com/projectbuendia/client","show")</f>
        <v>show</v>
      </c>
      <c r="F9049" t="str">
        <f>HYPERLINK("https://github.com/projectbuendia/client/releases","show")</f>
        <v>show</v>
      </c>
    </row>
    <row r="9050" spans="1:6">
      <c r="A9050" t="s">
        <v>26871</v>
      </c>
      <c r="B9050" t="s">
        <v>26872</v>
      </c>
      <c r="C9050" t="s">
        <v>26873</v>
      </c>
      <c r="D9050" t="str">
        <f>HYPERLINK("https://github.com/projectbuendia/client/issues/364","show")</f>
        <v>show</v>
      </c>
      <c r="E9050" t="str">
        <f>HYPERLINK("https://github.com/projectbuendia/client","show")</f>
        <v>show</v>
      </c>
      <c r="F9050" t="str">
        <f>HYPERLINK("https://github.com/projectbuendia/client/releases","show")</f>
        <v>show</v>
      </c>
    </row>
    <row r="9051" spans="1:6">
      <c r="A9051" t="s">
        <v>26874</v>
      </c>
      <c r="B9051" t="s">
        <v>26875</v>
      </c>
      <c r="C9051" t="s">
        <v>26876</v>
      </c>
      <c r="D9051" t="str">
        <f>HYPERLINK("https://github.com/launchdarkly/android-client-sdk/issues/80","show")</f>
        <v>show</v>
      </c>
      <c r="E9051" t="str">
        <f>HYPERLINK("https://github.com/launchdarkly/android-client-sdk","show")</f>
        <v>show</v>
      </c>
      <c r="F9051" t="str">
        <f>HYPERLINK("https://github.com/launchdarkly/android-client-sdk/releases","show")</f>
        <v>show</v>
      </c>
    </row>
    <row r="9052" spans="1:6">
      <c r="A9052" t="s">
        <v>26877</v>
      </c>
      <c r="B9052" t="s">
        <v>26878</v>
      </c>
      <c r="C9052" t="s">
        <v>26879</v>
      </c>
      <c r="D9052" t="str">
        <f>HYPERLINK("https://github.com/google/ExoPlayer/issues/6107","show")</f>
        <v>show</v>
      </c>
      <c r="E9052" t="str">
        <f>HYPERLINK("https://github.com/google/ExoPlayer","show")</f>
        <v>show</v>
      </c>
      <c r="F9052" t="str">
        <f>HYPERLINK("https://github.com/google/ExoPlayer/releases","show")</f>
        <v>show</v>
      </c>
    </row>
    <row r="9053" spans="1:6">
      <c r="A9053" t="s">
        <v>26880</v>
      </c>
      <c r="B9053" t="s">
        <v>26881</v>
      </c>
      <c r="C9053" t="s">
        <v>26882</v>
      </c>
      <c r="D9053" t="str">
        <f>HYPERLINK("https://github.com/LawnchairLauncher/lawnchair/issues/1608","show")</f>
        <v>show</v>
      </c>
      <c r="E9053" t="str">
        <f>HYPERLINK("https://github.com/LawnchairLauncher/lawnchair","show")</f>
        <v>show</v>
      </c>
      <c r="F9053" t="str">
        <f>HYPERLINK("https://github.com/LawnchairLauncher/lawnchair/releases","show")</f>
        <v>show</v>
      </c>
    </row>
    <row r="9054" spans="1:6">
      <c r="A9054" t="s">
        <v>26883</v>
      </c>
      <c r="B9054" t="s">
        <v>26884</v>
      </c>
      <c r="C9054" t="s">
        <v>26885</v>
      </c>
      <c r="D9054" t="str">
        <f>HYPERLINK("https://github.com/ponewheel/android-ponewheel/issues/90","show")</f>
        <v>show</v>
      </c>
      <c r="E9054" t="str">
        <f>HYPERLINK("https://github.com/ponewheel/android-ponewheel","show")</f>
        <v>show</v>
      </c>
      <c r="F9054" t="str">
        <f>HYPERLINK("https://github.com/ponewheel/android-ponewheel/releases","show")</f>
        <v>show</v>
      </c>
    </row>
    <row r="9055" spans="1:6">
      <c r="A9055" t="s">
        <v>26886</v>
      </c>
      <c r="B9055" t="s">
        <v>26887</v>
      </c>
      <c r="C9055" t="s">
        <v>26888</v>
      </c>
      <c r="D9055" t="str">
        <f>HYPERLINK("https://github.com/Bespin-AF/a2d2-android/issues/65","show")</f>
        <v>show</v>
      </c>
      <c r="E9055" t="str">
        <f>HYPERLINK("https://github.com/Bespin-AF/a2d2-android","show")</f>
        <v>show</v>
      </c>
      <c r="F9055" t="str">
        <f>HYPERLINK("https://github.com/Bespin-AF/a2d2-android/releases","show")</f>
        <v>show</v>
      </c>
    </row>
    <row r="9056" spans="1:6">
      <c r="A9056" t="s">
        <v>26889</v>
      </c>
      <c r="B9056" t="s">
        <v>26890</v>
      </c>
      <c r="C9056" t="s">
        <v>26891</v>
      </c>
      <c r="D9056" t="str">
        <f>HYPERLINK("https://github.com/square/okhttp/issues/5246","show")</f>
        <v>show</v>
      </c>
      <c r="E9056" t="str">
        <f>HYPERLINK("https://github.com/square/okhttp","show")</f>
        <v>show</v>
      </c>
      <c r="F9056" t="str">
        <f>HYPERLINK("https://github.com/square/okhttp/releases","show")</f>
        <v>show</v>
      </c>
    </row>
    <row r="9057" spans="1:6">
      <c r="A9057" t="s">
        <v>26892</v>
      </c>
      <c r="B9057" t="s">
        <v>26893</v>
      </c>
      <c r="C9057" t="s">
        <v>26894</v>
      </c>
      <c r="D9057" t="str">
        <f>HYPERLINK("https://github.com/7LPdWcaW/GrowTracker-Android/issues/94","show")</f>
        <v>show</v>
      </c>
      <c r="E9057" t="str">
        <f>HYPERLINK("https://github.com/7LPdWcaW/GrowTracker-Android","show")</f>
        <v>show</v>
      </c>
      <c r="F9057" t="str">
        <f>HYPERLINK("https://github.com/7LPdWcaW/GrowTracker-Android/releases","show")</f>
        <v>show</v>
      </c>
    </row>
    <row r="9058" spans="1:6">
      <c r="A9058" t="s">
        <v>26895</v>
      </c>
      <c r="B9058" t="s">
        <v>26896</v>
      </c>
      <c r="C9058" t="s">
        <v>26897</v>
      </c>
      <c r="D9058" t="str">
        <f>HYPERLINK("https://github.com/7LPdWcaW/GrowTracker-Android/issues/93","show")</f>
        <v>show</v>
      </c>
      <c r="E9058" t="str">
        <f>HYPERLINK("https://github.com/7LPdWcaW/GrowTracker-Android","show")</f>
        <v>show</v>
      </c>
      <c r="F9058" t="str">
        <f>HYPERLINK("https://github.com/7LPdWcaW/GrowTracker-Android/releases","show")</f>
        <v>show</v>
      </c>
    </row>
    <row r="9059" spans="1:6">
      <c r="A9059" t="s">
        <v>26898</v>
      </c>
      <c r="B9059" t="s">
        <v>26899</v>
      </c>
      <c r="C9059" t="s">
        <v>26900</v>
      </c>
      <c r="D9059" t="str">
        <f>HYPERLINK("https://github.com/7LPdWcaW/GrowTracker-Android/issues/90","show")</f>
        <v>show</v>
      </c>
      <c r="E9059" t="str">
        <f>HYPERLINK("https://github.com/7LPdWcaW/GrowTracker-Android","show")</f>
        <v>show</v>
      </c>
      <c r="F9059" t="str">
        <f>HYPERLINK("https://github.com/7LPdWcaW/GrowTracker-Android/releases","show")</f>
        <v>show</v>
      </c>
    </row>
    <row r="9060" spans="1:6">
      <c r="A9060" t="s">
        <v>26901</v>
      </c>
      <c r="B9060" t="s">
        <v>26902</v>
      </c>
      <c r="C9060" t="s">
        <v>26903</v>
      </c>
      <c r="D9060" t="str">
        <f>HYPERLINK("https://github.com/7LPdWcaW/GrowTracker-Android/issues/89","show")</f>
        <v>show</v>
      </c>
      <c r="E9060" t="str">
        <f>HYPERLINK("https://github.com/7LPdWcaW/GrowTracker-Android","show")</f>
        <v>show</v>
      </c>
      <c r="F9060" t="str">
        <f>HYPERLINK("https://github.com/7LPdWcaW/GrowTracker-Android/releases","show")</f>
        <v>show</v>
      </c>
    </row>
    <row r="9061" spans="1:6">
      <c r="A9061" t="s">
        <v>26904</v>
      </c>
      <c r="B9061" t="s">
        <v>26905</v>
      </c>
      <c r="C9061" t="s">
        <v>26906</v>
      </c>
      <c r="D9061" t="str">
        <f>HYPERLINK("https://github.com/projectbuendia/client/issues/352","show")</f>
        <v>show</v>
      </c>
      <c r="E9061" t="str">
        <f>HYPERLINK("https://github.com/projectbuendia/client","show")</f>
        <v>show</v>
      </c>
      <c r="F9061" t="str">
        <f>HYPERLINK("https://github.com/projectbuendia/client/releases","show")</f>
        <v>show</v>
      </c>
    </row>
    <row r="9062" spans="1:6">
      <c r="A9062" t="s">
        <v>26907</v>
      </c>
      <c r="B9062" t="s">
        <v>26908</v>
      </c>
      <c r="C9062" t="s">
        <v>26909</v>
      </c>
      <c r="D9062" t="str">
        <f>HYPERLINK("https://github.com/Bespin-AF/a2d2-android/issues/64","show")</f>
        <v>show</v>
      </c>
      <c r="E9062" t="str">
        <f>HYPERLINK("https://github.com/Bespin-AF/a2d2-android","show")</f>
        <v>show</v>
      </c>
      <c r="F9062" t="str">
        <f>HYPERLINK("https://github.com/Bespin-AF/a2d2-android/releases","show")</f>
        <v>show</v>
      </c>
    </row>
    <row r="9063" spans="1:6">
      <c r="A9063" t="s">
        <v>26910</v>
      </c>
      <c r="B9063" t="s">
        <v>26911</v>
      </c>
      <c r="C9063" t="s">
        <v>26912</v>
      </c>
      <c r="D9063" t="str">
        <f>HYPERLINK("https://github.com/7LPdWcaW/GrowTracker-Android/issues/88","show")</f>
        <v>show</v>
      </c>
      <c r="E9063" t="str">
        <f>HYPERLINK("https://github.com/7LPdWcaW/GrowTracker-Android","show")</f>
        <v>show</v>
      </c>
      <c r="F9063" t="str">
        <f>HYPERLINK("https://github.com/7LPdWcaW/GrowTracker-Android/releases","show")</f>
        <v>show</v>
      </c>
    </row>
    <row r="9064" spans="1:6">
      <c r="A9064" t="s">
        <v>26913</v>
      </c>
      <c r="B9064" t="s">
        <v>26914</v>
      </c>
      <c r="C9064" t="s">
        <v>26915</v>
      </c>
      <c r="D9064" t="str">
        <f>HYPERLINK("https://github.com/7LPdWcaW/GrowTracker-Android/issues/87","show")</f>
        <v>show</v>
      </c>
      <c r="E9064" t="str">
        <f>HYPERLINK("https://github.com/7LPdWcaW/GrowTracker-Android","show")</f>
        <v>show</v>
      </c>
      <c r="F9064" t="str">
        <f>HYPERLINK("https://github.com/7LPdWcaW/GrowTracker-Android/releases","show")</f>
        <v>show</v>
      </c>
    </row>
    <row r="9065" spans="1:6">
      <c r="A9065" t="s">
        <v>26916</v>
      </c>
      <c r="B9065" t="s">
        <v>26917</v>
      </c>
      <c r="C9065" t="s">
        <v>26918</v>
      </c>
      <c r="D9065" t="str">
        <f>HYPERLINK("https://github.com/7LPdWcaW/GrowTracker-Android/issues/86","show")</f>
        <v>show</v>
      </c>
      <c r="E9065" t="str">
        <f>HYPERLINK("https://github.com/7LPdWcaW/GrowTracker-Android","show")</f>
        <v>show</v>
      </c>
      <c r="F9065" t="str">
        <f>HYPERLINK("https://github.com/7LPdWcaW/GrowTracker-Android/releases","show")</f>
        <v>show</v>
      </c>
    </row>
    <row r="9066" spans="1:6">
      <c r="A9066" t="s">
        <v>26919</v>
      </c>
      <c r="B9066" t="s">
        <v>26920</v>
      </c>
      <c r="C9066" t="s">
        <v>26921</v>
      </c>
      <c r="D9066" t="str">
        <f>HYPERLINK("https://github.com/ongakken/Caffeinator/issues/51","show")</f>
        <v>show</v>
      </c>
      <c r="E9066" t="str">
        <f>HYPERLINK("https://github.com/ongakken/Caffeinator","show")</f>
        <v>show</v>
      </c>
      <c r="F9066" t="str">
        <f>HYPERLINK("https://github.com/ongakken/Caffeinator/releases","show")</f>
        <v>show</v>
      </c>
    </row>
    <row r="9067" spans="1:6">
      <c r="A9067" t="s">
        <v>26922</v>
      </c>
      <c r="B9067" t="s">
        <v>26923</v>
      </c>
      <c r="C9067" t="s">
        <v>26924</v>
      </c>
      <c r="D9067" t="str">
        <f>HYPERLINK("https://github.com/google/ExoPlayer/issues/6093","show")</f>
        <v>show</v>
      </c>
      <c r="E9067" t="str">
        <f>HYPERLINK("https://github.com/google/ExoPlayer","show")</f>
        <v>show</v>
      </c>
      <c r="F9067" t="str">
        <f>HYPERLINK("https://github.com/google/ExoPlayer/releases","show")</f>
        <v>show</v>
      </c>
    </row>
    <row r="9068" spans="1:6">
      <c r="A9068" t="s">
        <v>26925</v>
      </c>
      <c r="B9068" t="s">
        <v>26926</v>
      </c>
      <c r="C9068" t="s">
        <v>26927</v>
      </c>
      <c r="D9068" t="str">
        <f>HYPERLINK("https://github.com/StringCare/AndroidLibrary/issues/58","show")</f>
        <v>show</v>
      </c>
      <c r="E9068" t="str">
        <f>HYPERLINK("https://github.com/StringCare/AndroidLibrary","show")</f>
        <v>show</v>
      </c>
      <c r="F9068" t="str">
        <f>HYPERLINK("https://github.com/StringCare/AndroidLibrary/releases","show")</f>
        <v>show</v>
      </c>
    </row>
    <row r="9069" spans="1:6">
      <c r="A9069" t="s">
        <v>26928</v>
      </c>
      <c r="B9069" t="s">
        <v>26929</v>
      </c>
      <c r="C9069" t="s">
        <v>26930</v>
      </c>
      <c r="D9069" t="str">
        <f>HYPERLINK("https://github.com/tom-anders/Easy_xkcd/issues/155","show")</f>
        <v>show</v>
      </c>
      <c r="E9069" t="str">
        <f>HYPERLINK("https://github.com/tom-anders/Easy_xkcd","show")</f>
        <v>show</v>
      </c>
      <c r="F9069" t="str">
        <f>HYPERLINK("https://github.com/tom-anders/Easy_xkcd/releases","show")</f>
        <v>show</v>
      </c>
    </row>
    <row r="9070" spans="1:6">
      <c r="A9070" t="s">
        <v>26931</v>
      </c>
      <c r="B9070" t="s">
        <v>26932</v>
      </c>
      <c r="C9070" t="s">
        <v>26933</v>
      </c>
      <c r="D9070" t="str">
        <f>HYPERLINK("https://github.com/LawnchairLauncher/lawnchair/issues/1607","show")</f>
        <v>show</v>
      </c>
      <c r="E9070" t="str">
        <f>HYPERLINK("https://github.com/LawnchairLauncher/lawnchair","show")</f>
        <v>show</v>
      </c>
      <c r="F9070" t="str">
        <f>HYPERLINK("https://github.com/LawnchairLauncher/lawnchair/releases","show")</f>
        <v>show</v>
      </c>
    </row>
    <row r="9071" spans="1:6">
      <c r="A9071" t="s">
        <v>26934</v>
      </c>
      <c r="B9071" t="s">
        <v>26935</v>
      </c>
      <c r="C9071" t="s">
        <v>26936</v>
      </c>
      <c r="D9071" t="str">
        <f>HYPERLINK("https://github.com/ElderDrivers/EdXposed/issues/310","show")</f>
        <v>show</v>
      </c>
      <c r="E9071" t="str">
        <f>HYPERLINK("https://github.com/ElderDrivers/EdXposed","show")</f>
        <v>show</v>
      </c>
      <c r="F9071" t="str">
        <f>HYPERLINK("https://github.com/ElderDrivers/EdXposed/releases","show")</f>
        <v>show</v>
      </c>
    </row>
    <row r="9072" spans="1:6">
      <c r="A9072" t="s">
        <v>26937</v>
      </c>
      <c r="B9072" t="s">
        <v>26938</v>
      </c>
      <c r="C9072" t="s">
        <v>26939</v>
      </c>
      <c r="D9072" t="str">
        <f>HYPERLINK("https://github.com/nextcloud/android/issues/4176","show")</f>
        <v>show</v>
      </c>
      <c r="E9072" t="str">
        <f>HYPERLINK("https://github.com/nextcloud/android","show")</f>
        <v>show</v>
      </c>
      <c r="F9072" t="str">
        <f>HYPERLINK("https://github.com/nextcloud/android/releases","show")</f>
        <v>show</v>
      </c>
    </row>
    <row r="9073" spans="1:6">
      <c r="A9073" t="s">
        <v>26940</v>
      </c>
      <c r="B9073" t="s">
        <v>26941</v>
      </c>
      <c r="C9073" t="s">
        <v>26942</v>
      </c>
      <c r="D9073" t="str">
        <f>HYPERLINK("https://github.com/Haptic-Apps/Slide/issues/3028","show")</f>
        <v>show</v>
      </c>
      <c r="E9073" t="str">
        <f>HYPERLINK("https://github.com/Haptic-Apps/Slide","show")</f>
        <v>show</v>
      </c>
      <c r="F9073" t="str">
        <f>HYPERLINK("https://github.com/Haptic-Apps/Slide/releases","show")</f>
        <v>show</v>
      </c>
    </row>
    <row r="9074" spans="1:6">
      <c r="A9074" t="s">
        <v>26943</v>
      </c>
      <c r="B9074" t="s">
        <v>26944</v>
      </c>
      <c r="C9074" t="s">
        <v>26945</v>
      </c>
      <c r="D9074" t="str">
        <f>HYPERLINK("https://github.com/fossasia/pslab-android/issues/1829","show")</f>
        <v>show</v>
      </c>
      <c r="E9074" t="str">
        <f>HYPERLINK("https://github.com/fossasia/pslab-android","show")</f>
        <v>show</v>
      </c>
      <c r="F9074" t="str">
        <f>HYPERLINK("https://github.com/fossasia/pslab-android/releases","show")</f>
        <v>show</v>
      </c>
    </row>
    <row r="9075" spans="1:6">
      <c r="A9075" t="s">
        <v>26946</v>
      </c>
      <c r="B9075" t="s">
        <v>26947</v>
      </c>
      <c r="C9075" t="s">
        <v>26948</v>
      </c>
      <c r="D9075" t="str">
        <f>HYPERLINK("https://github.com/inaturalist/react-native-inat-camera/issues/21","show")</f>
        <v>show</v>
      </c>
      <c r="E9075" t="str">
        <f>HYPERLINK("https://github.com/inaturalist/react-native-inat-camera","show")</f>
        <v>show</v>
      </c>
      <c r="F9075" t="str">
        <f>HYPERLINK("https://github.com/inaturalist/react-native-inat-camera/releases","show")</f>
        <v>show</v>
      </c>
    </row>
    <row r="9076" spans="1:6">
      <c r="A9076" t="s">
        <v>26949</v>
      </c>
      <c r="B9076" t="s">
        <v>26950</v>
      </c>
      <c r="C9076" t="s">
        <v>26951</v>
      </c>
      <c r="D9076" t="str">
        <f>HYPERLINK("https://github.com/nikita36078/J2ME-Loader/issues/539","show")</f>
        <v>show</v>
      </c>
      <c r="E9076" t="str">
        <f>HYPERLINK("https://github.com/nikita36078/J2ME-Loader","show")</f>
        <v>show</v>
      </c>
      <c r="F9076" t="str">
        <f>HYPERLINK("https://github.com/nikita36078/J2ME-Loader/releases","show")</f>
        <v>show</v>
      </c>
    </row>
    <row r="9077" spans="1:6">
      <c r="A9077" t="s">
        <v>26952</v>
      </c>
      <c r="B9077" t="s">
        <v>26953</v>
      </c>
      <c r="C9077" t="s">
        <v>26954</v>
      </c>
      <c r="D9077" t="str">
        <f>HYPERLINK("https://github.com/7LPdWcaW/GrowTracker-Android/issues/85","show")</f>
        <v>show</v>
      </c>
      <c r="E9077" t="str">
        <f>HYPERLINK("https://github.com/7LPdWcaW/GrowTracker-Android","show")</f>
        <v>show</v>
      </c>
      <c r="F9077" t="str">
        <f>HYPERLINK("https://github.com/7LPdWcaW/GrowTracker-Android/releases","show")</f>
        <v>show</v>
      </c>
    </row>
    <row r="9078" spans="1:6">
      <c r="A9078" t="s">
        <v>26955</v>
      </c>
      <c r="B9078" t="s">
        <v>26956</v>
      </c>
      <c r="C9078" t="s">
        <v>26957</v>
      </c>
      <c r="D9078" t="str">
        <f>HYPERLINK("https://github.com/nextcloud/android/issues/4172","show")</f>
        <v>show</v>
      </c>
      <c r="E9078" t="str">
        <f>HYPERLINK("https://github.com/nextcloud/android","show")</f>
        <v>show</v>
      </c>
      <c r="F9078" t="str">
        <f>HYPERLINK("https://github.com/nextcloud/android/releases","show")</f>
        <v>show</v>
      </c>
    </row>
    <row r="9079" spans="1:6">
      <c r="A9079" t="s">
        <v>26958</v>
      </c>
      <c r="B9079" t="s">
        <v>26959</v>
      </c>
      <c r="C9079" t="s">
        <v>26960</v>
      </c>
      <c r="D9079" t="str">
        <f>HYPERLINK("https://github.com/abuch99/SWD/issues/27","show")</f>
        <v>show</v>
      </c>
      <c r="E9079" t="str">
        <f>HYPERLINK("https://github.com/abuch99/SWD","show")</f>
        <v>show</v>
      </c>
      <c r="F9079" t="str">
        <f>HYPERLINK("https://github.com/abuch99/SWD/releases","show")</f>
        <v>show</v>
      </c>
    </row>
    <row r="9080" spans="1:6">
      <c r="A9080" t="s">
        <v>26961</v>
      </c>
      <c r="B9080" t="s">
        <v>26962</v>
      </c>
      <c r="C9080" t="s">
        <v>26963</v>
      </c>
      <c r="D9080" t="str">
        <f>HYPERLINK("https://github.com/tynmarket/Serenade/issues/19","show")</f>
        <v>show</v>
      </c>
      <c r="E9080" t="str">
        <f>HYPERLINK("https://github.com/tynmarket/Serenade","show")</f>
        <v>show</v>
      </c>
      <c r="F9080" t="str">
        <f>HYPERLINK("https://github.com/tynmarket/Serenade/releases","show")</f>
        <v>show</v>
      </c>
    </row>
    <row r="9081" spans="1:6">
      <c r="A9081" t="s">
        <v>26964</v>
      </c>
      <c r="B9081" t="s">
        <v>26965</v>
      </c>
      <c r="C9081" t="s">
        <v>26966</v>
      </c>
      <c r="D9081" t="str">
        <f>HYPERLINK("https://github.com/itachi1706/SingBuses/issues/172","show")</f>
        <v>show</v>
      </c>
      <c r="E9081" t="str">
        <f>HYPERLINK("https://github.com/itachi1706/SingBuses","show")</f>
        <v>show</v>
      </c>
      <c r="F9081" t="str">
        <f>HYPERLINK("https://github.com/itachi1706/SingBuses/releases","show")</f>
        <v>show</v>
      </c>
    </row>
    <row r="9082" spans="1:6">
      <c r="A9082" t="s">
        <v>26967</v>
      </c>
      <c r="B9082" t="s">
        <v>26968</v>
      </c>
      <c r="C9082" t="s">
        <v>26969</v>
      </c>
      <c r="D9082" t="str">
        <f>HYPERLINK("https://github.com/ElderDrivers/EdXposed/issues/305","show")</f>
        <v>show</v>
      </c>
      <c r="E9082" t="str">
        <f>HYPERLINK("https://github.com/ElderDrivers/EdXposed","show")</f>
        <v>show</v>
      </c>
      <c r="F9082" t="str">
        <f>HYPERLINK("https://github.com/ElderDrivers/EdXposed/releases","show")</f>
        <v>show</v>
      </c>
    </row>
    <row r="9083" spans="1:6">
      <c r="A9083" t="s">
        <v>26970</v>
      </c>
      <c r="B9083" t="s">
        <v>24646</v>
      </c>
      <c r="C9083" t="s">
        <v>26971</v>
      </c>
      <c r="D9083" t="str">
        <f>HYPERLINK("https://github.com/nextcloud/android/issues/4168","show")</f>
        <v>show</v>
      </c>
      <c r="E9083" t="str">
        <f>HYPERLINK("https://github.com/nextcloud/android","show")</f>
        <v>show</v>
      </c>
      <c r="F9083" t="str">
        <f>HYPERLINK("https://github.com/nextcloud/android/releases","show")</f>
        <v>show</v>
      </c>
    </row>
    <row r="9084" spans="1:6">
      <c r="A9084" t="s">
        <v>26972</v>
      </c>
      <c r="B9084" t="s">
        <v>26973</v>
      </c>
      <c r="C9084" t="s">
        <v>26974</v>
      </c>
      <c r="D9084" t="str">
        <f>HYPERLINK("https://github.com/fossasia/pslab-android/issues/1815","show")</f>
        <v>show</v>
      </c>
      <c r="E9084" t="str">
        <f>HYPERLINK("https://github.com/fossasia/pslab-android","show")</f>
        <v>show</v>
      </c>
      <c r="F9084" t="str">
        <f>HYPERLINK("https://github.com/fossasia/pslab-android/releases","show")</f>
        <v>show</v>
      </c>
    </row>
    <row r="9085" spans="1:6">
      <c r="A9085" t="s">
        <v>26975</v>
      </c>
      <c r="B9085" t="s">
        <v>26976</v>
      </c>
      <c r="C9085" t="s">
        <v>26977</v>
      </c>
      <c r="D9085" t="str">
        <f>HYPERLINK("https://github.com/telenordigital/connect-android-sdk/issues/178","show")</f>
        <v>show</v>
      </c>
      <c r="E9085" t="str">
        <f>HYPERLINK("https://github.com/telenordigital/connect-android-sdk","show")</f>
        <v>show</v>
      </c>
      <c r="F9085" t="str">
        <f>HYPERLINK("https://github.com/telenordigital/connect-android-sdk/releases","show")</f>
        <v>show</v>
      </c>
    </row>
    <row r="9086" spans="1:6">
      <c r="A9086" t="s">
        <v>26978</v>
      </c>
      <c r="B9086" t="s">
        <v>26979</v>
      </c>
      <c r="C9086" t="s">
        <v>26980</v>
      </c>
      <c r="D9086" t="str">
        <f>HYPERLINK("https://github.com/projectbuendia/client/issues/319","show")</f>
        <v>show</v>
      </c>
      <c r="E9086" t="str">
        <f>HYPERLINK("https://github.com/projectbuendia/client","show")</f>
        <v>show</v>
      </c>
      <c r="F9086" t="str">
        <f>HYPERLINK("https://github.com/projectbuendia/client/releases","show")</f>
        <v>show</v>
      </c>
    </row>
    <row r="9087" spans="1:6">
      <c r="A9087" t="s">
        <v>26981</v>
      </c>
      <c r="B9087" t="s">
        <v>26982</v>
      </c>
      <c r="C9087" t="s">
        <v>26983</v>
      </c>
      <c r="D9087" t="str">
        <f>HYPERLINK("https://github.com/projectbuendia/client/issues/310","show")</f>
        <v>show</v>
      </c>
      <c r="E9087" t="str">
        <f>HYPERLINK("https://github.com/projectbuendia/client","show")</f>
        <v>show</v>
      </c>
      <c r="F9087" t="str">
        <f>HYPERLINK("https://github.com/projectbuendia/client/releases","show")</f>
        <v>show</v>
      </c>
    </row>
    <row r="9088" spans="1:6">
      <c r="A9088" t="s">
        <v>26984</v>
      </c>
      <c r="B9088" t="s">
        <v>26985</v>
      </c>
      <c r="C9088" t="s">
        <v>26986</v>
      </c>
      <c r="D9088" t="str">
        <f>HYPERLINK("https://github.com/projectbuendia/client/issues/305","show")</f>
        <v>show</v>
      </c>
      <c r="E9088" t="str">
        <f>HYPERLINK("https://github.com/projectbuendia/client","show")</f>
        <v>show</v>
      </c>
      <c r="F9088" t="str">
        <f>HYPERLINK("https://github.com/projectbuendia/client/releases","show")</f>
        <v>show</v>
      </c>
    </row>
    <row r="9089" spans="1:6">
      <c r="A9089" t="s">
        <v>26987</v>
      </c>
      <c r="B9089" t="s">
        <v>26988</v>
      </c>
      <c r="C9089" t="s">
        <v>26989</v>
      </c>
      <c r="D9089" t="str">
        <f>HYPERLINK("https://github.com/getsentry/sentry-java/issues/728","show")</f>
        <v>show</v>
      </c>
      <c r="E9089" t="str">
        <f>HYPERLINK("https://github.com/getsentry/sentry-java","show")</f>
        <v>show</v>
      </c>
      <c r="F9089" t="str">
        <f>HYPERLINK("https://github.com/getsentry/sentry-java/releases","show")</f>
        <v>show</v>
      </c>
    </row>
    <row r="9090" spans="1:6">
      <c r="A9090" t="s">
        <v>26990</v>
      </c>
      <c r="B9090" t="s">
        <v>26991</v>
      </c>
      <c r="C9090" t="s">
        <v>26992</v>
      </c>
      <c r="D9090" t="str">
        <f>HYPERLINK("https://github.com/LawnchairLauncher/lawnchair/issues/1600","show")</f>
        <v>show</v>
      </c>
      <c r="E9090" t="str">
        <f>HYPERLINK("https://github.com/LawnchairLauncher/lawnchair","show")</f>
        <v>show</v>
      </c>
      <c r="F9090" t="str">
        <f>HYPERLINK("https://github.com/LawnchairLauncher/lawnchair/releases","show")</f>
        <v>show</v>
      </c>
    </row>
    <row r="9091" spans="1:6">
      <c r="A9091" t="s">
        <v>26993</v>
      </c>
      <c r="B9091" t="s">
        <v>26994</v>
      </c>
      <c r="C9091" t="s">
        <v>26995</v>
      </c>
      <c r="D9091" t="str">
        <f>HYPERLINK("https://github.com/renyuneyun/Easer/issues/228","show")</f>
        <v>show</v>
      </c>
      <c r="E9091" t="str">
        <f>HYPERLINK("https://github.com/renyuneyun/Easer","show")</f>
        <v>show</v>
      </c>
      <c r="F9091" t="str">
        <f>HYPERLINK("https://github.com/renyuneyun/Easer/releases","show")</f>
        <v>show</v>
      </c>
    </row>
    <row r="9092" spans="1:6">
      <c r="A9092" t="s">
        <v>26996</v>
      </c>
      <c r="B9092" t="s">
        <v>26997</v>
      </c>
      <c r="C9092" t="s">
        <v>26998</v>
      </c>
      <c r="D9092" t="str">
        <f>HYPERLINK("https://github.com/miguelpruivo/flutter_file_picker/issues/97","show")</f>
        <v>show</v>
      </c>
      <c r="E9092" t="str">
        <f>HYPERLINK("https://github.com/miguelpruivo/flutter_file_picker","show")</f>
        <v>show</v>
      </c>
      <c r="F9092" t="str">
        <f>HYPERLINK("https://github.com/miguelpruivo/flutter_file_picker/releases","show")</f>
        <v>show</v>
      </c>
    </row>
    <row r="9093" spans="1:6">
      <c r="A9093" t="s">
        <v>26999</v>
      </c>
      <c r="B9093" t="s">
        <v>27000</v>
      </c>
      <c r="C9093" t="s">
        <v>27001</v>
      </c>
      <c r="D9093" t="str">
        <f>HYPERLINK("https://github.com/square/okhttp/issues/5198","show")</f>
        <v>show</v>
      </c>
      <c r="E9093" t="str">
        <f>HYPERLINK("https://github.com/square/okhttp","show")</f>
        <v>show</v>
      </c>
      <c r="F9093" t="str">
        <f>HYPERLINK("https://github.com/square/okhttp/releases","show")</f>
        <v>show</v>
      </c>
    </row>
    <row r="9094" spans="1:6">
      <c r="A9094" t="s">
        <v>27002</v>
      </c>
      <c r="B9094" t="s">
        <v>27003</v>
      </c>
      <c r="C9094" t="s">
        <v>27004</v>
      </c>
      <c r="D9094" t="str">
        <f>HYPERLINK("https://github.com/itachi1706/SingBuses/issues/170","show")</f>
        <v>show</v>
      </c>
      <c r="E9094" t="str">
        <f>HYPERLINK("https://github.com/itachi1706/SingBuses","show")</f>
        <v>show</v>
      </c>
      <c r="F9094" t="str">
        <f>HYPERLINK("https://github.com/itachi1706/SingBuses/releases","show")</f>
        <v>show</v>
      </c>
    </row>
    <row r="9095" spans="1:6">
      <c r="A9095" t="s">
        <v>27005</v>
      </c>
      <c r="B9095" t="s">
        <v>27006</v>
      </c>
      <c r="C9095" t="s">
        <v>27007</v>
      </c>
      <c r="D9095" t="str">
        <f>HYPERLINK("https://github.com/dariuszseweryn/RxAndroidBle/issues/592","show")</f>
        <v>show</v>
      </c>
      <c r="E9095" t="str">
        <f>HYPERLINK("https://github.com/dariuszseweryn/RxAndroidBle","show")</f>
        <v>show</v>
      </c>
      <c r="F9095" t="str">
        <f>HYPERLINK("https://github.com/dariuszseweryn/RxAndroidBle/releases","show")</f>
        <v>show</v>
      </c>
    </row>
    <row r="9096" spans="1:6">
      <c r="A9096" t="s">
        <v>27008</v>
      </c>
      <c r="B9096" t="s">
        <v>27009</v>
      </c>
      <c r="C9096" t="s">
        <v>27010</v>
      </c>
      <c r="D9096" t="str">
        <f>HYPERLINK("https://github.com/bitstadium/HockeySDK-Android/issues/429","show")</f>
        <v>show</v>
      </c>
      <c r="E9096" t="str">
        <f>HYPERLINK("https://github.com/bitstadium/HockeySDK-Android","show")</f>
        <v>show</v>
      </c>
      <c r="F9096" t="str">
        <f>HYPERLINK("https://github.com/bitstadium/HockeySDK-Android/releases","show")</f>
        <v>show</v>
      </c>
    </row>
    <row r="9097" spans="1:6">
      <c r="A9097" t="s">
        <v>27011</v>
      </c>
      <c r="B9097" t="s">
        <v>27012</v>
      </c>
      <c r="C9097" t="s">
        <v>27013</v>
      </c>
      <c r="D9097" t="str">
        <f>HYPERLINK("https://github.com/jMonkeyEngine/jmonkeyengine/issues/1126","show")</f>
        <v>show</v>
      </c>
      <c r="E9097" t="str">
        <f>HYPERLINK("https://github.com/jMonkeyEngine/jmonkeyengine","show")</f>
        <v>show</v>
      </c>
      <c r="F9097" t="str">
        <f>HYPERLINK("https://github.com/jMonkeyEngine/jmonkeyengine/releases","show")</f>
        <v>show</v>
      </c>
    </row>
    <row r="9098" spans="1:6">
      <c r="A9098" t="s">
        <v>27014</v>
      </c>
      <c r="B9098" t="s">
        <v>27015</v>
      </c>
      <c r="C9098" t="s">
        <v>27016</v>
      </c>
      <c r="D9098" t="str">
        <f>HYPERLINK("https://github.com/TeamNewPipe/NewPipe/issues/2406","show")</f>
        <v>show</v>
      </c>
      <c r="E9098" t="str">
        <f>HYPERLINK("https://github.com/TeamNewPipe/NewPipe","show")</f>
        <v>show</v>
      </c>
      <c r="F9098" t="str">
        <f>HYPERLINK("https://github.com/TeamNewPipe/NewPipe/releases","show")</f>
        <v>show</v>
      </c>
    </row>
    <row r="9099" spans="1:6">
      <c r="A9099" t="s">
        <v>27017</v>
      </c>
      <c r="B9099" t="s">
        <v>27018</v>
      </c>
      <c r="C9099" t="s">
        <v>27019</v>
      </c>
      <c r="D9099" t="str">
        <f>HYPERLINK("https://github.com/LawnchairLauncher/lawnchair/issues/1593","show")</f>
        <v>show</v>
      </c>
      <c r="E9099" t="str">
        <f>HYPERLINK("https://github.com/LawnchairLauncher/lawnchair","show")</f>
        <v>show</v>
      </c>
      <c r="F9099" t="str">
        <f>HYPERLINK("https://github.com/LawnchairLauncher/lawnchair/releases","show")</f>
        <v>show</v>
      </c>
    </row>
    <row r="9100" spans="1:6">
      <c r="A9100" t="s">
        <v>27020</v>
      </c>
      <c r="B9100" t="s">
        <v>27021</v>
      </c>
      <c r="C9100" t="s">
        <v>27022</v>
      </c>
      <c r="D9100" t="str">
        <f>HYPERLINK("https://github.com/fieldsight/fieldsight-mobile/issues/222","show")</f>
        <v>show</v>
      </c>
      <c r="E9100" t="str">
        <f>HYPERLINK("https://github.com/fieldsight/fieldsight-mobile","show")</f>
        <v>show</v>
      </c>
      <c r="F9100" t="str">
        <f>HYPERLINK("https://github.com/fieldsight/fieldsight-mobile/releases","show")</f>
        <v>show</v>
      </c>
    </row>
    <row r="9101" spans="1:6">
      <c r="A9101" t="s">
        <v>27023</v>
      </c>
      <c r="B9101" t="s">
        <v>27024</v>
      </c>
      <c r="C9101" t="s">
        <v>27025</v>
      </c>
      <c r="D9101" t="str">
        <f>HYPERLINK("https://github.com/kontalk/androidclient/issues/1262","show")</f>
        <v>show</v>
      </c>
      <c r="E9101" t="str">
        <f>HYPERLINK("https://github.com/kontalk/androidclient","show")</f>
        <v>show</v>
      </c>
      <c r="F9101" t="str">
        <f>HYPERLINK("https://github.com/kontalk/androidclient/releases","show")</f>
        <v>show</v>
      </c>
    </row>
    <row r="9102" spans="1:6">
      <c r="A9102" t="s">
        <v>27026</v>
      </c>
      <c r="B9102" t="s">
        <v>27027</v>
      </c>
      <c r="C9102" t="s">
        <v>27028</v>
      </c>
      <c r="D9102" t="str">
        <f>HYPERLINK("https://github.com/microg/GmsCore/issues/839","show")</f>
        <v>show</v>
      </c>
      <c r="E9102" t="str">
        <f>HYPERLINK("https://github.com/microg/GmsCore","show")</f>
        <v>show</v>
      </c>
      <c r="F9102" t="str">
        <f>HYPERLINK("https://github.com/microg/GmsCore/releases","show")</f>
        <v>show</v>
      </c>
    </row>
    <row r="9103" spans="1:6">
      <c r="A9103" t="s">
        <v>27029</v>
      </c>
      <c r="B9103" t="s">
        <v>27030</v>
      </c>
      <c r="C9103" t="s">
        <v>27031</v>
      </c>
      <c r="D9103" t="str">
        <f>HYPERLINK("https://github.com/libgdx/gdx-pay/issues/198","show")</f>
        <v>show</v>
      </c>
      <c r="E9103" t="str">
        <f>HYPERLINK("https://github.com/libgdx/gdx-pay","show")</f>
        <v>show</v>
      </c>
      <c r="F9103" t="str">
        <f>HYPERLINK("https://github.com/libgdx/gdx-pay/releases","show")</f>
        <v>show</v>
      </c>
    </row>
    <row r="9104" spans="1:6">
      <c r="A9104" t="s">
        <v>27032</v>
      </c>
      <c r="B9104" t="s">
        <v>27033</v>
      </c>
      <c r="C9104" t="s">
        <v>27034</v>
      </c>
      <c r="D9104" t="str">
        <f>HYPERLINK("https://github.com/SecUSo/privacy-friendly-passwordgenerator/issues/34","show")</f>
        <v>show</v>
      </c>
      <c r="E9104" t="str">
        <f>HYPERLINK("https://github.com/SecUSo/privacy-friendly-passwordgenerator","show")</f>
        <v>show</v>
      </c>
      <c r="F9104" t="str">
        <f>HYPERLINK("https://github.com/SecUSo/privacy-friendly-passwordgenerator/releases","show")</f>
        <v>show</v>
      </c>
    </row>
    <row r="9105" spans="1:6">
      <c r="A9105" t="s">
        <v>27035</v>
      </c>
      <c r="B9105" t="s">
        <v>27036</v>
      </c>
      <c r="C9105" t="s">
        <v>27037</v>
      </c>
      <c r="D9105" t="str">
        <f>HYPERLINK("https://github.com/TeamNewPipe/NewPipe/issues/2397","show")</f>
        <v>show</v>
      </c>
      <c r="E9105" t="str">
        <f>HYPERLINK("https://github.com/TeamNewPipe/NewPipe","show")</f>
        <v>show</v>
      </c>
      <c r="F9105" t="str">
        <f>HYPERLINK("https://github.com/TeamNewPipe/NewPipe/releases","show")</f>
        <v>show</v>
      </c>
    </row>
    <row r="9106" spans="1:6">
      <c r="A9106" t="s">
        <v>27038</v>
      </c>
      <c r="B9106" t="s">
        <v>27039</v>
      </c>
      <c r="C9106" t="s">
        <v>27040</v>
      </c>
      <c r="D9106" t="str">
        <f>HYPERLINK("https://github.com/aws-amplify/aws-sdk-android/issues/1018","show")</f>
        <v>show</v>
      </c>
      <c r="E9106" t="str">
        <f>HYPERLINK("https://github.com/aws-amplify/aws-sdk-android","show")</f>
        <v>show</v>
      </c>
      <c r="F9106" t="str">
        <f>HYPERLINK("https://github.com/aws-amplify/aws-sdk-android/releases","show")</f>
        <v>show</v>
      </c>
    </row>
    <row r="9107" spans="1:6">
      <c r="A9107" t="s">
        <v>27041</v>
      </c>
      <c r="B9107" t="s">
        <v>27042</v>
      </c>
      <c r="C9107" t="s">
        <v>27043</v>
      </c>
      <c r="D9107" t="str">
        <f>HYPERLINK("https://github.com/fabienli/DokuwikiAndroid/issues/2","show")</f>
        <v>show</v>
      </c>
      <c r="E9107" t="str">
        <f>HYPERLINK("https://github.com/fabienli/DokuwikiAndroid","show")</f>
        <v>show</v>
      </c>
      <c r="F9107" t="str">
        <f>HYPERLINK("https://github.com/fabienli/DokuwikiAndroid/releases","show")</f>
        <v>show</v>
      </c>
    </row>
    <row r="9108" spans="1:6">
      <c r="A9108" t="s">
        <v>27044</v>
      </c>
      <c r="B9108" t="s">
        <v>22587</v>
      </c>
      <c r="C9108" t="s">
        <v>27045</v>
      </c>
      <c r="D9108" t="str">
        <f>HYPERLINK("https://github.com/BeckSM64/pitch-libgdx/issues/5","show")</f>
        <v>show</v>
      </c>
      <c r="E9108" t="str">
        <f>HYPERLINK("https://github.com/BeckSM64/pitch-libgdx","show")</f>
        <v>show</v>
      </c>
      <c r="F9108" t="str">
        <f>HYPERLINK("https://github.com/BeckSM64/pitch-libgdx/releases","show")</f>
        <v>show</v>
      </c>
    </row>
    <row r="9109" spans="1:6">
      <c r="A9109" t="s">
        <v>27046</v>
      </c>
      <c r="B9109" t="s">
        <v>27047</v>
      </c>
      <c r="C9109" t="s">
        <v>27048</v>
      </c>
      <c r="D9109" t="str">
        <f>HYPERLINK("https://github.com/iyegoroff/react-native-image-filter-kit/issues/18","show")</f>
        <v>show</v>
      </c>
      <c r="E9109" t="str">
        <f>HYPERLINK("https://github.com/iyegoroff/react-native-image-filter-kit","show")</f>
        <v>show</v>
      </c>
      <c r="F9109" t="str">
        <f>HYPERLINK("https://github.com/iyegoroff/react-native-image-filter-kit/releases","show")</f>
        <v>show</v>
      </c>
    </row>
    <row r="9110" spans="1:6">
      <c r="A9110" t="s">
        <v>27049</v>
      </c>
      <c r="B9110" t="s">
        <v>27050</v>
      </c>
      <c r="C9110" t="s">
        <v>27051</v>
      </c>
      <c r="D9110" t="str">
        <f>HYPERLINK("https://github.com/MozillaReality/FirefoxReality/issues/1315","show")</f>
        <v>show</v>
      </c>
      <c r="E9110" t="str">
        <f>HYPERLINK("https://github.com/MozillaReality/FirefoxReality","show")</f>
        <v>show</v>
      </c>
      <c r="F9110" t="str">
        <f>HYPERLINK("https://github.com/MozillaReality/FirefoxReality/releases","show")</f>
        <v>show</v>
      </c>
    </row>
    <row r="9111" spans="1:6">
      <c r="A9111" t="s">
        <v>27052</v>
      </c>
      <c r="B9111" t="s">
        <v>27053</v>
      </c>
      <c r="C9111" t="s">
        <v>27054</v>
      </c>
      <c r="D9111" t="str">
        <f>HYPERLINK("https://github.com/react-native-share/react-native-share/issues/522","show")</f>
        <v>show</v>
      </c>
      <c r="E9111" t="str">
        <f>HYPERLINK("https://github.com/react-native-share/react-native-share","show")</f>
        <v>show</v>
      </c>
      <c r="F9111" t="str">
        <f>HYPERLINK("https://github.com/react-native-share/react-native-share/releases","show")</f>
        <v>show</v>
      </c>
    </row>
    <row r="9112" spans="1:6">
      <c r="A9112" t="s">
        <v>27055</v>
      </c>
      <c r="B9112" t="s">
        <v>27056</v>
      </c>
      <c r="C9112" t="s">
        <v>27057</v>
      </c>
      <c r="D9112" t="str">
        <f>HYPERLINK("https://github.com/sw19-tug/morning11/issues/61","show")</f>
        <v>show</v>
      </c>
      <c r="E9112" t="str">
        <f>HYPERLINK("https://github.com/sw19-tug/morning11","show")</f>
        <v>show</v>
      </c>
      <c r="F9112" t="str">
        <f>HYPERLINK("https://github.com/sw19-tug/morning11/releases","show")</f>
        <v>show</v>
      </c>
    </row>
    <row r="9113" spans="1:6">
      <c r="A9113" t="s">
        <v>27058</v>
      </c>
      <c r="B9113" t="s">
        <v>27059</v>
      </c>
      <c r="C9113" t="s">
        <v>27060</v>
      </c>
      <c r="D9113" t="str">
        <f>HYPERLINK("https://github.com/LawnchairLauncher/lawnchair/issues/1584","show")</f>
        <v>show</v>
      </c>
      <c r="E9113" t="str">
        <f>HYPERLINK("https://github.com/LawnchairLauncher/lawnchair","show")</f>
        <v>show</v>
      </c>
      <c r="F9113" t="str">
        <f>HYPERLINK("https://github.com/LawnchairLauncher/lawnchair/releases","show")</f>
        <v>show</v>
      </c>
    </row>
    <row r="9114" spans="1:6">
      <c r="A9114" t="s">
        <v>27061</v>
      </c>
      <c r="B9114" t="s">
        <v>27062</v>
      </c>
      <c r="C9114" t="s">
        <v>27063</v>
      </c>
      <c r="D9114" t="str">
        <f>HYPERLINK("https://github.com/AEFeinstein/mtg-familiar/issues/469","show")</f>
        <v>show</v>
      </c>
      <c r="E9114" t="str">
        <f>HYPERLINK("https://github.com/AEFeinstein/mtg-familiar","show")</f>
        <v>show</v>
      </c>
      <c r="F9114" t="str">
        <f>HYPERLINK("https://github.com/AEFeinstein/mtg-familiar/releases","show")</f>
        <v>show</v>
      </c>
    </row>
    <row r="9115" spans="1:6">
      <c r="A9115" t="s">
        <v>27064</v>
      </c>
      <c r="B9115" t="s">
        <v>27065</v>
      </c>
      <c r="C9115" t="s">
        <v>27066</v>
      </c>
      <c r="D9115" t="str">
        <f>HYPERLINK("https://github.com/nikita36078/J2ME-Loader/issues/534","show")</f>
        <v>show</v>
      </c>
      <c r="E9115" t="str">
        <f>HYPERLINK("https://github.com/nikita36078/J2ME-Loader","show")</f>
        <v>show</v>
      </c>
      <c r="F9115" t="str">
        <f>HYPERLINK("https://github.com/nikita36078/J2ME-Loader/releases","show")</f>
        <v>show</v>
      </c>
    </row>
    <row r="9116" spans="1:6">
      <c r="A9116" t="s">
        <v>27067</v>
      </c>
      <c r="B9116" t="s">
        <v>27068</v>
      </c>
      <c r="C9116" t="s">
        <v>27069</v>
      </c>
      <c r="D9116" t="str">
        <f>HYPERLINK("https://github.com/ThomasGaubert/zephyr/issues/58","show")</f>
        <v>show</v>
      </c>
      <c r="E9116" t="str">
        <f>HYPERLINK("https://github.com/ThomasGaubert/zephyr","show")</f>
        <v>show</v>
      </c>
      <c r="F9116" t="str">
        <f>HYPERLINK("https://github.com/ThomasGaubert/zephyr/releases","show")</f>
        <v>show</v>
      </c>
    </row>
    <row r="9117" spans="1:6">
      <c r="A9117" t="s">
        <v>27070</v>
      </c>
      <c r="B9117" t="s">
        <v>27071</v>
      </c>
      <c r="C9117" t="s">
        <v>27072</v>
      </c>
      <c r="D9117" t="str">
        <f>HYPERLINK("https://github.com/Kashish-Sharma/TheNetwork-open/issues/5","show")</f>
        <v>show</v>
      </c>
      <c r="E9117" t="str">
        <f>HYPERLINK("https://github.com/Kashish-Sharma/TheNetwork-open","show")</f>
        <v>show</v>
      </c>
      <c r="F9117" t="str">
        <f>HYPERLINK("https://github.com/Kashish-Sharma/TheNetwork-open/releases","show")</f>
        <v>show</v>
      </c>
    </row>
    <row r="9118" spans="1:6">
      <c r="A9118" t="s">
        <v>27073</v>
      </c>
      <c r="B9118" t="s">
        <v>27074</v>
      </c>
      <c r="C9118" t="s">
        <v>27075</v>
      </c>
      <c r="D9118" t="str">
        <f>HYPERLINK("https://github.com/fossasia/pslab-android/issues/1783","show")</f>
        <v>show</v>
      </c>
      <c r="E9118" t="str">
        <f>HYPERLINK("https://github.com/fossasia/pslab-android","show")</f>
        <v>show</v>
      </c>
      <c r="F9118" t="str">
        <f>HYPERLINK("https://github.com/fossasia/pslab-android/releases","show")</f>
        <v>show</v>
      </c>
    </row>
    <row r="9119" spans="1:6">
      <c r="A9119" t="s">
        <v>27076</v>
      </c>
      <c r="B9119" t="s">
        <v>27077</v>
      </c>
      <c r="C9119" t="s">
        <v>27078</v>
      </c>
      <c r="D9119" t="str">
        <f>HYPERLINK("https://github.com/niclabs/adkintunmobile-androidclient/issues/205","show")</f>
        <v>show</v>
      </c>
      <c r="E9119" t="str">
        <f>HYPERLINK("https://github.com/niclabs/adkintunmobile-androidclient","show")</f>
        <v>show</v>
      </c>
      <c r="F9119" t="str">
        <f>HYPERLINK("https://github.com/niclabs/adkintunmobile-androidclient/releases","show")</f>
        <v>show</v>
      </c>
    </row>
    <row r="9120" spans="1:6">
      <c r="A9120" t="s">
        <v>27079</v>
      </c>
      <c r="B9120" t="s">
        <v>27080</v>
      </c>
      <c r="C9120" t="s">
        <v>27081</v>
      </c>
      <c r="D9120" t="str">
        <f>HYPERLINK("https://github.com/cgeo/cgeo/issues/7668","show")</f>
        <v>show</v>
      </c>
      <c r="E9120" t="str">
        <f>HYPERLINK("https://github.com/cgeo/cgeo","show")</f>
        <v>show</v>
      </c>
      <c r="F9120" t="str">
        <f>HYPERLINK("https://github.com/cgeo/cgeo/releases","show")</f>
        <v>show</v>
      </c>
    </row>
    <row r="9121" spans="1:6">
      <c r="A9121" t="s">
        <v>27082</v>
      </c>
      <c r="B9121" t="s">
        <v>27083</v>
      </c>
      <c r="C9121" t="s">
        <v>27084</v>
      </c>
      <c r="D9121" t="str">
        <f>HYPERLINK("https://github.com/fennifith/Alarmio/issues/47","show")</f>
        <v>show</v>
      </c>
      <c r="E9121" t="str">
        <f>HYPERLINK("https://github.com/fennifith/Alarmio","show")</f>
        <v>show</v>
      </c>
      <c r="F9121" t="str">
        <f>HYPERLINK("https://github.com/fennifith/Alarmio/releases","show")</f>
        <v>show</v>
      </c>
    </row>
    <row r="9122" spans="1:6">
      <c r="A9122" t="s">
        <v>27085</v>
      </c>
      <c r="B9122" t="s">
        <v>27086</v>
      </c>
      <c r="C9122" t="s">
        <v>27087</v>
      </c>
      <c r="D9122" t="str">
        <f>HYPERLINK("https://github.com/nextcloud/android/issues/4129","show")</f>
        <v>show</v>
      </c>
      <c r="E9122" t="str">
        <f>HYPERLINK("https://github.com/nextcloud/android","show")</f>
        <v>show</v>
      </c>
      <c r="F9122" t="str">
        <f>HYPERLINK("https://github.com/nextcloud/android/releases","show")</f>
        <v>show</v>
      </c>
    </row>
    <row r="9123" spans="1:6">
      <c r="A9123" t="s">
        <v>27088</v>
      </c>
      <c r="B9123" t="s">
        <v>27089</v>
      </c>
      <c r="C9123" t="s">
        <v>27090</v>
      </c>
      <c r="D9123" t="str">
        <f>HYPERLINK("https://github.com/fossasia/pslab-android/issues/1779","show")</f>
        <v>show</v>
      </c>
      <c r="E9123" t="str">
        <f>HYPERLINK("https://github.com/fossasia/pslab-android","show")</f>
        <v>show</v>
      </c>
      <c r="F9123" t="str">
        <f>HYPERLINK("https://github.com/fossasia/pslab-android/releases","show")</f>
        <v>show</v>
      </c>
    </row>
    <row r="9124" spans="1:6">
      <c r="A9124" t="s">
        <v>27091</v>
      </c>
      <c r="B9124" t="s">
        <v>27092</v>
      </c>
      <c r="C9124" t="s">
        <v>27093</v>
      </c>
      <c r="D9124" t="str">
        <f>HYPERLINK("https://github.com/oliexdev/openScale/issues/470","show")</f>
        <v>show</v>
      </c>
      <c r="E9124" t="str">
        <f>HYPERLINK("https://github.com/oliexdev/openScale","show")</f>
        <v>show</v>
      </c>
      <c r="F9124" t="str">
        <f>HYPERLINK("https://github.com/oliexdev/openScale/releases","show")</f>
        <v>show</v>
      </c>
    </row>
    <row r="9125" spans="1:6">
      <c r="A9125" t="s">
        <v>27094</v>
      </c>
      <c r="B9125" t="s">
        <v>27095</v>
      </c>
      <c r="C9125" t="s">
        <v>27096</v>
      </c>
      <c r="D9125" t="str">
        <f>HYPERLINK("https://github.com/andOTP/andOTP/issues/356","show")</f>
        <v>show</v>
      </c>
      <c r="E9125" t="str">
        <f>HYPERLINK("https://github.com/andOTP/andOTP","show")</f>
        <v>show</v>
      </c>
      <c r="F9125" t="str">
        <f>HYPERLINK("https://github.com/andOTP/andOTP/releases","show")</f>
        <v>show</v>
      </c>
    </row>
    <row r="9126" spans="1:6">
      <c r="A9126" t="s">
        <v>27097</v>
      </c>
      <c r="B9126" t="s">
        <v>27098</v>
      </c>
      <c r="C9126" t="s">
        <v>27099</v>
      </c>
      <c r="D9126" t="str">
        <f>HYPERLINK("https://github.com/nextcloud/android/issues/4121","show")</f>
        <v>show</v>
      </c>
      <c r="E9126" t="str">
        <f>HYPERLINK("https://github.com/nextcloud/android","show")</f>
        <v>show</v>
      </c>
      <c r="F9126" t="str">
        <f>HYPERLINK("https://github.com/nextcloud/android/releases","show")</f>
        <v>show</v>
      </c>
    </row>
    <row r="9127" spans="1:6">
      <c r="A9127" t="s">
        <v>27100</v>
      </c>
      <c r="B9127" t="s">
        <v>27101</v>
      </c>
      <c r="C9127" t="s">
        <v>27102</v>
      </c>
      <c r="D9127" t="str">
        <f>HYPERLINK("https://github.com/jupancs/MailSync/issues/42","show")</f>
        <v>show</v>
      </c>
      <c r="E9127" t="str">
        <f>HYPERLINK("https://github.com/jupancs/MailSync","show")</f>
        <v>show</v>
      </c>
      <c r="F9127" t="str">
        <f>HYPERLINK("https://github.com/jupancs/MailSync/releases","show")</f>
        <v>show</v>
      </c>
    </row>
    <row r="9128" spans="1:6">
      <c r="A9128" t="s">
        <v>27103</v>
      </c>
      <c r="B9128" t="s">
        <v>27104</v>
      </c>
      <c r="C9128" t="s">
        <v>27105</v>
      </c>
      <c r="D9128" t="str">
        <f>HYPERLINK("https://github.com/react-native-share/react-native-share/issues/517","show")</f>
        <v>show</v>
      </c>
      <c r="E9128" t="str">
        <f>HYPERLINK("https://github.com/react-native-share/react-native-share","show")</f>
        <v>show</v>
      </c>
      <c r="F9128" t="str">
        <f>HYPERLINK("https://github.com/react-native-share/react-native-share/releases","show")</f>
        <v>show</v>
      </c>
    </row>
    <row r="9129" spans="1:6">
      <c r="A9129" t="s">
        <v>27106</v>
      </c>
      <c r="B9129" t="s">
        <v>27107</v>
      </c>
      <c r="C9129" t="s">
        <v>27108</v>
      </c>
      <c r="D9129" t="str">
        <f>HYPERLINK("https://github.com/JavaCafe01/PdfViewer/issues/27","show")</f>
        <v>show</v>
      </c>
      <c r="E9129" t="str">
        <f>HYPERLINK("https://github.com/JavaCafe01/PdfViewer","show")</f>
        <v>show</v>
      </c>
      <c r="F9129" t="str">
        <f>HYPERLINK("https://github.com/JavaCafe01/PdfViewer/releases","show")</f>
        <v>show</v>
      </c>
    </row>
    <row r="9130" spans="1:6">
      <c r="A9130" t="s">
        <v>27109</v>
      </c>
      <c r="B9130" t="s">
        <v>27110</v>
      </c>
      <c r="C9130" t="s">
        <v>27111</v>
      </c>
      <c r="D9130" t="str">
        <f>HYPERLINK("https://github.com/mapbox/mapbox-events-android/issues/406","show")</f>
        <v>show</v>
      </c>
      <c r="E9130" t="str">
        <f>HYPERLINK("https://github.com/mapbox/mapbox-events-android","show")</f>
        <v>show</v>
      </c>
      <c r="F9130" t="str">
        <f>HYPERLINK("https://github.com/mapbox/mapbox-events-android/releases","show")</f>
        <v>show</v>
      </c>
    </row>
    <row r="9131" spans="1:6">
      <c r="A9131" t="s">
        <v>27112</v>
      </c>
      <c r="B9131" t="s">
        <v>27113</v>
      </c>
      <c r="C9131" t="s">
        <v>27114</v>
      </c>
      <c r="D9131" t="str">
        <f>HYPERLINK("https://github.com/andyrozman/RileyLinkAAPS/issues/131","show")</f>
        <v>show</v>
      </c>
      <c r="E9131" t="str">
        <f>HYPERLINK("https://github.com/andyrozman/RileyLinkAAPS","show")</f>
        <v>show</v>
      </c>
      <c r="F9131" t="str">
        <f>HYPERLINK("https://github.com/andyrozman/RileyLinkAAPS/releases","show")</f>
        <v>show</v>
      </c>
    </row>
    <row r="9132" spans="1:6">
      <c r="A9132" t="s">
        <v>27115</v>
      </c>
      <c r="B9132" t="s">
        <v>16682</v>
      </c>
      <c r="C9132" t="s">
        <v>27116</v>
      </c>
      <c r="D9132" t="str">
        <f>HYPERLINK("https://github.com/ElderDrivers/EdXposed/issues/280","show")</f>
        <v>show</v>
      </c>
      <c r="E9132" t="str">
        <f>HYPERLINK("https://github.com/ElderDrivers/EdXposed","show")</f>
        <v>show</v>
      </c>
      <c r="F9132" t="str">
        <f>HYPERLINK("https://github.com/ElderDrivers/EdXposed/releases","show")</f>
        <v>show</v>
      </c>
    </row>
    <row r="9133" spans="1:6">
      <c r="A9133" t="s">
        <v>27117</v>
      </c>
      <c r="B9133" t="s">
        <v>27118</v>
      </c>
      <c r="C9133" t="s">
        <v>27119</v>
      </c>
      <c r="D9133" t="str">
        <f>HYPERLINK("https://github.com/launchdarkly/android-client-sdk/issues/76","show")</f>
        <v>show</v>
      </c>
      <c r="E9133" t="str">
        <f>HYPERLINK("https://github.com/launchdarkly/android-client-sdk","show")</f>
        <v>show</v>
      </c>
      <c r="F9133" t="str">
        <f>HYPERLINK("https://github.com/launchdarkly/android-client-sdk/releases","show")</f>
        <v>show</v>
      </c>
    </row>
    <row r="9134" spans="1:6">
      <c r="A9134" t="s">
        <v>27120</v>
      </c>
      <c r="B9134" t="s">
        <v>27121</v>
      </c>
      <c r="C9134" t="s">
        <v>27122</v>
      </c>
      <c r="D9134" t="str">
        <f>HYPERLINK("https://github.com/Tencent/tinker/issues/1119","show")</f>
        <v>show</v>
      </c>
      <c r="E9134" t="str">
        <f>HYPERLINK("https://github.com/Tencent/tinker","show")</f>
        <v>show</v>
      </c>
      <c r="F9134" t="str">
        <f>HYPERLINK("https://github.com/Tencent/tinker/releases","show")</f>
        <v>show</v>
      </c>
    </row>
    <row r="9135" spans="1:6">
      <c r="A9135" t="s">
        <v>27123</v>
      </c>
      <c r="B9135" t="s">
        <v>27124</v>
      </c>
      <c r="C9135" t="s">
        <v>27125</v>
      </c>
      <c r="D9135" t="str">
        <f>HYPERLINK("https://github.com/RamiJ3mli/PercentageChartView/issues/14","show")</f>
        <v>show</v>
      </c>
      <c r="E9135" t="str">
        <f>HYPERLINK("https://github.com/RamiJ3mli/PercentageChartView","show")</f>
        <v>show</v>
      </c>
      <c r="F9135" t="str">
        <f>HYPERLINK("https://github.com/RamiJ3mli/PercentageChartView/releases","show")</f>
        <v>show</v>
      </c>
    </row>
    <row r="9136" spans="1:6">
      <c r="A9136" t="s">
        <v>27126</v>
      </c>
      <c r="B9136" t="s">
        <v>27127</v>
      </c>
      <c r="C9136" t="s">
        <v>27128</v>
      </c>
      <c r="D9136" t="str">
        <f>HYPERLINK("https://github.com/ElderDrivers/EdXposed/issues/276","show")</f>
        <v>show</v>
      </c>
      <c r="E9136" t="str">
        <f>HYPERLINK("https://github.com/ElderDrivers/EdXposed","show")</f>
        <v>show</v>
      </c>
      <c r="F9136" t="str">
        <f>HYPERLINK("https://github.com/ElderDrivers/EdXposed/releases","show")</f>
        <v>show</v>
      </c>
    </row>
    <row r="9137" spans="1:6">
      <c r="A9137" t="s">
        <v>27129</v>
      </c>
      <c r="B9137" t="s">
        <v>27130</v>
      </c>
      <c r="C9137" t="s">
        <v>27131</v>
      </c>
      <c r="D9137" t="str">
        <f>HYPERLINK("https://github.com/MozillaReality/FirefoxReality/issues/1295","show")</f>
        <v>show</v>
      </c>
      <c r="E9137" t="str">
        <f>HYPERLINK("https://github.com/MozillaReality/FirefoxReality","show")</f>
        <v>show</v>
      </c>
      <c r="F9137" t="str">
        <f>HYPERLINK("https://github.com/MozillaReality/FirefoxReality/releases","show")</f>
        <v>show</v>
      </c>
    </row>
    <row r="9138" spans="1:6">
      <c r="A9138" t="s">
        <v>27132</v>
      </c>
      <c r="B9138" t="s">
        <v>27133</v>
      </c>
      <c r="C9138" t="s">
        <v>27134</v>
      </c>
      <c r="D9138" t="str">
        <f>HYPERLINK("https://github.com/GreatApo/GreatFit/issues/48","show")</f>
        <v>show</v>
      </c>
      <c r="E9138" t="str">
        <f>HYPERLINK("https://github.com/GreatApo/GreatFit","show")</f>
        <v>show</v>
      </c>
      <c r="F9138" t="str">
        <f>HYPERLINK("https://github.com/GreatApo/GreatFit/releases","show")</f>
        <v>show</v>
      </c>
    </row>
    <row r="9139" spans="1:6">
      <c r="A9139" t="s">
        <v>27135</v>
      </c>
      <c r="B9139" t="s">
        <v>27136</v>
      </c>
      <c r="C9139" t="s">
        <v>27137</v>
      </c>
      <c r="D9139" t="str">
        <f>HYPERLINK("https://github.com/react-native-share/react-native-share/issues/515","show")</f>
        <v>show</v>
      </c>
      <c r="E9139" t="str">
        <f>HYPERLINK("https://github.com/react-native-share/react-native-share","show")</f>
        <v>show</v>
      </c>
      <c r="F9139" t="str">
        <f>HYPERLINK("https://github.com/react-native-share/react-native-share/releases","show")</f>
        <v>show</v>
      </c>
    </row>
    <row r="9140" spans="1:6">
      <c r="A9140" t="s">
        <v>27138</v>
      </c>
      <c r="B9140" t="s">
        <v>27139</v>
      </c>
      <c r="C9140" t="s">
        <v>27140</v>
      </c>
      <c r="D9140" t="str">
        <f>HYPERLINK("https://github.com/0x5ECF4ULT/PanicTrigger/issues/25","show")</f>
        <v>show</v>
      </c>
      <c r="E9140" t="str">
        <f>HYPERLINK("https://github.com/0x5ECF4ULT/PanicTrigger","show")</f>
        <v>show</v>
      </c>
      <c r="F9140" t="str">
        <f>HYPERLINK("https://github.com/0x5ECF4ULT/PanicTrigger/releases","show")</f>
        <v>show</v>
      </c>
    </row>
    <row r="9141" spans="1:6">
      <c r="A9141" t="s">
        <v>27141</v>
      </c>
      <c r="B9141" t="s">
        <v>27142</v>
      </c>
      <c r="C9141" t="s">
        <v>27143</v>
      </c>
      <c r="D9141" t="str">
        <f>HYPERLINK("https://github.com/JavaCafe01/PdfViewer/issues/26","show")</f>
        <v>show</v>
      </c>
      <c r="E9141" t="str">
        <f>HYPERLINK("https://github.com/JavaCafe01/PdfViewer","show")</f>
        <v>show</v>
      </c>
      <c r="F9141" t="str">
        <f>HYPERLINK("https://github.com/JavaCafe01/PdfViewer/releases","show")</f>
        <v>show</v>
      </c>
    </row>
    <row r="9142" spans="1:6">
      <c r="A9142" t="s">
        <v>27144</v>
      </c>
      <c r="B9142" t="s">
        <v>27145</v>
      </c>
      <c r="C9142" t="s">
        <v>27146</v>
      </c>
      <c r="D9142" t="str">
        <f>HYPERLINK("https://github.com/nextcloud/android/issues/4107","show")</f>
        <v>show</v>
      </c>
      <c r="E9142" t="str">
        <f>HYPERLINK("https://github.com/nextcloud/android","show")</f>
        <v>show</v>
      </c>
      <c r="F9142" t="str">
        <f>HYPERLINK("https://github.com/nextcloud/android/releases","show")</f>
        <v>show</v>
      </c>
    </row>
    <row r="9143" spans="1:6">
      <c r="A9143" t="s">
        <v>27147</v>
      </c>
      <c r="B9143" t="s">
        <v>27148</v>
      </c>
      <c r="C9143" t="s">
        <v>27149</v>
      </c>
      <c r="D9143" t="str">
        <f>HYPERLINK("https://github.com/MozillaReality/FirefoxReality/issues/1287","show")</f>
        <v>show</v>
      </c>
      <c r="E9143" t="str">
        <f>HYPERLINK("https://github.com/MozillaReality/FirefoxReality","show")</f>
        <v>show</v>
      </c>
      <c r="F9143" t="str">
        <f>HYPERLINK("https://github.com/MozillaReality/FirefoxReality/releases","show")</f>
        <v>show</v>
      </c>
    </row>
    <row r="9144" spans="1:6">
      <c r="A9144" t="s">
        <v>27150</v>
      </c>
      <c r="B9144" t="s">
        <v>27151</v>
      </c>
      <c r="C9144" t="s">
        <v>27152</v>
      </c>
      <c r="D9144" t="str">
        <f>HYPERLINK("https://github.com/bp713/GPIG-Team-A/issues/32","show")</f>
        <v>show</v>
      </c>
      <c r="E9144" t="str">
        <f>HYPERLINK("https://github.com/bp713/GPIG-Team-A","show")</f>
        <v>show</v>
      </c>
      <c r="F9144" t="str">
        <f>HYPERLINK("https://github.com/bp713/GPIG-Team-A/releases","show")</f>
        <v>show</v>
      </c>
    </row>
    <row r="9145" spans="1:6">
      <c r="A9145" t="s">
        <v>27153</v>
      </c>
      <c r="B9145" t="s">
        <v>27154</v>
      </c>
      <c r="C9145" t="s">
        <v>27155</v>
      </c>
      <c r="D9145" t="str">
        <f>HYPERLINK("https://github.com/fossasia/pslab-android/issues/1759","show")</f>
        <v>show</v>
      </c>
      <c r="E9145" t="str">
        <f>HYPERLINK("https://github.com/fossasia/pslab-android","show")</f>
        <v>show</v>
      </c>
      <c r="F9145" t="str">
        <f>HYPERLINK("https://github.com/fossasia/pslab-android/releases","show")</f>
        <v>show</v>
      </c>
    </row>
    <row r="9146" spans="1:6">
      <c r="A9146" t="s">
        <v>27156</v>
      </c>
      <c r="B9146" t="s">
        <v>27157</v>
      </c>
      <c r="C9146" t="s">
        <v>27158</v>
      </c>
      <c r="D9146" t="str">
        <f>HYPERLINK("https://github.com/MozillaReality/FirefoxReality/issues/1282","show")</f>
        <v>show</v>
      </c>
      <c r="E9146" t="str">
        <f>HYPERLINK("https://github.com/MozillaReality/FirefoxReality","show")</f>
        <v>show</v>
      </c>
      <c r="F9146" t="str">
        <f>HYPERLINK("https://github.com/MozillaReality/FirefoxReality/releases","show")</f>
        <v>show</v>
      </c>
    </row>
    <row r="9147" spans="1:6">
      <c r="A9147" t="s">
        <v>27159</v>
      </c>
      <c r="B9147" t="s">
        <v>27160</v>
      </c>
      <c r="C9147" t="s">
        <v>27161</v>
      </c>
      <c r="D9147" t="str">
        <f>HYPERLINK("https://github.com/MozillaReality/FirefoxReality/issues/1281","show")</f>
        <v>show</v>
      </c>
      <c r="E9147" t="str">
        <f>HYPERLINK("https://github.com/MozillaReality/FirefoxReality","show")</f>
        <v>show</v>
      </c>
      <c r="F9147" t="str">
        <f>HYPERLINK("https://github.com/MozillaReality/FirefoxReality/releases","show")</f>
        <v>show</v>
      </c>
    </row>
    <row r="9148" spans="1:6">
      <c r="A9148" t="s">
        <v>27162</v>
      </c>
      <c r="B9148" t="s">
        <v>27163</v>
      </c>
      <c r="C9148" t="s">
        <v>27164</v>
      </c>
      <c r="D9148" t="str">
        <f>HYPERLINK("https://github.com/MozillaReality/FirefoxReality/issues/1280","show")</f>
        <v>show</v>
      </c>
      <c r="E9148" t="str">
        <f>HYPERLINK("https://github.com/MozillaReality/FirefoxReality","show")</f>
        <v>show</v>
      </c>
      <c r="F9148" t="str">
        <f>HYPERLINK("https://github.com/MozillaReality/FirefoxReality/releases","show")</f>
        <v>show</v>
      </c>
    </row>
    <row r="9149" spans="1:6">
      <c r="A9149" t="s">
        <v>27165</v>
      </c>
      <c r="B9149" t="s">
        <v>27166</v>
      </c>
      <c r="C9149" t="s">
        <v>27167</v>
      </c>
      <c r="D9149" t="str">
        <f>HYPERLINK("https://github.com/chemicaltools/color-android/issues/15","show")</f>
        <v>show</v>
      </c>
      <c r="E9149" t="str">
        <f>HYPERLINK("https://github.com/chemicaltools/color-android","show")</f>
        <v>show</v>
      </c>
      <c r="F9149" t="str">
        <f>HYPERLINK("https://github.com/chemicaltools/color-android/releases","show")</f>
        <v>show</v>
      </c>
    </row>
    <row r="9150" spans="1:6">
      <c r="A9150" t="s">
        <v>27168</v>
      </c>
      <c r="B9150" t="s">
        <v>27169</v>
      </c>
      <c r="C9150" t="s">
        <v>27170</v>
      </c>
      <c r="D9150" t="str">
        <f>HYPERLINK("https://github.com/google/ExoPlayer/issues/5971","show")</f>
        <v>show</v>
      </c>
      <c r="E9150" t="str">
        <f>HYPERLINK("https://github.com/google/ExoPlayer","show")</f>
        <v>show</v>
      </c>
      <c r="F9150" t="str">
        <f>HYPERLINK("https://github.com/google/ExoPlayer/releases","show")</f>
        <v>show</v>
      </c>
    </row>
    <row r="9151" spans="1:6">
      <c r="A9151" t="s">
        <v>27171</v>
      </c>
      <c r="B9151" t="s">
        <v>27172</v>
      </c>
      <c r="C9151" t="s">
        <v>27173</v>
      </c>
      <c r="D9151" t="str">
        <f>HYPERLINK("https://github.com/Tencent/tinker/issues/1116","show")</f>
        <v>show</v>
      </c>
      <c r="E9151" t="str">
        <f>HYPERLINK("https://github.com/Tencent/tinker","show")</f>
        <v>show</v>
      </c>
      <c r="F9151" t="str">
        <f>HYPERLINK("https://github.com/Tencent/tinker/releases","show")</f>
        <v>show</v>
      </c>
    </row>
    <row r="9152" spans="1:6">
      <c r="A9152" t="s">
        <v>27174</v>
      </c>
      <c r="B9152" t="s">
        <v>27175</v>
      </c>
      <c r="C9152" t="s">
        <v>27176</v>
      </c>
      <c r="D9152" t="str">
        <f>HYPERLINK("https://github.com/aws-amplify/aws-sdk-android/issues/1001","show")</f>
        <v>show</v>
      </c>
      <c r="E9152" t="str">
        <f>HYPERLINK("https://github.com/aws-amplify/aws-sdk-android","show")</f>
        <v>show</v>
      </c>
      <c r="F9152" t="str">
        <f>HYPERLINK("https://github.com/aws-amplify/aws-sdk-android/releases","show")</f>
        <v>show</v>
      </c>
    </row>
    <row r="9153" spans="1:6">
      <c r="A9153" t="s">
        <v>27177</v>
      </c>
      <c r="B9153" t="s">
        <v>27178</v>
      </c>
      <c r="C9153" t="s">
        <v>27179</v>
      </c>
      <c r="D9153" t="str">
        <f>HYPERLINK("https://github.com/nextcloud/android/issues/4083","show")</f>
        <v>show</v>
      </c>
      <c r="E9153" t="str">
        <f>HYPERLINK("https://github.com/nextcloud/android","show")</f>
        <v>show</v>
      </c>
      <c r="F9153" t="str">
        <f>HYPERLINK("https://github.com/nextcloud/android/releases","show")</f>
        <v>show</v>
      </c>
    </row>
    <row r="9154" spans="1:6">
      <c r="A9154" t="s">
        <v>27180</v>
      </c>
      <c r="B9154" t="s">
        <v>27181</v>
      </c>
      <c r="C9154" t="s">
        <v>27182</v>
      </c>
      <c r="D9154" t="str">
        <f>HYPERLINK("https://github.com/bp713/GPIG-Team-A/issues/30","show")</f>
        <v>show</v>
      </c>
      <c r="E9154" t="str">
        <f>HYPERLINK("https://github.com/bp713/GPIG-Team-A","show")</f>
        <v>show</v>
      </c>
      <c r="F9154" t="str">
        <f>HYPERLINK("https://github.com/bp713/GPIG-Team-A/releases","show")</f>
        <v>show</v>
      </c>
    </row>
    <row r="9155" spans="1:6">
      <c r="A9155" t="s">
        <v>27183</v>
      </c>
      <c r="B9155" t="s">
        <v>27184</v>
      </c>
      <c r="C9155" t="s">
        <v>27185</v>
      </c>
      <c r="D9155" t="str">
        <f>HYPERLINK("https://github.com/miguelpruivo/flutter_file_picker/issues/86","show")</f>
        <v>show</v>
      </c>
      <c r="E9155" t="str">
        <f>HYPERLINK("https://github.com/miguelpruivo/flutter_file_picker","show")</f>
        <v>show</v>
      </c>
      <c r="F9155" t="str">
        <f>HYPERLINK("https://github.com/miguelpruivo/flutter_file_picker/releases","show")</f>
        <v>show</v>
      </c>
    </row>
    <row r="9156" spans="1:6">
      <c r="A9156" t="s">
        <v>27186</v>
      </c>
      <c r="B9156" t="s">
        <v>27187</v>
      </c>
      <c r="C9156" t="s">
        <v>27188</v>
      </c>
      <c r="D9156" t="str">
        <f>HYPERLINK("https://github.com/fossasia/open-event-organizer-android/issues/1676","show")</f>
        <v>show</v>
      </c>
      <c r="E9156" t="str">
        <f>HYPERLINK("https://github.com/fossasia/open-event-organizer-android","show")</f>
        <v>show</v>
      </c>
      <c r="F9156" t="str">
        <f>HYPERLINK("https://github.com/fossasia/open-event-organizer-android/releases","show")</f>
        <v>show</v>
      </c>
    </row>
    <row r="9157" spans="1:6">
      <c r="A9157" t="s">
        <v>27189</v>
      </c>
      <c r="B9157" t="s">
        <v>27190</v>
      </c>
      <c r="C9157" t="s">
        <v>27191</v>
      </c>
      <c r="D9157" t="str">
        <f>HYPERLINK("https://github.com/k3b/ToGoZip/issues/20","show")</f>
        <v>show</v>
      </c>
      <c r="E9157" t="str">
        <f>HYPERLINK("https://github.com/k3b/ToGoZip","show")</f>
        <v>show</v>
      </c>
      <c r="F9157" t="str">
        <f>HYPERLINK("https://github.com/k3b/ToGoZip/releases","show")</f>
        <v>show</v>
      </c>
    </row>
    <row r="9158" spans="1:6">
      <c r="A9158" t="s">
        <v>27192</v>
      </c>
      <c r="B9158" t="s">
        <v>27193</v>
      </c>
      <c r="C9158" t="s">
        <v>27194</v>
      </c>
      <c r="D9158" t="str">
        <f>HYPERLINK("https://github.com/Swati4star/Images-to-PDF/issues/771","show")</f>
        <v>show</v>
      </c>
      <c r="E9158" t="str">
        <f>HYPERLINK("https://github.com/Swati4star/Images-to-PDF","show")</f>
        <v>show</v>
      </c>
      <c r="F9158" t="str">
        <f>HYPERLINK("https://github.com/Swati4star/Images-to-PDF/releases","show")</f>
        <v>show</v>
      </c>
    </row>
    <row r="9159" spans="1:6">
      <c r="A9159" t="s">
        <v>27195</v>
      </c>
      <c r="B9159" t="s">
        <v>27196</v>
      </c>
      <c r="C9159" t="s">
        <v>27197</v>
      </c>
      <c r="D9159" t="str">
        <f>HYPERLINK("https://github.com/andyrozman/RileyLinkAAPS/issues/127","show")</f>
        <v>show</v>
      </c>
      <c r="E9159" t="str">
        <f>HYPERLINK("https://github.com/andyrozman/RileyLinkAAPS","show")</f>
        <v>show</v>
      </c>
      <c r="F9159" t="str">
        <f>HYPERLINK("https://github.com/andyrozman/RileyLinkAAPS/releases","show")</f>
        <v>show</v>
      </c>
    </row>
    <row r="9160" spans="1:6">
      <c r="A9160" t="s">
        <v>27198</v>
      </c>
      <c r="B9160" t="s">
        <v>27199</v>
      </c>
      <c r="C9160" t="s">
        <v>27200</v>
      </c>
      <c r="D9160" t="str">
        <f>HYPERLINK("https://github.com/fossasia/open-event-organizer-android/issues/1671","show")</f>
        <v>show</v>
      </c>
      <c r="E9160" t="str">
        <f>HYPERLINK("https://github.com/fossasia/open-event-organizer-android","show")</f>
        <v>show</v>
      </c>
      <c r="F9160" t="str">
        <f>HYPERLINK("https://github.com/fossasia/open-event-organizer-android/releases","show")</f>
        <v>show</v>
      </c>
    </row>
    <row r="9161" spans="1:6">
      <c r="A9161" t="s">
        <v>27201</v>
      </c>
      <c r="B9161" t="s">
        <v>27202</v>
      </c>
      <c r="C9161" t="s">
        <v>27203</v>
      </c>
      <c r="D9161" t="str">
        <f>HYPERLINK("https://github.com/LawnchairLauncher/lawnchair/issues/1568","show")</f>
        <v>show</v>
      </c>
      <c r="E9161" t="str">
        <f>HYPERLINK("https://github.com/LawnchairLauncher/lawnchair","show")</f>
        <v>show</v>
      </c>
      <c r="F9161" t="str">
        <f>HYPERLINK("https://github.com/LawnchairLauncher/lawnchair/releases","show")</f>
        <v>show</v>
      </c>
    </row>
    <row r="9162" spans="1:6">
      <c r="A9162" t="s">
        <v>27204</v>
      </c>
      <c r="B9162" t="s">
        <v>27205</v>
      </c>
      <c r="C9162" t="s">
        <v>27206</v>
      </c>
      <c r="D9162" t="str">
        <f>HYPERLINK("https://github.com/fossasia/neurolab-android/issues/245","show")</f>
        <v>show</v>
      </c>
      <c r="E9162" t="str">
        <f>HYPERLINK("https://github.com/fossasia/neurolab-android","show")</f>
        <v>show</v>
      </c>
      <c r="F9162" t="str">
        <f>HYPERLINK("https://github.com/fossasia/neurolab-android/releases","show")</f>
        <v>show</v>
      </c>
    </row>
    <row r="9163" spans="1:6">
      <c r="A9163" t="s">
        <v>27207</v>
      </c>
      <c r="B9163" t="s">
        <v>27208</v>
      </c>
      <c r="C9163" t="s">
        <v>27209</v>
      </c>
      <c r="D9163" t="str">
        <f>HYPERLINK("https://github.com/nextcloud/talk-android/issues/548","show")</f>
        <v>show</v>
      </c>
      <c r="E9163" t="str">
        <f>HYPERLINK("https://github.com/nextcloud/talk-android","show")</f>
        <v>show</v>
      </c>
      <c r="F9163" t="str">
        <f>HYPERLINK("https://github.com/nextcloud/talk-android/releases","show")</f>
        <v>show</v>
      </c>
    </row>
    <row r="9164" spans="1:6">
      <c r="A9164" t="s">
        <v>27210</v>
      </c>
      <c r="B9164" t="s">
        <v>27211</v>
      </c>
      <c r="C9164" t="s">
        <v>27212</v>
      </c>
      <c r="D9164" t="str">
        <f>HYPERLINK("https://github.com/TeamNewPipe/NewPipe/issues/2360","show")</f>
        <v>show</v>
      </c>
      <c r="E9164" t="str">
        <f>HYPERLINK("https://github.com/TeamNewPipe/NewPipe","show")</f>
        <v>show</v>
      </c>
      <c r="F9164" t="str">
        <f>HYPERLINK("https://github.com/TeamNewPipe/NewPipe/releases","show")</f>
        <v>show</v>
      </c>
    </row>
    <row r="9165" spans="1:6">
      <c r="A9165" t="s">
        <v>27213</v>
      </c>
      <c r="B9165" t="s">
        <v>27214</v>
      </c>
      <c r="C9165" t="s">
        <v>27215</v>
      </c>
      <c r="D9165" t="str">
        <f>HYPERLINK("https://github.com/NordicSemiconductor/Android-nRF-Blinky/issues/24","show")</f>
        <v>show</v>
      </c>
      <c r="E9165" t="str">
        <f>HYPERLINK("https://github.com/NordicSemiconductor/Android-nRF-Blinky","show")</f>
        <v>show</v>
      </c>
      <c r="F9165" t="str">
        <f>HYPERLINK("https://github.com/NordicSemiconductor/Android-nRF-Blinky/releases","show")</f>
        <v>show</v>
      </c>
    </row>
    <row r="9166" spans="1:6">
      <c r="A9166" t="s">
        <v>27216</v>
      </c>
      <c r="B9166" t="s">
        <v>27217</v>
      </c>
      <c r="C9166" t="s">
        <v>27218</v>
      </c>
      <c r="D9166" t="str">
        <f>HYPERLINK("https://github.com/shuhart/StickyHeader/issues/5","show")</f>
        <v>show</v>
      </c>
      <c r="E9166" t="str">
        <f>HYPERLINK("https://github.com/shuhart/StickyHeader","show")</f>
        <v>show</v>
      </c>
      <c r="F9166" t="str">
        <f>HYPERLINK("https://github.com/shuhart/StickyHeader/releases","show")</f>
        <v>show</v>
      </c>
    </row>
    <row r="9167" spans="1:6">
      <c r="A9167" t="s">
        <v>27219</v>
      </c>
      <c r="B9167" t="s">
        <v>27220</v>
      </c>
      <c r="C9167" t="s">
        <v>27221</v>
      </c>
      <c r="D9167" t="str">
        <f>HYPERLINK("https://github.com/gauravjot/android-noad-music-player/issues/1","show")</f>
        <v>show</v>
      </c>
      <c r="E9167" t="str">
        <f>HYPERLINK("https://github.com/gauravjot/android-noad-music-player","show")</f>
        <v>show</v>
      </c>
      <c r="F9167" t="str">
        <f>HYPERLINK("https://github.com/gauravjot/android-noad-music-player/releases","show")</f>
        <v>show</v>
      </c>
    </row>
    <row r="9168" spans="1:6">
      <c r="A9168" t="s">
        <v>27222</v>
      </c>
      <c r="B9168" t="s">
        <v>27223</v>
      </c>
      <c r="C9168" t="s">
        <v>27224</v>
      </c>
      <c r="D9168" t="str">
        <f>HYPERLINK("https://github.com/fossasia/pslab-android/issues/1736","show")</f>
        <v>show</v>
      </c>
      <c r="E9168" t="str">
        <f>HYPERLINK("https://github.com/fossasia/pslab-android","show")</f>
        <v>show</v>
      </c>
      <c r="F9168" t="str">
        <f>HYPERLINK("https://github.com/fossasia/pslab-android/releases","show")</f>
        <v>show</v>
      </c>
    </row>
    <row r="9169" spans="1:6">
      <c r="A9169" t="s">
        <v>27225</v>
      </c>
      <c r="B9169" t="s">
        <v>27226</v>
      </c>
      <c r="C9169" t="s">
        <v>27227</v>
      </c>
      <c r="D9169" t="str">
        <f>HYPERLINK("https://github.com/novoda/no-player/issues/242","show")</f>
        <v>show</v>
      </c>
      <c r="E9169" t="str">
        <f>HYPERLINK("https://github.com/novoda/no-player","show")</f>
        <v>show</v>
      </c>
      <c r="F9169" t="str">
        <f>HYPERLINK("https://github.com/novoda/no-player/releases","show")</f>
        <v>show</v>
      </c>
    </row>
    <row r="9170" spans="1:6">
      <c r="A9170" t="s">
        <v>27228</v>
      </c>
      <c r="B9170" t="s">
        <v>27229</v>
      </c>
      <c r="C9170" t="s">
        <v>27230</v>
      </c>
      <c r="D9170" t="str">
        <f>HYPERLINK("https://github.com/TechnionYP5779/team1-Social-Geha/issues/83","show")</f>
        <v>show</v>
      </c>
      <c r="E9170" t="str">
        <f>HYPERLINK("https://github.com/TechnionYP5779/team1-Social-Geha","show")</f>
        <v>show</v>
      </c>
      <c r="F9170" t="str">
        <f>HYPERLINK("https://github.com/TechnionYP5779/team1-Social-Geha/releases","show")</f>
        <v>show</v>
      </c>
    </row>
    <row r="9171" spans="1:6">
      <c r="A9171" t="s">
        <v>27231</v>
      </c>
      <c r="B9171" t="s">
        <v>27232</v>
      </c>
      <c r="C9171" t="s">
        <v>27233</v>
      </c>
      <c r="D9171" t="str">
        <f>HYPERLINK("https://github.com/aws-amplify/aws-sdk-android/issues/972","show")</f>
        <v>show</v>
      </c>
      <c r="E9171" t="str">
        <f>HYPERLINK("https://github.com/aws-amplify/aws-sdk-android","show")</f>
        <v>show</v>
      </c>
      <c r="F9171" t="str">
        <f>HYPERLINK("https://github.com/aws-amplify/aws-sdk-android/releases","show")</f>
        <v>show</v>
      </c>
    </row>
    <row r="9172" spans="1:6">
      <c r="A9172" t="s">
        <v>27234</v>
      </c>
      <c r="B9172" t="s">
        <v>27235</v>
      </c>
      <c r="C9172" t="s">
        <v>27236</v>
      </c>
      <c r="D9172" t="str">
        <f>HYPERLINK("https://github.com/launchdarkly/android-client-sdk/issues/74","show")</f>
        <v>show</v>
      </c>
      <c r="E9172" t="str">
        <f>HYPERLINK("https://github.com/launchdarkly/android-client-sdk","show")</f>
        <v>show</v>
      </c>
      <c r="F9172" t="str">
        <f>HYPERLINK("https://github.com/launchdarkly/android-client-sdk/releases","show")</f>
        <v>show</v>
      </c>
    </row>
    <row r="9173" spans="1:6">
      <c r="A9173" t="s">
        <v>27237</v>
      </c>
      <c r="B9173" t="s">
        <v>27238</v>
      </c>
      <c r="C9173" t="s">
        <v>27239</v>
      </c>
      <c r="D9173" t="str">
        <f>HYPERLINK("https://github.com/bp713/GPIG-Team-A/issues/5","show")</f>
        <v>show</v>
      </c>
      <c r="E9173" t="str">
        <f>HYPERLINK("https://github.com/bp713/GPIG-Team-A","show")</f>
        <v>show</v>
      </c>
      <c r="F9173" t="str">
        <f>HYPERLINK("https://github.com/bp713/GPIG-Team-A/releases","show")</f>
        <v>show</v>
      </c>
    </row>
    <row r="9174" spans="1:6">
      <c r="A9174" t="s">
        <v>27240</v>
      </c>
      <c r="B9174" t="s">
        <v>27241</v>
      </c>
      <c r="C9174" t="s">
        <v>27242</v>
      </c>
      <c r="D9174" t="str">
        <f>HYPERLINK("https://github.com/bp713/GPIG-Team-A/issues/4","show")</f>
        <v>show</v>
      </c>
      <c r="E9174" t="str">
        <f>HYPERLINK("https://github.com/bp713/GPIG-Team-A","show")</f>
        <v>show</v>
      </c>
      <c r="F9174" t="str">
        <f>HYPERLINK("https://github.com/bp713/GPIG-Team-A/releases","show")</f>
        <v>show</v>
      </c>
    </row>
    <row r="9175" spans="1:6">
      <c r="A9175" t="s">
        <v>27243</v>
      </c>
      <c r="B9175" t="s">
        <v>27244</v>
      </c>
      <c r="C9175" t="s">
        <v>27245</v>
      </c>
      <c r="D9175" t="str">
        <f>HYPERLINK("https://github.com/lisawray/groupie/issues/257","show")</f>
        <v>show</v>
      </c>
      <c r="E9175" t="str">
        <f>HYPERLINK("https://github.com/lisawray/groupie","show")</f>
        <v>show</v>
      </c>
      <c r="F9175" t="str">
        <f>HYPERLINK("https://github.com/lisawray/groupie/releases","show")</f>
        <v>show</v>
      </c>
    </row>
    <row r="9176" spans="1:6">
      <c r="A9176" t="s">
        <v>27246</v>
      </c>
      <c r="B9176" t="s">
        <v>27247</v>
      </c>
      <c r="C9176" t="s">
        <v>27248</v>
      </c>
      <c r="D9176" t="str">
        <f>HYPERLINK("https://github.com/vvvt/android-speaker-identification/issues/2","show")</f>
        <v>show</v>
      </c>
      <c r="E9176" t="str">
        <f>HYPERLINK("https://github.com/vvvt/android-speaker-identification","show")</f>
        <v>show</v>
      </c>
      <c r="F9176" t="str">
        <f>HYPERLINK("https://github.com/vvvt/android-speaker-identification/releases","show")</f>
        <v>show</v>
      </c>
    </row>
    <row r="9177" spans="1:6">
      <c r="A9177" t="s">
        <v>27249</v>
      </c>
      <c r="B9177" t="s">
        <v>27250</v>
      </c>
      <c r="C9177" t="s">
        <v>27251</v>
      </c>
      <c r="D9177" t="str">
        <f>HYPERLINK("https://github.com/EyeSeeTea/EReferralsApp/issues/213","show")</f>
        <v>show</v>
      </c>
      <c r="E9177" t="str">
        <f>HYPERLINK("https://github.com/EyeSeeTea/EReferralsApp","show")</f>
        <v>show</v>
      </c>
      <c r="F9177" t="str">
        <f>HYPERLINK("https://github.com/EyeSeeTea/EReferralsApp/releases","show")</f>
        <v>show</v>
      </c>
    </row>
    <row r="9178" spans="1:6">
      <c r="A9178" t="s">
        <v>27252</v>
      </c>
      <c r="B9178" t="s">
        <v>27253</v>
      </c>
      <c r="C9178" t="s">
        <v>27254</v>
      </c>
      <c r="D9178" t="str">
        <f>HYPERLINK("https://github.com/MiEcosystem/NewXmPluginSDK/issues/97","show")</f>
        <v>show</v>
      </c>
      <c r="E9178" t="str">
        <f>HYPERLINK("https://github.com/MiEcosystem/NewXmPluginSDK","show")</f>
        <v>show</v>
      </c>
      <c r="F9178" t="str">
        <f>HYPERLINK("https://github.com/MiEcosystem/NewXmPluginSDK/releases","show")</f>
        <v>show</v>
      </c>
    </row>
    <row r="9179" spans="1:6">
      <c r="A9179" t="s">
        <v>27255</v>
      </c>
      <c r="B9179" t="s">
        <v>27256</v>
      </c>
      <c r="C9179" t="s">
        <v>27257</v>
      </c>
      <c r="D9179" t="str">
        <f>HYPERLINK("https://github.com/figonzal1/LastQuakeChile/issues/10","show")</f>
        <v>show</v>
      </c>
      <c r="E9179" t="str">
        <f>HYPERLINK("https://github.com/figonzal1/LastQuakeChile","show")</f>
        <v>show</v>
      </c>
      <c r="F9179" t="str">
        <f>HYPERLINK("https://github.com/figonzal1/LastQuakeChile/releases","show")</f>
        <v>show</v>
      </c>
    </row>
    <row r="9180" spans="1:6">
      <c r="A9180" t="s">
        <v>27258</v>
      </c>
      <c r="B9180" t="s">
        <v>27259</v>
      </c>
      <c r="C9180" t="s">
        <v>27260</v>
      </c>
      <c r="D9180" t="str">
        <f>HYPERLINK("https://github.com/bp713/GPIG-Team-A/issues/2","show")</f>
        <v>show</v>
      </c>
      <c r="E9180" t="str">
        <f>HYPERLINK("https://github.com/bp713/GPIG-Team-A","show")</f>
        <v>show</v>
      </c>
      <c r="F9180" t="str">
        <f>HYPERLINK("https://github.com/bp713/GPIG-Team-A/releases","show")</f>
        <v>show</v>
      </c>
    </row>
    <row r="9181" spans="1:6">
      <c r="A9181" t="s">
        <v>27261</v>
      </c>
      <c r="B9181" t="s">
        <v>27262</v>
      </c>
      <c r="C9181" t="s">
        <v>27263</v>
      </c>
      <c r="D9181" t="str">
        <f>HYPERLINK("https://github.com/Baltasarq/nadamillas/issues/1","show")</f>
        <v>show</v>
      </c>
      <c r="E9181" t="str">
        <f>HYPERLINK("https://github.com/Baltasarq/nadamillas","show")</f>
        <v>show</v>
      </c>
      <c r="F9181" t="str">
        <f>HYPERLINK("https://github.com/Baltasarq/nadamillas/releases","show")</f>
        <v>show</v>
      </c>
    </row>
    <row r="9182" spans="1:6">
      <c r="A9182" t="s">
        <v>27264</v>
      </c>
      <c r="B9182" t="s">
        <v>27265</v>
      </c>
      <c r="C9182" t="s">
        <v>27266</v>
      </c>
      <c r="D9182" t="str">
        <f>HYPERLINK("https://github.com/segler-alex/RadioDroid/issues/497","show")</f>
        <v>show</v>
      </c>
      <c r="E9182" t="str">
        <f>HYPERLINK("https://github.com/segler-alex/RadioDroid","show")</f>
        <v>show</v>
      </c>
      <c r="F9182" t="str">
        <f>HYPERLINK("https://github.com/segler-alex/RadioDroid/releases","show")</f>
        <v>show</v>
      </c>
    </row>
    <row r="9183" spans="1:6">
      <c r="A9183" t="s">
        <v>27267</v>
      </c>
      <c r="B9183" t="s">
        <v>27268</v>
      </c>
      <c r="C9183" t="s">
        <v>27269</v>
      </c>
      <c r="D9183" t="str">
        <f>HYPERLINK("https://github.com/nextcloud/news-android/issues/770","show")</f>
        <v>show</v>
      </c>
      <c r="E9183" t="str">
        <f>HYPERLINK("https://github.com/nextcloud/news-android","show")</f>
        <v>show</v>
      </c>
      <c r="F9183" t="str">
        <f>HYPERLINK("https://github.com/nextcloud/news-android/releases","show")</f>
        <v>show</v>
      </c>
    </row>
    <row r="9184" spans="1:6">
      <c r="A9184" t="s">
        <v>27270</v>
      </c>
      <c r="B9184" t="s">
        <v>27271</v>
      </c>
      <c r="C9184" t="s">
        <v>27272</v>
      </c>
      <c r="D9184" t="str">
        <f>HYPERLINK("https://github.com/nikita36078/J2ME-Loader/issues/517","show")</f>
        <v>show</v>
      </c>
      <c r="E9184" t="str">
        <f>HYPERLINK("https://github.com/nikita36078/J2ME-Loader","show")</f>
        <v>show</v>
      </c>
      <c r="F9184" t="str">
        <f>HYPERLINK("https://github.com/nikita36078/J2ME-Loader/releases","show")</f>
        <v>show</v>
      </c>
    </row>
    <row r="9185" spans="1:6">
      <c r="A9185" t="s">
        <v>27273</v>
      </c>
      <c r="B9185" t="s">
        <v>27274</v>
      </c>
      <c r="C9185" t="s">
        <v>27275</v>
      </c>
      <c r="D9185" t="str">
        <f>HYPERLINK("https://github.com/mehnlo/PracticeApp/issues/9","show")</f>
        <v>show</v>
      </c>
      <c r="E9185" t="str">
        <f>HYPERLINK("https://github.com/mehnlo/PracticeApp","show")</f>
        <v>show</v>
      </c>
      <c r="F9185" t="str">
        <f>HYPERLINK("https://github.com/mehnlo/PracticeApp/releases","show")</f>
        <v>show</v>
      </c>
    </row>
    <row r="9186" spans="1:6">
      <c r="A9186" t="s">
        <v>27276</v>
      </c>
      <c r="B9186" t="s">
        <v>27277</v>
      </c>
      <c r="C9186" t="s">
        <v>27278</v>
      </c>
      <c r="D9186" t="str">
        <f>HYPERLINK("https://github.com/ElderDrivers/EdXposed/issues/258","show")</f>
        <v>show</v>
      </c>
      <c r="E9186" t="str">
        <f>HYPERLINK("https://github.com/ElderDrivers/EdXposed","show")</f>
        <v>show</v>
      </c>
      <c r="F9186" t="str">
        <f>HYPERLINK("https://github.com/ElderDrivers/EdXposed/releases","show")</f>
        <v>show</v>
      </c>
    </row>
    <row r="9187" spans="1:6">
      <c r="A9187" t="s">
        <v>27279</v>
      </c>
      <c r="B9187" t="s">
        <v>27280</v>
      </c>
      <c r="C9187" t="s">
        <v>27281</v>
      </c>
      <c r="D9187" t="str">
        <f>HYPERLINK("https://github.com/roberto-o-r/DailyPrayer-Android/issues/22","show")</f>
        <v>show</v>
      </c>
      <c r="E9187" t="str">
        <f>HYPERLINK("https://github.com/roberto-o-r/DailyPrayer-Android","show")</f>
        <v>show</v>
      </c>
      <c r="F9187" t="str">
        <f>HYPERLINK("https://github.com/roberto-o-r/DailyPrayer-Android/releases","show")</f>
        <v>show</v>
      </c>
    </row>
    <row r="9188" spans="1:6">
      <c r="A9188" t="s">
        <v>27282</v>
      </c>
      <c r="B9188" t="s">
        <v>27283</v>
      </c>
      <c r="C9188" t="s">
        <v>27284</v>
      </c>
      <c r="D9188" t="str">
        <f>HYPERLINK("https://github.com/mathisdt/sdbviewer/issues/10","show")</f>
        <v>show</v>
      </c>
      <c r="E9188" t="str">
        <f>HYPERLINK("https://github.com/mathisdt/sdbviewer","show")</f>
        <v>show</v>
      </c>
      <c r="F9188" t="str">
        <f>HYPERLINK("https://github.com/mathisdt/sdbviewer/releases","show")</f>
        <v>show</v>
      </c>
    </row>
    <row r="9189" spans="1:6">
      <c r="A9189" t="s">
        <v>27285</v>
      </c>
      <c r="B9189" t="s">
        <v>27286</v>
      </c>
      <c r="C9189" t="s">
        <v>27287</v>
      </c>
      <c r="D9189" t="str">
        <f>HYPERLINK("https://github.com/nikita36078/J2ME-Loader/issues/516","show")</f>
        <v>show</v>
      </c>
      <c r="E9189" t="str">
        <f>HYPERLINK("https://github.com/nikita36078/J2ME-Loader","show")</f>
        <v>show</v>
      </c>
      <c r="F9189" t="str">
        <f>HYPERLINK("https://github.com/nikita36078/J2ME-Loader/releases","show")</f>
        <v>show</v>
      </c>
    </row>
    <row r="9190" spans="1:6">
      <c r="A9190" t="s">
        <v>27288</v>
      </c>
      <c r="B9190" t="s">
        <v>27289</v>
      </c>
      <c r="C9190" t="s">
        <v>27290</v>
      </c>
      <c r="D9190" t="str">
        <f>HYPERLINK("https://github.com/jroal/a2dp-connect2/issues/12","show")</f>
        <v>show</v>
      </c>
      <c r="E9190" t="str">
        <f>HYPERLINK("https://github.com/jroal/a2dp-connect2","show")</f>
        <v>show</v>
      </c>
      <c r="F9190" t="str">
        <f>HYPERLINK("https://github.com/jroal/a2dp-connect2/releases","show")</f>
        <v>show</v>
      </c>
    </row>
    <row r="9191" spans="1:6">
      <c r="A9191" t="s">
        <v>27291</v>
      </c>
      <c r="B9191" t="s">
        <v>27292</v>
      </c>
      <c r="C9191" t="s">
        <v>27293</v>
      </c>
      <c r="D9191" t="str">
        <f>HYPERLINK("https://github.com/microsoft/appcenter-sdk-android/issues/1162","show")</f>
        <v>show</v>
      </c>
      <c r="E9191" t="str">
        <f>HYPERLINK("https://github.com/microsoft/appcenter-sdk-android","show")</f>
        <v>show</v>
      </c>
      <c r="F9191" t="str">
        <f>HYPERLINK("https://github.com/microsoft/appcenter-sdk-android/releases","show")</f>
        <v>show</v>
      </c>
    </row>
    <row r="9192" spans="1:6">
      <c r="A9192" t="s">
        <v>27294</v>
      </c>
      <c r="B9192" t="s">
        <v>27295</v>
      </c>
      <c r="C9192" t="s">
        <v>27296</v>
      </c>
      <c r="D9192" t="str">
        <f>HYPERLINK("https://github.com/rajatgoyal715/Puzzle15/issues/44","show")</f>
        <v>show</v>
      </c>
      <c r="E9192" t="str">
        <f>HYPERLINK("https://github.com/rajatgoyal715/Puzzle15","show")</f>
        <v>show</v>
      </c>
      <c r="F9192" t="str">
        <f>HYPERLINK("https://github.com/rajatgoyal715/Puzzle15/releases","show")</f>
        <v>show</v>
      </c>
    </row>
    <row r="9193" spans="1:6">
      <c r="A9193" t="s">
        <v>27297</v>
      </c>
      <c r="B9193" t="s">
        <v>27298</v>
      </c>
      <c r="C9193" t="s">
        <v>27299</v>
      </c>
      <c r="D9193" t="str">
        <f>HYPERLINK("https://github.com/LawnchairLauncher/lawnchair/issues/1558","show")</f>
        <v>show</v>
      </c>
      <c r="E9193" t="str">
        <f>HYPERLINK("https://github.com/LawnchairLauncher/lawnchair","show")</f>
        <v>show</v>
      </c>
      <c r="F9193" t="str">
        <f>HYPERLINK("https://github.com/LawnchairLauncher/lawnchair/releases","show")</f>
        <v>show</v>
      </c>
    </row>
    <row r="9194" spans="1:6">
      <c r="A9194" t="s">
        <v>27300</v>
      </c>
      <c r="B9194" t="s">
        <v>27301</v>
      </c>
      <c r="C9194" t="s">
        <v>27302</v>
      </c>
      <c r="D9194" t="str">
        <f>HYPERLINK("https://github.com/fossasia/pslab-android/issues/1728","show")</f>
        <v>show</v>
      </c>
      <c r="E9194" t="str">
        <f>HYPERLINK("https://github.com/fossasia/pslab-android","show")</f>
        <v>show</v>
      </c>
      <c r="F9194" t="str">
        <f>HYPERLINK("https://github.com/fossasia/pslab-android/releases","show")</f>
        <v>show</v>
      </c>
    </row>
    <row r="9195" spans="1:6">
      <c r="A9195" t="s">
        <v>27303</v>
      </c>
      <c r="B9195" t="s">
        <v>27304</v>
      </c>
      <c r="C9195" t="s">
        <v>27305</v>
      </c>
      <c r="D9195" t="str">
        <f>HYPERLINK("https://github.com/YahiaAngelo/Karma/issues/2","show")</f>
        <v>show</v>
      </c>
      <c r="E9195" t="str">
        <f>HYPERLINK("https://github.com/YahiaAngelo/Karma","show")</f>
        <v>show</v>
      </c>
      <c r="F9195" t="str">
        <f>HYPERLINK("https://github.com/YahiaAngelo/Karma/releases","show")</f>
        <v>show</v>
      </c>
    </row>
    <row r="9196" spans="1:6">
      <c r="A9196" t="s">
        <v>27306</v>
      </c>
      <c r="B9196" t="s">
        <v>27307</v>
      </c>
      <c r="C9196" t="s">
        <v>27308</v>
      </c>
      <c r="D9196" t="str">
        <f>HYPERLINK("https://github.com/nextcloud/android/issues/4033","show")</f>
        <v>show</v>
      </c>
      <c r="E9196" t="str">
        <f>HYPERLINK("https://github.com/nextcloud/android","show")</f>
        <v>show</v>
      </c>
      <c r="F9196" t="str">
        <f>HYPERLINK("https://github.com/nextcloud/android/releases","show")</f>
        <v>show</v>
      </c>
    </row>
    <row r="9197" spans="1:6">
      <c r="A9197" t="s">
        <v>27309</v>
      </c>
      <c r="B9197" t="s">
        <v>27310</v>
      </c>
      <c r="C9197" t="s">
        <v>27311</v>
      </c>
      <c r="D9197" t="str">
        <f>HYPERLINK("https://github.com/mapbox/mapbox-events-android/issues/399","show")</f>
        <v>show</v>
      </c>
      <c r="E9197" t="str">
        <f>HYPERLINK("https://github.com/mapbox/mapbox-events-android","show")</f>
        <v>show</v>
      </c>
      <c r="F9197" t="str">
        <f>HYPERLINK("https://github.com/mapbox/mapbox-events-android/releases","show")</f>
        <v>show</v>
      </c>
    </row>
    <row r="9198" spans="1:6">
      <c r="A9198" t="s">
        <v>27312</v>
      </c>
      <c r="B9198" t="s">
        <v>27313</v>
      </c>
      <c r="C9198" t="s">
        <v>27314</v>
      </c>
      <c r="D9198" t="str">
        <f>HYPERLINK("https://github.com/fossasia/neurolab-android/issues/205","show")</f>
        <v>show</v>
      </c>
      <c r="E9198" t="str">
        <f>HYPERLINK("https://github.com/fossasia/neurolab-android","show")</f>
        <v>show</v>
      </c>
      <c r="F9198" t="str">
        <f>HYPERLINK("https://github.com/fossasia/neurolab-android/releases","show")</f>
        <v>show</v>
      </c>
    </row>
    <row r="9199" spans="1:6">
      <c r="A9199" t="s">
        <v>27315</v>
      </c>
      <c r="B9199" t="s">
        <v>27316</v>
      </c>
      <c r="C9199" t="s">
        <v>27317</v>
      </c>
      <c r="D9199" t="str">
        <f>HYPERLINK("https://github.com/sw19-tug/afternoon04/issues/62","show")</f>
        <v>show</v>
      </c>
      <c r="E9199" t="str">
        <f>HYPERLINK("https://github.com/sw19-tug/afternoon04","show")</f>
        <v>show</v>
      </c>
      <c r="F9199" t="str">
        <f>HYPERLINK("https://github.com/sw19-tug/afternoon04/releases","show")</f>
        <v>show</v>
      </c>
    </row>
    <row r="9200" spans="1:6">
      <c r="A9200" t="s">
        <v>27318</v>
      </c>
      <c r="B9200" t="s">
        <v>27319</v>
      </c>
      <c r="C9200" t="s">
        <v>27320</v>
      </c>
      <c r="D9200" t="str">
        <f>HYPERLINK("https://github.com/renyuneyun/Easer/issues/224","show")</f>
        <v>show</v>
      </c>
      <c r="E9200" t="str">
        <f>HYPERLINK("https://github.com/renyuneyun/Easer","show")</f>
        <v>show</v>
      </c>
      <c r="F9200" t="str">
        <f>HYPERLINK("https://github.com/renyuneyun/Easer/releases","show")</f>
        <v>show</v>
      </c>
    </row>
    <row r="9201" spans="1:6">
      <c r="A9201" t="s">
        <v>27321</v>
      </c>
      <c r="B9201" t="s">
        <v>27322</v>
      </c>
      <c r="C9201" t="s">
        <v>27323</v>
      </c>
      <c r="D9201" t="str">
        <f>HYPERLINK("https://github.com/AltBeacon/android-beacon-library/issues/876","show")</f>
        <v>show</v>
      </c>
      <c r="E9201" t="str">
        <f>HYPERLINK("https://github.com/AltBeacon/android-beacon-library","show")</f>
        <v>show</v>
      </c>
      <c r="F9201" t="str">
        <f>HYPERLINK("https://github.com/AltBeacon/android-beacon-library/releases","show")</f>
        <v>show</v>
      </c>
    </row>
    <row r="9202" spans="1:6">
      <c r="A9202" t="s">
        <v>27324</v>
      </c>
      <c r="B9202" t="s">
        <v>27325</v>
      </c>
      <c r="C9202" t="s">
        <v>27326</v>
      </c>
      <c r="D9202" t="str">
        <f>HYPERLINK("https://github.com/AniTrend/anitrend-app/issues/110","show")</f>
        <v>show</v>
      </c>
      <c r="E9202" t="str">
        <f>HYPERLINK("https://github.com/AniTrend/anitrend-app","show")</f>
        <v>show</v>
      </c>
      <c r="F9202" t="str">
        <f>HYPERLINK("https://github.com/AniTrend/anitrend-app/releases","show")</f>
        <v>show</v>
      </c>
    </row>
    <row r="9203" spans="1:6">
      <c r="A9203" t="s">
        <v>27327</v>
      </c>
      <c r="B9203" t="s">
        <v>27328</v>
      </c>
      <c r="C9203" t="s">
        <v>27329</v>
      </c>
      <c r="D9203" t="str">
        <f>HYPERLINK("https://github.com/LawnchairLauncher/lawnchair/issues/1556","show")</f>
        <v>show</v>
      </c>
      <c r="E9203" t="str">
        <f>HYPERLINK("https://github.com/LawnchairLauncher/lawnchair","show")</f>
        <v>show</v>
      </c>
      <c r="F9203" t="str">
        <f>HYPERLINK("https://github.com/LawnchairLauncher/lawnchair/releases","show")</f>
        <v>show</v>
      </c>
    </row>
    <row r="9204" spans="1:6">
      <c r="A9204" t="s">
        <v>27330</v>
      </c>
      <c r="B9204" t="s">
        <v>27331</v>
      </c>
      <c r="C9204" t="s">
        <v>27332</v>
      </c>
      <c r="D9204" t="str">
        <f>HYPERLINK("https://github.com/aws-amplify/aws-sdk-android/issues/956","show")</f>
        <v>show</v>
      </c>
      <c r="E9204" t="str">
        <f>HYPERLINK("https://github.com/aws-amplify/aws-sdk-android","show")</f>
        <v>show</v>
      </c>
      <c r="F9204" t="str">
        <f>HYPERLINK("https://github.com/aws-amplify/aws-sdk-android/releases","show")</f>
        <v>show</v>
      </c>
    </row>
    <row r="9205" spans="1:6">
      <c r="A9205" t="s">
        <v>27333</v>
      </c>
      <c r="B9205" t="s">
        <v>27334</v>
      </c>
      <c r="C9205" t="s">
        <v>27335</v>
      </c>
      <c r="D9205" t="str">
        <f>HYPERLINK("https://github.com/k3b/LosslessJpgCrop/issues/7","show")</f>
        <v>show</v>
      </c>
      <c r="E9205" t="str">
        <f>HYPERLINK("https://github.com/k3b/LosslessJpgCrop","show")</f>
        <v>show</v>
      </c>
      <c r="F9205" t="str">
        <f>HYPERLINK("https://github.com/k3b/LosslessJpgCrop/releases","show")</f>
        <v>show</v>
      </c>
    </row>
    <row r="9206" spans="1:6">
      <c r="A9206" t="s">
        <v>27336</v>
      </c>
      <c r="B9206" t="s">
        <v>27337</v>
      </c>
      <c r="C9206" t="s">
        <v>27338</v>
      </c>
      <c r="D9206" t="str">
        <f>HYPERLINK("https://github.com/mit-cml/appinventor-sources/issues/1686","show")</f>
        <v>show</v>
      </c>
      <c r="E9206" t="str">
        <f>HYPERLINK("https://github.com/mit-cml/appinventor-sources","show")</f>
        <v>show</v>
      </c>
      <c r="F9206" t="str">
        <f>HYPERLINK("https://github.com/mit-cml/appinventor-sources/releases","show")</f>
        <v>show</v>
      </c>
    </row>
    <row r="9207" spans="1:6">
      <c r="A9207" t="s">
        <v>27339</v>
      </c>
      <c r="B9207" t="s">
        <v>27340</v>
      </c>
      <c r="C9207" t="s">
        <v>27341</v>
      </c>
      <c r="D9207" t="str">
        <f>HYPERLINK("https://github.com/processing/processing-sound/issues/32","show")</f>
        <v>show</v>
      </c>
      <c r="E9207" t="str">
        <f>HYPERLINK("https://github.com/processing/processing-sound","show")</f>
        <v>show</v>
      </c>
      <c r="F9207" t="str">
        <f>HYPERLINK("https://github.com/processing/processing-sound/releases","show")</f>
        <v>show</v>
      </c>
    </row>
    <row r="9208" spans="1:6">
      <c r="A9208" t="s">
        <v>27342</v>
      </c>
      <c r="B9208" t="s">
        <v>27343</v>
      </c>
      <c r="C9208" t="s">
        <v>27344</v>
      </c>
      <c r="D9208" t="str">
        <f>HYPERLINK("https://github.com/RamiJ3mli/PercentageChartView/issues/11","show")</f>
        <v>show</v>
      </c>
      <c r="E9208" t="str">
        <f>HYPERLINK("https://github.com/RamiJ3mli/PercentageChartView","show")</f>
        <v>show</v>
      </c>
      <c r="F9208" t="str">
        <f>HYPERLINK("https://github.com/RamiJ3mli/PercentageChartView/releases","show")</f>
        <v>show</v>
      </c>
    </row>
    <row r="9209" spans="1:6">
      <c r="A9209" t="s">
        <v>27345</v>
      </c>
      <c r="B9209" t="s">
        <v>27346</v>
      </c>
      <c r="C9209" t="s">
        <v>27347</v>
      </c>
      <c r="D9209" t="str">
        <f>HYPERLINK("https://github.com/nextcloud/android/issues/4002","show")</f>
        <v>show</v>
      </c>
      <c r="E9209" t="str">
        <f>HYPERLINK("https://github.com/nextcloud/android","show")</f>
        <v>show</v>
      </c>
      <c r="F9209" t="str">
        <f>HYPERLINK("https://github.com/nextcloud/android/releases","show")</f>
        <v>show</v>
      </c>
    </row>
    <row r="9210" spans="1:6">
      <c r="A9210" t="s">
        <v>27348</v>
      </c>
      <c r="B9210" t="s">
        <v>27349</v>
      </c>
      <c r="C9210" t="s">
        <v>27350</v>
      </c>
      <c r="D9210" t="str">
        <f>HYPERLINK("https://github.com/SecUSo/privacy-friendly-netmonitor/issues/72","show")</f>
        <v>show</v>
      </c>
      <c r="E9210" t="str">
        <f>HYPERLINK("https://github.com/SecUSo/privacy-friendly-netmonitor","show")</f>
        <v>show</v>
      </c>
      <c r="F9210" t="str">
        <f>HYPERLINK("https://github.com/SecUSo/privacy-friendly-netmonitor/releases","show")</f>
        <v>show</v>
      </c>
    </row>
    <row r="9211" spans="1:6">
      <c r="A9211" t="s">
        <v>27351</v>
      </c>
      <c r="B9211" t="s">
        <v>27352</v>
      </c>
      <c r="C9211" t="s">
        <v>27353</v>
      </c>
      <c r="D9211" t="str">
        <f>HYPERLINK("https://github.com/PeterStaev/nativescript-photo-editor/issues/23","show")</f>
        <v>show</v>
      </c>
      <c r="E9211" t="str">
        <f>HYPERLINK("https://github.com/PeterStaev/nativescript-photo-editor","show")</f>
        <v>show</v>
      </c>
      <c r="F9211" t="str">
        <f>HYPERLINK("https://github.com/PeterStaev/nativescript-photo-editor/releases","show")</f>
        <v>show</v>
      </c>
    </row>
    <row r="9212" spans="1:6">
      <c r="A9212" t="s">
        <v>27354</v>
      </c>
      <c r="B9212" t="s">
        <v>27355</v>
      </c>
      <c r="C9212" t="s">
        <v>27356</v>
      </c>
      <c r="D9212" t="str">
        <f>HYPERLINK("https://github.com/NickolaiLundby/AMagicalPlace/issues/56","show")</f>
        <v>show</v>
      </c>
      <c r="E9212" t="str">
        <f>HYPERLINK("https://github.com/NickolaiLundby/AMagicalPlace","show")</f>
        <v>show</v>
      </c>
      <c r="F9212" t="str">
        <f>HYPERLINK("https://github.com/NickolaiLundby/AMagicalPlace/releases","show")</f>
        <v>show</v>
      </c>
    </row>
    <row r="9213" spans="1:6">
      <c r="A9213" t="s">
        <v>27357</v>
      </c>
      <c r="B9213" t="s">
        <v>27358</v>
      </c>
      <c r="C9213" t="s">
        <v>27359</v>
      </c>
      <c r="D9213" t="str">
        <f>HYPERLINK("https://github.com/ElderDrivers/EdXposed/issues/244","show")</f>
        <v>show</v>
      </c>
      <c r="E9213" t="str">
        <f>HYPERLINK("https://github.com/ElderDrivers/EdXposed","show")</f>
        <v>show</v>
      </c>
      <c r="F9213" t="str">
        <f>HYPERLINK("https://github.com/ElderDrivers/EdXposed/releases","show")</f>
        <v>show</v>
      </c>
    </row>
    <row r="9214" spans="1:6">
      <c r="A9214" t="s">
        <v>27360</v>
      </c>
      <c r="B9214" t="s">
        <v>27361</v>
      </c>
      <c r="C9214" t="s">
        <v>27362</v>
      </c>
      <c r="D9214" t="str">
        <f>HYPERLINK("https://github.com/square/okhttp/issues/5024","show")</f>
        <v>show</v>
      </c>
      <c r="E9214" t="str">
        <f>HYPERLINK("https://github.com/square/okhttp","show")</f>
        <v>show</v>
      </c>
      <c r="F9214" t="str">
        <f>HYPERLINK("https://github.com/square/okhttp/releases","show")</f>
        <v>show</v>
      </c>
    </row>
    <row r="9215" spans="1:6">
      <c r="A9215" t="s">
        <v>27363</v>
      </c>
      <c r="B9215" t="s">
        <v>27364</v>
      </c>
      <c r="C9215" t="s">
        <v>27365</v>
      </c>
      <c r="D9215" t="str">
        <f>HYPERLINK("https://github.com/MozillaReality/FirefoxReality/issues/1181","show")</f>
        <v>show</v>
      </c>
      <c r="E9215" t="str">
        <f>HYPERLINK("https://github.com/MozillaReality/FirefoxReality","show")</f>
        <v>show</v>
      </c>
      <c r="F9215" t="str">
        <f>HYPERLINK("https://github.com/MozillaReality/FirefoxReality/releases","show")</f>
        <v>show</v>
      </c>
    </row>
    <row r="9216" spans="1:6">
      <c r="A9216" t="s">
        <v>27366</v>
      </c>
      <c r="B9216" t="s">
        <v>27367</v>
      </c>
      <c r="C9216" t="s">
        <v>27368</v>
      </c>
      <c r="D9216" t="str">
        <f>HYPERLINK("https://github.com/inaturalist/react-native-inat-camera/issues/13","show")</f>
        <v>show</v>
      </c>
      <c r="E9216" t="str">
        <f>HYPERLINK("https://github.com/inaturalist/react-native-inat-camera","show")</f>
        <v>show</v>
      </c>
      <c r="F9216" t="str">
        <f>HYPERLINK("https://github.com/inaturalist/react-native-inat-camera/releases","show")</f>
        <v>show</v>
      </c>
    </row>
    <row r="9217" spans="1:6">
      <c r="A9217" t="s">
        <v>27369</v>
      </c>
      <c r="B9217" t="s">
        <v>27370</v>
      </c>
      <c r="C9217" t="s">
        <v>27371</v>
      </c>
      <c r="D9217" t="str">
        <f>HYPERLINK("https://github.com/nextcloud/android/issues/3973","show")</f>
        <v>show</v>
      </c>
      <c r="E9217" t="str">
        <f>HYPERLINK("https://github.com/nextcloud/android","show")</f>
        <v>show</v>
      </c>
      <c r="F9217" t="str">
        <f>HYPERLINK("https://github.com/nextcloud/android/releases","show")</f>
        <v>show</v>
      </c>
    </row>
    <row r="9218" spans="1:6">
      <c r="A9218" t="s">
        <v>27372</v>
      </c>
      <c r="B9218" t="s">
        <v>27373</v>
      </c>
      <c r="C9218" t="s">
        <v>27374</v>
      </c>
      <c r="D9218" t="str">
        <f>HYPERLINK("https://github.com/ErikFrisenstam/SystemetAppGrupp5/issues/27","show")</f>
        <v>show</v>
      </c>
      <c r="E9218" t="str">
        <f>HYPERLINK("https://github.com/ErikFrisenstam/SystemetAppGrupp5","show")</f>
        <v>show</v>
      </c>
      <c r="F9218" t="str">
        <f>HYPERLINK("https://github.com/ErikFrisenstam/SystemetAppGrupp5/releases","show")</f>
        <v>show</v>
      </c>
    </row>
    <row r="9219" spans="1:6">
      <c r="A9219" t="s">
        <v>27375</v>
      </c>
      <c r="B9219" t="s">
        <v>27376</v>
      </c>
      <c r="C9219" t="s">
        <v>27377</v>
      </c>
      <c r="D9219" t="str">
        <f>HYPERLINK("https://github.com/microsoft/appcenter-sdk-android/issues/1141","show")</f>
        <v>show</v>
      </c>
      <c r="E9219" t="str">
        <f>HYPERLINK("https://github.com/microsoft/appcenter-sdk-android","show")</f>
        <v>show</v>
      </c>
      <c r="F9219" t="str">
        <f>HYPERLINK("https://github.com/microsoft/appcenter-sdk-android/releases","show")</f>
        <v>show</v>
      </c>
    </row>
    <row r="9220" spans="1:6">
      <c r="A9220" t="s">
        <v>27378</v>
      </c>
      <c r="B9220" t="s">
        <v>27379</v>
      </c>
      <c r="C9220" t="s">
        <v>27380</v>
      </c>
      <c r="D9220" t="str">
        <f>HYPERLINK("https://github.com/LawnchairLauncher/lawnchair/issues/1548","show")</f>
        <v>show</v>
      </c>
      <c r="E9220" t="str">
        <f>HYPERLINK("https://github.com/LawnchairLauncher/lawnchair","show")</f>
        <v>show</v>
      </c>
      <c r="F9220" t="str">
        <f>HYPERLINK("https://github.com/LawnchairLauncher/lawnchair/releases","show")</f>
        <v>show</v>
      </c>
    </row>
    <row r="9221" spans="1:6">
      <c r="A9221" t="s">
        <v>27381</v>
      </c>
      <c r="B9221" t="s">
        <v>27382</v>
      </c>
      <c r="C9221" t="s">
        <v>27383</v>
      </c>
      <c r="D9221" t="str">
        <f>HYPERLINK("https://github.com/Shouheng88/MarkNote/issues/20","show")</f>
        <v>show</v>
      </c>
      <c r="E9221" t="str">
        <f>HYPERLINK("https://github.com/Shouheng88/MarkNote","show")</f>
        <v>show</v>
      </c>
      <c r="F9221" t="str">
        <f>HYPERLINK("https://github.com/Shouheng88/MarkNote/releases","show")</f>
        <v>show</v>
      </c>
    </row>
    <row r="9222" spans="1:6">
      <c r="A9222" t="s">
        <v>27384</v>
      </c>
      <c r="B9222" t="s">
        <v>27385</v>
      </c>
      <c r="C9222" t="s">
        <v>27386</v>
      </c>
      <c r="D9222" t="str">
        <f>HYPERLINK("https://github.com/hikikomoriphoenix/Beedio/issues/49","show")</f>
        <v>show</v>
      </c>
      <c r="E9222" t="str">
        <f>HYPERLINK("https://github.com/hikikomoriphoenix/Beedio","show")</f>
        <v>show</v>
      </c>
      <c r="F9222" t="str">
        <f>HYPERLINK("https://github.com/hikikomoriphoenix/Beedio/releases","show")</f>
        <v>show</v>
      </c>
    </row>
    <row r="9223" spans="1:6">
      <c r="A9223" t="s">
        <v>27387</v>
      </c>
      <c r="B9223" t="s">
        <v>27388</v>
      </c>
      <c r="C9223" t="s">
        <v>27389</v>
      </c>
      <c r="D9223" t="str">
        <f>HYPERLINK("https://github.com/google/ExoPlayer/issues/5831","show")</f>
        <v>show</v>
      </c>
      <c r="E9223" t="str">
        <f>HYPERLINK("https://github.com/google/ExoPlayer","show")</f>
        <v>show</v>
      </c>
      <c r="F9223" t="str">
        <f>HYPERLINK("https://github.com/google/ExoPlayer/releases","show")</f>
        <v>show</v>
      </c>
    </row>
    <row r="9224" spans="1:6">
      <c r="A9224" t="s">
        <v>27390</v>
      </c>
      <c r="B9224" t="s">
        <v>27391</v>
      </c>
      <c r="C9224" t="s">
        <v>27392</v>
      </c>
      <c r="D9224" t="str">
        <f>HYPERLINK("https://github.com/hedzr/android-file-chooser/issues/63","show")</f>
        <v>show</v>
      </c>
      <c r="E9224" t="str">
        <f>HYPERLINK("https://github.com/hedzr/android-file-chooser","show")</f>
        <v>show</v>
      </c>
      <c r="F9224" t="str">
        <f>HYPERLINK("https://github.com/hedzr/android-file-chooser/releases","show")</f>
        <v>show</v>
      </c>
    </row>
    <row r="9225" spans="1:6">
      <c r="A9225" t="s">
        <v>27393</v>
      </c>
      <c r="B9225" t="s">
        <v>27394</v>
      </c>
      <c r="C9225" t="s">
        <v>27395</v>
      </c>
      <c r="D9225" t="str">
        <f>HYPERLINK("https://github.com/nisrulz/lantern/issues/8","show")</f>
        <v>show</v>
      </c>
      <c r="E9225" t="str">
        <f>HYPERLINK("https://github.com/nisrulz/lantern","show")</f>
        <v>show</v>
      </c>
      <c r="F9225" t="str">
        <f>HYPERLINK("https://github.com/nisrulz/lantern/releases","show")</f>
        <v>show</v>
      </c>
    </row>
    <row r="9226" spans="1:6">
      <c r="A9226" t="s">
        <v>27396</v>
      </c>
      <c r="B9226" t="s">
        <v>27397</v>
      </c>
      <c r="C9226" t="s">
        <v>27398</v>
      </c>
      <c r="D9226" t="str">
        <f>HYPERLINK("https://github.com/brodeurlv/fastnfitness/issues/65","show")</f>
        <v>show</v>
      </c>
      <c r="E9226" t="str">
        <f>HYPERLINK("https://github.com/brodeurlv/fastnfitness","show")</f>
        <v>show</v>
      </c>
      <c r="F9226" t="str">
        <f>HYPERLINK("https://github.com/brodeurlv/fastnfitness/releases","show")</f>
        <v>show</v>
      </c>
    </row>
    <row r="9227" spans="1:6">
      <c r="A9227" t="s">
        <v>27399</v>
      </c>
      <c r="B9227" t="s">
        <v>27400</v>
      </c>
      <c r="C9227" t="s">
        <v>27401</v>
      </c>
      <c r="D9227" t="str">
        <f>HYPERLINK("https://github.com/rosjava/android_apps/issues/86","show")</f>
        <v>show</v>
      </c>
      <c r="E9227" t="str">
        <f>HYPERLINK("https://github.com/rosjava/android_apps","show")</f>
        <v>show</v>
      </c>
      <c r="F9227" t="str">
        <f>HYPERLINK("https://github.com/rosjava/android_apps/releases","show")</f>
        <v>show</v>
      </c>
    </row>
    <row r="9228" spans="1:6">
      <c r="A9228" t="s">
        <v>27402</v>
      </c>
      <c r="B9228" t="s">
        <v>27403</v>
      </c>
      <c r="C9228" t="s">
        <v>27404</v>
      </c>
      <c r="D9228" t="str">
        <f>HYPERLINK("https://github.com/zxing/zxing/issues/1163","show")</f>
        <v>show</v>
      </c>
      <c r="E9228" t="str">
        <f>HYPERLINK("https://github.com/zxing/zxing","show")</f>
        <v>show</v>
      </c>
      <c r="F9228" t="str">
        <f>HYPERLINK("https://github.com/zxing/zxing/releases","show")</f>
        <v>show</v>
      </c>
    </row>
    <row r="9229" spans="1:6">
      <c r="A9229" t="s">
        <v>27405</v>
      </c>
      <c r="B9229" t="s">
        <v>27406</v>
      </c>
      <c r="C9229" t="s">
        <v>27407</v>
      </c>
      <c r="D9229" t="str">
        <f>HYPERLINK("https://github.com/nextcloud/Android-SingleSignOn/issues/60","show")</f>
        <v>show</v>
      </c>
      <c r="E9229" t="str">
        <f>HYPERLINK("https://github.com/nextcloud/Android-SingleSignOn","show")</f>
        <v>show</v>
      </c>
      <c r="F9229" t="str">
        <f>HYPERLINK("https://github.com/nextcloud/Android-SingleSignOn/releases","show")</f>
        <v>show</v>
      </c>
    </row>
    <row r="9230" spans="1:6">
      <c r="A9230" t="s">
        <v>27408</v>
      </c>
      <c r="B9230" t="s">
        <v>27409</v>
      </c>
      <c r="C9230" t="s">
        <v>27410</v>
      </c>
      <c r="D9230" t="str">
        <f>HYPERLINK("https://github.com/dimagi/commcare-android/issues/2114","show")</f>
        <v>show</v>
      </c>
      <c r="E9230" t="str">
        <f>HYPERLINK("https://github.com/dimagi/commcare-android","show")</f>
        <v>show</v>
      </c>
      <c r="F9230" t="str">
        <f>HYPERLINK("https://github.com/dimagi/commcare-android/releases","show")</f>
        <v>show</v>
      </c>
    </row>
    <row r="9231" spans="1:6">
      <c r="A9231" t="s">
        <v>27411</v>
      </c>
      <c r="B9231" t="s">
        <v>27412</v>
      </c>
      <c r="C9231" t="s">
        <v>27413</v>
      </c>
      <c r="D9231" t="str">
        <f>HYPERLINK("https://github.com/applivery/applivery-android-sdk/issues/32","show")</f>
        <v>show</v>
      </c>
      <c r="E9231" t="str">
        <f>HYPERLINK("https://github.com/applivery/applivery-android-sdk","show")</f>
        <v>show</v>
      </c>
      <c r="F9231" t="str">
        <f>HYPERLINK("https://github.com/applivery/applivery-android-sdk/releases","show")</f>
        <v>show</v>
      </c>
    </row>
    <row r="9232" spans="1:6">
      <c r="A9232" t="s">
        <v>27414</v>
      </c>
      <c r="B9232" t="s">
        <v>27415</v>
      </c>
      <c r="C9232" t="s">
        <v>27416</v>
      </c>
      <c r="D9232" t="str">
        <f>HYPERLINK("https://github.com/LawnchairLauncher/lawnchair/issues/1543","show")</f>
        <v>show</v>
      </c>
      <c r="E9232" t="str">
        <f>HYPERLINK("https://github.com/LawnchairLauncher/lawnchair","show")</f>
        <v>show</v>
      </c>
      <c r="F9232" t="str">
        <f>HYPERLINK("https://github.com/LawnchairLauncher/lawnchair/releases","show")</f>
        <v>show</v>
      </c>
    </row>
    <row r="9233" spans="1:6">
      <c r="A9233" t="s">
        <v>27417</v>
      </c>
      <c r="B9233" t="s">
        <v>27418</v>
      </c>
      <c r="C9233" t="s">
        <v>27419</v>
      </c>
      <c r="D9233" t="str">
        <f>HYPERLINK("https://github.com/aws-amplify/aws-sdk-android/issues/937","show")</f>
        <v>show</v>
      </c>
      <c r="E9233" t="str">
        <f>HYPERLINK("https://github.com/aws-amplify/aws-sdk-android","show")</f>
        <v>show</v>
      </c>
      <c r="F9233" t="str">
        <f>HYPERLINK("https://github.com/aws-amplify/aws-sdk-android/releases","show")</f>
        <v>show</v>
      </c>
    </row>
    <row r="9234" spans="1:6">
      <c r="A9234" t="s">
        <v>27420</v>
      </c>
      <c r="B9234" t="s">
        <v>27421</v>
      </c>
      <c r="C9234" t="s">
        <v>27422</v>
      </c>
      <c r="D9234" t="str">
        <f>HYPERLINK("https://github.com/svenmeier/coxswain/issues/85","show")</f>
        <v>show</v>
      </c>
      <c r="E9234" t="str">
        <f>HYPERLINK("https://github.com/svenmeier/coxswain","show")</f>
        <v>show</v>
      </c>
      <c r="F9234" t="str">
        <f>HYPERLINK("https://github.com/svenmeier/coxswain/releases","show")</f>
        <v>show</v>
      </c>
    </row>
    <row r="9235" spans="1:6">
      <c r="A9235" t="s">
        <v>27423</v>
      </c>
      <c r="B9235" t="s">
        <v>27424</v>
      </c>
      <c r="C9235" t="s">
        <v>27425</v>
      </c>
      <c r="D9235" t="str">
        <f>HYPERLINK("https://github.com/PrisKompis/PrisKompis/issues/35","show")</f>
        <v>show</v>
      </c>
      <c r="E9235" t="str">
        <f>HYPERLINK("https://github.com/PrisKompis/PrisKompis","show")</f>
        <v>show</v>
      </c>
      <c r="F9235" t="str">
        <f>HYPERLINK("https://github.com/PrisKompis/PrisKompis/releases","show")</f>
        <v>show</v>
      </c>
    </row>
    <row r="9236" spans="1:6">
      <c r="A9236" t="s">
        <v>27426</v>
      </c>
      <c r="B9236" t="s">
        <v>27427</v>
      </c>
      <c r="C9236" t="s">
        <v>27428</v>
      </c>
      <c r="D9236" t="str">
        <f>HYPERLINK("https://github.com/PrisKompis/PrisKompis/issues/34","show")</f>
        <v>show</v>
      </c>
      <c r="E9236" t="str">
        <f>HYPERLINK("https://github.com/PrisKompis/PrisKompis","show")</f>
        <v>show</v>
      </c>
      <c r="F9236" t="str">
        <f>HYPERLINK("https://github.com/PrisKompis/PrisKompis/releases","show")</f>
        <v>show</v>
      </c>
    </row>
    <row r="9237" spans="1:6">
      <c r="A9237" t="s">
        <v>27429</v>
      </c>
      <c r="B9237" t="s">
        <v>27430</v>
      </c>
      <c r="C9237" t="s">
        <v>27431</v>
      </c>
      <c r="D9237" t="str">
        <f>HYPERLINK("https://github.com/PrisKompis/PrisKompis/issues/32","show")</f>
        <v>show</v>
      </c>
      <c r="E9237" t="str">
        <f>HYPERLINK("https://github.com/PrisKompis/PrisKompis","show")</f>
        <v>show</v>
      </c>
      <c r="F9237" t="str">
        <f>HYPERLINK("https://github.com/PrisKompis/PrisKompis/releases","show")</f>
        <v>show</v>
      </c>
    </row>
    <row r="9238" spans="1:6">
      <c r="A9238" t="s">
        <v>27432</v>
      </c>
      <c r="B9238" t="s">
        <v>27433</v>
      </c>
      <c r="C9238" t="s">
        <v>27434</v>
      </c>
      <c r="D9238" t="str">
        <f>HYPERLINK("https://github.com/MozillaReality/FirefoxReality/issues/1142","show")</f>
        <v>show</v>
      </c>
      <c r="E9238" t="str">
        <f>HYPERLINK("https://github.com/MozillaReality/FirefoxReality","show")</f>
        <v>show</v>
      </c>
      <c r="F9238" t="str">
        <f>HYPERLINK("https://github.com/MozillaReality/FirefoxReality/releases","show")</f>
        <v>show</v>
      </c>
    </row>
    <row r="9239" spans="1:6">
      <c r="A9239" t="s">
        <v>27435</v>
      </c>
      <c r="B9239" t="s">
        <v>27436</v>
      </c>
      <c r="C9239" t="s">
        <v>27437</v>
      </c>
      <c r="D9239" t="str">
        <f>HYPERLINK("https://github.com/deltachat/deltachat-android/issues/887","show")</f>
        <v>show</v>
      </c>
      <c r="E9239" t="str">
        <f>HYPERLINK("https://github.com/deltachat/deltachat-android","show")</f>
        <v>show</v>
      </c>
      <c r="F9239" t="str">
        <f>HYPERLINK("https://github.com/deltachat/deltachat-android/releases","show")</f>
        <v>show</v>
      </c>
    </row>
    <row r="9240" spans="1:6">
      <c r="A9240" t="s">
        <v>27438</v>
      </c>
      <c r="B9240" t="s">
        <v>27439</v>
      </c>
      <c r="C9240" t="s">
        <v>27440</v>
      </c>
      <c r="D9240" t="str">
        <f>HYPERLINK("https://github.com/OmarAflak/Arduino-Library/issues/10","show")</f>
        <v>show</v>
      </c>
      <c r="E9240" t="str">
        <f>HYPERLINK("https://github.com/OmarAflak/Arduino-Library","show")</f>
        <v>show</v>
      </c>
      <c r="F9240" t="str">
        <f>HYPERLINK("https://github.com/OmarAflak/Arduino-Library/releases","show")</f>
        <v>show</v>
      </c>
    </row>
    <row r="9241" spans="1:6">
      <c r="A9241" t="s">
        <v>27441</v>
      </c>
      <c r="B9241" t="s">
        <v>27442</v>
      </c>
      <c r="C9241" t="s">
        <v>27443</v>
      </c>
      <c r="D9241" t="str">
        <f>HYPERLINK("https://github.com/Meisterschueler/ogn-viewer-android/issues/20","show")</f>
        <v>show</v>
      </c>
      <c r="E9241" t="str">
        <f>HYPERLINK("https://github.com/Meisterschueler/ogn-viewer-android","show")</f>
        <v>show</v>
      </c>
      <c r="F9241" t="str">
        <f>HYPERLINK("https://github.com/Meisterschueler/ogn-viewer-android/releases","show")</f>
        <v>show</v>
      </c>
    </row>
    <row r="9242" spans="1:6">
      <c r="A9242" t="s">
        <v>27444</v>
      </c>
      <c r="B9242" t="s">
        <v>27445</v>
      </c>
      <c r="C9242" t="s">
        <v>27446</v>
      </c>
      <c r="D9242" t="str">
        <f>HYPERLINK("https://github.com/ExploiTR/YouP3/issues/7","show")</f>
        <v>show</v>
      </c>
      <c r="E9242" t="str">
        <f>HYPERLINK("https://github.com/ExploiTR/YouP3","show")</f>
        <v>show</v>
      </c>
      <c r="F9242" t="str">
        <f>HYPERLINK("https://github.com/ExploiTR/YouP3/releases","show")</f>
        <v>show</v>
      </c>
    </row>
    <row r="9243" spans="1:6">
      <c r="A9243" t="s">
        <v>27447</v>
      </c>
      <c r="B9243" t="s">
        <v>27448</v>
      </c>
      <c r="C9243" t="s">
        <v>27449</v>
      </c>
      <c r="D9243" t="str">
        <f>HYPERLINK("https://github.com/Diaga/Memories/issues/21","show")</f>
        <v>show</v>
      </c>
      <c r="E9243" t="str">
        <f>HYPERLINK("https://github.com/Diaga/Memories","show")</f>
        <v>show</v>
      </c>
      <c r="F9243" t="str">
        <f>HYPERLINK("https://github.com/Diaga/Memories/releases","show")</f>
        <v>show</v>
      </c>
    </row>
    <row r="9244" spans="1:6">
      <c r="A9244" t="s">
        <v>27450</v>
      </c>
      <c r="B9244" t="s">
        <v>27451</v>
      </c>
      <c r="C9244" t="s">
        <v>27452</v>
      </c>
      <c r="D9244" t="str">
        <f>HYPERLINK("https://github.com/miguelpruivo/flutter_file_picker/issues/76","show")</f>
        <v>show</v>
      </c>
      <c r="E9244" t="str">
        <f>HYPERLINK("https://github.com/miguelpruivo/flutter_file_picker","show")</f>
        <v>show</v>
      </c>
      <c r="F9244" t="str">
        <f>HYPERLINK("https://github.com/miguelpruivo/flutter_file_picker/releases","show")</f>
        <v>show</v>
      </c>
    </row>
    <row r="9245" spans="1:6">
      <c r="A9245" t="s">
        <v>27453</v>
      </c>
      <c r="B9245" t="s">
        <v>27454</v>
      </c>
      <c r="C9245" t="s">
        <v>27455</v>
      </c>
      <c r="D9245" t="str">
        <f>HYPERLINK("https://github.com/osmdroid/osmdroid/issues/1331","show")</f>
        <v>show</v>
      </c>
      <c r="E9245" t="str">
        <f>HYPERLINK("https://github.com/osmdroid/osmdroid","show")</f>
        <v>show</v>
      </c>
      <c r="F9245" t="str">
        <f>HYPERLINK("https://github.com/osmdroid/osmdroid/releases","show")</f>
        <v>show</v>
      </c>
    </row>
    <row r="9246" spans="1:6">
      <c r="A9246" t="s">
        <v>27456</v>
      </c>
      <c r="B9246" t="s">
        <v>27457</v>
      </c>
      <c r="C9246" t="s">
        <v>27458</v>
      </c>
      <c r="D9246" t="str">
        <f>HYPERLINK("https://github.com/nextcloud/android/issues/3939","show")</f>
        <v>show</v>
      </c>
      <c r="E9246" t="str">
        <f>HYPERLINK("https://github.com/nextcloud/android","show")</f>
        <v>show</v>
      </c>
      <c r="F9246" t="str">
        <f>HYPERLINK("https://github.com/nextcloud/android/releases","show")</f>
        <v>show</v>
      </c>
    </row>
    <row r="9247" spans="1:6">
      <c r="A9247" t="s">
        <v>27459</v>
      </c>
      <c r="B9247" t="s">
        <v>27460</v>
      </c>
      <c r="C9247" t="s">
        <v>27461</v>
      </c>
      <c r="D9247" t="str">
        <f>HYPERLINK("https://github.com/renyuneyun/Easer/issues/216","show")</f>
        <v>show</v>
      </c>
      <c r="E9247" t="str">
        <f>HYPERLINK("https://github.com/renyuneyun/Easer","show")</f>
        <v>show</v>
      </c>
      <c r="F9247" t="str">
        <f>HYPERLINK("https://github.com/renyuneyun/Easer/releases","show")</f>
        <v>show</v>
      </c>
    </row>
    <row r="9248" spans="1:6">
      <c r="A9248" t="s">
        <v>27462</v>
      </c>
      <c r="B9248" t="s">
        <v>27463</v>
      </c>
      <c r="C9248" t="s">
        <v>27464</v>
      </c>
      <c r="D9248" t="str">
        <f>HYPERLINK("https://github.com/0x5ECF4ULT/PanicTrigger/issues/22","show")</f>
        <v>show</v>
      </c>
      <c r="E9248" t="str">
        <f>HYPERLINK("https://github.com/0x5ECF4ULT/PanicTrigger","show")</f>
        <v>show</v>
      </c>
      <c r="F9248" t="str">
        <f>HYPERLINK("https://github.com/0x5ECF4ULT/PanicTrigger/releases","show")</f>
        <v>show</v>
      </c>
    </row>
    <row r="9249" spans="1:6">
      <c r="A9249" t="s">
        <v>27465</v>
      </c>
      <c r="B9249" t="s">
        <v>27466</v>
      </c>
      <c r="C9249" t="s">
        <v>27467</v>
      </c>
      <c r="D9249" t="str">
        <f>HYPERLINK("https://github.com/gsantner/markor/issues/550","show")</f>
        <v>show</v>
      </c>
      <c r="E9249" t="str">
        <f>HYPERLINK("https://github.com/gsantner/markor","show")</f>
        <v>show</v>
      </c>
      <c r="F9249" t="str">
        <f>HYPERLINK("https://github.com/gsantner/markor/releases","show")</f>
        <v>show</v>
      </c>
    </row>
    <row r="9250" spans="1:6">
      <c r="A9250" t="s">
        <v>27468</v>
      </c>
      <c r="B9250" t="s">
        <v>27469</v>
      </c>
      <c r="C9250" t="s">
        <v>27470</v>
      </c>
      <c r="D9250" t="str">
        <f>HYPERLINK("https://github.com/subchannel13/EnchantedFortress/issues/62","show")</f>
        <v>show</v>
      </c>
      <c r="E9250" t="str">
        <f>HYPERLINK("https://github.com/subchannel13/EnchantedFortress","show")</f>
        <v>show</v>
      </c>
      <c r="F9250" t="str">
        <f>HYPERLINK("https://github.com/subchannel13/EnchantedFortress/releases","show")</f>
        <v>show</v>
      </c>
    </row>
    <row r="9251" spans="1:6">
      <c r="A9251" t="s">
        <v>27471</v>
      </c>
      <c r="B9251" t="s">
        <v>27472</v>
      </c>
      <c r="C9251" t="s">
        <v>27473</v>
      </c>
      <c r="D9251" t="str">
        <f>HYPERLINK("https://github.com/0x5ECF4ULT/PanicTrigger/issues/21","show")</f>
        <v>show</v>
      </c>
      <c r="E9251" t="str">
        <f>HYPERLINK("https://github.com/0x5ECF4ULT/PanicTrigger","show")</f>
        <v>show</v>
      </c>
      <c r="F9251" t="str">
        <f>HYPERLINK("https://github.com/0x5ECF4ULT/PanicTrigger/releases","show")</f>
        <v>show</v>
      </c>
    </row>
    <row r="9252" spans="1:6">
      <c r="A9252" t="s">
        <v>27474</v>
      </c>
      <c r="B9252" t="s">
        <v>27475</v>
      </c>
      <c r="C9252" t="s">
        <v>27476</v>
      </c>
      <c r="D9252" t="str">
        <f>HYPERLINK("https://github.com/sreichholf/dreamDroid/issues/128","show")</f>
        <v>show</v>
      </c>
      <c r="E9252" t="str">
        <f>HYPERLINK("https://github.com/sreichholf/dreamDroid","show")</f>
        <v>show</v>
      </c>
      <c r="F9252" t="str">
        <f>HYPERLINK("https://github.com/sreichholf/dreamDroid/releases","show")</f>
        <v>show</v>
      </c>
    </row>
    <row r="9253" spans="1:6">
      <c r="A9253" t="s">
        <v>27477</v>
      </c>
      <c r="B9253" t="s">
        <v>27478</v>
      </c>
      <c r="C9253" t="s">
        <v>27479</v>
      </c>
      <c r="D9253" t="str">
        <f>HYPERLINK("https://github.com/zamojski/TowerCollector/issues/56","show")</f>
        <v>show</v>
      </c>
      <c r="E9253" t="str">
        <f>HYPERLINK("https://github.com/zamojski/TowerCollector","show")</f>
        <v>show</v>
      </c>
      <c r="F9253" t="str">
        <f>HYPERLINK("https://github.com/zamojski/TowerCollector/releases","show")</f>
        <v>show</v>
      </c>
    </row>
    <row r="9254" spans="1:6">
      <c r="A9254" t="s">
        <v>27480</v>
      </c>
      <c r="B9254" t="s">
        <v>27481</v>
      </c>
      <c r="C9254" t="s">
        <v>27482</v>
      </c>
      <c r="D9254" t="str">
        <f>HYPERLINK("https://github.com/barbeau/gpstest/issues/287","show")</f>
        <v>show</v>
      </c>
      <c r="E9254" t="str">
        <f>HYPERLINK("https://github.com/barbeau/gpstest","show")</f>
        <v>show</v>
      </c>
      <c r="F9254" t="str">
        <f>HYPERLINK("https://github.com/barbeau/gpstest/releases","show")</f>
        <v>show</v>
      </c>
    </row>
    <row r="9255" spans="1:6">
      <c r="A9255" t="s">
        <v>27483</v>
      </c>
      <c r="B9255" t="s">
        <v>27484</v>
      </c>
      <c r="C9255" t="s">
        <v>27485</v>
      </c>
      <c r="D9255" t="str">
        <f>HYPERLINK("https://github.com/jonathonbauer/watched/issues/84","show")</f>
        <v>show</v>
      </c>
      <c r="E9255" t="str">
        <f>HYPERLINK("https://github.com/jonathonbauer/watched","show")</f>
        <v>show</v>
      </c>
      <c r="F9255" t="str">
        <f>HYPERLINK("https://github.com/jonathonbauer/watched/releases","show")</f>
        <v>show</v>
      </c>
    </row>
    <row r="9256" spans="1:6">
      <c r="A9256" t="s">
        <v>27486</v>
      </c>
      <c r="B9256" t="s">
        <v>27487</v>
      </c>
      <c r="C9256" t="s">
        <v>27488</v>
      </c>
      <c r="D9256" t="str">
        <f>HYPERLINK("https://github.com/0x5ECF4ULT/PanicTrigger/issues/20","show")</f>
        <v>show</v>
      </c>
      <c r="E9256" t="str">
        <f>HYPERLINK("https://github.com/0x5ECF4ULT/PanicTrigger","show")</f>
        <v>show</v>
      </c>
      <c r="F9256" t="str">
        <f>HYPERLINK("https://github.com/0x5ECF4ULT/PanicTrigger/releases","show")</f>
        <v>show</v>
      </c>
    </row>
    <row r="9257" spans="1:6">
      <c r="A9257" t="s">
        <v>27489</v>
      </c>
      <c r="B9257" t="s">
        <v>27490</v>
      </c>
      <c r="C9257" t="s">
        <v>27491</v>
      </c>
      <c r="D9257" t="str">
        <f>HYPERLINK("https://github.com/MozillaReality/FirefoxReality/issues/1127","show")</f>
        <v>show</v>
      </c>
      <c r="E9257" t="str">
        <f>HYPERLINK("https://github.com/MozillaReality/FirefoxReality","show")</f>
        <v>show</v>
      </c>
      <c r="F9257" t="str">
        <f>HYPERLINK("https://github.com/MozillaReality/FirefoxReality/releases","show")</f>
        <v>show</v>
      </c>
    </row>
    <row r="9258" spans="1:6">
      <c r="A9258" t="s">
        <v>27492</v>
      </c>
      <c r="B9258" t="s">
        <v>27493</v>
      </c>
      <c r="C9258" t="s">
        <v>27494</v>
      </c>
      <c r="D9258" t="str">
        <f>HYPERLINK("https://github.com/OpenArchive/Save-app-android/issues/101","show")</f>
        <v>show</v>
      </c>
      <c r="E9258" t="str">
        <f>HYPERLINK("https://github.com/OpenArchive/Save-app-android","show")</f>
        <v>show</v>
      </c>
      <c r="F9258" t="str">
        <f>HYPERLINK("https://github.com/OpenArchive/Save-app-android/releases","show")</f>
        <v>show</v>
      </c>
    </row>
    <row r="9259" spans="1:6">
      <c r="A9259" t="s">
        <v>27495</v>
      </c>
      <c r="B9259" t="s">
        <v>27496</v>
      </c>
      <c r="C9259" t="s">
        <v>27497</v>
      </c>
      <c r="D9259" t="str">
        <f>HYPERLINK("https://github.com/MozillaReality/FirefoxReality/issues/1123","show")</f>
        <v>show</v>
      </c>
      <c r="E9259" t="str">
        <f>HYPERLINK("https://github.com/MozillaReality/FirefoxReality","show")</f>
        <v>show</v>
      </c>
      <c r="F9259" t="str">
        <f>HYPERLINK("https://github.com/MozillaReality/FirefoxReality/releases","show")</f>
        <v>show</v>
      </c>
    </row>
    <row r="9260" spans="1:6">
      <c r="A9260" t="s">
        <v>27498</v>
      </c>
      <c r="B9260" t="s">
        <v>27499</v>
      </c>
      <c r="C9260" t="s">
        <v>27500</v>
      </c>
      <c r="D9260" t="str">
        <f>HYPERLINK("https://github.com/InsightIM/Tok-Android/issues/1","show")</f>
        <v>show</v>
      </c>
      <c r="E9260" t="str">
        <f>HYPERLINK("https://github.com/InsightIM/Tok-Android","show")</f>
        <v>show</v>
      </c>
      <c r="F9260" t="str">
        <f>HYPERLINK("https://github.com/InsightIM/Tok-Android/releases","show")</f>
        <v>show</v>
      </c>
    </row>
    <row r="9261" spans="1:6">
      <c r="A9261" t="s">
        <v>27501</v>
      </c>
      <c r="B9261" t="s">
        <v>27502</v>
      </c>
      <c r="C9261" t="s">
        <v>27503</v>
      </c>
      <c r="D9261" t="str">
        <f>HYPERLINK("https://github.com/LawnchairLauncher/lawnchair/issues/1528","show")</f>
        <v>show</v>
      </c>
      <c r="E9261" t="str">
        <f>HYPERLINK("https://github.com/LawnchairLauncher/lawnchair","show")</f>
        <v>show</v>
      </c>
      <c r="F9261" t="str">
        <f>HYPERLINK("https://github.com/LawnchairLauncher/lawnchair/releases","show")</f>
        <v>show</v>
      </c>
    </row>
    <row r="9262" spans="1:6">
      <c r="A9262" t="s">
        <v>27504</v>
      </c>
      <c r="B9262" t="s">
        <v>27505</v>
      </c>
      <c r="C9262" t="s">
        <v>27506</v>
      </c>
      <c r="D9262" t="str">
        <f>HYPERLINK("https://github.com/terl/lazysodium-android/issues/19","show")</f>
        <v>show</v>
      </c>
      <c r="E9262" t="str">
        <f>HYPERLINK("https://github.com/terl/lazysodium-android","show")</f>
        <v>show</v>
      </c>
      <c r="F9262" t="str">
        <f>HYPERLINK("https://github.com/terl/lazysodium-android/releases","show")</f>
        <v>show</v>
      </c>
    </row>
    <row r="9263" spans="1:6">
      <c r="A9263" t="s">
        <v>27507</v>
      </c>
      <c r="B9263" t="s">
        <v>27508</v>
      </c>
      <c r="C9263" t="s">
        <v>27509</v>
      </c>
      <c r="D9263" t="str">
        <f>HYPERLINK("https://github.com/commons-app/apps-android-commons/issues/2917","show")</f>
        <v>show</v>
      </c>
      <c r="E9263" t="str">
        <f>HYPERLINK("https://github.com/commons-app/apps-android-commons","show")</f>
        <v>show</v>
      </c>
      <c r="F9263" t="str">
        <f>HYPERLINK("https://github.com/commons-app/apps-android-commons/releases","show")</f>
        <v>show</v>
      </c>
    </row>
    <row r="9264" spans="1:6">
      <c r="A9264" t="s">
        <v>27510</v>
      </c>
      <c r="B9264" t="s">
        <v>27511</v>
      </c>
      <c r="C9264" t="s">
        <v>27512</v>
      </c>
      <c r="D9264" t="str">
        <f>HYPERLINK("https://github.com/mathisdt/sdbviewer/issues/7","show")</f>
        <v>show</v>
      </c>
      <c r="E9264" t="str">
        <f>HYPERLINK("https://github.com/mathisdt/sdbviewer","show")</f>
        <v>show</v>
      </c>
      <c r="F9264" t="str">
        <f>HYPERLINK("https://github.com/mathisdt/sdbviewer/releases","show")</f>
        <v>show</v>
      </c>
    </row>
    <row r="9265" spans="1:6">
      <c r="A9265" t="s">
        <v>27513</v>
      </c>
      <c r="B9265" t="s">
        <v>27514</v>
      </c>
      <c r="C9265" t="s">
        <v>27515</v>
      </c>
      <c r="D9265" t="str">
        <f>HYPERLINK("https://github.com/Animagia/Animagia-Android/issues/56","show")</f>
        <v>show</v>
      </c>
      <c r="E9265" t="str">
        <f>HYPERLINK("https://github.com/Animagia/Animagia-Android","show")</f>
        <v>show</v>
      </c>
      <c r="F9265" t="str">
        <f>HYPERLINK("https://github.com/Animagia/Animagia-Android/releases","show")</f>
        <v>show</v>
      </c>
    </row>
    <row r="9266" spans="1:6">
      <c r="A9266" t="s">
        <v>27516</v>
      </c>
      <c r="B9266" t="s">
        <v>27517</v>
      </c>
      <c r="C9266" t="s">
        <v>27518</v>
      </c>
      <c r="D9266" t="str">
        <f>HYPERLINK("https://github.com/k9mail/k-9/issues/4027","show")</f>
        <v>show</v>
      </c>
      <c r="E9266" t="str">
        <f>HYPERLINK("https://github.com/k9mail/k-9","show")</f>
        <v>show</v>
      </c>
      <c r="F9266" t="str">
        <f>HYPERLINK("https://github.com/k9mail/k-9/releases","show")</f>
        <v>show</v>
      </c>
    </row>
    <row r="9267" spans="1:6">
      <c r="A9267" t="s">
        <v>27519</v>
      </c>
      <c r="B9267" t="s">
        <v>27520</v>
      </c>
      <c r="C9267" t="s">
        <v>27521</v>
      </c>
      <c r="D9267" t="str">
        <f>HYPERLINK("https://github.com/osmdroid/osmdroid/issues/1322","show")</f>
        <v>show</v>
      </c>
      <c r="E9267" t="str">
        <f>HYPERLINK("https://github.com/osmdroid/osmdroid","show")</f>
        <v>show</v>
      </c>
      <c r="F9267" t="str">
        <f>HYPERLINK("https://github.com/osmdroid/osmdroid/releases","show")</f>
        <v>show</v>
      </c>
    </row>
    <row r="9268" spans="1:6">
      <c r="A9268" t="s">
        <v>27522</v>
      </c>
      <c r="B9268" t="s">
        <v>27523</v>
      </c>
      <c r="C9268" t="s">
        <v>27524</v>
      </c>
      <c r="D9268" t="str">
        <f>HYPERLINK("https://github.com/deltachat/deltachat-android/issues/863","show")</f>
        <v>show</v>
      </c>
      <c r="E9268" t="str">
        <f>HYPERLINK("https://github.com/deltachat/deltachat-android","show")</f>
        <v>show</v>
      </c>
      <c r="F9268" t="str">
        <f>HYPERLINK("https://github.com/deltachat/deltachat-android/releases","show")</f>
        <v>show</v>
      </c>
    </row>
    <row r="9269" spans="1:6">
      <c r="A9269" t="s">
        <v>27525</v>
      </c>
      <c r="B9269" t="s">
        <v>27526</v>
      </c>
      <c r="C9269" t="s">
        <v>27527</v>
      </c>
      <c r="D9269" t="str">
        <f>HYPERLINK("https://github.com/ankidroid/Anki-Android/issues/5287","show")</f>
        <v>show</v>
      </c>
      <c r="E9269" t="str">
        <f>HYPERLINK("https://github.com/ankidroid/Anki-Android","show")</f>
        <v>show</v>
      </c>
      <c r="F9269" t="str">
        <f>HYPERLINK("https://github.com/ankidroid/Anki-Android/releases","show")</f>
        <v>show</v>
      </c>
    </row>
    <row r="9270" spans="1:6">
      <c r="A9270" t="s">
        <v>27528</v>
      </c>
      <c r="B9270" t="s">
        <v>27529</v>
      </c>
      <c r="C9270" t="s">
        <v>27530</v>
      </c>
      <c r="D9270" t="str">
        <f>HYPERLINK("https://github.com/square/okhttp/issues/4969","show")</f>
        <v>show</v>
      </c>
      <c r="E9270" t="str">
        <f>HYPERLINK("https://github.com/square/okhttp","show")</f>
        <v>show</v>
      </c>
      <c r="F9270" t="str">
        <f>HYPERLINK("https://github.com/square/okhttp/releases","show")</f>
        <v>show</v>
      </c>
    </row>
    <row r="9271" spans="1:6">
      <c r="A9271" t="s">
        <v>27531</v>
      </c>
      <c r="B9271" t="s">
        <v>27532</v>
      </c>
      <c r="C9271" t="s">
        <v>27533</v>
      </c>
      <c r="D9271" t="str">
        <f>HYPERLINK("https://github.com/react-native-camera/react-native-camera/issues/2220","show")</f>
        <v>show</v>
      </c>
      <c r="E9271" t="str">
        <f>HYPERLINK("https://github.com/react-native-camera/react-native-camera","show")</f>
        <v>show</v>
      </c>
      <c r="F9271" t="str">
        <f>HYPERLINK("https://github.com/react-native-camera/react-native-camera/releases","show")</f>
        <v>show</v>
      </c>
    </row>
    <row r="9272" spans="1:6">
      <c r="A9272" t="s">
        <v>27534</v>
      </c>
      <c r="B9272" t="s">
        <v>27535</v>
      </c>
      <c r="C9272" t="s">
        <v>27536</v>
      </c>
      <c r="D9272" t="str">
        <f>HYPERLINK("https://github.com/j4zib/Equalizer/issues/2","show")</f>
        <v>show</v>
      </c>
      <c r="E9272" t="str">
        <f>HYPERLINK("https://github.com/j4zib/Equalizer","show")</f>
        <v>show</v>
      </c>
      <c r="F9272" t="str">
        <f>HYPERLINK("https://github.com/j4zib/Equalizer/releases","show")</f>
        <v>show</v>
      </c>
    </row>
    <row r="9273" spans="1:6">
      <c r="A9273" t="s">
        <v>27537</v>
      </c>
      <c r="B9273" t="s">
        <v>27538</v>
      </c>
      <c r="C9273" t="s">
        <v>27539</v>
      </c>
      <c r="D9273" t="str">
        <f>HYPERLINK("https://github.com/mendhak/gpslogger/issues/738","show")</f>
        <v>show</v>
      </c>
      <c r="E9273" t="str">
        <f>HYPERLINK("https://github.com/mendhak/gpslogger","show")</f>
        <v>show</v>
      </c>
      <c r="F9273" t="str">
        <f>HYPERLINK("https://github.com/mendhak/gpslogger/releases","show")</f>
        <v>show</v>
      </c>
    </row>
    <row r="9274" spans="1:6">
      <c r="A9274" t="s">
        <v>27540</v>
      </c>
      <c r="B9274" t="s">
        <v>27541</v>
      </c>
      <c r="C9274" t="s">
        <v>27542</v>
      </c>
      <c r="D9274" t="str">
        <f>HYPERLINK("https://github.com/Vladjaye/UB_Printing_App/issues/31","show")</f>
        <v>show</v>
      </c>
      <c r="E9274" t="str">
        <f>HYPERLINK("https://github.com/Vladjaye/UB_Printing_App","show")</f>
        <v>show</v>
      </c>
      <c r="F9274" t="str">
        <f>HYPERLINK("https://github.com/Vladjaye/UB_Printing_App/releases","show")</f>
        <v>show</v>
      </c>
    </row>
    <row r="9275" spans="1:6">
      <c r="A9275" t="s">
        <v>27543</v>
      </c>
      <c r="B9275" t="s">
        <v>27544</v>
      </c>
      <c r="C9275" t="s">
        <v>27545</v>
      </c>
      <c r="D9275" t="str">
        <f>HYPERLINK("https://github.com/microsoft/EmbeddedSocial-Android-SDK/issues/119","show")</f>
        <v>show</v>
      </c>
      <c r="E9275" t="str">
        <f>HYPERLINK("https://github.com/microsoft/EmbeddedSocial-Android-SDK","show")</f>
        <v>show</v>
      </c>
      <c r="F9275" t="str">
        <f>HYPERLINK("https://github.com/microsoft/EmbeddedSocial-Android-SDK/releases","show")</f>
        <v>show</v>
      </c>
    </row>
    <row r="9276" spans="1:6">
      <c r="A9276" t="s">
        <v>27546</v>
      </c>
      <c r="B9276" t="s">
        <v>27544</v>
      </c>
      <c r="C9276" t="s">
        <v>27547</v>
      </c>
      <c r="D9276" t="str">
        <f>HYPERLINK("https://github.com/OneBusAway/onebusaway-android/issues/976","show")</f>
        <v>show</v>
      </c>
      <c r="E9276" t="str">
        <f>HYPERLINK("https://github.com/OneBusAway/onebusaway-android","show")</f>
        <v>show</v>
      </c>
      <c r="F9276" t="str">
        <f>HYPERLINK("https://github.com/OneBusAway/onebusaway-android/releases","show")</f>
        <v>show</v>
      </c>
    </row>
    <row r="9277" spans="1:6">
      <c r="A9277" t="s">
        <v>27548</v>
      </c>
      <c r="B9277" t="s">
        <v>27549</v>
      </c>
      <c r="C9277" t="s">
        <v>27550</v>
      </c>
      <c r="D9277" t="str">
        <f>HYPERLINK("https://github.com/koral--/android-gif-drawable/issues/649","show")</f>
        <v>show</v>
      </c>
      <c r="E9277" t="str">
        <f>HYPERLINK("https://github.com/koral--/android-gif-drawable","show")</f>
        <v>show</v>
      </c>
      <c r="F9277" t="str">
        <f>HYPERLINK("https://github.com/koral--/android-gif-drawable/releases","show")</f>
        <v>show</v>
      </c>
    </row>
    <row r="9278" spans="1:6">
      <c r="A9278" t="s">
        <v>27551</v>
      </c>
      <c r="B9278" t="s">
        <v>27552</v>
      </c>
      <c r="C9278" t="s">
        <v>27553</v>
      </c>
      <c r="D9278" t="str">
        <f>HYPERLINK("https://github.com/LawnchairLauncher/lawnchair/issues/1506","show")</f>
        <v>show</v>
      </c>
      <c r="E9278" t="str">
        <f>HYPERLINK("https://github.com/LawnchairLauncher/lawnchair","show")</f>
        <v>show</v>
      </c>
      <c r="F9278" t="str">
        <f>HYPERLINK("https://github.com/LawnchairLauncher/lawnchair/releases","show")</f>
        <v>show</v>
      </c>
    </row>
    <row r="9279" spans="1:6">
      <c r="A9279" t="s">
        <v>27554</v>
      </c>
      <c r="B9279" t="s">
        <v>27555</v>
      </c>
      <c r="C9279" t="s">
        <v>27556</v>
      </c>
      <c r="D9279" t="str">
        <f>HYPERLINK("https://github.com/Haptic-Apps/Slide/issues/3009","show")</f>
        <v>show</v>
      </c>
      <c r="E9279" t="str">
        <f>HYPERLINK("https://github.com/Haptic-Apps/Slide","show")</f>
        <v>show</v>
      </c>
      <c r="F9279" t="str">
        <f>HYPERLINK("https://github.com/Haptic-Apps/Slide/releases","show")</f>
        <v>show</v>
      </c>
    </row>
    <row r="9280" spans="1:6">
      <c r="A9280" t="s">
        <v>27557</v>
      </c>
      <c r="B9280" t="s">
        <v>27558</v>
      </c>
      <c r="C9280" t="s">
        <v>27559</v>
      </c>
      <c r="D9280" t="str">
        <f>HYPERLINK("https://github.com/michael-rapp/ChromeLikeTabSwitcher/issues/24","show")</f>
        <v>show</v>
      </c>
      <c r="E9280" t="str">
        <f>HYPERLINK("https://github.com/michael-rapp/ChromeLikeTabSwitcher","show")</f>
        <v>show</v>
      </c>
      <c r="F9280" t="str">
        <f>HYPERLINK("https://github.com/michael-rapp/ChromeLikeTabSwitcher/releases","show")</f>
        <v>show</v>
      </c>
    </row>
    <row r="9281" spans="1:6">
      <c r="A9281" t="s">
        <v>27560</v>
      </c>
      <c r="B9281" t="s">
        <v>27561</v>
      </c>
      <c r="C9281" t="s">
        <v>27562</v>
      </c>
      <c r="D9281" t="str">
        <f>HYPERLINK("https://github.com/michael-rapp/ChromeLikeTabSwitcher/issues/23","show")</f>
        <v>show</v>
      </c>
      <c r="E9281" t="str">
        <f>HYPERLINK("https://github.com/michael-rapp/ChromeLikeTabSwitcher","show")</f>
        <v>show</v>
      </c>
      <c r="F9281" t="str">
        <f>HYPERLINK("https://github.com/michael-rapp/ChromeLikeTabSwitcher/releases","show")</f>
        <v>show</v>
      </c>
    </row>
    <row r="9282" spans="1:6">
      <c r="A9282" t="s">
        <v>27563</v>
      </c>
      <c r="B9282" t="s">
        <v>27564</v>
      </c>
      <c r="C9282" t="s">
        <v>27565</v>
      </c>
      <c r="D9282" t="str">
        <f>HYPERLINK("https://github.com/zoontek/react-native-localize/issues/48","show")</f>
        <v>show</v>
      </c>
      <c r="E9282" t="str">
        <f>HYPERLINK("https://github.com/zoontek/react-native-localize","show")</f>
        <v>show</v>
      </c>
      <c r="F9282" t="str">
        <f>HYPERLINK("https://github.com/zoontek/react-native-localize/releases","show")</f>
        <v>show</v>
      </c>
    </row>
    <row r="9283" spans="1:6">
      <c r="A9283" t="s">
        <v>27566</v>
      </c>
      <c r="B9283" t="s">
        <v>27567</v>
      </c>
      <c r="C9283" t="s">
        <v>27568</v>
      </c>
      <c r="D9283" t="str">
        <f>HYPERLINK("https://github.com/michael-rapp/ChromeLikeTabSwitcher/issues/22","show")</f>
        <v>show</v>
      </c>
      <c r="E9283" t="str">
        <f>HYPERLINK("https://github.com/michael-rapp/ChromeLikeTabSwitcher","show")</f>
        <v>show</v>
      </c>
      <c r="F9283" t="str">
        <f>HYPERLINK("https://github.com/michael-rapp/ChromeLikeTabSwitcher/releases","show")</f>
        <v>show</v>
      </c>
    </row>
    <row r="9284" spans="1:6">
      <c r="A9284" t="s">
        <v>27569</v>
      </c>
      <c r="B9284" t="s">
        <v>27570</v>
      </c>
      <c r="C9284" t="s">
        <v>27571</v>
      </c>
      <c r="D9284" t="str">
        <f>HYPERLINK("https://github.com/inaturalist/react-native-inat-camera/issues/11","show")</f>
        <v>show</v>
      </c>
      <c r="E9284" t="str">
        <f>HYPERLINK("https://github.com/inaturalist/react-native-inat-camera","show")</f>
        <v>show</v>
      </c>
      <c r="F9284" t="str">
        <f>HYPERLINK("https://github.com/inaturalist/react-native-inat-camera/releases","show")</f>
        <v>show</v>
      </c>
    </row>
    <row r="9285" spans="1:6">
      <c r="A9285" t="s">
        <v>27572</v>
      </c>
      <c r="B9285" t="s">
        <v>27573</v>
      </c>
      <c r="C9285" t="s">
        <v>27574</v>
      </c>
      <c r="D9285" t="str">
        <f>HYPERLINK("https://github.com/cgeo/cgeo/issues/7510","show")</f>
        <v>show</v>
      </c>
      <c r="E9285" t="str">
        <f>HYPERLINK("https://github.com/cgeo/cgeo","show")</f>
        <v>show</v>
      </c>
      <c r="F9285" t="str">
        <f>HYPERLINK("https://github.com/cgeo/cgeo/releases","show")</f>
        <v>show</v>
      </c>
    </row>
    <row r="9286" spans="1:6">
      <c r="A9286" t="s">
        <v>27575</v>
      </c>
      <c r="B9286" t="s">
        <v>27576</v>
      </c>
      <c r="C9286" t="s">
        <v>27577</v>
      </c>
      <c r="D9286" t="str">
        <f>HYPERLINK("https://github.com/google/ExoPlayer/issues/5767","show")</f>
        <v>show</v>
      </c>
      <c r="E9286" t="str">
        <f>HYPERLINK("https://github.com/google/ExoPlayer","show")</f>
        <v>show</v>
      </c>
      <c r="F9286" t="str">
        <f>HYPERLINK("https://github.com/google/ExoPlayer/releases","show")</f>
        <v>show</v>
      </c>
    </row>
    <row r="9287" spans="1:6">
      <c r="A9287" t="s">
        <v>27578</v>
      </c>
      <c r="B9287" t="s">
        <v>27579</v>
      </c>
      <c r="C9287" t="s">
        <v>27580</v>
      </c>
      <c r="D9287" t="str">
        <f>HYPERLINK("https://github.com/nextcloud/android/issues/3902","show")</f>
        <v>show</v>
      </c>
      <c r="E9287" t="str">
        <f>HYPERLINK("https://github.com/nextcloud/android","show")</f>
        <v>show</v>
      </c>
      <c r="F9287" t="str">
        <f>HYPERLINK("https://github.com/nextcloud/android/releases","show")</f>
        <v>show</v>
      </c>
    </row>
    <row r="9288" spans="1:6">
      <c r="A9288" t="s">
        <v>27581</v>
      </c>
      <c r="B9288" t="s">
        <v>27582</v>
      </c>
      <c r="C9288" t="s">
        <v>27583</v>
      </c>
      <c r="D9288" t="str">
        <f>HYPERLINK("https://github.com/nextcloud/android/issues/3901","show")</f>
        <v>show</v>
      </c>
      <c r="E9288" t="str">
        <f>HYPERLINK("https://github.com/nextcloud/android","show")</f>
        <v>show</v>
      </c>
      <c r="F9288" t="str">
        <f>HYPERLINK("https://github.com/nextcloud/android/releases","show")</f>
        <v>show</v>
      </c>
    </row>
    <row r="9289" spans="1:6">
      <c r="A9289" t="s">
        <v>27584</v>
      </c>
      <c r="B9289" t="s">
        <v>27585</v>
      </c>
      <c r="C9289" t="s">
        <v>27586</v>
      </c>
      <c r="D9289" t="str">
        <f>HYPERLINK("https://github.com/samanzamani/PersianDate/issues/19","show")</f>
        <v>show</v>
      </c>
      <c r="E9289" t="str">
        <f>HYPERLINK("https://github.com/samanzamani/PersianDate","show")</f>
        <v>show</v>
      </c>
      <c r="F9289" t="str">
        <f>HYPERLINK("https://github.com/samanzamani/PersianDate/releases","show")</f>
        <v>show</v>
      </c>
    </row>
    <row r="9290" spans="1:6">
      <c r="A9290" t="s">
        <v>27587</v>
      </c>
      <c r="B9290" t="s">
        <v>27588</v>
      </c>
      <c r="C9290" t="s">
        <v>27589</v>
      </c>
      <c r="D9290" t="str">
        <f>HYPERLINK("https://github.com/libgdx/libgdx/issues/5609","show")</f>
        <v>show</v>
      </c>
      <c r="E9290" t="str">
        <f>HYPERLINK("https://github.com/libgdx/libgdx","show")</f>
        <v>show</v>
      </c>
      <c r="F9290" t="str">
        <f>HYPERLINK("https://github.com/libgdx/libgdx/releases","show")</f>
        <v>show</v>
      </c>
    </row>
    <row r="9291" spans="1:6">
      <c r="A9291" t="s">
        <v>27590</v>
      </c>
      <c r="B9291" t="s">
        <v>27591</v>
      </c>
      <c r="C9291" t="s">
        <v>27592</v>
      </c>
      <c r="D9291" t="str">
        <f>HYPERLINK("https://github.com/TeamNewPipe/NewPipe/issues/2287","show")</f>
        <v>show</v>
      </c>
      <c r="E9291" t="str">
        <f>HYPERLINK("https://github.com/TeamNewPipe/NewPipe","show")</f>
        <v>show</v>
      </c>
      <c r="F9291" t="str">
        <f>HYPERLINK("https://github.com/TeamNewPipe/NewPipe/releases","show")</f>
        <v>show</v>
      </c>
    </row>
    <row r="9292" spans="1:6">
      <c r="A9292" t="s">
        <v>27593</v>
      </c>
      <c r="B9292" t="s">
        <v>27594</v>
      </c>
      <c r="C9292" t="s">
        <v>27595</v>
      </c>
      <c r="D9292" t="str">
        <f>HYPERLINK("https://github.com/SecUSo/privacy-friendly-shopping-list/issues/71","show")</f>
        <v>show</v>
      </c>
      <c r="E9292" t="str">
        <f>HYPERLINK("https://github.com/SecUSo/privacy-friendly-shopping-list","show")</f>
        <v>show</v>
      </c>
      <c r="F9292" t="str">
        <f>HYPERLINK("https://github.com/SecUSo/privacy-friendly-shopping-list/releases","show")</f>
        <v>show</v>
      </c>
    </row>
    <row r="9293" spans="1:6">
      <c r="A9293" t="s">
        <v>27596</v>
      </c>
      <c r="B9293" t="s">
        <v>27597</v>
      </c>
      <c r="C9293" t="s">
        <v>27598</v>
      </c>
      <c r="D9293" t="str">
        <f>HYPERLINK("https://github.com/andyrozman/RileyLinkAAPS/issues/116","show")</f>
        <v>show</v>
      </c>
      <c r="E9293" t="str">
        <f>HYPERLINK("https://github.com/andyrozman/RileyLinkAAPS","show")</f>
        <v>show</v>
      </c>
      <c r="F9293" t="str">
        <f>HYPERLINK("https://github.com/andyrozman/RileyLinkAAPS/releases","show")</f>
        <v>show</v>
      </c>
    </row>
    <row r="9294" spans="1:6">
      <c r="A9294" t="s">
        <v>27599</v>
      </c>
      <c r="B9294" t="s">
        <v>27600</v>
      </c>
      <c r="C9294" t="s">
        <v>27601</v>
      </c>
      <c r="D9294" t="str">
        <f>HYPERLINK("https://github.com/khalid-hussain/HisnulMuslim/issues/63","show")</f>
        <v>show</v>
      </c>
      <c r="E9294" t="str">
        <f>HYPERLINK("https://github.com/khalid-hussain/HisnulMuslim","show")</f>
        <v>show</v>
      </c>
      <c r="F9294" t="str">
        <f>HYPERLINK("https://github.com/khalid-hussain/HisnulMuslim/releases","show")</f>
        <v>show</v>
      </c>
    </row>
    <row r="9295" spans="1:6">
      <c r="A9295" t="s">
        <v>27602</v>
      </c>
      <c r="B9295" t="s">
        <v>27603</v>
      </c>
      <c r="C9295" t="s">
        <v>27604</v>
      </c>
      <c r="D9295" t="str">
        <f>HYPERLINK("https://github.com/mauriceoegerli/Monthh/issues/1","show")</f>
        <v>show</v>
      </c>
      <c r="E9295" t="str">
        <f>HYPERLINK("https://github.com/mauriceoegerli/Monthh","show")</f>
        <v>show</v>
      </c>
      <c r="F9295" t="str">
        <f>HYPERLINK("https://github.com/mauriceoegerli/Monthh/releases","show")</f>
        <v>show</v>
      </c>
    </row>
    <row r="9296" spans="1:6">
      <c r="A9296" t="s">
        <v>27605</v>
      </c>
      <c r="B9296" t="s">
        <v>27606</v>
      </c>
      <c r="C9296" t="s">
        <v>27607</v>
      </c>
      <c r="D9296" t="str">
        <f>HYPERLINK("https://github.com/LawnchairLauncher/lawnchair/issues/1492","show")</f>
        <v>show</v>
      </c>
      <c r="E9296" t="str">
        <f>HYPERLINK("https://github.com/LawnchairLauncher/lawnchair","show")</f>
        <v>show</v>
      </c>
      <c r="F9296" t="str">
        <f>HYPERLINK("https://github.com/LawnchairLauncher/lawnchair/releases","show")</f>
        <v>show</v>
      </c>
    </row>
    <row r="9297" spans="1:6">
      <c r="A9297" t="s">
        <v>27608</v>
      </c>
      <c r="B9297" t="s">
        <v>27609</v>
      </c>
      <c r="C9297" t="s">
        <v>27610</v>
      </c>
      <c r="D9297" t="str">
        <f>HYPERLINK("https://github.com/niclabs/adkintunmobile-androidclient/issues/203","show")</f>
        <v>show</v>
      </c>
      <c r="E9297" t="str">
        <f>HYPERLINK("https://github.com/niclabs/adkintunmobile-androidclient","show")</f>
        <v>show</v>
      </c>
      <c r="F9297" t="str">
        <f>HYPERLINK("https://github.com/niclabs/adkintunmobile-androidclient/releases","show")</f>
        <v>show</v>
      </c>
    </row>
    <row r="9298" spans="1:6">
      <c r="A9298" t="s">
        <v>27611</v>
      </c>
      <c r="B9298" t="s">
        <v>27612</v>
      </c>
      <c r="C9298" t="s">
        <v>27613</v>
      </c>
      <c r="D9298" t="str">
        <f>HYPERLINK("https://github.com/google/ExoPlayer/issues/5757","show")</f>
        <v>show</v>
      </c>
      <c r="E9298" t="str">
        <f>HYPERLINK("https://github.com/google/ExoPlayer","show")</f>
        <v>show</v>
      </c>
      <c r="F9298" t="str">
        <f>HYPERLINK("https://github.com/google/ExoPlayer/releases","show")</f>
        <v>show</v>
      </c>
    </row>
    <row r="9299" spans="1:6">
      <c r="A9299" t="s">
        <v>27614</v>
      </c>
      <c r="B9299" t="s">
        <v>27615</v>
      </c>
      <c r="C9299" t="s">
        <v>27616</v>
      </c>
      <c r="D9299" t="str">
        <f>HYPERLINK("https://github.com/nextcloud/android/issues/3881","show")</f>
        <v>show</v>
      </c>
      <c r="E9299" t="str">
        <f>HYPERLINK("https://github.com/nextcloud/android","show")</f>
        <v>show</v>
      </c>
      <c r="F9299" t="str">
        <f>HYPERLINK("https://github.com/nextcloud/android/releases","show")</f>
        <v>show</v>
      </c>
    </row>
    <row r="9300" spans="1:6">
      <c r="A9300" t="s">
        <v>27617</v>
      </c>
      <c r="B9300" t="s">
        <v>27618</v>
      </c>
      <c r="C9300" t="s">
        <v>27619</v>
      </c>
      <c r="D9300" t="str">
        <f>HYPERLINK("https://github.com/OneBusAway/onebusaway-android/issues/975","show")</f>
        <v>show</v>
      </c>
      <c r="E9300" t="str">
        <f>HYPERLINK("https://github.com/OneBusAway/onebusaway-android","show")</f>
        <v>show</v>
      </c>
      <c r="F9300" t="str">
        <f>HYPERLINK("https://github.com/OneBusAway/onebusaway-android/releases","show")</f>
        <v>show</v>
      </c>
    </row>
    <row r="9301" spans="1:6">
      <c r="A9301" t="s">
        <v>27620</v>
      </c>
      <c r="B9301" t="s">
        <v>27621</v>
      </c>
      <c r="C9301" t="s">
        <v>27622</v>
      </c>
      <c r="D9301" t="str">
        <f>HYPERLINK("https://github.com/maks/MGit/issues/450","show")</f>
        <v>show</v>
      </c>
      <c r="E9301" t="str">
        <f>HYPERLINK("https://github.com/maks/MGit","show")</f>
        <v>show</v>
      </c>
      <c r="F9301" t="str">
        <f>HYPERLINK("https://github.com/maks/MGit/releases","show")</f>
        <v>show</v>
      </c>
    </row>
    <row r="9302" spans="1:6">
      <c r="A9302" t="s">
        <v>27623</v>
      </c>
      <c r="B9302" t="s">
        <v>27624</v>
      </c>
      <c r="C9302" t="s">
        <v>27625</v>
      </c>
      <c r="D9302" t="str">
        <f>HYPERLINK("https://github.com/awslabs/aws-mobile-appsync-sdk-android/issues/146","show")</f>
        <v>show</v>
      </c>
      <c r="E9302" t="str">
        <f>HYPERLINK("https://github.com/awslabs/aws-mobile-appsync-sdk-android","show")</f>
        <v>show</v>
      </c>
      <c r="F9302" t="str">
        <f>HYPERLINK("https://github.com/awslabs/aws-mobile-appsync-sdk-android/releases","show")</f>
        <v>show</v>
      </c>
    </row>
    <row r="9303" spans="1:6">
      <c r="A9303" t="s">
        <v>27626</v>
      </c>
      <c r="B9303" t="s">
        <v>27627</v>
      </c>
      <c r="C9303" t="s">
        <v>27628</v>
      </c>
      <c r="D9303" t="str">
        <f>HYPERLINK("https://github.com/react-native-geolocation/react-native-geolocation/issues/23","show")</f>
        <v>show</v>
      </c>
      <c r="E9303" t="str">
        <f>HYPERLINK("https://github.com/react-native-geolocation/react-native-geolocation","show")</f>
        <v>show</v>
      </c>
      <c r="F9303" t="str">
        <f>HYPERLINK("https://github.com/react-native-geolocation/react-native-geolocation/releases","show")</f>
        <v>show</v>
      </c>
    </row>
    <row r="9304" spans="1:6">
      <c r="A9304" t="s">
        <v>27629</v>
      </c>
      <c r="B9304" t="s">
        <v>27630</v>
      </c>
      <c r="C9304" t="s">
        <v>27631</v>
      </c>
      <c r="D9304" t="str">
        <f>HYPERLINK("https://github.com/TeamNewPipe/NewPipe/issues/2280","show")</f>
        <v>show</v>
      </c>
      <c r="E9304" t="str">
        <f>HYPERLINK("https://github.com/TeamNewPipe/NewPipe","show")</f>
        <v>show</v>
      </c>
      <c r="F9304" t="str">
        <f>HYPERLINK("https://github.com/TeamNewPipe/NewPipe/releases","show")</f>
        <v>show</v>
      </c>
    </row>
    <row r="9305" spans="1:6">
      <c r="A9305" t="s">
        <v>27632</v>
      </c>
      <c r="B9305" t="s">
        <v>27633</v>
      </c>
      <c r="C9305" t="s">
        <v>27634</v>
      </c>
      <c r="D9305" t="str">
        <f>HYPERLINK("https://github.com/UriahShaulMandel/BaldPhone/issues/11","show")</f>
        <v>show</v>
      </c>
      <c r="E9305" t="str">
        <f>HYPERLINK("https://github.com/UriahShaulMandel/BaldPhone","show")</f>
        <v>show</v>
      </c>
      <c r="F9305" t="str">
        <f>HYPERLINK("https://github.com/UriahShaulMandel/BaldPhone/releases","show")</f>
        <v>show</v>
      </c>
    </row>
    <row r="9306" spans="1:6">
      <c r="A9306" t="s">
        <v>27635</v>
      </c>
      <c r="B9306" t="s">
        <v>27636</v>
      </c>
      <c r="C9306" t="s">
        <v>27637</v>
      </c>
      <c r="D9306" t="str">
        <f>HYPERLINK("https://github.com/mapbox/mapbox-plugins-android/issues/925","show")</f>
        <v>show</v>
      </c>
      <c r="E9306" t="str">
        <f>HYPERLINK("https://github.com/mapbox/mapbox-plugins-android","show")</f>
        <v>show</v>
      </c>
      <c r="F9306" t="str">
        <f>HYPERLINK("https://github.com/mapbox/mapbox-plugins-android/releases","show")</f>
        <v>show</v>
      </c>
    </row>
    <row r="9307" spans="1:6">
      <c r="A9307" t="s">
        <v>27638</v>
      </c>
      <c r="B9307" t="s">
        <v>27639</v>
      </c>
      <c r="C9307" t="s">
        <v>27640</v>
      </c>
      <c r="D9307" t="str">
        <f>HYPERLINK("https://github.com/react-native-camera/react-native-camera/issues/2203","show")</f>
        <v>show</v>
      </c>
      <c r="E9307" t="str">
        <f>HYPERLINK("https://github.com/react-native-camera/react-native-camera","show")</f>
        <v>show</v>
      </c>
      <c r="F9307" t="str">
        <f>HYPERLINK("https://github.com/react-native-camera/react-native-camera/releases","show")</f>
        <v>show</v>
      </c>
    </row>
    <row r="9308" spans="1:6">
      <c r="A9308" t="s">
        <v>27641</v>
      </c>
      <c r="B9308" t="s">
        <v>27642</v>
      </c>
      <c r="C9308" t="s">
        <v>27643</v>
      </c>
      <c r="D9308" t="str">
        <f>HYPERLINK("https://github.com/react-native-camera/react-native-camera/issues/2202","show")</f>
        <v>show</v>
      </c>
      <c r="E9308" t="str">
        <f>HYPERLINK("https://github.com/react-native-camera/react-native-camera","show")</f>
        <v>show</v>
      </c>
      <c r="F9308" t="str">
        <f>HYPERLINK("https://github.com/react-native-camera/react-native-camera/releases","show")</f>
        <v>show</v>
      </c>
    </row>
    <row r="9309" spans="1:6">
      <c r="A9309" t="s">
        <v>27644</v>
      </c>
      <c r="B9309" t="s">
        <v>27645</v>
      </c>
      <c r="C9309" t="s">
        <v>27646</v>
      </c>
      <c r="D9309" t="str">
        <f>HYPERLINK("https://github.com/forrestguice/SuntimesWidget/issues/315","show")</f>
        <v>show</v>
      </c>
      <c r="E9309" t="str">
        <f>HYPERLINK("https://github.com/forrestguice/SuntimesWidget","show")</f>
        <v>show</v>
      </c>
      <c r="F9309" t="str">
        <f>HYPERLINK("https://github.com/forrestguice/SuntimesWidget/releases","show")</f>
        <v>show</v>
      </c>
    </row>
    <row r="9310" spans="1:6">
      <c r="A9310" t="s">
        <v>27647</v>
      </c>
      <c r="B9310" t="s">
        <v>27648</v>
      </c>
      <c r="C9310" t="s">
        <v>27649</v>
      </c>
      <c r="D9310" t="str">
        <f>HYPERLINK("https://github.com/k9mail/k-9/issues/4016","show")</f>
        <v>show</v>
      </c>
      <c r="E9310" t="str">
        <f>HYPERLINK("https://github.com/k9mail/k-9","show")</f>
        <v>show</v>
      </c>
      <c r="F9310" t="str">
        <f>HYPERLINK("https://github.com/k9mail/k-9/releases","show")</f>
        <v>show</v>
      </c>
    </row>
    <row r="9311" spans="1:6">
      <c r="A9311" t="s">
        <v>27650</v>
      </c>
      <c r="B9311" t="s">
        <v>27651</v>
      </c>
      <c r="C9311" t="s">
        <v>27652</v>
      </c>
      <c r="D9311" t="str">
        <f>HYPERLINK("https://github.com/nextcloud/android/issues/3869","show")</f>
        <v>show</v>
      </c>
      <c r="E9311" t="str">
        <f>HYPERLINK("https://github.com/nextcloud/android","show")</f>
        <v>show</v>
      </c>
      <c r="F9311" t="str">
        <f>HYPERLINK("https://github.com/nextcloud/android/releases","show")</f>
        <v>show</v>
      </c>
    </row>
    <row r="9312" spans="1:6">
      <c r="A9312" t="s">
        <v>27653</v>
      </c>
      <c r="B9312" t="s">
        <v>27654</v>
      </c>
      <c r="C9312" t="s">
        <v>27655</v>
      </c>
      <c r="D9312" t="str">
        <f>HYPERLINK("https://github.com/cgeo/cgeo/issues/7482","show")</f>
        <v>show</v>
      </c>
      <c r="E9312" t="str">
        <f>HYPERLINK("https://github.com/cgeo/cgeo","show")</f>
        <v>show</v>
      </c>
      <c r="F9312" t="str">
        <f>HYPERLINK("https://github.com/cgeo/cgeo/releases","show")</f>
        <v>show</v>
      </c>
    </row>
    <row r="9313" spans="1:6">
      <c r="A9313" t="s">
        <v>27656</v>
      </c>
      <c r="B9313" t="s">
        <v>27657</v>
      </c>
      <c r="C9313" t="s">
        <v>27658</v>
      </c>
      <c r="D9313" t="str">
        <f>HYPERLINK("https://github.com/COSC481W-2019Winter/classproject-sudo-give_us_an_a/issues/32","show")</f>
        <v>show</v>
      </c>
      <c r="E9313" t="str">
        <f>HYPERLINK("https://github.com/COSC481W-2019Winter/classproject-sudo-give_us_an_a","show")</f>
        <v>show</v>
      </c>
      <c r="F9313" t="str">
        <f>HYPERLINK("https://github.com/COSC481W-2019Winter/classproject-sudo-give_us_an_a/releases","show")</f>
        <v>show</v>
      </c>
    </row>
    <row r="9314" spans="1:6">
      <c r="A9314" t="s">
        <v>27659</v>
      </c>
      <c r="B9314" t="s">
        <v>27660</v>
      </c>
      <c r="C9314" t="s">
        <v>27661</v>
      </c>
      <c r="D9314" t="str">
        <f>HYPERLINK("https://github.com/openMF/android-client/issues/1156","show")</f>
        <v>show</v>
      </c>
      <c r="E9314" t="str">
        <f>HYPERLINK("https://github.com/openMF/android-client","show")</f>
        <v>show</v>
      </c>
      <c r="F9314" t="str">
        <f>HYPERLINK("https://github.com/openMF/android-client/releases","show")</f>
        <v>show</v>
      </c>
    </row>
    <row r="9315" spans="1:6">
      <c r="A9315" t="s">
        <v>27662</v>
      </c>
      <c r="B9315" t="s">
        <v>27663</v>
      </c>
      <c r="C9315" t="s">
        <v>27664</v>
      </c>
      <c r="D9315" t="str">
        <f>HYPERLINK("https://github.com/square/okhttp/issues/4918","show")</f>
        <v>show</v>
      </c>
      <c r="E9315" t="str">
        <f>HYPERLINK("https://github.com/square/okhttp","show")</f>
        <v>show</v>
      </c>
      <c r="F9315" t="str">
        <f>HYPERLINK("https://github.com/square/okhttp/releases","show")</f>
        <v>show</v>
      </c>
    </row>
    <row r="9316" spans="1:6">
      <c r="A9316" t="s">
        <v>27665</v>
      </c>
      <c r="B9316" t="s">
        <v>27666</v>
      </c>
      <c r="C9316" t="s">
        <v>27667</v>
      </c>
      <c r="D9316" t="str">
        <f>HYPERLINK("https://github.com/google/ExoPlayer/issues/5744","show")</f>
        <v>show</v>
      </c>
      <c r="E9316" t="str">
        <f>HYPERLINK("https://github.com/google/ExoPlayer","show")</f>
        <v>show</v>
      </c>
      <c r="F9316" t="str">
        <f>HYPERLINK("https://github.com/google/ExoPlayer/releases","show")</f>
        <v>show</v>
      </c>
    </row>
    <row r="9317" spans="1:6">
      <c r="A9317" t="s">
        <v>27668</v>
      </c>
      <c r="B9317" t="s">
        <v>27669</v>
      </c>
      <c r="C9317" t="s">
        <v>27670</v>
      </c>
      <c r="D9317" t="str">
        <f>HYPERLINK("https://github.com/LawnchairLauncher/lawnchair/issues/1486","show")</f>
        <v>show</v>
      </c>
      <c r="E9317" t="str">
        <f>HYPERLINK("https://github.com/LawnchairLauncher/lawnchair","show")</f>
        <v>show</v>
      </c>
      <c r="F9317" t="str">
        <f>HYPERLINK("https://github.com/LawnchairLauncher/lawnchair/releases","show")</f>
        <v>show</v>
      </c>
    </row>
    <row r="9318" spans="1:6">
      <c r="A9318" t="s">
        <v>27671</v>
      </c>
      <c r="B9318" t="s">
        <v>27672</v>
      </c>
      <c r="C9318" t="s">
        <v>27673</v>
      </c>
      <c r="D9318" t="str">
        <f>HYPERLINK("https://github.com/cgeo/cgeo/issues/7473","show")</f>
        <v>show</v>
      </c>
      <c r="E9318" t="str">
        <f>HYPERLINK("https://github.com/cgeo/cgeo","show")</f>
        <v>show</v>
      </c>
      <c r="F9318" t="str">
        <f>HYPERLINK("https://github.com/cgeo/cgeo/releases","show")</f>
        <v>show</v>
      </c>
    </row>
    <row r="9319" spans="1:6">
      <c r="A9319" t="s">
        <v>27674</v>
      </c>
      <c r="B9319" t="s">
        <v>27675</v>
      </c>
      <c r="C9319" t="s">
        <v>27676</v>
      </c>
      <c r="D9319" t="str">
        <f>HYPERLINK("https://github.com/LawnchairLauncher/lawnchair/issues/1474","show")</f>
        <v>show</v>
      </c>
      <c r="E9319" t="str">
        <f>HYPERLINK("https://github.com/LawnchairLauncher/lawnchair","show")</f>
        <v>show</v>
      </c>
      <c r="F9319" t="str">
        <f>HYPERLINK("https://github.com/LawnchairLauncher/lawnchair/releases","show")</f>
        <v>show</v>
      </c>
    </row>
    <row r="9320" spans="1:6">
      <c r="A9320" t="s">
        <v>27677</v>
      </c>
      <c r="B9320" t="s">
        <v>27678</v>
      </c>
      <c r="C9320" t="s">
        <v>27679</v>
      </c>
      <c r="D9320" t="str">
        <f>HYPERLINK("https://github.com/LawnchairLauncher/lawnchair/issues/1466","show")</f>
        <v>show</v>
      </c>
      <c r="E9320" t="str">
        <f>HYPERLINK("https://github.com/LawnchairLauncher/lawnchair","show")</f>
        <v>show</v>
      </c>
      <c r="F9320" t="str">
        <f>HYPERLINK("https://github.com/LawnchairLauncher/lawnchair/releases","show")</f>
        <v>show</v>
      </c>
    </row>
    <row r="9321" spans="1:6">
      <c r="A9321" t="s">
        <v>27680</v>
      </c>
      <c r="B9321" t="s">
        <v>27681</v>
      </c>
      <c r="C9321" t="s">
        <v>27682</v>
      </c>
      <c r="D9321" t="str">
        <f>HYPERLINK("https://github.com/timusus/Shuttle/issues/456","show")</f>
        <v>show</v>
      </c>
      <c r="E9321" t="str">
        <f>HYPERLINK("https://github.com/timusus/Shuttle","show")</f>
        <v>show</v>
      </c>
      <c r="F9321" t="str">
        <f>HYPERLINK("https://github.com/timusus/Shuttle/releases","show")</f>
        <v>show</v>
      </c>
    </row>
    <row r="9322" spans="1:6">
      <c r="A9322" t="s">
        <v>27683</v>
      </c>
      <c r="B9322" t="s">
        <v>27684</v>
      </c>
      <c r="C9322" t="s">
        <v>27685</v>
      </c>
      <c r="D9322" t="str">
        <f>HYPERLINK("https://github.com/tanguyantoine/react-native-music-control/issues/247","show")</f>
        <v>show</v>
      </c>
      <c r="E9322" t="str">
        <f>HYPERLINK("https://github.com/tanguyantoine/react-native-music-control","show")</f>
        <v>show</v>
      </c>
      <c r="F9322" t="str">
        <f>HYPERLINK("https://github.com/tanguyantoine/react-native-music-control/releases","show")</f>
        <v>show</v>
      </c>
    </row>
    <row r="9323" spans="1:6">
      <c r="A9323" t="s">
        <v>27686</v>
      </c>
      <c r="B9323" t="s">
        <v>27687</v>
      </c>
      <c r="C9323" t="s">
        <v>27688</v>
      </c>
      <c r="D9323" t="str">
        <f>HYPERLINK("https://github.com/inaturalist/react-native-inat-camera/issues/9","show")</f>
        <v>show</v>
      </c>
      <c r="E9323" t="str">
        <f>HYPERLINK("https://github.com/inaturalist/react-native-inat-camera","show")</f>
        <v>show</v>
      </c>
      <c r="F9323" t="str">
        <f>HYPERLINK("https://github.com/inaturalist/react-native-inat-camera/releases","show")</f>
        <v>show</v>
      </c>
    </row>
    <row r="9324" spans="1:6">
      <c r="A9324" t="s">
        <v>27689</v>
      </c>
      <c r="B9324" t="s">
        <v>27690</v>
      </c>
      <c r="C9324" t="s">
        <v>27691</v>
      </c>
      <c r="D9324" t="str">
        <f>HYPERLINK("https://github.com/forrestguice/SuntimesWidget/issues/309","show")</f>
        <v>show</v>
      </c>
      <c r="E9324" t="str">
        <f>HYPERLINK("https://github.com/forrestguice/SuntimesWidget","show")</f>
        <v>show</v>
      </c>
      <c r="F9324" t="str">
        <f>HYPERLINK("https://github.com/forrestguice/SuntimesWidget/releases","show")</f>
        <v>show</v>
      </c>
    </row>
    <row r="9325" spans="1:6">
      <c r="A9325" t="s">
        <v>27692</v>
      </c>
      <c r="B9325" t="s">
        <v>27693</v>
      </c>
      <c r="C9325" t="s">
        <v>27694</v>
      </c>
      <c r="D9325" t="str">
        <f>HYPERLINK("https://github.com/square/okhttp/issues/4880","show")</f>
        <v>show</v>
      </c>
      <c r="E9325" t="str">
        <f>HYPERLINK("https://github.com/square/okhttp","show")</f>
        <v>show</v>
      </c>
      <c r="F9325" t="str">
        <f>HYPERLINK("https://github.com/square/okhttp/releases","show")</f>
        <v>show</v>
      </c>
    </row>
    <row r="9326" spans="1:6">
      <c r="A9326" t="s">
        <v>27695</v>
      </c>
      <c r="B9326" t="s">
        <v>27696</v>
      </c>
      <c r="C9326" t="s">
        <v>27697</v>
      </c>
      <c r="D9326" t="str">
        <f>HYPERLINK("https://github.com/awslabs/aws-mobile-appsync-sdk-android/issues/144","show")</f>
        <v>show</v>
      </c>
      <c r="E9326" t="str">
        <f>HYPERLINK("https://github.com/awslabs/aws-mobile-appsync-sdk-android","show")</f>
        <v>show</v>
      </c>
      <c r="F9326" t="str">
        <f>HYPERLINK("https://github.com/awslabs/aws-mobile-appsync-sdk-android/releases","show")</f>
        <v>show</v>
      </c>
    </row>
    <row r="9327" spans="1:6">
      <c r="A9327" t="s">
        <v>27698</v>
      </c>
      <c r="B9327" t="s">
        <v>27699</v>
      </c>
      <c r="C9327" t="s">
        <v>27700</v>
      </c>
      <c r="D9327" t="str">
        <f>HYPERLINK("https://github.com/vhaudiquet/blade-player/issues/34","show")</f>
        <v>show</v>
      </c>
      <c r="E9327" t="str">
        <f>HYPERLINK("https://github.com/vhaudiquet/blade-player","show")</f>
        <v>show</v>
      </c>
      <c r="F9327" t="str">
        <f>HYPERLINK("https://github.com/vhaudiquet/blade-player/releases","show")</f>
        <v>show</v>
      </c>
    </row>
    <row r="9328" spans="1:6">
      <c r="A9328" t="s">
        <v>27701</v>
      </c>
      <c r="B9328" t="s">
        <v>27702</v>
      </c>
      <c r="C9328" t="s">
        <v>27703</v>
      </c>
      <c r="D9328" t="str">
        <f>HYPERLINK("https://github.com/vhaudiquet/blade-player/issues/33","show")</f>
        <v>show</v>
      </c>
      <c r="E9328" t="str">
        <f>HYPERLINK("https://github.com/vhaudiquet/blade-player","show")</f>
        <v>show</v>
      </c>
      <c r="F9328" t="str">
        <f>HYPERLINK("https://github.com/vhaudiquet/blade-player/releases","show")</f>
        <v>show</v>
      </c>
    </row>
    <row r="9329" spans="1:6">
      <c r="A9329" t="s">
        <v>27704</v>
      </c>
      <c r="B9329" t="s">
        <v>27705</v>
      </c>
      <c r="C9329" t="s">
        <v>27706</v>
      </c>
      <c r="D9329" t="str">
        <f>HYPERLINK("https://github.com/mapbox/mapbox-plugins-android/issues/908","show")</f>
        <v>show</v>
      </c>
      <c r="E9329" t="str">
        <f>HYPERLINK("https://github.com/mapbox/mapbox-plugins-android","show")</f>
        <v>show</v>
      </c>
      <c r="F9329" t="str">
        <f>HYPERLINK("https://github.com/mapbox/mapbox-plugins-android/releases","show")</f>
        <v>show</v>
      </c>
    </row>
    <row r="9330" spans="1:6">
      <c r="A9330" t="s">
        <v>27707</v>
      </c>
      <c r="B9330" t="s">
        <v>27708</v>
      </c>
      <c r="C9330" t="s">
        <v>27709</v>
      </c>
      <c r="D9330" t="str">
        <f>HYPERLINK("https://github.com/iyegoroff/react-native-image-filter-kit/issues/15","show")</f>
        <v>show</v>
      </c>
      <c r="E9330" t="str">
        <f>HYPERLINK("https://github.com/iyegoroff/react-native-image-filter-kit","show")</f>
        <v>show</v>
      </c>
      <c r="F9330" t="str">
        <f>HYPERLINK("https://github.com/iyegoroff/react-native-image-filter-kit/releases","show")</f>
        <v>show</v>
      </c>
    </row>
    <row r="9331" spans="1:6">
      <c r="A9331" t="s">
        <v>27710</v>
      </c>
      <c r="B9331" t="s">
        <v>27711</v>
      </c>
      <c r="C9331" t="s">
        <v>27712</v>
      </c>
      <c r="D9331" t="str">
        <f>HYPERLINK("https://github.com/inaturalist/react-native-inat-camera/issues/7","show")</f>
        <v>show</v>
      </c>
      <c r="E9331" t="str">
        <f>HYPERLINK("https://github.com/inaturalist/react-native-inat-camera","show")</f>
        <v>show</v>
      </c>
      <c r="F9331" t="str">
        <f>HYPERLINK("https://github.com/inaturalist/react-native-inat-camera/releases","show")</f>
        <v>show</v>
      </c>
    </row>
    <row r="9332" spans="1:6">
      <c r="A9332" t="s">
        <v>27713</v>
      </c>
      <c r="B9332" t="s">
        <v>27714</v>
      </c>
      <c r="C9332" t="s">
        <v>27715</v>
      </c>
      <c r="D9332" t="str">
        <f>HYPERLINK("https://github.com/vhaudiquet/blade-player/issues/32","show")</f>
        <v>show</v>
      </c>
      <c r="E9332" t="str">
        <f>HYPERLINK("https://github.com/vhaudiquet/blade-player","show")</f>
        <v>show</v>
      </c>
      <c r="F9332" t="str">
        <f>HYPERLINK("https://github.com/vhaudiquet/blade-player/releases","show")</f>
        <v>show</v>
      </c>
    </row>
    <row r="9333" spans="1:6">
      <c r="A9333" t="s">
        <v>27716</v>
      </c>
      <c r="B9333" t="s">
        <v>27717</v>
      </c>
      <c r="C9333" t="s">
        <v>27718</v>
      </c>
      <c r="D9333" t="str">
        <f>HYPERLINK("https://github.com/AmazMod/AmazMod/issues/463","show")</f>
        <v>show</v>
      </c>
      <c r="E9333" t="str">
        <f>HYPERLINK("https://github.com/AmazMod/AmazMod","show")</f>
        <v>show</v>
      </c>
      <c r="F9333" t="str">
        <f>HYPERLINK("https://github.com/AmazMod/AmazMod/releases","show")</f>
        <v>show</v>
      </c>
    </row>
    <row r="9334" spans="1:6">
      <c r="A9334" t="s">
        <v>27719</v>
      </c>
      <c r="B9334" t="s">
        <v>27720</v>
      </c>
      <c r="C9334" t="s">
        <v>27721</v>
      </c>
      <c r="D9334" t="str">
        <f>HYPERLINK("https://github.com/awslabs/aws-mobile-appsync-sdk-android/issues/140","show")</f>
        <v>show</v>
      </c>
      <c r="E9334" t="str">
        <f>HYPERLINK("https://github.com/awslabs/aws-mobile-appsync-sdk-android","show")</f>
        <v>show</v>
      </c>
      <c r="F9334" t="str">
        <f>HYPERLINK("https://github.com/awslabs/aws-mobile-appsync-sdk-android/releases","show")</f>
        <v>show</v>
      </c>
    </row>
    <row r="9335" spans="1:6">
      <c r="A9335" t="s">
        <v>27722</v>
      </c>
      <c r="B9335" t="s">
        <v>27723</v>
      </c>
      <c r="C9335" t="s">
        <v>27724</v>
      </c>
      <c r="D9335" t="str">
        <f>HYPERLINK("https://github.com/paceuniversity/cs389s2019team5/issues/13","show")</f>
        <v>show</v>
      </c>
      <c r="E9335" t="str">
        <f>HYPERLINK("https://github.com/paceuniversity/cs389s2019team5","show")</f>
        <v>show</v>
      </c>
      <c r="F9335" t="str">
        <f>HYPERLINK("https://github.com/paceuniversity/cs389s2019team5/releases","show")</f>
        <v>show</v>
      </c>
    </row>
    <row r="9336" spans="1:6">
      <c r="A9336" t="s">
        <v>27725</v>
      </c>
      <c r="B9336" t="s">
        <v>27726</v>
      </c>
      <c r="C9336" t="s">
        <v>27727</v>
      </c>
      <c r="D9336" t="str">
        <f>HYPERLINK("https://github.com/hidroh/materialistic/issues/1245","show")</f>
        <v>show</v>
      </c>
      <c r="E9336" t="str">
        <f>HYPERLINK("https://github.com/hidroh/materialistic","show")</f>
        <v>show</v>
      </c>
      <c r="F9336" t="str">
        <f>HYPERLINK("https://github.com/hidroh/materialistic/releases","show")</f>
        <v>show</v>
      </c>
    </row>
    <row r="9337" spans="1:6">
      <c r="A9337" t="s">
        <v>27728</v>
      </c>
      <c r="B9337" t="s">
        <v>27729</v>
      </c>
      <c r="C9337" t="s">
        <v>27730</v>
      </c>
      <c r="D9337" t="str">
        <f>HYPERLINK("https://github.com/eclipsesource/J2V8/issues/462","show")</f>
        <v>show</v>
      </c>
      <c r="E9337" t="str">
        <f>HYPERLINK("https://github.com/eclipsesource/J2V8","show")</f>
        <v>show</v>
      </c>
      <c r="F9337" t="str">
        <f>HYPERLINK("https://github.com/eclipsesource/J2V8/releases","show")</f>
        <v>show</v>
      </c>
    </row>
    <row r="9338" spans="1:6">
      <c r="A9338" t="s">
        <v>27731</v>
      </c>
      <c r="B9338" t="s">
        <v>27732</v>
      </c>
      <c r="C9338" t="s">
        <v>27733</v>
      </c>
      <c r="D9338" t="str">
        <f>HYPERLINK("https://github.com/square/okhttp/issues/4858","show")</f>
        <v>show</v>
      </c>
      <c r="E9338" t="str">
        <f>HYPERLINK("https://github.com/square/okhttp","show")</f>
        <v>show</v>
      </c>
      <c r="F9338" t="str">
        <f>HYPERLINK("https://github.com/square/okhttp/releases","show")</f>
        <v>show</v>
      </c>
    </row>
    <row r="9339" spans="1:6">
      <c r="A9339" t="s">
        <v>27734</v>
      </c>
      <c r="B9339" t="s">
        <v>27735</v>
      </c>
      <c r="C9339" t="s">
        <v>27736</v>
      </c>
      <c r="D9339" t="str">
        <f>HYPERLINK("https://github.com/datatheorem/TrustKit-Android/issues/53","show")</f>
        <v>show</v>
      </c>
      <c r="E9339" t="str">
        <f>HYPERLINK("https://github.com/datatheorem/TrustKit-Android","show")</f>
        <v>show</v>
      </c>
      <c r="F9339" t="str">
        <f>HYPERLINK("https://github.com/datatheorem/TrustKit-Android/releases","show")</f>
        <v>show</v>
      </c>
    </row>
    <row r="9340" spans="1:6">
      <c r="A9340" t="s">
        <v>27737</v>
      </c>
      <c r="B9340" t="s">
        <v>27738</v>
      </c>
      <c r="C9340" t="s">
        <v>27739</v>
      </c>
      <c r="D9340" t="str">
        <f>HYPERLINK("https://github.com/the3soundcrafties/SoundboardCrafter/issues/19","show")</f>
        <v>show</v>
      </c>
      <c r="E9340" t="str">
        <f>HYPERLINK("https://github.com/the3soundcrafties/SoundboardCrafter","show")</f>
        <v>show</v>
      </c>
      <c r="F9340" t="str">
        <f>HYPERLINK("https://github.com/the3soundcrafties/SoundboardCrafter/releases","show")</f>
        <v>show</v>
      </c>
    </row>
    <row r="9341" spans="1:6">
      <c r="A9341" t="s">
        <v>27740</v>
      </c>
      <c r="B9341" t="s">
        <v>27741</v>
      </c>
      <c r="C9341" t="s">
        <v>27742</v>
      </c>
      <c r="D9341" t="str">
        <f>HYPERLINK("https://github.com/getodk/collect/issues/2979","show")</f>
        <v>show</v>
      </c>
      <c r="E9341" t="str">
        <f>HYPERLINK("https://github.com/getodk/collect","show")</f>
        <v>show</v>
      </c>
      <c r="F9341" t="str">
        <f>HYPERLINK("https://github.com/getodk/collect/releases","show")</f>
        <v>show</v>
      </c>
    </row>
    <row r="9342" spans="1:6">
      <c r="A9342" t="s">
        <v>27743</v>
      </c>
      <c r="B9342" t="s">
        <v>27744</v>
      </c>
      <c r="C9342" t="s">
        <v>27745</v>
      </c>
      <c r="D9342" t="str">
        <f>HYPERLINK("https://github.com/jMonkeyEngine/jmonkeyengine/issues/1058","show")</f>
        <v>show</v>
      </c>
      <c r="E9342" t="str">
        <f>HYPERLINK("https://github.com/jMonkeyEngine/jmonkeyengine","show")</f>
        <v>show</v>
      </c>
      <c r="F9342" t="str">
        <f>HYPERLINK("https://github.com/jMonkeyEngine/jmonkeyengine/releases","show")</f>
        <v>show</v>
      </c>
    </row>
    <row r="9343" spans="1:6">
      <c r="A9343" t="s">
        <v>27746</v>
      </c>
      <c r="B9343" t="s">
        <v>27747</v>
      </c>
      <c r="C9343" t="s">
        <v>27748</v>
      </c>
      <c r="D9343" t="str">
        <f>HYPERLINK("https://github.com/aws-amplify/aws-sdk-android/issues/842","show")</f>
        <v>show</v>
      </c>
      <c r="E9343" t="str">
        <f>HYPERLINK("https://github.com/aws-amplify/aws-sdk-android","show")</f>
        <v>show</v>
      </c>
      <c r="F9343" t="str">
        <f>HYPERLINK("https://github.com/aws-amplify/aws-sdk-android/releases","show")</f>
        <v>show</v>
      </c>
    </row>
    <row r="9344" spans="1:6">
      <c r="A9344" t="s">
        <v>27749</v>
      </c>
      <c r="B9344" t="s">
        <v>27750</v>
      </c>
      <c r="C9344" t="s">
        <v>27751</v>
      </c>
      <c r="D9344" t="str">
        <f>HYPERLINK("https://github.com/UBCO-COSC499-Winter-2018-Term-1-2/project-12-bus-advisory-offline-real-time-bus-location-tracker/issues/47","show")</f>
        <v>show</v>
      </c>
      <c r="E9344" t="str">
        <f>HYPERLINK("https://github.com/UBCO-COSC499-Winter-2018-Term-1-2/project-12-bus-advisory-offline-real-time-bus-location-tracker","show")</f>
        <v>show</v>
      </c>
      <c r="F9344" t="str">
        <f>HYPERLINK("https://github.com/UBCO-COSC499-Winter-2018-Term-1-2/project-12-bus-advisory-offline-real-time-bus-location-tracker/releases","show")</f>
        <v>show</v>
      </c>
    </row>
    <row r="9345" spans="1:6">
      <c r="A9345" t="s">
        <v>27752</v>
      </c>
      <c r="B9345" t="s">
        <v>27753</v>
      </c>
      <c r="C9345" t="s">
        <v>27754</v>
      </c>
      <c r="D9345" t="str">
        <f>HYPERLINK("https://github.com/CMPUT301W19T11/Atheneum/issues/195","show")</f>
        <v>show</v>
      </c>
      <c r="E9345" t="str">
        <f>HYPERLINK("https://github.com/CMPUT301W19T11/Atheneum","show")</f>
        <v>show</v>
      </c>
      <c r="F9345" t="str">
        <f>HYPERLINK("https://github.com/CMPUT301W19T11/Atheneum/releases","show")</f>
        <v>show</v>
      </c>
    </row>
    <row r="9346" spans="1:6">
      <c r="A9346" t="s">
        <v>27755</v>
      </c>
      <c r="B9346" t="s">
        <v>27756</v>
      </c>
      <c r="C9346" t="s">
        <v>27757</v>
      </c>
      <c r="D9346" t="str">
        <f>HYPERLINK("https://github.com/cgeo/cgeo/issues/7437","show")</f>
        <v>show</v>
      </c>
      <c r="E9346" t="str">
        <f>HYPERLINK("https://github.com/cgeo/cgeo","show")</f>
        <v>show</v>
      </c>
      <c r="F9346" t="str">
        <f>HYPERLINK("https://github.com/cgeo/cgeo/releases","show")</f>
        <v>show</v>
      </c>
    </row>
    <row r="9347" spans="1:6">
      <c r="A9347" t="s">
        <v>27758</v>
      </c>
      <c r="B9347" t="s">
        <v>27759</v>
      </c>
      <c r="C9347" t="s">
        <v>27760</v>
      </c>
      <c r="D9347" t="str">
        <f>HYPERLINK("https://github.com/fossasia/phimpme-android/issues/2700","show")</f>
        <v>show</v>
      </c>
      <c r="E9347" t="str">
        <f>HYPERLINK("https://github.com/fossasia/phimpme-android","show")</f>
        <v>show</v>
      </c>
      <c r="F9347" t="str">
        <f>HYPERLINK("https://github.com/fossasia/phimpme-android/releases","show")</f>
        <v>show</v>
      </c>
    </row>
    <row r="9348" spans="1:6">
      <c r="A9348" t="s">
        <v>27761</v>
      </c>
      <c r="B9348" t="s">
        <v>27762</v>
      </c>
      <c r="C9348" t="s">
        <v>27763</v>
      </c>
      <c r="D9348" t="str">
        <f>HYPERLINK("https://github.com/moneymanagerex/android-money-manager-ex/issues/1341","show")</f>
        <v>show</v>
      </c>
      <c r="E9348" t="str">
        <f>HYPERLINK("https://github.com/moneymanagerex/android-money-manager-ex","show")</f>
        <v>show</v>
      </c>
      <c r="F9348" t="str">
        <f>HYPERLINK("https://github.com/moneymanagerex/android-money-manager-ex/releases","show")</f>
        <v>show</v>
      </c>
    </row>
    <row r="9349" spans="1:6">
      <c r="A9349" t="s">
        <v>27764</v>
      </c>
      <c r="B9349" t="s">
        <v>27765</v>
      </c>
      <c r="C9349" t="s">
        <v>27766</v>
      </c>
      <c r="D9349" t="str">
        <f>HYPERLINK("https://github.com/jareddlc/OpenFit/issues/64","show")</f>
        <v>show</v>
      </c>
      <c r="E9349" t="str">
        <f>HYPERLINK("https://github.com/jareddlc/OpenFit","show")</f>
        <v>show</v>
      </c>
      <c r="F9349" t="str">
        <f>HYPERLINK("https://github.com/jareddlc/OpenFit/releases","show")</f>
        <v>show</v>
      </c>
    </row>
    <row r="9350" spans="1:6">
      <c r="A9350" t="s">
        <v>27767</v>
      </c>
      <c r="B9350" t="s">
        <v>27768</v>
      </c>
      <c r="C9350" t="s">
        <v>27769</v>
      </c>
      <c r="D9350" t="str">
        <f>HYPERLINK("https://github.com/nextcloud/android/issues/3809","show")</f>
        <v>show</v>
      </c>
      <c r="E9350" t="str">
        <f>HYPERLINK("https://github.com/nextcloud/android","show")</f>
        <v>show</v>
      </c>
      <c r="F9350" t="str">
        <f>HYPERLINK("https://github.com/nextcloud/android/releases","show")</f>
        <v>show</v>
      </c>
    </row>
    <row r="9351" spans="1:6">
      <c r="A9351" t="s">
        <v>27770</v>
      </c>
      <c r="B9351" t="s">
        <v>27771</v>
      </c>
      <c r="C9351" t="s">
        <v>27772</v>
      </c>
      <c r="D9351" t="str">
        <f>HYPERLINK("https://github.com/SelfLender/react-native-biometrics/issues/24","show")</f>
        <v>show</v>
      </c>
      <c r="E9351" t="str">
        <f>HYPERLINK("https://github.com/SelfLender/react-native-biometrics","show")</f>
        <v>show</v>
      </c>
      <c r="F9351" t="str">
        <f>HYPERLINK("https://github.com/SelfLender/react-native-biometrics/releases","show")</f>
        <v>show</v>
      </c>
    </row>
    <row r="9352" spans="1:6">
      <c r="A9352" t="s">
        <v>27773</v>
      </c>
      <c r="B9352" t="s">
        <v>27774</v>
      </c>
      <c r="C9352" t="s">
        <v>27775</v>
      </c>
      <c r="D9352" t="str">
        <f>HYPERLINK("https://github.com/mvysny/aedict/issues/872","show")</f>
        <v>show</v>
      </c>
      <c r="E9352" t="str">
        <f>HYPERLINK("https://github.com/mvysny/aedict","show")</f>
        <v>show</v>
      </c>
      <c r="F9352" t="str">
        <f>HYPERLINK("https://github.com/mvysny/aedict/releases","show")</f>
        <v>show</v>
      </c>
    </row>
    <row r="9353" spans="1:6">
      <c r="A9353" t="s">
        <v>27776</v>
      </c>
      <c r="B9353" t="s">
        <v>27777</v>
      </c>
      <c r="C9353" t="s">
        <v>27778</v>
      </c>
      <c r="D9353" t="str">
        <f>HYPERLINK("https://github.com/AmazMod/AmazMod/issues/452","show")</f>
        <v>show</v>
      </c>
      <c r="E9353" t="str">
        <f>HYPERLINK("https://github.com/AmazMod/AmazMod","show")</f>
        <v>show</v>
      </c>
      <c r="F9353" t="str">
        <f>HYPERLINK("https://github.com/AmazMod/AmazMod/releases","show")</f>
        <v>show</v>
      </c>
    </row>
    <row r="9354" spans="1:6">
      <c r="A9354" t="s">
        <v>27779</v>
      </c>
      <c r="B9354" t="s">
        <v>27780</v>
      </c>
      <c r="C9354" t="s">
        <v>27781</v>
      </c>
      <c r="D9354" t="str">
        <f>HYPERLINK("https://github.com/commons-app/apps-android-commons/issues/2786","show")</f>
        <v>show</v>
      </c>
      <c r="E9354" t="str">
        <f>HYPERLINK("https://github.com/commons-app/apps-android-commons","show")</f>
        <v>show</v>
      </c>
      <c r="F9354" t="str">
        <f>HYPERLINK("https://github.com/commons-app/apps-android-commons/releases","show")</f>
        <v>show</v>
      </c>
    </row>
    <row r="9355" spans="1:6">
      <c r="A9355" t="s">
        <v>27782</v>
      </c>
      <c r="B9355" t="s">
        <v>27783</v>
      </c>
      <c r="C9355" t="s">
        <v>27784</v>
      </c>
      <c r="D9355" t="str">
        <f>HYPERLINK("https://github.com/nextcloud/android/issues/3800","show")</f>
        <v>show</v>
      </c>
      <c r="E9355" t="str">
        <f>HYPERLINK("https://github.com/nextcloud/android","show")</f>
        <v>show</v>
      </c>
      <c r="F9355" t="str">
        <f>HYPERLINK("https://github.com/nextcloud/android/releases","show")</f>
        <v>show</v>
      </c>
    </row>
    <row r="9356" spans="1:6">
      <c r="A9356" t="s">
        <v>27785</v>
      </c>
      <c r="B9356" t="s">
        <v>27786</v>
      </c>
      <c r="C9356" t="s">
        <v>27787</v>
      </c>
      <c r="D9356" t="str">
        <f>HYPERLINK("https://github.com/getodk/skunkworks-crow/issues/228","show")</f>
        <v>show</v>
      </c>
      <c r="E9356" t="str">
        <f>HYPERLINK("https://github.com/getodk/skunkworks-crow","show")</f>
        <v>show</v>
      </c>
      <c r="F9356" t="str">
        <f>HYPERLINK("https://github.com/getodk/skunkworks-crow/releases","show")</f>
        <v>show</v>
      </c>
    </row>
    <row r="9357" spans="1:6">
      <c r="A9357" t="s">
        <v>27788</v>
      </c>
      <c r="B9357" t="s">
        <v>27789</v>
      </c>
      <c r="C9357" t="s">
        <v>27790</v>
      </c>
      <c r="D9357" t="str">
        <f>HYPERLINK("https://github.com/nextcloud/android/issues/3799","show")</f>
        <v>show</v>
      </c>
      <c r="E9357" t="str">
        <f>HYPERLINK("https://github.com/nextcloud/android","show")</f>
        <v>show</v>
      </c>
      <c r="F9357" t="str">
        <f>HYPERLINK("https://github.com/nextcloud/android/releases","show")</f>
        <v>show</v>
      </c>
    </row>
    <row r="9358" spans="1:6">
      <c r="A9358" t="s">
        <v>27791</v>
      </c>
      <c r="B9358" t="s">
        <v>27792</v>
      </c>
      <c r="C9358" t="s">
        <v>27793</v>
      </c>
      <c r="D9358" t="str">
        <f>HYPERLINK("https://github.com/CMPUT301W19T11/Atheneum/issues/183","show")</f>
        <v>show</v>
      </c>
      <c r="E9358" t="str">
        <f>HYPERLINK("https://github.com/CMPUT301W19T11/Atheneum","show")</f>
        <v>show</v>
      </c>
      <c r="F9358" t="str">
        <f>HYPERLINK("https://github.com/CMPUT301W19T11/Atheneum/releases","show")</f>
        <v>show</v>
      </c>
    </row>
    <row r="9359" spans="1:6">
      <c r="A9359" t="s">
        <v>27794</v>
      </c>
      <c r="B9359" t="s">
        <v>27795</v>
      </c>
      <c r="C9359" t="s">
        <v>27796</v>
      </c>
      <c r="D9359" t="str">
        <f>HYPERLINK("https://github.com/commons-app/apps-android-commons/issues/2766","show")</f>
        <v>show</v>
      </c>
      <c r="E9359" t="str">
        <f>HYPERLINK("https://github.com/commons-app/apps-android-commons","show")</f>
        <v>show</v>
      </c>
      <c r="F9359" t="str">
        <f>HYPERLINK("https://github.com/commons-app/apps-android-commons/releases","show")</f>
        <v>show</v>
      </c>
    </row>
    <row r="9360" spans="1:6">
      <c r="A9360" t="s">
        <v>27797</v>
      </c>
      <c r="B9360" t="s">
        <v>27798</v>
      </c>
      <c r="C9360" t="s">
        <v>27799</v>
      </c>
      <c r="D9360" t="str">
        <f>HYPERLINK("https://github.com/oliexdev/openScale/issues/446","show")</f>
        <v>show</v>
      </c>
      <c r="E9360" t="str">
        <f>HYPERLINK("https://github.com/oliexdev/openScale","show")</f>
        <v>show</v>
      </c>
      <c r="F9360" t="str">
        <f>HYPERLINK("https://github.com/oliexdev/openScale/releases","show")</f>
        <v>show</v>
      </c>
    </row>
    <row r="9361" spans="1:6">
      <c r="A9361" t="s">
        <v>27800</v>
      </c>
      <c r="B9361" t="s">
        <v>27801</v>
      </c>
      <c r="C9361" t="s">
        <v>27802</v>
      </c>
      <c r="D9361" t="str">
        <f>HYPERLINK("https://github.com/deltachat/deltachat-android/issues/793","show")</f>
        <v>show</v>
      </c>
      <c r="E9361" t="str">
        <f>HYPERLINK("https://github.com/deltachat/deltachat-android","show")</f>
        <v>show</v>
      </c>
      <c r="F9361" t="str">
        <f>HYPERLINK("https://github.com/deltachat/deltachat-android/releases","show")</f>
        <v>show</v>
      </c>
    </row>
    <row r="9362" spans="1:6">
      <c r="A9362" t="s">
        <v>27803</v>
      </c>
      <c r="B9362" t="s">
        <v>27804</v>
      </c>
      <c r="C9362" t="s">
        <v>27805</v>
      </c>
      <c r="D9362" t="str">
        <f>HYPERLINK("https://github.com/rajivshah3/react-native-google-safetynet/issues/135","show")</f>
        <v>show</v>
      </c>
      <c r="E9362" t="str">
        <f>HYPERLINK("https://github.com/rajivshah3/react-native-google-safetynet","show")</f>
        <v>show</v>
      </c>
      <c r="F9362" t="str">
        <f>HYPERLINK("https://github.com/rajivshah3/react-native-google-safetynet/releases","show")</f>
        <v>show</v>
      </c>
    </row>
    <row r="9363" spans="1:6">
      <c r="A9363" t="s">
        <v>27806</v>
      </c>
      <c r="B9363" t="s">
        <v>27807</v>
      </c>
      <c r="C9363" t="s">
        <v>27808</v>
      </c>
      <c r="D9363" t="str">
        <f>HYPERLINK("https://github.com/4Q-s-r-o/call_log/issues/3","show")</f>
        <v>show</v>
      </c>
      <c r="E9363" t="str">
        <f>HYPERLINK("https://github.com/4Q-s-r-o/call_log","show")</f>
        <v>show</v>
      </c>
      <c r="F9363" t="str">
        <f>HYPERLINK("https://github.com/4Q-s-r-o/call_log/releases","show")</f>
        <v>show</v>
      </c>
    </row>
    <row r="9364" spans="1:6">
      <c r="A9364" t="s">
        <v>27809</v>
      </c>
      <c r="B9364" t="s">
        <v>27810</v>
      </c>
      <c r="C9364" t="s">
        <v>27811</v>
      </c>
      <c r="D9364" t="str">
        <f>HYPERLINK("https://github.com/lingochamp/FileDownloader/issues/1200","show")</f>
        <v>show</v>
      </c>
      <c r="E9364" t="str">
        <f>HYPERLINK("https://github.com/lingochamp/FileDownloader","show")</f>
        <v>show</v>
      </c>
      <c r="F9364" t="str">
        <f>HYPERLINK("https://github.com/lingochamp/FileDownloader/releases","show")</f>
        <v>show</v>
      </c>
    </row>
    <row r="9365" spans="1:6">
      <c r="A9365" t="s">
        <v>27812</v>
      </c>
      <c r="B9365" t="s">
        <v>27813</v>
      </c>
      <c r="C9365" t="s">
        <v>27814</v>
      </c>
      <c r="D9365" t="str">
        <f>HYPERLINK("https://github.com/osmdroid/osmdroid/issues/1299","show")</f>
        <v>show</v>
      </c>
      <c r="E9365" t="str">
        <f>HYPERLINK("https://github.com/osmdroid/osmdroid","show")</f>
        <v>show</v>
      </c>
      <c r="F9365" t="str">
        <f>HYPERLINK("https://github.com/osmdroid/osmdroid/releases","show")</f>
        <v>show</v>
      </c>
    </row>
    <row r="9366" spans="1:6">
      <c r="A9366" t="s">
        <v>27815</v>
      </c>
      <c r="B9366" t="s">
        <v>27816</v>
      </c>
      <c r="C9366" t="s">
        <v>27817</v>
      </c>
      <c r="D9366" t="str">
        <f>HYPERLINK("https://github.com/Intelehealth/Android-Mobile-Client/issues/688","show")</f>
        <v>show</v>
      </c>
      <c r="E9366" t="str">
        <f>HYPERLINK("https://github.com/Intelehealth/Android-Mobile-Client","show")</f>
        <v>show</v>
      </c>
      <c r="F9366" t="str">
        <f>HYPERLINK("https://github.com/Intelehealth/Android-Mobile-Client/releases","show")</f>
        <v>show</v>
      </c>
    </row>
    <row r="9367" spans="1:6">
      <c r="A9367" t="s">
        <v>27818</v>
      </c>
      <c r="B9367" t="s">
        <v>27819</v>
      </c>
      <c r="C9367" t="s">
        <v>27820</v>
      </c>
      <c r="D9367" t="str">
        <f>HYPERLINK("https://github.com/TheCacophonyProject/bird-monitor/issues/26","show")</f>
        <v>show</v>
      </c>
      <c r="E9367" t="str">
        <f>HYPERLINK("https://github.com/TheCacophonyProject/bird-monitor","show")</f>
        <v>show</v>
      </c>
      <c r="F9367" t="str">
        <f>HYPERLINK("https://github.com/TheCacophonyProject/bird-monitor/releases","show")</f>
        <v>show</v>
      </c>
    </row>
    <row r="9368" spans="1:6">
      <c r="A9368" t="s">
        <v>27821</v>
      </c>
      <c r="B9368" t="s">
        <v>27822</v>
      </c>
      <c r="C9368" t="s">
        <v>27823</v>
      </c>
      <c r="D9368" t="str">
        <f>HYPERLINK("https://github.com/deltachat/deltachat-android/issues/782","show")</f>
        <v>show</v>
      </c>
      <c r="E9368" t="str">
        <f>HYPERLINK("https://github.com/deltachat/deltachat-android","show")</f>
        <v>show</v>
      </c>
      <c r="F9368" t="str">
        <f>HYPERLINK("https://github.com/deltachat/deltachat-android/releases","show")</f>
        <v>show</v>
      </c>
    </row>
    <row r="9369" spans="1:6">
      <c r="A9369" t="s">
        <v>27824</v>
      </c>
      <c r="B9369" t="s">
        <v>27825</v>
      </c>
      <c r="C9369" t="s">
        <v>27826</v>
      </c>
      <c r="D9369" t="str">
        <f>HYPERLINK("https://github.com/mgks/Android-SmartWebView/issues/82","show")</f>
        <v>show</v>
      </c>
      <c r="E9369" t="str">
        <f>HYPERLINK("https://github.com/mgks/Android-SmartWebView","show")</f>
        <v>show</v>
      </c>
      <c r="F9369" t="str">
        <f>HYPERLINK("https://github.com/mgks/Android-SmartWebView/releases","show")</f>
        <v>show</v>
      </c>
    </row>
    <row r="9370" spans="1:6">
      <c r="A9370" t="s">
        <v>27827</v>
      </c>
      <c r="B9370" t="s">
        <v>27828</v>
      </c>
      <c r="C9370" t="s">
        <v>27829</v>
      </c>
      <c r="D9370" t="str">
        <f>HYPERLINK("https://github.com/commons-app/apps-android-commons/issues/2720","show")</f>
        <v>show</v>
      </c>
      <c r="E9370" t="str">
        <f>HYPERLINK("https://github.com/commons-app/apps-android-commons","show")</f>
        <v>show</v>
      </c>
      <c r="F9370" t="str">
        <f>HYPERLINK("https://github.com/commons-app/apps-android-commons/releases","show")</f>
        <v>show</v>
      </c>
    </row>
    <row r="9371" spans="1:6">
      <c r="A9371" t="s">
        <v>27830</v>
      </c>
      <c r="B9371" t="s">
        <v>27831</v>
      </c>
      <c r="C9371" t="s">
        <v>27832</v>
      </c>
      <c r="D9371" t="str">
        <f>HYPERLINK("https://github.com/commons-app/apps-android-commons/issues/2718","show")</f>
        <v>show</v>
      </c>
      <c r="E9371" t="str">
        <f>HYPERLINK("https://github.com/commons-app/apps-android-commons","show")</f>
        <v>show</v>
      </c>
      <c r="F9371" t="str">
        <f>HYPERLINK("https://github.com/commons-app/apps-android-commons/releases","show")</f>
        <v>show</v>
      </c>
    </row>
    <row r="9372" spans="1:6">
      <c r="A9372" t="s">
        <v>27833</v>
      </c>
      <c r="B9372" t="s">
        <v>27834</v>
      </c>
      <c r="C9372" t="s">
        <v>27835</v>
      </c>
      <c r="D9372" t="str">
        <f>HYPERLINK("https://github.com/commons-app/apps-android-commons/issues/2711","show")</f>
        <v>show</v>
      </c>
      <c r="E9372" t="str">
        <f>HYPERLINK("https://github.com/commons-app/apps-android-commons","show")</f>
        <v>show</v>
      </c>
      <c r="F9372" t="str">
        <f>HYPERLINK("https://github.com/commons-app/apps-android-commons/releases","show")</f>
        <v>show</v>
      </c>
    </row>
    <row r="9373" spans="1:6">
      <c r="A9373" t="s">
        <v>27836</v>
      </c>
      <c r="B9373" t="s">
        <v>27837</v>
      </c>
      <c r="C9373" t="s">
        <v>27838</v>
      </c>
      <c r="D9373" t="str">
        <f>HYPERLINK("https://github.com/square/okhttp/issues/4761","show")</f>
        <v>show</v>
      </c>
      <c r="E9373" t="str">
        <f>HYPERLINK("https://github.com/square/okhttp","show")</f>
        <v>show</v>
      </c>
      <c r="F9373" t="str">
        <f>HYPERLINK("https://github.com/square/okhttp/releases","show")</f>
        <v>show</v>
      </c>
    </row>
    <row r="9374" spans="1:6">
      <c r="A9374" t="s">
        <v>27839</v>
      </c>
      <c r="B9374" t="s">
        <v>27840</v>
      </c>
      <c r="C9374" t="s">
        <v>27841</v>
      </c>
      <c r="D9374" t="str">
        <f>HYPERLINK("https://github.com/aws-amplify/aws-sdk-android/issues/810","show")</f>
        <v>show</v>
      </c>
      <c r="E9374" t="str">
        <f>HYPERLINK("https://github.com/aws-amplify/aws-sdk-android","show")</f>
        <v>show</v>
      </c>
      <c r="F9374" t="str">
        <f>HYPERLINK("https://github.com/aws-amplify/aws-sdk-android/releases","show")</f>
        <v>show</v>
      </c>
    </row>
    <row r="9375" spans="1:6">
      <c r="A9375" t="s">
        <v>27842</v>
      </c>
      <c r="B9375" t="s">
        <v>27843</v>
      </c>
      <c r="C9375" t="s">
        <v>27844</v>
      </c>
      <c r="D9375" t="str">
        <f>HYPERLINK("https://github.com/kiwi-bop/flutter_crashlytics/issues/71","show")</f>
        <v>show</v>
      </c>
      <c r="E9375" t="str">
        <f>HYPERLINK("https://github.com/kiwi-bop/flutter_crashlytics","show")</f>
        <v>show</v>
      </c>
      <c r="F9375" t="str">
        <f>HYPERLINK("https://github.com/kiwi-bop/flutter_crashlytics/releases","show")</f>
        <v>show</v>
      </c>
    </row>
    <row r="9376" spans="1:6">
      <c r="A9376" t="s">
        <v>27845</v>
      </c>
      <c r="B9376" t="s">
        <v>27846</v>
      </c>
      <c r="C9376" t="s">
        <v>27847</v>
      </c>
      <c r="D9376" t="str">
        <f>HYPERLINK("https://github.com/commons-app/apps-android-commons/issues/2696","show")</f>
        <v>show</v>
      </c>
      <c r="E9376" t="str">
        <f>HYPERLINK("https://github.com/commons-app/apps-android-commons","show")</f>
        <v>show</v>
      </c>
      <c r="F9376" t="str">
        <f>HYPERLINK("https://github.com/commons-app/apps-android-commons/releases","show")</f>
        <v>show</v>
      </c>
    </row>
    <row r="9377" spans="1:6">
      <c r="A9377" t="s">
        <v>27848</v>
      </c>
      <c r="B9377" t="s">
        <v>27849</v>
      </c>
      <c r="C9377" t="s">
        <v>27850</v>
      </c>
      <c r="D9377" t="str">
        <f>HYPERLINK("https://github.com/opensrp/opensrp-client-chw/issues/240","show")</f>
        <v>show</v>
      </c>
      <c r="E9377" t="str">
        <f>HYPERLINK("https://github.com/opensrp/opensrp-client-chw","show")</f>
        <v>show</v>
      </c>
      <c r="F9377" t="str">
        <f>HYPERLINK("https://github.com/opensrp/opensrp-client-chw/releases","show")</f>
        <v>show</v>
      </c>
    </row>
    <row r="9378" spans="1:6">
      <c r="A9378" t="s">
        <v>27851</v>
      </c>
      <c r="B9378" t="s">
        <v>27852</v>
      </c>
      <c r="C9378" t="s">
        <v>27853</v>
      </c>
      <c r="D9378" t="str">
        <f>HYPERLINK("https://github.com/CMPUT301W19T11/Atheneum/issues/158","show")</f>
        <v>show</v>
      </c>
      <c r="E9378" t="str">
        <f>HYPERLINK("https://github.com/CMPUT301W19T11/Atheneum","show")</f>
        <v>show</v>
      </c>
      <c r="F9378" t="str">
        <f>HYPERLINK("https://github.com/CMPUT301W19T11/Atheneum/releases","show")</f>
        <v>show</v>
      </c>
    </row>
    <row r="9379" spans="1:6">
      <c r="A9379" t="s">
        <v>27854</v>
      </c>
      <c r="B9379" t="s">
        <v>27855</v>
      </c>
      <c r="C9379" t="s">
        <v>27856</v>
      </c>
      <c r="D9379" t="str">
        <f>HYPERLINK("https://github.com/google-ar/sceneform-android-sdk/issues/608","show")</f>
        <v>show</v>
      </c>
      <c r="E9379" t="str">
        <f>HYPERLINK("https://github.com/google-ar/sceneform-android-sdk","show")</f>
        <v>show</v>
      </c>
      <c r="F9379" t="str">
        <f>HYPERLINK("https://github.com/google-ar/sceneform-android-sdk/releases","show")</f>
        <v>show</v>
      </c>
    </row>
    <row r="9380" spans="1:6">
      <c r="A9380" t="s">
        <v>27857</v>
      </c>
      <c r="B9380" t="s">
        <v>27858</v>
      </c>
      <c r="C9380" t="s">
        <v>27859</v>
      </c>
      <c r="D9380" t="str">
        <f>HYPERLINK("https://github.com/nitaliano/react-native-mapbox-gl/issues/1554","show")</f>
        <v>show</v>
      </c>
      <c r="E9380" t="str">
        <f>HYPERLINK("https://github.com/nitaliano/react-native-mapbox-gl","show")</f>
        <v>show</v>
      </c>
      <c r="F9380" t="str">
        <f>HYPERLINK("https://github.com/nitaliano/react-native-mapbox-gl/releases","show")</f>
        <v>show</v>
      </c>
    </row>
    <row r="9381" spans="1:6">
      <c r="A9381" t="s">
        <v>27860</v>
      </c>
      <c r="B9381" t="s">
        <v>27861</v>
      </c>
      <c r="C9381" t="s">
        <v>27862</v>
      </c>
      <c r="D9381" t="str">
        <f>HYPERLINK("https://github.com/getodk/skunkworks-crow/issues/219","show")</f>
        <v>show</v>
      </c>
      <c r="E9381" t="str">
        <f>HYPERLINK("https://github.com/getodk/skunkworks-crow","show")</f>
        <v>show</v>
      </c>
      <c r="F9381" t="str">
        <f>HYPERLINK("https://github.com/getodk/skunkworks-crow/releases","show")</f>
        <v>show</v>
      </c>
    </row>
    <row r="9382" spans="1:6">
      <c r="A9382" t="s">
        <v>27863</v>
      </c>
      <c r="B9382" t="s">
        <v>27864</v>
      </c>
      <c r="C9382" t="s">
        <v>27865</v>
      </c>
      <c r="D9382" t="str">
        <f>HYPERLINK("https://github.com/commons-app/apps-android-commons/issues/2679","show")</f>
        <v>show</v>
      </c>
      <c r="E9382" t="str">
        <f>HYPERLINK("https://github.com/commons-app/apps-android-commons","show")</f>
        <v>show</v>
      </c>
      <c r="F9382" t="str">
        <f>HYPERLINK("https://github.com/commons-app/apps-android-commons/releases","show")</f>
        <v>show</v>
      </c>
    </row>
    <row r="9383" spans="1:6">
      <c r="A9383" t="s">
        <v>27866</v>
      </c>
      <c r="B9383" t="s">
        <v>27867</v>
      </c>
      <c r="C9383" t="s">
        <v>27868</v>
      </c>
      <c r="D9383" t="str">
        <f>HYPERLINK("https://github.com/ElderDrivers/EdXposed/issues/172","show")</f>
        <v>show</v>
      </c>
      <c r="E9383" t="str">
        <f>HYPERLINK("https://github.com/ElderDrivers/EdXposed","show")</f>
        <v>show</v>
      </c>
      <c r="F9383" t="str">
        <f>HYPERLINK("https://github.com/ElderDrivers/EdXposed/releases","show")</f>
        <v>show</v>
      </c>
    </row>
    <row r="9384" spans="1:6">
      <c r="A9384" t="s">
        <v>27869</v>
      </c>
      <c r="B9384" t="s">
        <v>27870</v>
      </c>
      <c r="C9384" t="s">
        <v>27871</v>
      </c>
      <c r="D9384" t="str">
        <f>HYPERLINK("https://github.com/mauron85/react-native-background-geolocation/issues/360","show")</f>
        <v>show</v>
      </c>
      <c r="E9384" t="str">
        <f>HYPERLINK("https://github.com/mauron85/react-native-background-geolocation","show")</f>
        <v>show</v>
      </c>
      <c r="F9384" t="str">
        <f>HYPERLINK("https://github.com/mauron85/react-native-background-geolocation/releases","show")</f>
        <v>show</v>
      </c>
    </row>
    <row r="9385" spans="1:6">
      <c r="A9385" t="s">
        <v>27872</v>
      </c>
      <c r="B9385" t="s">
        <v>27873</v>
      </c>
      <c r="C9385" t="s">
        <v>27874</v>
      </c>
      <c r="D9385" t="str">
        <f>HYPERLINK("https://github.com/react-native-camera/react-native-camera/issues/2155","show")</f>
        <v>show</v>
      </c>
      <c r="E9385" t="str">
        <f>HYPERLINK("https://github.com/react-native-camera/react-native-camera","show")</f>
        <v>show</v>
      </c>
      <c r="F9385" t="str">
        <f>HYPERLINK("https://github.com/react-native-camera/react-native-camera/releases","show")</f>
        <v>show</v>
      </c>
    </row>
    <row r="9386" spans="1:6">
      <c r="A9386" t="s">
        <v>27875</v>
      </c>
      <c r="B9386" t="s">
        <v>27876</v>
      </c>
      <c r="C9386" t="s">
        <v>27877</v>
      </c>
      <c r="D9386" t="str">
        <f>HYPERLINK("https://github.com/martykan/forecastie/issues/336","show")</f>
        <v>show</v>
      </c>
      <c r="E9386" t="str">
        <f>HYPERLINK("https://github.com/martykan/forecastie","show")</f>
        <v>show</v>
      </c>
      <c r="F9386" t="str">
        <f>HYPERLINK("https://github.com/martykan/forecastie/releases","show")</f>
        <v>show</v>
      </c>
    </row>
    <row r="9387" spans="1:6">
      <c r="A9387" t="s">
        <v>27878</v>
      </c>
      <c r="B9387" t="s">
        <v>27879</v>
      </c>
      <c r="C9387" t="s">
        <v>27880</v>
      </c>
      <c r="D9387" t="str">
        <f>HYPERLINK("https://github.com/CMPUT301W19T11/Atheneum/issues/155","show")</f>
        <v>show</v>
      </c>
      <c r="E9387" t="str">
        <f>HYPERLINK("https://github.com/CMPUT301W19T11/Atheneum","show")</f>
        <v>show</v>
      </c>
      <c r="F9387" t="str">
        <f>HYPERLINK("https://github.com/CMPUT301W19T11/Atheneum/releases","show")</f>
        <v>show</v>
      </c>
    </row>
    <row r="9388" spans="1:6">
      <c r="A9388" t="s">
        <v>27881</v>
      </c>
      <c r="B9388" t="s">
        <v>27882</v>
      </c>
      <c r="C9388" t="s">
        <v>27883</v>
      </c>
      <c r="D9388" t="str">
        <f>HYPERLINK("https://github.com/tanguyantoine/react-native-music-control/issues/244","show")</f>
        <v>show</v>
      </c>
      <c r="E9388" t="str">
        <f>HYPERLINK("https://github.com/tanguyantoine/react-native-music-control","show")</f>
        <v>show</v>
      </c>
      <c r="F9388" t="str">
        <f>HYPERLINK("https://github.com/tanguyantoine/react-native-music-control/releases","show")</f>
        <v>show</v>
      </c>
    </row>
    <row r="9389" spans="1:6">
      <c r="A9389" t="s">
        <v>27884</v>
      </c>
      <c r="B9389" t="s">
        <v>27885</v>
      </c>
      <c r="C9389" t="s">
        <v>27886</v>
      </c>
      <c r="D9389" t="str">
        <f>HYPERLINK("https://github.com/Piwigo/Piwigo-Android/issues/96","show")</f>
        <v>show</v>
      </c>
      <c r="E9389" t="str">
        <f>HYPERLINK("https://github.com/Piwigo/Piwigo-Android","show")</f>
        <v>show</v>
      </c>
      <c r="F9389" t="str">
        <f>HYPERLINK("https://github.com/Piwigo/Piwigo-Android/releases","show")</f>
        <v>show</v>
      </c>
    </row>
    <row r="9390" spans="1:6">
      <c r="A9390" t="s">
        <v>27887</v>
      </c>
      <c r="B9390" t="s">
        <v>27888</v>
      </c>
      <c r="C9390" t="s">
        <v>27889</v>
      </c>
      <c r="D9390" t="str">
        <f>HYPERLINK("https://github.com/commons-app/apps-android-commons/issues/2652","show")</f>
        <v>show</v>
      </c>
      <c r="E9390" t="str">
        <f>HYPERLINK("https://github.com/commons-app/apps-android-commons","show")</f>
        <v>show</v>
      </c>
      <c r="F9390" t="str">
        <f>HYPERLINK("https://github.com/commons-app/apps-android-commons/releases","show")</f>
        <v>show</v>
      </c>
    </row>
    <row r="9391" spans="1:6">
      <c r="A9391" t="s">
        <v>27890</v>
      </c>
      <c r="B9391" t="s">
        <v>27891</v>
      </c>
      <c r="C9391" t="s">
        <v>27892</v>
      </c>
      <c r="D9391" t="str">
        <f>HYPERLINK("https://github.com/cgeo/cgeo/issues/7391","show")</f>
        <v>show</v>
      </c>
      <c r="E9391" t="str">
        <f>HYPERLINK("https://github.com/cgeo/cgeo","show")</f>
        <v>show</v>
      </c>
      <c r="F9391" t="str">
        <f>HYPERLINK("https://github.com/cgeo/cgeo/releases","show")</f>
        <v>show</v>
      </c>
    </row>
    <row r="9392" spans="1:6">
      <c r="A9392" t="s">
        <v>27893</v>
      </c>
      <c r="B9392" t="s">
        <v>27894</v>
      </c>
      <c r="C9392" t="s">
        <v>27895</v>
      </c>
      <c r="D9392" t="str">
        <f>HYPERLINK("https://github.com/jellow-aac/Jellow-Communicator/issues/24","show")</f>
        <v>show</v>
      </c>
      <c r="E9392" t="str">
        <f>HYPERLINK("https://github.com/jellow-aac/Jellow-Communicator","show")</f>
        <v>show</v>
      </c>
      <c r="F9392" t="str">
        <f>HYPERLINK("https://github.com/jellow-aac/Jellow-Communicator/releases","show")</f>
        <v>show</v>
      </c>
    </row>
    <row r="9393" spans="1:6">
      <c r="A9393" t="s">
        <v>27896</v>
      </c>
      <c r="B9393" t="s">
        <v>27897</v>
      </c>
      <c r="C9393" t="s">
        <v>27898</v>
      </c>
      <c r="D9393" t="str">
        <f>HYPERLINK("https://github.com/CMPUT301W19T11/Atheneum/issues/152","show")</f>
        <v>show</v>
      </c>
      <c r="E9393" t="str">
        <f>HYPERLINK("https://github.com/CMPUT301W19T11/Atheneum","show")</f>
        <v>show</v>
      </c>
      <c r="F9393" t="str">
        <f>HYPERLINK("https://github.com/CMPUT301W19T11/Atheneum/releases","show")</f>
        <v>show</v>
      </c>
    </row>
    <row r="9394" spans="1:6">
      <c r="A9394" t="s">
        <v>27899</v>
      </c>
      <c r="B9394" t="s">
        <v>27900</v>
      </c>
      <c r="C9394" t="s">
        <v>27901</v>
      </c>
      <c r="D9394" t="str">
        <f>HYPERLINK("https://github.com/commons-app/apps-android-commons/issues/2620","show")</f>
        <v>show</v>
      </c>
      <c r="E9394" t="str">
        <f>HYPERLINK("https://github.com/commons-app/apps-android-commons","show")</f>
        <v>show</v>
      </c>
      <c r="F9394" t="str">
        <f>HYPERLINK("https://github.com/commons-app/apps-android-commons/releases","show")</f>
        <v>show</v>
      </c>
    </row>
    <row r="9395" spans="1:6">
      <c r="A9395" t="s">
        <v>27902</v>
      </c>
      <c r="B9395" t="s">
        <v>27903</v>
      </c>
      <c r="C9395" t="s">
        <v>27904</v>
      </c>
      <c r="D9395" t="str">
        <f>HYPERLINK("https://github.com/ElderDrivers/EdXposed/issues/163","show")</f>
        <v>show</v>
      </c>
      <c r="E9395" t="str">
        <f>HYPERLINK("https://github.com/ElderDrivers/EdXposed","show")</f>
        <v>show</v>
      </c>
      <c r="F9395" t="str">
        <f>HYPERLINK("https://github.com/ElderDrivers/EdXposed/releases","show")</f>
        <v>show</v>
      </c>
    </row>
    <row r="9396" spans="1:6">
      <c r="A9396" t="s">
        <v>27905</v>
      </c>
      <c r="B9396" t="s">
        <v>27906</v>
      </c>
      <c r="C9396" t="s">
        <v>27907</v>
      </c>
      <c r="D9396" t="str">
        <f>HYPERLINK("https://github.com/k3b/APhotoManager/issues/139","show")</f>
        <v>show</v>
      </c>
      <c r="E9396" t="str">
        <f>HYPERLINK("https://github.com/k3b/APhotoManager","show")</f>
        <v>show</v>
      </c>
      <c r="F9396" t="str">
        <f>HYPERLINK("https://github.com/k3b/APhotoManager/releases","show")</f>
        <v>show</v>
      </c>
    </row>
    <row r="9397" spans="1:6">
      <c r="A9397" t="s">
        <v>27908</v>
      </c>
      <c r="B9397" t="s">
        <v>27909</v>
      </c>
      <c r="C9397" t="s">
        <v>27910</v>
      </c>
      <c r="D9397" t="str">
        <f>HYPERLINK("https://github.com/MozillaReality/FirefoxReality/issues/1017","show")</f>
        <v>show</v>
      </c>
      <c r="E9397" t="str">
        <f>HYPERLINK("https://github.com/MozillaReality/FirefoxReality","show")</f>
        <v>show</v>
      </c>
      <c r="F9397" t="str">
        <f>HYPERLINK("https://github.com/MozillaReality/FirefoxReality/releases","show")</f>
        <v>show</v>
      </c>
    </row>
    <row r="9398" spans="1:6">
      <c r="A9398" t="s">
        <v>27911</v>
      </c>
      <c r="B9398" t="s">
        <v>27912</v>
      </c>
      <c r="C9398" t="s">
        <v>27913</v>
      </c>
      <c r="D9398" t="str">
        <f>HYPERLINK("https://github.com/cgeo/cgeo/issues/7371","show")</f>
        <v>show</v>
      </c>
      <c r="E9398" t="str">
        <f>HYPERLINK("https://github.com/cgeo/cgeo","show")</f>
        <v>show</v>
      </c>
      <c r="F9398" t="str">
        <f>HYPERLINK("https://github.com/cgeo/cgeo/releases","show")</f>
        <v>show</v>
      </c>
    </row>
    <row r="9399" spans="1:6">
      <c r="A9399" t="s">
        <v>27914</v>
      </c>
      <c r="B9399" t="s">
        <v>27915</v>
      </c>
      <c r="C9399" t="s">
        <v>27916</v>
      </c>
      <c r="D9399" t="str">
        <f>HYPERLINK("https://github.com/iFixit/dozuki-android/issues/22","show")</f>
        <v>show</v>
      </c>
      <c r="E9399" t="str">
        <f>HYPERLINK("https://github.com/iFixit/dozuki-android","show")</f>
        <v>show</v>
      </c>
      <c r="F9399" t="str">
        <f>HYPERLINK("https://github.com/iFixit/dozuki-android/releases","show")</f>
        <v>show</v>
      </c>
    </row>
    <row r="9400" spans="1:6">
      <c r="A9400" t="s">
        <v>27917</v>
      </c>
      <c r="B9400" t="s">
        <v>27918</v>
      </c>
      <c r="C9400" t="s">
        <v>27919</v>
      </c>
      <c r="D9400" t="str">
        <f>HYPERLINK("https://github.com/cgeo/cgeo/issues/7369","show")</f>
        <v>show</v>
      </c>
      <c r="E9400" t="str">
        <f>HYPERLINK("https://github.com/cgeo/cgeo","show")</f>
        <v>show</v>
      </c>
      <c r="F9400" t="str">
        <f>HYPERLINK("https://github.com/cgeo/cgeo/releases","show")</f>
        <v>show</v>
      </c>
    </row>
    <row r="9401" spans="1:6">
      <c r="A9401" t="s">
        <v>27920</v>
      </c>
      <c r="B9401" t="s">
        <v>27921</v>
      </c>
      <c r="C9401" t="s">
        <v>27922</v>
      </c>
      <c r="D9401" t="str">
        <f>HYPERLINK("https://github.com/commons-app/apps-android-commons/issues/2585","show")</f>
        <v>show</v>
      </c>
      <c r="E9401" t="str">
        <f>HYPERLINK("https://github.com/commons-app/apps-android-commons","show")</f>
        <v>show</v>
      </c>
      <c r="F9401" t="str">
        <f>HYPERLINK("https://github.com/commons-app/apps-android-commons/releases","show")</f>
        <v>show</v>
      </c>
    </row>
    <row r="9402" spans="1:6">
      <c r="A9402" t="s">
        <v>27923</v>
      </c>
      <c r="B9402" t="s">
        <v>27924</v>
      </c>
      <c r="C9402" t="s">
        <v>27925</v>
      </c>
      <c r="D9402" t="str">
        <f>HYPERLINK("https://github.com/EyeSeeTea/EReferralsApp/issues/207","show")</f>
        <v>show</v>
      </c>
      <c r="E9402" t="str">
        <f>HYPERLINK("https://github.com/EyeSeeTea/EReferralsApp","show")</f>
        <v>show</v>
      </c>
      <c r="F9402" t="str">
        <f>HYPERLINK("https://github.com/EyeSeeTea/EReferralsApp/releases","show")</f>
        <v>show</v>
      </c>
    </row>
    <row r="9403" spans="1:6">
      <c r="A9403" t="s">
        <v>27926</v>
      </c>
      <c r="B9403" t="s">
        <v>27927</v>
      </c>
      <c r="C9403" t="s">
        <v>27928</v>
      </c>
      <c r="D9403" t="str">
        <f>HYPERLINK("https://github.com/CMPUT301W19T11/Atheneum/issues/126","show")</f>
        <v>show</v>
      </c>
      <c r="E9403" t="str">
        <f>HYPERLINK("https://github.com/CMPUT301W19T11/Atheneum","show")</f>
        <v>show</v>
      </c>
      <c r="F9403" t="str">
        <f>HYPERLINK("https://github.com/CMPUT301W19T11/Atheneum/releases","show")</f>
        <v>show</v>
      </c>
    </row>
    <row r="9404" spans="1:6">
      <c r="A9404" t="s">
        <v>27929</v>
      </c>
      <c r="B9404" t="s">
        <v>27930</v>
      </c>
      <c r="C9404" t="s">
        <v>27931</v>
      </c>
      <c r="D9404" t="str">
        <f>HYPERLINK("https://github.com/fletchy95/Agrivolution/issues/34","show")</f>
        <v>show</v>
      </c>
      <c r="E9404" t="str">
        <f>HYPERLINK("https://github.com/fletchy95/Agrivolution","show")</f>
        <v>show</v>
      </c>
      <c r="F9404" t="str">
        <f>HYPERLINK("https://github.com/fletchy95/Agrivolution/releases","show")</f>
        <v>show</v>
      </c>
    </row>
    <row r="9405" spans="1:6">
      <c r="A9405" t="s">
        <v>27932</v>
      </c>
      <c r="B9405" t="s">
        <v>27933</v>
      </c>
      <c r="C9405" t="s">
        <v>27934</v>
      </c>
      <c r="D9405" t="str">
        <f>HYPERLINK("https://github.com/gentlecat/counter/issues/70","show")</f>
        <v>show</v>
      </c>
      <c r="E9405" t="str">
        <f>HYPERLINK("https://github.com/gentlecat/counter","show")</f>
        <v>show</v>
      </c>
      <c r="F9405" t="str">
        <f>HYPERLINK("https://github.com/gentlecat/counter/releases","show")</f>
        <v>show</v>
      </c>
    </row>
    <row r="9406" spans="1:6">
      <c r="A9406" t="s">
        <v>27935</v>
      </c>
      <c r="B9406" t="s">
        <v>27936</v>
      </c>
      <c r="C9406" t="s">
        <v>27937</v>
      </c>
      <c r="D9406" t="str">
        <f>HYPERLINK("https://github.com/CMPUT301W19T11/Atheneum/issues/123","show")</f>
        <v>show</v>
      </c>
      <c r="E9406" t="str">
        <f>HYPERLINK("https://github.com/CMPUT301W19T11/Atheneum","show")</f>
        <v>show</v>
      </c>
      <c r="F9406" t="str">
        <f>HYPERLINK("https://github.com/CMPUT301W19T11/Atheneum/releases","show")</f>
        <v>show</v>
      </c>
    </row>
    <row r="9407" spans="1:6">
      <c r="A9407" t="s">
        <v>27938</v>
      </c>
      <c r="B9407" t="s">
        <v>27939</v>
      </c>
      <c r="C9407" t="s">
        <v>27940</v>
      </c>
      <c r="D9407" t="str">
        <f>HYPERLINK("https://github.com/CMPUT301W19T11/Atheneum/issues/122","show")</f>
        <v>show</v>
      </c>
      <c r="E9407" t="str">
        <f>HYPERLINK("https://github.com/CMPUT301W19T11/Atheneum","show")</f>
        <v>show</v>
      </c>
      <c r="F9407" t="str">
        <f>HYPERLINK("https://github.com/CMPUT301W19T11/Atheneum/releases","show")</f>
        <v>show</v>
      </c>
    </row>
    <row r="9408" spans="1:6">
      <c r="A9408" t="s">
        <v>27941</v>
      </c>
      <c r="B9408" t="s">
        <v>27942</v>
      </c>
      <c r="C9408" t="s">
        <v>27943</v>
      </c>
      <c r="D9408" t="str">
        <f>HYPERLINK("https://github.com/dashevo/dash-wallet/issues/187","show")</f>
        <v>show</v>
      </c>
      <c r="E9408" t="str">
        <f>HYPERLINK("https://github.com/dashevo/dash-wallet","show")</f>
        <v>show</v>
      </c>
      <c r="F9408" t="str">
        <f>HYPERLINK("https://github.com/dashevo/dash-wallet/releases","show")</f>
        <v>show</v>
      </c>
    </row>
    <row r="9409" spans="1:6">
      <c r="A9409" t="s">
        <v>27944</v>
      </c>
      <c r="B9409" t="s">
        <v>27945</v>
      </c>
      <c r="C9409" t="s">
        <v>27946</v>
      </c>
      <c r="D9409" t="str">
        <f>HYPERLINK("https://github.com/amahi/android/issues/440","show")</f>
        <v>show</v>
      </c>
      <c r="E9409" t="str">
        <f>HYPERLINK("https://github.com/amahi/android","show")</f>
        <v>show</v>
      </c>
      <c r="F9409" t="str">
        <f>HYPERLINK("https://github.com/amahi/android/releases","show")</f>
        <v>show</v>
      </c>
    </row>
    <row r="9410" spans="1:6">
      <c r="A9410" t="s">
        <v>27947</v>
      </c>
      <c r="B9410" t="s">
        <v>27948</v>
      </c>
      <c r="C9410" t="s">
        <v>27949</v>
      </c>
      <c r="D9410" t="str">
        <f>HYPERLINK("https://github.com/commons-app/apps-android-commons/issues/2580","show")</f>
        <v>show</v>
      </c>
      <c r="E9410" t="str">
        <f>HYPERLINK("https://github.com/commons-app/apps-android-commons","show")</f>
        <v>show</v>
      </c>
      <c r="F9410" t="str">
        <f>HYPERLINK("https://github.com/commons-app/apps-android-commons/releases","show")</f>
        <v>show</v>
      </c>
    </row>
    <row r="9411" spans="1:6">
      <c r="A9411" t="s">
        <v>27950</v>
      </c>
      <c r="B9411" t="s">
        <v>27951</v>
      </c>
      <c r="C9411" t="s">
        <v>27952</v>
      </c>
      <c r="D9411" t="str">
        <f>HYPERLINK("https://github.com/named-data-mobile/ndn-photo-app/issues/107","show")</f>
        <v>show</v>
      </c>
      <c r="E9411" t="str">
        <f>HYPERLINK("https://github.com/named-data-mobile/ndn-photo-app","show")</f>
        <v>show</v>
      </c>
      <c r="F9411" t="str">
        <f>HYPERLINK("https://github.com/named-data-mobile/ndn-photo-app/releases","show")</f>
        <v>show</v>
      </c>
    </row>
    <row r="9412" spans="1:6">
      <c r="A9412" t="s">
        <v>27953</v>
      </c>
      <c r="B9412" t="s">
        <v>27954</v>
      </c>
      <c r="C9412" t="s">
        <v>27955</v>
      </c>
      <c r="D9412" t="str">
        <f>HYPERLINK("https://github.com/itachi1706/SingBuses/issues/160","show")</f>
        <v>show</v>
      </c>
      <c r="E9412" t="str">
        <f>HYPERLINK("https://github.com/itachi1706/SingBuses","show")</f>
        <v>show</v>
      </c>
      <c r="F9412" t="str">
        <f>HYPERLINK("https://github.com/itachi1706/SingBuses/releases","show")</f>
        <v>show</v>
      </c>
    </row>
    <row r="9413" spans="1:6">
      <c r="A9413" t="s">
        <v>27956</v>
      </c>
      <c r="B9413" t="s">
        <v>27957</v>
      </c>
      <c r="C9413" t="s">
        <v>27958</v>
      </c>
      <c r="D9413" t="str">
        <f>HYPERLINK("https://github.com/awslabs/aws-mobile-appsync-sdk-android/issues/129","show")</f>
        <v>show</v>
      </c>
      <c r="E9413" t="str">
        <f>HYPERLINK("https://github.com/awslabs/aws-mobile-appsync-sdk-android","show")</f>
        <v>show</v>
      </c>
      <c r="F9413" t="str">
        <f>HYPERLINK("https://github.com/awslabs/aws-mobile-appsync-sdk-android/releases","show")</f>
        <v>show</v>
      </c>
    </row>
    <row r="9414" spans="1:6">
      <c r="A9414" t="s">
        <v>27959</v>
      </c>
      <c r="B9414" t="s">
        <v>27960</v>
      </c>
      <c r="C9414" t="s">
        <v>27961</v>
      </c>
      <c r="D9414" t="str">
        <f>HYPERLINK("https://github.com/jonathonbauer/watched/issues/53","show")</f>
        <v>show</v>
      </c>
      <c r="E9414" t="str">
        <f>HYPERLINK("https://github.com/jonathonbauer/watched","show")</f>
        <v>show</v>
      </c>
      <c r="F9414" t="str">
        <f>HYPERLINK("https://github.com/jonathonbauer/watched/releases","show")</f>
        <v>show</v>
      </c>
    </row>
    <row r="9415" spans="1:6">
      <c r="A9415" t="s">
        <v>27962</v>
      </c>
      <c r="B9415" t="s">
        <v>27963</v>
      </c>
      <c r="C9415" t="s">
        <v>27964</v>
      </c>
      <c r="D9415" t="str">
        <f>HYPERLINK("https://github.com/nextcloud/android/issues/3739","show")</f>
        <v>show</v>
      </c>
      <c r="E9415" t="str">
        <f>HYPERLINK("https://github.com/nextcloud/android","show")</f>
        <v>show</v>
      </c>
      <c r="F9415" t="str">
        <f>HYPERLINK("https://github.com/nextcloud/android/releases","show")</f>
        <v>show</v>
      </c>
    </row>
    <row r="9416" spans="1:6">
      <c r="A9416" t="s">
        <v>27965</v>
      </c>
      <c r="B9416" t="s">
        <v>27966</v>
      </c>
      <c r="C9416" t="s">
        <v>27967</v>
      </c>
      <c r="D9416" t="str">
        <f>HYPERLINK("https://github.com/named-data-mobile/ndn-photo-app/issues/99","show")</f>
        <v>show</v>
      </c>
      <c r="E9416" t="str">
        <f>HYPERLINK("https://github.com/named-data-mobile/ndn-photo-app","show")</f>
        <v>show</v>
      </c>
      <c r="F9416" t="str">
        <f>HYPERLINK("https://github.com/named-data-mobile/ndn-photo-app/releases","show")</f>
        <v>show</v>
      </c>
    </row>
    <row r="9417" spans="1:6">
      <c r="A9417" t="s">
        <v>27968</v>
      </c>
      <c r="B9417" t="s">
        <v>27969</v>
      </c>
      <c r="C9417" t="s">
        <v>27970</v>
      </c>
      <c r="D9417" t="str">
        <f>HYPERLINK("https://github.com/aws-amplify/aws-sdk-android/issues/778","show")</f>
        <v>show</v>
      </c>
      <c r="E9417" t="str">
        <f>HYPERLINK("https://github.com/aws-amplify/aws-sdk-android","show")</f>
        <v>show</v>
      </c>
      <c r="F9417" t="str">
        <f>HYPERLINK("https://github.com/aws-amplify/aws-sdk-android/releases","show")</f>
        <v>show</v>
      </c>
    </row>
    <row r="9418" spans="1:6">
      <c r="A9418" t="s">
        <v>27971</v>
      </c>
      <c r="B9418" t="s">
        <v>27972</v>
      </c>
      <c r="C9418" t="s">
        <v>27973</v>
      </c>
      <c r="D9418" t="str">
        <f>HYPERLINK("https://github.com/tty7tyil/LongShootLegacy/issues/10","show")</f>
        <v>show</v>
      </c>
      <c r="E9418" t="str">
        <f>HYPERLINK("https://github.com/tty7tyil/LongShootLegacy","show")</f>
        <v>show</v>
      </c>
      <c r="F9418" t="str">
        <f>HYPERLINK("https://github.com/tty7tyil/LongShootLegacy/releases","show")</f>
        <v>show</v>
      </c>
    </row>
    <row r="9419" spans="1:6">
      <c r="A9419" t="s">
        <v>27974</v>
      </c>
      <c r="B9419" t="s">
        <v>27975</v>
      </c>
      <c r="C9419" t="s">
        <v>27976</v>
      </c>
      <c r="D9419" t="str">
        <f>HYPERLINK("https://github.com/ElderDrivers/EdXposed/issues/152","show")</f>
        <v>show</v>
      </c>
      <c r="E9419" t="str">
        <f>HYPERLINK("https://github.com/ElderDrivers/EdXposed","show")</f>
        <v>show</v>
      </c>
      <c r="F9419" t="str">
        <f>HYPERLINK("https://github.com/ElderDrivers/EdXposed/releases","show")</f>
        <v>show</v>
      </c>
    </row>
    <row r="9420" spans="1:6">
      <c r="A9420" t="s">
        <v>27977</v>
      </c>
      <c r="B9420" t="s">
        <v>27978</v>
      </c>
      <c r="C9420" t="s">
        <v>27979</v>
      </c>
      <c r="D9420" t="str">
        <f>HYPERLINK("https://github.com/square/okhttp/issues/4699","show")</f>
        <v>show</v>
      </c>
      <c r="E9420" t="str">
        <f>HYPERLINK("https://github.com/square/okhttp","show")</f>
        <v>show</v>
      </c>
      <c r="F9420" t="str">
        <f>HYPERLINK("https://github.com/square/okhttp/releases","show")</f>
        <v>show</v>
      </c>
    </row>
    <row r="9421" spans="1:6">
      <c r="A9421" t="s">
        <v>27980</v>
      </c>
      <c r="B9421" t="s">
        <v>27981</v>
      </c>
      <c r="C9421" t="s">
        <v>27982</v>
      </c>
      <c r="D9421" t="str">
        <f>HYPERLINK("https://github.com/aws-amplify/aws-sdk-android/issues/773","show")</f>
        <v>show</v>
      </c>
      <c r="E9421" t="str">
        <f>HYPERLINK("https://github.com/aws-amplify/aws-sdk-android","show")</f>
        <v>show</v>
      </c>
      <c r="F9421" t="str">
        <f>HYPERLINK("https://github.com/aws-amplify/aws-sdk-android/releases","show")</f>
        <v>show</v>
      </c>
    </row>
    <row r="9422" spans="1:6">
      <c r="A9422" t="s">
        <v>27983</v>
      </c>
      <c r="B9422" t="s">
        <v>27984</v>
      </c>
      <c r="C9422" t="s">
        <v>27985</v>
      </c>
      <c r="D9422" t="str">
        <f>HYPERLINK("https://github.com/square/okhttp/issues/4697","show")</f>
        <v>show</v>
      </c>
      <c r="E9422" t="str">
        <f>HYPERLINK("https://github.com/square/okhttp","show")</f>
        <v>show</v>
      </c>
      <c r="F9422" t="str">
        <f>HYPERLINK("https://github.com/square/okhttp/releases","show")</f>
        <v>show</v>
      </c>
    </row>
    <row r="9423" spans="1:6">
      <c r="A9423" t="s">
        <v>27986</v>
      </c>
      <c r="B9423" t="s">
        <v>27987</v>
      </c>
      <c r="C9423" t="s">
        <v>27988</v>
      </c>
      <c r="D9423" t="str">
        <f>HYPERLINK("https://github.com/Intelehealth/Android-Mobile-Client/issues/665","show")</f>
        <v>show</v>
      </c>
      <c r="E9423" t="str">
        <f>HYPERLINK("https://github.com/Intelehealth/Android-Mobile-Client","show")</f>
        <v>show</v>
      </c>
      <c r="F9423" t="str">
        <f>HYPERLINK("https://github.com/Intelehealth/Android-Mobile-Client/releases","show")</f>
        <v>show</v>
      </c>
    </row>
    <row r="9424" spans="1:6">
      <c r="A9424" t="s">
        <v>27989</v>
      </c>
      <c r="B9424" t="s">
        <v>27990</v>
      </c>
      <c r="C9424" t="s">
        <v>27991</v>
      </c>
      <c r="D9424" t="str">
        <f>HYPERLINK("https://github.com/CMPUT301W19T11/Atheneum/issues/93","show")</f>
        <v>show</v>
      </c>
      <c r="E9424" t="str">
        <f>HYPERLINK("https://github.com/CMPUT301W19T11/Atheneum","show")</f>
        <v>show</v>
      </c>
      <c r="F9424" t="str">
        <f>HYPERLINK("https://github.com/CMPUT301W19T11/Atheneum/releases","show")</f>
        <v>show</v>
      </c>
    </row>
    <row r="9425" spans="1:6">
      <c r="A9425" t="s">
        <v>27992</v>
      </c>
      <c r="B9425" t="s">
        <v>27993</v>
      </c>
      <c r="C9425" t="s">
        <v>27994</v>
      </c>
      <c r="D9425" t="str">
        <f>HYPERLINK("https://github.com/appachhi/perfachhi.sdk/issues/1","show")</f>
        <v>show</v>
      </c>
      <c r="E9425" t="str">
        <f>HYPERLINK("https://github.com/appachhi/perfachhi.sdk","show")</f>
        <v>show</v>
      </c>
      <c r="F9425" t="str">
        <f>HYPERLINK("https://github.com/appachhi/perfachhi.sdk/releases","show")</f>
        <v>show</v>
      </c>
    </row>
    <row r="9426" spans="1:6">
      <c r="A9426" t="s">
        <v>27995</v>
      </c>
      <c r="B9426" t="s">
        <v>27996</v>
      </c>
      <c r="C9426" t="s">
        <v>27997</v>
      </c>
      <c r="D9426" t="str">
        <f>HYPERLINK("https://github.com/named-data-mobile/ndn-photo-app/issues/85","show")</f>
        <v>show</v>
      </c>
      <c r="E9426" t="str">
        <f>HYPERLINK("https://github.com/named-data-mobile/ndn-photo-app","show")</f>
        <v>show</v>
      </c>
      <c r="F9426" t="str">
        <f>HYPERLINK("https://github.com/named-data-mobile/ndn-photo-app/releases","show")</f>
        <v>show</v>
      </c>
    </row>
    <row r="9427" spans="1:6">
      <c r="A9427" t="s">
        <v>27998</v>
      </c>
      <c r="B9427" t="s">
        <v>27999</v>
      </c>
      <c r="C9427" t="s">
        <v>28000</v>
      </c>
      <c r="D9427" t="str">
        <f>HYPERLINK("https://github.com/scottyab/rootbeer/issues/92","show")</f>
        <v>show</v>
      </c>
      <c r="E9427" t="str">
        <f>HYPERLINK("https://github.com/scottyab/rootbeer","show")</f>
        <v>show</v>
      </c>
      <c r="F9427" t="str">
        <f>HYPERLINK("https://github.com/scottyab/rootbeer/releases","show")</f>
        <v>show</v>
      </c>
    </row>
    <row r="9428" spans="1:6">
      <c r="A9428" t="s">
        <v>28001</v>
      </c>
      <c r="B9428" t="s">
        <v>28002</v>
      </c>
      <c r="C9428" t="s">
        <v>28003</v>
      </c>
      <c r="D9428" t="str">
        <f>HYPERLINK("https://github.com/murilloves/musician-react-native-app/issues/20","show")</f>
        <v>show</v>
      </c>
      <c r="E9428" t="str">
        <f>HYPERLINK("https://github.com/murilloves/musician-react-native-app","show")</f>
        <v>show</v>
      </c>
      <c r="F9428" t="str">
        <f>HYPERLINK("https://github.com/murilloves/musician-react-native-app/releases","show")</f>
        <v>show</v>
      </c>
    </row>
    <row r="9429" spans="1:6">
      <c r="A9429" t="s">
        <v>28004</v>
      </c>
      <c r="B9429" t="s">
        <v>28005</v>
      </c>
      <c r="C9429" t="s">
        <v>28006</v>
      </c>
      <c r="D9429" t="str">
        <f>HYPERLINK("https://github.com/Intelehealth/Android-Mobile-Client/issues/663","show")</f>
        <v>show</v>
      </c>
      <c r="E9429" t="str">
        <f>HYPERLINK("https://github.com/Intelehealth/Android-Mobile-Client","show")</f>
        <v>show</v>
      </c>
      <c r="F9429" t="str">
        <f>HYPERLINK("https://github.com/Intelehealth/Android-Mobile-Client/releases","show")</f>
        <v>show</v>
      </c>
    </row>
    <row r="9430" spans="1:6">
      <c r="A9430" t="s">
        <v>28007</v>
      </c>
      <c r="B9430" t="s">
        <v>28008</v>
      </c>
      <c r="C9430" t="s">
        <v>28009</v>
      </c>
      <c r="D9430" t="str">
        <f>HYPERLINK("https://github.com/k9mail/k-9/issues/3943","show")</f>
        <v>show</v>
      </c>
      <c r="E9430" t="str">
        <f>HYPERLINK("https://github.com/k9mail/k-9","show")</f>
        <v>show</v>
      </c>
      <c r="F9430" t="str">
        <f>HYPERLINK("https://github.com/k9mail/k-9/releases","show")</f>
        <v>show</v>
      </c>
    </row>
    <row r="9431" spans="1:6">
      <c r="A9431" t="s">
        <v>28010</v>
      </c>
      <c r="B9431" t="s">
        <v>28011</v>
      </c>
      <c r="C9431" t="s">
        <v>28012</v>
      </c>
      <c r="D9431" t="str">
        <f>HYPERLINK("https://github.com/CMPUT301W19T11/Atheneum/issues/69","show")</f>
        <v>show</v>
      </c>
      <c r="E9431" t="str">
        <f>HYPERLINK("https://github.com/CMPUT301W19T11/Atheneum","show")</f>
        <v>show</v>
      </c>
      <c r="F9431" t="str">
        <f>HYPERLINK("https://github.com/CMPUT301W19T11/Atheneum/releases","show")</f>
        <v>show</v>
      </c>
    </row>
    <row r="9432" spans="1:6">
      <c r="A9432" t="s">
        <v>28013</v>
      </c>
      <c r="B9432" t="s">
        <v>28014</v>
      </c>
      <c r="C9432" t="s">
        <v>28015</v>
      </c>
      <c r="D9432" t="str">
        <f>HYPERLINK("https://github.com/inaturalist/iNaturalistAndroid/issues/636","show")</f>
        <v>show</v>
      </c>
      <c r="E9432" t="str">
        <f>HYPERLINK("https://github.com/inaturalist/iNaturalistAndroid","show")</f>
        <v>show</v>
      </c>
      <c r="F9432" t="str">
        <f>HYPERLINK("https://github.com/inaturalist/iNaturalistAndroid/releases","show")</f>
        <v>show</v>
      </c>
    </row>
    <row r="9433" spans="1:6">
      <c r="A9433" t="s">
        <v>28016</v>
      </c>
      <c r="B9433" t="s">
        <v>28017</v>
      </c>
      <c r="C9433" t="s">
        <v>28018</v>
      </c>
      <c r="D9433" t="str">
        <f>HYPERLINK("https://github.com/MCMrARM/revolution-irc/issues/201","show")</f>
        <v>show</v>
      </c>
      <c r="E9433" t="str">
        <f>HYPERLINK("https://github.com/MCMrARM/revolution-irc","show")</f>
        <v>show</v>
      </c>
      <c r="F9433" t="str">
        <f>HYPERLINK("https://github.com/MCMrARM/revolution-irc/releases","show")</f>
        <v>show</v>
      </c>
    </row>
    <row r="9434" spans="1:6">
      <c r="A9434" t="s">
        <v>28019</v>
      </c>
      <c r="B9434" t="s">
        <v>28020</v>
      </c>
      <c r="C9434" t="s">
        <v>28021</v>
      </c>
      <c r="D9434" t="str">
        <f>HYPERLINK("https://github.com/davideas/FlexibleAdapter/issues/716","show")</f>
        <v>show</v>
      </c>
      <c r="E9434" t="str">
        <f>HYPERLINK("https://github.com/davideas/FlexibleAdapter","show")</f>
        <v>show</v>
      </c>
      <c r="F9434" t="str">
        <f>HYPERLINK("https://github.com/davideas/FlexibleAdapter/releases","show")</f>
        <v>show</v>
      </c>
    </row>
    <row r="9435" spans="1:6">
      <c r="A9435" t="s">
        <v>28022</v>
      </c>
      <c r="B9435" t="s">
        <v>28023</v>
      </c>
      <c r="C9435" t="s">
        <v>28024</v>
      </c>
      <c r="D9435" t="str">
        <f>HYPERLINK("https://github.com/ElderDrivers/EdXposed/issues/127","show")</f>
        <v>show</v>
      </c>
      <c r="E9435" t="str">
        <f>HYPERLINK("https://github.com/ElderDrivers/EdXposed","show")</f>
        <v>show</v>
      </c>
      <c r="F9435" t="str">
        <f>HYPERLINK("https://github.com/ElderDrivers/EdXposed/releases","show")</f>
        <v>show</v>
      </c>
    </row>
    <row r="9436" spans="1:6">
      <c r="A9436" t="s">
        <v>28025</v>
      </c>
      <c r="B9436" t="s">
        <v>28026</v>
      </c>
      <c r="C9436" t="s">
        <v>28027</v>
      </c>
      <c r="D9436" t="str">
        <f>HYPERLINK("https://github.com/mauron85/react-native-background-geolocation/issues/356","show")</f>
        <v>show</v>
      </c>
      <c r="E9436" t="str">
        <f>HYPERLINK("https://github.com/mauron85/react-native-background-geolocation","show")</f>
        <v>show</v>
      </c>
      <c r="F9436" t="str">
        <f>HYPERLINK("https://github.com/mauron85/react-native-background-geolocation/releases","show")</f>
        <v>show</v>
      </c>
    </row>
    <row r="9437" spans="1:6">
      <c r="A9437" t="s">
        <v>28028</v>
      </c>
      <c r="B9437" t="s">
        <v>28029</v>
      </c>
      <c r="C9437" t="s">
        <v>28030</v>
      </c>
      <c r="D9437" t="str">
        <f>HYPERLINK("https://github.com/dariuszseweryn/RxAndroidBle/issues/552","show")</f>
        <v>show</v>
      </c>
      <c r="E9437" t="str">
        <f>HYPERLINK("https://github.com/dariuszseweryn/RxAndroidBle","show")</f>
        <v>show</v>
      </c>
      <c r="F9437" t="str">
        <f>HYPERLINK("https://github.com/dariuszseweryn/RxAndroidBle/releases","show")</f>
        <v>show</v>
      </c>
    </row>
    <row r="9438" spans="1:6">
      <c r="A9438" t="s">
        <v>28031</v>
      </c>
      <c r="B9438" t="s">
        <v>28032</v>
      </c>
      <c r="C9438" t="s">
        <v>28033</v>
      </c>
      <c r="D9438" t="str">
        <f>HYPERLINK("https://github.com/forcedotcom/SalesforceMobileSDK-CordovaPlugin/issues/444","show")</f>
        <v>show</v>
      </c>
      <c r="E9438" t="str">
        <f>HYPERLINK("https://github.com/forcedotcom/SalesforceMobileSDK-CordovaPlugin","show")</f>
        <v>show</v>
      </c>
      <c r="F9438" t="str">
        <f>HYPERLINK("https://github.com/forcedotcom/SalesforceMobileSDK-CordovaPlugin/releases","show")</f>
        <v>show</v>
      </c>
    </row>
    <row r="9439" spans="1:6">
      <c r="A9439" t="s">
        <v>28034</v>
      </c>
      <c r="B9439" t="s">
        <v>28035</v>
      </c>
      <c r="C9439" t="s">
        <v>28036</v>
      </c>
      <c r="D9439" t="str">
        <f>HYPERLINK("https://github.com/maks/MGit/issues/445","show")</f>
        <v>show</v>
      </c>
      <c r="E9439" t="str">
        <f>HYPERLINK("https://github.com/maks/MGit","show")</f>
        <v>show</v>
      </c>
      <c r="F9439" t="str">
        <f>HYPERLINK("https://github.com/maks/MGit/releases","show")</f>
        <v>show</v>
      </c>
    </row>
    <row r="9440" spans="1:6">
      <c r="A9440" t="s">
        <v>28037</v>
      </c>
      <c r="B9440" t="s">
        <v>28038</v>
      </c>
      <c r="C9440" t="s">
        <v>28039</v>
      </c>
      <c r="D9440" t="str">
        <f>HYPERLINK("https://github.com/cgeo/cgeo/issues/7341","show")</f>
        <v>show</v>
      </c>
      <c r="E9440" t="str">
        <f>HYPERLINK("https://github.com/cgeo/cgeo","show")</f>
        <v>show</v>
      </c>
      <c r="F9440" t="str">
        <f>HYPERLINK("https://github.com/cgeo/cgeo/releases","show")</f>
        <v>show</v>
      </c>
    </row>
    <row r="9441" spans="1:6">
      <c r="A9441" t="s">
        <v>28040</v>
      </c>
      <c r="B9441" t="s">
        <v>28041</v>
      </c>
      <c r="C9441" t="s">
        <v>28042</v>
      </c>
      <c r="D9441" t="str">
        <f>HYPERLINK("https://github.com/itachi1706/SingBuses/issues/157","show")</f>
        <v>show</v>
      </c>
      <c r="E9441" t="str">
        <f>HYPERLINK("https://github.com/itachi1706/SingBuses","show")</f>
        <v>show</v>
      </c>
      <c r="F9441" t="str">
        <f>HYPERLINK("https://github.com/itachi1706/SingBuses/releases","show")</f>
        <v>show</v>
      </c>
    </row>
    <row r="9442" spans="1:6">
      <c r="A9442" t="s">
        <v>28043</v>
      </c>
      <c r="B9442" t="s">
        <v>28044</v>
      </c>
      <c r="C9442" t="s">
        <v>28045</v>
      </c>
      <c r="D9442" t="str">
        <f>HYPERLINK("https://github.com/datatheorem/TrustKit-Android/issues/49","show")</f>
        <v>show</v>
      </c>
      <c r="E9442" t="str">
        <f>HYPERLINK("https://github.com/datatheorem/TrustKit-Android","show")</f>
        <v>show</v>
      </c>
      <c r="F9442" t="str">
        <f>HYPERLINK("https://github.com/datatheorem/TrustKit-Android/releases","show")</f>
        <v>show</v>
      </c>
    </row>
    <row r="9443" spans="1:6">
      <c r="A9443" t="s">
        <v>28046</v>
      </c>
      <c r="B9443" t="s">
        <v>28047</v>
      </c>
      <c r="C9443" t="s">
        <v>28048</v>
      </c>
      <c r="D9443" t="str">
        <f>HYPERLINK("https://github.com/ElderDrivers/EdXposed/issues/116","show")</f>
        <v>show</v>
      </c>
      <c r="E9443" t="str">
        <f>HYPERLINK("https://github.com/ElderDrivers/EdXposed","show")</f>
        <v>show</v>
      </c>
      <c r="F9443" t="str">
        <f>HYPERLINK("https://github.com/ElderDrivers/EdXposed/releases","show")</f>
        <v>show</v>
      </c>
    </row>
    <row r="9444" spans="1:6">
      <c r="A9444" t="s">
        <v>28049</v>
      </c>
      <c r="B9444" t="s">
        <v>28050</v>
      </c>
      <c r="C9444" t="s">
        <v>28051</v>
      </c>
      <c r="D9444" t="str">
        <f>HYPERLINK("https://github.com/Intelehealth/Android-Mobile-Client/issues/659","show")</f>
        <v>show</v>
      </c>
      <c r="E9444" t="str">
        <f>HYPERLINK("https://github.com/Intelehealth/Android-Mobile-Client","show")</f>
        <v>show</v>
      </c>
      <c r="F9444" t="str">
        <f>HYPERLINK("https://github.com/Intelehealth/Android-Mobile-Client/releases","show")</f>
        <v>show</v>
      </c>
    </row>
    <row r="9445" spans="1:6">
      <c r="A9445" t="s">
        <v>28052</v>
      </c>
      <c r="B9445" t="s">
        <v>28053</v>
      </c>
      <c r="C9445" t="s">
        <v>28054</v>
      </c>
      <c r="D9445" t="str">
        <f>HYPERLINK("https://github.com/Intelehealth/Android-Mobile-Client/issues/658","show")</f>
        <v>show</v>
      </c>
      <c r="E9445" t="str">
        <f>HYPERLINK("https://github.com/Intelehealth/Android-Mobile-Client","show")</f>
        <v>show</v>
      </c>
      <c r="F9445" t="str">
        <f>HYPERLINK("https://github.com/Intelehealth/Android-Mobile-Client/releases","show")</f>
        <v>show</v>
      </c>
    </row>
    <row r="9446" spans="1:6">
      <c r="A9446" t="s">
        <v>28055</v>
      </c>
      <c r="B9446" t="s">
        <v>28056</v>
      </c>
      <c r="C9446" t="s">
        <v>28057</v>
      </c>
      <c r="D9446" t="str">
        <f>HYPERLINK("https://github.com/Intelehealth/Android-Mobile-Client/issues/657","show")</f>
        <v>show</v>
      </c>
      <c r="E9446" t="str">
        <f>HYPERLINK("https://github.com/Intelehealth/Android-Mobile-Client","show")</f>
        <v>show</v>
      </c>
      <c r="F9446" t="str">
        <f>HYPERLINK("https://github.com/Intelehealth/Android-Mobile-Client/releases","show")</f>
        <v>show</v>
      </c>
    </row>
    <row r="9447" spans="1:6">
      <c r="A9447" t="s">
        <v>28058</v>
      </c>
      <c r="B9447" t="s">
        <v>28059</v>
      </c>
      <c r="C9447" t="s">
        <v>28057</v>
      </c>
      <c r="D9447" t="str">
        <f>HYPERLINK("https://github.com/Intelehealth/Android-Mobile-Client/issues/656","show")</f>
        <v>show</v>
      </c>
      <c r="E9447" t="str">
        <f>HYPERLINK("https://github.com/Intelehealth/Android-Mobile-Client","show")</f>
        <v>show</v>
      </c>
      <c r="F9447" t="str">
        <f>HYPERLINK("https://github.com/Intelehealth/Android-Mobile-Client/releases","show")</f>
        <v>show</v>
      </c>
    </row>
    <row r="9448" spans="1:6">
      <c r="A9448" t="s">
        <v>28060</v>
      </c>
      <c r="B9448" t="s">
        <v>28061</v>
      </c>
      <c r="C9448" t="s">
        <v>28062</v>
      </c>
      <c r="D9448" t="str">
        <f>HYPERLINK("https://github.com/opensrp/opensrp-client-reveal/issues/110","show")</f>
        <v>show</v>
      </c>
      <c r="E9448" t="str">
        <f>HYPERLINK("https://github.com/opensrp/opensrp-client-reveal","show")</f>
        <v>show</v>
      </c>
      <c r="F9448" t="str">
        <f>HYPERLINK("https://github.com/opensrp/opensrp-client-reveal/releases","show")</f>
        <v>show</v>
      </c>
    </row>
    <row r="9449" spans="1:6">
      <c r="A9449" t="s">
        <v>28063</v>
      </c>
      <c r="B9449" t="s">
        <v>28064</v>
      </c>
      <c r="C9449" t="s">
        <v>28065</v>
      </c>
      <c r="D9449" t="str">
        <f>HYPERLINK("https://github.com/fennifith/Alarmio/issues/43","show")</f>
        <v>show</v>
      </c>
      <c r="E9449" t="str">
        <f>HYPERLINK("https://github.com/fennifith/Alarmio","show")</f>
        <v>show</v>
      </c>
      <c r="F9449" t="str">
        <f>HYPERLINK("https://github.com/fennifith/Alarmio/releases","show")</f>
        <v>show</v>
      </c>
    </row>
    <row r="9450" spans="1:6">
      <c r="A9450" t="s">
        <v>28066</v>
      </c>
      <c r="B9450" t="s">
        <v>28067</v>
      </c>
      <c r="C9450" t="s">
        <v>28068</v>
      </c>
      <c r="D9450" t="str">
        <f>HYPERLINK("https://github.com/moneymanagerex/android-money-manager-ex/issues/1326","show")</f>
        <v>show</v>
      </c>
      <c r="E9450" t="str">
        <f>HYPERLINK("https://github.com/moneymanagerex/android-money-manager-ex","show")</f>
        <v>show</v>
      </c>
      <c r="F9450" t="str">
        <f>HYPERLINK("https://github.com/moneymanagerex/android-money-manager-ex/releases","show")</f>
        <v>show</v>
      </c>
    </row>
    <row r="9451" spans="1:6">
      <c r="A9451" t="s">
        <v>28069</v>
      </c>
      <c r="B9451" t="s">
        <v>28070</v>
      </c>
      <c r="C9451" t="s">
        <v>28071</v>
      </c>
      <c r="D9451" t="str">
        <f>HYPERLINK("https://github.com/JulietGroundwater/Groundwater/issues/29","show")</f>
        <v>show</v>
      </c>
      <c r="E9451" t="str">
        <f>HYPERLINK("https://github.com/JulietGroundwater/Groundwater","show")</f>
        <v>show</v>
      </c>
      <c r="F9451" t="str">
        <f>HYPERLINK("https://github.com/JulietGroundwater/Groundwater/releases","show")</f>
        <v>show</v>
      </c>
    </row>
    <row r="9452" spans="1:6">
      <c r="A9452" t="s">
        <v>28072</v>
      </c>
      <c r="B9452" t="s">
        <v>14113</v>
      </c>
      <c r="C9452" t="s">
        <v>28073</v>
      </c>
      <c r="D9452" t="str">
        <f>HYPERLINK("https://github.com/nitaliano/react-native-mapbox-gl/issues/1520","show")</f>
        <v>show</v>
      </c>
      <c r="E9452" t="str">
        <f>HYPERLINK("https://github.com/nitaliano/react-native-mapbox-gl","show")</f>
        <v>show</v>
      </c>
      <c r="F9452" t="str">
        <f>HYPERLINK("https://github.com/nitaliano/react-native-mapbox-gl/releases","show")</f>
        <v>show</v>
      </c>
    </row>
    <row r="9453" spans="1:6">
      <c r="A9453" t="s">
        <v>28074</v>
      </c>
      <c r="B9453" t="s">
        <v>28075</v>
      </c>
      <c r="C9453" t="s">
        <v>28076</v>
      </c>
      <c r="D9453" t="str">
        <f>HYPERLINK("https://github.com/niccokunzmann/mundraub-android/issues/232","show")</f>
        <v>show</v>
      </c>
      <c r="E9453" t="str">
        <f>HYPERLINK("https://github.com/niccokunzmann/mundraub-android","show")</f>
        <v>show</v>
      </c>
      <c r="F9453" t="str">
        <f>HYPERLINK("https://github.com/niccokunzmann/mundraub-android/releases","show")</f>
        <v>show</v>
      </c>
    </row>
    <row r="9454" spans="1:6">
      <c r="A9454" t="s">
        <v>28077</v>
      </c>
      <c r="B9454" t="s">
        <v>28078</v>
      </c>
      <c r="C9454" t="s">
        <v>28079</v>
      </c>
      <c r="D9454" t="str">
        <f>HYPERLINK("https://github.com/Catfriend1/syncthing-android/issues/342","show")</f>
        <v>show</v>
      </c>
      <c r="E9454" t="str">
        <f>HYPERLINK("https://github.com/Catfriend1/syncthing-android","show")</f>
        <v>show</v>
      </c>
      <c r="F9454" t="str">
        <f>HYPERLINK("https://github.com/Catfriend1/syncthing-android/releases","show")</f>
        <v>show</v>
      </c>
    </row>
    <row r="9455" spans="1:6">
      <c r="A9455" t="s">
        <v>28080</v>
      </c>
      <c r="B9455" t="s">
        <v>28081</v>
      </c>
      <c r="C9455" t="s">
        <v>28082</v>
      </c>
      <c r="D9455" t="str">
        <f>HYPERLINK("https://github.com/opensrp/opensrp-client-chw/issues/168","show")</f>
        <v>show</v>
      </c>
      <c r="E9455" t="str">
        <f>HYPERLINK("https://github.com/opensrp/opensrp-client-chw","show")</f>
        <v>show</v>
      </c>
      <c r="F9455" t="str">
        <f>HYPERLINK("https://github.com/opensrp/opensrp-client-chw/releases","show")</f>
        <v>show</v>
      </c>
    </row>
    <row r="9456" spans="1:6">
      <c r="A9456" t="s">
        <v>28083</v>
      </c>
      <c r="B9456" t="s">
        <v>28084</v>
      </c>
      <c r="C9456" t="s">
        <v>28085</v>
      </c>
      <c r="D9456" t="str">
        <f>HYPERLINK("https://github.com/inaturalist/iNaturalistAndroid/issues/635","show")</f>
        <v>show</v>
      </c>
      <c r="E9456" t="str">
        <f>HYPERLINK("https://github.com/inaturalist/iNaturalistAndroid","show")</f>
        <v>show</v>
      </c>
      <c r="F9456" t="str">
        <f>HYPERLINK("https://github.com/inaturalist/iNaturalistAndroid/releases","show")</f>
        <v>show</v>
      </c>
    </row>
    <row r="9457" spans="1:6">
      <c r="A9457" t="s">
        <v>28086</v>
      </c>
      <c r="B9457" t="s">
        <v>28087</v>
      </c>
      <c r="C9457" t="s">
        <v>28088</v>
      </c>
      <c r="D9457" t="str">
        <f>HYPERLINK("https://github.com/NordicSemiconductor/Android-BLE-Library/issues/88","show")</f>
        <v>show</v>
      </c>
      <c r="E9457" t="str">
        <f>HYPERLINK("https://github.com/NordicSemiconductor/Android-BLE-Library","show")</f>
        <v>show</v>
      </c>
      <c r="F9457" t="str">
        <f>HYPERLINK("https://github.com/NordicSemiconductor/Android-BLE-Library/releases","show")</f>
        <v>show</v>
      </c>
    </row>
    <row r="9458" spans="1:6">
      <c r="A9458" t="s">
        <v>28089</v>
      </c>
      <c r="B9458" t="s">
        <v>28090</v>
      </c>
      <c r="C9458" t="s">
        <v>28091</v>
      </c>
      <c r="D9458" t="str">
        <f>HYPERLINK("https://github.com/redsolution/xabber-android/issues/868","show")</f>
        <v>show</v>
      </c>
      <c r="E9458" t="str">
        <f>HYPERLINK("https://github.com/redsolution/xabber-android","show")</f>
        <v>show</v>
      </c>
      <c r="F9458" t="str">
        <f>HYPERLINK("https://github.com/redsolution/xabber-android/releases","show")</f>
        <v>show</v>
      </c>
    </row>
    <row r="9459" spans="1:6">
      <c r="A9459" t="s">
        <v>28092</v>
      </c>
      <c r="B9459" t="s">
        <v>28093</v>
      </c>
      <c r="C9459" t="s">
        <v>28094</v>
      </c>
      <c r="D9459" t="str">
        <f>HYPERLINK("https://github.com/aws-amplify/aws-sdk-android/issues/722","show")</f>
        <v>show</v>
      </c>
      <c r="E9459" t="str">
        <f>HYPERLINK("https://github.com/aws-amplify/aws-sdk-android","show")</f>
        <v>show</v>
      </c>
      <c r="F9459" t="str">
        <f>HYPERLINK("https://github.com/aws-amplify/aws-sdk-android/releases","show")</f>
        <v>show</v>
      </c>
    </row>
    <row r="9460" spans="1:6">
      <c r="A9460" t="s">
        <v>28095</v>
      </c>
      <c r="B9460" t="s">
        <v>28096</v>
      </c>
      <c r="C9460" t="s">
        <v>28097</v>
      </c>
      <c r="D9460" t="str">
        <f>HYPERLINK("https://github.com/oliexdev/openScale/issues/409","show")</f>
        <v>show</v>
      </c>
      <c r="E9460" t="str">
        <f>HYPERLINK("https://github.com/oliexdev/openScale","show")</f>
        <v>show</v>
      </c>
      <c r="F9460" t="str">
        <f>HYPERLINK("https://github.com/oliexdev/openScale/releases","show")</f>
        <v>show</v>
      </c>
    </row>
    <row r="9461" spans="1:6">
      <c r="A9461" t="s">
        <v>28098</v>
      </c>
      <c r="B9461" t="s">
        <v>28099</v>
      </c>
      <c r="C9461" t="s">
        <v>28100</v>
      </c>
      <c r="D9461" t="str">
        <f>HYPERLINK("https://github.com/zdavatz/AmiKo-Android/issues/58","show")</f>
        <v>show</v>
      </c>
      <c r="E9461" t="str">
        <f>HYPERLINK("https://github.com/zdavatz/AmiKo-Android","show")</f>
        <v>show</v>
      </c>
      <c r="F9461" t="str">
        <f>HYPERLINK("https://github.com/zdavatz/AmiKo-Android/releases","show")</f>
        <v>show</v>
      </c>
    </row>
    <row r="9462" spans="1:6">
      <c r="A9462" t="s">
        <v>28101</v>
      </c>
      <c r="B9462" t="s">
        <v>28102</v>
      </c>
      <c r="C9462" t="s">
        <v>28103</v>
      </c>
      <c r="D9462" t="str">
        <f>HYPERLINK("https://github.com/fossasia/phimpme-android/issues/2631","show")</f>
        <v>show</v>
      </c>
      <c r="E9462" t="str">
        <f>HYPERLINK("https://github.com/fossasia/phimpme-android","show")</f>
        <v>show</v>
      </c>
      <c r="F9462" t="str">
        <f>HYPERLINK("https://github.com/fossasia/phimpme-android/releases","show")</f>
        <v>show</v>
      </c>
    </row>
    <row r="9463" spans="1:6">
      <c r="A9463" t="s">
        <v>28104</v>
      </c>
      <c r="B9463" t="s">
        <v>28105</v>
      </c>
      <c r="C9463" t="s">
        <v>28106</v>
      </c>
      <c r="D9463" t="str">
        <f>HYPERLINK("https://github.com/nextcloud/android/issues/3670","show")</f>
        <v>show</v>
      </c>
      <c r="E9463" t="str">
        <f>HYPERLINK("https://github.com/nextcloud/android","show")</f>
        <v>show</v>
      </c>
      <c r="F9463" t="str">
        <f>HYPERLINK("https://github.com/nextcloud/android/releases","show")</f>
        <v>show</v>
      </c>
    </row>
    <row r="9464" spans="1:6">
      <c r="A9464" t="s">
        <v>28107</v>
      </c>
      <c r="B9464" t="s">
        <v>28108</v>
      </c>
      <c r="C9464" t="s">
        <v>28109</v>
      </c>
      <c r="D9464" t="str">
        <f>HYPERLINK("https://github.com/SeniorDesignTm/SmartUniMain/issues/6","show")</f>
        <v>show</v>
      </c>
      <c r="E9464" t="str">
        <f>HYPERLINK("https://github.com/SeniorDesignTm/SmartUniMain","show")</f>
        <v>show</v>
      </c>
      <c r="F9464" t="str">
        <f>HYPERLINK("https://github.com/SeniorDesignTm/SmartUniMain/releases","show")</f>
        <v>show</v>
      </c>
    </row>
    <row r="9465" spans="1:6">
      <c r="A9465" t="s">
        <v>28110</v>
      </c>
      <c r="B9465" t="s">
        <v>28111</v>
      </c>
      <c r="C9465" t="s">
        <v>28112</v>
      </c>
      <c r="D9465" t="str">
        <f>HYPERLINK("https://github.com/ankidroid/Anki-Android/issues/5251","show")</f>
        <v>show</v>
      </c>
      <c r="E9465" t="str">
        <f>HYPERLINK("https://github.com/ankidroid/Anki-Android","show")</f>
        <v>show</v>
      </c>
      <c r="F9465" t="str">
        <f>HYPERLINK("https://github.com/ankidroid/Anki-Android/releases","show")</f>
        <v>show</v>
      </c>
    </row>
    <row r="9466" spans="1:6">
      <c r="A9466" t="s">
        <v>28113</v>
      </c>
      <c r="B9466" t="s">
        <v>28114</v>
      </c>
      <c r="C9466" t="s">
        <v>28115</v>
      </c>
      <c r="D9466" t="str">
        <f>HYPERLINK("https://github.com/kalaspuffar/secure-quick-reliable-login/issues/249","show")</f>
        <v>show</v>
      </c>
      <c r="E9466" t="str">
        <f>HYPERLINK("https://github.com/kalaspuffar/secure-quick-reliable-login","show")</f>
        <v>show</v>
      </c>
      <c r="F9466" t="str">
        <f>HYPERLINK("https://github.com/kalaspuffar/secure-quick-reliable-login/releases","show")</f>
        <v>show</v>
      </c>
    </row>
    <row r="9467" spans="1:6">
      <c r="A9467" t="s">
        <v>28116</v>
      </c>
      <c r="B9467" t="s">
        <v>28117</v>
      </c>
      <c r="C9467" t="s">
        <v>28118</v>
      </c>
      <c r="D9467" t="str">
        <f>HYPERLINK("https://github.com/SeniorDesignTm/SmartUniMain/issues/5","show")</f>
        <v>show</v>
      </c>
      <c r="E9467" t="str">
        <f>HYPERLINK("https://github.com/SeniorDesignTm/SmartUniMain","show")</f>
        <v>show</v>
      </c>
      <c r="F9467" t="str">
        <f>HYPERLINK("https://github.com/SeniorDesignTm/SmartUniMain/releases","show")</f>
        <v>show</v>
      </c>
    </row>
    <row r="9468" spans="1:6">
      <c r="A9468" t="s">
        <v>28119</v>
      </c>
      <c r="B9468" t="s">
        <v>28120</v>
      </c>
      <c r="C9468" t="s">
        <v>28121</v>
      </c>
      <c r="D9468" t="str">
        <f>HYPERLINK("https://github.com/Intelehealth/Android-Mobile-Client/issues/649","show")</f>
        <v>show</v>
      </c>
      <c r="E9468" t="str">
        <f>HYPERLINK("https://github.com/Intelehealth/Android-Mobile-Client","show")</f>
        <v>show</v>
      </c>
      <c r="F9468" t="str">
        <f>HYPERLINK("https://github.com/Intelehealth/Android-Mobile-Client/releases","show")</f>
        <v>show</v>
      </c>
    </row>
    <row r="9469" spans="1:6">
      <c r="A9469" t="s">
        <v>28122</v>
      </c>
      <c r="B9469" t="s">
        <v>28123</v>
      </c>
      <c r="C9469" t="s">
        <v>28124</v>
      </c>
      <c r="D9469" t="str">
        <f>HYPERLINK("https://github.com/Intelehealth/Android-Mobile-Client/issues/648","show")</f>
        <v>show</v>
      </c>
      <c r="E9469" t="str">
        <f>HYPERLINK("https://github.com/Intelehealth/Android-Mobile-Client","show")</f>
        <v>show</v>
      </c>
      <c r="F9469" t="str">
        <f>HYPERLINK("https://github.com/Intelehealth/Android-Mobile-Client/releases","show")</f>
        <v>show</v>
      </c>
    </row>
    <row r="9470" spans="1:6">
      <c r="A9470" t="s">
        <v>28125</v>
      </c>
      <c r="B9470" t="s">
        <v>28126</v>
      </c>
      <c r="C9470" t="s">
        <v>28127</v>
      </c>
      <c r="D9470" t="str">
        <f>HYPERLINK("https://github.com/Intelehealth/Android-Mobile-Client/issues/647","show")</f>
        <v>show</v>
      </c>
      <c r="E9470" t="str">
        <f>HYPERLINK("https://github.com/Intelehealth/Android-Mobile-Client","show")</f>
        <v>show</v>
      </c>
      <c r="F9470" t="str">
        <f>HYPERLINK("https://github.com/Intelehealth/Android-Mobile-Client/releases","show")</f>
        <v>show</v>
      </c>
    </row>
    <row r="9471" spans="1:6">
      <c r="A9471" t="s">
        <v>28128</v>
      </c>
      <c r="B9471" t="s">
        <v>28129</v>
      </c>
      <c r="C9471" t="s">
        <v>28130</v>
      </c>
      <c r="D9471" t="str">
        <f>HYPERLINK("https://github.com/TryGhost/Ghost-Android/issues/38","show")</f>
        <v>show</v>
      </c>
      <c r="E9471" t="str">
        <f>HYPERLINK("https://github.com/TryGhost/Ghost-Android","show")</f>
        <v>show</v>
      </c>
      <c r="F9471" t="str">
        <f>HYPERLINK("https://github.com/TryGhost/Ghost-Android/releases","show")</f>
        <v>show</v>
      </c>
    </row>
    <row r="9472" spans="1:6">
      <c r="A9472" t="s">
        <v>28131</v>
      </c>
      <c r="B9472" t="s">
        <v>28132</v>
      </c>
      <c r="C9472" t="s">
        <v>28133</v>
      </c>
      <c r="D9472" t="str">
        <f>HYPERLINK("https://github.com/SeniorDesignTm/SmartUniMain/issues/2","show")</f>
        <v>show</v>
      </c>
      <c r="E9472" t="str">
        <f>HYPERLINK("https://github.com/SeniorDesignTm/SmartUniMain","show")</f>
        <v>show</v>
      </c>
      <c r="F9472" t="str">
        <f>HYPERLINK("https://github.com/SeniorDesignTm/SmartUniMain/releases","show")</f>
        <v>show</v>
      </c>
    </row>
    <row r="9473" spans="1:6">
      <c r="A9473" t="s">
        <v>28134</v>
      </c>
      <c r="B9473" t="s">
        <v>28135</v>
      </c>
      <c r="C9473" t="s">
        <v>28136</v>
      </c>
      <c r="D9473" t="str">
        <f>HYPERLINK("https://github.com/getodk/skunkworks-crow/issues/111","show")</f>
        <v>show</v>
      </c>
      <c r="E9473" t="str">
        <f>HYPERLINK("https://github.com/getodk/skunkworks-crow","show")</f>
        <v>show</v>
      </c>
      <c r="F9473" t="str">
        <f>HYPERLINK("https://github.com/getodk/skunkworks-crow/releases","show")</f>
        <v>show</v>
      </c>
    </row>
    <row r="9474" spans="1:6">
      <c r="A9474" t="s">
        <v>28137</v>
      </c>
      <c r="B9474" t="s">
        <v>28138</v>
      </c>
      <c r="C9474" t="s">
        <v>28139</v>
      </c>
      <c r="D9474" t="str">
        <f>HYPERLINK("https://github.com/martykan/forecastie/issues/327","show")</f>
        <v>show</v>
      </c>
      <c r="E9474" t="str">
        <f>HYPERLINK("https://github.com/martykan/forecastie","show")</f>
        <v>show</v>
      </c>
      <c r="F9474" t="str">
        <f>HYPERLINK("https://github.com/martykan/forecastie/releases","show")</f>
        <v>show</v>
      </c>
    </row>
    <row r="9475" spans="1:6">
      <c r="A9475" t="s">
        <v>28140</v>
      </c>
      <c r="B9475" t="s">
        <v>28141</v>
      </c>
      <c r="C9475" t="s">
        <v>28142</v>
      </c>
      <c r="D9475" t="str">
        <f>HYPERLINK("https://github.com/tobexyz/yaacc-code/issues/30","show")</f>
        <v>show</v>
      </c>
      <c r="E9475" t="str">
        <f>HYPERLINK("https://github.com/tobexyz/yaacc-code","show")</f>
        <v>show</v>
      </c>
      <c r="F9475" t="str">
        <f>HYPERLINK("https://github.com/tobexyz/yaacc-code/releases","show")</f>
        <v>show</v>
      </c>
    </row>
    <row r="9476" spans="1:6">
      <c r="A9476" t="s">
        <v>28143</v>
      </c>
      <c r="B9476" t="s">
        <v>28144</v>
      </c>
      <c r="C9476" t="s">
        <v>28145</v>
      </c>
      <c r="D9476" t="str">
        <f>HYPERLINK("https://github.com/Haptic-Apps/Slide/issues/2975","show")</f>
        <v>show</v>
      </c>
      <c r="E9476" t="str">
        <f>HYPERLINK("https://github.com/Haptic-Apps/Slide","show")</f>
        <v>show</v>
      </c>
      <c r="F9476" t="str">
        <f>HYPERLINK("https://github.com/Haptic-Apps/Slide/releases","show")</f>
        <v>show</v>
      </c>
    </row>
    <row r="9477" spans="1:6">
      <c r="A9477" t="s">
        <v>28146</v>
      </c>
      <c r="B9477" t="s">
        <v>14846</v>
      </c>
      <c r="C9477" t="s">
        <v>28147</v>
      </c>
      <c r="D9477" t="str">
        <f>HYPERLINK("https://github.com/SeniorDesignTm/SmartUniMain/issues/1","show")</f>
        <v>show</v>
      </c>
      <c r="E9477" t="str">
        <f>HYPERLINK("https://github.com/SeniorDesignTm/SmartUniMain","show")</f>
        <v>show</v>
      </c>
      <c r="F9477" t="str">
        <f>HYPERLINK("https://github.com/SeniorDesignTm/SmartUniMain/releases","show")</f>
        <v>show</v>
      </c>
    </row>
    <row r="9478" spans="1:6">
      <c r="A9478" t="s">
        <v>28148</v>
      </c>
      <c r="B9478" t="s">
        <v>28149</v>
      </c>
      <c r="C9478" t="s">
        <v>28150</v>
      </c>
      <c r="D9478" t="str">
        <f>HYPERLINK("https://github.com/commons-app/apps-android-commons/issues/2487","show")</f>
        <v>show</v>
      </c>
      <c r="E9478" t="str">
        <f>HYPERLINK("https://github.com/commons-app/apps-android-commons","show")</f>
        <v>show</v>
      </c>
      <c r="F9478" t="str">
        <f>HYPERLINK("https://github.com/commons-app/apps-android-commons/releases","show")</f>
        <v>show</v>
      </c>
    </row>
    <row r="9479" spans="1:6">
      <c r="A9479" t="s">
        <v>28151</v>
      </c>
      <c r="B9479" t="s">
        <v>28152</v>
      </c>
      <c r="C9479" t="s">
        <v>28153</v>
      </c>
      <c r="D9479" t="str">
        <f>HYPERLINK("https://github.com/fossasia/open-event-organizer-android/issues/1514","show")</f>
        <v>show</v>
      </c>
      <c r="E9479" t="str">
        <f>HYPERLINK("https://github.com/fossasia/open-event-organizer-android","show")</f>
        <v>show</v>
      </c>
      <c r="F9479" t="str">
        <f>HYPERLINK("https://github.com/fossasia/open-event-organizer-android/releases","show")</f>
        <v>show</v>
      </c>
    </row>
    <row r="9480" spans="1:6">
      <c r="A9480" t="s">
        <v>28154</v>
      </c>
      <c r="B9480" t="s">
        <v>28155</v>
      </c>
      <c r="C9480" t="s">
        <v>28156</v>
      </c>
      <c r="D9480" t="str">
        <f>HYPERLINK("https://github.com/DiscordTime/sticky-sessions-android/issues/154","show")</f>
        <v>show</v>
      </c>
      <c r="E9480" t="str">
        <f>HYPERLINK("https://github.com/DiscordTime/sticky-sessions-android","show")</f>
        <v>show</v>
      </c>
      <c r="F9480" t="str">
        <f>HYPERLINK("https://github.com/DiscordTime/sticky-sessions-android/releases","show")</f>
        <v>show</v>
      </c>
    </row>
    <row r="9481" spans="1:6">
      <c r="A9481" t="s">
        <v>28157</v>
      </c>
      <c r="B9481" t="s">
        <v>28158</v>
      </c>
      <c r="C9481" t="s">
        <v>28159</v>
      </c>
      <c r="D9481" t="str">
        <f>HYPERLINK("https://github.com/cgeo/cgeo/issues/7303","show")</f>
        <v>show</v>
      </c>
      <c r="E9481" t="str">
        <f>HYPERLINK("https://github.com/cgeo/cgeo","show")</f>
        <v>show</v>
      </c>
      <c r="F9481" t="str">
        <f>HYPERLINK("https://github.com/cgeo/cgeo/releases","show")</f>
        <v>show</v>
      </c>
    </row>
    <row r="9482" spans="1:6">
      <c r="A9482" t="s">
        <v>28160</v>
      </c>
      <c r="B9482" t="s">
        <v>28161</v>
      </c>
      <c r="C9482" t="s">
        <v>28162</v>
      </c>
      <c r="D9482" t="str">
        <f>HYPERLINK("https://github.com/mjaun/android-anuto/issues/158","show")</f>
        <v>show</v>
      </c>
      <c r="E9482" t="str">
        <f>HYPERLINK("https://github.com/mjaun/android-anuto","show")</f>
        <v>show</v>
      </c>
      <c r="F9482" t="str">
        <f>HYPERLINK("https://github.com/mjaun/android-anuto/releases","show")</f>
        <v>show</v>
      </c>
    </row>
    <row r="9483" spans="1:6">
      <c r="A9483" t="s">
        <v>28163</v>
      </c>
      <c r="B9483" t="s">
        <v>28164</v>
      </c>
      <c r="C9483" t="s">
        <v>28165</v>
      </c>
      <c r="D9483" t="str">
        <f>HYPERLINK("https://github.com/cgeo/cgeo/issues/7300","show")</f>
        <v>show</v>
      </c>
      <c r="E9483" t="str">
        <f>HYPERLINK("https://github.com/cgeo/cgeo","show")</f>
        <v>show</v>
      </c>
      <c r="F9483" t="str">
        <f>HYPERLINK("https://github.com/cgeo/cgeo/releases","show")</f>
        <v>show</v>
      </c>
    </row>
    <row r="9484" spans="1:6">
      <c r="A9484" t="s">
        <v>28166</v>
      </c>
      <c r="B9484" t="s">
        <v>28167</v>
      </c>
      <c r="C9484" t="s">
        <v>28168</v>
      </c>
      <c r="D9484" t="str">
        <f>HYPERLINK("https://github.com/react-native-camera/react-native-camera/issues/2111","show")</f>
        <v>show</v>
      </c>
      <c r="E9484" t="str">
        <f>HYPERLINK("https://github.com/react-native-camera/react-native-camera","show")</f>
        <v>show</v>
      </c>
      <c r="F9484" t="str">
        <f>HYPERLINK("https://github.com/react-native-camera/react-native-camera/releases","show")</f>
        <v>show</v>
      </c>
    </row>
    <row r="9485" spans="1:6">
      <c r="A9485" t="s">
        <v>28169</v>
      </c>
      <c r="B9485" t="s">
        <v>28170</v>
      </c>
      <c r="C9485" t="s">
        <v>28171</v>
      </c>
      <c r="D9485" t="str">
        <f>HYPERLINK("https://github.com/commons-app/apps-android-commons/issues/2476","show")</f>
        <v>show</v>
      </c>
      <c r="E9485" t="str">
        <f>HYPERLINK("https://github.com/commons-app/apps-android-commons","show")</f>
        <v>show</v>
      </c>
      <c r="F9485" t="str">
        <f>HYPERLINK("https://github.com/commons-app/apps-android-commons/releases","show")</f>
        <v>show</v>
      </c>
    </row>
    <row r="9486" spans="1:6">
      <c r="A9486" t="s">
        <v>28172</v>
      </c>
      <c r="B9486" t="s">
        <v>28173</v>
      </c>
      <c r="C9486" t="s">
        <v>28174</v>
      </c>
      <c r="D9486" t="str">
        <f>HYPERLINK("https://github.com/google/ExoPlayer/issues/5520","show")</f>
        <v>show</v>
      </c>
      <c r="E9486" t="str">
        <f>HYPERLINK("https://github.com/google/ExoPlayer","show")</f>
        <v>show</v>
      </c>
      <c r="F9486" t="str">
        <f>HYPERLINK("https://github.com/google/ExoPlayer/releases","show")</f>
        <v>show</v>
      </c>
    </row>
    <row r="9487" spans="1:6">
      <c r="A9487" t="s">
        <v>28175</v>
      </c>
      <c r="B9487" t="s">
        <v>28176</v>
      </c>
      <c r="C9487" t="s">
        <v>28177</v>
      </c>
      <c r="D9487" t="str">
        <f>HYPERLINK("https://github.com/marco97pa/punti-burraco/issues/16","show")</f>
        <v>show</v>
      </c>
      <c r="E9487" t="str">
        <f>HYPERLINK("https://github.com/marco97pa/punti-burraco","show")</f>
        <v>show</v>
      </c>
      <c r="F9487" t="str">
        <f>HYPERLINK("https://github.com/marco97pa/punti-burraco/releases","show")</f>
        <v>show</v>
      </c>
    </row>
    <row r="9488" spans="1:6">
      <c r="A9488" t="s">
        <v>28178</v>
      </c>
      <c r="B9488" t="s">
        <v>28179</v>
      </c>
      <c r="C9488" t="s">
        <v>28180</v>
      </c>
      <c r="D9488" t="str">
        <f>HYPERLINK("https://github.com/getodk/collect/issues/2880","show")</f>
        <v>show</v>
      </c>
      <c r="E9488" t="str">
        <f>HYPERLINK("https://github.com/getodk/collect","show")</f>
        <v>show</v>
      </c>
      <c r="F9488" t="str">
        <f>HYPERLINK("https://github.com/getodk/collect/releases","show")</f>
        <v>show</v>
      </c>
    </row>
    <row r="9489" spans="1:6">
      <c r="A9489" t="s">
        <v>28181</v>
      </c>
      <c r="B9489" t="s">
        <v>28182</v>
      </c>
      <c r="C9489" t="s">
        <v>28183</v>
      </c>
      <c r="D9489" t="str">
        <f>HYPERLINK("https://github.com/Freeyourgadget/Gadgetbridge/issues/1428","show")</f>
        <v>show</v>
      </c>
      <c r="E9489" t="str">
        <f>HYPERLINK("https://github.com/Freeyourgadget/Gadgetbridge","show")</f>
        <v>show</v>
      </c>
      <c r="F9489" t="str">
        <f>HYPERLINK("https://github.com/Freeyourgadget/Gadgetbridge/releases","show")</f>
        <v>show</v>
      </c>
    </row>
    <row r="9490" spans="1:6">
      <c r="A9490" t="s">
        <v>28184</v>
      </c>
      <c r="B9490" t="s">
        <v>28185</v>
      </c>
      <c r="C9490" t="s">
        <v>28186</v>
      </c>
      <c r="D9490" t="str">
        <f>HYPERLINK("https://github.com/Intelehealth/Android-Mobile-Client/issues/641","show")</f>
        <v>show</v>
      </c>
      <c r="E9490" t="str">
        <f>HYPERLINK("https://github.com/Intelehealth/Android-Mobile-Client","show")</f>
        <v>show</v>
      </c>
      <c r="F9490" t="str">
        <f>HYPERLINK("https://github.com/Intelehealth/Android-Mobile-Client/releases","show")</f>
        <v>show</v>
      </c>
    </row>
    <row r="9491" spans="1:6">
      <c r="A9491" t="s">
        <v>28187</v>
      </c>
      <c r="B9491" t="s">
        <v>28188</v>
      </c>
      <c r="C9491" t="s">
        <v>28189</v>
      </c>
      <c r="D9491" t="str">
        <f>HYPERLINK("https://github.com/Intelehealth/Android-Mobile-Client/issues/640","show")</f>
        <v>show</v>
      </c>
      <c r="E9491" t="str">
        <f>HYPERLINK("https://github.com/Intelehealth/Android-Mobile-Client","show")</f>
        <v>show</v>
      </c>
      <c r="F9491" t="str">
        <f>HYPERLINK("https://github.com/Intelehealth/Android-Mobile-Client/releases","show")</f>
        <v>show</v>
      </c>
    </row>
    <row r="9492" spans="1:6">
      <c r="A9492" t="s">
        <v>28190</v>
      </c>
      <c r="B9492" t="s">
        <v>28191</v>
      </c>
      <c r="C9492" t="s">
        <v>28192</v>
      </c>
      <c r="D9492" t="str">
        <f>HYPERLINK("https://github.com/Intelehealth/Android-Mobile-Client/issues/639","show")</f>
        <v>show</v>
      </c>
      <c r="E9492" t="str">
        <f>HYPERLINK("https://github.com/Intelehealth/Android-Mobile-Client","show")</f>
        <v>show</v>
      </c>
      <c r="F9492" t="str">
        <f>HYPERLINK("https://github.com/Intelehealth/Android-Mobile-Client/releases","show")</f>
        <v>show</v>
      </c>
    </row>
    <row r="9493" spans="1:6">
      <c r="A9493" t="s">
        <v>28193</v>
      </c>
      <c r="B9493" t="s">
        <v>28194</v>
      </c>
      <c r="C9493" t="s">
        <v>28195</v>
      </c>
      <c r="D9493" t="str">
        <f>HYPERLINK("https://github.com/nikita36078/J2ME-Loader/issues/458","show")</f>
        <v>show</v>
      </c>
      <c r="E9493" t="str">
        <f>HYPERLINK("https://github.com/nikita36078/J2ME-Loader","show")</f>
        <v>show</v>
      </c>
      <c r="F9493" t="str">
        <f>HYPERLINK("https://github.com/nikita36078/J2ME-Loader/releases","show")</f>
        <v>show</v>
      </c>
    </row>
    <row r="9494" spans="1:6">
      <c r="A9494" t="s">
        <v>28196</v>
      </c>
      <c r="B9494" t="s">
        <v>28197</v>
      </c>
      <c r="C9494" t="s">
        <v>28198</v>
      </c>
      <c r="D9494" t="str">
        <f>HYPERLINK("https://github.com/particle-iot/particle-android/issues/63","show")</f>
        <v>show</v>
      </c>
      <c r="E9494" t="str">
        <f>HYPERLINK("https://github.com/particle-iot/particle-android","show")</f>
        <v>show</v>
      </c>
      <c r="F9494" t="str">
        <f>HYPERLINK("https://github.com/particle-iot/particle-android/releases","show")</f>
        <v>show</v>
      </c>
    </row>
    <row r="9495" spans="1:6">
      <c r="A9495" t="s">
        <v>28199</v>
      </c>
      <c r="B9495" t="s">
        <v>28200</v>
      </c>
      <c r="C9495" t="s">
        <v>28201</v>
      </c>
      <c r="D9495" t="str">
        <f>HYPERLINK("https://github.com/react-native-video/react-native-video/issues/1482","show")</f>
        <v>show</v>
      </c>
      <c r="E9495" t="str">
        <f>HYPERLINK("https://github.com/react-native-video/react-native-video","show")</f>
        <v>show</v>
      </c>
      <c r="F9495" t="str">
        <f>HYPERLINK("https://github.com/react-native-video/react-native-video/releases","show")</f>
        <v>show</v>
      </c>
    </row>
    <row r="9496" spans="1:6">
      <c r="A9496" t="s">
        <v>28202</v>
      </c>
      <c r="B9496" t="s">
        <v>28203</v>
      </c>
      <c r="C9496" t="s">
        <v>28204</v>
      </c>
      <c r="D9496" t="str">
        <f>HYPERLINK("https://github.com/deltachat/deltachat-android/issues/720","show")</f>
        <v>show</v>
      </c>
      <c r="E9496" t="str">
        <f>HYPERLINK("https://github.com/deltachat/deltachat-android","show")</f>
        <v>show</v>
      </c>
      <c r="F9496" t="str">
        <f>HYPERLINK("https://github.com/deltachat/deltachat-android/releases","show")</f>
        <v>show</v>
      </c>
    </row>
    <row r="9497" spans="1:6">
      <c r="A9497" t="s">
        <v>28205</v>
      </c>
      <c r="B9497" t="s">
        <v>28206</v>
      </c>
      <c r="C9497" t="s">
        <v>28207</v>
      </c>
      <c r="D9497" t="str">
        <f>HYPERLINK("https://github.com/commons-app/apps-android-commons/issues/2449","show")</f>
        <v>show</v>
      </c>
      <c r="E9497" t="str">
        <f>HYPERLINK("https://github.com/commons-app/apps-android-commons","show")</f>
        <v>show</v>
      </c>
      <c r="F9497" t="str">
        <f>HYPERLINK("https://github.com/commons-app/apps-android-commons/releases","show")</f>
        <v>show</v>
      </c>
    </row>
    <row r="9498" spans="1:6">
      <c r="A9498" t="s">
        <v>28208</v>
      </c>
      <c r="B9498" t="s">
        <v>28209</v>
      </c>
      <c r="C9498" t="s">
        <v>28210</v>
      </c>
      <c r="D9498" t="str">
        <f>HYPERLINK("https://github.com/nikita36078/J2ME-Loader/issues/456","show")</f>
        <v>show</v>
      </c>
      <c r="E9498" t="str">
        <f>HYPERLINK("https://github.com/nikita36078/J2ME-Loader","show")</f>
        <v>show</v>
      </c>
      <c r="F9498" t="str">
        <f>HYPERLINK("https://github.com/nikita36078/J2ME-Loader/releases","show")</f>
        <v>show</v>
      </c>
    </row>
    <row r="9499" spans="1:6">
      <c r="A9499" t="s">
        <v>28211</v>
      </c>
      <c r="B9499" t="s">
        <v>28212</v>
      </c>
      <c r="C9499" t="s">
        <v>28213</v>
      </c>
      <c r="D9499" t="str">
        <f>HYPERLINK("https://github.com/AmazMod/AmazMod/issues/400","show")</f>
        <v>show</v>
      </c>
      <c r="E9499" t="str">
        <f>HYPERLINK("https://github.com/AmazMod/AmazMod","show")</f>
        <v>show</v>
      </c>
      <c r="F9499" t="str">
        <f>HYPERLINK("https://github.com/AmazMod/AmazMod/releases","show")</f>
        <v>show</v>
      </c>
    </row>
    <row r="9500" spans="1:6">
      <c r="A9500" t="s">
        <v>28214</v>
      </c>
      <c r="B9500" t="s">
        <v>28215</v>
      </c>
      <c r="C9500" t="s">
        <v>28216</v>
      </c>
      <c r="D9500" t="str">
        <f>HYPERLINK("https://github.com/Tencent/tinker/issues/1023","show")</f>
        <v>show</v>
      </c>
      <c r="E9500" t="str">
        <f>HYPERLINK("https://github.com/Tencent/tinker","show")</f>
        <v>show</v>
      </c>
      <c r="F9500" t="str">
        <f>HYPERLINK("https://github.com/Tencent/tinker/releases","show")</f>
        <v>show</v>
      </c>
    </row>
    <row r="9501" spans="1:6">
      <c r="A9501" t="s">
        <v>28217</v>
      </c>
      <c r="B9501" t="s">
        <v>28218</v>
      </c>
      <c r="C9501" t="s">
        <v>28219</v>
      </c>
      <c r="D9501" t="str">
        <f>HYPERLINK("https://github.com/ShawnLin013/NumberPicker/issues/135","show")</f>
        <v>show</v>
      </c>
      <c r="E9501" t="str">
        <f>HYPERLINK("https://github.com/ShawnLin013/NumberPicker","show")</f>
        <v>show</v>
      </c>
      <c r="F9501" t="str">
        <f>HYPERLINK("https://github.com/ShawnLin013/NumberPicker/releases","show")</f>
        <v>show</v>
      </c>
    </row>
    <row r="9502" spans="1:6">
      <c r="A9502" t="s">
        <v>28220</v>
      </c>
      <c r="B9502" t="s">
        <v>28221</v>
      </c>
      <c r="C9502" t="s">
        <v>28222</v>
      </c>
      <c r="D9502" t="str">
        <f>HYPERLINK("https://github.com/nextcloud/android-library/issues/247","show")</f>
        <v>show</v>
      </c>
      <c r="E9502" t="str">
        <f>HYPERLINK("https://github.com/nextcloud/android-library","show")</f>
        <v>show</v>
      </c>
      <c r="F9502" t="str">
        <f>HYPERLINK("https://github.com/nextcloud/android-library/releases","show")</f>
        <v>show</v>
      </c>
    </row>
    <row r="9503" spans="1:6">
      <c r="A9503" t="s">
        <v>28223</v>
      </c>
      <c r="B9503" t="s">
        <v>28224</v>
      </c>
      <c r="C9503" t="s">
        <v>28225</v>
      </c>
      <c r="D9503" t="str">
        <f>HYPERLINK("https://github.com/google/blockly-android/issues/772","show")</f>
        <v>show</v>
      </c>
      <c r="E9503" t="str">
        <f>HYPERLINK("https://github.com/google/blockly-android","show")</f>
        <v>show</v>
      </c>
      <c r="F9503" t="str">
        <f>HYPERLINK("https://github.com/google/blockly-android/releases","show")</f>
        <v>show</v>
      </c>
    </row>
    <row r="9504" spans="1:6">
      <c r="A9504" t="s">
        <v>28226</v>
      </c>
      <c r="B9504" t="s">
        <v>28227</v>
      </c>
      <c r="C9504" t="s">
        <v>28228</v>
      </c>
      <c r="D9504" t="str">
        <f>HYPERLINK("https://github.com/commons-app/apps-android-commons/issues/2439","show")</f>
        <v>show</v>
      </c>
      <c r="E9504" t="str">
        <f>HYPERLINK("https://github.com/commons-app/apps-android-commons","show")</f>
        <v>show</v>
      </c>
      <c r="F9504" t="str">
        <f>HYPERLINK("https://github.com/commons-app/apps-android-commons/releases","show")</f>
        <v>show</v>
      </c>
    </row>
    <row r="9505" spans="1:6">
      <c r="A9505" t="s">
        <v>28229</v>
      </c>
      <c r="B9505" t="s">
        <v>28230</v>
      </c>
      <c r="C9505" t="s">
        <v>28231</v>
      </c>
      <c r="D9505" t="str">
        <f>HYPERLINK("https://github.com/mauron85/cordova-plugin-background-geolocation/issues/552","show")</f>
        <v>show</v>
      </c>
      <c r="E9505" t="str">
        <f>HYPERLINK("https://github.com/mauron85/cordova-plugin-background-geolocation","show")</f>
        <v>show</v>
      </c>
      <c r="F9505" t="str">
        <f>HYPERLINK("https://github.com/mauron85/cordova-plugin-background-geolocation/releases","show")</f>
        <v>show</v>
      </c>
    </row>
    <row r="9506" spans="1:6">
      <c r="A9506" t="s">
        <v>28232</v>
      </c>
      <c r="B9506" t="s">
        <v>28233</v>
      </c>
      <c r="C9506" t="s">
        <v>28234</v>
      </c>
      <c r="D9506" t="str">
        <f>HYPERLINK("https://github.com/alexstojda/soen390/issues/36","show")</f>
        <v>show</v>
      </c>
      <c r="E9506" t="str">
        <f>HYPERLINK("https://github.com/alexstojda/soen390","show")</f>
        <v>show</v>
      </c>
      <c r="F9506" t="str">
        <f>HYPERLINK("https://github.com/alexstojda/soen390/releases","show")</f>
        <v>show</v>
      </c>
    </row>
    <row r="9507" spans="1:6">
      <c r="A9507" t="s">
        <v>28235</v>
      </c>
      <c r="B9507" t="s">
        <v>28236</v>
      </c>
      <c r="C9507" t="s">
        <v>28237</v>
      </c>
      <c r="D9507" t="str">
        <f>HYPERLINK("https://github.com/fossasia/phimpme-android/issues/2523","show")</f>
        <v>show</v>
      </c>
      <c r="E9507" t="str">
        <f>HYPERLINK("https://github.com/fossasia/phimpme-android","show")</f>
        <v>show</v>
      </c>
      <c r="F9507" t="str">
        <f>HYPERLINK("https://github.com/fossasia/phimpme-android/releases","show")</f>
        <v>show</v>
      </c>
    </row>
    <row r="9508" spans="1:6">
      <c r="A9508" t="s">
        <v>28238</v>
      </c>
      <c r="B9508" t="s">
        <v>28239</v>
      </c>
      <c r="C9508" t="s">
        <v>28240</v>
      </c>
      <c r="D9508" t="str">
        <f>HYPERLINK("https://github.com/square/retrofit/issues/3023","show")</f>
        <v>show</v>
      </c>
      <c r="E9508" t="str">
        <f>HYPERLINK("https://github.com/square/retrofit","show")</f>
        <v>show</v>
      </c>
      <c r="F9508" t="str">
        <f>HYPERLINK("https://github.com/square/retrofit/releases","show")</f>
        <v>show</v>
      </c>
    </row>
    <row r="9509" spans="1:6">
      <c r="A9509" t="s">
        <v>28241</v>
      </c>
      <c r="B9509" t="s">
        <v>28242</v>
      </c>
      <c r="C9509" t="s">
        <v>28243</v>
      </c>
      <c r="D9509" t="str">
        <f>HYPERLINK("https://github.com/AmazMod/AmazMod/issues/392","show")</f>
        <v>show</v>
      </c>
      <c r="E9509" t="str">
        <f>HYPERLINK("https://github.com/AmazMod/AmazMod","show")</f>
        <v>show</v>
      </c>
      <c r="F9509" t="str">
        <f>HYPERLINK("https://github.com/AmazMod/AmazMod/releases","show")</f>
        <v>show</v>
      </c>
    </row>
    <row r="9510" spans="1:6">
      <c r="A9510" t="s">
        <v>28244</v>
      </c>
      <c r="B9510" t="s">
        <v>28245</v>
      </c>
      <c r="C9510" t="s">
        <v>28246</v>
      </c>
      <c r="D9510" t="str">
        <f>HYPERLINK("https://github.com/mauron85/cordova-plugin-background-geolocation/issues/551","show")</f>
        <v>show</v>
      </c>
      <c r="E9510" t="str">
        <f>HYPERLINK("https://github.com/mauron85/cordova-plugin-background-geolocation","show")</f>
        <v>show</v>
      </c>
      <c r="F9510" t="str">
        <f>HYPERLINK("https://github.com/mauron85/cordova-plugin-background-geolocation/releases","show")</f>
        <v>show</v>
      </c>
    </row>
    <row r="9511" spans="1:6">
      <c r="A9511" t="s">
        <v>28247</v>
      </c>
      <c r="B9511" t="s">
        <v>28248</v>
      </c>
      <c r="C9511" t="s">
        <v>28249</v>
      </c>
      <c r="D9511" t="str">
        <f>HYPERLINK("https://github.com/iBotPeaches/Apktool/issues/2008","show")</f>
        <v>show</v>
      </c>
      <c r="E9511" t="str">
        <f>HYPERLINK("https://github.com/iBotPeaches/Apktool","show")</f>
        <v>show</v>
      </c>
      <c r="F9511" t="str">
        <f>HYPERLINK("https://github.com/iBotPeaches/Apktool/releases","show")</f>
        <v>show</v>
      </c>
    </row>
    <row r="9512" spans="1:6">
      <c r="A9512" t="s">
        <v>28250</v>
      </c>
      <c r="B9512" t="s">
        <v>28251</v>
      </c>
      <c r="C9512" t="s">
        <v>28252</v>
      </c>
      <c r="D9512" t="str">
        <f>HYPERLINK("https://github.com/SecUSo/privacy-friendly-wifi-manager/issues/18","show")</f>
        <v>show</v>
      </c>
      <c r="E9512" t="str">
        <f>HYPERLINK("https://github.com/SecUSo/privacy-friendly-wifi-manager","show")</f>
        <v>show</v>
      </c>
      <c r="F9512" t="str">
        <f>HYPERLINK("https://github.com/SecUSo/privacy-friendly-wifi-manager/releases","show")</f>
        <v>show</v>
      </c>
    </row>
    <row r="9513" spans="1:6">
      <c r="A9513" t="s">
        <v>28253</v>
      </c>
      <c r="B9513" t="s">
        <v>28254</v>
      </c>
      <c r="C9513" t="s">
        <v>28255</v>
      </c>
      <c r="D9513" t="str">
        <f>HYPERLINK("https://github.com/awslabs/aws-mobile-appsync-sdk-android/issues/114","show")</f>
        <v>show</v>
      </c>
      <c r="E9513" t="str">
        <f>HYPERLINK("https://github.com/awslabs/aws-mobile-appsync-sdk-android","show")</f>
        <v>show</v>
      </c>
      <c r="F9513" t="str">
        <f>HYPERLINK("https://github.com/awslabs/aws-mobile-appsync-sdk-android/releases","show")</f>
        <v>show</v>
      </c>
    </row>
    <row r="9514" spans="1:6">
      <c r="A9514" t="s">
        <v>28256</v>
      </c>
      <c r="B9514" t="s">
        <v>28257</v>
      </c>
      <c r="C9514" t="s">
        <v>28258</v>
      </c>
      <c r="D9514" t="str">
        <f>HYPERLINK("https://github.com/Intelehealth/Android-Mobile-Client/issues/635","show")</f>
        <v>show</v>
      </c>
      <c r="E9514" t="str">
        <f t="shared" ref="E9514:E9524" si="42">HYPERLINK("https://github.com/Intelehealth/Android-Mobile-Client","show")</f>
        <v>show</v>
      </c>
      <c r="F9514" t="str">
        <f t="shared" ref="F9514:F9524" si="43">HYPERLINK("https://github.com/Intelehealth/Android-Mobile-Client/releases","show")</f>
        <v>show</v>
      </c>
    </row>
    <row r="9515" spans="1:6">
      <c r="A9515" t="s">
        <v>28259</v>
      </c>
      <c r="B9515" t="s">
        <v>28260</v>
      </c>
      <c r="C9515" t="s">
        <v>28261</v>
      </c>
      <c r="D9515" t="str">
        <f>HYPERLINK("https://github.com/Intelehealth/Android-Mobile-Client/issues/634","show")</f>
        <v>show</v>
      </c>
      <c r="E9515" t="str">
        <f t="shared" si="42"/>
        <v>show</v>
      </c>
      <c r="F9515" t="str">
        <f t="shared" si="43"/>
        <v>show</v>
      </c>
    </row>
    <row r="9516" spans="1:6">
      <c r="A9516" t="s">
        <v>28262</v>
      </c>
      <c r="B9516" t="s">
        <v>28263</v>
      </c>
      <c r="C9516" t="s">
        <v>28264</v>
      </c>
      <c r="D9516" t="str">
        <f>HYPERLINK("https://github.com/Intelehealth/Android-Mobile-Client/issues/633","show")</f>
        <v>show</v>
      </c>
      <c r="E9516" t="str">
        <f t="shared" si="42"/>
        <v>show</v>
      </c>
      <c r="F9516" t="str">
        <f t="shared" si="43"/>
        <v>show</v>
      </c>
    </row>
    <row r="9517" spans="1:6">
      <c r="A9517" t="s">
        <v>28265</v>
      </c>
      <c r="B9517" t="s">
        <v>28266</v>
      </c>
      <c r="C9517" t="s">
        <v>28267</v>
      </c>
      <c r="D9517" t="str">
        <f>HYPERLINK("https://github.com/Intelehealth/Android-Mobile-Client/issues/632","show")</f>
        <v>show</v>
      </c>
      <c r="E9517" t="str">
        <f t="shared" si="42"/>
        <v>show</v>
      </c>
      <c r="F9517" t="str">
        <f t="shared" si="43"/>
        <v>show</v>
      </c>
    </row>
    <row r="9518" spans="1:6">
      <c r="A9518" t="s">
        <v>28268</v>
      </c>
      <c r="B9518" t="s">
        <v>28269</v>
      </c>
      <c r="C9518" t="s">
        <v>28270</v>
      </c>
      <c r="D9518" t="str">
        <f>HYPERLINK("https://github.com/Intelehealth/Android-Mobile-Client/issues/631","show")</f>
        <v>show</v>
      </c>
      <c r="E9518" t="str">
        <f t="shared" si="42"/>
        <v>show</v>
      </c>
      <c r="F9518" t="str">
        <f t="shared" si="43"/>
        <v>show</v>
      </c>
    </row>
    <row r="9519" spans="1:6">
      <c r="A9519" t="s">
        <v>28271</v>
      </c>
      <c r="B9519" t="s">
        <v>28272</v>
      </c>
      <c r="C9519" t="s">
        <v>28273</v>
      </c>
      <c r="D9519" t="str">
        <f>HYPERLINK("https://github.com/Intelehealth/Android-Mobile-Client/issues/630","show")</f>
        <v>show</v>
      </c>
      <c r="E9519" t="str">
        <f t="shared" si="42"/>
        <v>show</v>
      </c>
      <c r="F9519" t="str">
        <f t="shared" si="43"/>
        <v>show</v>
      </c>
    </row>
    <row r="9520" spans="1:6">
      <c r="A9520" t="s">
        <v>28274</v>
      </c>
      <c r="B9520" t="s">
        <v>28275</v>
      </c>
      <c r="C9520" t="s">
        <v>28276</v>
      </c>
      <c r="D9520" t="str">
        <f>HYPERLINK("https://github.com/Intelehealth/Android-Mobile-Client/issues/629","show")</f>
        <v>show</v>
      </c>
      <c r="E9520" t="str">
        <f t="shared" si="42"/>
        <v>show</v>
      </c>
      <c r="F9520" t="str">
        <f t="shared" si="43"/>
        <v>show</v>
      </c>
    </row>
    <row r="9521" spans="1:6">
      <c r="A9521" t="s">
        <v>28277</v>
      </c>
      <c r="B9521" t="s">
        <v>28278</v>
      </c>
      <c r="C9521" t="s">
        <v>28279</v>
      </c>
      <c r="D9521" t="str">
        <f>HYPERLINK("https://github.com/Intelehealth/Android-Mobile-Client/issues/628","show")</f>
        <v>show</v>
      </c>
      <c r="E9521" t="str">
        <f t="shared" si="42"/>
        <v>show</v>
      </c>
      <c r="F9521" t="str">
        <f t="shared" si="43"/>
        <v>show</v>
      </c>
    </row>
    <row r="9522" spans="1:6">
      <c r="A9522" t="s">
        <v>28280</v>
      </c>
      <c r="B9522" t="s">
        <v>28281</v>
      </c>
      <c r="C9522" t="s">
        <v>28282</v>
      </c>
      <c r="D9522" t="str">
        <f>HYPERLINK("https://github.com/Intelehealth/Android-Mobile-Client/issues/627","show")</f>
        <v>show</v>
      </c>
      <c r="E9522" t="str">
        <f t="shared" si="42"/>
        <v>show</v>
      </c>
      <c r="F9522" t="str">
        <f t="shared" si="43"/>
        <v>show</v>
      </c>
    </row>
    <row r="9523" spans="1:6">
      <c r="A9523" t="s">
        <v>28283</v>
      </c>
      <c r="B9523" t="s">
        <v>28284</v>
      </c>
      <c r="C9523" t="s">
        <v>28285</v>
      </c>
      <c r="D9523" t="str">
        <f>HYPERLINK("https://github.com/Intelehealth/Android-Mobile-Client/issues/626","show")</f>
        <v>show</v>
      </c>
      <c r="E9523" t="str">
        <f t="shared" si="42"/>
        <v>show</v>
      </c>
      <c r="F9523" t="str">
        <f t="shared" si="43"/>
        <v>show</v>
      </c>
    </row>
    <row r="9524" spans="1:6">
      <c r="A9524" t="s">
        <v>28286</v>
      </c>
      <c r="B9524" t="s">
        <v>28287</v>
      </c>
      <c r="C9524" t="s">
        <v>28288</v>
      </c>
      <c r="D9524" t="str">
        <f>HYPERLINK("https://github.com/Intelehealth/Android-Mobile-Client/issues/625","show")</f>
        <v>show</v>
      </c>
      <c r="E9524" t="str">
        <f t="shared" si="42"/>
        <v>show</v>
      </c>
      <c r="F9524" t="str">
        <f t="shared" si="43"/>
        <v>show</v>
      </c>
    </row>
    <row r="9525" spans="1:6">
      <c r="A9525" t="s">
        <v>28289</v>
      </c>
      <c r="B9525" t="s">
        <v>28290</v>
      </c>
      <c r="C9525" t="s">
        <v>28291</v>
      </c>
      <c r="D9525" t="str">
        <f>HYPERLINK("https://github.com/matomo-org/matomo-sdk-android/issues/249","show")</f>
        <v>show</v>
      </c>
      <c r="E9525" t="str">
        <f>HYPERLINK("https://github.com/matomo-org/matomo-sdk-android","show")</f>
        <v>show</v>
      </c>
      <c r="F9525" t="str">
        <f>HYPERLINK("https://github.com/matomo-org/matomo-sdk-android/releases","show")</f>
        <v>show</v>
      </c>
    </row>
    <row r="9526" spans="1:6">
      <c r="A9526" t="s">
        <v>28292</v>
      </c>
      <c r="B9526" t="s">
        <v>28293</v>
      </c>
      <c r="C9526" t="s">
        <v>28294</v>
      </c>
      <c r="D9526" t="str">
        <f>HYPERLINK("https://github.com/ThexXTURBOXx/studip-app-uni-passau/issues/15","show")</f>
        <v>show</v>
      </c>
      <c r="E9526" t="str">
        <f>HYPERLINK("https://github.com/ThexXTURBOXx/studip-app-uni-passau","show")</f>
        <v>show</v>
      </c>
      <c r="F9526" t="str">
        <f>HYPERLINK("https://github.com/ThexXTURBOXx/studip-app-uni-passau/releases","show")</f>
        <v>show</v>
      </c>
    </row>
    <row r="9527" spans="1:6">
      <c r="A9527" t="s">
        <v>28295</v>
      </c>
      <c r="B9527" t="s">
        <v>28296</v>
      </c>
      <c r="C9527" t="s">
        <v>28297</v>
      </c>
      <c r="D9527" t="str">
        <f>HYPERLINK("https://github.com/google/ExoPlayer/issues/5476","show")</f>
        <v>show</v>
      </c>
      <c r="E9527" t="str">
        <f>HYPERLINK("https://github.com/google/ExoPlayer","show")</f>
        <v>show</v>
      </c>
      <c r="F9527" t="str">
        <f>HYPERLINK("https://github.com/google/ExoPlayer/releases","show")</f>
        <v>show</v>
      </c>
    </row>
    <row r="9528" spans="1:6">
      <c r="A9528" t="s">
        <v>28298</v>
      </c>
      <c r="B9528" t="s">
        <v>28299</v>
      </c>
      <c r="C9528" t="s">
        <v>28300</v>
      </c>
      <c r="D9528" t="str">
        <f>HYPERLINK("https://github.com/getodk/collect/issues/2850","show")</f>
        <v>show</v>
      </c>
      <c r="E9528" t="str">
        <f>HYPERLINK("https://github.com/getodk/collect","show")</f>
        <v>show</v>
      </c>
      <c r="F9528" t="str">
        <f>HYPERLINK("https://github.com/getodk/collect/releases","show")</f>
        <v>show</v>
      </c>
    </row>
    <row r="9529" spans="1:6">
      <c r="A9529" t="s">
        <v>28301</v>
      </c>
      <c r="B9529" t="s">
        <v>28302</v>
      </c>
      <c r="C9529" t="s">
        <v>28303</v>
      </c>
      <c r="D9529" t="str">
        <f>HYPERLINK("https://github.com/square/okhttp/issues/4592","show")</f>
        <v>show</v>
      </c>
      <c r="E9529" t="str">
        <f>HYPERLINK("https://github.com/square/okhttp","show")</f>
        <v>show</v>
      </c>
      <c r="F9529" t="str">
        <f>HYPERLINK("https://github.com/square/okhttp/releases","show")</f>
        <v>show</v>
      </c>
    </row>
    <row r="9530" spans="1:6">
      <c r="A9530" t="s">
        <v>28304</v>
      </c>
      <c r="B9530" t="s">
        <v>28305</v>
      </c>
      <c r="C9530" t="s">
        <v>28306</v>
      </c>
      <c r="D9530" t="str">
        <f>HYPERLINK("https://github.com/KnightHacks/KnightHacks_androiddev/issues/26","show")</f>
        <v>show</v>
      </c>
      <c r="E9530" t="str">
        <f>HYPERLINK("https://github.com/KnightHacks/KnightHacks_androiddev","show")</f>
        <v>show</v>
      </c>
      <c r="F9530" t="str">
        <f>HYPERLINK("https://github.com/KnightHacks/KnightHacks_androiddev/releases","show")</f>
        <v>show</v>
      </c>
    </row>
    <row r="9531" spans="1:6">
      <c r="A9531" t="s">
        <v>28307</v>
      </c>
      <c r="B9531" t="s">
        <v>28308</v>
      </c>
      <c r="C9531" t="s">
        <v>28309</v>
      </c>
      <c r="D9531" t="str">
        <f>HYPERLINK("https://github.com/getodk/collect/issues/2847","show")</f>
        <v>show</v>
      </c>
      <c r="E9531" t="str">
        <f>HYPERLINK("https://github.com/getodk/collect","show")</f>
        <v>show</v>
      </c>
      <c r="F9531" t="str">
        <f>HYPERLINK("https://github.com/getodk/collect/releases","show")</f>
        <v>show</v>
      </c>
    </row>
    <row r="9532" spans="1:6">
      <c r="A9532" t="s">
        <v>28310</v>
      </c>
      <c r="B9532" t="s">
        <v>28311</v>
      </c>
      <c r="C9532" t="s">
        <v>28312</v>
      </c>
      <c r="D9532" t="str">
        <f>HYPERLINK("https://github.com/nextcloud/android/issues/3565","show")</f>
        <v>show</v>
      </c>
      <c r="E9532" t="str">
        <f>HYPERLINK("https://github.com/nextcloud/android","show")</f>
        <v>show</v>
      </c>
      <c r="F9532" t="str">
        <f>HYPERLINK("https://github.com/nextcloud/android/releases","show")</f>
        <v>show</v>
      </c>
    </row>
    <row r="9533" spans="1:6">
      <c r="A9533" t="s">
        <v>28313</v>
      </c>
      <c r="B9533" t="s">
        <v>28314</v>
      </c>
      <c r="C9533" t="s">
        <v>28315</v>
      </c>
      <c r="D9533" t="str">
        <f>HYPERLINK("https://github.com/nextcloud/android/issues/3559","show")</f>
        <v>show</v>
      </c>
      <c r="E9533" t="str">
        <f>HYPERLINK("https://github.com/nextcloud/android","show")</f>
        <v>show</v>
      </c>
      <c r="F9533" t="str">
        <f>HYPERLINK("https://github.com/nextcloud/android/releases","show")</f>
        <v>show</v>
      </c>
    </row>
    <row r="9534" spans="1:6">
      <c r="A9534" t="s">
        <v>28316</v>
      </c>
      <c r="B9534" t="s">
        <v>28317</v>
      </c>
      <c r="C9534" t="s">
        <v>28318</v>
      </c>
      <c r="D9534" t="str">
        <f>HYPERLINK("https://github.com/k9mail/k-9/issues/3900","show")</f>
        <v>show</v>
      </c>
      <c r="E9534" t="str">
        <f>HYPERLINK("https://github.com/k9mail/k-9","show")</f>
        <v>show</v>
      </c>
      <c r="F9534" t="str">
        <f>HYPERLINK("https://github.com/k9mail/k-9/releases","show")</f>
        <v>show</v>
      </c>
    </row>
    <row r="9535" spans="1:6">
      <c r="A9535" t="s">
        <v>28319</v>
      </c>
      <c r="B9535" t="s">
        <v>28320</v>
      </c>
      <c r="C9535" t="s">
        <v>28321</v>
      </c>
      <c r="D9535" t="str">
        <f>HYPERLINK("https://github.com/popcorn-official/popcorn-android/issues/490","show")</f>
        <v>show</v>
      </c>
      <c r="E9535" t="str">
        <f>HYPERLINK("https://github.com/popcorn-official/popcorn-android","show")</f>
        <v>show</v>
      </c>
      <c r="F9535" t="str">
        <f>HYPERLINK("https://github.com/popcorn-official/popcorn-android/releases","show")</f>
        <v>show</v>
      </c>
    </row>
    <row r="9536" spans="1:6">
      <c r="A9536" t="s">
        <v>28322</v>
      </c>
      <c r="B9536" t="s">
        <v>28323</v>
      </c>
      <c r="C9536" t="s">
        <v>28324</v>
      </c>
      <c r="D9536" t="str">
        <f>HYPERLINK("https://github.com/nextcloud/android/issues/3557","show")</f>
        <v>show</v>
      </c>
      <c r="E9536" t="str">
        <f>HYPERLINK("https://github.com/nextcloud/android","show")</f>
        <v>show</v>
      </c>
      <c r="F9536" t="str">
        <f>HYPERLINK("https://github.com/nextcloud/android/releases","show")</f>
        <v>show</v>
      </c>
    </row>
    <row r="9537" spans="1:6">
      <c r="A9537" t="s">
        <v>28325</v>
      </c>
      <c r="B9537" t="s">
        <v>28326</v>
      </c>
      <c r="C9537" t="s">
        <v>28327</v>
      </c>
      <c r="D9537" t="str">
        <f>HYPERLINK("https://github.com/deltachat/deltachat-android/issues/698","show")</f>
        <v>show</v>
      </c>
      <c r="E9537" t="str">
        <f>HYPERLINK("https://github.com/deltachat/deltachat-android","show")</f>
        <v>show</v>
      </c>
      <c r="F9537" t="str">
        <f>HYPERLINK("https://github.com/deltachat/deltachat-android/releases","show")</f>
        <v>show</v>
      </c>
    </row>
    <row r="9538" spans="1:6">
      <c r="A9538" t="s">
        <v>28328</v>
      </c>
      <c r="B9538" t="s">
        <v>28329</v>
      </c>
      <c r="C9538" t="s">
        <v>28330</v>
      </c>
      <c r="D9538" t="str">
        <f>HYPERLINK("https://github.com/nextcloud/android/issues/3552","show")</f>
        <v>show</v>
      </c>
      <c r="E9538" t="str">
        <f>HYPERLINK("https://github.com/nextcloud/android","show")</f>
        <v>show</v>
      </c>
      <c r="F9538" t="str">
        <f>HYPERLINK("https://github.com/nextcloud/android/releases","show")</f>
        <v>show</v>
      </c>
    </row>
    <row r="9539" spans="1:6">
      <c r="A9539" t="s">
        <v>28331</v>
      </c>
      <c r="B9539" t="s">
        <v>28332</v>
      </c>
      <c r="C9539" t="s">
        <v>28333</v>
      </c>
      <c r="D9539" t="str">
        <f>HYPERLINK("https://github.com/MCMrARM/revolution-irc/issues/189","show")</f>
        <v>show</v>
      </c>
      <c r="E9539" t="str">
        <f>HYPERLINK("https://github.com/MCMrARM/revolution-irc","show")</f>
        <v>show</v>
      </c>
      <c r="F9539" t="str">
        <f>HYPERLINK("https://github.com/MCMrARM/revolution-irc/releases","show")</f>
        <v>show</v>
      </c>
    </row>
    <row r="9540" spans="1:6">
      <c r="A9540" t="s">
        <v>28334</v>
      </c>
      <c r="B9540" t="s">
        <v>28335</v>
      </c>
      <c r="C9540" t="s">
        <v>28336</v>
      </c>
      <c r="D9540" t="str">
        <f>HYPERLINK("https://github.com/wordpress-mobile/WordPress-Login-Flow-Android/issues/7","show")</f>
        <v>show</v>
      </c>
      <c r="E9540" t="str">
        <f>HYPERLINK("https://github.com/wordpress-mobile/WordPress-Login-Flow-Android","show")</f>
        <v>show</v>
      </c>
      <c r="F9540" t="str">
        <f>HYPERLINK("https://github.com/wordpress-mobile/WordPress-Login-Flow-Android/releases","show")</f>
        <v>show</v>
      </c>
    </row>
    <row r="9541" spans="1:6">
      <c r="A9541" t="s">
        <v>28337</v>
      </c>
      <c r="B9541" t="s">
        <v>28338</v>
      </c>
      <c r="C9541" t="s">
        <v>28339</v>
      </c>
      <c r="D9541" t="str">
        <f>HYPERLINK("https://github.com/MegatronKing/NetBare/issues/8","show")</f>
        <v>show</v>
      </c>
      <c r="E9541" t="str">
        <f>HYPERLINK("https://github.com/MegatronKing/NetBare","show")</f>
        <v>show</v>
      </c>
      <c r="F9541" t="str">
        <f>HYPERLINK("https://github.com/MegatronKing/NetBare/releases","show")</f>
        <v>show</v>
      </c>
    </row>
    <row r="9542" spans="1:6">
      <c r="A9542" t="s">
        <v>28340</v>
      </c>
      <c r="B9542" t="s">
        <v>28341</v>
      </c>
      <c r="C9542" t="s">
        <v>28342</v>
      </c>
      <c r="D9542" t="str">
        <f>HYPERLINK("https://github.com/Catfriend1/syncthing-android/issues/295","show")</f>
        <v>show</v>
      </c>
      <c r="E9542" t="str">
        <f>HYPERLINK("https://github.com/Catfriend1/syncthing-android","show")</f>
        <v>show</v>
      </c>
      <c r="F9542" t="str">
        <f>HYPERLINK("https://github.com/Catfriend1/syncthing-android/releases","show")</f>
        <v>show</v>
      </c>
    </row>
    <row r="9543" spans="1:6">
      <c r="A9543" t="s">
        <v>28343</v>
      </c>
      <c r="B9543" t="s">
        <v>28344</v>
      </c>
      <c r="C9543" t="s">
        <v>28345</v>
      </c>
      <c r="D9543" t="str">
        <f>HYPERLINK("https://github.com/forrestguice/SuntimesWidget/issues/297","show")</f>
        <v>show</v>
      </c>
      <c r="E9543" t="str">
        <f>HYPERLINK("https://github.com/forrestguice/SuntimesWidget","show")</f>
        <v>show</v>
      </c>
      <c r="F9543" t="str">
        <f>HYPERLINK("https://github.com/forrestguice/SuntimesWidget/releases","show")</f>
        <v>show</v>
      </c>
    </row>
    <row r="9544" spans="1:6">
      <c r="A9544" t="s">
        <v>28346</v>
      </c>
      <c r="B9544" t="s">
        <v>28347</v>
      </c>
      <c r="C9544" t="s">
        <v>28348</v>
      </c>
      <c r="D9544" t="str">
        <f>HYPERLINK("https://github.com/tyirenkyi/NewsApp/issues/1","show")</f>
        <v>show</v>
      </c>
      <c r="E9544" t="str">
        <f>HYPERLINK("https://github.com/tyirenkyi/NewsApp","show")</f>
        <v>show</v>
      </c>
      <c r="F9544" t="str">
        <f>HYPERLINK("https://github.com/tyirenkyi/NewsApp/releases","show")</f>
        <v>show</v>
      </c>
    </row>
    <row r="9545" spans="1:6">
      <c r="A9545" t="s">
        <v>28349</v>
      </c>
      <c r="B9545" t="s">
        <v>28350</v>
      </c>
      <c r="C9545" t="s">
        <v>28351</v>
      </c>
      <c r="D9545" t="str">
        <f>HYPERLINK("https://github.com/niranjan-nagaraju/notification-center/issues/1","show")</f>
        <v>show</v>
      </c>
      <c r="E9545" t="str">
        <f>HYPERLINK("https://github.com/niranjan-nagaraju/notification-center","show")</f>
        <v>show</v>
      </c>
      <c r="F9545" t="str">
        <f>HYPERLINK("https://github.com/niranjan-nagaraju/notification-center/releases","show")</f>
        <v>show</v>
      </c>
    </row>
    <row r="9546" spans="1:6">
      <c r="A9546" t="s">
        <v>28352</v>
      </c>
      <c r="B9546" t="s">
        <v>28353</v>
      </c>
      <c r="C9546" t="s">
        <v>28354</v>
      </c>
      <c r="D9546" t="str">
        <f>HYPERLINK("https://github.com/libgdx/gdx-pay/issues/189","show")</f>
        <v>show</v>
      </c>
      <c r="E9546" t="str">
        <f>HYPERLINK("https://github.com/libgdx/gdx-pay","show")</f>
        <v>show</v>
      </c>
      <c r="F9546" t="str">
        <f>HYPERLINK("https://github.com/libgdx/gdx-pay/releases","show")</f>
        <v>show</v>
      </c>
    </row>
    <row r="9547" spans="1:6">
      <c r="A9547" t="s">
        <v>28355</v>
      </c>
      <c r="B9547" t="s">
        <v>28356</v>
      </c>
      <c r="C9547" t="s">
        <v>28357</v>
      </c>
      <c r="D9547" t="str">
        <f>HYPERLINK("https://github.com/MegatronKing/NetBare/issues/4","show")</f>
        <v>show</v>
      </c>
      <c r="E9547" t="str">
        <f>HYPERLINK("https://github.com/MegatronKing/NetBare","show")</f>
        <v>show</v>
      </c>
      <c r="F9547" t="str">
        <f>HYPERLINK("https://github.com/MegatronKing/NetBare/releases","show")</f>
        <v>show</v>
      </c>
    </row>
    <row r="9548" spans="1:6">
      <c r="A9548" t="s">
        <v>28358</v>
      </c>
      <c r="B9548" t="s">
        <v>28359</v>
      </c>
      <c r="C9548" t="s">
        <v>28360</v>
      </c>
      <c r="D9548" t="str">
        <f>HYPERLINK("https://github.com/zeroc-ice/ice-demos/issues/37","show")</f>
        <v>show</v>
      </c>
      <c r="E9548" t="str">
        <f>HYPERLINK("https://github.com/zeroc-ice/ice-demos","show")</f>
        <v>show</v>
      </c>
      <c r="F9548" t="str">
        <f>HYPERLINK("https://github.com/zeroc-ice/ice-demos/releases","show")</f>
        <v>show</v>
      </c>
    </row>
    <row r="9549" spans="1:6">
      <c r="A9549" t="s">
        <v>28361</v>
      </c>
      <c r="B9549" t="s">
        <v>28362</v>
      </c>
      <c r="C9549" t="s">
        <v>28363</v>
      </c>
      <c r="D9549" t="str">
        <f>HYPERLINK("https://github.com/tobexyz/yaacc-code/issues/27","show")</f>
        <v>show</v>
      </c>
      <c r="E9549" t="str">
        <f>HYPERLINK("https://github.com/tobexyz/yaacc-code","show")</f>
        <v>show</v>
      </c>
      <c r="F9549" t="str">
        <f>HYPERLINK("https://github.com/tobexyz/yaacc-code/releases","show")</f>
        <v>show</v>
      </c>
    </row>
    <row r="9550" spans="1:6">
      <c r="A9550" t="s">
        <v>28364</v>
      </c>
      <c r="B9550" t="s">
        <v>28365</v>
      </c>
      <c r="C9550" t="s">
        <v>28366</v>
      </c>
      <c r="D9550" t="str">
        <f>HYPERLINK("https://github.com/tobexyz/yaacc-code/issues/26","show")</f>
        <v>show</v>
      </c>
      <c r="E9550" t="str">
        <f>HYPERLINK("https://github.com/tobexyz/yaacc-code","show")</f>
        <v>show</v>
      </c>
      <c r="F9550" t="str">
        <f>HYPERLINK("https://github.com/tobexyz/yaacc-code/releases","show")</f>
        <v>show</v>
      </c>
    </row>
    <row r="9551" spans="1:6">
      <c r="A9551" t="s">
        <v>28367</v>
      </c>
      <c r="B9551" t="s">
        <v>28368</v>
      </c>
      <c r="C9551" t="s">
        <v>28369</v>
      </c>
      <c r="D9551" t="str">
        <f>HYPERLINK("https://github.com/MozillaReality/FirefoxReality/issues/932","show")</f>
        <v>show</v>
      </c>
      <c r="E9551" t="str">
        <f>HYPERLINK("https://github.com/MozillaReality/FirefoxReality","show")</f>
        <v>show</v>
      </c>
      <c r="F9551" t="str">
        <f>HYPERLINK("https://github.com/MozillaReality/FirefoxReality/releases","show")</f>
        <v>show</v>
      </c>
    </row>
    <row r="9552" spans="1:6">
      <c r="A9552" t="s">
        <v>28370</v>
      </c>
      <c r="B9552" t="s">
        <v>28371</v>
      </c>
      <c r="C9552" t="s">
        <v>28372</v>
      </c>
      <c r="D9552" t="str">
        <f>HYPERLINK("https://github.com/fossasia/phimpme-android/issues/2469","show")</f>
        <v>show</v>
      </c>
      <c r="E9552" t="str">
        <f>HYPERLINK("https://github.com/fossasia/phimpme-android","show")</f>
        <v>show</v>
      </c>
      <c r="F9552" t="str">
        <f>HYPERLINK("https://github.com/fossasia/phimpme-android/releases","show")</f>
        <v>show</v>
      </c>
    </row>
    <row r="9553" spans="1:6">
      <c r="A9553" t="s">
        <v>28373</v>
      </c>
      <c r="B9553" t="s">
        <v>28374</v>
      </c>
      <c r="C9553" t="s">
        <v>28375</v>
      </c>
      <c r="D9553" t="str">
        <f>HYPERLINK("https://github.com/doublesymmetry/react-native-track-player/issues/416","show")</f>
        <v>show</v>
      </c>
      <c r="E9553" t="str">
        <f>HYPERLINK("https://github.com/doublesymmetry/react-native-track-player","show")</f>
        <v>show</v>
      </c>
      <c r="F9553" t="str">
        <f>HYPERLINK("https://github.com/doublesymmetry/react-native-track-player/releases","show")</f>
        <v>show</v>
      </c>
    </row>
    <row r="9554" spans="1:6">
      <c r="A9554" t="s">
        <v>28376</v>
      </c>
      <c r="B9554" t="s">
        <v>28377</v>
      </c>
      <c r="C9554" t="s">
        <v>28378</v>
      </c>
      <c r="D9554" t="str">
        <f>HYPERLINK("https://github.com/stealthcopter/AndroidNetworkTools/issues/53","show")</f>
        <v>show</v>
      </c>
      <c r="E9554" t="str">
        <f>HYPERLINK("https://github.com/stealthcopter/AndroidNetworkTools","show")</f>
        <v>show</v>
      </c>
      <c r="F9554" t="str">
        <f>HYPERLINK("https://github.com/stealthcopter/AndroidNetworkTools/releases","show")</f>
        <v>show</v>
      </c>
    </row>
    <row r="9555" spans="1:6">
      <c r="A9555" t="s">
        <v>28379</v>
      </c>
      <c r="B9555" t="s">
        <v>28380</v>
      </c>
      <c r="C9555" t="s">
        <v>28381</v>
      </c>
      <c r="D9555" t="str">
        <f>HYPERLINK("https://github.com/MCMrARM/revolution-irc/issues/183","show")</f>
        <v>show</v>
      </c>
      <c r="E9555" t="str">
        <f>HYPERLINK("https://github.com/MCMrARM/revolution-irc","show")</f>
        <v>show</v>
      </c>
      <c r="F9555" t="str">
        <f>HYPERLINK("https://github.com/MCMrARM/revolution-irc/releases","show")</f>
        <v>show</v>
      </c>
    </row>
    <row r="9556" spans="1:6">
      <c r="A9556" t="s">
        <v>28382</v>
      </c>
      <c r="B9556" t="s">
        <v>28383</v>
      </c>
      <c r="C9556" t="s">
        <v>28384</v>
      </c>
      <c r="D9556" t="str">
        <f>HYPERLINK("https://github.com/osmdroid/osmdroid/issues/1260","show")</f>
        <v>show</v>
      </c>
      <c r="E9556" t="str">
        <f>HYPERLINK("https://github.com/osmdroid/osmdroid","show")</f>
        <v>show</v>
      </c>
      <c r="F9556" t="str">
        <f>HYPERLINK("https://github.com/osmdroid/osmdroid/releases","show")</f>
        <v>show</v>
      </c>
    </row>
    <row r="9557" spans="1:6">
      <c r="A9557" t="s">
        <v>28385</v>
      </c>
      <c r="B9557" t="s">
        <v>28386</v>
      </c>
      <c r="C9557" t="s">
        <v>28387</v>
      </c>
      <c r="D9557" t="str">
        <f>HYPERLINK("https://github.com/deltachat/deltachat-android/issues/672","show")</f>
        <v>show</v>
      </c>
      <c r="E9557" t="str">
        <f>HYPERLINK("https://github.com/deltachat/deltachat-android","show")</f>
        <v>show</v>
      </c>
      <c r="F9557" t="str">
        <f>HYPERLINK("https://github.com/deltachat/deltachat-android/releases","show")</f>
        <v>show</v>
      </c>
    </row>
    <row r="9558" spans="1:6">
      <c r="A9558" t="s">
        <v>28388</v>
      </c>
      <c r="B9558" t="s">
        <v>28389</v>
      </c>
      <c r="C9558" t="s">
        <v>28390</v>
      </c>
      <c r="D9558" t="str">
        <f>HYPERLINK("https://github.com/EXALAB/AnLinux-App/issues/54","show")</f>
        <v>show</v>
      </c>
      <c r="E9558" t="str">
        <f>HYPERLINK("https://github.com/EXALAB/AnLinux-App","show")</f>
        <v>show</v>
      </c>
      <c r="F9558" t="str">
        <f>HYPERLINK("https://github.com/EXALAB/AnLinux-App/releases","show")</f>
        <v>show</v>
      </c>
    </row>
    <row r="9559" spans="1:6">
      <c r="A9559" t="s">
        <v>28391</v>
      </c>
      <c r="B9559" t="s">
        <v>28392</v>
      </c>
      <c r="C9559" t="s">
        <v>28393</v>
      </c>
      <c r="D9559" t="str">
        <f>HYPERLINK("https://github.com/SecUSo/privacy-friendly-wifi-manager/issues/14","show")</f>
        <v>show</v>
      </c>
      <c r="E9559" t="str">
        <f>HYPERLINK("https://github.com/SecUSo/privacy-friendly-wifi-manager","show")</f>
        <v>show</v>
      </c>
      <c r="F9559" t="str">
        <f>HYPERLINK("https://github.com/SecUSo/privacy-friendly-wifi-manager/releases","show")</f>
        <v>show</v>
      </c>
    </row>
    <row r="9560" spans="1:6">
      <c r="A9560" t="s">
        <v>28394</v>
      </c>
      <c r="B9560" t="s">
        <v>28395</v>
      </c>
      <c r="C9560" t="s">
        <v>28396</v>
      </c>
      <c r="D9560" t="str">
        <f>HYPERLINK("https://github.com/nextcloud/android/issues/3499","show")</f>
        <v>show</v>
      </c>
      <c r="E9560" t="str">
        <f>HYPERLINK("https://github.com/nextcloud/android","show")</f>
        <v>show</v>
      </c>
      <c r="F9560" t="str">
        <f>HYPERLINK("https://github.com/nextcloud/android/releases","show")</f>
        <v>show</v>
      </c>
    </row>
    <row r="9561" spans="1:6">
      <c r="A9561" t="s">
        <v>28397</v>
      </c>
      <c r="B9561" t="s">
        <v>28398</v>
      </c>
      <c r="C9561" t="s">
        <v>28399</v>
      </c>
      <c r="D9561" t="str">
        <f>HYPERLINK("https://github.com/zeroc-ice/ice-demos/issues/36","show")</f>
        <v>show</v>
      </c>
      <c r="E9561" t="str">
        <f>HYPERLINK("https://github.com/zeroc-ice/ice-demos","show")</f>
        <v>show</v>
      </c>
      <c r="F9561" t="str">
        <f>HYPERLINK("https://github.com/zeroc-ice/ice-demos/releases","show")</f>
        <v>show</v>
      </c>
    </row>
    <row r="9562" spans="1:6">
      <c r="A9562" t="s">
        <v>28400</v>
      </c>
      <c r="B9562" t="s">
        <v>28401</v>
      </c>
      <c r="C9562" t="s">
        <v>28402</v>
      </c>
      <c r="D9562" t="str">
        <f>HYPERLINK("https://github.com/iovation/launchkey-android-authenticator-sdk/issues/32","show")</f>
        <v>show</v>
      </c>
      <c r="E9562" t="str">
        <f>HYPERLINK("https://github.com/iovation/launchkey-android-authenticator-sdk","show")</f>
        <v>show</v>
      </c>
      <c r="F9562" t="str">
        <f>HYPERLINK("https://github.com/iovation/launchkey-android-authenticator-sdk/releases","show")</f>
        <v>show</v>
      </c>
    </row>
    <row r="9563" spans="1:6">
      <c r="A9563" t="s">
        <v>28403</v>
      </c>
      <c r="B9563" t="s">
        <v>28404</v>
      </c>
      <c r="C9563" t="s">
        <v>28405</v>
      </c>
      <c r="D9563" t="str">
        <f>HYPERLINK("https://github.com/ElderDrivers/EdXposed/issues/26","show")</f>
        <v>show</v>
      </c>
      <c r="E9563" t="str">
        <f>HYPERLINK("https://github.com/ElderDrivers/EdXposed","show")</f>
        <v>show</v>
      </c>
      <c r="F9563" t="str">
        <f>HYPERLINK("https://github.com/ElderDrivers/EdXposed/releases","show")</f>
        <v>show</v>
      </c>
    </row>
    <row r="9564" spans="1:6">
      <c r="A9564" t="s">
        <v>28406</v>
      </c>
      <c r="B9564" t="s">
        <v>28407</v>
      </c>
      <c r="C9564" t="s">
        <v>28408</v>
      </c>
      <c r="D9564" t="str">
        <f>HYPERLINK("https://github.com/antest1/kcanotify/issues/64","show")</f>
        <v>show</v>
      </c>
      <c r="E9564" t="str">
        <f>HYPERLINK("https://github.com/antest1/kcanotify","show")</f>
        <v>show</v>
      </c>
      <c r="F9564" t="str">
        <f>HYPERLINK("https://github.com/antest1/kcanotify/releases","show")</f>
        <v>show</v>
      </c>
    </row>
    <row r="9565" spans="1:6">
      <c r="A9565" t="s">
        <v>28409</v>
      </c>
      <c r="B9565" t="s">
        <v>28410</v>
      </c>
      <c r="C9565" t="s">
        <v>28411</v>
      </c>
      <c r="D9565" t="str">
        <f>HYPERLINK("https://github.com/wallabag/android-app/issues/760","show")</f>
        <v>show</v>
      </c>
      <c r="E9565" t="str">
        <f>HYPERLINK("https://github.com/wallabag/android-app","show")</f>
        <v>show</v>
      </c>
      <c r="F9565" t="str">
        <f>HYPERLINK("https://github.com/wallabag/android-app/releases","show")</f>
        <v>show</v>
      </c>
    </row>
    <row r="9566" spans="1:6">
      <c r="A9566" t="s">
        <v>28412</v>
      </c>
      <c r="B9566" t="s">
        <v>28413</v>
      </c>
      <c r="C9566" t="s">
        <v>28414</v>
      </c>
      <c r="D9566" t="str">
        <f>HYPERLINK("https://github.com/aws-amplify/aws-sdk-android/issues/675","show")</f>
        <v>show</v>
      </c>
      <c r="E9566" t="str">
        <f>HYPERLINK("https://github.com/aws-amplify/aws-sdk-android","show")</f>
        <v>show</v>
      </c>
      <c r="F9566" t="str">
        <f>HYPERLINK("https://github.com/aws-amplify/aws-sdk-android/releases","show")</f>
        <v>show</v>
      </c>
    </row>
    <row r="9567" spans="1:6">
      <c r="A9567" t="s">
        <v>28415</v>
      </c>
      <c r="B9567" t="s">
        <v>28416</v>
      </c>
      <c r="C9567" t="s">
        <v>28417</v>
      </c>
      <c r="D9567" t="str">
        <f>HYPERLINK("https://github.com/morenoh149/react-native-contacts/issues/355","show")</f>
        <v>show</v>
      </c>
      <c r="E9567" t="str">
        <f>HYPERLINK("https://github.com/morenoh149/react-native-contacts","show")</f>
        <v>show</v>
      </c>
      <c r="F9567" t="str">
        <f>HYPERLINK("https://github.com/morenoh149/react-native-contacts/releases","show")</f>
        <v>show</v>
      </c>
    </row>
    <row r="9568" spans="1:6">
      <c r="A9568" t="s">
        <v>28418</v>
      </c>
      <c r="B9568" t="s">
        <v>28419</v>
      </c>
      <c r="C9568" t="s">
        <v>28420</v>
      </c>
      <c r="D9568" t="str">
        <f>HYPERLINK("https://github.com/Haptic-Apps/Slide/issues/2964","show")</f>
        <v>show</v>
      </c>
      <c r="E9568" t="str">
        <f>HYPERLINK("https://github.com/Haptic-Apps/Slide","show")</f>
        <v>show</v>
      </c>
      <c r="F9568" t="str">
        <f>HYPERLINK("https://github.com/Haptic-Apps/Slide/releases","show")</f>
        <v>show</v>
      </c>
    </row>
    <row r="9569" spans="1:6">
      <c r="A9569" t="s">
        <v>28421</v>
      </c>
      <c r="B9569" t="s">
        <v>28422</v>
      </c>
      <c r="C9569" t="s">
        <v>28423</v>
      </c>
      <c r="D9569" t="str">
        <f>HYPERLINK("https://github.com/Catfriend1/syncthing-android/issues/277","show")</f>
        <v>show</v>
      </c>
      <c r="E9569" t="str">
        <f>HYPERLINK("https://github.com/Catfriend1/syncthing-android","show")</f>
        <v>show</v>
      </c>
      <c r="F9569" t="str">
        <f>HYPERLINK("https://github.com/Catfriend1/syncthing-android/releases","show")</f>
        <v>show</v>
      </c>
    </row>
    <row r="9570" spans="1:6">
      <c r="A9570" t="s">
        <v>28424</v>
      </c>
      <c r="B9570" t="s">
        <v>28425</v>
      </c>
      <c r="C9570" t="s">
        <v>28426</v>
      </c>
      <c r="D9570" t="str">
        <f>HYPERLINK("https://github.com/doublesymmetry/react-native-track-player/issues/412","show")</f>
        <v>show</v>
      </c>
      <c r="E9570" t="str">
        <f>HYPERLINK("https://github.com/doublesymmetry/react-native-track-player","show")</f>
        <v>show</v>
      </c>
      <c r="F9570" t="str">
        <f>HYPERLINK("https://github.com/doublesymmetry/react-native-track-player/releases","show")</f>
        <v>show</v>
      </c>
    </row>
    <row r="9571" spans="1:6">
      <c r="A9571" t="s">
        <v>28427</v>
      </c>
      <c r="B9571" t="s">
        <v>28428</v>
      </c>
      <c r="C9571" t="s">
        <v>28429</v>
      </c>
      <c r="D9571" t="str">
        <f>HYPERLINK("https://github.com/MozillaReality/FirefoxReality/issues/929","show")</f>
        <v>show</v>
      </c>
      <c r="E9571" t="str">
        <f>HYPERLINK("https://github.com/MozillaReality/FirefoxReality","show")</f>
        <v>show</v>
      </c>
      <c r="F9571" t="str">
        <f>HYPERLINK("https://github.com/MozillaReality/FirefoxReality/releases","show")</f>
        <v>show</v>
      </c>
    </row>
    <row r="9572" spans="1:6">
      <c r="A9572" t="s">
        <v>28430</v>
      </c>
      <c r="B9572" t="s">
        <v>28431</v>
      </c>
      <c r="C9572" t="s">
        <v>28432</v>
      </c>
      <c r="D9572" t="str">
        <f>HYPERLINK("https://github.com/OneBusAway/onebusaway-android/issues/962","show")</f>
        <v>show</v>
      </c>
      <c r="E9572" t="str">
        <f>HYPERLINK("https://github.com/OneBusAway/onebusaway-android","show")</f>
        <v>show</v>
      </c>
      <c r="F9572" t="str">
        <f>HYPERLINK("https://github.com/OneBusAway/onebusaway-android/releases","show")</f>
        <v>show</v>
      </c>
    </row>
    <row r="9573" spans="1:6">
      <c r="A9573" t="s">
        <v>28433</v>
      </c>
      <c r="B9573" t="s">
        <v>28434</v>
      </c>
      <c r="C9573" t="s">
        <v>28435</v>
      </c>
      <c r="D9573" t="str">
        <f>HYPERLINK("https://github.com/iFixit/dozuki-android/issues/21","show")</f>
        <v>show</v>
      </c>
      <c r="E9573" t="str">
        <f>HYPERLINK("https://github.com/iFixit/dozuki-android","show")</f>
        <v>show</v>
      </c>
      <c r="F9573" t="str">
        <f>HYPERLINK("https://github.com/iFixit/dozuki-android/releases","show")</f>
        <v>show</v>
      </c>
    </row>
    <row r="9574" spans="1:6">
      <c r="A9574" t="s">
        <v>28436</v>
      </c>
      <c r="B9574" t="s">
        <v>28437</v>
      </c>
      <c r="C9574" t="s">
        <v>28438</v>
      </c>
      <c r="D9574" t="str">
        <f>HYPERLINK("https://github.com/OneBusAway/onebusaway-android/issues/961","show")</f>
        <v>show</v>
      </c>
      <c r="E9574" t="str">
        <f>HYPERLINK("https://github.com/OneBusAway/onebusaway-android","show")</f>
        <v>show</v>
      </c>
      <c r="F9574" t="str">
        <f>HYPERLINK("https://github.com/OneBusAway/onebusaway-android/releases","show")</f>
        <v>show</v>
      </c>
    </row>
    <row r="9575" spans="1:6">
      <c r="A9575" t="s">
        <v>28439</v>
      </c>
      <c r="B9575" t="s">
        <v>28440</v>
      </c>
      <c r="C9575" t="s">
        <v>28441</v>
      </c>
      <c r="D9575" t="str">
        <f>HYPERLINK("https://github.com/commons-app/apps-android-commons/issues/2330","show")</f>
        <v>show</v>
      </c>
      <c r="E9575" t="str">
        <f>HYPERLINK("https://github.com/commons-app/apps-android-commons","show")</f>
        <v>show</v>
      </c>
      <c r="F9575" t="str">
        <f>HYPERLINK("https://github.com/commons-app/apps-android-commons/releases","show")</f>
        <v>show</v>
      </c>
    </row>
    <row r="9576" spans="1:6">
      <c r="A9576" t="s">
        <v>28442</v>
      </c>
      <c r="B9576" t="s">
        <v>28443</v>
      </c>
      <c r="C9576" t="s">
        <v>28444</v>
      </c>
      <c r="D9576" t="str">
        <f>HYPERLINK("https://github.com/renyuneyun/Easer/issues/202","show")</f>
        <v>show</v>
      </c>
      <c r="E9576" t="str">
        <f>HYPERLINK("https://github.com/renyuneyun/Easer","show")</f>
        <v>show</v>
      </c>
      <c r="F9576" t="str">
        <f>HYPERLINK("https://github.com/renyuneyun/Easer/releases","show")</f>
        <v>show</v>
      </c>
    </row>
    <row r="9577" spans="1:6">
      <c r="A9577" t="s">
        <v>28445</v>
      </c>
      <c r="B9577" t="s">
        <v>28446</v>
      </c>
      <c r="C9577" t="s">
        <v>28447</v>
      </c>
      <c r="D9577" t="str">
        <f>HYPERLINK("https://github.com/deltachat/deltachat-android/issues/414","show")</f>
        <v>show</v>
      </c>
      <c r="E9577" t="str">
        <f>HYPERLINK("https://github.com/deltachat/deltachat-android","show")</f>
        <v>show</v>
      </c>
      <c r="F9577" t="str">
        <f>HYPERLINK("https://github.com/deltachat/deltachat-android/releases","show")</f>
        <v>show</v>
      </c>
    </row>
    <row r="9578" spans="1:6">
      <c r="A9578" t="s">
        <v>28448</v>
      </c>
      <c r="B9578" t="s">
        <v>21146</v>
      </c>
      <c r="C9578" t="s">
        <v>28449</v>
      </c>
      <c r="D9578" t="str">
        <f>HYPERLINK("https://github.com/andenapp/PanningView/issues/5","show")</f>
        <v>show</v>
      </c>
      <c r="E9578" t="str">
        <f>HYPERLINK("https://github.com/andenapp/PanningView","show")</f>
        <v>show</v>
      </c>
      <c r="F9578" t="str">
        <f>HYPERLINK("https://github.com/andenapp/PanningView/releases","show")</f>
        <v>show</v>
      </c>
    </row>
    <row r="9579" spans="1:6">
      <c r="A9579" t="s">
        <v>28450</v>
      </c>
      <c r="B9579" t="s">
        <v>28451</v>
      </c>
      <c r="C9579" t="s">
        <v>28452</v>
      </c>
      <c r="D9579" t="str">
        <f>HYPERLINK("https://github.com/react-native-camera/react-native-camera/issues/2059","show")</f>
        <v>show</v>
      </c>
      <c r="E9579" t="str">
        <f>HYPERLINK("https://github.com/react-native-camera/react-native-camera","show")</f>
        <v>show</v>
      </c>
      <c r="F9579" t="str">
        <f>HYPERLINK("https://github.com/react-native-camera/react-native-camera/releases","show")</f>
        <v>show</v>
      </c>
    </row>
    <row r="9580" spans="1:6">
      <c r="A9580" t="s">
        <v>28453</v>
      </c>
      <c r="B9580" t="s">
        <v>28454</v>
      </c>
      <c r="C9580" t="s">
        <v>28455</v>
      </c>
      <c r="D9580" t="str">
        <f>HYPERLINK("https://github.com/ramack/ActivityDiary/issues/261","show")</f>
        <v>show</v>
      </c>
      <c r="E9580" t="str">
        <f>HYPERLINK("https://github.com/ramack/ActivityDiary","show")</f>
        <v>show</v>
      </c>
      <c r="F9580" t="str">
        <f>HYPERLINK("https://github.com/ramack/ActivityDiary/releases","show")</f>
        <v>show</v>
      </c>
    </row>
    <row r="9581" spans="1:6">
      <c r="A9581" t="s">
        <v>28456</v>
      </c>
      <c r="B9581" t="s">
        <v>28457</v>
      </c>
      <c r="C9581" t="s">
        <v>28458</v>
      </c>
      <c r="D9581" t="str">
        <f>HYPERLINK("https://github.com/TeamNewPipe/NewPipe/issues/2049","show")</f>
        <v>show</v>
      </c>
      <c r="E9581" t="str">
        <f>HYPERLINK("https://github.com/TeamNewPipe/NewPipe","show")</f>
        <v>show</v>
      </c>
      <c r="F9581" t="str">
        <f>HYPERLINK("https://github.com/TeamNewPipe/NewPipe/releases","show")</f>
        <v>show</v>
      </c>
    </row>
    <row r="9582" spans="1:6">
      <c r="A9582" t="s">
        <v>28459</v>
      </c>
      <c r="B9582" t="s">
        <v>28460</v>
      </c>
      <c r="C9582" t="s">
        <v>28461</v>
      </c>
      <c r="D9582" t="str">
        <f>HYPERLINK("https://github.com/innoveit/react-native-ble-manager/issues/448","show")</f>
        <v>show</v>
      </c>
      <c r="E9582" t="str">
        <f>HYPERLINK("https://github.com/innoveit/react-native-ble-manager","show")</f>
        <v>show</v>
      </c>
      <c r="F9582" t="str">
        <f>HYPERLINK("https://github.com/innoveit/react-native-ble-manager/releases","show")</f>
        <v>show</v>
      </c>
    </row>
    <row r="9583" spans="1:6">
      <c r="A9583" t="s">
        <v>28462</v>
      </c>
      <c r="B9583" t="s">
        <v>28463</v>
      </c>
      <c r="C9583" t="s">
        <v>28464</v>
      </c>
      <c r="D9583" t="str">
        <f>HYPERLINK("https://github.com/the3deers/android-3D-model-viewer/issues/92","show")</f>
        <v>show</v>
      </c>
      <c r="E9583" t="str">
        <f>HYPERLINK("https://github.com/the3deers/android-3D-model-viewer","show")</f>
        <v>show</v>
      </c>
      <c r="F9583" t="str">
        <f>HYPERLINK("https://github.com/the3deers/android-3D-model-viewer/releases","show")</f>
        <v>show</v>
      </c>
    </row>
    <row r="9584" spans="1:6">
      <c r="A9584" t="s">
        <v>28465</v>
      </c>
      <c r="B9584" t="s">
        <v>28466</v>
      </c>
      <c r="C9584" t="s">
        <v>28467</v>
      </c>
      <c r="D9584" t="str">
        <f>HYPERLINK("https://github.com/leancloud/java-unified-sdk/issues/23","show")</f>
        <v>show</v>
      </c>
      <c r="E9584" t="str">
        <f>HYPERLINK("https://github.com/leancloud/java-unified-sdk","show")</f>
        <v>show</v>
      </c>
      <c r="F9584" t="str">
        <f>HYPERLINK("https://github.com/leancloud/java-unified-sdk/releases","show")</f>
        <v>show</v>
      </c>
    </row>
    <row r="9585" spans="1:6">
      <c r="A9585" t="s">
        <v>28468</v>
      </c>
      <c r="B9585" t="s">
        <v>28469</v>
      </c>
      <c r="C9585" t="s">
        <v>28470</v>
      </c>
      <c r="D9585" t="str">
        <f>HYPERLINK("https://github.com/RoverPlatform/rover-android/issues/320","show")</f>
        <v>show</v>
      </c>
      <c r="E9585" t="str">
        <f>HYPERLINK("https://github.com/RoverPlatform/rover-android","show")</f>
        <v>show</v>
      </c>
      <c r="F9585" t="str">
        <f>HYPERLINK("https://github.com/RoverPlatform/rover-android/releases","show")</f>
        <v>show</v>
      </c>
    </row>
    <row r="9586" spans="1:6">
      <c r="A9586" t="s">
        <v>28471</v>
      </c>
      <c r="B9586" t="s">
        <v>28472</v>
      </c>
      <c r="C9586" t="s">
        <v>28473</v>
      </c>
      <c r="D9586" t="str">
        <f>HYPERLINK("https://github.com/GreatApo/GreatFit/issues/34","show")</f>
        <v>show</v>
      </c>
      <c r="E9586" t="str">
        <f>HYPERLINK("https://github.com/GreatApo/GreatFit","show")</f>
        <v>show</v>
      </c>
      <c r="F9586" t="str">
        <f>HYPERLINK("https://github.com/GreatApo/GreatFit/releases","show")</f>
        <v>show</v>
      </c>
    </row>
    <row r="9587" spans="1:6">
      <c r="A9587" t="s">
        <v>28474</v>
      </c>
      <c r="B9587" t="s">
        <v>28475</v>
      </c>
      <c r="C9587" t="s">
        <v>28476</v>
      </c>
      <c r="D9587" t="str">
        <f>HYPERLINK("https://github.com/davidkroell/docker2go/issues/6","show")</f>
        <v>show</v>
      </c>
      <c r="E9587" t="str">
        <f>HYPERLINK("https://github.com/davidkroell/docker2go","show")</f>
        <v>show</v>
      </c>
      <c r="F9587" t="str">
        <f>HYPERLINK("https://github.com/davidkroell/docker2go/releases","show")</f>
        <v>show</v>
      </c>
    </row>
    <row r="9588" spans="1:6">
      <c r="A9588" t="s">
        <v>28477</v>
      </c>
      <c r="B9588" t="s">
        <v>28478</v>
      </c>
      <c r="C9588" t="s">
        <v>28479</v>
      </c>
      <c r="D9588" t="str">
        <f>HYPERLINK("https://github.com/nextcloud/android/issues/3469","show")</f>
        <v>show</v>
      </c>
      <c r="E9588" t="str">
        <f>HYPERLINK("https://github.com/nextcloud/android","show")</f>
        <v>show</v>
      </c>
      <c r="F9588" t="str">
        <f>HYPERLINK("https://github.com/nextcloud/android/releases","show")</f>
        <v>show</v>
      </c>
    </row>
    <row r="9589" spans="1:6">
      <c r="A9589" t="s">
        <v>28480</v>
      </c>
      <c r="B9589" t="s">
        <v>28481</v>
      </c>
      <c r="C9589" t="s">
        <v>28482</v>
      </c>
      <c r="D9589" t="str">
        <f>HYPERLINK("https://github.com/morenoh149/react-native-contacts/issues/347","show")</f>
        <v>show</v>
      </c>
      <c r="E9589" t="str">
        <f>HYPERLINK("https://github.com/morenoh149/react-native-contacts","show")</f>
        <v>show</v>
      </c>
      <c r="F9589" t="str">
        <f>HYPERLINK("https://github.com/morenoh149/react-native-contacts/releases","show")</f>
        <v>show</v>
      </c>
    </row>
    <row r="9590" spans="1:6">
      <c r="A9590" t="s">
        <v>28483</v>
      </c>
      <c r="B9590" t="s">
        <v>28484</v>
      </c>
      <c r="C9590" t="s">
        <v>28485</v>
      </c>
      <c r="D9590" t="str">
        <f>HYPERLINK("https://github.com/connectbot/connectbot/issues/687","show")</f>
        <v>show</v>
      </c>
      <c r="E9590" t="str">
        <f>HYPERLINK("https://github.com/connectbot/connectbot","show")</f>
        <v>show</v>
      </c>
      <c r="F9590" t="str">
        <f>HYPERLINK("https://github.com/connectbot/connectbot/releases","show")</f>
        <v>show</v>
      </c>
    </row>
    <row r="9591" spans="1:6">
      <c r="A9591" t="s">
        <v>28486</v>
      </c>
      <c r="B9591" t="s">
        <v>28487</v>
      </c>
      <c r="C9591" t="s">
        <v>28488</v>
      </c>
      <c r="D9591" t="str">
        <f>HYPERLINK("https://github.com/microsoft/appcenter-sdk-android/issues/929","show")</f>
        <v>show</v>
      </c>
      <c r="E9591" t="str">
        <f>HYPERLINK("https://github.com/microsoft/appcenter-sdk-android","show")</f>
        <v>show</v>
      </c>
      <c r="F9591" t="str">
        <f>HYPERLINK("https://github.com/microsoft/appcenter-sdk-android/releases","show")</f>
        <v>show</v>
      </c>
    </row>
    <row r="9592" spans="1:6">
      <c r="A9592" t="s">
        <v>28489</v>
      </c>
      <c r="B9592" t="s">
        <v>28490</v>
      </c>
      <c r="C9592" t="s">
        <v>28491</v>
      </c>
      <c r="D9592" t="str">
        <f>HYPERLINK("https://github.com/square/okhttp/issues/4556","show")</f>
        <v>show</v>
      </c>
      <c r="E9592" t="str">
        <f>HYPERLINK("https://github.com/square/okhttp","show")</f>
        <v>show</v>
      </c>
      <c r="F9592" t="str">
        <f>HYPERLINK("https://github.com/square/okhttp/releases","show")</f>
        <v>show</v>
      </c>
    </row>
    <row r="9593" spans="1:6">
      <c r="A9593" t="s">
        <v>28492</v>
      </c>
      <c r="B9593" t="s">
        <v>28493</v>
      </c>
      <c r="C9593" t="s">
        <v>28494</v>
      </c>
      <c r="D9593" t="str">
        <f>HYPERLINK("https://github.com/doublesymmetry/react-native-track-player/issues/394","show")</f>
        <v>show</v>
      </c>
      <c r="E9593" t="str">
        <f>HYPERLINK("https://github.com/doublesymmetry/react-native-track-player","show")</f>
        <v>show</v>
      </c>
      <c r="F9593" t="str">
        <f>HYPERLINK("https://github.com/doublesymmetry/react-native-track-player/releases","show")</f>
        <v>show</v>
      </c>
    </row>
    <row r="9594" spans="1:6">
      <c r="A9594" t="s">
        <v>28495</v>
      </c>
      <c r="B9594" t="s">
        <v>28496</v>
      </c>
      <c r="C9594" t="s">
        <v>28497</v>
      </c>
      <c r="D9594" t="str">
        <f>HYPERLINK("https://github.com/google/ExoPlayer/issues/5378","show")</f>
        <v>show</v>
      </c>
      <c r="E9594" t="str">
        <f>HYPERLINK("https://github.com/google/ExoPlayer","show")</f>
        <v>show</v>
      </c>
      <c r="F9594" t="str">
        <f>HYPERLINK("https://github.com/google/ExoPlayer/releases","show")</f>
        <v>show</v>
      </c>
    </row>
    <row r="9595" spans="1:6">
      <c r="A9595" t="s">
        <v>28498</v>
      </c>
      <c r="B9595" t="s">
        <v>28499</v>
      </c>
      <c r="C9595" t="s">
        <v>28500</v>
      </c>
      <c r="D9595" t="str">
        <f>HYPERLINK("https://github.com/mapbox/mapbox-plugins-android/issues/817","show")</f>
        <v>show</v>
      </c>
      <c r="E9595" t="str">
        <f>HYPERLINK("https://github.com/mapbox/mapbox-plugins-android","show")</f>
        <v>show</v>
      </c>
      <c r="F9595" t="str">
        <f>HYPERLINK("https://github.com/mapbox/mapbox-plugins-android/releases","show")</f>
        <v>show</v>
      </c>
    </row>
    <row r="9596" spans="1:6">
      <c r="A9596" t="s">
        <v>28501</v>
      </c>
      <c r="B9596" t="s">
        <v>28502</v>
      </c>
      <c r="C9596" t="s">
        <v>28503</v>
      </c>
      <c r="D9596" t="str">
        <f>HYPERLINK("https://github.com/oliexdev/openScale/issues/376","show")</f>
        <v>show</v>
      </c>
      <c r="E9596" t="str">
        <f>HYPERLINK("https://github.com/oliexdev/openScale","show")</f>
        <v>show</v>
      </c>
      <c r="F9596" t="str">
        <f>HYPERLINK("https://github.com/oliexdev/openScale/releases","show")</f>
        <v>show</v>
      </c>
    </row>
    <row r="9597" spans="1:6">
      <c r="A9597" t="s">
        <v>28504</v>
      </c>
      <c r="B9597" t="s">
        <v>28505</v>
      </c>
      <c r="C9597" t="s">
        <v>28506</v>
      </c>
      <c r="D9597" t="str">
        <f>HYPERLINK("https://github.com/nikita36078/J2ME-Loader/issues/428","show")</f>
        <v>show</v>
      </c>
      <c r="E9597" t="str">
        <f>HYPERLINK("https://github.com/nikita36078/J2ME-Loader","show")</f>
        <v>show</v>
      </c>
      <c r="F9597" t="str">
        <f>HYPERLINK("https://github.com/nikita36078/J2ME-Loader/releases","show")</f>
        <v>show</v>
      </c>
    </row>
    <row r="9598" spans="1:6">
      <c r="A9598" t="s">
        <v>28507</v>
      </c>
      <c r="B9598" t="s">
        <v>28508</v>
      </c>
      <c r="C9598" t="s">
        <v>28509</v>
      </c>
      <c r="D9598" t="str">
        <f>HYPERLINK("https://github.com/square/okhttp/issues/4548","show")</f>
        <v>show</v>
      </c>
      <c r="E9598" t="str">
        <f>HYPERLINK("https://github.com/square/okhttp","show")</f>
        <v>show</v>
      </c>
      <c r="F9598" t="str">
        <f>HYPERLINK("https://github.com/square/okhttp/releases","show")</f>
        <v>show</v>
      </c>
    </row>
    <row r="9599" spans="1:6">
      <c r="A9599" t="s">
        <v>28510</v>
      </c>
      <c r="B9599" t="s">
        <v>28511</v>
      </c>
      <c r="C9599" t="s">
        <v>28512</v>
      </c>
      <c r="D9599" t="str">
        <f>HYPERLINK("https://github.com/getodk/collect/issues/2794","show")</f>
        <v>show</v>
      </c>
      <c r="E9599" t="str">
        <f>HYPERLINK("https://github.com/getodk/collect","show")</f>
        <v>show</v>
      </c>
      <c r="F9599" t="str">
        <f>HYPERLINK("https://github.com/getodk/collect/releases","show")</f>
        <v>show</v>
      </c>
    </row>
    <row r="9600" spans="1:6">
      <c r="A9600" t="s">
        <v>28513</v>
      </c>
      <c r="B9600" t="s">
        <v>28514</v>
      </c>
      <c r="C9600" t="s">
        <v>28515</v>
      </c>
      <c r="D9600" t="str">
        <f>HYPERLINK("https://github.com/tonyofrancis/Fetch/issues/317","show")</f>
        <v>show</v>
      </c>
      <c r="E9600" t="str">
        <f>HYPERLINK("https://github.com/tonyofrancis/Fetch","show")</f>
        <v>show</v>
      </c>
      <c r="F9600" t="str">
        <f>HYPERLINK("https://github.com/tonyofrancis/Fetch/releases","show")</f>
        <v>show</v>
      </c>
    </row>
    <row r="9601" spans="1:6">
      <c r="A9601" t="s">
        <v>28516</v>
      </c>
      <c r="B9601" t="s">
        <v>28517</v>
      </c>
      <c r="C9601" t="s">
        <v>28518</v>
      </c>
      <c r="D9601" t="str">
        <f>HYPERLINK("https://github.com/mockito/mockito/issues/1589","show")</f>
        <v>show</v>
      </c>
      <c r="E9601" t="str">
        <f>HYPERLINK("https://github.com/mockito/mockito","show")</f>
        <v>show</v>
      </c>
      <c r="F9601" t="str">
        <f>HYPERLINK("https://github.com/mockito/mockito/releases","show")</f>
        <v>show</v>
      </c>
    </row>
    <row r="9602" spans="1:6">
      <c r="A9602" t="s">
        <v>28519</v>
      </c>
      <c r="B9602" t="s">
        <v>28520</v>
      </c>
      <c r="C9602" t="s">
        <v>28521</v>
      </c>
      <c r="D9602" t="str">
        <f>HYPERLINK("https://github.com/google/ExoPlayer/issues/5360","show")</f>
        <v>show</v>
      </c>
      <c r="E9602" t="str">
        <f>HYPERLINK("https://github.com/google/ExoPlayer","show")</f>
        <v>show</v>
      </c>
      <c r="F9602" t="str">
        <f>HYPERLINK("https://github.com/google/ExoPlayer/releases","show")</f>
        <v>show</v>
      </c>
    </row>
    <row r="9603" spans="1:6">
      <c r="A9603" t="s">
        <v>28522</v>
      </c>
      <c r="B9603" t="s">
        <v>28523</v>
      </c>
      <c r="C9603" t="s">
        <v>28524</v>
      </c>
      <c r="D9603" t="str">
        <f>HYPERLINK("https://github.com/smartdevicelink/sdl_java_suite/issues/963","show")</f>
        <v>show</v>
      </c>
      <c r="E9603" t="str">
        <f>HYPERLINK("https://github.com/smartdevicelink/sdl_java_suite","show")</f>
        <v>show</v>
      </c>
      <c r="F9603" t="str">
        <f>HYPERLINK("https://github.com/smartdevicelink/sdl_java_suite/releases","show")</f>
        <v>show</v>
      </c>
    </row>
    <row r="9604" spans="1:6">
      <c r="A9604" t="s">
        <v>28525</v>
      </c>
      <c r="B9604" t="s">
        <v>28526</v>
      </c>
      <c r="C9604" t="s">
        <v>28527</v>
      </c>
      <c r="D9604" t="str">
        <f>HYPERLINK("https://github.com/kiwi-bop/flutter_crashlytics/issues/49","show")</f>
        <v>show</v>
      </c>
      <c r="E9604" t="str">
        <f>HYPERLINK("https://github.com/kiwi-bop/flutter_crashlytics","show")</f>
        <v>show</v>
      </c>
      <c r="F9604" t="str">
        <f>HYPERLINK("https://github.com/kiwi-bop/flutter_crashlytics/releases","show")</f>
        <v>show</v>
      </c>
    </row>
    <row r="9605" spans="1:6">
      <c r="A9605" t="s">
        <v>28528</v>
      </c>
      <c r="B9605" t="s">
        <v>28529</v>
      </c>
      <c r="C9605" t="s">
        <v>28530</v>
      </c>
      <c r="D9605" t="str">
        <f>HYPERLINK("https://github.com/nextcloud/talk-android/issues/405","show")</f>
        <v>show</v>
      </c>
      <c r="E9605" t="str">
        <f>HYPERLINK("https://github.com/nextcloud/talk-android","show")</f>
        <v>show</v>
      </c>
      <c r="F9605" t="str">
        <f>HYPERLINK("https://github.com/nextcloud/talk-android/releases","show")</f>
        <v>show</v>
      </c>
    </row>
    <row r="9606" spans="1:6">
      <c r="A9606" t="s">
        <v>28531</v>
      </c>
      <c r="B9606" t="s">
        <v>28532</v>
      </c>
      <c r="C9606" t="s">
        <v>28533</v>
      </c>
      <c r="D9606" t="str">
        <f>HYPERLINK("https://github.com/rahimlis/badgedtablayout/issues/19","show")</f>
        <v>show</v>
      </c>
      <c r="E9606" t="str">
        <f>HYPERLINK("https://github.com/rahimlis/badgedtablayout","show")</f>
        <v>show</v>
      </c>
      <c r="F9606" t="str">
        <f>HYPERLINK("https://github.com/rahimlis/badgedtablayout/releases","show")</f>
        <v>show</v>
      </c>
    </row>
    <row r="9607" spans="1:6">
      <c r="A9607" t="s">
        <v>28534</v>
      </c>
      <c r="B9607" t="s">
        <v>28535</v>
      </c>
      <c r="C9607" t="s">
        <v>28536</v>
      </c>
      <c r="D9607" t="str">
        <f>HYPERLINK("https://github.com/nextcloud/android/issues/3431","show")</f>
        <v>show</v>
      </c>
      <c r="E9607" t="str">
        <f>HYPERLINK("https://github.com/nextcloud/android","show")</f>
        <v>show</v>
      </c>
      <c r="F9607" t="str">
        <f>HYPERLINK("https://github.com/nextcloud/android/releases","show")</f>
        <v>show</v>
      </c>
    </row>
    <row r="9608" spans="1:6">
      <c r="A9608" t="s">
        <v>28537</v>
      </c>
      <c r="B9608" t="s">
        <v>28538</v>
      </c>
      <c r="C9608" t="s">
        <v>28539</v>
      </c>
      <c r="D9608" t="str">
        <f>HYPERLINK("https://github.com/tobexyz/yaacc-code/issues/12","show")</f>
        <v>show</v>
      </c>
      <c r="E9608" t="str">
        <f>HYPERLINK("https://github.com/tobexyz/yaacc-code","show")</f>
        <v>show</v>
      </c>
      <c r="F9608" t="str">
        <f>HYPERLINK("https://github.com/tobexyz/yaacc-code/releases","show")</f>
        <v>show</v>
      </c>
    </row>
    <row r="9609" spans="1:6">
      <c r="A9609" t="s">
        <v>28540</v>
      </c>
      <c r="B9609" t="s">
        <v>28541</v>
      </c>
      <c r="C9609" t="s">
        <v>28542</v>
      </c>
      <c r="D9609" t="str">
        <f>HYPERLINK("https://github.com/Tencent/tinker/issues/1007","show")</f>
        <v>show</v>
      </c>
      <c r="E9609" t="str">
        <f>HYPERLINK("https://github.com/Tencent/tinker","show")</f>
        <v>show</v>
      </c>
      <c r="F9609" t="str">
        <f>HYPERLINK("https://github.com/Tencent/tinker/releases","show")</f>
        <v>show</v>
      </c>
    </row>
    <row r="9610" spans="1:6">
      <c r="A9610" t="s">
        <v>28543</v>
      </c>
      <c r="B9610" t="s">
        <v>28544</v>
      </c>
      <c r="C9610" t="s">
        <v>28545</v>
      </c>
      <c r="D9610" t="str">
        <f>HYPERLINK("https://github.com/OneBusAway/onebusaway-android/issues/958","show")</f>
        <v>show</v>
      </c>
      <c r="E9610" t="str">
        <f>HYPERLINK("https://github.com/OneBusAway/onebusaway-android","show")</f>
        <v>show</v>
      </c>
      <c r="F9610" t="str">
        <f>HYPERLINK("https://github.com/OneBusAway/onebusaway-android/releases","show")</f>
        <v>show</v>
      </c>
    </row>
    <row r="9611" spans="1:6">
      <c r="A9611" t="s">
        <v>28546</v>
      </c>
      <c r="B9611" t="s">
        <v>28547</v>
      </c>
      <c r="C9611" t="s">
        <v>28548</v>
      </c>
      <c r="D9611" t="str">
        <f>HYPERLINK("https://github.com/deltachat/deltachat-android/issues/487","show")</f>
        <v>show</v>
      </c>
      <c r="E9611" t="str">
        <f>HYPERLINK("https://github.com/deltachat/deltachat-android","show")</f>
        <v>show</v>
      </c>
      <c r="F9611" t="str">
        <f>HYPERLINK("https://github.com/deltachat/deltachat-android/releases","show")</f>
        <v>show</v>
      </c>
    </row>
    <row r="9612" spans="1:6">
      <c r="A9612" t="s">
        <v>28549</v>
      </c>
      <c r="B9612" t="s">
        <v>28550</v>
      </c>
      <c r="C9612" t="s">
        <v>28551</v>
      </c>
      <c r="D9612" t="str">
        <f>HYPERLINK("https://github.com/Catfriend1/syncthing-android/issues/203","show")</f>
        <v>show</v>
      </c>
      <c r="E9612" t="str">
        <f>HYPERLINK("https://github.com/Catfriend1/syncthing-android","show")</f>
        <v>show</v>
      </c>
      <c r="F9612" t="str">
        <f>HYPERLINK("https://github.com/Catfriend1/syncthing-android/releases","show")</f>
        <v>show</v>
      </c>
    </row>
    <row r="9613" spans="1:6">
      <c r="A9613" t="s">
        <v>28552</v>
      </c>
      <c r="B9613" t="s">
        <v>28553</v>
      </c>
      <c r="C9613" t="s">
        <v>28554</v>
      </c>
      <c r="D9613" t="str">
        <f>HYPERLINK("https://github.com/MiPushFramework/MiPushFramework/issues/252","show")</f>
        <v>show</v>
      </c>
      <c r="E9613" t="str">
        <f>HYPERLINK("https://github.com/MiPushFramework/MiPushFramework","show")</f>
        <v>show</v>
      </c>
      <c r="F9613" t="str">
        <f>HYPERLINK("https://github.com/MiPushFramework/MiPushFramework/releases","show")</f>
        <v>show</v>
      </c>
    </row>
    <row r="9614" spans="1:6">
      <c r="A9614" t="s">
        <v>28555</v>
      </c>
      <c r="B9614" t="s">
        <v>14846</v>
      </c>
      <c r="C9614" t="s">
        <v>28556</v>
      </c>
      <c r="D9614" t="str">
        <f>HYPERLINK("https://github.com/immadisairaj/Quiz/issues/48","show")</f>
        <v>show</v>
      </c>
      <c r="E9614" t="str">
        <f>HYPERLINK("https://github.com/immadisairaj/Quiz","show")</f>
        <v>show</v>
      </c>
      <c r="F9614" t="str">
        <f>HYPERLINK("https://github.com/immadisairaj/Quiz/releases","show")</f>
        <v>show</v>
      </c>
    </row>
    <row r="9615" spans="1:6">
      <c r="A9615" t="s">
        <v>28557</v>
      </c>
      <c r="B9615" t="s">
        <v>28558</v>
      </c>
      <c r="C9615" t="s">
        <v>28559</v>
      </c>
      <c r="D9615" t="str">
        <f>HYPERLINK("https://github.com/simonpoole/OpeningHoursFragment/issues/31","show")</f>
        <v>show</v>
      </c>
      <c r="E9615" t="str">
        <f>HYPERLINK("https://github.com/simonpoole/OpeningHoursFragment","show")</f>
        <v>show</v>
      </c>
      <c r="F9615" t="str">
        <f>HYPERLINK("https://github.com/simonpoole/OpeningHoursFragment/releases","show")</f>
        <v>show</v>
      </c>
    </row>
    <row r="9616" spans="1:6">
      <c r="A9616" t="s">
        <v>28560</v>
      </c>
      <c r="B9616" t="s">
        <v>28561</v>
      </c>
      <c r="C9616" t="s">
        <v>28562</v>
      </c>
      <c r="D9616" t="str">
        <f>HYPERLINK("https://github.com/ramack/ActivityDiary/issues/255","show")</f>
        <v>show</v>
      </c>
      <c r="E9616" t="str">
        <f>HYPERLINK("https://github.com/ramack/ActivityDiary","show")</f>
        <v>show</v>
      </c>
      <c r="F9616" t="str">
        <f>HYPERLINK("https://github.com/ramack/ActivityDiary/releases","show")</f>
        <v>show</v>
      </c>
    </row>
    <row r="9617" spans="1:6">
      <c r="A9617" t="s">
        <v>28563</v>
      </c>
      <c r="B9617" t="s">
        <v>28564</v>
      </c>
      <c r="C9617" t="s">
        <v>28565</v>
      </c>
      <c r="D9617" t="str">
        <f>HYPERLINK("https://github.com/evernote/android-job/issues/561","show")</f>
        <v>show</v>
      </c>
      <c r="E9617" t="str">
        <f>HYPERLINK("https://github.com/evernote/android-job","show")</f>
        <v>show</v>
      </c>
      <c r="F9617" t="str">
        <f>HYPERLINK("https://github.com/evernote/android-job/releases","show")</f>
        <v>show</v>
      </c>
    </row>
    <row r="9618" spans="1:6">
      <c r="A9618" t="s">
        <v>28566</v>
      </c>
      <c r="B9618" t="s">
        <v>28567</v>
      </c>
      <c r="C9618" t="s">
        <v>28568</v>
      </c>
      <c r="D9618" t="str">
        <f>HYPERLINK("https://github.com/square/okhttp/issues/4510","show")</f>
        <v>show</v>
      </c>
      <c r="E9618" t="str">
        <f>HYPERLINK("https://github.com/square/okhttp","show")</f>
        <v>show</v>
      </c>
      <c r="F9618" t="str">
        <f>HYPERLINK("https://github.com/square/okhttp/releases","show")</f>
        <v>show</v>
      </c>
    </row>
    <row r="9619" spans="1:6">
      <c r="A9619" t="s">
        <v>28569</v>
      </c>
      <c r="B9619" t="s">
        <v>28570</v>
      </c>
      <c r="C9619" t="s">
        <v>28571</v>
      </c>
      <c r="D9619" t="str">
        <f>HYPERLINK("https://github.com/jMonkeyEngine/jmonkeyengine/issues/997","show")</f>
        <v>show</v>
      </c>
      <c r="E9619" t="str">
        <f>HYPERLINK("https://github.com/jMonkeyEngine/jmonkeyengine","show")</f>
        <v>show</v>
      </c>
      <c r="F9619" t="str">
        <f>HYPERLINK("https://github.com/jMonkeyEngine/jmonkeyengine/releases","show")</f>
        <v>show</v>
      </c>
    </row>
    <row r="9620" spans="1:6">
      <c r="A9620" t="s">
        <v>28572</v>
      </c>
      <c r="B9620" t="s">
        <v>28573</v>
      </c>
      <c r="C9620" t="s">
        <v>28574</v>
      </c>
      <c r="D9620" t="str">
        <f>HYPERLINK("https://github.com/jMonkeyEngine/jmonkeyengine/issues/992","show")</f>
        <v>show</v>
      </c>
      <c r="E9620" t="str">
        <f>HYPERLINK("https://github.com/jMonkeyEngine/jmonkeyengine","show")</f>
        <v>show</v>
      </c>
      <c r="F9620" t="str">
        <f>HYPERLINK("https://github.com/jMonkeyEngine/jmonkeyengine/releases","show")</f>
        <v>show</v>
      </c>
    </row>
    <row r="9621" spans="1:6">
      <c r="A9621" t="s">
        <v>28575</v>
      </c>
      <c r="B9621" t="s">
        <v>28576</v>
      </c>
      <c r="C9621" t="s">
        <v>28577</v>
      </c>
      <c r="D9621" t="str">
        <f>HYPERLINK("https://github.com/Neamar/KISS/issues/1124","show")</f>
        <v>show</v>
      </c>
      <c r="E9621" t="str">
        <f>HYPERLINK("https://github.com/Neamar/KISS","show")</f>
        <v>show</v>
      </c>
      <c r="F9621" t="str">
        <f>HYPERLINK("https://github.com/Neamar/KISS/releases","show")</f>
        <v>show</v>
      </c>
    </row>
    <row r="9622" spans="1:6">
      <c r="A9622" t="s">
        <v>28578</v>
      </c>
      <c r="B9622" t="s">
        <v>28579</v>
      </c>
      <c r="C9622" t="s">
        <v>28580</v>
      </c>
      <c r="D9622" t="str">
        <f>HYPERLINK("https://github.com/jMonkeyEngine/jmonkeyengine/issues/988","show")</f>
        <v>show</v>
      </c>
      <c r="E9622" t="str">
        <f>HYPERLINK("https://github.com/jMonkeyEngine/jmonkeyengine","show")</f>
        <v>show</v>
      </c>
      <c r="F9622" t="str">
        <f>HYPERLINK("https://github.com/jMonkeyEngine/jmonkeyengine/releases","show")</f>
        <v>show</v>
      </c>
    </row>
    <row r="9623" spans="1:6">
      <c r="A9623" t="s">
        <v>28581</v>
      </c>
      <c r="B9623" t="s">
        <v>28582</v>
      </c>
      <c r="C9623" t="s">
        <v>28583</v>
      </c>
      <c r="D9623" t="str">
        <f>HYPERLINK("https://github.com/doublesymmetry/react-native-track-player/issues/377","show")</f>
        <v>show</v>
      </c>
      <c r="E9623" t="str">
        <f>HYPERLINK("https://github.com/doublesymmetry/react-native-track-player","show")</f>
        <v>show</v>
      </c>
      <c r="F9623" t="str">
        <f>HYPERLINK("https://github.com/doublesymmetry/react-native-track-player/releases","show")</f>
        <v>show</v>
      </c>
    </row>
    <row r="9624" spans="1:6">
      <c r="A9624" t="s">
        <v>28584</v>
      </c>
      <c r="B9624" t="s">
        <v>28585</v>
      </c>
      <c r="C9624" t="s">
        <v>28586</v>
      </c>
      <c r="D9624" t="str">
        <f>HYPERLINK("https://github.com/jMonkeyEngine/jmonkeyengine/issues/983","show")</f>
        <v>show</v>
      </c>
      <c r="E9624" t="str">
        <f>HYPERLINK("https://github.com/jMonkeyEngine/jmonkeyengine","show")</f>
        <v>show</v>
      </c>
      <c r="F9624" t="str">
        <f>HYPERLINK("https://github.com/jMonkeyEngine/jmonkeyengine/releases","show")</f>
        <v>show</v>
      </c>
    </row>
    <row r="9625" spans="1:6">
      <c r="A9625" t="s">
        <v>28587</v>
      </c>
      <c r="B9625" t="s">
        <v>28588</v>
      </c>
      <c r="C9625" t="s">
        <v>28589</v>
      </c>
      <c r="D9625" t="str">
        <f>HYPERLINK("https://github.com/commons-app/apps-android-commons/issues/2246","show")</f>
        <v>show</v>
      </c>
      <c r="E9625" t="str">
        <f>HYPERLINK("https://github.com/commons-app/apps-android-commons","show")</f>
        <v>show</v>
      </c>
      <c r="F9625" t="str">
        <f>HYPERLINK("https://github.com/commons-app/apps-android-commons/releases","show")</f>
        <v>show</v>
      </c>
    </row>
    <row r="9626" spans="1:6">
      <c r="A9626" t="s">
        <v>28590</v>
      </c>
      <c r="B9626" t="s">
        <v>28591</v>
      </c>
      <c r="C9626" t="s">
        <v>28592</v>
      </c>
      <c r="D9626" t="str">
        <f>HYPERLINK("https://github.com/radarlabs/react-native-radar/issues/56","show")</f>
        <v>show</v>
      </c>
      <c r="E9626" t="str">
        <f>HYPERLINK("https://github.com/radarlabs/react-native-radar","show")</f>
        <v>show</v>
      </c>
      <c r="F9626" t="str">
        <f>HYPERLINK("https://github.com/radarlabs/react-native-radar/releases","show")</f>
        <v>show</v>
      </c>
    </row>
    <row r="9627" spans="1:6">
      <c r="A9627" t="s">
        <v>28593</v>
      </c>
      <c r="B9627" t="s">
        <v>28594</v>
      </c>
      <c r="C9627" t="s">
        <v>28595</v>
      </c>
      <c r="D9627" t="str">
        <f>HYPERLINK("https://github.com/Tencent/tinker/issues/1000","show")</f>
        <v>show</v>
      </c>
      <c r="E9627" t="str">
        <f>HYPERLINK("https://github.com/Tencent/tinker","show")</f>
        <v>show</v>
      </c>
      <c r="F9627" t="str">
        <f>HYPERLINK("https://github.com/Tencent/tinker/releases","show")</f>
        <v>show</v>
      </c>
    </row>
    <row r="9628" spans="1:6">
      <c r="A9628" t="s">
        <v>28596</v>
      </c>
      <c r="B9628" t="s">
        <v>28597</v>
      </c>
      <c r="C9628" t="s">
        <v>28598</v>
      </c>
      <c r="D9628" t="str">
        <f>HYPERLINK("https://github.com/mauron85/react-native-background-geolocation/issues/340","show")</f>
        <v>show</v>
      </c>
      <c r="E9628" t="str">
        <f>HYPERLINK("https://github.com/mauron85/react-native-background-geolocation","show")</f>
        <v>show</v>
      </c>
      <c r="F9628" t="str">
        <f>HYPERLINK("https://github.com/mauron85/react-native-background-geolocation/releases","show")</f>
        <v>show</v>
      </c>
    </row>
    <row r="9629" spans="1:6">
      <c r="A9629" t="s">
        <v>28599</v>
      </c>
      <c r="B9629" t="s">
        <v>28600</v>
      </c>
      <c r="C9629" t="s">
        <v>28601</v>
      </c>
      <c r="D9629" t="str">
        <f>HYPERLINK("https://github.com/radarlabs/react-native-radar/issues/54","show")</f>
        <v>show</v>
      </c>
      <c r="E9629" t="str">
        <f>HYPERLINK("https://github.com/radarlabs/react-native-radar","show")</f>
        <v>show</v>
      </c>
      <c r="F9629" t="str">
        <f>HYPERLINK("https://github.com/radarlabs/react-native-radar/releases","show")</f>
        <v>show</v>
      </c>
    </row>
    <row r="9630" spans="1:6">
      <c r="A9630" t="s">
        <v>28602</v>
      </c>
      <c r="B9630" t="s">
        <v>28603</v>
      </c>
      <c r="C9630" t="s">
        <v>28604</v>
      </c>
      <c r="D9630" t="str">
        <f>HYPERLINK("https://github.com/Catfriend1/syncthing-android/issues/148","show")</f>
        <v>show</v>
      </c>
      <c r="E9630" t="str">
        <f>HYPERLINK("https://github.com/Catfriend1/syncthing-android","show")</f>
        <v>show</v>
      </c>
      <c r="F9630" t="str">
        <f>HYPERLINK("https://github.com/Catfriend1/syncthing-android/releases","show")</f>
        <v>show</v>
      </c>
    </row>
    <row r="9631" spans="1:6">
      <c r="A9631" t="s">
        <v>28605</v>
      </c>
      <c r="B9631" t="s">
        <v>28606</v>
      </c>
      <c r="C9631" t="s">
        <v>28607</v>
      </c>
      <c r="D9631" t="str">
        <f>HYPERLINK("https://github.com/mapbox/mapbox-plugins-android/issues/801","show")</f>
        <v>show</v>
      </c>
      <c r="E9631" t="str">
        <f>HYPERLINK("https://github.com/mapbox/mapbox-plugins-android","show")</f>
        <v>show</v>
      </c>
      <c r="F9631" t="str">
        <f>HYPERLINK("https://github.com/mapbox/mapbox-plugins-android/releases","show")</f>
        <v>show</v>
      </c>
    </row>
    <row r="9632" spans="1:6">
      <c r="A9632" t="s">
        <v>28608</v>
      </c>
      <c r="B9632" t="s">
        <v>28609</v>
      </c>
      <c r="C9632" t="s">
        <v>28610</v>
      </c>
      <c r="D9632" t="str">
        <f>HYPERLINK("https://github.com/testpress/android/issues/84","show")</f>
        <v>show</v>
      </c>
      <c r="E9632" t="str">
        <f>HYPERLINK("https://github.com/testpress/android","show")</f>
        <v>show</v>
      </c>
      <c r="F9632" t="str">
        <f>HYPERLINK("https://github.com/testpress/android/releases","show")</f>
        <v>show</v>
      </c>
    </row>
    <row r="9633" spans="1:6">
      <c r="A9633" t="s">
        <v>28611</v>
      </c>
      <c r="B9633" t="s">
        <v>28612</v>
      </c>
      <c r="C9633" t="s">
        <v>28613</v>
      </c>
      <c r="D9633" t="str">
        <f>HYPERLINK("https://github.com/googlesamples/easypermissions/issues/266","show")</f>
        <v>show</v>
      </c>
      <c r="E9633" t="str">
        <f>HYPERLINK("https://github.com/googlesamples/easypermissions","show")</f>
        <v>show</v>
      </c>
      <c r="F9633" t="str">
        <f>HYPERLINK("https://github.com/googlesamples/easypermissions/releases","show")</f>
        <v>show</v>
      </c>
    </row>
    <row r="9634" spans="1:6">
      <c r="A9634" t="s">
        <v>28614</v>
      </c>
      <c r="B9634" t="s">
        <v>28615</v>
      </c>
      <c r="C9634" t="s">
        <v>28616</v>
      </c>
      <c r="D9634" t="str">
        <f>HYPERLINK("https://github.com/Intelehealth/Android-Mobile-Client/issues/604","show")</f>
        <v>show</v>
      </c>
      <c r="E9634" t="str">
        <f>HYPERLINK("https://github.com/Intelehealth/Android-Mobile-Client","show")</f>
        <v>show</v>
      </c>
      <c r="F9634" t="str">
        <f>HYPERLINK("https://github.com/Intelehealth/Android-Mobile-Client/releases","show")</f>
        <v>show</v>
      </c>
    </row>
    <row r="9635" spans="1:6">
      <c r="A9635" t="s">
        <v>28617</v>
      </c>
      <c r="B9635" t="s">
        <v>28618</v>
      </c>
      <c r="C9635" t="s">
        <v>28619</v>
      </c>
      <c r="D9635" t="str">
        <f>HYPERLINK("https://github.com/Intelehealth/Android-Mobile-Client/issues/602","show")</f>
        <v>show</v>
      </c>
      <c r="E9635" t="str">
        <f>HYPERLINK("https://github.com/Intelehealth/Android-Mobile-Client","show")</f>
        <v>show</v>
      </c>
      <c r="F9635" t="str">
        <f>HYPERLINK("https://github.com/Intelehealth/Android-Mobile-Client/releases","show")</f>
        <v>show</v>
      </c>
    </row>
    <row r="9636" spans="1:6">
      <c r="A9636" t="s">
        <v>28620</v>
      </c>
      <c r="B9636" t="s">
        <v>28621</v>
      </c>
      <c r="C9636" t="s">
        <v>28622</v>
      </c>
      <c r="D9636" t="str">
        <f>HYPERLINK("https://github.com/Intelehealth/Android-Mobile-Client/issues/601","show")</f>
        <v>show</v>
      </c>
      <c r="E9636" t="str">
        <f>HYPERLINK("https://github.com/Intelehealth/Android-Mobile-Client","show")</f>
        <v>show</v>
      </c>
      <c r="F9636" t="str">
        <f>HYPERLINK("https://github.com/Intelehealth/Android-Mobile-Client/releases","show")</f>
        <v>show</v>
      </c>
    </row>
    <row r="9637" spans="1:6">
      <c r="A9637" t="s">
        <v>28623</v>
      </c>
      <c r="B9637" t="s">
        <v>28624</v>
      </c>
      <c r="C9637" t="s">
        <v>28625</v>
      </c>
      <c r="D9637" t="str">
        <f>HYPERLINK("https://github.com/Intelehealth/Android-Mobile-Client/issues/600","show")</f>
        <v>show</v>
      </c>
      <c r="E9637" t="str">
        <f>HYPERLINK("https://github.com/Intelehealth/Android-Mobile-Client","show")</f>
        <v>show</v>
      </c>
      <c r="F9637" t="str">
        <f>HYPERLINK("https://github.com/Intelehealth/Android-Mobile-Client/releases","show")</f>
        <v>show</v>
      </c>
    </row>
    <row r="9638" spans="1:6">
      <c r="A9638" t="s">
        <v>28626</v>
      </c>
      <c r="B9638" t="s">
        <v>28627</v>
      </c>
      <c r="C9638" t="s">
        <v>28628</v>
      </c>
      <c r="D9638" t="str">
        <f>HYPERLINK("https://github.com/commons-app/apps-android-commons/issues/2183","show")</f>
        <v>show</v>
      </c>
      <c r="E9638" t="str">
        <f>HYPERLINK("https://github.com/commons-app/apps-android-commons","show")</f>
        <v>show</v>
      </c>
      <c r="F9638" t="str">
        <f>HYPERLINK("https://github.com/commons-app/apps-android-commons/releases","show")</f>
        <v>show</v>
      </c>
    </row>
    <row r="9639" spans="1:6">
      <c r="A9639" t="s">
        <v>28629</v>
      </c>
      <c r="B9639" t="s">
        <v>28630</v>
      </c>
      <c r="C9639" t="s">
        <v>28631</v>
      </c>
      <c r="D9639" t="str">
        <f>HYPERLINK("https://github.com/OneBusAway/onebusaway-android/issues/957","show")</f>
        <v>show</v>
      </c>
      <c r="E9639" t="str">
        <f>HYPERLINK("https://github.com/OneBusAway/onebusaway-android","show")</f>
        <v>show</v>
      </c>
      <c r="F9639" t="str">
        <f>HYPERLINK("https://github.com/OneBusAway/onebusaway-android/releases","show")</f>
        <v>show</v>
      </c>
    </row>
    <row r="9640" spans="1:6">
      <c r="A9640" t="s">
        <v>28632</v>
      </c>
      <c r="B9640" t="s">
        <v>28633</v>
      </c>
      <c r="C9640" t="s">
        <v>28634</v>
      </c>
      <c r="D9640" t="str">
        <f>HYPERLINK("https://github.com/ThmmyNoLife/mTHMMY/issues/59","show")</f>
        <v>show</v>
      </c>
      <c r="E9640" t="str">
        <f>HYPERLINK("https://github.com/ThmmyNoLife/mTHMMY","show")</f>
        <v>show</v>
      </c>
      <c r="F9640" t="str">
        <f>HYPERLINK("https://github.com/ThmmyNoLife/mTHMMY/releases","show")</f>
        <v>show</v>
      </c>
    </row>
    <row r="9641" spans="1:6">
      <c r="A9641" t="s">
        <v>28635</v>
      </c>
      <c r="B9641" t="s">
        <v>28636</v>
      </c>
      <c r="C9641" t="s">
        <v>28637</v>
      </c>
      <c r="D9641" t="str">
        <f>HYPERLINK("https://github.com/commons-app/apps-android-commons/issues/2166","show")</f>
        <v>show</v>
      </c>
      <c r="E9641" t="str">
        <f>HYPERLINK("https://github.com/commons-app/apps-android-commons","show")</f>
        <v>show</v>
      </c>
      <c r="F9641" t="str">
        <f>HYPERLINK("https://github.com/commons-app/apps-android-commons/releases","show")</f>
        <v>show</v>
      </c>
    </row>
    <row r="9642" spans="1:6">
      <c r="A9642" t="s">
        <v>28638</v>
      </c>
      <c r="B9642" t="s">
        <v>28639</v>
      </c>
      <c r="C9642" t="s">
        <v>28640</v>
      </c>
      <c r="D9642" t="str">
        <f>HYPERLINK("https://github.com/OneBusAway/onebusaway-android/issues/953","show")</f>
        <v>show</v>
      </c>
      <c r="E9642" t="str">
        <f>HYPERLINK("https://github.com/OneBusAway/onebusaway-android","show")</f>
        <v>show</v>
      </c>
      <c r="F9642" t="str">
        <f>HYPERLINK("https://github.com/OneBusAway/onebusaway-android/releases","show")</f>
        <v>show</v>
      </c>
    </row>
    <row r="9643" spans="1:6">
      <c r="A9643" t="s">
        <v>28641</v>
      </c>
      <c r="B9643" t="s">
        <v>28642</v>
      </c>
      <c r="C9643" t="s">
        <v>28643</v>
      </c>
      <c r="D9643" t="str">
        <f>HYPERLINK("https://github.com/fossasia/phimpme-android/issues/2318","show")</f>
        <v>show</v>
      </c>
      <c r="E9643" t="str">
        <f>HYPERLINK("https://github.com/fossasia/phimpme-android","show")</f>
        <v>show</v>
      </c>
      <c r="F9643" t="str">
        <f>HYPERLINK("https://github.com/fossasia/phimpme-android/releases","show")</f>
        <v>show</v>
      </c>
    </row>
    <row r="9644" spans="1:6">
      <c r="A9644" t="s">
        <v>28644</v>
      </c>
      <c r="B9644" t="s">
        <v>28645</v>
      </c>
      <c r="C9644" t="s">
        <v>28646</v>
      </c>
      <c r="D9644" t="str">
        <f>HYPERLINK("https://github.com/microsoft/EmbeddedSocial-Android-SDK/issues/113","show")</f>
        <v>show</v>
      </c>
      <c r="E9644" t="str">
        <f>HYPERLINK("https://github.com/microsoft/EmbeddedSocial-Android-SDK","show")</f>
        <v>show</v>
      </c>
      <c r="F9644" t="str">
        <f>HYPERLINK("https://github.com/microsoft/EmbeddedSocial-Android-SDK/releases","show")</f>
        <v>show</v>
      </c>
    </row>
    <row r="9645" spans="1:6">
      <c r="A9645" t="s">
        <v>28647</v>
      </c>
      <c r="B9645" t="s">
        <v>28648</v>
      </c>
      <c r="C9645" t="s">
        <v>28649</v>
      </c>
      <c r="D9645" t="str">
        <f>HYPERLINK("https://github.com/microsoft/appcenter-sdk-android/issues/917","show")</f>
        <v>show</v>
      </c>
      <c r="E9645" t="str">
        <f>HYPERLINK("https://github.com/microsoft/appcenter-sdk-android","show")</f>
        <v>show</v>
      </c>
      <c r="F9645" t="str">
        <f>HYPERLINK("https://github.com/microsoft/appcenter-sdk-android/releases","show")</f>
        <v>show</v>
      </c>
    </row>
    <row r="9646" spans="1:6">
      <c r="A9646" t="s">
        <v>28650</v>
      </c>
      <c r="B9646" t="s">
        <v>28651</v>
      </c>
      <c r="C9646" t="s">
        <v>28652</v>
      </c>
      <c r="D9646" t="str">
        <f>HYPERLINK("https://github.com/Piwigo/Piwigo-Android/issues/79","show")</f>
        <v>show</v>
      </c>
      <c r="E9646" t="str">
        <f>HYPERLINK("https://github.com/Piwigo/Piwigo-Android","show")</f>
        <v>show</v>
      </c>
      <c r="F9646" t="str">
        <f>HYPERLINK("https://github.com/Piwigo/Piwigo-Android/releases","show")</f>
        <v>show</v>
      </c>
    </row>
    <row r="9647" spans="1:6">
      <c r="A9647" t="s">
        <v>28653</v>
      </c>
      <c r="B9647" t="s">
        <v>28654</v>
      </c>
      <c r="C9647" t="s">
        <v>28655</v>
      </c>
      <c r="D9647" t="str">
        <f>HYPERLINK("https://github.com/sschueller/peertube-android/issues/45","show")</f>
        <v>show</v>
      </c>
      <c r="E9647" t="str">
        <f>HYPERLINK("https://github.com/sschueller/peertube-android","show")</f>
        <v>show</v>
      </c>
      <c r="F9647" t="str">
        <f>HYPERLINK("https://github.com/sschueller/peertube-android/releases","show")</f>
        <v>show</v>
      </c>
    </row>
    <row r="9648" spans="1:6">
      <c r="A9648" t="s">
        <v>28656</v>
      </c>
      <c r="B9648" t="s">
        <v>28657</v>
      </c>
      <c r="C9648" t="s">
        <v>28658</v>
      </c>
      <c r="D9648" t="str">
        <f>HYPERLINK("https://github.com/OneBusAway/onebusaway-android/issues/949","show")</f>
        <v>show</v>
      </c>
      <c r="E9648" t="str">
        <f>HYPERLINK("https://github.com/OneBusAway/onebusaway-android","show")</f>
        <v>show</v>
      </c>
      <c r="F9648" t="str">
        <f>HYPERLINK("https://github.com/OneBusAway/onebusaway-android/releases","show")</f>
        <v>show</v>
      </c>
    </row>
    <row r="9649" spans="1:6">
      <c r="A9649" t="s">
        <v>28659</v>
      </c>
      <c r="B9649" t="s">
        <v>28660</v>
      </c>
      <c r="C9649" t="s">
        <v>28661</v>
      </c>
      <c r="D9649" t="str">
        <f>HYPERLINK("https://github.com/ursval/TK-autoCoach/issues/3","show")</f>
        <v>show</v>
      </c>
      <c r="E9649" t="str">
        <f>HYPERLINK("https://github.com/ursval/TK-autoCoach","show")</f>
        <v>show</v>
      </c>
      <c r="F9649" t="str">
        <f>HYPERLINK("https://github.com/ursval/TK-autoCoach/releases","show")</f>
        <v>show</v>
      </c>
    </row>
    <row r="9650" spans="1:6">
      <c r="A9650" t="s">
        <v>28662</v>
      </c>
      <c r="B9650" t="s">
        <v>28663</v>
      </c>
      <c r="C9650" t="s">
        <v>28664</v>
      </c>
      <c r="D9650" t="str">
        <f>HYPERLINK("https://github.com/Swrve/swrve-android-sdk/issues/280","show")</f>
        <v>show</v>
      </c>
      <c r="E9650" t="str">
        <f>HYPERLINK("https://github.com/Swrve/swrve-android-sdk","show")</f>
        <v>show</v>
      </c>
      <c r="F9650" t="str">
        <f>HYPERLINK("https://github.com/Swrve/swrve-android-sdk/releases","show")</f>
        <v>show</v>
      </c>
    </row>
    <row r="9651" spans="1:6">
      <c r="A9651" t="s">
        <v>28665</v>
      </c>
      <c r="B9651" t="s">
        <v>28666</v>
      </c>
      <c r="C9651" t="s">
        <v>28667</v>
      </c>
      <c r="D9651" t="str">
        <f>HYPERLINK("https://github.com/Susanfe/sdp-event-management/issues/275","show")</f>
        <v>show</v>
      </c>
      <c r="E9651" t="str">
        <f>HYPERLINK("https://github.com/Susanfe/sdp-event-management","show")</f>
        <v>show</v>
      </c>
      <c r="F9651" t="str">
        <f>HYPERLINK("https://github.com/Susanfe/sdp-event-management/releases","show")</f>
        <v>show</v>
      </c>
    </row>
    <row r="9652" spans="1:6">
      <c r="A9652" t="s">
        <v>28668</v>
      </c>
      <c r="B9652" t="s">
        <v>28669</v>
      </c>
      <c r="C9652" t="s">
        <v>28670</v>
      </c>
      <c r="D9652" t="str">
        <f>HYPERLINK("https://github.com/commons-app/apps-android-commons/issues/2123","show")</f>
        <v>show</v>
      </c>
      <c r="E9652" t="str">
        <f>HYPERLINK("https://github.com/commons-app/apps-android-commons","show")</f>
        <v>show</v>
      </c>
      <c r="F9652" t="str">
        <f>HYPERLINK("https://github.com/commons-app/apps-android-commons/releases","show")</f>
        <v>show</v>
      </c>
    </row>
    <row r="9653" spans="1:6">
      <c r="A9653" t="s">
        <v>28671</v>
      </c>
      <c r="B9653" t="s">
        <v>28672</v>
      </c>
      <c r="C9653" t="s">
        <v>28673</v>
      </c>
      <c r="D9653" t="str">
        <f>HYPERLINK("https://github.com/react-native-camera/react-native-camera/issues/2002","show")</f>
        <v>show</v>
      </c>
      <c r="E9653" t="str">
        <f>HYPERLINK("https://github.com/react-native-camera/react-native-camera","show")</f>
        <v>show</v>
      </c>
      <c r="F9653" t="str">
        <f>HYPERLINK("https://github.com/react-native-camera/react-native-camera/releases","show")</f>
        <v>show</v>
      </c>
    </row>
    <row r="9654" spans="1:6">
      <c r="A9654" t="s">
        <v>28674</v>
      </c>
      <c r="B9654" t="s">
        <v>28675</v>
      </c>
      <c r="C9654" t="s">
        <v>28676</v>
      </c>
      <c r="D9654" t="str">
        <f>HYPERLINK("https://github.com/sridharjajoo/NewsApp/issues/22","show")</f>
        <v>show</v>
      </c>
      <c r="E9654" t="str">
        <f>HYPERLINK("https://github.com/sridharjajoo/NewsApp","show")</f>
        <v>show</v>
      </c>
      <c r="F9654" t="str">
        <f>HYPERLINK("https://github.com/sridharjajoo/NewsApp/releases","show")</f>
        <v>show</v>
      </c>
    </row>
    <row r="9655" spans="1:6">
      <c r="A9655" t="s">
        <v>28677</v>
      </c>
      <c r="B9655" t="s">
        <v>28678</v>
      </c>
      <c r="C9655" t="s">
        <v>28679</v>
      </c>
      <c r="D9655" t="str">
        <f>HYPERLINK("https://github.com/NordicSemiconductor/Android-BLE-Library/issues/61","show")</f>
        <v>show</v>
      </c>
      <c r="E9655" t="str">
        <f>HYPERLINK("https://github.com/NordicSemiconductor/Android-BLE-Library","show")</f>
        <v>show</v>
      </c>
      <c r="F9655" t="str">
        <f>HYPERLINK("https://github.com/NordicSemiconductor/Android-BLE-Library/releases","show")</f>
        <v>show</v>
      </c>
    </row>
    <row r="9656" spans="1:6">
      <c r="A9656" t="s">
        <v>28680</v>
      </c>
      <c r="B9656" t="s">
        <v>28681</v>
      </c>
      <c r="C9656" t="s">
        <v>28682</v>
      </c>
      <c r="D9656" t="str">
        <f>HYPERLINK("https://github.com/gsantner/markor/issues/457","show")</f>
        <v>show</v>
      </c>
      <c r="E9656" t="str">
        <f>HYPERLINK("https://github.com/gsantner/markor","show")</f>
        <v>show</v>
      </c>
      <c r="F9656" t="str">
        <f>HYPERLINK("https://github.com/gsantner/markor/releases","show")</f>
        <v>show</v>
      </c>
    </row>
    <row r="9657" spans="1:6">
      <c r="A9657" t="s">
        <v>28683</v>
      </c>
      <c r="B9657" t="s">
        <v>28684</v>
      </c>
      <c r="C9657" t="s">
        <v>28685</v>
      </c>
      <c r="D9657" t="str">
        <f>HYPERLINK("https://github.com/gsantner/markor/issues/455","show")</f>
        <v>show</v>
      </c>
      <c r="E9657" t="str">
        <f>HYPERLINK("https://github.com/gsantner/markor","show")</f>
        <v>show</v>
      </c>
      <c r="F9657" t="str">
        <f>HYPERLINK("https://github.com/gsantner/markor/releases","show")</f>
        <v>show</v>
      </c>
    </row>
    <row r="9658" spans="1:6">
      <c r="A9658" t="s">
        <v>28686</v>
      </c>
      <c r="B9658" t="s">
        <v>28687</v>
      </c>
      <c r="C9658" t="s">
        <v>28688</v>
      </c>
      <c r="D9658" t="str">
        <f>HYPERLINK("https://github.com/TNG/JGiven/issues/376","show")</f>
        <v>show</v>
      </c>
      <c r="E9658" t="str">
        <f>HYPERLINK("https://github.com/TNG/JGiven","show")</f>
        <v>show</v>
      </c>
      <c r="F9658" t="str">
        <f>HYPERLINK("https://github.com/TNG/JGiven/releases","show")</f>
        <v>show</v>
      </c>
    </row>
    <row r="9659" spans="1:6">
      <c r="A9659" t="s">
        <v>28689</v>
      </c>
      <c r="B9659" t="s">
        <v>11874</v>
      </c>
      <c r="C9659" t="s">
        <v>28690</v>
      </c>
      <c r="D9659" t="str">
        <f>HYPERLINK("https://github.com/react-native-svg/react-native-svg/issues/871","show")</f>
        <v>show</v>
      </c>
      <c r="E9659" t="str">
        <f>HYPERLINK("https://github.com/react-native-svg/react-native-svg","show")</f>
        <v>show</v>
      </c>
      <c r="F9659" t="str">
        <f>HYPERLINK("https://github.com/react-native-svg/react-native-svg/releases","show")</f>
        <v>show</v>
      </c>
    </row>
    <row r="9660" spans="1:6">
      <c r="A9660" t="s">
        <v>28691</v>
      </c>
      <c r="B9660" t="s">
        <v>28692</v>
      </c>
      <c r="C9660" t="s">
        <v>28693</v>
      </c>
      <c r="D9660" t="str">
        <f>HYPERLINK("https://github.com/OneBusAway/onebusaway-android/issues/943","show")</f>
        <v>show</v>
      </c>
      <c r="E9660" t="str">
        <f>HYPERLINK("https://github.com/OneBusAway/onebusaway-android","show")</f>
        <v>show</v>
      </c>
      <c r="F9660" t="str">
        <f>HYPERLINK("https://github.com/OneBusAway/onebusaway-android/releases","show")</f>
        <v>show</v>
      </c>
    </row>
    <row r="9661" spans="1:6">
      <c r="A9661" t="s">
        <v>28694</v>
      </c>
      <c r="B9661" t="s">
        <v>28695</v>
      </c>
      <c r="C9661" t="s">
        <v>28696</v>
      </c>
      <c r="D9661" t="str">
        <f>HYPERLINK("https://github.com/fossasia/pslab-android/issues/1466","show")</f>
        <v>show</v>
      </c>
      <c r="E9661" t="str">
        <f>HYPERLINK("https://github.com/fossasia/pslab-android","show")</f>
        <v>show</v>
      </c>
      <c r="F9661" t="str">
        <f>HYPERLINK("https://github.com/fossasia/pslab-android/releases","show")</f>
        <v>show</v>
      </c>
    </row>
    <row r="9662" spans="1:6">
      <c r="A9662" t="s">
        <v>28697</v>
      </c>
      <c r="B9662" t="s">
        <v>28698</v>
      </c>
      <c r="C9662" t="s">
        <v>28699</v>
      </c>
      <c r="D9662" t="str">
        <f>HYPERLINK("https://github.com/AndProx/AndProx/issues/34","show")</f>
        <v>show</v>
      </c>
      <c r="E9662" t="str">
        <f>HYPERLINK("https://github.com/AndProx/AndProx","show")</f>
        <v>show</v>
      </c>
      <c r="F9662" t="str">
        <f>HYPERLINK("https://github.com/AndProx/AndProx/releases","show")</f>
        <v>show</v>
      </c>
    </row>
    <row r="9663" spans="1:6">
      <c r="A9663" t="s">
        <v>28700</v>
      </c>
      <c r="B9663" t="s">
        <v>28701</v>
      </c>
      <c r="C9663" t="s">
        <v>28702</v>
      </c>
      <c r="D9663" t="str">
        <f>HYPERLINK("https://github.com/fossasia/pslab-android/issues/1465","show")</f>
        <v>show</v>
      </c>
      <c r="E9663" t="str">
        <f>HYPERLINK("https://github.com/fossasia/pslab-android","show")</f>
        <v>show</v>
      </c>
      <c r="F9663" t="str">
        <f>HYPERLINK("https://github.com/fossasia/pslab-android/releases","show")</f>
        <v>show</v>
      </c>
    </row>
    <row r="9664" spans="1:6">
      <c r="A9664" t="s">
        <v>28703</v>
      </c>
      <c r="B9664" t="s">
        <v>28704</v>
      </c>
      <c r="C9664" t="s">
        <v>28705</v>
      </c>
      <c r="D9664" t="str">
        <f>HYPERLINK("https://github.com/AmazMod/AmazMod/issues/329","show")</f>
        <v>show</v>
      </c>
      <c r="E9664" t="str">
        <f>HYPERLINK("https://github.com/AmazMod/AmazMod","show")</f>
        <v>show</v>
      </c>
      <c r="F9664" t="str">
        <f>HYPERLINK("https://github.com/AmazMod/AmazMod/releases","show")</f>
        <v>show</v>
      </c>
    </row>
    <row r="9665" spans="1:6">
      <c r="A9665" t="s">
        <v>28706</v>
      </c>
      <c r="B9665" t="s">
        <v>28707</v>
      </c>
      <c r="C9665" t="s">
        <v>28708</v>
      </c>
      <c r="D9665" t="str">
        <f>HYPERLINK("https://github.com/react-native-camera/react-native-camera/issues/1982","show")</f>
        <v>show</v>
      </c>
      <c r="E9665" t="str">
        <f>HYPERLINK("https://github.com/react-native-camera/react-native-camera","show")</f>
        <v>show</v>
      </c>
      <c r="F9665" t="str">
        <f>HYPERLINK("https://github.com/react-native-camera/react-native-camera/releases","show")</f>
        <v>show</v>
      </c>
    </row>
    <row r="9666" spans="1:6">
      <c r="A9666" t="s">
        <v>28709</v>
      </c>
      <c r="B9666" t="s">
        <v>28710</v>
      </c>
      <c r="C9666" t="s">
        <v>28711</v>
      </c>
      <c r="D9666" t="str">
        <f>HYPERLINK("https://github.com/marksuth/indigenous-android/issues/165","show")</f>
        <v>show</v>
      </c>
      <c r="E9666" t="str">
        <f>HYPERLINK("https://github.com/marksuth/indigenous-android","show")</f>
        <v>show</v>
      </c>
      <c r="F9666" t="str">
        <f>HYPERLINK("https://github.com/marksuth/indigenous-android/releases","show")</f>
        <v>show</v>
      </c>
    </row>
    <row r="9667" spans="1:6">
      <c r="A9667" t="s">
        <v>28712</v>
      </c>
      <c r="B9667" t="s">
        <v>28713</v>
      </c>
      <c r="C9667" t="s">
        <v>28714</v>
      </c>
      <c r="D9667" t="str">
        <f>HYPERLINK("https://github.com/HunteRoi/bepway.front.mobile/issues/1","show")</f>
        <v>show</v>
      </c>
      <c r="E9667" t="str">
        <f>HYPERLINK("https://github.com/HunteRoi/bepway.front.mobile","show")</f>
        <v>show</v>
      </c>
      <c r="F9667" t="str">
        <f>HYPERLINK("https://github.com/HunteRoi/bepway.front.mobile/releases","show")</f>
        <v>show</v>
      </c>
    </row>
    <row r="9668" spans="1:6">
      <c r="A9668" t="s">
        <v>28715</v>
      </c>
      <c r="B9668" t="s">
        <v>28716</v>
      </c>
      <c r="C9668" t="s">
        <v>28717</v>
      </c>
      <c r="D9668" t="str">
        <f>HYPERLINK("https://github.com/xtensa/PodEmu/issues/7","show")</f>
        <v>show</v>
      </c>
      <c r="E9668" t="str">
        <f>HYPERLINK("https://github.com/xtensa/PodEmu","show")</f>
        <v>show</v>
      </c>
      <c r="F9668" t="str">
        <f>HYPERLINK("https://github.com/xtensa/PodEmu/releases","show")</f>
        <v>show</v>
      </c>
    </row>
    <row r="9669" spans="1:6">
      <c r="A9669" t="s">
        <v>28718</v>
      </c>
      <c r="B9669" t="s">
        <v>28719</v>
      </c>
      <c r="C9669" t="s">
        <v>28720</v>
      </c>
      <c r="D9669" t="str">
        <f>HYPERLINK("https://github.com/Chainfire/librootjava/issues/1","show")</f>
        <v>show</v>
      </c>
      <c r="E9669" t="str">
        <f>HYPERLINK("https://github.com/Chainfire/librootjava","show")</f>
        <v>show</v>
      </c>
      <c r="F9669" t="str">
        <f>HYPERLINK("https://github.com/Chainfire/librootjava/releases","show")</f>
        <v>show</v>
      </c>
    </row>
    <row r="9670" spans="1:6">
      <c r="A9670" t="s">
        <v>28721</v>
      </c>
      <c r="B9670" t="s">
        <v>28722</v>
      </c>
      <c r="C9670" t="s">
        <v>28723</v>
      </c>
      <c r="D9670" t="str">
        <f>HYPERLINK("https://github.com/mehtank/androminion/issues/580","show")</f>
        <v>show</v>
      </c>
      <c r="E9670" t="str">
        <f>HYPERLINK("https://github.com/mehtank/androminion","show")</f>
        <v>show</v>
      </c>
      <c r="F9670" t="str">
        <f>HYPERLINK("https://github.com/mehtank/androminion/releases","show")</f>
        <v>show</v>
      </c>
    </row>
    <row r="9671" spans="1:6">
      <c r="A9671" t="s">
        <v>28724</v>
      </c>
      <c r="B9671" t="s">
        <v>28725</v>
      </c>
      <c r="C9671" t="s">
        <v>28726</v>
      </c>
      <c r="D9671" t="str">
        <f>HYPERLINK("https://github.com/itachi1706/SingBuses/issues/152","show")</f>
        <v>show</v>
      </c>
      <c r="E9671" t="str">
        <f>HYPERLINK("https://github.com/itachi1706/SingBuses","show")</f>
        <v>show</v>
      </c>
      <c r="F9671" t="str">
        <f>HYPERLINK("https://github.com/itachi1706/SingBuses/releases","show")</f>
        <v>show</v>
      </c>
    </row>
    <row r="9672" spans="1:6">
      <c r="A9672" t="s">
        <v>28727</v>
      </c>
      <c r="B9672" t="s">
        <v>28728</v>
      </c>
      <c r="C9672" t="s">
        <v>28729</v>
      </c>
      <c r="D9672" t="str">
        <f>HYPERLINK("https://github.com/commons-app/apps-android-commons/issues/2083","show")</f>
        <v>show</v>
      </c>
      <c r="E9672" t="str">
        <f>HYPERLINK("https://github.com/commons-app/apps-android-commons","show")</f>
        <v>show</v>
      </c>
      <c r="F9672" t="str">
        <f>HYPERLINK("https://github.com/commons-app/apps-android-commons/releases","show")</f>
        <v>show</v>
      </c>
    </row>
    <row r="9673" spans="1:6">
      <c r="A9673" t="s">
        <v>28730</v>
      </c>
      <c r="B9673" t="s">
        <v>28731</v>
      </c>
      <c r="C9673" t="s">
        <v>28732</v>
      </c>
      <c r="D9673" t="str">
        <f>HYPERLINK("https://github.com/commons-app/apps-android-commons/issues/2081","show")</f>
        <v>show</v>
      </c>
      <c r="E9673" t="str">
        <f>HYPERLINK("https://github.com/commons-app/apps-android-commons","show")</f>
        <v>show</v>
      </c>
      <c r="F9673" t="str">
        <f>HYPERLINK("https://github.com/commons-app/apps-android-commons/releases","show")</f>
        <v>show</v>
      </c>
    </row>
    <row r="9674" spans="1:6">
      <c r="A9674" t="s">
        <v>28733</v>
      </c>
      <c r="B9674" t="s">
        <v>28734</v>
      </c>
      <c r="C9674" t="s">
        <v>28735</v>
      </c>
      <c r="D9674" t="str">
        <f>HYPERLINK("https://github.com/k9mail/k-9/issues/3803","show")</f>
        <v>show</v>
      </c>
      <c r="E9674" t="str">
        <f>HYPERLINK("https://github.com/k9mail/k-9","show")</f>
        <v>show</v>
      </c>
      <c r="F9674" t="str">
        <f>HYPERLINK("https://github.com/k9mail/k-9/releases","show")</f>
        <v>show</v>
      </c>
    </row>
    <row r="9675" spans="1:6">
      <c r="A9675" t="s">
        <v>28736</v>
      </c>
      <c r="B9675" t="s">
        <v>28737</v>
      </c>
      <c r="C9675" t="s">
        <v>28738</v>
      </c>
      <c r="D9675" t="str">
        <f>HYPERLINK("https://github.com/aws-amplify/aws-sdk-android/issues/604","show")</f>
        <v>show</v>
      </c>
      <c r="E9675" t="str">
        <f>HYPERLINK("https://github.com/aws-amplify/aws-sdk-android","show")</f>
        <v>show</v>
      </c>
      <c r="F9675" t="str">
        <f>HYPERLINK("https://github.com/aws-amplify/aws-sdk-android/releases","show")</f>
        <v>show</v>
      </c>
    </row>
    <row r="9676" spans="1:6">
      <c r="A9676" t="s">
        <v>28739</v>
      </c>
      <c r="B9676" t="s">
        <v>28740</v>
      </c>
      <c r="C9676" t="s">
        <v>28741</v>
      </c>
      <c r="D9676" t="str">
        <f>HYPERLINK("https://github.com/itachi1706/SingBuses/issues/151","show")</f>
        <v>show</v>
      </c>
      <c r="E9676" t="str">
        <f>HYPERLINK("https://github.com/itachi1706/SingBuses","show")</f>
        <v>show</v>
      </c>
      <c r="F9676" t="str">
        <f>HYPERLINK("https://github.com/itachi1706/SingBuses/releases","show")</f>
        <v>show</v>
      </c>
    </row>
    <row r="9677" spans="1:6">
      <c r="A9677" t="s">
        <v>28742</v>
      </c>
      <c r="B9677" t="s">
        <v>28743</v>
      </c>
      <c r="C9677" t="s">
        <v>28744</v>
      </c>
      <c r="D9677" t="str">
        <f>HYPERLINK("https://github.com/itachi1706/SingBuses/issues/150","show")</f>
        <v>show</v>
      </c>
      <c r="E9677" t="str">
        <f>HYPERLINK("https://github.com/itachi1706/SingBuses","show")</f>
        <v>show</v>
      </c>
      <c r="F9677" t="str">
        <f>HYPERLINK("https://github.com/itachi1706/SingBuses/releases","show")</f>
        <v>show</v>
      </c>
    </row>
    <row r="9678" spans="1:6">
      <c r="A9678" t="s">
        <v>28745</v>
      </c>
      <c r="B9678" t="s">
        <v>28746</v>
      </c>
      <c r="C9678" t="s">
        <v>28747</v>
      </c>
      <c r="D9678" t="str">
        <f>HYPERLINK("https://github.com/ankidroid/Anki-Android/issues/5152","show")</f>
        <v>show</v>
      </c>
      <c r="E9678" t="str">
        <f>HYPERLINK("https://github.com/ankidroid/Anki-Android","show")</f>
        <v>show</v>
      </c>
      <c r="F9678" t="str">
        <f>HYPERLINK("https://github.com/ankidroid/Anki-Android/releases","show")</f>
        <v>show</v>
      </c>
    </row>
    <row r="9679" spans="1:6">
      <c r="A9679" t="s">
        <v>28748</v>
      </c>
      <c r="B9679" t="s">
        <v>28749</v>
      </c>
      <c r="C9679" t="s">
        <v>28750</v>
      </c>
      <c r="D9679" t="str">
        <f>HYPERLINK("https://github.com/liferay/liferay-screens/issues/589","show")</f>
        <v>show</v>
      </c>
      <c r="E9679" t="str">
        <f>HYPERLINK("https://github.com/liferay/liferay-screens","show")</f>
        <v>show</v>
      </c>
      <c r="F9679" t="str">
        <f>HYPERLINK("https://github.com/liferay/liferay-screens/releases","show")</f>
        <v>show</v>
      </c>
    </row>
    <row r="9680" spans="1:6">
      <c r="A9680" t="s">
        <v>28751</v>
      </c>
      <c r="B9680" t="s">
        <v>28752</v>
      </c>
      <c r="C9680" t="s">
        <v>28753</v>
      </c>
      <c r="D9680" t="str">
        <f>HYPERLINK("https://github.com/fossasia/pslab-android/issues/1452","show")</f>
        <v>show</v>
      </c>
      <c r="E9680" t="str">
        <f>HYPERLINK("https://github.com/fossasia/pslab-android","show")</f>
        <v>show</v>
      </c>
      <c r="F9680" t="str">
        <f>HYPERLINK("https://github.com/fossasia/pslab-android/releases","show")</f>
        <v>show</v>
      </c>
    </row>
    <row r="9681" spans="1:6">
      <c r="A9681" t="s">
        <v>28754</v>
      </c>
      <c r="B9681" t="s">
        <v>28755</v>
      </c>
      <c r="C9681" t="s">
        <v>28756</v>
      </c>
      <c r="D9681" t="str">
        <f>HYPERLINK("https://github.com/beohoang98/ISE_NMH_16/issues/1","show")</f>
        <v>show</v>
      </c>
      <c r="E9681" t="str">
        <f>HYPERLINK("https://github.com/beohoang98/ISE_NMH_16","show")</f>
        <v>show</v>
      </c>
      <c r="F9681" t="str">
        <f>HYPERLINK("https://github.com/beohoang98/ISE_NMH_16/releases","show")</f>
        <v>show</v>
      </c>
    </row>
    <row r="9682" spans="1:6">
      <c r="A9682" t="s">
        <v>28757</v>
      </c>
      <c r="B9682" t="s">
        <v>28758</v>
      </c>
      <c r="C9682" t="s">
        <v>28759</v>
      </c>
      <c r="D9682" t="str">
        <f>HYPERLINK("https://github.com/mapbox/mapbox-events-android/issues/310","show")</f>
        <v>show</v>
      </c>
      <c r="E9682" t="str">
        <f>HYPERLINK("https://github.com/mapbox/mapbox-events-android","show")</f>
        <v>show</v>
      </c>
      <c r="F9682" t="str">
        <f>HYPERLINK("https://github.com/mapbox/mapbox-events-android/releases","show")</f>
        <v>show</v>
      </c>
    </row>
    <row r="9683" spans="1:6">
      <c r="A9683" t="s">
        <v>28760</v>
      </c>
      <c r="B9683" t="s">
        <v>28761</v>
      </c>
      <c r="C9683" t="s">
        <v>28762</v>
      </c>
      <c r="D9683" t="str">
        <f>HYPERLINK("https://github.com/alexweininger/android-catan/issues/296","show")</f>
        <v>show</v>
      </c>
      <c r="E9683" t="str">
        <f>HYPERLINK("https://github.com/alexweininger/android-catan","show")</f>
        <v>show</v>
      </c>
      <c r="F9683" t="str">
        <f>HYPERLINK("https://github.com/alexweininger/android-catan/releases","show")</f>
        <v>show</v>
      </c>
    </row>
    <row r="9684" spans="1:6">
      <c r="A9684" t="s">
        <v>28763</v>
      </c>
      <c r="B9684" t="s">
        <v>28764</v>
      </c>
      <c r="C9684" t="s">
        <v>28765</v>
      </c>
      <c r="D9684" t="str">
        <f>HYPERLINK("https://github.com/SEG2105-Group/JobZi/issues/174","show")</f>
        <v>show</v>
      </c>
      <c r="E9684" t="str">
        <f>HYPERLINK("https://github.com/SEG2105-Group/JobZi","show")</f>
        <v>show</v>
      </c>
      <c r="F9684" t="str">
        <f>HYPERLINK("https://github.com/SEG2105-Group/JobZi/releases","show")</f>
        <v>show</v>
      </c>
    </row>
    <row r="9685" spans="1:6">
      <c r="A9685" t="s">
        <v>28766</v>
      </c>
      <c r="B9685" t="s">
        <v>28767</v>
      </c>
      <c r="C9685" t="s">
        <v>28768</v>
      </c>
      <c r="D9685" t="str">
        <f>HYPERLINK("https://github.com/SEG2105-Group/JobZi/issues/172","show")</f>
        <v>show</v>
      </c>
      <c r="E9685" t="str">
        <f>HYPERLINK("https://github.com/SEG2105-Group/JobZi","show")</f>
        <v>show</v>
      </c>
      <c r="F9685" t="str">
        <f>HYPERLINK("https://github.com/SEG2105-Group/JobZi/releases","show")</f>
        <v>show</v>
      </c>
    </row>
    <row r="9686" spans="1:6">
      <c r="A9686" t="s">
        <v>28769</v>
      </c>
      <c r="B9686" t="s">
        <v>28770</v>
      </c>
      <c r="C9686" t="s">
        <v>28771</v>
      </c>
      <c r="D9686" t="str">
        <f>HYPERLINK("https://github.com/onaio/kujaku/issues/212","show")</f>
        <v>show</v>
      </c>
      <c r="E9686" t="str">
        <f>HYPERLINK("https://github.com/onaio/kujaku","show")</f>
        <v>show</v>
      </c>
      <c r="F9686" t="str">
        <f>HYPERLINK("https://github.com/onaio/kujaku/releases","show")</f>
        <v>show</v>
      </c>
    </row>
    <row r="9687" spans="1:6">
      <c r="A9687" t="s">
        <v>28772</v>
      </c>
      <c r="B9687" t="s">
        <v>28773</v>
      </c>
      <c r="C9687" t="s">
        <v>28774</v>
      </c>
      <c r="D9687" t="str">
        <f>HYPERLINK("https://github.com/seisure/ASE/issues/107","show")</f>
        <v>show</v>
      </c>
      <c r="E9687" t="str">
        <f>HYPERLINK("https://github.com/seisure/ASE","show")</f>
        <v>show</v>
      </c>
      <c r="F9687" t="str">
        <f>HYPERLINK("https://github.com/seisure/ASE/releases","show")</f>
        <v>show</v>
      </c>
    </row>
    <row r="9688" spans="1:6">
      <c r="A9688" t="s">
        <v>28775</v>
      </c>
      <c r="B9688" t="s">
        <v>28776</v>
      </c>
      <c r="C9688" t="s">
        <v>28777</v>
      </c>
      <c r="D9688" t="str">
        <f>HYPERLINK("https://github.com/osmdroid/osmdroid/issues/1217","show")</f>
        <v>show</v>
      </c>
      <c r="E9688" t="str">
        <f>HYPERLINK("https://github.com/osmdroid/osmdroid","show")</f>
        <v>show</v>
      </c>
      <c r="F9688" t="str">
        <f>HYPERLINK("https://github.com/osmdroid/osmdroid/releases","show")</f>
        <v>show</v>
      </c>
    </row>
    <row r="9689" spans="1:6">
      <c r="A9689" t="s">
        <v>28778</v>
      </c>
      <c r="B9689" t="s">
        <v>28779</v>
      </c>
      <c r="C9689" t="s">
        <v>28780</v>
      </c>
      <c r="D9689" t="str">
        <f>HYPERLINK("https://github.com/GreatApo/GreatFit/issues/22","show")</f>
        <v>show</v>
      </c>
      <c r="E9689" t="str">
        <f>HYPERLINK("https://github.com/GreatApo/GreatFit","show")</f>
        <v>show</v>
      </c>
      <c r="F9689" t="str">
        <f>HYPERLINK("https://github.com/GreatApo/GreatFit/releases","show")</f>
        <v>show</v>
      </c>
    </row>
    <row r="9690" spans="1:6">
      <c r="A9690" t="s">
        <v>28781</v>
      </c>
      <c r="B9690" t="s">
        <v>28782</v>
      </c>
      <c r="C9690" t="s">
        <v>28783</v>
      </c>
      <c r="D9690" t="str">
        <f>HYPERLINK("https://github.com/k3b/ToGoZip/issues/15","show")</f>
        <v>show</v>
      </c>
      <c r="E9690" t="str">
        <f>HYPERLINK("https://github.com/k3b/ToGoZip","show")</f>
        <v>show</v>
      </c>
      <c r="F9690" t="str">
        <f>HYPERLINK("https://github.com/k3b/ToGoZip/releases","show")</f>
        <v>show</v>
      </c>
    </row>
    <row r="9691" spans="1:6">
      <c r="A9691" t="s">
        <v>28784</v>
      </c>
      <c r="B9691" t="s">
        <v>28785</v>
      </c>
      <c r="C9691" t="s">
        <v>28786</v>
      </c>
      <c r="D9691" t="str">
        <f>HYPERLINK("https://github.com/kontalk/androidclient/issues/1242","show")</f>
        <v>show</v>
      </c>
      <c r="E9691" t="str">
        <f>HYPERLINK("https://github.com/kontalk/androidclient","show")</f>
        <v>show</v>
      </c>
      <c r="F9691" t="str">
        <f>HYPERLINK("https://github.com/kontalk/androidclient/releases","show")</f>
        <v>show</v>
      </c>
    </row>
    <row r="9692" spans="1:6">
      <c r="A9692" t="s">
        <v>28787</v>
      </c>
      <c r="B9692" t="s">
        <v>28788</v>
      </c>
      <c r="C9692" t="s">
        <v>28789</v>
      </c>
      <c r="D9692" t="str">
        <f>HYPERLINK("https://github.com/commons-app/apps-android-commons/issues/2045","show")</f>
        <v>show</v>
      </c>
      <c r="E9692" t="str">
        <f>HYPERLINK("https://github.com/commons-app/apps-android-commons","show")</f>
        <v>show</v>
      </c>
      <c r="F9692" t="str">
        <f>HYPERLINK("https://github.com/commons-app/apps-android-commons/releases","show")</f>
        <v>show</v>
      </c>
    </row>
    <row r="9693" spans="1:6">
      <c r="A9693" t="s">
        <v>28790</v>
      </c>
      <c r="B9693" t="s">
        <v>28791</v>
      </c>
      <c r="C9693" t="s">
        <v>28792</v>
      </c>
      <c r="D9693" t="str">
        <f>HYPERLINK("https://github.com/react-native-camera/react-native-camera/issues/1956","show")</f>
        <v>show</v>
      </c>
      <c r="E9693" t="str">
        <f>HYPERLINK("https://github.com/react-native-camera/react-native-camera","show")</f>
        <v>show</v>
      </c>
      <c r="F9693" t="str">
        <f>HYPERLINK("https://github.com/react-native-camera/react-native-camera/releases","show")</f>
        <v>show</v>
      </c>
    </row>
    <row r="9694" spans="1:6">
      <c r="A9694" t="s">
        <v>28793</v>
      </c>
      <c r="B9694" t="s">
        <v>28794</v>
      </c>
      <c r="C9694" t="s">
        <v>28795</v>
      </c>
      <c r="D9694" t="str">
        <f>HYPERLINK("https://github.com/ryanw3bb/unity-native-toolkit/issues/3","show")</f>
        <v>show</v>
      </c>
      <c r="E9694" t="str">
        <f>HYPERLINK("https://github.com/ryanw3bb/unity-native-toolkit","show")</f>
        <v>show</v>
      </c>
      <c r="F9694" t="str">
        <f>HYPERLINK("https://github.com/ryanw3bb/unity-native-toolkit/releases","show")</f>
        <v>show</v>
      </c>
    </row>
    <row r="9695" spans="1:6">
      <c r="A9695" t="s">
        <v>28796</v>
      </c>
      <c r="B9695" t="s">
        <v>28797</v>
      </c>
      <c r="C9695" t="s">
        <v>28798</v>
      </c>
      <c r="D9695" t="str">
        <f>HYPERLINK("https://github.com/sschueller/peertube-android/issues/26","show")</f>
        <v>show</v>
      </c>
      <c r="E9695" t="str">
        <f>HYPERLINK("https://github.com/sschueller/peertube-android","show")</f>
        <v>show</v>
      </c>
      <c r="F9695" t="str">
        <f>HYPERLINK("https://github.com/sschueller/peertube-android/releases","show")</f>
        <v>show</v>
      </c>
    </row>
    <row r="9696" spans="1:6">
      <c r="A9696" t="s">
        <v>28799</v>
      </c>
      <c r="B9696" t="s">
        <v>28800</v>
      </c>
      <c r="C9696" t="s">
        <v>28801</v>
      </c>
      <c r="D9696" t="str">
        <f>HYPERLINK("https://github.com/commons-app/apps-android-commons/issues/2041","show")</f>
        <v>show</v>
      </c>
      <c r="E9696" t="str">
        <f>HYPERLINK("https://github.com/commons-app/apps-android-commons","show")</f>
        <v>show</v>
      </c>
      <c r="F9696" t="str">
        <f>HYPERLINK("https://github.com/commons-app/apps-android-commons/releases","show")</f>
        <v>show</v>
      </c>
    </row>
    <row r="9697" spans="1:6">
      <c r="A9697" t="s">
        <v>28802</v>
      </c>
      <c r="B9697" t="s">
        <v>28803</v>
      </c>
      <c r="C9697" t="s">
        <v>28804</v>
      </c>
      <c r="D9697" t="str">
        <f>HYPERLINK("https://github.com/MozillaReality/FirefoxReality/issues/848","show")</f>
        <v>show</v>
      </c>
      <c r="E9697" t="str">
        <f>HYPERLINK("https://github.com/MozillaReality/FirefoxReality","show")</f>
        <v>show</v>
      </c>
      <c r="F9697" t="str">
        <f>HYPERLINK("https://github.com/MozillaReality/FirefoxReality/releases","show")</f>
        <v>show</v>
      </c>
    </row>
    <row r="9698" spans="1:6">
      <c r="A9698" t="s">
        <v>28805</v>
      </c>
      <c r="B9698" t="s">
        <v>28806</v>
      </c>
      <c r="C9698" t="s">
        <v>28807</v>
      </c>
      <c r="D9698" t="str">
        <f>HYPERLINK("https://github.com/MozillaReality/FirefoxReality/issues/844","show")</f>
        <v>show</v>
      </c>
      <c r="E9698" t="str">
        <f>HYPERLINK("https://github.com/MozillaReality/FirefoxReality","show")</f>
        <v>show</v>
      </c>
      <c r="F9698" t="str">
        <f>HYPERLINK("https://github.com/MozillaReality/FirefoxReality/releases","show")</f>
        <v>show</v>
      </c>
    </row>
    <row r="9699" spans="1:6">
      <c r="A9699" t="s">
        <v>28808</v>
      </c>
      <c r="B9699" t="s">
        <v>28809</v>
      </c>
      <c r="C9699" t="s">
        <v>28810</v>
      </c>
      <c r="D9699" t="str">
        <f>HYPERLINK("https://github.com/google/ExoPlayer/issues/5149","show")</f>
        <v>show</v>
      </c>
      <c r="E9699" t="str">
        <f>HYPERLINK("https://github.com/google/ExoPlayer","show")</f>
        <v>show</v>
      </c>
      <c r="F9699" t="str">
        <f>HYPERLINK("https://github.com/google/ExoPlayer/releases","show")</f>
        <v>show</v>
      </c>
    </row>
    <row r="9700" spans="1:6">
      <c r="A9700" t="s">
        <v>28811</v>
      </c>
      <c r="B9700" t="s">
        <v>28812</v>
      </c>
      <c r="C9700" t="s">
        <v>28813</v>
      </c>
      <c r="D9700" t="str">
        <f>HYPERLINK("https://github.com/marksuth/indigenous-android/issues/154","show")</f>
        <v>show</v>
      </c>
      <c r="E9700" t="str">
        <f>HYPERLINK("https://github.com/marksuth/indigenous-android","show")</f>
        <v>show</v>
      </c>
      <c r="F9700" t="str">
        <f>HYPERLINK("https://github.com/marksuth/indigenous-android/releases","show")</f>
        <v>show</v>
      </c>
    </row>
    <row r="9701" spans="1:6">
      <c r="A9701" t="s">
        <v>28814</v>
      </c>
      <c r="B9701" t="s">
        <v>28815</v>
      </c>
      <c r="C9701" t="s">
        <v>28816</v>
      </c>
      <c r="D9701" t="str">
        <f>HYPERLINK("https://github.com/commons-app/apps-android-commons/issues/2029","show")</f>
        <v>show</v>
      </c>
      <c r="E9701" t="str">
        <f>HYPERLINK("https://github.com/commons-app/apps-android-commons","show")</f>
        <v>show</v>
      </c>
      <c r="F9701" t="str">
        <f>HYPERLINK("https://github.com/commons-app/apps-android-commons/releases","show")</f>
        <v>show</v>
      </c>
    </row>
    <row r="9702" spans="1:6">
      <c r="A9702" t="s">
        <v>28817</v>
      </c>
      <c r="B9702" t="s">
        <v>28818</v>
      </c>
      <c r="C9702" t="s">
        <v>28819</v>
      </c>
      <c r="D9702" t="str">
        <f>HYPERLINK("https://github.com/niclabs/adkintunmobile-androidclient/issues/202","show")</f>
        <v>show</v>
      </c>
      <c r="E9702" t="str">
        <f>HYPERLINK("https://github.com/niclabs/adkintunmobile-androidclient","show")</f>
        <v>show</v>
      </c>
      <c r="F9702" t="str">
        <f>HYPERLINK("https://github.com/niclabs/adkintunmobile-androidclient/releases","show")</f>
        <v>show</v>
      </c>
    </row>
    <row r="9703" spans="1:6">
      <c r="A9703" t="s">
        <v>28820</v>
      </c>
      <c r="B9703" t="s">
        <v>28821</v>
      </c>
      <c r="C9703" t="s">
        <v>28822</v>
      </c>
      <c r="D9703" t="str">
        <f>HYPERLINK("https://github.com/nikmons/screwdriver/issues/14","show")</f>
        <v>show</v>
      </c>
      <c r="E9703" t="str">
        <f>HYPERLINK("https://github.com/nikmons/screwdriver","show")</f>
        <v>show</v>
      </c>
      <c r="F9703" t="str">
        <f>HYPERLINK("https://github.com/nikmons/screwdriver/releases","show")</f>
        <v>show</v>
      </c>
    </row>
    <row r="9704" spans="1:6">
      <c r="A9704" t="s">
        <v>28823</v>
      </c>
      <c r="B9704" t="s">
        <v>28824</v>
      </c>
      <c r="C9704" t="s">
        <v>28825</v>
      </c>
      <c r="D9704" t="str">
        <f>HYPERLINK("https://github.com/mehtank/androminion/issues/575","show")</f>
        <v>show</v>
      </c>
      <c r="E9704" t="str">
        <f>HYPERLINK("https://github.com/mehtank/androminion","show")</f>
        <v>show</v>
      </c>
      <c r="F9704" t="str">
        <f>HYPERLINK("https://github.com/mehtank/androminion/releases","show")</f>
        <v>show</v>
      </c>
    </row>
    <row r="9705" spans="1:6">
      <c r="A9705" t="s">
        <v>28826</v>
      </c>
      <c r="B9705" t="s">
        <v>28827</v>
      </c>
      <c r="C9705" t="s">
        <v>28828</v>
      </c>
      <c r="D9705" t="str">
        <f>HYPERLINK("https://github.com/alexweininger/android-catan/issues/211","show")</f>
        <v>show</v>
      </c>
      <c r="E9705" t="str">
        <f>HYPERLINK("https://github.com/alexweininger/android-catan","show")</f>
        <v>show</v>
      </c>
      <c r="F9705" t="str">
        <f>HYPERLINK("https://github.com/alexweininger/android-catan/releases","show")</f>
        <v>show</v>
      </c>
    </row>
    <row r="9706" spans="1:6">
      <c r="A9706" t="s">
        <v>28829</v>
      </c>
      <c r="B9706" t="s">
        <v>28830</v>
      </c>
      <c r="C9706" t="s">
        <v>28831</v>
      </c>
      <c r="D9706" t="str">
        <f>HYPERLINK("https://github.com/alexweininger/android-catan/issues/209","show")</f>
        <v>show</v>
      </c>
      <c r="E9706" t="str">
        <f>HYPERLINK("https://github.com/alexweininger/android-catan","show")</f>
        <v>show</v>
      </c>
      <c r="F9706" t="str">
        <f>HYPERLINK("https://github.com/alexweininger/android-catan/releases","show")</f>
        <v>show</v>
      </c>
    </row>
    <row r="9707" spans="1:6">
      <c r="A9707" t="s">
        <v>28832</v>
      </c>
      <c r="B9707" t="s">
        <v>28833</v>
      </c>
      <c r="C9707" t="s">
        <v>28834</v>
      </c>
      <c r="D9707" t="str">
        <f>HYPERLINK("https://github.com/commons-app/apps-android-commons/issues/2026","show")</f>
        <v>show</v>
      </c>
      <c r="E9707" t="str">
        <f>HYPERLINK("https://github.com/commons-app/apps-android-commons","show")</f>
        <v>show</v>
      </c>
      <c r="F9707" t="str">
        <f>HYPERLINK("https://github.com/commons-app/apps-android-commons/releases","show")</f>
        <v>show</v>
      </c>
    </row>
    <row r="9708" spans="1:6">
      <c r="A9708" t="s">
        <v>28835</v>
      </c>
      <c r="B9708" t="s">
        <v>28836</v>
      </c>
      <c r="C9708" t="s">
        <v>28837</v>
      </c>
      <c r="D9708" t="str">
        <f>HYPERLINK("https://github.com/lineargs/WatchNextApp/issues/56","show")</f>
        <v>show</v>
      </c>
      <c r="E9708" t="str">
        <f>HYPERLINK("https://github.com/lineargs/WatchNextApp","show")</f>
        <v>show</v>
      </c>
      <c r="F9708" t="str">
        <f>HYPERLINK("https://github.com/lineargs/WatchNextApp/releases","show")</f>
        <v>show</v>
      </c>
    </row>
    <row r="9709" spans="1:6">
      <c r="A9709" t="s">
        <v>28838</v>
      </c>
      <c r="B9709" t="s">
        <v>28839</v>
      </c>
      <c r="C9709" t="s">
        <v>28840</v>
      </c>
      <c r="D9709" t="str">
        <f>HYPERLINK("https://github.com/noties/Markwon/issues/81","show")</f>
        <v>show</v>
      </c>
      <c r="E9709" t="str">
        <f>HYPERLINK("https://github.com/noties/Markwon","show")</f>
        <v>show</v>
      </c>
      <c r="F9709" t="str">
        <f>HYPERLINK("https://github.com/noties/Markwon/releases","show")</f>
        <v>show</v>
      </c>
    </row>
    <row r="9710" spans="1:6">
      <c r="A9710" t="s">
        <v>28841</v>
      </c>
      <c r="B9710" t="s">
        <v>28842</v>
      </c>
      <c r="C9710" t="s">
        <v>28843</v>
      </c>
      <c r="D9710" t="str">
        <f>HYPERLINK("https://github.com/JasonSmith03/Android-Project/issues/6","show")</f>
        <v>show</v>
      </c>
      <c r="E9710" t="str">
        <f>HYPERLINK("https://github.com/JasonSmith03/Android-Project","show")</f>
        <v>show</v>
      </c>
      <c r="F9710" t="str">
        <f>HYPERLINK("https://github.com/JasonSmith03/Android-Project/releases","show")</f>
        <v>show</v>
      </c>
    </row>
    <row r="9711" spans="1:6">
      <c r="A9711" t="s">
        <v>28844</v>
      </c>
      <c r="B9711" t="s">
        <v>28845</v>
      </c>
      <c r="C9711" t="s">
        <v>28846</v>
      </c>
      <c r="D9711" t="str">
        <f>HYPERLINK("https://github.com/JasonSmith03/Android-Project/issues/5","show")</f>
        <v>show</v>
      </c>
      <c r="E9711" t="str">
        <f>HYPERLINK("https://github.com/JasonSmith03/Android-Project","show")</f>
        <v>show</v>
      </c>
      <c r="F9711" t="str">
        <f>HYPERLINK("https://github.com/JasonSmith03/Android-Project/releases","show")</f>
        <v>show</v>
      </c>
    </row>
    <row r="9712" spans="1:6">
      <c r="A9712" t="s">
        <v>28847</v>
      </c>
      <c r="B9712" t="s">
        <v>28848</v>
      </c>
      <c r="C9712" t="s">
        <v>28849</v>
      </c>
      <c r="D9712" t="str">
        <f>HYPERLINK("https://github.com/ankidroid/Anki-Android/issues/5131","show")</f>
        <v>show</v>
      </c>
      <c r="E9712" t="str">
        <f>HYPERLINK("https://github.com/ankidroid/Anki-Android","show")</f>
        <v>show</v>
      </c>
      <c r="F9712" t="str">
        <f>HYPERLINK("https://github.com/ankidroid/Anki-Android/releases","show")</f>
        <v>show</v>
      </c>
    </row>
    <row r="9713" spans="1:6">
      <c r="A9713" t="s">
        <v>28850</v>
      </c>
      <c r="B9713" t="s">
        <v>28851</v>
      </c>
      <c r="C9713" t="s">
        <v>28852</v>
      </c>
      <c r="D9713" t="str">
        <f>HYPERLINK("https://github.com/oliexdev/openScale/issues/354","show")</f>
        <v>show</v>
      </c>
      <c r="E9713" t="str">
        <f>HYPERLINK("https://github.com/oliexdev/openScale","show")</f>
        <v>show</v>
      </c>
      <c r="F9713" t="str">
        <f>HYPERLINK("https://github.com/oliexdev/openScale/releases","show")</f>
        <v>show</v>
      </c>
    </row>
    <row r="9714" spans="1:6">
      <c r="A9714" t="s">
        <v>28853</v>
      </c>
      <c r="B9714" t="s">
        <v>28854</v>
      </c>
      <c r="C9714" t="s">
        <v>28855</v>
      </c>
      <c r="D9714" t="str">
        <f>HYPERLINK("https://github.com/ECSE321-Fall2018/t14/issues/35","show")</f>
        <v>show</v>
      </c>
      <c r="E9714" t="str">
        <f>HYPERLINK("https://github.com/ECSE321-Fall2018/t14","show")</f>
        <v>show</v>
      </c>
      <c r="F9714" t="str">
        <f>HYPERLINK("https://github.com/ECSE321-Fall2018/t14/releases","show")</f>
        <v>show</v>
      </c>
    </row>
    <row r="9715" spans="1:6">
      <c r="A9715" t="s">
        <v>28856</v>
      </c>
      <c r="B9715" t="s">
        <v>28857</v>
      </c>
      <c r="C9715" t="s">
        <v>28858</v>
      </c>
      <c r="D9715" t="str">
        <f>HYPERLINK("https://github.com/miguelpruivo/flutter_file_picker/issues/7","show")</f>
        <v>show</v>
      </c>
      <c r="E9715" t="str">
        <f>HYPERLINK("https://github.com/miguelpruivo/flutter_file_picker","show")</f>
        <v>show</v>
      </c>
      <c r="F9715" t="str">
        <f>HYPERLINK("https://github.com/miguelpruivo/flutter_file_picker/releases","show")</f>
        <v>show</v>
      </c>
    </row>
    <row r="9716" spans="1:6">
      <c r="A9716" t="s">
        <v>28859</v>
      </c>
      <c r="B9716" t="s">
        <v>28860</v>
      </c>
      <c r="C9716" t="s">
        <v>28861</v>
      </c>
      <c r="D9716" t="str">
        <f>HYPERLINK("https://github.com/aws-amplify/aws-sdk-android/issues/589","show")</f>
        <v>show</v>
      </c>
      <c r="E9716" t="str">
        <f>HYPERLINK("https://github.com/aws-amplify/aws-sdk-android","show")</f>
        <v>show</v>
      </c>
      <c r="F9716" t="str">
        <f>HYPERLINK("https://github.com/aws-amplify/aws-sdk-android/releases","show")</f>
        <v>show</v>
      </c>
    </row>
    <row r="9717" spans="1:6">
      <c r="A9717" t="s">
        <v>28862</v>
      </c>
      <c r="B9717" t="s">
        <v>28863</v>
      </c>
      <c r="C9717" t="s">
        <v>28864</v>
      </c>
      <c r="D9717" t="str">
        <f>HYPERLINK("https://github.com/OneBusAway/onebusaway-android/issues/934","show")</f>
        <v>show</v>
      </c>
      <c r="E9717" t="str">
        <f>HYPERLINK("https://github.com/OneBusAway/onebusaway-android","show")</f>
        <v>show</v>
      </c>
      <c r="F9717" t="str">
        <f>HYPERLINK("https://github.com/OneBusAway/onebusaway-android/releases","show")</f>
        <v>show</v>
      </c>
    </row>
    <row r="9718" spans="1:6">
      <c r="A9718" t="s">
        <v>28865</v>
      </c>
      <c r="B9718" t="s">
        <v>28866</v>
      </c>
      <c r="C9718" t="s">
        <v>28867</v>
      </c>
      <c r="D9718" t="str">
        <f>HYPERLINK("https://github.com/ankidroid/Anki-Android/issues/5124","show")</f>
        <v>show</v>
      </c>
      <c r="E9718" t="str">
        <f>HYPERLINK("https://github.com/ankidroid/Anki-Android","show")</f>
        <v>show</v>
      </c>
      <c r="F9718" t="str">
        <f>HYPERLINK("https://github.com/ankidroid/Anki-Android/releases","show")</f>
        <v>show</v>
      </c>
    </row>
    <row r="9719" spans="1:6">
      <c r="A9719" t="s">
        <v>28868</v>
      </c>
      <c r="B9719" t="s">
        <v>28869</v>
      </c>
      <c r="C9719" t="s">
        <v>28870</v>
      </c>
      <c r="D9719" t="str">
        <f>HYPERLINK("https://github.com/nextcloud/android-library/issues/201","show")</f>
        <v>show</v>
      </c>
      <c r="E9719" t="str">
        <f>HYPERLINK("https://github.com/nextcloud/android-library","show")</f>
        <v>show</v>
      </c>
      <c r="F9719" t="str">
        <f>HYPERLINK("https://github.com/nextcloud/android-library/releases","show")</f>
        <v>show</v>
      </c>
    </row>
    <row r="9720" spans="1:6">
      <c r="A9720" t="s">
        <v>28871</v>
      </c>
      <c r="B9720" t="s">
        <v>28872</v>
      </c>
      <c r="C9720" t="s">
        <v>28873</v>
      </c>
      <c r="D9720" t="str">
        <f>HYPERLINK("https://github.com/OneBusAway/onebusaway-android/issues/933","show")</f>
        <v>show</v>
      </c>
      <c r="E9720" t="str">
        <f>HYPERLINK("https://github.com/OneBusAway/onebusaway-android","show")</f>
        <v>show</v>
      </c>
      <c r="F9720" t="str">
        <f>HYPERLINK("https://github.com/OneBusAway/onebusaway-android/releases","show")</f>
        <v>show</v>
      </c>
    </row>
    <row r="9721" spans="1:6">
      <c r="A9721" t="s">
        <v>28874</v>
      </c>
      <c r="B9721" t="s">
        <v>28875</v>
      </c>
      <c r="C9721" t="s">
        <v>28876</v>
      </c>
      <c r="D9721" t="str">
        <f>HYPERLINK("https://github.com/aws-amplify/aws-sdk-android/issues/588","show")</f>
        <v>show</v>
      </c>
      <c r="E9721" t="str">
        <f>HYPERLINK("https://github.com/aws-amplify/aws-sdk-android","show")</f>
        <v>show</v>
      </c>
      <c r="F9721" t="str">
        <f>HYPERLINK("https://github.com/aws-amplify/aws-sdk-android/releases","show")</f>
        <v>show</v>
      </c>
    </row>
    <row r="9722" spans="1:6">
      <c r="A9722" t="s">
        <v>28877</v>
      </c>
      <c r="B9722" t="s">
        <v>28878</v>
      </c>
      <c r="C9722" t="s">
        <v>28879</v>
      </c>
      <c r="D9722" t="str">
        <f>HYPERLINK("https://github.com/aws-amplify/aws-sdk-android/issues/586","show")</f>
        <v>show</v>
      </c>
      <c r="E9722" t="str">
        <f>HYPERLINK("https://github.com/aws-amplify/aws-sdk-android","show")</f>
        <v>show</v>
      </c>
      <c r="F9722" t="str">
        <f>HYPERLINK("https://github.com/aws-amplify/aws-sdk-android/releases","show")</f>
        <v>show</v>
      </c>
    </row>
    <row r="9723" spans="1:6">
      <c r="A9723" t="s">
        <v>28880</v>
      </c>
      <c r="B9723" t="s">
        <v>28881</v>
      </c>
      <c r="C9723" t="s">
        <v>28882</v>
      </c>
      <c r="D9723" t="str">
        <f>HYPERLINK("https://github.com/nextcloud/android/issues/3277","show")</f>
        <v>show</v>
      </c>
      <c r="E9723" t="str">
        <f>HYPERLINK("https://github.com/nextcloud/android","show")</f>
        <v>show</v>
      </c>
      <c r="F9723" t="str">
        <f>HYPERLINK("https://github.com/nextcloud/android/releases","show")</f>
        <v>show</v>
      </c>
    </row>
    <row r="9724" spans="1:6">
      <c r="A9724" t="s">
        <v>28883</v>
      </c>
      <c r="B9724" t="s">
        <v>28884</v>
      </c>
      <c r="C9724" t="s">
        <v>28885</v>
      </c>
      <c r="D9724" t="str">
        <f>HYPERLINK("https://github.com/MozillaReality/FirefoxReality/issues/783","show")</f>
        <v>show</v>
      </c>
      <c r="E9724" t="str">
        <f>HYPERLINK("https://github.com/MozillaReality/FirefoxReality","show")</f>
        <v>show</v>
      </c>
      <c r="F9724" t="str">
        <f>HYPERLINK("https://github.com/MozillaReality/FirefoxReality/releases","show")</f>
        <v>show</v>
      </c>
    </row>
    <row r="9725" spans="1:6">
      <c r="A9725" t="s">
        <v>28886</v>
      </c>
      <c r="B9725" t="s">
        <v>28887</v>
      </c>
      <c r="C9725" t="s">
        <v>28888</v>
      </c>
      <c r="D9725" t="str">
        <f>HYPERLINK("https://github.com/MCMrARM/revolution-irc/issues/173","show")</f>
        <v>show</v>
      </c>
      <c r="E9725" t="str">
        <f>HYPERLINK("https://github.com/MCMrARM/revolution-irc","show")</f>
        <v>show</v>
      </c>
      <c r="F9725" t="str">
        <f>HYPERLINK("https://github.com/MCMrARM/revolution-irc/releases","show")</f>
        <v>show</v>
      </c>
    </row>
    <row r="9726" spans="1:6">
      <c r="A9726" t="s">
        <v>28889</v>
      </c>
      <c r="B9726" t="s">
        <v>13333</v>
      </c>
      <c r="C9726" t="s">
        <v>28890</v>
      </c>
      <c r="D9726" t="str">
        <f>HYPERLINK("https://github.com/inaturalist/iNaturalistAndroid/issues/613","show")</f>
        <v>show</v>
      </c>
      <c r="E9726" t="str">
        <f>HYPERLINK("https://github.com/inaturalist/iNaturalistAndroid","show")</f>
        <v>show</v>
      </c>
      <c r="F9726" t="str">
        <f>HYPERLINK("https://github.com/inaturalist/iNaturalistAndroid/releases","show")</f>
        <v>show</v>
      </c>
    </row>
    <row r="9727" spans="1:6">
      <c r="A9727" t="s">
        <v>28891</v>
      </c>
      <c r="B9727" t="s">
        <v>28892</v>
      </c>
      <c r="C9727" t="s">
        <v>28893</v>
      </c>
      <c r="D9727" t="str">
        <f>HYPERLINK("https://github.com/mendhak/gpslogger/issues/695","show")</f>
        <v>show</v>
      </c>
      <c r="E9727" t="str">
        <f>HYPERLINK("https://github.com/mendhak/gpslogger","show")</f>
        <v>show</v>
      </c>
      <c r="F9727" t="str">
        <f>HYPERLINK("https://github.com/mendhak/gpslogger/releases","show")</f>
        <v>show</v>
      </c>
    </row>
    <row r="9728" spans="1:6">
      <c r="A9728" t="s">
        <v>28894</v>
      </c>
      <c r="B9728" t="s">
        <v>28895</v>
      </c>
      <c r="C9728" t="s">
        <v>28896</v>
      </c>
      <c r="D9728" t="str">
        <f>HYPERLINK("https://github.com/wdullaer/MaterialDateTimePicker/issues/549","show")</f>
        <v>show</v>
      </c>
      <c r="E9728" t="str">
        <f>HYPERLINK("https://github.com/wdullaer/MaterialDateTimePicker","show")</f>
        <v>show</v>
      </c>
      <c r="F9728" t="str">
        <f>HYPERLINK("https://github.com/wdullaer/MaterialDateTimePicker/releases","show")</f>
        <v>show</v>
      </c>
    </row>
    <row r="9729" spans="1:6">
      <c r="A9729" t="s">
        <v>28897</v>
      </c>
      <c r="B9729" t="s">
        <v>28898</v>
      </c>
      <c r="C9729" t="s">
        <v>28899</v>
      </c>
      <c r="D9729" t="str">
        <f>HYPERLINK("https://github.com/IbrahimNM/seefood_app/issues/11","show")</f>
        <v>show</v>
      </c>
      <c r="E9729" t="str">
        <f>HYPERLINK("https://github.com/IbrahimNM/seefood_app","show")</f>
        <v>show</v>
      </c>
      <c r="F9729" t="str">
        <f>HYPERLINK("https://github.com/IbrahimNM/seefood_app/releases","show")</f>
        <v>show</v>
      </c>
    </row>
    <row r="9730" spans="1:6">
      <c r="A9730" t="s">
        <v>28900</v>
      </c>
      <c r="B9730" t="s">
        <v>28901</v>
      </c>
      <c r="C9730" t="s">
        <v>28902</v>
      </c>
      <c r="D9730" t="str">
        <f>HYPERLINK("https://github.com/terl/lazysodium-android/issues/15","show")</f>
        <v>show</v>
      </c>
      <c r="E9730" t="str">
        <f>HYPERLINK("https://github.com/terl/lazysodium-android","show")</f>
        <v>show</v>
      </c>
      <c r="F9730" t="str">
        <f>HYPERLINK("https://github.com/terl/lazysodium-android/releases","show")</f>
        <v>show</v>
      </c>
    </row>
    <row r="9731" spans="1:6">
      <c r="A9731" t="s">
        <v>28903</v>
      </c>
      <c r="B9731" t="s">
        <v>28904</v>
      </c>
      <c r="C9731" t="s">
        <v>28905</v>
      </c>
      <c r="D9731" t="str">
        <f>HYPERLINK("https://github.com/lineargs/WatchNextApp/issues/52","show")</f>
        <v>show</v>
      </c>
      <c r="E9731" t="str">
        <f>HYPERLINK("https://github.com/lineargs/WatchNextApp","show")</f>
        <v>show</v>
      </c>
      <c r="F9731" t="str">
        <f>HYPERLINK("https://github.com/lineargs/WatchNextApp/releases","show")</f>
        <v>show</v>
      </c>
    </row>
    <row r="9732" spans="1:6">
      <c r="A9732" t="s">
        <v>28906</v>
      </c>
      <c r="B9732" t="s">
        <v>28907</v>
      </c>
      <c r="C9732" t="s">
        <v>28908</v>
      </c>
      <c r="D9732" t="str">
        <f>HYPERLINK("https://github.com/nextcloud/android/issues/3273","show")</f>
        <v>show</v>
      </c>
      <c r="E9732" t="str">
        <f>HYPERLINK("https://github.com/nextcloud/android","show")</f>
        <v>show</v>
      </c>
      <c r="F9732" t="str">
        <f>HYPERLINK("https://github.com/nextcloud/android/releases","show")</f>
        <v>show</v>
      </c>
    </row>
    <row r="9733" spans="1:6">
      <c r="A9733" t="s">
        <v>28909</v>
      </c>
      <c r="B9733" t="s">
        <v>28910</v>
      </c>
      <c r="C9733" t="s">
        <v>28911</v>
      </c>
      <c r="D9733" t="str">
        <f>HYPERLINK("https://github.com/JasonSmith03/Android-Project/issues/4","show")</f>
        <v>show</v>
      </c>
      <c r="E9733" t="str">
        <f>HYPERLINK("https://github.com/JasonSmith03/Android-Project","show")</f>
        <v>show</v>
      </c>
      <c r="F9733" t="str">
        <f>HYPERLINK("https://github.com/JasonSmith03/Android-Project/releases","show")</f>
        <v>show</v>
      </c>
    </row>
    <row r="9734" spans="1:6">
      <c r="A9734" t="s">
        <v>28912</v>
      </c>
      <c r="B9734" t="s">
        <v>28913</v>
      </c>
      <c r="C9734" t="s">
        <v>28914</v>
      </c>
      <c r="D9734" t="str">
        <f>HYPERLINK("https://github.com/antest1/kcanotify/issues/61","show")</f>
        <v>show</v>
      </c>
      <c r="E9734" t="str">
        <f>HYPERLINK("https://github.com/antest1/kcanotify","show")</f>
        <v>show</v>
      </c>
      <c r="F9734" t="str">
        <f>HYPERLINK("https://github.com/antest1/kcanotify/releases","show")</f>
        <v>show</v>
      </c>
    </row>
    <row r="9735" spans="1:6">
      <c r="A9735" t="s">
        <v>28915</v>
      </c>
      <c r="B9735" t="s">
        <v>28916</v>
      </c>
      <c r="C9735" t="s">
        <v>28917</v>
      </c>
      <c r="D9735" t="str">
        <f>HYPERLINK("https://github.com/google-udacity-india-scholars/abnd-track-pomodoro-timer-app/issues/53","show")</f>
        <v>show</v>
      </c>
      <c r="E9735" t="str">
        <f>HYPERLINK("https://github.com/google-udacity-india-scholars/abnd-track-pomodoro-timer-app","show")</f>
        <v>show</v>
      </c>
      <c r="F9735" t="str">
        <f>HYPERLINK("https://github.com/google-udacity-india-scholars/abnd-track-pomodoro-timer-app/releases","show")</f>
        <v>show</v>
      </c>
    </row>
    <row r="9736" spans="1:6">
      <c r="A9736" t="s">
        <v>28918</v>
      </c>
      <c r="B9736" t="s">
        <v>28919</v>
      </c>
      <c r="C9736" t="s">
        <v>28920</v>
      </c>
      <c r="D9736" t="str">
        <f>HYPERLINK("https://github.com/cs262dFA2018/EventConnect/issues/22","show")</f>
        <v>show</v>
      </c>
      <c r="E9736" t="str">
        <f>HYPERLINK("https://github.com/cs262dFA2018/EventConnect","show")</f>
        <v>show</v>
      </c>
      <c r="F9736" t="str">
        <f>HYPERLINK("https://github.com/cs262dFA2018/EventConnect/releases","show")</f>
        <v>show</v>
      </c>
    </row>
    <row r="9737" spans="1:6">
      <c r="A9737" t="s">
        <v>28921</v>
      </c>
      <c r="B9737" t="s">
        <v>28922</v>
      </c>
      <c r="C9737" t="s">
        <v>28923</v>
      </c>
      <c r="D9737" t="str">
        <f>HYPERLINK("https://github.com/awslabs/aws-mobile-appsync-sdk-android/issues/62","show")</f>
        <v>show</v>
      </c>
      <c r="E9737" t="str">
        <f>HYPERLINK("https://github.com/awslabs/aws-mobile-appsync-sdk-android","show")</f>
        <v>show</v>
      </c>
      <c r="F9737" t="str">
        <f>HYPERLINK("https://github.com/awslabs/aws-mobile-appsync-sdk-android/releases","show")</f>
        <v>show</v>
      </c>
    </row>
    <row r="9738" spans="1:6">
      <c r="A9738" t="s">
        <v>28924</v>
      </c>
      <c r="B9738" t="s">
        <v>28925</v>
      </c>
      <c r="C9738" t="s">
        <v>28926</v>
      </c>
      <c r="D9738" t="str">
        <f>HYPERLINK("https://github.com/apache/cordova-android/issues/562","show")</f>
        <v>show</v>
      </c>
      <c r="E9738" t="str">
        <f>HYPERLINK("https://github.com/apache/cordova-android","show")</f>
        <v>show</v>
      </c>
      <c r="F9738" t="str">
        <f>HYPERLINK("https://github.com/apache/cordova-android/releases","show")</f>
        <v>show</v>
      </c>
    </row>
    <row r="9739" spans="1:6">
      <c r="A9739" t="s">
        <v>28927</v>
      </c>
      <c r="B9739" t="s">
        <v>28928</v>
      </c>
      <c r="C9739" t="s">
        <v>28929</v>
      </c>
      <c r="D9739" t="str">
        <f>HYPERLINK("https://github.com/dimagi/commcare-android/issues/2051","show")</f>
        <v>show</v>
      </c>
      <c r="E9739" t="str">
        <f>HYPERLINK("https://github.com/dimagi/commcare-android","show")</f>
        <v>show</v>
      </c>
      <c r="F9739" t="str">
        <f>HYPERLINK("https://github.com/dimagi/commcare-android/releases","show")</f>
        <v>show</v>
      </c>
    </row>
    <row r="9740" spans="1:6">
      <c r="A9740" t="s">
        <v>28930</v>
      </c>
      <c r="B9740" t="s">
        <v>28931</v>
      </c>
      <c r="C9740" t="s">
        <v>28932</v>
      </c>
      <c r="D9740" t="str">
        <f>HYPERLINK("https://github.com/Intelehealth/Android-Mobile-Client/issues/591","show")</f>
        <v>show</v>
      </c>
      <c r="E9740" t="str">
        <f>HYPERLINK("https://github.com/Intelehealth/Android-Mobile-Client","show")</f>
        <v>show</v>
      </c>
      <c r="F9740" t="str">
        <f>HYPERLINK("https://github.com/Intelehealth/Android-Mobile-Client/releases","show")</f>
        <v>show</v>
      </c>
    </row>
    <row r="9741" spans="1:6">
      <c r="A9741" t="s">
        <v>28933</v>
      </c>
      <c r="B9741" t="s">
        <v>28934</v>
      </c>
      <c r="C9741" t="s">
        <v>28935</v>
      </c>
      <c r="D9741" t="str">
        <f>HYPERLINK("https://github.com/opentok/opentok-react-native/issues/198","show")</f>
        <v>show</v>
      </c>
      <c r="E9741" t="str">
        <f>HYPERLINK("https://github.com/opentok/opentok-react-native","show")</f>
        <v>show</v>
      </c>
      <c r="F9741" t="str">
        <f>HYPERLINK("https://github.com/opentok/opentok-react-native/releases","show")</f>
        <v>show</v>
      </c>
    </row>
    <row r="9742" spans="1:6">
      <c r="A9742" t="s">
        <v>28936</v>
      </c>
      <c r="B9742" t="s">
        <v>28937</v>
      </c>
      <c r="C9742" t="s">
        <v>28938</v>
      </c>
      <c r="D9742" t="str">
        <f>HYPERLINK("https://github.com/awslabs/aws-mobile-appsync-sdk-android/issues/60","show")</f>
        <v>show</v>
      </c>
      <c r="E9742" t="str">
        <f>HYPERLINK("https://github.com/awslabs/aws-mobile-appsync-sdk-android","show")</f>
        <v>show</v>
      </c>
      <c r="F9742" t="str">
        <f>HYPERLINK("https://github.com/awslabs/aws-mobile-appsync-sdk-android/releases","show")</f>
        <v>show</v>
      </c>
    </row>
    <row r="9743" spans="1:6">
      <c r="A9743" t="s">
        <v>28939</v>
      </c>
      <c r="B9743" t="s">
        <v>28940</v>
      </c>
      <c r="C9743" t="s">
        <v>28941</v>
      </c>
      <c r="D9743" t="str">
        <f>HYPERLINK("https://github.com/alexweininger/android-catan/issues/181","show")</f>
        <v>show</v>
      </c>
      <c r="E9743" t="str">
        <f>HYPERLINK("https://github.com/alexweininger/android-catan","show")</f>
        <v>show</v>
      </c>
      <c r="F9743" t="str">
        <f>HYPERLINK("https://github.com/alexweininger/android-catan/releases","show")</f>
        <v>show</v>
      </c>
    </row>
    <row r="9744" spans="1:6">
      <c r="A9744" t="s">
        <v>28942</v>
      </c>
      <c r="B9744" t="s">
        <v>28943</v>
      </c>
      <c r="C9744" t="s">
        <v>28944</v>
      </c>
      <c r="D9744" t="str">
        <f>HYPERLINK("https://github.com/Intelehealth/Android-Mobile-Client/issues/589","show")</f>
        <v>show</v>
      </c>
      <c r="E9744" t="str">
        <f>HYPERLINK("https://github.com/Intelehealth/Android-Mobile-Client","show")</f>
        <v>show</v>
      </c>
      <c r="F9744" t="str">
        <f>HYPERLINK("https://github.com/Intelehealth/Android-Mobile-Client/releases","show")</f>
        <v>show</v>
      </c>
    </row>
    <row r="9745" spans="1:6">
      <c r="A9745" t="s">
        <v>28945</v>
      </c>
      <c r="B9745" t="s">
        <v>28946</v>
      </c>
      <c r="C9745" t="s">
        <v>28947</v>
      </c>
      <c r="D9745" t="str">
        <f>HYPERLINK("https://github.com/Intelehealth/Android-Mobile-Client/issues/588","show")</f>
        <v>show</v>
      </c>
      <c r="E9745" t="str">
        <f>HYPERLINK("https://github.com/Intelehealth/Android-Mobile-Client","show")</f>
        <v>show</v>
      </c>
      <c r="F9745" t="str">
        <f>HYPERLINK("https://github.com/Intelehealth/Android-Mobile-Client/releases","show")</f>
        <v>show</v>
      </c>
    </row>
    <row r="9746" spans="1:6">
      <c r="A9746" t="s">
        <v>28948</v>
      </c>
      <c r="B9746" t="s">
        <v>28949</v>
      </c>
      <c r="C9746" t="s">
        <v>28950</v>
      </c>
      <c r="D9746" t="str">
        <f>HYPERLINK("https://github.com/Intelehealth/Android-Mobile-Client/issues/587","show")</f>
        <v>show</v>
      </c>
      <c r="E9746" t="str">
        <f>HYPERLINK("https://github.com/Intelehealth/Android-Mobile-Client","show")</f>
        <v>show</v>
      </c>
      <c r="F9746" t="str">
        <f>HYPERLINK("https://github.com/Intelehealth/Android-Mobile-Client/releases","show")</f>
        <v>show</v>
      </c>
    </row>
    <row r="9747" spans="1:6">
      <c r="A9747" t="s">
        <v>28951</v>
      </c>
      <c r="B9747" t="s">
        <v>28952</v>
      </c>
      <c r="C9747" t="s">
        <v>28953</v>
      </c>
      <c r="D9747" t="str">
        <f>HYPERLINK("https://github.com/agersant/polaris-android/issues/14","show")</f>
        <v>show</v>
      </c>
      <c r="E9747" t="str">
        <f>HYPERLINK("https://github.com/agersant/polaris-android","show")</f>
        <v>show</v>
      </c>
      <c r="F9747" t="str">
        <f>HYPERLINK("https://github.com/agersant/polaris-android/releases","show")</f>
        <v>show</v>
      </c>
    </row>
    <row r="9748" spans="1:6">
      <c r="A9748" t="s">
        <v>28954</v>
      </c>
      <c r="B9748" t="s">
        <v>28955</v>
      </c>
      <c r="C9748" t="s">
        <v>28956</v>
      </c>
      <c r="D9748" t="str">
        <f>HYPERLINK("https://github.com/niclabs/adkintunmobile-androidclient/issues/198","show")</f>
        <v>show</v>
      </c>
      <c r="E9748" t="str">
        <f>HYPERLINK("https://github.com/niclabs/adkintunmobile-androidclient","show")</f>
        <v>show</v>
      </c>
      <c r="F9748" t="str">
        <f>HYPERLINK("https://github.com/niclabs/adkintunmobile-androidclient/releases","show")</f>
        <v>show</v>
      </c>
    </row>
    <row r="9749" spans="1:6">
      <c r="A9749" t="s">
        <v>28957</v>
      </c>
      <c r="B9749" t="s">
        <v>28958</v>
      </c>
      <c r="C9749" t="s">
        <v>28959</v>
      </c>
      <c r="D9749" t="str">
        <f>HYPERLINK("https://github.com/SwengGolfTeam/Sweng_Golf/issues/116","show")</f>
        <v>show</v>
      </c>
      <c r="E9749" t="str">
        <f>HYPERLINK("https://github.com/SwengGolfTeam/Sweng_Golf","show")</f>
        <v>show</v>
      </c>
      <c r="F9749" t="str">
        <f>HYPERLINK("https://github.com/SwengGolfTeam/Sweng_Golf/releases","show")</f>
        <v>show</v>
      </c>
    </row>
    <row r="9750" spans="1:6">
      <c r="A9750" t="s">
        <v>28960</v>
      </c>
      <c r="B9750" t="s">
        <v>28961</v>
      </c>
      <c r="C9750" t="s">
        <v>28962</v>
      </c>
      <c r="D9750" t="str">
        <f>HYPERLINK("https://github.com/onaio/kujaku/issues/190","show")</f>
        <v>show</v>
      </c>
      <c r="E9750" t="str">
        <f>HYPERLINK("https://github.com/onaio/kujaku","show")</f>
        <v>show</v>
      </c>
      <c r="F9750" t="str">
        <f>HYPERLINK("https://github.com/onaio/kujaku/releases","show")</f>
        <v>show</v>
      </c>
    </row>
    <row r="9751" spans="1:6">
      <c r="A9751" t="s">
        <v>28963</v>
      </c>
      <c r="B9751" t="s">
        <v>28964</v>
      </c>
      <c r="C9751" t="s">
        <v>28965</v>
      </c>
      <c r="D9751" t="str">
        <f>HYPERLINK("https://github.com/geopaparazzi/geopaparazzi/issues/572","show")</f>
        <v>show</v>
      </c>
      <c r="E9751" t="str">
        <f>HYPERLINK("https://github.com/geopaparazzi/geopaparazzi","show")</f>
        <v>show</v>
      </c>
      <c r="F9751" t="str">
        <f>HYPERLINK("https://github.com/geopaparazzi/geopaparazzi/releases","show")</f>
        <v>show</v>
      </c>
    </row>
    <row r="9752" spans="1:6">
      <c r="A9752" t="s">
        <v>28966</v>
      </c>
      <c r="B9752" t="s">
        <v>28967</v>
      </c>
      <c r="C9752" t="s">
        <v>28968</v>
      </c>
      <c r="D9752" t="str">
        <f>HYPERLINK("https://github.com/geopaparazzi/geopaparazzi/issues/570","show")</f>
        <v>show</v>
      </c>
      <c r="E9752" t="str">
        <f>HYPERLINK("https://github.com/geopaparazzi/geopaparazzi","show")</f>
        <v>show</v>
      </c>
      <c r="F9752" t="str">
        <f>HYPERLINK("https://github.com/geopaparazzi/geopaparazzi/releases","show")</f>
        <v>show</v>
      </c>
    </row>
    <row r="9753" spans="1:6">
      <c r="A9753" t="s">
        <v>28969</v>
      </c>
      <c r="B9753" t="s">
        <v>28970</v>
      </c>
      <c r="C9753" t="s">
        <v>28971</v>
      </c>
      <c r="D9753" t="str">
        <f>HYPERLINK("https://github.com/Haptic-Apps/Slide/issues/2897","show")</f>
        <v>show</v>
      </c>
      <c r="E9753" t="str">
        <f>HYPERLINK("https://github.com/Haptic-Apps/Slide","show")</f>
        <v>show</v>
      </c>
      <c r="F9753" t="str">
        <f>HYPERLINK("https://github.com/Haptic-Apps/Slide/releases","show")</f>
        <v>show</v>
      </c>
    </row>
    <row r="9754" spans="1:6">
      <c r="A9754" t="s">
        <v>28972</v>
      </c>
      <c r="B9754" t="s">
        <v>28973</v>
      </c>
      <c r="C9754" t="s">
        <v>28974</v>
      </c>
      <c r="D9754" t="str">
        <f>HYPERLINK("https://github.com/tanguyantoine/react-native-music-control/issues/193","show")</f>
        <v>show</v>
      </c>
      <c r="E9754" t="str">
        <f>HYPERLINK("https://github.com/tanguyantoine/react-native-music-control","show")</f>
        <v>show</v>
      </c>
      <c r="F9754" t="str">
        <f>HYPERLINK("https://github.com/tanguyantoine/react-native-music-control/releases","show")</f>
        <v>show</v>
      </c>
    </row>
    <row r="9755" spans="1:6">
      <c r="A9755" t="s">
        <v>28975</v>
      </c>
      <c r="B9755" t="s">
        <v>28976</v>
      </c>
      <c r="C9755" t="s">
        <v>28977</v>
      </c>
      <c r="D9755" t="str">
        <f>HYPERLINK("https://github.com/react-native-svg/react-native-svg/issues/840","show")</f>
        <v>show</v>
      </c>
      <c r="E9755" t="str">
        <f>HYPERLINK("https://github.com/react-native-svg/react-native-svg","show")</f>
        <v>show</v>
      </c>
      <c r="F9755" t="str">
        <f>HYPERLINK("https://github.com/react-native-svg/react-native-svg/releases","show")</f>
        <v>show</v>
      </c>
    </row>
    <row r="9756" spans="1:6">
      <c r="A9756" t="s">
        <v>28978</v>
      </c>
      <c r="B9756" t="s">
        <v>28979</v>
      </c>
      <c r="C9756" t="s">
        <v>28980</v>
      </c>
      <c r="D9756" t="str">
        <f>HYPERLINK("https://github.com/m2049r/xmrwallet/issues/468","show")</f>
        <v>show</v>
      </c>
      <c r="E9756" t="str">
        <f>HYPERLINK("https://github.com/m2049r/xmrwallet","show")</f>
        <v>show</v>
      </c>
      <c r="F9756" t="str">
        <f>HYPERLINK("https://github.com/m2049r/xmrwallet/releases","show")</f>
        <v>show</v>
      </c>
    </row>
    <row r="9757" spans="1:6">
      <c r="A9757" t="s">
        <v>28981</v>
      </c>
      <c r="B9757" t="s">
        <v>28982</v>
      </c>
      <c r="C9757" t="s">
        <v>28983</v>
      </c>
      <c r="D9757" t="str">
        <f>HYPERLINK("https://github.com/nextcloud/android/issues/3257","show")</f>
        <v>show</v>
      </c>
      <c r="E9757" t="str">
        <f>HYPERLINK("https://github.com/nextcloud/android","show")</f>
        <v>show</v>
      </c>
      <c r="F9757" t="str">
        <f>HYPERLINK("https://github.com/nextcloud/android/releases","show")</f>
        <v>show</v>
      </c>
    </row>
    <row r="9758" spans="1:6">
      <c r="A9758" t="s">
        <v>28984</v>
      </c>
      <c r="B9758" t="s">
        <v>28985</v>
      </c>
      <c r="C9758" t="s">
        <v>28986</v>
      </c>
      <c r="D9758" t="str">
        <f>HYPERLINK("https://github.com/EXALAB/AnLinux-App/issues/21","show")</f>
        <v>show</v>
      </c>
      <c r="E9758" t="str">
        <f>HYPERLINK("https://github.com/EXALAB/AnLinux-App","show")</f>
        <v>show</v>
      </c>
      <c r="F9758" t="str">
        <f>HYPERLINK("https://github.com/EXALAB/AnLinux-App/releases","show")</f>
        <v>show</v>
      </c>
    </row>
    <row r="9759" spans="1:6">
      <c r="A9759" t="s">
        <v>28987</v>
      </c>
      <c r="B9759" t="s">
        <v>28988</v>
      </c>
      <c r="C9759" t="s">
        <v>28989</v>
      </c>
      <c r="D9759" t="str">
        <f>HYPERLINK("https://github.com/nextcloud/android/issues/3255","show")</f>
        <v>show</v>
      </c>
      <c r="E9759" t="str">
        <f>HYPERLINK("https://github.com/nextcloud/android","show")</f>
        <v>show</v>
      </c>
      <c r="F9759" t="str">
        <f>HYPERLINK("https://github.com/nextcloud/android/releases","show")</f>
        <v>show</v>
      </c>
    </row>
    <row r="9760" spans="1:6">
      <c r="A9760" t="s">
        <v>28990</v>
      </c>
      <c r="B9760" t="s">
        <v>28991</v>
      </c>
      <c r="C9760" t="s">
        <v>28992</v>
      </c>
      <c r="D9760" t="str">
        <f>HYPERLINK("https://github.com/Calsign/APDE/issues/58","show")</f>
        <v>show</v>
      </c>
      <c r="E9760" t="str">
        <f>HYPERLINK("https://github.com/Calsign/APDE","show")</f>
        <v>show</v>
      </c>
      <c r="F9760" t="str">
        <f>HYPERLINK("https://github.com/Calsign/APDE/releases","show")</f>
        <v>show</v>
      </c>
    </row>
    <row r="9761" spans="1:6">
      <c r="A9761" t="s">
        <v>28993</v>
      </c>
      <c r="B9761" t="s">
        <v>28994</v>
      </c>
      <c r="C9761" t="s">
        <v>28995</v>
      </c>
      <c r="D9761" t="str">
        <f>HYPERLINK("https://github.com/lottie-react-native/lottie-react-native/issues/406","show")</f>
        <v>show</v>
      </c>
      <c r="E9761" t="str">
        <f>HYPERLINK("https://github.com/lottie-react-native/lottie-react-native","show")</f>
        <v>show</v>
      </c>
      <c r="F9761" t="str">
        <f>HYPERLINK("https://github.com/lottie-react-native/lottie-react-native/releases","show")</f>
        <v>show</v>
      </c>
    </row>
    <row r="9762" spans="1:6">
      <c r="A9762" t="s">
        <v>28996</v>
      </c>
      <c r="B9762" t="s">
        <v>28997</v>
      </c>
      <c r="C9762" t="s">
        <v>28998</v>
      </c>
      <c r="D9762" t="str">
        <f>HYPERLINK("https://github.com/Telegram-FOSS-Team/Telegram-FOSS/issues/275","show")</f>
        <v>show</v>
      </c>
      <c r="E9762" t="str">
        <f>HYPERLINK("https://github.com/Telegram-FOSS-Team/Telegram-FOSS","show")</f>
        <v>show</v>
      </c>
      <c r="F9762" t="str">
        <f>HYPERLINK("https://github.com/Telegram-FOSS-Team/Telegram-FOSS/releases","show")</f>
        <v>show</v>
      </c>
    </row>
    <row r="9763" spans="1:6">
      <c r="A9763" t="s">
        <v>28999</v>
      </c>
      <c r="B9763" t="s">
        <v>29000</v>
      </c>
      <c r="C9763" t="s">
        <v>29001</v>
      </c>
      <c r="D9763" t="str">
        <f>HYPERLINK("https://github.com/react-native-camera/react-native-camera/issues/1914","show")</f>
        <v>show</v>
      </c>
      <c r="E9763" t="str">
        <f>HYPERLINK("https://github.com/react-native-camera/react-native-camera","show")</f>
        <v>show</v>
      </c>
      <c r="F9763" t="str">
        <f>HYPERLINK("https://github.com/react-native-camera/react-native-camera/releases","show")</f>
        <v>show</v>
      </c>
    </row>
    <row r="9764" spans="1:6">
      <c r="A9764" t="s">
        <v>29002</v>
      </c>
      <c r="B9764" t="s">
        <v>29003</v>
      </c>
      <c r="C9764" t="s">
        <v>29004</v>
      </c>
      <c r="D9764" t="str">
        <f>HYPERLINK("https://github.com/mauron85/react-native-background-geolocation/issues/319","show")</f>
        <v>show</v>
      </c>
      <c r="E9764" t="str">
        <f>HYPERLINK("https://github.com/mauron85/react-native-background-geolocation","show")</f>
        <v>show</v>
      </c>
      <c r="F9764" t="str">
        <f>HYPERLINK("https://github.com/mauron85/react-native-background-geolocation/releases","show")</f>
        <v>show</v>
      </c>
    </row>
    <row r="9765" spans="1:6">
      <c r="A9765" t="s">
        <v>29005</v>
      </c>
      <c r="B9765" t="s">
        <v>29006</v>
      </c>
      <c r="C9765" t="s">
        <v>29007</v>
      </c>
      <c r="D9765" t="str">
        <f>HYPERLINK("https://github.com/alexweininger/android-catan/issues/89","show")</f>
        <v>show</v>
      </c>
      <c r="E9765" t="str">
        <f>HYPERLINK("https://github.com/alexweininger/android-catan","show")</f>
        <v>show</v>
      </c>
      <c r="F9765" t="str">
        <f>HYPERLINK("https://github.com/alexweininger/android-catan/releases","show")</f>
        <v>show</v>
      </c>
    </row>
    <row r="9766" spans="1:6">
      <c r="A9766" t="s">
        <v>29008</v>
      </c>
      <c r="B9766" t="s">
        <v>29009</v>
      </c>
      <c r="C9766" t="s">
        <v>29010</v>
      </c>
      <c r="D9766" t="str">
        <f>HYPERLINK("https://github.com/plusCubed/matlog/issues/47","show")</f>
        <v>show</v>
      </c>
      <c r="E9766" t="str">
        <f>HYPERLINK("https://github.com/plusCubed/matlog","show")</f>
        <v>show</v>
      </c>
      <c r="F9766" t="str">
        <f>HYPERLINK("https://github.com/plusCubed/matlog/releases","show")</f>
        <v>show</v>
      </c>
    </row>
    <row r="9767" spans="1:6">
      <c r="A9767" t="s">
        <v>29011</v>
      </c>
      <c r="B9767" t="s">
        <v>29012</v>
      </c>
      <c r="C9767" t="s">
        <v>29013</v>
      </c>
      <c r="D9767" t="str">
        <f>HYPERLINK("https://github.com/nextcloud/android/issues/3242","show")</f>
        <v>show</v>
      </c>
      <c r="E9767" t="str">
        <f>HYPERLINK("https://github.com/nextcloud/android","show")</f>
        <v>show</v>
      </c>
      <c r="F9767" t="str">
        <f>HYPERLINK("https://github.com/nextcloud/android/releases","show")</f>
        <v>show</v>
      </c>
    </row>
    <row r="9768" spans="1:6">
      <c r="A9768" t="s">
        <v>29014</v>
      </c>
      <c r="B9768" t="s">
        <v>29015</v>
      </c>
      <c r="C9768" t="s">
        <v>29016</v>
      </c>
      <c r="D9768" t="str">
        <f>HYPERLINK("https://github.com/mapbox/mapbox-plugins-android/issues/758","show")</f>
        <v>show</v>
      </c>
      <c r="E9768" t="str">
        <f>HYPERLINK("https://github.com/mapbox/mapbox-plugins-android","show")</f>
        <v>show</v>
      </c>
      <c r="F9768" t="str">
        <f>HYPERLINK("https://github.com/mapbox/mapbox-plugins-android/releases","show")</f>
        <v>show</v>
      </c>
    </row>
    <row r="9769" spans="1:6">
      <c r="A9769" t="s">
        <v>29017</v>
      </c>
      <c r="B9769" t="s">
        <v>29018</v>
      </c>
      <c r="C9769" t="s">
        <v>29019</v>
      </c>
      <c r="D9769" t="str">
        <f>HYPERLINK("https://github.com/inaturalist/iNaturalistAndroid/issues/609","show")</f>
        <v>show</v>
      </c>
      <c r="E9769" t="str">
        <f>HYPERLINK("https://github.com/inaturalist/iNaturalistAndroid","show")</f>
        <v>show</v>
      </c>
      <c r="F9769" t="str">
        <f>HYPERLINK("https://github.com/inaturalist/iNaturalistAndroid/releases","show")</f>
        <v>show</v>
      </c>
    </row>
    <row r="9770" spans="1:6">
      <c r="A9770" t="s">
        <v>29020</v>
      </c>
      <c r="B9770" t="s">
        <v>29021</v>
      </c>
      <c r="C9770" t="s">
        <v>29022</v>
      </c>
      <c r="D9770" t="str">
        <f>HYPERLINK("https://github.com/kontalk/androidclient/issues/1231","show")</f>
        <v>show</v>
      </c>
      <c r="E9770" t="str">
        <f>HYPERLINK("https://github.com/kontalk/androidclient","show")</f>
        <v>show</v>
      </c>
      <c r="F9770" t="str">
        <f>HYPERLINK("https://github.com/kontalk/androidclient/releases","show")</f>
        <v>show</v>
      </c>
    </row>
    <row r="9771" spans="1:6">
      <c r="A9771" t="s">
        <v>29023</v>
      </c>
      <c r="B9771" t="s">
        <v>29024</v>
      </c>
      <c r="C9771" t="s">
        <v>29025</v>
      </c>
      <c r="D9771" t="str">
        <f>HYPERLINK("https://github.com/NordicSemiconductor/Android-nRF-Blinky/issues/15","show")</f>
        <v>show</v>
      </c>
      <c r="E9771" t="str">
        <f>HYPERLINK("https://github.com/NordicSemiconductor/Android-nRF-Blinky","show")</f>
        <v>show</v>
      </c>
      <c r="F9771" t="str">
        <f>HYPERLINK("https://github.com/NordicSemiconductor/Android-nRF-Blinky/releases","show")</f>
        <v>show</v>
      </c>
    </row>
    <row r="9772" spans="1:6">
      <c r="A9772" t="s">
        <v>29026</v>
      </c>
      <c r="B9772" t="s">
        <v>29027</v>
      </c>
      <c r="C9772" t="s">
        <v>29028</v>
      </c>
      <c r="D9772" t="str">
        <f>HYPERLINK("https://github.com/fossasia/pslab-android/issues/1431","show")</f>
        <v>show</v>
      </c>
      <c r="E9772" t="str">
        <f>HYPERLINK("https://github.com/fossasia/pslab-android","show")</f>
        <v>show</v>
      </c>
      <c r="F9772" t="str">
        <f>HYPERLINK("https://github.com/fossasia/pslab-android/releases","show")</f>
        <v>show</v>
      </c>
    </row>
    <row r="9773" spans="1:6">
      <c r="A9773" t="s">
        <v>29029</v>
      </c>
      <c r="B9773" t="s">
        <v>29030</v>
      </c>
      <c r="C9773" t="s">
        <v>29031</v>
      </c>
      <c r="D9773" t="str">
        <f>HYPERLINK("https://github.com/Awful/Awful.apk/issues/641","show")</f>
        <v>show</v>
      </c>
      <c r="E9773" t="str">
        <f>HYPERLINK("https://github.com/Awful/Awful.apk","show")</f>
        <v>show</v>
      </c>
      <c r="F9773" t="str">
        <f>HYPERLINK("https://github.com/Awful/Awful.apk/releases","show")</f>
        <v>show</v>
      </c>
    </row>
    <row r="9774" spans="1:6">
      <c r="A9774" t="s">
        <v>29032</v>
      </c>
      <c r="B9774" t="s">
        <v>29033</v>
      </c>
      <c r="C9774" t="s">
        <v>29034</v>
      </c>
      <c r="D9774" t="str">
        <f>HYPERLINK("https://github.com/connectbot/connectbot/issues/654","show")</f>
        <v>show</v>
      </c>
      <c r="E9774" t="str">
        <f>HYPERLINK("https://github.com/connectbot/connectbot","show")</f>
        <v>show</v>
      </c>
      <c r="F9774" t="str">
        <f>HYPERLINK("https://github.com/connectbot/connectbot/releases","show")</f>
        <v>show</v>
      </c>
    </row>
    <row r="9775" spans="1:6">
      <c r="A9775" t="s">
        <v>29035</v>
      </c>
      <c r="B9775" t="s">
        <v>29036</v>
      </c>
      <c r="C9775" t="s">
        <v>29037</v>
      </c>
      <c r="D9775" t="str">
        <f>HYPERLINK("https://github.com/react-native-camera/react-native-camera/issues/1900","show")</f>
        <v>show</v>
      </c>
      <c r="E9775" t="str">
        <f>HYPERLINK("https://github.com/react-native-camera/react-native-camera","show")</f>
        <v>show</v>
      </c>
      <c r="F9775" t="str">
        <f>HYPERLINK("https://github.com/react-native-camera/react-native-camera/releases","show")</f>
        <v>show</v>
      </c>
    </row>
    <row r="9776" spans="1:6">
      <c r="A9776" t="s">
        <v>29038</v>
      </c>
      <c r="B9776" t="s">
        <v>29039</v>
      </c>
      <c r="C9776" t="s">
        <v>29040</v>
      </c>
      <c r="D9776" t="str">
        <f>HYPERLINK("https://github.com/ECSE321-Fall2018/t07/issues/41","show")</f>
        <v>show</v>
      </c>
      <c r="E9776" t="str">
        <f>HYPERLINK("https://github.com/ECSE321-Fall2018/t07","show")</f>
        <v>show</v>
      </c>
      <c r="F9776" t="str">
        <f>HYPERLINK("https://github.com/ECSE321-Fall2018/t07/releases","show")</f>
        <v>show</v>
      </c>
    </row>
    <row r="9777" spans="1:6">
      <c r="A9777" t="s">
        <v>29041</v>
      </c>
      <c r="B9777" t="s">
        <v>29042</v>
      </c>
      <c r="C9777" t="s">
        <v>29043</v>
      </c>
      <c r="D9777" t="str">
        <f>HYPERLINK("https://github.com/bitstadium/HockeySDK-Android/issues/406","show")</f>
        <v>show</v>
      </c>
      <c r="E9777" t="str">
        <f>HYPERLINK("https://github.com/bitstadium/HockeySDK-Android","show")</f>
        <v>show</v>
      </c>
      <c r="F9777" t="str">
        <f>HYPERLINK("https://github.com/bitstadium/HockeySDK-Android/releases","show")</f>
        <v>show</v>
      </c>
    </row>
    <row r="9778" spans="1:6">
      <c r="A9778" t="s">
        <v>29044</v>
      </c>
      <c r="B9778" t="s">
        <v>29045</v>
      </c>
      <c r="C9778" t="s">
        <v>29046</v>
      </c>
      <c r="D9778" t="str">
        <f>HYPERLINK("https://github.com/k9mail/k-9/issues/3691","show")</f>
        <v>show</v>
      </c>
      <c r="E9778" t="str">
        <f>HYPERLINK("https://github.com/k9mail/k-9","show")</f>
        <v>show</v>
      </c>
      <c r="F9778" t="str">
        <f>HYPERLINK("https://github.com/k9mail/k-9/releases","show")</f>
        <v>show</v>
      </c>
    </row>
    <row r="9779" spans="1:6">
      <c r="A9779" t="s">
        <v>29047</v>
      </c>
      <c r="B9779" t="s">
        <v>29048</v>
      </c>
      <c r="C9779" t="s">
        <v>29049</v>
      </c>
      <c r="D9779" t="str">
        <f>HYPERLINK("https://github.com/TeamNewPipe/NewPipe/issues/1862","show")</f>
        <v>show</v>
      </c>
      <c r="E9779" t="str">
        <f>HYPERLINK("https://github.com/TeamNewPipe/NewPipe","show")</f>
        <v>show</v>
      </c>
      <c r="F9779" t="str">
        <f>HYPERLINK("https://github.com/TeamNewPipe/NewPipe/releases","show")</f>
        <v>show</v>
      </c>
    </row>
    <row r="9780" spans="1:6">
      <c r="A9780" t="s">
        <v>29050</v>
      </c>
      <c r="B9780" t="s">
        <v>29051</v>
      </c>
      <c r="C9780" t="s">
        <v>29052</v>
      </c>
      <c r="D9780" t="str">
        <f>HYPERLINK("https://github.com/onaio/kujaku/issues/174","show")</f>
        <v>show</v>
      </c>
      <c r="E9780" t="str">
        <f>HYPERLINK("https://github.com/onaio/kujaku","show")</f>
        <v>show</v>
      </c>
      <c r="F9780" t="str">
        <f>HYPERLINK("https://github.com/onaio/kujaku/releases","show")</f>
        <v>show</v>
      </c>
    </row>
    <row r="9781" spans="1:6">
      <c r="A9781" t="s">
        <v>29053</v>
      </c>
      <c r="B9781" t="s">
        <v>29054</v>
      </c>
      <c r="C9781" t="s">
        <v>29055</v>
      </c>
      <c r="D9781" t="str">
        <f>HYPERLINK("https://github.com/nextcloud/android/issues/3212","show")</f>
        <v>show</v>
      </c>
      <c r="E9781" t="str">
        <f>HYPERLINK("https://github.com/nextcloud/android","show")</f>
        <v>show</v>
      </c>
      <c r="F9781" t="str">
        <f>HYPERLINK("https://github.com/nextcloud/android/releases","show")</f>
        <v>show</v>
      </c>
    </row>
    <row r="9782" spans="1:6">
      <c r="A9782" t="s">
        <v>29056</v>
      </c>
      <c r="B9782" t="s">
        <v>29057</v>
      </c>
      <c r="C9782" t="s">
        <v>29058</v>
      </c>
      <c r="D9782" t="str">
        <f>HYPERLINK("https://github.com/mapbox/mapbox-events-android/issues/267","show")</f>
        <v>show</v>
      </c>
      <c r="E9782" t="str">
        <f>HYPERLINK("https://github.com/mapbox/mapbox-events-android","show")</f>
        <v>show</v>
      </c>
      <c r="F9782" t="str">
        <f>HYPERLINK("https://github.com/mapbox/mapbox-events-android/releases","show")</f>
        <v>show</v>
      </c>
    </row>
    <row r="9783" spans="1:6">
      <c r="A9783" t="s">
        <v>29059</v>
      </c>
      <c r="B9783" t="s">
        <v>29060</v>
      </c>
      <c r="C9783" t="s">
        <v>29061</v>
      </c>
      <c r="D9783" t="str">
        <f>HYPERLINK("https://github.com/getodk/collect/issues/2709","show")</f>
        <v>show</v>
      </c>
      <c r="E9783" t="str">
        <f>HYPERLINK("https://github.com/getodk/collect","show")</f>
        <v>show</v>
      </c>
      <c r="F9783" t="str">
        <f>HYPERLINK("https://github.com/getodk/collect/releases","show")</f>
        <v>show</v>
      </c>
    </row>
    <row r="9784" spans="1:6">
      <c r="A9784" t="s">
        <v>29062</v>
      </c>
      <c r="B9784" t="s">
        <v>29063</v>
      </c>
      <c r="C9784" t="s">
        <v>29064</v>
      </c>
      <c r="D9784" t="str">
        <f>HYPERLINK("https://github.com/commons-app/apps-android-commons/issues/1966","show")</f>
        <v>show</v>
      </c>
      <c r="E9784" t="str">
        <f>HYPERLINK("https://github.com/commons-app/apps-android-commons","show")</f>
        <v>show</v>
      </c>
      <c r="F9784" t="str">
        <f>HYPERLINK("https://github.com/commons-app/apps-android-commons/releases","show")</f>
        <v>show</v>
      </c>
    </row>
    <row r="9785" spans="1:6">
      <c r="A9785" t="s">
        <v>29065</v>
      </c>
      <c r="B9785" t="s">
        <v>29066</v>
      </c>
      <c r="C9785" t="s">
        <v>29067</v>
      </c>
      <c r="D9785" t="str">
        <f>HYPERLINK("https://github.com/nikita36078/J2ME-Loader/issues/405","show")</f>
        <v>show</v>
      </c>
      <c r="E9785" t="str">
        <f>HYPERLINK("https://github.com/nikita36078/J2ME-Loader","show")</f>
        <v>show</v>
      </c>
      <c r="F9785" t="str">
        <f>HYPERLINK("https://github.com/nikita36078/J2ME-Loader/releases","show")</f>
        <v>show</v>
      </c>
    </row>
    <row r="9786" spans="1:6">
      <c r="A9786" t="s">
        <v>29068</v>
      </c>
      <c r="B9786" t="s">
        <v>29069</v>
      </c>
      <c r="C9786" t="s">
        <v>29070</v>
      </c>
      <c r="D9786" t="str">
        <f>HYPERLINK("https://github.com/nikita36078/J2ME-Loader/issues/404","show")</f>
        <v>show</v>
      </c>
      <c r="E9786" t="str">
        <f>HYPERLINK("https://github.com/nikita36078/J2ME-Loader","show")</f>
        <v>show</v>
      </c>
      <c r="F9786" t="str">
        <f>HYPERLINK("https://github.com/nikita36078/J2ME-Loader/releases","show")</f>
        <v>show</v>
      </c>
    </row>
    <row r="9787" spans="1:6">
      <c r="A9787" t="s">
        <v>29071</v>
      </c>
      <c r="B9787" t="s">
        <v>29072</v>
      </c>
      <c r="C9787" t="s">
        <v>29073</v>
      </c>
      <c r="D9787" t="str">
        <f>HYPERLINK("https://github.com/k9mail/k-9/issues/3689","show")</f>
        <v>show</v>
      </c>
      <c r="E9787" t="str">
        <f>HYPERLINK("https://github.com/k9mail/k-9","show")</f>
        <v>show</v>
      </c>
      <c r="F9787" t="str">
        <f>HYPERLINK("https://github.com/k9mail/k-9/releases","show")</f>
        <v>show</v>
      </c>
    </row>
    <row r="9788" spans="1:6">
      <c r="A9788" t="s">
        <v>29074</v>
      </c>
      <c r="B9788" t="s">
        <v>29075</v>
      </c>
      <c r="C9788" t="s">
        <v>29076</v>
      </c>
      <c r="D9788" t="str">
        <f>HYPERLINK("https://github.com/SwengGolfTeam/Sweng_Golf/issues/94","show")</f>
        <v>show</v>
      </c>
      <c r="E9788" t="str">
        <f>HYPERLINK("https://github.com/SwengGolfTeam/Sweng_Golf","show")</f>
        <v>show</v>
      </c>
      <c r="F9788" t="str">
        <f>HYPERLINK("https://github.com/SwengGolfTeam/Sweng_Golf/releases","show")</f>
        <v>show</v>
      </c>
    </row>
    <row r="9789" spans="1:6">
      <c r="A9789" t="s">
        <v>29077</v>
      </c>
      <c r="B9789" t="s">
        <v>29078</v>
      </c>
      <c r="C9789" t="s">
        <v>29079</v>
      </c>
      <c r="D9789" t="str">
        <f>HYPERLINK("https://github.com/nikita36078/J2ME-Loader/issues/401","show")</f>
        <v>show</v>
      </c>
      <c r="E9789" t="str">
        <f>HYPERLINK("https://github.com/nikita36078/J2ME-Loader","show")</f>
        <v>show</v>
      </c>
      <c r="F9789" t="str">
        <f>HYPERLINK("https://github.com/nikita36078/J2ME-Loader/releases","show")</f>
        <v>show</v>
      </c>
    </row>
    <row r="9790" spans="1:6">
      <c r="A9790" t="s">
        <v>29080</v>
      </c>
      <c r="B9790" t="s">
        <v>29081</v>
      </c>
      <c r="C9790" t="s">
        <v>29082</v>
      </c>
      <c r="D9790" t="str">
        <f>HYPERLINK("https://github.com/onaio/kujaku/issues/164","show")</f>
        <v>show</v>
      </c>
      <c r="E9790" t="str">
        <f>HYPERLINK("https://github.com/onaio/kujaku","show")</f>
        <v>show</v>
      </c>
      <c r="F9790" t="str">
        <f>HYPERLINK("https://github.com/onaio/kujaku/releases","show")</f>
        <v>show</v>
      </c>
    </row>
    <row r="9791" spans="1:6">
      <c r="A9791" t="s">
        <v>29083</v>
      </c>
      <c r="B9791" t="s">
        <v>29084</v>
      </c>
      <c r="C9791" t="s">
        <v>29085</v>
      </c>
      <c r="D9791" t="str">
        <f>HYPERLINK("https://github.com/microsoft/appcenter-sdk-android/issues/855","show")</f>
        <v>show</v>
      </c>
      <c r="E9791" t="str">
        <f>HYPERLINK("https://github.com/microsoft/appcenter-sdk-android","show")</f>
        <v>show</v>
      </c>
      <c r="F9791" t="str">
        <f>HYPERLINK("https://github.com/microsoft/appcenter-sdk-android/releases","show")</f>
        <v>show</v>
      </c>
    </row>
    <row r="9792" spans="1:6">
      <c r="A9792" t="s">
        <v>29086</v>
      </c>
      <c r="B9792" t="s">
        <v>29087</v>
      </c>
      <c r="C9792" t="s">
        <v>29088</v>
      </c>
      <c r="D9792" t="str">
        <f>HYPERLINK("https://github.com/NordicSemiconductor/Android-BLE-Library/issues/39","show")</f>
        <v>show</v>
      </c>
      <c r="E9792" t="str">
        <f>HYPERLINK("https://github.com/NordicSemiconductor/Android-BLE-Library","show")</f>
        <v>show</v>
      </c>
      <c r="F9792" t="str">
        <f>HYPERLINK("https://github.com/NordicSemiconductor/Android-BLE-Library/releases","show")</f>
        <v>show</v>
      </c>
    </row>
    <row r="9793" spans="1:6">
      <c r="A9793" t="s">
        <v>29089</v>
      </c>
      <c r="B9793" t="s">
        <v>29090</v>
      </c>
      <c r="C9793" t="s">
        <v>29091</v>
      </c>
      <c r="D9793" t="str">
        <f>HYPERLINK("https://github.com/Haptic-Apps/Slide/issues/2881","show")</f>
        <v>show</v>
      </c>
      <c r="E9793" t="str">
        <f>HYPERLINK("https://github.com/Haptic-Apps/Slide","show")</f>
        <v>show</v>
      </c>
      <c r="F9793" t="str">
        <f>HYPERLINK("https://github.com/Haptic-Apps/Slide/releases","show")</f>
        <v>show</v>
      </c>
    </row>
    <row r="9794" spans="1:6">
      <c r="A9794" t="s">
        <v>29092</v>
      </c>
      <c r="B9794" t="s">
        <v>29093</v>
      </c>
      <c r="C9794" t="s">
        <v>29094</v>
      </c>
      <c r="D9794" t="str">
        <f>HYPERLINK("https://github.com/erickok/transdroid/issues/469","show")</f>
        <v>show</v>
      </c>
      <c r="E9794" t="str">
        <f>HYPERLINK("https://github.com/erickok/transdroid","show")</f>
        <v>show</v>
      </c>
      <c r="F9794" t="str">
        <f>HYPERLINK("https://github.com/erickok/transdroid/releases","show")</f>
        <v>show</v>
      </c>
    </row>
    <row r="9795" spans="1:6">
      <c r="A9795" t="s">
        <v>29095</v>
      </c>
      <c r="B9795" t="s">
        <v>29096</v>
      </c>
      <c r="C9795" t="s">
        <v>29097</v>
      </c>
      <c r="D9795" t="str">
        <f>HYPERLINK("https://github.com/GluuFederation/android-super-gluu/issues/35","show")</f>
        <v>show</v>
      </c>
      <c r="E9795" t="str">
        <f>HYPERLINK("https://github.com/GluuFederation/android-super-gluu","show")</f>
        <v>show</v>
      </c>
      <c r="F9795" t="str">
        <f>HYPERLINK("https://github.com/GluuFederation/android-super-gluu/releases","show")</f>
        <v>show</v>
      </c>
    </row>
    <row r="9796" spans="1:6">
      <c r="A9796" t="s">
        <v>29098</v>
      </c>
      <c r="B9796" t="s">
        <v>29099</v>
      </c>
      <c r="C9796" t="s">
        <v>29100</v>
      </c>
      <c r="D9796" t="str">
        <f>HYPERLINK("https://github.com/mapbox/mapbox-events-android/issues/265","show")</f>
        <v>show</v>
      </c>
      <c r="E9796" t="str">
        <f>HYPERLINK("https://github.com/mapbox/mapbox-events-android","show")</f>
        <v>show</v>
      </c>
      <c r="F9796" t="str">
        <f>HYPERLINK("https://github.com/mapbox/mapbox-events-android/releases","show")</f>
        <v>show</v>
      </c>
    </row>
    <row r="9797" spans="1:6">
      <c r="A9797" t="s">
        <v>29101</v>
      </c>
      <c r="B9797" t="s">
        <v>29102</v>
      </c>
      <c r="C9797" t="s">
        <v>29103</v>
      </c>
      <c r="D9797" t="str">
        <f>HYPERLINK("https://github.com/TeamNewPipe/NewPipe/issues/1855","show")</f>
        <v>show</v>
      </c>
      <c r="E9797" t="str">
        <f>HYPERLINK("https://github.com/TeamNewPipe/NewPipe","show")</f>
        <v>show</v>
      </c>
      <c r="F9797" t="str">
        <f>HYPERLINK("https://github.com/TeamNewPipe/NewPipe/releases","show")</f>
        <v>show</v>
      </c>
    </row>
    <row r="9798" spans="1:6">
      <c r="A9798" t="s">
        <v>29104</v>
      </c>
      <c r="B9798" t="s">
        <v>29105</v>
      </c>
      <c r="C9798" t="s">
        <v>29106</v>
      </c>
      <c r="D9798" t="str">
        <f>HYPERLINK("https://github.com/nikita36078/J2ME-Loader/issues/400","show")</f>
        <v>show</v>
      </c>
      <c r="E9798" t="str">
        <f>HYPERLINK("https://github.com/nikita36078/J2ME-Loader","show")</f>
        <v>show</v>
      </c>
      <c r="F9798" t="str">
        <f>HYPERLINK("https://github.com/nikita36078/J2ME-Loader/releases","show")</f>
        <v>show</v>
      </c>
    </row>
    <row r="9799" spans="1:6">
      <c r="A9799" t="s">
        <v>29107</v>
      </c>
      <c r="B9799" t="s">
        <v>29108</v>
      </c>
      <c r="C9799" t="s">
        <v>29109</v>
      </c>
      <c r="D9799" t="str">
        <f>HYPERLINK("https://github.com/mapbox/mapbox-events-android/issues/263","show")</f>
        <v>show</v>
      </c>
      <c r="E9799" t="str">
        <f>HYPERLINK("https://github.com/mapbox/mapbox-events-android","show")</f>
        <v>show</v>
      </c>
      <c r="F9799" t="str">
        <f>HYPERLINK("https://github.com/mapbox/mapbox-events-android/releases","show")</f>
        <v>show</v>
      </c>
    </row>
    <row r="9800" spans="1:6">
      <c r="A9800" t="s">
        <v>29110</v>
      </c>
      <c r="B9800" t="s">
        <v>29111</v>
      </c>
      <c r="C9800" t="s">
        <v>29112</v>
      </c>
      <c r="D9800" t="str">
        <f>HYPERLINK("https://github.com/dimagi/commcare-android/issues/2039","show")</f>
        <v>show</v>
      </c>
      <c r="E9800" t="str">
        <f>HYPERLINK("https://github.com/dimagi/commcare-android","show")</f>
        <v>show</v>
      </c>
      <c r="F9800" t="str">
        <f>HYPERLINK("https://github.com/dimagi/commcare-android/releases","show")</f>
        <v>show</v>
      </c>
    </row>
    <row r="9801" spans="1:6">
      <c r="A9801" t="s">
        <v>29113</v>
      </c>
      <c r="B9801" t="s">
        <v>29114</v>
      </c>
      <c r="C9801" t="s">
        <v>29115</v>
      </c>
      <c r="D9801" t="str">
        <f>HYPERLINK("https://github.com/commons-app/apps-android-commons/issues/1959","show")</f>
        <v>show</v>
      </c>
      <c r="E9801" t="str">
        <f>HYPERLINK("https://github.com/commons-app/apps-android-commons","show")</f>
        <v>show</v>
      </c>
      <c r="F9801" t="str">
        <f>HYPERLINK("https://github.com/commons-app/apps-android-commons/releases","show")</f>
        <v>show</v>
      </c>
    </row>
    <row r="9802" spans="1:6">
      <c r="A9802" t="s">
        <v>29116</v>
      </c>
      <c r="B9802" t="s">
        <v>29117</v>
      </c>
      <c r="C9802" t="s">
        <v>29118</v>
      </c>
      <c r="D9802" t="str">
        <f>HYPERLINK("https://github.com/MozillaReality/FirefoxReality/issues/683","show")</f>
        <v>show</v>
      </c>
      <c r="E9802" t="str">
        <f>HYPERLINK("https://github.com/MozillaReality/FirefoxReality","show")</f>
        <v>show</v>
      </c>
      <c r="F9802" t="str">
        <f>HYPERLINK("https://github.com/MozillaReality/FirefoxReality/releases","show")</f>
        <v>show</v>
      </c>
    </row>
    <row r="9803" spans="1:6">
      <c r="A9803" t="s">
        <v>29119</v>
      </c>
      <c r="B9803" t="s">
        <v>29120</v>
      </c>
      <c r="C9803" t="s">
        <v>29121</v>
      </c>
      <c r="D9803" t="str">
        <f>HYPERLINK("https://github.com/nikita36078/J2ME-Loader/issues/392","show")</f>
        <v>show</v>
      </c>
      <c r="E9803" t="str">
        <f>HYPERLINK("https://github.com/nikita36078/J2ME-Loader","show")</f>
        <v>show</v>
      </c>
      <c r="F9803" t="str">
        <f>HYPERLINK("https://github.com/nikita36078/J2ME-Loader/releases","show")</f>
        <v>show</v>
      </c>
    </row>
    <row r="9804" spans="1:6">
      <c r="A9804" t="s">
        <v>29122</v>
      </c>
      <c r="B9804" t="s">
        <v>29123</v>
      </c>
      <c r="C9804" t="s">
        <v>29124</v>
      </c>
      <c r="D9804" t="str">
        <f>HYPERLINK("https://github.com/aws-amplify/aws-sdk-android/issues/556","show")</f>
        <v>show</v>
      </c>
      <c r="E9804" t="str">
        <f>HYPERLINK("https://github.com/aws-amplify/aws-sdk-android","show")</f>
        <v>show</v>
      </c>
      <c r="F9804" t="str">
        <f>HYPERLINK("https://github.com/aws-amplify/aws-sdk-android/releases","show")</f>
        <v>show</v>
      </c>
    </row>
    <row r="9805" spans="1:6">
      <c r="A9805" t="s">
        <v>29125</v>
      </c>
      <c r="B9805" t="s">
        <v>29126</v>
      </c>
      <c r="C9805" t="s">
        <v>29127</v>
      </c>
      <c r="D9805" t="str">
        <f>HYPERLINK("https://github.com/NordicSemiconductor/Android-DFU-Library/issues/143","show")</f>
        <v>show</v>
      </c>
      <c r="E9805" t="str">
        <f>HYPERLINK("https://github.com/NordicSemiconductor/Android-DFU-Library","show")</f>
        <v>show</v>
      </c>
      <c r="F9805" t="str">
        <f>HYPERLINK("https://github.com/NordicSemiconductor/Android-DFU-Library/releases","show")</f>
        <v>show</v>
      </c>
    </row>
    <row r="9806" spans="1:6">
      <c r="A9806" t="s">
        <v>29128</v>
      </c>
      <c r="B9806" t="s">
        <v>29129</v>
      </c>
      <c r="C9806" t="s">
        <v>29130</v>
      </c>
      <c r="D9806" t="str">
        <f>HYPERLINK("https://github.com/doublesymmetry/react-native-track-player/issues/316","show")</f>
        <v>show</v>
      </c>
      <c r="E9806" t="str">
        <f>HYPERLINK("https://github.com/doublesymmetry/react-native-track-player","show")</f>
        <v>show</v>
      </c>
      <c r="F9806" t="str">
        <f>HYPERLINK("https://github.com/doublesymmetry/react-native-track-player/releases","show")</f>
        <v>show</v>
      </c>
    </row>
    <row r="9807" spans="1:6">
      <c r="A9807" t="s">
        <v>29131</v>
      </c>
      <c r="B9807" t="s">
        <v>29132</v>
      </c>
      <c r="C9807" t="s">
        <v>29133</v>
      </c>
      <c r="D9807" t="str">
        <f>HYPERLINK("https://github.com/mapbox/mapbox-events-android/issues/254","show")</f>
        <v>show</v>
      </c>
      <c r="E9807" t="str">
        <f>HYPERLINK("https://github.com/mapbox/mapbox-events-android","show")</f>
        <v>show</v>
      </c>
      <c r="F9807" t="str">
        <f>HYPERLINK("https://github.com/mapbox/mapbox-events-android/releases","show")</f>
        <v>show</v>
      </c>
    </row>
    <row r="9808" spans="1:6">
      <c r="A9808" t="s">
        <v>29134</v>
      </c>
      <c r="B9808" t="s">
        <v>29135</v>
      </c>
      <c r="C9808" t="s">
        <v>29136</v>
      </c>
      <c r="D9808" t="str">
        <f>HYPERLINK("https://github.com/fossasia/open-event-organizer-android/issues/1373","show")</f>
        <v>show</v>
      </c>
      <c r="E9808" t="str">
        <f>HYPERLINK("https://github.com/fossasia/open-event-organizer-android","show")</f>
        <v>show</v>
      </c>
      <c r="F9808" t="str">
        <f>HYPERLINK("https://github.com/fossasia/open-event-organizer-android/releases","show")</f>
        <v>show</v>
      </c>
    </row>
    <row r="9809" spans="1:6">
      <c r="A9809" t="s">
        <v>29137</v>
      </c>
      <c r="B9809" t="s">
        <v>29138</v>
      </c>
      <c r="C9809" t="s">
        <v>29139</v>
      </c>
      <c r="D9809" t="str">
        <f>HYPERLINK("https://github.com/Keidan/SshServer/issues/2","show")</f>
        <v>show</v>
      </c>
      <c r="E9809" t="str">
        <f>HYPERLINK("https://github.com/Keidan/SshServer","show")</f>
        <v>show</v>
      </c>
      <c r="F9809" t="str">
        <f>HYPERLINK("https://github.com/Keidan/SshServer/releases","show")</f>
        <v>show</v>
      </c>
    </row>
    <row r="9810" spans="1:6">
      <c r="A9810" t="s">
        <v>29140</v>
      </c>
      <c r="B9810" t="s">
        <v>29141</v>
      </c>
      <c r="C9810" t="s">
        <v>29142</v>
      </c>
      <c r="D9810" t="str">
        <f>HYPERLINK("https://github.com/DSC-Galgotias/TechnoJam-Chat/issues/38","show")</f>
        <v>show</v>
      </c>
      <c r="E9810" t="str">
        <f>HYPERLINK("https://github.com/DSC-Galgotias/TechnoJam-Chat","show")</f>
        <v>show</v>
      </c>
      <c r="F9810" t="str">
        <f>HYPERLINK("https://github.com/DSC-Galgotias/TechnoJam-Chat/releases","show")</f>
        <v>show</v>
      </c>
    </row>
    <row r="9811" spans="1:6">
      <c r="A9811" t="s">
        <v>29143</v>
      </c>
      <c r="B9811" t="s">
        <v>29144</v>
      </c>
      <c r="C9811" t="s">
        <v>29145</v>
      </c>
      <c r="D9811" t="str">
        <f>HYPERLINK("https://github.com/Catfriend1/syncthing-android/issues/113","show")</f>
        <v>show</v>
      </c>
      <c r="E9811" t="str">
        <f>HYPERLINK("https://github.com/Catfriend1/syncthing-android","show")</f>
        <v>show</v>
      </c>
      <c r="F9811" t="str">
        <f>HYPERLINK("https://github.com/Catfriend1/syncthing-android/releases","show")</f>
        <v>show</v>
      </c>
    </row>
    <row r="9812" spans="1:6">
      <c r="A9812" t="s">
        <v>29146</v>
      </c>
      <c r="B9812" t="s">
        <v>29147</v>
      </c>
      <c r="C9812" t="s">
        <v>29148</v>
      </c>
      <c r="D9812" t="str">
        <f>HYPERLINK("https://github.com/nextcloud/android/issues/3179","show")</f>
        <v>show</v>
      </c>
      <c r="E9812" t="str">
        <f>HYPERLINK("https://github.com/nextcloud/android","show")</f>
        <v>show</v>
      </c>
      <c r="F9812" t="str">
        <f>HYPERLINK("https://github.com/nextcloud/android/releases","show")</f>
        <v>show</v>
      </c>
    </row>
    <row r="9813" spans="1:6">
      <c r="A9813" t="s">
        <v>29149</v>
      </c>
      <c r="B9813" t="s">
        <v>29150</v>
      </c>
      <c r="C9813" t="s">
        <v>29151</v>
      </c>
      <c r="D9813" t="str">
        <f>HYPERLINK("https://github.com/Catfriend1/syncthing-android/issues/111","show")</f>
        <v>show</v>
      </c>
      <c r="E9813" t="str">
        <f>HYPERLINK("https://github.com/Catfriend1/syncthing-android","show")</f>
        <v>show</v>
      </c>
      <c r="F9813" t="str">
        <f>HYPERLINK("https://github.com/Catfriend1/syncthing-android/releases","show")</f>
        <v>show</v>
      </c>
    </row>
    <row r="9814" spans="1:6">
      <c r="A9814" t="s">
        <v>29152</v>
      </c>
      <c r="B9814" t="s">
        <v>29153</v>
      </c>
      <c r="C9814" t="s">
        <v>29154</v>
      </c>
      <c r="D9814" t="str">
        <f>HYPERLINK("https://github.com/niccokunzmann/mundraub-android/issues/216","show")</f>
        <v>show</v>
      </c>
      <c r="E9814" t="str">
        <f>HYPERLINK("https://github.com/niccokunzmann/mundraub-android","show")</f>
        <v>show</v>
      </c>
      <c r="F9814" t="str">
        <f>HYPERLINK("https://github.com/niccokunzmann/mundraub-android/releases","show")</f>
        <v>show</v>
      </c>
    </row>
    <row r="9815" spans="1:6">
      <c r="A9815" t="s">
        <v>29155</v>
      </c>
      <c r="B9815" t="s">
        <v>29156</v>
      </c>
      <c r="C9815" t="s">
        <v>29157</v>
      </c>
      <c r="D9815" t="str">
        <f>HYPERLINK("https://github.com/jcvasquezc/SMA2/issues/180","show")</f>
        <v>show</v>
      </c>
      <c r="E9815" t="str">
        <f>HYPERLINK("https://github.com/jcvasquezc/SMA2","show")</f>
        <v>show</v>
      </c>
      <c r="F9815" t="str">
        <f>HYPERLINK("https://github.com/jcvasquezc/SMA2/releases","show")</f>
        <v>show</v>
      </c>
    </row>
    <row r="9816" spans="1:6">
      <c r="A9816" t="s">
        <v>29158</v>
      </c>
      <c r="B9816" t="s">
        <v>29159</v>
      </c>
      <c r="C9816" t="s">
        <v>29160</v>
      </c>
      <c r="D9816" t="str">
        <f>HYPERLINK("https://github.com/niccokunzmann/mundraub-android/issues/215","show")</f>
        <v>show</v>
      </c>
      <c r="E9816" t="str">
        <f>HYPERLINK("https://github.com/niccokunzmann/mundraub-android","show")</f>
        <v>show</v>
      </c>
      <c r="F9816" t="str">
        <f>HYPERLINK("https://github.com/niccokunzmann/mundraub-android/releases","show")</f>
        <v>show</v>
      </c>
    </row>
    <row r="9817" spans="1:6">
      <c r="A9817" t="s">
        <v>29161</v>
      </c>
      <c r="B9817" t="s">
        <v>29162</v>
      </c>
      <c r="C9817" t="s">
        <v>29163</v>
      </c>
      <c r="D9817" t="str">
        <f>HYPERLINK("https://github.com/niccokunzmann/mundraub-android/issues/214","show")</f>
        <v>show</v>
      </c>
      <c r="E9817" t="str">
        <f>HYPERLINK("https://github.com/niccokunzmann/mundraub-android","show")</f>
        <v>show</v>
      </c>
      <c r="F9817" t="str">
        <f>HYPERLINK("https://github.com/niccokunzmann/mundraub-android/releases","show")</f>
        <v>show</v>
      </c>
    </row>
    <row r="9818" spans="1:6">
      <c r="A9818" t="s">
        <v>29164</v>
      </c>
      <c r="B9818" t="s">
        <v>29165</v>
      </c>
      <c r="C9818" t="s">
        <v>29166</v>
      </c>
      <c r="D9818" t="str">
        <f>HYPERLINK("https://github.com/convertigo/c8osdk-android/issues/9","show")</f>
        <v>show</v>
      </c>
      <c r="E9818" t="str">
        <f>HYPERLINK("https://github.com/convertigo/c8osdk-android","show")</f>
        <v>show</v>
      </c>
      <c r="F9818" t="str">
        <f>HYPERLINK("https://github.com/convertigo/c8osdk-android/releases","show")</f>
        <v>show</v>
      </c>
    </row>
    <row r="9819" spans="1:6">
      <c r="A9819" t="s">
        <v>29167</v>
      </c>
      <c r="B9819" t="s">
        <v>29168</v>
      </c>
      <c r="C9819" t="s">
        <v>29169</v>
      </c>
      <c r="D9819" t="str">
        <f>HYPERLINK("https://github.com/deltachat/deltachat-android/issues/593","show")</f>
        <v>show</v>
      </c>
      <c r="E9819" t="str">
        <f>HYPERLINK("https://github.com/deltachat/deltachat-android","show")</f>
        <v>show</v>
      </c>
      <c r="F9819" t="str">
        <f>HYPERLINK("https://github.com/deltachat/deltachat-android/releases","show")</f>
        <v>show</v>
      </c>
    </row>
    <row r="9820" spans="1:6">
      <c r="A9820" t="s">
        <v>29170</v>
      </c>
      <c r="B9820" t="s">
        <v>29171</v>
      </c>
      <c r="C9820" t="s">
        <v>29172</v>
      </c>
      <c r="D9820" t="str">
        <f>HYPERLINK("https://github.com/doublesymmetry/react-native-track-player/issues/308","show")</f>
        <v>show</v>
      </c>
      <c r="E9820" t="str">
        <f>HYPERLINK("https://github.com/doublesymmetry/react-native-track-player","show")</f>
        <v>show</v>
      </c>
      <c r="F9820" t="str">
        <f>HYPERLINK("https://github.com/doublesymmetry/react-native-track-player/releases","show")</f>
        <v>show</v>
      </c>
    </row>
    <row r="9821" spans="1:6">
      <c r="A9821" t="s">
        <v>29173</v>
      </c>
      <c r="B9821" t="s">
        <v>29174</v>
      </c>
      <c r="C9821" t="s">
        <v>29175</v>
      </c>
      <c r="D9821" t="str">
        <f>HYPERLINK("https://github.com/novoda/merlin/issues/173","show")</f>
        <v>show</v>
      </c>
      <c r="E9821" t="str">
        <f>HYPERLINK("https://github.com/novoda/merlin","show")</f>
        <v>show</v>
      </c>
      <c r="F9821" t="str">
        <f>HYPERLINK("https://github.com/novoda/merlin/releases","show")</f>
        <v>show</v>
      </c>
    </row>
    <row r="9822" spans="1:6">
      <c r="A9822" t="s">
        <v>29176</v>
      </c>
      <c r="B9822" t="s">
        <v>29177</v>
      </c>
      <c r="C9822" t="s">
        <v>29178</v>
      </c>
      <c r="D9822" t="str">
        <f>HYPERLINK("https://github.com/code4romania/monitorizare-vot-android/issues/86","show")</f>
        <v>show</v>
      </c>
      <c r="E9822" t="str">
        <f>HYPERLINK("https://github.com/code4romania/monitorizare-vot-android","show")</f>
        <v>show</v>
      </c>
      <c r="F9822" t="str">
        <f>HYPERLINK("https://github.com/code4romania/monitorizare-vot-android/releases","show")</f>
        <v>show</v>
      </c>
    </row>
    <row r="9823" spans="1:6">
      <c r="A9823" t="s">
        <v>29179</v>
      </c>
      <c r="B9823" t="s">
        <v>29180</v>
      </c>
      <c r="C9823" t="s">
        <v>29181</v>
      </c>
      <c r="D9823" t="str">
        <f>HYPERLINK("https://github.com/fluttercommunity/flutter_contacts/issues/41","show")</f>
        <v>show</v>
      </c>
      <c r="E9823" t="str">
        <f>HYPERLINK("https://github.com/fluttercommunity/flutter_contacts","show")</f>
        <v>show</v>
      </c>
      <c r="F9823" t="str">
        <f>HYPERLINK("https://github.com/fluttercommunity/flutter_contacts/releases","show")</f>
        <v>show</v>
      </c>
    </row>
    <row r="9824" spans="1:6">
      <c r="A9824" t="s">
        <v>29182</v>
      </c>
      <c r="B9824" t="s">
        <v>29183</v>
      </c>
      <c r="C9824" t="s">
        <v>29184</v>
      </c>
      <c r="D9824" t="str">
        <f>HYPERLINK("https://github.com/junjunguo/PocketMaps/issues/102","show")</f>
        <v>show</v>
      </c>
      <c r="E9824" t="str">
        <f>HYPERLINK("https://github.com/junjunguo/PocketMaps","show")</f>
        <v>show</v>
      </c>
      <c r="F9824" t="str">
        <f>HYPERLINK("https://github.com/junjunguo/PocketMaps/releases","show")</f>
        <v>show</v>
      </c>
    </row>
    <row r="9825" spans="1:6">
      <c r="A9825" t="s">
        <v>29185</v>
      </c>
      <c r="B9825" t="s">
        <v>29186</v>
      </c>
      <c r="C9825" t="s">
        <v>29187</v>
      </c>
      <c r="D9825" t="str">
        <f>HYPERLINK("https://github.com/excelsia/vee-cold-android/issues/6","show")</f>
        <v>show</v>
      </c>
      <c r="E9825" t="str">
        <f>HYPERLINK("https://github.com/excelsia/vee-cold-android","show")</f>
        <v>show</v>
      </c>
      <c r="F9825" t="str">
        <f>HYPERLINK("https://github.com/excelsia/vee-cold-android/releases","show")</f>
        <v>show</v>
      </c>
    </row>
    <row r="9826" spans="1:6">
      <c r="A9826" t="s">
        <v>29188</v>
      </c>
      <c r="B9826" t="s">
        <v>29189</v>
      </c>
      <c r="C9826" t="s">
        <v>29190</v>
      </c>
      <c r="D9826" t="str">
        <f>HYPERLINK("https://github.com/ankidroid/Anki-Android/issues/5069","show")</f>
        <v>show</v>
      </c>
      <c r="E9826" t="str">
        <f>HYPERLINK("https://github.com/ankidroid/Anki-Android","show")</f>
        <v>show</v>
      </c>
      <c r="F9826" t="str">
        <f>HYPERLINK("https://github.com/ankidroid/Anki-Android/releases","show")</f>
        <v>show</v>
      </c>
    </row>
    <row r="9827" spans="1:6">
      <c r="A9827" t="s">
        <v>29191</v>
      </c>
      <c r="B9827" t="s">
        <v>29192</v>
      </c>
      <c r="C9827" t="s">
        <v>29193</v>
      </c>
      <c r="D9827" t="str">
        <f>HYPERLINK("https://github.com/google/ExoPlayer/issues/4986","show")</f>
        <v>show</v>
      </c>
      <c r="E9827" t="str">
        <f>HYPERLINK("https://github.com/google/ExoPlayer","show")</f>
        <v>show</v>
      </c>
      <c r="F9827" t="str">
        <f>HYPERLINK("https://github.com/google/ExoPlayer/releases","show")</f>
        <v>show</v>
      </c>
    </row>
    <row r="9828" spans="1:6">
      <c r="A9828" t="s">
        <v>29194</v>
      </c>
      <c r="B9828" t="s">
        <v>29195</v>
      </c>
      <c r="C9828" t="s">
        <v>29196</v>
      </c>
      <c r="D9828" t="str">
        <f>HYPERLINK("https://github.com/vector-im/riot-android/issues/2672","show")</f>
        <v>show</v>
      </c>
      <c r="E9828" t="str">
        <f>HYPERLINK("https://github.com/vector-im/riot-android","show")</f>
        <v>show</v>
      </c>
      <c r="F9828" t="str">
        <f>HYPERLINK("https://github.com/vector-im/riot-android/releases","show")</f>
        <v>show</v>
      </c>
    </row>
    <row r="9829" spans="1:6">
      <c r="A9829" t="s">
        <v>29197</v>
      </c>
      <c r="B9829" t="s">
        <v>29198</v>
      </c>
      <c r="C9829" t="s">
        <v>29199</v>
      </c>
      <c r="D9829" t="str">
        <f>HYPERLINK("https://github.com/renyuneyun/Easer/issues/188","show")</f>
        <v>show</v>
      </c>
      <c r="E9829" t="str">
        <f>HYPERLINK("https://github.com/renyuneyun/Easer","show")</f>
        <v>show</v>
      </c>
      <c r="F9829" t="str">
        <f>HYPERLINK("https://github.com/renyuneyun/Easer/releases","show")</f>
        <v>show</v>
      </c>
    </row>
    <row r="9830" spans="1:6">
      <c r="A9830" t="s">
        <v>29200</v>
      </c>
      <c r="B9830" t="s">
        <v>29201</v>
      </c>
      <c r="C9830" t="s">
        <v>29202</v>
      </c>
      <c r="D9830" t="str">
        <f>HYPERLINK("https://github.com/Sparker0i/Weather/issues/46","show")</f>
        <v>show</v>
      </c>
      <c r="E9830" t="str">
        <f>HYPERLINK("https://github.com/Sparker0i/Weather","show")</f>
        <v>show</v>
      </c>
      <c r="F9830" t="str">
        <f>HYPERLINK("https://github.com/Sparker0i/Weather/releases","show")</f>
        <v>show</v>
      </c>
    </row>
    <row r="9831" spans="1:6">
      <c r="A9831" t="s">
        <v>29203</v>
      </c>
      <c r="B9831" t="s">
        <v>29204</v>
      </c>
      <c r="C9831" t="s">
        <v>29205</v>
      </c>
      <c r="D9831" t="str">
        <f>HYPERLINK("https://github.com/react-native-camera/react-native-camera/issues/1861","show")</f>
        <v>show</v>
      </c>
      <c r="E9831" t="str">
        <f>HYPERLINK("https://github.com/react-native-camera/react-native-camera","show")</f>
        <v>show</v>
      </c>
      <c r="F9831" t="str">
        <f>HYPERLINK("https://github.com/react-native-camera/react-native-camera/releases","show")</f>
        <v>show</v>
      </c>
    </row>
    <row r="9832" spans="1:6">
      <c r="A9832" t="s">
        <v>29206</v>
      </c>
      <c r="B9832" t="s">
        <v>29207</v>
      </c>
      <c r="C9832" t="s">
        <v>29208</v>
      </c>
      <c r="D9832" t="str">
        <f>HYPERLINK("https://github.com/awslabs/aws-mobile-appsync-sdk-android/issues/51","show")</f>
        <v>show</v>
      </c>
      <c r="E9832" t="str">
        <f>HYPERLINK("https://github.com/awslabs/aws-mobile-appsync-sdk-android","show")</f>
        <v>show</v>
      </c>
      <c r="F9832" t="str">
        <f>HYPERLINK("https://github.com/awslabs/aws-mobile-appsync-sdk-android/releases","show")</f>
        <v>show</v>
      </c>
    </row>
    <row r="9833" spans="1:6">
      <c r="A9833" t="s">
        <v>29209</v>
      </c>
      <c r="B9833" t="s">
        <v>29210</v>
      </c>
      <c r="C9833" t="s">
        <v>29211</v>
      </c>
      <c r="D9833" t="str">
        <f>HYPERLINK("https://github.com/nextcloud/android/issues/3151","show")</f>
        <v>show</v>
      </c>
      <c r="E9833" t="str">
        <f>HYPERLINK("https://github.com/nextcloud/android","show")</f>
        <v>show</v>
      </c>
      <c r="F9833" t="str">
        <f>HYPERLINK("https://github.com/nextcloud/android/releases","show")</f>
        <v>show</v>
      </c>
    </row>
    <row r="9834" spans="1:6">
      <c r="A9834" t="s">
        <v>29212</v>
      </c>
      <c r="B9834" t="s">
        <v>29213</v>
      </c>
      <c r="C9834" t="s">
        <v>29214</v>
      </c>
      <c r="D9834" t="str">
        <f>HYPERLINK("https://github.com/niccokunzmann/mundraub-android/issues/207","show")</f>
        <v>show</v>
      </c>
      <c r="E9834" t="str">
        <f>HYPERLINK("https://github.com/niccokunzmann/mundraub-android","show")</f>
        <v>show</v>
      </c>
      <c r="F9834" t="str">
        <f>HYPERLINK("https://github.com/niccokunzmann/mundraub-android/releases","show")</f>
        <v>show</v>
      </c>
    </row>
    <row r="9835" spans="1:6">
      <c r="A9835" t="s">
        <v>29215</v>
      </c>
      <c r="B9835" t="s">
        <v>29216</v>
      </c>
      <c r="C9835" t="s">
        <v>29217</v>
      </c>
      <c r="D9835" t="str">
        <f>HYPERLINK("https://github.com/NordicSemiconductor/Android-DFU-Library/issues/129","show")</f>
        <v>show</v>
      </c>
      <c r="E9835" t="str">
        <f>HYPERLINK("https://github.com/NordicSemiconductor/Android-DFU-Library","show")</f>
        <v>show</v>
      </c>
      <c r="F9835" t="str">
        <f>HYPERLINK("https://github.com/NordicSemiconductor/Android-DFU-Library/releases","show")</f>
        <v>show</v>
      </c>
    </row>
    <row r="9836" spans="1:6">
      <c r="A9836" t="s">
        <v>29218</v>
      </c>
      <c r="B9836" t="s">
        <v>29219</v>
      </c>
      <c r="C9836" t="s">
        <v>29220</v>
      </c>
      <c r="D9836" t="str">
        <f>HYPERLINK("https://github.com/react-native-svg/react-native-svg/issues/812","show")</f>
        <v>show</v>
      </c>
      <c r="E9836" t="str">
        <f>HYPERLINK("https://github.com/react-native-svg/react-native-svg","show")</f>
        <v>show</v>
      </c>
      <c r="F9836" t="str">
        <f>HYPERLINK("https://github.com/react-native-svg/react-native-svg/releases","show")</f>
        <v>show</v>
      </c>
    </row>
    <row r="9837" spans="1:6">
      <c r="A9837" t="s">
        <v>29221</v>
      </c>
      <c r="B9837" t="s">
        <v>29222</v>
      </c>
      <c r="C9837" t="s">
        <v>29223</v>
      </c>
      <c r="D9837" t="str">
        <f>HYPERLINK("https://github.com/code4romania/monitorizare-vot-android/issues/73","show")</f>
        <v>show</v>
      </c>
      <c r="E9837" t="str">
        <f>HYPERLINK("https://github.com/code4romania/monitorizare-vot-android","show")</f>
        <v>show</v>
      </c>
      <c r="F9837" t="str">
        <f>HYPERLINK("https://github.com/code4romania/monitorizare-vot-android/releases","show")</f>
        <v>show</v>
      </c>
    </row>
    <row r="9838" spans="1:6">
      <c r="A9838" t="s">
        <v>29224</v>
      </c>
      <c r="B9838" t="s">
        <v>29225</v>
      </c>
      <c r="C9838" t="s">
        <v>29226</v>
      </c>
      <c r="D9838" t="str">
        <f>HYPERLINK("https://github.com/khalid-hussain/HisnulMuslim/issues/62","show")</f>
        <v>show</v>
      </c>
      <c r="E9838" t="str">
        <f>HYPERLINK("https://github.com/khalid-hussain/HisnulMuslim","show")</f>
        <v>show</v>
      </c>
      <c r="F9838" t="str">
        <f>HYPERLINK("https://github.com/khalid-hussain/HisnulMuslim/releases","show")</f>
        <v>show</v>
      </c>
    </row>
    <row r="9839" spans="1:6">
      <c r="A9839" t="s">
        <v>29227</v>
      </c>
      <c r="B9839" t="s">
        <v>29228</v>
      </c>
      <c r="C9839" t="s">
        <v>29229</v>
      </c>
      <c r="D9839" t="str">
        <f>HYPERLINK("https://github.com/nextcloud/android/issues/3139","show")</f>
        <v>show</v>
      </c>
      <c r="E9839" t="str">
        <f>HYPERLINK("https://github.com/nextcloud/android","show")</f>
        <v>show</v>
      </c>
      <c r="F9839" t="str">
        <f>HYPERLINK("https://github.com/nextcloud/android/releases","show")</f>
        <v>show</v>
      </c>
    </row>
    <row r="9840" spans="1:6">
      <c r="A9840" t="s">
        <v>29230</v>
      </c>
      <c r="B9840" t="s">
        <v>29231</v>
      </c>
      <c r="C9840" t="s">
        <v>29232</v>
      </c>
      <c r="D9840" t="str">
        <f>HYPERLINK("https://github.com/k9mail/k-9/issues/3659","show")</f>
        <v>show</v>
      </c>
      <c r="E9840" t="str">
        <f>HYPERLINK("https://github.com/k9mail/k-9","show")</f>
        <v>show</v>
      </c>
      <c r="F9840" t="str">
        <f>HYPERLINK("https://github.com/k9mail/k-9/releases","show")</f>
        <v>show</v>
      </c>
    </row>
    <row r="9841" spans="1:6">
      <c r="A9841" t="s">
        <v>29233</v>
      </c>
      <c r="B9841" t="s">
        <v>29234</v>
      </c>
      <c r="C9841" t="s">
        <v>29235</v>
      </c>
      <c r="D9841" t="str">
        <f>HYPERLINK("https://github.com/commons-app/apps-android-commons/issues/1930","show")</f>
        <v>show</v>
      </c>
      <c r="E9841" t="str">
        <f>HYPERLINK("https://github.com/commons-app/apps-android-commons","show")</f>
        <v>show</v>
      </c>
      <c r="F9841" t="str">
        <f>HYPERLINK("https://github.com/commons-app/apps-android-commons/releases","show")</f>
        <v>show</v>
      </c>
    </row>
    <row r="9842" spans="1:6">
      <c r="A9842" t="s">
        <v>29236</v>
      </c>
      <c r="B9842" t="s">
        <v>29237</v>
      </c>
      <c r="C9842" t="s">
        <v>29238</v>
      </c>
      <c r="D9842" t="str">
        <f>HYPERLINK("https://github.com/yeriomin/YalpStore/issues/541","show")</f>
        <v>show</v>
      </c>
      <c r="E9842" t="str">
        <f>HYPERLINK("https://github.com/yeriomin/YalpStore","show")</f>
        <v>show</v>
      </c>
      <c r="F9842" t="str">
        <f>HYPERLINK("https://github.com/yeriomin/YalpStore/releases","show")</f>
        <v>show</v>
      </c>
    </row>
    <row r="9843" spans="1:6">
      <c r="A9843" t="s">
        <v>29239</v>
      </c>
      <c r="B9843" t="s">
        <v>29240</v>
      </c>
      <c r="C9843" t="s">
        <v>29241</v>
      </c>
      <c r="D9843" t="str">
        <f>HYPERLINK("https://github.com/Barista-Analytics/Barista-Analytics/issues/7","show")</f>
        <v>show</v>
      </c>
      <c r="E9843" t="str">
        <f>HYPERLINK("https://github.com/Barista-Analytics/Barista-Analytics","show")</f>
        <v>show</v>
      </c>
      <c r="F9843" t="str">
        <f>HYPERLINK("https://github.com/Barista-Analytics/Barista-Analytics/releases","show")</f>
        <v>show</v>
      </c>
    </row>
    <row r="9844" spans="1:6">
      <c r="A9844" t="s">
        <v>29242</v>
      </c>
      <c r="B9844" t="s">
        <v>29243</v>
      </c>
      <c r="C9844" t="s">
        <v>29244</v>
      </c>
      <c r="D9844" t="str">
        <f>HYPERLINK("https://github.com/ankidroid/Anki-Android/issues/5047","show")</f>
        <v>show</v>
      </c>
      <c r="E9844" t="str">
        <f>HYPERLINK("https://github.com/ankidroid/Anki-Android","show")</f>
        <v>show</v>
      </c>
      <c r="F9844" t="str">
        <f>HYPERLINK("https://github.com/ankidroid/Anki-Android/releases","show")</f>
        <v>show</v>
      </c>
    </row>
    <row r="9845" spans="1:6">
      <c r="A9845" t="s">
        <v>29245</v>
      </c>
      <c r="B9845" t="s">
        <v>29246</v>
      </c>
      <c r="C9845" t="s">
        <v>29247</v>
      </c>
      <c r="D9845" t="str">
        <f>HYPERLINK("https://github.com/nextcloud/android/issues/3131","show")</f>
        <v>show</v>
      </c>
      <c r="E9845" t="str">
        <f>HYPERLINK("https://github.com/nextcloud/android","show")</f>
        <v>show</v>
      </c>
      <c r="F9845" t="str">
        <f>HYPERLINK("https://github.com/nextcloud/android/releases","show")</f>
        <v>show</v>
      </c>
    </row>
    <row r="9846" spans="1:6">
      <c r="A9846" t="s">
        <v>29248</v>
      </c>
      <c r="B9846" t="s">
        <v>29249</v>
      </c>
      <c r="C9846" t="s">
        <v>29250</v>
      </c>
      <c r="D9846" t="str">
        <f>HYPERLINK("https://github.com/react-native-camera/react-native-camera/issues/1848","show")</f>
        <v>show</v>
      </c>
      <c r="E9846" t="str">
        <f>HYPERLINK("https://github.com/react-native-camera/react-native-camera","show")</f>
        <v>show</v>
      </c>
      <c r="F9846" t="str">
        <f>HYPERLINK("https://github.com/react-native-camera/react-native-camera/releases","show")</f>
        <v>show</v>
      </c>
    </row>
    <row r="9847" spans="1:6">
      <c r="A9847" t="s">
        <v>29251</v>
      </c>
      <c r="B9847" t="s">
        <v>29252</v>
      </c>
      <c r="C9847" t="s">
        <v>29253</v>
      </c>
      <c r="D9847" t="str">
        <f>HYPERLINK("https://github.com/AniTrend/anitrend-app/issues/88","show")</f>
        <v>show</v>
      </c>
      <c r="E9847" t="str">
        <f>HYPERLINK("https://github.com/AniTrend/anitrend-app","show")</f>
        <v>show</v>
      </c>
      <c r="F9847" t="str">
        <f>HYPERLINK("https://github.com/AniTrend/anitrend-app/releases","show")</f>
        <v>show</v>
      </c>
    </row>
    <row r="9848" spans="1:6">
      <c r="A9848" t="s">
        <v>29254</v>
      </c>
      <c r="B9848" t="s">
        <v>29255</v>
      </c>
      <c r="C9848" t="s">
        <v>29256</v>
      </c>
      <c r="D9848" t="str">
        <f>HYPERLINK("https://github.com/koral--/android-gif-drawable/issues/597","show")</f>
        <v>show</v>
      </c>
      <c r="E9848" t="str">
        <f>HYPERLINK("https://github.com/koral--/android-gif-drawable","show")</f>
        <v>show</v>
      </c>
      <c r="F9848" t="str">
        <f>HYPERLINK("https://github.com/koral--/android-gif-drawable/releases","show")</f>
        <v>show</v>
      </c>
    </row>
    <row r="9849" spans="1:6">
      <c r="A9849" t="s">
        <v>29257</v>
      </c>
      <c r="B9849" t="s">
        <v>29258</v>
      </c>
      <c r="C9849" t="s">
        <v>29259</v>
      </c>
      <c r="D9849" t="str">
        <f>HYPERLINK("https://github.com/MozillaReality/FirefoxReality/issues/610","show")</f>
        <v>show</v>
      </c>
      <c r="E9849" t="str">
        <f>HYPERLINK("https://github.com/MozillaReality/FirefoxReality","show")</f>
        <v>show</v>
      </c>
      <c r="F9849" t="str">
        <f>HYPERLINK("https://github.com/MozillaReality/FirefoxReality/releases","show")</f>
        <v>show</v>
      </c>
    </row>
    <row r="9850" spans="1:6">
      <c r="A9850" t="s">
        <v>29260</v>
      </c>
      <c r="B9850" t="s">
        <v>29261</v>
      </c>
      <c r="C9850" t="s">
        <v>29262</v>
      </c>
      <c r="D9850" t="str">
        <f>HYPERLINK("https://github.com/AniTrend/anitrend-app/issues/87","show")</f>
        <v>show</v>
      </c>
      <c r="E9850" t="str">
        <f>HYPERLINK("https://github.com/AniTrend/anitrend-app","show")</f>
        <v>show</v>
      </c>
      <c r="F9850" t="str">
        <f>HYPERLINK("https://github.com/AniTrend/anitrend-app/releases","show")</f>
        <v>show</v>
      </c>
    </row>
    <row r="9851" spans="1:6">
      <c r="A9851" t="s">
        <v>29263</v>
      </c>
      <c r="B9851" t="s">
        <v>29264</v>
      </c>
      <c r="C9851" t="s">
        <v>29265</v>
      </c>
      <c r="D9851" t="str">
        <f>HYPERLINK("https://github.com/connectbot/connectbot/issues/650","show")</f>
        <v>show</v>
      </c>
      <c r="E9851" t="str">
        <f>HYPERLINK("https://github.com/connectbot/connectbot","show")</f>
        <v>show</v>
      </c>
      <c r="F9851" t="str">
        <f>HYPERLINK("https://github.com/connectbot/connectbot/releases","show")</f>
        <v>show</v>
      </c>
    </row>
    <row r="9852" spans="1:6">
      <c r="A9852" t="s">
        <v>29266</v>
      </c>
      <c r="B9852" t="s">
        <v>29267</v>
      </c>
      <c r="C9852" t="s">
        <v>29268</v>
      </c>
      <c r="D9852" t="str">
        <f>HYPERLINK("https://github.com/nextcloud/android/issues/3127","show")</f>
        <v>show</v>
      </c>
      <c r="E9852" t="str">
        <f>HYPERLINK("https://github.com/nextcloud/android","show")</f>
        <v>show</v>
      </c>
      <c r="F9852" t="str">
        <f>HYPERLINK("https://github.com/nextcloud/android/releases","show")</f>
        <v>show</v>
      </c>
    </row>
    <row r="9853" spans="1:6">
      <c r="A9853" t="s">
        <v>29269</v>
      </c>
      <c r="B9853" t="s">
        <v>29270</v>
      </c>
      <c r="C9853" t="s">
        <v>29271</v>
      </c>
      <c r="D9853" t="str">
        <f>HYPERLINK("https://github.com/niccokunzmann/mundraub-android/issues/189","show")</f>
        <v>show</v>
      </c>
      <c r="E9853" t="str">
        <f>HYPERLINK("https://github.com/niccokunzmann/mundraub-android","show")</f>
        <v>show</v>
      </c>
      <c r="F9853" t="str">
        <f>HYPERLINK("https://github.com/niccokunzmann/mundraub-android/releases","show")</f>
        <v>show</v>
      </c>
    </row>
    <row r="9854" spans="1:6">
      <c r="A9854" t="s">
        <v>29272</v>
      </c>
      <c r="B9854" t="s">
        <v>29273</v>
      </c>
      <c r="C9854" t="s">
        <v>29274</v>
      </c>
      <c r="D9854" t="str">
        <f>HYPERLINK("https://github.com/niccokunzmann/mundraub-android/issues/188","show")</f>
        <v>show</v>
      </c>
      <c r="E9854" t="str">
        <f>HYPERLINK("https://github.com/niccokunzmann/mundraub-android","show")</f>
        <v>show</v>
      </c>
      <c r="F9854" t="str">
        <f>HYPERLINK("https://github.com/niccokunzmann/mundraub-android/releases","show")</f>
        <v>show</v>
      </c>
    </row>
    <row r="9855" spans="1:6">
      <c r="A9855" t="s">
        <v>29275</v>
      </c>
      <c r="B9855" t="s">
        <v>29276</v>
      </c>
      <c r="C9855" t="s">
        <v>29277</v>
      </c>
      <c r="D9855" t="str">
        <f>HYPERLINK("https://github.com/niccokunzmann/mundraub-android/issues/187","show")</f>
        <v>show</v>
      </c>
      <c r="E9855" t="str">
        <f>HYPERLINK("https://github.com/niccokunzmann/mundraub-android","show")</f>
        <v>show</v>
      </c>
      <c r="F9855" t="str">
        <f>HYPERLINK("https://github.com/niccokunzmann/mundraub-android/releases","show")</f>
        <v>show</v>
      </c>
    </row>
    <row r="9856" spans="1:6">
      <c r="A9856" t="s">
        <v>29278</v>
      </c>
      <c r="B9856" t="s">
        <v>29279</v>
      </c>
      <c r="C9856" t="s">
        <v>29280</v>
      </c>
      <c r="D9856" t="str">
        <f>HYPERLINK("https://github.com/k9mail/k-9/issues/3653","show")</f>
        <v>show</v>
      </c>
      <c r="E9856" t="str">
        <f>HYPERLINK("https://github.com/k9mail/k-9","show")</f>
        <v>show</v>
      </c>
      <c r="F9856" t="str">
        <f>HYPERLINK("https://github.com/k9mail/k-9/releases","show")</f>
        <v>show</v>
      </c>
    </row>
    <row r="9857" spans="1:6">
      <c r="A9857" t="s">
        <v>29281</v>
      </c>
      <c r="B9857" t="s">
        <v>29282</v>
      </c>
      <c r="C9857" t="s">
        <v>29283</v>
      </c>
      <c r="D9857" t="str">
        <f>HYPERLINK("https://github.com/stealthcopter/AndroidNetworkTools/issues/51","show")</f>
        <v>show</v>
      </c>
      <c r="E9857" t="str">
        <f>HYPERLINK("https://github.com/stealthcopter/AndroidNetworkTools","show")</f>
        <v>show</v>
      </c>
      <c r="F9857" t="str">
        <f>HYPERLINK("https://github.com/stealthcopter/AndroidNetworkTools/releases","show")</f>
        <v>show</v>
      </c>
    </row>
    <row r="9858" spans="1:6">
      <c r="A9858" t="s">
        <v>29284</v>
      </c>
      <c r="B9858" t="s">
        <v>29285</v>
      </c>
      <c r="C9858" t="s">
        <v>29286</v>
      </c>
      <c r="D9858" t="str">
        <f>HYPERLINK("https://github.com/GreatApo/GreatFit/issues/16","show")</f>
        <v>show</v>
      </c>
      <c r="E9858" t="str">
        <f>HYPERLINK("https://github.com/GreatApo/GreatFit","show")</f>
        <v>show</v>
      </c>
      <c r="F9858" t="str">
        <f>HYPERLINK("https://github.com/GreatApo/GreatFit/releases","show")</f>
        <v>show</v>
      </c>
    </row>
    <row r="9859" spans="1:6">
      <c r="A9859" t="s">
        <v>29287</v>
      </c>
      <c r="B9859" t="s">
        <v>29288</v>
      </c>
      <c r="C9859" t="s">
        <v>29289</v>
      </c>
      <c r="D9859" t="str">
        <f>HYPERLINK("https://github.com/niccokunzmann/mundraub-android/issues/186","show")</f>
        <v>show</v>
      </c>
      <c r="E9859" t="str">
        <f>HYPERLINK("https://github.com/niccokunzmann/mundraub-android","show")</f>
        <v>show</v>
      </c>
      <c r="F9859" t="str">
        <f>HYPERLINK("https://github.com/niccokunzmann/mundraub-android/releases","show")</f>
        <v>show</v>
      </c>
    </row>
    <row r="9860" spans="1:6">
      <c r="A9860" t="s">
        <v>29290</v>
      </c>
      <c r="B9860" t="s">
        <v>29291</v>
      </c>
      <c r="C9860" t="s">
        <v>29292</v>
      </c>
      <c r="D9860" t="str">
        <f>HYPERLINK("https://github.com/ZeusWPI/hydra-android/issues/279","show")</f>
        <v>show</v>
      </c>
      <c r="E9860" t="str">
        <f>HYPERLINK("https://github.com/ZeusWPI/hydra-android","show")</f>
        <v>show</v>
      </c>
      <c r="F9860" t="str">
        <f>HYPERLINK("https://github.com/ZeusWPI/hydra-android/releases","show")</f>
        <v>show</v>
      </c>
    </row>
    <row r="9861" spans="1:6">
      <c r="A9861" t="s">
        <v>29293</v>
      </c>
      <c r="B9861" t="s">
        <v>29294</v>
      </c>
      <c r="C9861" t="s">
        <v>29295</v>
      </c>
      <c r="D9861" t="str">
        <f>HYPERLINK("https://github.com/barbeau/gpstest/issues/221","show")</f>
        <v>show</v>
      </c>
      <c r="E9861" t="str">
        <f>HYPERLINK("https://github.com/barbeau/gpstest","show")</f>
        <v>show</v>
      </c>
      <c r="F9861" t="str">
        <f>HYPERLINK("https://github.com/barbeau/gpstest/releases","show")</f>
        <v>show</v>
      </c>
    </row>
    <row r="9862" spans="1:6">
      <c r="A9862" t="s">
        <v>29296</v>
      </c>
      <c r="B9862" t="s">
        <v>29297</v>
      </c>
      <c r="C9862" t="s">
        <v>29298</v>
      </c>
      <c r="D9862" t="str">
        <f>HYPERLINK("https://github.com/akvo/akvo-flow-mobile/issues/1230","show")</f>
        <v>show</v>
      </c>
      <c r="E9862" t="str">
        <f>HYPERLINK("https://github.com/akvo/akvo-flow-mobile","show")</f>
        <v>show</v>
      </c>
      <c r="F9862" t="str">
        <f>HYPERLINK("https://github.com/akvo/akvo-flow-mobile/releases","show")</f>
        <v>show</v>
      </c>
    </row>
    <row r="9863" spans="1:6">
      <c r="A9863" t="s">
        <v>29299</v>
      </c>
      <c r="B9863" t="s">
        <v>29300</v>
      </c>
      <c r="C9863" t="s">
        <v>29301</v>
      </c>
      <c r="D9863" t="str">
        <f>HYPERLINK("https://github.com/k9mail/k-9/issues/3652","show")</f>
        <v>show</v>
      </c>
      <c r="E9863" t="str">
        <f>HYPERLINK("https://github.com/k9mail/k-9","show")</f>
        <v>show</v>
      </c>
      <c r="F9863" t="str">
        <f>HYPERLINK("https://github.com/k9mail/k-9/releases","show")</f>
        <v>show</v>
      </c>
    </row>
    <row r="9864" spans="1:6">
      <c r="A9864" t="s">
        <v>29302</v>
      </c>
      <c r="B9864" t="s">
        <v>29303</v>
      </c>
      <c r="C9864" t="s">
        <v>29304</v>
      </c>
      <c r="D9864" t="str">
        <f>HYPERLINK("https://github.com/ankidroid/Anki-Android/issues/5029","show")</f>
        <v>show</v>
      </c>
      <c r="E9864" t="str">
        <f>HYPERLINK("https://github.com/ankidroid/Anki-Android","show")</f>
        <v>show</v>
      </c>
      <c r="F9864" t="str">
        <f>HYPERLINK("https://github.com/ankidroid/Anki-Android/releases","show")</f>
        <v>show</v>
      </c>
    </row>
    <row r="9865" spans="1:6">
      <c r="A9865" t="s">
        <v>29305</v>
      </c>
      <c r="B9865" t="s">
        <v>29306</v>
      </c>
      <c r="C9865" t="s">
        <v>29307</v>
      </c>
      <c r="D9865" t="str">
        <f>HYPERLINK("https://github.com/mapbox/mapbox-events-android/issues/230","show")</f>
        <v>show</v>
      </c>
      <c r="E9865" t="str">
        <f>HYPERLINK("https://github.com/mapbox/mapbox-events-android","show")</f>
        <v>show</v>
      </c>
      <c r="F9865" t="str">
        <f>HYPERLINK("https://github.com/mapbox/mapbox-events-android/releases","show")</f>
        <v>show</v>
      </c>
    </row>
    <row r="9866" spans="1:6">
      <c r="A9866" t="s">
        <v>29308</v>
      </c>
      <c r="B9866" t="s">
        <v>29309</v>
      </c>
      <c r="C9866" t="s">
        <v>29310</v>
      </c>
      <c r="D9866" t="str">
        <f>HYPERLINK("https://github.com/gsantner/markor/issues/389","show")</f>
        <v>show</v>
      </c>
      <c r="E9866" t="str">
        <f>HYPERLINK("https://github.com/gsantner/markor","show")</f>
        <v>show</v>
      </c>
      <c r="F9866" t="str">
        <f>HYPERLINK("https://github.com/gsantner/markor/releases","show")</f>
        <v>show</v>
      </c>
    </row>
    <row r="9867" spans="1:6">
      <c r="A9867" t="s">
        <v>29311</v>
      </c>
      <c r="B9867" t="s">
        <v>29312</v>
      </c>
      <c r="C9867" t="s">
        <v>29313</v>
      </c>
      <c r="D9867" t="str">
        <f>HYPERLINK("https://github.com/commons-app/apps-android-commons/issues/1917","show")</f>
        <v>show</v>
      </c>
      <c r="E9867" t="str">
        <f>HYPERLINK("https://github.com/commons-app/apps-android-commons","show")</f>
        <v>show</v>
      </c>
      <c r="F9867" t="str">
        <f>HYPERLINK("https://github.com/commons-app/apps-android-commons/releases","show")</f>
        <v>show</v>
      </c>
    </row>
    <row r="9868" spans="1:6">
      <c r="A9868" t="s">
        <v>29314</v>
      </c>
      <c r="B9868" t="s">
        <v>29315</v>
      </c>
      <c r="C9868" t="s">
        <v>29316</v>
      </c>
      <c r="D9868" t="str">
        <f>HYPERLINK("https://github.com/yayaa/LocationManager/issues/90","show")</f>
        <v>show</v>
      </c>
      <c r="E9868" t="str">
        <f>HYPERLINK("https://github.com/yayaa/LocationManager","show")</f>
        <v>show</v>
      </c>
      <c r="F9868" t="str">
        <f>HYPERLINK("https://github.com/yayaa/LocationManager/releases","show")</f>
        <v>show</v>
      </c>
    </row>
    <row r="9869" spans="1:6">
      <c r="A9869" t="s">
        <v>29317</v>
      </c>
      <c r="B9869" t="s">
        <v>29318</v>
      </c>
      <c r="C9869" t="s">
        <v>29319</v>
      </c>
      <c r="D9869" t="str">
        <f>HYPERLINK("https://github.com/Swati4star/Images-to-PDF/issues/454","show")</f>
        <v>show</v>
      </c>
      <c r="E9869" t="str">
        <f>HYPERLINK("https://github.com/Swati4star/Images-to-PDF","show")</f>
        <v>show</v>
      </c>
      <c r="F9869" t="str">
        <f>HYPERLINK("https://github.com/Swati4star/Images-to-PDF/releases","show")</f>
        <v>show</v>
      </c>
    </row>
    <row r="9870" spans="1:6">
      <c r="A9870" t="s">
        <v>29320</v>
      </c>
      <c r="B9870" t="s">
        <v>29321</v>
      </c>
      <c r="C9870" t="s">
        <v>29322</v>
      </c>
      <c r="D9870" t="str">
        <f>HYPERLINK("https://github.com/jMonkeyEngine/jmonkeyengine/issues/931","show")</f>
        <v>show</v>
      </c>
      <c r="E9870" t="str">
        <f>HYPERLINK("https://github.com/jMonkeyEngine/jmonkeyengine","show")</f>
        <v>show</v>
      </c>
      <c r="F9870" t="str">
        <f>HYPERLINK("https://github.com/jMonkeyEngine/jmonkeyengine/releases","show")</f>
        <v>show</v>
      </c>
    </row>
    <row r="9871" spans="1:6">
      <c r="A9871" t="s">
        <v>29323</v>
      </c>
      <c r="B9871" t="s">
        <v>29324</v>
      </c>
      <c r="C9871" t="s">
        <v>29325</v>
      </c>
      <c r="D9871" t="str">
        <f>HYPERLINK("https://github.com/ankidroid/Anki-Android/issues/5011","show")</f>
        <v>show</v>
      </c>
      <c r="E9871" t="str">
        <f>HYPERLINK("https://github.com/ankidroid/Anki-Android","show")</f>
        <v>show</v>
      </c>
      <c r="F9871" t="str">
        <f>HYPERLINK("https://github.com/ankidroid/Anki-Android/releases","show")</f>
        <v>show</v>
      </c>
    </row>
    <row r="9872" spans="1:6">
      <c r="A9872" t="s">
        <v>29326</v>
      </c>
      <c r="B9872" t="s">
        <v>29327</v>
      </c>
      <c r="C9872" t="s">
        <v>29328</v>
      </c>
      <c r="D9872" t="str">
        <f>HYPERLINK("https://github.com/inaturalist/iNaturalistAndroid/issues/588","show")</f>
        <v>show</v>
      </c>
      <c r="E9872" t="str">
        <f>HYPERLINK("https://github.com/inaturalist/iNaturalistAndroid","show")</f>
        <v>show</v>
      </c>
      <c r="F9872" t="str">
        <f>HYPERLINK("https://github.com/inaturalist/iNaturalistAndroid/releases","show")</f>
        <v>show</v>
      </c>
    </row>
    <row r="9873" spans="1:6">
      <c r="A9873" t="s">
        <v>29329</v>
      </c>
      <c r="B9873" t="s">
        <v>29330</v>
      </c>
      <c r="C9873" t="s">
        <v>29331</v>
      </c>
      <c r="D9873" t="str">
        <f>HYPERLINK("https://github.com/fossasia/phimpme-android/issues/2194","show")</f>
        <v>show</v>
      </c>
      <c r="E9873" t="str">
        <f>HYPERLINK("https://github.com/fossasia/phimpme-android","show")</f>
        <v>show</v>
      </c>
      <c r="F9873" t="str">
        <f>HYPERLINK("https://github.com/fossasia/phimpme-android/releases","show")</f>
        <v>show</v>
      </c>
    </row>
    <row r="9874" spans="1:6">
      <c r="A9874" t="s">
        <v>29332</v>
      </c>
      <c r="B9874" t="s">
        <v>29333</v>
      </c>
      <c r="C9874" t="s">
        <v>29334</v>
      </c>
      <c r="D9874" t="str">
        <f>HYPERLINK("https://github.com/jMonkeyEngine/jmonkeyengine/issues/928","show")</f>
        <v>show</v>
      </c>
      <c r="E9874" t="str">
        <f>HYPERLINK("https://github.com/jMonkeyEngine/jmonkeyengine","show")</f>
        <v>show</v>
      </c>
      <c r="F9874" t="str">
        <f>HYPERLINK("https://github.com/jMonkeyEngine/jmonkeyengine/releases","show")</f>
        <v>show</v>
      </c>
    </row>
    <row r="9875" spans="1:6">
      <c r="A9875" t="s">
        <v>29335</v>
      </c>
      <c r="B9875" t="s">
        <v>29336</v>
      </c>
      <c r="C9875" t="s">
        <v>29337</v>
      </c>
      <c r="D9875" t="str">
        <f>HYPERLINK("https://github.com/pvarry/intra42/issues/13","show")</f>
        <v>show</v>
      </c>
      <c r="E9875" t="str">
        <f>HYPERLINK("https://github.com/pvarry/intra42","show")</f>
        <v>show</v>
      </c>
      <c r="F9875" t="str">
        <f>HYPERLINK("https://github.com/pvarry/intra42/releases","show")</f>
        <v>show</v>
      </c>
    </row>
    <row r="9876" spans="1:6">
      <c r="A9876" t="s">
        <v>29338</v>
      </c>
      <c r="B9876" t="s">
        <v>29339</v>
      </c>
      <c r="C9876" t="s">
        <v>29340</v>
      </c>
      <c r="D9876" t="str">
        <f>HYPERLINK("https://github.com/inaturalist/iNaturalistAndroid/issues/587","show")</f>
        <v>show</v>
      </c>
      <c r="E9876" t="str">
        <f>HYPERLINK("https://github.com/inaturalist/iNaturalistAndroid","show")</f>
        <v>show</v>
      </c>
      <c r="F9876" t="str">
        <f>HYPERLINK("https://github.com/inaturalist/iNaturalistAndroid/releases","show")</f>
        <v>show</v>
      </c>
    </row>
    <row r="9877" spans="1:6">
      <c r="A9877" t="s">
        <v>29341</v>
      </c>
      <c r="B9877" t="s">
        <v>29342</v>
      </c>
      <c r="C9877" t="s">
        <v>29343</v>
      </c>
      <c r="D9877" t="str">
        <f>HYPERLINK("https://github.com/fossasia/phimpme-android/issues/2192","show")</f>
        <v>show</v>
      </c>
      <c r="E9877" t="str">
        <f>HYPERLINK("https://github.com/fossasia/phimpme-android","show")</f>
        <v>show</v>
      </c>
      <c r="F9877" t="str">
        <f>HYPERLINK("https://github.com/fossasia/phimpme-android/releases","show")</f>
        <v>show</v>
      </c>
    </row>
    <row r="9878" spans="1:6">
      <c r="A9878" t="s">
        <v>29344</v>
      </c>
      <c r="B9878" t="s">
        <v>29345</v>
      </c>
      <c r="C9878" t="s">
        <v>29346</v>
      </c>
      <c r="D9878" t="str">
        <f>HYPERLINK("https://github.com/fossasia/phimpme-android/issues/2191","show")</f>
        <v>show</v>
      </c>
      <c r="E9878" t="str">
        <f>HYPERLINK("https://github.com/fossasia/phimpme-android","show")</f>
        <v>show</v>
      </c>
      <c r="F9878" t="str">
        <f>HYPERLINK("https://github.com/fossasia/phimpme-android/releases","show")</f>
        <v>show</v>
      </c>
    </row>
    <row r="9879" spans="1:6">
      <c r="A9879" t="s">
        <v>29347</v>
      </c>
      <c r="B9879" t="s">
        <v>29348</v>
      </c>
      <c r="C9879" t="s">
        <v>29349</v>
      </c>
      <c r="D9879" t="str">
        <f>HYPERLINK("https://github.com/niccokunzmann/mundraub-android/issues/176","show")</f>
        <v>show</v>
      </c>
      <c r="E9879" t="str">
        <f>HYPERLINK("https://github.com/niccokunzmann/mundraub-android","show")</f>
        <v>show</v>
      </c>
      <c r="F9879" t="str">
        <f>HYPERLINK("https://github.com/niccokunzmann/mundraub-android/releases","show")</f>
        <v>show</v>
      </c>
    </row>
    <row r="9880" spans="1:6">
      <c r="A9880" t="s">
        <v>29350</v>
      </c>
      <c r="B9880" t="s">
        <v>29351</v>
      </c>
      <c r="C9880" t="s">
        <v>29352</v>
      </c>
      <c r="D9880" t="str">
        <f>HYPERLINK("https://github.com/Intelehealth/Android-Mobile-Client/issues/537","show")</f>
        <v>show</v>
      </c>
      <c r="E9880" t="str">
        <f>HYPERLINK("https://github.com/Intelehealth/Android-Mobile-Client","show")</f>
        <v>show</v>
      </c>
      <c r="F9880" t="str">
        <f>HYPERLINK("https://github.com/Intelehealth/Android-Mobile-Client/releases","show")</f>
        <v>show</v>
      </c>
    </row>
    <row r="9881" spans="1:6">
      <c r="A9881" t="s">
        <v>29353</v>
      </c>
      <c r="B9881" t="s">
        <v>29354</v>
      </c>
      <c r="C9881" t="s">
        <v>29355</v>
      </c>
      <c r="D9881" t="str">
        <f>HYPERLINK("https://github.com/mgks/Android-SmartWebView/issues/47","show")</f>
        <v>show</v>
      </c>
      <c r="E9881" t="str">
        <f>HYPERLINK("https://github.com/mgks/Android-SmartWebView","show")</f>
        <v>show</v>
      </c>
      <c r="F9881" t="str">
        <f>HYPERLINK("https://github.com/mgks/Android-SmartWebView/releases","show")</f>
        <v>show</v>
      </c>
    </row>
    <row r="9882" spans="1:6">
      <c r="A9882" t="s">
        <v>29356</v>
      </c>
      <c r="B9882" t="s">
        <v>29357</v>
      </c>
      <c r="C9882" t="s">
        <v>29358</v>
      </c>
      <c r="D9882" t="str">
        <f>HYPERLINK("https://github.com/niccokunzmann/mundraub-android/issues/175","show")</f>
        <v>show</v>
      </c>
      <c r="E9882" t="str">
        <f>HYPERLINK("https://github.com/niccokunzmann/mundraub-android","show")</f>
        <v>show</v>
      </c>
      <c r="F9882" t="str">
        <f>HYPERLINK("https://github.com/niccokunzmann/mundraub-android/releases","show")</f>
        <v>show</v>
      </c>
    </row>
    <row r="9883" spans="1:6">
      <c r="A9883" t="s">
        <v>29359</v>
      </c>
      <c r="B9883" t="s">
        <v>29360</v>
      </c>
      <c r="C9883" t="s">
        <v>29361</v>
      </c>
      <c r="D9883" t="str">
        <f>HYPERLINK("https://github.com/niccokunzmann/mundraub-android/issues/174","show")</f>
        <v>show</v>
      </c>
      <c r="E9883" t="str">
        <f>HYPERLINK("https://github.com/niccokunzmann/mundraub-android","show")</f>
        <v>show</v>
      </c>
      <c r="F9883" t="str">
        <f>HYPERLINK("https://github.com/niccokunzmann/mundraub-android/releases","show")</f>
        <v>show</v>
      </c>
    </row>
    <row r="9884" spans="1:6">
      <c r="A9884" t="s">
        <v>29362</v>
      </c>
      <c r="B9884" t="s">
        <v>29363</v>
      </c>
      <c r="C9884" t="s">
        <v>29364</v>
      </c>
      <c r="D9884" t="str">
        <f>HYPERLINK("https://github.com/niccokunzmann/mundraub-android/issues/173","show")</f>
        <v>show</v>
      </c>
      <c r="E9884" t="str">
        <f>HYPERLINK("https://github.com/niccokunzmann/mundraub-android","show")</f>
        <v>show</v>
      </c>
      <c r="F9884" t="str">
        <f>HYPERLINK("https://github.com/niccokunzmann/mundraub-android/releases","show")</f>
        <v>show</v>
      </c>
    </row>
    <row r="9885" spans="1:6">
      <c r="A9885" t="s">
        <v>29365</v>
      </c>
      <c r="B9885" t="s">
        <v>29366</v>
      </c>
      <c r="C9885" t="s">
        <v>29367</v>
      </c>
      <c r="D9885" t="str">
        <f>HYPERLINK("https://github.com/novoda/merlin/issues/171","show")</f>
        <v>show</v>
      </c>
      <c r="E9885" t="str">
        <f>HYPERLINK("https://github.com/novoda/merlin","show")</f>
        <v>show</v>
      </c>
      <c r="F9885" t="str">
        <f>HYPERLINK("https://github.com/novoda/merlin/releases","show")</f>
        <v>show</v>
      </c>
    </row>
    <row r="9886" spans="1:6">
      <c r="A9886" t="s">
        <v>29368</v>
      </c>
      <c r="B9886" t="s">
        <v>29369</v>
      </c>
      <c r="C9886" t="s">
        <v>29370</v>
      </c>
      <c r="D9886" t="str">
        <f>HYPERLINK("https://github.com/Barista-Analytics/Barista-Analytics/issues/3","show")</f>
        <v>show</v>
      </c>
      <c r="E9886" t="str">
        <f>HYPERLINK("https://github.com/Barista-Analytics/Barista-Analytics","show")</f>
        <v>show</v>
      </c>
      <c r="F9886" t="str">
        <f>HYPERLINK("https://github.com/Barista-Analytics/Barista-Analytics/releases","show")</f>
        <v>show</v>
      </c>
    </row>
    <row r="9887" spans="1:6">
      <c r="A9887" t="s">
        <v>29371</v>
      </c>
      <c r="B9887" t="s">
        <v>29372</v>
      </c>
      <c r="C9887" t="s">
        <v>29373</v>
      </c>
      <c r="D9887" t="str">
        <f>HYPERLINK("https://github.com/nextcloud/news-android/issues/665","show")</f>
        <v>show</v>
      </c>
      <c r="E9887" t="str">
        <f>HYPERLINK("https://github.com/nextcloud/news-android","show")</f>
        <v>show</v>
      </c>
      <c r="F9887" t="str">
        <f>HYPERLINK("https://github.com/nextcloud/news-android/releases","show")</f>
        <v>show</v>
      </c>
    </row>
    <row r="9888" spans="1:6">
      <c r="A9888" t="s">
        <v>29374</v>
      </c>
      <c r="B9888" t="s">
        <v>29375</v>
      </c>
      <c r="C9888" t="s">
        <v>29376</v>
      </c>
      <c r="D9888" t="str">
        <f>HYPERLINK("https://github.com/Barista-Analytics/Barista-Analytics/issues/2","show")</f>
        <v>show</v>
      </c>
      <c r="E9888" t="str">
        <f>HYPERLINK("https://github.com/Barista-Analytics/Barista-Analytics","show")</f>
        <v>show</v>
      </c>
      <c r="F9888" t="str">
        <f>HYPERLINK("https://github.com/Barista-Analytics/Barista-Analytics/releases","show")</f>
        <v>show</v>
      </c>
    </row>
    <row r="9889" spans="1:6">
      <c r="A9889" t="s">
        <v>29377</v>
      </c>
      <c r="B9889" t="s">
        <v>29378</v>
      </c>
      <c r="C9889" t="s">
        <v>29379</v>
      </c>
      <c r="D9889" t="str">
        <f>HYPERLINK("https://github.com/react-native-camera/react-native-camera/issues/1829","show")</f>
        <v>show</v>
      </c>
      <c r="E9889" t="str">
        <f>HYPERLINK("https://github.com/react-native-camera/react-native-camera","show")</f>
        <v>show</v>
      </c>
      <c r="F9889" t="str">
        <f>HYPERLINK("https://github.com/react-native-camera/react-native-camera/releases","show")</f>
        <v>show</v>
      </c>
    </row>
    <row r="9890" spans="1:6">
      <c r="A9890" t="s">
        <v>29380</v>
      </c>
      <c r="B9890" t="s">
        <v>29381</v>
      </c>
      <c r="C9890" t="s">
        <v>29382</v>
      </c>
      <c r="D9890" t="str">
        <f>HYPERLINK("https://github.com/roseacademies/hedhihelp/issues/1","show")</f>
        <v>show</v>
      </c>
      <c r="E9890" t="str">
        <f>HYPERLINK("https://github.com/roseacademies/hedhihelp","show")</f>
        <v>show</v>
      </c>
      <c r="F9890" t="str">
        <f>HYPERLINK("https://github.com/roseacademies/hedhihelp/releases","show")</f>
        <v>show</v>
      </c>
    </row>
    <row r="9891" spans="1:6">
      <c r="A9891" t="s">
        <v>29383</v>
      </c>
      <c r="B9891" t="s">
        <v>29384</v>
      </c>
      <c r="C9891" t="s">
        <v>29385</v>
      </c>
      <c r="D9891" t="str">
        <f>HYPERLINK("https://github.com/MozillaReality/FirefoxReality/issues/589","show")</f>
        <v>show</v>
      </c>
      <c r="E9891" t="str">
        <f>HYPERLINK("https://github.com/MozillaReality/FirefoxReality","show")</f>
        <v>show</v>
      </c>
      <c r="F9891" t="str">
        <f>HYPERLINK("https://github.com/MozillaReality/FirefoxReality/releases","show")</f>
        <v>show</v>
      </c>
    </row>
    <row r="9892" spans="1:6">
      <c r="A9892" t="s">
        <v>29386</v>
      </c>
      <c r="B9892" t="s">
        <v>29387</v>
      </c>
      <c r="C9892" t="s">
        <v>29388</v>
      </c>
      <c r="D9892" t="str">
        <f>HYPERLINK("https://github.com/gateship-one/odyssey/issues/167","show")</f>
        <v>show</v>
      </c>
      <c r="E9892" t="str">
        <f>HYPERLINK("https://github.com/gateship-one/odyssey","show")</f>
        <v>show</v>
      </c>
      <c r="F9892" t="str">
        <f>HYPERLINK("https://github.com/gateship-one/odyssey/releases","show")</f>
        <v>show</v>
      </c>
    </row>
    <row r="9893" spans="1:6">
      <c r="A9893" t="s">
        <v>29389</v>
      </c>
      <c r="B9893" t="s">
        <v>29390</v>
      </c>
      <c r="C9893" t="s">
        <v>29391</v>
      </c>
      <c r="D9893" t="str">
        <f>HYPERLINK("https://github.com/ZeevoX/Ocquarium/issues/49","show")</f>
        <v>show</v>
      </c>
      <c r="E9893" t="str">
        <f>HYPERLINK("https://github.com/ZeevoX/Ocquarium","show")</f>
        <v>show</v>
      </c>
      <c r="F9893" t="str">
        <f>HYPERLINK("https://github.com/ZeevoX/Ocquarium/releases","show")</f>
        <v>show</v>
      </c>
    </row>
    <row r="9894" spans="1:6">
      <c r="A9894" t="s">
        <v>29392</v>
      </c>
      <c r="B9894" t="s">
        <v>29393</v>
      </c>
      <c r="C9894" t="s">
        <v>29394</v>
      </c>
      <c r="D9894" t="str">
        <f>HYPERLINK("https://github.com/NineWorlds/serenity-android/issues/377","show")</f>
        <v>show</v>
      </c>
      <c r="E9894" t="str">
        <f>HYPERLINK("https://github.com/NineWorlds/serenity-android","show")</f>
        <v>show</v>
      </c>
      <c r="F9894" t="str">
        <f>HYPERLINK("https://github.com/NineWorlds/serenity-android/releases","show")</f>
        <v>show</v>
      </c>
    </row>
    <row r="9895" spans="1:6">
      <c r="A9895" t="s">
        <v>29395</v>
      </c>
      <c r="B9895" t="s">
        <v>29396</v>
      </c>
      <c r="C9895" t="s">
        <v>29397</v>
      </c>
      <c r="D9895" t="str">
        <f>HYPERLINK("https://github.com/nikita36078/J2ME-Loader/issues/387","show")</f>
        <v>show</v>
      </c>
      <c r="E9895" t="str">
        <f>HYPERLINK("https://github.com/nikita36078/J2ME-Loader","show")</f>
        <v>show</v>
      </c>
      <c r="F9895" t="str">
        <f>HYPERLINK("https://github.com/nikita36078/J2ME-Loader/releases","show")</f>
        <v>show</v>
      </c>
    </row>
    <row r="9896" spans="1:6">
      <c r="A9896" t="s">
        <v>29398</v>
      </c>
      <c r="B9896" t="s">
        <v>29399</v>
      </c>
      <c r="C9896" t="s">
        <v>29400</v>
      </c>
      <c r="D9896" t="str">
        <f>HYPERLINK("https://github.com/brodeurlv/fastnfitness/issues/42","show")</f>
        <v>show</v>
      </c>
      <c r="E9896" t="str">
        <f>HYPERLINK("https://github.com/brodeurlv/fastnfitness","show")</f>
        <v>show</v>
      </c>
      <c r="F9896" t="str">
        <f>HYPERLINK("https://github.com/brodeurlv/fastnfitness/releases","show")</f>
        <v>show</v>
      </c>
    </row>
    <row r="9897" spans="1:6">
      <c r="A9897" t="s">
        <v>29401</v>
      </c>
      <c r="B9897" t="s">
        <v>29402</v>
      </c>
      <c r="C9897" t="s">
        <v>29403</v>
      </c>
      <c r="D9897" t="str">
        <f>HYPERLINK("https://github.com/yeriomin/YalpStore/issues/532","show")</f>
        <v>show</v>
      </c>
      <c r="E9897" t="str">
        <f>HYPERLINK("https://github.com/yeriomin/YalpStore","show")</f>
        <v>show</v>
      </c>
      <c r="F9897" t="str">
        <f>HYPERLINK("https://github.com/yeriomin/YalpStore/releases","show")</f>
        <v>show</v>
      </c>
    </row>
    <row r="9898" spans="1:6">
      <c r="A9898" t="s">
        <v>29404</v>
      </c>
      <c r="B9898" t="s">
        <v>29405</v>
      </c>
      <c r="C9898" t="s">
        <v>29406</v>
      </c>
      <c r="D9898" t="str">
        <f>HYPERLINK("https://github.com/niccokunzmann/mundraub-android/issues/171","show")</f>
        <v>show</v>
      </c>
      <c r="E9898" t="str">
        <f>HYPERLINK("https://github.com/niccokunzmann/mundraub-android","show")</f>
        <v>show</v>
      </c>
      <c r="F9898" t="str">
        <f>HYPERLINK("https://github.com/niccokunzmann/mundraub-android/releases","show")</f>
        <v>show</v>
      </c>
    </row>
    <row r="9899" spans="1:6">
      <c r="A9899" t="s">
        <v>29407</v>
      </c>
      <c r="B9899" t="s">
        <v>29408</v>
      </c>
      <c r="C9899" t="s">
        <v>29409</v>
      </c>
      <c r="D9899" t="str">
        <f>HYPERLINK("https://github.com/niccokunzmann/mundraub-android/issues/170","show")</f>
        <v>show</v>
      </c>
      <c r="E9899" t="str">
        <f>HYPERLINK("https://github.com/niccokunzmann/mundraub-android","show")</f>
        <v>show</v>
      </c>
      <c r="F9899" t="str">
        <f>HYPERLINK("https://github.com/niccokunzmann/mundraub-android/releases","show")</f>
        <v>show</v>
      </c>
    </row>
    <row r="9900" spans="1:6">
      <c r="A9900" t="s">
        <v>29410</v>
      </c>
      <c r="B9900" t="s">
        <v>29411</v>
      </c>
      <c r="C9900" t="s">
        <v>29412</v>
      </c>
      <c r="D9900" t="str">
        <f>HYPERLINK("https://github.com/niccokunzmann/mundraub-android/issues/169","show")</f>
        <v>show</v>
      </c>
      <c r="E9900" t="str">
        <f>HYPERLINK("https://github.com/niccokunzmann/mundraub-android","show")</f>
        <v>show</v>
      </c>
      <c r="F9900" t="str">
        <f>HYPERLINK("https://github.com/niccokunzmann/mundraub-android/releases","show")</f>
        <v>show</v>
      </c>
    </row>
    <row r="9901" spans="1:6">
      <c r="A9901" t="s">
        <v>29413</v>
      </c>
      <c r="B9901" t="s">
        <v>29414</v>
      </c>
      <c r="C9901" t="s">
        <v>29415</v>
      </c>
      <c r="D9901" t="str">
        <f>HYPERLINK("https://github.com/niccokunzmann/mundraub-android/issues/168","show")</f>
        <v>show</v>
      </c>
      <c r="E9901" t="str">
        <f>HYPERLINK("https://github.com/niccokunzmann/mundraub-android","show")</f>
        <v>show</v>
      </c>
      <c r="F9901" t="str">
        <f>HYPERLINK("https://github.com/niccokunzmann/mundraub-android/releases","show")</f>
        <v>show</v>
      </c>
    </row>
    <row r="9902" spans="1:6">
      <c r="A9902" t="s">
        <v>29416</v>
      </c>
      <c r="B9902" t="s">
        <v>29417</v>
      </c>
      <c r="C9902" t="s">
        <v>29418</v>
      </c>
      <c r="D9902" t="str">
        <f>HYPERLINK("https://github.com/Swati4star/Images-to-PDF/issues/438","show")</f>
        <v>show</v>
      </c>
      <c r="E9902" t="str">
        <f>HYPERLINK("https://github.com/Swati4star/Images-to-PDF","show")</f>
        <v>show</v>
      </c>
      <c r="F9902" t="str">
        <f>HYPERLINK("https://github.com/Swati4star/Images-to-PDF/releases","show")</f>
        <v>show</v>
      </c>
    </row>
    <row r="9903" spans="1:6">
      <c r="A9903" t="s">
        <v>29419</v>
      </c>
      <c r="B9903" t="s">
        <v>29420</v>
      </c>
      <c r="C9903" t="s">
        <v>29421</v>
      </c>
      <c r="D9903" t="str">
        <f>HYPERLINK("https://github.com/chteuchteu/Munin-for-Android/issues/43","show")</f>
        <v>show</v>
      </c>
      <c r="E9903" t="str">
        <f>HYPERLINK("https://github.com/chteuchteu/Munin-for-Android","show")</f>
        <v>show</v>
      </c>
      <c r="F9903" t="str">
        <f>HYPERLINK("https://github.com/chteuchteu/Munin-for-Android/releases","show")</f>
        <v>show</v>
      </c>
    </row>
    <row r="9904" spans="1:6">
      <c r="A9904" t="s">
        <v>29422</v>
      </c>
      <c r="B9904" t="s">
        <v>29423</v>
      </c>
      <c r="C9904" t="s">
        <v>29424</v>
      </c>
      <c r="D9904" t="str">
        <f>HYPERLINK("https://github.com/MozillaReality/FirefoxReality/issues/586","show")</f>
        <v>show</v>
      </c>
      <c r="E9904" t="str">
        <f>HYPERLINK("https://github.com/MozillaReality/FirefoxReality","show")</f>
        <v>show</v>
      </c>
      <c r="F9904" t="str">
        <f>HYPERLINK("https://github.com/MozillaReality/FirefoxReality/releases","show")</f>
        <v>show</v>
      </c>
    </row>
    <row r="9905" spans="1:6">
      <c r="A9905" t="s">
        <v>29425</v>
      </c>
      <c r="B9905" t="s">
        <v>29426</v>
      </c>
      <c r="C9905" t="s">
        <v>29427</v>
      </c>
      <c r="D9905" t="str">
        <f>HYPERLINK("https://github.com/nextcloud/talk-android/issues/314","show")</f>
        <v>show</v>
      </c>
      <c r="E9905" t="str">
        <f>HYPERLINK("https://github.com/nextcloud/talk-android","show")</f>
        <v>show</v>
      </c>
      <c r="F9905" t="str">
        <f>HYPERLINK("https://github.com/nextcloud/talk-android/releases","show")</f>
        <v>show</v>
      </c>
    </row>
    <row r="9906" spans="1:6">
      <c r="A9906" t="s">
        <v>29428</v>
      </c>
      <c r="B9906" t="s">
        <v>29429</v>
      </c>
      <c r="C9906" t="s">
        <v>29430</v>
      </c>
      <c r="D9906" t="str">
        <f>HYPERLINK("https://github.com/ThmmyNoLife/mTHMMY/issues/56","show")</f>
        <v>show</v>
      </c>
      <c r="E9906" t="str">
        <f>HYPERLINK("https://github.com/ThmmyNoLife/mTHMMY","show")</f>
        <v>show</v>
      </c>
      <c r="F9906" t="str">
        <f>HYPERLINK("https://github.com/ThmmyNoLife/mTHMMY/releases","show")</f>
        <v>show</v>
      </c>
    </row>
    <row r="9907" spans="1:6">
      <c r="A9907" t="s">
        <v>29431</v>
      </c>
      <c r="B9907" t="s">
        <v>29432</v>
      </c>
      <c r="C9907" t="s">
        <v>29433</v>
      </c>
      <c r="D9907" t="str">
        <f>HYPERLINK("https://github.com/niccokunzmann/mundraub-android/issues/162","show")</f>
        <v>show</v>
      </c>
      <c r="E9907" t="str">
        <f>HYPERLINK("https://github.com/niccokunzmann/mundraub-android","show")</f>
        <v>show</v>
      </c>
      <c r="F9907" t="str">
        <f>HYPERLINK("https://github.com/niccokunzmann/mundraub-android/releases","show")</f>
        <v>show</v>
      </c>
    </row>
    <row r="9908" spans="1:6">
      <c r="A9908" t="s">
        <v>29434</v>
      </c>
      <c r="B9908" t="s">
        <v>29435</v>
      </c>
      <c r="C9908" t="s">
        <v>29436</v>
      </c>
      <c r="D9908" t="str">
        <f>HYPERLINK("https://github.com/niccokunzmann/mundraub-android/issues/161","show")</f>
        <v>show</v>
      </c>
      <c r="E9908" t="str">
        <f>HYPERLINK("https://github.com/niccokunzmann/mundraub-android","show")</f>
        <v>show</v>
      </c>
      <c r="F9908" t="str">
        <f>HYPERLINK("https://github.com/niccokunzmann/mundraub-android/releases","show")</f>
        <v>show</v>
      </c>
    </row>
    <row r="9909" spans="1:6">
      <c r="A9909" t="s">
        <v>29437</v>
      </c>
      <c r="B9909" t="s">
        <v>29438</v>
      </c>
      <c r="C9909" t="s">
        <v>29439</v>
      </c>
      <c r="D9909" t="str">
        <f>HYPERLINK("https://github.com/niccokunzmann/mundraub-android/issues/158","show")</f>
        <v>show</v>
      </c>
      <c r="E9909" t="str">
        <f>HYPERLINK("https://github.com/niccokunzmann/mundraub-android","show")</f>
        <v>show</v>
      </c>
      <c r="F9909" t="str">
        <f>HYPERLINK("https://github.com/niccokunzmann/mundraub-android/releases","show")</f>
        <v>show</v>
      </c>
    </row>
    <row r="9910" spans="1:6">
      <c r="A9910" t="s">
        <v>29440</v>
      </c>
      <c r="B9910" t="s">
        <v>29441</v>
      </c>
      <c r="C9910" t="s">
        <v>29442</v>
      </c>
      <c r="D9910" t="str">
        <f>HYPERLINK("https://github.com/niccokunzmann/mundraub-android/issues/157","show")</f>
        <v>show</v>
      </c>
      <c r="E9910" t="str">
        <f>HYPERLINK("https://github.com/niccokunzmann/mundraub-android","show")</f>
        <v>show</v>
      </c>
      <c r="F9910" t="str">
        <f>HYPERLINK("https://github.com/niccokunzmann/mundraub-android/releases","show")</f>
        <v>show</v>
      </c>
    </row>
    <row r="9911" spans="1:6">
      <c r="A9911" t="s">
        <v>29443</v>
      </c>
      <c r="B9911" t="s">
        <v>29444</v>
      </c>
      <c r="C9911" t="s">
        <v>29445</v>
      </c>
      <c r="D9911" t="str">
        <f>HYPERLINK("https://github.com/flyve-mdm/android-inventory-library/issues/162","show")</f>
        <v>show</v>
      </c>
      <c r="E9911" t="str">
        <f>HYPERLINK("https://github.com/flyve-mdm/android-inventory-library","show")</f>
        <v>show</v>
      </c>
      <c r="F9911" t="str">
        <f>HYPERLINK("https://github.com/flyve-mdm/android-inventory-library/releases","show")</f>
        <v>show</v>
      </c>
    </row>
    <row r="9912" spans="1:6">
      <c r="A9912" t="s">
        <v>29446</v>
      </c>
      <c r="B9912" t="s">
        <v>29447</v>
      </c>
      <c r="C9912" t="s">
        <v>29448</v>
      </c>
      <c r="D9912" t="str">
        <f>HYPERLINK("https://github.com/google/ExoPlayer/issues/4871","show")</f>
        <v>show</v>
      </c>
      <c r="E9912" t="str">
        <f>HYPERLINK("https://github.com/google/ExoPlayer","show")</f>
        <v>show</v>
      </c>
      <c r="F9912" t="str">
        <f>HYPERLINK("https://github.com/google/ExoPlayer/releases","show")</f>
        <v>show</v>
      </c>
    </row>
    <row r="9913" spans="1:6">
      <c r="A9913" t="s">
        <v>29449</v>
      </c>
      <c r="B9913" t="s">
        <v>29450</v>
      </c>
      <c r="C9913" t="s">
        <v>29451</v>
      </c>
      <c r="D9913" t="str">
        <f>HYPERLINK("https://github.com/mapbox/mapbox-events-android/issues/222","show")</f>
        <v>show</v>
      </c>
      <c r="E9913" t="str">
        <f>HYPERLINK("https://github.com/mapbox/mapbox-events-android","show")</f>
        <v>show</v>
      </c>
      <c r="F9913" t="str">
        <f>HYPERLINK("https://github.com/mapbox/mapbox-events-android/releases","show")</f>
        <v>show</v>
      </c>
    </row>
    <row r="9914" spans="1:6">
      <c r="A9914" t="s">
        <v>29452</v>
      </c>
      <c r="B9914" t="s">
        <v>29453</v>
      </c>
      <c r="C9914" t="s">
        <v>29454</v>
      </c>
      <c r="D9914" t="str">
        <f>HYPERLINK("https://github.com/mapbox/mapbox-events-android/issues/221","show")</f>
        <v>show</v>
      </c>
      <c r="E9914" t="str">
        <f>HYPERLINK("https://github.com/mapbox/mapbox-events-android","show")</f>
        <v>show</v>
      </c>
      <c r="F9914" t="str">
        <f>HYPERLINK("https://github.com/mapbox/mapbox-events-android/releases","show")</f>
        <v>show</v>
      </c>
    </row>
    <row r="9915" spans="1:6">
      <c r="A9915" t="s">
        <v>29455</v>
      </c>
      <c r="B9915" t="s">
        <v>29456</v>
      </c>
      <c r="C9915" t="s">
        <v>29457</v>
      </c>
      <c r="D9915" t="str">
        <f>HYPERLINK("https://github.com/google/mobly-bundled-snippets/issues/101","show")</f>
        <v>show</v>
      </c>
      <c r="E9915" t="str">
        <f>HYPERLINK("https://github.com/google/mobly-bundled-snippets","show")</f>
        <v>show</v>
      </c>
      <c r="F9915" t="str">
        <f>HYPERLINK("https://github.com/google/mobly-bundled-snippets/releases","show")</f>
        <v>show</v>
      </c>
    </row>
    <row r="9916" spans="1:6">
      <c r="A9916" t="s">
        <v>29458</v>
      </c>
      <c r="B9916" t="s">
        <v>29459</v>
      </c>
      <c r="C9916" t="s">
        <v>29460</v>
      </c>
      <c r="D9916" t="str">
        <f>HYPERLINK("https://github.com/medyo/android-about-page/issues/119","show")</f>
        <v>show</v>
      </c>
      <c r="E9916" t="str">
        <f>HYPERLINK("https://github.com/medyo/android-about-page","show")</f>
        <v>show</v>
      </c>
      <c r="F9916" t="str">
        <f>HYPERLINK("https://github.com/medyo/android-about-page/releases","show")</f>
        <v>show</v>
      </c>
    </row>
    <row r="9917" spans="1:6">
      <c r="A9917" t="s">
        <v>29461</v>
      </c>
      <c r="B9917" t="s">
        <v>29462</v>
      </c>
      <c r="C9917" t="s">
        <v>29463</v>
      </c>
      <c r="D9917" t="str">
        <f>HYPERLINK("https://github.com/DigitalCampus/oppia-mobile-android/issues/738","show")</f>
        <v>show</v>
      </c>
      <c r="E9917" t="str">
        <f>HYPERLINK("https://github.com/DigitalCampus/oppia-mobile-android","show")</f>
        <v>show</v>
      </c>
      <c r="F9917" t="str">
        <f>HYPERLINK("https://github.com/DigitalCampus/oppia-mobile-android/releases","show")</f>
        <v>show</v>
      </c>
    </row>
    <row r="9918" spans="1:6">
      <c r="A9918" t="s">
        <v>29464</v>
      </c>
      <c r="B9918" t="s">
        <v>29465</v>
      </c>
      <c r="C9918" t="s">
        <v>29466</v>
      </c>
      <c r="D9918" t="str">
        <f>HYPERLINK("https://github.com/HenriDellal/emerald-dialer/issues/13","show")</f>
        <v>show</v>
      </c>
      <c r="E9918" t="str">
        <f>HYPERLINK("https://github.com/HenriDellal/emerald-dialer","show")</f>
        <v>show</v>
      </c>
      <c r="F9918" t="str">
        <f>HYPERLINK("https://github.com/HenriDellal/emerald-dialer/releases","show")</f>
        <v>show</v>
      </c>
    </row>
    <row r="9919" spans="1:6">
      <c r="A9919" t="s">
        <v>29467</v>
      </c>
      <c r="B9919" t="s">
        <v>29468</v>
      </c>
      <c r="C9919" t="s">
        <v>29469</v>
      </c>
      <c r="D9919" t="str">
        <f>HYPERLINK("https://github.com/asuc-octo/berkeley-mobile-android/issues/82","show")</f>
        <v>show</v>
      </c>
      <c r="E9919" t="str">
        <f>HYPERLINK("https://github.com/asuc-octo/berkeley-mobile-android","show")</f>
        <v>show</v>
      </c>
      <c r="F9919" t="str">
        <f>HYPERLINK("https://github.com/asuc-octo/berkeley-mobile-android/releases","show")</f>
        <v>show</v>
      </c>
    </row>
    <row r="9920" spans="1:6">
      <c r="A9920" t="s">
        <v>29470</v>
      </c>
      <c r="B9920" t="s">
        <v>29471</v>
      </c>
      <c r="C9920" t="s">
        <v>29472</v>
      </c>
      <c r="D9920" t="str">
        <f>HYPERLINK("https://github.com/niccokunzmann/mundraub-android/issues/153","show")</f>
        <v>show</v>
      </c>
      <c r="E9920" t="str">
        <f>HYPERLINK("https://github.com/niccokunzmann/mundraub-android","show")</f>
        <v>show</v>
      </c>
      <c r="F9920" t="str">
        <f>HYPERLINK("https://github.com/niccokunzmann/mundraub-android/releases","show")</f>
        <v>show</v>
      </c>
    </row>
    <row r="9921" spans="1:6">
      <c r="A9921" t="s">
        <v>29473</v>
      </c>
      <c r="B9921" t="s">
        <v>29474</v>
      </c>
      <c r="C9921" t="s">
        <v>29475</v>
      </c>
      <c r="D9921" t="str">
        <f>HYPERLINK("https://github.com/fossasia/phimpme-android/issues/2174","show")</f>
        <v>show</v>
      </c>
      <c r="E9921" t="str">
        <f>HYPERLINK("https://github.com/fossasia/phimpme-android","show")</f>
        <v>show</v>
      </c>
      <c r="F9921" t="str">
        <f>HYPERLINK("https://github.com/fossasia/phimpme-android/releases","show")</f>
        <v>show</v>
      </c>
    </row>
    <row r="9922" spans="1:6">
      <c r="A9922" t="s">
        <v>29476</v>
      </c>
      <c r="B9922" t="s">
        <v>29477</v>
      </c>
      <c r="C9922" t="s">
        <v>29478</v>
      </c>
      <c r="D9922" t="str">
        <f>HYPERLINK("https://github.com/cgeo/cgeo/issues/7142","show")</f>
        <v>show</v>
      </c>
      <c r="E9922" t="str">
        <f>HYPERLINK("https://github.com/cgeo/cgeo","show")</f>
        <v>show</v>
      </c>
      <c r="F9922" t="str">
        <f>HYPERLINK("https://github.com/cgeo/cgeo/releases","show")</f>
        <v>show</v>
      </c>
    </row>
    <row r="9923" spans="1:6">
      <c r="A9923" t="s">
        <v>29479</v>
      </c>
      <c r="B9923" t="s">
        <v>29480</v>
      </c>
      <c r="C9923" t="s">
        <v>29481</v>
      </c>
      <c r="D9923" t="str">
        <f>HYPERLINK("https://github.com/react-native-svg/react-native-svg/issues/789","show")</f>
        <v>show</v>
      </c>
      <c r="E9923" t="str">
        <f>HYPERLINK("https://github.com/react-native-svg/react-native-svg","show")</f>
        <v>show</v>
      </c>
      <c r="F9923" t="str">
        <f>HYPERLINK("https://github.com/react-native-svg/react-native-svg/releases","show")</f>
        <v>show</v>
      </c>
    </row>
    <row r="9924" spans="1:6">
      <c r="A9924" t="s">
        <v>29482</v>
      </c>
      <c r="B9924" t="s">
        <v>29483</v>
      </c>
      <c r="C9924" t="s">
        <v>29484</v>
      </c>
      <c r="D9924" t="str">
        <f>HYPERLINK("https://github.com/niccokunzmann/mundraub-android/issues/151","show")</f>
        <v>show</v>
      </c>
      <c r="E9924" t="str">
        <f>HYPERLINK("https://github.com/niccokunzmann/mundraub-android","show")</f>
        <v>show</v>
      </c>
      <c r="F9924" t="str">
        <f>HYPERLINK("https://github.com/niccokunzmann/mundraub-android/releases","show")</f>
        <v>show</v>
      </c>
    </row>
    <row r="9925" spans="1:6">
      <c r="A9925" t="s">
        <v>29485</v>
      </c>
      <c r="B9925" t="s">
        <v>29486</v>
      </c>
      <c r="C9925" t="s">
        <v>29487</v>
      </c>
      <c r="D9925" t="str">
        <f>HYPERLINK("https://github.com/MozillaReality/FirefoxReality/issues/564","show")</f>
        <v>show</v>
      </c>
      <c r="E9925" t="str">
        <f>HYPERLINK("https://github.com/MozillaReality/FirefoxReality","show")</f>
        <v>show</v>
      </c>
      <c r="F9925" t="str">
        <f>HYPERLINK("https://github.com/MozillaReality/FirefoxReality/releases","show")</f>
        <v>show</v>
      </c>
    </row>
    <row r="9926" spans="1:6">
      <c r="A9926" t="s">
        <v>29488</v>
      </c>
      <c r="B9926" t="s">
        <v>29489</v>
      </c>
      <c r="C9926" t="s">
        <v>29490</v>
      </c>
      <c r="D9926" t="str">
        <f>HYPERLINK("https://github.com/nikita36078/J2ME-Loader/issues/384","show")</f>
        <v>show</v>
      </c>
      <c r="E9926" t="str">
        <f>HYPERLINK("https://github.com/nikita36078/J2ME-Loader","show")</f>
        <v>show</v>
      </c>
      <c r="F9926" t="str">
        <f>HYPERLINK("https://github.com/nikita36078/J2ME-Loader/releases","show")</f>
        <v>show</v>
      </c>
    </row>
    <row r="9927" spans="1:6">
      <c r="A9927" t="s">
        <v>29491</v>
      </c>
      <c r="B9927" t="s">
        <v>29492</v>
      </c>
      <c r="C9927" t="s">
        <v>29493</v>
      </c>
      <c r="D9927" t="str">
        <f>HYPERLINK("https://github.com/niccokunzmann/mundraub-android/issues/150","show")</f>
        <v>show</v>
      </c>
      <c r="E9927" t="str">
        <f>HYPERLINK("https://github.com/niccokunzmann/mundraub-android","show")</f>
        <v>show</v>
      </c>
      <c r="F9927" t="str">
        <f>HYPERLINK("https://github.com/niccokunzmann/mundraub-android/releases","show")</f>
        <v>show</v>
      </c>
    </row>
    <row r="9928" spans="1:6">
      <c r="A9928" t="s">
        <v>29494</v>
      </c>
      <c r="B9928" t="s">
        <v>29495</v>
      </c>
      <c r="C9928" t="s">
        <v>29496</v>
      </c>
      <c r="D9928" t="str">
        <f>HYPERLINK("https://github.com/niccokunzmann/mundraub-android/issues/149","show")</f>
        <v>show</v>
      </c>
      <c r="E9928" t="str">
        <f>HYPERLINK("https://github.com/niccokunzmann/mundraub-android","show")</f>
        <v>show</v>
      </c>
      <c r="F9928" t="str">
        <f>HYPERLINK("https://github.com/niccokunzmann/mundraub-android/releases","show")</f>
        <v>show</v>
      </c>
    </row>
    <row r="9929" spans="1:6">
      <c r="A9929" t="s">
        <v>29497</v>
      </c>
      <c r="B9929" t="s">
        <v>29498</v>
      </c>
      <c r="C9929" t="s">
        <v>29499</v>
      </c>
      <c r="D9929" t="str">
        <f>HYPERLINK("https://github.com/haiwen/seadroid/issues/758","show")</f>
        <v>show</v>
      </c>
      <c r="E9929" t="str">
        <f>HYPERLINK("https://github.com/haiwen/seadroid","show")</f>
        <v>show</v>
      </c>
      <c r="F9929" t="str">
        <f>HYPERLINK("https://github.com/haiwen/seadroid/releases","show")</f>
        <v>show</v>
      </c>
    </row>
    <row r="9930" spans="1:6">
      <c r="A9930" t="s">
        <v>29500</v>
      </c>
      <c r="B9930" t="s">
        <v>29501</v>
      </c>
      <c r="C9930" t="s">
        <v>29502</v>
      </c>
      <c r="D9930" t="str">
        <f>HYPERLINK("https://github.com/nextcloud/android/issues/3073","show")</f>
        <v>show</v>
      </c>
      <c r="E9930" t="str">
        <f>HYPERLINK("https://github.com/nextcloud/android","show")</f>
        <v>show</v>
      </c>
      <c r="F9930" t="str">
        <f>HYPERLINK("https://github.com/nextcloud/android/releases","show")</f>
        <v>show</v>
      </c>
    </row>
    <row r="9931" spans="1:6">
      <c r="A9931" t="s">
        <v>29503</v>
      </c>
      <c r="B9931" t="s">
        <v>29504</v>
      </c>
      <c r="C9931" t="s">
        <v>29505</v>
      </c>
      <c r="D9931" t="str">
        <f>HYPERLINK("https://github.com/google/blockly-android/issues/746","show")</f>
        <v>show</v>
      </c>
      <c r="E9931" t="str">
        <f>HYPERLINK("https://github.com/google/blockly-android","show")</f>
        <v>show</v>
      </c>
      <c r="F9931" t="str">
        <f>HYPERLINK("https://github.com/google/blockly-android/releases","show")</f>
        <v>show</v>
      </c>
    </row>
    <row r="9932" spans="1:6">
      <c r="A9932" t="s">
        <v>29506</v>
      </c>
      <c r="B9932" t="s">
        <v>29507</v>
      </c>
      <c r="C9932" t="s">
        <v>29508</v>
      </c>
      <c r="D9932" t="str">
        <f>HYPERLINK("https://github.com/niccokunzmann/mundraub-android/issues/145","show")</f>
        <v>show</v>
      </c>
      <c r="E9932" t="str">
        <f>HYPERLINK("https://github.com/niccokunzmann/mundraub-android","show")</f>
        <v>show</v>
      </c>
      <c r="F9932" t="str">
        <f>HYPERLINK("https://github.com/niccokunzmann/mundraub-android/releases","show")</f>
        <v>show</v>
      </c>
    </row>
    <row r="9933" spans="1:6">
      <c r="A9933" t="s">
        <v>29509</v>
      </c>
      <c r="B9933" t="s">
        <v>29510</v>
      </c>
      <c r="C9933" t="s">
        <v>29511</v>
      </c>
      <c r="D9933" t="str">
        <f>HYPERLINK("https://github.com/niccokunzmann/mundraub-android/issues/144","show")</f>
        <v>show</v>
      </c>
      <c r="E9933" t="str">
        <f>HYPERLINK("https://github.com/niccokunzmann/mundraub-android","show")</f>
        <v>show</v>
      </c>
      <c r="F9933" t="str">
        <f>HYPERLINK("https://github.com/niccokunzmann/mundraub-android/releases","show")</f>
        <v>show</v>
      </c>
    </row>
    <row r="9934" spans="1:6">
      <c r="A9934" t="s">
        <v>29512</v>
      </c>
      <c r="B9934" t="s">
        <v>29513</v>
      </c>
      <c r="C9934" t="s">
        <v>29514</v>
      </c>
      <c r="D9934" t="str">
        <f>HYPERLINK("https://github.com/niccokunzmann/mundraub-android/issues/143","show")</f>
        <v>show</v>
      </c>
      <c r="E9934" t="str">
        <f>HYPERLINK("https://github.com/niccokunzmann/mundraub-android","show")</f>
        <v>show</v>
      </c>
      <c r="F9934" t="str">
        <f>HYPERLINK("https://github.com/niccokunzmann/mundraub-android/releases","show")</f>
        <v>show</v>
      </c>
    </row>
    <row r="9935" spans="1:6">
      <c r="A9935" t="s">
        <v>29515</v>
      </c>
      <c r="B9935" t="s">
        <v>29516</v>
      </c>
      <c r="C9935" t="s">
        <v>29517</v>
      </c>
      <c r="D9935" t="str">
        <f>HYPERLINK("https://github.com/getodk/collect/issues/2552","show")</f>
        <v>show</v>
      </c>
      <c r="E9935" t="str">
        <f>HYPERLINK("https://github.com/getodk/collect","show")</f>
        <v>show</v>
      </c>
      <c r="F9935" t="str">
        <f>HYPERLINK("https://github.com/getodk/collect/releases","show")</f>
        <v>show</v>
      </c>
    </row>
    <row r="9936" spans="1:6">
      <c r="A9936" t="s">
        <v>29518</v>
      </c>
      <c r="B9936" t="s">
        <v>29519</v>
      </c>
      <c r="C9936" t="s">
        <v>29520</v>
      </c>
      <c r="D9936" t="str">
        <f>HYPERLINK("https://github.com/MozillaReality/FirefoxReality/issues/556","show")</f>
        <v>show</v>
      </c>
      <c r="E9936" t="str">
        <f>HYPERLINK("https://github.com/MozillaReality/FirefoxReality","show")</f>
        <v>show</v>
      </c>
      <c r="F9936" t="str">
        <f>HYPERLINK("https://github.com/MozillaReality/FirefoxReality/releases","show")</f>
        <v>show</v>
      </c>
    </row>
    <row r="9937" spans="1:6">
      <c r="A9937" t="s">
        <v>29521</v>
      </c>
      <c r="B9937" t="s">
        <v>29522</v>
      </c>
      <c r="C9937" t="s">
        <v>29523</v>
      </c>
      <c r="D9937" t="str">
        <f>HYPERLINK("https://github.com/iFixit/dozuki-android/issues/13","show")</f>
        <v>show</v>
      </c>
      <c r="E9937" t="str">
        <f>HYPERLINK("https://github.com/iFixit/dozuki-android","show")</f>
        <v>show</v>
      </c>
      <c r="F9937" t="str">
        <f>HYPERLINK("https://github.com/iFixit/dozuki-android/releases","show")</f>
        <v>show</v>
      </c>
    </row>
    <row r="9938" spans="1:6">
      <c r="A9938" t="s">
        <v>29524</v>
      </c>
      <c r="B9938" t="s">
        <v>29525</v>
      </c>
      <c r="C9938" t="s">
        <v>29526</v>
      </c>
      <c r="D9938" t="str">
        <f>HYPERLINK("https://github.com/0xpr03/VocableTrainer-Android/issues/40","show")</f>
        <v>show</v>
      </c>
      <c r="E9938" t="str">
        <f>HYPERLINK("https://github.com/0xpr03/VocableTrainer-Android","show")</f>
        <v>show</v>
      </c>
      <c r="F9938" t="str">
        <f>HYPERLINK("https://github.com/0xpr03/VocableTrainer-Android/releases","show")</f>
        <v>show</v>
      </c>
    </row>
    <row r="9939" spans="1:6">
      <c r="A9939" t="s">
        <v>29527</v>
      </c>
      <c r="B9939" t="s">
        <v>29528</v>
      </c>
      <c r="C9939" t="s">
        <v>29529</v>
      </c>
      <c r="D9939" t="str">
        <f>HYPERLINK("https://github.com/Jigsaw-Code/Intra/issues/67","show")</f>
        <v>show</v>
      </c>
      <c r="E9939" t="str">
        <f>HYPERLINK("https://github.com/Jigsaw-Code/Intra","show")</f>
        <v>show</v>
      </c>
      <c r="F9939" t="str">
        <f>HYPERLINK("https://github.com/Jigsaw-Code/Intra/releases","show")</f>
        <v>show</v>
      </c>
    </row>
    <row r="9940" spans="1:6">
      <c r="A9940" t="s">
        <v>29530</v>
      </c>
      <c r="B9940" t="s">
        <v>29531</v>
      </c>
      <c r="C9940" t="s">
        <v>29532</v>
      </c>
      <c r="D9940" t="str">
        <f>HYPERLINK("https://github.com/dariuszseweryn/RxAndroidBle/issues/482","show")</f>
        <v>show</v>
      </c>
      <c r="E9940" t="str">
        <f>HYPERLINK("https://github.com/dariuszseweryn/RxAndroidBle","show")</f>
        <v>show</v>
      </c>
      <c r="F9940" t="str">
        <f>HYPERLINK("https://github.com/dariuszseweryn/RxAndroidBle/releases","show")</f>
        <v>show</v>
      </c>
    </row>
    <row r="9941" spans="1:6">
      <c r="A9941" t="s">
        <v>29533</v>
      </c>
      <c r="B9941" t="s">
        <v>29534</v>
      </c>
      <c r="C9941" t="s">
        <v>29535</v>
      </c>
      <c r="D9941" t="str">
        <f>HYPERLINK("https://github.com/balsikandar/Robin/issues/10","show")</f>
        <v>show</v>
      </c>
      <c r="E9941" t="str">
        <f>HYPERLINK("https://github.com/balsikandar/Robin","show")</f>
        <v>show</v>
      </c>
      <c r="F9941" t="str">
        <f>HYPERLINK("https://github.com/balsikandar/Robin/releases","show")</f>
        <v>show</v>
      </c>
    </row>
    <row r="9942" spans="1:6">
      <c r="A9942" t="s">
        <v>29536</v>
      </c>
      <c r="B9942" t="s">
        <v>29537</v>
      </c>
      <c r="C9942" t="s">
        <v>29538</v>
      </c>
      <c r="D9942" t="str">
        <f>HYPERLINK("https://github.com/google/ExoPlayer/issues/4834","show")</f>
        <v>show</v>
      </c>
      <c r="E9942" t="str">
        <f>HYPERLINK("https://github.com/google/ExoPlayer","show")</f>
        <v>show</v>
      </c>
      <c r="F9942" t="str">
        <f>HYPERLINK("https://github.com/google/ExoPlayer/releases","show")</f>
        <v>show</v>
      </c>
    </row>
    <row r="9943" spans="1:6">
      <c r="A9943" t="s">
        <v>29539</v>
      </c>
      <c r="B9943" t="s">
        <v>29540</v>
      </c>
      <c r="C9943" t="s">
        <v>29541</v>
      </c>
      <c r="D9943" t="str">
        <f>HYPERLINK("https://github.com/nextcloud/android/issues/3049","show")</f>
        <v>show</v>
      </c>
      <c r="E9943" t="str">
        <f>HYPERLINK("https://github.com/nextcloud/android","show")</f>
        <v>show</v>
      </c>
      <c r="F9943" t="str">
        <f>HYPERLINK("https://github.com/nextcloud/android/releases","show")</f>
        <v>show</v>
      </c>
    </row>
    <row r="9944" spans="1:6">
      <c r="A9944" t="s">
        <v>29542</v>
      </c>
      <c r="B9944" t="s">
        <v>29543</v>
      </c>
      <c r="C9944" t="s">
        <v>29544</v>
      </c>
      <c r="D9944" t="str">
        <f>HYPERLINK("https://github.com/niccokunzmann/mundraub-android/issues/136","show")</f>
        <v>show</v>
      </c>
      <c r="E9944" t="str">
        <f>HYPERLINK("https://github.com/niccokunzmann/mundraub-android","show")</f>
        <v>show</v>
      </c>
      <c r="F9944" t="str">
        <f>HYPERLINK("https://github.com/niccokunzmann/mundraub-android/releases","show")</f>
        <v>show</v>
      </c>
    </row>
    <row r="9945" spans="1:6">
      <c r="A9945" t="s">
        <v>29545</v>
      </c>
      <c r="B9945" t="s">
        <v>29546</v>
      </c>
      <c r="C9945" t="s">
        <v>29547</v>
      </c>
      <c r="D9945" t="str">
        <f>HYPERLINK("https://github.com/niccokunzmann/mundraub-android/issues/135","show")</f>
        <v>show</v>
      </c>
      <c r="E9945" t="str">
        <f>HYPERLINK("https://github.com/niccokunzmann/mundraub-android","show")</f>
        <v>show</v>
      </c>
      <c r="F9945" t="str">
        <f>HYPERLINK("https://github.com/niccokunzmann/mundraub-android/releases","show")</f>
        <v>show</v>
      </c>
    </row>
    <row r="9946" spans="1:6">
      <c r="A9946" t="s">
        <v>29548</v>
      </c>
      <c r="B9946" t="s">
        <v>29549</v>
      </c>
      <c r="C9946" t="s">
        <v>29550</v>
      </c>
      <c r="D9946" t="str">
        <f>HYPERLINK("https://github.com/ankidroid/Anki-Android/issues/4977","show")</f>
        <v>show</v>
      </c>
      <c r="E9946" t="str">
        <f>HYPERLINK("https://github.com/ankidroid/Anki-Android","show")</f>
        <v>show</v>
      </c>
      <c r="F9946" t="str">
        <f>HYPERLINK("https://github.com/ankidroid/Anki-Android/releases","show")</f>
        <v>show</v>
      </c>
    </row>
    <row r="9947" spans="1:6">
      <c r="A9947" t="s">
        <v>29551</v>
      </c>
      <c r="B9947" t="s">
        <v>29552</v>
      </c>
      <c r="C9947" t="s">
        <v>29553</v>
      </c>
      <c r="D9947" t="str">
        <f>HYPERLINK("https://github.com/ankidroid/Anki-Android/issues/4975","show")</f>
        <v>show</v>
      </c>
      <c r="E9947" t="str">
        <f>HYPERLINK("https://github.com/ankidroid/Anki-Android","show")</f>
        <v>show</v>
      </c>
      <c r="F9947" t="str">
        <f>HYPERLINK("https://github.com/ankidroid/Anki-Android/releases","show")</f>
        <v>show</v>
      </c>
    </row>
    <row r="9948" spans="1:6">
      <c r="A9948" t="s">
        <v>29554</v>
      </c>
      <c r="B9948" t="s">
        <v>29555</v>
      </c>
      <c r="C9948" t="s">
        <v>29556</v>
      </c>
      <c r="D9948" t="str">
        <f>HYPERLINK("https://github.com/MCMrARM/revolution-irc/issues/156","show")</f>
        <v>show</v>
      </c>
      <c r="E9948" t="str">
        <f>HYPERLINK("https://github.com/MCMrARM/revolution-irc","show")</f>
        <v>show</v>
      </c>
      <c r="F9948" t="str">
        <f>HYPERLINK("https://github.com/MCMrARM/revolution-irc/releases","show")</f>
        <v>show</v>
      </c>
    </row>
    <row r="9949" spans="1:6">
      <c r="A9949" t="s">
        <v>29557</v>
      </c>
      <c r="B9949" t="s">
        <v>29558</v>
      </c>
      <c r="C9949" t="s">
        <v>29559</v>
      </c>
      <c r="D9949" t="str">
        <f>HYPERLINK("https://github.com/TeamNewPipe/NewPipe/issues/1727","show")</f>
        <v>show</v>
      </c>
      <c r="E9949" t="str">
        <f>HYPERLINK("https://github.com/TeamNewPipe/NewPipe","show")</f>
        <v>show</v>
      </c>
      <c r="F9949" t="str">
        <f>HYPERLINK("https://github.com/TeamNewPipe/NewPipe/releases","show")</f>
        <v>show</v>
      </c>
    </row>
    <row r="9950" spans="1:6">
      <c r="A9950" t="s">
        <v>29560</v>
      </c>
      <c r="B9950" t="s">
        <v>29561</v>
      </c>
      <c r="C9950" t="s">
        <v>29562</v>
      </c>
      <c r="D9950" t="str">
        <f>HYPERLINK("https://github.com/stefan-niedermann/nextcloud-notes/issues/477","show")</f>
        <v>show</v>
      </c>
      <c r="E9950" t="str">
        <f>HYPERLINK("https://github.com/stefan-niedermann/nextcloud-notes","show")</f>
        <v>show</v>
      </c>
      <c r="F9950" t="str">
        <f>HYPERLINK("https://github.com/stefan-niedermann/nextcloud-notes/releases","show")</f>
        <v>show</v>
      </c>
    </row>
    <row r="9951" spans="1:6">
      <c r="A9951" t="s">
        <v>29563</v>
      </c>
      <c r="B9951" t="s">
        <v>29564</v>
      </c>
      <c r="C9951" t="s">
        <v>29565</v>
      </c>
      <c r="D9951" t="str">
        <f>HYPERLINK("https://github.com/nextcloud/android/issues/3046","show")</f>
        <v>show</v>
      </c>
      <c r="E9951" t="str">
        <f>HYPERLINK("https://github.com/nextcloud/android","show")</f>
        <v>show</v>
      </c>
      <c r="F9951" t="str">
        <f>HYPERLINK("https://github.com/nextcloud/android/releases","show")</f>
        <v>show</v>
      </c>
    </row>
    <row r="9952" spans="1:6">
      <c r="A9952" t="s">
        <v>29566</v>
      </c>
      <c r="B9952" t="s">
        <v>29567</v>
      </c>
      <c r="C9952" t="s">
        <v>29568</v>
      </c>
      <c r="D9952" t="str">
        <f>HYPERLINK("https://github.com/Catfriend1/syncthing-android/issues/55","show")</f>
        <v>show</v>
      </c>
      <c r="E9952" t="str">
        <f>HYPERLINK("https://github.com/Catfriend1/syncthing-android","show")</f>
        <v>show</v>
      </c>
      <c r="F9952" t="str">
        <f>HYPERLINK("https://github.com/Catfriend1/syncthing-android/releases","show")</f>
        <v>show</v>
      </c>
    </row>
    <row r="9953" spans="1:6">
      <c r="A9953" t="s">
        <v>29569</v>
      </c>
      <c r="B9953" t="s">
        <v>29570</v>
      </c>
      <c r="C9953" t="s">
        <v>29571</v>
      </c>
      <c r="D9953" t="str">
        <f>HYPERLINK("https://github.com/Catfriend1/syncthing-android/issues/50","show")</f>
        <v>show</v>
      </c>
      <c r="E9953" t="str">
        <f>HYPERLINK("https://github.com/Catfriend1/syncthing-android","show")</f>
        <v>show</v>
      </c>
      <c r="F9953" t="str">
        <f>HYPERLINK("https://github.com/Catfriend1/syncthing-android/releases","show")</f>
        <v>show</v>
      </c>
    </row>
    <row r="9954" spans="1:6">
      <c r="A9954" t="s">
        <v>29572</v>
      </c>
      <c r="B9954" t="s">
        <v>29573</v>
      </c>
      <c r="C9954" t="s">
        <v>29574</v>
      </c>
      <c r="D9954" t="str">
        <f>HYPERLINK("https://github.com/google/ExoPlayer/issues/4814","show")</f>
        <v>show</v>
      </c>
      <c r="E9954" t="str">
        <f>HYPERLINK("https://github.com/google/ExoPlayer","show")</f>
        <v>show</v>
      </c>
      <c r="F9954" t="str">
        <f>HYPERLINK("https://github.com/google/ExoPlayer/releases","show")</f>
        <v>show</v>
      </c>
    </row>
    <row r="9955" spans="1:6">
      <c r="A9955" t="s">
        <v>29575</v>
      </c>
      <c r="B9955" t="s">
        <v>29576</v>
      </c>
      <c r="C9955" t="s">
        <v>29577</v>
      </c>
      <c r="D9955" t="str">
        <f>HYPERLINK("https://github.com/ksheremet/CocktailsPro/issues/10","show")</f>
        <v>show</v>
      </c>
      <c r="E9955" t="str">
        <f>HYPERLINK("https://github.com/ksheremet/CocktailsPro","show")</f>
        <v>show</v>
      </c>
      <c r="F9955" t="str">
        <f>HYPERLINK("https://github.com/ksheremet/CocktailsPro/releases","show")</f>
        <v>show</v>
      </c>
    </row>
    <row r="9956" spans="1:6">
      <c r="A9956" t="s">
        <v>29578</v>
      </c>
      <c r="B9956" t="s">
        <v>29579</v>
      </c>
      <c r="C9956" t="s">
        <v>29580</v>
      </c>
      <c r="D9956" t="str">
        <f>HYPERLINK("https://github.com/niccokunzmann/mundraub-android/issues/124","show")</f>
        <v>show</v>
      </c>
      <c r="E9956" t="str">
        <f>HYPERLINK("https://github.com/niccokunzmann/mundraub-android","show")</f>
        <v>show</v>
      </c>
      <c r="F9956" t="str">
        <f>HYPERLINK("https://github.com/niccokunzmann/mundraub-android/releases","show")</f>
        <v>show</v>
      </c>
    </row>
    <row r="9957" spans="1:6">
      <c r="A9957" t="s">
        <v>29581</v>
      </c>
      <c r="B9957" t="s">
        <v>29582</v>
      </c>
      <c r="C9957" t="s">
        <v>29583</v>
      </c>
      <c r="D9957" t="str">
        <f>HYPERLINK("https://github.com/ankidroid/Anki-Android/issues/4959","show")</f>
        <v>show</v>
      </c>
      <c r="E9957" t="str">
        <f>HYPERLINK("https://github.com/ankidroid/Anki-Android","show")</f>
        <v>show</v>
      </c>
      <c r="F9957" t="str">
        <f>HYPERLINK("https://github.com/ankidroid/Anki-Android/releases","show")</f>
        <v>show</v>
      </c>
    </row>
    <row r="9958" spans="1:6">
      <c r="A9958" t="s">
        <v>29584</v>
      </c>
      <c r="B9958" t="s">
        <v>29585</v>
      </c>
      <c r="C9958" t="s">
        <v>29586</v>
      </c>
      <c r="D9958" t="str">
        <f>HYPERLINK("https://github.com/AniTrend/anitrend-app/issues/84","show")</f>
        <v>show</v>
      </c>
      <c r="E9958" t="str">
        <f>HYPERLINK("https://github.com/AniTrend/anitrend-app","show")</f>
        <v>show</v>
      </c>
      <c r="F9958" t="str">
        <f>HYPERLINK("https://github.com/AniTrend/anitrend-app/releases","show")</f>
        <v>show</v>
      </c>
    </row>
    <row r="9959" spans="1:6">
      <c r="A9959" t="s">
        <v>29587</v>
      </c>
      <c r="B9959" t="s">
        <v>29588</v>
      </c>
      <c r="C9959" t="s">
        <v>29589</v>
      </c>
      <c r="D9959" t="str">
        <f>HYPERLINK("https://github.com/k9mail/k-9/issues/3614","show")</f>
        <v>show</v>
      </c>
      <c r="E9959" t="str">
        <f>HYPERLINK("https://github.com/k9mail/k-9","show")</f>
        <v>show</v>
      </c>
      <c r="F9959" t="str">
        <f>HYPERLINK("https://github.com/k9mail/k-9/releases","show")</f>
        <v>show</v>
      </c>
    </row>
    <row r="9960" spans="1:6">
      <c r="A9960" t="s">
        <v>29590</v>
      </c>
      <c r="B9960" t="s">
        <v>29591</v>
      </c>
      <c r="C9960" t="s">
        <v>29592</v>
      </c>
      <c r="D9960" t="str">
        <f>HYPERLINK("https://github.com/niccokunzmann/mundraub-android/issues/114","show")</f>
        <v>show</v>
      </c>
      <c r="E9960" t="str">
        <f>HYPERLINK("https://github.com/niccokunzmann/mundraub-android","show")</f>
        <v>show</v>
      </c>
      <c r="F9960" t="str">
        <f>HYPERLINK("https://github.com/niccokunzmann/mundraub-android/releases","show")</f>
        <v>show</v>
      </c>
    </row>
    <row r="9961" spans="1:6">
      <c r="A9961" t="s">
        <v>29593</v>
      </c>
      <c r="B9961" t="s">
        <v>29594</v>
      </c>
      <c r="C9961" t="s">
        <v>29595</v>
      </c>
      <c r="D9961" t="str">
        <f>HYPERLINK("https://github.com/deltachat/deltachat-android/issues/542","show")</f>
        <v>show</v>
      </c>
      <c r="E9961" t="str">
        <f>HYPERLINK("https://github.com/deltachat/deltachat-android","show")</f>
        <v>show</v>
      </c>
      <c r="F9961" t="str">
        <f>HYPERLINK("https://github.com/deltachat/deltachat-android/releases","show")</f>
        <v>show</v>
      </c>
    </row>
    <row r="9962" spans="1:6">
      <c r="A9962" t="s">
        <v>29596</v>
      </c>
      <c r="B9962" t="s">
        <v>29597</v>
      </c>
      <c r="C9962" t="s">
        <v>29598</v>
      </c>
      <c r="D9962" t="str">
        <f>HYPERLINK("https://github.com/mendhak/gpslogger/issues/675","show")</f>
        <v>show</v>
      </c>
      <c r="E9962" t="str">
        <f>HYPERLINK("https://github.com/mendhak/gpslogger","show")</f>
        <v>show</v>
      </c>
      <c r="F9962" t="str">
        <f>HYPERLINK("https://github.com/mendhak/gpslogger/releases","show")</f>
        <v>show</v>
      </c>
    </row>
    <row r="9963" spans="1:6">
      <c r="A9963" t="s">
        <v>29599</v>
      </c>
      <c r="B9963" t="s">
        <v>29600</v>
      </c>
      <c r="C9963" t="s">
        <v>29601</v>
      </c>
      <c r="D9963" t="str">
        <f>HYPERLINK("https://github.com/TheRedSpy15/LTECleanerFOSS/issues/22","show")</f>
        <v>show</v>
      </c>
      <c r="E9963" t="str">
        <f>HYPERLINK("https://github.com/TheRedSpy15/LTECleanerFOSS","show")</f>
        <v>show</v>
      </c>
      <c r="F9963" t="str">
        <f>HYPERLINK("https://github.com/TheRedSpy15/LTECleanerFOSS/releases","show")</f>
        <v>show</v>
      </c>
    </row>
    <row r="9964" spans="1:6">
      <c r="A9964" t="s">
        <v>29602</v>
      </c>
      <c r="B9964" t="s">
        <v>29603</v>
      </c>
      <c r="C9964" t="s">
        <v>29604</v>
      </c>
      <c r="D9964" t="str">
        <f>HYPERLINK("https://github.com/0xpr03/VocableTrainer-Android/issues/39","show")</f>
        <v>show</v>
      </c>
      <c r="E9964" t="str">
        <f>HYPERLINK("https://github.com/0xpr03/VocableTrainer-Android","show")</f>
        <v>show</v>
      </c>
      <c r="F9964" t="str">
        <f>HYPERLINK("https://github.com/0xpr03/VocableTrainer-Android/releases","show")</f>
        <v>show</v>
      </c>
    </row>
    <row r="9965" spans="1:6">
      <c r="A9965" t="s">
        <v>29605</v>
      </c>
      <c r="B9965" t="s">
        <v>29606</v>
      </c>
      <c r="C9965" t="s">
        <v>29607</v>
      </c>
      <c r="D9965" t="str">
        <f>HYPERLINK("https://github.com/martykan/forecastie/issues/287","show")</f>
        <v>show</v>
      </c>
      <c r="E9965" t="str">
        <f>HYPERLINK("https://github.com/martykan/forecastie","show")</f>
        <v>show</v>
      </c>
      <c r="F9965" t="str">
        <f>HYPERLINK("https://github.com/martykan/forecastie/releases","show")</f>
        <v>show</v>
      </c>
    </row>
    <row r="9966" spans="1:6">
      <c r="A9966" t="s">
        <v>29608</v>
      </c>
      <c r="B9966" t="s">
        <v>29609</v>
      </c>
      <c r="C9966" t="s">
        <v>29610</v>
      </c>
      <c r="D9966" t="str">
        <f>HYPERLINK("https://github.com/nextcloud/android/issues/3021","show")</f>
        <v>show</v>
      </c>
      <c r="E9966" t="str">
        <f>HYPERLINK("https://github.com/nextcloud/android","show")</f>
        <v>show</v>
      </c>
      <c r="F9966" t="str">
        <f>HYPERLINK("https://github.com/nextcloud/android/releases","show")</f>
        <v>show</v>
      </c>
    </row>
    <row r="9967" spans="1:6">
      <c r="A9967" t="s">
        <v>29611</v>
      </c>
      <c r="B9967" t="s">
        <v>29612</v>
      </c>
      <c r="C9967" t="s">
        <v>29613</v>
      </c>
      <c r="D9967" t="str">
        <f>HYPERLINK("https://github.com/niclabs/adkintunmobile-androidclient/issues/197","show")</f>
        <v>show</v>
      </c>
      <c r="E9967" t="str">
        <f>HYPERLINK("https://github.com/niclabs/adkintunmobile-androidclient","show")</f>
        <v>show</v>
      </c>
      <c r="F9967" t="str">
        <f>HYPERLINK("https://github.com/niclabs/adkintunmobile-androidclient/releases","show")</f>
        <v>show</v>
      </c>
    </row>
    <row r="9968" spans="1:6">
      <c r="A9968" t="s">
        <v>29614</v>
      </c>
      <c r="B9968" t="s">
        <v>29615</v>
      </c>
      <c r="C9968" t="s">
        <v>29616</v>
      </c>
      <c r="D9968" t="str">
        <f>HYPERLINK("https://github.com/nextcloud/android/issues/3019","show")</f>
        <v>show</v>
      </c>
      <c r="E9968" t="str">
        <f>HYPERLINK("https://github.com/nextcloud/android","show")</f>
        <v>show</v>
      </c>
      <c r="F9968" t="str">
        <f>HYPERLINK("https://github.com/nextcloud/android/releases","show")</f>
        <v>show</v>
      </c>
    </row>
    <row r="9969" spans="1:6">
      <c r="A9969" t="s">
        <v>29617</v>
      </c>
      <c r="B9969" t="s">
        <v>29618</v>
      </c>
      <c r="C9969" t="s">
        <v>29619</v>
      </c>
      <c r="D9969" t="str">
        <f>HYPERLINK("https://github.com/gini/gini-vision-lib-android/issues/223","show")</f>
        <v>show</v>
      </c>
      <c r="E9969" t="str">
        <f>HYPERLINK("https://github.com/gini/gini-vision-lib-android","show")</f>
        <v>show</v>
      </c>
      <c r="F9969" t="str">
        <f>HYPERLINK("https://github.com/gini/gini-vision-lib-android/releases","show")</f>
        <v>show</v>
      </c>
    </row>
    <row r="9970" spans="1:6">
      <c r="A9970" t="s">
        <v>29620</v>
      </c>
      <c r="B9970" t="s">
        <v>29621</v>
      </c>
      <c r="C9970" t="s">
        <v>29622</v>
      </c>
      <c r="D9970" t="str">
        <f>HYPERLINK("https://github.com/sazid/aiub-app/issues/1","show")</f>
        <v>show</v>
      </c>
      <c r="E9970" t="str">
        <f>HYPERLINK("https://github.com/sazid/aiub-app","show")</f>
        <v>show</v>
      </c>
      <c r="F9970" t="str">
        <f>HYPERLINK("https://github.com/sazid/aiub-app/releases","show")</f>
        <v>show</v>
      </c>
    </row>
    <row r="9971" spans="1:6">
      <c r="A9971" t="s">
        <v>29623</v>
      </c>
      <c r="B9971" t="s">
        <v>29624</v>
      </c>
      <c r="C9971" t="s">
        <v>29625</v>
      </c>
      <c r="D9971" t="str">
        <f>HYPERLINK("https://github.com/lottie-react-native/lottie-react-native/issues/381","show")</f>
        <v>show</v>
      </c>
      <c r="E9971" t="str">
        <f>HYPERLINK("https://github.com/lottie-react-native/lottie-react-native","show")</f>
        <v>show</v>
      </c>
      <c r="F9971" t="str">
        <f>HYPERLINK("https://github.com/lottie-react-native/lottie-react-native/releases","show")</f>
        <v>show</v>
      </c>
    </row>
    <row r="9972" spans="1:6">
      <c r="A9972" t="s">
        <v>29626</v>
      </c>
      <c r="B9972" t="s">
        <v>29627</v>
      </c>
      <c r="C9972" t="s">
        <v>29628</v>
      </c>
      <c r="D9972" t="str">
        <f>HYPERLINK("https://github.com/TeamNewPipe/NewPipe/issues/1706","show")</f>
        <v>show</v>
      </c>
      <c r="E9972" t="str">
        <f>HYPERLINK("https://github.com/TeamNewPipe/NewPipe","show")</f>
        <v>show</v>
      </c>
      <c r="F9972" t="str">
        <f>HYPERLINK("https://github.com/TeamNewPipe/NewPipe/releases","show")</f>
        <v>show</v>
      </c>
    </row>
    <row r="9973" spans="1:6">
      <c r="A9973" t="s">
        <v>29629</v>
      </c>
      <c r="B9973" t="s">
        <v>29630</v>
      </c>
      <c r="C9973" t="s">
        <v>29631</v>
      </c>
      <c r="D9973" t="str">
        <f>HYPERLINK("https://github.com/jMonkeyEngine/jmonkeyengine/issues/898","show")</f>
        <v>show</v>
      </c>
      <c r="E9973" t="str">
        <f>HYPERLINK("https://github.com/jMonkeyEngine/jmonkeyengine","show")</f>
        <v>show</v>
      </c>
      <c r="F9973" t="str">
        <f>HYPERLINK("https://github.com/jMonkeyEngine/jmonkeyengine/releases","show")</f>
        <v>show</v>
      </c>
    </row>
    <row r="9974" spans="1:6">
      <c r="A9974" t="s">
        <v>29632</v>
      </c>
      <c r="B9974" t="s">
        <v>29633</v>
      </c>
      <c r="C9974" t="s">
        <v>29634</v>
      </c>
      <c r="D9974" t="str">
        <f>HYPERLINK("https://github.com/nextcloud/android/issues/3011","show")</f>
        <v>show</v>
      </c>
      <c r="E9974" t="str">
        <f>HYPERLINK("https://github.com/nextcloud/android","show")</f>
        <v>show</v>
      </c>
      <c r="F9974" t="str">
        <f>HYPERLINK("https://github.com/nextcloud/android/releases","show")</f>
        <v>show</v>
      </c>
    </row>
    <row r="9975" spans="1:6">
      <c r="A9975" t="s">
        <v>29635</v>
      </c>
      <c r="B9975" t="s">
        <v>29636</v>
      </c>
      <c r="C9975" t="s">
        <v>29637</v>
      </c>
      <c r="D9975" t="str">
        <f>HYPERLINK("https://github.com/react-native-camera/react-native-camera/issues/1785","show")</f>
        <v>show</v>
      </c>
      <c r="E9975" t="str">
        <f>HYPERLINK("https://github.com/react-native-camera/react-native-camera","show")</f>
        <v>show</v>
      </c>
      <c r="F9975" t="str">
        <f>HYPERLINK("https://github.com/react-native-camera/react-native-camera/releases","show")</f>
        <v>show</v>
      </c>
    </row>
    <row r="9976" spans="1:6">
      <c r="A9976" t="s">
        <v>29638</v>
      </c>
      <c r="B9976" t="s">
        <v>29639</v>
      </c>
      <c r="C9976" t="s">
        <v>29640</v>
      </c>
      <c r="D9976" t="str">
        <f>HYPERLINK("https://github.com/TeamNewPipe/NewPipe/issues/1680","show")</f>
        <v>show</v>
      </c>
      <c r="E9976" t="str">
        <f>HYPERLINK("https://github.com/TeamNewPipe/NewPipe","show")</f>
        <v>show</v>
      </c>
      <c r="F9976" t="str">
        <f>HYPERLINK("https://github.com/TeamNewPipe/NewPipe/releases","show")</f>
        <v>show</v>
      </c>
    </row>
    <row r="9977" spans="1:6">
      <c r="A9977" t="s">
        <v>29641</v>
      </c>
      <c r="B9977" t="s">
        <v>29642</v>
      </c>
      <c r="C9977" t="s">
        <v>29643</v>
      </c>
      <c r="D9977" t="str">
        <f>HYPERLINK("https://github.com/federicoiosue/Omni-Notes/issues/592","show")</f>
        <v>show</v>
      </c>
      <c r="E9977" t="str">
        <f>HYPERLINK("https://github.com/federicoiosue/Omni-Notes","show")</f>
        <v>show</v>
      </c>
      <c r="F9977" t="str">
        <f>HYPERLINK("https://github.com/federicoiosue/Omni-Notes/releases","show")</f>
        <v>show</v>
      </c>
    </row>
    <row r="9978" spans="1:6">
      <c r="A9978" t="s">
        <v>29644</v>
      </c>
      <c r="B9978" t="s">
        <v>29645</v>
      </c>
      <c r="C9978" t="s">
        <v>29646</v>
      </c>
      <c r="D9978" t="str">
        <f>HYPERLINK("https://github.com/TeamNewPipe/NewPipe/issues/1674","show")</f>
        <v>show</v>
      </c>
      <c r="E9978" t="str">
        <f>HYPERLINK("https://github.com/TeamNewPipe/NewPipe","show")</f>
        <v>show</v>
      </c>
      <c r="F9978" t="str">
        <f>HYPERLINK("https://github.com/TeamNewPipe/NewPipe/releases","show")</f>
        <v>show</v>
      </c>
    </row>
    <row r="9979" spans="1:6">
      <c r="A9979" t="s">
        <v>29647</v>
      </c>
      <c r="B9979" t="s">
        <v>29648</v>
      </c>
      <c r="C9979" t="s">
        <v>29649</v>
      </c>
      <c r="D9979" t="str">
        <f>HYPERLINK("https://github.com/marksuth/indigenous-android/issues/99","show")</f>
        <v>show</v>
      </c>
      <c r="E9979" t="str">
        <f>HYPERLINK("https://github.com/marksuth/indigenous-android","show")</f>
        <v>show</v>
      </c>
      <c r="F9979" t="str">
        <f>HYPERLINK("https://github.com/marksuth/indigenous-android/releases","show")</f>
        <v>show</v>
      </c>
    </row>
    <row r="9980" spans="1:6">
      <c r="A9980" t="s">
        <v>29650</v>
      </c>
      <c r="B9980" t="s">
        <v>29651</v>
      </c>
      <c r="C9980" t="s">
        <v>29652</v>
      </c>
      <c r="D9980" t="str">
        <f>HYPERLINK("https://github.com/aauxilio/Auxilio/issues/4","show")</f>
        <v>show</v>
      </c>
      <c r="E9980" t="str">
        <f>HYPERLINK("https://github.com/aauxilio/Auxilio","show")</f>
        <v>show</v>
      </c>
      <c r="F9980" t="str">
        <f>HYPERLINK("https://github.com/aauxilio/Auxilio/releases","show")</f>
        <v>show</v>
      </c>
    </row>
    <row r="9981" spans="1:6">
      <c r="A9981" t="s">
        <v>29653</v>
      </c>
      <c r="B9981" t="s">
        <v>29654</v>
      </c>
      <c r="C9981" t="s">
        <v>29655</v>
      </c>
      <c r="D9981" t="str">
        <f>HYPERLINK("https://github.com/google/blockly-android/issues/743","show")</f>
        <v>show</v>
      </c>
      <c r="E9981" t="str">
        <f>HYPERLINK("https://github.com/google/blockly-android","show")</f>
        <v>show</v>
      </c>
      <c r="F9981" t="str">
        <f>HYPERLINK("https://github.com/google/blockly-android/releases","show")</f>
        <v>show</v>
      </c>
    </row>
    <row r="9982" spans="1:6">
      <c r="A9982" t="s">
        <v>29656</v>
      </c>
      <c r="B9982" t="s">
        <v>29657</v>
      </c>
      <c r="C9982" t="s">
        <v>29658</v>
      </c>
      <c r="D9982" t="str">
        <f>HYPERLINK("https://github.com/niccokunzmann/mundraub-android/issues/99","show")</f>
        <v>show</v>
      </c>
      <c r="E9982" t="str">
        <f>HYPERLINK("https://github.com/niccokunzmann/mundraub-android","show")</f>
        <v>show</v>
      </c>
      <c r="F9982" t="str">
        <f>HYPERLINK("https://github.com/niccokunzmann/mundraub-android/releases","show")</f>
        <v>show</v>
      </c>
    </row>
    <row r="9983" spans="1:6">
      <c r="A9983" t="s">
        <v>29659</v>
      </c>
      <c r="B9983" t="s">
        <v>29660</v>
      </c>
      <c r="C9983" t="s">
        <v>29661</v>
      </c>
      <c r="D9983" t="str">
        <f>HYPERLINK("https://github.com/niccokunzmann/mundraub-android/issues/97","show")</f>
        <v>show</v>
      </c>
      <c r="E9983" t="str">
        <f>HYPERLINK("https://github.com/niccokunzmann/mundraub-android","show")</f>
        <v>show</v>
      </c>
      <c r="F9983" t="str">
        <f>HYPERLINK("https://github.com/niccokunzmann/mundraub-android/releases","show")</f>
        <v>show</v>
      </c>
    </row>
    <row r="9984" spans="1:6">
      <c r="A9984" t="s">
        <v>29662</v>
      </c>
      <c r="B9984" t="s">
        <v>29663</v>
      </c>
      <c r="C9984" t="s">
        <v>29664</v>
      </c>
      <c r="D9984" t="str">
        <f>HYPERLINK("https://github.com/wdullaer/MaterialDateTimePicker/issues/522","show")</f>
        <v>show</v>
      </c>
      <c r="E9984" t="str">
        <f>HYPERLINK("https://github.com/wdullaer/MaterialDateTimePicker","show")</f>
        <v>show</v>
      </c>
      <c r="F9984" t="str">
        <f>HYPERLINK("https://github.com/wdullaer/MaterialDateTimePicker/releases","show")</f>
        <v>show</v>
      </c>
    </row>
    <row r="9985" spans="1:6">
      <c r="A9985" t="s">
        <v>29665</v>
      </c>
      <c r="B9985" t="s">
        <v>29666</v>
      </c>
      <c r="C9985" t="s">
        <v>29667</v>
      </c>
      <c r="D9985" t="str">
        <f>HYPERLINK("https://github.com/commons-app/apps-android-commons/issues/1882","show")</f>
        <v>show</v>
      </c>
      <c r="E9985" t="str">
        <f>HYPERLINK("https://github.com/commons-app/apps-android-commons","show")</f>
        <v>show</v>
      </c>
      <c r="F9985" t="str">
        <f>HYPERLINK("https://github.com/commons-app/apps-android-commons/releases","show")</f>
        <v>show</v>
      </c>
    </row>
    <row r="9986" spans="1:6">
      <c r="A9986" t="s">
        <v>29668</v>
      </c>
      <c r="B9986" t="s">
        <v>29669</v>
      </c>
      <c r="C9986" t="s">
        <v>29670</v>
      </c>
      <c r="D9986" t="str">
        <f>HYPERLINK("https://github.com/segmentio/analytics-android/issues/592","show")</f>
        <v>show</v>
      </c>
      <c r="E9986" t="str">
        <f>HYPERLINK("https://github.com/segmentio/analytics-android","show")</f>
        <v>show</v>
      </c>
      <c r="F9986" t="str">
        <f>HYPERLINK("https://github.com/segmentio/analytics-android/releases","show")</f>
        <v>show</v>
      </c>
    </row>
    <row r="9987" spans="1:6">
      <c r="A9987" t="s">
        <v>29671</v>
      </c>
      <c r="B9987" t="s">
        <v>29672</v>
      </c>
      <c r="C9987" t="s">
        <v>29673</v>
      </c>
      <c r="D9987" t="str">
        <f>HYPERLINK("https://github.com/ZeusWPI/hydra-android/issues/277","show")</f>
        <v>show</v>
      </c>
      <c r="E9987" t="str">
        <f>HYPERLINK("https://github.com/ZeusWPI/hydra-android","show")</f>
        <v>show</v>
      </c>
      <c r="F9987" t="str">
        <f>HYPERLINK("https://github.com/ZeusWPI/hydra-android/releases","show")</f>
        <v>show</v>
      </c>
    </row>
    <row r="9988" spans="1:6">
      <c r="A9988" t="s">
        <v>29674</v>
      </c>
      <c r="B9988" t="s">
        <v>29675</v>
      </c>
      <c r="C9988" t="s">
        <v>29676</v>
      </c>
      <c r="D9988" t="str">
        <f>HYPERLINK("https://github.com/mycelium-com/wallet-android/issues/475","show")</f>
        <v>show</v>
      </c>
      <c r="E9988" t="str">
        <f>HYPERLINK("https://github.com/mycelium-com/wallet-android","show")</f>
        <v>show</v>
      </c>
      <c r="F9988" t="str">
        <f>HYPERLINK("https://github.com/mycelium-com/wallet-android/releases","show")</f>
        <v>show</v>
      </c>
    </row>
    <row r="9989" spans="1:6">
      <c r="A9989" t="s">
        <v>29677</v>
      </c>
      <c r="B9989" t="s">
        <v>28275</v>
      </c>
      <c r="C9989" t="s">
        <v>29678</v>
      </c>
      <c r="D9989" t="str">
        <f>HYPERLINK("https://github.com/Intelehealth/Android-Mobile-Client/issues/516","show")</f>
        <v>show</v>
      </c>
      <c r="E9989" t="str">
        <f>HYPERLINK("https://github.com/Intelehealth/Android-Mobile-Client","show")</f>
        <v>show</v>
      </c>
      <c r="F9989" t="str">
        <f>HYPERLINK("https://github.com/Intelehealth/Android-Mobile-Client/releases","show")</f>
        <v>show</v>
      </c>
    </row>
    <row r="9990" spans="1:6">
      <c r="A9990" t="s">
        <v>29679</v>
      </c>
      <c r="B9990" t="s">
        <v>29680</v>
      </c>
      <c r="C9990" t="s">
        <v>29681</v>
      </c>
      <c r="D9990" t="str">
        <f>HYPERLINK("https://github.com/nextcloud/android/issues/2957","show")</f>
        <v>show</v>
      </c>
      <c r="E9990" t="str">
        <f>HYPERLINK("https://github.com/nextcloud/android","show")</f>
        <v>show</v>
      </c>
      <c r="F9990" t="str">
        <f>HYPERLINK("https://github.com/nextcloud/android/releases","show")</f>
        <v>show</v>
      </c>
    </row>
    <row r="9991" spans="1:6">
      <c r="A9991" t="s">
        <v>29682</v>
      </c>
      <c r="B9991" t="s">
        <v>29683</v>
      </c>
      <c r="C9991" t="s">
        <v>29684</v>
      </c>
      <c r="D9991" t="str">
        <f>HYPERLINK("https://github.com/vector-im/riot-android/issues/2573","show")</f>
        <v>show</v>
      </c>
      <c r="E9991" t="str">
        <f>HYPERLINK("https://github.com/vector-im/riot-android","show")</f>
        <v>show</v>
      </c>
      <c r="F9991" t="str">
        <f>HYPERLINK("https://github.com/vector-im/riot-android/releases","show")</f>
        <v>show</v>
      </c>
    </row>
    <row r="9992" spans="1:6">
      <c r="A9992" t="s">
        <v>29685</v>
      </c>
      <c r="B9992" t="s">
        <v>29686</v>
      </c>
      <c r="C9992" t="s">
        <v>29687</v>
      </c>
      <c r="D9992" t="str">
        <f>HYPERLINK("https://github.com/Exodus-Privacy/exodus-android-app/issues/34","show")</f>
        <v>show</v>
      </c>
      <c r="E9992" t="str">
        <f>HYPERLINK("https://github.com/Exodus-Privacy/exodus-android-app","show")</f>
        <v>show</v>
      </c>
      <c r="F9992" t="str">
        <f>HYPERLINK("https://github.com/Exodus-Privacy/exodus-android-app/releases","show")</f>
        <v>show</v>
      </c>
    </row>
    <row r="9993" spans="1:6">
      <c r="A9993" t="s">
        <v>29688</v>
      </c>
      <c r="B9993" t="s">
        <v>29689</v>
      </c>
      <c r="C9993" t="s">
        <v>29690</v>
      </c>
      <c r="D9993" t="str">
        <f>HYPERLINK("https://github.com/commons-app/apps-android-commons/issues/1876","show")</f>
        <v>show</v>
      </c>
      <c r="E9993" t="str">
        <f>HYPERLINK("https://github.com/commons-app/apps-android-commons","show")</f>
        <v>show</v>
      </c>
      <c r="F9993" t="str">
        <f>HYPERLINK("https://github.com/commons-app/apps-android-commons/releases","show")</f>
        <v>show</v>
      </c>
    </row>
    <row r="9994" spans="1:6">
      <c r="A9994" t="s">
        <v>29691</v>
      </c>
      <c r="B9994" t="s">
        <v>29692</v>
      </c>
      <c r="C9994" t="s">
        <v>29693</v>
      </c>
      <c r="D9994" t="str">
        <f>HYPERLINK("https://github.com/kollerlukas/Camera-Roll-Android-App/issues/216","show")</f>
        <v>show</v>
      </c>
      <c r="E9994" t="str">
        <f>HYPERLINK("https://github.com/kollerlukas/Camera-Roll-Android-App","show")</f>
        <v>show</v>
      </c>
      <c r="F9994" t="str">
        <f>HYPERLINK("https://github.com/kollerlukas/Camera-Roll-Android-App/releases","show")</f>
        <v>show</v>
      </c>
    </row>
    <row r="9995" spans="1:6">
      <c r="A9995" t="s">
        <v>29694</v>
      </c>
      <c r="B9995" t="s">
        <v>29695</v>
      </c>
      <c r="C9995" t="s">
        <v>29696</v>
      </c>
      <c r="D9995" t="str">
        <f>HYPERLINK("https://github.com/niccokunzmann/mundraub-android/issues/88","show")</f>
        <v>show</v>
      </c>
      <c r="E9995" t="str">
        <f>HYPERLINK("https://github.com/niccokunzmann/mundraub-android","show")</f>
        <v>show</v>
      </c>
      <c r="F9995" t="str">
        <f>HYPERLINK("https://github.com/niccokunzmann/mundraub-android/releases","show")</f>
        <v>show</v>
      </c>
    </row>
    <row r="9996" spans="1:6">
      <c r="A9996" t="s">
        <v>29697</v>
      </c>
      <c r="B9996" t="s">
        <v>29698</v>
      </c>
      <c r="C9996" t="s">
        <v>29699</v>
      </c>
      <c r="D9996" t="str">
        <f>HYPERLINK("https://github.com/niccokunzmann/mundraub-android/issues/86","show")</f>
        <v>show</v>
      </c>
      <c r="E9996" t="str">
        <f>HYPERLINK("https://github.com/niccokunzmann/mundraub-android","show")</f>
        <v>show</v>
      </c>
      <c r="F9996" t="str">
        <f>HYPERLINK("https://github.com/niccokunzmann/mundraub-android/releases","show")</f>
        <v>show</v>
      </c>
    </row>
    <row r="9997" spans="1:6">
      <c r="A9997" t="s">
        <v>29700</v>
      </c>
      <c r="B9997" t="s">
        <v>29701</v>
      </c>
      <c r="C9997" t="s">
        <v>29702</v>
      </c>
      <c r="D9997" t="str">
        <f>HYPERLINK("https://github.com/PhilJay/MPAndroidChart/issues/4214","show")</f>
        <v>show</v>
      </c>
      <c r="E9997" t="str">
        <f>HYPERLINK("https://github.com/PhilJay/MPAndroidChart","show")</f>
        <v>show</v>
      </c>
      <c r="F9997" t="str">
        <f>HYPERLINK("https://github.com/PhilJay/MPAndroidChart/releases","show")</f>
        <v>show</v>
      </c>
    </row>
    <row r="9998" spans="1:6">
      <c r="A9998" t="s">
        <v>29703</v>
      </c>
      <c r="B9998" t="s">
        <v>29704</v>
      </c>
      <c r="C9998" t="s">
        <v>29705</v>
      </c>
      <c r="D9998" t="str">
        <f>HYPERLINK("https://github.com/niccokunzmann/mundraub-android/issues/82","show")</f>
        <v>show</v>
      </c>
      <c r="E9998" t="str">
        <f>HYPERLINK("https://github.com/niccokunzmann/mundraub-android","show")</f>
        <v>show</v>
      </c>
      <c r="F9998" t="str">
        <f>HYPERLINK("https://github.com/niccokunzmann/mundraub-android/releases","show")</f>
        <v>show</v>
      </c>
    </row>
    <row r="9999" spans="1:6">
      <c r="A9999" t="s">
        <v>29706</v>
      </c>
      <c r="B9999" t="s">
        <v>29707</v>
      </c>
      <c r="C9999" t="s">
        <v>29708</v>
      </c>
      <c r="D9999" t="str">
        <f>HYPERLINK("https://github.com/niccokunzmann/mundraub-android/issues/79","show")</f>
        <v>show</v>
      </c>
      <c r="E9999" t="str">
        <f>HYPERLINK("https://github.com/niccokunzmann/mundraub-android","show")</f>
        <v>show</v>
      </c>
      <c r="F9999" t="str">
        <f>HYPERLINK("https://github.com/niccokunzmann/mundraub-android/releases","show")</f>
        <v>show</v>
      </c>
    </row>
    <row r="10000" spans="1:6">
      <c r="A10000" t="s">
        <v>29709</v>
      </c>
      <c r="B10000" t="s">
        <v>29710</v>
      </c>
      <c r="C10000" t="s">
        <v>29711</v>
      </c>
      <c r="D10000" t="str">
        <f>HYPERLINK("https://github.com/nextcloud/android/issues/2946","show")</f>
        <v>show</v>
      </c>
      <c r="E10000" t="str">
        <f>HYPERLINK("https://github.com/nextcloud/android","show")</f>
        <v>show</v>
      </c>
      <c r="F10000" t="str">
        <f>HYPERLINK("https://github.com/nextcloud/android/releases","show")</f>
        <v>show</v>
      </c>
    </row>
    <row r="10001" spans="1:6">
      <c r="A10001" t="s">
        <v>29712</v>
      </c>
      <c r="B10001" t="s">
        <v>29713</v>
      </c>
      <c r="C10001" t="s">
        <v>29714</v>
      </c>
      <c r="D10001" t="str">
        <f>HYPERLINK("https://github.com/Haptic-Apps/Slide/issues/2847","show")</f>
        <v>show</v>
      </c>
      <c r="E10001" t="str">
        <f>HYPERLINK("https://github.com/Haptic-Apps/Slide","show")</f>
        <v>show</v>
      </c>
      <c r="F10001" t="str">
        <f>HYPERLINK("https://github.com/Haptic-Apps/Slide/releases","show")</f>
        <v>show</v>
      </c>
    </row>
    <row r="10002" spans="1:6">
      <c r="A10002" t="s">
        <v>29715</v>
      </c>
      <c r="B10002" t="s">
        <v>29716</v>
      </c>
      <c r="C10002" t="s">
        <v>29717</v>
      </c>
      <c r="D10002" t="str">
        <f>HYPERLINK("https://github.com/codex-iter/AWOL/issues/10","show")</f>
        <v>show</v>
      </c>
      <c r="E10002" t="str">
        <f>HYPERLINK("https://github.com/codex-iter/AWOL","show")</f>
        <v>show</v>
      </c>
      <c r="F10002" t="str">
        <f>HYPERLINK("https://github.com/codex-iter/AWOL/releases","show")</f>
        <v>show</v>
      </c>
    </row>
    <row r="10003" spans="1:6">
      <c r="A10003" t="s">
        <v>29718</v>
      </c>
      <c r="B10003" t="s">
        <v>29719</v>
      </c>
      <c r="C10003" t="s">
        <v>29720</v>
      </c>
      <c r="D10003" t="str">
        <f>HYPERLINK("https://github.com/openid/AppAuth-Android/issues/402","show")</f>
        <v>show</v>
      </c>
      <c r="E10003" t="str">
        <f>HYPERLINK("https://github.com/openid/AppAuth-Android","show")</f>
        <v>show</v>
      </c>
      <c r="F10003" t="str">
        <f>HYPERLINK("https://github.com/openid/AppAuth-Android/releases","show")</f>
        <v>show</v>
      </c>
    </row>
    <row r="10004" spans="1:6">
      <c r="A10004" t="s">
        <v>29721</v>
      </c>
      <c r="B10004" t="s">
        <v>29722</v>
      </c>
      <c r="C10004" t="s">
        <v>29723</v>
      </c>
      <c r="D10004" t="str">
        <f>HYPERLINK("https://github.com/DiscordTime/sticky-sessions-android/issues/57","show")</f>
        <v>show</v>
      </c>
      <c r="E10004" t="str">
        <f>HYPERLINK("https://github.com/DiscordTime/sticky-sessions-android","show")</f>
        <v>show</v>
      </c>
      <c r="F10004" t="str">
        <f>HYPERLINK("https://github.com/DiscordTime/sticky-sessions-android/releases","show")</f>
        <v>show</v>
      </c>
    </row>
    <row r="10005" spans="1:6">
      <c r="A10005" t="s">
        <v>29724</v>
      </c>
      <c r="B10005" t="s">
        <v>29725</v>
      </c>
      <c r="C10005" t="s">
        <v>29726</v>
      </c>
      <c r="D10005" t="str">
        <f>HYPERLINK("https://github.com/nextcloud/android/issues/2941","show")</f>
        <v>show</v>
      </c>
      <c r="E10005" t="str">
        <f>HYPERLINK("https://github.com/nextcloud/android","show")</f>
        <v>show</v>
      </c>
      <c r="F10005" t="str">
        <f>HYPERLINK("https://github.com/nextcloud/android/releases","show")</f>
        <v>show</v>
      </c>
    </row>
    <row r="10006" spans="1:6">
      <c r="A10006" t="s">
        <v>29727</v>
      </c>
      <c r="B10006" t="s">
        <v>29728</v>
      </c>
      <c r="C10006" t="s">
        <v>29729</v>
      </c>
      <c r="D10006" t="str">
        <f>HYPERLINK("https://github.com/react-native-camera/react-native-camera/issues/1768","show")</f>
        <v>show</v>
      </c>
      <c r="E10006" t="str">
        <f>HYPERLINK("https://github.com/react-native-camera/react-native-camera","show")</f>
        <v>show</v>
      </c>
      <c r="F10006" t="str">
        <f>HYPERLINK("https://github.com/react-native-camera/react-native-camera/releases","show")</f>
        <v>show</v>
      </c>
    </row>
    <row r="10007" spans="1:6">
      <c r="A10007" t="s">
        <v>29730</v>
      </c>
      <c r="B10007" t="s">
        <v>29731</v>
      </c>
      <c r="C10007" t="s">
        <v>29732</v>
      </c>
      <c r="D10007" t="str">
        <f>HYPERLINK("https://github.com/TeamNewPipe/NewPipe/issues/1641","show")</f>
        <v>show</v>
      </c>
      <c r="E10007" t="str">
        <f>HYPERLINK("https://github.com/TeamNewPipe/NewPipe","show")</f>
        <v>show</v>
      </c>
      <c r="F10007" t="str">
        <f>HYPERLINK("https://github.com/TeamNewPipe/NewPipe/releases","show")</f>
        <v>show</v>
      </c>
    </row>
    <row r="10008" spans="1:6">
      <c r="A10008" t="s">
        <v>29733</v>
      </c>
      <c r="B10008" t="s">
        <v>29734</v>
      </c>
      <c r="C10008" t="s">
        <v>29735</v>
      </c>
      <c r="D10008" t="str">
        <f>HYPERLINK("https://github.com/nextcloud/android/issues/2939","show")</f>
        <v>show</v>
      </c>
      <c r="E10008" t="str">
        <f>HYPERLINK("https://github.com/nextcloud/android","show")</f>
        <v>show</v>
      </c>
      <c r="F10008" t="str">
        <f>HYPERLINK("https://github.com/nextcloud/android/releases","show")</f>
        <v>show</v>
      </c>
    </row>
    <row r="10009" spans="1:6">
      <c r="A10009" t="s">
        <v>29736</v>
      </c>
      <c r="B10009" t="s">
        <v>29737</v>
      </c>
      <c r="C10009" t="s">
        <v>29738</v>
      </c>
      <c r="D10009" t="str">
        <f>HYPERLINK("https://github.com/HenriDellal/emerald-dialer/issues/1","show")</f>
        <v>show</v>
      </c>
      <c r="E10009" t="str">
        <f>HYPERLINK("https://github.com/HenriDellal/emerald-dialer","show")</f>
        <v>show</v>
      </c>
      <c r="F10009" t="str">
        <f>HYPERLINK("https://github.com/HenriDellal/emerald-dialer/releases","show")</f>
        <v>show</v>
      </c>
    </row>
    <row r="10010" spans="1:6">
      <c r="A10010" t="s">
        <v>29739</v>
      </c>
      <c r="B10010" t="s">
        <v>29740</v>
      </c>
      <c r="C10010" t="s">
        <v>29741</v>
      </c>
      <c r="D10010" t="str">
        <f>HYPERLINK("https://github.com/nextcloud/android/issues/2934","show")</f>
        <v>show</v>
      </c>
      <c r="E10010" t="str">
        <f>HYPERLINK("https://github.com/nextcloud/android","show")</f>
        <v>show</v>
      </c>
      <c r="F10010" t="str">
        <f>HYPERLINK("https://github.com/nextcloud/android/releases","show")</f>
        <v>show</v>
      </c>
    </row>
    <row r="10011" spans="1:6">
      <c r="A10011" t="s">
        <v>29742</v>
      </c>
      <c r="B10011" t="s">
        <v>29743</v>
      </c>
      <c r="C10011" t="s">
        <v>29744</v>
      </c>
      <c r="D10011" t="str">
        <f>HYPERLINK("https://github.com/btkelly/gnag/issues/186","show")</f>
        <v>show</v>
      </c>
      <c r="E10011" t="str">
        <f>HYPERLINK("https://github.com/btkelly/gnag","show")</f>
        <v>show</v>
      </c>
      <c r="F10011" t="str">
        <f>HYPERLINK("https://github.com/btkelly/gnag/releases","show")</f>
        <v>show</v>
      </c>
    </row>
    <row r="10012" spans="1:6">
      <c r="A10012" t="s">
        <v>29745</v>
      </c>
      <c r="B10012" t="s">
        <v>29746</v>
      </c>
      <c r="C10012" t="s">
        <v>29747</v>
      </c>
      <c r="D10012" t="str">
        <f>HYPERLINK("https://github.com/nikita36078/J2ME-Loader/issues/369","show")</f>
        <v>show</v>
      </c>
      <c r="E10012" t="str">
        <f>HYPERLINK("https://github.com/nikita36078/J2ME-Loader","show")</f>
        <v>show</v>
      </c>
      <c r="F10012" t="str">
        <f>HYPERLINK("https://github.com/nikita36078/J2ME-Loader/releases","show")</f>
        <v>show</v>
      </c>
    </row>
    <row r="10013" spans="1:6">
      <c r="A10013" t="s">
        <v>29748</v>
      </c>
      <c r="B10013" t="s">
        <v>29749</v>
      </c>
      <c r="C10013" t="s">
        <v>29750</v>
      </c>
      <c r="D10013" t="str">
        <f>HYPERLINK("https://github.com/commons-app/apps-android-commons/issues/1864","show")</f>
        <v>show</v>
      </c>
      <c r="E10013" t="str">
        <f>HYPERLINK("https://github.com/commons-app/apps-android-commons","show")</f>
        <v>show</v>
      </c>
      <c r="F10013" t="str">
        <f>HYPERLINK("https://github.com/commons-app/apps-android-commons/releases","show")</f>
        <v>show</v>
      </c>
    </row>
    <row r="10014" spans="1:6">
      <c r="A10014" t="s">
        <v>29751</v>
      </c>
      <c r="B10014" t="s">
        <v>29752</v>
      </c>
      <c r="C10014" t="s">
        <v>29753</v>
      </c>
      <c r="D10014" t="str">
        <f>HYPERLINK("https://github.com/dimagi/commcare-android/issues/2033","show")</f>
        <v>show</v>
      </c>
      <c r="E10014" t="str">
        <f>HYPERLINK("https://github.com/dimagi/commcare-android","show")</f>
        <v>show</v>
      </c>
      <c r="F10014" t="str">
        <f>HYPERLINK("https://github.com/dimagi/commcare-android/releases","show")</f>
        <v>show</v>
      </c>
    </row>
    <row r="10015" spans="1:6">
      <c r="A10015" t="s">
        <v>29754</v>
      </c>
      <c r="B10015" t="s">
        <v>29755</v>
      </c>
      <c r="C10015" t="s">
        <v>29756</v>
      </c>
      <c r="D10015" t="str">
        <f>HYPERLINK("https://github.com/wiglenet/wigle-wifi-wardriving/issues/268","show")</f>
        <v>show</v>
      </c>
      <c r="E10015" t="str">
        <f>HYPERLINK("https://github.com/wiglenet/wigle-wifi-wardriving","show")</f>
        <v>show</v>
      </c>
      <c r="F10015" t="str">
        <f>HYPERLINK("https://github.com/wiglenet/wigle-wifi-wardriving/releases","show")</f>
        <v>show</v>
      </c>
    </row>
    <row r="10016" spans="1:6">
      <c r="A10016" t="s">
        <v>29757</v>
      </c>
      <c r="B10016" t="s">
        <v>29758</v>
      </c>
      <c r="C10016" t="s">
        <v>29759</v>
      </c>
      <c r="D10016" t="str">
        <f>HYPERLINK("https://github.com/niccokunzmann/mundraub-android/issues/69","show")</f>
        <v>show</v>
      </c>
      <c r="E10016" t="str">
        <f>HYPERLINK("https://github.com/niccokunzmann/mundraub-android","show")</f>
        <v>show</v>
      </c>
      <c r="F10016" t="str">
        <f>HYPERLINK("https://github.com/niccokunzmann/mundraub-android/releases","show")</f>
        <v>show</v>
      </c>
    </row>
    <row r="10017" spans="1:6">
      <c r="A10017" t="s">
        <v>29760</v>
      </c>
      <c r="B10017" t="s">
        <v>29761</v>
      </c>
      <c r="C10017" t="s">
        <v>29762</v>
      </c>
      <c r="D10017" t="str">
        <f>HYPERLINK("https://github.com/niccokunzmann/mundraub-android/issues/67","show")</f>
        <v>show</v>
      </c>
      <c r="E10017" t="str">
        <f>HYPERLINK("https://github.com/niccokunzmann/mundraub-android","show")</f>
        <v>show</v>
      </c>
      <c r="F10017" t="str">
        <f>HYPERLINK("https://github.com/niccokunzmann/mundraub-android/releases","show")</f>
        <v>show</v>
      </c>
    </row>
    <row r="10018" spans="1:6">
      <c r="A10018" t="s">
        <v>29763</v>
      </c>
      <c r="B10018" t="s">
        <v>5470</v>
      </c>
      <c r="C10018" t="s">
        <v>29764</v>
      </c>
      <c r="D10018" t="str">
        <f>HYPERLINK("https://github.com/SkyTubeTeam/SkyTube/issues/342","show")</f>
        <v>show</v>
      </c>
      <c r="E10018" t="str">
        <f>HYPERLINK("https://github.com/SkyTubeTeam/SkyTube","show")</f>
        <v>show</v>
      </c>
      <c r="F10018" t="str">
        <f>HYPERLINK("https://github.com/SkyTubeTeam/SkyTube/releases","show")</f>
        <v>show</v>
      </c>
    </row>
    <row r="10019" spans="1:6">
      <c r="A10019" t="s">
        <v>29765</v>
      </c>
      <c r="B10019" t="s">
        <v>29766</v>
      </c>
      <c r="C10019" t="s">
        <v>29767</v>
      </c>
      <c r="D10019" t="str">
        <f>HYPERLINK("https://github.com/nextcloud/android/issues/2920","show")</f>
        <v>show</v>
      </c>
      <c r="E10019" t="str">
        <f>HYPERLINK("https://github.com/nextcloud/android","show")</f>
        <v>show</v>
      </c>
      <c r="F10019" t="str">
        <f>HYPERLINK("https://github.com/nextcloud/android/releases","show")</f>
        <v>show</v>
      </c>
    </row>
    <row r="10020" spans="1:6">
      <c r="A10020" t="s">
        <v>29768</v>
      </c>
      <c r="B10020" t="s">
        <v>29769</v>
      </c>
      <c r="C10020" t="s">
        <v>29770</v>
      </c>
      <c r="D10020" t="str">
        <f>HYPERLINK("https://github.com/Catfriend1/syncthing-android/issues/26","show")</f>
        <v>show</v>
      </c>
      <c r="E10020" t="str">
        <f>HYPERLINK("https://github.com/Catfriend1/syncthing-android","show")</f>
        <v>show</v>
      </c>
      <c r="F10020" t="str">
        <f>HYPERLINK("https://github.com/Catfriend1/syncthing-android/releases","show")</f>
        <v>show</v>
      </c>
    </row>
    <row r="10021" spans="1:6">
      <c r="A10021" t="s">
        <v>29771</v>
      </c>
      <c r="B10021" t="s">
        <v>29772</v>
      </c>
      <c r="C10021" t="s">
        <v>29773</v>
      </c>
      <c r="D10021" t="str">
        <f>HYPERLINK("https://github.com/Catfriend1/syncthing-android/issues/25","show")</f>
        <v>show</v>
      </c>
      <c r="E10021" t="str">
        <f>HYPERLINK("https://github.com/Catfriend1/syncthing-android","show")</f>
        <v>show</v>
      </c>
      <c r="F10021" t="str">
        <f>HYPERLINK("https://github.com/Catfriend1/syncthing-android/releases","show")</f>
        <v>show</v>
      </c>
    </row>
    <row r="10022" spans="1:6">
      <c r="A10022" t="s">
        <v>29774</v>
      </c>
      <c r="B10022" t="s">
        <v>29775</v>
      </c>
      <c r="C10022" t="s">
        <v>29776</v>
      </c>
      <c r="D10022" t="str">
        <f>HYPERLINK("https://github.com/react-native-camera/react-native-camera/issues/1754","show")</f>
        <v>show</v>
      </c>
      <c r="E10022" t="str">
        <f>HYPERLINK("https://github.com/react-native-camera/react-native-camera","show")</f>
        <v>show</v>
      </c>
      <c r="F10022" t="str">
        <f>HYPERLINK("https://github.com/react-native-camera/react-native-camera/releases","show")</f>
        <v>show</v>
      </c>
    </row>
    <row r="10023" spans="1:6">
      <c r="A10023" t="s">
        <v>29777</v>
      </c>
      <c r="B10023" t="s">
        <v>29778</v>
      </c>
      <c r="C10023" t="s">
        <v>29779</v>
      </c>
      <c r="D10023" t="str">
        <f>HYPERLINK("https://github.com/CalebFenton/simplify/issues/111","show")</f>
        <v>show</v>
      </c>
      <c r="E10023" t="str">
        <f>HYPERLINK("https://github.com/CalebFenton/simplify","show")</f>
        <v>show</v>
      </c>
      <c r="F10023" t="str">
        <f>HYPERLINK("https://github.com/CalebFenton/simplify/releases","show")</f>
        <v>show</v>
      </c>
    </row>
    <row r="10024" spans="1:6">
      <c r="A10024" t="s">
        <v>29780</v>
      </c>
      <c r="B10024" t="s">
        <v>29781</v>
      </c>
      <c r="C10024" t="s">
        <v>29782</v>
      </c>
      <c r="D10024" t="str">
        <f>HYPERLINK("https://github.com/commons-app/apps-android-commons/issues/1846","show")</f>
        <v>show</v>
      </c>
      <c r="E10024" t="str">
        <f>HYPERLINK("https://github.com/commons-app/apps-android-commons","show")</f>
        <v>show</v>
      </c>
      <c r="F10024" t="str">
        <f>HYPERLINK("https://github.com/commons-app/apps-android-commons/releases","show")</f>
        <v>show</v>
      </c>
    </row>
    <row r="10025" spans="1:6">
      <c r="A10025" t="s">
        <v>29783</v>
      </c>
      <c r="B10025" t="s">
        <v>29784</v>
      </c>
      <c r="C10025" t="s">
        <v>29785</v>
      </c>
      <c r="D10025" t="str">
        <f>HYPERLINK("https://github.com/nextcloud/android/issues/2905","show")</f>
        <v>show</v>
      </c>
      <c r="E10025" t="str">
        <f>HYPERLINK("https://github.com/nextcloud/android","show")</f>
        <v>show</v>
      </c>
      <c r="F10025" t="str">
        <f>HYPERLINK("https://github.com/nextcloud/android/releases","show")</f>
        <v>show</v>
      </c>
    </row>
    <row r="10026" spans="1:6">
      <c r="A10026" t="s">
        <v>29786</v>
      </c>
      <c r="B10026" t="s">
        <v>29787</v>
      </c>
      <c r="C10026" t="s">
        <v>29788</v>
      </c>
      <c r="D10026" t="str">
        <f>HYPERLINK("https://github.com/Tencent/tinker/issues/910","show")</f>
        <v>show</v>
      </c>
      <c r="E10026" t="str">
        <f>HYPERLINK("https://github.com/Tencent/tinker","show")</f>
        <v>show</v>
      </c>
      <c r="F10026" t="str">
        <f>HYPERLINK("https://github.com/Tencent/tinker/releases","show")</f>
        <v>show</v>
      </c>
    </row>
    <row r="10027" spans="1:6">
      <c r="A10027" t="s">
        <v>29789</v>
      </c>
      <c r="B10027" t="s">
        <v>29790</v>
      </c>
      <c r="C10027" t="s">
        <v>29791</v>
      </c>
      <c r="D10027" t="str">
        <f>HYPERLINK("https://github.com/nextcloud/android/issues/2904","show")</f>
        <v>show</v>
      </c>
      <c r="E10027" t="str">
        <f>HYPERLINK("https://github.com/nextcloud/android","show")</f>
        <v>show</v>
      </c>
      <c r="F10027" t="str">
        <f>HYPERLINK("https://github.com/nextcloud/android/releases","show")</f>
        <v>show</v>
      </c>
    </row>
    <row r="10028" spans="1:6">
      <c r="A10028" t="s">
        <v>29792</v>
      </c>
      <c r="B10028" t="s">
        <v>29793</v>
      </c>
      <c r="C10028" t="s">
        <v>29794</v>
      </c>
      <c r="D10028" t="str">
        <f>HYPERLINK("https://github.com/bumptech/glide/issues/3275","show")</f>
        <v>show</v>
      </c>
      <c r="E10028" t="str">
        <f>HYPERLINK("https://github.com/bumptech/glide","show")</f>
        <v>show</v>
      </c>
      <c r="F10028" t="str">
        <f>HYPERLINK("https://github.com/bumptech/glide/releases","show")</f>
        <v>show</v>
      </c>
    </row>
    <row r="10029" spans="1:6">
      <c r="A10029" t="s">
        <v>29795</v>
      </c>
      <c r="B10029" t="s">
        <v>29796</v>
      </c>
      <c r="C10029" t="s">
        <v>29797</v>
      </c>
      <c r="D10029" t="str">
        <f>HYPERLINK("https://github.com/niclabs/adkintunmobile-androidclient/issues/196","show")</f>
        <v>show</v>
      </c>
      <c r="E10029" t="str">
        <f>HYPERLINK("https://github.com/niclabs/adkintunmobile-androidclient","show")</f>
        <v>show</v>
      </c>
      <c r="F10029" t="str">
        <f>HYPERLINK("https://github.com/niclabs/adkintunmobile-androidclient/releases","show")</f>
        <v>show</v>
      </c>
    </row>
    <row r="10030" spans="1:6">
      <c r="A10030" t="s">
        <v>29798</v>
      </c>
      <c r="B10030" t="s">
        <v>29799</v>
      </c>
      <c r="C10030" t="s">
        <v>29800</v>
      </c>
      <c r="D10030" t="str">
        <f>HYPERLINK("https://github.com/cgeo/cgeo/issues/7122","show")</f>
        <v>show</v>
      </c>
      <c r="E10030" t="str">
        <f>HYPERLINK("https://github.com/cgeo/cgeo","show")</f>
        <v>show</v>
      </c>
      <c r="F10030" t="str">
        <f>HYPERLINK("https://github.com/cgeo/cgeo/releases","show")</f>
        <v>show</v>
      </c>
    </row>
    <row r="10031" spans="1:6">
      <c r="A10031" t="s">
        <v>29801</v>
      </c>
      <c r="B10031" t="s">
        <v>29802</v>
      </c>
      <c r="C10031" t="s">
        <v>29803</v>
      </c>
      <c r="D10031" t="str">
        <f>HYPERLINK("https://github.com/gsantner/markor/issues/314","show")</f>
        <v>show</v>
      </c>
      <c r="E10031" t="str">
        <f>HYPERLINK("https://github.com/gsantner/markor","show")</f>
        <v>show</v>
      </c>
      <c r="F10031" t="str">
        <f>HYPERLINK("https://github.com/gsantner/markor/releases","show")</f>
        <v>show</v>
      </c>
    </row>
    <row r="10032" spans="1:6">
      <c r="A10032" t="s">
        <v>29804</v>
      </c>
      <c r="B10032" t="s">
        <v>29805</v>
      </c>
      <c r="C10032" t="s">
        <v>29806</v>
      </c>
      <c r="D10032" t="str">
        <f>HYPERLINK("https://github.com/noahwc/CompositionCollector/issues/1","show")</f>
        <v>show</v>
      </c>
      <c r="E10032" t="str">
        <f>HYPERLINK("https://github.com/noahwc/CompositionCollector","show")</f>
        <v>show</v>
      </c>
      <c r="F10032" t="str">
        <f>HYPERLINK("https://github.com/noahwc/CompositionCollector/releases","show")</f>
        <v>show</v>
      </c>
    </row>
    <row r="10033" spans="1:6">
      <c r="A10033" t="s">
        <v>29807</v>
      </c>
      <c r="B10033" t="s">
        <v>29808</v>
      </c>
      <c r="C10033" t="s">
        <v>29809</v>
      </c>
      <c r="D10033" t="str">
        <f>HYPERLINK("https://github.com/fossasia/pslab-android/issues/1374","show")</f>
        <v>show</v>
      </c>
      <c r="E10033" t="str">
        <f>HYPERLINK("https://github.com/fossasia/pslab-android","show")</f>
        <v>show</v>
      </c>
      <c r="F10033" t="str">
        <f>HYPERLINK("https://github.com/fossasia/pslab-android/releases","show")</f>
        <v>show</v>
      </c>
    </row>
    <row r="10034" spans="1:6">
      <c r="A10034" t="s">
        <v>29810</v>
      </c>
      <c r="B10034" t="s">
        <v>29811</v>
      </c>
      <c r="C10034" t="s">
        <v>29812</v>
      </c>
      <c r="D10034" t="str">
        <f>HYPERLINK("https://github.com/commons-app/apps-android-commons/issues/1834","show")</f>
        <v>show</v>
      </c>
      <c r="E10034" t="str">
        <f>HYPERLINK("https://github.com/commons-app/apps-android-commons","show")</f>
        <v>show</v>
      </c>
      <c r="F10034" t="str">
        <f>HYPERLINK("https://github.com/commons-app/apps-android-commons/releases","show")</f>
        <v>show</v>
      </c>
    </row>
    <row r="10035" spans="1:6">
      <c r="A10035" t="s">
        <v>29813</v>
      </c>
      <c r="B10035" t="s">
        <v>29814</v>
      </c>
      <c r="C10035" t="s">
        <v>29815</v>
      </c>
      <c r="D10035" t="str">
        <f>HYPERLINK("https://github.com/commons-app/apps-android-commons/issues/1833","show")</f>
        <v>show</v>
      </c>
      <c r="E10035" t="str">
        <f>HYPERLINK("https://github.com/commons-app/apps-android-commons","show")</f>
        <v>show</v>
      </c>
      <c r="F10035" t="str">
        <f>HYPERLINK("https://github.com/commons-app/apps-android-commons/releases","show")</f>
        <v>show</v>
      </c>
    </row>
    <row r="10036" spans="1:6">
      <c r="A10036" t="s">
        <v>29816</v>
      </c>
      <c r="B10036" t="s">
        <v>29817</v>
      </c>
      <c r="C10036" t="s">
        <v>29818</v>
      </c>
      <c r="D10036" t="str">
        <f>HYPERLINK("https://github.com/davideas/FlexibleAdapter/issues/651","show")</f>
        <v>show</v>
      </c>
      <c r="E10036" t="str">
        <f>HYPERLINK("https://github.com/davideas/FlexibleAdapter","show")</f>
        <v>show</v>
      </c>
      <c r="F10036" t="str">
        <f>HYPERLINK("https://github.com/davideas/FlexibleAdapter/releases","show")</f>
        <v>show</v>
      </c>
    </row>
    <row r="10037" spans="1:6">
      <c r="A10037" t="s">
        <v>29819</v>
      </c>
      <c r="B10037" t="s">
        <v>29820</v>
      </c>
      <c r="C10037" t="s">
        <v>29821</v>
      </c>
      <c r="D10037" t="str">
        <f>HYPERLINK("https://github.com/StAResComp/sifids/issues/212","show")</f>
        <v>show</v>
      </c>
      <c r="E10037" t="str">
        <f>HYPERLINK("https://github.com/StAResComp/sifids","show")</f>
        <v>show</v>
      </c>
      <c r="F10037" t="str">
        <f>HYPERLINK("https://github.com/StAResComp/sifids/releases","show")</f>
        <v>show</v>
      </c>
    </row>
    <row r="10038" spans="1:6">
      <c r="A10038" t="s">
        <v>29822</v>
      </c>
      <c r="B10038" t="s">
        <v>29823</v>
      </c>
      <c r="C10038" t="s">
        <v>29824</v>
      </c>
      <c r="D10038" t="str">
        <f>HYPERLINK("https://github.com/ThmmyNoLife/mTHMMY/issues/41","show")</f>
        <v>show</v>
      </c>
      <c r="E10038" t="str">
        <f>HYPERLINK("https://github.com/ThmmyNoLife/mTHMMY","show")</f>
        <v>show</v>
      </c>
      <c r="F10038" t="str">
        <f>HYPERLINK("https://github.com/ThmmyNoLife/mTHMMY/releases","show")</f>
        <v>show</v>
      </c>
    </row>
    <row r="10039" spans="1:6">
      <c r="A10039" t="s">
        <v>29825</v>
      </c>
      <c r="B10039" t="s">
        <v>29826</v>
      </c>
      <c r="C10039" t="s">
        <v>29827</v>
      </c>
      <c r="D10039" t="str">
        <f>HYPERLINK("https://github.com/andybalaam/rabbit-escape/issues/551","show")</f>
        <v>show</v>
      </c>
      <c r="E10039" t="str">
        <f>HYPERLINK("https://github.com/andybalaam/rabbit-escape","show")</f>
        <v>show</v>
      </c>
      <c r="F10039" t="str">
        <f>HYPERLINK("https://github.com/andybalaam/rabbit-escape/releases","show")</f>
        <v>show</v>
      </c>
    </row>
    <row r="10040" spans="1:6">
      <c r="A10040" t="s">
        <v>29828</v>
      </c>
      <c r="B10040" t="s">
        <v>29829</v>
      </c>
      <c r="C10040" t="s">
        <v>29830</v>
      </c>
      <c r="D10040" t="str">
        <f>HYPERLINK("https://github.com/niclabs/adkintunmobile-androidclient/issues/195","show")</f>
        <v>show</v>
      </c>
      <c r="E10040" t="str">
        <f>HYPERLINK("https://github.com/niclabs/adkintunmobile-androidclient","show")</f>
        <v>show</v>
      </c>
      <c r="F10040" t="str">
        <f>HYPERLINK("https://github.com/niclabs/adkintunmobile-androidclient/releases","show")</f>
        <v>show</v>
      </c>
    </row>
    <row r="10041" spans="1:6">
      <c r="A10041" t="s">
        <v>29831</v>
      </c>
      <c r="B10041" t="s">
        <v>29832</v>
      </c>
      <c r="C10041" t="s">
        <v>29833</v>
      </c>
      <c r="D10041" t="str">
        <f>HYPERLINK("https://github.com/nextcloud/android/issues/2885","show")</f>
        <v>show</v>
      </c>
      <c r="E10041" t="str">
        <f>HYPERLINK("https://github.com/nextcloud/android","show")</f>
        <v>show</v>
      </c>
      <c r="F10041" t="str">
        <f>HYPERLINK("https://github.com/nextcloud/android/releases","show")</f>
        <v>show</v>
      </c>
    </row>
    <row r="10042" spans="1:6">
      <c r="A10042" t="s">
        <v>29834</v>
      </c>
      <c r="B10042" t="s">
        <v>29835</v>
      </c>
      <c r="C10042" t="s">
        <v>29836</v>
      </c>
      <c r="D10042" t="str">
        <f>HYPERLINK("https://github.com/microsoft/EmbeddedSocial-Android-SDK/issues/99","show")</f>
        <v>show</v>
      </c>
      <c r="E10042" t="str">
        <f>HYPERLINK("https://github.com/microsoft/EmbeddedSocial-Android-SDK","show")</f>
        <v>show</v>
      </c>
      <c r="F10042" t="str">
        <f>HYPERLINK("https://github.com/microsoft/EmbeddedSocial-Android-SDK/releases","show")</f>
        <v>show</v>
      </c>
    </row>
    <row r="10043" spans="1:6">
      <c r="A10043" t="s">
        <v>29837</v>
      </c>
      <c r="B10043" t="s">
        <v>29838</v>
      </c>
      <c r="C10043" t="s">
        <v>29839</v>
      </c>
      <c r="D10043" t="str">
        <f>HYPERLINK("https://github.com/freeotp/freeotp-android/issues/200","show")</f>
        <v>show</v>
      </c>
      <c r="E10043" t="str">
        <f>HYPERLINK("https://github.com/freeotp/freeotp-android","show")</f>
        <v>show</v>
      </c>
      <c r="F10043" t="str">
        <f>HYPERLINK("https://github.com/freeotp/freeotp-android/releases","show")</f>
        <v>show</v>
      </c>
    </row>
    <row r="10044" spans="1:6">
      <c r="A10044" t="s">
        <v>29840</v>
      </c>
      <c r="B10044" t="s">
        <v>29841</v>
      </c>
      <c r="C10044" t="s">
        <v>29842</v>
      </c>
      <c r="D10044" t="str">
        <f>HYPERLINK("https://github.com/square/okhttp/issues/4208","show")</f>
        <v>show</v>
      </c>
      <c r="E10044" t="str">
        <f>HYPERLINK("https://github.com/square/okhttp","show")</f>
        <v>show</v>
      </c>
      <c r="F10044" t="str">
        <f>HYPERLINK("https://github.com/square/okhttp/releases","show")</f>
        <v>show</v>
      </c>
    </row>
    <row r="10045" spans="1:6">
      <c r="A10045" t="s">
        <v>29843</v>
      </c>
      <c r="B10045" t="s">
        <v>29844</v>
      </c>
      <c r="C10045" t="s">
        <v>29845</v>
      </c>
      <c r="D10045" t="str">
        <f>HYPERLINK("https://github.com/itachi1706/SingBuses/issues/116","show")</f>
        <v>show</v>
      </c>
      <c r="E10045" t="str">
        <f>HYPERLINK("https://github.com/itachi1706/SingBuses","show")</f>
        <v>show</v>
      </c>
      <c r="F10045" t="str">
        <f>HYPERLINK("https://github.com/itachi1706/SingBuses/releases","show")</f>
        <v>show</v>
      </c>
    </row>
    <row r="10046" spans="1:6">
      <c r="A10046" t="s">
        <v>29846</v>
      </c>
      <c r="B10046" t="s">
        <v>29847</v>
      </c>
      <c r="C10046" t="s">
        <v>29848</v>
      </c>
      <c r="D10046" t="str">
        <f>HYPERLINK("https://github.com/fossasia/pslab-android/issues/1365","show")</f>
        <v>show</v>
      </c>
      <c r="E10046" t="str">
        <f>HYPERLINK("https://github.com/fossasia/pslab-android","show")</f>
        <v>show</v>
      </c>
      <c r="F10046" t="str">
        <f>HYPERLINK("https://github.com/fossasia/pslab-android/releases","show")</f>
        <v>show</v>
      </c>
    </row>
    <row r="10047" spans="1:6">
      <c r="A10047" t="s">
        <v>29849</v>
      </c>
      <c r="B10047" t="s">
        <v>29850</v>
      </c>
      <c r="C10047" t="s">
        <v>29851</v>
      </c>
      <c r="D10047" t="str">
        <f>HYPERLINK("https://github.com/Neamar/KISS/issues/1044","show")</f>
        <v>show</v>
      </c>
      <c r="E10047" t="str">
        <f>HYPERLINK("https://github.com/Neamar/KISS","show")</f>
        <v>show</v>
      </c>
      <c r="F10047" t="str">
        <f>HYPERLINK("https://github.com/Neamar/KISS/releases","show")</f>
        <v>show</v>
      </c>
    </row>
    <row r="10048" spans="1:6">
      <c r="A10048" t="s">
        <v>29852</v>
      </c>
      <c r="B10048" t="s">
        <v>29853</v>
      </c>
      <c r="C10048" t="s">
        <v>29854</v>
      </c>
      <c r="D10048" t="str">
        <f>HYPERLINK("https://github.com/ChallengeProject/QuizTogether/issues/63","show")</f>
        <v>show</v>
      </c>
      <c r="E10048" t="str">
        <f>HYPERLINK("https://github.com/ChallengeProject/QuizTogether","show")</f>
        <v>show</v>
      </c>
      <c r="F10048" t="str">
        <f>HYPERLINK("https://github.com/ChallengeProject/QuizTogether/releases","show")</f>
        <v>show</v>
      </c>
    </row>
    <row r="10049" spans="1:6">
      <c r="A10049" t="s">
        <v>29855</v>
      </c>
      <c r="B10049" t="s">
        <v>29856</v>
      </c>
      <c r="C10049" t="s">
        <v>29857</v>
      </c>
      <c r="D10049" t="str">
        <f>HYPERLINK("https://github.com/fossasia/phimpme-android/issues/2149","show")</f>
        <v>show</v>
      </c>
      <c r="E10049" t="str">
        <f>HYPERLINK("https://github.com/fossasia/phimpme-android","show")</f>
        <v>show</v>
      </c>
      <c r="F10049" t="str">
        <f>HYPERLINK("https://github.com/fossasia/phimpme-android/releases","show")</f>
        <v>show</v>
      </c>
    </row>
    <row r="10050" spans="1:6">
      <c r="A10050" t="s">
        <v>29858</v>
      </c>
      <c r="B10050" t="s">
        <v>29859</v>
      </c>
      <c r="C10050" t="s">
        <v>29860</v>
      </c>
      <c r="D10050" t="str">
        <f>HYPERLINK("https://github.com/fossasia/phimpme-android/issues/2147","show")</f>
        <v>show</v>
      </c>
      <c r="E10050" t="str">
        <f>HYPERLINK("https://github.com/fossasia/phimpme-android","show")</f>
        <v>show</v>
      </c>
      <c r="F10050" t="str">
        <f>HYPERLINK("https://github.com/fossasia/phimpme-android/releases","show")</f>
        <v>show</v>
      </c>
    </row>
    <row r="10051" spans="1:6">
      <c r="A10051" t="s">
        <v>29861</v>
      </c>
      <c r="B10051" t="s">
        <v>29862</v>
      </c>
      <c r="C10051" t="s">
        <v>29863</v>
      </c>
      <c r="D10051" t="str">
        <f>HYPERLINK("https://github.com/Intelehealth/Android-Mobile-Client/issues/511","show")</f>
        <v>show</v>
      </c>
      <c r="E10051" t="str">
        <f>HYPERLINK("https://github.com/Intelehealth/Android-Mobile-Client","show")</f>
        <v>show</v>
      </c>
      <c r="F10051" t="str">
        <f>HYPERLINK("https://github.com/Intelehealth/Android-Mobile-Client/releases","show")</f>
        <v>show</v>
      </c>
    </row>
    <row r="10052" spans="1:6">
      <c r="A10052" t="s">
        <v>29864</v>
      </c>
      <c r="B10052" t="s">
        <v>29865</v>
      </c>
      <c r="C10052" t="s">
        <v>29866</v>
      </c>
      <c r="D10052" t="str">
        <f>HYPERLINK("https://github.com/Intelehealth/Android-Mobile-Client/issues/510","show")</f>
        <v>show</v>
      </c>
      <c r="E10052" t="str">
        <f>HYPERLINK("https://github.com/Intelehealth/Android-Mobile-Client","show")</f>
        <v>show</v>
      </c>
      <c r="F10052" t="str">
        <f>HYPERLINK("https://github.com/Intelehealth/Android-Mobile-Client/releases","show")</f>
        <v>show</v>
      </c>
    </row>
    <row r="10053" spans="1:6">
      <c r="A10053" t="s">
        <v>29867</v>
      </c>
      <c r="B10053" t="s">
        <v>29868</v>
      </c>
      <c r="C10053" t="s">
        <v>29869</v>
      </c>
      <c r="D10053" t="str">
        <f>HYPERLINK("https://github.com/Intelehealth/Android-Mobile-Client/issues/509","show")</f>
        <v>show</v>
      </c>
      <c r="E10053" t="str">
        <f>HYPERLINK("https://github.com/Intelehealth/Android-Mobile-Client","show")</f>
        <v>show</v>
      </c>
      <c r="F10053" t="str">
        <f>HYPERLINK("https://github.com/Intelehealth/Android-Mobile-Client/releases","show")</f>
        <v>show</v>
      </c>
    </row>
    <row r="10054" spans="1:6">
      <c r="A10054" t="s">
        <v>29870</v>
      </c>
      <c r="B10054" t="s">
        <v>29871</v>
      </c>
      <c r="C10054" t="s">
        <v>29872</v>
      </c>
      <c r="D10054" t="str">
        <f>HYPERLINK("https://github.com/AniTrend/anitrend-app/issues/69","show")</f>
        <v>show</v>
      </c>
      <c r="E10054" t="str">
        <f>HYPERLINK("https://github.com/AniTrend/anitrend-app","show")</f>
        <v>show</v>
      </c>
      <c r="F10054" t="str">
        <f>HYPERLINK("https://github.com/AniTrend/anitrend-app/releases","show")</f>
        <v>show</v>
      </c>
    </row>
    <row r="10055" spans="1:6">
      <c r="A10055" t="s">
        <v>29873</v>
      </c>
      <c r="B10055" t="s">
        <v>29874</v>
      </c>
      <c r="C10055" t="s">
        <v>29875</v>
      </c>
      <c r="D10055" t="str">
        <f>HYPERLINK("https://github.com/Intelehealth/Android-Mobile-Client/issues/508","show")</f>
        <v>show</v>
      </c>
      <c r="E10055" t="str">
        <f>HYPERLINK("https://github.com/Intelehealth/Android-Mobile-Client","show")</f>
        <v>show</v>
      </c>
      <c r="F10055" t="str">
        <f>HYPERLINK("https://github.com/Intelehealth/Android-Mobile-Client/releases","show")</f>
        <v>show</v>
      </c>
    </row>
    <row r="10056" spans="1:6">
      <c r="A10056" t="s">
        <v>29876</v>
      </c>
      <c r="B10056" t="s">
        <v>29877</v>
      </c>
      <c r="C10056" t="s">
        <v>29878</v>
      </c>
      <c r="D10056" t="str">
        <f>HYPERLINK("https://github.com/Intelehealth/Android-Mobile-Client/issues/507","show")</f>
        <v>show</v>
      </c>
      <c r="E10056" t="str">
        <f>HYPERLINK("https://github.com/Intelehealth/Android-Mobile-Client","show")</f>
        <v>show</v>
      </c>
      <c r="F10056" t="str">
        <f>HYPERLINK("https://github.com/Intelehealth/Android-Mobile-Client/releases","show")</f>
        <v>show</v>
      </c>
    </row>
    <row r="10057" spans="1:6">
      <c r="A10057" t="s">
        <v>29879</v>
      </c>
      <c r="B10057" t="s">
        <v>29880</v>
      </c>
      <c r="C10057" t="s">
        <v>29881</v>
      </c>
      <c r="D10057" t="str">
        <f>HYPERLINK("https://github.com/Haptic-Apps/Slide/issues/2835","show")</f>
        <v>show</v>
      </c>
      <c r="E10057" t="str">
        <f>HYPERLINK("https://github.com/Haptic-Apps/Slide","show")</f>
        <v>show</v>
      </c>
      <c r="F10057" t="str">
        <f>HYPERLINK("https://github.com/Haptic-Apps/Slide/releases","show")</f>
        <v>show</v>
      </c>
    </row>
    <row r="10058" spans="1:6">
      <c r="A10058" t="s">
        <v>29882</v>
      </c>
      <c r="B10058" t="s">
        <v>29883</v>
      </c>
      <c r="C10058" t="s">
        <v>29884</v>
      </c>
      <c r="D10058" t="str">
        <f>HYPERLINK("https://github.com/knjk04/Bookshelf/issues/14","show")</f>
        <v>show</v>
      </c>
      <c r="E10058" t="str">
        <f>HYPERLINK("https://github.com/knjk04/Bookshelf","show")</f>
        <v>show</v>
      </c>
      <c r="F10058" t="str">
        <f>HYPERLINK("https://github.com/knjk04/Bookshelf/releases","show")</f>
        <v>show</v>
      </c>
    </row>
    <row r="10059" spans="1:6">
      <c r="A10059" t="s">
        <v>29885</v>
      </c>
      <c r="B10059" t="s">
        <v>29886</v>
      </c>
      <c r="C10059" t="s">
        <v>29887</v>
      </c>
      <c r="D10059" t="str">
        <f>HYPERLINK("https://github.com/Intelehealth/Android-Mobile-Client/issues/505","show")</f>
        <v>show</v>
      </c>
      <c r="E10059" t="str">
        <f t="shared" ref="E10059:E10064" si="44">HYPERLINK("https://github.com/Intelehealth/Android-Mobile-Client","show")</f>
        <v>show</v>
      </c>
      <c r="F10059" t="str">
        <f t="shared" ref="F10059:F10064" si="45">HYPERLINK("https://github.com/Intelehealth/Android-Mobile-Client/releases","show")</f>
        <v>show</v>
      </c>
    </row>
    <row r="10060" spans="1:6">
      <c r="A10060" t="s">
        <v>29888</v>
      </c>
      <c r="B10060" t="s">
        <v>29889</v>
      </c>
      <c r="C10060" t="s">
        <v>29890</v>
      </c>
      <c r="D10060" t="str">
        <f>HYPERLINK("https://github.com/Intelehealth/Android-Mobile-Client/issues/504","show")</f>
        <v>show</v>
      </c>
      <c r="E10060" t="str">
        <f t="shared" si="44"/>
        <v>show</v>
      </c>
      <c r="F10060" t="str">
        <f t="shared" si="45"/>
        <v>show</v>
      </c>
    </row>
    <row r="10061" spans="1:6">
      <c r="A10061" t="s">
        <v>29891</v>
      </c>
      <c r="B10061" t="s">
        <v>29892</v>
      </c>
      <c r="C10061" t="s">
        <v>29893</v>
      </c>
      <c r="D10061" t="str">
        <f>HYPERLINK("https://github.com/Intelehealth/Android-Mobile-Client/issues/503","show")</f>
        <v>show</v>
      </c>
      <c r="E10061" t="str">
        <f t="shared" si="44"/>
        <v>show</v>
      </c>
      <c r="F10061" t="str">
        <f t="shared" si="45"/>
        <v>show</v>
      </c>
    </row>
    <row r="10062" spans="1:6">
      <c r="A10062" t="s">
        <v>29894</v>
      </c>
      <c r="B10062" t="s">
        <v>29895</v>
      </c>
      <c r="C10062" t="s">
        <v>29896</v>
      </c>
      <c r="D10062" t="str">
        <f>HYPERLINK("https://github.com/Intelehealth/Android-Mobile-Client/issues/502","show")</f>
        <v>show</v>
      </c>
      <c r="E10062" t="str">
        <f t="shared" si="44"/>
        <v>show</v>
      </c>
      <c r="F10062" t="str">
        <f t="shared" si="45"/>
        <v>show</v>
      </c>
    </row>
    <row r="10063" spans="1:6">
      <c r="A10063" t="s">
        <v>29897</v>
      </c>
      <c r="B10063" t="s">
        <v>29898</v>
      </c>
      <c r="C10063" t="s">
        <v>29899</v>
      </c>
      <c r="D10063" t="str">
        <f>HYPERLINK("https://github.com/Intelehealth/Android-Mobile-Client/issues/501","show")</f>
        <v>show</v>
      </c>
      <c r="E10063" t="str">
        <f t="shared" si="44"/>
        <v>show</v>
      </c>
      <c r="F10063" t="str">
        <f t="shared" si="45"/>
        <v>show</v>
      </c>
    </row>
    <row r="10064" spans="1:6">
      <c r="A10064" t="s">
        <v>29900</v>
      </c>
      <c r="B10064" t="s">
        <v>29901</v>
      </c>
      <c r="C10064" t="s">
        <v>29902</v>
      </c>
      <c r="D10064" t="str">
        <f>HYPERLINK("https://github.com/Intelehealth/Android-Mobile-Client/issues/500","show")</f>
        <v>show</v>
      </c>
      <c r="E10064" t="str">
        <f t="shared" si="44"/>
        <v>show</v>
      </c>
      <c r="F10064" t="str">
        <f t="shared" si="45"/>
        <v>show</v>
      </c>
    </row>
    <row r="10065" spans="1:6">
      <c r="A10065" t="s">
        <v>29903</v>
      </c>
      <c r="B10065" t="s">
        <v>29904</v>
      </c>
      <c r="C10065" t="s">
        <v>29905</v>
      </c>
      <c r="D10065" t="str">
        <f>HYPERLINK("https://github.com/google/ExoPlayer/issues/4634","show")</f>
        <v>show</v>
      </c>
      <c r="E10065" t="str">
        <f>HYPERLINK("https://github.com/google/ExoPlayer","show")</f>
        <v>show</v>
      </c>
      <c r="F10065" t="str">
        <f>HYPERLINK("https://github.com/google/ExoPlayer/releases","show")</f>
        <v>show</v>
      </c>
    </row>
    <row r="10066" spans="1:6">
      <c r="A10066" t="s">
        <v>29906</v>
      </c>
      <c r="B10066" t="s">
        <v>29907</v>
      </c>
      <c r="C10066" t="s">
        <v>29908</v>
      </c>
      <c r="D10066" t="str">
        <f>HYPERLINK("https://github.com/bumptech/glide/issues/3256","show")</f>
        <v>show</v>
      </c>
      <c r="E10066" t="str">
        <f>HYPERLINK("https://github.com/bumptech/glide","show")</f>
        <v>show</v>
      </c>
      <c r="F10066" t="str">
        <f>HYPERLINK("https://github.com/bumptech/glide/releases","show")</f>
        <v>show</v>
      </c>
    </row>
    <row r="10067" spans="1:6">
      <c r="A10067" t="s">
        <v>29909</v>
      </c>
      <c r="B10067" t="s">
        <v>29910</v>
      </c>
      <c r="C10067" t="s">
        <v>29911</v>
      </c>
      <c r="D10067" t="str">
        <f>HYPERLINK("https://github.com/radarlabs/react-native-radar/issues/35","show")</f>
        <v>show</v>
      </c>
      <c r="E10067" t="str">
        <f>HYPERLINK("https://github.com/radarlabs/react-native-radar","show")</f>
        <v>show</v>
      </c>
      <c r="F10067" t="str">
        <f>HYPERLINK("https://github.com/radarlabs/react-native-radar/releases","show")</f>
        <v>show</v>
      </c>
    </row>
    <row r="10068" spans="1:6">
      <c r="A10068" t="s">
        <v>29912</v>
      </c>
      <c r="B10068" t="s">
        <v>29913</v>
      </c>
      <c r="C10068" t="s">
        <v>29914</v>
      </c>
      <c r="D10068" t="str">
        <f>HYPERLINK("https://github.com/lineargs/WatchNextApp/issues/42","show")</f>
        <v>show</v>
      </c>
      <c r="E10068" t="str">
        <f>HYPERLINK("https://github.com/lineargs/WatchNextApp","show")</f>
        <v>show</v>
      </c>
      <c r="F10068" t="str">
        <f>HYPERLINK("https://github.com/lineargs/WatchNextApp/releases","show")</f>
        <v>show</v>
      </c>
    </row>
    <row r="10069" spans="1:6">
      <c r="A10069" t="s">
        <v>29915</v>
      </c>
      <c r="B10069" t="s">
        <v>29916</v>
      </c>
      <c r="C10069" t="s">
        <v>29917</v>
      </c>
      <c r="D10069" t="str">
        <f>HYPERLINK("https://github.com/fossasia/phimpme-android/issues/2144","show")</f>
        <v>show</v>
      </c>
      <c r="E10069" t="str">
        <f>HYPERLINK("https://github.com/fossasia/phimpme-android","show")</f>
        <v>show</v>
      </c>
      <c r="F10069" t="str">
        <f>HYPERLINK("https://github.com/fossasia/phimpme-android/releases","show")</f>
        <v>show</v>
      </c>
    </row>
    <row r="10070" spans="1:6">
      <c r="A10070" t="s">
        <v>29918</v>
      </c>
      <c r="B10070" t="s">
        <v>29919</v>
      </c>
      <c r="C10070" t="s">
        <v>29920</v>
      </c>
      <c r="D10070" t="str">
        <f>HYPERLINK("https://github.com/OneBusAway/onebusaway-android/issues/905","show")</f>
        <v>show</v>
      </c>
      <c r="E10070" t="str">
        <f>HYPERLINK("https://github.com/OneBusAway/onebusaway-android","show")</f>
        <v>show</v>
      </c>
      <c r="F10070" t="str">
        <f>HYPERLINK("https://github.com/OneBusAway/onebusaway-android/releases","show")</f>
        <v>show</v>
      </c>
    </row>
    <row r="10071" spans="1:6">
      <c r="A10071" t="s">
        <v>29921</v>
      </c>
      <c r="B10071" t="s">
        <v>29922</v>
      </c>
      <c r="C10071" t="s">
        <v>29923</v>
      </c>
      <c r="D10071" t="str">
        <f>HYPERLINK("https://github.com/Tencent/tinker/issues/901","show")</f>
        <v>show</v>
      </c>
      <c r="E10071" t="str">
        <f>HYPERLINK("https://github.com/Tencent/tinker","show")</f>
        <v>show</v>
      </c>
      <c r="F10071" t="str">
        <f>HYPERLINK("https://github.com/Tencent/tinker/releases","show")</f>
        <v>show</v>
      </c>
    </row>
    <row r="10072" spans="1:6">
      <c r="A10072" t="s">
        <v>29924</v>
      </c>
      <c r="B10072" t="s">
        <v>29925</v>
      </c>
      <c r="C10072" t="s">
        <v>29926</v>
      </c>
      <c r="D10072" t="str">
        <f>HYPERLINK("https://github.com/Haptic-Apps/Slide/issues/2832","show")</f>
        <v>show</v>
      </c>
      <c r="E10072" t="str">
        <f>HYPERLINK("https://github.com/Haptic-Apps/Slide","show")</f>
        <v>show</v>
      </c>
      <c r="F10072" t="str">
        <f>HYPERLINK("https://github.com/Haptic-Apps/Slide/releases","show")</f>
        <v>show</v>
      </c>
    </row>
    <row r="10073" spans="1:6">
      <c r="A10073" t="s">
        <v>29927</v>
      </c>
      <c r="B10073" t="s">
        <v>29928</v>
      </c>
      <c r="C10073" t="s">
        <v>29929</v>
      </c>
      <c r="D10073" t="str">
        <f>HYPERLINK("https://github.com/react-native-camera/react-native-camera/issues/1737","show")</f>
        <v>show</v>
      </c>
      <c r="E10073" t="str">
        <f>HYPERLINK("https://github.com/react-native-camera/react-native-camera","show")</f>
        <v>show</v>
      </c>
      <c r="F10073" t="str">
        <f>HYPERLINK("https://github.com/react-native-camera/react-native-camera/releases","show")</f>
        <v>show</v>
      </c>
    </row>
    <row r="10074" spans="1:6">
      <c r="A10074" t="s">
        <v>29930</v>
      </c>
      <c r="B10074" t="s">
        <v>29931</v>
      </c>
      <c r="C10074" t="s">
        <v>29932</v>
      </c>
      <c r="D10074" t="str">
        <f>HYPERLINK("https://github.com/barbeau/gpstest/issues/187","show")</f>
        <v>show</v>
      </c>
      <c r="E10074" t="str">
        <f>HYPERLINK("https://github.com/barbeau/gpstest","show")</f>
        <v>show</v>
      </c>
      <c r="F10074" t="str">
        <f>HYPERLINK("https://github.com/barbeau/gpstest/releases","show")</f>
        <v>show</v>
      </c>
    </row>
    <row r="10075" spans="1:6">
      <c r="A10075" t="s">
        <v>29933</v>
      </c>
      <c r="B10075" t="s">
        <v>29934</v>
      </c>
      <c r="C10075" t="s">
        <v>29935</v>
      </c>
      <c r="D10075" t="str">
        <f>HYPERLINK("https://github.com/MarMigMon/doof/issues/146","show")</f>
        <v>show</v>
      </c>
      <c r="E10075" t="str">
        <f>HYPERLINK("https://github.com/MarMigMon/doof","show")</f>
        <v>show</v>
      </c>
      <c r="F10075" t="str">
        <f>HYPERLINK("https://github.com/MarMigMon/doof/releases","show")</f>
        <v>show</v>
      </c>
    </row>
    <row r="10076" spans="1:6">
      <c r="A10076" t="s">
        <v>29936</v>
      </c>
      <c r="B10076" t="s">
        <v>29937</v>
      </c>
      <c r="C10076" t="s">
        <v>29938</v>
      </c>
      <c r="D10076" t="str">
        <f>HYPERLINK("https://github.com/apache/cordova-android/issues/473","show")</f>
        <v>show</v>
      </c>
      <c r="E10076" t="str">
        <f>HYPERLINK("https://github.com/apache/cordova-android","show")</f>
        <v>show</v>
      </c>
      <c r="F10076" t="str">
        <f>HYPERLINK("https://github.com/apache/cordova-android/releases","show")</f>
        <v>show</v>
      </c>
    </row>
    <row r="10077" spans="1:6">
      <c r="A10077" t="s">
        <v>29939</v>
      </c>
      <c r="B10077" t="s">
        <v>29940</v>
      </c>
      <c r="C10077" t="s">
        <v>29941</v>
      </c>
      <c r="D10077" t="str">
        <f>HYPERLINK("https://github.com/MarMigMon/doof/issues/143","show")</f>
        <v>show</v>
      </c>
      <c r="E10077" t="str">
        <f>HYPERLINK("https://github.com/MarMigMon/doof","show")</f>
        <v>show</v>
      </c>
      <c r="F10077" t="str">
        <f>HYPERLINK("https://github.com/MarMigMon/doof/releases","show")</f>
        <v>show</v>
      </c>
    </row>
    <row r="10078" spans="1:6">
      <c r="A10078" t="s">
        <v>29942</v>
      </c>
      <c r="B10078" t="s">
        <v>29943</v>
      </c>
      <c r="C10078" t="s">
        <v>29944</v>
      </c>
      <c r="D10078" t="str">
        <f>HYPERLINK("https://github.com/Jay-Goo/RangeSeekBar/issues/55","show")</f>
        <v>show</v>
      </c>
      <c r="E10078" t="str">
        <f>HYPERLINK("https://github.com/Jay-Goo/RangeSeekBar","show")</f>
        <v>show</v>
      </c>
      <c r="F10078" t="str">
        <f>HYPERLINK("https://github.com/Jay-Goo/RangeSeekBar/releases","show")</f>
        <v>show</v>
      </c>
    </row>
    <row r="10079" spans="1:6">
      <c r="A10079" t="s">
        <v>29945</v>
      </c>
      <c r="B10079" t="s">
        <v>29946</v>
      </c>
      <c r="C10079" t="s">
        <v>29947</v>
      </c>
      <c r="D10079" t="str">
        <f>HYPERLINK("https://github.com/microsoft/EmbeddedSocial-Android-SDK/issues/98","show")</f>
        <v>show</v>
      </c>
      <c r="E10079" t="str">
        <f>HYPERLINK("https://github.com/microsoft/EmbeddedSocial-Android-SDK","show")</f>
        <v>show</v>
      </c>
      <c r="F10079" t="str">
        <f>HYPERLINK("https://github.com/microsoft/EmbeddedSocial-Android-SDK/releases","show")</f>
        <v>show</v>
      </c>
    </row>
    <row r="10080" spans="1:6">
      <c r="A10080" t="s">
        <v>29948</v>
      </c>
      <c r="B10080" t="s">
        <v>29949</v>
      </c>
      <c r="C10080" t="s">
        <v>29950</v>
      </c>
      <c r="D10080" t="str">
        <f>HYPERLINK("https://github.com/rollbar/rollbar-java/issues/161","show")</f>
        <v>show</v>
      </c>
      <c r="E10080" t="str">
        <f>HYPERLINK("https://github.com/rollbar/rollbar-java","show")</f>
        <v>show</v>
      </c>
      <c r="F10080" t="str">
        <f>HYPERLINK("https://github.com/rollbar/rollbar-java/releases","show")</f>
        <v>show</v>
      </c>
    </row>
    <row r="10081" spans="1:6">
      <c r="A10081" t="s">
        <v>29951</v>
      </c>
      <c r="B10081" t="s">
        <v>29952</v>
      </c>
      <c r="C10081" t="s">
        <v>29953</v>
      </c>
      <c r="D10081" t="str">
        <f>HYPERLINK("https://github.com/fossasia/phimpme-android/issues/2141","show")</f>
        <v>show</v>
      </c>
      <c r="E10081" t="str">
        <f>HYPERLINK("https://github.com/fossasia/phimpme-android","show")</f>
        <v>show</v>
      </c>
      <c r="F10081" t="str">
        <f>HYPERLINK("https://github.com/fossasia/phimpme-android/releases","show")</f>
        <v>show</v>
      </c>
    </row>
    <row r="10082" spans="1:6">
      <c r="A10082" t="s">
        <v>29954</v>
      </c>
      <c r="B10082" t="s">
        <v>29955</v>
      </c>
      <c r="C10082" t="s">
        <v>29956</v>
      </c>
      <c r="D10082" t="str">
        <f>HYPERLINK("https://github.com/ThmmyNoLife/mTHMMY/issues/39","show")</f>
        <v>show</v>
      </c>
      <c r="E10082" t="str">
        <f>HYPERLINK("https://github.com/ThmmyNoLife/mTHMMY","show")</f>
        <v>show</v>
      </c>
      <c r="F10082" t="str">
        <f>HYPERLINK("https://github.com/ThmmyNoLife/mTHMMY/releases","show")</f>
        <v>show</v>
      </c>
    </row>
    <row r="10083" spans="1:6">
      <c r="A10083" t="s">
        <v>29957</v>
      </c>
      <c r="B10083" t="s">
        <v>29958</v>
      </c>
      <c r="C10083" t="s">
        <v>29959</v>
      </c>
      <c r="D10083" t="str">
        <f>HYPERLINK("https://github.com/eurofurence/ef-app_android/issues/232","show")</f>
        <v>show</v>
      </c>
      <c r="E10083" t="str">
        <f>HYPERLINK("https://github.com/eurofurence/ef-app_android","show")</f>
        <v>show</v>
      </c>
      <c r="F10083" t="str">
        <f>HYPERLINK("https://github.com/eurofurence/ef-app_android/releases","show")</f>
        <v>show</v>
      </c>
    </row>
    <row r="10084" spans="1:6">
      <c r="A10084" t="s">
        <v>29960</v>
      </c>
      <c r="B10084" t="s">
        <v>29961</v>
      </c>
      <c r="C10084" t="s">
        <v>29962</v>
      </c>
      <c r="D10084" t="str">
        <f>HYPERLINK("https://github.com/novoda/storage-path-finder/issues/9","show")</f>
        <v>show</v>
      </c>
      <c r="E10084" t="str">
        <f>HYPERLINK("https://github.com/novoda/storage-path-finder","show")</f>
        <v>show</v>
      </c>
      <c r="F10084" t="str">
        <f>HYPERLINK("https://github.com/novoda/storage-path-finder/releases","show")</f>
        <v>show</v>
      </c>
    </row>
    <row r="10085" spans="1:6">
      <c r="A10085" t="s">
        <v>29963</v>
      </c>
      <c r="B10085" t="s">
        <v>29964</v>
      </c>
      <c r="C10085" t="s">
        <v>29965</v>
      </c>
      <c r="D10085" t="str">
        <f>HYPERLINK("https://github.com/project-travel-mate/Travel-Mate/issues/410","show")</f>
        <v>show</v>
      </c>
      <c r="E10085" t="str">
        <f>HYPERLINK("https://github.com/project-travel-mate/Travel-Mate","show")</f>
        <v>show</v>
      </c>
      <c r="F10085" t="str">
        <f>HYPERLINK("https://github.com/project-travel-mate/Travel-Mate/releases","show")</f>
        <v>show</v>
      </c>
    </row>
    <row r="10086" spans="1:6">
      <c r="A10086" t="s">
        <v>29966</v>
      </c>
      <c r="B10086" t="s">
        <v>29967</v>
      </c>
      <c r="C10086" t="s">
        <v>29968</v>
      </c>
      <c r="D10086" t="str">
        <f>HYPERLINK("https://github.com/morenoh149/react-native-contacts/issues/318","show")</f>
        <v>show</v>
      </c>
      <c r="E10086" t="str">
        <f>HYPERLINK("https://github.com/morenoh149/react-native-contacts","show")</f>
        <v>show</v>
      </c>
      <c r="F10086" t="str">
        <f>HYPERLINK("https://github.com/morenoh149/react-native-contacts/releases","show")</f>
        <v>show</v>
      </c>
    </row>
    <row r="10087" spans="1:6">
      <c r="A10087" t="s">
        <v>29969</v>
      </c>
      <c r="B10087" t="s">
        <v>29970</v>
      </c>
      <c r="C10087" t="s">
        <v>29971</v>
      </c>
      <c r="D10087" t="str">
        <f>HYPERLINK("https://github.com/nextcloud/android/issues/2862","show")</f>
        <v>show</v>
      </c>
      <c r="E10087" t="str">
        <f>HYPERLINK("https://github.com/nextcloud/android","show")</f>
        <v>show</v>
      </c>
      <c r="F10087" t="str">
        <f>HYPERLINK("https://github.com/nextcloud/android/releases","show")</f>
        <v>show</v>
      </c>
    </row>
    <row r="10088" spans="1:6">
      <c r="A10088" t="s">
        <v>29972</v>
      </c>
      <c r="B10088" t="s">
        <v>29973</v>
      </c>
      <c r="C10088" t="s">
        <v>29974</v>
      </c>
      <c r="D10088" t="str">
        <f>HYPERLINK("https://github.com/iFixit/dozuki-android/issues/12","show")</f>
        <v>show</v>
      </c>
      <c r="E10088" t="str">
        <f>HYPERLINK("https://github.com/iFixit/dozuki-android","show")</f>
        <v>show</v>
      </c>
      <c r="F10088" t="str">
        <f>HYPERLINK("https://github.com/iFixit/dozuki-android/releases","show")</f>
        <v>show</v>
      </c>
    </row>
    <row r="10089" spans="1:6">
      <c r="A10089" t="s">
        <v>29975</v>
      </c>
      <c r="B10089" t="s">
        <v>29976</v>
      </c>
      <c r="C10089" t="s">
        <v>29977</v>
      </c>
      <c r="D10089" t="str">
        <f>HYPERLINK("https://github.com/Project-ARTist/ArtistGui/issues/79","show")</f>
        <v>show</v>
      </c>
      <c r="E10089" t="str">
        <f>HYPERLINK("https://github.com/Project-ARTist/ArtistGui","show")</f>
        <v>show</v>
      </c>
      <c r="F10089" t="str">
        <f>HYPERLINK("https://github.com/Project-ARTist/ArtistGui/releases","show")</f>
        <v>show</v>
      </c>
    </row>
    <row r="10090" spans="1:6">
      <c r="A10090" t="s">
        <v>29978</v>
      </c>
      <c r="B10090" t="s">
        <v>29979</v>
      </c>
      <c r="C10090" t="s">
        <v>29980</v>
      </c>
      <c r="D10090" t="str">
        <f>HYPERLINK("https://github.com/andyrozman/RileyLinkAAPS/issues/49","show")</f>
        <v>show</v>
      </c>
      <c r="E10090" t="str">
        <f>HYPERLINK("https://github.com/andyrozman/RileyLinkAAPS","show")</f>
        <v>show</v>
      </c>
      <c r="F10090" t="str">
        <f>HYPERLINK("https://github.com/andyrozman/RileyLinkAAPS/releases","show")</f>
        <v>show</v>
      </c>
    </row>
    <row r="10091" spans="1:6">
      <c r="A10091" t="s">
        <v>29981</v>
      </c>
      <c r="B10091" t="s">
        <v>29982</v>
      </c>
      <c r="C10091" t="s">
        <v>29983</v>
      </c>
      <c r="D10091" t="str">
        <f>HYPERLINK("https://github.com/seemoo-lab/fitness-app/issues/50","show")</f>
        <v>show</v>
      </c>
      <c r="E10091" t="str">
        <f>HYPERLINK("https://github.com/seemoo-lab/fitness-app","show")</f>
        <v>show</v>
      </c>
      <c r="F10091" t="str">
        <f>HYPERLINK("https://github.com/seemoo-lab/fitness-app/releases","show")</f>
        <v>show</v>
      </c>
    </row>
    <row r="10092" spans="1:6">
      <c r="A10092" t="s">
        <v>29984</v>
      </c>
      <c r="B10092" t="s">
        <v>29985</v>
      </c>
      <c r="C10092" t="s">
        <v>29986</v>
      </c>
      <c r="D10092" t="str">
        <f>HYPERLINK("https://github.com/react-native-camera/react-native-camera/issues/1727","show")</f>
        <v>show</v>
      </c>
      <c r="E10092" t="str">
        <f>HYPERLINK("https://github.com/react-native-camera/react-native-camera","show")</f>
        <v>show</v>
      </c>
      <c r="F10092" t="str">
        <f>HYPERLINK("https://github.com/react-native-camera/react-native-camera/releases","show")</f>
        <v>show</v>
      </c>
    </row>
    <row r="10093" spans="1:6">
      <c r="A10093" t="s">
        <v>29987</v>
      </c>
      <c r="B10093" t="s">
        <v>29988</v>
      </c>
      <c r="C10093" t="s">
        <v>29989</v>
      </c>
      <c r="D10093" t="str">
        <f>HYPERLINK("https://github.com/butterproject/butter-android/issues/288","show")</f>
        <v>show</v>
      </c>
      <c r="E10093" t="str">
        <f>HYPERLINK("https://github.com/butterproject/butter-android","show")</f>
        <v>show</v>
      </c>
      <c r="F10093" t="str">
        <f>HYPERLINK("https://github.com/butterproject/butter-android/releases","show")</f>
        <v>show</v>
      </c>
    </row>
    <row r="10094" spans="1:6">
      <c r="A10094" t="s">
        <v>29990</v>
      </c>
      <c r="B10094" t="s">
        <v>29991</v>
      </c>
      <c r="C10094" t="s">
        <v>29992</v>
      </c>
      <c r="D10094" t="str">
        <f>HYPERLINK("https://github.com/evernote/android-job/issues/511","show")</f>
        <v>show</v>
      </c>
      <c r="E10094" t="str">
        <f>HYPERLINK("https://github.com/evernote/android-job","show")</f>
        <v>show</v>
      </c>
      <c r="F10094" t="str">
        <f>HYPERLINK("https://github.com/evernote/android-job/releases","show")</f>
        <v>show</v>
      </c>
    </row>
    <row r="10095" spans="1:6">
      <c r="A10095" t="s">
        <v>29993</v>
      </c>
      <c r="B10095" t="s">
        <v>29994</v>
      </c>
      <c r="C10095" t="s">
        <v>29995</v>
      </c>
      <c r="D10095" t="str">
        <f>HYPERLINK("https://github.com/k9mail/k-9/issues/3540","show")</f>
        <v>show</v>
      </c>
      <c r="E10095" t="str">
        <f>HYPERLINK("https://github.com/k9mail/k-9","show")</f>
        <v>show</v>
      </c>
      <c r="F10095" t="str">
        <f>HYPERLINK("https://github.com/k9mail/k-9/releases","show")</f>
        <v>show</v>
      </c>
    </row>
    <row r="10096" spans="1:6">
      <c r="A10096" t="s">
        <v>29996</v>
      </c>
      <c r="B10096" t="s">
        <v>29997</v>
      </c>
      <c r="C10096" t="s">
        <v>29998</v>
      </c>
      <c r="D10096" t="str">
        <f>HYPERLINK("https://github.com/Kyson/AndroidGodEye/issues/31","show")</f>
        <v>show</v>
      </c>
      <c r="E10096" t="str">
        <f>HYPERLINK("https://github.com/Kyson/AndroidGodEye","show")</f>
        <v>show</v>
      </c>
      <c r="F10096" t="str">
        <f>HYPERLINK("https://github.com/Kyson/AndroidGodEye/releases","show")</f>
        <v>show</v>
      </c>
    </row>
    <row r="10097" spans="1:6">
      <c r="A10097" t="s">
        <v>29999</v>
      </c>
      <c r="B10097" t="s">
        <v>30000</v>
      </c>
      <c r="C10097" t="s">
        <v>30001</v>
      </c>
      <c r="D10097" t="str">
        <f>HYPERLINK("https://github.com/mycelium-com/wallet-android/issues/474","show")</f>
        <v>show</v>
      </c>
      <c r="E10097" t="str">
        <f>HYPERLINK("https://github.com/mycelium-com/wallet-android","show")</f>
        <v>show</v>
      </c>
      <c r="F10097" t="str">
        <f>HYPERLINK("https://github.com/mycelium-com/wallet-android/releases","show")</f>
        <v>show</v>
      </c>
    </row>
    <row r="10098" spans="1:6">
      <c r="A10098" t="s">
        <v>30002</v>
      </c>
      <c r="B10098" t="s">
        <v>30003</v>
      </c>
      <c r="C10098" t="s">
        <v>30004</v>
      </c>
      <c r="D10098" t="str">
        <f>HYPERLINK("https://github.com/eurofurence/ef-app_android/issues/204","show")</f>
        <v>show</v>
      </c>
      <c r="E10098" t="str">
        <f>HYPERLINK("https://github.com/eurofurence/ef-app_android","show")</f>
        <v>show</v>
      </c>
      <c r="F10098" t="str">
        <f>HYPERLINK("https://github.com/eurofurence/ef-app_android/releases","show")</f>
        <v>show</v>
      </c>
    </row>
    <row r="10099" spans="1:6">
      <c r="A10099" t="s">
        <v>30005</v>
      </c>
      <c r="B10099" t="s">
        <v>30006</v>
      </c>
      <c r="C10099" t="s">
        <v>30007</v>
      </c>
      <c r="D10099" t="str">
        <f>HYPERLINK("https://github.com/inaturalist/iNaturalistAndroid/issues/563","show")</f>
        <v>show</v>
      </c>
      <c r="E10099" t="str">
        <f>HYPERLINK("https://github.com/inaturalist/iNaturalistAndroid","show")</f>
        <v>show</v>
      </c>
      <c r="F10099" t="str">
        <f>HYPERLINK("https://github.com/inaturalist/iNaturalistAndroid/releases","show")</f>
        <v>show</v>
      </c>
    </row>
    <row r="10100" spans="1:6">
      <c r="A10100" t="s">
        <v>30008</v>
      </c>
      <c r="B10100" t="s">
        <v>30009</v>
      </c>
      <c r="C10100" t="s">
        <v>30010</v>
      </c>
      <c r="D10100" t="str">
        <f>HYPERLINK("https://github.com/bitstadium/HockeySDK-Android/issues/389","show")</f>
        <v>show</v>
      </c>
      <c r="E10100" t="str">
        <f>HYPERLINK("https://github.com/bitstadium/HockeySDK-Android","show")</f>
        <v>show</v>
      </c>
      <c r="F10100" t="str">
        <f>HYPERLINK("https://github.com/bitstadium/HockeySDK-Android/releases","show")</f>
        <v>show</v>
      </c>
    </row>
    <row r="10101" spans="1:6">
      <c r="A10101" t="s">
        <v>30011</v>
      </c>
      <c r="B10101" t="s">
        <v>30012</v>
      </c>
      <c r="C10101" t="s">
        <v>30013</v>
      </c>
      <c r="D10101" t="str">
        <f>HYPERLINK("https://github.com/Tencent/tinker/issues/889","show")</f>
        <v>show</v>
      </c>
      <c r="E10101" t="str">
        <f>HYPERLINK("https://github.com/Tencent/tinker","show")</f>
        <v>show</v>
      </c>
      <c r="F10101" t="str">
        <f>HYPERLINK("https://github.com/Tencent/tinker/releases","show")</f>
        <v>show</v>
      </c>
    </row>
    <row r="10102" spans="1:6">
      <c r="A10102" t="s">
        <v>30014</v>
      </c>
      <c r="B10102" t="s">
        <v>30015</v>
      </c>
      <c r="C10102" t="s">
        <v>30016</v>
      </c>
      <c r="D10102" t="str">
        <f>HYPERLINK("https://github.com/Haptic-Apps/Slide/issues/2821","show")</f>
        <v>show</v>
      </c>
      <c r="E10102" t="str">
        <f>HYPERLINK("https://github.com/Haptic-Apps/Slide","show")</f>
        <v>show</v>
      </c>
      <c r="F10102" t="str">
        <f>HYPERLINK("https://github.com/Haptic-Apps/Slide/releases","show")</f>
        <v>show</v>
      </c>
    </row>
    <row r="10103" spans="1:6">
      <c r="A10103" t="s">
        <v>30017</v>
      </c>
      <c r="B10103" t="s">
        <v>30018</v>
      </c>
      <c r="C10103" t="s">
        <v>30019</v>
      </c>
      <c r="D10103" t="str">
        <f>HYPERLINK("https://github.com/eurofurence/ef-app_android/issues/191","show")</f>
        <v>show</v>
      </c>
      <c r="E10103" t="str">
        <f>HYPERLINK("https://github.com/eurofurence/ef-app_android","show")</f>
        <v>show</v>
      </c>
      <c r="F10103" t="str">
        <f>HYPERLINK("https://github.com/eurofurence/ef-app_android/releases","show")</f>
        <v>show</v>
      </c>
    </row>
    <row r="10104" spans="1:6">
      <c r="A10104" t="s">
        <v>30020</v>
      </c>
      <c r="B10104" t="s">
        <v>30021</v>
      </c>
      <c r="C10104" t="s">
        <v>30022</v>
      </c>
      <c r="D10104" t="str">
        <f>HYPERLINK("https://github.com/eurofurence/ef-app_android/issues/190","show")</f>
        <v>show</v>
      </c>
      <c r="E10104" t="str">
        <f>HYPERLINK("https://github.com/eurofurence/ef-app_android","show")</f>
        <v>show</v>
      </c>
      <c r="F10104" t="str">
        <f>HYPERLINK("https://github.com/eurofurence/ef-app_android/releases","show")</f>
        <v>show</v>
      </c>
    </row>
    <row r="10105" spans="1:6">
      <c r="A10105" t="s">
        <v>30023</v>
      </c>
      <c r="B10105" t="s">
        <v>30024</v>
      </c>
      <c r="C10105" t="s">
        <v>30025</v>
      </c>
      <c r="D10105" t="str">
        <f>HYPERLINK("https://github.com/MozillaReality/FirefoxReality/issues/273","show")</f>
        <v>show</v>
      </c>
      <c r="E10105" t="str">
        <f>HYPERLINK("https://github.com/MozillaReality/FirefoxReality","show")</f>
        <v>show</v>
      </c>
      <c r="F10105" t="str">
        <f>HYPERLINK("https://github.com/MozillaReality/FirefoxReality/releases","show")</f>
        <v>show</v>
      </c>
    </row>
    <row r="10106" spans="1:6">
      <c r="A10106" t="s">
        <v>30026</v>
      </c>
      <c r="B10106" t="s">
        <v>30027</v>
      </c>
      <c r="C10106" t="s">
        <v>30028</v>
      </c>
      <c r="D10106" t="str">
        <f>HYPERLINK("https://github.com/hzi-braunschweig/SORMAS-Project/issues/714","show")</f>
        <v>show</v>
      </c>
      <c r="E10106" t="str">
        <f>HYPERLINK("https://github.com/hzi-braunschweig/SORMAS-Project","show")</f>
        <v>show</v>
      </c>
      <c r="F10106" t="str">
        <f>HYPERLINK("https://github.com/hzi-braunschweig/SORMAS-Project/releases","show")</f>
        <v>show</v>
      </c>
    </row>
    <row r="10107" spans="1:6">
      <c r="A10107" t="s">
        <v>30029</v>
      </c>
      <c r="B10107" t="s">
        <v>30030</v>
      </c>
      <c r="C10107" t="s">
        <v>30031</v>
      </c>
      <c r="D10107" t="str">
        <f>HYPERLINK("https://github.com/commons-app/apps-android-commons/issues/1750","show")</f>
        <v>show</v>
      </c>
      <c r="E10107" t="str">
        <f>HYPERLINK("https://github.com/commons-app/apps-android-commons","show")</f>
        <v>show</v>
      </c>
      <c r="F10107" t="str">
        <f>HYPERLINK("https://github.com/commons-app/apps-android-commons/releases","show")</f>
        <v>show</v>
      </c>
    </row>
    <row r="10108" spans="1:6">
      <c r="A10108" t="s">
        <v>30032</v>
      </c>
      <c r="B10108" t="s">
        <v>30033</v>
      </c>
      <c r="C10108" t="s">
        <v>30034</v>
      </c>
      <c r="D10108" t="str">
        <f>HYPERLINK("https://github.com/MozillaReality/FirefoxReality/issues/263","show")</f>
        <v>show</v>
      </c>
      <c r="E10108" t="str">
        <f>HYPERLINK("https://github.com/MozillaReality/FirefoxReality","show")</f>
        <v>show</v>
      </c>
      <c r="F10108" t="str">
        <f>HYPERLINK("https://github.com/MozillaReality/FirefoxReality/releases","show")</f>
        <v>show</v>
      </c>
    </row>
    <row r="10109" spans="1:6">
      <c r="A10109" t="s">
        <v>30035</v>
      </c>
      <c r="B10109" t="s">
        <v>30036</v>
      </c>
      <c r="C10109" t="s">
        <v>30037</v>
      </c>
      <c r="D10109" t="str">
        <f>HYPERLINK("https://github.com/Devsoc-BPGC/DoJMA/issues/137","show")</f>
        <v>show</v>
      </c>
      <c r="E10109" t="str">
        <f>HYPERLINK("https://github.com/Devsoc-BPGC/DoJMA","show")</f>
        <v>show</v>
      </c>
      <c r="F10109" t="str">
        <f>HYPERLINK("https://github.com/Devsoc-BPGC/DoJMA/releases","show")</f>
        <v>show</v>
      </c>
    </row>
    <row r="10110" spans="1:6">
      <c r="A10110" t="s">
        <v>30038</v>
      </c>
      <c r="B10110" t="s">
        <v>30039</v>
      </c>
      <c r="C10110" t="s">
        <v>30040</v>
      </c>
      <c r="D10110" t="str">
        <f>HYPERLINK("https://github.com/commons-app/apps-android-commons/issues/1747","show")</f>
        <v>show</v>
      </c>
      <c r="E10110" t="str">
        <f>HYPERLINK("https://github.com/commons-app/apps-android-commons","show")</f>
        <v>show</v>
      </c>
      <c r="F10110" t="str">
        <f>HYPERLINK("https://github.com/commons-app/apps-android-commons/releases","show")</f>
        <v>show</v>
      </c>
    </row>
    <row r="10111" spans="1:6">
      <c r="A10111" t="s">
        <v>30041</v>
      </c>
      <c r="B10111" t="s">
        <v>30042</v>
      </c>
      <c r="C10111" t="s">
        <v>30043</v>
      </c>
      <c r="D10111" t="str">
        <f>HYPERLINK("https://github.com/syncthing/syncthing-android/issues/1197","show")</f>
        <v>show</v>
      </c>
      <c r="E10111" t="str">
        <f>HYPERLINK("https://github.com/syncthing/syncthing-android","show")</f>
        <v>show</v>
      </c>
      <c r="F10111" t="str">
        <f>HYPERLINK("https://github.com/syncthing/syncthing-android/releases","show")</f>
        <v>show</v>
      </c>
    </row>
    <row r="10112" spans="1:6">
      <c r="A10112" t="s">
        <v>30044</v>
      </c>
      <c r="B10112" t="s">
        <v>30045</v>
      </c>
      <c r="C10112" t="s">
        <v>30046</v>
      </c>
      <c r="D10112" t="str">
        <f>HYPERLINK("https://github.com/syncthing/syncthing-android/issues/1196","show")</f>
        <v>show</v>
      </c>
      <c r="E10112" t="str">
        <f>HYPERLINK("https://github.com/syncthing/syncthing-android","show")</f>
        <v>show</v>
      </c>
      <c r="F10112" t="str">
        <f>HYPERLINK("https://github.com/syncthing/syncthing-android/releases","show")</f>
        <v>show</v>
      </c>
    </row>
    <row r="10113" spans="1:6">
      <c r="A10113" t="s">
        <v>30047</v>
      </c>
      <c r="B10113" t="s">
        <v>30048</v>
      </c>
      <c r="C10113" t="s">
        <v>30049</v>
      </c>
      <c r="D10113" t="str">
        <f>HYPERLINK("https://github.com/MozillaReality/FirefoxReality/issues/260","show")</f>
        <v>show</v>
      </c>
      <c r="E10113" t="str">
        <f>HYPERLINK("https://github.com/MozillaReality/FirefoxReality","show")</f>
        <v>show</v>
      </c>
      <c r="F10113" t="str">
        <f>HYPERLINK("https://github.com/MozillaReality/FirefoxReality/releases","show")</f>
        <v>show</v>
      </c>
    </row>
    <row r="10114" spans="1:6">
      <c r="A10114" t="s">
        <v>30050</v>
      </c>
      <c r="B10114" t="s">
        <v>30051</v>
      </c>
      <c r="C10114" t="s">
        <v>30052</v>
      </c>
      <c r="D10114" t="str">
        <f>HYPERLINK("https://github.com/getodk/collect/issues/2412","show")</f>
        <v>show</v>
      </c>
      <c r="E10114" t="str">
        <f>HYPERLINK("https://github.com/getodk/collect","show")</f>
        <v>show</v>
      </c>
      <c r="F10114" t="str">
        <f>HYPERLINK("https://github.com/getodk/collect/releases","show")</f>
        <v>show</v>
      </c>
    </row>
    <row r="10115" spans="1:6">
      <c r="A10115" t="s">
        <v>30053</v>
      </c>
      <c r="B10115" t="s">
        <v>30054</v>
      </c>
      <c r="C10115" t="s">
        <v>30055</v>
      </c>
      <c r="D10115" t="str">
        <f>HYPERLINK("https://github.com/eurofurence/ef-app_android/issues/160","show")</f>
        <v>show</v>
      </c>
      <c r="E10115" t="str">
        <f>HYPERLINK("https://github.com/eurofurence/ef-app_android","show")</f>
        <v>show</v>
      </c>
      <c r="F10115" t="str">
        <f>HYPERLINK("https://github.com/eurofurence/ef-app_android/releases","show")</f>
        <v>show</v>
      </c>
    </row>
    <row r="10116" spans="1:6">
      <c r="A10116" t="s">
        <v>30056</v>
      </c>
      <c r="B10116" t="s">
        <v>30057</v>
      </c>
      <c r="C10116" t="s">
        <v>30058</v>
      </c>
      <c r="D10116" t="str">
        <f>HYPERLINK("https://github.com/abrenoch/hyperion-android-grabber/issues/88","show")</f>
        <v>show</v>
      </c>
      <c r="E10116" t="str">
        <f>HYPERLINK("https://github.com/abrenoch/hyperion-android-grabber","show")</f>
        <v>show</v>
      </c>
      <c r="F10116" t="str">
        <f>HYPERLINK("https://github.com/abrenoch/hyperion-android-grabber/releases","show")</f>
        <v>show</v>
      </c>
    </row>
    <row r="10117" spans="1:6">
      <c r="A10117" t="s">
        <v>30059</v>
      </c>
      <c r="B10117" t="s">
        <v>30060</v>
      </c>
      <c r="C10117" t="s">
        <v>30061</v>
      </c>
      <c r="D10117" t="str">
        <f>HYPERLINK("https://github.com/novoda/download-manager/issues/421","show")</f>
        <v>show</v>
      </c>
      <c r="E10117" t="str">
        <f>HYPERLINK("https://github.com/novoda/download-manager","show")</f>
        <v>show</v>
      </c>
      <c r="F10117" t="str">
        <f>HYPERLINK("https://github.com/novoda/download-manager/releases","show")</f>
        <v>show</v>
      </c>
    </row>
    <row r="10118" spans="1:6">
      <c r="A10118" t="s">
        <v>30062</v>
      </c>
      <c r="B10118" t="s">
        <v>30063</v>
      </c>
      <c r="C10118" t="s">
        <v>30064</v>
      </c>
      <c r="D10118" t="str">
        <f>HYPERLINK("https://github.com/react-native-camera/react-native-camera/issues/1708","show")</f>
        <v>show</v>
      </c>
      <c r="E10118" t="str">
        <f>HYPERLINK("https://github.com/react-native-camera/react-native-camera","show")</f>
        <v>show</v>
      </c>
      <c r="F10118" t="str">
        <f>HYPERLINK("https://github.com/react-native-camera/react-native-camera/releases","show")</f>
        <v>show</v>
      </c>
    </row>
    <row r="10119" spans="1:6">
      <c r="A10119" t="s">
        <v>30065</v>
      </c>
      <c r="B10119" t="s">
        <v>30066</v>
      </c>
      <c r="C10119" t="s">
        <v>30067</v>
      </c>
      <c r="D10119" t="str">
        <f>HYPERLINK("https://github.com/elastos/Elastos.DittoBox.Android/issues/5","show")</f>
        <v>show</v>
      </c>
      <c r="E10119" t="str">
        <f>HYPERLINK("https://github.com/elastos/Elastos.DittoBox.Android","show")</f>
        <v>show</v>
      </c>
      <c r="F10119" t="str">
        <f>HYPERLINK("https://github.com/elastos/Elastos.DittoBox.Android/releases","show")</f>
        <v>show</v>
      </c>
    </row>
    <row r="10120" spans="1:6">
      <c r="A10120" t="s">
        <v>30068</v>
      </c>
      <c r="B10120" t="s">
        <v>30069</v>
      </c>
      <c r="C10120" t="s">
        <v>30070</v>
      </c>
      <c r="D10120" t="str">
        <f>HYPERLINK("https://github.com/facundomedica/fast_qr_reader_view/issues/3","show")</f>
        <v>show</v>
      </c>
      <c r="E10120" t="str">
        <f>HYPERLINK("https://github.com/facundomedica/fast_qr_reader_view","show")</f>
        <v>show</v>
      </c>
      <c r="F10120" t="str">
        <f>HYPERLINK("https://github.com/facundomedica/fast_qr_reader_view/releases","show")</f>
        <v>show</v>
      </c>
    </row>
    <row r="10121" spans="1:6">
      <c r="A10121" t="s">
        <v>30071</v>
      </c>
      <c r="B10121" t="s">
        <v>30072</v>
      </c>
      <c r="C10121" t="s">
        <v>30073</v>
      </c>
      <c r="D10121" t="str">
        <f>HYPERLINK("https://github.com/elastos/Elastos.DittoBox.Android/issues/4","show")</f>
        <v>show</v>
      </c>
      <c r="E10121" t="str">
        <f>HYPERLINK("https://github.com/elastos/Elastos.DittoBox.Android","show")</f>
        <v>show</v>
      </c>
      <c r="F10121" t="str">
        <f>HYPERLINK("https://github.com/elastos/Elastos.DittoBox.Android/releases","show")</f>
        <v>show</v>
      </c>
    </row>
    <row r="10122" spans="1:6">
      <c r="A10122" t="s">
        <v>30074</v>
      </c>
      <c r="B10122" t="s">
        <v>30075</v>
      </c>
      <c r="C10122" t="s">
        <v>30076</v>
      </c>
      <c r="D10122" t="str">
        <f>HYPERLINK("https://github.com/fossasia/pslab-android/issues/1295","show")</f>
        <v>show</v>
      </c>
      <c r="E10122" t="str">
        <f>HYPERLINK("https://github.com/fossasia/pslab-android","show")</f>
        <v>show</v>
      </c>
      <c r="F10122" t="str">
        <f>HYPERLINK("https://github.com/fossasia/pslab-android/releases","show")</f>
        <v>show</v>
      </c>
    </row>
    <row r="10123" spans="1:6">
      <c r="A10123" t="s">
        <v>30077</v>
      </c>
      <c r="B10123" t="s">
        <v>30078</v>
      </c>
      <c r="C10123" t="s">
        <v>30079</v>
      </c>
      <c r="D10123" t="str">
        <f>HYPERLINK("https://github.com/MozillaReality/FirefoxReality/issues/242","show")</f>
        <v>show</v>
      </c>
      <c r="E10123" t="str">
        <f>HYPERLINK("https://github.com/MozillaReality/FirefoxReality","show")</f>
        <v>show</v>
      </c>
      <c r="F10123" t="str">
        <f>HYPERLINK("https://github.com/MozillaReality/FirefoxReality/releases","show")</f>
        <v>show</v>
      </c>
    </row>
    <row r="10124" spans="1:6">
      <c r="A10124" t="s">
        <v>30080</v>
      </c>
      <c r="B10124" t="s">
        <v>30081</v>
      </c>
      <c r="C10124" t="s">
        <v>30082</v>
      </c>
      <c r="D10124" t="str">
        <f>HYPERLINK("https://github.com/nextcloud/android/issues/2848","show")</f>
        <v>show</v>
      </c>
      <c r="E10124" t="str">
        <f>HYPERLINK("https://github.com/nextcloud/android","show")</f>
        <v>show</v>
      </c>
      <c r="F10124" t="str">
        <f>HYPERLINK("https://github.com/nextcloud/android/releases","show")</f>
        <v>show</v>
      </c>
    </row>
    <row r="10125" spans="1:6">
      <c r="A10125" t="s">
        <v>30083</v>
      </c>
      <c r="B10125" t="s">
        <v>30084</v>
      </c>
      <c r="C10125" t="s">
        <v>30085</v>
      </c>
      <c r="D10125" t="str">
        <f>HYPERLINK("https://github.com/tonyofrancis/Fetch/issues/201","show")</f>
        <v>show</v>
      </c>
      <c r="E10125" t="str">
        <f>HYPERLINK("https://github.com/tonyofrancis/Fetch","show")</f>
        <v>show</v>
      </c>
      <c r="F10125" t="str">
        <f>HYPERLINK("https://github.com/tonyofrancis/Fetch/releases","show")</f>
        <v>show</v>
      </c>
    </row>
    <row r="10126" spans="1:6">
      <c r="A10126" t="s">
        <v>30086</v>
      </c>
      <c r="B10126" t="s">
        <v>30087</v>
      </c>
      <c r="C10126" t="s">
        <v>30088</v>
      </c>
      <c r="D10126" t="str">
        <f>HYPERLINK("https://github.com/Yalantis/uCrop/issues/445","show")</f>
        <v>show</v>
      </c>
      <c r="E10126" t="str">
        <f>HYPERLINK("https://github.com/Yalantis/uCrop","show")</f>
        <v>show</v>
      </c>
      <c r="F10126" t="str">
        <f>HYPERLINK("https://github.com/Yalantis/uCrop/releases","show")</f>
        <v>show</v>
      </c>
    </row>
    <row r="10127" spans="1:6">
      <c r="A10127" t="s">
        <v>30089</v>
      </c>
      <c r="B10127" t="s">
        <v>30090</v>
      </c>
      <c r="C10127" t="s">
        <v>30091</v>
      </c>
      <c r="D10127" t="str">
        <f>HYPERLINK("https://github.com/zo0r/react-native-push-notification/issues/803","show")</f>
        <v>show</v>
      </c>
      <c r="E10127" t="str">
        <f>HYPERLINK("https://github.com/zo0r/react-native-push-notification","show")</f>
        <v>show</v>
      </c>
      <c r="F10127" t="str">
        <f>HYPERLINK("https://github.com/zo0r/react-native-push-notification/releases","show")</f>
        <v>show</v>
      </c>
    </row>
    <row r="10128" spans="1:6">
      <c r="A10128" t="s">
        <v>30092</v>
      </c>
      <c r="B10128" t="s">
        <v>30093</v>
      </c>
      <c r="C10128" t="s">
        <v>30094</v>
      </c>
      <c r="D10128" t="str">
        <f>HYPERLINK("https://github.com/WatShout/watshout-android/issues/66","show")</f>
        <v>show</v>
      </c>
      <c r="E10128" t="str">
        <f>HYPERLINK("https://github.com/WatShout/watshout-android","show")</f>
        <v>show</v>
      </c>
      <c r="F10128" t="str">
        <f>HYPERLINK("https://github.com/WatShout/watshout-android/releases","show")</f>
        <v>show</v>
      </c>
    </row>
    <row r="10129" spans="1:6">
      <c r="A10129" t="s">
        <v>30095</v>
      </c>
      <c r="B10129" t="s">
        <v>30096</v>
      </c>
      <c r="C10129" t="s">
        <v>30097</v>
      </c>
      <c r="D10129" t="str">
        <f>HYPERLINK("https://github.com/getodk/collect/issues/2401","show")</f>
        <v>show</v>
      </c>
      <c r="E10129" t="str">
        <f>HYPERLINK("https://github.com/getodk/collect","show")</f>
        <v>show</v>
      </c>
      <c r="F10129" t="str">
        <f>HYPERLINK("https://github.com/getodk/collect/releases","show")</f>
        <v>show</v>
      </c>
    </row>
    <row r="10130" spans="1:6">
      <c r="A10130" t="s">
        <v>30098</v>
      </c>
      <c r="B10130" t="s">
        <v>30099</v>
      </c>
      <c r="C10130" t="s">
        <v>30100</v>
      </c>
      <c r="D10130" t="str">
        <f>HYPERLINK("https://github.com/commons-app/apps-android-commons/issues/1735","show")</f>
        <v>show</v>
      </c>
      <c r="E10130" t="str">
        <f>HYPERLINK("https://github.com/commons-app/apps-android-commons","show")</f>
        <v>show</v>
      </c>
      <c r="F10130" t="str">
        <f>HYPERLINK("https://github.com/commons-app/apps-android-commons/releases","show")</f>
        <v>show</v>
      </c>
    </row>
    <row r="10131" spans="1:6">
      <c r="A10131" t="s">
        <v>30101</v>
      </c>
      <c r="B10131" t="s">
        <v>30102</v>
      </c>
      <c r="C10131" t="s">
        <v>30103</v>
      </c>
      <c r="D10131" t="str">
        <f>HYPERLINK("https://github.com/commons-app/apps-android-commons/issues/1734","show")</f>
        <v>show</v>
      </c>
      <c r="E10131" t="str">
        <f>HYPERLINK("https://github.com/commons-app/apps-android-commons","show")</f>
        <v>show</v>
      </c>
      <c r="F10131" t="str">
        <f>HYPERLINK("https://github.com/commons-app/apps-android-commons/releases","show")</f>
        <v>show</v>
      </c>
    </row>
    <row r="10132" spans="1:6">
      <c r="A10132" t="s">
        <v>30104</v>
      </c>
      <c r="B10132" t="s">
        <v>30105</v>
      </c>
      <c r="C10132" t="s">
        <v>30106</v>
      </c>
      <c r="D10132" t="str">
        <f>HYPERLINK("https://github.com/fossasia/pslab-android/issues/1277","show")</f>
        <v>show</v>
      </c>
      <c r="E10132" t="str">
        <f>HYPERLINK("https://github.com/fossasia/pslab-android","show")</f>
        <v>show</v>
      </c>
      <c r="F10132" t="str">
        <f>HYPERLINK("https://github.com/fossasia/pslab-android/releases","show")</f>
        <v>show</v>
      </c>
    </row>
    <row r="10133" spans="1:6">
      <c r="A10133" t="s">
        <v>30107</v>
      </c>
      <c r="B10133" t="s">
        <v>30108</v>
      </c>
      <c r="C10133" t="s">
        <v>30109</v>
      </c>
      <c r="D10133" t="str">
        <f>HYPERLINK("https://github.com/renyuneyun/Easer/issues/147","show")</f>
        <v>show</v>
      </c>
      <c r="E10133" t="str">
        <f>HYPERLINK("https://github.com/renyuneyun/Easer","show")</f>
        <v>show</v>
      </c>
      <c r="F10133" t="str">
        <f>HYPERLINK("https://github.com/renyuneyun/Easer/releases","show")</f>
        <v>show</v>
      </c>
    </row>
    <row r="10134" spans="1:6">
      <c r="A10134" t="s">
        <v>30110</v>
      </c>
      <c r="B10134" t="s">
        <v>30111</v>
      </c>
      <c r="C10134" t="s">
        <v>30112</v>
      </c>
      <c r="D10134" t="str">
        <f>HYPERLINK("https://github.com/matejpoliacek/GalileoGameApp/issues/19","show")</f>
        <v>show</v>
      </c>
      <c r="E10134" t="str">
        <f>HYPERLINK("https://github.com/matejpoliacek/GalileoGameApp","show")</f>
        <v>show</v>
      </c>
      <c r="F10134" t="str">
        <f>HYPERLINK("https://github.com/matejpoliacek/GalileoGameApp/releases","show")</f>
        <v>show</v>
      </c>
    </row>
    <row r="10135" spans="1:6">
      <c r="A10135" t="s">
        <v>30113</v>
      </c>
      <c r="B10135" t="s">
        <v>30114</v>
      </c>
      <c r="C10135" t="s">
        <v>30115</v>
      </c>
      <c r="D10135" t="str">
        <f>HYPERLINK("https://github.com/joltup/react-native-threads/issues/40","show")</f>
        <v>show</v>
      </c>
      <c r="E10135" t="str">
        <f>HYPERLINK("https://github.com/joltup/react-native-threads","show")</f>
        <v>show</v>
      </c>
      <c r="F10135" t="str">
        <f>HYPERLINK("https://github.com/joltup/react-native-threads/releases","show")</f>
        <v>show</v>
      </c>
    </row>
    <row r="10136" spans="1:6">
      <c r="A10136" t="s">
        <v>30116</v>
      </c>
      <c r="B10136" t="s">
        <v>30117</v>
      </c>
      <c r="C10136" t="s">
        <v>30118</v>
      </c>
      <c r="D10136" t="str">
        <f>HYPERLINK("https://github.com/google/ExoPlayer/issues/4535","show")</f>
        <v>show</v>
      </c>
      <c r="E10136" t="str">
        <f>HYPERLINK("https://github.com/google/ExoPlayer","show")</f>
        <v>show</v>
      </c>
      <c r="F10136" t="str">
        <f>HYPERLINK("https://github.com/google/ExoPlayer/releases","show")</f>
        <v>show</v>
      </c>
    </row>
    <row r="10137" spans="1:6">
      <c r="A10137" t="s">
        <v>30119</v>
      </c>
      <c r="B10137" t="s">
        <v>30120</v>
      </c>
      <c r="C10137" t="s">
        <v>30121</v>
      </c>
      <c r="D10137" t="str">
        <f>HYPERLINK("https://github.com/project-travel-mate/Travel-Mate/issues/308","show")</f>
        <v>show</v>
      </c>
      <c r="E10137" t="str">
        <f>HYPERLINK("https://github.com/project-travel-mate/Travel-Mate","show")</f>
        <v>show</v>
      </c>
      <c r="F10137" t="str">
        <f>HYPERLINK("https://github.com/project-travel-mate/Travel-Mate/releases","show")</f>
        <v>show</v>
      </c>
    </row>
    <row r="10138" spans="1:6">
      <c r="A10138" t="s">
        <v>30122</v>
      </c>
      <c r="B10138" t="s">
        <v>30123</v>
      </c>
      <c r="C10138" t="s">
        <v>30124</v>
      </c>
      <c r="D10138" t="str">
        <f>HYPERLINK("https://github.com/mapbox/mapbox-events-android/issues/184","show")</f>
        <v>show</v>
      </c>
      <c r="E10138" t="str">
        <f>HYPERLINK("https://github.com/mapbox/mapbox-events-android","show")</f>
        <v>show</v>
      </c>
      <c r="F10138" t="str">
        <f>HYPERLINK("https://github.com/mapbox/mapbox-events-android/releases","show")</f>
        <v>show</v>
      </c>
    </row>
    <row r="10139" spans="1:6">
      <c r="A10139" t="s">
        <v>30125</v>
      </c>
      <c r="B10139" t="s">
        <v>30126</v>
      </c>
      <c r="C10139" t="s">
        <v>30127</v>
      </c>
      <c r="D10139" t="str">
        <f>HYPERLINK("https://github.com/EyeSeeTea/EReferralsApp/issues/175","show")</f>
        <v>show</v>
      </c>
      <c r="E10139" t="str">
        <f>HYPERLINK("https://github.com/EyeSeeTea/EReferralsApp","show")</f>
        <v>show</v>
      </c>
      <c r="F10139" t="str">
        <f>HYPERLINK("https://github.com/EyeSeeTea/EReferralsApp/releases","show")</f>
        <v>show</v>
      </c>
    </row>
    <row r="10140" spans="1:6">
      <c r="A10140" t="s">
        <v>30128</v>
      </c>
      <c r="B10140" t="s">
        <v>30129</v>
      </c>
      <c r="C10140" t="s">
        <v>30130</v>
      </c>
      <c r="D10140" t="str">
        <f>HYPERLINK("https://github.com/Karumi/Dexter/issues/212","show")</f>
        <v>show</v>
      </c>
      <c r="E10140" t="str">
        <f>HYPERLINK("https://github.com/Karumi/Dexter","show")</f>
        <v>show</v>
      </c>
      <c r="F10140" t="str">
        <f>HYPERLINK("https://github.com/Karumi/Dexter/releases","show")</f>
        <v>show</v>
      </c>
    </row>
    <row r="10141" spans="1:6">
      <c r="A10141" t="s">
        <v>30131</v>
      </c>
      <c r="B10141" t="s">
        <v>30132</v>
      </c>
      <c r="C10141" t="s">
        <v>30133</v>
      </c>
      <c r="D10141" t="str">
        <f>HYPERLINK("https://github.com/itachi1706/SingBuses/issues/112","show")</f>
        <v>show</v>
      </c>
      <c r="E10141" t="str">
        <f>HYPERLINK("https://github.com/itachi1706/SingBuses","show")</f>
        <v>show</v>
      </c>
      <c r="F10141" t="str">
        <f>HYPERLINK("https://github.com/itachi1706/SingBuses/releases","show")</f>
        <v>show</v>
      </c>
    </row>
    <row r="10142" spans="1:6">
      <c r="A10142" t="s">
        <v>30134</v>
      </c>
      <c r="B10142" t="s">
        <v>30135</v>
      </c>
      <c r="C10142" t="s">
        <v>30136</v>
      </c>
      <c r="D10142" t="str">
        <f>HYPERLINK("https://github.com/lineargs/WatchNextApp/issues/35","show")</f>
        <v>show</v>
      </c>
      <c r="E10142" t="str">
        <f>HYPERLINK("https://github.com/lineargs/WatchNextApp","show")</f>
        <v>show</v>
      </c>
      <c r="F10142" t="str">
        <f>HYPERLINK("https://github.com/lineargs/WatchNextApp/releases","show")</f>
        <v>show</v>
      </c>
    </row>
    <row r="10143" spans="1:6">
      <c r="A10143" t="s">
        <v>30137</v>
      </c>
      <c r="B10143" t="s">
        <v>30138</v>
      </c>
      <c r="C10143" t="s">
        <v>30139</v>
      </c>
      <c r="D10143" t="str">
        <f>HYPERLINK("https://github.com/USDepartmentofLabor/Child-Labor-Android/issues/71","show")</f>
        <v>show</v>
      </c>
      <c r="E10143" t="str">
        <f>HYPERLINK("https://github.com/USDepartmentofLabor/Child-Labor-Android","show")</f>
        <v>show</v>
      </c>
      <c r="F10143" t="str">
        <f>HYPERLINK("https://github.com/USDepartmentofLabor/Child-Labor-Android/releases","show")</f>
        <v>show</v>
      </c>
    </row>
    <row r="10144" spans="1:6">
      <c r="A10144" t="s">
        <v>30140</v>
      </c>
      <c r="B10144" t="s">
        <v>30141</v>
      </c>
      <c r="C10144" t="s">
        <v>30142</v>
      </c>
      <c r="D10144" t="str">
        <f>HYPERLINK("https://github.com/neXenio/BLE-Indoor-Positioning/issues/105","show")</f>
        <v>show</v>
      </c>
      <c r="E10144" t="str">
        <f>HYPERLINK("https://github.com/neXenio/BLE-Indoor-Positioning","show")</f>
        <v>show</v>
      </c>
      <c r="F10144" t="str">
        <f>HYPERLINK("https://github.com/neXenio/BLE-Indoor-Positioning/releases","show")</f>
        <v>show</v>
      </c>
    </row>
    <row r="10145" spans="1:6">
      <c r="A10145" t="s">
        <v>30143</v>
      </c>
      <c r="B10145" t="s">
        <v>30144</v>
      </c>
      <c r="C10145" t="s">
        <v>30145</v>
      </c>
      <c r="D10145" t="str">
        <f>HYPERLINK("https://github.com/MozillaReality/FirefoxReality/issues/167","show")</f>
        <v>show</v>
      </c>
      <c r="E10145" t="str">
        <f>HYPERLINK("https://github.com/MozillaReality/FirefoxReality","show")</f>
        <v>show</v>
      </c>
      <c r="F10145" t="str">
        <f>HYPERLINK("https://github.com/MozillaReality/FirefoxReality/releases","show")</f>
        <v>show</v>
      </c>
    </row>
    <row r="10146" spans="1:6">
      <c r="A10146" t="s">
        <v>30146</v>
      </c>
      <c r="B10146" t="s">
        <v>30147</v>
      </c>
      <c r="C10146" t="s">
        <v>30148</v>
      </c>
      <c r="D10146" t="str">
        <f>HYPERLINK("https://github.com/MozillaReality/FirefoxReality/issues/166","show")</f>
        <v>show</v>
      </c>
      <c r="E10146" t="str">
        <f>HYPERLINK("https://github.com/MozillaReality/FirefoxReality","show")</f>
        <v>show</v>
      </c>
      <c r="F10146" t="str">
        <f>HYPERLINK("https://github.com/MozillaReality/FirefoxReality/releases","show")</f>
        <v>show</v>
      </c>
    </row>
    <row r="10147" spans="1:6">
      <c r="A10147" t="s">
        <v>30149</v>
      </c>
      <c r="B10147" t="s">
        <v>30150</v>
      </c>
      <c r="C10147" t="s">
        <v>30151</v>
      </c>
      <c r="D10147" t="str">
        <f>HYPERLINK("https://github.com/square/okhttp/issues/4155","show")</f>
        <v>show</v>
      </c>
      <c r="E10147" t="str">
        <f>HYPERLINK("https://github.com/square/okhttp","show")</f>
        <v>show</v>
      </c>
      <c r="F10147" t="str">
        <f>HYPERLINK("https://github.com/square/okhttp/releases","show")</f>
        <v>show</v>
      </c>
    </row>
    <row r="10148" spans="1:6">
      <c r="A10148" t="s">
        <v>30152</v>
      </c>
      <c r="B10148" t="s">
        <v>30153</v>
      </c>
      <c r="C10148" t="s">
        <v>30154</v>
      </c>
      <c r="D10148" t="str">
        <f>HYPERLINK("https://github.com/koral--/android-gif-drawable/issues/570","show")</f>
        <v>show</v>
      </c>
      <c r="E10148" t="str">
        <f>HYPERLINK("https://github.com/koral--/android-gif-drawable","show")</f>
        <v>show</v>
      </c>
      <c r="F10148" t="str">
        <f>HYPERLINK("https://github.com/koral--/android-gif-drawable/releases","show")</f>
        <v>show</v>
      </c>
    </row>
    <row r="10149" spans="1:6">
      <c r="A10149" t="s">
        <v>30155</v>
      </c>
      <c r="B10149" t="s">
        <v>30156</v>
      </c>
      <c r="C10149" t="s">
        <v>30157</v>
      </c>
      <c r="D10149" t="str">
        <f>HYPERLINK("https://github.com/requery/sqlite-android/issues/72","show")</f>
        <v>show</v>
      </c>
      <c r="E10149" t="str">
        <f>HYPERLINK("https://github.com/requery/sqlite-android","show")</f>
        <v>show</v>
      </c>
      <c r="F10149" t="str">
        <f>HYPERLINK("https://github.com/requery/sqlite-android/releases","show")</f>
        <v>show</v>
      </c>
    </row>
    <row r="10150" spans="1:6">
      <c r="A10150" t="s">
        <v>30158</v>
      </c>
      <c r="B10150" t="s">
        <v>30159</v>
      </c>
      <c r="C10150" t="s">
        <v>30160</v>
      </c>
      <c r="D10150" t="str">
        <f>HYPERLINK("https://github.com/maks/MGit/issues/398","show")</f>
        <v>show</v>
      </c>
      <c r="E10150" t="str">
        <f>HYPERLINK("https://github.com/maks/MGit","show")</f>
        <v>show</v>
      </c>
      <c r="F10150" t="str">
        <f>HYPERLINK("https://github.com/maks/MGit/releases","show")</f>
        <v>show</v>
      </c>
    </row>
    <row r="10151" spans="1:6">
      <c r="A10151" t="s">
        <v>30161</v>
      </c>
      <c r="B10151" t="s">
        <v>30162</v>
      </c>
      <c r="C10151" t="s">
        <v>30163</v>
      </c>
      <c r="D10151" t="str">
        <f>HYPERLINK("https://github.com/mapbox/mapbox-events-android/issues/181","show")</f>
        <v>show</v>
      </c>
      <c r="E10151" t="str">
        <f>HYPERLINK("https://github.com/mapbox/mapbox-events-android","show")</f>
        <v>show</v>
      </c>
      <c r="F10151" t="str">
        <f>HYPERLINK("https://github.com/mapbox/mapbox-events-android/releases","show")</f>
        <v>show</v>
      </c>
    </row>
    <row r="10152" spans="1:6">
      <c r="A10152" t="s">
        <v>30164</v>
      </c>
      <c r="B10152" t="s">
        <v>30165</v>
      </c>
      <c r="C10152" t="s">
        <v>30166</v>
      </c>
      <c r="D10152" t="str">
        <f>HYPERLINK("https://github.com/ThmmyNoLife/mTHMMY/issues/28","show")</f>
        <v>show</v>
      </c>
      <c r="E10152" t="str">
        <f>HYPERLINK("https://github.com/ThmmyNoLife/mTHMMY","show")</f>
        <v>show</v>
      </c>
      <c r="F10152" t="str">
        <f>HYPERLINK("https://github.com/ThmmyNoLife/mTHMMY/releases","show")</f>
        <v>show</v>
      </c>
    </row>
    <row r="10153" spans="1:6">
      <c r="A10153" t="s">
        <v>30167</v>
      </c>
      <c r="B10153" t="s">
        <v>30168</v>
      </c>
      <c r="C10153" t="s">
        <v>30169</v>
      </c>
      <c r="D10153" t="str">
        <f>HYPERLINK("https://github.com/recruit-lifestyle/FloatingView/issues/89","show")</f>
        <v>show</v>
      </c>
      <c r="E10153" t="str">
        <f>HYPERLINK("https://github.com/recruit-lifestyle/FloatingView","show")</f>
        <v>show</v>
      </c>
      <c r="F10153" t="str">
        <f>HYPERLINK("https://github.com/recruit-lifestyle/FloatingView/releases","show")</f>
        <v>show</v>
      </c>
    </row>
    <row r="10154" spans="1:6">
      <c r="A10154" t="s">
        <v>30170</v>
      </c>
      <c r="B10154" t="s">
        <v>30171</v>
      </c>
      <c r="C10154" t="s">
        <v>30172</v>
      </c>
      <c r="D10154" t="str">
        <f>HYPERLINK("https://github.com/WatShout/watshout-android/issues/51","show")</f>
        <v>show</v>
      </c>
      <c r="E10154" t="str">
        <f>HYPERLINK("https://github.com/WatShout/watshout-android","show")</f>
        <v>show</v>
      </c>
      <c r="F10154" t="str">
        <f>HYPERLINK("https://github.com/WatShout/watshout-android/releases","show")</f>
        <v>show</v>
      </c>
    </row>
    <row r="10155" spans="1:6">
      <c r="A10155" t="s">
        <v>30173</v>
      </c>
      <c r="B10155" t="s">
        <v>30174</v>
      </c>
      <c r="C10155" t="s">
        <v>30175</v>
      </c>
      <c r="D10155" t="str">
        <f>HYPERLINK("https://github.com/WatShout/watshout-android/issues/49","show")</f>
        <v>show</v>
      </c>
      <c r="E10155" t="str">
        <f>HYPERLINK("https://github.com/WatShout/watshout-android","show")</f>
        <v>show</v>
      </c>
      <c r="F10155" t="str">
        <f>HYPERLINK("https://github.com/WatShout/watshout-android/releases","show")</f>
        <v>show</v>
      </c>
    </row>
    <row r="10156" spans="1:6">
      <c r="A10156" t="s">
        <v>30176</v>
      </c>
      <c r="B10156" t="s">
        <v>30177</v>
      </c>
      <c r="C10156" t="s">
        <v>30178</v>
      </c>
      <c r="D10156" t="str">
        <f>HYPERLINK("https://github.com/mapbox/mapbox-events-android/issues/178","show")</f>
        <v>show</v>
      </c>
      <c r="E10156" t="str">
        <f>HYPERLINK("https://github.com/mapbox/mapbox-events-android","show")</f>
        <v>show</v>
      </c>
      <c r="F10156" t="str">
        <f>HYPERLINK("https://github.com/mapbox/mapbox-events-android/releases","show")</f>
        <v>show</v>
      </c>
    </row>
    <row r="10157" spans="1:6">
      <c r="A10157" t="s">
        <v>30179</v>
      </c>
      <c r="B10157" t="s">
        <v>30180</v>
      </c>
      <c r="C10157" t="s">
        <v>30181</v>
      </c>
      <c r="D10157" t="str">
        <f>HYPERLINK("https://github.com/fossasia/pslab-android/issues/1215","show")</f>
        <v>show</v>
      </c>
      <c r="E10157" t="str">
        <f>HYPERLINK("https://github.com/fossasia/pslab-android","show")</f>
        <v>show</v>
      </c>
      <c r="F10157" t="str">
        <f>HYPERLINK("https://github.com/fossasia/pslab-android/releases","show")</f>
        <v>show</v>
      </c>
    </row>
    <row r="10158" spans="1:6">
      <c r="A10158" t="s">
        <v>30182</v>
      </c>
      <c r="B10158" t="s">
        <v>30183</v>
      </c>
      <c r="C10158" t="s">
        <v>30184</v>
      </c>
      <c r="D10158" t="str">
        <f>HYPERLINK("https://github.com/flyve-mdm/android-mdm-agent/issues/501","show")</f>
        <v>show</v>
      </c>
      <c r="E10158" t="str">
        <f>HYPERLINK("https://github.com/flyve-mdm/android-mdm-agent","show")</f>
        <v>show</v>
      </c>
      <c r="F10158" t="str">
        <f>HYPERLINK("https://github.com/flyve-mdm/android-mdm-agent/releases","show")</f>
        <v>show</v>
      </c>
    </row>
    <row r="10159" spans="1:6">
      <c r="A10159" t="s">
        <v>30185</v>
      </c>
      <c r="B10159" t="s">
        <v>30186</v>
      </c>
      <c r="C10159" t="s">
        <v>30187</v>
      </c>
      <c r="D10159" t="str">
        <f>HYPERLINK("https://github.com/getodk/collect/issues/2360","show")</f>
        <v>show</v>
      </c>
      <c r="E10159" t="str">
        <f>HYPERLINK("https://github.com/getodk/collect","show")</f>
        <v>show</v>
      </c>
      <c r="F10159" t="str">
        <f>HYPERLINK("https://github.com/getodk/collect/releases","show")</f>
        <v>show</v>
      </c>
    </row>
    <row r="10160" spans="1:6">
      <c r="A10160" t="s">
        <v>30188</v>
      </c>
      <c r="B10160" t="s">
        <v>30189</v>
      </c>
      <c r="C10160" t="s">
        <v>30190</v>
      </c>
      <c r="D10160" t="str">
        <f>HYPERLINK("https://github.com/processing/processing-android/issues/473","show")</f>
        <v>show</v>
      </c>
      <c r="E10160" t="str">
        <f>HYPERLINK("https://github.com/processing/processing-android","show")</f>
        <v>show</v>
      </c>
      <c r="F10160" t="str">
        <f>HYPERLINK("https://github.com/processing/processing-android/releases","show")</f>
        <v>show</v>
      </c>
    </row>
    <row r="10161" spans="1:6">
      <c r="A10161" t="s">
        <v>30191</v>
      </c>
      <c r="B10161" t="s">
        <v>30192</v>
      </c>
      <c r="C10161" t="s">
        <v>30193</v>
      </c>
      <c r="D10161" t="str">
        <f>HYPERLINK("https://github.com/nikita36078/J2ME-Loader/issues/354","show")</f>
        <v>show</v>
      </c>
      <c r="E10161" t="str">
        <f>HYPERLINK("https://github.com/nikita36078/J2ME-Loader","show")</f>
        <v>show</v>
      </c>
      <c r="F10161" t="str">
        <f>HYPERLINK("https://github.com/nikita36078/J2ME-Loader/releases","show")</f>
        <v>show</v>
      </c>
    </row>
    <row r="10162" spans="1:6">
      <c r="A10162" t="s">
        <v>30194</v>
      </c>
      <c r="B10162" t="s">
        <v>30195</v>
      </c>
      <c r="C10162" t="s">
        <v>30196</v>
      </c>
      <c r="D10162" t="str">
        <f>HYPERLINK("https://github.com/k9mail/k-9/issues/3493","show")</f>
        <v>show</v>
      </c>
      <c r="E10162" t="str">
        <f>HYPERLINK("https://github.com/k9mail/k-9","show")</f>
        <v>show</v>
      </c>
      <c r="F10162" t="str">
        <f>HYPERLINK("https://github.com/k9mail/k-9/releases","show")</f>
        <v>show</v>
      </c>
    </row>
    <row r="10163" spans="1:6">
      <c r="A10163" t="s">
        <v>30197</v>
      </c>
      <c r="B10163" t="s">
        <v>30198</v>
      </c>
      <c r="C10163" t="s">
        <v>30199</v>
      </c>
      <c r="D10163" t="str">
        <f>HYPERLINK("https://github.com/ThmmyNoLife/mTHMMY/issues/26","show")</f>
        <v>show</v>
      </c>
      <c r="E10163" t="str">
        <f>HYPERLINK("https://github.com/ThmmyNoLife/mTHMMY","show")</f>
        <v>show</v>
      </c>
      <c r="F10163" t="str">
        <f>HYPERLINK("https://github.com/ThmmyNoLife/mTHMMY/releases","show")</f>
        <v>show</v>
      </c>
    </row>
    <row r="10164" spans="1:6">
      <c r="A10164" t="s">
        <v>30200</v>
      </c>
      <c r="B10164" t="s">
        <v>8762</v>
      </c>
      <c r="C10164" t="s">
        <v>30201</v>
      </c>
      <c r="D10164" t="str">
        <f>HYPERLINK("https://github.com/StAResComp/sifids/issues/176","show")</f>
        <v>show</v>
      </c>
      <c r="E10164" t="str">
        <f>HYPERLINK("https://github.com/StAResComp/sifids","show")</f>
        <v>show</v>
      </c>
      <c r="F10164" t="str">
        <f>HYPERLINK("https://github.com/StAResComp/sifids/releases","show")</f>
        <v>show</v>
      </c>
    </row>
    <row r="10165" spans="1:6">
      <c r="A10165" t="s">
        <v>30202</v>
      </c>
      <c r="B10165" t="s">
        <v>30203</v>
      </c>
      <c r="C10165" t="s">
        <v>30204</v>
      </c>
      <c r="D10165" t="str">
        <f>HYPERLINK("https://github.com/project-travel-mate/Travel-Mate/issues/225","show")</f>
        <v>show</v>
      </c>
      <c r="E10165" t="str">
        <f>HYPERLINK("https://github.com/project-travel-mate/Travel-Mate","show")</f>
        <v>show</v>
      </c>
      <c r="F10165" t="str">
        <f>HYPERLINK("https://github.com/project-travel-mate/Travel-Mate/releases","show")</f>
        <v>show</v>
      </c>
    </row>
    <row r="10166" spans="1:6">
      <c r="A10166" t="s">
        <v>30205</v>
      </c>
      <c r="B10166" t="s">
        <v>30206</v>
      </c>
      <c r="C10166" t="s">
        <v>30207</v>
      </c>
      <c r="D10166" t="str">
        <f>HYPERLINK("https://github.com/commons-app/apps-android-commons/issues/1694","show")</f>
        <v>show</v>
      </c>
      <c r="E10166" t="str">
        <f>HYPERLINK("https://github.com/commons-app/apps-android-commons","show")</f>
        <v>show</v>
      </c>
      <c r="F10166" t="str">
        <f>HYPERLINK("https://github.com/commons-app/apps-android-commons/releases","show")</f>
        <v>show</v>
      </c>
    </row>
    <row r="10167" spans="1:6">
      <c r="A10167" t="s">
        <v>30208</v>
      </c>
      <c r="B10167" t="s">
        <v>30209</v>
      </c>
      <c r="C10167" t="s">
        <v>30210</v>
      </c>
      <c r="D10167" t="str">
        <f>HYPERLINK("https://github.com/fossasia/open-event-organizer-android/issues/1170","show")</f>
        <v>show</v>
      </c>
      <c r="E10167" t="str">
        <f>HYPERLINK("https://github.com/fossasia/open-event-organizer-android","show")</f>
        <v>show</v>
      </c>
      <c r="F10167" t="str">
        <f>HYPERLINK("https://github.com/fossasia/open-event-organizer-android/releases","show")</f>
        <v>show</v>
      </c>
    </row>
    <row r="10168" spans="1:6">
      <c r="A10168" t="s">
        <v>30211</v>
      </c>
      <c r="B10168" t="s">
        <v>30212</v>
      </c>
      <c r="C10168" t="s">
        <v>30213</v>
      </c>
      <c r="D10168" t="str">
        <f>HYPERLINK("https://github.com/fossasia/phimpme-android/issues/2080","show")</f>
        <v>show</v>
      </c>
      <c r="E10168" t="str">
        <f>HYPERLINK("https://github.com/fossasia/phimpme-android","show")</f>
        <v>show</v>
      </c>
      <c r="F10168" t="str">
        <f>HYPERLINK("https://github.com/fossasia/phimpme-android/releases","show")</f>
        <v>show</v>
      </c>
    </row>
    <row r="10169" spans="1:6">
      <c r="A10169" t="s">
        <v>30214</v>
      </c>
      <c r="B10169" t="s">
        <v>30215</v>
      </c>
      <c r="C10169" t="s">
        <v>30216</v>
      </c>
      <c r="D10169" t="str">
        <f>HYPERLINK("https://github.com/mapbox/mapbox-events-android/issues/174","show")</f>
        <v>show</v>
      </c>
      <c r="E10169" t="str">
        <f>HYPERLINK("https://github.com/mapbox/mapbox-events-android","show")</f>
        <v>show</v>
      </c>
      <c r="F10169" t="str">
        <f>HYPERLINK("https://github.com/mapbox/mapbox-events-android/releases","show")</f>
        <v>show</v>
      </c>
    </row>
    <row r="10170" spans="1:6">
      <c r="A10170" t="s">
        <v>30217</v>
      </c>
      <c r="B10170" t="s">
        <v>30218</v>
      </c>
      <c r="C10170" t="s">
        <v>30219</v>
      </c>
      <c r="D10170" t="str">
        <f>HYPERLINK("https://github.com/dimagi/commcare-android/issues/2017","show")</f>
        <v>show</v>
      </c>
      <c r="E10170" t="str">
        <f>HYPERLINK("https://github.com/dimagi/commcare-android","show")</f>
        <v>show</v>
      </c>
      <c r="F10170" t="str">
        <f>HYPERLINK("https://github.com/dimagi/commcare-android/releases","show")</f>
        <v>show</v>
      </c>
    </row>
    <row r="10171" spans="1:6">
      <c r="A10171" t="s">
        <v>30220</v>
      </c>
      <c r="B10171" t="s">
        <v>30221</v>
      </c>
      <c r="C10171" t="s">
        <v>30222</v>
      </c>
      <c r="D10171" t="str">
        <f>HYPERLINK("https://github.com/andyrozman/RileyLinkAAPS/issues/40","show")</f>
        <v>show</v>
      </c>
      <c r="E10171" t="str">
        <f>HYPERLINK("https://github.com/andyrozman/RileyLinkAAPS","show")</f>
        <v>show</v>
      </c>
      <c r="F10171" t="str">
        <f>HYPERLINK("https://github.com/andyrozman/RileyLinkAAPS/releases","show")</f>
        <v>show</v>
      </c>
    </row>
    <row r="10172" spans="1:6">
      <c r="A10172" t="s">
        <v>30223</v>
      </c>
      <c r="B10172" t="s">
        <v>30224</v>
      </c>
      <c r="C10172" t="s">
        <v>30225</v>
      </c>
      <c r="D10172" t="str">
        <f>HYPERLINK("https://github.com/0xpr03/VocableTrainer-Android/issues/35","show")</f>
        <v>show</v>
      </c>
      <c r="E10172" t="str">
        <f>HYPERLINK("https://github.com/0xpr03/VocableTrainer-Android","show")</f>
        <v>show</v>
      </c>
      <c r="F10172" t="str">
        <f>HYPERLINK("https://github.com/0xpr03/VocableTrainer-Android/releases","show")</f>
        <v>show</v>
      </c>
    </row>
    <row r="10173" spans="1:6">
      <c r="A10173" t="s">
        <v>30226</v>
      </c>
      <c r="B10173" t="s">
        <v>30227</v>
      </c>
      <c r="C10173" t="s">
        <v>30228</v>
      </c>
      <c r="D10173" t="str">
        <f>HYPERLINK("https://github.com/osmdroid/osmdroid/issues/1079","show")</f>
        <v>show</v>
      </c>
      <c r="E10173" t="str">
        <f>HYPERLINK("https://github.com/osmdroid/osmdroid","show")</f>
        <v>show</v>
      </c>
      <c r="F10173" t="str">
        <f>HYPERLINK("https://github.com/osmdroid/osmdroid/releases","show")</f>
        <v>show</v>
      </c>
    </row>
    <row r="10174" spans="1:6">
      <c r="A10174" t="s">
        <v>30229</v>
      </c>
      <c r="B10174" t="s">
        <v>30230</v>
      </c>
      <c r="C10174" t="s">
        <v>30231</v>
      </c>
      <c r="D10174" t="str">
        <f>HYPERLINK("https://github.com/evernote/android-job/issues/492","show")</f>
        <v>show</v>
      </c>
      <c r="E10174" t="str">
        <f>HYPERLINK("https://github.com/evernote/android-job","show")</f>
        <v>show</v>
      </c>
      <c r="F10174" t="str">
        <f>HYPERLINK("https://github.com/evernote/android-job/releases","show")</f>
        <v>show</v>
      </c>
    </row>
    <row r="10175" spans="1:6">
      <c r="A10175" t="s">
        <v>30232</v>
      </c>
      <c r="B10175" t="s">
        <v>30233</v>
      </c>
      <c r="C10175" t="s">
        <v>30234</v>
      </c>
      <c r="D10175" t="str">
        <f>HYPERLINK("https://github.com/andOTP/andOTP/issues/197","show")</f>
        <v>show</v>
      </c>
      <c r="E10175" t="str">
        <f>HYPERLINK("https://github.com/andOTP/andOTP","show")</f>
        <v>show</v>
      </c>
      <c r="F10175" t="str">
        <f>HYPERLINK("https://github.com/andOTP/andOTP/releases","show")</f>
        <v>show</v>
      </c>
    </row>
    <row r="10176" spans="1:6">
      <c r="A10176" t="s">
        <v>30235</v>
      </c>
      <c r="B10176" t="s">
        <v>30236</v>
      </c>
      <c r="C10176" t="s">
        <v>30237</v>
      </c>
      <c r="D10176" t="str">
        <f>HYPERLINK("https://github.com/antest1/kcanotify/issues/50","show")</f>
        <v>show</v>
      </c>
      <c r="E10176" t="str">
        <f>HYPERLINK("https://github.com/antest1/kcanotify","show")</f>
        <v>show</v>
      </c>
      <c r="F10176" t="str">
        <f>HYPERLINK("https://github.com/antest1/kcanotify/releases","show")</f>
        <v>show</v>
      </c>
    </row>
    <row r="10177" spans="1:6">
      <c r="A10177" t="s">
        <v>30238</v>
      </c>
      <c r="B10177" t="s">
        <v>30239</v>
      </c>
      <c r="C10177" t="s">
        <v>30240</v>
      </c>
      <c r="D10177" t="str">
        <f>HYPERLINK("https://github.com/jaredrummler/ColorPicker/issues/57","show")</f>
        <v>show</v>
      </c>
      <c r="E10177" t="str">
        <f>HYPERLINK("https://github.com/jaredrummler/ColorPicker","show")</f>
        <v>show</v>
      </c>
      <c r="F10177" t="str">
        <f>HYPERLINK("https://github.com/jaredrummler/ColorPicker/releases","show")</f>
        <v>show</v>
      </c>
    </row>
    <row r="10178" spans="1:6">
      <c r="A10178" t="s">
        <v>30241</v>
      </c>
      <c r="B10178" t="s">
        <v>30242</v>
      </c>
      <c r="C10178" t="s">
        <v>30243</v>
      </c>
      <c r="D10178" t="str">
        <f>HYPERLINK("https://github.com/Tencent/tinker/issues/876","show")</f>
        <v>show</v>
      </c>
      <c r="E10178" t="str">
        <f>HYPERLINK("https://github.com/Tencent/tinker","show")</f>
        <v>show</v>
      </c>
      <c r="F10178" t="str">
        <f>HYPERLINK("https://github.com/Tencent/tinker/releases","show")</f>
        <v>show</v>
      </c>
    </row>
    <row r="10179" spans="1:6">
      <c r="A10179" t="s">
        <v>30244</v>
      </c>
      <c r="B10179" t="s">
        <v>30245</v>
      </c>
      <c r="C10179" t="s">
        <v>30246</v>
      </c>
      <c r="D10179" t="str">
        <f>HYPERLINK("https://github.com/aksh4y/CS5520_MAD/issues/3","show")</f>
        <v>show</v>
      </c>
      <c r="E10179" t="str">
        <f>HYPERLINK("https://github.com/aksh4y/CS5520_MAD","show")</f>
        <v>show</v>
      </c>
      <c r="F10179" t="str">
        <f>HYPERLINK("https://github.com/aksh4y/CS5520_MAD/releases","show")</f>
        <v>show</v>
      </c>
    </row>
    <row r="10180" spans="1:6">
      <c r="A10180" t="s">
        <v>30247</v>
      </c>
      <c r="B10180" t="s">
        <v>30248</v>
      </c>
      <c r="C10180" t="s">
        <v>30249</v>
      </c>
      <c r="D10180" t="str">
        <f>HYPERLINK("https://github.com/d4rken/gplay-batchtool/issues/2","show")</f>
        <v>show</v>
      </c>
      <c r="E10180" t="str">
        <f>HYPERLINK("https://github.com/d4rken/gplay-batchtool","show")</f>
        <v>show</v>
      </c>
      <c r="F10180" t="str">
        <f>HYPERLINK("https://github.com/d4rken/gplay-batchtool/releases","show")</f>
        <v>show</v>
      </c>
    </row>
    <row r="10181" spans="1:6">
      <c r="A10181" t="s">
        <v>30250</v>
      </c>
      <c r="B10181" t="s">
        <v>30251</v>
      </c>
      <c r="C10181" t="s">
        <v>30252</v>
      </c>
      <c r="D10181" t="str">
        <f>HYPERLINK("https://github.com/fossasia/pslab-android/issues/1177","show")</f>
        <v>show</v>
      </c>
      <c r="E10181" t="str">
        <f>HYPERLINK("https://github.com/fossasia/pslab-android","show")</f>
        <v>show</v>
      </c>
      <c r="F10181" t="str">
        <f>HYPERLINK("https://github.com/fossasia/pslab-android/releases","show")</f>
        <v>show</v>
      </c>
    </row>
    <row r="10182" spans="1:6">
      <c r="A10182" t="s">
        <v>30253</v>
      </c>
      <c r="B10182" t="s">
        <v>30254</v>
      </c>
      <c r="C10182" t="s">
        <v>30255</v>
      </c>
      <c r="D10182" t="str">
        <f>HYPERLINK("https://github.com/novoda/storage-path-finder/issues/8","show")</f>
        <v>show</v>
      </c>
      <c r="E10182" t="str">
        <f>HYPERLINK("https://github.com/novoda/storage-path-finder","show")</f>
        <v>show</v>
      </c>
      <c r="F10182" t="str">
        <f>HYPERLINK("https://github.com/novoda/storage-path-finder/releases","show")</f>
        <v>show</v>
      </c>
    </row>
    <row r="10183" spans="1:6">
      <c r="A10183" t="s">
        <v>30256</v>
      </c>
      <c r="B10183" t="s">
        <v>30257</v>
      </c>
      <c r="C10183" t="s">
        <v>30258</v>
      </c>
      <c r="D10183" t="str">
        <f>HYPERLINK("https://github.com/OneBusAway/onebusaway-android/issues/898","show")</f>
        <v>show</v>
      </c>
      <c r="E10183" t="str">
        <f>HYPERLINK("https://github.com/OneBusAway/onebusaway-android","show")</f>
        <v>show</v>
      </c>
      <c r="F10183" t="str">
        <f>HYPERLINK("https://github.com/OneBusAway/onebusaway-android/releases","show")</f>
        <v>show</v>
      </c>
    </row>
    <row r="10184" spans="1:6">
      <c r="A10184" t="s">
        <v>30259</v>
      </c>
      <c r="B10184" t="s">
        <v>30260</v>
      </c>
      <c r="C10184" t="s">
        <v>30261</v>
      </c>
      <c r="D10184" t="str">
        <f>HYPERLINK("https://github.com/dimagi/commcare-android/issues/2014","show")</f>
        <v>show</v>
      </c>
      <c r="E10184" t="str">
        <f>HYPERLINK("https://github.com/dimagi/commcare-android","show")</f>
        <v>show</v>
      </c>
      <c r="F10184" t="str">
        <f>HYPERLINK("https://github.com/dimagi/commcare-android/releases","show")</f>
        <v>show</v>
      </c>
    </row>
    <row r="10185" spans="1:6">
      <c r="A10185" t="s">
        <v>30262</v>
      </c>
      <c r="B10185" t="s">
        <v>30263</v>
      </c>
      <c r="C10185" t="s">
        <v>30264</v>
      </c>
      <c r="D10185" t="str">
        <f>HYPERLINK("https://github.com/hzi-braunschweig/SORMAS-Project/issues/683","show")</f>
        <v>show</v>
      </c>
      <c r="E10185" t="str">
        <f>HYPERLINK("https://github.com/hzi-braunschweig/SORMAS-Project","show")</f>
        <v>show</v>
      </c>
      <c r="F10185" t="str">
        <f>HYPERLINK("https://github.com/hzi-braunschweig/SORMAS-Project/releases","show")</f>
        <v>show</v>
      </c>
    </row>
    <row r="10186" spans="1:6">
      <c r="A10186" t="s">
        <v>30265</v>
      </c>
      <c r="B10186" t="s">
        <v>7731</v>
      </c>
      <c r="C10186" t="s">
        <v>30266</v>
      </c>
      <c r="D10186" t="str">
        <f>HYPERLINK("https://github.com/nextcloud/android/issues/2779","show")</f>
        <v>show</v>
      </c>
      <c r="E10186" t="str">
        <f>HYPERLINK("https://github.com/nextcloud/android","show")</f>
        <v>show</v>
      </c>
      <c r="F10186" t="str">
        <f>HYPERLINK("https://github.com/nextcloud/android/releases","show")</f>
        <v>show</v>
      </c>
    </row>
    <row r="10187" spans="1:6">
      <c r="A10187" t="s">
        <v>30267</v>
      </c>
      <c r="B10187" t="s">
        <v>30268</v>
      </c>
      <c r="C10187" t="s">
        <v>30269</v>
      </c>
      <c r="D10187" t="str">
        <f>HYPERLINK("https://github.com/cgeo/cgeo/issues/7073","show")</f>
        <v>show</v>
      </c>
      <c r="E10187" t="str">
        <f>HYPERLINK("https://github.com/cgeo/cgeo","show")</f>
        <v>show</v>
      </c>
      <c r="F10187" t="str">
        <f>HYPERLINK("https://github.com/cgeo/cgeo/releases","show")</f>
        <v>show</v>
      </c>
    </row>
    <row r="10188" spans="1:6">
      <c r="A10188" t="s">
        <v>30270</v>
      </c>
      <c r="B10188" t="s">
        <v>21164</v>
      </c>
      <c r="C10188" t="s">
        <v>30271</v>
      </c>
      <c r="D10188" t="str">
        <f>HYPERLINK("https://github.com/7LPdWcaW/GrowTracker-Android/issues/61","show")</f>
        <v>show</v>
      </c>
      <c r="E10188" t="str">
        <f>HYPERLINK("https://github.com/7LPdWcaW/GrowTracker-Android","show")</f>
        <v>show</v>
      </c>
      <c r="F10188" t="str">
        <f>HYPERLINK("https://github.com/7LPdWcaW/GrowTracker-Android/releases","show")</f>
        <v>show</v>
      </c>
    </row>
    <row r="10189" spans="1:6">
      <c r="A10189" t="s">
        <v>30272</v>
      </c>
      <c r="B10189" t="s">
        <v>30273</v>
      </c>
      <c r="C10189" t="s">
        <v>30274</v>
      </c>
      <c r="D10189" t="str">
        <f>HYPERLINK("https://github.com/google-ar/sceneform-android-sdk/issues/149","show")</f>
        <v>show</v>
      </c>
      <c r="E10189" t="str">
        <f>HYPERLINK("https://github.com/google-ar/sceneform-android-sdk","show")</f>
        <v>show</v>
      </c>
      <c r="F10189" t="str">
        <f>HYPERLINK("https://github.com/google-ar/sceneform-android-sdk/releases","show")</f>
        <v>show</v>
      </c>
    </row>
    <row r="10190" spans="1:6">
      <c r="A10190" t="s">
        <v>30275</v>
      </c>
      <c r="B10190" t="s">
        <v>30276</v>
      </c>
      <c r="C10190" t="s">
        <v>30277</v>
      </c>
      <c r="D10190" t="str">
        <f>HYPERLINK("https://github.com/react-native-share/react-native-share/issues/293","show")</f>
        <v>show</v>
      </c>
      <c r="E10190" t="str">
        <f>HYPERLINK("https://github.com/react-native-share/react-native-share","show")</f>
        <v>show</v>
      </c>
      <c r="F10190" t="str">
        <f>HYPERLINK("https://github.com/react-native-share/react-native-share/releases","show")</f>
        <v>show</v>
      </c>
    </row>
    <row r="10191" spans="1:6">
      <c r="A10191" t="s">
        <v>30278</v>
      </c>
      <c r="B10191" t="s">
        <v>30279</v>
      </c>
      <c r="C10191" t="s">
        <v>30280</v>
      </c>
      <c r="D10191" t="str">
        <f>HYPERLINK("https://github.com/butterproject/butter-android/issues/286","show")</f>
        <v>show</v>
      </c>
      <c r="E10191" t="str">
        <f>HYPERLINK("https://github.com/butterproject/butter-android","show")</f>
        <v>show</v>
      </c>
      <c r="F10191" t="str">
        <f>HYPERLINK("https://github.com/butterproject/butter-android/releases","show")</f>
        <v>show</v>
      </c>
    </row>
    <row r="10192" spans="1:6">
      <c r="A10192" t="s">
        <v>30281</v>
      </c>
      <c r="B10192" t="s">
        <v>30282</v>
      </c>
      <c r="C10192" t="s">
        <v>30283</v>
      </c>
      <c r="D10192" t="str">
        <f>HYPERLINK("https://github.com/commons-app/apps-android-commons/issues/1678","show")</f>
        <v>show</v>
      </c>
      <c r="E10192" t="str">
        <f>HYPERLINK("https://github.com/commons-app/apps-android-commons","show")</f>
        <v>show</v>
      </c>
      <c r="F10192" t="str">
        <f>HYPERLINK("https://github.com/commons-app/apps-android-commons/releases","show")</f>
        <v>show</v>
      </c>
    </row>
    <row r="10193" spans="1:6">
      <c r="A10193" t="s">
        <v>30284</v>
      </c>
      <c r="B10193" t="s">
        <v>30285</v>
      </c>
      <c r="C10193" t="s">
        <v>30286</v>
      </c>
      <c r="D10193" t="str">
        <f>HYPERLINK("https://github.com/googleads/googleads-consent-sdk-android/issues/74","show")</f>
        <v>show</v>
      </c>
      <c r="E10193" t="str">
        <f>HYPERLINK("https://github.com/googleads/googleads-consent-sdk-android","show")</f>
        <v>show</v>
      </c>
      <c r="F10193" t="str">
        <f>HYPERLINK("https://github.com/googleads/googleads-consent-sdk-android/releases","show")</f>
        <v>show</v>
      </c>
    </row>
    <row r="10194" spans="1:6">
      <c r="A10194" t="s">
        <v>30287</v>
      </c>
      <c r="B10194" t="s">
        <v>30288</v>
      </c>
      <c r="C10194" t="s">
        <v>30289</v>
      </c>
      <c r="D10194" t="str">
        <f>HYPERLINK("https://github.com/commons-app/apps-android-commons/issues/1669","show")</f>
        <v>show</v>
      </c>
      <c r="E10194" t="str">
        <f>HYPERLINK("https://github.com/commons-app/apps-android-commons","show")</f>
        <v>show</v>
      </c>
      <c r="F10194" t="str">
        <f>HYPERLINK("https://github.com/commons-app/apps-android-commons/releases","show")</f>
        <v>show</v>
      </c>
    </row>
    <row r="10195" spans="1:6">
      <c r="A10195" t="s">
        <v>30290</v>
      </c>
      <c r="B10195" t="s">
        <v>30291</v>
      </c>
      <c r="C10195" t="s">
        <v>30292</v>
      </c>
      <c r="D10195" t="str">
        <f>HYPERLINK("https://github.com/commons-app/apps-android-commons/issues/1665","show")</f>
        <v>show</v>
      </c>
      <c r="E10195" t="str">
        <f>HYPERLINK("https://github.com/commons-app/apps-android-commons","show")</f>
        <v>show</v>
      </c>
      <c r="F10195" t="str">
        <f>HYPERLINK("https://github.com/commons-app/apps-android-commons/releases","show")</f>
        <v>show</v>
      </c>
    </row>
    <row r="10196" spans="1:6">
      <c r="A10196" t="s">
        <v>30293</v>
      </c>
      <c r="B10196" t="s">
        <v>30294</v>
      </c>
      <c r="C10196" t="s">
        <v>30295</v>
      </c>
      <c r="D10196" t="str">
        <f>HYPERLINK("https://github.com/yeriomin/YalpStore/issues/493","show")</f>
        <v>show</v>
      </c>
      <c r="E10196" t="str">
        <f>HYPERLINK("https://github.com/yeriomin/YalpStore","show")</f>
        <v>show</v>
      </c>
      <c r="F10196" t="str">
        <f>HYPERLINK("https://github.com/yeriomin/YalpStore/releases","show")</f>
        <v>show</v>
      </c>
    </row>
    <row r="10197" spans="1:6">
      <c r="A10197" t="s">
        <v>30296</v>
      </c>
      <c r="B10197" t="s">
        <v>11353</v>
      </c>
      <c r="C10197" t="s">
        <v>30297</v>
      </c>
      <c r="D10197" t="str">
        <f>HYPERLINK("https://github.com/jumaallan/andela-crypto-app/issues/8","show")</f>
        <v>show</v>
      </c>
      <c r="E10197" t="str">
        <f>HYPERLINK("https://github.com/jumaallan/andela-crypto-app","show")</f>
        <v>show</v>
      </c>
      <c r="F10197" t="str">
        <f>HYPERLINK("https://github.com/jumaallan/andela-crypto-app/releases","show")</f>
        <v>show</v>
      </c>
    </row>
    <row r="10198" spans="1:6">
      <c r="A10198" t="s">
        <v>30298</v>
      </c>
      <c r="B10198" t="s">
        <v>30299</v>
      </c>
      <c r="C10198" t="s">
        <v>30300</v>
      </c>
      <c r="D10198" t="str">
        <f>HYPERLINK("https://github.com/fossasia/open-event-organizer-android/issues/1131","show")</f>
        <v>show</v>
      </c>
      <c r="E10198" t="str">
        <f>HYPERLINK("https://github.com/fossasia/open-event-organizer-android","show")</f>
        <v>show</v>
      </c>
      <c r="F10198" t="str">
        <f>HYPERLINK("https://github.com/fossasia/open-event-organizer-android/releases","show")</f>
        <v>show</v>
      </c>
    </row>
    <row r="10199" spans="1:6">
      <c r="A10199" t="s">
        <v>30301</v>
      </c>
      <c r="B10199" t="s">
        <v>30302</v>
      </c>
      <c r="C10199" t="s">
        <v>30303</v>
      </c>
      <c r="D10199" t="str">
        <f>HYPERLINK("https://github.com/renyuneyun/Easer/issues/131","show")</f>
        <v>show</v>
      </c>
      <c r="E10199" t="str">
        <f>HYPERLINK("https://github.com/renyuneyun/Easer","show")</f>
        <v>show</v>
      </c>
      <c r="F10199" t="str">
        <f>HYPERLINK("https://github.com/renyuneyun/Easer/releases","show")</f>
        <v>show</v>
      </c>
    </row>
    <row r="10200" spans="1:6">
      <c r="A10200" t="s">
        <v>30304</v>
      </c>
      <c r="B10200" t="s">
        <v>30305</v>
      </c>
      <c r="C10200" t="s">
        <v>30306</v>
      </c>
      <c r="D10200" t="str">
        <f>HYPERLINK("https://github.com/libgdx/libgdx/issues/5281","show")</f>
        <v>show</v>
      </c>
      <c r="E10200" t="str">
        <f>HYPERLINK("https://github.com/libgdx/libgdx","show")</f>
        <v>show</v>
      </c>
      <c r="F10200" t="str">
        <f>HYPERLINK("https://github.com/libgdx/libgdx/releases","show")</f>
        <v>show</v>
      </c>
    </row>
    <row r="10201" spans="1:6">
      <c r="A10201" t="s">
        <v>30307</v>
      </c>
      <c r="B10201" t="s">
        <v>30308</v>
      </c>
      <c r="C10201" t="s">
        <v>30309</v>
      </c>
      <c r="D10201" t="str">
        <f>HYPERLINK("https://github.com/mo3rfan/syncplayer/issues/8","show")</f>
        <v>show</v>
      </c>
      <c r="E10201" t="str">
        <f>HYPERLINK("https://github.com/mo3rfan/syncplayer","show")</f>
        <v>show</v>
      </c>
      <c r="F10201" t="str">
        <f>HYPERLINK("https://github.com/mo3rfan/syncplayer/releases","show")</f>
        <v>show</v>
      </c>
    </row>
    <row r="10202" spans="1:6">
      <c r="A10202" t="s">
        <v>30310</v>
      </c>
      <c r="B10202" t="s">
        <v>30311</v>
      </c>
      <c r="C10202" t="s">
        <v>30312</v>
      </c>
      <c r="D10202" t="str">
        <f>HYPERLINK("https://github.com/edufolly/flutter_mobile_vision/issues/7","show")</f>
        <v>show</v>
      </c>
      <c r="E10202" t="str">
        <f>HYPERLINK("https://github.com/edufolly/flutter_mobile_vision","show")</f>
        <v>show</v>
      </c>
      <c r="F10202" t="str">
        <f>HYPERLINK("https://github.com/edufolly/flutter_mobile_vision/releases","show")</f>
        <v>show</v>
      </c>
    </row>
    <row r="10203" spans="1:6">
      <c r="A10203" t="s">
        <v>30313</v>
      </c>
      <c r="B10203" t="s">
        <v>30314</v>
      </c>
      <c r="C10203" t="s">
        <v>30315</v>
      </c>
      <c r="D10203" t="str">
        <f>HYPERLINK("https://github.com/processing/processing-android/issues/469","show")</f>
        <v>show</v>
      </c>
      <c r="E10203" t="str">
        <f>HYPERLINK("https://github.com/processing/processing-android","show")</f>
        <v>show</v>
      </c>
      <c r="F10203" t="str">
        <f>HYPERLINK("https://github.com/processing/processing-android/releases","show")</f>
        <v>show</v>
      </c>
    </row>
    <row r="10204" spans="1:6">
      <c r="A10204" t="s">
        <v>30316</v>
      </c>
      <c r="B10204" t="s">
        <v>30317</v>
      </c>
      <c r="C10204" t="s">
        <v>30318</v>
      </c>
      <c r="D10204" t="str">
        <f>HYPERLINK("https://github.com/commons-app/apps-android-commons/issues/1660","show")</f>
        <v>show</v>
      </c>
      <c r="E10204" t="str">
        <f>HYPERLINK("https://github.com/commons-app/apps-android-commons","show")</f>
        <v>show</v>
      </c>
      <c r="F10204" t="str">
        <f>HYPERLINK("https://github.com/commons-app/apps-android-commons/releases","show")</f>
        <v>show</v>
      </c>
    </row>
    <row r="10205" spans="1:6">
      <c r="A10205" t="s">
        <v>30319</v>
      </c>
      <c r="B10205" t="s">
        <v>30320</v>
      </c>
      <c r="C10205" t="s">
        <v>30321</v>
      </c>
      <c r="D10205" t="str">
        <f>HYPERLINK("https://github.com/kontalk/androidclient/issues/1186","show")</f>
        <v>show</v>
      </c>
      <c r="E10205" t="str">
        <f>HYPERLINK("https://github.com/kontalk/androidclient","show")</f>
        <v>show</v>
      </c>
      <c r="F10205" t="str">
        <f>HYPERLINK("https://github.com/kontalk/androidclient/releases","show")</f>
        <v>show</v>
      </c>
    </row>
    <row r="10206" spans="1:6">
      <c r="A10206" t="s">
        <v>30322</v>
      </c>
      <c r="B10206" t="s">
        <v>30323</v>
      </c>
      <c r="C10206" t="s">
        <v>30324</v>
      </c>
      <c r="D10206" t="str">
        <f>HYPERLINK("https://github.com/nextcloud/android/issues/2756","show")</f>
        <v>show</v>
      </c>
      <c r="E10206" t="str">
        <f>HYPERLINK("https://github.com/nextcloud/android","show")</f>
        <v>show</v>
      </c>
      <c r="F10206" t="str">
        <f>HYPERLINK("https://github.com/nextcloud/android/releases","show")</f>
        <v>show</v>
      </c>
    </row>
    <row r="10207" spans="1:6">
      <c r="A10207" t="s">
        <v>30325</v>
      </c>
      <c r="B10207" t="s">
        <v>30326</v>
      </c>
      <c r="C10207" t="s">
        <v>30327</v>
      </c>
      <c r="D10207" t="str">
        <f>HYPERLINK("https://github.com/mit-cml/appinventor-sources/issues/1288","show")</f>
        <v>show</v>
      </c>
      <c r="E10207" t="str">
        <f>HYPERLINK("https://github.com/mit-cml/appinventor-sources","show")</f>
        <v>show</v>
      </c>
      <c r="F10207" t="str">
        <f>HYPERLINK("https://github.com/mit-cml/appinventor-sources/releases","show")</f>
        <v>show</v>
      </c>
    </row>
    <row r="10208" spans="1:6">
      <c r="A10208" t="s">
        <v>30328</v>
      </c>
      <c r="B10208" t="s">
        <v>30329</v>
      </c>
      <c r="C10208" t="s">
        <v>30330</v>
      </c>
      <c r="D10208" t="str">
        <f>HYPERLINK("https://github.com/zom/Zom-Android-XMPP/issues/492","show")</f>
        <v>show</v>
      </c>
      <c r="E10208" t="str">
        <f>HYPERLINK("https://github.com/zom/Zom-Android-XMPP","show")</f>
        <v>show</v>
      </c>
      <c r="F10208" t="str">
        <f>HYPERLINK("https://github.com/zom/Zom-Android-XMPP/releases","show")</f>
        <v>show</v>
      </c>
    </row>
    <row r="10209" spans="1:6">
      <c r="A10209" t="s">
        <v>30331</v>
      </c>
      <c r="B10209" t="s">
        <v>30332</v>
      </c>
      <c r="C10209" t="s">
        <v>30333</v>
      </c>
      <c r="D10209" t="str">
        <f>HYPERLINK("https://github.com/Haptic-Apps/Slide/issues/2808","show")</f>
        <v>show</v>
      </c>
      <c r="E10209" t="str">
        <f>HYPERLINK("https://github.com/Haptic-Apps/Slide","show")</f>
        <v>show</v>
      </c>
      <c r="F10209" t="str">
        <f>HYPERLINK("https://github.com/Haptic-Apps/Slide/releases","show")</f>
        <v>show</v>
      </c>
    </row>
    <row r="10210" spans="1:6">
      <c r="A10210" t="s">
        <v>30334</v>
      </c>
      <c r="B10210" t="s">
        <v>30335</v>
      </c>
      <c r="C10210" t="s">
        <v>30336</v>
      </c>
      <c r="D10210" t="str">
        <f>HYPERLINK("https://github.com/datastreamsio/moby-tracking-sdk/issues/3","show")</f>
        <v>show</v>
      </c>
      <c r="E10210" t="str">
        <f>HYPERLINK("https://github.com/datastreamsio/moby-tracking-sdk","show")</f>
        <v>show</v>
      </c>
      <c r="F10210" t="str">
        <f>HYPERLINK("https://github.com/datastreamsio/moby-tracking-sdk/releases","show")</f>
        <v>show</v>
      </c>
    </row>
    <row r="10211" spans="1:6">
      <c r="A10211" t="s">
        <v>30337</v>
      </c>
      <c r="B10211" t="s">
        <v>30338</v>
      </c>
      <c r="C10211" t="s">
        <v>30339</v>
      </c>
      <c r="D10211" t="str">
        <f>HYPERLINK("https://github.com/commons-app/apps-android-commons/issues/1653","show")</f>
        <v>show</v>
      </c>
      <c r="E10211" t="str">
        <f>HYPERLINK("https://github.com/commons-app/apps-android-commons","show")</f>
        <v>show</v>
      </c>
      <c r="F10211" t="str">
        <f>HYPERLINK("https://github.com/commons-app/apps-android-commons/releases","show")</f>
        <v>show</v>
      </c>
    </row>
    <row r="10212" spans="1:6">
      <c r="A10212" t="s">
        <v>30340</v>
      </c>
      <c r="B10212" t="s">
        <v>30341</v>
      </c>
      <c r="C10212" t="s">
        <v>30342</v>
      </c>
      <c r="D10212" t="str">
        <f>HYPERLINK("https://github.com/OneBusAway/onebusaway-android/issues/893","show")</f>
        <v>show</v>
      </c>
      <c r="E10212" t="str">
        <f>HYPERLINK("https://github.com/OneBusAway/onebusaway-android","show")</f>
        <v>show</v>
      </c>
      <c r="F10212" t="str">
        <f>HYPERLINK("https://github.com/OneBusAway/onebusaway-android/releases","show")</f>
        <v>show</v>
      </c>
    </row>
    <row r="10213" spans="1:6">
      <c r="A10213" t="s">
        <v>30343</v>
      </c>
      <c r="B10213" t="s">
        <v>30344</v>
      </c>
      <c r="C10213" t="s">
        <v>30345</v>
      </c>
      <c r="D10213" t="str">
        <f>HYPERLINK("https://github.com/microsoft/EmbeddedSocial-Android-SDK/issues/94","show")</f>
        <v>show</v>
      </c>
      <c r="E10213" t="str">
        <f>HYPERLINK("https://github.com/microsoft/EmbeddedSocial-Android-SDK","show")</f>
        <v>show</v>
      </c>
      <c r="F10213" t="str">
        <f>HYPERLINK("https://github.com/microsoft/EmbeddedSocial-Android-SDK/releases","show")</f>
        <v>show</v>
      </c>
    </row>
    <row r="10214" spans="1:6">
      <c r="A10214" t="s">
        <v>30346</v>
      </c>
      <c r="B10214" t="s">
        <v>30347</v>
      </c>
      <c r="C10214" t="s">
        <v>30348</v>
      </c>
      <c r="D10214" t="str">
        <f>HYPERLINK("https://github.com/commons-app/apps-android-commons/issues/1648","show")</f>
        <v>show</v>
      </c>
      <c r="E10214" t="str">
        <f>HYPERLINK("https://github.com/commons-app/apps-android-commons","show")</f>
        <v>show</v>
      </c>
      <c r="F10214" t="str">
        <f>HYPERLINK("https://github.com/commons-app/apps-android-commons/releases","show")</f>
        <v>show</v>
      </c>
    </row>
    <row r="10215" spans="1:6">
      <c r="A10215" t="s">
        <v>30349</v>
      </c>
      <c r="B10215" t="s">
        <v>30350</v>
      </c>
      <c r="C10215" t="s">
        <v>30351</v>
      </c>
      <c r="D10215" t="str">
        <f>HYPERLINK("https://github.com/innoveit/react-native-ble-manager/issues/343","show")</f>
        <v>show</v>
      </c>
      <c r="E10215" t="str">
        <f>HYPERLINK("https://github.com/innoveit/react-native-ble-manager","show")</f>
        <v>show</v>
      </c>
      <c r="F10215" t="str">
        <f>HYPERLINK("https://github.com/innoveit/react-native-ble-manager/releases","show")</f>
        <v>show</v>
      </c>
    </row>
    <row r="10216" spans="1:6">
      <c r="A10216" t="s">
        <v>30352</v>
      </c>
      <c r="B10216" t="s">
        <v>30353</v>
      </c>
      <c r="C10216" t="s">
        <v>30354</v>
      </c>
      <c r="D10216" t="str">
        <f>HYPERLINK("https://github.com/Tinkoff/ScrollingPagerIndicator/issues/10","show")</f>
        <v>show</v>
      </c>
      <c r="E10216" t="str">
        <f>HYPERLINK("https://github.com/Tinkoff/ScrollingPagerIndicator","show")</f>
        <v>show</v>
      </c>
      <c r="F10216" t="str">
        <f>HYPERLINK("https://github.com/Tinkoff/ScrollingPagerIndicator/releases","show")</f>
        <v>show</v>
      </c>
    </row>
    <row r="10217" spans="1:6">
      <c r="A10217" t="s">
        <v>30355</v>
      </c>
      <c r="B10217" t="s">
        <v>30356</v>
      </c>
      <c r="C10217" t="s">
        <v>30357</v>
      </c>
      <c r="D10217" t="str">
        <f>HYPERLINK("https://github.com/neXenio/BLE-Indoor-Positioning/issues/94","show")</f>
        <v>show</v>
      </c>
      <c r="E10217" t="str">
        <f>HYPERLINK("https://github.com/neXenio/BLE-Indoor-Positioning","show")</f>
        <v>show</v>
      </c>
      <c r="F10217" t="str">
        <f>HYPERLINK("https://github.com/neXenio/BLE-Indoor-Positioning/releases","show")</f>
        <v>show</v>
      </c>
    </row>
    <row r="10218" spans="1:6">
      <c r="A10218" t="s">
        <v>30358</v>
      </c>
      <c r="B10218" t="s">
        <v>30359</v>
      </c>
      <c r="C10218" t="s">
        <v>30360</v>
      </c>
      <c r="D10218" t="str">
        <f>HYPERLINK("https://github.com/google/ExoPlayer/issues/4396","show")</f>
        <v>show</v>
      </c>
      <c r="E10218" t="str">
        <f>HYPERLINK("https://github.com/google/ExoPlayer","show")</f>
        <v>show</v>
      </c>
      <c r="F10218" t="str">
        <f>HYPERLINK("https://github.com/google/ExoPlayer/releases","show")</f>
        <v>show</v>
      </c>
    </row>
    <row r="10219" spans="1:6">
      <c r="A10219" t="s">
        <v>30361</v>
      </c>
      <c r="B10219" t="s">
        <v>30362</v>
      </c>
      <c r="C10219" t="s">
        <v>30363</v>
      </c>
      <c r="D10219" t="str">
        <f>HYPERLINK("https://github.com/abrenoch/hyperion-android-grabber/issues/53","show")</f>
        <v>show</v>
      </c>
      <c r="E10219" t="str">
        <f>HYPERLINK("https://github.com/abrenoch/hyperion-android-grabber","show")</f>
        <v>show</v>
      </c>
      <c r="F10219" t="str">
        <f>HYPERLINK("https://github.com/abrenoch/hyperion-android-grabber/releases","show")</f>
        <v>show</v>
      </c>
    </row>
    <row r="10220" spans="1:6">
      <c r="A10220" t="s">
        <v>30364</v>
      </c>
      <c r="B10220" t="s">
        <v>30365</v>
      </c>
      <c r="C10220" t="s">
        <v>30366</v>
      </c>
      <c r="D10220" t="str">
        <f>HYPERLINK("https://github.com/lgallard/qBittorrent-Controller/issues/164","show")</f>
        <v>show</v>
      </c>
      <c r="E10220" t="str">
        <f>HYPERLINK("https://github.com/lgallard/qBittorrent-Controller","show")</f>
        <v>show</v>
      </c>
      <c r="F10220" t="str">
        <f>HYPERLINK("https://github.com/lgallard/qBittorrent-Controller/releases","show")</f>
        <v>show</v>
      </c>
    </row>
    <row r="10221" spans="1:6">
      <c r="A10221" t="s">
        <v>30367</v>
      </c>
      <c r="B10221" t="s">
        <v>30368</v>
      </c>
      <c r="C10221" t="s">
        <v>30369</v>
      </c>
      <c r="D10221" t="str">
        <f>HYPERLINK("https://github.com/react-native-camera/react-native-camera/issues/1646","show")</f>
        <v>show</v>
      </c>
      <c r="E10221" t="str">
        <f>HYPERLINK("https://github.com/react-native-camera/react-native-camera","show")</f>
        <v>show</v>
      </c>
      <c r="F10221" t="str">
        <f>HYPERLINK("https://github.com/react-native-camera/react-native-camera/releases","show")</f>
        <v>show</v>
      </c>
    </row>
    <row r="10222" spans="1:6">
      <c r="A10222" t="s">
        <v>30370</v>
      </c>
      <c r="B10222" t="s">
        <v>30371</v>
      </c>
      <c r="C10222" t="s">
        <v>30372</v>
      </c>
      <c r="D10222" t="str">
        <f>HYPERLINK("https://github.com/commons-app/apps-android-commons/issues/1635","show")</f>
        <v>show</v>
      </c>
      <c r="E10222" t="str">
        <f>HYPERLINK("https://github.com/commons-app/apps-android-commons","show")</f>
        <v>show</v>
      </c>
      <c r="F10222" t="str">
        <f>HYPERLINK("https://github.com/commons-app/apps-android-commons/releases","show")</f>
        <v>show</v>
      </c>
    </row>
    <row r="10223" spans="1:6">
      <c r="A10223" t="s">
        <v>30373</v>
      </c>
      <c r="B10223" t="s">
        <v>30374</v>
      </c>
      <c r="C10223" t="s">
        <v>30375</v>
      </c>
      <c r="D10223" t="str">
        <f>HYPERLINK("https://github.com/firebirdberlin/nightdream/issues/145","show")</f>
        <v>show</v>
      </c>
      <c r="E10223" t="str">
        <f>HYPERLINK("https://github.com/firebirdberlin/nightdream","show")</f>
        <v>show</v>
      </c>
      <c r="F10223" t="str">
        <f>HYPERLINK("https://github.com/firebirdberlin/nightdream/releases","show")</f>
        <v>show</v>
      </c>
    </row>
    <row r="10224" spans="1:6">
      <c r="A10224" t="s">
        <v>30376</v>
      </c>
      <c r="B10224" t="s">
        <v>30377</v>
      </c>
      <c r="C10224" t="s">
        <v>30378</v>
      </c>
      <c r="D10224" t="str">
        <f>HYPERLINK("https://github.com/sted19/Swipe-Up/issues/3","show")</f>
        <v>show</v>
      </c>
      <c r="E10224" t="str">
        <f>HYPERLINK("https://github.com/sted19/Swipe-Up","show")</f>
        <v>show</v>
      </c>
      <c r="F10224" t="str">
        <f>HYPERLINK("https://github.com/sted19/Swipe-Up/releases","show")</f>
        <v>show</v>
      </c>
    </row>
    <row r="10225" spans="1:6">
      <c r="A10225" t="s">
        <v>30379</v>
      </c>
      <c r="B10225" t="s">
        <v>30380</v>
      </c>
      <c r="C10225" t="s">
        <v>30381</v>
      </c>
      <c r="D10225" t="str">
        <f>HYPERLINK("https://github.com/fossasia/pslab-android/issues/1059","show")</f>
        <v>show</v>
      </c>
      <c r="E10225" t="str">
        <f>HYPERLINK("https://github.com/fossasia/pslab-android","show")</f>
        <v>show</v>
      </c>
      <c r="F10225" t="str">
        <f>HYPERLINK("https://github.com/fossasia/pslab-android/releases","show")</f>
        <v>show</v>
      </c>
    </row>
    <row r="10226" spans="1:6">
      <c r="A10226" t="s">
        <v>30382</v>
      </c>
      <c r="B10226" t="s">
        <v>28197</v>
      </c>
      <c r="C10226" t="s">
        <v>30383</v>
      </c>
      <c r="D10226" t="str">
        <f>HYPERLINK("https://github.com/particle-iot/spark-sdk-android/issues/50","show")</f>
        <v>show</v>
      </c>
      <c r="E10226" t="str">
        <f>HYPERLINK("https://github.com/particle-iot/spark-sdk-android","show")</f>
        <v>show</v>
      </c>
      <c r="F10226" t="str">
        <f>HYPERLINK("https://github.com/particle-iot/spark-sdk-android/releases","show")</f>
        <v>show</v>
      </c>
    </row>
    <row r="10227" spans="1:6">
      <c r="A10227" t="s">
        <v>30384</v>
      </c>
      <c r="B10227" t="s">
        <v>30385</v>
      </c>
      <c r="C10227" t="s">
        <v>30386</v>
      </c>
      <c r="D10227" t="str">
        <f>HYPERLINK("https://github.com/kollerlukas/Camera-Roll-Android-App/issues/204","show")</f>
        <v>show</v>
      </c>
      <c r="E10227" t="str">
        <f>HYPERLINK("https://github.com/kollerlukas/Camera-Roll-Android-App","show")</f>
        <v>show</v>
      </c>
      <c r="F10227" t="str">
        <f>HYPERLINK("https://github.com/kollerlukas/Camera-Roll-Android-App/releases","show")</f>
        <v>show</v>
      </c>
    </row>
    <row r="10228" spans="1:6">
      <c r="A10228" t="s">
        <v>30387</v>
      </c>
      <c r="B10228" t="s">
        <v>30388</v>
      </c>
      <c r="C10228" t="s">
        <v>30389</v>
      </c>
      <c r="D10228" t="str">
        <f>HYPERLINK("https://github.com/hzi-braunschweig/SORMAS-Project/issues/638","show")</f>
        <v>show</v>
      </c>
      <c r="E10228" t="str">
        <f>HYPERLINK("https://github.com/hzi-braunschweig/SORMAS-Project","show")</f>
        <v>show</v>
      </c>
      <c r="F10228" t="str">
        <f>HYPERLINK("https://github.com/hzi-braunschweig/SORMAS-Project/releases","show")</f>
        <v>show</v>
      </c>
    </row>
    <row r="10229" spans="1:6">
      <c r="A10229" t="s">
        <v>30390</v>
      </c>
      <c r="B10229" t="s">
        <v>30391</v>
      </c>
      <c r="C10229" t="s">
        <v>30392</v>
      </c>
      <c r="D10229" t="str">
        <f>HYPERLINK("https://github.com/dariuszseweryn/RxAndroidBle/issues/443","show")</f>
        <v>show</v>
      </c>
      <c r="E10229" t="str">
        <f>HYPERLINK("https://github.com/dariuszseweryn/RxAndroidBle","show")</f>
        <v>show</v>
      </c>
      <c r="F10229" t="str">
        <f>HYPERLINK("https://github.com/dariuszseweryn/RxAndroidBle/releases","show")</f>
        <v>show</v>
      </c>
    </row>
    <row r="10230" spans="1:6">
      <c r="A10230" t="s">
        <v>30393</v>
      </c>
      <c r="B10230" t="s">
        <v>30394</v>
      </c>
      <c r="C10230" t="s">
        <v>30395</v>
      </c>
      <c r="D10230" t="str">
        <f>HYPERLINK("https://github.com/cristinaochner/CalculProject/issues/5","show")</f>
        <v>show</v>
      </c>
      <c r="E10230" t="str">
        <f>HYPERLINK("https://github.com/cristinaochner/CalculProject","show")</f>
        <v>show</v>
      </c>
      <c r="F10230" t="str">
        <f>HYPERLINK("https://github.com/cristinaochner/CalculProject/releases","show")</f>
        <v>show</v>
      </c>
    </row>
    <row r="10231" spans="1:6">
      <c r="A10231" t="s">
        <v>30396</v>
      </c>
      <c r="B10231" t="s">
        <v>30397</v>
      </c>
      <c r="C10231" t="s">
        <v>30398</v>
      </c>
      <c r="D10231" t="str">
        <f>HYPERLINK("https://github.com/consp1racy/android-support-preference/issues/110","show")</f>
        <v>show</v>
      </c>
      <c r="E10231" t="str">
        <f>HYPERLINK("https://github.com/consp1racy/android-support-preference","show")</f>
        <v>show</v>
      </c>
      <c r="F10231" t="str">
        <f>HYPERLINK("https://github.com/consp1racy/android-support-preference/releases","show")</f>
        <v>show</v>
      </c>
    </row>
    <row r="10232" spans="1:6">
      <c r="A10232" t="s">
        <v>30399</v>
      </c>
      <c r="B10232" t="s">
        <v>30400</v>
      </c>
      <c r="C10232" t="s">
        <v>30401</v>
      </c>
      <c r="D10232" t="str">
        <f>HYPERLINK("https://github.com/iamMehedi/Secured-Preference-Store/issues/31","show")</f>
        <v>show</v>
      </c>
      <c r="E10232" t="str">
        <f>HYPERLINK("https://github.com/iamMehedi/Secured-Preference-Store","show")</f>
        <v>show</v>
      </c>
      <c r="F10232" t="str">
        <f>HYPERLINK("https://github.com/iamMehedi/Secured-Preference-Store/releases","show")</f>
        <v>show</v>
      </c>
    </row>
    <row r="10233" spans="1:6">
      <c r="A10233" t="s">
        <v>30402</v>
      </c>
      <c r="B10233" t="s">
        <v>30403</v>
      </c>
      <c r="C10233" t="s">
        <v>30404</v>
      </c>
      <c r="D10233" t="str">
        <f>HYPERLINK("https://github.com/forcedotcom/SalesforceMobileSDK-CordovaPlugin/issues/407","show")</f>
        <v>show</v>
      </c>
      <c r="E10233" t="str">
        <f>HYPERLINK("https://github.com/forcedotcom/SalesforceMobileSDK-CordovaPlugin","show")</f>
        <v>show</v>
      </c>
      <c r="F10233" t="str">
        <f>HYPERLINK("https://github.com/forcedotcom/SalesforceMobileSDK-CordovaPlugin/releases","show")</f>
        <v>show</v>
      </c>
    </row>
    <row r="10234" spans="1:6">
      <c r="A10234" t="s">
        <v>30405</v>
      </c>
      <c r="B10234" t="s">
        <v>30406</v>
      </c>
      <c r="C10234" t="s">
        <v>30407</v>
      </c>
      <c r="D10234" t="str">
        <f>HYPERLINK("https://github.com/TeamNewPipe/NewPipe/issues/1477","show")</f>
        <v>show</v>
      </c>
      <c r="E10234" t="str">
        <f>HYPERLINK("https://github.com/TeamNewPipe/NewPipe","show")</f>
        <v>show</v>
      </c>
      <c r="F10234" t="str">
        <f>HYPERLINK("https://github.com/TeamNewPipe/NewPipe/releases","show")</f>
        <v>show</v>
      </c>
    </row>
    <row r="10235" spans="1:6">
      <c r="A10235" t="s">
        <v>30408</v>
      </c>
      <c r="B10235" t="s">
        <v>30409</v>
      </c>
      <c r="C10235" t="s">
        <v>30410</v>
      </c>
      <c r="D10235" t="str">
        <f>HYPERLINK("https://github.com/fossasia/pslab-android/issues/1022","show")</f>
        <v>show</v>
      </c>
      <c r="E10235" t="str">
        <f>HYPERLINK("https://github.com/fossasia/pslab-android","show")</f>
        <v>show</v>
      </c>
      <c r="F10235" t="str">
        <f>HYPERLINK("https://github.com/fossasia/pslab-android/releases","show")</f>
        <v>show</v>
      </c>
    </row>
    <row r="10236" spans="1:6">
      <c r="A10236" t="s">
        <v>30411</v>
      </c>
      <c r="B10236" t="s">
        <v>30412</v>
      </c>
      <c r="C10236" t="s">
        <v>30413</v>
      </c>
      <c r="D10236" t="str">
        <f>HYPERLINK("https://github.com/syncthing/syncthing-android/issues/1133","show")</f>
        <v>show</v>
      </c>
      <c r="E10236" t="str">
        <f>HYPERLINK("https://github.com/syncthing/syncthing-android","show")</f>
        <v>show</v>
      </c>
      <c r="F10236" t="str">
        <f>HYPERLINK("https://github.com/syncthing/syncthing-android/releases","show")</f>
        <v>show</v>
      </c>
    </row>
    <row r="10237" spans="1:6">
      <c r="A10237" t="s">
        <v>30414</v>
      </c>
      <c r="B10237" t="s">
        <v>30415</v>
      </c>
      <c r="C10237" t="s">
        <v>30416</v>
      </c>
      <c r="D10237" t="str">
        <f>HYPERLINK("https://github.com/novoda/download-manager/issues/398","show")</f>
        <v>show</v>
      </c>
      <c r="E10237" t="str">
        <f>HYPERLINK("https://github.com/novoda/download-manager","show")</f>
        <v>show</v>
      </c>
      <c r="F10237" t="str">
        <f>HYPERLINK("https://github.com/novoda/download-manager/releases","show")</f>
        <v>show</v>
      </c>
    </row>
    <row r="10238" spans="1:6">
      <c r="A10238" t="s">
        <v>30417</v>
      </c>
      <c r="B10238" t="s">
        <v>30418</v>
      </c>
      <c r="C10238" t="s">
        <v>30419</v>
      </c>
      <c r="D10238" t="str">
        <f>HYPERLINK("https://github.com/nextcloud/android/issues/2702","show")</f>
        <v>show</v>
      </c>
      <c r="E10238" t="str">
        <f>HYPERLINK("https://github.com/nextcloud/android","show")</f>
        <v>show</v>
      </c>
      <c r="F10238" t="str">
        <f>HYPERLINK("https://github.com/nextcloud/android/releases","show")</f>
        <v>show</v>
      </c>
    </row>
    <row r="10239" spans="1:6">
      <c r="A10239" t="s">
        <v>30420</v>
      </c>
      <c r="B10239" t="s">
        <v>30421</v>
      </c>
      <c r="C10239" t="s">
        <v>30422</v>
      </c>
      <c r="D10239" t="str">
        <f>HYPERLINK("https://github.com/yayaa/LocationManager/issues/84","show")</f>
        <v>show</v>
      </c>
      <c r="E10239" t="str">
        <f>HYPERLINK("https://github.com/yayaa/LocationManager","show")</f>
        <v>show</v>
      </c>
      <c r="F10239" t="str">
        <f>HYPERLINK("https://github.com/yayaa/LocationManager/releases","show")</f>
        <v>show</v>
      </c>
    </row>
    <row r="10240" spans="1:6">
      <c r="A10240" t="s">
        <v>30423</v>
      </c>
      <c r="B10240" t="s">
        <v>30424</v>
      </c>
      <c r="C10240" t="s">
        <v>30425</v>
      </c>
      <c r="D10240" t="str">
        <f>HYPERLINK("https://github.com/inaturalist/iNaturalistAndroid/issues/531","show")</f>
        <v>show</v>
      </c>
      <c r="E10240" t="str">
        <f>HYPERLINK("https://github.com/inaturalist/iNaturalistAndroid","show")</f>
        <v>show</v>
      </c>
      <c r="F10240" t="str">
        <f>HYPERLINK("https://github.com/inaturalist/iNaturalistAndroid/releases","show")</f>
        <v>show</v>
      </c>
    </row>
    <row r="10241" spans="1:6">
      <c r="A10241" t="s">
        <v>30426</v>
      </c>
      <c r="B10241" t="s">
        <v>30427</v>
      </c>
      <c r="C10241" t="s">
        <v>30428</v>
      </c>
      <c r="D10241" t="str">
        <f>HYPERLINK("https://github.com/neXenio/BLE-Indoor-Positioning/issues/86","show")</f>
        <v>show</v>
      </c>
      <c r="E10241" t="str">
        <f>HYPERLINK("https://github.com/neXenio/BLE-Indoor-Positioning","show")</f>
        <v>show</v>
      </c>
      <c r="F10241" t="str">
        <f>HYPERLINK("https://github.com/neXenio/BLE-Indoor-Positioning/releases","show")</f>
        <v>show</v>
      </c>
    </row>
    <row r="10242" spans="1:6">
      <c r="A10242" t="s">
        <v>30429</v>
      </c>
      <c r="B10242" t="s">
        <v>30430</v>
      </c>
      <c r="C10242" t="s">
        <v>30431</v>
      </c>
      <c r="D10242" t="str">
        <f>HYPERLINK("https://github.com/lfuelling/lrkFM/issues/24","show")</f>
        <v>show</v>
      </c>
      <c r="E10242" t="str">
        <f>HYPERLINK("https://github.com/lfuelling/lrkFM","show")</f>
        <v>show</v>
      </c>
      <c r="F10242" t="str">
        <f>HYPERLINK("https://github.com/lfuelling/lrkFM/releases","show")</f>
        <v>show</v>
      </c>
    </row>
    <row r="10243" spans="1:6">
      <c r="A10243" t="s">
        <v>30432</v>
      </c>
      <c r="B10243" t="s">
        <v>30433</v>
      </c>
      <c r="C10243" t="s">
        <v>30434</v>
      </c>
      <c r="D10243" t="str">
        <f>HYPERLINK("https://github.com/fossasia/pslab-android/issues/1011","show")</f>
        <v>show</v>
      </c>
      <c r="E10243" t="str">
        <f>HYPERLINK("https://github.com/fossasia/pslab-android","show")</f>
        <v>show</v>
      </c>
      <c r="F10243" t="str">
        <f>HYPERLINK("https://github.com/fossasia/pslab-android/releases","show")</f>
        <v>show</v>
      </c>
    </row>
    <row r="10244" spans="1:6">
      <c r="A10244" t="s">
        <v>30435</v>
      </c>
      <c r="B10244" t="s">
        <v>11353</v>
      </c>
      <c r="C10244" t="s">
        <v>30436</v>
      </c>
      <c r="D10244" t="str">
        <f>HYPERLINK("https://github.com/tranleduy2000/javaide/issues/88","show")</f>
        <v>show</v>
      </c>
      <c r="E10244" t="str">
        <f>HYPERLINK("https://github.com/tranleduy2000/javaide","show")</f>
        <v>show</v>
      </c>
      <c r="F10244" t="str">
        <f>HYPERLINK("https://github.com/tranleduy2000/javaide/releases","show")</f>
        <v>show</v>
      </c>
    </row>
    <row r="10245" spans="1:6">
      <c r="A10245" t="s">
        <v>30437</v>
      </c>
      <c r="B10245" t="s">
        <v>30438</v>
      </c>
      <c r="C10245" t="s">
        <v>30439</v>
      </c>
      <c r="D10245" t="str">
        <f>HYPERLINK("https://github.com/niclabs/adkintunmobile-androidclient/issues/194","show")</f>
        <v>show</v>
      </c>
      <c r="E10245" t="str">
        <f>HYPERLINK("https://github.com/niclabs/adkintunmobile-androidclient","show")</f>
        <v>show</v>
      </c>
      <c r="F10245" t="str">
        <f>HYPERLINK("https://github.com/niclabs/adkintunmobile-androidclient/releases","show")</f>
        <v>show</v>
      </c>
    </row>
    <row r="10246" spans="1:6">
      <c r="A10246" t="s">
        <v>30440</v>
      </c>
      <c r="B10246" t="s">
        <v>30441</v>
      </c>
      <c r="C10246" t="s">
        <v>30442</v>
      </c>
      <c r="D10246" t="str">
        <f>HYPERLINK("https://github.com/TeamNewPipe/NewPipe/issues/1467","show")</f>
        <v>show</v>
      </c>
      <c r="E10246" t="str">
        <f>HYPERLINK("https://github.com/TeamNewPipe/NewPipe","show")</f>
        <v>show</v>
      </c>
      <c r="F10246" t="str">
        <f>HYPERLINK("https://github.com/TeamNewPipe/NewPipe/releases","show")</f>
        <v>show</v>
      </c>
    </row>
    <row r="10247" spans="1:6">
      <c r="A10247" t="s">
        <v>30443</v>
      </c>
      <c r="B10247" t="s">
        <v>30444</v>
      </c>
      <c r="C10247" t="s">
        <v>30445</v>
      </c>
      <c r="D10247" t="str">
        <f>HYPERLINK("https://github.com/burhanrashid52/PhotoEditor/issues/48","show")</f>
        <v>show</v>
      </c>
      <c r="E10247" t="str">
        <f>HYPERLINK("https://github.com/burhanrashid52/PhotoEditor","show")</f>
        <v>show</v>
      </c>
      <c r="F10247" t="str">
        <f>HYPERLINK("https://github.com/burhanrashid52/PhotoEditor/releases","show")</f>
        <v>show</v>
      </c>
    </row>
    <row r="10248" spans="1:6">
      <c r="A10248" t="s">
        <v>30446</v>
      </c>
      <c r="B10248" t="s">
        <v>30447</v>
      </c>
      <c r="C10248" t="s">
        <v>30448</v>
      </c>
      <c r="D10248" t="str">
        <f>HYPERLINK("https://github.com/nextcloud/android/issues/2695","show")</f>
        <v>show</v>
      </c>
      <c r="E10248" t="str">
        <f>HYPERLINK("https://github.com/nextcloud/android","show")</f>
        <v>show</v>
      </c>
      <c r="F10248" t="str">
        <f>HYPERLINK("https://github.com/nextcloud/android/releases","show")</f>
        <v>show</v>
      </c>
    </row>
    <row r="10249" spans="1:6">
      <c r="A10249" t="s">
        <v>30449</v>
      </c>
      <c r="B10249" t="s">
        <v>30450</v>
      </c>
      <c r="C10249" t="s">
        <v>30451</v>
      </c>
      <c r="D10249" t="str">
        <f>HYPERLINK("https://github.com/commons-app/apps-android-commons/issues/1600","show")</f>
        <v>show</v>
      </c>
      <c r="E10249" t="str">
        <f>HYPERLINK("https://github.com/commons-app/apps-android-commons","show")</f>
        <v>show</v>
      </c>
      <c r="F10249" t="str">
        <f>HYPERLINK("https://github.com/commons-app/apps-android-commons/releases","show")</f>
        <v>show</v>
      </c>
    </row>
    <row r="10250" spans="1:6">
      <c r="A10250" t="s">
        <v>30452</v>
      </c>
      <c r="B10250" t="s">
        <v>30453</v>
      </c>
      <c r="C10250" t="s">
        <v>30454</v>
      </c>
      <c r="D10250" t="str">
        <f>HYPERLINK("https://github.com/react-native-camera/react-native-camera/issues/1617","show")</f>
        <v>show</v>
      </c>
      <c r="E10250" t="str">
        <f>HYPERLINK("https://github.com/react-native-camera/react-native-camera","show")</f>
        <v>show</v>
      </c>
      <c r="F10250" t="str">
        <f>HYPERLINK("https://github.com/react-native-camera/react-native-camera/releases","show")</f>
        <v>show</v>
      </c>
    </row>
    <row r="10251" spans="1:6">
      <c r="A10251" t="s">
        <v>30455</v>
      </c>
      <c r="B10251" t="s">
        <v>30456</v>
      </c>
      <c r="C10251" t="s">
        <v>30457</v>
      </c>
      <c r="D10251" t="str">
        <f>HYPERLINK("https://github.com/Pulimet/ExoPlayer-Wrapper/issues/2","show")</f>
        <v>show</v>
      </c>
      <c r="E10251" t="str">
        <f>HYPERLINK("https://github.com/Pulimet/ExoPlayer-Wrapper","show")</f>
        <v>show</v>
      </c>
      <c r="F10251" t="str">
        <f>HYPERLINK("https://github.com/Pulimet/ExoPlayer-Wrapper/releases","show")</f>
        <v>show</v>
      </c>
    </row>
    <row r="10252" spans="1:6">
      <c r="A10252" t="s">
        <v>30458</v>
      </c>
      <c r="B10252" t="s">
        <v>30459</v>
      </c>
      <c r="C10252" t="s">
        <v>30460</v>
      </c>
      <c r="D10252" t="str">
        <f>HYPERLINK("https://github.com/k9mail/k-9/issues/3431","show")</f>
        <v>show</v>
      </c>
      <c r="E10252" t="str">
        <f>HYPERLINK("https://github.com/k9mail/k-9","show")</f>
        <v>show</v>
      </c>
      <c r="F10252" t="str">
        <f>HYPERLINK("https://github.com/k9mail/k-9/releases","show")</f>
        <v>show</v>
      </c>
    </row>
    <row r="10253" spans="1:6">
      <c r="A10253" t="s">
        <v>30461</v>
      </c>
      <c r="B10253" t="s">
        <v>30462</v>
      </c>
      <c r="C10253" t="s">
        <v>30463</v>
      </c>
      <c r="D10253" t="str">
        <f>HYPERLINK("https://github.com/react-native-camera/react-native-camera/issues/1613","show")</f>
        <v>show</v>
      </c>
      <c r="E10253" t="str">
        <f>HYPERLINK("https://github.com/react-native-camera/react-native-camera","show")</f>
        <v>show</v>
      </c>
      <c r="F10253" t="str">
        <f>HYPERLINK("https://github.com/react-native-camera/react-native-camera/releases","show")</f>
        <v>show</v>
      </c>
    </row>
    <row r="10254" spans="1:6">
      <c r="A10254" t="s">
        <v>30464</v>
      </c>
      <c r="B10254" t="s">
        <v>30465</v>
      </c>
      <c r="C10254" t="s">
        <v>30466</v>
      </c>
      <c r="D10254" t="str">
        <f>HYPERLINK("https://github.com/project-travel-mate/Travel-Mate/issues/65","show")</f>
        <v>show</v>
      </c>
      <c r="E10254" t="str">
        <f>HYPERLINK("https://github.com/project-travel-mate/Travel-Mate","show")</f>
        <v>show</v>
      </c>
      <c r="F10254" t="str">
        <f>HYPERLINK("https://github.com/project-travel-mate/Travel-Mate/releases","show")</f>
        <v>show</v>
      </c>
    </row>
    <row r="10255" spans="1:6">
      <c r="A10255" t="s">
        <v>30467</v>
      </c>
      <c r="B10255" t="s">
        <v>30468</v>
      </c>
      <c r="C10255" t="s">
        <v>30469</v>
      </c>
      <c r="D10255" t="str">
        <f>HYPERLINK("https://github.com/WeAreFairphone/FP2-Launcher/issues/24","show")</f>
        <v>show</v>
      </c>
      <c r="E10255" t="str">
        <f>HYPERLINK("https://github.com/WeAreFairphone/FP2-Launcher","show")</f>
        <v>show</v>
      </c>
      <c r="F10255" t="str">
        <f>HYPERLINK("https://github.com/WeAreFairphone/FP2-Launcher/releases","show")</f>
        <v>show</v>
      </c>
    </row>
    <row r="10256" spans="1:6">
      <c r="A10256" t="s">
        <v>30470</v>
      </c>
      <c r="B10256" t="s">
        <v>30471</v>
      </c>
      <c r="C10256" t="s">
        <v>30472</v>
      </c>
      <c r="D10256" t="str">
        <f>HYPERLINK("https://github.com/UglyShirtTrio/SummerSunSet/issues/1","show")</f>
        <v>show</v>
      </c>
      <c r="E10256" t="str">
        <f>HYPERLINK("https://github.com/UglyShirtTrio/SummerSunSet","show")</f>
        <v>show</v>
      </c>
      <c r="F10256" t="str">
        <f>HYPERLINK("https://github.com/UglyShirtTrio/SummerSunSet/releases","show")</f>
        <v>show</v>
      </c>
    </row>
    <row r="10257" spans="1:6">
      <c r="A10257" t="s">
        <v>30473</v>
      </c>
      <c r="B10257" t="s">
        <v>30474</v>
      </c>
      <c r="C10257" t="s">
        <v>30475</v>
      </c>
      <c r="D10257" t="str">
        <f>HYPERLINK("https://github.com/forrestguice/SuntimesWidget/issues/212","show")</f>
        <v>show</v>
      </c>
      <c r="E10257" t="str">
        <f>HYPERLINK("https://github.com/forrestguice/SuntimesWidget","show")</f>
        <v>show</v>
      </c>
      <c r="F10257" t="str">
        <f>HYPERLINK("https://github.com/forrestguice/SuntimesWidget/releases","show")</f>
        <v>show</v>
      </c>
    </row>
    <row r="10258" spans="1:6">
      <c r="A10258" t="s">
        <v>30476</v>
      </c>
      <c r="B10258" t="s">
        <v>30477</v>
      </c>
      <c r="C10258" t="s">
        <v>30478</v>
      </c>
      <c r="D10258" t="str">
        <f>HYPERLINK("https://github.com/nextcloud/android/issues/2688","show")</f>
        <v>show</v>
      </c>
      <c r="E10258" t="str">
        <f>HYPERLINK("https://github.com/nextcloud/android","show")</f>
        <v>show</v>
      </c>
      <c r="F10258" t="str">
        <f>HYPERLINK("https://github.com/nextcloud/android/releases","show")</f>
        <v>show</v>
      </c>
    </row>
    <row r="10259" spans="1:6">
      <c r="A10259" t="s">
        <v>30479</v>
      </c>
      <c r="B10259" t="s">
        <v>30480</v>
      </c>
      <c r="C10259" t="s">
        <v>30481</v>
      </c>
      <c r="D10259" t="str">
        <f>HYPERLINK("https://github.com/getodk/collect/issues/2270","show")</f>
        <v>show</v>
      </c>
      <c r="E10259" t="str">
        <f>HYPERLINK("https://github.com/getodk/collect","show")</f>
        <v>show</v>
      </c>
      <c r="F10259" t="str">
        <f>HYPERLINK("https://github.com/getodk/collect/releases","show")</f>
        <v>show</v>
      </c>
    </row>
    <row r="10260" spans="1:6">
      <c r="A10260" t="s">
        <v>30482</v>
      </c>
      <c r="B10260" t="s">
        <v>30483</v>
      </c>
      <c r="C10260" t="s">
        <v>30484</v>
      </c>
      <c r="D10260" t="str">
        <f>HYPERLINK("https://github.com/getodk/collect/issues/2269","show")</f>
        <v>show</v>
      </c>
      <c r="E10260" t="str">
        <f>HYPERLINK("https://github.com/getodk/collect","show")</f>
        <v>show</v>
      </c>
      <c r="F10260" t="str">
        <f>HYPERLINK("https://github.com/getodk/collect/releases","show")</f>
        <v>show</v>
      </c>
    </row>
    <row r="10261" spans="1:6">
      <c r="A10261" t="s">
        <v>30485</v>
      </c>
      <c r="B10261" t="s">
        <v>30486</v>
      </c>
      <c r="C10261" t="s">
        <v>30487</v>
      </c>
      <c r="D10261" t="str">
        <f>HYPERLINK("https://github.com/getodk/collect/issues/2268","show")</f>
        <v>show</v>
      </c>
      <c r="E10261" t="str">
        <f>HYPERLINK("https://github.com/getodk/collect","show")</f>
        <v>show</v>
      </c>
      <c r="F10261" t="str">
        <f>HYPERLINK("https://github.com/getodk/collect/releases","show")</f>
        <v>show</v>
      </c>
    </row>
    <row r="10262" spans="1:6">
      <c r="A10262" t="s">
        <v>30488</v>
      </c>
      <c r="B10262" t="s">
        <v>30489</v>
      </c>
      <c r="C10262" t="s">
        <v>30490</v>
      </c>
      <c r="D10262" t="str">
        <f>HYPERLINK("https://github.com/andOTP/andOTP/issues/188","show")</f>
        <v>show</v>
      </c>
      <c r="E10262" t="str">
        <f>HYPERLINK("https://github.com/andOTP/andOTP","show")</f>
        <v>show</v>
      </c>
      <c r="F10262" t="str">
        <f>HYPERLINK("https://github.com/andOTP/andOTP/releases","show")</f>
        <v>show</v>
      </c>
    </row>
    <row r="10263" spans="1:6">
      <c r="A10263" t="s">
        <v>30491</v>
      </c>
      <c r="B10263" t="s">
        <v>30492</v>
      </c>
      <c r="C10263" t="s">
        <v>30493</v>
      </c>
      <c r="D10263" t="str">
        <f>HYPERLINK("https://github.com/seemoo-lab/fitness-app/issues/21","show")</f>
        <v>show</v>
      </c>
      <c r="E10263" t="str">
        <f>HYPERLINK("https://github.com/seemoo-lab/fitness-app","show")</f>
        <v>show</v>
      </c>
      <c r="F10263" t="str">
        <f>HYPERLINK("https://github.com/seemoo-lab/fitness-app/releases","show")</f>
        <v>show</v>
      </c>
    </row>
    <row r="10264" spans="1:6">
      <c r="A10264" t="s">
        <v>30494</v>
      </c>
      <c r="B10264" t="s">
        <v>30495</v>
      </c>
      <c r="C10264" t="s">
        <v>30496</v>
      </c>
      <c r="D10264" t="str">
        <f>HYPERLINK("https://github.com/nextcloud/android/issues/2687","show")</f>
        <v>show</v>
      </c>
      <c r="E10264" t="str">
        <f>HYPERLINK("https://github.com/nextcloud/android","show")</f>
        <v>show</v>
      </c>
      <c r="F10264" t="str">
        <f>HYPERLINK("https://github.com/nextcloud/android/releases","show")</f>
        <v>show</v>
      </c>
    </row>
    <row r="10265" spans="1:6">
      <c r="A10265" t="s">
        <v>30497</v>
      </c>
      <c r="B10265" t="s">
        <v>30498</v>
      </c>
      <c r="C10265" t="s">
        <v>30499</v>
      </c>
      <c r="D10265" t="str">
        <f>HYPERLINK("https://github.com/commons-app/apps-android-commons/issues/1589","show")</f>
        <v>show</v>
      </c>
      <c r="E10265" t="str">
        <f>HYPERLINK("https://github.com/commons-app/apps-android-commons","show")</f>
        <v>show</v>
      </c>
      <c r="F10265" t="str">
        <f>HYPERLINK("https://github.com/commons-app/apps-android-commons/releases","show")</f>
        <v>show</v>
      </c>
    </row>
    <row r="10266" spans="1:6">
      <c r="A10266" t="s">
        <v>30500</v>
      </c>
      <c r="B10266" t="s">
        <v>30501</v>
      </c>
      <c r="C10266" t="s">
        <v>30502</v>
      </c>
      <c r="D10266" t="str">
        <f>HYPERLINK("https://github.com/balthazar/react-native-zeroconf/issues/65","show")</f>
        <v>show</v>
      </c>
      <c r="E10266" t="str">
        <f>HYPERLINK("https://github.com/balthazar/react-native-zeroconf","show")</f>
        <v>show</v>
      </c>
      <c r="F10266" t="str">
        <f>HYPERLINK("https://github.com/balthazar/react-native-zeroconf/releases","show")</f>
        <v>show</v>
      </c>
    </row>
    <row r="10267" spans="1:6">
      <c r="A10267" t="s">
        <v>30503</v>
      </c>
      <c r="B10267" t="s">
        <v>30504</v>
      </c>
      <c r="C10267" t="s">
        <v>30505</v>
      </c>
      <c r="D10267" t="str">
        <f>HYPERLINK("https://github.com/geopaparazzi/geopaparazzi/issues/509","show")</f>
        <v>show</v>
      </c>
      <c r="E10267" t="str">
        <f>HYPERLINK("https://github.com/geopaparazzi/geopaparazzi","show")</f>
        <v>show</v>
      </c>
      <c r="F10267" t="str">
        <f>HYPERLINK("https://github.com/geopaparazzi/geopaparazzi/releases","show")</f>
        <v>show</v>
      </c>
    </row>
    <row r="10268" spans="1:6">
      <c r="A10268" t="s">
        <v>30506</v>
      </c>
      <c r="B10268" t="s">
        <v>30507</v>
      </c>
      <c r="C10268" t="s">
        <v>30508</v>
      </c>
      <c r="D10268" t="str">
        <f>HYPERLINK("https://github.com/geopaparazzi/geopaparazzi/issues/508","show")</f>
        <v>show</v>
      </c>
      <c r="E10268" t="str">
        <f>HYPERLINK("https://github.com/geopaparazzi/geopaparazzi","show")</f>
        <v>show</v>
      </c>
      <c r="F10268" t="str">
        <f>HYPERLINK("https://github.com/geopaparazzi/geopaparazzi/releases","show")</f>
        <v>show</v>
      </c>
    </row>
    <row r="10269" spans="1:6">
      <c r="A10269" t="s">
        <v>30509</v>
      </c>
      <c r="B10269" t="s">
        <v>30510</v>
      </c>
      <c r="C10269" t="s">
        <v>30511</v>
      </c>
      <c r="D10269" t="str">
        <f>HYPERLINK("https://github.com/forrestguice/SuntimesWidget/issues/211","show")</f>
        <v>show</v>
      </c>
      <c r="E10269" t="str">
        <f>HYPERLINK("https://github.com/forrestguice/SuntimesWidget","show")</f>
        <v>show</v>
      </c>
      <c r="F10269" t="str">
        <f>HYPERLINK("https://github.com/forrestguice/SuntimesWidget/releases","show")</f>
        <v>show</v>
      </c>
    </row>
    <row r="10270" spans="1:6">
      <c r="A10270" t="s">
        <v>30512</v>
      </c>
      <c r="B10270" t="s">
        <v>30513</v>
      </c>
      <c r="C10270" t="s">
        <v>30514</v>
      </c>
      <c r="D10270" t="str">
        <f>HYPERLINK("https://github.com/syncthing/syncthing-android/issues/1123","show")</f>
        <v>show</v>
      </c>
      <c r="E10270" t="str">
        <f>HYPERLINK("https://github.com/syncthing/syncthing-android","show")</f>
        <v>show</v>
      </c>
      <c r="F10270" t="str">
        <f>HYPERLINK("https://github.com/syncthing/syncthing-android/releases","show")</f>
        <v>show</v>
      </c>
    </row>
    <row r="10271" spans="1:6">
      <c r="A10271" t="s">
        <v>30515</v>
      </c>
      <c r="B10271" t="s">
        <v>30516</v>
      </c>
      <c r="C10271" t="s">
        <v>30517</v>
      </c>
      <c r="D10271" t="str">
        <f>HYPERLINK("https://github.com/syncthing/syncthing-android/issues/1122","show")</f>
        <v>show</v>
      </c>
      <c r="E10271" t="str">
        <f>HYPERLINK("https://github.com/syncthing/syncthing-android","show")</f>
        <v>show</v>
      </c>
      <c r="F10271" t="str">
        <f>HYPERLINK("https://github.com/syncthing/syncthing-android/releases","show")</f>
        <v>show</v>
      </c>
    </row>
    <row r="10272" spans="1:6">
      <c r="A10272" t="s">
        <v>30518</v>
      </c>
      <c r="B10272" t="s">
        <v>30519</v>
      </c>
      <c r="C10272" t="s">
        <v>30520</v>
      </c>
      <c r="D10272" t="str">
        <f>HYPERLINK("https://github.com/syncthing/syncthing-android/issues/1121","show")</f>
        <v>show</v>
      </c>
      <c r="E10272" t="str">
        <f>HYPERLINK("https://github.com/syncthing/syncthing-android","show")</f>
        <v>show</v>
      </c>
      <c r="F10272" t="str">
        <f>HYPERLINK("https://github.com/syncthing/syncthing-android/releases","show")</f>
        <v>show</v>
      </c>
    </row>
    <row r="10273" spans="1:6">
      <c r="A10273" t="s">
        <v>30521</v>
      </c>
      <c r="B10273" t="s">
        <v>30522</v>
      </c>
      <c r="C10273" t="s">
        <v>30523</v>
      </c>
      <c r="D10273" t="str">
        <f>HYPERLINK("https://github.com/andOTP/andOTP/issues/186","show")</f>
        <v>show</v>
      </c>
      <c r="E10273" t="str">
        <f>HYPERLINK("https://github.com/andOTP/andOTP","show")</f>
        <v>show</v>
      </c>
      <c r="F10273" t="str">
        <f>HYPERLINK("https://github.com/andOTP/andOTP/releases","show")</f>
        <v>show</v>
      </c>
    </row>
    <row r="10274" spans="1:6">
      <c r="A10274" t="s">
        <v>30524</v>
      </c>
      <c r="B10274" t="s">
        <v>30525</v>
      </c>
      <c r="C10274" t="s">
        <v>30526</v>
      </c>
      <c r="D10274" t="str">
        <f>HYPERLINK("https://github.com/AniTrend/anitrend-app/issues/50","show")</f>
        <v>show</v>
      </c>
      <c r="E10274" t="str">
        <f>HYPERLINK("https://github.com/AniTrend/anitrend-app","show")</f>
        <v>show</v>
      </c>
      <c r="F10274" t="str">
        <f>HYPERLINK("https://github.com/AniTrend/anitrend-app/releases","show")</f>
        <v>show</v>
      </c>
    </row>
    <row r="10275" spans="1:6">
      <c r="A10275" t="s">
        <v>30527</v>
      </c>
      <c r="B10275" t="s">
        <v>30528</v>
      </c>
      <c r="C10275" t="s">
        <v>30529</v>
      </c>
      <c r="D10275" t="str">
        <f>HYPERLINK("https://github.com/vijai1996/screenrecorder/issues/57","show")</f>
        <v>show</v>
      </c>
      <c r="E10275" t="str">
        <f>HYPERLINK("https://github.com/vijai1996/screenrecorder","show")</f>
        <v>show</v>
      </c>
      <c r="F10275" t="str">
        <f>HYPERLINK("https://github.com/vijai1996/screenrecorder/releases","show")</f>
        <v>show</v>
      </c>
    </row>
    <row r="10276" spans="1:6">
      <c r="A10276" t="s">
        <v>30530</v>
      </c>
      <c r="B10276" t="s">
        <v>30531</v>
      </c>
      <c r="C10276" t="s">
        <v>30532</v>
      </c>
      <c r="D10276" t="str">
        <f>HYPERLINK("https://github.com/geopaparazzi/geopaparazzi/issues/504","show")</f>
        <v>show</v>
      </c>
      <c r="E10276" t="str">
        <f>HYPERLINK("https://github.com/geopaparazzi/geopaparazzi","show")</f>
        <v>show</v>
      </c>
      <c r="F10276" t="str">
        <f>HYPERLINK("https://github.com/geopaparazzi/geopaparazzi/releases","show")</f>
        <v>show</v>
      </c>
    </row>
    <row r="10277" spans="1:6">
      <c r="A10277" t="s">
        <v>30533</v>
      </c>
      <c r="B10277" t="s">
        <v>30534</v>
      </c>
      <c r="C10277" t="s">
        <v>30535</v>
      </c>
      <c r="D10277" t="str">
        <f>HYPERLINK("https://github.com/nextcloud/android/issues/2679","show")</f>
        <v>show</v>
      </c>
      <c r="E10277" t="str">
        <f>HYPERLINK("https://github.com/nextcloud/android","show")</f>
        <v>show</v>
      </c>
      <c r="F10277" t="str">
        <f>HYPERLINK("https://github.com/nextcloud/android/releases","show")</f>
        <v>show</v>
      </c>
    </row>
    <row r="10278" spans="1:6">
      <c r="A10278" t="s">
        <v>30536</v>
      </c>
      <c r="B10278" t="s">
        <v>30537</v>
      </c>
      <c r="C10278" t="s">
        <v>30538</v>
      </c>
      <c r="D10278" t="str">
        <f>HYPERLINK("https://github.com/syncthing/syncthing-android/issues/1119","show")</f>
        <v>show</v>
      </c>
      <c r="E10278" t="str">
        <f>HYPERLINK("https://github.com/syncthing/syncthing-android","show")</f>
        <v>show</v>
      </c>
      <c r="F10278" t="str">
        <f>HYPERLINK("https://github.com/syncthing/syncthing-android/releases","show")</f>
        <v>show</v>
      </c>
    </row>
    <row r="10279" spans="1:6">
      <c r="A10279" t="s">
        <v>30539</v>
      </c>
      <c r="B10279" t="s">
        <v>30540</v>
      </c>
      <c r="C10279" t="s">
        <v>30541</v>
      </c>
      <c r="D10279" t="str">
        <f>HYPERLINK("https://github.com/android-hacker/VirtualXposed/issues/200","show")</f>
        <v>show</v>
      </c>
      <c r="E10279" t="str">
        <f>HYPERLINK("https://github.com/android-hacker/VirtualXposed","show")</f>
        <v>show</v>
      </c>
      <c r="F10279" t="str">
        <f>HYPERLINK("https://github.com/android-hacker/VirtualXposed/releases","show")</f>
        <v>show</v>
      </c>
    </row>
    <row r="10280" spans="1:6">
      <c r="A10280" t="s">
        <v>30542</v>
      </c>
      <c r="B10280" t="s">
        <v>30543</v>
      </c>
      <c r="C10280" t="s">
        <v>30544</v>
      </c>
      <c r="D10280" t="str">
        <f>HYPERLINK("https://github.com/mauron85/react-native-background-geolocation/issues/206","show")</f>
        <v>show</v>
      </c>
      <c r="E10280" t="str">
        <f>HYPERLINK("https://github.com/mauron85/react-native-background-geolocation","show")</f>
        <v>show</v>
      </c>
      <c r="F10280" t="str">
        <f>HYPERLINK("https://github.com/mauron85/react-native-background-geolocation/releases","show")</f>
        <v>show</v>
      </c>
    </row>
    <row r="10281" spans="1:6">
      <c r="A10281" t="s">
        <v>30545</v>
      </c>
      <c r="B10281" t="s">
        <v>30546</v>
      </c>
      <c r="C10281" t="s">
        <v>30547</v>
      </c>
      <c r="D10281" t="str">
        <f>HYPERLINK("https://github.com/nextcloud/android/issues/2675","show")</f>
        <v>show</v>
      </c>
      <c r="E10281" t="str">
        <f>HYPERLINK("https://github.com/nextcloud/android","show")</f>
        <v>show</v>
      </c>
      <c r="F10281" t="str">
        <f>HYPERLINK("https://github.com/nextcloud/android/releases","show")</f>
        <v>show</v>
      </c>
    </row>
    <row r="10282" spans="1:6">
      <c r="A10282" t="s">
        <v>30548</v>
      </c>
      <c r="B10282" t="s">
        <v>30549</v>
      </c>
      <c r="C10282" t="s">
        <v>30550</v>
      </c>
      <c r="D10282" t="str">
        <f>HYPERLINK("https://github.com/commons-app/apps-android-commons/issues/1581","show")</f>
        <v>show</v>
      </c>
      <c r="E10282" t="str">
        <f>HYPERLINK("https://github.com/commons-app/apps-android-commons","show")</f>
        <v>show</v>
      </c>
      <c r="F10282" t="str">
        <f>HYPERLINK("https://github.com/commons-app/apps-android-commons/releases","show")</f>
        <v>show</v>
      </c>
    </row>
    <row r="10283" spans="1:6">
      <c r="A10283" t="s">
        <v>30551</v>
      </c>
      <c r="B10283" t="s">
        <v>30552</v>
      </c>
      <c r="C10283" t="s">
        <v>30553</v>
      </c>
      <c r="D10283" t="str">
        <f>HYPERLINK("https://github.com/coding-blocks/Chatter/issues/96","show")</f>
        <v>show</v>
      </c>
      <c r="E10283" t="str">
        <f>HYPERLINK("https://github.com/coding-blocks/Chatter","show")</f>
        <v>show</v>
      </c>
      <c r="F10283" t="str">
        <f>HYPERLINK("https://github.com/coding-blocks/Chatter/releases","show")</f>
        <v>show</v>
      </c>
    </row>
    <row r="10284" spans="1:6">
      <c r="A10284" t="s">
        <v>30554</v>
      </c>
      <c r="B10284" t="s">
        <v>30555</v>
      </c>
      <c r="C10284" t="s">
        <v>30556</v>
      </c>
      <c r="D10284" t="str">
        <f>HYPERLINK("https://github.com/zouroboros/filmchecker/issues/12","show")</f>
        <v>show</v>
      </c>
      <c r="E10284" t="str">
        <f>HYPERLINK("https://github.com/zouroboros/filmchecker","show")</f>
        <v>show</v>
      </c>
      <c r="F10284" t="str">
        <f>HYPERLINK("https://github.com/zouroboros/filmchecker/releases","show")</f>
        <v>show</v>
      </c>
    </row>
    <row r="10285" spans="1:6">
      <c r="A10285" t="s">
        <v>30557</v>
      </c>
      <c r="B10285" t="s">
        <v>30558</v>
      </c>
      <c r="C10285" t="s">
        <v>30559</v>
      </c>
      <c r="D10285" t="str">
        <f>HYPERLINK("https://github.com/nextcloud/android/issues/2668","show")</f>
        <v>show</v>
      </c>
      <c r="E10285" t="str">
        <f>HYPERLINK("https://github.com/nextcloud/android","show")</f>
        <v>show</v>
      </c>
      <c r="F10285" t="str">
        <f>HYPERLINK("https://github.com/nextcloud/android/releases","show")</f>
        <v>show</v>
      </c>
    </row>
    <row r="10286" spans="1:6">
      <c r="A10286" t="s">
        <v>30560</v>
      </c>
      <c r="B10286" t="s">
        <v>30561</v>
      </c>
      <c r="C10286" t="s">
        <v>30562</v>
      </c>
      <c r="D10286" t="str">
        <f>HYPERLINK("https://github.com/nextcloud/android/issues/2667","show")</f>
        <v>show</v>
      </c>
      <c r="E10286" t="str">
        <f>HYPERLINK("https://github.com/nextcloud/android","show")</f>
        <v>show</v>
      </c>
      <c r="F10286" t="str">
        <f>HYPERLINK("https://github.com/nextcloud/android/releases","show")</f>
        <v>show</v>
      </c>
    </row>
    <row r="10287" spans="1:6">
      <c r="A10287" t="s">
        <v>30563</v>
      </c>
      <c r="B10287" t="s">
        <v>30564</v>
      </c>
      <c r="C10287" t="s">
        <v>30565</v>
      </c>
      <c r="D10287" t="str">
        <f>HYPERLINK("https://github.com/alexstyl/Memento-Calendar/issues/186","show")</f>
        <v>show</v>
      </c>
      <c r="E10287" t="str">
        <f>HYPERLINK("https://github.com/alexstyl/Memento-Calendar","show")</f>
        <v>show</v>
      </c>
      <c r="F10287" t="str">
        <f>HYPERLINK("https://github.com/alexstyl/Memento-Calendar/releases","show")</f>
        <v>show</v>
      </c>
    </row>
    <row r="10288" spans="1:6">
      <c r="A10288" t="s">
        <v>30566</v>
      </c>
      <c r="B10288" t="s">
        <v>30567</v>
      </c>
      <c r="C10288" t="s">
        <v>30568</v>
      </c>
      <c r="D10288" t="str">
        <f>HYPERLINK("https://github.com/subchannel13/EnchantedFortress/issues/50","show")</f>
        <v>show</v>
      </c>
      <c r="E10288" t="str">
        <f>HYPERLINK("https://github.com/subchannel13/EnchantedFortress","show")</f>
        <v>show</v>
      </c>
      <c r="F10288" t="str">
        <f>HYPERLINK("https://github.com/subchannel13/EnchantedFortress/releases","show")</f>
        <v>show</v>
      </c>
    </row>
    <row r="10289" spans="1:6">
      <c r="A10289" t="s">
        <v>30569</v>
      </c>
      <c r="B10289" t="s">
        <v>30570</v>
      </c>
      <c r="C10289" t="s">
        <v>30571</v>
      </c>
      <c r="D10289" t="str">
        <f>HYPERLINK("https://github.com/metinkale38/prayer-times-android/issues/129","show")</f>
        <v>show</v>
      </c>
      <c r="E10289" t="str">
        <f>HYPERLINK("https://github.com/metinkale38/prayer-times-android","show")</f>
        <v>show</v>
      </c>
      <c r="F10289" t="str">
        <f>HYPERLINK("https://github.com/metinkale38/prayer-times-android/releases","show")</f>
        <v>show</v>
      </c>
    </row>
    <row r="10290" spans="1:6">
      <c r="A10290" t="s">
        <v>30572</v>
      </c>
      <c r="B10290" t="s">
        <v>30573</v>
      </c>
      <c r="C10290" t="s">
        <v>30574</v>
      </c>
      <c r="D10290" t="str">
        <f>HYPERLINK("https://github.com/mapbox/mapbox-events-android/issues/157","show")</f>
        <v>show</v>
      </c>
      <c r="E10290" t="str">
        <f>HYPERLINK("https://github.com/mapbox/mapbox-events-android","show")</f>
        <v>show</v>
      </c>
      <c r="F10290" t="str">
        <f>HYPERLINK("https://github.com/mapbox/mapbox-events-android/releases","show")</f>
        <v>show</v>
      </c>
    </row>
    <row r="10291" spans="1:6">
      <c r="A10291" t="s">
        <v>30575</v>
      </c>
      <c r="B10291" t="s">
        <v>30576</v>
      </c>
      <c r="C10291" t="s">
        <v>30577</v>
      </c>
      <c r="D10291" t="str">
        <f>HYPERLINK("https://github.com/renyuneyun/Easer/issues/117","show")</f>
        <v>show</v>
      </c>
      <c r="E10291" t="str">
        <f>HYPERLINK("https://github.com/renyuneyun/Easer","show")</f>
        <v>show</v>
      </c>
      <c r="F10291" t="str">
        <f>HYPERLINK("https://github.com/renyuneyun/Easer/releases","show")</f>
        <v>show</v>
      </c>
    </row>
    <row r="10292" spans="1:6">
      <c r="A10292" t="s">
        <v>30578</v>
      </c>
      <c r="B10292" t="s">
        <v>30579</v>
      </c>
      <c r="C10292" t="s">
        <v>30580</v>
      </c>
      <c r="D10292" t="str">
        <f>HYPERLINK("https://github.com/ZeevoX/Ocquarium/issues/33","show")</f>
        <v>show</v>
      </c>
      <c r="E10292" t="str">
        <f>HYPERLINK("https://github.com/ZeevoX/Ocquarium","show")</f>
        <v>show</v>
      </c>
      <c r="F10292" t="str">
        <f>HYPERLINK("https://github.com/ZeevoX/Ocquarium/releases","show")</f>
        <v>show</v>
      </c>
    </row>
    <row r="10293" spans="1:6">
      <c r="A10293" t="s">
        <v>30581</v>
      </c>
      <c r="B10293" t="s">
        <v>30582</v>
      </c>
      <c r="C10293" t="s">
        <v>30583</v>
      </c>
      <c r="D10293" t="str">
        <f>HYPERLINK("https://github.com/ramack/ActivityDiary/issues/158","show")</f>
        <v>show</v>
      </c>
      <c r="E10293" t="str">
        <f>HYPERLINK("https://github.com/ramack/ActivityDiary","show")</f>
        <v>show</v>
      </c>
      <c r="F10293" t="str">
        <f>HYPERLINK("https://github.com/ramack/ActivityDiary/releases","show")</f>
        <v>show</v>
      </c>
    </row>
    <row r="10294" spans="1:6">
      <c r="A10294" t="s">
        <v>30584</v>
      </c>
      <c r="B10294" t="s">
        <v>30585</v>
      </c>
      <c r="C10294" t="s">
        <v>30586</v>
      </c>
      <c r="D10294" t="str">
        <f>HYPERLINK("https://github.com/getodk/collect/issues/2259","show")</f>
        <v>show</v>
      </c>
      <c r="E10294" t="str">
        <f>HYPERLINK("https://github.com/getodk/collect","show")</f>
        <v>show</v>
      </c>
      <c r="F10294" t="str">
        <f>HYPERLINK("https://github.com/getodk/collect/releases","show")</f>
        <v>show</v>
      </c>
    </row>
    <row r="10295" spans="1:6">
      <c r="A10295" t="s">
        <v>30587</v>
      </c>
      <c r="B10295" t="s">
        <v>30588</v>
      </c>
      <c r="C10295" t="s">
        <v>30589</v>
      </c>
      <c r="D10295" t="str">
        <f>HYPERLINK("https://github.com/google/ExoPlayer/issues/4321","show")</f>
        <v>show</v>
      </c>
      <c r="E10295" t="str">
        <f>HYPERLINK("https://github.com/google/ExoPlayer","show")</f>
        <v>show</v>
      </c>
      <c r="F10295" t="str">
        <f>HYPERLINK("https://github.com/google/ExoPlayer/releases","show")</f>
        <v>show</v>
      </c>
    </row>
    <row r="10296" spans="1:6">
      <c r="A10296" t="s">
        <v>30590</v>
      </c>
      <c r="B10296" t="s">
        <v>30591</v>
      </c>
      <c r="C10296" t="s">
        <v>30592</v>
      </c>
      <c r="D10296" t="str">
        <f>HYPERLINK("https://github.com/nextcloud/android/issues/2639","show")</f>
        <v>show</v>
      </c>
      <c r="E10296" t="str">
        <f>HYPERLINK("https://github.com/nextcloud/android","show")</f>
        <v>show</v>
      </c>
      <c r="F10296" t="str">
        <f>HYPERLINK("https://github.com/nextcloud/android/releases","show")</f>
        <v>show</v>
      </c>
    </row>
    <row r="10297" spans="1:6">
      <c r="A10297" t="s">
        <v>30593</v>
      </c>
      <c r="B10297" t="s">
        <v>30594</v>
      </c>
      <c r="C10297" t="s">
        <v>30595</v>
      </c>
      <c r="D10297" t="str">
        <f>HYPERLINK("https://github.com/vhaudiquet/blade-player/issues/12","show")</f>
        <v>show</v>
      </c>
      <c r="E10297" t="str">
        <f>HYPERLINK("https://github.com/vhaudiquet/blade-player","show")</f>
        <v>show</v>
      </c>
      <c r="F10297" t="str">
        <f>HYPERLINK("https://github.com/vhaudiquet/blade-player/releases","show")</f>
        <v>show</v>
      </c>
    </row>
    <row r="10298" spans="1:6">
      <c r="A10298" t="s">
        <v>30596</v>
      </c>
      <c r="B10298" t="s">
        <v>30597</v>
      </c>
      <c r="C10298" t="s">
        <v>30598</v>
      </c>
      <c r="D10298" t="str">
        <f>HYPERLINK("https://github.com/konradrenner/kolabnotes-android/issues/186","show")</f>
        <v>show</v>
      </c>
      <c r="E10298" t="str">
        <f>HYPERLINK("https://github.com/konradrenner/kolabnotes-android","show")</f>
        <v>show</v>
      </c>
      <c r="F10298" t="str">
        <f>HYPERLINK("https://github.com/konradrenner/kolabnotes-android/releases","show")</f>
        <v>show</v>
      </c>
    </row>
    <row r="10299" spans="1:6">
      <c r="A10299" t="s">
        <v>30599</v>
      </c>
      <c r="B10299" t="s">
        <v>30600</v>
      </c>
      <c r="C10299" t="s">
        <v>30601</v>
      </c>
      <c r="D10299" t="str">
        <f>HYPERLINK("https://github.com/evernote/android-job/issues/464","show")</f>
        <v>show</v>
      </c>
      <c r="E10299" t="str">
        <f>HYPERLINK("https://github.com/evernote/android-job","show")</f>
        <v>show</v>
      </c>
      <c r="F10299" t="str">
        <f>HYPERLINK("https://github.com/evernote/android-job/releases","show")</f>
        <v>show</v>
      </c>
    </row>
    <row r="10300" spans="1:6">
      <c r="A10300" t="s">
        <v>30602</v>
      </c>
      <c r="B10300" t="s">
        <v>30603</v>
      </c>
      <c r="C10300" t="s">
        <v>30604</v>
      </c>
      <c r="D10300" t="str">
        <f>HYPERLINK("https://github.com/beenotung/music-player/issues/3","show")</f>
        <v>show</v>
      </c>
      <c r="E10300" t="str">
        <f>HYPERLINK("https://github.com/beenotung/music-player","show")</f>
        <v>show</v>
      </c>
      <c r="F10300" t="str">
        <f>HYPERLINK("https://github.com/beenotung/music-player/releases","show")</f>
        <v>show</v>
      </c>
    </row>
    <row r="10301" spans="1:6">
      <c r="A10301" t="s">
        <v>30605</v>
      </c>
      <c r="B10301" t="s">
        <v>30606</v>
      </c>
      <c r="C10301" t="s">
        <v>30607</v>
      </c>
      <c r="D10301" t="str">
        <f>HYPERLINK("https://github.com/jruesga/PhotoPhase/issues/38","show")</f>
        <v>show</v>
      </c>
      <c r="E10301" t="str">
        <f>HYPERLINK("https://github.com/jruesga/PhotoPhase","show")</f>
        <v>show</v>
      </c>
      <c r="F10301" t="str">
        <f>HYPERLINK("https://github.com/jruesga/PhotoPhase/releases","show")</f>
        <v>show</v>
      </c>
    </row>
    <row r="10302" spans="1:6">
      <c r="A10302" t="s">
        <v>30608</v>
      </c>
      <c r="B10302" t="s">
        <v>30609</v>
      </c>
      <c r="C10302" t="s">
        <v>30610</v>
      </c>
      <c r="D10302" t="str">
        <f>HYPERLINK("https://github.com/vhaudiquet/blade-player/issues/10","show")</f>
        <v>show</v>
      </c>
      <c r="E10302" t="str">
        <f>HYPERLINK("https://github.com/vhaudiquet/blade-player","show")</f>
        <v>show</v>
      </c>
      <c r="F10302" t="str">
        <f>HYPERLINK("https://github.com/vhaudiquet/blade-player/releases","show")</f>
        <v>show</v>
      </c>
    </row>
    <row r="10303" spans="1:6">
      <c r="A10303" t="s">
        <v>30611</v>
      </c>
      <c r="B10303" t="s">
        <v>30612</v>
      </c>
      <c r="C10303" t="s">
        <v>30613</v>
      </c>
      <c r="D10303" t="str">
        <f>HYPERLINK("https://github.com/oliexdev/openScale/issues/276","show")</f>
        <v>show</v>
      </c>
      <c r="E10303" t="str">
        <f>HYPERLINK("https://github.com/oliexdev/openScale","show")</f>
        <v>show</v>
      </c>
      <c r="F10303" t="str">
        <f>HYPERLINK("https://github.com/oliexdev/openScale/releases","show")</f>
        <v>show</v>
      </c>
    </row>
    <row r="10304" spans="1:6">
      <c r="A10304" t="s">
        <v>30614</v>
      </c>
      <c r="B10304" t="s">
        <v>30615</v>
      </c>
      <c r="C10304" t="s">
        <v>30616</v>
      </c>
      <c r="D10304" t="str">
        <f>HYPERLINK("https://github.com/react-native-camera/react-native-camera/issues/1585","show")</f>
        <v>show</v>
      </c>
      <c r="E10304" t="str">
        <f>HYPERLINK("https://github.com/react-native-camera/react-native-camera","show")</f>
        <v>show</v>
      </c>
      <c r="F10304" t="str">
        <f>HYPERLINK("https://github.com/react-native-camera/react-native-camera/releases","show")</f>
        <v>show</v>
      </c>
    </row>
    <row r="10305" spans="1:6">
      <c r="A10305" t="s">
        <v>30617</v>
      </c>
      <c r="B10305" t="s">
        <v>30618</v>
      </c>
      <c r="C10305" t="s">
        <v>30619</v>
      </c>
      <c r="D10305" t="str">
        <f>HYPERLINK("https://github.com/voroshkov/Chorus-RF-Laptimer/issues/89","show")</f>
        <v>show</v>
      </c>
      <c r="E10305" t="str">
        <f>HYPERLINK("https://github.com/voroshkov/Chorus-RF-Laptimer","show")</f>
        <v>show</v>
      </c>
      <c r="F10305" t="str">
        <f>HYPERLINK("https://github.com/voroshkov/Chorus-RF-Laptimer/releases","show")</f>
        <v>show</v>
      </c>
    </row>
    <row r="10306" spans="1:6">
      <c r="A10306" t="s">
        <v>30620</v>
      </c>
      <c r="B10306" t="s">
        <v>30621</v>
      </c>
      <c r="C10306" t="s">
        <v>30622</v>
      </c>
      <c r="D10306" t="str">
        <f>HYPERLINK("https://github.com/zouroboros/filmchecker/issues/11","show")</f>
        <v>show</v>
      </c>
      <c r="E10306" t="str">
        <f>HYPERLINK("https://github.com/zouroboros/filmchecker","show")</f>
        <v>show</v>
      </c>
      <c r="F10306" t="str">
        <f>HYPERLINK("https://github.com/zouroboros/filmchecker/releases","show")</f>
        <v>show</v>
      </c>
    </row>
    <row r="10307" spans="1:6">
      <c r="A10307" t="s">
        <v>30623</v>
      </c>
      <c r="B10307" t="s">
        <v>30624</v>
      </c>
      <c r="C10307" t="s">
        <v>30625</v>
      </c>
      <c r="D10307" t="str">
        <f>HYPERLINK("https://github.com/OpenArchive/Save-app-android/issues/66","show")</f>
        <v>show</v>
      </c>
      <c r="E10307" t="str">
        <f>HYPERLINK("https://github.com/OpenArchive/Save-app-android","show")</f>
        <v>show</v>
      </c>
      <c r="F10307" t="str">
        <f>HYPERLINK("https://github.com/OpenArchive/Save-app-android/releases","show")</f>
        <v>show</v>
      </c>
    </row>
    <row r="10308" spans="1:6">
      <c r="A10308" t="s">
        <v>30626</v>
      </c>
      <c r="B10308" t="s">
        <v>30627</v>
      </c>
      <c r="C10308" t="s">
        <v>30628</v>
      </c>
      <c r="D10308" t="str">
        <f>HYPERLINK("https://github.com/k3b/APhotoManager/issues/124","show")</f>
        <v>show</v>
      </c>
      <c r="E10308" t="str">
        <f>HYPERLINK("https://github.com/k3b/APhotoManager","show")</f>
        <v>show</v>
      </c>
      <c r="F10308" t="str">
        <f>HYPERLINK("https://github.com/k3b/APhotoManager/releases","show")</f>
        <v>show</v>
      </c>
    </row>
    <row r="10309" spans="1:6">
      <c r="A10309" t="s">
        <v>30629</v>
      </c>
      <c r="B10309" t="s">
        <v>30630</v>
      </c>
      <c r="C10309" t="s">
        <v>30631</v>
      </c>
      <c r="D10309" t="str">
        <f>HYPERLINK("https://github.com/MCMrARM/revolution-irc/issues/134","show")</f>
        <v>show</v>
      </c>
      <c r="E10309" t="str">
        <f>HYPERLINK("https://github.com/MCMrARM/revolution-irc","show")</f>
        <v>show</v>
      </c>
      <c r="F10309" t="str">
        <f>HYPERLINK("https://github.com/MCMrARM/revolution-irc/releases","show")</f>
        <v>show</v>
      </c>
    </row>
    <row r="10310" spans="1:6">
      <c r="A10310" t="s">
        <v>30632</v>
      </c>
      <c r="B10310" t="s">
        <v>30633</v>
      </c>
      <c r="C10310" t="s">
        <v>30634</v>
      </c>
      <c r="D10310" t="str">
        <f>HYPERLINK("https://github.com/Fr4gorSoftware/SecScanQR/issues/38","show")</f>
        <v>show</v>
      </c>
      <c r="E10310" t="str">
        <f>HYPERLINK("https://github.com/Fr4gorSoftware/SecScanQR","show")</f>
        <v>show</v>
      </c>
      <c r="F10310" t="str">
        <f>HYPERLINK("https://github.com/Fr4gorSoftware/SecScanQR/releases","show")</f>
        <v>show</v>
      </c>
    </row>
    <row r="10311" spans="1:6">
      <c r="A10311" t="s">
        <v>30635</v>
      </c>
      <c r="B10311" t="s">
        <v>30636</v>
      </c>
      <c r="C10311" t="s">
        <v>30637</v>
      </c>
      <c r="D10311" t="str">
        <f>HYPERLINK("https://github.com/MCMrARM/revolution-irc/issues/133","show")</f>
        <v>show</v>
      </c>
      <c r="E10311" t="str">
        <f>HYPERLINK("https://github.com/MCMrARM/revolution-irc","show")</f>
        <v>show</v>
      </c>
      <c r="F10311" t="str">
        <f>HYPERLINK("https://github.com/MCMrARM/revolution-irc/releases","show")</f>
        <v>show</v>
      </c>
    </row>
    <row r="10312" spans="1:6">
      <c r="A10312" t="s">
        <v>30638</v>
      </c>
      <c r="B10312" t="s">
        <v>30639</v>
      </c>
      <c r="C10312" t="s">
        <v>30640</v>
      </c>
      <c r="D10312" t="str">
        <f>HYPERLINK("https://github.com/jacob-g/cleveland-rta-next-bus-train/issues/115","show")</f>
        <v>show</v>
      </c>
      <c r="E10312" t="str">
        <f>HYPERLINK("https://github.com/jacob-g/cleveland-rta-next-bus-train","show")</f>
        <v>show</v>
      </c>
      <c r="F10312" t="str">
        <f>HYPERLINK("https://github.com/jacob-g/cleveland-rta-next-bus-train/releases","show")</f>
        <v>show</v>
      </c>
    </row>
    <row r="10313" spans="1:6">
      <c r="A10313" t="s">
        <v>30641</v>
      </c>
      <c r="B10313" t="s">
        <v>30642</v>
      </c>
      <c r="C10313" t="s">
        <v>30643</v>
      </c>
      <c r="D10313" t="str">
        <f>HYPERLINK("https://github.com/OpenArchive/Save-app-android/issues/63","show")</f>
        <v>show</v>
      </c>
      <c r="E10313" t="str">
        <f>HYPERLINK("https://github.com/OpenArchive/Save-app-android","show")</f>
        <v>show</v>
      </c>
      <c r="F10313" t="str">
        <f>HYPERLINK("https://github.com/OpenArchive/Save-app-android/releases","show")</f>
        <v>show</v>
      </c>
    </row>
    <row r="10314" spans="1:6">
      <c r="A10314" t="s">
        <v>30644</v>
      </c>
      <c r="B10314" t="s">
        <v>30645</v>
      </c>
      <c r="C10314" t="s">
        <v>30646</v>
      </c>
      <c r="D10314" t="str">
        <f>HYPERLINK("https://github.com/amit-bhandari/AB-Music-Player/issues/18","show")</f>
        <v>show</v>
      </c>
      <c r="E10314" t="str">
        <f>HYPERLINK("https://github.com/amit-bhandari/AB-Music-Player","show")</f>
        <v>show</v>
      </c>
      <c r="F10314" t="str">
        <f>HYPERLINK("https://github.com/amit-bhandari/AB-Music-Player/releases","show")</f>
        <v>show</v>
      </c>
    </row>
    <row r="10315" spans="1:6">
      <c r="A10315" t="s">
        <v>30647</v>
      </c>
      <c r="B10315" t="s">
        <v>30648</v>
      </c>
      <c r="C10315" t="s">
        <v>30649</v>
      </c>
      <c r="D10315" t="str">
        <f>HYPERLINK("https://github.com/chat21/chat21-android-demo/issues/12","show")</f>
        <v>show</v>
      </c>
      <c r="E10315" t="str">
        <f>HYPERLINK("https://github.com/chat21/chat21-android-demo","show")</f>
        <v>show</v>
      </c>
      <c r="F10315" t="str">
        <f>HYPERLINK("https://github.com/chat21/chat21-android-demo/releases","show")</f>
        <v>show</v>
      </c>
    </row>
    <row r="10316" spans="1:6">
      <c r="A10316" t="s">
        <v>30650</v>
      </c>
      <c r="B10316" t="s">
        <v>30651</v>
      </c>
      <c r="C10316" t="s">
        <v>30652</v>
      </c>
      <c r="D10316" t="str">
        <f>HYPERLINK("https://github.com/aionnetwork/aion/issues/505","show")</f>
        <v>show</v>
      </c>
      <c r="E10316" t="str">
        <f>HYPERLINK("https://github.com/aionnetwork/aion","show")</f>
        <v>show</v>
      </c>
      <c r="F10316" t="str">
        <f>HYPERLINK("https://github.com/aionnetwork/aion/releases","show")</f>
        <v>show</v>
      </c>
    </row>
    <row r="10317" spans="1:6">
      <c r="A10317" t="s">
        <v>30653</v>
      </c>
      <c r="B10317" t="s">
        <v>30654</v>
      </c>
      <c r="C10317" t="s">
        <v>30655</v>
      </c>
      <c r="D10317" t="str">
        <f>HYPERLINK("https://github.com/Swati4star/Images-to-PDF/issues/66","show")</f>
        <v>show</v>
      </c>
      <c r="E10317" t="str">
        <f>HYPERLINK("https://github.com/Swati4star/Images-to-PDF","show")</f>
        <v>show</v>
      </c>
      <c r="F10317" t="str">
        <f>HYPERLINK("https://github.com/Swati4star/Images-to-PDF/releases","show")</f>
        <v>show</v>
      </c>
    </row>
    <row r="10318" spans="1:6">
      <c r="A10318" t="s">
        <v>30656</v>
      </c>
      <c r="B10318" t="s">
        <v>30657</v>
      </c>
      <c r="C10318" t="s">
        <v>30658</v>
      </c>
      <c r="D10318" t="str">
        <f>HYPERLINK("https://github.com/mauron85/react-native-background-geolocation/issues/201","show")</f>
        <v>show</v>
      </c>
      <c r="E10318" t="str">
        <f>HYPERLINK("https://github.com/mauron85/react-native-background-geolocation","show")</f>
        <v>show</v>
      </c>
      <c r="F10318" t="str">
        <f>HYPERLINK("https://github.com/mauron85/react-native-background-geolocation/releases","show")</f>
        <v>show</v>
      </c>
    </row>
    <row r="10319" spans="1:6">
      <c r="A10319" t="s">
        <v>30659</v>
      </c>
      <c r="B10319" t="s">
        <v>30660</v>
      </c>
      <c r="C10319" t="s">
        <v>30661</v>
      </c>
      <c r="D10319" t="str">
        <f>HYPERLINK("https://github.com/niclabs/adkintunmobile-androidclient/issues/193","show")</f>
        <v>show</v>
      </c>
      <c r="E10319" t="str">
        <f>HYPERLINK("https://github.com/niclabs/adkintunmobile-androidclient","show")</f>
        <v>show</v>
      </c>
      <c r="F10319" t="str">
        <f>HYPERLINK("https://github.com/niclabs/adkintunmobile-androidclient/releases","show")</f>
        <v>show</v>
      </c>
    </row>
    <row r="10320" spans="1:6">
      <c r="A10320" t="s">
        <v>30662</v>
      </c>
      <c r="B10320" t="s">
        <v>30663</v>
      </c>
      <c r="C10320" t="s">
        <v>30664</v>
      </c>
      <c r="D10320" t="str">
        <f>HYPERLINK("https://github.com/singhrohan62/FriendlyChat/issues/1","show")</f>
        <v>show</v>
      </c>
      <c r="E10320" t="str">
        <f>HYPERLINK("https://github.com/singhrohan62/FriendlyChat","show")</f>
        <v>show</v>
      </c>
      <c r="F10320" t="str">
        <f>HYPERLINK("https://github.com/singhrohan62/FriendlyChat/releases","show")</f>
        <v>show</v>
      </c>
    </row>
    <row r="10321" spans="1:6">
      <c r="A10321" t="s">
        <v>30665</v>
      </c>
      <c r="B10321" t="s">
        <v>30666</v>
      </c>
      <c r="C10321" t="s">
        <v>30667</v>
      </c>
      <c r="D10321" t="str">
        <f>HYPERLINK("https://github.com/twilio/voice-quickstart-android/issues/175","show")</f>
        <v>show</v>
      </c>
      <c r="E10321" t="str">
        <f>HYPERLINK("https://github.com/twilio/voice-quickstart-android","show")</f>
        <v>show</v>
      </c>
      <c r="F10321" t="str">
        <f>HYPERLINK("https://github.com/twilio/voice-quickstart-android/releases","show")</f>
        <v>show</v>
      </c>
    </row>
    <row r="10322" spans="1:6">
      <c r="A10322" t="s">
        <v>30668</v>
      </c>
      <c r="B10322" t="s">
        <v>30669</v>
      </c>
      <c r="C10322" t="s">
        <v>30670</v>
      </c>
      <c r="D10322" t="str">
        <f>HYPERLINK("https://github.com/eleme/UETool/issues/15","show")</f>
        <v>show</v>
      </c>
      <c r="E10322" t="str">
        <f>HYPERLINK("https://github.com/eleme/UETool","show")</f>
        <v>show</v>
      </c>
      <c r="F10322" t="str">
        <f>HYPERLINK("https://github.com/eleme/UETool/releases","show")</f>
        <v>show</v>
      </c>
    </row>
    <row r="10323" spans="1:6">
      <c r="A10323" t="s">
        <v>30671</v>
      </c>
      <c r="B10323" t="s">
        <v>30672</v>
      </c>
      <c r="C10323" t="s">
        <v>30673</v>
      </c>
      <c r="D10323" t="str">
        <f>HYPERLINK("https://github.com/smartdevicelink/sdl_java_suite/issues/770","show")</f>
        <v>show</v>
      </c>
      <c r="E10323" t="str">
        <f>HYPERLINK("https://github.com/smartdevicelink/sdl_java_suite","show")</f>
        <v>show</v>
      </c>
      <c r="F10323" t="str">
        <f>HYPERLINK("https://github.com/smartdevicelink/sdl_java_suite/releases","show")</f>
        <v>show</v>
      </c>
    </row>
    <row r="10324" spans="1:6">
      <c r="A10324" t="s">
        <v>30674</v>
      </c>
      <c r="B10324" t="s">
        <v>30675</v>
      </c>
      <c r="C10324" t="s">
        <v>30676</v>
      </c>
      <c r="D10324" t="str">
        <f>HYPERLINK("https://github.com/ashwin-phadke/Smart-Home-Security-App/issues/2","show")</f>
        <v>show</v>
      </c>
      <c r="E10324" t="str">
        <f>HYPERLINK("https://github.com/ashwin-phadke/Smart-Home-Security-App","show")</f>
        <v>show</v>
      </c>
      <c r="F10324" t="str">
        <f>HYPERLINK("https://github.com/ashwin-phadke/Smart-Home-Security-App/releases","show")</f>
        <v>show</v>
      </c>
    </row>
    <row r="10325" spans="1:6">
      <c r="A10325" t="s">
        <v>30677</v>
      </c>
      <c r="B10325" t="s">
        <v>30678</v>
      </c>
      <c r="C10325" t="s">
        <v>30679</v>
      </c>
      <c r="D10325" t="str">
        <f>HYPERLINK("https://github.com/Anupya/pic-my-allergy-android/issues/3","show")</f>
        <v>show</v>
      </c>
      <c r="E10325" t="str">
        <f>HYPERLINK("https://github.com/Anupya/pic-my-allergy-android","show")</f>
        <v>show</v>
      </c>
      <c r="F10325" t="str">
        <f>HYPERLINK("https://github.com/Anupya/pic-my-allergy-android/releases","show")</f>
        <v>show</v>
      </c>
    </row>
    <row r="10326" spans="1:6">
      <c r="A10326" t="s">
        <v>30680</v>
      </c>
      <c r="B10326" t="s">
        <v>30681</v>
      </c>
      <c r="C10326" t="s">
        <v>30682</v>
      </c>
      <c r="D10326" t="str">
        <f>HYPERLINK("https://github.com/Anupya/pic-my-allergy-android/issues/2","show")</f>
        <v>show</v>
      </c>
      <c r="E10326" t="str">
        <f>HYPERLINK("https://github.com/Anupya/pic-my-allergy-android","show")</f>
        <v>show</v>
      </c>
      <c r="F10326" t="str">
        <f>HYPERLINK("https://github.com/Anupya/pic-my-allergy-android/releases","show")</f>
        <v>show</v>
      </c>
    </row>
    <row r="10327" spans="1:6">
      <c r="A10327" t="s">
        <v>30683</v>
      </c>
      <c r="B10327" t="s">
        <v>30684</v>
      </c>
      <c r="C10327" t="s">
        <v>30685</v>
      </c>
      <c r="D10327" t="str">
        <f>HYPERLINK("https://github.com/TeamNewPipe/NewPipe/issues/1414","show")</f>
        <v>show</v>
      </c>
      <c r="E10327" t="str">
        <f>HYPERLINK("https://github.com/TeamNewPipe/NewPipe","show")</f>
        <v>show</v>
      </c>
      <c r="F10327" t="str">
        <f>HYPERLINK("https://github.com/TeamNewPipe/NewPipe/releases","show")</f>
        <v>show</v>
      </c>
    </row>
    <row r="10328" spans="1:6">
      <c r="A10328" t="s">
        <v>30686</v>
      </c>
      <c r="B10328" t="s">
        <v>30687</v>
      </c>
      <c r="C10328" t="s">
        <v>30688</v>
      </c>
      <c r="D10328" t="str">
        <f>HYPERLINK("https://github.com/renyuneyun/Easer/issues/108","show")</f>
        <v>show</v>
      </c>
      <c r="E10328" t="str">
        <f>HYPERLINK("https://github.com/renyuneyun/Easer","show")</f>
        <v>show</v>
      </c>
      <c r="F10328" t="str">
        <f>HYPERLINK("https://github.com/renyuneyun/Easer/releases","show")</f>
        <v>show</v>
      </c>
    </row>
    <row r="10329" spans="1:6">
      <c r="A10329" t="s">
        <v>30689</v>
      </c>
      <c r="B10329" t="s">
        <v>30690</v>
      </c>
      <c r="C10329" t="s">
        <v>30691</v>
      </c>
      <c r="D10329" t="str">
        <f>HYPERLINK("https://github.com/1singhmanmeet/QuicXplo/issues/7","show")</f>
        <v>show</v>
      </c>
      <c r="E10329" t="str">
        <f>HYPERLINK("https://github.com/1singhmanmeet/QuicXplo","show")</f>
        <v>show</v>
      </c>
      <c r="F10329" t="str">
        <f>HYPERLINK("https://github.com/1singhmanmeet/QuicXplo/releases","show")</f>
        <v>show</v>
      </c>
    </row>
    <row r="10330" spans="1:6">
      <c r="A10330" t="s">
        <v>30692</v>
      </c>
      <c r="B10330" t="s">
        <v>30693</v>
      </c>
      <c r="C10330" t="s">
        <v>30694</v>
      </c>
      <c r="D10330" t="str">
        <f>HYPERLINK("https://github.com/eduvpn/android/issues/171","show")</f>
        <v>show</v>
      </c>
      <c r="E10330" t="str">
        <f>HYPERLINK("https://github.com/eduvpn/android","show")</f>
        <v>show</v>
      </c>
      <c r="F10330" t="str">
        <f>HYPERLINK("https://github.com/eduvpn/android/releases","show")</f>
        <v>show</v>
      </c>
    </row>
    <row r="10331" spans="1:6">
      <c r="A10331" t="s">
        <v>30695</v>
      </c>
      <c r="B10331" t="s">
        <v>30696</v>
      </c>
      <c r="C10331" t="s">
        <v>30697</v>
      </c>
      <c r="D10331" t="str">
        <f>HYPERLINK("https://github.com/fennifith/RadialLayout/issues/3","show")</f>
        <v>show</v>
      </c>
      <c r="E10331" t="str">
        <f>HYPERLINK("https://github.com/fennifith/RadialLayout","show")</f>
        <v>show</v>
      </c>
      <c r="F10331" t="str">
        <f>HYPERLINK("https://github.com/fennifith/RadialLayout/releases","show")</f>
        <v>show</v>
      </c>
    </row>
    <row r="10332" spans="1:6">
      <c r="A10332" t="s">
        <v>30698</v>
      </c>
      <c r="B10332" t="s">
        <v>30699</v>
      </c>
      <c r="C10332" t="s">
        <v>30700</v>
      </c>
      <c r="D10332" t="str">
        <f>HYPERLINK("https://github.com/michael-rapp/ChromeLikeTabSwitcher/issues/16","show")</f>
        <v>show</v>
      </c>
      <c r="E10332" t="str">
        <f>HYPERLINK("https://github.com/michael-rapp/ChromeLikeTabSwitcher","show")</f>
        <v>show</v>
      </c>
      <c r="F10332" t="str">
        <f>HYPERLINK("https://github.com/michael-rapp/ChromeLikeTabSwitcher/releases","show")</f>
        <v>show</v>
      </c>
    </row>
    <row r="10333" spans="1:6">
      <c r="A10333" t="s">
        <v>30701</v>
      </c>
      <c r="B10333" t="s">
        <v>30702</v>
      </c>
      <c r="C10333" t="s">
        <v>30703</v>
      </c>
      <c r="D10333" t="str">
        <f>HYPERLINK("https://github.com/fennifith/Status/issues/128","show")</f>
        <v>show</v>
      </c>
      <c r="E10333" t="str">
        <f>HYPERLINK("https://github.com/fennifith/Status","show")</f>
        <v>show</v>
      </c>
      <c r="F10333" t="str">
        <f>HYPERLINK("https://github.com/fennifith/Status/releases","show")</f>
        <v>show</v>
      </c>
    </row>
    <row r="10334" spans="1:6">
      <c r="A10334" t="s">
        <v>30704</v>
      </c>
      <c r="B10334" t="s">
        <v>30705</v>
      </c>
      <c r="C10334" t="s">
        <v>30706</v>
      </c>
      <c r="D10334" t="str">
        <f>HYPERLINK("https://github.com/fr3ts0n/AndrOBD/issues/58","show")</f>
        <v>show</v>
      </c>
      <c r="E10334" t="str">
        <f>HYPERLINK("https://github.com/fr3ts0n/AndrOBD","show")</f>
        <v>show</v>
      </c>
      <c r="F10334" t="str">
        <f>HYPERLINK("https://github.com/fr3ts0n/AndrOBD/releases","show")</f>
        <v>show</v>
      </c>
    </row>
    <row r="10335" spans="1:6">
      <c r="A10335" t="s">
        <v>30707</v>
      </c>
      <c r="B10335" t="s">
        <v>30708</v>
      </c>
      <c r="C10335" t="s">
        <v>30709</v>
      </c>
      <c r="D10335" t="str">
        <f>HYPERLINK("https://github.com/renyuneyun/Easer/issues/107","show")</f>
        <v>show</v>
      </c>
      <c r="E10335" t="str">
        <f>HYPERLINK("https://github.com/renyuneyun/Easer","show")</f>
        <v>show</v>
      </c>
      <c r="F10335" t="str">
        <f>HYPERLINK("https://github.com/renyuneyun/Easer/releases","show")</f>
        <v>show</v>
      </c>
    </row>
    <row r="10336" spans="1:6">
      <c r="A10336" t="s">
        <v>30710</v>
      </c>
      <c r="B10336" t="s">
        <v>30711</v>
      </c>
      <c r="C10336" t="s">
        <v>30712</v>
      </c>
      <c r="D10336" t="str">
        <f>HYPERLINK("https://github.com/kollerlukas/Camera-Roll-Android-App/issues/197","show")</f>
        <v>show</v>
      </c>
      <c r="E10336" t="str">
        <f>HYPERLINK("https://github.com/kollerlukas/Camera-Roll-Android-App","show")</f>
        <v>show</v>
      </c>
      <c r="F10336" t="str">
        <f>HYPERLINK("https://github.com/kollerlukas/Camera-Roll-Android-App/releases","show")</f>
        <v>show</v>
      </c>
    </row>
    <row r="10337" spans="1:6">
      <c r="A10337" t="s">
        <v>30713</v>
      </c>
      <c r="B10337" t="s">
        <v>30714</v>
      </c>
      <c r="C10337" t="s">
        <v>30715</v>
      </c>
      <c r="D10337" t="str">
        <f>HYPERLINK("https://github.com/1singhmanmeet/QuicXplo/issues/5","show")</f>
        <v>show</v>
      </c>
      <c r="E10337" t="str">
        <f>HYPERLINK("https://github.com/1singhmanmeet/QuicXplo","show")</f>
        <v>show</v>
      </c>
      <c r="F10337" t="str">
        <f>HYPERLINK("https://github.com/1singhmanmeet/QuicXplo/releases","show")</f>
        <v>show</v>
      </c>
    </row>
    <row r="10338" spans="1:6">
      <c r="A10338" t="s">
        <v>30716</v>
      </c>
      <c r="B10338" t="s">
        <v>30717</v>
      </c>
      <c r="C10338" t="s">
        <v>30718</v>
      </c>
      <c r="D10338" t="str">
        <f>HYPERLINK("https://github.com/le-moulin-studio/bike-friend/issues/5","show")</f>
        <v>show</v>
      </c>
      <c r="E10338" t="str">
        <f>HYPERLINK("https://github.com/le-moulin-studio/bike-friend","show")</f>
        <v>show</v>
      </c>
      <c r="F10338" t="str">
        <f>HYPERLINK("https://github.com/le-moulin-studio/bike-friend/releases","show")</f>
        <v>show</v>
      </c>
    </row>
    <row r="10339" spans="1:6">
      <c r="A10339" t="s">
        <v>30719</v>
      </c>
      <c r="B10339" t="s">
        <v>30720</v>
      </c>
      <c r="C10339" t="s">
        <v>30721</v>
      </c>
      <c r="D10339" t="str">
        <f>HYPERLINK("https://github.com/freshollie/monkeyboard-radio-android/issues/20","show")</f>
        <v>show</v>
      </c>
      <c r="E10339" t="str">
        <f>HYPERLINK("https://github.com/freshollie/monkeyboard-radio-android","show")</f>
        <v>show</v>
      </c>
      <c r="F10339" t="str">
        <f>HYPERLINK("https://github.com/freshollie/monkeyboard-radio-android/releases","show")</f>
        <v>show</v>
      </c>
    </row>
    <row r="10340" spans="1:6">
      <c r="A10340" t="s">
        <v>30722</v>
      </c>
      <c r="B10340" t="s">
        <v>30723</v>
      </c>
      <c r="C10340" t="s">
        <v>30724</v>
      </c>
      <c r="D10340" t="str">
        <f>HYPERLINK("https://github.com/freshollie/UsbGps4Droid/issues/12","show")</f>
        <v>show</v>
      </c>
      <c r="E10340" t="str">
        <f>HYPERLINK("https://github.com/freshollie/UsbGps4Droid","show")</f>
        <v>show</v>
      </c>
      <c r="F10340" t="str">
        <f>HYPERLINK("https://github.com/freshollie/UsbGps4Droid/releases","show")</f>
        <v>show</v>
      </c>
    </row>
    <row r="10341" spans="1:6">
      <c r="A10341" t="s">
        <v>30725</v>
      </c>
      <c r="B10341" t="s">
        <v>30726</v>
      </c>
      <c r="C10341" t="s">
        <v>30727</v>
      </c>
      <c r="D10341" t="str">
        <f>HYPERLINK("https://github.com/freshollie/monkeyboard-radio-android/issues/19","show")</f>
        <v>show</v>
      </c>
      <c r="E10341" t="str">
        <f>HYPERLINK("https://github.com/freshollie/monkeyboard-radio-android","show")</f>
        <v>show</v>
      </c>
      <c r="F10341" t="str">
        <f>HYPERLINK("https://github.com/freshollie/monkeyboard-radio-android/releases","show")</f>
        <v>show</v>
      </c>
    </row>
    <row r="10342" spans="1:6">
      <c r="A10342" t="s">
        <v>30728</v>
      </c>
      <c r="B10342" t="s">
        <v>30729</v>
      </c>
      <c r="C10342" t="s">
        <v>30730</v>
      </c>
      <c r="D10342" t="str">
        <f>HYPERLINK("https://github.com/k9mail/k-9/issues/3401","show")</f>
        <v>show</v>
      </c>
      <c r="E10342" t="str">
        <f>HYPERLINK("https://github.com/k9mail/k-9","show")</f>
        <v>show</v>
      </c>
      <c r="F10342" t="str">
        <f>HYPERLINK("https://github.com/k9mail/k-9/releases","show")</f>
        <v>show</v>
      </c>
    </row>
    <row r="10343" spans="1:6">
      <c r="A10343" t="s">
        <v>30731</v>
      </c>
      <c r="B10343" t="s">
        <v>30732</v>
      </c>
      <c r="C10343" t="s">
        <v>30733</v>
      </c>
      <c r="D10343" t="str">
        <f>HYPERLINK("https://github.com/ramack/ActivityDiary/issues/153","show")</f>
        <v>show</v>
      </c>
      <c r="E10343" t="str">
        <f>HYPERLINK("https://github.com/ramack/ActivityDiary","show")</f>
        <v>show</v>
      </c>
      <c r="F10343" t="str">
        <f>HYPERLINK("https://github.com/ramack/ActivityDiary/releases","show")</f>
        <v>show</v>
      </c>
    </row>
    <row r="10344" spans="1:6">
      <c r="A10344" t="s">
        <v>30734</v>
      </c>
      <c r="B10344" t="s">
        <v>30735</v>
      </c>
      <c r="C10344" t="s">
        <v>30736</v>
      </c>
      <c r="D10344" t="str">
        <f>HYPERLINK("https://github.com/renyuneyun/Easer/issues/106","show")</f>
        <v>show</v>
      </c>
      <c r="E10344" t="str">
        <f>HYPERLINK("https://github.com/renyuneyun/Easer","show")</f>
        <v>show</v>
      </c>
      <c r="F10344" t="str">
        <f>HYPERLINK("https://github.com/renyuneyun/Easer/releases","show")</f>
        <v>show</v>
      </c>
    </row>
    <row r="10345" spans="1:6">
      <c r="A10345" t="s">
        <v>30737</v>
      </c>
      <c r="B10345" t="s">
        <v>30738</v>
      </c>
      <c r="C10345" t="s">
        <v>30739</v>
      </c>
      <c r="D10345" t="str">
        <f>HYPERLINK("https://github.com/SecUSo/privacy-friendly-werewolf/issues/118","show")</f>
        <v>show</v>
      </c>
      <c r="E10345" t="str">
        <f>HYPERLINK("https://github.com/SecUSo/privacy-friendly-werewolf","show")</f>
        <v>show</v>
      </c>
      <c r="F10345" t="str">
        <f>HYPERLINK("https://github.com/SecUSo/privacy-friendly-werewolf/releases","show")</f>
        <v>show</v>
      </c>
    </row>
    <row r="10346" spans="1:6">
      <c r="A10346" t="s">
        <v>30740</v>
      </c>
      <c r="B10346" t="s">
        <v>30741</v>
      </c>
      <c r="C10346" t="s">
        <v>30742</v>
      </c>
      <c r="D10346" t="str">
        <f>HYPERLINK("https://github.com/SecUSo/privacy-friendly-werewolf/issues/116","show")</f>
        <v>show</v>
      </c>
      <c r="E10346" t="str">
        <f>HYPERLINK("https://github.com/SecUSo/privacy-friendly-werewolf","show")</f>
        <v>show</v>
      </c>
      <c r="F10346" t="str">
        <f>HYPERLINK("https://github.com/SecUSo/privacy-friendly-werewolf/releases","show")</f>
        <v>show</v>
      </c>
    </row>
    <row r="10347" spans="1:6">
      <c r="A10347" t="s">
        <v>30743</v>
      </c>
      <c r="B10347" t="s">
        <v>30744</v>
      </c>
      <c r="C10347" t="s">
        <v>30745</v>
      </c>
      <c r="D10347" t="str">
        <f>HYPERLINK("https://github.com/hzi-braunschweig/SORMAS-Project/issues/611","show")</f>
        <v>show</v>
      </c>
      <c r="E10347" t="str">
        <f>HYPERLINK("https://github.com/hzi-braunschweig/SORMAS-Project","show")</f>
        <v>show</v>
      </c>
      <c r="F10347" t="str">
        <f>HYPERLINK("https://github.com/hzi-braunschweig/SORMAS-Project/releases","show")</f>
        <v>show</v>
      </c>
    </row>
    <row r="10348" spans="1:6">
      <c r="A10348" t="s">
        <v>30746</v>
      </c>
      <c r="B10348" t="s">
        <v>30747</v>
      </c>
      <c r="C10348" t="s">
        <v>30748</v>
      </c>
      <c r="D10348" t="str">
        <f>HYPERLINK("https://github.com/citiususc/calendula/issues/118","show")</f>
        <v>show</v>
      </c>
      <c r="E10348" t="str">
        <f>HYPERLINK("https://github.com/citiususc/calendula","show")</f>
        <v>show</v>
      </c>
      <c r="F10348" t="str">
        <f>HYPERLINK("https://github.com/citiususc/calendula/releases","show")</f>
        <v>show</v>
      </c>
    </row>
    <row r="10349" spans="1:6">
      <c r="A10349" t="s">
        <v>30749</v>
      </c>
      <c r="B10349" t="s">
        <v>30750</v>
      </c>
      <c r="C10349" t="s">
        <v>30751</v>
      </c>
      <c r="D10349" t="str">
        <f>HYPERLINK("https://github.com/MrStahlfelge/gdx-gamesvcs/issues/26","show")</f>
        <v>show</v>
      </c>
      <c r="E10349" t="str">
        <f>HYPERLINK("https://github.com/MrStahlfelge/gdx-gamesvcs","show")</f>
        <v>show</v>
      </c>
      <c r="F10349" t="str">
        <f>HYPERLINK("https://github.com/MrStahlfelge/gdx-gamesvcs/releases","show")</f>
        <v>show</v>
      </c>
    </row>
    <row r="10350" spans="1:6">
      <c r="A10350" t="s">
        <v>30752</v>
      </c>
      <c r="B10350" t="s">
        <v>30753</v>
      </c>
      <c r="C10350" t="s">
        <v>30754</v>
      </c>
      <c r="D10350" t="str">
        <f>HYPERLINK("https://github.com/1singhmanmeet/QuicXplo/issues/2","show")</f>
        <v>show</v>
      </c>
      <c r="E10350" t="str">
        <f>HYPERLINK("https://github.com/1singhmanmeet/QuicXplo","show")</f>
        <v>show</v>
      </c>
      <c r="F10350" t="str">
        <f>HYPERLINK("https://github.com/1singhmanmeet/QuicXplo/releases","show")</f>
        <v>show</v>
      </c>
    </row>
    <row r="10351" spans="1:6">
      <c r="A10351" t="s">
        <v>30755</v>
      </c>
      <c r="B10351" t="s">
        <v>30756</v>
      </c>
      <c r="C10351" t="s">
        <v>30757</v>
      </c>
      <c r="D10351" t="str">
        <f>HYPERLINK("https://github.com/citiususc/calendula/issues/117","show")</f>
        <v>show</v>
      </c>
      <c r="E10351" t="str">
        <f>HYPERLINK("https://github.com/citiususc/calendula","show")</f>
        <v>show</v>
      </c>
      <c r="F10351" t="str">
        <f>HYPERLINK("https://github.com/citiususc/calendula/releases","show")</f>
        <v>show</v>
      </c>
    </row>
    <row r="10352" spans="1:6">
      <c r="A10352" t="s">
        <v>30758</v>
      </c>
      <c r="B10352" t="s">
        <v>30759</v>
      </c>
      <c r="C10352" t="s">
        <v>30760</v>
      </c>
      <c r="D10352" t="str">
        <f>HYPERLINK("https://github.com/lfuelling/lrkFM/issues/17","show")</f>
        <v>show</v>
      </c>
      <c r="E10352" t="str">
        <f>HYPERLINK("https://github.com/lfuelling/lrkFM","show")</f>
        <v>show</v>
      </c>
      <c r="F10352" t="str">
        <f>HYPERLINK("https://github.com/lfuelling/lrkFM/releases","show")</f>
        <v>show</v>
      </c>
    </row>
    <row r="10353" spans="1:6">
      <c r="A10353" t="s">
        <v>30761</v>
      </c>
      <c r="B10353" t="s">
        <v>30762</v>
      </c>
      <c r="C10353" t="s">
        <v>30763</v>
      </c>
      <c r="D10353" t="str">
        <f>HYPERLINK("https://github.com/lfuelling/lrkFM/issues/16","show")</f>
        <v>show</v>
      </c>
      <c r="E10353" t="str">
        <f>HYPERLINK("https://github.com/lfuelling/lrkFM","show")</f>
        <v>show</v>
      </c>
      <c r="F10353" t="str">
        <f>HYPERLINK("https://github.com/lfuelling/lrkFM/releases","show")</f>
        <v>show</v>
      </c>
    </row>
    <row r="10354" spans="1:6">
      <c r="A10354" t="s">
        <v>30764</v>
      </c>
      <c r="B10354" t="s">
        <v>30765</v>
      </c>
      <c r="C10354" t="s">
        <v>30766</v>
      </c>
      <c r="D10354" t="str">
        <f>HYPERLINK("https://github.com/lfuelling/lrkFM/issues/15","show")</f>
        <v>show</v>
      </c>
      <c r="E10354" t="str">
        <f>HYPERLINK("https://github.com/lfuelling/lrkFM","show")</f>
        <v>show</v>
      </c>
      <c r="F10354" t="str">
        <f>HYPERLINK("https://github.com/lfuelling/lrkFM/releases","show")</f>
        <v>show</v>
      </c>
    </row>
    <row r="10355" spans="1:6">
      <c r="A10355" t="s">
        <v>30767</v>
      </c>
      <c r="B10355" t="s">
        <v>30768</v>
      </c>
      <c r="C10355" t="s">
        <v>30769</v>
      </c>
      <c r="D10355" t="str">
        <f>HYPERLINK("https://github.com/OneBusAway/onebusaway-android/issues/878","show")</f>
        <v>show</v>
      </c>
      <c r="E10355" t="str">
        <f>HYPERLINK("https://github.com/OneBusAway/onebusaway-android","show")</f>
        <v>show</v>
      </c>
      <c r="F10355" t="str">
        <f>HYPERLINK("https://github.com/OneBusAway/onebusaway-android/releases","show")</f>
        <v>show</v>
      </c>
    </row>
    <row r="10356" spans="1:6">
      <c r="A10356" t="s">
        <v>30770</v>
      </c>
      <c r="B10356" t="s">
        <v>30771</v>
      </c>
      <c r="C10356" t="s">
        <v>30772</v>
      </c>
      <c r="D10356" t="str">
        <f>HYPERLINK("https://github.com/dimagi/commcare-android/issues/2005","show")</f>
        <v>show</v>
      </c>
      <c r="E10356" t="str">
        <f>HYPERLINK("https://github.com/dimagi/commcare-android","show")</f>
        <v>show</v>
      </c>
      <c r="F10356" t="str">
        <f>HYPERLINK("https://github.com/dimagi/commcare-android/releases","show")</f>
        <v>show</v>
      </c>
    </row>
    <row r="10357" spans="1:6">
      <c r="A10357" t="s">
        <v>30773</v>
      </c>
      <c r="B10357" t="s">
        <v>30774</v>
      </c>
      <c r="C10357" t="s">
        <v>30775</v>
      </c>
      <c r="D10357" t="str">
        <f>HYPERLINK("https://github.com/react-native-camera/react-native-camera/issues/1567","show")</f>
        <v>show</v>
      </c>
      <c r="E10357" t="str">
        <f>HYPERLINK("https://github.com/react-native-camera/react-native-camera","show")</f>
        <v>show</v>
      </c>
      <c r="F10357" t="str">
        <f>HYPERLINK("https://github.com/react-native-camera/react-native-camera/releases","show")</f>
        <v>show</v>
      </c>
    </row>
    <row r="10358" spans="1:6">
      <c r="A10358" t="s">
        <v>30776</v>
      </c>
      <c r="B10358" t="s">
        <v>30777</v>
      </c>
      <c r="C10358" t="s">
        <v>30778</v>
      </c>
      <c r="D10358" t="str">
        <f>HYPERLINK("https://github.com/lfuelling/lrkFM/issues/14","show")</f>
        <v>show</v>
      </c>
      <c r="E10358" t="str">
        <f>HYPERLINK("https://github.com/lfuelling/lrkFM","show")</f>
        <v>show</v>
      </c>
      <c r="F10358" t="str">
        <f>HYPERLINK("https://github.com/lfuelling/lrkFM/releases","show")</f>
        <v>show</v>
      </c>
    </row>
    <row r="10359" spans="1:6">
      <c r="A10359" t="s">
        <v>30779</v>
      </c>
      <c r="B10359" t="s">
        <v>30780</v>
      </c>
      <c r="C10359" t="s">
        <v>30781</v>
      </c>
      <c r="D10359" t="str">
        <f>HYPERLINK("https://github.com/mapbox/mapbox-events-android/issues/147","show")</f>
        <v>show</v>
      </c>
      <c r="E10359" t="str">
        <f>HYPERLINK("https://github.com/mapbox/mapbox-events-android","show")</f>
        <v>show</v>
      </c>
      <c r="F10359" t="str">
        <f>HYPERLINK("https://github.com/mapbox/mapbox-events-android/releases","show")</f>
        <v>show</v>
      </c>
    </row>
    <row r="10360" spans="1:6">
      <c r="A10360" t="s">
        <v>30782</v>
      </c>
      <c r="B10360" t="s">
        <v>30783</v>
      </c>
      <c r="C10360" t="s">
        <v>30784</v>
      </c>
      <c r="D10360" t="str">
        <f>HYPERLINK("https://github.com/itprojects/InboxPager/issues/16","show")</f>
        <v>show</v>
      </c>
      <c r="E10360" t="str">
        <f>HYPERLINK("https://github.com/itprojects/InboxPager","show")</f>
        <v>show</v>
      </c>
      <c r="F10360" t="str">
        <f>HYPERLINK("https://github.com/itprojects/InboxPager/releases","show")</f>
        <v>show</v>
      </c>
    </row>
    <row r="10361" spans="1:6">
      <c r="A10361" t="s">
        <v>30785</v>
      </c>
      <c r="B10361" t="s">
        <v>30786</v>
      </c>
      <c r="C10361" t="s">
        <v>30787</v>
      </c>
      <c r="D10361" t="str">
        <f>HYPERLINK("https://github.com/itprojects/InboxPager/issues/15","show")</f>
        <v>show</v>
      </c>
      <c r="E10361" t="str">
        <f>HYPERLINK("https://github.com/itprojects/InboxPager","show")</f>
        <v>show</v>
      </c>
      <c r="F10361" t="str">
        <f>HYPERLINK("https://github.com/itprojects/InboxPager/releases","show")</f>
        <v>show</v>
      </c>
    </row>
    <row r="10362" spans="1:6">
      <c r="A10362" t="s">
        <v>30788</v>
      </c>
      <c r="B10362" t="s">
        <v>30786</v>
      </c>
      <c r="C10362" t="s">
        <v>30789</v>
      </c>
      <c r="D10362" t="str">
        <f>HYPERLINK("https://github.com/itprojects/InboxPager/issues/13","show")</f>
        <v>show</v>
      </c>
      <c r="E10362" t="str">
        <f>HYPERLINK("https://github.com/itprojects/InboxPager","show")</f>
        <v>show</v>
      </c>
      <c r="F10362" t="str">
        <f>HYPERLINK("https://github.com/itprojects/InboxPager/releases","show")</f>
        <v>show</v>
      </c>
    </row>
    <row r="10363" spans="1:6">
      <c r="A10363" t="s">
        <v>30790</v>
      </c>
      <c r="B10363" t="s">
        <v>30791</v>
      </c>
      <c r="C10363" t="s">
        <v>30792</v>
      </c>
      <c r="D10363" t="str">
        <f>HYPERLINK("https://github.com/react-native-camera/react-native-camera/issues/1562","show")</f>
        <v>show</v>
      </c>
      <c r="E10363" t="str">
        <f>HYPERLINK("https://github.com/react-native-camera/react-native-camera","show")</f>
        <v>show</v>
      </c>
      <c r="F10363" t="str">
        <f>HYPERLINK("https://github.com/react-native-camera/react-native-camera/releases","show")</f>
        <v>show</v>
      </c>
    </row>
    <row r="10364" spans="1:6">
      <c r="A10364" t="s">
        <v>30793</v>
      </c>
      <c r="B10364" t="s">
        <v>30794</v>
      </c>
      <c r="C10364" t="s">
        <v>30795</v>
      </c>
      <c r="D10364" t="str">
        <f>HYPERLINK("https://github.com/square/okhttp/issues/4008","show")</f>
        <v>show</v>
      </c>
      <c r="E10364" t="str">
        <f>HYPERLINK("https://github.com/square/okhttp","show")</f>
        <v>show</v>
      </c>
      <c r="F10364" t="str">
        <f>HYPERLINK("https://github.com/square/okhttp/releases","show")</f>
        <v>show</v>
      </c>
    </row>
    <row r="10365" spans="1:6">
      <c r="A10365" t="s">
        <v>30796</v>
      </c>
      <c r="B10365" t="s">
        <v>30797</v>
      </c>
      <c r="C10365" t="s">
        <v>30798</v>
      </c>
      <c r="D10365" t="str">
        <f>HYPERLINK("https://github.com/k3b/ToGoZip/issues/10","show")</f>
        <v>show</v>
      </c>
      <c r="E10365" t="str">
        <f>HYPERLINK("https://github.com/k3b/ToGoZip","show")</f>
        <v>show</v>
      </c>
      <c r="F10365" t="str">
        <f>HYPERLINK("https://github.com/k3b/ToGoZip/releases","show")</f>
        <v>show</v>
      </c>
    </row>
    <row r="10366" spans="1:6">
      <c r="A10366" t="s">
        <v>30799</v>
      </c>
      <c r="B10366" t="s">
        <v>30800</v>
      </c>
      <c r="C10366" t="s">
        <v>30801</v>
      </c>
      <c r="D10366" t="str">
        <f>HYPERLINK("https://github.com/getodk/collect/issues/2214","show")</f>
        <v>show</v>
      </c>
      <c r="E10366" t="str">
        <f>HYPERLINK("https://github.com/getodk/collect","show")</f>
        <v>show</v>
      </c>
      <c r="F10366" t="str">
        <f>HYPERLINK("https://github.com/getodk/collect/releases","show")</f>
        <v>show</v>
      </c>
    </row>
    <row r="10367" spans="1:6">
      <c r="A10367" t="s">
        <v>30802</v>
      </c>
      <c r="B10367" t="s">
        <v>30803</v>
      </c>
      <c r="C10367" t="s">
        <v>30804</v>
      </c>
      <c r="D10367" t="str">
        <f>HYPERLINK("https://github.com/smartdevicelink/sdl_java_suite/issues/761","show")</f>
        <v>show</v>
      </c>
      <c r="E10367" t="str">
        <f>HYPERLINK("https://github.com/smartdevicelink/sdl_java_suite","show")</f>
        <v>show</v>
      </c>
      <c r="F10367" t="str">
        <f>HYPERLINK("https://github.com/smartdevicelink/sdl_java_suite/releases","show")</f>
        <v>show</v>
      </c>
    </row>
    <row r="10368" spans="1:6">
      <c r="A10368" t="s">
        <v>30805</v>
      </c>
      <c r="B10368" t="s">
        <v>30806</v>
      </c>
      <c r="C10368" t="s">
        <v>30807</v>
      </c>
      <c r="D10368" t="str">
        <f>HYPERLINK("https://github.com/metinkale38/prayer-times-android/issues/121","show")</f>
        <v>show</v>
      </c>
      <c r="E10368" t="str">
        <f>HYPERLINK("https://github.com/metinkale38/prayer-times-android","show")</f>
        <v>show</v>
      </c>
      <c r="F10368" t="str">
        <f>HYPERLINK("https://github.com/metinkale38/prayer-times-android/releases","show")</f>
        <v>show</v>
      </c>
    </row>
    <row r="10369" spans="1:6">
      <c r="A10369" t="s">
        <v>30808</v>
      </c>
      <c r="B10369" t="s">
        <v>30809</v>
      </c>
      <c r="C10369" t="s">
        <v>30810</v>
      </c>
      <c r="D10369" t="str">
        <f>HYPERLINK("https://github.com/niclabs/adkintunmobile-androidclient/issues/192","show")</f>
        <v>show</v>
      </c>
      <c r="E10369" t="str">
        <f>HYPERLINK("https://github.com/niclabs/adkintunmobile-androidclient","show")</f>
        <v>show</v>
      </c>
      <c r="F10369" t="str">
        <f>HYPERLINK("https://github.com/niclabs/adkintunmobile-androidclient/releases","show")</f>
        <v>show</v>
      </c>
    </row>
    <row r="10370" spans="1:6">
      <c r="A10370" t="s">
        <v>30811</v>
      </c>
      <c r="B10370" t="s">
        <v>30812</v>
      </c>
      <c r="C10370" t="s">
        <v>30813</v>
      </c>
      <c r="D10370" t="str">
        <f>HYPERLINK("https://github.com/google-ar/sceneform-android-sdk/issues/28","show")</f>
        <v>show</v>
      </c>
      <c r="E10370" t="str">
        <f>HYPERLINK("https://github.com/google-ar/sceneform-android-sdk","show")</f>
        <v>show</v>
      </c>
      <c r="F10370" t="str">
        <f>HYPERLINK("https://github.com/google-ar/sceneform-android-sdk/releases","show")</f>
        <v>show</v>
      </c>
    </row>
    <row r="10371" spans="1:6">
      <c r="A10371" t="s">
        <v>30814</v>
      </c>
      <c r="B10371" t="s">
        <v>30815</v>
      </c>
      <c r="C10371" t="s">
        <v>30816</v>
      </c>
      <c r="D10371" t="str">
        <f>HYPERLINK("https://github.com/syncthing/syncthing-android/issues/1090","show")</f>
        <v>show</v>
      </c>
      <c r="E10371" t="str">
        <f>HYPERLINK("https://github.com/syncthing/syncthing-android","show")</f>
        <v>show</v>
      </c>
      <c r="F10371" t="str">
        <f>HYPERLINK("https://github.com/syncthing/syncthing-android/releases","show")</f>
        <v>show</v>
      </c>
    </row>
    <row r="10372" spans="1:6">
      <c r="A10372" t="s">
        <v>30817</v>
      </c>
      <c r="B10372" t="s">
        <v>30818</v>
      </c>
      <c r="C10372" t="s">
        <v>30819</v>
      </c>
      <c r="D10372" t="str">
        <f>HYPERLINK("https://github.com/renyuneyun/Easer/issues/101","show")</f>
        <v>show</v>
      </c>
      <c r="E10372" t="str">
        <f>HYPERLINK("https://github.com/renyuneyun/Easer","show")</f>
        <v>show</v>
      </c>
      <c r="F10372" t="str">
        <f>HYPERLINK("https://github.com/renyuneyun/Easer/releases","show")</f>
        <v>show</v>
      </c>
    </row>
    <row r="10373" spans="1:6">
      <c r="A10373" t="s">
        <v>30820</v>
      </c>
      <c r="B10373" t="s">
        <v>30821</v>
      </c>
      <c r="C10373" t="s">
        <v>30822</v>
      </c>
      <c r="D10373" t="str">
        <f>HYPERLINK("https://github.com/or-dvir/EasySettings/issues/1","show")</f>
        <v>show</v>
      </c>
      <c r="E10373" t="str">
        <f>HYPERLINK("https://github.com/or-dvir/EasySettings","show")</f>
        <v>show</v>
      </c>
      <c r="F10373" t="str">
        <f>HYPERLINK("https://github.com/or-dvir/EasySettings/releases","show")</f>
        <v>show</v>
      </c>
    </row>
    <row r="10374" spans="1:6">
      <c r="A10374" t="s">
        <v>30823</v>
      </c>
      <c r="B10374" t="s">
        <v>30824</v>
      </c>
      <c r="C10374" t="s">
        <v>30825</v>
      </c>
      <c r="D10374" t="str">
        <f>HYPERLINK("https://github.com/18Gray/ProCamera/issues/26","show")</f>
        <v>show</v>
      </c>
      <c r="E10374" t="str">
        <f>HYPERLINK("https://github.com/18Gray/ProCamera","show")</f>
        <v>show</v>
      </c>
      <c r="F10374" t="str">
        <f>HYPERLINK("https://github.com/18Gray/ProCamera/releases","show")</f>
        <v>show</v>
      </c>
    </row>
    <row r="10375" spans="1:6">
      <c r="A10375" t="s">
        <v>30826</v>
      </c>
      <c r="B10375" t="s">
        <v>30827</v>
      </c>
      <c r="C10375" t="s">
        <v>30828</v>
      </c>
      <c r="D10375" t="str">
        <f>HYPERLINK("https://github.com/nvllsvm/Audinaut/issues/30","show")</f>
        <v>show</v>
      </c>
      <c r="E10375" t="str">
        <f>HYPERLINK("https://github.com/nvllsvm/Audinaut","show")</f>
        <v>show</v>
      </c>
      <c r="F10375" t="str">
        <f>HYPERLINK("https://github.com/nvllsvm/Audinaut/releases","show")</f>
        <v>show</v>
      </c>
    </row>
    <row r="10376" spans="1:6">
      <c r="A10376" t="s">
        <v>30829</v>
      </c>
      <c r="B10376" t="s">
        <v>30830</v>
      </c>
      <c r="C10376" t="s">
        <v>30831</v>
      </c>
      <c r="D10376" t="str">
        <f>HYPERLINK("https://github.com/UnevenSoftware/LeafPic/issues/569","show")</f>
        <v>show</v>
      </c>
      <c r="E10376" t="str">
        <f>HYPERLINK("https://github.com/UnevenSoftware/LeafPic","show")</f>
        <v>show</v>
      </c>
      <c r="F10376" t="str">
        <f>HYPERLINK("https://github.com/UnevenSoftware/LeafPic/releases","show")</f>
        <v>show</v>
      </c>
    </row>
    <row r="10377" spans="1:6">
      <c r="A10377" t="s">
        <v>30832</v>
      </c>
      <c r="B10377" t="s">
        <v>30833</v>
      </c>
      <c r="C10377" t="s">
        <v>30834</v>
      </c>
      <c r="D10377" t="str">
        <f>HYPERLINK("https://github.com/koral--/android-gif-drawable/issues/547","show")</f>
        <v>show</v>
      </c>
      <c r="E10377" t="str">
        <f>HYPERLINK("https://github.com/koral--/android-gif-drawable","show")</f>
        <v>show</v>
      </c>
      <c r="F10377" t="str">
        <f>HYPERLINK("https://github.com/koral--/android-gif-drawable/releases","show")</f>
        <v>show</v>
      </c>
    </row>
    <row r="10378" spans="1:6">
      <c r="A10378" t="s">
        <v>30835</v>
      </c>
      <c r="B10378" t="s">
        <v>30836</v>
      </c>
      <c r="C10378" t="s">
        <v>30837</v>
      </c>
      <c r="D10378" t="str">
        <f>HYPERLINK("https://github.com/coding-blocks/Chatter/issues/26","show")</f>
        <v>show</v>
      </c>
      <c r="E10378" t="str">
        <f>HYPERLINK("https://github.com/coding-blocks/Chatter","show")</f>
        <v>show</v>
      </c>
      <c r="F10378" t="str">
        <f>HYPERLINK("https://github.com/coding-blocks/Chatter/releases","show")</f>
        <v>show</v>
      </c>
    </row>
    <row r="10379" spans="1:6">
      <c r="A10379" t="s">
        <v>30838</v>
      </c>
      <c r="B10379" t="s">
        <v>30839</v>
      </c>
      <c r="C10379" t="s">
        <v>30840</v>
      </c>
      <c r="D10379" t="str">
        <f>HYPERLINK("https://github.com/renyuneyun/Easer/issues/97","show")</f>
        <v>show</v>
      </c>
      <c r="E10379" t="str">
        <f>HYPERLINK("https://github.com/renyuneyun/Easer","show")</f>
        <v>show</v>
      </c>
      <c r="F10379" t="str">
        <f>HYPERLINK("https://github.com/renyuneyun/Easer/releases","show")</f>
        <v>show</v>
      </c>
    </row>
    <row r="10380" spans="1:6">
      <c r="A10380" t="s">
        <v>30841</v>
      </c>
      <c r="B10380" t="s">
        <v>30842</v>
      </c>
      <c r="C10380" t="s">
        <v>30843</v>
      </c>
      <c r="D10380" t="str">
        <f>HYPERLINK("https://github.com/MozillaReality/FirefoxReality/issues/33","show")</f>
        <v>show</v>
      </c>
      <c r="E10380" t="str">
        <f>HYPERLINK("https://github.com/MozillaReality/FirefoxReality","show")</f>
        <v>show</v>
      </c>
      <c r="F10380" t="str">
        <f>HYPERLINK("https://github.com/MozillaReality/FirefoxReality/releases","show")</f>
        <v>show</v>
      </c>
    </row>
    <row r="10381" spans="1:6">
      <c r="A10381" t="s">
        <v>30844</v>
      </c>
      <c r="B10381" t="s">
        <v>30845</v>
      </c>
      <c r="C10381" t="s">
        <v>30846</v>
      </c>
      <c r="D10381" t="str">
        <f>HYPERLINK("https://github.com/jklmnn/ParkenDD/issues/51","show")</f>
        <v>show</v>
      </c>
      <c r="E10381" t="str">
        <f>HYPERLINK("https://github.com/jklmnn/ParkenDD","show")</f>
        <v>show</v>
      </c>
      <c r="F10381" t="str">
        <f>HYPERLINK("https://github.com/jklmnn/ParkenDD/releases","show")</f>
        <v>show</v>
      </c>
    </row>
    <row r="10382" spans="1:6">
      <c r="A10382" t="s">
        <v>30847</v>
      </c>
      <c r="B10382" t="s">
        <v>30848</v>
      </c>
      <c r="C10382" t="s">
        <v>30849</v>
      </c>
      <c r="D10382" t="str">
        <f>HYPERLINK("https://github.com/Neamar/KISS/issues/992","show")</f>
        <v>show</v>
      </c>
      <c r="E10382" t="str">
        <f>HYPERLINK("https://github.com/Neamar/KISS","show")</f>
        <v>show</v>
      </c>
      <c r="F10382" t="str">
        <f>HYPERLINK("https://github.com/Neamar/KISS/releases","show")</f>
        <v>show</v>
      </c>
    </row>
    <row r="10383" spans="1:6">
      <c r="A10383" t="s">
        <v>30850</v>
      </c>
      <c r="B10383" t="s">
        <v>30851</v>
      </c>
      <c r="C10383" t="s">
        <v>30852</v>
      </c>
      <c r="D10383" t="str">
        <f>HYPERLINK("https://github.com/fossasia/pslab-android/issues/873","show")</f>
        <v>show</v>
      </c>
      <c r="E10383" t="str">
        <f>HYPERLINK("https://github.com/fossasia/pslab-android","show")</f>
        <v>show</v>
      </c>
      <c r="F10383" t="str">
        <f>HYPERLINK("https://github.com/fossasia/pslab-android/releases","show")</f>
        <v>show</v>
      </c>
    </row>
    <row r="10384" spans="1:6">
      <c r="A10384" t="s">
        <v>30853</v>
      </c>
      <c r="B10384" t="s">
        <v>30854</v>
      </c>
      <c r="C10384" t="s">
        <v>30855</v>
      </c>
      <c r="D10384" t="str">
        <f>HYPERLINK("https://github.com/nextcloud/android/issues/2574","show")</f>
        <v>show</v>
      </c>
      <c r="E10384" t="str">
        <f>HYPERLINK("https://github.com/nextcloud/android","show")</f>
        <v>show</v>
      </c>
      <c r="F10384" t="str">
        <f>HYPERLINK("https://github.com/nextcloud/android/releases","show")</f>
        <v>show</v>
      </c>
    </row>
    <row r="10385" spans="1:6">
      <c r="A10385" t="s">
        <v>30856</v>
      </c>
      <c r="B10385" t="s">
        <v>30857</v>
      </c>
      <c r="C10385" t="s">
        <v>30858</v>
      </c>
      <c r="D10385" t="str">
        <f>HYPERLINK("https://github.com/dnet/adsdroid/issues/21","show")</f>
        <v>show</v>
      </c>
      <c r="E10385" t="str">
        <f>HYPERLINK("https://github.com/dnet/adsdroid","show")</f>
        <v>show</v>
      </c>
      <c r="F10385" t="str">
        <f>HYPERLINK("https://github.com/dnet/adsdroid/releases","show")</f>
        <v>show</v>
      </c>
    </row>
    <row r="10386" spans="1:6">
      <c r="A10386" t="s">
        <v>30859</v>
      </c>
      <c r="B10386" t="s">
        <v>30860</v>
      </c>
      <c r="C10386" t="s">
        <v>30861</v>
      </c>
      <c r="D10386" t="str">
        <f>HYPERLINK("https://github.com/consp1racy/android-support-preference/issues/105","show")</f>
        <v>show</v>
      </c>
      <c r="E10386" t="str">
        <f>HYPERLINK("https://github.com/consp1racy/android-support-preference","show")</f>
        <v>show</v>
      </c>
      <c r="F10386" t="str">
        <f>HYPERLINK("https://github.com/consp1racy/android-support-preference/releases","show")</f>
        <v>show</v>
      </c>
    </row>
    <row r="10387" spans="1:6">
      <c r="A10387" t="s">
        <v>30862</v>
      </c>
      <c r="B10387" t="s">
        <v>30863</v>
      </c>
      <c r="C10387" t="s">
        <v>30864</v>
      </c>
      <c r="D10387" t="str">
        <f>HYPERLINK("https://github.com/hallsjj08/on-call-manager/issues/4","show")</f>
        <v>show</v>
      </c>
      <c r="E10387" t="str">
        <f>HYPERLINK("https://github.com/hallsjj08/on-call-manager","show")</f>
        <v>show</v>
      </c>
      <c r="F10387" t="str">
        <f>HYPERLINK("https://github.com/hallsjj08/on-call-manager/releases","show")</f>
        <v>show</v>
      </c>
    </row>
    <row r="10388" spans="1:6">
      <c r="A10388" t="s">
        <v>30865</v>
      </c>
      <c r="B10388" t="s">
        <v>30866</v>
      </c>
      <c r="C10388" t="s">
        <v>30867</v>
      </c>
      <c r="D10388" t="str">
        <f>HYPERLINK("https://github.com/JamMarHer/ProjectParadise/issues/18","show")</f>
        <v>show</v>
      </c>
      <c r="E10388" t="str">
        <f>HYPERLINK("https://github.com/JamMarHer/ProjectParadise","show")</f>
        <v>show</v>
      </c>
      <c r="F10388" t="str">
        <f>HYPERLINK("https://github.com/JamMarHer/ProjectParadise/releases","show")</f>
        <v>show</v>
      </c>
    </row>
    <row r="10389" spans="1:6">
      <c r="A10389" t="s">
        <v>30868</v>
      </c>
      <c r="B10389" t="s">
        <v>30869</v>
      </c>
      <c r="C10389" t="s">
        <v>30870</v>
      </c>
      <c r="D10389" t="str">
        <f>HYPERLINK("https://github.com/nextcloud/android/issues/2569","show")</f>
        <v>show</v>
      </c>
      <c r="E10389" t="str">
        <f>HYPERLINK("https://github.com/nextcloud/android","show")</f>
        <v>show</v>
      </c>
      <c r="F10389" t="str">
        <f>HYPERLINK("https://github.com/nextcloud/android/releases","show")</f>
        <v>show</v>
      </c>
    </row>
    <row r="10390" spans="1:6">
      <c r="A10390" t="s">
        <v>30871</v>
      </c>
      <c r="B10390" t="s">
        <v>30872</v>
      </c>
      <c r="C10390" t="s">
        <v>30873</v>
      </c>
      <c r="D10390" t="str">
        <f>HYPERLINK("https://github.com/square/okhttp/issues/3995","show")</f>
        <v>show</v>
      </c>
      <c r="E10390" t="str">
        <f>HYPERLINK("https://github.com/square/okhttp","show")</f>
        <v>show</v>
      </c>
      <c r="F10390" t="str">
        <f>HYPERLINK("https://github.com/square/okhttp/releases","show")</f>
        <v>show</v>
      </c>
    </row>
    <row r="10391" spans="1:6">
      <c r="A10391" t="s">
        <v>30874</v>
      </c>
      <c r="B10391" t="s">
        <v>30875</v>
      </c>
      <c r="C10391" t="s">
        <v>30876</v>
      </c>
      <c r="D10391" t="str">
        <f>HYPERLINK("https://github.com/google/ExoPlayer/issues/4238","show")</f>
        <v>show</v>
      </c>
      <c r="E10391" t="str">
        <f>HYPERLINK("https://github.com/google/ExoPlayer","show")</f>
        <v>show</v>
      </c>
      <c r="F10391" t="str">
        <f>HYPERLINK("https://github.com/google/ExoPlayer/releases","show")</f>
        <v>show</v>
      </c>
    </row>
    <row r="10392" spans="1:6">
      <c r="A10392" t="s">
        <v>30877</v>
      </c>
      <c r="B10392" t="s">
        <v>30878</v>
      </c>
      <c r="C10392" t="s">
        <v>30879</v>
      </c>
      <c r="D10392" t="str">
        <f>HYPERLINK("https://github.com/dimagi/commcare-android/issues/1998","show")</f>
        <v>show</v>
      </c>
      <c r="E10392" t="str">
        <f>HYPERLINK("https://github.com/dimagi/commcare-android","show")</f>
        <v>show</v>
      </c>
      <c r="F10392" t="str">
        <f>HYPERLINK("https://github.com/dimagi/commcare-android/releases","show")</f>
        <v>show</v>
      </c>
    </row>
    <row r="10393" spans="1:6">
      <c r="A10393" t="s">
        <v>30880</v>
      </c>
      <c r="B10393" t="s">
        <v>30881</v>
      </c>
      <c r="C10393" t="s">
        <v>30882</v>
      </c>
      <c r="D10393" t="str">
        <f>HYPERLINK("https://github.com/PhilJay/MPAndroidChart/issues/4023","show")</f>
        <v>show</v>
      </c>
      <c r="E10393" t="str">
        <f>HYPERLINK("https://github.com/PhilJay/MPAndroidChart","show")</f>
        <v>show</v>
      </c>
      <c r="F10393" t="str">
        <f>HYPERLINK("https://github.com/PhilJay/MPAndroidChart/releases","show")</f>
        <v>show</v>
      </c>
    </row>
    <row r="10394" spans="1:6">
      <c r="A10394" t="s">
        <v>30883</v>
      </c>
      <c r="B10394" t="s">
        <v>22482</v>
      </c>
      <c r="C10394" t="s">
        <v>30884</v>
      </c>
      <c r="D10394" t="str">
        <f>HYPERLINK("https://github.com/dnet/adsdroid/issues/20","show")</f>
        <v>show</v>
      </c>
      <c r="E10394" t="str">
        <f>HYPERLINK("https://github.com/dnet/adsdroid","show")</f>
        <v>show</v>
      </c>
      <c r="F10394" t="str">
        <f>HYPERLINK("https://github.com/dnet/adsdroid/releases","show")</f>
        <v>show</v>
      </c>
    </row>
    <row r="10395" spans="1:6">
      <c r="A10395" t="s">
        <v>30885</v>
      </c>
      <c r="B10395" t="s">
        <v>30886</v>
      </c>
      <c r="C10395" t="s">
        <v>30887</v>
      </c>
      <c r="D10395" t="str">
        <f>HYPERLINK("https://github.com/kollerlukas/Camera-Roll-Android-App/issues/188","show")</f>
        <v>show</v>
      </c>
      <c r="E10395" t="str">
        <f>HYPERLINK("https://github.com/kollerlukas/Camera-Roll-Android-App","show")</f>
        <v>show</v>
      </c>
      <c r="F10395" t="str">
        <f>HYPERLINK("https://github.com/kollerlukas/Camera-Roll-Android-App/releases","show")</f>
        <v>show</v>
      </c>
    </row>
    <row r="10396" spans="1:6">
      <c r="A10396" t="s">
        <v>30888</v>
      </c>
      <c r="B10396" t="s">
        <v>30889</v>
      </c>
      <c r="C10396" t="s">
        <v>30890</v>
      </c>
      <c r="D10396" t="str">
        <f>HYPERLINK("https://github.com/AlexanderEggers/hitogo/issues/3","show")</f>
        <v>show</v>
      </c>
      <c r="E10396" t="str">
        <f>HYPERLINK("https://github.com/AlexanderEggers/hitogo","show")</f>
        <v>show</v>
      </c>
      <c r="F10396" t="str">
        <f>HYPERLINK("https://github.com/AlexanderEggers/hitogo/releases","show")</f>
        <v>show</v>
      </c>
    </row>
    <row r="10397" spans="1:6">
      <c r="A10397" t="s">
        <v>30891</v>
      </c>
      <c r="B10397" t="s">
        <v>30892</v>
      </c>
      <c r="C10397" t="s">
        <v>30893</v>
      </c>
      <c r="D10397" t="str">
        <f>HYPERLINK("https://github.com/forrestguice/SuntimesWidget/issues/198","show")</f>
        <v>show</v>
      </c>
      <c r="E10397" t="str">
        <f>HYPERLINK("https://github.com/forrestguice/SuntimesWidget","show")</f>
        <v>show</v>
      </c>
      <c r="F10397" t="str">
        <f>HYPERLINK("https://github.com/forrestguice/SuntimesWidget/releases","show")</f>
        <v>show</v>
      </c>
    </row>
    <row r="10398" spans="1:6">
      <c r="A10398" t="s">
        <v>30894</v>
      </c>
      <c r="B10398" t="s">
        <v>30895</v>
      </c>
      <c r="C10398" t="s">
        <v>30896</v>
      </c>
      <c r="D10398" t="str">
        <f>HYPERLINK("https://github.com/WeAreFairphone/FP2-Launcher/issues/9","show")</f>
        <v>show</v>
      </c>
      <c r="E10398" t="str">
        <f>HYPERLINK("https://github.com/WeAreFairphone/FP2-Launcher","show")</f>
        <v>show</v>
      </c>
      <c r="F10398" t="str">
        <f>HYPERLINK("https://github.com/WeAreFairphone/FP2-Launcher/releases","show")</f>
        <v>show</v>
      </c>
    </row>
    <row r="10399" spans="1:6">
      <c r="A10399" t="s">
        <v>30897</v>
      </c>
      <c r="B10399" t="s">
        <v>30898</v>
      </c>
      <c r="C10399" t="s">
        <v>30899</v>
      </c>
      <c r="D10399" t="str">
        <f>HYPERLINK("https://github.com/OneBusAway/onebusaway-android/issues/874","show")</f>
        <v>show</v>
      </c>
      <c r="E10399" t="str">
        <f>HYPERLINK("https://github.com/OneBusAway/onebusaway-android","show")</f>
        <v>show</v>
      </c>
      <c r="F10399" t="str">
        <f>HYPERLINK("https://github.com/OneBusAway/onebusaway-android/releases","show")</f>
        <v>show</v>
      </c>
    </row>
    <row r="10400" spans="1:6">
      <c r="A10400" t="s">
        <v>30900</v>
      </c>
      <c r="B10400" t="s">
        <v>30901</v>
      </c>
      <c r="C10400" t="s">
        <v>30902</v>
      </c>
      <c r="D10400" t="str">
        <f>HYPERLINK("https://github.com/fennifith/Alarmio/issues/2","show")</f>
        <v>show</v>
      </c>
      <c r="E10400" t="str">
        <f>HYPERLINK("https://github.com/fennifith/Alarmio","show")</f>
        <v>show</v>
      </c>
      <c r="F10400" t="str">
        <f>HYPERLINK("https://github.com/fennifith/Alarmio/releases","show")</f>
        <v>show</v>
      </c>
    </row>
    <row r="10401" spans="1:6">
      <c r="A10401" t="s">
        <v>30903</v>
      </c>
      <c r="B10401" t="s">
        <v>30904</v>
      </c>
      <c r="C10401" t="s">
        <v>30905</v>
      </c>
      <c r="D10401" t="str">
        <f>HYPERLINK("https://github.com/dimagi/commcare-android/issues/1994","show")</f>
        <v>show</v>
      </c>
      <c r="E10401" t="str">
        <f>HYPERLINK("https://github.com/dimagi/commcare-android","show")</f>
        <v>show</v>
      </c>
      <c r="F10401" t="str">
        <f>HYPERLINK("https://github.com/dimagi/commcare-android/releases","show")</f>
        <v>show</v>
      </c>
    </row>
    <row r="10402" spans="1:6">
      <c r="A10402" t="s">
        <v>30906</v>
      </c>
      <c r="B10402" t="s">
        <v>30907</v>
      </c>
      <c r="C10402" t="s">
        <v>30908</v>
      </c>
      <c r="D10402" t="str">
        <f>HYPERLINK("https://github.com/react-native-camera/react-native-camera/issues/1550","show")</f>
        <v>show</v>
      </c>
      <c r="E10402" t="str">
        <f>HYPERLINK("https://github.com/react-native-camera/react-native-camera","show")</f>
        <v>show</v>
      </c>
      <c r="F10402" t="str">
        <f>HYPERLINK("https://github.com/react-native-camera/react-native-camera/releases","show")</f>
        <v>show</v>
      </c>
    </row>
    <row r="10403" spans="1:6">
      <c r="A10403" t="s">
        <v>30909</v>
      </c>
      <c r="B10403" t="s">
        <v>30910</v>
      </c>
      <c r="C10403" t="s">
        <v>30911</v>
      </c>
      <c r="D10403" t="str">
        <f>HYPERLINK("https://github.com/nextcloud/android/issues/2560","show")</f>
        <v>show</v>
      </c>
      <c r="E10403" t="str">
        <f>HYPERLINK("https://github.com/nextcloud/android","show")</f>
        <v>show</v>
      </c>
      <c r="F10403" t="str">
        <f>HYPERLINK("https://github.com/nextcloud/android/releases","show")</f>
        <v>show</v>
      </c>
    </row>
    <row r="10404" spans="1:6">
      <c r="A10404" t="s">
        <v>30912</v>
      </c>
      <c r="B10404" t="s">
        <v>30913</v>
      </c>
      <c r="C10404" t="s">
        <v>30914</v>
      </c>
      <c r="D10404" t="str">
        <f>HYPERLINK("https://github.com/mapbox/mapbox-events-android/issues/137","show")</f>
        <v>show</v>
      </c>
      <c r="E10404" t="str">
        <f>HYPERLINK("https://github.com/mapbox/mapbox-events-android","show")</f>
        <v>show</v>
      </c>
      <c r="F10404" t="str">
        <f>HYPERLINK("https://github.com/mapbox/mapbox-events-android/releases","show")</f>
        <v>show</v>
      </c>
    </row>
    <row r="10405" spans="1:6">
      <c r="A10405" t="s">
        <v>30915</v>
      </c>
      <c r="B10405" t="s">
        <v>30916</v>
      </c>
      <c r="C10405" t="s">
        <v>30917</v>
      </c>
      <c r="D10405" t="str">
        <f>HYPERLINK("https://github.com/mapbox/mapbox-events-android/issues/136","show")</f>
        <v>show</v>
      </c>
      <c r="E10405" t="str">
        <f>HYPERLINK("https://github.com/mapbox/mapbox-events-android","show")</f>
        <v>show</v>
      </c>
      <c r="F10405" t="str">
        <f>HYPERLINK("https://github.com/mapbox/mapbox-events-android/releases","show")</f>
        <v>show</v>
      </c>
    </row>
    <row r="10406" spans="1:6">
      <c r="A10406" t="s">
        <v>30918</v>
      </c>
      <c r="B10406" t="s">
        <v>30919</v>
      </c>
      <c r="C10406" t="s">
        <v>30920</v>
      </c>
      <c r="D10406" t="str">
        <f>HYPERLINK("https://github.com/WeAreFairphone/FP2-Launcher/issues/7","show")</f>
        <v>show</v>
      </c>
      <c r="E10406" t="str">
        <f>HYPERLINK("https://github.com/WeAreFairphone/FP2-Launcher","show")</f>
        <v>show</v>
      </c>
      <c r="F10406" t="str">
        <f>HYPERLINK("https://github.com/WeAreFairphone/FP2-Launcher/releases","show")</f>
        <v>show</v>
      </c>
    </row>
    <row r="10407" spans="1:6">
      <c r="A10407" t="s">
        <v>30921</v>
      </c>
      <c r="B10407" t="s">
        <v>30922</v>
      </c>
      <c r="C10407" t="s">
        <v>30923</v>
      </c>
      <c r="D10407" t="str">
        <f>HYPERLINK("https://github.com/nextcloud/news-android/issues/632","show")</f>
        <v>show</v>
      </c>
      <c r="E10407" t="str">
        <f>HYPERLINK("https://github.com/nextcloud/news-android","show")</f>
        <v>show</v>
      </c>
      <c r="F10407" t="str">
        <f>HYPERLINK("https://github.com/nextcloud/news-android/releases","show")</f>
        <v>show</v>
      </c>
    </row>
    <row r="10408" spans="1:6">
      <c r="A10408" t="s">
        <v>30924</v>
      </c>
      <c r="B10408" t="s">
        <v>30925</v>
      </c>
      <c r="C10408" t="s">
        <v>30926</v>
      </c>
      <c r="D10408" t="str">
        <f>HYPERLINK("https://github.com/nextcloud/android/issues/2556","show")</f>
        <v>show</v>
      </c>
      <c r="E10408" t="str">
        <f>HYPERLINK("https://github.com/nextcloud/android","show")</f>
        <v>show</v>
      </c>
      <c r="F10408" t="str">
        <f>HYPERLINK("https://github.com/nextcloud/android/releases","show")</f>
        <v>show</v>
      </c>
    </row>
    <row r="10409" spans="1:6">
      <c r="A10409" t="s">
        <v>30927</v>
      </c>
      <c r="B10409" t="s">
        <v>30928</v>
      </c>
      <c r="C10409" t="s">
        <v>30929</v>
      </c>
      <c r="D10409" t="str">
        <f>HYPERLINK("https://github.com/phamhongphuc/uit.money/issues/2","show")</f>
        <v>show</v>
      </c>
      <c r="E10409" t="str">
        <f>HYPERLINK("https://github.com/phamhongphuc/uit.money","show")</f>
        <v>show</v>
      </c>
      <c r="F10409" t="str">
        <f>HYPERLINK("https://github.com/phamhongphuc/uit.money/releases","show")</f>
        <v>show</v>
      </c>
    </row>
    <row r="10410" spans="1:6">
      <c r="A10410" t="s">
        <v>30930</v>
      </c>
      <c r="B10410" t="s">
        <v>30931</v>
      </c>
      <c r="C10410" t="s">
        <v>30932</v>
      </c>
      <c r="D10410" t="str">
        <f>HYPERLINK("https://github.com/Doctoror/PainlessMusicPlayer/issues/4","show")</f>
        <v>show</v>
      </c>
      <c r="E10410" t="str">
        <f>HYPERLINK("https://github.com/Doctoror/PainlessMusicPlayer","show")</f>
        <v>show</v>
      </c>
      <c r="F10410" t="str">
        <f>HYPERLINK("https://github.com/Doctoror/PainlessMusicPlayer/releases","show")</f>
        <v>show</v>
      </c>
    </row>
    <row r="10411" spans="1:6">
      <c r="A10411" t="s">
        <v>30933</v>
      </c>
      <c r="B10411" t="s">
        <v>30934</v>
      </c>
      <c r="C10411" t="s">
        <v>30935</v>
      </c>
      <c r="D10411" t="str">
        <f>HYPERLINK("https://github.com/EntireNewsProject/Android-App/issues/12","show")</f>
        <v>show</v>
      </c>
      <c r="E10411" t="str">
        <f>HYPERLINK("https://github.com/EntireNewsProject/Android-App","show")</f>
        <v>show</v>
      </c>
      <c r="F10411" t="str">
        <f>HYPERLINK("https://github.com/EntireNewsProject/Android-App/releases","show")</f>
        <v>show</v>
      </c>
    </row>
    <row r="10412" spans="1:6">
      <c r="A10412" t="s">
        <v>30936</v>
      </c>
      <c r="B10412" t="s">
        <v>30937</v>
      </c>
      <c r="C10412" t="s">
        <v>30938</v>
      </c>
      <c r="D10412" t="str">
        <f>HYPERLINK("https://github.com/geopaparazzi/geopaparazzi/issues/485","show")</f>
        <v>show</v>
      </c>
      <c r="E10412" t="str">
        <f>HYPERLINK("https://github.com/geopaparazzi/geopaparazzi","show")</f>
        <v>show</v>
      </c>
      <c r="F10412" t="str">
        <f>HYPERLINK("https://github.com/geopaparazzi/geopaparazzi/releases","show")</f>
        <v>show</v>
      </c>
    </row>
    <row r="10413" spans="1:6">
      <c r="A10413" t="s">
        <v>30939</v>
      </c>
      <c r="B10413" t="s">
        <v>30940</v>
      </c>
      <c r="C10413" t="s">
        <v>30941</v>
      </c>
      <c r="D10413" t="str">
        <f>HYPERLINK("https://github.com/getodk/collect/issues/2167","show")</f>
        <v>show</v>
      </c>
      <c r="E10413" t="str">
        <f>HYPERLINK("https://github.com/getodk/collect","show")</f>
        <v>show</v>
      </c>
      <c r="F10413" t="str">
        <f>HYPERLINK("https://github.com/getodk/collect/releases","show")</f>
        <v>show</v>
      </c>
    </row>
    <row r="10414" spans="1:6">
      <c r="A10414" t="s">
        <v>30942</v>
      </c>
      <c r="B10414" t="s">
        <v>30943</v>
      </c>
      <c r="C10414" t="s">
        <v>30944</v>
      </c>
      <c r="D10414" t="str">
        <f>HYPERLINK("https://github.com/dashevo/dash-wallet/issues/107","show")</f>
        <v>show</v>
      </c>
      <c r="E10414" t="str">
        <f>HYPERLINK("https://github.com/dashevo/dash-wallet","show")</f>
        <v>show</v>
      </c>
      <c r="F10414" t="str">
        <f>HYPERLINK("https://github.com/dashevo/dash-wallet/releases","show")</f>
        <v>show</v>
      </c>
    </row>
    <row r="10415" spans="1:6">
      <c r="A10415" t="s">
        <v>30945</v>
      </c>
      <c r="B10415" t="s">
        <v>30946</v>
      </c>
      <c r="C10415" t="s">
        <v>30947</v>
      </c>
      <c r="D10415" t="str">
        <f>HYPERLINK("https://github.com/microsoft/EmbeddedSocial-Android-SDK/issues/91","show")</f>
        <v>show</v>
      </c>
      <c r="E10415" t="str">
        <f>HYPERLINK("https://github.com/microsoft/EmbeddedSocial-Android-SDK","show")</f>
        <v>show</v>
      </c>
      <c r="F10415" t="str">
        <f>HYPERLINK("https://github.com/microsoft/EmbeddedSocial-Android-SDK/releases","show")</f>
        <v>show</v>
      </c>
    </row>
    <row r="10416" spans="1:6">
      <c r="A10416" t="s">
        <v>30948</v>
      </c>
      <c r="B10416" t="s">
        <v>30949</v>
      </c>
      <c r="C10416" t="s">
        <v>30950</v>
      </c>
      <c r="D10416" t="str">
        <f>HYPERLINK("https://github.com/mapbox/mapbox-events-android/issues/132","show")</f>
        <v>show</v>
      </c>
      <c r="E10416" t="str">
        <f>HYPERLINK("https://github.com/mapbox/mapbox-events-android","show")</f>
        <v>show</v>
      </c>
      <c r="F10416" t="str">
        <f>HYPERLINK("https://github.com/mapbox/mapbox-events-android/releases","show")</f>
        <v>show</v>
      </c>
    </row>
    <row r="10417" spans="1:6">
      <c r="A10417" t="s">
        <v>30951</v>
      </c>
      <c r="B10417" t="s">
        <v>30952</v>
      </c>
      <c r="C10417" t="s">
        <v>30953</v>
      </c>
      <c r="D10417" t="str">
        <f>HYPERLINK("https://github.com/Maxr1998/MaxLock/issues/136","show")</f>
        <v>show</v>
      </c>
      <c r="E10417" t="str">
        <f>HYPERLINK("https://github.com/Maxr1998/MaxLock","show")</f>
        <v>show</v>
      </c>
      <c r="F10417" t="str">
        <f>HYPERLINK("https://github.com/Maxr1998/MaxLock/releases","show")</f>
        <v>show</v>
      </c>
    </row>
    <row r="10418" spans="1:6">
      <c r="A10418" t="s">
        <v>30954</v>
      </c>
      <c r="B10418" t="s">
        <v>30955</v>
      </c>
      <c r="C10418" t="s">
        <v>30956</v>
      </c>
      <c r="D10418" t="str">
        <f>HYPERLINK("https://github.com/nextcloud/android/issues/2538","show")</f>
        <v>show</v>
      </c>
      <c r="E10418" t="str">
        <f>HYPERLINK("https://github.com/nextcloud/android","show")</f>
        <v>show</v>
      </c>
      <c r="F10418" t="str">
        <f>HYPERLINK("https://github.com/nextcloud/android/releases","show")</f>
        <v>show</v>
      </c>
    </row>
    <row r="10419" spans="1:6">
      <c r="A10419" t="s">
        <v>30957</v>
      </c>
      <c r="B10419" t="s">
        <v>30958</v>
      </c>
      <c r="C10419" t="s">
        <v>30959</v>
      </c>
      <c r="D10419" t="str">
        <f>HYPERLINK("https://github.com/commons-app/apps-android-commons/issues/1483","show")</f>
        <v>show</v>
      </c>
      <c r="E10419" t="str">
        <f>HYPERLINK("https://github.com/commons-app/apps-android-commons","show")</f>
        <v>show</v>
      </c>
      <c r="F10419" t="str">
        <f>HYPERLINK("https://github.com/commons-app/apps-android-commons/releases","show")</f>
        <v>show</v>
      </c>
    </row>
    <row r="10420" spans="1:6">
      <c r="A10420" t="s">
        <v>30960</v>
      </c>
      <c r="B10420" t="s">
        <v>30961</v>
      </c>
      <c r="C10420" t="s">
        <v>30962</v>
      </c>
      <c r="D10420" t="str">
        <f>HYPERLINK("https://github.com/commons-app/apps-android-commons/issues/1480","show")</f>
        <v>show</v>
      </c>
      <c r="E10420" t="str">
        <f>HYPERLINK("https://github.com/commons-app/apps-android-commons","show")</f>
        <v>show</v>
      </c>
      <c r="F10420" t="str">
        <f>HYPERLINK("https://github.com/commons-app/apps-android-commons/releases","show")</f>
        <v>show</v>
      </c>
    </row>
    <row r="10421" spans="1:6">
      <c r="A10421" t="s">
        <v>30963</v>
      </c>
      <c r="B10421" t="s">
        <v>30964</v>
      </c>
      <c r="C10421" t="s">
        <v>30965</v>
      </c>
      <c r="D10421" t="str">
        <f>HYPERLINK("https://github.com/dashevo/dash-wallet/issues/106","show")</f>
        <v>show</v>
      </c>
      <c r="E10421" t="str">
        <f>HYPERLINK("https://github.com/dashevo/dash-wallet","show")</f>
        <v>show</v>
      </c>
      <c r="F10421" t="str">
        <f>HYPERLINK("https://github.com/dashevo/dash-wallet/releases","show")</f>
        <v>show</v>
      </c>
    </row>
    <row r="10422" spans="1:6">
      <c r="A10422" t="s">
        <v>30966</v>
      </c>
      <c r="B10422" t="s">
        <v>30967</v>
      </c>
      <c r="C10422" t="s">
        <v>30968</v>
      </c>
      <c r="D10422" t="str">
        <f>HYPERLINK("https://github.com/ozelevrim/EvrimNews/issues/78","show")</f>
        <v>show</v>
      </c>
      <c r="E10422" t="str">
        <f>HYPERLINK("https://github.com/ozelevrim/EvrimNews","show")</f>
        <v>show</v>
      </c>
      <c r="F10422" t="str">
        <f>HYPERLINK("https://github.com/ozelevrim/EvrimNews/releases","show")</f>
        <v>show</v>
      </c>
    </row>
    <row r="10423" spans="1:6">
      <c r="A10423" t="s">
        <v>30969</v>
      </c>
      <c r="B10423" t="s">
        <v>30970</v>
      </c>
      <c r="C10423" t="s">
        <v>30971</v>
      </c>
      <c r="D10423" t="str">
        <f>HYPERLINK("https://github.com/mapbox/mapbox-plugins-android/issues/474","show")</f>
        <v>show</v>
      </c>
      <c r="E10423" t="str">
        <f>HYPERLINK("https://github.com/mapbox/mapbox-plugins-android","show")</f>
        <v>show</v>
      </c>
      <c r="F10423" t="str">
        <f>HYPERLINK("https://github.com/mapbox/mapbox-plugins-android/releases","show")</f>
        <v>show</v>
      </c>
    </row>
    <row r="10424" spans="1:6">
      <c r="A10424" t="s">
        <v>30972</v>
      </c>
      <c r="B10424" t="s">
        <v>30973</v>
      </c>
      <c r="C10424" t="s">
        <v>30974</v>
      </c>
      <c r="D10424" t="str">
        <f>HYPERLINK("https://github.com/AniTrend/anitrend-app/issues/28","show")</f>
        <v>show</v>
      </c>
      <c r="E10424" t="str">
        <f>HYPERLINK("https://github.com/AniTrend/anitrend-app","show")</f>
        <v>show</v>
      </c>
      <c r="F10424" t="str">
        <f>HYPERLINK("https://github.com/AniTrend/anitrend-app/releases","show")</f>
        <v>show</v>
      </c>
    </row>
    <row r="10425" spans="1:6">
      <c r="A10425" t="s">
        <v>30975</v>
      </c>
      <c r="B10425" t="s">
        <v>30976</v>
      </c>
      <c r="C10425" t="s">
        <v>30977</v>
      </c>
      <c r="D10425" t="str">
        <f>HYPERLINK("https://github.com/evernote/android-job/issues/442","show")</f>
        <v>show</v>
      </c>
      <c r="E10425" t="str">
        <f>HYPERLINK("https://github.com/evernote/android-job","show")</f>
        <v>show</v>
      </c>
      <c r="F10425" t="str">
        <f>HYPERLINK("https://github.com/evernote/android-job/releases","show")</f>
        <v>show</v>
      </c>
    </row>
    <row r="10426" spans="1:6">
      <c r="A10426" t="s">
        <v>30978</v>
      </c>
      <c r="B10426" t="s">
        <v>30979</v>
      </c>
      <c r="C10426" t="s">
        <v>30980</v>
      </c>
      <c r="D10426" t="str">
        <f>HYPERLINK("https://github.com/syncthing/syncthing-android/issues/1075","show")</f>
        <v>show</v>
      </c>
      <c r="E10426" t="str">
        <f>HYPERLINK("https://github.com/syncthing/syncthing-android","show")</f>
        <v>show</v>
      </c>
      <c r="F10426" t="str">
        <f>HYPERLINK("https://github.com/syncthing/syncthing-android/releases","show")</f>
        <v>show</v>
      </c>
    </row>
    <row r="10427" spans="1:6">
      <c r="A10427" t="s">
        <v>30981</v>
      </c>
      <c r="B10427" t="s">
        <v>30982</v>
      </c>
      <c r="C10427" t="s">
        <v>30983</v>
      </c>
      <c r="D10427" t="str">
        <f>HYPERLINK("https://github.com/mapbox/mapbox-plugins-android/issues/470","show")</f>
        <v>show</v>
      </c>
      <c r="E10427" t="str">
        <f>HYPERLINK("https://github.com/mapbox/mapbox-plugins-android","show")</f>
        <v>show</v>
      </c>
      <c r="F10427" t="str">
        <f>HYPERLINK("https://github.com/mapbox/mapbox-plugins-android/releases","show")</f>
        <v>show</v>
      </c>
    </row>
    <row r="10428" spans="1:6">
      <c r="A10428" t="s">
        <v>30984</v>
      </c>
      <c r="B10428" t="s">
        <v>14846</v>
      </c>
      <c r="C10428" t="s">
        <v>30985</v>
      </c>
      <c r="D10428" t="str">
        <f>HYPERLINK("https://github.com/nextcloud/android/issues/2529","show")</f>
        <v>show</v>
      </c>
      <c r="E10428" t="str">
        <f>HYPERLINK("https://github.com/nextcloud/android","show")</f>
        <v>show</v>
      </c>
      <c r="F10428" t="str">
        <f>HYPERLINK("https://github.com/nextcloud/android/releases","show")</f>
        <v>show</v>
      </c>
    </row>
    <row r="10429" spans="1:6">
      <c r="A10429" t="s">
        <v>30986</v>
      </c>
      <c r="B10429" t="s">
        <v>30987</v>
      </c>
      <c r="C10429" t="s">
        <v>30988</v>
      </c>
      <c r="D10429" t="str">
        <f>HYPERLINK("https://github.com/ardevd/habitat/issues/5","show")</f>
        <v>show</v>
      </c>
      <c r="E10429" t="str">
        <f>HYPERLINK("https://github.com/ardevd/habitat","show")</f>
        <v>show</v>
      </c>
      <c r="F10429" t="str">
        <f>HYPERLINK("https://github.com/ardevd/habitat/releases","show")</f>
        <v>show</v>
      </c>
    </row>
    <row r="10430" spans="1:6">
      <c r="A10430" t="s">
        <v>30989</v>
      </c>
      <c r="B10430" t="s">
        <v>30990</v>
      </c>
      <c r="C10430" t="s">
        <v>30991</v>
      </c>
      <c r="D10430" t="str">
        <f>HYPERLINK("https://github.com/nextcloud/android/issues/2527","show")</f>
        <v>show</v>
      </c>
      <c r="E10430" t="str">
        <f>HYPERLINK("https://github.com/nextcloud/android","show")</f>
        <v>show</v>
      </c>
      <c r="F10430" t="str">
        <f>HYPERLINK("https://github.com/nextcloud/android/releases","show")</f>
        <v>show</v>
      </c>
    </row>
    <row r="10431" spans="1:6">
      <c r="A10431" t="s">
        <v>30992</v>
      </c>
      <c r="B10431" t="s">
        <v>30993</v>
      </c>
      <c r="C10431" t="s">
        <v>30994</v>
      </c>
      <c r="D10431" t="str">
        <f>HYPERLINK("https://github.com/twilio/video-quickstart-android/issues/292","show")</f>
        <v>show</v>
      </c>
      <c r="E10431" t="str">
        <f>HYPERLINK("https://github.com/twilio/video-quickstart-android","show")</f>
        <v>show</v>
      </c>
      <c r="F10431" t="str">
        <f>HYPERLINK("https://github.com/twilio/video-quickstart-android/releases","show")</f>
        <v>show</v>
      </c>
    </row>
    <row r="10432" spans="1:6">
      <c r="A10432" t="s">
        <v>30995</v>
      </c>
      <c r="B10432" t="s">
        <v>30996</v>
      </c>
      <c r="C10432" t="s">
        <v>30997</v>
      </c>
      <c r="D10432" t="str">
        <f>HYPERLINK("https://github.com/StepicOrg/stepik-android-adaptive/issues/40","show")</f>
        <v>show</v>
      </c>
      <c r="E10432" t="str">
        <f>HYPERLINK("https://github.com/StepicOrg/stepik-android-adaptive","show")</f>
        <v>show</v>
      </c>
      <c r="F10432" t="str">
        <f>HYPERLINK("https://github.com/StepicOrg/stepik-android-adaptive/releases","show")</f>
        <v>show</v>
      </c>
    </row>
    <row r="10433" spans="1:6">
      <c r="A10433" t="s">
        <v>30998</v>
      </c>
      <c r="B10433" t="s">
        <v>30999</v>
      </c>
      <c r="C10433" t="s">
        <v>31000</v>
      </c>
      <c r="D10433" t="str">
        <f>HYPERLINK("https://github.com/voroshkov/Chorus-RF-Laptimer/issues/86","show")</f>
        <v>show</v>
      </c>
      <c r="E10433" t="str">
        <f>HYPERLINK("https://github.com/voroshkov/Chorus-RF-Laptimer","show")</f>
        <v>show</v>
      </c>
      <c r="F10433" t="str">
        <f>HYPERLINK("https://github.com/voroshkov/Chorus-RF-Laptimer/releases","show")</f>
        <v>show</v>
      </c>
    </row>
    <row r="10434" spans="1:6">
      <c r="A10434" t="s">
        <v>31001</v>
      </c>
      <c r="B10434" t="s">
        <v>31002</v>
      </c>
      <c r="C10434" t="s">
        <v>31003</v>
      </c>
      <c r="D10434" t="str">
        <f>HYPERLINK("https://github.com/BackyardBrains/Spike-Recorder-Android/issues/88","show")</f>
        <v>show</v>
      </c>
      <c r="E10434" t="str">
        <f>HYPERLINK("https://github.com/BackyardBrains/Spike-Recorder-Android","show")</f>
        <v>show</v>
      </c>
      <c r="F10434" t="str">
        <f>HYPERLINK("https://github.com/BackyardBrains/Spike-Recorder-Android/releases","show")</f>
        <v>show</v>
      </c>
    </row>
    <row r="10435" spans="1:6">
      <c r="A10435" t="s">
        <v>31004</v>
      </c>
      <c r="B10435" t="s">
        <v>31005</v>
      </c>
      <c r="C10435" t="s">
        <v>31006</v>
      </c>
      <c r="D10435" t="str">
        <f>HYPERLINK("https://github.com/BackyardBrains/Spike-Recorder-Android/issues/87","show")</f>
        <v>show</v>
      </c>
      <c r="E10435" t="str">
        <f>HYPERLINK("https://github.com/BackyardBrains/Spike-Recorder-Android","show")</f>
        <v>show</v>
      </c>
      <c r="F10435" t="str">
        <f>HYPERLINK("https://github.com/BackyardBrains/Spike-Recorder-Android/releases","show")</f>
        <v>show</v>
      </c>
    </row>
    <row r="10436" spans="1:6">
      <c r="A10436" t="s">
        <v>31007</v>
      </c>
      <c r="B10436" t="s">
        <v>31008</v>
      </c>
      <c r="C10436" t="s">
        <v>31009</v>
      </c>
      <c r="D10436" t="str">
        <f>HYPERLINK("https://github.com/Aptoide/aptoide-client-v8/issues/524","show")</f>
        <v>show</v>
      </c>
      <c r="E10436" t="str">
        <f>HYPERLINK("https://github.com/Aptoide/aptoide-client-v8","show")</f>
        <v>show</v>
      </c>
      <c r="F10436" t="str">
        <f>HYPERLINK("https://github.com/Aptoide/aptoide-client-v8/releases","show")</f>
        <v>show</v>
      </c>
    </row>
    <row r="10437" spans="1:6">
      <c r="A10437" t="s">
        <v>31010</v>
      </c>
      <c r="B10437" t="s">
        <v>31011</v>
      </c>
      <c r="C10437" t="s">
        <v>31012</v>
      </c>
      <c r="D10437" t="str">
        <f>HYPERLINK("https://github.com/twilio/video-quickstart-android/issues/288","show")</f>
        <v>show</v>
      </c>
      <c r="E10437" t="str">
        <f>HYPERLINK("https://github.com/twilio/video-quickstart-android","show")</f>
        <v>show</v>
      </c>
      <c r="F10437" t="str">
        <f>HYPERLINK("https://github.com/twilio/video-quickstart-android/releases","show")</f>
        <v>show</v>
      </c>
    </row>
    <row r="10438" spans="1:6">
      <c r="A10438" t="s">
        <v>31013</v>
      </c>
      <c r="B10438" t="s">
        <v>31014</v>
      </c>
      <c r="C10438" t="s">
        <v>31015</v>
      </c>
      <c r="D10438" t="str">
        <f>HYPERLINK("https://github.com/hzi-braunschweig/SORMAS-Project/issues/576","show")</f>
        <v>show</v>
      </c>
      <c r="E10438" t="str">
        <f>HYPERLINK("https://github.com/hzi-braunschweig/SORMAS-Project","show")</f>
        <v>show</v>
      </c>
      <c r="F10438" t="str">
        <f>HYPERLINK("https://github.com/hzi-braunschweig/SORMAS-Project/releases","show")</f>
        <v>show</v>
      </c>
    </row>
    <row r="10439" spans="1:6">
      <c r="A10439" t="s">
        <v>31016</v>
      </c>
      <c r="B10439" t="s">
        <v>31017</v>
      </c>
      <c r="C10439" t="s">
        <v>31018</v>
      </c>
      <c r="D10439" t="str">
        <f>HYPERLINK("https://github.com/lingochamp/FileDownloader/issues/1017","show")</f>
        <v>show</v>
      </c>
      <c r="E10439" t="str">
        <f>HYPERLINK("https://github.com/lingochamp/FileDownloader","show")</f>
        <v>show</v>
      </c>
      <c r="F10439" t="str">
        <f>HYPERLINK("https://github.com/lingochamp/FileDownloader/releases","show")</f>
        <v>show</v>
      </c>
    </row>
    <row r="10440" spans="1:6">
      <c r="A10440" t="s">
        <v>31019</v>
      </c>
      <c r="B10440" t="s">
        <v>31020</v>
      </c>
      <c r="C10440" t="s">
        <v>31021</v>
      </c>
      <c r="D10440" t="str">
        <f>HYPERLINK("https://github.com/inaturalist/iNaturalistAndroid/issues/507","show")</f>
        <v>show</v>
      </c>
      <c r="E10440" t="str">
        <f>HYPERLINK("https://github.com/inaturalist/iNaturalistAndroid","show")</f>
        <v>show</v>
      </c>
      <c r="F10440" t="str">
        <f>HYPERLINK("https://github.com/inaturalist/iNaturalistAndroid/releases","show")</f>
        <v>show</v>
      </c>
    </row>
    <row r="10441" spans="1:6">
      <c r="A10441" t="s">
        <v>31022</v>
      </c>
      <c r="B10441" t="s">
        <v>31023</v>
      </c>
      <c r="C10441" t="s">
        <v>31024</v>
      </c>
      <c r="D10441" t="str">
        <f>HYPERLINK("https://github.com/Purdue-ACM-SIGApp/BoilerFaves/issues/51","show")</f>
        <v>show</v>
      </c>
      <c r="E10441" t="str">
        <f>HYPERLINK("https://github.com/Purdue-ACM-SIGApp/BoilerFaves","show")</f>
        <v>show</v>
      </c>
      <c r="F10441" t="str">
        <f>HYPERLINK("https://github.com/Purdue-ACM-SIGApp/BoilerFaves/releases","show")</f>
        <v>show</v>
      </c>
    </row>
    <row r="10442" spans="1:6">
      <c r="A10442" t="s">
        <v>31025</v>
      </c>
      <c r="B10442" t="s">
        <v>31026</v>
      </c>
      <c r="C10442" t="s">
        <v>31027</v>
      </c>
      <c r="D10442" t="str">
        <f>HYPERLINK("https://github.com/gsantner/markor/issues/229","show")</f>
        <v>show</v>
      </c>
      <c r="E10442" t="str">
        <f>HYPERLINK("https://github.com/gsantner/markor","show")</f>
        <v>show</v>
      </c>
      <c r="F10442" t="str">
        <f>HYPERLINK("https://github.com/gsantner/markor/releases","show")</f>
        <v>show</v>
      </c>
    </row>
    <row r="10443" spans="1:6">
      <c r="A10443" t="s">
        <v>31028</v>
      </c>
      <c r="B10443" t="s">
        <v>31029</v>
      </c>
      <c r="C10443" t="s">
        <v>31030</v>
      </c>
      <c r="D10443" t="str">
        <f>HYPERLINK("https://github.com/nextcloud/android/issues/2515","show")</f>
        <v>show</v>
      </c>
      <c r="E10443" t="str">
        <f>HYPERLINK("https://github.com/nextcloud/android","show")</f>
        <v>show</v>
      </c>
      <c r="F10443" t="str">
        <f>HYPERLINK("https://github.com/nextcloud/android/releases","show")</f>
        <v>show</v>
      </c>
    </row>
    <row r="10444" spans="1:6">
      <c r="A10444" t="s">
        <v>31031</v>
      </c>
      <c r="B10444" t="s">
        <v>31032</v>
      </c>
      <c r="C10444" t="s">
        <v>31033</v>
      </c>
      <c r="D10444" t="str">
        <f>HYPERLINK("https://github.com/nikita36078/J2ME-Loader/issues/312","show")</f>
        <v>show</v>
      </c>
      <c r="E10444" t="str">
        <f>HYPERLINK("https://github.com/nikita36078/J2ME-Loader","show")</f>
        <v>show</v>
      </c>
      <c r="F10444" t="str">
        <f>HYPERLINK("https://github.com/nikita36078/J2ME-Loader/releases","show")</f>
        <v>show</v>
      </c>
    </row>
    <row r="10445" spans="1:6">
      <c r="A10445" t="s">
        <v>31034</v>
      </c>
      <c r="B10445" t="s">
        <v>31035</v>
      </c>
      <c r="C10445" t="s">
        <v>31036</v>
      </c>
      <c r="D10445" t="str">
        <f>HYPERLINK("https://github.com/BackyardBrains/Spike-Recorder-Android/issues/86","show")</f>
        <v>show</v>
      </c>
      <c r="E10445" t="str">
        <f>HYPERLINK("https://github.com/BackyardBrains/Spike-Recorder-Android","show")</f>
        <v>show</v>
      </c>
      <c r="F10445" t="str">
        <f>HYPERLINK("https://github.com/BackyardBrains/Spike-Recorder-Android/releases","show")</f>
        <v>show</v>
      </c>
    </row>
    <row r="10446" spans="1:6">
      <c r="A10446" t="s">
        <v>31037</v>
      </c>
      <c r="B10446" t="s">
        <v>31038</v>
      </c>
      <c r="C10446" t="s">
        <v>31039</v>
      </c>
      <c r="D10446" t="str">
        <f>HYPERLINK("https://github.com/BackyardBrains/Spike-Recorder-Android/issues/85","show")</f>
        <v>show</v>
      </c>
      <c r="E10446" t="str">
        <f>HYPERLINK("https://github.com/BackyardBrains/Spike-Recorder-Android","show")</f>
        <v>show</v>
      </c>
      <c r="F10446" t="str">
        <f>HYPERLINK("https://github.com/BackyardBrains/Spike-Recorder-Android/releases","show")</f>
        <v>show</v>
      </c>
    </row>
    <row r="10447" spans="1:6">
      <c r="A10447" t="s">
        <v>31040</v>
      </c>
      <c r="B10447" t="s">
        <v>31041</v>
      </c>
      <c r="C10447" t="s">
        <v>31042</v>
      </c>
      <c r="D10447" t="str">
        <f>HYPERLINK("https://github.com/nisrulz/qreader/issues/56","show")</f>
        <v>show</v>
      </c>
      <c r="E10447" t="str">
        <f>HYPERLINK("https://github.com/nisrulz/qreader","show")</f>
        <v>show</v>
      </c>
      <c r="F10447" t="str">
        <f>HYPERLINK("https://github.com/nisrulz/qreader/releases","show")</f>
        <v>show</v>
      </c>
    </row>
    <row r="10448" spans="1:6">
      <c r="A10448" t="s">
        <v>31043</v>
      </c>
      <c r="B10448" t="s">
        <v>31044</v>
      </c>
      <c r="C10448" t="s">
        <v>31045</v>
      </c>
      <c r="D10448" t="str">
        <f>HYPERLINK("https://github.com/cgeo/cgeo/issues/6984","show")</f>
        <v>show</v>
      </c>
      <c r="E10448" t="str">
        <f>HYPERLINK("https://github.com/cgeo/cgeo","show")</f>
        <v>show</v>
      </c>
      <c r="F10448" t="str">
        <f>HYPERLINK("https://github.com/cgeo/cgeo/releases","show")</f>
        <v>show</v>
      </c>
    </row>
    <row r="10449" spans="1:6">
      <c r="A10449" t="s">
        <v>31046</v>
      </c>
      <c r="B10449" t="s">
        <v>31047</v>
      </c>
      <c r="C10449" t="s">
        <v>31048</v>
      </c>
      <c r="D10449" t="str">
        <f>HYPERLINK("https://github.com/mapbox/mapbox-events-android/issues/124","show")</f>
        <v>show</v>
      </c>
      <c r="E10449" t="str">
        <f>HYPERLINK("https://github.com/mapbox/mapbox-events-android","show")</f>
        <v>show</v>
      </c>
      <c r="F10449" t="str">
        <f>HYPERLINK("https://github.com/mapbox/mapbox-events-android/releases","show")</f>
        <v>show</v>
      </c>
    </row>
    <row r="10450" spans="1:6">
      <c r="A10450" t="s">
        <v>31049</v>
      </c>
      <c r="B10450" t="s">
        <v>31050</v>
      </c>
      <c r="C10450" t="s">
        <v>31051</v>
      </c>
      <c r="D10450" t="str">
        <f>HYPERLINK("https://github.com/StAResComp/sifids/issues/127","show")</f>
        <v>show</v>
      </c>
      <c r="E10450" t="str">
        <f>HYPERLINK("https://github.com/StAResComp/sifids","show")</f>
        <v>show</v>
      </c>
      <c r="F10450" t="str">
        <f>HYPERLINK("https://github.com/StAResComp/sifids/releases","show")</f>
        <v>show</v>
      </c>
    </row>
    <row r="10451" spans="1:6">
      <c r="A10451" t="s">
        <v>31052</v>
      </c>
      <c r="B10451" t="s">
        <v>31053</v>
      </c>
      <c r="C10451" t="s">
        <v>31054</v>
      </c>
      <c r="D10451" t="str">
        <f>HYPERLINK("https://github.com/nextcloud/android/issues/2502","show")</f>
        <v>show</v>
      </c>
      <c r="E10451" t="str">
        <f>HYPERLINK("https://github.com/nextcloud/android","show")</f>
        <v>show</v>
      </c>
      <c r="F10451" t="str">
        <f>HYPERLINK("https://github.com/nextcloud/android/releases","show")</f>
        <v>show</v>
      </c>
    </row>
    <row r="10452" spans="1:6">
      <c r="A10452" t="s">
        <v>31055</v>
      </c>
      <c r="B10452" t="s">
        <v>31056</v>
      </c>
      <c r="C10452" t="s">
        <v>31057</v>
      </c>
      <c r="D10452" t="str">
        <f>HYPERLINK("https://github.com/Neamar/KISS/issues/959","show")</f>
        <v>show</v>
      </c>
      <c r="E10452" t="str">
        <f>HYPERLINK("https://github.com/Neamar/KISS","show")</f>
        <v>show</v>
      </c>
      <c r="F10452" t="str">
        <f>HYPERLINK("https://github.com/Neamar/KISS/releases","show")</f>
        <v>show</v>
      </c>
    </row>
    <row r="10453" spans="1:6">
      <c r="A10453" t="s">
        <v>31058</v>
      </c>
      <c r="B10453" t="s">
        <v>31059</v>
      </c>
      <c r="C10453" t="s">
        <v>31060</v>
      </c>
      <c r="D10453" t="str">
        <f>HYPERLINK("https://github.com/SCCapstone/Cupboard/issues/107","show")</f>
        <v>show</v>
      </c>
      <c r="E10453" t="str">
        <f>HYPERLINK("https://github.com/SCCapstone/Cupboard","show")</f>
        <v>show</v>
      </c>
      <c r="F10453" t="str">
        <f>HYPERLINK("https://github.com/SCCapstone/Cupboard/releases","show")</f>
        <v>show</v>
      </c>
    </row>
    <row r="10454" spans="1:6">
      <c r="A10454" t="s">
        <v>31061</v>
      </c>
      <c r="B10454" t="s">
        <v>11353</v>
      </c>
      <c r="C10454" t="s">
        <v>31062</v>
      </c>
      <c r="D10454" t="str">
        <f>HYPERLINK("https://github.com/SCCapstone/Cupboard/issues/105","show")</f>
        <v>show</v>
      </c>
      <c r="E10454" t="str">
        <f>HYPERLINK("https://github.com/SCCapstone/Cupboard","show")</f>
        <v>show</v>
      </c>
      <c r="F10454" t="str">
        <f>HYPERLINK("https://github.com/SCCapstone/Cupboard/releases","show")</f>
        <v>show</v>
      </c>
    </row>
    <row r="10455" spans="1:6">
      <c r="A10455" t="s">
        <v>31063</v>
      </c>
      <c r="B10455" t="s">
        <v>31064</v>
      </c>
      <c r="C10455" t="s">
        <v>31065</v>
      </c>
      <c r="D10455" t="str">
        <f>HYPERLINK("https://github.com/bumptech/glide/issues/3041","show")</f>
        <v>show</v>
      </c>
      <c r="E10455" t="str">
        <f>HYPERLINK("https://github.com/bumptech/glide","show")</f>
        <v>show</v>
      </c>
      <c r="F10455" t="str">
        <f>HYPERLINK("https://github.com/bumptech/glide/releases","show")</f>
        <v>show</v>
      </c>
    </row>
    <row r="10456" spans="1:6">
      <c r="A10456" t="s">
        <v>31066</v>
      </c>
      <c r="B10456" t="s">
        <v>31067</v>
      </c>
      <c r="C10456" t="s">
        <v>31068</v>
      </c>
      <c r="D10456" t="str">
        <f>HYPERLINK("https://github.com/lineargs/WatchNextApp/issues/28","show")</f>
        <v>show</v>
      </c>
      <c r="E10456" t="str">
        <f>HYPERLINK("https://github.com/lineargs/WatchNextApp","show")</f>
        <v>show</v>
      </c>
      <c r="F10456" t="str">
        <f>HYPERLINK("https://github.com/lineargs/WatchNextApp/releases","show")</f>
        <v>show</v>
      </c>
    </row>
    <row r="10457" spans="1:6">
      <c r="A10457" t="s">
        <v>31069</v>
      </c>
      <c r="B10457" t="s">
        <v>31070</v>
      </c>
      <c r="C10457" t="s">
        <v>31071</v>
      </c>
      <c r="D10457" t="str">
        <f>HYPERLINK("https://github.com/nextcloud/android/issues/2498","show")</f>
        <v>show</v>
      </c>
      <c r="E10457" t="str">
        <f>HYPERLINK("https://github.com/nextcloud/android","show")</f>
        <v>show</v>
      </c>
      <c r="F10457" t="str">
        <f>HYPERLINK("https://github.com/nextcloud/android/releases","show")</f>
        <v>show</v>
      </c>
    </row>
    <row r="10458" spans="1:6">
      <c r="A10458" t="s">
        <v>31072</v>
      </c>
      <c r="B10458" t="s">
        <v>31073</v>
      </c>
      <c r="C10458" t="s">
        <v>31074</v>
      </c>
      <c r="D10458" t="str">
        <f>HYPERLINK("https://github.com/nextcloud/android/issues/2497","show")</f>
        <v>show</v>
      </c>
      <c r="E10458" t="str">
        <f>HYPERLINK("https://github.com/nextcloud/android","show")</f>
        <v>show</v>
      </c>
      <c r="F10458" t="str">
        <f>HYPERLINK("https://github.com/nextcloud/android/releases","show")</f>
        <v>show</v>
      </c>
    </row>
    <row r="10459" spans="1:6">
      <c r="A10459" t="s">
        <v>31075</v>
      </c>
      <c r="B10459" t="s">
        <v>31076</v>
      </c>
      <c r="C10459" t="s">
        <v>31077</v>
      </c>
      <c r="D10459" t="str">
        <f>HYPERLINK("https://github.com/TeamNewPipe/NewPipe/issues/1338","show")</f>
        <v>show</v>
      </c>
      <c r="E10459" t="str">
        <f>HYPERLINK("https://github.com/TeamNewPipe/NewPipe","show")</f>
        <v>show</v>
      </c>
      <c r="F10459" t="str">
        <f>HYPERLINK("https://github.com/TeamNewPipe/NewPipe/releases","show")</f>
        <v>show</v>
      </c>
    </row>
    <row r="10460" spans="1:6">
      <c r="A10460" t="s">
        <v>31078</v>
      </c>
      <c r="B10460" t="s">
        <v>31079</v>
      </c>
      <c r="C10460" t="s">
        <v>31080</v>
      </c>
      <c r="D10460" t="str">
        <f>HYPERLINK("https://github.com/UTurista/PRSPY/issues/6","show")</f>
        <v>show</v>
      </c>
      <c r="E10460" t="str">
        <f>HYPERLINK("https://github.com/UTurista/PRSPY","show")</f>
        <v>show</v>
      </c>
      <c r="F10460" t="str">
        <f>HYPERLINK("https://github.com/UTurista/PRSPY/releases","show")</f>
        <v>show</v>
      </c>
    </row>
    <row r="10461" spans="1:6">
      <c r="A10461" t="s">
        <v>31081</v>
      </c>
      <c r="B10461" t="s">
        <v>31082</v>
      </c>
      <c r="C10461" t="s">
        <v>31083</v>
      </c>
      <c r="D10461" t="str">
        <f>HYPERLINK("https://github.com/Azure/azure-iot-sdk-java/issues/229","show")</f>
        <v>show</v>
      </c>
      <c r="E10461" t="str">
        <f>HYPERLINK("https://github.com/Azure/azure-iot-sdk-java","show")</f>
        <v>show</v>
      </c>
      <c r="F10461" t="str">
        <f>HYPERLINK("https://github.com/Azure/azure-iot-sdk-java/releases","show")</f>
        <v>show</v>
      </c>
    </row>
    <row r="10462" spans="1:6">
      <c r="A10462" t="s">
        <v>31084</v>
      </c>
      <c r="B10462" t="s">
        <v>31085</v>
      </c>
      <c r="C10462" t="s">
        <v>31086</v>
      </c>
      <c r="D10462" t="str">
        <f>HYPERLINK("https://github.com/niclabs/adkintunmobile-androidclient/issues/191","show")</f>
        <v>show</v>
      </c>
      <c r="E10462" t="str">
        <f>HYPERLINK("https://github.com/niclabs/adkintunmobile-androidclient","show")</f>
        <v>show</v>
      </c>
      <c r="F10462" t="str">
        <f>HYPERLINK("https://github.com/niclabs/adkintunmobile-androidclient/releases","show")</f>
        <v>show</v>
      </c>
    </row>
    <row r="10463" spans="1:6">
      <c r="A10463" t="s">
        <v>31087</v>
      </c>
      <c r="B10463" t="s">
        <v>31088</v>
      </c>
      <c r="C10463" t="s">
        <v>31089</v>
      </c>
      <c r="D10463" t="str">
        <f>HYPERLINK("https://github.com/aajfranklin/Mobile-Sensing-Android/issues/19","show")</f>
        <v>show</v>
      </c>
      <c r="E10463" t="str">
        <f>HYPERLINK("https://github.com/aajfranklin/Mobile-Sensing-Android","show")</f>
        <v>show</v>
      </c>
      <c r="F10463" t="str">
        <f>HYPERLINK("https://github.com/aajfranklin/Mobile-Sensing-Android/releases","show")</f>
        <v>show</v>
      </c>
    </row>
    <row r="10464" spans="1:6">
      <c r="A10464" t="s">
        <v>31090</v>
      </c>
      <c r="B10464" t="s">
        <v>31091</v>
      </c>
      <c r="C10464" t="s">
        <v>31092</v>
      </c>
      <c r="D10464" t="str">
        <f>HYPERLINK("https://github.com/react-native-camera/react-native-camera/issues/1504","show")</f>
        <v>show</v>
      </c>
      <c r="E10464" t="str">
        <f>HYPERLINK("https://github.com/react-native-camera/react-native-camera","show")</f>
        <v>show</v>
      </c>
      <c r="F10464" t="str">
        <f>HYPERLINK("https://github.com/react-native-camera/react-native-camera/releases","show")</f>
        <v>show</v>
      </c>
    </row>
    <row r="10465" spans="1:6">
      <c r="A10465" t="s">
        <v>31093</v>
      </c>
      <c r="B10465" t="s">
        <v>31094</v>
      </c>
      <c r="C10465" t="s">
        <v>31095</v>
      </c>
      <c r="D10465" t="str">
        <f>HYPERLINK("https://github.com/Karumi/Rosie/issues/94","show")</f>
        <v>show</v>
      </c>
      <c r="E10465" t="str">
        <f>HYPERLINK("https://github.com/Karumi/Rosie","show")</f>
        <v>show</v>
      </c>
      <c r="F10465" t="str">
        <f>HYPERLINK("https://github.com/Karumi/Rosie/releases","show")</f>
        <v>show</v>
      </c>
    </row>
    <row r="10466" spans="1:6">
      <c r="A10466" t="s">
        <v>31096</v>
      </c>
      <c r="B10466" t="s">
        <v>31097</v>
      </c>
      <c r="C10466" t="s">
        <v>31098</v>
      </c>
      <c r="D10466" t="str">
        <f>HYPERLINK("https://github.com/OneBusAway/onebusaway-android/issues/870","show")</f>
        <v>show</v>
      </c>
      <c r="E10466" t="str">
        <f>HYPERLINK("https://github.com/OneBusAway/onebusaway-android","show")</f>
        <v>show</v>
      </c>
      <c r="F10466" t="str">
        <f>HYPERLINK("https://github.com/OneBusAway/onebusaway-android/releases","show")</f>
        <v>show</v>
      </c>
    </row>
    <row r="10467" spans="1:6">
      <c r="A10467" t="s">
        <v>31099</v>
      </c>
      <c r="B10467" t="s">
        <v>31100</v>
      </c>
      <c r="C10467" t="s">
        <v>31101</v>
      </c>
      <c r="D10467" t="str">
        <f>HYPERLINK("https://github.com/microsoft/EmbeddedSocial-Android-SDK/issues/88","show")</f>
        <v>show</v>
      </c>
      <c r="E10467" t="str">
        <f>HYPERLINK("https://github.com/microsoft/EmbeddedSocial-Android-SDK","show")</f>
        <v>show</v>
      </c>
      <c r="F10467" t="str">
        <f>HYPERLINK("https://github.com/microsoft/EmbeddedSocial-Android-SDK/releases","show")</f>
        <v>show</v>
      </c>
    </row>
    <row r="10468" spans="1:6">
      <c r="A10468" t="s">
        <v>31102</v>
      </c>
      <c r="B10468" t="s">
        <v>31103</v>
      </c>
      <c r="C10468" t="s">
        <v>31104</v>
      </c>
      <c r="D10468" t="str">
        <f>HYPERLINK("https://github.com/JamMarHer/ProjectParadise/issues/2","show")</f>
        <v>show</v>
      </c>
      <c r="E10468" t="str">
        <f>HYPERLINK("https://github.com/JamMarHer/ProjectParadise","show")</f>
        <v>show</v>
      </c>
      <c r="F10468" t="str">
        <f>HYPERLINK("https://github.com/JamMarHer/ProjectParadise/releases","show")</f>
        <v>show</v>
      </c>
    </row>
    <row r="10469" spans="1:6">
      <c r="A10469" t="s">
        <v>31105</v>
      </c>
      <c r="B10469" t="s">
        <v>31106</v>
      </c>
      <c r="C10469" t="s">
        <v>31107</v>
      </c>
      <c r="D10469" t="str">
        <f>HYPERLINK("https://github.com/square/okhttp/issues/3973","show")</f>
        <v>show</v>
      </c>
      <c r="E10469" t="str">
        <f>HYPERLINK("https://github.com/square/okhttp","show")</f>
        <v>show</v>
      </c>
      <c r="F10469" t="str">
        <f>HYPERLINK("https://github.com/square/okhttp/releases","show")</f>
        <v>show</v>
      </c>
    </row>
    <row r="10470" spans="1:6">
      <c r="A10470" t="s">
        <v>31108</v>
      </c>
      <c r="B10470" t="s">
        <v>31109</v>
      </c>
      <c r="C10470" t="s">
        <v>31110</v>
      </c>
      <c r="D10470" t="str">
        <f>HYPERLINK("https://github.com/maks/MGit/issues/325","show")</f>
        <v>show</v>
      </c>
      <c r="E10470" t="str">
        <f>HYPERLINK("https://github.com/maks/MGit","show")</f>
        <v>show</v>
      </c>
      <c r="F10470" t="str">
        <f>HYPERLINK("https://github.com/maks/MGit/releases","show")</f>
        <v>show</v>
      </c>
    </row>
    <row r="10471" spans="1:6">
      <c r="A10471" t="s">
        <v>31111</v>
      </c>
      <c r="B10471" t="s">
        <v>31112</v>
      </c>
      <c r="C10471" t="s">
        <v>31113</v>
      </c>
      <c r="D10471" t="str">
        <f>HYPERLINK("https://github.com/PhilJay/MPAndroidChart/issues/3959","show")</f>
        <v>show</v>
      </c>
      <c r="E10471" t="str">
        <f>HYPERLINK("https://github.com/PhilJay/MPAndroidChart","show")</f>
        <v>show</v>
      </c>
      <c r="F10471" t="str">
        <f>HYPERLINK("https://github.com/PhilJay/MPAndroidChart/releases","show")</f>
        <v>show</v>
      </c>
    </row>
    <row r="10472" spans="1:6">
      <c r="A10472" t="s">
        <v>31114</v>
      </c>
      <c r="B10472" t="s">
        <v>31115</v>
      </c>
      <c r="C10472" t="s">
        <v>31116</v>
      </c>
      <c r="D10472" t="str">
        <f>HYPERLINK("https://github.com/inaturalist/iNaturalistAndroid/issues/505","show")</f>
        <v>show</v>
      </c>
      <c r="E10472" t="str">
        <f>HYPERLINK("https://github.com/inaturalist/iNaturalistAndroid","show")</f>
        <v>show</v>
      </c>
      <c r="F10472" t="str">
        <f>HYPERLINK("https://github.com/inaturalist/iNaturalistAndroid/releases","show")</f>
        <v>show</v>
      </c>
    </row>
    <row r="10473" spans="1:6">
      <c r="A10473" t="s">
        <v>31117</v>
      </c>
      <c r="B10473" t="s">
        <v>31118</v>
      </c>
      <c r="C10473" t="s">
        <v>31119</v>
      </c>
      <c r="D10473" t="str">
        <f>HYPERLINK("https://github.com/nextcloud/android/issues/2480","show")</f>
        <v>show</v>
      </c>
      <c r="E10473" t="str">
        <f>HYPERLINK("https://github.com/nextcloud/android","show")</f>
        <v>show</v>
      </c>
      <c r="F10473" t="str">
        <f>HYPERLINK("https://github.com/nextcloud/android/releases","show")</f>
        <v>show</v>
      </c>
    </row>
    <row r="10474" spans="1:6">
      <c r="A10474" t="s">
        <v>31120</v>
      </c>
      <c r="B10474" t="s">
        <v>31121</v>
      </c>
      <c r="C10474" t="s">
        <v>31122</v>
      </c>
      <c r="D10474" t="str">
        <f>HYPERLINK("https://github.com/oliexdev/openScale/issues/245","show")</f>
        <v>show</v>
      </c>
      <c r="E10474" t="str">
        <f>HYPERLINK("https://github.com/oliexdev/openScale","show")</f>
        <v>show</v>
      </c>
      <c r="F10474" t="str">
        <f>HYPERLINK("https://github.com/oliexdev/openScale/releases","show")</f>
        <v>show</v>
      </c>
    </row>
    <row r="10475" spans="1:6">
      <c r="A10475" t="s">
        <v>31123</v>
      </c>
      <c r="B10475" t="s">
        <v>31124</v>
      </c>
      <c r="C10475" t="s">
        <v>31125</v>
      </c>
      <c r="D10475" t="str">
        <f>HYPERLINK("https://github.com/Amuff1n/Study-Buddy/issues/27","show")</f>
        <v>show</v>
      </c>
      <c r="E10475" t="str">
        <f>HYPERLINK("https://github.com/Amuff1n/Study-Buddy","show")</f>
        <v>show</v>
      </c>
      <c r="F10475" t="str">
        <f>HYPERLINK("https://github.com/Amuff1n/Study-Buddy/releases","show")</f>
        <v>show</v>
      </c>
    </row>
    <row r="10476" spans="1:6">
      <c r="A10476" t="s">
        <v>31126</v>
      </c>
      <c r="B10476" t="s">
        <v>31127</v>
      </c>
      <c r="C10476" t="s">
        <v>31128</v>
      </c>
      <c r="D10476" t="str">
        <f>HYPERLINK("https://github.com/prolificinteractive/material-calendarview/issues/754","show")</f>
        <v>show</v>
      </c>
      <c r="E10476" t="str">
        <f>HYPERLINK("https://github.com/prolificinteractive/material-calendarview","show")</f>
        <v>show</v>
      </c>
      <c r="F10476" t="str">
        <f>HYPERLINK("https://github.com/prolificinteractive/material-calendarview/releases","show")</f>
        <v>show</v>
      </c>
    </row>
    <row r="10477" spans="1:6">
      <c r="A10477" t="s">
        <v>31129</v>
      </c>
      <c r="B10477" t="s">
        <v>31130</v>
      </c>
      <c r="C10477" t="s">
        <v>31131</v>
      </c>
      <c r="D10477" t="str">
        <f>HYPERLINK("https://github.com/inaturalist/iNaturalistAndroid/issues/503","show")</f>
        <v>show</v>
      </c>
      <c r="E10477" t="str">
        <f>HYPERLINK("https://github.com/inaturalist/iNaturalistAndroid","show")</f>
        <v>show</v>
      </c>
      <c r="F10477" t="str">
        <f>HYPERLINK("https://github.com/inaturalist/iNaturalistAndroid/releases","show")</f>
        <v>show</v>
      </c>
    </row>
    <row r="10478" spans="1:6">
      <c r="A10478" t="s">
        <v>31132</v>
      </c>
      <c r="B10478" t="s">
        <v>31133</v>
      </c>
      <c r="C10478" t="s">
        <v>31134</v>
      </c>
      <c r="D10478" t="str">
        <f>HYPERLINK("https://github.com/jianzhaojohn/Habit-Rabbit/issues/148","show")</f>
        <v>show</v>
      </c>
      <c r="E10478" t="str">
        <f>HYPERLINK("https://github.com/jianzhaojohn/Habit-Rabbit","show")</f>
        <v>show</v>
      </c>
      <c r="F10478" t="str">
        <f>HYPERLINK("https://github.com/jianzhaojohn/Habit-Rabbit/releases","show")</f>
        <v>show</v>
      </c>
    </row>
    <row r="10479" spans="1:6">
      <c r="A10479" t="s">
        <v>31135</v>
      </c>
      <c r="B10479" t="s">
        <v>31136</v>
      </c>
      <c r="C10479" t="s">
        <v>31137</v>
      </c>
      <c r="D10479" t="str">
        <f>HYPERLINK("https://github.com/Yalantis/uCrop/issues/408","show")</f>
        <v>show</v>
      </c>
      <c r="E10479" t="str">
        <f>HYPERLINK("https://github.com/Yalantis/uCrop","show")</f>
        <v>show</v>
      </c>
      <c r="F10479" t="str">
        <f>HYPERLINK("https://github.com/Yalantis/uCrop/releases","show")</f>
        <v>show</v>
      </c>
    </row>
    <row r="10480" spans="1:6">
      <c r="A10480" t="s">
        <v>31138</v>
      </c>
      <c r="B10480" t="s">
        <v>31139</v>
      </c>
      <c r="C10480" t="s">
        <v>31140</v>
      </c>
      <c r="D10480" t="str">
        <f>HYPERLINK("https://github.com/Purdue-ACM-SIGApp/BoilerFaves/issues/39","show")</f>
        <v>show</v>
      </c>
      <c r="E10480" t="str">
        <f>HYPERLINK("https://github.com/Purdue-ACM-SIGApp/BoilerFaves","show")</f>
        <v>show</v>
      </c>
      <c r="F10480" t="str">
        <f>HYPERLINK("https://github.com/Purdue-ACM-SIGApp/BoilerFaves/releases","show")</f>
        <v>show</v>
      </c>
    </row>
    <row r="10481" spans="1:6">
      <c r="A10481" t="s">
        <v>31141</v>
      </c>
      <c r="B10481" t="s">
        <v>31142</v>
      </c>
      <c r="C10481" t="s">
        <v>31143</v>
      </c>
      <c r="D10481" t="str">
        <f>HYPERLINK("https://github.com/Purdue-ACM-SIGApp/BoilerFaves/issues/38","show")</f>
        <v>show</v>
      </c>
      <c r="E10481" t="str">
        <f>HYPERLINK("https://github.com/Purdue-ACM-SIGApp/BoilerFaves","show")</f>
        <v>show</v>
      </c>
      <c r="F10481" t="str">
        <f>HYPERLINK("https://github.com/Purdue-ACM-SIGApp/BoilerFaves/releases","show")</f>
        <v>show</v>
      </c>
    </row>
    <row r="10482" spans="1:6">
      <c r="A10482" t="s">
        <v>31144</v>
      </c>
      <c r="B10482" t="s">
        <v>31145</v>
      </c>
      <c r="C10482" t="s">
        <v>31146</v>
      </c>
      <c r="D10482" t="str">
        <f>HYPERLINK("https://github.com/react-native-camera/react-native-camera/issues/1486","show")</f>
        <v>show</v>
      </c>
      <c r="E10482" t="str">
        <f>HYPERLINK("https://github.com/react-native-camera/react-native-camera","show")</f>
        <v>show</v>
      </c>
      <c r="F10482" t="str">
        <f>HYPERLINK("https://github.com/react-native-camera/react-native-camera/releases","show")</f>
        <v>show</v>
      </c>
    </row>
    <row r="10483" spans="1:6">
      <c r="A10483" t="s">
        <v>31147</v>
      </c>
      <c r="B10483" t="s">
        <v>31148</v>
      </c>
      <c r="C10483" t="s">
        <v>31149</v>
      </c>
      <c r="D10483" t="str">
        <f>HYPERLINK("https://github.com/osmdroid/osmdroid/issues/998","show")</f>
        <v>show</v>
      </c>
      <c r="E10483" t="str">
        <f>HYPERLINK("https://github.com/osmdroid/osmdroid","show")</f>
        <v>show</v>
      </c>
      <c r="F10483" t="str">
        <f>HYPERLINK("https://github.com/osmdroid/osmdroid/releases","show")</f>
        <v>show</v>
      </c>
    </row>
    <row r="10484" spans="1:6">
      <c r="A10484" t="s">
        <v>31150</v>
      </c>
      <c r="B10484" t="s">
        <v>31151</v>
      </c>
      <c r="C10484" t="s">
        <v>31152</v>
      </c>
      <c r="D10484" t="str">
        <f>HYPERLINK("https://github.com/oliexdev/openScale/issues/244","show")</f>
        <v>show</v>
      </c>
      <c r="E10484" t="str">
        <f>HYPERLINK("https://github.com/oliexdev/openScale","show")</f>
        <v>show</v>
      </c>
      <c r="F10484" t="str">
        <f>HYPERLINK("https://github.com/oliexdev/openScale/releases","show")</f>
        <v>show</v>
      </c>
    </row>
    <row r="10485" spans="1:6">
      <c r="A10485" t="s">
        <v>31153</v>
      </c>
      <c r="B10485" t="s">
        <v>31154</v>
      </c>
      <c r="C10485" t="s">
        <v>31155</v>
      </c>
      <c r="D10485" t="str">
        <f>HYPERLINK("https://github.com/dvdprr6/RemindMeAt/issues/4","show")</f>
        <v>show</v>
      </c>
      <c r="E10485" t="str">
        <f>HYPERLINK("https://github.com/dvdprr6/RemindMeAt","show")</f>
        <v>show</v>
      </c>
      <c r="F10485" t="str">
        <f>HYPERLINK("https://github.com/dvdprr6/RemindMeAt/releases","show")</f>
        <v>show</v>
      </c>
    </row>
    <row r="10486" spans="1:6">
      <c r="A10486" t="s">
        <v>31156</v>
      </c>
      <c r="B10486" t="s">
        <v>31157</v>
      </c>
      <c r="C10486" t="s">
        <v>31158</v>
      </c>
      <c r="D10486" t="str">
        <f>HYPERLINK("https://github.com/UdacityAndroidDevScholarship/blood-donation/issues/28","show")</f>
        <v>show</v>
      </c>
      <c r="E10486" t="str">
        <f>HYPERLINK("https://github.com/UdacityAndroidDevScholarship/blood-donation","show")</f>
        <v>show</v>
      </c>
      <c r="F10486" t="str">
        <f>HYPERLINK("https://github.com/UdacityAndroidDevScholarship/blood-donation/releases","show")</f>
        <v>show</v>
      </c>
    </row>
    <row r="10487" spans="1:6">
      <c r="A10487" t="s">
        <v>31159</v>
      </c>
      <c r="B10487" t="s">
        <v>31160</v>
      </c>
      <c r="C10487" t="s">
        <v>31161</v>
      </c>
      <c r="D10487" t="str">
        <f>HYPERLINK("https://github.com/smartdevicelink/sdl_java_suite/issues/736","show")</f>
        <v>show</v>
      </c>
      <c r="E10487" t="str">
        <f>HYPERLINK("https://github.com/smartdevicelink/sdl_java_suite","show")</f>
        <v>show</v>
      </c>
      <c r="F10487" t="str">
        <f>HYPERLINK("https://github.com/smartdevicelink/sdl_java_suite/releases","show")</f>
        <v>show</v>
      </c>
    </row>
    <row r="10488" spans="1:6">
      <c r="A10488" t="s">
        <v>31162</v>
      </c>
      <c r="B10488" t="s">
        <v>31163</v>
      </c>
      <c r="C10488" t="s">
        <v>31164</v>
      </c>
      <c r="D10488" t="str">
        <f>HYPERLINK("https://github.com/willowtreeapps/Hyperion-Android/issues/98","show")</f>
        <v>show</v>
      </c>
      <c r="E10488" t="str">
        <f>HYPERLINK("https://github.com/willowtreeapps/Hyperion-Android","show")</f>
        <v>show</v>
      </c>
      <c r="F10488" t="str">
        <f>HYPERLINK("https://github.com/willowtreeapps/Hyperion-Android/releases","show")</f>
        <v>show</v>
      </c>
    </row>
    <row r="10489" spans="1:6">
      <c r="A10489" t="s">
        <v>31165</v>
      </c>
      <c r="B10489" t="s">
        <v>31166</v>
      </c>
      <c r="C10489" t="s">
        <v>31167</v>
      </c>
      <c r="D10489" t="str">
        <f>HYPERLINK("https://github.com/ehubscher/briarproject_390/issues/163","show")</f>
        <v>show</v>
      </c>
      <c r="E10489" t="str">
        <f>HYPERLINK("https://github.com/ehubscher/briarproject_390","show")</f>
        <v>show</v>
      </c>
      <c r="F10489" t="str">
        <f>HYPERLINK("https://github.com/ehubscher/briarproject_390/releases","show")</f>
        <v>show</v>
      </c>
    </row>
    <row r="10490" spans="1:6">
      <c r="A10490" t="s">
        <v>31168</v>
      </c>
      <c r="B10490" t="s">
        <v>31169</v>
      </c>
      <c r="C10490" t="s">
        <v>31170</v>
      </c>
      <c r="D10490" t="str">
        <f>HYPERLINK("https://github.com/FusixGit/WiFiPasswordSearcher/issues/6","show")</f>
        <v>show</v>
      </c>
      <c r="E10490" t="str">
        <f>HYPERLINK("https://github.com/FusixGit/WiFiPasswordSearcher","show")</f>
        <v>show</v>
      </c>
      <c r="F10490" t="str">
        <f>HYPERLINK("https://github.com/FusixGit/WiFiPasswordSearcher/releases","show")</f>
        <v>show</v>
      </c>
    </row>
    <row r="10491" spans="1:6">
      <c r="A10491" t="s">
        <v>31171</v>
      </c>
      <c r="B10491" t="s">
        <v>31172</v>
      </c>
      <c r="C10491" t="s">
        <v>31173</v>
      </c>
      <c r="D10491" t="str">
        <f>HYPERLINK("https://github.com/twilio/video-quickstart-android/issues/284","show")</f>
        <v>show</v>
      </c>
      <c r="E10491" t="str">
        <f>HYPERLINK("https://github.com/twilio/video-quickstart-android","show")</f>
        <v>show</v>
      </c>
      <c r="F10491" t="str">
        <f>HYPERLINK("https://github.com/twilio/video-quickstart-android/releases","show")</f>
        <v>show</v>
      </c>
    </row>
    <row r="10492" spans="1:6">
      <c r="A10492" t="s">
        <v>31174</v>
      </c>
      <c r="B10492" t="s">
        <v>31175</v>
      </c>
      <c r="C10492" t="s">
        <v>31176</v>
      </c>
      <c r="D10492" t="str">
        <f>HYPERLINK("https://github.com/rjaros87/pm-home-station/issues/24","show")</f>
        <v>show</v>
      </c>
      <c r="E10492" t="str">
        <f>HYPERLINK("https://github.com/rjaros87/pm-home-station","show")</f>
        <v>show</v>
      </c>
      <c r="F10492" t="str">
        <f>HYPERLINK("https://github.com/rjaros87/pm-home-station/releases","show")</f>
        <v>show</v>
      </c>
    </row>
    <row r="10493" spans="1:6">
      <c r="A10493" t="s">
        <v>31177</v>
      </c>
      <c r="B10493" t="s">
        <v>31178</v>
      </c>
      <c r="C10493" t="s">
        <v>31179</v>
      </c>
      <c r="D10493" t="str">
        <f>HYPERLINK("https://github.com/mapsforge/mapsforge/issues/1049","show")</f>
        <v>show</v>
      </c>
      <c r="E10493" t="str">
        <f>HYPERLINK("https://github.com/mapsforge/mapsforge","show")</f>
        <v>show</v>
      </c>
      <c r="F10493" t="str">
        <f>HYPERLINK("https://github.com/mapsforge/mapsforge/releases","show")</f>
        <v>show</v>
      </c>
    </row>
    <row r="10494" spans="1:6">
      <c r="A10494" t="s">
        <v>31180</v>
      </c>
      <c r="B10494" t="s">
        <v>31181</v>
      </c>
      <c r="C10494" t="s">
        <v>31182</v>
      </c>
      <c r="D10494" t="str">
        <f>HYPERLINK("https://github.com/mauron85/cordova-plugin-background-geolocation/issues/403","show")</f>
        <v>show</v>
      </c>
      <c r="E10494" t="str">
        <f>HYPERLINK("https://github.com/mauron85/cordova-plugin-background-geolocation","show")</f>
        <v>show</v>
      </c>
      <c r="F10494" t="str">
        <f>HYPERLINK("https://github.com/mauron85/cordova-plugin-background-geolocation/releases","show")</f>
        <v>show</v>
      </c>
    </row>
    <row r="10495" spans="1:6">
      <c r="A10495" t="s">
        <v>31183</v>
      </c>
      <c r="B10495" t="s">
        <v>31184</v>
      </c>
      <c r="C10495" t="s">
        <v>31185</v>
      </c>
      <c r="D10495" t="str">
        <f>HYPERLINK("https://github.com/EreOo/PhotoRedactorNeon/issues/2","show")</f>
        <v>show</v>
      </c>
      <c r="E10495" t="str">
        <f>HYPERLINK("https://github.com/EreOo/PhotoRedactorNeon","show")</f>
        <v>show</v>
      </c>
      <c r="F10495" t="str">
        <f>HYPERLINK("https://github.com/EreOo/PhotoRedactorNeon/releases","show")</f>
        <v>show</v>
      </c>
    </row>
    <row r="10496" spans="1:6">
      <c r="A10496" t="s">
        <v>31186</v>
      </c>
      <c r="B10496" t="s">
        <v>31187</v>
      </c>
      <c r="C10496" t="s">
        <v>31188</v>
      </c>
      <c r="D10496" t="str">
        <f>HYPERLINK("https://github.com/react-native-camera/react-native-camera/issues/1458","show")</f>
        <v>show</v>
      </c>
      <c r="E10496" t="str">
        <f>HYPERLINK("https://github.com/react-native-camera/react-native-camera","show")</f>
        <v>show</v>
      </c>
      <c r="F10496" t="str">
        <f>HYPERLINK("https://github.com/react-native-camera/react-native-camera/releases","show")</f>
        <v>show</v>
      </c>
    </row>
    <row r="10497" spans="1:6">
      <c r="A10497" t="s">
        <v>31189</v>
      </c>
      <c r="B10497" t="s">
        <v>31190</v>
      </c>
      <c r="C10497" t="s">
        <v>31191</v>
      </c>
      <c r="D10497" t="str">
        <f>HYPERLINK("https://github.com/stefan-niedermann/nextcloud-notes/issues/366","show")</f>
        <v>show</v>
      </c>
      <c r="E10497" t="str">
        <f>HYPERLINK("https://github.com/stefan-niedermann/nextcloud-notes","show")</f>
        <v>show</v>
      </c>
      <c r="F10497" t="str">
        <f>HYPERLINK("https://github.com/stefan-niedermann/nextcloud-notes/releases","show")</f>
        <v>show</v>
      </c>
    </row>
    <row r="10498" spans="1:6">
      <c r="A10498" t="s">
        <v>31192</v>
      </c>
      <c r="B10498" t="s">
        <v>31193</v>
      </c>
      <c r="C10498" t="s">
        <v>31194</v>
      </c>
      <c r="D10498" t="str">
        <f>HYPERLINK("https://github.com/stefan-niedermann/nextcloud-notes/issues/365","show")</f>
        <v>show</v>
      </c>
      <c r="E10498" t="str">
        <f>HYPERLINK("https://github.com/stefan-niedermann/nextcloud-notes","show")</f>
        <v>show</v>
      </c>
      <c r="F10498" t="str">
        <f>HYPERLINK("https://github.com/stefan-niedermann/nextcloud-notes/releases","show")</f>
        <v>show</v>
      </c>
    </row>
    <row r="10499" spans="1:6">
      <c r="A10499" t="s">
        <v>31195</v>
      </c>
      <c r="B10499" t="s">
        <v>92</v>
      </c>
      <c r="C10499" t="s">
        <v>31196</v>
      </c>
      <c r="D10499" t="str">
        <f>HYPERLINK("https://github.com/stefan-niedermann/nextcloud-notes/issues/364","show")</f>
        <v>show</v>
      </c>
      <c r="E10499" t="str">
        <f>HYPERLINK("https://github.com/stefan-niedermann/nextcloud-notes","show")</f>
        <v>show</v>
      </c>
      <c r="F10499" t="str">
        <f>HYPERLINK("https://github.com/stefan-niedermann/nextcloud-notes/releases","show")</f>
        <v>show</v>
      </c>
    </row>
    <row r="10500" spans="1:6">
      <c r="A10500" t="s">
        <v>31197</v>
      </c>
      <c r="B10500" t="s">
        <v>3937</v>
      </c>
      <c r="C10500" t="s">
        <v>31198</v>
      </c>
      <c r="D10500" t="str">
        <f>HYPERLINK("https://github.com/yydcdut/RxMarkdown/issues/45","show")</f>
        <v>show</v>
      </c>
      <c r="E10500" t="str">
        <f>HYPERLINK("https://github.com/yydcdut/RxMarkdown","show")</f>
        <v>show</v>
      </c>
      <c r="F10500" t="str">
        <f>HYPERLINK("https://github.com/yydcdut/RxMarkdown/releases","show")</f>
        <v>show</v>
      </c>
    </row>
    <row r="10501" spans="1:6">
      <c r="A10501" t="s">
        <v>31199</v>
      </c>
      <c r="B10501" t="s">
        <v>31200</v>
      </c>
      <c r="C10501" t="s">
        <v>31201</v>
      </c>
      <c r="D10501" t="str">
        <f>HYPERLINK("https://github.com/Teester/Whats-Nearby/issues/19","show")</f>
        <v>show</v>
      </c>
      <c r="E10501" t="str">
        <f>HYPERLINK("https://github.com/Teester/Whats-Nearby","show")</f>
        <v>show</v>
      </c>
      <c r="F10501" t="str">
        <f>HYPERLINK("https://github.com/Teester/Whats-Nearby/releases","show")</f>
        <v>show</v>
      </c>
    </row>
    <row r="10502" spans="1:6">
      <c r="A10502" t="s">
        <v>31202</v>
      </c>
      <c r="B10502" t="s">
        <v>31203</v>
      </c>
      <c r="C10502" t="s">
        <v>31204</v>
      </c>
      <c r="D10502" t="str">
        <f>HYPERLINK("https://github.com/uber/AutoDispose/issues/192","show")</f>
        <v>show</v>
      </c>
      <c r="E10502" t="str">
        <f>HYPERLINK("https://github.com/uber/AutoDispose","show")</f>
        <v>show</v>
      </c>
      <c r="F10502" t="str">
        <f>HYPERLINK("https://github.com/uber/AutoDispose/releases","show")</f>
        <v>show</v>
      </c>
    </row>
    <row r="10503" spans="1:6">
      <c r="A10503" t="s">
        <v>31205</v>
      </c>
      <c r="B10503" t="s">
        <v>31206</v>
      </c>
      <c r="C10503" t="s">
        <v>31207</v>
      </c>
      <c r="D10503" t="str">
        <f>HYPERLINK("https://github.com/tryton-vanmeer/LibreTrivia/issues/12","show")</f>
        <v>show</v>
      </c>
      <c r="E10503" t="str">
        <f>HYPERLINK("https://github.com/tryton-vanmeer/LibreTrivia","show")</f>
        <v>show</v>
      </c>
      <c r="F10503" t="str">
        <f>HYPERLINK("https://github.com/tryton-vanmeer/LibreTrivia/releases","show")</f>
        <v>show</v>
      </c>
    </row>
    <row r="10504" spans="1:6">
      <c r="A10504" t="s">
        <v>31208</v>
      </c>
      <c r="B10504" t="s">
        <v>31209</v>
      </c>
      <c r="C10504" t="s">
        <v>31210</v>
      </c>
      <c r="D10504" t="str">
        <f>HYPERLINK("https://github.com/mauron85/react-native-background-geolocation/issues/174","show")</f>
        <v>show</v>
      </c>
      <c r="E10504" t="str">
        <f>HYPERLINK("https://github.com/mauron85/react-native-background-geolocation","show")</f>
        <v>show</v>
      </c>
      <c r="F10504" t="str">
        <f>HYPERLINK("https://github.com/mauron85/react-native-background-geolocation/releases","show")</f>
        <v>show</v>
      </c>
    </row>
    <row r="10505" spans="1:6">
      <c r="A10505" t="s">
        <v>31211</v>
      </c>
      <c r="B10505" t="s">
        <v>31212</v>
      </c>
      <c r="C10505" t="s">
        <v>31213</v>
      </c>
      <c r="D10505" t="str">
        <f>HYPERLINK("https://github.com/OneBusAway/onebusaway-android/issues/868","show")</f>
        <v>show</v>
      </c>
      <c r="E10505" t="str">
        <f>HYPERLINK("https://github.com/OneBusAway/onebusaway-android","show")</f>
        <v>show</v>
      </c>
      <c r="F10505" t="str">
        <f>HYPERLINK("https://github.com/OneBusAway/onebusaway-android/releases","show")</f>
        <v>show</v>
      </c>
    </row>
    <row r="10506" spans="1:6">
      <c r="A10506" t="s">
        <v>31214</v>
      </c>
      <c r="B10506" t="s">
        <v>31215</v>
      </c>
      <c r="C10506" t="s">
        <v>31216</v>
      </c>
      <c r="D10506" t="str">
        <f>HYPERLINK("https://github.com/rollbar/rollbar-java/issues/115","show")</f>
        <v>show</v>
      </c>
      <c r="E10506" t="str">
        <f>HYPERLINK("https://github.com/rollbar/rollbar-java","show")</f>
        <v>show</v>
      </c>
      <c r="F10506" t="str">
        <f>HYPERLINK("https://github.com/rollbar/rollbar-java/releases","show")</f>
        <v>show</v>
      </c>
    </row>
    <row r="10507" spans="1:6">
      <c r="A10507" t="s">
        <v>31217</v>
      </c>
      <c r="B10507" t="s">
        <v>31218</v>
      </c>
      <c r="C10507" t="s">
        <v>31219</v>
      </c>
      <c r="D10507" t="str">
        <f>HYPERLINK("https://github.com/matomo-org/matomo-sdk-android/issues/199","show")</f>
        <v>show</v>
      </c>
      <c r="E10507" t="str">
        <f>HYPERLINK("https://github.com/matomo-org/matomo-sdk-android","show")</f>
        <v>show</v>
      </c>
      <c r="F10507" t="str">
        <f>HYPERLINK("https://github.com/matomo-org/matomo-sdk-android/releases","show")</f>
        <v>show</v>
      </c>
    </row>
    <row r="10508" spans="1:6">
      <c r="A10508" t="s">
        <v>31220</v>
      </c>
      <c r="B10508" t="s">
        <v>31221</v>
      </c>
      <c r="C10508" t="s">
        <v>31222</v>
      </c>
      <c r="D10508" t="str">
        <f>HYPERLINK("https://github.com/PrivacyStreams/PrivacyStreams/issues/13","show")</f>
        <v>show</v>
      </c>
      <c r="E10508" t="str">
        <f>HYPERLINK("https://github.com/PrivacyStreams/PrivacyStreams","show")</f>
        <v>show</v>
      </c>
      <c r="F10508" t="str">
        <f>HYPERLINK("https://github.com/PrivacyStreams/PrivacyStreams/releases","show")</f>
        <v>show</v>
      </c>
    </row>
    <row r="10509" spans="1:6">
      <c r="A10509" t="s">
        <v>31223</v>
      </c>
      <c r="B10509" t="s">
        <v>31224</v>
      </c>
      <c r="C10509" t="s">
        <v>31225</v>
      </c>
      <c r="D10509" t="str">
        <f>HYPERLINK("https://github.com/renyuneyun/Easer/issues/81","show")</f>
        <v>show</v>
      </c>
      <c r="E10509" t="str">
        <f>HYPERLINK("https://github.com/renyuneyun/Easer","show")</f>
        <v>show</v>
      </c>
      <c r="F10509" t="str">
        <f>HYPERLINK("https://github.com/renyuneyun/Easer/releases","show")</f>
        <v>show</v>
      </c>
    </row>
    <row r="10510" spans="1:6">
      <c r="A10510" t="s">
        <v>31226</v>
      </c>
      <c r="B10510" t="s">
        <v>31227</v>
      </c>
      <c r="C10510" t="s">
        <v>31228</v>
      </c>
      <c r="D10510" t="str">
        <f>HYPERLINK("https://github.com/ChaosLeung/PinView/issues/18","show")</f>
        <v>show</v>
      </c>
      <c r="E10510" t="str">
        <f>HYPERLINK("https://github.com/ChaosLeung/PinView","show")</f>
        <v>show</v>
      </c>
      <c r="F10510" t="str">
        <f>HYPERLINK("https://github.com/ChaosLeung/PinView/releases","show")</f>
        <v>show</v>
      </c>
    </row>
    <row r="10511" spans="1:6">
      <c r="A10511" t="s">
        <v>31229</v>
      </c>
      <c r="B10511" t="s">
        <v>31230</v>
      </c>
      <c r="C10511" t="s">
        <v>31231</v>
      </c>
      <c r="D10511" t="str">
        <f>HYPERLINK("https://github.com/google/ExoPlayer/issues/4104","show")</f>
        <v>show</v>
      </c>
      <c r="E10511" t="str">
        <f>HYPERLINK("https://github.com/google/ExoPlayer","show")</f>
        <v>show</v>
      </c>
      <c r="F10511" t="str">
        <f>HYPERLINK("https://github.com/google/ExoPlayer/releases","show")</f>
        <v>show</v>
      </c>
    </row>
    <row r="10512" spans="1:6">
      <c r="A10512" t="s">
        <v>31232</v>
      </c>
      <c r="B10512" t="s">
        <v>31233</v>
      </c>
      <c r="C10512" t="s">
        <v>31234</v>
      </c>
      <c r="D10512" t="str">
        <f>HYPERLINK("https://github.com/julian-klode/dns66/issues/265","show")</f>
        <v>show</v>
      </c>
      <c r="E10512" t="str">
        <f>HYPERLINK("https://github.com/julian-klode/dns66","show")</f>
        <v>show</v>
      </c>
      <c r="F10512" t="str">
        <f>HYPERLINK("https://github.com/julian-klode/dns66/releases","show")</f>
        <v>show</v>
      </c>
    </row>
    <row r="10513" spans="1:6">
      <c r="A10513" t="s">
        <v>31235</v>
      </c>
      <c r="B10513" t="s">
        <v>31236</v>
      </c>
      <c r="C10513" t="s">
        <v>31237</v>
      </c>
      <c r="D10513" t="str">
        <f>HYPERLINK("https://github.com/cgeo/cgeo/issues/6969","show")</f>
        <v>show</v>
      </c>
      <c r="E10513" t="str">
        <f>HYPERLINK("https://github.com/cgeo/cgeo","show")</f>
        <v>show</v>
      </c>
      <c r="F10513" t="str">
        <f>HYPERLINK("https://github.com/cgeo/cgeo/releases","show")</f>
        <v>show</v>
      </c>
    </row>
    <row r="10514" spans="1:6">
      <c r="A10514" t="s">
        <v>31238</v>
      </c>
      <c r="B10514" t="s">
        <v>31239</v>
      </c>
      <c r="C10514" t="s">
        <v>31240</v>
      </c>
      <c r="D10514" t="str">
        <f>HYPERLINK("https://github.com/CMPUT301W18T23/GeoTask/issues/54","show")</f>
        <v>show</v>
      </c>
      <c r="E10514" t="str">
        <f>HYPERLINK("https://github.com/CMPUT301W18T23/GeoTask","show")</f>
        <v>show</v>
      </c>
      <c r="F10514" t="str">
        <f>HYPERLINK("https://github.com/CMPUT301W18T23/GeoTask/releases","show")</f>
        <v>show</v>
      </c>
    </row>
    <row r="10515" spans="1:6">
      <c r="A10515" t="s">
        <v>31241</v>
      </c>
      <c r="B10515" t="s">
        <v>31242</v>
      </c>
      <c r="C10515" t="s">
        <v>31243</v>
      </c>
      <c r="D10515" t="str">
        <f>HYPERLINK("https://github.com/lineargs/WatchNextApp/issues/19","show")</f>
        <v>show</v>
      </c>
      <c r="E10515" t="str">
        <f>HYPERLINK("https://github.com/lineargs/WatchNextApp","show")</f>
        <v>show</v>
      </c>
      <c r="F10515" t="str">
        <f>HYPERLINK("https://github.com/lineargs/WatchNextApp/releases","show")</f>
        <v>show</v>
      </c>
    </row>
    <row r="10516" spans="1:6">
      <c r="A10516" t="s">
        <v>31244</v>
      </c>
      <c r="B10516" t="s">
        <v>31245</v>
      </c>
      <c r="C10516" t="s">
        <v>31246</v>
      </c>
      <c r="D10516" t="str">
        <f>HYPERLINK("https://github.com/google/ExoPlayer/issues/4096","show")</f>
        <v>show</v>
      </c>
      <c r="E10516" t="str">
        <f>HYPERLINK("https://github.com/google/ExoPlayer","show")</f>
        <v>show</v>
      </c>
      <c r="F10516" t="str">
        <f>HYPERLINK("https://github.com/google/ExoPlayer/releases","show")</f>
        <v>show</v>
      </c>
    </row>
    <row r="10517" spans="1:6">
      <c r="A10517" t="s">
        <v>31247</v>
      </c>
      <c r="B10517" t="s">
        <v>31248</v>
      </c>
      <c r="C10517" t="s">
        <v>31249</v>
      </c>
      <c r="D10517" t="str">
        <f>HYPERLINK("https://github.com/MarcLeclair/Mini-Cap-AnyMemo/issues/96","show")</f>
        <v>show</v>
      </c>
      <c r="E10517" t="str">
        <f>HYPERLINK("https://github.com/MarcLeclair/Mini-Cap-AnyMemo","show")</f>
        <v>show</v>
      </c>
      <c r="F10517" t="str">
        <f>HYPERLINK("https://github.com/MarcLeclair/Mini-Cap-AnyMemo/releases","show")</f>
        <v>show</v>
      </c>
    </row>
    <row r="10518" spans="1:6">
      <c r="A10518" t="s">
        <v>31250</v>
      </c>
      <c r="B10518" t="s">
        <v>31251</v>
      </c>
      <c r="C10518" t="s">
        <v>31252</v>
      </c>
      <c r="D10518" t="str">
        <f>HYPERLINK("https://github.com/no-go/AnotherRSS/issues/26","show")</f>
        <v>show</v>
      </c>
      <c r="E10518" t="str">
        <f>HYPERLINK("https://github.com/no-go/AnotherRSS","show")</f>
        <v>show</v>
      </c>
      <c r="F10518" t="str">
        <f>HYPERLINK("https://github.com/no-go/AnotherRSS/releases","show")</f>
        <v>show</v>
      </c>
    </row>
    <row r="10519" spans="1:6">
      <c r="A10519" t="s">
        <v>31253</v>
      </c>
      <c r="B10519" t="s">
        <v>31254</v>
      </c>
      <c r="C10519" t="s">
        <v>31255</v>
      </c>
      <c r="D10519" t="str">
        <f>HYPERLINK("https://github.com/aerogear/aerogear-android-sdk/issues/190","show")</f>
        <v>show</v>
      </c>
      <c r="E10519" t="str">
        <f>HYPERLINK("https://github.com/aerogear/aerogear-android-sdk","show")</f>
        <v>show</v>
      </c>
      <c r="F10519" t="str">
        <f>HYPERLINK("https://github.com/aerogear/aerogear-android-sdk/releases","show")</f>
        <v>show</v>
      </c>
    </row>
    <row r="10520" spans="1:6">
      <c r="A10520" t="s">
        <v>31256</v>
      </c>
      <c r="B10520" t="s">
        <v>31257</v>
      </c>
      <c r="C10520" t="s">
        <v>31258</v>
      </c>
      <c r="D10520" t="str">
        <f>HYPERLINK("https://github.com/aerogear/aerogear-android-sdk/issues/189","show")</f>
        <v>show</v>
      </c>
      <c r="E10520" t="str">
        <f>HYPERLINK("https://github.com/aerogear/aerogear-android-sdk","show")</f>
        <v>show</v>
      </c>
      <c r="F10520" t="str">
        <f>HYPERLINK("https://github.com/aerogear/aerogear-android-sdk/releases","show")</f>
        <v>show</v>
      </c>
    </row>
    <row r="10521" spans="1:6">
      <c r="A10521" t="s">
        <v>31259</v>
      </c>
      <c r="B10521" t="s">
        <v>31260</v>
      </c>
      <c r="C10521" t="s">
        <v>31261</v>
      </c>
      <c r="D10521" t="str">
        <f>HYPERLINK("https://github.com/Fr4gorSoftware/SecScanQR/issues/31","show")</f>
        <v>show</v>
      </c>
      <c r="E10521" t="str">
        <f>HYPERLINK("https://github.com/Fr4gorSoftware/SecScanQR","show")</f>
        <v>show</v>
      </c>
      <c r="F10521" t="str">
        <f>HYPERLINK("https://github.com/Fr4gorSoftware/SecScanQR/releases","show")</f>
        <v>show</v>
      </c>
    </row>
    <row r="10522" spans="1:6">
      <c r="A10522" t="s">
        <v>31262</v>
      </c>
      <c r="B10522" t="s">
        <v>31263</v>
      </c>
      <c r="C10522" t="s">
        <v>31264</v>
      </c>
      <c r="D10522" t="str">
        <f>HYPERLINK("https://github.com/k9mail/k-9/issues/3308","show")</f>
        <v>show</v>
      </c>
      <c r="E10522" t="str">
        <f>HYPERLINK("https://github.com/k9mail/k-9","show")</f>
        <v>show</v>
      </c>
      <c r="F10522" t="str">
        <f>HYPERLINK("https://github.com/k9mail/k-9/releases","show")</f>
        <v>show</v>
      </c>
    </row>
    <row r="10523" spans="1:6">
      <c r="A10523" t="s">
        <v>31265</v>
      </c>
      <c r="B10523" t="s">
        <v>31266</v>
      </c>
      <c r="C10523" t="s">
        <v>31267</v>
      </c>
      <c r="D10523" t="str">
        <f>HYPERLINK("https://github.com/alaskalinuxuser/app_JustChess/issues/1","show")</f>
        <v>show</v>
      </c>
      <c r="E10523" t="str">
        <f>HYPERLINK("https://github.com/alaskalinuxuser/app_JustChess","show")</f>
        <v>show</v>
      </c>
      <c r="F10523" t="str">
        <f>HYPERLINK("https://github.com/alaskalinuxuser/app_JustChess/releases","show")</f>
        <v>show</v>
      </c>
    </row>
    <row r="10524" spans="1:6">
      <c r="A10524" t="s">
        <v>31268</v>
      </c>
      <c r="B10524" t="s">
        <v>31269</v>
      </c>
      <c r="C10524" t="s">
        <v>31270</v>
      </c>
      <c r="D10524" t="str">
        <f>HYPERLINK("https://github.com/UTurista/PRSPY/issues/1","show")</f>
        <v>show</v>
      </c>
      <c r="E10524" t="str">
        <f>HYPERLINK("https://github.com/UTurista/PRSPY","show")</f>
        <v>show</v>
      </c>
      <c r="F10524" t="str">
        <f>HYPERLINK("https://github.com/UTurista/PRSPY/releases","show")</f>
        <v>show</v>
      </c>
    </row>
    <row r="10525" spans="1:6">
      <c r="A10525" t="s">
        <v>31271</v>
      </c>
      <c r="B10525" t="s">
        <v>31272</v>
      </c>
      <c r="C10525" t="s">
        <v>31273</v>
      </c>
      <c r="D10525" t="str">
        <f>HYPERLINK("https://github.com/k3b/APhotoManager/issues/119","show")</f>
        <v>show</v>
      </c>
      <c r="E10525" t="str">
        <f>HYPERLINK("https://github.com/k3b/APhotoManager","show")</f>
        <v>show</v>
      </c>
      <c r="F10525" t="str">
        <f>HYPERLINK("https://github.com/k3b/APhotoManager/releases","show")</f>
        <v>show</v>
      </c>
    </row>
    <row r="10526" spans="1:6">
      <c r="A10526" t="s">
        <v>31274</v>
      </c>
      <c r="B10526" t="s">
        <v>31275</v>
      </c>
      <c r="C10526" t="s">
        <v>31276</v>
      </c>
      <c r="D10526" t="str">
        <f>HYPERLINK("https://github.com/oliexdev/openScale/issues/238","show")</f>
        <v>show</v>
      </c>
      <c r="E10526" t="str">
        <f>HYPERLINK("https://github.com/oliexdev/openScale","show")</f>
        <v>show</v>
      </c>
      <c r="F10526" t="str">
        <f>HYPERLINK("https://github.com/oliexdev/openScale/releases","show")</f>
        <v>show</v>
      </c>
    </row>
    <row r="10527" spans="1:6">
      <c r="A10527" t="s">
        <v>31277</v>
      </c>
      <c r="B10527" t="s">
        <v>3919</v>
      </c>
      <c r="C10527" t="s">
        <v>31278</v>
      </c>
      <c r="D10527" t="str">
        <f>HYPERLINK("https://github.com/egslava/edittext-mask/issues/35","show")</f>
        <v>show</v>
      </c>
      <c r="E10527" t="str">
        <f>HYPERLINK("https://github.com/egslava/edittext-mask","show")</f>
        <v>show</v>
      </c>
      <c r="F10527" t="str">
        <f>HYPERLINK("https://github.com/egslava/edittext-mask/releases","show")</f>
        <v>show</v>
      </c>
    </row>
    <row r="10528" spans="1:6">
      <c r="A10528" t="s">
        <v>31279</v>
      </c>
      <c r="B10528" t="s">
        <v>31280</v>
      </c>
      <c r="C10528" t="s">
        <v>31281</v>
      </c>
      <c r="D10528" t="str">
        <f>HYPERLINK("https://github.com/jameelbrochu/AnyMemo/issues/138","show")</f>
        <v>show</v>
      </c>
      <c r="E10528" t="str">
        <f>HYPERLINK("https://github.com/jameelbrochu/AnyMemo","show")</f>
        <v>show</v>
      </c>
      <c r="F10528" t="str">
        <f>HYPERLINK("https://github.com/jameelbrochu/AnyMemo/releases","show")</f>
        <v>show</v>
      </c>
    </row>
    <row r="10529" spans="1:6">
      <c r="A10529" t="s">
        <v>31282</v>
      </c>
      <c r="B10529" t="s">
        <v>31283</v>
      </c>
      <c r="C10529" t="s">
        <v>31284</v>
      </c>
      <c r="D10529" t="str">
        <f>HYPERLINK("https://github.com/twilio/video-quickstart-android/issues/278","show")</f>
        <v>show</v>
      </c>
      <c r="E10529" t="str">
        <f>HYPERLINK("https://github.com/twilio/video-quickstart-android","show")</f>
        <v>show</v>
      </c>
      <c r="F10529" t="str">
        <f>HYPERLINK("https://github.com/twilio/video-quickstart-android/releases","show")</f>
        <v>show</v>
      </c>
    </row>
    <row r="10530" spans="1:6">
      <c r="A10530" t="s">
        <v>31285</v>
      </c>
      <c r="B10530" t="s">
        <v>31286</v>
      </c>
      <c r="C10530" t="s">
        <v>31287</v>
      </c>
      <c r="D10530" t="str">
        <f>HYPERLINK("https://github.com/julian-klode/dns66/issues/263","show")</f>
        <v>show</v>
      </c>
      <c r="E10530" t="str">
        <f>HYPERLINK("https://github.com/julian-klode/dns66","show")</f>
        <v>show</v>
      </c>
      <c r="F10530" t="str">
        <f>HYPERLINK("https://github.com/julian-klode/dns66/releases","show")</f>
        <v>show</v>
      </c>
    </row>
    <row r="10531" spans="1:6">
      <c r="A10531" t="s">
        <v>31288</v>
      </c>
      <c r="B10531" t="s">
        <v>31289</v>
      </c>
      <c r="C10531" t="s">
        <v>31290</v>
      </c>
      <c r="D10531" t="str">
        <f>HYPERLINK("https://github.com/iBotPeaches/Apktool/issues/1761","show")</f>
        <v>show</v>
      </c>
      <c r="E10531" t="str">
        <f>HYPERLINK("https://github.com/iBotPeaches/Apktool","show")</f>
        <v>show</v>
      </c>
      <c r="F10531" t="str">
        <f>HYPERLINK("https://github.com/iBotPeaches/Apktool/releases","show")</f>
        <v>show</v>
      </c>
    </row>
    <row r="10532" spans="1:6">
      <c r="A10532" t="s">
        <v>31291</v>
      </c>
      <c r="B10532" t="s">
        <v>31292</v>
      </c>
      <c r="C10532" t="s">
        <v>31293</v>
      </c>
      <c r="D10532" t="str">
        <f>HYPERLINK("https://github.com/julian-klode/dns66/issues/262","show")</f>
        <v>show</v>
      </c>
      <c r="E10532" t="str">
        <f>HYPERLINK("https://github.com/julian-klode/dns66","show")</f>
        <v>show</v>
      </c>
      <c r="F10532" t="str">
        <f>HYPERLINK("https://github.com/julian-klode/dns66/releases","show")</f>
        <v>show</v>
      </c>
    </row>
    <row r="10533" spans="1:6">
      <c r="A10533" t="s">
        <v>31294</v>
      </c>
      <c r="B10533" t="s">
        <v>31295</v>
      </c>
      <c r="C10533" t="s">
        <v>31296</v>
      </c>
      <c r="D10533" t="str">
        <f>HYPERLINK("https://github.com/FranckRJ/RespawnIRC-Android/issues/13","show")</f>
        <v>show</v>
      </c>
      <c r="E10533" t="str">
        <f>HYPERLINK("https://github.com/FranckRJ/RespawnIRC-Android","show")</f>
        <v>show</v>
      </c>
      <c r="F10533" t="str">
        <f>HYPERLINK("https://github.com/FranckRJ/RespawnIRC-Android/releases","show")</f>
        <v>show</v>
      </c>
    </row>
    <row r="10534" spans="1:6">
      <c r="A10534" t="s">
        <v>31297</v>
      </c>
      <c r="B10534" t="s">
        <v>31298</v>
      </c>
      <c r="C10534" t="s">
        <v>31299</v>
      </c>
      <c r="D10534" t="str">
        <f>HYPERLINK("https://github.com/commons-app/apps-android-commons/issues/1412","show")</f>
        <v>show</v>
      </c>
      <c r="E10534" t="str">
        <f>HYPERLINK("https://github.com/commons-app/apps-android-commons","show")</f>
        <v>show</v>
      </c>
      <c r="F10534" t="str">
        <f>HYPERLINK("https://github.com/commons-app/apps-android-commons/releases","show")</f>
        <v>show</v>
      </c>
    </row>
    <row r="10535" spans="1:6">
      <c r="A10535" t="s">
        <v>31300</v>
      </c>
      <c r="B10535" t="s">
        <v>31301</v>
      </c>
      <c r="C10535" t="s">
        <v>31302</v>
      </c>
      <c r="D10535" t="str">
        <f>HYPERLINK("https://github.com/kollerlukas/Camera-Roll-Android-App/issues/169","show")</f>
        <v>show</v>
      </c>
      <c r="E10535" t="str">
        <f>HYPERLINK("https://github.com/kollerlukas/Camera-Roll-Android-App","show")</f>
        <v>show</v>
      </c>
      <c r="F10535" t="str">
        <f>HYPERLINK("https://github.com/kollerlukas/Camera-Roll-Android-App/releases","show")</f>
        <v>show</v>
      </c>
    </row>
    <row r="10536" spans="1:6">
      <c r="A10536" t="s">
        <v>31303</v>
      </c>
      <c r="B10536" t="s">
        <v>31304</v>
      </c>
      <c r="C10536" t="s">
        <v>31305</v>
      </c>
      <c r="D10536" t="str">
        <f>HYPERLINK("https://github.com/TeamNewPipe/NewPipe/issues/1242","show")</f>
        <v>show</v>
      </c>
      <c r="E10536" t="str">
        <f>HYPERLINK("https://github.com/TeamNewPipe/NewPipe","show")</f>
        <v>show</v>
      </c>
      <c r="F10536" t="str">
        <f>HYPERLINK("https://github.com/TeamNewPipe/NewPipe/releases","show")</f>
        <v>show</v>
      </c>
    </row>
    <row r="10537" spans="1:6">
      <c r="A10537" t="s">
        <v>31306</v>
      </c>
      <c r="B10537" t="s">
        <v>31307</v>
      </c>
      <c r="C10537" t="s">
        <v>31308</v>
      </c>
      <c r="D10537" t="str">
        <f>HYPERLINK("https://github.com/commons-app/apps-android-commons/issues/1401","show")</f>
        <v>show</v>
      </c>
      <c r="E10537" t="str">
        <f>HYPERLINK("https://github.com/commons-app/apps-android-commons","show")</f>
        <v>show</v>
      </c>
      <c r="F10537" t="str">
        <f>HYPERLINK("https://github.com/commons-app/apps-android-commons/releases","show")</f>
        <v>show</v>
      </c>
    </row>
    <row r="10538" spans="1:6">
      <c r="A10538" t="s">
        <v>31309</v>
      </c>
      <c r="B10538" t="s">
        <v>25854</v>
      </c>
      <c r="C10538" t="s">
        <v>31310</v>
      </c>
      <c r="D10538" t="str">
        <f>HYPERLINK("https://github.com/yeriomin/YalpStore/issues/412","show")</f>
        <v>show</v>
      </c>
      <c r="E10538" t="str">
        <f>HYPERLINK("https://github.com/yeriomin/YalpStore","show")</f>
        <v>show</v>
      </c>
      <c r="F10538" t="str">
        <f>HYPERLINK("https://github.com/yeriomin/YalpStore/releases","show")</f>
        <v>show</v>
      </c>
    </row>
    <row r="10539" spans="1:6">
      <c r="A10539" t="s">
        <v>31311</v>
      </c>
      <c r="B10539" t="s">
        <v>31312</v>
      </c>
      <c r="C10539" t="s">
        <v>31313</v>
      </c>
      <c r="D10539" t="str">
        <f>HYPERLINK("https://github.com/aionnetwork/aion/issues/319","show")</f>
        <v>show</v>
      </c>
      <c r="E10539" t="str">
        <f>HYPERLINK("https://github.com/aionnetwork/aion","show")</f>
        <v>show</v>
      </c>
      <c r="F10539" t="str">
        <f>HYPERLINK("https://github.com/aionnetwork/aion/releases","show")</f>
        <v>show</v>
      </c>
    </row>
    <row r="10540" spans="1:6">
      <c r="A10540" t="s">
        <v>31314</v>
      </c>
      <c r="B10540" t="s">
        <v>31315</v>
      </c>
      <c r="C10540" t="s">
        <v>31316</v>
      </c>
      <c r="D10540" t="str">
        <f>HYPERLINK("https://github.com/morenoh149/react-native-contacts/issues/279","show")</f>
        <v>show</v>
      </c>
      <c r="E10540" t="str">
        <f>HYPERLINK("https://github.com/morenoh149/react-native-contacts","show")</f>
        <v>show</v>
      </c>
      <c r="F10540" t="str">
        <f>HYPERLINK("https://github.com/morenoh149/react-native-contacts/releases","show")</f>
        <v>show</v>
      </c>
    </row>
    <row r="10541" spans="1:6">
      <c r="A10541" t="s">
        <v>31317</v>
      </c>
      <c r="B10541" t="s">
        <v>31318</v>
      </c>
      <c r="C10541" t="s">
        <v>31319</v>
      </c>
      <c r="D10541" t="str">
        <f>HYPERLINK("https://github.com/nikita36078/J2ME-Loader/issues/267","show")</f>
        <v>show</v>
      </c>
      <c r="E10541" t="str">
        <f>HYPERLINK("https://github.com/nikita36078/J2ME-Loader","show")</f>
        <v>show</v>
      </c>
      <c r="F10541" t="str">
        <f>HYPERLINK("https://github.com/nikita36078/J2ME-Loader/releases","show")</f>
        <v>show</v>
      </c>
    </row>
    <row r="10542" spans="1:6">
      <c r="A10542" t="s">
        <v>31320</v>
      </c>
      <c r="B10542" t="s">
        <v>31321</v>
      </c>
      <c r="C10542" t="s">
        <v>31322</v>
      </c>
      <c r="D10542" t="str">
        <f>HYPERLINK("https://github.com/Devsoc-BPGC/ARD/issues/215","show")</f>
        <v>show</v>
      </c>
      <c r="E10542" t="str">
        <f>HYPERLINK("https://github.com/Devsoc-BPGC/ARD","show")</f>
        <v>show</v>
      </c>
      <c r="F10542" t="str">
        <f>HYPERLINK("https://github.com/Devsoc-BPGC/ARD/releases","show")</f>
        <v>show</v>
      </c>
    </row>
    <row r="10543" spans="1:6">
      <c r="A10543" t="s">
        <v>31323</v>
      </c>
      <c r="B10543" t="s">
        <v>31324</v>
      </c>
      <c r="C10543" t="s">
        <v>31325</v>
      </c>
      <c r="D10543" t="str">
        <f>HYPERLINK("https://github.com/getsentry/sentry-java/issues/572","show")</f>
        <v>show</v>
      </c>
      <c r="E10543" t="str">
        <f>HYPERLINK("https://github.com/getsentry/sentry-java","show")</f>
        <v>show</v>
      </c>
      <c r="F10543" t="str">
        <f>HYPERLINK("https://github.com/getsentry/sentry-java/releases","show")</f>
        <v>show</v>
      </c>
    </row>
    <row r="10544" spans="1:6">
      <c r="A10544" t="s">
        <v>31326</v>
      </c>
      <c r="B10544" t="s">
        <v>31327</v>
      </c>
      <c r="C10544" t="s">
        <v>31328</v>
      </c>
      <c r="D10544" t="str">
        <f>HYPERLINK("https://github.com/barbeau/gpstest/issues/137","show")</f>
        <v>show</v>
      </c>
      <c r="E10544" t="str">
        <f>HYPERLINK("https://github.com/barbeau/gpstest","show")</f>
        <v>show</v>
      </c>
      <c r="F10544" t="str">
        <f>HYPERLINK("https://github.com/barbeau/gpstest/releases","show")</f>
        <v>show</v>
      </c>
    </row>
    <row r="10545" spans="1:6">
      <c r="A10545" t="s">
        <v>31329</v>
      </c>
      <c r="B10545" t="s">
        <v>31330</v>
      </c>
      <c r="C10545" t="s">
        <v>31331</v>
      </c>
      <c r="D10545" t="str">
        <f>HYPERLINK("https://github.com/Jeremyyiu/BatteryManager/issues/10","show")</f>
        <v>show</v>
      </c>
      <c r="E10545" t="str">
        <f>HYPERLINK("https://github.com/Jeremyyiu/BatteryManager","show")</f>
        <v>show</v>
      </c>
      <c r="F10545" t="str">
        <f>HYPERLINK("https://github.com/Jeremyyiu/BatteryManager/releases","show")</f>
        <v>show</v>
      </c>
    </row>
    <row r="10546" spans="1:6">
      <c r="A10546" t="s">
        <v>31332</v>
      </c>
      <c r="B10546" t="s">
        <v>31333</v>
      </c>
      <c r="C10546" t="s">
        <v>31334</v>
      </c>
      <c r="D10546" t="str">
        <f>HYPERLINK("https://github.com/kollerlukas/Camera-Roll-Android-App/issues/167","show")</f>
        <v>show</v>
      </c>
      <c r="E10546" t="str">
        <f>HYPERLINK("https://github.com/kollerlukas/Camera-Roll-Android-App","show")</f>
        <v>show</v>
      </c>
      <c r="F10546" t="str">
        <f>HYPERLINK("https://github.com/kollerlukas/Camera-Roll-Android-App/releases","show")</f>
        <v>show</v>
      </c>
    </row>
    <row r="10547" spans="1:6">
      <c r="A10547" t="s">
        <v>31335</v>
      </c>
      <c r="B10547" t="s">
        <v>31336</v>
      </c>
      <c r="C10547" t="s">
        <v>31337</v>
      </c>
      <c r="D10547" t="str">
        <f>HYPERLINK("https://github.com/twilio/video-quickstart-android/issues/276","show")</f>
        <v>show</v>
      </c>
      <c r="E10547" t="str">
        <f>HYPERLINK("https://github.com/twilio/video-quickstart-android","show")</f>
        <v>show</v>
      </c>
      <c r="F10547" t="str">
        <f>HYPERLINK("https://github.com/twilio/video-quickstart-android/releases","show")</f>
        <v>show</v>
      </c>
    </row>
    <row r="10548" spans="1:6">
      <c r="A10548" t="s">
        <v>31338</v>
      </c>
      <c r="B10548" t="s">
        <v>31339</v>
      </c>
      <c r="C10548" t="s">
        <v>31340</v>
      </c>
      <c r="D10548" t="str">
        <f>HYPERLINK("https://github.com/mapbox/mapbox-events-android/issues/98","show")</f>
        <v>show</v>
      </c>
      <c r="E10548" t="str">
        <f>HYPERLINK("https://github.com/mapbox/mapbox-events-android","show")</f>
        <v>show</v>
      </c>
      <c r="F10548" t="str">
        <f>HYPERLINK("https://github.com/mapbox/mapbox-events-android/releases","show")</f>
        <v>show</v>
      </c>
    </row>
    <row r="10549" spans="1:6">
      <c r="A10549" t="s">
        <v>31341</v>
      </c>
      <c r="B10549" t="s">
        <v>31342</v>
      </c>
      <c r="C10549" t="s">
        <v>31343</v>
      </c>
      <c r="D10549" t="str">
        <f>HYPERLINK("https://github.com/kollerlukas/Camera-Roll-Android-App/issues/166","show")</f>
        <v>show</v>
      </c>
      <c r="E10549" t="str">
        <f>HYPERLINK("https://github.com/kollerlukas/Camera-Roll-Android-App","show")</f>
        <v>show</v>
      </c>
      <c r="F10549" t="str">
        <f>HYPERLINK("https://github.com/kollerlukas/Camera-Roll-Android-App/releases","show")</f>
        <v>show</v>
      </c>
    </row>
    <row r="10550" spans="1:6">
      <c r="A10550" t="s">
        <v>31344</v>
      </c>
      <c r="B10550" t="s">
        <v>31345</v>
      </c>
      <c r="C10550" t="s">
        <v>31346</v>
      </c>
      <c r="D10550" t="str">
        <f>HYPERLINK("https://github.com/kollerlukas/Camera-Roll-Android-App/issues/165","show")</f>
        <v>show</v>
      </c>
      <c r="E10550" t="str">
        <f>HYPERLINK("https://github.com/kollerlukas/Camera-Roll-Android-App","show")</f>
        <v>show</v>
      </c>
      <c r="F10550" t="str">
        <f>HYPERLINK("https://github.com/kollerlukas/Camera-Roll-Android-App/releases","show")</f>
        <v>show</v>
      </c>
    </row>
    <row r="10551" spans="1:6">
      <c r="A10551" t="s">
        <v>31347</v>
      </c>
      <c r="B10551" t="s">
        <v>31348</v>
      </c>
      <c r="C10551" t="s">
        <v>31349</v>
      </c>
      <c r="D10551" t="str">
        <f>HYPERLINK("https://github.com/smartnsoft/smartrecyclerview-android/issues/1","show")</f>
        <v>show</v>
      </c>
      <c r="E10551" t="str">
        <f>HYPERLINK("https://github.com/smartnsoft/smartrecyclerview-android","show")</f>
        <v>show</v>
      </c>
      <c r="F10551" t="str">
        <f>HYPERLINK("https://github.com/smartnsoft/smartrecyclerview-android/releases","show")</f>
        <v>show</v>
      </c>
    </row>
    <row r="10552" spans="1:6">
      <c r="A10552" t="s">
        <v>31350</v>
      </c>
      <c r="B10552" t="s">
        <v>31351</v>
      </c>
      <c r="C10552" t="s">
        <v>31352</v>
      </c>
      <c r="D10552" t="str">
        <f>HYPERLINK("https://github.com/tchapgouv/tchap-android-legacy/issues/79","show")</f>
        <v>show</v>
      </c>
      <c r="E10552" t="str">
        <f>HYPERLINK("https://github.com/tchapgouv/tchap-android-legacy","show")</f>
        <v>show</v>
      </c>
      <c r="F10552" t="str">
        <f>HYPERLINK("https://github.com/tchapgouv/tchap-android-legacy/releases","show")</f>
        <v>show</v>
      </c>
    </row>
    <row r="10553" spans="1:6">
      <c r="A10553" t="s">
        <v>31353</v>
      </c>
      <c r="B10553" t="s">
        <v>31354</v>
      </c>
      <c r="C10553" t="s">
        <v>31355</v>
      </c>
      <c r="D10553" t="str">
        <f>HYPERLINK("https://github.com/k9mail/k-9/issues/3289","show")</f>
        <v>show</v>
      </c>
      <c r="E10553" t="str">
        <f>HYPERLINK("https://github.com/k9mail/k-9","show")</f>
        <v>show</v>
      </c>
      <c r="F10553" t="str">
        <f>HYPERLINK("https://github.com/k9mail/k-9/releases","show")</f>
        <v>show</v>
      </c>
    </row>
    <row r="10554" spans="1:6">
      <c r="A10554" t="s">
        <v>31356</v>
      </c>
      <c r="B10554" t="s">
        <v>31357</v>
      </c>
      <c r="C10554" t="s">
        <v>31358</v>
      </c>
      <c r="D10554" t="str">
        <f>HYPERLINK("https://github.com/abguymon/Ticket-to-Ride-Hyrule/issues/13","show")</f>
        <v>show</v>
      </c>
      <c r="E10554" t="str">
        <f>HYPERLINK("https://github.com/abguymon/Ticket-to-Ride-Hyrule","show")</f>
        <v>show</v>
      </c>
      <c r="F10554" t="str">
        <f>HYPERLINK("https://github.com/abguymon/Ticket-to-Ride-Hyrule/releases","show")</f>
        <v>show</v>
      </c>
    </row>
    <row r="10555" spans="1:6">
      <c r="A10555" t="s">
        <v>31359</v>
      </c>
      <c r="B10555" t="s">
        <v>31360</v>
      </c>
      <c r="C10555" t="s">
        <v>31361</v>
      </c>
      <c r="D10555" t="str">
        <f>HYPERLINK("https://github.com/react-native-camera/react-native-camera/issues/1408","show")</f>
        <v>show</v>
      </c>
      <c r="E10555" t="str">
        <f>HYPERLINK("https://github.com/react-native-camera/react-native-camera","show")</f>
        <v>show</v>
      </c>
      <c r="F10555" t="str">
        <f>HYPERLINK("https://github.com/react-native-camera/react-native-camera/releases","show")</f>
        <v>show</v>
      </c>
    </row>
    <row r="10556" spans="1:6">
      <c r="A10556" t="s">
        <v>31362</v>
      </c>
      <c r="B10556" t="s">
        <v>31363</v>
      </c>
      <c r="C10556" t="s">
        <v>31364</v>
      </c>
      <c r="D10556" t="str">
        <f>HYPERLINK("https://github.com/Kovartthan/Twitter-Video-Share/issues/1","show")</f>
        <v>show</v>
      </c>
      <c r="E10556" t="str">
        <f>HYPERLINK("https://github.com/Kovartthan/Twitter-Video-Share","show")</f>
        <v>show</v>
      </c>
      <c r="F10556" t="str">
        <f>HYPERLINK("https://github.com/Kovartthan/Twitter-Video-Share/releases","show")</f>
        <v>show</v>
      </c>
    </row>
    <row r="10557" spans="1:6">
      <c r="A10557" t="s">
        <v>31365</v>
      </c>
      <c r="B10557" t="s">
        <v>31366</v>
      </c>
      <c r="C10557" t="s">
        <v>31367</v>
      </c>
      <c r="D10557" t="str">
        <f>HYPERLINK("https://github.com/Codernauti/GameBank/issues/27","show")</f>
        <v>show</v>
      </c>
      <c r="E10557" t="str">
        <f>HYPERLINK("https://github.com/Codernauti/GameBank","show")</f>
        <v>show</v>
      </c>
      <c r="F10557" t="str">
        <f>HYPERLINK("https://github.com/Codernauti/GameBank/releases","show")</f>
        <v>show</v>
      </c>
    </row>
    <row r="10558" spans="1:6">
      <c r="A10558" t="s">
        <v>31368</v>
      </c>
      <c r="B10558" t="s">
        <v>31369</v>
      </c>
      <c r="C10558" t="s">
        <v>31370</v>
      </c>
      <c r="D10558" t="str">
        <f>HYPERLINK("https://github.com/mvysny/aedict/issues/828","show")</f>
        <v>show</v>
      </c>
      <c r="E10558" t="str">
        <f>HYPERLINK("https://github.com/mvysny/aedict","show")</f>
        <v>show</v>
      </c>
      <c r="F10558" t="str">
        <f>HYPERLINK("https://github.com/mvysny/aedict/releases","show")</f>
        <v>show</v>
      </c>
    </row>
    <row r="10559" spans="1:6">
      <c r="A10559" t="s">
        <v>31371</v>
      </c>
      <c r="B10559" t="s">
        <v>31372</v>
      </c>
      <c r="C10559" t="s">
        <v>31373</v>
      </c>
      <c r="D10559" t="str">
        <f>HYPERLINK("https://github.com/evernote/android-job/issues/415","show")</f>
        <v>show</v>
      </c>
      <c r="E10559" t="str">
        <f>HYPERLINK("https://github.com/evernote/android-job","show")</f>
        <v>show</v>
      </c>
      <c r="F10559" t="str">
        <f>HYPERLINK("https://github.com/evernote/android-job/releases","show")</f>
        <v>show</v>
      </c>
    </row>
    <row r="10560" spans="1:6">
      <c r="A10560" t="s">
        <v>31374</v>
      </c>
      <c r="B10560" t="s">
        <v>31375</v>
      </c>
      <c r="C10560" t="s">
        <v>31376</v>
      </c>
      <c r="D10560" t="str">
        <f>HYPERLINK("https://github.com/nikita36078/J2ME-Loader/issues/254","show")</f>
        <v>show</v>
      </c>
      <c r="E10560" t="str">
        <f>HYPERLINK("https://github.com/nikita36078/J2ME-Loader","show")</f>
        <v>show</v>
      </c>
      <c r="F10560" t="str">
        <f>HYPERLINK("https://github.com/nikita36078/J2ME-Loader/releases","show")</f>
        <v>show</v>
      </c>
    </row>
    <row r="10561" spans="1:6">
      <c r="A10561" t="s">
        <v>31377</v>
      </c>
      <c r="B10561" t="s">
        <v>31378</v>
      </c>
      <c r="C10561" t="s">
        <v>31379</v>
      </c>
      <c r="D10561" t="str">
        <f>HYPERLINK("https://github.com/barbeau/gpstest/issues/132","show")</f>
        <v>show</v>
      </c>
      <c r="E10561" t="str">
        <f>HYPERLINK("https://github.com/barbeau/gpstest","show")</f>
        <v>show</v>
      </c>
      <c r="F10561" t="str">
        <f>HYPERLINK("https://github.com/barbeau/gpstest/releases","show")</f>
        <v>show</v>
      </c>
    </row>
    <row r="10562" spans="1:6">
      <c r="A10562" t="s">
        <v>31380</v>
      </c>
      <c r="B10562" t="s">
        <v>31381</v>
      </c>
      <c r="C10562" t="s">
        <v>31382</v>
      </c>
      <c r="D10562" t="str">
        <f>HYPERLINK("https://github.com/barbeau/gpstest/issues/131","show")</f>
        <v>show</v>
      </c>
      <c r="E10562" t="str">
        <f>HYPERLINK("https://github.com/barbeau/gpstest","show")</f>
        <v>show</v>
      </c>
      <c r="F10562" t="str">
        <f>HYPERLINK("https://github.com/barbeau/gpstest/releases","show")</f>
        <v>show</v>
      </c>
    </row>
    <row r="10563" spans="1:6">
      <c r="A10563" t="s">
        <v>31383</v>
      </c>
      <c r="B10563" t="s">
        <v>31384</v>
      </c>
      <c r="C10563" t="s">
        <v>31385</v>
      </c>
      <c r="D10563" t="str">
        <f>HYPERLINK("https://github.com/caarmen/scrumchatter/issues/65","show")</f>
        <v>show</v>
      </c>
      <c r="E10563" t="str">
        <f>HYPERLINK("https://github.com/caarmen/scrumchatter","show")</f>
        <v>show</v>
      </c>
      <c r="F10563" t="str">
        <f>HYPERLINK("https://github.com/caarmen/scrumchatter/releases","show")</f>
        <v>show</v>
      </c>
    </row>
    <row r="10564" spans="1:6">
      <c r="A10564" t="s">
        <v>31386</v>
      </c>
      <c r="B10564" t="s">
        <v>31387</v>
      </c>
      <c r="C10564" t="s">
        <v>31388</v>
      </c>
      <c r="D10564" t="str">
        <f>HYPERLINK("https://github.com/panmau/spotify-releases-app/issues/21","show")</f>
        <v>show</v>
      </c>
      <c r="E10564" t="str">
        <f>HYPERLINK("https://github.com/panmau/spotify-releases-app","show")</f>
        <v>show</v>
      </c>
      <c r="F10564" t="str">
        <f>HYPERLINK("https://github.com/panmau/spotify-releases-app/releases","show")</f>
        <v>show</v>
      </c>
    </row>
    <row r="10565" spans="1:6">
      <c r="A10565" t="s">
        <v>31389</v>
      </c>
      <c r="B10565" t="s">
        <v>31390</v>
      </c>
      <c r="C10565" t="s">
        <v>31391</v>
      </c>
      <c r="D10565" t="str">
        <f>HYPERLINK("https://github.com/YoungMaker/iORC/issues/98","show")</f>
        <v>show</v>
      </c>
      <c r="E10565" t="str">
        <f>HYPERLINK("https://github.com/YoungMaker/iORC","show")</f>
        <v>show</v>
      </c>
      <c r="F10565" t="str">
        <f>HYPERLINK("https://github.com/YoungMaker/iORC/releases","show")</f>
        <v>show</v>
      </c>
    </row>
    <row r="10566" spans="1:6">
      <c r="A10566" t="s">
        <v>31392</v>
      </c>
      <c r="B10566" t="s">
        <v>31393</v>
      </c>
      <c r="C10566" t="s">
        <v>31394</v>
      </c>
      <c r="D10566" t="str">
        <f>HYPERLINK("https://github.com/SecUSo/privacy-friendly-weather/issues/62","show")</f>
        <v>show</v>
      </c>
      <c r="E10566" t="str">
        <f>HYPERLINK("https://github.com/SecUSo/privacy-friendly-weather","show")</f>
        <v>show</v>
      </c>
      <c r="F10566" t="str">
        <f>HYPERLINK("https://github.com/SecUSo/privacy-friendly-weather/releases","show")</f>
        <v>show</v>
      </c>
    </row>
    <row r="10567" spans="1:6">
      <c r="A10567" t="s">
        <v>31395</v>
      </c>
      <c r="B10567" t="s">
        <v>31396</v>
      </c>
      <c r="C10567" t="s">
        <v>31397</v>
      </c>
      <c r="D10567" t="str">
        <f>HYPERLINK("https://github.com/SecUSo/privacy-friendly-weather/issues/61","show")</f>
        <v>show</v>
      </c>
      <c r="E10567" t="str">
        <f>HYPERLINK("https://github.com/SecUSo/privacy-friendly-weather","show")</f>
        <v>show</v>
      </c>
      <c r="F10567" t="str">
        <f>HYPERLINK("https://github.com/SecUSo/privacy-friendly-weather/releases","show")</f>
        <v>show</v>
      </c>
    </row>
    <row r="10568" spans="1:6">
      <c r="A10568" t="s">
        <v>31398</v>
      </c>
      <c r="B10568" t="s">
        <v>31399</v>
      </c>
      <c r="C10568" t="s">
        <v>31400</v>
      </c>
      <c r="D10568" t="str">
        <f>HYPERLINK("https://github.com/maks/MGit/issues/293","show")</f>
        <v>show</v>
      </c>
      <c r="E10568" t="str">
        <f>HYPERLINK("https://github.com/maks/MGit","show")</f>
        <v>show</v>
      </c>
      <c r="F10568" t="str">
        <f>HYPERLINK("https://github.com/maks/MGit/releases","show")</f>
        <v>show</v>
      </c>
    </row>
    <row r="10569" spans="1:6">
      <c r="A10569" t="s">
        <v>31401</v>
      </c>
      <c r="B10569" t="s">
        <v>31402</v>
      </c>
      <c r="C10569" t="s">
        <v>31403</v>
      </c>
      <c r="D10569" t="str">
        <f>HYPERLINK("https://github.com/tony19/logback-android/issues/169","show")</f>
        <v>show</v>
      </c>
      <c r="E10569" t="str">
        <f>HYPERLINK("https://github.com/tony19/logback-android","show")</f>
        <v>show</v>
      </c>
      <c r="F10569" t="str">
        <f>HYPERLINK("https://github.com/tony19/logback-android/releases","show")</f>
        <v>show</v>
      </c>
    </row>
    <row r="10570" spans="1:6">
      <c r="A10570" t="s">
        <v>31404</v>
      </c>
      <c r="B10570" t="s">
        <v>31405</v>
      </c>
      <c r="C10570" t="s">
        <v>31406</v>
      </c>
      <c r="D10570" t="str">
        <f>HYPERLINK("https://github.com/Amuff1n/Study-Buddy/issues/10","show")</f>
        <v>show</v>
      </c>
      <c r="E10570" t="str">
        <f>HYPERLINK("https://github.com/Amuff1n/Study-Buddy","show")</f>
        <v>show</v>
      </c>
      <c r="F10570" t="str">
        <f>HYPERLINK("https://github.com/Amuff1n/Study-Buddy/releases","show")</f>
        <v>show</v>
      </c>
    </row>
    <row r="10571" spans="1:6">
      <c r="A10571" t="s">
        <v>31407</v>
      </c>
      <c r="B10571" t="s">
        <v>31408</v>
      </c>
      <c r="C10571" t="s">
        <v>31409</v>
      </c>
      <c r="D10571" t="str">
        <f>HYPERLINK("https://github.com/maks/MGit/issues/289","show")</f>
        <v>show</v>
      </c>
      <c r="E10571" t="str">
        <f>HYPERLINK("https://github.com/maks/MGit","show")</f>
        <v>show</v>
      </c>
      <c r="F10571" t="str">
        <f>HYPERLINK("https://github.com/maks/MGit/releases","show")</f>
        <v>show</v>
      </c>
    </row>
    <row r="10572" spans="1:6">
      <c r="A10572" t="s">
        <v>31410</v>
      </c>
      <c r="B10572" t="s">
        <v>31411</v>
      </c>
      <c r="C10572" t="s">
        <v>31412</v>
      </c>
      <c r="D10572" t="str">
        <f>HYPERLINK("https://github.com/dariuszseweryn/RxAndroidBle/issues/404","show")</f>
        <v>show</v>
      </c>
      <c r="E10572" t="str">
        <f>HYPERLINK("https://github.com/dariuszseweryn/RxAndroidBle","show")</f>
        <v>show</v>
      </c>
      <c r="F10572" t="str">
        <f>HYPERLINK("https://github.com/dariuszseweryn/RxAndroidBle/releases","show")</f>
        <v>show</v>
      </c>
    </row>
    <row r="10573" spans="1:6">
      <c r="A10573" t="s">
        <v>31413</v>
      </c>
      <c r="B10573" t="s">
        <v>31414</v>
      </c>
      <c r="C10573" t="s">
        <v>31415</v>
      </c>
      <c r="D10573" t="str">
        <f>HYPERLINK("https://github.com/hzi-braunschweig/SORMAS-Project/issues/531","show")</f>
        <v>show</v>
      </c>
      <c r="E10573" t="str">
        <f>HYPERLINK("https://github.com/hzi-braunschweig/SORMAS-Project","show")</f>
        <v>show</v>
      </c>
      <c r="F10573" t="str">
        <f>HYPERLINK("https://github.com/hzi-braunschweig/SORMAS-Project/releases","show")</f>
        <v>show</v>
      </c>
    </row>
    <row r="10574" spans="1:6">
      <c r="A10574" t="s">
        <v>31416</v>
      </c>
      <c r="B10574" t="s">
        <v>31417</v>
      </c>
      <c r="C10574" t="s">
        <v>31418</v>
      </c>
      <c r="D10574" t="str">
        <f>HYPERLINK("https://github.com/ekstep/Integrated-Partner-App/issues/13","show")</f>
        <v>show</v>
      </c>
      <c r="E10574" t="str">
        <f>HYPERLINK("https://github.com/ekstep/Integrated-Partner-App","show")</f>
        <v>show</v>
      </c>
      <c r="F10574" t="str">
        <f>HYPERLINK("https://github.com/ekstep/Integrated-Partner-App/releases","show")</f>
        <v>show</v>
      </c>
    </row>
    <row r="10575" spans="1:6">
      <c r="A10575" t="s">
        <v>31419</v>
      </c>
      <c r="B10575" t="s">
        <v>31420</v>
      </c>
      <c r="C10575" t="s">
        <v>31421</v>
      </c>
      <c r="D10575" t="str">
        <f>HYPERLINK("https://github.com/applivery/applivery-android-sdk/issues/18","show")</f>
        <v>show</v>
      </c>
      <c r="E10575" t="str">
        <f>HYPERLINK("https://github.com/applivery/applivery-android-sdk","show")</f>
        <v>show</v>
      </c>
      <c r="F10575" t="str">
        <f>HYPERLINK("https://github.com/applivery/applivery-android-sdk/releases","show")</f>
        <v>show</v>
      </c>
    </row>
    <row r="10576" spans="1:6">
      <c r="A10576" t="s">
        <v>31422</v>
      </c>
      <c r="B10576" t="s">
        <v>31423</v>
      </c>
      <c r="C10576" t="s">
        <v>31424</v>
      </c>
      <c r="D10576" t="str">
        <f>HYPERLINK("https://github.com/OneTimePass/OneTimePass/issues/9","show")</f>
        <v>show</v>
      </c>
      <c r="E10576" t="str">
        <f>HYPERLINK("https://github.com/OneTimePass/OneTimePass","show")</f>
        <v>show</v>
      </c>
      <c r="F10576" t="str">
        <f>HYPERLINK("https://github.com/OneTimePass/OneTimePass/releases","show")</f>
        <v>show</v>
      </c>
    </row>
    <row r="10577" spans="1:6">
      <c r="A10577" t="s">
        <v>31425</v>
      </c>
      <c r="B10577" t="s">
        <v>31426</v>
      </c>
      <c r="C10577" t="s">
        <v>31427</v>
      </c>
      <c r="D10577" t="str">
        <f>HYPERLINK("https://github.com/tony19/logback-android/issues/168","show")</f>
        <v>show</v>
      </c>
      <c r="E10577" t="str">
        <f>HYPERLINK("https://github.com/tony19/logback-android","show")</f>
        <v>show</v>
      </c>
      <c r="F10577" t="str">
        <f>HYPERLINK("https://github.com/tony19/logback-android/releases","show")</f>
        <v>show</v>
      </c>
    </row>
    <row r="10578" spans="1:6">
      <c r="A10578" t="s">
        <v>31428</v>
      </c>
      <c r="B10578" t="s">
        <v>31429</v>
      </c>
      <c r="C10578" t="s">
        <v>31430</v>
      </c>
      <c r="D10578" t="str">
        <f>HYPERLINK("https://github.com/JohnLines/mediclog/issues/8","show")</f>
        <v>show</v>
      </c>
      <c r="E10578" t="str">
        <f>HYPERLINK("https://github.com/JohnLines/mediclog","show")</f>
        <v>show</v>
      </c>
      <c r="F10578" t="str">
        <f>HYPERLINK("https://github.com/JohnLines/mediclog/releases","show")</f>
        <v>show</v>
      </c>
    </row>
    <row r="10579" spans="1:6">
      <c r="A10579" t="s">
        <v>31431</v>
      </c>
      <c r="B10579" t="s">
        <v>31432</v>
      </c>
      <c r="C10579" t="s">
        <v>31433</v>
      </c>
      <c r="D10579" t="str">
        <f>HYPERLINK("https://github.com/bumptech/glide/issues/2967","show")</f>
        <v>show</v>
      </c>
      <c r="E10579" t="str">
        <f>HYPERLINK("https://github.com/bumptech/glide","show")</f>
        <v>show</v>
      </c>
      <c r="F10579" t="str">
        <f>HYPERLINK("https://github.com/bumptech/glide/releases","show")</f>
        <v>show</v>
      </c>
    </row>
    <row r="10580" spans="1:6">
      <c r="A10580" t="s">
        <v>31434</v>
      </c>
      <c r="B10580" t="s">
        <v>31435</v>
      </c>
      <c r="C10580" t="s">
        <v>31436</v>
      </c>
      <c r="D10580" t="str">
        <f>HYPERLINK("https://github.com/koral--/android-gif-drawable/issues/522","show")</f>
        <v>show</v>
      </c>
      <c r="E10580" t="str">
        <f>HYPERLINK("https://github.com/koral--/android-gif-drawable","show")</f>
        <v>show</v>
      </c>
      <c r="F10580" t="str">
        <f>HYPERLINK("https://github.com/koral--/android-gif-drawable/releases","show")</f>
        <v>show</v>
      </c>
    </row>
    <row r="10581" spans="1:6">
      <c r="A10581" t="s">
        <v>31437</v>
      </c>
      <c r="B10581" t="s">
        <v>31438</v>
      </c>
      <c r="C10581" t="s">
        <v>31439</v>
      </c>
      <c r="D10581" t="str">
        <f>HYPERLINK("https://github.com/HenriDellal/emerald/issues/62","show")</f>
        <v>show</v>
      </c>
      <c r="E10581" t="str">
        <f>HYPERLINK("https://github.com/HenriDellal/emerald","show")</f>
        <v>show</v>
      </c>
      <c r="F10581" t="str">
        <f>HYPERLINK("https://github.com/HenriDellal/emerald/releases","show")</f>
        <v>show</v>
      </c>
    </row>
    <row r="10582" spans="1:6">
      <c r="A10582" t="s">
        <v>31440</v>
      </c>
      <c r="B10582" t="s">
        <v>31441</v>
      </c>
      <c r="C10582" t="s">
        <v>31442</v>
      </c>
      <c r="D10582" t="str">
        <f>HYPERLINK("https://github.com/SecUSo/privacy-friendly-weather/issues/58","show")</f>
        <v>show</v>
      </c>
      <c r="E10582" t="str">
        <f>HYPERLINK("https://github.com/SecUSo/privacy-friendly-weather","show")</f>
        <v>show</v>
      </c>
      <c r="F10582" t="str">
        <f>HYPERLINK("https://github.com/SecUSo/privacy-friendly-weather/releases","show")</f>
        <v>show</v>
      </c>
    </row>
    <row r="10583" spans="1:6">
      <c r="A10583" t="s">
        <v>31443</v>
      </c>
      <c r="B10583" t="s">
        <v>31444</v>
      </c>
      <c r="C10583" t="s">
        <v>31445</v>
      </c>
      <c r="D10583" t="str">
        <f>HYPERLINK("https://github.com/dimagi/commcare-android/issues/1962","show")</f>
        <v>show</v>
      </c>
      <c r="E10583" t="str">
        <f>HYPERLINK("https://github.com/dimagi/commcare-android","show")</f>
        <v>show</v>
      </c>
      <c r="F10583" t="str">
        <f>HYPERLINK("https://github.com/dimagi/commcare-android/releases","show")</f>
        <v>show</v>
      </c>
    </row>
    <row r="10584" spans="1:6">
      <c r="A10584" t="s">
        <v>31446</v>
      </c>
      <c r="B10584" t="s">
        <v>31447</v>
      </c>
      <c r="C10584" t="s">
        <v>31448</v>
      </c>
      <c r="D10584" t="str">
        <f>HYPERLINK("https://github.com/openMF/android-client/issues/940","show")</f>
        <v>show</v>
      </c>
      <c r="E10584" t="str">
        <f>HYPERLINK("https://github.com/openMF/android-client","show")</f>
        <v>show</v>
      </c>
      <c r="F10584" t="str">
        <f>HYPERLINK("https://github.com/openMF/android-client/releases","show")</f>
        <v>show</v>
      </c>
    </row>
    <row r="10585" spans="1:6">
      <c r="A10585" t="s">
        <v>31449</v>
      </c>
      <c r="B10585" t="s">
        <v>31450</v>
      </c>
      <c r="C10585" t="s">
        <v>31451</v>
      </c>
      <c r="D10585" t="str">
        <f>HYPERLINK("https://github.com/eltos/SimpleDialogFragments/issues/33","show")</f>
        <v>show</v>
      </c>
      <c r="E10585" t="str">
        <f>HYPERLINK("https://github.com/eltos/SimpleDialogFragments","show")</f>
        <v>show</v>
      </c>
      <c r="F10585" t="str">
        <f>HYPERLINK("https://github.com/eltos/SimpleDialogFragments/releases","show")</f>
        <v>show</v>
      </c>
    </row>
    <row r="10586" spans="1:6">
      <c r="A10586" t="s">
        <v>31452</v>
      </c>
      <c r="B10586" t="s">
        <v>31453</v>
      </c>
      <c r="C10586" t="s">
        <v>31454</v>
      </c>
      <c r="D10586" t="str">
        <f>HYPERLINK("https://github.com/andOTP/andOTP/issues/159","show")</f>
        <v>show</v>
      </c>
      <c r="E10586" t="str">
        <f>HYPERLINK("https://github.com/andOTP/andOTP","show")</f>
        <v>show</v>
      </c>
      <c r="F10586" t="str">
        <f>HYPERLINK("https://github.com/andOTP/andOTP/releases","show")</f>
        <v>show</v>
      </c>
    </row>
    <row r="10587" spans="1:6">
      <c r="A10587" t="s">
        <v>31455</v>
      </c>
      <c r="B10587" t="s">
        <v>31456</v>
      </c>
      <c r="C10587" t="s">
        <v>31457</v>
      </c>
      <c r="D10587" t="str">
        <f>HYPERLINK("https://github.com/k3b/APhotoManager/issues/116","show")</f>
        <v>show</v>
      </c>
      <c r="E10587" t="str">
        <f>HYPERLINK("https://github.com/k3b/APhotoManager","show")</f>
        <v>show</v>
      </c>
      <c r="F10587" t="str">
        <f>HYPERLINK("https://github.com/k3b/APhotoManager/releases","show")</f>
        <v>show</v>
      </c>
    </row>
    <row r="10588" spans="1:6">
      <c r="A10588" t="s">
        <v>31458</v>
      </c>
      <c r="B10588" t="s">
        <v>31459</v>
      </c>
      <c r="C10588" t="s">
        <v>31460</v>
      </c>
      <c r="D10588" t="str">
        <f>HYPERLINK("https://github.com/rollbar/rollbar-react-native/issues/21","show")</f>
        <v>show</v>
      </c>
      <c r="E10588" t="str">
        <f>HYPERLINK("https://github.com/rollbar/rollbar-react-native","show")</f>
        <v>show</v>
      </c>
      <c r="F10588" t="str">
        <f>HYPERLINK("https://github.com/rollbar/rollbar-react-native/releases","show")</f>
        <v>show</v>
      </c>
    </row>
    <row r="10589" spans="1:6">
      <c r="A10589" t="s">
        <v>31461</v>
      </c>
      <c r="B10589" t="s">
        <v>31462</v>
      </c>
      <c r="C10589" t="s">
        <v>31463</v>
      </c>
      <c r="D10589" t="str">
        <f>HYPERLINK("https://github.com/rollbar/rollbar-java/issues/110","show")</f>
        <v>show</v>
      </c>
      <c r="E10589" t="str">
        <f>HYPERLINK("https://github.com/rollbar/rollbar-java","show")</f>
        <v>show</v>
      </c>
      <c r="F10589" t="str">
        <f>HYPERLINK("https://github.com/rollbar/rollbar-java/releases","show")</f>
        <v>show</v>
      </c>
    </row>
    <row r="10590" spans="1:6">
      <c r="A10590" t="s">
        <v>31464</v>
      </c>
      <c r="B10590" t="s">
        <v>31465</v>
      </c>
      <c r="C10590" t="s">
        <v>31466</v>
      </c>
      <c r="D10590" t="str">
        <f>HYPERLINK("https://github.com/nikita36078/J2ME-Loader/issues/226","show")</f>
        <v>show</v>
      </c>
      <c r="E10590" t="str">
        <f>HYPERLINK("https://github.com/nikita36078/J2ME-Loader","show")</f>
        <v>show</v>
      </c>
      <c r="F10590" t="str">
        <f>HYPERLINK("https://github.com/nikita36078/J2ME-Loader/releases","show")</f>
        <v>show</v>
      </c>
    </row>
    <row r="10591" spans="1:6">
      <c r="A10591" t="s">
        <v>31467</v>
      </c>
      <c r="B10591" t="s">
        <v>31468</v>
      </c>
      <c r="C10591" t="s">
        <v>31469</v>
      </c>
      <c r="D10591" t="str">
        <f>HYPERLINK("https://github.com/k9mail/k-9/issues/3266","show")</f>
        <v>show</v>
      </c>
      <c r="E10591" t="str">
        <f>HYPERLINK("https://github.com/k9mail/k-9","show")</f>
        <v>show</v>
      </c>
      <c r="F10591" t="str">
        <f>HYPERLINK("https://github.com/k9mail/k-9/releases","show")</f>
        <v>show</v>
      </c>
    </row>
    <row r="10592" spans="1:6">
      <c r="A10592" t="s">
        <v>31470</v>
      </c>
      <c r="B10592" t="s">
        <v>31471</v>
      </c>
      <c r="C10592" t="s">
        <v>31472</v>
      </c>
      <c r="D10592" t="str">
        <f>HYPERLINK("https://github.com/react-native-camera/react-native-camera/issues/1357","show")</f>
        <v>show</v>
      </c>
      <c r="E10592" t="str">
        <f>HYPERLINK("https://github.com/react-native-camera/react-native-camera","show")</f>
        <v>show</v>
      </c>
      <c r="F10592" t="str">
        <f>HYPERLINK("https://github.com/react-native-camera/react-native-camera/releases","show")</f>
        <v>show</v>
      </c>
    </row>
    <row r="10593" spans="1:6">
      <c r="A10593" t="s">
        <v>31473</v>
      </c>
      <c r="B10593" t="s">
        <v>31474</v>
      </c>
      <c r="C10593" t="s">
        <v>31475</v>
      </c>
      <c r="D10593" t="str">
        <f>HYPERLINK("https://github.com/opensrp/opensrp-client-growth-monitoring/issues/22","show")</f>
        <v>show</v>
      </c>
      <c r="E10593" t="str">
        <f>HYPERLINK("https://github.com/opensrp/opensrp-client-growth-monitoring","show")</f>
        <v>show</v>
      </c>
      <c r="F10593" t="str">
        <f>HYPERLINK("https://github.com/opensrp/opensrp-client-growth-monitoring/releases","show")</f>
        <v>show</v>
      </c>
    </row>
    <row r="10594" spans="1:6">
      <c r="A10594" t="s">
        <v>31476</v>
      </c>
      <c r="B10594" t="s">
        <v>31477</v>
      </c>
      <c r="C10594" t="s">
        <v>31478</v>
      </c>
      <c r="D10594" t="str">
        <f>HYPERLINK("https://github.com/iFixit/dozuki-android/issues/6","show")</f>
        <v>show</v>
      </c>
      <c r="E10594" t="str">
        <f>HYPERLINK("https://github.com/iFixit/dozuki-android","show")</f>
        <v>show</v>
      </c>
      <c r="F10594" t="str">
        <f>HYPERLINK("https://github.com/iFixit/dozuki-android/releases","show")</f>
        <v>show</v>
      </c>
    </row>
    <row r="10595" spans="1:6">
      <c r="A10595" t="s">
        <v>31479</v>
      </c>
      <c r="B10595" t="s">
        <v>31480</v>
      </c>
      <c r="C10595" t="s">
        <v>31481</v>
      </c>
      <c r="D10595" t="str">
        <f>HYPERLINK("https://github.com/JulianSobott/Catan/issues/31","show")</f>
        <v>show</v>
      </c>
      <c r="E10595" t="str">
        <f>HYPERLINK("https://github.com/JulianSobott/Catan","show")</f>
        <v>show</v>
      </c>
      <c r="F10595" t="str">
        <f>HYPERLINK("https://github.com/JulianSobott/Catan/releases","show")</f>
        <v>show</v>
      </c>
    </row>
    <row r="10596" spans="1:6">
      <c r="A10596" t="s">
        <v>31482</v>
      </c>
      <c r="B10596" t="s">
        <v>31483</v>
      </c>
      <c r="C10596" t="s">
        <v>31484</v>
      </c>
      <c r="D10596" t="str">
        <f>HYPERLINK("https://github.com/nikita36078/J2ME-Loader/issues/222","show")</f>
        <v>show</v>
      </c>
      <c r="E10596" t="str">
        <f>HYPERLINK("https://github.com/nikita36078/J2ME-Loader","show")</f>
        <v>show</v>
      </c>
      <c r="F10596" t="str">
        <f>HYPERLINK("https://github.com/nikita36078/J2ME-Loader/releases","show")</f>
        <v>show</v>
      </c>
    </row>
    <row r="10597" spans="1:6">
      <c r="A10597" t="s">
        <v>31485</v>
      </c>
      <c r="B10597" t="s">
        <v>31486</v>
      </c>
      <c r="C10597" t="s">
        <v>31487</v>
      </c>
      <c r="D10597" t="str">
        <f>HYPERLINK("https://github.com/WycliffeAssociates/translationRecorder/issues/1079","show")</f>
        <v>show</v>
      </c>
      <c r="E10597" t="str">
        <f>HYPERLINK("https://github.com/WycliffeAssociates/translationRecorder","show")</f>
        <v>show</v>
      </c>
      <c r="F10597" t="str">
        <f>HYPERLINK("https://github.com/WycliffeAssociates/translationRecorder/releases","show")</f>
        <v>show</v>
      </c>
    </row>
    <row r="10598" spans="1:6">
      <c r="A10598" t="s">
        <v>31488</v>
      </c>
      <c r="B10598" t="s">
        <v>31489</v>
      </c>
      <c r="C10598" t="s">
        <v>31490</v>
      </c>
      <c r="D10598" t="str">
        <f>HYPERLINK("https://github.com/mapbox/mapbox-plugins-android/issues/361","show")</f>
        <v>show</v>
      </c>
      <c r="E10598" t="str">
        <f>HYPERLINK("https://github.com/mapbox/mapbox-plugins-android","show")</f>
        <v>show</v>
      </c>
      <c r="F10598" t="str">
        <f>HYPERLINK("https://github.com/mapbox/mapbox-plugins-android/releases","show")</f>
        <v>show</v>
      </c>
    </row>
    <row r="10599" spans="1:6">
      <c r="A10599" t="s">
        <v>31491</v>
      </c>
      <c r="B10599" t="s">
        <v>31492</v>
      </c>
      <c r="C10599" t="s">
        <v>31493</v>
      </c>
      <c r="D10599" t="str">
        <f>HYPERLINK("https://github.com/nvllsvm/Audinaut/issues/23","show")</f>
        <v>show</v>
      </c>
      <c r="E10599" t="str">
        <f>HYPERLINK("https://github.com/nvllsvm/Audinaut","show")</f>
        <v>show</v>
      </c>
      <c r="F10599" t="str">
        <f>HYPERLINK("https://github.com/nvllsvm/Audinaut/releases","show")</f>
        <v>show</v>
      </c>
    </row>
    <row r="10600" spans="1:6">
      <c r="A10600" t="s">
        <v>31494</v>
      </c>
      <c r="B10600" t="s">
        <v>31495</v>
      </c>
      <c r="C10600" t="s">
        <v>31496</v>
      </c>
      <c r="D10600" t="str">
        <f>HYPERLINK("https://github.com/nitaliano/react-native-mapbox-gl/issues/1110","show")</f>
        <v>show</v>
      </c>
      <c r="E10600" t="str">
        <f>HYPERLINK("https://github.com/nitaliano/react-native-mapbox-gl","show")</f>
        <v>show</v>
      </c>
      <c r="F10600" t="str">
        <f>HYPERLINK("https://github.com/nitaliano/react-native-mapbox-gl/releases","show")</f>
        <v>show</v>
      </c>
    </row>
    <row r="10601" spans="1:6">
      <c r="A10601" t="s">
        <v>31497</v>
      </c>
      <c r="B10601" t="s">
        <v>31498</v>
      </c>
      <c r="C10601" t="s">
        <v>31499</v>
      </c>
      <c r="D10601" t="str">
        <f>HYPERLINK("https://github.com/k9mail/k-9/issues/3255","show")</f>
        <v>show</v>
      </c>
      <c r="E10601" t="str">
        <f>HYPERLINK("https://github.com/k9mail/k-9","show")</f>
        <v>show</v>
      </c>
      <c r="F10601" t="str">
        <f>HYPERLINK("https://github.com/k9mail/k-9/releases","show")</f>
        <v>show</v>
      </c>
    </row>
    <row r="10602" spans="1:6">
      <c r="A10602" t="s">
        <v>31500</v>
      </c>
      <c r="B10602" t="s">
        <v>31501</v>
      </c>
      <c r="C10602" t="s">
        <v>31502</v>
      </c>
      <c r="D10602" t="str">
        <f>HYPERLINK("https://github.com/ramack/ActivityDiary/issues/119","show")</f>
        <v>show</v>
      </c>
      <c r="E10602" t="str">
        <f>HYPERLINK("https://github.com/ramack/ActivityDiary","show")</f>
        <v>show</v>
      </c>
      <c r="F10602" t="str">
        <f>HYPERLINK("https://github.com/ramack/ActivityDiary/releases","show")</f>
        <v>show</v>
      </c>
    </row>
    <row r="10603" spans="1:6">
      <c r="A10603" t="s">
        <v>31503</v>
      </c>
      <c r="B10603" t="s">
        <v>31504</v>
      </c>
      <c r="C10603" t="s">
        <v>31505</v>
      </c>
      <c r="D10603" t="str">
        <f>HYPERLINK("https://github.com/codinguser/gnucash-android/issues/771","show")</f>
        <v>show</v>
      </c>
      <c r="E10603" t="str">
        <f>HYPERLINK("https://github.com/codinguser/gnucash-android","show")</f>
        <v>show</v>
      </c>
      <c r="F10603" t="str">
        <f>HYPERLINK("https://github.com/codinguser/gnucash-android/releases","show")</f>
        <v>show</v>
      </c>
    </row>
    <row r="10604" spans="1:6">
      <c r="A10604" t="s">
        <v>31506</v>
      </c>
      <c r="B10604" t="s">
        <v>31507</v>
      </c>
      <c r="C10604" t="s">
        <v>31508</v>
      </c>
      <c r="D10604" t="str">
        <f>HYPERLINK("https://github.com/forrestguice/SuntimesWidget/issues/177","show")</f>
        <v>show</v>
      </c>
      <c r="E10604" t="str">
        <f>HYPERLINK("https://github.com/forrestguice/SuntimesWidget","show")</f>
        <v>show</v>
      </c>
      <c r="F10604" t="str">
        <f>HYPERLINK("https://github.com/forrestguice/SuntimesWidget/releases","show")</f>
        <v>show</v>
      </c>
    </row>
    <row r="10605" spans="1:6">
      <c r="A10605" t="s">
        <v>31509</v>
      </c>
      <c r="B10605" t="s">
        <v>31510</v>
      </c>
      <c r="C10605" t="s">
        <v>31511</v>
      </c>
      <c r="D10605" t="str">
        <f>HYPERLINK("https://github.com/calypsonet/keyple-java/issues/48","show")</f>
        <v>show</v>
      </c>
      <c r="E10605" t="str">
        <f>HYPERLINK("https://github.com/calypsonet/keyple-java","show")</f>
        <v>show</v>
      </c>
      <c r="F10605" t="str">
        <f>HYPERLINK("https://github.com/calypsonet/keyple-java/releases","show")</f>
        <v>show</v>
      </c>
    </row>
    <row r="10606" spans="1:6">
      <c r="A10606" t="s">
        <v>31512</v>
      </c>
      <c r="B10606" t="s">
        <v>31513</v>
      </c>
      <c r="C10606" t="s">
        <v>31514</v>
      </c>
      <c r="D10606" t="str">
        <f>HYPERLINK("https://github.com/Tencent/tinker/issues/787","show")</f>
        <v>show</v>
      </c>
      <c r="E10606" t="str">
        <f>HYPERLINK("https://github.com/Tencent/tinker","show")</f>
        <v>show</v>
      </c>
      <c r="F10606" t="str">
        <f>HYPERLINK("https://github.com/Tencent/tinker/releases","show")</f>
        <v>show</v>
      </c>
    </row>
    <row r="10607" spans="1:6">
      <c r="A10607" t="s">
        <v>31515</v>
      </c>
      <c r="B10607" t="s">
        <v>31516</v>
      </c>
      <c r="C10607" t="s">
        <v>31517</v>
      </c>
      <c r="D10607" t="str">
        <f>HYPERLINK("https://github.com/doublesymmetry/react-native-track-player/issues/159","show")</f>
        <v>show</v>
      </c>
      <c r="E10607" t="str">
        <f>HYPERLINK("https://github.com/doublesymmetry/react-native-track-player","show")</f>
        <v>show</v>
      </c>
      <c r="F10607" t="str">
        <f>HYPERLINK("https://github.com/doublesymmetry/react-native-track-player/releases","show")</f>
        <v>show</v>
      </c>
    </row>
    <row r="10608" spans="1:6">
      <c r="A10608" t="s">
        <v>31518</v>
      </c>
      <c r="B10608" t="s">
        <v>31519</v>
      </c>
      <c r="C10608" t="s">
        <v>31520</v>
      </c>
      <c r="D10608" t="str">
        <f>HYPERLINK("https://github.com/vector-im/riot-android/issues/2065","show")</f>
        <v>show</v>
      </c>
      <c r="E10608" t="str">
        <f>HYPERLINK("https://github.com/vector-im/riot-android","show")</f>
        <v>show</v>
      </c>
      <c r="F10608" t="str">
        <f>HYPERLINK("https://github.com/vector-im/riot-android/releases","show")</f>
        <v>show</v>
      </c>
    </row>
    <row r="10609" spans="1:6">
      <c r="A10609" t="s">
        <v>31521</v>
      </c>
      <c r="B10609" t="s">
        <v>31522</v>
      </c>
      <c r="C10609" t="s">
        <v>31523</v>
      </c>
      <c r="D10609" t="str">
        <f>HYPERLINK("https://github.com/nextcloud/android/issues/2329","show")</f>
        <v>show</v>
      </c>
      <c r="E10609" t="str">
        <f>HYPERLINK("https://github.com/nextcloud/android","show")</f>
        <v>show</v>
      </c>
      <c r="F10609" t="str">
        <f>HYPERLINK("https://github.com/nextcloud/android/releases","show")</f>
        <v>show</v>
      </c>
    </row>
    <row r="10610" spans="1:6">
      <c r="A10610" t="s">
        <v>31524</v>
      </c>
      <c r="B10610" t="s">
        <v>31525</v>
      </c>
      <c r="C10610" t="s">
        <v>31526</v>
      </c>
      <c r="D10610" t="str">
        <f>HYPERLINK("https://github.com/ttnmapper/ttnmapper_android_v2/issues/12","show")</f>
        <v>show</v>
      </c>
      <c r="E10610" t="str">
        <f>HYPERLINK("https://github.com/ttnmapper/ttnmapper_android_v2","show")</f>
        <v>show</v>
      </c>
      <c r="F10610" t="str">
        <f>HYPERLINK("https://github.com/ttnmapper/ttnmapper_android_v2/releases","show")</f>
        <v>show</v>
      </c>
    </row>
    <row r="10611" spans="1:6">
      <c r="A10611" t="s">
        <v>31527</v>
      </c>
      <c r="B10611" t="s">
        <v>31528</v>
      </c>
      <c r="C10611" t="s">
        <v>31529</v>
      </c>
      <c r="D10611" t="str">
        <f>HYPERLINK("https://github.com/kazijehangir/BloodHub/issues/24","show")</f>
        <v>show</v>
      </c>
      <c r="E10611" t="str">
        <f>HYPERLINK("https://github.com/kazijehangir/BloodHub","show")</f>
        <v>show</v>
      </c>
      <c r="F10611" t="str">
        <f>HYPERLINK("https://github.com/kazijehangir/BloodHub/releases","show")</f>
        <v>show</v>
      </c>
    </row>
    <row r="10612" spans="1:6">
      <c r="A10612" t="s">
        <v>31530</v>
      </c>
      <c r="B10612" t="s">
        <v>31531</v>
      </c>
      <c r="C10612" t="s">
        <v>31532</v>
      </c>
      <c r="D10612" t="str">
        <f>HYPERLINK("https://github.com/codingworkshopru/Gymm/issues/12","show")</f>
        <v>show</v>
      </c>
      <c r="E10612" t="str">
        <f>HYPERLINK("https://github.com/codingworkshopru/Gymm","show")</f>
        <v>show</v>
      </c>
      <c r="F10612" t="str">
        <f>HYPERLINK("https://github.com/codingworkshopru/Gymm/releases","show")</f>
        <v>show</v>
      </c>
    </row>
    <row r="10613" spans="1:6">
      <c r="A10613" t="s">
        <v>31533</v>
      </c>
      <c r="B10613" t="s">
        <v>31534</v>
      </c>
      <c r="C10613" t="s">
        <v>31535</v>
      </c>
      <c r="D10613" t="str">
        <f>HYPERLINK("https://github.com/brykan/WTNAndroid/issues/4","show")</f>
        <v>show</v>
      </c>
      <c r="E10613" t="str">
        <f>HYPERLINK("https://github.com/brykan/WTNAndroid","show")</f>
        <v>show</v>
      </c>
      <c r="F10613" t="str">
        <f>HYPERLINK("https://github.com/brykan/WTNAndroid/releases","show")</f>
        <v>show</v>
      </c>
    </row>
    <row r="10614" spans="1:6">
      <c r="A10614" t="s">
        <v>31536</v>
      </c>
      <c r="B10614" t="s">
        <v>31537</v>
      </c>
      <c r="C10614" t="s">
        <v>31538</v>
      </c>
      <c r="D10614" t="str">
        <f>HYPERLINK("https://github.com/LonamiWebs/Stringlate/issues/184","show")</f>
        <v>show</v>
      </c>
      <c r="E10614" t="str">
        <f>HYPERLINK("https://github.com/LonamiWebs/Stringlate","show")</f>
        <v>show</v>
      </c>
      <c r="F10614" t="str">
        <f>HYPERLINK("https://github.com/LonamiWebs/Stringlate/releases","show")</f>
        <v>show</v>
      </c>
    </row>
    <row r="10615" spans="1:6">
      <c r="A10615" t="s">
        <v>31539</v>
      </c>
      <c r="B10615" t="s">
        <v>31540</v>
      </c>
      <c r="C10615" t="s">
        <v>31541</v>
      </c>
      <c r="D10615" t="str">
        <f>HYPERLINK("https://github.com/Haptic-Apps/Slide/issues/2683","show")</f>
        <v>show</v>
      </c>
      <c r="E10615" t="str">
        <f>HYPERLINK("https://github.com/Haptic-Apps/Slide","show")</f>
        <v>show</v>
      </c>
      <c r="F10615" t="str">
        <f>HYPERLINK("https://github.com/Haptic-Apps/Slide/releases","show")</f>
        <v>show</v>
      </c>
    </row>
    <row r="10616" spans="1:6">
      <c r="A10616" t="s">
        <v>31542</v>
      </c>
      <c r="B10616" t="s">
        <v>31543</v>
      </c>
      <c r="C10616" t="s">
        <v>31544</v>
      </c>
      <c r="D10616" t="str">
        <f>HYPERLINK("https://github.com/Haptic-Apps/Slide/issues/2682","show")</f>
        <v>show</v>
      </c>
      <c r="E10616" t="str">
        <f>HYPERLINK("https://github.com/Haptic-Apps/Slide","show")</f>
        <v>show</v>
      </c>
      <c r="F10616" t="str">
        <f>HYPERLINK("https://github.com/Haptic-Apps/Slide/releases","show")</f>
        <v>show</v>
      </c>
    </row>
    <row r="10617" spans="1:6">
      <c r="A10617" t="s">
        <v>31545</v>
      </c>
      <c r="B10617" t="s">
        <v>31546</v>
      </c>
      <c r="C10617" t="s">
        <v>31547</v>
      </c>
      <c r="D10617" t="str">
        <f>HYPERLINK("https://github.com/inaturalist/iNaturalistAndroid/issues/481","show")</f>
        <v>show</v>
      </c>
      <c r="E10617" t="str">
        <f>HYPERLINK("https://github.com/inaturalist/iNaturalistAndroid","show")</f>
        <v>show</v>
      </c>
      <c r="F10617" t="str">
        <f>HYPERLINK("https://github.com/inaturalist/iNaturalistAndroid/releases","show")</f>
        <v>show</v>
      </c>
    </row>
    <row r="10618" spans="1:6">
      <c r="A10618" t="s">
        <v>31548</v>
      </c>
      <c r="B10618" t="s">
        <v>31549</v>
      </c>
      <c r="C10618" t="s">
        <v>31550</v>
      </c>
      <c r="D10618" t="str">
        <f>HYPERLINK("https://github.com/react-native-camera/react-native-camera/issues/1337","show")</f>
        <v>show</v>
      </c>
      <c r="E10618" t="str">
        <f>HYPERLINK("https://github.com/react-native-camera/react-native-camera","show")</f>
        <v>show</v>
      </c>
      <c r="F10618" t="str">
        <f>HYPERLINK("https://github.com/react-native-camera/react-native-camera/releases","show")</f>
        <v>show</v>
      </c>
    </row>
    <row r="10619" spans="1:6">
      <c r="A10619" t="s">
        <v>31551</v>
      </c>
      <c r="B10619" t="s">
        <v>31552</v>
      </c>
      <c r="C10619" t="s">
        <v>31553</v>
      </c>
      <c r="D10619" t="str">
        <f>HYPERLINK("https://github.com/TeamNewPipe/NewPipe/issues/1176","show")</f>
        <v>show</v>
      </c>
      <c r="E10619" t="str">
        <f>HYPERLINK("https://github.com/TeamNewPipe/NewPipe","show")</f>
        <v>show</v>
      </c>
      <c r="F10619" t="str">
        <f>HYPERLINK("https://github.com/TeamNewPipe/NewPipe/releases","show")</f>
        <v>show</v>
      </c>
    </row>
    <row r="10620" spans="1:6">
      <c r="A10620" t="s">
        <v>31554</v>
      </c>
      <c r="B10620" t="s">
        <v>31555</v>
      </c>
      <c r="C10620" t="s">
        <v>31556</v>
      </c>
      <c r="D10620" t="str">
        <f>HYPERLINK("https://github.com/kwantam/batsHIIT/issues/5","show")</f>
        <v>show</v>
      </c>
      <c r="E10620" t="str">
        <f>HYPERLINK("https://github.com/kwantam/batsHIIT","show")</f>
        <v>show</v>
      </c>
      <c r="F10620" t="str">
        <f>HYPERLINK("https://github.com/kwantam/batsHIIT/releases","show")</f>
        <v>show</v>
      </c>
    </row>
    <row r="10621" spans="1:6">
      <c r="A10621" t="s">
        <v>31557</v>
      </c>
      <c r="B10621" t="s">
        <v>31558</v>
      </c>
      <c r="C10621" t="s">
        <v>31559</v>
      </c>
      <c r="D10621" t="str">
        <f>HYPERLINK("https://github.com/nextcloud/android/issues/2318","show")</f>
        <v>show</v>
      </c>
      <c r="E10621" t="str">
        <f>HYPERLINK("https://github.com/nextcloud/android","show")</f>
        <v>show</v>
      </c>
      <c r="F10621" t="str">
        <f>HYPERLINK("https://github.com/nextcloud/android/releases","show")</f>
        <v>show</v>
      </c>
    </row>
    <row r="10622" spans="1:6">
      <c r="A10622" t="s">
        <v>31560</v>
      </c>
      <c r="B10622" t="s">
        <v>31561</v>
      </c>
      <c r="C10622" t="s">
        <v>31562</v>
      </c>
      <c r="D10622" t="str">
        <f>HYPERLINK("https://github.com/jruesga/rview/issues/68","show")</f>
        <v>show</v>
      </c>
      <c r="E10622" t="str">
        <f>HYPERLINK("https://github.com/jruesga/rview","show")</f>
        <v>show</v>
      </c>
      <c r="F10622" t="str">
        <f>HYPERLINK("https://github.com/jruesga/rview/releases","show")</f>
        <v>show</v>
      </c>
    </row>
    <row r="10623" spans="1:6">
      <c r="A10623" t="s">
        <v>31563</v>
      </c>
      <c r="B10623" t="s">
        <v>31564</v>
      </c>
      <c r="C10623" t="s">
        <v>31565</v>
      </c>
      <c r="D10623" t="str">
        <f>HYPERLINK("https://github.com/nitaliano/react-native-mapbox-gl/issues/1102","show")</f>
        <v>show</v>
      </c>
      <c r="E10623" t="str">
        <f>HYPERLINK("https://github.com/nitaliano/react-native-mapbox-gl","show")</f>
        <v>show</v>
      </c>
      <c r="F10623" t="str">
        <f>HYPERLINK("https://github.com/nitaliano/react-native-mapbox-gl/releases","show")</f>
        <v>show</v>
      </c>
    </row>
    <row r="10624" spans="1:6">
      <c r="A10624" t="s">
        <v>31566</v>
      </c>
      <c r="B10624" t="s">
        <v>31567</v>
      </c>
      <c r="C10624" t="s">
        <v>31568</v>
      </c>
      <c r="D10624" t="str">
        <f>HYPERLINK("https://github.com/barbeau/gpstest/issues/121","show")</f>
        <v>show</v>
      </c>
      <c r="E10624" t="str">
        <f>HYPERLINK("https://github.com/barbeau/gpstest","show")</f>
        <v>show</v>
      </c>
      <c r="F10624" t="str">
        <f>HYPERLINK("https://github.com/barbeau/gpstest/releases","show")</f>
        <v>show</v>
      </c>
    </row>
    <row r="10625" spans="1:6">
      <c r="A10625" t="s">
        <v>31569</v>
      </c>
      <c r="B10625" t="s">
        <v>31570</v>
      </c>
      <c r="C10625" t="s">
        <v>31571</v>
      </c>
      <c r="D10625" t="str">
        <f>HYPERLINK("https://github.com/mauron85/cordova-plugin-background-geolocation/issues/380","show")</f>
        <v>show</v>
      </c>
      <c r="E10625" t="str">
        <f>HYPERLINK("https://github.com/mauron85/cordova-plugin-background-geolocation","show")</f>
        <v>show</v>
      </c>
      <c r="F10625" t="str">
        <f>HYPERLINK("https://github.com/mauron85/cordova-plugin-background-geolocation/releases","show")</f>
        <v>show</v>
      </c>
    </row>
    <row r="10626" spans="1:6">
      <c r="A10626" t="s">
        <v>31572</v>
      </c>
      <c r="B10626" t="s">
        <v>31573</v>
      </c>
      <c r="C10626" t="s">
        <v>31574</v>
      </c>
      <c r="D10626" t="str">
        <f>HYPERLINK("https://github.com/nextcloud/android/issues/2307","show")</f>
        <v>show</v>
      </c>
      <c r="E10626" t="str">
        <f>HYPERLINK("https://github.com/nextcloud/android","show")</f>
        <v>show</v>
      </c>
      <c r="F10626" t="str">
        <f>HYPERLINK("https://github.com/nextcloud/android/releases","show")</f>
        <v>show</v>
      </c>
    </row>
    <row r="10627" spans="1:6">
      <c r="A10627" t="s">
        <v>31575</v>
      </c>
      <c r="B10627" t="s">
        <v>7674</v>
      </c>
      <c r="C10627" t="s">
        <v>31576</v>
      </c>
      <c r="D10627" t="str">
        <f>HYPERLINK("https://github.com/nextcloud/android/issues/2306","show")</f>
        <v>show</v>
      </c>
      <c r="E10627" t="str">
        <f>HYPERLINK("https://github.com/nextcloud/android","show")</f>
        <v>show</v>
      </c>
      <c r="F10627" t="str">
        <f>HYPERLINK("https://github.com/nextcloud/android/releases","show")</f>
        <v>show</v>
      </c>
    </row>
    <row r="10628" spans="1:6">
      <c r="A10628" t="s">
        <v>31577</v>
      </c>
      <c r="B10628" t="s">
        <v>31578</v>
      </c>
      <c r="C10628" t="s">
        <v>31579</v>
      </c>
      <c r="D10628" t="str">
        <f>HYPERLINK("https://github.com/ucsb-cs56-projects/cs56-android-smoke-signals/issues/56","show")</f>
        <v>show</v>
      </c>
      <c r="E10628" t="str">
        <f>HYPERLINK("https://github.com/ucsb-cs56-projects/cs56-android-smoke-signals","show")</f>
        <v>show</v>
      </c>
      <c r="F10628" t="str">
        <f>HYPERLINK("https://github.com/ucsb-cs56-projects/cs56-android-smoke-signals/releases","show")</f>
        <v>show</v>
      </c>
    </row>
    <row r="10629" spans="1:6">
      <c r="A10629" t="s">
        <v>31580</v>
      </c>
      <c r="B10629" t="s">
        <v>31581</v>
      </c>
      <c r="C10629" t="s">
        <v>31582</v>
      </c>
      <c r="D10629" t="str">
        <f>HYPERLINK("https://github.com/amplitude/Amplitude-Android/issues/159","show")</f>
        <v>show</v>
      </c>
      <c r="E10629" t="str">
        <f>HYPERLINK("https://github.com/amplitude/Amplitude-Android","show")</f>
        <v>show</v>
      </c>
      <c r="F10629" t="str">
        <f>HYPERLINK("https://github.com/amplitude/Amplitude-Android/releases","show")</f>
        <v>show</v>
      </c>
    </row>
    <row r="10630" spans="1:6">
      <c r="A10630" t="s">
        <v>31583</v>
      </c>
      <c r="B10630" t="s">
        <v>31584</v>
      </c>
      <c r="C10630" t="s">
        <v>31585</v>
      </c>
      <c r="D10630" t="str">
        <f>HYPERLINK("https://github.com/opensrp/opensrp-client-path/issues/277","show")</f>
        <v>show</v>
      </c>
      <c r="E10630" t="str">
        <f>HYPERLINK("https://github.com/opensrp/opensrp-client-path","show")</f>
        <v>show</v>
      </c>
      <c r="F10630" t="str">
        <f>HYPERLINK("https://github.com/opensrp/opensrp-client-path/releases","show")</f>
        <v>show</v>
      </c>
    </row>
    <row r="10631" spans="1:6">
      <c r="A10631" t="s">
        <v>31586</v>
      </c>
      <c r="B10631" t="s">
        <v>31587</v>
      </c>
      <c r="C10631" t="s">
        <v>31588</v>
      </c>
      <c r="D10631" t="str">
        <f>HYPERLINK("https://github.com/nikita36078/J2ME-Loader/issues/197","show")</f>
        <v>show</v>
      </c>
      <c r="E10631" t="str">
        <f>HYPERLINK("https://github.com/nikita36078/J2ME-Loader","show")</f>
        <v>show</v>
      </c>
      <c r="F10631" t="str">
        <f>HYPERLINK("https://github.com/nikita36078/J2ME-Loader/releases","show")</f>
        <v>show</v>
      </c>
    </row>
    <row r="10632" spans="1:6">
      <c r="A10632" t="s">
        <v>31589</v>
      </c>
      <c r="B10632" t="s">
        <v>31590</v>
      </c>
      <c r="C10632" t="s">
        <v>31591</v>
      </c>
      <c r="D10632" t="str">
        <f>HYPERLINK("https://github.com/YoungMaker/iORC/issues/55","show")</f>
        <v>show</v>
      </c>
      <c r="E10632" t="str">
        <f>HYPERLINK("https://github.com/YoungMaker/iORC","show")</f>
        <v>show</v>
      </c>
      <c r="F10632" t="str">
        <f>HYPERLINK("https://github.com/YoungMaker/iORC/releases","show")</f>
        <v>show</v>
      </c>
    </row>
    <row r="10633" spans="1:6">
      <c r="A10633" t="s">
        <v>31592</v>
      </c>
      <c r="B10633" t="s">
        <v>31593</v>
      </c>
      <c r="C10633" t="s">
        <v>31594</v>
      </c>
      <c r="D10633" t="str">
        <f>HYPERLINK("https://github.com/nikita36078/J2ME-Loader/issues/194","show")</f>
        <v>show</v>
      </c>
      <c r="E10633" t="str">
        <f>HYPERLINK("https://github.com/nikita36078/J2ME-Loader","show")</f>
        <v>show</v>
      </c>
      <c r="F10633" t="str">
        <f>HYPERLINK("https://github.com/nikita36078/J2ME-Loader/releases","show")</f>
        <v>show</v>
      </c>
    </row>
    <row r="10634" spans="1:6">
      <c r="A10634" t="s">
        <v>31595</v>
      </c>
      <c r="B10634" t="s">
        <v>31596</v>
      </c>
      <c r="C10634" t="s">
        <v>31597</v>
      </c>
      <c r="D10634" t="str">
        <f>HYPERLINK("https://github.com/projectwife/mtesitoo-android/issues/178","show")</f>
        <v>show</v>
      </c>
      <c r="E10634" t="str">
        <f>HYPERLINK("https://github.com/projectwife/mtesitoo-android","show")</f>
        <v>show</v>
      </c>
      <c r="F10634" t="str">
        <f>HYPERLINK("https://github.com/projectwife/mtesitoo-android/releases","show")</f>
        <v>show</v>
      </c>
    </row>
    <row r="10635" spans="1:6">
      <c r="A10635" t="s">
        <v>31598</v>
      </c>
      <c r="B10635" t="s">
        <v>31599</v>
      </c>
      <c r="C10635" t="s">
        <v>31600</v>
      </c>
      <c r="D10635" t="str">
        <f>HYPERLINK("https://github.com/nikita36078/J2ME-Loader/issues/185","show")</f>
        <v>show</v>
      </c>
      <c r="E10635" t="str">
        <f>HYPERLINK("https://github.com/nikita36078/J2ME-Loader","show")</f>
        <v>show</v>
      </c>
      <c r="F10635" t="str">
        <f>HYPERLINK("https://github.com/nikita36078/J2ME-Loader/releases","show")</f>
        <v>show</v>
      </c>
    </row>
    <row r="10636" spans="1:6">
      <c r="A10636" t="s">
        <v>31601</v>
      </c>
      <c r="B10636" t="s">
        <v>31602</v>
      </c>
      <c r="C10636" t="s">
        <v>31603</v>
      </c>
      <c r="D10636" t="str">
        <f>HYPERLINK("https://github.com/couchbaselabs/mobile-travel-sample/issues/31","show")</f>
        <v>show</v>
      </c>
      <c r="E10636" t="str">
        <f>HYPERLINK("https://github.com/couchbaselabs/mobile-travel-sample","show")</f>
        <v>show</v>
      </c>
      <c r="F10636" t="str">
        <f>HYPERLINK("https://github.com/couchbaselabs/mobile-travel-sample/releases","show")</f>
        <v>show</v>
      </c>
    </row>
    <row r="10637" spans="1:6">
      <c r="A10637" t="s">
        <v>31604</v>
      </c>
      <c r="B10637" t="s">
        <v>31605</v>
      </c>
      <c r="C10637" t="s">
        <v>31606</v>
      </c>
      <c r="D10637" t="str">
        <f>HYPERLINK("https://github.com/deltachat/deltachat-android/issues/259","show")</f>
        <v>show</v>
      </c>
      <c r="E10637" t="str">
        <f>HYPERLINK("https://github.com/deltachat/deltachat-android","show")</f>
        <v>show</v>
      </c>
      <c r="F10637" t="str">
        <f>HYPERLINK("https://github.com/deltachat/deltachat-android/releases","show")</f>
        <v>show</v>
      </c>
    </row>
    <row r="10638" spans="1:6">
      <c r="A10638" t="s">
        <v>31607</v>
      </c>
      <c r="B10638" t="s">
        <v>31608</v>
      </c>
      <c r="C10638" t="s">
        <v>31609</v>
      </c>
      <c r="D10638" t="str">
        <f>HYPERLINK("https://github.com/k9mail/k-9/issues/3230","show")</f>
        <v>show</v>
      </c>
      <c r="E10638" t="str">
        <f>HYPERLINK("https://github.com/k9mail/k-9","show")</f>
        <v>show</v>
      </c>
      <c r="F10638" t="str">
        <f>HYPERLINK("https://github.com/k9mail/k-9/releases","show")</f>
        <v>show</v>
      </c>
    </row>
    <row r="10639" spans="1:6">
      <c r="A10639" t="s">
        <v>31610</v>
      </c>
      <c r="B10639" t="s">
        <v>31611</v>
      </c>
      <c r="C10639" t="s">
        <v>31612</v>
      </c>
      <c r="D10639" t="str">
        <f>HYPERLINK("https://github.com/nikita36078/J2ME-Loader/issues/179","show")</f>
        <v>show</v>
      </c>
      <c r="E10639" t="str">
        <f>HYPERLINK("https://github.com/nikita36078/J2ME-Loader","show")</f>
        <v>show</v>
      </c>
      <c r="F10639" t="str">
        <f>HYPERLINK("https://github.com/nikita36078/J2ME-Loader/releases","show")</f>
        <v>show</v>
      </c>
    </row>
    <row r="10640" spans="1:6">
      <c r="A10640" t="s">
        <v>31613</v>
      </c>
      <c r="B10640" t="s">
        <v>31614</v>
      </c>
      <c r="C10640" t="s">
        <v>31615</v>
      </c>
      <c r="D10640" t="str">
        <f>HYPERLINK("https://github.com/nikita36078/J2ME-Loader/issues/178","show")</f>
        <v>show</v>
      </c>
      <c r="E10640" t="str">
        <f>HYPERLINK("https://github.com/nikita36078/J2ME-Loader","show")</f>
        <v>show</v>
      </c>
      <c r="F10640" t="str">
        <f>HYPERLINK("https://github.com/nikita36078/J2ME-Loader/releases","show")</f>
        <v>show</v>
      </c>
    </row>
    <row r="10641" spans="1:6">
      <c r="A10641" t="s">
        <v>31616</v>
      </c>
      <c r="B10641" t="s">
        <v>31617</v>
      </c>
      <c r="C10641" t="s">
        <v>31618</v>
      </c>
      <c r="D10641" t="str">
        <f>HYPERLINK("https://github.com/geopaparazzi/geopaparazzi/issues/443","show")</f>
        <v>show</v>
      </c>
      <c r="E10641" t="str">
        <f>HYPERLINK("https://github.com/geopaparazzi/geopaparazzi","show")</f>
        <v>show</v>
      </c>
      <c r="F10641" t="str">
        <f>HYPERLINK("https://github.com/geopaparazzi/geopaparazzi/releases","show")</f>
        <v>show</v>
      </c>
    </row>
    <row r="10642" spans="1:6">
      <c r="A10642" t="s">
        <v>31619</v>
      </c>
      <c r="B10642" t="s">
        <v>31620</v>
      </c>
      <c r="C10642" t="s">
        <v>31621</v>
      </c>
      <c r="D10642" t="str">
        <f>HYPERLINK("https://github.com/react-native-camera/react-native-camera/issues/1306","show")</f>
        <v>show</v>
      </c>
      <c r="E10642" t="str">
        <f>HYPERLINK("https://github.com/react-native-camera/react-native-camera","show")</f>
        <v>show</v>
      </c>
      <c r="F10642" t="str">
        <f>HYPERLINK("https://github.com/react-native-camera/react-native-camera/releases","show")</f>
        <v>show</v>
      </c>
    </row>
    <row r="10643" spans="1:6">
      <c r="A10643" t="s">
        <v>31622</v>
      </c>
      <c r="B10643" t="s">
        <v>31623</v>
      </c>
      <c r="C10643" t="s">
        <v>31624</v>
      </c>
      <c r="D10643" t="str">
        <f>HYPERLINK("https://github.com/open-keychain/open-keychain/issues/2278","show")</f>
        <v>show</v>
      </c>
      <c r="E10643" t="str">
        <f>HYPERLINK("https://github.com/open-keychain/open-keychain","show")</f>
        <v>show</v>
      </c>
      <c r="F10643" t="str">
        <f>HYPERLINK("https://github.com/open-keychain/open-keychain/releases","show")</f>
        <v>show</v>
      </c>
    </row>
    <row r="10644" spans="1:6">
      <c r="A10644" t="s">
        <v>31625</v>
      </c>
      <c r="B10644" t="s">
        <v>31626</v>
      </c>
      <c r="C10644" t="s">
        <v>31627</v>
      </c>
      <c r="D10644" t="str">
        <f>HYPERLINK("https://github.com/evrencoskun/TableView/issues/64","show")</f>
        <v>show</v>
      </c>
      <c r="E10644" t="str">
        <f>HYPERLINK("https://github.com/evrencoskun/TableView","show")</f>
        <v>show</v>
      </c>
      <c r="F10644" t="str">
        <f>HYPERLINK("https://github.com/evrencoskun/TableView/releases","show")</f>
        <v>show</v>
      </c>
    </row>
    <row r="10645" spans="1:6">
      <c r="A10645" t="s">
        <v>31628</v>
      </c>
      <c r="B10645" t="s">
        <v>31629</v>
      </c>
      <c r="C10645" t="s">
        <v>31630</v>
      </c>
      <c r="D10645" t="str">
        <f>HYPERLINK("https://github.com/twilio/video-quickstart-android/issues/257","show")</f>
        <v>show</v>
      </c>
      <c r="E10645" t="str">
        <f>HYPERLINK("https://github.com/twilio/video-quickstart-android","show")</f>
        <v>show</v>
      </c>
      <c r="F10645" t="str">
        <f>HYPERLINK("https://github.com/twilio/video-quickstart-android/releases","show")</f>
        <v>show</v>
      </c>
    </row>
    <row r="10646" spans="1:6">
      <c r="A10646" t="s">
        <v>31631</v>
      </c>
      <c r="B10646" t="s">
        <v>31632</v>
      </c>
      <c r="C10646" t="s">
        <v>31633</v>
      </c>
      <c r="D10646" t="str">
        <f>HYPERLINK("https://github.com/chandevel/Clover/issues/436","show")</f>
        <v>show</v>
      </c>
      <c r="E10646" t="str">
        <f>HYPERLINK("https://github.com/chandevel/Clover","show")</f>
        <v>show</v>
      </c>
      <c r="F10646" t="str">
        <f>HYPERLINK("https://github.com/chandevel/Clover/releases","show")</f>
        <v>show</v>
      </c>
    </row>
    <row r="10647" spans="1:6">
      <c r="A10647" t="s">
        <v>31634</v>
      </c>
      <c r="B10647" t="s">
        <v>31635</v>
      </c>
      <c r="C10647" t="s">
        <v>31636</v>
      </c>
      <c r="D10647" t="str">
        <f>HYPERLINK("https://github.com/deltachat/deltachat-android/issues/255","show")</f>
        <v>show</v>
      </c>
      <c r="E10647" t="str">
        <f>HYPERLINK("https://github.com/deltachat/deltachat-android","show")</f>
        <v>show</v>
      </c>
      <c r="F10647" t="str">
        <f>HYPERLINK("https://github.com/deltachat/deltachat-android/releases","show")</f>
        <v>show</v>
      </c>
    </row>
    <row r="10648" spans="1:6">
      <c r="A10648" t="s">
        <v>31637</v>
      </c>
      <c r="B10648" t="s">
        <v>31638</v>
      </c>
      <c r="C10648" t="s">
        <v>31639</v>
      </c>
      <c r="D10648" t="str">
        <f>HYPERLINK("https://github.com/grpc/grpc-java/issues/4154","show")</f>
        <v>show</v>
      </c>
      <c r="E10648" t="str">
        <f>HYPERLINK("https://github.com/grpc/grpc-java","show")</f>
        <v>show</v>
      </c>
      <c r="F10648" t="str">
        <f>HYPERLINK("https://github.com/grpc/grpc-java/releases","show")</f>
        <v>show</v>
      </c>
    </row>
    <row r="10649" spans="1:6">
      <c r="A10649" t="s">
        <v>31640</v>
      </c>
      <c r="B10649" t="s">
        <v>31641</v>
      </c>
      <c r="C10649" t="s">
        <v>31642</v>
      </c>
      <c r="D10649" t="str">
        <f>HYPERLINK("https://github.com/twilio/video-quickstart-android/issues/255","show")</f>
        <v>show</v>
      </c>
      <c r="E10649" t="str">
        <f>HYPERLINK("https://github.com/twilio/video-quickstart-android","show")</f>
        <v>show</v>
      </c>
      <c r="F10649" t="str">
        <f>HYPERLINK("https://github.com/twilio/video-quickstart-android/releases","show")</f>
        <v>show</v>
      </c>
    </row>
    <row r="10650" spans="1:6">
      <c r="A10650" t="s">
        <v>31643</v>
      </c>
      <c r="B10650" t="s">
        <v>31644</v>
      </c>
      <c r="C10650" t="s">
        <v>31645</v>
      </c>
      <c r="D10650" t="str">
        <f>HYPERLINK("https://github.com/nikita36078/J2ME-Loader/issues/166","show")</f>
        <v>show</v>
      </c>
      <c r="E10650" t="str">
        <f>HYPERLINK("https://github.com/nikita36078/J2ME-Loader","show")</f>
        <v>show</v>
      </c>
      <c r="F10650" t="str">
        <f>HYPERLINK("https://github.com/nikita36078/J2ME-Loader/releases","show")</f>
        <v>show</v>
      </c>
    </row>
    <row r="10651" spans="1:6">
      <c r="A10651" t="s">
        <v>31646</v>
      </c>
      <c r="B10651" t="s">
        <v>31647</v>
      </c>
      <c r="C10651" t="s">
        <v>31648</v>
      </c>
      <c r="D10651" t="str">
        <f>HYPERLINK("https://github.com/consp1racy/android-support-preference/issues/90","show")</f>
        <v>show</v>
      </c>
      <c r="E10651" t="str">
        <f>HYPERLINK("https://github.com/consp1racy/android-support-preference","show")</f>
        <v>show</v>
      </c>
      <c r="F10651" t="str">
        <f>HYPERLINK("https://github.com/consp1racy/android-support-preference/releases","show")</f>
        <v>show</v>
      </c>
    </row>
    <row r="10652" spans="1:6">
      <c r="A10652" t="s">
        <v>31649</v>
      </c>
      <c r="B10652" t="s">
        <v>31650</v>
      </c>
      <c r="C10652" t="s">
        <v>31651</v>
      </c>
      <c r="D10652" t="str">
        <f>HYPERLINK("https://github.com/nikita36078/J2ME-Loader/issues/163","show")</f>
        <v>show</v>
      </c>
      <c r="E10652" t="str">
        <f>HYPERLINK("https://github.com/nikita36078/J2ME-Loader","show")</f>
        <v>show</v>
      </c>
      <c r="F10652" t="str">
        <f>HYPERLINK("https://github.com/nikita36078/J2ME-Loader/releases","show")</f>
        <v>show</v>
      </c>
    </row>
    <row r="10653" spans="1:6">
      <c r="A10653" t="s">
        <v>31652</v>
      </c>
      <c r="B10653" t="s">
        <v>31653</v>
      </c>
      <c r="C10653" t="s">
        <v>31654</v>
      </c>
      <c r="D10653" t="str">
        <f>HYPERLINK("https://github.com/bumptech/glide/issues/2919","show")</f>
        <v>show</v>
      </c>
      <c r="E10653" t="str">
        <f>HYPERLINK("https://github.com/bumptech/glide","show")</f>
        <v>show</v>
      </c>
      <c r="F10653" t="str">
        <f>HYPERLINK("https://github.com/bumptech/glide/releases","show")</f>
        <v>show</v>
      </c>
    </row>
    <row r="10654" spans="1:6">
      <c r="A10654" t="s">
        <v>31655</v>
      </c>
      <c r="B10654" t="s">
        <v>8690</v>
      </c>
      <c r="C10654" t="s">
        <v>31656</v>
      </c>
      <c r="D10654" t="str">
        <f>HYPERLINK("https://github.com/tanrabad/survey/issues/56","show")</f>
        <v>show</v>
      </c>
      <c r="E10654" t="str">
        <f>HYPERLINK("https://github.com/tanrabad/survey","show")</f>
        <v>show</v>
      </c>
      <c r="F10654" t="str">
        <f>HYPERLINK("https://github.com/tanrabad/survey/releases","show")</f>
        <v>show</v>
      </c>
    </row>
    <row r="10655" spans="1:6">
      <c r="A10655" t="s">
        <v>31657</v>
      </c>
      <c r="B10655" t="s">
        <v>31658</v>
      </c>
      <c r="C10655" t="s">
        <v>31659</v>
      </c>
      <c r="D10655" t="str">
        <f>HYPERLINK("https://github.com/tanrabad/survey/issues/55","show")</f>
        <v>show</v>
      </c>
      <c r="E10655" t="str">
        <f>HYPERLINK("https://github.com/tanrabad/survey","show")</f>
        <v>show</v>
      </c>
      <c r="F10655" t="str">
        <f>HYPERLINK("https://github.com/tanrabad/survey/releases","show")</f>
        <v>show</v>
      </c>
    </row>
    <row r="10656" spans="1:6">
      <c r="A10656" t="s">
        <v>31660</v>
      </c>
      <c r="B10656" t="s">
        <v>31661</v>
      </c>
      <c r="C10656" t="s">
        <v>31662</v>
      </c>
      <c r="D10656" t="str">
        <f>HYPERLINK("https://github.com/innoveit/react-native-ble-manager/issues/294","show")</f>
        <v>show</v>
      </c>
      <c r="E10656" t="str">
        <f>HYPERLINK("https://github.com/innoveit/react-native-ble-manager","show")</f>
        <v>show</v>
      </c>
      <c r="F10656" t="str">
        <f>HYPERLINK("https://github.com/innoveit/react-native-ble-manager/releases","show")</f>
        <v>show</v>
      </c>
    </row>
    <row r="10657" spans="1:6">
      <c r="A10657" t="s">
        <v>31663</v>
      </c>
      <c r="B10657" t="s">
        <v>31664</v>
      </c>
      <c r="C10657" t="s">
        <v>31665</v>
      </c>
      <c r="D10657" t="str">
        <f>HYPERLINK("https://github.com/nitaliano/react-native-mapbox-gl/issues/1076","show")</f>
        <v>show</v>
      </c>
      <c r="E10657" t="str">
        <f>HYPERLINK("https://github.com/nitaliano/react-native-mapbox-gl","show")</f>
        <v>show</v>
      </c>
      <c r="F10657" t="str">
        <f>HYPERLINK("https://github.com/nitaliano/react-native-mapbox-gl/releases","show")</f>
        <v>show</v>
      </c>
    </row>
    <row r="10658" spans="1:6">
      <c r="A10658" t="s">
        <v>31666</v>
      </c>
      <c r="B10658" t="s">
        <v>31667</v>
      </c>
      <c r="C10658" t="s">
        <v>31668</v>
      </c>
      <c r="D10658" t="str">
        <f>HYPERLINK("https://github.com/RightMesh/meshIM/issues/36","show")</f>
        <v>show</v>
      </c>
      <c r="E10658" t="str">
        <f>HYPERLINK("https://github.com/RightMesh/meshIM","show")</f>
        <v>show</v>
      </c>
      <c r="F10658" t="str">
        <f>HYPERLINK("https://github.com/RightMesh/meshIM/releases","show")</f>
        <v>show</v>
      </c>
    </row>
    <row r="10659" spans="1:6">
      <c r="A10659" t="s">
        <v>31669</v>
      </c>
      <c r="B10659" t="s">
        <v>31670</v>
      </c>
      <c r="C10659" t="s">
        <v>31671</v>
      </c>
      <c r="D10659" t="str">
        <f>HYPERLINK("https://github.com/evernote/android-job/issues/385","show")</f>
        <v>show</v>
      </c>
      <c r="E10659" t="str">
        <f>HYPERLINK("https://github.com/evernote/android-job","show")</f>
        <v>show</v>
      </c>
      <c r="F10659" t="str">
        <f>HYPERLINK("https://github.com/evernote/android-job/releases","show")</f>
        <v>show</v>
      </c>
    </row>
    <row r="10660" spans="1:6">
      <c r="A10660" t="s">
        <v>31672</v>
      </c>
      <c r="B10660" t="s">
        <v>31673</v>
      </c>
      <c r="C10660" t="s">
        <v>31674</v>
      </c>
      <c r="D10660" t="str">
        <f>HYPERLINK("https://github.com/smartdevicelink/sdl_java_suite/issues/689","show")</f>
        <v>show</v>
      </c>
      <c r="E10660" t="str">
        <f>HYPERLINK("https://github.com/smartdevicelink/sdl_java_suite","show")</f>
        <v>show</v>
      </c>
      <c r="F10660" t="str">
        <f>HYPERLINK("https://github.com/smartdevicelink/sdl_java_suite/releases","show")</f>
        <v>show</v>
      </c>
    </row>
    <row r="10661" spans="1:6">
      <c r="A10661" t="s">
        <v>31675</v>
      </c>
      <c r="B10661" t="s">
        <v>31676</v>
      </c>
      <c r="C10661" t="s">
        <v>31677</v>
      </c>
      <c r="D10661" t="str">
        <f>HYPERLINK("https://github.com/RightMesh/meshIM/issues/35","show")</f>
        <v>show</v>
      </c>
      <c r="E10661" t="str">
        <f>HYPERLINK("https://github.com/RightMesh/meshIM","show")</f>
        <v>show</v>
      </c>
      <c r="F10661" t="str">
        <f>HYPERLINK("https://github.com/RightMesh/meshIM/releases","show")</f>
        <v>show</v>
      </c>
    </row>
    <row r="10662" spans="1:6">
      <c r="A10662" t="s">
        <v>31678</v>
      </c>
      <c r="B10662" t="s">
        <v>31679</v>
      </c>
      <c r="C10662" t="s">
        <v>31680</v>
      </c>
      <c r="D10662" t="str">
        <f>HYPERLINK("https://github.com/react-native-camera/react-native-camera/issues/1292","show")</f>
        <v>show</v>
      </c>
      <c r="E10662" t="str">
        <f>HYPERLINK("https://github.com/react-native-camera/react-native-camera","show")</f>
        <v>show</v>
      </c>
      <c r="F10662" t="str">
        <f>HYPERLINK("https://github.com/react-native-camera/react-native-camera/releases","show")</f>
        <v>show</v>
      </c>
    </row>
    <row r="10663" spans="1:6">
      <c r="A10663" t="s">
        <v>31681</v>
      </c>
      <c r="B10663" t="s">
        <v>31682</v>
      </c>
      <c r="C10663" t="s">
        <v>31683</v>
      </c>
      <c r="D10663" t="str">
        <f>HYPERLINK("https://github.com/twilio/video-quickstart-android/issues/252","show")</f>
        <v>show</v>
      </c>
      <c r="E10663" t="str">
        <f>HYPERLINK("https://github.com/twilio/video-quickstart-android","show")</f>
        <v>show</v>
      </c>
      <c r="F10663" t="str">
        <f>HYPERLINK("https://github.com/twilio/video-quickstart-android/releases","show")</f>
        <v>show</v>
      </c>
    </row>
    <row r="10664" spans="1:6">
      <c r="A10664" t="s">
        <v>31684</v>
      </c>
      <c r="B10664" t="s">
        <v>31685</v>
      </c>
      <c r="C10664" t="s">
        <v>31686</v>
      </c>
      <c r="D10664" t="str">
        <f>HYPERLINK("https://github.com/TeamNewPipe/NewPipe/issues/1148","show")</f>
        <v>show</v>
      </c>
      <c r="E10664" t="str">
        <f>HYPERLINK("https://github.com/TeamNewPipe/NewPipe","show")</f>
        <v>show</v>
      </c>
      <c r="F10664" t="str">
        <f>HYPERLINK("https://github.com/TeamNewPipe/NewPipe/releases","show")</f>
        <v>show</v>
      </c>
    </row>
    <row r="10665" spans="1:6">
      <c r="A10665" t="s">
        <v>31687</v>
      </c>
      <c r="B10665" t="s">
        <v>31688</v>
      </c>
      <c r="C10665" t="s">
        <v>31689</v>
      </c>
      <c r="D10665" t="str">
        <f>HYPERLINK("https://github.com/GCX-HCI/ThirtyInch/issues/143","show")</f>
        <v>show</v>
      </c>
      <c r="E10665" t="str">
        <f>HYPERLINK("https://github.com/GCX-HCI/ThirtyInch","show")</f>
        <v>show</v>
      </c>
      <c r="F10665" t="str">
        <f>HYPERLINK("https://github.com/GCX-HCI/ThirtyInch/releases","show")</f>
        <v>show</v>
      </c>
    </row>
    <row r="10666" spans="1:6">
      <c r="A10666" t="s">
        <v>31690</v>
      </c>
      <c r="B10666" t="s">
        <v>31691</v>
      </c>
      <c r="C10666" t="s">
        <v>31692</v>
      </c>
      <c r="D10666" t="str">
        <f>HYPERLINK("https://github.com/smartdevicelink/sdl_java_suite/issues/688","show")</f>
        <v>show</v>
      </c>
      <c r="E10666" t="str">
        <f>HYPERLINK("https://github.com/smartdevicelink/sdl_java_suite","show")</f>
        <v>show</v>
      </c>
      <c r="F10666" t="str">
        <f>HYPERLINK("https://github.com/smartdevicelink/sdl_java_suite/releases","show")</f>
        <v>show</v>
      </c>
    </row>
    <row r="10667" spans="1:6">
      <c r="A10667" t="s">
        <v>31693</v>
      </c>
      <c r="B10667" t="s">
        <v>31694</v>
      </c>
      <c r="C10667" t="s">
        <v>31695</v>
      </c>
      <c r="D10667" t="str">
        <f>HYPERLINK("https://github.com/twilio/video-quickstart-android/issues/250","show")</f>
        <v>show</v>
      </c>
      <c r="E10667" t="str">
        <f>HYPERLINK("https://github.com/twilio/video-quickstart-android","show")</f>
        <v>show</v>
      </c>
      <c r="F10667" t="str">
        <f>HYPERLINK("https://github.com/twilio/video-quickstart-android/releases","show")</f>
        <v>show</v>
      </c>
    </row>
    <row r="10668" spans="1:6">
      <c r="A10668" t="s">
        <v>31696</v>
      </c>
      <c r="B10668" t="s">
        <v>31697</v>
      </c>
      <c r="C10668" t="s">
        <v>31698</v>
      </c>
      <c r="D10668" t="str">
        <f>HYPERLINK("https://github.com/ubclaunchpad/ratemycourse/issues/78","show")</f>
        <v>show</v>
      </c>
      <c r="E10668" t="str">
        <f>HYPERLINK("https://github.com/ubclaunchpad/ratemycourse","show")</f>
        <v>show</v>
      </c>
      <c r="F10668" t="str">
        <f>HYPERLINK("https://github.com/ubclaunchpad/ratemycourse/releases","show")</f>
        <v>show</v>
      </c>
    </row>
    <row r="10669" spans="1:6">
      <c r="A10669" t="s">
        <v>31699</v>
      </c>
      <c r="B10669" t="s">
        <v>31700</v>
      </c>
      <c r="C10669" t="s">
        <v>31701</v>
      </c>
      <c r="D10669" t="str">
        <f>HYPERLINK("https://github.com/commons-app/apps-android-commons/issues/1207","show")</f>
        <v>show</v>
      </c>
      <c r="E10669" t="str">
        <f>HYPERLINK("https://github.com/commons-app/apps-android-commons","show")</f>
        <v>show</v>
      </c>
      <c r="F10669" t="str">
        <f>HYPERLINK("https://github.com/commons-app/apps-android-commons/releases","show")</f>
        <v>show</v>
      </c>
    </row>
    <row r="10670" spans="1:6">
      <c r="A10670" t="s">
        <v>31702</v>
      </c>
      <c r="B10670" t="s">
        <v>31703</v>
      </c>
      <c r="C10670" t="s">
        <v>31704</v>
      </c>
      <c r="D10670" t="str">
        <f>HYPERLINK("https://github.com/getodk/collect/issues/1932","show")</f>
        <v>show</v>
      </c>
      <c r="E10670" t="str">
        <f>HYPERLINK("https://github.com/getodk/collect","show")</f>
        <v>show</v>
      </c>
      <c r="F10670" t="str">
        <f>HYPERLINK("https://github.com/getodk/collect/releases","show")</f>
        <v>show</v>
      </c>
    </row>
    <row r="10671" spans="1:6">
      <c r="A10671" t="s">
        <v>31705</v>
      </c>
      <c r="B10671" t="s">
        <v>31706</v>
      </c>
      <c r="C10671" t="s">
        <v>31707</v>
      </c>
      <c r="D10671" t="str">
        <f>HYPERLINK("https://github.com/citiususc/calendula/issues/92","show")</f>
        <v>show</v>
      </c>
      <c r="E10671" t="str">
        <f>HYPERLINK("https://github.com/citiususc/calendula","show")</f>
        <v>show</v>
      </c>
      <c r="F10671" t="str">
        <f>HYPERLINK("https://github.com/citiususc/calendula/releases","show")</f>
        <v>show</v>
      </c>
    </row>
    <row r="10672" spans="1:6">
      <c r="A10672" t="s">
        <v>31708</v>
      </c>
      <c r="B10672" t="s">
        <v>31709</v>
      </c>
      <c r="C10672" t="s">
        <v>31710</v>
      </c>
      <c r="D10672" t="str">
        <f>HYPERLINK("https://github.com/mpcjanssen/simpletask-android/issues/862","show")</f>
        <v>show</v>
      </c>
      <c r="E10672" t="str">
        <f>HYPERLINK("https://github.com/mpcjanssen/simpletask-android","show")</f>
        <v>show</v>
      </c>
      <c r="F10672" t="str">
        <f>HYPERLINK("https://github.com/mpcjanssen/simpletask-android/releases","show")</f>
        <v>show</v>
      </c>
    </row>
    <row r="10673" spans="1:6">
      <c r="A10673" t="s">
        <v>31711</v>
      </c>
      <c r="B10673" t="s">
        <v>31712</v>
      </c>
      <c r="C10673" t="s">
        <v>31713</v>
      </c>
      <c r="D10673" t="str">
        <f>HYPERLINK("https://github.com/redsolution/xabber-android/issues/800","show")</f>
        <v>show</v>
      </c>
      <c r="E10673" t="str">
        <f>HYPERLINK("https://github.com/redsolution/xabber-android","show")</f>
        <v>show</v>
      </c>
      <c r="F10673" t="str">
        <f>HYPERLINK("https://github.com/redsolution/xabber-android/releases","show")</f>
        <v>show</v>
      </c>
    </row>
    <row r="10674" spans="1:6">
      <c r="A10674" t="s">
        <v>31714</v>
      </c>
      <c r="B10674" t="s">
        <v>31715</v>
      </c>
      <c r="C10674" t="s">
        <v>31716</v>
      </c>
      <c r="D10674" t="str">
        <f>HYPERLINK("https://github.com/k9mail/k-9/issues/3215","show")</f>
        <v>show</v>
      </c>
      <c r="E10674" t="str">
        <f>HYPERLINK("https://github.com/k9mail/k-9","show")</f>
        <v>show</v>
      </c>
      <c r="F10674" t="str">
        <f>HYPERLINK("https://github.com/k9mail/k-9/releases","show")</f>
        <v>show</v>
      </c>
    </row>
    <row r="10675" spans="1:6">
      <c r="A10675" t="s">
        <v>31717</v>
      </c>
      <c r="B10675" t="s">
        <v>31718</v>
      </c>
      <c r="C10675" t="s">
        <v>31719</v>
      </c>
      <c r="D10675" t="str">
        <f>HYPERLINK("https://github.com/inaturalist/iNaturalistAndroid/issues/473","show")</f>
        <v>show</v>
      </c>
      <c r="E10675" t="str">
        <f>HYPERLINK("https://github.com/inaturalist/iNaturalistAndroid","show")</f>
        <v>show</v>
      </c>
      <c r="F10675" t="str">
        <f>HYPERLINK("https://github.com/inaturalist/iNaturalistAndroid/releases","show")</f>
        <v>show</v>
      </c>
    </row>
    <row r="10676" spans="1:6">
      <c r="A10676" t="s">
        <v>31720</v>
      </c>
      <c r="B10676" t="s">
        <v>31721</v>
      </c>
      <c r="C10676" t="s">
        <v>31722</v>
      </c>
      <c r="D10676" t="str">
        <f>HYPERLINK("https://github.com/NoNews/NoPermission/issues/3","show")</f>
        <v>show</v>
      </c>
      <c r="E10676" t="str">
        <f>HYPERLINK("https://github.com/NoNews/NoPermission","show")</f>
        <v>show</v>
      </c>
      <c r="F10676" t="str">
        <f>HYPERLINK("https://github.com/NoNews/NoPermission/releases","show")</f>
        <v>show</v>
      </c>
    </row>
    <row r="10677" spans="1:6">
      <c r="A10677" t="s">
        <v>31723</v>
      </c>
      <c r="B10677" t="s">
        <v>31724</v>
      </c>
      <c r="C10677" t="s">
        <v>31725</v>
      </c>
      <c r="D10677" t="str">
        <f>HYPERLINK("https://github.com/oliexdev/openScale/issues/202","show")</f>
        <v>show</v>
      </c>
      <c r="E10677" t="str">
        <f>HYPERLINK("https://github.com/oliexdev/openScale","show")</f>
        <v>show</v>
      </c>
      <c r="F10677" t="str">
        <f>HYPERLINK("https://github.com/oliexdev/openScale/releases","show")</f>
        <v>show</v>
      </c>
    </row>
    <row r="10678" spans="1:6">
      <c r="A10678" t="s">
        <v>31726</v>
      </c>
      <c r="B10678" t="s">
        <v>31727</v>
      </c>
      <c r="C10678" t="s">
        <v>31728</v>
      </c>
      <c r="D10678" t="str">
        <f>HYPERLINK("https://github.com/eltos/SimpleDialogFragments/issues/27","show")</f>
        <v>show</v>
      </c>
      <c r="E10678" t="str">
        <f>HYPERLINK("https://github.com/eltos/SimpleDialogFragments","show")</f>
        <v>show</v>
      </c>
      <c r="F10678" t="str">
        <f>HYPERLINK("https://github.com/eltos/SimpleDialogFragments/releases","show")</f>
        <v>show</v>
      </c>
    </row>
    <row r="10679" spans="1:6">
      <c r="A10679" t="s">
        <v>31729</v>
      </c>
      <c r="B10679" t="s">
        <v>31730</v>
      </c>
      <c r="C10679" t="s">
        <v>31731</v>
      </c>
      <c r="D10679" t="str">
        <f>HYPERLINK("https://github.com/MiPushFramework/MiPushFramework/issues/74","show")</f>
        <v>show</v>
      </c>
      <c r="E10679" t="str">
        <f>HYPERLINK("https://github.com/MiPushFramework/MiPushFramework","show")</f>
        <v>show</v>
      </c>
      <c r="F10679" t="str">
        <f>HYPERLINK("https://github.com/MiPushFramework/MiPushFramework/releases","show")</f>
        <v>show</v>
      </c>
    </row>
    <row r="10680" spans="1:6">
      <c r="A10680" t="s">
        <v>31732</v>
      </c>
      <c r="B10680" t="s">
        <v>31733</v>
      </c>
      <c r="C10680" t="s">
        <v>31734</v>
      </c>
      <c r="D10680" t="str">
        <f>HYPERLINK("https://github.com/Amuff1n/Study-Buddy/issues/3","show")</f>
        <v>show</v>
      </c>
      <c r="E10680" t="str">
        <f>HYPERLINK("https://github.com/Amuff1n/Study-Buddy","show")</f>
        <v>show</v>
      </c>
      <c r="F10680" t="str">
        <f>HYPERLINK("https://github.com/Amuff1n/Study-Buddy/releases","show")</f>
        <v>show</v>
      </c>
    </row>
    <row r="10681" spans="1:6">
      <c r="A10681" t="s">
        <v>31735</v>
      </c>
      <c r="B10681" t="s">
        <v>31736</v>
      </c>
      <c r="C10681" t="s">
        <v>31737</v>
      </c>
      <c r="D10681" t="str">
        <f>HYPERLINK("https://github.com/TeamNewPipe/NewPipe/issues/1140","show")</f>
        <v>show</v>
      </c>
      <c r="E10681" t="str">
        <f>HYPERLINK("https://github.com/TeamNewPipe/NewPipe","show")</f>
        <v>show</v>
      </c>
      <c r="F10681" t="str">
        <f>HYPERLINK("https://github.com/TeamNewPipe/NewPipe/releases","show")</f>
        <v>show</v>
      </c>
    </row>
    <row r="10682" spans="1:6">
      <c r="A10682" t="s">
        <v>31738</v>
      </c>
      <c r="B10682" t="s">
        <v>31739</v>
      </c>
      <c r="C10682" t="s">
        <v>31740</v>
      </c>
      <c r="D10682" t="str">
        <f>HYPERLINK("https://github.com/commons-app/apps-android-commons/issues/1181","show")</f>
        <v>show</v>
      </c>
      <c r="E10682" t="str">
        <f>HYPERLINK("https://github.com/commons-app/apps-android-commons","show")</f>
        <v>show</v>
      </c>
      <c r="F10682" t="str">
        <f>HYPERLINK("https://github.com/commons-app/apps-android-commons/releases","show")</f>
        <v>show</v>
      </c>
    </row>
    <row r="10683" spans="1:6">
      <c r="A10683" t="s">
        <v>31741</v>
      </c>
      <c r="B10683" t="s">
        <v>31742</v>
      </c>
      <c r="C10683" t="s">
        <v>31743</v>
      </c>
      <c r="D10683" t="str">
        <f>HYPERLINK("https://github.com/nikita36078/J2ME-Loader/issues/134","show")</f>
        <v>show</v>
      </c>
      <c r="E10683" t="str">
        <f>HYPERLINK("https://github.com/nikita36078/J2ME-Loader","show")</f>
        <v>show</v>
      </c>
      <c r="F10683" t="str">
        <f>HYPERLINK("https://github.com/nikita36078/J2ME-Loader/releases","show")</f>
        <v>show</v>
      </c>
    </row>
    <row r="10684" spans="1:6">
      <c r="A10684" t="s">
        <v>31744</v>
      </c>
      <c r="B10684" t="s">
        <v>31745</v>
      </c>
      <c r="C10684" t="s">
        <v>31746</v>
      </c>
      <c r="D10684" t="str">
        <f>HYPERLINK("https://github.com/timusus/Shuttle/issues/301","show")</f>
        <v>show</v>
      </c>
      <c r="E10684" t="str">
        <f>HYPERLINK("https://github.com/timusus/Shuttle","show")</f>
        <v>show</v>
      </c>
      <c r="F10684" t="str">
        <f>HYPERLINK("https://github.com/timusus/Shuttle/releases","show")</f>
        <v>show</v>
      </c>
    </row>
    <row r="10685" spans="1:6">
      <c r="A10685" t="s">
        <v>31747</v>
      </c>
      <c r="B10685" t="s">
        <v>31748</v>
      </c>
      <c r="C10685" t="s">
        <v>31749</v>
      </c>
      <c r="D10685" t="str">
        <f>HYPERLINK("https://github.com/k9mail/k-9/issues/3204","show")</f>
        <v>show</v>
      </c>
      <c r="E10685" t="str">
        <f>HYPERLINK("https://github.com/k9mail/k-9","show")</f>
        <v>show</v>
      </c>
      <c r="F10685" t="str">
        <f>HYPERLINK("https://github.com/k9mail/k-9/releases","show")</f>
        <v>show</v>
      </c>
    </row>
    <row r="10686" spans="1:6">
      <c r="A10686" t="s">
        <v>31750</v>
      </c>
      <c r="B10686" t="s">
        <v>31751</v>
      </c>
      <c r="C10686" t="s">
        <v>31752</v>
      </c>
      <c r="D10686" t="str">
        <f>HYPERLINK("https://github.com/RxViper/RxViper/issues/55","show")</f>
        <v>show</v>
      </c>
      <c r="E10686" t="str">
        <f>HYPERLINK("https://github.com/RxViper/RxViper","show")</f>
        <v>show</v>
      </c>
      <c r="F10686" t="str">
        <f>HYPERLINK("https://github.com/RxViper/RxViper/releases","show")</f>
        <v>show</v>
      </c>
    </row>
    <row r="10687" spans="1:6">
      <c r="A10687" t="s">
        <v>31753</v>
      </c>
      <c r="B10687" t="s">
        <v>31754</v>
      </c>
      <c r="C10687" t="s">
        <v>31755</v>
      </c>
      <c r="D10687" t="str">
        <f>HYPERLINK("https://github.com/dimagi/commcare-android/issues/1951","show")</f>
        <v>show</v>
      </c>
      <c r="E10687" t="str">
        <f>HYPERLINK("https://github.com/dimagi/commcare-android","show")</f>
        <v>show</v>
      </c>
      <c r="F10687" t="str">
        <f>HYPERLINK("https://github.com/dimagi/commcare-android/releases","show")</f>
        <v>show</v>
      </c>
    </row>
    <row r="10688" spans="1:6">
      <c r="A10688" t="s">
        <v>31756</v>
      </c>
      <c r="B10688" t="s">
        <v>31757</v>
      </c>
      <c r="C10688" t="s">
        <v>31758</v>
      </c>
      <c r="D10688" t="str">
        <f>HYPERLINK("https://github.com/nikita36078/J2ME-Loader/issues/128","show")</f>
        <v>show</v>
      </c>
      <c r="E10688" t="str">
        <f>HYPERLINK("https://github.com/nikita36078/J2ME-Loader","show")</f>
        <v>show</v>
      </c>
      <c r="F10688" t="str">
        <f>HYPERLINK("https://github.com/nikita36078/J2ME-Loader/releases","show")</f>
        <v>show</v>
      </c>
    </row>
    <row r="10689" spans="1:6">
      <c r="A10689" t="s">
        <v>31759</v>
      </c>
      <c r="B10689" t="s">
        <v>31760</v>
      </c>
      <c r="C10689" t="s">
        <v>31761</v>
      </c>
      <c r="D10689" t="str">
        <f>HYPERLINK("https://github.com/pylerSM/YouTubeBackgroundPlayback/issues/357","show")</f>
        <v>show</v>
      </c>
      <c r="E10689" t="str">
        <f>HYPERLINK("https://github.com/pylerSM/YouTubeBackgroundPlayback","show")</f>
        <v>show</v>
      </c>
      <c r="F10689" t="str">
        <f>HYPERLINK("https://github.com/pylerSM/YouTubeBackgroundPlayback/releases","show")</f>
        <v>show</v>
      </c>
    </row>
    <row r="10690" spans="1:6">
      <c r="A10690" t="s">
        <v>31762</v>
      </c>
      <c r="B10690" t="s">
        <v>31763</v>
      </c>
      <c r="C10690" t="s">
        <v>31764</v>
      </c>
      <c r="D10690" t="str">
        <f>HYPERLINK("https://github.com/vector-im/riot-android/issues/2007","show")</f>
        <v>show</v>
      </c>
      <c r="E10690" t="str">
        <f>HYPERLINK("https://github.com/vector-im/riot-android","show")</f>
        <v>show</v>
      </c>
      <c r="F10690" t="str">
        <f>HYPERLINK("https://github.com/vector-im/riot-android/releases","show")</f>
        <v>show</v>
      </c>
    </row>
    <row r="10691" spans="1:6">
      <c r="A10691" t="s">
        <v>31765</v>
      </c>
      <c r="B10691" t="s">
        <v>31766</v>
      </c>
      <c r="C10691" t="s">
        <v>31767</v>
      </c>
      <c r="D10691" t="str">
        <f>HYPERLINK("https://github.com/andOTP/andOTP/issues/140","show")</f>
        <v>show</v>
      </c>
      <c r="E10691" t="str">
        <f>HYPERLINK("https://github.com/andOTP/andOTP","show")</f>
        <v>show</v>
      </c>
      <c r="F10691" t="str">
        <f>HYPERLINK("https://github.com/andOTP/andOTP/releases","show")</f>
        <v>show</v>
      </c>
    </row>
    <row r="10692" spans="1:6">
      <c r="A10692" t="s">
        <v>31768</v>
      </c>
      <c r="B10692" t="s">
        <v>31769</v>
      </c>
      <c r="C10692" t="s">
        <v>31770</v>
      </c>
      <c r="D10692" t="str">
        <f>HYPERLINK("https://github.com/nextcloud/android/issues/2219","show")</f>
        <v>show</v>
      </c>
      <c r="E10692" t="str">
        <f>HYPERLINK("https://github.com/nextcloud/android","show")</f>
        <v>show</v>
      </c>
      <c r="F10692" t="str">
        <f>HYPERLINK("https://github.com/nextcloud/android/releases","show")</f>
        <v>show</v>
      </c>
    </row>
    <row r="10693" spans="1:6">
      <c r="A10693" t="s">
        <v>31771</v>
      </c>
      <c r="B10693" t="s">
        <v>31772</v>
      </c>
      <c r="C10693" t="s">
        <v>31773</v>
      </c>
      <c r="D10693" t="str">
        <f>HYPERLINK("https://github.com/Credntia/AndroidVisionPipeline/issues/1","show")</f>
        <v>show</v>
      </c>
      <c r="E10693" t="str">
        <f>HYPERLINK("https://github.com/Credntia/AndroidVisionPipeline","show")</f>
        <v>show</v>
      </c>
      <c r="F10693" t="str">
        <f>HYPERLINK("https://github.com/Credntia/AndroidVisionPipeline/releases","show")</f>
        <v>show</v>
      </c>
    </row>
    <row r="10694" spans="1:6">
      <c r="A10694" t="s">
        <v>31774</v>
      </c>
      <c r="B10694" t="s">
        <v>31775</v>
      </c>
      <c r="C10694" t="s">
        <v>31776</v>
      </c>
      <c r="D10694" t="str">
        <f>HYPERLINK("https://github.com/google/ExoPlayer/issues/3879","show")</f>
        <v>show</v>
      </c>
      <c r="E10694" t="str">
        <f>HYPERLINK("https://github.com/google/ExoPlayer","show")</f>
        <v>show</v>
      </c>
      <c r="F10694" t="str">
        <f>HYPERLINK("https://github.com/google/ExoPlayer/releases","show")</f>
        <v>show</v>
      </c>
    </row>
    <row r="10695" spans="1:6">
      <c r="A10695" t="s">
        <v>31777</v>
      </c>
      <c r="B10695" t="s">
        <v>31778</v>
      </c>
      <c r="C10695" t="s">
        <v>31779</v>
      </c>
      <c r="D10695" t="str">
        <f>HYPERLINK("https://github.com/TNG/JGiven/issues/338","show")</f>
        <v>show</v>
      </c>
      <c r="E10695" t="str">
        <f>HYPERLINK("https://github.com/TNG/JGiven","show")</f>
        <v>show</v>
      </c>
      <c r="F10695" t="str">
        <f>HYPERLINK("https://github.com/TNG/JGiven/releases","show")</f>
        <v>show</v>
      </c>
    </row>
    <row r="10696" spans="1:6">
      <c r="A10696" t="s">
        <v>31780</v>
      </c>
      <c r="B10696" t="s">
        <v>31781</v>
      </c>
      <c r="C10696" t="s">
        <v>31782</v>
      </c>
      <c r="D10696" t="str">
        <f>HYPERLINK("https://github.com/aaronjwood/PortAuthority/issues/97","show")</f>
        <v>show</v>
      </c>
      <c r="E10696" t="str">
        <f>HYPERLINK("https://github.com/aaronjwood/PortAuthority","show")</f>
        <v>show</v>
      </c>
      <c r="F10696" t="str">
        <f>HYPERLINK("https://github.com/aaronjwood/PortAuthority/releases","show")</f>
        <v>show</v>
      </c>
    </row>
    <row r="10697" spans="1:6">
      <c r="A10697" t="s">
        <v>31783</v>
      </c>
      <c r="B10697" t="s">
        <v>31784</v>
      </c>
      <c r="C10697" t="s">
        <v>31785</v>
      </c>
      <c r="D10697" t="str">
        <f>HYPERLINK("https://github.com/RightMesh/meshIM/issues/32","show")</f>
        <v>show</v>
      </c>
      <c r="E10697" t="str">
        <f>HYPERLINK("https://github.com/RightMesh/meshIM","show")</f>
        <v>show</v>
      </c>
      <c r="F10697" t="str">
        <f>HYPERLINK("https://github.com/RightMesh/meshIM/releases","show")</f>
        <v>show</v>
      </c>
    </row>
    <row r="10698" spans="1:6">
      <c r="A10698" t="s">
        <v>31786</v>
      </c>
      <c r="B10698" t="s">
        <v>31787</v>
      </c>
      <c r="C10698" t="s">
        <v>31788</v>
      </c>
      <c r="D10698" t="str">
        <f>HYPERLINK("https://github.com/processing/processing-android/issues/442","show")</f>
        <v>show</v>
      </c>
      <c r="E10698" t="str">
        <f>HYPERLINK("https://github.com/processing/processing-android","show")</f>
        <v>show</v>
      </c>
      <c r="F10698" t="str">
        <f>HYPERLINK("https://github.com/processing/processing-android/releases","show")</f>
        <v>show</v>
      </c>
    </row>
    <row r="10699" spans="1:6">
      <c r="A10699" t="s">
        <v>31789</v>
      </c>
      <c r="B10699" t="s">
        <v>31790</v>
      </c>
      <c r="C10699" t="s">
        <v>31791</v>
      </c>
      <c r="D10699" t="str">
        <f>HYPERLINK("https://github.com/zouroboros/filmchecker/issues/3","show")</f>
        <v>show</v>
      </c>
      <c r="E10699" t="str">
        <f>HYPERLINK("https://github.com/zouroboros/filmchecker","show")</f>
        <v>show</v>
      </c>
      <c r="F10699" t="str">
        <f>HYPERLINK("https://github.com/zouroboros/filmchecker/releases","show")</f>
        <v>show</v>
      </c>
    </row>
    <row r="10700" spans="1:6">
      <c r="A10700" t="s">
        <v>31792</v>
      </c>
      <c r="B10700" t="s">
        <v>31793</v>
      </c>
      <c r="C10700" t="s">
        <v>31794</v>
      </c>
      <c r="D10700" t="str">
        <f>HYPERLINK("https://github.com/aerogear/aerogear-android-sdk/issues/55","show")</f>
        <v>show</v>
      </c>
      <c r="E10700" t="str">
        <f>HYPERLINK("https://github.com/aerogear/aerogear-android-sdk","show")</f>
        <v>show</v>
      </c>
      <c r="F10700" t="str">
        <f>HYPERLINK("https://github.com/aerogear/aerogear-android-sdk/releases","show")</f>
        <v>show</v>
      </c>
    </row>
    <row r="10701" spans="1:6">
      <c r="A10701" t="s">
        <v>31795</v>
      </c>
      <c r="B10701" t="s">
        <v>31796</v>
      </c>
      <c r="C10701" t="s">
        <v>31797</v>
      </c>
      <c r="D10701" t="str">
        <f>HYPERLINK("https://github.com/arunkumar9t2/lynket-browser/issues/72","show")</f>
        <v>show</v>
      </c>
      <c r="E10701" t="str">
        <f>HYPERLINK("https://github.com/arunkumar9t2/lynket-browser","show")</f>
        <v>show</v>
      </c>
      <c r="F10701" t="str">
        <f>HYPERLINK("https://github.com/arunkumar9t2/lynket-browser/releases","show")</f>
        <v>show</v>
      </c>
    </row>
    <row r="10702" spans="1:6">
      <c r="A10702" t="s">
        <v>31798</v>
      </c>
      <c r="B10702" t="s">
        <v>31799</v>
      </c>
      <c r="C10702" t="s">
        <v>31800</v>
      </c>
      <c r="D10702" t="str">
        <f>HYPERLINK("https://github.com/andOTP/andOTP/issues/135","show")</f>
        <v>show</v>
      </c>
      <c r="E10702" t="str">
        <f>HYPERLINK("https://github.com/andOTP/andOTP","show")</f>
        <v>show</v>
      </c>
      <c r="F10702" t="str">
        <f>HYPERLINK("https://github.com/andOTP/andOTP/releases","show")</f>
        <v>show</v>
      </c>
    </row>
    <row r="10703" spans="1:6">
      <c r="A10703" t="s">
        <v>31801</v>
      </c>
      <c r="B10703" t="s">
        <v>31802</v>
      </c>
      <c r="C10703" t="s">
        <v>31803</v>
      </c>
      <c r="D10703" t="str">
        <f>HYPERLINK("https://github.com/Shirakumo/Ocelot/issues/1","show")</f>
        <v>show</v>
      </c>
      <c r="E10703" t="str">
        <f>HYPERLINK("https://github.com/Shirakumo/Ocelot","show")</f>
        <v>show</v>
      </c>
      <c r="F10703" t="str">
        <f>HYPERLINK("https://github.com/Shirakumo/Ocelot/releases","show")</f>
        <v>show</v>
      </c>
    </row>
    <row r="10704" spans="1:6">
      <c r="A10704" t="s">
        <v>31804</v>
      </c>
      <c r="B10704" t="s">
        <v>31805</v>
      </c>
      <c r="C10704" t="s">
        <v>31806</v>
      </c>
      <c r="D10704" t="str">
        <f>HYPERLINK("https://github.com/woefe/ShoppingList/issues/8","show")</f>
        <v>show</v>
      </c>
      <c r="E10704" t="str">
        <f>HYPERLINK("https://github.com/woefe/ShoppingList","show")</f>
        <v>show</v>
      </c>
      <c r="F10704" t="str">
        <f>HYPERLINK("https://github.com/woefe/ShoppingList/releases","show")</f>
        <v>show</v>
      </c>
    </row>
    <row r="10705" spans="1:6">
      <c r="A10705" t="s">
        <v>31807</v>
      </c>
      <c r="B10705" t="s">
        <v>31808</v>
      </c>
      <c r="C10705" t="s">
        <v>31809</v>
      </c>
      <c r="D10705" t="str">
        <f>HYPERLINK("https://github.com/woefe/ShoppingList/issues/5","show")</f>
        <v>show</v>
      </c>
      <c r="E10705" t="str">
        <f>HYPERLINK("https://github.com/woefe/ShoppingList","show")</f>
        <v>show</v>
      </c>
      <c r="F10705" t="str">
        <f>HYPERLINK("https://github.com/woefe/ShoppingList/releases","show")</f>
        <v>show</v>
      </c>
    </row>
    <row r="10706" spans="1:6">
      <c r="A10706" t="s">
        <v>31810</v>
      </c>
      <c r="B10706" t="s">
        <v>31811</v>
      </c>
      <c r="C10706" t="s">
        <v>31812</v>
      </c>
      <c r="D10706" t="str">
        <f>HYPERLINK("https://github.com/commons-app/apps-android-commons/issues/1163","show")</f>
        <v>show</v>
      </c>
      <c r="E10706" t="str">
        <f>HYPERLINK("https://github.com/commons-app/apps-android-commons","show")</f>
        <v>show</v>
      </c>
      <c r="F10706" t="str">
        <f>HYPERLINK("https://github.com/commons-app/apps-android-commons/releases","show")</f>
        <v>show</v>
      </c>
    </row>
    <row r="10707" spans="1:6">
      <c r="A10707" t="s">
        <v>31813</v>
      </c>
      <c r="B10707" t="s">
        <v>31814</v>
      </c>
      <c r="C10707" t="s">
        <v>31815</v>
      </c>
      <c r="D10707" t="str">
        <f>HYPERLINK("https://github.com/Z3r0byte/Magistify/issues/70","show")</f>
        <v>show</v>
      </c>
      <c r="E10707" t="str">
        <f>HYPERLINK("https://github.com/Z3r0byte/Magistify","show")</f>
        <v>show</v>
      </c>
      <c r="F10707" t="str">
        <f>HYPERLINK("https://github.com/Z3r0byte/Magistify/releases","show")</f>
        <v>show</v>
      </c>
    </row>
    <row r="10708" spans="1:6">
      <c r="A10708" t="s">
        <v>31816</v>
      </c>
      <c r="B10708" t="s">
        <v>31817</v>
      </c>
      <c r="C10708" t="s">
        <v>31818</v>
      </c>
      <c r="D10708" t="str">
        <f>HYPERLINK("https://github.com/ramack/ActivityDiary/issues/82","show")</f>
        <v>show</v>
      </c>
      <c r="E10708" t="str">
        <f>HYPERLINK("https://github.com/ramack/ActivityDiary","show")</f>
        <v>show</v>
      </c>
      <c r="F10708" t="str">
        <f>HYPERLINK("https://github.com/ramack/ActivityDiary/releases","show")</f>
        <v>show</v>
      </c>
    </row>
    <row r="10709" spans="1:6">
      <c r="A10709" t="s">
        <v>31819</v>
      </c>
      <c r="B10709" t="s">
        <v>31820</v>
      </c>
      <c r="C10709" t="s">
        <v>31821</v>
      </c>
      <c r="D10709" t="str">
        <f>HYPERLINK("https://github.com/opensrp/opensrp-client-path/issues/254","show")</f>
        <v>show</v>
      </c>
      <c r="E10709" t="str">
        <f>HYPERLINK("https://github.com/opensrp/opensrp-client-path","show")</f>
        <v>show</v>
      </c>
      <c r="F10709" t="str">
        <f>HYPERLINK("https://github.com/opensrp/opensrp-client-path/releases","show")</f>
        <v>show</v>
      </c>
    </row>
    <row r="10710" spans="1:6">
      <c r="A10710" t="s">
        <v>31822</v>
      </c>
      <c r="B10710" t="s">
        <v>31823</v>
      </c>
      <c r="C10710" t="s">
        <v>31824</v>
      </c>
      <c r="D10710" t="str">
        <f>HYPERLINK("https://github.com/cgeo/cgeo/issues/6933","show")</f>
        <v>show</v>
      </c>
      <c r="E10710" t="str">
        <f>HYPERLINK("https://github.com/cgeo/cgeo","show")</f>
        <v>show</v>
      </c>
      <c r="F10710" t="str">
        <f>HYPERLINK("https://github.com/cgeo/cgeo/releases","show")</f>
        <v>show</v>
      </c>
    </row>
    <row r="10711" spans="1:6">
      <c r="A10711" t="s">
        <v>31825</v>
      </c>
      <c r="B10711" t="s">
        <v>31826</v>
      </c>
      <c r="C10711" t="s">
        <v>31827</v>
      </c>
      <c r="D10711" t="str">
        <f>HYPERLINK("https://github.com/nextcloud/android/issues/2184","show")</f>
        <v>show</v>
      </c>
      <c r="E10711" t="str">
        <f>HYPERLINK("https://github.com/nextcloud/android","show")</f>
        <v>show</v>
      </c>
      <c r="F10711" t="str">
        <f>HYPERLINK("https://github.com/nextcloud/android/releases","show")</f>
        <v>show</v>
      </c>
    </row>
    <row r="10712" spans="1:6">
      <c r="A10712" t="s">
        <v>31828</v>
      </c>
      <c r="B10712" t="s">
        <v>31829</v>
      </c>
      <c r="C10712" t="s">
        <v>31830</v>
      </c>
      <c r="D10712" t="str">
        <f>HYPERLINK("https://github.com/JulianSobott/Catan/issues/15","show")</f>
        <v>show</v>
      </c>
      <c r="E10712" t="str">
        <f>HYPERLINK("https://github.com/JulianSobott/Catan","show")</f>
        <v>show</v>
      </c>
      <c r="F10712" t="str">
        <f>HYPERLINK("https://github.com/JulianSobott/Catan/releases","show")</f>
        <v>show</v>
      </c>
    </row>
    <row r="10713" spans="1:6">
      <c r="A10713" t="s">
        <v>31831</v>
      </c>
      <c r="B10713" t="s">
        <v>31832</v>
      </c>
      <c r="C10713" t="s">
        <v>31833</v>
      </c>
      <c r="D10713" t="str">
        <f>HYPERLINK("https://github.com/aerogear/aerogear-android-sdk/issues/43","show")</f>
        <v>show</v>
      </c>
      <c r="E10713" t="str">
        <f>HYPERLINK("https://github.com/aerogear/aerogear-android-sdk","show")</f>
        <v>show</v>
      </c>
      <c r="F10713" t="str">
        <f>HYPERLINK("https://github.com/aerogear/aerogear-android-sdk/releases","show")</f>
        <v>show</v>
      </c>
    </row>
    <row r="10714" spans="1:6">
      <c r="A10714" t="s">
        <v>31834</v>
      </c>
      <c r="B10714" t="s">
        <v>4460</v>
      </c>
      <c r="C10714" t="s">
        <v>31835</v>
      </c>
      <c r="D10714" t="str">
        <f>HYPERLINK("https://github.com/tanrabad/survey/issues/54","show")</f>
        <v>show</v>
      </c>
      <c r="E10714" t="str">
        <f>HYPERLINK("https://github.com/tanrabad/survey","show")</f>
        <v>show</v>
      </c>
      <c r="F10714" t="str">
        <f>HYPERLINK("https://github.com/tanrabad/survey/releases","show")</f>
        <v>show</v>
      </c>
    </row>
    <row r="10715" spans="1:6">
      <c r="A10715" t="s">
        <v>31836</v>
      </c>
      <c r="B10715" t="s">
        <v>31837</v>
      </c>
      <c r="C10715" t="s">
        <v>31838</v>
      </c>
      <c r="D10715" t="str">
        <f>HYPERLINK("https://github.com/tonyofrancis/Fetch/issues/111","show")</f>
        <v>show</v>
      </c>
      <c r="E10715" t="str">
        <f>HYPERLINK("https://github.com/tonyofrancis/Fetch","show")</f>
        <v>show</v>
      </c>
      <c r="F10715" t="str">
        <f>HYPERLINK("https://github.com/tonyofrancis/Fetch/releases","show")</f>
        <v>show</v>
      </c>
    </row>
    <row r="10716" spans="1:6">
      <c r="A10716" t="s">
        <v>31839</v>
      </c>
      <c r="B10716" t="s">
        <v>31840</v>
      </c>
      <c r="C10716" t="s">
        <v>31841</v>
      </c>
      <c r="D10716" t="str">
        <f>HYPERLINK("https://github.com/eritpchy/FingerprintPay/issues/29","show")</f>
        <v>show</v>
      </c>
      <c r="E10716" t="str">
        <f>HYPERLINK("https://github.com/eritpchy/FingerprintPay","show")</f>
        <v>show</v>
      </c>
      <c r="F10716" t="str">
        <f>HYPERLINK("https://github.com/eritpchy/FingerprintPay/releases","show")</f>
        <v>show</v>
      </c>
    </row>
    <row r="10717" spans="1:6">
      <c r="A10717" t="s">
        <v>31842</v>
      </c>
      <c r="B10717" t="s">
        <v>31843</v>
      </c>
      <c r="C10717" t="s">
        <v>31844</v>
      </c>
      <c r="D10717" t="str">
        <f>HYPERLINK("https://github.com/inaturalist/iNaturalistAndroid/issues/466","show")</f>
        <v>show</v>
      </c>
      <c r="E10717" t="str">
        <f>HYPERLINK("https://github.com/inaturalist/iNaturalistAndroid","show")</f>
        <v>show</v>
      </c>
      <c r="F10717" t="str">
        <f>HYPERLINK("https://github.com/inaturalist/iNaturalistAndroid/releases","show")</f>
        <v>show</v>
      </c>
    </row>
    <row r="10718" spans="1:6">
      <c r="A10718" t="s">
        <v>31845</v>
      </c>
      <c r="B10718" t="s">
        <v>31846</v>
      </c>
      <c r="C10718" t="s">
        <v>31847</v>
      </c>
      <c r="D10718" t="str">
        <f>HYPERLINK("https://github.com/warmshowers/wsandroid/issues/267","show")</f>
        <v>show</v>
      </c>
      <c r="E10718" t="str">
        <f>HYPERLINK("https://github.com/warmshowers/wsandroid","show")</f>
        <v>show</v>
      </c>
      <c r="F10718" t="str">
        <f>HYPERLINK("https://github.com/warmshowers/wsandroid/releases","show")</f>
        <v>show</v>
      </c>
    </row>
    <row r="10719" spans="1:6">
      <c r="A10719" t="s">
        <v>31848</v>
      </c>
      <c r="B10719" t="s">
        <v>31849</v>
      </c>
      <c r="C10719" t="s">
        <v>31850</v>
      </c>
      <c r="D10719" t="str">
        <f>HYPERLINK("https://github.com/kazijehangir/BloodHub/issues/22","show")</f>
        <v>show</v>
      </c>
      <c r="E10719" t="str">
        <f>HYPERLINK("https://github.com/kazijehangir/BloodHub","show")</f>
        <v>show</v>
      </c>
      <c r="F10719" t="str">
        <f>HYPERLINK("https://github.com/kazijehangir/BloodHub/releases","show")</f>
        <v>show</v>
      </c>
    </row>
    <row r="10720" spans="1:6">
      <c r="A10720" t="s">
        <v>31851</v>
      </c>
      <c r="B10720" t="s">
        <v>31852</v>
      </c>
      <c r="C10720" t="s">
        <v>31853</v>
      </c>
      <c r="D10720" t="str">
        <f>HYPERLINK("https://github.com/EyeSeeTea/EReferralsApp/issues/130","show")</f>
        <v>show</v>
      </c>
      <c r="E10720" t="str">
        <f>HYPERLINK("https://github.com/EyeSeeTea/EReferralsApp","show")</f>
        <v>show</v>
      </c>
      <c r="F10720" t="str">
        <f>HYPERLINK("https://github.com/EyeSeeTea/EReferralsApp/releases","show")</f>
        <v>show</v>
      </c>
    </row>
    <row r="10721" spans="1:6">
      <c r="A10721" t="s">
        <v>31854</v>
      </c>
      <c r="B10721" t="s">
        <v>31855</v>
      </c>
      <c r="C10721" t="s">
        <v>31856</v>
      </c>
      <c r="D10721" t="str">
        <f>HYPERLINK("https://github.com/zeevy/grblcontroller/issues/33","show")</f>
        <v>show</v>
      </c>
      <c r="E10721" t="str">
        <f>HYPERLINK("https://github.com/zeevy/grblcontroller","show")</f>
        <v>show</v>
      </c>
      <c r="F10721" t="str">
        <f>HYPERLINK("https://github.com/zeevy/grblcontroller/releases","show")</f>
        <v>show</v>
      </c>
    </row>
    <row r="10722" spans="1:6">
      <c r="A10722" t="s">
        <v>31857</v>
      </c>
      <c r="B10722" t="s">
        <v>31858</v>
      </c>
      <c r="C10722" t="s">
        <v>31859</v>
      </c>
      <c r="D10722" t="str">
        <f>HYPERLINK("https://github.com/dimagi/commcare-android/issues/1943","show")</f>
        <v>show</v>
      </c>
      <c r="E10722" t="str">
        <f>HYPERLINK("https://github.com/dimagi/commcare-android","show")</f>
        <v>show</v>
      </c>
      <c r="F10722" t="str">
        <f>HYPERLINK("https://github.com/dimagi/commcare-android/releases","show")</f>
        <v>show</v>
      </c>
    </row>
    <row r="10723" spans="1:6">
      <c r="A10723" t="s">
        <v>31860</v>
      </c>
      <c r="B10723" t="s">
        <v>31861</v>
      </c>
      <c r="C10723" t="s">
        <v>31862</v>
      </c>
      <c r="D10723" t="str">
        <f>HYPERLINK("https://github.com/thekirankumar/carstream-android-auto/issues/77","show")</f>
        <v>show</v>
      </c>
      <c r="E10723" t="str">
        <f>HYPERLINK("https://github.com/thekirankumar/carstream-android-auto","show")</f>
        <v>show</v>
      </c>
      <c r="F10723" t="str">
        <f>HYPERLINK("https://github.com/thekirankumar/carstream-android-auto/releases","show")</f>
        <v>show</v>
      </c>
    </row>
    <row r="10724" spans="1:6">
      <c r="A10724" t="s">
        <v>31863</v>
      </c>
      <c r="B10724" t="s">
        <v>4460</v>
      </c>
      <c r="C10724" t="s">
        <v>31864</v>
      </c>
      <c r="D10724" t="str">
        <f>HYPERLINK("https://github.com/tanrabad/survey/issues/53","show")</f>
        <v>show</v>
      </c>
      <c r="E10724" t="str">
        <f>HYPERLINK("https://github.com/tanrabad/survey","show")</f>
        <v>show</v>
      </c>
      <c r="F10724" t="str">
        <f>HYPERLINK("https://github.com/tanrabad/survey/releases","show")</f>
        <v>show</v>
      </c>
    </row>
    <row r="10725" spans="1:6">
      <c r="A10725" t="s">
        <v>31865</v>
      </c>
      <c r="B10725" t="s">
        <v>31866</v>
      </c>
      <c r="C10725" t="s">
        <v>31867</v>
      </c>
      <c r="D10725" t="str">
        <f>HYPERLINK("https://github.com/nonsensicalthinking/planttracker/issues/19","show")</f>
        <v>show</v>
      </c>
      <c r="E10725" t="str">
        <f>HYPERLINK("https://github.com/nonsensicalthinking/planttracker","show")</f>
        <v>show</v>
      </c>
      <c r="F10725" t="str">
        <f>HYPERLINK("https://github.com/nonsensicalthinking/planttracker/releases","show")</f>
        <v>show</v>
      </c>
    </row>
    <row r="10726" spans="1:6">
      <c r="A10726" t="s">
        <v>31868</v>
      </c>
      <c r="B10726" t="s">
        <v>31869</v>
      </c>
      <c r="C10726" t="s">
        <v>31870</v>
      </c>
      <c r="D10726" t="str">
        <f>HYPERLINK("https://github.com/mapbox/mapbox-plugins-android/issues/274","show")</f>
        <v>show</v>
      </c>
      <c r="E10726" t="str">
        <f>HYPERLINK("https://github.com/mapbox/mapbox-plugins-android","show")</f>
        <v>show</v>
      </c>
      <c r="F10726" t="str">
        <f>HYPERLINK("https://github.com/mapbox/mapbox-plugins-android/releases","show")</f>
        <v>show</v>
      </c>
    </row>
    <row r="10727" spans="1:6">
      <c r="A10727" t="s">
        <v>31871</v>
      </c>
      <c r="B10727" t="s">
        <v>31872</v>
      </c>
      <c r="C10727" t="s">
        <v>31873</v>
      </c>
      <c r="D10727" t="str">
        <f>HYPERLINK("https://github.com/deltachat/deltachat-android/issues/248","show")</f>
        <v>show</v>
      </c>
      <c r="E10727" t="str">
        <f>HYPERLINK("https://github.com/deltachat/deltachat-android","show")</f>
        <v>show</v>
      </c>
      <c r="F10727" t="str">
        <f>HYPERLINK("https://github.com/deltachat/deltachat-android/releases","show")</f>
        <v>show</v>
      </c>
    </row>
    <row r="10728" spans="1:6">
      <c r="A10728" t="s">
        <v>31874</v>
      </c>
      <c r="B10728" t="s">
        <v>31875</v>
      </c>
      <c r="C10728" t="s">
        <v>31876</v>
      </c>
      <c r="D10728" t="str">
        <f>HYPERLINK("https://github.com/ZeevoX/Ocquarium/issues/15","show")</f>
        <v>show</v>
      </c>
      <c r="E10728" t="str">
        <f>HYPERLINK("https://github.com/ZeevoX/Ocquarium","show")</f>
        <v>show</v>
      </c>
      <c r="F10728" t="str">
        <f>HYPERLINK("https://github.com/ZeevoX/Ocquarium/releases","show")</f>
        <v>show</v>
      </c>
    </row>
    <row r="10729" spans="1:6">
      <c r="A10729" t="s">
        <v>31877</v>
      </c>
      <c r="B10729" t="s">
        <v>6138</v>
      </c>
      <c r="C10729" t="s">
        <v>31878</v>
      </c>
      <c r="D10729" t="str">
        <f>HYPERLINK("https://github.com/ankidroid/Anki-Android/issues/4786","show")</f>
        <v>show</v>
      </c>
      <c r="E10729" t="str">
        <f>HYPERLINK("https://github.com/ankidroid/Anki-Android","show")</f>
        <v>show</v>
      </c>
      <c r="F10729" t="str">
        <f>HYPERLINK("https://github.com/ankidroid/Anki-Android/releases","show")</f>
        <v>show</v>
      </c>
    </row>
    <row r="10730" spans="1:6">
      <c r="A10730" t="s">
        <v>31879</v>
      </c>
      <c r="B10730" t="s">
        <v>31880</v>
      </c>
      <c r="C10730" t="s">
        <v>31881</v>
      </c>
      <c r="D10730" t="str">
        <f>HYPERLINK("https://github.com/Freeyourgadget/Gadgetbridge/issues/982","show")</f>
        <v>show</v>
      </c>
      <c r="E10730" t="str">
        <f>HYPERLINK("https://github.com/Freeyourgadget/Gadgetbridge","show")</f>
        <v>show</v>
      </c>
      <c r="F10730" t="str">
        <f>HYPERLINK("https://github.com/Freeyourgadget/Gadgetbridge/releases","show")</f>
        <v>show</v>
      </c>
    </row>
    <row r="10731" spans="1:6">
      <c r="A10731" t="s">
        <v>31882</v>
      </c>
      <c r="B10731" t="s">
        <v>31883</v>
      </c>
      <c r="C10731" t="s">
        <v>31884</v>
      </c>
      <c r="D10731" t="str">
        <f>HYPERLINK("https://github.com/balthazar/react-native-zeroconf/issues/54","show")</f>
        <v>show</v>
      </c>
      <c r="E10731" t="str">
        <f>HYPERLINK("https://github.com/balthazar/react-native-zeroconf","show")</f>
        <v>show</v>
      </c>
      <c r="F10731" t="str">
        <f>HYPERLINK("https://github.com/balthazar/react-native-zeroconf/releases","show")</f>
        <v>show</v>
      </c>
    </row>
    <row r="10732" spans="1:6">
      <c r="A10732" t="s">
        <v>31885</v>
      </c>
      <c r="B10732" t="s">
        <v>31886</v>
      </c>
      <c r="C10732" t="s">
        <v>31887</v>
      </c>
      <c r="D10732" t="str">
        <f>HYPERLINK("https://github.com/mendhak/gpslogger/issues/617","show")</f>
        <v>show</v>
      </c>
      <c r="E10732" t="str">
        <f>HYPERLINK("https://github.com/mendhak/gpslogger","show")</f>
        <v>show</v>
      </c>
      <c r="F10732" t="str">
        <f>HYPERLINK("https://github.com/mendhak/gpslogger/releases","show")</f>
        <v>show</v>
      </c>
    </row>
    <row r="10733" spans="1:6">
      <c r="A10733" t="s">
        <v>31888</v>
      </c>
      <c r="B10733" t="s">
        <v>31889</v>
      </c>
      <c r="C10733" t="s">
        <v>31890</v>
      </c>
      <c r="D10733" t="str">
        <f>HYPERLINK("https://github.com/ScreamingHawk/android-slideshow/issues/95","show")</f>
        <v>show</v>
      </c>
      <c r="E10733" t="str">
        <f>HYPERLINK("https://github.com/ScreamingHawk/android-slideshow","show")</f>
        <v>show</v>
      </c>
      <c r="F10733" t="str">
        <f>HYPERLINK("https://github.com/ScreamingHawk/android-slideshow/releases","show")</f>
        <v>show</v>
      </c>
    </row>
    <row r="10734" spans="1:6">
      <c r="A10734" t="s">
        <v>31891</v>
      </c>
      <c r="B10734" t="s">
        <v>31892</v>
      </c>
      <c r="C10734" t="s">
        <v>31893</v>
      </c>
      <c r="D10734" t="str">
        <f>HYPERLINK("https://github.com/thekirankumar/carstream-android-auto/issues/40","show")</f>
        <v>show</v>
      </c>
      <c r="E10734" t="str">
        <f>HYPERLINK("https://github.com/thekirankumar/carstream-android-auto","show")</f>
        <v>show</v>
      </c>
      <c r="F10734" t="str">
        <f>HYPERLINK("https://github.com/thekirankumar/carstream-android-auto/releases","show")</f>
        <v>show</v>
      </c>
    </row>
    <row r="10735" spans="1:6">
      <c r="A10735" t="s">
        <v>31894</v>
      </c>
      <c r="B10735" t="s">
        <v>31895</v>
      </c>
      <c r="C10735" t="s">
        <v>31896</v>
      </c>
      <c r="D10735" t="str">
        <f>HYPERLINK("https://github.com/nextcloud/android/issues/2111","show")</f>
        <v>show</v>
      </c>
      <c r="E10735" t="str">
        <f>HYPERLINK("https://github.com/nextcloud/android","show")</f>
        <v>show</v>
      </c>
      <c r="F10735" t="str">
        <f>HYPERLINK("https://github.com/nextcloud/android/releases","show")</f>
        <v>show</v>
      </c>
    </row>
    <row r="10736" spans="1:6">
      <c r="A10736" t="s">
        <v>31897</v>
      </c>
      <c r="B10736" t="s">
        <v>31898</v>
      </c>
      <c r="C10736" t="s">
        <v>31899</v>
      </c>
      <c r="D10736" t="str">
        <f>HYPERLINK("https://github.com/thekirankumar/carstream-android-auto/issues/32","show")</f>
        <v>show</v>
      </c>
      <c r="E10736" t="str">
        <f>HYPERLINK("https://github.com/thekirankumar/carstream-android-auto","show")</f>
        <v>show</v>
      </c>
      <c r="F10736" t="str">
        <f>HYPERLINK("https://github.com/thekirankumar/carstream-android-auto/releases","show")</f>
        <v>show</v>
      </c>
    </row>
    <row r="10737" spans="1:6">
      <c r="A10737" t="s">
        <v>31900</v>
      </c>
      <c r="B10737" t="s">
        <v>31901</v>
      </c>
      <c r="C10737" t="s">
        <v>31902</v>
      </c>
      <c r="D10737" t="str">
        <f>HYPERLINK("https://github.com/dimagi/commcare-android/issues/1941","show")</f>
        <v>show</v>
      </c>
      <c r="E10737" t="str">
        <f>HYPERLINK("https://github.com/dimagi/commcare-android","show")</f>
        <v>show</v>
      </c>
      <c r="F10737" t="str">
        <f>HYPERLINK("https://github.com/dimagi/commcare-android/releases","show")</f>
        <v>show</v>
      </c>
    </row>
    <row r="10738" spans="1:6">
      <c r="A10738" t="s">
        <v>31903</v>
      </c>
      <c r="B10738" t="s">
        <v>31904</v>
      </c>
      <c r="C10738" t="s">
        <v>31905</v>
      </c>
      <c r="D10738" t="str">
        <f>HYPERLINK("https://github.com/nikita36078/J2ME-Loader/issues/93","show")</f>
        <v>show</v>
      </c>
      <c r="E10738" t="str">
        <f>HYPERLINK("https://github.com/nikita36078/J2ME-Loader","show")</f>
        <v>show</v>
      </c>
      <c r="F10738" t="str">
        <f>HYPERLINK("https://github.com/nikita36078/J2ME-Loader/releases","show")</f>
        <v>show</v>
      </c>
    </row>
    <row r="10739" spans="1:6">
      <c r="A10739" t="s">
        <v>31906</v>
      </c>
      <c r="B10739" t="s">
        <v>31907</v>
      </c>
      <c r="C10739" t="s">
        <v>31908</v>
      </c>
      <c r="D10739" t="str">
        <f>HYPERLINK("https://github.com/open-keychain/open-keychain/issues/2262","show")</f>
        <v>show</v>
      </c>
      <c r="E10739" t="str">
        <f>HYPERLINK("https://github.com/open-keychain/open-keychain","show")</f>
        <v>show</v>
      </c>
      <c r="F10739" t="str">
        <f>HYPERLINK("https://github.com/open-keychain/open-keychain/releases","show")</f>
        <v>show</v>
      </c>
    </row>
    <row r="10740" spans="1:6">
      <c r="A10740" t="s">
        <v>31909</v>
      </c>
      <c r="B10740" t="s">
        <v>31910</v>
      </c>
      <c r="C10740" t="s">
        <v>31911</v>
      </c>
      <c r="D10740" t="str">
        <f>HYPERLINK("https://github.com/tanrabad/survey/issues/52","show")</f>
        <v>show</v>
      </c>
      <c r="E10740" t="str">
        <f>HYPERLINK("https://github.com/tanrabad/survey","show")</f>
        <v>show</v>
      </c>
      <c r="F10740" t="str">
        <f>HYPERLINK("https://github.com/tanrabad/survey/releases","show")</f>
        <v>show</v>
      </c>
    </row>
    <row r="10741" spans="1:6">
      <c r="A10741" t="s">
        <v>31912</v>
      </c>
      <c r="B10741" t="s">
        <v>31913</v>
      </c>
      <c r="C10741" t="s">
        <v>31914</v>
      </c>
      <c r="D10741" t="str">
        <f>HYPERLINK("https://github.com/nextcloud/android/issues/2096","show")</f>
        <v>show</v>
      </c>
      <c r="E10741" t="str">
        <f>HYPERLINK("https://github.com/nextcloud/android","show")</f>
        <v>show</v>
      </c>
      <c r="F10741" t="str">
        <f>HYPERLINK("https://github.com/nextcloud/android/releases","show")</f>
        <v>show</v>
      </c>
    </row>
    <row r="10742" spans="1:6">
      <c r="A10742" t="s">
        <v>31915</v>
      </c>
      <c r="B10742" t="s">
        <v>31916</v>
      </c>
      <c r="C10742" t="s">
        <v>31917</v>
      </c>
      <c r="D10742" t="str">
        <f>HYPERLINK("https://github.com/Neamar/KISS/issues/819","show")</f>
        <v>show</v>
      </c>
      <c r="E10742" t="str">
        <f>HYPERLINK("https://github.com/Neamar/KISS","show")</f>
        <v>show</v>
      </c>
      <c r="F10742" t="str">
        <f>HYPERLINK("https://github.com/Neamar/KISS/releases","show")</f>
        <v>show</v>
      </c>
    </row>
    <row r="10743" spans="1:6">
      <c r="A10743" t="s">
        <v>31918</v>
      </c>
      <c r="B10743" t="s">
        <v>31919</v>
      </c>
      <c r="C10743" t="s">
        <v>31920</v>
      </c>
      <c r="D10743" t="str">
        <f>HYPERLINK("https://github.com/OneBusAway/onebusaway-android/issues/849","show")</f>
        <v>show</v>
      </c>
      <c r="E10743" t="str">
        <f>HYPERLINK("https://github.com/OneBusAway/onebusaway-android","show")</f>
        <v>show</v>
      </c>
      <c r="F10743" t="str">
        <f>HYPERLINK("https://github.com/OneBusAway/onebusaway-android/releases","show")</f>
        <v>show</v>
      </c>
    </row>
    <row r="10744" spans="1:6">
      <c r="A10744" t="s">
        <v>31921</v>
      </c>
      <c r="B10744" t="s">
        <v>31922</v>
      </c>
      <c r="C10744" t="s">
        <v>31923</v>
      </c>
      <c r="D10744" t="str">
        <f>HYPERLINK("https://github.com/nextcloud/android/issues/2085","show")</f>
        <v>show</v>
      </c>
      <c r="E10744" t="str">
        <f>HYPERLINK("https://github.com/nextcloud/android","show")</f>
        <v>show</v>
      </c>
      <c r="F10744" t="str">
        <f>HYPERLINK("https://github.com/nextcloud/android/releases","show")</f>
        <v>show</v>
      </c>
    </row>
    <row r="10745" spans="1:6">
      <c r="A10745" t="s">
        <v>31924</v>
      </c>
      <c r="B10745" t="s">
        <v>31925</v>
      </c>
      <c r="C10745" t="s">
        <v>31926</v>
      </c>
      <c r="D10745" t="str">
        <f>HYPERLINK("https://github.com/MiPushFramework/MiPushFramework/issues/41","show")</f>
        <v>show</v>
      </c>
      <c r="E10745" t="str">
        <f>HYPERLINK("https://github.com/MiPushFramework/MiPushFramework","show")</f>
        <v>show</v>
      </c>
      <c r="F10745" t="str">
        <f>HYPERLINK("https://github.com/MiPushFramework/MiPushFramework/releases","show")</f>
        <v>show</v>
      </c>
    </row>
    <row r="10746" spans="1:6">
      <c r="A10746" t="s">
        <v>31927</v>
      </c>
      <c r="B10746" t="s">
        <v>31928</v>
      </c>
      <c r="C10746" t="s">
        <v>31929</v>
      </c>
      <c r="D10746" t="str">
        <f>HYPERLINK("https://github.com/mapbox/mapbox-plugins-android/issues/268","show")</f>
        <v>show</v>
      </c>
      <c r="E10746" t="str">
        <f>HYPERLINK("https://github.com/mapbox/mapbox-plugins-android","show")</f>
        <v>show</v>
      </c>
      <c r="F10746" t="str">
        <f>HYPERLINK("https://github.com/mapbox/mapbox-plugins-android/releases","show")</f>
        <v>show</v>
      </c>
    </row>
    <row r="10747" spans="1:6">
      <c r="A10747" t="s">
        <v>31930</v>
      </c>
      <c r="B10747" t="s">
        <v>31931</v>
      </c>
      <c r="C10747" t="s">
        <v>31932</v>
      </c>
      <c r="D10747" t="str">
        <f>HYPERLINK("https://github.com/opensrp/opensrp-client-growth-monitoring/issues/19","show")</f>
        <v>show</v>
      </c>
      <c r="E10747" t="str">
        <f>HYPERLINK("https://github.com/opensrp/opensrp-client-growth-monitoring","show")</f>
        <v>show</v>
      </c>
      <c r="F10747" t="str">
        <f>HYPERLINK("https://github.com/opensrp/opensrp-client-growth-monitoring/releases","show")</f>
        <v>show</v>
      </c>
    </row>
    <row r="10748" spans="1:6">
      <c r="A10748" t="s">
        <v>31933</v>
      </c>
      <c r="B10748" t="s">
        <v>31934</v>
      </c>
      <c r="C10748" t="s">
        <v>31935</v>
      </c>
      <c r="D10748" t="str">
        <f>HYPERLINK("https://github.com/BaristaVentures/android-debug-artist/issues/69","show")</f>
        <v>show</v>
      </c>
      <c r="E10748" t="str">
        <f>HYPERLINK("https://github.com/BaristaVentures/android-debug-artist","show")</f>
        <v>show</v>
      </c>
      <c r="F10748" t="str">
        <f>HYPERLINK("https://github.com/BaristaVentures/android-debug-artist/releases","show")</f>
        <v>show</v>
      </c>
    </row>
    <row r="10749" spans="1:6">
      <c r="A10749" t="s">
        <v>31936</v>
      </c>
      <c r="B10749" t="s">
        <v>31937</v>
      </c>
      <c r="C10749" t="s">
        <v>31938</v>
      </c>
      <c r="D10749" t="str">
        <f>HYPERLINK("https://github.com/consp1racy/android-support-preference/issues/88","show")</f>
        <v>show</v>
      </c>
      <c r="E10749" t="str">
        <f>HYPERLINK("https://github.com/consp1racy/android-support-preference","show")</f>
        <v>show</v>
      </c>
      <c r="F10749" t="str">
        <f>HYPERLINK("https://github.com/consp1racy/android-support-preference/releases","show")</f>
        <v>show</v>
      </c>
    </row>
    <row r="10750" spans="1:6">
      <c r="A10750" t="s">
        <v>31939</v>
      </c>
      <c r="B10750" t="s">
        <v>31940</v>
      </c>
      <c r="C10750" t="s">
        <v>31941</v>
      </c>
      <c r="D10750" t="str">
        <f>HYPERLINK("https://github.com/StepicOrg/stepik-android-adaptive/issues/16","show")</f>
        <v>show</v>
      </c>
      <c r="E10750" t="str">
        <f>HYPERLINK("https://github.com/StepicOrg/stepik-android-adaptive","show")</f>
        <v>show</v>
      </c>
      <c r="F10750" t="str">
        <f>HYPERLINK("https://github.com/StepicOrg/stepik-android-adaptive/releases","show")</f>
        <v>show</v>
      </c>
    </row>
    <row r="10751" spans="1:6">
      <c r="A10751" t="s">
        <v>31942</v>
      </c>
      <c r="B10751" t="s">
        <v>31943</v>
      </c>
      <c r="C10751" t="s">
        <v>31944</v>
      </c>
      <c r="D10751" t="str">
        <f>HYPERLINK("https://github.com/QuantumBadger/RedReader/issues/569","show")</f>
        <v>show</v>
      </c>
      <c r="E10751" t="str">
        <f>HYPERLINK("https://github.com/QuantumBadger/RedReader","show")</f>
        <v>show</v>
      </c>
      <c r="F10751" t="str">
        <f>HYPERLINK("https://github.com/QuantumBadger/RedReader/releases","show")</f>
        <v>show</v>
      </c>
    </row>
    <row r="10752" spans="1:6">
      <c r="A10752" t="s">
        <v>31945</v>
      </c>
      <c r="B10752" t="s">
        <v>31946</v>
      </c>
      <c r="C10752" t="s">
        <v>31947</v>
      </c>
      <c r="D10752" t="str">
        <f>HYPERLINK("https://github.com/UNFPAInnovation/GetIn_Mobile/issues/91","show")</f>
        <v>show</v>
      </c>
      <c r="E10752" t="str">
        <f>HYPERLINK("https://github.com/UNFPAInnovation/GetIn_Mobile","show")</f>
        <v>show</v>
      </c>
      <c r="F10752" t="str">
        <f>HYPERLINK("https://github.com/UNFPAInnovation/GetIn_Mobile/releases","show")</f>
        <v>show</v>
      </c>
    </row>
    <row r="10753" spans="1:6">
      <c r="A10753" t="s">
        <v>31948</v>
      </c>
      <c r="B10753" t="s">
        <v>31949</v>
      </c>
      <c r="C10753" t="s">
        <v>31950</v>
      </c>
      <c r="D10753" t="str">
        <f>HYPERLINK("https://github.com/consp1racy/android-support-preference/issues/87","show")</f>
        <v>show</v>
      </c>
      <c r="E10753" t="str">
        <f>HYPERLINK("https://github.com/consp1racy/android-support-preference","show")</f>
        <v>show</v>
      </c>
      <c r="F10753" t="str">
        <f>HYPERLINK("https://github.com/consp1racy/android-support-preference/releases","show")</f>
        <v>show</v>
      </c>
    </row>
    <row r="10754" spans="1:6">
      <c r="A10754" t="s">
        <v>31951</v>
      </c>
      <c r="B10754" t="s">
        <v>31952</v>
      </c>
      <c r="C10754" t="s">
        <v>31953</v>
      </c>
      <c r="D10754" t="str">
        <f>HYPERLINK("https://github.com/Freeyourgadget/Gadgetbridge/issues/960","show")</f>
        <v>show</v>
      </c>
      <c r="E10754" t="str">
        <f>HYPERLINK("https://github.com/Freeyourgadget/Gadgetbridge","show")</f>
        <v>show</v>
      </c>
      <c r="F10754" t="str">
        <f>HYPERLINK("https://github.com/Freeyourgadget/Gadgetbridge/releases","show")</f>
        <v>show</v>
      </c>
    </row>
    <row r="10755" spans="1:6">
      <c r="A10755" t="s">
        <v>31954</v>
      </c>
      <c r="B10755" t="s">
        <v>31955</v>
      </c>
      <c r="C10755" t="s">
        <v>31956</v>
      </c>
      <c r="D10755" t="str">
        <f>HYPERLINK("https://github.com/venomousboxer/watermarking-application/issues/5","show")</f>
        <v>show</v>
      </c>
      <c r="E10755" t="str">
        <f>HYPERLINK("https://github.com/venomousboxer/watermarking-application","show")</f>
        <v>show</v>
      </c>
      <c r="F10755" t="str">
        <f>HYPERLINK("https://github.com/venomousboxer/watermarking-application/releases","show")</f>
        <v>show</v>
      </c>
    </row>
    <row r="10756" spans="1:6">
      <c r="A10756" t="s">
        <v>31957</v>
      </c>
      <c r="B10756" t="s">
        <v>31958</v>
      </c>
      <c r="C10756" t="s">
        <v>31959</v>
      </c>
      <c r="D10756" t="str">
        <f>HYPERLINK("https://github.com/Awful/Awful.apk/issues/588","show")</f>
        <v>show</v>
      </c>
      <c r="E10756" t="str">
        <f>HYPERLINK("https://github.com/Awful/Awful.apk","show")</f>
        <v>show</v>
      </c>
      <c r="F10756" t="str">
        <f>HYPERLINK("https://github.com/Awful/Awful.apk/releases","show")</f>
        <v>show</v>
      </c>
    </row>
    <row r="10757" spans="1:6">
      <c r="A10757" t="s">
        <v>31960</v>
      </c>
      <c r="B10757" t="s">
        <v>31961</v>
      </c>
      <c r="C10757" t="s">
        <v>31962</v>
      </c>
      <c r="D10757" t="str">
        <f>HYPERLINK("https://github.com/BaseballCardTracker/bbct-android/issues/427","show")</f>
        <v>show</v>
      </c>
      <c r="E10757" t="str">
        <f>HYPERLINK("https://github.com/BaseballCardTracker/bbct-android","show")</f>
        <v>show</v>
      </c>
      <c r="F10757" t="str">
        <f>HYPERLINK("https://github.com/BaseballCardTracker/bbct-android/releases","show")</f>
        <v>show</v>
      </c>
    </row>
    <row r="10758" spans="1:6">
      <c r="A10758" t="s">
        <v>31963</v>
      </c>
      <c r="B10758" t="s">
        <v>31964</v>
      </c>
      <c r="C10758" t="s">
        <v>31965</v>
      </c>
      <c r="D10758" t="str">
        <f>HYPERLINK("https://github.com/maks/MGit/issues/251","show")</f>
        <v>show</v>
      </c>
      <c r="E10758" t="str">
        <f>HYPERLINK("https://github.com/maks/MGit","show")</f>
        <v>show</v>
      </c>
      <c r="F10758" t="str">
        <f>HYPERLINK("https://github.com/maks/MGit/releases","show")</f>
        <v>show</v>
      </c>
    </row>
    <row r="10759" spans="1:6">
      <c r="A10759" t="s">
        <v>31966</v>
      </c>
      <c r="B10759" t="s">
        <v>31967</v>
      </c>
      <c r="C10759" t="s">
        <v>31968</v>
      </c>
      <c r="D10759" t="str">
        <f>HYPERLINK("https://github.com/Leo-App/android/issues/62","show")</f>
        <v>show</v>
      </c>
      <c r="E10759" t="str">
        <f>HYPERLINK("https://github.com/Leo-App/android","show")</f>
        <v>show</v>
      </c>
      <c r="F10759" t="str">
        <f>HYPERLINK("https://github.com/Leo-App/android/releases","show")</f>
        <v>show</v>
      </c>
    </row>
    <row r="10760" spans="1:6">
      <c r="A10760" t="s">
        <v>31969</v>
      </c>
      <c r="B10760" t="s">
        <v>31970</v>
      </c>
      <c r="C10760" t="s">
        <v>31971</v>
      </c>
      <c r="D10760" t="str">
        <f>HYPERLINK("https://github.com/venomousboxer/watermarking-application/issues/2","show")</f>
        <v>show</v>
      </c>
      <c r="E10760" t="str">
        <f>HYPERLINK("https://github.com/venomousboxer/watermarking-application","show")</f>
        <v>show</v>
      </c>
      <c r="F10760" t="str">
        <f>HYPERLINK("https://github.com/venomousboxer/watermarking-application/releases","show")</f>
        <v>show</v>
      </c>
    </row>
    <row r="10761" spans="1:6">
      <c r="A10761" t="s">
        <v>31972</v>
      </c>
      <c r="B10761" t="s">
        <v>31973</v>
      </c>
      <c r="C10761" t="s">
        <v>31974</v>
      </c>
      <c r="D10761" t="str">
        <f>HYPERLINK("https://github.com/twilio/video-quickstart-android/issues/233","show")</f>
        <v>show</v>
      </c>
      <c r="E10761" t="str">
        <f>HYPERLINK("https://github.com/twilio/video-quickstart-android","show")</f>
        <v>show</v>
      </c>
      <c r="F10761" t="str">
        <f>HYPERLINK("https://github.com/twilio/video-quickstart-android/releases","show")</f>
        <v>show</v>
      </c>
    </row>
    <row r="10762" spans="1:6">
      <c r="A10762" t="s">
        <v>31975</v>
      </c>
      <c r="B10762" t="s">
        <v>31976</v>
      </c>
      <c r="C10762" t="s">
        <v>31977</v>
      </c>
      <c r="D10762" t="str">
        <f>HYPERLINK("https://github.com/venomousboxer/watermarking-application/issues/1","show")</f>
        <v>show</v>
      </c>
      <c r="E10762" t="str">
        <f>HYPERLINK("https://github.com/venomousboxer/watermarking-application","show")</f>
        <v>show</v>
      </c>
      <c r="F10762" t="str">
        <f>HYPERLINK("https://github.com/venomousboxer/watermarking-application/releases","show")</f>
        <v>show</v>
      </c>
    </row>
    <row r="10763" spans="1:6">
      <c r="A10763" t="s">
        <v>31978</v>
      </c>
      <c r="B10763" t="s">
        <v>31979</v>
      </c>
      <c r="C10763" t="s">
        <v>31980</v>
      </c>
      <c r="D10763" t="str">
        <f>HYPERLINK("https://github.com/gsssrao/UnityAndroidSpeechRecognition/issues/1","show")</f>
        <v>show</v>
      </c>
      <c r="E10763" t="str">
        <f>HYPERLINK("https://github.com/gsssrao/UnityAndroidSpeechRecognition","show")</f>
        <v>show</v>
      </c>
      <c r="F10763" t="str">
        <f>HYPERLINK("https://github.com/gsssrao/UnityAndroidSpeechRecognition/releases","show")</f>
        <v>show</v>
      </c>
    </row>
    <row r="10764" spans="1:6">
      <c r="A10764" t="s">
        <v>31981</v>
      </c>
      <c r="B10764" t="s">
        <v>31982</v>
      </c>
      <c r="C10764" t="s">
        <v>31983</v>
      </c>
      <c r="D10764" t="str">
        <f>HYPERLINK("https://github.com/Neamar/KISS/issues/802","show")</f>
        <v>show</v>
      </c>
      <c r="E10764" t="str">
        <f>HYPERLINK("https://github.com/Neamar/KISS","show")</f>
        <v>show</v>
      </c>
      <c r="F10764" t="str">
        <f>HYPERLINK("https://github.com/Neamar/KISS/releases","show")</f>
        <v>show</v>
      </c>
    </row>
    <row r="10765" spans="1:6">
      <c r="A10765" t="s">
        <v>31984</v>
      </c>
      <c r="B10765" t="s">
        <v>31985</v>
      </c>
      <c r="C10765" t="s">
        <v>31986</v>
      </c>
      <c r="D10765" t="str">
        <f>HYPERLINK("https://github.com/k9mail/k-9/issues/3129","show")</f>
        <v>show</v>
      </c>
      <c r="E10765" t="str">
        <f>HYPERLINK("https://github.com/k9mail/k-9","show")</f>
        <v>show</v>
      </c>
      <c r="F10765" t="str">
        <f>HYPERLINK("https://github.com/k9mail/k-9/releases","show")</f>
        <v>show</v>
      </c>
    </row>
    <row r="10766" spans="1:6">
      <c r="A10766" t="s">
        <v>31987</v>
      </c>
      <c r="B10766" t="s">
        <v>31988</v>
      </c>
      <c r="C10766" t="s">
        <v>31989</v>
      </c>
      <c r="D10766" t="str">
        <f>HYPERLINK("https://github.com/badarshahzad/Earthquake-Report/issues/1","show")</f>
        <v>show</v>
      </c>
      <c r="E10766" t="str">
        <f>HYPERLINK("https://github.com/badarshahzad/Earthquake-Report","show")</f>
        <v>show</v>
      </c>
      <c r="F10766" t="str">
        <f>HYPERLINK("https://github.com/badarshahzad/Earthquake-Report/releases","show")</f>
        <v>show</v>
      </c>
    </row>
    <row r="10767" spans="1:6">
      <c r="A10767" t="s">
        <v>31990</v>
      </c>
      <c r="B10767" t="s">
        <v>31991</v>
      </c>
      <c r="C10767" t="s">
        <v>31992</v>
      </c>
      <c r="D10767" t="str">
        <f>HYPERLINK("https://github.com/twilio/voice-quickstart-android/issues/131","show")</f>
        <v>show</v>
      </c>
      <c r="E10767" t="str">
        <f>HYPERLINK("https://github.com/twilio/voice-quickstart-android","show")</f>
        <v>show</v>
      </c>
      <c r="F10767" t="str">
        <f>HYPERLINK("https://github.com/twilio/voice-quickstart-android/releases","show")</f>
        <v>show</v>
      </c>
    </row>
    <row r="10768" spans="1:6">
      <c r="A10768" t="s">
        <v>31993</v>
      </c>
      <c r="B10768" t="s">
        <v>31994</v>
      </c>
      <c r="C10768" t="s">
        <v>31995</v>
      </c>
      <c r="D10768" t="str">
        <f>HYPERLINK("https://github.com/mapbox/mapbox-events-android/issues/58","show")</f>
        <v>show</v>
      </c>
      <c r="E10768" t="str">
        <f>HYPERLINK("https://github.com/mapbox/mapbox-events-android","show")</f>
        <v>show</v>
      </c>
      <c r="F10768" t="str">
        <f>HYPERLINK("https://github.com/mapbox/mapbox-events-android/releases","show")</f>
        <v>show</v>
      </c>
    </row>
    <row r="10769" spans="1:6">
      <c r="A10769" t="s">
        <v>31996</v>
      </c>
      <c r="B10769" t="s">
        <v>31997</v>
      </c>
      <c r="C10769" t="s">
        <v>31998</v>
      </c>
      <c r="D10769" t="str">
        <f>HYPERLINK("https://github.com/aws-amplify/aws-sdk-android/issues/400","show")</f>
        <v>show</v>
      </c>
      <c r="E10769" t="str">
        <f>HYPERLINK("https://github.com/aws-amplify/aws-sdk-android","show")</f>
        <v>show</v>
      </c>
      <c r="F10769" t="str">
        <f>HYPERLINK("https://github.com/aws-amplify/aws-sdk-android/releases","show")</f>
        <v>show</v>
      </c>
    </row>
    <row r="10770" spans="1:6">
      <c r="A10770" t="s">
        <v>31999</v>
      </c>
      <c r="B10770" t="s">
        <v>32000</v>
      </c>
      <c r="C10770" t="s">
        <v>32001</v>
      </c>
      <c r="D10770" t="str">
        <f>HYPERLINK("https://github.com/MiPushFramework/MiPushFramework/issues/33","show")</f>
        <v>show</v>
      </c>
      <c r="E10770" t="str">
        <f>HYPERLINK("https://github.com/MiPushFramework/MiPushFramework","show")</f>
        <v>show</v>
      </c>
      <c r="F10770" t="str">
        <f>HYPERLINK("https://github.com/MiPushFramework/MiPushFramework/releases","show")</f>
        <v>show</v>
      </c>
    </row>
    <row r="10771" spans="1:6">
      <c r="A10771" t="s">
        <v>32002</v>
      </c>
      <c r="B10771" t="s">
        <v>32003</v>
      </c>
      <c r="C10771" t="s">
        <v>32004</v>
      </c>
      <c r="D10771" t="str">
        <f>HYPERLINK("https://github.com/square/okhttp/issues/3794","show")</f>
        <v>show</v>
      </c>
      <c r="E10771" t="str">
        <f>HYPERLINK("https://github.com/square/okhttp","show")</f>
        <v>show</v>
      </c>
      <c r="F10771" t="str">
        <f>HYPERLINK("https://github.com/square/okhttp/releases","show")</f>
        <v>show</v>
      </c>
    </row>
    <row r="10772" spans="1:6">
      <c r="A10772" t="s">
        <v>32005</v>
      </c>
      <c r="B10772" t="s">
        <v>32006</v>
      </c>
      <c r="C10772" t="s">
        <v>32007</v>
      </c>
      <c r="D10772" t="str">
        <f>HYPERLINK("https://github.com/iFixit/dozuki-android/issues/4","show")</f>
        <v>show</v>
      </c>
      <c r="E10772" t="str">
        <f>HYPERLINK("https://github.com/iFixit/dozuki-android","show")</f>
        <v>show</v>
      </c>
      <c r="F10772" t="str">
        <f>HYPERLINK("https://github.com/iFixit/dozuki-android/releases","show")</f>
        <v>show</v>
      </c>
    </row>
    <row r="10773" spans="1:6">
      <c r="A10773" t="s">
        <v>32008</v>
      </c>
      <c r="B10773" t="s">
        <v>32009</v>
      </c>
      <c r="C10773" t="s">
        <v>32010</v>
      </c>
      <c r="D10773" t="str">
        <f>HYPERLINK("https://github.com/kontalk/androidclient/issues/1142","show")</f>
        <v>show</v>
      </c>
      <c r="E10773" t="str">
        <f>HYPERLINK("https://github.com/kontalk/androidclient","show")</f>
        <v>show</v>
      </c>
      <c r="F10773" t="str">
        <f>HYPERLINK("https://github.com/kontalk/androidclient/releases","show")</f>
        <v>show</v>
      </c>
    </row>
    <row r="10774" spans="1:6">
      <c r="A10774" t="s">
        <v>32011</v>
      </c>
      <c r="B10774" t="s">
        <v>32012</v>
      </c>
      <c r="C10774" t="s">
        <v>32013</v>
      </c>
      <c r="D10774" t="str">
        <f>HYPERLINK("https://github.com/square/okhttp/issues/3793","show")</f>
        <v>show</v>
      </c>
      <c r="E10774" t="str">
        <f>HYPERLINK("https://github.com/square/okhttp","show")</f>
        <v>show</v>
      </c>
      <c r="F10774" t="str">
        <f>HYPERLINK("https://github.com/square/okhttp/releases","show")</f>
        <v>show</v>
      </c>
    </row>
    <row r="10775" spans="1:6">
      <c r="A10775" t="s">
        <v>32014</v>
      </c>
      <c r="B10775" t="s">
        <v>32015</v>
      </c>
      <c r="C10775" t="s">
        <v>32016</v>
      </c>
      <c r="D10775" t="str">
        <f>HYPERLINK("https://github.com/commons-app/apps-android-commons/issues/1087","show")</f>
        <v>show</v>
      </c>
      <c r="E10775" t="str">
        <f>HYPERLINK("https://github.com/commons-app/apps-android-commons","show")</f>
        <v>show</v>
      </c>
      <c r="F10775" t="str">
        <f>HYPERLINK("https://github.com/commons-app/apps-android-commons/releases","show")</f>
        <v>show</v>
      </c>
    </row>
    <row r="10776" spans="1:6">
      <c r="A10776" t="s">
        <v>32017</v>
      </c>
      <c r="B10776" t="s">
        <v>32018</v>
      </c>
      <c r="C10776" t="s">
        <v>32019</v>
      </c>
      <c r="D10776" t="str">
        <f>HYPERLINK("https://github.com/ozelevrim/EvrimNews/issues/15","show")</f>
        <v>show</v>
      </c>
      <c r="E10776" t="str">
        <f>HYPERLINK("https://github.com/ozelevrim/EvrimNews","show")</f>
        <v>show</v>
      </c>
      <c r="F10776" t="str">
        <f>HYPERLINK("https://github.com/ozelevrim/EvrimNews/releases","show")</f>
        <v>show</v>
      </c>
    </row>
    <row r="10777" spans="1:6">
      <c r="A10777" t="s">
        <v>32020</v>
      </c>
      <c r="B10777" t="s">
        <v>32021</v>
      </c>
      <c r="C10777" t="s">
        <v>32022</v>
      </c>
      <c r="D10777" t="str">
        <f>HYPERLINK("https://github.com/ozelevrim/EvrimNews/issues/13","show")</f>
        <v>show</v>
      </c>
      <c r="E10777" t="str">
        <f>HYPERLINK("https://github.com/ozelevrim/EvrimNews","show")</f>
        <v>show</v>
      </c>
      <c r="F10777" t="str">
        <f>HYPERLINK("https://github.com/ozelevrim/EvrimNews/releases","show")</f>
        <v>show</v>
      </c>
    </row>
    <row r="10778" spans="1:6">
      <c r="A10778" t="s">
        <v>32023</v>
      </c>
      <c r="B10778" t="s">
        <v>32024</v>
      </c>
      <c r="C10778" t="s">
        <v>32025</v>
      </c>
      <c r="D10778" t="str">
        <f>HYPERLINK("https://github.com/nextcloud/android/issues/2016","show")</f>
        <v>show</v>
      </c>
      <c r="E10778" t="str">
        <f>HYPERLINK("https://github.com/nextcloud/android","show")</f>
        <v>show</v>
      </c>
      <c r="F10778" t="str">
        <f>HYPERLINK("https://github.com/nextcloud/android/releases","show")</f>
        <v>show</v>
      </c>
    </row>
    <row r="10779" spans="1:6">
      <c r="A10779" t="s">
        <v>32026</v>
      </c>
      <c r="B10779" t="s">
        <v>32027</v>
      </c>
      <c r="C10779" t="s">
        <v>32028</v>
      </c>
      <c r="D10779" t="str">
        <f>HYPERLINK("https://github.com/Neamar/KISS/issues/797","show")</f>
        <v>show</v>
      </c>
      <c r="E10779" t="str">
        <f>HYPERLINK("https://github.com/Neamar/KISS","show")</f>
        <v>show</v>
      </c>
      <c r="F10779" t="str">
        <f>HYPERLINK("https://github.com/Neamar/KISS/releases","show")</f>
        <v>show</v>
      </c>
    </row>
    <row r="10780" spans="1:6">
      <c r="A10780" t="s">
        <v>32029</v>
      </c>
      <c r="B10780" t="s">
        <v>32030</v>
      </c>
      <c r="C10780" t="s">
        <v>32031</v>
      </c>
      <c r="D10780" t="str">
        <f>HYPERLINK("https://github.com/nextcloud/android/issues/2013","show")</f>
        <v>show</v>
      </c>
      <c r="E10780" t="str">
        <f>HYPERLINK("https://github.com/nextcloud/android","show")</f>
        <v>show</v>
      </c>
      <c r="F10780" t="str">
        <f>HYPERLINK("https://github.com/nextcloud/android/releases","show")</f>
        <v>show</v>
      </c>
    </row>
    <row r="10781" spans="1:6">
      <c r="A10781" t="s">
        <v>32032</v>
      </c>
      <c r="B10781" t="s">
        <v>32033</v>
      </c>
      <c r="C10781" t="s">
        <v>32034</v>
      </c>
      <c r="D10781" t="str">
        <f>HYPERLINK("https://github.com/DanielPollithy/flashwifi/issues/37","show")</f>
        <v>show</v>
      </c>
      <c r="E10781" t="str">
        <f>HYPERLINK("https://github.com/DanielPollithy/flashwifi","show")</f>
        <v>show</v>
      </c>
      <c r="F10781" t="str">
        <f>HYPERLINK("https://github.com/DanielPollithy/flashwifi/releases","show")</f>
        <v>show</v>
      </c>
    </row>
    <row r="10782" spans="1:6">
      <c r="A10782" t="s">
        <v>32035</v>
      </c>
      <c r="B10782" t="s">
        <v>32036</v>
      </c>
      <c r="C10782" t="s">
        <v>32037</v>
      </c>
      <c r="D10782" t="str">
        <f>HYPERLINK("https://github.com/RedApparat/FaceDetector/issues/17","show")</f>
        <v>show</v>
      </c>
      <c r="E10782" t="str">
        <f>HYPERLINK("https://github.com/RedApparat/FaceDetector","show")</f>
        <v>show</v>
      </c>
      <c r="F10782" t="str">
        <f>HYPERLINK("https://github.com/RedApparat/FaceDetector/releases","show")</f>
        <v>show</v>
      </c>
    </row>
    <row r="10783" spans="1:6">
      <c r="A10783" t="s">
        <v>32038</v>
      </c>
      <c r="B10783" t="s">
        <v>32039</v>
      </c>
      <c r="C10783" t="s">
        <v>32040</v>
      </c>
      <c r="D10783" t="str">
        <f>HYPERLINK("https://github.com/mauron85/react-native-background-geolocation/issues/149","show")</f>
        <v>show</v>
      </c>
      <c r="E10783" t="str">
        <f>HYPERLINK("https://github.com/mauron85/react-native-background-geolocation","show")</f>
        <v>show</v>
      </c>
      <c r="F10783" t="str">
        <f>HYPERLINK("https://github.com/mauron85/react-native-background-geolocation/releases","show")</f>
        <v>show</v>
      </c>
    </row>
    <row r="10784" spans="1:6">
      <c r="A10784" t="s">
        <v>32041</v>
      </c>
      <c r="B10784" t="s">
        <v>32042</v>
      </c>
      <c r="C10784" t="s">
        <v>32043</v>
      </c>
      <c r="D10784" t="str">
        <f>HYPERLINK("https://github.com/andybalaam/rabbit-escape/issues/517","show")</f>
        <v>show</v>
      </c>
      <c r="E10784" t="str">
        <f>HYPERLINK("https://github.com/andybalaam/rabbit-escape","show")</f>
        <v>show</v>
      </c>
      <c r="F10784" t="str">
        <f>HYPERLINK("https://github.com/andybalaam/rabbit-escape/releases","show")</f>
        <v>show</v>
      </c>
    </row>
    <row r="10785" spans="1:6">
      <c r="A10785" t="s">
        <v>32044</v>
      </c>
      <c r="B10785" t="s">
        <v>32045</v>
      </c>
      <c r="C10785" t="s">
        <v>32046</v>
      </c>
      <c r="D10785" t="str">
        <f>HYPERLINK("https://github.com/naoufal/react-native-touch-id/issues/67","show")</f>
        <v>show</v>
      </c>
      <c r="E10785" t="str">
        <f>HYPERLINK("https://github.com/naoufal/react-native-touch-id","show")</f>
        <v>show</v>
      </c>
      <c r="F10785" t="str">
        <f>HYPERLINK("https://github.com/naoufal/react-native-touch-id/releases","show")</f>
        <v>show</v>
      </c>
    </row>
    <row r="10786" spans="1:6">
      <c r="A10786" t="s">
        <v>32047</v>
      </c>
      <c r="B10786" t="s">
        <v>32048</v>
      </c>
      <c r="C10786" t="s">
        <v>32049</v>
      </c>
      <c r="D10786" t="str">
        <f>HYPERLINK("https://github.com/pockethub/PocketHub/issues/1148","show")</f>
        <v>show</v>
      </c>
      <c r="E10786" t="str">
        <f>HYPERLINK("https://github.com/pockethub/PocketHub","show")</f>
        <v>show</v>
      </c>
      <c r="F10786" t="str">
        <f>HYPERLINK("https://github.com/pockethub/PocketHub/releases","show")</f>
        <v>show</v>
      </c>
    </row>
    <row r="10787" spans="1:6">
      <c r="A10787" t="s">
        <v>32050</v>
      </c>
      <c r="B10787" t="s">
        <v>32051</v>
      </c>
      <c r="C10787" t="s">
        <v>32052</v>
      </c>
      <c r="D10787" t="str">
        <f>HYPERLINK("https://github.com/getodk/collect/issues/1796","show")</f>
        <v>show</v>
      </c>
      <c r="E10787" t="str">
        <f>HYPERLINK("https://github.com/getodk/collect","show")</f>
        <v>show</v>
      </c>
      <c r="F10787" t="str">
        <f>HYPERLINK("https://github.com/getodk/collect/releases","show")</f>
        <v>show</v>
      </c>
    </row>
    <row r="10788" spans="1:6">
      <c r="A10788" t="s">
        <v>32053</v>
      </c>
      <c r="B10788" t="s">
        <v>32054</v>
      </c>
      <c r="C10788" t="s">
        <v>32055</v>
      </c>
      <c r="D10788" t="str">
        <f>HYPERLINK("https://github.com/getodk/collect/issues/1794","show")</f>
        <v>show</v>
      </c>
      <c r="E10788" t="str">
        <f>HYPERLINK("https://github.com/getodk/collect","show")</f>
        <v>show</v>
      </c>
      <c r="F10788" t="str">
        <f>HYPERLINK("https://github.com/getodk/collect/releases","show")</f>
        <v>show</v>
      </c>
    </row>
    <row r="10789" spans="1:6">
      <c r="A10789" t="s">
        <v>32056</v>
      </c>
      <c r="B10789" t="s">
        <v>32057</v>
      </c>
      <c r="C10789" t="s">
        <v>32058</v>
      </c>
      <c r="D10789" t="str">
        <f>HYPERLINK("https://github.com/nextcloud/android/issues/1974","show")</f>
        <v>show</v>
      </c>
      <c r="E10789" t="str">
        <f>HYPERLINK("https://github.com/nextcloud/android","show")</f>
        <v>show</v>
      </c>
      <c r="F10789" t="str">
        <f>HYPERLINK("https://github.com/nextcloud/android/releases","show")</f>
        <v>show</v>
      </c>
    </row>
    <row r="10790" spans="1:6">
      <c r="A10790" t="s">
        <v>32059</v>
      </c>
      <c r="B10790" t="s">
        <v>32060</v>
      </c>
      <c r="C10790" t="s">
        <v>32061</v>
      </c>
      <c r="D10790" t="str">
        <f>HYPERLINK("https://github.com/osmdroid/osmdroid/issues/880","show")</f>
        <v>show</v>
      </c>
      <c r="E10790" t="str">
        <f>HYPERLINK("https://github.com/osmdroid/osmdroid","show")</f>
        <v>show</v>
      </c>
      <c r="F10790" t="str">
        <f>HYPERLINK("https://github.com/osmdroid/osmdroid/releases","show")</f>
        <v>show</v>
      </c>
    </row>
    <row r="10791" spans="1:6">
      <c r="A10791" t="s">
        <v>32062</v>
      </c>
      <c r="B10791" t="s">
        <v>32063</v>
      </c>
      <c r="C10791" t="s">
        <v>32064</v>
      </c>
      <c r="D10791" t="str">
        <f>HYPERLINK("https://github.com/bumptech/glide/issues/2818","show")</f>
        <v>show</v>
      </c>
      <c r="E10791" t="str">
        <f>HYPERLINK("https://github.com/bumptech/glide","show")</f>
        <v>show</v>
      </c>
      <c r="F10791" t="str">
        <f>HYPERLINK("https://github.com/bumptech/glide/releases","show")</f>
        <v>show</v>
      </c>
    </row>
    <row r="10792" spans="1:6">
      <c r="A10792" t="s">
        <v>32065</v>
      </c>
      <c r="B10792" t="s">
        <v>11353</v>
      </c>
      <c r="C10792" t="s">
        <v>32066</v>
      </c>
      <c r="D10792" t="str">
        <f>HYPERLINK("https://github.com/google/ExoPlayer/issues/3716","show")</f>
        <v>show</v>
      </c>
      <c r="E10792" t="str">
        <f>HYPERLINK("https://github.com/google/ExoPlayer","show")</f>
        <v>show</v>
      </c>
      <c r="F10792" t="str">
        <f>HYPERLINK("https://github.com/google/ExoPlayer/releases","show")</f>
        <v>show</v>
      </c>
    </row>
    <row r="10793" spans="1:6">
      <c r="A10793" t="s">
        <v>32067</v>
      </c>
      <c r="B10793" t="s">
        <v>32068</v>
      </c>
      <c r="C10793" t="s">
        <v>32069</v>
      </c>
      <c r="D10793" t="str">
        <f>HYPERLINK("https://github.com/nextcloud/android/issues/1970","show")</f>
        <v>show</v>
      </c>
      <c r="E10793" t="str">
        <f>HYPERLINK("https://github.com/nextcloud/android","show")</f>
        <v>show</v>
      </c>
      <c r="F10793" t="str">
        <f>HYPERLINK("https://github.com/nextcloud/android/releases","show")</f>
        <v>show</v>
      </c>
    </row>
    <row r="10794" spans="1:6">
      <c r="A10794" t="s">
        <v>32070</v>
      </c>
      <c r="B10794" t="s">
        <v>32071</v>
      </c>
      <c r="C10794" t="s">
        <v>32072</v>
      </c>
      <c r="D10794" t="str">
        <f>HYPERLINK("https://github.com/hold17/cphindustries/issues/114","show")</f>
        <v>show</v>
      </c>
      <c r="E10794" t="str">
        <f>HYPERLINK("https://github.com/hold17/cphindustries","show")</f>
        <v>show</v>
      </c>
      <c r="F10794" t="str">
        <f>HYPERLINK("https://github.com/hold17/cphindustries/releases","show")</f>
        <v>show</v>
      </c>
    </row>
    <row r="10795" spans="1:6">
      <c r="A10795" t="s">
        <v>32073</v>
      </c>
      <c r="B10795" t="s">
        <v>32074</v>
      </c>
      <c r="C10795" t="s">
        <v>32075</v>
      </c>
      <c r="D10795" t="str">
        <f>HYPERLINK("https://github.com/hold17/cphindustries/issues/107","show")</f>
        <v>show</v>
      </c>
      <c r="E10795" t="str">
        <f>HYPERLINK("https://github.com/hold17/cphindustries","show")</f>
        <v>show</v>
      </c>
      <c r="F10795" t="str">
        <f>HYPERLINK("https://github.com/hold17/cphindustries/releases","show")</f>
        <v>show</v>
      </c>
    </row>
    <row r="10796" spans="1:6">
      <c r="A10796" t="s">
        <v>32076</v>
      </c>
      <c r="B10796" t="s">
        <v>32077</v>
      </c>
      <c r="C10796" t="s">
        <v>32078</v>
      </c>
      <c r="D10796" t="str">
        <f>HYPERLINK("https://github.com/cgeo/cgeo/issues/6912","show")</f>
        <v>show</v>
      </c>
      <c r="E10796" t="str">
        <f>HYPERLINK("https://github.com/cgeo/cgeo","show")</f>
        <v>show</v>
      </c>
      <c r="F10796" t="str">
        <f>HYPERLINK("https://github.com/cgeo/cgeo/releases","show")</f>
        <v>show</v>
      </c>
    </row>
    <row r="10797" spans="1:6">
      <c r="A10797" t="s">
        <v>32079</v>
      </c>
      <c r="B10797" t="s">
        <v>32080</v>
      </c>
      <c r="C10797" t="s">
        <v>32081</v>
      </c>
      <c r="D10797" t="str">
        <f>HYPERLINK("https://github.com/Haptic-Apps/Slide/issues/2624","show")</f>
        <v>show</v>
      </c>
      <c r="E10797" t="str">
        <f>HYPERLINK("https://github.com/Haptic-Apps/Slide","show")</f>
        <v>show</v>
      </c>
      <c r="F10797" t="str">
        <f>HYPERLINK("https://github.com/Haptic-Apps/Slide/releases","show")</f>
        <v>show</v>
      </c>
    </row>
    <row r="10798" spans="1:6">
      <c r="A10798" t="s">
        <v>32082</v>
      </c>
      <c r="B10798" t="s">
        <v>32083</v>
      </c>
      <c r="C10798" t="s">
        <v>32084</v>
      </c>
      <c r="D10798" t="str">
        <f>HYPERLINK("https://github.com/doublesymmetry/react-native-track-player/issues/118","show")</f>
        <v>show</v>
      </c>
      <c r="E10798" t="str">
        <f>HYPERLINK("https://github.com/doublesymmetry/react-native-track-player","show")</f>
        <v>show</v>
      </c>
      <c r="F10798" t="str">
        <f>HYPERLINK("https://github.com/doublesymmetry/react-native-track-player/releases","show")</f>
        <v>show</v>
      </c>
    </row>
    <row r="10799" spans="1:6">
      <c r="A10799" t="s">
        <v>32085</v>
      </c>
      <c r="B10799" t="s">
        <v>32086</v>
      </c>
      <c r="C10799" t="s">
        <v>32087</v>
      </c>
      <c r="D10799" t="str">
        <f>HYPERLINK("https://github.com/nikita36078/J2ME-Loader/issues/75","show")</f>
        <v>show</v>
      </c>
      <c r="E10799" t="str">
        <f>HYPERLINK("https://github.com/nikita36078/J2ME-Loader","show")</f>
        <v>show</v>
      </c>
      <c r="F10799" t="str">
        <f>HYPERLINK("https://github.com/nikita36078/J2ME-Loader/releases","show")</f>
        <v>show</v>
      </c>
    </row>
    <row r="10800" spans="1:6">
      <c r="A10800" t="s">
        <v>32088</v>
      </c>
      <c r="B10800" t="s">
        <v>32089</v>
      </c>
      <c r="C10800" t="s">
        <v>32090</v>
      </c>
      <c r="D10800" t="str">
        <f>HYPERLINK("https://github.com/andOTP/andOTP/issues/113","show")</f>
        <v>show</v>
      </c>
      <c r="E10800" t="str">
        <f>HYPERLINK("https://github.com/andOTP/andOTP","show")</f>
        <v>show</v>
      </c>
      <c r="F10800" t="str">
        <f>HYPERLINK("https://github.com/andOTP/andOTP/releases","show")</f>
        <v>show</v>
      </c>
    </row>
    <row r="10801" spans="1:6">
      <c r="A10801" t="s">
        <v>32091</v>
      </c>
      <c r="B10801" t="s">
        <v>32092</v>
      </c>
      <c r="C10801" t="s">
        <v>32093</v>
      </c>
      <c r="D10801" t="str">
        <f>HYPERLINK("https://github.com/doublesymmetry/react-native-track-player/issues/117","show")</f>
        <v>show</v>
      </c>
      <c r="E10801" t="str">
        <f>HYPERLINK("https://github.com/doublesymmetry/react-native-track-player","show")</f>
        <v>show</v>
      </c>
      <c r="F10801" t="str">
        <f>HYPERLINK("https://github.com/doublesymmetry/react-native-track-player/releases","show")</f>
        <v>show</v>
      </c>
    </row>
    <row r="10802" spans="1:6">
      <c r="A10802" t="s">
        <v>32094</v>
      </c>
      <c r="B10802" t="s">
        <v>32095</v>
      </c>
      <c r="C10802" t="s">
        <v>32096</v>
      </c>
      <c r="D10802" t="str">
        <f>HYPERLINK("https://github.com/the3deers/android-3D-model-viewer/issues/34","show")</f>
        <v>show</v>
      </c>
      <c r="E10802" t="str">
        <f>HYPERLINK("https://github.com/the3deers/android-3D-model-viewer","show")</f>
        <v>show</v>
      </c>
      <c r="F10802" t="str">
        <f>HYPERLINK("https://github.com/the3deers/android-3D-model-viewer/releases","show")</f>
        <v>show</v>
      </c>
    </row>
    <row r="10803" spans="1:6">
      <c r="A10803" t="s">
        <v>32097</v>
      </c>
      <c r="B10803" t="s">
        <v>32098</v>
      </c>
      <c r="C10803" t="s">
        <v>32099</v>
      </c>
      <c r="D10803" t="str">
        <f>HYPERLINK("https://github.com/philipphecht/react-native-doc-viewer/issues/69","show")</f>
        <v>show</v>
      </c>
      <c r="E10803" t="str">
        <f>HYPERLINK("https://github.com/philipphecht/react-native-doc-viewer","show")</f>
        <v>show</v>
      </c>
      <c r="F10803" t="str">
        <f>HYPERLINK("https://github.com/philipphecht/react-native-doc-viewer/releases","show")</f>
        <v>show</v>
      </c>
    </row>
    <row r="10804" spans="1:6">
      <c r="A10804" t="s">
        <v>32100</v>
      </c>
      <c r="B10804" t="s">
        <v>32101</v>
      </c>
      <c r="C10804" t="s">
        <v>32102</v>
      </c>
      <c r="D10804" t="str">
        <f>HYPERLINK("https://github.com/guardianproject/haven/issues/211","show")</f>
        <v>show</v>
      </c>
      <c r="E10804" t="str">
        <f>HYPERLINK("https://github.com/guardianproject/haven","show")</f>
        <v>show</v>
      </c>
      <c r="F10804" t="str">
        <f>HYPERLINK("https://github.com/guardianproject/haven/releases","show")</f>
        <v>show</v>
      </c>
    </row>
    <row r="10805" spans="1:6">
      <c r="A10805" t="s">
        <v>32103</v>
      </c>
      <c r="B10805" t="s">
        <v>32104</v>
      </c>
      <c r="C10805" t="s">
        <v>32105</v>
      </c>
      <c r="D10805" t="str">
        <f>HYPERLINK("https://github.com/guardianproject/haven/issues/210","show")</f>
        <v>show</v>
      </c>
      <c r="E10805" t="str">
        <f>HYPERLINK("https://github.com/guardianproject/haven","show")</f>
        <v>show</v>
      </c>
      <c r="F10805" t="str">
        <f>HYPERLINK("https://github.com/guardianproject/haven/releases","show")</f>
        <v>show</v>
      </c>
    </row>
    <row r="10806" spans="1:6">
      <c r="A10806" t="s">
        <v>32106</v>
      </c>
      <c r="B10806" t="s">
        <v>32107</v>
      </c>
      <c r="C10806" t="s">
        <v>32108</v>
      </c>
      <c r="D10806" t="str">
        <f>HYPERLINK("https://github.com/jMonkeyEngine/jmonkeyengine/issues/798","show")</f>
        <v>show</v>
      </c>
      <c r="E10806" t="str">
        <f>HYPERLINK("https://github.com/jMonkeyEngine/jmonkeyengine","show")</f>
        <v>show</v>
      </c>
      <c r="F10806" t="str">
        <f>HYPERLINK("https://github.com/jMonkeyEngine/jmonkeyengine/releases","show")</f>
        <v>show</v>
      </c>
    </row>
    <row r="10807" spans="1:6">
      <c r="A10807" t="s">
        <v>32109</v>
      </c>
      <c r="B10807" t="s">
        <v>32110</v>
      </c>
      <c r="C10807" t="s">
        <v>32111</v>
      </c>
      <c r="D10807" t="str">
        <f>HYPERLINK("https://github.com/react-native-camera/react-native-camera/issues/1090","show")</f>
        <v>show</v>
      </c>
      <c r="E10807" t="str">
        <f>HYPERLINK("https://github.com/react-native-camera/react-native-camera","show")</f>
        <v>show</v>
      </c>
      <c r="F10807" t="str">
        <f>HYPERLINK("https://github.com/react-native-camera/react-native-camera/releases","show")</f>
        <v>show</v>
      </c>
    </row>
    <row r="10808" spans="1:6">
      <c r="A10808" t="s">
        <v>32112</v>
      </c>
      <c r="B10808" t="s">
        <v>32113</v>
      </c>
      <c r="C10808" t="s">
        <v>32114</v>
      </c>
      <c r="D10808" t="str">
        <f>HYPERLINK("https://github.com/mit-cml/appinventor-sources/issues/1125","show")</f>
        <v>show</v>
      </c>
      <c r="E10808" t="str">
        <f>HYPERLINK("https://github.com/mit-cml/appinventor-sources","show")</f>
        <v>show</v>
      </c>
      <c r="F10808" t="str">
        <f>HYPERLINK("https://github.com/mit-cml/appinventor-sources/releases","show")</f>
        <v>show</v>
      </c>
    </row>
    <row r="10809" spans="1:6">
      <c r="A10809" t="s">
        <v>32115</v>
      </c>
      <c r="B10809" t="s">
        <v>32116</v>
      </c>
      <c r="C10809" t="s">
        <v>32117</v>
      </c>
      <c r="D10809" t="str">
        <f>HYPERLINK("https://github.com/mapbox/mapbox-plugins-android/issues/238","show")</f>
        <v>show</v>
      </c>
      <c r="E10809" t="str">
        <f>HYPERLINK("https://github.com/mapbox/mapbox-plugins-android","show")</f>
        <v>show</v>
      </c>
      <c r="F10809" t="str">
        <f>HYPERLINK("https://github.com/mapbox/mapbox-plugins-android/releases","show")</f>
        <v>show</v>
      </c>
    </row>
    <row r="10810" spans="1:6">
      <c r="A10810" t="s">
        <v>32118</v>
      </c>
      <c r="B10810" t="s">
        <v>32119</v>
      </c>
      <c r="C10810" t="s">
        <v>32120</v>
      </c>
      <c r="D10810" t="str">
        <f>HYPERLINK("https://github.com/asterics/AsTeRICS/issues/220","show")</f>
        <v>show</v>
      </c>
      <c r="E10810" t="str">
        <f>HYPERLINK("https://github.com/asterics/AsTeRICS","show")</f>
        <v>show</v>
      </c>
      <c r="F10810" t="str">
        <f>HYPERLINK("https://github.com/asterics/AsTeRICS/releases","show")</f>
        <v>show</v>
      </c>
    </row>
    <row r="10811" spans="1:6">
      <c r="A10811" t="s">
        <v>32121</v>
      </c>
      <c r="B10811" t="s">
        <v>4460</v>
      </c>
      <c r="C10811" t="s">
        <v>32122</v>
      </c>
      <c r="D10811" t="str">
        <f>HYPERLINK("https://github.com/tanrabad/survey/issues/51","show")</f>
        <v>show</v>
      </c>
      <c r="E10811" t="str">
        <f>HYPERLINK("https://github.com/tanrabad/survey","show")</f>
        <v>show</v>
      </c>
      <c r="F10811" t="str">
        <f>HYPERLINK("https://github.com/tanrabad/survey/releases","show")</f>
        <v>show</v>
      </c>
    </row>
    <row r="10812" spans="1:6">
      <c r="A10812" t="s">
        <v>32123</v>
      </c>
      <c r="B10812" t="s">
        <v>32124</v>
      </c>
      <c r="C10812" t="s">
        <v>32125</v>
      </c>
      <c r="D10812" t="str">
        <f>HYPERLINK("https://github.com/mit-cml/appinventor-sources/issues/1121","show")</f>
        <v>show</v>
      </c>
      <c r="E10812" t="str">
        <f>HYPERLINK("https://github.com/mit-cml/appinventor-sources","show")</f>
        <v>show</v>
      </c>
      <c r="F10812" t="str">
        <f>HYPERLINK("https://github.com/mit-cml/appinventor-sources/releases","show")</f>
        <v>show</v>
      </c>
    </row>
    <row r="10813" spans="1:6">
      <c r="A10813" t="s">
        <v>32126</v>
      </c>
      <c r="B10813" t="s">
        <v>32127</v>
      </c>
      <c r="C10813" t="s">
        <v>32128</v>
      </c>
      <c r="D10813" t="str">
        <f>HYPERLINK("https://github.com/UNFPAInnovation/GetIn_Mobile/issues/85","show")</f>
        <v>show</v>
      </c>
      <c r="E10813" t="str">
        <f>HYPERLINK("https://github.com/UNFPAInnovation/GetIn_Mobile","show")</f>
        <v>show</v>
      </c>
      <c r="F10813" t="str">
        <f>HYPERLINK("https://github.com/UNFPAInnovation/GetIn_Mobile/releases","show")</f>
        <v>show</v>
      </c>
    </row>
    <row r="10814" spans="1:6">
      <c r="A10814" t="s">
        <v>32129</v>
      </c>
      <c r="B10814" t="s">
        <v>32130</v>
      </c>
      <c r="C10814" t="s">
        <v>32131</v>
      </c>
      <c r="D10814" t="str">
        <f>HYPERLINK("https://github.com/dimagi/commcare-android/issues/1925","show")</f>
        <v>show</v>
      </c>
      <c r="E10814" t="str">
        <f>HYPERLINK("https://github.com/dimagi/commcare-android","show")</f>
        <v>show</v>
      </c>
      <c r="F10814" t="str">
        <f>HYPERLINK("https://github.com/dimagi/commcare-android/releases","show")</f>
        <v>show</v>
      </c>
    </row>
    <row r="10815" spans="1:6">
      <c r="A10815" t="s">
        <v>32132</v>
      </c>
      <c r="B10815" t="s">
        <v>32133</v>
      </c>
      <c r="C10815" t="s">
        <v>32134</v>
      </c>
      <c r="D10815" t="str">
        <f>HYPERLINK("https://github.com/rovo89/XposedInstaller/issues/420","show")</f>
        <v>show</v>
      </c>
      <c r="E10815" t="str">
        <f>HYPERLINK("https://github.com/rovo89/XposedInstaller","show")</f>
        <v>show</v>
      </c>
      <c r="F10815" t="str">
        <f>HYPERLINK("https://github.com/rovo89/XposedInstaller/releases","show")</f>
        <v>show</v>
      </c>
    </row>
    <row r="10816" spans="1:6">
      <c r="A10816" t="s">
        <v>32135</v>
      </c>
      <c r="B10816" t="s">
        <v>32136</v>
      </c>
      <c r="C10816" t="s">
        <v>32137</v>
      </c>
      <c r="D10816" t="str">
        <f>HYPERLINK("https://github.com/lingochamp/okdownload/issues/4","show")</f>
        <v>show</v>
      </c>
      <c r="E10816" t="str">
        <f>HYPERLINK("https://github.com/lingochamp/okdownload","show")</f>
        <v>show</v>
      </c>
      <c r="F10816" t="str">
        <f>HYPERLINK("https://github.com/lingochamp/okdownload/releases","show")</f>
        <v>show</v>
      </c>
    </row>
    <row r="10817" spans="1:6">
      <c r="A10817" t="s">
        <v>32138</v>
      </c>
      <c r="B10817" t="s">
        <v>32139</v>
      </c>
      <c r="C10817" t="s">
        <v>32140</v>
      </c>
      <c r="D10817" t="str">
        <f>HYPERLINK("https://github.com/mapbox/mapbox-plugins-android/issues/235","show")</f>
        <v>show</v>
      </c>
      <c r="E10817" t="str">
        <f>HYPERLINK("https://github.com/mapbox/mapbox-plugins-android","show")</f>
        <v>show</v>
      </c>
      <c r="F10817" t="str">
        <f>HYPERLINK("https://github.com/mapbox/mapbox-plugins-android/releases","show")</f>
        <v>show</v>
      </c>
    </row>
    <row r="10818" spans="1:6">
      <c r="A10818" t="s">
        <v>32141</v>
      </c>
      <c r="B10818" t="s">
        <v>32142</v>
      </c>
      <c r="C10818" t="s">
        <v>32143</v>
      </c>
      <c r="D10818" t="str">
        <f>HYPERLINK("https://github.com/jMonkeyEngine/jmonkeyengine/issues/794","show")</f>
        <v>show</v>
      </c>
      <c r="E10818" t="str">
        <f>HYPERLINK("https://github.com/jMonkeyEngine/jmonkeyengine","show")</f>
        <v>show</v>
      </c>
      <c r="F10818" t="str">
        <f>HYPERLINK("https://github.com/jMonkeyEngine/jmonkeyengine/releases","show")</f>
        <v>show</v>
      </c>
    </row>
    <row r="10819" spans="1:6">
      <c r="A10819" t="s">
        <v>32144</v>
      </c>
      <c r="B10819" t="s">
        <v>32145</v>
      </c>
      <c r="C10819" t="s">
        <v>32146</v>
      </c>
      <c r="D10819" t="str">
        <f>HYPERLINK("https://github.com/RoboTutorLLC/RTFace_Login/issues/3","show")</f>
        <v>show</v>
      </c>
      <c r="E10819" t="str">
        <f>HYPERLINK("https://github.com/RoboTutorLLC/RTFace_Login","show")</f>
        <v>show</v>
      </c>
      <c r="F10819" t="str">
        <f>HYPERLINK("https://github.com/RoboTutorLLC/RTFace_Login/releases","show")</f>
        <v>show</v>
      </c>
    </row>
    <row r="10820" spans="1:6">
      <c r="A10820" t="s">
        <v>32147</v>
      </c>
      <c r="B10820" t="s">
        <v>32148</v>
      </c>
      <c r="C10820" t="s">
        <v>32149</v>
      </c>
      <c r="D10820" t="str">
        <f>HYPERLINK("https://github.com/nextcloud/android/issues/1934","show")</f>
        <v>show</v>
      </c>
      <c r="E10820" t="str">
        <f>HYPERLINK("https://github.com/nextcloud/android","show")</f>
        <v>show</v>
      </c>
      <c r="F10820" t="str">
        <f>HYPERLINK("https://github.com/nextcloud/android/releases","show")</f>
        <v>show</v>
      </c>
    </row>
    <row r="10821" spans="1:6">
      <c r="A10821" t="s">
        <v>32150</v>
      </c>
      <c r="B10821" t="s">
        <v>32151</v>
      </c>
      <c r="C10821" t="s">
        <v>32152</v>
      </c>
      <c r="D10821" t="str">
        <f>HYPERLINK("https://github.com/mvysny/aedict/issues/817","show")</f>
        <v>show</v>
      </c>
      <c r="E10821" t="str">
        <f>HYPERLINK("https://github.com/mvysny/aedict","show")</f>
        <v>show</v>
      </c>
      <c r="F10821" t="str">
        <f>HYPERLINK("https://github.com/mvysny/aedict/releases","show")</f>
        <v>show</v>
      </c>
    </row>
    <row r="10822" spans="1:6">
      <c r="A10822" t="s">
        <v>32153</v>
      </c>
      <c r="B10822" t="s">
        <v>32154</v>
      </c>
      <c r="C10822" t="s">
        <v>32155</v>
      </c>
      <c r="D10822" t="str">
        <f>HYPERLINK("https://github.com/zhanghai/MaterialProgressBar/issues/73","show")</f>
        <v>show</v>
      </c>
      <c r="E10822" t="str">
        <f>HYPERLINK("https://github.com/zhanghai/MaterialProgressBar","show")</f>
        <v>show</v>
      </c>
      <c r="F10822" t="str">
        <f>HYPERLINK("https://github.com/zhanghai/MaterialProgressBar/releases","show")</f>
        <v>show</v>
      </c>
    </row>
    <row r="10823" spans="1:6">
      <c r="A10823" t="s">
        <v>32156</v>
      </c>
      <c r="B10823" t="s">
        <v>32157</v>
      </c>
      <c r="C10823" t="s">
        <v>32158</v>
      </c>
      <c r="D10823" t="str">
        <f>HYPERLINK("https://github.com/oliexdev/openScale/issues/134","show")</f>
        <v>show</v>
      </c>
      <c r="E10823" t="str">
        <f>HYPERLINK("https://github.com/oliexdev/openScale","show")</f>
        <v>show</v>
      </c>
      <c r="F10823" t="str">
        <f>HYPERLINK("https://github.com/oliexdev/openScale/releases","show")</f>
        <v>show</v>
      </c>
    </row>
    <row r="10824" spans="1:6">
      <c r="A10824" t="s">
        <v>32159</v>
      </c>
      <c r="B10824" t="s">
        <v>32160</v>
      </c>
      <c r="C10824" t="s">
        <v>32161</v>
      </c>
      <c r="D10824" t="str">
        <f>HYPERLINK("https://github.com/cgeo/cgeo/issues/6904","show")</f>
        <v>show</v>
      </c>
      <c r="E10824" t="str">
        <f>HYPERLINK("https://github.com/cgeo/cgeo","show")</f>
        <v>show</v>
      </c>
      <c r="F10824" t="str">
        <f>HYPERLINK("https://github.com/cgeo/cgeo/releases","show")</f>
        <v>show</v>
      </c>
    </row>
    <row r="10825" spans="1:6">
      <c r="A10825" t="s">
        <v>32162</v>
      </c>
      <c r="B10825" t="s">
        <v>32163</v>
      </c>
      <c r="C10825" t="s">
        <v>32164</v>
      </c>
      <c r="D10825" t="str">
        <f>HYPERLINK("https://github.com/niclabs/adkintunmobile-androidclient/issues/190","show")</f>
        <v>show</v>
      </c>
      <c r="E10825" t="str">
        <f>HYPERLINK("https://github.com/niclabs/adkintunmobile-androidclient","show")</f>
        <v>show</v>
      </c>
      <c r="F10825" t="str">
        <f>HYPERLINK("https://github.com/niclabs/adkintunmobile-androidclient/releases","show")</f>
        <v>show</v>
      </c>
    </row>
    <row r="10826" spans="1:6">
      <c r="A10826" t="s">
        <v>32165</v>
      </c>
      <c r="B10826" t="s">
        <v>32166</v>
      </c>
      <c r="C10826" t="s">
        <v>32167</v>
      </c>
      <c r="D10826" t="str">
        <f>HYPERLINK("https://github.com/osmdroid/osmdroid/issues/850","show")</f>
        <v>show</v>
      </c>
      <c r="E10826" t="str">
        <f>HYPERLINK("https://github.com/osmdroid/osmdroid","show")</f>
        <v>show</v>
      </c>
      <c r="F10826" t="str">
        <f>HYPERLINK("https://github.com/osmdroid/osmdroid/releases","show")</f>
        <v>show</v>
      </c>
    </row>
    <row r="10827" spans="1:6">
      <c r="A10827" t="s">
        <v>32168</v>
      </c>
      <c r="B10827" t="s">
        <v>32169</v>
      </c>
      <c r="C10827" t="s">
        <v>32170</v>
      </c>
      <c r="D10827" t="str">
        <f>HYPERLINK("https://github.com/TeamNewPipe/NewPipe/issues/968","show")</f>
        <v>show</v>
      </c>
      <c r="E10827" t="str">
        <f>HYPERLINK("https://github.com/TeamNewPipe/NewPipe","show")</f>
        <v>show</v>
      </c>
      <c r="F10827" t="str">
        <f>HYPERLINK("https://github.com/TeamNewPipe/NewPipe/releases","show")</f>
        <v>show</v>
      </c>
    </row>
    <row r="10828" spans="1:6">
      <c r="A10828" t="s">
        <v>32171</v>
      </c>
      <c r="B10828" t="s">
        <v>32172</v>
      </c>
      <c r="C10828" t="s">
        <v>32173</v>
      </c>
      <c r="D10828" t="str">
        <f>HYPERLINK("https://github.com/ikarus23/MifareClassicTool/issues/165","show")</f>
        <v>show</v>
      </c>
      <c r="E10828" t="str">
        <f>HYPERLINK("https://github.com/ikarus23/MifareClassicTool","show")</f>
        <v>show</v>
      </c>
      <c r="F10828" t="str">
        <f>HYPERLINK("https://github.com/ikarus23/MifareClassicTool/releases","show")</f>
        <v>show</v>
      </c>
    </row>
    <row r="10829" spans="1:6">
      <c r="A10829" t="s">
        <v>32174</v>
      </c>
      <c r="B10829" t="s">
        <v>32175</v>
      </c>
      <c r="C10829" t="s">
        <v>32176</v>
      </c>
      <c r="D10829" t="str">
        <f>HYPERLINK("https://github.com/square/okhttp/issues/3761","show")</f>
        <v>show</v>
      </c>
      <c r="E10829" t="str">
        <f>HYPERLINK("https://github.com/square/okhttp","show")</f>
        <v>show</v>
      </c>
      <c r="F10829" t="str">
        <f>HYPERLINK("https://github.com/square/okhttp/releases","show")</f>
        <v>show</v>
      </c>
    </row>
    <row r="10830" spans="1:6">
      <c r="A10830" t="s">
        <v>32177</v>
      </c>
      <c r="B10830" t="s">
        <v>32178</v>
      </c>
      <c r="C10830" t="s">
        <v>32179</v>
      </c>
      <c r="D10830" t="str">
        <f>HYPERLINK("https://github.com/TeamNewPipe/NewPipe/issues/963","show")</f>
        <v>show</v>
      </c>
      <c r="E10830" t="str">
        <f>HYPERLINK("https://github.com/TeamNewPipe/NewPipe","show")</f>
        <v>show</v>
      </c>
      <c r="F10830" t="str">
        <f>HYPERLINK("https://github.com/TeamNewPipe/NewPipe/releases","show")</f>
        <v>show</v>
      </c>
    </row>
    <row r="10831" spans="1:6">
      <c r="A10831" t="s">
        <v>32180</v>
      </c>
      <c r="B10831" t="s">
        <v>32181</v>
      </c>
      <c r="C10831" t="s">
        <v>32182</v>
      </c>
      <c r="D10831" t="str">
        <f>HYPERLINK("https://github.com/hold17/cphindustries/issues/50","show")</f>
        <v>show</v>
      </c>
      <c r="E10831" t="str">
        <f>HYPERLINK("https://github.com/hold17/cphindustries","show")</f>
        <v>show</v>
      </c>
      <c r="F10831" t="str">
        <f>HYPERLINK("https://github.com/hold17/cphindustries/releases","show")</f>
        <v>show</v>
      </c>
    </row>
    <row r="10832" spans="1:6">
      <c r="A10832" t="s">
        <v>32183</v>
      </c>
      <c r="B10832" t="s">
        <v>32184</v>
      </c>
      <c r="C10832" t="s">
        <v>32185</v>
      </c>
      <c r="D10832" t="str">
        <f>HYPERLINK("https://github.com/openMF/Fineract-CN-mobile/issues/171","show")</f>
        <v>show</v>
      </c>
      <c r="E10832" t="str">
        <f>HYPERLINK("https://github.com/openMF/Fineract-CN-mobile","show")</f>
        <v>show</v>
      </c>
      <c r="F10832" t="str">
        <f>HYPERLINK("https://github.com/openMF/Fineract-CN-mobile/releases","show")</f>
        <v>show</v>
      </c>
    </row>
    <row r="10833" spans="1:6">
      <c r="A10833" t="s">
        <v>32186</v>
      </c>
      <c r="B10833" t="s">
        <v>32187</v>
      </c>
      <c r="C10833" t="s">
        <v>32188</v>
      </c>
      <c r="D10833" t="str">
        <f>HYPERLINK("https://github.com/google/ExoPlayer/issues/3670","show")</f>
        <v>show</v>
      </c>
      <c r="E10833" t="str">
        <f>HYPERLINK("https://github.com/google/ExoPlayer","show")</f>
        <v>show</v>
      </c>
      <c r="F10833" t="str">
        <f>HYPERLINK("https://github.com/google/ExoPlayer/releases","show")</f>
        <v>show</v>
      </c>
    </row>
    <row r="10834" spans="1:6">
      <c r="A10834" t="s">
        <v>32189</v>
      </c>
      <c r="B10834" t="s">
        <v>32190</v>
      </c>
      <c r="C10834" t="s">
        <v>32191</v>
      </c>
      <c r="D10834" t="str">
        <f>HYPERLINK("https://github.com/michael-rapp/AndroidMaterialValidation/issues/3","show")</f>
        <v>show</v>
      </c>
      <c r="E10834" t="str">
        <f>HYPERLINK("https://github.com/michael-rapp/AndroidMaterialValidation","show")</f>
        <v>show</v>
      </c>
      <c r="F10834" t="str">
        <f>HYPERLINK("https://github.com/michael-rapp/AndroidMaterialValidation/releases","show")</f>
        <v>show</v>
      </c>
    </row>
    <row r="10835" spans="1:6">
      <c r="A10835" t="s">
        <v>32192</v>
      </c>
      <c r="B10835" t="s">
        <v>32193</v>
      </c>
      <c r="C10835" t="s">
        <v>32194</v>
      </c>
      <c r="D10835" t="str">
        <f>HYPERLINK("https://github.com/Menighin/ZenSource/issues/8","show")</f>
        <v>show</v>
      </c>
      <c r="E10835" t="str">
        <f>HYPERLINK("https://github.com/Menighin/ZenSource","show")</f>
        <v>show</v>
      </c>
      <c r="F10835" t="str">
        <f>HYPERLINK("https://github.com/Menighin/ZenSource/releases","show")</f>
        <v>show</v>
      </c>
    </row>
    <row r="10836" spans="1:6">
      <c r="A10836" t="s">
        <v>32195</v>
      </c>
      <c r="B10836" t="s">
        <v>32196</v>
      </c>
      <c r="C10836" t="s">
        <v>32197</v>
      </c>
      <c r="D10836" t="str">
        <f>HYPERLINK("https://github.com/hold17/cphindustries/issues/44","show")</f>
        <v>show</v>
      </c>
      <c r="E10836" t="str">
        <f>HYPERLINK("https://github.com/hold17/cphindustries","show")</f>
        <v>show</v>
      </c>
      <c r="F10836" t="str">
        <f>HYPERLINK("https://github.com/hold17/cphindustries/releases","show")</f>
        <v>show</v>
      </c>
    </row>
    <row r="10837" spans="1:6">
      <c r="A10837" t="s">
        <v>32198</v>
      </c>
      <c r="B10837" t="s">
        <v>32199</v>
      </c>
      <c r="C10837" t="s">
        <v>32200</v>
      </c>
      <c r="D10837" t="str">
        <f>HYPERLINK("https://github.com/pinballmap/pbm-android/issues/183","show")</f>
        <v>show</v>
      </c>
      <c r="E10837" t="str">
        <f>HYPERLINK("https://github.com/pinballmap/pbm-android","show")</f>
        <v>show</v>
      </c>
      <c r="F10837" t="str">
        <f>HYPERLINK("https://github.com/pinballmap/pbm-android/releases","show")</f>
        <v>show</v>
      </c>
    </row>
    <row r="10838" spans="1:6">
      <c r="A10838" t="s">
        <v>32201</v>
      </c>
      <c r="B10838" t="s">
        <v>32202</v>
      </c>
      <c r="C10838" t="s">
        <v>32203</v>
      </c>
      <c r="D10838" t="str">
        <f>HYPERLINK("https://github.com/fabian7593/MagicalCamera/issues/36","show")</f>
        <v>show</v>
      </c>
      <c r="E10838" t="str">
        <f>HYPERLINK("https://github.com/fabian7593/MagicalCamera","show")</f>
        <v>show</v>
      </c>
      <c r="F10838" t="str">
        <f>HYPERLINK("https://github.com/fabian7593/MagicalCamera/releases","show")</f>
        <v>show</v>
      </c>
    </row>
    <row r="10839" spans="1:6">
      <c r="A10839" t="s">
        <v>32204</v>
      </c>
      <c r="B10839" t="s">
        <v>32205</v>
      </c>
      <c r="C10839" t="s">
        <v>32206</v>
      </c>
      <c r="D10839" t="str">
        <f>HYPERLINK("https://github.com/mit-cml/appinventor-sources/issues/1105","show")</f>
        <v>show</v>
      </c>
      <c r="E10839" t="str">
        <f>HYPERLINK("https://github.com/mit-cml/appinventor-sources","show")</f>
        <v>show</v>
      </c>
      <c r="F10839" t="str">
        <f>HYPERLINK("https://github.com/mit-cml/appinventor-sources/releases","show")</f>
        <v>show</v>
      </c>
    </row>
    <row r="10840" spans="1:6">
      <c r="A10840" t="s">
        <v>32207</v>
      </c>
      <c r="B10840" t="s">
        <v>32208</v>
      </c>
      <c r="C10840" t="s">
        <v>32209</v>
      </c>
      <c r="D10840" t="str">
        <f>HYPERLINK("https://github.com/hzi-braunschweig/SORMAS-Project/issues/455","show")</f>
        <v>show</v>
      </c>
      <c r="E10840" t="str">
        <f>HYPERLINK("https://github.com/hzi-braunschweig/SORMAS-Project","show")</f>
        <v>show</v>
      </c>
      <c r="F10840" t="str">
        <f>HYPERLINK("https://github.com/hzi-braunschweig/SORMAS-Project/releases","show")</f>
        <v>show</v>
      </c>
    </row>
    <row r="10841" spans="1:6">
      <c r="A10841" t="s">
        <v>32210</v>
      </c>
      <c r="B10841" t="s">
        <v>32211</v>
      </c>
      <c r="C10841" t="s">
        <v>32212</v>
      </c>
      <c r="D10841" t="str">
        <f>HYPERLINK("https://github.com/fenimore/DemocracyDroid/issues/43","show")</f>
        <v>show</v>
      </c>
      <c r="E10841" t="str">
        <f>HYPERLINK("https://github.com/fenimore/DemocracyDroid","show")</f>
        <v>show</v>
      </c>
      <c r="F10841" t="str">
        <f>HYPERLINK("https://github.com/fenimore/DemocracyDroid/releases","show")</f>
        <v>show</v>
      </c>
    </row>
    <row r="10842" spans="1:6">
      <c r="A10842" t="s">
        <v>32213</v>
      </c>
      <c r="B10842" t="s">
        <v>32214</v>
      </c>
      <c r="C10842" t="s">
        <v>32215</v>
      </c>
      <c r="D10842" t="str">
        <f>HYPERLINK("https://github.com/garysheppardjr/geodev-dc-labs/issues/140","show")</f>
        <v>show</v>
      </c>
      <c r="E10842" t="str">
        <f>HYPERLINK("https://github.com/garysheppardjr/geodev-dc-labs","show")</f>
        <v>show</v>
      </c>
      <c r="F10842" t="str">
        <f>HYPERLINK("https://github.com/garysheppardjr/geodev-dc-labs/releases","show")</f>
        <v>show</v>
      </c>
    </row>
    <row r="10843" spans="1:6">
      <c r="A10843" t="s">
        <v>32216</v>
      </c>
      <c r="B10843" t="s">
        <v>32217</v>
      </c>
      <c r="C10843" t="s">
        <v>32218</v>
      </c>
      <c r="D10843" t="str">
        <f>HYPERLINK("https://github.com/MCMrARM/revolution-irc/issues/74","show")</f>
        <v>show</v>
      </c>
      <c r="E10843" t="str">
        <f>HYPERLINK("https://github.com/MCMrARM/revolution-irc","show")</f>
        <v>show</v>
      </c>
      <c r="F10843" t="str">
        <f>HYPERLINK("https://github.com/MCMrARM/revolution-irc/releases","show")</f>
        <v>show</v>
      </c>
    </row>
    <row r="10844" spans="1:6">
      <c r="A10844" t="s">
        <v>32219</v>
      </c>
      <c r="B10844" t="s">
        <v>32220</v>
      </c>
      <c r="C10844" t="s">
        <v>32221</v>
      </c>
      <c r="D10844" t="str">
        <f>HYPERLINK("https://github.com/guardianproject/haven/issues/175","show")</f>
        <v>show</v>
      </c>
      <c r="E10844" t="str">
        <f>HYPERLINK("https://github.com/guardianproject/haven","show")</f>
        <v>show</v>
      </c>
      <c r="F10844" t="str">
        <f>HYPERLINK("https://github.com/guardianproject/haven/releases","show")</f>
        <v>show</v>
      </c>
    </row>
  </sheetData>
  <phoneticPr fontId="4"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huiyu Song</dc:creator>
  <cp:lastModifiedBy>刘 哲</cp:lastModifiedBy>
  <dcterms:created xsi:type="dcterms:W3CDTF">2023-02-14T17:54:00Z</dcterms:created>
  <dcterms:modified xsi:type="dcterms:W3CDTF">2024-04-02T06:01:33Z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F8B8231665864818AA388B8347F3EE38</vt:lpwstr>
  </property>
  <property fmtid="{D5CDD505-2E9C-101B-9397-08002B2CF9AE}" pid="3" name="KSOProductBuildVer">
    <vt:lpwstr>2052-11.1.0.14309</vt:lpwstr>
  </property>
</Properties>
</file>